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la\Desktop\APPACCURATEK\"/>
    </mc:Choice>
  </mc:AlternateContent>
  <xr:revisionPtr revIDLastSave="0" documentId="13_ncr:1_{3889FCCD-E348-4A17-9D9B-D288216EA6E0}" xr6:coauthVersionLast="47" xr6:coauthVersionMax="47" xr10:uidLastSave="{00000000-0000-0000-0000-000000000000}"/>
  <bookViews>
    <workbookView xWindow="-25710" yWindow="-2720" windowWidth="25820" windowHeight="15500" tabRatio="734" activeTab="3" xr2:uid="{00000000-000D-0000-FFFF-FFFF00000000}"/>
  </bookViews>
  <sheets>
    <sheet name="COT. BSII, CF. 300, CF. 400" sheetId="10" r:id="rId1"/>
    <sheet name="COT. F.CONTROL" sheetId="9" r:id="rId2"/>
    <sheet name="resumen" sheetId="37" r:id="rId3"/>
    <sheet name="CUBICACION" sheetId="8" r:id="rId4"/>
    <sheet name="FIRE CONTROL" sheetId="14" state="hidden" r:id="rId5"/>
    <sheet name="FIRE TEX 5062" sheetId="23" state="hidden" r:id="rId6"/>
    <sheet name="FIRE TEX 5090" sheetId="27" state="hidden" r:id="rId7"/>
    <sheet name="FIRE TEX 5120" sheetId="32" state="hidden" r:id="rId8"/>
    <sheet name="AUTO CALCULO" sheetId="35" r:id="rId9"/>
    <sheet name="CALCULO MORTERO" sheetId="2" r:id="rId10"/>
    <sheet name="CALCULO PINTURA" sheetId="19" r:id="rId11"/>
    <sheet name="FX 2003" sheetId="13" state="hidden" r:id="rId12"/>
    <sheet name="STOFIRE" sheetId="15" state="hidden" r:id="rId13"/>
    <sheet name="FIRE TEX OBSOLETA" sheetId="16" state="hidden" r:id="rId14"/>
    <sheet name="WB7" sheetId="18" state="hidden" r:id="rId15"/>
    <sheet name="FIRE TEX FX 2003" sheetId="17" state="hidden" r:id="rId16"/>
    <sheet name="RESTRICCIÓN MASIVIDAD" sheetId="20" state="hidden" r:id="rId17"/>
    <sheet name="BLAZE SHIELD ENSAYO" sheetId="7" state="hidden" r:id="rId18"/>
    <sheet name="BLAZE SHIELD II" sheetId="1" state="hidden" r:id="rId19"/>
    <sheet name="CAFCO 400 " sheetId="4" state="hidden" r:id="rId20"/>
    <sheet name="CAFCO 400 ENSAYO" sheetId="6" state="hidden" r:id="rId21"/>
    <sheet name="CAFCO 300 IDIEM TABLAS" sheetId="3" state="hidden" r:id="rId22"/>
    <sheet name="HOJA DE CÁLCULO RESPALDO" sheetId="5" state="hidden" r:id="rId23"/>
  </sheets>
  <definedNames>
    <definedName name="_xlnm._FilterDatabase" localSheetId="9" hidden="1">'CALCULO MORTERO'!$A$8:$U$1700</definedName>
    <definedName name="_xlnm._FilterDatabase" localSheetId="10" hidden="1">'CALCULO PINTURA'!$A$8:$V$1621</definedName>
    <definedName name="_xlnm._FilterDatabase" localSheetId="3" hidden="1">CUBICACION!$A$8:$V$1620</definedName>
    <definedName name="_xlnm._FilterDatabase" localSheetId="22" hidden="1">'HOJA DE CÁLCULO RESPALDO'!$A$8:$M$9</definedName>
    <definedName name="MATRIZ1" localSheetId="0">#REF!</definedName>
    <definedName name="MATRIZ1" localSheetId="1">#REF!</definedName>
    <definedName name="MATRIZ1">#REF!</definedName>
    <definedName name="MATRIZ2" localSheetId="0">#REF!</definedName>
    <definedName name="MATRIZ2" localSheetId="1">#REF!</definedName>
    <definedName name="MATRIZ2">#REF!</definedName>
    <definedName name="MATRIZ3" localSheetId="0">#REF!</definedName>
    <definedName name="MATRIZ3" localSheetId="1">#REF!</definedName>
    <definedName name="MATRIZ3">#REF!</definedName>
    <definedName name="MATRIZ4" localSheetId="0">#REF!</definedName>
    <definedName name="MATRIZ4" localSheetId="1">#REF!</definedName>
    <definedName name="MATRIZ4">#REF!</definedName>
    <definedName name="Q" localSheetId="0">#REF!</definedName>
    <definedName name="Q" localSheetId="1">#REF!</definedName>
    <definedName name="Q">#REF!</definedName>
    <definedName name="S" localSheetId="0">#REF!</definedName>
    <definedName name="S" localSheetId="1">#REF!</definedName>
    <definedName name="S">#REF!</definedName>
  </definedNames>
  <calcPr calcId="191029"/>
  <pivotCaches>
    <pivotCache cacheId="0" r:id="rId2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0" l="1"/>
  <c r="N51" i="8"/>
  <c r="N52" i="8"/>
  <c r="N53" i="8"/>
  <c r="N54" i="8"/>
  <c r="N50" i="8"/>
  <c r="N99" i="8"/>
  <c r="N100" i="8"/>
  <c r="N101" i="8"/>
  <c r="N102" i="8"/>
  <c r="N103" i="8"/>
  <c r="N104" i="8"/>
  <c r="N105" i="8"/>
  <c r="N95" i="8"/>
  <c r="N94" i="8"/>
  <c r="A18" i="35"/>
  <c r="B18" i="35"/>
  <c r="D18" i="35" s="1" a="1"/>
  <c r="D18" i="35" s="1"/>
  <c r="C18" i="35"/>
  <c r="A19" i="35"/>
  <c r="B19" i="35"/>
  <c r="D19" i="35" s="1" a="1"/>
  <c r="D19" i="35" s="1"/>
  <c r="C19" i="35"/>
  <c r="A20" i="35"/>
  <c r="B20" i="35"/>
  <c r="D20" i="35" s="1" a="1"/>
  <c r="D20" i="35" s="1"/>
  <c r="C20" i="35"/>
  <c r="A21" i="35"/>
  <c r="B21" i="35"/>
  <c r="D21" i="35" s="1" a="1"/>
  <c r="C21" i="35"/>
  <c r="A22" i="35"/>
  <c r="B22" i="35"/>
  <c r="D22" i="35" s="1" a="1"/>
  <c r="D22" i="35" s="1"/>
  <c r="C22" i="35"/>
  <c r="A23" i="35"/>
  <c r="B23" i="35"/>
  <c r="D23" i="35" s="1" a="1"/>
  <c r="C23" i="35"/>
  <c r="A24" i="35"/>
  <c r="B24" i="35"/>
  <c r="D24" i="35" s="1" a="1"/>
  <c r="D24" i="35" s="1"/>
  <c r="C24" i="35"/>
  <c r="A25" i="35"/>
  <c r="B25" i="35"/>
  <c r="D25" i="35" s="1" a="1"/>
  <c r="D25" i="35" s="1"/>
  <c r="C25" i="35"/>
  <c r="A26" i="35"/>
  <c r="B26" i="35"/>
  <c r="D26" i="35" s="1" a="1"/>
  <c r="D26" i="35" s="1"/>
  <c r="C26" i="35"/>
  <c r="A27" i="35"/>
  <c r="B27" i="35"/>
  <c r="D27" i="35" s="1" a="1"/>
  <c r="D27" i="35" s="1"/>
  <c r="C27" i="35"/>
  <c r="A28" i="35"/>
  <c r="B28" i="35"/>
  <c r="D28" i="35" s="1" a="1"/>
  <c r="D28" i="35" s="1"/>
  <c r="C28" i="35"/>
  <c r="A29" i="35"/>
  <c r="B29" i="35"/>
  <c r="D29" i="35" s="1" a="1"/>
  <c r="D29" i="35" s="1"/>
  <c r="C29" i="35"/>
  <c r="A30" i="35"/>
  <c r="B30" i="35"/>
  <c r="D30" i="35" s="1" a="1"/>
  <c r="C30" i="35"/>
  <c r="A31" i="35"/>
  <c r="B31" i="35"/>
  <c r="D31" i="35" s="1" a="1"/>
  <c r="D31" i="35" s="1"/>
  <c r="C31" i="35"/>
  <c r="A32" i="35"/>
  <c r="B32" i="35"/>
  <c r="D32" i="35" s="1" a="1"/>
  <c r="D32" i="35" s="1"/>
  <c r="C32" i="35"/>
  <c r="A33" i="35"/>
  <c r="B33" i="35"/>
  <c r="D33" i="35" s="1" a="1"/>
  <c r="C33" i="35"/>
  <c r="A34" i="35"/>
  <c r="B34" i="35"/>
  <c r="D34" i="35" s="1" a="1"/>
  <c r="D34" i="35" s="1"/>
  <c r="C34" i="35"/>
  <c r="A35" i="35"/>
  <c r="B35" i="35"/>
  <c r="D35" i="35" s="1" a="1"/>
  <c r="D35" i="35" s="1"/>
  <c r="C35" i="35"/>
  <c r="A36" i="35"/>
  <c r="B36" i="35"/>
  <c r="D36" i="35" s="1" a="1"/>
  <c r="D36" i="35" s="1"/>
  <c r="C36" i="35"/>
  <c r="A37" i="35"/>
  <c r="B37" i="35"/>
  <c r="D37" i="35" s="1" a="1"/>
  <c r="D37" i="35" s="1"/>
  <c r="C37" i="35"/>
  <c r="A38" i="35"/>
  <c r="B38" i="35"/>
  <c r="D38" i="35" s="1" a="1"/>
  <c r="D38" i="35" s="1"/>
  <c r="C38" i="35"/>
  <c r="A39" i="35"/>
  <c r="B39" i="35"/>
  <c r="D39" i="35" s="1" a="1"/>
  <c r="C39" i="35"/>
  <c r="A40" i="35"/>
  <c r="B40" i="35"/>
  <c r="D40" i="35" s="1" a="1"/>
  <c r="D40" i="35" s="1"/>
  <c r="C40" i="35"/>
  <c r="A41" i="35"/>
  <c r="B41" i="35"/>
  <c r="D41" i="35" s="1" a="1"/>
  <c r="D41" i="35" s="1"/>
  <c r="C41" i="35"/>
  <c r="A42" i="35"/>
  <c r="B42" i="35"/>
  <c r="D42" i="35" s="1" a="1"/>
  <c r="D42" i="35" s="1"/>
  <c r="C42" i="35"/>
  <c r="A43" i="35"/>
  <c r="B43" i="35"/>
  <c r="D43" i="35" s="1" a="1"/>
  <c r="D43" i="35" s="1"/>
  <c r="C43" i="35"/>
  <c r="A44" i="35"/>
  <c r="B44" i="35"/>
  <c r="D44" i="35" s="1" a="1"/>
  <c r="D44" i="35" s="1"/>
  <c r="C44" i="35"/>
  <c r="A45" i="35"/>
  <c r="B45" i="35"/>
  <c r="D45" i="35" s="1" a="1"/>
  <c r="D45" i="35" s="1"/>
  <c r="C45" i="35"/>
  <c r="A46" i="35"/>
  <c r="B46" i="35"/>
  <c r="D46" i="35" s="1" a="1"/>
  <c r="C46" i="35"/>
  <c r="A47" i="35"/>
  <c r="B47" i="35"/>
  <c r="D47" i="35" s="1" a="1"/>
  <c r="D47" i="35" s="1"/>
  <c r="C47" i="35"/>
  <c r="A48" i="35"/>
  <c r="B48" i="35"/>
  <c r="D48" i="35" s="1" a="1"/>
  <c r="D48" i="35" s="1"/>
  <c r="C48" i="35"/>
  <c r="A49" i="35"/>
  <c r="B49" i="35"/>
  <c r="D49" i="35" s="1" a="1"/>
  <c r="C49" i="35"/>
  <c r="A50" i="35"/>
  <c r="B50" i="35"/>
  <c r="D50" i="35" s="1" a="1"/>
  <c r="D50" i="35" s="1"/>
  <c r="C50" i="35"/>
  <c r="A51" i="35"/>
  <c r="B51" i="35"/>
  <c r="D51" i="35" s="1" a="1"/>
  <c r="D51" i="35" s="1"/>
  <c r="C51" i="35"/>
  <c r="A52" i="35"/>
  <c r="B52" i="35"/>
  <c r="D52" i="35" s="1" a="1"/>
  <c r="D52" i="35" s="1"/>
  <c r="C52" i="35"/>
  <c r="A53" i="35"/>
  <c r="B53" i="35"/>
  <c r="D53" i="35" s="1" a="1"/>
  <c r="D53" i="35" s="1"/>
  <c r="C53" i="35"/>
  <c r="A54" i="35"/>
  <c r="B54" i="35"/>
  <c r="D54" i="35" s="1" a="1"/>
  <c r="D54" i="35" s="1"/>
  <c r="C54" i="35"/>
  <c r="A55" i="35"/>
  <c r="B55" i="35"/>
  <c r="D55" i="35" s="1" a="1"/>
  <c r="C55" i="35"/>
  <c r="A56" i="35"/>
  <c r="B56" i="35"/>
  <c r="D56" i="35" s="1" a="1"/>
  <c r="D56" i="35" s="1"/>
  <c r="C56" i="35"/>
  <c r="A57" i="35"/>
  <c r="B57" i="35"/>
  <c r="D57" i="35" s="1" a="1"/>
  <c r="D57" i="35" s="1"/>
  <c r="C57" i="35"/>
  <c r="A58" i="35"/>
  <c r="B58" i="35"/>
  <c r="D58" i="35" s="1" a="1"/>
  <c r="D58" i="35" s="1"/>
  <c r="C58" i="35"/>
  <c r="A59" i="35"/>
  <c r="B59" i="35"/>
  <c r="D59" i="35" s="1" a="1"/>
  <c r="D59" i="35" s="1"/>
  <c r="C59" i="35"/>
  <c r="A60" i="35"/>
  <c r="B60" i="35"/>
  <c r="D60" i="35" s="1" a="1"/>
  <c r="D60" i="35" s="1"/>
  <c r="C60" i="35"/>
  <c r="A61" i="35"/>
  <c r="B61" i="35"/>
  <c r="D61" i="35" s="1" a="1"/>
  <c r="D61" i="35" s="1"/>
  <c r="C61" i="35"/>
  <c r="A62" i="35"/>
  <c r="B62" i="35"/>
  <c r="D62" i="35" s="1" a="1"/>
  <c r="C62" i="35"/>
  <c r="A63" i="35"/>
  <c r="B63" i="35"/>
  <c r="D63" i="35" s="1" a="1"/>
  <c r="D63" i="35" s="1"/>
  <c r="C63" i="35"/>
  <c r="A64" i="35"/>
  <c r="B64" i="35"/>
  <c r="D64" i="35" s="1" a="1"/>
  <c r="D64" i="35" s="1"/>
  <c r="C64" i="35"/>
  <c r="A65" i="35"/>
  <c r="B65" i="35"/>
  <c r="D65" i="35" s="1" a="1"/>
  <c r="C65" i="35"/>
  <c r="A66" i="35"/>
  <c r="B66" i="35"/>
  <c r="D66" i="35" s="1" a="1"/>
  <c r="D66" i="35" s="1"/>
  <c r="C66" i="35"/>
  <c r="A67" i="35"/>
  <c r="B67" i="35"/>
  <c r="D67" i="35" s="1" a="1"/>
  <c r="D67" i="35" s="1"/>
  <c r="C67" i="35"/>
  <c r="A68" i="35"/>
  <c r="B68" i="35"/>
  <c r="D68" i="35" s="1" a="1"/>
  <c r="D68" i="35" s="1"/>
  <c r="C68" i="35"/>
  <c r="A69" i="35"/>
  <c r="B69" i="35"/>
  <c r="D69" i="35" s="1" a="1"/>
  <c r="D69" i="35" s="1"/>
  <c r="C69" i="35"/>
  <c r="A70" i="35"/>
  <c r="B70" i="35"/>
  <c r="D70" i="35" s="1" a="1"/>
  <c r="D70" i="35" s="1"/>
  <c r="C70" i="35"/>
  <c r="A71" i="35"/>
  <c r="B71" i="35"/>
  <c r="D71" i="35" s="1" a="1"/>
  <c r="D71" i="35" s="1"/>
  <c r="C71" i="35"/>
  <c r="A72" i="35"/>
  <c r="B72" i="35"/>
  <c r="D72" i="35" s="1" a="1"/>
  <c r="D72" i="35" s="1"/>
  <c r="C72" i="35"/>
  <c r="A73" i="35"/>
  <c r="B73" i="35"/>
  <c r="D73" i="35" s="1" a="1"/>
  <c r="D73" i="35" s="1"/>
  <c r="C73" i="35"/>
  <c r="A74" i="35"/>
  <c r="B74" i="35"/>
  <c r="D74" i="35" s="1" a="1"/>
  <c r="D74" i="35" s="1"/>
  <c r="C74" i="35"/>
  <c r="A75" i="35"/>
  <c r="B75" i="35"/>
  <c r="D75" i="35" s="1" a="1"/>
  <c r="D75" i="35" s="1"/>
  <c r="C75" i="35"/>
  <c r="A76" i="35"/>
  <c r="B76" i="35"/>
  <c r="D76" i="35" s="1" a="1"/>
  <c r="D76" i="35" s="1"/>
  <c r="C76" i="35"/>
  <c r="A77" i="35"/>
  <c r="B77" i="35"/>
  <c r="D77" i="35" s="1" a="1"/>
  <c r="D77" i="35" s="1"/>
  <c r="C77" i="35"/>
  <c r="A78" i="35"/>
  <c r="B78" i="35"/>
  <c r="D78" i="35" s="1" a="1"/>
  <c r="C78" i="35"/>
  <c r="A79" i="35"/>
  <c r="B79" i="35"/>
  <c r="D79" i="35" s="1" a="1"/>
  <c r="D79" i="35" s="1"/>
  <c r="C79" i="35"/>
  <c r="A80" i="35"/>
  <c r="B80" i="35"/>
  <c r="D80" i="35" s="1" a="1"/>
  <c r="D80" i="35" s="1"/>
  <c r="C80" i="35"/>
  <c r="A81" i="35"/>
  <c r="B81" i="35"/>
  <c r="D81" i="35" s="1" a="1"/>
  <c r="C81" i="35"/>
  <c r="A82" i="35"/>
  <c r="B82" i="35"/>
  <c r="D82" i="35" s="1" a="1"/>
  <c r="D82" i="35" s="1"/>
  <c r="C82" i="35"/>
  <c r="A83" i="35"/>
  <c r="B83" i="35"/>
  <c r="D83" i="35" s="1" a="1"/>
  <c r="D83" i="35" s="1"/>
  <c r="C83" i="35"/>
  <c r="A84" i="35"/>
  <c r="B84" i="35"/>
  <c r="D84" i="35" s="1" a="1"/>
  <c r="D84" i="35" s="1"/>
  <c r="C84" i="35"/>
  <c r="A85" i="35"/>
  <c r="B85" i="35"/>
  <c r="D85" i="35" s="1" a="1"/>
  <c r="D85" i="35" s="1"/>
  <c r="C85" i="35"/>
  <c r="A86" i="35"/>
  <c r="B86" i="35"/>
  <c r="D86" i="35" s="1" a="1"/>
  <c r="D86" i="35" s="1"/>
  <c r="C86" i="35"/>
  <c r="A87" i="35"/>
  <c r="B87" i="35"/>
  <c r="D87" i="35" s="1" a="1"/>
  <c r="D87" i="35" s="1"/>
  <c r="C87" i="35"/>
  <c r="A88" i="35"/>
  <c r="B88" i="35"/>
  <c r="D88" i="35" s="1" a="1"/>
  <c r="D88" i="35" s="1"/>
  <c r="C88" i="35"/>
  <c r="A89" i="35"/>
  <c r="B89" i="35"/>
  <c r="D89" i="35" s="1" a="1"/>
  <c r="D89" i="35" s="1"/>
  <c r="C89" i="35"/>
  <c r="A90" i="35"/>
  <c r="B90" i="35"/>
  <c r="D90" i="35" s="1" a="1"/>
  <c r="D90" i="35" s="1"/>
  <c r="C90" i="35"/>
  <c r="A91" i="35"/>
  <c r="B91" i="35"/>
  <c r="D91" i="35" s="1" a="1"/>
  <c r="D91" i="35" s="1"/>
  <c r="C91" i="35"/>
  <c r="A92" i="35"/>
  <c r="B92" i="35"/>
  <c r="D92" i="35" s="1" a="1"/>
  <c r="D92" i="35" s="1"/>
  <c r="C92" i="35"/>
  <c r="A93" i="35"/>
  <c r="B93" i="35"/>
  <c r="D93" i="35" s="1" a="1"/>
  <c r="D93" i="35" s="1"/>
  <c r="C93" i="35"/>
  <c r="A94" i="35"/>
  <c r="B94" i="35"/>
  <c r="D94" i="35" s="1" a="1"/>
  <c r="C94" i="35"/>
  <c r="A95" i="35"/>
  <c r="B95" i="35"/>
  <c r="D95" i="35" s="1" a="1"/>
  <c r="D95" i="35" s="1"/>
  <c r="C95" i="35"/>
  <c r="A96" i="35"/>
  <c r="B96" i="35"/>
  <c r="D96" i="35" s="1" a="1"/>
  <c r="D96" i="35" s="1"/>
  <c r="C96" i="35"/>
  <c r="A97" i="35"/>
  <c r="B97" i="35"/>
  <c r="D97" i="35" s="1" a="1"/>
  <c r="C97" i="35"/>
  <c r="A98" i="35"/>
  <c r="B98" i="35"/>
  <c r="D98" i="35" s="1" a="1"/>
  <c r="D98" i="35" s="1"/>
  <c r="C98" i="35"/>
  <c r="A99" i="35"/>
  <c r="B99" i="35"/>
  <c r="D99" i="35" s="1" a="1"/>
  <c r="D99" i="35" s="1"/>
  <c r="C99" i="35"/>
  <c r="A100" i="35"/>
  <c r="B100" i="35"/>
  <c r="D100" i="35" s="1" a="1"/>
  <c r="D100" i="35" s="1"/>
  <c r="C100" i="35"/>
  <c r="A101" i="35"/>
  <c r="B101" i="35"/>
  <c r="D101" i="35" s="1" a="1"/>
  <c r="D101" i="35" s="1"/>
  <c r="C101" i="35"/>
  <c r="A102" i="35"/>
  <c r="B102" i="35"/>
  <c r="D102" i="35" s="1" a="1"/>
  <c r="D102" i="35" s="1"/>
  <c r="C102" i="35"/>
  <c r="A103" i="35"/>
  <c r="B103" i="35"/>
  <c r="D103" i="35" s="1" a="1"/>
  <c r="D103" i="35" s="1"/>
  <c r="C103" i="35"/>
  <c r="A104" i="35"/>
  <c r="B104" i="35"/>
  <c r="D104" i="35" s="1" a="1"/>
  <c r="D104" i="35" s="1"/>
  <c r="C104" i="35"/>
  <c r="A105" i="35"/>
  <c r="B105" i="35"/>
  <c r="D105" i="35" s="1" a="1"/>
  <c r="D105" i="35" s="1"/>
  <c r="C105" i="35"/>
  <c r="A106" i="35"/>
  <c r="B106" i="35"/>
  <c r="D106" i="35" s="1" a="1"/>
  <c r="D106" i="35" s="1"/>
  <c r="C106" i="35"/>
  <c r="A107" i="35"/>
  <c r="B107" i="35"/>
  <c r="D107" i="35" s="1" a="1"/>
  <c r="D107" i="35" s="1"/>
  <c r="C107" i="35"/>
  <c r="A108" i="35"/>
  <c r="B108" i="35"/>
  <c r="D108" i="35" s="1" a="1"/>
  <c r="D108" i="35" s="1"/>
  <c r="C108" i="35"/>
  <c r="A109" i="35"/>
  <c r="B109" i="35"/>
  <c r="D109" i="35" s="1" a="1"/>
  <c r="D109" i="35" s="1"/>
  <c r="C109" i="35"/>
  <c r="A110" i="35"/>
  <c r="B110" i="35"/>
  <c r="D110" i="35" s="1" a="1"/>
  <c r="D110" i="35" s="1"/>
  <c r="C110" i="35"/>
  <c r="A111" i="35"/>
  <c r="B111" i="35"/>
  <c r="D111" i="35" s="1" a="1"/>
  <c r="D111" i="35" s="1"/>
  <c r="C111" i="35"/>
  <c r="A112" i="35"/>
  <c r="B112" i="35"/>
  <c r="D112" i="35" s="1" a="1"/>
  <c r="D112" i="35" s="1"/>
  <c r="C112" i="35"/>
  <c r="A113" i="35"/>
  <c r="B113" i="35"/>
  <c r="D113" i="35" s="1" a="1"/>
  <c r="C113" i="35"/>
  <c r="A114" i="35"/>
  <c r="B114" i="35"/>
  <c r="D114" i="35" s="1" a="1"/>
  <c r="D114" i="35" s="1"/>
  <c r="C114" i="35"/>
  <c r="A115" i="35"/>
  <c r="B115" i="35"/>
  <c r="D115" i="35" s="1" a="1"/>
  <c r="C115" i="35"/>
  <c r="A116" i="35"/>
  <c r="B116" i="35"/>
  <c r="D116" i="35" s="1" a="1"/>
  <c r="D116" i="35" s="1"/>
  <c r="C116" i="35"/>
  <c r="A117" i="35"/>
  <c r="B117" i="35"/>
  <c r="D117" i="35" s="1" a="1"/>
  <c r="D117" i="35" s="1"/>
  <c r="C117" i="35"/>
  <c r="A118" i="35"/>
  <c r="B118" i="35"/>
  <c r="D118" i="35" s="1" a="1"/>
  <c r="D118" i="35" s="1"/>
  <c r="C118" i="35"/>
  <c r="A119" i="35"/>
  <c r="B119" i="35"/>
  <c r="D119" i="35" s="1" a="1"/>
  <c r="D119" i="35" s="1"/>
  <c r="C119" i="35"/>
  <c r="A120" i="35"/>
  <c r="B120" i="35"/>
  <c r="D120" i="35" s="1" a="1"/>
  <c r="D120" i="35" s="1"/>
  <c r="C120" i="35"/>
  <c r="A121" i="35"/>
  <c r="B121" i="35"/>
  <c r="D121" i="35" s="1" a="1"/>
  <c r="D121" i="35" s="1"/>
  <c r="C121" i="35"/>
  <c r="A122" i="35"/>
  <c r="B122" i="35"/>
  <c r="D122" i="35" s="1" a="1"/>
  <c r="D122" i="35" s="1"/>
  <c r="C122" i="35"/>
  <c r="A123" i="35"/>
  <c r="B123" i="35"/>
  <c r="D123" i="35" s="1" a="1"/>
  <c r="D123" i="35" s="1"/>
  <c r="C123" i="35"/>
  <c r="A124" i="35"/>
  <c r="B124" i="35"/>
  <c r="D124" i="35" s="1" a="1"/>
  <c r="D124" i="35" s="1"/>
  <c r="C124" i="35"/>
  <c r="A125" i="35"/>
  <c r="B125" i="35"/>
  <c r="D125" i="35" s="1" a="1"/>
  <c r="D125" i="35" s="1"/>
  <c r="C125" i="35"/>
  <c r="A126" i="35"/>
  <c r="B126" i="35"/>
  <c r="D126" i="35" s="1" a="1"/>
  <c r="D126" i="35" s="1"/>
  <c r="C126" i="35"/>
  <c r="A127" i="35"/>
  <c r="B127" i="35"/>
  <c r="D127" i="35" s="1" a="1"/>
  <c r="D127" i="35" s="1"/>
  <c r="C127" i="35"/>
  <c r="A128" i="35"/>
  <c r="B128" i="35"/>
  <c r="D128" i="35" s="1" a="1"/>
  <c r="D128" i="35" s="1"/>
  <c r="C128" i="35"/>
  <c r="A129" i="35"/>
  <c r="B129" i="35"/>
  <c r="D129" i="35" s="1" a="1"/>
  <c r="C129" i="35"/>
  <c r="A130" i="35"/>
  <c r="B130" i="35"/>
  <c r="D130" i="35" s="1" a="1"/>
  <c r="D130" i="35" s="1"/>
  <c r="C130" i="35"/>
  <c r="A131" i="35"/>
  <c r="B131" i="35"/>
  <c r="D131" i="35" s="1" a="1"/>
  <c r="C131" i="35"/>
  <c r="A132" i="35"/>
  <c r="B132" i="35"/>
  <c r="D132" i="35" s="1" a="1"/>
  <c r="D132" i="35" s="1"/>
  <c r="C132" i="35"/>
  <c r="A133" i="35"/>
  <c r="B133" i="35"/>
  <c r="D133" i="35" s="1" a="1"/>
  <c r="D133" i="35" s="1"/>
  <c r="C133" i="35"/>
  <c r="A134" i="35"/>
  <c r="B134" i="35"/>
  <c r="D134" i="35" s="1" a="1"/>
  <c r="D134" i="35" s="1"/>
  <c r="C134" i="35"/>
  <c r="A135" i="35"/>
  <c r="B135" i="35"/>
  <c r="D135" i="35" s="1" a="1"/>
  <c r="D135" i="35" s="1"/>
  <c r="C135" i="35"/>
  <c r="A136" i="35"/>
  <c r="B136" i="35"/>
  <c r="D136" i="35" s="1" a="1"/>
  <c r="D136" i="35" s="1"/>
  <c r="C136" i="35"/>
  <c r="A137" i="35"/>
  <c r="B137" i="35"/>
  <c r="D137" i="35" s="1" a="1"/>
  <c r="D137" i="35" s="1"/>
  <c r="C137" i="35"/>
  <c r="A138" i="35"/>
  <c r="B138" i="35"/>
  <c r="D138" i="35" s="1" a="1"/>
  <c r="D138" i="35" s="1"/>
  <c r="C138" i="35"/>
  <c r="A139" i="35"/>
  <c r="B139" i="35"/>
  <c r="D139" i="35" s="1" a="1"/>
  <c r="D139" i="35" s="1"/>
  <c r="C139" i="35"/>
  <c r="A140" i="35"/>
  <c r="B140" i="35"/>
  <c r="D140" i="35" s="1" a="1"/>
  <c r="D140" i="35" s="1"/>
  <c r="C140" i="35"/>
  <c r="A141" i="35"/>
  <c r="B141" i="35"/>
  <c r="D141" i="35" s="1" a="1"/>
  <c r="D141" i="35" s="1"/>
  <c r="C141" i="35"/>
  <c r="A142" i="35"/>
  <c r="B142" i="35"/>
  <c r="D142" i="35" s="1" a="1"/>
  <c r="D142" i="35" s="1"/>
  <c r="C142" i="35"/>
  <c r="A143" i="35"/>
  <c r="B143" i="35"/>
  <c r="D143" i="35" s="1" a="1"/>
  <c r="D143" i="35" s="1"/>
  <c r="C143" i="35"/>
  <c r="A144" i="35"/>
  <c r="B144" i="35"/>
  <c r="D144" i="35" s="1" a="1"/>
  <c r="D144" i="35" s="1"/>
  <c r="C144" i="35"/>
  <c r="A145" i="35"/>
  <c r="B145" i="35"/>
  <c r="D145" i="35" s="1" a="1"/>
  <c r="C145" i="35"/>
  <c r="A146" i="35"/>
  <c r="B146" i="35"/>
  <c r="D146" i="35" s="1" a="1"/>
  <c r="D146" i="35" s="1"/>
  <c r="C146" i="35"/>
  <c r="A147" i="35"/>
  <c r="B147" i="35"/>
  <c r="D147" i="35" s="1" a="1"/>
  <c r="C147" i="35"/>
  <c r="A148" i="35"/>
  <c r="B148" i="35"/>
  <c r="D148" i="35" s="1" a="1"/>
  <c r="D148" i="35" s="1"/>
  <c r="C148" i="35"/>
  <c r="A149" i="35"/>
  <c r="B149" i="35"/>
  <c r="D149" i="35" s="1" a="1"/>
  <c r="D149" i="35" s="1"/>
  <c r="C149" i="35"/>
  <c r="A150" i="35"/>
  <c r="B150" i="35"/>
  <c r="D150" i="35" s="1" a="1"/>
  <c r="D150" i="35" s="1"/>
  <c r="C150" i="35"/>
  <c r="A151" i="35"/>
  <c r="B151" i="35"/>
  <c r="D151" i="35" s="1" a="1"/>
  <c r="D151" i="35" s="1"/>
  <c r="C151" i="35"/>
  <c r="A152" i="35"/>
  <c r="B152" i="35"/>
  <c r="D152" i="35" s="1" a="1"/>
  <c r="D152" i="35" s="1"/>
  <c r="C152" i="35"/>
  <c r="A153" i="35"/>
  <c r="B153" i="35"/>
  <c r="D153" i="35" s="1" a="1"/>
  <c r="D153" i="35" s="1"/>
  <c r="C153" i="35"/>
  <c r="A154" i="35"/>
  <c r="B154" i="35"/>
  <c r="D154" i="35" s="1" a="1"/>
  <c r="D154" i="35" s="1"/>
  <c r="C154" i="35"/>
  <c r="A155" i="35"/>
  <c r="B155" i="35"/>
  <c r="D155" i="35" s="1" a="1"/>
  <c r="D155" i="35" s="1"/>
  <c r="C155" i="35"/>
  <c r="A156" i="35"/>
  <c r="B156" i="35"/>
  <c r="D156" i="35" s="1" a="1"/>
  <c r="C156" i="35"/>
  <c r="A157" i="35"/>
  <c r="B157" i="35"/>
  <c r="D157" i="35" s="1" a="1"/>
  <c r="D157" i="35" s="1"/>
  <c r="C157" i="35"/>
  <c r="A158" i="35"/>
  <c r="B158" i="35"/>
  <c r="D158" i="35" s="1" a="1"/>
  <c r="D158" i="35" s="1"/>
  <c r="C158" i="35"/>
  <c r="A159" i="35"/>
  <c r="B159" i="35"/>
  <c r="D159" i="35" s="1" a="1"/>
  <c r="D159" i="35" s="1"/>
  <c r="C159" i="35"/>
  <c r="A160" i="35"/>
  <c r="B160" i="35"/>
  <c r="D160" i="35" s="1" a="1"/>
  <c r="D160" i="35" s="1"/>
  <c r="C160" i="35"/>
  <c r="A161" i="35"/>
  <c r="B161" i="35"/>
  <c r="D161" i="35" s="1" a="1"/>
  <c r="C161" i="35"/>
  <c r="A162" i="35"/>
  <c r="B162" i="35"/>
  <c r="D162" i="35" s="1" a="1"/>
  <c r="D162" i="35" s="1"/>
  <c r="C162" i="35"/>
  <c r="A163" i="35"/>
  <c r="B163" i="35"/>
  <c r="D163" i="35" s="1" a="1"/>
  <c r="D163" i="35" s="1"/>
  <c r="C163" i="35"/>
  <c r="A164" i="35"/>
  <c r="B164" i="35"/>
  <c r="D164" i="35" s="1" a="1"/>
  <c r="D164" i="35" s="1"/>
  <c r="C164" i="35"/>
  <c r="A165" i="35"/>
  <c r="B165" i="35"/>
  <c r="D165" i="35" s="1" a="1"/>
  <c r="D165" i="35" s="1"/>
  <c r="C165" i="35"/>
  <c r="A166" i="35"/>
  <c r="B166" i="35"/>
  <c r="D166" i="35" s="1" a="1"/>
  <c r="D166" i="35" s="1"/>
  <c r="C166" i="35"/>
  <c r="A167" i="35"/>
  <c r="B167" i="35"/>
  <c r="D167" i="35" s="1" a="1"/>
  <c r="D167" i="35" s="1"/>
  <c r="C167" i="35"/>
  <c r="A168" i="35"/>
  <c r="B168" i="35"/>
  <c r="D168" i="35" s="1" a="1"/>
  <c r="D168" i="35" s="1"/>
  <c r="C168" i="35"/>
  <c r="A169" i="35"/>
  <c r="B169" i="35"/>
  <c r="D169" i="35" s="1" a="1"/>
  <c r="D169" i="35" s="1"/>
  <c r="C169" i="35"/>
  <c r="A170" i="35"/>
  <c r="B170" i="35"/>
  <c r="D170" i="35" s="1" a="1"/>
  <c r="D170" i="35" s="1"/>
  <c r="C170" i="35"/>
  <c r="A171" i="35"/>
  <c r="B171" i="35"/>
  <c r="D171" i="35" s="1" a="1"/>
  <c r="D171" i="35" s="1"/>
  <c r="C171" i="35"/>
  <c r="A172" i="35"/>
  <c r="B172" i="35"/>
  <c r="D172" i="35" s="1" a="1"/>
  <c r="C172" i="35"/>
  <c r="A173" i="35"/>
  <c r="B173" i="35"/>
  <c r="D173" i="35" s="1" a="1"/>
  <c r="D173" i="35" s="1"/>
  <c r="C173" i="35"/>
  <c r="A174" i="35"/>
  <c r="B174" i="35"/>
  <c r="D174" i="35" s="1" a="1"/>
  <c r="D174" i="35" s="1"/>
  <c r="C174" i="35"/>
  <c r="A175" i="35"/>
  <c r="B175" i="35"/>
  <c r="D175" i="35" s="1" a="1"/>
  <c r="D175" i="35" s="1"/>
  <c r="C175" i="35"/>
  <c r="A176" i="35"/>
  <c r="B176" i="35"/>
  <c r="D176" i="35" s="1" a="1"/>
  <c r="D176" i="35" s="1"/>
  <c r="C176" i="35"/>
  <c r="A177" i="35"/>
  <c r="B177" i="35"/>
  <c r="D177" i="35" s="1" a="1"/>
  <c r="D177" i="35" s="1"/>
  <c r="C177" i="35"/>
  <c r="A178" i="35"/>
  <c r="B178" i="35"/>
  <c r="D178" i="35" s="1" a="1"/>
  <c r="D178" i="35" s="1"/>
  <c r="C178" i="35"/>
  <c r="A179" i="35"/>
  <c r="B179" i="35"/>
  <c r="D179" i="35" s="1" a="1"/>
  <c r="D179" i="35" s="1"/>
  <c r="C179" i="35"/>
  <c r="A180" i="35"/>
  <c r="B180" i="35"/>
  <c r="D180" i="35" s="1" a="1"/>
  <c r="D180" i="35" s="1"/>
  <c r="C180" i="35"/>
  <c r="A181" i="35"/>
  <c r="B181" i="35"/>
  <c r="D181" i="35" s="1" a="1"/>
  <c r="D181" i="35" s="1"/>
  <c r="C181" i="35"/>
  <c r="A182" i="35"/>
  <c r="B182" i="35"/>
  <c r="D182" i="35" s="1" a="1"/>
  <c r="D182" i="35" s="1"/>
  <c r="C182" i="35"/>
  <c r="A183" i="35"/>
  <c r="B183" i="35"/>
  <c r="D183" i="35" s="1" a="1"/>
  <c r="D183" i="35" s="1"/>
  <c r="C183" i="35"/>
  <c r="A184" i="35"/>
  <c r="B184" i="35"/>
  <c r="D184" i="35" s="1" a="1"/>
  <c r="D184" i="35" s="1"/>
  <c r="C184" i="35"/>
  <c r="A185" i="35"/>
  <c r="B185" i="35"/>
  <c r="D185" i="35" s="1" a="1"/>
  <c r="D185" i="35" s="1"/>
  <c r="C185" i="35"/>
  <c r="A186" i="35"/>
  <c r="B186" i="35"/>
  <c r="D186" i="35" s="1" a="1"/>
  <c r="D186" i="35" s="1"/>
  <c r="C186" i="35"/>
  <c r="A187" i="35"/>
  <c r="B187" i="35"/>
  <c r="D187" i="35" s="1" a="1"/>
  <c r="D187" i="35" s="1"/>
  <c r="C187" i="35"/>
  <c r="A188" i="35"/>
  <c r="B188" i="35"/>
  <c r="D188" i="35" s="1" a="1"/>
  <c r="C188" i="35"/>
  <c r="A189" i="35"/>
  <c r="B189" i="35"/>
  <c r="D189" i="35" s="1" a="1"/>
  <c r="D189" i="35" s="1"/>
  <c r="C189" i="35"/>
  <c r="A190" i="35"/>
  <c r="B190" i="35"/>
  <c r="D190" i="35" s="1" a="1"/>
  <c r="D190" i="35" s="1"/>
  <c r="C190" i="35"/>
  <c r="A191" i="35"/>
  <c r="B191" i="35"/>
  <c r="D191" i="35" s="1" a="1"/>
  <c r="D191" i="35" s="1"/>
  <c r="C191" i="35"/>
  <c r="A192" i="35"/>
  <c r="B192" i="35"/>
  <c r="D192" i="35" s="1" a="1"/>
  <c r="D192" i="35" s="1"/>
  <c r="C192" i="35"/>
  <c r="A193" i="35"/>
  <c r="B193" i="35"/>
  <c r="D193" i="35" s="1" a="1"/>
  <c r="D193" i="35" s="1"/>
  <c r="C193" i="35"/>
  <c r="A194" i="35"/>
  <c r="B194" i="35"/>
  <c r="D194" i="35" s="1" a="1"/>
  <c r="D194" i="35" s="1"/>
  <c r="C194" i="35"/>
  <c r="A195" i="35"/>
  <c r="B195" i="35"/>
  <c r="D195" i="35" s="1" a="1"/>
  <c r="D195" i="35" s="1"/>
  <c r="C195" i="35"/>
  <c r="A196" i="35"/>
  <c r="B196" i="35"/>
  <c r="D196" i="35" s="1" a="1"/>
  <c r="D196" i="35" s="1"/>
  <c r="C196" i="35"/>
  <c r="A197" i="35"/>
  <c r="B197" i="35"/>
  <c r="D197" i="35" s="1" a="1"/>
  <c r="D197" i="35" s="1"/>
  <c r="C197" i="35"/>
  <c r="A198" i="35"/>
  <c r="B198" i="35"/>
  <c r="D198" i="35" s="1" a="1"/>
  <c r="D198" i="35" s="1"/>
  <c r="C198" i="35"/>
  <c r="A199" i="35"/>
  <c r="B199" i="35"/>
  <c r="D199" i="35" s="1" a="1"/>
  <c r="D199" i="35" s="1"/>
  <c r="C199" i="35"/>
  <c r="A200" i="35"/>
  <c r="B200" i="35"/>
  <c r="D200" i="35" s="1" a="1"/>
  <c r="D200" i="35" s="1"/>
  <c r="C200" i="35"/>
  <c r="A201" i="35"/>
  <c r="B201" i="35"/>
  <c r="D201" i="35" s="1" a="1"/>
  <c r="D201" i="35" s="1"/>
  <c r="C201" i="35"/>
  <c r="A202" i="35"/>
  <c r="B202" i="35"/>
  <c r="D202" i="35" s="1" a="1"/>
  <c r="D202" i="35" s="1"/>
  <c r="C202" i="35"/>
  <c r="A203" i="35"/>
  <c r="B203" i="35"/>
  <c r="D203" i="35" s="1" a="1"/>
  <c r="D203" i="35" s="1"/>
  <c r="C203" i="35"/>
  <c r="A204" i="35"/>
  <c r="B204" i="35"/>
  <c r="D204" i="35" s="1" a="1"/>
  <c r="C204" i="35"/>
  <c r="A205" i="35"/>
  <c r="B205" i="35"/>
  <c r="D205" i="35" s="1" a="1"/>
  <c r="D205" i="35" s="1"/>
  <c r="C205" i="35"/>
  <c r="A206" i="35"/>
  <c r="B206" i="35"/>
  <c r="D206" i="35" s="1" a="1"/>
  <c r="D206" i="35" s="1"/>
  <c r="C206" i="35"/>
  <c r="A207" i="35"/>
  <c r="B207" i="35"/>
  <c r="D207" i="35" s="1" a="1"/>
  <c r="D207" i="35" s="1"/>
  <c r="C207" i="35"/>
  <c r="A208" i="35"/>
  <c r="B208" i="35"/>
  <c r="D208" i="35" s="1" a="1"/>
  <c r="C208" i="35"/>
  <c r="A209" i="35"/>
  <c r="B209" i="35"/>
  <c r="D209" i="35" s="1" a="1"/>
  <c r="D209" i="35" s="1"/>
  <c r="C209" i="35"/>
  <c r="A210" i="35"/>
  <c r="B210" i="35"/>
  <c r="D210" i="35" s="1" a="1"/>
  <c r="D210" i="35" s="1"/>
  <c r="C210" i="35"/>
  <c r="A211" i="35"/>
  <c r="B211" i="35"/>
  <c r="D211" i="35" s="1" a="1"/>
  <c r="D211" i="35" s="1"/>
  <c r="C211" i="35"/>
  <c r="A212" i="35"/>
  <c r="B212" i="35"/>
  <c r="D212" i="35" s="1" a="1"/>
  <c r="D212" i="35" s="1"/>
  <c r="C212" i="35"/>
  <c r="A213" i="35"/>
  <c r="B213" i="35"/>
  <c r="D213" i="35" s="1" a="1"/>
  <c r="D213" i="35" s="1"/>
  <c r="C213" i="35"/>
  <c r="A214" i="35"/>
  <c r="B214" i="35"/>
  <c r="D214" i="35" s="1" a="1"/>
  <c r="D214" i="35" s="1"/>
  <c r="C214" i="35"/>
  <c r="A215" i="35"/>
  <c r="B215" i="35"/>
  <c r="D215" i="35" s="1" a="1"/>
  <c r="D215" i="35" s="1"/>
  <c r="C215" i="35"/>
  <c r="A216" i="35"/>
  <c r="B216" i="35"/>
  <c r="D216" i="35" s="1" a="1"/>
  <c r="D216" i="35" s="1"/>
  <c r="C216" i="35"/>
  <c r="A217" i="35"/>
  <c r="B217" i="35"/>
  <c r="D217" i="35" s="1" a="1"/>
  <c r="D217" i="35" s="1"/>
  <c r="C217" i="35"/>
  <c r="A218" i="35"/>
  <c r="B218" i="35"/>
  <c r="D218" i="35" s="1" a="1"/>
  <c r="D218" i="35" s="1"/>
  <c r="C218" i="35"/>
  <c r="A219" i="35"/>
  <c r="B219" i="35"/>
  <c r="D219" i="35" s="1" a="1"/>
  <c r="D219" i="35" s="1"/>
  <c r="C219" i="35"/>
  <c r="A220" i="35"/>
  <c r="B220" i="35"/>
  <c r="D220" i="35" s="1" a="1"/>
  <c r="C220" i="35"/>
  <c r="A221" i="35"/>
  <c r="B221" i="35"/>
  <c r="D221" i="35" s="1" a="1"/>
  <c r="D221" i="35" s="1"/>
  <c r="C221" i="35"/>
  <c r="A222" i="35"/>
  <c r="B222" i="35"/>
  <c r="D222" i="35" s="1" a="1"/>
  <c r="D222" i="35" s="1"/>
  <c r="C222" i="35"/>
  <c r="A223" i="35"/>
  <c r="B223" i="35"/>
  <c r="D223" i="35" s="1" a="1"/>
  <c r="D223" i="35" s="1"/>
  <c r="C223" i="35"/>
  <c r="A224" i="35"/>
  <c r="B224" i="35"/>
  <c r="D224" i="35" s="1" a="1"/>
  <c r="C224" i="35"/>
  <c r="A225" i="35"/>
  <c r="B225" i="35"/>
  <c r="D225" i="35" s="1" a="1"/>
  <c r="D225" i="35" s="1"/>
  <c r="C225" i="35"/>
  <c r="A226" i="35"/>
  <c r="B226" i="35"/>
  <c r="D226" i="35" s="1" a="1"/>
  <c r="D226" i="35" s="1"/>
  <c r="C226" i="35"/>
  <c r="A227" i="35"/>
  <c r="B227" i="35"/>
  <c r="D227" i="35" s="1" a="1"/>
  <c r="D227" i="35" s="1"/>
  <c r="C227" i="35"/>
  <c r="A228" i="35"/>
  <c r="B228" i="35"/>
  <c r="D228" i="35" s="1" a="1"/>
  <c r="D228" i="35" s="1"/>
  <c r="C228" i="35"/>
  <c r="A229" i="35"/>
  <c r="B229" i="35"/>
  <c r="D229" i="35" s="1" a="1"/>
  <c r="D229" i="35" s="1"/>
  <c r="C229" i="35"/>
  <c r="A230" i="35"/>
  <c r="B230" i="35"/>
  <c r="D230" i="35" s="1" a="1"/>
  <c r="D230" i="35" s="1"/>
  <c r="C230" i="35"/>
  <c r="A231" i="35"/>
  <c r="B231" i="35"/>
  <c r="D231" i="35" s="1" a="1"/>
  <c r="D231" i="35" s="1"/>
  <c r="C231" i="35"/>
  <c r="A232" i="35"/>
  <c r="B232" i="35"/>
  <c r="D232" i="35" s="1" a="1"/>
  <c r="D232" i="35" s="1"/>
  <c r="C232" i="35"/>
  <c r="A233" i="35"/>
  <c r="B233" i="35"/>
  <c r="D233" i="35" s="1" a="1"/>
  <c r="D233" i="35" s="1"/>
  <c r="C233" i="35"/>
  <c r="A234" i="35"/>
  <c r="B234" i="35"/>
  <c r="D234" i="35" s="1" a="1"/>
  <c r="D234" i="35" s="1"/>
  <c r="C234" i="35"/>
  <c r="A235" i="35"/>
  <c r="B235" i="35"/>
  <c r="D235" i="35" s="1" a="1"/>
  <c r="D235" i="35" s="1"/>
  <c r="C235" i="35"/>
  <c r="A236" i="35"/>
  <c r="B236" i="35"/>
  <c r="D236" i="35" s="1" a="1"/>
  <c r="C236" i="35"/>
  <c r="A237" i="35"/>
  <c r="B237" i="35"/>
  <c r="D237" i="35" s="1" a="1"/>
  <c r="D237" i="35" s="1"/>
  <c r="C237" i="35"/>
  <c r="A238" i="35"/>
  <c r="B238" i="35"/>
  <c r="D238" i="35" s="1" a="1"/>
  <c r="D238" i="35" s="1"/>
  <c r="C238" i="35"/>
  <c r="A239" i="35"/>
  <c r="B239" i="35"/>
  <c r="D239" i="35" s="1" a="1"/>
  <c r="D239" i="35" s="1"/>
  <c r="C239" i="35"/>
  <c r="A240" i="35"/>
  <c r="B240" i="35"/>
  <c r="D240" i="35" s="1" a="1"/>
  <c r="C240" i="35"/>
  <c r="A241" i="35"/>
  <c r="B241" i="35"/>
  <c r="D241" i="35" s="1" a="1"/>
  <c r="D241" i="35" s="1"/>
  <c r="C241" i="35"/>
  <c r="A242" i="35"/>
  <c r="B242" i="35"/>
  <c r="D242" i="35" s="1" a="1"/>
  <c r="D242" i="35" s="1"/>
  <c r="C242" i="35"/>
  <c r="A243" i="35"/>
  <c r="B243" i="35"/>
  <c r="D243" i="35" s="1" a="1"/>
  <c r="D243" i="35" s="1"/>
  <c r="C243" i="35"/>
  <c r="A244" i="35"/>
  <c r="B244" i="35"/>
  <c r="D244" i="35" s="1" a="1"/>
  <c r="D244" i="35" s="1"/>
  <c r="C244" i="35"/>
  <c r="A245" i="35"/>
  <c r="B245" i="35"/>
  <c r="D245" i="35" s="1" a="1"/>
  <c r="D245" i="35" s="1"/>
  <c r="C245" i="35"/>
  <c r="A246" i="35"/>
  <c r="B246" i="35"/>
  <c r="D246" i="35" s="1" a="1"/>
  <c r="D246" i="35" s="1"/>
  <c r="C246" i="35"/>
  <c r="A247" i="35"/>
  <c r="B247" i="35"/>
  <c r="D247" i="35" s="1" a="1"/>
  <c r="D247" i="35" s="1"/>
  <c r="C247" i="35"/>
  <c r="A248" i="35"/>
  <c r="B248" i="35"/>
  <c r="D248" i="35" s="1" a="1"/>
  <c r="D248" i="35" s="1"/>
  <c r="C248" i="35"/>
  <c r="A249" i="35"/>
  <c r="B249" i="35"/>
  <c r="D249" i="35" s="1" a="1"/>
  <c r="D249" i="35" s="1"/>
  <c r="C249" i="35"/>
  <c r="A250" i="35"/>
  <c r="B250" i="35"/>
  <c r="D250" i="35" s="1" a="1"/>
  <c r="D250" i="35" s="1"/>
  <c r="C250" i="35"/>
  <c r="A251" i="35"/>
  <c r="B251" i="35"/>
  <c r="D251" i="35" s="1" a="1"/>
  <c r="D251" i="35" s="1"/>
  <c r="C251" i="35"/>
  <c r="A252" i="35"/>
  <c r="B252" i="35"/>
  <c r="D252" i="35" s="1" a="1"/>
  <c r="C252" i="35"/>
  <c r="A253" i="35"/>
  <c r="B253" i="35"/>
  <c r="D253" i="35" s="1" a="1"/>
  <c r="D253" i="35" s="1"/>
  <c r="C253" i="35"/>
  <c r="A254" i="35"/>
  <c r="B254" i="35"/>
  <c r="D254" i="35" s="1" a="1"/>
  <c r="D254" i="35" s="1"/>
  <c r="C254" i="35"/>
  <c r="A255" i="35"/>
  <c r="B255" i="35"/>
  <c r="D255" i="35" s="1" a="1"/>
  <c r="D255" i="35" s="1"/>
  <c r="C255" i="35"/>
  <c r="A256" i="35"/>
  <c r="B256" i="35"/>
  <c r="D256" i="35" s="1" a="1"/>
  <c r="C256" i="35"/>
  <c r="A257" i="35"/>
  <c r="B257" i="35"/>
  <c r="D257" i="35" s="1" a="1"/>
  <c r="C257" i="35"/>
  <c r="A258" i="35"/>
  <c r="B258" i="35"/>
  <c r="D258" i="35" s="1" a="1"/>
  <c r="D258" i="35" s="1"/>
  <c r="C258" i="35"/>
  <c r="A259" i="35"/>
  <c r="B259" i="35"/>
  <c r="D259" i="35" s="1" a="1"/>
  <c r="D259" i="35" s="1"/>
  <c r="C259" i="35"/>
  <c r="A260" i="35"/>
  <c r="B260" i="35"/>
  <c r="D260" i="35" s="1" a="1"/>
  <c r="D260" i="35" s="1"/>
  <c r="C260" i="35"/>
  <c r="A261" i="35"/>
  <c r="B261" i="35"/>
  <c r="D261" i="35" s="1" a="1"/>
  <c r="D261" i="35" s="1"/>
  <c r="C261" i="35"/>
  <c r="A262" i="35"/>
  <c r="B262" i="35"/>
  <c r="D262" i="35" s="1" a="1"/>
  <c r="D262" i="35" s="1"/>
  <c r="C262" i="35"/>
  <c r="A263" i="35"/>
  <c r="B263" i="35"/>
  <c r="D263" i="35" s="1" a="1"/>
  <c r="D263" i="35" s="1"/>
  <c r="C263" i="35"/>
  <c r="A264" i="35"/>
  <c r="B264" i="35"/>
  <c r="D264" i="35" s="1" a="1"/>
  <c r="D264" i="35" s="1"/>
  <c r="C264" i="35"/>
  <c r="A265" i="35"/>
  <c r="B265" i="35"/>
  <c r="D265" i="35" s="1" a="1"/>
  <c r="D265" i="35" s="1"/>
  <c r="C265" i="35"/>
  <c r="A266" i="35"/>
  <c r="B266" i="35"/>
  <c r="D266" i="35" s="1" a="1"/>
  <c r="D266" i="35" s="1"/>
  <c r="C266" i="35"/>
  <c r="A267" i="35"/>
  <c r="B267" i="35"/>
  <c r="D267" i="35" s="1" a="1"/>
  <c r="D267" i="35" s="1"/>
  <c r="C267" i="35"/>
  <c r="A268" i="35"/>
  <c r="B268" i="35"/>
  <c r="D268" i="35" s="1" a="1"/>
  <c r="C268" i="35"/>
  <c r="A269" i="35"/>
  <c r="B269" i="35"/>
  <c r="D269" i="35" s="1" a="1"/>
  <c r="D269" i="35" s="1"/>
  <c r="C269" i="35"/>
  <c r="A270" i="35"/>
  <c r="B270" i="35"/>
  <c r="D270" i="35" s="1" a="1"/>
  <c r="D270" i="35" s="1"/>
  <c r="C270" i="35"/>
  <c r="A271" i="35"/>
  <c r="B271" i="35"/>
  <c r="D271" i="35" s="1" a="1"/>
  <c r="D271" i="35" s="1"/>
  <c r="C271" i="35"/>
  <c r="A272" i="35"/>
  <c r="B272" i="35"/>
  <c r="D272" i="35" s="1" a="1"/>
  <c r="C272" i="35"/>
  <c r="A273" i="35"/>
  <c r="B273" i="35"/>
  <c r="D273" i="35" s="1" a="1"/>
  <c r="C273" i="35"/>
  <c r="A274" i="35"/>
  <c r="B274" i="35"/>
  <c r="D274" i="35" s="1" a="1"/>
  <c r="D274" i="35" s="1"/>
  <c r="C274" i="35"/>
  <c r="A275" i="35"/>
  <c r="B275" i="35"/>
  <c r="D275" i="35" s="1" a="1"/>
  <c r="D275" i="35" s="1"/>
  <c r="C275" i="35"/>
  <c r="A276" i="35"/>
  <c r="B276" i="35"/>
  <c r="D276" i="35" s="1" a="1"/>
  <c r="D276" i="35" s="1"/>
  <c r="C276" i="35"/>
  <c r="A277" i="35"/>
  <c r="B277" i="35"/>
  <c r="D277" i="35" s="1" a="1"/>
  <c r="D277" i="35" s="1"/>
  <c r="C277" i="35"/>
  <c r="A278" i="35"/>
  <c r="B278" i="35"/>
  <c r="D278" i="35" s="1" a="1"/>
  <c r="D278" i="35" s="1"/>
  <c r="C278" i="35"/>
  <c r="A279" i="35"/>
  <c r="B279" i="35"/>
  <c r="D279" i="35" s="1" a="1"/>
  <c r="D279" i="35" s="1"/>
  <c r="C279" i="35"/>
  <c r="A280" i="35"/>
  <c r="B280" i="35"/>
  <c r="D280" i="35" s="1" a="1"/>
  <c r="D280" i="35" s="1"/>
  <c r="C280" i="35"/>
  <c r="A281" i="35"/>
  <c r="B281" i="35"/>
  <c r="D281" i="35" s="1" a="1"/>
  <c r="D281" i="35" s="1"/>
  <c r="C281" i="35"/>
  <c r="A282" i="35"/>
  <c r="B282" i="35"/>
  <c r="D282" i="35" s="1" a="1"/>
  <c r="D282" i="35" s="1"/>
  <c r="C282" i="35"/>
  <c r="A283" i="35"/>
  <c r="B283" i="35"/>
  <c r="D283" i="35" s="1" a="1"/>
  <c r="D283" i="35" s="1"/>
  <c r="C283" i="35"/>
  <c r="A284" i="35"/>
  <c r="B284" i="35"/>
  <c r="D284" i="35" s="1" a="1"/>
  <c r="C284" i="35"/>
  <c r="A285" i="35"/>
  <c r="B285" i="35"/>
  <c r="D285" i="35" s="1" a="1"/>
  <c r="D285" i="35" s="1"/>
  <c r="C285" i="35"/>
  <c r="A286" i="35"/>
  <c r="B286" i="35"/>
  <c r="D286" i="35" s="1" a="1"/>
  <c r="D286" i="35" s="1"/>
  <c r="C286" i="35"/>
  <c r="A287" i="35"/>
  <c r="B287" i="35"/>
  <c r="D287" i="35" s="1" a="1"/>
  <c r="D287" i="35" s="1"/>
  <c r="C287" i="35"/>
  <c r="A288" i="35"/>
  <c r="B288" i="35"/>
  <c r="D288" i="35" s="1" a="1"/>
  <c r="C288" i="35"/>
  <c r="A289" i="35"/>
  <c r="B289" i="35"/>
  <c r="D289" i="35" s="1" a="1"/>
  <c r="C289" i="35"/>
  <c r="A290" i="35"/>
  <c r="B290" i="35"/>
  <c r="D290" i="35" s="1" a="1"/>
  <c r="D290" i="35" s="1"/>
  <c r="C290" i="35"/>
  <c r="A291" i="35"/>
  <c r="B291" i="35"/>
  <c r="D291" i="35" s="1" a="1"/>
  <c r="D291" i="35" s="1"/>
  <c r="C291" i="35"/>
  <c r="A292" i="35"/>
  <c r="B292" i="35"/>
  <c r="D292" i="35" s="1" a="1"/>
  <c r="D292" i="35" s="1"/>
  <c r="C292" i="35"/>
  <c r="A293" i="35"/>
  <c r="B293" i="35"/>
  <c r="D293" i="35" s="1" a="1"/>
  <c r="D293" i="35" s="1"/>
  <c r="C293" i="35"/>
  <c r="A294" i="35"/>
  <c r="B294" i="35"/>
  <c r="D294" i="35" s="1" a="1"/>
  <c r="D294" i="35" s="1"/>
  <c r="C294" i="35"/>
  <c r="A295" i="35"/>
  <c r="B295" i="35"/>
  <c r="D295" i="35" s="1" a="1"/>
  <c r="C295" i="35"/>
  <c r="A296" i="35"/>
  <c r="B296" i="35"/>
  <c r="D296" i="35" s="1" a="1"/>
  <c r="D296" i="35" s="1"/>
  <c r="C296" i="35"/>
  <c r="A297" i="35"/>
  <c r="B297" i="35"/>
  <c r="D297" i="35" s="1" a="1"/>
  <c r="D297" i="35" s="1"/>
  <c r="C297" i="35"/>
  <c r="A298" i="35"/>
  <c r="B298" i="35"/>
  <c r="D298" i="35" s="1" a="1"/>
  <c r="D298" i="35" s="1"/>
  <c r="C298" i="35"/>
  <c r="A299" i="35"/>
  <c r="B299" i="35"/>
  <c r="D299" i="35" s="1" a="1"/>
  <c r="D299" i="35" s="1"/>
  <c r="C299" i="35"/>
  <c r="A300" i="35"/>
  <c r="B300" i="35"/>
  <c r="D300" i="35" s="1" a="1"/>
  <c r="C300" i="35"/>
  <c r="A301" i="35"/>
  <c r="B301" i="35"/>
  <c r="D301" i="35" s="1" a="1"/>
  <c r="D301" i="35" s="1"/>
  <c r="C301" i="35"/>
  <c r="A302" i="35"/>
  <c r="B302" i="35"/>
  <c r="D302" i="35" s="1" a="1"/>
  <c r="D302" i="35" s="1"/>
  <c r="C302" i="35"/>
  <c r="A303" i="35"/>
  <c r="B303" i="35"/>
  <c r="D303" i="35" s="1" a="1"/>
  <c r="D303" i="35" s="1"/>
  <c r="C303" i="35"/>
  <c r="A304" i="35"/>
  <c r="B304" i="35"/>
  <c r="D304" i="35" s="1" a="1"/>
  <c r="C304" i="35"/>
  <c r="A305" i="35"/>
  <c r="B305" i="35"/>
  <c r="D305" i="35" s="1" a="1"/>
  <c r="C305" i="35"/>
  <c r="A10" i="35"/>
  <c r="B10" i="35"/>
  <c r="D10" i="35" s="1" a="1"/>
  <c r="D10" i="35" s="1"/>
  <c r="C10" i="35"/>
  <c r="A11" i="35"/>
  <c r="B11" i="35"/>
  <c r="D11" i="35" s="1" a="1"/>
  <c r="D11" i="35" s="1"/>
  <c r="C11" i="35"/>
  <c r="A12" i="35"/>
  <c r="B12" i="35"/>
  <c r="D12" i="35" s="1" a="1"/>
  <c r="D12" i="35" s="1"/>
  <c r="C12" i="35"/>
  <c r="A13" i="35"/>
  <c r="B13" i="35"/>
  <c r="D13" i="35" s="1" a="1"/>
  <c r="D13" i="35" s="1"/>
  <c r="C13" i="35"/>
  <c r="A14" i="35"/>
  <c r="B14" i="35"/>
  <c r="D14" i="35" s="1" a="1"/>
  <c r="D14" i="35" s="1"/>
  <c r="C14" i="35"/>
  <c r="A15" i="35"/>
  <c r="B15" i="35"/>
  <c r="D15" i="35" s="1" a="1"/>
  <c r="D15" i="35" s="1"/>
  <c r="C15" i="35"/>
  <c r="A16" i="35"/>
  <c r="B16" i="35"/>
  <c r="D16" i="35" s="1" a="1"/>
  <c r="D16" i="35" s="1"/>
  <c r="C16" i="35"/>
  <c r="A17" i="35"/>
  <c r="B17" i="35"/>
  <c r="D17" i="35" s="1" a="1"/>
  <c r="D17" i="35" s="1"/>
  <c r="C17" i="35"/>
  <c r="C9" i="35"/>
  <c r="B9" i="35"/>
  <c r="D9" i="35" s="1" a="1"/>
  <c r="D9" i="35" s="1"/>
  <c r="A9" i="35"/>
  <c r="F41" i="9"/>
  <c r="F42" i="9"/>
  <c r="V119" i="8" a="1"/>
  <c r="V119" i="8" s="1"/>
  <c r="V120" i="8" a="1"/>
  <c r="V120" i="8" s="1"/>
  <c r="V121" i="8" a="1"/>
  <c r="V121" i="8" s="1"/>
  <c r="V122" i="8" a="1"/>
  <c r="V122" i="8" s="1"/>
  <c r="V123" i="8" a="1"/>
  <c r="V123" i="8" s="1"/>
  <c r="V124" i="8" a="1"/>
  <c r="V124" i="8" s="1"/>
  <c r="V125" i="8" a="1"/>
  <c r="V125" i="8" s="1"/>
  <c r="V126" i="8" a="1"/>
  <c r="V126" i="8" s="1"/>
  <c r="V127" i="8" a="1"/>
  <c r="V127" i="8" s="1"/>
  <c r="V128" i="8" a="1"/>
  <c r="V128" i="8" s="1"/>
  <c r="V129" i="8" a="1"/>
  <c r="V129" i="8" s="1"/>
  <c r="V130" i="8" a="1"/>
  <c r="V130" i="8" s="1"/>
  <c r="V131" i="8" a="1"/>
  <c r="V131" i="8" s="1"/>
  <c r="V132" i="8" a="1"/>
  <c r="V132" i="8" s="1"/>
  <c r="V133" i="8" a="1"/>
  <c r="V133" i="8" s="1"/>
  <c r="V134" i="8" a="1"/>
  <c r="V134" i="8" s="1"/>
  <c r="V135" i="8" a="1"/>
  <c r="V135" i="8" s="1"/>
  <c r="V136" i="8" a="1"/>
  <c r="V136" i="8" s="1"/>
  <c r="V137" i="8" a="1"/>
  <c r="V137" i="8" s="1"/>
  <c r="V138" i="8" a="1"/>
  <c r="V138" i="8" s="1"/>
  <c r="V139" i="8" a="1"/>
  <c r="V139" i="8" s="1"/>
  <c r="V140" i="8" a="1"/>
  <c r="V140" i="8" s="1"/>
  <c r="V141" i="8" a="1"/>
  <c r="V141" i="8" s="1"/>
  <c r="V142" i="8" a="1"/>
  <c r="V142" i="8" s="1"/>
  <c r="V143" i="8" a="1"/>
  <c r="V143" i="8" s="1"/>
  <c r="V144" i="8" a="1"/>
  <c r="V144" i="8" s="1"/>
  <c r="V145" i="8" a="1"/>
  <c r="V145" i="8" s="1"/>
  <c r="V146" i="8" a="1"/>
  <c r="V146" i="8" s="1"/>
  <c r="V147" i="8" a="1"/>
  <c r="V147" i="8" s="1"/>
  <c r="V148" i="8" a="1"/>
  <c r="V148" i="8" s="1"/>
  <c r="V149" i="8" a="1"/>
  <c r="V149" i="8" s="1"/>
  <c r="V150" i="8" a="1"/>
  <c r="V150" i="8" s="1"/>
  <c r="V151" i="8" a="1"/>
  <c r="V151" i="8" s="1"/>
  <c r="V152" i="8" a="1"/>
  <c r="V152" i="8" s="1"/>
  <c r="J9" i="35" l="1" a="1"/>
  <c r="J9" i="35" s="1"/>
  <c r="J263" i="35" a="1"/>
  <c r="J263" i="35" s="1"/>
  <c r="J109" i="35" a="1"/>
  <c r="J109" i="35" s="1"/>
  <c r="J231" i="35" a="1"/>
  <c r="J231" i="35" s="1"/>
  <c r="J253" i="35" a="1"/>
  <c r="J253" i="35" s="1"/>
  <c r="J237" i="35" a="1"/>
  <c r="J237" i="35" s="1"/>
  <c r="J260" i="35" a="1"/>
  <c r="J260" i="35" s="1"/>
  <c r="J254" i="35" a="1"/>
  <c r="J254" i="35" s="1"/>
  <c r="J121" i="35" a="1"/>
  <c r="J121" i="35" s="1"/>
  <c r="J294" i="35" a="1"/>
  <c r="J294" i="35" s="1"/>
  <c r="J301" i="35" a="1"/>
  <c r="J301" i="35" s="1"/>
  <c r="J276" i="35" a="1"/>
  <c r="J276" i="35" s="1"/>
  <c r="J201" i="35" a="1"/>
  <c r="J201" i="35" s="1"/>
  <c r="J290" i="35" a="1"/>
  <c r="J290" i="35" s="1"/>
  <c r="J285" i="35" a="1"/>
  <c r="J285" i="35" s="1"/>
  <c r="J259" i="35" a="1"/>
  <c r="J259" i="35" s="1"/>
  <c r="J164" i="35" a="1"/>
  <c r="J164" i="35" s="1"/>
  <c r="J227" i="35" a="1"/>
  <c r="J227" i="35" s="1"/>
  <c r="J142" i="35" a="1"/>
  <c r="J142" i="35" s="1"/>
  <c r="J183" i="35" a="1"/>
  <c r="J183" i="35" s="1"/>
  <c r="J225" i="35" a="1"/>
  <c r="J225" i="35" s="1"/>
  <c r="J230" i="35" a="1"/>
  <c r="J230" i="35" s="1"/>
  <c r="J261" i="35" a="1"/>
  <c r="J261" i="35" s="1"/>
  <c r="J112" i="35" a="1"/>
  <c r="J112" i="35" s="1"/>
  <c r="J251" i="35" a="1"/>
  <c r="J251" i="35" s="1"/>
  <c r="J132" i="35" a="1"/>
  <c r="J132" i="35" s="1"/>
  <c r="J122" i="35" a="1"/>
  <c r="J122" i="35" s="1"/>
  <c r="J163" i="35" a="1"/>
  <c r="J163" i="35" s="1"/>
  <c r="J241" i="35" a="1"/>
  <c r="J241" i="35" s="1"/>
  <c r="J245" i="35" a="1"/>
  <c r="J245" i="35" s="1"/>
  <c r="J250" i="35" a="1"/>
  <c r="J250" i="35" s="1"/>
  <c r="J198" i="35" a="1"/>
  <c r="J198" i="35" s="1"/>
  <c r="J157" i="35" a="1"/>
  <c r="J157" i="35" s="1"/>
  <c r="J244" i="35" a="1"/>
  <c r="J244" i="35" s="1"/>
  <c r="J182" i="35" a="1"/>
  <c r="J182" i="35" s="1"/>
  <c r="J177" i="35" a="1"/>
  <c r="J177" i="35" s="1"/>
  <c r="J110" i="35" a="1"/>
  <c r="J110" i="35" s="1"/>
  <c r="J270" i="35" a="1"/>
  <c r="J270" i="35" s="1"/>
  <c r="J246" i="35" a="1"/>
  <c r="J246" i="35" s="1"/>
  <c r="J264" i="35" a="1"/>
  <c r="J264" i="35" s="1"/>
  <c r="J269" i="35" a="1"/>
  <c r="J269" i="35" s="1"/>
  <c r="J191" i="35" a="1"/>
  <c r="J191" i="35" s="1"/>
  <c r="J181" i="35" a="1"/>
  <c r="J181" i="35" s="1"/>
  <c r="J119" i="35" a="1"/>
  <c r="J119" i="35" s="1"/>
  <c r="J274" i="35" a="1"/>
  <c r="J274" i="35" s="1"/>
  <c r="J196" i="35" a="1"/>
  <c r="J196" i="35" s="1"/>
  <c r="J134" i="35" a="1"/>
  <c r="J134" i="35" s="1"/>
  <c r="J139" i="35" a="1"/>
  <c r="J139" i="35" s="1"/>
  <c r="J189" i="35" a="1"/>
  <c r="J189" i="35" s="1"/>
  <c r="J293" i="35" a="1"/>
  <c r="J293" i="35" s="1"/>
  <c r="J283" i="35" a="1"/>
  <c r="J283" i="35" s="1"/>
  <c r="J278" i="35" a="1"/>
  <c r="J278" i="35" s="1"/>
  <c r="J211" i="35" a="1"/>
  <c r="J211" i="35" s="1"/>
  <c r="J206" i="35" a="1"/>
  <c r="J206" i="35" s="1"/>
  <c r="J168" i="35" a="1"/>
  <c r="J168" i="35" s="1"/>
  <c r="J149" i="35" a="1"/>
  <c r="J149" i="35" s="1"/>
  <c r="J130" i="35" a="1"/>
  <c r="J130" i="35" s="1"/>
  <c r="J249" i="35" a="1"/>
  <c r="J249" i="35" s="1"/>
  <c r="J158" i="35" a="1"/>
  <c r="J158" i="35" s="1"/>
  <c r="J144" i="35" a="1"/>
  <c r="J144" i="35" s="1"/>
  <c r="J120" i="35" a="1"/>
  <c r="J120" i="35" s="1"/>
  <c r="J215" i="35" a="1"/>
  <c r="J215" i="35" s="1"/>
  <c r="J153" i="35" a="1"/>
  <c r="J153" i="35" s="1"/>
  <c r="J292" i="35" a="1"/>
  <c r="J292" i="35" s="1"/>
  <c r="J287" i="35" a="1"/>
  <c r="J287" i="35" s="1"/>
  <c r="J243" i="35" a="1"/>
  <c r="J243" i="35" s="1"/>
  <c r="J210" i="35" a="1"/>
  <c r="J210" i="35" s="1"/>
  <c r="J205" i="35" a="1"/>
  <c r="J205" i="35" s="1"/>
  <c r="J186" i="35" a="1"/>
  <c r="J186" i="35" s="1"/>
  <c r="J167" i="35" a="1"/>
  <c r="J167" i="35" s="1"/>
  <c r="J162" i="35" a="1"/>
  <c r="J162" i="35" s="1"/>
  <c r="J148" i="35" a="1"/>
  <c r="J148" i="35" s="1"/>
  <c r="J124" i="35" a="1"/>
  <c r="J124" i="35" s="1"/>
  <c r="J214" i="35" a="1"/>
  <c r="J214" i="35" s="1"/>
  <c r="J133" i="35" a="1"/>
  <c r="J133" i="35" s="1"/>
  <c r="J229" i="35" a="1"/>
  <c r="J229" i="35" s="1"/>
  <c r="J219" i="35" a="1"/>
  <c r="J219" i="35" s="1"/>
  <c r="J195" i="35" a="1"/>
  <c r="J195" i="35" s="1"/>
  <c r="J138" i="35" a="1"/>
  <c r="J138" i="35" s="1"/>
  <c r="J233" i="35" a="1"/>
  <c r="J233" i="35" s="1"/>
  <c r="J209" i="35" a="1"/>
  <c r="J209" i="35" s="1"/>
  <c r="J171" i="35" a="1"/>
  <c r="J171" i="35" s="1"/>
  <c r="J166" i="35" a="1"/>
  <c r="J166" i="35" s="1"/>
  <c r="J152" i="35" a="1"/>
  <c r="J152" i="35" s="1"/>
  <c r="J277" i="35" a="1"/>
  <c r="J277" i="35" s="1"/>
  <c r="J238" i="35" a="1"/>
  <c r="J238" i="35" s="1"/>
  <c r="J190" i="35" a="1"/>
  <c r="J190" i="35" s="1"/>
  <c r="J143" i="35" a="1"/>
  <c r="J143" i="35" s="1"/>
  <c r="J296" i="35" a="1"/>
  <c r="J296" i="35" s="1"/>
  <c r="J291" i="35" a="1"/>
  <c r="J291" i="35" s="1"/>
  <c r="J286" i="35" a="1"/>
  <c r="J286" i="35" s="1"/>
  <c r="J281" i="35" a="1"/>
  <c r="J281" i="35" s="1"/>
  <c r="J262" i="35" a="1"/>
  <c r="J262" i="35" s="1"/>
  <c r="J247" i="35" a="1"/>
  <c r="J247" i="35" s="1"/>
  <c r="J242" i="35" a="1"/>
  <c r="J242" i="35" s="1"/>
  <c r="J228" i="35" a="1"/>
  <c r="J228" i="35" s="1"/>
  <c r="J223" i="35" a="1"/>
  <c r="J223" i="35" s="1"/>
  <c r="J199" i="35" a="1"/>
  <c r="J199" i="35" s="1"/>
  <c r="J180" i="35" a="1"/>
  <c r="J180" i="35" s="1"/>
  <c r="J123" i="35" a="1"/>
  <c r="J123" i="35" s="1"/>
  <c r="J118" i="35" a="1"/>
  <c r="J118" i="35" s="1"/>
  <c r="J175" i="35" a="1"/>
  <c r="J175" i="35" s="1"/>
  <c r="J108" i="35" a="1"/>
  <c r="J108" i="35" s="1"/>
  <c r="J282" i="35" a="1"/>
  <c r="J282" i="35" s="1"/>
  <c r="J213" i="35" a="1"/>
  <c r="J213" i="35" s="1"/>
  <c r="J170" i="35" a="1"/>
  <c r="J170" i="35" s="1"/>
  <c r="J160" i="35" a="1"/>
  <c r="J160" i="35" s="1"/>
  <c r="J151" i="35" a="1"/>
  <c r="J151" i="35" s="1"/>
  <c r="J127" i="35" a="1"/>
  <c r="J127" i="35" s="1"/>
  <c r="J258" i="35" a="1"/>
  <c r="J258" i="35" s="1"/>
  <c r="J232" i="35" a="1"/>
  <c r="J232" i="35" s="1"/>
  <c r="J203" i="35" a="1"/>
  <c r="J203" i="35" s="1"/>
  <c r="J184" i="35" a="1"/>
  <c r="J184" i="35" s="1"/>
  <c r="J165" i="35" a="1"/>
  <c r="J165" i="35" s="1"/>
  <c r="J146" i="35" a="1"/>
  <c r="J146" i="35" s="1"/>
  <c r="J302" i="35" a="1"/>
  <c r="J302" i="35" s="1"/>
  <c r="J299" i="35" a="1"/>
  <c r="J299" i="35" s="1"/>
  <c r="J280" i="35" a="1"/>
  <c r="J280" i="35" s="1"/>
  <c r="J222" i="35" a="1"/>
  <c r="J222" i="35" s="1"/>
  <c r="J193" i="35" a="1"/>
  <c r="J193" i="35" s="1"/>
  <c r="J179" i="35" a="1"/>
  <c r="J179" i="35" s="1"/>
  <c r="J155" i="35" a="1"/>
  <c r="J155" i="35" s="1"/>
  <c r="J141" i="35" a="1"/>
  <c r="J141" i="35" s="1"/>
  <c r="J117" i="35" a="1"/>
  <c r="J117" i="35" s="1"/>
  <c r="J239" i="35" a="1"/>
  <c r="J239" i="35" s="1"/>
  <c r="J271" i="35" a="1"/>
  <c r="J271" i="35" s="1"/>
  <c r="J266" i="35" a="1"/>
  <c r="J266" i="35" s="1"/>
  <c r="J275" i="35" a="1"/>
  <c r="J275" i="35" s="1"/>
  <c r="J217" i="35" a="1"/>
  <c r="J217" i="35" s="1"/>
  <c r="J212" i="35" a="1"/>
  <c r="J212" i="35" s="1"/>
  <c r="J174" i="35" a="1"/>
  <c r="J174" i="35" s="1"/>
  <c r="J150" i="35" a="1"/>
  <c r="J150" i="35" s="1"/>
  <c r="J126" i="35" a="1"/>
  <c r="J126" i="35" s="1"/>
  <c r="J107" i="35" a="1"/>
  <c r="J107" i="35" s="1"/>
  <c r="J159" i="35" a="1"/>
  <c r="J159" i="35" s="1"/>
  <c r="J303" i="35" a="1"/>
  <c r="J303" i="35" s="1"/>
  <c r="J279" i="35" a="1"/>
  <c r="J279" i="35" s="1"/>
  <c r="J265" i="35" a="1"/>
  <c r="J265" i="35" s="1"/>
  <c r="J255" i="35" a="1"/>
  <c r="J255" i="35" s="1"/>
  <c r="J226" i="35" a="1"/>
  <c r="J226" i="35" s="1"/>
  <c r="J221" i="35" a="1"/>
  <c r="J221" i="35" s="1"/>
  <c r="J202" i="35" a="1"/>
  <c r="J202" i="35" s="1"/>
  <c r="J197" i="35" a="1"/>
  <c r="J197" i="35" s="1"/>
  <c r="J135" i="35" a="1"/>
  <c r="J135" i="35" s="1"/>
  <c r="J116" i="35" a="1"/>
  <c r="J116" i="35" s="1"/>
  <c r="J111" i="35" a="1"/>
  <c r="J111" i="35" s="1"/>
  <c r="J298" i="35" a="1"/>
  <c r="J298" i="35" s="1"/>
  <c r="J235" i="35" a="1"/>
  <c r="J235" i="35" s="1"/>
  <c r="J187" i="35" a="1"/>
  <c r="J187" i="35" s="1"/>
  <c r="J173" i="35" a="1"/>
  <c r="J173" i="35" s="1"/>
  <c r="J125" i="35" a="1"/>
  <c r="J125" i="35" s="1"/>
  <c r="J105" i="35" a="1"/>
  <c r="J105" i="35" s="1"/>
  <c r="J100" i="35" a="1"/>
  <c r="J100" i="35" s="1"/>
  <c r="J27" i="35" a="1"/>
  <c r="J27" i="35" s="1"/>
  <c r="J95" i="35" a="1"/>
  <c r="J95" i="35" s="1"/>
  <c r="J90" i="35" a="1"/>
  <c r="J90" i="35" s="1"/>
  <c r="J71" i="35" a="1"/>
  <c r="J71" i="35" s="1"/>
  <c r="J61" i="35" a="1"/>
  <c r="J61" i="35" s="1"/>
  <c r="J32" i="35" a="1"/>
  <c r="J32" i="35" s="1"/>
  <c r="J22" i="35" a="1"/>
  <c r="J22" i="35" s="1"/>
  <c r="J16" i="35" a="1"/>
  <c r="J16" i="35" s="1"/>
  <c r="J85" i="35" a="1"/>
  <c r="J85" i="35" s="1"/>
  <c r="J41" i="35" a="1"/>
  <c r="J41" i="35" s="1"/>
  <c r="J36" i="35" a="1"/>
  <c r="J36" i="35" s="1"/>
  <c r="J75" i="35" a="1"/>
  <c r="J75" i="35" s="1"/>
  <c r="J104" i="35" a="1"/>
  <c r="J104" i="35" s="1"/>
  <c r="J89" i="35" a="1"/>
  <c r="J89" i="35" s="1"/>
  <c r="J70" i="35" a="1"/>
  <c r="J70" i="35" s="1"/>
  <c r="J60" i="35" a="1"/>
  <c r="J60" i="35" s="1"/>
  <c r="J45" i="35" a="1"/>
  <c r="J45" i="35" s="1"/>
  <c r="J31" i="35" a="1"/>
  <c r="J31" i="35" s="1"/>
  <c r="J26" i="35" a="1"/>
  <c r="J26" i="35" s="1"/>
  <c r="J84" i="35" a="1"/>
  <c r="J84" i="35" s="1"/>
  <c r="J50" i="35" a="1"/>
  <c r="J50" i="35" s="1"/>
  <c r="J98" i="35" a="1"/>
  <c r="J98" i="35" s="1"/>
  <c r="J88" i="35" a="1"/>
  <c r="J88" i="35" s="1"/>
  <c r="J74" i="35" a="1"/>
  <c r="J74" i="35" s="1"/>
  <c r="J69" i="35" a="1"/>
  <c r="J69" i="35" s="1"/>
  <c r="J64" i="35" a="1"/>
  <c r="J64" i="35" s="1"/>
  <c r="J59" i="35" a="1"/>
  <c r="J59" i="35" s="1"/>
  <c r="J54" i="35" a="1"/>
  <c r="J54" i="35" s="1"/>
  <c r="J20" i="35" a="1"/>
  <c r="J20" i="35" s="1"/>
  <c r="J103" i="35" a="1"/>
  <c r="J103" i="35" s="1"/>
  <c r="J93" i="35" a="1"/>
  <c r="J93" i="35" s="1"/>
  <c r="J83" i="35" a="1"/>
  <c r="J83" i="35" s="1"/>
  <c r="J44" i="35" a="1"/>
  <c r="J44" i="35" s="1"/>
  <c r="J25" i="35" a="1"/>
  <c r="J25" i="35" s="1"/>
  <c r="J17" i="35" a="1"/>
  <c r="J17" i="35" s="1"/>
  <c r="J92" i="35" a="1"/>
  <c r="J92" i="35" s="1"/>
  <c r="J73" i="35" a="1"/>
  <c r="J73" i="35" s="1"/>
  <c r="J68" i="35" a="1"/>
  <c r="J68" i="35" s="1"/>
  <c r="J34" i="35" a="1"/>
  <c r="J34" i="35" s="1"/>
  <c r="J29" i="35" a="1"/>
  <c r="J29" i="35" s="1"/>
  <c r="J35" i="35" a="1"/>
  <c r="J35" i="35" s="1"/>
  <c r="J102" i="35" a="1"/>
  <c r="J102" i="35" s="1"/>
  <c r="J87" i="35" a="1"/>
  <c r="J87" i="35" s="1"/>
  <c r="J77" i="35" a="1"/>
  <c r="J77" i="35" s="1"/>
  <c r="J63" i="35" a="1"/>
  <c r="J63" i="35" s="1"/>
  <c r="J58" i="35" a="1"/>
  <c r="J58" i="35" s="1"/>
  <c r="J53" i="35" a="1"/>
  <c r="J53" i="35" s="1"/>
  <c r="J43" i="35" a="1"/>
  <c r="J43" i="35" s="1"/>
  <c r="J38" i="35" a="1"/>
  <c r="J38" i="35" s="1"/>
  <c r="J24" i="35" a="1"/>
  <c r="J24" i="35" s="1"/>
  <c r="J19" i="35" a="1"/>
  <c r="J19" i="35" s="1"/>
  <c r="J82" i="35" a="1"/>
  <c r="J82" i="35" s="1"/>
  <c r="J101" i="35" a="1"/>
  <c r="J101" i="35" s="1"/>
  <c r="J86" i="35" a="1"/>
  <c r="J86" i="35" s="1"/>
  <c r="J28" i="35" a="1"/>
  <c r="J28" i="35" s="1"/>
  <c r="J91" i="35" a="1"/>
  <c r="J91" i="35" s="1"/>
  <c r="J10" i="35" a="1"/>
  <c r="J10" i="35" s="1"/>
  <c r="J96" i="35" a="1"/>
  <c r="J96" i="35" s="1"/>
  <c r="J72" i="35" a="1"/>
  <c r="J72" i="35" s="1"/>
  <c r="J67" i="35" a="1"/>
  <c r="J67" i="35" s="1"/>
  <c r="J57" i="35" a="1"/>
  <c r="J57" i="35" s="1"/>
  <c r="J52" i="35" a="1"/>
  <c r="J52" i="35" s="1"/>
  <c r="J18" i="35" a="1"/>
  <c r="J18" i="35" s="1"/>
  <c r="J76" i="35" a="1"/>
  <c r="J76" i="35" s="1"/>
  <c r="J37" i="35" a="1"/>
  <c r="J37" i="35" s="1"/>
  <c r="J15" i="35" a="1"/>
  <c r="J15" i="35" s="1"/>
  <c r="J297" i="35" a="1"/>
  <c r="J297" i="35" s="1"/>
  <c r="J234" i="35" a="1"/>
  <c r="J234" i="35" s="1"/>
  <c r="J114" i="35" a="1"/>
  <c r="J114" i="35" s="1"/>
  <c r="J66" i="35" a="1"/>
  <c r="J66" i="35" s="1"/>
  <c r="J56" i="35" a="1"/>
  <c r="J56" i="35" s="1"/>
  <c r="J51" i="35" a="1"/>
  <c r="J51" i="35" s="1"/>
  <c r="J11" i="35" a="1"/>
  <c r="J11" i="35" s="1"/>
  <c r="J248" i="35" a="1"/>
  <c r="J248" i="35" s="1"/>
  <c r="J176" i="35" a="1"/>
  <c r="J176" i="35" s="1"/>
  <c r="J14" i="35" a="1"/>
  <c r="J14" i="35" s="1"/>
  <c r="J80" i="35" a="1"/>
  <c r="J80" i="35" s="1"/>
  <c r="J200" i="35" a="1"/>
  <c r="J200" i="35" s="1"/>
  <c r="J267" i="35" a="1"/>
  <c r="J267" i="35" s="1"/>
  <c r="J185" i="35" a="1"/>
  <c r="J185" i="35" s="1"/>
  <c r="J128" i="35" a="1"/>
  <c r="J128" i="35" s="1"/>
  <c r="J99" i="35" a="1"/>
  <c r="J99" i="35" s="1"/>
  <c r="D21" i="35"/>
  <c r="J21" i="35" s="1" a="1"/>
  <c r="J21" i="35" s="1"/>
  <c r="J13" i="35" a="1"/>
  <c r="J13" i="35" s="1"/>
  <c r="J218" i="35" a="1"/>
  <c r="J218" i="35" s="1"/>
  <c r="J194" i="35" a="1"/>
  <c r="J194" i="35" s="1"/>
  <c r="J137" i="35" a="1"/>
  <c r="J137" i="35" s="1"/>
  <c r="J79" i="35" a="1"/>
  <c r="J79" i="35" s="1"/>
  <c r="J40" i="35" a="1"/>
  <c r="J40" i="35" s="1"/>
  <c r="J12" i="35" a="1"/>
  <c r="J12" i="35" s="1"/>
  <c r="J136" i="35" a="1"/>
  <c r="J136" i="35" s="1"/>
  <c r="J207" i="35" a="1"/>
  <c r="J207" i="35" s="1"/>
  <c r="J169" i="35" a="1"/>
  <c r="J169" i="35" s="1"/>
  <c r="J178" i="35" a="1"/>
  <c r="J178" i="35" s="1"/>
  <c r="J154" i="35" a="1"/>
  <c r="J154" i="35" s="1"/>
  <c r="J140" i="35" a="1"/>
  <c r="J140" i="35" s="1"/>
  <c r="J48" i="35" a="1"/>
  <c r="J48" i="35" s="1"/>
  <c r="J192" i="35" a="1"/>
  <c r="J192" i="35" s="1"/>
  <c r="J216" i="35" a="1"/>
  <c r="J216" i="35" s="1"/>
  <c r="J106" i="35" a="1"/>
  <c r="J106" i="35" s="1"/>
  <c r="J47" i="35" a="1"/>
  <c r="J47" i="35" s="1"/>
  <c r="J42" i="35" a="1"/>
  <c r="J42" i="35" s="1"/>
  <c r="D272" i="35"/>
  <c r="J272" i="35" s="1" a="1"/>
  <c r="J272" i="35" s="1"/>
  <c r="D289" i="35"/>
  <c r="J289" i="35" s="1" a="1"/>
  <c r="J289" i="35" s="1"/>
  <c r="D172" i="35"/>
  <c r="J172" i="35" s="1" a="1"/>
  <c r="J172" i="35" s="1"/>
  <c r="D78" i="35"/>
  <c r="J78" i="35" s="1" a="1"/>
  <c r="J78" i="35" s="1"/>
  <c r="D33" i="35"/>
  <c r="J33" i="35" s="1" a="1"/>
  <c r="J33" i="35" s="1"/>
  <c r="D30" i="35"/>
  <c r="J30" i="35" s="1" a="1"/>
  <c r="J30" i="35" s="1"/>
  <c r="D240" i="35"/>
  <c r="J240" i="35" s="1" a="1"/>
  <c r="J240" i="35" s="1"/>
  <c r="D188" i="35"/>
  <c r="J188" i="35" s="1" a="1"/>
  <c r="J188" i="35" s="1"/>
  <c r="D55" i="35"/>
  <c r="J55" i="35" s="1" a="1"/>
  <c r="J55" i="35" s="1"/>
  <c r="D46" i="35"/>
  <c r="J46" i="35" s="1" a="1"/>
  <c r="J46" i="35" s="1"/>
  <c r="D224" i="35"/>
  <c r="J224" i="35" s="1" a="1"/>
  <c r="J224" i="35" s="1"/>
  <c r="D288" i="35"/>
  <c r="J288" i="35" s="1" a="1"/>
  <c r="J288" i="35" s="1"/>
  <c r="D81" i="35"/>
  <c r="J81" i="35" s="1" a="1"/>
  <c r="J81" i="35" s="1"/>
  <c r="D39" i="35"/>
  <c r="J39" i="35" s="1" a="1"/>
  <c r="J39" i="35" s="1"/>
  <c r="D115" i="35"/>
  <c r="J115" i="35" s="1" a="1"/>
  <c r="J115" i="35" s="1"/>
  <c r="D94" i="35"/>
  <c r="J94" i="35" s="1" a="1"/>
  <c r="J94" i="35" s="1"/>
  <c r="D300" i="35"/>
  <c r="J300" i="35" s="1" a="1"/>
  <c r="J300" i="35" s="1"/>
  <c r="D295" i="35"/>
  <c r="J295" i="35" s="1" a="1"/>
  <c r="J295" i="35" s="1"/>
  <c r="D208" i="35"/>
  <c r="J208" i="35" s="1" a="1"/>
  <c r="J208" i="35" s="1"/>
  <c r="D131" i="35"/>
  <c r="J131" i="35" s="1" a="1"/>
  <c r="J131" i="35" s="1"/>
  <c r="D62" i="35"/>
  <c r="J62" i="35" s="1" a="1"/>
  <c r="J62" i="35" s="1"/>
  <c r="D268" i="35"/>
  <c r="J268" i="35" s="1" a="1"/>
  <c r="J268" i="35" s="1"/>
  <c r="D256" i="35"/>
  <c r="J256" i="35" s="1" a="1"/>
  <c r="J256" i="35" s="1"/>
  <c r="D147" i="35"/>
  <c r="J147" i="35" s="1" a="1"/>
  <c r="J147" i="35" s="1"/>
  <c r="D273" i="35"/>
  <c r="J273" i="35" s="1" a="1"/>
  <c r="J273" i="35" s="1"/>
  <c r="D161" i="35"/>
  <c r="J161" i="35" s="1" a="1"/>
  <c r="J161" i="35" s="1"/>
  <c r="D284" i="35"/>
  <c r="J284" i="35" s="1" a="1"/>
  <c r="J284" i="35" s="1"/>
  <c r="D145" i="35"/>
  <c r="J145" i="35" s="1" a="1"/>
  <c r="J145" i="35" s="1"/>
  <c r="D129" i="35"/>
  <c r="J129" i="35" s="1" a="1"/>
  <c r="J129" i="35" s="1"/>
  <c r="D113" i="35"/>
  <c r="J113" i="35" s="1" a="1"/>
  <c r="J113" i="35" s="1"/>
  <c r="D97" i="35"/>
  <c r="J97" i="35" s="1" a="1"/>
  <c r="J97" i="35" s="1"/>
  <c r="D257" i="35"/>
  <c r="J257" i="35" s="1" a="1"/>
  <c r="J257" i="35" s="1"/>
  <c r="D156" i="35"/>
  <c r="J156" i="35" s="1" a="1"/>
  <c r="J156" i="35" s="1"/>
  <c r="D252" i="35"/>
  <c r="J252" i="35" s="1" a="1"/>
  <c r="J252" i="35" s="1"/>
  <c r="D236" i="35"/>
  <c r="J236" i="35" s="1" a="1"/>
  <c r="J236" i="35" s="1"/>
  <c r="D49" i="35"/>
  <c r="J49" i="35" s="1" a="1"/>
  <c r="J49" i="35" s="1"/>
  <c r="D220" i="35"/>
  <c r="J220" i="35" s="1" a="1"/>
  <c r="J220" i="35" s="1"/>
  <c r="D23" i="35"/>
  <c r="J23" i="35" s="1" a="1"/>
  <c r="J23" i="35" s="1"/>
  <c r="D305" i="35"/>
  <c r="J305" i="35" s="1" a="1"/>
  <c r="J305" i="35" s="1"/>
  <c r="D65" i="35"/>
  <c r="J65" i="35" s="1" a="1"/>
  <c r="J65" i="35" s="1"/>
  <c r="D204" i="35"/>
  <c r="J204" i="35" s="1" a="1"/>
  <c r="J204" i="35" s="1"/>
  <c r="D304" i="35"/>
  <c r="J304" i="35" s="1" a="1"/>
  <c r="J304" i="35" s="1"/>
  <c r="A119" i="2"/>
  <c r="B119" i="2"/>
  <c r="C119" i="2"/>
  <c r="G119" i="2"/>
  <c r="I119" i="2"/>
  <c r="U119" i="2" s="1"/>
  <c r="J119" i="2"/>
  <c r="T119" i="2" s="1"/>
  <c r="L119" i="2"/>
  <c r="M119" i="2"/>
  <c r="A120" i="2"/>
  <c r="B120" i="2"/>
  <c r="C120" i="2"/>
  <c r="G120" i="2"/>
  <c r="I120" i="2"/>
  <c r="U120" i="2" s="1"/>
  <c r="J120" i="2"/>
  <c r="T120" i="2" s="1"/>
  <c r="L120" i="2"/>
  <c r="M120" i="2"/>
  <c r="A121" i="2"/>
  <c r="B121" i="2"/>
  <c r="C121" i="2"/>
  <c r="G121" i="2"/>
  <c r="I121" i="2"/>
  <c r="U121" i="2" s="1"/>
  <c r="J121" i="2"/>
  <c r="T121" i="2" s="1"/>
  <c r="L121" i="2"/>
  <c r="M121" i="2"/>
  <c r="A122" i="2"/>
  <c r="B122" i="2"/>
  <c r="C122" i="2"/>
  <c r="G122" i="2"/>
  <c r="I122" i="2"/>
  <c r="U122" i="2" s="1"/>
  <c r="J122" i="2"/>
  <c r="T122" i="2" s="1"/>
  <c r="L122" i="2"/>
  <c r="O122" i="2" s="1"/>
  <c r="M122" i="2"/>
  <c r="A123" i="2"/>
  <c r="B123" i="2"/>
  <c r="C123" i="2"/>
  <c r="G123" i="2"/>
  <c r="I123" i="2"/>
  <c r="U123" i="2" s="1"/>
  <c r="J123" i="2"/>
  <c r="T123" i="2" s="1"/>
  <c r="L123" i="2"/>
  <c r="M123" i="2"/>
  <c r="A124" i="2"/>
  <c r="B124" i="2"/>
  <c r="C124" i="2"/>
  <c r="G124" i="2"/>
  <c r="I124" i="2"/>
  <c r="U124" i="2" s="1"/>
  <c r="J124" i="2"/>
  <c r="T124" i="2" s="1"/>
  <c r="L124" i="2"/>
  <c r="O124" i="2" s="1"/>
  <c r="M124" i="2"/>
  <c r="T117" i="8"/>
  <c r="N9" i="8"/>
  <c r="N117" i="8"/>
  <c r="N34" i="8"/>
  <c r="N12" i="8"/>
  <c r="N11" i="8"/>
  <c r="P19" i="9"/>
  <c r="Q21" i="9" s="1"/>
  <c r="Q17" i="9"/>
  <c r="Q15" i="9"/>
  <c r="Q13" i="9"/>
  <c r="N13" i="8"/>
  <c r="Q19" i="9" l="1"/>
  <c r="S119" i="2"/>
  <c r="Q122" i="2"/>
  <c r="P124" i="2"/>
  <c r="S124" i="2"/>
  <c r="S121" i="2"/>
  <c r="Q121" i="2"/>
  <c r="P119" i="2"/>
  <c r="R121" i="2"/>
  <c r="R122" i="2"/>
  <c r="N119" i="2"/>
  <c r="R124" i="2"/>
  <c r="R123" i="2"/>
  <c r="N123" i="2"/>
  <c r="N124" i="2"/>
  <c r="N122" i="2"/>
  <c r="S123" i="2"/>
  <c r="Q119" i="2"/>
  <c r="R120" i="2"/>
  <c r="S120" i="2"/>
  <c r="N120" i="2"/>
  <c r="O120" i="2"/>
  <c r="P120" i="2"/>
  <c r="Q120" i="2"/>
  <c r="N121" i="2"/>
  <c r="O121" i="2"/>
  <c r="P123" i="2"/>
  <c r="Q123" i="2"/>
  <c r="P121" i="2"/>
  <c r="Q124" i="2"/>
  <c r="O123" i="2"/>
  <c r="P122" i="2"/>
  <c r="O119" i="2"/>
  <c r="S122" i="2"/>
  <c r="R119" i="2"/>
  <c r="F90" i="9"/>
  <c r="O19" i="10"/>
  <c r="P21" i="10" s="1"/>
  <c r="P17" i="10"/>
  <c r="P15" i="10"/>
  <c r="P13" i="10"/>
  <c r="P19" i="10" l="1"/>
  <c r="N126" i="8"/>
  <c r="N464" i="8"/>
  <c r="K470" i="2" s="1"/>
  <c r="A370" i="2"/>
  <c r="B370" i="2"/>
  <c r="C370" i="2"/>
  <c r="G370" i="2"/>
  <c r="I370" i="2"/>
  <c r="U370" i="2" s="1"/>
  <c r="J370" i="2"/>
  <c r="T370" i="2" s="1"/>
  <c r="L370" i="2"/>
  <c r="M370" i="2"/>
  <c r="A371" i="2"/>
  <c r="B371" i="2"/>
  <c r="C371" i="2"/>
  <c r="G371" i="2"/>
  <c r="I371" i="2"/>
  <c r="U371" i="2" s="1"/>
  <c r="J371" i="2"/>
  <c r="T371" i="2" s="1"/>
  <c r="L371" i="2"/>
  <c r="M371" i="2"/>
  <c r="A372" i="2"/>
  <c r="B372" i="2"/>
  <c r="C372" i="2"/>
  <c r="G372" i="2"/>
  <c r="I372" i="2"/>
  <c r="J372" i="2"/>
  <c r="T372" i="2" s="1"/>
  <c r="L372" i="2"/>
  <c r="M372" i="2"/>
  <c r="A373" i="2"/>
  <c r="B373" i="2"/>
  <c r="C373" i="2"/>
  <c r="G373" i="2"/>
  <c r="I373" i="2"/>
  <c r="J373" i="2"/>
  <c r="T373" i="2" s="1"/>
  <c r="L373" i="2"/>
  <c r="M373" i="2"/>
  <c r="A374" i="2"/>
  <c r="B374" i="2"/>
  <c r="C374" i="2"/>
  <c r="G374" i="2"/>
  <c r="I374" i="2"/>
  <c r="U374" i="2" s="1"/>
  <c r="J374" i="2"/>
  <c r="T374" i="2" s="1"/>
  <c r="L374" i="2"/>
  <c r="M374" i="2"/>
  <c r="A375" i="2"/>
  <c r="B375" i="2"/>
  <c r="C375" i="2"/>
  <c r="G375" i="2"/>
  <c r="I375" i="2"/>
  <c r="U375" i="2" s="1"/>
  <c r="J375" i="2"/>
  <c r="L375" i="2"/>
  <c r="M375" i="2"/>
  <c r="A376" i="2"/>
  <c r="B376" i="2"/>
  <c r="C376" i="2"/>
  <c r="G376" i="2"/>
  <c r="I376" i="2"/>
  <c r="J376" i="2"/>
  <c r="T376" i="2" s="1"/>
  <c r="L376" i="2"/>
  <c r="M376" i="2"/>
  <c r="A377" i="2"/>
  <c r="B377" i="2"/>
  <c r="C377" i="2"/>
  <c r="G377" i="2"/>
  <c r="I377" i="2"/>
  <c r="U377" i="2" s="1"/>
  <c r="J377" i="2"/>
  <c r="T377" i="2" s="1"/>
  <c r="L377" i="2"/>
  <c r="M377" i="2"/>
  <c r="A378" i="2"/>
  <c r="B378" i="2"/>
  <c r="C378" i="2"/>
  <c r="G378" i="2"/>
  <c r="I378" i="2"/>
  <c r="U378" i="2" s="1"/>
  <c r="J378" i="2"/>
  <c r="T378" i="2" s="1"/>
  <c r="L378" i="2"/>
  <c r="M378" i="2"/>
  <c r="A379" i="2"/>
  <c r="B379" i="2"/>
  <c r="C379" i="2"/>
  <c r="G379" i="2"/>
  <c r="I379" i="2"/>
  <c r="U379" i="2" s="1"/>
  <c r="J379" i="2"/>
  <c r="T379" i="2" s="1"/>
  <c r="L379" i="2"/>
  <c r="M379" i="2"/>
  <c r="A380" i="2"/>
  <c r="B380" i="2"/>
  <c r="C380" i="2"/>
  <c r="G380" i="2"/>
  <c r="I380" i="2"/>
  <c r="U380" i="2" s="1"/>
  <c r="J380" i="2"/>
  <c r="L380" i="2"/>
  <c r="M380" i="2"/>
  <c r="A381" i="2"/>
  <c r="B381" i="2"/>
  <c r="C381" i="2"/>
  <c r="G381" i="2"/>
  <c r="I381" i="2"/>
  <c r="J381" i="2"/>
  <c r="T381" i="2" s="1"/>
  <c r="L381" i="2"/>
  <c r="M381" i="2"/>
  <c r="A382" i="2"/>
  <c r="B382" i="2"/>
  <c r="C382" i="2"/>
  <c r="G382" i="2"/>
  <c r="I382" i="2"/>
  <c r="U382" i="2" s="1"/>
  <c r="J382" i="2"/>
  <c r="T382" i="2" s="1"/>
  <c r="L382" i="2"/>
  <c r="M382" i="2"/>
  <c r="A383" i="2"/>
  <c r="B383" i="2"/>
  <c r="C383" i="2"/>
  <c r="G383" i="2"/>
  <c r="I383" i="2"/>
  <c r="U383" i="2" s="1"/>
  <c r="J383" i="2"/>
  <c r="T383" i="2" s="1"/>
  <c r="L383" i="2"/>
  <c r="M383" i="2"/>
  <c r="A384" i="2"/>
  <c r="B384" i="2"/>
  <c r="C384" i="2"/>
  <c r="G384" i="2"/>
  <c r="I384" i="2"/>
  <c r="J384" i="2"/>
  <c r="T384" i="2" s="1"/>
  <c r="L384" i="2"/>
  <c r="M384" i="2"/>
  <c r="A385" i="2"/>
  <c r="B385" i="2"/>
  <c r="C385" i="2"/>
  <c r="G385" i="2"/>
  <c r="I385" i="2"/>
  <c r="U385" i="2" s="1"/>
  <c r="J385" i="2"/>
  <c r="T385" i="2" s="1"/>
  <c r="L385" i="2"/>
  <c r="M385" i="2"/>
  <c r="A386" i="2"/>
  <c r="B386" i="2"/>
  <c r="C386" i="2"/>
  <c r="G386" i="2"/>
  <c r="I386" i="2"/>
  <c r="U386" i="2" s="1"/>
  <c r="J386" i="2"/>
  <c r="T386" i="2" s="1"/>
  <c r="L386" i="2"/>
  <c r="M386" i="2"/>
  <c r="A387" i="2"/>
  <c r="B387" i="2"/>
  <c r="C387" i="2"/>
  <c r="G387" i="2"/>
  <c r="I387" i="2"/>
  <c r="U387" i="2" s="1"/>
  <c r="J387" i="2"/>
  <c r="T387" i="2" s="1"/>
  <c r="L387" i="2"/>
  <c r="M387" i="2"/>
  <c r="A388" i="2"/>
  <c r="B388" i="2"/>
  <c r="C388" i="2"/>
  <c r="G388" i="2"/>
  <c r="I388" i="2"/>
  <c r="U388" i="2" s="1"/>
  <c r="J388" i="2"/>
  <c r="L388" i="2"/>
  <c r="M388" i="2"/>
  <c r="A389" i="2"/>
  <c r="B389" i="2"/>
  <c r="C389" i="2"/>
  <c r="G389" i="2"/>
  <c r="I389" i="2"/>
  <c r="J389" i="2"/>
  <c r="T389" i="2" s="1"/>
  <c r="L389" i="2"/>
  <c r="M389" i="2"/>
  <c r="A390" i="2"/>
  <c r="B390" i="2"/>
  <c r="C390" i="2"/>
  <c r="G390" i="2"/>
  <c r="I390" i="2"/>
  <c r="U390" i="2" s="1"/>
  <c r="J390" i="2"/>
  <c r="T390" i="2" s="1"/>
  <c r="L390" i="2"/>
  <c r="M390" i="2"/>
  <c r="A391" i="2"/>
  <c r="B391" i="2"/>
  <c r="C391" i="2"/>
  <c r="G391" i="2"/>
  <c r="I391" i="2"/>
  <c r="U391" i="2" s="1"/>
  <c r="J391" i="2"/>
  <c r="T391" i="2" s="1"/>
  <c r="L391" i="2"/>
  <c r="M391" i="2"/>
  <c r="A392" i="2"/>
  <c r="B392" i="2"/>
  <c r="C392" i="2"/>
  <c r="G392" i="2"/>
  <c r="I392" i="2"/>
  <c r="J392" i="2"/>
  <c r="T392" i="2" s="1"/>
  <c r="L392" i="2"/>
  <c r="M392" i="2"/>
  <c r="A393" i="2"/>
  <c r="B393" i="2"/>
  <c r="C393" i="2"/>
  <c r="G393" i="2"/>
  <c r="I393" i="2"/>
  <c r="U393" i="2" s="1"/>
  <c r="J393" i="2"/>
  <c r="T393" i="2" s="1"/>
  <c r="L393" i="2"/>
  <c r="M393" i="2"/>
  <c r="A394" i="2"/>
  <c r="B394" i="2"/>
  <c r="C394" i="2"/>
  <c r="G394" i="2"/>
  <c r="I394" i="2"/>
  <c r="U394" i="2" s="1"/>
  <c r="J394" i="2"/>
  <c r="T394" i="2" s="1"/>
  <c r="L394" i="2"/>
  <c r="M394" i="2"/>
  <c r="A395" i="2"/>
  <c r="B395" i="2"/>
  <c r="C395" i="2"/>
  <c r="G395" i="2"/>
  <c r="I395" i="2"/>
  <c r="U395" i="2" s="1"/>
  <c r="J395" i="2"/>
  <c r="L395" i="2"/>
  <c r="M395" i="2"/>
  <c r="A396" i="2"/>
  <c r="B396" i="2"/>
  <c r="C396" i="2"/>
  <c r="G396" i="2"/>
  <c r="I396" i="2"/>
  <c r="U396" i="2" s="1"/>
  <c r="J396" i="2"/>
  <c r="L396" i="2"/>
  <c r="M396" i="2"/>
  <c r="A397" i="2"/>
  <c r="B397" i="2"/>
  <c r="C397" i="2"/>
  <c r="G397" i="2"/>
  <c r="I397" i="2"/>
  <c r="U397" i="2" s="1"/>
  <c r="J397" i="2"/>
  <c r="T397" i="2" s="1"/>
  <c r="L397" i="2"/>
  <c r="M397" i="2"/>
  <c r="A398" i="2"/>
  <c r="B398" i="2"/>
  <c r="C398" i="2"/>
  <c r="G398" i="2"/>
  <c r="I398" i="2"/>
  <c r="U398" i="2" s="1"/>
  <c r="J398" i="2"/>
  <c r="T398" i="2" s="1"/>
  <c r="L398" i="2"/>
  <c r="M398" i="2"/>
  <c r="A399" i="2"/>
  <c r="B399" i="2"/>
  <c r="C399" i="2"/>
  <c r="G399" i="2"/>
  <c r="I399" i="2"/>
  <c r="U399" i="2" s="1"/>
  <c r="J399" i="2"/>
  <c r="T399" i="2" s="1"/>
  <c r="L399" i="2"/>
  <c r="M399" i="2"/>
  <c r="A400" i="2"/>
  <c r="B400" i="2"/>
  <c r="C400" i="2"/>
  <c r="G400" i="2"/>
  <c r="I400" i="2"/>
  <c r="J400" i="2"/>
  <c r="T400" i="2" s="1"/>
  <c r="L400" i="2"/>
  <c r="M400" i="2"/>
  <c r="A401" i="2"/>
  <c r="B401" i="2"/>
  <c r="C401" i="2"/>
  <c r="G401" i="2"/>
  <c r="I401" i="2"/>
  <c r="U401" i="2" s="1"/>
  <c r="J401" i="2"/>
  <c r="T401" i="2" s="1"/>
  <c r="L401" i="2"/>
  <c r="M401" i="2"/>
  <c r="A402" i="2"/>
  <c r="B402" i="2"/>
  <c r="C402" i="2"/>
  <c r="G402" i="2"/>
  <c r="I402" i="2"/>
  <c r="U402" i="2" s="1"/>
  <c r="J402" i="2"/>
  <c r="T402" i="2" s="1"/>
  <c r="L402" i="2"/>
  <c r="M402" i="2"/>
  <c r="A403" i="2"/>
  <c r="B403" i="2"/>
  <c r="C403" i="2"/>
  <c r="G403" i="2"/>
  <c r="I403" i="2"/>
  <c r="U403" i="2" s="1"/>
  <c r="J403" i="2"/>
  <c r="T403" i="2" s="1"/>
  <c r="L403" i="2"/>
  <c r="M403" i="2"/>
  <c r="A404" i="2"/>
  <c r="B404" i="2"/>
  <c r="C404" i="2"/>
  <c r="G404" i="2"/>
  <c r="I404" i="2"/>
  <c r="U404" i="2" s="1"/>
  <c r="J404" i="2"/>
  <c r="T404" i="2" s="1"/>
  <c r="L404" i="2"/>
  <c r="M404" i="2"/>
  <c r="A405" i="2"/>
  <c r="B405" i="2"/>
  <c r="C405" i="2"/>
  <c r="G405" i="2"/>
  <c r="I405" i="2"/>
  <c r="U405" i="2" s="1"/>
  <c r="J405" i="2"/>
  <c r="T405" i="2" s="1"/>
  <c r="L405" i="2"/>
  <c r="M405" i="2"/>
  <c r="A406" i="2"/>
  <c r="B406" i="2"/>
  <c r="C406" i="2"/>
  <c r="G406" i="2"/>
  <c r="I406" i="2"/>
  <c r="U406" i="2" s="1"/>
  <c r="J406" i="2"/>
  <c r="T406" i="2" s="1"/>
  <c r="L406" i="2"/>
  <c r="M406" i="2"/>
  <c r="A407" i="2"/>
  <c r="B407" i="2"/>
  <c r="C407" i="2"/>
  <c r="G407" i="2"/>
  <c r="I407" i="2"/>
  <c r="U407" i="2" s="1"/>
  <c r="J407" i="2"/>
  <c r="L407" i="2"/>
  <c r="M407" i="2"/>
  <c r="A408" i="2"/>
  <c r="B408" i="2"/>
  <c r="C408" i="2"/>
  <c r="G408" i="2"/>
  <c r="I408" i="2"/>
  <c r="U408" i="2" s="1"/>
  <c r="J408" i="2"/>
  <c r="L408" i="2"/>
  <c r="M408" i="2"/>
  <c r="A409" i="2"/>
  <c r="B409" i="2"/>
  <c r="C409" i="2"/>
  <c r="G409" i="2"/>
  <c r="I409" i="2"/>
  <c r="U409" i="2" s="1"/>
  <c r="J409" i="2"/>
  <c r="T409" i="2" s="1"/>
  <c r="L409" i="2"/>
  <c r="M409" i="2"/>
  <c r="A410" i="2"/>
  <c r="B410" i="2"/>
  <c r="C410" i="2"/>
  <c r="G410" i="2"/>
  <c r="I410" i="2"/>
  <c r="U410" i="2" s="1"/>
  <c r="J410" i="2"/>
  <c r="L410" i="2"/>
  <c r="M410" i="2"/>
  <c r="A411" i="2"/>
  <c r="B411" i="2"/>
  <c r="C411" i="2"/>
  <c r="G411" i="2"/>
  <c r="I411" i="2"/>
  <c r="J411" i="2"/>
  <c r="L411" i="2"/>
  <c r="M411" i="2"/>
  <c r="A412" i="2"/>
  <c r="B412" i="2"/>
  <c r="C412" i="2"/>
  <c r="G412" i="2"/>
  <c r="I412" i="2"/>
  <c r="J412" i="2"/>
  <c r="L412" i="2"/>
  <c r="M412" i="2"/>
  <c r="A413" i="2"/>
  <c r="B413" i="2"/>
  <c r="C413" i="2"/>
  <c r="G413" i="2"/>
  <c r="I413" i="2"/>
  <c r="U413" i="2" s="1"/>
  <c r="J413" i="2"/>
  <c r="T413" i="2" s="1"/>
  <c r="L413" i="2"/>
  <c r="M413" i="2"/>
  <c r="A414" i="2"/>
  <c r="B414" i="2"/>
  <c r="C414" i="2"/>
  <c r="G414" i="2"/>
  <c r="I414" i="2"/>
  <c r="U414" i="2" s="1"/>
  <c r="J414" i="2"/>
  <c r="T414" i="2" s="1"/>
  <c r="L414" i="2"/>
  <c r="M414" i="2"/>
  <c r="A415" i="2"/>
  <c r="B415" i="2"/>
  <c r="C415" i="2"/>
  <c r="G415" i="2"/>
  <c r="I415" i="2"/>
  <c r="U415" i="2" s="1"/>
  <c r="J415" i="2"/>
  <c r="L415" i="2"/>
  <c r="M415" i="2"/>
  <c r="A416" i="2"/>
  <c r="B416" i="2"/>
  <c r="C416" i="2"/>
  <c r="G416" i="2"/>
  <c r="I416" i="2"/>
  <c r="J416" i="2"/>
  <c r="T416" i="2" s="1"/>
  <c r="L416" i="2"/>
  <c r="M416" i="2"/>
  <c r="A417" i="2"/>
  <c r="B417" i="2"/>
  <c r="C417" i="2"/>
  <c r="G417" i="2"/>
  <c r="I417" i="2"/>
  <c r="U417" i="2" s="1"/>
  <c r="J417" i="2"/>
  <c r="T417" i="2" s="1"/>
  <c r="L417" i="2"/>
  <c r="M417" i="2"/>
  <c r="A418" i="2"/>
  <c r="B418" i="2"/>
  <c r="C418" i="2"/>
  <c r="G418" i="2"/>
  <c r="I418" i="2"/>
  <c r="U418" i="2" s="1"/>
  <c r="J418" i="2"/>
  <c r="T418" i="2" s="1"/>
  <c r="L418" i="2"/>
  <c r="M418" i="2"/>
  <c r="A419" i="2"/>
  <c r="B419" i="2"/>
  <c r="C419" i="2"/>
  <c r="G419" i="2"/>
  <c r="I419" i="2"/>
  <c r="U419" i="2" s="1"/>
  <c r="J419" i="2"/>
  <c r="T419" i="2" s="1"/>
  <c r="L419" i="2"/>
  <c r="M419" i="2"/>
  <c r="A420" i="2"/>
  <c r="B420" i="2"/>
  <c r="C420" i="2"/>
  <c r="G420" i="2"/>
  <c r="I420" i="2"/>
  <c r="U420" i="2" s="1"/>
  <c r="J420" i="2"/>
  <c r="T420" i="2" s="1"/>
  <c r="L420" i="2"/>
  <c r="M420" i="2"/>
  <c r="A421" i="2"/>
  <c r="B421" i="2"/>
  <c r="C421" i="2"/>
  <c r="G421" i="2"/>
  <c r="I421" i="2"/>
  <c r="J421" i="2"/>
  <c r="T421" i="2" s="1"/>
  <c r="L421" i="2"/>
  <c r="M421" i="2"/>
  <c r="A422" i="2"/>
  <c r="B422" i="2"/>
  <c r="C422" i="2"/>
  <c r="G422" i="2"/>
  <c r="I422" i="2"/>
  <c r="J422" i="2"/>
  <c r="L422" i="2"/>
  <c r="M422" i="2"/>
  <c r="A423" i="2"/>
  <c r="B423" i="2"/>
  <c r="C423" i="2"/>
  <c r="G423" i="2"/>
  <c r="I423" i="2"/>
  <c r="U423" i="2" s="1"/>
  <c r="J423" i="2"/>
  <c r="L423" i="2"/>
  <c r="M423" i="2"/>
  <c r="A424" i="2"/>
  <c r="B424" i="2"/>
  <c r="C424" i="2"/>
  <c r="G424" i="2"/>
  <c r="I424" i="2"/>
  <c r="U424" i="2" s="1"/>
  <c r="J424" i="2"/>
  <c r="T424" i="2" s="1"/>
  <c r="L424" i="2"/>
  <c r="M424" i="2"/>
  <c r="A425" i="2"/>
  <c r="B425" i="2"/>
  <c r="C425" i="2"/>
  <c r="G425" i="2"/>
  <c r="I425" i="2"/>
  <c r="U425" i="2" s="1"/>
  <c r="J425" i="2"/>
  <c r="T425" i="2" s="1"/>
  <c r="L425" i="2"/>
  <c r="M425" i="2"/>
  <c r="A426" i="2"/>
  <c r="B426" i="2"/>
  <c r="C426" i="2"/>
  <c r="G426" i="2"/>
  <c r="I426" i="2"/>
  <c r="J426" i="2"/>
  <c r="T426" i="2" s="1"/>
  <c r="L426" i="2"/>
  <c r="M426" i="2"/>
  <c r="A427" i="2"/>
  <c r="B427" i="2"/>
  <c r="C427" i="2"/>
  <c r="G427" i="2"/>
  <c r="I427" i="2"/>
  <c r="J427" i="2"/>
  <c r="T427" i="2" s="1"/>
  <c r="L427" i="2"/>
  <c r="M427" i="2"/>
  <c r="A428" i="2"/>
  <c r="B428" i="2"/>
  <c r="C428" i="2"/>
  <c r="G428" i="2"/>
  <c r="I428" i="2"/>
  <c r="U428" i="2" s="1"/>
  <c r="J428" i="2"/>
  <c r="T428" i="2" s="1"/>
  <c r="L428" i="2"/>
  <c r="M428" i="2"/>
  <c r="A429" i="2"/>
  <c r="B429" i="2"/>
  <c r="C429" i="2"/>
  <c r="G429" i="2"/>
  <c r="I429" i="2"/>
  <c r="U429" i="2" s="1"/>
  <c r="J429" i="2"/>
  <c r="T429" i="2" s="1"/>
  <c r="L429" i="2"/>
  <c r="M429" i="2"/>
  <c r="A430" i="2"/>
  <c r="B430" i="2"/>
  <c r="C430" i="2"/>
  <c r="G430" i="2"/>
  <c r="I430" i="2"/>
  <c r="U430" i="2" s="1"/>
  <c r="J430" i="2"/>
  <c r="T430" i="2" s="1"/>
  <c r="L430" i="2"/>
  <c r="M430" i="2"/>
  <c r="A431" i="2"/>
  <c r="B431" i="2"/>
  <c r="C431" i="2"/>
  <c r="G431" i="2"/>
  <c r="I431" i="2"/>
  <c r="U431" i="2" s="1"/>
  <c r="J431" i="2"/>
  <c r="T431" i="2" s="1"/>
  <c r="L431" i="2"/>
  <c r="M431" i="2"/>
  <c r="A432" i="2"/>
  <c r="B432" i="2"/>
  <c r="C432" i="2"/>
  <c r="G432" i="2"/>
  <c r="I432" i="2"/>
  <c r="J432" i="2"/>
  <c r="T432" i="2" s="1"/>
  <c r="L432" i="2"/>
  <c r="M432" i="2"/>
  <c r="A433" i="2"/>
  <c r="B433" i="2"/>
  <c r="C433" i="2"/>
  <c r="G433" i="2"/>
  <c r="I433" i="2"/>
  <c r="U433" i="2" s="1"/>
  <c r="J433" i="2"/>
  <c r="T433" i="2" s="1"/>
  <c r="L433" i="2"/>
  <c r="M433" i="2"/>
  <c r="A434" i="2"/>
  <c r="B434" i="2"/>
  <c r="C434" i="2"/>
  <c r="G434" i="2"/>
  <c r="I434" i="2"/>
  <c r="U434" i="2" s="1"/>
  <c r="J434" i="2"/>
  <c r="T434" i="2" s="1"/>
  <c r="L434" i="2"/>
  <c r="M434" i="2"/>
  <c r="A435" i="2"/>
  <c r="B435" i="2"/>
  <c r="C435" i="2"/>
  <c r="G435" i="2"/>
  <c r="I435" i="2"/>
  <c r="U435" i="2" s="1"/>
  <c r="J435" i="2"/>
  <c r="T435" i="2" s="1"/>
  <c r="L435" i="2"/>
  <c r="M435" i="2"/>
  <c r="A436" i="2"/>
  <c r="B436" i="2"/>
  <c r="C436" i="2"/>
  <c r="G436" i="2"/>
  <c r="I436" i="2"/>
  <c r="U436" i="2" s="1"/>
  <c r="J436" i="2"/>
  <c r="L436" i="2"/>
  <c r="M436" i="2"/>
  <c r="A437" i="2"/>
  <c r="B437" i="2"/>
  <c r="C437" i="2"/>
  <c r="G437" i="2"/>
  <c r="I437" i="2"/>
  <c r="U437" i="2" s="1"/>
  <c r="J437" i="2"/>
  <c r="T437" i="2" s="1"/>
  <c r="L437" i="2"/>
  <c r="M437" i="2"/>
  <c r="A438" i="2"/>
  <c r="B438" i="2"/>
  <c r="C438" i="2"/>
  <c r="G438" i="2"/>
  <c r="I438" i="2"/>
  <c r="U438" i="2" s="1"/>
  <c r="J438" i="2"/>
  <c r="L438" i="2"/>
  <c r="M438" i="2"/>
  <c r="A439" i="2"/>
  <c r="B439" i="2"/>
  <c r="C439" i="2"/>
  <c r="G439" i="2"/>
  <c r="I439" i="2"/>
  <c r="J439" i="2"/>
  <c r="L439" i="2"/>
  <c r="M439" i="2"/>
  <c r="A440" i="2"/>
  <c r="B440" i="2"/>
  <c r="C440" i="2"/>
  <c r="G440" i="2"/>
  <c r="I440" i="2"/>
  <c r="U440" i="2" s="1"/>
  <c r="J440" i="2"/>
  <c r="L440" i="2"/>
  <c r="M440" i="2"/>
  <c r="A441" i="2"/>
  <c r="B441" i="2"/>
  <c r="C441" i="2"/>
  <c r="G441" i="2"/>
  <c r="I441" i="2"/>
  <c r="U441" i="2" s="1"/>
  <c r="J441" i="2"/>
  <c r="T441" i="2" s="1"/>
  <c r="L441" i="2"/>
  <c r="M441" i="2"/>
  <c r="A442" i="2"/>
  <c r="B442" i="2"/>
  <c r="C442" i="2"/>
  <c r="G442" i="2"/>
  <c r="I442" i="2"/>
  <c r="U442" i="2" s="1"/>
  <c r="J442" i="2"/>
  <c r="T442" i="2" s="1"/>
  <c r="L442" i="2"/>
  <c r="M442" i="2"/>
  <c r="A443" i="2"/>
  <c r="B443" i="2"/>
  <c r="C443" i="2"/>
  <c r="G443" i="2"/>
  <c r="I443" i="2"/>
  <c r="U443" i="2" s="1"/>
  <c r="J443" i="2"/>
  <c r="T443" i="2" s="1"/>
  <c r="L443" i="2"/>
  <c r="M443" i="2"/>
  <c r="A444" i="2"/>
  <c r="B444" i="2"/>
  <c r="C444" i="2"/>
  <c r="G444" i="2"/>
  <c r="I444" i="2"/>
  <c r="J444" i="2"/>
  <c r="L444" i="2"/>
  <c r="M444" i="2"/>
  <c r="A445" i="2"/>
  <c r="B445" i="2"/>
  <c r="C445" i="2"/>
  <c r="G445" i="2"/>
  <c r="I445" i="2"/>
  <c r="J445" i="2"/>
  <c r="L445" i="2"/>
  <c r="M445" i="2"/>
  <c r="A446" i="2"/>
  <c r="B446" i="2"/>
  <c r="C446" i="2"/>
  <c r="G446" i="2"/>
  <c r="I446" i="2"/>
  <c r="U446" i="2" s="1"/>
  <c r="J446" i="2"/>
  <c r="T446" i="2" s="1"/>
  <c r="L446" i="2"/>
  <c r="M446" i="2"/>
  <c r="A447" i="2"/>
  <c r="B447" i="2"/>
  <c r="C447" i="2"/>
  <c r="G447" i="2"/>
  <c r="I447" i="2"/>
  <c r="U447" i="2" s="1"/>
  <c r="J447" i="2"/>
  <c r="T447" i="2" s="1"/>
  <c r="L447" i="2"/>
  <c r="M447" i="2"/>
  <c r="A448" i="2"/>
  <c r="B448" i="2"/>
  <c r="C448" i="2"/>
  <c r="G448" i="2"/>
  <c r="I448" i="2"/>
  <c r="J448" i="2"/>
  <c r="T448" i="2" s="1"/>
  <c r="L448" i="2"/>
  <c r="M448" i="2"/>
  <c r="A449" i="2"/>
  <c r="B449" i="2"/>
  <c r="C449" i="2"/>
  <c r="G449" i="2"/>
  <c r="I449" i="2"/>
  <c r="U449" i="2" s="1"/>
  <c r="J449" i="2"/>
  <c r="T449" i="2" s="1"/>
  <c r="L449" i="2"/>
  <c r="M449" i="2"/>
  <c r="A450" i="2"/>
  <c r="B450" i="2"/>
  <c r="C450" i="2"/>
  <c r="G450" i="2"/>
  <c r="I450" i="2"/>
  <c r="U450" i="2" s="1"/>
  <c r="J450" i="2"/>
  <c r="T450" i="2" s="1"/>
  <c r="L450" i="2"/>
  <c r="M450" i="2"/>
  <c r="A451" i="2"/>
  <c r="B451" i="2"/>
  <c r="C451" i="2"/>
  <c r="G451" i="2"/>
  <c r="I451" i="2"/>
  <c r="U451" i="2" s="1"/>
  <c r="J451" i="2"/>
  <c r="T451" i="2" s="1"/>
  <c r="L451" i="2"/>
  <c r="M451" i="2"/>
  <c r="A452" i="2"/>
  <c r="B452" i="2"/>
  <c r="C452" i="2"/>
  <c r="G452" i="2"/>
  <c r="I452" i="2"/>
  <c r="J452" i="2"/>
  <c r="L452" i="2"/>
  <c r="M452" i="2"/>
  <c r="A453" i="2"/>
  <c r="B453" i="2"/>
  <c r="C453" i="2"/>
  <c r="G453" i="2"/>
  <c r="I453" i="2"/>
  <c r="U453" i="2" s="1"/>
  <c r="J453" i="2"/>
  <c r="T453" i="2" s="1"/>
  <c r="L453" i="2"/>
  <c r="M453" i="2"/>
  <c r="A454" i="2"/>
  <c r="B454" i="2"/>
  <c r="C454" i="2"/>
  <c r="G454" i="2"/>
  <c r="I454" i="2"/>
  <c r="U454" i="2" s="1"/>
  <c r="J454" i="2"/>
  <c r="T454" i="2" s="1"/>
  <c r="L454" i="2"/>
  <c r="M454" i="2"/>
  <c r="A455" i="2"/>
  <c r="B455" i="2"/>
  <c r="C455" i="2"/>
  <c r="G455" i="2"/>
  <c r="I455" i="2"/>
  <c r="U455" i="2" s="1"/>
  <c r="J455" i="2"/>
  <c r="T455" i="2" s="1"/>
  <c r="L455" i="2"/>
  <c r="M455" i="2"/>
  <c r="A456" i="2"/>
  <c r="B456" i="2"/>
  <c r="C456" i="2"/>
  <c r="G456" i="2"/>
  <c r="I456" i="2"/>
  <c r="J456" i="2"/>
  <c r="T456" i="2" s="1"/>
  <c r="L456" i="2"/>
  <c r="M456" i="2"/>
  <c r="A457" i="2"/>
  <c r="B457" i="2"/>
  <c r="C457" i="2"/>
  <c r="G457" i="2"/>
  <c r="I457" i="2"/>
  <c r="J457" i="2"/>
  <c r="T457" i="2" s="1"/>
  <c r="L457" i="2"/>
  <c r="M457" i="2"/>
  <c r="A458" i="2"/>
  <c r="B458" i="2"/>
  <c r="C458" i="2"/>
  <c r="G458" i="2"/>
  <c r="I458" i="2"/>
  <c r="U458" i="2" s="1"/>
  <c r="J458" i="2"/>
  <c r="T458" i="2" s="1"/>
  <c r="L458" i="2"/>
  <c r="M458" i="2"/>
  <c r="A459" i="2"/>
  <c r="B459" i="2"/>
  <c r="C459" i="2"/>
  <c r="G459" i="2"/>
  <c r="I459" i="2"/>
  <c r="U459" i="2" s="1"/>
  <c r="J459" i="2"/>
  <c r="T459" i="2" s="1"/>
  <c r="L459" i="2"/>
  <c r="M459" i="2"/>
  <c r="A460" i="2"/>
  <c r="B460" i="2"/>
  <c r="C460" i="2"/>
  <c r="G460" i="2"/>
  <c r="I460" i="2"/>
  <c r="U460" i="2" s="1"/>
  <c r="J460" i="2"/>
  <c r="T460" i="2" s="1"/>
  <c r="L460" i="2"/>
  <c r="M460" i="2"/>
  <c r="A461" i="2"/>
  <c r="B461" i="2"/>
  <c r="C461" i="2"/>
  <c r="G461" i="2"/>
  <c r="I461" i="2"/>
  <c r="J461" i="2"/>
  <c r="T461" i="2" s="1"/>
  <c r="L461" i="2"/>
  <c r="M461" i="2"/>
  <c r="A462" i="2"/>
  <c r="B462" i="2"/>
  <c r="C462" i="2"/>
  <c r="G462" i="2"/>
  <c r="I462" i="2"/>
  <c r="U462" i="2" s="1"/>
  <c r="J462" i="2"/>
  <c r="T462" i="2" s="1"/>
  <c r="L462" i="2"/>
  <c r="M462" i="2"/>
  <c r="A463" i="2"/>
  <c r="B463" i="2"/>
  <c r="C463" i="2"/>
  <c r="G463" i="2"/>
  <c r="I463" i="2"/>
  <c r="U463" i="2" s="1"/>
  <c r="J463" i="2"/>
  <c r="T463" i="2" s="1"/>
  <c r="L463" i="2"/>
  <c r="M463" i="2"/>
  <c r="A464" i="2"/>
  <c r="B464" i="2"/>
  <c r="C464" i="2"/>
  <c r="G464" i="2"/>
  <c r="I464" i="2"/>
  <c r="U464" i="2" s="1"/>
  <c r="J464" i="2"/>
  <c r="T464" i="2" s="1"/>
  <c r="L464" i="2"/>
  <c r="M464" i="2"/>
  <c r="A465" i="2"/>
  <c r="B465" i="2"/>
  <c r="C465" i="2"/>
  <c r="G465" i="2"/>
  <c r="I465" i="2"/>
  <c r="U465" i="2" s="1"/>
  <c r="J465" i="2"/>
  <c r="T465" i="2" s="1"/>
  <c r="L465" i="2"/>
  <c r="M465" i="2"/>
  <c r="A466" i="2"/>
  <c r="B466" i="2"/>
  <c r="C466" i="2"/>
  <c r="G466" i="2"/>
  <c r="I466" i="2"/>
  <c r="U466" i="2" s="1"/>
  <c r="J466" i="2"/>
  <c r="T466" i="2" s="1"/>
  <c r="L466" i="2"/>
  <c r="M466" i="2"/>
  <c r="A467" i="2"/>
  <c r="B467" i="2"/>
  <c r="C467" i="2"/>
  <c r="G467" i="2"/>
  <c r="I467" i="2"/>
  <c r="U467" i="2" s="1"/>
  <c r="J467" i="2"/>
  <c r="T467" i="2" s="1"/>
  <c r="L467" i="2"/>
  <c r="M467" i="2"/>
  <c r="A468" i="2"/>
  <c r="B468" i="2"/>
  <c r="C468" i="2"/>
  <c r="G468" i="2"/>
  <c r="I468" i="2"/>
  <c r="J468" i="2"/>
  <c r="T468" i="2" s="1"/>
  <c r="L468" i="2"/>
  <c r="M468" i="2"/>
  <c r="A469" i="2"/>
  <c r="B469" i="2"/>
  <c r="C469" i="2"/>
  <c r="G469" i="2"/>
  <c r="I469" i="2"/>
  <c r="U469" i="2" s="1"/>
  <c r="J469" i="2"/>
  <c r="L469" i="2"/>
  <c r="M469" i="2"/>
  <c r="A470" i="2"/>
  <c r="B470" i="2"/>
  <c r="C470" i="2"/>
  <c r="G470" i="2"/>
  <c r="I470" i="2"/>
  <c r="U470" i="2" s="1"/>
  <c r="J470" i="2"/>
  <c r="T470" i="2" s="1"/>
  <c r="L470" i="2"/>
  <c r="M470" i="2"/>
  <c r="A471" i="2"/>
  <c r="B471" i="2"/>
  <c r="C471" i="2"/>
  <c r="G471" i="2"/>
  <c r="I471" i="2"/>
  <c r="U471" i="2" s="1"/>
  <c r="J471" i="2"/>
  <c r="L471" i="2"/>
  <c r="M471" i="2"/>
  <c r="A472" i="2"/>
  <c r="B472" i="2"/>
  <c r="C472" i="2"/>
  <c r="G472" i="2"/>
  <c r="I472" i="2"/>
  <c r="J472" i="2"/>
  <c r="T472" i="2" s="1"/>
  <c r="L472" i="2"/>
  <c r="M472" i="2"/>
  <c r="A473" i="2"/>
  <c r="B473" i="2"/>
  <c r="C473" i="2"/>
  <c r="G473" i="2"/>
  <c r="I473" i="2"/>
  <c r="U473" i="2" s="1"/>
  <c r="J473" i="2"/>
  <c r="L473" i="2"/>
  <c r="M473" i="2"/>
  <c r="A474" i="2"/>
  <c r="B474" i="2"/>
  <c r="C474" i="2"/>
  <c r="G474" i="2"/>
  <c r="I474" i="2"/>
  <c r="U474" i="2" s="1"/>
  <c r="J474" i="2"/>
  <c r="T474" i="2" s="1"/>
  <c r="L474" i="2"/>
  <c r="M474" i="2"/>
  <c r="A475" i="2"/>
  <c r="B475" i="2"/>
  <c r="C475" i="2"/>
  <c r="G475" i="2"/>
  <c r="I475" i="2"/>
  <c r="U475" i="2" s="1"/>
  <c r="J475" i="2"/>
  <c r="L475" i="2"/>
  <c r="M475" i="2"/>
  <c r="A476" i="2"/>
  <c r="B476" i="2"/>
  <c r="C476" i="2"/>
  <c r="G476" i="2"/>
  <c r="I476" i="2"/>
  <c r="U476" i="2" s="1"/>
  <c r="J476" i="2"/>
  <c r="L476" i="2"/>
  <c r="M476" i="2"/>
  <c r="A477" i="2"/>
  <c r="B477" i="2"/>
  <c r="C477" i="2"/>
  <c r="G477" i="2"/>
  <c r="I477" i="2"/>
  <c r="J477" i="2"/>
  <c r="T477" i="2" s="1"/>
  <c r="L477" i="2"/>
  <c r="M477" i="2"/>
  <c r="A478" i="2"/>
  <c r="B478" i="2"/>
  <c r="C478" i="2"/>
  <c r="G478" i="2"/>
  <c r="I478" i="2"/>
  <c r="U478" i="2" s="1"/>
  <c r="J478" i="2"/>
  <c r="T478" i="2" s="1"/>
  <c r="L478" i="2"/>
  <c r="M478" i="2"/>
  <c r="A479" i="2"/>
  <c r="B479" i="2"/>
  <c r="C479" i="2"/>
  <c r="G479" i="2"/>
  <c r="I479" i="2"/>
  <c r="U479" i="2" s="1"/>
  <c r="J479" i="2"/>
  <c r="T479" i="2" s="1"/>
  <c r="L479" i="2"/>
  <c r="M479" i="2"/>
  <c r="A480" i="2"/>
  <c r="B480" i="2"/>
  <c r="C480" i="2"/>
  <c r="G480" i="2"/>
  <c r="I480" i="2"/>
  <c r="U480" i="2" s="1"/>
  <c r="J480" i="2"/>
  <c r="T480" i="2" s="1"/>
  <c r="L480" i="2"/>
  <c r="M480" i="2"/>
  <c r="A481" i="2"/>
  <c r="B481" i="2"/>
  <c r="C481" i="2"/>
  <c r="G481" i="2"/>
  <c r="I481" i="2"/>
  <c r="U481" i="2" s="1"/>
  <c r="J481" i="2"/>
  <c r="T481" i="2" s="1"/>
  <c r="L481" i="2"/>
  <c r="M481" i="2"/>
  <c r="A482" i="2"/>
  <c r="B482" i="2"/>
  <c r="C482" i="2"/>
  <c r="G482" i="2"/>
  <c r="I482" i="2"/>
  <c r="U482" i="2" s="1"/>
  <c r="J482" i="2"/>
  <c r="T482" i="2" s="1"/>
  <c r="L482" i="2"/>
  <c r="M482" i="2"/>
  <c r="A483" i="2"/>
  <c r="B483" i="2"/>
  <c r="C483" i="2"/>
  <c r="G483" i="2"/>
  <c r="I483" i="2"/>
  <c r="U483" i="2" s="1"/>
  <c r="J483" i="2"/>
  <c r="T483" i="2" s="1"/>
  <c r="L483" i="2"/>
  <c r="M483" i="2"/>
  <c r="A484" i="2"/>
  <c r="B484" i="2"/>
  <c r="C484" i="2"/>
  <c r="G484" i="2"/>
  <c r="I484" i="2"/>
  <c r="U484" i="2" s="1"/>
  <c r="J484" i="2"/>
  <c r="L484" i="2"/>
  <c r="M484" i="2"/>
  <c r="A485" i="2"/>
  <c r="B485" i="2"/>
  <c r="C485" i="2"/>
  <c r="G485" i="2"/>
  <c r="I485" i="2"/>
  <c r="U485" i="2" s="1"/>
  <c r="J485" i="2"/>
  <c r="T485" i="2" s="1"/>
  <c r="L485" i="2"/>
  <c r="M485" i="2"/>
  <c r="A486" i="2"/>
  <c r="B486" i="2"/>
  <c r="C486" i="2"/>
  <c r="G486" i="2"/>
  <c r="I486" i="2"/>
  <c r="U486" i="2" s="1"/>
  <c r="J486" i="2"/>
  <c r="T486" i="2" s="1"/>
  <c r="L486" i="2"/>
  <c r="M486" i="2"/>
  <c r="A487" i="2"/>
  <c r="B487" i="2"/>
  <c r="C487" i="2"/>
  <c r="G487" i="2"/>
  <c r="I487" i="2"/>
  <c r="U487" i="2" s="1"/>
  <c r="J487" i="2"/>
  <c r="L487" i="2"/>
  <c r="M487" i="2"/>
  <c r="A488" i="2"/>
  <c r="B488" i="2"/>
  <c r="C488" i="2"/>
  <c r="G488" i="2"/>
  <c r="I488" i="2"/>
  <c r="J488" i="2"/>
  <c r="T488" i="2" s="1"/>
  <c r="L488" i="2"/>
  <c r="M488" i="2"/>
  <c r="A489" i="2"/>
  <c r="B489" i="2"/>
  <c r="C489" i="2"/>
  <c r="G489" i="2"/>
  <c r="I489" i="2"/>
  <c r="U489" i="2" s="1"/>
  <c r="J489" i="2"/>
  <c r="T489" i="2" s="1"/>
  <c r="L489" i="2"/>
  <c r="M489" i="2"/>
  <c r="A490" i="2"/>
  <c r="B490" i="2"/>
  <c r="C490" i="2"/>
  <c r="G490" i="2"/>
  <c r="I490" i="2"/>
  <c r="U490" i="2" s="1"/>
  <c r="J490" i="2"/>
  <c r="T490" i="2" s="1"/>
  <c r="L490" i="2"/>
  <c r="M490" i="2"/>
  <c r="A491" i="2"/>
  <c r="B491" i="2"/>
  <c r="C491" i="2"/>
  <c r="G491" i="2"/>
  <c r="I491" i="2"/>
  <c r="U491" i="2" s="1"/>
  <c r="J491" i="2"/>
  <c r="T491" i="2" s="1"/>
  <c r="L491" i="2"/>
  <c r="M491" i="2"/>
  <c r="A492" i="2"/>
  <c r="B492" i="2"/>
  <c r="C492" i="2"/>
  <c r="G492" i="2"/>
  <c r="I492" i="2"/>
  <c r="U492" i="2" s="1"/>
  <c r="J492" i="2"/>
  <c r="T492" i="2" s="1"/>
  <c r="L492" i="2"/>
  <c r="M492" i="2"/>
  <c r="A493" i="2"/>
  <c r="B493" i="2"/>
  <c r="C493" i="2"/>
  <c r="G493" i="2"/>
  <c r="I493" i="2"/>
  <c r="J493" i="2"/>
  <c r="T493" i="2" s="1"/>
  <c r="L493" i="2"/>
  <c r="M493" i="2"/>
  <c r="A494" i="2"/>
  <c r="B494" i="2"/>
  <c r="C494" i="2"/>
  <c r="G494" i="2"/>
  <c r="I494" i="2"/>
  <c r="U494" i="2" s="1"/>
  <c r="J494" i="2"/>
  <c r="T494" i="2" s="1"/>
  <c r="L494" i="2"/>
  <c r="M494" i="2"/>
  <c r="A495" i="2"/>
  <c r="B495" i="2"/>
  <c r="C495" i="2"/>
  <c r="G495" i="2"/>
  <c r="I495" i="2"/>
  <c r="U495" i="2" s="1"/>
  <c r="J495" i="2"/>
  <c r="T495" i="2" s="1"/>
  <c r="L495" i="2"/>
  <c r="M495" i="2"/>
  <c r="A496" i="2"/>
  <c r="B496" i="2"/>
  <c r="C496" i="2"/>
  <c r="G496" i="2"/>
  <c r="I496" i="2"/>
  <c r="U496" i="2" s="1"/>
  <c r="J496" i="2"/>
  <c r="T496" i="2" s="1"/>
  <c r="L496" i="2"/>
  <c r="M496" i="2"/>
  <c r="A497" i="2"/>
  <c r="B497" i="2"/>
  <c r="C497" i="2"/>
  <c r="G497" i="2"/>
  <c r="I497" i="2"/>
  <c r="J497" i="2"/>
  <c r="T497" i="2" s="1"/>
  <c r="L497" i="2"/>
  <c r="M497" i="2"/>
  <c r="A498" i="2"/>
  <c r="B498" i="2"/>
  <c r="C498" i="2"/>
  <c r="G498" i="2"/>
  <c r="I498" i="2"/>
  <c r="J498" i="2"/>
  <c r="T498" i="2" s="1"/>
  <c r="L498" i="2"/>
  <c r="M498" i="2"/>
  <c r="A499" i="2"/>
  <c r="B499" i="2"/>
  <c r="C499" i="2"/>
  <c r="G499" i="2"/>
  <c r="I499" i="2"/>
  <c r="U499" i="2" s="1"/>
  <c r="J499" i="2"/>
  <c r="L499" i="2"/>
  <c r="M499" i="2"/>
  <c r="A500" i="2"/>
  <c r="B500" i="2"/>
  <c r="C500" i="2"/>
  <c r="G500" i="2"/>
  <c r="I500" i="2"/>
  <c r="U500" i="2" s="1"/>
  <c r="J500" i="2"/>
  <c r="T500" i="2" s="1"/>
  <c r="L500" i="2"/>
  <c r="M500" i="2"/>
  <c r="A501" i="2"/>
  <c r="B501" i="2"/>
  <c r="C501" i="2"/>
  <c r="G501" i="2"/>
  <c r="I501" i="2"/>
  <c r="U501" i="2" s="1"/>
  <c r="J501" i="2"/>
  <c r="T501" i="2" s="1"/>
  <c r="L501" i="2"/>
  <c r="M501" i="2"/>
  <c r="A502" i="2"/>
  <c r="B502" i="2"/>
  <c r="C502" i="2"/>
  <c r="G502" i="2"/>
  <c r="I502" i="2"/>
  <c r="J502" i="2"/>
  <c r="T502" i="2" s="1"/>
  <c r="L502" i="2"/>
  <c r="M502" i="2"/>
  <c r="A503" i="2"/>
  <c r="B503" i="2"/>
  <c r="C503" i="2"/>
  <c r="G503" i="2"/>
  <c r="I503" i="2"/>
  <c r="J503" i="2"/>
  <c r="T503" i="2" s="1"/>
  <c r="L503" i="2"/>
  <c r="M503" i="2"/>
  <c r="A504" i="2"/>
  <c r="B504" i="2"/>
  <c r="C504" i="2"/>
  <c r="G504" i="2"/>
  <c r="I504" i="2"/>
  <c r="U504" i="2" s="1"/>
  <c r="J504" i="2"/>
  <c r="L504" i="2"/>
  <c r="M504" i="2"/>
  <c r="A505" i="2"/>
  <c r="B505" i="2"/>
  <c r="C505" i="2"/>
  <c r="G505" i="2"/>
  <c r="I505" i="2"/>
  <c r="U505" i="2" s="1"/>
  <c r="J505" i="2"/>
  <c r="T505" i="2" s="1"/>
  <c r="L505" i="2"/>
  <c r="M505" i="2"/>
  <c r="A506" i="2"/>
  <c r="B506" i="2"/>
  <c r="C506" i="2"/>
  <c r="G506" i="2"/>
  <c r="I506" i="2"/>
  <c r="J506" i="2"/>
  <c r="T506" i="2" s="1"/>
  <c r="L506" i="2"/>
  <c r="M506" i="2"/>
  <c r="A507" i="2"/>
  <c r="B507" i="2"/>
  <c r="C507" i="2"/>
  <c r="G507" i="2"/>
  <c r="I507" i="2"/>
  <c r="U507" i="2" s="1"/>
  <c r="J507" i="2"/>
  <c r="T507" i="2" s="1"/>
  <c r="L507" i="2"/>
  <c r="M507" i="2"/>
  <c r="A508" i="2"/>
  <c r="B508" i="2"/>
  <c r="C508" i="2"/>
  <c r="G508" i="2"/>
  <c r="I508" i="2"/>
  <c r="U508" i="2" s="1"/>
  <c r="J508" i="2"/>
  <c r="T508" i="2" s="1"/>
  <c r="L508" i="2"/>
  <c r="M508" i="2"/>
  <c r="A509" i="2"/>
  <c r="B509" i="2"/>
  <c r="C509" i="2"/>
  <c r="G509" i="2"/>
  <c r="I509" i="2"/>
  <c r="U509" i="2" s="1"/>
  <c r="J509" i="2"/>
  <c r="T509" i="2" s="1"/>
  <c r="L509" i="2"/>
  <c r="M509" i="2"/>
  <c r="A510" i="2"/>
  <c r="B510" i="2"/>
  <c r="C510" i="2"/>
  <c r="G510" i="2"/>
  <c r="I510" i="2"/>
  <c r="U510" i="2" s="1"/>
  <c r="J510" i="2"/>
  <c r="T510" i="2" s="1"/>
  <c r="L510" i="2"/>
  <c r="M510" i="2"/>
  <c r="A511" i="2"/>
  <c r="B511" i="2"/>
  <c r="C511" i="2"/>
  <c r="G511" i="2"/>
  <c r="I511" i="2"/>
  <c r="U511" i="2" s="1"/>
  <c r="J511" i="2"/>
  <c r="T511" i="2" s="1"/>
  <c r="L511" i="2"/>
  <c r="M511" i="2"/>
  <c r="A512" i="2"/>
  <c r="B512" i="2"/>
  <c r="C512" i="2"/>
  <c r="G512" i="2"/>
  <c r="I512" i="2"/>
  <c r="U512" i="2" s="1"/>
  <c r="J512" i="2"/>
  <c r="T512" i="2" s="1"/>
  <c r="L512" i="2"/>
  <c r="M512" i="2"/>
  <c r="A513" i="2"/>
  <c r="B513" i="2"/>
  <c r="C513" i="2"/>
  <c r="G513" i="2"/>
  <c r="I513" i="2"/>
  <c r="U513" i="2" s="1"/>
  <c r="J513" i="2"/>
  <c r="T513" i="2" s="1"/>
  <c r="L513" i="2"/>
  <c r="M513" i="2"/>
  <c r="A514" i="2"/>
  <c r="B514" i="2"/>
  <c r="C514" i="2"/>
  <c r="G514" i="2"/>
  <c r="I514" i="2"/>
  <c r="J514" i="2"/>
  <c r="T514" i="2" s="1"/>
  <c r="L514" i="2"/>
  <c r="M514" i="2"/>
  <c r="A515" i="2"/>
  <c r="B515" i="2"/>
  <c r="C515" i="2"/>
  <c r="G515" i="2"/>
  <c r="I515" i="2"/>
  <c r="U515" i="2" s="1"/>
  <c r="J515" i="2"/>
  <c r="T515" i="2" s="1"/>
  <c r="L515" i="2"/>
  <c r="M515" i="2"/>
  <c r="A516" i="2"/>
  <c r="B516" i="2"/>
  <c r="C516" i="2"/>
  <c r="G516" i="2"/>
  <c r="I516" i="2"/>
  <c r="U516" i="2" s="1"/>
  <c r="J516" i="2"/>
  <c r="T516" i="2" s="1"/>
  <c r="L516" i="2"/>
  <c r="M516" i="2"/>
  <c r="A517" i="2"/>
  <c r="B517" i="2"/>
  <c r="C517" i="2"/>
  <c r="G517" i="2"/>
  <c r="I517" i="2"/>
  <c r="U517" i="2" s="1"/>
  <c r="J517" i="2"/>
  <c r="T517" i="2" s="1"/>
  <c r="L517" i="2"/>
  <c r="M517" i="2"/>
  <c r="A518" i="2"/>
  <c r="B518" i="2"/>
  <c r="C518" i="2"/>
  <c r="G518" i="2"/>
  <c r="I518" i="2"/>
  <c r="J518" i="2"/>
  <c r="L518" i="2"/>
  <c r="M518" i="2"/>
  <c r="A519" i="2"/>
  <c r="B519" i="2"/>
  <c r="C519" i="2"/>
  <c r="G519" i="2"/>
  <c r="I519" i="2"/>
  <c r="U519" i="2" s="1"/>
  <c r="J519" i="2"/>
  <c r="T519" i="2" s="1"/>
  <c r="L519" i="2"/>
  <c r="M519" i="2"/>
  <c r="A520" i="2"/>
  <c r="B520" i="2"/>
  <c r="C520" i="2"/>
  <c r="G520" i="2"/>
  <c r="I520" i="2"/>
  <c r="U520" i="2" s="1"/>
  <c r="J520" i="2"/>
  <c r="T520" i="2" s="1"/>
  <c r="L520" i="2"/>
  <c r="M520" i="2"/>
  <c r="A521" i="2"/>
  <c r="B521" i="2"/>
  <c r="C521" i="2"/>
  <c r="G521" i="2"/>
  <c r="I521" i="2"/>
  <c r="U521" i="2" s="1"/>
  <c r="J521" i="2"/>
  <c r="T521" i="2" s="1"/>
  <c r="L521" i="2"/>
  <c r="M521" i="2"/>
  <c r="A522" i="2"/>
  <c r="B522" i="2"/>
  <c r="C522" i="2"/>
  <c r="G522" i="2"/>
  <c r="I522" i="2"/>
  <c r="U522" i="2" s="1"/>
  <c r="J522" i="2"/>
  <c r="T522" i="2" s="1"/>
  <c r="L522" i="2"/>
  <c r="M522" i="2"/>
  <c r="A523" i="2"/>
  <c r="B523" i="2"/>
  <c r="C523" i="2"/>
  <c r="G523" i="2"/>
  <c r="I523" i="2"/>
  <c r="U523" i="2" s="1"/>
  <c r="J523" i="2"/>
  <c r="T523" i="2" s="1"/>
  <c r="L523" i="2"/>
  <c r="M523" i="2"/>
  <c r="A524" i="2"/>
  <c r="B524" i="2"/>
  <c r="C524" i="2"/>
  <c r="G524" i="2"/>
  <c r="I524" i="2"/>
  <c r="U524" i="2" s="1"/>
  <c r="J524" i="2"/>
  <c r="T524" i="2" s="1"/>
  <c r="L524" i="2"/>
  <c r="M524" i="2"/>
  <c r="A525" i="2"/>
  <c r="B525" i="2"/>
  <c r="C525" i="2"/>
  <c r="G525" i="2"/>
  <c r="I525" i="2"/>
  <c r="U525" i="2" s="1"/>
  <c r="J525" i="2"/>
  <c r="T525" i="2" s="1"/>
  <c r="L525" i="2"/>
  <c r="M525" i="2"/>
  <c r="A526" i="2"/>
  <c r="B526" i="2"/>
  <c r="C526" i="2"/>
  <c r="G526" i="2"/>
  <c r="I526" i="2"/>
  <c r="U526" i="2" s="1"/>
  <c r="J526" i="2"/>
  <c r="T526" i="2" s="1"/>
  <c r="L526" i="2"/>
  <c r="M526" i="2"/>
  <c r="A527" i="2"/>
  <c r="B527" i="2"/>
  <c r="C527" i="2"/>
  <c r="G527" i="2"/>
  <c r="I527" i="2"/>
  <c r="U527" i="2" s="1"/>
  <c r="J527" i="2"/>
  <c r="T527" i="2" s="1"/>
  <c r="L527" i="2"/>
  <c r="M527" i="2"/>
  <c r="A528" i="2"/>
  <c r="B528" i="2"/>
  <c r="C528" i="2"/>
  <c r="G528" i="2"/>
  <c r="I528" i="2"/>
  <c r="U528" i="2" s="1"/>
  <c r="J528" i="2"/>
  <c r="T528" i="2" s="1"/>
  <c r="L528" i="2"/>
  <c r="M528" i="2"/>
  <c r="A529" i="2"/>
  <c r="B529" i="2"/>
  <c r="C529" i="2"/>
  <c r="G529" i="2"/>
  <c r="I529" i="2"/>
  <c r="U529" i="2" s="1"/>
  <c r="J529" i="2"/>
  <c r="L529" i="2"/>
  <c r="M529" i="2"/>
  <c r="A530" i="2"/>
  <c r="B530" i="2"/>
  <c r="C530" i="2"/>
  <c r="G530" i="2"/>
  <c r="I530" i="2"/>
  <c r="U530" i="2" s="1"/>
  <c r="J530" i="2"/>
  <c r="T530" i="2" s="1"/>
  <c r="L530" i="2"/>
  <c r="M530" i="2"/>
  <c r="A531" i="2"/>
  <c r="B531" i="2"/>
  <c r="C531" i="2"/>
  <c r="G531" i="2"/>
  <c r="I531" i="2"/>
  <c r="U531" i="2" s="1"/>
  <c r="J531" i="2"/>
  <c r="T531" i="2" s="1"/>
  <c r="L531" i="2"/>
  <c r="M531" i="2"/>
  <c r="A532" i="2"/>
  <c r="B532" i="2"/>
  <c r="C532" i="2"/>
  <c r="G532" i="2"/>
  <c r="I532" i="2"/>
  <c r="U532" i="2" s="1"/>
  <c r="J532" i="2"/>
  <c r="T532" i="2" s="1"/>
  <c r="L532" i="2"/>
  <c r="M532" i="2"/>
  <c r="A533" i="2"/>
  <c r="B533" i="2"/>
  <c r="C533" i="2"/>
  <c r="G533" i="2"/>
  <c r="I533" i="2"/>
  <c r="U533" i="2" s="1"/>
  <c r="J533" i="2"/>
  <c r="T533" i="2" s="1"/>
  <c r="L533" i="2"/>
  <c r="M533" i="2"/>
  <c r="A534" i="2"/>
  <c r="B534" i="2"/>
  <c r="C534" i="2"/>
  <c r="G534" i="2"/>
  <c r="I534" i="2"/>
  <c r="J534" i="2"/>
  <c r="L534" i="2"/>
  <c r="M534" i="2"/>
  <c r="A535" i="2"/>
  <c r="B535" i="2"/>
  <c r="C535" i="2"/>
  <c r="G535" i="2"/>
  <c r="I535" i="2"/>
  <c r="U535" i="2" s="1"/>
  <c r="J535" i="2"/>
  <c r="T535" i="2" s="1"/>
  <c r="L535" i="2"/>
  <c r="M535" i="2"/>
  <c r="A536" i="2"/>
  <c r="B536" i="2"/>
  <c r="C536" i="2"/>
  <c r="G536" i="2"/>
  <c r="I536" i="2"/>
  <c r="U536" i="2" s="1"/>
  <c r="J536" i="2"/>
  <c r="L536" i="2"/>
  <c r="M536" i="2"/>
  <c r="A537" i="2"/>
  <c r="B537" i="2"/>
  <c r="C537" i="2"/>
  <c r="G537" i="2"/>
  <c r="I537" i="2"/>
  <c r="U537" i="2" s="1"/>
  <c r="J537" i="2"/>
  <c r="T537" i="2" s="1"/>
  <c r="L537" i="2"/>
  <c r="M537" i="2"/>
  <c r="A538" i="2"/>
  <c r="B538" i="2"/>
  <c r="C538" i="2"/>
  <c r="G538" i="2"/>
  <c r="I538" i="2"/>
  <c r="J538" i="2"/>
  <c r="T538" i="2" s="1"/>
  <c r="L538" i="2"/>
  <c r="M538" i="2"/>
  <c r="A539" i="2"/>
  <c r="B539" i="2"/>
  <c r="C539" i="2"/>
  <c r="G539" i="2"/>
  <c r="I539" i="2"/>
  <c r="J539" i="2"/>
  <c r="T539" i="2" s="1"/>
  <c r="L539" i="2"/>
  <c r="M539" i="2"/>
  <c r="A540" i="2"/>
  <c r="B540" i="2"/>
  <c r="C540" i="2"/>
  <c r="G540" i="2"/>
  <c r="I540" i="2"/>
  <c r="U540" i="2" s="1"/>
  <c r="J540" i="2"/>
  <c r="L540" i="2"/>
  <c r="M540" i="2"/>
  <c r="A541" i="2"/>
  <c r="B541" i="2"/>
  <c r="C541" i="2"/>
  <c r="G541" i="2"/>
  <c r="I541" i="2"/>
  <c r="U541" i="2" s="1"/>
  <c r="J541" i="2"/>
  <c r="T541" i="2" s="1"/>
  <c r="L541" i="2"/>
  <c r="M541" i="2"/>
  <c r="A542" i="2"/>
  <c r="B542" i="2"/>
  <c r="C542" i="2"/>
  <c r="G542" i="2"/>
  <c r="I542" i="2"/>
  <c r="U542" i="2" s="1"/>
  <c r="J542" i="2"/>
  <c r="T542" i="2" s="1"/>
  <c r="L542" i="2"/>
  <c r="M542" i="2"/>
  <c r="A543" i="2"/>
  <c r="B543" i="2"/>
  <c r="C543" i="2"/>
  <c r="G543" i="2"/>
  <c r="I543" i="2"/>
  <c r="U543" i="2" s="1"/>
  <c r="J543" i="2"/>
  <c r="T543" i="2" s="1"/>
  <c r="L543" i="2"/>
  <c r="M543" i="2"/>
  <c r="A544" i="2"/>
  <c r="B544" i="2"/>
  <c r="C544" i="2"/>
  <c r="G544" i="2"/>
  <c r="I544" i="2"/>
  <c r="U544" i="2" s="1"/>
  <c r="J544" i="2"/>
  <c r="L544" i="2"/>
  <c r="M544" i="2"/>
  <c r="A545" i="2"/>
  <c r="B545" i="2"/>
  <c r="C545" i="2"/>
  <c r="G545" i="2"/>
  <c r="I545" i="2"/>
  <c r="J545" i="2"/>
  <c r="T545" i="2" s="1"/>
  <c r="L545" i="2"/>
  <c r="M545" i="2"/>
  <c r="A546" i="2"/>
  <c r="B546" i="2"/>
  <c r="C546" i="2"/>
  <c r="G546" i="2"/>
  <c r="I546" i="2"/>
  <c r="J546" i="2"/>
  <c r="T546" i="2" s="1"/>
  <c r="L546" i="2"/>
  <c r="M546" i="2"/>
  <c r="A547" i="2"/>
  <c r="B547" i="2"/>
  <c r="C547" i="2"/>
  <c r="G547" i="2"/>
  <c r="I547" i="2"/>
  <c r="U547" i="2" s="1"/>
  <c r="J547" i="2"/>
  <c r="T547" i="2" s="1"/>
  <c r="L547" i="2"/>
  <c r="M547" i="2"/>
  <c r="A548" i="2"/>
  <c r="B548" i="2"/>
  <c r="C548" i="2"/>
  <c r="G548" i="2"/>
  <c r="I548" i="2"/>
  <c r="U548" i="2" s="1"/>
  <c r="J548" i="2"/>
  <c r="T548" i="2" s="1"/>
  <c r="L548" i="2"/>
  <c r="M548" i="2"/>
  <c r="A549" i="2"/>
  <c r="B549" i="2"/>
  <c r="C549" i="2"/>
  <c r="G549" i="2"/>
  <c r="I549" i="2"/>
  <c r="U549" i="2" s="1"/>
  <c r="J549" i="2"/>
  <c r="T549" i="2" s="1"/>
  <c r="L549" i="2"/>
  <c r="M549" i="2"/>
  <c r="A550" i="2"/>
  <c r="B550" i="2"/>
  <c r="C550" i="2"/>
  <c r="G550" i="2"/>
  <c r="I550" i="2"/>
  <c r="J550" i="2"/>
  <c r="T550" i="2" s="1"/>
  <c r="L550" i="2"/>
  <c r="M550" i="2"/>
  <c r="A551" i="2"/>
  <c r="B551" i="2"/>
  <c r="C551" i="2"/>
  <c r="G551" i="2"/>
  <c r="I551" i="2"/>
  <c r="U551" i="2" s="1"/>
  <c r="J551" i="2"/>
  <c r="T551" i="2" s="1"/>
  <c r="L551" i="2"/>
  <c r="M551" i="2"/>
  <c r="A552" i="2"/>
  <c r="B552" i="2"/>
  <c r="C552" i="2"/>
  <c r="G552" i="2"/>
  <c r="I552" i="2"/>
  <c r="U552" i="2" s="1"/>
  <c r="J552" i="2"/>
  <c r="T552" i="2" s="1"/>
  <c r="L552" i="2"/>
  <c r="M552" i="2"/>
  <c r="A553" i="2"/>
  <c r="B553" i="2"/>
  <c r="C553" i="2"/>
  <c r="G553" i="2"/>
  <c r="I553" i="2"/>
  <c r="U553" i="2" s="1"/>
  <c r="J553" i="2"/>
  <c r="T553" i="2" s="1"/>
  <c r="L553" i="2"/>
  <c r="M553" i="2"/>
  <c r="A554" i="2"/>
  <c r="B554" i="2"/>
  <c r="C554" i="2"/>
  <c r="G554" i="2"/>
  <c r="I554" i="2"/>
  <c r="J554" i="2"/>
  <c r="T554" i="2" s="1"/>
  <c r="L554" i="2"/>
  <c r="M554" i="2"/>
  <c r="A555" i="2"/>
  <c r="B555" i="2"/>
  <c r="C555" i="2"/>
  <c r="G555" i="2"/>
  <c r="I555" i="2"/>
  <c r="U555" i="2" s="1"/>
  <c r="J555" i="2"/>
  <c r="T555" i="2" s="1"/>
  <c r="L555" i="2"/>
  <c r="M555" i="2"/>
  <c r="A556" i="2"/>
  <c r="B556" i="2"/>
  <c r="C556" i="2"/>
  <c r="G556" i="2"/>
  <c r="I556" i="2"/>
  <c r="U556" i="2" s="1"/>
  <c r="J556" i="2"/>
  <c r="L556" i="2"/>
  <c r="M556" i="2"/>
  <c r="A557" i="2"/>
  <c r="B557" i="2"/>
  <c r="C557" i="2"/>
  <c r="G557" i="2"/>
  <c r="I557" i="2"/>
  <c r="U557" i="2" s="1"/>
  <c r="J557" i="2"/>
  <c r="T557" i="2" s="1"/>
  <c r="L557" i="2"/>
  <c r="M557" i="2"/>
  <c r="A558" i="2"/>
  <c r="B558" i="2"/>
  <c r="C558" i="2"/>
  <c r="G558" i="2"/>
  <c r="I558" i="2"/>
  <c r="U558" i="2" s="1"/>
  <c r="J558" i="2"/>
  <c r="T558" i="2" s="1"/>
  <c r="L558" i="2"/>
  <c r="M558" i="2"/>
  <c r="A559" i="2"/>
  <c r="B559" i="2"/>
  <c r="C559" i="2"/>
  <c r="G559" i="2"/>
  <c r="I559" i="2"/>
  <c r="J559" i="2"/>
  <c r="T559" i="2" s="1"/>
  <c r="L559" i="2"/>
  <c r="M559" i="2"/>
  <c r="A560" i="2"/>
  <c r="B560" i="2"/>
  <c r="C560" i="2"/>
  <c r="G560" i="2"/>
  <c r="I560" i="2"/>
  <c r="U560" i="2" s="1"/>
  <c r="J560" i="2"/>
  <c r="T560" i="2" s="1"/>
  <c r="L560" i="2"/>
  <c r="M560" i="2"/>
  <c r="A561" i="2"/>
  <c r="B561" i="2"/>
  <c r="C561" i="2"/>
  <c r="G561" i="2"/>
  <c r="I561" i="2"/>
  <c r="U561" i="2" s="1"/>
  <c r="J561" i="2"/>
  <c r="T561" i="2" s="1"/>
  <c r="L561" i="2"/>
  <c r="M561" i="2"/>
  <c r="A562" i="2"/>
  <c r="B562" i="2"/>
  <c r="C562" i="2"/>
  <c r="G562" i="2"/>
  <c r="I562" i="2"/>
  <c r="U562" i="2" s="1"/>
  <c r="J562" i="2"/>
  <c r="T562" i="2" s="1"/>
  <c r="L562" i="2"/>
  <c r="M562" i="2"/>
  <c r="A563" i="2"/>
  <c r="B563" i="2"/>
  <c r="C563" i="2"/>
  <c r="G563" i="2"/>
  <c r="I563" i="2"/>
  <c r="U563" i="2" s="1"/>
  <c r="J563" i="2"/>
  <c r="T563" i="2" s="1"/>
  <c r="L563" i="2"/>
  <c r="M563" i="2"/>
  <c r="A564" i="2"/>
  <c r="B564" i="2"/>
  <c r="C564" i="2"/>
  <c r="G564" i="2"/>
  <c r="I564" i="2"/>
  <c r="U564" i="2" s="1"/>
  <c r="J564" i="2"/>
  <c r="T564" i="2" s="1"/>
  <c r="L564" i="2"/>
  <c r="M564" i="2"/>
  <c r="A565" i="2"/>
  <c r="B565" i="2"/>
  <c r="C565" i="2"/>
  <c r="G565" i="2"/>
  <c r="I565" i="2"/>
  <c r="U565" i="2" s="1"/>
  <c r="J565" i="2"/>
  <c r="T565" i="2" s="1"/>
  <c r="L565" i="2"/>
  <c r="M565" i="2"/>
  <c r="A566" i="2"/>
  <c r="B566" i="2"/>
  <c r="C566" i="2"/>
  <c r="G566" i="2"/>
  <c r="I566" i="2"/>
  <c r="U566" i="2" s="1"/>
  <c r="J566" i="2"/>
  <c r="L566" i="2"/>
  <c r="M566" i="2"/>
  <c r="A567" i="2"/>
  <c r="B567" i="2"/>
  <c r="C567" i="2"/>
  <c r="G567" i="2"/>
  <c r="I567" i="2"/>
  <c r="U567" i="2" s="1"/>
  <c r="J567" i="2"/>
  <c r="T567" i="2" s="1"/>
  <c r="L567" i="2"/>
  <c r="M567" i="2"/>
  <c r="A568" i="2"/>
  <c r="B568" i="2"/>
  <c r="C568" i="2"/>
  <c r="G568" i="2"/>
  <c r="I568" i="2"/>
  <c r="U568" i="2" s="1"/>
  <c r="J568" i="2"/>
  <c r="T568" i="2" s="1"/>
  <c r="L568" i="2"/>
  <c r="M568" i="2"/>
  <c r="A569" i="2"/>
  <c r="B569" i="2"/>
  <c r="C569" i="2"/>
  <c r="G569" i="2"/>
  <c r="I569" i="2"/>
  <c r="J569" i="2"/>
  <c r="L569" i="2"/>
  <c r="M569" i="2"/>
  <c r="A570" i="2"/>
  <c r="B570" i="2"/>
  <c r="C570" i="2"/>
  <c r="G570" i="2"/>
  <c r="I570" i="2"/>
  <c r="U570" i="2" s="1"/>
  <c r="J570" i="2"/>
  <c r="L570" i="2"/>
  <c r="M570" i="2"/>
  <c r="A571" i="2"/>
  <c r="B571" i="2"/>
  <c r="C571" i="2"/>
  <c r="G571" i="2"/>
  <c r="I571" i="2"/>
  <c r="U571" i="2" s="1"/>
  <c r="J571" i="2"/>
  <c r="L571" i="2"/>
  <c r="M571" i="2"/>
  <c r="A572" i="2"/>
  <c r="B572" i="2"/>
  <c r="C572" i="2"/>
  <c r="G572" i="2"/>
  <c r="I572" i="2"/>
  <c r="U572" i="2" s="1"/>
  <c r="J572" i="2"/>
  <c r="T572" i="2" s="1"/>
  <c r="L572" i="2"/>
  <c r="M572" i="2"/>
  <c r="A573" i="2"/>
  <c r="B573" i="2"/>
  <c r="C573" i="2"/>
  <c r="G573" i="2"/>
  <c r="I573" i="2"/>
  <c r="U573" i="2" s="1"/>
  <c r="J573" i="2"/>
  <c r="T573" i="2" s="1"/>
  <c r="L573" i="2"/>
  <c r="M573" i="2"/>
  <c r="A574" i="2"/>
  <c r="B574" i="2"/>
  <c r="C574" i="2"/>
  <c r="G574" i="2"/>
  <c r="I574" i="2"/>
  <c r="J574" i="2"/>
  <c r="L574" i="2"/>
  <c r="M574" i="2"/>
  <c r="A575" i="2"/>
  <c r="B575" i="2"/>
  <c r="C575" i="2"/>
  <c r="G575" i="2"/>
  <c r="I575" i="2"/>
  <c r="J575" i="2"/>
  <c r="T575" i="2" s="1"/>
  <c r="L575" i="2"/>
  <c r="M575" i="2"/>
  <c r="A576" i="2"/>
  <c r="B576" i="2"/>
  <c r="C576" i="2"/>
  <c r="G576" i="2"/>
  <c r="I576" i="2"/>
  <c r="U576" i="2" s="1"/>
  <c r="J576" i="2"/>
  <c r="T576" i="2" s="1"/>
  <c r="L576" i="2"/>
  <c r="M576" i="2"/>
  <c r="A577" i="2"/>
  <c r="B577" i="2"/>
  <c r="C577" i="2"/>
  <c r="G577" i="2"/>
  <c r="I577" i="2"/>
  <c r="U577" i="2" s="1"/>
  <c r="J577" i="2"/>
  <c r="T577" i="2" s="1"/>
  <c r="L577" i="2"/>
  <c r="M577" i="2"/>
  <c r="A578" i="2"/>
  <c r="B578" i="2"/>
  <c r="C578" i="2"/>
  <c r="G578" i="2"/>
  <c r="I578" i="2"/>
  <c r="J578" i="2"/>
  <c r="L578" i="2"/>
  <c r="M578" i="2"/>
  <c r="A579" i="2"/>
  <c r="B579" i="2"/>
  <c r="C579" i="2"/>
  <c r="G579" i="2"/>
  <c r="I579" i="2"/>
  <c r="U579" i="2" s="1"/>
  <c r="J579" i="2"/>
  <c r="T579" i="2" s="1"/>
  <c r="L579" i="2"/>
  <c r="M579" i="2"/>
  <c r="A580" i="2"/>
  <c r="B580" i="2"/>
  <c r="C580" i="2"/>
  <c r="G580" i="2"/>
  <c r="I580" i="2"/>
  <c r="U580" i="2" s="1"/>
  <c r="J580" i="2"/>
  <c r="T580" i="2" s="1"/>
  <c r="L580" i="2"/>
  <c r="M580" i="2"/>
  <c r="A581" i="2"/>
  <c r="B581" i="2"/>
  <c r="C581" i="2"/>
  <c r="G581" i="2"/>
  <c r="I581" i="2"/>
  <c r="J581" i="2"/>
  <c r="T581" i="2" s="1"/>
  <c r="L581" i="2"/>
  <c r="M581" i="2"/>
  <c r="A582" i="2"/>
  <c r="B582" i="2"/>
  <c r="C582" i="2"/>
  <c r="G582" i="2"/>
  <c r="I582" i="2"/>
  <c r="U582" i="2" s="1"/>
  <c r="J582" i="2"/>
  <c r="L582" i="2"/>
  <c r="M582" i="2"/>
  <c r="A583" i="2"/>
  <c r="B583" i="2"/>
  <c r="C583" i="2"/>
  <c r="G583" i="2"/>
  <c r="I583" i="2"/>
  <c r="U583" i="2" s="1"/>
  <c r="J583" i="2"/>
  <c r="T583" i="2" s="1"/>
  <c r="L583" i="2"/>
  <c r="M583" i="2"/>
  <c r="A584" i="2"/>
  <c r="B584" i="2"/>
  <c r="C584" i="2"/>
  <c r="G584" i="2"/>
  <c r="I584" i="2"/>
  <c r="U584" i="2" s="1"/>
  <c r="J584" i="2"/>
  <c r="T584" i="2" s="1"/>
  <c r="L584" i="2"/>
  <c r="M584" i="2"/>
  <c r="A585" i="2"/>
  <c r="B585" i="2"/>
  <c r="C585" i="2"/>
  <c r="G585" i="2"/>
  <c r="I585" i="2"/>
  <c r="U585" i="2" s="1"/>
  <c r="J585" i="2"/>
  <c r="T585" i="2" s="1"/>
  <c r="L585" i="2"/>
  <c r="M585" i="2"/>
  <c r="A586" i="2"/>
  <c r="B586" i="2"/>
  <c r="C586" i="2"/>
  <c r="G586" i="2"/>
  <c r="I586" i="2"/>
  <c r="U586" i="2" s="1"/>
  <c r="J586" i="2"/>
  <c r="L586" i="2"/>
  <c r="M586" i="2"/>
  <c r="A587" i="2"/>
  <c r="B587" i="2"/>
  <c r="C587" i="2"/>
  <c r="G587" i="2"/>
  <c r="I587" i="2"/>
  <c r="U587" i="2" s="1"/>
  <c r="J587" i="2"/>
  <c r="T587" i="2" s="1"/>
  <c r="L587" i="2"/>
  <c r="M587" i="2"/>
  <c r="A588" i="2"/>
  <c r="B588" i="2"/>
  <c r="C588" i="2"/>
  <c r="G588" i="2"/>
  <c r="I588" i="2"/>
  <c r="U588" i="2" s="1"/>
  <c r="J588" i="2"/>
  <c r="T588" i="2" s="1"/>
  <c r="L588" i="2"/>
  <c r="M588" i="2"/>
  <c r="A589" i="2"/>
  <c r="B589" i="2"/>
  <c r="C589" i="2"/>
  <c r="G589" i="2"/>
  <c r="I589" i="2"/>
  <c r="U589" i="2" s="1"/>
  <c r="J589" i="2"/>
  <c r="T589" i="2" s="1"/>
  <c r="L589" i="2"/>
  <c r="M589" i="2"/>
  <c r="A590" i="2"/>
  <c r="B590" i="2"/>
  <c r="C590" i="2"/>
  <c r="G590" i="2"/>
  <c r="I590" i="2"/>
  <c r="J590" i="2"/>
  <c r="T590" i="2" s="1"/>
  <c r="L590" i="2"/>
  <c r="M590" i="2"/>
  <c r="A591" i="2"/>
  <c r="B591" i="2"/>
  <c r="C591" i="2"/>
  <c r="G591" i="2"/>
  <c r="I591" i="2"/>
  <c r="U591" i="2" s="1"/>
  <c r="J591" i="2"/>
  <c r="T591" i="2" s="1"/>
  <c r="L591" i="2"/>
  <c r="M591" i="2"/>
  <c r="A592" i="2"/>
  <c r="B592" i="2"/>
  <c r="C592" i="2"/>
  <c r="G592" i="2"/>
  <c r="I592" i="2"/>
  <c r="U592" i="2" s="1"/>
  <c r="J592" i="2"/>
  <c r="T592" i="2" s="1"/>
  <c r="L592" i="2"/>
  <c r="M592" i="2"/>
  <c r="A593" i="2"/>
  <c r="B593" i="2"/>
  <c r="C593" i="2"/>
  <c r="G593" i="2"/>
  <c r="I593" i="2"/>
  <c r="U593" i="2" s="1"/>
  <c r="J593" i="2"/>
  <c r="T593" i="2" s="1"/>
  <c r="L593" i="2"/>
  <c r="M593" i="2"/>
  <c r="A594" i="2"/>
  <c r="B594" i="2"/>
  <c r="C594" i="2"/>
  <c r="G594" i="2"/>
  <c r="I594" i="2"/>
  <c r="U594" i="2" s="1"/>
  <c r="J594" i="2"/>
  <c r="T594" i="2" s="1"/>
  <c r="L594" i="2"/>
  <c r="M594" i="2"/>
  <c r="A595" i="2"/>
  <c r="B595" i="2"/>
  <c r="C595" i="2"/>
  <c r="G595" i="2"/>
  <c r="I595" i="2"/>
  <c r="U595" i="2" s="1"/>
  <c r="J595" i="2"/>
  <c r="T595" i="2" s="1"/>
  <c r="L595" i="2"/>
  <c r="M595" i="2"/>
  <c r="A596" i="2"/>
  <c r="B596" i="2"/>
  <c r="C596" i="2"/>
  <c r="G596" i="2"/>
  <c r="I596" i="2"/>
  <c r="U596" i="2" s="1"/>
  <c r="J596" i="2"/>
  <c r="T596" i="2" s="1"/>
  <c r="L596" i="2"/>
  <c r="M596" i="2"/>
  <c r="A597" i="2"/>
  <c r="B597" i="2"/>
  <c r="C597" i="2"/>
  <c r="G597" i="2"/>
  <c r="I597" i="2"/>
  <c r="U597" i="2" s="1"/>
  <c r="J597" i="2"/>
  <c r="T597" i="2" s="1"/>
  <c r="L597" i="2"/>
  <c r="M597" i="2"/>
  <c r="A598" i="2"/>
  <c r="B598" i="2"/>
  <c r="C598" i="2"/>
  <c r="G598" i="2"/>
  <c r="I598" i="2"/>
  <c r="U598" i="2" s="1"/>
  <c r="J598" i="2"/>
  <c r="T598" i="2" s="1"/>
  <c r="L598" i="2"/>
  <c r="M598" i="2"/>
  <c r="A599" i="2"/>
  <c r="B599" i="2"/>
  <c r="C599" i="2"/>
  <c r="G599" i="2"/>
  <c r="I599" i="2"/>
  <c r="U599" i="2" s="1"/>
  <c r="J599" i="2"/>
  <c r="T599" i="2" s="1"/>
  <c r="L599" i="2"/>
  <c r="M599" i="2"/>
  <c r="A600" i="2"/>
  <c r="B600" i="2"/>
  <c r="C600" i="2"/>
  <c r="G600" i="2"/>
  <c r="I600" i="2"/>
  <c r="U600" i="2" s="1"/>
  <c r="J600" i="2"/>
  <c r="T600" i="2" s="1"/>
  <c r="L600" i="2"/>
  <c r="M600" i="2"/>
  <c r="A601" i="2"/>
  <c r="B601" i="2"/>
  <c r="C601" i="2"/>
  <c r="G601" i="2"/>
  <c r="I601" i="2"/>
  <c r="U601" i="2" s="1"/>
  <c r="J601" i="2"/>
  <c r="T601" i="2" s="1"/>
  <c r="L601" i="2"/>
  <c r="M601" i="2"/>
  <c r="A602" i="2"/>
  <c r="B602" i="2"/>
  <c r="C602" i="2"/>
  <c r="G602" i="2"/>
  <c r="I602" i="2"/>
  <c r="U602" i="2" s="1"/>
  <c r="J602" i="2"/>
  <c r="T602" i="2" s="1"/>
  <c r="L602" i="2"/>
  <c r="M602" i="2"/>
  <c r="A603" i="2"/>
  <c r="B603" i="2"/>
  <c r="C603" i="2"/>
  <c r="G603" i="2"/>
  <c r="I603" i="2"/>
  <c r="U603" i="2" s="1"/>
  <c r="J603" i="2"/>
  <c r="T603" i="2" s="1"/>
  <c r="L603" i="2"/>
  <c r="M603" i="2"/>
  <c r="A604" i="2"/>
  <c r="B604" i="2"/>
  <c r="C604" i="2"/>
  <c r="G604" i="2"/>
  <c r="I604" i="2"/>
  <c r="U604" i="2" s="1"/>
  <c r="J604" i="2"/>
  <c r="T604" i="2" s="1"/>
  <c r="L604" i="2"/>
  <c r="M604" i="2"/>
  <c r="A605" i="2"/>
  <c r="B605" i="2"/>
  <c r="C605" i="2"/>
  <c r="G605" i="2"/>
  <c r="I605" i="2"/>
  <c r="U605" i="2" s="1"/>
  <c r="J605" i="2"/>
  <c r="T605" i="2" s="1"/>
  <c r="L605" i="2"/>
  <c r="M605" i="2"/>
  <c r="A606" i="2"/>
  <c r="B606" i="2"/>
  <c r="C606" i="2"/>
  <c r="G606" i="2"/>
  <c r="I606" i="2"/>
  <c r="J606" i="2"/>
  <c r="T606" i="2" s="1"/>
  <c r="L606" i="2"/>
  <c r="M606" i="2"/>
  <c r="A607" i="2"/>
  <c r="B607" i="2"/>
  <c r="C607" i="2"/>
  <c r="G607" i="2"/>
  <c r="I607" i="2"/>
  <c r="U607" i="2" s="1"/>
  <c r="J607" i="2"/>
  <c r="T607" i="2" s="1"/>
  <c r="L607" i="2"/>
  <c r="M607" i="2"/>
  <c r="A608" i="2"/>
  <c r="B608" i="2"/>
  <c r="C608" i="2"/>
  <c r="G608" i="2"/>
  <c r="I608" i="2"/>
  <c r="U608" i="2" s="1"/>
  <c r="J608" i="2"/>
  <c r="T608" i="2" s="1"/>
  <c r="L608" i="2"/>
  <c r="M608" i="2"/>
  <c r="A609" i="2"/>
  <c r="B609" i="2"/>
  <c r="C609" i="2"/>
  <c r="G609" i="2"/>
  <c r="I609" i="2"/>
  <c r="U609" i="2" s="1"/>
  <c r="J609" i="2"/>
  <c r="T609" i="2" s="1"/>
  <c r="L609" i="2"/>
  <c r="M609" i="2"/>
  <c r="A610" i="2"/>
  <c r="B610" i="2"/>
  <c r="C610" i="2"/>
  <c r="G610" i="2"/>
  <c r="I610" i="2"/>
  <c r="J610" i="2"/>
  <c r="T610" i="2" s="1"/>
  <c r="L610" i="2"/>
  <c r="M610" i="2"/>
  <c r="A611" i="2"/>
  <c r="B611" i="2"/>
  <c r="C611" i="2"/>
  <c r="G611" i="2"/>
  <c r="I611" i="2"/>
  <c r="U611" i="2" s="1"/>
  <c r="J611" i="2"/>
  <c r="T611" i="2" s="1"/>
  <c r="L611" i="2"/>
  <c r="M611" i="2"/>
  <c r="A612" i="2"/>
  <c r="B612" i="2"/>
  <c r="C612" i="2"/>
  <c r="G612" i="2"/>
  <c r="I612" i="2"/>
  <c r="U612" i="2" s="1"/>
  <c r="J612" i="2"/>
  <c r="T612" i="2" s="1"/>
  <c r="L612" i="2"/>
  <c r="M612" i="2"/>
  <c r="A613" i="2"/>
  <c r="B613" i="2"/>
  <c r="C613" i="2"/>
  <c r="G613" i="2"/>
  <c r="I613" i="2"/>
  <c r="U613" i="2" s="1"/>
  <c r="J613" i="2"/>
  <c r="T613" i="2" s="1"/>
  <c r="L613" i="2"/>
  <c r="M613" i="2"/>
  <c r="A614" i="2"/>
  <c r="B614" i="2"/>
  <c r="C614" i="2"/>
  <c r="G614" i="2"/>
  <c r="I614" i="2"/>
  <c r="U614" i="2" s="1"/>
  <c r="J614" i="2"/>
  <c r="T614" i="2" s="1"/>
  <c r="L614" i="2"/>
  <c r="M614" i="2"/>
  <c r="A615" i="2"/>
  <c r="B615" i="2"/>
  <c r="C615" i="2"/>
  <c r="G615" i="2"/>
  <c r="I615" i="2"/>
  <c r="U615" i="2" s="1"/>
  <c r="J615" i="2"/>
  <c r="T615" i="2" s="1"/>
  <c r="L615" i="2"/>
  <c r="M615" i="2"/>
  <c r="A616" i="2"/>
  <c r="B616" i="2"/>
  <c r="C616" i="2"/>
  <c r="G616" i="2"/>
  <c r="I616" i="2"/>
  <c r="J616" i="2"/>
  <c r="T616" i="2" s="1"/>
  <c r="L616" i="2"/>
  <c r="M616" i="2"/>
  <c r="A617" i="2"/>
  <c r="B617" i="2"/>
  <c r="C617" i="2"/>
  <c r="G617" i="2"/>
  <c r="I617" i="2"/>
  <c r="U617" i="2" s="1"/>
  <c r="J617" i="2"/>
  <c r="T617" i="2" s="1"/>
  <c r="L617" i="2"/>
  <c r="M617" i="2"/>
  <c r="A618" i="2"/>
  <c r="B618" i="2"/>
  <c r="C618" i="2"/>
  <c r="G618" i="2"/>
  <c r="I618" i="2"/>
  <c r="U618" i="2" s="1"/>
  <c r="J618" i="2"/>
  <c r="T618" i="2" s="1"/>
  <c r="L618" i="2"/>
  <c r="M618" i="2"/>
  <c r="A619" i="2"/>
  <c r="B619" i="2"/>
  <c r="C619" i="2"/>
  <c r="G619" i="2"/>
  <c r="I619" i="2"/>
  <c r="U619" i="2" s="1"/>
  <c r="J619" i="2"/>
  <c r="T619" i="2" s="1"/>
  <c r="L619" i="2"/>
  <c r="M619" i="2"/>
  <c r="A620" i="2"/>
  <c r="B620" i="2"/>
  <c r="C620" i="2"/>
  <c r="G620" i="2"/>
  <c r="I620" i="2"/>
  <c r="U620" i="2" s="1"/>
  <c r="J620" i="2"/>
  <c r="T620" i="2" s="1"/>
  <c r="L620" i="2"/>
  <c r="M620" i="2"/>
  <c r="A621" i="2"/>
  <c r="B621" i="2"/>
  <c r="C621" i="2"/>
  <c r="G621" i="2"/>
  <c r="I621" i="2"/>
  <c r="J621" i="2"/>
  <c r="T621" i="2" s="1"/>
  <c r="L621" i="2"/>
  <c r="M621" i="2"/>
  <c r="A622" i="2"/>
  <c r="B622" i="2"/>
  <c r="C622" i="2"/>
  <c r="G622" i="2"/>
  <c r="I622" i="2"/>
  <c r="J622" i="2"/>
  <c r="L622" i="2"/>
  <c r="M622" i="2"/>
  <c r="A623" i="2"/>
  <c r="B623" i="2"/>
  <c r="C623" i="2"/>
  <c r="G623" i="2"/>
  <c r="I623" i="2"/>
  <c r="U623" i="2" s="1"/>
  <c r="J623" i="2"/>
  <c r="T623" i="2" s="1"/>
  <c r="L623" i="2"/>
  <c r="M623" i="2"/>
  <c r="A624" i="2"/>
  <c r="B624" i="2"/>
  <c r="C624" i="2"/>
  <c r="G624" i="2"/>
  <c r="I624" i="2"/>
  <c r="U624" i="2" s="1"/>
  <c r="J624" i="2"/>
  <c r="T624" i="2" s="1"/>
  <c r="L624" i="2"/>
  <c r="M624" i="2"/>
  <c r="A625" i="2"/>
  <c r="B625" i="2"/>
  <c r="C625" i="2"/>
  <c r="G625" i="2"/>
  <c r="I625" i="2"/>
  <c r="U625" i="2" s="1"/>
  <c r="J625" i="2"/>
  <c r="T625" i="2" s="1"/>
  <c r="L625" i="2"/>
  <c r="M625" i="2"/>
  <c r="A626" i="2"/>
  <c r="B626" i="2"/>
  <c r="C626" i="2"/>
  <c r="G626" i="2"/>
  <c r="I626" i="2"/>
  <c r="J626" i="2"/>
  <c r="T626" i="2" s="1"/>
  <c r="L626" i="2"/>
  <c r="M626" i="2"/>
  <c r="A627" i="2"/>
  <c r="B627" i="2"/>
  <c r="C627" i="2"/>
  <c r="G627" i="2"/>
  <c r="I627" i="2"/>
  <c r="U627" i="2" s="1"/>
  <c r="J627" i="2"/>
  <c r="T627" i="2" s="1"/>
  <c r="L627" i="2"/>
  <c r="M627" i="2"/>
  <c r="A628" i="2"/>
  <c r="B628" i="2"/>
  <c r="C628" i="2"/>
  <c r="G628" i="2"/>
  <c r="I628" i="2"/>
  <c r="U628" i="2" s="1"/>
  <c r="J628" i="2"/>
  <c r="L628" i="2"/>
  <c r="M628" i="2"/>
  <c r="A629" i="2"/>
  <c r="B629" i="2"/>
  <c r="C629" i="2"/>
  <c r="G629" i="2"/>
  <c r="I629" i="2"/>
  <c r="U629" i="2" s="1"/>
  <c r="J629" i="2"/>
  <c r="T629" i="2" s="1"/>
  <c r="L629" i="2"/>
  <c r="M629" i="2"/>
  <c r="A630" i="2"/>
  <c r="B630" i="2"/>
  <c r="C630" i="2"/>
  <c r="G630" i="2"/>
  <c r="I630" i="2"/>
  <c r="U630" i="2" s="1"/>
  <c r="J630" i="2"/>
  <c r="T630" i="2" s="1"/>
  <c r="L630" i="2"/>
  <c r="M630" i="2"/>
  <c r="A631" i="2"/>
  <c r="B631" i="2"/>
  <c r="C631" i="2"/>
  <c r="G631" i="2"/>
  <c r="I631" i="2"/>
  <c r="J631" i="2"/>
  <c r="L631" i="2"/>
  <c r="M631" i="2"/>
  <c r="A632" i="2"/>
  <c r="B632" i="2"/>
  <c r="C632" i="2"/>
  <c r="G632" i="2"/>
  <c r="I632" i="2"/>
  <c r="J632" i="2"/>
  <c r="L632" i="2"/>
  <c r="M632" i="2"/>
  <c r="A633" i="2"/>
  <c r="B633" i="2"/>
  <c r="C633" i="2"/>
  <c r="G633" i="2"/>
  <c r="I633" i="2"/>
  <c r="U633" i="2" s="1"/>
  <c r="J633" i="2"/>
  <c r="T633" i="2" s="1"/>
  <c r="L633" i="2"/>
  <c r="M633" i="2"/>
  <c r="A634" i="2"/>
  <c r="B634" i="2"/>
  <c r="C634" i="2"/>
  <c r="G634" i="2"/>
  <c r="I634" i="2"/>
  <c r="U634" i="2" s="1"/>
  <c r="J634" i="2"/>
  <c r="T634" i="2" s="1"/>
  <c r="L634" i="2"/>
  <c r="M634" i="2"/>
  <c r="A635" i="2"/>
  <c r="B635" i="2"/>
  <c r="C635" i="2"/>
  <c r="G635" i="2"/>
  <c r="I635" i="2"/>
  <c r="J635" i="2"/>
  <c r="T635" i="2" s="1"/>
  <c r="L635" i="2"/>
  <c r="M635" i="2"/>
  <c r="A636" i="2"/>
  <c r="B636" i="2"/>
  <c r="C636" i="2"/>
  <c r="G636" i="2"/>
  <c r="I636" i="2"/>
  <c r="J636" i="2"/>
  <c r="L636" i="2"/>
  <c r="M636" i="2"/>
  <c r="A637" i="2"/>
  <c r="B637" i="2"/>
  <c r="C637" i="2"/>
  <c r="G637" i="2"/>
  <c r="I637" i="2"/>
  <c r="U637" i="2" s="1"/>
  <c r="J637" i="2"/>
  <c r="L637" i="2"/>
  <c r="M637" i="2"/>
  <c r="A638" i="2"/>
  <c r="B638" i="2"/>
  <c r="C638" i="2"/>
  <c r="G638" i="2"/>
  <c r="I638" i="2"/>
  <c r="U638" i="2" s="1"/>
  <c r="J638" i="2"/>
  <c r="T638" i="2" s="1"/>
  <c r="L638" i="2"/>
  <c r="M638" i="2"/>
  <c r="A639" i="2"/>
  <c r="B639" i="2"/>
  <c r="C639" i="2"/>
  <c r="G639" i="2"/>
  <c r="I639" i="2"/>
  <c r="J639" i="2"/>
  <c r="T639" i="2" s="1"/>
  <c r="L639" i="2"/>
  <c r="M639" i="2"/>
  <c r="A640" i="2"/>
  <c r="B640" i="2"/>
  <c r="C640" i="2"/>
  <c r="G640" i="2"/>
  <c r="I640" i="2"/>
  <c r="J640" i="2"/>
  <c r="T640" i="2" s="1"/>
  <c r="L640" i="2"/>
  <c r="M640" i="2"/>
  <c r="A641" i="2"/>
  <c r="B641" i="2"/>
  <c r="C641" i="2"/>
  <c r="G641" i="2"/>
  <c r="I641" i="2"/>
  <c r="U641" i="2" s="1"/>
  <c r="J641" i="2"/>
  <c r="L641" i="2"/>
  <c r="M641" i="2"/>
  <c r="A642" i="2"/>
  <c r="B642" i="2"/>
  <c r="C642" i="2"/>
  <c r="G642" i="2"/>
  <c r="I642" i="2"/>
  <c r="U642" i="2" s="1"/>
  <c r="J642" i="2"/>
  <c r="T642" i="2" s="1"/>
  <c r="L642" i="2"/>
  <c r="M642" i="2"/>
  <c r="A643" i="2"/>
  <c r="B643" i="2"/>
  <c r="C643" i="2"/>
  <c r="G643" i="2"/>
  <c r="I643" i="2"/>
  <c r="U643" i="2" s="1"/>
  <c r="J643" i="2"/>
  <c r="T643" i="2" s="1"/>
  <c r="L643" i="2"/>
  <c r="M643" i="2"/>
  <c r="A644" i="2"/>
  <c r="B644" i="2"/>
  <c r="C644" i="2"/>
  <c r="G644" i="2"/>
  <c r="I644" i="2"/>
  <c r="J644" i="2"/>
  <c r="T644" i="2" s="1"/>
  <c r="L644" i="2"/>
  <c r="M644" i="2"/>
  <c r="A645" i="2"/>
  <c r="B645" i="2"/>
  <c r="C645" i="2"/>
  <c r="G645" i="2"/>
  <c r="I645" i="2"/>
  <c r="U645" i="2" s="1"/>
  <c r="J645" i="2"/>
  <c r="T645" i="2" s="1"/>
  <c r="L645" i="2"/>
  <c r="M645" i="2"/>
  <c r="A646" i="2"/>
  <c r="B646" i="2"/>
  <c r="C646" i="2"/>
  <c r="G646" i="2"/>
  <c r="I646" i="2"/>
  <c r="U646" i="2" s="1"/>
  <c r="J646" i="2"/>
  <c r="T646" i="2" s="1"/>
  <c r="L646" i="2"/>
  <c r="M646" i="2"/>
  <c r="A647" i="2"/>
  <c r="B647" i="2"/>
  <c r="C647" i="2"/>
  <c r="G647" i="2"/>
  <c r="I647" i="2"/>
  <c r="U647" i="2" s="1"/>
  <c r="J647" i="2"/>
  <c r="L647" i="2"/>
  <c r="M647" i="2"/>
  <c r="A648" i="2"/>
  <c r="B648" i="2"/>
  <c r="C648" i="2"/>
  <c r="G648" i="2"/>
  <c r="I648" i="2"/>
  <c r="J648" i="2"/>
  <c r="T648" i="2" s="1"/>
  <c r="L648" i="2"/>
  <c r="M648" i="2"/>
  <c r="A649" i="2"/>
  <c r="B649" i="2"/>
  <c r="C649" i="2"/>
  <c r="G649" i="2"/>
  <c r="I649" i="2"/>
  <c r="U649" i="2" s="1"/>
  <c r="J649" i="2"/>
  <c r="T649" i="2" s="1"/>
  <c r="L649" i="2"/>
  <c r="M649" i="2"/>
  <c r="A650" i="2"/>
  <c r="B650" i="2"/>
  <c r="C650" i="2"/>
  <c r="G650" i="2"/>
  <c r="I650" i="2"/>
  <c r="U650" i="2" s="1"/>
  <c r="J650" i="2"/>
  <c r="T650" i="2" s="1"/>
  <c r="L650" i="2"/>
  <c r="M650" i="2"/>
  <c r="A651" i="2"/>
  <c r="B651" i="2"/>
  <c r="C651" i="2"/>
  <c r="G651" i="2"/>
  <c r="I651" i="2"/>
  <c r="U651" i="2" s="1"/>
  <c r="J651" i="2"/>
  <c r="L651" i="2"/>
  <c r="M651" i="2"/>
  <c r="A652" i="2"/>
  <c r="B652" i="2"/>
  <c r="C652" i="2"/>
  <c r="G652" i="2"/>
  <c r="I652" i="2"/>
  <c r="U652" i="2" s="1"/>
  <c r="J652" i="2"/>
  <c r="T652" i="2" s="1"/>
  <c r="L652" i="2"/>
  <c r="M652" i="2"/>
  <c r="A653" i="2"/>
  <c r="B653" i="2"/>
  <c r="C653" i="2"/>
  <c r="G653" i="2"/>
  <c r="I653" i="2"/>
  <c r="U653" i="2" s="1"/>
  <c r="J653" i="2"/>
  <c r="T653" i="2" s="1"/>
  <c r="L653" i="2"/>
  <c r="M653" i="2"/>
  <c r="A654" i="2"/>
  <c r="B654" i="2"/>
  <c r="C654" i="2"/>
  <c r="G654" i="2"/>
  <c r="I654" i="2"/>
  <c r="U654" i="2" s="1"/>
  <c r="J654" i="2"/>
  <c r="T654" i="2" s="1"/>
  <c r="L654" i="2"/>
  <c r="M654" i="2"/>
  <c r="A655" i="2"/>
  <c r="B655" i="2"/>
  <c r="C655" i="2"/>
  <c r="G655" i="2"/>
  <c r="I655" i="2"/>
  <c r="U655" i="2" s="1"/>
  <c r="J655" i="2"/>
  <c r="L655" i="2"/>
  <c r="M655" i="2"/>
  <c r="A656" i="2"/>
  <c r="B656" i="2"/>
  <c r="C656" i="2"/>
  <c r="G656" i="2"/>
  <c r="I656" i="2"/>
  <c r="U656" i="2" s="1"/>
  <c r="J656" i="2"/>
  <c r="T656" i="2" s="1"/>
  <c r="L656" i="2"/>
  <c r="M656" i="2"/>
  <c r="A657" i="2"/>
  <c r="B657" i="2"/>
  <c r="C657" i="2"/>
  <c r="G657" i="2"/>
  <c r="I657" i="2"/>
  <c r="U657" i="2" s="1"/>
  <c r="J657" i="2"/>
  <c r="T657" i="2" s="1"/>
  <c r="L657" i="2"/>
  <c r="M657" i="2"/>
  <c r="A658" i="2"/>
  <c r="B658" i="2"/>
  <c r="C658" i="2"/>
  <c r="G658" i="2"/>
  <c r="I658" i="2"/>
  <c r="U658" i="2" s="1"/>
  <c r="J658" i="2"/>
  <c r="T658" i="2" s="1"/>
  <c r="L658" i="2"/>
  <c r="M658" i="2"/>
  <c r="A659" i="2"/>
  <c r="B659" i="2"/>
  <c r="C659" i="2"/>
  <c r="G659" i="2"/>
  <c r="I659" i="2"/>
  <c r="U659" i="2" s="1"/>
  <c r="J659" i="2"/>
  <c r="L659" i="2"/>
  <c r="M659" i="2"/>
  <c r="A660" i="2"/>
  <c r="B660" i="2"/>
  <c r="C660" i="2"/>
  <c r="G660" i="2"/>
  <c r="I660" i="2"/>
  <c r="J660" i="2"/>
  <c r="T660" i="2" s="1"/>
  <c r="L660" i="2"/>
  <c r="M660" i="2"/>
  <c r="A661" i="2"/>
  <c r="B661" i="2"/>
  <c r="C661" i="2"/>
  <c r="G661" i="2"/>
  <c r="I661" i="2"/>
  <c r="U661" i="2" s="1"/>
  <c r="J661" i="2"/>
  <c r="T661" i="2" s="1"/>
  <c r="L661" i="2"/>
  <c r="M661" i="2"/>
  <c r="A662" i="2"/>
  <c r="B662" i="2"/>
  <c r="C662" i="2"/>
  <c r="G662" i="2"/>
  <c r="I662" i="2"/>
  <c r="U662" i="2" s="1"/>
  <c r="J662" i="2"/>
  <c r="T662" i="2" s="1"/>
  <c r="L662" i="2"/>
  <c r="M662" i="2"/>
  <c r="A663" i="2"/>
  <c r="B663" i="2"/>
  <c r="C663" i="2"/>
  <c r="G663" i="2"/>
  <c r="I663" i="2"/>
  <c r="U663" i="2" s="1"/>
  <c r="J663" i="2"/>
  <c r="L663" i="2"/>
  <c r="M663" i="2"/>
  <c r="A664" i="2"/>
  <c r="B664" i="2"/>
  <c r="C664" i="2"/>
  <c r="G664" i="2"/>
  <c r="I664" i="2"/>
  <c r="J664" i="2"/>
  <c r="T664" i="2" s="1"/>
  <c r="L664" i="2"/>
  <c r="M664" i="2"/>
  <c r="A665" i="2"/>
  <c r="B665" i="2"/>
  <c r="C665" i="2"/>
  <c r="G665" i="2"/>
  <c r="I665" i="2"/>
  <c r="U665" i="2" s="1"/>
  <c r="J665" i="2"/>
  <c r="L665" i="2"/>
  <c r="M665" i="2"/>
  <c r="A666" i="2"/>
  <c r="B666" i="2"/>
  <c r="C666" i="2"/>
  <c r="G666" i="2"/>
  <c r="I666" i="2"/>
  <c r="U666" i="2" s="1"/>
  <c r="J666" i="2"/>
  <c r="T666" i="2" s="1"/>
  <c r="L666" i="2"/>
  <c r="M666" i="2"/>
  <c r="A667" i="2"/>
  <c r="B667" i="2"/>
  <c r="C667" i="2"/>
  <c r="G667" i="2"/>
  <c r="I667" i="2"/>
  <c r="U667" i="2" s="1"/>
  <c r="J667" i="2"/>
  <c r="L667" i="2"/>
  <c r="M667" i="2"/>
  <c r="A668" i="2"/>
  <c r="B668" i="2"/>
  <c r="C668" i="2"/>
  <c r="G668" i="2"/>
  <c r="I668" i="2"/>
  <c r="U668" i="2" s="1"/>
  <c r="J668" i="2"/>
  <c r="T668" i="2" s="1"/>
  <c r="L668" i="2"/>
  <c r="M668" i="2"/>
  <c r="A669" i="2"/>
  <c r="B669" i="2"/>
  <c r="C669" i="2"/>
  <c r="G669" i="2"/>
  <c r="I669" i="2"/>
  <c r="U669" i="2" s="1"/>
  <c r="J669" i="2"/>
  <c r="T669" i="2" s="1"/>
  <c r="L669" i="2"/>
  <c r="M669" i="2"/>
  <c r="A670" i="2"/>
  <c r="B670" i="2"/>
  <c r="C670" i="2"/>
  <c r="G670" i="2"/>
  <c r="I670" i="2"/>
  <c r="U670" i="2" s="1"/>
  <c r="J670" i="2"/>
  <c r="T670" i="2" s="1"/>
  <c r="L670" i="2"/>
  <c r="M670" i="2"/>
  <c r="A671" i="2"/>
  <c r="B671" i="2"/>
  <c r="C671" i="2"/>
  <c r="G671" i="2"/>
  <c r="I671" i="2"/>
  <c r="U671" i="2" s="1"/>
  <c r="J671" i="2"/>
  <c r="L671" i="2"/>
  <c r="M671" i="2"/>
  <c r="A672" i="2"/>
  <c r="B672" i="2"/>
  <c r="C672" i="2"/>
  <c r="G672" i="2"/>
  <c r="I672" i="2"/>
  <c r="J672" i="2"/>
  <c r="T672" i="2" s="1"/>
  <c r="L672" i="2"/>
  <c r="M672" i="2"/>
  <c r="A673" i="2"/>
  <c r="B673" i="2"/>
  <c r="C673" i="2"/>
  <c r="G673" i="2"/>
  <c r="I673" i="2"/>
  <c r="U673" i="2" s="1"/>
  <c r="J673" i="2"/>
  <c r="T673" i="2" s="1"/>
  <c r="L673" i="2"/>
  <c r="M673" i="2"/>
  <c r="A674" i="2"/>
  <c r="B674" i="2"/>
  <c r="C674" i="2"/>
  <c r="G674" i="2"/>
  <c r="I674" i="2"/>
  <c r="U674" i="2" s="1"/>
  <c r="J674" i="2"/>
  <c r="T674" i="2" s="1"/>
  <c r="L674" i="2"/>
  <c r="M674" i="2"/>
  <c r="A675" i="2"/>
  <c r="B675" i="2"/>
  <c r="C675" i="2"/>
  <c r="G675" i="2"/>
  <c r="I675" i="2"/>
  <c r="U675" i="2" s="1"/>
  <c r="J675" i="2"/>
  <c r="L675" i="2"/>
  <c r="M675" i="2"/>
  <c r="A676" i="2"/>
  <c r="B676" i="2"/>
  <c r="C676" i="2"/>
  <c r="G676" i="2"/>
  <c r="I676" i="2"/>
  <c r="U676" i="2" s="1"/>
  <c r="J676" i="2"/>
  <c r="T676" i="2" s="1"/>
  <c r="L676" i="2"/>
  <c r="M676" i="2"/>
  <c r="A677" i="2"/>
  <c r="B677" i="2"/>
  <c r="C677" i="2"/>
  <c r="G677" i="2"/>
  <c r="I677" i="2"/>
  <c r="U677" i="2" s="1"/>
  <c r="J677" i="2"/>
  <c r="T677" i="2" s="1"/>
  <c r="L677" i="2"/>
  <c r="M677" i="2"/>
  <c r="A678" i="2"/>
  <c r="B678" i="2"/>
  <c r="C678" i="2"/>
  <c r="G678" i="2"/>
  <c r="I678" i="2"/>
  <c r="U678" i="2" s="1"/>
  <c r="J678" i="2"/>
  <c r="T678" i="2" s="1"/>
  <c r="L678" i="2"/>
  <c r="M678" i="2"/>
  <c r="A679" i="2"/>
  <c r="B679" i="2"/>
  <c r="C679" i="2"/>
  <c r="G679" i="2"/>
  <c r="I679" i="2"/>
  <c r="U679" i="2" s="1"/>
  <c r="J679" i="2"/>
  <c r="L679" i="2"/>
  <c r="M679" i="2"/>
  <c r="A680" i="2"/>
  <c r="B680" i="2"/>
  <c r="C680" i="2"/>
  <c r="G680" i="2"/>
  <c r="I680" i="2"/>
  <c r="J680" i="2"/>
  <c r="T680" i="2" s="1"/>
  <c r="L680" i="2"/>
  <c r="M680" i="2"/>
  <c r="A681" i="2"/>
  <c r="B681" i="2"/>
  <c r="C681" i="2"/>
  <c r="G681" i="2"/>
  <c r="I681" i="2"/>
  <c r="U681" i="2" s="1"/>
  <c r="J681" i="2"/>
  <c r="T681" i="2" s="1"/>
  <c r="L681" i="2"/>
  <c r="M681" i="2"/>
  <c r="A682" i="2"/>
  <c r="B682" i="2"/>
  <c r="C682" i="2"/>
  <c r="G682" i="2"/>
  <c r="I682" i="2"/>
  <c r="U682" i="2" s="1"/>
  <c r="J682" i="2"/>
  <c r="T682" i="2" s="1"/>
  <c r="L682" i="2"/>
  <c r="M682" i="2"/>
  <c r="A683" i="2"/>
  <c r="B683" i="2"/>
  <c r="C683" i="2"/>
  <c r="G683" i="2"/>
  <c r="I683" i="2"/>
  <c r="U683" i="2" s="1"/>
  <c r="J683" i="2"/>
  <c r="L683" i="2"/>
  <c r="M683" i="2"/>
  <c r="A684" i="2"/>
  <c r="B684" i="2"/>
  <c r="C684" i="2"/>
  <c r="G684" i="2"/>
  <c r="I684" i="2"/>
  <c r="U684" i="2" s="1"/>
  <c r="J684" i="2"/>
  <c r="T684" i="2" s="1"/>
  <c r="L684" i="2"/>
  <c r="M684" i="2"/>
  <c r="A685" i="2"/>
  <c r="B685" i="2"/>
  <c r="C685" i="2"/>
  <c r="G685" i="2"/>
  <c r="I685" i="2"/>
  <c r="U685" i="2" s="1"/>
  <c r="J685" i="2"/>
  <c r="T685" i="2" s="1"/>
  <c r="L685" i="2"/>
  <c r="M685" i="2"/>
  <c r="A686" i="2"/>
  <c r="B686" i="2"/>
  <c r="C686" i="2"/>
  <c r="G686" i="2"/>
  <c r="I686" i="2"/>
  <c r="J686" i="2"/>
  <c r="T686" i="2" s="1"/>
  <c r="L686" i="2"/>
  <c r="M686" i="2"/>
  <c r="A687" i="2"/>
  <c r="B687" i="2"/>
  <c r="C687" i="2"/>
  <c r="G687" i="2"/>
  <c r="I687" i="2"/>
  <c r="U687" i="2" s="1"/>
  <c r="J687" i="2"/>
  <c r="L687" i="2"/>
  <c r="M687" i="2"/>
  <c r="A688" i="2"/>
  <c r="B688" i="2"/>
  <c r="C688" i="2"/>
  <c r="G688" i="2"/>
  <c r="I688" i="2"/>
  <c r="J688" i="2"/>
  <c r="T688" i="2" s="1"/>
  <c r="L688" i="2"/>
  <c r="M688" i="2"/>
  <c r="A689" i="2"/>
  <c r="B689" i="2"/>
  <c r="C689" i="2"/>
  <c r="G689" i="2"/>
  <c r="I689" i="2"/>
  <c r="U689" i="2" s="1"/>
  <c r="J689" i="2"/>
  <c r="T689" i="2" s="1"/>
  <c r="L689" i="2"/>
  <c r="M689" i="2"/>
  <c r="A690" i="2"/>
  <c r="B690" i="2"/>
  <c r="C690" i="2"/>
  <c r="G690" i="2"/>
  <c r="I690" i="2"/>
  <c r="J690" i="2"/>
  <c r="T690" i="2" s="1"/>
  <c r="L690" i="2"/>
  <c r="M690" i="2"/>
  <c r="A691" i="2"/>
  <c r="B691" i="2"/>
  <c r="C691" i="2"/>
  <c r="G691" i="2"/>
  <c r="I691" i="2"/>
  <c r="U691" i="2" s="1"/>
  <c r="J691" i="2"/>
  <c r="L691" i="2"/>
  <c r="M691" i="2"/>
  <c r="A692" i="2"/>
  <c r="B692" i="2"/>
  <c r="C692" i="2"/>
  <c r="G692" i="2"/>
  <c r="I692" i="2"/>
  <c r="J692" i="2"/>
  <c r="T692" i="2" s="1"/>
  <c r="L692" i="2"/>
  <c r="M692" i="2"/>
  <c r="A693" i="2"/>
  <c r="B693" i="2"/>
  <c r="C693" i="2"/>
  <c r="G693" i="2"/>
  <c r="I693" i="2"/>
  <c r="U693" i="2" s="1"/>
  <c r="J693" i="2"/>
  <c r="T693" i="2" s="1"/>
  <c r="L693" i="2"/>
  <c r="M693" i="2"/>
  <c r="A694" i="2"/>
  <c r="B694" i="2"/>
  <c r="C694" i="2"/>
  <c r="G694" i="2"/>
  <c r="I694" i="2"/>
  <c r="U694" i="2" s="1"/>
  <c r="J694" i="2"/>
  <c r="T694" i="2" s="1"/>
  <c r="L694" i="2"/>
  <c r="M694" i="2"/>
  <c r="A695" i="2"/>
  <c r="B695" i="2"/>
  <c r="C695" i="2"/>
  <c r="G695" i="2"/>
  <c r="I695" i="2"/>
  <c r="U695" i="2" s="1"/>
  <c r="J695" i="2"/>
  <c r="L695" i="2"/>
  <c r="M695" i="2"/>
  <c r="A696" i="2"/>
  <c r="B696" i="2"/>
  <c r="C696" i="2"/>
  <c r="G696" i="2"/>
  <c r="I696" i="2"/>
  <c r="J696" i="2"/>
  <c r="T696" i="2" s="1"/>
  <c r="L696" i="2"/>
  <c r="M696" i="2"/>
  <c r="A697" i="2"/>
  <c r="B697" i="2"/>
  <c r="C697" i="2"/>
  <c r="G697" i="2"/>
  <c r="I697" i="2"/>
  <c r="U697" i="2" s="1"/>
  <c r="J697" i="2"/>
  <c r="T697" i="2" s="1"/>
  <c r="L697" i="2"/>
  <c r="M697" i="2"/>
  <c r="A698" i="2"/>
  <c r="B698" i="2"/>
  <c r="C698" i="2"/>
  <c r="G698" i="2"/>
  <c r="I698" i="2"/>
  <c r="U698" i="2" s="1"/>
  <c r="J698" i="2"/>
  <c r="T698" i="2" s="1"/>
  <c r="L698" i="2"/>
  <c r="M698" i="2"/>
  <c r="A699" i="2"/>
  <c r="B699" i="2"/>
  <c r="C699" i="2"/>
  <c r="G699" i="2"/>
  <c r="I699" i="2"/>
  <c r="J699" i="2"/>
  <c r="L699" i="2"/>
  <c r="M699" i="2"/>
  <c r="A700" i="2"/>
  <c r="B700" i="2"/>
  <c r="C700" i="2"/>
  <c r="G700" i="2"/>
  <c r="I700" i="2"/>
  <c r="U700" i="2" s="1"/>
  <c r="J700" i="2"/>
  <c r="T700" i="2" s="1"/>
  <c r="L700" i="2"/>
  <c r="M700" i="2"/>
  <c r="A701" i="2"/>
  <c r="B701" i="2"/>
  <c r="C701" i="2"/>
  <c r="G701" i="2"/>
  <c r="I701" i="2"/>
  <c r="U701" i="2" s="1"/>
  <c r="J701" i="2"/>
  <c r="T701" i="2" s="1"/>
  <c r="L701" i="2"/>
  <c r="M701" i="2"/>
  <c r="A702" i="2"/>
  <c r="B702" i="2"/>
  <c r="C702" i="2"/>
  <c r="G702" i="2"/>
  <c r="I702" i="2"/>
  <c r="U702" i="2" s="1"/>
  <c r="J702" i="2"/>
  <c r="T702" i="2" s="1"/>
  <c r="L702" i="2"/>
  <c r="M702" i="2"/>
  <c r="A703" i="2"/>
  <c r="B703" i="2"/>
  <c r="C703" i="2"/>
  <c r="G703" i="2"/>
  <c r="I703" i="2"/>
  <c r="J703" i="2"/>
  <c r="T703" i="2" s="1"/>
  <c r="L703" i="2"/>
  <c r="M703" i="2"/>
  <c r="A704" i="2"/>
  <c r="B704" i="2"/>
  <c r="C704" i="2"/>
  <c r="G704" i="2"/>
  <c r="I704" i="2"/>
  <c r="U704" i="2" s="1"/>
  <c r="J704" i="2"/>
  <c r="T704" i="2" s="1"/>
  <c r="L704" i="2"/>
  <c r="M704" i="2"/>
  <c r="A705" i="2"/>
  <c r="B705" i="2"/>
  <c r="C705" i="2"/>
  <c r="G705" i="2"/>
  <c r="I705" i="2"/>
  <c r="U705" i="2" s="1"/>
  <c r="J705" i="2"/>
  <c r="T705" i="2" s="1"/>
  <c r="L705" i="2"/>
  <c r="M705" i="2"/>
  <c r="A706" i="2"/>
  <c r="B706" i="2"/>
  <c r="C706" i="2"/>
  <c r="G706" i="2"/>
  <c r="I706" i="2"/>
  <c r="U706" i="2" s="1"/>
  <c r="J706" i="2"/>
  <c r="L706" i="2"/>
  <c r="M706" i="2"/>
  <c r="A707" i="2"/>
  <c r="B707" i="2"/>
  <c r="C707" i="2"/>
  <c r="G707" i="2"/>
  <c r="I707" i="2"/>
  <c r="U707" i="2" s="1"/>
  <c r="J707" i="2"/>
  <c r="T707" i="2" s="1"/>
  <c r="L707" i="2"/>
  <c r="M707" i="2"/>
  <c r="A708" i="2"/>
  <c r="B708" i="2"/>
  <c r="C708" i="2"/>
  <c r="G708" i="2"/>
  <c r="I708" i="2"/>
  <c r="U708" i="2" s="1"/>
  <c r="J708" i="2"/>
  <c r="T708" i="2" s="1"/>
  <c r="L708" i="2"/>
  <c r="M708" i="2"/>
  <c r="A709" i="2"/>
  <c r="B709" i="2"/>
  <c r="C709" i="2"/>
  <c r="G709" i="2"/>
  <c r="I709" i="2"/>
  <c r="U709" i="2" s="1"/>
  <c r="J709" i="2"/>
  <c r="T709" i="2" s="1"/>
  <c r="L709" i="2"/>
  <c r="M709" i="2"/>
  <c r="A710" i="2"/>
  <c r="B710" i="2"/>
  <c r="C710" i="2"/>
  <c r="G710" i="2"/>
  <c r="I710" i="2"/>
  <c r="U710" i="2" s="1"/>
  <c r="J710" i="2"/>
  <c r="T710" i="2" s="1"/>
  <c r="L710" i="2"/>
  <c r="M710" i="2"/>
  <c r="A711" i="2"/>
  <c r="B711" i="2"/>
  <c r="C711" i="2"/>
  <c r="G711" i="2"/>
  <c r="I711" i="2"/>
  <c r="J711" i="2"/>
  <c r="T711" i="2" s="1"/>
  <c r="L711" i="2"/>
  <c r="M711" i="2"/>
  <c r="A712" i="2"/>
  <c r="B712" i="2"/>
  <c r="C712" i="2"/>
  <c r="G712" i="2"/>
  <c r="I712" i="2"/>
  <c r="J712" i="2"/>
  <c r="T712" i="2" s="1"/>
  <c r="L712" i="2"/>
  <c r="M712" i="2"/>
  <c r="A713" i="2"/>
  <c r="B713" i="2"/>
  <c r="C713" i="2"/>
  <c r="G713" i="2"/>
  <c r="I713" i="2"/>
  <c r="U713" i="2" s="1"/>
  <c r="J713" i="2"/>
  <c r="T713" i="2" s="1"/>
  <c r="L713" i="2"/>
  <c r="M713" i="2"/>
  <c r="A714" i="2"/>
  <c r="B714" i="2"/>
  <c r="C714" i="2"/>
  <c r="G714" i="2"/>
  <c r="I714" i="2"/>
  <c r="U714" i="2" s="1"/>
  <c r="J714" i="2"/>
  <c r="L714" i="2"/>
  <c r="M714" i="2"/>
  <c r="A715" i="2"/>
  <c r="B715" i="2"/>
  <c r="C715" i="2"/>
  <c r="G715" i="2"/>
  <c r="I715" i="2"/>
  <c r="U715" i="2" s="1"/>
  <c r="J715" i="2"/>
  <c r="L715" i="2"/>
  <c r="M715" i="2"/>
  <c r="A716" i="2"/>
  <c r="B716" i="2"/>
  <c r="C716" i="2"/>
  <c r="G716" i="2"/>
  <c r="I716" i="2"/>
  <c r="U716" i="2" s="1"/>
  <c r="J716" i="2"/>
  <c r="T716" i="2" s="1"/>
  <c r="L716" i="2"/>
  <c r="M716" i="2"/>
  <c r="A717" i="2"/>
  <c r="B717" i="2"/>
  <c r="C717" i="2"/>
  <c r="G717" i="2"/>
  <c r="I717" i="2"/>
  <c r="U717" i="2" s="1"/>
  <c r="J717" i="2"/>
  <c r="T717" i="2" s="1"/>
  <c r="L717" i="2"/>
  <c r="M717" i="2"/>
  <c r="A718" i="2"/>
  <c r="B718" i="2"/>
  <c r="C718" i="2"/>
  <c r="G718" i="2"/>
  <c r="I718" i="2"/>
  <c r="U718" i="2" s="1"/>
  <c r="J718" i="2"/>
  <c r="L718" i="2"/>
  <c r="M718" i="2"/>
  <c r="A719" i="2"/>
  <c r="B719" i="2"/>
  <c r="C719" i="2"/>
  <c r="G719" i="2"/>
  <c r="I719" i="2"/>
  <c r="U719" i="2" s="1"/>
  <c r="J719" i="2"/>
  <c r="T719" i="2" s="1"/>
  <c r="L719" i="2"/>
  <c r="M719" i="2"/>
  <c r="A720" i="2"/>
  <c r="B720" i="2"/>
  <c r="C720" i="2"/>
  <c r="G720" i="2"/>
  <c r="I720" i="2"/>
  <c r="U720" i="2" s="1"/>
  <c r="J720" i="2"/>
  <c r="T720" i="2" s="1"/>
  <c r="L720" i="2"/>
  <c r="M720" i="2"/>
  <c r="A721" i="2"/>
  <c r="B721" i="2"/>
  <c r="C721" i="2"/>
  <c r="G721" i="2"/>
  <c r="I721" i="2"/>
  <c r="J721" i="2"/>
  <c r="T721" i="2" s="1"/>
  <c r="L721" i="2"/>
  <c r="M721" i="2"/>
  <c r="A722" i="2"/>
  <c r="B722" i="2"/>
  <c r="C722" i="2"/>
  <c r="G722" i="2"/>
  <c r="I722" i="2"/>
  <c r="U722" i="2" s="1"/>
  <c r="J722" i="2"/>
  <c r="T722" i="2" s="1"/>
  <c r="L722" i="2"/>
  <c r="M722" i="2"/>
  <c r="A723" i="2"/>
  <c r="B723" i="2"/>
  <c r="C723" i="2"/>
  <c r="G723" i="2"/>
  <c r="I723" i="2"/>
  <c r="U723" i="2" s="1"/>
  <c r="J723" i="2"/>
  <c r="L723" i="2"/>
  <c r="M723" i="2"/>
  <c r="A724" i="2"/>
  <c r="B724" i="2"/>
  <c r="C724" i="2"/>
  <c r="G724" i="2"/>
  <c r="I724" i="2"/>
  <c r="U724" i="2" s="1"/>
  <c r="J724" i="2"/>
  <c r="T724" i="2" s="1"/>
  <c r="L724" i="2"/>
  <c r="M724" i="2"/>
  <c r="A725" i="2"/>
  <c r="B725" i="2"/>
  <c r="C725" i="2"/>
  <c r="G725" i="2"/>
  <c r="I725" i="2"/>
  <c r="U725" i="2" s="1"/>
  <c r="J725" i="2"/>
  <c r="T725" i="2" s="1"/>
  <c r="L725" i="2"/>
  <c r="M725" i="2"/>
  <c r="A726" i="2"/>
  <c r="B726" i="2"/>
  <c r="C726" i="2"/>
  <c r="G726" i="2"/>
  <c r="I726" i="2"/>
  <c r="U726" i="2" s="1"/>
  <c r="J726" i="2"/>
  <c r="T726" i="2" s="1"/>
  <c r="L726" i="2"/>
  <c r="M726" i="2"/>
  <c r="A727" i="2"/>
  <c r="B727" i="2"/>
  <c r="C727" i="2"/>
  <c r="G727" i="2"/>
  <c r="I727" i="2"/>
  <c r="U727" i="2" s="1"/>
  <c r="J727" i="2"/>
  <c r="T727" i="2" s="1"/>
  <c r="L727" i="2"/>
  <c r="M727" i="2"/>
  <c r="A728" i="2"/>
  <c r="B728" i="2"/>
  <c r="C728" i="2"/>
  <c r="G728" i="2"/>
  <c r="I728" i="2"/>
  <c r="U728" i="2" s="1"/>
  <c r="J728" i="2"/>
  <c r="T728" i="2" s="1"/>
  <c r="L728" i="2"/>
  <c r="M728" i="2"/>
  <c r="A729" i="2"/>
  <c r="B729" i="2"/>
  <c r="C729" i="2"/>
  <c r="G729" i="2"/>
  <c r="I729" i="2"/>
  <c r="U729" i="2" s="1"/>
  <c r="J729" i="2"/>
  <c r="T729" i="2" s="1"/>
  <c r="L729" i="2"/>
  <c r="M729" i="2"/>
  <c r="A730" i="2"/>
  <c r="B730" i="2"/>
  <c r="C730" i="2"/>
  <c r="G730" i="2"/>
  <c r="I730" i="2"/>
  <c r="J730" i="2"/>
  <c r="T730" i="2" s="1"/>
  <c r="L730" i="2"/>
  <c r="M730" i="2"/>
  <c r="A731" i="2"/>
  <c r="B731" i="2"/>
  <c r="C731" i="2"/>
  <c r="G731" i="2"/>
  <c r="I731" i="2"/>
  <c r="J731" i="2"/>
  <c r="L731" i="2"/>
  <c r="M731" i="2"/>
  <c r="A732" i="2"/>
  <c r="B732" i="2"/>
  <c r="C732" i="2"/>
  <c r="G732" i="2"/>
  <c r="I732" i="2"/>
  <c r="U732" i="2" s="1"/>
  <c r="J732" i="2"/>
  <c r="T732" i="2" s="1"/>
  <c r="L732" i="2"/>
  <c r="M732" i="2"/>
  <c r="A733" i="2"/>
  <c r="B733" i="2"/>
  <c r="C733" i="2"/>
  <c r="G733" i="2"/>
  <c r="I733" i="2"/>
  <c r="U733" i="2" s="1"/>
  <c r="J733" i="2"/>
  <c r="T733" i="2" s="1"/>
  <c r="L733" i="2"/>
  <c r="M733" i="2"/>
  <c r="A734" i="2"/>
  <c r="B734" i="2"/>
  <c r="C734" i="2"/>
  <c r="G734" i="2"/>
  <c r="I734" i="2"/>
  <c r="U734" i="2" s="1"/>
  <c r="J734" i="2"/>
  <c r="T734" i="2" s="1"/>
  <c r="L734" i="2"/>
  <c r="M734" i="2"/>
  <c r="A735" i="2"/>
  <c r="B735" i="2"/>
  <c r="C735" i="2"/>
  <c r="G735" i="2"/>
  <c r="I735" i="2"/>
  <c r="U735" i="2" s="1"/>
  <c r="J735" i="2"/>
  <c r="L735" i="2"/>
  <c r="M735" i="2"/>
  <c r="A736" i="2"/>
  <c r="B736" i="2"/>
  <c r="C736" i="2"/>
  <c r="G736" i="2"/>
  <c r="I736" i="2"/>
  <c r="U736" i="2" s="1"/>
  <c r="J736" i="2"/>
  <c r="T736" i="2" s="1"/>
  <c r="L736" i="2"/>
  <c r="M736" i="2"/>
  <c r="A737" i="2"/>
  <c r="B737" i="2"/>
  <c r="C737" i="2"/>
  <c r="G737" i="2"/>
  <c r="I737" i="2"/>
  <c r="U737" i="2" s="1"/>
  <c r="J737" i="2"/>
  <c r="T737" i="2" s="1"/>
  <c r="L737" i="2"/>
  <c r="M737" i="2"/>
  <c r="A738" i="2"/>
  <c r="B738" i="2"/>
  <c r="C738" i="2"/>
  <c r="G738" i="2"/>
  <c r="I738" i="2"/>
  <c r="U738" i="2" s="1"/>
  <c r="J738" i="2"/>
  <c r="T738" i="2" s="1"/>
  <c r="L738" i="2"/>
  <c r="M738" i="2"/>
  <c r="A739" i="2"/>
  <c r="B739" i="2"/>
  <c r="C739" i="2"/>
  <c r="G739" i="2"/>
  <c r="I739" i="2"/>
  <c r="J739" i="2"/>
  <c r="T739" i="2" s="1"/>
  <c r="L739" i="2"/>
  <c r="M739" i="2"/>
  <c r="A740" i="2"/>
  <c r="B740" i="2"/>
  <c r="C740" i="2"/>
  <c r="G740" i="2"/>
  <c r="I740" i="2"/>
  <c r="U740" i="2" s="1"/>
  <c r="J740" i="2"/>
  <c r="T740" i="2" s="1"/>
  <c r="L740" i="2"/>
  <c r="M740" i="2"/>
  <c r="A741" i="2"/>
  <c r="B741" i="2"/>
  <c r="C741" i="2"/>
  <c r="G741" i="2"/>
  <c r="I741" i="2"/>
  <c r="U741" i="2" s="1"/>
  <c r="J741" i="2"/>
  <c r="L741" i="2"/>
  <c r="M741" i="2"/>
  <c r="A742" i="2"/>
  <c r="B742" i="2"/>
  <c r="C742" i="2"/>
  <c r="G742" i="2"/>
  <c r="I742" i="2"/>
  <c r="U742" i="2" s="1"/>
  <c r="J742" i="2"/>
  <c r="T742" i="2" s="1"/>
  <c r="L742" i="2"/>
  <c r="M742" i="2"/>
  <c r="A743" i="2"/>
  <c r="B743" i="2"/>
  <c r="C743" i="2"/>
  <c r="G743" i="2"/>
  <c r="I743" i="2"/>
  <c r="U743" i="2" s="1"/>
  <c r="J743" i="2"/>
  <c r="T743" i="2" s="1"/>
  <c r="L743" i="2"/>
  <c r="M743" i="2"/>
  <c r="A744" i="2"/>
  <c r="B744" i="2"/>
  <c r="C744" i="2"/>
  <c r="G744" i="2"/>
  <c r="I744" i="2"/>
  <c r="U744" i="2" s="1"/>
  <c r="J744" i="2"/>
  <c r="L744" i="2"/>
  <c r="M744" i="2"/>
  <c r="A745" i="2"/>
  <c r="B745" i="2"/>
  <c r="C745" i="2"/>
  <c r="G745" i="2"/>
  <c r="I745" i="2"/>
  <c r="U745" i="2" s="1"/>
  <c r="J745" i="2"/>
  <c r="T745" i="2" s="1"/>
  <c r="L745" i="2"/>
  <c r="M745" i="2"/>
  <c r="A746" i="2"/>
  <c r="B746" i="2"/>
  <c r="C746" i="2"/>
  <c r="G746" i="2"/>
  <c r="I746" i="2"/>
  <c r="U746" i="2" s="1"/>
  <c r="J746" i="2"/>
  <c r="L746" i="2"/>
  <c r="M746" i="2"/>
  <c r="A747" i="2"/>
  <c r="B747" i="2"/>
  <c r="C747" i="2"/>
  <c r="G747" i="2"/>
  <c r="I747" i="2"/>
  <c r="U747" i="2" s="1"/>
  <c r="J747" i="2"/>
  <c r="T747" i="2" s="1"/>
  <c r="L747" i="2"/>
  <c r="M747" i="2"/>
  <c r="A748" i="2"/>
  <c r="B748" i="2"/>
  <c r="C748" i="2"/>
  <c r="G748" i="2"/>
  <c r="I748" i="2"/>
  <c r="U748" i="2" s="1"/>
  <c r="J748" i="2"/>
  <c r="L748" i="2"/>
  <c r="M748" i="2"/>
  <c r="A749" i="2"/>
  <c r="B749" i="2"/>
  <c r="C749" i="2"/>
  <c r="G749" i="2"/>
  <c r="I749" i="2"/>
  <c r="U749" i="2" s="1"/>
  <c r="J749" i="2"/>
  <c r="T749" i="2" s="1"/>
  <c r="L749" i="2"/>
  <c r="M749" i="2"/>
  <c r="A750" i="2"/>
  <c r="B750" i="2"/>
  <c r="C750" i="2"/>
  <c r="G750" i="2"/>
  <c r="I750" i="2"/>
  <c r="U750" i="2" s="1"/>
  <c r="J750" i="2"/>
  <c r="T750" i="2" s="1"/>
  <c r="L750" i="2"/>
  <c r="M750" i="2"/>
  <c r="A751" i="2"/>
  <c r="B751" i="2"/>
  <c r="C751" i="2"/>
  <c r="G751" i="2"/>
  <c r="I751" i="2"/>
  <c r="U751" i="2" s="1"/>
  <c r="J751" i="2"/>
  <c r="T751" i="2" s="1"/>
  <c r="L751" i="2"/>
  <c r="M751" i="2"/>
  <c r="A752" i="2"/>
  <c r="B752" i="2"/>
  <c r="C752" i="2"/>
  <c r="G752" i="2"/>
  <c r="I752" i="2"/>
  <c r="U752" i="2" s="1"/>
  <c r="J752" i="2"/>
  <c r="T752" i="2" s="1"/>
  <c r="L752" i="2"/>
  <c r="M752" i="2"/>
  <c r="A753" i="2"/>
  <c r="B753" i="2"/>
  <c r="C753" i="2"/>
  <c r="G753" i="2"/>
  <c r="I753" i="2"/>
  <c r="J753" i="2"/>
  <c r="T753" i="2" s="1"/>
  <c r="L753" i="2"/>
  <c r="M753" i="2"/>
  <c r="A754" i="2"/>
  <c r="B754" i="2"/>
  <c r="C754" i="2"/>
  <c r="G754" i="2"/>
  <c r="I754" i="2"/>
  <c r="U754" i="2" s="1"/>
  <c r="J754" i="2"/>
  <c r="L754" i="2"/>
  <c r="M754" i="2"/>
  <c r="A755" i="2"/>
  <c r="B755" i="2"/>
  <c r="C755" i="2"/>
  <c r="G755" i="2"/>
  <c r="I755" i="2"/>
  <c r="U755" i="2" s="1"/>
  <c r="J755" i="2"/>
  <c r="T755" i="2" s="1"/>
  <c r="L755" i="2"/>
  <c r="M755" i="2"/>
  <c r="A756" i="2"/>
  <c r="B756" i="2"/>
  <c r="C756" i="2"/>
  <c r="G756" i="2"/>
  <c r="I756" i="2"/>
  <c r="U756" i="2" s="1"/>
  <c r="J756" i="2"/>
  <c r="T756" i="2" s="1"/>
  <c r="L756" i="2"/>
  <c r="M756" i="2"/>
  <c r="A757" i="2"/>
  <c r="B757" i="2"/>
  <c r="C757" i="2"/>
  <c r="G757" i="2"/>
  <c r="I757" i="2"/>
  <c r="U757" i="2" s="1"/>
  <c r="J757" i="2"/>
  <c r="T757" i="2" s="1"/>
  <c r="L757" i="2"/>
  <c r="M757" i="2"/>
  <c r="A758" i="2"/>
  <c r="B758" i="2"/>
  <c r="C758" i="2"/>
  <c r="G758" i="2"/>
  <c r="I758" i="2"/>
  <c r="U758" i="2" s="1"/>
  <c r="J758" i="2"/>
  <c r="T758" i="2" s="1"/>
  <c r="L758" i="2"/>
  <c r="M758" i="2"/>
  <c r="A759" i="2"/>
  <c r="B759" i="2"/>
  <c r="C759" i="2"/>
  <c r="G759" i="2"/>
  <c r="I759" i="2"/>
  <c r="J759" i="2"/>
  <c r="T759" i="2" s="1"/>
  <c r="L759" i="2"/>
  <c r="M759" i="2"/>
  <c r="A760" i="2"/>
  <c r="B760" i="2"/>
  <c r="C760" i="2"/>
  <c r="G760" i="2"/>
  <c r="I760" i="2"/>
  <c r="U760" i="2" s="1"/>
  <c r="J760" i="2"/>
  <c r="L760" i="2"/>
  <c r="M760" i="2"/>
  <c r="A761" i="2"/>
  <c r="B761" i="2"/>
  <c r="C761" i="2"/>
  <c r="G761" i="2"/>
  <c r="I761" i="2"/>
  <c r="J761" i="2"/>
  <c r="L761" i="2"/>
  <c r="M761" i="2"/>
  <c r="A762" i="2"/>
  <c r="B762" i="2"/>
  <c r="C762" i="2"/>
  <c r="G762" i="2"/>
  <c r="I762" i="2"/>
  <c r="U762" i="2" s="1"/>
  <c r="J762" i="2"/>
  <c r="T762" i="2" s="1"/>
  <c r="L762" i="2"/>
  <c r="M762" i="2"/>
  <c r="A763" i="2"/>
  <c r="B763" i="2"/>
  <c r="C763" i="2"/>
  <c r="G763" i="2"/>
  <c r="I763" i="2"/>
  <c r="U763" i="2" s="1"/>
  <c r="J763" i="2"/>
  <c r="T763" i="2" s="1"/>
  <c r="L763" i="2"/>
  <c r="M763" i="2"/>
  <c r="A764" i="2"/>
  <c r="B764" i="2"/>
  <c r="C764" i="2"/>
  <c r="G764" i="2"/>
  <c r="I764" i="2"/>
  <c r="U764" i="2" s="1"/>
  <c r="J764" i="2"/>
  <c r="T764" i="2" s="1"/>
  <c r="L764" i="2"/>
  <c r="M764" i="2"/>
  <c r="A765" i="2"/>
  <c r="B765" i="2"/>
  <c r="C765" i="2"/>
  <c r="G765" i="2"/>
  <c r="I765" i="2"/>
  <c r="J765" i="2"/>
  <c r="T765" i="2" s="1"/>
  <c r="L765" i="2"/>
  <c r="M765" i="2"/>
  <c r="A766" i="2"/>
  <c r="B766" i="2"/>
  <c r="C766" i="2"/>
  <c r="G766" i="2"/>
  <c r="I766" i="2"/>
  <c r="U766" i="2" s="1"/>
  <c r="J766" i="2"/>
  <c r="L766" i="2"/>
  <c r="M766" i="2"/>
  <c r="A767" i="2"/>
  <c r="B767" i="2"/>
  <c r="C767" i="2"/>
  <c r="G767" i="2"/>
  <c r="I767" i="2"/>
  <c r="U767" i="2" s="1"/>
  <c r="J767" i="2"/>
  <c r="L767" i="2"/>
  <c r="M767" i="2"/>
  <c r="A768" i="2"/>
  <c r="B768" i="2"/>
  <c r="C768" i="2"/>
  <c r="G768" i="2"/>
  <c r="I768" i="2"/>
  <c r="U768" i="2" s="1"/>
  <c r="J768" i="2"/>
  <c r="T768" i="2" s="1"/>
  <c r="L768" i="2"/>
  <c r="M768" i="2"/>
  <c r="A769" i="2"/>
  <c r="B769" i="2"/>
  <c r="C769" i="2"/>
  <c r="G769" i="2"/>
  <c r="I769" i="2"/>
  <c r="U769" i="2" s="1"/>
  <c r="J769" i="2"/>
  <c r="L769" i="2"/>
  <c r="M769" i="2"/>
  <c r="A770" i="2"/>
  <c r="B770" i="2"/>
  <c r="C770" i="2"/>
  <c r="G770" i="2"/>
  <c r="I770" i="2"/>
  <c r="J770" i="2"/>
  <c r="L770" i="2"/>
  <c r="M770" i="2"/>
  <c r="A771" i="2"/>
  <c r="B771" i="2"/>
  <c r="C771" i="2"/>
  <c r="G771" i="2"/>
  <c r="I771" i="2"/>
  <c r="U771" i="2" s="1"/>
  <c r="J771" i="2"/>
  <c r="T771" i="2" s="1"/>
  <c r="L771" i="2"/>
  <c r="M771" i="2"/>
  <c r="A772" i="2"/>
  <c r="B772" i="2"/>
  <c r="C772" i="2"/>
  <c r="G772" i="2"/>
  <c r="I772" i="2"/>
  <c r="U772" i="2" s="1"/>
  <c r="J772" i="2"/>
  <c r="T772" i="2" s="1"/>
  <c r="L772" i="2"/>
  <c r="M772" i="2"/>
  <c r="A773" i="2"/>
  <c r="B773" i="2"/>
  <c r="C773" i="2"/>
  <c r="G773" i="2"/>
  <c r="I773" i="2"/>
  <c r="U773" i="2" s="1"/>
  <c r="J773" i="2"/>
  <c r="T773" i="2" s="1"/>
  <c r="L773" i="2"/>
  <c r="M773" i="2"/>
  <c r="A774" i="2"/>
  <c r="B774" i="2"/>
  <c r="C774" i="2"/>
  <c r="G774" i="2"/>
  <c r="I774" i="2"/>
  <c r="U774" i="2" s="1"/>
  <c r="J774" i="2"/>
  <c r="T774" i="2" s="1"/>
  <c r="L774" i="2"/>
  <c r="M774" i="2"/>
  <c r="A775" i="2"/>
  <c r="B775" i="2"/>
  <c r="C775" i="2"/>
  <c r="G775" i="2"/>
  <c r="I775" i="2"/>
  <c r="U775" i="2" s="1"/>
  <c r="J775" i="2"/>
  <c r="T775" i="2" s="1"/>
  <c r="L775" i="2"/>
  <c r="M775" i="2"/>
  <c r="A776" i="2"/>
  <c r="B776" i="2"/>
  <c r="C776" i="2"/>
  <c r="G776" i="2"/>
  <c r="I776" i="2"/>
  <c r="U776" i="2" s="1"/>
  <c r="J776" i="2"/>
  <c r="T776" i="2" s="1"/>
  <c r="L776" i="2"/>
  <c r="M776" i="2"/>
  <c r="A777" i="2"/>
  <c r="B777" i="2"/>
  <c r="C777" i="2"/>
  <c r="G777" i="2"/>
  <c r="I777" i="2"/>
  <c r="U777" i="2" s="1"/>
  <c r="J777" i="2"/>
  <c r="T777" i="2" s="1"/>
  <c r="L777" i="2"/>
  <c r="M777" i="2"/>
  <c r="A778" i="2"/>
  <c r="B778" i="2"/>
  <c r="C778" i="2"/>
  <c r="G778" i="2"/>
  <c r="I778" i="2"/>
  <c r="U778" i="2" s="1"/>
  <c r="J778" i="2"/>
  <c r="T778" i="2" s="1"/>
  <c r="L778" i="2"/>
  <c r="M778" i="2"/>
  <c r="A779" i="2"/>
  <c r="B779" i="2"/>
  <c r="C779" i="2"/>
  <c r="G779" i="2"/>
  <c r="I779" i="2"/>
  <c r="U779" i="2" s="1"/>
  <c r="J779" i="2"/>
  <c r="T779" i="2" s="1"/>
  <c r="L779" i="2"/>
  <c r="M779" i="2"/>
  <c r="A780" i="2"/>
  <c r="B780" i="2"/>
  <c r="C780" i="2"/>
  <c r="G780" i="2"/>
  <c r="I780" i="2"/>
  <c r="U780" i="2" s="1"/>
  <c r="J780" i="2"/>
  <c r="T780" i="2" s="1"/>
  <c r="L780" i="2"/>
  <c r="M780" i="2"/>
  <c r="A781" i="2"/>
  <c r="B781" i="2"/>
  <c r="C781" i="2"/>
  <c r="G781" i="2"/>
  <c r="I781" i="2"/>
  <c r="J781" i="2"/>
  <c r="T781" i="2" s="1"/>
  <c r="L781" i="2"/>
  <c r="M781" i="2"/>
  <c r="A782" i="2"/>
  <c r="B782" i="2"/>
  <c r="C782" i="2"/>
  <c r="G782" i="2"/>
  <c r="I782" i="2"/>
  <c r="U782" i="2" s="1"/>
  <c r="J782" i="2"/>
  <c r="L782" i="2"/>
  <c r="M782" i="2"/>
  <c r="A783" i="2"/>
  <c r="B783" i="2"/>
  <c r="C783" i="2"/>
  <c r="G783" i="2"/>
  <c r="I783" i="2"/>
  <c r="U783" i="2" s="1"/>
  <c r="J783" i="2"/>
  <c r="T783" i="2" s="1"/>
  <c r="L783" i="2"/>
  <c r="M783" i="2"/>
  <c r="A784" i="2"/>
  <c r="B784" i="2"/>
  <c r="C784" i="2"/>
  <c r="G784" i="2"/>
  <c r="I784" i="2"/>
  <c r="U784" i="2" s="1"/>
  <c r="J784" i="2"/>
  <c r="T784" i="2" s="1"/>
  <c r="L784" i="2"/>
  <c r="M784" i="2"/>
  <c r="A785" i="2"/>
  <c r="B785" i="2"/>
  <c r="C785" i="2"/>
  <c r="G785" i="2"/>
  <c r="I785" i="2"/>
  <c r="U785" i="2" s="1"/>
  <c r="J785" i="2"/>
  <c r="T785" i="2" s="1"/>
  <c r="L785" i="2"/>
  <c r="M785" i="2"/>
  <c r="A786" i="2"/>
  <c r="B786" i="2"/>
  <c r="C786" i="2"/>
  <c r="G786" i="2"/>
  <c r="I786" i="2"/>
  <c r="J786" i="2"/>
  <c r="T786" i="2" s="1"/>
  <c r="L786" i="2"/>
  <c r="M786" i="2"/>
  <c r="A787" i="2"/>
  <c r="B787" i="2"/>
  <c r="C787" i="2"/>
  <c r="G787" i="2"/>
  <c r="I787" i="2"/>
  <c r="U787" i="2" s="1"/>
  <c r="J787" i="2"/>
  <c r="T787" i="2" s="1"/>
  <c r="L787" i="2"/>
  <c r="M787" i="2"/>
  <c r="A788" i="2"/>
  <c r="B788" i="2"/>
  <c r="C788" i="2"/>
  <c r="G788" i="2"/>
  <c r="I788" i="2"/>
  <c r="U788" i="2" s="1"/>
  <c r="J788" i="2"/>
  <c r="T788" i="2" s="1"/>
  <c r="L788" i="2"/>
  <c r="M788" i="2"/>
  <c r="A789" i="2"/>
  <c r="B789" i="2"/>
  <c r="C789" i="2"/>
  <c r="G789" i="2"/>
  <c r="I789" i="2"/>
  <c r="U789" i="2" s="1"/>
  <c r="J789" i="2"/>
  <c r="T789" i="2" s="1"/>
  <c r="L789" i="2"/>
  <c r="M789" i="2"/>
  <c r="A790" i="2"/>
  <c r="B790" i="2"/>
  <c r="C790" i="2"/>
  <c r="G790" i="2"/>
  <c r="I790" i="2"/>
  <c r="U790" i="2" s="1"/>
  <c r="J790" i="2"/>
  <c r="T790" i="2" s="1"/>
  <c r="L790" i="2"/>
  <c r="M790" i="2"/>
  <c r="A791" i="2"/>
  <c r="B791" i="2"/>
  <c r="C791" i="2"/>
  <c r="G791" i="2"/>
  <c r="I791" i="2"/>
  <c r="J791" i="2"/>
  <c r="T791" i="2" s="1"/>
  <c r="L791" i="2"/>
  <c r="M791" i="2"/>
  <c r="A792" i="2"/>
  <c r="B792" i="2"/>
  <c r="C792" i="2"/>
  <c r="G792" i="2"/>
  <c r="I792" i="2"/>
  <c r="J792" i="2"/>
  <c r="T792" i="2" s="1"/>
  <c r="L792" i="2"/>
  <c r="M792" i="2"/>
  <c r="A793" i="2"/>
  <c r="B793" i="2"/>
  <c r="C793" i="2"/>
  <c r="G793" i="2"/>
  <c r="I793" i="2"/>
  <c r="U793" i="2" s="1"/>
  <c r="J793" i="2"/>
  <c r="T793" i="2" s="1"/>
  <c r="L793" i="2"/>
  <c r="M793" i="2"/>
  <c r="A794" i="2"/>
  <c r="B794" i="2"/>
  <c r="C794" i="2"/>
  <c r="G794" i="2"/>
  <c r="I794" i="2"/>
  <c r="U794" i="2" s="1"/>
  <c r="J794" i="2"/>
  <c r="T794" i="2" s="1"/>
  <c r="L794" i="2"/>
  <c r="M794" i="2"/>
  <c r="A795" i="2"/>
  <c r="B795" i="2"/>
  <c r="C795" i="2"/>
  <c r="G795" i="2"/>
  <c r="I795" i="2"/>
  <c r="U795" i="2" s="1"/>
  <c r="J795" i="2"/>
  <c r="T795" i="2" s="1"/>
  <c r="L795" i="2"/>
  <c r="M795" i="2"/>
  <c r="A796" i="2"/>
  <c r="B796" i="2"/>
  <c r="C796" i="2"/>
  <c r="G796" i="2"/>
  <c r="I796" i="2"/>
  <c r="U796" i="2" s="1"/>
  <c r="J796" i="2"/>
  <c r="T796" i="2" s="1"/>
  <c r="L796" i="2"/>
  <c r="M796" i="2"/>
  <c r="A797" i="2"/>
  <c r="B797" i="2"/>
  <c r="C797" i="2"/>
  <c r="G797" i="2"/>
  <c r="I797" i="2"/>
  <c r="U797" i="2" s="1"/>
  <c r="J797" i="2"/>
  <c r="T797" i="2" s="1"/>
  <c r="L797" i="2"/>
  <c r="M797" i="2"/>
  <c r="A798" i="2"/>
  <c r="B798" i="2"/>
  <c r="C798" i="2"/>
  <c r="G798" i="2"/>
  <c r="I798" i="2"/>
  <c r="U798" i="2" s="1"/>
  <c r="J798" i="2"/>
  <c r="T798" i="2" s="1"/>
  <c r="L798" i="2"/>
  <c r="M798" i="2"/>
  <c r="A799" i="2"/>
  <c r="B799" i="2"/>
  <c r="C799" i="2"/>
  <c r="G799" i="2"/>
  <c r="I799" i="2"/>
  <c r="U799" i="2" s="1"/>
  <c r="J799" i="2"/>
  <c r="T799" i="2" s="1"/>
  <c r="L799" i="2"/>
  <c r="M799" i="2"/>
  <c r="A800" i="2"/>
  <c r="B800" i="2"/>
  <c r="C800" i="2"/>
  <c r="G800" i="2"/>
  <c r="I800" i="2"/>
  <c r="U800" i="2" s="1"/>
  <c r="J800" i="2"/>
  <c r="T800" i="2" s="1"/>
  <c r="L800" i="2"/>
  <c r="M800" i="2"/>
  <c r="A801" i="2"/>
  <c r="B801" i="2"/>
  <c r="C801" i="2"/>
  <c r="G801" i="2"/>
  <c r="I801" i="2"/>
  <c r="U801" i="2" s="1"/>
  <c r="J801" i="2"/>
  <c r="T801" i="2" s="1"/>
  <c r="L801" i="2"/>
  <c r="M801" i="2"/>
  <c r="A802" i="2"/>
  <c r="B802" i="2"/>
  <c r="C802" i="2"/>
  <c r="G802" i="2"/>
  <c r="I802" i="2"/>
  <c r="U802" i="2" s="1"/>
  <c r="J802" i="2"/>
  <c r="T802" i="2" s="1"/>
  <c r="L802" i="2"/>
  <c r="M802" i="2"/>
  <c r="A803" i="2"/>
  <c r="B803" i="2"/>
  <c r="C803" i="2"/>
  <c r="G803" i="2"/>
  <c r="I803" i="2"/>
  <c r="U803" i="2" s="1"/>
  <c r="J803" i="2"/>
  <c r="T803" i="2" s="1"/>
  <c r="L803" i="2"/>
  <c r="M803" i="2"/>
  <c r="A804" i="2"/>
  <c r="B804" i="2"/>
  <c r="C804" i="2"/>
  <c r="G804" i="2"/>
  <c r="I804" i="2"/>
  <c r="U804" i="2" s="1"/>
  <c r="J804" i="2"/>
  <c r="T804" i="2" s="1"/>
  <c r="L804" i="2"/>
  <c r="M804" i="2"/>
  <c r="A805" i="2"/>
  <c r="B805" i="2"/>
  <c r="C805" i="2"/>
  <c r="G805" i="2"/>
  <c r="I805" i="2"/>
  <c r="U805" i="2" s="1"/>
  <c r="J805" i="2"/>
  <c r="T805" i="2" s="1"/>
  <c r="L805" i="2"/>
  <c r="M805" i="2"/>
  <c r="A806" i="2"/>
  <c r="B806" i="2"/>
  <c r="C806" i="2"/>
  <c r="G806" i="2"/>
  <c r="I806" i="2"/>
  <c r="U806" i="2" s="1"/>
  <c r="J806" i="2"/>
  <c r="T806" i="2" s="1"/>
  <c r="L806" i="2"/>
  <c r="M806" i="2"/>
  <c r="A807" i="2"/>
  <c r="B807" i="2"/>
  <c r="C807" i="2"/>
  <c r="G807" i="2"/>
  <c r="I807" i="2"/>
  <c r="U807" i="2" s="1"/>
  <c r="J807" i="2"/>
  <c r="T807" i="2" s="1"/>
  <c r="L807" i="2"/>
  <c r="M807" i="2"/>
  <c r="A808" i="2"/>
  <c r="B808" i="2"/>
  <c r="C808" i="2"/>
  <c r="G808" i="2"/>
  <c r="I808" i="2"/>
  <c r="U808" i="2" s="1"/>
  <c r="J808" i="2"/>
  <c r="T808" i="2" s="1"/>
  <c r="L808" i="2"/>
  <c r="M808" i="2"/>
  <c r="A809" i="2"/>
  <c r="B809" i="2"/>
  <c r="C809" i="2"/>
  <c r="G809" i="2"/>
  <c r="I809" i="2"/>
  <c r="U809" i="2" s="1"/>
  <c r="J809" i="2"/>
  <c r="T809" i="2" s="1"/>
  <c r="L809" i="2"/>
  <c r="M809" i="2"/>
  <c r="A810" i="2"/>
  <c r="B810" i="2"/>
  <c r="C810" i="2"/>
  <c r="G810" i="2"/>
  <c r="I810" i="2"/>
  <c r="U810" i="2" s="1"/>
  <c r="J810" i="2"/>
  <c r="T810" i="2" s="1"/>
  <c r="L810" i="2"/>
  <c r="M810" i="2"/>
  <c r="A811" i="2"/>
  <c r="B811" i="2"/>
  <c r="C811" i="2"/>
  <c r="G811" i="2"/>
  <c r="I811" i="2"/>
  <c r="U811" i="2" s="1"/>
  <c r="J811" i="2"/>
  <c r="T811" i="2" s="1"/>
  <c r="L811" i="2"/>
  <c r="M811" i="2"/>
  <c r="A812" i="2"/>
  <c r="B812" i="2"/>
  <c r="C812" i="2"/>
  <c r="G812" i="2"/>
  <c r="I812" i="2"/>
  <c r="U812" i="2" s="1"/>
  <c r="J812" i="2"/>
  <c r="T812" i="2" s="1"/>
  <c r="L812" i="2"/>
  <c r="M812" i="2"/>
  <c r="A813" i="2"/>
  <c r="B813" i="2"/>
  <c r="C813" i="2"/>
  <c r="G813" i="2"/>
  <c r="I813" i="2"/>
  <c r="U813" i="2" s="1"/>
  <c r="J813" i="2"/>
  <c r="T813" i="2" s="1"/>
  <c r="L813" i="2"/>
  <c r="M813" i="2"/>
  <c r="A814" i="2"/>
  <c r="B814" i="2"/>
  <c r="C814" i="2"/>
  <c r="G814" i="2"/>
  <c r="I814" i="2"/>
  <c r="J814" i="2"/>
  <c r="T814" i="2" s="1"/>
  <c r="L814" i="2"/>
  <c r="M814" i="2"/>
  <c r="A815" i="2"/>
  <c r="B815" i="2"/>
  <c r="C815" i="2"/>
  <c r="G815" i="2"/>
  <c r="I815" i="2"/>
  <c r="U815" i="2" s="1"/>
  <c r="J815" i="2"/>
  <c r="T815" i="2" s="1"/>
  <c r="L815" i="2"/>
  <c r="M815" i="2"/>
  <c r="A816" i="2"/>
  <c r="B816" i="2"/>
  <c r="C816" i="2"/>
  <c r="G816" i="2"/>
  <c r="I816" i="2"/>
  <c r="U816" i="2" s="1"/>
  <c r="J816" i="2"/>
  <c r="T816" i="2" s="1"/>
  <c r="L816" i="2"/>
  <c r="M816" i="2"/>
  <c r="A817" i="2"/>
  <c r="B817" i="2"/>
  <c r="C817" i="2"/>
  <c r="G817" i="2"/>
  <c r="I817" i="2"/>
  <c r="U817" i="2" s="1"/>
  <c r="J817" i="2"/>
  <c r="T817" i="2" s="1"/>
  <c r="L817" i="2"/>
  <c r="M817" i="2"/>
  <c r="A818" i="2"/>
  <c r="B818" i="2"/>
  <c r="C818" i="2"/>
  <c r="G818" i="2"/>
  <c r="I818" i="2"/>
  <c r="U818" i="2" s="1"/>
  <c r="J818" i="2"/>
  <c r="T818" i="2" s="1"/>
  <c r="L818" i="2"/>
  <c r="M818" i="2"/>
  <c r="A819" i="2"/>
  <c r="B819" i="2"/>
  <c r="C819" i="2"/>
  <c r="G819" i="2"/>
  <c r="I819" i="2"/>
  <c r="J819" i="2"/>
  <c r="T819" i="2" s="1"/>
  <c r="L819" i="2"/>
  <c r="M819" i="2"/>
  <c r="A820" i="2"/>
  <c r="B820" i="2"/>
  <c r="C820" i="2"/>
  <c r="G820" i="2"/>
  <c r="I820" i="2"/>
  <c r="U820" i="2" s="1"/>
  <c r="J820" i="2"/>
  <c r="T820" i="2" s="1"/>
  <c r="L820" i="2"/>
  <c r="M820" i="2"/>
  <c r="A821" i="2"/>
  <c r="B821" i="2"/>
  <c r="C821" i="2"/>
  <c r="G821" i="2"/>
  <c r="I821" i="2"/>
  <c r="U821" i="2" s="1"/>
  <c r="J821" i="2"/>
  <c r="T821" i="2" s="1"/>
  <c r="L821" i="2"/>
  <c r="M821" i="2"/>
  <c r="A822" i="2"/>
  <c r="B822" i="2"/>
  <c r="C822" i="2"/>
  <c r="G822" i="2"/>
  <c r="I822" i="2"/>
  <c r="J822" i="2"/>
  <c r="T822" i="2" s="1"/>
  <c r="L822" i="2"/>
  <c r="M822" i="2"/>
  <c r="A823" i="2"/>
  <c r="B823" i="2"/>
  <c r="C823" i="2"/>
  <c r="G823" i="2"/>
  <c r="I823" i="2"/>
  <c r="U823" i="2" s="1"/>
  <c r="J823" i="2"/>
  <c r="T823" i="2" s="1"/>
  <c r="L823" i="2"/>
  <c r="M823" i="2"/>
  <c r="A824" i="2"/>
  <c r="B824" i="2"/>
  <c r="C824" i="2"/>
  <c r="G824" i="2"/>
  <c r="I824" i="2"/>
  <c r="U824" i="2" s="1"/>
  <c r="J824" i="2"/>
  <c r="T824" i="2" s="1"/>
  <c r="L824" i="2"/>
  <c r="M824" i="2"/>
  <c r="A825" i="2"/>
  <c r="B825" i="2"/>
  <c r="C825" i="2"/>
  <c r="G825" i="2"/>
  <c r="I825" i="2"/>
  <c r="J825" i="2"/>
  <c r="T825" i="2" s="1"/>
  <c r="L825" i="2"/>
  <c r="M825" i="2"/>
  <c r="A826" i="2"/>
  <c r="B826" i="2"/>
  <c r="C826" i="2"/>
  <c r="G826" i="2"/>
  <c r="I826" i="2"/>
  <c r="U826" i="2" s="1"/>
  <c r="J826" i="2"/>
  <c r="T826" i="2" s="1"/>
  <c r="L826" i="2"/>
  <c r="M826" i="2"/>
  <c r="A827" i="2"/>
  <c r="B827" i="2"/>
  <c r="C827" i="2"/>
  <c r="G827" i="2"/>
  <c r="I827" i="2"/>
  <c r="J827" i="2"/>
  <c r="T827" i="2" s="1"/>
  <c r="L827" i="2"/>
  <c r="M827" i="2"/>
  <c r="A828" i="2"/>
  <c r="B828" i="2"/>
  <c r="C828" i="2"/>
  <c r="G828" i="2"/>
  <c r="I828" i="2"/>
  <c r="U828" i="2" s="1"/>
  <c r="J828" i="2"/>
  <c r="T828" i="2" s="1"/>
  <c r="L828" i="2"/>
  <c r="M828" i="2"/>
  <c r="A829" i="2"/>
  <c r="B829" i="2"/>
  <c r="C829" i="2"/>
  <c r="G829" i="2"/>
  <c r="I829" i="2"/>
  <c r="U829" i="2" s="1"/>
  <c r="J829" i="2"/>
  <c r="T829" i="2" s="1"/>
  <c r="L829" i="2"/>
  <c r="M829" i="2"/>
  <c r="A830" i="2"/>
  <c r="B830" i="2"/>
  <c r="C830" i="2"/>
  <c r="G830" i="2"/>
  <c r="I830" i="2"/>
  <c r="U830" i="2" s="1"/>
  <c r="J830" i="2"/>
  <c r="L830" i="2"/>
  <c r="M830" i="2"/>
  <c r="A831" i="2"/>
  <c r="B831" i="2"/>
  <c r="C831" i="2"/>
  <c r="G831" i="2"/>
  <c r="I831" i="2"/>
  <c r="U831" i="2" s="1"/>
  <c r="J831" i="2"/>
  <c r="T831" i="2" s="1"/>
  <c r="L831" i="2"/>
  <c r="M831" i="2"/>
  <c r="A832" i="2"/>
  <c r="B832" i="2"/>
  <c r="C832" i="2"/>
  <c r="G832" i="2"/>
  <c r="I832" i="2"/>
  <c r="U832" i="2" s="1"/>
  <c r="J832" i="2"/>
  <c r="L832" i="2"/>
  <c r="M832" i="2"/>
  <c r="A833" i="2"/>
  <c r="B833" i="2"/>
  <c r="C833" i="2"/>
  <c r="G833" i="2"/>
  <c r="I833" i="2"/>
  <c r="U833" i="2" s="1"/>
  <c r="J833" i="2"/>
  <c r="L833" i="2"/>
  <c r="M833" i="2"/>
  <c r="A834" i="2"/>
  <c r="B834" i="2"/>
  <c r="C834" i="2"/>
  <c r="G834" i="2"/>
  <c r="I834" i="2"/>
  <c r="U834" i="2" s="1"/>
  <c r="J834" i="2"/>
  <c r="L834" i="2"/>
  <c r="M834" i="2"/>
  <c r="A835" i="2"/>
  <c r="B835" i="2"/>
  <c r="C835" i="2"/>
  <c r="G835" i="2"/>
  <c r="I835" i="2"/>
  <c r="U835" i="2" s="1"/>
  <c r="J835" i="2"/>
  <c r="T835" i="2" s="1"/>
  <c r="L835" i="2"/>
  <c r="M835" i="2"/>
  <c r="A836" i="2"/>
  <c r="B836" i="2"/>
  <c r="C836" i="2"/>
  <c r="G836" i="2"/>
  <c r="I836" i="2"/>
  <c r="U836" i="2" s="1"/>
  <c r="J836" i="2"/>
  <c r="T836" i="2" s="1"/>
  <c r="L836" i="2"/>
  <c r="M836" i="2"/>
  <c r="A837" i="2"/>
  <c r="B837" i="2"/>
  <c r="C837" i="2"/>
  <c r="G837" i="2"/>
  <c r="I837" i="2"/>
  <c r="U837" i="2" s="1"/>
  <c r="J837" i="2"/>
  <c r="T837" i="2" s="1"/>
  <c r="L837" i="2"/>
  <c r="M837" i="2"/>
  <c r="A838" i="2"/>
  <c r="B838" i="2"/>
  <c r="C838" i="2"/>
  <c r="G838" i="2"/>
  <c r="I838" i="2"/>
  <c r="U838" i="2" s="1"/>
  <c r="J838" i="2"/>
  <c r="T838" i="2" s="1"/>
  <c r="L838" i="2"/>
  <c r="M838" i="2"/>
  <c r="A839" i="2"/>
  <c r="B839" i="2"/>
  <c r="C839" i="2"/>
  <c r="G839" i="2"/>
  <c r="I839" i="2"/>
  <c r="U839" i="2" s="1"/>
  <c r="J839" i="2"/>
  <c r="T839" i="2" s="1"/>
  <c r="L839" i="2"/>
  <c r="M839" i="2"/>
  <c r="A840" i="2"/>
  <c r="B840" i="2"/>
  <c r="C840" i="2"/>
  <c r="G840" i="2"/>
  <c r="I840" i="2"/>
  <c r="U840" i="2" s="1"/>
  <c r="J840" i="2"/>
  <c r="T840" i="2" s="1"/>
  <c r="L840" i="2"/>
  <c r="M840" i="2"/>
  <c r="A841" i="2"/>
  <c r="B841" i="2"/>
  <c r="C841" i="2"/>
  <c r="G841" i="2"/>
  <c r="I841" i="2"/>
  <c r="U841" i="2" s="1"/>
  <c r="J841" i="2"/>
  <c r="T841" i="2" s="1"/>
  <c r="L841" i="2"/>
  <c r="M841" i="2"/>
  <c r="A842" i="2"/>
  <c r="B842" i="2"/>
  <c r="C842" i="2"/>
  <c r="G842" i="2"/>
  <c r="I842" i="2"/>
  <c r="U842" i="2" s="1"/>
  <c r="J842" i="2"/>
  <c r="T842" i="2" s="1"/>
  <c r="L842" i="2"/>
  <c r="M842" i="2"/>
  <c r="A843" i="2"/>
  <c r="B843" i="2"/>
  <c r="C843" i="2"/>
  <c r="G843" i="2"/>
  <c r="I843" i="2"/>
  <c r="U843" i="2" s="1"/>
  <c r="J843" i="2"/>
  <c r="T843" i="2" s="1"/>
  <c r="L843" i="2"/>
  <c r="M843" i="2"/>
  <c r="A844" i="2"/>
  <c r="B844" i="2"/>
  <c r="C844" i="2"/>
  <c r="G844" i="2"/>
  <c r="I844" i="2"/>
  <c r="U844" i="2" s="1"/>
  <c r="J844" i="2"/>
  <c r="T844" i="2" s="1"/>
  <c r="L844" i="2"/>
  <c r="M844" i="2"/>
  <c r="A845" i="2"/>
  <c r="B845" i="2"/>
  <c r="C845" i="2"/>
  <c r="G845" i="2"/>
  <c r="I845" i="2"/>
  <c r="J845" i="2"/>
  <c r="T845" i="2" s="1"/>
  <c r="L845" i="2"/>
  <c r="M845" i="2"/>
  <c r="A846" i="2"/>
  <c r="B846" i="2"/>
  <c r="C846" i="2"/>
  <c r="G846" i="2"/>
  <c r="I846" i="2"/>
  <c r="U846" i="2" s="1"/>
  <c r="J846" i="2"/>
  <c r="L846" i="2"/>
  <c r="M846" i="2"/>
  <c r="A847" i="2"/>
  <c r="B847" i="2"/>
  <c r="C847" i="2"/>
  <c r="G847" i="2"/>
  <c r="I847" i="2"/>
  <c r="U847" i="2" s="1"/>
  <c r="J847" i="2"/>
  <c r="T847" i="2" s="1"/>
  <c r="L847" i="2"/>
  <c r="M847" i="2"/>
  <c r="A848" i="2"/>
  <c r="B848" i="2"/>
  <c r="C848" i="2"/>
  <c r="G848" i="2"/>
  <c r="I848" i="2"/>
  <c r="U848" i="2" s="1"/>
  <c r="J848" i="2"/>
  <c r="T848" i="2" s="1"/>
  <c r="L848" i="2"/>
  <c r="M848" i="2"/>
  <c r="A849" i="2"/>
  <c r="B849" i="2"/>
  <c r="C849" i="2"/>
  <c r="G849" i="2"/>
  <c r="I849" i="2"/>
  <c r="U849" i="2" s="1"/>
  <c r="J849" i="2"/>
  <c r="T849" i="2" s="1"/>
  <c r="L849" i="2"/>
  <c r="M849" i="2"/>
  <c r="A850" i="2"/>
  <c r="B850" i="2"/>
  <c r="C850" i="2"/>
  <c r="G850" i="2"/>
  <c r="I850" i="2"/>
  <c r="U850" i="2" s="1"/>
  <c r="J850" i="2"/>
  <c r="T850" i="2" s="1"/>
  <c r="L850" i="2"/>
  <c r="M850" i="2"/>
  <c r="A851" i="2"/>
  <c r="B851" i="2"/>
  <c r="C851" i="2"/>
  <c r="G851" i="2"/>
  <c r="I851" i="2"/>
  <c r="U851" i="2" s="1"/>
  <c r="J851" i="2"/>
  <c r="T851" i="2" s="1"/>
  <c r="L851" i="2"/>
  <c r="M851" i="2"/>
  <c r="A852" i="2"/>
  <c r="B852" i="2"/>
  <c r="C852" i="2"/>
  <c r="G852" i="2"/>
  <c r="I852" i="2"/>
  <c r="U852" i="2" s="1"/>
  <c r="J852" i="2"/>
  <c r="T852" i="2" s="1"/>
  <c r="L852" i="2"/>
  <c r="M852" i="2"/>
  <c r="A853" i="2"/>
  <c r="B853" i="2"/>
  <c r="C853" i="2"/>
  <c r="G853" i="2"/>
  <c r="I853" i="2"/>
  <c r="U853" i="2" s="1"/>
  <c r="J853" i="2"/>
  <c r="T853" i="2" s="1"/>
  <c r="L853" i="2"/>
  <c r="M853" i="2"/>
  <c r="A854" i="2"/>
  <c r="B854" i="2"/>
  <c r="C854" i="2"/>
  <c r="G854" i="2"/>
  <c r="I854" i="2"/>
  <c r="U854" i="2" s="1"/>
  <c r="J854" i="2"/>
  <c r="T854" i="2" s="1"/>
  <c r="L854" i="2"/>
  <c r="M854" i="2"/>
  <c r="A855" i="2"/>
  <c r="B855" i="2"/>
  <c r="C855" i="2"/>
  <c r="G855" i="2"/>
  <c r="I855" i="2"/>
  <c r="J855" i="2"/>
  <c r="T855" i="2" s="1"/>
  <c r="L855" i="2"/>
  <c r="M855" i="2"/>
  <c r="A856" i="2"/>
  <c r="B856" i="2"/>
  <c r="C856" i="2"/>
  <c r="G856" i="2"/>
  <c r="I856" i="2"/>
  <c r="U856" i="2" s="1"/>
  <c r="J856" i="2"/>
  <c r="T856" i="2" s="1"/>
  <c r="L856" i="2"/>
  <c r="M856" i="2"/>
  <c r="A857" i="2"/>
  <c r="B857" i="2"/>
  <c r="C857" i="2"/>
  <c r="G857" i="2"/>
  <c r="I857" i="2"/>
  <c r="U857" i="2" s="1"/>
  <c r="J857" i="2"/>
  <c r="T857" i="2" s="1"/>
  <c r="L857" i="2"/>
  <c r="M857" i="2"/>
  <c r="A858" i="2"/>
  <c r="B858" i="2"/>
  <c r="C858" i="2"/>
  <c r="G858" i="2"/>
  <c r="I858" i="2"/>
  <c r="U858" i="2" s="1"/>
  <c r="J858" i="2"/>
  <c r="T858" i="2" s="1"/>
  <c r="L858" i="2"/>
  <c r="M858" i="2"/>
  <c r="A859" i="2"/>
  <c r="B859" i="2"/>
  <c r="C859" i="2"/>
  <c r="G859" i="2"/>
  <c r="I859" i="2"/>
  <c r="J859" i="2"/>
  <c r="T859" i="2" s="1"/>
  <c r="L859" i="2"/>
  <c r="M859" i="2"/>
  <c r="A860" i="2"/>
  <c r="B860" i="2"/>
  <c r="C860" i="2"/>
  <c r="G860" i="2"/>
  <c r="I860" i="2"/>
  <c r="J860" i="2"/>
  <c r="T860" i="2" s="1"/>
  <c r="L860" i="2"/>
  <c r="M860" i="2"/>
  <c r="A861" i="2"/>
  <c r="B861" i="2"/>
  <c r="C861" i="2"/>
  <c r="G861" i="2"/>
  <c r="I861" i="2"/>
  <c r="J861" i="2"/>
  <c r="T861" i="2" s="1"/>
  <c r="L861" i="2"/>
  <c r="M861" i="2"/>
  <c r="A862" i="2"/>
  <c r="B862" i="2"/>
  <c r="C862" i="2"/>
  <c r="G862" i="2"/>
  <c r="I862" i="2"/>
  <c r="U862" i="2" s="1"/>
  <c r="J862" i="2"/>
  <c r="L862" i="2"/>
  <c r="M862" i="2"/>
  <c r="A863" i="2"/>
  <c r="B863" i="2"/>
  <c r="C863" i="2"/>
  <c r="G863" i="2"/>
  <c r="I863" i="2"/>
  <c r="J863" i="2"/>
  <c r="T863" i="2" s="1"/>
  <c r="L863" i="2"/>
  <c r="M863" i="2"/>
  <c r="A864" i="2"/>
  <c r="B864" i="2"/>
  <c r="C864" i="2"/>
  <c r="G864" i="2"/>
  <c r="I864" i="2"/>
  <c r="U864" i="2" s="1"/>
  <c r="J864" i="2"/>
  <c r="T864" i="2" s="1"/>
  <c r="L864" i="2"/>
  <c r="M864" i="2"/>
  <c r="A865" i="2"/>
  <c r="B865" i="2"/>
  <c r="C865" i="2"/>
  <c r="G865" i="2"/>
  <c r="I865" i="2"/>
  <c r="J865" i="2"/>
  <c r="T865" i="2" s="1"/>
  <c r="L865" i="2"/>
  <c r="M865" i="2"/>
  <c r="A866" i="2"/>
  <c r="B866" i="2"/>
  <c r="C866" i="2"/>
  <c r="G866" i="2"/>
  <c r="I866" i="2"/>
  <c r="U866" i="2" s="1"/>
  <c r="J866" i="2"/>
  <c r="T866" i="2" s="1"/>
  <c r="L866" i="2"/>
  <c r="M866" i="2"/>
  <c r="A867" i="2"/>
  <c r="B867" i="2"/>
  <c r="C867" i="2"/>
  <c r="G867" i="2"/>
  <c r="I867" i="2"/>
  <c r="U867" i="2" s="1"/>
  <c r="J867" i="2"/>
  <c r="T867" i="2" s="1"/>
  <c r="L867" i="2"/>
  <c r="M867" i="2"/>
  <c r="A868" i="2"/>
  <c r="B868" i="2"/>
  <c r="C868" i="2"/>
  <c r="G868" i="2"/>
  <c r="I868" i="2"/>
  <c r="U868" i="2" s="1"/>
  <c r="J868" i="2"/>
  <c r="T868" i="2" s="1"/>
  <c r="L868" i="2"/>
  <c r="M868" i="2"/>
  <c r="A869" i="2"/>
  <c r="B869" i="2"/>
  <c r="C869" i="2"/>
  <c r="G869" i="2"/>
  <c r="I869" i="2"/>
  <c r="U869" i="2" s="1"/>
  <c r="J869" i="2"/>
  <c r="T869" i="2" s="1"/>
  <c r="L869" i="2"/>
  <c r="M869" i="2"/>
  <c r="A870" i="2"/>
  <c r="B870" i="2"/>
  <c r="C870" i="2"/>
  <c r="G870" i="2"/>
  <c r="I870" i="2"/>
  <c r="U870" i="2" s="1"/>
  <c r="J870" i="2"/>
  <c r="T870" i="2" s="1"/>
  <c r="L870" i="2"/>
  <c r="M870" i="2"/>
  <c r="A871" i="2"/>
  <c r="B871" i="2"/>
  <c r="C871" i="2"/>
  <c r="G871" i="2"/>
  <c r="I871" i="2"/>
  <c r="U871" i="2" s="1"/>
  <c r="J871" i="2"/>
  <c r="T871" i="2" s="1"/>
  <c r="L871" i="2"/>
  <c r="M871" i="2"/>
  <c r="A872" i="2"/>
  <c r="B872" i="2"/>
  <c r="C872" i="2"/>
  <c r="G872" i="2"/>
  <c r="I872" i="2"/>
  <c r="U872" i="2" s="1"/>
  <c r="J872" i="2"/>
  <c r="T872" i="2" s="1"/>
  <c r="L872" i="2"/>
  <c r="M872" i="2"/>
  <c r="A873" i="2"/>
  <c r="B873" i="2"/>
  <c r="C873" i="2"/>
  <c r="G873" i="2"/>
  <c r="I873" i="2"/>
  <c r="J873" i="2"/>
  <c r="T873" i="2" s="1"/>
  <c r="L873" i="2"/>
  <c r="M873" i="2"/>
  <c r="A874" i="2"/>
  <c r="B874" i="2"/>
  <c r="C874" i="2"/>
  <c r="G874" i="2"/>
  <c r="I874" i="2"/>
  <c r="U874" i="2" s="1"/>
  <c r="J874" i="2"/>
  <c r="T874" i="2" s="1"/>
  <c r="L874" i="2"/>
  <c r="M874" i="2"/>
  <c r="A875" i="2"/>
  <c r="B875" i="2"/>
  <c r="C875" i="2"/>
  <c r="G875" i="2"/>
  <c r="I875" i="2"/>
  <c r="U875" i="2" s="1"/>
  <c r="J875" i="2"/>
  <c r="T875" i="2" s="1"/>
  <c r="L875" i="2"/>
  <c r="M875" i="2"/>
  <c r="A876" i="2"/>
  <c r="B876" i="2"/>
  <c r="C876" i="2"/>
  <c r="G876" i="2"/>
  <c r="I876" i="2"/>
  <c r="U876" i="2" s="1"/>
  <c r="J876" i="2"/>
  <c r="T876" i="2" s="1"/>
  <c r="L876" i="2"/>
  <c r="M876" i="2"/>
  <c r="A877" i="2"/>
  <c r="B877" i="2"/>
  <c r="C877" i="2"/>
  <c r="G877" i="2"/>
  <c r="I877" i="2"/>
  <c r="U877" i="2" s="1"/>
  <c r="J877" i="2"/>
  <c r="T877" i="2" s="1"/>
  <c r="L877" i="2"/>
  <c r="M877" i="2"/>
  <c r="A878" i="2"/>
  <c r="B878" i="2"/>
  <c r="C878" i="2"/>
  <c r="G878" i="2"/>
  <c r="I878" i="2"/>
  <c r="U878" i="2" s="1"/>
  <c r="J878" i="2"/>
  <c r="L878" i="2"/>
  <c r="M878" i="2"/>
  <c r="A879" i="2"/>
  <c r="B879" i="2"/>
  <c r="C879" i="2"/>
  <c r="G879" i="2"/>
  <c r="I879" i="2"/>
  <c r="U879" i="2" s="1"/>
  <c r="J879" i="2"/>
  <c r="T879" i="2" s="1"/>
  <c r="L879" i="2"/>
  <c r="M879" i="2"/>
  <c r="A880" i="2"/>
  <c r="B880" i="2"/>
  <c r="C880" i="2"/>
  <c r="G880" i="2"/>
  <c r="I880" i="2"/>
  <c r="U880" i="2" s="1"/>
  <c r="J880" i="2"/>
  <c r="T880" i="2" s="1"/>
  <c r="L880" i="2"/>
  <c r="M880" i="2"/>
  <c r="A881" i="2"/>
  <c r="B881" i="2"/>
  <c r="C881" i="2"/>
  <c r="G881" i="2"/>
  <c r="I881" i="2"/>
  <c r="U881" i="2" s="1"/>
  <c r="J881" i="2"/>
  <c r="T881" i="2" s="1"/>
  <c r="L881" i="2"/>
  <c r="M881" i="2"/>
  <c r="A882" i="2"/>
  <c r="B882" i="2"/>
  <c r="C882" i="2"/>
  <c r="G882" i="2"/>
  <c r="I882" i="2"/>
  <c r="U882" i="2" s="1"/>
  <c r="J882" i="2"/>
  <c r="T882" i="2" s="1"/>
  <c r="L882" i="2"/>
  <c r="M882" i="2"/>
  <c r="A883" i="2"/>
  <c r="B883" i="2"/>
  <c r="C883" i="2"/>
  <c r="G883" i="2"/>
  <c r="I883" i="2"/>
  <c r="U883" i="2" s="1"/>
  <c r="J883" i="2"/>
  <c r="T883" i="2" s="1"/>
  <c r="L883" i="2"/>
  <c r="M883" i="2"/>
  <c r="A884" i="2"/>
  <c r="B884" i="2"/>
  <c r="C884" i="2"/>
  <c r="G884" i="2"/>
  <c r="I884" i="2"/>
  <c r="U884" i="2" s="1"/>
  <c r="J884" i="2"/>
  <c r="T884" i="2" s="1"/>
  <c r="L884" i="2"/>
  <c r="M884" i="2"/>
  <c r="A885" i="2"/>
  <c r="B885" i="2"/>
  <c r="C885" i="2"/>
  <c r="G885" i="2"/>
  <c r="I885" i="2"/>
  <c r="J885" i="2"/>
  <c r="T885" i="2" s="1"/>
  <c r="L885" i="2"/>
  <c r="M885" i="2"/>
  <c r="A886" i="2"/>
  <c r="B886" i="2"/>
  <c r="C886" i="2"/>
  <c r="G886" i="2"/>
  <c r="I886" i="2"/>
  <c r="U886" i="2" s="1"/>
  <c r="J886" i="2"/>
  <c r="T886" i="2" s="1"/>
  <c r="L886" i="2"/>
  <c r="M886" i="2"/>
  <c r="A887" i="2"/>
  <c r="B887" i="2"/>
  <c r="C887" i="2"/>
  <c r="G887" i="2"/>
  <c r="I887" i="2"/>
  <c r="U887" i="2" s="1"/>
  <c r="J887" i="2"/>
  <c r="T887" i="2" s="1"/>
  <c r="L887" i="2"/>
  <c r="M887" i="2"/>
  <c r="A888" i="2"/>
  <c r="B888" i="2"/>
  <c r="C888" i="2"/>
  <c r="G888" i="2"/>
  <c r="I888" i="2"/>
  <c r="U888" i="2" s="1"/>
  <c r="J888" i="2"/>
  <c r="T888" i="2" s="1"/>
  <c r="L888" i="2"/>
  <c r="M888" i="2"/>
  <c r="A889" i="2"/>
  <c r="B889" i="2"/>
  <c r="C889" i="2"/>
  <c r="G889" i="2"/>
  <c r="I889" i="2"/>
  <c r="J889" i="2"/>
  <c r="T889" i="2" s="1"/>
  <c r="L889" i="2"/>
  <c r="M889" i="2"/>
  <c r="A890" i="2"/>
  <c r="B890" i="2"/>
  <c r="C890" i="2"/>
  <c r="G890" i="2"/>
  <c r="I890" i="2"/>
  <c r="U890" i="2" s="1"/>
  <c r="J890" i="2"/>
  <c r="T890" i="2" s="1"/>
  <c r="L890" i="2"/>
  <c r="M890" i="2"/>
  <c r="A891" i="2"/>
  <c r="B891" i="2"/>
  <c r="C891" i="2"/>
  <c r="G891" i="2"/>
  <c r="I891" i="2"/>
  <c r="U891" i="2" s="1"/>
  <c r="J891" i="2"/>
  <c r="T891" i="2" s="1"/>
  <c r="L891" i="2"/>
  <c r="M891" i="2"/>
  <c r="A892" i="2"/>
  <c r="B892" i="2"/>
  <c r="C892" i="2"/>
  <c r="G892" i="2"/>
  <c r="I892" i="2"/>
  <c r="U892" i="2" s="1"/>
  <c r="J892" i="2"/>
  <c r="T892" i="2" s="1"/>
  <c r="L892" i="2"/>
  <c r="M892" i="2"/>
  <c r="A893" i="2"/>
  <c r="B893" i="2"/>
  <c r="C893" i="2"/>
  <c r="G893" i="2"/>
  <c r="I893" i="2"/>
  <c r="U893" i="2" s="1"/>
  <c r="J893" i="2"/>
  <c r="T893" i="2" s="1"/>
  <c r="L893" i="2"/>
  <c r="M893" i="2"/>
  <c r="A894" i="2"/>
  <c r="B894" i="2"/>
  <c r="C894" i="2"/>
  <c r="G894" i="2"/>
  <c r="I894" i="2"/>
  <c r="U894" i="2" s="1"/>
  <c r="J894" i="2"/>
  <c r="T894" i="2" s="1"/>
  <c r="L894" i="2"/>
  <c r="M894" i="2"/>
  <c r="A895" i="2"/>
  <c r="B895" i="2"/>
  <c r="C895" i="2"/>
  <c r="G895" i="2"/>
  <c r="I895" i="2"/>
  <c r="U895" i="2" s="1"/>
  <c r="J895" i="2"/>
  <c r="T895" i="2" s="1"/>
  <c r="L895" i="2"/>
  <c r="M895" i="2"/>
  <c r="A896" i="2"/>
  <c r="B896" i="2"/>
  <c r="C896" i="2"/>
  <c r="G896" i="2"/>
  <c r="I896" i="2"/>
  <c r="U896" i="2" s="1"/>
  <c r="J896" i="2"/>
  <c r="T896" i="2" s="1"/>
  <c r="L896" i="2"/>
  <c r="M896" i="2"/>
  <c r="A897" i="2"/>
  <c r="B897" i="2"/>
  <c r="C897" i="2"/>
  <c r="G897" i="2"/>
  <c r="I897" i="2"/>
  <c r="U897" i="2" s="1"/>
  <c r="J897" i="2"/>
  <c r="T897" i="2" s="1"/>
  <c r="L897" i="2"/>
  <c r="M897" i="2"/>
  <c r="A898" i="2"/>
  <c r="B898" i="2"/>
  <c r="C898" i="2"/>
  <c r="G898" i="2"/>
  <c r="I898" i="2"/>
  <c r="U898" i="2" s="1"/>
  <c r="J898" i="2"/>
  <c r="T898" i="2" s="1"/>
  <c r="L898" i="2"/>
  <c r="M898" i="2"/>
  <c r="A899" i="2"/>
  <c r="B899" i="2"/>
  <c r="C899" i="2"/>
  <c r="G899" i="2"/>
  <c r="I899" i="2"/>
  <c r="U899" i="2" s="1"/>
  <c r="J899" i="2"/>
  <c r="T899" i="2" s="1"/>
  <c r="L899" i="2"/>
  <c r="M899" i="2"/>
  <c r="A900" i="2"/>
  <c r="B900" i="2"/>
  <c r="C900" i="2"/>
  <c r="G900" i="2"/>
  <c r="I900" i="2"/>
  <c r="U900" i="2" s="1"/>
  <c r="J900" i="2"/>
  <c r="T900" i="2" s="1"/>
  <c r="L900" i="2"/>
  <c r="M900" i="2"/>
  <c r="A901" i="2"/>
  <c r="B901" i="2"/>
  <c r="C901" i="2"/>
  <c r="G901" i="2"/>
  <c r="I901" i="2"/>
  <c r="U901" i="2" s="1"/>
  <c r="J901" i="2"/>
  <c r="T901" i="2" s="1"/>
  <c r="L901" i="2"/>
  <c r="M901" i="2"/>
  <c r="A902" i="2"/>
  <c r="B902" i="2"/>
  <c r="C902" i="2"/>
  <c r="G902" i="2"/>
  <c r="I902" i="2"/>
  <c r="U902" i="2" s="1"/>
  <c r="J902" i="2"/>
  <c r="T902" i="2" s="1"/>
  <c r="L902" i="2"/>
  <c r="M902" i="2"/>
  <c r="A903" i="2"/>
  <c r="B903" i="2"/>
  <c r="C903" i="2"/>
  <c r="G903" i="2"/>
  <c r="I903" i="2"/>
  <c r="U903" i="2" s="1"/>
  <c r="J903" i="2"/>
  <c r="T903" i="2" s="1"/>
  <c r="L903" i="2"/>
  <c r="M903" i="2"/>
  <c r="A904" i="2"/>
  <c r="B904" i="2"/>
  <c r="C904" i="2"/>
  <c r="G904" i="2"/>
  <c r="I904" i="2"/>
  <c r="U904" i="2" s="1"/>
  <c r="J904" i="2"/>
  <c r="T904" i="2" s="1"/>
  <c r="L904" i="2"/>
  <c r="M904" i="2"/>
  <c r="A905" i="2"/>
  <c r="B905" i="2"/>
  <c r="C905" i="2"/>
  <c r="G905" i="2"/>
  <c r="I905" i="2"/>
  <c r="U905" i="2" s="1"/>
  <c r="J905" i="2"/>
  <c r="T905" i="2" s="1"/>
  <c r="L905" i="2"/>
  <c r="M905" i="2"/>
  <c r="A906" i="2"/>
  <c r="B906" i="2"/>
  <c r="C906" i="2"/>
  <c r="G906" i="2"/>
  <c r="I906" i="2"/>
  <c r="U906" i="2" s="1"/>
  <c r="J906" i="2"/>
  <c r="T906" i="2" s="1"/>
  <c r="L906" i="2"/>
  <c r="M906" i="2"/>
  <c r="A907" i="2"/>
  <c r="B907" i="2"/>
  <c r="C907" i="2"/>
  <c r="G907" i="2"/>
  <c r="I907" i="2"/>
  <c r="U907" i="2" s="1"/>
  <c r="J907" i="2"/>
  <c r="T907" i="2" s="1"/>
  <c r="L907" i="2"/>
  <c r="M907" i="2"/>
  <c r="A908" i="2"/>
  <c r="B908" i="2"/>
  <c r="C908" i="2"/>
  <c r="G908" i="2"/>
  <c r="I908" i="2"/>
  <c r="U908" i="2" s="1"/>
  <c r="J908" i="2"/>
  <c r="T908" i="2" s="1"/>
  <c r="L908" i="2"/>
  <c r="M908" i="2"/>
  <c r="A909" i="2"/>
  <c r="B909" i="2"/>
  <c r="C909" i="2"/>
  <c r="G909" i="2"/>
  <c r="I909" i="2"/>
  <c r="U909" i="2" s="1"/>
  <c r="J909" i="2"/>
  <c r="T909" i="2" s="1"/>
  <c r="L909" i="2"/>
  <c r="M909" i="2"/>
  <c r="A910" i="2"/>
  <c r="B910" i="2"/>
  <c r="C910" i="2"/>
  <c r="G910" i="2"/>
  <c r="I910" i="2"/>
  <c r="U910" i="2" s="1"/>
  <c r="J910" i="2"/>
  <c r="T910" i="2" s="1"/>
  <c r="L910" i="2"/>
  <c r="M910" i="2"/>
  <c r="A911" i="2"/>
  <c r="B911" i="2"/>
  <c r="C911" i="2"/>
  <c r="G911" i="2"/>
  <c r="I911" i="2"/>
  <c r="U911" i="2" s="1"/>
  <c r="J911" i="2"/>
  <c r="T911" i="2" s="1"/>
  <c r="L911" i="2"/>
  <c r="M911" i="2"/>
  <c r="A912" i="2"/>
  <c r="B912" i="2"/>
  <c r="C912" i="2"/>
  <c r="G912" i="2"/>
  <c r="I912" i="2"/>
  <c r="U912" i="2" s="1"/>
  <c r="J912" i="2"/>
  <c r="T912" i="2" s="1"/>
  <c r="L912" i="2"/>
  <c r="M912" i="2"/>
  <c r="A913" i="2"/>
  <c r="B913" i="2"/>
  <c r="C913" i="2"/>
  <c r="G913" i="2"/>
  <c r="I913" i="2"/>
  <c r="U913" i="2" s="1"/>
  <c r="J913" i="2"/>
  <c r="T913" i="2" s="1"/>
  <c r="L913" i="2"/>
  <c r="M913" i="2"/>
  <c r="A914" i="2"/>
  <c r="B914" i="2"/>
  <c r="C914" i="2"/>
  <c r="G914" i="2"/>
  <c r="I914" i="2"/>
  <c r="U914" i="2" s="1"/>
  <c r="J914" i="2"/>
  <c r="L914" i="2"/>
  <c r="M914" i="2"/>
  <c r="A915" i="2"/>
  <c r="B915" i="2"/>
  <c r="C915" i="2"/>
  <c r="G915" i="2"/>
  <c r="I915" i="2"/>
  <c r="U915" i="2" s="1"/>
  <c r="J915" i="2"/>
  <c r="T915" i="2" s="1"/>
  <c r="L915" i="2"/>
  <c r="M915" i="2"/>
  <c r="A916" i="2"/>
  <c r="B916" i="2"/>
  <c r="C916" i="2"/>
  <c r="G916" i="2"/>
  <c r="I916" i="2"/>
  <c r="U916" i="2" s="1"/>
  <c r="J916" i="2"/>
  <c r="T916" i="2" s="1"/>
  <c r="L916" i="2"/>
  <c r="M916" i="2"/>
  <c r="A917" i="2"/>
  <c r="B917" i="2"/>
  <c r="C917" i="2"/>
  <c r="G917" i="2"/>
  <c r="I917" i="2"/>
  <c r="U917" i="2" s="1"/>
  <c r="J917" i="2"/>
  <c r="T917" i="2" s="1"/>
  <c r="L917" i="2"/>
  <c r="M917" i="2"/>
  <c r="A918" i="2"/>
  <c r="B918" i="2"/>
  <c r="C918" i="2"/>
  <c r="G918" i="2"/>
  <c r="I918" i="2"/>
  <c r="U918" i="2" s="1"/>
  <c r="J918" i="2"/>
  <c r="T918" i="2" s="1"/>
  <c r="L918" i="2"/>
  <c r="M918" i="2"/>
  <c r="A919" i="2"/>
  <c r="B919" i="2"/>
  <c r="C919" i="2"/>
  <c r="G919" i="2"/>
  <c r="I919" i="2"/>
  <c r="U919" i="2" s="1"/>
  <c r="J919" i="2"/>
  <c r="T919" i="2" s="1"/>
  <c r="L919" i="2"/>
  <c r="M919" i="2"/>
  <c r="A920" i="2"/>
  <c r="B920" i="2"/>
  <c r="C920" i="2"/>
  <c r="G920" i="2"/>
  <c r="I920" i="2"/>
  <c r="J920" i="2"/>
  <c r="T920" i="2" s="1"/>
  <c r="L920" i="2"/>
  <c r="M920" i="2"/>
  <c r="A921" i="2"/>
  <c r="B921" i="2"/>
  <c r="C921" i="2"/>
  <c r="G921" i="2"/>
  <c r="I921" i="2"/>
  <c r="U921" i="2" s="1"/>
  <c r="J921" i="2"/>
  <c r="T921" i="2" s="1"/>
  <c r="L921" i="2"/>
  <c r="M921" i="2"/>
  <c r="A922" i="2"/>
  <c r="B922" i="2"/>
  <c r="C922" i="2"/>
  <c r="G922" i="2"/>
  <c r="I922" i="2"/>
  <c r="U922" i="2" s="1"/>
  <c r="J922" i="2"/>
  <c r="T922" i="2" s="1"/>
  <c r="L922" i="2"/>
  <c r="M922" i="2"/>
  <c r="A923" i="2"/>
  <c r="B923" i="2"/>
  <c r="C923" i="2"/>
  <c r="G923" i="2"/>
  <c r="I923" i="2"/>
  <c r="J923" i="2"/>
  <c r="T923" i="2" s="1"/>
  <c r="L923" i="2"/>
  <c r="M923" i="2"/>
  <c r="A924" i="2"/>
  <c r="B924" i="2"/>
  <c r="C924" i="2"/>
  <c r="G924" i="2"/>
  <c r="I924" i="2"/>
  <c r="U924" i="2" s="1"/>
  <c r="J924" i="2"/>
  <c r="T924" i="2" s="1"/>
  <c r="L924" i="2"/>
  <c r="M924" i="2"/>
  <c r="A925" i="2"/>
  <c r="B925" i="2"/>
  <c r="C925" i="2"/>
  <c r="G925" i="2"/>
  <c r="I925" i="2"/>
  <c r="U925" i="2" s="1"/>
  <c r="J925" i="2"/>
  <c r="T925" i="2" s="1"/>
  <c r="L925" i="2"/>
  <c r="M925" i="2"/>
  <c r="A926" i="2"/>
  <c r="B926" i="2"/>
  <c r="C926" i="2"/>
  <c r="G926" i="2"/>
  <c r="I926" i="2"/>
  <c r="U926" i="2" s="1"/>
  <c r="J926" i="2"/>
  <c r="T926" i="2" s="1"/>
  <c r="L926" i="2"/>
  <c r="M926" i="2"/>
  <c r="A927" i="2"/>
  <c r="B927" i="2"/>
  <c r="C927" i="2"/>
  <c r="G927" i="2"/>
  <c r="I927" i="2"/>
  <c r="J927" i="2"/>
  <c r="T927" i="2" s="1"/>
  <c r="L927" i="2"/>
  <c r="M927" i="2"/>
  <c r="A928" i="2"/>
  <c r="B928" i="2"/>
  <c r="C928" i="2"/>
  <c r="G928" i="2"/>
  <c r="I928" i="2"/>
  <c r="U928" i="2" s="1"/>
  <c r="J928" i="2"/>
  <c r="T928" i="2" s="1"/>
  <c r="L928" i="2"/>
  <c r="M928" i="2"/>
  <c r="A929" i="2"/>
  <c r="B929" i="2"/>
  <c r="C929" i="2"/>
  <c r="G929" i="2"/>
  <c r="I929" i="2"/>
  <c r="U929" i="2" s="1"/>
  <c r="J929" i="2"/>
  <c r="T929" i="2" s="1"/>
  <c r="L929" i="2"/>
  <c r="M929" i="2"/>
  <c r="A930" i="2"/>
  <c r="B930" i="2"/>
  <c r="C930" i="2"/>
  <c r="G930" i="2"/>
  <c r="I930" i="2"/>
  <c r="J930" i="2"/>
  <c r="T930" i="2" s="1"/>
  <c r="L930" i="2"/>
  <c r="M930" i="2"/>
  <c r="A931" i="2"/>
  <c r="B931" i="2"/>
  <c r="C931" i="2"/>
  <c r="G931" i="2"/>
  <c r="I931" i="2"/>
  <c r="U931" i="2" s="1"/>
  <c r="J931" i="2"/>
  <c r="T931" i="2" s="1"/>
  <c r="L931" i="2"/>
  <c r="M931" i="2"/>
  <c r="A932" i="2"/>
  <c r="B932" i="2"/>
  <c r="C932" i="2"/>
  <c r="G932" i="2"/>
  <c r="I932" i="2"/>
  <c r="U932" i="2" s="1"/>
  <c r="J932" i="2"/>
  <c r="T932" i="2" s="1"/>
  <c r="L932" i="2"/>
  <c r="M932" i="2"/>
  <c r="A933" i="2"/>
  <c r="B933" i="2"/>
  <c r="C933" i="2"/>
  <c r="G933" i="2"/>
  <c r="I933" i="2"/>
  <c r="U933" i="2" s="1"/>
  <c r="J933" i="2"/>
  <c r="T933" i="2" s="1"/>
  <c r="L933" i="2"/>
  <c r="M933" i="2"/>
  <c r="A934" i="2"/>
  <c r="B934" i="2"/>
  <c r="C934" i="2"/>
  <c r="G934" i="2"/>
  <c r="I934" i="2"/>
  <c r="U934" i="2" s="1"/>
  <c r="J934" i="2"/>
  <c r="T934" i="2" s="1"/>
  <c r="L934" i="2"/>
  <c r="M934" i="2"/>
  <c r="A935" i="2"/>
  <c r="B935" i="2"/>
  <c r="C935" i="2"/>
  <c r="G935" i="2"/>
  <c r="I935" i="2"/>
  <c r="J935" i="2"/>
  <c r="T935" i="2" s="1"/>
  <c r="L935" i="2"/>
  <c r="M935" i="2"/>
  <c r="A936" i="2"/>
  <c r="B936" i="2"/>
  <c r="C936" i="2"/>
  <c r="G936" i="2"/>
  <c r="I936" i="2"/>
  <c r="U936" i="2" s="1"/>
  <c r="J936" i="2"/>
  <c r="T936" i="2" s="1"/>
  <c r="L936" i="2"/>
  <c r="M936" i="2"/>
  <c r="A937" i="2"/>
  <c r="B937" i="2"/>
  <c r="C937" i="2"/>
  <c r="G937" i="2"/>
  <c r="I937" i="2"/>
  <c r="U937" i="2" s="1"/>
  <c r="J937" i="2"/>
  <c r="T937" i="2" s="1"/>
  <c r="L937" i="2"/>
  <c r="M937" i="2"/>
  <c r="A938" i="2"/>
  <c r="B938" i="2"/>
  <c r="C938" i="2"/>
  <c r="G938" i="2"/>
  <c r="I938" i="2"/>
  <c r="U938" i="2" s="1"/>
  <c r="J938" i="2"/>
  <c r="T938" i="2" s="1"/>
  <c r="L938" i="2"/>
  <c r="M938" i="2"/>
  <c r="A939" i="2"/>
  <c r="B939" i="2"/>
  <c r="C939" i="2"/>
  <c r="G939" i="2"/>
  <c r="I939" i="2"/>
  <c r="U939" i="2" s="1"/>
  <c r="J939" i="2"/>
  <c r="T939" i="2" s="1"/>
  <c r="L939" i="2"/>
  <c r="M939" i="2"/>
  <c r="A940" i="2"/>
  <c r="B940" i="2"/>
  <c r="C940" i="2"/>
  <c r="G940" i="2"/>
  <c r="I940" i="2"/>
  <c r="J940" i="2"/>
  <c r="T940" i="2" s="1"/>
  <c r="L940" i="2"/>
  <c r="M940" i="2"/>
  <c r="A941" i="2"/>
  <c r="B941" i="2"/>
  <c r="C941" i="2"/>
  <c r="G941" i="2"/>
  <c r="I941" i="2"/>
  <c r="U941" i="2" s="1"/>
  <c r="J941" i="2"/>
  <c r="T941" i="2" s="1"/>
  <c r="L941" i="2"/>
  <c r="M941" i="2"/>
  <c r="A942" i="2"/>
  <c r="B942" i="2"/>
  <c r="C942" i="2"/>
  <c r="G942" i="2"/>
  <c r="I942" i="2"/>
  <c r="U942" i="2" s="1"/>
  <c r="J942" i="2"/>
  <c r="T942" i="2" s="1"/>
  <c r="L942" i="2"/>
  <c r="M942" i="2"/>
  <c r="A943" i="2"/>
  <c r="B943" i="2"/>
  <c r="C943" i="2"/>
  <c r="G943" i="2"/>
  <c r="I943" i="2"/>
  <c r="U943" i="2" s="1"/>
  <c r="J943" i="2"/>
  <c r="T943" i="2" s="1"/>
  <c r="L943" i="2"/>
  <c r="M943" i="2"/>
  <c r="A944" i="2"/>
  <c r="B944" i="2"/>
  <c r="C944" i="2"/>
  <c r="G944" i="2"/>
  <c r="I944" i="2"/>
  <c r="U944" i="2" s="1"/>
  <c r="J944" i="2"/>
  <c r="T944" i="2" s="1"/>
  <c r="L944" i="2"/>
  <c r="M944" i="2"/>
  <c r="A945" i="2"/>
  <c r="B945" i="2"/>
  <c r="C945" i="2"/>
  <c r="G945" i="2"/>
  <c r="I945" i="2"/>
  <c r="J945" i="2"/>
  <c r="T945" i="2" s="1"/>
  <c r="L945" i="2"/>
  <c r="M945" i="2"/>
  <c r="A946" i="2"/>
  <c r="B946" i="2"/>
  <c r="C946" i="2"/>
  <c r="G946" i="2"/>
  <c r="I946" i="2"/>
  <c r="U946" i="2" s="1"/>
  <c r="J946" i="2"/>
  <c r="T946" i="2" s="1"/>
  <c r="L946" i="2"/>
  <c r="M946" i="2"/>
  <c r="A947" i="2"/>
  <c r="B947" i="2"/>
  <c r="C947" i="2"/>
  <c r="G947" i="2"/>
  <c r="I947" i="2"/>
  <c r="J947" i="2"/>
  <c r="T947" i="2" s="1"/>
  <c r="L947" i="2"/>
  <c r="M947" i="2"/>
  <c r="A948" i="2"/>
  <c r="B948" i="2"/>
  <c r="C948" i="2"/>
  <c r="G948" i="2"/>
  <c r="I948" i="2"/>
  <c r="U948" i="2" s="1"/>
  <c r="J948" i="2"/>
  <c r="T948" i="2" s="1"/>
  <c r="L948" i="2"/>
  <c r="M948" i="2"/>
  <c r="A949" i="2"/>
  <c r="B949" i="2"/>
  <c r="C949" i="2"/>
  <c r="G949" i="2"/>
  <c r="I949" i="2"/>
  <c r="U949" i="2" s="1"/>
  <c r="J949" i="2"/>
  <c r="T949" i="2" s="1"/>
  <c r="L949" i="2"/>
  <c r="M949" i="2"/>
  <c r="A950" i="2"/>
  <c r="B950" i="2"/>
  <c r="C950" i="2"/>
  <c r="G950" i="2"/>
  <c r="I950" i="2"/>
  <c r="U950" i="2" s="1"/>
  <c r="J950" i="2"/>
  <c r="T950" i="2" s="1"/>
  <c r="L950" i="2"/>
  <c r="M950" i="2"/>
  <c r="A951" i="2"/>
  <c r="B951" i="2"/>
  <c r="C951" i="2"/>
  <c r="G951" i="2"/>
  <c r="I951" i="2"/>
  <c r="J951" i="2"/>
  <c r="T951" i="2" s="1"/>
  <c r="L951" i="2"/>
  <c r="M951" i="2"/>
  <c r="A952" i="2"/>
  <c r="B952" i="2"/>
  <c r="C952" i="2"/>
  <c r="G952" i="2"/>
  <c r="I952" i="2"/>
  <c r="U952" i="2" s="1"/>
  <c r="J952" i="2"/>
  <c r="L952" i="2"/>
  <c r="M952" i="2"/>
  <c r="A953" i="2"/>
  <c r="B953" i="2"/>
  <c r="C953" i="2"/>
  <c r="G953" i="2"/>
  <c r="I953" i="2"/>
  <c r="U953" i="2" s="1"/>
  <c r="J953" i="2"/>
  <c r="T953" i="2" s="1"/>
  <c r="L953" i="2"/>
  <c r="M953" i="2"/>
  <c r="A954" i="2"/>
  <c r="B954" i="2"/>
  <c r="C954" i="2"/>
  <c r="G954" i="2"/>
  <c r="I954" i="2"/>
  <c r="U954" i="2" s="1"/>
  <c r="J954" i="2"/>
  <c r="T954" i="2" s="1"/>
  <c r="L954" i="2"/>
  <c r="M954" i="2"/>
  <c r="A955" i="2"/>
  <c r="B955" i="2"/>
  <c r="C955" i="2"/>
  <c r="G955" i="2"/>
  <c r="I955" i="2"/>
  <c r="U955" i="2" s="1"/>
  <c r="J955" i="2"/>
  <c r="T955" i="2" s="1"/>
  <c r="L955" i="2"/>
  <c r="M955" i="2"/>
  <c r="A956" i="2"/>
  <c r="B956" i="2"/>
  <c r="C956" i="2"/>
  <c r="G956" i="2"/>
  <c r="I956" i="2"/>
  <c r="J956" i="2"/>
  <c r="T956" i="2" s="1"/>
  <c r="L956" i="2"/>
  <c r="M956" i="2"/>
  <c r="A957" i="2"/>
  <c r="B957" i="2"/>
  <c r="C957" i="2"/>
  <c r="G957" i="2"/>
  <c r="I957" i="2"/>
  <c r="U957" i="2" s="1"/>
  <c r="J957" i="2"/>
  <c r="T957" i="2" s="1"/>
  <c r="L957" i="2"/>
  <c r="M957" i="2"/>
  <c r="A958" i="2"/>
  <c r="B958" i="2"/>
  <c r="C958" i="2"/>
  <c r="G958" i="2"/>
  <c r="I958" i="2"/>
  <c r="U958" i="2" s="1"/>
  <c r="J958" i="2"/>
  <c r="T958" i="2" s="1"/>
  <c r="L958" i="2"/>
  <c r="M958" i="2"/>
  <c r="A959" i="2"/>
  <c r="B959" i="2"/>
  <c r="C959" i="2"/>
  <c r="G959" i="2"/>
  <c r="I959" i="2"/>
  <c r="U959" i="2" s="1"/>
  <c r="J959" i="2"/>
  <c r="T959" i="2" s="1"/>
  <c r="L959" i="2"/>
  <c r="M959" i="2"/>
  <c r="A960" i="2"/>
  <c r="B960" i="2"/>
  <c r="C960" i="2"/>
  <c r="G960" i="2"/>
  <c r="I960" i="2"/>
  <c r="U960" i="2" s="1"/>
  <c r="J960" i="2"/>
  <c r="T960" i="2" s="1"/>
  <c r="L960" i="2"/>
  <c r="M960" i="2"/>
  <c r="A961" i="2"/>
  <c r="B961" i="2"/>
  <c r="C961" i="2"/>
  <c r="G961" i="2"/>
  <c r="I961" i="2"/>
  <c r="U961" i="2" s="1"/>
  <c r="J961" i="2"/>
  <c r="T961" i="2" s="1"/>
  <c r="L961" i="2"/>
  <c r="M961" i="2"/>
  <c r="A962" i="2"/>
  <c r="B962" i="2"/>
  <c r="C962" i="2"/>
  <c r="G962" i="2"/>
  <c r="I962" i="2"/>
  <c r="U962" i="2" s="1"/>
  <c r="J962" i="2"/>
  <c r="T962" i="2" s="1"/>
  <c r="L962" i="2"/>
  <c r="M962" i="2"/>
  <c r="A963" i="2"/>
  <c r="B963" i="2"/>
  <c r="C963" i="2"/>
  <c r="G963" i="2"/>
  <c r="I963" i="2"/>
  <c r="U963" i="2" s="1"/>
  <c r="J963" i="2"/>
  <c r="T963" i="2" s="1"/>
  <c r="L963" i="2"/>
  <c r="M963" i="2"/>
  <c r="A964" i="2"/>
  <c r="B964" i="2"/>
  <c r="C964" i="2"/>
  <c r="G964" i="2"/>
  <c r="I964" i="2"/>
  <c r="U964" i="2" s="1"/>
  <c r="J964" i="2"/>
  <c r="T964" i="2" s="1"/>
  <c r="L964" i="2"/>
  <c r="M964" i="2"/>
  <c r="A965" i="2"/>
  <c r="B965" i="2"/>
  <c r="C965" i="2"/>
  <c r="G965" i="2"/>
  <c r="I965" i="2"/>
  <c r="U965" i="2" s="1"/>
  <c r="J965" i="2"/>
  <c r="T965" i="2" s="1"/>
  <c r="L965" i="2"/>
  <c r="M965" i="2"/>
  <c r="A966" i="2"/>
  <c r="B966" i="2"/>
  <c r="C966" i="2"/>
  <c r="G966" i="2"/>
  <c r="I966" i="2"/>
  <c r="U966" i="2" s="1"/>
  <c r="J966" i="2"/>
  <c r="T966" i="2" s="1"/>
  <c r="L966" i="2"/>
  <c r="M966" i="2"/>
  <c r="A967" i="2"/>
  <c r="B967" i="2"/>
  <c r="C967" i="2"/>
  <c r="G967" i="2"/>
  <c r="I967" i="2"/>
  <c r="J967" i="2"/>
  <c r="T967" i="2" s="1"/>
  <c r="L967" i="2"/>
  <c r="M967" i="2"/>
  <c r="A968" i="2"/>
  <c r="B968" i="2"/>
  <c r="C968" i="2"/>
  <c r="G968" i="2"/>
  <c r="I968" i="2"/>
  <c r="U968" i="2" s="1"/>
  <c r="J968" i="2"/>
  <c r="T968" i="2" s="1"/>
  <c r="L968" i="2"/>
  <c r="M968" i="2"/>
  <c r="A969" i="2"/>
  <c r="B969" i="2"/>
  <c r="C969" i="2"/>
  <c r="G969" i="2"/>
  <c r="I969" i="2"/>
  <c r="U969" i="2" s="1"/>
  <c r="J969" i="2"/>
  <c r="T969" i="2" s="1"/>
  <c r="L969" i="2"/>
  <c r="M969" i="2"/>
  <c r="A970" i="2"/>
  <c r="B970" i="2"/>
  <c r="C970" i="2"/>
  <c r="G970" i="2"/>
  <c r="I970" i="2"/>
  <c r="U970" i="2" s="1"/>
  <c r="J970" i="2"/>
  <c r="T970" i="2" s="1"/>
  <c r="L970" i="2"/>
  <c r="M970" i="2"/>
  <c r="A971" i="2"/>
  <c r="B971" i="2"/>
  <c r="C971" i="2"/>
  <c r="G971" i="2"/>
  <c r="I971" i="2"/>
  <c r="U971" i="2" s="1"/>
  <c r="J971" i="2"/>
  <c r="T971" i="2" s="1"/>
  <c r="L971" i="2"/>
  <c r="M971" i="2"/>
  <c r="A972" i="2"/>
  <c r="B972" i="2"/>
  <c r="C972" i="2"/>
  <c r="G972" i="2"/>
  <c r="I972" i="2"/>
  <c r="J972" i="2"/>
  <c r="T972" i="2" s="1"/>
  <c r="L972" i="2"/>
  <c r="M972" i="2"/>
  <c r="A973" i="2"/>
  <c r="B973" i="2"/>
  <c r="C973" i="2"/>
  <c r="G973" i="2"/>
  <c r="I973" i="2"/>
  <c r="U973" i="2" s="1"/>
  <c r="J973" i="2"/>
  <c r="T973" i="2" s="1"/>
  <c r="L973" i="2"/>
  <c r="M973" i="2"/>
  <c r="A974" i="2"/>
  <c r="B974" i="2"/>
  <c r="C974" i="2"/>
  <c r="G974" i="2"/>
  <c r="I974" i="2"/>
  <c r="U974" i="2" s="1"/>
  <c r="J974" i="2"/>
  <c r="T974" i="2" s="1"/>
  <c r="L974" i="2"/>
  <c r="M974" i="2"/>
  <c r="A975" i="2"/>
  <c r="B975" i="2"/>
  <c r="C975" i="2"/>
  <c r="G975" i="2"/>
  <c r="I975" i="2"/>
  <c r="U975" i="2" s="1"/>
  <c r="J975" i="2"/>
  <c r="T975" i="2" s="1"/>
  <c r="L975" i="2"/>
  <c r="M975" i="2"/>
  <c r="A976" i="2"/>
  <c r="B976" i="2"/>
  <c r="C976" i="2"/>
  <c r="G976" i="2"/>
  <c r="I976" i="2"/>
  <c r="U976" i="2" s="1"/>
  <c r="J976" i="2"/>
  <c r="T976" i="2" s="1"/>
  <c r="L976" i="2"/>
  <c r="M976" i="2"/>
  <c r="A977" i="2"/>
  <c r="B977" i="2"/>
  <c r="C977" i="2"/>
  <c r="G977" i="2"/>
  <c r="I977" i="2"/>
  <c r="J977" i="2"/>
  <c r="T977" i="2" s="1"/>
  <c r="L977" i="2"/>
  <c r="M977" i="2"/>
  <c r="A978" i="2"/>
  <c r="B978" i="2"/>
  <c r="C978" i="2"/>
  <c r="G978" i="2"/>
  <c r="I978" i="2"/>
  <c r="U978" i="2" s="1"/>
  <c r="J978" i="2"/>
  <c r="T978" i="2" s="1"/>
  <c r="L978" i="2"/>
  <c r="M978" i="2"/>
  <c r="A979" i="2"/>
  <c r="B979" i="2"/>
  <c r="C979" i="2"/>
  <c r="G979" i="2"/>
  <c r="I979" i="2"/>
  <c r="U979" i="2" s="1"/>
  <c r="J979" i="2"/>
  <c r="T979" i="2" s="1"/>
  <c r="L979" i="2"/>
  <c r="M979" i="2"/>
  <c r="A980" i="2"/>
  <c r="B980" i="2"/>
  <c r="C980" i="2"/>
  <c r="G980" i="2"/>
  <c r="I980" i="2"/>
  <c r="U980" i="2" s="1"/>
  <c r="J980" i="2"/>
  <c r="T980" i="2" s="1"/>
  <c r="L980" i="2"/>
  <c r="M980" i="2"/>
  <c r="A981" i="2"/>
  <c r="B981" i="2"/>
  <c r="C981" i="2"/>
  <c r="G981" i="2"/>
  <c r="I981" i="2"/>
  <c r="U981" i="2" s="1"/>
  <c r="J981" i="2"/>
  <c r="T981" i="2" s="1"/>
  <c r="L981" i="2"/>
  <c r="M981" i="2"/>
  <c r="A982" i="2"/>
  <c r="B982" i="2"/>
  <c r="C982" i="2"/>
  <c r="G982" i="2"/>
  <c r="I982" i="2"/>
  <c r="U982" i="2" s="1"/>
  <c r="J982" i="2"/>
  <c r="L982" i="2"/>
  <c r="M982" i="2"/>
  <c r="A983" i="2"/>
  <c r="B983" i="2"/>
  <c r="C983" i="2"/>
  <c r="G983" i="2"/>
  <c r="I983" i="2"/>
  <c r="J983" i="2"/>
  <c r="T983" i="2" s="1"/>
  <c r="L983" i="2"/>
  <c r="M983" i="2"/>
  <c r="A984" i="2"/>
  <c r="B984" i="2"/>
  <c r="C984" i="2"/>
  <c r="G984" i="2"/>
  <c r="I984" i="2"/>
  <c r="U984" i="2" s="1"/>
  <c r="J984" i="2"/>
  <c r="T984" i="2" s="1"/>
  <c r="L984" i="2"/>
  <c r="M984" i="2"/>
  <c r="A985" i="2"/>
  <c r="B985" i="2"/>
  <c r="C985" i="2"/>
  <c r="G985" i="2"/>
  <c r="I985" i="2"/>
  <c r="U985" i="2" s="1"/>
  <c r="J985" i="2"/>
  <c r="T985" i="2" s="1"/>
  <c r="L985" i="2"/>
  <c r="M985" i="2"/>
  <c r="A986" i="2"/>
  <c r="B986" i="2"/>
  <c r="C986" i="2"/>
  <c r="G986" i="2"/>
  <c r="I986" i="2"/>
  <c r="U986" i="2" s="1"/>
  <c r="J986" i="2"/>
  <c r="T986" i="2" s="1"/>
  <c r="L986" i="2"/>
  <c r="M986" i="2"/>
  <c r="A987" i="2"/>
  <c r="B987" i="2"/>
  <c r="C987" i="2"/>
  <c r="G987" i="2"/>
  <c r="I987" i="2"/>
  <c r="J987" i="2"/>
  <c r="T987" i="2" s="1"/>
  <c r="L987" i="2"/>
  <c r="M987" i="2"/>
  <c r="A988" i="2"/>
  <c r="B988" i="2"/>
  <c r="C988" i="2"/>
  <c r="G988" i="2"/>
  <c r="I988" i="2"/>
  <c r="J988" i="2"/>
  <c r="T988" i="2" s="1"/>
  <c r="L988" i="2"/>
  <c r="M988" i="2"/>
  <c r="A989" i="2"/>
  <c r="B989" i="2"/>
  <c r="C989" i="2"/>
  <c r="G989" i="2"/>
  <c r="I989" i="2"/>
  <c r="U989" i="2" s="1"/>
  <c r="J989" i="2"/>
  <c r="T989" i="2" s="1"/>
  <c r="L989" i="2"/>
  <c r="M989" i="2"/>
  <c r="A990" i="2"/>
  <c r="B990" i="2"/>
  <c r="C990" i="2"/>
  <c r="G990" i="2"/>
  <c r="I990" i="2"/>
  <c r="U990" i="2" s="1"/>
  <c r="J990" i="2"/>
  <c r="T990" i="2" s="1"/>
  <c r="L990" i="2"/>
  <c r="M990" i="2"/>
  <c r="A991" i="2"/>
  <c r="B991" i="2"/>
  <c r="C991" i="2"/>
  <c r="G991" i="2"/>
  <c r="I991" i="2"/>
  <c r="U991" i="2" s="1"/>
  <c r="J991" i="2"/>
  <c r="T991" i="2" s="1"/>
  <c r="L991" i="2"/>
  <c r="M991" i="2"/>
  <c r="A992" i="2"/>
  <c r="B992" i="2"/>
  <c r="C992" i="2"/>
  <c r="G992" i="2"/>
  <c r="I992" i="2"/>
  <c r="U992" i="2" s="1"/>
  <c r="J992" i="2"/>
  <c r="L992" i="2"/>
  <c r="M992" i="2"/>
  <c r="A993" i="2"/>
  <c r="B993" i="2"/>
  <c r="C993" i="2"/>
  <c r="G993" i="2"/>
  <c r="I993" i="2"/>
  <c r="U993" i="2" s="1"/>
  <c r="J993" i="2"/>
  <c r="T993" i="2" s="1"/>
  <c r="L993" i="2"/>
  <c r="M993" i="2"/>
  <c r="A994" i="2"/>
  <c r="B994" i="2"/>
  <c r="C994" i="2"/>
  <c r="G994" i="2"/>
  <c r="I994" i="2"/>
  <c r="U994" i="2" s="1"/>
  <c r="J994" i="2"/>
  <c r="T994" i="2" s="1"/>
  <c r="L994" i="2"/>
  <c r="M994" i="2"/>
  <c r="A995" i="2"/>
  <c r="B995" i="2"/>
  <c r="C995" i="2"/>
  <c r="G995" i="2"/>
  <c r="I995" i="2"/>
  <c r="U995" i="2" s="1"/>
  <c r="J995" i="2"/>
  <c r="T995" i="2" s="1"/>
  <c r="L995" i="2"/>
  <c r="M995" i="2"/>
  <c r="A996" i="2"/>
  <c r="B996" i="2"/>
  <c r="C996" i="2"/>
  <c r="G996" i="2"/>
  <c r="I996" i="2"/>
  <c r="U996" i="2" s="1"/>
  <c r="J996" i="2"/>
  <c r="T996" i="2" s="1"/>
  <c r="L996" i="2"/>
  <c r="M996" i="2"/>
  <c r="A997" i="2"/>
  <c r="B997" i="2"/>
  <c r="C997" i="2"/>
  <c r="G997" i="2"/>
  <c r="I997" i="2"/>
  <c r="U997" i="2" s="1"/>
  <c r="J997" i="2"/>
  <c r="T997" i="2" s="1"/>
  <c r="L997" i="2"/>
  <c r="M997" i="2"/>
  <c r="A998" i="2"/>
  <c r="B998" i="2"/>
  <c r="C998" i="2"/>
  <c r="G998" i="2"/>
  <c r="I998" i="2"/>
  <c r="U998" i="2" s="1"/>
  <c r="J998" i="2"/>
  <c r="T998" i="2" s="1"/>
  <c r="L998" i="2"/>
  <c r="M998" i="2"/>
  <c r="A999" i="2"/>
  <c r="B999" i="2"/>
  <c r="C999" i="2"/>
  <c r="G999" i="2"/>
  <c r="I999" i="2"/>
  <c r="J999" i="2"/>
  <c r="T999" i="2" s="1"/>
  <c r="L999" i="2"/>
  <c r="M999" i="2"/>
  <c r="A1000" i="2"/>
  <c r="B1000" i="2"/>
  <c r="C1000" i="2"/>
  <c r="G1000" i="2"/>
  <c r="I1000" i="2"/>
  <c r="U1000" i="2" s="1"/>
  <c r="J1000" i="2"/>
  <c r="T1000" i="2" s="1"/>
  <c r="L1000" i="2"/>
  <c r="M1000" i="2"/>
  <c r="A1001" i="2"/>
  <c r="B1001" i="2"/>
  <c r="C1001" i="2"/>
  <c r="G1001" i="2"/>
  <c r="I1001" i="2"/>
  <c r="U1001" i="2" s="1"/>
  <c r="J1001" i="2"/>
  <c r="T1001" i="2" s="1"/>
  <c r="L1001" i="2"/>
  <c r="M1001" i="2"/>
  <c r="A1002" i="2"/>
  <c r="B1002" i="2"/>
  <c r="C1002" i="2"/>
  <c r="G1002" i="2"/>
  <c r="I1002" i="2"/>
  <c r="U1002" i="2" s="1"/>
  <c r="J1002" i="2"/>
  <c r="T1002" i="2" s="1"/>
  <c r="L1002" i="2"/>
  <c r="M1002" i="2"/>
  <c r="A1003" i="2"/>
  <c r="B1003" i="2"/>
  <c r="C1003" i="2"/>
  <c r="G1003" i="2"/>
  <c r="I1003" i="2"/>
  <c r="J1003" i="2"/>
  <c r="T1003" i="2" s="1"/>
  <c r="L1003" i="2"/>
  <c r="M1003" i="2"/>
  <c r="A1004" i="2"/>
  <c r="B1004" i="2"/>
  <c r="C1004" i="2"/>
  <c r="G1004" i="2"/>
  <c r="I1004" i="2"/>
  <c r="J1004" i="2"/>
  <c r="T1004" i="2" s="1"/>
  <c r="L1004" i="2"/>
  <c r="M1004" i="2"/>
  <c r="A1005" i="2"/>
  <c r="B1005" i="2"/>
  <c r="C1005" i="2"/>
  <c r="G1005" i="2"/>
  <c r="I1005" i="2"/>
  <c r="U1005" i="2" s="1"/>
  <c r="J1005" i="2"/>
  <c r="T1005" i="2" s="1"/>
  <c r="L1005" i="2"/>
  <c r="M1005" i="2"/>
  <c r="A1006" i="2"/>
  <c r="B1006" i="2"/>
  <c r="C1006" i="2"/>
  <c r="G1006" i="2"/>
  <c r="I1006" i="2"/>
  <c r="U1006" i="2" s="1"/>
  <c r="J1006" i="2"/>
  <c r="T1006" i="2" s="1"/>
  <c r="L1006" i="2"/>
  <c r="M1006" i="2"/>
  <c r="A1007" i="2"/>
  <c r="B1007" i="2"/>
  <c r="C1007" i="2"/>
  <c r="G1007" i="2"/>
  <c r="I1007" i="2"/>
  <c r="U1007" i="2" s="1"/>
  <c r="J1007" i="2"/>
  <c r="T1007" i="2" s="1"/>
  <c r="L1007" i="2"/>
  <c r="M1007" i="2"/>
  <c r="A1008" i="2"/>
  <c r="B1008" i="2"/>
  <c r="C1008" i="2"/>
  <c r="G1008" i="2"/>
  <c r="I1008" i="2"/>
  <c r="U1008" i="2" s="1"/>
  <c r="J1008" i="2"/>
  <c r="T1008" i="2" s="1"/>
  <c r="L1008" i="2"/>
  <c r="M1008" i="2"/>
  <c r="A1009" i="2"/>
  <c r="B1009" i="2"/>
  <c r="C1009" i="2"/>
  <c r="G1009" i="2"/>
  <c r="I1009" i="2"/>
  <c r="U1009" i="2" s="1"/>
  <c r="J1009" i="2"/>
  <c r="T1009" i="2" s="1"/>
  <c r="L1009" i="2"/>
  <c r="M1009" i="2"/>
  <c r="A1010" i="2"/>
  <c r="B1010" i="2"/>
  <c r="C1010" i="2"/>
  <c r="G1010" i="2"/>
  <c r="I1010" i="2"/>
  <c r="U1010" i="2" s="1"/>
  <c r="J1010" i="2"/>
  <c r="T1010" i="2" s="1"/>
  <c r="L1010" i="2"/>
  <c r="M1010" i="2"/>
  <c r="A1011" i="2"/>
  <c r="B1011" i="2"/>
  <c r="C1011" i="2"/>
  <c r="G1011" i="2"/>
  <c r="I1011" i="2"/>
  <c r="J1011" i="2"/>
  <c r="T1011" i="2" s="1"/>
  <c r="L1011" i="2"/>
  <c r="M1011" i="2"/>
  <c r="A1012" i="2"/>
  <c r="B1012" i="2"/>
  <c r="C1012" i="2"/>
  <c r="G1012" i="2"/>
  <c r="I1012" i="2"/>
  <c r="U1012" i="2" s="1"/>
  <c r="J1012" i="2"/>
  <c r="T1012" i="2" s="1"/>
  <c r="L1012" i="2"/>
  <c r="M1012" i="2"/>
  <c r="A1013" i="2"/>
  <c r="B1013" i="2"/>
  <c r="C1013" i="2"/>
  <c r="G1013" i="2"/>
  <c r="I1013" i="2"/>
  <c r="J1013" i="2"/>
  <c r="T1013" i="2" s="1"/>
  <c r="L1013" i="2"/>
  <c r="M1013" i="2"/>
  <c r="A1014" i="2"/>
  <c r="B1014" i="2"/>
  <c r="C1014" i="2"/>
  <c r="G1014" i="2"/>
  <c r="I1014" i="2"/>
  <c r="U1014" i="2" s="1"/>
  <c r="J1014" i="2"/>
  <c r="T1014" i="2" s="1"/>
  <c r="L1014" i="2"/>
  <c r="M1014" i="2"/>
  <c r="A1015" i="2"/>
  <c r="B1015" i="2"/>
  <c r="C1015" i="2"/>
  <c r="G1015" i="2"/>
  <c r="I1015" i="2"/>
  <c r="U1015" i="2" s="1"/>
  <c r="J1015" i="2"/>
  <c r="T1015" i="2" s="1"/>
  <c r="L1015" i="2"/>
  <c r="M1015" i="2"/>
  <c r="A1016" i="2"/>
  <c r="B1016" i="2"/>
  <c r="C1016" i="2"/>
  <c r="G1016" i="2"/>
  <c r="I1016" i="2"/>
  <c r="J1016" i="2"/>
  <c r="T1016" i="2" s="1"/>
  <c r="L1016" i="2"/>
  <c r="M1016" i="2"/>
  <c r="A1017" i="2"/>
  <c r="B1017" i="2"/>
  <c r="C1017" i="2"/>
  <c r="G1017" i="2"/>
  <c r="I1017" i="2"/>
  <c r="U1017" i="2" s="1"/>
  <c r="J1017" i="2"/>
  <c r="T1017" i="2" s="1"/>
  <c r="L1017" i="2"/>
  <c r="M1017" i="2"/>
  <c r="A1018" i="2"/>
  <c r="B1018" i="2"/>
  <c r="C1018" i="2"/>
  <c r="G1018" i="2"/>
  <c r="I1018" i="2"/>
  <c r="U1018" i="2" s="1"/>
  <c r="J1018" i="2"/>
  <c r="T1018" i="2" s="1"/>
  <c r="L1018" i="2"/>
  <c r="M1018" i="2"/>
  <c r="A1019" i="2"/>
  <c r="B1019" i="2"/>
  <c r="C1019" i="2"/>
  <c r="G1019" i="2"/>
  <c r="I1019" i="2"/>
  <c r="J1019" i="2"/>
  <c r="T1019" i="2" s="1"/>
  <c r="L1019" i="2"/>
  <c r="M1019" i="2"/>
  <c r="A1020" i="2"/>
  <c r="B1020" i="2"/>
  <c r="C1020" i="2"/>
  <c r="G1020" i="2"/>
  <c r="I1020" i="2"/>
  <c r="U1020" i="2" s="1"/>
  <c r="J1020" i="2"/>
  <c r="T1020" i="2" s="1"/>
  <c r="L1020" i="2"/>
  <c r="M1020" i="2"/>
  <c r="A1021" i="2"/>
  <c r="B1021" i="2"/>
  <c r="C1021" i="2"/>
  <c r="G1021" i="2"/>
  <c r="I1021" i="2"/>
  <c r="J1021" i="2"/>
  <c r="T1021" i="2" s="1"/>
  <c r="L1021" i="2"/>
  <c r="M1021" i="2"/>
  <c r="A1022" i="2"/>
  <c r="B1022" i="2"/>
  <c r="C1022" i="2"/>
  <c r="G1022" i="2"/>
  <c r="I1022" i="2"/>
  <c r="U1022" i="2" s="1"/>
  <c r="J1022" i="2"/>
  <c r="T1022" i="2" s="1"/>
  <c r="L1022" i="2"/>
  <c r="M1022" i="2"/>
  <c r="A1023" i="2"/>
  <c r="B1023" i="2"/>
  <c r="C1023" i="2"/>
  <c r="G1023" i="2"/>
  <c r="I1023" i="2"/>
  <c r="U1023" i="2" s="1"/>
  <c r="J1023" i="2"/>
  <c r="T1023" i="2" s="1"/>
  <c r="L1023" i="2"/>
  <c r="M1023" i="2"/>
  <c r="A1024" i="2"/>
  <c r="B1024" i="2"/>
  <c r="C1024" i="2"/>
  <c r="G1024" i="2"/>
  <c r="I1024" i="2"/>
  <c r="J1024" i="2"/>
  <c r="T1024" i="2" s="1"/>
  <c r="L1024" i="2"/>
  <c r="M1024" i="2"/>
  <c r="A1025" i="2"/>
  <c r="B1025" i="2"/>
  <c r="C1025" i="2"/>
  <c r="G1025" i="2"/>
  <c r="I1025" i="2"/>
  <c r="U1025" i="2" s="1"/>
  <c r="J1025" i="2"/>
  <c r="T1025" i="2" s="1"/>
  <c r="L1025" i="2"/>
  <c r="M1025" i="2"/>
  <c r="A1026" i="2"/>
  <c r="B1026" i="2"/>
  <c r="C1026" i="2"/>
  <c r="G1026" i="2"/>
  <c r="I1026" i="2"/>
  <c r="U1026" i="2" s="1"/>
  <c r="J1026" i="2"/>
  <c r="T1026" i="2" s="1"/>
  <c r="L1026" i="2"/>
  <c r="M1026" i="2"/>
  <c r="A1027" i="2"/>
  <c r="B1027" i="2"/>
  <c r="C1027" i="2"/>
  <c r="G1027" i="2"/>
  <c r="I1027" i="2"/>
  <c r="J1027" i="2"/>
  <c r="T1027" i="2" s="1"/>
  <c r="L1027" i="2"/>
  <c r="M1027" i="2"/>
  <c r="A1028" i="2"/>
  <c r="B1028" i="2"/>
  <c r="C1028" i="2"/>
  <c r="G1028" i="2"/>
  <c r="I1028" i="2"/>
  <c r="U1028" i="2" s="1"/>
  <c r="J1028" i="2"/>
  <c r="T1028" i="2" s="1"/>
  <c r="L1028" i="2"/>
  <c r="M1028" i="2"/>
  <c r="A1029" i="2"/>
  <c r="B1029" i="2"/>
  <c r="C1029" i="2"/>
  <c r="G1029" i="2"/>
  <c r="I1029" i="2"/>
  <c r="J1029" i="2"/>
  <c r="T1029" i="2" s="1"/>
  <c r="L1029" i="2"/>
  <c r="M1029" i="2"/>
  <c r="A1030" i="2"/>
  <c r="B1030" i="2"/>
  <c r="C1030" i="2"/>
  <c r="G1030" i="2"/>
  <c r="I1030" i="2"/>
  <c r="U1030" i="2" s="1"/>
  <c r="J1030" i="2"/>
  <c r="T1030" i="2" s="1"/>
  <c r="L1030" i="2"/>
  <c r="M1030" i="2"/>
  <c r="A1031" i="2"/>
  <c r="B1031" i="2"/>
  <c r="C1031" i="2"/>
  <c r="G1031" i="2"/>
  <c r="I1031" i="2"/>
  <c r="U1031" i="2" s="1"/>
  <c r="J1031" i="2"/>
  <c r="T1031" i="2" s="1"/>
  <c r="L1031" i="2"/>
  <c r="M1031" i="2"/>
  <c r="A1032" i="2"/>
  <c r="B1032" i="2"/>
  <c r="C1032" i="2"/>
  <c r="G1032" i="2"/>
  <c r="I1032" i="2"/>
  <c r="J1032" i="2"/>
  <c r="T1032" i="2" s="1"/>
  <c r="L1032" i="2"/>
  <c r="M1032" i="2"/>
  <c r="A1033" i="2"/>
  <c r="B1033" i="2"/>
  <c r="C1033" i="2"/>
  <c r="G1033" i="2"/>
  <c r="I1033" i="2"/>
  <c r="U1033" i="2" s="1"/>
  <c r="J1033" i="2"/>
  <c r="T1033" i="2" s="1"/>
  <c r="L1033" i="2"/>
  <c r="M1033" i="2"/>
  <c r="A1034" i="2"/>
  <c r="B1034" i="2"/>
  <c r="C1034" i="2"/>
  <c r="G1034" i="2"/>
  <c r="I1034" i="2"/>
  <c r="U1034" i="2" s="1"/>
  <c r="J1034" i="2"/>
  <c r="T1034" i="2" s="1"/>
  <c r="L1034" i="2"/>
  <c r="M1034" i="2"/>
  <c r="A1035" i="2"/>
  <c r="B1035" i="2"/>
  <c r="C1035" i="2"/>
  <c r="G1035" i="2"/>
  <c r="I1035" i="2"/>
  <c r="J1035" i="2"/>
  <c r="T1035" i="2" s="1"/>
  <c r="L1035" i="2"/>
  <c r="M1035" i="2"/>
  <c r="A1036" i="2"/>
  <c r="B1036" i="2"/>
  <c r="C1036" i="2"/>
  <c r="G1036" i="2"/>
  <c r="I1036" i="2"/>
  <c r="U1036" i="2" s="1"/>
  <c r="J1036" i="2"/>
  <c r="T1036" i="2" s="1"/>
  <c r="L1036" i="2"/>
  <c r="M1036" i="2"/>
  <c r="A1037" i="2"/>
  <c r="B1037" i="2"/>
  <c r="C1037" i="2"/>
  <c r="G1037" i="2"/>
  <c r="I1037" i="2"/>
  <c r="U1037" i="2" s="1"/>
  <c r="J1037" i="2"/>
  <c r="T1037" i="2" s="1"/>
  <c r="L1037" i="2"/>
  <c r="M1037" i="2"/>
  <c r="A1038" i="2"/>
  <c r="B1038" i="2"/>
  <c r="C1038" i="2"/>
  <c r="G1038" i="2"/>
  <c r="I1038" i="2"/>
  <c r="J1038" i="2"/>
  <c r="T1038" i="2" s="1"/>
  <c r="L1038" i="2"/>
  <c r="M1038" i="2"/>
  <c r="A1039" i="2"/>
  <c r="B1039" i="2"/>
  <c r="C1039" i="2"/>
  <c r="G1039" i="2"/>
  <c r="I1039" i="2"/>
  <c r="J1039" i="2"/>
  <c r="T1039" i="2" s="1"/>
  <c r="L1039" i="2"/>
  <c r="M1039" i="2"/>
  <c r="A1040" i="2"/>
  <c r="B1040" i="2"/>
  <c r="C1040" i="2"/>
  <c r="G1040" i="2"/>
  <c r="I1040" i="2"/>
  <c r="U1040" i="2" s="1"/>
  <c r="J1040" i="2"/>
  <c r="T1040" i="2" s="1"/>
  <c r="L1040" i="2"/>
  <c r="M1040" i="2"/>
  <c r="A1041" i="2"/>
  <c r="B1041" i="2"/>
  <c r="C1041" i="2"/>
  <c r="G1041" i="2"/>
  <c r="I1041" i="2"/>
  <c r="U1041" i="2" s="1"/>
  <c r="J1041" i="2"/>
  <c r="T1041" i="2" s="1"/>
  <c r="L1041" i="2"/>
  <c r="M1041" i="2"/>
  <c r="A1042" i="2"/>
  <c r="B1042" i="2"/>
  <c r="C1042" i="2"/>
  <c r="G1042" i="2"/>
  <c r="I1042" i="2"/>
  <c r="U1042" i="2" s="1"/>
  <c r="J1042" i="2"/>
  <c r="T1042" i="2" s="1"/>
  <c r="L1042" i="2"/>
  <c r="M1042" i="2"/>
  <c r="A1043" i="2"/>
  <c r="B1043" i="2"/>
  <c r="C1043" i="2"/>
  <c r="G1043" i="2"/>
  <c r="I1043" i="2"/>
  <c r="J1043" i="2"/>
  <c r="T1043" i="2" s="1"/>
  <c r="L1043" i="2"/>
  <c r="M1043" i="2"/>
  <c r="A1044" i="2"/>
  <c r="B1044" i="2"/>
  <c r="C1044" i="2"/>
  <c r="G1044" i="2"/>
  <c r="I1044" i="2"/>
  <c r="U1044" i="2" s="1"/>
  <c r="J1044" i="2"/>
  <c r="T1044" i="2" s="1"/>
  <c r="L1044" i="2"/>
  <c r="M1044" i="2"/>
  <c r="A1045" i="2"/>
  <c r="B1045" i="2"/>
  <c r="C1045" i="2"/>
  <c r="G1045" i="2"/>
  <c r="I1045" i="2"/>
  <c r="U1045" i="2" s="1"/>
  <c r="J1045" i="2"/>
  <c r="T1045" i="2" s="1"/>
  <c r="L1045" i="2"/>
  <c r="M1045" i="2"/>
  <c r="A1046" i="2"/>
  <c r="B1046" i="2"/>
  <c r="C1046" i="2"/>
  <c r="G1046" i="2"/>
  <c r="I1046" i="2"/>
  <c r="J1046" i="2"/>
  <c r="T1046" i="2" s="1"/>
  <c r="L1046" i="2"/>
  <c r="M1046" i="2"/>
  <c r="A1047" i="2"/>
  <c r="B1047" i="2"/>
  <c r="C1047" i="2"/>
  <c r="G1047" i="2"/>
  <c r="I1047" i="2"/>
  <c r="U1047" i="2" s="1"/>
  <c r="J1047" i="2"/>
  <c r="T1047" i="2" s="1"/>
  <c r="L1047" i="2"/>
  <c r="M1047" i="2"/>
  <c r="A1048" i="2"/>
  <c r="B1048" i="2"/>
  <c r="C1048" i="2"/>
  <c r="G1048" i="2"/>
  <c r="I1048" i="2"/>
  <c r="U1048" i="2" s="1"/>
  <c r="J1048" i="2"/>
  <c r="T1048" i="2" s="1"/>
  <c r="L1048" i="2"/>
  <c r="M1048" i="2"/>
  <c r="A1049" i="2"/>
  <c r="B1049" i="2"/>
  <c r="C1049" i="2"/>
  <c r="G1049" i="2"/>
  <c r="I1049" i="2"/>
  <c r="U1049" i="2" s="1"/>
  <c r="J1049" i="2"/>
  <c r="T1049" i="2" s="1"/>
  <c r="L1049" i="2"/>
  <c r="M1049" i="2"/>
  <c r="A1050" i="2"/>
  <c r="B1050" i="2"/>
  <c r="C1050" i="2"/>
  <c r="G1050" i="2"/>
  <c r="I1050" i="2"/>
  <c r="U1050" i="2" s="1"/>
  <c r="J1050" i="2"/>
  <c r="T1050" i="2" s="1"/>
  <c r="L1050" i="2"/>
  <c r="M1050" i="2"/>
  <c r="A1051" i="2"/>
  <c r="B1051" i="2"/>
  <c r="C1051" i="2"/>
  <c r="G1051" i="2"/>
  <c r="I1051" i="2"/>
  <c r="J1051" i="2"/>
  <c r="T1051" i="2" s="1"/>
  <c r="L1051" i="2"/>
  <c r="M1051" i="2"/>
  <c r="A1052" i="2"/>
  <c r="B1052" i="2"/>
  <c r="C1052" i="2"/>
  <c r="G1052" i="2"/>
  <c r="I1052" i="2"/>
  <c r="U1052" i="2" s="1"/>
  <c r="J1052" i="2"/>
  <c r="T1052" i="2" s="1"/>
  <c r="L1052" i="2"/>
  <c r="M1052" i="2"/>
  <c r="A1053" i="2"/>
  <c r="B1053" i="2"/>
  <c r="C1053" i="2"/>
  <c r="G1053" i="2"/>
  <c r="I1053" i="2"/>
  <c r="U1053" i="2" s="1"/>
  <c r="J1053" i="2"/>
  <c r="T1053" i="2" s="1"/>
  <c r="L1053" i="2"/>
  <c r="M1053" i="2"/>
  <c r="A1054" i="2"/>
  <c r="B1054" i="2"/>
  <c r="C1054" i="2"/>
  <c r="G1054" i="2"/>
  <c r="I1054" i="2"/>
  <c r="U1054" i="2" s="1"/>
  <c r="J1054" i="2"/>
  <c r="T1054" i="2" s="1"/>
  <c r="L1054" i="2"/>
  <c r="M1054" i="2"/>
  <c r="A1055" i="2"/>
  <c r="B1055" i="2"/>
  <c r="C1055" i="2"/>
  <c r="G1055" i="2"/>
  <c r="I1055" i="2"/>
  <c r="U1055" i="2" s="1"/>
  <c r="J1055" i="2"/>
  <c r="T1055" i="2" s="1"/>
  <c r="L1055" i="2"/>
  <c r="M1055" i="2"/>
  <c r="A1056" i="2"/>
  <c r="B1056" i="2"/>
  <c r="C1056" i="2"/>
  <c r="G1056" i="2"/>
  <c r="I1056" i="2"/>
  <c r="U1056" i="2" s="1"/>
  <c r="J1056" i="2"/>
  <c r="T1056" i="2" s="1"/>
  <c r="L1056" i="2"/>
  <c r="M1056" i="2"/>
  <c r="A1057" i="2"/>
  <c r="B1057" i="2"/>
  <c r="C1057" i="2"/>
  <c r="G1057" i="2"/>
  <c r="I1057" i="2"/>
  <c r="J1057" i="2"/>
  <c r="T1057" i="2" s="1"/>
  <c r="L1057" i="2"/>
  <c r="M1057" i="2"/>
  <c r="A1058" i="2"/>
  <c r="B1058" i="2"/>
  <c r="C1058" i="2"/>
  <c r="G1058" i="2"/>
  <c r="I1058" i="2"/>
  <c r="J1058" i="2"/>
  <c r="T1058" i="2" s="1"/>
  <c r="L1058" i="2"/>
  <c r="M1058" i="2"/>
  <c r="A1059" i="2"/>
  <c r="B1059" i="2"/>
  <c r="C1059" i="2"/>
  <c r="G1059" i="2"/>
  <c r="I1059" i="2"/>
  <c r="U1059" i="2" s="1"/>
  <c r="J1059" i="2"/>
  <c r="T1059" i="2" s="1"/>
  <c r="L1059" i="2"/>
  <c r="M1059" i="2"/>
  <c r="A1060" i="2"/>
  <c r="B1060" i="2"/>
  <c r="C1060" i="2"/>
  <c r="G1060" i="2"/>
  <c r="I1060" i="2"/>
  <c r="U1060" i="2" s="1"/>
  <c r="J1060" i="2"/>
  <c r="T1060" i="2" s="1"/>
  <c r="L1060" i="2"/>
  <c r="M1060" i="2"/>
  <c r="A1061" i="2"/>
  <c r="B1061" i="2"/>
  <c r="C1061" i="2"/>
  <c r="G1061" i="2"/>
  <c r="I1061" i="2"/>
  <c r="U1061" i="2" s="1"/>
  <c r="J1061" i="2"/>
  <c r="T1061" i="2" s="1"/>
  <c r="L1061" i="2"/>
  <c r="M1061" i="2"/>
  <c r="A1062" i="2"/>
  <c r="B1062" i="2"/>
  <c r="C1062" i="2"/>
  <c r="G1062" i="2"/>
  <c r="I1062" i="2"/>
  <c r="U1062" i="2" s="1"/>
  <c r="J1062" i="2"/>
  <c r="T1062" i="2" s="1"/>
  <c r="L1062" i="2"/>
  <c r="M1062" i="2"/>
  <c r="A1063" i="2"/>
  <c r="B1063" i="2"/>
  <c r="C1063" i="2"/>
  <c r="G1063" i="2"/>
  <c r="I1063" i="2"/>
  <c r="U1063" i="2" s="1"/>
  <c r="J1063" i="2"/>
  <c r="T1063" i="2" s="1"/>
  <c r="L1063" i="2"/>
  <c r="M1063" i="2"/>
  <c r="A1064" i="2"/>
  <c r="B1064" i="2"/>
  <c r="C1064" i="2"/>
  <c r="G1064" i="2"/>
  <c r="I1064" i="2"/>
  <c r="U1064" i="2" s="1"/>
  <c r="J1064" i="2"/>
  <c r="T1064" i="2" s="1"/>
  <c r="L1064" i="2"/>
  <c r="M1064" i="2"/>
  <c r="A1065" i="2"/>
  <c r="B1065" i="2"/>
  <c r="C1065" i="2"/>
  <c r="G1065" i="2"/>
  <c r="I1065" i="2"/>
  <c r="J1065" i="2"/>
  <c r="T1065" i="2" s="1"/>
  <c r="L1065" i="2"/>
  <c r="M1065" i="2"/>
  <c r="A1066" i="2"/>
  <c r="B1066" i="2"/>
  <c r="C1066" i="2"/>
  <c r="G1066" i="2"/>
  <c r="I1066" i="2"/>
  <c r="J1066" i="2"/>
  <c r="T1066" i="2" s="1"/>
  <c r="L1066" i="2"/>
  <c r="M1066" i="2"/>
  <c r="A1067" i="2"/>
  <c r="B1067" i="2"/>
  <c r="C1067" i="2"/>
  <c r="G1067" i="2"/>
  <c r="I1067" i="2"/>
  <c r="U1067" i="2" s="1"/>
  <c r="J1067" i="2"/>
  <c r="T1067" i="2" s="1"/>
  <c r="L1067" i="2"/>
  <c r="M1067" i="2"/>
  <c r="A1068" i="2"/>
  <c r="B1068" i="2"/>
  <c r="C1068" i="2"/>
  <c r="G1068" i="2"/>
  <c r="I1068" i="2"/>
  <c r="U1068" i="2" s="1"/>
  <c r="J1068" i="2"/>
  <c r="T1068" i="2" s="1"/>
  <c r="L1068" i="2"/>
  <c r="M1068" i="2"/>
  <c r="A1069" i="2"/>
  <c r="B1069" i="2"/>
  <c r="C1069" i="2"/>
  <c r="G1069" i="2"/>
  <c r="I1069" i="2"/>
  <c r="U1069" i="2" s="1"/>
  <c r="J1069" i="2"/>
  <c r="T1069" i="2" s="1"/>
  <c r="L1069" i="2"/>
  <c r="M1069" i="2"/>
  <c r="A1070" i="2"/>
  <c r="B1070" i="2"/>
  <c r="C1070" i="2"/>
  <c r="G1070" i="2"/>
  <c r="I1070" i="2"/>
  <c r="U1070" i="2" s="1"/>
  <c r="J1070" i="2"/>
  <c r="T1070" i="2" s="1"/>
  <c r="L1070" i="2"/>
  <c r="M1070" i="2"/>
  <c r="A1071" i="2"/>
  <c r="B1071" i="2"/>
  <c r="C1071" i="2"/>
  <c r="G1071" i="2"/>
  <c r="I1071" i="2"/>
  <c r="U1071" i="2" s="1"/>
  <c r="J1071" i="2"/>
  <c r="T1071" i="2" s="1"/>
  <c r="L1071" i="2"/>
  <c r="M1071" i="2"/>
  <c r="A1072" i="2"/>
  <c r="B1072" i="2"/>
  <c r="C1072" i="2"/>
  <c r="G1072" i="2"/>
  <c r="I1072" i="2"/>
  <c r="U1072" i="2" s="1"/>
  <c r="J1072" i="2"/>
  <c r="T1072" i="2" s="1"/>
  <c r="L1072" i="2"/>
  <c r="M1072" i="2"/>
  <c r="A1073" i="2"/>
  <c r="B1073" i="2"/>
  <c r="C1073" i="2"/>
  <c r="G1073" i="2"/>
  <c r="I1073" i="2"/>
  <c r="J1073" i="2"/>
  <c r="T1073" i="2" s="1"/>
  <c r="L1073" i="2"/>
  <c r="M1073" i="2"/>
  <c r="A1074" i="2"/>
  <c r="B1074" i="2"/>
  <c r="C1074" i="2"/>
  <c r="G1074" i="2"/>
  <c r="I1074" i="2"/>
  <c r="J1074" i="2"/>
  <c r="T1074" i="2" s="1"/>
  <c r="L1074" i="2"/>
  <c r="M1074" i="2"/>
  <c r="A1075" i="2"/>
  <c r="B1075" i="2"/>
  <c r="C1075" i="2"/>
  <c r="G1075" i="2"/>
  <c r="I1075" i="2"/>
  <c r="U1075" i="2" s="1"/>
  <c r="J1075" i="2"/>
  <c r="T1075" i="2" s="1"/>
  <c r="L1075" i="2"/>
  <c r="M1075" i="2"/>
  <c r="A1076" i="2"/>
  <c r="B1076" i="2"/>
  <c r="C1076" i="2"/>
  <c r="G1076" i="2"/>
  <c r="I1076" i="2"/>
  <c r="U1076" i="2" s="1"/>
  <c r="J1076" i="2"/>
  <c r="T1076" i="2" s="1"/>
  <c r="L1076" i="2"/>
  <c r="M1076" i="2"/>
  <c r="A1077" i="2"/>
  <c r="B1077" i="2"/>
  <c r="C1077" i="2"/>
  <c r="G1077" i="2"/>
  <c r="I1077" i="2"/>
  <c r="U1077" i="2" s="1"/>
  <c r="J1077" i="2"/>
  <c r="T1077" i="2" s="1"/>
  <c r="L1077" i="2"/>
  <c r="M1077" i="2"/>
  <c r="A1078" i="2"/>
  <c r="B1078" i="2"/>
  <c r="C1078" i="2"/>
  <c r="G1078" i="2"/>
  <c r="I1078" i="2"/>
  <c r="U1078" i="2" s="1"/>
  <c r="J1078" i="2"/>
  <c r="T1078" i="2" s="1"/>
  <c r="L1078" i="2"/>
  <c r="M1078" i="2"/>
  <c r="A1079" i="2"/>
  <c r="B1079" i="2"/>
  <c r="C1079" i="2"/>
  <c r="G1079" i="2"/>
  <c r="I1079" i="2"/>
  <c r="U1079" i="2" s="1"/>
  <c r="J1079" i="2"/>
  <c r="T1079" i="2" s="1"/>
  <c r="L1079" i="2"/>
  <c r="M1079" i="2"/>
  <c r="A1080" i="2"/>
  <c r="B1080" i="2"/>
  <c r="C1080" i="2"/>
  <c r="G1080" i="2"/>
  <c r="I1080" i="2"/>
  <c r="J1080" i="2"/>
  <c r="T1080" i="2" s="1"/>
  <c r="L1080" i="2"/>
  <c r="M1080" i="2"/>
  <c r="A1081" i="2"/>
  <c r="B1081" i="2"/>
  <c r="C1081" i="2"/>
  <c r="G1081" i="2"/>
  <c r="I1081" i="2"/>
  <c r="J1081" i="2"/>
  <c r="T1081" i="2" s="1"/>
  <c r="L1081" i="2"/>
  <c r="M1081" i="2"/>
  <c r="A1082" i="2"/>
  <c r="B1082" i="2"/>
  <c r="C1082" i="2"/>
  <c r="G1082" i="2"/>
  <c r="I1082" i="2"/>
  <c r="J1082" i="2"/>
  <c r="T1082" i="2" s="1"/>
  <c r="L1082" i="2"/>
  <c r="M1082" i="2"/>
  <c r="A1083" i="2"/>
  <c r="B1083" i="2"/>
  <c r="C1083" i="2"/>
  <c r="G1083" i="2"/>
  <c r="I1083" i="2"/>
  <c r="U1083" i="2" s="1"/>
  <c r="J1083" i="2"/>
  <c r="T1083" i="2" s="1"/>
  <c r="L1083" i="2"/>
  <c r="M1083" i="2"/>
  <c r="A1084" i="2"/>
  <c r="B1084" i="2"/>
  <c r="C1084" i="2"/>
  <c r="G1084" i="2"/>
  <c r="I1084" i="2"/>
  <c r="U1084" i="2" s="1"/>
  <c r="J1084" i="2"/>
  <c r="T1084" i="2" s="1"/>
  <c r="L1084" i="2"/>
  <c r="M1084" i="2"/>
  <c r="A1085" i="2"/>
  <c r="B1085" i="2"/>
  <c r="C1085" i="2"/>
  <c r="G1085" i="2"/>
  <c r="I1085" i="2"/>
  <c r="U1085" i="2" s="1"/>
  <c r="J1085" i="2"/>
  <c r="T1085" i="2" s="1"/>
  <c r="L1085" i="2"/>
  <c r="M1085" i="2"/>
  <c r="A1086" i="2"/>
  <c r="B1086" i="2"/>
  <c r="C1086" i="2"/>
  <c r="G1086" i="2"/>
  <c r="I1086" i="2"/>
  <c r="U1086" i="2" s="1"/>
  <c r="J1086" i="2"/>
  <c r="T1086" i="2" s="1"/>
  <c r="L1086" i="2"/>
  <c r="M1086" i="2"/>
  <c r="A1087" i="2"/>
  <c r="B1087" i="2"/>
  <c r="C1087" i="2"/>
  <c r="G1087" i="2"/>
  <c r="I1087" i="2"/>
  <c r="U1087" i="2" s="1"/>
  <c r="J1087" i="2"/>
  <c r="T1087" i="2" s="1"/>
  <c r="L1087" i="2"/>
  <c r="M1087" i="2"/>
  <c r="A1088" i="2"/>
  <c r="B1088" i="2"/>
  <c r="C1088" i="2"/>
  <c r="G1088" i="2"/>
  <c r="I1088" i="2"/>
  <c r="U1088" i="2" s="1"/>
  <c r="J1088" i="2"/>
  <c r="T1088" i="2" s="1"/>
  <c r="L1088" i="2"/>
  <c r="M1088" i="2"/>
  <c r="A1089" i="2"/>
  <c r="B1089" i="2"/>
  <c r="C1089" i="2"/>
  <c r="G1089" i="2"/>
  <c r="I1089" i="2"/>
  <c r="J1089" i="2"/>
  <c r="L1089" i="2"/>
  <c r="M1089" i="2"/>
  <c r="A1090" i="2"/>
  <c r="B1090" i="2"/>
  <c r="C1090" i="2"/>
  <c r="G1090" i="2"/>
  <c r="I1090" i="2"/>
  <c r="U1090" i="2" s="1"/>
  <c r="J1090" i="2"/>
  <c r="T1090" i="2" s="1"/>
  <c r="L1090" i="2"/>
  <c r="M1090" i="2"/>
  <c r="A1091" i="2"/>
  <c r="B1091" i="2"/>
  <c r="C1091" i="2"/>
  <c r="G1091" i="2"/>
  <c r="I1091" i="2"/>
  <c r="U1091" i="2" s="1"/>
  <c r="J1091" i="2"/>
  <c r="T1091" i="2" s="1"/>
  <c r="L1091" i="2"/>
  <c r="M1091" i="2"/>
  <c r="A1092" i="2"/>
  <c r="B1092" i="2"/>
  <c r="C1092" i="2"/>
  <c r="G1092" i="2"/>
  <c r="I1092" i="2"/>
  <c r="U1092" i="2" s="1"/>
  <c r="J1092" i="2"/>
  <c r="T1092" i="2" s="1"/>
  <c r="L1092" i="2"/>
  <c r="M1092" i="2"/>
  <c r="A1093" i="2"/>
  <c r="B1093" i="2"/>
  <c r="C1093" i="2"/>
  <c r="G1093" i="2"/>
  <c r="I1093" i="2"/>
  <c r="U1093" i="2" s="1"/>
  <c r="J1093" i="2"/>
  <c r="T1093" i="2" s="1"/>
  <c r="L1093" i="2"/>
  <c r="M1093" i="2"/>
  <c r="A1094" i="2"/>
  <c r="B1094" i="2"/>
  <c r="C1094" i="2"/>
  <c r="G1094" i="2"/>
  <c r="I1094" i="2"/>
  <c r="U1094" i="2" s="1"/>
  <c r="J1094" i="2"/>
  <c r="T1094" i="2" s="1"/>
  <c r="L1094" i="2"/>
  <c r="M1094" i="2"/>
  <c r="A1095" i="2"/>
  <c r="B1095" i="2"/>
  <c r="C1095" i="2"/>
  <c r="G1095" i="2"/>
  <c r="I1095" i="2"/>
  <c r="U1095" i="2" s="1"/>
  <c r="J1095" i="2"/>
  <c r="T1095" i="2" s="1"/>
  <c r="L1095" i="2"/>
  <c r="M1095" i="2"/>
  <c r="A1096" i="2"/>
  <c r="B1096" i="2"/>
  <c r="C1096" i="2"/>
  <c r="G1096" i="2"/>
  <c r="I1096" i="2"/>
  <c r="J1096" i="2"/>
  <c r="T1096" i="2" s="1"/>
  <c r="L1096" i="2"/>
  <c r="M1096" i="2"/>
  <c r="A1097" i="2"/>
  <c r="B1097" i="2"/>
  <c r="C1097" i="2"/>
  <c r="G1097" i="2"/>
  <c r="I1097" i="2"/>
  <c r="J1097" i="2"/>
  <c r="L1097" i="2"/>
  <c r="M1097" i="2"/>
  <c r="A1098" i="2"/>
  <c r="B1098" i="2"/>
  <c r="C1098" i="2"/>
  <c r="G1098" i="2"/>
  <c r="I1098" i="2"/>
  <c r="U1098" i="2" s="1"/>
  <c r="J1098" i="2"/>
  <c r="T1098" i="2" s="1"/>
  <c r="L1098" i="2"/>
  <c r="M1098" i="2"/>
  <c r="A1099" i="2"/>
  <c r="B1099" i="2"/>
  <c r="C1099" i="2"/>
  <c r="G1099" i="2"/>
  <c r="I1099" i="2"/>
  <c r="U1099" i="2" s="1"/>
  <c r="J1099" i="2"/>
  <c r="T1099" i="2" s="1"/>
  <c r="L1099" i="2"/>
  <c r="M1099" i="2"/>
  <c r="A1100" i="2"/>
  <c r="B1100" i="2"/>
  <c r="C1100" i="2"/>
  <c r="G1100" i="2"/>
  <c r="I1100" i="2"/>
  <c r="U1100" i="2" s="1"/>
  <c r="J1100" i="2"/>
  <c r="T1100" i="2" s="1"/>
  <c r="L1100" i="2"/>
  <c r="M1100" i="2"/>
  <c r="A1101" i="2"/>
  <c r="B1101" i="2"/>
  <c r="C1101" i="2"/>
  <c r="G1101" i="2"/>
  <c r="I1101" i="2"/>
  <c r="U1101" i="2" s="1"/>
  <c r="J1101" i="2"/>
  <c r="T1101" i="2" s="1"/>
  <c r="L1101" i="2"/>
  <c r="M1101" i="2"/>
  <c r="A1102" i="2"/>
  <c r="B1102" i="2"/>
  <c r="C1102" i="2"/>
  <c r="G1102" i="2"/>
  <c r="I1102" i="2"/>
  <c r="U1102" i="2" s="1"/>
  <c r="J1102" i="2"/>
  <c r="T1102" i="2" s="1"/>
  <c r="L1102" i="2"/>
  <c r="M1102" i="2"/>
  <c r="A1103" i="2"/>
  <c r="B1103" i="2"/>
  <c r="C1103" i="2"/>
  <c r="G1103" i="2"/>
  <c r="I1103" i="2"/>
  <c r="U1103" i="2" s="1"/>
  <c r="J1103" i="2"/>
  <c r="T1103" i="2" s="1"/>
  <c r="L1103" i="2"/>
  <c r="M1103" i="2"/>
  <c r="A1104" i="2"/>
  <c r="B1104" i="2"/>
  <c r="C1104" i="2"/>
  <c r="G1104" i="2"/>
  <c r="I1104" i="2"/>
  <c r="U1104" i="2" s="1"/>
  <c r="J1104" i="2"/>
  <c r="T1104" i="2" s="1"/>
  <c r="L1104" i="2"/>
  <c r="M1104" i="2"/>
  <c r="A1105" i="2"/>
  <c r="B1105" i="2"/>
  <c r="C1105" i="2"/>
  <c r="G1105" i="2"/>
  <c r="I1105" i="2"/>
  <c r="J1105" i="2"/>
  <c r="T1105" i="2" s="1"/>
  <c r="L1105" i="2"/>
  <c r="M1105" i="2"/>
  <c r="A1106" i="2"/>
  <c r="B1106" i="2"/>
  <c r="C1106" i="2"/>
  <c r="G1106" i="2"/>
  <c r="I1106" i="2"/>
  <c r="J1106" i="2"/>
  <c r="T1106" i="2" s="1"/>
  <c r="L1106" i="2"/>
  <c r="M1106" i="2"/>
  <c r="A1107" i="2"/>
  <c r="B1107" i="2"/>
  <c r="C1107" i="2"/>
  <c r="G1107" i="2"/>
  <c r="I1107" i="2"/>
  <c r="J1107" i="2"/>
  <c r="T1107" i="2" s="1"/>
  <c r="L1107" i="2"/>
  <c r="M1107" i="2"/>
  <c r="A1108" i="2"/>
  <c r="B1108" i="2"/>
  <c r="C1108" i="2"/>
  <c r="G1108" i="2"/>
  <c r="I1108" i="2"/>
  <c r="U1108" i="2" s="1"/>
  <c r="J1108" i="2"/>
  <c r="T1108" i="2" s="1"/>
  <c r="L1108" i="2"/>
  <c r="M1108" i="2"/>
  <c r="A1109" i="2"/>
  <c r="B1109" i="2"/>
  <c r="C1109" i="2"/>
  <c r="G1109" i="2"/>
  <c r="I1109" i="2"/>
  <c r="U1109" i="2" s="1"/>
  <c r="J1109" i="2"/>
  <c r="T1109" i="2" s="1"/>
  <c r="L1109" i="2"/>
  <c r="M1109" i="2"/>
  <c r="A1110" i="2"/>
  <c r="B1110" i="2"/>
  <c r="C1110" i="2"/>
  <c r="G1110" i="2"/>
  <c r="I1110" i="2"/>
  <c r="J1110" i="2"/>
  <c r="T1110" i="2" s="1"/>
  <c r="L1110" i="2"/>
  <c r="M1110" i="2"/>
  <c r="A1111" i="2"/>
  <c r="B1111" i="2"/>
  <c r="C1111" i="2"/>
  <c r="G1111" i="2"/>
  <c r="I1111" i="2"/>
  <c r="U1111" i="2" s="1"/>
  <c r="J1111" i="2"/>
  <c r="L1111" i="2"/>
  <c r="M1111" i="2"/>
  <c r="A1112" i="2"/>
  <c r="B1112" i="2"/>
  <c r="C1112" i="2"/>
  <c r="G1112" i="2"/>
  <c r="I1112" i="2"/>
  <c r="U1112" i="2" s="1"/>
  <c r="J1112" i="2"/>
  <c r="T1112" i="2" s="1"/>
  <c r="L1112" i="2"/>
  <c r="M1112" i="2"/>
  <c r="A1113" i="2"/>
  <c r="B1113" i="2"/>
  <c r="C1113" i="2"/>
  <c r="G1113" i="2"/>
  <c r="I1113" i="2"/>
  <c r="J1113" i="2"/>
  <c r="T1113" i="2" s="1"/>
  <c r="L1113" i="2"/>
  <c r="M1113" i="2"/>
  <c r="A1114" i="2"/>
  <c r="B1114" i="2"/>
  <c r="C1114" i="2"/>
  <c r="G1114" i="2"/>
  <c r="I1114" i="2"/>
  <c r="J1114" i="2"/>
  <c r="T1114" i="2" s="1"/>
  <c r="L1114" i="2"/>
  <c r="M1114" i="2"/>
  <c r="A1115" i="2"/>
  <c r="B1115" i="2"/>
  <c r="C1115" i="2"/>
  <c r="G1115" i="2"/>
  <c r="I1115" i="2"/>
  <c r="U1115" i="2" s="1"/>
  <c r="J1115" i="2"/>
  <c r="L1115" i="2"/>
  <c r="M1115" i="2"/>
  <c r="A1116" i="2"/>
  <c r="B1116" i="2"/>
  <c r="C1116" i="2"/>
  <c r="G1116" i="2"/>
  <c r="I1116" i="2"/>
  <c r="U1116" i="2" s="1"/>
  <c r="J1116" i="2"/>
  <c r="T1116" i="2" s="1"/>
  <c r="L1116" i="2"/>
  <c r="M1116" i="2"/>
  <c r="A1117" i="2"/>
  <c r="B1117" i="2"/>
  <c r="C1117" i="2"/>
  <c r="G1117" i="2"/>
  <c r="I1117" i="2"/>
  <c r="U1117" i="2" s="1"/>
  <c r="J1117" i="2"/>
  <c r="T1117" i="2" s="1"/>
  <c r="L1117" i="2"/>
  <c r="M1117" i="2"/>
  <c r="A1118" i="2"/>
  <c r="B1118" i="2"/>
  <c r="C1118" i="2"/>
  <c r="G1118" i="2"/>
  <c r="I1118" i="2"/>
  <c r="U1118" i="2" s="1"/>
  <c r="J1118" i="2"/>
  <c r="T1118" i="2" s="1"/>
  <c r="L1118" i="2"/>
  <c r="M1118" i="2"/>
  <c r="A1119" i="2"/>
  <c r="B1119" i="2"/>
  <c r="C1119" i="2"/>
  <c r="G1119" i="2"/>
  <c r="I1119" i="2"/>
  <c r="U1119" i="2" s="1"/>
  <c r="J1119" i="2"/>
  <c r="L1119" i="2"/>
  <c r="M1119" i="2"/>
  <c r="A1120" i="2"/>
  <c r="B1120" i="2"/>
  <c r="C1120" i="2"/>
  <c r="G1120" i="2"/>
  <c r="I1120" i="2"/>
  <c r="U1120" i="2" s="1"/>
  <c r="J1120" i="2"/>
  <c r="T1120" i="2" s="1"/>
  <c r="L1120" i="2"/>
  <c r="M1120" i="2"/>
  <c r="A1121" i="2"/>
  <c r="B1121" i="2"/>
  <c r="C1121" i="2"/>
  <c r="G1121" i="2"/>
  <c r="I1121" i="2"/>
  <c r="U1121" i="2" s="1"/>
  <c r="J1121" i="2"/>
  <c r="T1121" i="2" s="1"/>
  <c r="L1121" i="2"/>
  <c r="M1121" i="2"/>
  <c r="A1122" i="2"/>
  <c r="B1122" i="2"/>
  <c r="C1122" i="2"/>
  <c r="G1122" i="2"/>
  <c r="I1122" i="2"/>
  <c r="U1122" i="2" s="1"/>
  <c r="J1122" i="2"/>
  <c r="T1122" i="2" s="1"/>
  <c r="L1122" i="2"/>
  <c r="M1122" i="2"/>
  <c r="A1123" i="2"/>
  <c r="B1123" i="2"/>
  <c r="C1123" i="2"/>
  <c r="G1123" i="2"/>
  <c r="I1123" i="2"/>
  <c r="U1123" i="2" s="1"/>
  <c r="J1123" i="2"/>
  <c r="L1123" i="2"/>
  <c r="M1123" i="2"/>
  <c r="A1124" i="2"/>
  <c r="B1124" i="2"/>
  <c r="C1124" i="2"/>
  <c r="G1124" i="2"/>
  <c r="I1124" i="2"/>
  <c r="U1124" i="2" s="1"/>
  <c r="J1124" i="2"/>
  <c r="T1124" i="2" s="1"/>
  <c r="L1124" i="2"/>
  <c r="M1124" i="2"/>
  <c r="A1125" i="2"/>
  <c r="B1125" i="2"/>
  <c r="C1125" i="2"/>
  <c r="G1125" i="2"/>
  <c r="I1125" i="2"/>
  <c r="J1125" i="2"/>
  <c r="T1125" i="2" s="1"/>
  <c r="L1125" i="2"/>
  <c r="M1125" i="2"/>
  <c r="A1126" i="2"/>
  <c r="B1126" i="2"/>
  <c r="C1126" i="2"/>
  <c r="G1126" i="2"/>
  <c r="I1126" i="2"/>
  <c r="U1126" i="2" s="1"/>
  <c r="J1126" i="2"/>
  <c r="T1126" i="2" s="1"/>
  <c r="L1126" i="2"/>
  <c r="M1126" i="2"/>
  <c r="A1127" i="2"/>
  <c r="B1127" i="2"/>
  <c r="C1127" i="2"/>
  <c r="G1127" i="2"/>
  <c r="I1127" i="2"/>
  <c r="U1127" i="2" s="1"/>
  <c r="J1127" i="2"/>
  <c r="L1127" i="2"/>
  <c r="M1127" i="2"/>
  <c r="A1128" i="2"/>
  <c r="B1128" i="2"/>
  <c r="C1128" i="2"/>
  <c r="G1128" i="2"/>
  <c r="I1128" i="2"/>
  <c r="U1128" i="2" s="1"/>
  <c r="J1128" i="2"/>
  <c r="T1128" i="2" s="1"/>
  <c r="L1128" i="2"/>
  <c r="M1128" i="2"/>
  <c r="A1129" i="2"/>
  <c r="B1129" i="2"/>
  <c r="C1129" i="2"/>
  <c r="G1129" i="2"/>
  <c r="I1129" i="2"/>
  <c r="J1129" i="2"/>
  <c r="T1129" i="2" s="1"/>
  <c r="L1129" i="2"/>
  <c r="M1129" i="2"/>
  <c r="A1130" i="2"/>
  <c r="B1130" i="2"/>
  <c r="C1130" i="2"/>
  <c r="G1130" i="2"/>
  <c r="I1130" i="2"/>
  <c r="J1130" i="2"/>
  <c r="T1130" i="2" s="1"/>
  <c r="L1130" i="2"/>
  <c r="M1130" i="2"/>
  <c r="A1131" i="2"/>
  <c r="B1131" i="2"/>
  <c r="C1131" i="2"/>
  <c r="G1131" i="2"/>
  <c r="I1131" i="2"/>
  <c r="U1131" i="2" s="1"/>
  <c r="J1131" i="2"/>
  <c r="L1131" i="2"/>
  <c r="M1131" i="2"/>
  <c r="A1132" i="2"/>
  <c r="B1132" i="2"/>
  <c r="C1132" i="2"/>
  <c r="G1132" i="2"/>
  <c r="I1132" i="2"/>
  <c r="U1132" i="2" s="1"/>
  <c r="J1132" i="2"/>
  <c r="T1132" i="2" s="1"/>
  <c r="L1132" i="2"/>
  <c r="M1132" i="2"/>
  <c r="A1133" i="2"/>
  <c r="B1133" i="2"/>
  <c r="C1133" i="2"/>
  <c r="G1133" i="2"/>
  <c r="I1133" i="2"/>
  <c r="U1133" i="2" s="1"/>
  <c r="J1133" i="2"/>
  <c r="T1133" i="2" s="1"/>
  <c r="L1133" i="2"/>
  <c r="M1133" i="2"/>
  <c r="A1134" i="2"/>
  <c r="B1134" i="2"/>
  <c r="C1134" i="2"/>
  <c r="G1134" i="2"/>
  <c r="I1134" i="2"/>
  <c r="U1134" i="2" s="1"/>
  <c r="J1134" i="2"/>
  <c r="T1134" i="2" s="1"/>
  <c r="L1134" i="2"/>
  <c r="M1134" i="2"/>
  <c r="A1135" i="2"/>
  <c r="B1135" i="2"/>
  <c r="C1135" i="2"/>
  <c r="G1135" i="2"/>
  <c r="I1135" i="2"/>
  <c r="U1135" i="2" s="1"/>
  <c r="J1135" i="2"/>
  <c r="L1135" i="2"/>
  <c r="M1135" i="2"/>
  <c r="A1136" i="2"/>
  <c r="B1136" i="2"/>
  <c r="C1136" i="2"/>
  <c r="G1136" i="2"/>
  <c r="I1136" i="2"/>
  <c r="U1136" i="2" s="1"/>
  <c r="J1136" i="2"/>
  <c r="T1136" i="2" s="1"/>
  <c r="L1136" i="2"/>
  <c r="M1136" i="2"/>
  <c r="A1137" i="2"/>
  <c r="B1137" i="2"/>
  <c r="C1137" i="2"/>
  <c r="G1137" i="2"/>
  <c r="I1137" i="2"/>
  <c r="U1137" i="2" s="1"/>
  <c r="J1137" i="2"/>
  <c r="T1137" i="2" s="1"/>
  <c r="L1137" i="2"/>
  <c r="M1137" i="2"/>
  <c r="A1138" i="2"/>
  <c r="B1138" i="2"/>
  <c r="C1138" i="2"/>
  <c r="G1138" i="2"/>
  <c r="I1138" i="2"/>
  <c r="J1138" i="2"/>
  <c r="T1138" i="2" s="1"/>
  <c r="L1138" i="2"/>
  <c r="M1138" i="2"/>
  <c r="A1139" i="2"/>
  <c r="B1139" i="2"/>
  <c r="C1139" i="2"/>
  <c r="G1139" i="2"/>
  <c r="I1139" i="2"/>
  <c r="U1139" i="2" s="1"/>
  <c r="J1139" i="2"/>
  <c r="L1139" i="2"/>
  <c r="M1139" i="2"/>
  <c r="A1140" i="2"/>
  <c r="B1140" i="2"/>
  <c r="C1140" i="2"/>
  <c r="G1140" i="2"/>
  <c r="I1140" i="2"/>
  <c r="U1140" i="2" s="1"/>
  <c r="J1140" i="2"/>
  <c r="T1140" i="2" s="1"/>
  <c r="L1140" i="2"/>
  <c r="M1140" i="2"/>
  <c r="A1141" i="2"/>
  <c r="B1141" i="2"/>
  <c r="C1141" i="2"/>
  <c r="G1141" i="2"/>
  <c r="I1141" i="2"/>
  <c r="J1141" i="2"/>
  <c r="T1141" i="2" s="1"/>
  <c r="L1141" i="2"/>
  <c r="M1141" i="2"/>
  <c r="A1142" i="2"/>
  <c r="B1142" i="2"/>
  <c r="C1142" i="2"/>
  <c r="G1142" i="2"/>
  <c r="I1142" i="2"/>
  <c r="J1142" i="2"/>
  <c r="T1142" i="2" s="1"/>
  <c r="L1142" i="2"/>
  <c r="M1142" i="2"/>
  <c r="A1143" i="2"/>
  <c r="B1143" i="2"/>
  <c r="C1143" i="2"/>
  <c r="G1143" i="2"/>
  <c r="I1143" i="2"/>
  <c r="U1143" i="2" s="1"/>
  <c r="J1143" i="2"/>
  <c r="L1143" i="2"/>
  <c r="M1143" i="2"/>
  <c r="A1144" i="2"/>
  <c r="B1144" i="2"/>
  <c r="C1144" i="2"/>
  <c r="G1144" i="2"/>
  <c r="I1144" i="2"/>
  <c r="U1144" i="2" s="1"/>
  <c r="J1144" i="2"/>
  <c r="T1144" i="2" s="1"/>
  <c r="L1144" i="2"/>
  <c r="M1144" i="2"/>
  <c r="A1145" i="2"/>
  <c r="B1145" i="2"/>
  <c r="C1145" i="2"/>
  <c r="G1145" i="2"/>
  <c r="I1145" i="2"/>
  <c r="J1145" i="2"/>
  <c r="T1145" i="2" s="1"/>
  <c r="L1145" i="2"/>
  <c r="M1145" i="2"/>
  <c r="A1146" i="2"/>
  <c r="B1146" i="2"/>
  <c r="C1146" i="2"/>
  <c r="G1146" i="2"/>
  <c r="I1146" i="2"/>
  <c r="J1146" i="2"/>
  <c r="T1146" i="2" s="1"/>
  <c r="L1146" i="2"/>
  <c r="M1146" i="2"/>
  <c r="A1147" i="2"/>
  <c r="B1147" i="2"/>
  <c r="C1147" i="2"/>
  <c r="G1147" i="2"/>
  <c r="I1147" i="2"/>
  <c r="U1147" i="2" s="1"/>
  <c r="J1147" i="2"/>
  <c r="L1147" i="2"/>
  <c r="M1147" i="2"/>
  <c r="A1148" i="2"/>
  <c r="B1148" i="2"/>
  <c r="C1148" i="2"/>
  <c r="G1148" i="2"/>
  <c r="I1148" i="2"/>
  <c r="U1148" i="2" s="1"/>
  <c r="J1148" i="2"/>
  <c r="T1148" i="2" s="1"/>
  <c r="L1148" i="2"/>
  <c r="M1148" i="2"/>
  <c r="A1149" i="2"/>
  <c r="B1149" i="2"/>
  <c r="C1149" i="2"/>
  <c r="G1149" i="2"/>
  <c r="I1149" i="2"/>
  <c r="U1149" i="2" s="1"/>
  <c r="J1149" i="2"/>
  <c r="T1149" i="2" s="1"/>
  <c r="L1149" i="2"/>
  <c r="M1149" i="2"/>
  <c r="A1150" i="2"/>
  <c r="B1150" i="2"/>
  <c r="C1150" i="2"/>
  <c r="G1150" i="2"/>
  <c r="I1150" i="2"/>
  <c r="U1150" i="2" s="1"/>
  <c r="J1150" i="2"/>
  <c r="T1150" i="2" s="1"/>
  <c r="L1150" i="2"/>
  <c r="M1150" i="2"/>
  <c r="A1151" i="2"/>
  <c r="B1151" i="2"/>
  <c r="C1151" i="2"/>
  <c r="G1151" i="2"/>
  <c r="I1151" i="2"/>
  <c r="U1151" i="2" s="1"/>
  <c r="J1151" i="2"/>
  <c r="L1151" i="2"/>
  <c r="M1151" i="2"/>
  <c r="A1152" i="2"/>
  <c r="B1152" i="2"/>
  <c r="C1152" i="2"/>
  <c r="G1152" i="2"/>
  <c r="I1152" i="2"/>
  <c r="U1152" i="2" s="1"/>
  <c r="J1152" i="2"/>
  <c r="T1152" i="2" s="1"/>
  <c r="L1152" i="2"/>
  <c r="M1152" i="2"/>
  <c r="A1153" i="2"/>
  <c r="B1153" i="2"/>
  <c r="C1153" i="2"/>
  <c r="G1153" i="2"/>
  <c r="I1153" i="2"/>
  <c r="U1153" i="2" s="1"/>
  <c r="J1153" i="2"/>
  <c r="T1153" i="2" s="1"/>
  <c r="L1153" i="2"/>
  <c r="M1153" i="2"/>
  <c r="A1154" i="2"/>
  <c r="B1154" i="2"/>
  <c r="C1154" i="2"/>
  <c r="G1154" i="2"/>
  <c r="I1154" i="2"/>
  <c r="J1154" i="2"/>
  <c r="T1154" i="2" s="1"/>
  <c r="L1154" i="2"/>
  <c r="M1154" i="2"/>
  <c r="A1155" i="2"/>
  <c r="B1155" i="2"/>
  <c r="C1155" i="2"/>
  <c r="G1155" i="2"/>
  <c r="I1155" i="2"/>
  <c r="U1155" i="2" s="1"/>
  <c r="J1155" i="2"/>
  <c r="L1155" i="2"/>
  <c r="M1155" i="2"/>
  <c r="A1156" i="2"/>
  <c r="B1156" i="2"/>
  <c r="C1156" i="2"/>
  <c r="G1156" i="2"/>
  <c r="I1156" i="2"/>
  <c r="U1156" i="2" s="1"/>
  <c r="J1156" i="2"/>
  <c r="T1156" i="2" s="1"/>
  <c r="L1156" i="2"/>
  <c r="M1156" i="2"/>
  <c r="A1157" i="2"/>
  <c r="B1157" i="2"/>
  <c r="C1157" i="2"/>
  <c r="G1157" i="2"/>
  <c r="I1157" i="2"/>
  <c r="J1157" i="2"/>
  <c r="T1157" i="2" s="1"/>
  <c r="L1157" i="2"/>
  <c r="M1157" i="2"/>
  <c r="A1158" i="2"/>
  <c r="B1158" i="2"/>
  <c r="C1158" i="2"/>
  <c r="G1158" i="2"/>
  <c r="I1158" i="2"/>
  <c r="U1158" i="2" s="1"/>
  <c r="J1158" i="2"/>
  <c r="T1158" i="2" s="1"/>
  <c r="L1158" i="2"/>
  <c r="M1158" i="2"/>
  <c r="A1159" i="2"/>
  <c r="B1159" i="2"/>
  <c r="C1159" i="2"/>
  <c r="G1159" i="2"/>
  <c r="I1159" i="2"/>
  <c r="U1159" i="2" s="1"/>
  <c r="J1159" i="2"/>
  <c r="L1159" i="2"/>
  <c r="M1159" i="2"/>
  <c r="A1160" i="2"/>
  <c r="B1160" i="2"/>
  <c r="C1160" i="2"/>
  <c r="G1160" i="2"/>
  <c r="I1160" i="2"/>
  <c r="U1160" i="2" s="1"/>
  <c r="J1160" i="2"/>
  <c r="T1160" i="2" s="1"/>
  <c r="L1160" i="2"/>
  <c r="M1160" i="2"/>
  <c r="A1161" i="2"/>
  <c r="B1161" i="2"/>
  <c r="C1161" i="2"/>
  <c r="G1161" i="2"/>
  <c r="I1161" i="2"/>
  <c r="J1161" i="2"/>
  <c r="T1161" i="2" s="1"/>
  <c r="L1161" i="2"/>
  <c r="M1161" i="2"/>
  <c r="A1162" i="2"/>
  <c r="B1162" i="2"/>
  <c r="C1162" i="2"/>
  <c r="G1162" i="2"/>
  <c r="I1162" i="2"/>
  <c r="J1162" i="2"/>
  <c r="T1162" i="2" s="1"/>
  <c r="L1162" i="2"/>
  <c r="M1162" i="2"/>
  <c r="A1163" i="2"/>
  <c r="B1163" i="2"/>
  <c r="C1163" i="2"/>
  <c r="G1163" i="2"/>
  <c r="I1163" i="2"/>
  <c r="U1163" i="2" s="1"/>
  <c r="J1163" i="2"/>
  <c r="L1163" i="2"/>
  <c r="M1163" i="2"/>
  <c r="A1164" i="2"/>
  <c r="B1164" i="2"/>
  <c r="C1164" i="2"/>
  <c r="G1164" i="2"/>
  <c r="I1164" i="2"/>
  <c r="U1164" i="2" s="1"/>
  <c r="J1164" i="2"/>
  <c r="T1164" i="2" s="1"/>
  <c r="L1164" i="2"/>
  <c r="M1164" i="2"/>
  <c r="A1165" i="2"/>
  <c r="B1165" i="2"/>
  <c r="C1165" i="2"/>
  <c r="G1165" i="2"/>
  <c r="I1165" i="2"/>
  <c r="U1165" i="2" s="1"/>
  <c r="J1165" i="2"/>
  <c r="T1165" i="2" s="1"/>
  <c r="L1165" i="2"/>
  <c r="M1165" i="2"/>
  <c r="A1166" i="2"/>
  <c r="B1166" i="2"/>
  <c r="C1166" i="2"/>
  <c r="G1166" i="2"/>
  <c r="I1166" i="2"/>
  <c r="U1166" i="2" s="1"/>
  <c r="J1166" i="2"/>
  <c r="T1166" i="2" s="1"/>
  <c r="L1166" i="2"/>
  <c r="M1166" i="2"/>
  <c r="A1167" i="2"/>
  <c r="B1167" i="2"/>
  <c r="C1167" i="2"/>
  <c r="G1167" i="2"/>
  <c r="I1167" i="2"/>
  <c r="U1167" i="2" s="1"/>
  <c r="J1167" i="2"/>
  <c r="L1167" i="2"/>
  <c r="M1167" i="2"/>
  <c r="A1168" i="2"/>
  <c r="B1168" i="2"/>
  <c r="C1168" i="2"/>
  <c r="G1168" i="2"/>
  <c r="I1168" i="2"/>
  <c r="U1168" i="2" s="1"/>
  <c r="J1168" i="2"/>
  <c r="T1168" i="2" s="1"/>
  <c r="L1168" i="2"/>
  <c r="M1168" i="2"/>
  <c r="A1169" i="2"/>
  <c r="B1169" i="2"/>
  <c r="C1169" i="2"/>
  <c r="G1169" i="2"/>
  <c r="I1169" i="2"/>
  <c r="U1169" i="2" s="1"/>
  <c r="J1169" i="2"/>
  <c r="T1169" i="2" s="1"/>
  <c r="L1169" i="2"/>
  <c r="M1169" i="2"/>
  <c r="A1170" i="2"/>
  <c r="B1170" i="2"/>
  <c r="C1170" i="2"/>
  <c r="G1170" i="2"/>
  <c r="I1170" i="2"/>
  <c r="U1170" i="2" s="1"/>
  <c r="J1170" i="2"/>
  <c r="T1170" i="2" s="1"/>
  <c r="L1170" i="2"/>
  <c r="M1170" i="2"/>
  <c r="A1171" i="2"/>
  <c r="B1171" i="2"/>
  <c r="C1171" i="2"/>
  <c r="G1171" i="2"/>
  <c r="I1171" i="2"/>
  <c r="U1171" i="2" s="1"/>
  <c r="J1171" i="2"/>
  <c r="L1171" i="2"/>
  <c r="M1171" i="2"/>
  <c r="A1172" i="2"/>
  <c r="B1172" i="2"/>
  <c r="C1172" i="2"/>
  <c r="G1172" i="2"/>
  <c r="I1172" i="2"/>
  <c r="U1172" i="2" s="1"/>
  <c r="J1172" i="2"/>
  <c r="T1172" i="2" s="1"/>
  <c r="L1172" i="2"/>
  <c r="M1172" i="2"/>
  <c r="A1173" i="2"/>
  <c r="B1173" i="2"/>
  <c r="C1173" i="2"/>
  <c r="G1173" i="2"/>
  <c r="I1173" i="2"/>
  <c r="J1173" i="2"/>
  <c r="L1173" i="2"/>
  <c r="M1173" i="2"/>
  <c r="A1174" i="2"/>
  <c r="B1174" i="2"/>
  <c r="C1174" i="2"/>
  <c r="G1174" i="2"/>
  <c r="I1174" i="2"/>
  <c r="U1174" i="2" s="1"/>
  <c r="J1174" i="2"/>
  <c r="T1174" i="2" s="1"/>
  <c r="L1174" i="2"/>
  <c r="M1174" i="2"/>
  <c r="A1175" i="2"/>
  <c r="B1175" i="2"/>
  <c r="C1175" i="2"/>
  <c r="G1175" i="2"/>
  <c r="I1175" i="2"/>
  <c r="U1175" i="2" s="1"/>
  <c r="J1175" i="2"/>
  <c r="L1175" i="2"/>
  <c r="M1175" i="2"/>
  <c r="A1176" i="2"/>
  <c r="B1176" i="2"/>
  <c r="C1176" i="2"/>
  <c r="G1176" i="2"/>
  <c r="I1176" i="2"/>
  <c r="U1176" i="2" s="1"/>
  <c r="J1176" i="2"/>
  <c r="T1176" i="2" s="1"/>
  <c r="L1176" i="2"/>
  <c r="M1176" i="2"/>
  <c r="A1177" i="2"/>
  <c r="B1177" i="2"/>
  <c r="C1177" i="2"/>
  <c r="G1177" i="2"/>
  <c r="I1177" i="2"/>
  <c r="J1177" i="2"/>
  <c r="T1177" i="2" s="1"/>
  <c r="L1177" i="2"/>
  <c r="M1177" i="2"/>
  <c r="A1178" i="2"/>
  <c r="B1178" i="2"/>
  <c r="C1178" i="2"/>
  <c r="G1178" i="2"/>
  <c r="I1178" i="2"/>
  <c r="J1178" i="2"/>
  <c r="T1178" i="2" s="1"/>
  <c r="L1178" i="2"/>
  <c r="M1178" i="2"/>
  <c r="A1179" i="2"/>
  <c r="B1179" i="2"/>
  <c r="C1179" i="2"/>
  <c r="G1179" i="2"/>
  <c r="I1179" i="2"/>
  <c r="U1179" i="2" s="1"/>
  <c r="J1179" i="2"/>
  <c r="L1179" i="2"/>
  <c r="M1179" i="2"/>
  <c r="A1180" i="2"/>
  <c r="B1180" i="2"/>
  <c r="C1180" i="2"/>
  <c r="G1180" i="2"/>
  <c r="I1180" i="2"/>
  <c r="U1180" i="2" s="1"/>
  <c r="J1180" i="2"/>
  <c r="T1180" i="2" s="1"/>
  <c r="L1180" i="2"/>
  <c r="M1180" i="2"/>
  <c r="A1181" i="2"/>
  <c r="B1181" i="2"/>
  <c r="C1181" i="2"/>
  <c r="G1181" i="2"/>
  <c r="I1181" i="2"/>
  <c r="U1181" i="2" s="1"/>
  <c r="J1181" i="2"/>
  <c r="T1181" i="2" s="1"/>
  <c r="L1181" i="2"/>
  <c r="M1181" i="2"/>
  <c r="A1182" i="2"/>
  <c r="B1182" i="2"/>
  <c r="C1182" i="2"/>
  <c r="G1182" i="2"/>
  <c r="I1182" i="2"/>
  <c r="U1182" i="2" s="1"/>
  <c r="J1182" i="2"/>
  <c r="T1182" i="2" s="1"/>
  <c r="L1182" i="2"/>
  <c r="M1182" i="2"/>
  <c r="A1183" i="2"/>
  <c r="B1183" i="2"/>
  <c r="C1183" i="2"/>
  <c r="G1183" i="2"/>
  <c r="I1183" i="2"/>
  <c r="U1183" i="2" s="1"/>
  <c r="J1183" i="2"/>
  <c r="L1183" i="2"/>
  <c r="M1183" i="2"/>
  <c r="A1184" i="2"/>
  <c r="B1184" i="2"/>
  <c r="C1184" i="2"/>
  <c r="G1184" i="2"/>
  <c r="I1184" i="2"/>
  <c r="U1184" i="2" s="1"/>
  <c r="J1184" i="2"/>
  <c r="T1184" i="2" s="1"/>
  <c r="L1184" i="2"/>
  <c r="M1184" i="2"/>
  <c r="A1185" i="2"/>
  <c r="B1185" i="2"/>
  <c r="C1185" i="2"/>
  <c r="G1185" i="2"/>
  <c r="I1185" i="2"/>
  <c r="U1185" i="2" s="1"/>
  <c r="J1185" i="2"/>
  <c r="T1185" i="2" s="1"/>
  <c r="L1185" i="2"/>
  <c r="M1185" i="2"/>
  <c r="A1186" i="2"/>
  <c r="B1186" i="2"/>
  <c r="C1186" i="2"/>
  <c r="G1186" i="2"/>
  <c r="I1186" i="2"/>
  <c r="U1186" i="2" s="1"/>
  <c r="J1186" i="2"/>
  <c r="T1186" i="2" s="1"/>
  <c r="L1186" i="2"/>
  <c r="M1186" i="2"/>
  <c r="A1187" i="2"/>
  <c r="B1187" i="2"/>
  <c r="C1187" i="2"/>
  <c r="G1187" i="2"/>
  <c r="I1187" i="2"/>
  <c r="U1187" i="2" s="1"/>
  <c r="J1187" i="2"/>
  <c r="L1187" i="2"/>
  <c r="M1187" i="2"/>
  <c r="A1188" i="2"/>
  <c r="B1188" i="2"/>
  <c r="C1188" i="2"/>
  <c r="G1188" i="2"/>
  <c r="I1188" i="2"/>
  <c r="U1188" i="2" s="1"/>
  <c r="J1188" i="2"/>
  <c r="T1188" i="2" s="1"/>
  <c r="L1188" i="2"/>
  <c r="M1188" i="2"/>
  <c r="A1189" i="2"/>
  <c r="B1189" i="2"/>
  <c r="C1189" i="2"/>
  <c r="G1189" i="2"/>
  <c r="I1189" i="2"/>
  <c r="J1189" i="2"/>
  <c r="L1189" i="2"/>
  <c r="M1189" i="2"/>
  <c r="A1190" i="2"/>
  <c r="B1190" i="2"/>
  <c r="C1190" i="2"/>
  <c r="G1190" i="2"/>
  <c r="I1190" i="2"/>
  <c r="J1190" i="2"/>
  <c r="T1190" i="2" s="1"/>
  <c r="L1190" i="2"/>
  <c r="M1190" i="2"/>
  <c r="A1191" i="2"/>
  <c r="B1191" i="2"/>
  <c r="C1191" i="2"/>
  <c r="G1191" i="2"/>
  <c r="I1191" i="2"/>
  <c r="U1191" i="2" s="1"/>
  <c r="J1191" i="2"/>
  <c r="L1191" i="2"/>
  <c r="M1191" i="2"/>
  <c r="A1192" i="2"/>
  <c r="B1192" i="2"/>
  <c r="C1192" i="2"/>
  <c r="G1192" i="2"/>
  <c r="I1192" i="2"/>
  <c r="U1192" i="2" s="1"/>
  <c r="J1192" i="2"/>
  <c r="T1192" i="2" s="1"/>
  <c r="L1192" i="2"/>
  <c r="M1192" i="2"/>
  <c r="A1193" i="2"/>
  <c r="B1193" i="2"/>
  <c r="C1193" i="2"/>
  <c r="G1193" i="2"/>
  <c r="I1193" i="2"/>
  <c r="J1193" i="2"/>
  <c r="T1193" i="2" s="1"/>
  <c r="L1193" i="2"/>
  <c r="M1193" i="2"/>
  <c r="A1194" i="2"/>
  <c r="B1194" i="2"/>
  <c r="C1194" i="2"/>
  <c r="G1194" i="2"/>
  <c r="I1194" i="2"/>
  <c r="U1194" i="2" s="1"/>
  <c r="J1194" i="2"/>
  <c r="T1194" i="2" s="1"/>
  <c r="L1194" i="2"/>
  <c r="M1194" i="2"/>
  <c r="A1195" i="2"/>
  <c r="B1195" i="2"/>
  <c r="C1195" i="2"/>
  <c r="G1195" i="2"/>
  <c r="I1195" i="2"/>
  <c r="U1195" i="2" s="1"/>
  <c r="J1195" i="2"/>
  <c r="L1195" i="2"/>
  <c r="M1195" i="2"/>
  <c r="A1196" i="2"/>
  <c r="B1196" i="2"/>
  <c r="C1196" i="2"/>
  <c r="G1196" i="2"/>
  <c r="I1196" i="2"/>
  <c r="U1196" i="2" s="1"/>
  <c r="J1196" i="2"/>
  <c r="T1196" i="2" s="1"/>
  <c r="L1196" i="2"/>
  <c r="M1196" i="2"/>
  <c r="A1197" i="2"/>
  <c r="B1197" i="2"/>
  <c r="C1197" i="2"/>
  <c r="G1197" i="2"/>
  <c r="I1197" i="2"/>
  <c r="U1197" i="2" s="1"/>
  <c r="J1197" i="2"/>
  <c r="T1197" i="2" s="1"/>
  <c r="L1197" i="2"/>
  <c r="M1197" i="2"/>
  <c r="A1198" i="2"/>
  <c r="B1198" i="2"/>
  <c r="C1198" i="2"/>
  <c r="G1198" i="2"/>
  <c r="I1198" i="2"/>
  <c r="U1198" i="2" s="1"/>
  <c r="J1198" i="2"/>
  <c r="T1198" i="2" s="1"/>
  <c r="L1198" i="2"/>
  <c r="M1198" i="2"/>
  <c r="A1199" i="2"/>
  <c r="B1199" i="2"/>
  <c r="C1199" i="2"/>
  <c r="G1199" i="2"/>
  <c r="I1199" i="2"/>
  <c r="U1199" i="2" s="1"/>
  <c r="J1199" i="2"/>
  <c r="L1199" i="2"/>
  <c r="M1199" i="2"/>
  <c r="A1200" i="2"/>
  <c r="B1200" i="2"/>
  <c r="C1200" i="2"/>
  <c r="G1200" i="2"/>
  <c r="I1200" i="2"/>
  <c r="U1200" i="2" s="1"/>
  <c r="J1200" i="2"/>
  <c r="T1200" i="2" s="1"/>
  <c r="L1200" i="2"/>
  <c r="M1200" i="2"/>
  <c r="A1201" i="2"/>
  <c r="B1201" i="2"/>
  <c r="C1201" i="2"/>
  <c r="G1201" i="2"/>
  <c r="I1201" i="2"/>
  <c r="U1201" i="2" s="1"/>
  <c r="J1201" i="2"/>
  <c r="T1201" i="2" s="1"/>
  <c r="L1201" i="2"/>
  <c r="M1201" i="2"/>
  <c r="A1202" i="2"/>
  <c r="B1202" i="2"/>
  <c r="C1202" i="2"/>
  <c r="G1202" i="2"/>
  <c r="I1202" i="2"/>
  <c r="U1202" i="2" s="1"/>
  <c r="J1202" i="2"/>
  <c r="T1202" i="2" s="1"/>
  <c r="L1202" i="2"/>
  <c r="M1202" i="2"/>
  <c r="A1203" i="2"/>
  <c r="B1203" i="2"/>
  <c r="C1203" i="2"/>
  <c r="G1203" i="2"/>
  <c r="I1203" i="2"/>
  <c r="U1203" i="2" s="1"/>
  <c r="J1203" i="2"/>
  <c r="L1203" i="2"/>
  <c r="M1203" i="2"/>
  <c r="A1204" i="2"/>
  <c r="B1204" i="2"/>
  <c r="C1204" i="2"/>
  <c r="G1204" i="2"/>
  <c r="I1204" i="2"/>
  <c r="U1204" i="2" s="1"/>
  <c r="J1204" i="2"/>
  <c r="T1204" i="2" s="1"/>
  <c r="L1204" i="2"/>
  <c r="M1204" i="2"/>
  <c r="A1205" i="2"/>
  <c r="B1205" i="2"/>
  <c r="C1205" i="2"/>
  <c r="G1205" i="2"/>
  <c r="I1205" i="2"/>
  <c r="J1205" i="2"/>
  <c r="T1205" i="2" s="1"/>
  <c r="L1205" i="2"/>
  <c r="M1205" i="2"/>
  <c r="A1206" i="2"/>
  <c r="B1206" i="2"/>
  <c r="C1206" i="2"/>
  <c r="G1206" i="2"/>
  <c r="I1206" i="2"/>
  <c r="U1206" i="2" s="1"/>
  <c r="J1206" i="2"/>
  <c r="T1206" i="2" s="1"/>
  <c r="L1206" i="2"/>
  <c r="M1206" i="2"/>
  <c r="A1207" i="2"/>
  <c r="B1207" i="2"/>
  <c r="C1207" i="2"/>
  <c r="G1207" i="2"/>
  <c r="I1207" i="2"/>
  <c r="U1207" i="2" s="1"/>
  <c r="J1207" i="2"/>
  <c r="L1207" i="2"/>
  <c r="M1207" i="2"/>
  <c r="A1208" i="2"/>
  <c r="B1208" i="2"/>
  <c r="C1208" i="2"/>
  <c r="G1208" i="2"/>
  <c r="I1208" i="2"/>
  <c r="U1208" i="2" s="1"/>
  <c r="J1208" i="2"/>
  <c r="T1208" i="2" s="1"/>
  <c r="L1208" i="2"/>
  <c r="M1208" i="2"/>
  <c r="A1209" i="2"/>
  <c r="B1209" i="2"/>
  <c r="C1209" i="2"/>
  <c r="G1209" i="2"/>
  <c r="I1209" i="2"/>
  <c r="U1209" i="2" s="1"/>
  <c r="J1209" i="2"/>
  <c r="T1209" i="2" s="1"/>
  <c r="L1209" i="2"/>
  <c r="M1209" i="2"/>
  <c r="A1210" i="2"/>
  <c r="B1210" i="2"/>
  <c r="C1210" i="2"/>
  <c r="G1210" i="2"/>
  <c r="I1210" i="2"/>
  <c r="U1210" i="2" s="1"/>
  <c r="J1210" i="2"/>
  <c r="T1210" i="2" s="1"/>
  <c r="L1210" i="2"/>
  <c r="M1210" i="2"/>
  <c r="A1211" i="2"/>
  <c r="B1211" i="2"/>
  <c r="C1211" i="2"/>
  <c r="G1211" i="2"/>
  <c r="I1211" i="2"/>
  <c r="U1211" i="2" s="1"/>
  <c r="J1211" i="2"/>
  <c r="L1211" i="2"/>
  <c r="M1211" i="2"/>
  <c r="A1212" i="2"/>
  <c r="B1212" i="2"/>
  <c r="C1212" i="2"/>
  <c r="G1212" i="2"/>
  <c r="I1212" i="2"/>
  <c r="J1212" i="2"/>
  <c r="T1212" i="2" s="1"/>
  <c r="L1212" i="2"/>
  <c r="M1212" i="2"/>
  <c r="A1213" i="2"/>
  <c r="B1213" i="2"/>
  <c r="C1213" i="2"/>
  <c r="G1213" i="2"/>
  <c r="I1213" i="2"/>
  <c r="U1213" i="2" s="1"/>
  <c r="J1213" i="2"/>
  <c r="T1213" i="2" s="1"/>
  <c r="L1213" i="2"/>
  <c r="M1213" i="2"/>
  <c r="A1214" i="2"/>
  <c r="B1214" i="2"/>
  <c r="C1214" i="2"/>
  <c r="G1214" i="2"/>
  <c r="I1214" i="2"/>
  <c r="U1214" i="2" s="1"/>
  <c r="J1214" i="2"/>
  <c r="T1214" i="2" s="1"/>
  <c r="L1214" i="2"/>
  <c r="M1214" i="2"/>
  <c r="A1215" i="2"/>
  <c r="B1215" i="2"/>
  <c r="C1215" i="2"/>
  <c r="G1215" i="2"/>
  <c r="I1215" i="2"/>
  <c r="U1215" i="2" s="1"/>
  <c r="J1215" i="2"/>
  <c r="L1215" i="2"/>
  <c r="M1215" i="2"/>
  <c r="A1216" i="2"/>
  <c r="B1216" i="2"/>
  <c r="C1216" i="2"/>
  <c r="G1216" i="2"/>
  <c r="I1216" i="2"/>
  <c r="J1216" i="2"/>
  <c r="T1216" i="2" s="1"/>
  <c r="L1216" i="2"/>
  <c r="M1216" i="2"/>
  <c r="A1217" i="2"/>
  <c r="B1217" i="2"/>
  <c r="C1217" i="2"/>
  <c r="G1217" i="2"/>
  <c r="I1217" i="2"/>
  <c r="U1217" i="2" s="1"/>
  <c r="J1217" i="2"/>
  <c r="T1217" i="2" s="1"/>
  <c r="L1217" i="2"/>
  <c r="M1217" i="2"/>
  <c r="A1218" i="2"/>
  <c r="B1218" i="2"/>
  <c r="C1218" i="2"/>
  <c r="G1218" i="2"/>
  <c r="I1218" i="2"/>
  <c r="U1218" i="2" s="1"/>
  <c r="J1218" i="2"/>
  <c r="T1218" i="2" s="1"/>
  <c r="L1218" i="2"/>
  <c r="M1218" i="2"/>
  <c r="A1219" i="2"/>
  <c r="B1219" i="2"/>
  <c r="C1219" i="2"/>
  <c r="G1219" i="2"/>
  <c r="I1219" i="2"/>
  <c r="U1219" i="2" s="1"/>
  <c r="J1219" i="2"/>
  <c r="L1219" i="2"/>
  <c r="M1219" i="2"/>
  <c r="A1220" i="2"/>
  <c r="B1220" i="2"/>
  <c r="C1220" i="2"/>
  <c r="G1220" i="2"/>
  <c r="I1220" i="2"/>
  <c r="J1220" i="2"/>
  <c r="T1220" i="2" s="1"/>
  <c r="L1220" i="2"/>
  <c r="M1220" i="2"/>
  <c r="A1221" i="2"/>
  <c r="B1221" i="2"/>
  <c r="C1221" i="2"/>
  <c r="G1221" i="2"/>
  <c r="I1221" i="2"/>
  <c r="U1221" i="2" s="1"/>
  <c r="J1221" i="2"/>
  <c r="T1221" i="2" s="1"/>
  <c r="L1221" i="2"/>
  <c r="M1221" i="2"/>
  <c r="A1222" i="2"/>
  <c r="B1222" i="2"/>
  <c r="C1222" i="2"/>
  <c r="G1222" i="2"/>
  <c r="I1222" i="2"/>
  <c r="U1222" i="2" s="1"/>
  <c r="J1222" i="2"/>
  <c r="T1222" i="2" s="1"/>
  <c r="L1222" i="2"/>
  <c r="M1222" i="2"/>
  <c r="A1223" i="2"/>
  <c r="B1223" i="2"/>
  <c r="C1223" i="2"/>
  <c r="G1223" i="2"/>
  <c r="I1223" i="2"/>
  <c r="U1223" i="2" s="1"/>
  <c r="J1223" i="2"/>
  <c r="L1223" i="2"/>
  <c r="M1223" i="2"/>
  <c r="A1224" i="2"/>
  <c r="B1224" i="2"/>
  <c r="C1224" i="2"/>
  <c r="G1224" i="2"/>
  <c r="I1224" i="2"/>
  <c r="J1224" i="2"/>
  <c r="T1224" i="2" s="1"/>
  <c r="L1224" i="2"/>
  <c r="M1224" i="2"/>
  <c r="A1225" i="2"/>
  <c r="B1225" i="2"/>
  <c r="C1225" i="2"/>
  <c r="G1225" i="2"/>
  <c r="I1225" i="2"/>
  <c r="U1225" i="2" s="1"/>
  <c r="J1225" i="2"/>
  <c r="T1225" i="2" s="1"/>
  <c r="L1225" i="2"/>
  <c r="M1225" i="2"/>
  <c r="A1226" i="2"/>
  <c r="B1226" i="2"/>
  <c r="C1226" i="2"/>
  <c r="G1226" i="2"/>
  <c r="I1226" i="2"/>
  <c r="U1226" i="2" s="1"/>
  <c r="J1226" i="2"/>
  <c r="T1226" i="2" s="1"/>
  <c r="L1226" i="2"/>
  <c r="M1226" i="2"/>
  <c r="A1227" i="2"/>
  <c r="B1227" i="2"/>
  <c r="C1227" i="2"/>
  <c r="G1227" i="2"/>
  <c r="I1227" i="2"/>
  <c r="U1227" i="2" s="1"/>
  <c r="J1227" i="2"/>
  <c r="L1227" i="2"/>
  <c r="M1227" i="2"/>
  <c r="A1228" i="2"/>
  <c r="B1228" i="2"/>
  <c r="C1228" i="2"/>
  <c r="G1228" i="2"/>
  <c r="I1228" i="2"/>
  <c r="J1228" i="2"/>
  <c r="T1228" i="2" s="1"/>
  <c r="L1228" i="2"/>
  <c r="M1228" i="2"/>
  <c r="A1229" i="2"/>
  <c r="B1229" i="2"/>
  <c r="C1229" i="2"/>
  <c r="G1229" i="2"/>
  <c r="I1229" i="2"/>
  <c r="U1229" i="2" s="1"/>
  <c r="J1229" i="2"/>
  <c r="T1229" i="2" s="1"/>
  <c r="L1229" i="2"/>
  <c r="M1229" i="2"/>
  <c r="A1230" i="2"/>
  <c r="B1230" i="2"/>
  <c r="C1230" i="2"/>
  <c r="G1230" i="2"/>
  <c r="I1230" i="2"/>
  <c r="U1230" i="2" s="1"/>
  <c r="J1230" i="2"/>
  <c r="T1230" i="2" s="1"/>
  <c r="L1230" i="2"/>
  <c r="M1230" i="2"/>
  <c r="A1231" i="2"/>
  <c r="B1231" i="2"/>
  <c r="C1231" i="2"/>
  <c r="G1231" i="2"/>
  <c r="I1231" i="2"/>
  <c r="U1231" i="2" s="1"/>
  <c r="J1231" i="2"/>
  <c r="L1231" i="2"/>
  <c r="M1231" i="2"/>
  <c r="A1232" i="2"/>
  <c r="B1232" i="2"/>
  <c r="C1232" i="2"/>
  <c r="G1232" i="2"/>
  <c r="I1232" i="2"/>
  <c r="J1232" i="2"/>
  <c r="T1232" i="2" s="1"/>
  <c r="L1232" i="2"/>
  <c r="M1232" i="2"/>
  <c r="A1233" i="2"/>
  <c r="B1233" i="2"/>
  <c r="C1233" i="2"/>
  <c r="G1233" i="2"/>
  <c r="I1233" i="2"/>
  <c r="U1233" i="2" s="1"/>
  <c r="J1233" i="2"/>
  <c r="T1233" i="2" s="1"/>
  <c r="L1233" i="2"/>
  <c r="M1233" i="2"/>
  <c r="A1234" i="2"/>
  <c r="B1234" i="2"/>
  <c r="C1234" i="2"/>
  <c r="G1234" i="2"/>
  <c r="I1234" i="2"/>
  <c r="U1234" i="2" s="1"/>
  <c r="J1234" i="2"/>
  <c r="T1234" i="2" s="1"/>
  <c r="L1234" i="2"/>
  <c r="M1234" i="2"/>
  <c r="A1235" i="2"/>
  <c r="B1235" i="2"/>
  <c r="C1235" i="2"/>
  <c r="G1235" i="2"/>
  <c r="I1235" i="2"/>
  <c r="U1235" i="2" s="1"/>
  <c r="J1235" i="2"/>
  <c r="L1235" i="2"/>
  <c r="M1235" i="2"/>
  <c r="A1236" i="2"/>
  <c r="B1236" i="2"/>
  <c r="C1236" i="2"/>
  <c r="G1236" i="2"/>
  <c r="I1236" i="2"/>
  <c r="J1236" i="2"/>
  <c r="T1236" i="2" s="1"/>
  <c r="L1236" i="2"/>
  <c r="M1236" i="2"/>
  <c r="A1237" i="2"/>
  <c r="B1237" i="2"/>
  <c r="C1237" i="2"/>
  <c r="G1237" i="2"/>
  <c r="I1237" i="2"/>
  <c r="U1237" i="2" s="1"/>
  <c r="J1237" i="2"/>
  <c r="T1237" i="2" s="1"/>
  <c r="L1237" i="2"/>
  <c r="M1237" i="2"/>
  <c r="A1238" i="2"/>
  <c r="B1238" i="2"/>
  <c r="C1238" i="2"/>
  <c r="G1238" i="2"/>
  <c r="I1238" i="2"/>
  <c r="U1238" i="2" s="1"/>
  <c r="J1238" i="2"/>
  <c r="T1238" i="2" s="1"/>
  <c r="L1238" i="2"/>
  <c r="M1238" i="2"/>
  <c r="A1239" i="2"/>
  <c r="B1239" i="2"/>
  <c r="C1239" i="2"/>
  <c r="G1239" i="2"/>
  <c r="I1239" i="2"/>
  <c r="U1239" i="2" s="1"/>
  <c r="J1239" i="2"/>
  <c r="L1239" i="2"/>
  <c r="M1239" i="2"/>
  <c r="A1240" i="2"/>
  <c r="B1240" i="2"/>
  <c r="C1240" i="2"/>
  <c r="G1240" i="2"/>
  <c r="I1240" i="2"/>
  <c r="J1240" i="2"/>
  <c r="T1240" i="2" s="1"/>
  <c r="L1240" i="2"/>
  <c r="M1240" i="2"/>
  <c r="A1241" i="2"/>
  <c r="B1241" i="2"/>
  <c r="C1241" i="2"/>
  <c r="G1241" i="2"/>
  <c r="I1241" i="2"/>
  <c r="U1241" i="2" s="1"/>
  <c r="J1241" i="2"/>
  <c r="T1241" i="2" s="1"/>
  <c r="L1241" i="2"/>
  <c r="M1241" i="2"/>
  <c r="A1242" i="2"/>
  <c r="B1242" i="2"/>
  <c r="C1242" i="2"/>
  <c r="G1242" i="2"/>
  <c r="I1242" i="2"/>
  <c r="U1242" i="2" s="1"/>
  <c r="J1242" i="2"/>
  <c r="T1242" i="2" s="1"/>
  <c r="L1242" i="2"/>
  <c r="M1242" i="2"/>
  <c r="A1243" i="2"/>
  <c r="B1243" i="2"/>
  <c r="C1243" i="2"/>
  <c r="G1243" i="2"/>
  <c r="I1243" i="2"/>
  <c r="U1243" i="2" s="1"/>
  <c r="J1243" i="2"/>
  <c r="L1243" i="2"/>
  <c r="M1243" i="2"/>
  <c r="A1244" i="2"/>
  <c r="B1244" i="2"/>
  <c r="C1244" i="2"/>
  <c r="G1244" i="2"/>
  <c r="I1244" i="2"/>
  <c r="J1244" i="2"/>
  <c r="T1244" i="2" s="1"/>
  <c r="L1244" i="2"/>
  <c r="M1244" i="2"/>
  <c r="A1245" i="2"/>
  <c r="B1245" i="2"/>
  <c r="C1245" i="2"/>
  <c r="G1245" i="2"/>
  <c r="I1245" i="2"/>
  <c r="U1245" i="2" s="1"/>
  <c r="J1245" i="2"/>
  <c r="T1245" i="2" s="1"/>
  <c r="L1245" i="2"/>
  <c r="M1245" i="2"/>
  <c r="A1246" i="2"/>
  <c r="B1246" i="2"/>
  <c r="C1246" i="2"/>
  <c r="G1246" i="2"/>
  <c r="I1246" i="2"/>
  <c r="U1246" i="2" s="1"/>
  <c r="J1246" i="2"/>
  <c r="T1246" i="2" s="1"/>
  <c r="L1246" i="2"/>
  <c r="M1246" i="2"/>
  <c r="A1247" i="2"/>
  <c r="B1247" i="2"/>
  <c r="C1247" i="2"/>
  <c r="G1247" i="2"/>
  <c r="I1247" i="2"/>
  <c r="U1247" i="2" s="1"/>
  <c r="J1247" i="2"/>
  <c r="L1247" i="2"/>
  <c r="M1247" i="2"/>
  <c r="A1248" i="2"/>
  <c r="B1248" i="2"/>
  <c r="C1248" i="2"/>
  <c r="G1248" i="2"/>
  <c r="I1248" i="2"/>
  <c r="J1248" i="2"/>
  <c r="T1248" i="2" s="1"/>
  <c r="L1248" i="2"/>
  <c r="M1248" i="2"/>
  <c r="A1249" i="2"/>
  <c r="B1249" i="2"/>
  <c r="C1249" i="2"/>
  <c r="G1249" i="2"/>
  <c r="I1249" i="2"/>
  <c r="U1249" i="2" s="1"/>
  <c r="J1249" i="2"/>
  <c r="L1249" i="2"/>
  <c r="M1249" i="2"/>
  <c r="A1250" i="2"/>
  <c r="B1250" i="2"/>
  <c r="C1250" i="2"/>
  <c r="G1250" i="2"/>
  <c r="I1250" i="2"/>
  <c r="U1250" i="2" s="1"/>
  <c r="J1250" i="2"/>
  <c r="T1250" i="2" s="1"/>
  <c r="L1250" i="2"/>
  <c r="M1250" i="2"/>
  <c r="A1251" i="2"/>
  <c r="B1251" i="2"/>
  <c r="C1251" i="2"/>
  <c r="G1251" i="2"/>
  <c r="I1251" i="2"/>
  <c r="U1251" i="2" s="1"/>
  <c r="J1251" i="2"/>
  <c r="L1251" i="2"/>
  <c r="M1251" i="2"/>
  <c r="A1252" i="2"/>
  <c r="B1252" i="2"/>
  <c r="C1252" i="2"/>
  <c r="G1252" i="2"/>
  <c r="I1252" i="2"/>
  <c r="J1252" i="2"/>
  <c r="T1252" i="2" s="1"/>
  <c r="L1252" i="2"/>
  <c r="M1252" i="2"/>
  <c r="A1253" i="2"/>
  <c r="B1253" i="2"/>
  <c r="C1253" i="2"/>
  <c r="G1253" i="2"/>
  <c r="I1253" i="2"/>
  <c r="U1253" i="2" s="1"/>
  <c r="J1253" i="2"/>
  <c r="T1253" i="2" s="1"/>
  <c r="L1253" i="2"/>
  <c r="M1253" i="2"/>
  <c r="A1254" i="2"/>
  <c r="B1254" i="2"/>
  <c r="C1254" i="2"/>
  <c r="G1254" i="2"/>
  <c r="I1254" i="2"/>
  <c r="U1254" i="2" s="1"/>
  <c r="J1254" i="2"/>
  <c r="T1254" i="2" s="1"/>
  <c r="L1254" i="2"/>
  <c r="M1254" i="2"/>
  <c r="A1255" i="2"/>
  <c r="B1255" i="2"/>
  <c r="C1255" i="2"/>
  <c r="G1255" i="2"/>
  <c r="I1255" i="2"/>
  <c r="U1255" i="2" s="1"/>
  <c r="J1255" i="2"/>
  <c r="L1255" i="2"/>
  <c r="M1255" i="2"/>
  <c r="A1256" i="2"/>
  <c r="B1256" i="2"/>
  <c r="C1256" i="2"/>
  <c r="G1256" i="2"/>
  <c r="I1256" i="2"/>
  <c r="J1256" i="2"/>
  <c r="T1256" i="2" s="1"/>
  <c r="L1256" i="2"/>
  <c r="M1256" i="2"/>
  <c r="A1257" i="2"/>
  <c r="B1257" i="2"/>
  <c r="C1257" i="2"/>
  <c r="G1257" i="2"/>
  <c r="I1257" i="2"/>
  <c r="U1257" i="2" s="1"/>
  <c r="J1257" i="2"/>
  <c r="T1257" i="2" s="1"/>
  <c r="L1257" i="2"/>
  <c r="M1257" i="2"/>
  <c r="A1258" i="2"/>
  <c r="B1258" i="2"/>
  <c r="C1258" i="2"/>
  <c r="G1258" i="2"/>
  <c r="I1258" i="2"/>
  <c r="U1258" i="2" s="1"/>
  <c r="J1258" i="2"/>
  <c r="T1258" i="2" s="1"/>
  <c r="L1258" i="2"/>
  <c r="M1258" i="2"/>
  <c r="A1259" i="2"/>
  <c r="B1259" i="2"/>
  <c r="C1259" i="2"/>
  <c r="G1259" i="2"/>
  <c r="I1259" i="2"/>
  <c r="U1259" i="2" s="1"/>
  <c r="J1259" i="2"/>
  <c r="L1259" i="2"/>
  <c r="M1259" i="2"/>
  <c r="A1260" i="2"/>
  <c r="B1260" i="2"/>
  <c r="C1260" i="2"/>
  <c r="G1260" i="2"/>
  <c r="I1260" i="2"/>
  <c r="J1260" i="2"/>
  <c r="T1260" i="2" s="1"/>
  <c r="L1260" i="2"/>
  <c r="M1260" i="2"/>
  <c r="A1261" i="2"/>
  <c r="B1261" i="2"/>
  <c r="C1261" i="2"/>
  <c r="G1261" i="2"/>
  <c r="I1261" i="2"/>
  <c r="U1261" i="2" s="1"/>
  <c r="J1261" i="2"/>
  <c r="T1261" i="2" s="1"/>
  <c r="L1261" i="2"/>
  <c r="M1261" i="2"/>
  <c r="A1262" i="2"/>
  <c r="B1262" i="2"/>
  <c r="C1262" i="2"/>
  <c r="G1262" i="2"/>
  <c r="I1262" i="2"/>
  <c r="U1262" i="2" s="1"/>
  <c r="J1262" i="2"/>
  <c r="T1262" i="2" s="1"/>
  <c r="L1262" i="2"/>
  <c r="M1262" i="2"/>
  <c r="A1263" i="2"/>
  <c r="B1263" i="2"/>
  <c r="C1263" i="2"/>
  <c r="G1263" i="2"/>
  <c r="I1263" i="2"/>
  <c r="U1263" i="2" s="1"/>
  <c r="J1263" i="2"/>
  <c r="L1263" i="2"/>
  <c r="M1263" i="2"/>
  <c r="A1264" i="2"/>
  <c r="B1264" i="2"/>
  <c r="C1264" i="2"/>
  <c r="G1264" i="2"/>
  <c r="I1264" i="2"/>
  <c r="J1264" i="2"/>
  <c r="T1264" i="2" s="1"/>
  <c r="L1264" i="2"/>
  <c r="M1264" i="2"/>
  <c r="A1265" i="2"/>
  <c r="B1265" i="2"/>
  <c r="C1265" i="2"/>
  <c r="G1265" i="2"/>
  <c r="I1265" i="2"/>
  <c r="U1265" i="2" s="1"/>
  <c r="J1265" i="2"/>
  <c r="T1265" i="2" s="1"/>
  <c r="L1265" i="2"/>
  <c r="M1265" i="2"/>
  <c r="A1266" i="2"/>
  <c r="B1266" i="2"/>
  <c r="C1266" i="2"/>
  <c r="G1266" i="2"/>
  <c r="I1266" i="2"/>
  <c r="U1266" i="2" s="1"/>
  <c r="J1266" i="2"/>
  <c r="T1266" i="2" s="1"/>
  <c r="L1266" i="2"/>
  <c r="M1266" i="2"/>
  <c r="A1267" i="2"/>
  <c r="B1267" i="2"/>
  <c r="C1267" i="2"/>
  <c r="G1267" i="2"/>
  <c r="I1267" i="2"/>
  <c r="U1267" i="2" s="1"/>
  <c r="J1267" i="2"/>
  <c r="L1267" i="2"/>
  <c r="M1267" i="2"/>
  <c r="A1268" i="2"/>
  <c r="B1268" i="2"/>
  <c r="C1268" i="2"/>
  <c r="G1268" i="2"/>
  <c r="I1268" i="2"/>
  <c r="J1268" i="2"/>
  <c r="T1268" i="2" s="1"/>
  <c r="L1268" i="2"/>
  <c r="M1268" i="2"/>
  <c r="A1269" i="2"/>
  <c r="B1269" i="2"/>
  <c r="C1269" i="2"/>
  <c r="G1269" i="2"/>
  <c r="I1269" i="2"/>
  <c r="U1269" i="2" s="1"/>
  <c r="J1269" i="2"/>
  <c r="T1269" i="2" s="1"/>
  <c r="L1269" i="2"/>
  <c r="M1269" i="2"/>
  <c r="A1270" i="2"/>
  <c r="B1270" i="2"/>
  <c r="C1270" i="2"/>
  <c r="G1270" i="2"/>
  <c r="I1270" i="2"/>
  <c r="U1270" i="2" s="1"/>
  <c r="J1270" i="2"/>
  <c r="T1270" i="2" s="1"/>
  <c r="L1270" i="2"/>
  <c r="M1270" i="2"/>
  <c r="A1271" i="2"/>
  <c r="B1271" i="2"/>
  <c r="C1271" i="2"/>
  <c r="G1271" i="2"/>
  <c r="I1271" i="2"/>
  <c r="U1271" i="2" s="1"/>
  <c r="J1271" i="2"/>
  <c r="L1271" i="2"/>
  <c r="M1271" i="2"/>
  <c r="A1272" i="2"/>
  <c r="B1272" i="2"/>
  <c r="C1272" i="2"/>
  <c r="G1272" i="2"/>
  <c r="I1272" i="2"/>
  <c r="J1272" i="2"/>
  <c r="T1272" i="2" s="1"/>
  <c r="L1272" i="2"/>
  <c r="M1272" i="2"/>
  <c r="A1273" i="2"/>
  <c r="B1273" i="2"/>
  <c r="C1273" i="2"/>
  <c r="G1273" i="2"/>
  <c r="I1273" i="2"/>
  <c r="U1273" i="2" s="1"/>
  <c r="J1273" i="2"/>
  <c r="T1273" i="2" s="1"/>
  <c r="L1273" i="2"/>
  <c r="M1273" i="2"/>
  <c r="A1274" i="2"/>
  <c r="B1274" i="2"/>
  <c r="C1274" i="2"/>
  <c r="G1274" i="2"/>
  <c r="I1274" i="2"/>
  <c r="U1274" i="2" s="1"/>
  <c r="J1274" i="2"/>
  <c r="T1274" i="2" s="1"/>
  <c r="L1274" i="2"/>
  <c r="M1274" i="2"/>
  <c r="A1275" i="2"/>
  <c r="B1275" i="2"/>
  <c r="C1275" i="2"/>
  <c r="G1275" i="2"/>
  <c r="I1275" i="2"/>
  <c r="U1275" i="2" s="1"/>
  <c r="J1275" i="2"/>
  <c r="L1275" i="2"/>
  <c r="M1275" i="2"/>
  <c r="A1276" i="2"/>
  <c r="B1276" i="2"/>
  <c r="C1276" i="2"/>
  <c r="G1276" i="2"/>
  <c r="I1276" i="2"/>
  <c r="J1276" i="2"/>
  <c r="L1276" i="2"/>
  <c r="M1276" i="2"/>
  <c r="A1277" i="2"/>
  <c r="B1277" i="2"/>
  <c r="C1277" i="2"/>
  <c r="G1277" i="2"/>
  <c r="I1277" i="2"/>
  <c r="U1277" i="2" s="1"/>
  <c r="J1277" i="2"/>
  <c r="T1277" i="2" s="1"/>
  <c r="L1277" i="2"/>
  <c r="M1277" i="2"/>
  <c r="A1278" i="2"/>
  <c r="B1278" i="2"/>
  <c r="C1278" i="2"/>
  <c r="G1278" i="2"/>
  <c r="I1278" i="2"/>
  <c r="U1278" i="2" s="1"/>
  <c r="J1278" i="2"/>
  <c r="T1278" i="2" s="1"/>
  <c r="L1278" i="2"/>
  <c r="M1278" i="2"/>
  <c r="A1279" i="2"/>
  <c r="B1279" i="2"/>
  <c r="C1279" i="2"/>
  <c r="G1279" i="2"/>
  <c r="I1279" i="2"/>
  <c r="U1279" i="2" s="1"/>
  <c r="J1279" i="2"/>
  <c r="L1279" i="2"/>
  <c r="M1279" i="2"/>
  <c r="A1280" i="2"/>
  <c r="B1280" i="2"/>
  <c r="C1280" i="2"/>
  <c r="G1280" i="2"/>
  <c r="I1280" i="2"/>
  <c r="J1280" i="2"/>
  <c r="T1280" i="2" s="1"/>
  <c r="L1280" i="2"/>
  <c r="M1280" i="2"/>
  <c r="A1281" i="2"/>
  <c r="B1281" i="2"/>
  <c r="C1281" i="2"/>
  <c r="G1281" i="2"/>
  <c r="I1281" i="2"/>
  <c r="U1281" i="2" s="1"/>
  <c r="J1281" i="2"/>
  <c r="T1281" i="2" s="1"/>
  <c r="L1281" i="2"/>
  <c r="M1281" i="2"/>
  <c r="A1282" i="2"/>
  <c r="B1282" i="2"/>
  <c r="C1282" i="2"/>
  <c r="G1282" i="2"/>
  <c r="I1282" i="2"/>
  <c r="U1282" i="2" s="1"/>
  <c r="J1282" i="2"/>
  <c r="T1282" i="2" s="1"/>
  <c r="L1282" i="2"/>
  <c r="M1282" i="2"/>
  <c r="A1283" i="2"/>
  <c r="B1283" i="2"/>
  <c r="C1283" i="2"/>
  <c r="G1283" i="2"/>
  <c r="I1283" i="2"/>
  <c r="U1283" i="2" s="1"/>
  <c r="J1283" i="2"/>
  <c r="L1283" i="2"/>
  <c r="M1283" i="2"/>
  <c r="A1284" i="2"/>
  <c r="B1284" i="2"/>
  <c r="C1284" i="2"/>
  <c r="G1284" i="2"/>
  <c r="I1284" i="2"/>
  <c r="J1284" i="2"/>
  <c r="T1284" i="2" s="1"/>
  <c r="L1284" i="2"/>
  <c r="M1284" i="2"/>
  <c r="A1285" i="2"/>
  <c r="B1285" i="2"/>
  <c r="C1285" i="2"/>
  <c r="G1285" i="2"/>
  <c r="I1285" i="2"/>
  <c r="U1285" i="2" s="1"/>
  <c r="J1285" i="2"/>
  <c r="T1285" i="2" s="1"/>
  <c r="L1285" i="2"/>
  <c r="M1285" i="2"/>
  <c r="A1286" i="2"/>
  <c r="B1286" i="2"/>
  <c r="C1286" i="2"/>
  <c r="G1286" i="2"/>
  <c r="I1286" i="2"/>
  <c r="U1286" i="2" s="1"/>
  <c r="J1286" i="2"/>
  <c r="T1286" i="2" s="1"/>
  <c r="L1286" i="2"/>
  <c r="M1286" i="2"/>
  <c r="A1287" i="2"/>
  <c r="B1287" i="2"/>
  <c r="C1287" i="2"/>
  <c r="G1287" i="2"/>
  <c r="I1287" i="2"/>
  <c r="U1287" i="2" s="1"/>
  <c r="J1287" i="2"/>
  <c r="L1287" i="2"/>
  <c r="M1287" i="2"/>
  <c r="A1288" i="2"/>
  <c r="B1288" i="2"/>
  <c r="C1288" i="2"/>
  <c r="G1288" i="2"/>
  <c r="I1288" i="2"/>
  <c r="J1288" i="2"/>
  <c r="T1288" i="2" s="1"/>
  <c r="L1288" i="2"/>
  <c r="M1288" i="2"/>
  <c r="A1289" i="2"/>
  <c r="B1289" i="2"/>
  <c r="C1289" i="2"/>
  <c r="G1289" i="2"/>
  <c r="I1289" i="2"/>
  <c r="U1289" i="2" s="1"/>
  <c r="J1289" i="2"/>
  <c r="T1289" i="2" s="1"/>
  <c r="L1289" i="2"/>
  <c r="M1289" i="2"/>
  <c r="A1290" i="2"/>
  <c r="B1290" i="2"/>
  <c r="C1290" i="2"/>
  <c r="G1290" i="2"/>
  <c r="I1290" i="2"/>
  <c r="U1290" i="2" s="1"/>
  <c r="J1290" i="2"/>
  <c r="T1290" i="2" s="1"/>
  <c r="L1290" i="2"/>
  <c r="M1290" i="2"/>
  <c r="A1291" i="2"/>
  <c r="B1291" i="2"/>
  <c r="C1291" i="2"/>
  <c r="G1291" i="2"/>
  <c r="I1291" i="2"/>
  <c r="U1291" i="2" s="1"/>
  <c r="J1291" i="2"/>
  <c r="L1291" i="2"/>
  <c r="M1291" i="2"/>
  <c r="A1292" i="2"/>
  <c r="B1292" i="2"/>
  <c r="C1292" i="2"/>
  <c r="G1292" i="2"/>
  <c r="I1292" i="2"/>
  <c r="J1292" i="2"/>
  <c r="T1292" i="2" s="1"/>
  <c r="L1292" i="2"/>
  <c r="M1292" i="2"/>
  <c r="A1293" i="2"/>
  <c r="B1293" i="2"/>
  <c r="C1293" i="2"/>
  <c r="G1293" i="2"/>
  <c r="I1293" i="2"/>
  <c r="U1293" i="2" s="1"/>
  <c r="J1293" i="2"/>
  <c r="T1293" i="2" s="1"/>
  <c r="L1293" i="2"/>
  <c r="M1293" i="2"/>
  <c r="A1294" i="2"/>
  <c r="B1294" i="2"/>
  <c r="C1294" i="2"/>
  <c r="G1294" i="2"/>
  <c r="I1294" i="2"/>
  <c r="U1294" i="2" s="1"/>
  <c r="J1294" i="2"/>
  <c r="T1294" i="2" s="1"/>
  <c r="L1294" i="2"/>
  <c r="M1294" i="2"/>
  <c r="A1295" i="2"/>
  <c r="B1295" i="2"/>
  <c r="C1295" i="2"/>
  <c r="G1295" i="2"/>
  <c r="I1295" i="2"/>
  <c r="U1295" i="2" s="1"/>
  <c r="J1295" i="2"/>
  <c r="T1295" i="2" s="1"/>
  <c r="L1295" i="2"/>
  <c r="M1295" i="2"/>
  <c r="A1296" i="2"/>
  <c r="B1296" i="2"/>
  <c r="C1296" i="2"/>
  <c r="G1296" i="2"/>
  <c r="I1296" i="2"/>
  <c r="U1296" i="2" s="1"/>
  <c r="J1296" i="2"/>
  <c r="T1296" i="2" s="1"/>
  <c r="L1296" i="2"/>
  <c r="M1296" i="2"/>
  <c r="A1297" i="2"/>
  <c r="B1297" i="2"/>
  <c r="C1297" i="2"/>
  <c r="G1297" i="2"/>
  <c r="I1297" i="2"/>
  <c r="U1297" i="2" s="1"/>
  <c r="J1297" i="2"/>
  <c r="T1297" i="2" s="1"/>
  <c r="L1297" i="2"/>
  <c r="M1297" i="2"/>
  <c r="A1298" i="2"/>
  <c r="B1298" i="2"/>
  <c r="C1298" i="2"/>
  <c r="G1298" i="2"/>
  <c r="I1298" i="2"/>
  <c r="J1298" i="2"/>
  <c r="T1298" i="2" s="1"/>
  <c r="L1298" i="2"/>
  <c r="M1298" i="2"/>
  <c r="A1299" i="2"/>
  <c r="B1299" i="2"/>
  <c r="C1299" i="2"/>
  <c r="G1299" i="2"/>
  <c r="I1299" i="2"/>
  <c r="U1299" i="2" s="1"/>
  <c r="J1299" i="2"/>
  <c r="T1299" i="2" s="1"/>
  <c r="L1299" i="2"/>
  <c r="M1299" i="2"/>
  <c r="A1300" i="2"/>
  <c r="B1300" i="2"/>
  <c r="C1300" i="2"/>
  <c r="G1300" i="2"/>
  <c r="I1300" i="2"/>
  <c r="J1300" i="2"/>
  <c r="T1300" i="2" s="1"/>
  <c r="L1300" i="2"/>
  <c r="M1300" i="2"/>
  <c r="A1301" i="2"/>
  <c r="B1301" i="2"/>
  <c r="C1301" i="2"/>
  <c r="G1301" i="2"/>
  <c r="I1301" i="2"/>
  <c r="U1301" i="2" s="1"/>
  <c r="J1301" i="2"/>
  <c r="T1301" i="2" s="1"/>
  <c r="L1301" i="2"/>
  <c r="M1301" i="2"/>
  <c r="A1302" i="2"/>
  <c r="B1302" i="2"/>
  <c r="C1302" i="2"/>
  <c r="G1302" i="2"/>
  <c r="I1302" i="2"/>
  <c r="U1302" i="2" s="1"/>
  <c r="J1302" i="2"/>
  <c r="T1302" i="2" s="1"/>
  <c r="L1302" i="2"/>
  <c r="M1302" i="2"/>
  <c r="A1303" i="2"/>
  <c r="B1303" i="2"/>
  <c r="C1303" i="2"/>
  <c r="G1303" i="2"/>
  <c r="I1303" i="2"/>
  <c r="J1303" i="2"/>
  <c r="T1303" i="2" s="1"/>
  <c r="L1303" i="2"/>
  <c r="M1303" i="2"/>
  <c r="A1304" i="2"/>
  <c r="B1304" i="2"/>
  <c r="C1304" i="2"/>
  <c r="G1304" i="2"/>
  <c r="I1304" i="2"/>
  <c r="U1304" i="2" s="1"/>
  <c r="J1304" i="2"/>
  <c r="T1304" i="2" s="1"/>
  <c r="L1304" i="2"/>
  <c r="M1304" i="2"/>
  <c r="A1305" i="2"/>
  <c r="B1305" i="2"/>
  <c r="C1305" i="2"/>
  <c r="G1305" i="2"/>
  <c r="I1305" i="2"/>
  <c r="U1305" i="2" s="1"/>
  <c r="J1305" i="2"/>
  <c r="T1305" i="2" s="1"/>
  <c r="L1305" i="2"/>
  <c r="M1305" i="2"/>
  <c r="A1306" i="2"/>
  <c r="B1306" i="2"/>
  <c r="C1306" i="2"/>
  <c r="G1306" i="2"/>
  <c r="I1306" i="2"/>
  <c r="U1306" i="2" s="1"/>
  <c r="J1306" i="2"/>
  <c r="T1306" i="2" s="1"/>
  <c r="L1306" i="2"/>
  <c r="M1306" i="2"/>
  <c r="A1307" i="2"/>
  <c r="B1307" i="2"/>
  <c r="C1307" i="2"/>
  <c r="G1307" i="2"/>
  <c r="I1307" i="2"/>
  <c r="U1307" i="2" s="1"/>
  <c r="J1307" i="2"/>
  <c r="T1307" i="2" s="1"/>
  <c r="L1307" i="2"/>
  <c r="M1307" i="2"/>
  <c r="A1308" i="2"/>
  <c r="B1308" i="2"/>
  <c r="C1308" i="2"/>
  <c r="G1308" i="2"/>
  <c r="I1308" i="2"/>
  <c r="J1308" i="2"/>
  <c r="T1308" i="2" s="1"/>
  <c r="L1308" i="2"/>
  <c r="M1308" i="2"/>
  <c r="A1309" i="2"/>
  <c r="B1309" i="2"/>
  <c r="C1309" i="2"/>
  <c r="G1309" i="2"/>
  <c r="I1309" i="2"/>
  <c r="U1309" i="2" s="1"/>
  <c r="J1309" i="2"/>
  <c r="T1309" i="2" s="1"/>
  <c r="L1309" i="2"/>
  <c r="M1309" i="2"/>
  <c r="A1310" i="2"/>
  <c r="B1310" i="2"/>
  <c r="C1310" i="2"/>
  <c r="G1310" i="2"/>
  <c r="I1310" i="2"/>
  <c r="U1310" i="2" s="1"/>
  <c r="J1310" i="2"/>
  <c r="T1310" i="2" s="1"/>
  <c r="L1310" i="2"/>
  <c r="M1310" i="2"/>
  <c r="A1311" i="2"/>
  <c r="B1311" i="2"/>
  <c r="C1311" i="2"/>
  <c r="G1311" i="2"/>
  <c r="I1311" i="2"/>
  <c r="U1311" i="2" s="1"/>
  <c r="J1311" i="2"/>
  <c r="T1311" i="2" s="1"/>
  <c r="L1311" i="2"/>
  <c r="M1311" i="2"/>
  <c r="A1312" i="2"/>
  <c r="B1312" i="2"/>
  <c r="C1312" i="2"/>
  <c r="G1312" i="2"/>
  <c r="I1312" i="2"/>
  <c r="U1312" i="2" s="1"/>
  <c r="J1312" i="2"/>
  <c r="T1312" i="2" s="1"/>
  <c r="L1312" i="2"/>
  <c r="M1312" i="2"/>
  <c r="A1313" i="2"/>
  <c r="B1313" i="2"/>
  <c r="C1313" i="2"/>
  <c r="G1313" i="2"/>
  <c r="I1313" i="2"/>
  <c r="U1313" i="2" s="1"/>
  <c r="J1313" i="2"/>
  <c r="T1313" i="2" s="1"/>
  <c r="L1313" i="2"/>
  <c r="M1313" i="2"/>
  <c r="A1314" i="2"/>
  <c r="B1314" i="2"/>
  <c r="C1314" i="2"/>
  <c r="G1314" i="2"/>
  <c r="I1314" i="2"/>
  <c r="J1314" i="2"/>
  <c r="T1314" i="2" s="1"/>
  <c r="L1314" i="2"/>
  <c r="M1314" i="2"/>
  <c r="A1315" i="2"/>
  <c r="B1315" i="2"/>
  <c r="C1315" i="2"/>
  <c r="G1315" i="2"/>
  <c r="I1315" i="2"/>
  <c r="U1315" i="2" s="1"/>
  <c r="J1315" i="2"/>
  <c r="T1315" i="2" s="1"/>
  <c r="L1315" i="2"/>
  <c r="M1315" i="2"/>
  <c r="A1316" i="2"/>
  <c r="B1316" i="2"/>
  <c r="C1316" i="2"/>
  <c r="G1316" i="2"/>
  <c r="I1316" i="2"/>
  <c r="U1316" i="2" s="1"/>
  <c r="J1316" i="2"/>
  <c r="T1316" i="2" s="1"/>
  <c r="L1316" i="2"/>
  <c r="M1316" i="2"/>
  <c r="A1317" i="2"/>
  <c r="B1317" i="2"/>
  <c r="C1317" i="2"/>
  <c r="G1317" i="2"/>
  <c r="I1317" i="2"/>
  <c r="U1317" i="2" s="1"/>
  <c r="J1317" i="2"/>
  <c r="T1317" i="2" s="1"/>
  <c r="L1317" i="2"/>
  <c r="M1317" i="2"/>
  <c r="A1318" i="2"/>
  <c r="B1318" i="2"/>
  <c r="C1318" i="2"/>
  <c r="G1318" i="2"/>
  <c r="I1318" i="2"/>
  <c r="U1318" i="2" s="1"/>
  <c r="J1318" i="2"/>
  <c r="T1318" i="2" s="1"/>
  <c r="L1318" i="2"/>
  <c r="M1318" i="2"/>
  <c r="A1319" i="2"/>
  <c r="B1319" i="2"/>
  <c r="C1319" i="2"/>
  <c r="G1319" i="2"/>
  <c r="I1319" i="2"/>
  <c r="J1319" i="2"/>
  <c r="T1319" i="2" s="1"/>
  <c r="L1319" i="2"/>
  <c r="M1319" i="2"/>
  <c r="A1320" i="2"/>
  <c r="B1320" i="2"/>
  <c r="C1320" i="2"/>
  <c r="G1320" i="2"/>
  <c r="I1320" i="2"/>
  <c r="U1320" i="2" s="1"/>
  <c r="J1320" i="2"/>
  <c r="T1320" i="2" s="1"/>
  <c r="L1320" i="2"/>
  <c r="M1320" i="2"/>
  <c r="A1321" i="2"/>
  <c r="B1321" i="2"/>
  <c r="C1321" i="2"/>
  <c r="G1321" i="2"/>
  <c r="I1321" i="2"/>
  <c r="U1321" i="2" s="1"/>
  <c r="J1321" i="2"/>
  <c r="T1321" i="2" s="1"/>
  <c r="L1321" i="2"/>
  <c r="M1321" i="2"/>
  <c r="A1322" i="2"/>
  <c r="B1322" i="2"/>
  <c r="C1322" i="2"/>
  <c r="G1322" i="2"/>
  <c r="I1322" i="2"/>
  <c r="U1322" i="2" s="1"/>
  <c r="J1322" i="2"/>
  <c r="T1322" i="2" s="1"/>
  <c r="L1322" i="2"/>
  <c r="M1322" i="2"/>
  <c r="A1323" i="2"/>
  <c r="B1323" i="2"/>
  <c r="C1323" i="2"/>
  <c r="G1323" i="2"/>
  <c r="I1323" i="2"/>
  <c r="U1323" i="2" s="1"/>
  <c r="J1323" i="2"/>
  <c r="T1323" i="2" s="1"/>
  <c r="L1323" i="2"/>
  <c r="M1323" i="2"/>
  <c r="A1324" i="2"/>
  <c r="B1324" i="2"/>
  <c r="C1324" i="2"/>
  <c r="G1324" i="2"/>
  <c r="I1324" i="2"/>
  <c r="J1324" i="2"/>
  <c r="T1324" i="2" s="1"/>
  <c r="L1324" i="2"/>
  <c r="M1324" i="2"/>
  <c r="A1325" i="2"/>
  <c r="B1325" i="2"/>
  <c r="C1325" i="2"/>
  <c r="G1325" i="2"/>
  <c r="I1325" i="2"/>
  <c r="U1325" i="2" s="1"/>
  <c r="J1325" i="2"/>
  <c r="T1325" i="2" s="1"/>
  <c r="L1325" i="2"/>
  <c r="M1325" i="2"/>
  <c r="A1326" i="2"/>
  <c r="B1326" i="2"/>
  <c r="C1326" i="2"/>
  <c r="G1326" i="2"/>
  <c r="I1326" i="2"/>
  <c r="U1326" i="2" s="1"/>
  <c r="J1326" i="2"/>
  <c r="T1326" i="2" s="1"/>
  <c r="L1326" i="2"/>
  <c r="M1326" i="2"/>
  <c r="A1327" i="2"/>
  <c r="B1327" i="2"/>
  <c r="C1327" i="2"/>
  <c r="G1327" i="2"/>
  <c r="I1327" i="2"/>
  <c r="U1327" i="2" s="1"/>
  <c r="J1327" i="2"/>
  <c r="T1327" i="2" s="1"/>
  <c r="L1327" i="2"/>
  <c r="M1327" i="2"/>
  <c r="A1328" i="2"/>
  <c r="B1328" i="2"/>
  <c r="C1328" i="2"/>
  <c r="G1328" i="2"/>
  <c r="I1328" i="2"/>
  <c r="U1328" i="2" s="1"/>
  <c r="J1328" i="2"/>
  <c r="T1328" i="2" s="1"/>
  <c r="L1328" i="2"/>
  <c r="M1328" i="2"/>
  <c r="A1329" i="2"/>
  <c r="B1329" i="2"/>
  <c r="C1329" i="2"/>
  <c r="G1329" i="2"/>
  <c r="I1329" i="2"/>
  <c r="U1329" i="2" s="1"/>
  <c r="J1329" i="2"/>
  <c r="T1329" i="2" s="1"/>
  <c r="L1329" i="2"/>
  <c r="M1329" i="2"/>
  <c r="A1330" i="2"/>
  <c r="B1330" i="2"/>
  <c r="C1330" i="2"/>
  <c r="G1330" i="2"/>
  <c r="I1330" i="2"/>
  <c r="J1330" i="2"/>
  <c r="T1330" i="2" s="1"/>
  <c r="L1330" i="2"/>
  <c r="M1330" i="2"/>
  <c r="A1331" i="2"/>
  <c r="B1331" i="2"/>
  <c r="C1331" i="2"/>
  <c r="G1331" i="2"/>
  <c r="I1331" i="2"/>
  <c r="U1331" i="2" s="1"/>
  <c r="J1331" i="2"/>
  <c r="T1331" i="2" s="1"/>
  <c r="L1331" i="2"/>
  <c r="M1331" i="2"/>
  <c r="A1332" i="2"/>
  <c r="B1332" i="2"/>
  <c r="C1332" i="2"/>
  <c r="G1332" i="2"/>
  <c r="I1332" i="2"/>
  <c r="U1332" i="2" s="1"/>
  <c r="J1332" i="2"/>
  <c r="T1332" i="2" s="1"/>
  <c r="L1332" i="2"/>
  <c r="M1332" i="2"/>
  <c r="A1333" i="2"/>
  <c r="B1333" i="2"/>
  <c r="C1333" i="2"/>
  <c r="G1333" i="2"/>
  <c r="I1333" i="2"/>
  <c r="U1333" i="2" s="1"/>
  <c r="J1333" i="2"/>
  <c r="T1333" i="2" s="1"/>
  <c r="L1333" i="2"/>
  <c r="M1333" i="2"/>
  <c r="A1334" i="2"/>
  <c r="B1334" i="2"/>
  <c r="C1334" i="2"/>
  <c r="G1334" i="2"/>
  <c r="I1334" i="2"/>
  <c r="U1334" i="2" s="1"/>
  <c r="J1334" i="2"/>
  <c r="T1334" i="2" s="1"/>
  <c r="L1334" i="2"/>
  <c r="M1334" i="2"/>
  <c r="A1335" i="2"/>
  <c r="B1335" i="2"/>
  <c r="C1335" i="2"/>
  <c r="G1335" i="2"/>
  <c r="I1335" i="2"/>
  <c r="J1335" i="2"/>
  <c r="T1335" i="2" s="1"/>
  <c r="L1335" i="2"/>
  <c r="M1335" i="2"/>
  <c r="A1336" i="2"/>
  <c r="B1336" i="2"/>
  <c r="C1336" i="2"/>
  <c r="G1336" i="2"/>
  <c r="I1336" i="2"/>
  <c r="U1336" i="2" s="1"/>
  <c r="J1336" i="2"/>
  <c r="T1336" i="2" s="1"/>
  <c r="L1336" i="2"/>
  <c r="M1336" i="2"/>
  <c r="A1337" i="2"/>
  <c r="B1337" i="2"/>
  <c r="C1337" i="2"/>
  <c r="G1337" i="2"/>
  <c r="I1337" i="2"/>
  <c r="U1337" i="2" s="1"/>
  <c r="J1337" i="2"/>
  <c r="T1337" i="2" s="1"/>
  <c r="L1337" i="2"/>
  <c r="M1337" i="2"/>
  <c r="A1338" i="2"/>
  <c r="B1338" i="2"/>
  <c r="C1338" i="2"/>
  <c r="G1338" i="2"/>
  <c r="I1338" i="2"/>
  <c r="U1338" i="2" s="1"/>
  <c r="J1338" i="2"/>
  <c r="T1338" i="2" s="1"/>
  <c r="L1338" i="2"/>
  <c r="M1338" i="2"/>
  <c r="A1339" i="2"/>
  <c r="B1339" i="2"/>
  <c r="C1339" i="2"/>
  <c r="G1339" i="2"/>
  <c r="I1339" i="2"/>
  <c r="U1339" i="2" s="1"/>
  <c r="J1339" i="2"/>
  <c r="T1339" i="2" s="1"/>
  <c r="L1339" i="2"/>
  <c r="M1339" i="2"/>
  <c r="A1340" i="2"/>
  <c r="B1340" i="2"/>
  <c r="C1340" i="2"/>
  <c r="G1340" i="2"/>
  <c r="I1340" i="2"/>
  <c r="J1340" i="2"/>
  <c r="T1340" i="2" s="1"/>
  <c r="L1340" i="2"/>
  <c r="M1340" i="2"/>
  <c r="A1341" i="2"/>
  <c r="B1341" i="2"/>
  <c r="C1341" i="2"/>
  <c r="G1341" i="2"/>
  <c r="I1341" i="2"/>
  <c r="U1341" i="2" s="1"/>
  <c r="J1341" i="2"/>
  <c r="T1341" i="2" s="1"/>
  <c r="L1341" i="2"/>
  <c r="M1341" i="2"/>
  <c r="A1342" i="2"/>
  <c r="B1342" i="2"/>
  <c r="C1342" i="2"/>
  <c r="G1342" i="2"/>
  <c r="I1342" i="2"/>
  <c r="U1342" i="2" s="1"/>
  <c r="J1342" i="2"/>
  <c r="T1342" i="2" s="1"/>
  <c r="L1342" i="2"/>
  <c r="M1342" i="2"/>
  <c r="A1343" i="2"/>
  <c r="B1343" i="2"/>
  <c r="C1343" i="2"/>
  <c r="G1343" i="2"/>
  <c r="I1343" i="2"/>
  <c r="U1343" i="2" s="1"/>
  <c r="J1343" i="2"/>
  <c r="T1343" i="2" s="1"/>
  <c r="L1343" i="2"/>
  <c r="M1343" i="2"/>
  <c r="A1344" i="2"/>
  <c r="B1344" i="2"/>
  <c r="C1344" i="2"/>
  <c r="G1344" i="2"/>
  <c r="I1344" i="2"/>
  <c r="U1344" i="2" s="1"/>
  <c r="J1344" i="2"/>
  <c r="T1344" i="2" s="1"/>
  <c r="L1344" i="2"/>
  <c r="M1344" i="2"/>
  <c r="A1345" i="2"/>
  <c r="B1345" i="2"/>
  <c r="C1345" i="2"/>
  <c r="G1345" i="2"/>
  <c r="I1345" i="2"/>
  <c r="U1345" i="2" s="1"/>
  <c r="J1345" i="2"/>
  <c r="T1345" i="2" s="1"/>
  <c r="L1345" i="2"/>
  <c r="M1345" i="2"/>
  <c r="A1346" i="2"/>
  <c r="B1346" i="2"/>
  <c r="C1346" i="2"/>
  <c r="G1346" i="2"/>
  <c r="I1346" i="2"/>
  <c r="J1346" i="2"/>
  <c r="T1346" i="2" s="1"/>
  <c r="L1346" i="2"/>
  <c r="M1346" i="2"/>
  <c r="A1347" i="2"/>
  <c r="B1347" i="2"/>
  <c r="C1347" i="2"/>
  <c r="G1347" i="2"/>
  <c r="I1347" i="2"/>
  <c r="U1347" i="2" s="1"/>
  <c r="J1347" i="2"/>
  <c r="T1347" i="2" s="1"/>
  <c r="L1347" i="2"/>
  <c r="M1347" i="2"/>
  <c r="A1348" i="2"/>
  <c r="B1348" i="2"/>
  <c r="C1348" i="2"/>
  <c r="G1348" i="2"/>
  <c r="I1348" i="2"/>
  <c r="U1348" i="2" s="1"/>
  <c r="J1348" i="2"/>
  <c r="T1348" i="2" s="1"/>
  <c r="L1348" i="2"/>
  <c r="M1348" i="2"/>
  <c r="A1349" i="2"/>
  <c r="B1349" i="2"/>
  <c r="C1349" i="2"/>
  <c r="G1349" i="2"/>
  <c r="I1349" i="2"/>
  <c r="U1349" i="2" s="1"/>
  <c r="J1349" i="2"/>
  <c r="T1349" i="2" s="1"/>
  <c r="L1349" i="2"/>
  <c r="M1349" i="2"/>
  <c r="A1350" i="2"/>
  <c r="B1350" i="2"/>
  <c r="C1350" i="2"/>
  <c r="G1350" i="2"/>
  <c r="I1350" i="2"/>
  <c r="U1350" i="2" s="1"/>
  <c r="J1350" i="2"/>
  <c r="T1350" i="2" s="1"/>
  <c r="L1350" i="2"/>
  <c r="M1350" i="2"/>
  <c r="A1351" i="2"/>
  <c r="B1351" i="2"/>
  <c r="C1351" i="2"/>
  <c r="G1351" i="2"/>
  <c r="I1351" i="2"/>
  <c r="J1351" i="2"/>
  <c r="T1351" i="2" s="1"/>
  <c r="L1351" i="2"/>
  <c r="M1351" i="2"/>
  <c r="A1352" i="2"/>
  <c r="B1352" i="2"/>
  <c r="C1352" i="2"/>
  <c r="G1352" i="2"/>
  <c r="I1352" i="2"/>
  <c r="U1352" i="2" s="1"/>
  <c r="J1352" i="2"/>
  <c r="T1352" i="2" s="1"/>
  <c r="L1352" i="2"/>
  <c r="M1352" i="2"/>
  <c r="A1353" i="2"/>
  <c r="B1353" i="2"/>
  <c r="C1353" i="2"/>
  <c r="G1353" i="2"/>
  <c r="I1353" i="2"/>
  <c r="U1353" i="2" s="1"/>
  <c r="J1353" i="2"/>
  <c r="T1353" i="2" s="1"/>
  <c r="L1353" i="2"/>
  <c r="M1353" i="2"/>
  <c r="A1354" i="2"/>
  <c r="B1354" i="2"/>
  <c r="C1354" i="2"/>
  <c r="G1354" i="2"/>
  <c r="I1354" i="2"/>
  <c r="U1354" i="2" s="1"/>
  <c r="J1354" i="2"/>
  <c r="T1354" i="2" s="1"/>
  <c r="L1354" i="2"/>
  <c r="M1354" i="2"/>
  <c r="A1355" i="2"/>
  <c r="B1355" i="2"/>
  <c r="C1355" i="2"/>
  <c r="G1355" i="2"/>
  <c r="I1355" i="2"/>
  <c r="U1355" i="2" s="1"/>
  <c r="J1355" i="2"/>
  <c r="T1355" i="2" s="1"/>
  <c r="L1355" i="2"/>
  <c r="M1355" i="2"/>
  <c r="A1356" i="2"/>
  <c r="B1356" i="2"/>
  <c r="C1356" i="2"/>
  <c r="G1356" i="2"/>
  <c r="I1356" i="2"/>
  <c r="J1356" i="2"/>
  <c r="T1356" i="2" s="1"/>
  <c r="L1356" i="2"/>
  <c r="M1356" i="2"/>
  <c r="A1357" i="2"/>
  <c r="B1357" i="2"/>
  <c r="C1357" i="2"/>
  <c r="G1357" i="2"/>
  <c r="I1357" i="2"/>
  <c r="U1357" i="2" s="1"/>
  <c r="J1357" i="2"/>
  <c r="T1357" i="2" s="1"/>
  <c r="L1357" i="2"/>
  <c r="M1357" i="2"/>
  <c r="A1358" i="2"/>
  <c r="B1358" i="2"/>
  <c r="C1358" i="2"/>
  <c r="G1358" i="2"/>
  <c r="I1358" i="2"/>
  <c r="U1358" i="2" s="1"/>
  <c r="J1358" i="2"/>
  <c r="T1358" i="2" s="1"/>
  <c r="L1358" i="2"/>
  <c r="M1358" i="2"/>
  <c r="A1359" i="2"/>
  <c r="B1359" i="2"/>
  <c r="C1359" i="2"/>
  <c r="G1359" i="2"/>
  <c r="I1359" i="2"/>
  <c r="U1359" i="2" s="1"/>
  <c r="J1359" i="2"/>
  <c r="T1359" i="2" s="1"/>
  <c r="L1359" i="2"/>
  <c r="M1359" i="2"/>
  <c r="A1360" i="2"/>
  <c r="B1360" i="2"/>
  <c r="C1360" i="2"/>
  <c r="G1360" i="2"/>
  <c r="I1360" i="2"/>
  <c r="U1360" i="2" s="1"/>
  <c r="J1360" i="2"/>
  <c r="T1360" i="2" s="1"/>
  <c r="L1360" i="2"/>
  <c r="M1360" i="2"/>
  <c r="A1361" i="2"/>
  <c r="B1361" i="2"/>
  <c r="C1361" i="2"/>
  <c r="G1361" i="2"/>
  <c r="I1361" i="2"/>
  <c r="U1361" i="2" s="1"/>
  <c r="J1361" i="2"/>
  <c r="T1361" i="2" s="1"/>
  <c r="L1361" i="2"/>
  <c r="M1361" i="2"/>
  <c r="A1362" i="2"/>
  <c r="B1362" i="2"/>
  <c r="C1362" i="2"/>
  <c r="G1362" i="2"/>
  <c r="I1362" i="2"/>
  <c r="J1362" i="2"/>
  <c r="T1362" i="2" s="1"/>
  <c r="L1362" i="2"/>
  <c r="M1362" i="2"/>
  <c r="A1363" i="2"/>
  <c r="B1363" i="2"/>
  <c r="C1363" i="2"/>
  <c r="G1363" i="2"/>
  <c r="I1363" i="2"/>
  <c r="U1363" i="2" s="1"/>
  <c r="J1363" i="2"/>
  <c r="L1363" i="2"/>
  <c r="M1363" i="2"/>
  <c r="A1364" i="2"/>
  <c r="B1364" i="2"/>
  <c r="C1364" i="2"/>
  <c r="G1364" i="2"/>
  <c r="I1364" i="2"/>
  <c r="U1364" i="2" s="1"/>
  <c r="J1364" i="2"/>
  <c r="T1364" i="2" s="1"/>
  <c r="L1364" i="2"/>
  <c r="M1364" i="2"/>
  <c r="A1365" i="2"/>
  <c r="B1365" i="2"/>
  <c r="C1365" i="2"/>
  <c r="G1365" i="2"/>
  <c r="I1365" i="2"/>
  <c r="U1365" i="2" s="1"/>
  <c r="J1365" i="2"/>
  <c r="T1365" i="2" s="1"/>
  <c r="L1365" i="2"/>
  <c r="M1365" i="2"/>
  <c r="A1366" i="2"/>
  <c r="B1366" i="2"/>
  <c r="C1366" i="2"/>
  <c r="G1366" i="2"/>
  <c r="I1366" i="2"/>
  <c r="U1366" i="2" s="1"/>
  <c r="J1366" i="2"/>
  <c r="T1366" i="2" s="1"/>
  <c r="L1366" i="2"/>
  <c r="M1366" i="2"/>
  <c r="A1367" i="2"/>
  <c r="B1367" i="2"/>
  <c r="C1367" i="2"/>
  <c r="G1367" i="2"/>
  <c r="I1367" i="2"/>
  <c r="J1367" i="2"/>
  <c r="T1367" i="2" s="1"/>
  <c r="L1367" i="2"/>
  <c r="M1367" i="2"/>
  <c r="A1368" i="2"/>
  <c r="B1368" i="2"/>
  <c r="C1368" i="2"/>
  <c r="G1368" i="2"/>
  <c r="I1368" i="2"/>
  <c r="U1368" i="2" s="1"/>
  <c r="J1368" i="2"/>
  <c r="T1368" i="2" s="1"/>
  <c r="L1368" i="2"/>
  <c r="M1368" i="2"/>
  <c r="A1369" i="2"/>
  <c r="B1369" i="2"/>
  <c r="C1369" i="2"/>
  <c r="G1369" i="2"/>
  <c r="I1369" i="2"/>
  <c r="U1369" i="2" s="1"/>
  <c r="J1369" i="2"/>
  <c r="T1369" i="2" s="1"/>
  <c r="L1369" i="2"/>
  <c r="M1369" i="2"/>
  <c r="A1370" i="2"/>
  <c r="B1370" i="2"/>
  <c r="C1370" i="2"/>
  <c r="G1370" i="2"/>
  <c r="I1370" i="2"/>
  <c r="U1370" i="2" s="1"/>
  <c r="J1370" i="2"/>
  <c r="T1370" i="2" s="1"/>
  <c r="L1370" i="2"/>
  <c r="M1370" i="2"/>
  <c r="A1371" i="2"/>
  <c r="B1371" i="2"/>
  <c r="C1371" i="2"/>
  <c r="G1371" i="2"/>
  <c r="I1371" i="2"/>
  <c r="U1371" i="2" s="1"/>
  <c r="J1371" i="2"/>
  <c r="T1371" i="2" s="1"/>
  <c r="L1371" i="2"/>
  <c r="M1371" i="2"/>
  <c r="A1372" i="2"/>
  <c r="B1372" i="2"/>
  <c r="C1372" i="2"/>
  <c r="G1372" i="2"/>
  <c r="I1372" i="2"/>
  <c r="J1372" i="2"/>
  <c r="T1372" i="2" s="1"/>
  <c r="L1372" i="2"/>
  <c r="M1372" i="2"/>
  <c r="A1373" i="2"/>
  <c r="B1373" i="2"/>
  <c r="C1373" i="2"/>
  <c r="G1373" i="2"/>
  <c r="I1373" i="2"/>
  <c r="U1373" i="2" s="1"/>
  <c r="J1373" i="2"/>
  <c r="T1373" i="2" s="1"/>
  <c r="L1373" i="2"/>
  <c r="M1373" i="2"/>
  <c r="A1374" i="2"/>
  <c r="B1374" i="2"/>
  <c r="C1374" i="2"/>
  <c r="G1374" i="2"/>
  <c r="I1374" i="2"/>
  <c r="U1374" i="2" s="1"/>
  <c r="J1374" i="2"/>
  <c r="T1374" i="2" s="1"/>
  <c r="L1374" i="2"/>
  <c r="M1374" i="2"/>
  <c r="A1375" i="2"/>
  <c r="B1375" i="2"/>
  <c r="C1375" i="2"/>
  <c r="G1375" i="2"/>
  <c r="I1375" i="2"/>
  <c r="U1375" i="2" s="1"/>
  <c r="J1375" i="2"/>
  <c r="T1375" i="2" s="1"/>
  <c r="L1375" i="2"/>
  <c r="M1375" i="2"/>
  <c r="A1376" i="2"/>
  <c r="B1376" i="2"/>
  <c r="C1376" i="2"/>
  <c r="G1376" i="2"/>
  <c r="I1376" i="2"/>
  <c r="U1376" i="2" s="1"/>
  <c r="J1376" i="2"/>
  <c r="T1376" i="2" s="1"/>
  <c r="L1376" i="2"/>
  <c r="M1376" i="2"/>
  <c r="A1377" i="2"/>
  <c r="B1377" i="2"/>
  <c r="C1377" i="2"/>
  <c r="G1377" i="2"/>
  <c r="I1377" i="2"/>
  <c r="U1377" i="2" s="1"/>
  <c r="J1377" i="2"/>
  <c r="T1377" i="2" s="1"/>
  <c r="L1377" i="2"/>
  <c r="M1377" i="2"/>
  <c r="A1378" i="2"/>
  <c r="B1378" i="2"/>
  <c r="C1378" i="2"/>
  <c r="G1378" i="2"/>
  <c r="I1378" i="2"/>
  <c r="J1378" i="2"/>
  <c r="T1378" i="2" s="1"/>
  <c r="L1378" i="2"/>
  <c r="M1378" i="2"/>
  <c r="A1379" i="2"/>
  <c r="B1379" i="2"/>
  <c r="C1379" i="2"/>
  <c r="G1379" i="2"/>
  <c r="I1379" i="2"/>
  <c r="U1379" i="2" s="1"/>
  <c r="J1379" i="2"/>
  <c r="T1379" i="2" s="1"/>
  <c r="L1379" i="2"/>
  <c r="M1379" i="2"/>
  <c r="A1380" i="2"/>
  <c r="B1380" i="2"/>
  <c r="C1380" i="2"/>
  <c r="G1380" i="2"/>
  <c r="I1380" i="2"/>
  <c r="U1380" i="2" s="1"/>
  <c r="J1380" i="2"/>
  <c r="T1380" i="2" s="1"/>
  <c r="L1380" i="2"/>
  <c r="M1380" i="2"/>
  <c r="A1381" i="2"/>
  <c r="B1381" i="2"/>
  <c r="C1381" i="2"/>
  <c r="G1381" i="2"/>
  <c r="I1381" i="2"/>
  <c r="U1381" i="2" s="1"/>
  <c r="J1381" i="2"/>
  <c r="T1381" i="2" s="1"/>
  <c r="L1381" i="2"/>
  <c r="M1381" i="2"/>
  <c r="A1382" i="2"/>
  <c r="B1382" i="2"/>
  <c r="C1382" i="2"/>
  <c r="G1382" i="2"/>
  <c r="I1382" i="2"/>
  <c r="U1382" i="2" s="1"/>
  <c r="J1382" i="2"/>
  <c r="T1382" i="2" s="1"/>
  <c r="L1382" i="2"/>
  <c r="M1382" i="2"/>
  <c r="A1383" i="2"/>
  <c r="B1383" i="2"/>
  <c r="C1383" i="2"/>
  <c r="G1383" i="2"/>
  <c r="I1383" i="2"/>
  <c r="J1383" i="2"/>
  <c r="T1383" i="2" s="1"/>
  <c r="L1383" i="2"/>
  <c r="M1383" i="2"/>
  <c r="A1384" i="2"/>
  <c r="B1384" i="2"/>
  <c r="C1384" i="2"/>
  <c r="G1384" i="2"/>
  <c r="I1384" i="2"/>
  <c r="U1384" i="2" s="1"/>
  <c r="J1384" i="2"/>
  <c r="T1384" i="2" s="1"/>
  <c r="L1384" i="2"/>
  <c r="M1384" i="2"/>
  <c r="A1385" i="2"/>
  <c r="B1385" i="2"/>
  <c r="C1385" i="2"/>
  <c r="G1385" i="2"/>
  <c r="I1385" i="2"/>
  <c r="U1385" i="2" s="1"/>
  <c r="J1385" i="2"/>
  <c r="T1385" i="2" s="1"/>
  <c r="L1385" i="2"/>
  <c r="M1385" i="2"/>
  <c r="A1386" i="2"/>
  <c r="B1386" i="2"/>
  <c r="C1386" i="2"/>
  <c r="G1386" i="2"/>
  <c r="I1386" i="2"/>
  <c r="U1386" i="2" s="1"/>
  <c r="J1386" i="2"/>
  <c r="T1386" i="2" s="1"/>
  <c r="L1386" i="2"/>
  <c r="M1386" i="2"/>
  <c r="A1387" i="2"/>
  <c r="B1387" i="2"/>
  <c r="C1387" i="2"/>
  <c r="G1387" i="2"/>
  <c r="I1387" i="2"/>
  <c r="U1387" i="2" s="1"/>
  <c r="J1387" i="2"/>
  <c r="T1387" i="2" s="1"/>
  <c r="L1387" i="2"/>
  <c r="M1387" i="2"/>
  <c r="A1388" i="2"/>
  <c r="B1388" i="2"/>
  <c r="C1388" i="2"/>
  <c r="G1388" i="2"/>
  <c r="I1388" i="2"/>
  <c r="J1388" i="2"/>
  <c r="T1388" i="2" s="1"/>
  <c r="L1388" i="2"/>
  <c r="M1388" i="2"/>
  <c r="A1389" i="2"/>
  <c r="B1389" i="2"/>
  <c r="C1389" i="2"/>
  <c r="G1389" i="2"/>
  <c r="I1389" i="2"/>
  <c r="U1389" i="2" s="1"/>
  <c r="J1389" i="2"/>
  <c r="T1389" i="2" s="1"/>
  <c r="L1389" i="2"/>
  <c r="M1389" i="2"/>
  <c r="A1390" i="2"/>
  <c r="B1390" i="2"/>
  <c r="C1390" i="2"/>
  <c r="G1390" i="2"/>
  <c r="I1390" i="2"/>
  <c r="U1390" i="2" s="1"/>
  <c r="J1390" i="2"/>
  <c r="T1390" i="2" s="1"/>
  <c r="L1390" i="2"/>
  <c r="M1390" i="2"/>
  <c r="A1391" i="2"/>
  <c r="B1391" i="2"/>
  <c r="C1391" i="2"/>
  <c r="G1391" i="2"/>
  <c r="I1391" i="2"/>
  <c r="U1391" i="2" s="1"/>
  <c r="J1391" i="2"/>
  <c r="T1391" i="2" s="1"/>
  <c r="L1391" i="2"/>
  <c r="M1391" i="2"/>
  <c r="A1392" i="2"/>
  <c r="B1392" i="2"/>
  <c r="C1392" i="2"/>
  <c r="G1392" i="2"/>
  <c r="I1392" i="2"/>
  <c r="U1392" i="2" s="1"/>
  <c r="J1392" i="2"/>
  <c r="T1392" i="2" s="1"/>
  <c r="L1392" i="2"/>
  <c r="M1392" i="2"/>
  <c r="A1393" i="2"/>
  <c r="B1393" i="2"/>
  <c r="C1393" i="2"/>
  <c r="G1393" i="2"/>
  <c r="I1393" i="2"/>
  <c r="U1393" i="2" s="1"/>
  <c r="J1393" i="2"/>
  <c r="T1393" i="2" s="1"/>
  <c r="L1393" i="2"/>
  <c r="M1393" i="2"/>
  <c r="A1394" i="2"/>
  <c r="B1394" i="2"/>
  <c r="C1394" i="2"/>
  <c r="G1394" i="2"/>
  <c r="I1394" i="2"/>
  <c r="J1394" i="2"/>
  <c r="T1394" i="2" s="1"/>
  <c r="L1394" i="2"/>
  <c r="M1394" i="2"/>
  <c r="A1395" i="2"/>
  <c r="B1395" i="2"/>
  <c r="C1395" i="2"/>
  <c r="G1395" i="2"/>
  <c r="I1395" i="2"/>
  <c r="U1395" i="2" s="1"/>
  <c r="J1395" i="2"/>
  <c r="T1395" i="2" s="1"/>
  <c r="L1395" i="2"/>
  <c r="M1395" i="2"/>
  <c r="A1396" i="2"/>
  <c r="B1396" i="2"/>
  <c r="C1396" i="2"/>
  <c r="G1396" i="2"/>
  <c r="I1396" i="2"/>
  <c r="U1396" i="2" s="1"/>
  <c r="J1396" i="2"/>
  <c r="T1396" i="2" s="1"/>
  <c r="L1396" i="2"/>
  <c r="M1396" i="2"/>
  <c r="A1397" i="2"/>
  <c r="B1397" i="2"/>
  <c r="C1397" i="2"/>
  <c r="G1397" i="2"/>
  <c r="I1397" i="2"/>
  <c r="U1397" i="2" s="1"/>
  <c r="J1397" i="2"/>
  <c r="T1397" i="2" s="1"/>
  <c r="L1397" i="2"/>
  <c r="M1397" i="2"/>
  <c r="A1398" i="2"/>
  <c r="B1398" i="2"/>
  <c r="C1398" i="2"/>
  <c r="G1398" i="2"/>
  <c r="I1398" i="2"/>
  <c r="U1398" i="2" s="1"/>
  <c r="J1398" i="2"/>
  <c r="T1398" i="2" s="1"/>
  <c r="L1398" i="2"/>
  <c r="M1398" i="2"/>
  <c r="A1399" i="2"/>
  <c r="B1399" i="2"/>
  <c r="C1399" i="2"/>
  <c r="G1399" i="2"/>
  <c r="I1399" i="2"/>
  <c r="U1399" i="2" s="1"/>
  <c r="J1399" i="2"/>
  <c r="T1399" i="2" s="1"/>
  <c r="L1399" i="2"/>
  <c r="M1399" i="2"/>
  <c r="A1400" i="2"/>
  <c r="B1400" i="2"/>
  <c r="C1400" i="2"/>
  <c r="G1400" i="2"/>
  <c r="I1400" i="2"/>
  <c r="U1400" i="2" s="1"/>
  <c r="J1400" i="2"/>
  <c r="T1400" i="2" s="1"/>
  <c r="L1400" i="2"/>
  <c r="M1400" i="2"/>
  <c r="A1401" i="2"/>
  <c r="B1401" i="2"/>
  <c r="C1401" i="2"/>
  <c r="G1401" i="2"/>
  <c r="I1401" i="2"/>
  <c r="U1401" i="2" s="1"/>
  <c r="J1401" i="2"/>
  <c r="T1401" i="2" s="1"/>
  <c r="L1401" i="2"/>
  <c r="M1401" i="2"/>
  <c r="A1402" i="2"/>
  <c r="B1402" i="2"/>
  <c r="C1402" i="2"/>
  <c r="G1402" i="2"/>
  <c r="I1402" i="2"/>
  <c r="U1402" i="2" s="1"/>
  <c r="J1402" i="2"/>
  <c r="T1402" i="2" s="1"/>
  <c r="L1402" i="2"/>
  <c r="M1402" i="2"/>
  <c r="A1403" i="2"/>
  <c r="B1403" i="2"/>
  <c r="C1403" i="2"/>
  <c r="G1403" i="2"/>
  <c r="I1403" i="2"/>
  <c r="U1403" i="2" s="1"/>
  <c r="J1403" i="2"/>
  <c r="T1403" i="2" s="1"/>
  <c r="L1403" i="2"/>
  <c r="M1403" i="2"/>
  <c r="A1404" i="2"/>
  <c r="B1404" i="2"/>
  <c r="C1404" i="2"/>
  <c r="G1404" i="2"/>
  <c r="I1404" i="2"/>
  <c r="J1404" i="2"/>
  <c r="T1404" i="2" s="1"/>
  <c r="L1404" i="2"/>
  <c r="M1404" i="2"/>
  <c r="A1405" i="2"/>
  <c r="B1405" i="2"/>
  <c r="C1405" i="2"/>
  <c r="G1405" i="2"/>
  <c r="I1405" i="2"/>
  <c r="U1405" i="2" s="1"/>
  <c r="J1405" i="2"/>
  <c r="T1405" i="2" s="1"/>
  <c r="L1405" i="2"/>
  <c r="M1405" i="2"/>
  <c r="A1406" i="2"/>
  <c r="B1406" i="2"/>
  <c r="C1406" i="2"/>
  <c r="G1406" i="2"/>
  <c r="I1406" i="2"/>
  <c r="U1406" i="2" s="1"/>
  <c r="J1406" i="2"/>
  <c r="T1406" i="2" s="1"/>
  <c r="L1406" i="2"/>
  <c r="M1406" i="2"/>
  <c r="A1407" i="2"/>
  <c r="B1407" i="2"/>
  <c r="C1407" i="2"/>
  <c r="G1407" i="2"/>
  <c r="I1407" i="2"/>
  <c r="J1407" i="2"/>
  <c r="L1407" i="2"/>
  <c r="M1407" i="2"/>
  <c r="A1408" i="2"/>
  <c r="B1408" i="2"/>
  <c r="C1408" i="2"/>
  <c r="G1408" i="2"/>
  <c r="I1408" i="2"/>
  <c r="U1408" i="2" s="1"/>
  <c r="J1408" i="2"/>
  <c r="T1408" i="2" s="1"/>
  <c r="L1408" i="2"/>
  <c r="M1408" i="2"/>
  <c r="A1409" i="2"/>
  <c r="B1409" i="2"/>
  <c r="C1409" i="2"/>
  <c r="G1409" i="2"/>
  <c r="I1409" i="2"/>
  <c r="U1409" i="2" s="1"/>
  <c r="J1409" i="2"/>
  <c r="T1409" i="2" s="1"/>
  <c r="L1409" i="2"/>
  <c r="M1409" i="2"/>
  <c r="A1410" i="2"/>
  <c r="B1410" i="2"/>
  <c r="C1410" i="2"/>
  <c r="G1410" i="2"/>
  <c r="I1410" i="2"/>
  <c r="U1410" i="2" s="1"/>
  <c r="J1410" i="2"/>
  <c r="T1410" i="2" s="1"/>
  <c r="L1410" i="2"/>
  <c r="M1410" i="2"/>
  <c r="A1411" i="2"/>
  <c r="B1411" i="2"/>
  <c r="C1411" i="2"/>
  <c r="G1411" i="2"/>
  <c r="I1411" i="2"/>
  <c r="U1411" i="2" s="1"/>
  <c r="J1411" i="2"/>
  <c r="T1411" i="2" s="1"/>
  <c r="L1411" i="2"/>
  <c r="M1411" i="2"/>
  <c r="A1412" i="2"/>
  <c r="B1412" i="2"/>
  <c r="C1412" i="2"/>
  <c r="G1412" i="2"/>
  <c r="I1412" i="2"/>
  <c r="J1412" i="2"/>
  <c r="T1412" i="2" s="1"/>
  <c r="L1412" i="2"/>
  <c r="M1412" i="2"/>
  <c r="A1413" i="2"/>
  <c r="B1413" i="2"/>
  <c r="C1413" i="2"/>
  <c r="G1413" i="2"/>
  <c r="I1413" i="2"/>
  <c r="U1413" i="2" s="1"/>
  <c r="J1413" i="2"/>
  <c r="T1413" i="2" s="1"/>
  <c r="L1413" i="2"/>
  <c r="M1413" i="2"/>
  <c r="A1414" i="2"/>
  <c r="B1414" i="2"/>
  <c r="C1414" i="2"/>
  <c r="G1414" i="2"/>
  <c r="I1414" i="2"/>
  <c r="U1414" i="2" s="1"/>
  <c r="J1414" i="2"/>
  <c r="T1414" i="2" s="1"/>
  <c r="L1414" i="2"/>
  <c r="M1414" i="2"/>
  <c r="A1415" i="2"/>
  <c r="B1415" i="2"/>
  <c r="C1415" i="2"/>
  <c r="G1415" i="2"/>
  <c r="I1415" i="2"/>
  <c r="J1415" i="2"/>
  <c r="L1415" i="2"/>
  <c r="M1415" i="2"/>
  <c r="A1416" i="2"/>
  <c r="B1416" i="2"/>
  <c r="C1416" i="2"/>
  <c r="G1416" i="2"/>
  <c r="I1416" i="2"/>
  <c r="U1416" i="2" s="1"/>
  <c r="J1416" i="2"/>
  <c r="T1416" i="2" s="1"/>
  <c r="L1416" i="2"/>
  <c r="M1416" i="2"/>
  <c r="A1417" i="2"/>
  <c r="B1417" i="2"/>
  <c r="C1417" i="2"/>
  <c r="G1417" i="2"/>
  <c r="I1417" i="2"/>
  <c r="U1417" i="2" s="1"/>
  <c r="J1417" i="2"/>
  <c r="T1417" i="2" s="1"/>
  <c r="L1417" i="2"/>
  <c r="M1417" i="2"/>
  <c r="A1418" i="2"/>
  <c r="B1418" i="2"/>
  <c r="C1418" i="2"/>
  <c r="G1418" i="2"/>
  <c r="I1418" i="2"/>
  <c r="U1418" i="2" s="1"/>
  <c r="J1418" i="2"/>
  <c r="T1418" i="2" s="1"/>
  <c r="L1418" i="2"/>
  <c r="M1418" i="2"/>
  <c r="A1419" i="2"/>
  <c r="B1419" i="2"/>
  <c r="C1419" i="2"/>
  <c r="G1419" i="2"/>
  <c r="I1419" i="2"/>
  <c r="U1419" i="2" s="1"/>
  <c r="J1419" i="2"/>
  <c r="L1419" i="2"/>
  <c r="M1419" i="2"/>
  <c r="A1420" i="2"/>
  <c r="B1420" i="2"/>
  <c r="C1420" i="2"/>
  <c r="G1420" i="2"/>
  <c r="I1420" i="2"/>
  <c r="J1420" i="2"/>
  <c r="T1420" i="2" s="1"/>
  <c r="L1420" i="2"/>
  <c r="M1420" i="2"/>
  <c r="A1421" i="2"/>
  <c r="B1421" i="2"/>
  <c r="C1421" i="2"/>
  <c r="G1421" i="2"/>
  <c r="I1421" i="2"/>
  <c r="U1421" i="2" s="1"/>
  <c r="J1421" i="2"/>
  <c r="T1421" i="2" s="1"/>
  <c r="L1421" i="2"/>
  <c r="M1421" i="2"/>
  <c r="A1422" i="2"/>
  <c r="B1422" i="2"/>
  <c r="C1422" i="2"/>
  <c r="G1422" i="2"/>
  <c r="I1422" i="2"/>
  <c r="U1422" i="2" s="1"/>
  <c r="J1422" i="2"/>
  <c r="T1422" i="2" s="1"/>
  <c r="L1422" i="2"/>
  <c r="M1422" i="2"/>
  <c r="A1423" i="2"/>
  <c r="B1423" i="2"/>
  <c r="C1423" i="2"/>
  <c r="G1423" i="2"/>
  <c r="I1423" i="2"/>
  <c r="U1423" i="2" s="1"/>
  <c r="J1423" i="2"/>
  <c r="T1423" i="2" s="1"/>
  <c r="L1423" i="2"/>
  <c r="M1423" i="2"/>
  <c r="A1424" i="2"/>
  <c r="B1424" i="2"/>
  <c r="C1424" i="2"/>
  <c r="G1424" i="2"/>
  <c r="I1424" i="2"/>
  <c r="U1424" i="2" s="1"/>
  <c r="J1424" i="2"/>
  <c r="T1424" i="2" s="1"/>
  <c r="L1424" i="2"/>
  <c r="M1424" i="2"/>
  <c r="A1425" i="2"/>
  <c r="B1425" i="2"/>
  <c r="C1425" i="2"/>
  <c r="G1425" i="2"/>
  <c r="I1425" i="2"/>
  <c r="U1425" i="2" s="1"/>
  <c r="J1425" i="2"/>
  <c r="T1425" i="2" s="1"/>
  <c r="L1425" i="2"/>
  <c r="M1425" i="2"/>
  <c r="A1426" i="2"/>
  <c r="B1426" i="2"/>
  <c r="C1426" i="2"/>
  <c r="G1426" i="2"/>
  <c r="I1426" i="2"/>
  <c r="U1426" i="2" s="1"/>
  <c r="J1426" i="2"/>
  <c r="T1426" i="2" s="1"/>
  <c r="L1426" i="2"/>
  <c r="M1426" i="2"/>
  <c r="A1427" i="2"/>
  <c r="B1427" i="2"/>
  <c r="C1427" i="2"/>
  <c r="G1427" i="2"/>
  <c r="I1427" i="2"/>
  <c r="U1427" i="2" s="1"/>
  <c r="J1427" i="2"/>
  <c r="L1427" i="2"/>
  <c r="M1427" i="2"/>
  <c r="A1428" i="2"/>
  <c r="B1428" i="2"/>
  <c r="C1428" i="2"/>
  <c r="G1428" i="2"/>
  <c r="I1428" i="2"/>
  <c r="J1428" i="2"/>
  <c r="T1428" i="2" s="1"/>
  <c r="L1428" i="2"/>
  <c r="M1428" i="2"/>
  <c r="A1429" i="2"/>
  <c r="B1429" i="2"/>
  <c r="C1429" i="2"/>
  <c r="G1429" i="2"/>
  <c r="I1429" i="2"/>
  <c r="U1429" i="2" s="1"/>
  <c r="J1429" i="2"/>
  <c r="T1429" i="2" s="1"/>
  <c r="L1429" i="2"/>
  <c r="M1429" i="2"/>
  <c r="A1430" i="2"/>
  <c r="B1430" i="2"/>
  <c r="C1430" i="2"/>
  <c r="G1430" i="2"/>
  <c r="I1430" i="2"/>
  <c r="U1430" i="2" s="1"/>
  <c r="J1430" i="2"/>
  <c r="T1430" i="2" s="1"/>
  <c r="L1430" i="2"/>
  <c r="M1430" i="2"/>
  <c r="A1431" i="2"/>
  <c r="B1431" i="2"/>
  <c r="C1431" i="2"/>
  <c r="G1431" i="2"/>
  <c r="I1431" i="2"/>
  <c r="J1431" i="2"/>
  <c r="T1431" i="2" s="1"/>
  <c r="L1431" i="2"/>
  <c r="M1431" i="2"/>
  <c r="A1432" i="2"/>
  <c r="B1432" i="2"/>
  <c r="C1432" i="2"/>
  <c r="G1432" i="2"/>
  <c r="I1432" i="2"/>
  <c r="U1432" i="2" s="1"/>
  <c r="J1432" i="2"/>
  <c r="T1432" i="2" s="1"/>
  <c r="L1432" i="2"/>
  <c r="M1432" i="2"/>
  <c r="A1433" i="2"/>
  <c r="B1433" i="2"/>
  <c r="C1433" i="2"/>
  <c r="G1433" i="2"/>
  <c r="I1433" i="2"/>
  <c r="U1433" i="2" s="1"/>
  <c r="J1433" i="2"/>
  <c r="T1433" i="2" s="1"/>
  <c r="L1433" i="2"/>
  <c r="M1433" i="2"/>
  <c r="A1434" i="2"/>
  <c r="B1434" i="2"/>
  <c r="C1434" i="2"/>
  <c r="G1434" i="2"/>
  <c r="I1434" i="2"/>
  <c r="J1434" i="2"/>
  <c r="T1434" i="2" s="1"/>
  <c r="L1434" i="2"/>
  <c r="M1434" i="2"/>
  <c r="A1435" i="2"/>
  <c r="B1435" i="2"/>
  <c r="C1435" i="2"/>
  <c r="G1435" i="2"/>
  <c r="I1435" i="2"/>
  <c r="J1435" i="2"/>
  <c r="T1435" i="2" s="1"/>
  <c r="L1435" i="2"/>
  <c r="M1435" i="2"/>
  <c r="A1436" i="2"/>
  <c r="B1436" i="2"/>
  <c r="C1436" i="2"/>
  <c r="G1436" i="2"/>
  <c r="I1436" i="2"/>
  <c r="U1436" i="2" s="1"/>
  <c r="J1436" i="2"/>
  <c r="T1436" i="2" s="1"/>
  <c r="L1436" i="2"/>
  <c r="M1436" i="2"/>
  <c r="A1437" i="2"/>
  <c r="B1437" i="2"/>
  <c r="C1437" i="2"/>
  <c r="G1437" i="2"/>
  <c r="I1437" i="2"/>
  <c r="U1437" i="2" s="1"/>
  <c r="J1437" i="2"/>
  <c r="T1437" i="2" s="1"/>
  <c r="L1437" i="2"/>
  <c r="M1437" i="2"/>
  <c r="A1438" i="2"/>
  <c r="B1438" i="2"/>
  <c r="C1438" i="2"/>
  <c r="G1438" i="2"/>
  <c r="I1438" i="2"/>
  <c r="U1438" i="2" s="1"/>
  <c r="J1438" i="2"/>
  <c r="T1438" i="2" s="1"/>
  <c r="L1438" i="2"/>
  <c r="M1438" i="2"/>
  <c r="A1439" i="2"/>
  <c r="B1439" i="2"/>
  <c r="C1439" i="2"/>
  <c r="G1439" i="2"/>
  <c r="I1439" i="2"/>
  <c r="J1439" i="2"/>
  <c r="T1439" i="2" s="1"/>
  <c r="L1439" i="2"/>
  <c r="M1439" i="2"/>
  <c r="A1440" i="2"/>
  <c r="B1440" i="2"/>
  <c r="C1440" i="2"/>
  <c r="G1440" i="2"/>
  <c r="I1440" i="2"/>
  <c r="U1440" i="2" s="1"/>
  <c r="J1440" i="2"/>
  <c r="T1440" i="2" s="1"/>
  <c r="L1440" i="2"/>
  <c r="M1440" i="2"/>
  <c r="A1441" i="2"/>
  <c r="B1441" i="2"/>
  <c r="C1441" i="2"/>
  <c r="G1441" i="2"/>
  <c r="I1441" i="2"/>
  <c r="U1441" i="2" s="1"/>
  <c r="J1441" i="2"/>
  <c r="T1441" i="2" s="1"/>
  <c r="L1441" i="2"/>
  <c r="M1441" i="2"/>
  <c r="A1442" i="2"/>
  <c r="B1442" i="2"/>
  <c r="C1442" i="2"/>
  <c r="G1442" i="2"/>
  <c r="I1442" i="2"/>
  <c r="U1442" i="2" s="1"/>
  <c r="J1442" i="2"/>
  <c r="T1442" i="2" s="1"/>
  <c r="L1442" i="2"/>
  <c r="M1442" i="2"/>
  <c r="A1443" i="2"/>
  <c r="B1443" i="2"/>
  <c r="C1443" i="2"/>
  <c r="G1443" i="2"/>
  <c r="I1443" i="2"/>
  <c r="U1443" i="2" s="1"/>
  <c r="J1443" i="2"/>
  <c r="T1443" i="2" s="1"/>
  <c r="L1443" i="2"/>
  <c r="M1443" i="2"/>
  <c r="A1444" i="2"/>
  <c r="B1444" i="2"/>
  <c r="C1444" i="2"/>
  <c r="G1444" i="2"/>
  <c r="I1444" i="2"/>
  <c r="U1444" i="2" s="1"/>
  <c r="J1444" i="2"/>
  <c r="T1444" i="2" s="1"/>
  <c r="L1444" i="2"/>
  <c r="M1444" i="2"/>
  <c r="A1445" i="2"/>
  <c r="B1445" i="2"/>
  <c r="C1445" i="2"/>
  <c r="G1445" i="2"/>
  <c r="I1445" i="2"/>
  <c r="U1445" i="2" s="1"/>
  <c r="J1445" i="2"/>
  <c r="T1445" i="2" s="1"/>
  <c r="L1445" i="2"/>
  <c r="M1445" i="2"/>
  <c r="A1446" i="2"/>
  <c r="B1446" i="2"/>
  <c r="C1446" i="2"/>
  <c r="G1446" i="2"/>
  <c r="I1446" i="2"/>
  <c r="U1446" i="2" s="1"/>
  <c r="J1446" i="2"/>
  <c r="T1446" i="2" s="1"/>
  <c r="L1446" i="2"/>
  <c r="M1446" i="2"/>
  <c r="A1447" i="2"/>
  <c r="B1447" i="2"/>
  <c r="C1447" i="2"/>
  <c r="G1447" i="2"/>
  <c r="I1447" i="2"/>
  <c r="U1447" i="2" s="1"/>
  <c r="J1447" i="2"/>
  <c r="L1447" i="2"/>
  <c r="M1447" i="2"/>
  <c r="A1448" i="2"/>
  <c r="B1448" i="2"/>
  <c r="C1448" i="2"/>
  <c r="G1448" i="2"/>
  <c r="I1448" i="2"/>
  <c r="U1448" i="2" s="1"/>
  <c r="J1448" i="2"/>
  <c r="T1448" i="2" s="1"/>
  <c r="L1448" i="2"/>
  <c r="M1448" i="2"/>
  <c r="A1449" i="2"/>
  <c r="B1449" i="2"/>
  <c r="C1449" i="2"/>
  <c r="G1449" i="2"/>
  <c r="I1449" i="2"/>
  <c r="U1449" i="2" s="1"/>
  <c r="J1449" i="2"/>
  <c r="L1449" i="2"/>
  <c r="M1449" i="2"/>
  <c r="A1450" i="2"/>
  <c r="B1450" i="2"/>
  <c r="C1450" i="2"/>
  <c r="G1450" i="2"/>
  <c r="I1450" i="2"/>
  <c r="J1450" i="2"/>
  <c r="T1450" i="2" s="1"/>
  <c r="L1450" i="2"/>
  <c r="M1450" i="2"/>
  <c r="A1451" i="2"/>
  <c r="B1451" i="2"/>
  <c r="C1451" i="2"/>
  <c r="G1451" i="2"/>
  <c r="I1451" i="2"/>
  <c r="J1451" i="2"/>
  <c r="T1451" i="2" s="1"/>
  <c r="L1451" i="2"/>
  <c r="M1451" i="2"/>
  <c r="A1452" i="2"/>
  <c r="B1452" i="2"/>
  <c r="C1452" i="2"/>
  <c r="G1452" i="2"/>
  <c r="I1452" i="2"/>
  <c r="U1452" i="2" s="1"/>
  <c r="J1452" i="2"/>
  <c r="T1452" i="2" s="1"/>
  <c r="L1452" i="2"/>
  <c r="M1452" i="2"/>
  <c r="A1453" i="2"/>
  <c r="B1453" i="2"/>
  <c r="C1453" i="2"/>
  <c r="G1453" i="2"/>
  <c r="I1453" i="2"/>
  <c r="U1453" i="2" s="1"/>
  <c r="J1453" i="2"/>
  <c r="T1453" i="2" s="1"/>
  <c r="L1453" i="2"/>
  <c r="M1453" i="2"/>
  <c r="A1454" i="2"/>
  <c r="B1454" i="2"/>
  <c r="C1454" i="2"/>
  <c r="G1454" i="2"/>
  <c r="I1454" i="2"/>
  <c r="U1454" i="2" s="1"/>
  <c r="J1454" i="2"/>
  <c r="T1454" i="2" s="1"/>
  <c r="L1454" i="2"/>
  <c r="M1454" i="2"/>
  <c r="A1455" i="2"/>
  <c r="B1455" i="2"/>
  <c r="C1455" i="2"/>
  <c r="G1455" i="2"/>
  <c r="I1455" i="2"/>
  <c r="J1455" i="2"/>
  <c r="T1455" i="2" s="1"/>
  <c r="L1455" i="2"/>
  <c r="M1455" i="2"/>
  <c r="A1456" i="2"/>
  <c r="B1456" i="2"/>
  <c r="C1456" i="2"/>
  <c r="G1456" i="2"/>
  <c r="I1456" i="2"/>
  <c r="U1456" i="2" s="1"/>
  <c r="J1456" i="2"/>
  <c r="T1456" i="2" s="1"/>
  <c r="L1456" i="2"/>
  <c r="M1456" i="2"/>
  <c r="A1457" i="2"/>
  <c r="B1457" i="2"/>
  <c r="C1457" i="2"/>
  <c r="G1457" i="2"/>
  <c r="I1457" i="2"/>
  <c r="U1457" i="2" s="1"/>
  <c r="J1457" i="2"/>
  <c r="T1457" i="2" s="1"/>
  <c r="L1457" i="2"/>
  <c r="M1457" i="2"/>
  <c r="A1458" i="2"/>
  <c r="B1458" i="2"/>
  <c r="C1458" i="2"/>
  <c r="G1458" i="2"/>
  <c r="I1458" i="2"/>
  <c r="U1458" i="2" s="1"/>
  <c r="J1458" i="2"/>
  <c r="T1458" i="2" s="1"/>
  <c r="L1458" i="2"/>
  <c r="M1458" i="2"/>
  <c r="A1459" i="2"/>
  <c r="B1459" i="2"/>
  <c r="C1459" i="2"/>
  <c r="G1459" i="2"/>
  <c r="I1459" i="2"/>
  <c r="U1459" i="2" s="1"/>
  <c r="J1459" i="2"/>
  <c r="T1459" i="2" s="1"/>
  <c r="L1459" i="2"/>
  <c r="M1459" i="2"/>
  <c r="A1460" i="2"/>
  <c r="B1460" i="2"/>
  <c r="C1460" i="2"/>
  <c r="G1460" i="2"/>
  <c r="I1460" i="2"/>
  <c r="J1460" i="2"/>
  <c r="T1460" i="2" s="1"/>
  <c r="L1460" i="2"/>
  <c r="M1460" i="2"/>
  <c r="A1461" i="2"/>
  <c r="B1461" i="2"/>
  <c r="C1461" i="2"/>
  <c r="G1461" i="2"/>
  <c r="I1461" i="2"/>
  <c r="J1461" i="2"/>
  <c r="T1461" i="2" s="1"/>
  <c r="L1461" i="2"/>
  <c r="M1461" i="2"/>
  <c r="A1462" i="2"/>
  <c r="B1462" i="2"/>
  <c r="C1462" i="2"/>
  <c r="G1462" i="2"/>
  <c r="I1462" i="2"/>
  <c r="U1462" i="2" s="1"/>
  <c r="J1462" i="2"/>
  <c r="T1462" i="2" s="1"/>
  <c r="L1462" i="2"/>
  <c r="M1462" i="2"/>
  <c r="A1463" i="2"/>
  <c r="B1463" i="2"/>
  <c r="C1463" i="2"/>
  <c r="G1463" i="2"/>
  <c r="I1463" i="2"/>
  <c r="U1463" i="2" s="1"/>
  <c r="J1463" i="2"/>
  <c r="T1463" i="2" s="1"/>
  <c r="L1463" i="2"/>
  <c r="M1463" i="2"/>
  <c r="A1464" i="2"/>
  <c r="B1464" i="2"/>
  <c r="C1464" i="2"/>
  <c r="G1464" i="2"/>
  <c r="I1464" i="2"/>
  <c r="U1464" i="2" s="1"/>
  <c r="J1464" i="2"/>
  <c r="T1464" i="2" s="1"/>
  <c r="L1464" i="2"/>
  <c r="M1464" i="2"/>
  <c r="A1465" i="2"/>
  <c r="B1465" i="2"/>
  <c r="C1465" i="2"/>
  <c r="G1465" i="2"/>
  <c r="I1465" i="2"/>
  <c r="U1465" i="2" s="1"/>
  <c r="J1465" i="2"/>
  <c r="T1465" i="2" s="1"/>
  <c r="L1465" i="2"/>
  <c r="M1465" i="2"/>
  <c r="A1466" i="2"/>
  <c r="B1466" i="2"/>
  <c r="C1466" i="2"/>
  <c r="G1466" i="2"/>
  <c r="I1466" i="2"/>
  <c r="U1466" i="2" s="1"/>
  <c r="J1466" i="2"/>
  <c r="T1466" i="2" s="1"/>
  <c r="L1466" i="2"/>
  <c r="M1466" i="2"/>
  <c r="A1467" i="2"/>
  <c r="B1467" i="2"/>
  <c r="C1467" i="2"/>
  <c r="G1467" i="2"/>
  <c r="I1467" i="2"/>
  <c r="J1467" i="2"/>
  <c r="T1467" i="2" s="1"/>
  <c r="L1467" i="2"/>
  <c r="M1467" i="2"/>
  <c r="A1468" i="2"/>
  <c r="B1468" i="2"/>
  <c r="C1468" i="2"/>
  <c r="G1468" i="2"/>
  <c r="I1468" i="2"/>
  <c r="J1468" i="2"/>
  <c r="T1468" i="2" s="1"/>
  <c r="L1468" i="2"/>
  <c r="M1468" i="2"/>
  <c r="A1469" i="2"/>
  <c r="B1469" i="2"/>
  <c r="C1469" i="2"/>
  <c r="G1469" i="2"/>
  <c r="I1469" i="2"/>
  <c r="J1469" i="2"/>
  <c r="T1469" i="2" s="1"/>
  <c r="L1469" i="2"/>
  <c r="M1469" i="2"/>
  <c r="A1470" i="2"/>
  <c r="B1470" i="2"/>
  <c r="C1470" i="2"/>
  <c r="G1470" i="2"/>
  <c r="I1470" i="2"/>
  <c r="U1470" i="2" s="1"/>
  <c r="J1470" i="2"/>
  <c r="T1470" i="2" s="1"/>
  <c r="L1470" i="2"/>
  <c r="M1470" i="2"/>
  <c r="A1471" i="2"/>
  <c r="B1471" i="2"/>
  <c r="C1471" i="2"/>
  <c r="G1471" i="2"/>
  <c r="I1471" i="2"/>
  <c r="U1471" i="2" s="1"/>
  <c r="J1471" i="2"/>
  <c r="T1471" i="2" s="1"/>
  <c r="L1471" i="2"/>
  <c r="M1471" i="2"/>
  <c r="A1472" i="2"/>
  <c r="B1472" i="2"/>
  <c r="C1472" i="2"/>
  <c r="G1472" i="2"/>
  <c r="I1472" i="2"/>
  <c r="U1472" i="2" s="1"/>
  <c r="J1472" i="2"/>
  <c r="T1472" i="2" s="1"/>
  <c r="L1472" i="2"/>
  <c r="M1472" i="2"/>
  <c r="A1473" i="2"/>
  <c r="B1473" i="2"/>
  <c r="C1473" i="2"/>
  <c r="G1473" i="2"/>
  <c r="I1473" i="2"/>
  <c r="U1473" i="2" s="1"/>
  <c r="J1473" i="2"/>
  <c r="T1473" i="2" s="1"/>
  <c r="L1473" i="2"/>
  <c r="M1473" i="2"/>
  <c r="A1474" i="2"/>
  <c r="B1474" i="2"/>
  <c r="C1474" i="2"/>
  <c r="G1474" i="2"/>
  <c r="I1474" i="2"/>
  <c r="U1474" i="2" s="1"/>
  <c r="J1474" i="2"/>
  <c r="T1474" i="2" s="1"/>
  <c r="L1474" i="2"/>
  <c r="M1474" i="2"/>
  <c r="A1475" i="2"/>
  <c r="B1475" i="2"/>
  <c r="C1475" i="2"/>
  <c r="G1475" i="2"/>
  <c r="I1475" i="2"/>
  <c r="U1475" i="2" s="1"/>
  <c r="J1475" i="2"/>
  <c r="T1475" i="2" s="1"/>
  <c r="L1475" i="2"/>
  <c r="M1475" i="2"/>
  <c r="A1476" i="2"/>
  <c r="B1476" i="2"/>
  <c r="C1476" i="2"/>
  <c r="G1476" i="2"/>
  <c r="I1476" i="2"/>
  <c r="J1476" i="2"/>
  <c r="L1476" i="2"/>
  <c r="M1476" i="2"/>
  <c r="A1477" i="2"/>
  <c r="B1477" i="2"/>
  <c r="C1477" i="2"/>
  <c r="G1477" i="2"/>
  <c r="I1477" i="2"/>
  <c r="U1477" i="2" s="1"/>
  <c r="J1477" i="2"/>
  <c r="T1477" i="2" s="1"/>
  <c r="L1477" i="2"/>
  <c r="M1477" i="2"/>
  <c r="A1478" i="2"/>
  <c r="B1478" i="2"/>
  <c r="C1478" i="2"/>
  <c r="G1478" i="2"/>
  <c r="I1478" i="2"/>
  <c r="U1478" i="2" s="1"/>
  <c r="J1478" i="2"/>
  <c r="T1478" i="2" s="1"/>
  <c r="L1478" i="2"/>
  <c r="M1478" i="2"/>
  <c r="A1479" i="2"/>
  <c r="B1479" i="2"/>
  <c r="C1479" i="2"/>
  <c r="G1479" i="2"/>
  <c r="I1479" i="2"/>
  <c r="U1479" i="2" s="1"/>
  <c r="J1479" i="2"/>
  <c r="T1479" i="2" s="1"/>
  <c r="L1479" i="2"/>
  <c r="M1479" i="2"/>
  <c r="A1480" i="2"/>
  <c r="B1480" i="2"/>
  <c r="C1480" i="2"/>
  <c r="G1480" i="2"/>
  <c r="I1480" i="2"/>
  <c r="U1480" i="2" s="1"/>
  <c r="J1480" i="2"/>
  <c r="T1480" i="2" s="1"/>
  <c r="L1480" i="2"/>
  <c r="M1480" i="2"/>
  <c r="A1481" i="2"/>
  <c r="B1481" i="2"/>
  <c r="C1481" i="2"/>
  <c r="G1481" i="2"/>
  <c r="I1481" i="2"/>
  <c r="U1481" i="2" s="1"/>
  <c r="J1481" i="2"/>
  <c r="T1481" i="2" s="1"/>
  <c r="L1481" i="2"/>
  <c r="M1481" i="2"/>
  <c r="A1482" i="2"/>
  <c r="B1482" i="2"/>
  <c r="C1482" i="2"/>
  <c r="G1482" i="2"/>
  <c r="I1482" i="2"/>
  <c r="U1482" i="2" s="1"/>
  <c r="J1482" i="2"/>
  <c r="T1482" i="2" s="1"/>
  <c r="L1482" i="2"/>
  <c r="M1482" i="2"/>
  <c r="A1483" i="2"/>
  <c r="B1483" i="2"/>
  <c r="C1483" i="2"/>
  <c r="G1483" i="2"/>
  <c r="I1483" i="2"/>
  <c r="J1483" i="2"/>
  <c r="T1483" i="2" s="1"/>
  <c r="L1483" i="2"/>
  <c r="M1483" i="2"/>
  <c r="A1484" i="2"/>
  <c r="B1484" i="2"/>
  <c r="C1484" i="2"/>
  <c r="G1484" i="2"/>
  <c r="I1484" i="2"/>
  <c r="J1484" i="2"/>
  <c r="L1484" i="2"/>
  <c r="M1484" i="2"/>
  <c r="A1485" i="2"/>
  <c r="B1485" i="2"/>
  <c r="C1485" i="2"/>
  <c r="G1485" i="2"/>
  <c r="I1485" i="2"/>
  <c r="U1485" i="2" s="1"/>
  <c r="J1485" i="2"/>
  <c r="T1485" i="2" s="1"/>
  <c r="L1485" i="2"/>
  <c r="M1485" i="2"/>
  <c r="A1486" i="2"/>
  <c r="B1486" i="2"/>
  <c r="C1486" i="2"/>
  <c r="G1486" i="2"/>
  <c r="I1486" i="2"/>
  <c r="U1486" i="2" s="1"/>
  <c r="J1486" i="2"/>
  <c r="T1486" i="2" s="1"/>
  <c r="L1486" i="2"/>
  <c r="M1486" i="2"/>
  <c r="A1487" i="2"/>
  <c r="B1487" i="2"/>
  <c r="C1487" i="2"/>
  <c r="G1487" i="2"/>
  <c r="I1487" i="2"/>
  <c r="U1487" i="2" s="1"/>
  <c r="J1487" i="2"/>
  <c r="T1487" i="2" s="1"/>
  <c r="L1487" i="2"/>
  <c r="M1487" i="2"/>
  <c r="A1488" i="2"/>
  <c r="B1488" i="2"/>
  <c r="C1488" i="2"/>
  <c r="G1488" i="2"/>
  <c r="I1488" i="2"/>
  <c r="U1488" i="2" s="1"/>
  <c r="J1488" i="2"/>
  <c r="T1488" i="2" s="1"/>
  <c r="L1488" i="2"/>
  <c r="M1488" i="2"/>
  <c r="A1489" i="2"/>
  <c r="B1489" i="2"/>
  <c r="C1489" i="2"/>
  <c r="G1489" i="2"/>
  <c r="I1489" i="2"/>
  <c r="U1489" i="2" s="1"/>
  <c r="J1489" i="2"/>
  <c r="T1489" i="2" s="1"/>
  <c r="L1489" i="2"/>
  <c r="M1489" i="2"/>
  <c r="A1490" i="2"/>
  <c r="B1490" i="2"/>
  <c r="C1490" i="2"/>
  <c r="G1490" i="2"/>
  <c r="I1490" i="2"/>
  <c r="U1490" i="2" s="1"/>
  <c r="J1490" i="2"/>
  <c r="T1490" i="2" s="1"/>
  <c r="L1490" i="2"/>
  <c r="M1490" i="2"/>
  <c r="A1491" i="2"/>
  <c r="B1491" i="2"/>
  <c r="C1491" i="2"/>
  <c r="G1491" i="2"/>
  <c r="I1491" i="2"/>
  <c r="U1491" i="2" s="1"/>
  <c r="J1491" i="2"/>
  <c r="T1491" i="2" s="1"/>
  <c r="L1491" i="2"/>
  <c r="M1491" i="2"/>
  <c r="A1492" i="2"/>
  <c r="B1492" i="2"/>
  <c r="C1492" i="2"/>
  <c r="G1492" i="2"/>
  <c r="I1492" i="2"/>
  <c r="J1492" i="2"/>
  <c r="T1492" i="2" s="1"/>
  <c r="L1492" i="2"/>
  <c r="M1492" i="2"/>
  <c r="A1493" i="2"/>
  <c r="B1493" i="2"/>
  <c r="C1493" i="2"/>
  <c r="G1493" i="2"/>
  <c r="I1493" i="2"/>
  <c r="U1493" i="2" s="1"/>
  <c r="J1493" i="2"/>
  <c r="T1493" i="2" s="1"/>
  <c r="L1493" i="2"/>
  <c r="M1493" i="2"/>
  <c r="A1494" i="2"/>
  <c r="B1494" i="2"/>
  <c r="C1494" i="2"/>
  <c r="G1494" i="2"/>
  <c r="I1494" i="2"/>
  <c r="U1494" i="2" s="1"/>
  <c r="J1494" i="2"/>
  <c r="T1494" i="2" s="1"/>
  <c r="L1494" i="2"/>
  <c r="M1494" i="2"/>
  <c r="A1495" i="2"/>
  <c r="B1495" i="2"/>
  <c r="C1495" i="2"/>
  <c r="G1495" i="2"/>
  <c r="I1495" i="2"/>
  <c r="U1495" i="2" s="1"/>
  <c r="J1495" i="2"/>
  <c r="T1495" i="2" s="1"/>
  <c r="L1495" i="2"/>
  <c r="M1495" i="2"/>
  <c r="A1496" i="2"/>
  <c r="B1496" i="2"/>
  <c r="C1496" i="2"/>
  <c r="G1496" i="2"/>
  <c r="I1496" i="2"/>
  <c r="U1496" i="2" s="1"/>
  <c r="J1496" i="2"/>
  <c r="T1496" i="2" s="1"/>
  <c r="L1496" i="2"/>
  <c r="M1496" i="2"/>
  <c r="A1497" i="2"/>
  <c r="B1497" i="2"/>
  <c r="C1497" i="2"/>
  <c r="G1497" i="2"/>
  <c r="I1497" i="2"/>
  <c r="U1497" i="2" s="1"/>
  <c r="J1497" i="2"/>
  <c r="T1497" i="2" s="1"/>
  <c r="L1497" i="2"/>
  <c r="M1497" i="2"/>
  <c r="A1498" i="2"/>
  <c r="B1498" i="2"/>
  <c r="C1498" i="2"/>
  <c r="G1498" i="2"/>
  <c r="I1498" i="2"/>
  <c r="U1498" i="2" s="1"/>
  <c r="J1498" i="2"/>
  <c r="T1498" i="2" s="1"/>
  <c r="L1498" i="2"/>
  <c r="M1498" i="2"/>
  <c r="A1499" i="2"/>
  <c r="B1499" i="2"/>
  <c r="C1499" i="2"/>
  <c r="G1499" i="2"/>
  <c r="I1499" i="2"/>
  <c r="U1499" i="2" s="1"/>
  <c r="J1499" i="2"/>
  <c r="T1499" i="2" s="1"/>
  <c r="L1499" i="2"/>
  <c r="M1499" i="2"/>
  <c r="A1500" i="2"/>
  <c r="B1500" i="2"/>
  <c r="C1500" i="2"/>
  <c r="G1500" i="2"/>
  <c r="I1500" i="2"/>
  <c r="U1500" i="2" s="1"/>
  <c r="J1500" i="2"/>
  <c r="T1500" i="2" s="1"/>
  <c r="L1500" i="2"/>
  <c r="M1500" i="2"/>
  <c r="A1501" i="2"/>
  <c r="B1501" i="2"/>
  <c r="C1501" i="2"/>
  <c r="G1501" i="2"/>
  <c r="I1501" i="2"/>
  <c r="J1501" i="2"/>
  <c r="T1501" i="2" s="1"/>
  <c r="L1501" i="2"/>
  <c r="M1501" i="2"/>
  <c r="A1502" i="2"/>
  <c r="B1502" i="2"/>
  <c r="C1502" i="2"/>
  <c r="G1502" i="2"/>
  <c r="I1502" i="2"/>
  <c r="U1502" i="2" s="1"/>
  <c r="J1502" i="2"/>
  <c r="T1502" i="2" s="1"/>
  <c r="L1502" i="2"/>
  <c r="M1502" i="2"/>
  <c r="A1503" i="2"/>
  <c r="B1503" i="2"/>
  <c r="C1503" i="2"/>
  <c r="G1503" i="2"/>
  <c r="I1503" i="2"/>
  <c r="U1503" i="2" s="1"/>
  <c r="J1503" i="2"/>
  <c r="T1503" i="2" s="1"/>
  <c r="L1503" i="2"/>
  <c r="M1503" i="2"/>
  <c r="A1504" i="2"/>
  <c r="B1504" i="2"/>
  <c r="C1504" i="2"/>
  <c r="G1504" i="2"/>
  <c r="I1504" i="2"/>
  <c r="U1504" i="2" s="1"/>
  <c r="J1504" i="2"/>
  <c r="T1504" i="2" s="1"/>
  <c r="L1504" i="2"/>
  <c r="M1504" i="2"/>
  <c r="A1505" i="2"/>
  <c r="B1505" i="2"/>
  <c r="C1505" i="2"/>
  <c r="G1505" i="2"/>
  <c r="I1505" i="2"/>
  <c r="U1505" i="2" s="1"/>
  <c r="J1505" i="2"/>
  <c r="T1505" i="2" s="1"/>
  <c r="L1505" i="2"/>
  <c r="M1505" i="2"/>
  <c r="A1506" i="2"/>
  <c r="B1506" i="2"/>
  <c r="C1506" i="2"/>
  <c r="G1506" i="2"/>
  <c r="I1506" i="2"/>
  <c r="J1506" i="2"/>
  <c r="T1506" i="2" s="1"/>
  <c r="L1506" i="2"/>
  <c r="M1506" i="2"/>
  <c r="A1507" i="2"/>
  <c r="B1507" i="2"/>
  <c r="C1507" i="2"/>
  <c r="G1507" i="2"/>
  <c r="I1507" i="2"/>
  <c r="U1507" i="2" s="1"/>
  <c r="J1507" i="2"/>
  <c r="T1507" i="2" s="1"/>
  <c r="L1507" i="2"/>
  <c r="M1507" i="2"/>
  <c r="A1508" i="2"/>
  <c r="B1508" i="2"/>
  <c r="C1508" i="2"/>
  <c r="G1508" i="2"/>
  <c r="I1508" i="2"/>
  <c r="U1508" i="2" s="1"/>
  <c r="J1508" i="2"/>
  <c r="T1508" i="2" s="1"/>
  <c r="L1508" i="2"/>
  <c r="M1508" i="2"/>
  <c r="A1509" i="2"/>
  <c r="B1509" i="2"/>
  <c r="C1509" i="2"/>
  <c r="G1509" i="2"/>
  <c r="I1509" i="2"/>
  <c r="U1509" i="2" s="1"/>
  <c r="J1509" i="2"/>
  <c r="T1509" i="2" s="1"/>
  <c r="L1509" i="2"/>
  <c r="M1509" i="2"/>
  <c r="A1510" i="2"/>
  <c r="B1510" i="2"/>
  <c r="C1510" i="2"/>
  <c r="G1510" i="2"/>
  <c r="I1510" i="2"/>
  <c r="U1510" i="2" s="1"/>
  <c r="J1510" i="2"/>
  <c r="T1510" i="2" s="1"/>
  <c r="L1510" i="2"/>
  <c r="M1510" i="2"/>
  <c r="A1511" i="2"/>
  <c r="B1511" i="2"/>
  <c r="C1511" i="2"/>
  <c r="G1511" i="2"/>
  <c r="I1511" i="2"/>
  <c r="U1511" i="2" s="1"/>
  <c r="J1511" i="2"/>
  <c r="T1511" i="2" s="1"/>
  <c r="L1511" i="2"/>
  <c r="M1511" i="2"/>
  <c r="A1512" i="2"/>
  <c r="B1512" i="2"/>
  <c r="C1512" i="2"/>
  <c r="G1512" i="2"/>
  <c r="I1512" i="2"/>
  <c r="U1512" i="2" s="1"/>
  <c r="J1512" i="2"/>
  <c r="T1512" i="2" s="1"/>
  <c r="L1512" i="2"/>
  <c r="M1512" i="2"/>
  <c r="A1513" i="2"/>
  <c r="B1513" i="2"/>
  <c r="C1513" i="2"/>
  <c r="G1513" i="2"/>
  <c r="I1513" i="2"/>
  <c r="U1513" i="2" s="1"/>
  <c r="J1513" i="2"/>
  <c r="T1513" i="2" s="1"/>
  <c r="L1513" i="2"/>
  <c r="M1513" i="2"/>
  <c r="A1514" i="2"/>
  <c r="B1514" i="2"/>
  <c r="C1514" i="2"/>
  <c r="G1514" i="2"/>
  <c r="I1514" i="2"/>
  <c r="U1514" i="2" s="1"/>
  <c r="J1514" i="2"/>
  <c r="T1514" i="2" s="1"/>
  <c r="L1514" i="2"/>
  <c r="M1514" i="2"/>
  <c r="A1515" i="2"/>
  <c r="B1515" i="2"/>
  <c r="C1515" i="2"/>
  <c r="G1515" i="2"/>
  <c r="I1515" i="2"/>
  <c r="U1515" i="2" s="1"/>
  <c r="J1515" i="2"/>
  <c r="T1515" i="2" s="1"/>
  <c r="L1515" i="2"/>
  <c r="M1515" i="2"/>
  <c r="A1516" i="2"/>
  <c r="B1516" i="2"/>
  <c r="C1516" i="2"/>
  <c r="G1516" i="2"/>
  <c r="I1516" i="2"/>
  <c r="U1516" i="2" s="1"/>
  <c r="J1516" i="2"/>
  <c r="T1516" i="2" s="1"/>
  <c r="L1516" i="2"/>
  <c r="M1516" i="2"/>
  <c r="A1517" i="2"/>
  <c r="B1517" i="2"/>
  <c r="C1517" i="2"/>
  <c r="G1517" i="2"/>
  <c r="I1517" i="2"/>
  <c r="J1517" i="2"/>
  <c r="T1517" i="2" s="1"/>
  <c r="L1517" i="2"/>
  <c r="M1517" i="2"/>
  <c r="A1518" i="2"/>
  <c r="B1518" i="2"/>
  <c r="C1518" i="2"/>
  <c r="G1518" i="2"/>
  <c r="I1518" i="2"/>
  <c r="U1518" i="2" s="1"/>
  <c r="J1518" i="2"/>
  <c r="T1518" i="2" s="1"/>
  <c r="L1518" i="2"/>
  <c r="M1518" i="2"/>
  <c r="A1519" i="2"/>
  <c r="B1519" i="2"/>
  <c r="C1519" i="2"/>
  <c r="G1519" i="2"/>
  <c r="I1519" i="2"/>
  <c r="U1519" i="2" s="1"/>
  <c r="J1519" i="2"/>
  <c r="T1519" i="2" s="1"/>
  <c r="L1519" i="2"/>
  <c r="M1519" i="2"/>
  <c r="A1520" i="2"/>
  <c r="B1520" i="2"/>
  <c r="C1520" i="2"/>
  <c r="G1520" i="2"/>
  <c r="I1520" i="2"/>
  <c r="U1520" i="2" s="1"/>
  <c r="J1520" i="2"/>
  <c r="T1520" i="2" s="1"/>
  <c r="L1520" i="2"/>
  <c r="M1520" i="2"/>
  <c r="A1521" i="2"/>
  <c r="B1521" i="2"/>
  <c r="C1521" i="2"/>
  <c r="G1521" i="2"/>
  <c r="I1521" i="2"/>
  <c r="U1521" i="2" s="1"/>
  <c r="J1521" i="2"/>
  <c r="T1521" i="2" s="1"/>
  <c r="L1521" i="2"/>
  <c r="M1521" i="2"/>
  <c r="A1522" i="2"/>
  <c r="B1522" i="2"/>
  <c r="C1522" i="2"/>
  <c r="G1522" i="2"/>
  <c r="I1522" i="2"/>
  <c r="U1522" i="2" s="1"/>
  <c r="J1522" i="2"/>
  <c r="T1522" i="2" s="1"/>
  <c r="L1522" i="2"/>
  <c r="M1522" i="2"/>
  <c r="A1523" i="2"/>
  <c r="B1523" i="2"/>
  <c r="C1523" i="2"/>
  <c r="G1523" i="2"/>
  <c r="I1523" i="2"/>
  <c r="U1523" i="2" s="1"/>
  <c r="J1523" i="2"/>
  <c r="T1523" i="2" s="1"/>
  <c r="L1523" i="2"/>
  <c r="M1523" i="2"/>
  <c r="A1524" i="2"/>
  <c r="B1524" i="2"/>
  <c r="C1524" i="2"/>
  <c r="G1524" i="2"/>
  <c r="I1524" i="2"/>
  <c r="U1524" i="2" s="1"/>
  <c r="J1524" i="2"/>
  <c r="T1524" i="2" s="1"/>
  <c r="L1524" i="2"/>
  <c r="M1524" i="2"/>
  <c r="A1525" i="2"/>
  <c r="B1525" i="2"/>
  <c r="C1525" i="2"/>
  <c r="G1525" i="2"/>
  <c r="I1525" i="2"/>
  <c r="U1525" i="2" s="1"/>
  <c r="J1525" i="2"/>
  <c r="T1525" i="2" s="1"/>
  <c r="L1525" i="2"/>
  <c r="M1525" i="2"/>
  <c r="A1526" i="2"/>
  <c r="B1526" i="2"/>
  <c r="C1526" i="2"/>
  <c r="G1526" i="2"/>
  <c r="I1526" i="2"/>
  <c r="U1526" i="2" s="1"/>
  <c r="J1526" i="2"/>
  <c r="T1526" i="2" s="1"/>
  <c r="L1526" i="2"/>
  <c r="M1526" i="2"/>
  <c r="A1527" i="2"/>
  <c r="B1527" i="2"/>
  <c r="C1527" i="2"/>
  <c r="G1527" i="2"/>
  <c r="I1527" i="2"/>
  <c r="U1527" i="2" s="1"/>
  <c r="J1527" i="2"/>
  <c r="T1527" i="2" s="1"/>
  <c r="L1527" i="2"/>
  <c r="M1527" i="2"/>
  <c r="A1528" i="2"/>
  <c r="B1528" i="2"/>
  <c r="C1528" i="2"/>
  <c r="G1528" i="2"/>
  <c r="I1528" i="2"/>
  <c r="U1528" i="2" s="1"/>
  <c r="J1528" i="2"/>
  <c r="L1528" i="2"/>
  <c r="M1528" i="2"/>
  <c r="A1529" i="2"/>
  <c r="B1529" i="2"/>
  <c r="C1529" i="2"/>
  <c r="G1529" i="2"/>
  <c r="I1529" i="2"/>
  <c r="U1529" i="2" s="1"/>
  <c r="J1529" i="2"/>
  <c r="T1529" i="2" s="1"/>
  <c r="L1529" i="2"/>
  <c r="M1529" i="2"/>
  <c r="A1530" i="2"/>
  <c r="B1530" i="2"/>
  <c r="C1530" i="2"/>
  <c r="G1530" i="2"/>
  <c r="I1530" i="2"/>
  <c r="U1530" i="2" s="1"/>
  <c r="J1530" i="2"/>
  <c r="T1530" i="2" s="1"/>
  <c r="L1530" i="2"/>
  <c r="M1530" i="2"/>
  <c r="A1531" i="2"/>
  <c r="B1531" i="2"/>
  <c r="C1531" i="2"/>
  <c r="G1531" i="2"/>
  <c r="I1531" i="2"/>
  <c r="U1531" i="2" s="1"/>
  <c r="J1531" i="2"/>
  <c r="T1531" i="2" s="1"/>
  <c r="L1531" i="2"/>
  <c r="M1531" i="2"/>
  <c r="A1532" i="2"/>
  <c r="B1532" i="2"/>
  <c r="C1532" i="2"/>
  <c r="G1532" i="2"/>
  <c r="I1532" i="2"/>
  <c r="U1532" i="2" s="1"/>
  <c r="J1532" i="2"/>
  <c r="T1532" i="2" s="1"/>
  <c r="L1532" i="2"/>
  <c r="M1532" i="2"/>
  <c r="A1533" i="2"/>
  <c r="B1533" i="2"/>
  <c r="C1533" i="2"/>
  <c r="G1533" i="2"/>
  <c r="I1533" i="2"/>
  <c r="J1533" i="2"/>
  <c r="T1533" i="2" s="1"/>
  <c r="L1533" i="2"/>
  <c r="M1533" i="2"/>
  <c r="A1534" i="2"/>
  <c r="B1534" i="2"/>
  <c r="C1534" i="2"/>
  <c r="G1534" i="2"/>
  <c r="I1534" i="2"/>
  <c r="U1534" i="2" s="1"/>
  <c r="J1534" i="2"/>
  <c r="T1534" i="2" s="1"/>
  <c r="L1534" i="2"/>
  <c r="M1534" i="2"/>
  <c r="A1535" i="2"/>
  <c r="B1535" i="2"/>
  <c r="C1535" i="2"/>
  <c r="G1535" i="2"/>
  <c r="I1535" i="2"/>
  <c r="U1535" i="2" s="1"/>
  <c r="J1535" i="2"/>
  <c r="T1535" i="2" s="1"/>
  <c r="L1535" i="2"/>
  <c r="M1535" i="2"/>
  <c r="A1536" i="2"/>
  <c r="B1536" i="2"/>
  <c r="C1536" i="2"/>
  <c r="G1536" i="2"/>
  <c r="I1536" i="2"/>
  <c r="U1536" i="2" s="1"/>
  <c r="J1536" i="2"/>
  <c r="T1536" i="2" s="1"/>
  <c r="L1536" i="2"/>
  <c r="M1536" i="2"/>
  <c r="A1537" i="2"/>
  <c r="B1537" i="2"/>
  <c r="C1537" i="2"/>
  <c r="G1537" i="2"/>
  <c r="I1537" i="2"/>
  <c r="U1537" i="2" s="1"/>
  <c r="J1537" i="2"/>
  <c r="T1537" i="2" s="1"/>
  <c r="L1537" i="2"/>
  <c r="M1537" i="2"/>
  <c r="A1538" i="2"/>
  <c r="B1538" i="2"/>
  <c r="C1538" i="2"/>
  <c r="G1538" i="2"/>
  <c r="I1538" i="2"/>
  <c r="J1538" i="2"/>
  <c r="T1538" i="2" s="1"/>
  <c r="L1538" i="2"/>
  <c r="M1538" i="2"/>
  <c r="A1539" i="2"/>
  <c r="B1539" i="2"/>
  <c r="C1539" i="2"/>
  <c r="G1539" i="2"/>
  <c r="I1539" i="2"/>
  <c r="U1539" i="2" s="1"/>
  <c r="J1539" i="2"/>
  <c r="T1539" i="2" s="1"/>
  <c r="L1539" i="2"/>
  <c r="M1539" i="2"/>
  <c r="A1540" i="2"/>
  <c r="B1540" i="2"/>
  <c r="C1540" i="2"/>
  <c r="G1540" i="2"/>
  <c r="I1540" i="2"/>
  <c r="U1540" i="2" s="1"/>
  <c r="J1540" i="2"/>
  <c r="T1540" i="2" s="1"/>
  <c r="L1540" i="2"/>
  <c r="M1540" i="2"/>
  <c r="A1541" i="2"/>
  <c r="B1541" i="2"/>
  <c r="C1541" i="2"/>
  <c r="G1541" i="2"/>
  <c r="I1541" i="2"/>
  <c r="J1541" i="2"/>
  <c r="T1541" i="2" s="1"/>
  <c r="L1541" i="2"/>
  <c r="M1541" i="2"/>
  <c r="A1542" i="2"/>
  <c r="B1542" i="2"/>
  <c r="C1542" i="2"/>
  <c r="G1542" i="2"/>
  <c r="I1542" i="2"/>
  <c r="U1542" i="2" s="1"/>
  <c r="J1542" i="2"/>
  <c r="T1542" i="2" s="1"/>
  <c r="L1542" i="2"/>
  <c r="M1542" i="2"/>
  <c r="A1543" i="2"/>
  <c r="B1543" i="2"/>
  <c r="C1543" i="2"/>
  <c r="G1543" i="2"/>
  <c r="I1543" i="2"/>
  <c r="U1543" i="2" s="1"/>
  <c r="J1543" i="2"/>
  <c r="T1543" i="2" s="1"/>
  <c r="L1543" i="2"/>
  <c r="M1543" i="2"/>
  <c r="A1544" i="2"/>
  <c r="B1544" i="2"/>
  <c r="C1544" i="2"/>
  <c r="G1544" i="2"/>
  <c r="I1544" i="2"/>
  <c r="U1544" i="2" s="1"/>
  <c r="J1544" i="2"/>
  <c r="T1544" i="2" s="1"/>
  <c r="L1544" i="2"/>
  <c r="M1544" i="2"/>
  <c r="A1545" i="2"/>
  <c r="B1545" i="2"/>
  <c r="C1545" i="2"/>
  <c r="G1545" i="2"/>
  <c r="I1545" i="2"/>
  <c r="U1545" i="2" s="1"/>
  <c r="J1545" i="2"/>
  <c r="T1545" i="2" s="1"/>
  <c r="L1545" i="2"/>
  <c r="M1545" i="2"/>
  <c r="A1546" i="2"/>
  <c r="B1546" i="2"/>
  <c r="C1546" i="2"/>
  <c r="G1546" i="2"/>
  <c r="I1546" i="2"/>
  <c r="U1546" i="2" s="1"/>
  <c r="J1546" i="2"/>
  <c r="T1546" i="2" s="1"/>
  <c r="L1546" i="2"/>
  <c r="M1546" i="2"/>
  <c r="A1547" i="2"/>
  <c r="B1547" i="2"/>
  <c r="C1547" i="2"/>
  <c r="G1547" i="2"/>
  <c r="I1547" i="2"/>
  <c r="U1547" i="2" s="1"/>
  <c r="J1547" i="2"/>
  <c r="T1547" i="2" s="1"/>
  <c r="L1547" i="2"/>
  <c r="M1547" i="2"/>
  <c r="A1548" i="2"/>
  <c r="B1548" i="2"/>
  <c r="C1548" i="2"/>
  <c r="G1548" i="2"/>
  <c r="I1548" i="2"/>
  <c r="U1548" i="2" s="1"/>
  <c r="J1548" i="2"/>
  <c r="T1548" i="2" s="1"/>
  <c r="L1548" i="2"/>
  <c r="M1548" i="2"/>
  <c r="A1549" i="2"/>
  <c r="B1549" i="2"/>
  <c r="C1549" i="2"/>
  <c r="G1549" i="2"/>
  <c r="I1549" i="2"/>
  <c r="J1549" i="2"/>
  <c r="T1549" i="2" s="1"/>
  <c r="L1549" i="2"/>
  <c r="M1549" i="2"/>
  <c r="A1550" i="2"/>
  <c r="B1550" i="2"/>
  <c r="C1550" i="2"/>
  <c r="G1550" i="2"/>
  <c r="I1550" i="2"/>
  <c r="U1550" i="2" s="1"/>
  <c r="J1550" i="2"/>
  <c r="T1550" i="2" s="1"/>
  <c r="L1550" i="2"/>
  <c r="M1550" i="2"/>
  <c r="A1551" i="2"/>
  <c r="B1551" i="2"/>
  <c r="C1551" i="2"/>
  <c r="G1551" i="2"/>
  <c r="I1551" i="2"/>
  <c r="U1551" i="2" s="1"/>
  <c r="J1551" i="2"/>
  <c r="T1551" i="2" s="1"/>
  <c r="L1551" i="2"/>
  <c r="M1551" i="2"/>
  <c r="A1552" i="2"/>
  <c r="B1552" i="2"/>
  <c r="C1552" i="2"/>
  <c r="G1552" i="2"/>
  <c r="I1552" i="2"/>
  <c r="U1552" i="2" s="1"/>
  <c r="J1552" i="2"/>
  <c r="T1552" i="2" s="1"/>
  <c r="L1552" i="2"/>
  <c r="M1552" i="2"/>
  <c r="A1553" i="2"/>
  <c r="B1553" i="2"/>
  <c r="C1553" i="2"/>
  <c r="G1553" i="2"/>
  <c r="I1553" i="2"/>
  <c r="U1553" i="2" s="1"/>
  <c r="J1553" i="2"/>
  <c r="T1553" i="2" s="1"/>
  <c r="L1553" i="2"/>
  <c r="M1553" i="2"/>
  <c r="A1554" i="2"/>
  <c r="B1554" i="2"/>
  <c r="C1554" i="2"/>
  <c r="G1554" i="2"/>
  <c r="I1554" i="2"/>
  <c r="U1554" i="2" s="1"/>
  <c r="J1554" i="2"/>
  <c r="T1554" i="2" s="1"/>
  <c r="L1554" i="2"/>
  <c r="M1554" i="2"/>
  <c r="A1555" i="2"/>
  <c r="B1555" i="2"/>
  <c r="C1555" i="2"/>
  <c r="G1555" i="2"/>
  <c r="I1555" i="2"/>
  <c r="U1555" i="2" s="1"/>
  <c r="J1555" i="2"/>
  <c r="T1555" i="2" s="1"/>
  <c r="L1555" i="2"/>
  <c r="M1555" i="2"/>
  <c r="A1556" i="2"/>
  <c r="B1556" i="2"/>
  <c r="C1556" i="2"/>
  <c r="G1556" i="2"/>
  <c r="I1556" i="2"/>
  <c r="U1556" i="2" s="1"/>
  <c r="J1556" i="2"/>
  <c r="T1556" i="2" s="1"/>
  <c r="L1556" i="2"/>
  <c r="M1556" i="2"/>
  <c r="A1557" i="2"/>
  <c r="B1557" i="2"/>
  <c r="C1557" i="2"/>
  <c r="G1557" i="2"/>
  <c r="I1557" i="2"/>
  <c r="U1557" i="2" s="1"/>
  <c r="J1557" i="2"/>
  <c r="T1557" i="2" s="1"/>
  <c r="L1557" i="2"/>
  <c r="M1557" i="2"/>
  <c r="A1558" i="2"/>
  <c r="B1558" i="2"/>
  <c r="C1558" i="2"/>
  <c r="G1558" i="2"/>
  <c r="I1558" i="2"/>
  <c r="U1558" i="2" s="1"/>
  <c r="J1558" i="2"/>
  <c r="T1558" i="2" s="1"/>
  <c r="L1558" i="2"/>
  <c r="M1558" i="2"/>
  <c r="A1559" i="2"/>
  <c r="B1559" i="2"/>
  <c r="C1559" i="2"/>
  <c r="G1559" i="2"/>
  <c r="I1559" i="2"/>
  <c r="U1559" i="2" s="1"/>
  <c r="J1559" i="2"/>
  <c r="T1559" i="2" s="1"/>
  <c r="L1559" i="2"/>
  <c r="M1559" i="2"/>
  <c r="A1560" i="2"/>
  <c r="B1560" i="2"/>
  <c r="C1560" i="2"/>
  <c r="G1560" i="2"/>
  <c r="I1560" i="2"/>
  <c r="U1560" i="2" s="1"/>
  <c r="J1560" i="2"/>
  <c r="L1560" i="2"/>
  <c r="M1560" i="2"/>
  <c r="A1561" i="2"/>
  <c r="B1561" i="2"/>
  <c r="C1561" i="2"/>
  <c r="G1561" i="2"/>
  <c r="I1561" i="2"/>
  <c r="U1561" i="2" s="1"/>
  <c r="J1561" i="2"/>
  <c r="T1561" i="2" s="1"/>
  <c r="L1561" i="2"/>
  <c r="M1561" i="2"/>
  <c r="A1562" i="2"/>
  <c r="B1562" i="2"/>
  <c r="C1562" i="2"/>
  <c r="G1562" i="2"/>
  <c r="I1562" i="2"/>
  <c r="U1562" i="2" s="1"/>
  <c r="J1562" i="2"/>
  <c r="T1562" i="2" s="1"/>
  <c r="L1562" i="2"/>
  <c r="M1562" i="2"/>
  <c r="A1563" i="2"/>
  <c r="B1563" i="2"/>
  <c r="C1563" i="2"/>
  <c r="G1563" i="2"/>
  <c r="I1563" i="2"/>
  <c r="U1563" i="2" s="1"/>
  <c r="J1563" i="2"/>
  <c r="T1563" i="2" s="1"/>
  <c r="L1563" i="2"/>
  <c r="M1563" i="2"/>
  <c r="A1564" i="2"/>
  <c r="B1564" i="2"/>
  <c r="C1564" i="2"/>
  <c r="G1564" i="2"/>
  <c r="I1564" i="2"/>
  <c r="U1564" i="2" s="1"/>
  <c r="J1564" i="2"/>
  <c r="T1564" i="2" s="1"/>
  <c r="L1564" i="2"/>
  <c r="M1564" i="2"/>
  <c r="A1565" i="2"/>
  <c r="B1565" i="2"/>
  <c r="C1565" i="2"/>
  <c r="G1565" i="2"/>
  <c r="I1565" i="2"/>
  <c r="J1565" i="2"/>
  <c r="T1565" i="2" s="1"/>
  <c r="L1565" i="2"/>
  <c r="M1565" i="2"/>
  <c r="A1566" i="2"/>
  <c r="B1566" i="2"/>
  <c r="C1566" i="2"/>
  <c r="G1566" i="2"/>
  <c r="I1566" i="2"/>
  <c r="U1566" i="2" s="1"/>
  <c r="J1566" i="2"/>
  <c r="T1566" i="2" s="1"/>
  <c r="L1566" i="2"/>
  <c r="M1566" i="2"/>
  <c r="A1567" i="2"/>
  <c r="B1567" i="2"/>
  <c r="C1567" i="2"/>
  <c r="G1567" i="2"/>
  <c r="I1567" i="2"/>
  <c r="U1567" i="2" s="1"/>
  <c r="J1567" i="2"/>
  <c r="T1567" i="2" s="1"/>
  <c r="L1567" i="2"/>
  <c r="M1567" i="2"/>
  <c r="A1568" i="2"/>
  <c r="B1568" i="2"/>
  <c r="C1568" i="2"/>
  <c r="G1568" i="2"/>
  <c r="I1568" i="2"/>
  <c r="U1568" i="2" s="1"/>
  <c r="J1568" i="2"/>
  <c r="T1568" i="2" s="1"/>
  <c r="L1568" i="2"/>
  <c r="M1568" i="2"/>
  <c r="A1569" i="2"/>
  <c r="B1569" i="2"/>
  <c r="C1569" i="2"/>
  <c r="G1569" i="2"/>
  <c r="I1569" i="2"/>
  <c r="U1569" i="2" s="1"/>
  <c r="J1569" i="2"/>
  <c r="T1569" i="2" s="1"/>
  <c r="L1569" i="2"/>
  <c r="M1569" i="2"/>
  <c r="A1570" i="2"/>
  <c r="B1570" i="2"/>
  <c r="C1570" i="2"/>
  <c r="G1570" i="2"/>
  <c r="I1570" i="2"/>
  <c r="J1570" i="2"/>
  <c r="T1570" i="2" s="1"/>
  <c r="L1570" i="2"/>
  <c r="M1570" i="2"/>
  <c r="A1571" i="2"/>
  <c r="B1571" i="2"/>
  <c r="C1571" i="2"/>
  <c r="G1571" i="2"/>
  <c r="I1571" i="2"/>
  <c r="U1571" i="2" s="1"/>
  <c r="J1571" i="2"/>
  <c r="T1571" i="2" s="1"/>
  <c r="L1571" i="2"/>
  <c r="M1571" i="2"/>
  <c r="A1572" i="2"/>
  <c r="B1572" i="2"/>
  <c r="C1572" i="2"/>
  <c r="G1572" i="2"/>
  <c r="I1572" i="2"/>
  <c r="U1572" i="2" s="1"/>
  <c r="J1572" i="2"/>
  <c r="T1572" i="2" s="1"/>
  <c r="L1572" i="2"/>
  <c r="M1572" i="2"/>
  <c r="A1573" i="2"/>
  <c r="B1573" i="2"/>
  <c r="C1573" i="2"/>
  <c r="G1573" i="2"/>
  <c r="I1573" i="2"/>
  <c r="J1573" i="2"/>
  <c r="T1573" i="2" s="1"/>
  <c r="L1573" i="2"/>
  <c r="M1573" i="2"/>
  <c r="A1574" i="2"/>
  <c r="B1574" i="2"/>
  <c r="C1574" i="2"/>
  <c r="G1574" i="2"/>
  <c r="I1574" i="2"/>
  <c r="U1574" i="2" s="1"/>
  <c r="J1574" i="2"/>
  <c r="T1574" i="2" s="1"/>
  <c r="L1574" i="2"/>
  <c r="M1574" i="2"/>
  <c r="A1575" i="2"/>
  <c r="B1575" i="2"/>
  <c r="C1575" i="2"/>
  <c r="G1575" i="2"/>
  <c r="I1575" i="2"/>
  <c r="U1575" i="2" s="1"/>
  <c r="J1575" i="2"/>
  <c r="T1575" i="2" s="1"/>
  <c r="L1575" i="2"/>
  <c r="M1575" i="2"/>
  <c r="A1576" i="2"/>
  <c r="B1576" i="2"/>
  <c r="C1576" i="2"/>
  <c r="G1576" i="2"/>
  <c r="I1576" i="2"/>
  <c r="U1576" i="2" s="1"/>
  <c r="J1576" i="2"/>
  <c r="T1576" i="2" s="1"/>
  <c r="L1576" i="2"/>
  <c r="M1576" i="2"/>
  <c r="A1577" i="2"/>
  <c r="B1577" i="2"/>
  <c r="C1577" i="2"/>
  <c r="G1577" i="2"/>
  <c r="I1577" i="2"/>
  <c r="U1577" i="2" s="1"/>
  <c r="J1577" i="2"/>
  <c r="T1577" i="2" s="1"/>
  <c r="L1577" i="2"/>
  <c r="M1577" i="2"/>
  <c r="A1578" i="2"/>
  <c r="B1578" i="2"/>
  <c r="C1578" i="2"/>
  <c r="G1578" i="2"/>
  <c r="I1578" i="2"/>
  <c r="U1578" i="2" s="1"/>
  <c r="J1578" i="2"/>
  <c r="T1578" i="2" s="1"/>
  <c r="L1578" i="2"/>
  <c r="M1578" i="2"/>
  <c r="A1579" i="2"/>
  <c r="B1579" i="2"/>
  <c r="C1579" i="2"/>
  <c r="G1579" i="2"/>
  <c r="I1579" i="2"/>
  <c r="U1579" i="2" s="1"/>
  <c r="J1579" i="2"/>
  <c r="T1579" i="2" s="1"/>
  <c r="L1579" i="2"/>
  <c r="M1579" i="2"/>
  <c r="A1580" i="2"/>
  <c r="B1580" i="2"/>
  <c r="C1580" i="2"/>
  <c r="G1580" i="2"/>
  <c r="I1580" i="2"/>
  <c r="U1580" i="2" s="1"/>
  <c r="J1580" i="2"/>
  <c r="T1580" i="2" s="1"/>
  <c r="L1580" i="2"/>
  <c r="M1580" i="2"/>
  <c r="A1581" i="2"/>
  <c r="B1581" i="2"/>
  <c r="C1581" i="2"/>
  <c r="G1581" i="2"/>
  <c r="I1581" i="2"/>
  <c r="J1581" i="2"/>
  <c r="T1581" i="2" s="1"/>
  <c r="L1581" i="2"/>
  <c r="M1581" i="2"/>
  <c r="A1582" i="2"/>
  <c r="B1582" i="2"/>
  <c r="C1582" i="2"/>
  <c r="G1582" i="2"/>
  <c r="I1582" i="2"/>
  <c r="U1582" i="2" s="1"/>
  <c r="J1582" i="2"/>
  <c r="T1582" i="2" s="1"/>
  <c r="L1582" i="2"/>
  <c r="M1582" i="2"/>
  <c r="A1583" i="2"/>
  <c r="B1583" i="2"/>
  <c r="C1583" i="2"/>
  <c r="G1583" i="2"/>
  <c r="I1583" i="2"/>
  <c r="U1583" i="2" s="1"/>
  <c r="J1583" i="2"/>
  <c r="T1583" i="2" s="1"/>
  <c r="L1583" i="2"/>
  <c r="M1583" i="2"/>
  <c r="A1584" i="2"/>
  <c r="B1584" i="2"/>
  <c r="C1584" i="2"/>
  <c r="G1584" i="2"/>
  <c r="I1584" i="2"/>
  <c r="U1584" i="2" s="1"/>
  <c r="J1584" i="2"/>
  <c r="T1584" i="2" s="1"/>
  <c r="L1584" i="2"/>
  <c r="M1584" i="2"/>
  <c r="A1585" i="2"/>
  <c r="B1585" i="2"/>
  <c r="C1585" i="2"/>
  <c r="G1585" i="2"/>
  <c r="I1585" i="2"/>
  <c r="U1585" i="2" s="1"/>
  <c r="J1585" i="2"/>
  <c r="T1585" i="2" s="1"/>
  <c r="L1585" i="2"/>
  <c r="M1585" i="2"/>
  <c r="A1586" i="2"/>
  <c r="B1586" i="2"/>
  <c r="C1586" i="2"/>
  <c r="G1586" i="2"/>
  <c r="I1586" i="2"/>
  <c r="U1586" i="2" s="1"/>
  <c r="J1586" i="2"/>
  <c r="T1586" i="2" s="1"/>
  <c r="L1586" i="2"/>
  <c r="M1586" i="2"/>
  <c r="A1587" i="2"/>
  <c r="B1587" i="2"/>
  <c r="C1587" i="2"/>
  <c r="G1587" i="2"/>
  <c r="I1587" i="2"/>
  <c r="U1587" i="2" s="1"/>
  <c r="J1587" i="2"/>
  <c r="T1587" i="2" s="1"/>
  <c r="L1587" i="2"/>
  <c r="M1587" i="2"/>
  <c r="A1588" i="2"/>
  <c r="B1588" i="2"/>
  <c r="C1588" i="2"/>
  <c r="G1588" i="2"/>
  <c r="I1588" i="2"/>
  <c r="U1588" i="2" s="1"/>
  <c r="J1588" i="2"/>
  <c r="T1588" i="2" s="1"/>
  <c r="L1588" i="2"/>
  <c r="M1588" i="2"/>
  <c r="A1589" i="2"/>
  <c r="B1589" i="2"/>
  <c r="C1589" i="2"/>
  <c r="G1589" i="2"/>
  <c r="I1589" i="2"/>
  <c r="U1589" i="2" s="1"/>
  <c r="J1589" i="2"/>
  <c r="T1589" i="2" s="1"/>
  <c r="L1589" i="2"/>
  <c r="M1589" i="2"/>
  <c r="A1590" i="2"/>
  <c r="B1590" i="2"/>
  <c r="C1590" i="2"/>
  <c r="G1590" i="2"/>
  <c r="I1590" i="2"/>
  <c r="U1590" i="2" s="1"/>
  <c r="J1590" i="2"/>
  <c r="T1590" i="2" s="1"/>
  <c r="L1590" i="2"/>
  <c r="M1590" i="2"/>
  <c r="A1591" i="2"/>
  <c r="B1591" i="2"/>
  <c r="C1591" i="2"/>
  <c r="G1591" i="2"/>
  <c r="I1591" i="2"/>
  <c r="U1591" i="2" s="1"/>
  <c r="J1591" i="2"/>
  <c r="T1591" i="2" s="1"/>
  <c r="L1591" i="2"/>
  <c r="M1591" i="2"/>
  <c r="A1592" i="2"/>
  <c r="B1592" i="2"/>
  <c r="C1592" i="2"/>
  <c r="G1592" i="2"/>
  <c r="I1592" i="2"/>
  <c r="U1592" i="2" s="1"/>
  <c r="J1592" i="2"/>
  <c r="L1592" i="2"/>
  <c r="M1592" i="2"/>
  <c r="A1593" i="2"/>
  <c r="B1593" i="2"/>
  <c r="C1593" i="2"/>
  <c r="G1593" i="2"/>
  <c r="I1593" i="2"/>
  <c r="U1593" i="2" s="1"/>
  <c r="J1593" i="2"/>
  <c r="T1593" i="2" s="1"/>
  <c r="L1593" i="2"/>
  <c r="M1593" i="2"/>
  <c r="A1594" i="2"/>
  <c r="B1594" i="2"/>
  <c r="C1594" i="2"/>
  <c r="G1594" i="2"/>
  <c r="I1594" i="2"/>
  <c r="U1594" i="2" s="1"/>
  <c r="J1594" i="2"/>
  <c r="T1594" i="2" s="1"/>
  <c r="L1594" i="2"/>
  <c r="M1594" i="2"/>
  <c r="A1595" i="2"/>
  <c r="B1595" i="2"/>
  <c r="C1595" i="2"/>
  <c r="G1595" i="2"/>
  <c r="I1595" i="2"/>
  <c r="U1595" i="2" s="1"/>
  <c r="J1595" i="2"/>
  <c r="T1595" i="2" s="1"/>
  <c r="L1595" i="2"/>
  <c r="M1595" i="2"/>
  <c r="A1596" i="2"/>
  <c r="B1596" i="2"/>
  <c r="C1596" i="2"/>
  <c r="G1596" i="2"/>
  <c r="I1596" i="2"/>
  <c r="U1596" i="2" s="1"/>
  <c r="J1596" i="2"/>
  <c r="T1596" i="2" s="1"/>
  <c r="L1596" i="2"/>
  <c r="M1596" i="2"/>
  <c r="A1597" i="2"/>
  <c r="B1597" i="2"/>
  <c r="C1597" i="2"/>
  <c r="G1597" i="2"/>
  <c r="I1597" i="2"/>
  <c r="J1597" i="2"/>
  <c r="T1597" i="2" s="1"/>
  <c r="L1597" i="2"/>
  <c r="M1597" i="2"/>
  <c r="A1598" i="2"/>
  <c r="B1598" i="2"/>
  <c r="C1598" i="2"/>
  <c r="G1598" i="2"/>
  <c r="I1598" i="2"/>
  <c r="U1598" i="2" s="1"/>
  <c r="J1598" i="2"/>
  <c r="T1598" i="2" s="1"/>
  <c r="L1598" i="2"/>
  <c r="M1598" i="2"/>
  <c r="A1599" i="2"/>
  <c r="B1599" i="2"/>
  <c r="C1599" i="2"/>
  <c r="G1599" i="2"/>
  <c r="I1599" i="2"/>
  <c r="U1599" i="2" s="1"/>
  <c r="J1599" i="2"/>
  <c r="T1599" i="2" s="1"/>
  <c r="L1599" i="2"/>
  <c r="M1599" i="2"/>
  <c r="A1600" i="2"/>
  <c r="B1600" i="2"/>
  <c r="C1600" i="2"/>
  <c r="G1600" i="2"/>
  <c r="I1600" i="2"/>
  <c r="U1600" i="2" s="1"/>
  <c r="J1600" i="2"/>
  <c r="T1600" i="2" s="1"/>
  <c r="L1600" i="2"/>
  <c r="M1600" i="2"/>
  <c r="A1601" i="2"/>
  <c r="B1601" i="2"/>
  <c r="C1601" i="2"/>
  <c r="G1601" i="2"/>
  <c r="I1601" i="2"/>
  <c r="U1601" i="2" s="1"/>
  <c r="J1601" i="2"/>
  <c r="T1601" i="2" s="1"/>
  <c r="L1601" i="2"/>
  <c r="M1601" i="2"/>
  <c r="A1602" i="2"/>
  <c r="B1602" i="2"/>
  <c r="C1602" i="2"/>
  <c r="G1602" i="2"/>
  <c r="I1602" i="2"/>
  <c r="J1602" i="2"/>
  <c r="T1602" i="2" s="1"/>
  <c r="L1602" i="2"/>
  <c r="M1602" i="2"/>
  <c r="A1603" i="2"/>
  <c r="B1603" i="2"/>
  <c r="C1603" i="2"/>
  <c r="G1603" i="2"/>
  <c r="I1603" i="2"/>
  <c r="U1603" i="2" s="1"/>
  <c r="J1603" i="2"/>
  <c r="L1603" i="2"/>
  <c r="M1603" i="2"/>
  <c r="A1604" i="2"/>
  <c r="B1604" i="2"/>
  <c r="C1604" i="2"/>
  <c r="G1604" i="2"/>
  <c r="I1604" i="2"/>
  <c r="U1604" i="2" s="1"/>
  <c r="J1604" i="2"/>
  <c r="T1604" i="2" s="1"/>
  <c r="L1604" i="2"/>
  <c r="M1604" i="2"/>
  <c r="A1605" i="2"/>
  <c r="B1605" i="2"/>
  <c r="C1605" i="2"/>
  <c r="G1605" i="2"/>
  <c r="I1605" i="2"/>
  <c r="U1605" i="2" s="1"/>
  <c r="J1605" i="2"/>
  <c r="T1605" i="2" s="1"/>
  <c r="L1605" i="2"/>
  <c r="M1605" i="2"/>
  <c r="A1606" i="2"/>
  <c r="B1606" i="2"/>
  <c r="C1606" i="2"/>
  <c r="G1606" i="2"/>
  <c r="I1606" i="2"/>
  <c r="U1606" i="2" s="1"/>
  <c r="J1606" i="2"/>
  <c r="T1606" i="2" s="1"/>
  <c r="L1606" i="2"/>
  <c r="M1606" i="2"/>
  <c r="A1607" i="2"/>
  <c r="B1607" i="2"/>
  <c r="C1607" i="2"/>
  <c r="G1607" i="2"/>
  <c r="I1607" i="2"/>
  <c r="U1607" i="2" s="1"/>
  <c r="J1607" i="2"/>
  <c r="L1607" i="2"/>
  <c r="M1607" i="2"/>
  <c r="A1608" i="2"/>
  <c r="B1608" i="2"/>
  <c r="C1608" i="2"/>
  <c r="G1608" i="2"/>
  <c r="I1608" i="2"/>
  <c r="U1608" i="2" s="1"/>
  <c r="J1608" i="2"/>
  <c r="T1608" i="2" s="1"/>
  <c r="L1608" i="2"/>
  <c r="M1608" i="2"/>
  <c r="A1609" i="2"/>
  <c r="B1609" i="2"/>
  <c r="C1609" i="2"/>
  <c r="G1609" i="2"/>
  <c r="I1609" i="2"/>
  <c r="U1609" i="2" s="1"/>
  <c r="J1609" i="2"/>
  <c r="T1609" i="2" s="1"/>
  <c r="L1609" i="2"/>
  <c r="M1609" i="2"/>
  <c r="A1610" i="2"/>
  <c r="B1610" i="2"/>
  <c r="C1610" i="2"/>
  <c r="G1610" i="2"/>
  <c r="I1610" i="2"/>
  <c r="U1610" i="2" s="1"/>
  <c r="J1610" i="2"/>
  <c r="T1610" i="2" s="1"/>
  <c r="L1610" i="2"/>
  <c r="M1610" i="2"/>
  <c r="A1611" i="2"/>
  <c r="B1611" i="2"/>
  <c r="C1611" i="2"/>
  <c r="G1611" i="2"/>
  <c r="I1611" i="2"/>
  <c r="U1611" i="2" s="1"/>
  <c r="J1611" i="2"/>
  <c r="L1611" i="2"/>
  <c r="M1611" i="2"/>
  <c r="A1612" i="2"/>
  <c r="B1612" i="2"/>
  <c r="C1612" i="2"/>
  <c r="G1612" i="2"/>
  <c r="I1612" i="2"/>
  <c r="U1612" i="2" s="1"/>
  <c r="J1612" i="2"/>
  <c r="T1612" i="2" s="1"/>
  <c r="L1612" i="2"/>
  <c r="M1612" i="2"/>
  <c r="A1613" i="2"/>
  <c r="B1613" i="2"/>
  <c r="C1613" i="2"/>
  <c r="G1613" i="2"/>
  <c r="I1613" i="2"/>
  <c r="U1613" i="2" s="1"/>
  <c r="J1613" i="2"/>
  <c r="T1613" i="2" s="1"/>
  <c r="L1613" i="2"/>
  <c r="M1613" i="2"/>
  <c r="A1614" i="2"/>
  <c r="B1614" i="2"/>
  <c r="C1614" i="2"/>
  <c r="G1614" i="2"/>
  <c r="I1614" i="2"/>
  <c r="J1614" i="2"/>
  <c r="T1614" i="2" s="1"/>
  <c r="L1614" i="2"/>
  <c r="M1614" i="2"/>
  <c r="A1615" i="2"/>
  <c r="B1615" i="2"/>
  <c r="C1615" i="2"/>
  <c r="G1615" i="2"/>
  <c r="I1615" i="2"/>
  <c r="U1615" i="2" s="1"/>
  <c r="J1615" i="2"/>
  <c r="L1615" i="2"/>
  <c r="M1615" i="2"/>
  <c r="A1616" i="2"/>
  <c r="B1616" i="2"/>
  <c r="C1616" i="2"/>
  <c r="G1616" i="2"/>
  <c r="I1616" i="2"/>
  <c r="J1616" i="2"/>
  <c r="T1616" i="2" s="1"/>
  <c r="L1616" i="2"/>
  <c r="M1616" i="2"/>
  <c r="A1617" i="2"/>
  <c r="B1617" i="2"/>
  <c r="C1617" i="2"/>
  <c r="G1617" i="2"/>
  <c r="I1617" i="2"/>
  <c r="J1617" i="2"/>
  <c r="T1617" i="2" s="1"/>
  <c r="L1617" i="2"/>
  <c r="M1617" i="2"/>
  <c r="A1618" i="2"/>
  <c r="B1618" i="2"/>
  <c r="C1618" i="2"/>
  <c r="G1618" i="2"/>
  <c r="I1618" i="2"/>
  <c r="J1618" i="2"/>
  <c r="T1618" i="2" s="1"/>
  <c r="L1618" i="2"/>
  <c r="M1618" i="2"/>
  <c r="A1619" i="2"/>
  <c r="B1619" i="2"/>
  <c r="C1619" i="2"/>
  <c r="G1619" i="2"/>
  <c r="I1619" i="2"/>
  <c r="U1619" i="2" s="1"/>
  <c r="J1619" i="2"/>
  <c r="L1619" i="2"/>
  <c r="M1619" i="2"/>
  <c r="A1620" i="2"/>
  <c r="B1620" i="2"/>
  <c r="C1620" i="2"/>
  <c r="G1620" i="2"/>
  <c r="I1620" i="2"/>
  <c r="U1620" i="2" s="1"/>
  <c r="J1620" i="2"/>
  <c r="T1620" i="2" s="1"/>
  <c r="L1620" i="2"/>
  <c r="M1620" i="2"/>
  <c r="A1621" i="2"/>
  <c r="B1621" i="2"/>
  <c r="C1621" i="2"/>
  <c r="G1621" i="2"/>
  <c r="I1621" i="2"/>
  <c r="U1621" i="2" s="1"/>
  <c r="J1621" i="2"/>
  <c r="T1621" i="2" s="1"/>
  <c r="L1621" i="2"/>
  <c r="M1621" i="2"/>
  <c r="A1622" i="2"/>
  <c r="B1622" i="2"/>
  <c r="C1622" i="2"/>
  <c r="G1622" i="2"/>
  <c r="I1622" i="2"/>
  <c r="U1622" i="2" s="1"/>
  <c r="J1622" i="2"/>
  <c r="T1622" i="2" s="1"/>
  <c r="L1622" i="2"/>
  <c r="M1622" i="2"/>
  <c r="A1623" i="2"/>
  <c r="B1623" i="2"/>
  <c r="C1623" i="2"/>
  <c r="G1623" i="2"/>
  <c r="I1623" i="2"/>
  <c r="U1623" i="2" s="1"/>
  <c r="J1623" i="2"/>
  <c r="L1623" i="2"/>
  <c r="M1623" i="2"/>
  <c r="A1624" i="2"/>
  <c r="B1624" i="2"/>
  <c r="C1624" i="2"/>
  <c r="G1624" i="2"/>
  <c r="I1624" i="2"/>
  <c r="U1624" i="2" s="1"/>
  <c r="J1624" i="2"/>
  <c r="T1624" i="2" s="1"/>
  <c r="L1624" i="2"/>
  <c r="M1624" i="2"/>
  <c r="A1625" i="2"/>
  <c r="B1625" i="2"/>
  <c r="C1625" i="2"/>
  <c r="G1625" i="2"/>
  <c r="I1625" i="2"/>
  <c r="U1625" i="2" s="1"/>
  <c r="J1625" i="2"/>
  <c r="T1625" i="2" s="1"/>
  <c r="L1625" i="2"/>
  <c r="M1625" i="2"/>
  <c r="A1626" i="2"/>
  <c r="B1626" i="2"/>
  <c r="C1626" i="2"/>
  <c r="G1626" i="2"/>
  <c r="I1626" i="2"/>
  <c r="U1626" i="2" s="1"/>
  <c r="J1626" i="2"/>
  <c r="T1626" i="2" s="1"/>
  <c r="L1626" i="2"/>
  <c r="M1626" i="2"/>
  <c r="A1627" i="2"/>
  <c r="B1627" i="2"/>
  <c r="C1627" i="2"/>
  <c r="G1627" i="2"/>
  <c r="I1627" i="2"/>
  <c r="U1627" i="2" s="1"/>
  <c r="J1627" i="2"/>
  <c r="T1627" i="2" s="1"/>
  <c r="K1627" i="2"/>
  <c r="L1627" i="2"/>
  <c r="M1627" i="2"/>
  <c r="A1628" i="2"/>
  <c r="B1628" i="2"/>
  <c r="C1628" i="2"/>
  <c r="G1628" i="2"/>
  <c r="I1628" i="2"/>
  <c r="U1628" i="2" s="1"/>
  <c r="J1628" i="2"/>
  <c r="T1628" i="2" s="1"/>
  <c r="K1628" i="2"/>
  <c r="L1628" i="2"/>
  <c r="M1628" i="2"/>
  <c r="Q1628" i="2" s="1"/>
  <c r="A1629" i="2"/>
  <c r="B1629" i="2"/>
  <c r="C1629" i="2"/>
  <c r="G1629" i="2"/>
  <c r="I1629" i="2"/>
  <c r="U1629" i="2" s="1"/>
  <c r="J1629" i="2"/>
  <c r="T1629" i="2" s="1"/>
  <c r="K1629" i="2"/>
  <c r="L1629" i="2"/>
  <c r="M1629" i="2"/>
  <c r="A1630" i="2"/>
  <c r="B1630" i="2"/>
  <c r="C1630" i="2"/>
  <c r="G1630" i="2"/>
  <c r="I1630" i="2"/>
  <c r="U1630" i="2" s="1"/>
  <c r="J1630" i="2"/>
  <c r="K1630" i="2"/>
  <c r="L1630" i="2"/>
  <c r="M1630" i="2"/>
  <c r="P1630" i="2" s="1"/>
  <c r="T1630" i="2"/>
  <c r="A1631" i="2"/>
  <c r="B1631" i="2"/>
  <c r="C1631" i="2"/>
  <c r="G1631" i="2"/>
  <c r="I1631" i="2"/>
  <c r="U1631" i="2" s="1"/>
  <c r="J1631" i="2"/>
  <c r="T1631" i="2" s="1"/>
  <c r="K1631" i="2"/>
  <c r="L1631" i="2"/>
  <c r="M1631" i="2"/>
  <c r="P1631" i="2" s="1"/>
  <c r="A1632" i="2"/>
  <c r="B1632" i="2"/>
  <c r="C1632" i="2"/>
  <c r="G1632" i="2"/>
  <c r="I1632" i="2"/>
  <c r="U1632" i="2" s="1"/>
  <c r="J1632" i="2"/>
  <c r="T1632" i="2" s="1"/>
  <c r="K1632" i="2"/>
  <c r="L1632" i="2"/>
  <c r="M1632" i="2"/>
  <c r="A1633" i="2"/>
  <c r="B1633" i="2"/>
  <c r="C1633" i="2"/>
  <c r="G1633" i="2"/>
  <c r="I1633" i="2"/>
  <c r="U1633" i="2" s="1"/>
  <c r="J1633" i="2"/>
  <c r="T1633" i="2" s="1"/>
  <c r="K1633" i="2"/>
  <c r="L1633" i="2"/>
  <c r="M1633" i="2"/>
  <c r="A1634" i="2"/>
  <c r="B1634" i="2"/>
  <c r="C1634" i="2"/>
  <c r="G1634" i="2"/>
  <c r="I1634" i="2"/>
  <c r="U1634" i="2" s="1"/>
  <c r="J1634" i="2"/>
  <c r="T1634" i="2" s="1"/>
  <c r="K1634" i="2"/>
  <c r="L1634" i="2"/>
  <c r="M1634" i="2"/>
  <c r="P1634" i="2" s="1"/>
  <c r="A1635" i="2"/>
  <c r="B1635" i="2"/>
  <c r="C1635" i="2"/>
  <c r="G1635" i="2"/>
  <c r="I1635" i="2"/>
  <c r="U1635" i="2" s="1"/>
  <c r="J1635" i="2"/>
  <c r="T1635" i="2" s="1"/>
  <c r="K1635" i="2"/>
  <c r="L1635" i="2"/>
  <c r="M1635" i="2"/>
  <c r="Q1635" i="2" s="1"/>
  <c r="A1636" i="2"/>
  <c r="B1636" i="2"/>
  <c r="C1636" i="2"/>
  <c r="G1636" i="2"/>
  <c r="I1636" i="2"/>
  <c r="U1636" i="2" s="1"/>
  <c r="J1636" i="2"/>
  <c r="T1636" i="2" s="1"/>
  <c r="K1636" i="2"/>
  <c r="L1636" i="2"/>
  <c r="M1636" i="2"/>
  <c r="Q1636" i="2" s="1"/>
  <c r="A1637" i="2"/>
  <c r="B1637" i="2"/>
  <c r="C1637" i="2"/>
  <c r="G1637" i="2"/>
  <c r="I1637" i="2"/>
  <c r="U1637" i="2" s="1"/>
  <c r="J1637" i="2"/>
  <c r="T1637" i="2" s="1"/>
  <c r="K1637" i="2"/>
  <c r="L1637" i="2"/>
  <c r="M1637" i="2"/>
  <c r="P1637" i="2" s="1"/>
  <c r="A1638" i="2"/>
  <c r="B1638" i="2"/>
  <c r="C1638" i="2"/>
  <c r="G1638" i="2"/>
  <c r="I1638" i="2"/>
  <c r="U1638" i="2" s="1"/>
  <c r="J1638" i="2"/>
  <c r="T1638" i="2" s="1"/>
  <c r="K1638" i="2"/>
  <c r="L1638" i="2"/>
  <c r="M1638" i="2"/>
  <c r="P1638" i="2" s="1"/>
  <c r="A1639" i="2"/>
  <c r="B1639" i="2"/>
  <c r="C1639" i="2"/>
  <c r="G1639" i="2"/>
  <c r="I1639" i="2"/>
  <c r="U1639" i="2" s="1"/>
  <c r="J1639" i="2"/>
  <c r="T1639" i="2" s="1"/>
  <c r="K1639" i="2"/>
  <c r="L1639" i="2"/>
  <c r="M1639" i="2"/>
  <c r="Q1639" i="2" s="1"/>
  <c r="A1640" i="2"/>
  <c r="B1640" i="2"/>
  <c r="C1640" i="2"/>
  <c r="G1640" i="2"/>
  <c r="I1640" i="2"/>
  <c r="U1640" i="2" s="1"/>
  <c r="J1640" i="2"/>
  <c r="T1640" i="2" s="1"/>
  <c r="K1640" i="2"/>
  <c r="L1640" i="2"/>
  <c r="M1640" i="2"/>
  <c r="Q1640" i="2" s="1"/>
  <c r="A1641" i="2"/>
  <c r="B1641" i="2"/>
  <c r="C1641" i="2"/>
  <c r="G1641" i="2"/>
  <c r="I1641" i="2"/>
  <c r="U1641" i="2" s="1"/>
  <c r="J1641" i="2"/>
  <c r="T1641" i="2" s="1"/>
  <c r="K1641" i="2"/>
  <c r="L1641" i="2"/>
  <c r="M1641" i="2"/>
  <c r="P1641" i="2" s="1"/>
  <c r="A1642" i="2"/>
  <c r="B1642" i="2"/>
  <c r="C1642" i="2"/>
  <c r="G1642" i="2"/>
  <c r="I1642" i="2"/>
  <c r="U1642" i="2" s="1"/>
  <c r="J1642" i="2"/>
  <c r="T1642" i="2" s="1"/>
  <c r="K1642" i="2"/>
  <c r="L1642" i="2"/>
  <c r="M1642" i="2"/>
  <c r="P1642" i="2" s="1"/>
  <c r="A1643" i="2"/>
  <c r="B1643" i="2"/>
  <c r="C1643" i="2"/>
  <c r="G1643" i="2"/>
  <c r="I1643" i="2"/>
  <c r="U1643" i="2" s="1"/>
  <c r="J1643" i="2"/>
  <c r="T1643" i="2" s="1"/>
  <c r="K1643" i="2"/>
  <c r="L1643" i="2"/>
  <c r="M1643" i="2"/>
  <c r="Q1643" i="2" s="1"/>
  <c r="A1644" i="2"/>
  <c r="B1644" i="2"/>
  <c r="C1644" i="2"/>
  <c r="G1644" i="2"/>
  <c r="I1644" i="2"/>
  <c r="U1644" i="2" s="1"/>
  <c r="J1644" i="2"/>
  <c r="T1644" i="2" s="1"/>
  <c r="K1644" i="2"/>
  <c r="L1644" i="2"/>
  <c r="M1644" i="2"/>
  <c r="Q1644" i="2" s="1"/>
  <c r="A1645" i="2"/>
  <c r="B1645" i="2"/>
  <c r="C1645" i="2"/>
  <c r="G1645" i="2"/>
  <c r="I1645" i="2"/>
  <c r="U1645" i="2" s="1"/>
  <c r="J1645" i="2"/>
  <c r="T1645" i="2" s="1"/>
  <c r="K1645" i="2"/>
  <c r="L1645" i="2"/>
  <c r="M1645" i="2"/>
  <c r="Q1645" i="2" s="1"/>
  <c r="A1646" i="2"/>
  <c r="B1646" i="2"/>
  <c r="C1646" i="2"/>
  <c r="G1646" i="2"/>
  <c r="I1646" i="2"/>
  <c r="U1646" i="2" s="1"/>
  <c r="J1646" i="2"/>
  <c r="T1646" i="2" s="1"/>
  <c r="K1646" i="2"/>
  <c r="L1646" i="2"/>
  <c r="M1646" i="2"/>
  <c r="P1646" i="2" s="1"/>
  <c r="A1647" i="2"/>
  <c r="B1647" i="2"/>
  <c r="C1647" i="2"/>
  <c r="G1647" i="2"/>
  <c r="I1647" i="2"/>
  <c r="U1647" i="2" s="1"/>
  <c r="J1647" i="2"/>
  <c r="T1647" i="2" s="1"/>
  <c r="K1647" i="2"/>
  <c r="L1647" i="2"/>
  <c r="M1647" i="2"/>
  <c r="Q1647" i="2" s="1"/>
  <c r="A1648" i="2"/>
  <c r="B1648" i="2"/>
  <c r="C1648" i="2"/>
  <c r="G1648" i="2"/>
  <c r="I1648" i="2"/>
  <c r="U1648" i="2" s="1"/>
  <c r="J1648" i="2"/>
  <c r="T1648" i="2" s="1"/>
  <c r="K1648" i="2"/>
  <c r="L1648" i="2"/>
  <c r="M1648" i="2"/>
  <c r="Q1648" i="2" s="1"/>
  <c r="A1649" i="2"/>
  <c r="B1649" i="2"/>
  <c r="C1649" i="2"/>
  <c r="G1649" i="2"/>
  <c r="I1649" i="2"/>
  <c r="U1649" i="2" s="1"/>
  <c r="J1649" i="2"/>
  <c r="T1649" i="2" s="1"/>
  <c r="K1649" i="2"/>
  <c r="L1649" i="2"/>
  <c r="M1649" i="2"/>
  <c r="Q1649" i="2" s="1"/>
  <c r="A1650" i="2"/>
  <c r="B1650" i="2"/>
  <c r="C1650" i="2"/>
  <c r="G1650" i="2"/>
  <c r="I1650" i="2"/>
  <c r="U1650" i="2" s="1"/>
  <c r="J1650" i="2"/>
  <c r="T1650" i="2" s="1"/>
  <c r="K1650" i="2"/>
  <c r="L1650" i="2"/>
  <c r="M1650" i="2"/>
  <c r="P1650" i="2" s="1"/>
  <c r="A1651" i="2"/>
  <c r="B1651" i="2"/>
  <c r="C1651" i="2"/>
  <c r="G1651" i="2"/>
  <c r="I1651" i="2"/>
  <c r="U1651" i="2" s="1"/>
  <c r="J1651" i="2"/>
  <c r="T1651" i="2" s="1"/>
  <c r="K1651" i="2"/>
  <c r="L1651" i="2"/>
  <c r="M1651" i="2"/>
  <c r="Q1651" i="2" s="1"/>
  <c r="A1652" i="2"/>
  <c r="B1652" i="2"/>
  <c r="C1652" i="2"/>
  <c r="G1652" i="2"/>
  <c r="I1652" i="2"/>
  <c r="U1652" i="2" s="1"/>
  <c r="J1652" i="2"/>
  <c r="T1652" i="2" s="1"/>
  <c r="K1652" i="2"/>
  <c r="L1652" i="2"/>
  <c r="M1652" i="2"/>
  <c r="Q1652" i="2" s="1"/>
  <c r="A1653" i="2"/>
  <c r="B1653" i="2"/>
  <c r="C1653" i="2"/>
  <c r="G1653" i="2"/>
  <c r="I1653" i="2"/>
  <c r="U1653" i="2" s="1"/>
  <c r="J1653" i="2"/>
  <c r="T1653" i="2" s="1"/>
  <c r="K1653" i="2"/>
  <c r="L1653" i="2"/>
  <c r="M1653" i="2"/>
  <c r="A1654" i="2"/>
  <c r="B1654" i="2"/>
  <c r="C1654" i="2"/>
  <c r="G1654" i="2"/>
  <c r="I1654" i="2"/>
  <c r="U1654" i="2" s="1"/>
  <c r="J1654" i="2"/>
  <c r="T1654" i="2" s="1"/>
  <c r="K1654" i="2"/>
  <c r="L1654" i="2"/>
  <c r="M1654" i="2"/>
  <c r="A1655" i="2"/>
  <c r="B1655" i="2"/>
  <c r="C1655" i="2"/>
  <c r="G1655" i="2"/>
  <c r="I1655" i="2"/>
  <c r="U1655" i="2" s="1"/>
  <c r="J1655" i="2"/>
  <c r="T1655" i="2" s="1"/>
  <c r="K1655" i="2"/>
  <c r="L1655" i="2"/>
  <c r="M1655" i="2"/>
  <c r="P1655" i="2" s="1"/>
  <c r="A1656" i="2"/>
  <c r="B1656" i="2"/>
  <c r="C1656" i="2"/>
  <c r="G1656" i="2"/>
  <c r="I1656" i="2"/>
  <c r="U1656" i="2" s="1"/>
  <c r="J1656" i="2"/>
  <c r="T1656" i="2" s="1"/>
  <c r="K1656" i="2"/>
  <c r="L1656" i="2"/>
  <c r="M1656" i="2"/>
  <c r="Q1656" i="2" s="1"/>
  <c r="A1657" i="2"/>
  <c r="B1657" i="2"/>
  <c r="C1657" i="2"/>
  <c r="G1657" i="2"/>
  <c r="I1657" i="2"/>
  <c r="U1657" i="2" s="1"/>
  <c r="J1657" i="2"/>
  <c r="T1657" i="2" s="1"/>
  <c r="K1657" i="2"/>
  <c r="L1657" i="2"/>
  <c r="M1657" i="2"/>
  <c r="P1657" i="2" s="1"/>
  <c r="A1658" i="2"/>
  <c r="B1658" i="2"/>
  <c r="C1658" i="2"/>
  <c r="G1658" i="2"/>
  <c r="I1658" i="2"/>
  <c r="U1658" i="2" s="1"/>
  <c r="J1658" i="2"/>
  <c r="T1658" i="2" s="1"/>
  <c r="K1658" i="2"/>
  <c r="L1658" i="2"/>
  <c r="M1658" i="2"/>
  <c r="P1658" i="2" s="1"/>
  <c r="A1659" i="2"/>
  <c r="B1659" i="2"/>
  <c r="C1659" i="2"/>
  <c r="G1659" i="2"/>
  <c r="I1659" i="2"/>
  <c r="U1659" i="2" s="1"/>
  <c r="J1659" i="2"/>
  <c r="T1659" i="2" s="1"/>
  <c r="K1659" i="2"/>
  <c r="L1659" i="2"/>
  <c r="M1659" i="2"/>
  <c r="Q1659" i="2" s="1"/>
  <c r="A1660" i="2"/>
  <c r="B1660" i="2"/>
  <c r="C1660" i="2"/>
  <c r="G1660" i="2"/>
  <c r="I1660" i="2"/>
  <c r="U1660" i="2" s="1"/>
  <c r="J1660" i="2"/>
  <c r="T1660" i="2" s="1"/>
  <c r="K1660" i="2"/>
  <c r="L1660" i="2"/>
  <c r="M1660" i="2"/>
  <c r="Q1660" i="2" s="1"/>
  <c r="A1661" i="2"/>
  <c r="B1661" i="2"/>
  <c r="C1661" i="2"/>
  <c r="G1661" i="2"/>
  <c r="I1661" i="2"/>
  <c r="U1661" i="2" s="1"/>
  <c r="J1661" i="2"/>
  <c r="T1661" i="2" s="1"/>
  <c r="K1661" i="2"/>
  <c r="L1661" i="2"/>
  <c r="M1661" i="2"/>
  <c r="P1661" i="2" s="1"/>
  <c r="A1662" i="2"/>
  <c r="B1662" i="2"/>
  <c r="C1662" i="2"/>
  <c r="G1662" i="2"/>
  <c r="I1662" i="2"/>
  <c r="U1662" i="2" s="1"/>
  <c r="J1662" i="2"/>
  <c r="T1662" i="2" s="1"/>
  <c r="K1662" i="2"/>
  <c r="L1662" i="2"/>
  <c r="M1662" i="2"/>
  <c r="P1662" i="2" s="1"/>
  <c r="A1663" i="2"/>
  <c r="B1663" i="2"/>
  <c r="C1663" i="2"/>
  <c r="G1663" i="2"/>
  <c r="I1663" i="2"/>
  <c r="U1663" i="2" s="1"/>
  <c r="J1663" i="2"/>
  <c r="T1663" i="2" s="1"/>
  <c r="K1663" i="2"/>
  <c r="L1663" i="2"/>
  <c r="M1663" i="2"/>
  <c r="Q1663" i="2" s="1"/>
  <c r="A1664" i="2"/>
  <c r="B1664" i="2"/>
  <c r="C1664" i="2"/>
  <c r="G1664" i="2"/>
  <c r="I1664" i="2"/>
  <c r="J1664" i="2"/>
  <c r="T1664" i="2" s="1"/>
  <c r="K1664" i="2"/>
  <c r="L1664" i="2"/>
  <c r="M1664" i="2"/>
  <c r="Q1664" i="2" s="1"/>
  <c r="A1665" i="2"/>
  <c r="B1665" i="2"/>
  <c r="C1665" i="2"/>
  <c r="G1665" i="2"/>
  <c r="I1665" i="2"/>
  <c r="U1665" i="2" s="1"/>
  <c r="J1665" i="2"/>
  <c r="T1665" i="2" s="1"/>
  <c r="K1665" i="2"/>
  <c r="L1665" i="2"/>
  <c r="M1665" i="2"/>
  <c r="Q1665" i="2" s="1"/>
  <c r="A1666" i="2"/>
  <c r="B1666" i="2"/>
  <c r="C1666" i="2"/>
  <c r="G1666" i="2"/>
  <c r="I1666" i="2"/>
  <c r="U1666" i="2" s="1"/>
  <c r="J1666" i="2"/>
  <c r="T1666" i="2" s="1"/>
  <c r="K1666" i="2"/>
  <c r="L1666" i="2"/>
  <c r="M1666" i="2"/>
  <c r="P1666" i="2" s="1"/>
  <c r="A1667" i="2"/>
  <c r="B1667" i="2"/>
  <c r="C1667" i="2"/>
  <c r="G1667" i="2"/>
  <c r="I1667" i="2"/>
  <c r="U1667" i="2" s="1"/>
  <c r="J1667" i="2"/>
  <c r="T1667" i="2" s="1"/>
  <c r="K1667" i="2"/>
  <c r="L1667" i="2"/>
  <c r="M1667" i="2"/>
  <c r="A1668" i="2"/>
  <c r="B1668" i="2"/>
  <c r="C1668" i="2"/>
  <c r="G1668" i="2"/>
  <c r="I1668" i="2"/>
  <c r="U1668" i="2" s="1"/>
  <c r="J1668" i="2"/>
  <c r="T1668" i="2" s="1"/>
  <c r="K1668" i="2"/>
  <c r="L1668" i="2"/>
  <c r="M1668" i="2"/>
  <c r="Q1668" i="2" s="1"/>
  <c r="A1669" i="2"/>
  <c r="B1669" i="2"/>
  <c r="C1669" i="2"/>
  <c r="G1669" i="2"/>
  <c r="I1669" i="2"/>
  <c r="U1669" i="2" s="1"/>
  <c r="J1669" i="2"/>
  <c r="T1669" i="2" s="1"/>
  <c r="K1669" i="2"/>
  <c r="L1669" i="2"/>
  <c r="M1669" i="2"/>
  <c r="P1669" i="2" s="1"/>
  <c r="A1670" i="2"/>
  <c r="B1670" i="2"/>
  <c r="C1670" i="2"/>
  <c r="G1670" i="2"/>
  <c r="I1670" i="2"/>
  <c r="U1670" i="2" s="1"/>
  <c r="J1670" i="2"/>
  <c r="T1670" i="2" s="1"/>
  <c r="K1670" i="2"/>
  <c r="L1670" i="2"/>
  <c r="M1670" i="2"/>
  <c r="P1670" i="2" s="1"/>
  <c r="A1671" i="2"/>
  <c r="B1671" i="2"/>
  <c r="C1671" i="2"/>
  <c r="G1671" i="2"/>
  <c r="I1671" i="2"/>
  <c r="U1671" i="2" s="1"/>
  <c r="J1671" i="2"/>
  <c r="T1671" i="2" s="1"/>
  <c r="K1671" i="2"/>
  <c r="L1671" i="2"/>
  <c r="M1671" i="2"/>
  <c r="Q1671" i="2" s="1"/>
  <c r="A1672" i="2"/>
  <c r="B1672" i="2"/>
  <c r="C1672" i="2"/>
  <c r="G1672" i="2"/>
  <c r="I1672" i="2"/>
  <c r="U1672" i="2" s="1"/>
  <c r="J1672" i="2"/>
  <c r="T1672" i="2" s="1"/>
  <c r="K1672" i="2"/>
  <c r="L1672" i="2"/>
  <c r="M1672" i="2"/>
  <c r="A1673" i="2"/>
  <c r="B1673" i="2"/>
  <c r="C1673" i="2"/>
  <c r="G1673" i="2"/>
  <c r="I1673" i="2"/>
  <c r="U1673" i="2" s="1"/>
  <c r="J1673" i="2"/>
  <c r="T1673" i="2" s="1"/>
  <c r="K1673" i="2"/>
  <c r="L1673" i="2"/>
  <c r="M1673" i="2"/>
  <c r="A1674" i="2"/>
  <c r="B1674" i="2"/>
  <c r="C1674" i="2"/>
  <c r="G1674" i="2"/>
  <c r="I1674" i="2"/>
  <c r="U1674" i="2" s="1"/>
  <c r="J1674" i="2"/>
  <c r="T1674" i="2" s="1"/>
  <c r="K1674" i="2"/>
  <c r="L1674" i="2"/>
  <c r="M1674" i="2"/>
  <c r="P1674" i="2" s="1"/>
  <c r="A1675" i="2"/>
  <c r="B1675" i="2"/>
  <c r="C1675" i="2"/>
  <c r="G1675" i="2"/>
  <c r="I1675" i="2"/>
  <c r="U1675" i="2" s="1"/>
  <c r="J1675" i="2"/>
  <c r="T1675" i="2" s="1"/>
  <c r="K1675" i="2"/>
  <c r="L1675" i="2"/>
  <c r="M1675" i="2"/>
  <c r="P1675" i="2" s="1"/>
  <c r="A1676" i="2"/>
  <c r="B1676" i="2"/>
  <c r="C1676" i="2"/>
  <c r="G1676" i="2"/>
  <c r="I1676" i="2"/>
  <c r="U1676" i="2" s="1"/>
  <c r="J1676" i="2"/>
  <c r="T1676" i="2" s="1"/>
  <c r="K1676" i="2"/>
  <c r="L1676" i="2"/>
  <c r="M1676" i="2"/>
  <c r="A1677" i="2"/>
  <c r="B1677" i="2"/>
  <c r="C1677" i="2"/>
  <c r="G1677" i="2"/>
  <c r="I1677" i="2"/>
  <c r="U1677" i="2" s="1"/>
  <c r="J1677" i="2"/>
  <c r="T1677" i="2" s="1"/>
  <c r="K1677" i="2"/>
  <c r="L1677" i="2"/>
  <c r="M1677" i="2"/>
  <c r="P1677" i="2" s="1"/>
  <c r="A1678" i="2"/>
  <c r="B1678" i="2"/>
  <c r="C1678" i="2"/>
  <c r="G1678" i="2"/>
  <c r="I1678" i="2"/>
  <c r="U1678" i="2" s="1"/>
  <c r="J1678" i="2"/>
  <c r="T1678" i="2" s="1"/>
  <c r="K1678" i="2"/>
  <c r="L1678" i="2"/>
  <c r="M1678" i="2"/>
  <c r="P1678" i="2" s="1"/>
  <c r="A1679" i="2"/>
  <c r="B1679" i="2"/>
  <c r="C1679" i="2"/>
  <c r="G1679" i="2"/>
  <c r="I1679" i="2"/>
  <c r="U1679" i="2" s="1"/>
  <c r="J1679" i="2"/>
  <c r="T1679" i="2" s="1"/>
  <c r="K1679" i="2"/>
  <c r="L1679" i="2"/>
  <c r="M1679" i="2"/>
  <c r="A1680" i="2"/>
  <c r="B1680" i="2"/>
  <c r="C1680" i="2"/>
  <c r="G1680" i="2"/>
  <c r="I1680" i="2"/>
  <c r="U1680" i="2" s="1"/>
  <c r="J1680" i="2"/>
  <c r="T1680" i="2" s="1"/>
  <c r="K1680" i="2"/>
  <c r="L1680" i="2"/>
  <c r="M1680" i="2"/>
  <c r="P1680" i="2" s="1"/>
  <c r="A1681" i="2"/>
  <c r="B1681" i="2"/>
  <c r="C1681" i="2"/>
  <c r="G1681" i="2"/>
  <c r="I1681" i="2"/>
  <c r="U1681" i="2" s="1"/>
  <c r="J1681" i="2"/>
  <c r="T1681" i="2" s="1"/>
  <c r="K1681" i="2"/>
  <c r="L1681" i="2"/>
  <c r="M1681" i="2"/>
  <c r="P1681" i="2" s="1"/>
  <c r="A1682" i="2"/>
  <c r="B1682" i="2"/>
  <c r="C1682" i="2"/>
  <c r="G1682" i="2"/>
  <c r="I1682" i="2"/>
  <c r="U1682" i="2" s="1"/>
  <c r="J1682" i="2"/>
  <c r="T1682" i="2" s="1"/>
  <c r="K1682" i="2"/>
  <c r="L1682" i="2"/>
  <c r="M1682" i="2"/>
  <c r="P1682" i="2" s="1"/>
  <c r="A1683" i="2"/>
  <c r="B1683" i="2"/>
  <c r="C1683" i="2"/>
  <c r="G1683" i="2"/>
  <c r="I1683" i="2"/>
  <c r="U1683" i="2" s="1"/>
  <c r="J1683" i="2"/>
  <c r="T1683" i="2" s="1"/>
  <c r="K1683" i="2"/>
  <c r="L1683" i="2"/>
  <c r="M1683" i="2"/>
  <c r="P1683" i="2" s="1"/>
  <c r="A1684" i="2"/>
  <c r="B1684" i="2"/>
  <c r="C1684" i="2"/>
  <c r="G1684" i="2"/>
  <c r="I1684" i="2"/>
  <c r="U1684" i="2" s="1"/>
  <c r="J1684" i="2"/>
  <c r="T1684" i="2" s="1"/>
  <c r="K1684" i="2"/>
  <c r="L1684" i="2"/>
  <c r="M1684" i="2"/>
  <c r="P1684" i="2" s="1"/>
  <c r="A1685" i="2"/>
  <c r="B1685" i="2"/>
  <c r="C1685" i="2"/>
  <c r="G1685" i="2"/>
  <c r="I1685" i="2"/>
  <c r="U1685" i="2" s="1"/>
  <c r="J1685" i="2"/>
  <c r="T1685" i="2" s="1"/>
  <c r="K1685" i="2"/>
  <c r="L1685" i="2"/>
  <c r="M1685" i="2"/>
  <c r="A1686" i="2"/>
  <c r="B1686" i="2"/>
  <c r="C1686" i="2"/>
  <c r="G1686" i="2"/>
  <c r="I1686" i="2"/>
  <c r="U1686" i="2" s="1"/>
  <c r="J1686" i="2"/>
  <c r="T1686" i="2" s="1"/>
  <c r="K1686" i="2"/>
  <c r="L1686" i="2"/>
  <c r="M1686" i="2"/>
  <c r="A1687" i="2"/>
  <c r="B1687" i="2"/>
  <c r="C1687" i="2"/>
  <c r="G1687" i="2"/>
  <c r="I1687" i="2"/>
  <c r="U1687" i="2" s="1"/>
  <c r="J1687" i="2"/>
  <c r="T1687" i="2" s="1"/>
  <c r="K1687" i="2"/>
  <c r="L1687" i="2"/>
  <c r="M1687" i="2"/>
  <c r="P1687" i="2" s="1"/>
  <c r="A1688" i="2"/>
  <c r="B1688" i="2"/>
  <c r="C1688" i="2"/>
  <c r="G1688" i="2"/>
  <c r="I1688" i="2"/>
  <c r="U1688" i="2" s="1"/>
  <c r="J1688" i="2"/>
  <c r="T1688" i="2" s="1"/>
  <c r="K1688" i="2"/>
  <c r="L1688" i="2"/>
  <c r="M1688" i="2"/>
  <c r="P1688" i="2" s="1"/>
  <c r="A1689" i="2"/>
  <c r="B1689" i="2"/>
  <c r="C1689" i="2"/>
  <c r="G1689" i="2"/>
  <c r="I1689" i="2"/>
  <c r="U1689" i="2" s="1"/>
  <c r="J1689" i="2"/>
  <c r="T1689" i="2" s="1"/>
  <c r="K1689" i="2"/>
  <c r="L1689" i="2"/>
  <c r="M1689" i="2"/>
  <c r="Q1689" i="2" s="1"/>
  <c r="A1690" i="2"/>
  <c r="B1690" i="2"/>
  <c r="C1690" i="2"/>
  <c r="G1690" i="2"/>
  <c r="I1690" i="2"/>
  <c r="U1690" i="2" s="1"/>
  <c r="J1690" i="2"/>
  <c r="T1690" i="2" s="1"/>
  <c r="K1690" i="2"/>
  <c r="L1690" i="2"/>
  <c r="M1690" i="2"/>
  <c r="P1690" i="2" s="1"/>
  <c r="A1691" i="2"/>
  <c r="B1691" i="2"/>
  <c r="C1691" i="2"/>
  <c r="G1691" i="2"/>
  <c r="I1691" i="2"/>
  <c r="U1691" i="2" s="1"/>
  <c r="J1691" i="2"/>
  <c r="T1691" i="2" s="1"/>
  <c r="K1691" i="2"/>
  <c r="L1691" i="2"/>
  <c r="M1691" i="2"/>
  <c r="A1692" i="2"/>
  <c r="B1692" i="2"/>
  <c r="C1692" i="2"/>
  <c r="G1692" i="2"/>
  <c r="I1692" i="2"/>
  <c r="U1692" i="2" s="1"/>
  <c r="J1692" i="2"/>
  <c r="T1692" i="2" s="1"/>
  <c r="K1692" i="2"/>
  <c r="L1692" i="2"/>
  <c r="M1692" i="2"/>
  <c r="P1692" i="2" s="1"/>
  <c r="A1693" i="2"/>
  <c r="B1693" i="2"/>
  <c r="C1693" i="2"/>
  <c r="G1693" i="2"/>
  <c r="I1693" i="2"/>
  <c r="U1693" i="2" s="1"/>
  <c r="J1693" i="2"/>
  <c r="T1693" i="2" s="1"/>
  <c r="K1693" i="2"/>
  <c r="L1693" i="2"/>
  <c r="M1693" i="2"/>
  <c r="P1693" i="2" s="1"/>
  <c r="A1694" i="2"/>
  <c r="B1694" i="2"/>
  <c r="C1694" i="2"/>
  <c r="G1694" i="2"/>
  <c r="I1694" i="2"/>
  <c r="U1694" i="2" s="1"/>
  <c r="J1694" i="2"/>
  <c r="T1694" i="2" s="1"/>
  <c r="K1694" i="2"/>
  <c r="L1694" i="2"/>
  <c r="M1694" i="2"/>
  <c r="P1694" i="2" s="1"/>
  <c r="A1695" i="2"/>
  <c r="B1695" i="2"/>
  <c r="C1695" i="2"/>
  <c r="G1695" i="2"/>
  <c r="I1695" i="2"/>
  <c r="U1695" i="2" s="1"/>
  <c r="J1695" i="2"/>
  <c r="T1695" i="2" s="1"/>
  <c r="K1695" i="2"/>
  <c r="L1695" i="2"/>
  <c r="M1695" i="2"/>
  <c r="P1695" i="2" s="1"/>
  <c r="A1696" i="2"/>
  <c r="B1696" i="2"/>
  <c r="C1696" i="2"/>
  <c r="G1696" i="2"/>
  <c r="I1696" i="2"/>
  <c r="U1696" i="2" s="1"/>
  <c r="J1696" i="2"/>
  <c r="T1696" i="2" s="1"/>
  <c r="K1696" i="2"/>
  <c r="L1696" i="2"/>
  <c r="M1696" i="2"/>
  <c r="P1696" i="2" s="1"/>
  <c r="A1697" i="2"/>
  <c r="B1697" i="2"/>
  <c r="C1697" i="2"/>
  <c r="G1697" i="2"/>
  <c r="I1697" i="2"/>
  <c r="U1697" i="2" s="1"/>
  <c r="J1697" i="2"/>
  <c r="T1697" i="2" s="1"/>
  <c r="K1697" i="2"/>
  <c r="L1697" i="2"/>
  <c r="M1697" i="2"/>
  <c r="P1697" i="2" s="1"/>
  <c r="A1698" i="2"/>
  <c r="B1698" i="2"/>
  <c r="C1698" i="2"/>
  <c r="G1698" i="2"/>
  <c r="I1698" i="2"/>
  <c r="U1698" i="2" s="1"/>
  <c r="J1698" i="2"/>
  <c r="T1698" i="2" s="1"/>
  <c r="K1698" i="2"/>
  <c r="L1698" i="2"/>
  <c r="M1698" i="2"/>
  <c r="P1698" i="2" s="1"/>
  <c r="A1699" i="2"/>
  <c r="B1699" i="2"/>
  <c r="C1699" i="2"/>
  <c r="G1699" i="2"/>
  <c r="I1699" i="2"/>
  <c r="U1699" i="2" s="1"/>
  <c r="J1699" i="2"/>
  <c r="T1699" i="2" s="1"/>
  <c r="K1699" i="2"/>
  <c r="L1699" i="2"/>
  <c r="M1699" i="2"/>
  <c r="Q1699" i="2" s="1"/>
  <c r="A1700" i="2"/>
  <c r="B1700" i="2"/>
  <c r="C1700" i="2"/>
  <c r="G1700" i="2"/>
  <c r="I1700" i="2"/>
  <c r="U1700" i="2" s="1"/>
  <c r="J1700" i="2"/>
  <c r="T1700" i="2" s="1"/>
  <c r="K1700" i="2"/>
  <c r="L1700" i="2"/>
  <c r="M1700" i="2"/>
  <c r="P1700" i="2" s="1"/>
  <c r="N1533" i="8"/>
  <c r="K1539" i="2" s="1"/>
  <c r="N1517" i="8"/>
  <c r="K1523" i="2" s="1"/>
  <c r="N98" i="8"/>
  <c r="N97" i="8"/>
  <c r="N96" i="8"/>
  <c r="N35" i="8"/>
  <c r="N10" i="8"/>
  <c r="N759" i="8"/>
  <c r="K765" i="2" s="1"/>
  <c r="N1638" i="2" l="1"/>
  <c r="N1673" i="2"/>
  <c r="N1666" i="2"/>
  <c r="N1659" i="2"/>
  <c r="N1644" i="2"/>
  <c r="N1658" i="2"/>
  <c r="N1637" i="2"/>
  <c r="N1651" i="2"/>
  <c r="N1632" i="2"/>
  <c r="P1635" i="2"/>
  <c r="N1652" i="2"/>
  <c r="N1685" i="2"/>
  <c r="N1678" i="2"/>
  <c r="N1699" i="2"/>
  <c r="N1671" i="2"/>
  <c r="N1664" i="2"/>
  <c r="N1690" i="2"/>
  <c r="N1692" i="2"/>
  <c r="N1697" i="2"/>
  <c r="N1684" i="2"/>
  <c r="N1656" i="2"/>
  <c r="N1649" i="2"/>
  <c r="N1691" i="2"/>
  <c r="N1677" i="2"/>
  <c r="N1696" i="2"/>
  <c r="N1670" i="2"/>
  <c r="N1663" i="2"/>
  <c r="N1642" i="2"/>
  <c r="N1630" i="2"/>
  <c r="N1689" i="2"/>
  <c r="N1682" i="2"/>
  <c r="N1675" i="2"/>
  <c r="N1647" i="2"/>
  <c r="N1635" i="2"/>
  <c r="N1694" i="2"/>
  <c r="N1668" i="2"/>
  <c r="N1661" i="2"/>
  <c r="N1654" i="2"/>
  <c r="N1628" i="2"/>
  <c r="N1687" i="2"/>
  <c r="N1680" i="2"/>
  <c r="N1645" i="2"/>
  <c r="N1640" i="2"/>
  <c r="N1633" i="2"/>
  <c r="N1698" i="2"/>
  <c r="N1657" i="2"/>
  <c r="N1650" i="2"/>
  <c r="N1643" i="2"/>
  <c r="N1631" i="2"/>
  <c r="N1636" i="2"/>
  <c r="N1665" i="2"/>
  <c r="N1683" i="2"/>
  <c r="N1676" i="2"/>
  <c r="N1655" i="2"/>
  <c r="N1648" i="2"/>
  <c r="N1695" i="2"/>
  <c r="N1669" i="2"/>
  <c r="N1662" i="2"/>
  <c r="N1629" i="2"/>
  <c r="N1688" i="2"/>
  <c r="N1681" i="2"/>
  <c r="N1674" i="2"/>
  <c r="N1646" i="2"/>
  <c r="N1641" i="2"/>
  <c r="N1634" i="2"/>
  <c r="N1693" i="2"/>
  <c r="N1667" i="2"/>
  <c r="N1660" i="2"/>
  <c r="N1653" i="2"/>
  <c r="N1627" i="2"/>
  <c r="N1672" i="2"/>
  <c r="N1700" i="2"/>
  <c r="N1686" i="2"/>
  <c r="N1679" i="2"/>
  <c r="N1639" i="2"/>
  <c r="N452" i="2"/>
  <c r="N621" i="2"/>
  <c r="N706" i="2"/>
  <c r="N408" i="2"/>
  <c r="N422" i="2"/>
  <c r="N438" i="2"/>
  <c r="N873" i="2"/>
  <c r="N380" i="2"/>
  <c r="N698" i="2"/>
  <c r="N699" i="2"/>
  <c r="N702" i="2"/>
  <c r="N1123" i="2"/>
  <c r="N1291" i="2"/>
  <c r="N1623" i="2"/>
  <c r="N700" i="2"/>
  <c r="N703" i="2"/>
  <c r="N704" i="2"/>
  <c r="N872" i="2"/>
  <c r="N871" i="2"/>
  <c r="N1292" i="2"/>
  <c r="N1239" i="2"/>
  <c r="N1245" i="2"/>
  <c r="N1249" i="2"/>
  <c r="N1253" i="2"/>
  <c r="N1255" i="2"/>
  <c r="N1258" i="2"/>
  <c r="N1261" i="2"/>
  <c r="N1263" i="2"/>
  <c r="N1264" i="2"/>
  <c r="N1265" i="2"/>
  <c r="N1266" i="2"/>
  <c r="N1267" i="2"/>
  <c r="N1268" i="2"/>
  <c r="N1269" i="2"/>
  <c r="N1270" i="2"/>
  <c r="N1272" i="2"/>
  <c r="N1273" i="2"/>
  <c r="N1275" i="2"/>
  <c r="N1276" i="2"/>
  <c r="N1279" i="2"/>
  <c r="N1281" i="2"/>
  <c r="N1282" i="2"/>
  <c r="N1286" i="2"/>
  <c r="N1287" i="2"/>
  <c r="N1615" i="2"/>
  <c r="N431" i="2"/>
  <c r="N444" i="2"/>
  <c r="N415" i="2"/>
  <c r="N605" i="2"/>
  <c r="N609" i="2"/>
  <c r="N610" i="2"/>
  <c r="N611" i="2"/>
  <c r="N612" i="2"/>
  <c r="N613" i="2"/>
  <c r="N615" i="2"/>
  <c r="N618" i="2"/>
  <c r="N619" i="2"/>
  <c r="N620" i="2"/>
  <c r="N948" i="2"/>
  <c r="N949" i="2"/>
  <c r="N950" i="2"/>
  <c r="N951" i="2"/>
  <c r="N952" i="2"/>
  <c r="N953" i="2"/>
  <c r="N954" i="2"/>
  <c r="N955" i="2"/>
  <c r="N956" i="2"/>
  <c r="N1277" i="2"/>
  <c r="N1278" i="2"/>
  <c r="N1271" i="2"/>
  <c r="N1288" i="2"/>
  <c r="N1235" i="2"/>
  <c r="N1237" i="2"/>
  <c r="N1240" i="2"/>
  <c r="N1241" i="2"/>
  <c r="N1242" i="2"/>
  <c r="N1252" i="2"/>
  <c r="N1254" i="2"/>
  <c r="N1259" i="2"/>
  <c r="N1260" i="2"/>
  <c r="N1280" i="2"/>
  <c r="N1284" i="2"/>
  <c r="N1285" i="2"/>
  <c r="N1233" i="2"/>
  <c r="N1234" i="2"/>
  <c r="N1236" i="2"/>
  <c r="N1238" i="2"/>
  <c r="N1244" i="2"/>
  <c r="N1246" i="2"/>
  <c r="N1247" i="2"/>
  <c r="N1250" i="2"/>
  <c r="N1251" i="2"/>
  <c r="N1257" i="2"/>
  <c r="N1274" i="2"/>
  <c r="N1289" i="2"/>
  <c r="N1290" i="2"/>
  <c r="N1293" i="2"/>
  <c r="N1619" i="2"/>
  <c r="N1624" i="2"/>
  <c r="N1595" i="2"/>
  <c r="N1601" i="2"/>
  <c r="N1607" i="2"/>
  <c r="N1609" i="2"/>
  <c r="N1612" i="2"/>
  <c r="N376" i="2"/>
  <c r="N394" i="2"/>
  <c r="N398" i="2"/>
  <c r="N401" i="2"/>
  <c r="N448" i="2"/>
  <c r="N370" i="2"/>
  <c r="N371" i="2"/>
  <c r="N372" i="2"/>
  <c r="N373" i="2"/>
  <c r="N374" i="2"/>
  <c r="N375" i="2"/>
  <c r="N387" i="2"/>
  <c r="N388" i="2"/>
  <c r="N390" i="2"/>
  <c r="N391" i="2"/>
  <c r="N393" i="2"/>
  <c r="N395" i="2"/>
  <c r="N396" i="2"/>
  <c r="N397" i="2"/>
  <c r="N402" i="2"/>
  <c r="N403" i="2"/>
  <c r="N405" i="2"/>
  <c r="N409" i="2"/>
  <c r="N410" i="2"/>
  <c r="N411" i="2"/>
  <c r="N412" i="2"/>
  <c r="N416" i="2"/>
  <c r="N417" i="2"/>
  <c r="N418" i="2"/>
  <c r="N419" i="2"/>
  <c r="N420" i="2"/>
  <c r="N426" i="2"/>
  <c r="N427" i="2"/>
  <c r="N430" i="2"/>
  <c r="N434" i="2"/>
  <c r="N437" i="2"/>
  <c r="N439" i="2"/>
  <c r="N440" i="2"/>
  <c r="N441" i="2"/>
  <c r="N442" i="2"/>
  <c r="N443" i="2"/>
  <c r="N449" i="2"/>
  <c r="N450" i="2"/>
  <c r="N451" i="2"/>
  <c r="N1262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603" i="2"/>
  <c r="N604" i="2"/>
  <c r="N606" i="2"/>
  <c r="N607" i="2"/>
  <c r="N614" i="2"/>
  <c r="N616" i="2"/>
  <c r="N61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8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12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459" i="2"/>
  <c r="N1610" i="2"/>
  <c r="N1620" i="2"/>
  <c r="N701" i="2"/>
  <c r="N1243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611" i="2"/>
  <c r="N1613" i="2"/>
  <c r="N1622" i="2"/>
  <c r="N1625" i="2"/>
  <c r="N705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96" i="2"/>
  <c r="N1597" i="2"/>
  <c r="N1598" i="2"/>
  <c r="N1599" i="2"/>
  <c r="N1600" i="2"/>
  <c r="N1602" i="2"/>
  <c r="N1603" i="2"/>
  <c r="N1604" i="2"/>
  <c r="N1605" i="2"/>
  <c r="N1606" i="2"/>
  <c r="N1614" i="2"/>
  <c r="N1616" i="2"/>
  <c r="N1621" i="2"/>
  <c r="N1248" i="2"/>
  <c r="N1283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608" i="2"/>
  <c r="N1617" i="2"/>
  <c r="N1618" i="2"/>
  <c r="N1626" i="2"/>
  <c r="N377" i="2"/>
  <c r="N378" i="2"/>
  <c r="N379" i="2"/>
  <c r="N381" i="2"/>
  <c r="N382" i="2"/>
  <c r="N383" i="2"/>
  <c r="N384" i="2"/>
  <c r="N385" i="2"/>
  <c r="N386" i="2"/>
  <c r="N389" i="2"/>
  <c r="N392" i="2"/>
  <c r="N399" i="2"/>
  <c r="N400" i="2"/>
  <c r="N404" i="2"/>
  <c r="N406" i="2"/>
  <c r="N407" i="2"/>
  <c r="N413" i="2"/>
  <c r="N414" i="2"/>
  <c r="N421" i="2"/>
  <c r="N423" i="2"/>
  <c r="N424" i="2"/>
  <c r="N425" i="2"/>
  <c r="N428" i="2"/>
  <c r="N429" i="2"/>
  <c r="N432" i="2"/>
  <c r="N433" i="2"/>
  <c r="N435" i="2"/>
  <c r="N436" i="2"/>
  <c r="N445" i="2"/>
  <c r="N446" i="2"/>
  <c r="N447" i="2"/>
  <c r="N453" i="2"/>
  <c r="R1695" i="2"/>
  <c r="R1683" i="2"/>
  <c r="R1671" i="2"/>
  <c r="Q1638" i="2"/>
  <c r="S1638" i="2"/>
  <c r="Q1655" i="2"/>
  <c r="R1687" i="2"/>
  <c r="R1684" i="2"/>
  <c r="R1651" i="2"/>
  <c r="Q1697" i="2"/>
  <c r="Q1687" i="2"/>
  <c r="Q1683" i="2"/>
  <c r="Q1678" i="2"/>
  <c r="P1663" i="2"/>
  <c r="Q1661" i="2"/>
  <c r="P1639" i="2"/>
  <c r="S1630" i="2"/>
  <c r="Q1680" i="2"/>
  <c r="Q1631" i="2"/>
  <c r="O1632" i="2"/>
  <c r="O1698" i="2"/>
  <c r="O1664" i="2"/>
  <c r="O1662" i="2"/>
  <c r="O1650" i="2"/>
  <c r="O1640" i="2"/>
  <c r="O1634" i="2"/>
  <c r="O1696" i="2"/>
  <c r="P1699" i="2"/>
  <c r="R1696" i="2"/>
  <c r="Q1693" i="2"/>
  <c r="S1693" i="2"/>
  <c r="O1682" i="2"/>
  <c r="Q1669" i="2"/>
  <c r="Q1666" i="2"/>
  <c r="S1666" i="2"/>
  <c r="Q1662" i="2"/>
  <c r="S1662" i="2"/>
  <c r="O1660" i="2"/>
  <c r="Q1658" i="2"/>
  <c r="S1658" i="2"/>
  <c r="R1643" i="2"/>
  <c r="R1641" i="2"/>
  <c r="O1636" i="2"/>
  <c r="Q1634" i="2"/>
  <c r="S1634" i="2"/>
  <c r="Q1630" i="2"/>
  <c r="O1658" i="2"/>
  <c r="S1689" i="2"/>
  <c r="O1688" i="2"/>
  <c r="O1646" i="2"/>
  <c r="R1631" i="2"/>
  <c r="Q1694" i="2"/>
  <c r="S1694" i="2"/>
  <c r="R1689" i="2"/>
  <c r="Q1681" i="2"/>
  <c r="S1681" i="2"/>
  <c r="Q1675" i="2"/>
  <c r="P1659" i="2"/>
  <c r="Q1646" i="2"/>
  <c r="S1646" i="2"/>
  <c r="O1644" i="2"/>
  <c r="Q1637" i="2"/>
  <c r="O1622" i="2"/>
  <c r="O1618" i="2"/>
  <c r="O1606" i="2"/>
  <c r="O1598" i="2"/>
  <c r="O1590" i="2"/>
  <c r="O1578" i="2"/>
  <c r="O1562" i="2"/>
  <c r="O1546" i="2"/>
  <c r="O1538" i="2"/>
  <c r="O1534" i="2"/>
  <c r="O1526" i="2"/>
  <c r="O1522" i="2"/>
  <c r="O1518" i="2"/>
  <c r="O1514" i="2"/>
  <c r="O1510" i="2"/>
  <c r="O1506" i="2"/>
  <c r="O1493" i="2"/>
  <c r="O1481" i="2"/>
  <c r="O1465" i="2"/>
  <c r="O1626" i="2"/>
  <c r="O1614" i="2"/>
  <c r="O1610" i="2"/>
  <c r="O1602" i="2"/>
  <c r="O1574" i="2"/>
  <c r="O1570" i="2"/>
  <c r="O1566" i="2"/>
  <c r="O1554" i="2"/>
  <c r="O1542" i="2"/>
  <c r="O1530" i="2"/>
  <c r="O1502" i="2"/>
  <c r="O1477" i="2"/>
  <c r="O1473" i="2"/>
  <c r="O1594" i="2"/>
  <c r="O1586" i="2"/>
  <c r="O1582" i="2"/>
  <c r="O1558" i="2"/>
  <c r="O1550" i="2"/>
  <c r="O1499" i="2"/>
  <c r="O1489" i="2"/>
  <c r="O1485" i="2"/>
  <c r="O1469" i="2"/>
  <c r="O1461" i="2"/>
  <c r="R1693" i="2"/>
  <c r="R1692" i="2"/>
  <c r="R1699" i="2"/>
  <c r="R1691" i="2"/>
  <c r="R1682" i="2"/>
  <c r="R1681" i="2"/>
  <c r="R1679" i="2"/>
  <c r="S1677" i="2"/>
  <c r="Q1674" i="2"/>
  <c r="S1674" i="2"/>
  <c r="P1665" i="2"/>
  <c r="R1663" i="2"/>
  <c r="R1659" i="2"/>
  <c r="R1658" i="2"/>
  <c r="Q1657" i="2"/>
  <c r="Q1650" i="2"/>
  <c r="S1650" i="2"/>
  <c r="P1647" i="2"/>
  <c r="P1645" i="2"/>
  <c r="P1643" i="2"/>
  <c r="Q1642" i="2"/>
  <c r="R1639" i="2"/>
  <c r="R1638" i="2"/>
  <c r="R1632" i="2"/>
  <c r="O1666" i="2"/>
  <c r="Q1696" i="2"/>
  <c r="Q1695" i="2"/>
  <c r="Q1688" i="2"/>
  <c r="R1677" i="2"/>
  <c r="R1676" i="2"/>
  <c r="Q1670" i="2"/>
  <c r="S1670" i="2"/>
  <c r="R1666" i="2"/>
  <c r="R1665" i="2"/>
  <c r="R1652" i="2"/>
  <c r="P1651" i="2"/>
  <c r="S1651" i="2"/>
  <c r="P1649" i="2"/>
  <c r="R1646" i="2"/>
  <c r="R1645" i="2"/>
  <c r="R1644" i="2"/>
  <c r="S1635" i="2"/>
  <c r="R1655" i="2"/>
  <c r="R1647" i="2"/>
  <c r="S1642" i="2"/>
  <c r="R1628" i="2"/>
  <c r="O1684" i="2"/>
  <c r="O1691" i="2"/>
  <c r="P1654" i="2"/>
  <c r="Q1654" i="2"/>
  <c r="O1630" i="2"/>
  <c r="Q1698" i="2"/>
  <c r="S1698" i="2"/>
  <c r="S1697" i="2"/>
  <c r="O1692" i="2"/>
  <c r="O1689" i="2"/>
  <c r="P1685" i="2"/>
  <c r="Q1685" i="2"/>
  <c r="O1671" i="2"/>
  <c r="P1667" i="2"/>
  <c r="Q1667" i="2"/>
  <c r="O1641" i="2"/>
  <c r="R1635" i="2"/>
  <c r="P1686" i="2"/>
  <c r="Q1686" i="2"/>
  <c r="P1633" i="2"/>
  <c r="Q1633" i="2"/>
  <c r="O1631" i="2"/>
  <c r="Q1653" i="2"/>
  <c r="P1653" i="2"/>
  <c r="O1645" i="2"/>
  <c r="P1627" i="2"/>
  <c r="Q1627" i="2"/>
  <c r="O1693" i="2"/>
  <c r="O1690" i="2"/>
  <c r="O1677" i="2"/>
  <c r="O1648" i="2"/>
  <c r="O1643" i="2"/>
  <c r="O1642" i="2"/>
  <c r="Q1700" i="2"/>
  <c r="O1695" i="2"/>
  <c r="R1694" i="2"/>
  <c r="P1691" i="2"/>
  <c r="Q1691" i="2"/>
  <c r="P1679" i="2"/>
  <c r="Q1679" i="2"/>
  <c r="O1678" i="2"/>
  <c r="P1673" i="2"/>
  <c r="Q1673" i="2"/>
  <c r="O1672" i="2"/>
  <c r="R1627" i="2"/>
  <c r="O1683" i="2"/>
  <c r="R1678" i="2"/>
  <c r="O1673" i="2"/>
  <c r="O1665" i="2"/>
  <c r="R1653" i="2"/>
  <c r="S1639" i="2"/>
  <c r="Q1692" i="2"/>
  <c r="Q1690" i="2"/>
  <c r="S1690" i="2"/>
  <c r="P1689" i="2"/>
  <c r="Q1684" i="2"/>
  <c r="Q1682" i="2"/>
  <c r="S1682" i="2"/>
  <c r="R1680" i="2"/>
  <c r="S1678" i="2"/>
  <c r="Q1677" i="2"/>
  <c r="P1676" i="2"/>
  <c r="Q1676" i="2"/>
  <c r="O1675" i="2"/>
  <c r="R1674" i="2"/>
  <c r="S1673" i="2"/>
  <c r="P1671" i="2"/>
  <c r="S1671" i="2"/>
  <c r="R1667" i="2"/>
  <c r="O1655" i="2"/>
  <c r="R1654" i="2"/>
  <c r="S1647" i="2"/>
  <c r="S1643" i="2"/>
  <c r="Q1641" i="2"/>
  <c r="R1636" i="2"/>
  <c r="O1635" i="2"/>
  <c r="P1629" i="2"/>
  <c r="Q1629" i="2"/>
  <c r="O1680" i="2"/>
  <c r="O1656" i="2"/>
  <c r="R1690" i="2"/>
  <c r="O1681" i="2"/>
  <c r="O1679" i="2"/>
  <c r="R1673" i="2"/>
  <c r="R1672" i="2"/>
  <c r="S1663" i="2"/>
  <c r="S1659" i="2"/>
  <c r="O1653" i="2"/>
  <c r="R1642" i="2"/>
  <c r="O1633" i="2"/>
  <c r="R1633" i="2"/>
  <c r="R1630" i="2"/>
  <c r="O1627" i="2"/>
  <c r="O1674" i="2"/>
  <c r="R1700" i="2"/>
  <c r="O1699" i="2"/>
  <c r="R1698" i="2"/>
  <c r="O1697" i="2"/>
  <c r="R1697" i="2"/>
  <c r="S1686" i="2"/>
  <c r="S1685" i="2"/>
  <c r="P1672" i="2"/>
  <c r="Q1672" i="2"/>
  <c r="S1667" i="2"/>
  <c r="R1662" i="2"/>
  <c r="O1661" i="2"/>
  <c r="R1661" i="2"/>
  <c r="R1660" i="2"/>
  <c r="O1659" i="2"/>
  <c r="O1657" i="2"/>
  <c r="R1657" i="2"/>
  <c r="R1656" i="2"/>
  <c r="S1654" i="2"/>
  <c r="O1651" i="2"/>
  <c r="R1640" i="2"/>
  <c r="O1639" i="2"/>
  <c r="O1637" i="2"/>
  <c r="R1637" i="2"/>
  <c r="R1634" i="2"/>
  <c r="O1629" i="2"/>
  <c r="R1629" i="2"/>
  <c r="O1694" i="2"/>
  <c r="O1686" i="2"/>
  <c r="O1670" i="2"/>
  <c r="O1654" i="2"/>
  <c r="O1638" i="2"/>
  <c r="O1700" i="2"/>
  <c r="O1676" i="2"/>
  <c r="O1668" i="2"/>
  <c r="O1652" i="2"/>
  <c r="O1628" i="2"/>
  <c r="S1631" i="2"/>
  <c r="O1687" i="2"/>
  <c r="O1685" i="2"/>
  <c r="O1669" i="2"/>
  <c r="O1667" i="2"/>
  <c r="O1663" i="2"/>
  <c r="O1649" i="2"/>
  <c r="O1647" i="2"/>
  <c r="R1688" i="2"/>
  <c r="R1686" i="2"/>
  <c r="R1685" i="2"/>
  <c r="R1670" i="2"/>
  <c r="R1669" i="2"/>
  <c r="R1668" i="2"/>
  <c r="R1664" i="2"/>
  <c r="S1655" i="2"/>
  <c r="R1650" i="2"/>
  <c r="R1649" i="2"/>
  <c r="R1648" i="2"/>
  <c r="S1627" i="2"/>
  <c r="O1621" i="2"/>
  <c r="O1597" i="2"/>
  <c r="O1596" i="2"/>
  <c r="O1577" i="2"/>
  <c r="O1549" i="2"/>
  <c r="O1548" i="2"/>
  <c r="O1524" i="2"/>
  <c r="O1513" i="2"/>
  <c r="O1512" i="2"/>
  <c r="O1509" i="2"/>
  <c r="O1508" i="2"/>
  <c r="O1492" i="2"/>
  <c r="O1483" i="2"/>
  <c r="O1478" i="2"/>
  <c r="O1476" i="2"/>
  <c r="O1470" i="2"/>
  <c r="O1467" i="2"/>
  <c r="O1466" i="2"/>
  <c r="O1464" i="2"/>
  <c r="O1454" i="2"/>
  <c r="O1452" i="2"/>
  <c r="O1443" i="2"/>
  <c r="O1441" i="2"/>
  <c r="O1438" i="2"/>
  <c r="O1436" i="2"/>
  <c r="O1431" i="2"/>
  <c r="O1428" i="2"/>
  <c r="O1427" i="2"/>
  <c r="O1167" i="2"/>
  <c r="O1215" i="2"/>
  <c r="O1214" i="2"/>
  <c r="O1213" i="2"/>
  <c r="O1212" i="2"/>
  <c r="O1211" i="2"/>
  <c r="O1210" i="2"/>
  <c r="O1209" i="2"/>
  <c r="O1208" i="2"/>
  <c r="O1207" i="2"/>
  <c r="O1206" i="2"/>
  <c r="O1205" i="2"/>
  <c r="O1204" i="2"/>
  <c r="O1203" i="2"/>
  <c r="O1202" i="2"/>
  <c r="O1201" i="2"/>
  <c r="O1200" i="2"/>
  <c r="O1199" i="2"/>
  <c r="O1198" i="2"/>
  <c r="O1197" i="2"/>
  <c r="O1196" i="2"/>
  <c r="O1195" i="2"/>
  <c r="O1194" i="2"/>
  <c r="O1193" i="2"/>
  <c r="O1192" i="2"/>
  <c r="O1191" i="2"/>
  <c r="O1190" i="2"/>
  <c r="O1189" i="2"/>
  <c r="O1188" i="2"/>
  <c r="O1187" i="2"/>
  <c r="O1186" i="2"/>
  <c r="O1185" i="2"/>
  <c r="O1184" i="2"/>
  <c r="O1183" i="2"/>
  <c r="O1182" i="2"/>
  <c r="O1181" i="2"/>
  <c r="O1180" i="2"/>
  <c r="O1179" i="2"/>
  <c r="O1178" i="2"/>
  <c r="O1177" i="2"/>
  <c r="O1176" i="2"/>
  <c r="O1175" i="2"/>
  <c r="O1174" i="2"/>
  <c r="O1173" i="2"/>
  <c r="O1172" i="2"/>
  <c r="O1171" i="2"/>
  <c r="O1170" i="2"/>
  <c r="O1169" i="2"/>
  <c r="O1168" i="2"/>
  <c r="O1010" i="2"/>
  <c r="O1009" i="2"/>
  <c r="O1008" i="2"/>
  <c r="O1007" i="2"/>
  <c r="O1006" i="2"/>
  <c r="O1005" i="2"/>
  <c r="O1004" i="2"/>
  <c r="O1003" i="2"/>
  <c r="O1002" i="2"/>
  <c r="O1001" i="2"/>
  <c r="U285" i="8" s="1"/>
  <c r="O1000" i="2"/>
  <c r="U284" i="8" s="1"/>
  <c r="O999" i="2"/>
  <c r="U283" i="8" s="1"/>
  <c r="T282" i="8"/>
  <c r="O998" i="2"/>
  <c r="U282" i="8" s="1"/>
  <c r="O997" i="2"/>
  <c r="U280" i="8"/>
  <c r="O996" i="2"/>
  <c r="O984" i="2"/>
  <c r="O976" i="2"/>
  <c r="O975" i="2"/>
  <c r="O974" i="2"/>
  <c r="O973" i="2"/>
  <c r="O970" i="2"/>
  <c r="O969" i="2"/>
  <c r="O968" i="2"/>
  <c r="O967" i="2"/>
  <c r="O966" i="2"/>
  <c r="O964" i="2"/>
  <c r="O963" i="2"/>
  <c r="O962" i="2"/>
  <c r="O961" i="2"/>
  <c r="O960" i="2"/>
  <c r="O959" i="2"/>
  <c r="O958" i="2"/>
  <c r="O957" i="2"/>
  <c r="O956" i="2"/>
  <c r="O955" i="2"/>
  <c r="O954" i="2"/>
  <c r="O953" i="2"/>
  <c r="O952" i="2"/>
  <c r="O951" i="2"/>
  <c r="O950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587" i="2"/>
  <c r="O586" i="2"/>
  <c r="O585" i="2"/>
  <c r="O462" i="2"/>
  <c r="O461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371" i="2"/>
  <c r="O370" i="2"/>
  <c r="O1619" i="2"/>
  <c r="O1611" i="2"/>
  <c r="O1603" i="2"/>
  <c r="O1595" i="2"/>
  <c r="O1587" i="2"/>
  <c r="O1579" i="2"/>
  <c r="O1571" i="2"/>
  <c r="O1563" i="2"/>
  <c r="O1555" i="2"/>
  <c r="O1547" i="2"/>
  <c r="O1539" i="2"/>
  <c r="O1531" i="2"/>
  <c r="O1523" i="2"/>
  <c r="O1515" i="2"/>
  <c r="O1507" i="2"/>
  <c r="O1613" i="2"/>
  <c r="O1612" i="2"/>
  <c r="O1609" i="2"/>
  <c r="O1608" i="2"/>
  <c r="O1605" i="2"/>
  <c r="O1601" i="2"/>
  <c r="O1600" i="2"/>
  <c r="O1588" i="2"/>
  <c r="O1561" i="2"/>
  <c r="O1560" i="2"/>
  <c r="O1552" i="2"/>
  <c r="O1545" i="2"/>
  <c r="O1544" i="2"/>
  <c r="O1540" i="2"/>
  <c r="O1529" i="2"/>
  <c r="O1521" i="2"/>
  <c r="O1520" i="2"/>
  <c r="O1490" i="2"/>
  <c r="O1487" i="2"/>
  <c r="O1482" i="2"/>
  <c r="O1480" i="2"/>
  <c r="O1475" i="2"/>
  <c r="O1471" i="2"/>
  <c r="O1459" i="2"/>
  <c r="O1457" i="2"/>
  <c r="O1455" i="2"/>
  <c r="O1453" i="2"/>
  <c r="O1450" i="2"/>
  <c r="O1448" i="2"/>
  <c r="O1446" i="2"/>
  <c r="O1444" i="2"/>
  <c r="O1439" i="2"/>
  <c r="O1434" i="2"/>
  <c r="O1432" i="2"/>
  <c r="O1429" i="2"/>
  <c r="O1166" i="2"/>
  <c r="O931" i="2"/>
  <c r="O928" i="2"/>
  <c r="O925" i="2"/>
  <c r="O919" i="2"/>
  <c r="O916" i="2"/>
  <c r="O911" i="2"/>
  <c r="O908" i="2"/>
  <c r="O905" i="2"/>
  <c r="O903" i="2"/>
  <c r="O902" i="2"/>
  <c r="O891" i="2"/>
  <c r="O888" i="2"/>
  <c r="O885" i="2"/>
  <c r="O882" i="2"/>
  <c r="O881" i="2"/>
  <c r="O878" i="2"/>
  <c r="O877" i="2"/>
  <c r="O874" i="2"/>
  <c r="O872" i="2"/>
  <c r="O803" i="2"/>
  <c r="O802" i="2"/>
  <c r="O691" i="2"/>
  <c r="O690" i="2"/>
  <c r="O689" i="2"/>
  <c r="O686" i="2"/>
  <c r="O684" i="2"/>
  <c r="O681" i="2"/>
  <c r="O676" i="2"/>
  <c r="O675" i="2"/>
  <c r="O672" i="2"/>
  <c r="O669" i="2"/>
  <c r="O666" i="2"/>
  <c r="O653" i="2"/>
  <c r="O582" i="2"/>
  <c r="O579" i="2"/>
  <c r="O576" i="2"/>
  <c r="O575" i="2"/>
  <c r="O572" i="2"/>
  <c r="O527" i="2"/>
  <c r="O526" i="2"/>
  <c r="O525" i="2"/>
  <c r="O524" i="2"/>
  <c r="O523" i="2"/>
  <c r="O522" i="2"/>
  <c r="O520" i="2"/>
  <c r="O519" i="2"/>
  <c r="O518" i="2"/>
  <c r="O517" i="2"/>
  <c r="O508" i="2"/>
  <c r="O507" i="2"/>
  <c r="O505" i="2"/>
  <c r="O460" i="2"/>
  <c r="O459" i="2"/>
  <c r="O458" i="2"/>
  <c r="O457" i="2"/>
  <c r="O456" i="2"/>
  <c r="O455" i="2"/>
  <c r="O454" i="2"/>
  <c r="O453" i="2"/>
  <c r="O452" i="2"/>
  <c r="O451" i="2"/>
  <c r="O450" i="2"/>
  <c r="O402" i="2"/>
  <c r="O401" i="2"/>
  <c r="O400" i="2"/>
  <c r="O395" i="2"/>
  <c r="O394" i="2"/>
  <c r="O393" i="2"/>
  <c r="O392" i="2"/>
  <c r="O391" i="2"/>
  <c r="O390" i="2"/>
  <c r="O1497" i="2"/>
  <c r="O1616" i="2"/>
  <c r="O1573" i="2"/>
  <c r="O1572" i="2"/>
  <c r="O1569" i="2"/>
  <c r="O1568" i="2"/>
  <c r="O1565" i="2"/>
  <c r="O1564" i="2"/>
  <c r="O1533" i="2"/>
  <c r="O1517" i="2"/>
  <c r="O1516" i="2"/>
  <c r="O1498" i="2"/>
  <c r="O1491" i="2"/>
  <c r="O1488" i="2"/>
  <c r="O1463" i="2"/>
  <c r="O1451" i="2"/>
  <c r="O1442" i="2"/>
  <c r="O1437" i="2"/>
  <c r="O1433" i="2"/>
  <c r="O1165" i="2"/>
  <c r="O930" i="2"/>
  <c r="O927" i="2"/>
  <c r="O924" i="2"/>
  <c r="O923" i="2"/>
  <c r="O922" i="2"/>
  <c r="O921" i="2"/>
  <c r="O918" i="2"/>
  <c r="O915" i="2"/>
  <c r="O914" i="2"/>
  <c r="O913" i="2"/>
  <c r="O912" i="2"/>
  <c r="O909" i="2"/>
  <c r="O906" i="2"/>
  <c r="O904" i="2"/>
  <c r="O901" i="2"/>
  <c r="O890" i="2"/>
  <c r="O887" i="2"/>
  <c r="O886" i="2"/>
  <c r="O883" i="2"/>
  <c r="O879" i="2"/>
  <c r="O876" i="2"/>
  <c r="O871" i="2"/>
  <c r="O687" i="2"/>
  <c r="O682" i="2"/>
  <c r="O679" i="2"/>
  <c r="O674" i="2"/>
  <c r="O671" i="2"/>
  <c r="O668" i="2"/>
  <c r="O665" i="2"/>
  <c r="O663" i="2"/>
  <c r="O661" i="2"/>
  <c r="O660" i="2"/>
  <c r="O659" i="2"/>
  <c r="O658" i="2"/>
  <c r="O657" i="2"/>
  <c r="O656" i="2"/>
  <c r="O655" i="2"/>
  <c r="O652" i="2"/>
  <c r="O651" i="2"/>
  <c r="O580" i="2"/>
  <c r="O577" i="2"/>
  <c r="O574" i="2"/>
  <c r="O521" i="2"/>
  <c r="O516" i="2"/>
  <c r="O515" i="2"/>
  <c r="O514" i="2"/>
  <c r="O513" i="2"/>
  <c r="O512" i="2"/>
  <c r="O511" i="2"/>
  <c r="O510" i="2"/>
  <c r="O509" i="2"/>
  <c r="O506" i="2"/>
  <c r="O1425" i="2"/>
  <c r="O1424" i="2"/>
  <c r="O1423" i="2"/>
  <c r="O1422" i="2"/>
  <c r="O1421" i="2"/>
  <c r="O1420" i="2"/>
  <c r="O1419" i="2"/>
  <c r="O1418" i="2"/>
  <c r="O1417" i="2"/>
  <c r="O1416" i="2"/>
  <c r="O1415" i="2"/>
  <c r="O1414" i="2"/>
  <c r="O1413" i="2"/>
  <c r="O1412" i="2"/>
  <c r="O1411" i="2"/>
  <c r="O1410" i="2"/>
  <c r="O1409" i="2"/>
  <c r="O1408" i="2"/>
  <c r="O1407" i="2"/>
  <c r="O1406" i="2"/>
  <c r="O1405" i="2"/>
  <c r="O1404" i="2"/>
  <c r="O1403" i="2"/>
  <c r="O1402" i="2"/>
  <c r="O1401" i="2"/>
  <c r="O1400" i="2"/>
  <c r="O1399" i="2"/>
  <c r="O1398" i="2"/>
  <c r="O1397" i="2"/>
  <c r="O1396" i="2"/>
  <c r="O1395" i="2"/>
  <c r="O1394" i="2"/>
  <c r="O1393" i="2"/>
  <c r="O1392" i="2"/>
  <c r="O1391" i="2"/>
  <c r="O1390" i="2"/>
  <c r="O1389" i="2"/>
  <c r="O1388" i="2"/>
  <c r="O1387" i="2"/>
  <c r="O1386" i="2"/>
  <c r="O1385" i="2"/>
  <c r="O1384" i="2"/>
  <c r="O1383" i="2"/>
  <c r="O1382" i="2"/>
  <c r="O1381" i="2"/>
  <c r="O1380" i="2"/>
  <c r="O1379" i="2"/>
  <c r="O1378" i="2"/>
  <c r="O1377" i="2"/>
  <c r="O1376" i="2"/>
  <c r="O1375" i="2"/>
  <c r="O1374" i="2"/>
  <c r="O1373" i="2"/>
  <c r="O1372" i="2"/>
  <c r="O1371" i="2"/>
  <c r="O1370" i="2"/>
  <c r="O1369" i="2"/>
  <c r="O1368" i="2"/>
  <c r="O1367" i="2"/>
  <c r="O1366" i="2"/>
  <c r="O1365" i="2"/>
  <c r="O1364" i="2"/>
  <c r="O1363" i="2"/>
  <c r="O1362" i="2"/>
  <c r="O1361" i="2"/>
  <c r="O1360" i="2"/>
  <c r="O1359" i="2"/>
  <c r="O1358" i="2"/>
  <c r="O1357" i="2"/>
  <c r="O1356" i="2"/>
  <c r="O1355" i="2"/>
  <c r="O1354" i="2"/>
  <c r="O1353" i="2"/>
  <c r="O1352" i="2"/>
  <c r="O1351" i="2"/>
  <c r="O1350" i="2"/>
  <c r="O1349" i="2"/>
  <c r="O1348" i="2"/>
  <c r="O1347" i="2"/>
  <c r="O1346" i="2"/>
  <c r="O1345" i="2"/>
  <c r="O1344" i="2"/>
  <c r="O1343" i="2"/>
  <c r="O1342" i="2"/>
  <c r="O1341" i="2"/>
  <c r="O1340" i="2"/>
  <c r="O1339" i="2"/>
  <c r="O1338" i="2"/>
  <c r="O1337" i="2"/>
  <c r="O1336" i="2"/>
  <c r="O1335" i="2"/>
  <c r="O1334" i="2"/>
  <c r="O1333" i="2"/>
  <c r="O1332" i="2"/>
  <c r="O1331" i="2"/>
  <c r="O1330" i="2"/>
  <c r="O1329" i="2"/>
  <c r="O1328" i="2"/>
  <c r="O1327" i="2"/>
  <c r="O1326" i="2"/>
  <c r="O1325" i="2"/>
  <c r="O1324" i="2"/>
  <c r="O1323" i="2"/>
  <c r="O1322" i="2"/>
  <c r="O1321" i="2"/>
  <c r="O1320" i="2"/>
  <c r="O1319" i="2"/>
  <c r="O1318" i="2"/>
  <c r="O1317" i="2"/>
  <c r="O1316" i="2"/>
  <c r="O1315" i="2"/>
  <c r="O1314" i="2"/>
  <c r="O1313" i="2"/>
  <c r="O1312" i="2"/>
  <c r="O1311" i="2"/>
  <c r="O1310" i="2"/>
  <c r="O1309" i="2"/>
  <c r="O1308" i="2"/>
  <c r="O1307" i="2"/>
  <c r="O1306" i="2"/>
  <c r="O1305" i="2"/>
  <c r="O1304" i="2"/>
  <c r="O1303" i="2"/>
  <c r="O1302" i="2"/>
  <c r="O1301" i="2"/>
  <c r="O1300" i="2"/>
  <c r="O1299" i="2"/>
  <c r="O1298" i="2"/>
  <c r="O1297" i="2"/>
  <c r="O1296" i="2"/>
  <c r="O1295" i="2"/>
  <c r="O1294" i="2"/>
  <c r="O1293" i="2"/>
  <c r="O1292" i="2"/>
  <c r="O1291" i="2"/>
  <c r="O1290" i="2"/>
  <c r="O1289" i="2"/>
  <c r="O1288" i="2"/>
  <c r="O1287" i="2"/>
  <c r="O1286" i="2"/>
  <c r="O1285" i="2"/>
  <c r="O1284" i="2"/>
  <c r="O1283" i="2"/>
  <c r="O1282" i="2"/>
  <c r="O1281" i="2"/>
  <c r="O1280" i="2"/>
  <c r="O1164" i="2"/>
  <c r="O1163" i="2"/>
  <c r="O1162" i="2"/>
  <c r="O1161" i="2"/>
  <c r="O1160" i="2"/>
  <c r="O1159" i="2"/>
  <c r="O1158" i="2"/>
  <c r="O1157" i="2"/>
  <c r="O1156" i="2"/>
  <c r="O1155" i="2"/>
  <c r="O1154" i="2"/>
  <c r="O1153" i="2"/>
  <c r="O1152" i="2"/>
  <c r="O1151" i="2"/>
  <c r="O1150" i="2"/>
  <c r="O1149" i="2"/>
  <c r="O1148" i="2"/>
  <c r="O1147" i="2"/>
  <c r="O1146" i="2"/>
  <c r="O1145" i="2"/>
  <c r="O1144" i="2"/>
  <c r="O1143" i="2"/>
  <c r="O1142" i="2"/>
  <c r="O1141" i="2"/>
  <c r="O1140" i="2"/>
  <c r="O1139" i="2"/>
  <c r="O1138" i="2"/>
  <c r="O1137" i="2"/>
  <c r="O1136" i="2"/>
  <c r="O1135" i="2"/>
  <c r="O1134" i="2"/>
  <c r="O1133" i="2"/>
  <c r="O1132" i="2"/>
  <c r="O1131" i="2"/>
  <c r="O1130" i="2"/>
  <c r="O1129" i="2"/>
  <c r="O1128" i="2"/>
  <c r="O1127" i="2"/>
  <c r="O1126" i="2"/>
  <c r="O1125" i="2"/>
  <c r="O1124" i="2"/>
  <c r="O1123" i="2"/>
  <c r="O1122" i="2"/>
  <c r="O1121" i="2"/>
  <c r="O1120" i="2"/>
  <c r="O1119" i="2"/>
  <c r="O1118" i="2"/>
  <c r="O1117" i="2"/>
  <c r="O1116" i="2"/>
  <c r="O1115" i="2"/>
  <c r="O1114" i="2"/>
  <c r="O1113" i="2"/>
  <c r="O1112" i="2"/>
  <c r="O1111" i="2"/>
  <c r="O1110" i="2"/>
  <c r="O1109" i="2"/>
  <c r="O1108" i="2"/>
  <c r="O1107" i="2"/>
  <c r="O1106" i="2"/>
  <c r="O1105" i="2"/>
  <c r="O1104" i="2"/>
  <c r="O1103" i="2"/>
  <c r="O1102" i="2"/>
  <c r="O1101" i="2"/>
  <c r="O1100" i="2"/>
  <c r="O1099" i="2"/>
  <c r="O1098" i="2"/>
  <c r="O1097" i="2"/>
  <c r="O1096" i="2"/>
  <c r="O1095" i="2"/>
  <c r="O1094" i="2"/>
  <c r="O1093" i="2"/>
  <c r="O1092" i="2"/>
  <c r="O1091" i="2"/>
  <c r="O1090" i="2"/>
  <c r="O1089" i="2"/>
  <c r="O1088" i="2"/>
  <c r="O1087" i="2"/>
  <c r="O1086" i="2"/>
  <c r="O1085" i="2"/>
  <c r="O1084" i="2"/>
  <c r="O1083" i="2"/>
  <c r="O1082" i="2"/>
  <c r="O1081" i="2"/>
  <c r="O1080" i="2"/>
  <c r="O1079" i="2"/>
  <c r="O1078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08" i="2"/>
  <c r="O605" i="2"/>
  <c r="O604" i="2"/>
  <c r="O571" i="2"/>
  <c r="O570" i="2"/>
  <c r="O569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49" i="2"/>
  <c r="O448" i="2"/>
  <c r="O381" i="2"/>
  <c r="O380" i="2"/>
  <c r="O1623" i="2"/>
  <c r="O1615" i="2"/>
  <c r="O1607" i="2"/>
  <c r="O1599" i="2"/>
  <c r="O1591" i="2"/>
  <c r="O1583" i="2"/>
  <c r="O1575" i="2"/>
  <c r="O1567" i="2"/>
  <c r="O1559" i="2"/>
  <c r="O1551" i="2"/>
  <c r="O1543" i="2"/>
  <c r="O1535" i="2"/>
  <c r="O1527" i="2"/>
  <c r="O1519" i="2"/>
  <c r="O1511" i="2"/>
  <c r="O1503" i="2"/>
  <c r="O1494" i="2"/>
  <c r="O1625" i="2"/>
  <c r="O1624" i="2"/>
  <c r="O1620" i="2"/>
  <c r="O1617" i="2"/>
  <c r="O1604" i="2"/>
  <c r="O1593" i="2"/>
  <c r="O1592" i="2"/>
  <c r="O1589" i="2"/>
  <c r="O1585" i="2"/>
  <c r="O1584" i="2"/>
  <c r="O1581" i="2"/>
  <c r="O1580" i="2"/>
  <c r="O1576" i="2"/>
  <c r="O1557" i="2"/>
  <c r="O1556" i="2"/>
  <c r="O1553" i="2"/>
  <c r="O1541" i="2"/>
  <c r="O1537" i="2"/>
  <c r="O1536" i="2"/>
  <c r="O1532" i="2"/>
  <c r="O1528" i="2"/>
  <c r="O1525" i="2"/>
  <c r="O1505" i="2"/>
  <c r="O1504" i="2"/>
  <c r="O1501" i="2"/>
  <c r="O1500" i="2"/>
  <c r="O1496" i="2"/>
  <c r="O1495" i="2"/>
  <c r="O1486" i="2"/>
  <c r="O1484" i="2"/>
  <c r="O1479" i="2"/>
  <c r="O1474" i="2"/>
  <c r="O1472" i="2"/>
  <c r="O1468" i="2"/>
  <c r="O1462" i="2"/>
  <c r="O1460" i="2"/>
  <c r="O1458" i="2"/>
  <c r="O1456" i="2"/>
  <c r="O1449" i="2"/>
  <c r="O1447" i="2"/>
  <c r="O1445" i="2"/>
  <c r="O1440" i="2"/>
  <c r="O1435" i="2"/>
  <c r="O1430" i="2"/>
  <c r="O1426" i="2"/>
  <c r="O929" i="2"/>
  <c r="O926" i="2"/>
  <c r="O920" i="2"/>
  <c r="O917" i="2"/>
  <c r="O910" i="2"/>
  <c r="O907" i="2"/>
  <c r="O900" i="2"/>
  <c r="O899" i="2"/>
  <c r="O898" i="2"/>
  <c r="O897" i="2"/>
  <c r="O896" i="2"/>
  <c r="O895" i="2"/>
  <c r="O894" i="2"/>
  <c r="O893" i="2"/>
  <c r="O892" i="2"/>
  <c r="O889" i="2"/>
  <c r="O884" i="2"/>
  <c r="O880" i="2"/>
  <c r="O875" i="2"/>
  <c r="O873" i="2"/>
  <c r="O688" i="2"/>
  <c r="O685" i="2"/>
  <c r="O683" i="2"/>
  <c r="O680" i="2"/>
  <c r="O678" i="2"/>
  <c r="O677" i="2"/>
  <c r="O673" i="2"/>
  <c r="O670" i="2"/>
  <c r="O667" i="2"/>
  <c r="O664" i="2"/>
  <c r="O662" i="2"/>
  <c r="O654" i="2"/>
  <c r="O584" i="2"/>
  <c r="O583" i="2"/>
  <c r="O581" i="2"/>
  <c r="O578" i="2"/>
  <c r="O573" i="2"/>
  <c r="O1279" i="2"/>
  <c r="O1278" i="2"/>
  <c r="O1277" i="2"/>
  <c r="O1276" i="2"/>
  <c r="O1275" i="2"/>
  <c r="O1274" i="2"/>
  <c r="O1273" i="2"/>
  <c r="O1272" i="2"/>
  <c r="O1271" i="2"/>
  <c r="O1270" i="2"/>
  <c r="O1269" i="2"/>
  <c r="O1268" i="2"/>
  <c r="O1267" i="2"/>
  <c r="O1266" i="2"/>
  <c r="O1265" i="2"/>
  <c r="O1264" i="2"/>
  <c r="O1263" i="2"/>
  <c r="O1262" i="2"/>
  <c r="O1261" i="2"/>
  <c r="O1260" i="2"/>
  <c r="O1259" i="2"/>
  <c r="O1258" i="2"/>
  <c r="O1257" i="2"/>
  <c r="O1256" i="2"/>
  <c r="O1255" i="2"/>
  <c r="O1254" i="2"/>
  <c r="O1253" i="2"/>
  <c r="O1252" i="2"/>
  <c r="O1251" i="2"/>
  <c r="O1250" i="2"/>
  <c r="O1249" i="2"/>
  <c r="O1248" i="2"/>
  <c r="O1247" i="2"/>
  <c r="O1246" i="2"/>
  <c r="O1245" i="2"/>
  <c r="O1244" i="2"/>
  <c r="O1243" i="2"/>
  <c r="O1242" i="2"/>
  <c r="O1241" i="2"/>
  <c r="O1240" i="2"/>
  <c r="O1239" i="2"/>
  <c r="O1238" i="2"/>
  <c r="O1237" i="2"/>
  <c r="O1236" i="2"/>
  <c r="O1235" i="2"/>
  <c r="O1234" i="2"/>
  <c r="O1233" i="2"/>
  <c r="O1232" i="2"/>
  <c r="O1231" i="2"/>
  <c r="O1230" i="2"/>
  <c r="O1229" i="2"/>
  <c r="O1228" i="2"/>
  <c r="O1227" i="2"/>
  <c r="O1226" i="2"/>
  <c r="O1225" i="2"/>
  <c r="O1224" i="2"/>
  <c r="O1223" i="2"/>
  <c r="O1222" i="2"/>
  <c r="O1221" i="2"/>
  <c r="O1220" i="2"/>
  <c r="O1219" i="2"/>
  <c r="O1218" i="2"/>
  <c r="O1217" i="2"/>
  <c r="O1216" i="2"/>
  <c r="O1077" i="2"/>
  <c r="O1076" i="2"/>
  <c r="O1075" i="2"/>
  <c r="O1074" i="2"/>
  <c r="O1073" i="2"/>
  <c r="O1072" i="2"/>
  <c r="O1071" i="2"/>
  <c r="O1070" i="2"/>
  <c r="O1069" i="2"/>
  <c r="O1068" i="2"/>
  <c r="O1067" i="2"/>
  <c r="O1066" i="2"/>
  <c r="O1065" i="2"/>
  <c r="O1064" i="2"/>
  <c r="O1063" i="2"/>
  <c r="O1060" i="2"/>
  <c r="O1057" i="2"/>
  <c r="O1056" i="2"/>
  <c r="O1055" i="2"/>
  <c r="O1054" i="2"/>
  <c r="O1053" i="2"/>
  <c r="O1052" i="2"/>
  <c r="O1051" i="2"/>
  <c r="O1050" i="2"/>
  <c r="O1049" i="2"/>
  <c r="O1048" i="2"/>
  <c r="O1047" i="2"/>
  <c r="O1046" i="2"/>
  <c r="O1045" i="2"/>
  <c r="O1044" i="2"/>
  <c r="O1043" i="2"/>
  <c r="O1042" i="2"/>
  <c r="O1041" i="2"/>
  <c r="O1040" i="2"/>
  <c r="O1039" i="2"/>
  <c r="O1038" i="2"/>
  <c r="O1037" i="2"/>
  <c r="O1036" i="2"/>
  <c r="O1035" i="2"/>
  <c r="O1034" i="2"/>
  <c r="O1033" i="2"/>
  <c r="O1032" i="2"/>
  <c r="O1030" i="2"/>
  <c r="O1029" i="2"/>
  <c r="O1028" i="2"/>
  <c r="O1027" i="2"/>
  <c r="O1026" i="2"/>
  <c r="O1025" i="2"/>
  <c r="O1024" i="2"/>
  <c r="O1023" i="2"/>
  <c r="O1022" i="2"/>
  <c r="O1021" i="2"/>
  <c r="O1020" i="2"/>
  <c r="O1019" i="2"/>
  <c r="O1018" i="2"/>
  <c r="O1017" i="2"/>
  <c r="O1016" i="2"/>
  <c r="O1015" i="2"/>
  <c r="O1014" i="2"/>
  <c r="O1013" i="2"/>
  <c r="O1012" i="2"/>
  <c r="O1011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T219" i="8"/>
  <c r="O601" i="2"/>
  <c r="O600" i="2"/>
  <c r="O597" i="2"/>
  <c r="O596" i="2"/>
  <c r="O595" i="2"/>
  <c r="O594" i="2"/>
  <c r="O593" i="2"/>
  <c r="O592" i="2"/>
  <c r="O591" i="2"/>
  <c r="O590" i="2"/>
  <c r="O589" i="2"/>
  <c r="O588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471" i="2"/>
  <c r="O470" i="2"/>
  <c r="O469" i="2"/>
  <c r="O468" i="2"/>
  <c r="O467" i="2"/>
  <c r="O466" i="2"/>
  <c r="O465" i="2"/>
  <c r="O464" i="2"/>
  <c r="O463" i="2"/>
  <c r="O447" i="2"/>
  <c r="O446" i="2"/>
  <c r="O445" i="2"/>
  <c r="O444" i="2"/>
  <c r="O443" i="2"/>
  <c r="O442" i="2"/>
  <c r="O441" i="2"/>
  <c r="O440" i="2"/>
  <c r="T166" i="8"/>
  <c r="O433" i="2"/>
  <c r="T161" i="8"/>
  <c r="T160" i="8"/>
  <c r="O379" i="2"/>
  <c r="O378" i="2"/>
  <c r="O377" i="2"/>
  <c r="O376" i="2"/>
  <c r="O375" i="2"/>
  <c r="O374" i="2"/>
  <c r="O373" i="2"/>
  <c r="O372" i="2"/>
  <c r="S1661" i="2"/>
  <c r="S1653" i="2"/>
  <c r="S1645" i="2"/>
  <c r="S1665" i="2"/>
  <c r="S1640" i="2"/>
  <c r="S1660" i="2"/>
  <c r="S1700" i="2"/>
  <c r="S1696" i="2"/>
  <c r="S1692" i="2"/>
  <c r="S1688" i="2"/>
  <c r="S1684" i="2"/>
  <c r="S1680" i="2"/>
  <c r="S1676" i="2"/>
  <c r="S1675" i="2"/>
  <c r="S1644" i="2"/>
  <c r="S1632" i="2"/>
  <c r="S1636" i="2"/>
  <c r="S1657" i="2"/>
  <c r="S1641" i="2"/>
  <c r="S1637" i="2"/>
  <c r="S1633" i="2"/>
  <c r="S1629" i="2"/>
  <c r="S1699" i="2"/>
  <c r="S1695" i="2"/>
  <c r="S1691" i="2"/>
  <c r="S1687" i="2"/>
  <c r="S1683" i="2"/>
  <c r="S1679" i="2"/>
  <c r="S1672" i="2"/>
  <c r="S1652" i="2"/>
  <c r="S1669" i="2"/>
  <c r="S1649" i="2"/>
  <c r="Q1454" i="2"/>
  <c r="Q380" i="2"/>
  <c r="S1091" i="2"/>
  <c r="P1265" i="2"/>
  <c r="P1606" i="2"/>
  <c r="S1378" i="2"/>
  <c r="Q1292" i="2"/>
  <c r="R1048" i="2"/>
  <c r="Q923" i="2"/>
  <c r="R620" i="2"/>
  <c r="Q587" i="2"/>
  <c r="P481" i="2"/>
  <c r="P1157" i="2"/>
  <c r="P941" i="2"/>
  <c r="S1073" i="2"/>
  <c r="R934" i="2"/>
  <c r="Q409" i="2"/>
  <c r="Q1574" i="2"/>
  <c r="Q1559" i="2"/>
  <c r="Q1074" i="2"/>
  <c r="S979" i="2"/>
  <c r="S913" i="2"/>
  <c r="P866" i="2"/>
  <c r="S865" i="2"/>
  <c r="S820" i="2"/>
  <c r="P623" i="2"/>
  <c r="R621" i="2"/>
  <c r="R562" i="2"/>
  <c r="R372" i="2"/>
  <c r="Q1510" i="2"/>
  <c r="S1202" i="2"/>
  <c r="Q1200" i="2"/>
  <c r="S962" i="2"/>
  <c r="Q676" i="2"/>
  <c r="Q672" i="2"/>
  <c r="S669" i="2"/>
  <c r="P626" i="2"/>
  <c r="Q1624" i="2"/>
  <c r="Q1591" i="2"/>
  <c r="S1586" i="2"/>
  <c r="S1524" i="2"/>
  <c r="S1468" i="2"/>
  <c r="P1433" i="2"/>
  <c r="S1397" i="2"/>
  <c r="P1332" i="2"/>
  <c r="P1329" i="2"/>
  <c r="P1236" i="2"/>
  <c r="P1177" i="2"/>
  <c r="S1134" i="2"/>
  <c r="R1104" i="2"/>
  <c r="S1032" i="2"/>
  <c r="P986" i="2"/>
  <c r="P985" i="2"/>
  <c r="P964" i="2"/>
  <c r="Q949" i="2"/>
  <c r="Q871" i="2"/>
  <c r="P864" i="2"/>
  <c r="Q863" i="2"/>
  <c r="S713" i="2"/>
  <c r="R691" i="2"/>
  <c r="R432" i="2"/>
  <c r="S1572" i="2"/>
  <c r="P1570" i="2"/>
  <c r="P1448" i="2"/>
  <c r="P1428" i="2"/>
  <c r="Q1339" i="2"/>
  <c r="S1314" i="2"/>
  <c r="P1312" i="2"/>
  <c r="Q1245" i="2"/>
  <c r="R1183" i="2"/>
  <c r="P1153" i="2"/>
  <c r="Q1152" i="2"/>
  <c r="S1150" i="2"/>
  <c r="R1147" i="2"/>
  <c r="S1118" i="2"/>
  <c r="P1063" i="2"/>
  <c r="P1002" i="2"/>
  <c r="P1001" i="2"/>
  <c r="Q948" i="2"/>
  <c r="Q875" i="2"/>
  <c r="S853" i="2"/>
  <c r="P848" i="2"/>
  <c r="P840" i="2"/>
  <c r="P822" i="2"/>
  <c r="Q815" i="2"/>
  <c r="Q763" i="2"/>
  <c r="R722" i="2"/>
  <c r="R596" i="2"/>
  <c r="P594" i="2"/>
  <c r="R594" i="2"/>
  <c r="R525" i="2"/>
  <c r="S524" i="2"/>
  <c r="Q485" i="2"/>
  <c r="P410" i="2"/>
  <c r="P394" i="2"/>
  <c r="P1617" i="2"/>
  <c r="Q1612" i="2"/>
  <c r="P1602" i="2"/>
  <c r="Q1548" i="2"/>
  <c r="P1547" i="2"/>
  <c r="P1417" i="2"/>
  <c r="Q1412" i="2"/>
  <c r="P1409" i="2"/>
  <c r="Q1404" i="2"/>
  <c r="Q1403" i="2"/>
  <c r="P1241" i="2"/>
  <c r="S1186" i="2"/>
  <c r="Q1120" i="2"/>
  <c r="R1040" i="2"/>
  <c r="P924" i="2"/>
  <c r="Q899" i="2"/>
  <c r="Q851" i="2"/>
  <c r="Q847" i="2"/>
  <c r="Q831" i="2"/>
  <c r="P697" i="2"/>
  <c r="R684" i="2"/>
  <c r="P607" i="2"/>
  <c r="S533" i="2"/>
  <c r="R435" i="2"/>
  <c r="P1618" i="2"/>
  <c r="P1595" i="2"/>
  <c r="S1588" i="2"/>
  <c r="Q1564" i="2"/>
  <c r="Q1537" i="2"/>
  <c r="R1537" i="2"/>
  <c r="S1494" i="2"/>
  <c r="Q1481" i="2"/>
  <c r="Q1477" i="2"/>
  <c r="P1468" i="2"/>
  <c r="P1466" i="2"/>
  <c r="Q1461" i="2"/>
  <c r="P1460" i="2"/>
  <c r="R1455" i="2"/>
  <c r="P1449" i="2"/>
  <c r="P1383" i="2"/>
  <c r="P1361" i="2"/>
  <c r="S1330" i="2"/>
  <c r="P1328" i="2"/>
  <c r="P1314" i="2"/>
  <c r="P1285" i="2"/>
  <c r="S1262" i="2"/>
  <c r="Q1237" i="2"/>
  <c r="P1224" i="2"/>
  <c r="P1205" i="2"/>
  <c r="R1136" i="2"/>
  <c r="P1125" i="2"/>
  <c r="R1115" i="2"/>
  <c r="S1099" i="2"/>
  <c r="P1095" i="2"/>
  <c r="R988" i="2"/>
  <c r="R971" i="2"/>
  <c r="S828" i="2"/>
  <c r="R822" i="2"/>
  <c r="S645" i="2"/>
  <c r="R623" i="2"/>
  <c r="P1613" i="2"/>
  <c r="Q1585" i="2"/>
  <c r="Q1532" i="2"/>
  <c r="P1490" i="2"/>
  <c r="P1482" i="2"/>
  <c r="Q1439" i="2"/>
  <c r="Q1438" i="2"/>
  <c r="R1423" i="2"/>
  <c r="Q1371" i="2"/>
  <c r="S1362" i="2"/>
  <c r="S1298" i="2"/>
  <c r="P1297" i="2"/>
  <c r="S1258" i="2"/>
  <c r="S1257" i="2"/>
  <c r="P1232" i="2"/>
  <c r="Q976" i="2"/>
  <c r="R1623" i="2"/>
  <c r="P1622" i="2"/>
  <c r="S1614" i="2"/>
  <c r="Q1599" i="2"/>
  <c r="Q1590" i="2"/>
  <c r="Q1558" i="2"/>
  <c r="R1533" i="2"/>
  <c r="R1511" i="2"/>
  <c r="R1501" i="2"/>
  <c r="P1473" i="2"/>
  <c r="R1463" i="2"/>
  <c r="P1452" i="2"/>
  <c r="P1394" i="2"/>
  <c r="Q1331" i="2"/>
  <c r="P1281" i="2"/>
  <c r="S1266" i="2"/>
  <c r="S1229" i="2"/>
  <c r="P1201" i="2"/>
  <c r="R1199" i="2"/>
  <c r="R1184" i="2"/>
  <c r="P1071" i="2"/>
  <c r="P1070" i="2"/>
  <c r="S1011" i="2"/>
  <c r="P933" i="2"/>
  <c r="P884" i="2"/>
  <c r="P752" i="2"/>
  <c r="S749" i="2"/>
  <c r="S747" i="2"/>
  <c r="R1060" i="2"/>
  <c r="R1057" i="2"/>
  <c r="S1024" i="2"/>
  <c r="P997" i="2"/>
  <c r="S993" i="2"/>
  <c r="Q980" i="2"/>
  <c r="Q955" i="2"/>
  <c r="Q939" i="2"/>
  <c r="P917" i="2"/>
  <c r="S841" i="2"/>
  <c r="Q774" i="2"/>
  <c r="Q692" i="2"/>
  <c r="R590" i="2"/>
  <c r="R557" i="2"/>
  <c r="R501" i="2"/>
  <c r="P469" i="2"/>
  <c r="P1437" i="2"/>
  <c r="R1399" i="2"/>
  <c r="S1394" i="2"/>
  <c r="S1346" i="2"/>
  <c r="P1344" i="2"/>
  <c r="Q1323" i="2"/>
  <c r="P1316" i="2"/>
  <c r="Q1307" i="2"/>
  <c r="Q1288" i="2"/>
  <c r="P1261" i="2"/>
  <c r="P1244" i="2"/>
  <c r="S1237" i="2"/>
  <c r="P1181" i="2"/>
  <c r="Q1168" i="2"/>
  <c r="S1109" i="2"/>
  <c r="P1108" i="2"/>
  <c r="R1108" i="2"/>
  <c r="P1102" i="2"/>
  <c r="R1078" i="2"/>
  <c r="S1016" i="2"/>
  <c r="P996" i="2"/>
  <c r="R966" i="2"/>
  <c r="Q879" i="2"/>
  <c r="P876" i="2"/>
  <c r="S617" i="2"/>
  <c r="R616" i="2"/>
  <c r="S563" i="2"/>
  <c r="P516" i="2"/>
  <c r="S482" i="2"/>
  <c r="S451" i="2"/>
  <c r="Q448" i="2"/>
  <c r="Q437" i="2"/>
  <c r="R411" i="2"/>
  <c r="R950" i="2"/>
  <c r="R940" i="2"/>
  <c r="R870" i="2"/>
  <c r="P858" i="2"/>
  <c r="P771" i="2"/>
  <c r="R758" i="2"/>
  <c r="S738" i="2"/>
  <c r="P693" i="2"/>
  <c r="P687" i="2"/>
  <c r="P681" i="2"/>
  <c r="P618" i="2"/>
  <c r="R618" i="2"/>
  <c r="P584" i="2"/>
  <c r="P583" i="2"/>
  <c r="R565" i="2"/>
  <c r="S561" i="2"/>
  <c r="S557" i="2"/>
  <c r="S495" i="2"/>
  <c r="P491" i="2"/>
  <c r="S486" i="2"/>
  <c r="R483" i="2"/>
  <c r="P423" i="2"/>
  <c r="Q419" i="2"/>
  <c r="R890" i="2"/>
  <c r="P825" i="2"/>
  <c r="P817" i="2"/>
  <c r="R817" i="2"/>
  <c r="R809" i="2"/>
  <c r="P808" i="2"/>
  <c r="P801" i="2"/>
  <c r="R801" i="2"/>
  <c r="P768" i="2"/>
  <c r="Q757" i="2"/>
  <c r="R711" i="2"/>
  <c r="P692" i="2"/>
  <c r="S689" i="2"/>
  <c r="P680" i="2"/>
  <c r="S674" i="2"/>
  <c r="S666" i="2"/>
  <c r="P633" i="2"/>
  <c r="P624" i="2"/>
  <c r="S608" i="2"/>
  <c r="S601" i="2"/>
  <c r="S592" i="2"/>
  <c r="R560" i="2"/>
  <c r="Q559" i="2"/>
  <c r="Q533" i="2"/>
  <c r="P489" i="2"/>
  <c r="Q472" i="2"/>
  <c r="T423" i="2"/>
  <c r="S423" i="2" s="1"/>
  <c r="R379" i="2"/>
  <c r="Q1355" i="2"/>
  <c r="R1167" i="2"/>
  <c r="P1055" i="2"/>
  <c r="S1621" i="2"/>
  <c r="Q1611" i="2"/>
  <c r="Q1608" i="2"/>
  <c r="R1600" i="2"/>
  <c r="R1591" i="2"/>
  <c r="Q1569" i="2"/>
  <c r="R1569" i="2"/>
  <c r="S1564" i="2"/>
  <c r="S1516" i="2"/>
  <c r="R1492" i="2"/>
  <c r="P1425" i="2"/>
  <c r="T1363" i="2"/>
  <c r="S1363" i="2" s="1"/>
  <c r="Q1363" i="2"/>
  <c r="S1245" i="2"/>
  <c r="S1233" i="2"/>
  <c r="P1401" i="2"/>
  <c r="S1162" i="2"/>
  <c r="U1162" i="2"/>
  <c r="U977" i="2"/>
  <c r="S977" i="2"/>
  <c r="R1624" i="2"/>
  <c r="P1621" i="2"/>
  <c r="U1614" i="2"/>
  <c r="Q1614" i="2"/>
  <c r="P1605" i="2"/>
  <c r="Q1601" i="2"/>
  <c r="R1601" i="2"/>
  <c r="Q1596" i="2"/>
  <c r="S1590" i="2"/>
  <c r="P1589" i="2"/>
  <c r="Q1580" i="2"/>
  <c r="P1579" i="2"/>
  <c r="R1576" i="2"/>
  <c r="Q1567" i="2"/>
  <c r="P1563" i="2"/>
  <c r="R1559" i="2"/>
  <c r="S1554" i="2"/>
  <c r="R1544" i="2"/>
  <c r="R1523" i="2"/>
  <c r="S1517" i="2"/>
  <c r="S1421" i="2"/>
  <c r="P1321" i="2"/>
  <c r="P1305" i="2"/>
  <c r="T1276" i="2"/>
  <c r="S1276" i="2" s="1"/>
  <c r="Q1276" i="2"/>
  <c r="T1249" i="2"/>
  <c r="S1249" i="2" s="1"/>
  <c r="P1249" i="2"/>
  <c r="U1138" i="2"/>
  <c r="S1138" i="2"/>
  <c r="S1573" i="2"/>
  <c r="S1280" i="2"/>
  <c r="Q1133" i="2"/>
  <c r="S1618" i="2"/>
  <c r="R1612" i="2"/>
  <c r="R1611" i="2"/>
  <c r="Q1610" i="2"/>
  <c r="R1597" i="2"/>
  <c r="S1596" i="2"/>
  <c r="R1568" i="2"/>
  <c r="S1556" i="2"/>
  <c r="R1541" i="2"/>
  <c r="R1527" i="2"/>
  <c r="S1526" i="2"/>
  <c r="P1525" i="2"/>
  <c r="R1525" i="2"/>
  <c r="P1494" i="2"/>
  <c r="T1415" i="2"/>
  <c r="S1415" i="2" s="1"/>
  <c r="R1415" i="2"/>
  <c r="T1407" i="2"/>
  <c r="S1407" i="2" s="1"/>
  <c r="R1407" i="2"/>
  <c r="Q1395" i="2"/>
  <c r="P1337" i="2"/>
  <c r="S1232" i="2"/>
  <c r="S1224" i="2"/>
  <c r="Q1181" i="2"/>
  <c r="Q1503" i="2"/>
  <c r="P1499" i="2"/>
  <c r="S1490" i="2"/>
  <c r="S1483" i="2"/>
  <c r="S1479" i="2"/>
  <c r="R1418" i="2"/>
  <c r="S1413" i="2"/>
  <c r="R1410" i="2"/>
  <c r="S1405" i="2"/>
  <c r="P1369" i="2"/>
  <c r="P1364" i="2"/>
  <c r="P1353" i="2"/>
  <c r="P1348" i="2"/>
  <c r="S1282" i="2"/>
  <c r="S1265" i="2"/>
  <c r="S1261" i="2"/>
  <c r="S1242" i="2"/>
  <c r="S1240" i="2"/>
  <c r="S1234" i="2"/>
  <c r="Q1233" i="2"/>
  <c r="P1225" i="2"/>
  <c r="Q1180" i="2"/>
  <c r="Q1170" i="2"/>
  <c r="R1168" i="2"/>
  <c r="S1142" i="2"/>
  <c r="U1142" i="2"/>
  <c r="Q1132" i="2"/>
  <c r="S1114" i="2"/>
  <c r="U690" i="2"/>
  <c r="S690" i="2"/>
  <c r="T636" i="2"/>
  <c r="S636" i="2" s="1"/>
  <c r="Q636" i="2"/>
  <c r="S1544" i="2"/>
  <c r="Q1535" i="2"/>
  <c r="S1522" i="2"/>
  <c r="Q1518" i="2"/>
  <c r="R1517" i="2"/>
  <c r="S1509" i="2"/>
  <c r="P1506" i="2"/>
  <c r="R1504" i="2"/>
  <c r="Q1493" i="2"/>
  <c r="P1486" i="2"/>
  <c r="P1474" i="2"/>
  <c r="S1462" i="2"/>
  <c r="R1431" i="2"/>
  <c r="Q1424" i="2"/>
  <c r="S1418" i="2"/>
  <c r="S1410" i="2"/>
  <c r="Q1400" i="2"/>
  <c r="P1396" i="2"/>
  <c r="P1393" i="2"/>
  <c r="Q1387" i="2"/>
  <c r="P1385" i="2"/>
  <c r="P1380" i="2"/>
  <c r="P1376" i="2"/>
  <c r="P1360" i="2"/>
  <c r="P1346" i="2"/>
  <c r="P1335" i="2"/>
  <c r="P1330" i="2"/>
  <c r="P1319" i="2"/>
  <c r="P1303" i="2"/>
  <c r="P1296" i="2"/>
  <c r="S1294" i="2"/>
  <c r="S1281" i="2"/>
  <c r="P1270" i="2"/>
  <c r="S1250" i="2"/>
  <c r="P1240" i="2"/>
  <c r="S1216" i="2"/>
  <c r="P1209" i="2"/>
  <c r="P1206" i="2"/>
  <c r="R1200" i="2"/>
  <c r="Q1197" i="2"/>
  <c r="P1194" i="2"/>
  <c r="P1185" i="2"/>
  <c r="Q1184" i="2"/>
  <c r="S1178" i="2"/>
  <c r="U1178" i="2"/>
  <c r="P1141" i="2"/>
  <c r="P832" i="2"/>
  <c r="T832" i="2"/>
  <c r="S832" i="2" s="1"/>
  <c r="S824" i="2"/>
  <c r="P824" i="2"/>
  <c r="T782" i="2"/>
  <c r="S782" i="2" s="1"/>
  <c r="T767" i="2"/>
  <c r="S767" i="2" s="1"/>
  <c r="P767" i="2"/>
  <c r="S1580" i="2"/>
  <c r="R1565" i="2"/>
  <c r="S1558" i="2"/>
  <c r="P1557" i="2"/>
  <c r="S1549" i="2"/>
  <c r="S1548" i="2"/>
  <c r="Q1542" i="2"/>
  <c r="S1541" i="2"/>
  <c r="S1540" i="2"/>
  <c r="P1538" i="2"/>
  <c r="R1536" i="2"/>
  <c r="P1531" i="2"/>
  <c r="Q1527" i="2"/>
  <c r="P1515" i="2"/>
  <c r="R1512" i="2"/>
  <c r="R1509" i="2"/>
  <c r="Q1505" i="2"/>
  <c r="R1505" i="2"/>
  <c r="Q1500" i="2"/>
  <c r="P1489" i="2"/>
  <c r="Q1488" i="2"/>
  <c r="S1486" i="2"/>
  <c r="S1478" i="2"/>
  <c r="R1465" i="2"/>
  <c r="S1460" i="2"/>
  <c r="S1440" i="2"/>
  <c r="P1436" i="2"/>
  <c r="R1434" i="2"/>
  <c r="S1420" i="2"/>
  <c r="P1392" i="2"/>
  <c r="P1378" i="2"/>
  <c r="P1367" i="2"/>
  <c r="P1362" i="2"/>
  <c r="P1351" i="2"/>
  <c r="P1300" i="2"/>
  <c r="P1298" i="2"/>
  <c r="R1294" i="2"/>
  <c r="P1286" i="2"/>
  <c r="Q1272" i="2"/>
  <c r="P1269" i="2"/>
  <c r="S1254" i="2"/>
  <c r="S1253" i="2"/>
  <c r="S1244" i="2"/>
  <c r="S1241" i="2"/>
  <c r="S1236" i="2"/>
  <c r="P1229" i="2"/>
  <c r="P1228" i="2"/>
  <c r="P1217" i="2"/>
  <c r="P1216" i="2"/>
  <c r="Q1202" i="2"/>
  <c r="S1190" i="2"/>
  <c r="U1190" i="2"/>
  <c r="P1178" i="2"/>
  <c r="S1170" i="2"/>
  <c r="R1163" i="2"/>
  <c r="S1154" i="2"/>
  <c r="U1154" i="2"/>
  <c r="Q1148" i="2"/>
  <c r="P1137" i="2"/>
  <c r="Q1136" i="2"/>
  <c r="Q1101" i="2"/>
  <c r="S1039" i="2"/>
  <c r="U1039" i="2"/>
  <c r="R998" i="2"/>
  <c r="U889" i="2"/>
  <c r="S889" i="2"/>
  <c r="P1221" i="2"/>
  <c r="P1220" i="2"/>
  <c r="P1213" i="2"/>
  <c r="P1193" i="2"/>
  <c r="R1191" i="2"/>
  <c r="Q1186" i="2"/>
  <c r="R1179" i="2"/>
  <c r="S1174" i="2"/>
  <c r="P1169" i="2"/>
  <c r="Q1165" i="2"/>
  <c r="P1162" i="2"/>
  <c r="P1161" i="2"/>
  <c r="Q1154" i="2"/>
  <c r="P1146" i="2"/>
  <c r="R1131" i="2"/>
  <c r="Q1122" i="2"/>
  <c r="P1114" i="2"/>
  <c r="P1113" i="2"/>
  <c r="R1111" i="2"/>
  <c r="R1105" i="2"/>
  <c r="Q1094" i="2"/>
  <c r="R1092" i="2"/>
  <c r="S1081" i="2"/>
  <c r="R1076" i="2"/>
  <c r="P1073" i="2"/>
  <c r="P1066" i="2"/>
  <c r="R1065" i="2"/>
  <c r="S1047" i="2"/>
  <c r="P1037" i="2"/>
  <c r="R1037" i="2"/>
  <c r="P1032" i="2"/>
  <c r="P1021" i="2"/>
  <c r="R1021" i="2"/>
  <c r="P1016" i="2"/>
  <c r="U1011" i="2"/>
  <c r="S995" i="2"/>
  <c r="P980" i="2"/>
  <c r="P954" i="2"/>
  <c r="S939" i="2"/>
  <c r="R937" i="2"/>
  <c r="P932" i="2"/>
  <c r="P929" i="2"/>
  <c r="P908" i="2"/>
  <c r="S902" i="2"/>
  <c r="S901" i="2"/>
  <c r="Q891" i="2"/>
  <c r="T878" i="2"/>
  <c r="S878" i="2" s="1"/>
  <c r="S877" i="2"/>
  <c r="T862" i="2"/>
  <c r="S862" i="2" s="1"/>
  <c r="R862" i="2"/>
  <c r="T846" i="2"/>
  <c r="S846" i="2" s="1"/>
  <c r="R846" i="2"/>
  <c r="T699" i="2"/>
  <c r="S699" i="2" s="1"/>
  <c r="R699" i="2"/>
  <c r="P660" i="2"/>
  <c r="Q660" i="2"/>
  <c r="S657" i="2"/>
  <c r="Q1164" i="2"/>
  <c r="R1152" i="2"/>
  <c r="Q1149" i="2"/>
  <c r="P1145" i="2"/>
  <c r="Q1138" i="2"/>
  <c r="P1130" i="2"/>
  <c r="P1129" i="2"/>
  <c r="S1122" i="2"/>
  <c r="R1120" i="2"/>
  <c r="P1117" i="2"/>
  <c r="Q1117" i="2"/>
  <c r="S1100" i="2"/>
  <c r="S1092" i="2"/>
  <c r="Q1090" i="2"/>
  <c r="P1081" i="2"/>
  <c r="P1079" i="2"/>
  <c r="S1067" i="2"/>
  <c r="S1064" i="2"/>
  <c r="P1054" i="2"/>
  <c r="R1054" i="2"/>
  <c r="Q1045" i="2"/>
  <c r="R1045" i="2"/>
  <c r="R1012" i="2"/>
  <c r="Q996" i="2"/>
  <c r="R976" i="2"/>
  <c r="P973" i="2"/>
  <c r="P957" i="2"/>
  <c r="R951" i="2"/>
  <c r="P945" i="2"/>
  <c r="R923" i="2"/>
  <c r="Q907" i="2"/>
  <c r="T830" i="2"/>
  <c r="S830" i="2" s="1"/>
  <c r="R830" i="2"/>
  <c r="S680" i="2"/>
  <c r="P1121" i="2"/>
  <c r="Q1116" i="2"/>
  <c r="Q1109" i="2"/>
  <c r="P1099" i="2"/>
  <c r="S1083" i="2"/>
  <c r="S1059" i="2"/>
  <c r="R1056" i="2"/>
  <c r="Q1053" i="2"/>
  <c r="P1029" i="2"/>
  <c r="R1029" i="2"/>
  <c r="P1024" i="2"/>
  <c r="Q1013" i="2"/>
  <c r="R1013" i="2"/>
  <c r="S1012" i="2"/>
  <c r="P1010" i="2"/>
  <c r="R948" i="2"/>
  <c r="P938" i="2"/>
  <c r="P927" i="2"/>
  <c r="S909" i="2"/>
  <c r="R906" i="2"/>
  <c r="P804" i="2"/>
  <c r="Q795" i="2"/>
  <c r="T761" i="2"/>
  <c r="S761" i="2" s="1"/>
  <c r="P857" i="2"/>
  <c r="R850" i="2"/>
  <c r="R831" i="2"/>
  <c r="P783" i="2"/>
  <c r="R771" i="2"/>
  <c r="R740" i="2"/>
  <c r="R700" i="2"/>
  <c r="S682" i="2"/>
  <c r="T632" i="2"/>
  <c r="S632" i="2" s="1"/>
  <c r="Q632" i="2"/>
  <c r="Q887" i="2"/>
  <c r="S881" i="2"/>
  <c r="P874" i="2"/>
  <c r="S869" i="2"/>
  <c r="P862" i="2"/>
  <c r="S857" i="2"/>
  <c r="P852" i="2"/>
  <c r="P846" i="2"/>
  <c r="Q839" i="2"/>
  <c r="R837" i="2"/>
  <c r="P819" i="2"/>
  <c r="P816" i="2"/>
  <c r="P800" i="2"/>
  <c r="R794" i="2"/>
  <c r="R784" i="2"/>
  <c r="P776" i="2"/>
  <c r="S775" i="2"/>
  <c r="P765" i="2"/>
  <c r="R765" i="2"/>
  <c r="P748" i="2"/>
  <c r="P737" i="2"/>
  <c r="S726" i="2"/>
  <c r="P709" i="2"/>
  <c r="S694" i="2"/>
  <c r="S693" i="2"/>
  <c r="R687" i="2"/>
  <c r="P673" i="2"/>
  <c r="S661" i="2"/>
  <c r="P655" i="2"/>
  <c r="Q653" i="2"/>
  <c r="S650" i="2"/>
  <c r="R898" i="2"/>
  <c r="P892" i="2"/>
  <c r="S885" i="2"/>
  <c r="R874" i="2"/>
  <c r="Q868" i="2"/>
  <c r="Q867" i="2"/>
  <c r="R856" i="2"/>
  <c r="S854" i="2"/>
  <c r="R852" i="2"/>
  <c r="S848" i="2"/>
  <c r="P836" i="2"/>
  <c r="P827" i="2"/>
  <c r="S825" i="2"/>
  <c r="P814" i="2"/>
  <c r="S809" i="2"/>
  <c r="Q807" i="2"/>
  <c r="R805" i="2"/>
  <c r="P803" i="2"/>
  <c r="Q802" i="2"/>
  <c r="P759" i="2"/>
  <c r="R756" i="2"/>
  <c r="Q755" i="2"/>
  <c r="Q753" i="2"/>
  <c r="Q745" i="2"/>
  <c r="Q728" i="2"/>
  <c r="R728" i="2"/>
  <c r="P705" i="2"/>
  <c r="R702" i="2"/>
  <c r="P688" i="2"/>
  <c r="R675" i="2"/>
  <c r="S660" i="2"/>
  <c r="R655" i="2"/>
  <c r="T641" i="2"/>
  <c r="S641" i="2" s="1"/>
  <c r="P641" i="2"/>
  <c r="S630" i="2"/>
  <c r="R626" i="2"/>
  <c r="P620" i="2"/>
  <c r="Q614" i="2"/>
  <c r="P604" i="2"/>
  <c r="Q577" i="2"/>
  <c r="Q574" i="2"/>
  <c r="Q566" i="2"/>
  <c r="P562" i="2"/>
  <c r="P542" i="2"/>
  <c r="S537" i="2"/>
  <c r="R533" i="2"/>
  <c r="Q526" i="2"/>
  <c r="P498" i="2"/>
  <c r="P494" i="2"/>
  <c r="Q464" i="2"/>
  <c r="S462" i="2"/>
  <c r="R451" i="2"/>
  <c r="P414" i="2"/>
  <c r="P390" i="2"/>
  <c r="P378" i="2"/>
  <c r="S374" i="2"/>
  <c r="Q372" i="2"/>
  <c r="R651" i="2"/>
  <c r="P648" i="2"/>
  <c r="P642" i="2"/>
  <c r="P636" i="2"/>
  <c r="S634" i="2"/>
  <c r="Q619" i="2"/>
  <c r="R609" i="2"/>
  <c r="P606" i="2"/>
  <c r="P602" i="2"/>
  <c r="R580" i="2"/>
  <c r="P578" i="2"/>
  <c r="P576" i="2"/>
  <c r="S567" i="2"/>
  <c r="R549" i="2"/>
  <c r="P548" i="2"/>
  <c r="P546" i="2"/>
  <c r="P513" i="2"/>
  <c r="R510" i="2"/>
  <c r="Q497" i="2"/>
  <c r="R497" i="2"/>
  <c r="R493" i="2"/>
  <c r="R492" i="2"/>
  <c r="S483" i="2"/>
  <c r="R481" i="2"/>
  <c r="P458" i="2"/>
  <c r="S446" i="2"/>
  <c r="Q425" i="2"/>
  <c r="P413" i="2"/>
  <c r="T138" i="8"/>
  <c r="P386" i="2"/>
  <c r="Q377" i="2"/>
  <c r="Q644" i="2"/>
  <c r="R643" i="2"/>
  <c r="P635" i="2"/>
  <c r="P629" i="2"/>
  <c r="Q615" i="2"/>
  <c r="R597" i="2"/>
  <c r="S593" i="2"/>
  <c r="P592" i="2"/>
  <c r="Q573" i="2"/>
  <c r="P568" i="2"/>
  <c r="Q527" i="2"/>
  <c r="P512" i="2"/>
  <c r="P495" i="2"/>
  <c r="P478" i="2"/>
  <c r="Q477" i="2"/>
  <c r="R457" i="2"/>
  <c r="Q456" i="2"/>
  <c r="R456" i="2"/>
  <c r="R453" i="2"/>
  <c r="P430" i="2"/>
  <c r="R400" i="2"/>
  <c r="Q396" i="2"/>
  <c r="T190" i="8"/>
  <c r="Q480" i="2"/>
  <c r="P459" i="2"/>
  <c r="S1617" i="2"/>
  <c r="U1617" i="2"/>
  <c r="Q1578" i="2"/>
  <c r="P1578" i="2"/>
  <c r="R1555" i="2"/>
  <c r="T1528" i="2"/>
  <c r="S1528" i="2" s="1"/>
  <c r="R1528" i="2"/>
  <c r="S1383" i="2"/>
  <c r="U1383" i="2"/>
  <c r="S1351" i="2"/>
  <c r="U1351" i="2"/>
  <c r="S1319" i="2"/>
  <c r="U1319" i="2"/>
  <c r="Q1308" i="2"/>
  <c r="P1308" i="2"/>
  <c r="R1306" i="2"/>
  <c r="S1306" i="2"/>
  <c r="U1298" i="2"/>
  <c r="R1298" i="2"/>
  <c r="Q1277" i="2"/>
  <c r="P1277" i="2"/>
  <c r="T1173" i="2"/>
  <c r="S1173" i="2" s="1"/>
  <c r="P1173" i="2"/>
  <c r="P1123" i="2"/>
  <c r="R1123" i="2"/>
  <c r="S1107" i="2"/>
  <c r="U1107" i="2"/>
  <c r="P1038" i="2"/>
  <c r="Q1038" i="2"/>
  <c r="P746" i="2"/>
  <c r="Q1626" i="2"/>
  <c r="Q1620" i="2"/>
  <c r="S1616" i="2"/>
  <c r="U1616" i="2"/>
  <c r="P1615" i="2"/>
  <c r="R1615" i="2"/>
  <c r="P1611" i="2"/>
  <c r="S1610" i="2"/>
  <c r="P1609" i="2"/>
  <c r="Q1607" i="2"/>
  <c r="S1606" i="2"/>
  <c r="R1603" i="2"/>
  <c r="U1602" i="2"/>
  <c r="S1602" i="2"/>
  <c r="R1594" i="2"/>
  <c r="P1594" i="2"/>
  <c r="R1587" i="2"/>
  <c r="S1581" i="2"/>
  <c r="Q1573" i="2"/>
  <c r="P1573" i="2"/>
  <c r="R1573" i="2"/>
  <c r="T1560" i="2"/>
  <c r="S1560" i="2" s="1"/>
  <c r="R1560" i="2"/>
  <c r="R1557" i="2"/>
  <c r="Q1550" i="2"/>
  <c r="R1549" i="2"/>
  <c r="R1543" i="2"/>
  <c r="Q1521" i="2"/>
  <c r="P1502" i="2"/>
  <c r="Q1502" i="2"/>
  <c r="S1500" i="2"/>
  <c r="T1484" i="2"/>
  <c r="S1484" i="2" s="1"/>
  <c r="R1484" i="2"/>
  <c r="S1467" i="2"/>
  <c r="U1467" i="2"/>
  <c r="R1460" i="2"/>
  <c r="Q1444" i="2"/>
  <c r="U1394" i="2"/>
  <c r="R1394" i="2"/>
  <c r="Q1388" i="2"/>
  <c r="P1388" i="2"/>
  <c r="R1386" i="2"/>
  <c r="S1386" i="2"/>
  <c r="Q1379" i="2"/>
  <c r="U1362" i="2"/>
  <c r="R1362" i="2"/>
  <c r="Q1356" i="2"/>
  <c r="P1356" i="2"/>
  <c r="R1354" i="2"/>
  <c r="S1354" i="2"/>
  <c r="Q1347" i="2"/>
  <c r="U1330" i="2"/>
  <c r="R1330" i="2"/>
  <c r="Q1324" i="2"/>
  <c r="P1324" i="2"/>
  <c r="R1322" i="2"/>
  <c r="S1322" i="2"/>
  <c r="Q1315" i="2"/>
  <c r="S1293" i="2"/>
  <c r="Q1284" i="2"/>
  <c r="P1280" i="2"/>
  <c r="Q1280" i="2"/>
  <c r="S1277" i="2"/>
  <c r="Q1268" i="2"/>
  <c r="P1257" i="2"/>
  <c r="Q1209" i="2"/>
  <c r="S1205" i="2"/>
  <c r="U1205" i="2"/>
  <c r="Q1198" i="2"/>
  <c r="S1198" i="2"/>
  <c r="S1130" i="2"/>
  <c r="U1130" i="2"/>
  <c r="S1129" i="2"/>
  <c r="U1129" i="2"/>
  <c r="Q1112" i="2"/>
  <c r="Q1085" i="2"/>
  <c r="P1046" i="2"/>
  <c r="Q1046" i="2"/>
  <c r="U1024" i="2"/>
  <c r="R1024" i="2"/>
  <c r="T992" i="2"/>
  <c r="Q992" i="2"/>
  <c r="P987" i="2"/>
  <c r="Q987" i="2"/>
  <c r="P952" i="2"/>
  <c r="T952" i="2"/>
  <c r="S952" i="2" s="1"/>
  <c r="S785" i="2"/>
  <c r="Q785" i="2"/>
  <c r="R785" i="2"/>
  <c r="Q1621" i="2"/>
  <c r="U1570" i="2"/>
  <c r="S1570" i="2"/>
  <c r="R1562" i="2"/>
  <c r="P1562" i="2"/>
  <c r="R1495" i="2"/>
  <c r="Q1472" i="2"/>
  <c r="R1416" i="2"/>
  <c r="Q1416" i="2"/>
  <c r="R1402" i="2"/>
  <c r="S1402" i="2"/>
  <c r="S1356" i="2"/>
  <c r="U1356" i="2"/>
  <c r="S1324" i="2"/>
  <c r="U1324" i="2"/>
  <c r="Q1293" i="2"/>
  <c r="P1293" i="2"/>
  <c r="S1106" i="2"/>
  <c r="U1106" i="2"/>
  <c r="P619" i="2"/>
  <c r="T375" i="2"/>
  <c r="S375" i="2" s="1"/>
  <c r="S1626" i="2"/>
  <c r="P1625" i="2"/>
  <c r="Q1623" i="2"/>
  <c r="S1622" i="2"/>
  <c r="R1619" i="2"/>
  <c r="U1618" i="2"/>
  <c r="Q1616" i="2"/>
  <c r="Q1609" i="2"/>
  <c r="R1608" i="2"/>
  <c r="R1607" i="2"/>
  <c r="S1605" i="2"/>
  <c r="T1592" i="2"/>
  <c r="S1592" i="2" s="1"/>
  <c r="R1592" i="2"/>
  <c r="R1589" i="2"/>
  <c r="Q1582" i="2"/>
  <c r="R1581" i="2"/>
  <c r="R1575" i="2"/>
  <c r="Q1553" i="2"/>
  <c r="U1541" i="2"/>
  <c r="P1534" i="2"/>
  <c r="Q1534" i="2"/>
  <c r="S1532" i="2"/>
  <c r="Q1526" i="2"/>
  <c r="Q1516" i="2"/>
  <c r="Q1514" i="2"/>
  <c r="P1514" i="2"/>
  <c r="U1506" i="2"/>
  <c r="S1506" i="2"/>
  <c r="R1498" i="2"/>
  <c r="P1498" i="2"/>
  <c r="R1479" i="2"/>
  <c r="S1470" i="2"/>
  <c r="R1468" i="2"/>
  <c r="S1456" i="2"/>
  <c r="T1449" i="2"/>
  <c r="S1449" i="2" s="1"/>
  <c r="R1449" i="2"/>
  <c r="P1447" i="2"/>
  <c r="Q1443" i="2"/>
  <c r="P1432" i="2"/>
  <c r="Q1432" i="2"/>
  <c r="P1377" i="2"/>
  <c r="S1372" i="2"/>
  <c r="U1372" i="2"/>
  <c r="S1367" i="2"/>
  <c r="U1367" i="2"/>
  <c r="P1345" i="2"/>
  <c r="S1340" i="2"/>
  <c r="U1340" i="2"/>
  <c r="S1335" i="2"/>
  <c r="U1335" i="2"/>
  <c r="P1313" i="2"/>
  <c r="Q1299" i="2"/>
  <c r="P1253" i="2"/>
  <c r="Q1199" i="2"/>
  <c r="P1058" i="2"/>
  <c r="Q1058" i="2"/>
  <c r="Q1604" i="2"/>
  <c r="P1598" i="2"/>
  <c r="Q1598" i="2"/>
  <c r="Q1541" i="2"/>
  <c r="P1541" i="2"/>
  <c r="R1426" i="2"/>
  <c r="S1426" i="2"/>
  <c r="R1408" i="2"/>
  <c r="Q1408" i="2"/>
  <c r="S1388" i="2"/>
  <c r="U1388" i="2"/>
  <c r="Q1625" i="2"/>
  <c r="Q1605" i="2"/>
  <c r="U1573" i="2"/>
  <c r="P1566" i="2"/>
  <c r="Q1566" i="2"/>
  <c r="Q1546" i="2"/>
  <c r="P1546" i="2"/>
  <c r="U1538" i="2"/>
  <c r="S1538" i="2"/>
  <c r="R1530" i="2"/>
  <c r="P1530" i="2"/>
  <c r="Q1509" i="2"/>
  <c r="P1509" i="2"/>
  <c r="S1508" i="2"/>
  <c r="T1476" i="2"/>
  <c r="S1476" i="2" s="1"/>
  <c r="R1476" i="2"/>
  <c r="S1471" i="2"/>
  <c r="R1446" i="2"/>
  <c r="S1442" i="2"/>
  <c r="S1412" i="2"/>
  <c r="U1412" i="2"/>
  <c r="S1404" i="2"/>
  <c r="U1404" i="2"/>
  <c r="U1378" i="2"/>
  <c r="R1378" i="2"/>
  <c r="Q1372" i="2"/>
  <c r="P1372" i="2"/>
  <c r="R1370" i="2"/>
  <c r="S1370" i="2"/>
  <c r="U1346" i="2"/>
  <c r="R1346" i="2"/>
  <c r="Q1340" i="2"/>
  <c r="P1340" i="2"/>
  <c r="R1338" i="2"/>
  <c r="S1338" i="2"/>
  <c r="U1314" i="2"/>
  <c r="R1314" i="2"/>
  <c r="S1308" i="2"/>
  <c r="U1308" i="2"/>
  <c r="S1303" i="2"/>
  <c r="U1303" i="2"/>
  <c r="T1189" i="2"/>
  <c r="S1189" i="2" s="1"/>
  <c r="P1189" i="2"/>
  <c r="S1146" i="2"/>
  <c r="U1146" i="2"/>
  <c r="S1103" i="2"/>
  <c r="P1103" i="2"/>
  <c r="U1032" i="2"/>
  <c r="R1032" i="2"/>
  <c r="U1016" i="2"/>
  <c r="R1016" i="2"/>
  <c r="U1003" i="2"/>
  <c r="R1003" i="2"/>
  <c r="R1588" i="2"/>
  <c r="S1574" i="2"/>
  <c r="P1558" i="2"/>
  <c r="S1555" i="2"/>
  <c r="P1553" i="2"/>
  <c r="S1542" i="2"/>
  <c r="S1534" i="2"/>
  <c r="S1531" i="2"/>
  <c r="Q1529" i="2"/>
  <c r="P1528" i="2"/>
  <c r="P1526" i="2"/>
  <c r="R1524" i="2"/>
  <c r="P1521" i="2"/>
  <c r="R1515" i="2"/>
  <c r="P1513" i="2"/>
  <c r="S1512" i="2"/>
  <c r="S1510" i="2"/>
  <c r="S1502" i="2"/>
  <c r="S1499" i="2"/>
  <c r="Q1497" i="2"/>
  <c r="S1495" i="2"/>
  <c r="S1487" i="2"/>
  <c r="P1484" i="2"/>
  <c r="R1481" i="2"/>
  <c r="P1476" i="2"/>
  <c r="P1469" i="2"/>
  <c r="S1469" i="2"/>
  <c r="P1461" i="2"/>
  <c r="S1461" i="2"/>
  <c r="R1459" i="2"/>
  <c r="S1458" i="2"/>
  <c r="S1457" i="2"/>
  <c r="Q1450" i="2"/>
  <c r="R1450" i="2"/>
  <c r="Q1447" i="2"/>
  <c r="S1446" i="2"/>
  <c r="S1445" i="2"/>
  <c r="S1441" i="2"/>
  <c r="R1439" i="2"/>
  <c r="Q1428" i="2"/>
  <c r="S1428" i="2"/>
  <c r="R1424" i="2"/>
  <c r="P1418" i="2"/>
  <c r="P1415" i="2"/>
  <c r="P1410" i="2"/>
  <c r="P1407" i="2"/>
  <c r="R1400" i="2"/>
  <c r="Q1392" i="2"/>
  <c r="P1389" i="2"/>
  <c r="Q1382" i="2"/>
  <c r="S1381" i="2"/>
  <c r="Q1376" i="2"/>
  <c r="P1373" i="2"/>
  <c r="Q1366" i="2"/>
  <c r="S1365" i="2"/>
  <c r="Q1360" i="2"/>
  <c r="P1357" i="2"/>
  <c r="Q1350" i="2"/>
  <c r="S1349" i="2"/>
  <c r="Q1344" i="2"/>
  <c r="P1341" i="2"/>
  <c r="Q1334" i="2"/>
  <c r="S1333" i="2"/>
  <c r="Q1328" i="2"/>
  <c r="P1325" i="2"/>
  <c r="Q1318" i="2"/>
  <c r="S1317" i="2"/>
  <c r="Q1312" i="2"/>
  <c r="P1309" i="2"/>
  <c r="Q1302" i="2"/>
  <c r="S1301" i="2"/>
  <c r="Q1296" i="2"/>
  <c r="P1292" i="2"/>
  <c r="S1292" i="2"/>
  <c r="S1289" i="2"/>
  <c r="Q1289" i="2"/>
  <c r="P1282" i="2"/>
  <c r="S1278" i="2"/>
  <c r="P1276" i="2"/>
  <c r="S1273" i="2"/>
  <c r="Q1273" i="2"/>
  <c r="P1266" i="2"/>
  <c r="P1262" i="2"/>
  <c r="P1258" i="2"/>
  <c r="P1254" i="2"/>
  <c r="P1250" i="2"/>
  <c r="S1230" i="2"/>
  <c r="S1222" i="2"/>
  <c r="S1214" i="2"/>
  <c r="Q1208" i="2"/>
  <c r="P1203" i="2"/>
  <c r="R1203" i="2"/>
  <c r="P1199" i="2"/>
  <c r="Q1195" i="2"/>
  <c r="S1194" i="2"/>
  <c r="S1161" i="2"/>
  <c r="U1161" i="2"/>
  <c r="P1155" i="2"/>
  <c r="R1155" i="2"/>
  <c r="S1145" i="2"/>
  <c r="U1145" i="2"/>
  <c r="P1139" i="2"/>
  <c r="R1139" i="2"/>
  <c r="Q1128" i="2"/>
  <c r="R1127" i="2"/>
  <c r="Q1119" i="2"/>
  <c r="P1106" i="2"/>
  <c r="Q1106" i="2"/>
  <c r="T1097" i="2"/>
  <c r="S1097" i="2" s="1"/>
  <c r="R1097" i="2"/>
  <c r="S1080" i="2"/>
  <c r="U1080" i="2"/>
  <c r="R1073" i="2"/>
  <c r="R1004" i="2"/>
  <c r="P1003" i="2"/>
  <c r="Q1003" i="2"/>
  <c r="T982" i="2"/>
  <c r="R982" i="2"/>
  <c r="T393" i="8"/>
  <c r="S792" i="2"/>
  <c r="U792" i="2"/>
  <c r="S1598" i="2"/>
  <c r="Q1593" i="2"/>
  <c r="P1590" i="2"/>
  <c r="S1587" i="2"/>
  <c r="P1577" i="2"/>
  <c r="S1566" i="2"/>
  <c r="P1560" i="2"/>
  <c r="P1623" i="2"/>
  <c r="Q1622" i="2"/>
  <c r="R1620" i="2"/>
  <c r="Q1619" i="2"/>
  <c r="Q1617" i="2"/>
  <c r="P1614" i="2"/>
  <c r="S1613" i="2"/>
  <c r="P1607" i="2"/>
  <c r="Q1606" i="2"/>
  <c r="R1604" i="2"/>
  <c r="Q1603" i="2"/>
  <c r="S1597" i="2"/>
  <c r="Q1594" i="2"/>
  <c r="Q1589" i="2"/>
  <c r="S1589" i="2"/>
  <c r="P1586" i="2"/>
  <c r="R1585" i="2"/>
  <c r="R1584" i="2"/>
  <c r="Q1583" i="2"/>
  <c r="P1582" i="2"/>
  <c r="R1578" i="2"/>
  <c r="Q1575" i="2"/>
  <c r="R1571" i="2"/>
  <c r="S1565" i="2"/>
  <c r="Q1562" i="2"/>
  <c r="Q1557" i="2"/>
  <c r="S1557" i="2"/>
  <c r="P1554" i="2"/>
  <c r="R1553" i="2"/>
  <c r="R1552" i="2"/>
  <c r="Q1551" i="2"/>
  <c r="P1550" i="2"/>
  <c r="R1546" i="2"/>
  <c r="Q1543" i="2"/>
  <c r="R1539" i="2"/>
  <c r="S1533" i="2"/>
  <c r="Q1530" i="2"/>
  <c r="Q1525" i="2"/>
  <c r="S1525" i="2"/>
  <c r="P1522" i="2"/>
  <c r="R1521" i="2"/>
  <c r="R1520" i="2"/>
  <c r="Q1519" i="2"/>
  <c r="P1518" i="2"/>
  <c r="R1514" i="2"/>
  <c r="Q1511" i="2"/>
  <c r="R1507" i="2"/>
  <c r="S1501" i="2"/>
  <c r="Q1498" i="2"/>
  <c r="R1497" i="2"/>
  <c r="P1492" i="2"/>
  <c r="S1492" i="2"/>
  <c r="P1485" i="2"/>
  <c r="S1485" i="2"/>
  <c r="U1483" i="2"/>
  <c r="P1477" i="2"/>
  <c r="S1477" i="2"/>
  <c r="R1475" i="2"/>
  <c r="R1473" i="2"/>
  <c r="R1467" i="2"/>
  <c r="S1466" i="2"/>
  <c r="P1462" i="2"/>
  <c r="U1461" i="2"/>
  <c r="P1455" i="2"/>
  <c r="P1453" i="2"/>
  <c r="Q1448" i="2"/>
  <c r="S1444" i="2"/>
  <c r="R1443" i="2"/>
  <c r="R1432" i="2"/>
  <c r="S1431" i="2"/>
  <c r="P1429" i="2"/>
  <c r="U1428" i="2"/>
  <c r="P1426" i="2"/>
  <c r="P1423" i="2"/>
  <c r="S1423" i="2"/>
  <c r="P1416" i="2"/>
  <c r="P1413" i="2"/>
  <c r="P1408" i="2"/>
  <c r="P1405" i="2"/>
  <c r="P1402" i="2"/>
  <c r="P1399" i="2"/>
  <c r="S1399" i="2"/>
  <c r="Q1396" i="2"/>
  <c r="S1396" i="2"/>
  <c r="P1391" i="2"/>
  <c r="S1391" i="2"/>
  <c r="P1386" i="2"/>
  <c r="P1384" i="2"/>
  <c r="Q1380" i="2"/>
  <c r="S1380" i="2"/>
  <c r="P1375" i="2"/>
  <c r="S1375" i="2"/>
  <c r="P1370" i="2"/>
  <c r="P1368" i="2"/>
  <c r="Q1364" i="2"/>
  <c r="S1364" i="2"/>
  <c r="P1359" i="2"/>
  <c r="S1359" i="2"/>
  <c r="P1354" i="2"/>
  <c r="P1352" i="2"/>
  <c r="Q1348" i="2"/>
  <c r="S1348" i="2"/>
  <c r="P1343" i="2"/>
  <c r="S1343" i="2"/>
  <c r="P1338" i="2"/>
  <c r="P1336" i="2"/>
  <c r="Q1332" i="2"/>
  <c r="S1332" i="2"/>
  <c r="P1327" i="2"/>
  <c r="S1327" i="2"/>
  <c r="P1322" i="2"/>
  <c r="P1320" i="2"/>
  <c r="Q1316" i="2"/>
  <c r="S1316" i="2"/>
  <c r="P1311" i="2"/>
  <c r="S1311" i="2"/>
  <c r="P1306" i="2"/>
  <c r="P1304" i="2"/>
  <c r="Q1300" i="2"/>
  <c r="S1300" i="2"/>
  <c r="P1295" i="2"/>
  <c r="S1295" i="2"/>
  <c r="P1294" i="2"/>
  <c r="S1290" i="2"/>
  <c r="P1289" i="2"/>
  <c r="P1288" i="2"/>
  <c r="S1288" i="2"/>
  <c r="S1285" i="2"/>
  <c r="Q1285" i="2"/>
  <c r="P1278" i="2"/>
  <c r="S1274" i="2"/>
  <c r="P1273" i="2"/>
  <c r="P1272" i="2"/>
  <c r="S1272" i="2"/>
  <c r="S1269" i="2"/>
  <c r="Q1269" i="2"/>
  <c r="P1267" i="2"/>
  <c r="P1263" i="2"/>
  <c r="P1259" i="2"/>
  <c r="P1255" i="2"/>
  <c r="P1251" i="2"/>
  <c r="S1248" i="2"/>
  <c r="S1246" i="2"/>
  <c r="P1245" i="2"/>
  <c r="S1238" i="2"/>
  <c r="P1237" i="2"/>
  <c r="S1210" i="2"/>
  <c r="R1207" i="2"/>
  <c r="Q1204" i="2"/>
  <c r="R1196" i="2"/>
  <c r="R1195" i="2"/>
  <c r="S1193" i="2"/>
  <c r="U1193" i="2"/>
  <c r="P1187" i="2"/>
  <c r="R1187" i="2"/>
  <c r="S1177" i="2"/>
  <c r="U1177" i="2"/>
  <c r="P1171" i="2"/>
  <c r="R1171" i="2"/>
  <c r="Q1160" i="2"/>
  <c r="R1159" i="2"/>
  <c r="Q1151" i="2"/>
  <c r="P1149" i="2"/>
  <c r="Q1144" i="2"/>
  <c r="R1143" i="2"/>
  <c r="Q1135" i="2"/>
  <c r="P1133" i="2"/>
  <c r="S1126" i="2"/>
  <c r="R1119" i="2"/>
  <c r="U1114" i="2"/>
  <c r="R1110" i="2"/>
  <c r="R1081" i="2"/>
  <c r="S1066" i="2"/>
  <c r="U1066" i="2"/>
  <c r="T279" i="8"/>
  <c r="T833" i="2"/>
  <c r="S833" i="2" s="1"/>
  <c r="R833" i="2"/>
  <c r="T770" i="2"/>
  <c r="S770" i="2" s="1"/>
  <c r="R770" i="2"/>
  <c r="Q750" i="2"/>
  <c r="R750" i="2"/>
  <c r="S1595" i="2"/>
  <c r="P1592" i="2"/>
  <c r="P1585" i="2"/>
  <c r="R1579" i="2"/>
  <c r="S1576" i="2"/>
  <c r="S1563" i="2"/>
  <c r="Q1561" i="2"/>
  <c r="R1556" i="2"/>
  <c r="R1547" i="2"/>
  <c r="P1545" i="2"/>
  <c r="S1523" i="2"/>
  <c r="P1626" i="2"/>
  <c r="S1625" i="2"/>
  <c r="S1624" i="2"/>
  <c r="P1619" i="2"/>
  <c r="Q1618" i="2"/>
  <c r="R1616" i="2"/>
  <c r="Q1615" i="2"/>
  <c r="Q1613" i="2"/>
  <c r="P1610" i="2"/>
  <c r="S1609" i="2"/>
  <c r="S1608" i="2"/>
  <c r="P1603" i="2"/>
  <c r="P1601" i="2"/>
  <c r="R1595" i="2"/>
  <c r="P1593" i="2"/>
  <c r="S1582" i="2"/>
  <c r="S1579" i="2"/>
  <c r="Q1577" i="2"/>
  <c r="P1576" i="2"/>
  <c r="P1574" i="2"/>
  <c r="R1572" i="2"/>
  <c r="S1571" i="2"/>
  <c r="P1569" i="2"/>
  <c r="R1563" i="2"/>
  <c r="P1561" i="2"/>
  <c r="S1550" i="2"/>
  <c r="S1547" i="2"/>
  <c r="Q1545" i="2"/>
  <c r="P1544" i="2"/>
  <c r="P1542" i="2"/>
  <c r="R1540" i="2"/>
  <c r="S1539" i="2"/>
  <c r="P1537" i="2"/>
  <c r="R1531" i="2"/>
  <c r="P1529" i="2"/>
  <c r="S1518" i="2"/>
  <c r="S1515" i="2"/>
  <c r="Q1513" i="2"/>
  <c r="P1512" i="2"/>
  <c r="P1510" i="2"/>
  <c r="R1508" i="2"/>
  <c r="S1507" i="2"/>
  <c r="P1505" i="2"/>
  <c r="R1499" i="2"/>
  <c r="P1493" i="2"/>
  <c r="S1493" i="2"/>
  <c r="R1491" i="2"/>
  <c r="R1489" i="2"/>
  <c r="R1483" i="2"/>
  <c r="S1482" i="2"/>
  <c r="P1478" i="2"/>
  <c r="S1474" i="2"/>
  <c r="P1470" i="2"/>
  <c r="U1469" i="2"/>
  <c r="Q1465" i="2"/>
  <c r="S1463" i="2"/>
  <c r="R1451" i="2"/>
  <c r="T1447" i="2"/>
  <c r="S1447" i="2" s="1"/>
  <c r="R1447" i="2"/>
  <c r="R1435" i="2"/>
  <c r="Q1434" i="2"/>
  <c r="Q1427" i="2"/>
  <c r="P1424" i="2"/>
  <c r="P1421" i="2"/>
  <c r="U1415" i="2"/>
  <c r="U1407" i="2"/>
  <c r="P1400" i="2"/>
  <c r="P1397" i="2"/>
  <c r="Q1390" i="2"/>
  <c r="S1389" i="2"/>
  <c r="Q1384" i="2"/>
  <c r="P1381" i="2"/>
  <c r="Q1374" i="2"/>
  <c r="S1373" i="2"/>
  <c r="Q1368" i="2"/>
  <c r="P1365" i="2"/>
  <c r="Q1358" i="2"/>
  <c r="S1357" i="2"/>
  <c r="Q1352" i="2"/>
  <c r="P1349" i="2"/>
  <c r="Q1342" i="2"/>
  <c r="S1341" i="2"/>
  <c r="Q1336" i="2"/>
  <c r="P1333" i="2"/>
  <c r="Q1326" i="2"/>
  <c r="S1325" i="2"/>
  <c r="Q1320" i="2"/>
  <c r="P1317" i="2"/>
  <c r="Q1310" i="2"/>
  <c r="S1309" i="2"/>
  <c r="Q1304" i="2"/>
  <c r="P1301" i="2"/>
  <c r="U1300" i="2"/>
  <c r="P1290" i="2"/>
  <c r="S1286" i="2"/>
  <c r="P1284" i="2"/>
  <c r="S1284" i="2"/>
  <c r="Q1281" i="2"/>
  <c r="P1274" i="2"/>
  <c r="S1270" i="2"/>
  <c r="P1268" i="2"/>
  <c r="S1268" i="2"/>
  <c r="Q1265" i="2"/>
  <c r="P1264" i="2"/>
  <c r="S1264" i="2"/>
  <c r="Q1261" i="2"/>
  <c r="P1260" i="2"/>
  <c r="S1260" i="2"/>
  <c r="Q1257" i="2"/>
  <c r="P1256" i="2"/>
  <c r="S1256" i="2"/>
  <c r="Q1253" i="2"/>
  <c r="P1252" i="2"/>
  <c r="S1252" i="2"/>
  <c r="Q1249" i="2"/>
  <c r="P1248" i="2"/>
  <c r="Q1241" i="2"/>
  <c r="P1233" i="2"/>
  <c r="S1228" i="2"/>
  <c r="S1226" i="2"/>
  <c r="S1220" i="2"/>
  <c r="S1218" i="2"/>
  <c r="S1206" i="2"/>
  <c r="P1197" i="2"/>
  <c r="Q1196" i="2"/>
  <c r="Q1192" i="2"/>
  <c r="Q1183" i="2"/>
  <c r="S1182" i="2"/>
  <c r="Q1176" i="2"/>
  <c r="R1175" i="2"/>
  <c r="Q1167" i="2"/>
  <c r="S1166" i="2"/>
  <c r="P1165" i="2"/>
  <c r="S1158" i="2"/>
  <c r="R1151" i="2"/>
  <c r="R1135" i="2"/>
  <c r="S1113" i="2"/>
  <c r="U1113" i="2"/>
  <c r="S1096" i="2"/>
  <c r="T1089" i="2"/>
  <c r="S1089" i="2" s="1"/>
  <c r="R1089" i="2"/>
  <c r="P1087" i="2"/>
  <c r="P1086" i="2"/>
  <c r="S1084" i="2"/>
  <c r="S1075" i="2"/>
  <c r="Q1069" i="2"/>
  <c r="S1058" i="2"/>
  <c r="U1058" i="2"/>
  <c r="S1051" i="2"/>
  <c r="U1051" i="2"/>
  <c r="S1046" i="2"/>
  <c r="U1046" i="2"/>
  <c r="S1043" i="2"/>
  <c r="U1043" i="2"/>
  <c r="S1038" i="2"/>
  <c r="U1038" i="2"/>
  <c r="S1035" i="2"/>
  <c r="U1035" i="2"/>
  <c r="P1031" i="2"/>
  <c r="Q1030" i="2"/>
  <c r="S1029" i="2"/>
  <c r="U1029" i="2"/>
  <c r="S1027" i="2"/>
  <c r="U1027" i="2"/>
  <c r="P1023" i="2"/>
  <c r="Q1022" i="2"/>
  <c r="S1021" i="2"/>
  <c r="U1021" i="2"/>
  <c r="S1019" i="2"/>
  <c r="U1019" i="2"/>
  <c r="P1015" i="2"/>
  <c r="Q1014" i="2"/>
  <c r="S1013" i="2"/>
  <c r="U1013" i="2"/>
  <c r="P994" i="2"/>
  <c r="S994" i="2"/>
  <c r="T278" i="8"/>
  <c r="U987" i="2"/>
  <c r="R987" i="2"/>
  <c r="S947" i="2"/>
  <c r="U947" i="2"/>
  <c r="P778" i="2"/>
  <c r="Q778" i="2"/>
  <c r="Q1193" i="2"/>
  <c r="P1190" i="2"/>
  <c r="P1183" i="2"/>
  <c r="Q1182" i="2"/>
  <c r="R1180" i="2"/>
  <c r="Q1179" i="2"/>
  <c r="Q1177" i="2"/>
  <c r="P1174" i="2"/>
  <c r="P1167" i="2"/>
  <c r="Q1166" i="2"/>
  <c r="R1164" i="2"/>
  <c r="Q1163" i="2"/>
  <c r="Q1161" i="2"/>
  <c r="P1158" i="2"/>
  <c r="S1157" i="2"/>
  <c r="P1151" i="2"/>
  <c r="Q1150" i="2"/>
  <c r="R1148" i="2"/>
  <c r="Q1147" i="2"/>
  <c r="Q1145" i="2"/>
  <c r="P1142" i="2"/>
  <c r="S1141" i="2"/>
  <c r="P1135" i="2"/>
  <c r="Q1134" i="2"/>
  <c r="R1132" i="2"/>
  <c r="Q1131" i="2"/>
  <c r="Q1129" i="2"/>
  <c r="P1126" i="2"/>
  <c r="S1125" i="2"/>
  <c r="P1119" i="2"/>
  <c r="Q1118" i="2"/>
  <c r="R1116" i="2"/>
  <c r="Q1115" i="2"/>
  <c r="Q1113" i="2"/>
  <c r="P1107" i="2"/>
  <c r="P1097" i="2"/>
  <c r="R1094" i="2"/>
  <c r="P1089" i="2"/>
  <c r="P1082" i="2"/>
  <c r="S1082" i="2"/>
  <c r="P1074" i="2"/>
  <c r="S1074" i="2"/>
  <c r="R1072" i="2"/>
  <c r="R1070" i="2"/>
  <c r="R1064" i="2"/>
  <c r="S1063" i="2"/>
  <c r="P1059" i="2"/>
  <c r="S1055" i="2"/>
  <c r="P1051" i="2"/>
  <c r="P1047" i="2"/>
  <c r="P1043" i="2"/>
  <c r="P1039" i="2"/>
  <c r="P1035" i="2"/>
  <c r="P1030" i="2"/>
  <c r="P1027" i="2"/>
  <c r="P1022" i="2"/>
  <c r="P1019" i="2"/>
  <c r="P1014" i="2"/>
  <c r="P1012" i="2"/>
  <c r="Q1005" i="2"/>
  <c r="R1002" i="2"/>
  <c r="S998" i="2"/>
  <c r="S997" i="2"/>
  <c r="P992" i="2"/>
  <c r="T274" i="8"/>
  <c r="Q989" i="2"/>
  <c r="R986" i="2"/>
  <c r="R983" i="2"/>
  <c r="Q968" i="2"/>
  <c r="S918" i="2"/>
  <c r="T914" i="2"/>
  <c r="S914" i="2" s="1"/>
  <c r="R914" i="2"/>
  <c r="S873" i="2"/>
  <c r="U873" i="2"/>
  <c r="S827" i="2"/>
  <c r="U827" i="2"/>
  <c r="P712" i="2"/>
  <c r="Q712" i="2"/>
  <c r="P582" i="2"/>
  <c r="P1246" i="2"/>
  <c r="P1242" i="2"/>
  <c r="P1238" i="2"/>
  <c r="P1234" i="2"/>
  <c r="P1230" i="2"/>
  <c r="P1226" i="2"/>
  <c r="P1222" i="2"/>
  <c r="P1218" i="2"/>
  <c r="P1214" i="2"/>
  <c r="S1213" i="2"/>
  <c r="R1208" i="2"/>
  <c r="Q1207" i="2"/>
  <c r="Q1205" i="2"/>
  <c r="P1202" i="2"/>
  <c r="S1201" i="2"/>
  <c r="P1195" i="2"/>
  <c r="Q1194" i="2"/>
  <c r="R1192" i="2"/>
  <c r="Q1191" i="2"/>
  <c r="U1189" i="2"/>
  <c r="Q1189" i="2"/>
  <c r="P1186" i="2"/>
  <c r="S1185" i="2"/>
  <c r="P1179" i="2"/>
  <c r="Q1178" i="2"/>
  <c r="R1176" i="2"/>
  <c r="Q1175" i="2"/>
  <c r="U1173" i="2"/>
  <c r="Q1173" i="2"/>
  <c r="P1170" i="2"/>
  <c r="S1169" i="2"/>
  <c r="P1163" i="2"/>
  <c r="Q1162" i="2"/>
  <c r="R1160" i="2"/>
  <c r="Q1159" i="2"/>
  <c r="U1157" i="2"/>
  <c r="Q1157" i="2"/>
  <c r="P1154" i="2"/>
  <c r="S1153" i="2"/>
  <c r="P1147" i="2"/>
  <c r="Q1146" i="2"/>
  <c r="R1144" i="2"/>
  <c r="Q1143" i="2"/>
  <c r="U1141" i="2"/>
  <c r="Q1141" i="2"/>
  <c r="P1138" i="2"/>
  <c r="S1137" i="2"/>
  <c r="P1131" i="2"/>
  <c r="Q1130" i="2"/>
  <c r="R1128" i="2"/>
  <c r="Q1127" i="2"/>
  <c r="U1125" i="2"/>
  <c r="Q1125" i="2"/>
  <c r="P1122" i="2"/>
  <c r="S1121" i="2"/>
  <c r="P1115" i="2"/>
  <c r="Q1114" i="2"/>
  <c r="R1112" i="2"/>
  <c r="Q1111" i="2"/>
  <c r="S1108" i="2"/>
  <c r="P1098" i="2"/>
  <c r="S1098" i="2"/>
  <c r="U1096" i="2"/>
  <c r="P1090" i="2"/>
  <c r="S1090" i="2"/>
  <c r="R1088" i="2"/>
  <c r="R1086" i="2"/>
  <c r="R1080" i="2"/>
  <c r="S1079" i="2"/>
  <c r="P1075" i="2"/>
  <c r="U1074" i="2"/>
  <c r="S1071" i="2"/>
  <c r="P1067" i="2"/>
  <c r="Q1062" i="2"/>
  <c r="S1060" i="2"/>
  <c r="S1052" i="2"/>
  <c r="S1048" i="2"/>
  <c r="R1046" i="2"/>
  <c r="S1044" i="2"/>
  <c r="S1040" i="2"/>
  <c r="R1038" i="2"/>
  <c r="S1036" i="2"/>
  <c r="R1028" i="2"/>
  <c r="R1020" i="2"/>
  <c r="S1010" i="2"/>
  <c r="R1008" i="2"/>
  <c r="S1003" i="2"/>
  <c r="R999" i="2"/>
  <c r="R996" i="2"/>
  <c r="R992" i="2"/>
  <c r="S987" i="2"/>
  <c r="U945" i="2"/>
  <c r="S945" i="2"/>
  <c r="T377" i="8"/>
  <c r="R930" i="2"/>
  <c r="U930" i="2"/>
  <c r="Q928" i="2"/>
  <c r="P925" i="2"/>
  <c r="S861" i="2"/>
  <c r="U861" i="2"/>
  <c r="Q855" i="2"/>
  <c r="S845" i="2"/>
  <c r="U845" i="2"/>
  <c r="T834" i="2"/>
  <c r="S834" i="2" s="1"/>
  <c r="P766" i="2"/>
  <c r="T766" i="2"/>
  <c r="S766" i="2" s="1"/>
  <c r="T760" i="2"/>
  <c r="S760" i="2" s="1"/>
  <c r="P758" i="2"/>
  <c r="Q758" i="2"/>
  <c r="T741" i="2"/>
  <c r="S741" i="2" s="1"/>
  <c r="Q741" i="2"/>
  <c r="R639" i="2"/>
  <c r="P1247" i="2"/>
  <c r="P1243" i="2"/>
  <c r="P1239" i="2"/>
  <c r="P1235" i="2"/>
  <c r="P1231" i="2"/>
  <c r="P1227" i="2"/>
  <c r="P1223" i="2"/>
  <c r="P1219" i="2"/>
  <c r="P1215" i="2"/>
  <c r="P1207" i="2"/>
  <c r="Q1206" i="2"/>
  <c r="R1204" i="2"/>
  <c r="Q1203" i="2"/>
  <c r="Q1201" i="2"/>
  <c r="P1198" i="2"/>
  <c r="S1197" i="2"/>
  <c r="S1196" i="2"/>
  <c r="P1191" i="2"/>
  <c r="Q1190" i="2"/>
  <c r="Q1188" i="2"/>
  <c r="R1188" i="2"/>
  <c r="Q1187" i="2"/>
  <c r="Q1185" i="2"/>
  <c r="P1182" i="2"/>
  <c r="S1181" i="2"/>
  <c r="S1180" i="2"/>
  <c r="P1175" i="2"/>
  <c r="Q1174" i="2"/>
  <c r="Q1172" i="2"/>
  <c r="R1172" i="2"/>
  <c r="Q1171" i="2"/>
  <c r="Q1169" i="2"/>
  <c r="P1166" i="2"/>
  <c r="S1165" i="2"/>
  <c r="S1164" i="2"/>
  <c r="P1159" i="2"/>
  <c r="Q1158" i="2"/>
  <c r="Q1156" i="2"/>
  <c r="R1156" i="2"/>
  <c r="Q1155" i="2"/>
  <c r="Q1153" i="2"/>
  <c r="P1150" i="2"/>
  <c r="S1149" i="2"/>
  <c r="S1148" i="2"/>
  <c r="P1143" i="2"/>
  <c r="Q1142" i="2"/>
  <c r="Q1140" i="2"/>
  <c r="R1140" i="2"/>
  <c r="Q1139" i="2"/>
  <c r="Q1137" i="2"/>
  <c r="P1134" i="2"/>
  <c r="S1133" i="2"/>
  <c r="S1132" i="2"/>
  <c r="P1127" i="2"/>
  <c r="Q1126" i="2"/>
  <c r="Q1124" i="2"/>
  <c r="R1124" i="2"/>
  <c r="Q1123" i="2"/>
  <c r="Q1121" i="2"/>
  <c r="P1118" i="2"/>
  <c r="S1117" i="2"/>
  <c r="S1116" i="2"/>
  <c r="P1111" i="2"/>
  <c r="S1110" i="2"/>
  <c r="P1105" i="2"/>
  <c r="S1105" i="2"/>
  <c r="R1102" i="2"/>
  <c r="R1096" i="2"/>
  <c r="S1095" i="2"/>
  <c r="P1091" i="2"/>
  <c r="S1087" i="2"/>
  <c r="P1083" i="2"/>
  <c r="U1082" i="2"/>
  <c r="Q1078" i="2"/>
  <c r="S1076" i="2"/>
  <c r="S1068" i="2"/>
  <c r="P1065" i="2"/>
  <c r="S1065" i="2"/>
  <c r="R1062" i="2"/>
  <c r="P1057" i="2"/>
  <c r="S1057" i="2"/>
  <c r="P1050" i="2"/>
  <c r="S1050" i="2"/>
  <c r="P1042" i="2"/>
  <c r="S1042" i="2"/>
  <c r="P1034" i="2"/>
  <c r="S1034" i="2"/>
  <c r="S1031" i="2"/>
  <c r="R1030" i="2"/>
  <c r="P1026" i="2"/>
  <c r="S1026" i="2"/>
  <c r="S1023" i="2"/>
  <c r="R1022" i="2"/>
  <c r="P1018" i="2"/>
  <c r="S1018" i="2"/>
  <c r="S1015" i="2"/>
  <c r="R1014" i="2"/>
  <c r="Q1012" i="2"/>
  <c r="Q1010" i="2"/>
  <c r="Q1009" i="2"/>
  <c r="P1005" i="2"/>
  <c r="R1005" i="2"/>
  <c r="T284" i="8"/>
  <c r="R995" i="2"/>
  <c r="P989" i="2"/>
  <c r="R989" i="2"/>
  <c r="S981" i="2"/>
  <c r="S978" i="2"/>
  <c r="Q971" i="2"/>
  <c r="P969" i="2"/>
  <c r="R956" i="2"/>
  <c r="S927" i="2"/>
  <c r="R927" i="2"/>
  <c r="S921" i="2"/>
  <c r="P860" i="2"/>
  <c r="Q841" i="2"/>
  <c r="R841" i="2"/>
  <c r="Q823" i="2"/>
  <c r="S814" i="2"/>
  <c r="U814" i="2"/>
  <c r="P812" i="2"/>
  <c r="U761" i="2"/>
  <c r="T754" i="2"/>
  <c r="S754" i="2" s="1"/>
  <c r="R754" i="2"/>
  <c r="R734" i="2"/>
  <c r="R980" i="2"/>
  <c r="R973" i="2"/>
  <c r="R972" i="2"/>
  <c r="P971" i="2"/>
  <c r="R970" i="2"/>
  <c r="P965" i="2"/>
  <c r="Q965" i="2"/>
  <c r="Q964" i="2"/>
  <c r="R964" i="2"/>
  <c r="S955" i="2"/>
  <c r="R955" i="2"/>
  <c r="P948" i="2"/>
  <c r="S946" i="2"/>
  <c r="Q941" i="2"/>
  <c r="R939" i="2"/>
  <c r="T381" i="8"/>
  <c r="R938" i="2"/>
  <c r="R935" i="2"/>
  <c r="S934" i="2"/>
  <c r="Q924" i="2"/>
  <c r="S920" i="2"/>
  <c r="U920" i="2"/>
  <c r="Q919" i="2"/>
  <c r="P916" i="2"/>
  <c r="S910" i="2"/>
  <c r="P906" i="2"/>
  <c r="S905" i="2"/>
  <c r="S897" i="2"/>
  <c r="S893" i="2"/>
  <c r="S890" i="2"/>
  <c r="U885" i="2"/>
  <c r="Q883" i="2"/>
  <c r="R868" i="2"/>
  <c r="U865" i="2"/>
  <c r="S860" i="2"/>
  <c r="U860" i="2"/>
  <c r="R859" i="2"/>
  <c r="U859" i="2"/>
  <c r="R855" i="2"/>
  <c r="U855" i="2"/>
  <c r="Q852" i="2"/>
  <c r="Q850" i="2"/>
  <c r="S849" i="2"/>
  <c r="R838" i="2"/>
  <c r="P831" i="2"/>
  <c r="R829" i="2"/>
  <c r="U825" i="2"/>
  <c r="S819" i="2"/>
  <c r="U819" i="2"/>
  <c r="S817" i="2"/>
  <c r="S812" i="2"/>
  <c r="R806" i="2"/>
  <c r="S801" i="2"/>
  <c r="Q799" i="2"/>
  <c r="P796" i="2"/>
  <c r="U791" i="2"/>
  <c r="S791" i="2"/>
  <c r="R786" i="2"/>
  <c r="R780" i="2"/>
  <c r="T769" i="2"/>
  <c r="S769" i="2" s="1"/>
  <c r="R769" i="2"/>
  <c r="S765" i="2"/>
  <c r="S763" i="2"/>
  <c r="S753" i="2"/>
  <c r="U753" i="2"/>
  <c r="P750" i="2"/>
  <c r="Q743" i="2"/>
  <c r="R743" i="2"/>
  <c r="R742" i="2"/>
  <c r="R739" i="2"/>
  <c r="T731" i="2"/>
  <c r="S731" i="2" s="1"/>
  <c r="R731" i="2"/>
  <c r="Q727" i="2"/>
  <c r="S721" i="2"/>
  <c r="U721" i="2"/>
  <c r="S688" i="2"/>
  <c r="U688" i="2"/>
  <c r="Q669" i="2"/>
  <c r="P669" i="2"/>
  <c r="P664" i="2"/>
  <c r="Q664" i="2"/>
  <c r="S640" i="2"/>
  <c r="U640" i="2"/>
  <c r="U632" i="2"/>
  <c r="T631" i="2"/>
  <c r="S631" i="2" s="1"/>
  <c r="P622" i="2"/>
  <c r="P603" i="2"/>
  <c r="Q603" i="2"/>
  <c r="Q599" i="2"/>
  <c r="P599" i="2"/>
  <c r="Q594" i="2"/>
  <c r="T571" i="2"/>
  <c r="S571" i="2" s="1"/>
  <c r="Q571" i="2"/>
  <c r="T556" i="2"/>
  <c r="S556" i="2" s="1"/>
  <c r="R556" i="2"/>
  <c r="R967" i="2"/>
  <c r="S966" i="2"/>
  <c r="S965" i="2"/>
  <c r="R963" i="2"/>
  <c r="S963" i="2"/>
  <c r="Q952" i="2"/>
  <c r="T241" i="8"/>
  <c r="S949" i="2"/>
  <c r="P944" i="2"/>
  <c r="Q944" i="2"/>
  <c r="S930" i="2"/>
  <c r="R928" i="2"/>
  <c r="S925" i="2"/>
  <c r="P923" i="2"/>
  <c r="S923" i="2"/>
  <c r="P920" i="2"/>
  <c r="P900" i="2"/>
  <c r="P882" i="2"/>
  <c r="R882" i="2"/>
  <c r="Q859" i="2"/>
  <c r="R858" i="2"/>
  <c r="P839" i="2"/>
  <c r="S822" i="2"/>
  <c r="U822" i="2"/>
  <c r="R814" i="2"/>
  <c r="P807" i="2"/>
  <c r="P794" i="2"/>
  <c r="Q794" i="2"/>
  <c r="Q787" i="2"/>
  <c r="P787" i="2"/>
  <c r="Q766" i="2"/>
  <c r="U759" i="2"/>
  <c r="S759" i="2"/>
  <c r="R744" i="2"/>
  <c r="T744" i="2"/>
  <c r="S744" i="2" s="1"/>
  <c r="S701" i="2"/>
  <c r="P700" i="2"/>
  <c r="Q700" i="2"/>
  <c r="S692" i="2"/>
  <c r="U692" i="2"/>
  <c r="S672" i="2"/>
  <c r="U672" i="2"/>
  <c r="T665" i="2"/>
  <c r="S665" i="2" s="1"/>
  <c r="P665" i="2"/>
  <c r="S635" i="2"/>
  <c r="U635" i="2"/>
  <c r="Q611" i="2"/>
  <c r="S611" i="2"/>
  <c r="S610" i="2"/>
  <c r="P465" i="2"/>
  <c r="Q465" i="2"/>
  <c r="P976" i="2"/>
  <c r="Q973" i="2"/>
  <c r="S971" i="2"/>
  <c r="R960" i="2"/>
  <c r="R957" i="2"/>
  <c r="P955" i="2"/>
  <c r="P951" i="2"/>
  <c r="S951" i="2"/>
  <c r="R944" i="2"/>
  <c r="Q943" i="2"/>
  <c r="Q942" i="2"/>
  <c r="R941" i="2"/>
  <c r="P937" i="2"/>
  <c r="T379" i="8"/>
  <c r="P936" i="2"/>
  <c r="P935" i="2"/>
  <c r="S935" i="2"/>
  <c r="R932" i="2"/>
  <c r="S929" i="2"/>
  <c r="S924" i="2"/>
  <c r="R922" i="2"/>
  <c r="P914" i="2"/>
  <c r="Q911" i="2"/>
  <c r="S882" i="2"/>
  <c r="S870" i="2"/>
  <c r="P868" i="2"/>
  <c r="S858" i="2"/>
  <c r="P856" i="2"/>
  <c r="Q854" i="2"/>
  <c r="R854" i="2"/>
  <c r="P853" i="2"/>
  <c r="Q848" i="2"/>
  <c r="S836" i="2"/>
  <c r="Q833" i="2"/>
  <c r="R825" i="2"/>
  <c r="R823" i="2"/>
  <c r="Q809" i="2"/>
  <c r="S804" i="2"/>
  <c r="P790" i="2"/>
  <c r="Q790" i="2"/>
  <c r="R790" i="2"/>
  <c r="P784" i="2"/>
  <c r="R781" i="2"/>
  <c r="R778" i="2"/>
  <c r="P769" i="2"/>
  <c r="Q769" i="2"/>
  <c r="R764" i="2"/>
  <c r="P762" i="2"/>
  <c r="Q762" i="2"/>
  <c r="R762" i="2"/>
  <c r="P756" i="2"/>
  <c r="R752" i="2"/>
  <c r="R741" i="2"/>
  <c r="P733" i="2"/>
  <c r="U730" i="2"/>
  <c r="S730" i="2"/>
  <c r="P725" i="2"/>
  <c r="P720" i="2"/>
  <c r="Q720" i="2"/>
  <c r="T714" i="2"/>
  <c r="S714" i="2" s="1"/>
  <c r="R714" i="2"/>
  <c r="S712" i="2"/>
  <c r="U712" i="2"/>
  <c r="T706" i="2"/>
  <c r="S706" i="2" s="1"/>
  <c r="R706" i="2"/>
  <c r="R703" i="2"/>
  <c r="P701" i="2"/>
  <c r="S686" i="2"/>
  <c r="U686" i="2"/>
  <c r="Q661" i="2"/>
  <c r="P661" i="2"/>
  <c r="S648" i="2"/>
  <c r="U648" i="2"/>
  <c r="T637" i="2"/>
  <c r="S637" i="2" s="1"/>
  <c r="P637" i="2"/>
  <c r="R627" i="2"/>
  <c r="S616" i="2"/>
  <c r="U616" i="2"/>
  <c r="R607" i="2"/>
  <c r="S607" i="2"/>
  <c r="U581" i="2"/>
  <c r="S581" i="2"/>
  <c r="T578" i="2"/>
  <c r="S578" i="2" s="1"/>
  <c r="T544" i="2"/>
  <c r="S544" i="2" s="1"/>
  <c r="P539" i="2"/>
  <c r="Q539" i="2"/>
  <c r="S535" i="2"/>
  <c r="T180" i="8"/>
  <c r="U439" i="2"/>
  <c r="T395" i="2"/>
  <c r="S395" i="2" s="1"/>
  <c r="S384" i="2"/>
  <c r="U384" i="2"/>
  <c r="Q957" i="2"/>
  <c r="R954" i="2"/>
  <c r="P953" i="2"/>
  <c r="S950" i="2"/>
  <c r="P949" i="2"/>
  <c r="R947" i="2"/>
  <c r="P946" i="2"/>
  <c r="T230" i="8"/>
  <c r="S940" i="2"/>
  <c r="P939" i="2"/>
  <c r="Q936" i="2"/>
  <c r="P921" i="2"/>
  <c r="R916" i="2"/>
  <c r="S906" i="2"/>
  <c r="Q903" i="2"/>
  <c r="P898" i="2"/>
  <c r="S894" i="2"/>
  <c r="S874" i="2"/>
  <c r="P870" i="2"/>
  <c r="Q864" i="2"/>
  <c r="Q862" i="2"/>
  <c r="Q860" i="2"/>
  <c r="S856" i="2"/>
  <c r="P854" i="2"/>
  <c r="R851" i="2"/>
  <c r="S850" i="2"/>
  <c r="P849" i="2"/>
  <c r="R848" i="2"/>
  <c r="Q846" i="2"/>
  <c r="S840" i="2"/>
  <c r="R839" i="2"/>
  <c r="P835" i="2"/>
  <c r="S835" i="2"/>
  <c r="P833" i="2"/>
  <c r="P830" i="2"/>
  <c r="P820" i="2"/>
  <c r="Q817" i="2"/>
  <c r="P815" i="2"/>
  <c r="R813" i="2"/>
  <c r="S808" i="2"/>
  <c r="R807" i="2"/>
  <c r="Q801" i="2"/>
  <c r="P798" i="2"/>
  <c r="S798" i="2"/>
  <c r="R793" i="2"/>
  <c r="R787" i="2"/>
  <c r="S777" i="2"/>
  <c r="S776" i="2"/>
  <c r="P774" i="2"/>
  <c r="Q771" i="2"/>
  <c r="R768" i="2"/>
  <c r="R757" i="2"/>
  <c r="Q754" i="2"/>
  <c r="Q752" i="2"/>
  <c r="P747" i="2"/>
  <c r="P744" i="2"/>
  <c r="S739" i="2"/>
  <c r="P736" i="2"/>
  <c r="P721" i="2"/>
  <c r="R719" i="2"/>
  <c r="P713" i="2"/>
  <c r="P704" i="2"/>
  <c r="Q704" i="2"/>
  <c r="R704" i="2"/>
  <c r="P699" i="2"/>
  <c r="Q699" i="2"/>
  <c r="R688" i="2"/>
  <c r="P685" i="2"/>
  <c r="Q677" i="2"/>
  <c r="P677" i="2"/>
  <c r="P672" i="2"/>
  <c r="Q656" i="2"/>
  <c r="S642" i="2"/>
  <c r="P640" i="2"/>
  <c r="Q640" i="2"/>
  <c r="U636" i="2"/>
  <c r="U631" i="2"/>
  <c r="R591" i="2"/>
  <c r="Q590" i="2"/>
  <c r="U578" i="2"/>
  <c r="T569" i="2"/>
  <c r="S569" i="2" s="1"/>
  <c r="R534" i="2"/>
  <c r="T534" i="2"/>
  <c r="S534" i="2" s="1"/>
  <c r="S503" i="2"/>
  <c r="U503" i="2"/>
  <c r="S898" i="2"/>
  <c r="Q895" i="2"/>
  <c r="P890" i="2"/>
  <c r="S886" i="2"/>
  <c r="P878" i="2"/>
  <c r="S868" i="2"/>
  <c r="S866" i="2"/>
  <c r="R864" i="2"/>
  <c r="P861" i="2"/>
  <c r="R860" i="2"/>
  <c r="Q858" i="2"/>
  <c r="Q856" i="2"/>
  <c r="S852" i="2"/>
  <c r="P850" i="2"/>
  <c r="R847" i="2"/>
  <c r="P845" i="2"/>
  <c r="Q844" i="2"/>
  <c r="P843" i="2"/>
  <c r="P841" i="2"/>
  <c r="P838" i="2"/>
  <c r="S838" i="2"/>
  <c r="P828" i="2"/>
  <c r="Q825" i="2"/>
  <c r="P823" i="2"/>
  <c r="R821" i="2"/>
  <c r="S816" i="2"/>
  <c r="R815" i="2"/>
  <c r="P811" i="2"/>
  <c r="S811" i="2"/>
  <c r="P809" i="2"/>
  <c r="P806" i="2"/>
  <c r="S806" i="2"/>
  <c r="Q803" i="2"/>
  <c r="S803" i="2"/>
  <c r="S800" i="2"/>
  <c r="Q797" i="2"/>
  <c r="S796" i="2"/>
  <c r="S795" i="2"/>
  <c r="S793" i="2"/>
  <c r="P792" i="2"/>
  <c r="P785" i="2"/>
  <c r="S780" i="2"/>
  <c r="S779" i="2"/>
  <c r="R774" i="2"/>
  <c r="Q773" i="2"/>
  <c r="Q772" i="2"/>
  <c r="R767" i="2"/>
  <c r="S764" i="2"/>
  <c r="P763" i="2"/>
  <c r="R761" i="2"/>
  <c r="P760" i="2"/>
  <c r="R755" i="2"/>
  <c r="S752" i="2"/>
  <c r="P751" i="2"/>
  <c r="Q749" i="2"/>
  <c r="R745" i="2"/>
  <c r="Q740" i="2"/>
  <c r="U739" i="2"/>
  <c r="P724" i="2"/>
  <c r="S720" i="2"/>
  <c r="P717" i="2"/>
  <c r="S709" i="2"/>
  <c r="P708" i="2"/>
  <c r="R708" i="2"/>
  <c r="R698" i="2"/>
  <c r="S677" i="2"/>
  <c r="S673" i="2"/>
  <c r="R668" i="2"/>
  <c r="Q668" i="2"/>
  <c r="R667" i="2"/>
  <c r="S664" i="2"/>
  <c r="S662" i="2"/>
  <c r="Q657" i="2"/>
  <c r="P657" i="2"/>
  <c r="S654" i="2"/>
  <c r="P653" i="2"/>
  <c r="Q645" i="2"/>
  <c r="P645" i="2"/>
  <c r="R636" i="2"/>
  <c r="P631" i="2"/>
  <c r="T628" i="2"/>
  <c r="S628" i="2" s="1"/>
  <c r="Q628" i="2"/>
  <c r="T285" i="8"/>
  <c r="R604" i="2"/>
  <c r="R598" i="2"/>
  <c r="P591" i="2"/>
  <c r="P587" i="2"/>
  <c r="R586" i="2"/>
  <c r="R585" i="2"/>
  <c r="Q569" i="2"/>
  <c r="S559" i="2"/>
  <c r="U559" i="2"/>
  <c r="S552" i="2"/>
  <c r="Q534" i="2"/>
  <c r="Q507" i="2"/>
  <c r="S698" i="2"/>
  <c r="S697" i="2"/>
  <c r="P696" i="2"/>
  <c r="S696" i="2"/>
  <c r="R692" i="2"/>
  <c r="P691" i="2"/>
  <c r="P689" i="2"/>
  <c r="S678" i="2"/>
  <c r="S670" i="2"/>
  <c r="R664" i="2"/>
  <c r="R663" i="2"/>
  <c r="S658" i="2"/>
  <c r="S653" i="2"/>
  <c r="P652" i="2"/>
  <c r="S652" i="2"/>
  <c r="R648" i="2"/>
  <c r="P646" i="2"/>
  <c r="P644" i="2"/>
  <c r="S644" i="2"/>
  <c r="U644" i="2"/>
  <c r="R635" i="2"/>
  <c r="P634" i="2"/>
  <c r="S633" i="2"/>
  <c r="P632" i="2"/>
  <c r="R632" i="2"/>
  <c r="P627" i="2"/>
  <c r="Q625" i="2"/>
  <c r="P621" i="2"/>
  <c r="S621" i="2"/>
  <c r="Q618" i="2"/>
  <c r="R615" i="2"/>
  <c r="R612" i="2"/>
  <c r="P610" i="2"/>
  <c r="Q602" i="2"/>
  <c r="R602" i="2"/>
  <c r="S600" i="2"/>
  <c r="S599" i="2"/>
  <c r="S596" i="2"/>
  <c r="R589" i="2"/>
  <c r="P588" i="2"/>
  <c r="P586" i="2"/>
  <c r="Q582" i="2"/>
  <c r="P579" i="2"/>
  <c r="Q578" i="2"/>
  <c r="S573" i="2"/>
  <c r="R573" i="2"/>
  <c r="P572" i="2"/>
  <c r="P571" i="2"/>
  <c r="U569" i="2"/>
  <c r="U554" i="2"/>
  <c r="R554" i="2"/>
  <c r="R540" i="2"/>
  <c r="P527" i="2"/>
  <c r="S527" i="2"/>
  <c r="Q521" i="2"/>
  <c r="T476" i="2"/>
  <c r="S476" i="2" s="1"/>
  <c r="R476" i="2"/>
  <c r="Q735" i="2"/>
  <c r="P732" i="2"/>
  <c r="S732" i="2"/>
  <c r="P729" i="2"/>
  <c r="S727" i="2"/>
  <c r="S716" i="2"/>
  <c r="P703" i="2"/>
  <c r="S703" i="2"/>
  <c r="Q693" i="2"/>
  <c r="Q689" i="2"/>
  <c r="P684" i="2"/>
  <c r="S684" i="2"/>
  <c r="P683" i="2"/>
  <c r="P676" i="2"/>
  <c r="S676" i="2"/>
  <c r="Q673" i="2"/>
  <c r="R672" i="2"/>
  <c r="R671" i="2"/>
  <c r="P668" i="2"/>
  <c r="S668" i="2"/>
  <c r="Q665" i="2"/>
  <c r="R659" i="2"/>
  <c r="P656" i="2"/>
  <c r="S656" i="2"/>
  <c r="R652" i="2"/>
  <c r="P651" i="2"/>
  <c r="P649" i="2"/>
  <c r="S646" i="2"/>
  <c r="Q641" i="2"/>
  <c r="P639" i="2"/>
  <c r="S639" i="2"/>
  <c r="U639" i="2"/>
  <c r="S638" i="2"/>
  <c r="R631" i="2"/>
  <c r="S629" i="2"/>
  <c r="P628" i="2"/>
  <c r="R628" i="2"/>
  <c r="S626" i="2"/>
  <c r="R622" i="2"/>
  <c r="T622" i="2"/>
  <c r="S622" i="2" s="1"/>
  <c r="S612" i="2"/>
  <c r="R600" i="2"/>
  <c r="Q598" i="2"/>
  <c r="P595" i="2"/>
  <c r="P585" i="2"/>
  <c r="R577" i="2"/>
  <c r="S577" i="2"/>
  <c r="Q575" i="2"/>
  <c r="S575" i="2"/>
  <c r="U575" i="2"/>
  <c r="R574" i="2"/>
  <c r="R572" i="2"/>
  <c r="R570" i="2"/>
  <c r="R499" i="2"/>
  <c r="P474" i="2"/>
  <c r="P647" i="2"/>
  <c r="R644" i="2"/>
  <c r="P643" i="2"/>
  <c r="R640" i="2"/>
  <c r="P638" i="2"/>
  <c r="Q637" i="2"/>
  <c r="Q634" i="2"/>
  <c r="Q633" i="2"/>
  <c r="P630" i="2"/>
  <c r="Q629" i="2"/>
  <c r="R625" i="2"/>
  <c r="S620" i="2"/>
  <c r="P616" i="2"/>
  <c r="R614" i="2"/>
  <c r="R613" i="2"/>
  <c r="P611" i="2"/>
  <c r="P608" i="2"/>
  <c r="R605" i="2"/>
  <c r="S597" i="2"/>
  <c r="S584" i="2"/>
  <c r="Q567" i="2"/>
  <c r="S565" i="2"/>
  <c r="S553" i="2"/>
  <c r="Q550" i="2"/>
  <c r="R546" i="2"/>
  <c r="P544" i="2"/>
  <c r="P536" i="2"/>
  <c r="S528" i="2"/>
  <c r="R513" i="2"/>
  <c r="S512" i="2"/>
  <c r="S508" i="2"/>
  <c r="P503" i="2"/>
  <c r="S479" i="2"/>
  <c r="T475" i="2"/>
  <c r="S475" i="2" s="1"/>
  <c r="P475" i="2"/>
  <c r="P473" i="2"/>
  <c r="R441" i="2"/>
  <c r="T438" i="2"/>
  <c r="S438" i="2" s="1"/>
  <c r="P438" i="2"/>
  <c r="R550" i="2"/>
  <c r="Q523" i="2"/>
  <c r="S519" i="2"/>
  <c r="R512" i="2"/>
  <c r="P510" i="2"/>
  <c r="Q510" i="2"/>
  <c r="Q469" i="2"/>
  <c r="T469" i="2"/>
  <c r="S469" i="2" s="1"/>
  <c r="T445" i="2"/>
  <c r="S445" i="2" s="1"/>
  <c r="P445" i="2"/>
  <c r="Q551" i="2"/>
  <c r="P531" i="2"/>
  <c r="Q522" i="2"/>
  <c r="R508" i="2"/>
  <c r="P504" i="2"/>
  <c r="P479" i="2"/>
  <c r="Q476" i="2"/>
  <c r="Q460" i="2"/>
  <c r="T444" i="2"/>
  <c r="S444" i="2" s="1"/>
  <c r="R444" i="2"/>
  <c r="S434" i="2"/>
  <c r="P433" i="2"/>
  <c r="Q433" i="2"/>
  <c r="R433" i="2"/>
  <c r="T159" i="8"/>
  <c r="P420" i="2"/>
  <c r="R420" i="2"/>
  <c r="T137" i="8"/>
  <c r="S568" i="2"/>
  <c r="Q563" i="2"/>
  <c r="P560" i="2"/>
  <c r="P554" i="2"/>
  <c r="P552" i="2"/>
  <c r="P543" i="2"/>
  <c r="Q542" i="2"/>
  <c r="P538" i="2"/>
  <c r="Q535" i="2"/>
  <c r="P532" i="2"/>
  <c r="S525" i="2"/>
  <c r="P522" i="2"/>
  <c r="R516" i="2"/>
  <c r="P511" i="2"/>
  <c r="P507" i="2"/>
  <c r="Q473" i="2"/>
  <c r="S466" i="2"/>
  <c r="P455" i="2"/>
  <c r="R455" i="2"/>
  <c r="Q449" i="2"/>
  <c r="P449" i="2"/>
  <c r="T439" i="2"/>
  <c r="S439" i="2" s="1"/>
  <c r="R439" i="2"/>
  <c r="P434" i="2"/>
  <c r="S428" i="2"/>
  <c r="Q408" i="2"/>
  <c r="T408" i="2"/>
  <c r="S408" i="2" s="1"/>
  <c r="S390" i="2"/>
  <c r="R387" i="2"/>
  <c r="S387" i="2"/>
  <c r="R503" i="2"/>
  <c r="P493" i="2"/>
  <c r="P490" i="2"/>
  <c r="Q486" i="2"/>
  <c r="S480" i="2"/>
  <c r="P471" i="2"/>
  <c r="S468" i="2"/>
  <c r="S464" i="2"/>
  <c r="P461" i="2"/>
  <c r="S450" i="2"/>
  <c r="R449" i="2"/>
  <c r="Q445" i="2"/>
  <c r="S443" i="2"/>
  <c r="S430" i="2"/>
  <c r="U427" i="2"/>
  <c r="S427" i="2"/>
  <c r="R426" i="2"/>
  <c r="T415" i="2"/>
  <c r="S415" i="2" s="1"/>
  <c r="Q415" i="2"/>
  <c r="T411" i="2"/>
  <c r="S411" i="2" s="1"/>
  <c r="Q411" i="2"/>
  <c r="S402" i="2"/>
  <c r="R393" i="2"/>
  <c r="Q393" i="2"/>
  <c r="R491" i="2"/>
  <c r="P487" i="2"/>
  <c r="Q481" i="2"/>
  <c r="Q474" i="2"/>
  <c r="P466" i="2"/>
  <c r="P444" i="2"/>
  <c r="Q444" i="2"/>
  <c r="T410" i="2"/>
  <c r="S410" i="2" s="1"/>
  <c r="R410" i="2"/>
  <c r="P406" i="2"/>
  <c r="R406" i="2"/>
  <c r="S406" i="2"/>
  <c r="R395" i="2"/>
  <c r="S379" i="2"/>
  <c r="P451" i="2"/>
  <c r="P437" i="2"/>
  <c r="S420" i="2"/>
  <c r="S417" i="2"/>
  <c r="S405" i="2"/>
  <c r="S403" i="2"/>
  <c r="S401" i="2"/>
  <c r="P398" i="2"/>
  <c r="P395" i="2"/>
  <c r="Q389" i="2"/>
  <c r="Q381" i="2"/>
  <c r="S381" i="2"/>
  <c r="R371" i="2"/>
  <c r="P446" i="2"/>
  <c r="R443" i="2"/>
  <c r="R437" i="2"/>
  <c r="Q426" i="2"/>
  <c r="P424" i="2"/>
  <c r="R408" i="2"/>
  <c r="P387" i="2"/>
  <c r="R377" i="2"/>
  <c r="P374" i="2"/>
  <c r="S371" i="2"/>
  <c r="Q397" i="2"/>
  <c r="S397" i="2"/>
  <c r="Q385" i="2"/>
  <c r="P382" i="2"/>
  <c r="U381" i="2"/>
  <c r="P379" i="2"/>
  <c r="Q373" i="2"/>
  <c r="P372" i="2"/>
  <c r="S372" i="2"/>
  <c r="T509" i="8"/>
  <c r="S1668" i="2"/>
  <c r="S1664" i="2"/>
  <c r="S1648" i="2"/>
  <c r="S1612" i="2"/>
  <c r="S1656" i="2"/>
  <c r="S1628" i="2"/>
  <c r="S1620" i="2"/>
  <c r="S1604" i="2"/>
  <c r="U1664" i="2"/>
  <c r="P1668" i="2"/>
  <c r="P1664" i="2"/>
  <c r="P1660" i="2"/>
  <c r="P1656" i="2"/>
  <c r="P1652" i="2"/>
  <c r="P1648" i="2"/>
  <c r="P1644" i="2"/>
  <c r="P1640" i="2"/>
  <c r="P1636" i="2"/>
  <c r="P1632" i="2"/>
  <c r="P1628" i="2"/>
  <c r="R1626" i="2"/>
  <c r="P1624" i="2"/>
  <c r="R1622" i="2"/>
  <c r="P1620" i="2"/>
  <c r="R1618" i="2"/>
  <c r="P1616" i="2"/>
  <c r="R1614" i="2"/>
  <c r="P1612" i="2"/>
  <c r="R1610" i="2"/>
  <c r="P1608" i="2"/>
  <c r="R1606" i="2"/>
  <c r="P1604" i="2"/>
  <c r="Q1602" i="2"/>
  <c r="S1600" i="2"/>
  <c r="S1599" i="2"/>
  <c r="Q1597" i="2"/>
  <c r="Q1595" i="2"/>
  <c r="R1593" i="2"/>
  <c r="S1593" i="2"/>
  <c r="Q1592" i="2"/>
  <c r="P1591" i="2"/>
  <c r="R1590" i="2"/>
  <c r="P1588" i="2"/>
  <c r="Q1586" i="2"/>
  <c r="S1584" i="2"/>
  <c r="S1583" i="2"/>
  <c r="Q1581" i="2"/>
  <c r="Q1579" i="2"/>
  <c r="R1577" i="2"/>
  <c r="S1577" i="2"/>
  <c r="Q1576" i="2"/>
  <c r="P1575" i="2"/>
  <c r="R1574" i="2"/>
  <c r="P1572" i="2"/>
  <c r="Q1570" i="2"/>
  <c r="S1568" i="2"/>
  <c r="S1567" i="2"/>
  <c r="Q1565" i="2"/>
  <c r="Q1563" i="2"/>
  <c r="R1561" i="2"/>
  <c r="S1561" i="2"/>
  <c r="Q1560" i="2"/>
  <c r="P1559" i="2"/>
  <c r="R1558" i="2"/>
  <c r="P1556" i="2"/>
  <c r="Q1554" i="2"/>
  <c r="S1552" i="2"/>
  <c r="S1551" i="2"/>
  <c r="Q1549" i="2"/>
  <c r="Q1547" i="2"/>
  <c r="R1545" i="2"/>
  <c r="S1545" i="2"/>
  <c r="Q1544" i="2"/>
  <c r="P1543" i="2"/>
  <c r="R1542" i="2"/>
  <c r="P1540" i="2"/>
  <c r="Q1538" i="2"/>
  <c r="S1536" i="2"/>
  <c r="S1535" i="2"/>
  <c r="Q1533" i="2"/>
  <c r="Q1531" i="2"/>
  <c r="R1529" i="2"/>
  <c r="S1529" i="2"/>
  <c r="Q1528" i="2"/>
  <c r="P1527" i="2"/>
  <c r="R1526" i="2"/>
  <c r="P1524" i="2"/>
  <c r="Q1522" i="2"/>
  <c r="S1520" i="2"/>
  <c r="S1519" i="2"/>
  <c r="Q1517" i="2"/>
  <c r="Q1515" i="2"/>
  <c r="R1513" i="2"/>
  <c r="S1513" i="2"/>
  <c r="Q1512" i="2"/>
  <c r="P1511" i="2"/>
  <c r="R1510" i="2"/>
  <c r="P1508" i="2"/>
  <c r="Q1506" i="2"/>
  <c r="S1504" i="2"/>
  <c r="S1503" i="2"/>
  <c r="Q1501" i="2"/>
  <c r="Q1499" i="2"/>
  <c r="R1496" i="2"/>
  <c r="P1496" i="2"/>
  <c r="S1496" i="2"/>
  <c r="P1495" i="2"/>
  <c r="Q1495" i="2"/>
  <c r="Q1492" i="2"/>
  <c r="S1489" i="2"/>
  <c r="Q1486" i="2"/>
  <c r="R1486" i="2"/>
  <c r="R1485" i="2"/>
  <c r="U1484" i="2"/>
  <c r="R1480" i="2"/>
  <c r="P1480" i="2"/>
  <c r="S1480" i="2"/>
  <c r="P1479" i="2"/>
  <c r="Q1479" i="2"/>
  <c r="Q1476" i="2"/>
  <c r="S1473" i="2"/>
  <c r="Q1470" i="2"/>
  <c r="R1470" i="2"/>
  <c r="R1469" i="2"/>
  <c r="U1468" i="2"/>
  <c r="R1464" i="2"/>
  <c r="P1464" i="2"/>
  <c r="S1464" i="2"/>
  <c r="P1463" i="2"/>
  <c r="Q1463" i="2"/>
  <c r="Q1460" i="2"/>
  <c r="Q1455" i="2"/>
  <c r="Q1453" i="2"/>
  <c r="R1453" i="2"/>
  <c r="S1453" i="2"/>
  <c r="P1444" i="2"/>
  <c r="P1443" i="2"/>
  <c r="Q1442" i="2"/>
  <c r="R1442" i="2"/>
  <c r="P1440" i="2"/>
  <c r="Q1440" i="2"/>
  <c r="P1439" i="2"/>
  <c r="S1439" i="2"/>
  <c r="U1439" i="2"/>
  <c r="R1436" i="2"/>
  <c r="Q1436" i="2"/>
  <c r="S1436" i="2"/>
  <c r="U1431" i="2"/>
  <c r="Q1430" i="2"/>
  <c r="R1430" i="2"/>
  <c r="S1430" i="2"/>
  <c r="R1675" i="2"/>
  <c r="Q1632" i="2"/>
  <c r="R1625" i="2"/>
  <c r="T1623" i="2"/>
  <c r="S1623" i="2" s="1"/>
  <c r="R1621" i="2"/>
  <c r="T1619" i="2"/>
  <c r="S1619" i="2" s="1"/>
  <c r="R1617" i="2"/>
  <c r="T1615" i="2"/>
  <c r="S1615" i="2" s="1"/>
  <c r="R1613" i="2"/>
  <c r="T1611" i="2"/>
  <c r="S1611" i="2" s="1"/>
  <c r="R1609" i="2"/>
  <c r="T1607" i="2"/>
  <c r="S1607" i="2" s="1"/>
  <c r="R1605" i="2"/>
  <c r="T1603" i="2"/>
  <c r="S1603" i="2" s="1"/>
  <c r="R1602" i="2"/>
  <c r="P1600" i="2"/>
  <c r="R1599" i="2"/>
  <c r="U1597" i="2"/>
  <c r="P1597" i="2"/>
  <c r="S1594" i="2"/>
  <c r="Q1588" i="2"/>
  <c r="P1587" i="2"/>
  <c r="R1586" i="2"/>
  <c r="P1584" i="2"/>
  <c r="R1583" i="2"/>
  <c r="U1581" i="2"/>
  <c r="P1581" i="2"/>
  <c r="S1578" i="2"/>
  <c r="Q1572" i="2"/>
  <c r="P1571" i="2"/>
  <c r="R1570" i="2"/>
  <c r="P1568" i="2"/>
  <c r="R1567" i="2"/>
  <c r="U1565" i="2"/>
  <c r="P1565" i="2"/>
  <c r="S1562" i="2"/>
  <c r="Q1556" i="2"/>
  <c r="P1555" i="2"/>
  <c r="R1554" i="2"/>
  <c r="P1552" i="2"/>
  <c r="R1551" i="2"/>
  <c r="U1549" i="2"/>
  <c r="P1549" i="2"/>
  <c r="S1546" i="2"/>
  <c r="Q1540" i="2"/>
  <c r="P1539" i="2"/>
  <c r="R1538" i="2"/>
  <c r="P1536" i="2"/>
  <c r="R1535" i="2"/>
  <c r="U1533" i="2"/>
  <c r="P1533" i="2"/>
  <c r="S1530" i="2"/>
  <c r="Q1524" i="2"/>
  <c r="P1523" i="2"/>
  <c r="R1522" i="2"/>
  <c r="P1520" i="2"/>
  <c r="R1519" i="2"/>
  <c r="U1517" i="2"/>
  <c r="P1517" i="2"/>
  <c r="S1514" i="2"/>
  <c r="Q1508" i="2"/>
  <c r="P1507" i="2"/>
  <c r="R1506" i="2"/>
  <c r="P1504" i="2"/>
  <c r="R1503" i="2"/>
  <c r="U1501" i="2"/>
  <c r="P1501" i="2"/>
  <c r="S1498" i="2"/>
  <c r="P1497" i="2"/>
  <c r="Q1496" i="2"/>
  <c r="S1491" i="2"/>
  <c r="Q1490" i="2"/>
  <c r="R1490" i="2"/>
  <c r="R1487" i="2"/>
  <c r="Q1485" i="2"/>
  <c r="P1483" i="2"/>
  <c r="Q1483" i="2"/>
  <c r="P1481" i="2"/>
  <c r="Q1480" i="2"/>
  <c r="S1475" i="2"/>
  <c r="Q1474" i="2"/>
  <c r="R1474" i="2"/>
  <c r="R1471" i="2"/>
  <c r="Q1469" i="2"/>
  <c r="P1467" i="2"/>
  <c r="Q1467" i="2"/>
  <c r="P1465" i="2"/>
  <c r="Q1464" i="2"/>
  <c r="S1459" i="2"/>
  <c r="Q1458" i="2"/>
  <c r="R1458" i="2"/>
  <c r="P1456" i="2"/>
  <c r="Q1456" i="2"/>
  <c r="S1455" i="2"/>
  <c r="U1455" i="2"/>
  <c r="R1452" i="2"/>
  <c r="Q1452" i="2"/>
  <c r="S1452" i="2"/>
  <c r="R1445" i="2"/>
  <c r="Q1433" i="2"/>
  <c r="R1433" i="2"/>
  <c r="S1433" i="2"/>
  <c r="S1429" i="2"/>
  <c r="T1427" i="2"/>
  <c r="S1427" i="2" s="1"/>
  <c r="R1427" i="2"/>
  <c r="U1420" i="2"/>
  <c r="T1419" i="2"/>
  <c r="S1419" i="2" s="1"/>
  <c r="R1419" i="2"/>
  <c r="Q1419" i="2"/>
  <c r="S1601" i="2"/>
  <c r="Q1600" i="2"/>
  <c r="P1599" i="2"/>
  <c r="R1598" i="2"/>
  <c r="R1596" i="2"/>
  <c r="P1596" i="2"/>
  <c r="S1591" i="2"/>
  <c r="Q1587" i="2"/>
  <c r="S1585" i="2"/>
  <c r="Q1584" i="2"/>
  <c r="P1583" i="2"/>
  <c r="R1582" i="2"/>
  <c r="R1580" i="2"/>
  <c r="P1580" i="2"/>
  <c r="S1575" i="2"/>
  <c r="Q1571" i="2"/>
  <c r="S1569" i="2"/>
  <c r="Q1568" i="2"/>
  <c r="P1567" i="2"/>
  <c r="R1566" i="2"/>
  <c r="R1564" i="2"/>
  <c r="P1564" i="2"/>
  <c r="S1559" i="2"/>
  <c r="Q1555" i="2"/>
  <c r="S1553" i="2"/>
  <c r="Q1552" i="2"/>
  <c r="P1551" i="2"/>
  <c r="R1550" i="2"/>
  <c r="R1548" i="2"/>
  <c r="P1548" i="2"/>
  <c r="S1543" i="2"/>
  <c r="Q1539" i="2"/>
  <c r="S1537" i="2"/>
  <c r="Q1536" i="2"/>
  <c r="P1535" i="2"/>
  <c r="R1534" i="2"/>
  <c r="R1532" i="2"/>
  <c r="P1532" i="2"/>
  <c r="S1527" i="2"/>
  <c r="Q1523" i="2"/>
  <c r="S1521" i="2"/>
  <c r="Q1520" i="2"/>
  <c r="P1519" i="2"/>
  <c r="R1518" i="2"/>
  <c r="R1516" i="2"/>
  <c r="P1516" i="2"/>
  <c r="S1511" i="2"/>
  <c r="Q1507" i="2"/>
  <c r="S1505" i="2"/>
  <c r="Q1504" i="2"/>
  <c r="P1503" i="2"/>
  <c r="R1502" i="2"/>
  <c r="R1500" i="2"/>
  <c r="P1500" i="2"/>
  <c r="S1497" i="2"/>
  <c r="Q1494" i="2"/>
  <c r="R1494" i="2"/>
  <c r="R1493" i="2"/>
  <c r="U1492" i="2"/>
  <c r="Q1489" i="2"/>
  <c r="R1488" i="2"/>
  <c r="P1488" i="2"/>
  <c r="S1488" i="2"/>
  <c r="P1487" i="2"/>
  <c r="Q1487" i="2"/>
  <c r="Q1484" i="2"/>
  <c r="S1481" i="2"/>
  <c r="Q1478" i="2"/>
  <c r="R1478" i="2"/>
  <c r="R1477" i="2"/>
  <c r="U1476" i="2"/>
  <c r="Q1473" i="2"/>
  <c r="R1472" i="2"/>
  <c r="P1472" i="2"/>
  <c r="S1472" i="2"/>
  <c r="P1471" i="2"/>
  <c r="Q1471" i="2"/>
  <c r="Q1468" i="2"/>
  <c r="S1465" i="2"/>
  <c r="Q1462" i="2"/>
  <c r="R1462" i="2"/>
  <c r="R1461" i="2"/>
  <c r="U1460" i="2"/>
  <c r="R1448" i="2"/>
  <c r="S1448" i="2"/>
  <c r="P1446" i="2"/>
  <c r="Q1446" i="2"/>
  <c r="P1445" i="2"/>
  <c r="Q1441" i="2"/>
  <c r="P1441" i="2"/>
  <c r="R1441" i="2"/>
  <c r="R1438" i="2"/>
  <c r="S1438" i="2"/>
  <c r="P1435" i="2"/>
  <c r="Q1435" i="2"/>
  <c r="S1435" i="2"/>
  <c r="U1435" i="2"/>
  <c r="P1434" i="2"/>
  <c r="S1434" i="2"/>
  <c r="U1434" i="2"/>
  <c r="P1431" i="2"/>
  <c r="Q1431" i="2"/>
  <c r="P1491" i="2"/>
  <c r="Q1491" i="2"/>
  <c r="Q1482" i="2"/>
  <c r="R1482" i="2"/>
  <c r="P1475" i="2"/>
  <c r="Q1475" i="2"/>
  <c r="Q1466" i="2"/>
  <c r="R1466" i="2"/>
  <c r="P1459" i="2"/>
  <c r="Q1459" i="2"/>
  <c r="Q1457" i="2"/>
  <c r="P1457" i="2"/>
  <c r="R1457" i="2"/>
  <c r="R1454" i="2"/>
  <c r="S1454" i="2"/>
  <c r="P1451" i="2"/>
  <c r="Q1451" i="2"/>
  <c r="S1451" i="2"/>
  <c r="U1451" i="2"/>
  <c r="P1450" i="2"/>
  <c r="S1450" i="2"/>
  <c r="U1450" i="2"/>
  <c r="Q1437" i="2"/>
  <c r="R1437" i="2"/>
  <c r="S1437" i="2"/>
  <c r="Q1420" i="2"/>
  <c r="P1420" i="2"/>
  <c r="Q1425" i="2"/>
  <c r="R1425" i="2"/>
  <c r="Q1422" i="2"/>
  <c r="Q1417" i="2"/>
  <c r="R1417" i="2"/>
  <c r="Q1414" i="2"/>
  <c r="P1412" i="2"/>
  <c r="Q1411" i="2"/>
  <c r="Q1409" i="2"/>
  <c r="R1409" i="2"/>
  <c r="Q1406" i="2"/>
  <c r="P1404" i="2"/>
  <c r="Q1401" i="2"/>
  <c r="R1401" i="2"/>
  <c r="Q1398" i="2"/>
  <c r="Q1393" i="2"/>
  <c r="R1393" i="2"/>
  <c r="Q1385" i="2"/>
  <c r="R1385" i="2"/>
  <c r="Q1377" i="2"/>
  <c r="R1377" i="2"/>
  <c r="Q1369" i="2"/>
  <c r="R1369" i="2"/>
  <c r="Q1361" i="2"/>
  <c r="R1361" i="2"/>
  <c r="Q1353" i="2"/>
  <c r="R1353" i="2"/>
  <c r="Q1345" i="2"/>
  <c r="R1345" i="2"/>
  <c r="Q1337" i="2"/>
  <c r="R1337" i="2"/>
  <c r="Q1329" i="2"/>
  <c r="R1329" i="2"/>
  <c r="Q1321" i="2"/>
  <c r="R1321" i="2"/>
  <c r="Q1313" i="2"/>
  <c r="R1313" i="2"/>
  <c r="Q1305" i="2"/>
  <c r="R1305" i="2"/>
  <c r="Q1297" i="2"/>
  <c r="R1297" i="2"/>
  <c r="T1291" i="2"/>
  <c r="S1291" i="2" s="1"/>
  <c r="Q1291" i="2"/>
  <c r="T1287" i="2"/>
  <c r="S1287" i="2" s="1"/>
  <c r="Q1287" i="2"/>
  <c r="T1283" i="2"/>
  <c r="S1283" i="2" s="1"/>
  <c r="Q1283" i="2"/>
  <c r="T1279" i="2"/>
  <c r="S1279" i="2" s="1"/>
  <c r="Q1279" i="2"/>
  <c r="T1275" i="2"/>
  <c r="S1275" i="2" s="1"/>
  <c r="Q1275" i="2"/>
  <c r="T1271" i="2"/>
  <c r="S1271" i="2" s="1"/>
  <c r="Q1271" i="2"/>
  <c r="T1267" i="2"/>
  <c r="S1267" i="2" s="1"/>
  <c r="Q1267" i="2"/>
  <c r="Q1264" i="2"/>
  <c r="T1263" i="2"/>
  <c r="S1263" i="2" s="1"/>
  <c r="Q1263" i="2"/>
  <c r="Q1260" i="2"/>
  <c r="T1259" i="2"/>
  <c r="S1259" i="2" s="1"/>
  <c r="Q1259" i="2"/>
  <c r="Q1256" i="2"/>
  <c r="T1255" i="2"/>
  <c r="S1255" i="2" s="1"/>
  <c r="Q1255" i="2"/>
  <c r="Q1252" i="2"/>
  <c r="T1251" i="2"/>
  <c r="S1251" i="2" s="1"/>
  <c r="Q1251" i="2"/>
  <c r="Q1248" i="2"/>
  <c r="T1247" i="2"/>
  <c r="S1247" i="2" s="1"/>
  <c r="Q1247" i="2"/>
  <c r="Q1244" i="2"/>
  <c r="T1243" i="2"/>
  <c r="S1243" i="2" s="1"/>
  <c r="Q1243" i="2"/>
  <c r="Q1240" i="2"/>
  <c r="T1239" i="2"/>
  <c r="S1239" i="2" s="1"/>
  <c r="Q1239" i="2"/>
  <c r="Q1236" i="2"/>
  <c r="T1235" i="2"/>
  <c r="S1235" i="2" s="1"/>
  <c r="Q1235" i="2"/>
  <c r="Q1232" i="2"/>
  <c r="T1231" i="2"/>
  <c r="S1231" i="2" s="1"/>
  <c r="Q1231" i="2"/>
  <c r="Q1228" i="2"/>
  <c r="T1227" i="2"/>
  <c r="S1227" i="2" s="1"/>
  <c r="Q1227" i="2"/>
  <c r="Q1224" i="2"/>
  <c r="T1223" i="2"/>
  <c r="S1223" i="2" s="1"/>
  <c r="Q1223" i="2"/>
  <c r="Q1220" i="2"/>
  <c r="T1219" i="2"/>
  <c r="S1219" i="2" s="1"/>
  <c r="Q1219" i="2"/>
  <c r="Q1216" i="2"/>
  <c r="T1215" i="2"/>
  <c r="S1215" i="2" s="1"/>
  <c r="Q1215" i="2"/>
  <c r="P1211" i="2"/>
  <c r="T1211" i="2"/>
  <c r="S1211" i="2" s="1"/>
  <c r="Q1210" i="2"/>
  <c r="R1210" i="2"/>
  <c r="S1200" i="2"/>
  <c r="S1184" i="2"/>
  <c r="S1168" i="2"/>
  <c r="S1152" i="2"/>
  <c r="S1136" i="2"/>
  <c r="S1120" i="2"/>
  <c r="R1392" i="2"/>
  <c r="R1391" i="2"/>
  <c r="R1384" i="2"/>
  <c r="R1383" i="2"/>
  <c r="R1376" i="2"/>
  <c r="R1375" i="2"/>
  <c r="R1368" i="2"/>
  <c r="R1367" i="2"/>
  <c r="R1360" i="2"/>
  <c r="R1359" i="2"/>
  <c r="R1352" i="2"/>
  <c r="R1351" i="2"/>
  <c r="R1344" i="2"/>
  <c r="R1343" i="2"/>
  <c r="R1336" i="2"/>
  <c r="R1335" i="2"/>
  <c r="R1328" i="2"/>
  <c r="R1327" i="2"/>
  <c r="R1320" i="2"/>
  <c r="R1319" i="2"/>
  <c r="R1312" i="2"/>
  <c r="R1311" i="2"/>
  <c r="R1304" i="2"/>
  <c r="R1303" i="2"/>
  <c r="R1296" i="2"/>
  <c r="R1295" i="2"/>
  <c r="P1291" i="2"/>
  <c r="P1287" i="2"/>
  <c r="P1283" i="2"/>
  <c r="P1279" i="2"/>
  <c r="P1275" i="2"/>
  <c r="P1271" i="2"/>
  <c r="P1212" i="2"/>
  <c r="S1212" i="2"/>
  <c r="P1458" i="2"/>
  <c r="Q1449" i="2"/>
  <c r="R1444" i="2"/>
  <c r="P1442" i="2"/>
  <c r="P1430" i="2"/>
  <c r="Q1429" i="2"/>
  <c r="R1429" i="2"/>
  <c r="P1427" i="2"/>
  <c r="Q1426" i="2"/>
  <c r="Q1423" i="2"/>
  <c r="S1422" i="2"/>
  <c r="P1422" i="2"/>
  <c r="Q1421" i="2"/>
  <c r="R1421" i="2"/>
  <c r="P1419" i="2"/>
  <c r="Q1418" i="2"/>
  <c r="Q1415" i="2"/>
  <c r="S1414" i="2"/>
  <c r="P1414" i="2"/>
  <c r="Q1413" i="2"/>
  <c r="R1413" i="2"/>
  <c r="P1411" i="2"/>
  <c r="S1411" i="2"/>
  <c r="Q1410" i="2"/>
  <c r="Q1407" i="2"/>
  <c r="S1406" i="2"/>
  <c r="P1406" i="2"/>
  <c r="Q1405" i="2"/>
  <c r="R1405" i="2"/>
  <c r="P1403" i="2"/>
  <c r="S1403" i="2"/>
  <c r="Q1402" i="2"/>
  <c r="Q1399" i="2"/>
  <c r="S1398" i="2"/>
  <c r="P1398" i="2"/>
  <c r="Q1397" i="2"/>
  <c r="R1397" i="2"/>
  <c r="P1395" i="2"/>
  <c r="S1395" i="2"/>
  <c r="Q1394" i="2"/>
  <c r="Q1391" i="2"/>
  <c r="S1390" i="2"/>
  <c r="P1390" i="2"/>
  <c r="Q1389" i="2"/>
  <c r="R1389" i="2"/>
  <c r="P1387" i="2"/>
  <c r="S1387" i="2"/>
  <c r="Q1386" i="2"/>
  <c r="Q1383" i="2"/>
  <c r="S1382" i="2"/>
  <c r="P1382" i="2"/>
  <c r="Q1381" i="2"/>
  <c r="R1381" i="2"/>
  <c r="P1379" i="2"/>
  <c r="S1379" i="2"/>
  <c r="Q1378" i="2"/>
  <c r="Q1375" i="2"/>
  <c r="S1374" i="2"/>
  <c r="P1374" i="2"/>
  <c r="Q1373" i="2"/>
  <c r="R1373" i="2"/>
  <c r="P1371" i="2"/>
  <c r="S1371" i="2"/>
  <c r="Q1370" i="2"/>
  <c r="Q1367" i="2"/>
  <c r="S1366" i="2"/>
  <c r="P1366" i="2"/>
  <c r="Q1365" i="2"/>
  <c r="R1365" i="2"/>
  <c r="P1363" i="2"/>
  <c r="Q1362" i="2"/>
  <c r="Q1359" i="2"/>
  <c r="S1358" i="2"/>
  <c r="P1358" i="2"/>
  <c r="Q1357" i="2"/>
  <c r="R1357" i="2"/>
  <c r="P1355" i="2"/>
  <c r="S1355" i="2"/>
  <c r="Q1354" i="2"/>
  <c r="Q1351" i="2"/>
  <c r="S1350" i="2"/>
  <c r="P1350" i="2"/>
  <c r="Q1349" i="2"/>
  <c r="R1349" i="2"/>
  <c r="P1347" i="2"/>
  <c r="S1347" i="2"/>
  <c r="Q1346" i="2"/>
  <c r="Q1343" i="2"/>
  <c r="S1342" i="2"/>
  <c r="P1342" i="2"/>
  <c r="Q1341" i="2"/>
  <c r="R1341" i="2"/>
  <c r="P1339" i="2"/>
  <c r="S1339" i="2"/>
  <c r="Q1338" i="2"/>
  <c r="Q1335" i="2"/>
  <c r="S1334" i="2"/>
  <c r="P1334" i="2"/>
  <c r="Q1333" i="2"/>
  <c r="R1333" i="2"/>
  <c r="P1331" i="2"/>
  <c r="S1331" i="2"/>
  <c r="Q1330" i="2"/>
  <c r="Q1327" i="2"/>
  <c r="S1326" i="2"/>
  <c r="P1326" i="2"/>
  <c r="Q1325" i="2"/>
  <c r="R1325" i="2"/>
  <c r="P1323" i="2"/>
  <c r="S1323" i="2"/>
  <c r="Q1322" i="2"/>
  <c r="Q1319" i="2"/>
  <c r="S1318" i="2"/>
  <c r="P1318" i="2"/>
  <c r="Q1317" i="2"/>
  <c r="R1317" i="2"/>
  <c r="P1315" i="2"/>
  <c r="S1315" i="2"/>
  <c r="Q1314" i="2"/>
  <c r="Q1311" i="2"/>
  <c r="S1310" i="2"/>
  <c r="P1310" i="2"/>
  <c r="Q1309" i="2"/>
  <c r="R1309" i="2"/>
  <c r="P1307" i="2"/>
  <c r="S1307" i="2"/>
  <c r="Q1306" i="2"/>
  <c r="Q1303" i="2"/>
  <c r="S1302" i="2"/>
  <c r="P1302" i="2"/>
  <c r="Q1301" i="2"/>
  <c r="R1301" i="2"/>
  <c r="P1299" i="2"/>
  <c r="S1299" i="2"/>
  <c r="Q1298" i="2"/>
  <c r="Q1295" i="2"/>
  <c r="U1292" i="2"/>
  <c r="U1288" i="2"/>
  <c r="U1284" i="2"/>
  <c r="U1280" i="2"/>
  <c r="U1276" i="2"/>
  <c r="U1272" i="2"/>
  <c r="U1268" i="2"/>
  <c r="U1264" i="2"/>
  <c r="U1260" i="2"/>
  <c r="U1256" i="2"/>
  <c r="U1252" i="2"/>
  <c r="U1248" i="2"/>
  <c r="U1244" i="2"/>
  <c r="U1240" i="2"/>
  <c r="U1236" i="2"/>
  <c r="U1232" i="2"/>
  <c r="U1228" i="2"/>
  <c r="U1224" i="2"/>
  <c r="U1220" i="2"/>
  <c r="U1216" i="2"/>
  <c r="Q1213" i="2"/>
  <c r="R1213" i="2"/>
  <c r="U1212" i="2"/>
  <c r="P1210" i="2"/>
  <c r="S1209" i="2"/>
  <c r="S1208" i="2"/>
  <c r="S1192" i="2"/>
  <c r="S1176" i="2"/>
  <c r="S1160" i="2"/>
  <c r="S1144" i="2"/>
  <c r="S1128" i="2"/>
  <c r="S1112" i="2"/>
  <c r="R1456" i="2"/>
  <c r="P1454" i="2"/>
  <c r="Q1445" i="2"/>
  <c r="S1443" i="2"/>
  <c r="R1440" i="2"/>
  <c r="P1438" i="2"/>
  <c r="S1432" i="2"/>
  <c r="R1428" i="2"/>
  <c r="S1425" i="2"/>
  <c r="S1424" i="2"/>
  <c r="R1422" i="2"/>
  <c r="R1420" i="2"/>
  <c r="S1417" i="2"/>
  <c r="S1416" i="2"/>
  <c r="R1414" i="2"/>
  <c r="R1412" i="2"/>
  <c r="R1411" i="2"/>
  <c r="S1409" i="2"/>
  <c r="S1408" i="2"/>
  <c r="R1406" i="2"/>
  <c r="R1404" i="2"/>
  <c r="R1403" i="2"/>
  <c r="S1401" i="2"/>
  <c r="S1400" i="2"/>
  <c r="R1398" i="2"/>
  <c r="R1396" i="2"/>
  <c r="R1395" i="2"/>
  <c r="S1393" i="2"/>
  <c r="S1392" i="2"/>
  <c r="R1390" i="2"/>
  <c r="R1388" i="2"/>
  <c r="R1387" i="2"/>
  <c r="S1385" i="2"/>
  <c r="S1384" i="2"/>
  <c r="R1382" i="2"/>
  <c r="R1380" i="2"/>
  <c r="R1379" i="2"/>
  <c r="S1377" i="2"/>
  <c r="S1376" i="2"/>
  <c r="R1374" i="2"/>
  <c r="R1372" i="2"/>
  <c r="R1371" i="2"/>
  <c r="S1369" i="2"/>
  <c r="S1368" i="2"/>
  <c r="R1366" i="2"/>
  <c r="R1364" i="2"/>
  <c r="R1363" i="2"/>
  <c r="S1361" i="2"/>
  <c r="S1360" i="2"/>
  <c r="R1358" i="2"/>
  <c r="R1356" i="2"/>
  <c r="R1355" i="2"/>
  <c r="S1353" i="2"/>
  <c r="S1352" i="2"/>
  <c r="R1350" i="2"/>
  <c r="R1348" i="2"/>
  <c r="R1347" i="2"/>
  <c r="S1345" i="2"/>
  <c r="S1344" i="2"/>
  <c r="R1342" i="2"/>
  <c r="R1340" i="2"/>
  <c r="R1339" i="2"/>
  <c r="S1337" i="2"/>
  <c r="S1336" i="2"/>
  <c r="R1334" i="2"/>
  <c r="R1332" i="2"/>
  <c r="R1331" i="2"/>
  <c r="S1329" i="2"/>
  <c r="S1328" i="2"/>
  <c r="R1326" i="2"/>
  <c r="R1324" i="2"/>
  <c r="R1323" i="2"/>
  <c r="S1321" i="2"/>
  <c r="S1320" i="2"/>
  <c r="R1318" i="2"/>
  <c r="R1316" i="2"/>
  <c r="R1315" i="2"/>
  <c r="S1313" i="2"/>
  <c r="S1312" i="2"/>
  <c r="R1310" i="2"/>
  <c r="R1308" i="2"/>
  <c r="R1307" i="2"/>
  <c r="S1305" i="2"/>
  <c r="S1304" i="2"/>
  <c r="R1302" i="2"/>
  <c r="R1300" i="2"/>
  <c r="R1299" i="2"/>
  <c r="S1297" i="2"/>
  <c r="S1296" i="2"/>
  <c r="Q1294" i="2"/>
  <c r="R1292" i="2"/>
  <c r="R1291" i="2"/>
  <c r="Q1290" i="2"/>
  <c r="R1290" i="2"/>
  <c r="R1288" i="2"/>
  <c r="R1287" i="2"/>
  <c r="Q1286" i="2"/>
  <c r="R1286" i="2"/>
  <c r="R1284" i="2"/>
  <c r="R1283" i="2"/>
  <c r="Q1282" i="2"/>
  <c r="R1282" i="2"/>
  <c r="R1280" i="2"/>
  <c r="R1279" i="2"/>
  <c r="Q1278" i="2"/>
  <c r="R1278" i="2"/>
  <c r="R1276" i="2"/>
  <c r="R1275" i="2"/>
  <c r="Q1274" i="2"/>
  <c r="R1274" i="2"/>
  <c r="R1272" i="2"/>
  <c r="R1271" i="2"/>
  <c r="Q1270" i="2"/>
  <c r="R1270" i="2"/>
  <c r="R1268" i="2"/>
  <c r="R1267" i="2"/>
  <c r="Q1266" i="2"/>
  <c r="R1266" i="2"/>
  <c r="R1264" i="2"/>
  <c r="R1263" i="2"/>
  <c r="Q1262" i="2"/>
  <c r="R1262" i="2"/>
  <c r="R1260" i="2"/>
  <c r="R1259" i="2"/>
  <c r="Q1258" i="2"/>
  <c r="R1258" i="2"/>
  <c r="R1256" i="2"/>
  <c r="R1255" i="2"/>
  <c r="Q1254" i="2"/>
  <c r="R1254" i="2"/>
  <c r="R1252" i="2"/>
  <c r="R1251" i="2"/>
  <c r="Q1250" i="2"/>
  <c r="R1250" i="2"/>
  <c r="R1248" i="2"/>
  <c r="R1247" i="2"/>
  <c r="Q1246" i="2"/>
  <c r="R1246" i="2"/>
  <c r="R1244" i="2"/>
  <c r="R1243" i="2"/>
  <c r="Q1242" i="2"/>
  <c r="R1242" i="2"/>
  <c r="R1240" i="2"/>
  <c r="R1239" i="2"/>
  <c r="Q1238" i="2"/>
  <c r="R1238" i="2"/>
  <c r="R1236" i="2"/>
  <c r="R1235" i="2"/>
  <c r="Q1234" i="2"/>
  <c r="R1234" i="2"/>
  <c r="R1232" i="2"/>
  <c r="R1231" i="2"/>
  <c r="Q1230" i="2"/>
  <c r="R1230" i="2"/>
  <c r="Q1229" i="2"/>
  <c r="R1228" i="2"/>
  <c r="R1227" i="2"/>
  <c r="Q1226" i="2"/>
  <c r="R1226" i="2"/>
  <c r="S1225" i="2"/>
  <c r="Q1225" i="2"/>
  <c r="R1224" i="2"/>
  <c r="R1223" i="2"/>
  <c r="Q1222" i="2"/>
  <c r="R1222" i="2"/>
  <c r="S1221" i="2"/>
  <c r="Q1221" i="2"/>
  <c r="R1220" i="2"/>
  <c r="R1219" i="2"/>
  <c r="Q1218" i="2"/>
  <c r="R1218" i="2"/>
  <c r="S1217" i="2"/>
  <c r="Q1217" i="2"/>
  <c r="R1216" i="2"/>
  <c r="R1215" i="2"/>
  <c r="Q1214" i="2"/>
  <c r="R1214" i="2"/>
  <c r="Q1212" i="2"/>
  <c r="R1212" i="2"/>
  <c r="R1211" i="2"/>
  <c r="Q1211" i="2"/>
  <c r="S1204" i="2"/>
  <c r="S1188" i="2"/>
  <c r="S1172" i="2"/>
  <c r="S1156" i="2"/>
  <c r="S1140" i="2"/>
  <c r="S1124" i="2"/>
  <c r="P1208" i="2"/>
  <c r="R1206" i="2"/>
  <c r="P1204" i="2"/>
  <c r="R1202" i="2"/>
  <c r="P1200" i="2"/>
  <c r="R1198" i="2"/>
  <c r="P1196" i="2"/>
  <c r="R1194" i="2"/>
  <c r="P1192" i="2"/>
  <c r="R1190" i="2"/>
  <c r="P1188" i="2"/>
  <c r="R1186" i="2"/>
  <c r="P1184" i="2"/>
  <c r="R1182" i="2"/>
  <c r="P1180" i="2"/>
  <c r="R1178" i="2"/>
  <c r="P1176" i="2"/>
  <c r="R1174" i="2"/>
  <c r="P1172" i="2"/>
  <c r="R1170" i="2"/>
  <c r="P1168" i="2"/>
  <c r="R1166" i="2"/>
  <c r="P1164" i="2"/>
  <c r="R1162" i="2"/>
  <c r="P1160" i="2"/>
  <c r="R1158" i="2"/>
  <c r="P1156" i="2"/>
  <c r="R1154" i="2"/>
  <c r="P1152" i="2"/>
  <c r="R1150" i="2"/>
  <c r="P1148" i="2"/>
  <c r="R1146" i="2"/>
  <c r="P1144" i="2"/>
  <c r="R1142" i="2"/>
  <c r="P1140" i="2"/>
  <c r="R1138" i="2"/>
  <c r="P1136" i="2"/>
  <c r="R1134" i="2"/>
  <c r="P1132" i="2"/>
  <c r="R1130" i="2"/>
  <c r="P1128" i="2"/>
  <c r="R1126" i="2"/>
  <c r="P1124" i="2"/>
  <c r="R1122" i="2"/>
  <c r="P1120" i="2"/>
  <c r="R1118" i="2"/>
  <c r="P1116" i="2"/>
  <c r="R1114" i="2"/>
  <c r="P1112" i="2"/>
  <c r="Q1110" i="2"/>
  <c r="Q1108" i="2"/>
  <c r="Q1105" i="2"/>
  <c r="S1102" i="2"/>
  <c r="Q1099" i="2"/>
  <c r="R1099" i="2"/>
  <c r="R1098" i="2"/>
  <c r="U1097" i="2"/>
  <c r="R1093" i="2"/>
  <c r="P1093" i="2"/>
  <c r="S1093" i="2"/>
  <c r="P1092" i="2"/>
  <c r="Q1092" i="2"/>
  <c r="Q1089" i="2"/>
  <c r="S1086" i="2"/>
  <c r="Q1083" i="2"/>
  <c r="R1083" i="2"/>
  <c r="R1082" i="2"/>
  <c r="U1081" i="2"/>
  <c r="R1077" i="2"/>
  <c r="P1077" i="2"/>
  <c r="S1077" i="2"/>
  <c r="P1076" i="2"/>
  <c r="Q1076" i="2"/>
  <c r="Q1073" i="2"/>
  <c r="S1070" i="2"/>
  <c r="Q1067" i="2"/>
  <c r="R1067" i="2"/>
  <c r="R1066" i="2"/>
  <c r="U1065" i="2"/>
  <c r="R1061" i="2"/>
  <c r="P1061" i="2"/>
  <c r="S1061" i="2"/>
  <c r="P1060" i="2"/>
  <c r="Q1060" i="2"/>
  <c r="Q1057" i="2"/>
  <c r="S1054" i="2"/>
  <c r="Q1051" i="2"/>
  <c r="R1051" i="2"/>
  <c r="P1049" i="2"/>
  <c r="S1049" i="2"/>
  <c r="Q1048" i="2"/>
  <c r="P1044" i="2"/>
  <c r="Q1043" i="2"/>
  <c r="R1043" i="2"/>
  <c r="P1041" i="2"/>
  <c r="S1041" i="2"/>
  <c r="Q1040" i="2"/>
  <c r="Q1037" i="2"/>
  <c r="P1036" i="2"/>
  <c r="Q1035" i="2"/>
  <c r="R1035" i="2"/>
  <c r="P1033" i="2"/>
  <c r="S1033" i="2"/>
  <c r="Q1032" i="2"/>
  <c r="Q1029" i="2"/>
  <c r="S1028" i="2"/>
  <c r="P1028" i="2"/>
  <c r="Q1027" i="2"/>
  <c r="R1027" i="2"/>
  <c r="P1025" i="2"/>
  <c r="S1025" i="2"/>
  <c r="Q1024" i="2"/>
  <c r="Q1021" i="2"/>
  <c r="S1020" i="2"/>
  <c r="P1020" i="2"/>
  <c r="Q1019" i="2"/>
  <c r="R1019" i="2"/>
  <c r="P1017" i="2"/>
  <c r="S1017" i="2"/>
  <c r="Q1016" i="2"/>
  <c r="Q1008" i="2"/>
  <c r="P1004" i="2"/>
  <c r="Q1004" i="2"/>
  <c r="S1004" i="2"/>
  <c r="U1004" i="2"/>
  <c r="Q1000" i="2"/>
  <c r="Q981" i="2"/>
  <c r="P977" i="2"/>
  <c r="Q977" i="2"/>
  <c r="Q975" i="2"/>
  <c r="R975" i="2"/>
  <c r="S975" i="2"/>
  <c r="Q974" i="2"/>
  <c r="P974" i="2"/>
  <c r="R974" i="2"/>
  <c r="S974" i="2"/>
  <c r="R969" i="2"/>
  <c r="Q969" i="2"/>
  <c r="S969" i="2"/>
  <c r="R1293" i="2"/>
  <c r="R1289" i="2"/>
  <c r="R1285" i="2"/>
  <c r="R1281" i="2"/>
  <c r="R1277" i="2"/>
  <c r="R1273" i="2"/>
  <c r="R1269" i="2"/>
  <c r="R1265" i="2"/>
  <c r="R1261" i="2"/>
  <c r="R1257" i="2"/>
  <c r="R1253" i="2"/>
  <c r="R1249" i="2"/>
  <c r="R1245" i="2"/>
  <c r="R1241" i="2"/>
  <c r="R1237" i="2"/>
  <c r="R1233" i="2"/>
  <c r="R1229" i="2"/>
  <c r="R1225" i="2"/>
  <c r="R1221" i="2"/>
  <c r="R1217" i="2"/>
  <c r="R1209" i="2"/>
  <c r="T1207" i="2"/>
  <c r="S1207" i="2" s="1"/>
  <c r="R1205" i="2"/>
  <c r="T1203" i="2"/>
  <c r="S1203" i="2" s="1"/>
  <c r="R1201" i="2"/>
  <c r="T1199" i="2"/>
  <c r="S1199" i="2" s="1"/>
  <c r="R1197" i="2"/>
  <c r="T1195" i="2"/>
  <c r="S1195" i="2" s="1"/>
  <c r="R1193" i="2"/>
  <c r="T1191" i="2"/>
  <c r="S1191" i="2" s="1"/>
  <c r="R1189" i="2"/>
  <c r="T1187" i="2"/>
  <c r="S1187" i="2" s="1"/>
  <c r="R1185" i="2"/>
  <c r="T1183" i="2"/>
  <c r="S1183" i="2" s="1"/>
  <c r="R1181" i="2"/>
  <c r="T1179" i="2"/>
  <c r="S1179" i="2" s="1"/>
  <c r="R1177" i="2"/>
  <c r="T1175" i="2"/>
  <c r="S1175" i="2" s="1"/>
  <c r="R1173" i="2"/>
  <c r="T1171" i="2"/>
  <c r="S1171" i="2" s="1"/>
  <c r="R1169" i="2"/>
  <c r="T1167" i="2"/>
  <c r="S1167" i="2" s="1"/>
  <c r="R1165" i="2"/>
  <c r="T1163" i="2"/>
  <c r="S1163" i="2" s="1"/>
  <c r="R1161" i="2"/>
  <c r="T1159" i="2"/>
  <c r="S1159" i="2" s="1"/>
  <c r="R1157" i="2"/>
  <c r="T1155" i="2"/>
  <c r="S1155" i="2" s="1"/>
  <c r="R1153" i="2"/>
  <c r="T1151" i="2"/>
  <c r="S1151" i="2" s="1"/>
  <c r="R1149" i="2"/>
  <c r="T1147" i="2"/>
  <c r="S1147" i="2" s="1"/>
  <c r="R1145" i="2"/>
  <c r="T1143" i="2"/>
  <c r="S1143" i="2" s="1"/>
  <c r="R1141" i="2"/>
  <c r="T1139" i="2"/>
  <c r="S1139" i="2" s="1"/>
  <c r="R1137" i="2"/>
  <c r="T1135" i="2"/>
  <c r="S1135" i="2" s="1"/>
  <c r="R1133" i="2"/>
  <c r="T1131" i="2"/>
  <c r="S1131" i="2" s="1"/>
  <c r="R1129" i="2"/>
  <c r="T1127" i="2"/>
  <c r="S1127" i="2" s="1"/>
  <c r="R1125" i="2"/>
  <c r="T1123" i="2"/>
  <c r="S1123" i="2" s="1"/>
  <c r="R1121" i="2"/>
  <c r="T1119" i="2"/>
  <c r="S1119" i="2" s="1"/>
  <c r="R1117" i="2"/>
  <c r="T1115" i="2"/>
  <c r="S1115" i="2" s="1"/>
  <c r="R1113" i="2"/>
  <c r="T1111" i="2"/>
  <c r="S1111" i="2" s="1"/>
  <c r="U1110" i="2"/>
  <c r="P1110" i="2"/>
  <c r="S1104" i="2"/>
  <c r="Q1103" i="2"/>
  <c r="R1103" i="2"/>
  <c r="R1100" i="2"/>
  <c r="Q1098" i="2"/>
  <c r="P1096" i="2"/>
  <c r="Q1096" i="2"/>
  <c r="P1094" i="2"/>
  <c r="Q1093" i="2"/>
  <c r="S1088" i="2"/>
  <c r="Q1087" i="2"/>
  <c r="R1087" i="2"/>
  <c r="R1084" i="2"/>
  <c r="Q1082" i="2"/>
  <c r="P1080" i="2"/>
  <c r="Q1080" i="2"/>
  <c r="P1078" i="2"/>
  <c r="Q1077" i="2"/>
  <c r="S1072" i="2"/>
  <c r="Q1071" i="2"/>
  <c r="R1071" i="2"/>
  <c r="R1068" i="2"/>
  <c r="Q1066" i="2"/>
  <c r="P1064" i="2"/>
  <c r="Q1064" i="2"/>
  <c r="P1062" i="2"/>
  <c r="Q1061" i="2"/>
  <c r="S1056" i="2"/>
  <c r="Q1055" i="2"/>
  <c r="R1055" i="2"/>
  <c r="R1052" i="2"/>
  <c r="Q1050" i="2"/>
  <c r="R1050" i="2"/>
  <c r="R1049" i="2"/>
  <c r="R1044" i="2"/>
  <c r="Q1042" i="2"/>
  <c r="R1042" i="2"/>
  <c r="R1041" i="2"/>
  <c r="R1036" i="2"/>
  <c r="Q1034" i="2"/>
  <c r="R1034" i="2"/>
  <c r="R1033" i="2"/>
  <c r="T423" i="8"/>
  <c r="S1030" i="2"/>
  <c r="Q1026" i="2"/>
  <c r="R1026" i="2"/>
  <c r="R1025" i="2"/>
  <c r="S1022" i="2"/>
  <c r="Q1018" i="2"/>
  <c r="R1018" i="2"/>
  <c r="R1017" i="2"/>
  <c r="S1014" i="2"/>
  <c r="P1013" i="2"/>
  <c r="P1011" i="2"/>
  <c r="Q1011" i="2"/>
  <c r="R1011" i="2"/>
  <c r="R1010" i="2"/>
  <c r="P1008" i="2"/>
  <c r="U286" i="8"/>
  <c r="Q997" i="2"/>
  <c r="P993" i="2"/>
  <c r="Q993" i="2"/>
  <c r="Q991" i="2"/>
  <c r="R991" i="2"/>
  <c r="T275" i="8"/>
  <c r="S991" i="2"/>
  <c r="Q990" i="2"/>
  <c r="P990" i="2"/>
  <c r="R990" i="2"/>
  <c r="S990" i="2"/>
  <c r="R985" i="2"/>
  <c r="Q985" i="2"/>
  <c r="S985" i="2"/>
  <c r="P981" i="2"/>
  <c r="R979" i="2"/>
  <c r="P970" i="2"/>
  <c r="P968" i="2"/>
  <c r="R968" i="2"/>
  <c r="P967" i="2"/>
  <c r="Q967" i="2"/>
  <c r="S967" i="2"/>
  <c r="U967" i="2"/>
  <c r="P962" i="2"/>
  <c r="S961" i="2"/>
  <c r="Q960" i="2"/>
  <c r="P956" i="2"/>
  <c r="Q956" i="2"/>
  <c r="S956" i="2"/>
  <c r="U956" i="2"/>
  <c r="R1109" i="2"/>
  <c r="P1109" i="2"/>
  <c r="Q1107" i="2"/>
  <c r="R1107" i="2"/>
  <c r="R1106" i="2"/>
  <c r="U1105" i="2"/>
  <c r="Q1102" i="2"/>
  <c r="R1101" i="2"/>
  <c r="P1101" i="2"/>
  <c r="S1101" i="2"/>
  <c r="P1100" i="2"/>
  <c r="Q1100" i="2"/>
  <c r="Q1097" i="2"/>
  <c r="S1094" i="2"/>
  <c r="Q1091" i="2"/>
  <c r="R1091" i="2"/>
  <c r="R1090" i="2"/>
  <c r="U1089" i="2"/>
  <c r="Q1086" i="2"/>
  <c r="R1085" i="2"/>
  <c r="P1085" i="2"/>
  <c r="S1085" i="2"/>
  <c r="P1084" i="2"/>
  <c r="Q1084" i="2"/>
  <c r="Q1081" i="2"/>
  <c r="S1078" i="2"/>
  <c r="Q1075" i="2"/>
  <c r="R1075" i="2"/>
  <c r="R1074" i="2"/>
  <c r="U1073" i="2"/>
  <c r="Q1070" i="2"/>
  <c r="R1069" i="2"/>
  <c r="P1069" i="2"/>
  <c r="S1069" i="2"/>
  <c r="P1068" i="2"/>
  <c r="Q1068" i="2"/>
  <c r="Q1065" i="2"/>
  <c r="S1062" i="2"/>
  <c r="Q1059" i="2"/>
  <c r="R1059" i="2"/>
  <c r="R1058" i="2"/>
  <c r="U1057" i="2"/>
  <c r="Q1054" i="2"/>
  <c r="R1053" i="2"/>
  <c r="P1053" i="2"/>
  <c r="S1053" i="2"/>
  <c r="P1052" i="2"/>
  <c r="Q1052" i="2"/>
  <c r="Q1049" i="2"/>
  <c r="P1048" i="2"/>
  <c r="Q1047" i="2"/>
  <c r="R1047" i="2"/>
  <c r="P1045" i="2"/>
  <c r="S1045" i="2"/>
  <c r="Q1044" i="2"/>
  <c r="Q1041" i="2"/>
  <c r="P1040" i="2"/>
  <c r="Q1039" i="2"/>
  <c r="R1039" i="2"/>
  <c r="S1037" i="2"/>
  <c r="Q1036" i="2"/>
  <c r="Q1033" i="2"/>
  <c r="Q1031" i="2"/>
  <c r="R1031" i="2"/>
  <c r="Q1028" i="2"/>
  <c r="Q1025" i="2"/>
  <c r="Q1023" i="2"/>
  <c r="R1023" i="2"/>
  <c r="Q1020" i="2"/>
  <c r="Q1017" i="2"/>
  <c r="Q1015" i="2"/>
  <c r="R1015" i="2"/>
  <c r="P1009" i="2"/>
  <c r="R1009" i="2"/>
  <c r="S1009" i="2"/>
  <c r="Q1007" i="2"/>
  <c r="R1007" i="2"/>
  <c r="S1007" i="2"/>
  <c r="Q1006" i="2"/>
  <c r="P1006" i="2"/>
  <c r="R1006" i="2"/>
  <c r="S1006" i="2"/>
  <c r="R1001" i="2"/>
  <c r="Q1001" i="2"/>
  <c r="S1001" i="2"/>
  <c r="P984" i="2"/>
  <c r="R984" i="2"/>
  <c r="P983" i="2"/>
  <c r="T422" i="8"/>
  <c r="Q983" i="2"/>
  <c r="S983" i="2"/>
  <c r="U983" i="2"/>
  <c r="T399" i="8"/>
  <c r="P978" i="2"/>
  <c r="P972" i="2"/>
  <c r="Q972" i="2"/>
  <c r="S972" i="2"/>
  <c r="U972" i="2"/>
  <c r="P960" i="2"/>
  <c r="P1104" i="2"/>
  <c r="Q1104" i="2"/>
  <c r="Q1095" i="2"/>
  <c r="R1095" i="2"/>
  <c r="P1088" i="2"/>
  <c r="Q1088" i="2"/>
  <c r="Q1079" i="2"/>
  <c r="R1079" i="2"/>
  <c r="P1072" i="2"/>
  <c r="Q1072" i="2"/>
  <c r="Q1063" i="2"/>
  <c r="R1063" i="2"/>
  <c r="P1056" i="2"/>
  <c r="Q1056" i="2"/>
  <c r="P1000" i="2"/>
  <c r="R1000" i="2"/>
  <c r="P999" i="2"/>
  <c r="T283" i="8"/>
  <c r="Q999" i="2"/>
  <c r="S999" i="2"/>
  <c r="U999" i="2"/>
  <c r="T281" i="8"/>
  <c r="U281" i="8"/>
  <c r="T272" i="8"/>
  <c r="P988" i="2"/>
  <c r="Q988" i="2"/>
  <c r="S988" i="2"/>
  <c r="U988" i="2"/>
  <c r="Q984" i="2"/>
  <c r="P961" i="2"/>
  <c r="Q961" i="2"/>
  <c r="Q959" i="2"/>
  <c r="R959" i="2"/>
  <c r="S959" i="2"/>
  <c r="Q958" i="2"/>
  <c r="P958" i="2"/>
  <c r="R958" i="2"/>
  <c r="S958" i="2"/>
  <c r="R953" i="2"/>
  <c r="Q953" i="2"/>
  <c r="S953" i="2"/>
  <c r="Q933" i="2"/>
  <c r="R933" i="2"/>
  <c r="T310" i="8"/>
  <c r="P926" i="2"/>
  <c r="Q926" i="2"/>
  <c r="Q917" i="2"/>
  <c r="R917" i="2"/>
  <c r="Q912" i="2"/>
  <c r="R912" i="2"/>
  <c r="Q904" i="2"/>
  <c r="R904" i="2"/>
  <c r="Q896" i="2"/>
  <c r="R896" i="2"/>
  <c r="Q888" i="2"/>
  <c r="R888" i="2"/>
  <c r="Q880" i="2"/>
  <c r="R880" i="2"/>
  <c r="Q872" i="2"/>
  <c r="R872" i="2"/>
  <c r="P863" i="2"/>
  <c r="R863" i="2"/>
  <c r="S863" i="2"/>
  <c r="S1005" i="2"/>
  <c r="Q1002" i="2"/>
  <c r="S1000" i="2"/>
  <c r="P998" i="2"/>
  <c r="R997" i="2"/>
  <c r="T280" i="8"/>
  <c r="P995" i="2"/>
  <c r="R994" i="2"/>
  <c r="T277" i="8"/>
  <c r="S989" i="2"/>
  <c r="Q986" i="2"/>
  <c r="S984" i="2"/>
  <c r="P982" i="2"/>
  <c r="R981" i="2"/>
  <c r="P979" i="2"/>
  <c r="R978" i="2"/>
  <c r="T392" i="8"/>
  <c r="S973" i="2"/>
  <c r="Q970" i="2"/>
  <c r="S968" i="2"/>
  <c r="P966" i="2"/>
  <c r="R965" i="2"/>
  <c r="P963" i="2"/>
  <c r="R962" i="2"/>
  <c r="S957" i="2"/>
  <c r="Q954" i="2"/>
  <c r="R952" i="2"/>
  <c r="Q951" i="2"/>
  <c r="P950" i="2"/>
  <c r="R949" i="2"/>
  <c r="T240" i="8"/>
  <c r="P947" i="2"/>
  <c r="R946" i="2"/>
  <c r="Q945" i="2"/>
  <c r="T237" i="8"/>
  <c r="S943" i="2"/>
  <c r="T233" i="8"/>
  <c r="S942" i="2"/>
  <c r="S941" i="2"/>
  <c r="Q940" i="2"/>
  <c r="Q938" i="2"/>
  <c r="R936" i="2"/>
  <c r="S936" i="2"/>
  <c r="Q935" i="2"/>
  <c r="P934" i="2"/>
  <c r="Q932" i="2"/>
  <c r="R931" i="2"/>
  <c r="P931" i="2"/>
  <c r="S931" i="2"/>
  <c r="P930" i="2"/>
  <c r="Q930" i="2"/>
  <c r="P928" i="2"/>
  <c r="Q927" i="2"/>
  <c r="S922" i="2"/>
  <c r="Q921" i="2"/>
  <c r="R921" i="2"/>
  <c r="R920" i="2"/>
  <c r="R918" i="2"/>
  <c r="Q916" i="2"/>
  <c r="R915" i="2"/>
  <c r="P915" i="2"/>
  <c r="S915" i="2"/>
  <c r="P913" i="2"/>
  <c r="Q913" i="2"/>
  <c r="R913" i="2"/>
  <c r="R910" i="2"/>
  <c r="S908" i="2"/>
  <c r="P907" i="2"/>
  <c r="R907" i="2"/>
  <c r="S907" i="2"/>
  <c r="P905" i="2"/>
  <c r="Q905" i="2"/>
  <c r="R905" i="2"/>
  <c r="R902" i="2"/>
  <c r="S900" i="2"/>
  <c r="P899" i="2"/>
  <c r="R899" i="2"/>
  <c r="S899" i="2"/>
  <c r="P897" i="2"/>
  <c r="Q897" i="2"/>
  <c r="R897" i="2"/>
  <c r="R894" i="2"/>
  <c r="S892" i="2"/>
  <c r="P891" i="2"/>
  <c r="R891" i="2"/>
  <c r="S891" i="2"/>
  <c r="P889" i="2"/>
  <c r="Q889" i="2"/>
  <c r="R889" i="2"/>
  <c r="R886" i="2"/>
  <c r="S884" i="2"/>
  <c r="P883" i="2"/>
  <c r="R883" i="2"/>
  <c r="S883" i="2"/>
  <c r="P881" i="2"/>
  <c r="Q881" i="2"/>
  <c r="R881" i="2"/>
  <c r="R878" i="2"/>
  <c r="S876" i="2"/>
  <c r="P875" i="2"/>
  <c r="R875" i="2"/>
  <c r="S875" i="2"/>
  <c r="P873" i="2"/>
  <c r="Q873" i="2"/>
  <c r="R873" i="2"/>
  <c r="Q870" i="2"/>
  <c r="R866" i="2"/>
  <c r="S864" i="2"/>
  <c r="P1007" i="2"/>
  <c r="S1002" i="2"/>
  <c r="Q998" i="2"/>
  <c r="S996" i="2"/>
  <c r="Q995" i="2"/>
  <c r="R993" i="2"/>
  <c r="P991" i="2"/>
  <c r="T273" i="8"/>
  <c r="T254" i="8"/>
  <c r="S986" i="2"/>
  <c r="Q982" i="2"/>
  <c r="S980" i="2"/>
  <c r="Q979" i="2"/>
  <c r="R977" i="2"/>
  <c r="P975" i="2"/>
  <c r="T390" i="8"/>
  <c r="S970" i="2"/>
  <c r="Q966" i="2"/>
  <c r="S964" i="2"/>
  <c r="Q963" i="2"/>
  <c r="R961" i="2"/>
  <c r="P959" i="2"/>
  <c r="S954" i="2"/>
  <c r="U951" i="2"/>
  <c r="Q950" i="2"/>
  <c r="S948" i="2"/>
  <c r="Q947" i="2"/>
  <c r="R945" i="2"/>
  <c r="T236" i="8"/>
  <c r="R943" i="2"/>
  <c r="P943" i="2"/>
  <c r="R942" i="2"/>
  <c r="T231" i="8"/>
  <c r="U940" i="2"/>
  <c r="P940" i="2"/>
  <c r="S938" i="2"/>
  <c r="S937" i="2"/>
  <c r="U935" i="2"/>
  <c r="Q934" i="2"/>
  <c r="Q931" i="2"/>
  <c r="S928" i="2"/>
  <c r="S926" i="2"/>
  <c r="Q925" i="2"/>
  <c r="R925" i="2"/>
  <c r="R924" i="2"/>
  <c r="U923" i="2"/>
  <c r="Q920" i="2"/>
  <c r="R919" i="2"/>
  <c r="P919" i="2"/>
  <c r="S919" i="2"/>
  <c r="P918" i="2"/>
  <c r="Q918" i="2"/>
  <c r="Q915" i="2"/>
  <c r="P912" i="2"/>
  <c r="P910" i="2"/>
  <c r="Q908" i="2"/>
  <c r="R908" i="2"/>
  <c r="P904" i="2"/>
  <c r="P902" i="2"/>
  <c r="Q900" i="2"/>
  <c r="R900" i="2"/>
  <c r="P896" i="2"/>
  <c r="P894" i="2"/>
  <c r="Q892" i="2"/>
  <c r="R892" i="2"/>
  <c r="P888" i="2"/>
  <c r="P886" i="2"/>
  <c r="Q884" i="2"/>
  <c r="R884" i="2"/>
  <c r="P880" i="2"/>
  <c r="Q876" i="2"/>
  <c r="R876" i="2"/>
  <c r="P872" i="2"/>
  <c r="P871" i="2"/>
  <c r="R871" i="2"/>
  <c r="S871" i="2"/>
  <c r="P869" i="2"/>
  <c r="Q869" i="2"/>
  <c r="R869" i="2"/>
  <c r="Q866" i="2"/>
  <c r="U863" i="2"/>
  <c r="S1008" i="2"/>
  <c r="Q994" i="2"/>
  <c r="T242" i="8"/>
  <c r="Q978" i="2"/>
  <c r="S976" i="2"/>
  <c r="Q962" i="2"/>
  <c r="S960" i="2"/>
  <c r="Q946" i="2"/>
  <c r="S944" i="2"/>
  <c r="P942" i="2"/>
  <c r="Q937" i="2"/>
  <c r="T380" i="8"/>
  <c r="T378" i="8"/>
  <c r="S933" i="2"/>
  <c r="T376" i="8"/>
  <c r="S932" i="2"/>
  <c r="Q929" i="2"/>
  <c r="R929" i="2"/>
  <c r="U927" i="2"/>
  <c r="R926" i="2"/>
  <c r="P922" i="2"/>
  <c r="Q922" i="2"/>
  <c r="S917" i="2"/>
  <c r="S916" i="2"/>
  <c r="S912" i="2"/>
  <c r="P911" i="2"/>
  <c r="R911" i="2"/>
  <c r="S911" i="2"/>
  <c r="P909" i="2"/>
  <c r="Q909" i="2"/>
  <c r="R909" i="2"/>
  <c r="S904" i="2"/>
  <c r="P903" i="2"/>
  <c r="R903" i="2"/>
  <c r="S903" i="2"/>
  <c r="P901" i="2"/>
  <c r="Q901" i="2"/>
  <c r="R901" i="2"/>
  <c r="S896" i="2"/>
  <c r="P895" i="2"/>
  <c r="R895" i="2"/>
  <c r="S895" i="2"/>
  <c r="P893" i="2"/>
  <c r="Q893" i="2"/>
  <c r="R893" i="2"/>
  <c r="S888" i="2"/>
  <c r="P887" i="2"/>
  <c r="R887" i="2"/>
  <c r="S887" i="2"/>
  <c r="P885" i="2"/>
  <c r="Q885" i="2"/>
  <c r="R885" i="2"/>
  <c r="S880" i="2"/>
  <c r="P879" i="2"/>
  <c r="R879" i="2"/>
  <c r="S879" i="2"/>
  <c r="P877" i="2"/>
  <c r="Q877" i="2"/>
  <c r="R877" i="2"/>
  <c r="S872" i="2"/>
  <c r="P867" i="2"/>
  <c r="R867" i="2"/>
  <c r="S867" i="2"/>
  <c r="P865" i="2"/>
  <c r="Q865" i="2"/>
  <c r="R865" i="2"/>
  <c r="Q914" i="2"/>
  <c r="Q910" i="2"/>
  <c r="Q906" i="2"/>
  <c r="Q902" i="2"/>
  <c r="Q898" i="2"/>
  <c r="Q894" i="2"/>
  <c r="Q890" i="2"/>
  <c r="Q886" i="2"/>
  <c r="Q882" i="2"/>
  <c r="Q878" i="2"/>
  <c r="Q874" i="2"/>
  <c r="R861" i="2"/>
  <c r="P859" i="2"/>
  <c r="R857" i="2"/>
  <c r="P855" i="2"/>
  <c r="R853" i="2"/>
  <c r="P851" i="2"/>
  <c r="R849" i="2"/>
  <c r="P847" i="2"/>
  <c r="R845" i="2"/>
  <c r="S844" i="2"/>
  <c r="S843" i="2"/>
  <c r="P842" i="2"/>
  <c r="S842" i="2"/>
  <c r="Q838" i="2"/>
  <c r="S837" i="2"/>
  <c r="P837" i="2"/>
  <c r="Q836" i="2"/>
  <c r="R836" i="2"/>
  <c r="P834" i="2"/>
  <c r="Q830" i="2"/>
  <c r="S829" i="2"/>
  <c r="P829" i="2"/>
  <c r="Q828" i="2"/>
  <c r="R828" i="2"/>
  <c r="P826" i="2"/>
  <c r="S826" i="2"/>
  <c r="Q822" i="2"/>
  <c r="S821" i="2"/>
  <c r="P821" i="2"/>
  <c r="Q820" i="2"/>
  <c r="R820" i="2"/>
  <c r="P818" i="2"/>
  <c r="S818" i="2"/>
  <c r="Q814" i="2"/>
  <c r="S813" i="2"/>
  <c r="P813" i="2"/>
  <c r="Q812" i="2"/>
  <c r="R812" i="2"/>
  <c r="P810" i="2"/>
  <c r="S810" i="2"/>
  <c r="Q806" i="2"/>
  <c r="S805" i="2"/>
  <c r="P805" i="2"/>
  <c r="Q804" i="2"/>
  <c r="R804" i="2"/>
  <c r="P802" i="2"/>
  <c r="S802" i="2"/>
  <c r="P799" i="2"/>
  <c r="Q798" i="2"/>
  <c r="S797" i="2"/>
  <c r="P797" i="2"/>
  <c r="Q796" i="2"/>
  <c r="R796" i="2"/>
  <c r="R795" i="2"/>
  <c r="Q779" i="2"/>
  <c r="P775" i="2"/>
  <c r="Q775" i="2"/>
  <c r="Q861" i="2"/>
  <c r="S859" i="2"/>
  <c r="Q857" i="2"/>
  <c r="S855" i="2"/>
  <c r="Q853" i="2"/>
  <c r="S851" i="2"/>
  <c r="Q849" i="2"/>
  <c r="S847" i="2"/>
  <c r="Q845" i="2"/>
  <c r="R844" i="2"/>
  <c r="Q843" i="2"/>
  <c r="R843" i="2"/>
  <c r="R842" i="2"/>
  <c r="S839" i="2"/>
  <c r="Q835" i="2"/>
  <c r="R835" i="2"/>
  <c r="R834" i="2"/>
  <c r="S831" i="2"/>
  <c r="Q827" i="2"/>
  <c r="R827" i="2"/>
  <c r="R826" i="2"/>
  <c r="S823" i="2"/>
  <c r="Q819" i="2"/>
  <c r="R819" i="2"/>
  <c r="R818" i="2"/>
  <c r="S815" i="2"/>
  <c r="Q811" i="2"/>
  <c r="R811" i="2"/>
  <c r="R810" i="2"/>
  <c r="S807" i="2"/>
  <c r="R803" i="2"/>
  <c r="R802" i="2"/>
  <c r="S799" i="2"/>
  <c r="R797" i="2"/>
  <c r="P795" i="2"/>
  <c r="P791" i="2"/>
  <c r="Q791" i="2"/>
  <c r="Q789" i="2"/>
  <c r="R789" i="2"/>
  <c r="S789" i="2"/>
  <c r="Q788" i="2"/>
  <c r="P788" i="2"/>
  <c r="R788" i="2"/>
  <c r="S788" i="2"/>
  <c r="R783" i="2"/>
  <c r="Q783" i="2"/>
  <c r="S783" i="2"/>
  <c r="P779" i="2"/>
  <c r="R777" i="2"/>
  <c r="P844" i="2"/>
  <c r="Q842" i="2"/>
  <c r="Q840" i="2"/>
  <c r="R840" i="2"/>
  <c r="Q837" i="2"/>
  <c r="Q834" i="2"/>
  <c r="Q832" i="2"/>
  <c r="R832" i="2"/>
  <c r="Q829" i="2"/>
  <c r="Q826" i="2"/>
  <c r="Q824" i="2"/>
  <c r="R824" i="2"/>
  <c r="Q821" i="2"/>
  <c r="Q818" i="2"/>
  <c r="Q816" i="2"/>
  <c r="R816" i="2"/>
  <c r="Q813" i="2"/>
  <c r="Q810" i="2"/>
  <c r="Q808" i="2"/>
  <c r="R808" i="2"/>
  <c r="Q805" i="2"/>
  <c r="Q800" i="2"/>
  <c r="R800" i="2"/>
  <c r="P782" i="2"/>
  <c r="R782" i="2"/>
  <c r="P781" i="2"/>
  <c r="Q781" i="2"/>
  <c r="S781" i="2"/>
  <c r="U781" i="2"/>
  <c r="R799" i="2"/>
  <c r="R798" i="2"/>
  <c r="P786" i="2"/>
  <c r="Q786" i="2"/>
  <c r="S786" i="2"/>
  <c r="U786" i="2"/>
  <c r="Q782" i="2"/>
  <c r="P793" i="2"/>
  <c r="R792" i="2"/>
  <c r="S787" i="2"/>
  <c r="Q784" i="2"/>
  <c r="P780" i="2"/>
  <c r="R779" i="2"/>
  <c r="P777" i="2"/>
  <c r="R776" i="2"/>
  <c r="S773" i="2"/>
  <c r="S772" i="2"/>
  <c r="S771" i="2"/>
  <c r="Q770" i="2"/>
  <c r="Q768" i="2"/>
  <c r="R766" i="2"/>
  <c r="Q765" i="2"/>
  <c r="P764" i="2"/>
  <c r="R763" i="2"/>
  <c r="P761" i="2"/>
  <c r="R760" i="2"/>
  <c r="Q759" i="2"/>
  <c r="S757" i="2"/>
  <c r="P757" i="2"/>
  <c r="Q756" i="2"/>
  <c r="P755" i="2"/>
  <c r="P754" i="2"/>
  <c r="S751" i="2"/>
  <c r="R749" i="2"/>
  <c r="T748" i="2"/>
  <c r="S748" i="2" s="1"/>
  <c r="Q747" i="2"/>
  <c r="R747" i="2"/>
  <c r="T746" i="2"/>
  <c r="S746" i="2" s="1"/>
  <c r="Q742" i="2"/>
  <c r="P741" i="2"/>
  <c r="P740" i="2"/>
  <c r="P738" i="2"/>
  <c r="Q738" i="2"/>
  <c r="R738" i="2"/>
  <c r="R736" i="2"/>
  <c r="Q736" i="2"/>
  <c r="S733" i="2"/>
  <c r="P728" i="2"/>
  <c r="P727" i="2"/>
  <c r="P710" i="2"/>
  <c r="Q710" i="2"/>
  <c r="R710" i="2"/>
  <c r="S710" i="2"/>
  <c r="S794" i="2"/>
  <c r="Q793" i="2"/>
  <c r="R791" i="2"/>
  <c r="P789" i="2"/>
  <c r="S784" i="2"/>
  <c r="Q780" i="2"/>
  <c r="S778" i="2"/>
  <c r="Q777" i="2"/>
  <c r="R775" i="2"/>
  <c r="R773" i="2"/>
  <c r="P773" i="2"/>
  <c r="R772" i="2"/>
  <c r="U770" i="2"/>
  <c r="P770" i="2"/>
  <c r="S768" i="2"/>
  <c r="U765" i="2"/>
  <c r="Q764" i="2"/>
  <c r="S762" i="2"/>
  <c r="Q761" i="2"/>
  <c r="R759" i="2"/>
  <c r="S755" i="2"/>
  <c r="R753" i="2"/>
  <c r="Q751" i="2"/>
  <c r="R751" i="2"/>
  <c r="S750" i="2"/>
  <c r="R748" i="2"/>
  <c r="R746" i="2"/>
  <c r="Q746" i="2"/>
  <c r="P745" i="2"/>
  <c r="Q744" i="2"/>
  <c r="P743" i="2"/>
  <c r="P742" i="2"/>
  <c r="Q737" i="2"/>
  <c r="R737" i="2"/>
  <c r="S737" i="2"/>
  <c r="Q732" i="2"/>
  <c r="P731" i="2"/>
  <c r="Q731" i="2"/>
  <c r="U731" i="2"/>
  <c r="T723" i="2"/>
  <c r="S723" i="2" s="1"/>
  <c r="R723" i="2"/>
  <c r="T715" i="2"/>
  <c r="S715" i="2" s="1"/>
  <c r="R715" i="2"/>
  <c r="Q792" i="2"/>
  <c r="S790" i="2"/>
  <c r="Q776" i="2"/>
  <c r="S774" i="2"/>
  <c r="P772" i="2"/>
  <c r="Q767" i="2"/>
  <c r="Q760" i="2"/>
  <c r="S758" i="2"/>
  <c r="S756" i="2"/>
  <c r="P749" i="2"/>
  <c r="Q748" i="2"/>
  <c r="S745" i="2"/>
  <c r="S743" i="2"/>
  <c r="S740" i="2"/>
  <c r="P739" i="2"/>
  <c r="Q739" i="2"/>
  <c r="P726" i="2"/>
  <c r="Q726" i="2"/>
  <c r="R726" i="2"/>
  <c r="R724" i="2"/>
  <c r="Q724" i="2"/>
  <c r="P753" i="2"/>
  <c r="S742" i="2"/>
  <c r="T735" i="2"/>
  <c r="S735" i="2" s="1"/>
  <c r="R735" i="2"/>
  <c r="P730" i="2"/>
  <c r="Q730" i="2"/>
  <c r="R730" i="2"/>
  <c r="Q729" i="2"/>
  <c r="R729" i="2"/>
  <c r="S729" i="2"/>
  <c r="Q725" i="2"/>
  <c r="R725" i="2"/>
  <c r="S725" i="2"/>
  <c r="Q723" i="2"/>
  <c r="T718" i="2"/>
  <c r="S718" i="2" s="1"/>
  <c r="R718" i="2"/>
  <c r="S717" i="2"/>
  <c r="P716" i="2"/>
  <c r="Q716" i="2"/>
  <c r="P711" i="2"/>
  <c r="Q711" i="2"/>
  <c r="S711" i="2"/>
  <c r="U711" i="2"/>
  <c r="P735" i="2"/>
  <c r="P734" i="2"/>
  <c r="Q734" i="2"/>
  <c r="S728" i="2"/>
  <c r="P723" i="2"/>
  <c r="P722" i="2"/>
  <c r="Q722" i="2"/>
  <c r="Q719" i="2"/>
  <c r="Q717" i="2"/>
  <c r="R717" i="2"/>
  <c r="R716" i="2"/>
  <c r="P715" i="2"/>
  <c r="P714" i="2"/>
  <c r="Q714" i="2"/>
  <c r="S708" i="2"/>
  <c r="Q705" i="2"/>
  <c r="R705" i="2"/>
  <c r="U703" i="2"/>
  <c r="Q696" i="2"/>
  <c r="P694" i="2"/>
  <c r="Q694" i="2"/>
  <c r="R694" i="2"/>
  <c r="T683" i="2"/>
  <c r="S683" i="2" s="1"/>
  <c r="Q683" i="2"/>
  <c r="Q680" i="2"/>
  <c r="P678" i="2"/>
  <c r="Q678" i="2"/>
  <c r="R678" i="2"/>
  <c r="P674" i="2"/>
  <c r="Q674" i="2"/>
  <c r="R674" i="2"/>
  <c r="Q670" i="2"/>
  <c r="R670" i="2"/>
  <c r="Q666" i="2"/>
  <c r="R666" i="2"/>
  <c r="Q662" i="2"/>
  <c r="R662" i="2"/>
  <c r="Q658" i="2"/>
  <c r="R658" i="2"/>
  <c r="T647" i="2"/>
  <c r="S647" i="2" s="1"/>
  <c r="Q647" i="2"/>
  <c r="S627" i="2"/>
  <c r="Q709" i="2"/>
  <c r="R709" i="2"/>
  <c r="P702" i="2"/>
  <c r="Q702" i="2"/>
  <c r="T695" i="2"/>
  <c r="S695" i="2" s="1"/>
  <c r="Q695" i="2"/>
  <c r="P690" i="2"/>
  <c r="Q690" i="2"/>
  <c r="R690" i="2"/>
  <c r="T679" i="2"/>
  <c r="S679" i="2" s="1"/>
  <c r="Q679" i="2"/>
  <c r="T675" i="2"/>
  <c r="S675" i="2" s="1"/>
  <c r="Q675" i="2"/>
  <c r="T671" i="2"/>
  <c r="S671" i="2" s="1"/>
  <c r="Q671" i="2"/>
  <c r="T667" i="2"/>
  <c r="S667" i="2" s="1"/>
  <c r="Q667" i="2"/>
  <c r="T663" i="2"/>
  <c r="S663" i="2" s="1"/>
  <c r="Q663" i="2"/>
  <c r="T659" i="2"/>
  <c r="S659" i="2" s="1"/>
  <c r="Q659" i="2"/>
  <c r="P654" i="2"/>
  <c r="Q654" i="2"/>
  <c r="R654" i="2"/>
  <c r="S643" i="2"/>
  <c r="S736" i="2"/>
  <c r="S734" i="2"/>
  <c r="Q733" i="2"/>
  <c r="R733" i="2"/>
  <c r="R732" i="2"/>
  <c r="R727" i="2"/>
  <c r="S724" i="2"/>
  <c r="S722" i="2"/>
  <c r="Q721" i="2"/>
  <c r="R721" i="2"/>
  <c r="R720" i="2"/>
  <c r="P719" i="2"/>
  <c r="S719" i="2"/>
  <c r="P718" i="2"/>
  <c r="Q718" i="2"/>
  <c r="Q715" i="2"/>
  <c r="Q713" i="2"/>
  <c r="R713" i="2"/>
  <c r="R712" i="2"/>
  <c r="Q708" i="2"/>
  <c r="R707" i="2"/>
  <c r="P707" i="2"/>
  <c r="S707" i="2"/>
  <c r="P706" i="2"/>
  <c r="Q706" i="2"/>
  <c r="Q703" i="2"/>
  <c r="S700" i="2"/>
  <c r="U696" i="2"/>
  <c r="R696" i="2"/>
  <c r="P695" i="2"/>
  <c r="T691" i="2"/>
  <c r="S691" i="2" s="1"/>
  <c r="Q691" i="2"/>
  <c r="Q688" i="2"/>
  <c r="P686" i="2"/>
  <c r="Q686" i="2"/>
  <c r="R686" i="2"/>
  <c r="S685" i="2"/>
  <c r="Q685" i="2"/>
  <c r="R683" i="2"/>
  <c r="U680" i="2"/>
  <c r="R680" i="2"/>
  <c r="P679" i="2"/>
  <c r="P675" i="2"/>
  <c r="P671" i="2"/>
  <c r="P670" i="2"/>
  <c r="P667" i="2"/>
  <c r="P666" i="2"/>
  <c r="P663" i="2"/>
  <c r="P662" i="2"/>
  <c r="P659" i="2"/>
  <c r="P658" i="2"/>
  <c r="T655" i="2"/>
  <c r="S655" i="2" s="1"/>
  <c r="Q655" i="2"/>
  <c r="Q652" i="2"/>
  <c r="P650" i="2"/>
  <c r="Q650" i="2"/>
  <c r="R650" i="2"/>
  <c r="S649" i="2"/>
  <c r="Q649" i="2"/>
  <c r="R647" i="2"/>
  <c r="Q707" i="2"/>
  <c r="S705" i="2"/>
  <c r="S704" i="2"/>
  <c r="S702" i="2"/>
  <c r="Q701" i="2"/>
  <c r="R701" i="2"/>
  <c r="U699" i="2"/>
  <c r="P698" i="2"/>
  <c r="Q698" i="2"/>
  <c r="Q697" i="2"/>
  <c r="R695" i="2"/>
  <c r="T687" i="2"/>
  <c r="S687" i="2" s="1"/>
  <c r="Q687" i="2"/>
  <c r="Q684" i="2"/>
  <c r="P682" i="2"/>
  <c r="Q682" i="2"/>
  <c r="R682" i="2"/>
  <c r="S681" i="2"/>
  <c r="Q681" i="2"/>
  <c r="R679" i="2"/>
  <c r="R676" i="2"/>
  <c r="U664" i="2"/>
  <c r="U660" i="2"/>
  <c r="R660" i="2"/>
  <c r="R656" i="2"/>
  <c r="T651" i="2"/>
  <c r="S651" i="2" s="1"/>
  <c r="Q651" i="2"/>
  <c r="Q648" i="2"/>
  <c r="S606" i="2"/>
  <c r="U606" i="2"/>
  <c r="P589" i="2"/>
  <c r="Q588" i="2"/>
  <c r="S588" i="2"/>
  <c r="P581" i="2"/>
  <c r="Q581" i="2"/>
  <c r="Q564" i="2"/>
  <c r="P564" i="2"/>
  <c r="Q548" i="2"/>
  <c r="S548" i="2"/>
  <c r="R548" i="2"/>
  <c r="R547" i="2"/>
  <c r="S547" i="2"/>
  <c r="Q547" i="2"/>
  <c r="P545" i="2"/>
  <c r="Q545" i="2"/>
  <c r="U545" i="2"/>
  <c r="S545" i="2"/>
  <c r="P541" i="2"/>
  <c r="Q541" i="2"/>
  <c r="S538" i="2"/>
  <c r="R538" i="2"/>
  <c r="U538" i="2"/>
  <c r="T529" i="2"/>
  <c r="S529" i="2" s="1"/>
  <c r="R529" i="2"/>
  <c r="R496" i="2"/>
  <c r="Q496" i="2"/>
  <c r="S496" i="2"/>
  <c r="P488" i="2"/>
  <c r="Q488" i="2"/>
  <c r="U488" i="2"/>
  <c r="S488" i="2"/>
  <c r="R478" i="2"/>
  <c r="S478" i="2"/>
  <c r="Q470" i="2"/>
  <c r="S470" i="2"/>
  <c r="Q467" i="2"/>
  <c r="P467" i="2"/>
  <c r="S467" i="2"/>
  <c r="R467" i="2"/>
  <c r="Q463" i="2"/>
  <c r="R463" i="2"/>
  <c r="S463" i="2"/>
  <c r="P463" i="2"/>
  <c r="P392" i="2"/>
  <c r="Q392" i="2"/>
  <c r="S392" i="2"/>
  <c r="U392" i="2"/>
  <c r="R392" i="2"/>
  <c r="T388" i="2"/>
  <c r="S388" i="2" s="1"/>
  <c r="R388" i="2"/>
  <c r="Q388" i="2"/>
  <c r="T132" i="8"/>
  <c r="R646" i="2"/>
  <c r="Q643" i="2"/>
  <c r="R642" i="2"/>
  <c r="Q639" i="2"/>
  <c r="R638" i="2"/>
  <c r="Q635" i="2"/>
  <c r="R634" i="2"/>
  <c r="Q631" i="2"/>
  <c r="R630" i="2"/>
  <c r="Q627" i="2"/>
  <c r="Q626" i="2"/>
  <c r="Q624" i="2"/>
  <c r="Q621" i="2"/>
  <c r="R619" i="2"/>
  <c r="R617" i="2"/>
  <c r="P617" i="2"/>
  <c r="P615" i="2"/>
  <c r="R610" i="2"/>
  <c r="T229" i="8"/>
  <c r="T222" i="8"/>
  <c r="R606" i="2"/>
  <c r="P605" i="2"/>
  <c r="Q604" i="2"/>
  <c r="S604" i="2"/>
  <c r="R601" i="2"/>
  <c r="P601" i="2"/>
  <c r="P600" i="2"/>
  <c r="P598" i="2"/>
  <c r="P597" i="2"/>
  <c r="Q597" i="2"/>
  <c r="Q585" i="2"/>
  <c r="S583" i="2"/>
  <c r="R581" i="2"/>
  <c r="Q580" i="2"/>
  <c r="P580" i="2"/>
  <c r="S579" i="2"/>
  <c r="Q576" i="2"/>
  <c r="R576" i="2"/>
  <c r="R571" i="2"/>
  <c r="T570" i="2"/>
  <c r="S570" i="2" s="1"/>
  <c r="Q570" i="2"/>
  <c r="R567" i="2"/>
  <c r="T566" i="2"/>
  <c r="S566" i="2" s="1"/>
  <c r="P555" i="2"/>
  <c r="Q555" i="2"/>
  <c r="Q554" i="2"/>
  <c r="Q552" i="2"/>
  <c r="R552" i="2"/>
  <c r="P549" i="2"/>
  <c r="P547" i="2"/>
  <c r="Q546" i="2"/>
  <c r="S546" i="2"/>
  <c r="U546" i="2"/>
  <c r="U539" i="2"/>
  <c r="S539" i="2"/>
  <c r="P534" i="2"/>
  <c r="T187" i="8"/>
  <c r="U534" i="2"/>
  <c r="R532" i="2"/>
  <c r="Q524" i="2"/>
  <c r="P524" i="2"/>
  <c r="R524" i="2"/>
  <c r="U518" i="8"/>
  <c r="S523" i="2"/>
  <c r="U516" i="8"/>
  <c r="S517" i="2"/>
  <c r="R517" i="2"/>
  <c r="R515" i="2"/>
  <c r="S515" i="2"/>
  <c r="Q515" i="2"/>
  <c r="Q514" i="2"/>
  <c r="P514" i="2"/>
  <c r="S514" i="2"/>
  <c r="U514" i="2"/>
  <c r="R514" i="2"/>
  <c r="R509" i="2"/>
  <c r="S509" i="2"/>
  <c r="P502" i="2"/>
  <c r="Q502" i="2"/>
  <c r="S502" i="2"/>
  <c r="U502" i="2"/>
  <c r="R502" i="2"/>
  <c r="R494" i="2"/>
  <c r="S494" i="2"/>
  <c r="T484" i="2"/>
  <c r="S484" i="2" s="1"/>
  <c r="R484" i="2"/>
  <c r="P447" i="2"/>
  <c r="Q447" i="2"/>
  <c r="R447" i="2"/>
  <c r="S447" i="2"/>
  <c r="T436" i="2"/>
  <c r="S436" i="2" s="1"/>
  <c r="R436" i="2"/>
  <c r="T412" i="2"/>
  <c r="S412" i="2" s="1"/>
  <c r="R412" i="2"/>
  <c r="R697" i="2"/>
  <c r="R693" i="2"/>
  <c r="R689" i="2"/>
  <c r="R685" i="2"/>
  <c r="R681" i="2"/>
  <c r="R677" i="2"/>
  <c r="R673" i="2"/>
  <c r="R669" i="2"/>
  <c r="R665" i="2"/>
  <c r="R661" i="2"/>
  <c r="R657" i="2"/>
  <c r="R653" i="2"/>
  <c r="R649" i="2"/>
  <c r="Q646" i="2"/>
  <c r="R645" i="2"/>
  <c r="Q642" i="2"/>
  <c r="R641" i="2"/>
  <c r="Q638" i="2"/>
  <c r="R637" i="2"/>
  <c r="R633" i="2"/>
  <c r="Q630" i="2"/>
  <c r="R629" i="2"/>
  <c r="U626" i="2"/>
  <c r="S625" i="2"/>
  <c r="S624" i="2"/>
  <c r="S623" i="2"/>
  <c r="Q622" i="2"/>
  <c r="U621" i="2"/>
  <c r="Q620" i="2"/>
  <c r="S618" i="2"/>
  <c r="Q617" i="2"/>
  <c r="P614" i="2"/>
  <c r="S613" i="2"/>
  <c r="P613" i="2"/>
  <c r="Q613" i="2"/>
  <c r="Q610" i="2"/>
  <c r="S609" i="2"/>
  <c r="Q606" i="2"/>
  <c r="T218" i="8"/>
  <c r="Q601" i="2"/>
  <c r="T217" i="8"/>
  <c r="T216" i="8"/>
  <c r="Q596" i="2"/>
  <c r="P596" i="2"/>
  <c r="S595" i="2"/>
  <c r="Q593" i="2"/>
  <c r="Q592" i="2"/>
  <c r="R592" i="2"/>
  <c r="Q591" i="2"/>
  <c r="Q589" i="2"/>
  <c r="S589" i="2"/>
  <c r="R587" i="2"/>
  <c r="S587" i="2"/>
  <c r="T586" i="2"/>
  <c r="S586" i="2" s="1"/>
  <c r="Q586" i="2"/>
  <c r="Q583" i="2"/>
  <c r="R583" i="2"/>
  <c r="T582" i="2"/>
  <c r="S582" i="2" s="1"/>
  <c r="Q579" i="2"/>
  <c r="T574" i="2"/>
  <c r="S574" i="2" s="1"/>
  <c r="P574" i="2"/>
  <c r="U574" i="2"/>
  <c r="R568" i="2"/>
  <c r="P567" i="2"/>
  <c r="R566" i="2"/>
  <c r="S564" i="2"/>
  <c r="R561" i="2"/>
  <c r="P561" i="2"/>
  <c r="S560" i="2"/>
  <c r="Q558" i="2"/>
  <c r="R558" i="2"/>
  <c r="Q553" i="2"/>
  <c r="P551" i="2"/>
  <c r="R551" i="2"/>
  <c r="S551" i="2"/>
  <c r="R545" i="2"/>
  <c r="R543" i="2"/>
  <c r="S543" i="2"/>
  <c r="S541" i="2"/>
  <c r="R541" i="2"/>
  <c r="T540" i="2"/>
  <c r="S540" i="2" s="1"/>
  <c r="R537" i="2"/>
  <c r="Q537" i="2"/>
  <c r="T536" i="2"/>
  <c r="S536" i="2" s="1"/>
  <c r="Q531" i="2"/>
  <c r="R530" i="2"/>
  <c r="Q529" i="2"/>
  <c r="P528" i="2"/>
  <c r="R522" i="2"/>
  <c r="Q520" i="2"/>
  <c r="R520" i="2"/>
  <c r="P520" i="2"/>
  <c r="S520" i="2"/>
  <c r="Q519" i="2"/>
  <c r="P519" i="2"/>
  <c r="Q517" i="2"/>
  <c r="P515" i="2"/>
  <c r="R511" i="2"/>
  <c r="S511" i="2"/>
  <c r="P506" i="2"/>
  <c r="Q506" i="2"/>
  <c r="S506" i="2"/>
  <c r="U506" i="2"/>
  <c r="R506" i="2"/>
  <c r="R500" i="2"/>
  <c r="S500" i="2"/>
  <c r="T499" i="2"/>
  <c r="S499" i="2" s="1"/>
  <c r="R488" i="2"/>
  <c r="T487" i="2"/>
  <c r="S487" i="2" s="1"/>
  <c r="R487" i="2"/>
  <c r="P468" i="2"/>
  <c r="Q468" i="2"/>
  <c r="U468" i="2"/>
  <c r="R468" i="2"/>
  <c r="P452" i="2"/>
  <c r="Q452" i="2"/>
  <c r="U452" i="2"/>
  <c r="Q442" i="2"/>
  <c r="R442" i="2"/>
  <c r="P442" i="2"/>
  <c r="S442" i="2"/>
  <c r="T440" i="2"/>
  <c r="S440" i="2" s="1"/>
  <c r="Q440" i="2"/>
  <c r="R440" i="2"/>
  <c r="P625" i="2"/>
  <c r="R624" i="2"/>
  <c r="Q623" i="2"/>
  <c r="U622" i="2"/>
  <c r="S619" i="2"/>
  <c r="S615" i="2"/>
  <c r="T288" i="8"/>
  <c r="T287" i="8"/>
  <c r="Q612" i="2"/>
  <c r="P612" i="2"/>
  <c r="U610" i="2"/>
  <c r="Q609" i="2"/>
  <c r="Q608" i="2"/>
  <c r="R608" i="2"/>
  <c r="Q607" i="2"/>
  <c r="Q605" i="2"/>
  <c r="S605" i="2"/>
  <c r="R603" i="2"/>
  <c r="S603" i="2"/>
  <c r="S602" i="2"/>
  <c r="R599" i="2"/>
  <c r="Q595" i="2"/>
  <c r="S594" i="2"/>
  <c r="R593" i="2"/>
  <c r="S591" i="2"/>
  <c r="P590" i="2"/>
  <c r="S590" i="2"/>
  <c r="U590" i="2"/>
  <c r="R588" i="2"/>
  <c r="S585" i="2"/>
  <c r="R584" i="2"/>
  <c r="R582" i="2"/>
  <c r="S580" i="2"/>
  <c r="R578" i="2"/>
  <c r="S576" i="2"/>
  <c r="P575" i="2"/>
  <c r="R575" i="2"/>
  <c r="P573" i="2"/>
  <c r="Q572" i="2"/>
  <c r="S572" i="2"/>
  <c r="P570" i="2"/>
  <c r="R569" i="2"/>
  <c r="P569" i="2"/>
  <c r="P566" i="2"/>
  <c r="P565" i="2"/>
  <c r="Q565" i="2"/>
  <c r="R564" i="2"/>
  <c r="P563" i="2"/>
  <c r="Q561" i="2"/>
  <c r="P559" i="2"/>
  <c r="P558" i="2"/>
  <c r="P557" i="2"/>
  <c r="Q557" i="2"/>
  <c r="Q556" i="2"/>
  <c r="P556" i="2"/>
  <c r="S555" i="2"/>
  <c r="Q549" i="2"/>
  <c r="S549" i="2"/>
  <c r="Q543" i="2"/>
  <c r="Q538" i="2"/>
  <c r="R528" i="2"/>
  <c r="R526" i="2"/>
  <c r="P526" i="2"/>
  <c r="R518" i="2"/>
  <c r="T518" i="2"/>
  <c r="S518" i="2" s="1"/>
  <c r="Q511" i="2"/>
  <c r="R505" i="2"/>
  <c r="Q505" i="2"/>
  <c r="S505" i="2"/>
  <c r="T504" i="2"/>
  <c r="S504" i="2" s="1"/>
  <c r="R485" i="2"/>
  <c r="P485" i="2"/>
  <c r="T296" i="8"/>
  <c r="T215" i="8"/>
  <c r="Q540" i="2"/>
  <c r="P540" i="2"/>
  <c r="Q536" i="2"/>
  <c r="R536" i="2"/>
  <c r="R531" i="2"/>
  <c r="S531" i="2"/>
  <c r="Q530" i="2"/>
  <c r="S530" i="2"/>
  <c r="R527" i="2"/>
  <c r="S522" i="2"/>
  <c r="R521" i="2"/>
  <c r="P518" i="2"/>
  <c r="U518" i="2"/>
  <c r="S513" i="2"/>
  <c r="P501" i="2"/>
  <c r="U498" i="2"/>
  <c r="S498" i="2"/>
  <c r="P497" i="2"/>
  <c r="S497" i="2"/>
  <c r="U497" i="2"/>
  <c r="Q493" i="2"/>
  <c r="P486" i="2"/>
  <c r="P484" i="2"/>
  <c r="Q484" i="2"/>
  <c r="Q483" i="2"/>
  <c r="P483" i="2"/>
  <c r="R473" i="2"/>
  <c r="R470" i="2"/>
  <c r="Q466" i="2"/>
  <c r="Q461" i="2"/>
  <c r="Q459" i="2"/>
  <c r="R459" i="2"/>
  <c r="S459" i="2"/>
  <c r="P450" i="2"/>
  <c r="Q450" i="2"/>
  <c r="U445" i="2"/>
  <c r="Q428" i="2"/>
  <c r="P428" i="2"/>
  <c r="R428" i="2"/>
  <c r="R419" i="2"/>
  <c r="S419" i="2"/>
  <c r="Q418" i="2"/>
  <c r="R418" i="2"/>
  <c r="P418" i="2"/>
  <c r="S418" i="2"/>
  <c r="P416" i="2"/>
  <c r="Q416" i="2"/>
  <c r="S416" i="2"/>
  <c r="U416" i="2"/>
  <c r="R413" i="2"/>
  <c r="Q413" i="2"/>
  <c r="S413" i="2"/>
  <c r="T146" i="8"/>
  <c r="Q394" i="2"/>
  <c r="R394" i="2"/>
  <c r="S394" i="2"/>
  <c r="Q370" i="2"/>
  <c r="R370" i="2"/>
  <c r="P370" i="2"/>
  <c r="S370" i="2"/>
  <c r="R519" i="2"/>
  <c r="P517" i="2"/>
  <c r="U511" i="8"/>
  <c r="Q516" i="2"/>
  <c r="S516" i="2"/>
  <c r="P509" i="2"/>
  <c r="Q509" i="2"/>
  <c r="P500" i="2"/>
  <c r="Q500" i="2"/>
  <c r="S493" i="2"/>
  <c r="U493" i="2"/>
  <c r="P492" i="2"/>
  <c r="Q492" i="2"/>
  <c r="Q491" i="2"/>
  <c r="S491" i="2"/>
  <c r="Q478" i="2"/>
  <c r="Q475" i="2"/>
  <c r="R475" i="2"/>
  <c r="P472" i="2"/>
  <c r="U472" i="2"/>
  <c r="S472" i="2"/>
  <c r="T471" i="2"/>
  <c r="S471" i="2" s="1"/>
  <c r="R471" i="2"/>
  <c r="R464" i="2"/>
  <c r="S461" i="2"/>
  <c r="U461" i="2"/>
  <c r="R458" i="2"/>
  <c r="Q458" i="2"/>
  <c r="S458" i="2"/>
  <c r="R454" i="2"/>
  <c r="S454" i="2"/>
  <c r="P454" i="2"/>
  <c r="P448" i="2"/>
  <c r="S448" i="2"/>
  <c r="U448" i="2"/>
  <c r="R448" i="2"/>
  <c r="Q438" i="2"/>
  <c r="R438" i="2"/>
  <c r="P432" i="2"/>
  <c r="Q432" i="2"/>
  <c r="S432" i="2"/>
  <c r="U432" i="2"/>
  <c r="P421" i="2"/>
  <c r="Q421" i="2"/>
  <c r="S421" i="2"/>
  <c r="U421" i="2"/>
  <c r="R421" i="2"/>
  <c r="Q402" i="2"/>
  <c r="P402" i="2"/>
  <c r="R402" i="2"/>
  <c r="Q616" i="2"/>
  <c r="S614" i="2"/>
  <c r="R611" i="2"/>
  <c r="P609" i="2"/>
  <c r="Q600" i="2"/>
  <c r="S598" i="2"/>
  <c r="R595" i="2"/>
  <c r="P593" i="2"/>
  <c r="Q584" i="2"/>
  <c r="R579" i="2"/>
  <c r="P577" i="2"/>
  <c r="Q568" i="2"/>
  <c r="R563" i="2"/>
  <c r="Q562" i="2"/>
  <c r="S562" i="2"/>
  <c r="R559" i="2"/>
  <c r="S554" i="2"/>
  <c r="R553" i="2"/>
  <c r="P550" i="2"/>
  <c r="S550" i="2"/>
  <c r="U550" i="2"/>
  <c r="R544" i="2"/>
  <c r="R542" i="2"/>
  <c r="T189" i="8"/>
  <c r="P535" i="2"/>
  <c r="R535" i="2"/>
  <c r="P533" i="2"/>
  <c r="Q532" i="2"/>
  <c r="S532" i="2"/>
  <c r="P530" i="2"/>
  <c r="P529" i="2"/>
  <c r="P525" i="2"/>
  <c r="Q525" i="2"/>
  <c r="P523" i="2"/>
  <c r="S521" i="2"/>
  <c r="Q518" i="2"/>
  <c r="Q513" i="2"/>
  <c r="Q508" i="2"/>
  <c r="P508" i="2"/>
  <c r="S507" i="2"/>
  <c r="Q504" i="2"/>
  <c r="R504" i="2"/>
  <c r="Q503" i="2"/>
  <c r="Q501" i="2"/>
  <c r="S501" i="2"/>
  <c r="Q498" i="2"/>
  <c r="Q490" i="2"/>
  <c r="R489" i="2"/>
  <c r="P482" i="2"/>
  <c r="Q482" i="2"/>
  <c r="Q479" i="2"/>
  <c r="R479" i="2"/>
  <c r="R477" i="2"/>
  <c r="P476" i="2"/>
  <c r="R474" i="2"/>
  <c r="S474" i="2"/>
  <c r="T473" i="2"/>
  <c r="S473" i="2" s="1"/>
  <c r="R472" i="2"/>
  <c r="P470" i="2"/>
  <c r="S465" i="2"/>
  <c r="R465" i="2"/>
  <c r="Q462" i="2"/>
  <c r="P462" i="2"/>
  <c r="R461" i="2"/>
  <c r="S455" i="2"/>
  <c r="Q454" i="2"/>
  <c r="Q453" i="2"/>
  <c r="P453" i="2"/>
  <c r="T452" i="2"/>
  <c r="S452" i="2" s="1"/>
  <c r="R452" i="2"/>
  <c r="P435" i="2"/>
  <c r="Q435" i="2"/>
  <c r="S435" i="2"/>
  <c r="R422" i="2"/>
  <c r="T422" i="2"/>
  <c r="S422" i="2" s="1"/>
  <c r="P376" i="2"/>
  <c r="Q376" i="2"/>
  <c r="S376" i="2"/>
  <c r="U376" i="2"/>
  <c r="R376" i="2"/>
  <c r="Q560" i="2"/>
  <c r="S558" i="2"/>
  <c r="R555" i="2"/>
  <c r="P553" i="2"/>
  <c r="Q544" i="2"/>
  <c r="S542" i="2"/>
  <c r="R539" i="2"/>
  <c r="P537" i="2"/>
  <c r="Q528" i="2"/>
  <c r="S526" i="2"/>
  <c r="R523" i="2"/>
  <c r="P521" i="2"/>
  <c r="U513" i="8"/>
  <c r="Q512" i="2"/>
  <c r="S510" i="2"/>
  <c r="R507" i="2"/>
  <c r="P505" i="2"/>
  <c r="Q499" i="2"/>
  <c r="P499" i="2"/>
  <c r="Q495" i="2"/>
  <c r="R495" i="2"/>
  <c r="Q494" i="2"/>
  <c r="S492" i="2"/>
  <c r="R490" i="2"/>
  <c r="S490" i="2"/>
  <c r="Q489" i="2"/>
  <c r="S489" i="2"/>
  <c r="R486" i="2"/>
  <c r="S481" i="2"/>
  <c r="R480" i="2"/>
  <c r="P477" i="2"/>
  <c r="S477" i="2"/>
  <c r="U477" i="2"/>
  <c r="R469" i="2"/>
  <c r="R462" i="2"/>
  <c r="R460" i="2"/>
  <c r="S460" i="2"/>
  <c r="P457" i="2"/>
  <c r="Q457" i="2"/>
  <c r="S457" i="2"/>
  <c r="U457" i="2"/>
  <c r="P456" i="2"/>
  <c r="S456" i="2"/>
  <c r="U456" i="2"/>
  <c r="P441" i="2"/>
  <c r="Q441" i="2"/>
  <c r="S441" i="2"/>
  <c r="P436" i="2"/>
  <c r="Q436" i="2"/>
  <c r="P431" i="2"/>
  <c r="Q431" i="2"/>
  <c r="R431" i="2"/>
  <c r="S431" i="2"/>
  <c r="S429" i="2"/>
  <c r="R425" i="2"/>
  <c r="S425" i="2"/>
  <c r="P422" i="2"/>
  <c r="Q422" i="2"/>
  <c r="U422" i="2"/>
  <c r="R409" i="2"/>
  <c r="S409" i="2"/>
  <c r="P409" i="2"/>
  <c r="T407" i="2"/>
  <c r="S407" i="2" s="1"/>
  <c r="R407" i="2"/>
  <c r="P385" i="2"/>
  <c r="Q378" i="2"/>
  <c r="R378" i="2"/>
  <c r="S378" i="2"/>
  <c r="R498" i="2"/>
  <c r="P496" i="2"/>
  <c r="Q487" i="2"/>
  <c r="S485" i="2"/>
  <c r="R482" i="2"/>
  <c r="P480" i="2"/>
  <c r="Q471" i="2"/>
  <c r="R466" i="2"/>
  <c r="P464" i="2"/>
  <c r="Q455" i="2"/>
  <c r="S453" i="2"/>
  <c r="R450" i="2"/>
  <c r="S449" i="2"/>
  <c r="Q446" i="2"/>
  <c r="R446" i="2"/>
  <c r="R445" i="2"/>
  <c r="U444" i="2"/>
  <c r="P440" i="2"/>
  <c r="P439" i="2"/>
  <c r="Q439" i="2"/>
  <c r="S433" i="2"/>
  <c r="Q430" i="2"/>
  <c r="R430" i="2"/>
  <c r="Q424" i="2"/>
  <c r="R424" i="2"/>
  <c r="S424" i="2"/>
  <c r="R416" i="2"/>
  <c r="P407" i="2"/>
  <c r="Q407" i="2"/>
  <c r="Q400" i="2"/>
  <c r="P389" i="2"/>
  <c r="P373" i="2"/>
  <c r="P460" i="2"/>
  <c r="Q451" i="2"/>
  <c r="P443" i="2"/>
  <c r="Q443" i="2"/>
  <c r="S437" i="2"/>
  <c r="Q434" i="2"/>
  <c r="R434" i="2"/>
  <c r="Q429" i="2"/>
  <c r="R429" i="2"/>
  <c r="P427" i="2"/>
  <c r="Q427" i="2"/>
  <c r="P426" i="2"/>
  <c r="S426" i="2"/>
  <c r="U426" i="2"/>
  <c r="R423" i="2"/>
  <c r="Q423" i="2"/>
  <c r="Q417" i="2"/>
  <c r="P417" i="2"/>
  <c r="Q405" i="2"/>
  <c r="R404" i="2"/>
  <c r="P404" i="2"/>
  <c r="Q404" i="2"/>
  <c r="Q399" i="2"/>
  <c r="R399" i="2"/>
  <c r="S399" i="2"/>
  <c r="T143" i="8"/>
  <c r="S398" i="2"/>
  <c r="S389" i="2"/>
  <c r="U389" i="2"/>
  <c r="Q383" i="2"/>
  <c r="R383" i="2"/>
  <c r="S383" i="2"/>
  <c r="S382" i="2"/>
  <c r="S373" i="2"/>
  <c r="U373" i="2"/>
  <c r="P429" i="2"/>
  <c r="T147" i="8"/>
  <c r="Q420" i="2"/>
  <c r="R417" i="2"/>
  <c r="R415" i="2"/>
  <c r="P412" i="2"/>
  <c r="Q412" i="2"/>
  <c r="U412" i="2"/>
  <c r="P411" i="2"/>
  <c r="U411" i="2"/>
  <c r="P408" i="2"/>
  <c r="P397" i="2"/>
  <c r="T396" i="2"/>
  <c r="S396" i="2" s="1"/>
  <c r="R396" i="2"/>
  <c r="P393" i="2"/>
  <c r="Q386" i="2"/>
  <c r="R386" i="2"/>
  <c r="S386" i="2"/>
  <c r="R385" i="2"/>
  <c r="R384" i="2"/>
  <c r="P381" i="2"/>
  <c r="T380" i="2"/>
  <c r="S380" i="2" s="1"/>
  <c r="R380" i="2"/>
  <c r="P377" i="2"/>
  <c r="R427" i="2"/>
  <c r="P425" i="2"/>
  <c r="Q414" i="2"/>
  <c r="R414" i="2"/>
  <c r="S414" i="2"/>
  <c r="P405" i="2"/>
  <c r="Q403" i="2"/>
  <c r="R403" i="2"/>
  <c r="P401" i="2"/>
  <c r="Q401" i="2"/>
  <c r="P400" i="2"/>
  <c r="S400" i="2"/>
  <c r="U400" i="2"/>
  <c r="Q391" i="2"/>
  <c r="R391" i="2"/>
  <c r="S391" i="2"/>
  <c r="P384" i="2"/>
  <c r="Q384" i="2"/>
  <c r="Q375" i="2"/>
  <c r="R375" i="2"/>
  <c r="P419" i="2"/>
  <c r="Q410" i="2"/>
  <c r="R405" i="2"/>
  <c r="P403" i="2"/>
  <c r="P399" i="2"/>
  <c r="Q398" i="2"/>
  <c r="R398" i="2"/>
  <c r="P396" i="2"/>
  <c r="Q395" i="2"/>
  <c r="P391" i="2"/>
  <c r="Q390" i="2"/>
  <c r="R390" i="2"/>
  <c r="T139" i="8"/>
  <c r="P388" i="2"/>
  <c r="Q387" i="2"/>
  <c r="P383" i="2"/>
  <c r="Q382" i="2"/>
  <c r="R382" i="2"/>
  <c r="P380" i="2"/>
  <c r="Q379" i="2"/>
  <c r="P375" i="2"/>
  <c r="Q374" i="2"/>
  <c r="R374" i="2"/>
  <c r="R373" i="2"/>
  <c r="U372" i="2"/>
  <c r="P415" i="2"/>
  <c r="Q406" i="2"/>
  <c r="S404" i="2"/>
  <c r="R401" i="2"/>
  <c r="R397" i="2"/>
  <c r="S393" i="2"/>
  <c r="R389" i="2"/>
  <c r="S385" i="2"/>
  <c r="R381" i="2"/>
  <c r="S377" i="2"/>
  <c r="P371" i="2"/>
  <c r="Q371" i="2"/>
  <c r="N1444" i="8"/>
  <c r="Q4" i="8"/>
  <c r="R4" i="8"/>
  <c r="U2" i="8"/>
  <c r="V2" i="8"/>
  <c r="T148" i="8"/>
  <c r="U148" i="8"/>
  <c r="T149" i="8"/>
  <c r="U149" i="8"/>
  <c r="T150" i="8"/>
  <c r="U150" i="8"/>
  <c r="T151" i="8"/>
  <c r="U151" i="8"/>
  <c r="T152" i="8"/>
  <c r="U152" i="8"/>
  <c r="T153" i="8"/>
  <c r="U153" i="8"/>
  <c r="T154" i="8"/>
  <c r="U154" i="8"/>
  <c r="T155" i="8"/>
  <c r="U155" i="8"/>
  <c r="T156" i="8"/>
  <c r="U156" i="8"/>
  <c r="T157" i="8"/>
  <c r="U157" i="8"/>
  <c r="T168" i="8"/>
  <c r="U168" i="8"/>
  <c r="T169" i="8"/>
  <c r="U169" i="8"/>
  <c r="T170" i="8"/>
  <c r="U170" i="8"/>
  <c r="T171" i="8"/>
  <c r="U171" i="8"/>
  <c r="T172" i="8"/>
  <c r="U172" i="8"/>
  <c r="T173" i="8"/>
  <c r="U173" i="8"/>
  <c r="T174" i="8"/>
  <c r="U174" i="8"/>
  <c r="T175" i="8"/>
  <c r="U175" i="8"/>
  <c r="T176" i="8"/>
  <c r="U176" i="8"/>
  <c r="T177" i="8"/>
  <c r="U177" i="8"/>
  <c r="T182" i="8"/>
  <c r="U182" i="8"/>
  <c r="T183" i="8"/>
  <c r="U183" i="8"/>
  <c r="T184" i="8"/>
  <c r="U184" i="8"/>
  <c r="T185" i="8"/>
  <c r="U185" i="8"/>
  <c r="T186" i="8"/>
  <c r="U186" i="8"/>
  <c r="T191" i="8"/>
  <c r="U191" i="8"/>
  <c r="T192" i="8"/>
  <c r="U192" i="8"/>
  <c r="T193" i="8"/>
  <c r="U193" i="8"/>
  <c r="T194" i="8"/>
  <c r="U194" i="8"/>
  <c r="T195" i="8"/>
  <c r="U195" i="8"/>
  <c r="T196" i="8"/>
  <c r="U196" i="8"/>
  <c r="T197" i="8"/>
  <c r="U197" i="8"/>
  <c r="T198" i="8"/>
  <c r="U198" i="8"/>
  <c r="T199" i="8"/>
  <c r="U199" i="8"/>
  <c r="T201" i="8"/>
  <c r="U201" i="8"/>
  <c r="T202" i="8"/>
  <c r="U202" i="8"/>
  <c r="T203" i="8"/>
  <c r="U203" i="8"/>
  <c r="T204" i="8"/>
  <c r="U204" i="8"/>
  <c r="T205" i="8"/>
  <c r="U205" i="8"/>
  <c r="T206" i="8"/>
  <c r="U206" i="8"/>
  <c r="T207" i="8"/>
  <c r="U207" i="8"/>
  <c r="T208" i="8"/>
  <c r="U208" i="8"/>
  <c r="T209" i="8"/>
  <c r="U209" i="8"/>
  <c r="T210" i="8"/>
  <c r="U210" i="8"/>
  <c r="T211" i="8"/>
  <c r="U211" i="8"/>
  <c r="T212" i="8"/>
  <c r="U212" i="8"/>
  <c r="T213" i="8"/>
  <c r="U213" i="8"/>
  <c r="T214" i="8"/>
  <c r="U214" i="8"/>
  <c r="T223" i="8"/>
  <c r="U223" i="8"/>
  <c r="T224" i="8"/>
  <c r="U224" i="8"/>
  <c r="T225" i="8"/>
  <c r="U225" i="8"/>
  <c r="T226" i="8"/>
  <c r="U226" i="8"/>
  <c r="T227" i="8"/>
  <c r="U227" i="8"/>
  <c r="T228" i="8"/>
  <c r="U228" i="8"/>
  <c r="T234" i="8"/>
  <c r="U234" i="8"/>
  <c r="T235" i="8"/>
  <c r="U235" i="8"/>
  <c r="T244" i="8"/>
  <c r="U244" i="8"/>
  <c r="T245" i="8"/>
  <c r="U245" i="8"/>
  <c r="T246" i="8"/>
  <c r="U246" i="8"/>
  <c r="T247" i="8"/>
  <c r="U247" i="8"/>
  <c r="T248" i="8"/>
  <c r="U248" i="8"/>
  <c r="T249" i="8"/>
  <c r="U249" i="8"/>
  <c r="T250" i="8"/>
  <c r="U250" i="8"/>
  <c r="T251" i="8"/>
  <c r="U251" i="8"/>
  <c r="T252" i="8"/>
  <c r="U252" i="8"/>
  <c r="T253" i="8"/>
  <c r="U253" i="8"/>
  <c r="T255" i="8"/>
  <c r="U255" i="8"/>
  <c r="T256" i="8"/>
  <c r="U256" i="8"/>
  <c r="T257" i="8"/>
  <c r="U257" i="8"/>
  <c r="T258" i="8"/>
  <c r="U258" i="8"/>
  <c r="T259" i="8"/>
  <c r="U259" i="8"/>
  <c r="T260" i="8"/>
  <c r="U260" i="8"/>
  <c r="T261" i="8"/>
  <c r="U261" i="8"/>
  <c r="T262" i="8"/>
  <c r="U262" i="8"/>
  <c r="T263" i="8"/>
  <c r="U263" i="8"/>
  <c r="T264" i="8"/>
  <c r="U264" i="8"/>
  <c r="T265" i="8"/>
  <c r="U265" i="8"/>
  <c r="T266" i="8"/>
  <c r="U266" i="8"/>
  <c r="T267" i="8"/>
  <c r="U267" i="8"/>
  <c r="T268" i="8"/>
  <c r="U268" i="8"/>
  <c r="T269" i="8"/>
  <c r="U269" i="8"/>
  <c r="T270" i="8"/>
  <c r="U270" i="8"/>
  <c r="T271" i="8"/>
  <c r="U271" i="8"/>
  <c r="T293" i="8"/>
  <c r="U293" i="8"/>
  <c r="T294" i="8"/>
  <c r="U294" i="8"/>
  <c r="T295" i="8"/>
  <c r="U295" i="8"/>
  <c r="T301" i="8"/>
  <c r="U301" i="8"/>
  <c r="T302" i="8"/>
  <c r="U302" i="8"/>
  <c r="T303" i="8"/>
  <c r="U303" i="8"/>
  <c r="T304" i="8"/>
  <c r="U304" i="8"/>
  <c r="T305" i="8"/>
  <c r="U305" i="8"/>
  <c r="T306" i="8"/>
  <c r="U306" i="8"/>
  <c r="T307" i="8"/>
  <c r="U307" i="8"/>
  <c r="T308" i="8"/>
  <c r="U308" i="8"/>
  <c r="T309" i="8"/>
  <c r="U309" i="8"/>
  <c r="T311" i="8"/>
  <c r="U311" i="8"/>
  <c r="T312" i="8"/>
  <c r="U312" i="8"/>
  <c r="T313" i="8"/>
  <c r="U313" i="8"/>
  <c r="T314" i="8"/>
  <c r="U314" i="8"/>
  <c r="T315" i="8"/>
  <c r="U315" i="8"/>
  <c r="T316" i="8"/>
  <c r="U316" i="8"/>
  <c r="T317" i="8"/>
  <c r="U317" i="8"/>
  <c r="T318" i="8"/>
  <c r="U318" i="8"/>
  <c r="T319" i="8"/>
  <c r="U319" i="8"/>
  <c r="T320" i="8"/>
  <c r="U320" i="8"/>
  <c r="T321" i="8"/>
  <c r="U321" i="8"/>
  <c r="T322" i="8"/>
  <c r="U322" i="8"/>
  <c r="T323" i="8"/>
  <c r="U323" i="8"/>
  <c r="T324" i="8"/>
  <c r="U324" i="8"/>
  <c r="T325" i="8"/>
  <c r="U325" i="8"/>
  <c r="T326" i="8"/>
  <c r="U326" i="8"/>
  <c r="T327" i="8"/>
  <c r="U327" i="8"/>
  <c r="T328" i="8"/>
  <c r="U328" i="8"/>
  <c r="T329" i="8"/>
  <c r="U329" i="8"/>
  <c r="T330" i="8"/>
  <c r="U330" i="8"/>
  <c r="T331" i="8"/>
  <c r="U331" i="8"/>
  <c r="T332" i="8"/>
  <c r="U332" i="8"/>
  <c r="T333" i="8"/>
  <c r="U333" i="8"/>
  <c r="T334" i="8"/>
  <c r="U334" i="8"/>
  <c r="T335" i="8"/>
  <c r="U335" i="8"/>
  <c r="T336" i="8"/>
  <c r="U336" i="8"/>
  <c r="T337" i="8"/>
  <c r="U337" i="8"/>
  <c r="T338" i="8"/>
  <c r="U338" i="8"/>
  <c r="T339" i="8"/>
  <c r="U339" i="8"/>
  <c r="T340" i="8"/>
  <c r="U340" i="8"/>
  <c r="T341" i="8"/>
  <c r="U341" i="8"/>
  <c r="T342" i="8"/>
  <c r="U342" i="8"/>
  <c r="T343" i="8"/>
  <c r="U343" i="8"/>
  <c r="T344" i="8"/>
  <c r="U344" i="8"/>
  <c r="T345" i="8"/>
  <c r="U345" i="8"/>
  <c r="T346" i="8"/>
  <c r="U346" i="8"/>
  <c r="T347" i="8"/>
  <c r="U347" i="8"/>
  <c r="T348" i="8"/>
  <c r="U348" i="8"/>
  <c r="T349" i="8"/>
  <c r="U349" i="8"/>
  <c r="T350" i="8"/>
  <c r="U350" i="8"/>
  <c r="T351" i="8"/>
  <c r="U351" i="8"/>
  <c r="T352" i="8"/>
  <c r="U352" i="8"/>
  <c r="T353" i="8"/>
  <c r="U353" i="8"/>
  <c r="T354" i="8"/>
  <c r="U354" i="8"/>
  <c r="T355" i="8"/>
  <c r="U355" i="8"/>
  <c r="T356" i="8"/>
  <c r="U356" i="8"/>
  <c r="T357" i="8"/>
  <c r="U357" i="8"/>
  <c r="T358" i="8"/>
  <c r="U358" i="8"/>
  <c r="T359" i="8"/>
  <c r="U359" i="8"/>
  <c r="T360" i="8"/>
  <c r="U360" i="8"/>
  <c r="T361" i="8"/>
  <c r="U361" i="8"/>
  <c r="T362" i="8"/>
  <c r="U362" i="8"/>
  <c r="T363" i="8"/>
  <c r="U363" i="8"/>
  <c r="T364" i="8"/>
  <c r="U364" i="8"/>
  <c r="T365" i="8"/>
  <c r="U365" i="8"/>
  <c r="T366" i="8"/>
  <c r="U366" i="8"/>
  <c r="T367" i="8"/>
  <c r="U367" i="8"/>
  <c r="T368" i="8"/>
  <c r="U368" i="8"/>
  <c r="T369" i="8"/>
  <c r="U369" i="8"/>
  <c r="T370" i="8"/>
  <c r="U370" i="8"/>
  <c r="T371" i="8"/>
  <c r="U371" i="8"/>
  <c r="T372" i="8"/>
  <c r="U372" i="8"/>
  <c r="T373" i="8"/>
  <c r="U373" i="8"/>
  <c r="T374" i="8"/>
  <c r="U374" i="8"/>
  <c r="T375" i="8"/>
  <c r="U375" i="8"/>
  <c r="T384" i="8"/>
  <c r="U384" i="8"/>
  <c r="T385" i="8"/>
  <c r="U385" i="8"/>
  <c r="T386" i="8"/>
  <c r="U386" i="8"/>
  <c r="T387" i="8"/>
  <c r="U387" i="8"/>
  <c r="T388" i="8"/>
  <c r="U388" i="8"/>
  <c r="T389" i="8"/>
  <c r="U389" i="8"/>
  <c r="T394" i="8"/>
  <c r="U394" i="8"/>
  <c r="T395" i="8"/>
  <c r="U395" i="8"/>
  <c r="T396" i="8"/>
  <c r="U396" i="8"/>
  <c r="T144" i="8"/>
  <c r="T400" i="8"/>
  <c r="U400" i="8"/>
  <c r="T401" i="8"/>
  <c r="U401" i="8"/>
  <c r="T402" i="8"/>
  <c r="U402" i="8"/>
  <c r="T403" i="8"/>
  <c r="U403" i="8"/>
  <c r="T404" i="8"/>
  <c r="U404" i="8"/>
  <c r="T405" i="8"/>
  <c r="U405" i="8"/>
  <c r="T406" i="8"/>
  <c r="U406" i="8"/>
  <c r="T407" i="8"/>
  <c r="U407" i="8"/>
  <c r="T408" i="8"/>
  <c r="U408" i="8"/>
  <c r="T409" i="8"/>
  <c r="U409" i="8"/>
  <c r="T410" i="8"/>
  <c r="U410" i="8"/>
  <c r="T411" i="8"/>
  <c r="U411" i="8"/>
  <c r="T412" i="8"/>
  <c r="U412" i="8"/>
  <c r="T413" i="8"/>
  <c r="U413" i="8"/>
  <c r="T414" i="8"/>
  <c r="U414" i="8"/>
  <c r="T415" i="8"/>
  <c r="U415" i="8"/>
  <c r="T416" i="8"/>
  <c r="U416" i="8"/>
  <c r="T417" i="8"/>
  <c r="U417" i="8"/>
  <c r="T418" i="8"/>
  <c r="U418" i="8"/>
  <c r="T419" i="8"/>
  <c r="U419" i="8"/>
  <c r="T420" i="8"/>
  <c r="U420" i="8"/>
  <c r="T427" i="8"/>
  <c r="U427" i="8"/>
  <c r="T178" i="8"/>
  <c r="T434" i="8"/>
  <c r="U434" i="8"/>
  <c r="T435" i="8"/>
  <c r="U435" i="8"/>
  <c r="T436" i="8"/>
  <c r="U436" i="8"/>
  <c r="T437" i="8"/>
  <c r="U437" i="8"/>
  <c r="T438" i="8"/>
  <c r="U438" i="8"/>
  <c r="T439" i="8"/>
  <c r="U439" i="8"/>
  <c r="T440" i="8"/>
  <c r="U440" i="8"/>
  <c r="T441" i="8"/>
  <c r="U441" i="8"/>
  <c r="T442" i="8"/>
  <c r="U442" i="8"/>
  <c r="T443" i="8"/>
  <c r="U443" i="8"/>
  <c r="T444" i="8"/>
  <c r="U444" i="8"/>
  <c r="T445" i="8"/>
  <c r="U445" i="8"/>
  <c r="T446" i="8"/>
  <c r="U446" i="8"/>
  <c r="T447" i="8"/>
  <c r="U447" i="8"/>
  <c r="T448" i="8"/>
  <c r="U448" i="8"/>
  <c r="T449" i="8"/>
  <c r="U449" i="8"/>
  <c r="T450" i="8"/>
  <c r="U450" i="8"/>
  <c r="T451" i="8"/>
  <c r="U451" i="8"/>
  <c r="T452" i="8"/>
  <c r="U452" i="8"/>
  <c r="T453" i="8"/>
  <c r="U453" i="8"/>
  <c r="T454" i="8"/>
  <c r="U454" i="8"/>
  <c r="T455" i="8"/>
  <c r="U455" i="8"/>
  <c r="T456" i="8"/>
  <c r="U456" i="8"/>
  <c r="T457" i="8"/>
  <c r="U457" i="8"/>
  <c r="T458" i="8"/>
  <c r="U458" i="8"/>
  <c r="T459" i="8"/>
  <c r="U459" i="8"/>
  <c r="T460" i="8"/>
  <c r="U460" i="8"/>
  <c r="T461" i="8"/>
  <c r="U461" i="8"/>
  <c r="T462" i="8"/>
  <c r="U462" i="8"/>
  <c r="T463" i="8"/>
  <c r="U463" i="8"/>
  <c r="T464" i="8"/>
  <c r="U464" i="8"/>
  <c r="T465" i="8"/>
  <c r="U465" i="8"/>
  <c r="T466" i="8"/>
  <c r="U466" i="8"/>
  <c r="T467" i="8"/>
  <c r="U467" i="8"/>
  <c r="T468" i="8"/>
  <c r="U468" i="8"/>
  <c r="T469" i="8"/>
  <c r="U469" i="8"/>
  <c r="T470" i="8"/>
  <c r="U470" i="8"/>
  <c r="T471" i="8"/>
  <c r="U471" i="8"/>
  <c r="T472" i="8"/>
  <c r="U472" i="8"/>
  <c r="T473" i="8"/>
  <c r="U473" i="8"/>
  <c r="T474" i="8"/>
  <c r="U474" i="8"/>
  <c r="T475" i="8"/>
  <c r="U475" i="8"/>
  <c r="T476" i="8"/>
  <c r="U476" i="8"/>
  <c r="T477" i="8"/>
  <c r="U477" i="8"/>
  <c r="T478" i="8"/>
  <c r="U478" i="8"/>
  <c r="T479" i="8"/>
  <c r="U479" i="8"/>
  <c r="T480" i="8"/>
  <c r="U480" i="8"/>
  <c r="T481" i="8"/>
  <c r="U481" i="8"/>
  <c r="T482" i="8"/>
  <c r="U482" i="8"/>
  <c r="T483" i="8"/>
  <c r="U483" i="8"/>
  <c r="T484" i="8"/>
  <c r="U484" i="8"/>
  <c r="T485" i="8"/>
  <c r="U485" i="8"/>
  <c r="T486" i="8"/>
  <c r="U486" i="8"/>
  <c r="T487" i="8"/>
  <c r="U487" i="8"/>
  <c r="T488" i="8"/>
  <c r="U488" i="8"/>
  <c r="T489" i="8"/>
  <c r="U489" i="8"/>
  <c r="T490" i="8"/>
  <c r="U490" i="8"/>
  <c r="T491" i="8"/>
  <c r="U491" i="8"/>
  <c r="T492" i="8"/>
  <c r="U492" i="8"/>
  <c r="T493" i="8"/>
  <c r="U493" i="8"/>
  <c r="T494" i="8"/>
  <c r="U494" i="8"/>
  <c r="T495" i="8"/>
  <c r="U495" i="8"/>
  <c r="T496" i="8"/>
  <c r="U496" i="8"/>
  <c r="T497" i="8"/>
  <c r="U497" i="8"/>
  <c r="T498" i="8"/>
  <c r="U498" i="8"/>
  <c r="T499" i="8"/>
  <c r="U499" i="8"/>
  <c r="T500" i="8"/>
  <c r="U500" i="8"/>
  <c r="T501" i="8"/>
  <c r="U501" i="8"/>
  <c r="T502" i="8"/>
  <c r="U502" i="8"/>
  <c r="T503" i="8"/>
  <c r="U503" i="8"/>
  <c r="T504" i="8"/>
  <c r="U504" i="8"/>
  <c r="T505" i="8"/>
  <c r="U505" i="8"/>
  <c r="T506" i="8"/>
  <c r="U506" i="8"/>
  <c r="T507" i="8"/>
  <c r="U507" i="8"/>
  <c r="T508" i="8"/>
  <c r="U508" i="8"/>
  <c r="T510" i="8"/>
  <c r="U510" i="8"/>
  <c r="T511" i="8"/>
  <c r="T512" i="8"/>
  <c r="U512" i="8"/>
  <c r="T513" i="8"/>
  <c r="T514" i="8"/>
  <c r="U514" i="8"/>
  <c r="T515" i="8"/>
  <c r="U515" i="8"/>
  <c r="T516" i="8"/>
  <c r="T517" i="8"/>
  <c r="U517" i="8"/>
  <c r="T518" i="8"/>
  <c r="T519" i="8"/>
  <c r="U519" i="8"/>
  <c r="T520" i="8"/>
  <c r="U520" i="8"/>
  <c r="T521" i="8"/>
  <c r="U521" i="8"/>
  <c r="T179" i="8"/>
  <c r="T188" i="8"/>
  <c r="T543" i="8"/>
  <c r="U543" i="8"/>
  <c r="T544" i="8"/>
  <c r="U544" i="8"/>
  <c r="T545" i="8"/>
  <c r="U545" i="8"/>
  <c r="T546" i="8"/>
  <c r="U546" i="8"/>
  <c r="T547" i="8"/>
  <c r="U547" i="8"/>
  <c r="T548" i="8"/>
  <c r="U548" i="8"/>
  <c r="T549" i="8"/>
  <c r="U549" i="8"/>
  <c r="T550" i="8"/>
  <c r="U550" i="8"/>
  <c r="T551" i="8"/>
  <c r="U551" i="8"/>
  <c r="T552" i="8"/>
  <c r="U552" i="8"/>
  <c r="T553" i="8"/>
  <c r="U553" i="8"/>
  <c r="T554" i="8"/>
  <c r="U554" i="8"/>
  <c r="T555" i="8"/>
  <c r="U555" i="8"/>
  <c r="T556" i="8"/>
  <c r="U556" i="8"/>
  <c r="T557" i="8"/>
  <c r="U557" i="8"/>
  <c r="T558" i="8"/>
  <c r="U558" i="8"/>
  <c r="T559" i="8"/>
  <c r="U559" i="8"/>
  <c r="T560" i="8"/>
  <c r="U560" i="8"/>
  <c r="T561" i="8"/>
  <c r="U561" i="8"/>
  <c r="T562" i="8"/>
  <c r="U562" i="8"/>
  <c r="T563" i="8"/>
  <c r="U563" i="8"/>
  <c r="T564" i="8"/>
  <c r="U564" i="8"/>
  <c r="T565" i="8"/>
  <c r="U565" i="8"/>
  <c r="T566" i="8"/>
  <c r="U566" i="8"/>
  <c r="T567" i="8"/>
  <c r="U567" i="8"/>
  <c r="T568" i="8"/>
  <c r="U568" i="8"/>
  <c r="T569" i="8"/>
  <c r="U569" i="8"/>
  <c r="T570" i="8"/>
  <c r="U570" i="8"/>
  <c r="T571" i="8"/>
  <c r="U571" i="8"/>
  <c r="T572" i="8"/>
  <c r="U572" i="8"/>
  <c r="T573" i="8"/>
  <c r="U573" i="8"/>
  <c r="T574" i="8"/>
  <c r="U574" i="8"/>
  <c r="T575" i="8"/>
  <c r="U575" i="8"/>
  <c r="T576" i="8"/>
  <c r="U576" i="8"/>
  <c r="T577" i="8"/>
  <c r="U577" i="8"/>
  <c r="T578" i="8"/>
  <c r="U578" i="8"/>
  <c r="T579" i="8"/>
  <c r="U579" i="8"/>
  <c r="T580" i="8"/>
  <c r="U580" i="8"/>
  <c r="T581" i="8"/>
  <c r="U581" i="8"/>
  <c r="T582" i="8"/>
  <c r="U582" i="8"/>
  <c r="T583" i="8"/>
  <c r="U583" i="8"/>
  <c r="T584" i="8"/>
  <c r="U584" i="8"/>
  <c r="T585" i="8"/>
  <c r="U585" i="8"/>
  <c r="T586" i="8"/>
  <c r="U586" i="8"/>
  <c r="T587" i="8"/>
  <c r="U587" i="8"/>
  <c r="T588" i="8"/>
  <c r="U588" i="8"/>
  <c r="T589" i="8"/>
  <c r="U589" i="8"/>
  <c r="T590" i="8"/>
  <c r="U590" i="8"/>
  <c r="T591" i="8"/>
  <c r="U591" i="8"/>
  <c r="T594" i="8"/>
  <c r="U594" i="8"/>
  <c r="T595" i="8"/>
  <c r="U595" i="8"/>
  <c r="T598" i="8"/>
  <c r="U598" i="8"/>
  <c r="T599" i="8"/>
  <c r="U599" i="8"/>
  <c r="T602" i="8"/>
  <c r="U602" i="8"/>
  <c r="T613" i="8"/>
  <c r="U613" i="8"/>
  <c r="T614" i="8"/>
  <c r="U614" i="8"/>
  <c r="T615" i="8"/>
  <c r="U615" i="8"/>
  <c r="T616" i="8"/>
  <c r="U616" i="8"/>
  <c r="T617" i="8"/>
  <c r="U617" i="8"/>
  <c r="T618" i="8"/>
  <c r="U618" i="8"/>
  <c r="T619" i="8"/>
  <c r="U619" i="8"/>
  <c r="T620" i="8"/>
  <c r="U620" i="8"/>
  <c r="T621" i="8"/>
  <c r="U621" i="8"/>
  <c r="T622" i="8"/>
  <c r="U622" i="8"/>
  <c r="T623" i="8"/>
  <c r="U623" i="8"/>
  <c r="T624" i="8"/>
  <c r="U624" i="8"/>
  <c r="T625" i="8"/>
  <c r="U625" i="8"/>
  <c r="T626" i="8"/>
  <c r="U626" i="8"/>
  <c r="T627" i="8"/>
  <c r="U627" i="8"/>
  <c r="T628" i="8"/>
  <c r="U628" i="8"/>
  <c r="T629" i="8"/>
  <c r="U629" i="8"/>
  <c r="T630" i="8"/>
  <c r="U630" i="8"/>
  <c r="T631" i="8"/>
  <c r="U631" i="8"/>
  <c r="T632" i="8"/>
  <c r="U632" i="8"/>
  <c r="T633" i="8"/>
  <c r="U633" i="8"/>
  <c r="T634" i="8"/>
  <c r="U634" i="8"/>
  <c r="T635" i="8"/>
  <c r="U635" i="8"/>
  <c r="T636" i="8"/>
  <c r="U636" i="8"/>
  <c r="T637" i="8"/>
  <c r="U637" i="8"/>
  <c r="T638" i="8"/>
  <c r="U638" i="8"/>
  <c r="T639" i="8"/>
  <c r="U639" i="8"/>
  <c r="T640" i="8"/>
  <c r="U640" i="8"/>
  <c r="T641" i="8"/>
  <c r="U641" i="8"/>
  <c r="T642" i="8"/>
  <c r="U642" i="8"/>
  <c r="T643" i="8"/>
  <c r="U643" i="8"/>
  <c r="T644" i="8"/>
  <c r="U644" i="8"/>
  <c r="T645" i="8"/>
  <c r="U645" i="8"/>
  <c r="T646" i="8"/>
  <c r="U646" i="8"/>
  <c r="T647" i="8"/>
  <c r="U647" i="8"/>
  <c r="T648" i="8"/>
  <c r="U648" i="8"/>
  <c r="T649" i="8"/>
  <c r="U649" i="8"/>
  <c r="T650" i="8"/>
  <c r="U650" i="8"/>
  <c r="T651" i="8"/>
  <c r="U651" i="8"/>
  <c r="T652" i="8"/>
  <c r="U652" i="8"/>
  <c r="T653" i="8"/>
  <c r="U653" i="8"/>
  <c r="T654" i="8"/>
  <c r="U654" i="8"/>
  <c r="T655" i="8"/>
  <c r="U655" i="8"/>
  <c r="T656" i="8"/>
  <c r="U656" i="8"/>
  <c r="T657" i="8"/>
  <c r="U657" i="8"/>
  <c r="T658" i="8"/>
  <c r="U658" i="8"/>
  <c r="T659" i="8"/>
  <c r="U659" i="8"/>
  <c r="T660" i="8"/>
  <c r="U660" i="8"/>
  <c r="T661" i="8"/>
  <c r="U661" i="8"/>
  <c r="T662" i="8"/>
  <c r="U662" i="8"/>
  <c r="T663" i="8"/>
  <c r="U663" i="8"/>
  <c r="T664" i="8"/>
  <c r="U664" i="8"/>
  <c r="T665" i="8"/>
  <c r="U665" i="8"/>
  <c r="T666" i="8"/>
  <c r="U666" i="8"/>
  <c r="T667" i="8"/>
  <c r="U667" i="8"/>
  <c r="T668" i="8"/>
  <c r="U668" i="8"/>
  <c r="T669" i="8"/>
  <c r="U669" i="8"/>
  <c r="T670" i="8"/>
  <c r="U670" i="8"/>
  <c r="T671" i="8"/>
  <c r="U671" i="8"/>
  <c r="T672" i="8"/>
  <c r="U672" i="8"/>
  <c r="T673" i="8"/>
  <c r="U673" i="8"/>
  <c r="T674" i="8"/>
  <c r="U674" i="8"/>
  <c r="T675" i="8"/>
  <c r="U675" i="8"/>
  <c r="T676" i="8"/>
  <c r="U676" i="8"/>
  <c r="T677" i="8"/>
  <c r="U677" i="8"/>
  <c r="T678" i="8"/>
  <c r="U678" i="8"/>
  <c r="T679" i="8"/>
  <c r="U679" i="8"/>
  <c r="T680" i="8"/>
  <c r="U680" i="8"/>
  <c r="T681" i="8"/>
  <c r="U681" i="8"/>
  <c r="T682" i="8"/>
  <c r="U682" i="8"/>
  <c r="T683" i="8"/>
  <c r="U683" i="8"/>
  <c r="T684" i="8"/>
  <c r="U684" i="8"/>
  <c r="T685" i="8"/>
  <c r="U685" i="8"/>
  <c r="T686" i="8"/>
  <c r="U686" i="8"/>
  <c r="T687" i="8"/>
  <c r="U687" i="8"/>
  <c r="T688" i="8"/>
  <c r="U688" i="8"/>
  <c r="T689" i="8"/>
  <c r="U689" i="8"/>
  <c r="T690" i="8"/>
  <c r="U690" i="8"/>
  <c r="T691" i="8"/>
  <c r="U691" i="8"/>
  <c r="T692" i="8"/>
  <c r="U692" i="8"/>
  <c r="T693" i="8"/>
  <c r="U693" i="8"/>
  <c r="T694" i="8"/>
  <c r="U694" i="8"/>
  <c r="T695" i="8"/>
  <c r="U695" i="8"/>
  <c r="T696" i="8"/>
  <c r="U696" i="8"/>
  <c r="T697" i="8"/>
  <c r="U697" i="8"/>
  <c r="T698" i="8"/>
  <c r="U698" i="8"/>
  <c r="T699" i="8"/>
  <c r="U699" i="8"/>
  <c r="T700" i="8"/>
  <c r="U700" i="8"/>
  <c r="T701" i="8"/>
  <c r="U701" i="8"/>
  <c r="T702" i="8"/>
  <c r="U702" i="8"/>
  <c r="T703" i="8"/>
  <c r="U703" i="8"/>
  <c r="T704" i="8"/>
  <c r="U704" i="8"/>
  <c r="T705" i="8"/>
  <c r="U705" i="8"/>
  <c r="T706" i="8"/>
  <c r="U706" i="8"/>
  <c r="T707" i="8"/>
  <c r="U707" i="8"/>
  <c r="T708" i="8"/>
  <c r="U708" i="8"/>
  <c r="T709" i="8"/>
  <c r="U709" i="8"/>
  <c r="T710" i="8"/>
  <c r="U710" i="8"/>
  <c r="T711" i="8"/>
  <c r="U711" i="8"/>
  <c r="T712" i="8"/>
  <c r="U712" i="8"/>
  <c r="T713" i="8"/>
  <c r="U713" i="8"/>
  <c r="T714" i="8"/>
  <c r="U714" i="8"/>
  <c r="T715" i="8"/>
  <c r="U715" i="8"/>
  <c r="T716" i="8"/>
  <c r="U716" i="8"/>
  <c r="T717" i="8"/>
  <c r="U717" i="8"/>
  <c r="T718" i="8"/>
  <c r="U718" i="8"/>
  <c r="T719" i="8"/>
  <c r="U719" i="8"/>
  <c r="T720" i="8"/>
  <c r="U720" i="8"/>
  <c r="T721" i="8"/>
  <c r="U721" i="8"/>
  <c r="T722" i="8"/>
  <c r="U722" i="8"/>
  <c r="T723" i="8"/>
  <c r="U723" i="8"/>
  <c r="T724" i="8"/>
  <c r="U724" i="8"/>
  <c r="T725" i="8"/>
  <c r="U725" i="8"/>
  <c r="T726" i="8"/>
  <c r="U726" i="8"/>
  <c r="T727" i="8"/>
  <c r="U727" i="8"/>
  <c r="T728" i="8"/>
  <c r="U728" i="8"/>
  <c r="T729" i="8"/>
  <c r="U729" i="8"/>
  <c r="T730" i="8"/>
  <c r="U730" i="8"/>
  <c r="T731" i="8"/>
  <c r="U731" i="8"/>
  <c r="T732" i="8"/>
  <c r="U732" i="8"/>
  <c r="T733" i="8"/>
  <c r="U733" i="8"/>
  <c r="T734" i="8"/>
  <c r="U734" i="8"/>
  <c r="T735" i="8"/>
  <c r="U735" i="8"/>
  <c r="T736" i="8"/>
  <c r="U736" i="8"/>
  <c r="T737" i="8"/>
  <c r="U737" i="8"/>
  <c r="T738" i="8"/>
  <c r="U738" i="8"/>
  <c r="T739" i="8"/>
  <c r="U739" i="8"/>
  <c r="T740" i="8"/>
  <c r="U740" i="8"/>
  <c r="T741" i="8"/>
  <c r="U741" i="8"/>
  <c r="T742" i="8"/>
  <c r="U742" i="8"/>
  <c r="T743" i="8"/>
  <c r="U743" i="8"/>
  <c r="T744" i="8"/>
  <c r="U744" i="8"/>
  <c r="T745" i="8"/>
  <c r="U745" i="8"/>
  <c r="T746" i="8"/>
  <c r="U746" i="8"/>
  <c r="T747" i="8"/>
  <c r="U747" i="8"/>
  <c r="T748" i="8"/>
  <c r="U748" i="8"/>
  <c r="T749" i="8"/>
  <c r="U749" i="8"/>
  <c r="T750" i="8"/>
  <c r="U750" i="8"/>
  <c r="T751" i="8"/>
  <c r="U751" i="8"/>
  <c r="T752" i="8"/>
  <c r="U752" i="8"/>
  <c r="T753" i="8"/>
  <c r="U753" i="8"/>
  <c r="T754" i="8"/>
  <c r="U754" i="8"/>
  <c r="T755" i="8"/>
  <c r="U755" i="8"/>
  <c r="T756" i="8"/>
  <c r="U756" i="8"/>
  <c r="T757" i="8"/>
  <c r="U757" i="8"/>
  <c r="T758" i="8"/>
  <c r="U758" i="8"/>
  <c r="T759" i="8"/>
  <c r="U759" i="8"/>
  <c r="T760" i="8"/>
  <c r="U760" i="8"/>
  <c r="T761" i="8"/>
  <c r="U761" i="8"/>
  <c r="T762" i="8"/>
  <c r="U762" i="8"/>
  <c r="T763" i="8"/>
  <c r="U763" i="8"/>
  <c r="T764" i="8"/>
  <c r="U764" i="8"/>
  <c r="T765" i="8"/>
  <c r="U765" i="8"/>
  <c r="T766" i="8"/>
  <c r="U766" i="8"/>
  <c r="T767" i="8"/>
  <c r="U767" i="8"/>
  <c r="T768" i="8"/>
  <c r="U768" i="8"/>
  <c r="T769" i="8"/>
  <c r="U769" i="8"/>
  <c r="T770" i="8"/>
  <c r="U770" i="8"/>
  <c r="T771" i="8"/>
  <c r="U771" i="8"/>
  <c r="T772" i="8"/>
  <c r="U772" i="8"/>
  <c r="T773" i="8"/>
  <c r="U773" i="8"/>
  <c r="T774" i="8"/>
  <c r="U774" i="8"/>
  <c r="T775" i="8"/>
  <c r="U775" i="8"/>
  <c r="T776" i="8"/>
  <c r="U776" i="8"/>
  <c r="T777" i="8"/>
  <c r="U777" i="8"/>
  <c r="T778" i="8"/>
  <c r="U778" i="8"/>
  <c r="T779" i="8"/>
  <c r="U779" i="8"/>
  <c r="T780" i="8"/>
  <c r="U780" i="8"/>
  <c r="T781" i="8"/>
  <c r="U781" i="8"/>
  <c r="T782" i="8"/>
  <c r="U782" i="8"/>
  <c r="T783" i="8"/>
  <c r="U783" i="8"/>
  <c r="T784" i="8"/>
  <c r="U784" i="8"/>
  <c r="T785" i="8"/>
  <c r="U785" i="8"/>
  <c r="T786" i="8"/>
  <c r="U786" i="8"/>
  <c r="T787" i="8"/>
  <c r="U787" i="8"/>
  <c r="T788" i="8"/>
  <c r="U788" i="8"/>
  <c r="T789" i="8"/>
  <c r="U789" i="8"/>
  <c r="T790" i="8"/>
  <c r="U790" i="8"/>
  <c r="T791" i="8"/>
  <c r="U791" i="8"/>
  <c r="T792" i="8"/>
  <c r="U792" i="8"/>
  <c r="T793" i="8"/>
  <c r="U793" i="8"/>
  <c r="T794" i="8"/>
  <c r="U794" i="8"/>
  <c r="T795" i="8"/>
  <c r="U795" i="8"/>
  <c r="T796" i="8"/>
  <c r="U796" i="8"/>
  <c r="T797" i="8"/>
  <c r="U797" i="8"/>
  <c r="T798" i="8"/>
  <c r="U798" i="8"/>
  <c r="T799" i="8"/>
  <c r="U799" i="8"/>
  <c r="T800" i="8"/>
  <c r="U800" i="8"/>
  <c r="T801" i="8"/>
  <c r="U801" i="8"/>
  <c r="T802" i="8"/>
  <c r="U802" i="8"/>
  <c r="T803" i="8"/>
  <c r="U803" i="8"/>
  <c r="T804" i="8"/>
  <c r="U804" i="8"/>
  <c r="T805" i="8"/>
  <c r="U805" i="8"/>
  <c r="T806" i="8"/>
  <c r="U806" i="8"/>
  <c r="T807" i="8"/>
  <c r="U807" i="8"/>
  <c r="T808" i="8"/>
  <c r="U808" i="8"/>
  <c r="T809" i="8"/>
  <c r="U809" i="8"/>
  <c r="T810" i="8"/>
  <c r="U810" i="8"/>
  <c r="T811" i="8"/>
  <c r="U811" i="8"/>
  <c r="T812" i="8"/>
  <c r="U812" i="8"/>
  <c r="T813" i="8"/>
  <c r="U813" i="8"/>
  <c r="T814" i="8"/>
  <c r="U814" i="8"/>
  <c r="T815" i="8"/>
  <c r="U815" i="8"/>
  <c r="T816" i="8"/>
  <c r="U816" i="8"/>
  <c r="T817" i="8"/>
  <c r="U817" i="8"/>
  <c r="T818" i="8"/>
  <c r="U818" i="8"/>
  <c r="T819" i="8"/>
  <c r="U819" i="8"/>
  <c r="T820" i="8"/>
  <c r="U820" i="8"/>
  <c r="T821" i="8"/>
  <c r="U821" i="8"/>
  <c r="T822" i="8"/>
  <c r="U822" i="8"/>
  <c r="T823" i="8"/>
  <c r="U823" i="8"/>
  <c r="T824" i="8"/>
  <c r="U824" i="8"/>
  <c r="T825" i="8"/>
  <c r="U825" i="8"/>
  <c r="T826" i="8"/>
  <c r="U826" i="8"/>
  <c r="T827" i="8"/>
  <c r="U827" i="8"/>
  <c r="T828" i="8"/>
  <c r="U828" i="8"/>
  <c r="T829" i="8"/>
  <c r="U829" i="8"/>
  <c r="T830" i="8"/>
  <c r="U830" i="8"/>
  <c r="T831" i="8"/>
  <c r="U831" i="8"/>
  <c r="T832" i="8"/>
  <c r="U832" i="8"/>
  <c r="T833" i="8"/>
  <c r="U833" i="8"/>
  <c r="T834" i="8"/>
  <c r="U834" i="8"/>
  <c r="T835" i="8"/>
  <c r="U835" i="8"/>
  <c r="T836" i="8"/>
  <c r="U836" i="8"/>
  <c r="T837" i="8"/>
  <c r="U837" i="8"/>
  <c r="T838" i="8"/>
  <c r="U838" i="8"/>
  <c r="T839" i="8"/>
  <c r="U839" i="8"/>
  <c r="T840" i="8"/>
  <c r="U840" i="8"/>
  <c r="T841" i="8"/>
  <c r="U841" i="8"/>
  <c r="T842" i="8"/>
  <c r="U842" i="8"/>
  <c r="T843" i="8"/>
  <c r="U843" i="8"/>
  <c r="T844" i="8"/>
  <c r="U844" i="8"/>
  <c r="T845" i="8"/>
  <c r="U845" i="8"/>
  <c r="T846" i="8"/>
  <c r="U846" i="8"/>
  <c r="T847" i="8"/>
  <c r="U847" i="8"/>
  <c r="T848" i="8"/>
  <c r="U848" i="8"/>
  <c r="T849" i="8"/>
  <c r="U849" i="8"/>
  <c r="T850" i="8"/>
  <c r="U850" i="8"/>
  <c r="T851" i="8"/>
  <c r="U851" i="8"/>
  <c r="T852" i="8"/>
  <c r="U852" i="8"/>
  <c r="T853" i="8"/>
  <c r="U853" i="8"/>
  <c r="T854" i="8"/>
  <c r="U854" i="8"/>
  <c r="T855" i="8"/>
  <c r="U855" i="8"/>
  <c r="T856" i="8"/>
  <c r="U856" i="8"/>
  <c r="T857" i="8"/>
  <c r="U857" i="8"/>
  <c r="T858" i="8"/>
  <c r="U858" i="8"/>
  <c r="T859" i="8"/>
  <c r="U859" i="8"/>
  <c r="T860" i="8"/>
  <c r="U860" i="8"/>
  <c r="T861" i="8"/>
  <c r="U861" i="8"/>
  <c r="T862" i="8"/>
  <c r="U862" i="8"/>
  <c r="T863" i="8"/>
  <c r="U863" i="8"/>
  <c r="T864" i="8"/>
  <c r="U864" i="8"/>
  <c r="T865" i="8"/>
  <c r="U865" i="8"/>
  <c r="T866" i="8"/>
  <c r="U866" i="8"/>
  <c r="T867" i="8"/>
  <c r="U867" i="8"/>
  <c r="T868" i="8"/>
  <c r="U868" i="8"/>
  <c r="T869" i="8"/>
  <c r="U869" i="8"/>
  <c r="T870" i="8"/>
  <c r="U870" i="8"/>
  <c r="T871" i="8"/>
  <c r="U871" i="8"/>
  <c r="T872" i="8"/>
  <c r="U872" i="8"/>
  <c r="T873" i="8"/>
  <c r="U873" i="8"/>
  <c r="T874" i="8"/>
  <c r="U874" i="8"/>
  <c r="T875" i="8"/>
  <c r="U875" i="8"/>
  <c r="T876" i="8"/>
  <c r="U876" i="8"/>
  <c r="T877" i="8"/>
  <c r="U877" i="8"/>
  <c r="T878" i="8"/>
  <c r="U878" i="8"/>
  <c r="T879" i="8"/>
  <c r="U879" i="8"/>
  <c r="T880" i="8"/>
  <c r="U880" i="8"/>
  <c r="T881" i="8"/>
  <c r="U881" i="8"/>
  <c r="T882" i="8"/>
  <c r="U882" i="8"/>
  <c r="T883" i="8"/>
  <c r="U883" i="8"/>
  <c r="T884" i="8"/>
  <c r="U884" i="8"/>
  <c r="T885" i="8"/>
  <c r="U885" i="8"/>
  <c r="T886" i="8"/>
  <c r="U886" i="8"/>
  <c r="T887" i="8"/>
  <c r="U887" i="8"/>
  <c r="T888" i="8"/>
  <c r="U888" i="8"/>
  <c r="T889" i="8"/>
  <c r="U889" i="8"/>
  <c r="T890" i="8"/>
  <c r="U890" i="8"/>
  <c r="T891" i="8"/>
  <c r="U891" i="8"/>
  <c r="T892" i="8"/>
  <c r="U892" i="8"/>
  <c r="T893" i="8"/>
  <c r="U893" i="8"/>
  <c r="T894" i="8"/>
  <c r="U894" i="8"/>
  <c r="T895" i="8"/>
  <c r="U895" i="8"/>
  <c r="T896" i="8"/>
  <c r="U896" i="8"/>
  <c r="T897" i="8"/>
  <c r="U897" i="8"/>
  <c r="T898" i="8"/>
  <c r="U898" i="8"/>
  <c r="T899" i="8"/>
  <c r="U899" i="8"/>
  <c r="T900" i="8"/>
  <c r="U900" i="8"/>
  <c r="T901" i="8"/>
  <c r="U901" i="8"/>
  <c r="T902" i="8"/>
  <c r="U902" i="8"/>
  <c r="T903" i="8"/>
  <c r="U903" i="8"/>
  <c r="T904" i="8"/>
  <c r="U904" i="8"/>
  <c r="T905" i="8"/>
  <c r="U905" i="8"/>
  <c r="T906" i="8"/>
  <c r="U906" i="8"/>
  <c r="T907" i="8"/>
  <c r="U907" i="8"/>
  <c r="T908" i="8"/>
  <c r="U908" i="8"/>
  <c r="T909" i="8"/>
  <c r="U909" i="8"/>
  <c r="T910" i="8"/>
  <c r="U910" i="8"/>
  <c r="T911" i="8"/>
  <c r="U911" i="8"/>
  <c r="T912" i="8"/>
  <c r="U912" i="8"/>
  <c r="T913" i="8"/>
  <c r="U913" i="8"/>
  <c r="T914" i="8"/>
  <c r="U914" i="8"/>
  <c r="T915" i="8"/>
  <c r="U915" i="8"/>
  <c r="T916" i="8"/>
  <c r="U916" i="8"/>
  <c r="T917" i="8"/>
  <c r="U917" i="8"/>
  <c r="T918" i="8"/>
  <c r="U918" i="8"/>
  <c r="T919" i="8"/>
  <c r="U919" i="8"/>
  <c r="T920" i="8"/>
  <c r="U920" i="8"/>
  <c r="T921" i="8"/>
  <c r="U921" i="8"/>
  <c r="T922" i="8"/>
  <c r="U922" i="8"/>
  <c r="T923" i="8"/>
  <c r="U923" i="8"/>
  <c r="T924" i="8"/>
  <c r="U924" i="8"/>
  <c r="T925" i="8"/>
  <c r="U925" i="8"/>
  <c r="T238" i="8"/>
  <c r="T239" i="8"/>
  <c r="T944" i="8"/>
  <c r="U944" i="8"/>
  <c r="T945" i="8"/>
  <c r="U945" i="8"/>
  <c r="T946" i="8"/>
  <c r="U946" i="8"/>
  <c r="T947" i="8"/>
  <c r="U947" i="8"/>
  <c r="T948" i="8"/>
  <c r="U948" i="8"/>
  <c r="T949" i="8"/>
  <c r="U949" i="8"/>
  <c r="T950" i="8"/>
  <c r="U950" i="8"/>
  <c r="T951" i="8"/>
  <c r="U951" i="8"/>
  <c r="T952" i="8"/>
  <c r="U952" i="8"/>
  <c r="T953" i="8"/>
  <c r="U953" i="8"/>
  <c r="T954" i="8"/>
  <c r="U954" i="8"/>
  <c r="T955" i="8"/>
  <c r="U955" i="8"/>
  <c r="T956" i="8"/>
  <c r="U956" i="8"/>
  <c r="T957" i="8"/>
  <c r="U957" i="8"/>
  <c r="T958" i="8"/>
  <c r="U958" i="8"/>
  <c r="T960" i="8"/>
  <c r="U960" i="8"/>
  <c r="T961" i="8"/>
  <c r="U961" i="8"/>
  <c r="T962" i="8"/>
  <c r="U962" i="8"/>
  <c r="T963" i="8"/>
  <c r="U963" i="8"/>
  <c r="T964" i="8"/>
  <c r="U964" i="8"/>
  <c r="T967" i="8"/>
  <c r="U967" i="8"/>
  <c r="T968" i="8"/>
  <c r="U968" i="8"/>
  <c r="T969" i="8"/>
  <c r="U969" i="8"/>
  <c r="T970" i="8"/>
  <c r="U970" i="8"/>
  <c r="T978" i="8"/>
  <c r="U978" i="8"/>
  <c r="T990" i="8"/>
  <c r="U990" i="8"/>
  <c r="T991" i="8"/>
  <c r="U991" i="8"/>
  <c r="T992" i="8"/>
  <c r="U992" i="8"/>
  <c r="T993" i="8"/>
  <c r="U993" i="8"/>
  <c r="T994" i="8"/>
  <c r="U994" i="8"/>
  <c r="T995" i="8"/>
  <c r="U995" i="8"/>
  <c r="T996" i="8"/>
  <c r="U996" i="8"/>
  <c r="T997" i="8"/>
  <c r="U997" i="8"/>
  <c r="T998" i="8"/>
  <c r="U998" i="8"/>
  <c r="T999" i="8"/>
  <c r="U999" i="8"/>
  <c r="T1000" i="8"/>
  <c r="U1000" i="8"/>
  <c r="T1001" i="8"/>
  <c r="U1001" i="8"/>
  <c r="T1002" i="8"/>
  <c r="U1002" i="8"/>
  <c r="T1003" i="8"/>
  <c r="U1003" i="8"/>
  <c r="T1004" i="8"/>
  <c r="U1004" i="8"/>
  <c r="T1005" i="8"/>
  <c r="U1005" i="8"/>
  <c r="T1006" i="8"/>
  <c r="U1006" i="8"/>
  <c r="T1007" i="8"/>
  <c r="U1007" i="8"/>
  <c r="T1008" i="8"/>
  <c r="U1008" i="8"/>
  <c r="T1009" i="8"/>
  <c r="U1009" i="8"/>
  <c r="T1010" i="8"/>
  <c r="U1010" i="8"/>
  <c r="T1011" i="8"/>
  <c r="U1011" i="8"/>
  <c r="T1012" i="8"/>
  <c r="U1012" i="8"/>
  <c r="T1013" i="8"/>
  <c r="U1013" i="8"/>
  <c r="T1014" i="8"/>
  <c r="U1014" i="8"/>
  <c r="T1015" i="8"/>
  <c r="U1015" i="8"/>
  <c r="T1016" i="8"/>
  <c r="U1016" i="8"/>
  <c r="T1017" i="8"/>
  <c r="U1017" i="8"/>
  <c r="T1018" i="8"/>
  <c r="U1018" i="8"/>
  <c r="T1019" i="8"/>
  <c r="U1019" i="8"/>
  <c r="T1020" i="8"/>
  <c r="U1020" i="8"/>
  <c r="T1021" i="8"/>
  <c r="U1021" i="8"/>
  <c r="T1022" i="8"/>
  <c r="U1022" i="8"/>
  <c r="T1023" i="8"/>
  <c r="U1023" i="8"/>
  <c r="T1024" i="8"/>
  <c r="U1024" i="8"/>
  <c r="T1026" i="8"/>
  <c r="U1026" i="8"/>
  <c r="T1027" i="8"/>
  <c r="U1027" i="8"/>
  <c r="T1028" i="8"/>
  <c r="U1028" i="8"/>
  <c r="T1029" i="8"/>
  <c r="U1029" i="8"/>
  <c r="T1030" i="8"/>
  <c r="U1030" i="8"/>
  <c r="T1031" i="8"/>
  <c r="U1031" i="8"/>
  <c r="T1032" i="8"/>
  <c r="U1032" i="8"/>
  <c r="T1033" i="8"/>
  <c r="U1033" i="8"/>
  <c r="T1034" i="8"/>
  <c r="U1034" i="8"/>
  <c r="T1035" i="8"/>
  <c r="U1035" i="8"/>
  <c r="T1036" i="8"/>
  <c r="U1036" i="8"/>
  <c r="T1037" i="8"/>
  <c r="U1037" i="8"/>
  <c r="T1038" i="8"/>
  <c r="U1038" i="8"/>
  <c r="T1039" i="8"/>
  <c r="U1039" i="8"/>
  <c r="T1040" i="8"/>
  <c r="U1040" i="8"/>
  <c r="T1041" i="8"/>
  <c r="U1041" i="8"/>
  <c r="T1042" i="8"/>
  <c r="U1042" i="8"/>
  <c r="T1043" i="8"/>
  <c r="U1043" i="8"/>
  <c r="T1044" i="8"/>
  <c r="U1044" i="8"/>
  <c r="T1045" i="8"/>
  <c r="U1045" i="8"/>
  <c r="T1046" i="8"/>
  <c r="U1046" i="8"/>
  <c r="T1047" i="8"/>
  <c r="U1047" i="8"/>
  <c r="T1048" i="8"/>
  <c r="U1048" i="8"/>
  <c r="T1049" i="8"/>
  <c r="U1049" i="8"/>
  <c r="T1050" i="8"/>
  <c r="U1050" i="8"/>
  <c r="T1051" i="8"/>
  <c r="U1051" i="8"/>
  <c r="T1054" i="8"/>
  <c r="U1054" i="8"/>
  <c r="T1057" i="8"/>
  <c r="U1057" i="8"/>
  <c r="T1058" i="8"/>
  <c r="U1058" i="8"/>
  <c r="T1059" i="8"/>
  <c r="U1059" i="8"/>
  <c r="T1060" i="8"/>
  <c r="U1060" i="8"/>
  <c r="T1061" i="8"/>
  <c r="U1061" i="8"/>
  <c r="T1062" i="8"/>
  <c r="U1062" i="8"/>
  <c r="T1063" i="8"/>
  <c r="U1063" i="8"/>
  <c r="T1064" i="8"/>
  <c r="U1064" i="8"/>
  <c r="T1065" i="8"/>
  <c r="U1065" i="8"/>
  <c r="T1066" i="8"/>
  <c r="U1066" i="8"/>
  <c r="T1067" i="8"/>
  <c r="U1067" i="8"/>
  <c r="T1068" i="8"/>
  <c r="U1068" i="8"/>
  <c r="T1069" i="8"/>
  <c r="U1069" i="8"/>
  <c r="T1070" i="8"/>
  <c r="U1070" i="8"/>
  <c r="T1071" i="8"/>
  <c r="U1071" i="8"/>
  <c r="T1072" i="8"/>
  <c r="U1072" i="8"/>
  <c r="T1073" i="8"/>
  <c r="U1073" i="8"/>
  <c r="T1074" i="8"/>
  <c r="U1074" i="8"/>
  <c r="T1075" i="8"/>
  <c r="U1075" i="8"/>
  <c r="T1076" i="8"/>
  <c r="U1076" i="8"/>
  <c r="T1077" i="8"/>
  <c r="U1077" i="8"/>
  <c r="T1078" i="8"/>
  <c r="U1078" i="8"/>
  <c r="T1079" i="8"/>
  <c r="U1079" i="8"/>
  <c r="T1080" i="8"/>
  <c r="U1080" i="8"/>
  <c r="T1081" i="8"/>
  <c r="U1081" i="8"/>
  <c r="T1082" i="8"/>
  <c r="U1082" i="8"/>
  <c r="T1083" i="8"/>
  <c r="U1083" i="8"/>
  <c r="T1084" i="8"/>
  <c r="U1084" i="8"/>
  <c r="T1085" i="8"/>
  <c r="U1085" i="8"/>
  <c r="T1086" i="8"/>
  <c r="U1086" i="8"/>
  <c r="T1087" i="8"/>
  <c r="U1087" i="8"/>
  <c r="T1088" i="8"/>
  <c r="U1088" i="8"/>
  <c r="T1089" i="8"/>
  <c r="U1089" i="8"/>
  <c r="T1090" i="8"/>
  <c r="U1090" i="8"/>
  <c r="T1091" i="8"/>
  <c r="U1091" i="8"/>
  <c r="T1092" i="8"/>
  <c r="U1092" i="8"/>
  <c r="T1093" i="8"/>
  <c r="U1093" i="8"/>
  <c r="T1094" i="8"/>
  <c r="U1094" i="8"/>
  <c r="T1095" i="8"/>
  <c r="U1095" i="8"/>
  <c r="T1096" i="8"/>
  <c r="U1096" i="8"/>
  <c r="T1097" i="8"/>
  <c r="U1097" i="8"/>
  <c r="T1098" i="8"/>
  <c r="U1098" i="8"/>
  <c r="T1099" i="8"/>
  <c r="U1099" i="8"/>
  <c r="T1100" i="8"/>
  <c r="U1100" i="8"/>
  <c r="T1101" i="8"/>
  <c r="U1101" i="8"/>
  <c r="T1102" i="8"/>
  <c r="U1102" i="8"/>
  <c r="T1103" i="8"/>
  <c r="U1103" i="8"/>
  <c r="T1104" i="8"/>
  <c r="U1104" i="8"/>
  <c r="T1105" i="8"/>
  <c r="U1105" i="8"/>
  <c r="T1106" i="8"/>
  <c r="U1106" i="8"/>
  <c r="T1107" i="8"/>
  <c r="U1107" i="8"/>
  <c r="T1108" i="8"/>
  <c r="U1108" i="8"/>
  <c r="T1109" i="8"/>
  <c r="U1109" i="8"/>
  <c r="T1110" i="8"/>
  <c r="U1110" i="8"/>
  <c r="T1111" i="8"/>
  <c r="U1111" i="8"/>
  <c r="T1112" i="8"/>
  <c r="U1112" i="8"/>
  <c r="T1113" i="8"/>
  <c r="U1113" i="8"/>
  <c r="T1114" i="8"/>
  <c r="U1114" i="8"/>
  <c r="T1115" i="8"/>
  <c r="U1115" i="8"/>
  <c r="T1116" i="8"/>
  <c r="U1116" i="8"/>
  <c r="T1117" i="8"/>
  <c r="U1117" i="8"/>
  <c r="T1118" i="8"/>
  <c r="U1118" i="8"/>
  <c r="T1119" i="8"/>
  <c r="U1119" i="8"/>
  <c r="T1120" i="8"/>
  <c r="U1120" i="8"/>
  <c r="T1121" i="8"/>
  <c r="U1121" i="8"/>
  <c r="T1122" i="8"/>
  <c r="U1122" i="8"/>
  <c r="T1123" i="8"/>
  <c r="U1123" i="8"/>
  <c r="T1124" i="8"/>
  <c r="U1124" i="8"/>
  <c r="T1125" i="8"/>
  <c r="U1125" i="8"/>
  <c r="T1126" i="8"/>
  <c r="U1126" i="8"/>
  <c r="T1127" i="8"/>
  <c r="U1127" i="8"/>
  <c r="T1128" i="8"/>
  <c r="U1128" i="8"/>
  <c r="T1129" i="8"/>
  <c r="U1129" i="8"/>
  <c r="T1130" i="8"/>
  <c r="U1130" i="8"/>
  <c r="T1131" i="8"/>
  <c r="U1131" i="8"/>
  <c r="T1132" i="8"/>
  <c r="U1132" i="8"/>
  <c r="T1133" i="8"/>
  <c r="U1133" i="8"/>
  <c r="T1134" i="8"/>
  <c r="U1134" i="8"/>
  <c r="T1135" i="8"/>
  <c r="U1135" i="8"/>
  <c r="T1136" i="8"/>
  <c r="U1136" i="8"/>
  <c r="T1137" i="8"/>
  <c r="U1137" i="8"/>
  <c r="T1138" i="8"/>
  <c r="U1138" i="8"/>
  <c r="T1139" i="8"/>
  <c r="U1139" i="8"/>
  <c r="T1140" i="8"/>
  <c r="U1140" i="8"/>
  <c r="T1141" i="8"/>
  <c r="U1141" i="8"/>
  <c r="T1142" i="8"/>
  <c r="U1142" i="8"/>
  <c r="T1143" i="8"/>
  <c r="U1143" i="8"/>
  <c r="T1144" i="8"/>
  <c r="U1144" i="8"/>
  <c r="T1145" i="8"/>
  <c r="U1145" i="8"/>
  <c r="T1146" i="8"/>
  <c r="U1146" i="8"/>
  <c r="T1147" i="8"/>
  <c r="U1147" i="8"/>
  <c r="T1148" i="8"/>
  <c r="U1148" i="8"/>
  <c r="T1149" i="8"/>
  <c r="U1149" i="8"/>
  <c r="T1150" i="8"/>
  <c r="U1150" i="8"/>
  <c r="T1151" i="8"/>
  <c r="U1151" i="8"/>
  <c r="T1152" i="8"/>
  <c r="U1152" i="8"/>
  <c r="T1153" i="8"/>
  <c r="U1153" i="8"/>
  <c r="T1154" i="8"/>
  <c r="U1154" i="8"/>
  <c r="T1155" i="8"/>
  <c r="U1155" i="8"/>
  <c r="T1156" i="8"/>
  <c r="U1156" i="8"/>
  <c r="T1157" i="8"/>
  <c r="U1157" i="8"/>
  <c r="T1158" i="8"/>
  <c r="U1158" i="8"/>
  <c r="T1159" i="8"/>
  <c r="U1159" i="8"/>
  <c r="T1160" i="8"/>
  <c r="U1160" i="8"/>
  <c r="T1161" i="8"/>
  <c r="U1161" i="8"/>
  <c r="T1162" i="8"/>
  <c r="U1162" i="8"/>
  <c r="T1163" i="8"/>
  <c r="U1163" i="8"/>
  <c r="T1164" i="8"/>
  <c r="U1164" i="8"/>
  <c r="T1165" i="8"/>
  <c r="U1165" i="8"/>
  <c r="T1166" i="8"/>
  <c r="U1166" i="8"/>
  <c r="T1167" i="8"/>
  <c r="U1167" i="8"/>
  <c r="T1168" i="8"/>
  <c r="U1168" i="8"/>
  <c r="T1169" i="8"/>
  <c r="U1169" i="8"/>
  <c r="T1170" i="8"/>
  <c r="U1170" i="8"/>
  <c r="T1171" i="8"/>
  <c r="U1171" i="8"/>
  <c r="T1172" i="8"/>
  <c r="U1172" i="8"/>
  <c r="T1173" i="8"/>
  <c r="U1173" i="8"/>
  <c r="T1174" i="8"/>
  <c r="U1174" i="8"/>
  <c r="T1175" i="8"/>
  <c r="U1175" i="8"/>
  <c r="T1176" i="8"/>
  <c r="U1176" i="8"/>
  <c r="T1177" i="8"/>
  <c r="U1177" i="8"/>
  <c r="T1178" i="8"/>
  <c r="U1178" i="8"/>
  <c r="T1179" i="8"/>
  <c r="U1179" i="8"/>
  <c r="T1180" i="8"/>
  <c r="U1180" i="8"/>
  <c r="T1181" i="8"/>
  <c r="U1181" i="8"/>
  <c r="T1182" i="8"/>
  <c r="U1182" i="8"/>
  <c r="T1183" i="8"/>
  <c r="U1183" i="8"/>
  <c r="T1184" i="8"/>
  <c r="U1184" i="8"/>
  <c r="T1185" i="8"/>
  <c r="U1185" i="8"/>
  <c r="T1186" i="8"/>
  <c r="U1186" i="8"/>
  <c r="T1187" i="8"/>
  <c r="U1187" i="8"/>
  <c r="T1188" i="8"/>
  <c r="U1188" i="8"/>
  <c r="T1189" i="8"/>
  <c r="U1189" i="8"/>
  <c r="T1190" i="8"/>
  <c r="U1190" i="8"/>
  <c r="T1191" i="8"/>
  <c r="U1191" i="8"/>
  <c r="T1192" i="8"/>
  <c r="U1192" i="8"/>
  <c r="T1193" i="8"/>
  <c r="U1193" i="8"/>
  <c r="T1194" i="8"/>
  <c r="U1194" i="8"/>
  <c r="T1195" i="8"/>
  <c r="U1195" i="8"/>
  <c r="T1196" i="8"/>
  <c r="U1196" i="8"/>
  <c r="T1197" i="8"/>
  <c r="U1197" i="8"/>
  <c r="T1198" i="8"/>
  <c r="U1198" i="8"/>
  <c r="T1199" i="8"/>
  <c r="U1199" i="8"/>
  <c r="T1200" i="8"/>
  <c r="U1200" i="8"/>
  <c r="T1201" i="8"/>
  <c r="U1201" i="8"/>
  <c r="T1202" i="8"/>
  <c r="U1202" i="8"/>
  <c r="T1203" i="8"/>
  <c r="U1203" i="8"/>
  <c r="T1204" i="8"/>
  <c r="U1204" i="8"/>
  <c r="T1205" i="8"/>
  <c r="U1205" i="8"/>
  <c r="T1206" i="8"/>
  <c r="U1206" i="8"/>
  <c r="T1207" i="8"/>
  <c r="U1207" i="8"/>
  <c r="T1208" i="8"/>
  <c r="U1208" i="8"/>
  <c r="T1209" i="8"/>
  <c r="U1209" i="8"/>
  <c r="T1210" i="8"/>
  <c r="U1210" i="8"/>
  <c r="T1211" i="8"/>
  <c r="U1211" i="8"/>
  <c r="T1212" i="8"/>
  <c r="U1212" i="8"/>
  <c r="T1213" i="8"/>
  <c r="U1213" i="8"/>
  <c r="T1214" i="8"/>
  <c r="U1214" i="8"/>
  <c r="T1215" i="8"/>
  <c r="U1215" i="8"/>
  <c r="T1216" i="8"/>
  <c r="U1216" i="8"/>
  <c r="T1217" i="8"/>
  <c r="U1217" i="8"/>
  <c r="T1218" i="8"/>
  <c r="U1218" i="8"/>
  <c r="T1219" i="8"/>
  <c r="U1219" i="8"/>
  <c r="T1220" i="8"/>
  <c r="U1220" i="8"/>
  <c r="T1221" i="8"/>
  <c r="U1221" i="8"/>
  <c r="T1222" i="8"/>
  <c r="U1222" i="8"/>
  <c r="T1223" i="8"/>
  <c r="U1223" i="8"/>
  <c r="T1224" i="8"/>
  <c r="U1224" i="8"/>
  <c r="T1225" i="8"/>
  <c r="U1225" i="8"/>
  <c r="T1226" i="8"/>
  <c r="U1226" i="8"/>
  <c r="T1227" i="8"/>
  <c r="U1227" i="8"/>
  <c r="T1228" i="8"/>
  <c r="U1228" i="8"/>
  <c r="T1229" i="8"/>
  <c r="U1229" i="8"/>
  <c r="T1230" i="8"/>
  <c r="U1230" i="8"/>
  <c r="T1231" i="8"/>
  <c r="U1231" i="8"/>
  <c r="T1232" i="8"/>
  <c r="U1232" i="8"/>
  <c r="T1233" i="8"/>
  <c r="U1233" i="8"/>
  <c r="T1234" i="8"/>
  <c r="U1234" i="8"/>
  <c r="T1235" i="8"/>
  <c r="U1235" i="8"/>
  <c r="T1236" i="8"/>
  <c r="U1236" i="8"/>
  <c r="T1237" i="8"/>
  <c r="U1237" i="8"/>
  <c r="T1238" i="8"/>
  <c r="U1238" i="8"/>
  <c r="T1239" i="8"/>
  <c r="U1239" i="8"/>
  <c r="T1240" i="8"/>
  <c r="U1240" i="8"/>
  <c r="T1241" i="8"/>
  <c r="U1241" i="8"/>
  <c r="T1242" i="8"/>
  <c r="U1242" i="8"/>
  <c r="T1243" i="8"/>
  <c r="U1243" i="8"/>
  <c r="T1244" i="8"/>
  <c r="U1244" i="8"/>
  <c r="T1245" i="8"/>
  <c r="U1245" i="8"/>
  <c r="T1246" i="8"/>
  <c r="U1246" i="8"/>
  <c r="T1247" i="8"/>
  <c r="U1247" i="8"/>
  <c r="T1248" i="8"/>
  <c r="U1248" i="8"/>
  <c r="T1249" i="8"/>
  <c r="U1249" i="8"/>
  <c r="T1250" i="8"/>
  <c r="U1250" i="8"/>
  <c r="T1251" i="8"/>
  <c r="U1251" i="8"/>
  <c r="T1252" i="8"/>
  <c r="U1252" i="8"/>
  <c r="T1253" i="8"/>
  <c r="U1253" i="8"/>
  <c r="T1254" i="8"/>
  <c r="U1254" i="8"/>
  <c r="T1255" i="8"/>
  <c r="U1255" i="8"/>
  <c r="T1256" i="8"/>
  <c r="U1256" i="8"/>
  <c r="T1257" i="8"/>
  <c r="U1257" i="8"/>
  <c r="T1258" i="8"/>
  <c r="U1258" i="8"/>
  <c r="T1259" i="8"/>
  <c r="U1259" i="8"/>
  <c r="T1260" i="8"/>
  <c r="U1260" i="8"/>
  <c r="T1261" i="8"/>
  <c r="U1261" i="8"/>
  <c r="T1262" i="8"/>
  <c r="U1262" i="8"/>
  <c r="T1263" i="8"/>
  <c r="U1263" i="8"/>
  <c r="T1264" i="8"/>
  <c r="U1264" i="8"/>
  <c r="T1265" i="8"/>
  <c r="U1265" i="8"/>
  <c r="T1266" i="8"/>
  <c r="U1266" i="8"/>
  <c r="T1267" i="8"/>
  <c r="U1267" i="8"/>
  <c r="T1268" i="8"/>
  <c r="U1268" i="8"/>
  <c r="T1269" i="8"/>
  <c r="U1269" i="8"/>
  <c r="T1270" i="8"/>
  <c r="U1270" i="8"/>
  <c r="T1271" i="8"/>
  <c r="U1271" i="8"/>
  <c r="T1272" i="8"/>
  <c r="U1272" i="8"/>
  <c r="T1273" i="8"/>
  <c r="U1273" i="8"/>
  <c r="T1274" i="8"/>
  <c r="U1274" i="8"/>
  <c r="T1275" i="8"/>
  <c r="U1275" i="8"/>
  <c r="T1276" i="8"/>
  <c r="U1276" i="8"/>
  <c r="T1277" i="8"/>
  <c r="U1277" i="8"/>
  <c r="T1278" i="8"/>
  <c r="U1278" i="8"/>
  <c r="T1279" i="8"/>
  <c r="U1279" i="8"/>
  <c r="T1280" i="8"/>
  <c r="U1280" i="8"/>
  <c r="T1281" i="8"/>
  <c r="U1281" i="8"/>
  <c r="T1282" i="8"/>
  <c r="U1282" i="8"/>
  <c r="T1283" i="8"/>
  <c r="U1283" i="8"/>
  <c r="T1284" i="8"/>
  <c r="U1284" i="8"/>
  <c r="T1285" i="8"/>
  <c r="U1285" i="8"/>
  <c r="T1286" i="8"/>
  <c r="U1286" i="8"/>
  <c r="T1287" i="8"/>
  <c r="U1287" i="8"/>
  <c r="T1288" i="8"/>
  <c r="U1288" i="8"/>
  <c r="T1289" i="8"/>
  <c r="U1289" i="8"/>
  <c r="T1290" i="8"/>
  <c r="U1290" i="8"/>
  <c r="T1291" i="8"/>
  <c r="U1291" i="8"/>
  <c r="T1292" i="8"/>
  <c r="U1292" i="8"/>
  <c r="T1293" i="8"/>
  <c r="U1293" i="8"/>
  <c r="T1294" i="8"/>
  <c r="U1294" i="8"/>
  <c r="T1295" i="8"/>
  <c r="U1295" i="8"/>
  <c r="T1296" i="8"/>
  <c r="U1296" i="8"/>
  <c r="T1297" i="8"/>
  <c r="U1297" i="8"/>
  <c r="T1298" i="8"/>
  <c r="U1298" i="8"/>
  <c r="T1299" i="8"/>
  <c r="U1299" i="8"/>
  <c r="T1300" i="8"/>
  <c r="U1300" i="8"/>
  <c r="T1301" i="8"/>
  <c r="U1301" i="8"/>
  <c r="T1302" i="8"/>
  <c r="U1302" i="8"/>
  <c r="T1303" i="8"/>
  <c r="U1303" i="8"/>
  <c r="T1304" i="8"/>
  <c r="U1304" i="8"/>
  <c r="T1305" i="8"/>
  <c r="U1305" i="8"/>
  <c r="T1306" i="8"/>
  <c r="U1306" i="8"/>
  <c r="T1307" i="8"/>
  <c r="U1307" i="8"/>
  <c r="T1308" i="8"/>
  <c r="U1308" i="8"/>
  <c r="T1309" i="8"/>
  <c r="U1309" i="8"/>
  <c r="T1310" i="8"/>
  <c r="U1310" i="8"/>
  <c r="T1311" i="8"/>
  <c r="U1311" i="8"/>
  <c r="T1312" i="8"/>
  <c r="U1312" i="8"/>
  <c r="T1313" i="8"/>
  <c r="U1313" i="8"/>
  <c r="T1314" i="8"/>
  <c r="U1314" i="8"/>
  <c r="T1315" i="8"/>
  <c r="U1315" i="8"/>
  <c r="T1316" i="8"/>
  <c r="U1316" i="8"/>
  <c r="T1317" i="8"/>
  <c r="U1317" i="8"/>
  <c r="T1318" i="8"/>
  <c r="U1318" i="8"/>
  <c r="T1319" i="8"/>
  <c r="U1319" i="8"/>
  <c r="T1320" i="8"/>
  <c r="U1320" i="8"/>
  <c r="T1321" i="8"/>
  <c r="U1321" i="8"/>
  <c r="T1322" i="8"/>
  <c r="U1322" i="8"/>
  <c r="T1323" i="8"/>
  <c r="U1323" i="8"/>
  <c r="T1324" i="8"/>
  <c r="U1324" i="8"/>
  <c r="T1325" i="8"/>
  <c r="U1325" i="8"/>
  <c r="T1326" i="8"/>
  <c r="U1326" i="8"/>
  <c r="T1327" i="8"/>
  <c r="U1327" i="8"/>
  <c r="T1328" i="8"/>
  <c r="U1328" i="8"/>
  <c r="T1329" i="8"/>
  <c r="U1329" i="8"/>
  <c r="T1330" i="8"/>
  <c r="U1330" i="8"/>
  <c r="T1331" i="8"/>
  <c r="U1331" i="8"/>
  <c r="T1332" i="8"/>
  <c r="U1332" i="8"/>
  <c r="T1333" i="8"/>
  <c r="U1333" i="8"/>
  <c r="T1334" i="8"/>
  <c r="U1334" i="8"/>
  <c r="T1335" i="8"/>
  <c r="U1335" i="8"/>
  <c r="T1336" i="8"/>
  <c r="U1336" i="8"/>
  <c r="T1337" i="8"/>
  <c r="U1337" i="8"/>
  <c r="T1338" i="8"/>
  <c r="U1338" i="8"/>
  <c r="T1339" i="8"/>
  <c r="U1339" i="8"/>
  <c r="T1340" i="8"/>
  <c r="U1340" i="8"/>
  <c r="T1341" i="8"/>
  <c r="U1341" i="8"/>
  <c r="T1342" i="8"/>
  <c r="U1342" i="8"/>
  <c r="T1343" i="8"/>
  <c r="U1343" i="8"/>
  <c r="T1344" i="8"/>
  <c r="U1344" i="8"/>
  <c r="T1345" i="8"/>
  <c r="U1345" i="8"/>
  <c r="T1346" i="8"/>
  <c r="U1346" i="8"/>
  <c r="T1347" i="8"/>
  <c r="U1347" i="8"/>
  <c r="T1348" i="8"/>
  <c r="U1348" i="8"/>
  <c r="T1349" i="8"/>
  <c r="U1349" i="8"/>
  <c r="T1350" i="8"/>
  <c r="U1350" i="8"/>
  <c r="T1351" i="8"/>
  <c r="U1351" i="8"/>
  <c r="T1352" i="8"/>
  <c r="U1352" i="8"/>
  <c r="T1353" i="8"/>
  <c r="U1353" i="8"/>
  <c r="T1354" i="8"/>
  <c r="U1354" i="8"/>
  <c r="T1355" i="8"/>
  <c r="U1355" i="8"/>
  <c r="T1356" i="8"/>
  <c r="U1356" i="8"/>
  <c r="T1357" i="8"/>
  <c r="U1357" i="8"/>
  <c r="T1358" i="8"/>
  <c r="U1358" i="8"/>
  <c r="T1359" i="8"/>
  <c r="U1359" i="8"/>
  <c r="T1360" i="8"/>
  <c r="U1360" i="8"/>
  <c r="T1361" i="8"/>
  <c r="U1361" i="8"/>
  <c r="T1362" i="8"/>
  <c r="U1362" i="8"/>
  <c r="T1363" i="8"/>
  <c r="U1363" i="8"/>
  <c r="T1364" i="8"/>
  <c r="U1364" i="8"/>
  <c r="T1365" i="8"/>
  <c r="U1365" i="8"/>
  <c r="T1366" i="8"/>
  <c r="U1366" i="8"/>
  <c r="T1367" i="8"/>
  <c r="U1367" i="8"/>
  <c r="T1368" i="8"/>
  <c r="U1368" i="8"/>
  <c r="T1369" i="8"/>
  <c r="U1369" i="8"/>
  <c r="T1370" i="8"/>
  <c r="U1370" i="8"/>
  <c r="T1371" i="8"/>
  <c r="U1371" i="8"/>
  <c r="T1372" i="8"/>
  <c r="U1372" i="8"/>
  <c r="T1373" i="8"/>
  <c r="U1373" i="8"/>
  <c r="T1374" i="8"/>
  <c r="U1374" i="8"/>
  <c r="T1375" i="8"/>
  <c r="U1375" i="8"/>
  <c r="T1376" i="8"/>
  <c r="U1376" i="8"/>
  <c r="T1377" i="8"/>
  <c r="U1377" i="8"/>
  <c r="T1378" i="8"/>
  <c r="U1378" i="8"/>
  <c r="T1379" i="8"/>
  <c r="U1379" i="8"/>
  <c r="T1380" i="8"/>
  <c r="U1380" i="8"/>
  <c r="T1381" i="8"/>
  <c r="U1381" i="8"/>
  <c r="T1382" i="8"/>
  <c r="U1382" i="8"/>
  <c r="T1383" i="8"/>
  <c r="U1383" i="8"/>
  <c r="T1384" i="8"/>
  <c r="U1384" i="8"/>
  <c r="T1385" i="8"/>
  <c r="U1385" i="8"/>
  <c r="T1386" i="8"/>
  <c r="U1386" i="8"/>
  <c r="T1387" i="8"/>
  <c r="U1387" i="8"/>
  <c r="T1388" i="8"/>
  <c r="U1388" i="8"/>
  <c r="T1389" i="8"/>
  <c r="U1389" i="8"/>
  <c r="T1390" i="8"/>
  <c r="U1390" i="8"/>
  <c r="T1391" i="8"/>
  <c r="U1391" i="8"/>
  <c r="T1392" i="8"/>
  <c r="U1392" i="8"/>
  <c r="T1393" i="8"/>
  <c r="U1393" i="8"/>
  <c r="T1394" i="8"/>
  <c r="U1394" i="8"/>
  <c r="T1395" i="8"/>
  <c r="U1395" i="8"/>
  <c r="T1396" i="8"/>
  <c r="U1396" i="8"/>
  <c r="T1397" i="8"/>
  <c r="U1397" i="8"/>
  <c r="T1398" i="8"/>
  <c r="U1398" i="8"/>
  <c r="T1399" i="8"/>
  <c r="U1399" i="8"/>
  <c r="T1400" i="8"/>
  <c r="U1400" i="8"/>
  <c r="T1401" i="8"/>
  <c r="U1401" i="8"/>
  <c r="T1402" i="8"/>
  <c r="U1402" i="8"/>
  <c r="T1403" i="8"/>
  <c r="U1403" i="8"/>
  <c r="T1404" i="8"/>
  <c r="U1404" i="8"/>
  <c r="T1405" i="8"/>
  <c r="U1405" i="8"/>
  <c r="T1406" i="8"/>
  <c r="U1406" i="8"/>
  <c r="T1407" i="8"/>
  <c r="U1407" i="8"/>
  <c r="T1408" i="8"/>
  <c r="U1408" i="8"/>
  <c r="T1409" i="8"/>
  <c r="U1409" i="8"/>
  <c r="T1410" i="8"/>
  <c r="U1410" i="8"/>
  <c r="T1411" i="8"/>
  <c r="U1411" i="8"/>
  <c r="T1412" i="8"/>
  <c r="U1412" i="8"/>
  <c r="T1413" i="8"/>
  <c r="U1413" i="8"/>
  <c r="T1414" i="8"/>
  <c r="U1414" i="8"/>
  <c r="T1415" i="8"/>
  <c r="U1415" i="8"/>
  <c r="T1416" i="8"/>
  <c r="U1416" i="8"/>
  <c r="T1417" i="8"/>
  <c r="U1417" i="8"/>
  <c r="T1418" i="8"/>
  <c r="U1418" i="8"/>
  <c r="T1419" i="8"/>
  <c r="U1419" i="8"/>
  <c r="T1420" i="8"/>
  <c r="U1420" i="8"/>
  <c r="T1421" i="8"/>
  <c r="U1421" i="8"/>
  <c r="T1422" i="8"/>
  <c r="U1422" i="8"/>
  <c r="T1423" i="8"/>
  <c r="U1423" i="8"/>
  <c r="T1424" i="8"/>
  <c r="U1424" i="8"/>
  <c r="T1425" i="8"/>
  <c r="U1425" i="8"/>
  <c r="T1426" i="8"/>
  <c r="U1426" i="8"/>
  <c r="T1427" i="8"/>
  <c r="U1427" i="8"/>
  <c r="T1428" i="8"/>
  <c r="U1428" i="8"/>
  <c r="T1429" i="8"/>
  <c r="U1429" i="8"/>
  <c r="T1430" i="8"/>
  <c r="U1430" i="8"/>
  <c r="T1431" i="8"/>
  <c r="U1431" i="8"/>
  <c r="T1432" i="8"/>
  <c r="U1432" i="8"/>
  <c r="T1433" i="8"/>
  <c r="U1433" i="8"/>
  <c r="T1434" i="8"/>
  <c r="U1434" i="8"/>
  <c r="T1435" i="8"/>
  <c r="U1435" i="8"/>
  <c r="T1436" i="8"/>
  <c r="U1436" i="8"/>
  <c r="T1437" i="8"/>
  <c r="U1437" i="8"/>
  <c r="T1438" i="8"/>
  <c r="U1438" i="8"/>
  <c r="T1439" i="8"/>
  <c r="U1439" i="8"/>
  <c r="T1440" i="8"/>
  <c r="U1440" i="8"/>
  <c r="T1441" i="8"/>
  <c r="U1441" i="8"/>
  <c r="T1442" i="8"/>
  <c r="U1442" i="8"/>
  <c r="T1443" i="8"/>
  <c r="U1443" i="8"/>
  <c r="T1444" i="8"/>
  <c r="U1444" i="8"/>
  <c r="T1445" i="8"/>
  <c r="U1445" i="8"/>
  <c r="T1446" i="8"/>
  <c r="U1446" i="8"/>
  <c r="T1447" i="8"/>
  <c r="U1447" i="8"/>
  <c r="T1448" i="8"/>
  <c r="U1448" i="8"/>
  <c r="T1449" i="8"/>
  <c r="U1449" i="8"/>
  <c r="T1450" i="8"/>
  <c r="U1450" i="8"/>
  <c r="T1451" i="8"/>
  <c r="U1451" i="8"/>
  <c r="T1452" i="8"/>
  <c r="U1452" i="8"/>
  <c r="T1453" i="8"/>
  <c r="U1453" i="8"/>
  <c r="T1454" i="8"/>
  <c r="U1454" i="8"/>
  <c r="T1455" i="8"/>
  <c r="U1455" i="8"/>
  <c r="T1456" i="8"/>
  <c r="U1456" i="8"/>
  <c r="T1457" i="8"/>
  <c r="U1457" i="8"/>
  <c r="T1458" i="8"/>
  <c r="U1458" i="8"/>
  <c r="T1459" i="8"/>
  <c r="U1459" i="8"/>
  <c r="T1460" i="8"/>
  <c r="U1460" i="8"/>
  <c r="T1461" i="8"/>
  <c r="U1461" i="8"/>
  <c r="T1462" i="8"/>
  <c r="U1462" i="8"/>
  <c r="T1463" i="8"/>
  <c r="U1463" i="8"/>
  <c r="T1464" i="8"/>
  <c r="U1464" i="8"/>
  <c r="T1465" i="8"/>
  <c r="U1465" i="8"/>
  <c r="T1466" i="8"/>
  <c r="U1466" i="8"/>
  <c r="T1467" i="8"/>
  <c r="U1467" i="8"/>
  <c r="T1468" i="8"/>
  <c r="U1468" i="8"/>
  <c r="T1469" i="8"/>
  <c r="U1469" i="8"/>
  <c r="T1470" i="8"/>
  <c r="U1470" i="8"/>
  <c r="T1471" i="8"/>
  <c r="U1471" i="8"/>
  <c r="T1472" i="8"/>
  <c r="U1472" i="8"/>
  <c r="T1473" i="8"/>
  <c r="U1473" i="8"/>
  <c r="T1474" i="8"/>
  <c r="U1474" i="8"/>
  <c r="T1475" i="8"/>
  <c r="U1475" i="8"/>
  <c r="T1476" i="8"/>
  <c r="U1476" i="8"/>
  <c r="T1477" i="8"/>
  <c r="U1477" i="8"/>
  <c r="T1478" i="8"/>
  <c r="U1478" i="8"/>
  <c r="T1479" i="8"/>
  <c r="U1479" i="8"/>
  <c r="T1480" i="8"/>
  <c r="U1480" i="8"/>
  <c r="T1481" i="8"/>
  <c r="U1481" i="8"/>
  <c r="T1482" i="8"/>
  <c r="U1482" i="8"/>
  <c r="T1483" i="8"/>
  <c r="U1483" i="8"/>
  <c r="T1484" i="8"/>
  <c r="U1484" i="8"/>
  <c r="T1485" i="8"/>
  <c r="U1485" i="8"/>
  <c r="T1486" i="8"/>
  <c r="U1486" i="8"/>
  <c r="T1487" i="8"/>
  <c r="U1487" i="8"/>
  <c r="T1488" i="8"/>
  <c r="U1488" i="8"/>
  <c r="T1489" i="8"/>
  <c r="U1489" i="8"/>
  <c r="T1490" i="8"/>
  <c r="U1490" i="8"/>
  <c r="T1491" i="8"/>
  <c r="U1491" i="8"/>
  <c r="T1492" i="8"/>
  <c r="U1492" i="8"/>
  <c r="T1493" i="8"/>
  <c r="U1493" i="8"/>
  <c r="T1494" i="8"/>
  <c r="U1494" i="8"/>
  <c r="T1495" i="8"/>
  <c r="U1495" i="8"/>
  <c r="T1496" i="8"/>
  <c r="U1496" i="8"/>
  <c r="T1497" i="8"/>
  <c r="U1497" i="8"/>
  <c r="T1498" i="8"/>
  <c r="U1498" i="8"/>
  <c r="T1499" i="8"/>
  <c r="U1499" i="8"/>
  <c r="T1500" i="8"/>
  <c r="U1500" i="8"/>
  <c r="T1501" i="8"/>
  <c r="U1501" i="8"/>
  <c r="T1502" i="8"/>
  <c r="U1502" i="8"/>
  <c r="T1503" i="8"/>
  <c r="U1503" i="8"/>
  <c r="T1504" i="8"/>
  <c r="U1504" i="8"/>
  <c r="T1505" i="8"/>
  <c r="U1505" i="8"/>
  <c r="T1506" i="8"/>
  <c r="U1506" i="8"/>
  <c r="T1507" i="8"/>
  <c r="U1507" i="8"/>
  <c r="T1508" i="8"/>
  <c r="U1508" i="8"/>
  <c r="T1509" i="8"/>
  <c r="U1509" i="8"/>
  <c r="T1510" i="8"/>
  <c r="U1510" i="8"/>
  <c r="T1511" i="8"/>
  <c r="U1511" i="8"/>
  <c r="T1512" i="8"/>
  <c r="U1512" i="8"/>
  <c r="T1513" i="8"/>
  <c r="U1513" i="8"/>
  <c r="T1514" i="8"/>
  <c r="U1514" i="8"/>
  <c r="T1515" i="8"/>
  <c r="U1515" i="8"/>
  <c r="T1516" i="8"/>
  <c r="U1516" i="8"/>
  <c r="T1517" i="8"/>
  <c r="U1517" i="8"/>
  <c r="T1518" i="8"/>
  <c r="U1518" i="8"/>
  <c r="T1519" i="8"/>
  <c r="U1519" i="8"/>
  <c r="T1520" i="8"/>
  <c r="U1520" i="8"/>
  <c r="T1521" i="8"/>
  <c r="U1521" i="8"/>
  <c r="T1522" i="8"/>
  <c r="U1522" i="8"/>
  <c r="T1523" i="8"/>
  <c r="U1523" i="8"/>
  <c r="T1524" i="8"/>
  <c r="U1524" i="8"/>
  <c r="T1525" i="8"/>
  <c r="U1525" i="8"/>
  <c r="T1526" i="8"/>
  <c r="U1526" i="8"/>
  <c r="T1527" i="8"/>
  <c r="U1527" i="8"/>
  <c r="T1528" i="8"/>
  <c r="U1528" i="8"/>
  <c r="T1529" i="8"/>
  <c r="U1529" i="8"/>
  <c r="T1530" i="8"/>
  <c r="U1530" i="8"/>
  <c r="T1531" i="8"/>
  <c r="U1531" i="8"/>
  <c r="T1532" i="8"/>
  <c r="U1532" i="8"/>
  <c r="T1533" i="8"/>
  <c r="U1533" i="8"/>
  <c r="T1534" i="8"/>
  <c r="U1534" i="8"/>
  <c r="T1535" i="8"/>
  <c r="U1535" i="8"/>
  <c r="T1536" i="8"/>
  <c r="U1536" i="8"/>
  <c r="T1537" i="8"/>
  <c r="U1537" i="8"/>
  <c r="T1538" i="8"/>
  <c r="U1538" i="8"/>
  <c r="T1539" i="8"/>
  <c r="U1539" i="8"/>
  <c r="T1540" i="8"/>
  <c r="U1540" i="8"/>
  <c r="T1541" i="8"/>
  <c r="U1541" i="8"/>
  <c r="T1542" i="8"/>
  <c r="U1542" i="8"/>
  <c r="T1543" i="8"/>
  <c r="U1543" i="8"/>
  <c r="T1544" i="8"/>
  <c r="U1544" i="8"/>
  <c r="T1545" i="8"/>
  <c r="U1545" i="8"/>
  <c r="T1546" i="8"/>
  <c r="U1546" i="8"/>
  <c r="T1547" i="8"/>
  <c r="U1547" i="8"/>
  <c r="T1548" i="8"/>
  <c r="U1548" i="8"/>
  <c r="T1549" i="8"/>
  <c r="U1549" i="8"/>
  <c r="T1550" i="8"/>
  <c r="U1550" i="8"/>
  <c r="T1551" i="8"/>
  <c r="U1551" i="8"/>
  <c r="T1552" i="8"/>
  <c r="U1552" i="8"/>
  <c r="T1553" i="8"/>
  <c r="U1553" i="8"/>
  <c r="T1554" i="8"/>
  <c r="U1554" i="8"/>
  <c r="T1555" i="8"/>
  <c r="U1555" i="8"/>
  <c r="T1556" i="8"/>
  <c r="U1556" i="8"/>
  <c r="T1557" i="8"/>
  <c r="U1557" i="8"/>
  <c r="T1558" i="8"/>
  <c r="U1558" i="8"/>
  <c r="T1559" i="8"/>
  <c r="U1559" i="8"/>
  <c r="T1560" i="8"/>
  <c r="U1560" i="8"/>
  <c r="T1561" i="8"/>
  <c r="U1561" i="8"/>
  <c r="T1562" i="8"/>
  <c r="U1562" i="8"/>
  <c r="T1563" i="8"/>
  <c r="U1563" i="8"/>
  <c r="T1564" i="8"/>
  <c r="U1564" i="8"/>
  <c r="T1565" i="8"/>
  <c r="U1565" i="8"/>
  <c r="T1566" i="8"/>
  <c r="U1566" i="8"/>
  <c r="T1567" i="8"/>
  <c r="U1567" i="8"/>
  <c r="T1568" i="8"/>
  <c r="U1568" i="8"/>
  <c r="T1569" i="8"/>
  <c r="U1569" i="8"/>
  <c r="T1570" i="8"/>
  <c r="U1570" i="8"/>
  <c r="T1571" i="8"/>
  <c r="U1571" i="8"/>
  <c r="T1572" i="8"/>
  <c r="U1572" i="8"/>
  <c r="T1573" i="8"/>
  <c r="U1573" i="8"/>
  <c r="T1574" i="8"/>
  <c r="U1574" i="8"/>
  <c r="T1575" i="8"/>
  <c r="U1575" i="8"/>
  <c r="T1576" i="8"/>
  <c r="U1576" i="8"/>
  <c r="T1577" i="8"/>
  <c r="U1577" i="8"/>
  <c r="T1578" i="8"/>
  <c r="U1578" i="8"/>
  <c r="T1579" i="8"/>
  <c r="U1579" i="8"/>
  <c r="T1580" i="8"/>
  <c r="U1580" i="8"/>
  <c r="T1581" i="8"/>
  <c r="U1581" i="8"/>
  <c r="T1582" i="8"/>
  <c r="U1582" i="8"/>
  <c r="T1583" i="8"/>
  <c r="U1583" i="8"/>
  <c r="T1584" i="8"/>
  <c r="U1584" i="8"/>
  <c r="T1585" i="8"/>
  <c r="U1585" i="8"/>
  <c r="T1586" i="8"/>
  <c r="U1586" i="8"/>
  <c r="T1587" i="8"/>
  <c r="U1587" i="8"/>
  <c r="T1588" i="8"/>
  <c r="U1588" i="8"/>
  <c r="T1589" i="8"/>
  <c r="U1589" i="8"/>
  <c r="T1590" i="8"/>
  <c r="U1590" i="8"/>
  <c r="T1591" i="8"/>
  <c r="U1591" i="8"/>
  <c r="T1592" i="8"/>
  <c r="U1592" i="8"/>
  <c r="T1593" i="8"/>
  <c r="U1593" i="8"/>
  <c r="T1594" i="8"/>
  <c r="U1594" i="8"/>
  <c r="T1595" i="8"/>
  <c r="U1595" i="8"/>
  <c r="T1596" i="8"/>
  <c r="U1596" i="8"/>
  <c r="T1597" i="8"/>
  <c r="U1597" i="8"/>
  <c r="T1598" i="8"/>
  <c r="U1598" i="8"/>
  <c r="T1599" i="8"/>
  <c r="U1599" i="8"/>
  <c r="T1600" i="8"/>
  <c r="U1600" i="8"/>
  <c r="T1601" i="8"/>
  <c r="U1601" i="8"/>
  <c r="T1602" i="8"/>
  <c r="U1602" i="8"/>
  <c r="T1603" i="8"/>
  <c r="U1603" i="8"/>
  <c r="T1604" i="8"/>
  <c r="U1604" i="8"/>
  <c r="T1605" i="8"/>
  <c r="U1605" i="8"/>
  <c r="T1606" i="8"/>
  <c r="U1606" i="8"/>
  <c r="T1607" i="8"/>
  <c r="U1607" i="8"/>
  <c r="T1608" i="8"/>
  <c r="U1608" i="8"/>
  <c r="T1609" i="8"/>
  <c r="U1609" i="8"/>
  <c r="T1610" i="8"/>
  <c r="U1610" i="8"/>
  <c r="T1611" i="8"/>
  <c r="U1611" i="8"/>
  <c r="T1612" i="8"/>
  <c r="U1612" i="8"/>
  <c r="T1613" i="8"/>
  <c r="U1613" i="8"/>
  <c r="T1614" i="8"/>
  <c r="U1614" i="8"/>
  <c r="T1615" i="8"/>
  <c r="U1615" i="8"/>
  <c r="T1616" i="8"/>
  <c r="U1616" i="8"/>
  <c r="T1617" i="8"/>
  <c r="U1617" i="8"/>
  <c r="T1618" i="8"/>
  <c r="U1618" i="8"/>
  <c r="T1619" i="8"/>
  <c r="U1619" i="8"/>
  <c r="T1620" i="8"/>
  <c r="U1620" i="8"/>
  <c r="N28" i="8"/>
  <c r="N29" i="8"/>
  <c r="N30" i="8"/>
  <c r="N31" i="8"/>
  <c r="N32" i="8"/>
  <c r="N33" i="8"/>
  <c r="N36" i="8"/>
  <c r="N37" i="8"/>
  <c r="N38" i="8"/>
  <c r="N39" i="8"/>
  <c r="N40" i="8"/>
  <c r="N425" i="8"/>
  <c r="N42" i="8"/>
  <c r="N43" i="8"/>
  <c r="N46" i="8"/>
  <c r="N47" i="8"/>
  <c r="N48" i="8"/>
  <c r="N49" i="8"/>
  <c r="N55" i="8"/>
  <c r="N56" i="8"/>
  <c r="N57" i="8"/>
  <c r="N58" i="8"/>
  <c r="N59" i="8"/>
  <c r="N60" i="8"/>
  <c r="N61" i="8"/>
  <c r="N62" i="8"/>
  <c r="N426" i="8"/>
  <c r="N64" i="8"/>
  <c r="N65" i="8"/>
  <c r="N428" i="8"/>
  <c r="N67" i="8"/>
  <c r="N68" i="8"/>
  <c r="N429" i="8"/>
  <c r="N430" i="8"/>
  <c r="N71" i="8"/>
  <c r="N72" i="8"/>
  <c r="N73" i="8"/>
  <c r="N74" i="8"/>
  <c r="N75" i="8"/>
  <c r="N76" i="8"/>
  <c r="N77" i="8"/>
  <c r="N78" i="8"/>
  <c r="N297" i="8"/>
  <c r="N298" i="8"/>
  <c r="N81" i="8"/>
  <c r="N431" i="8"/>
  <c r="N299" i="8"/>
  <c r="N84" i="8"/>
  <c r="N85" i="8"/>
  <c r="N432" i="8"/>
  <c r="N433" i="8"/>
  <c r="N88" i="8"/>
  <c r="N89" i="8"/>
  <c r="N90" i="8"/>
  <c r="N91" i="8"/>
  <c r="N92" i="8"/>
  <c r="N93" i="8"/>
  <c r="N983" i="8"/>
  <c r="N106" i="8"/>
  <c r="N107" i="8"/>
  <c r="N108" i="8"/>
  <c r="N109" i="8"/>
  <c r="N110" i="8"/>
  <c r="N111" i="8"/>
  <c r="N112" i="8"/>
  <c r="N113" i="8"/>
  <c r="N114" i="8"/>
  <c r="N115" i="8"/>
  <c r="N116" i="8"/>
  <c r="N118" i="8"/>
  <c r="K119" i="2" s="1"/>
  <c r="N119" i="8"/>
  <c r="K120" i="2" s="1"/>
  <c r="N123" i="8"/>
  <c r="K124" i="2" s="1"/>
  <c r="N120" i="8"/>
  <c r="K121" i="2" s="1"/>
  <c r="N121" i="8"/>
  <c r="K122" i="2" s="1"/>
  <c r="N122" i="8"/>
  <c r="K123" i="2" s="1"/>
  <c r="N124" i="8"/>
  <c r="N125" i="8"/>
  <c r="N127" i="8"/>
  <c r="N128" i="8"/>
  <c r="N129" i="8"/>
  <c r="N130" i="8"/>
  <c r="N131" i="8"/>
  <c r="N984" i="8"/>
  <c r="N966" i="8"/>
  <c r="N971" i="8"/>
  <c r="N972" i="8"/>
  <c r="N973" i="8"/>
  <c r="N985" i="8"/>
  <c r="N974" i="8"/>
  <c r="N975" i="8"/>
  <c r="N976" i="8"/>
  <c r="N977" i="8"/>
  <c r="N986" i="8"/>
  <c r="N979" i="8"/>
  <c r="N980" i="8"/>
  <c r="N987" i="8"/>
  <c r="N981" i="8"/>
  <c r="N982" i="8"/>
  <c r="N148" i="8"/>
  <c r="N149" i="8"/>
  <c r="N150" i="8"/>
  <c r="N151" i="8"/>
  <c r="N152" i="8"/>
  <c r="N153" i="8"/>
  <c r="N154" i="8"/>
  <c r="N155" i="8"/>
  <c r="N156" i="8"/>
  <c r="N157" i="8"/>
  <c r="N522" i="8"/>
  <c r="N988" i="8"/>
  <c r="N989" i="8"/>
  <c r="N523" i="8"/>
  <c r="N1025" i="8"/>
  <c r="N1052" i="8"/>
  <c r="N524" i="8"/>
  <c r="N1053" i="8"/>
  <c r="N1055" i="8"/>
  <c r="N1056" i="8"/>
  <c r="N168" i="8"/>
  <c r="N169" i="8"/>
  <c r="N170" i="8"/>
  <c r="N171" i="8"/>
  <c r="N172" i="8"/>
  <c r="N173" i="8"/>
  <c r="N174" i="8"/>
  <c r="N175" i="8"/>
  <c r="N176" i="8"/>
  <c r="N177" i="8"/>
  <c r="N525" i="8"/>
  <c r="N526" i="8"/>
  <c r="N527" i="8"/>
  <c r="N528" i="8"/>
  <c r="N182" i="8"/>
  <c r="N183" i="8"/>
  <c r="N184" i="8"/>
  <c r="N185" i="8"/>
  <c r="N186" i="8"/>
  <c r="N529" i="8"/>
  <c r="N530" i="8"/>
  <c r="N531" i="8"/>
  <c r="N532" i="8"/>
  <c r="N191" i="8"/>
  <c r="N192" i="8"/>
  <c r="N193" i="8"/>
  <c r="N194" i="8"/>
  <c r="N195" i="8"/>
  <c r="N196" i="8"/>
  <c r="N197" i="8"/>
  <c r="N198" i="8"/>
  <c r="N199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533" i="8"/>
  <c r="N534" i="8"/>
  <c r="N535" i="8"/>
  <c r="N536" i="8"/>
  <c r="N537" i="8"/>
  <c r="N538" i="8"/>
  <c r="N539" i="8"/>
  <c r="N540" i="8"/>
  <c r="N223" i="8"/>
  <c r="N224" i="8"/>
  <c r="N225" i="8"/>
  <c r="N226" i="8"/>
  <c r="N227" i="8"/>
  <c r="N228" i="8"/>
  <c r="N300" i="8"/>
  <c r="N541" i="8"/>
  <c r="N542" i="8"/>
  <c r="N592" i="8"/>
  <c r="N593" i="8"/>
  <c r="N234" i="8"/>
  <c r="N235" i="8"/>
  <c r="N596" i="8"/>
  <c r="N597" i="8"/>
  <c r="N600" i="8"/>
  <c r="N601" i="8"/>
  <c r="N603" i="8"/>
  <c r="N604" i="8"/>
  <c r="N605" i="8"/>
  <c r="N606" i="8"/>
  <c r="N244" i="8"/>
  <c r="N245" i="8"/>
  <c r="N246" i="8"/>
  <c r="N247" i="8"/>
  <c r="N248" i="8"/>
  <c r="N249" i="8"/>
  <c r="N250" i="8"/>
  <c r="N251" i="8"/>
  <c r="N252" i="8"/>
  <c r="N253" i="8"/>
  <c r="N41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607" i="8"/>
  <c r="N608" i="8"/>
  <c r="N609" i="8"/>
  <c r="N610" i="8"/>
  <c r="N611" i="8"/>
  <c r="N612" i="8"/>
  <c r="N926" i="8"/>
  <c r="N927" i="8"/>
  <c r="N928" i="8"/>
  <c r="N929" i="8"/>
  <c r="N930" i="8"/>
  <c r="N931" i="8"/>
  <c r="N932" i="8"/>
  <c r="N933" i="8"/>
  <c r="N934" i="8"/>
  <c r="N935" i="8"/>
  <c r="N936" i="8"/>
  <c r="N937" i="8"/>
  <c r="N938" i="8"/>
  <c r="N939" i="8"/>
  <c r="N940" i="8"/>
  <c r="N293" i="8"/>
  <c r="N294" i="8"/>
  <c r="N295" i="8"/>
  <c r="N941" i="8"/>
  <c r="N942" i="8"/>
  <c r="N943" i="8"/>
  <c r="N959" i="8"/>
  <c r="N965" i="8"/>
  <c r="N301" i="8"/>
  <c r="N302" i="8"/>
  <c r="N303" i="8"/>
  <c r="N304" i="8"/>
  <c r="N305" i="8"/>
  <c r="N306" i="8"/>
  <c r="N307" i="8"/>
  <c r="N308" i="8"/>
  <c r="N309" i="8"/>
  <c r="N63" i="8"/>
  <c r="N311" i="8"/>
  <c r="N312" i="8"/>
  <c r="N313" i="8"/>
  <c r="N314" i="8"/>
  <c r="N315" i="8"/>
  <c r="N316" i="8"/>
  <c r="N317" i="8"/>
  <c r="N318" i="8"/>
  <c r="N319" i="8"/>
  <c r="N320" i="8"/>
  <c r="N321" i="8"/>
  <c r="N322" i="8"/>
  <c r="N323" i="8"/>
  <c r="N324" i="8"/>
  <c r="N325" i="8"/>
  <c r="N326" i="8"/>
  <c r="N327" i="8"/>
  <c r="N328" i="8"/>
  <c r="N329" i="8"/>
  <c r="N330" i="8"/>
  <c r="N331" i="8"/>
  <c r="N332" i="8"/>
  <c r="N333" i="8"/>
  <c r="N334" i="8"/>
  <c r="N335" i="8"/>
  <c r="N336" i="8"/>
  <c r="N337" i="8"/>
  <c r="N338" i="8"/>
  <c r="N339" i="8"/>
  <c r="N340" i="8"/>
  <c r="N341" i="8"/>
  <c r="N342" i="8"/>
  <c r="N343" i="8"/>
  <c r="N344" i="8"/>
  <c r="N345" i="8"/>
  <c r="N346" i="8"/>
  <c r="N347" i="8"/>
  <c r="N348" i="8"/>
  <c r="N349" i="8"/>
  <c r="N350" i="8"/>
  <c r="N351" i="8"/>
  <c r="N352" i="8"/>
  <c r="N353" i="8"/>
  <c r="N354" i="8"/>
  <c r="N355" i="8"/>
  <c r="N356" i="8"/>
  <c r="N357" i="8"/>
  <c r="N358" i="8"/>
  <c r="N359" i="8"/>
  <c r="N360" i="8"/>
  <c r="N361" i="8"/>
  <c r="N362" i="8"/>
  <c r="N363" i="8"/>
  <c r="N364" i="8"/>
  <c r="N365" i="8"/>
  <c r="N366" i="8"/>
  <c r="N367" i="8"/>
  <c r="N368" i="8"/>
  <c r="N369" i="8"/>
  <c r="N370" i="8"/>
  <c r="N371" i="8"/>
  <c r="N372" i="8"/>
  <c r="N373" i="8"/>
  <c r="N374" i="8"/>
  <c r="N375" i="8"/>
  <c r="N132" i="8"/>
  <c r="N133" i="8"/>
  <c r="N134" i="8"/>
  <c r="N135" i="8"/>
  <c r="N136" i="8"/>
  <c r="N137" i="8"/>
  <c r="N138" i="8"/>
  <c r="N139" i="8"/>
  <c r="N384" i="8"/>
  <c r="N385" i="8"/>
  <c r="N386" i="8"/>
  <c r="N387" i="8"/>
  <c r="N388" i="8"/>
  <c r="N389" i="8"/>
  <c r="N140" i="8"/>
  <c r="N141" i="8"/>
  <c r="N142" i="8"/>
  <c r="N143" i="8"/>
  <c r="N394" i="8"/>
  <c r="N395" i="8"/>
  <c r="N396" i="8"/>
  <c r="N144" i="8"/>
  <c r="N145" i="8"/>
  <c r="N146" i="8"/>
  <c r="N400" i="8"/>
  <c r="N401" i="8"/>
  <c r="N402" i="8"/>
  <c r="N403" i="8"/>
  <c r="N404" i="8"/>
  <c r="N405" i="8"/>
  <c r="N406" i="8"/>
  <c r="N407" i="8"/>
  <c r="N408" i="8"/>
  <c r="N409" i="8"/>
  <c r="N410" i="8"/>
  <c r="N411" i="8"/>
  <c r="N412" i="8"/>
  <c r="N413" i="8"/>
  <c r="N414" i="8"/>
  <c r="N415" i="8"/>
  <c r="N416" i="8"/>
  <c r="N417" i="8"/>
  <c r="N418" i="8"/>
  <c r="N419" i="8"/>
  <c r="N420" i="8"/>
  <c r="N147" i="8"/>
  <c r="N158" i="8"/>
  <c r="N159" i="8"/>
  <c r="N160" i="8"/>
  <c r="N161" i="8"/>
  <c r="N162" i="8"/>
  <c r="N427" i="8"/>
  <c r="N163" i="8"/>
  <c r="N164" i="8"/>
  <c r="N165" i="8"/>
  <c r="N166" i="8"/>
  <c r="N167" i="8"/>
  <c r="N178" i="8"/>
  <c r="N434" i="8"/>
  <c r="N435" i="8"/>
  <c r="N436" i="8"/>
  <c r="N437" i="8"/>
  <c r="N438" i="8"/>
  <c r="N439" i="8"/>
  <c r="N440" i="8"/>
  <c r="N441" i="8"/>
  <c r="N442" i="8"/>
  <c r="N443" i="8"/>
  <c r="N444" i="8"/>
  <c r="N445" i="8"/>
  <c r="N446" i="8"/>
  <c r="N447" i="8"/>
  <c r="N448" i="8"/>
  <c r="N449" i="8"/>
  <c r="N450" i="8"/>
  <c r="N451" i="8"/>
  <c r="N452" i="8"/>
  <c r="N453" i="8"/>
  <c r="N454" i="8"/>
  <c r="N455" i="8"/>
  <c r="N456" i="8"/>
  <c r="N457" i="8"/>
  <c r="N458" i="8"/>
  <c r="N459" i="8"/>
  <c r="N460" i="8"/>
  <c r="N461" i="8"/>
  <c r="N462" i="8"/>
  <c r="N463" i="8"/>
  <c r="N465" i="19"/>
  <c r="N465" i="8"/>
  <c r="N466" i="8"/>
  <c r="N467" i="8"/>
  <c r="N468" i="8"/>
  <c r="N469" i="8"/>
  <c r="N470" i="8"/>
  <c r="N471" i="8"/>
  <c r="N472" i="8"/>
  <c r="N473" i="8"/>
  <c r="N474" i="8"/>
  <c r="N475" i="8"/>
  <c r="N476" i="8"/>
  <c r="N477" i="8"/>
  <c r="N478" i="8"/>
  <c r="N479" i="8"/>
  <c r="N480" i="8"/>
  <c r="N481" i="8"/>
  <c r="N482" i="8"/>
  <c r="N483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179" i="8"/>
  <c r="N66" i="8"/>
  <c r="N180" i="8"/>
  <c r="N69" i="8"/>
  <c r="N181" i="8"/>
  <c r="N70" i="8"/>
  <c r="N187" i="8"/>
  <c r="N79" i="8"/>
  <c r="N188" i="8"/>
  <c r="N80" i="8"/>
  <c r="N189" i="8"/>
  <c r="N82" i="8"/>
  <c r="N190" i="8"/>
  <c r="N83" i="8"/>
  <c r="N200" i="8"/>
  <c r="N215" i="8"/>
  <c r="N86" i="8"/>
  <c r="N292" i="8"/>
  <c r="N87" i="8"/>
  <c r="N296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216" i="8"/>
  <c r="N217" i="8"/>
  <c r="N594" i="8"/>
  <c r="N595" i="8"/>
  <c r="N218" i="8"/>
  <c r="N219" i="8"/>
  <c r="N598" i="8"/>
  <c r="N599" i="8"/>
  <c r="N220" i="8"/>
  <c r="N221" i="8"/>
  <c r="N602" i="8"/>
  <c r="N222" i="8"/>
  <c r="N229" i="8"/>
  <c r="N284" i="8"/>
  <c r="N285" i="8"/>
  <c r="N286" i="8"/>
  <c r="N287" i="8"/>
  <c r="N288" i="8"/>
  <c r="N289" i="8"/>
  <c r="N290" i="8"/>
  <c r="N291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N639" i="8"/>
  <c r="N640" i="8"/>
  <c r="N641" i="8"/>
  <c r="N642" i="8"/>
  <c r="N643" i="8"/>
  <c r="N644" i="8"/>
  <c r="N645" i="8"/>
  <c r="N646" i="8"/>
  <c r="N647" i="8"/>
  <c r="N648" i="8"/>
  <c r="N649" i="8"/>
  <c r="N650" i="8"/>
  <c r="N651" i="8"/>
  <c r="N652" i="8"/>
  <c r="N653" i="8"/>
  <c r="N654" i="8"/>
  <c r="N655" i="8"/>
  <c r="N656" i="8"/>
  <c r="N657" i="8"/>
  <c r="N658" i="8"/>
  <c r="N659" i="8"/>
  <c r="N660" i="8"/>
  <c r="N661" i="8"/>
  <c r="N662" i="8"/>
  <c r="N663" i="8"/>
  <c r="N664" i="8"/>
  <c r="N665" i="8"/>
  <c r="N666" i="8"/>
  <c r="N667" i="8"/>
  <c r="N668" i="8"/>
  <c r="N669" i="8"/>
  <c r="N670" i="8"/>
  <c r="N671" i="8"/>
  <c r="N672" i="8"/>
  <c r="N673" i="8"/>
  <c r="N674" i="8"/>
  <c r="N675" i="8"/>
  <c r="N676" i="8"/>
  <c r="N677" i="8"/>
  <c r="N678" i="8"/>
  <c r="N679" i="8"/>
  <c r="N680" i="8"/>
  <c r="N681" i="8"/>
  <c r="N682" i="8"/>
  <c r="N683" i="8"/>
  <c r="N684" i="8"/>
  <c r="N685" i="8"/>
  <c r="N686" i="8"/>
  <c r="N687" i="8"/>
  <c r="N688" i="8"/>
  <c r="N689" i="8"/>
  <c r="N690" i="8"/>
  <c r="N691" i="8"/>
  <c r="N692" i="8"/>
  <c r="N693" i="8"/>
  <c r="N694" i="8"/>
  <c r="N695" i="8"/>
  <c r="N696" i="8"/>
  <c r="N697" i="8"/>
  <c r="N698" i="8"/>
  <c r="N699" i="8"/>
  <c r="N700" i="8"/>
  <c r="N701" i="8"/>
  <c r="N702" i="8"/>
  <c r="N703" i="8"/>
  <c r="N704" i="8"/>
  <c r="N705" i="8"/>
  <c r="N706" i="8"/>
  <c r="N707" i="8"/>
  <c r="N708" i="8"/>
  <c r="N709" i="8"/>
  <c r="N710" i="8"/>
  <c r="N711" i="8"/>
  <c r="N712" i="8"/>
  <c r="N713" i="8"/>
  <c r="N714" i="8"/>
  <c r="N715" i="8"/>
  <c r="N716" i="8"/>
  <c r="N717" i="8"/>
  <c r="N718" i="8"/>
  <c r="N719" i="8"/>
  <c r="N720" i="8"/>
  <c r="N721" i="8"/>
  <c r="N722" i="8"/>
  <c r="N723" i="8"/>
  <c r="N724" i="8"/>
  <c r="N725" i="8"/>
  <c r="N726" i="8"/>
  <c r="N727" i="8"/>
  <c r="N728" i="8"/>
  <c r="N729" i="8"/>
  <c r="N730" i="8"/>
  <c r="N731" i="8"/>
  <c r="N732" i="8"/>
  <c r="N733" i="8"/>
  <c r="N734" i="8"/>
  <c r="N735" i="8"/>
  <c r="N736" i="8"/>
  <c r="N737" i="8"/>
  <c r="N738" i="8"/>
  <c r="N739" i="8"/>
  <c r="N740" i="8"/>
  <c r="N741" i="8"/>
  <c r="N742" i="8"/>
  <c r="N743" i="8"/>
  <c r="N744" i="8"/>
  <c r="N745" i="8"/>
  <c r="N746" i="8"/>
  <c r="N747" i="8"/>
  <c r="N748" i="8"/>
  <c r="N749" i="8"/>
  <c r="N750" i="8"/>
  <c r="N751" i="8"/>
  <c r="N752" i="8"/>
  <c r="N753" i="8"/>
  <c r="N754" i="8"/>
  <c r="N755" i="8"/>
  <c r="N756" i="8"/>
  <c r="N757" i="8"/>
  <c r="N758" i="8"/>
  <c r="N760" i="19"/>
  <c r="N760" i="8"/>
  <c r="N761" i="8"/>
  <c r="N762" i="8"/>
  <c r="N763" i="8"/>
  <c r="N764" i="8"/>
  <c r="N765" i="8"/>
  <c r="N766" i="8"/>
  <c r="N767" i="8"/>
  <c r="N768" i="8"/>
  <c r="N769" i="8"/>
  <c r="N770" i="8"/>
  <c r="N771" i="8"/>
  <c r="N772" i="8"/>
  <c r="N773" i="8"/>
  <c r="N774" i="8"/>
  <c r="N775" i="8"/>
  <c r="N776" i="8"/>
  <c r="N777" i="8"/>
  <c r="N778" i="8"/>
  <c r="N779" i="8"/>
  <c r="N780" i="8"/>
  <c r="N781" i="8"/>
  <c r="N782" i="8"/>
  <c r="N783" i="8"/>
  <c r="N784" i="8"/>
  <c r="N785" i="8"/>
  <c r="N786" i="8"/>
  <c r="N787" i="8"/>
  <c r="N788" i="8"/>
  <c r="N789" i="8"/>
  <c r="N790" i="8"/>
  <c r="N791" i="8"/>
  <c r="N792" i="8"/>
  <c r="N793" i="8"/>
  <c r="N794" i="8"/>
  <c r="N795" i="8"/>
  <c r="N796" i="8"/>
  <c r="N797" i="8"/>
  <c r="N798" i="8"/>
  <c r="N799" i="8"/>
  <c r="N800" i="8"/>
  <c r="N801" i="8"/>
  <c r="N802" i="8"/>
  <c r="N803" i="8"/>
  <c r="N804" i="8"/>
  <c r="N805" i="8"/>
  <c r="N806" i="8"/>
  <c r="N807" i="8"/>
  <c r="N808" i="8"/>
  <c r="N809" i="8"/>
  <c r="N810" i="8"/>
  <c r="N811" i="8"/>
  <c r="N812" i="8"/>
  <c r="N813" i="8"/>
  <c r="N814" i="8"/>
  <c r="N815" i="8"/>
  <c r="N816" i="8"/>
  <c r="N817" i="8"/>
  <c r="N818" i="8"/>
  <c r="N819" i="8"/>
  <c r="N820" i="8"/>
  <c r="N821" i="8"/>
  <c r="N822" i="8"/>
  <c r="N823" i="8"/>
  <c r="N824" i="8"/>
  <c r="N825" i="8"/>
  <c r="N826" i="8"/>
  <c r="N827" i="8"/>
  <c r="N828" i="8"/>
  <c r="N829" i="8"/>
  <c r="N830" i="8"/>
  <c r="N831" i="8"/>
  <c r="N832" i="8"/>
  <c r="N833" i="8"/>
  <c r="N834" i="8"/>
  <c r="N835" i="8"/>
  <c r="N836" i="8"/>
  <c r="N837" i="8"/>
  <c r="N838" i="8"/>
  <c r="N839" i="8"/>
  <c r="N840" i="8"/>
  <c r="N841" i="8"/>
  <c r="N842" i="8"/>
  <c r="N843" i="8"/>
  <c r="N844" i="8"/>
  <c r="N845" i="8"/>
  <c r="N846" i="8"/>
  <c r="N847" i="8"/>
  <c r="N848" i="8"/>
  <c r="N849" i="8"/>
  <c r="N850" i="8"/>
  <c r="N851" i="8"/>
  <c r="N852" i="8"/>
  <c r="N853" i="8"/>
  <c r="N854" i="8"/>
  <c r="N855" i="8"/>
  <c r="N856" i="8"/>
  <c r="N857" i="8"/>
  <c r="N858" i="8"/>
  <c r="N859" i="8"/>
  <c r="N860" i="8"/>
  <c r="N861" i="8"/>
  <c r="N862" i="8"/>
  <c r="N863" i="8"/>
  <c r="N864" i="8"/>
  <c r="N865" i="8"/>
  <c r="N866" i="8"/>
  <c r="N867" i="8"/>
  <c r="N868" i="8"/>
  <c r="N869" i="8"/>
  <c r="N870" i="8"/>
  <c r="N871" i="8"/>
  <c r="N872" i="8"/>
  <c r="N873" i="8"/>
  <c r="N874" i="8"/>
  <c r="N875" i="8"/>
  <c r="N876" i="8"/>
  <c r="N877" i="8"/>
  <c r="N878" i="8"/>
  <c r="N879" i="8"/>
  <c r="N880" i="8"/>
  <c r="N881" i="8"/>
  <c r="N882" i="8"/>
  <c r="N883" i="8"/>
  <c r="N884" i="8"/>
  <c r="N885" i="8"/>
  <c r="N886" i="8"/>
  <c r="N887" i="8"/>
  <c r="N888" i="8"/>
  <c r="N889" i="8"/>
  <c r="N890" i="8"/>
  <c r="N891" i="8"/>
  <c r="N892" i="8"/>
  <c r="N893" i="8"/>
  <c r="N894" i="8"/>
  <c r="N895" i="8"/>
  <c r="N896" i="8"/>
  <c r="N897" i="8"/>
  <c r="N898" i="8"/>
  <c r="N899" i="8"/>
  <c r="N900" i="8"/>
  <c r="N901" i="8"/>
  <c r="N902" i="8"/>
  <c r="N903" i="8"/>
  <c r="N904" i="8"/>
  <c r="N905" i="8"/>
  <c r="N906" i="8"/>
  <c r="N907" i="8"/>
  <c r="N908" i="8"/>
  <c r="N909" i="8"/>
  <c r="N910" i="8"/>
  <c r="N911" i="8"/>
  <c r="N912" i="8"/>
  <c r="N913" i="8"/>
  <c r="N914" i="8"/>
  <c r="N915" i="8"/>
  <c r="N916" i="8"/>
  <c r="N917" i="8"/>
  <c r="N918" i="8"/>
  <c r="N919" i="8"/>
  <c r="N920" i="8"/>
  <c r="N921" i="8"/>
  <c r="N922" i="8"/>
  <c r="N923" i="8"/>
  <c r="N924" i="8"/>
  <c r="N925" i="8"/>
  <c r="N310" i="8"/>
  <c r="N376" i="8"/>
  <c r="N377" i="8"/>
  <c r="N378" i="8"/>
  <c r="N379" i="8"/>
  <c r="N380" i="8"/>
  <c r="N381" i="8"/>
  <c r="N382" i="8"/>
  <c r="N230" i="8"/>
  <c r="N231" i="8"/>
  <c r="N232" i="8"/>
  <c r="N233" i="8"/>
  <c r="N236" i="8"/>
  <c r="N237" i="8"/>
  <c r="N238" i="8"/>
  <c r="N239" i="8"/>
  <c r="N240" i="8"/>
  <c r="N241" i="8"/>
  <c r="N944" i="8"/>
  <c r="N945" i="8"/>
  <c r="N946" i="8"/>
  <c r="N947" i="8"/>
  <c r="N948" i="8"/>
  <c r="N949" i="8"/>
  <c r="N950" i="8"/>
  <c r="N951" i="8"/>
  <c r="N952" i="8"/>
  <c r="N953" i="8"/>
  <c r="N954" i="8"/>
  <c r="N955" i="8"/>
  <c r="N956" i="8"/>
  <c r="N957" i="8"/>
  <c r="N958" i="8"/>
  <c r="N383" i="8"/>
  <c r="N960" i="8"/>
  <c r="N961" i="8"/>
  <c r="N962" i="8"/>
  <c r="N963" i="8"/>
  <c r="N964" i="8"/>
  <c r="N390" i="8"/>
  <c r="N391" i="8"/>
  <c r="N967" i="8"/>
  <c r="N968" i="8"/>
  <c r="N969" i="8"/>
  <c r="N970" i="8"/>
  <c r="N392" i="8"/>
  <c r="N393" i="8"/>
  <c r="N397" i="8"/>
  <c r="N398" i="8"/>
  <c r="N399" i="8"/>
  <c r="N421" i="8"/>
  <c r="N422" i="8"/>
  <c r="N978" i="8"/>
  <c r="N242" i="8"/>
  <c r="N243" i="8"/>
  <c r="N254" i="8"/>
  <c r="N272" i="8"/>
  <c r="N273" i="8"/>
  <c r="N274" i="8"/>
  <c r="N275" i="8"/>
  <c r="N276" i="8"/>
  <c r="N277" i="8"/>
  <c r="N278" i="8"/>
  <c r="N279" i="8"/>
  <c r="N990" i="8"/>
  <c r="N991" i="8"/>
  <c r="N992" i="8"/>
  <c r="N993" i="8"/>
  <c r="N994" i="8"/>
  <c r="N995" i="8"/>
  <c r="N996" i="8"/>
  <c r="N997" i="8"/>
  <c r="N998" i="8"/>
  <c r="N999" i="8"/>
  <c r="N1000" i="8"/>
  <c r="N1001" i="8"/>
  <c r="N1002" i="8"/>
  <c r="N1003" i="8"/>
  <c r="N1004" i="8"/>
  <c r="N1005" i="8"/>
  <c r="N1006" i="8"/>
  <c r="N1007" i="8"/>
  <c r="N1008" i="8"/>
  <c r="N1009" i="8"/>
  <c r="N1010" i="8"/>
  <c r="N1011" i="8"/>
  <c r="N1012" i="8"/>
  <c r="N1013" i="8"/>
  <c r="N1014" i="8"/>
  <c r="N1015" i="8"/>
  <c r="N1016" i="8"/>
  <c r="N1017" i="8"/>
  <c r="N1018" i="8"/>
  <c r="N1019" i="8"/>
  <c r="N1020" i="8"/>
  <c r="N1021" i="8"/>
  <c r="N1022" i="8"/>
  <c r="N1023" i="8"/>
  <c r="N1024" i="8"/>
  <c r="N423" i="8"/>
  <c r="N1026" i="8"/>
  <c r="N1027" i="8"/>
  <c r="N1028" i="8"/>
  <c r="N1029" i="8"/>
  <c r="N1030" i="8"/>
  <c r="N1031" i="8"/>
  <c r="N1032" i="8"/>
  <c r="N1033" i="8"/>
  <c r="N1034" i="8"/>
  <c r="N1035" i="8"/>
  <c r="N1036" i="8"/>
  <c r="N1037" i="8"/>
  <c r="N1038" i="8"/>
  <c r="N1039" i="8"/>
  <c r="N1040" i="8"/>
  <c r="N1041" i="8"/>
  <c r="N1042" i="8"/>
  <c r="N1043" i="8"/>
  <c r="N1044" i="8"/>
  <c r="N1045" i="8"/>
  <c r="N1046" i="8"/>
  <c r="N1047" i="8"/>
  <c r="N1048" i="8"/>
  <c r="N1049" i="8"/>
  <c r="N1050" i="8"/>
  <c r="N1051" i="8"/>
  <c r="N280" i="8"/>
  <c r="N281" i="8"/>
  <c r="N1054" i="8"/>
  <c r="N282" i="8"/>
  <c r="N283" i="8"/>
  <c r="N1057" i="8"/>
  <c r="N1058" i="8"/>
  <c r="N1059" i="8"/>
  <c r="N1060" i="8"/>
  <c r="N1061" i="8"/>
  <c r="N1062" i="8"/>
  <c r="N1063" i="8"/>
  <c r="N1064" i="8"/>
  <c r="N1065" i="8"/>
  <c r="N1066" i="8"/>
  <c r="N1067" i="8"/>
  <c r="N1068" i="8"/>
  <c r="N1069" i="8"/>
  <c r="N1070" i="8"/>
  <c r="N1071" i="8"/>
  <c r="N1072" i="8"/>
  <c r="N1073" i="8"/>
  <c r="N1074" i="8"/>
  <c r="N1075" i="8"/>
  <c r="N1076" i="8"/>
  <c r="N1077" i="8"/>
  <c r="N1078" i="8"/>
  <c r="N1079" i="8"/>
  <c r="N1080" i="8"/>
  <c r="N1081" i="8"/>
  <c r="N1082" i="8"/>
  <c r="N1083" i="8"/>
  <c r="N1084" i="8"/>
  <c r="N1085" i="8"/>
  <c r="N1086" i="8"/>
  <c r="N1087" i="8"/>
  <c r="N1088" i="8"/>
  <c r="N1089" i="8"/>
  <c r="N1090" i="8"/>
  <c r="N1091" i="8"/>
  <c r="N1092" i="8"/>
  <c r="N1093" i="8"/>
  <c r="N1094" i="8"/>
  <c r="N1095" i="8"/>
  <c r="N1096" i="8"/>
  <c r="N1097" i="8"/>
  <c r="N1098" i="8"/>
  <c r="N1099" i="8"/>
  <c r="N1100" i="8"/>
  <c r="N1101" i="8"/>
  <c r="N1102" i="8"/>
  <c r="N1103" i="8"/>
  <c r="N1104" i="8"/>
  <c r="N1105" i="8"/>
  <c r="N1106" i="8"/>
  <c r="N1107" i="8"/>
  <c r="N1108" i="8"/>
  <c r="N1109" i="8"/>
  <c r="N1110" i="8"/>
  <c r="N1111" i="8"/>
  <c r="N1112" i="8"/>
  <c r="N1113" i="8"/>
  <c r="N1114" i="8"/>
  <c r="N1115" i="8"/>
  <c r="N1116" i="8"/>
  <c r="N1117" i="8"/>
  <c r="N1118" i="8"/>
  <c r="N1119" i="8"/>
  <c r="N1120" i="8"/>
  <c r="N1121" i="8"/>
  <c r="N1122" i="8"/>
  <c r="N1123" i="8"/>
  <c r="N1124" i="8"/>
  <c r="N1125" i="8"/>
  <c r="N1126" i="8"/>
  <c r="N1127" i="8"/>
  <c r="N1128" i="8"/>
  <c r="N1129" i="8"/>
  <c r="N1130" i="8"/>
  <c r="N1131" i="8"/>
  <c r="N1132" i="8"/>
  <c r="N1133" i="8"/>
  <c r="N1134" i="8"/>
  <c r="N1135" i="8"/>
  <c r="N1136" i="8"/>
  <c r="N1137" i="8"/>
  <c r="N1138" i="8"/>
  <c r="N1139" i="8"/>
  <c r="N1140" i="8"/>
  <c r="N1141" i="8"/>
  <c r="N1142" i="8"/>
  <c r="N1143" i="8"/>
  <c r="N1144" i="8"/>
  <c r="N1145" i="8"/>
  <c r="N1146" i="8"/>
  <c r="N1147" i="8"/>
  <c r="N1148" i="8"/>
  <c r="N1149" i="8"/>
  <c r="N1150" i="8"/>
  <c r="N1151" i="8"/>
  <c r="N1152" i="8"/>
  <c r="N1153" i="8"/>
  <c r="N1154" i="8"/>
  <c r="N1155" i="8"/>
  <c r="N1156" i="8"/>
  <c r="N1157" i="8"/>
  <c r="N1158" i="8"/>
  <c r="N1159" i="8"/>
  <c r="N1160" i="8"/>
  <c r="N1161" i="8"/>
  <c r="N1162" i="8"/>
  <c r="N1163" i="8"/>
  <c r="N1164" i="8"/>
  <c r="N1165" i="8"/>
  <c r="N1166" i="8"/>
  <c r="N1167" i="8"/>
  <c r="N1168" i="8"/>
  <c r="N1169" i="8"/>
  <c r="N1170" i="8"/>
  <c r="N1171" i="8"/>
  <c r="N1172" i="8"/>
  <c r="N1173" i="8"/>
  <c r="N1174" i="8"/>
  <c r="N1175" i="8"/>
  <c r="N1176" i="8"/>
  <c r="N1177" i="8"/>
  <c r="N1178" i="8"/>
  <c r="N1179" i="8"/>
  <c r="N1180" i="8"/>
  <c r="N1181" i="8"/>
  <c r="N1182" i="8"/>
  <c r="N1183" i="8"/>
  <c r="N1184" i="8"/>
  <c r="N1185" i="8"/>
  <c r="N1186" i="8"/>
  <c r="N1187" i="8"/>
  <c r="N1188" i="8"/>
  <c r="N1189" i="8"/>
  <c r="N1190" i="8"/>
  <c r="N1191" i="8"/>
  <c r="N1192" i="8"/>
  <c r="N1193" i="8"/>
  <c r="N1194" i="8"/>
  <c r="N1195" i="8"/>
  <c r="N1196" i="8"/>
  <c r="N1197" i="8"/>
  <c r="N1198" i="8"/>
  <c r="N1199" i="8"/>
  <c r="N1200" i="8"/>
  <c r="N1201" i="8"/>
  <c r="N1202" i="8"/>
  <c r="N1203" i="8"/>
  <c r="N1204" i="8"/>
  <c r="N1205" i="8"/>
  <c r="N1206" i="8"/>
  <c r="N1207" i="8"/>
  <c r="N1208" i="8"/>
  <c r="N1209" i="8"/>
  <c r="N1210" i="8"/>
  <c r="N1211" i="8"/>
  <c r="N1212" i="8"/>
  <c r="N1213" i="8"/>
  <c r="N1214" i="8"/>
  <c r="N1215" i="8"/>
  <c r="N1216" i="8"/>
  <c r="N1217" i="8"/>
  <c r="N1218" i="8"/>
  <c r="N1219" i="8"/>
  <c r="N1220" i="8"/>
  <c r="N1221" i="8"/>
  <c r="N1222" i="8"/>
  <c r="N1223" i="8"/>
  <c r="N1224" i="8"/>
  <c r="N1225" i="8"/>
  <c r="N1226" i="8"/>
  <c r="N1227" i="8"/>
  <c r="N1228" i="8"/>
  <c r="N1229" i="8"/>
  <c r="N1230" i="8"/>
  <c r="N1231" i="8"/>
  <c r="N1232" i="8"/>
  <c r="N1233" i="8"/>
  <c r="N1234" i="8"/>
  <c r="N1235" i="8"/>
  <c r="N1236" i="8"/>
  <c r="N1237" i="8"/>
  <c r="N1238" i="8"/>
  <c r="N1239" i="8"/>
  <c r="N1240" i="8"/>
  <c r="N1241" i="8"/>
  <c r="N1242" i="8"/>
  <c r="N1243" i="8"/>
  <c r="N1244" i="8"/>
  <c r="N1245" i="8"/>
  <c r="N1246" i="8"/>
  <c r="N1247" i="8"/>
  <c r="N1248" i="8"/>
  <c r="N1249" i="8"/>
  <c r="N1250" i="8"/>
  <c r="N1251" i="8"/>
  <c r="N1252" i="8"/>
  <c r="N1253" i="8"/>
  <c r="N1254" i="8"/>
  <c r="N1255" i="8"/>
  <c r="N1256" i="8"/>
  <c r="N1257" i="8"/>
  <c r="N1258" i="8"/>
  <c r="N1259" i="8"/>
  <c r="N1260" i="8"/>
  <c r="N1261" i="8"/>
  <c r="N1262" i="8"/>
  <c r="N1263" i="8"/>
  <c r="N1264" i="8"/>
  <c r="N1265" i="8"/>
  <c r="N1266" i="8"/>
  <c r="N1267" i="8"/>
  <c r="N1268" i="8"/>
  <c r="N1269" i="8"/>
  <c r="N1270" i="8"/>
  <c r="N1271" i="8"/>
  <c r="N1272" i="8"/>
  <c r="N1273" i="8"/>
  <c r="N1274" i="8"/>
  <c r="N1275" i="8"/>
  <c r="N1276" i="8"/>
  <c r="N1277" i="8"/>
  <c r="N1278" i="8"/>
  <c r="N1279" i="8"/>
  <c r="N1280" i="8"/>
  <c r="N1281" i="8"/>
  <c r="N1282" i="8"/>
  <c r="N1283" i="8"/>
  <c r="N1284" i="8"/>
  <c r="N1285" i="8"/>
  <c r="N1286" i="8"/>
  <c r="N1287" i="8"/>
  <c r="N1288" i="8"/>
  <c r="N1289" i="8"/>
  <c r="N1290" i="8"/>
  <c r="N1291" i="8"/>
  <c r="N1292" i="8"/>
  <c r="N1293" i="8"/>
  <c r="N1294" i="8"/>
  <c r="N1295" i="8"/>
  <c r="N1296" i="8"/>
  <c r="N1297" i="8"/>
  <c r="N1298" i="8"/>
  <c r="N1299" i="8"/>
  <c r="N1300" i="8"/>
  <c r="N1301" i="8"/>
  <c r="N1302" i="8"/>
  <c r="N1303" i="8"/>
  <c r="N1304" i="8"/>
  <c r="N1305" i="8"/>
  <c r="N1306" i="8"/>
  <c r="N1307" i="8"/>
  <c r="N1308" i="8"/>
  <c r="N1309" i="8"/>
  <c r="N1310" i="8"/>
  <c r="N1311" i="8"/>
  <c r="N1312" i="8"/>
  <c r="N1313" i="8"/>
  <c r="N1314" i="8"/>
  <c r="N1315" i="8"/>
  <c r="N1316" i="8"/>
  <c r="N1317" i="8"/>
  <c r="N1318" i="8"/>
  <c r="N1319" i="8"/>
  <c r="N1320" i="8"/>
  <c r="N1321" i="8"/>
  <c r="N1322" i="8"/>
  <c r="N1323" i="8"/>
  <c r="N1324" i="8"/>
  <c r="N1325" i="8"/>
  <c r="N1326" i="8"/>
  <c r="N1327" i="8"/>
  <c r="N1328" i="8"/>
  <c r="N1329" i="8"/>
  <c r="N1330" i="8"/>
  <c r="N1331" i="8"/>
  <c r="N1332" i="8"/>
  <c r="N1333" i="8"/>
  <c r="N1334" i="8"/>
  <c r="N1335" i="8"/>
  <c r="N1336" i="8"/>
  <c r="N1337" i="8"/>
  <c r="N1338" i="8"/>
  <c r="N1339" i="8"/>
  <c r="N1340" i="8"/>
  <c r="N1341" i="8"/>
  <c r="N1342" i="8"/>
  <c r="N1343" i="8"/>
  <c r="N1344" i="8"/>
  <c r="N1345" i="8"/>
  <c r="N1346" i="8"/>
  <c r="N1347" i="8"/>
  <c r="N1348" i="8"/>
  <c r="N1349" i="8"/>
  <c r="N1350" i="8"/>
  <c r="N1351" i="8"/>
  <c r="N1352" i="8"/>
  <c r="N1353" i="8"/>
  <c r="N1354" i="8"/>
  <c r="N1355" i="8"/>
  <c r="N1356" i="8"/>
  <c r="N1357" i="8"/>
  <c r="N1358" i="8"/>
  <c r="N1359" i="8"/>
  <c r="N1360" i="8"/>
  <c r="N1361" i="8"/>
  <c r="N1362" i="8"/>
  <c r="N1363" i="8"/>
  <c r="N1364" i="8"/>
  <c r="N1365" i="8"/>
  <c r="N1366" i="8"/>
  <c r="N1367" i="8"/>
  <c r="N1368" i="8"/>
  <c r="N1369" i="8"/>
  <c r="N1370" i="8"/>
  <c r="N1371" i="8"/>
  <c r="N1372" i="8"/>
  <c r="N1373" i="8"/>
  <c r="N1374" i="8"/>
  <c r="N1375" i="8"/>
  <c r="N1376" i="8"/>
  <c r="N1377" i="8"/>
  <c r="N1378" i="8"/>
  <c r="N1379" i="8"/>
  <c r="N1380" i="8"/>
  <c r="N1381" i="8"/>
  <c r="N1382" i="8"/>
  <c r="N1383" i="8"/>
  <c r="N1384" i="8"/>
  <c r="N1385" i="8"/>
  <c r="N1386" i="8"/>
  <c r="N1387" i="8"/>
  <c r="N1388" i="8"/>
  <c r="N1389" i="8"/>
  <c r="N1390" i="8"/>
  <c r="N1391" i="8"/>
  <c r="N1392" i="8"/>
  <c r="N1393" i="8"/>
  <c r="N1394" i="8"/>
  <c r="N1395" i="8"/>
  <c r="N1396" i="8"/>
  <c r="N1397" i="8"/>
  <c r="N1398" i="8"/>
  <c r="N1399" i="8"/>
  <c r="N1400" i="8"/>
  <c r="N1401" i="8"/>
  <c r="N1402" i="8"/>
  <c r="N1403" i="8"/>
  <c r="N1404" i="8"/>
  <c r="N1405" i="8"/>
  <c r="N1406" i="8"/>
  <c r="N1407" i="8"/>
  <c r="N1408" i="8"/>
  <c r="N1409" i="8"/>
  <c r="N1410" i="8"/>
  <c r="N1411" i="8"/>
  <c r="N1412" i="8"/>
  <c r="N1413" i="8"/>
  <c r="N1414" i="8"/>
  <c r="N1415" i="8"/>
  <c r="N1416" i="8"/>
  <c r="N1417" i="8"/>
  <c r="N1418" i="8"/>
  <c r="N1419" i="8"/>
  <c r="N1420" i="8"/>
  <c r="N1421" i="8"/>
  <c r="N1422" i="8"/>
  <c r="N1423" i="8"/>
  <c r="N1424" i="8"/>
  <c r="N1425" i="8"/>
  <c r="N1426" i="8"/>
  <c r="N1427" i="8"/>
  <c r="N1428" i="8"/>
  <c r="N1429" i="8"/>
  <c r="N1430" i="8"/>
  <c r="N1431" i="8"/>
  <c r="N1432" i="8"/>
  <c r="N1433" i="8"/>
  <c r="N1434" i="8"/>
  <c r="N1435" i="8"/>
  <c r="N1436" i="8"/>
  <c r="N1437" i="8"/>
  <c r="N1438" i="8"/>
  <c r="N1439" i="8"/>
  <c r="N1440" i="8"/>
  <c r="N1441" i="8"/>
  <c r="N1442" i="8"/>
  <c r="N1443" i="8"/>
  <c r="N1445" i="8"/>
  <c r="N1446" i="8"/>
  <c r="N1447" i="8"/>
  <c r="N1448" i="8"/>
  <c r="N1449" i="8"/>
  <c r="N1450" i="8"/>
  <c r="N1451" i="8"/>
  <c r="N1452" i="8"/>
  <c r="N1453" i="8"/>
  <c r="N1454" i="8"/>
  <c r="N1455" i="8"/>
  <c r="N1456" i="8"/>
  <c r="N1457" i="8"/>
  <c r="N1458" i="8"/>
  <c r="N1459" i="8"/>
  <c r="N1460" i="8"/>
  <c r="N1461" i="8"/>
  <c r="N1462" i="8"/>
  <c r="N1463" i="8"/>
  <c r="N1464" i="8"/>
  <c r="N1465" i="8"/>
  <c r="N1466" i="8"/>
  <c r="N1467" i="8"/>
  <c r="N1468" i="8"/>
  <c r="N1469" i="8"/>
  <c r="N1470" i="8"/>
  <c r="N1471" i="8"/>
  <c r="N1472" i="8"/>
  <c r="N1473" i="8"/>
  <c r="N1474" i="8"/>
  <c r="N1475" i="8"/>
  <c r="N1476" i="8"/>
  <c r="N1477" i="8"/>
  <c r="N1478" i="8"/>
  <c r="N1479" i="8"/>
  <c r="N1480" i="8"/>
  <c r="N1481" i="8"/>
  <c r="N1482" i="8"/>
  <c r="N1483" i="8"/>
  <c r="N1484" i="8"/>
  <c r="N1485" i="8"/>
  <c r="N1486" i="8"/>
  <c r="N1487" i="8"/>
  <c r="N1488" i="8"/>
  <c r="N1489" i="8"/>
  <c r="N1490" i="8"/>
  <c r="N1491" i="8"/>
  <c r="N1492" i="8"/>
  <c r="N1493" i="8"/>
  <c r="N1494" i="8"/>
  <c r="N1495" i="8"/>
  <c r="N1496" i="8"/>
  <c r="N1497" i="8"/>
  <c r="N1498" i="8"/>
  <c r="N1499" i="8"/>
  <c r="N1500" i="8"/>
  <c r="N1501" i="8"/>
  <c r="N1502" i="8"/>
  <c r="N1503" i="8"/>
  <c r="N1504" i="8"/>
  <c r="N1505" i="8"/>
  <c r="N1506" i="8"/>
  <c r="N1507" i="8"/>
  <c r="N1508" i="8"/>
  <c r="N1509" i="8"/>
  <c r="N1510" i="8"/>
  <c r="N1511" i="8"/>
  <c r="N1512" i="8"/>
  <c r="N1513" i="8"/>
  <c r="N1514" i="8"/>
  <c r="N1515" i="8"/>
  <c r="N1516" i="8"/>
  <c r="N1518" i="19"/>
  <c r="N1518" i="8"/>
  <c r="N1519" i="8"/>
  <c r="N1520" i="8"/>
  <c r="N1521" i="8"/>
  <c r="N1522" i="8"/>
  <c r="N1523" i="8"/>
  <c r="N1524" i="8"/>
  <c r="N1525" i="8"/>
  <c r="N1526" i="8"/>
  <c r="N1527" i="8"/>
  <c r="N1528" i="8"/>
  <c r="N1529" i="8"/>
  <c r="N1530" i="8"/>
  <c r="N1531" i="8"/>
  <c r="N1532" i="8"/>
  <c r="N1534" i="19"/>
  <c r="N1534" i="8"/>
  <c r="N1535" i="8"/>
  <c r="N1536" i="8"/>
  <c r="N1537" i="8"/>
  <c r="N1538" i="8"/>
  <c r="N1539" i="8"/>
  <c r="N1540" i="8"/>
  <c r="N1541" i="8"/>
  <c r="N1542" i="8"/>
  <c r="N1543" i="8"/>
  <c r="N1544" i="8"/>
  <c r="N1545" i="8"/>
  <c r="K1551" i="2" s="1"/>
  <c r="N1546" i="8"/>
  <c r="N1547" i="8"/>
  <c r="N1548" i="8"/>
  <c r="N1549" i="8"/>
  <c r="N1550" i="8"/>
  <c r="N1551" i="8"/>
  <c r="N1552" i="8"/>
  <c r="N1553" i="8"/>
  <c r="N1554" i="8"/>
  <c r="N1555" i="8"/>
  <c r="N1556" i="8"/>
  <c r="N1557" i="8"/>
  <c r="N1558" i="8"/>
  <c r="N1559" i="8"/>
  <c r="N1560" i="8"/>
  <c r="N1561" i="8"/>
  <c r="N1562" i="8"/>
  <c r="N1563" i="8"/>
  <c r="N1564" i="8"/>
  <c r="N1565" i="8"/>
  <c r="N1566" i="8"/>
  <c r="N1567" i="8"/>
  <c r="N1568" i="8"/>
  <c r="N1569" i="8"/>
  <c r="N1570" i="8"/>
  <c r="N1571" i="8"/>
  <c r="N1572" i="8"/>
  <c r="N1573" i="8"/>
  <c r="N1574" i="8"/>
  <c r="N1575" i="8"/>
  <c r="N1576" i="8"/>
  <c r="N1577" i="8"/>
  <c r="N1578" i="8"/>
  <c r="N1579" i="8"/>
  <c r="N1580" i="8"/>
  <c r="N1581" i="8"/>
  <c r="N1582" i="8"/>
  <c r="N1583" i="8"/>
  <c r="N1584" i="8"/>
  <c r="N1585" i="8"/>
  <c r="N1586" i="8"/>
  <c r="N1587" i="8"/>
  <c r="N1588" i="8"/>
  <c r="N1589" i="8"/>
  <c r="N1590" i="8"/>
  <c r="N1591" i="8"/>
  <c r="N1592" i="8"/>
  <c r="N1593" i="8"/>
  <c r="N1594" i="8"/>
  <c r="N1595" i="8"/>
  <c r="N1596" i="8"/>
  <c r="N1597" i="8"/>
  <c r="N1598" i="8"/>
  <c r="N1599" i="8"/>
  <c r="N1600" i="8"/>
  <c r="N1601" i="8"/>
  <c r="N1602" i="8"/>
  <c r="N1603" i="8"/>
  <c r="N1604" i="8"/>
  <c r="N1605" i="8"/>
  <c r="N1606" i="8"/>
  <c r="N1607" i="8"/>
  <c r="N1608" i="8"/>
  <c r="N1609" i="8"/>
  <c r="N1610" i="8"/>
  <c r="N1611" i="8"/>
  <c r="N1612" i="8"/>
  <c r="N1613" i="8"/>
  <c r="N1614" i="8"/>
  <c r="N1615" i="8"/>
  <c r="N1616" i="8"/>
  <c r="N1617" i="8"/>
  <c r="N1618" i="8"/>
  <c r="N1619" i="8"/>
  <c r="N1620" i="8"/>
  <c r="D976" i="19"/>
  <c r="E976" i="19"/>
  <c r="F976" i="19"/>
  <c r="J976" i="19"/>
  <c r="L976" i="19"/>
  <c r="M976" i="19"/>
  <c r="V976" i="19" s="1"/>
  <c r="O976" i="19"/>
  <c r="D977" i="19"/>
  <c r="E977" i="19"/>
  <c r="F977" i="19"/>
  <c r="J977" i="19"/>
  <c r="L977" i="19"/>
  <c r="M977" i="19"/>
  <c r="V977" i="19" s="1"/>
  <c r="O977" i="19"/>
  <c r="D978" i="19"/>
  <c r="E978" i="19"/>
  <c r="F978" i="19"/>
  <c r="J978" i="19"/>
  <c r="L978" i="19"/>
  <c r="M978" i="19"/>
  <c r="V978" i="19" s="1"/>
  <c r="O978" i="19"/>
  <c r="D979" i="19"/>
  <c r="E979" i="19"/>
  <c r="F979" i="19"/>
  <c r="J979" i="19"/>
  <c r="L979" i="19"/>
  <c r="M979" i="19"/>
  <c r="V979" i="19" s="1"/>
  <c r="O979" i="19"/>
  <c r="D980" i="19"/>
  <c r="E980" i="19"/>
  <c r="F980" i="19"/>
  <c r="J980" i="19"/>
  <c r="L980" i="19"/>
  <c r="M980" i="19"/>
  <c r="V980" i="19" s="1"/>
  <c r="O980" i="19"/>
  <c r="D981" i="19"/>
  <c r="E981" i="19"/>
  <c r="F981" i="19"/>
  <c r="J981" i="19"/>
  <c r="L981" i="19"/>
  <c r="M981" i="19"/>
  <c r="V981" i="19" s="1"/>
  <c r="O981" i="19"/>
  <c r="D982" i="19"/>
  <c r="E982" i="19"/>
  <c r="F982" i="19"/>
  <c r="J982" i="19"/>
  <c r="L982" i="19"/>
  <c r="M982" i="19"/>
  <c r="V982" i="19" s="1"/>
  <c r="O982" i="19"/>
  <c r="D983" i="19"/>
  <c r="E983" i="19"/>
  <c r="F983" i="19"/>
  <c r="J983" i="19"/>
  <c r="L983" i="19"/>
  <c r="M983" i="19"/>
  <c r="V983" i="19" s="1"/>
  <c r="O983" i="19"/>
  <c r="D984" i="19"/>
  <c r="E984" i="19"/>
  <c r="F984" i="19"/>
  <c r="J984" i="19"/>
  <c r="L984" i="19"/>
  <c r="M984" i="19"/>
  <c r="V984" i="19" s="1"/>
  <c r="O984" i="19"/>
  <c r="D985" i="19"/>
  <c r="E985" i="19"/>
  <c r="F985" i="19"/>
  <c r="J985" i="19"/>
  <c r="L985" i="19"/>
  <c r="M985" i="19"/>
  <c r="V985" i="19" s="1"/>
  <c r="O985" i="19"/>
  <c r="D986" i="19"/>
  <c r="E986" i="19"/>
  <c r="F986" i="19"/>
  <c r="J986" i="19"/>
  <c r="L986" i="19"/>
  <c r="M986" i="19"/>
  <c r="V986" i="19" s="1"/>
  <c r="O986" i="19"/>
  <c r="D987" i="19"/>
  <c r="E987" i="19"/>
  <c r="F987" i="19"/>
  <c r="J987" i="19"/>
  <c r="L987" i="19"/>
  <c r="M987" i="19"/>
  <c r="V987" i="19" s="1"/>
  <c r="O987" i="19"/>
  <c r="D988" i="19"/>
  <c r="E988" i="19"/>
  <c r="F988" i="19"/>
  <c r="J988" i="19"/>
  <c r="L988" i="19"/>
  <c r="M988" i="19"/>
  <c r="V988" i="19" s="1"/>
  <c r="O988" i="19"/>
  <c r="D989" i="19"/>
  <c r="E989" i="19"/>
  <c r="F989" i="19"/>
  <c r="J989" i="19"/>
  <c r="L989" i="19"/>
  <c r="M989" i="19"/>
  <c r="V989" i="19" s="1"/>
  <c r="O989" i="19"/>
  <c r="D990" i="19"/>
  <c r="E990" i="19"/>
  <c r="F990" i="19"/>
  <c r="J990" i="19"/>
  <c r="L990" i="19"/>
  <c r="M990" i="19"/>
  <c r="V990" i="19" s="1"/>
  <c r="O990" i="19"/>
  <c r="D991" i="19"/>
  <c r="E991" i="19"/>
  <c r="F991" i="19"/>
  <c r="J991" i="19"/>
  <c r="L991" i="19"/>
  <c r="M991" i="19"/>
  <c r="V991" i="19" s="1"/>
  <c r="O991" i="19"/>
  <c r="D992" i="19"/>
  <c r="E992" i="19"/>
  <c r="F992" i="19"/>
  <c r="J992" i="19"/>
  <c r="L992" i="19"/>
  <c r="M992" i="19"/>
  <c r="V992" i="19" s="1"/>
  <c r="O992" i="19"/>
  <c r="D993" i="19"/>
  <c r="E993" i="19"/>
  <c r="F993" i="19"/>
  <c r="J993" i="19"/>
  <c r="L993" i="19"/>
  <c r="M993" i="19"/>
  <c r="V993" i="19" s="1"/>
  <c r="O993" i="19"/>
  <c r="D994" i="19"/>
  <c r="E994" i="19"/>
  <c r="F994" i="19"/>
  <c r="J994" i="19"/>
  <c r="L994" i="19"/>
  <c r="M994" i="19"/>
  <c r="V994" i="19" s="1"/>
  <c r="O994" i="19"/>
  <c r="D995" i="19"/>
  <c r="E995" i="19"/>
  <c r="F995" i="19"/>
  <c r="J995" i="19"/>
  <c r="L995" i="19"/>
  <c r="M995" i="19"/>
  <c r="V995" i="19" s="1"/>
  <c r="O995" i="19"/>
  <c r="D996" i="19"/>
  <c r="E996" i="19"/>
  <c r="F996" i="19"/>
  <c r="J996" i="19"/>
  <c r="L996" i="19"/>
  <c r="M996" i="19"/>
  <c r="V996" i="19" s="1"/>
  <c r="O996" i="19"/>
  <c r="D997" i="19"/>
  <c r="E997" i="19"/>
  <c r="F997" i="19"/>
  <c r="J997" i="19"/>
  <c r="L997" i="19"/>
  <c r="M997" i="19"/>
  <c r="V997" i="19" s="1"/>
  <c r="O997" i="19"/>
  <c r="D998" i="19"/>
  <c r="E998" i="19"/>
  <c r="F998" i="19"/>
  <c r="J998" i="19"/>
  <c r="L998" i="19"/>
  <c r="M998" i="19"/>
  <c r="V998" i="19" s="1"/>
  <c r="O998" i="19"/>
  <c r="D999" i="19"/>
  <c r="E999" i="19"/>
  <c r="F999" i="19"/>
  <c r="J999" i="19"/>
  <c r="L999" i="19"/>
  <c r="M999" i="19"/>
  <c r="V999" i="19" s="1"/>
  <c r="O999" i="19"/>
  <c r="D1000" i="19"/>
  <c r="E1000" i="19"/>
  <c r="F1000" i="19"/>
  <c r="J1000" i="19"/>
  <c r="L1000" i="19"/>
  <c r="M1000" i="19"/>
  <c r="V1000" i="19" s="1"/>
  <c r="O1000" i="19"/>
  <c r="D1001" i="19"/>
  <c r="E1001" i="19"/>
  <c r="F1001" i="19"/>
  <c r="J1001" i="19"/>
  <c r="L1001" i="19"/>
  <c r="M1001" i="19"/>
  <c r="V1001" i="19" s="1"/>
  <c r="O1001" i="19"/>
  <c r="D1002" i="19"/>
  <c r="E1002" i="19"/>
  <c r="F1002" i="19"/>
  <c r="J1002" i="19"/>
  <c r="L1002" i="19"/>
  <c r="M1002" i="19"/>
  <c r="V1002" i="19" s="1"/>
  <c r="O1002" i="19"/>
  <c r="D1003" i="19"/>
  <c r="E1003" i="19"/>
  <c r="F1003" i="19"/>
  <c r="J1003" i="19"/>
  <c r="L1003" i="19"/>
  <c r="M1003" i="19"/>
  <c r="V1003" i="19" s="1"/>
  <c r="O1003" i="19"/>
  <c r="D1004" i="19"/>
  <c r="E1004" i="19"/>
  <c r="F1004" i="19"/>
  <c r="J1004" i="19"/>
  <c r="L1004" i="19"/>
  <c r="M1004" i="19"/>
  <c r="V1004" i="19" s="1"/>
  <c r="O1004" i="19"/>
  <c r="D1005" i="19"/>
  <c r="E1005" i="19"/>
  <c r="F1005" i="19"/>
  <c r="J1005" i="19"/>
  <c r="L1005" i="19"/>
  <c r="M1005" i="19"/>
  <c r="V1005" i="19" s="1"/>
  <c r="O1005" i="19"/>
  <c r="D1006" i="19"/>
  <c r="E1006" i="19"/>
  <c r="F1006" i="19"/>
  <c r="J1006" i="19"/>
  <c r="L1006" i="19"/>
  <c r="M1006" i="19"/>
  <c r="V1006" i="19" s="1"/>
  <c r="O1006" i="19"/>
  <c r="D1007" i="19"/>
  <c r="E1007" i="19"/>
  <c r="F1007" i="19"/>
  <c r="J1007" i="19"/>
  <c r="L1007" i="19"/>
  <c r="M1007" i="19"/>
  <c r="V1007" i="19" s="1"/>
  <c r="O1007" i="19"/>
  <c r="D1008" i="19"/>
  <c r="E1008" i="19"/>
  <c r="F1008" i="19"/>
  <c r="J1008" i="19"/>
  <c r="L1008" i="19"/>
  <c r="M1008" i="19"/>
  <c r="V1008" i="19" s="1"/>
  <c r="O1008" i="19"/>
  <c r="D1009" i="19"/>
  <c r="E1009" i="19"/>
  <c r="F1009" i="19"/>
  <c r="J1009" i="19"/>
  <c r="L1009" i="19"/>
  <c r="M1009" i="19"/>
  <c r="V1009" i="19" s="1"/>
  <c r="O1009" i="19"/>
  <c r="D1010" i="19"/>
  <c r="E1010" i="19"/>
  <c r="F1010" i="19"/>
  <c r="J1010" i="19"/>
  <c r="L1010" i="19"/>
  <c r="M1010" i="19"/>
  <c r="V1010" i="19" s="1"/>
  <c r="O1010" i="19"/>
  <c r="D1011" i="19"/>
  <c r="E1011" i="19"/>
  <c r="F1011" i="19"/>
  <c r="J1011" i="19"/>
  <c r="L1011" i="19"/>
  <c r="M1011" i="19"/>
  <c r="V1011" i="19" s="1"/>
  <c r="O1011" i="19"/>
  <c r="D1012" i="19"/>
  <c r="E1012" i="19"/>
  <c r="F1012" i="19"/>
  <c r="J1012" i="19"/>
  <c r="L1012" i="19"/>
  <c r="M1012" i="19"/>
  <c r="V1012" i="19" s="1"/>
  <c r="O1012" i="19"/>
  <c r="D1013" i="19"/>
  <c r="E1013" i="19"/>
  <c r="F1013" i="19"/>
  <c r="J1013" i="19"/>
  <c r="L1013" i="19"/>
  <c r="M1013" i="19"/>
  <c r="V1013" i="19" s="1"/>
  <c r="O1013" i="19"/>
  <c r="D1014" i="19"/>
  <c r="E1014" i="19"/>
  <c r="F1014" i="19"/>
  <c r="J1014" i="19"/>
  <c r="L1014" i="19"/>
  <c r="M1014" i="19"/>
  <c r="V1014" i="19" s="1"/>
  <c r="O1014" i="19"/>
  <c r="D1015" i="19"/>
  <c r="E1015" i="19"/>
  <c r="F1015" i="19"/>
  <c r="J1015" i="19"/>
  <c r="L1015" i="19"/>
  <c r="M1015" i="19"/>
  <c r="V1015" i="19" s="1"/>
  <c r="O1015" i="19"/>
  <c r="D1016" i="19"/>
  <c r="E1016" i="19"/>
  <c r="F1016" i="19"/>
  <c r="J1016" i="19"/>
  <c r="L1016" i="19"/>
  <c r="M1016" i="19"/>
  <c r="V1016" i="19" s="1"/>
  <c r="O1016" i="19"/>
  <c r="D1017" i="19"/>
  <c r="E1017" i="19"/>
  <c r="F1017" i="19"/>
  <c r="J1017" i="19"/>
  <c r="L1017" i="19"/>
  <c r="M1017" i="19"/>
  <c r="V1017" i="19" s="1"/>
  <c r="O1017" i="19"/>
  <c r="D1018" i="19"/>
  <c r="E1018" i="19"/>
  <c r="F1018" i="19"/>
  <c r="J1018" i="19"/>
  <c r="L1018" i="19"/>
  <c r="M1018" i="19"/>
  <c r="V1018" i="19" s="1"/>
  <c r="O1018" i="19"/>
  <c r="D1019" i="19"/>
  <c r="E1019" i="19"/>
  <c r="F1019" i="19"/>
  <c r="J1019" i="19"/>
  <c r="L1019" i="19"/>
  <c r="M1019" i="19"/>
  <c r="V1019" i="19" s="1"/>
  <c r="O1019" i="19"/>
  <c r="D1020" i="19"/>
  <c r="E1020" i="19"/>
  <c r="F1020" i="19"/>
  <c r="J1020" i="19"/>
  <c r="L1020" i="19"/>
  <c r="M1020" i="19"/>
  <c r="V1020" i="19" s="1"/>
  <c r="O1020" i="19"/>
  <c r="D1021" i="19"/>
  <c r="E1021" i="19"/>
  <c r="F1021" i="19"/>
  <c r="J1021" i="19"/>
  <c r="L1021" i="19"/>
  <c r="M1021" i="19"/>
  <c r="V1021" i="19" s="1"/>
  <c r="O1021" i="19"/>
  <c r="D1022" i="19"/>
  <c r="E1022" i="19"/>
  <c r="F1022" i="19"/>
  <c r="J1022" i="19"/>
  <c r="L1022" i="19"/>
  <c r="M1022" i="19"/>
  <c r="V1022" i="19" s="1"/>
  <c r="O1022" i="19"/>
  <c r="D1023" i="19"/>
  <c r="E1023" i="19"/>
  <c r="F1023" i="19"/>
  <c r="J1023" i="19"/>
  <c r="L1023" i="19"/>
  <c r="M1023" i="19"/>
  <c r="V1023" i="19" s="1"/>
  <c r="O1023" i="19"/>
  <c r="D1024" i="19"/>
  <c r="E1024" i="19"/>
  <c r="F1024" i="19"/>
  <c r="J1024" i="19"/>
  <c r="L1024" i="19"/>
  <c r="M1024" i="19"/>
  <c r="V1024" i="19" s="1"/>
  <c r="O1024" i="19"/>
  <c r="D1025" i="19"/>
  <c r="E1025" i="19"/>
  <c r="F1025" i="19"/>
  <c r="J1025" i="19"/>
  <c r="L1025" i="19"/>
  <c r="M1025" i="19"/>
  <c r="V1025" i="19" s="1"/>
  <c r="O1025" i="19"/>
  <c r="D1026" i="19"/>
  <c r="E1026" i="19"/>
  <c r="F1026" i="19"/>
  <c r="J1026" i="19"/>
  <c r="L1026" i="19"/>
  <c r="M1026" i="19"/>
  <c r="V1026" i="19" s="1"/>
  <c r="O1026" i="19"/>
  <c r="D1027" i="19"/>
  <c r="E1027" i="19"/>
  <c r="F1027" i="19"/>
  <c r="J1027" i="19"/>
  <c r="L1027" i="19"/>
  <c r="M1027" i="19"/>
  <c r="V1027" i="19" s="1"/>
  <c r="O1027" i="19"/>
  <c r="D1028" i="19"/>
  <c r="E1028" i="19"/>
  <c r="F1028" i="19"/>
  <c r="J1028" i="19"/>
  <c r="L1028" i="19"/>
  <c r="M1028" i="19"/>
  <c r="V1028" i="19" s="1"/>
  <c r="O1028" i="19"/>
  <c r="D1029" i="19"/>
  <c r="E1029" i="19"/>
  <c r="F1029" i="19"/>
  <c r="J1029" i="19"/>
  <c r="L1029" i="19"/>
  <c r="M1029" i="19"/>
  <c r="V1029" i="19" s="1"/>
  <c r="O1029" i="19"/>
  <c r="D1030" i="19"/>
  <c r="E1030" i="19"/>
  <c r="F1030" i="19"/>
  <c r="J1030" i="19"/>
  <c r="L1030" i="19"/>
  <c r="M1030" i="19"/>
  <c r="V1030" i="19" s="1"/>
  <c r="O1030" i="19"/>
  <c r="D1031" i="19"/>
  <c r="E1031" i="19"/>
  <c r="F1031" i="19"/>
  <c r="J1031" i="19"/>
  <c r="L1031" i="19"/>
  <c r="M1031" i="19"/>
  <c r="V1031" i="19" s="1"/>
  <c r="O1031" i="19"/>
  <c r="D1032" i="19"/>
  <c r="E1032" i="19"/>
  <c r="F1032" i="19"/>
  <c r="J1032" i="19"/>
  <c r="L1032" i="19"/>
  <c r="M1032" i="19"/>
  <c r="V1032" i="19" s="1"/>
  <c r="O1032" i="19"/>
  <c r="D1033" i="19"/>
  <c r="E1033" i="19"/>
  <c r="F1033" i="19"/>
  <c r="J1033" i="19"/>
  <c r="L1033" i="19"/>
  <c r="M1033" i="19"/>
  <c r="V1033" i="19" s="1"/>
  <c r="O1033" i="19"/>
  <c r="D1034" i="19"/>
  <c r="E1034" i="19"/>
  <c r="F1034" i="19"/>
  <c r="J1034" i="19"/>
  <c r="L1034" i="19"/>
  <c r="M1034" i="19"/>
  <c r="V1034" i="19" s="1"/>
  <c r="O1034" i="19"/>
  <c r="D1035" i="19"/>
  <c r="E1035" i="19"/>
  <c r="F1035" i="19"/>
  <c r="J1035" i="19"/>
  <c r="L1035" i="19"/>
  <c r="M1035" i="19"/>
  <c r="V1035" i="19" s="1"/>
  <c r="O1035" i="19"/>
  <c r="D1036" i="19"/>
  <c r="E1036" i="19"/>
  <c r="F1036" i="19"/>
  <c r="J1036" i="19"/>
  <c r="L1036" i="19"/>
  <c r="M1036" i="19"/>
  <c r="V1036" i="19" s="1"/>
  <c r="O1036" i="19"/>
  <c r="D1037" i="19"/>
  <c r="E1037" i="19"/>
  <c r="F1037" i="19"/>
  <c r="J1037" i="19"/>
  <c r="L1037" i="19"/>
  <c r="M1037" i="19"/>
  <c r="V1037" i="19" s="1"/>
  <c r="O1037" i="19"/>
  <c r="D1038" i="19"/>
  <c r="E1038" i="19"/>
  <c r="F1038" i="19"/>
  <c r="J1038" i="19"/>
  <c r="L1038" i="19"/>
  <c r="M1038" i="19"/>
  <c r="V1038" i="19" s="1"/>
  <c r="O1038" i="19"/>
  <c r="D1039" i="19"/>
  <c r="E1039" i="19"/>
  <c r="F1039" i="19"/>
  <c r="J1039" i="19"/>
  <c r="L1039" i="19"/>
  <c r="M1039" i="19"/>
  <c r="V1039" i="19" s="1"/>
  <c r="O1039" i="19"/>
  <c r="D1040" i="19"/>
  <c r="E1040" i="19"/>
  <c r="F1040" i="19"/>
  <c r="J1040" i="19"/>
  <c r="L1040" i="19"/>
  <c r="M1040" i="19"/>
  <c r="V1040" i="19" s="1"/>
  <c r="O1040" i="19"/>
  <c r="D1041" i="19"/>
  <c r="E1041" i="19"/>
  <c r="F1041" i="19"/>
  <c r="J1041" i="19"/>
  <c r="L1041" i="19"/>
  <c r="M1041" i="19"/>
  <c r="V1041" i="19" s="1"/>
  <c r="O1041" i="19"/>
  <c r="D1042" i="19"/>
  <c r="E1042" i="19"/>
  <c r="F1042" i="19"/>
  <c r="J1042" i="19"/>
  <c r="L1042" i="19"/>
  <c r="M1042" i="19"/>
  <c r="V1042" i="19" s="1"/>
  <c r="O1042" i="19"/>
  <c r="D1043" i="19"/>
  <c r="E1043" i="19"/>
  <c r="F1043" i="19"/>
  <c r="J1043" i="19"/>
  <c r="L1043" i="19"/>
  <c r="M1043" i="19"/>
  <c r="V1043" i="19" s="1"/>
  <c r="O1043" i="19"/>
  <c r="D1044" i="19"/>
  <c r="E1044" i="19"/>
  <c r="F1044" i="19"/>
  <c r="J1044" i="19"/>
  <c r="L1044" i="19"/>
  <c r="M1044" i="19"/>
  <c r="V1044" i="19" s="1"/>
  <c r="O1044" i="19"/>
  <c r="D1045" i="19"/>
  <c r="E1045" i="19"/>
  <c r="F1045" i="19"/>
  <c r="J1045" i="19"/>
  <c r="L1045" i="19"/>
  <c r="M1045" i="19"/>
  <c r="V1045" i="19" s="1"/>
  <c r="O1045" i="19"/>
  <c r="D1046" i="19"/>
  <c r="E1046" i="19"/>
  <c r="F1046" i="19"/>
  <c r="J1046" i="19"/>
  <c r="L1046" i="19"/>
  <c r="M1046" i="19"/>
  <c r="V1046" i="19" s="1"/>
  <c r="O1046" i="19"/>
  <c r="D1047" i="19"/>
  <c r="E1047" i="19"/>
  <c r="F1047" i="19"/>
  <c r="J1047" i="19"/>
  <c r="L1047" i="19"/>
  <c r="M1047" i="19"/>
  <c r="V1047" i="19" s="1"/>
  <c r="O1047" i="19"/>
  <c r="D1048" i="19"/>
  <c r="E1048" i="19"/>
  <c r="F1048" i="19"/>
  <c r="J1048" i="19"/>
  <c r="L1048" i="19"/>
  <c r="M1048" i="19"/>
  <c r="V1048" i="19" s="1"/>
  <c r="O1048" i="19"/>
  <c r="D1049" i="19"/>
  <c r="E1049" i="19"/>
  <c r="F1049" i="19"/>
  <c r="J1049" i="19"/>
  <c r="L1049" i="19"/>
  <c r="M1049" i="19"/>
  <c r="V1049" i="19" s="1"/>
  <c r="O1049" i="19"/>
  <c r="D1050" i="19"/>
  <c r="E1050" i="19"/>
  <c r="F1050" i="19"/>
  <c r="J1050" i="19"/>
  <c r="L1050" i="19"/>
  <c r="M1050" i="19"/>
  <c r="V1050" i="19" s="1"/>
  <c r="O1050" i="19"/>
  <c r="D1051" i="19"/>
  <c r="E1051" i="19"/>
  <c r="F1051" i="19"/>
  <c r="J1051" i="19"/>
  <c r="L1051" i="19"/>
  <c r="M1051" i="19"/>
  <c r="V1051" i="19" s="1"/>
  <c r="O1051" i="19"/>
  <c r="D1052" i="19"/>
  <c r="E1052" i="19"/>
  <c r="F1052" i="19"/>
  <c r="J1052" i="19"/>
  <c r="L1052" i="19"/>
  <c r="M1052" i="19"/>
  <c r="V1052" i="19" s="1"/>
  <c r="O1052" i="19"/>
  <c r="D1053" i="19"/>
  <c r="E1053" i="19"/>
  <c r="F1053" i="19"/>
  <c r="J1053" i="19"/>
  <c r="L1053" i="19"/>
  <c r="M1053" i="19"/>
  <c r="V1053" i="19" s="1"/>
  <c r="O1053" i="19"/>
  <c r="D1054" i="19"/>
  <c r="E1054" i="19"/>
  <c r="F1054" i="19"/>
  <c r="J1054" i="19"/>
  <c r="L1054" i="19"/>
  <c r="M1054" i="19"/>
  <c r="V1054" i="19" s="1"/>
  <c r="O1054" i="19"/>
  <c r="D1055" i="19"/>
  <c r="E1055" i="19"/>
  <c r="F1055" i="19"/>
  <c r="J1055" i="19"/>
  <c r="L1055" i="19"/>
  <c r="M1055" i="19"/>
  <c r="V1055" i="19" s="1"/>
  <c r="O1055" i="19"/>
  <c r="D1056" i="19"/>
  <c r="E1056" i="19"/>
  <c r="F1056" i="19"/>
  <c r="J1056" i="19"/>
  <c r="L1056" i="19"/>
  <c r="M1056" i="19"/>
  <c r="V1056" i="19" s="1"/>
  <c r="O1056" i="19"/>
  <c r="D1057" i="19"/>
  <c r="E1057" i="19"/>
  <c r="F1057" i="19"/>
  <c r="J1057" i="19"/>
  <c r="L1057" i="19"/>
  <c r="M1057" i="19"/>
  <c r="V1057" i="19" s="1"/>
  <c r="O1057" i="19"/>
  <c r="D1058" i="19"/>
  <c r="E1058" i="19"/>
  <c r="F1058" i="19"/>
  <c r="J1058" i="19"/>
  <c r="L1058" i="19"/>
  <c r="M1058" i="19"/>
  <c r="V1058" i="19" s="1"/>
  <c r="O1058" i="19"/>
  <c r="D1059" i="19"/>
  <c r="E1059" i="19"/>
  <c r="F1059" i="19"/>
  <c r="J1059" i="19"/>
  <c r="L1059" i="19"/>
  <c r="M1059" i="19"/>
  <c r="V1059" i="19" s="1"/>
  <c r="O1059" i="19"/>
  <c r="D1060" i="19"/>
  <c r="E1060" i="19"/>
  <c r="F1060" i="19"/>
  <c r="J1060" i="19"/>
  <c r="L1060" i="19"/>
  <c r="M1060" i="19"/>
  <c r="V1060" i="19" s="1"/>
  <c r="O1060" i="19"/>
  <c r="D1061" i="19"/>
  <c r="E1061" i="19"/>
  <c r="F1061" i="19"/>
  <c r="J1061" i="19"/>
  <c r="L1061" i="19"/>
  <c r="M1061" i="19"/>
  <c r="V1061" i="19" s="1"/>
  <c r="O1061" i="19"/>
  <c r="D1062" i="19"/>
  <c r="E1062" i="19"/>
  <c r="F1062" i="19"/>
  <c r="J1062" i="19"/>
  <c r="L1062" i="19"/>
  <c r="M1062" i="19"/>
  <c r="V1062" i="19" s="1"/>
  <c r="O1062" i="19"/>
  <c r="D1063" i="19"/>
  <c r="E1063" i="19"/>
  <c r="F1063" i="19"/>
  <c r="J1063" i="19"/>
  <c r="L1063" i="19"/>
  <c r="M1063" i="19"/>
  <c r="V1063" i="19" s="1"/>
  <c r="O1063" i="19"/>
  <c r="D1064" i="19"/>
  <c r="E1064" i="19"/>
  <c r="F1064" i="19"/>
  <c r="J1064" i="19"/>
  <c r="L1064" i="19"/>
  <c r="M1064" i="19"/>
  <c r="V1064" i="19" s="1"/>
  <c r="O1064" i="19"/>
  <c r="D1065" i="19"/>
  <c r="E1065" i="19"/>
  <c r="F1065" i="19"/>
  <c r="J1065" i="19"/>
  <c r="L1065" i="19"/>
  <c r="M1065" i="19"/>
  <c r="V1065" i="19" s="1"/>
  <c r="O1065" i="19"/>
  <c r="D1066" i="19"/>
  <c r="E1066" i="19"/>
  <c r="F1066" i="19"/>
  <c r="J1066" i="19"/>
  <c r="L1066" i="19"/>
  <c r="M1066" i="19"/>
  <c r="V1066" i="19" s="1"/>
  <c r="O1066" i="19"/>
  <c r="D1067" i="19"/>
  <c r="E1067" i="19"/>
  <c r="F1067" i="19"/>
  <c r="J1067" i="19"/>
  <c r="L1067" i="19"/>
  <c r="M1067" i="19"/>
  <c r="V1067" i="19" s="1"/>
  <c r="O1067" i="19"/>
  <c r="D1068" i="19"/>
  <c r="E1068" i="19"/>
  <c r="F1068" i="19"/>
  <c r="J1068" i="19"/>
  <c r="L1068" i="19"/>
  <c r="M1068" i="19"/>
  <c r="V1068" i="19" s="1"/>
  <c r="O1068" i="19"/>
  <c r="D1069" i="19"/>
  <c r="E1069" i="19"/>
  <c r="F1069" i="19"/>
  <c r="J1069" i="19"/>
  <c r="L1069" i="19"/>
  <c r="M1069" i="19"/>
  <c r="V1069" i="19" s="1"/>
  <c r="O1069" i="19"/>
  <c r="D1070" i="19"/>
  <c r="E1070" i="19"/>
  <c r="F1070" i="19"/>
  <c r="J1070" i="19"/>
  <c r="L1070" i="19"/>
  <c r="M1070" i="19"/>
  <c r="V1070" i="19" s="1"/>
  <c r="O1070" i="19"/>
  <c r="D1071" i="19"/>
  <c r="E1071" i="19"/>
  <c r="F1071" i="19"/>
  <c r="J1071" i="19"/>
  <c r="L1071" i="19"/>
  <c r="M1071" i="19"/>
  <c r="V1071" i="19" s="1"/>
  <c r="O1071" i="19"/>
  <c r="D1072" i="19"/>
  <c r="E1072" i="19"/>
  <c r="F1072" i="19"/>
  <c r="J1072" i="19"/>
  <c r="L1072" i="19"/>
  <c r="M1072" i="19"/>
  <c r="V1072" i="19" s="1"/>
  <c r="O1072" i="19"/>
  <c r="D1073" i="19"/>
  <c r="E1073" i="19"/>
  <c r="F1073" i="19"/>
  <c r="J1073" i="19"/>
  <c r="L1073" i="19"/>
  <c r="M1073" i="19"/>
  <c r="V1073" i="19" s="1"/>
  <c r="O1073" i="19"/>
  <c r="D1074" i="19"/>
  <c r="E1074" i="19"/>
  <c r="F1074" i="19"/>
  <c r="J1074" i="19"/>
  <c r="L1074" i="19"/>
  <c r="M1074" i="19"/>
  <c r="V1074" i="19" s="1"/>
  <c r="O1074" i="19"/>
  <c r="D1075" i="19"/>
  <c r="E1075" i="19"/>
  <c r="F1075" i="19"/>
  <c r="J1075" i="19"/>
  <c r="L1075" i="19"/>
  <c r="M1075" i="19"/>
  <c r="V1075" i="19" s="1"/>
  <c r="O1075" i="19"/>
  <c r="D1076" i="19"/>
  <c r="E1076" i="19"/>
  <c r="F1076" i="19"/>
  <c r="J1076" i="19"/>
  <c r="L1076" i="19"/>
  <c r="M1076" i="19"/>
  <c r="V1076" i="19" s="1"/>
  <c r="O1076" i="19"/>
  <c r="D1077" i="19"/>
  <c r="E1077" i="19"/>
  <c r="F1077" i="19"/>
  <c r="J1077" i="19"/>
  <c r="L1077" i="19"/>
  <c r="M1077" i="19"/>
  <c r="V1077" i="19" s="1"/>
  <c r="O1077" i="19"/>
  <c r="D1078" i="19"/>
  <c r="E1078" i="19"/>
  <c r="F1078" i="19"/>
  <c r="J1078" i="19"/>
  <c r="L1078" i="19"/>
  <c r="M1078" i="19"/>
  <c r="V1078" i="19" s="1"/>
  <c r="O1078" i="19"/>
  <c r="D1079" i="19"/>
  <c r="E1079" i="19"/>
  <c r="F1079" i="19"/>
  <c r="J1079" i="19"/>
  <c r="L1079" i="19"/>
  <c r="M1079" i="19"/>
  <c r="V1079" i="19" s="1"/>
  <c r="O1079" i="19"/>
  <c r="D1080" i="19"/>
  <c r="E1080" i="19"/>
  <c r="F1080" i="19"/>
  <c r="J1080" i="19"/>
  <c r="L1080" i="19"/>
  <c r="M1080" i="19"/>
  <c r="V1080" i="19" s="1"/>
  <c r="O1080" i="19"/>
  <c r="D1081" i="19"/>
  <c r="E1081" i="19"/>
  <c r="F1081" i="19"/>
  <c r="J1081" i="19"/>
  <c r="L1081" i="19"/>
  <c r="M1081" i="19"/>
  <c r="V1081" i="19" s="1"/>
  <c r="O1081" i="19"/>
  <c r="D1082" i="19"/>
  <c r="E1082" i="19"/>
  <c r="F1082" i="19"/>
  <c r="J1082" i="19"/>
  <c r="L1082" i="19"/>
  <c r="M1082" i="19"/>
  <c r="V1082" i="19" s="1"/>
  <c r="O1082" i="19"/>
  <c r="D1083" i="19"/>
  <c r="E1083" i="19"/>
  <c r="F1083" i="19"/>
  <c r="J1083" i="19"/>
  <c r="L1083" i="19"/>
  <c r="M1083" i="19"/>
  <c r="V1083" i="19" s="1"/>
  <c r="O1083" i="19"/>
  <c r="D1084" i="19"/>
  <c r="E1084" i="19"/>
  <c r="F1084" i="19"/>
  <c r="J1084" i="19"/>
  <c r="L1084" i="19"/>
  <c r="M1084" i="19"/>
  <c r="V1084" i="19" s="1"/>
  <c r="O1084" i="19"/>
  <c r="D1085" i="19"/>
  <c r="E1085" i="19"/>
  <c r="F1085" i="19"/>
  <c r="J1085" i="19"/>
  <c r="L1085" i="19"/>
  <c r="M1085" i="19"/>
  <c r="V1085" i="19" s="1"/>
  <c r="O1085" i="19"/>
  <c r="D1086" i="19"/>
  <c r="E1086" i="19"/>
  <c r="F1086" i="19"/>
  <c r="J1086" i="19"/>
  <c r="L1086" i="19"/>
  <c r="M1086" i="19"/>
  <c r="V1086" i="19" s="1"/>
  <c r="O1086" i="19"/>
  <c r="D1087" i="19"/>
  <c r="E1087" i="19"/>
  <c r="F1087" i="19"/>
  <c r="J1087" i="19"/>
  <c r="L1087" i="19"/>
  <c r="M1087" i="19"/>
  <c r="V1087" i="19" s="1"/>
  <c r="O1087" i="19"/>
  <c r="D1088" i="19"/>
  <c r="E1088" i="19"/>
  <c r="F1088" i="19"/>
  <c r="J1088" i="19"/>
  <c r="L1088" i="19"/>
  <c r="M1088" i="19"/>
  <c r="V1088" i="19" s="1"/>
  <c r="O1088" i="19"/>
  <c r="D1089" i="19"/>
  <c r="E1089" i="19"/>
  <c r="F1089" i="19"/>
  <c r="J1089" i="19"/>
  <c r="L1089" i="19"/>
  <c r="M1089" i="19"/>
  <c r="V1089" i="19" s="1"/>
  <c r="O1089" i="19"/>
  <c r="D1090" i="19"/>
  <c r="E1090" i="19"/>
  <c r="F1090" i="19"/>
  <c r="J1090" i="19"/>
  <c r="L1090" i="19"/>
  <c r="M1090" i="19"/>
  <c r="V1090" i="19" s="1"/>
  <c r="O1090" i="19"/>
  <c r="D1091" i="19"/>
  <c r="E1091" i="19"/>
  <c r="F1091" i="19"/>
  <c r="J1091" i="19"/>
  <c r="L1091" i="19"/>
  <c r="M1091" i="19"/>
  <c r="V1091" i="19" s="1"/>
  <c r="O1091" i="19"/>
  <c r="D1092" i="19"/>
  <c r="E1092" i="19"/>
  <c r="F1092" i="19"/>
  <c r="J1092" i="19"/>
  <c r="L1092" i="19"/>
  <c r="M1092" i="19"/>
  <c r="V1092" i="19" s="1"/>
  <c r="O1092" i="19"/>
  <c r="D1093" i="19"/>
  <c r="E1093" i="19"/>
  <c r="F1093" i="19"/>
  <c r="J1093" i="19"/>
  <c r="L1093" i="19"/>
  <c r="M1093" i="19"/>
  <c r="V1093" i="19" s="1"/>
  <c r="O1093" i="19"/>
  <c r="D1094" i="19"/>
  <c r="E1094" i="19"/>
  <c r="F1094" i="19"/>
  <c r="J1094" i="19"/>
  <c r="L1094" i="19"/>
  <c r="M1094" i="19"/>
  <c r="V1094" i="19" s="1"/>
  <c r="O1094" i="19"/>
  <c r="D1095" i="19"/>
  <c r="E1095" i="19"/>
  <c r="F1095" i="19"/>
  <c r="J1095" i="19"/>
  <c r="L1095" i="19"/>
  <c r="M1095" i="19"/>
  <c r="V1095" i="19" s="1"/>
  <c r="O1095" i="19"/>
  <c r="D1096" i="19"/>
  <c r="E1096" i="19"/>
  <c r="F1096" i="19"/>
  <c r="J1096" i="19"/>
  <c r="L1096" i="19"/>
  <c r="M1096" i="19"/>
  <c r="V1096" i="19" s="1"/>
  <c r="O1096" i="19"/>
  <c r="D1097" i="19"/>
  <c r="E1097" i="19"/>
  <c r="F1097" i="19"/>
  <c r="J1097" i="19"/>
  <c r="L1097" i="19"/>
  <c r="M1097" i="19"/>
  <c r="V1097" i="19" s="1"/>
  <c r="O1097" i="19"/>
  <c r="D1098" i="19"/>
  <c r="E1098" i="19"/>
  <c r="F1098" i="19"/>
  <c r="J1098" i="19"/>
  <c r="L1098" i="19"/>
  <c r="M1098" i="19"/>
  <c r="V1098" i="19" s="1"/>
  <c r="O1098" i="19"/>
  <c r="D1099" i="19"/>
  <c r="E1099" i="19"/>
  <c r="F1099" i="19"/>
  <c r="J1099" i="19"/>
  <c r="L1099" i="19"/>
  <c r="M1099" i="19"/>
  <c r="V1099" i="19" s="1"/>
  <c r="O1099" i="19"/>
  <c r="D1100" i="19"/>
  <c r="E1100" i="19"/>
  <c r="F1100" i="19"/>
  <c r="J1100" i="19"/>
  <c r="L1100" i="19"/>
  <c r="M1100" i="19"/>
  <c r="V1100" i="19" s="1"/>
  <c r="O1100" i="19"/>
  <c r="D1101" i="19"/>
  <c r="E1101" i="19"/>
  <c r="F1101" i="19"/>
  <c r="J1101" i="19"/>
  <c r="L1101" i="19"/>
  <c r="M1101" i="19"/>
  <c r="V1101" i="19" s="1"/>
  <c r="O1101" i="19"/>
  <c r="D1102" i="19"/>
  <c r="E1102" i="19"/>
  <c r="F1102" i="19"/>
  <c r="J1102" i="19"/>
  <c r="L1102" i="19"/>
  <c r="M1102" i="19"/>
  <c r="V1102" i="19" s="1"/>
  <c r="O1102" i="19"/>
  <c r="D1103" i="19"/>
  <c r="E1103" i="19"/>
  <c r="F1103" i="19"/>
  <c r="J1103" i="19"/>
  <c r="L1103" i="19"/>
  <c r="M1103" i="19"/>
  <c r="V1103" i="19" s="1"/>
  <c r="O1103" i="19"/>
  <c r="D1104" i="19"/>
  <c r="E1104" i="19"/>
  <c r="F1104" i="19"/>
  <c r="J1104" i="19"/>
  <c r="L1104" i="19"/>
  <c r="M1104" i="19"/>
  <c r="V1104" i="19" s="1"/>
  <c r="O1104" i="19"/>
  <c r="D1105" i="19"/>
  <c r="E1105" i="19"/>
  <c r="F1105" i="19"/>
  <c r="J1105" i="19"/>
  <c r="L1105" i="19"/>
  <c r="M1105" i="19"/>
  <c r="V1105" i="19" s="1"/>
  <c r="O1105" i="19"/>
  <c r="D1106" i="19"/>
  <c r="E1106" i="19"/>
  <c r="F1106" i="19"/>
  <c r="J1106" i="19"/>
  <c r="L1106" i="19"/>
  <c r="M1106" i="19"/>
  <c r="V1106" i="19" s="1"/>
  <c r="O1106" i="19"/>
  <c r="D1107" i="19"/>
  <c r="E1107" i="19"/>
  <c r="F1107" i="19"/>
  <c r="J1107" i="19"/>
  <c r="L1107" i="19"/>
  <c r="M1107" i="19"/>
  <c r="V1107" i="19" s="1"/>
  <c r="O1107" i="19"/>
  <c r="D1108" i="19"/>
  <c r="E1108" i="19"/>
  <c r="F1108" i="19"/>
  <c r="J1108" i="19"/>
  <c r="L1108" i="19"/>
  <c r="M1108" i="19"/>
  <c r="V1108" i="19" s="1"/>
  <c r="O1108" i="19"/>
  <c r="D1109" i="19"/>
  <c r="E1109" i="19"/>
  <c r="F1109" i="19"/>
  <c r="J1109" i="19"/>
  <c r="L1109" i="19"/>
  <c r="M1109" i="19"/>
  <c r="V1109" i="19" s="1"/>
  <c r="O1109" i="19"/>
  <c r="D1110" i="19"/>
  <c r="E1110" i="19"/>
  <c r="F1110" i="19"/>
  <c r="J1110" i="19"/>
  <c r="L1110" i="19"/>
  <c r="M1110" i="19"/>
  <c r="V1110" i="19" s="1"/>
  <c r="O1110" i="19"/>
  <c r="D1111" i="19"/>
  <c r="E1111" i="19"/>
  <c r="F1111" i="19"/>
  <c r="J1111" i="19"/>
  <c r="L1111" i="19"/>
  <c r="M1111" i="19"/>
  <c r="V1111" i="19" s="1"/>
  <c r="O1111" i="19"/>
  <c r="D1112" i="19"/>
  <c r="E1112" i="19"/>
  <c r="F1112" i="19"/>
  <c r="J1112" i="19"/>
  <c r="L1112" i="19"/>
  <c r="M1112" i="19"/>
  <c r="V1112" i="19" s="1"/>
  <c r="O1112" i="19"/>
  <c r="D1113" i="19"/>
  <c r="E1113" i="19"/>
  <c r="F1113" i="19"/>
  <c r="J1113" i="19"/>
  <c r="L1113" i="19"/>
  <c r="M1113" i="19"/>
  <c r="V1113" i="19" s="1"/>
  <c r="O1113" i="19"/>
  <c r="D1114" i="19"/>
  <c r="E1114" i="19"/>
  <c r="F1114" i="19"/>
  <c r="J1114" i="19"/>
  <c r="L1114" i="19"/>
  <c r="M1114" i="19"/>
  <c r="V1114" i="19" s="1"/>
  <c r="O1114" i="19"/>
  <c r="D1115" i="19"/>
  <c r="E1115" i="19"/>
  <c r="F1115" i="19"/>
  <c r="J1115" i="19"/>
  <c r="L1115" i="19"/>
  <c r="M1115" i="19"/>
  <c r="V1115" i="19" s="1"/>
  <c r="O1115" i="19"/>
  <c r="D1116" i="19"/>
  <c r="E1116" i="19"/>
  <c r="F1116" i="19"/>
  <c r="J1116" i="19"/>
  <c r="L1116" i="19"/>
  <c r="M1116" i="19"/>
  <c r="V1116" i="19" s="1"/>
  <c r="O1116" i="19"/>
  <c r="D1117" i="19"/>
  <c r="E1117" i="19"/>
  <c r="F1117" i="19"/>
  <c r="J1117" i="19"/>
  <c r="L1117" i="19"/>
  <c r="M1117" i="19"/>
  <c r="V1117" i="19" s="1"/>
  <c r="O1117" i="19"/>
  <c r="D1118" i="19"/>
  <c r="E1118" i="19"/>
  <c r="F1118" i="19"/>
  <c r="J1118" i="19"/>
  <c r="L1118" i="19"/>
  <c r="M1118" i="19"/>
  <c r="V1118" i="19" s="1"/>
  <c r="O1118" i="19"/>
  <c r="D1119" i="19"/>
  <c r="E1119" i="19"/>
  <c r="F1119" i="19"/>
  <c r="J1119" i="19"/>
  <c r="L1119" i="19"/>
  <c r="M1119" i="19"/>
  <c r="V1119" i="19" s="1"/>
  <c r="O1119" i="19"/>
  <c r="D1120" i="19"/>
  <c r="E1120" i="19"/>
  <c r="F1120" i="19"/>
  <c r="J1120" i="19"/>
  <c r="L1120" i="19"/>
  <c r="M1120" i="19"/>
  <c r="V1120" i="19" s="1"/>
  <c r="O1120" i="19"/>
  <c r="D1121" i="19"/>
  <c r="E1121" i="19"/>
  <c r="F1121" i="19"/>
  <c r="J1121" i="19"/>
  <c r="L1121" i="19"/>
  <c r="M1121" i="19"/>
  <c r="V1121" i="19" s="1"/>
  <c r="O1121" i="19"/>
  <c r="D1122" i="19"/>
  <c r="E1122" i="19"/>
  <c r="F1122" i="19"/>
  <c r="J1122" i="19"/>
  <c r="L1122" i="19"/>
  <c r="M1122" i="19"/>
  <c r="V1122" i="19" s="1"/>
  <c r="O1122" i="19"/>
  <c r="D1123" i="19"/>
  <c r="E1123" i="19"/>
  <c r="F1123" i="19"/>
  <c r="J1123" i="19"/>
  <c r="L1123" i="19"/>
  <c r="M1123" i="19"/>
  <c r="V1123" i="19" s="1"/>
  <c r="O1123" i="19"/>
  <c r="D1124" i="19"/>
  <c r="E1124" i="19"/>
  <c r="F1124" i="19"/>
  <c r="J1124" i="19"/>
  <c r="L1124" i="19"/>
  <c r="M1124" i="19"/>
  <c r="V1124" i="19" s="1"/>
  <c r="O1124" i="19"/>
  <c r="D1125" i="19"/>
  <c r="E1125" i="19"/>
  <c r="F1125" i="19"/>
  <c r="J1125" i="19"/>
  <c r="L1125" i="19"/>
  <c r="M1125" i="19"/>
  <c r="V1125" i="19" s="1"/>
  <c r="O1125" i="19"/>
  <c r="D1126" i="19"/>
  <c r="E1126" i="19"/>
  <c r="F1126" i="19"/>
  <c r="J1126" i="19"/>
  <c r="L1126" i="19"/>
  <c r="M1126" i="19"/>
  <c r="V1126" i="19" s="1"/>
  <c r="O1126" i="19"/>
  <c r="D1127" i="19"/>
  <c r="E1127" i="19"/>
  <c r="F1127" i="19"/>
  <c r="J1127" i="19"/>
  <c r="L1127" i="19"/>
  <c r="M1127" i="19"/>
  <c r="V1127" i="19" s="1"/>
  <c r="O1127" i="19"/>
  <c r="D1128" i="19"/>
  <c r="E1128" i="19"/>
  <c r="F1128" i="19"/>
  <c r="J1128" i="19"/>
  <c r="L1128" i="19"/>
  <c r="M1128" i="19"/>
  <c r="V1128" i="19" s="1"/>
  <c r="O1128" i="19"/>
  <c r="D1129" i="19"/>
  <c r="E1129" i="19"/>
  <c r="F1129" i="19"/>
  <c r="J1129" i="19"/>
  <c r="L1129" i="19"/>
  <c r="M1129" i="19"/>
  <c r="V1129" i="19" s="1"/>
  <c r="O1129" i="19"/>
  <c r="D1130" i="19"/>
  <c r="E1130" i="19"/>
  <c r="F1130" i="19"/>
  <c r="J1130" i="19"/>
  <c r="L1130" i="19"/>
  <c r="M1130" i="19"/>
  <c r="V1130" i="19" s="1"/>
  <c r="O1130" i="19"/>
  <c r="D1131" i="19"/>
  <c r="E1131" i="19"/>
  <c r="F1131" i="19"/>
  <c r="J1131" i="19"/>
  <c r="L1131" i="19"/>
  <c r="M1131" i="19"/>
  <c r="V1131" i="19" s="1"/>
  <c r="O1131" i="19"/>
  <c r="D1132" i="19"/>
  <c r="E1132" i="19"/>
  <c r="F1132" i="19"/>
  <c r="J1132" i="19"/>
  <c r="L1132" i="19"/>
  <c r="M1132" i="19"/>
  <c r="V1132" i="19" s="1"/>
  <c r="O1132" i="19"/>
  <c r="D1133" i="19"/>
  <c r="E1133" i="19"/>
  <c r="F1133" i="19"/>
  <c r="J1133" i="19"/>
  <c r="L1133" i="19"/>
  <c r="M1133" i="19"/>
  <c r="V1133" i="19" s="1"/>
  <c r="O1133" i="19"/>
  <c r="D1134" i="19"/>
  <c r="E1134" i="19"/>
  <c r="F1134" i="19"/>
  <c r="J1134" i="19"/>
  <c r="L1134" i="19"/>
  <c r="M1134" i="19"/>
  <c r="V1134" i="19" s="1"/>
  <c r="O1134" i="19"/>
  <c r="D1135" i="19"/>
  <c r="E1135" i="19"/>
  <c r="F1135" i="19"/>
  <c r="J1135" i="19"/>
  <c r="L1135" i="19"/>
  <c r="M1135" i="19"/>
  <c r="V1135" i="19" s="1"/>
  <c r="O1135" i="19"/>
  <c r="D1136" i="19"/>
  <c r="E1136" i="19"/>
  <c r="F1136" i="19"/>
  <c r="J1136" i="19"/>
  <c r="L1136" i="19"/>
  <c r="M1136" i="19"/>
  <c r="V1136" i="19" s="1"/>
  <c r="O1136" i="19"/>
  <c r="D1137" i="19"/>
  <c r="E1137" i="19"/>
  <c r="F1137" i="19"/>
  <c r="J1137" i="19"/>
  <c r="L1137" i="19"/>
  <c r="M1137" i="19"/>
  <c r="V1137" i="19" s="1"/>
  <c r="O1137" i="19"/>
  <c r="D1138" i="19"/>
  <c r="E1138" i="19"/>
  <c r="F1138" i="19"/>
  <c r="J1138" i="19"/>
  <c r="L1138" i="19"/>
  <c r="M1138" i="19"/>
  <c r="V1138" i="19" s="1"/>
  <c r="O1138" i="19"/>
  <c r="D1139" i="19"/>
  <c r="E1139" i="19"/>
  <c r="F1139" i="19"/>
  <c r="J1139" i="19"/>
  <c r="L1139" i="19"/>
  <c r="M1139" i="19"/>
  <c r="V1139" i="19" s="1"/>
  <c r="O1139" i="19"/>
  <c r="D1140" i="19"/>
  <c r="E1140" i="19"/>
  <c r="F1140" i="19"/>
  <c r="J1140" i="19"/>
  <c r="L1140" i="19"/>
  <c r="M1140" i="19"/>
  <c r="V1140" i="19" s="1"/>
  <c r="O1140" i="19"/>
  <c r="D1141" i="19"/>
  <c r="E1141" i="19"/>
  <c r="F1141" i="19"/>
  <c r="J1141" i="19"/>
  <c r="L1141" i="19"/>
  <c r="M1141" i="19"/>
  <c r="V1141" i="19" s="1"/>
  <c r="O1141" i="19"/>
  <c r="D1142" i="19"/>
  <c r="E1142" i="19"/>
  <c r="F1142" i="19"/>
  <c r="J1142" i="19"/>
  <c r="L1142" i="19"/>
  <c r="M1142" i="19"/>
  <c r="V1142" i="19" s="1"/>
  <c r="O1142" i="19"/>
  <c r="D1143" i="19"/>
  <c r="E1143" i="19"/>
  <c r="F1143" i="19"/>
  <c r="J1143" i="19"/>
  <c r="L1143" i="19"/>
  <c r="M1143" i="19"/>
  <c r="V1143" i="19" s="1"/>
  <c r="O1143" i="19"/>
  <c r="D1144" i="19"/>
  <c r="E1144" i="19"/>
  <c r="F1144" i="19"/>
  <c r="J1144" i="19"/>
  <c r="L1144" i="19"/>
  <c r="M1144" i="19"/>
  <c r="V1144" i="19" s="1"/>
  <c r="O1144" i="19"/>
  <c r="D1145" i="19"/>
  <c r="E1145" i="19"/>
  <c r="F1145" i="19"/>
  <c r="J1145" i="19"/>
  <c r="L1145" i="19"/>
  <c r="M1145" i="19"/>
  <c r="V1145" i="19" s="1"/>
  <c r="O1145" i="19"/>
  <c r="D1146" i="19"/>
  <c r="E1146" i="19"/>
  <c r="F1146" i="19"/>
  <c r="J1146" i="19"/>
  <c r="L1146" i="19"/>
  <c r="M1146" i="19"/>
  <c r="V1146" i="19" s="1"/>
  <c r="O1146" i="19"/>
  <c r="D1147" i="19"/>
  <c r="E1147" i="19"/>
  <c r="F1147" i="19"/>
  <c r="J1147" i="19"/>
  <c r="L1147" i="19"/>
  <c r="M1147" i="19"/>
  <c r="V1147" i="19" s="1"/>
  <c r="O1147" i="19"/>
  <c r="D1148" i="19"/>
  <c r="E1148" i="19"/>
  <c r="F1148" i="19"/>
  <c r="J1148" i="19"/>
  <c r="L1148" i="19"/>
  <c r="M1148" i="19"/>
  <c r="V1148" i="19" s="1"/>
  <c r="O1148" i="19"/>
  <c r="D1149" i="19"/>
  <c r="E1149" i="19"/>
  <c r="F1149" i="19"/>
  <c r="J1149" i="19"/>
  <c r="L1149" i="19"/>
  <c r="M1149" i="19"/>
  <c r="V1149" i="19" s="1"/>
  <c r="O1149" i="19"/>
  <c r="D1150" i="19"/>
  <c r="E1150" i="19"/>
  <c r="F1150" i="19"/>
  <c r="J1150" i="19"/>
  <c r="L1150" i="19"/>
  <c r="M1150" i="19"/>
  <c r="V1150" i="19" s="1"/>
  <c r="O1150" i="19"/>
  <c r="D1151" i="19"/>
  <c r="E1151" i="19"/>
  <c r="F1151" i="19"/>
  <c r="J1151" i="19"/>
  <c r="L1151" i="19"/>
  <c r="M1151" i="19"/>
  <c r="V1151" i="19" s="1"/>
  <c r="O1151" i="19"/>
  <c r="D1152" i="19"/>
  <c r="E1152" i="19"/>
  <c r="F1152" i="19"/>
  <c r="J1152" i="19"/>
  <c r="L1152" i="19"/>
  <c r="M1152" i="19"/>
  <c r="V1152" i="19" s="1"/>
  <c r="O1152" i="19"/>
  <c r="D1153" i="19"/>
  <c r="E1153" i="19"/>
  <c r="F1153" i="19"/>
  <c r="J1153" i="19"/>
  <c r="L1153" i="19"/>
  <c r="M1153" i="19"/>
  <c r="V1153" i="19" s="1"/>
  <c r="O1153" i="19"/>
  <c r="D1154" i="19"/>
  <c r="E1154" i="19"/>
  <c r="F1154" i="19"/>
  <c r="J1154" i="19"/>
  <c r="L1154" i="19"/>
  <c r="M1154" i="19"/>
  <c r="V1154" i="19" s="1"/>
  <c r="O1154" i="19"/>
  <c r="D1155" i="19"/>
  <c r="E1155" i="19"/>
  <c r="F1155" i="19"/>
  <c r="J1155" i="19"/>
  <c r="L1155" i="19"/>
  <c r="M1155" i="19"/>
  <c r="V1155" i="19" s="1"/>
  <c r="O1155" i="19"/>
  <c r="D1156" i="19"/>
  <c r="E1156" i="19"/>
  <c r="F1156" i="19"/>
  <c r="J1156" i="19"/>
  <c r="L1156" i="19"/>
  <c r="M1156" i="19"/>
  <c r="V1156" i="19" s="1"/>
  <c r="O1156" i="19"/>
  <c r="D1157" i="19"/>
  <c r="E1157" i="19"/>
  <c r="F1157" i="19"/>
  <c r="J1157" i="19"/>
  <c r="L1157" i="19"/>
  <c r="M1157" i="19"/>
  <c r="V1157" i="19" s="1"/>
  <c r="O1157" i="19"/>
  <c r="D1158" i="19"/>
  <c r="E1158" i="19"/>
  <c r="F1158" i="19"/>
  <c r="J1158" i="19"/>
  <c r="L1158" i="19"/>
  <c r="M1158" i="19"/>
  <c r="V1158" i="19" s="1"/>
  <c r="O1158" i="19"/>
  <c r="D1159" i="19"/>
  <c r="E1159" i="19"/>
  <c r="F1159" i="19"/>
  <c r="J1159" i="19"/>
  <c r="L1159" i="19"/>
  <c r="M1159" i="19"/>
  <c r="V1159" i="19" s="1"/>
  <c r="O1159" i="19"/>
  <c r="D1160" i="19"/>
  <c r="E1160" i="19"/>
  <c r="F1160" i="19"/>
  <c r="J1160" i="19"/>
  <c r="L1160" i="19"/>
  <c r="M1160" i="19"/>
  <c r="V1160" i="19" s="1"/>
  <c r="O1160" i="19"/>
  <c r="D1161" i="19"/>
  <c r="E1161" i="19"/>
  <c r="F1161" i="19"/>
  <c r="J1161" i="19"/>
  <c r="L1161" i="19"/>
  <c r="M1161" i="19"/>
  <c r="V1161" i="19" s="1"/>
  <c r="O1161" i="19"/>
  <c r="D1162" i="19"/>
  <c r="E1162" i="19"/>
  <c r="F1162" i="19"/>
  <c r="J1162" i="19"/>
  <c r="L1162" i="19"/>
  <c r="M1162" i="19"/>
  <c r="V1162" i="19" s="1"/>
  <c r="O1162" i="19"/>
  <c r="D1163" i="19"/>
  <c r="E1163" i="19"/>
  <c r="F1163" i="19"/>
  <c r="J1163" i="19"/>
  <c r="L1163" i="19"/>
  <c r="M1163" i="19"/>
  <c r="V1163" i="19" s="1"/>
  <c r="O1163" i="19"/>
  <c r="D1164" i="19"/>
  <c r="E1164" i="19"/>
  <c r="F1164" i="19"/>
  <c r="J1164" i="19"/>
  <c r="L1164" i="19"/>
  <c r="M1164" i="19"/>
  <c r="V1164" i="19" s="1"/>
  <c r="O1164" i="19"/>
  <c r="D1165" i="19"/>
  <c r="E1165" i="19"/>
  <c r="F1165" i="19"/>
  <c r="J1165" i="19"/>
  <c r="L1165" i="19"/>
  <c r="M1165" i="19"/>
  <c r="V1165" i="19" s="1"/>
  <c r="O1165" i="19"/>
  <c r="D1166" i="19"/>
  <c r="E1166" i="19"/>
  <c r="F1166" i="19"/>
  <c r="J1166" i="19"/>
  <c r="L1166" i="19"/>
  <c r="M1166" i="19"/>
  <c r="V1166" i="19" s="1"/>
  <c r="O1166" i="19"/>
  <c r="D1167" i="19"/>
  <c r="E1167" i="19"/>
  <c r="F1167" i="19"/>
  <c r="J1167" i="19"/>
  <c r="L1167" i="19"/>
  <c r="M1167" i="19"/>
  <c r="V1167" i="19" s="1"/>
  <c r="O1167" i="19"/>
  <c r="D1168" i="19"/>
  <c r="E1168" i="19"/>
  <c r="F1168" i="19"/>
  <c r="J1168" i="19"/>
  <c r="L1168" i="19"/>
  <c r="M1168" i="19"/>
  <c r="V1168" i="19" s="1"/>
  <c r="O1168" i="19"/>
  <c r="D1169" i="19"/>
  <c r="E1169" i="19"/>
  <c r="F1169" i="19"/>
  <c r="J1169" i="19"/>
  <c r="L1169" i="19"/>
  <c r="M1169" i="19"/>
  <c r="V1169" i="19" s="1"/>
  <c r="O1169" i="19"/>
  <c r="D1170" i="19"/>
  <c r="E1170" i="19"/>
  <c r="F1170" i="19"/>
  <c r="J1170" i="19"/>
  <c r="L1170" i="19"/>
  <c r="M1170" i="19"/>
  <c r="V1170" i="19" s="1"/>
  <c r="O1170" i="19"/>
  <c r="D1171" i="19"/>
  <c r="E1171" i="19"/>
  <c r="F1171" i="19"/>
  <c r="J1171" i="19"/>
  <c r="L1171" i="19"/>
  <c r="M1171" i="19"/>
  <c r="V1171" i="19" s="1"/>
  <c r="O1171" i="19"/>
  <c r="D1172" i="19"/>
  <c r="E1172" i="19"/>
  <c r="F1172" i="19"/>
  <c r="J1172" i="19"/>
  <c r="L1172" i="19"/>
  <c r="M1172" i="19"/>
  <c r="V1172" i="19" s="1"/>
  <c r="O1172" i="19"/>
  <c r="D1173" i="19"/>
  <c r="E1173" i="19"/>
  <c r="F1173" i="19"/>
  <c r="J1173" i="19"/>
  <c r="L1173" i="19"/>
  <c r="M1173" i="19"/>
  <c r="V1173" i="19" s="1"/>
  <c r="O1173" i="19"/>
  <c r="D1174" i="19"/>
  <c r="E1174" i="19"/>
  <c r="F1174" i="19"/>
  <c r="J1174" i="19"/>
  <c r="L1174" i="19"/>
  <c r="M1174" i="19"/>
  <c r="V1174" i="19" s="1"/>
  <c r="O1174" i="19"/>
  <c r="D1175" i="19"/>
  <c r="E1175" i="19"/>
  <c r="F1175" i="19"/>
  <c r="J1175" i="19"/>
  <c r="L1175" i="19"/>
  <c r="M1175" i="19"/>
  <c r="V1175" i="19" s="1"/>
  <c r="O1175" i="19"/>
  <c r="D1176" i="19"/>
  <c r="E1176" i="19"/>
  <c r="F1176" i="19"/>
  <c r="J1176" i="19"/>
  <c r="L1176" i="19"/>
  <c r="M1176" i="19"/>
  <c r="V1176" i="19" s="1"/>
  <c r="O1176" i="19"/>
  <c r="D1177" i="19"/>
  <c r="E1177" i="19"/>
  <c r="F1177" i="19"/>
  <c r="J1177" i="19"/>
  <c r="L1177" i="19"/>
  <c r="M1177" i="19"/>
  <c r="V1177" i="19" s="1"/>
  <c r="O1177" i="19"/>
  <c r="D1178" i="19"/>
  <c r="E1178" i="19"/>
  <c r="F1178" i="19"/>
  <c r="J1178" i="19"/>
  <c r="L1178" i="19"/>
  <c r="M1178" i="19"/>
  <c r="V1178" i="19" s="1"/>
  <c r="O1178" i="19"/>
  <c r="D1179" i="19"/>
  <c r="E1179" i="19"/>
  <c r="F1179" i="19"/>
  <c r="J1179" i="19"/>
  <c r="L1179" i="19"/>
  <c r="M1179" i="19"/>
  <c r="V1179" i="19" s="1"/>
  <c r="O1179" i="19"/>
  <c r="D1180" i="19"/>
  <c r="E1180" i="19"/>
  <c r="F1180" i="19"/>
  <c r="J1180" i="19"/>
  <c r="L1180" i="19"/>
  <c r="M1180" i="19"/>
  <c r="V1180" i="19" s="1"/>
  <c r="O1180" i="19"/>
  <c r="D1181" i="19"/>
  <c r="E1181" i="19"/>
  <c r="F1181" i="19"/>
  <c r="J1181" i="19"/>
  <c r="L1181" i="19"/>
  <c r="M1181" i="19"/>
  <c r="V1181" i="19" s="1"/>
  <c r="O1181" i="19"/>
  <c r="D1182" i="19"/>
  <c r="E1182" i="19"/>
  <c r="F1182" i="19"/>
  <c r="J1182" i="19"/>
  <c r="L1182" i="19"/>
  <c r="M1182" i="19"/>
  <c r="V1182" i="19" s="1"/>
  <c r="O1182" i="19"/>
  <c r="D1183" i="19"/>
  <c r="E1183" i="19"/>
  <c r="F1183" i="19"/>
  <c r="J1183" i="19"/>
  <c r="L1183" i="19"/>
  <c r="M1183" i="19"/>
  <c r="V1183" i="19" s="1"/>
  <c r="O1183" i="19"/>
  <c r="D1184" i="19"/>
  <c r="E1184" i="19"/>
  <c r="F1184" i="19"/>
  <c r="J1184" i="19"/>
  <c r="L1184" i="19"/>
  <c r="M1184" i="19"/>
  <c r="V1184" i="19" s="1"/>
  <c r="O1184" i="19"/>
  <c r="D1185" i="19"/>
  <c r="E1185" i="19"/>
  <c r="F1185" i="19"/>
  <c r="J1185" i="19"/>
  <c r="L1185" i="19"/>
  <c r="M1185" i="19"/>
  <c r="V1185" i="19" s="1"/>
  <c r="O1185" i="19"/>
  <c r="D1186" i="19"/>
  <c r="E1186" i="19"/>
  <c r="F1186" i="19"/>
  <c r="J1186" i="19"/>
  <c r="L1186" i="19"/>
  <c r="M1186" i="19"/>
  <c r="V1186" i="19" s="1"/>
  <c r="O1186" i="19"/>
  <c r="D1187" i="19"/>
  <c r="E1187" i="19"/>
  <c r="F1187" i="19"/>
  <c r="J1187" i="19"/>
  <c r="L1187" i="19"/>
  <c r="M1187" i="19"/>
  <c r="V1187" i="19" s="1"/>
  <c r="O1187" i="19"/>
  <c r="D1188" i="19"/>
  <c r="E1188" i="19"/>
  <c r="F1188" i="19"/>
  <c r="J1188" i="19"/>
  <c r="L1188" i="19"/>
  <c r="M1188" i="19"/>
  <c r="V1188" i="19" s="1"/>
  <c r="O1188" i="19"/>
  <c r="D1189" i="19"/>
  <c r="E1189" i="19"/>
  <c r="F1189" i="19"/>
  <c r="J1189" i="19"/>
  <c r="L1189" i="19"/>
  <c r="M1189" i="19"/>
  <c r="V1189" i="19" s="1"/>
  <c r="O1189" i="19"/>
  <c r="D1190" i="19"/>
  <c r="E1190" i="19"/>
  <c r="F1190" i="19"/>
  <c r="J1190" i="19"/>
  <c r="L1190" i="19"/>
  <c r="M1190" i="19"/>
  <c r="V1190" i="19" s="1"/>
  <c r="O1190" i="19"/>
  <c r="D1191" i="19"/>
  <c r="E1191" i="19"/>
  <c r="F1191" i="19"/>
  <c r="J1191" i="19"/>
  <c r="L1191" i="19"/>
  <c r="M1191" i="19"/>
  <c r="V1191" i="19" s="1"/>
  <c r="O1191" i="19"/>
  <c r="D1192" i="19"/>
  <c r="E1192" i="19"/>
  <c r="F1192" i="19"/>
  <c r="J1192" i="19"/>
  <c r="L1192" i="19"/>
  <c r="M1192" i="19"/>
  <c r="V1192" i="19" s="1"/>
  <c r="O1192" i="19"/>
  <c r="D1193" i="19"/>
  <c r="E1193" i="19"/>
  <c r="F1193" i="19"/>
  <c r="J1193" i="19"/>
  <c r="L1193" i="19"/>
  <c r="M1193" i="19"/>
  <c r="V1193" i="19" s="1"/>
  <c r="O1193" i="19"/>
  <c r="D1194" i="19"/>
  <c r="E1194" i="19"/>
  <c r="F1194" i="19"/>
  <c r="J1194" i="19"/>
  <c r="L1194" i="19"/>
  <c r="M1194" i="19"/>
  <c r="V1194" i="19" s="1"/>
  <c r="O1194" i="19"/>
  <c r="D1195" i="19"/>
  <c r="E1195" i="19"/>
  <c r="F1195" i="19"/>
  <c r="J1195" i="19"/>
  <c r="L1195" i="19"/>
  <c r="M1195" i="19"/>
  <c r="V1195" i="19" s="1"/>
  <c r="O1195" i="19"/>
  <c r="D1196" i="19"/>
  <c r="E1196" i="19"/>
  <c r="F1196" i="19"/>
  <c r="J1196" i="19"/>
  <c r="L1196" i="19"/>
  <c r="M1196" i="19"/>
  <c r="V1196" i="19" s="1"/>
  <c r="O1196" i="19"/>
  <c r="D1197" i="19"/>
  <c r="E1197" i="19"/>
  <c r="F1197" i="19"/>
  <c r="J1197" i="19"/>
  <c r="L1197" i="19"/>
  <c r="M1197" i="19"/>
  <c r="V1197" i="19" s="1"/>
  <c r="O1197" i="19"/>
  <c r="D1198" i="19"/>
  <c r="E1198" i="19"/>
  <c r="F1198" i="19"/>
  <c r="J1198" i="19"/>
  <c r="L1198" i="19"/>
  <c r="M1198" i="19"/>
  <c r="V1198" i="19" s="1"/>
  <c r="O1198" i="19"/>
  <c r="D1199" i="19"/>
  <c r="E1199" i="19"/>
  <c r="F1199" i="19"/>
  <c r="J1199" i="19"/>
  <c r="L1199" i="19"/>
  <c r="M1199" i="19"/>
  <c r="V1199" i="19" s="1"/>
  <c r="O1199" i="19"/>
  <c r="D1200" i="19"/>
  <c r="E1200" i="19"/>
  <c r="F1200" i="19"/>
  <c r="J1200" i="19"/>
  <c r="L1200" i="19"/>
  <c r="M1200" i="19"/>
  <c r="V1200" i="19" s="1"/>
  <c r="O1200" i="19"/>
  <c r="D1201" i="19"/>
  <c r="E1201" i="19"/>
  <c r="F1201" i="19"/>
  <c r="J1201" i="19"/>
  <c r="L1201" i="19"/>
  <c r="M1201" i="19"/>
  <c r="V1201" i="19" s="1"/>
  <c r="O1201" i="19"/>
  <c r="D1202" i="19"/>
  <c r="E1202" i="19"/>
  <c r="F1202" i="19"/>
  <c r="J1202" i="19"/>
  <c r="L1202" i="19"/>
  <c r="M1202" i="19"/>
  <c r="V1202" i="19" s="1"/>
  <c r="O1202" i="19"/>
  <c r="D1203" i="19"/>
  <c r="E1203" i="19"/>
  <c r="F1203" i="19"/>
  <c r="J1203" i="19"/>
  <c r="L1203" i="19"/>
  <c r="M1203" i="19"/>
  <c r="V1203" i="19" s="1"/>
  <c r="O1203" i="19"/>
  <c r="D1204" i="19"/>
  <c r="E1204" i="19"/>
  <c r="F1204" i="19"/>
  <c r="J1204" i="19"/>
  <c r="L1204" i="19"/>
  <c r="M1204" i="19"/>
  <c r="V1204" i="19" s="1"/>
  <c r="O1204" i="19"/>
  <c r="D1205" i="19"/>
  <c r="E1205" i="19"/>
  <c r="F1205" i="19"/>
  <c r="J1205" i="19"/>
  <c r="L1205" i="19"/>
  <c r="M1205" i="19"/>
  <c r="V1205" i="19" s="1"/>
  <c r="O1205" i="19"/>
  <c r="D1206" i="19"/>
  <c r="E1206" i="19"/>
  <c r="F1206" i="19"/>
  <c r="J1206" i="19"/>
  <c r="L1206" i="19"/>
  <c r="M1206" i="19"/>
  <c r="V1206" i="19" s="1"/>
  <c r="O1206" i="19"/>
  <c r="D1207" i="19"/>
  <c r="E1207" i="19"/>
  <c r="F1207" i="19"/>
  <c r="J1207" i="19"/>
  <c r="L1207" i="19"/>
  <c r="M1207" i="19"/>
  <c r="V1207" i="19" s="1"/>
  <c r="O1207" i="19"/>
  <c r="D1208" i="19"/>
  <c r="E1208" i="19"/>
  <c r="F1208" i="19"/>
  <c r="J1208" i="19"/>
  <c r="L1208" i="19"/>
  <c r="M1208" i="19"/>
  <c r="V1208" i="19" s="1"/>
  <c r="O1208" i="19"/>
  <c r="D1209" i="19"/>
  <c r="E1209" i="19"/>
  <c r="F1209" i="19"/>
  <c r="J1209" i="19"/>
  <c r="L1209" i="19"/>
  <c r="M1209" i="19"/>
  <c r="V1209" i="19" s="1"/>
  <c r="O1209" i="19"/>
  <c r="D1210" i="19"/>
  <c r="E1210" i="19"/>
  <c r="F1210" i="19"/>
  <c r="J1210" i="19"/>
  <c r="L1210" i="19"/>
  <c r="M1210" i="19"/>
  <c r="V1210" i="19" s="1"/>
  <c r="O1210" i="19"/>
  <c r="D1211" i="19"/>
  <c r="E1211" i="19"/>
  <c r="F1211" i="19"/>
  <c r="J1211" i="19"/>
  <c r="L1211" i="19"/>
  <c r="M1211" i="19"/>
  <c r="V1211" i="19" s="1"/>
  <c r="O1211" i="19"/>
  <c r="D1212" i="19"/>
  <c r="E1212" i="19"/>
  <c r="F1212" i="19"/>
  <c r="J1212" i="19"/>
  <c r="L1212" i="19"/>
  <c r="M1212" i="19"/>
  <c r="V1212" i="19" s="1"/>
  <c r="O1212" i="19"/>
  <c r="D1213" i="19"/>
  <c r="E1213" i="19"/>
  <c r="F1213" i="19"/>
  <c r="J1213" i="19"/>
  <c r="L1213" i="19"/>
  <c r="M1213" i="19"/>
  <c r="V1213" i="19" s="1"/>
  <c r="O1213" i="19"/>
  <c r="D1214" i="19"/>
  <c r="E1214" i="19"/>
  <c r="F1214" i="19"/>
  <c r="J1214" i="19"/>
  <c r="L1214" i="19"/>
  <c r="M1214" i="19"/>
  <c r="V1214" i="19" s="1"/>
  <c r="O1214" i="19"/>
  <c r="D1215" i="19"/>
  <c r="E1215" i="19"/>
  <c r="F1215" i="19"/>
  <c r="J1215" i="19"/>
  <c r="L1215" i="19"/>
  <c r="M1215" i="19"/>
  <c r="V1215" i="19" s="1"/>
  <c r="O1215" i="19"/>
  <c r="D1216" i="19"/>
  <c r="E1216" i="19"/>
  <c r="F1216" i="19"/>
  <c r="J1216" i="19"/>
  <c r="L1216" i="19"/>
  <c r="M1216" i="19"/>
  <c r="V1216" i="19" s="1"/>
  <c r="O1216" i="19"/>
  <c r="D1217" i="19"/>
  <c r="E1217" i="19"/>
  <c r="F1217" i="19"/>
  <c r="J1217" i="19"/>
  <c r="L1217" i="19"/>
  <c r="M1217" i="19"/>
  <c r="V1217" i="19" s="1"/>
  <c r="O1217" i="19"/>
  <c r="D1218" i="19"/>
  <c r="E1218" i="19"/>
  <c r="F1218" i="19"/>
  <c r="J1218" i="19"/>
  <c r="L1218" i="19"/>
  <c r="M1218" i="19"/>
  <c r="V1218" i="19" s="1"/>
  <c r="O1218" i="19"/>
  <c r="D1219" i="19"/>
  <c r="E1219" i="19"/>
  <c r="F1219" i="19"/>
  <c r="J1219" i="19"/>
  <c r="L1219" i="19"/>
  <c r="M1219" i="19"/>
  <c r="V1219" i="19" s="1"/>
  <c r="O1219" i="19"/>
  <c r="D1220" i="19"/>
  <c r="E1220" i="19"/>
  <c r="F1220" i="19"/>
  <c r="J1220" i="19"/>
  <c r="L1220" i="19"/>
  <c r="M1220" i="19"/>
  <c r="V1220" i="19" s="1"/>
  <c r="O1220" i="19"/>
  <c r="D1221" i="19"/>
  <c r="E1221" i="19"/>
  <c r="F1221" i="19"/>
  <c r="J1221" i="19"/>
  <c r="L1221" i="19"/>
  <c r="M1221" i="19"/>
  <c r="V1221" i="19" s="1"/>
  <c r="O1221" i="19"/>
  <c r="D1222" i="19"/>
  <c r="E1222" i="19"/>
  <c r="F1222" i="19"/>
  <c r="J1222" i="19"/>
  <c r="L1222" i="19"/>
  <c r="M1222" i="19"/>
  <c r="V1222" i="19" s="1"/>
  <c r="O1222" i="19"/>
  <c r="D1223" i="19"/>
  <c r="E1223" i="19"/>
  <c r="F1223" i="19"/>
  <c r="J1223" i="19"/>
  <c r="L1223" i="19"/>
  <c r="M1223" i="19"/>
  <c r="V1223" i="19" s="1"/>
  <c r="O1223" i="19"/>
  <c r="D1224" i="19"/>
  <c r="E1224" i="19"/>
  <c r="F1224" i="19"/>
  <c r="J1224" i="19"/>
  <c r="L1224" i="19"/>
  <c r="M1224" i="19"/>
  <c r="V1224" i="19" s="1"/>
  <c r="O1224" i="19"/>
  <c r="D1225" i="19"/>
  <c r="E1225" i="19"/>
  <c r="F1225" i="19"/>
  <c r="J1225" i="19"/>
  <c r="L1225" i="19"/>
  <c r="M1225" i="19"/>
  <c r="V1225" i="19" s="1"/>
  <c r="O1225" i="19"/>
  <c r="D1226" i="19"/>
  <c r="E1226" i="19"/>
  <c r="F1226" i="19"/>
  <c r="J1226" i="19"/>
  <c r="L1226" i="19"/>
  <c r="M1226" i="19"/>
  <c r="V1226" i="19" s="1"/>
  <c r="O1226" i="19"/>
  <c r="D1227" i="19"/>
  <c r="E1227" i="19"/>
  <c r="F1227" i="19"/>
  <c r="J1227" i="19"/>
  <c r="L1227" i="19"/>
  <c r="M1227" i="19"/>
  <c r="V1227" i="19" s="1"/>
  <c r="O1227" i="19"/>
  <c r="D1228" i="19"/>
  <c r="E1228" i="19"/>
  <c r="F1228" i="19"/>
  <c r="J1228" i="19"/>
  <c r="L1228" i="19"/>
  <c r="M1228" i="19"/>
  <c r="V1228" i="19" s="1"/>
  <c r="O1228" i="19"/>
  <c r="D1229" i="19"/>
  <c r="E1229" i="19"/>
  <c r="F1229" i="19"/>
  <c r="J1229" i="19"/>
  <c r="L1229" i="19"/>
  <c r="M1229" i="19"/>
  <c r="V1229" i="19" s="1"/>
  <c r="O1229" i="19"/>
  <c r="D1230" i="19"/>
  <c r="E1230" i="19"/>
  <c r="F1230" i="19"/>
  <c r="J1230" i="19"/>
  <c r="L1230" i="19"/>
  <c r="M1230" i="19"/>
  <c r="V1230" i="19" s="1"/>
  <c r="O1230" i="19"/>
  <c r="D1231" i="19"/>
  <c r="E1231" i="19"/>
  <c r="F1231" i="19"/>
  <c r="J1231" i="19"/>
  <c r="L1231" i="19"/>
  <c r="M1231" i="19"/>
  <c r="V1231" i="19" s="1"/>
  <c r="O1231" i="19"/>
  <c r="D1232" i="19"/>
  <c r="E1232" i="19"/>
  <c r="F1232" i="19"/>
  <c r="J1232" i="19"/>
  <c r="L1232" i="19"/>
  <c r="M1232" i="19"/>
  <c r="V1232" i="19" s="1"/>
  <c r="O1232" i="19"/>
  <c r="D1233" i="19"/>
  <c r="E1233" i="19"/>
  <c r="F1233" i="19"/>
  <c r="J1233" i="19"/>
  <c r="L1233" i="19"/>
  <c r="M1233" i="19"/>
  <c r="V1233" i="19" s="1"/>
  <c r="O1233" i="19"/>
  <c r="D1234" i="19"/>
  <c r="E1234" i="19"/>
  <c r="F1234" i="19"/>
  <c r="J1234" i="19"/>
  <c r="L1234" i="19"/>
  <c r="M1234" i="19"/>
  <c r="V1234" i="19" s="1"/>
  <c r="O1234" i="19"/>
  <c r="D1235" i="19"/>
  <c r="E1235" i="19"/>
  <c r="F1235" i="19"/>
  <c r="J1235" i="19"/>
  <c r="L1235" i="19"/>
  <c r="M1235" i="19"/>
  <c r="V1235" i="19" s="1"/>
  <c r="O1235" i="19"/>
  <c r="D1236" i="19"/>
  <c r="E1236" i="19"/>
  <c r="F1236" i="19"/>
  <c r="J1236" i="19"/>
  <c r="L1236" i="19"/>
  <c r="M1236" i="19"/>
  <c r="V1236" i="19" s="1"/>
  <c r="O1236" i="19"/>
  <c r="D1237" i="19"/>
  <c r="E1237" i="19"/>
  <c r="F1237" i="19"/>
  <c r="J1237" i="19"/>
  <c r="L1237" i="19"/>
  <c r="M1237" i="19"/>
  <c r="V1237" i="19" s="1"/>
  <c r="O1237" i="19"/>
  <c r="D1238" i="19"/>
  <c r="E1238" i="19"/>
  <c r="F1238" i="19"/>
  <c r="J1238" i="19"/>
  <c r="L1238" i="19"/>
  <c r="M1238" i="19"/>
  <c r="V1238" i="19" s="1"/>
  <c r="O1238" i="19"/>
  <c r="D1239" i="19"/>
  <c r="E1239" i="19"/>
  <c r="F1239" i="19"/>
  <c r="J1239" i="19"/>
  <c r="L1239" i="19"/>
  <c r="M1239" i="19"/>
  <c r="V1239" i="19" s="1"/>
  <c r="O1239" i="19"/>
  <c r="D1240" i="19"/>
  <c r="E1240" i="19"/>
  <c r="F1240" i="19"/>
  <c r="J1240" i="19"/>
  <c r="L1240" i="19"/>
  <c r="M1240" i="19"/>
  <c r="V1240" i="19" s="1"/>
  <c r="O1240" i="19"/>
  <c r="D1241" i="19"/>
  <c r="E1241" i="19"/>
  <c r="F1241" i="19"/>
  <c r="J1241" i="19"/>
  <c r="L1241" i="19"/>
  <c r="M1241" i="19"/>
  <c r="V1241" i="19" s="1"/>
  <c r="O1241" i="19"/>
  <c r="D1242" i="19"/>
  <c r="E1242" i="19"/>
  <c r="F1242" i="19"/>
  <c r="J1242" i="19"/>
  <c r="L1242" i="19"/>
  <c r="M1242" i="19"/>
  <c r="V1242" i="19" s="1"/>
  <c r="O1242" i="19"/>
  <c r="D1243" i="19"/>
  <c r="E1243" i="19"/>
  <c r="F1243" i="19"/>
  <c r="J1243" i="19"/>
  <c r="L1243" i="19"/>
  <c r="M1243" i="19"/>
  <c r="V1243" i="19" s="1"/>
  <c r="O1243" i="19"/>
  <c r="D1244" i="19"/>
  <c r="E1244" i="19"/>
  <c r="F1244" i="19"/>
  <c r="J1244" i="19"/>
  <c r="L1244" i="19"/>
  <c r="M1244" i="19"/>
  <c r="V1244" i="19" s="1"/>
  <c r="O1244" i="19"/>
  <c r="D1245" i="19"/>
  <c r="E1245" i="19"/>
  <c r="F1245" i="19"/>
  <c r="J1245" i="19"/>
  <c r="L1245" i="19"/>
  <c r="M1245" i="19"/>
  <c r="V1245" i="19" s="1"/>
  <c r="O1245" i="19"/>
  <c r="D1246" i="19"/>
  <c r="E1246" i="19"/>
  <c r="F1246" i="19"/>
  <c r="J1246" i="19"/>
  <c r="L1246" i="19"/>
  <c r="M1246" i="19"/>
  <c r="V1246" i="19" s="1"/>
  <c r="O1246" i="19"/>
  <c r="D1247" i="19"/>
  <c r="E1247" i="19"/>
  <c r="F1247" i="19"/>
  <c r="J1247" i="19"/>
  <c r="L1247" i="19"/>
  <c r="M1247" i="19"/>
  <c r="V1247" i="19" s="1"/>
  <c r="O1247" i="19"/>
  <c r="D1248" i="19"/>
  <c r="E1248" i="19"/>
  <c r="F1248" i="19"/>
  <c r="J1248" i="19"/>
  <c r="L1248" i="19"/>
  <c r="M1248" i="19"/>
  <c r="V1248" i="19" s="1"/>
  <c r="O1248" i="19"/>
  <c r="D1249" i="19"/>
  <c r="E1249" i="19"/>
  <c r="F1249" i="19"/>
  <c r="J1249" i="19"/>
  <c r="L1249" i="19"/>
  <c r="M1249" i="19"/>
  <c r="V1249" i="19" s="1"/>
  <c r="O1249" i="19"/>
  <c r="D1250" i="19"/>
  <c r="E1250" i="19"/>
  <c r="F1250" i="19"/>
  <c r="J1250" i="19"/>
  <c r="L1250" i="19"/>
  <c r="M1250" i="19"/>
  <c r="V1250" i="19" s="1"/>
  <c r="O1250" i="19"/>
  <c r="D1251" i="19"/>
  <c r="E1251" i="19"/>
  <c r="F1251" i="19"/>
  <c r="J1251" i="19"/>
  <c r="L1251" i="19"/>
  <c r="M1251" i="19"/>
  <c r="V1251" i="19" s="1"/>
  <c r="O1251" i="19"/>
  <c r="D1252" i="19"/>
  <c r="E1252" i="19"/>
  <c r="F1252" i="19"/>
  <c r="J1252" i="19"/>
  <c r="L1252" i="19"/>
  <c r="M1252" i="19"/>
  <c r="V1252" i="19" s="1"/>
  <c r="O1252" i="19"/>
  <c r="D1253" i="19"/>
  <c r="E1253" i="19"/>
  <c r="F1253" i="19"/>
  <c r="J1253" i="19"/>
  <c r="L1253" i="19"/>
  <c r="M1253" i="19"/>
  <c r="V1253" i="19" s="1"/>
  <c r="O1253" i="19"/>
  <c r="D1254" i="19"/>
  <c r="E1254" i="19"/>
  <c r="F1254" i="19"/>
  <c r="J1254" i="19"/>
  <c r="L1254" i="19"/>
  <c r="M1254" i="19"/>
  <c r="V1254" i="19" s="1"/>
  <c r="O1254" i="19"/>
  <c r="D1255" i="19"/>
  <c r="E1255" i="19"/>
  <c r="F1255" i="19"/>
  <c r="J1255" i="19"/>
  <c r="L1255" i="19"/>
  <c r="M1255" i="19"/>
  <c r="V1255" i="19" s="1"/>
  <c r="O1255" i="19"/>
  <c r="D1256" i="19"/>
  <c r="E1256" i="19"/>
  <c r="F1256" i="19"/>
  <c r="J1256" i="19"/>
  <c r="L1256" i="19"/>
  <c r="M1256" i="19"/>
  <c r="V1256" i="19" s="1"/>
  <c r="O1256" i="19"/>
  <c r="D1257" i="19"/>
  <c r="E1257" i="19"/>
  <c r="F1257" i="19"/>
  <c r="J1257" i="19"/>
  <c r="L1257" i="19"/>
  <c r="M1257" i="19"/>
  <c r="V1257" i="19" s="1"/>
  <c r="O1257" i="19"/>
  <c r="D1258" i="19"/>
  <c r="E1258" i="19"/>
  <c r="F1258" i="19"/>
  <c r="J1258" i="19"/>
  <c r="L1258" i="19"/>
  <c r="M1258" i="19"/>
  <c r="V1258" i="19" s="1"/>
  <c r="O1258" i="19"/>
  <c r="D1259" i="19"/>
  <c r="E1259" i="19"/>
  <c r="F1259" i="19"/>
  <c r="J1259" i="19"/>
  <c r="L1259" i="19"/>
  <c r="M1259" i="19"/>
  <c r="V1259" i="19" s="1"/>
  <c r="O1259" i="19"/>
  <c r="D1260" i="19"/>
  <c r="E1260" i="19"/>
  <c r="F1260" i="19"/>
  <c r="J1260" i="19"/>
  <c r="L1260" i="19"/>
  <c r="M1260" i="19"/>
  <c r="V1260" i="19" s="1"/>
  <c r="O1260" i="19"/>
  <c r="D1261" i="19"/>
  <c r="E1261" i="19"/>
  <c r="F1261" i="19"/>
  <c r="J1261" i="19"/>
  <c r="L1261" i="19"/>
  <c r="M1261" i="19"/>
  <c r="V1261" i="19" s="1"/>
  <c r="O1261" i="19"/>
  <c r="D1262" i="19"/>
  <c r="E1262" i="19"/>
  <c r="F1262" i="19"/>
  <c r="J1262" i="19"/>
  <c r="L1262" i="19"/>
  <c r="M1262" i="19"/>
  <c r="V1262" i="19" s="1"/>
  <c r="O1262" i="19"/>
  <c r="D1263" i="19"/>
  <c r="E1263" i="19"/>
  <c r="F1263" i="19"/>
  <c r="J1263" i="19"/>
  <c r="L1263" i="19"/>
  <c r="M1263" i="19"/>
  <c r="V1263" i="19" s="1"/>
  <c r="O1263" i="19"/>
  <c r="D1264" i="19"/>
  <c r="E1264" i="19"/>
  <c r="F1264" i="19"/>
  <c r="J1264" i="19"/>
  <c r="L1264" i="19"/>
  <c r="M1264" i="19"/>
  <c r="V1264" i="19" s="1"/>
  <c r="O1264" i="19"/>
  <c r="D1265" i="19"/>
  <c r="E1265" i="19"/>
  <c r="F1265" i="19"/>
  <c r="J1265" i="19"/>
  <c r="L1265" i="19"/>
  <c r="M1265" i="19"/>
  <c r="V1265" i="19" s="1"/>
  <c r="O1265" i="19"/>
  <c r="D1266" i="19"/>
  <c r="E1266" i="19"/>
  <c r="F1266" i="19"/>
  <c r="J1266" i="19"/>
  <c r="L1266" i="19"/>
  <c r="M1266" i="19"/>
  <c r="V1266" i="19" s="1"/>
  <c r="O1266" i="19"/>
  <c r="D1267" i="19"/>
  <c r="E1267" i="19"/>
  <c r="F1267" i="19"/>
  <c r="J1267" i="19"/>
  <c r="L1267" i="19"/>
  <c r="M1267" i="19"/>
  <c r="V1267" i="19" s="1"/>
  <c r="O1267" i="19"/>
  <c r="D1268" i="19"/>
  <c r="E1268" i="19"/>
  <c r="F1268" i="19"/>
  <c r="J1268" i="19"/>
  <c r="L1268" i="19"/>
  <c r="M1268" i="19"/>
  <c r="V1268" i="19" s="1"/>
  <c r="O1268" i="19"/>
  <c r="D1269" i="19"/>
  <c r="E1269" i="19"/>
  <c r="F1269" i="19"/>
  <c r="J1269" i="19"/>
  <c r="L1269" i="19"/>
  <c r="M1269" i="19"/>
  <c r="V1269" i="19" s="1"/>
  <c r="O1269" i="19"/>
  <c r="D1270" i="19"/>
  <c r="E1270" i="19"/>
  <c r="F1270" i="19"/>
  <c r="J1270" i="19"/>
  <c r="L1270" i="19"/>
  <c r="M1270" i="19"/>
  <c r="V1270" i="19" s="1"/>
  <c r="O1270" i="19"/>
  <c r="D1271" i="19"/>
  <c r="E1271" i="19"/>
  <c r="F1271" i="19"/>
  <c r="J1271" i="19"/>
  <c r="L1271" i="19"/>
  <c r="M1271" i="19"/>
  <c r="V1271" i="19" s="1"/>
  <c r="O1271" i="19"/>
  <c r="D1272" i="19"/>
  <c r="E1272" i="19"/>
  <c r="F1272" i="19"/>
  <c r="J1272" i="19"/>
  <c r="L1272" i="19"/>
  <c r="M1272" i="19"/>
  <c r="V1272" i="19" s="1"/>
  <c r="O1272" i="19"/>
  <c r="D1273" i="19"/>
  <c r="E1273" i="19"/>
  <c r="F1273" i="19"/>
  <c r="J1273" i="19"/>
  <c r="L1273" i="19"/>
  <c r="M1273" i="19"/>
  <c r="V1273" i="19" s="1"/>
  <c r="O1273" i="19"/>
  <c r="D1274" i="19"/>
  <c r="E1274" i="19"/>
  <c r="F1274" i="19"/>
  <c r="J1274" i="19"/>
  <c r="L1274" i="19"/>
  <c r="M1274" i="19"/>
  <c r="V1274" i="19" s="1"/>
  <c r="O1274" i="19"/>
  <c r="D1275" i="19"/>
  <c r="E1275" i="19"/>
  <c r="F1275" i="19"/>
  <c r="J1275" i="19"/>
  <c r="L1275" i="19"/>
  <c r="M1275" i="19"/>
  <c r="V1275" i="19" s="1"/>
  <c r="O1275" i="19"/>
  <c r="D1276" i="19"/>
  <c r="E1276" i="19"/>
  <c r="F1276" i="19"/>
  <c r="J1276" i="19"/>
  <c r="L1276" i="19"/>
  <c r="M1276" i="19"/>
  <c r="V1276" i="19" s="1"/>
  <c r="O1276" i="19"/>
  <c r="D1277" i="19"/>
  <c r="E1277" i="19"/>
  <c r="F1277" i="19"/>
  <c r="J1277" i="19"/>
  <c r="L1277" i="19"/>
  <c r="M1277" i="19"/>
  <c r="V1277" i="19" s="1"/>
  <c r="O1277" i="19"/>
  <c r="D1278" i="19"/>
  <c r="E1278" i="19"/>
  <c r="F1278" i="19"/>
  <c r="J1278" i="19"/>
  <c r="L1278" i="19"/>
  <c r="M1278" i="19"/>
  <c r="V1278" i="19" s="1"/>
  <c r="O1278" i="19"/>
  <c r="D1279" i="19"/>
  <c r="E1279" i="19"/>
  <c r="F1279" i="19"/>
  <c r="J1279" i="19"/>
  <c r="L1279" i="19"/>
  <c r="M1279" i="19"/>
  <c r="V1279" i="19" s="1"/>
  <c r="O1279" i="19"/>
  <c r="D1280" i="19"/>
  <c r="E1280" i="19"/>
  <c r="F1280" i="19"/>
  <c r="J1280" i="19"/>
  <c r="L1280" i="19"/>
  <c r="M1280" i="19"/>
  <c r="V1280" i="19" s="1"/>
  <c r="O1280" i="19"/>
  <c r="D1281" i="19"/>
  <c r="E1281" i="19"/>
  <c r="F1281" i="19"/>
  <c r="J1281" i="19"/>
  <c r="L1281" i="19"/>
  <c r="M1281" i="19"/>
  <c r="V1281" i="19" s="1"/>
  <c r="O1281" i="19"/>
  <c r="D1282" i="19"/>
  <c r="E1282" i="19"/>
  <c r="F1282" i="19"/>
  <c r="J1282" i="19"/>
  <c r="L1282" i="19"/>
  <c r="M1282" i="19"/>
  <c r="V1282" i="19" s="1"/>
  <c r="O1282" i="19"/>
  <c r="D1283" i="19"/>
  <c r="E1283" i="19"/>
  <c r="F1283" i="19"/>
  <c r="J1283" i="19"/>
  <c r="L1283" i="19"/>
  <c r="M1283" i="19"/>
  <c r="V1283" i="19" s="1"/>
  <c r="O1283" i="19"/>
  <c r="D1284" i="19"/>
  <c r="E1284" i="19"/>
  <c r="F1284" i="19"/>
  <c r="J1284" i="19"/>
  <c r="L1284" i="19"/>
  <c r="M1284" i="19"/>
  <c r="V1284" i="19" s="1"/>
  <c r="O1284" i="19"/>
  <c r="D1285" i="19"/>
  <c r="E1285" i="19"/>
  <c r="F1285" i="19"/>
  <c r="J1285" i="19"/>
  <c r="L1285" i="19"/>
  <c r="M1285" i="19"/>
  <c r="V1285" i="19" s="1"/>
  <c r="O1285" i="19"/>
  <c r="D1286" i="19"/>
  <c r="E1286" i="19"/>
  <c r="F1286" i="19"/>
  <c r="J1286" i="19"/>
  <c r="L1286" i="19"/>
  <c r="M1286" i="19"/>
  <c r="V1286" i="19" s="1"/>
  <c r="O1286" i="19"/>
  <c r="D1287" i="19"/>
  <c r="E1287" i="19"/>
  <c r="F1287" i="19"/>
  <c r="J1287" i="19"/>
  <c r="L1287" i="19"/>
  <c r="M1287" i="19"/>
  <c r="V1287" i="19" s="1"/>
  <c r="O1287" i="19"/>
  <c r="D1288" i="19"/>
  <c r="E1288" i="19"/>
  <c r="F1288" i="19"/>
  <c r="J1288" i="19"/>
  <c r="L1288" i="19"/>
  <c r="M1288" i="19"/>
  <c r="V1288" i="19" s="1"/>
  <c r="O1288" i="19"/>
  <c r="D1289" i="19"/>
  <c r="E1289" i="19"/>
  <c r="F1289" i="19"/>
  <c r="J1289" i="19"/>
  <c r="L1289" i="19"/>
  <c r="M1289" i="19"/>
  <c r="V1289" i="19" s="1"/>
  <c r="O1289" i="19"/>
  <c r="D1290" i="19"/>
  <c r="E1290" i="19"/>
  <c r="F1290" i="19"/>
  <c r="J1290" i="19"/>
  <c r="L1290" i="19"/>
  <c r="M1290" i="19"/>
  <c r="V1290" i="19" s="1"/>
  <c r="O1290" i="19"/>
  <c r="D1291" i="19"/>
  <c r="E1291" i="19"/>
  <c r="F1291" i="19"/>
  <c r="J1291" i="19"/>
  <c r="L1291" i="19"/>
  <c r="M1291" i="19"/>
  <c r="V1291" i="19" s="1"/>
  <c r="O1291" i="19"/>
  <c r="D1292" i="19"/>
  <c r="E1292" i="19"/>
  <c r="F1292" i="19"/>
  <c r="J1292" i="19"/>
  <c r="L1292" i="19"/>
  <c r="M1292" i="19"/>
  <c r="V1292" i="19" s="1"/>
  <c r="O1292" i="19"/>
  <c r="D1293" i="19"/>
  <c r="E1293" i="19"/>
  <c r="F1293" i="19"/>
  <c r="J1293" i="19"/>
  <c r="L1293" i="19"/>
  <c r="M1293" i="19"/>
  <c r="V1293" i="19" s="1"/>
  <c r="O1293" i="19"/>
  <c r="D1294" i="19"/>
  <c r="E1294" i="19"/>
  <c r="F1294" i="19"/>
  <c r="J1294" i="19"/>
  <c r="L1294" i="19"/>
  <c r="M1294" i="19"/>
  <c r="V1294" i="19" s="1"/>
  <c r="O1294" i="19"/>
  <c r="D1295" i="19"/>
  <c r="E1295" i="19"/>
  <c r="F1295" i="19"/>
  <c r="J1295" i="19"/>
  <c r="L1295" i="19"/>
  <c r="M1295" i="19"/>
  <c r="V1295" i="19" s="1"/>
  <c r="O1295" i="19"/>
  <c r="D1296" i="19"/>
  <c r="E1296" i="19"/>
  <c r="F1296" i="19"/>
  <c r="J1296" i="19"/>
  <c r="L1296" i="19"/>
  <c r="M1296" i="19"/>
  <c r="V1296" i="19" s="1"/>
  <c r="O1296" i="19"/>
  <c r="D1297" i="19"/>
  <c r="E1297" i="19"/>
  <c r="F1297" i="19"/>
  <c r="J1297" i="19"/>
  <c r="L1297" i="19"/>
  <c r="M1297" i="19"/>
  <c r="V1297" i="19" s="1"/>
  <c r="O1297" i="19"/>
  <c r="D1298" i="19"/>
  <c r="E1298" i="19"/>
  <c r="F1298" i="19"/>
  <c r="J1298" i="19"/>
  <c r="L1298" i="19"/>
  <c r="M1298" i="19"/>
  <c r="V1298" i="19" s="1"/>
  <c r="O1298" i="19"/>
  <c r="D1299" i="19"/>
  <c r="E1299" i="19"/>
  <c r="F1299" i="19"/>
  <c r="J1299" i="19"/>
  <c r="L1299" i="19"/>
  <c r="M1299" i="19"/>
  <c r="V1299" i="19" s="1"/>
  <c r="O1299" i="19"/>
  <c r="D1300" i="19"/>
  <c r="E1300" i="19"/>
  <c r="F1300" i="19"/>
  <c r="J1300" i="19"/>
  <c r="L1300" i="19"/>
  <c r="M1300" i="19"/>
  <c r="V1300" i="19" s="1"/>
  <c r="O1300" i="19"/>
  <c r="D1301" i="19"/>
  <c r="E1301" i="19"/>
  <c r="F1301" i="19"/>
  <c r="J1301" i="19"/>
  <c r="L1301" i="19"/>
  <c r="M1301" i="19"/>
  <c r="V1301" i="19" s="1"/>
  <c r="O1301" i="19"/>
  <c r="D1302" i="19"/>
  <c r="E1302" i="19"/>
  <c r="F1302" i="19"/>
  <c r="J1302" i="19"/>
  <c r="L1302" i="19"/>
  <c r="M1302" i="19"/>
  <c r="V1302" i="19" s="1"/>
  <c r="O1302" i="19"/>
  <c r="D1303" i="19"/>
  <c r="E1303" i="19"/>
  <c r="F1303" i="19"/>
  <c r="J1303" i="19"/>
  <c r="L1303" i="19"/>
  <c r="M1303" i="19"/>
  <c r="V1303" i="19" s="1"/>
  <c r="O1303" i="19"/>
  <c r="D1304" i="19"/>
  <c r="E1304" i="19"/>
  <c r="F1304" i="19"/>
  <c r="J1304" i="19"/>
  <c r="L1304" i="19"/>
  <c r="M1304" i="19"/>
  <c r="V1304" i="19" s="1"/>
  <c r="O1304" i="19"/>
  <c r="D1305" i="19"/>
  <c r="E1305" i="19"/>
  <c r="F1305" i="19"/>
  <c r="J1305" i="19"/>
  <c r="L1305" i="19"/>
  <c r="M1305" i="19"/>
  <c r="V1305" i="19" s="1"/>
  <c r="O1305" i="19"/>
  <c r="D1306" i="19"/>
  <c r="E1306" i="19"/>
  <c r="F1306" i="19"/>
  <c r="J1306" i="19"/>
  <c r="L1306" i="19"/>
  <c r="M1306" i="19"/>
  <c r="V1306" i="19" s="1"/>
  <c r="O1306" i="19"/>
  <c r="D1307" i="19"/>
  <c r="E1307" i="19"/>
  <c r="F1307" i="19"/>
  <c r="J1307" i="19"/>
  <c r="L1307" i="19"/>
  <c r="M1307" i="19"/>
  <c r="V1307" i="19" s="1"/>
  <c r="O1307" i="19"/>
  <c r="D1308" i="19"/>
  <c r="E1308" i="19"/>
  <c r="F1308" i="19"/>
  <c r="J1308" i="19"/>
  <c r="L1308" i="19"/>
  <c r="M1308" i="19"/>
  <c r="V1308" i="19" s="1"/>
  <c r="O1308" i="19"/>
  <c r="D1309" i="19"/>
  <c r="E1309" i="19"/>
  <c r="F1309" i="19"/>
  <c r="J1309" i="19"/>
  <c r="L1309" i="19"/>
  <c r="M1309" i="19"/>
  <c r="V1309" i="19" s="1"/>
  <c r="O1309" i="19"/>
  <c r="D1310" i="19"/>
  <c r="E1310" i="19"/>
  <c r="F1310" i="19"/>
  <c r="J1310" i="19"/>
  <c r="L1310" i="19"/>
  <c r="M1310" i="19"/>
  <c r="V1310" i="19" s="1"/>
  <c r="O1310" i="19"/>
  <c r="D1311" i="19"/>
  <c r="E1311" i="19"/>
  <c r="F1311" i="19"/>
  <c r="J1311" i="19"/>
  <c r="L1311" i="19"/>
  <c r="M1311" i="19"/>
  <c r="V1311" i="19" s="1"/>
  <c r="O1311" i="19"/>
  <c r="D1312" i="19"/>
  <c r="E1312" i="19"/>
  <c r="F1312" i="19"/>
  <c r="J1312" i="19"/>
  <c r="L1312" i="19"/>
  <c r="M1312" i="19"/>
  <c r="V1312" i="19" s="1"/>
  <c r="O1312" i="19"/>
  <c r="D1313" i="19"/>
  <c r="E1313" i="19"/>
  <c r="F1313" i="19"/>
  <c r="J1313" i="19"/>
  <c r="L1313" i="19"/>
  <c r="M1313" i="19"/>
  <c r="V1313" i="19" s="1"/>
  <c r="O1313" i="19"/>
  <c r="D1314" i="19"/>
  <c r="E1314" i="19"/>
  <c r="F1314" i="19"/>
  <c r="J1314" i="19"/>
  <c r="L1314" i="19"/>
  <c r="M1314" i="19"/>
  <c r="V1314" i="19" s="1"/>
  <c r="O1314" i="19"/>
  <c r="D1315" i="19"/>
  <c r="E1315" i="19"/>
  <c r="F1315" i="19"/>
  <c r="J1315" i="19"/>
  <c r="L1315" i="19"/>
  <c r="M1315" i="19"/>
  <c r="V1315" i="19" s="1"/>
  <c r="O1315" i="19"/>
  <c r="D1316" i="19"/>
  <c r="E1316" i="19"/>
  <c r="F1316" i="19"/>
  <c r="J1316" i="19"/>
  <c r="L1316" i="19"/>
  <c r="M1316" i="19"/>
  <c r="V1316" i="19" s="1"/>
  <c r="O1316" i="19"/>
  <c r="D1317" i="19"/>
  <c r="E1317" i="19"/>
  <c r="F1317" i="19"/>
  <c r="J1317" i="19"/>
  <c r="L1317" i="19"/>
  <c r="M1317" i="19"/>
  <c r="V1317" i="19" s="1"/>
  <c r="O1317" i="19"/>
  <c r="D1318" i="19"/>
  <c r="E1318" i="19"/>
  <c r="F1318" i="19"/>
  <c r="J1318" i="19"/>
  <c r="L1318" i="19"/>
  <c r="M1318" i="19"/>
  <c r="V1318" i="19" s="1"/>
  <c r="O1318" i="19"/>
  <c r="D1319" i="19"/>
  <c r="E1319" i="19"/>
  <c r="F1319" i="19"/>
  <c r="J1319" i="19"/>
  <c r="L1319" i="19"/>
  <c r="M1319" i="19"/>
  <c r="V1319" i="19" s="1"/>
  <c r="O1319" i="19"/>
  <c r="D1320" i="19"/>
  <c r="E1320" i="19"/>
  <c r="F1320" i="19"/>
  <c r="J1320" i="19"/>
  <c r="L1320" i="19"/>
  <c r="M1320" i="19"/>
  <c r="V1320" i="19" s="1"/>
  <c r="O1320" i="19"/>
  <c r="D1321" i="19"/>
  <c r="E1321" i="19"/>
  <c r="F1321" i="19"/>
  <c r="J1321" i="19"/>
  <c r="L1321" i="19"/>
  <c r="M1321" i="19"/>
  <c r="V1321" i="19" s="1"/>
  <c r="O1321" i="19"/>
  <c r="D1322" i="19"/>
  <c r="E1322" i="19"/>
  <c r="F1322" i="19"/>
  <c r="J1322" i="19"/>
  <c r="L1322" i="19"/>
  <c r="M1322" i="19"/>
  <c r="V1322" i="19" s="1"/>
  <c r="O1322" i="19"/>
  <c r="D1323" i="19"/>
  <c r="E1323" i="19"/>
  <c r="F1323" i="19"/>
  <c r="J1323" i="19"/>
  <c r="L1323" i="19"/>
  <c r="M1323" i="19"/>
  <c r="V1323" i="19" s="1"/>
  <c r="O1323" i="19"/>
  <c r="D1324" i="19"/>
  <c r="E1324" i="19"/>
  <c r="F1324" i="19"/>
  <c r="J1324" i="19"/>
  <c r="L1324" i="19"/>
  <c r="M1324" i="19"/>
  <c r="V1324" i="19" s="1"/>
  <c r="O1324" i="19"/>
  <c r="D1325" i="19"/>
  <c r="E1325" i="19"/>
  <c r="F1325" i="19"/>
  <c r="J1325" i="19"/>
  <c r="L1325" i="19"/>
  <c r="M1325" i="19"/>
  <c r="V1325" i="19" s="1"/>
  <c r="O1325" i="19"/>
  <c r="D1326" i="19"/>
  <c r="E1326" i="19"/>
  <c r="F1326" i="19"/>
  <c r="J1326" i="19"/>
  <c r="L1326" i="19"/>
  <c r="M1326" i="19"/>
  <c r="V1326" i="19" s="1"/>
  <c r="O1326" i="19"/>
  <c r="D1327" i="19"/>
  <c r="E1327" i="19"/>
  <c r="F1327" i="19"/>
  <c r="J1327" i="19"/>
  <c r="L1327" i="19"/>
  <c r="M1327" i="19"/>
  <c r="V1327" i="19" s="1"/>
  <c r="O1327" i="19"/>
  <c r="D1328" i="19"/>
  <c r="E1328" i="19"/>
  <c r="F1328" i="19"/>
  <c r="J1328" i="19"/>
  <c r="L1328" i="19"/>
  <c r="M1328" i="19"/>
  <c r="V1328" i="19" s="1"/>
  <c r="O1328" i="19"/>
  <c r="D1329" i="19"/>
  <c r="E1329" i="19"/>
  <c r="F1329" i="19"/>
  <c r="J1329" i="19"/>
  <c r="L1329" i="19"/>
  <c r="M1329" i="19"/>
  <c r="V1329" i="19" s="1"/>
  <c r="O1329" i="19"/>
  <c r="D1330" i="19"/>
  <c r="E1330" i="19"/>
  <c r="F1330" i="19"/>
  <c r="J1330" i="19"/>
  <c r="L1330" i="19"/>
  <c r="M1330" i="19"/>
  <c r="V1330" i="19" s="1"/>
  <c r="O1330" i="19"/>
  <c r="D1331" i="19"/>
  <c r="E1331" i="19"/>
  <c r="F1331" i="19"/>
  <c r="J1331" i="19"/>
  <c r="L1331" i="19"/>
  <c r="M1331" i="19"/>
  <c r="V1331" i="19" s="1"/>
  <c r="O1331" i="19"/>
  <c r="D1332" i="19"/>
  <c r="E1332" i="19"/>
  <c r="F1332" i="19"/>
  <c r="J1332" i="19"/>
  <c r="L1332" i="19"/>
  <c r="M1332" i="19"/>
  <c r="V1332" i="19" s="1"/>
  <c r="O1332" i="19"/>
  <c r="D1333" i="19"/>
  <c r="E1333" i="19"/>
  <c r="F1333" i="19"/>
  <c r="J1333" i="19"/>
  <c r="L1333" i="19"/>
  <c r="M1333" i="19"/>
  <c r="V1333" i="19" s="1"/>
  <c r="O1333" i="19"/>
  <c r="D1334" i="19"/>
  <c r="E1334" i="19"/>
  <c r="F1334" i="19"/>
  <c r="J1334" i="19"/>
  <c r="L1334" i="19"/>
  <c r="M1334" i="19"/>
  <c r="V1334" i="19" s="1"/>
  <c r="O1334" i="19"/>
  <c r="D1335" i="19"/>
  <c r="E1335" i="19"/>
  <c r="F1335" i="19"/>
  <c r="J1335" i="19"/>
  <c r="L1335" i="19"/>
  <c r="M1335" i="19"/>
  <c r="V1335" i="19" s="1"/>
  <c r="O1335" i="19"/>
  <c r="D1336" i="19"/>
  <c r="E1336" i="19"/>
  <c r="F1336" i="19"/>
  <c r="J1336" i="19"/>
  <c r="L1336" i="19"/>
  <c r="M1336" i="19"/>
  <c r="V1336" i="19" s="1"/>
  <c r="O1336" i="19"/>
  <c r="D1337" i="19"/>
  <c r="E1337" i="19"/>
  <c r="F1337" i="19"/>
  <c r="J1337" i="19"/>
  <c r="L1337" i="19"/>
  <c r="M1337" i="19"/>
  <c r="V1337" i="19" s="1"/>
  <c r="O1337" i="19"/>
  <c r="D1338" i="19"/>
  <c r="E1338" i="19"/>
  <c r="F1338" i="19"/>
  <c r="J1338" i="19"/>
  <c r="L1338" i="19"/>
  <c r="M1338" i="19"/>
  <c r="V1338" i="19" s="1"/>
  <c r="O1338" i="19"/>
  <c r="D1339" i="19"/>
  <c r="E1339" i="19"/>
  <c r="F1339" i="19"/>
  <c r="J1339" i="19"/>
  <c r="L1339" i="19"/>
  <c r="M1339" i="19"/>
  <c r="V1339" i="19" s="1"/>
  <c r="O1339" i="19"/>
  <c r="D1340" i="19"/>
  <c r="E1340" i="19"/>
  <c r="F1340" i="19"/>
  <c r="J1340" i="19"/>
  <c r="L1340" i="19"/>
  <c r="M1340" i="19"/>
  <c r="V1340" i="19" s="1"/>
  <c r="O1340" i="19"/>
  <c r="D1341" i="19"/>
  <c r="E1341" i="19"/>
  <c r="F1341" i="19"/>
  <c r="J1341" i="19"/>
  <c r="L1341" i="19"/>
  <c r="M1341" i="19"/>
  <c r="V1341" i="19" s="1"/>
  <c r="O1341" i="19"/>
  <c r="D1342" i="19"/>
  <c r="E1342" i="19"/>
  <c r="F1342" i="19"/>
  <c r="J1342" i="19"/>
  <c r="L1342" i="19"/>
  <c r="M1342" i="19"/>
  <c r="V1342" i="19" s="1"/>
  <c r="O1342" i="19"/>
  <c r="D1343" i="19"/>
  <c r="E1343" i="19"/>
  <c r="F1343" i="19"/>
  <c r="J1343" i="19"/>
  <c r="L1343" i="19"/>
  <c r="M1343" i="19"/>
  <c r="V1343" i="19" s="1"/>
  <c r="O1343" i="19"/>
  <c r="D1344" i="19"/>
  <c r="E1344" i="19"/>
  <c r="F1344" i="19"/>
  <c r="J1344" i="19"/>
  <c r="L1344" i="19"/>
  <c r="M1344" i="19"/>
  <c r="V1344" i="19" s="1"/>
  <c r="O1344" i="19"/>
  <c r="D1345" i="19"/>
  <c r="E1345" i="19"/>
  <c r="F1345" i="19"/>
  <c r="J1345" i="19"/>
  <c r="L1345" i="19"/>
  <c r="M1345" i="19"/>
  <c r="V1345" i="19" s="1"/>
  <c r="O1345" i="19"/>
  <c r="D1346" i="19"/>
  <c r="E1346" i="19"/>
  <c r="F1346" i="19"/>
  <c r="J1346" i="19"/>
  <c r="L1346" i="19"/>
  <c r="M1346" i="19"/>
  <c r="V1346" i="19" s="1"/>
  <c r="O1346" i="19"/>
  <c r="D1347" i="19"/>
  <c r="E1347" i="19"/>
  <c r="F1347" i="19"/>
  <c r="J1347" i="19"/>
  <c r="L1347" i="19"/>
  <c r="M1347" i="19"/>
  <c r="V1347" i="19" s="1"/>
  <c r="O1347" i="19"/>
  <c r="D1348" i="19"/>
  <c r="E1348" i="19"/>
  <c r="F1348" i="19"/>
  <c r="J1348" i="19"/>
  <c r="L1348" i="19"/>
  <c r="M1348" i="19"/>
  <c r="V1348" i="19" s="1"/>
  <c r="O1348" i="19"/>
  <c r="D1349" i="19"/>
  <c r="E1349" i="19"/>
  <c r="F1349" i="19"/>
  <c r="J1349" i="19"/>
  <c r="L1349" i="19"/>
  <c r="M1349" i="19"/>
  <c r="V1349" i="19" s="1"/>
  <c r="O1349" i="19"/>
  <c r="D1350" i="19"/>
  <c r="E1350" i="19"/>
  <c r="F1350" i="19"/>
  <c r="J1350" i="19"/>
  <c r="L1350" i="19"/>
  <c r="M1350" i="19"/>
  <c r="V1350" i="19" s="1"/>
  <c r="O1350" i="19"/>
  <c r="D1351" i="19"/>
  <c r="E1351" i="19"/>
  <c r="F1351" i="19"/>
  <c r="J1351" i="19"/>
  <c r="L1351" i="19"/>
  <c r="M1351" i="19"/>
  <c r="V1351" i="19" s="1"/>
  <c r="O1351" i="19"/>
  <c r="D1352" i="19"/>
  <c r="E1352" i="19"/>
  <c r="F1352" i="19"/>
  <c r="J1352" i="19"/>
  <c r="L1352" i="19"/>
  <c r="M1352" i="19"/>
  <c r="V1352" i="19" s="1"/>
  <c r="O1352" i="19"/>
  <c r="D1353" i="19"/>
  <c r="E1353" i="19"/>
  <c r="F1353" i="19"/>
  <c r="J1353" i="19"/>
  <c r="L1353" i="19"/>
  <c r="M1353" i="19"/>
  <c r="V1353" i="19" s="1"/>
  <c r="O1353" i="19"/>
  <c r="D1354" i="19"/>
  <c r="E1354" i="19"/>
  <c r="F1354" i="19"/>
  <c r="J1354" i="19"/>
  <c r="L1354" i="19"/>
  <c r="M1354" i="19"/>
  <c r="V1354" i="19" s="1"/>
  <c r="O1354" i="19"/>
  <c r="D1355" i="19"/>
  <c r="E1355" i="19"/>
  <c r="F1355" i="19"/>
  <c r="J1355" i="19"/>
  <c r="L1355" i="19"/>
  <c r="M1355" i="19"/>
  <c r="V1355" i="19" s="1"/>
  <c r="O1355" i="19"/>
  <c r="D1356" i="19"/>
  <c r="E1356" i="19"/>
  <c r="F1356" i="19"/>
  <c r="J1356" i="19"/>
  <c r="L1356" i="19"/>
  <c r="M1356" i="19"/>
  <c r="V1356" i="19" s="1"/>
  <c r="O1356" i="19"/>
  <c r="D1357" i="19"/>
  <c r="E1357" i="19"/>
  <c r="F1357" i="19"/>
  <c r="J1357" i="19"/>
  <c r="L1357" i="19"/>
  <c r="M1357" i="19"/>
  <c r="V1357" i="19" s="1"/>
  <c r="O1357" i="19"/>
  <c r="D1358" i="19"/>
  <c r="E1358" i="19"/>
  <c r="F1358" i="19"/>
  <c r="J1358" i="19"/>
  <c r="L1358" i="19"/>
  <c r="M1358" i="19"/>
  <c r="V1358" i="19" s="1"/>
  <c r="O1358" i="19"/>
  <c r="D1359" i="19"/>
  <c r="E1359" i="19"/>
  <c r="F1359" i="19"/>
  <c r="J1359" i="19"/>
  <c r="L1359" i="19"/>
  <c r="M1359" i="19"/>
  <c r="V1359" i="19" s="1"/>
  <c r="O1359" i="19"/>
  <c r="D1360" i="19"/>
  <c r="E1360" i="19"/>
  <c r="F1360" i="19"/>
  <c r="J1360" i="19"/>
  <c r="L1360" i="19"/>
  <c r="M1360" i="19"/>
  <c r="V1360" i="19" s="1"/>
  <c r="O1360" i="19"/>
  <c r="D1361" i="19"/>
  <c r="E1361" i="19"/>
  <c r="F1361" i="19"/>
  <c r="J1361" i="19"/>
  <c r="L1361" i="19"/>
  <c r="M1361" i="19"/>
  <c r="V1361" i="19" s="1"/>
  <c r="O1361" i="19"/>
  <c r="D1362" i="19"/>
  <c r="E1362" i="19"/>
  <c r="F1362" i="19"/>
  <c r="J1362" i="19"/>
  <c r="L1362" i="19"/>
  <c r="M1362" i="19"/>
  <c r="V1362" i="19" s="1"/>
  <c r="O1362" i="19"/>
  <c r="D1363" i="19"/>
  <c r="E1363" i="19"/>
  <c r="F1363" i="19"/>
  <c r="J1363" i="19"/>
  <c r="L1363" i="19"/>
  <c r="M1363" i="19"/>
  <c r="V1363" i="19" s="1"/>
  <c r="O1363" i="19"/>
  <c r="D1364" i="19"/>
  <c r="E1364" i="19"/>
  <c r="F1364" i="19"/>
  <c r="J1364" i="19"/>
  <c r="L1364" i="19"/>
  <c r="M1364" i="19"/>
  <c r="V1364" i="19" s="1"/>
  <c r="O1364" i="19"/>
  <c r="D1365" i="19"/>
  <c r="E1365" i="19"/>
  <c r="F1365" i="19"/>
  <c r="J1365" i="19"/>
  <c r="L1365" i="19"/>
  <c r="M1365" i="19"/>
  <c r="V1365" i="19" s="1"/>
  <c r="O1365" i="19"/>
  <c r="D1366" i="19"/>
  <c r="E1366" i="19"/>
  <c r="F1366" i="19"/>
  <c r="J1366" i="19"/>
  <c r="L1366" i="19"/>
  <c r="M1366" i="19"/>
  <c r="V1366" i="19" s="1"/>
  <c r="O1366" i="19"/>
  <c r="D1367" i="19"/>
  <c r="E1367" i="19"/>
  <c r="F1367" i="19"/>
  <c r="J1367" i="19"/>
  <c r="L1367" i="19"/>
  <c r="M1367" i="19"/>
  <c r="V1367" i="19" s="1"/>
  <c r="O1367" i="19"/>
  <c r="D1368" i="19"/>
  <c r="E1368" i="19"/>
  <c r="F1368" i="19"/>
  <c r="J1368" i="19"/>
  <c r="L1368" i="19"/>
  <c r="M1368" i="19"/>
  <c r="V1368" i="19" s="1"/>
  <c r="O1368" i="19"/>
  <c r="D1369" i="19"/>
  <c r="E1369" i="19"/>
  <c r="F1369" i="19"/>
  <c r="J1369" i="19"/>
  <c r="L1369" i="19"/>
  <c r="M1369" i="19"/>
  <c r="V1369" i="19" s="1"/>
  <c r="O1369" i="19"/>
  <c r="D1370" i="19"/>
  <c r="E1370" i="19"/>
  <c r="F1370" i="19"/>
  <c r="J1370" i="19"/>
  <c r="L1370" i="19"/>
  <c r="M1370" i="19"/>
  <c r="V1370" i="19" s="1"/>
  <c r="O1370" i="19"/>
  <c r="D1371" i="19"/>
  <c r="E1371" i="19"/>
  <c r="F1371" i="19"/>
  <c r="J1371" i="19"/>
  <c r="L1371" i="19"/>
  <c r="M1371" i="19"/>
  <c r="V1371" i="19" s="1"/>
  <c r="O1371" i="19"/>
  <c r="D1372" i="19"/>
  <c r="E1372" i="19"/>
  <c r="F1372" i="19"/>
  <c r="J1372" i="19"/>
  <c r="L1372" i="19"/>
  <c r="M1372" i="19"/>
  <c r="V1372" i="19" s="1"/>
  <c r="O1372" i="19"/>
  <c r="D1373" i="19"/>
  <c r="E1373" i="19"/>
  <c r="F1373" i="19"/>
  <c r="J1373" i="19"/>
  <c r="L1373" i="19"/>
  <c r="M1373" i="19"/>
  <c r="V1373" i="19" s="1"/>
  <c r="O1373" i="19"/>
  <c r="D1374" i="19"/>
  <c r="E1374" i="19"/>
  <c r="F1374" i="19"/>
  <c r="J1374" i="19"/>
  <c r="L1374" i="19"/>
  <c r="M1374" i="19"/>
  <c r="V1374" i="19" s="1"/>
  <c r="O1374" i="19"/>
  <c r="D1375" i="19"/>
  <c r="E1375" i="19"/>
  <c r="F1375" i="19"/>
  <c r="J1375" i="19"/>
  <c r="L1375" i="19"/>
  <c r="M1375" i="19"/>
  <c r="V1375" i="19" s="1"/>
  <c r="O1375" i="19"/>
  <c r="D1376" i="19"/>
  <c r="E1376" i="19"/>
  <c r="F1376" i="19"/>
  <c r="J1376" i="19"/>
  <c r="L1376" i="19"/>
  <c r="M1376" i="19"/>
  <c r="V1376" i="19" s="1"/>
  <c r="O1376" i="19"/>
  <c r="D1377" i="19"/>
  <c r="E1377" i="19"/>
  <c r="F1377" i="19"/>
  <c r="J1377" i="19"/>
  <c r="L1377" i="19"/>
  <c r="M1377" i="19"/>
  <c r="V1377" i="19" s="1"/>
  <c r="O1377" i="19"/>
  <c r="D1378" i="19"/>
  <c r="E1378" i="19"/>
  <c r="F1378" i="19"/>
  <c r="J1378" i="19"/>
  <c r="L1378" i="19"/>
  <c r="M1378" i="19"/>
  <c r="V1378" i="19" s="1"/>
  <c r="O1378" i="19"/>
  <c r="D1379" i="19"/>
  <c r="E1379" i="19"/>
  <c r="F1379" i="19"/>
  <c r="J1379" i="19"/>
  <c r="L1379" i="19"/>
  <c r="M1379" i="19"/>
  <c r="V1379" i="19" s="1"/>
  <c r="O1379" i="19"/>
  <c r="D1380" i="19"/>
  <c r="E1380" i="19"/>
  <c r="F1380" i="19"/>
  <c r="J1380" i="19"/>
  <c r="L1380" i="19"/>
  <c r="M1380" i="19"/>
  <c r="V1380" i="19" s="1"/>
  <c r="O1380" i="19"/>
  <c r="D1381" i="19"/>
  <c r="E1381" i="19"/>
  <c r="F1381" i="19"/>
  <c r="J1381" i="19"/>
  <c r="L1381" i="19"/>
  <c r="M1381" i="19"/>
  <c r="V1381" i="19" s="1"/>
  <c r="O1381" i="19"/>
  <c r="D1382" i="19"/>
  <c r="E1382" i="19"/>
  <c r="F1382" i="19"/>
  <c r="J1382" i="19"/>
  <c r="L1382" i="19"/>
  <c r="M1382" i="19"/>
  <c r="V1382" i="19" s="1"/>
  <c r="O1382" i="19"/>
  <c r="D1383" i="19"/>
  <c r="E1383" i="19"/>
  <c r="F1383" i="19"/>
  <c r="J1383" i="19"/>
  <c r="L1383" i="19"/>
  <c r="M1383" i="19"/>
  <c r="V1383" i="19" s="1"/>
  <c r="O1383" i="19"/>
  <c r="D1384" i="19"/>
  <c r="E1384" i="19"/>
  <c r="F1384" i="19"/>
  <c r="J1384" i="19"/>
  <c r="L1384" i="19"/>
  <c r="M1384" i="19"/>
  <c r="V1384" i="19" s="1"/>
  <c r="O1384" i="19"/>
  <c r="D1385" i="19"/>
  <c r="E1385" i="19"/>
  <c r="F1385" i="19"/>
  <c r="J1385" i="19"/>
  <c r="L1385" i="19"/>
  <c r="M1385" i="19"/>
  <c r="V1385" i="19" s="1"/>
  <c r="O1385" i="19"/>
  <c r="D1386" i="19"/>
  <c r="E1386" i="19"/>
  <c r="F1386" i="19"/>
  <c r="J1386" i="19"/>
  <c r="L1386" i="19"/>
  <c r="M1386" i="19"/>
  <c r="V1386" i="19" s="1"/>
  <c r="O1386" i="19"/>
  <c r="D1387" i="19"/>
  <c r="E1387" i="19"/>
  <c r="F1387" i="19"/>
  <c r="J1387" i="19"/>
  <c r="L1387" i="19"/>
  <c r="M1387" i="19"/>
  <c r="V1387" i="19" s="1"/>
  <c r="O1387" i="19"/>
  <c r="D1388" i="19"/>
  <c r="E1388" i="19"/>
  <c r="F1388" i="19"/>
  <c r="J1388" i="19"/>
  <c r="L1388" i="19"/>
  <c r="M1388" i="19"/>
  <c r="V1388" i="19" s="1"/>
  <c r="O1388" i="19"/>
  <c r="D1389" i="19"/>
  <c r="E1389" i="19"/>
  <c r="F1389" i="19"/>
  <c r="J1389" i="19"/>
  <c r="L1389" i="19"/>
  <c r="M1389" i="19"/>
  <c r="V1389" i="19" s="1"/>
  <c r="O1389" i="19"/>
  <c r="D1390" i="19"/>
  <c r="E1390" i="19"/>
  <c r="F1390" i="19"/>
  <c r="J1390" i="19"/>
  <c r="L1390" i="19"/>
  <c r="M1390" i="19"/>
  <c r="V1390" i="19" s="1"/>
  <c r="O1390" i="19"/>
  <c r="D1391" i="19"/>
  <c r="E1391" i="19"/>
  <c r="F1391" i="19"/>
  <c r="J1391" i="19"/>
  <c r="L1391" i="19"/>
  <c r="M1391" i="19"/>
  <c r="V1391" i="19" s="1"/>
  <c r="O1391" i="19"/>
  <c r="D1392" i="19"/>
  <c r="E1392" i="19"/>
  <c r="F1392" i="19"/>
  <c r="J1392" i="19"/>
  <c r="L1392" i="19"/>
  <c r="M1392" i="19"/>
  <c r="V1392" i="19" s="1"/>
  <c r="O1392" i="19"/>
  <c r="D1393" i="19"/>
  <c r="E1393" i="19"/>
  <c r="F1393" i="19"/>
  <c r="J1393" i="19"/>
  <c r="L1393" i="19"/>
  <c r="M1393" i="19"/>
  <c r="V1393" i="19" s="1"/>
  <c r="O1393" i="19"/>
  <c r="D1394" i="19"/>
  <c r="E1394" i="19"/>
  <c r="F1394" i="19"/>
  <c r="J1394" i="19"/>
  <c r="L1394" i="19"/>
  <c r="M1394" i="19"/>
  <c r="V1394" i="19" s="1"/>
  <c r="O1394" i="19"/>
  <c r="D1395" i="19"/>
  <c r="E1395" i="19"/>
  <c r="F1395" i="19"/>
  <c r="J1395" i="19"/>
  <c r="L1395" i="19"/>
  <c r="M1395" i="19"/>
  <c r="V1395" i="19" s="1"/>
  <c r="O1395" i="19"/>
  <c r="D1396" i="19"/>
  <c r="E1396" i="19"/>
  <c r="F1396" i="19"/>
  <c r="J1396" i="19"/>
  <c r="L1396" i="19"/>
  <c r="M1396" i="19"/>
  <c r="V1396" i="19" s="1"/>
  <c r="O1396" i="19"/>
  <c r="D1397" i="19"/>
  <c r="E1397" i="19"/>
  <c r="F1397" i="19"/>
  <c r="J1397" i="19"/>
  <c r="L1397" i="19"/>
  <c r="M1397" i="19"/>
  <c r="V1397" i="19" s="1"/>
  <c r="O1397" i="19"/>
  <c r="D1398" i="19"/>
  <c r="E1398" i="19"/>
  <c r="F1398" i="19"/>
  <c r="J1398" i="19"/>
  <c r="L1398" i="19"/>
  <c r="M1398" i="19"/>
  <c r="V1398" i="19" s="1"/>
  <c r="O1398" i="19"/>
  <c r="D1399" i="19"/>
  <c r="E1399" i="19"/>
  <c r="F1399" i="19"/>
  <c r="J1399" i="19"/>
  <c r="L1399" i="19"/>
  <c r="M1399" i="19"/>
  <c r="V1399" i="19" s="1"/>
  <c r="O1399" i="19"/>
  <c r="D1400" i="19"/>
  <c r="E1400" i="19"/>
  <c r="F1400" i="19"/>
  <c r="J1400" i="19"/>
  <c r="L1400" i="19"/>
  <c r="M1400" i="19"/>
  <c r="V1400" i="19" s="1"/>
  <c r="O1400" i="19"/>
  <c r="D1401" i="19"/>
  <c r="E1401" i="19"/>
  <c r="F1401" i="19"/>
  <c r="J1401" i="19"/>
  <c r="L1401" i="19"/>
  <c r="M1401" i="19"/>
  <c r="V1401" i="19" s="1"/>
  <c r="O1401" i="19"/>
  <c r="D1402" i="19"/>
  <c r="E1402" i="19"/>
  <c r="F1402" i="19"/>
  <c r="J1402" i="19"/>
  <c r="L1402" i="19"/>
  <c r="M1402" i="19"/>
  <c r="V1402" i="19" s="1"/>
  <c r="O1402" i="19"/>
  <c r="D1403" i="19"/>
  <c r="E1403" i="19"/>
  <c r="F1403" i="19"/>
  <c r="J1403" i="19"/>
  <c r="L1403" i="19"/>
  <c r="M1403" i="19"/>
  <c r="V1403" i="19" s="1"/>
  <c r="O1403" i="19"/>
  <c r="D1404" i="19"/>
  <c r="E1404" i="19"/>
  <c r="F1404" i="19"/>
  <c r="J1404" i="19"/>
  <c r="L1404" i="19"/>
  <c r="M1404" i="19"/>
  <c r="V1404" i="19" s="1"/>
  <c r="O1404" i="19"/>
  <c r="D1405" i="19"/>
  <c r="E1405" i="19"/>
  <c r="F1405" i="19"/>
  <c r="J1405" i="19"/>
  <c r="L1405" i="19"/>
  <c r="M1405" i="19"/>
  <c r="V1405" i="19" s="1"/>
  <c r="O1405" i="19"/>
  <c r="D1406" i="19"/>
  <c r="E1406" i="19"/>
  <c r="F1406" i="19"/>
  <c r="J1406" i="19"/>
  <c r="L1406" i="19"/>
  <c r="M1406" i="19"/>
  <c r="V1406" i="19" s="1"/>
  <c r="O1406" i="19"/>
  <c r="D1407" i="19"/>
  <c r="E1407" i="19"/>
  <c r="F1407" i="19"/>
  <c r="J1407" i="19"/>
  <c r="L1407" i="19"/>
  <c r="M1407" i="19"/>
  <c r="V1407" i="19" s="1"/>
  <c r="O1407" i="19"/>
  <c r="D1408" i="19"/>
  <c r="E1408" i="19"/>
  <c r="F1408" i="19"/>
  <c r="J1408" i="19"/>
  <c r="L1408" i="19"/>
  <c r="M1408" i="19"/>
  <c r="V1408" i="19" s="1"/>
  <c r="O1408" i="19"/>
  <c r="D1409" i="19"/>
  <c r="E1409" i="19"/>
  <c r="F1409" i="19"/>
  <c r="J1409" i="19"/>
  <c r="L1409" i="19"/>
  <c r="M1409" i="19"/>
  <c r="V1409" i="19" s="1"/>
  <c r="O1409" i="19"/>
  <c r="D1410" i="19"/>
  <c r="E1410" i="19"/>
  <c r="F1410" i="19"/>
  <c r="J1410" i="19"/>
  <c r="L1410" i="19"/>
  <c r="M1410" i="19"/>
  <c r="V1410" i="19" s="1"/>
  <c r="O1410" i="19"/>
  <c r="D1411" i="19"/>
  <c r="E1411" i="19"/>
  <c r="F1411" i="19"/>
  <c r="J1411" i="19"/>
  <c r="L1411" i="19"/>
  <c r="M1411" i="19"/>
  <c r="V1411" i="19" s="1"/>
  <c r="O1411" i="19"/>
  <c r="D1412" i="19"/>
  <c r="E1412" i="19"/>
  <c r="F1412" i="19"/>
  <c r="J1412" i="19"/>
  <c r="L1412" i="19"/>
  <c r="M1412" i="19"/>
  <c r="V1412" i="19" s="1"/>
  <c r="O1412" i="19"/>
  <c r="D1413" i="19"/>
  <c r="E1413" i="19"/>
  <c r="F1413" i="19"/>
  <c r="J1413" i="19"/>
  <c r="L1413" i="19"/>
  <c r="M1413" i="19"/>
  <c r="V1413" i="19" s="1"/>
  <c r="O1413" i="19"/>
  <c r="D1414" i="19"/>
  <c r="E1414" i="19"/>
  <c r="F1414" i="19"/>
  <c r="J1414" i="19"/>
  <c r="L1414" i="19"/>
  <c r="M1414" i="19"/>
  <c r="V1414" i="19" s="1"/>
  <c r="O1414" i="19"/>
  <c r="D1415" i="19"/>
  <c r="E1415" i="19"/>
  <c r="F1415" i="19"/>
  <c r="J1415" i="19"/>
  <c r="L1415" i="19"/>
  <c r="M1415" i="19"/>
  <c r="V1415" i="19" s="1"/>
  <c r="O1415" i="19"/>
  <c r="D1416" i="19"/>
  <c r="E1416" i="19"/>
  <c r="F1416" i="19"/>
  <c r="J1416" i="19"/>
  <c r="L1416" i="19"/>
  <c r="M1416" i="19"/>
  <c r="V1416" i="19" s="1"/>
  <c r="O1416" i="19"/>
  <c r="D1417" i="19"/>
  <c r="E1417" i="19"/>
  <c r="F1417" i="19"/>
  <c r="J1417" i="19"/>
  <c r="L1417" i="19"/>
  <c r="M1417" i="19"/>
  <c r="V1417" i="19" s="1"/>
  <c r="O1417" i="19"/>
  <c r="D1418" i="19"/>
  <c r="E1418" i="19"/>
  <c r="F1418" i="19"/>
  <c r="J1418" i="19"/>
  <c r="L1418" i="19"/>
  <c r="M1418" i="19"/>
  <c r="V1418" i="19" s="1"/>
  <c r="O1418" i="19"/>
  <c r="D1419" i="19"/>
  <c r="E1419" i="19"/>
  <c r="F1419" i="19"/>
  <c r="J1419" i="19"/>
  <c r="L1419" i="19"/>
  <c r="M1419" i="19"/>
  <c r="V1419" i="19" s="1"/>
  <c r="O1419" i="19"/>
  <c r="D1420" i="19"/>
  <c r="E1420" i="19"/>
  <c r="F1420" i="19"/>
  <c r="J1420" i="19"/>
  <c r="L1420" i="19"/>
  <c r="M1420" i="19"/>
  <c r="V1420" i="19" s="1"/>
  <c r="O1420" i="19"/>
  <c r="D1421" i="19"/>
  <c r="E1421" i="19"/>
  <c r="F1421" i="19"/>
  <c r="J1421" i="19"/>
  <c r="L1421" i="19"/>
  <c r="M1421" i="19"/>
  <c r="V1421" i="19" s="1"/>
  <c r="O1421" i="19"/>
  <c r="D1422" i="19"/>
  <c r="E1422" i="19"/>
  <c r="F1422" i="19"/>
  <c r="J1422" i="19"/>
  <c r="L1422" i="19"/>
  <c r="M1422" i="19"/>
  <c r="V1422" i="19" s="1"/>
  <c r="O1422" i="19"/>
  <c r="D1423" i="19"/>
  <c r="E1423" i="19"/>
  <c r="F1423" i="19"/>
  <c r="J1423" i="19"/>
  <c r="L1423" i="19"/>
  <c r="M1423" i="19"/>
  <c r="V1423" i="19" s="1"/>
  <c r="O1423" i="19"/>
  <c r="D1424" i="19"/>
  <c r="E1424" i="19"/>
  <c r="F1424" i="19"/>
  <c r="J1424" i="19"/>
  <c r="L1424" i="19"/>
  <c r="M1424" i="19"/>
  <c r="V1424" i="19" s="1"/>
  <c r="O1424" i="19"/>
  <c r="D1425" i="19"/>
  <c r="E1425" i="19"/>
  <c r="F1425" i="19"/>
  <c r="J1425" i="19"/>
  <c r="L1425" i="19"/>
  <c r="M1425" i="19"/>
  <c r="V1425" i="19" s="1"/>
  <c r="O1425" i="19"/>
  <c r="D1426" i="19"/>
  <c r="E1426" i="19"/>
  <c r="F1426" i="19"/>
  <c r="J1426" i="19"/>
  <c r="L1426" i="19"/>
  <c r="M1426" i="19"/>
  <c r="V1426" i="19" s="1"/>
  <c r="O1426" i="19"/>
  <c r="D1427" i="19"/>
  <c r="E1427" i="19"/>
  <c r="F1427" i="19"/>
  <c r="J1427" i="19"/>
  <c r="L1427" i="19"/>
  <c r="M1427" i="19"/>
  <c r="V1427" i="19" s="1"/>
  <c r="O1427" i="19"/>
  <c r="D1428" i="19"/>
  <c r="E1428" i="19"/>
  <c r="F1428" i="19"/>
  <c r="J1428" i="19"/>
  <c r="L1428" i="19"/>
  <c r="M1428" i="19"/>
  <c r="V1428" i="19" s="1"/>
  <c r="O1428" i="19"/>
  <c r="D1429" i="19"/>
  <c r="E1429" i="19"/>
  <c r="F1429" i="19"/>
  <c r="J1429" i="19"/>
  <c r="L1429" i="19"/>
  <c r="M1429" i="19"/>
  <c r="V1429" i="19" s="1"/>
  <c r="O1429" i="19"/>
  <c r="D1430" i="19"/>
  <c r="E1430" i="19"/>
  <c r="F1430" i="19"/>
  <c r="J1430" i="19"/>
  <c r="L1430" i="19"/>
  <c r="M1430" i="19"/>
  <c r="V1430" i="19" s="1"/>
  <c r="O1430" i="19"/>
  <c r="D1431" i="19"/>
  <c r="E1431" i="19"/>
  <c r="F1431" i="19"/>
  <c r="J1431" i="19"/>
  <c r="L1431" i="19"/>
  <c r="M1431" i="19"/>
  <c r="V1431" i="19" s="1"/>
  <c r="O1431" i="19"/>
  <c r="D1432" i="19"/>
  <c r="E1432" i="19"/>
  <c r="F1432" i="19"/>
  <c r="J1432" i="19"/>
  <c r="L1432" i="19"/>
  <c r="M1432" i="19"/>
  <c r="V1432" i="19" s="1"/>
  <c r="O1432" i="19"/>
  <c r="D1433" i="19"/>
  <c r="E1433" i="19"/>
  <c r="F1433" i="19"/>
  <c r="J1433" i="19"/>
  <c r="L1433" i="19"/>
  <c r="M1433" i="19"/>
  <c r="V1433" i="19" s="1"/>
  <c r="O1433" i="19"/>
  <c r="D1434" i="19"/>
  <c r="E1434" i="19"/>
  <c r="F1434" i="19"/>
  <c r="J1434" i="19"/>
  <c r="L1434" i="19"/>
  <c r="M1434" i="19"/>
  <c r="V1434" i="19" s="1"/>
  <c r="O1434" i="19"/>
  <c r="D1435" i="19"/>
  <c r="E1435" i="19"/>
  <c r="F1435" i="19"/>
  <c r="J1435" i="19"/>
  <c r="L1435" i="19"/>
  <c r="M1435" i="19"/>
  <c r="V1435" i="19" s="1"/>
  <c r="O1435" i="19"/>
  <c r="D1436" i="19"/>
  <c r="E1436" i="19"/>
  <c r="F1436" i="19"/>
  <c r="J1436" i="19"/>
  <c r="L1436" i="19"/>
  <c r="M1436" i="19"/>
  <c r="V1436" i="19" s="1"/>
  <c r="O1436" i="19"/>
  <c r="D1437" i="19"/>
  <c r="E1437" i="19"/>
  <c r="F1437" i="19"/>
  <c r="J1437" i="19"/>
  <c r="L1437" i="19"/>
  <c r="M1437" i="19"/>
  <c r="V1437" i="19" s="1"/>
  <c r="O1437" i="19"/>
  <c r="D1438" i="19"/>
  <c r="E1438" i="19"/>
  <c r="F1438" i="19"/>
  <c r="J1438" i="19"/>
  <c r="L1438" i="19"/>
  <c r="M1438" i="19"/>
  <c r="V1438" i="19" s="1"/>
  <c r="O1438" i="19"/>
  <c r="D1439" i="19"/>
  <c r="E1439" i="19"/>
  <c r="F1439" i="19"/>
  <c r="J1439" i="19"/>
  <c r="L1439" i="19"/>
  <c r="M1439" i="19"/>
  <c r="V1439" i="19" s="1"/>
  <c r="O1439" i="19"/>
  <c r="D1440" i="19"/>
  <c r="E1440" i="19"/>
  <c r="F1440" i="19"/>
  <c r="J1440" i="19"/>
  <c r="L1440" i="19"/>
  <c r="M1440" i="19"/>
  <c r="V1440" i="19" s="1"/>
  <c r="O1440" i="19"/>
  <c r="D1441" i="19"/>
  <c r="E1441" i="19"/>
  <c r="F1441" i="19"/>
  <c r="J1441" i="19"/>
  <c r="L1441" i="19"/>
  <c r="M1441" i="19"/>
  <c r="V1441" i="19" s="1"/>
  <c r="O1441" i="19"/>
  <c r="D1442" i="19"/>
  <c r="E1442" i="19"/>
  <c r="F1442" i="19"/>
  <c r="J1442" i="19"/>
  <c r="L1442" i="19"/>
  <c r="M1442" i="19"/>
  <c r="V1442" i="19" s="1"/>
  <c r="O1442" i="19"/>
  <c r="D1443" i="19"/>
  <c r="E1443" i="19"/>
  <c r="F1443" i="19"/>
  <c r="J1443" i="19"/>
  <c r="L1443" i="19"/>
  <c r="M1443" i="19"/>
  <c r="V1443" i="19" s="1"/>
  <c r="O1443" i="19"/>
  <c r="D1444" i="19"/>
  <c r="E1444" i="19"/>
  <c r="F1444" i="19"/>
  <c r="J1444" i="19"/>
  <c r="L1444" i="19"/>
  <c r="M1444" i="19"/>
  <c r="V1444" i="19" s="1"/>
  <c r="O1444" i="19"/>
  <c r="D1445" i="19"/>
  <c r="E1445" i="19"/>
  <c r="F1445" i="19"/>
  <c r="J1445" i="19"/>
  <c r="L1445" i="19"/>
  <c r="M1445" i="19"/>
  <c r="V1445" i="19" s="1"/>
  <c r="O1445" i="19"/>
  <c r="D1446" i="19"/>
  <c r="E1446" i="19"/>
  <c r="F1446" i="19"/>
  <c r="J1446" i="19"/>
  <c r="L1446" i="19"/>
  <c r="M1446" i="19"/>
  <c r="V1446" i="19" s="1"/>
  <c r="O1446" i="19"/>
  <c r="D1447" i="19"/>
  <c r="E1447" i="19"/>
  <c r="F1447" i="19"/>
  <c r="J1447" i="19"/>
  <c r="L1447" i="19"/>
  <c r="M1447" i="19"/>
  <c r="V1447" i="19" s="1"/>
  <c r="O1447" i="19"/>
  <c r="D1448" i="19"/>
  <c r="E1448" i="19"/>
  <c r="F1448" i="19"/>
  <c r="J1448" i="19"/>
  <c r="L1448" i="19"/>
  <c r="M1448" i="19"/>
  <c r="V1448" i="19" s="1"/>
  <c r="O1448" i="19"/>
  <c r="D1449" i="19"/>
  <c r="E1449" i="19"/>
  <c r="F1449" i="19"/>
  <c r="J1449" i="19"/>
  <c r="L1449" i="19"/>
  <c r="M1449" i="19"/>
  <c r="V1449" i="19" s="1"/>
  <c r="O1449" i="19"/>
  <c r="D1450" i="19"/>
  <c r="E1450" i="19"/>
  <c r="F1450" i="19"/>
  <c r="J1450" i="19"/>
  <c r="L1450" i="19"/>
  <c r="M1450" i="19"/>
  <c r="V1450" i="19" s="1"/>
  <c r="O1450" i="19"/>
  <c r="D1451" i="19"/>
  <c r="E1451" i="19"/>
  <c r="F1451" i="19"/>
  <c r="J1451" i="19"/>
  <c r="L1451" i="19"/>
  <c r="M1451" i="19"/>
  <c r="V1451" i="19" s="1"/>
  <c r="O1451" i="19"/>
  <c r="D1452" i="19"/>
  <c r="E1452" i="19"/>
  <c r="F1452" i="19"/>
  <c r="J1452" i="19"/>
  <c r="L1452" i="19"/>
  <c r="M1452" i="19"/>
  <c r="V1452" i="19" s="1"/>
  <c r="O1452" i="19"/>
  <c r="D1453" i="19"/>
  <c r="E1453" i="19"/>
  <c r="F1453" i="19"/>
  <c r="J1453" i="19"/>
  <c r="L1453" i="19"/>
  <c r="M1453" i="19"/>
  <c r="V1453" i="19" s="1"/>
  <c r="O1453" i="19"/>
  <c r="D1454" i="19"/>
  <c r="E1454" i="19"/>
  <c r="F1454" i="19"/>
  <c r="J1454" i="19"/>
  <c r="L1454" i="19"/>
  <c r="M1454" i="19"/>
  <c r="V1454" i="19" s="1"/>
  <c r="O1454" i="19"/>
  <c r="D1455" i="19"/>
  <c r="E1455" i="19"/>
  <c r="F1455" i="19"/>
  <c r="J1455" i="19"/>
  <c r="L1455" i="19"/>
  <c r="M1455" i="19"/>
  <c r="V1455" i="19" s="1"/>
  <c r="O1455" i="19"/>
  <c r="D1456" i="19"/>
  <c r="E1456" i="19"/>
  <c r="F1456" i="19"/>
  <c r="J1456" i="19"/>
  <c r="L1456" i="19"/>
  <c r="M1456" i="19"/>
  <c r="V1456" i="19" s="1"/>
  <c r="O1456" i="19"/>
  <c r="D1457" i="19"/>
  <c r="E1457" i="19"/>
  <c r="F1457" i="19"/>
  <c r="J1457" i="19"/>
  <c r="L1457" i="19"/>
  <c r="M1457" i="19"/>
  <c r="V1457" i="19" s="1"/>
  <c r="O1457" i="19"/>
  <c r="D1458" i="19"/>
  <c r="E1458" i="19"/>
  <c r="F1458" i="19"/>
  <c r="J1458" i="19"/>
  <c r="L1458" i="19"/>
  <c r="M1458" i="19"/>
  <c r="V1458" i="19" s="1"/>
  <c r="O1458" i="19"/>
  <c r="D1459" i="19"/>
  <c r="E1459" i="19"/>
  <c r="F1459" i="19"/>
  <c r="J1459" i="19"/>
  <c r="L1459" i="19"/>
  <c r="M1459" i="19"/>
  <c r="V1459" i="19" s="1"/>
  <c r="O1459" i="19"/>
  <c r="D1460" i="19"/>
  <c r="E1460" i="19"/>
  <c r="F1460" i="19"/>
  <c r="J1460" i="19"/>
  <c r="L1460" i="19"/>
  <c r="M1460" i="19"/>
  <c r="V1460" i="19" s="1"/>
  <c r="O1460" i="19"/>
  <c r="D1461" i="19"/>
  <c r="E1461" i="19"/>
  <c r="F1461" i="19"/>
  <c r="J1461" i="19"/>
  <c r="L1461" i="19"/>
  <c r="M1461" i="19"/>
  <c r="V1461" i="19" s="1"/>
  <c r="O1461" i="19"/>
  <c r="D1462" i="19"/>
  <c r="E1462" i="19"/>
  <c r="F1462" i="19"/>
  <c r="J1462" i="19"/>
  <c r="L1462" i="19"/>
  <c r="M1462" i="19"/>
  <c r="V1462" i="19" s="1"/>
  <c r="O1462" i="19"/>
  <c r="D1463" i="19"/>
  <c r="E1463" i="19"/>
  <c r="F1463" i="19"/>
  <c r="J1463" i="19"/>
  <c r="L1463" i="19"/>
  <c r="M1463" i="19"/>
  <c r="V1463" i="19" s="1"/>
  <c r="O1463" i="19"/>
  <c r="D1464" i="19"/>
  <c r="E1464" i="19"/>
  <c r="F1464" i="19"/>
  <c r="J1464" i="19"/>
  <c r="L1464" i="19"/>
  <c r="M1464" i="19"/>
  <c r="V1464" i="19" s="1"/>
  <c r="O1464" i="19"/>
  <c r="D1465" i="19"/>
  <c r="E1465" i="19"/>
  <c r="F1465" i="19"/>
  <c r="J1465" i="19"/>
  <c r="L1465" i="19"/>
  <c r="M1465" i="19"/>
  <c r="V1465" i="19" s="1"/>
  <c r="O1465" i="19"/>
  <c r="D1466" i="19"/>
  <c r="E1466" i="19"/>
  <c r="F1466" i="19"/>
  <c r="J1466" i="19"/>
  <c r="L1466" i="19"/>
  <c r="M1466" i="19"/>
  <c r="V1466" i="19" s="1"/>
  <c r="O1466" i="19"/>
  <c r="D1467" i="19"/>
  <c r="E1467" i="19"/>
  <c r="F1467" i="19"/>
  <c r="J1467" i="19"/>
  <c r="L1467" i="19"/>
  <c r="M1467" i="19"/>
  <c r="V1467" i="19" s="1"/>
  <c r="O1467" i="19"/>
  <c r="D1468" i="19"/>
  <c r="E1468" i="19"/>
  <c r="F1468" i="19"/>
  <c r="J1468" i="19"/>
  <c r="L1468" i="19"/>
  <c r="M1468" i="19"/>
  <c r="V1468" i="19" s="1"/>
  <c r="O1468" i="19"/>
  <c r="D1469" i="19"/>
  <c r="E1469" i="19"/>
  <c r="F1469" i="19"/>
  <c r="J1469" i="19"/>
  <c r="L1469" i="19"/>
  <c r="M1469" i="19"/>
  <c r="V1469" i="19" s="1"/>
  <c r="O1469" i="19"/>
  <c r="D1470" i="19"/>
  <c r="E1470" i="19"/>
  <c r="F1470" i="19"/>
  <c r="J1470" i="19"/>
  <c r="L1470" i="19"/>
  <c r="M1470" i="19"/>
  <c r="V1470" i="19" s="1"/>
  <c r="O1470" i="19"/>
  <c r="D1471" i="19"/>
  <c r="E1471" i="19"/>
  <c r="F1471" i="19"/>
  <c r="J1471" i="19"/>
  <c r="L1471" i="19"/>
  <c r="M1471" i="19"/>
  <c r="V1471" i="19" s="1"/>
  <c r="O1471" i="19"/>
  <c r="D1472" i="19"/>
  <c r="E1472" i="19"/>
  <c r="F1472" i="19"/>
  <c r="J1472" i="19"/>
  <c r="L1472" i="19"/>
  <c r="M1472" i="19"/>
  <c r="V1472" i="19" s="1"/>
  <c r="O1472" i="19"/>
  <c r="D1473" i="19"/>
  <c r="E1473" i="19"/>
  <c r="F1473" i="19"/>
  <c r="J1473" i="19"/>
  <c r="L1473" i="19"/>
  <c r="M1473" i="19"/>
  <c r="V1473" i="19" s="1"/>
  <c r="O1473" i="19"/>
  <c r="D1474" i="19"/>
  <c r="E1474" i="19"/>
  <c r="F1474" i="19"/>
  <c r="J1474" i="19"/>
  <c r="L1474" i="19"/>
  <c r="M1474" i="19"/>
  <c r="V1474" i="19" s="1"/>
  <c r="O1474" i="19"/>
  <c r="D1475" i="19"/>
  <c r="E1475" i="19"/>
  <c r="F1475" i="19"/>
  <c r="J1475" i="19"/>
  <c r="L1475" i="19"/>
  <c r="M1475" i="19"/>
  <c r="V1475" i="19" s="1"/>
  <c r="O1475" i="19"/>
  <c r="D1476" i="19"/>
  <c r="E1476" i="19"/>
  <c r="F1476" i="19"/>
  <c r="J1476" i="19"/>
  <c r="L1476" i="19"/>
  <c r="M1476" i="19"/>
  <c r="V1476" i="19" s="1"/>
  <c r="O1476" i="19"/>
  <c r="D1477" i="19"/>
  <c r="E1477" i="19"/>
  <c r="F1477" i="19"/>
  <c r="J1477" i="19"/>
  <c r="L1477" i="19"/>
  <c r="M1477" i="19"/>
  <c r="V1477" i="19" s="1"/>
  <c r="O1477" i="19"/>
  <c r="D1478" i="19"/>
  <c r="E1478" i="19"/>
  <c r="F1478" i="19"/>
  <c r="J1478" i="19"/>
  <c r="L1478" i="19"/>
  <c r="M1478" i="19"/>
  <c r="V1478" i="19" s="1"/>
  <c r="O1478" i="19"/>
  <c r="D1479" i="19"/>
  <c r="E1479" i="19"/>
  <c r="F1479" i="19"/>
  <c r="J1479" i="19"/>
  <c r="L1479" i="19"/>
  <c r="M1479" i="19"/>
  <c r="V1479" i="19" s="1"/>
  <c r="O1479" i="19"/>
  <c r="D1480" i="19"/>
  <c r="E1480" i="19"/>
  <c r="F1480" i="19"/>
  <c r="J1480" i="19"/>
  <c r="L1480" i="19"/>
  <c r="M1480" i="19"/>
  <c r="V1480" i="19" s="1"/>
  <c r="O1480" i="19"/>
  <c r="D1481" i="19"/>
  <c r="E1481" i="19"/>
  <c r="F1481" i="19"/>
  <c r="J1481" i="19"/>
  <c r="L1481" i="19"/>
  <c r="M1481" i="19"/>
  <c r="V1481" i="19" s="1"/>
  <c r="O1481" i="19"/>
  <c r="D1482" i="19"/>
  <c r="E1482" i="19"/>
  <c r="F1482" i="19"/>
  <c r="J1482" i="19"/>
  <c r="L1482" i="19"/>
  <c r="M1482" i="19"/>
  <c r="V1482" i="19" s="1"/>
  <c r="O1482" i="19"/>
  <c r="D1483" i="19"/>
  <c r="E1483" i="19"/>
  <c r="F1483" i="19"/>
  <c r="J1483" i="19"/>
  <c r="L1483" i="19"/>
  <c r="M1483" i="19"/>
  <c r="V1483" i="19" s="1"/>
  <c r="O1483" i="19"/>
  <c r="D1484" i="19"/>
  <c r="E1484" i="19"/>
  <c r="F1484" i="19"/>
  <c r="J1484" i="19"/>
  <c r="L1484" i="19"/>
  <c r="M1484" i="19"/>
  <c r="V1484" i="19" s="1"/>
  <c r="O1484" i="19"/>
  <c r="D1485" i="19"/>
  <c r="E1485" i="19"/>
  <c r="F1485" i="19"/>
  <c r="J1485" i="19"/>
  <c r="L1485" i="19"/>
  <c r="M1485" i="19"/>
  <c r="V1485" i="19" s="1"/>
  <c r="O1485" i="19"/>
  <c r="D1486" i="19"/>
  <c r="E1486" i="19"/>
  <c r="F1486" i="19"/>
  <c r="J1486" i="19"/>
  <c r="L1486" i="19"/>
  <c r="M1486" i="19"/>
  <c r="V1486" i="19" s="1"/>
  <c r="O1486" i="19"/>
  <c r="D1487" i="19"/>
  <c r="E1487" i="19"/>
  <c r="F1487" i="19"/>
  <c r="J1487" i="19"/>
  <c r="L1487" i="19"/>
  <c r="M1487" i="19"/>
  <c r="V1487" i="19" s="1"/>
  <c r="O1487" i="19"/>
  <c r="D1488" i="19"/>
  <c r="E1488" i="19"/>
  <c r="F1488" i="19"/>
  <c r="J1488" i="19"/>
  <c r="L1488" i="19"/>
  <c r="M1488" i="19"/>
  <c r="V1488" i="19" s="1"/>
  <c r="O1488" i="19"/>
  <c r="D1489" i="19"/>
  <c r="E1489" i="19"/>
  <c r="F1489" i="19"/>
  <c r="J1489" i="19"/>
  <c r="L1489" i="19"/>
  <c r="M1489" i="19"/>
  <c r="V1489" i="19" s="1"/>
  <c r="O1489" i="19"/>
  <c r="D1490" i="19"/>
  <c r="E1490" i="19"/>
  <c r="F1490" i="19"/>
  <c r="J1490" i="19"/>
  <c r="L1490" i="19"/>
  <c r="M1490" i="19"/>
  <c r="V1490" i="19" s="1"/>
  <c r="O1490" i="19"/>
  <c r="D1491" i="19"/>
  <c r="E1491" i="19"/>
  <c r="F1491" i="19"/>
  <c r="J1491" i="19"/>
  <c r="L1491" i="19"/>
  <c r="M1491" i="19"/>
  <c r="V1491" i="19" s="1"/>
  <c r="O1491" i="19"/>
  <c r="D1492" i="19"/>
  <c r="E1492" i="19"/>
  <c r="F1492" i="19"/>
  <c r="J1492" i="19"/>
  <c r="L1492" i="19"/>
  <c r="M1492" i="19"/>
  <c r="V1492" i="19" s="1"/>
  <c r="O1492" i="19"/>
  <c r="D1493" i="19"/>
  <c r="E1493" i="19"/>
  <c r="F1493" i="19"/>
  <c r="J1493" i="19"/>
  <c r="L1493" i="19"/>
  <c r="M1493" i="19"/>
  <c r="V1493" i="19" s="1"/>
  <c r="O1493" i="19"/>
  <c r="D1494" i="19"/>
  <c r="E1494" i="19"/>
  <c r="F1494" i="19"/>
  <c r="J1494" i="19"/>
  <c r="L1494" i="19"/>
  <c r="M1494" i="19"/>
  <c r="V1494" i="19" s="1"/>
  <c r="O1494" i="19"/>
  <c r="D1495" i="19"/>
  <c r="E1495" i="19"/>
  <c r="F1495" i="19"/>
  <c r="J1495" i="19"/>
  <c r="L1495" i="19"/>
  <c r="M1495" i="19"/>
  <c r="V1495" i="19" s="1"/>
  <c r="O1495" i="19"/>
  <c r="D1496" i="19"/>
  <c r="E1496" i="19"/>
  <c r="F1496" i="19"/>
  <c r="J1496" i="19"/>
  <c r="L1496" i="19"/>
  <c r="M1496" i="19"/>
  <c r="V1496" i="19" s="1"/>
  <c r="O1496" i="19"/>
  <c r="D1497" i="19"/>
  <c r="E1497" i="19"/>
  <c r="F1497" i="19"/>
  <c r="J1497" i="19"/>
  <c r="L1497" i="19"/>
  <c r="M1497" i="19"/>
  <c r="V1497" i="19" s="1"/>
  <c r="O1497" i="19"/>
  <c r="D1498" i="19"/>
  <c r="E1498" i="19"/>
  <c r="F1498" i="19"/>
  <c r="J1498" i="19"/>
  <c r="L1498" i="19"/>
  <c r="M1498" i="19"/>
  <c r="V1498" i="19" s="1"/>
  <c r="O1498" i="19"/>
  <c r="D1499" i="19"/>
  <c r="E1499" i="19"/>
  <c r="F1499" i="19"/>
  <c r="J1499" i="19"/>
  <c r="L1499" i="19"/>
  <c r="M1499" i="19"/>
  <c r="V1499" i="19" s="1"/>
  <c r="O1499" i="19"/>
  <c r="D1500" i="19"/>
  <c r="E1500" i="19"/>
  <c r="F1500" i="19"/>
  <c r="J1500" i="19"/>
  <c r="L1500" i="19"/>
  <c r="M1500" i="19"/>
  <c r="V1500" i="19" s="1"/>
  <c r="O1500" i="19"/>
  <c r="D1501" i="19"/>
  <c r="E1501" i="19"/>
  <c r="F1501" i="19"/>
  <c r="J1501" i="19"/>
  <c r="L1501" i="19"/>
  <c r="M1501" i="19"/>
  <c r="V1501" i="19" s="1"/>
  <c r="O1501" i="19"/>
  <c r="D1502" i="19"/>
  <c r="E1502" i="19"/>
  <c r="F1502" i="19"/>
  <c r="J1502" i="19"/>
  <c r="L1502" i="19"/>
  <c r="M1502" i="19"/>
  <c r="V1502" i="19" s="1"/>
  <c r="O1502" i="19"/>
  <c r="D1503" i="19"/>
  <c r="E1503" i="19"/>
  <c r="F1503" i="19"/>
  <c r="J1503" i="19"/>
  <c r="L1503" i="19"/>
  <c r="M1503" i="19"/>
  <c r="V1503" i="19" s="1"/>
  <c r="O1503" i="19"/>
  <c r="D1504" i="19"/>
  <c r="E1504" i="19"/>
  <c r="F1504" i="19"/>
  <c r="J1504" i="19"/>
  <c r="L1504" i="19"/>
  <c r="M1504" i="19"/>
  <c r="V1504" i="19" s="1"/>
  <c r="O1504" i="19"/>
  <c r="D1505" i="19"/>
  <c r="E1505" i="19"/>
  <c r="F1505" i="19"/>
  <c r="J1505" i="19"/>
  <c r="L1505" i="19"/>
  <c r="M1505" i="19"/>
  <c r="V1505" i="19" s="1"/>
  <c r="O1505" i="19"/>
  <c r="D1506" i="19"/>
  <c r="E1506" i="19"/>
  <c r="F1506" i="19"/>
  <c r="J1506" i="19"/>
  <c r="L1506" i="19"/>
  <c r="M1506" i="19"/>
  <c r="V1506" i="19" s="1"/>
  <c r="O1506" i="19"/>
  <c r="D1507" i="19"/>
  <c r="E1507" i="19"/>
  <c r="F1507" i="19"/>
  <c r="J1507" i="19"/>
  <c r="L1507" i="19"/>
  <c r="M1507" i="19"/>
  <c r="V1507" i="19" s="1"/>
  <c r="O1507" i="19"/>
  <c r="D1508" i="19"/>
  <c r="E1508" i="19"/>
  <c r="F1508" i="19"/>
  <c r="J1508" i="19"/>
  <c r="L1508" i="19"/>
  <c r="M1508" i="19"/>
  <c r="V1508" i="19" s="1"/>
  <c r="O1508" i="19"/>
  <c r="D1509" i="19"/>
  <c r="E1509" i="19"/>
  <c r="F1509" i="19"/>
  <c r="J1509" i="19"/>
  <c r="L1509" i="19"/>
  <c r="M1509" i="19"/>
  <c r="V1509" i="19" s="1"/>
  <c r="O1509" i="19"/>
  <c r="D1510" i="19"/>
  <c r="E1510" i="19"/>
  <c r="F1510" i="19"/>
  <c r="J1510" i="19"/>
  <c r="L1510" i="19"/>
  <c r="M1510" i="19"/>
  <c r="V1510" i="19" s="1"/>
  <c r="O1510" i="19"/>
  <c r="D1511" i="19"/>
  <c r="E1511" i="19"/>
  <c r="F1511" i="19"/>
  <c r="J1511" i="19"/>
  <c r="L1511" i="19"/>
  <c r="M1511" i="19"/>
  <c r="V1511" i="19" s="1"/>
  <c r="O1511" i="19"/>
  <c r="D1512" i="19"/>
  <c r="E1512" i="19"/>
  <c r="F1512" i="19"/>
  <c r="J1512" i="19"/>
  <c r="L1512" i="19"/>
  <c r="M1512" i="19"/>
  <c r="V1512" i="19" s="1"/>
  <c r="O1512" i="19"/>
  <c r="D1513" i="19"/>
  <c r="E1513" i="19"/>
  <c r="F1513" i="19"/>
  <c r="J1513" i="19"/>
  <c r="L1513" i="19"/>
  <c r="M1513" i="19"/>
  <c r="V1513" i="19" s="1"/>
  <c r="O1513" i="19"/>
  <c r="D1514" i="19"/>
  <c r="E1514" i="19"/>
  <c r="F1514" i="19"/>
  <c r="J1514" i="19"/>
  <c r="L1514" i="19"/>
  <c r="M1514" i="19"/>
  <c r="V1514" i="19" s="1"/>
  <c r="O1514" i="19"/>
  <c r="D1515" i="19"/>
  <c r="E1515" i="19"/>
  <c r="F1515" i="19"/>
  <c r="J1515" i="19"/>
  <c r="L1515" i="19"/>
  <c r="M1515" i="19"/>
  <c r="V1515" i="19" s="1"/>
  <c r="O1515" i="19"/>
  <c r="D1516" i="19"/>
  <c r="E1516" i="19"/>
  <c r="F1516" i="19"/>
  <c r="J1516" i="19"/>
  <c r="L1516" i="19"/>
  <c r="M1516" i="19"/>
  <c r="V1516" i="19" s="1"/>
  <c r="O1516" i="19"/>
  <c r="D1517" i="19"/>
  <c r="E1517" i="19"/>
  <c r="F1517" i="19"/>
  <c r="J1517" i="19"/>
  <c r="L1517" i="19"/>
  <c r="M1517" i="19"/>
  <c r="V1517" i="19" s="1"/>
  <c r="O1517" i="19"/>
  <c r="D1518" i="19"/>
  <c r="E1518" i="19"/>
  <c r="F1518" i="19"/>
  <c r="J1518" i="19"/>
  <c r="L1518" i="19"/>
  <c r="M1518" i="19"/>
  <c r="V1518" i="19" s="1"/>
  <c r="O1518" i="19"/>
  <c r="D1519" i="19"/>
  <c r="E1519" i="19"/>
  <c r="F1519" i="19"/>
  <c r="J1519" i="19"/>
  <c r="L1519" i="19"/>
  <c r="M1519" i="19"/>
  <c r="V1519" i="19" s="1"/>
  <c r="O1519" i="19"/>
  <c r="D1520" i="19"/>
  <c r="E1520" i="19"/>
  <c r="F1520" i="19"/>
  <c r="J1520" i="19"/>
  <c r="L1520" i="19"/>
  <c r="M1520" i="19"/>
  <c r="V1520" i="19" s="1"/>
  <c r="O1520" i="19"/>
  <c r="D1521" i="19"/>
  <c r="E1521" i="19"/>
  <c r="F1521" i="19"/>
  <c r="J1521" i="19"/>
  <c r="L1521" i="19"/>
  <c r="M1521" i="19"/>
  <c r="V1521" i="19" s="1"/>
  <c r="O1521" i="19"/>
  <c r="D1522" i="19"/>
  <c r="E1522" i="19"/>
  <c r="F1522" i="19"/>
  <c r="J1522" i="19"/>
  <c r="L1522" i="19"/>
  <c r="M1522" i="19"/>
  <c r="V1522" i="19" s="1"/>
  <c r="O1522" i="19"/>
  <c r="D1523" i="19"/>
  <c r="E1523" i="19"/>
  <c r="F1523" i="19"/>
  <c r="J1523" i="19"/>
  <c r="L1523" i="19"/>
  <c r="M1523" i="19"/>
  <c r="V1523" i="19" s="1"/>
  <c r="O1523" i="19"/>
  <c r="D1524" i="19"/>
  <c r="E1524" i="19"/>
  <c r="F1524" i="19"/>
  <c r="J1524" i="19"/>
  <c r="L1524" i="19"/>
  <c r="M1524" i="19"/>
  <c r="V1524" i="19" s="1"/>
  <c r="O1524" i="19"/>
  <c r="D1525" i="19"/>
  <c r="E1525" i="19"/>
  <c r="F1525" i="19"/>
  <c r="J1525" i="19"/>
  <c r="L1525" i="19"/>
  <c r="M1525" i="19"/>
  <c r="V1525" i="19" s="1"/>
  <c r="O1525" i="19"/>
  <c r="D1526" i="19"/>
  <c r="E1526" i="19"/>
  <c r="F1526" i="19"/>
  <c r="J1526" i="19"/>
  <c r="L1526" i="19"/>
  <c r="M1526" i="19"/>
  <c r="V1526" i="19" s="1"/>
  <c r="O1526" i="19"/>
  <c r="D1527" i="19"/>
  <c r="E1527" i="19"/>
  <c r="F1527" i="19"/>
  <c r="J1527" i="19"/>
  <c r="L1527" i="19"/>
  <c r="M1527" i="19"/>
  <c r="V1527" i="19" s="1"/>
  <c r="O1527" i="19"/>
  <c r="D1528" i="19"/>
  <c r="E1528" i="19"/>
  <c r="F1528" i="19"/>
  <c r="J1528" i="19"/>
  <c r="L1528" i="19"/>
  <c r="M1528" i="19"/>
  <c r="V1528" i="19" s="1"/>
  <c r="O1528" i="19"/>
  <c r="D1529" i="19"/>
  <c r="E1529" i="19"/>
  <c r="F1529" i="19"/>
  <c r="J1529" i="19"/>
  <c r="L1529" i="19"/>
  <c r="M1529" i="19"/>
  <c r="V1529" i="19" s="1"/>
  <c r="O1529" i="19"/>
  <c r="D1530" i="19"/>
  <c r="E1530" i="19"/>
  <c r="F1530" i="19"/>
  <c r="J1530" i="19"/>
  <c r="L1530" i="19"/>
  <c r="M1530" i="19"/>
  <c r="V1530" i="19" s="1"/>
  <c r="O1530" i="19"/>
  <c r="D1531" i="19"/>
  <c r="E1531" i="19"/>
  <c r="F1531" i="19"/>
  <c r="J1531" i="19"/>
  <c r="L1531" i="19"/>
  <c r="M1531" i="19"/>
  <c r="V1531" i="19" s="1"/>
  <c r="O1531" i="19"/>
  <c r="D1532" i="19"/>
  <c r="E1532" i="19"/>
  <c r="F1532" i="19"/>
  <c r="J1532" i="19"/>
  <c r="L1532" i="19"/>
  <c r="M1532" i="19"/>
  <c r="V1532" i="19" s="1"/>
  <c r="O1532" i="19"/>
  <c r="D1533" i="19"/>
  <c r="E1533" i="19"/>
  <c r="F1533" i="19"/>
  <c r="J1533" i="19"/>
  <c r="L1533" i="19"/>
  <c r="M1533" i="19"/>
  <c r="V1533" i="19" s="1"/>
  <c r="O1533" i="19"/>
  <c r="D1534" i="19"/>
  <c r="E1534" i="19"/>
  <c r="F1534" i="19"/>
  <c r="J1534" i="19"/>
  <c r="L1534" i="19"/>
  <c r="M1534" i="19"/>
  <c r="V1534" i="19" s="1"/>
  <c r="O1534" i="19"/>
  <c r="D1535" i="19"/>
  <c r="E1535" i="19"/>
  <c r="F1535" i="19"/>
  <c r="J1535" i="19"/>
  <c r="L1535" i="19"/>
  <c r="M1535" i="19"/>
  <c r="V1535" i="19" s="1"/>
  <c r="O1535" i="19"/>
  <c r="D1536" i="19"/>
  <c r="E1536" i="19"/>
  <c r="F1536" i="19"/>
  <c r="J1536" i="19"/>
  <c r="L1536" i="19"/>
  <c r="M1536" i="19"/>
  <c r="V1536" i="19" s="1"/>
  <c r="O1536" i="19"/>
  <c r="D1537" i="19"/>
  <c r="E1537" i="19"/>
  <c r="F1537" i="19"/>
  <c r="J1537" i="19"/>
  <c r="L1537" i="19"/>
  <c r="M1537" i="19"/>
  <c r="V1537" i="19" s="1"/>
  <c r="O1537" i="19"/>
  <c r="D1538" i="19"/>
  <c r="E1538" i="19"/>
  <c r="F1538" i="19"/>
  <c r="J1538" i="19"/>
  <c r="L1538" i="19"/>
  <c r="M1538" i="19"/>
  <c r="V1538" i="19" s="1"/>
  <c r="O1538" i="19"/>
  <c r="D1539" i="19"/>
  <c r="E1539" i="19"/>
  <c r="F1539" i="19"/>
  <c r="J1539" i="19"/>
  <c r="L1539" i="19"/>
  <c r="M1539" i="19"/>
  <c r="V1539" i="19" s="1"/>
  <c r="O1539" i="19"/>
  <c r="D1540" i="19"/>
  <c r="E1540" i="19"/>
  <c r="F1540" i="19"/>
  <c r="J1540" i="19"/>
  <c r="L1540" i="19"/>
  <c r="M1540" i="19"/>
  <c r="V1540" i="19" s="1"/>
  <c r="O1540" i="19"/>
  <c r="D1541" i="19"/>
  <c r="E1541" i="19"/>
  <c r="F1541" i="19"/>
  <c r="J1541" i="19"/>
  <c r="L1541" i="19"/>
  <c r="M1541" i="19"/>
  <c r="V1541" i="19" s="1"/>
  <c r="O1541" i="19"/>
  <c r="D1542" i="19"/>
  <c r="E1542" i="19"/>
  <c r="F1542" i="19"/>
  <c r="J1542" i="19"/>
  <c r="L1542" i="19"/>
  <c r="M1542" i="19"/>
  <c r="V1542" i="19" s="1"/>
  <c r="O1542" i="19"/>
  <c r="D1543" i="19"/>
  <c r="E1543" i="19"/>
  <c r="F1543" i="19"/>
  <c r="J1543" i="19"/>
  <c r="L1543" i="19"/>
  <c r="M1543" i="19"/>
  <c r="V1543" i="19" s="1"/>
  <c r="O1543" i="19"/>
  <c r="D1544" i="19"/>
  <c r="E1544" i="19"/>
  <c r="F1544" i="19"/>
  <c r="J1544" i="19"/>
  <c r="L1544" i="19"/>
  <c r="M1544" i="19"/>
  <c r="V1544" i="19" s="1"/>
  <c r="O1544" i="19"/>
  <c r="D1545" i="19"/>
  <c r="E1545" i="19"/>
  <c r="F1545" i="19"/>
  <c r="J1545" i="19"/>
  <c r="L1545" i="19"/>
  <c r="M1545" i="19"/>
  <c r="V1545" i="19" s="1"/>
  <c r="O1545" i="19"/>
  <c r="D1546" i="19"/>
  <c r="E1546" i="19"/>
  <c r="F1546" i="19"/>
  <c r="J1546" i="19"/>
  <c r="L1546" i="19"/>
  <c r="M1546" i="19"/>
  <c r="V1546" i="19" s="1"/>
  <c r="O1546" i="19"/>
  <c r="D1547" i="19"/>
  <c r="E1547" i="19"/>
  <c r="F1547" i="19"/>
  <c r="J1547" i="19"/>
  <c r="L1547" i="19"/>
  <c r="M1547" i="19"/>
  <c r="V1547" i="19" s="1"/>
  <c r="O1547" i="19"/>
  <c r="D1548" i="19"/>
  <c r="E1548" i="19"/>
  <c r="F1548" i="19"/>
  <c r="J1548" i="19"/>
  <c r="L1548" i="19"/>
  <c r="M1548" i="19"/>
  <c r="V1548" i="19" s="1"/>
  <c r="O1548" i="19"/>
  <c r="D1549" i="19"/>
  <c r="E1549" i="19"/>
  <c r="F1549" i="19"/>
  <c r="J1549" i="19"/>
  <c r="L1549" i="19"/>
  <c r="M1549" i="19"/>
  <c r="V1549" i="19" s="1"/>
  <c r="O1549" i="19"/>
  <c r="D1550" i="19"/>
  <c r="E1550" i="19"/>
  <c r="F1550" i="19"/>
  <c r="J1550" i="19"/>
  <c r="L1550" i="19"/>
  <c r="M1550" i="19"/>
  <c r="V1550" i="19" s="1"/>
  <c r="O1550" i="19"/>
  <c r="D1551" i="19"/>
  <c r="E1551" i="19"/>
  <c r="F1551" i="19"/>
  <c r="J1551" i="19"/>
  <c r="L1551" i="19"/>
  <c r="M1551" i="19"/>
  <c r="V1551" i="19" s="1"/>
  <c r="O1551" i="19"/>
  <c r="D1552" i="19"/>
  <c r="E1552" i="19"/>
  <c r="F1552" i="19"/>
  <c r="J1552" i="19"/>
  <c r="L1552" i="19"/>
  <c r="M1552" i="19"/>
  <c r="V1552" i="19" s="1"/>
  <c r="O1552" i="19"/>
  <c r="D1553" i="19"/>
  <c r="E1553" i="19"/>
  <c r="F1553" i="19"/>
  <c r="J1553" i="19"/>
  <c r="L1553" i="19"/>
  <c r="M1553" i="19"/>
  <c r="V1553" i="19" s="1"/>
  <c r="O1553" i="19"/>
  <c r="D1554" i="19"/>
  <c r="E1554" i="19"/>
  <c r="F1554" i="19"/>
  <c r="J1554" i="19"/>
  <c r="L1554" i="19"/>
  <c r="M1554" i="19"/>
  <c r="V1554" i="19" s="1"/>
  <c r="O1554" i="19"/>
  <c r="D1555" i="19"/>
  <c r="E1555" i="19"/>
  <c r="F1555" i="19"/>
  <c r="J1555" i="19"/>
  <c r="L1555" i="19"/>
  <c r="M1555" i="19"/>
  <c r="V1555" i="19" s="1"/>
  <c r="O1555" i="19"/>
  <c r="D1556" i="19"/>
  <c r="E1556" i="19"/>
  <c r="F1556" i="19"/>
  <c r="J1556" i="19"/>
  <c r="L1556" i="19"/>
  <c r="M1556" i="19"/>
  <c r="V1556" i="19" s="1"/>
  <c r="O1556" i="19"/>
  <c r="D1557" i="19"/>
  <c r="E1557" i="19"/>
  <c r="F1557" i="19"/>
  <c r="J1557" i="19"/>
  <c r="L1557" i="19"/>
  <c r="M1557" i="19"/>
  <c r="V1557" i="19" s="1"/>
  <c r="O1557" i="19"/>
  <c r="D1558" i="19"/>
  <c r="E1558" i="19"/>
  <c r="F1558" i="19"/>
  <c r="J1558" i="19"/>
  <c r="L1558" i="19"/>
  <c r="M1558" i="19"/>
  <c r="V1558" i="19" s="1"/>
  <c r="O1558" i="19"/>
  <c r="D1559" i="19"/>
  <c r="E1559" i="19"/>
  <c r="F1559" i="19"/>
  <c r="J1559" i="19"/>
  <c r="L1559" i="19"/>
  <c r="M1559" i="19"/>
  <c r="V1559" i="19" s="1"/>
  <c r="O1559" i="19"/>
  <c r="D1560" i="19"/>
  <c r="E1560" i="19"/>
  <c r="F1560" i="19"/>
  <c r="J1560" i="19"/>
  <c r="L1560" i="19"/>
  <c r="M1560" i="19"/>
  <c r="V1560" i="19" s="1"/>
  <c r="O1560" i="19"/>
  <c r="D1561" i="19"/>
  <c r="E1561" i="19"/>
  <c r="F1561" i="19"/>
  <c r="J1561" i="19"/>
  <c r="L1561" i="19"/>
  <c r="M1561" i="19"/>
  <c r="V1561" i="19" s="1"/>
  <c r="O1561" i="19"/>
  <c r="D1562" i="19"/>
  <c r="E1562" i="19"/>
  <c r="F1562" i="19"/>
  <c r="J1562" i="19"/>
  <c r="L1562" i="19"/>
  <c r="M1562" i="19"/>
  <c r="V1562" i="19" s="1"/>
  <c r="O1562" i="19"/>
  <c r="D1563" i="19"/>
  <c r="E1563" i="19"/>
  <c r="F1563" i="19"/>
  <c r="J1563" i="19"/>
  <c r="L1563" i="19"/>
  <c r="M1563" i="19"/>
  <c r="V1563" i="19" s="1"/>
  <c r="O1563" i="19"/>
  <c r="D1564" i="19"/>
  <c r="E1564" i="19"/>
  <c r="F1564" i="19"/>
  <c r="J1564" i="19"/>
  <c r="L1564" i="19"/>
  <c r="M1564" i="19"/>
  <c r="V1564" i="19" s="1"/>
  <c r="O1564" i="19"/>
  <c r="D1565" i="19"/>
  <c r="E1565" i="19"/>
  <c r="F1565" i="19"/>
  <c r="J1565" i="19"/>
  <c r="L1565" i="19"/>
  <c r="M1565" i="19"/>
  <c r="V1565" i="19" s="1"/>
  <c r="O1565" i="19"/>
  <c r="D1566" i="19"/>
  <c r="E1566" i="19"/>
  <c r="F1566" i="19"/>
  <c r="J1566" i="19"/>
  <c r="L1566" i="19"/>
  <c r="M1566" i="19"/>
  <c r="V1566" i="19" s="1"/>
  <c r="O1566" i="19"/>
  <c r="D1567" i="19"/>
  <c r="E1567" i="19"/>
  <c r="F1567" i="19"/>
  <c r="J1567" i="19"/>
  <c r="L1567" i="19"/>
  <c r="M1567" i="19"/>
  <c r="V1567" i="19" s="1"/>
  <c r="O1567" i="19"/>
  <c r="D1568" i="19"/>
  <c r="E1568" i="19"/>
  <c r="F1568" i="19"/>
  <c r="J1568" i="19"/>
  <c r="L1568" i="19"/>
  <c r="M1568" i="19"/>
  <c r="V1568" i="19" s="1"/>
  <c r="O1568" i="19"/>
  <c r="D1569" i="19"/>
  <c r="E1569" i="19"/>
  <c r="F1569" i="19"/>
  <c r="J1569" i="19"/>
  <c r="L1569" i="19"/>
  <c r="M1569" i="19"/>
  <c r="V1569" i="19" s="1"/>
  <c r="O1569" i="19"/>
  <c r="D1570" i="19"/>
  <c r="E1570" i="19"/>
  <c r="F1570" i="19"/>
  <c r="J1570" i="19"/>
  <c r="L1570" i="19"/>
  <c r="M1570" i="19"/>
  <c r="V1570" i="19" s="1"/>
  <c r="O1570" i="19"/>
  <c r="D1571" i="19"/>
  <c r="E1571" i="19"/>
  <c r="F1571" i="19"/>
  <c r="J1571" i="19"/>
  <c r="L1571" i="19"/>
  <c r="M1571" i="19"/>
  <c r="V1571" i="19" s="1"/>
  <c r="O1571" i="19"/>
  <c r="D1572" i="19"/>
  <c r="E1572" i="19"/>
  <c r="F1572" i="19"/>
  <c r="J1572" i="19"/>
  <c r="L1572" i="19"/>
  <c r="M1572" i="19"/>
  <c r="V1572" i="19" s="1"/>
  <c r="O1572" i="19"/>
  <c r="D1573" i="19"/>
  <c r="E1573" i="19"/>
  <c r="F1573" i="19"/>
  <c r="J1573" i="19"/>
  <c r="L1573" i="19"/>
  <c r="M1573" i="19"/>
  <c r="V1573" i="19" s="1"/>
  <c r="O1573" i="19"/>
  <c r="D1574" i="19"/>
  <c r="E1574" i="19"/>
  <c r="F1574" i="19"/>
  <c r="J1574" i="19"/>
  <c r="L1574" i="19"/>
  <c r="M1574" i="19"/>
  <c r="V1574" i="19" s="1"/>
  <c r="O1574" i="19"/>
  <c r="D1575" i="19"/>
  <c r="E1575" i="19"/>
  <c r="F1575" i="19"/>
  <c r="J1575" i="19"/>
  <c r="L1575" i="19"/>
  <c r="M1575" i="19"/>
  <c r="V1575" i="19" s="1"/>
  <c r="O1575" i="19"/>
  <c r="D1576" i="19"/>
  <c r="E1576" i="19"/>
  <c r="F1576" i="19"/>
  <c r="J1576" i="19"/>
  <c r="L1576" i="19"/>
  <c r="M1576" i="19"/>
  <c r="V1576" i="19" s="1"/>
  <c r="O1576" i="19"/>
  <c r="D1577" i="19"/>
  <c r="E1577" i="19"/>
  <c r="F1577" i="19"/>
  <c r="J1577" i="19"/>
  <c r="L1577" i="19"/>
  <c r="M1577" i="19"/>
  <c r="V1577" i="19" s="1"/>
  <c r="O1577" i="19"/>
  <c r="D1578" i="19"/>
  <c r="E1578" i="19"/>
  <c r="F1578" i="19"/>
  <c r="J1578" i="19"/>
  <c r="L1578" i="19"/>
  <c r="M1578" i="19"/>
  <c r="V1578" i="19" s="1"/>
  <c r="O1578" i="19"/>
  <c r="D1579" i="19"/>
  <c r="E1579" i="19"/>
  <c r="F1579" i="19"/>
  <c r="J1579" i="19"/>
  <c r="L1579" i="19"/>
  <c r="M1579" i="19"/>
  <c r="V1579" i="19" s="1"/>
  <c r="O1579" i="19"/>
  <c r="D1580" i="19"/>
  <c r="E1580" i="19"/>
  <c r="F1580" i="19"/>
  <c r="J1580" i="19"/>
  <c r="L1580" i="19"/>
  <c r="M1580" i="19"/>
  <c r="V1580" i="19" s="1"/>
  <c r="O1580" i="19"/>
  <c r="D1581" i="19"/>
  <c r="E1581" i="19"/>
  <c r="F1581" i="19"/>
  <c r="J1581" i="19"/>
  <c r="L1581" i="19"/>
  <c r="M1581" i="19"/>
  <c r="V1581" i="19" s="1"/>
  <c r="O1581" i="19"/>
  <c r="D1582" i="19"/>
  <c r="E1582" i="19"/>
  <c r="F1582" i="19"/>
  <c r="J1582" i="19"/>
  <c r="L1582" i="19"/>
  <c r="M1582" i="19"/>
  <c r="V1582" i="19" s="1"/>
  <c r="O1582" i="19"/>
  <c r="D1583" i="19"/>
  <c r="E1583" i="19"/>
  <c r="F1583" i="19"/>
  <c r="J1583" i="19"/>
  <c r="L1583" i="19"/>
  <c r="M1583" i="19"/>
  <c r="V1583" i="19" s="1"/>
  <c r="O1583" i="19"/>
  <c r="D1584" i="19"/>
  <c r="E1584" i="19"/>
  <c r="F1584" i="19"/>
  <c r="J1584" i="19"/>
  <c r="L1584" i="19"/>
  <c r="M1584" i="19"/>
  <c r="V1584" i="19" s="1"/>
  <c r="O1584" i="19"/>
  <c r="D1585" i="19"/>
  <c r="E1585" i="19"/>
  <c r="F1585" i="19"/>
  <c r="J1585" i="19"/>
  <c r="L1585" i="19"/>
  <c r="M1585" i="19"/>
  <c r="V1585" i="19" s="1"/>
  <c r="O1585" i="19"/>
  <c r="D1586" i="19"/>
  <c r="E1586" i="19"/>
  <c r="F1586" i="19"/>
  <c r="J1586" i="19"/>
  <c r="L1586" i="19"/>
  <c r="M1586" i="19"/>
  <c r="V1586" i="19" s="1"/>
  <c r="O1586" i="19"/>
  <c r="D1587" i="19"/>
  <c r="E1587" i="19"/>
  <c r="F1587" i="19"/>
  <c r="J1587" i="19"/>
  <c r="L1587" i="19"/>
  <c r="M1587" i="19"/>
  <c r="V1587" i="19" s="1"/>
  <c r="O1587" i="19"/>
  <c r="D1588" i="19"/>
  <c r="E1588" i="19"/>
  <c r="F1588" i="19"/>
  <c r="J1588" i="19"/>
  <c r="L1588" i="19"/>
  <c r="M1588" i="19"/>
  <c r="V1588" i="19" s="1"/>
  <c r="O1588" i="19"/>
  <c r="D1589" i="19"/>
  <c r="E1589" i="19"/>
  <c r="F1589" i="19"/>
  <c r="J1589" i="19"/>
  <c r="L1589" i="19"/>
  <c r="M1589" i="19"/>
  <c r="V1589" i="19" s="1"/>
  <c r="O1589" i="19"/>
  <c r="D1590" i="19"/>
  <c r="E1590" i="19"/>
  <c r="F1590" i="19"/>
  <c r="J1590" i="19"/>
  <c r="L1590" i="19"/>
  <c r="M1590" i="19"/>
  <c r="V1590" i="19" s="1"/>
  <c r="O1590" i="19"/>
  <c r="D1591" i="19"/>
  <c r="E1591" i="19"/>
  <c r="F1591" i="19"/>
  <c r="J1591" i="19"/>
  <c r="L1591" i="19"/>
  <c r="M1591" i="19"/>
  <c r="V1591" i="19" s="1"/>
  <c r="O1591" i="19"/>
  <c r="D1592" i="19"/>
  <c r="E1592" i="19"/>
  <c r="F1592" i="19"/>
  <c r="J1592" i="19"/>
  <c r="L1592" i="19"/>
  <c r="M1592" i="19"/>
  <c r="V1592" i="19" s="1"/>
  <c r="O1592" i="19"/>
  <c r="D1593" i="19"/>
  <c r="E1593" i="19"/>
  <c r="F1593" i="19"/>
  <c r="J1593" i="19"/>
  <c r="L1593" i="19"/>
  <c r="M1593" i="19"/>
  <c r="V1593" i="19" s="1"/>
  <c r="O1593" i="19"/>
  <c r="D1594" i="19"/>
  <c r="E1594" i="19"/>
  <c r="F1594" i="19"/>
  <c r="J1594" i="19"/>
  <c r="L1594" i="19"/>
  <c r="M1594" i="19"/>
  <c r="V1594" i="19" s="1"/>
  <c r="O1594" i="19"/>
  <c r="D1595" i="19"/>
  <c r="E1595" i="19"/>
  <c r="F1595" i="19"/>
  <c r="J1595" i="19"/>
  <c r="L1595" i="19"/>
  <c r="M1595" i="19"/>
  <c r="V1595" i="19" s="1"/>
  <c r="O1595" i="19"/>
  <c r="D1596" i="19"/>
  <c r="E1596" i="19"/>
  <c r="F1596" i="19"/>
  <c r="J1596" i="19"/>
  <c r="L1596" i="19"/>
  <c r="M1596" i="19"/>
  <c r="V1596" i="19" s="1"/>
  <c r="O1596" i="19"/>
  <c r="D1597" i="19"/>
  <c r="E1597" i="19"/>
  <c r="F1597" i="19"/>
  <c r="J1597" i="19"/>
  <c r="L1597" i="19"/>
  <c r="M1597" i="19"/>
  <c r="V1597" i="19" s="1"/>
  <c r="O1597" i="19"/>
  <c r="D1598" i="19"/>
  <c r="E1598" i="19"/>
  <c r="F1598" i="19"/>
  <c r="J1598" i="19"/>
  <c r="L1598" i="19"/>
  <c r="M1598" i="19"/>
  <c r="V1598" i="19" s="1"/>
  <c r="O1598" i="19"/>
  <c r="D1599" i="19"/>
  <c r="E1599" i="19"/>
  <c r="F1599" i="19"/>
  <c r="J1599" i="19"/>
  <c r="L1599" i="19"/>
  <c r="M1599" i="19"/>
  <c r="V1599" i="19" s="1"/>
  <c r="O1599" i="19"/>
  <c r="D1600" i="19"/>
  <c r="E1600" i="19"/>
  <c r="F1600" i="19"/>
  <c r="J1600" i="19"/>
  <c r="L1600" i="19"/>
  <c r="M1600" i="19"/>
  <c r="V1600" i="19" s="1"/>
  <c r="O1600" i="19"/>
  <c r="D1601" i="19"/>
  <c r="E1601" i="19"/>
  <c r="F1601" i="19"/>
  <c r="J1601" i="19"/>
  <c r="L1601" i="19"/>
  <c r="M1601" i="19"/>
  <c r="V1601" i="19" s="1"/>
  <c r="O1601" i="19"/>
  <c r="D1602" i="19"/>
  <c r="E1602" i="19"/>
  <c r="F1602" i="19"/>
  <c r="J1602" i="19"/>
  <c r="L1602" i="19"/>
  <c r="M1602" i="19"/>
  <c r="V1602" i="19" s="1"/>
  <c r="O1602" i="19"/>
  <c r="D1603" i="19"/>
  <c r="E1603" i="19"/>
  <c r="F1603" i="19"/>
  <c r="J1603" i="19"/>
  <c r="L1603" i="19"/>
  <c r="M1603" i="19"/>
  <c r="V1603" i="19" s="1"/>
  <c r="O1603" i="19"/>
  <c r="D1604" i="19"/>
  <c r="E1604" i="19"/>
  <c r="F1604" i="19"/>
  <c r="J1604" i="19"/>
  <c r="L1604" i="19"/>
  <c r="M1604" i="19"/>
  <c r="V1604" i="19" s="1"/>
  <c r="O1604" i="19"/>
  <c r="D1605" i="19"/>
  <c r="E1605" i="19"/>
  <c r="F1605" i="19"/>
  <c r="J1605" i="19"/>
  <c r="L1605" i="19"/>
  <c r="M1605" i="19"/>
  <c r="V1605" i="19" s="1"/>
  <c r="O1605" i="19"/>
  <c r="D1606" i="19"/>
  <c r="E1606" i="19"/>
  <c r="F1606" i="19"/>
  <c r="J1606" i="19"/>
  <c r="L1606" i="19"/>
  <c r="M1606" i="19"/>
  <c r="V1606" i="19" s="1"/>
  <c r="O1606" i="19"/>
  <c r="D1607" i="19"/>
  <c r="E1607" i="19"/>
  <c r="F1607" i="19"/>
  <c r="J1607" i="19"/>
  <c r="L1607" i="19"/>
  <c r="M1607" i="19"/>
  <c r="V1607" i="19" s="1"/>
  <c r="O1607" i="19"/>
  <c r="D1608" i="19"/>
  <c r="E1608" i="19"/>
  <c r="F1608" i="19"/>
  <c r="J1608" i="19"/>
  <c r="L1608" i="19"/>
  <c r="M1608" i="19"/>
  <c r="V1608" i="19" s="1"/>
  <c r="O1608" i="19"/>
  <c r="D1609" i="19"/>
  <c r="E1609" i="19"/>
  <c r="F1609" i="19"/>
  <c r="J1609" i="19"/>
  <c r="L1609" i="19"/>
  <c r="M1609" i="19"/>
  <c r="V1609" i="19" s="1"/>
  <c r="O1609" i="19"/>
  <c r="D1610" i="19"/>
  <c r="E1610" i="19"/>
  <c r="F1610" i="19"/>
  <c r="J1610" i="19"/>
  <c r="L1610" i="19"/>
  <c r="M1610" i="19"/>
  <c r="V1610" i="19" s="1"/>
  <c r="O1610" i="19"/>
  <c r="D1611" i="19"/>
  <c r="E1611" i="19"/>
  <c r="F1611" i="19"/>
  <c r="J1611" i="19"/>
  <c r="L1611" i="19"/>
  <c r="M1611" i="19"/>
  <c r="V1611" i="19" s="1"/>
  <c r="O1611" i="19"/>
  <c r="D1612" i="19"/>
  <c r="E1612" i="19"/>
  <c r="F1612" i="19"/>
  <c r="J1612" i="19"/>
  <c r="L1612" i="19"/>
  <c r="M1612" i="19"/>
  <c r="V1612" i="19" s="1"/>
  <c r="O1612" i="19"/>
  <c r="D1613" i="19"/>
  <c r="E1613" i="19"/>
  <c r="F1613" i="19"/>
  <c r="J1613" i="19"/>
  <c r="L1613" i="19"/>
  <c r="M1613" i="19"/>
  <c r="V1613" i="19" s="1"/>
  <c r="O1613" i="19"/>
  <c r="D1614" i="19"/>
  <c r="E1614" i="19"/>
  <c r="F1614" i="19"/>
  <c r="J1614" i="19"/>
  <c r="L1614" i="19"/>
  <c r="M1614" i="19"/>
  <c r="V1614" i="19" s="1"/>
  <c r="O1614" i="19"/>
  <c r="D1615" i="19"/>
  <c r="E1615" i="19"/>
  <c r="F1615" i="19"/>
  <c r="J1615" i="19"/>
  <c r="L1615" i="19"/>
  <c r="M1615" i="19"/>
  <c r="V1615" i="19" s="1"/>
  <c r="O1615" i="19"/>
  <c r="D1616" i="19"/>
  <c r="E1616" i="19"/>
  <c r="F1616" i="19"/>
  <c r="J1616" i="19"/>
  <c r="L1616" i="19"/>
  <c r="M1616" i="19"/>
  <c r="V1616" i="19" s="1"/>
  <c r="O1616" i="19"/>
  <c r="D1617" i="19"/>
  <c r="E1617" i="19"/>
  <c r="F1617" i="19"/>
  <c r="J1617" i="19"/>
  <c r="L1617" i="19"/>
  <c r="M1617" i="19"/>
  <c r="V1617" i="19" s="1"/>
  <c r="O1617" i="19"/>
  <c r="D1618" i="19"/>
  <c r="E1618" i="19"/>
  <c r="F1618" i="19"/>
  <c r="J1618" i="19"/>
  <c r="L1618" i="19"/>
  <c r="M1618" i="19"/>
  <c r="V1618" i="19" s="1"/>
  <c r="O1618" i="19"/>
  <c r="D1619" i="19"/>
  <c r="E1619" i="19"/>
  <c r="F1619" i="19"/>
  <c r="J1619" i="19"/>
  <c r="L1619" i="19"/>
  <c r="M1619" i="19"/>
  <c r="V1619" i="19" s="1"/>
  <c r="O1619" i="19"/>
  <c r="D1620" i="19"/>
  <c r="E1620" i="19"/>
  <c r="F1620" i="19"/>
  <c r="J1620" i="19"/>
  <c r="L1620" i="19"/>
  <c r="M1620" i="19"/>
  <c r="V1620" i="19" s="1"/>
  <c r="O1620" i="19"/>
  <c r="D1621" i="19"/>
  <c r="E1621" i="19"/>
  <c r="F1621" i="19"/>
  <c r="J1621" i="19"/>
  <c r="L1621" i="19"/>
  <c r="M1621" i="19"/>
  <c r="V1621" i="19" s="1"/>
  <c r="O1621" i="19"/>
  <c r="D940" i="19"/>
  <c r="E940" i="19"/>
  <c r="F940" i="19"/>
  <c r="J940" i="19"/>
  <c r="L940" i="19"/>
  <c r="M940" i="19"/>
  <c r="V940" i="19" s="1"/>
  <c r="O940" i="19"/>
  <c r="D941" i="19"/>
  <c r="E941" i="19"/>
  <c r="F941" i="19"/>
  <c r="J941" i="19"/>
  <c r="L941" i="19"/>
  <c r="M941" i="19"/>
  <c r="V941" i="19" s="1"/>
  <c r="O941" i="19"/>
  <c r="D942" i="19"/>
  <c r="E942" i="19"/>
  <c r="F942" i="19"/>
  <c r="J942" i="19"/>
  <c r="L942" i="19"/>
  <c r="M942" i="19"/>
  <c r="V942" i="19" s="1"/>
  <c r="O942" i="19"/>
  <c r="D943" i="19"/>
  <c r="E943" i="19"/>
  <c r="F943" i="19"/>
  <c r="J943" i="19"/>
  <c r="L943" i="19"/>
  <c r="M943" i="19"/>
  <c r="V943" i="19" s="1"/>
  <c r="O943" i="19"/>
  <c r="D944" i="19"/>
  <c r="E944" i="19"/>
  <c r="F944" i="19"/>
  <c r="J944" i="19"/>
  <c r="L944" i="19"/>
  <c r="M944" i="19"/>
  <c r="V944" i="19" s="1"/>
  <c r="O944" i="19"/>
  <c r="D945" i="19"/>
  <c r="E945" i="19"/>
  <c r="F945" i="19"/>
  <c r="J945" i="19"/>
  <c r="L945" i="19"/>
  <c r="M945" i="19"/>
  <c r="V945" i="19" s="1"/>
  <c r="O945" i="19"/>
  <c r="D946" i="19"/>
  <c r="E946" i="19"/>
  <c r="F946" i="19"/>
  <c r="J946" i="19"/>
  <c r="L946" i="19"/>
  <c r="M946" i="19"/>
  <c r="V946" i="19" s="1"/>
  <c r="O946" i="19"/>
  <c r="D947" i="19"/>
  <c r="E947" i="19"/>
  <c r="F947" i="19"/>
  <c r="J947" i="19"/>
  <c r="L947" i="19"/>
  <c r="M947" i="19"/>
  <c r="V947" i="19" s="1"/>
  <c r="O947" i="19"/>
  <c r="D948" i="19"/>
  <c r="E948" i="19"/>
  <c r="F948" i="19"/>
  <c r="J948" i="19"/>
  <c r="L948" i="19"/>
  <c r="M948" i="19"/>
  <c r="V948" i="19" s="1"/>
  <c r="O948" i="19"/>
  <c r="D949" i="19"/>
  <c r="E949" i="19"/>
  <c r="F949" i="19"/>
  <c r="J949" i="19"/>
  <c r="L949" i="19"/>
  <c r="M949" i="19"/>
  <c r="V949" i="19" s="1"/>
  <c r="O949" i="19"/>
  <c r="D950" i="19"/>
  <c r="E950" i="19"/>
  <c r="F950" i="19"/>
  <c r="J950" i="19"/>
  <c r="L950" i="19"/>
  <c r="M950" i="19"/>
  <c r="V950" i="19" s="1"/>
  <c r="O950" i="19"/>
  <c r="D951" i="19"/>
  <c r="E951" i="19"/>
  <c r="F951" i="19"/>
  <c r="J951" i="19"/>
  <c r="L951" i="19"/>
  <c r="M951" i="19"/>
  <c r="V951" i="19" s="1"/>
  <c r="O951" i="19"/>
  <c r="D952" i="19"/>
  <c r="E952" i="19"/>
  <c r="F952" i="19"/>
  <c r="J952" i="19"/>
  <c r="L952" i="19"/>
  <c r="M952" i="19"/>
  <c r="V952" i="19" s="1"/>
  <c r="O952" i="19"/>
  <c r="D953" i="19"/>
  <c r="E953" i="19"/>
  <c r="F953" i="19"/>
  <c r="J953" i="19"/>
  <c r="L953" i="19"/>
  <c r="M953" i="19"/>
  <c r="V953" i="19" s="1"/>
  <c r="O953" i="19"/>
  <c r="D954" i="19"/>
  <c r="E954" i="19"/>
  <c r="F954" i="19"/>
  <c r="J954" i="19"/>
  <c r="L954" i="19"/>
  <c r="M954" i="19"/>
  <c r="V954" i="19" s="1"/>
  <c r="O954" i="19"/>
  <c r="D955" i="19"/>
  <c r="E955" i="19"/>
  <c r="F955" i="19"/>
  <c r="J955" i="19"/>
  <c r="L955" i="19"/>
  <c r="M955" i="19"/>
  <c r="V955" i="19" s="1"/>
  <c r="O955" i="19"/>
  <c r="D956" i="19"/>
  <c r="E956" i="19"/>
  <c r="F956" i="19"/>
  <c r="J956" i="19"/>
  <c r="L956" i="19"/>
  <c r="M956" i="19"/>
  <c r="V956" i="19" s="1"/>
  <c r="O956" i="19"/>
  <c r="D957" i="19"/>
  <c r="E957" i="19"/>
  <c r="F957" i="19"/>
  <c r="J957" i="19"/>
  <c r="L957" i="19"/>
  <c r="M957" i="19"/>
  <c r="V957" i="19" s="1"/>
  <c r="O957" i="19"/>
  <c r="D958" i="19"/>
  <c r="E958" i="19"/>
  <c r="F958" i="19"/>
  <c r="J958" i="19"/>
  <c r="L958" i="19"/>
  <c r="M958" i="19"/>
  <c r="V958" i="19" s="1"/>
  <c r="O958" i="19"/>
  <c r="D959" i="19"/>
  <c r="E959" i="19"/>
  <c r="F959" i="19"/>
  <c r="J959" i="19"/>
  <c r="L959" i="19"/>
  <c r="M959" i="19"/>
  <c r="V959" i="19" s="1"/>
  <c r="O959" i="19"/>
  <c r="D960" i="19"/>
  <c r="E960" i="19"/>
  <c r="F960" i="19"/>
  <c r="J960" i="19"/>
  <c r="L960" i="19"/>
  <c r="M960" i="19"/>
  <c r="V960" i="19" s="1"/>
  <c r="O960" i="19"/>
  <c r="D961" i="19"/>
  <c r="E961" i="19"/>
  <c r="F961" i="19"/>
  <c r="J961" i="19"/>
  <c r="L961" i="19"/>
  <c r="M961" i="19"/>
  <c r="V961" i="19" s="1"/>
  <c r="O961" i="19"/>
  <c r="D962" i="19"/>
  <c r="E962" i="19"/>
  <c r="F962" i="19"/>
  <c r="J962" i="19"/>
  <c r="L962" i="19"/>
  <c r="M962" i="19"/>
  <c r="V962" i="19" s="1"/>
  <c r="O962" i="19"/>
  <c r="D963" i="19"/>
  <c r="E963" i="19"/>
  <c r="F963" i="19"/>
  <c r="J963" i="19"/>
  <c r="L963" i="19"/>
  <c r="M963" i="19"/>
  <c r="V963" i="19" s="1"/>
  <c r="O963" i="19"/>
  <c r="D964" i="19"/>
  <c r="E964" i="19"/>
  <c r="F964" i="19"/>
  <c r="J964" i="19"/>
  <c r="L964" i="19"/>
  <c r="M964" i="19"/>
  <c r="V964" i="19" s="1"/>
  <c r="O964" i="19"/>
  <c r="D965" i="19"/>
  <c r="E965" i="19"/>
  <c r="F965" i="19"/>
  <c r="J965" i="19"/>
  <c r="L965" i="19"/>
  <c r="M965" i="19"/>
  <c r="V965" i="19" s="1"/>
  <c r="O965" i="19"/>
  <c r="D966" i="19"/>
  <c r="E966" i="19"/>
  <c r="F966" i="19"/>
  <c r="J966" i="19"/>
  <c r="L966" i="19"/>
  <c r="M966" i="19"/>
  <c r="V966" i="19" s="1"/>
  <c r="O966" i="19"/>
  <c r="D967" i="19"/>
  <c r="E967" i="19"/>
  <c r="F967" i="19"/>
  <c r="J967" i="19"/>
  <c r="L967" i="19"/>
  <c r="M967" i="19"/>
  <c r="V967" i="19" s="1"/>
  <c r="O967" i="19"/>
  <c r="D968" i="19"/>
  <c r="E968" i="19"/>
  <c r="F968" i="19"/>
  <c r="J968" i="19"/>
  <c r="L968" i="19"/>
  <c r="M968" i="19"/>
  <c r="V968" i="19" s="1"/>
  <c r="O968" i="19"/>
  <c r="D969" i="19"/>
  <c r="E969" i="19"/>
  <c r="F969" i="19"/>
  <c r="J969" i="19"/>
  <c r="L969" i="19"/>
  <c r="M969" i="19"/>
  <c r="V969" i="19" s="1"/>
  <c r="O969" i="19"/>
  <c r="D970" i="19"/>
  <c r="E970" i="19"/>
  <c r="F970" i="19"/>
  <c r="J970" i="19"/>
  <c r="L970" i="19"/>
  <c r="M970" i="19"/>
  <c r="V970" i="19" s="1"/>
  <c r="O970" i="19"/>
  <c r="D971" i="19"/>
  <c r="E971" i="19"/>
  <c r="F971" i="19"/>
  <c r="J971" i="19"/>
  <c r="L971" i="19"/>
  <c r="M971" i="19"/>
  <c r="V971" i="19" s="1"/>
  <c r="O971" i="19"/>
  <c r="D972" i="19"/>
  <c r="E972" i="19"/>
  <c r="F972" i="19"/>
  <c r="J972" i="19"/>
  <c r="L972" i="19"/>
  <c r="M972" i="19"/>
  <c r="V972" i="19" s="1"/>
  <c r="O972" i="19"/>
  <c r="D973" i="19"/>
  <c r="E973" i="19"/>
  <c r="F973" i="19"/>
  <c r="J973" i="19"/>
  <c r="L973" i="19"/>
  <c r="M973" i="19"/>
  <c r="V973" i="19" s="1"/>
  <c r="O973" i="19"/>
  <c r="D974" i="19"/>
  <c r="E974" i="19"/>
  <c r="F974" i="19"/>
  <c r="J974" i="19"/>
  <c r="L974" i="19"/>
  <c r="M974" i="19"/>
  <c r="V974" i="19" s="1"/>
  <c r="O974" i="19"/>
  <c r="D975" i="19"/>
  <c r="E975" i="19"/>
  <c r="F975" i="19"/>
  <c r="J975" i="19"/>
  <c r="L975" i="19"/>
  <c r="M975" i="19"/>
  <c r="V975" i="19" s="1"/>
  <c r="O975" i="19"/>
  <c r="D650" i="19"/>
  <c r="E650" i="19"/>
  <c r="F650" i="19"/>
  <c r="J650" i="19"/>
  <c r="L650" i="19"/>
  <c r="M650" i="19"/>
  <c r="V650" i="19" s="1"/>
  <c r="O650" i="19"/>
  <c r="D651" i="19"/>
  <c r="E651" i="19"/>
  <c r="F651" i="19"/>
  <c r="J651" i="19"/>
  <c r="L651" i="19"/>
  <c r="M651" i="19"/>
  <c r="V651" i="19" s="1"/>
  <c r="O651" i="19"/>
  <c r="D652" i="19"/>
  <c r="E652" i="19"/>
  <c r="F652" i="19"/>
  <c r="J652" i="19"/>
  <c r="L652" i="19"/>
  <c r="M652" i="19"/>
  <c r="V652" i="19" s="1"/>
  <c r="O652" i="19"/>
  <c r="D653" i="19"/>
  <c r="E653" i="19"/>
  <c r="F653" i="19"/>
  <c r="J653" i="19"/>
  <c r="L653" i="19"/>
  <c r="M653" i="19"/>
  <c r="V653" i="19" s="1"/>
  <c r="O653" i="19"/>
  <c r="D654" i="19"/>
  <c r="E654" i="19"/>
  <c r="F654" i="19"/>
  <c r="J654" i="19"/>
  <c r="L654" i="19"/>
  <c r="M654" i="19"/>
  <c r="V654" i="19" s="1"/>
  <c r="O654" i="19"/>
  <c r="D655" i="19"/>
  <c r="E655" i="19"/>
  <c r="F655" i="19"/>
  <c r="J655" i="19"/>
  <c r="L655" i="19"/>
  <c r="M655" i="19"/>
  <c r="V655" i="19" s="1"/>
  <c r="O655" i="19"/>
  <c r="D656" i="19"/>
  <c r="E656" i="19"/>
  <c r="F656" i="19"/>
  <c r="J656" i="19"/>
  <c r="L656" i="19"/>
  <c r="M656" i="19"/>
  <c r="V656" i="19" s="1"/>
  <c r="O656" i="19"/>
  <c r="D657" i="19"/>
  <c r="E657" i="19"/>
  <c r="F657" i="19"/>
  <c r="J657" i="19"/>
  <c r="L657" i="19"/>
  <c r="M657" i="19"/>
  <c r="V657" i="19" s="1"/>
  <c r="O657" i="19"/>
  <c r="D658" i="19"/>
  <c r="E658" i="19"/>
  <c r="F658" i="19"/>
  <c r="J658" i="19"/>
  <c r="L658" i="19"/>
  <c r="M658" i="19"/>
  <c r="V658" i="19" s="1"/>
  <c r="O658" i="19"/>
  <c r="D659" i="19"/>
  <c r="E659" i="19"/>
  <c r="F659" i="19"/>
  <c r="J659" i="19"/>
  <c r="L659" i="19"/>
  <c r="M659" i="19"/>
  <c r="V659" i="19" s="1"/>
  <c r="O659" i="19"/>
  <c r="D660" i="19"/>
  <c r="E660" i="19"/>
  <c r="F660" i="19"/>
  <c r="J660" i="19"/>
  <c r="L660" i="19"/>
  <c r="M660" i="19"/>
  <c r="V660" i="19" s="1"/>
  <c r="O660" i="19"/>
  <c r="D661" i="19"/>
  <c r="E661" i="19"/>
  <c r="F661" i="19"/>
  <c r="J661" i="19"/>
  <c r="L661" i="19"/>
  <c r="M661" i="19"/>
  <c r="V661" i="19" s="1"/>
  <c r="O661" i="19"/>
  <c r="D662" i="19"/>
  <c r="E662" i="19"/>
  <c r="F662" i="19"/>
  <c r="J662" i="19"/>
  <c r="L662" i="19"/>
  <c r="M662" i="19"/>
  <c r="V662" i="19" s="1"/>
  <c r="O662" i="19"/>
  <c r="D663" i="19"/>
  <c r="E663" i="19"/>
  <c r="F663" i="19"/>
  <c r="J663" i="19"/>
  <c r="L663" i="19"/>
  <c r="M663" i="19"/>
  <c r="V663" i="19" s="1"/>
  <c r="O663" i="19"/>
  <c r="D664" i="19"/>
  <c r="E664" i="19"/>
  <c r="F664" i="19"/>
  <c r="J664" i="19"/>
  <c r="L664" i="19"/>
  <c r="M664" i="19"/>
  <c r="V664" i="19" s="1"/>
  <c r="O664" i="19"/>
  <c r="D665" i="19"/>
  <c r="E665" i="19"/>
  <c r="F665" i="19"/>
  <c r="J665" i="19"/>
  <c r="L665" i="19"/>
  <c r="M665" i="19"/>
  <c r="V665" i="19" s="1"/>
  <c r="O665" i="19"/>
  <c r="D666" i="19"/>
  <c r="E666" i="19"/>
  <c r="F666" i="19"/>
  <c r="J666" i="19"/>
  <c r="L666" i="19"/>
  <c r="M666" i="19"/>
  <c r="V666" i="19" s="1"/>
  <c r="O666" i="19"/>
  <c r="D667" i="19"/>
  <c r="E667" i="19"/>
  <c r="F667" i="19"/>
  <c r="J667" i="19"/>
  <c r="L667" i="19"/>
  <c r="M667" i="19"/>
  <c r="V667" i="19" s="1"/>
  <c r="O667" i="19"/>
  <c r="D668" i="19"/>
  <c r="E668" i="19"/>
  <c r="F668" i="19"/>
  <c r="J668" i="19"/>
  <c r="L668" i="19"/>
  <c r="M668" i="19"/>
  <c r="V668" i="19" s="1"/>
  <c r="O668" i="19"/>
  <c r="D669" i="19"/>
  <c r="E669" i="19"/>
  <c r="F669" i="19"/>
  <c r="J669" i="19"/>
  <c r="L669" i="19"/>
  <c r="M669" i="19"/>
  <c r="V669" i="19" s="1"/>
  <c r="O669" i="19"/>
  <c r="D670" i="19"/>
  <c r="E670" i="19"/>
  <c r="F670" i="19"/>
  <c r="J670" i="19"/>
  <c r="L670" i="19"/>
  <c r="M670" i="19"/>
  <c r="V670" i="19" s="1"/>
  <c r="O670" i="19"/>
  <c r="D671" i="19"/>
  <c r="E671" i="19"/>
  <c r="F671" i="19"/>
  <c r="J671" i="19"/>
  <c r="L671" i="19"/>
  <c r="M671" i="19"/>
  <c r="V671" i="19" s="1"/>
  <c r="O671" i="19"/>
  <c r="D672" i="19"/>
  <c r="E672" i="19"/>
  <c r="F672" i="19"/>
  <c r="J672" i="19"/>
  <c r="L672" i="19"/>
  <c r="M672" i="19"/>
  <c r="V672" i="19" s="1"/>
  <c r="O672" i="19"/>
  <c r="D673" i="19"/>
  <c r="E673" i="19"/>
  <c r="F673" i="19"/>
  <c r="J673" i="19"/>
  <c r="L673" i="19"/>
  <c r="M673" i="19"/>
  <c r="V673" i="19" s="1"/>
  <c r="O673" i="19"/>
  <c r="D674" i="19"/>
  <c r="E674" i="19"/>
  <c r="F674" i="19"/>
  <c r="J674" i="19"/>
  <c r="L674" i="19"/>
  <c r="M674" i="19"/>
  <c r="V674" i="19" s="1"/>
  <c r="O674" i="19"/>
  <c r="D675" i="19"/>
  <c r="E675" i="19"/>
  <c r="F675" i="19"/>
  <c r="J675" i="19"/>
  <c r="L675" i="19"/>
  <c r="M675" i="19"/>
  <c r="V675" i="19" s="1"/>
  <c r="O675" i="19"/>
  <c r="D676" i="19"/>
  <c r="E676" i="19"/>
  <c r="F676" i="19"/>
  <c r="J676" i="19"/>
  <c r="L676" i="19"/>
  <c r="M676" i="19"/>
  <c r="V676" i="19" s="1"/>
  <c r="O676" i="19"/>
  <c r="D677" i="19"/>
  <c r="E677" i="19"/>
  <c r="F677" i="19"/>
  <c r="J677" i="19"/>
  <c r="L677" i="19"/>
  <c r="M677" i="19"/>
  <c r="V677" i="19" s="1"/>
  <c r="O677" i="19"/>
  <c r="D678" i="19"/>
  <c r="E678" i="19"/>
  <c r="F678" i="19"/>
  <c r="J678" i="19"/>
  <c r="L678" i="19"/>
  <c r="M678" i="19"/>
  <c r="V678" i="19" s="1"/>
  <c r="O678" i="19"/>
  <c r="D679" i="19"/>
  <c r="E679" i="19"/>
  <c r="F679" i="19"/>
  <c r="J679" i="19"/>
  <c r="L679" i="19"/>
  <c r="M679" i="19"/>
  <c r="V679" i="19" s="1"/>
  <c r="O679" i="19"/>
  <c r="D680" i="19"/>
  <c r="E680" i="19"/>
  <c r="F680" i="19"/>
  <c r="J680" i="19"/>
  <c r="L680" i="19"/>
  <c r="M680" i="19"/>
  <c r="V680" i="19" s="1"/>
  <c r="O680" i="19"/>
  <c r="D681" i="19"/>
  <c r="E681" i="19"/>
  <c r="F681" i="19"/>
  <c r="J681" i="19"/>
  <c r="L681" i="19"/>
  <c r="M681" i="19"/>
  <c r="V681" i="19" s="1"/>
  <c r="O681" i="19"/>
  <c r="D682" i="19"/>
  <c r="E682" i="19"/>
  <c r="F682" i="19"/>
  <c r="J682" i="19"/>
  <c r="L682" i="19"/>
  <c r="M682" i="19"/>
  <c r="V682" i="19" s="1"/>
  <c r="O682" i="19"/>
  <c r="D683" i="19"/>
  <c r="E683" i="19"/>
  <c r="F683" i="19"/>
  <c r="J683" i="19"/>
  <c r="L683" i="19"/>
  <c r="M683" i="19"/>
  <c r="V683" i="19" s="1"/>
  <c r="O683" i="19"/>
  <c r="D684" i="19"/>
  <c r="E684" i="19"/>
  <c r="F684" i="19"/>
  <c r="J684" i="19"/>
  <c r="L684" i="19"/>
  <c r="M684" i="19"/>
  <c r="V684" i="19" s="1"/>
  <c r="O684" i="19"/>
  <c r="D685" i="19"/>
  <c r="E685" i="19"/>
  <c r="F685" i="19"/>
  <c r="J685" i="19"/>
  <c r="L685" i="19"/>
  <c r="M685" i="19"/>
  <c r="V685" i="19" s="1"/>
  <c r="O685" i="19"/>
  <c r="D686" i="19"/>
  <c r="E686" i="19"/>
  <c r="F686" i="19"/>
  <c r="J686" i="19"/>
  <c r="L686" i="19"/>
  <c r="M686" i="19"/>
  <c r="V686" i="19" s="1"/>
  <c r="O686" i="19"/>
  <c r="D687" i="19"/>
  <c r="E687" i="19"/>
  <c r="F687" i="19"/>
  <c r="J687" i="19"/>
  <c r="L687" i="19"/>
  <c r="M687" i="19"/>
  <c r="V687" i="19" s="1"/>
  <c r="O687" i="19"/>
  <c r="D688" i="19"/>
  <c r="E688" i="19"/>
  <c r="F688" i="19"/>
  <c r="J688" i="19"/>
  <c r="L688" i="19"/>
  <c r="M688" i="19"/>
  <c r="V688" i="19" s="1"/>
  <c r="O688" i="19"/>
  <c r="D689" i="19"/>
  <c r="E689" i="19"/>
  <c r="F689" i="19"/>
  <c r="J689" i="19"/>
  <c r="L689" i="19"/>
  <c r="M689" i="19"/>
  <c r="V689" i="19" s="1"/>
  <c r="O689" i="19"/>
  <c r="D690" i="19"/>
  <c r="E690" i="19"/>
  <c r="F690" i="19"/>
  <c r="J690" i="19"/>
  <c r="L690" i="19"/>
  <c r="M690" i="19"/>
  <c r="V690" i="19" s="1"/>
  <c r="O690" i="19"/>
  <c r="D691" i="19"/>
  <c r="E691" i="19"/>
  <c r="F691" i="19"/>
  <c r="J691" i="19"/>
  <c r="L691" i="19"/>
  <c r="M691" i="19"/>
  <c r="V691" i="19" s="1"/>
  <c r="O691" i="19"/>
  <c r="D692" i="19"/>
  <c r="E692" i="19"/>
  <c r="F692" i="19"/>
  <c r="J692" i="19"/>
  <c r="L692" i="19"/>
  <c r="M692" i="19"/>
  <c r="V692" i="19" s="1"/>
  <c r="O692" i="19"/>
  <c r="D693" i="19"/>
  <c r="E693" i="19"/>
  <c r="F693" i="19"/>
  <c r="J693" i="19"/>
  <c r="L693" i="19"/>
  <c r="M693" i="19"/>
  <c r="V693" i="19" s="1"/>
  <c r="O693" i="19"/>
  <c r="D694" i="19"/>
  <c r="E694" i="19"/>
  <c r="F694" i="19"/>
  <c r="J694" i="19"/>
  <c r="L694" i="19"/>
  <c r="M694" i="19"/>
  <c r="V694" i="19" s="1"/>
  <c r="O694" i="19"/>
  <c r="D695" i="19"/>
  <c r="E695" i="19"/>
  <c r="F695" i="19"/>
  <c r="J695" i="19"/>
  <c r="L695" i="19"/>
  <c r="M695" i="19"/>
  <c r="V695" i="19" s="1"/>
  <c r="O695" i="19"/>
  <c r="D696" i="19"/>
  <c r="E696" i="19"/>
  <c r="F696" i="19"/>
  <c r="J696" i="19"/>
  <c r="L696" i="19"/>
  <c r="M696" i="19"/>
  <c r="V696" i="19" s="1"/>
  <c r="O696" i="19"/>
  <c r="D697" i="19"/>
  <c r="E697" i="19"/>
  <c r="F697" i="19"/>
  <c r="J697" i="19"/>
  <c r="L697" i="19"/>
  <c r="M697" i="19"/>
  <c r="V697" i="19" s="1"/>
  <c r="O697" i="19"/>
  <c r="D698" i="19"/>
  <c r="E698" i="19"/>
  <c r="F698" i="19"/>
  <c r="J698" i="19"/>
  <c r="L698" i="19"/>
  <c r="M698" i="19"/>
  <c r="V698" i="19" s="1"/>
  <c r="O698" i="19"/>
  <c r="D699" i="19"/>
  <c r="E699" i="19"/>
  <c r="F699" i="19"/>
  <c r="J699" i="19"/>
  <c r="L699" i="19"/>
  <c r="M699" i="19"/>
  <c r="V699" i="19" s="1"/>
  <c r="O699" i="19"/>
  <c r="D700" i="19"/>
  <c r="E700" i="19"/>
  <c r="F700" i="19"/>
  <c r="J700" i="19"/>
  <c r="L700" i="19"/>
  <c r="M700" i="19"/>
  <c r="V700" i="19" s="1"/>
  <c r="O700" i="19"/>
  <c r="D701" i="19"/>
  <c r="E701" i="19"/>
  <c r="F701" i="19"/>
  <c r="J701" i="19"/>
  <c r="L701" i="19"/>
  <c r="M701" i="19"/>
  <c r="V701" i="19" s="1"/>
  <c r="O701" i="19"/>
  <c r="D702" i="19"/>
  <c r="E702" i="19"/>
  <c r="F702" i="19"/>
  <c r="J702" i="19"/>
  <c r="L702" i="19"/>
  <c r="M702" i="19"/>
  <c r="V702" i="19" s="1"/>
  <c r="O702" i="19"/>
  <c r="D703" i="19"/>
  <c r="E703" i="19"/>
  <c r="F703" i="19"/>
  <c r="J703" i="19"/>
  <c r="L703" i="19"/>
  <c r="M703" i="19"/>
  <c r="V703" i="19" s="1"/>
  <c r="O703" i="19"/>
  <c r="D704" i="19"/>
  <c r="E704" i="19"/>
  <c r="F704" i="19"/>
  <c r="J704" i="19"/>
  <c r="L704" i="19"/>
  <c r="M704" i="19"/>
  <c r="V704" i="19" s="1"/>
  <c r="O704" i="19"/>
  <c r="D705" i="19"/>
  <c r="E705" i="19"/>
  <c r="F705" i="19"/>
  <c r="J705" i="19"/>
  <c r="L705" i="19"/>
  <c r="M705" i="19"/>
  <c r="V705" i="19" s="1"/>
  <c r="O705" i="19"/>
  <c r="D706" i="19"/>
  <c r="E706" i="19"/>
  <c r="F706" i="19"/>
  <c r="J706" i="19"/>
  <c r="L706" i="19"/>
  <c r="M706" i="19"/>
  <c r="V706" i="19" s="1"/>
  <c r="O706" i="19"/>
  <c r="D707" i="19"/>
  <c r="E707" i="19"/>
  <c r="F707" i="19"/>
  <c r="J707" i="19"/>
  <c r="L707" i="19"/>
  <c r="M707" i="19"/>
  <c r="V707" i="19" s="1"/>
  <c r="O707" i="19"/>
  <c r="D708" i="19"/>
  <c r="E708" i="19"/>
  <c r="F708" i="19"/>
  <c r="J708" i="19"/>
  <c r="L708" i="19"/>
  <c r="M708" i="19"/>
  <c r="V708" i="19" s="1"/>
  <c r="O708" i="19"/>
  <c r="D709" i="19"/>
  <c r="E709" i="19"/>
  <c r="F709" i="19"/>
  <c r="J709" i="19"/>
  <c r="L709" i="19"/>
  <c r="M709" i="19"/>
  <c r="V709" i="19" s="1"/>
  <c r="O709" i="19"/>
  <c r="D710" i="19"/>
  <c r="E710" i="19"/>
  <c r="F710" i="19"/>
  <c r="J710" i="19"/>
  <c r="L710" i="19"/>
  <c r="M710" i="19"/>
  <c r="V710" i="19" s="1"/>
  <c r="O710" i="19"/>
  <c r="D711" i="19"/>
  <c r="E711" i="19"/>
  <c r="F711" i="19"/>
  <c r="J711" i="19"/>
  <c r="L711" i="19"/>
  <c r="M711" i="19"/>
  <c r="V711" i="19" s="1"/>
  <c r="O711" i="19"/>
  <c r="D712" i="19"/>
  <c r="E712" i="19"/>
  <c r="F712" i="19"/>
  <c r="J712" i="19"/>
  <c r="L712" i="19"/>
  <c r="M712" i="19"/>
  <c r="V712" i="19" s="1"/>
  <c r="O712" i="19"/>
  <c r="D713" i="19"/>
  <c r="E713" i="19"/>
  <c r="F713" i="19"/>
  <c r="J713" i="19"/>
  <c r="L713" i="19"/>
  <c r="M713" i="19"/>
  <c r="V713" i="19" s="1"/>
  <c r="O713" i="19"/>
  <c r="D714" i="19"/>
  <c r="E714" i="19"/>
  <c r="F714" i="19"/>
  <c r="J714" i="19"/>
  <c r="L714" i="19"/>
  <c r="M714" i="19"/>
  <c r="V714" i="19" s="1"/>
  <c r="O714" i="19"/>
  <c r="D715" i="19"/>
  <c r="E715" i="19"/>
  <c r="F715" i="19"/>
  <c r="J715" i="19"/>
  <c r="L715" i="19"/>
  <c r="M715" i="19"/>
  <c r="V715" i="19" s="1"/>
  <c r="O715" i="19"/>
  <c r="D716" i="19"/>
  <c r="E716" i="19"/>
  <c r="F716" i="19"/>
  <c r="J716" i="19"/>
  <c r="L716" i="19"/>
  <c r="M716" i="19"/>
  <c r="V716" i="19" s="1"/>
  <c r="O716" i="19"/>
  <c r="D717" i="19"/>
  <c r="E717" i="19"/>
  <c r="F717" i="19"/>
  <c r="J717" i="19"/>
  <c r="L717" i="19"/>
  <c r="M717" i="19"/>
  <c r="V717" i="19" s="1"/>
  <c r="O717" i="19"/>
  <c r="D718" i="19"/>
  <c r="E718" i="19"/>
  <c r="F718" i="19"/>
  <c r="J718" i="19"/>
  <c r="L718" i="19"/>
  <c r="M718" i="19"/>
  <c r="V718" i="19" s="1"/>
  <c r="O718" i="19"/>
  <c r="D719" i="19"/>
  <c r="E719" i="19"/>
  <c r="F719" i="19"/>
  <c r="J719" i="19"/>
  <c r="L719" i="19"/>
  <c r="M719" i="19"/>
  <c r="V719" i="19" s="1"/>
  <c r="O719" i="19"/>
  <c r="D720" i="19"/>
  <c r="E720" i="19"/>
  <c r="F720" i="19"/>
  <c r="J720" i="19"/>
  <c r="L720" i="19"/>
  <c r="M720" i="19"/>
  <c r="V720" i="19" s="1"/>
  <c r="O720" i="19"/>
  <c r="D721" i="19"/>
  <c r="E721" i="19"/>
  <c r="F721" i="19"/>
  <c r="J721" i="19"/>
  <c r="L721" i="19"/>
  <c r="M721" i="19"/>
  <c r="V721" i="19" s="1"/>
  <c r="O721" i="19"/>
  <c r="D722" i="19"/>
  <c r="E722" i="19"/>
  <c r="F722" i="19"/>
  <c r="J722" i="19"/>
  <c r="L722" i="19"/>
  <c r="M722" i="19"/>
  <c r="V722" i="19" s="1"/>
  <c r="O722" i="19"/>
  <c r="D723" i="19"/>
  <c r="E723" i="19"/>
  <c r="F723" i="19"/>
  <c r="J723" i="19"/>
  <c r="L723" i="19"/>
  <c r="M723" i="19"/>
  <c r="V723" i="19" s="1"/>
  <c r="O723" i="19"/>
  <c r="D724" i="19"/>
  <c r="E724" i="19"/>
  <c r="F724" i="19"/>
  <c r="J724" i="19"/>
  <c r="L724" i="19"/>
  <c r="M724" i="19"/>
  <c r="V724" i="19" s="1"/>
  <c r="O724" i="19"/>
  <c r="D725" i="19"/>
  <c r="E725" i="19"/>
  <c r="F725" i="19"/>
  <c r="J725" i="19"/>
  <c r="L725" i="19"/>
  <c r="M725" i="19"/>
  <c r="V725" i="19" s="1"/>
  <c r="O725" i="19"/>
  <c r="D726" i="19"/>
  <c r="E726" i="19"/>
  <c r="F726" i="19"/>
  <c r="J726" i="19"/>
  <c r="L726" i="19"/>
  <c r="M726" i="19"/>
  <c r="V726" i="19" s="1"/>
  <c r="O726" i="19"/>
  <c r="D727" i="19"/>
  <c r="E727" i="19"/>
  <c r="F727" i="19"/>
  <c r="J727" i="19"/>
  <c r="L727" i="19"/>
  <c r="M727" i="19"/>
  <c r="V727" i="19" s="1"/>
  <c r="O727" i="19"/>
  <c r="D728" i="19"/>
  <c r="E728" i="19"/>
  <c r="F728" i="19"/>
  <c r="J728" i="19"/>
  <c r="L728" i="19"/>
  <c r="M728" i="19"/>
  <c r="V728" i="19" s="1"/>
  <c r="O728" i="19"/>
  <c r="D729" i="19"/>
  <c r="E729" i="19"/>
  <c r="F729" i="19"/>
  <c r="J729" i="19"/>
  <c r="L729" i="19"/>
  <c r="M729" i="19"/>
  <c r="V729" i="19" s="1"/>
  <c r="O729" i="19"/>
  <c r="D730" i="19"/>
  <c r="E730" i="19"/>
  <c r="F730" i="19"/>
  <c r="J730" i="19"/>
  <c r="L730" i="19"/>
  <c r="M730" i="19"/>
  <c r="V730" i="19" s="1"/>
  <c r="O730" i="19"/>
  <c r="D731" i="19"/>
  <c r="E731" i="19"/>
  <c r="F731" i="19"/>
  <c r="J731" i="19"/>
  <c r="L731" i="19"/>
  <c r="M731" i="19"/>
  <c r="V731" i="19" s="1"/>
  <c r="O731" i="19"/>
  <c r="D732" i="19"/>
  <c r="E732" i="19"/>
  <c r="F732" i="19"/>
  <c r="J732" i="19"/>
  <c r="L732" i="19"/>
  <c r="M732" i="19"/>
  <c r="V732" i="19" s="1"/>
  <c r="O732" i="19"/>
  <c r="D733" i="19"/>
  <c r="E733" i="19"/>
  <c r="F733" i="19"/>
  <c r="J733" i="19"/>
  <c r="L733" i="19"/>
  <c r="M733" i="19"/>
  <c r="V733" i="19" s="1"/>
  <c r="O733" i="19"/>
  <c r="D734" i="19"/>
  <c r="E734" i="19"/>
  <c r="F734" i="19"/>
  <c r="J734" i="19"/>
  <c r="L734" i="19"/>
  <c r="M734" i="19"/>
  <c r="V734" i="19" s="1"/>
  <c r="O734" i="19"/>
  <c r="D735" i="19"/>
  <c r="E735" i="19"/>
  <c r="F735" i="19"/>
  <c r="J735" i="19"/>
  <c r="L735" i="19"/>
  <c r="M735" i="19"/>
  <c r="V735" i="19" s="1"/>
  <c r="O735" i="19"/>
  <c r="D736" i="19"/>
  <c r="E736" i="19"/>
  <c r="F736" i="19"/>
  <c r="J736" i="19"/>
  <c r="L736" i="19"/>
  <c r="M736" i="19"/>
  <c r="V736" i="19" s="1"/>
  <c r="O736" i="19"/>
  <c r="D737" i="19"/>
  <c r="E737" i="19"/>
  <c r="F737" i="19"/>
  <c r="J737" i="19"/>
  <c r="L737" i="19"/>
  <c r="M737" i="19"/>
  <c r="V737" i="19" s="1"/>
  <c r="O737" i="19"/>
  <c r="D738" i="19"/>
  <c r="E738" i="19"/>
  <c r="F738" i="19"/>
  <c r="J738" i="19"/>
  <c r="L738" i="19"/>
  <c r="M738" i="19"/>
  <c r="V738" i="19" s="1"/>
  <c r="O738" i="19"/>
  <c r="D739" i="19"/>
  <c r="E739" i="19"/>
  <c r="F739" i="19"/>
  <c r="J739" i="19"/>
  <c r="L739" i="19"/>
  <c r="M739" i="19"/>
  <c r="V739" i="19" s="1"/>
  <c r="O739" i="19"/>
  <c r="D740" i="19"/>
  <c r="E740" i="19"/>
  <c r="F740" i="19"/>
  <c r="J740" i="19"/>
  <c r="L740" i="19"/>
  <c r="M740" i="19"/>
  <c r="V740" i="19" s="1"/>
  <c r="O740" i="19"/>
  <c r="D741" i="19"/>
  <c r="E741" i="19"/>
  <c r="F741" i="19"/>
  <c r="J741" i="19"/>
  <c r="L741" i="19"/>
  <c r="M741" i="19"/>
  <c r="V741" i="19" s="1"/>
  <c r="O741" i="19"/>
  <c r="D742" i="19"/>
  <c r="E742" i="19"/>
  <c r="F742" i="19"/>
  <c r="J742" i="19"/>
  <c r="L742" i="19"/>
  <c r="M742" i="19"/>
  <c r="V742" i="19" s="1"/>
  <c r="O742" i="19"/>
  <c r="D743" i="19"/>
  <c r="E743" i="19"/>
  <c r="F743" i="19"/>
  <c r="J743" i="19"/>
  <c r="L743" i="19"/>
  <c r="M743" i="19"/>
  <c r="V743" i="19" s="1"/>
  <c r="O743" i="19"/>
  <c r="D744" i="19"/>
  <c r="E744" i="19"/>
  <c r="F744" i="19"/>
  <c r="J744" i="19"/>
  <c r="L744" i="19"/>
  <c r="M744" i="19"/>
  <c r="V744" i="19" s="1"/>
  <c r="O744" i="19"/>
  <c r="D745" i="19"/>
  <c r="E745" i="19"/>
  <c r="F745" i="19"/>
  <c r="J745" i="19"/>
  <c r="L745" i="19"/>
  <c r="M745" i="19"/>
  <c r="V745" i="19" s="1"/>
  <c r="O745" i="19"/>
  <c r="D746" i="19"/>
  <c r="E746" i="19"/>
  <c r="F746" i="19"/>
  <c r="J746" i="19"/>
  <c r="L746" i="19"/>
  <c r="M746" i="19"/>
  <c r="V746" i="19" s="1"/>
  <c r="O746" i="19"/>
  <c r="D747" i="19"/>
  <c r="E747" i="19"/>
  <c r="F747" i="19"/>
  <c r="J747" i="19"/>
  <c r="L747" i="19"/>
  <c r="M747" i="19"/>
  <c r="V747" i="19" s="1"/>
  <c r="O747" i="19"/>
  <c r="D748" i="19"/>
  <c r="E748" i="19"/>
  <c r="F748" i="19"/>
  <c r="J748" i="19"/>
  <c r="L748" i="19"/>
  <c r="M748" i="19"/>
  <c r="V748" i="19" s="1"/>
  <c r="O748" i="19"/>
  <c r="D749" i="19"/>
  <c r="E749" i="19"/>
  <c r="F749" i="19"/>
  <c r="J749" i="19"/>
  <c r="L749" i="19"/>
  <c r="M749" i="19"/>
  <c r="V749" i="19" s="1"/>
  <c r="O749" i="19"/>
  <c r="D750" i="19"/>
  <c r="E750" i="19"/>
  <c r="F750" i="19"/>
  <c r="J750" i="19"/>
  <c r="L750" i="19"/>
  <c r="M750" i="19"/>
  <c r="V750" i="19" s="1"/>
  <c r="O750" i="19"/>
  <c r="D751" i="19"/>
  <c r="E751" i="19"/>
  <c r="F751" i="19"/>
  <c r="J751" i="19"/>
  <c r="L751" i="19"/>
  <c r="M751" i="19"/>
  <c r="V751" i="19" s="1"/>
  <c r="O751" i="19"/>
  <c r="D752" i="19"/>
  <c r="E752" i="19"/>
  <c r="F752" i="19"/>
  <c r="J752" i="19"/>
  <c r="L752" i="19"/>
  <c r="M752" i="19"/>
  <c r="V752" i="19" s="1"/>
  <c r="O752" i="19"/>
  <c r="D753" i="19"/>
  <c r="E753" i="19"/>
  <c r="F753" i="19"/>
  <c r="J753" i="19"/>
  <c r="L753" i="19"/>
  <c r="M753" i="19"/>
  <c r="V753" i="19" s="1"/>
  <c r="O753" i="19"/>
  <c r="D754" i="19"/>
  <c r="E754" i="19"/>
  <c r="F754" i="19"/>
  <c r="J754" i="19"/>
  <c r="L754" i="19"/>
  <c r="M754" i="19"/>
  <c r="V754" i="19" s="1"/>
  <c r="O754" i="19"/>
  <c r="D755" i="19"/>
  <c r="E755" i="19"/>
  <c r="F755" i="19"/>
  <c r="J755" i="19"/>
  <c r="L755" i="19"/>
  <c r="M755" i="19"/>
  <c r="V755" i="19" s="1"/>
  <c r="O755" i="19"/>
  <c r="D756" i="19"/>
  <c r="E756" i="19"/>
  <c r="F756" i="19"/>
  <c r="J756" i="19"/>
  <c r="L756" i="19"/>
  <c r="M756" i="19"/>
  <c r="V756" i="19" s="1"/>
  <c r="O756" i="19"/>
  <c r="D757" i="19"/>
  <c r="E757" i="19"/>
  <c r="F757" i="19"/>
  <c r="J757" i="19"/>
  <c r="L757" i="19"/>
  <c r="M757" i="19"/>
  <c r="V757" i="19" s="1"/>
  <c r="O757" i="19"/>
  <c r="D758" i="19"/>
  <c r="E758" i="19"/>
  <c r="F758" i="19"/>
  <c r="J758" i="19"/>
  <c r="L758" i="19"/>
  <c r="M758" i="19"/>
  <c r="V758" i="19" s="1"/>
  <c r="O758" i="19"/>
  <c r="D759" i="19"/>
  <c r="E759" i="19"/>
  <c r="F759" i="19"/>
  <c r="J759" i="19"/>
  <c r="L759" i="19"/>
  <c r="M759" i="19"/>
  <c r="V759" i="19" s="1"/>
  <c r="O759" i="19"/>
  <c r="D760" i="19"/>
  <c r="E760" i="19"/>
  <c r="F760" i="19"/>
  <c r="J760" i="19"/>
  <c r="L760" i="19"/>
  <c r="M760" i="19"/>
  <c r="V760" i="19" s="1"/>
  <c r="O760" i="19"/>
  <c r="D761" i="19"/>
  <c r="E761" i="19"/>
  <c r="F761" i="19"/>
  <c r="J761" i="19"/>
  <c r="L761" i="19"/>
  <c r="M761" i="19"/>
  <c r="V761" i="19" s="1"/>
  <c r="O761" i="19"/>
  <c r="D762" i="19"/>
  <c r="E762" i="19"/>
  <c r="F762" i="19"/>
  <c r="J762" i="19"/>
  <c r="L762" i="19"/>
  <c r="M762" i="19"/>
  <c r="V762" i="19" s="1"/>
  <c r="O762" i="19"/>
  <c r="D763" i="19"/>
  <c r="E763" i="19"/>
  <c r="F763" i="19"/>
  <c r="J763" i="19"/>
  <c r="L763" i="19"/>
  <c r="M763" i="19"/>
  <c r="V763" i="19" s="1"/>
  <c r="O763" i="19"/>
  <c r="D764" i="19"/>
  <c r="E764" i="19"/>
  <c r="F764" i="19"/>
  <c r="J764" i="19"/>
  <c r="L764" i="19"/>
  <c r="M764" i="19"/>
  <c r="V764" i="19" s="1"/>
  <c r="O764" i="19"/>
  <c r="D765" i="19"/>
  <c r="E765" i="19"/>
  <c r="F765" i="19"/>
  <c r="J765" i="19"/>
  <c r="L765" i="19"/>
  <c r="M765" i="19"/>
  <c r="V765" i="19" s="1"/>
  <c r="O765" i="19"/>
  <c r="D766" i="19"/>
  <c r="E766" i="19"/>
  <c r="F766" i="19"/>
  <c r="J766" i="19"/>
  <c r="L766" i="19"/>
  <c r="M766" i="19"/>
  <c r="V766" i="19" s="1"/>
  <c r="O766" i="19"/>
  <c r="D767" i="19"/>
  <c r="E767" i="19"/>
  <c r="F767" i="19"/>
  <c r="J767" i="19"/>
  <c r="L767" i="19"/>
  <c r="M767" i="19"/>
  <c r="V767" i="19" s="1"/>
  <c r="O767" i="19"/>
  <c r="D768" i="19"/>
  <c r="E768" i="19"/>
  <c r="F768" i="19"/>
  <c r="J768" i="19"/>
  <c r="L768" i="19"/>
  <c r="M768" i="19"/>
  <c r="V768" i="19" s="1"/>
  <c r="O768" i="19"/>
  <c r="D769" i="19"/>
  <c r="E769" i="19"/>
  <c r="F769" i="19"/>
  <c r="J769" i="19"/>
  <c r="L769" i="19"/>
  <c r="M769" i="19"/>
  <c r="V769" i="19" s="1"/>
  <c r="O769" i="19"/>
  <c r="D770" i="19"/>
  <c r="E770" i="19"/>
  <c r="F770" i="19"/>
  <c r="J770" i="19"/>
  <c r="L770" i="19"/>
  <c r="M770" i="19"/>
  <c r="V770" i="19" s="1"/>
  <c r="O770" i="19"/>
  <c r="D771" i="19"/>
  <c r="E771" i="19"/>
  <c r="F771" i="19"/>
  <c r="J771" i="19"/>
  <c r="L771" i="19"/>
  <c r="M771" i="19"/>
  <c r="V771" i="19" s="1"/>
  <c r="O771" i="19"/>
  <c r="D772" i="19"/>
  <c r="E772" i="19"/>
  <c r="F772" i="19"/>
  <c r="J772" i="19"/>
  <c r="L772" i="19"/>
  <c r="M772" i="19"/>
  <c r="V772" i="19" s="1"/>
  <c r="O772" i="19"/>
  <c r="D773" i="19"/>
  <c r="E773" i="19"/>
  <c r="F773" i="19"/>
  <c r="J773" i="19"/>
  <c r="L773" i="19"/>
  <c r="M773" i="19"/>
  <c r="V773" i="19" s="1"/>
  <c r="O773" i="19"/>
  <c r="D774" i="19"/>
  <c r="E774" i="19"/>
  <c r="F774" i="19"/>
  <c r="J774" i="19"/>
  <c r="L774" i="19"/>
  <c r="M774" i="19"/>
  <c r="V774" i="19" s="1"/>
  <c r="O774" i="19"/>
  <c r="D775" i="19"/>
  <c r="E775" i="19"/>
  <c r="F775" i="19"/>
  <c r="J775" i="19"/>
  <c r="L775" i="19"/>
  <c r="M775" i="19"/>
  <c r="V775" i="19" s="1"/>
  <c r="O775" i="19"/>
  <c r="D776" i="19"/>
  <c r="E776" i="19"/>
  <c r="F776" i="19"/>
  <c r="J776" i="19"/>
  <c r="L776" i="19"/>
  <c r="M776" i="19"/>
  <c r="V776" i="19" s="1"/>
  <c r="O776" i="19"/>
  <c r="D777" i="19"/>
  <c r="E777" i="19"/>
  <c r="F777" i="19"/>
  <c r="J777" i="19"/>
  <c r="L777" i="19"/>
  <c r="M777" i="19"/>
  <c r="V777" i="19" s="1"/>
  <c r="O777" i="19"/>
  <c r="D778" i="19"/>
  <c r="E778" i="19"/>
  <c r="F778" i="19"/>
  <c r="J778" i="19"/>
  <c r="L778" i="19"/>
  <c r="M778" i="19"/>
  <c r="V778" i="19" s="1"/>
  <c r="O778" i="19"/>
  <c r="D779" i="19"/>
  <c r="E779" i="19"/>
  <c r="F779" i="19"/>
  <c r="J779" i="19"/>
  <c r="L779" i="19"/>
  <c r="M779" i="19"/>
  <c r="V779" i="19" s="1"/>
  <c r="O779" i="19"/>
  <c r="D780" i="19"/>
  <c r="E780" i="19"/>
  <c r="F780" i="19"/>
  <c r="J780" i="19"/>
  <c r="L780" i="19"/>
  <c r="M780" i="19"/>
  <c r="V780" i="19" s="1"/>
  <c r="O780" i="19"/>
  <c r="D781" i="19"/>
  <c r="E781" i="19"/>
  <c r="F781" i="19"/>
  <c r="J781" i="19"/>
  <c r="L781" i="19"/>
  <c r="M781" i="19"/>
  <c r="V781" i="19" s="1"/>
  <c r="O781" i="19"/>
  <c r="D782" i="19"/>
  <c r="E782" i="19"/>
  <c r="F782" i="19"/>
  <c r="J782" i="19"/>
  <c r="L782" i="19"/>
  <c r="M782" i="19"/>
  <c r="V782" i="19" s="1"/>
  <c r="O782" i="19"/>
  <c r="D783" i="19"/>
  <c r="E783" i="19"/>
  <c r="F783" i="19"/>
  <c r="J783" i="19"/>
  <c r="L783" i="19"/>
  <c r="M783" i="19"/>
  <c r="V783" i="19" s="1"/>
  <c r="O783" i="19"/>
  <c r="D784" i="19"/>
  <c r="E784" i="19"/>
  <c r="F784" i="19"/>
  <c r="J784" i="19"/>
  <c r="L784" i="19"/>
  <c r="M784" i="19"/>
  <c r="V784" i="19" s="1"/>
  <c r="O784" i="19"/>
  <c r="D785" i="19"/>
  <c r="E785" i="19"/>
  <c r="F785" i="19"/>
  <c r="J785" i="19"/>
  <c r="L785" i="19"/>
  <c r="M785" i="19"/>
  <c r="V785" i="19" s="1"/>
  <c r="O785" i="19"/>
  <c r="D786" i="19"/>
  <c r="E786" i="19"/>
  <c r="F786" i="19"/>
  <c r="J786" i="19"/>
  <c r="L786" i="19"/>
  <c r="M786" i="19"/>
  <c r="V786" i="19" s="1"/>
  <c r="O786" i="19"/>
  <c r="D787" i="19"/>
  <c r="E787" i="19"/>
  <c r="F787" i="19"/>
  <c r="J787" i="19"/>
  <c r="L787" i="19"/>
  <c r="M787" i="19"/>
  <c r="V787" i="19" s="1"/>
  <c r="O787" i="19"/>
  <c r="D788" i="19"/>
  <c r="E788" i="19"/>
  <c r="F788" i="19"/>
  <c r="J788" i="19"/>
  <c r="L788" i="19"/>
  <c r="M788" i="19"/>
  <c r="V788" i="19" s="1"/>
  <c r="O788" i="19"/>
  <c r="D789" i="19"/>
  <c r="E789" i="19"/>
  <c r="F789" i="19"/>
  <c r="J789" i="19"/>
  <c r="L789" i="19"/>
  <c r="M789" i="19"/>
  <c r="V789" i="19" s="1"/>
  <c r="O789" i="19"/>
  <c r="D790" i="19"/>
  <c r="E790" i="19"/>
  <c r="F790" i="19"/>
  <c r="J790" i="19"/>
  <c r="L790" i="19"/>
  <c r="M790" i="19"/>
  <c r="V790" i="19" s="1"/>
  <c r="O790" i="19"/>
  <c r="D791" i="19"/>
  <c r="E791" i="19"/>
  <c r="F791" i="19"/>
  <c r="J791" i="19"/>
  <c r="L791" i="19"/>
  <c r="M791" i="19"/>
  <c r="V791" i="19" s="1"/>
  <c r="O791" i="19"/>
  <c r="D792" i="19"/>
  <c r="E792" i="19"/>
  <c r="F792" i="19"/>
  <c r="J792" i="19"/>
  <c r="L792" i="19"/>
  <c r="M792" i="19"/>
  <c r="V792" i="19" s="1"/>
  <c r="O792" i="19"/>
  <c r="D793" i="19"/>
  <c r="E793" i="19"/>
  <c r="F793" i="19"/>
  <c r="J793" i="19"/>
  <c r="L793" i="19"/>
  <c r="M793" i="19"/>
  <c r="V793" i="19" s="1"/>
  <c r="O793" i="19"/>
  <c r="D794" i="19"/>
  <c r="E794" i="19"/>
  <c r="F794" i="19"/>
  <c r="J794" i="19"/>
  <c r="L794" i="19"/>
  <c r="M794" i="19"/>
  <c r="V794" i="19" s="1"/>
  <c r="O794" i="19"/>
  <c r="D795" i="19"/>
  <c r="E795" i="19"/>
  <c r="F795" i="19"/>
  <c r="J795" i="19"/>
  <c r="L795" i="19"/>
  <c r="M795" i="19"/>
  <c r="V795" i="19" s="1"/>
  <c r="O795" i="19"/>
  <c r="D796" i="19"/>
  <c r="E796" i="19"/>
  <c r="F796" i="19"/>
  <c r="J796" i="19"/>
  <c r="L796" i="19"/>
  <c r="M796" i="19"/>
  <c r="V796" i="19" s="1"/>
  <c r="O796" i="19"/>
  <c r="D797" i="19"/>
  <c r="E797" i="19"/>
  <c r="F797" i="19"/>
  <c r="J797" i="19"/>
  <c r="L797" i="19"/>
  <c r="M797" i="19"/>
  <c r="V797" i="19" s="1"/>
  <c r="O797" i="19"/>
  <c r="D798" i="19"/>
  <c r="E798" i="19"/>
  <c r="F798" i="19"/>
  <c r="J798" i="19"/>
  <c r="L798" i="19"/>
  <c r="M798" i="19"/>
  <c r="V798" i="19" s="1"/>
  <c r="O798" i="19"/>
  <c r="D799" i="19"/>
  <c r="E799" i="19"/>
  <c r="F799" i="19"/>
  <c r="J799" i="19"/>
  <c r="L799" i="19"/>
  <c r="M799" i="19"/>
  <c r="V799" i="19" s="1"/>
  <c r="O799" i="19"/>
  <c r="D800" i="19"/>
  <c r="E800" i="19"/>
  <c r="F800" i="19"/>
  <c r="J800" i="19"/>
  <c r="L800" i="19"/>
  <c r="M800" i="19"/>
  <c r="V800" i="19" s="1"/>
  <c r="O800" i="19"/>
  <c r="D801" i="19"/>
  <c r="E801" i="19"/>
  <c r="F801" i="19"/>
  <c r="J801" i="19"/>
  <c r="L801" i="19"/>
  <c r="M801" i="19"/>
  <c r="V801" i="19" s="1"/>
  <c r="O801" i="19"/>
  <c r="D802" i="19"/>
  <c r="E802" i="19"/>
  <c r="F802" i="19"/>
  <c r="J802" i="19"/>
  <c r="L802" i="19"/>
  <c r="M802" i="19"/>
  <c r="V802" i="19" s="1"/>
  <c r="O802" i="19"/>
  <c r="D803" i="19"/>
  <c r="E803" i="19"/>
  <c r="F803" i="19"/>
  <c r="J803" i="19"/>
  <c r="L803" i="19"/>
  <c r="M803" i="19"/>
  <c r="V803" i="19" s="1"/>
  <c r="O803" i="19"/>
  <c r="D804" i="19"/>
  <c r="E804" i="19"/>
  <c r="F804" i="19"/>
  <c r="J804" i="19"/>
  <c r="L804" i="19"/>
  <c r="M804" i="19"/>
  <c r="V804" i="19" s="1"/>
  <c r="O804" i="19"/>
  <c r="D805" i="19"/>
  <c r="E805" i="19"/>
  <c r="F805" i="19"/>
  <c r="J805" i="19"/>
  <c r="L805" i="19"/>
  <c r="M805" i="19"/>
  <c r="V805" i="19" s="1"/>
  <c r="O805" i="19"/>
  <c r="D806" i="19"/>
  <c r="E806" i="19"/>
  <c r="F806" i="19"/>
  <c r="J806" i="19"/>
  <c r="L806" i="19"/>
  <c r="M806" i="19"/>
  <c r="V806" i="19" s="1"/>
  <c r="O806" i="19"/>
  <c r="D807" i="19"/>
  <c r="E807" i="19"/>
  <c r="F807" i="19"/>
  <c r="J807" i="19"/>
  <c r="L807" i="19"/>
  <c r="M807" i="19"/>
  <c r="V807" i="19" s="1"/>
  <c r="O807" i="19"/>
  <c r="D808" i="19"/>
  <c r="E808" i="19"/>
  <c r="F808" i="19"/>
  <c r="J808" i="19"/>
  <c r="L808" i="19"/>
  <c r="M808" i="19"/>
  <c r="V808" i="19" s="1"/>
  <c r="O808" i="19"/>
  <c r="D809" i="19"/>
  <c r="E809" i="19"/>
  <c r="F809" i="19"/>
  <c r="J809" i="19"/>
  <c r="L809" i="19"/>
  <c r="M809" i="19"/>
  <c r="V809" i="19" s="1"/>
  <c r="O809" i="19"/>
  <c r="D810" i="19"/>
  <c r="E810" i="19"/>
  <c r="F810" i="19"/>
  <c r="J810" i="19"/>
  <c r="L810" i="19"/>
  <c r="M810" i="19"/>
  <c r="V810" i="19" s="1"/>
  <c r="O810" i="19"/>
  <c r="D811" i="19"/>
  <c r="E811" i="19"/>
  <c r="F811" i="19"/>
  <c r="J811" i="19"/>
  <c r="L811" i="19"/>
  <c r="M811" i="19"/>
  <c r="V811" i="19" s="1"/>
  <c r="O811" i="19"/>
  <c r="D812" i="19"/>
  <c r="E812" i="19"/>
  <c r="F812" i="19"/>
  <c r="J812" i="19"/>
  <c r="L812" i="19"/>
  <c r="M812" i="19"/>
  <c r="V812" i="19" s="1"/>
  <c r="O812" i="19"/>
  <c r="D813" i="19"/>
  <c r="E813" i="19"/>
  <c r="F813" i="19"/>
  <c r="J813" i="19"/>
  <c r="L813" i="19"/>
  <c r="M813" i="19"/>
  <c r="V813" i="19" s="1"/>
  <c r="O813" i="19"/>
  <c r="D814" i="19"/>
  <c r="E814" i="19"/>
  <c r="F814" i="19"/>
  <c r="J814" i="19"/>
  <c r="L814" i="19"/>
  <c r="M814" i="19"/>
  <c r="V814" i="19" s="1"/>
  <c r="O814" i="19"/>
  <c r="D815" i="19"/>
  <c r="E815" i="19"/>
  <c r="F815" i="19"/>
  <c r="J815" i="19"/>
  <c r="L815" i="19"/>
  <c r="M815" i="19"/>
  <c r="V815" i="19" s="1"/>
  <c r="O815" i="19"/>
  <c r="D816" i="19"/>
  <c r="E816" i="19"/>
  <c r="F816" i="19"/>
  <c r="J816" i="19"/>
  <c r="L816" i="19"/>
  <c r="M816" i="19"/>
  <c r="V816" i="19" s="1"/>
  <c r="O816" i="19"/>
  <c r="D817" i="19"/>
  <c r="E817" i="19"/>
  <c r="F817" i="19"/>
  <c r="J817" i="19"/>
  <c r="L817" i="19"/>
  <c r="M817" i="19"/>
  <c r="V817" i="19" s="1"/>
  <c r="O817" i="19"/>
  <c r="D818" i="19"/>
  <c r="E818" i="19"/>
  <c r="F818" i="19"/>
  <c r="J818" i="19"/>
  <c r="L818" i="19"/>
  <c r="M818" i="19"/>
  <c r="V818" i="19" s="1"/>
  <c r="O818" i="19"/>
  <c r="D819" i="19"/>
  <c r="E819" i="19"/>
  <c r="F819" i="19"/>
  <c r="J819" i="19"/>
  <c r="L819" i="19"/>
  <c r="M819" i="19"/>
  <c r="V819" i="19" s="1"/>
  <c r="O819" i="19"/>
  <c r="D820" i="19"/>
  <c r="E820" i="19"/>
  <c r="F820" i="19"/>
  <c r="J820" i="19"/>
  <c r="L820" i="19"/>
  <c r="M820" i="19"/>
  <c r="V820" i="19" s="1"/>
  <c r="O820" i="19"/>
  <c r="D821" i="19"/>
  <c r="E821" i="19"/>
  <c r="F821" i="19"/>
  <c r="J821" i="19"/>
  <c r="L821" i="19"/>
  <c r="M821" i="19"/>
  <c r="V821" i="19" s="1"/>
  <c r="O821" i="19"/>
  <c r="D822" i="19"/>
  <c r="E822" i="19"/>
  <c r="F822" i="19"/>
  <c r="J822" i="19"/>
  <c r="L822" i="19"/>
  <c r="M822" i="19"/>
  <c r="V822" i="19" s="1"/>
  <c r="O822" i="19"/>
  <c r="D823" i="19"/>
  <c r="E823" i="19"/>
  <c r="F823" i="19"/>
  <c r="J823" i="19"/>
  <c r="L823" i="19"/>
  <c r="M823" i="19"/>
  <c r="V823" i="19" s="1"/>
  <c r="O823" i="19"/>
  <c r="D824" i="19"/>
  <c r="E824" i="19"/>
  <c r="F824" i="19"/>
  <c r="J824" i="19"/>
  <c r="L824" i="19"/>
  <c r="M824" i="19"/>
  <c r="V824" i="19" s="1"/>
  <c r="O824" i="19"/>
  <c r="D825" i="19"/>
  <c r="E825" i="19"/>
  <c r="F825" i="19"/>
  <c r="J825" i="19"/>
  <c r="L825" i="19"/>
  <c r="M825" i="19"/>
  <c r="V825" i="19" s="1"/>
  <c r="O825" i="19"/>
  <c r="D826" i="19"/>
  <c r="E826" i="19"/>
  <c r="F826" i="19"/>
  <c r="J826" i="19"/>
  <c r="L826" i="19"/>
  <c r="M826" i="19"/>
  <c r="V826" i="19" s="1"/>
  <c r="O826" i="19"/>
  <c r="D827" i="19"/>
  <c r="E827" i="19"/>
  <c r="F827" i="19"/>
  <c r="J827" i="19"/>
  <c r="L827" i="19"/>
  <c r="M827" i="19"/>
  <c r="V827" i="19" s="1"/>
  <c r="O827" i="19"/>
  <c r="D828" i="19"/>
  <c r="E828" i="19"/>
  <c r="F828" i="19"/>
  <c r="J828" i="19"/>
  <c r="L828" i="19"/>
  <c r="M828" i="19"/>
  <c r="V828" i="19" s="1"/>
  <c r="O828" i="19"/>
  <c r="D829" i="19"/>
  <c r="E829" i="19"/>
  <c r="F829" i="19"/>
  <c r="J829" i="19"/>
  <c r="L829" i="19"/>
  <c r="M829" i="19"/>
  <c r="V829" i="19" s="1"/>
  <c r="O829" i="19"/>
  <c r="D830" i="19"/>
  <c r="E830" i="19"/>
  <c r="F830" i="19"/>
  <c r="J830" i="19"/>
  <c r="L830" i="19"/>
  <c r="M830" i="19"/>
  <c r="V830" i="19" s="1"/>
  <c r="O830" i="19"/>
  <c r="D831" i="19"/>
  <c r="E831" i="19"/>
  <c r="F831" i="19"/>
  <c r="J831" i="19"/>
  <c r="L831" i="19"/>
  <c r="M831" i="19"/>
  <c r="V831" i="19" s="1"/>
  <c r="O831" i="19"/>
  <c r="D832" i="19"/>
  <c r="E832" i="19"/>
  <c r="F832" i="19"/>
  <c r="J832" i="19"/>
  <c r="L832" i="19"/>
  <c r="M832" i="19"/>
  <c r="V832" i="19" s="1"/>
  <c r="O832" i="19"/>
  <c r="D833" i="19"/>
  <c r="E833" i="19"/>
  <c r="F833" i="19"/>
  <c r="J833" i="19"/>
  <c r="L833" i="19"/>
  <c r="M833" i="19"/>
  <c r="V833" i="19" s="1"/>
  <c r="O833" i="19"/>
  <c r="D834" i="19"/>
  <c r="E834" i="19"/>
  <c r="F834" i="19"/>
  <c r="J834" i="19"/>
  <c r="L834" i="19"/>
  <c r="M834" i="19"/>
  <c r="V834" i="19" s="1"/>
  <c r="O834" i="19"/>
  <c r="D835" i="19"/>
  <c r="E835" i="19"/>
  <c r="F835" i="19"/>
  <c r="J835" i="19"/>
  <c r="L835" i="19"/>
  <c r="M835" i="19"/>
  <c r="V835" i="19" s="1"/>
  <c r="O835" i="19"/>
  <c r="D836" i="19"/>
  <c r="E836" i="19"/>
  <c r="F836" i="19"/>
  <c r="J836" i="19"/>
  <c r="L836" i="19"/>
  <c r="M836" i="19"/>
  <c r="V836" i="19" s="1"/>
  <c r="O836" i="19"/>
  <c r="D837" i="19"/>
  <c r="E837" i="19"/>
  <c r="F837" i="19"/>
  <c r="J837" i="19"/>
  <c r="L837" i="19"/>
  <c r="M837" i="19"/>
  <c r="V837" i="19" s="1"/>
  <c r="O837" i="19"/>
  <c r="D838" i="19"/>
  <c r="E838" i="19"/>
  <c r="F838" i="19"/>
  <c r="J838" i="19"/>
  <c r="L838" i="19"/>
  <c r="M838" i="19"/>
  <c r="V838" i="19" s="1"/>
  <c r="O838" i="19"/>
  <c r="D839" i="19"/>
  <c r="E839" i="19"/>
  <c r="F839" i="19"/>
  <c r="J839" i="19"/>
  <c r="L839" i="19"/>
  <c r="M839" i="19"/>
  <c r="V839" i="19" s="1"/>
  <c r="O839" i="19"/>
  <c r="D840" i="19"/>
  <c r="E840" i="19"/>
  <c r="F840" i="19"/>
  <c r="J840" i="19"/>
  <c r="L840" i="19"/>
  <c r="M840" i="19"/>
  <c r="V840" i="19" s="1"/>
  <c r="O840" i="19"/>
  <c r="D841" i="19"/>
  <c r="E841" i="19"/>
  <c r="F841" i="19"/>
  <c r="J841" i="19"/>
  <c r="L841" i="19"/>
  <c r="M841" i="19"/>
  <c r="V841" i="19" s="1"/>
  <c r="O841" i="19"/>
  <c r="D842" i="19"/>
  <c r="E842" i="19"/>
  <c r="F842" i="19"/>
  <c r="J842" i="19"/>
  <c r="L842" i="19"/>
  <c r="M842" i="19"/>
  <c r="V842" i="19" s="1"/>
  <c r="O842" i="19"/>
  <c r="D843" i="19"/>
  <c r="E843" i="19"/>
  <c r="F843" i="19"/>
  <c r="J843" i="19"/>
  <c r="L843" i="19"/>
  <c r="M843" i="19"/>
  <c r="V843" i="19" s="1"/>
  <c r="O843" i="19"/>
  <c r="D844" i="19"/>
  <c r="E844" i="19"/>
  <c r="F844" i="19"/>
  <c r="J844" i="19"/>
  <c r="L844" i="19"/>
  <c r="M844" i="19"/>
  <c r="V844" i="19" s="1"/>
  <c r="O844" i="19"/>
  <c r="D845" i="19"/>
  <c r="E845" i="19"/>
  <c r="F845" i="19"/>
  <c r="J845" i="19"/>
  <c r="L845" i="19"/>
  <c r="M845" i="19"/>
  <c r="V845" i="19" s="1"/>
  <c r="O845" i="19"/>
  <c r="D846" i="19"/>
  <c r="E846" i="19"/>
  <c r="F846" i="19"/>
  <c r="J846" i="19"/>
  <c r="L846" i="19"/>
  <c r="M846" i="19"/>
  <c r="V846" i="19" s="1"/>
  <c r="O846" i="19"/>
  <c r="D847" i="19"/>
  <c r="E847" i="19"/>
  <c r="F847" i="19"/>
  <c r="J847" i="19"/>
  <c r="L847" i="19"/>
  <c r="M847" i="19"/>
  <c r="V847" i="19" s="1"/>
  <c r="O847" i="19"/>
  <c r="D848" i="19"/>
  <c r="E848" i="19"/>
  <c r="F848" i="19"/>
  <c r="J848" i="19"/>
  <c r="L848" i="19"/>
  <c r="M848" i="19"/>
  <c r="V848" i="19" s="1"/>
  <c r="O848" i="19"/>
  <c r="D849" i="19"/>
  <c r="E849" i="19"/>
  <c r="F849" i="19"/>
  <c r="J849" i="19"/>
  <c r="L849" i="19"/>
  <c r="M849" i="19"/>
  <c r="V849" i="19" s="1"/>
  <c r="O849" i="19"/>
  <c r="D850" i="19"/>
  <c r="E850" i="19"/>
  <c r="F850" i="19"/>
  <c r="J850" i="19"/>
  <c r="L850" i="19"/>
  <c r="M850" i="19"/>
  <c r="V850" i="19" s="1"/>
  <c r="O850" i="19"/>
  <c r="D851" i="19"/>
  <c r="E851" i="19"/>
  <c r="F851" i="19"/>
  <c r="J851" i="19"/>
  <c r="L851" i="19"/>
  <c r="M851" i="19"/>
  <c r="V851" i="19" s="1"/>
  <c r="O851" i="19"/>
  <c r="D852" i="19"/>
  <c r="E852" i="19"/>
  <c r="F852" i="19"/>
  <c r="J852" i="19"/>
  <c r="L852" i="19"/>
  <c r="M852" i="19"/>
  <c r="V852" i="19" s="1"/>
  <c r="O852" i="19"/>
  <c r="D853" i="19"/>
  <c r="E853" i="19"/>
  <c r="F853" i="19"/>
  <c r="J853" i="19"/>
  <c r="L853" i="19"/>
  <c r="M853" i="19"/>
  <c r="V853" i="19" s="1"/>
  <c r="O853" i="19"/>
  <c r="D854" i="19"/>
  <c r="E854" i="19"/>
  <c r="F854" i="19"/>
  <c r="J854" i="19"/>
  <c r="L854" i="19"/>
  <c r="M854" i="19"/>
  <c r="V854" i="19" s="1"/>
  <c r="O854" i="19"/>
  <c r="D855" i="19"/>
  <c r="E855" i="19"/>
  <c r="F855" i="19"/>
  <c r="J855" i="19"/>
  <c r="L855" i="19"/>
  <c r="M855" i="19"/>
  <c r="V855" i="19" s="1"/>
  <c r="O855" i="19"/>
  <c r="D856" i="19"/>
  <c r="E856" i="19"/>
  <c r="F856" i="19"/>
  <c r="J856" i="19"/>
  <c r="L856" i="19"/>
  <c r="M856" i="19"/>
  <c r="V856" i="19" s="1"/>
  <c r="O856" i="19"/>
  <c r="D857" i="19"/>
  <c r="E857" i="19"/>
  <c r="F857" i="19"/>
  <c r="J857" i="19"/>
  <c r="L857" i="19"/>
  <c r="M857" i="19"/>
  <c r="V857" i="19" s="1"/>
  <c r="O857" i="19"/>
  <c r="D858" i="19"/>
  <c r="E858" i="19"/>
  <c r="F858" i="19"/>
  <c r="J858" i="19"/>
  <c r="L858" i="19"/>
  <c r="M858" i="19"/>
  <c r="V858" i="19" s="1"/>
  <c r="O858" i="19"/>
  <c r="D859" i="19"/>
  <c r="E859" i="19"/>
  <c r="F859" i="19"/>
  <c r="J859" i="19"/>
  <c r="L859" i="19"/>
  <c r="M859" i="19"/>
  <c r="V859" i="19" s="1"/>
  <c r="O859" i="19"/>
  <c r="D860" i="19"/>
  <c r="E860" i="19"/>
  <c r="F860" i="19"/>
  <c r="J860" i="19"/>
  <c r="L860" i="19"/>
  <c r="M860" i="19"/>
  <c r="V860" i="19" s="1"/>
  <c r="O860" i="19"/>
  <c r="D861" i="19"/>
  <c r="E861" i="19"/>
  <c r="F861" i="19"/>
  <c r="J861" i="19"/>
  <c r="L861" i="19"/>
  <c r="M861" i="19"/>
  <c r="V861" i="19" s="1"/>
  <c r="O861" i="19"/>
  <c r="D862" i="19"/>
  <c r="E862" i="19"/>
  <c r="F862" i="19"/>
  <c r="J862" i="19"/>
  <c r="L862" i="19"/>
  <c r="M862" i="19"/>
  <c r="V862" i="19" s="1"/>
  <c r="O862" i="19"/>
  <c r="D863" i="19"/>
  <c r="E863" i="19"/>
  <c r="F863" i="19"/>
  <c r="J863" i="19"/>
  <c r="L863" i="19"/>
  <c r="M863" i="19"/>
  <c r="V863" i="19" s="1"/>
  <c r="O863" i="19"/>
  <c r="D864" i="19"/>
  <c r="E864" i="19"/>
  <c r="F864" i="19"/>
  <c r="J864" i="19"/>
  <c r="L864" i="19"/>
  <c r="M864" i="19"/>
  <c r="V864" i="19" s="1"/>
  <c r="O864" i="19"/>
  <c r="D865" i="19"/>
  <c r="E865" i="19"/>
  <c r="F865" i="19"/>
  <c r="J865" i="19"/>
  <c r="L865" i="19"/>
  <c r="M865" i="19"/>
  <c r="V865" i="19" s="1"/>
  <c r="O865" i="19"/>
  <c r="D866" i="19"/>
  <c r="E866" i="19"/>
  <c r="F866" i="19"/>
  <c r="J866" i="19"/>
  <c r="L866" i="19"/>
  <c r="M866" i="19"/>
  <c r="V866" i="19" s="1"/>
  <c r="O866" i="19"/>
  <c r="D867" i="19"/>
  <c r="E867" i="19"/>
  <c r="F867" i="19"/>
  <c r="J867" i="19"/>
  <c r="L867" i="19"/>
  <c r="M867" i="19"/>
  <c r="V867" i="19" s="1"/>
  <c r="O867" i="19"/>
  <c r="D868" i="19"/>
  <c r="E868" i="19"/>
  <c r="F868" i="19"/>
  <c r="J868" i="19"/>
  <c r="L868" i="19"/>
  <c r="M868" i="19"/>
  <c r="V868" i="19" s="1"/>
  <c r="O868" i="19"/>
  <c r="D869" i="19"/>
  <c r="E869" i="19"/>
  <c r="F869" i="19"/>
  <c r="J869" i="19"/>
  <c r="L869" i="19"/>
  <c r="M869" i="19"/>
  <c r="V869" i="19" s="1"/>
  <c r="O869" i="19"/>
  <c r="D870" i="19"/>
  <c r="E870" i="19"/>
  <c r="F870" i="19"/>
  <c r="J870" i="19"/>
  <c r="L870" i="19"/>
  <c r="M870" i="19"/>
  <c r="V870" i="19" s="1"/>
  <c r="O870" i="19"/>
  <c r="D871" i="19"/>
  <c r="E871" i="19"/>
  <c r="F871" i="19"/>
  <c r="J871" i="19"/>
  <c r="L871" i="19"/>
  <c r="M871" i="19"/>
  <c r="V871" i="19" s="1"/>
  <c r="O871" i="19"/>
  <c r="D872" i="19"/>
  <c r="E872" i="19"/>
  <c r="F872" i="19"/>
  <c r="J872" i="19"/>
  <c r="L872" i="19"/>
  <c r="M872" i="19"/>
  <c r="V872" i="19" s="1"/>
  <c r="O872" i="19"/>
  <c r="D873" i="19"/>
  <c r="E873" i="19"/>
  <c r="F873" i="19"/>
  <c r="J873" i="19"/>
  <c r="L873" i="19"/>
  <c r="M873" i="19"/>
  <c r="V873" i="19" s="1"/>
  <c r="O873" i="19"/>
  <c r="D874" i="19"/>
  <c r="E874" i="19"/>
  <c r="F874" i="19"/>
  <c r="J874" i="19"/>
  <c r="L874" i="19"/>
  <c r="M874" i="19"/>
  <c r="V874" i="19" s="1"/>
  <c r="O874" i="19"/>
  <c r="D875" i="19"/>
  <c r="E875" i="19"/>
  <c r="F875" i="19"/>
  <c r="J875" i="19"/>
  <c r="L875" i="19"/>
  <c r="M875" i="19"/>
  <c r="V875" i="19" s="1"/>
  <c r="O875" i="19"/>
  <c r="D876" i="19"/>
  <c r="E876" i="19"/>
  <c r="F876" i="19"/>
  <c r="J876" i="19"/>
  <c r="L876" i="19"/>
  <c r="M876" i="19"/>
  <c r="V876" i="19" s="1"/>
  <c r="O876" i="19"/>
  <c r="D877" i="19"/>
  <c r="E877" i="19"/>
  <c r="F877" i="19"/>
  <c r="J877" i="19"/>
  <c r="L877" i="19"/>
  <c r="M877" i="19"/>
  <c r="V877" i="19" s="1"/>
  <c r="O877" i="19"/>
  <c r="D878" i="19"/>
  <c r="E878" i="19"/>
  <c r="F878" i="19"/>
  <c r="J878" i="19"/>
  <c r="L878" i="19"/>
  <c r="M878" i="19"/>
  <c r="V878" i="19" s="1"/>
  <c r="O878" i="19"/>
  <c r="D879" i="19"/>
  <c r="E879" i="19"/>
  <c r="F879" i="19"/>
  <c r="J879" i="19"/>
  <c r="L879" i="19"/>
  <c r="M879" i="19"/>
  <c r="V879" i="19" s="1"/>
  <c r="O879" i="19"/>
  <c r="D880" i="19"/>
  <c r="E880" i="19"/>
  <c r="F880" i="19"/>
  <c r="J880" i="19"/>
  <c r="L880" i="19"/>
  <c r="M880" i="19"/>
  <c r="V880" i="19" s="1"/>
  <c r="O880" i="19"/>
  <c r="D881" i="19"/>
  <c r="E881" i="19"/>
  <c r="F881" i="19"/>
  <c r="J881" i="19"/>
  <c r="L881" i="19"/>
  <c r="M881" i="19"/>
  <c r="V881" i="19" s="1"/>
  <c r="O881" i="19"/>
  <c r="D882" i="19"/>
  <c r="E882" i="19"/>
  <c r="F882" i="19"/>
  <c r="J882" i="19"/>
  <c r="L882" i="19"/>
  <c r="M882" i="19"/>
  <c r="V882" i="19" s="1"/>
  <c r="O882" i="19"/>
  <c r="D883" i="19"/>
  <c r="E883" i="19"/>
  <c r="F883" i="19"/>
  <c r="J883" i="19"/>
  <c r="L883" i="19"/>
  <c r="M883" i="19"/>
  <c r="V883" i="19" s="1"/>
  <c r="O883" i="19"/>
  <c r="D884" i="19"/>
  <c r="E884" i="19"/>
  <c r="F884" i="19"/>
  <c r="J884" i="19"/>
  <c r="L884" i="19"/>
  <c r="M884" i="19"/>
  <c r="V884" i="19" s="1"/>
  <c r="O884" i="19"/>
  <c r="D885" i="19"/>
  <c r="E885" i="19"/>
  <c r="F885" i="19"/>
  <c r="J885" i="19"/>
  <c r="L885" i="19"/>
  <c r="M885" i="19"/>
  <c r="V885" i="19" s="1"/>
  <c r="O885" i="19"/>
  <c r="D886" i="19"/>
  <c r="E886" i="19"/>
  <c r="F886" i="19"/>
  <c r="J886" i="19"/>
  <c r="L886" i="19"/>
  <c r="M886" i="19"/>
  <c r="V886" i="19" s="1"/>
  <c r="O886" i="19"/>
  <c r="D887" i="19"/>
  <c r="E887" i="19"/>
  <c r="F887" i="19"/>
  <c r="J887" i="19"/>
  <c r="L887" i="19"/>
  <c r="M887" i="19"/>
  <c r="V887" i="19" s="1"/>
  <c r="O887" i="19"/>
  <c r="D888" i="19"/>
  <c r="E888" i="19"/>
  <c r="F888" i="19"/>
  <c r="J888" i="19"/>
  <c r="L888" i="19"/>
  <c r="M888" i="19"/>
  <c r="V888" i="19" s="1"/>
  <c r="O888" i="19"/>
  <c r="D889" i="19"/>
  <c r="E889" i="19"/>
  <c r="F889" i="19"/>
  <c r="J889" i="19"/>
  <c r="L889" i="19"/>
  <c r="M889" i="19"/>
  <c r="V889" i="19" s="1"/>
  <c r="O889" i="19"/>
  <c r="D890" i="19"/>
  <c r="E890" i="19"/>
  <c r="F890" i="19"/>
  <c r="J890" i="19"/>
  <c r="L890" i="19"/>
  <c r="M890" i="19"/>
  <c r="V890" i="19" s="1"/>
  <c r="O890" i="19"/>
  <c r="D891" i="19"/>
  <c r="E891" i="19"/>
  <c r="F891" i="19"/>
  <c r="J891" i="19"/>
  <c r="L891" i="19"/>
  <c r="M891" i="19"/>
  <c r="V891" i="19" s="1"/>
  <c r="O891" i="19"/>
  <c r="D892" i="19"/>
  <c r="E892" i="19"/>
  <c r="F892" i="19"/>
  <c r="J892" i="19"/>
  <c r="L892" i="19"/>
  <c r="M892" i="19"/>
  <c r="V892" i="19" s="1"/>
  <c r="O892" i="19"/>
  <c r="D893" i="19"/>
  <c r="E893" i="19"/>
  <c r="F893" i="19"/>
  <c r="J893" i="19"/>
  <c r="L893" i="19"/>
  <c r="M893" i="19"/>
  <c r="V893" i="19" s="1"/>
  <c r="O893" i="19"/>
  <c r="D894" i="19"/>
  <c r="E894" i="19"/>
  <c r="F894" i="19"/>
  <c r="J894" i="19"/>
  <c r="L894" i="19"/>
  <c r="M894" i="19"/>
  <c r="V894" i="19" s="1"/>
  <c r="O894" i="19"/>
  <c r="D895" i="19"/>
  <c r="E895" i="19"/>
  <c r="F895" i="19"/>
  <c r="J895" i="19"/>
  <c r="L895" i="19"/>
  <c r="M895" i="19"/>
  <c r="V895" i="19" s="1"/>
  <c r="O895" i="19"/>
  <c r="D896" i="19"/>
  <c r="E896" i="19"/>
  <c r="F896" i="19"/>
  <c r="J896" i="19"/>
  <c r="L896" i="19"/>
  <c r="M896" i="19"/>
  <c r="V896" i="19" s="1"/>
  <c r="O896" i="19"/>
  <c r="D897" i="19"/>
  <c r="E897" i="19"/>
  <c r="F897" i="19"/>
  <c r="J897" i="19"/>
  <c r="L897" i="19"/>
  <c r="M897" i="19"/>
  <c r="V897" i="19" s="1"/>
  <c r="O897" i="19"/>
  <c r="D898" i="19"/>
  <c r="E898" i="19"/>
  <c r="F898" i="19"/>
  <c r="J898" i="19"/>
  <c r="L898" i="19"/>
  <c r="M898" i="19"/>
  <c r="V898" i="19" s="1"/>
  <c r="O898" i="19"/>
  <c r="D899" i="19"/>
  <c r="E899" i="19"/>
  <c r="F899" i="19"/>
  <c r="J899" i="19"/>
  <c r="L899" i="19"/>
  <c r="M899" i="19"/>
  <c r="V899" i="19" s="1"/>
  <c r="O899" i="19"/>
  <c r="D900" i="19"/>
  <c r="E900" i="19"/>
  <c r="F900" i="19"/>
  <c r="J900" i="19"/>
  <c r="L900" i="19"/>
  <c r="M900" i="19"/>
  <c r="V900" i="19" s="1"/>
  <c r="O900" i="19"/>
  <c r="D901" i="19"/>
  <c r="E901" i="19"/>
  <c r="F901" i="19"/>
  <c r="J901" i="19"/>
  <c r="L901" i="19"/>
  <c r="M901" i="19"/>
  <c r="V901" i="19" s="1"/>
  <c r="O901" i="19"/>
  <c r="D902" i="19"/>
  <c r="E902" i="19"/>
  <c r="F902" i="19"/>
  <c r="J902" i="19"/>
  <c r="L902" i="19"/>
  <c r="M902" i="19"/>
  <c r="V902" i="19" s="1"/>
  <c r="O902" i="19"/>
  <c r="D903" i="19"/>
  <c r="E903" i="19"/>
  <c r="F903" i="19"/>
  <c r="J903" i="19"/>
  <c r="L903" i="19"/>
  <c r="M903" i="19"/>
  <c r="V903" i="19" s="1"/>
  <c r="O903" i="19"/>
  <c r="D904" i="19"/>
  <c r="E904" i="19"/>
  <c r="F904" i="19"/>
  <c r="J904" i="19"/>
  <c r="L904" i="19"/>
  <c r="M904" i="19"/>
  <c r="V904" i="19" s="1"/>
  <c r="O904" i="19"/>
  <c r="D905" i="19"/>
  <c r="E905" i="19"/>
  <c r="F905" i="19"/>
  <c r="J905" i="19"/>
  <c r="L905" i="19"/>
  <c r="M905" i="19"/>
  <c r="V905" i="19" s="1"/>
  <c r="O905" i="19"/>
  <c r="D906" i="19"/>
  <c r="E906" i="19"/>
  <c r="F906" i="19"/>
  <c r="J906" i="19"/>
  <c r="L906" i="19"/>
  <c r="M906" i="19"/>
  <c r="V906" i="19" s="1"/>
  <c r="O906" i="19"/>
  <c r="D907" i="19"/>
  <c r="E907" i="19"/>
  <c r="F907" i="19"/>
  <c r="J907" i="19"/>
  <c r="L907" i="19"/>
  <c r="M907" i="19"/>
  <c r="V907" i="19" s="1"/>
  <c r="O907" i="19"/>
  <c r="D908" i="19"/>
  <c r="E908" i="19"/>
  <c r="F908" i="19"/>
  <c r="J908" i="19"/>
  <c r="L908" i="19"/>
  <c r="M908" i="19"/>
  <c r="V908" i="19" s="1"/>
  <c r="O908" i="19"/>
  <c r="D909" i="19"/>
  <c r="E909" i="19"/>
  <c r="F909" i="19"/>
  <c r="J909" i="19"/>
  <c r="L909" i="19"/>
  <c r="M909" i="19"/>
  <c r="V909" i="19" s="1"/>
  <c r="O909" i="19"/>
  <c r="D910" i="19"/>
  <c r="E910" i="19"/>
  <c r="F910" i="19"/>
  <c r="J910" i="19"/>
  <c r="L910" i="19"/>
  <c r="M910" i="19"/>
  <c r="V910" i="19" s="1"/>
  <c r="O910" i="19"/>
  <c r="D911" i="19"/>
  <c r="E911" i="19"/>
  <c r="F911" i="19"/>
  <c r="J911" i="19"/>
  <c r="L911" i="19"/>
  <c r="M911" i="19"/>
  <c r="V911" i="19" s="1"/>
  <c r="O911" i="19"/>
  <c r="D912" i="19"/>
  <c r="E912" i="19"/>
  <c r="F912" i="19"/>
  <c r="J912" i="19"/>
  <c r="L912" i="19"/>
  <c r="M912" i="19"/>
  <c r="V912" i="19" s="1"/>
  <c r="O912" i="19"/>
  <c r="D913" i="19"/>
  <c r="E913" i="19"/>
  <c r="F913" i="19"/>
  <c r="J913" i="19"/>
  <c r="L913" i="19"/>
  <c r="M913" i="19"/>
  <c r="V913" i="19" s="1"/>
  <c r="O913" i="19"/>
  <c r="D914" i="19"/>
  <c r="E914" i="19"/>
  <c r="F914" i="19"/>
  <c r="J914" i="19"/>
  <c r="L914" i="19"/>
  <c r="M914" i="19"/>
  <c r="V914" i="19" s="1"/>
  <c r="O914" i="19"/>
  <c r="D915" i="19"/>
  <c r="E915" i="19"/>
  <c r="F915" i="19"/>
  <c r="J915" i="19"/>
  <c r="L915" i="19"/>
  <c r="M915" i="19"/>
  <c r="V915" i="19" s="1"/>
  <c r="O915" i="19"/>
  <c r="D916" i="19"/>
  <c r="E916" i="19"/>
  <c r="F916" i="19"/>
  <c r="J916" i="19"/>
  <c r="L916" i="19"/>
  <c r="M916" i="19"/>
  <c r="V916" i="19" s="1"/>
  <c r="O916" i="19"/>
  <c r="D917" i="19"/>
  <c r="E917" i="19"/>
  <c r="F917" i="19"/>
  <c r="J917" i="19"/>
  <c r="L917" i="19"/>
  <c r="M917" i="19"/>
  <c r="V917" i="19" s="1"/>
  <c r="O917" i="19"/>
  <c r="D918" i="19"/>
  <c r="E918" i="19"/>
  <c r="F918" i="19"/>
  <c r="J918" i="19"/>
  <c r="L918" i="19"/>
  <c r="M918" i="19"/>
  <c r="V918" i="19" s="1"/>
  <c r="O918" i="19"/>
  <c r="D919" i="19"/>
  <c r="E919" i="19"/>
  <c r="F919" i="19"/>
  <c r="J919" i="19"/>
  <c r="L919" i="19"/>
  <c r="M919" i="19"/>
  <c r="V919" i="19" s="1"/>
  <c r="O919" i="19"/>
  <c r="D920" i="19"/>
  <c r="E920" i="19"/>
  <c r="F920" i="19"/>
  <c r="J920" i="19"/>
  <c r="L920" i="19"/>
  <c r="M920" i="19"/>
  <c r="V920" i="19" s="1"/>
  <c r="O920" i="19"/>
  <c r="D921" i="19"/>
  <c r="E921" i="19"/>
  <c r="F921" i="19"/>
  <c r="J921" i="19"/>
  <c r="L921" i="19"/>
  <c r="M921" i="19"/>
  <c r="V921" i="19" s="1"/>
  <c r="O921" i="19"/>
  <c r="D922" i="19"/>
  <c r="E922" i="19"/>
  <c r="F922" i="19"/>
  <c r="J922" i="19"/>
  <c r="L922" i="19"/>
  <c r="M922" i="19"/>
  <c r="V922" i="19" s="1"/>
  <c r="O922" i="19"/>
  <c r="D923" i="19"/>
  <c r="E923" i="19"/>
  <c r="F923" i="19"/>
  <c r="J923" i="19"/>
  <c r="L923" i="19"/>
  <c r="M923" i="19"/>
  <c r="V923" i="19" s="1"/>
  <c r="O923" i="19"/>
  <c r="D924" i="19"/>
  <c r="E924" i="19"/>
  <c r="F924" i="19"/>
  <c r="J924" i="19"/>
  <c r="L924" i="19"/>
  <c r="M924" i="19"/>
  <c r="V924" i="19" s="1"/>
  <c r="O924" i="19"/>
  <c r="D925" i="19"/>
  <c r="E925" i="19"/>
  <c r="F925" i="19"/>
  <c r="J925" i="19"/>
  <c r="L925" i="19"/>
  <c r="M925" i="19"/>
  <c r="V925" i="19" s="1"/>
  <c r="O925" i="19"/>
  <c r="D926" i="19"/>
  <c r="E926" i="19"/>
  <c r="F926" i="19"/>
  <c r="J926" i="19"/>
  <c r="L926" i="19"/>
  <c r="M926" i="19"/>
  <c r="V926" i="19" s="1"/>
  <c r="O926" i="19"/>
  <c r="D927" i="19"/>
  <c r="E927" i="19"/>
  <c r="F927" i="19"/>
  <c r="J927" i="19"/>
  <c r="L927" i="19"/>
  <c r="M927" i="19"/>
  <c r="V927" i="19" s="1"/>
  <c r="O927" i="19"/>
  <c r="D928" i="19"/>
  <c r="E928" i="19"/>
  <c r="F928" i="19"/>
  <c r="J928" i="19"/>
  <c r="L928" i="19"/>
  <c r="M928" i="19"/>
  <c r="V928" i="19" s="1"/>
  <c r="O928" i="19"/>
  <c r="D929" i="19"/>
  <c r="E929" i="19"/>
  <c r="F929" i="19"/>
  <c r="J929" i="19"/>
  <c r="L929" i="19"/>
  <c r="M929" i="19"/>
  <c r="V929" i="19" s="1"/>
  <c r="O929" i="19"/>
  <c r="D930" i="19"/>
  <c r="E930" i="19"/>
  <c r="F930" i="19"/>
  <c r="J930" i="19"/>
  <c r="L930" i="19"/>
  <c r="M930" i="19"/>
  <c r="V930" i="19" s="1"/>
  <c r="O930" i="19"/>
  <c r="D931" i="19"/>
  <c r="E931" i="19"/>
  <c r="F931" i="19"/>
  <c r="J931" i="19"/>
  <c r="L931" i="19"/>
  <c r="M931" i="19"/>
  <c r="V931" i="19" s="1"/>
  <c r="O931" i="19"/>
  <c r="D932" i="19"/>
  <c r="E932" i="19"/>
  <c r="F932" i="19"/>
  <c r="J932" i="19"/>
  <c r="L932" i="19"/>
  <c r="M932" i="19"/>
  <c r="V932" i="19" s="1"/>
  <c r="O932" i="19"/>
  <c r="D933" i="19"/>
  <c r="E933" i="19"/>
  <c r="F933" i="19"/>
  <c r="J933" i="19"/>
  <c r="L933" i="19"/>
  <c r="M933" i="19"/>
  <c r="V933" i="19" s="1"/>
  <c r="O933" i="19"/>
  <c r="D934" i="19"/>
  <c r="E934" i="19"/>
  <c r="F934" i="19"/>
  <c r="J934" i="19"/>
  <c r="L934" i="19"/>
  <c r="M934" i="19"/>
  <c r="V934" i="19" s="1"/>
  <c r="O934" i="19"/>
  <c r="D935" i="19"/>
  <c r="E935" i="19"/>
  <c r="F935" i="19"/>
  <c r="J935" i="19"/>
  <c r="L935" i="19"/>
  <c r="M935" i="19"/>
  <c r="V935" i="19" s="1"/>
  <c r="O935" i="19"/>
  <c r="D936" i="19"/>
  <c r="E936" i="19"/>
  <c r="F936" i="19"/>
  <c r="J936" i="19"/>
  <c r="L936" i="19"/>
  <c r="M936" i="19"/>
  <c r="V936" i="19" s="1"/>
  <c r="O936" i="19"/>
  <c r="D937" i="19"/>
  <c r="E937" i="19"/>
  <c r="F937" i="19"/>
  <c r="J937" i="19"/>
  <c r="L937" i="19"/>
  <c r="M937" i="19"/>
  <c r="V937" i="19" s="1"/>
  <c r="O937" i="19"/>
  <c r="D938" i="19"/>
  <c r="E938" i="19"/>
  <c r="F938" i="19"/>
  <c r="J938" i="19"/>
  <c r="L938" i="19"/>
  <c r="M938" i="19"/>
  <c r="V938" i="19" s="1"/>
  <c r="O938" i="19"/>
  <c r="D939" i="19"/>
  <c r="E939" i="19"/>
  <c r="F939" i="19"/>
  <c r="J939" i="19"/>
  <c r="L939" i="19"/>
  <c r="M939" i="19"/>
  <c r="V939" i="19" s="1"/>
  <c r="O939" i="19"/>
  <c r="D365" i="19"/>
  <c r="E365" i="19"/>
  <c r="F365" i="19"/>
  <c r="J365" i="19"/>
  <c r="L365" i="19"/>
  <c r="M365" i="19"/>
  <c r="V365" i="19" s="1"/>
  <c r="O365" i="19"/>
  <c r="D366" i="19"/>
  <c r="E366" i="19"/>
  <c r="F366" i="19"/>
  <c r="J366" i="19"/>
  <c r="L366" i="19"/>
  <c r="M366" i="19"/>
  <c r="V366" i="19" s="1"/>
  <c r="O366" i="19"/>
  <c r="D367" i="19"/>
  <c r="E367" i="19"/>
  <c r="F367" i="19"/>
  <c r="J367" i="19"/>
  <c r="L367" i="19"/>
  <c r="M367" i="19"/>
  <c r="V367" i="19" s="1"/>
  <c r="O367" i="19"/>
  <c r="D368" i="19"/>
  <c r="E368" i="19"/>
  <c r="F368" i="19"/>
  <c r="J368" i="19"/>
  <c r="L368" i="19"/>
  <c r="M368" i="19"/>
  <c r="V368" i="19" s="1"/>
  <c r="O368" i="19"/>
  <c r="D369" i="19"/>
  <c r="E369" i="19"/>
  <c r="F369" i="19"/>
  <c r="J369" i="19"/>
  <c r="L369" i="19"/>
  <c r="M369" i="19"/>
  <c r="V369" i="19" s="1"/>
  <c r="O369" i="19"/>
  <c r="D370" i="19"/>
  <c r="E370" i="19"/>
  <c r="F370" i="19"/>
  <c r="J370" i="19"/>
  <c r="L370" i="19"/>
  <c r="M370" i="19"/>
  <c r="V370" i="19" s="1"/>
  <c r="O370" i="19"/>
  <c r="D371" i="19"/>
  <c r="E371" i="19"/>
  <c r="F371" i="19"/>
  <c r="J371" i="19"/>
  <c r="L371" i="19"/>
  <c r="M371" i="19"/>
  <c r="V371" i="19" s="1"/>
  <c r="O371" i="19"/>
  <c r="D372" i="19"/>
  <c r="E372" i="19"/>
  <c r="F372" i="19"/>
  <c r="J372" i="19"/>
  <c r="L372" i="19"/>
  <c r="M372" i="19"/>
  <c r="V372" i="19" s="1"/>
  <c r="O372" i="19"/>
  <c r="D373" i="19"/>
  <c r="E373" i="19"/>
  <c r="F373" i="19"/>
  <c r="J373" i="19"/>
  <c r="L373" i="19"/>
  <c r="M373" i="19"/>
  <c r="V373" i="19" s="1"/>
  <c r="O373" i="19"/>
  <c r="D374" i="19"/>
  <c r="E374" i="19"/>
  <c r="F374" i="19"/>
  <c r="J374" i="19"/>
  <c r="L374" i="19"/>
  <c r="M374" i="19"/>
  <c r="V374" i="19" s="1"/>
  <c r="O374" i="19"/>
  <c r="D375" i="19"/>
  <c r="E375" i="19"/>
  <c r="F375" i="19"/>
  <c r="J375" i="19"/>
  <c r="L375" i="19"/>
  <c r="M375" i="19"/>
  <c r="V375" i="19" s="1"/>
  <c r="O375" i="19"/>
  <c r="D376" i="19"/>
  <c r="E376" i="19"/>
  <c r="F376" i="19"/>
  <c r="J376" i="19"/>
  <c r="L376" i="19"/>
  <c r="M376" i="19"/>
  <c r="V376" i="19" s="1"/>
  <c r="O376" i="19"/>
  <c r="D377" i="19"/>
  <c r="E377" i="19"/>
  <c r="F377" i="19"/>
  <c r="J377" i="19"/>
  <c r="L377" i="19"/>
  <c r="M377" i="19"/>
  <c r="V377" i="19" s="1"/>
  <c r="O377" i="19"/>
  <c r="D378" i="19"/>
  <c r="E378" i="19"/>
  <c r="F378" i="19"/>
  <c r="J378" i="19"/>
  <c r="L378" i="19"/>
  <c r="M378" i="19"/>
  <c r="V378" i="19" s="1"/>
  <c r="O378" i="19"/>
  <c r="D379" i="19"/>
  <c r="E379" i="19"/>
  <c r="F379" i="19"/>
  <c r="J379" i="19"/>
  <c r="L379" i="19"/>
  <c r="M379" i="19"/>
  <c r="V379" i="19" s="1"/>
  <c r="O379" i="19"/>
  <c r="D380" i="19"/>
  <c r="E380" i="19"/>
  <c r="F380" i="19"/>
  <c r="J380" i="19"/>
  <c r="L380" i="19"/>
  <c r="M380" i="19"/>
  <c r="V380" i="19" s="1"/>
  <c r="O380" i="19"/>
  <c r="D381" i="19"/>
  <c r="E381" i="19"/>
  <c r="F381" i="19"/>
  <c r="J381" i="19"/>
  <c r="L381" i="19"/>
  <c r="M381" i="19"/>
  <c r="V381" i="19" s="1"/>
  <c r="O381" i="19"/>
  <c r="D382" i="19"/>
  <c r="E382" i="19"/>
  <c r="F382" i="19"/>
  <c r="J382" i="19"/>
  <c r="L382" i="19"/>
  <c r="M382" i="19"/>
  <c r="V382" i="19" s="1"/>
  <c r="O382" i="19"/>
  <c r="D383" i="19"/>
  <c r="E383" i="19"/>
  <c r="F383" i="19"/>
  <c r="J383" i="19"/>
  <c r="L383" i="19"/>
  <c r="M383" i="19"/>
  <c r="V383" i="19" s="1"/>
  <c r="O383" i="19"/>
  <c r="D384" i="19"/>
  <c r="E384" i="19"/>
  <c r="F384" i="19"/>
  <c r="J384" i="19"/>
  <c r="L384" i="19"/>
  <c r="M384" i="19"/>
  <c r="V384" i="19" s="1"/>
  <c r="O384" i="19"/>
  <c r="D385" i="19"/>
  <c r="E385" i="19"/>
  <c r="F385" i="19"/>
  <c r="J385" i="19"/>
  <c r="L385" i="19"/>
  <c r="M385" i="19"/>
  <c r="V385" i="19" s="1"/>
  <c r="O385" i="19"/>
  <c r="D386" i="19"/>
  <c r="E386" i="19"/>
  <c r="F386" i="19"/>
  <c r="J386" i="19"/>
  <c r="L386" i="19"/>
  <c r="M386" i="19"/>
  <c r="V386" i="19" s="1"/>
  <c r="O386" i="19"/>
  <c r="D387" i="19"/>
  <c r="E387" i="19"/>
  <c r="F387" i="19"/>
  <c r="J387" i="19"/>
  <c r="L387" i="19"/>
  <c r="M387" i="19"/>
  <c r="V387" i="19" s="1"/>
  <c r="O387" i="19"/>
  <c r="D388" i="19"/>
  <c r="E388" i="19"/>
  <c r="F388" i="19"/>
  <c r="J388" i="19"/>
  <c r="L388" i="19"/>
  <c r="M388" i="19"/>
  <c r="V388" i="19" s="1"/>
  <c r="O388" i="19"/>
  <c r="D389" i="19"/>
  <c r="E389" i="19"/>
  <c r="F389" i="19"/>
  <c r="J389" i="19"/>
  <c r="L389" i="19"/>
  <c r="M389" i="19"/>
  <c r="V389" i="19" s="1"/>
  <c r="O389" i="19"/>
  <c r="D390" i="19"/>
  <c r="E390" i="19"/>
  <c r="F390" i="19"/>
  <c r="J390" i="19"/>
  <c r="L390" i="19"/>
  <c r="M390" i="19"/>
  <c r="V390" i="19" s="1"/>
  <c r="O390" i="19"/>
  <c r="D391" i="19"/>
  <c r="E391" i="19"/>
  <c r="F391" i="19"/>
  <c r="J391" i="19"/>
  <c r="L391" i="19"/>
  <c r="M391" i="19"/>
  <c r="V391" i="19" s="1"/>
  <c r="O391" i="19"/>
  <c r="D392" i="19"/>
  <c r="E392" i="19"/>
  <c r="F392" i="19"/>
  <c r="J392" i="19"/>
  <c r="L392" i="19"/>
  <c r="M392" i="19"/>
  <c r="V392" i="19" s="1"/>
  <c r="O392" i="19"/>
  <c r="D393" i="19"/>
  <c r="E393" i="19"/>
  <c r="F393" i="19"/>
  <c r="J393" i="19"/>
  <c r="L393" i="19"/>
  <c r="M393" i="19"/>
  <c r="V393" i="19" s="1"/>
  <c r="O393" i="19"/>
  <c r="D394" i="19"/>
  <c r="E394" i="19"/>
  <c r="F394" i="19"/>
  <c r="J394" i="19"/>
  <c r="L394" i="19"/>
  <c r="M394" i="19"/>
  <c r="V394" i="19" s="1"/>
  <c r="O394" i="19"/>
  <c r="D395" i="19"/>
  <c r="E395" i="19"/>
  <c r="F395" i="19"/>
  <c r="J395" i="19"/>
  <c r="L395" i="19"/>
  <c r="M395" i="19"/>
  <c r="V395" i="19" s="1"/>
  <c r="O395" i="19"/>
  <c r="D396" i="19"/>
  <c r="E396" i="19"/>
  <c r="F396" i="19"/>
  <c r="J396" i="19"/>
  <c r="L396" i="19"/>
  <c r="M396" i="19"/>
  <c r="V396" i="19" s="1"/>
  <c r="O396" i="19"/>
  <c r="D397" i="19"/>
  <c r="E397" i="19"/>
  <c r="F397" i="19"/>
  <c r="J397" i="19"/>
  <c r="L397" i="19"/>
  <c r="M397" i="19"/>
  <c r="V397" i="19" s="1"/>
  <c r="O397" i="19"/>
  <c r="D398" i="19"/>
  <c r="E398" i="19"/>
  <c r="F398" i="19"/>
  <c r="J398" i="19"/>
  <c r="L398" i="19"/>
  <c r="M398" i="19"/>
  <c r="V398" i="19" s="1"/>
  <c r="O398" i="19"/>
  <c r="D399" i="19"/>
  <c r="E399" i="19"/>
  <c r="F399" i="19"/>
  <c r="J399" i="19"/>
  <c r="L399" i="19"/>
  <c r="M399" i="19"/>
  <c r="V399" i="19" s="1"/>
  <c r="O399" i="19"/>
  <c r="D400" i="19"/>
  <c r="E400" i="19"/>
  <c r="F400" i="19"/>
  <c r="J400" i="19"/>
  <c r="L400" i="19"/>
  <c r="M400" i="19"/>
  <c r="V400" i="19" s="1"/>
  <c r="O400" i="19"/>
  <c r="D401" i="19"/>
  <c r="E401" i="19"/>
  <c r="F401" i="19"/>
  <c r="J401" i="19"/>
  <c r="L401" i="19"/>
  <c r="M401" i="19"/>
  <c r="V401" i="19" s="1"/>
  <c r="O401" i="19"/>
  <c r="D402" i="19"/>
  <c r="E402" i="19"/>
  <c r="F402" i="19"/>
  <c r="J402" i="19"/>
  <c r="L402" i="19"/>
  <c r="M402" i="19"/>
  <c r="V402" i="19" s="1"/>
  <c r="O402" i="19"/>
  <c r="D403" i="19"/>
  <c r="E403" i="19"/>
  <c r="F403" i="19"/>
  <c r="J403" i="19"/>
  <c r="L403" i="19"/>
  <c r="M403" i="19"/>
  <c r="V403" i="19" s="1"/>
  <c r="O403" i="19"/>
  <c r="D404" i="19"/>
  <c r="E404" i="19"/>
  <c r="F404" i="19"/>
  <c r="J404" i="19"/>
  <c r="L404" i="19"/>
  <c r="M404" i="19"/>
  <c r="V404" i="19" s="1"/>
  <c r="O404" i="19"/>
  <c r="D405" i="19"/>
  <c r="E405" i="19"/>
  <c r="F405" i="19"/>
  <c r="J405" i="19"/>
  <c r="L405" i="19"/>
  <c r="M405" i="19"/>
  <c r="V405" i="19" s="1"/>
  <c r="O405" i="19"/>
  <c r="D406" i="19"/>
  <c r="E406" i="19"/>
  <c r="F406" i="19"/>
  <c r="J406" i="19"/>
  <c r="L406" i="19"/>
  <c r="M406" i="19"/>
  <c r="V406" i="19" s="1"/>
  <c r="O406" i="19"/>
  <c r="D407" i="19"/>
  <c r="E407" i="19"/>
  <c r="F407" i="19"/>
  <c r="J407" i="19"/>
  <c r="L407" i="19"/>
  <c r="M407" i="19"/>
  <c r="V407" i="19" s="1"/>
  <c r="O407" i="19"/>
  <c r="D408" i="19"/>
  <c r="E408" i="19"/>
  <c r="F408" i="19"/>
  <c r="J408" i="19"/>
  <c r="L408" i="19"/>
  <c r="M408" i="19"/>
  <c r="V408" i="19" s="1"/>
  <c r="O408" i="19"/>
  <c r="D409" i="19"/>
  <c r="E409" i="19"/>
  <c r="F409" i="19"/>
  <c r="J409" i="19"/>
  <c r="L409" i="19"/>
  <c r="M409" i="19"/>
  <c r="V409" i="19" s="1"/>
  <c r="O409" i="19"/>
  <c r="D410" i="19"/>
  <c r="E410" i="19"/>
  <c r="F410" i="19"/>
  <c r="J410" i="19"/>
  <c r="L410" i="19"/>
  <c r="M410" i="19"/>
  <c r="V410" i="19" s="1"/>
  <c r="O410" i="19"/>
  <c r="D411" i="19"/>
  <c r="E411" i="19"/>
  <c r="F411" i="19"/>
  <c r="J411" i="19"/>
  <c r="L411" i="19"/>
  <c r="M411" i="19"/>
  <c r="V411" i="19" s="1"/>
  <c r="O411" i="19"/>
  <c r="D412" i="19"/>
  <c r="E412" i="19"/>
  <c r="F412" i="19"/>
  <c r="J412" i="19"/>
  <c r="L412" i="19"/>
  <c r="M412" i="19"/>
  <c r="V412" i="19" s="1"/>
  <c r="O412" i="19"/>
  <c r="D413" i="19"/>
  <c r="E413" i="19"/>
  <c r="F413" i="19"/>
  <c r="J413" i="19"/>
  <c r="L413" i="19"/>
  <c r="M413" i="19"/>
  <c r="V413" i="19" s="1"/>
  <c r="O413" i="19"/>
  <c r="D414" i="19"/>
  <c r="E414" i="19"/>
  <c r="F414" i="19"/>
  <c r="J414" i="19"/>
  <c r="L414" i="19"/>
  <c r="M414" i="19"/>
  <c r="V414" i="19" s="1"/>
  <c r="O414" i="19"/>
  <c r="D415" i="19"/>
  <c r="E415" i="19"/>
  <c r="F415" i="19"/>
  <c r="J415" i="19"/>
  <c r="L415" i="19"/>
  <c r="M415" i="19"/>
  <c r="V415" i="19" s="1"/>
  <c r="O415" i="19"/>
  <c r="D416" i="19"/>
  <c r="E416" i="19"/>
  <c r="F416" i="19"/>
  <c r="J416" i="19"/>
  <c r="L416" i="19"/>
  <c r="M416" i="19"/>
  <c r="V416" i="19" s="1"/>
  <c r="O416" i="19"/>
  <c r="D417" i="19"/>
  <c r="E417" i="19"/>
  <c r="F417" i="19"/>
  <c r="J417" i="19"/>
  <c r="L417" i="19"/>
  <c r="M417" i="19"/>
  <c r="V417" i="19" s="1"/>
  <c r="O417" i="19"/>
  <c r="D418" i="19"/>
  <c r="E418" i="19"/>
  <c r="F418" i="19"/>
  <c r="J418" i="19"/>
  <c r="L418" i="19"/>
  <c r="M418" i="19"/>
  <c r="V418" i="19" s="1"/>
  <c r="O418" i="19"/>
  <c r="D419" i="19"/>
  <c r="E419" i="19"/>
  <c r="F419" i="19"/>
  <c r="J419" i="19"/>
  <c r="L419" i="19"/>
  <c r="M419" i="19"/>
  <c r="V419" i="19" s="1"/>
  <c r="O419" i="19"/>
  <c r="D420" i="19"/>
  <c r="E420" i="19"/>
  <c r="F420" i="19"/>
  <c r="J420" i="19"/>
  <c r="L420" i="19"/>
  <c r="M420" i="19"/>
  <c r="V420" i="19" s="1"/>
  <c r="O420" i="19"/>
  <c r="D421" i="19"/>
  <c r="E421" i="19"/>
  <c r="F421" i="19"/>
  <c r="J421" i="19"/>
  <c r="L421" i="19"/>
  <c r="M421" i="19"/>
  <c r="V421" i="19" s="1"/>
  <c r="O421" i="19"/>
  <c r="D422" i="19"/>
  <c r="E422" i="19"/>
  <c r="F422" i="19"/>
  <c r="J422" i="19"/>
  <c r="L422" i="19"/>
  <c r="M422" i="19"/>
  <c r="V422" i="19" s="1"/>
  <c r="O422" i="19"/>
  <c r="D423" i="19"/>
  <c r="E423" i="19"/>
  <c r="F423" i="19"/>
  <c r="J423" i="19"/>
  <c r="L423" i="19"/>
  <c r="M423" i="19"/>
  <c r="V423" i="19" s="1"/>
  <c r="O423" i="19"/>
  <c r="D424" i="19"/>
  <c r="E424" i="19"/>
  <c r="F424" i="19"/>
  <c r="J424" i="19"/>
  <c r="L424" i="19"/>
  <c r="M424" i="19"/>
  <c r="V424" i="19" s="1"/>
  <c r="O424" i="19"/>
  <c r="D425" i="19"/>
  <c r="E425" i="19"/>
  <c r="F425" i="19"/>
  <c r="J425" i="19"/>
  <c r="L425" i="19"/>
  <c r="M425" i="19"/>
  <c r="V425" i="19" s="1"/>
  <c r="O425" i="19"/>
  <c r="D426" i="19"/>
  <c r="E426" i="19"/>
  <c r="F426" i="19"/>
  <c r="J426" i="19"/>
  <c r="L426" i="19"/>
  <c r="M426" i="19"/>
  <c r="V426" i="19" s="1"/>
  <c r="O426" i="19"/>
  <c r="D427" i="19"/>
  <c r="E427" i="19"/>
  <c r="F427" i="19"/>
  <c r="J427" i="19"/>
  <c r="L427" i="19"/>
  <c r="M427" i="19"/>
  <c r="V427" i="19" s="1"/>
  <c r="O427" i="19"/>
  <c r="D428" i="19"/>
  <c r="E428" i="19"/>
  <c r="F428" i="19"/>
  <c r="J428" i="19"/>
  <c r="L428" i="19"/>
  <c r="M428" i="19"/>
  <c r="V428" i="19" s="1"/>
  <c r="O428" i="19"/>
  <c r="D429" i="19"/>
  <c r="E429" i="19"/>
  <c r="F429" i="19"/>
  <c r="J429" i="19"/>
  <c r="L429" i="19"/>
  <c r="M429" i="19"/>
  <c r="V429" i="19" s="1"/>
  <c r="O429" i="19"/>
  <c r="D430" i="19"/>
  <c r="E430" i="19"/>
  <c r="F430" i="19"/>
  <c r="J430" i="19"/>
  <c r="L430" i="19"/>
  <c r="M430" i="19"/>
  <c r="V430" i="19" s="1"/>
  <c r="O430" i="19"/>
  <c r="D431" i="19"/>
  <c r="E431" i="19"/>
  <c r="F431" i="19"/>
  <c r="J431" i="19"/>
  <c r="L431" i="19"/>
  <c r="M431" i="19"/>
  <c r="V431" i="19" s="1"/>
  <c r="O431" i="19"/>
  <c r="D432" i="19"/>
  <c r="E432" i="19"/>
  <c r="F432" i="19"/>
  <c r="J432" i="19"/>
  <c r="L432" i="19"/>
  <c r="M432" i="19"/>
  <c r="V432" i="19" s="1"/>
  <c r="O432" i="19"/>
  <c r="D433" i="19"/>
  <c r="E433" i="19"/>
  <c r="F433" i="19"/>
  <c r="J433" i="19"/>
  <c r="L433" i="19"/>
  <c r="M433" i="19"/>
  <c r="V433" i="19" s="1"/>
  <c r="O433" i="19"/>
  <c r="D434" i="19"/>
  <c r="E434" i="19"/>
  <c r="F434" i="19"/>
  <c r="J434" i="19"/>
  <c r="L434" i="19"/>
  <c r="M434" i="19"/>
  <c r="V434" i="19" s="1"/>
  <c r="O434" i="19"/>
  <c r="D435" i="19"/>
  <c r="E435" i="19"/>
  <c r="F435" i="19"/>
  <c r="J435" i="19"/>
  <c r="L435" i="19"/>
  <c r="M435" i="19"/>
  <c r="V435" i="19" s="1"/>
  <c r="O435" i="19"/>
  <c r="D436" i="19"/>
  <c r="E436" i="19"/>
  <c r="F436" i="19"/>
  <c r="J436" i="19"/>
  <c r="L436" i="19"/>
  <c r="M436" i="19"/>
  <c r="V436" i="19" s="1"/>
  <c r="O436" i="19"/>
  <c r="D437" i="19"/>
  <c r="E437" i="19"/>
  <c r="F437" i="19"/>
  <c r="J437" i="19"/>
  <c r="L437" i="19"/>
  <c r="M437" i="19"/>
  <c r="V437" i="19" s="1"/>
  <c r="O437" i="19"/>
  <c r="D438" i="19"/>
  <c r="E438" i="19"/>
  <c r="F438" i="19"/>
  <c r="J438" i="19"/>
  <c r="L438" i="19"/>
  <c r="M438" i="19"/>
  <c r="V438" i="19" s="1"/>
  <c r="O438" i="19"/>
  <c r="D439" i="19"/>
  <c r="E439" i="19"/>
  <c r="F439" i="19"/>
  <c r="J439" i="19"/>
  <c r="L439" i="19"/>
  <c r="M439" i="19"/>
  <c r="V439" i="19" s="1"/>
  <c r="O439" i="19"/>
  <c r="D440" i="19"/>
  <c r="E440" i="19"/>
  <c r="F440" i="19"/>
  <c r="J440" i="19"/>
  <c r="L440" i="19"/>
  <c r="M440" i="19"/>
  <c r="V440" i="19" s="1"/>
  <c r="O440" i="19"/>
  <c r="D441" i="19"/>
  <c r="E441" i="19"/>
  <c r="F441" i="19"/>
  <c r="J441" i="19"/>
  <c r="L441" i="19"/>
  <c r="M441" i="19"/>
  <c r="V441" i="19" s="1"/>
  <c r="O441" i="19"/>
  <c r="D442" i="19"/>
  <c r="E442" i="19"/>
  <c r="F442" i="19"/>
  <c r="J442" i="19"/>
  <c r="L442" i="19"/>
  <c r="M442" i="19"/>
  <c r="V442" i="19" s="1"/>
  <c r="O442" i="19"/>
  <c r="D443" i="19"/>
  <c r="E443" i="19"/>
  <c r="F443" i="19"/>
  <c r="J443" i="19"/>
  <c r="L443" i="19"/>
  <c r="M443" i="19"/>
  <c r="V443" i="19" s="1"/>
  <c r="O443" i="19"/>
  <c r="D444" i="19"/>
  <c r="E444" i="19"/>
  <c r="F444" i="19"/>
  <c r="J444" i="19"/>
  <c r="L444" i="19"/>
  <c r="M444" i="19"/>
  <c r="V444" i="19" s="1"/>
  <c r="O444" i="19"/>
  <c r="D445" i="19"/>
  <c r="E445" i="19"/>
  <c r="F445" i="19"/>
  <c r="J445" i="19"/>
  <c r="L445" i="19"/>
  <c r="M445" i="19"/>
  <c r="V445" i="19" s="1"/>
  <c r="O445" i="19"/>
  <c r="D446" i="19"/>
  <c r="E446" i="19"/>
  <c r="F446" i="19"/>
  <c r="J446" i="19"/>
  <c r="L446" i="19"/>
  <c r="M446" i="19"/>
  <c r="V446" i="19" s="1"/>
  <c r="O446" i="19"/>
  <c r="D447" i="19"/>
  <c r="E447" i="19"/>
  <c r="F447" i="19"/>
  <c r="J447" i="19"/>
  <c r="L447" i="19"/>
  <c r="M447" i="19"/>
  <c r="V447" i="19" s="1"/>
  <c r="O447" i="19"/>
  <c r="D448" i="19"/>
  <c r="E448" i="19"/>
  <c r="F448" i="19"/>
  <c r="J448" i="19"/>
  <c r="L448" i="19"/>
  <c r="M448" i="19"/>
  <c r="V448" i="19" s="1"/>
  <c r="O448" i="19"/>
  <c r="D449" i="19"/>
  <c r="E449" i="19"/>
  <c r="F449" i="19"/>
  <c r="J449" i="19"/>
  <c r="L449" i="19"/>
  <c r="M449" i="19"/>
  <c r="V449" i="19" s="1"/>
  <c r="O449" i="19"/>
  <c r="D450" i="19"/>
  <c r="E450" i="19"/>
  <c r="F450" i="19"/>
  <c r="J450" i="19"/>
  <c r="L450" i="19"/>
  <c r="M450" i="19"/>
  <c r="V450" i="19" s="1"/>
  <c r="O450" i="19"/>
  <c r="D451" i="19"/>
  <c r="E451" i="19"/>
  <c r="F451" i="19"/>
  <c r="J451" i="19"/>
  <c r="L451" i="19"/>
  <c r="M451" i="19"/>
  <c r="V451" i="19" s="1"/>
  <c r="O451" i="19"/>
  <c r="D452" i="19"/>
  <c r="E452" i="19"/>
  <c r="F452" i="19"/>
  <c r="J452" i="19"/>
  <c r="L452" i="19"/>
  <c r="M452" i="19"/>
  <c r="V452" i="19" s="1"/>
  <c r="O452" i="19"/>
  <c r="D453" i="19"/>
  <c r="E453" i="19"/>
  <c r="F453" i="19"/>
  <c r="J453" i="19"/>
  <c r="L453" i="19"/>
  <c r="M453" i="19"/>
  <c r="V453" i="19" s="1"/>
  <c r="O453" i="19"/>
  <c r="D454" i="19"/>
  <c r="E454" i="19"/>
  <c r="F454" i="19"/>
  <c r="J454" i="19"/>
  <c r="L454" i="19"/>
  <c r="M454" i="19"/>
  <c r="V454" i="19" s="1"/>
  <c r="O454" i="19"/>
  <c r="D455" i="19"/>
  <c r="E455" i="19"/>
  <c r="F455" i="19"/>
  <c r="J455" i="19"/>
  <c r="L455" i="19"/>
  <c r="M455" i="19"/>
  <c r="V455" i="19" s="1"/>
  <c r="O455" i="19"/>
  <c r="D456" i="19"/>
  <c r="E456" i="19"/>
  <c r="F456" i="19"/>
  <c r="J456" i="19"/>
  <c r="L456" i="19"/>
  <c r="M456" i="19"/>
  <c r="V456" i="19" s="1"/>
  <c r="O456" i="19"/>
  <c r="D457" i="19"/>
  <c r="E457" i="19"/>
  <c r="F457" i="19"/>
  <c r="J457" i="19"/>
  <c r="L457" i="19"/>
  <c r="M457" i="19"/>
  <c r="V457" i="19" s="1"/>
  <c r="O457" i="19"/>
  <c r="D458" i="19"/>
  <c r="E458" i="19"/>
  <c r="F458" i="19"/>
  <c r="J458" i="19"/>
  <c r="L458" i="19"/>
  <c r="M458" i="19"/>
  <c r="V458" i="19" s="1"/>
  <c r="O458" i="19"/>
  <c r="D459" i="19"/>
  <c r="E459" i="19"/>
  <c r="F459" i="19"/>
  <c r="J459" i="19"/>
  <c r="L459" i="19"/>
  <c r="M459" i="19"/>
  <c r="V459" i="19" s="1"/>
  <c r="O459" i="19"/>
  <c r="D460" i="19"/>
  <c r="E460" i="19"/>
  <c r="F460" i="19"/>
  <c r="J460" i="19"/>
  <c r="L460" i="19"/>
  <c r="M460" i="19"/>
  <c r="V460" i="19" s="1"/>
  <c r="O460" i="19"/>
  <c r="D461" i="19"/>
  <c r="E461" i="19"/>
  <c r="F461" i="19"/>
  <c r="J461" i="19"/>
  <c r="L461" i="19"/>
  <c r="M461" i="19"/>
  <c r="V461" i="19" s="1"/>
  <c r="O461" i="19"/>
  <c r="D462" i="19"/>
  <c r="E462" i="19"/>
  <c r="F462" i="19"/>
  <c r="J462" i="19"/>
  <c r="L462" i="19"/>
  <c r="M462" i="19"/>
  <c r="V462" i="19" s="1"/>
  <c r="O462" i="19"/>
  <c r="D463" i="19"/>
  <c r="E463" i="19"/>
  <c r="F463" i="19"/>
  <c r="J463" i="19"/>
  <c r="L463" i="19"/>
  <c r="M463" i="19"/>
  <c r="V463" i="19" s="1"/>
  <c r="O463" i="19"/>
  <c r="D464" i="19"/>
  <c r="E464" i="19"/>
  <c r="F464" i="19"/>
  <c r="J464" i="19"/>
  <c r="L464" i="19"/>
  <c r="M464" i="19"/>
  <c r="V464" i="19" s="1"/>
  <c r="O464" i="19"/>
  <c r="D465" i="19"/>
  <c r="E465" i="19"/>
  <c r="F465" i="19"/>
  <c r="J465" i="19"/>
  <c r="L465" i="19"/>
  <c r="M465" i="19"/>
  <c r="V465" i="19" s="1"/>
  <c r="O465" i="19"/>
  <c r="D466" i="19"/>
  <c r="E466" i="19"/>
  <c r="F466" i="19"/>
  <c r="J466" i="19"/>
  <c r="L466" i="19"/>
  <c r="M466" i="19"/>
  <c r="V466" i="19" s="1"/>
  <c r="O466" i="19"/>
  <c r="D467" i="19"/>
  <c r="E467" i="19"/>
  <c r="F467" i="19"/>
  <c r="J467" i="19"/>
  <c r="L467" i="19"/>
  <c r="M467" i="19"/>
  <c r="V467" i="19" s="1"/>
  <c r="O467" i="19"/>
  <c r="D468" i="19"/>
  <c r="E468" i="19"/>
  <c r="F468" i="19"/>
  <c r="J468" i="19"/>
  <c r="L468" i="19"/>
  <c r="M468" i="19"/>
  <c r="V468" i="19" s="1"/>
  <c r="O468" i="19"/>
  <c r="D469" i="19"/>
  <c r="E469" i="19"/>
  <c r="F469" i="19"/>
  <c r="J469" i="19"/>
  <c r="L469" i="19"/>
  <c r="M469" i="19"/>
  <c r="V469" i="19" s="1"/>
  <c r="O469" i="19"/>
  <c r="D470" i="19"/>
  <c r="E470" i="19"/>
  <c r="F470" i="19"/>
  <c r="J470" i="19"/>
  <c r="L470" i="19"/>
  <c r="M470" i="19"/>
  <c r="V470" i="19" s="1"/>
  <c r="O470" i="19"/>
  <c r="D471" i="19"/>
  <c r="E471" i="19"/>
  <c r="F471" i="19"/>
  <c r="J471" i="19"/>
  <c r="L471" i="19"/>
  <c r="M471" i="19"/>
  <c r="V471" i="19" s="1"/>
  <c r="O471" i="19"/>
  <c r="D472" i="19"/>
  <c r="E472" i="19"/>
  <c r="F472" i="19"/>
  <c r="J472" i="19"/>
  <c r="L472" i="19"/>
  <c r="M472" i="19"/>
  <c r="V472" i="19" s="1"/>
  <c r="O472" i="19"/>
  <c r="D473" i="19"/>
  <c r="E473" i="19"/>
  <c r="F473" i="19"/>
  <c r="J473" i="19"/>
  <c r="L473" i="19"/>
  <c r="M473" i="19"/>
  <c r="V473" i="19" s="1"/>
  <c r="O473" i="19"/>
  <c r="D474" i="19"/>
  <c r="E474" i="19"/>
  <c r="F474" i="19"/>
  <c r="J474" i="19"/>
  <c r="L474" i="19"/>
  <c r="M474" i="19"/>
  <c r="V474" i="19" s="1"/>
  <c r="O474" i="19"/>
  <c r="D475" i="19"/>
  <c r="E475" i="19"/>
  <c r="F475" i="19"/>
  <c r="J475" i="19"/>
  <c r="L475" i="19"/>
  <c r="M475" i="19"/>
  <c r="V475" i="19" s="1"/>
  <c r="O475" i="19"/>
  <c r="D476" i="19"/>
  <c r="E476" i="19"/>
  <c r="F476" i="19"/>
  <c r="J476" i="19"/>
  <c r="L476" i="19"/>
  <c r="M476" i="19"/>
  <c r="V476" i="19" s="1"/>
  <c r="O476" i="19"/>
  <c r="D477" i="19"/>
  <c r="E477" i="19"/>
  <c r="F477" i="19"/>
  <c r="J477" i="19"/>
  <c r="L477" i="19"/>
  <c r="M477" i="19"/>
  <c r="V477" i="19" s="1"/>
  <c r="O477" i="19"/>
  <c r="D478" i="19"/>
  <c r="E478" i="19"/>
  <c r="F478" i="19"/>
  <c r="J478" i="19"/>
  <c r="L478" i="19"/>
  <c r="M478" i="19"/>
  <c r="V478" i="19" s="1"/>
  <c r="O478" i="19"/>
  <c r="D479" i="19"/>
  <c r="E479" i="19"/>
  <c r="F479" i="19"/>
  <c r="J479" i="19"/>
  <c r="L479" i="19"/>
  <c r="M479" i="19"/>
  <c r="V479" i="19" s="1"/>
  <c r="O479" i="19"/>
  <c r="D480" i="19"/>
  <c r="E480" i="19"/>
  <c r="F480" i="19"/>
  <c r="J480" i="19"/>
  <c r="L480" i="19"/>
  <c r="M480" i="19"/>
  <c r="V480" i="19" s="1"/>
  <c r="O480" i="19"/>
  <c r="D481" i="19"/>
  <c r="E481" i="19"/>
  <c r="F481" i="19"/>
  <c r="J481" i="19"/>
  <c r="L481" i="19"/>
  <c r="M481" i="19"/>
  <c r="V481" i="19" s="1"/>
  <c r="O481" i="19"/>
  <c r="D482" i="19"/>
  <c r="E482" i="19"/>
  <c r="F482" i="19"/>
  <c r="J482" i="19"/>
  <c r="L482" i="19"/>
  <c r="M482" i="19"/>
  <c r="V482" i="19" s="1"/>
  <c r="O482" i="19"/>
  <c r="D483" i="19"/>
  <c r="E483" i="19"/>
  <c r="F483" i="19"/>
  <c r="J483" i="19"/>
  <c r="L483" i="19"/>
  <c r="M483" i="19"/>
  <c r="V483" i="19" s="1"/>
  <c r="O483" i="19"/>
  <c r="D484" i="19"/>
  <c r="E484" i="19"/>
  <c r="F484" i="19"/>
  <c r="J484" i="19"/>
  <c r="L484" i="19"/>
  <c r="M484" i="19"/>
  <c r="V484" i="19" s="1"/>
  <c r="O484" i="19"/>
  <c r="D485" i="19"/>
  <c r="E485" i="19"/>
  <c r="F485" i="19"/>
  <c r="J485" i="19"/>
  <c r="L485" i="19"/>
  <c r="M485" i="19"/>
  <c r="V485" i="19" s="1"/>
  <c r="O485" i="19"/>
  <c r="D486" i="19"/>
  <c r="E486" i="19"/>
  <c r="F486" i="19"/>
  <c r="J486" i="19"/>
  <c r="L486" i="19"/>
  <c r="M486" i="19"/>
  <c r="V486" i="19" s="1"/>
  <c r="O486" i="19"/>
  <c r="D487" i="19"/>
  <c r="E487" i="19"/>
  <c r="F487" i="19"/>
  <c r="J487" i="19"/>
  <c r="L487" i="19"/>
  <c r="M487" i="19"/>
  <c r="V487" i="19" s="1"/>
  <c r="O487" i="19"/>
  <c r="D488" i="19"/>
  <c r="E488" i="19"/>
  <c r="F488" i="19"/>
  <c r="J488" i="19"/>
  <c r="L488" i="19"/>
  <c r="M488" i="19"/>
  <c r="V488" i="19" s="1"/>
  <c r="O488" i="19"/>
  <c r="D489" i="19"/>
  <c r="E489" i="19"/>
  <c r="F489" i="19"/>
  <c r="J489" i="19"/>
  <c r="L489" i="19"/>
  <c r="M489" i="19"/>
  <c r="V489" i="19" s="1"/>
  <c r="O489" i="19"/>
  <c r="D490" i="19"/>
  <c r="E490" i="19"/>
  <c r="F490" i="19"/>
  <c r="J490" i="19"/>
  <c r="L490" i="19"/>
  <c r="M490" i="19"/>
  <c r="V490" i="19" s="1"/>
  <c r="O490" i="19"/>
  <c r="D491" i="19"/>
  <c r="E491" i="19"/>
  <c r="F491" i="19"/>
  <c r="J491" i="19"/>
  <c r="L491" i="19"/>
  <c r="M491" i="19"/>
  <c r="V491" i="19" s="1"/>
  <c r="O491" i="19"/>
  <c r="D492" i="19"/>
  <c r="E492" i="19"/>
  <c r="F492" i="19"/>
  <c r="J492" i="19"/>
  <c r="L492" i="19"/>
  <c r="M492" i="19"/>
  <c r="V492" i="19" s="1"/>
  <c r="O492" i="19"/>
  <c r="D493" i="19"/>
  <c r="E493" i="19"/>
  <c r="F493" i="19"/>
  <c r="J493" i="19"/>
  <c r="L493" i="19"/>
  <c r="M493" i="19"/>
  <c r="V493" i="19" s="1"/>
  <c r="O493" i="19"/>
  <c r="D494" i="19"/>
  <c r="E494" i="19"/>
  <c r="F494" i="19"/>
  <c r="J494" i="19"/>
  <c r="L494" i="19"/>
  <c r="M494" i="19"/>
  <c r="V494" i="19" s="1"/>
  <c r="O494" i="19"/>
  <c r="D495" i="19"/>
  <c r="E495" i="19"/>
  <c r="F495" i="19"/>
  <c r="J495" i="19"/>
  <c r="L495" i="19"/>
  <c r="M495" i="19"/>
  <c r="V495" i="19" s="1"/>
  <c r="O495" i="19"/>
  <c r="D496" i="19"/>
  <c r="E496" i="19"/>
  <c r="F496" i="19"/>
  <c r="J496" i="19"/>
  <c r="L496" i="19"/>
  <c r="M496" i="19"/>
  <c r="V496" i="19" s="1"/>
  <c r="O496" i="19"/>
  <c r="D497" i="19"/>
  <c r="E497" i="19"/>
  <c r="F497" i="19"/>
  <c r="J497" i="19"/>
  <c r="L497" i="19"/>
  <c r="M497" i="19"/>
  <c r="V497" i="19" s="1"/>
  <c r="O497" i="19"/>
  <c r="D498" i="19"/>
  <c r="E498" i="19"/>
  <c r="F498" i="19"/>
  <c r="J498" i="19"/>
  <c r="L498" i="19"/>
  <c r="M498" i="19"/>
  <c r="V498" i="19" s="1"/>
  <c r="O498" i="19"/>
  <c r="D499" i="19"/>
  <c r="E499" i="19"/>
  <c r="F499" i="19"/>
  <c r="J499" i="19"/>
  <c r="L499" i="19"/>
  <c r="M499" i="19"/>
  <c r="V499" i="19" s="1"/>
  <c r="O499" i="19"/>
  <c r="D500" i="19"/>
  <c r="E500" i="19"/>
  <c r="F500" i="19"/>
  <c r="J500" i="19"/>
  <c r="L500" i="19"/>
  <c r="M500" i="19"/>
  <c r="V500" i="19" s="1"/>
  <c r="O500" i="19"/>
  <c r="D501" i="19"/>
  <c r="E501" i="19"/>
  <c r="F501" i="19"/>
  <c r="J501" i="19"/>
  <c r="L501" i="19"/>
  <c r="M501" i="19"/>
  <c r="V501" i="19" s="1"/>
  <c r="O501" i="19"/>
  <c r="D502" i="19"/>
  <c r="E502" i="19"/>
  <c r="F502" i="19"/>
  <c r="J502" i="19"/>
  <c r="L502" i="19"/>
  <c r="M502" i="19"/>
  <c r="V502" i="19" s="1"/>
  <c r="O502" i="19"/>
  <c r="D503" i="19"/>
  <c r="E503" i="19"/>
  <c r="F503" i="19"/>
  <c r="J503" i="19"/>
  <c r="L503" i="19"/>
  <c r="M503" i="19"/>
  <c r="V503" i="19" s="1"/>
  <c r="O503" i="19"/>
  <c r="D504" i="19"/>
  <c r="E504" i="19"/>
  <c r="F504" i="19"/>
  <c r="J504" i="19"/>
  <c r="L504" i="19"/>
  <c r="M504" i="19"/>
  <c r="V504" i="19" s="1"/>
  <c r="O504" i="19"/>
  <c r="D505" i="19"/>
  <c r="E505" i="19"/>
  <c r="F505" i="19"/>
  <c r="J505" i="19"/>
  <c r="L505" i="19"/>
  <c r="M505" i="19"/>
  <c r="V505" i="19" s="1"/>
  <c r="O505" i="19"/>
  <c r="D506" i="19"/>
  <c r="E506" i="19"/>
  <c r="F506" i="19"/>
  <c r="J506" i="19"/>
  <c r="L506" i="19"/>
  <c r="M506" i="19"/>
  <c r="V506" i="19" s="1"/>
  <c r="O506" i="19"/>
  <c r="D507" i="19"/>
  <c r="E507" i="19"/>
  <c r="F507" i="19"/>
  <c r="J507" i="19"/>
  <c r="L507" i="19"/>
  <c r="M507" i="19"/>
  <c r="V507" i="19" s="1"/>
  <c r="O507" i="19"/>
  <c r="D508" i="19"/>
  <c r="E508" i="19"/>
  <c r="F508" i="19"/>
  <c r="J508" i="19"/>
  <c r="L508" i="19"/>
  <c r="M508" i="19"/>
  <c r="V508" i="19" s="1"/>
  <c r="O508" i="19"/>
  <c r="D509" i="19"/>
  <c r="E509" i="19"/>
  <c r="F509" i="19"/>
  <c r="J509" i="19"/>
  <c r="L509" i="19"/>
  <c r="M509" i="19"/>
  <c r="V509" i="19" s="1"/>
  <c r="O509" i="19"/>
  <c r="D510" i="19"/>
  <c r="E510" i="19"/>
  <c r="F510" i="19"/>
  <c r="J510" i="19"/>
  <c r="L510" i="19"/>
  <c r="M510" i="19"/>
  <c r="V510" i="19" s="1"/>
  <c r="O510" i="19"/>
  <c r="D511" i="19"/>
  <c r="E511" i="19"/>
  <c r="F511" i="19"/>
  <c r="J511" i="19"/>
  <c r="L511" i="19"/>
  <c r="M511" i="19"/>
  <c r="V511" i="19" s="1"/>
  <c r="O511" i="19"/>
  <c r="D512" i="19"/>
  <c r="E512" i="19"/>
  <c r="F512" i="19"/>
  <c r="J512" i="19"/>
  <c r="L512" i="19"/>
  <c r="M512" i="19"/>
  <c r="V512" i="19" s="1"/>
  <c r="O512" i="19"/>
  <c r="D513" i="19"/>
  <c r="E513" i="19"/>
  <c r="F513" i="19"/>
  <c r="J513" i="19"/>
  <c r="L513" i="19"/>
  <c r="M513" i="19"/>
  <c r="V513" i="19" s="1"/>
  <c r="O513" i="19"/>
  <c r="D514" i="19"/>
  <c r="E514" i="19"/>
  <c r="F514" i="19"/>
  <c r="J514" i="19"/>
  <c r="L514" i="19"/>
  <c r="M514" i="19"/>
  <c r="V514" i="19" s="1"/>
  <c r="O514" i="19"/>
  <c r="D515" i="19"/>
  <c r="E515" i="19"/>
  <c r="F515" i="19"/>
  <c r="J515" i="19"/>
  <c r="L515" i="19"/>
  <c r="M515" i="19"/>
  <c r="V515" i="19" s="1"/>
  <c r="O515" i="19"/>
  <c r="D516" i="19"/>
  <c r="E516" i="19"/>
  <c r="F516" i="19"/>
  <c r="J516" i="19"/>
  <c r="L516" i="19"/>
  <c r="M516" i="19"/>
  <c r="V516" i="19" s="1"/>
  <c r="O516" i="19"/>
  <c r="D517" i="19"/>
  <c r="E517" i="19"/>
  <c r="F517" i="19"/>
  <c r="J517" i="19"/>
  <c r="L517" i="19"/>
  <c r="M517" i="19"/>
  <c r="V517" i="19" s="1"/>
  <c r="O517" i="19"/>
  <c r="D518" i="19"/>
  <c r="E518" i="19"/>
  <c r="F518" i="19"/>
  <c r="J518" i="19"/>
  <c r="L518" i="19"/>
  <c r="M518" i="19"/>
  <c r="V518" i="19" s="1"/>
  <c r="O518" i="19"/>
  <c r="D519" i="19"/>
  <c r="E519" i="19"/>
  <c r="F519" i="19"/>
  <c r="J519" i="19"/>
  <c r="L519" i="19"/>
  <c r="M519" i="19"/>
  <c r="V519" i="19" s="1"/>
  <c r="O519" i="19"/>
  <c r="D520" i="19"/>
  <c r="E520" i="19"/>
  <c r="F520" i="19"/>
  <c r="J520" i="19"/>
  <c r="L520" i="19"/>
  <c r="M520" i="19"/>
  <c r="V520" i="19" s="1"/>
  <c r="O520" i="19"/>
  <c r="D521" i="19"/>
  <c r="E521" i="19"/>
  <c r="F521" i="19"/>
  <c r="J521" i="19"/>
  <c r="L521" i="19"/>
  <c r="M521" i="19"/>
  <c r="V521" i="19" s="1"/>
  <c r="O521" i="19"/>
  <c r="D522" i="19"/>
  <c r="E522" i="19"/>
  <c r="F522" i="19"/>
  <c r="J522" i="19"/>
  <c r="L522" i="19"/>
  <c r="M522" i="19"/>
  <c r="V522" i="19" s="1"/>
  <c r="O522" i="19"/>
  <c r="D523" i="19"/>
  <c r="E523" i="19"/>
  <c r="F523" i="19"/>
  <c r="J523" i="19"/>
  <c r="L523" i="19"/>
  <c r="M523" i="19"/>
  <c r="V523" i="19" s="1"/>
  <c r="O523" i="19"/>
  <c r="D524" i="19"/>
  <c r="E524" i="19"/>
  <c r="F524" i="19"/>
  <c r="J524" i="19"/>
  <c r="L524" i="19"/>
  <c r="M524" i="19"/>
  <c r="V524" i="19" s="1"/>
  <c r="O524" i="19"/>
  <c r="D525" i="19"/>
  <c r="E525" i="19"/>
  <c r="F525" i="19"/>
  <c r="J525" i="19"/>
  <c r="L525" i="19"/>
  <c r="M525" i="19"/>
  <c r="V525" i="19" s="1"/>
  <c r="O525" i="19"/>
  <c r="D526" i="19"/>
  <c r="E526" i="19"/>
  <c r="F526" i="19"/>
  <c r="J526" i="19"/>
  <c r="L526" i="19"/>
  <c r="M526" i="19"/>
  <c r="V526" i="19" s="1"/>
  <c r="O526" i="19"/>
  <c r="D527" i="19"/>
  <c r="E527" i="19"/>
  <c r="F527" i="19"/>
  <c r="J527" i="19"/>
  <c r="L527" i="19"/>
  <c r="M527" i="19"/>
  <c r="V527" i="19" s="1"/>
  <c r="O527" i="19"/>
  <c r="D528" i="19"/>
  <c r="E528" i="19"/>
  <c r="F528" i="19"/>
  <c r="J528" i="19"/>
  <c r="L528" i="19"/>
  <c r="M528" i="19"/>
  <c r="V528" i="19" s="1"/>
  <c r="O528" i="19"/>
  <c r="D529" i="19"/>
  <c r="E529" i="19"/>
  <c r="F529" i="19"/>
  <c r="J529" i="19"/>
  <c r="L529" i="19"/>
  <c r="M529" i="19"/>
  <c r="V529" i="19" s="1"/>
  <c r="O529" i="19"/>
  <c r="D530" i="19"/>
  <c r="E530" i="19"/>
  <c r="F530" i="19"/>
  <c r="J530" i="19"/>
  <c r="L530" i="19"/>
  <c r="M530" i="19"/>
  <c r="V530" i="19" s="1"/>
  <c r="O530" i="19"/>
  <c r="D531" i="19"/>
  <c r="E531" i="19"/>
  <c r="F531" i="19"/>
  <c r="J531" i="19"/>
  <c r="L531" i="19"/>
  <c r="M531" i="19"/>
  <c r="V531" i="19" s="1"/>
  <c r="O531" i="19"/>
  <c r="D532" i="19"/>
  <c r="E532" i="19"/>
  <c r="F532" i="19"/>
  <c r="J532" i="19"/>
  <c r="L532" i="19"/>
  <c r="M532" i="19"/>
  <c r="V532" i="19" s="1"/>
  <c r="O532" i="19"/>
  <c r="D533" i="19"/>
  <c r="E533" i="19"/>
  <c r="F533" i="19"/>
  <c r="J533" i="19"/>
  <c r="L533" i="19"/>
  <c r="M533" i="19"/>
  <c r="V533" i="19" s="1"/>
  <c r="O533" i="19"/>
  <c r="D534" i="19"/>
  <c r="E534" i="19"/>
  <c r="F534" i="19"/>
  <c r="J534" i="19"/>
  <c r="L534" i="19"/>
  <c r="M534" i="19"/>
  <c r="V534" i="19" s="1"/>
  <c r="O534" i="19"/>
  <c r="D535" i="19"/>
  <c r="E535" i="19"/>
  <c r="F535" i="19"/>
  <c r="J535" i="19"/>
  <c r="L535" i="19"/>
  <c r="M535" i="19"/>
  <c r="V535" i="19" s="1"/>
  <c r="O535" i="19"/>
  <c r="D536" i="19"/>
  <c r="E536" i="19"/>
  <c r="F536" i="19"/>
  <c r="J536" i="19"/>
  <c r="L536" i="19"/>
  <c r="M536" i="19"/>
  <c r="V536" i="19" s="1"/>
  <c r="O536" i="19"/>
  <c r="D537" i="19"/>
  <c r="E537" i="19"/>
  <c r="F537" i="19"/>
  <c r="J537" i="19"/>
  <c r="L537" i="19"/>
  <c r="M537" i="19"/>
  <c r="V537" i="19" s="1"/>
  <c r="O537" i="19"/>
  <c r="D538" i="19"/>
  <c r="E538" i="19"/>
  <c r="F538" i="19"/>
  <c r="J538" i="19"/>
  <c r="L538" i="19"/>
  <c r="M538" i="19"/>
  <c r="V538" i="19" s="1"/>
  <c r="O538" i="19"/>
  <c r="D539" i="19"/>
  <c r="E539" i="19"/>
  <c r="F539" i="19"/>
  <c r="J539" i="19"/>
  <c r="L539" i="19"/>
  <c r="M539" i="19"/>
  <c r="V539" i="19" s="1"/>
  <c r="O539" i="19"/>
  <c r="D540" i="19"/>
  <c r="E540" i="19"/>
  <c r="F540" i="19"/>
  <c r="J540" i="19"/>
  <c r="L540" i="19"/>
  <c r="M540" i="19"/>
  <c r="V540" i="19" s="1"/>
  <c r="O540" i="19"/>
  <c r="D541" i="19"/>
  <c r="E541" i="19"/>
  <c r="F541" i="19"/>
  <c r="J541" i="19"/>
  <c r="L541" i="19"/>
  <c r="M541" i="19"/>
  <c r="V541" i="19" s="1"/>
  <c r="O541" i="19"/>
  <c r="D542" i="19"/>
  <c r="E542" i="19"/>
  <c r="F542" i="19"/>
  <c r="J542" i="19"/>
  <c r="L542" i="19"/>
  <c r="M542" i="19"/>
  <c r="V542" i="19" s="1"/>
  <c r="O542" i="19"/>
  <c r="D543" i="19"/>
  <c r="E543" i="19"/>
  <c r="F543" i="19"/>
  <c r="J543" i="19"/>
  <c r="L543" i="19"/>
  <c r="M543" i="19"/>
  <c r="V543" i="19" s="1"/>
  <c r="O543" i="19"/>
  <c r="D544" i="19"/>
  <c r="E544" i="19"/>
  <c r="F544" i="19"/>
  <c r="J544" i="19"/>
  <c r="L544" i="19"/>
  <c r="M544" i="19"/>
  <c r="V544" i="19" s="1"/>
  <c r="O544" i="19"/>
  <c r="D545" i="19"/>
  <c r="E545" i="19"/>
  <c r="F545" i="19"/>
  <c r="J545" i="19"/>
  <c r="L545" i="19"/>
  <c r="M545" i="19"/>
  <c r="V545" i="19" s="1"/>
  <c r="O545" i="19"/>
  <c r="D546" i="19"/>
  <c r="E546" i="19"/>
  <c r="F546" i="19"/>
  <c r="J546" i="19"/>
  <c r="L546" i="19"/>
  <c r="M546" i="19"/>
  <c r="V546" i="19" s="1"/>
  <c r="O546" i="19"/>
  <c r="D547" i="19"/>
  <c r="E547" i="19"/>
  <c r="F547" i="19"/>
  <c r="J547" i="19"/>
  <c r="L547" i="19"/>
  <c r="M547" i="19"/>
  <c r="V547" i="19" s="1"/>
  <c r="O547" i="19"/>
  <c r="D548" i="19"/>
  <c r="E548" i="19"/>
  <c r="F548" i="19"/>
  <c r="J548" i="19"/>
  <c r="L548" i="19"/>
  <c r="M548" i="19"/>
  <c r="V548" i="19" s="1"/>
  <c r="O548" i="19"/>
  <c r="D549" i="19"/>
  <c r="E549" i="19"/>
  <c r="F549" i="19"/>
  <c r="J549" i="19"/>
  <c r="L549" i="19"/>
  <c r="M549" i="19"/>
  <c r="V549" i="19" s="1"/>
  <c r="O549" i="19"/>
  <c r="D550" i="19"/>
  <c r="E550" i="19"/>
  <c r="F550" i="19"/>
  <c r="J550" i="19"/>
  <c r="L550" i="19"/>
  <c r="M550" i="19"/>
  <c r="V550" i="19" s="1"/>
  <c r="O550" i="19"/>
  <c r="D551" i="19"/>
  <c r="E551" i="19"/>
  <c r="F551" i="19"/>
  <c r="J551" i="19"/>
  <c r="L551" i="19"/>
  <c r="M551" i="19"/>
  <c r="V551" i="19" s="1"/>
  <c r="O551" i="19"/>
  <c r="D552" i="19"/>
  <c r="E552" i="19"/>
  <c r="F552" i="19"/>
  <c r="J552" i="19"/>
  <c r="L552" i="19"/>
  <c r="M552" i="19"/>
  <c r="V552" i="19" s="1"/>
  <c r="O552" i="19"/>
  <c r="D553" i="19"/>
  <c r="E553" i="19"/>
  <c r="F553" i="19"/>
  <c r="J553" i="19"/>
  <c r="L553" i="19"/>
  <c r="M553" i="19"/>
  <c r="V553" i="19" s="1"/>
  <c r="O553" i="19"/>
  <c r="D554" i="19"/>
  <c r="E554" i="19"/>
  <c r="F554" i="19"/>
  <c r="J554" i="19"/>
  <c r="L554" i="19"/>
  <c r="M554" i="19"/>
  <c r="V554" i="19" s="1"/>
  <c r="O554" i="19"/>
  <c r="D555" i="19"/>
  <c r="E555" i="19"/>
  <c r="F555" i="19"/>
  <c r="J555" i="19"/>
  <c r="L555" i="19"/>
  <c r="M555" i="19"/>
  <c r="V555" i="19" s="1"/>
  <c r="O555" i="19"/>
  <c r="D556" i="19"/>
  <c r="E556" i="19"/>
  <c r="F556" i="19"/>
  <c r="J556" i="19"/>
  <c r="L556" i="19"/>
  <c r="M556" i="19"/>
  <c r="V556" i="19" s="1"/>
  <c r="O556" i="19"/>
  <c r="D557" i="19"/>
  <c r="E557" i="19"/>
  <c r="F557" i="19"/>
  <c r="J557" i="19"/>
  <c r="L557" i="19"/>
  <c r="M557" i="19"/>
  <c r="V557" i="19" s="1"/>
  <c r="O557" i="19"/>
  <c r="D558" i="19"/>
  <c r="E558" i="19"/>
  <c r="F558" i="19"/>
  <c r="J558" i="19"/>
  <c r="L558" i="19"/>
  <c r="M558" i="19"/>
  <c r="V558" i="19" s="1"/>
  <c r="O558" i="19"/>
  <c r="D559" i="19"/>
  <c r="E559" i="19"/>
  <c r="F559" i="19"/>
  <c r="J559" i="19"/>
  <c r="L559" i="19"/>
  <c r="M559" i="19"/>
  <c r="V559" i="19" s="1"/>
  <c r="O559" i="19"/>
  <c r="D560" i="19"/>
  <c r="E560" i="19"/>
  <c r="F560" i="19"/>
  <c r="J560" i="19"/>
  <c r="L560" i="19"/>
  <c r="M560" i="19"/>
  <c r="V560" i="19" s="1"/>
  <c r="O560" i="19"/>
  <c r="D561" i="19"/>
  <c r="E561" i="19"/>
  <c r="F561" i="19"/>
  <c r="J561" i="19"/>
  <c r="L561" i="19"/>
  <c r="M561" i="19"/>
  <c r="V561" i="19" s="1"/>
  <c r="O561" i="19"/>
  <c r="D562" i="19"/>
  <c r="E562" i="19"/>
  <c r="F562" i="19"/>
  <c r="J562" i="19"/>
  <c r="L562" i="19"/>
  <c r="M562" i="19"/>
  <c r="V562" i="19" s="1"/>
  <c r="O562" i="19"/>
  <c r="D563" i="19"/>
  <c r="E563" i="19"/>
  <c r="F563" i="19"/>
  <c r="J563" i="19"/>
  <c r="L563" i="19"/>
  <c r="M563" i="19"/>
  <c r="V563" i="19" s="1"/>
  <c r="O563" i="19"/>
  <c r="D564" i="19"/>
  <c r="E564" i="19"/>
  <c r="F564" i="19"/>
  <c r="J564" i="19"/>
  <c r="L564" i="19"/>
  <c r="M564" i="19"/>
  <c r="V564" i="19" s="1"/>
  <c r="O564" i="19"/>
  <c r="D565" i="19"/>
  <c r="E565" i="19"/>
  <c r="F565" i="19"/>
  <c r="J565" i="19"/>
  <c r="L565" i="19"/>
  <c r="M565" i="19"/>
  <c r="V565" i="19" s="1"/>
  <c r="O565" i="19"/>
  <c r="D566" i="19"/>
  <c r="E566" i="19"/>
  <c r="F566" i="19"/>
  <c r="J566" i="19"/>
  <c r="L566" i="19"/>
  <c r="M566" i="19"/>
  <c r="V566" i="19" s="1"/>
  <c r="O566" i="19"/>
  <c r="D567" i="19"/>
  <c r="E567" i="19"/>
  <c r="F567" i="19"/>
  <c r="J567" i="19"/>
  <c r="L567" i="19"/>
  <c r="M567" i="19"/>
  <c r="V567" i="19" s="1"/>
  <c r="O567" i="19"/>
  <c r="D568" i="19"/>
  <c r="E568" i="19"/>
  <c r="F568" i="19"/>
  <c r="J568" i="19"/>
  <c r="L568" i="19"/>
  <c r="M568" i="19"/>
  <c r="V568" i="19" s="1"/>
  <c r="O568" i="19"/>
  <c r="D569" i="19"/>
  <c r="E569" i="19"/>
  <c r="F569" i="19"/>
  <c r="J569" i="19"/>
  <c r="L569" i="19"/>
  <c r="M569" i="19"/>
  <c r="V569" i="19" s="1"/>
  <c r="O569" i="19"/>
  <c r="D570" i="19"/>
  <c r="E570" i="19"/>
  <c r="F570" i="19"/>
  <c r="J570" i="19"/>
  <c r="L570" i="19"/>
  <c r="M570" i="19"/>
  <c r="V570" i="19" s="1"/>
  <c r="O570" i="19"/>
  <c r="D571" i="19"/>
  <c r="E571" i="19"/>
  <c r="F571" i="19"/>
  <c r="J571" i="19"/>
  <c r="L571" i="19"/>
  <c r="M571" i="19"/>
  <c r="V571" i="19" s="1"/>
  <c r="O571" i="19"/>
  <c r="D572" i="19"/>
  <c r="E572" i="19"/>
  <c r="F572" i="19"/>
  <c r="J572" i="19"/>
  <c r="L572" i="19"/>
  <c r="M572" i="19"/>
  <c r="V572" i="19" s="1"/>
  <c r="O572" i="19"/>
  <c r="D573" i="19"/>
  <c r="E573" i="19"/>
  <c r="F573" i="19"/>
  <c r="J573" i="19"/>
  <c r="L573" i="19"/>
  <c r="M573" i="19"/>
  <c r="V573" i="19" s="1"/>
  <c r="O573" i="19"/>
  <c r="D574" i="19"/>
  <c r="E574" i="19"/>
  <c r="F574" i="19"/>
  <c r="J574" i="19"/>
  <c r="L574" i="19"/>
  <c r="M574" i="19"/>
  <c r="V574" i="19" s="1"/>
  <c r="O574" i="19"/>
  <c r="D575" i="19"/>
  <c r="E575" i="19"/>
  <c r="F575" i="19"/>
  <c r="J575" i="19"/>
  <c r="L575" i="19"/>
  <c r="M575" i="19"/>
  <c r="V575" i="19" s="1"/>
  <c r="O575" i="19"/>
  <c r="D576" i="19"/>
  <c r="E576" i="19"/>
  <c r="F576" i="19"/>
  <c r="J576" i="19"/>
  <c r="L576" i="19"/>
  <c r="M576" i="19"/>
  <c r="V576" i="19" s="1"/>
  <c r="O576" i="19"/>
  <c r="D577" i="19"/>
  <c r="E577" i="19"/>
  <c r="F577" i="19"/>
  <c r="J577" i="19"/>
  <c r="L577" i="19"/>
  <c r="M577" i="19"/>
  <c r="V577" i="19" s="1"/>
  <c r="O577" i="19"/>
  <c r="D578" i="19"/>
  <c r="E578" i="19"/>
  <c r="F578" i="19"/>
  <c r="J578" i="19"/>
  <c r="L578" i="19"/>
  <c r="M578" i="19"/>
  <c r="V578" i="19" s="1"/>
  <c r="O578" i="19"/>
  <c r="D579" i="19"/>
  <c r="E579" i="19"/>
  <c r="F579" i="19"/>
  <c r="J579" i="19"/>
  <c r="L579" i="19"/>
  <c r="M579" i="19"/>
  <c r="V579" i="19" s="1"/>
  <c r="O579" i="19"/>
  <c r="D580" i="19"/>
  <c r="E580" i="19"/>
  <c r="F580" i="19"/>
  <c r="J580" i="19"/>
  <c r="L580" i="19"/>
  <c r="M580" i="19"/>
  <c r="V580" i="19" s="1"/>
  <c r="O580" i="19"/>
  <c r="D581" i="19"/>
  <c r="E581" i="19"/>
  <c r="F581" i="19"/>
  <c r="J581" i="19"/>
  <c r="L581" i="19"/>
  <c r="M581" i="19"/>
  <c r="V581" i="19" s="1"/>
  <c r="O581" i="19"/>
  <c r="D582" i="19"/>
  <c r="E582" i="19"/>
  <c r="F582" i="19"/>
  <c r="J582" i="19"/>
  <c r="L582" i="19"/>
  <c r="M582" i="19"/>
  <c r="V582" i="19" s="1"/>
  <c r="O582" i="19"/>
  <c r="D583" i="19"/>
  <c r="E583" i="19"/>
  <c r="F583" i="19"/>
  <c r="J583" i="19"/>
  <c r="L583" i="19"/>
  <c r="M583" i="19"/>
  <c r="V583" i="19" s="1"/>
  <c r="O583" i="19"/>
  <c r="D584" i="19"/>
  <c r="E584" i="19"/>
  <c r="F584" i="19"/>
  <c r="J584" i="19"/>
  <c r="L584" i="19"/>
  <c r="M584" i="19"/>
  <c r="V584" i="19" s="1"/>
  <c r="O584" i="19"/>
  <c r="D585" i="19"/>
  <c r="E585" i="19"/>
  <c r="F585" i="19"/>
  <c r="J585" i="19"/>
  <c r="L585" i="19"/>
  <c r="M585" i="19"/>
  <c r="V585" i="19" s="1"/>
  <c r="O585" i="19"/>
  <c r="D586" i="19"/>
  <c r="E586" i="19"/>
  <c r="F586" i="19"/>
  <c r="J586" i="19"/>
  <c r="L586" i="19"/>
  <c r="M586" i="19"/>
  <c r="V586" i="19" s="1"/>
  <c r="O586" i="19"/>
  <c r="D587" i="19"/>
  <c r="E587" i="19"/>
  <c r="F587" i="19"/>
  <c r="J587" i="19"/>
  <c r="L587" i="19"/>
  <c r="M587" i="19"/>
  <c r="V587" i="19" s="1"/>
  <c r="O587" i="19"/>
  <c r="D588" i="19"/>
  <c r="E588" i="19"/>
  <c r="F588" i="19"/>
  <c r="J588" i="19"/>
  <c r="L588" i="19"/>
  <c r="M588" i="19"/>
  <c r="V588" i="19" s="1"/>
  <c r="O588" i="19"/>
  <c r="D589" i="19"/>
  <c r="E589" i="19"/>
  <c r="F589" i="19"/>
  <c r="J589" i="19"/>
  <c r="L589" i="19"/>
  <c r="M589" i="19"/>
  <c r="V589" i="19" s="1"/>
  <c r="O589" i="19"/>
  <c r="D590" i="19"/>
  <c r="E590" i="19"/>
  <c r="F590" i="19"/>
  <c r="J590" i="19"/>
  <c r="L590" i="19"/>
  <c r="M590" i="19"/>
  <c r="V590" i="19" s="1"/>
  <c r="O590" i="19"/>
  <c r="D591" i="19"/>
  <c r="E591" i="19"/>
  <c r="F591" i="19"/>
  <c r="J591" i="19"/>
  <c r="L591" i="19"/>
  <c r="M591" i="19"/>
  <c r="V591" i="19" s="1"/>
  <c r="O591" i="19"/>
  <c r="D592" i="19"/>
  <c r="E592" i="19"/>
  <c r="F592" i="19"/>
  <c r="J592" i="19"/>
  <c r="L592" i="19"/>
  <c r="M592" i="19"/>
  <c r="V592" i="19" s="1"/>
  <c r="O592" i="19"/>
  <c r="D593" i="19"/>
  <c r="E593" i="19"/>
  <c r="F593" i="19"/>
  <c r="J593" i="19"/>
  <c r="L593" i="19"/>
  <c r="M593" i="19"/>
  <c r="V593" i="19" s="1"/>
  <c r="O593" i="19"/>
  <c r="D594" i="19"/>
  <c r="E594" i="19"/>
  <c r="F594" i="19"/>
  <c r="J594" i="19"/>
  <c r="L594" i="19"/>
  <c r="M594" i="19"/>
  <c r="V594" i="19" s="1"/>
  <c r="O594" i="19"/>
  <c r="D595" i="19"/>
  <c r="E595" i="19"/>
  <c r="F595" i="19"/>
  <c r="J595" i="19"/>
  <c r="L595" i="19"/>
  <c r="M595" i="19"/>
  <c r="V595" i="19" s="1"/>
  <c r="O595" i="19"/>
  <c r="D596" i="19"/>
  <c r="E596" i="19"/>
  <c r="F596" i="19"/>
  <c r="J596" i="19"/>
  <c r="L596" i="19"/>
  <c r="M596" i="19"/>
  <c r="V596" i="19" s="1"/>
  <c r="O596" i="19"/>
  <c r="D597" i="19"/>
  <c r="E597" i="19"/>
  <c r="F597" i="19"/>
  <c r="J597" i="19"/>
  <c r="L597" i="19"/>
  <c r="M597" i="19"/>
  <c r="V597" i="19" s="1"/>
  <c r="O597" i="19"/>
  <c r="D598" i="19"/>
  <c r="E598" i="19"/>
  <c r="F598" i="19"/>
  <c r="J598" i="19"/>
  <c r="L598" i="19"/>
  <c r="M598" i="19"/>
  <c r="V598" i="19" s="1"/>
  <c r="O598" i="19"/>
  <c r="D599" i="19"/>
  <c r="E599" i="19"/>
  <c r="F599" i="19"/>
  <c r="J599" i="19"/>
  <c r="L599" i="19"/>
  <c r="M599" i="19"/>
  <c r="V599" i="19" s="1"/>
  <c r="O599" i="19"/>
  <c r="D600" i="19"/>
  <c r="E600" i="19"/>
  <c r="F600" i="19"/>
  <c r="J600" i="19"/>
  <c r="L600" i="19"/>
  <c r="M600" i="19"/>
  <c r="V600" i="19" s="1"/>
  <c r="O600" i="19"/>
  <c r="D601" i="19"/>
  <c r="E601" i="19"/>
  <c r="F601" i="19"/>
  <c r="J601" i="19"/>
  <c r="L601" i="19"/>
  <c r="M601" i="19"/>
  <c r="V601" i="19" s="1"/>
  <c r="O601" i="19"/>
  <c r="D602" i="19"/>
  <c r="E602" i="19"/>
  <c r="F602" i="19"/>
  <c r="J602" i="19"/>
  <c r="L602" i="19"/>
  <c r="M602" i="19"/>
  <c r="V602" i="19" s="1"/>
  <c r="O602" i="19"/>
  <c r="D603" i="19"/>
  <c r="E603" i="19"/>
  <c r="F603" i="19"/>
  <c r="J603" i="19"/>
  <c r="L603" i="19"/>
  <c r="M603" i="19"/>
  <c r="V603" i="19" s="1"/>
  <c r="O603" i="19"/>
  <c r="D604" i="19"/>
  <c r="E604" i="19"/>
  <c r="F604" i="19"/>
  <c r="J604" i="19"/>
  <c r="L604" i="19"/>
  <c r="M604" i="19"/>
  <c r="V604" i="19" s="1"/>
  <c r="O604" i="19"/>
  <c r="D605" i="19"/>
  <c r="E605" i="19"/>
  <c r="F605" i="19"/>
  <c r="J605" i="19"/>
  <c r="L605" i="19"/>
  <c r="M605" i="19"/>
  <c r="V605" i="19" s="1"/>
  <c r="O605" i="19"/>
  <c r="D606" i="19"/>
  <c r="E606" i="19"/>
  <c r="F606" i="19"/>
  <c r="J606" i="19"/>
  <c r="L606" i="19"/>
  <c r="M606" i="19"/>
  <c r="V606" i="19" s="1"/>
  <c r="O606" i="19"/>
  <c r="D607" i="19"/>
  <c r="E607" i="19"/>
  <c r="F607" i="19"/>
  <c r="J607" i="19"/>
  <c r="L607" i="19"/>
  <c r="M607" i="19"/>
  <c r="V607" i="19" s="1"/>
  <c r="O607" i="19"/>
  <c r="D608" i="19"/>
  <c r="E608" i="19"/>
  <c r="F608" i="19"/>
  <c r="J608" i="19"/>
  <c r="L608" i="19"/>
  <c r="M608" i="19"/>
  <c r="V608" i="19" s="1"/>
  <c r="O608" i="19"/>
  <c r="D609" i="19"/>
  <c r="E609" i="19"/>
  <c r="F609" i="19"/>
  <c r="J609" i="19"/>
  <c r="L609" i="19"/>
  <c r="M609" i="19"/>
  <c r="V609" i="19" s="1"/>
  <c r="O609" i="19"/>
  <c r="D610" i="19"/>
  <c r="E610" i="19"/>
  <c r="F610" i="19"/>
  <c r="J610" i="19"/>
  <c r="L610" i="19"/>
  <c r="M610" i="19"/>
  <c r="V610" i="19" s="1"/>
  <c r="O610" i="19"/>
  <c r="D611" i="19"/>
  <c r="E611" i="19"/>
  <c r="F611" i="19"/>
  <c r="J611" i="19"/>
  <c r="L611" i="19"/>
  <c r="M611" i="19"/>
  <c r="V611" i="19" s="1"/>
  <c r="O611" i="19"/>
  <c r="D612" i="19"/>
  <c r="E612" i="19"/>
  <c r="F612" i="19"/>
  <c r="J612" i="19"/>
  <c r="L612" i="19"/>
  <c r="M612" i="19"/>
  <c r="V612" i="19" s="1"/>
  <c r="O612" i="19"/>
  <c r="D613" i="19"/>
  <c r="E613" i="19"/>
  <c r="F613" i="19"/>
  <c r="J613" i="19"/>
  <c r="L613" i="19"/>
  <c r="M613" i="19"/>
  <c r="V613" i="19" s="1"/>
  <c r="O613" i="19"/>
  <c r="D614" i="19"/>
  <c r="E614" i="19"/>
  <c r="F614" i="19"/>
  <c r="J614" i="19"/>
  <c r="L614" i="19"/>
  <c r="M614" i="19"/>
  <c r="V614" i="19" s="1"/>
  <c r="O614" i="19"/>
  <c r="D615" i="19"/>
  <c r="E615" i="19"/>
  <c r="F615" i="19"/>
  <c r="J615" i="19"/>
  <c r="L615" i="19"/>
  <c r="M615" i="19"/>
  <c r="V615" i="19" s="1"/>
  <c r="O615" i="19"/>
  <c r="D616" i="19"/>
  <c r="E616" i="19"/>
  <c r="F616" i="19"/>
  <c r="J616" i="19"/>
  <c r="L616" i="19"/>
  <c r="M616" i="19"/>
  <c r="V616" i="19" s="1"/>
  <c r="O616" i="19"/>
  <c r="D617" i="19"/>
  <c r="E617" i="19"/>
  <c r="F617" i="19"/>
  <c r="J617" i="19"/>
  <c r="L617" i="19"/>
  <c r="M617" i="19"/>
  <c r="V617" i="19" s="1"/>
  <c r="O617" i="19"/>
  <c r="D618" i="19"/>
  <c r="E618" i="19"/>
  <c r="F618" i="19"/>
  <c r="J618" i="19"/>
  <c r="L618" i="19"/>
  <c r="M618" i="19"/>
  <c r="V618" i="19" s="1"/>
  <c r="O618" i="19"/>
  <c r="D619" i="19"/>
  <c r="E619" i="19"/>
  <c r="F619" i="19"/>
  <c r="J619" i="19"/>
  <c r="L619" i="19"/>
  <c r="M619" i="19"/>
  <c r="V619" i="19" s="1"/>
  <c r="O619" i="19"/>
  <c r="D620" i="19"/>
  <c r="E620" i="19"/>
  <c r="F620" i="19"/>
  <c r="J620" i="19"/>
  <c r="L620" i="19"/>
  <c r="M620" i="19"/>
  <c r="V620" i="19" s="1"/>
  <c r="O620" i="19"/>
  <c r="D621" i="19"/>
  <c r="E621" i="19"/>
  <c r="F621" i="19"/>
  <c r="J621" i="19"/>
  <c r="L621" i="19"/>
  <c r="M621" i="19"/>
  <c r="V621" i="19" s="1"/>
  <c r="O621" i="19"/>
  <c r="D622" i="19"/>
  <c r="E622" i="19"/>
  <c r="F622" i="19"/>
  <c r="J622" i="19"/>
  <c r="L622" i="19"/>
  <c r="M622" i="19"/>
  <c r="V622" i="19" s="1"/>
  <c r="O622" i="19"/>
  <c r="D623" i="19"/>
  <c r="E623" i="19"/>
  <c r="F623" i="19"/>
  <c r="J623" i="19"/>
  <c r="L623" i="19"/>
  <c r="M623" i="19"/>
  <c r="V623" i="19" s="1"/>
  <c r="O623" i="19"/>
  <c r="D624" i="19"/>
  <c r="E624" i="19"/>
  <c r="F624" i="19"/>
  <c r="J624" i="19"/>
  <c r="L624" i="19"/>
  <c r="M624" i="19"/>
  <c r="V624" i="19" s="1"/>
  <c r="O624" i="19"/>
  <c r="D625" i="19"/>
  <c r="E625" i="19"/>
  <c r="F625" i="19"/>
  <c r="J625" i="19"/>
  <c r="L625" i="19"/>
  <c r="M625" i="19"/>
  <c r="V625" i="19" s="1"/>
  <c r="O625" i="19"/>
  <c r="D626" i="19"/>
  <c r="E626" i="19"/>
  <c r="F626" i="19"/>
  <c r="J626" i="19"/>
  <c r="L626" i="19"/>
  <c r="M626" i="19"/>
  <c r="V626" i="19" s="1"/>
  <c r="O626" i="19"/>
  <c r="D627" i="19"/>
  <c r="E627" i="19"/>
  <c r="F627" i="19"/>
  <c r="J627" i="19"/>
  <c r="L627" i="19"/>
  <c r="M627" i="19"/>
  <c r="V627" i="19" s="1"/>
  <c r="O627" i="19"/>
  <c r="D628" i="19"/>
  <c r="E628" i="19"/>
  <c r="F628" i="19"/>
  <c r="J628" i="19"/>
  <c r="L628" i="19"/>
  <c r="M628" i="19"/>
  <c r="V628" i="19" s="1"/>
  <c r="O628" i="19"/>
  <c r="D629" i="19"/>
  <c r="E629" i="19"/>
  <c r="F629" i="19"/>
  <c r="J629" i="19"/>
  <c r="L629" i="19"/>
  <c r="M629" i="19"/>
  <c r="V629" i="19" s="1"/>
  <c r="O629" i="19"/>
  <c r="D630" i="19"/>
  <c r="E630" i="19"/>
  <c r="F630" i="19"/>
  <c r="J630" i="19"/>
  <c r="L630" i="19"/>
  <c r="M630" i="19"/>
  <c r="V630" i="19" s="1"/>
  <c r="O630" i="19"/>
  <c r="D631" i="19"/>
  <c r="E631" i="19"/>
  <c r="F631" i="19"/>
  <c r="J631" i="19"/>
  <c r="L631" i="19"/>
  <c r="M631" i="19"/>
  <c r="V631" i="19" s="1"/>
  <c r="O631" i="19"/>
  <c r="D632" i="19"/>
  <c r="E632" i="19"/>
  <c r="F632" i="19"/>
  <c r="J632" i="19"/>
  <c r="L632" i="19"/>
  <c r="M632" i="19"/>
  <c r="V632" i="19" s="1"/>
  <c r="O632" i="19"/>
  <c r="D633" i="19"/>
  <c r="E633" i="19"/>
  <c r="F633" i="19"/>
  <c r="J633" i="19"/>
  <c r="L633" i="19"/>
  <c r="M633" i="19"/>
  <c r="V633" i="19" s="1"/>
  <c r="O633" i="19"/>
  <c r="D634" i="19"/>
  <c r="E634" i="19"/>
  <c r="F634" i="19"/>
  <c r="J634" i="19"/>
  <c r="L634" i="19"/>
  <c r="M634" i="19"/>
  <c r="V634" i="19" s="1"/>
  <c r="O634" i="19"/>
  <c r="D635" i="19"/>
  <c r="E635" i="19"/>
  <c r="F635" i="19"/>
  <c r="J635" i="19"/>
  <c r="L635" i="19"/>
  <c r="M635" i="19"/>
  <c r="V635" i="19" s="1"/>
  <c r="O635" i="19"/>
  <c r="D636" i="19"/>
  <c r="E636" i="19"/>
  <c r="F636" i="19"/>
  <c r="J636" i="19"/>
  <c r="L636" i="19"/>
  <c r="M636" i="19"/>
  <c r="V636" i="19" s="1"/>
  <c r="O636" i="19"/>
  <c r="D637" i="19"/>
  <c r="E637" i="19"/>
  <c r="F637" i="19"/>
  <c r="J637" i="19"/>
  <c r="L637" i="19"/>
  <c r="M637" i="19"/>
  <c r="V637" i="19" s="1"/>
  <c r="O637" i="19"/>
  <c r="D638" i="19"/>
  <c r="E638" i="19"/>
  <c r="F638" i="19"/>
  <c r="J638" i="19"/>
  <c r="L638" i="19"/>
  <c r="M638" i="19"/>
  <c r="V638" i="19" s="1"/>
  <c r="O638" i="19"/>
  <c r="D639" i="19"/>
  <c r="E639" i="19"/>
  <c r="F639" i="19"/>
  <c r="J639" i="19"/>
  <c r="L639" i="19"/>
  <c r="M639" i="19"/>
  <c r="V639" i="19" s="1"/>
  <c r="O639" i="19"/>
  <c r="D640" i="19"/>
  <c r="E640" i="19"/>
  <c r="F640" i="19"/>
  <c r="J640" i="19"/>
  <c r="L640" i="19"/>
  <c r="M640" i="19"/>
  <c r="V640" i="19" s="1"/>
  <c r="O640" i="19"/>
  <c r="D641" i="19"/>
  <c r="E641" i="19"/>
  <c r="F641" i="19"/>
  <c r="J641" i="19"/>
  <c r="L641" i="19"/>
  <c r="M641" i="19"/>
  <c r="V641" i="19" s="1"/>
  <c r="O641" i="19"/>
  <c r="D642" i="19"/>
  <c r="E642" i="19"/>
  <c r="F642" i="19"/>
  <c r="J642" i="19"/>
  <c r="L642" i="19"/>
  <c r="M642" i="19"/>
  <c r="V642" i="19" s="1"/>
  <c r="O642" i="19"/>
  <c r="D643" i="19"/>
  <c r="E643" i="19"/>
  <c r="F643" i="19"/>
  <c r="J643" i="19"/>
  <c r="L643" i="19"/>
  <c r="M643" i="19"/>
  <c r="V643" i="19" s="1"/>
  <c r="O643" i="19"/>
  <c r="D644" i="19"/>
  <c r="E644" i="19"/>
  <c r="F644" i="19"/>
  <c r="J644" i="19"/>
  <c r="L644" i="19"/>
  <c r="M644" i="19"/>
  <c r="V644" i="19" s="1"/>
  <c r="O644" i="19"/>
  <c r="D645" i="19"/>
  <c r="E645" i="19"/>
  <c r="F645" i="19"/>
  <c r="J645" i="19"/>
  <c r="L645" i="19"/>
  <c r="M645" i="19"/>
  <c r="V645" i="19" s="1"/>
  <c r="O645" i="19"/>
  <c r="D646" i="19"/>
  <c r="E646" i="19"/>
  <c r="F646" i="19"/>
  <c r="J646" i="19"/>
  <c r="L646" i="19"/>
  <c r="M646" i="19"/>
  <c r="V646" i="19" s="1"/>
  <c r="O646" i="19"/>
  <c r="D647" i="19"/>
  <c r="E647" i="19"/>
  <c r="F647" i="19"/>
  <c r="J647" i="19"/>
  <c r="L647" i="19"/>
  <c r="M647" i="19"/>
  <c r="V647" i="19" s="1"/>
  <c r="O647" i="19"/>
  <c r="D648" i="19"/>
  <c r="E648" i="19"/>
  <c r="F648" i="19"/>
  <c r="J648" i="19"/>
  <c r="L648" i="19"/>
  <c r="M648" i="19"/>
  <c r="V648" i="19" s="1"/>
  <c r="O648" i="19"/>
  <c r="D649" i="19"/>
  <c r="E649" i="19"/>
  <c r="F649" i="19"/>
  <c r="J649" i="19"/>
  <c r="L649" i="19"/>
  <c r="M649" i="19"/>
  <c r="V649" i="19" s="1"/>
  <c r="O649" i="19"/>
  <c r="P634" i="19" l="1"/>
  <c r="P554" i="19"/>
  <c r="P522" i="19"/>
  <c r="P458" i="19"/>
  <c r="P426" i="19"/>
  <c r="P410" i="19"/>
  <c r="P394" i="19"/>
  <c r="P905" i="19"/>
  <c r="P889" i="19"/>
  <c r="Q889" i="19" s="1"/>
  <c r="R889" i="19" s="1"/>
  <c r="P793" i="19"/>
  <c r="P761" i="19"/>
  <c r="Q761" i="19" s="1"/>
  <c r="R761" i="19" s="1"/>
  <c r="P745" i="19"/>
  <c r="P729" i="19"/>
  <c r="P681" i="19"/>
  <c r="Q681" i="19" s="1"/>
  <c r="R681" i="19" s="1"/>
  <c r="P665" i="19"/>
  <c r="P943" i="19"/>
  <c r="Q943" i="19" s="1"/>
  <c r="R943" i="19" s="1"/>
  <c r="P1577" i="19"/>
  <c r="P1561" i="19"/>
  <c r="P1545" i="19"/>
  <c r="P1417" i="19"/>
  <c r="P1401" i="19"/>
  <c r="P1385" i="19"/>
  <c r="P1369" i="19"/>
  <c r="Q1369" i="19" s="1"/>
  <c r="R1369" i="19" s="1"/>
  <c r="P1353" i="19"/>
  <c r="Q1353" i="19" s="1"/>
  <c r="R1353" i="19" s="1"/>
  <c r="P1337" i="19"/>
  <c r="Q1337" i="19" s="1"/>
  <c r="R1337" i="19" s="1"/>
  <c r="P1321" i="19"/>
  <c r="P1289" i="19"/>
  <c r="Q1289" i="19" s="1"/>
  <c r="R1289" i="19" s="1"/>
  <c r="P1257" i="19"/>
  <c r="P1241" i="19"/>
  <c r="Q1241" i="19" s="1"/>
  <c r="R1241" i="19" s="1"/>
  <c r="P1193" i="19"/>
  <c r="P1177" i="19"/>
  <c r="Q1177" i="19" s="1"/>
  <c r="R1177" i="19" s="1"/>
  <c r="P1097" i="19"/>
  <c r="P1049" i="19"/>
  <c r="P985" i="19"/>
  <c r="P558" i="19"/>
  <c r="P526" i="19"/>
  <c r="P478" i="19"/>
  <c r="P446" i="19"/>
  <c r="P414" i="19"/>
  <c r="P398" i="19"/>
  <c r="P366" i="19"/>
  <c r="P893" i="19"/>
  <c r="P861" i="19"/>
  <c r="Q861" i="19" s="1"/>
  <c r="R861" i="19" s="1"/>
  <c r="P845" i="19"/>
  <c r="P829" i="19"/>
  <c r="Q829" i="19" s="1"/>
  <c r="R829" i="19" s="1"/>
  <c r="P813" i="19"/>
  <c r="P781" i="19"/>
  <c r="P749" i="19"/>
  <c r="P717" i="19"/>
  <c r="P701" i="19"/>
  <c r="P685" i="19"/>
  <c r="P669" i="19"/>
  <c r="P653" i="19"/>
  <c r="P947" i="19"/>
  <c r="Q947" i="19" s="1"/>
  <c r="R947" i="19" s="1"/>
  <c r="P1613" i="19"/>
  <c r="P1581" i="19"/>
  <c r="P1533" i="19"/>
  <c r="P1501" i="19"/>
  <c r="P1453" i="19"/>
  <c r="P1437" i="19"/>
  <c r="P1341" i="19"/>
  <c r="P1325" i="19"/>
  <c r="P1309" i="19"/>
  <c r="Q1309" i="19" s="1"/>
  <c r="R1309" i="19" s="1"/>
  <c r="P1277" i="19"/>
  <c r="Q1277" i="19" s="1"/>
  <c r="R1277" i="19" s="1"/>
  <c r="P1261" i="19"/>
  <c r="P1245" i="19"/>
  <c r="P1229" i="19"/>
  <c r="P1213" i="19"/>
  <c r="P1197" i="19"/>
  <c r="P1181" i="19"/>
  <c r="P1149" i="19"/>
  <c r="P1117" i="19"/>
  <c r="P1101" i="19"/>
  <c r="Q1101" i="19" s="1"/>
  <c r="R1101" i="19" s="1"/>
  <c r="P1085" i="19"/>
  <c r="P1069" i="19"/>
  <c r="P1021" i="19"/>
  <c r="Q1021" i="19" s="1"/>
  <c r="R1021" i="19" s="1"/>
  <c r="P989" i="19"/>
  <c r="P643" i="19"/>
  <c r="P579" i="19"/>
  <c r="P563" i="19"/>
  <c r="P451" i="19"/>
  <c r="P914" i="19"/>
  <c r="P754" i="19"/>
  <c r="P1426" i="19"/>
  <c r="P1394" i="19"/>
  <c r="P1346" i="19"/>
  <c r="P499" i="19"/>
  <c r="P371" i="19"/>
  <c r="Q371" i="19" s="1"/>
  <c r="R371" i="19" s="1"/>
  <c r="P930" i="19"/>
  <c r="P834" i="19"/>
  <c r="P968" i="19"/>
  <c r="P952" i="19"/>
  <c r="Q952" i="19" s="1"/>
  <c r="R952" i="19" s="1"/>
  <c r="P1602" i="19"/>
  <c r="P1474" i="19"/>
  <c r="P1314" i="19"/>
  <c r="P636" i="19"/>
  <c r="P524" i="19"/>
  <c r="P508" i="19"/>
  <c r="P444" i="19"/>
  <c r="P428" i="19"/>
  <c r="P396" i="19"/>
  <c r="P380" i="19"/>
  <c r="Q380" i="19" s="1"/>
  <c r="R380" i="19" s="1"/>
  <c r="P923" i="19"/>
  <c r="P907" i="19"/>
  <c r="P875" i="19"/>
  <c r="Q875" i="19" s="1"/>
  <c r="R875" i="19" s="1"/>
  <c r="P827" i="19"/>
  <c r="P731" i="19"/>
  <c r="Q731" i="19" s="1"/>
  <c r="R731" i="19" s="1"/>
  <c r="P683" i="19"/>
  <c r="P667" i="19"/>
  <c r="Q667" i="19" s="1"/>
  <c r="R667" i="19" s="1"/>
  <c r="P961" i="19"/>
  <c r="Q961" i="19" s="1"/>
  <c r="R961" i="19" s="1"/>
  <c r="P1611" i="19"/>
  <c r="P1595" i="19"/>
  <c r="P1563" i="19"/>
  <c r="P1547" i="19"/>
  <c r="P1531" i="19"/>
  <c r="Q1531" i="19" s="1"/>
  <c r="R1531" i="19" s="1"/>
  <c r="P1515" i="19"/>
  <c r="P1483" i="19"/>
  <c r="P1435" i="19"/>
  <c r="P1339" i="19"/>
  <c r="P1323" i="19"/>
  <c r="P1307" i="19"/>
  <c r="P1291" i="19"/>
  <c r="P1259" i="19"/>
  <c r="P1243" i="19"/>
  <c r="P1211" i="19"/>
  <c r="P1179" i="19"/>
  <c r="P1131" i="19"/>
  <c r="P1099" i="19"/>
  <c r="P1035" i="19"/>
  <c r="P1019" i="19"/>
  <c r="P1003" i="19"/>
  <c r="P611" i="19"/>
  <c r="P531" i="19"/>
  <c r="P403" i="19"/>
  <c r="P882" i="19"/>
  <c r="P866" i="19"/>
  <c r="Q866" i="19" s="1"/>
  <c r="R866" i="19" s="1"/>
  <c r="P658" i="19"/>
  <c r="P1586" i="19"/>
  <c r="P1458" i="19"/>
  <c r="P1442" i="19"/>
  <c r="P1410" i="19"/>
  <c r="P1362" i="19"/>
  <c r="Q1362" i="19" s="1"/>
  <c r="R1362" i="19" s="1"/>
  <c r="R1361" i="8" s="1"/>
  <c r="P1330" i="19"/>
  <c r="P980" i="19"/>
  <c r="P519" i="19"/>
  <c r="P487" i="19"/>
  <c r="P471" i="19"/>
  <c r="Q471" i="19" s="1"/>
  <c r="R471" i="19" s="1"/>
  <c r="P439" i="19"/>
  <c r="P407" i="19"/>
  <c r="P391" i="19"/>
  <c r="P934" i="19"/>
  <c r="P918" i="19"/>
  <c r="P902" i="19"/>
  <c r="P886" i="19"/>
  <c r="P870" i="19"/>
  <c r="Q870" i="19" s="1"/>
  <c r="R870" i="19" s="1"/>
  <c r="P854" i="19"/>
  <c r="P838" i="19"/>
  <c r="Q838" i="19" s="1"/>
  <c r="R838" i="19" s="1"/>
  <c r="P758" i="19"/>
  <c r="Q758" i="19" s="1"/>
  <c r="R758" i="19" s="1"/>
  <c r="P694" i="19"/>
  <c r="P662" i="19"/>
  <c r="P972" i="19"/>
  <c r="P956" i="19"/>
  <c r="P940" i="19"/>
  <c r="P1558" i="19"/>
  <c r="P1542" i="19"/>
  <c r="P1526" i="19"/>
  <c r="P1494" i="19"/>
  <c r="Q1494" i="19" s="1"/>
  <c r="R1494" i="19" s="1"/>
  <c r="P1478" i="19"/>
  <c r="P1462" i="19"/>
  <c r="P1446" i="19"/>
  <c r="P1430" i="19"/>
  <c r="P1414" i="19"/>
  <c r="P1382" i="19"/>
  <c r="P1366" i="19"/>
  <c r="Q1366" i="19" s="1"/>
  <c r="R1366" i="19" s="1"/>
  <c r="P1350" i="19"/>
  <c r="Q1350" i="19" s="1"/>
  <c r="R1350" i="19" s="1"/>
  <c r="P1302" i="19"/>
  <c r="P1270" i="19"/>
  <c r="P1238" i="19"/>
  <c r="P1222" i="19"/>
  <c r="P1206" i="19"/>
  <c r="P1190" i="19"/>
  <c r="P1174" i="19"/>
  <c r="P1158" i="19"/>
  <c r="Q1158" i="19" s="1"/>
  <c r="R1158" i="19" s="1"/>
  <c r="P1142" i="19"/>
  <c r="P1126" i="19"/>
  <c r="P631" i="19"/>
  <c r="P615" i="19"/>
  <c r="P583" i="19"/>
  <c r="P640" i="19"/>
  <c r="P624" i="19"/>
  <c r="P608" i="19"/>
  <c r="P592" i="19"/>
  <c r="P544" i="19"/>
  <c r="P512" i="19"/>
  <c r="P480" i="19"/>
  <c r="P402" i="19"/>
  <c r="P897" i="19"/>
  <c r="P881" i="19"/>
  <c r="P833" i="19"/>
  <c r="P769" i="19"/>
  <c r="Q769" i="19" s="1"/>
  <c r="R769" i="19" s="1"/>
  <c r="P673" i="19"/>
  <c r="Q673" i="19" s="1"/>
  <c r="R673" i="19" s="1"/>
  <c r="P951" i="19"/>
  <c r="Q951" i="19" s="1"/>
  <c r="R951" i="19" s="1"/>
  <c r="P1569" i="19"/>
  <c r="Q1569" i="19" s="1"/>
  <c r="R1569" i="19" s="1"/>
  <c r="P1553" i="19"/>
  <c r="P1377" i="19"/>
  <c r="P1169" i="19"/>
  <c r="Q1169" i="19" s="1"/>
  <c r="R1169" i="19" s="1"/>
  <c r="P1105" i="19"/>
  <c r="Q1105" i="19" s="1"/>
  <c r="R1105" i="19" s="1"/>
  <c r="P1009" i="19"/>
  <c r="P498" i="19"/>
  <c r="P370" i="19"/>
  <c r="P929" i="19"/>
  <c r="P865" i="19"/>
  <c r="P785" i="19"/>
  <c r="P689" i="19"/>
  <c r="P1585" i="19"/>
  <c r="Q1585" i="19" s="1"/>
  <c r="R1585" i="19" s="1"/>
  <c r="P1409" i="19"/>
  <c r="P1217" i="19"/>
  <c r="Q1217" i="19" s="1"/>
  <c r="R1217" i="19" s="1"/>
  <c r="P1137" i="19"/>
  <c r="P1089" i="19"/>
  <c r="P1041" i="19"/>
  <c r="Q1041" i="19" s="1"/>
  <c r="R1041" i="19" s="1"/>
  <c r="P977" i="19"/>
  <c r="Q977" i="19" s="1"/>
  <c r="R977" i="19" s="1"/>
  <c r="P418" i="19"/>
  <c r="P721" i="19"/>
  <c r="Q721" i="19" s="1"/>
  <c r="R721" i="19" s="1"/>
  <c r="P657" i="19"/>
  <c r="P967" i="19"/>
  <c r="P1345" i="19"/>
  <c r="P1265" i="19"/>
  <c r="P1185" i="19"/>
  <c r="P1057" i="19"/>
  <c r="P979" i="19"/>
  <c r="P1266" i="19"/>
  <c r="P1234" i="19"/>
  <c r="P1218" i="19"/>
  <c r="P1202" i="19"/>
  <c r="Q1202" i="19" s="1"/>
  <c r="R1202" i="19" s="1"/>
  <c r="P1186" i="19"/>
  <c r="P1170" i="19"/>
  <c r="P1154" i="19"/>
  <c r="P1138" i="19"/>
  <c r="P1090" i="19"/>
  <c r="P1074" i="19"/>
  <c r="P1058" i="19"/>
  <c r="P1010" i="19"/>
  <c r="P994" i="19"/>
  <c r="P565" i="19"/>
  <c r="P501" i="19"/>
  <c r="P469" i="19"/>
  <c r="P437" i="19"/>
  <c r="P405" i="19"/>
  <c r="P389" i="19"/>
  <c r="P373" i="19"/>
  <c r="P932" i="19"/>
  <c r="P916" i="19"/>
  <c r="P900" i="19"/>
  <c r="P852" i="19"/>
  <c r="P820" i="19"/>
  <c r="P788" i="19"/>
  <c r="P772" i="19"/>
  <c r="P692" i="19"/>
  <c r="P660" i="19"/>
  <c r="P970" i="19"/>
  <c r="P954" i="19"/>
  <c r="P1540" i="19"/>
  <c r="P1524" i="19"/>
  <c r="Q1524" i="19" s="1"/>
  <c r="R1524" i="19" s="1"/>
  <c r="P1476" i="19"/>
  <c r="P1460" i="19"/>
  <c r="Q1460" i="19" s="1"/>
  <c r="R1460" i="19" s="1"/>
  <c r="P1444" i="19"/>
  <c r="P1428" i="19"/>
  <c r="P1396" i="19"/>
  <c r="P1364" i="19"/>
  <c r="P1300" i="19"/>
  <c r="Q1300" i="19" s="1"/>
  <c r="R1300" i="19" s="1"/>
  <c r="P1284" i="19"/>
  <c r="P1252" i="19"/>
  <c r="P1188" i="19"/>
  <c r="P1172" i="19"/>
  <c r="P1156" i="19"/>
  <c r="P1140" i="19"/>
  <c r="P1108" i="19"/>
  <c r="P1092" i="19"/>
  <c r="P1028" i="19"/>
  <c r="P416" i="19"/>
  <c r="Q416" i="19" s="1"/>
  <c r="R416" i="19" s="1"/>
  <c r="P384" i="19"/>
  <c r="Q384" i="19" s="1"/>
  <c r="R384" i="19" s="1"/>
  <c r="P368" i="19"/>
  <c r="P927" i="19"/>
  <c r="P911" i="19"/>
  <c r="Q911" i="19" s="1"/>
  <c r="R911" i="19" s="1"/>
  <c r="P895" i="19"/>
  <c r="P879" i="19"/>
  <c r="P831" i="19"/>
  <c r="Q831" i="19" s="1"/>
  <c r="R831" i="19" s="1"/>
  <c r="P799" i="19"/>
  <c r="P751" i="19"/>
  <c r="Q751" i="19" s="1"/>
  <c r="R751" i="19" s="1"/>
  <c r="P735" i="19"/>
  <c r="P703" i="19"/>
  <c r="Q703" i="19" s="1"/>
  <c r="R703" i="19" s="1"/>
  <c r="P687" i="19"/>
  <c r="P671" i="19"/>
  <c r="P655" i="19"/>
  <c r="P965" i="19"/>
  <c r="P949" i="19"/>
  <c r="P1551" i="19"/>
  <c r="P1471" i="19"/>
  <c r="Q1471" i="19" s="1"/>
  <c r="R1471" i="19" s="1"/>
  <c r="P1455" i="19"/>
  <c r="P1343" i="19"/>
  <c r="P1311" i="19"/>
  <c r="P1295" i="19"/>
  <c r="P1279" i="19"/>
  <c r="P1263" i="19"/>
  <c r="P1247" i="19"/>
  <c r="Q1247" i="19" s="1"/>
  <c r="R1247" i="19" s="1"/>
  <c r="P1231" i="19"/>
  <c r="P1215" i="19"/>
  <c r="Q1215" i="19" s="1"/>
  <c r="R1215" i="19" s="1"/>
  <c r="P1199" i="19"/>
  <c r="P1167" i="19"/>
  <c r="P1151" i="19"/>
  <c r="P1119" i="19"/>
  <c r="P1039" i="19"/>
  <c r="P1023" i="19"/>
  <c r="P1007" i="19"/>
  <c r="Q1007" i="19" s="1"/>
  <c r="R1007" i="19" s="1"/>
  <c r="P991" i="19"/>
  <c r="P633" i="19"/>
  <c r="P617" i="19"/>
  <c r="P553" i="19"/>
  <c r="Q553" i="19" s="1"/>
  <c r="R553" i="19" s="1"/>
  <c r="P441" i="19"/>
  <c r="P425" i="19"/>
  <c r="P377" i="19"/>
  <c r="P936" i="19"/>
  <c r="P920" i="19"/>
  <c r="P904" i="19"/>
  <c r="P872" i="19"/>
  <c r="P760" i="19"/>
  <c r="P728" i="19"/>
  <c r="P696" i="19"/>
  <c r="P974" i="19"/>
  <c r="Q974" i="19" s="1"/>
  <c r="R974" i="19" s="1"/>
  <c r="P942" i="19"/>
  <c r="P1608" i="19"/>
  <c r="Q1608" i="19" s="1"/>
  <c r="R1608" i="19" s="1"/>
  <c r="P1576" i="19"/>
  <c r="P1560" i="19"/>
  <c r="P1544" i="19"/>
  <c r="P1528" i="19"/>
  <c r="P1512" i="19"/>
  <c r="Q1512" i="19" s="1"/>
  <c r="R1512" i="19" s="1"/>
  <c r="P1496" i="19"/>
  <c r="Q1496" i="19" s="1"/>
  <c r="R1496" i="19" s="1"/>
  <c r="P1464" i="19"/>
  <c r="P1448" i="19"/>
  <c r="P1400" i="19"/>
  <c r="P1368" i="19"/>
  <c r="P1352" i="19"/>
  <c r="P1336" i="19"/>
  <c r="P1320" i="19"/>
  <c r="Q1320" i="19" s="1"/>
  <c r="R1320" i="19" s="1"/>
  <c r="P1256" i="19"/>
  <c r="P1208" i="19"/>
  <c r="P1192" i="19"/>
  <c r="P1176" i="19"/>
  <c r="P1160" i="19"/>
  <c r="P1144" i="19"/>
  <c r="P1080" i="19"/>
  <c r="P1064" i="19"/>
  <c r="P1048" i="19"/>
  <c r="P1032" i="19"/>
  <c r="P984" i="19"/>
  <c r="P491" i="19"/>
  <c r="P475" i="19"/>
  <c r="P443" i="19"/>
  <c r="P842" i="19"/>
  <c r="Q842" i="19" s="1"/>
  <c r="R842" i="19" s="1"/>
  <c r="P810" i="19"/>
  <c r="Q810" i="19" s="1"/>
  <c r="R810" i="19" s="1"/>
  <c r="P794" i="19"/>
  <c r="P778" i="19"/>
  <c r="P762" i="19"/>
  <c r="P730" i="19"/>
  <c r="P698" i="19"/>
  <c r="P682" i="19"/>
  <c r="P666" i="19"/>
  <c r="P650" i="19"/>
  <c r="P960" i="19"/>
  <c r="P944" i="19"/>
  <c r="P1578" i="19"/>
  <c r="P1562" i="19"/>
  <c r="P1546" i="19"/>
  <c r="P1466" i="19"/>
  <c r="P1450" i="19"/>
  <c r="P1434" i="19"/>
  <c r="P1402" i="19"/>
  <c r="Q1402" i="19" s="1"/>
  <c r="R1402" i="19" s="1"/>
  <c r="P1386" i="19"/>
  <c r="Q1386" i="19" s="1"/>
  <c r="R1386" i="19" s="1"/>
  <c r="R1385" i="8" s="1"/>
  <c r="P1370" i="19"/>
  <c r="P1354" i="19"/>
  <c r="P1338" i="19"/>
  <c r="Q1338" i="19" s="1"/>
  <c r="R1338" i="19" s="1"/>
  <c r="P1306" i="19"/>
  <c r="P1290" i="19"/>
  <c r="P1274" i="19"/>
  <c r="P1242" i="19"/>
  <c r="P1178" i="19"/>
  <c r="P1162" i="19"/>
  <c r="Q1162" i="19" s="1"/>
  <c r="R1162" i="19" s="1"/>
  <c r="P1114" i="19"/>
  <c r="P1098" i="19"/>
  <c r="P1082" i="19"/>
  <c r="P1066" i="19"/>
  <c r="P1050" i="19"/>
  <c r="P644" i="19"/>
  <c r="P628" i="19"/>
  <c r="P612" i="19"/>
  <c r="P580" i="19"/>
  <c r="P548" i="19"/>
  <c r="P516" i="19"/>
  <c r="P452" i="19"/>
  <c r="P388" i="19"/>
  <c r="P883" i="19"/>
  <c r="P867" i="19"/>
  <c r="P803" i="19"/>
  <c r="Q803" i="19" s="1"/>
  <c r="R803" i="19" s="1"/>
  <c r="P787" i="19"/>
  <c r="P723" i="19"/>
  <c r="P707" i="19"/>
  <c r="Q707" i="19" s="1"/>
  <c r="R707" i="19" s="1"/>
  <c r="P691" i="19"/>
  <c r="Q691" i="19" s="1"/>
  <c r="R691" i="19" s="1"/>
  <c r="P659" i="19"/>
  <c r="P969" i="19"/>
  <c r="P953" i="19"/>
  <c r="P1603" i="19"/>
  <c r="P1587" i="19"/>
  <c r="P1555" i="19"/>
  <c r="P1523" i="19"/>
  <c r="Q1523" i="19" s="1"/>
  <c r="R1523" i="19" s="1"/>
  <c r="P1491" i="19"/>
  <c r="Q1491" i="19" s="1"/>
  <c r="R1491" i="19" s="1"/>
  <c r="P1475" i="19"/>
  <c r="P1459" i="19"/>
  <c r="P1443" i="19"/>
  <c r="P1315" i="19"/>
  <c r="P1299" i="19"/>
  <c r="P1267" i="19"/>
  <c r="P1235" i="19"/>
  <c r="P1219" i="19"/>
  <c r="Q1219" i="19" s="1"/>
  <c r="R1219" i="19" s="1"/>
  <c r="P1203" i="19"/>
  <c r="P1155" i="19"/>
  <c r="P1139" i="19"/>
  <c r="P1123" i="19"/>
  <c r="Q1123" i="19" s="1"/>
  <c r="R1123" i="19" s="1"/>
  <c r="P1107" i="19"/>
  <c r="P1091" i="19"/>
  <c r="P1059" i="19"/>
  <c r="Q1059" i="19" s="1"/>
  <c r="R1059" i="19" s="1"/>
  <c r="P1043" i="19"/>
  <c r="Q1043" i="19" s="1"/>
  <c r="R1043" i="19" s="1"/>
  <c r="P1027" i="19"/>
  <c r="Q1027" i="19" s="1"/>
  <c r="R1027" i="19" s="1"/>
  <c r="P1011" i="19"/>
  <c r="P995" i="19"/>
  <c r="P621" i="19"/>
  <c r="P589" i="19"/>
  <c r="Q589" i="19" s="1"/>
  <c r="R589" i="19" s="1"/>
  <c r="P573" i="19"/>
  <c r="Q573" i="19" s="1"/>
  <c r="R573" i="19" s="1"/>
  <c r="P493" i="19"/>
  <c r="P461" i="19"/>
  <c r="P445" i="19"/>
  <c r="P413" i="19"/>
  <c r="P381" i="19"/>
  <c r="P365" i="19"/>
  <c r="P924" i="19"/>
  <c r="P844" i="19"/>
  <c r="P828" i="19"/>
  <c r="P812" i="19"/>
  <c r="P748" i="19"/>
  <c r="P732" i="19"/>
  <c r="P716" i="19"/>
  <c r="P700" i="19"/>
  <c r="P684" i="19"/>
  <c r="P668" i="19"/>
  <c r="P652" i="19"/>
  <c r="P962" i="19"/>
  <c r="Q962" i="19" s="1"/>
  <c r="R962" i="19" s="1"/>
  <c r="P946" i="19"/>
  <c r="P1580" i="19"/>
  <c r="P1564" i="19"/>
  <c r="P1548" i="19"/>
  <c r="P1532" i="19"/>
  <c r="P1500" i="19"/>
  <c r="Q1500" i="19" s="1"/>
  <c r="R1500" i="19" s="1"/>
  <c r="P1468" i="19"/>
  <c r="P1420" i="19"/>
  <c r="P1404" i="19"/>
  <c r="P1388" i="19"/>
  <c r="Q1388" i="19" s="1"/>
  <c r="R1388" i="19" s="1"/>
  <c r="P1372" i="19"/>
  <c r="P1356" i="19"/>
  <c r="P1308" i="19"/>
  <c r="P1292" i="19"/>
  <c r="P1228" i="19"/>
  <c r="P1196" i="19"/>
  <c r="P1180" i="19"/>
  <c r="P1164" i="19"/>
  <c r="P1116" i="19"/>
  <c r="P1100" i="19"/>
  <c r="P1036" i="19"/>
  <c r="P646" i="19"/>
  <c r="P614" i="19"/>
  <c r="P486" i="19"/>
  <c r="P917" i="19"/>
  <c r="P757" i="19"/>
  <c r="P741" i="19"/>
  <c r="P1573" i="19"/>
  <c r="P1477" i="19"/>
  <c r="P1445" i="19"/>
  <c r="P1349" i="19"/>
  <c r="Q1349" i="19" s="1"/>
  <c r="R1349" i="19" s="1"/>
  <c r="P1333" i="19"/>
  <c r="Q1333" i="19" s="1"/>
  <c r="R1333" i="19" s="1"/>
  <c r="P1189" i="19"/>
  <c r="P1173" i="19"/>
  <c r="P1141" i="19"/>
  <c r="P1093" i="19"/>
  <c r="P1061" i="19"/>
  <c r="Q1061" i="19" s="1"/>
  <c r="R1061" i="19" s="1"/>
  <c r="P862" i="19"/>
  <c r="P846" i="19"/>
  <c r="P830" i="19"/>
  <c r="P814" i="19"/>
  <c r="P798" i="19"/>
  <c r="P734" i="19"/>
  <c r="P702" i="19"/>
  <c r="P670" i="19"/>
  <c r="P654" i="19"/>
  <c r="P964" i="19"/>
  <c r="P948" i="19"/>
  <c r="Q948" i="19" s="1"/>
  <c r="R948" i="19" s="1"/>
  <c r="P1566" i="19"/>
  <c r="P1550" i="19"/>
  <c r="P1534" i="19"/>
  <c r="Q1534" i="19" s="1"/>
  <c r="R1534" i="19" s="1"/>
  <c r="P1518" i="19"/>
  <c r="P1502" i="19"/>
  <c r="P1486" i="19"/>
  <c r="P1470" i="19"/>
  <c r="P1454" i="19"/>
  <c r="P1438" i="19"/>
  <c r="P1422" i="19"/>
  <c r="P1406" i="19"/>
  <c r="P1390" i="19"/>
  <c r="P1374" i="19"/>
  <c r="P1278" i="19"/>
  <c r="Q1278" i="19" s="1"/>
  <c r="R1278" i="19" s="1"/>
  <c r="P1246" i="19"/>
  <c r="Q1246" i="19" s="1"/>
  <c r="R1246" i="19" s="1"/>
  <c r="P1182" i="19"/>
  <c r="P1166" i="19"/>
  <c r="P1134" i="19"/>
  <c r="Q1134" i="19" s="1"/>
  <c r="R1134" i="19" s="1"/>
  <c r="P1118" i="19"/>
  <c r="P1102" i="19"/>
  <c r="P582" i="19"/>
  <c r="P422" i="19"/>
  <c r="P406" i="19"/>
  <c r="P374" i="19"/>
  <c r="P901" i="19"/>
  <c r="P869" i="19"/>
  <c r="Q869" i="19" s="1"/>
  <c r="R869" i="19" s="1"/>
  <c r="P837" i="19"/>
  <c r="P725" i="19"/>
  <c r="P1621" i="19"/>
  <c r="Q1621" i="19" s="1"/>
  <c r="R1621" i="19" s="1"/>
  <c r="P1589" i="19"/>
  <c r="P1461" i="19"/>
  <c r="P1285" i="19"/>
  <c r="P1253" i="19"/>
  <c r="P1029" i="19"/>
  <c r="Q1029" i="19" s="1"/>
  <c r="R1029" i="19" s="1"/>
  <c r="P1013" i="19"/>
  <c r="P495" i="19"/>
  <c r="P479" i="19"/>
  <c r="P463" i="19"/>
  <c r="P926" i="19"/>
  <c r="Q926" i="19" s="1"/>
  <c r="R926" i="19" s="1"/>
  <c r="P910" i="19"/>
  <c r="P894" i="19"/>
  <c r="P632" i="19"/>
  <c r="P568" i="19"/>
  <c r="P552" i="19"/>
  <c r="P520" i="19"/>
  <c r="P504" i="19"/>
  <c r="P456" i="19"/>
  <c r="P424" i="19"/>
  <c r="Q424" i="19" s="1"/>
  <c r="R424" i="19" s="1"/>
  <c r="P408" i="19"/>
  <c r="P376" i="19"/>
  <c r="P887" i="19"/>
  <c r="P871" i="19"/>
  <c r="Q871" i="19" s="1"/>
  <c r="R871" i="19" s="1"/>
  <c r="P855" i="19"/>
  <c r="Q855" i="19" s="1"/>
  <c r="R855" i="19" s="1"/>
  <c r="P839" i="19"/>
  <c r="P823" i="19"/>
  <c r="P791" i="19"/>
  <c r="Q791" i="19" s="1"/>
  <c r="R791" i="19" s="1"/>
  <c r="P759" i="19"/>
  <c r="P743" i="19"/>
  <c r="P695" i="19"/>
  <c r="P663" i="19"/>
  <c r="P973" i="19"/>
  <c r="Q973" i="19" s="1"/>
  <c r="R973" i="19" s="1"/>
  <c r="P957" i="19"/>
  <c r="P1607" i="19"/>
  <c r="P1591" i="19"/>
  <c r="P1559" i="19"/>
  <c r="Q1559" i="19" s="1"/>
  <c r="R1559" i="19" s="1"/>
  <c r="P1543" i="19"/>
  <c r="Q1543" i="19" s="1"/>
  <c r="R1543" i="19" s="1"/>
  <c r="P1335" i="19"/>
  <c r="P1319" i="19"/>
  <c r="P1303" i="19"/>
  <c r="P1287" i="19"/>
  <c r="P1239" i="19"/>
  <c r="P1223" i="19"/>
  <c r="P1191" i="19"/>
  <c r="Q1191" i="19" s="1"/>
  <c r="R1191" i="19" s="1"/>
  <c r="P1175" i="19"/>
  <c r="P1143" i="19"/>
  <c r="P1127" i="19"/>
  <c r="Q1127" i="19" s="1"/>
  <c r="R1127" i="19" s="1"/>
  <c r="P1111" i="19"/>
  <c r="P1095" i="19"/>
  <c r="P1063" i="19"/>
  <c r="Q1063" i="19" s="1"/>
  <c r="R1063" i="19" s="1"/>
  <c r="P1047" i="19"/>
  <c r="P1015" i="19"/>
  <c r="Q1015" i="19" s="1"/>
  <c r="R1015" i="19" s="1"/>
  <c r="P999" i="19"/>
  <c r="P641" i="19"/>
  <c r="P625" i="19"/>
  <c r="P593" i="19"/>
  <c r="P529" i="19"/>
  <c r="P497" i="19"/>
  <c r="P385" i="19"/>
  <c r="P369" i="19"/>
  <c r="P928" i="19"/>
  <c r="P864" i="19"/>
  <c r="P832" i="19"/>
  <c r="P800" i="19"/>
  <c r="P768" i="19"/>
  <c r="P752" i="19"/>
  <c r="P736" i="19"/>
  <c r="P704" i="19"/>
  <c r="P688" i="19"/>
  <c r="P672" i="19"/>
  <c r="Q672" i="19" s="1"/>
  <c r="R672" i="19" s="1"/>
  <c r="P1584" i="19"/>
  <c r="P1568" i="19"/>
  <c r="P1536" i="19"/>
  <c r="Q1536" i="19" s="1"/>
  <c r="R1536" i="19" s="1"/>
  <c r="R1535" i="8" s="1"/>
  <c r="P1504" i="19"/>
  <c r="P1472" i="19"/>
  <c r="P1456" i="19"/>
  <c r="P1440" i="19"/>
  <c r="P1344" i="19"/>
  <c r="P1328" i="19"/>
  <c r="P1296" i="19"/>
  <c r="P1184" i="19"/>
  <c r="P1168" i="19"/>
  <c r="P1152" i="19"/>
  <c r="Q1152" i="19" s="1"/>
  <c r="R1152" i="19" s="1"/>
  <c r="P1120" i="19"/>
  <c r="P1072" i="19"/>
  <c r="P1056" i="19"/>
  <c r="P1008" i="19"/>
  <c r="P992" i="19"/>
  <c r="P976" i="19"/>
  <c r="P1055" i="19"/>
  <c r="P797" i="19"/>
  <c r="Q797" i="19" s="1"/>
  <c r="R797" i="19" s="1"/>
  <c r="P661" i="19"/>
  <c r="Q661" i="19" s="1"/>
  <c r="R661" i="19" s="1"/>
  <c r="P1104" i="19"/>
  <c r="P677" i="19"/>
  <c r="P1148" i="19"/>
  <c r="Q1148" i="19" s="1"/>
  <c r="R1148" i="19" s="1"/>
  <c r="P1327" i="19"/>
  <c r="P1508" i="19"/>
  <c r="P860" i="19"/>
  <c r="P1150" i="19"/>
  <c r="P1329" i="19"/>
  <c r="Q1329" i="19" s="1"/>
  <c r="R1329" i="19" s="1"/>
  <c r="P1509" i="19"/>
  <c r="P1331" i="19"/>
  <c r="U978" i="19"/>
  <c r="P978" i="19"/>
  <c r="U981" i="19"/>
  <c r="P981" i="19"/>
  <c r="Q981" i="19" s="1"/>
  <c r="R981" i="19" s="1"/>
  <c r="U982" i="19"/>
  <c r="P982" i="19"/>
  <c r="T983" i="19"/>
  <c r="P983" i="19"/>
  <c r="U986" i="19"/>
  <c r="P986" i="19"/>
  <c r="U987" i="19"/>
  <c r="P987" i="19"/>
  <c r="U988" i="19"/>
  <c r="P988" i="19"/>
  <c r="U990" i="19"/>
  <c r="P990" i="19"/>
  <c r="T993" i="19"/>
  <c r="P993" i="19"/>
  <c r="Q993" i="19" s="1"/>
  <c r="R993" i="19" s="1"/>
  <c r="U996" i="19"/>
  <c r="P996" i="19"/>
  <c r="U997" i="19"/>
  <c r="P997" i="19"/>
  <c r="U998" i="19"/>
  <c r="P998" i="19"/>
  <c r="U1000" i="19"/>
  <c r="P1000" i="19"/>
  <c r="T1001" i="19"/>
  <c r="P1001" i="19"/>
  <c r="U1002" i="19"/>
  <c r="P1002" i="19"/>
  <c r="U1004" i="19"/>
  <c r="P1004" i="19"/>
  <c r="T1005" i="19"/>
  <c r="P1005" i="19"/>
  <c r="Q1005" i="19" s="1"/>
  <c r="R1005" i="19" s="1"/>
  <c r="U1006" i="19"/>
  <c r="P1006" i="19"/>
  <c r="U1012" i="19"/>
  <c r="P1012" i="19"/>
  <c r="U1014" i="19"/>
  <c r="P1014" i="19"/>
  <c r="U1016" i="19"/>
  <c r="P1016" i="19"/>
  <c r="U1017" i="19"/>
  <c r="P1017" i="19"/>
  <c r="U1018" i="19"/>
  <c r="P1018" i="19"/>
  <c r="T1020" i="19"/>
  <c r="P1020" i="19"/>
  <c r="U1022" i="19"/>
  <c r="P1022" i="19"/>
  <c r="T1024" i="19"/>
  <c r="P1024" i="19"/>
  <c r="Q1024" i="19" s="1"/>
  <c r="R1024" i="19" s="1"/>
  <c r="U1025" i="19"/>
  <c r="P1025" i="19"/>
  <c r="U1026" i="19"/>
  <c r="P1026" i="19"/>
  <c r="U1030" i="19"/>
  <c r="P1030" i="19"/>
  <c r="U1031" i="19"/>
  <c r="P1031" i="19"/>
  <c r="Q1031" i="19" s="1"/>
  <c r="R1031" i="19" s="1"/>
  <c r="U1033" i="19"/>
  <c r="P1033" i="19"/>
  <c r="U1034" i="19"/>
  <c r="P1034" i="19"/>
  <c r="U1037" i="19"/>
  <c r="P1037" i="19"/>
  <c r="Q1037" i="19" s="1"/>
  <c r="R1037" i="19" s="1"/>
  <c r="U1038" i="19"/>
  <c r="P1038" i="19"/>
  <c r="U1040" i="19"/>
  <c r="P1040" i="19"/>
  <c r="U1042" i="19"/>
  <c r="P1042" i="19"/>
  <c r="U1044" i="19"/>
  <c r="P1044" i="19"/>
  <c r="U1045" i="19"/>
  <c r="P1045" i="19"/>
  <c r="U1046" i="19"/>
  <c r="P1046" i="19"/>
  <c r="T1051" i="19"/>
  <c r="P1051" i="19"/>
  <c r="U1052" i="19"/>
  <c r="P1052" i="19"/>
  <c r="T1053" i="19"/>
  <c r="P1053" i="19"/>
  <c r="U1054" i="19"/>
  <c r="P1054" i="19"/>
  <c r="U1060" i="19"/>
  <c r="P1060" i="19"/>
  <c r="U1062" i="19"/>
  <c r="P1062" i="19"/>
  <c r="T1065" i="19"/>
  <c r="P1065" i="19"/>
  <c r="Q1065" i="19" s="1"/>
  <c r="R1065" i="19" s="1"/>
  <c r="T1067" i="19"/>
  <c r="P1067" i="19"/>
  <c r="T1068" i="19"/>
  <c r="P1068" i="19"/>
  <c r="U1070" i="19"/>
  <c r="P1070" i="19"/>
  <c r="T1071" i="19"/>
  <c r="P1071" i="19"/>
  <c r="T1073" i="19"/>
  <c r="P1073" i="19"/>
  <c r="Q1073" i="19" s="1"/>
  <c r="R1073" i="19" s="1"/>
  <c r="U1075" i="19"/>
  <c r="P1075" i="19"/>
  <c r="T1076" i="19"/>
  <c r="P1076" i="19"/>
  <c r="T1077" i="19"/>
  <c r="P1077" i="19"/>
  <c r="U1078" i="19"/>
  <c r="P1078" i="19"/>
  <c r="T1079" i="19"/>
  <c r="P1079" i="19"/>
  <c r="U1081" i="19"/>
  <c r="P1081" i="19"/>
  <c r="T1083" i="19"/>
  <c r="P1083" i="19"/>
  <c r="T1084" i="19"/>
  <c r="P1084" i="19"/>
  <c r="U1086" i="19"/>
  <c r="P1086" i="19"/>
  <c r="T1087" i="19"/>
  <c r="P1087" i="19"/>
  <c r="T1088" i="19"/>
  <c r="P1088" i="19"/>
  <c r="Q1088" i="19" s="1"/>
  <c r="R1088" i="19" s="1"/>
  <c r="U1094" i="19"/>
  <c r="P1094" i="19"/>
  <c r="U1096" i="19"/>
  <c r="P1096" i="19"/>
  <c r="T1103" i="19"/>
  <c r="P1103" i="19"/>
  <c r="T1106" i="19"/>
  <c r="P1106" i="19"/>
  <c r="U1109" i="19"/>
  <c r="P1109" i="19"/>
  <c r="T1110" i="19"/>
  <c r="P1110" i="19"/>
  <c r="T1112" i="19"/>
  <c r="P1112" i="19"/>
  <c r="U1113" i="19"/>
  <c r="P1113" i="19"/>
  <c r="T1115" i="19"/>
  <c r="P1115" i="19"/>
  <c r="Q1115" i="19" s="1"/>
  <c r="R1115" i="19" s="1"/>
  <c r="U1121" i="19"/>
  <c r="P1121" i="19"/>
  <c r="T1122" i="19"/>
  <c r="P1122" i="19"/>
  <c r="U1124" i="19"/>
  <c r="P1124" i="19"/>
  <c r="U1125" i="19"/>
  <c r="P1125" i="19"/>
  <c r="U1128" i="19"/>
  <c r="P1128" i="19"/>
  <c r="Q1128" i="19" s="1"/>
  <c r="R1128" i="19" s="1"/>
  <c r="U1129" i="19"/>
  <c r="P1129" i="19"/>
  <c r="T1130" i="19"/>
  <c r="P1130" i="19"/>
  <c r="T1132" i="19"/>
  <c r="P1132" i="19"/>
  <c r="Q1132" i="19" s="1"/>
  <c r="R1132" i="19" s="1"/>
  <c r="U1133" i="19"/>
  <c r="P1133" i="19"/>
  <c r="T1135" i="19"/>
  <c r="P1135" i="19"/>
  <c r="T1136" i="19"/>
  <c r="P1136" i="19"/>
  <c r="Q1136" i="19" s="1"/>
  <c r="R1136" i="19" s="1"/>
  <c r="U1145" i="19"/>
  <c r="P1145" i="19"/>
  <c r="U1146" i="19"/>
  <c r="P1146" i="19"/>
  <c r="U1147" i="19"/>
  <c r="P1147" i="19"/>
  <c r="U1153" i="19"/>
  <c r="P1153" i="19"/>
  <c r="U1157" i="19"/>
  <c r="P1157" i="19"/>
  <c r="U1159" i="19"/>
  <c r="P1159" i="19"/>
  <c r="U1161" i="19"/>
  <c r="P1161" i="19"/>
  <c r="T1163" i="19"/>
  <c r="P1163" i="19"/>
  <c r="U1165" i="19"/>
  <c r="P1165" i="19"/>
  <c r="T1171" i="19"/>
  <c r="P1171" i="19"/>
  <c r="Q1171" i="19" s="1"/>
  <c r="R1171" i="19" s="1"/>
  <c r="U1183" i="19"/>
  <c r="P1183" i="19"/>
  <c r="Q1183" i="19" s="1"/>
  <c r="R1183" i="19" s="1"/>
  <c r="U1187" i="19"/>
  <c r="P1187" i="19"/>
  <c r="T1194" i="19"/>
  <c r="P1194" i="19"/>
  <c r="T1195" i="19"/>
  <c r="P1195" i="19"/>
  <c r="U1198" i="19"/>
  <c r="P1198" i="19"/>
  <c r="U1200" i="19"/>
  <c r="P1200" i="19"/>
  <c r="T1201" i="19"/>
  <c r="P1201" i="19"/>
  <c r="Q1201" i="19" s="1"/>
  <c r="R1201" i="19" s="1"/>
  <c r="U1204" i="19"/>
  <c r="P1204" i="19"/>
  <c r="T1205" i="19"/>
  <c r="P1205" i="19"/>
  <c r="Q1205" i="19" s="1"/>
  <c r="R1205" i="19" s="1"/>
  <c r="T1207" i="19"/>
  <c r="P1207" i="19"/>
  <c r="T1209" i="19"/>
  <c r="P1209" i="19"/>
  <c r="T1210" i="19"/>
  <c r="P1210" i="19"/>
  <c r="U1212" i="19"/>
  <c r="P1212" i="19"/>
  <c r="U1214" i="19"/>
  <c r="P1214" i="19"/>
  <c r="Q1214" i="19" s="1"/>
  <c r="R1214" i="19" s="1"/>
  <c r="U1216" i="19"/>
  <c r="P1216" i="19"/>
  <c r="U1220" i="19"/>
  <c r="P1220" i="19"/>
  <c r="T1221" i="19"/>
  <c r="P1221" i="19"/>
  <c r="U1224" i="19"/>
  <c r="P1224" i="19"/>
  <c r="T1225" i="19"/>
  <c r="P1225" i="19"/>
  <c r="T1226" i="19"/>
  <c r="P1226" i="19"/>
  <c r="U1227" i="19"/>
  <c r="P1227" i="19"/>
  <c r="Q1227" i="19" s="1"/>
  <c r="R1227" i="19" s="1"/>
  <c r="U1230" i="19"/>
  <c r="P1230" i="19"/>
  <c r="Q1230" i="19" s="1"/>
  <c r="R1230" i="19" s="1"/>
  <c r="U1232" i="19"/>
  <c r="P1232" i="19"/>
  <c r="T1233" i="19"/>
  <c r="P1233" i="19"/>
  <c r="U1236" i="19"/>
  <c r="P1236" i="19"/>
  <c r="T1237" i="19"/>
  <c r="P1237" i="19"/>
  <c r="U1240" i="19"/>
  <c r="P1240" i="19"/>
  <c r="U1244" i="19"/>
  <c r="P1244" i="19"/>
  <c r="U1248" i="19"/>
  <c r="P1248" i="19"/>
  <c r="T1249" i="19"/>
  <c r="P1249" i="19"/>
  <c r="T1250" i="19"/>
  <c r="P1250" i="19"/>
  <c r="U1251" i="19"/>
  <c r="P1251" i="19"/>
  <c r="U1254" i="19"/>
  <c r="P1254" i="19"/>
  <c r="T1255" i="19"/>
  <c r="P1255" i="19"/>
  <c r="T1258" i="19"/>
  <c r="P1258" i="19"/>
  <c r="Q1258" i="19" s="1"/>
  <c r="R1258" i="19" s="1"/>
  <c r="U1260" i="19"/>
  <c r="P1260" i="19"/>
  <c r="T1262" i="19"/>
  <c r="P1262" i="19"/>
  <c r="U1264" i="19"/>
  <c r="P1264" i="19"/>
  <c r="U1268" i="19"/>
  <c r="P1268" i="19"/>
  <c r="T1269" i="19"/>
  <c r="P1269" i="19"/>
  <c r="T1271" i="19"/>
  <c r="P1271" i="19"/>
  <c r="U1272" i="19"/>
  <c r="P1272" i="19"/>
  <c r="U1273" i="19"/>
  <c r="P1273" i="19"/>
  <c r="Q1273" i="19" s="1"/>
  <c r="R1273" i="19" s="1"/>
  <c r="T1275" i="19"/>
  <c r="P1275" i="19"/>
  <c r="Q1275" i="19" s="1"/>
  <c r="R1275" i="19" s="1"/>
  <c r="U1276" i="19"/>
  <c r="P1276" i="19"/>
  <c r="U1280" i="19"/>
  <c r="P1280" i="19"/>
  <c r="T1281" i="19"/>
  <c r="P1281" i="19"/>
  <c r="T1282" i="19"/>
  <c r="P1282" i="19"/>
  <c r="U1283" i="19"/>
  <c r="P1283" i="19"/>
  <c r="U1286" i="19"/>
  <c r="P1286" i="19"/>
  <c r="Q1286" i="19" s="1"/>
  <c r="R1286" i="19" s="1"/>
  <c r="T1288" i="19"/>
  <c r="P1288" i="19"/>
  <c r="Q1288" i="19" s="1"/>
  <c r="R1288" i="19" s="1"/>
  <c r="U1293" i="19"/>
  <c r="P1293" i="19"/>
  <c r="T1294" i="19"/>
  <c r="P1294" i="19"/>
  <c r="Q1294" i="19" s="1"/>
  <c r="R1294" i="19" s="1"/>
  <c r="T1297" i="19"/>
  <c r="P1297" i="19"/>
  <c r="Q1297" i="19" s="1"/>
  <c r="R1297" i="19" s="1"/>
  <c r="U1298" i="19"/>
  <c r="P1298" i="19"/>
  <c r="T1301" i="19"/>
  <c r="P1301" i="19"/>
  <c r="T1304" i="19"/>
  <c r="P1304" i="19"/>
  <c r="Q1304" i="19" s="1"/>
  <c r="R1304" i="19" s="1"/>
  <c r="T1305" i="19"/>
  <c r="P1305" i="19"/>
  <c r="U1310" i="19"/>
  <c r="P1310" i="19"/>
  <c r="T1312" i="19"/>
  <c r="P1312" i="19"/>
  <c r="T1313" i="19"/>
  <c r="P1313" i="19"/>
  <c r="T1316" i="19"/>
  <c r="P1316" i="19"/>
  <c r="Q1316" i="19" s="1"/>
  <c r="R1316" i="19" s="1"/>
  <c r="T1317" i="19"/>
  <c r="P1317" i="19"/>
  <c r="Q1317" i="19" s="1"/>
  <c r="R1317" i="19" s="1"/>
  <c r="U1318" i="19"/>
  <c r="P1318" i="19"/>
  <c r="Q1318" i="19" s="1"/>
  <c r="R1318" i="19" s="1"/>
  <c r="T1322" i="19"/>
  <c r="P1322" i="19"/>
  <c r="T1324" i="19"/>
  <c r="P1324" i="19"/>
  <c r="Q1324" i="19" s="1"/>
  <c r="R1324" i="19" s="1"/>
  <c r="U1326" i="19"/>
  <c r="P1326" i="19"/>
  <c r="T1332" i="19"/>
  <c r="P1332" i="19"/>
  <c r="U1334" i="19"/>
  <c r="P1334" i="19"/>
  <c r="T1340" i="19"/>
  <c r="P1340" i="19"/>
  <c r="Q1340" i="19" s="1"/>
  <c r="R1340" i="19" s="1"/>
  <c r="T1342" i="19"/>
  <c r="P1342" i="19"/>
  <c r="Q1342" i="19" s="1"/>
  <c r="R1342" i="19" s="1"/>
  <c r="U1347" i="19"/>
  <c r="P1347" i="19"/>
  <c r="T1348" i="19"/>
  <c r="P1348" i="19"/>
  <c r="U1351" i="19"/>
  <c r="P1351" i="19"/>
  <c r="U1355" i="19"/>
  <c r="P1355" i="19"/>
  <c r="T1357" i="19"/>
  <c r="P1357" i="19"/>
  <c r="T1358" i="19"/>
  <c r="P1358" i="19"/>
  <c r="Q1358" i="19" s="1"/>
  <c r="R1358" i="19" s="1"/>
  <c r="U1359" i="19"/>
  <c r="P1359" i="19"/>
  <c r="T1360" i="19"/>
  <c r="P1360" i="19"/>
  <c r="T1361" i="19"/>
  <c r="P1361" i="19"/>
  <c r="U1363" i="19"/>
  <c r="P1363" i="19"/>
  <c r="T1365" i="19"/>
  <c r="P1365" i="19"/>
  <c r="U1367" i="19"/>
  <c r="P1367" i="19"/>
  <c r="U1371" i="19"/>
  <c r="P1371" i="19"/>
  <c r="T1373" i="19"/>
  <c r="P1373" i="19"/>
  <c r="U1375" i="19"/>
  <c r="P1375" i="19"/>
  <c r="T1376" i="19"/>
  <c r="P1376" i="19"/>
  <c r="U1378" i="19"/>
  <c r="P1378" i="19"/>
  <c r="Q1378" i="19" s="1"/>
  <c r="R1378" i="19" s="1"/>
  <c r="U1379" i="19"/>
  <c r="P1379" i="19"/>
  <c r="T1380" i="19"/>
  <c r="P1380" i="19"/>
  <c r="T1381" i="19"/>
  <c r="P1381" i="19"/>
  <c r="U1383" i="19"/>
  <c r="P1383" i="19"/>
  <c r="U1384" i="19"/>
  <c r="P1384" i="19"/>
  <c r="U1387" i="19"/>
  <c r="P1387" i="19"/>
  <c r="T1389" i="19"/>
  <c r="P1389" i="19"/>
  <c r="U1391" i="19"/>
  <c r="P1391" i="19"/>
  <c r="T1392" i="19"/>
  <c r="P1392" i="19"/>
  <c r="T1393" i="19"/>
  <c r="P1393" i="19"/>
  <c r="U1395" i="19"/>
  <c r="P1395" i="19"/>
  <c r="T1397" i="19"/>
  <c r="P1397" i="19"/>
  <c r="T1398" i="19"/>
  <c r="P1398" i="19"/>
  <c r="U1399" i="19"/>
  <c r="P1399" i="19"/>
  <c r="U1403" i="19"/>
  <c r="P1403" i="19"/>
  <c r="T1405" i="19"/>
  <c r="P1405" i="19"/>
  <c r="U1407" i="19"/>
  <c r="P1407" i="19"/>
  <c r="T1408" i="19"/>
  <c r="P1408" i="19"/>
  <c r="U1411" i="19"/>
  <c r="P1411" i="19"/>
  <c r="T1412" i="19"/>
  <c r="P1412" i="19"/>
  <c r="T1413" i="19"/>
  <c r="P1413" i="19"/>
  <c r="U1415" i="19"/>
  <c r="P1415" i="19"/>
  <c r="U1416" i="19"/>
  <c r="P1416" i="19"/>
  <c r="T1418" i="19"/>
  <c r="P1418" i="19"/>
  <c r="Q1418" i="19" s="1"/>
  <c r="R1418" i="19" s="1"/>
  <c r="R1417" i="8" s="1"/>
  <c r="U1419" i="19"/>
  <c r="P1419" i="19"/>
  <c r="T1421" i="19"/>
  <c r="P1421" i="19"/>
  <c r="U1423" i="19"/>
  <c r="P1423" i="19"/>
  <c r="T1424" i="19"/>
  <c r="P1424" i="19"/>
  <c r="T1425" i="19"/>
  <c r="P1425" i="19"/>
  <c r="U1427" i="19"/>
  <c r="P1427" i="19"/>
  <c r="U1429" i="19"/>
  <c r="P1429" i="19"/>
  <c r="T1431" i="19"/>
  <c r="P1431" i="19"/>
  <c r="T1432" i="19"/>
  <c r="P1432" i="19"/>
  <c r="U1433" i="19"/>
  <c r="P1433" i="19"/>
  <c r="U1436" i="19"/>
  <c r="P1436" i="19"/>
  <c r="T1439" i="19"/>
  <c r="P1439" i="19"/>
  <c r="U1441" i="19"/>
  <c r="P1441" i="19"/>
  <c r="T1447" i="19"/>
  <c r="P1447" i="19"/>
  <c r="U1449" i="19"/>
  <c r="P1449" i="19"/>
  <c r="T1451" i="19"/>
  <c r="P1451" i="19"/>
  <c r="T1452" i="19"/>
  <c r="P1452" i="19"/>
  <c r="Q1452" i="19" s="1"/>
  <c r="R1452" i="19" s="1"/>
  <c r="U1457" i="19"/>
  <c r="P1457" i="19"/>
  <c r="T1463" i="19"/>
  <c r="P1463" i="19"/>
  <c r="U1465" i="19"/>
  <c r="P1465" i="19"/>
  <c r="T1467" i="19"/>
  <c r="P1467" i="19"/>
  <c r="U1469" i="19"/>
  <c r="P1469" i="19"/>
  <c r="U1473" i="19"/>
  <c r="P1473" i="19"/>
  <c r="T1479" i="19"/>
  <c r="P1479" i="19"/>
  <c r="U1480" i="19"/>
  <c r="P1480" i="19"/>
  <c r="U1481" i="19"/>
  <c r="P1481" i="19"/>
  <c r="T1482" i="19"/>
  <c r="P1482" i="19"/>
  <c r="U1484" i="19"/>
  <c r="P1484" i="19"/>
  <c r="Q1484" i="19" s="1"/>
  <c r="R1484" i="19" s="1"/>
  <c r="U1485" i="19"/>
  <c r="P1485" i="19"/>
  <c r="T1487" i="19"/>
  <c r="P1487" i="19"/>
  <c r="U1488" i="19"/>
  <c r="P1488" i="19"/>
  <c r="U1489" i="19"/>
  <c r="P1489" i="19"/>
  <c r="T1490" i="19"/>
  <c r="P1490" i="19"/>
  <c r="T1492" i="19"/>
  <c r="P1492" i="19"/>
  <c r="Q1492" i="19" s="1"/>
  <c r="R1492" i="19" s="1"/>
  <c r="U1493" i="19"/>
  <c r="P1493" i="19"/>
  <c r="T1495" i="19"/>
  <c r="P1495" i="19"/>
  <c r="U1497" i="19"/>
  <c r="P1497" i="19"/>
  <c r="T1498" i="19"/>
  <c r="P1498" i="19"/>
  <c r="U1499" i="19"/>
  <c r="P1499" i="19"/>
  <c r="Q1499" i="19" s="1"/>
  <c r="R1499" i="19" s="1"/>
  <c r="T1503" i="19"/>
  <c r="P1503" i="19"/>
  <c r="U1505" i="19"/>
  <c r="P1505" i="19"/>
  <c r="T1506" i="19"/>
  <c r="P1506" i="19"/>
  <c r="U1507" i="19"/>
  <c r="P1507" i="19"/>
  <c r="U1510" i="19"/>
  <c r="P1510" i="19"/>
  <c r="Q1510" i="19" s="1"/>
  <c r="R1510" i="19" s="1"/>
  <c r="T1511" i="19"/>
  <c r="P1511" i="19"/>
  <c r="U1513" i="19"/>
  <c r="P1513" i="19"/>
  <c r="T1514" i="19"/>
  <c r="P1514" i="19"/>
  <c r="U1516" i="19"/>
  <c r="P1516" i="19"/>
  <c r="U1517" i="19"/>
  <c r="P1517" i="19"/>
  <c r="T1519" i="19"/>
  <c r="P1519" i="19"/>
  <c r="U1520" i="19"/>
  <c r="P1520" i="19"/>
  <c r="U1521" i="19"/>
  <c r="P1521" i="19"/>
  <c r="T1522" i="19"/>
  <c r="P1522" i="19"/>
  <c r="U1525" i="19"/>
  <c r="P1525" i="19"/>
  <c r="T1527" i="19"/>
  <c r="P1527" i="19"/>
  <c r="U1529" i="19"/>
  <c r="P1529" i="19"/>
  <c r="T1530" i="19"/>
  <c r="P1530" i="19"/>
  <c r="T1535" i="19"/>
  <c r="P1535" i="19"/>
  <c r="U1537" i="19"/>
  <c r="P1537" i="19"/>
  <c r="T1538" i="19"/>
  <c r="P1538" i="19"/>
  <c r="U1539" i="19"/>
  <c r="P1539" i="19"/>
  <c r="U1541" i="19"/>
  <c r="P1541" i="19"/>
  <c r="U1549" i="19"/>
  <c r="P1549" i="19"/>
  <c r="Q1549" i="19" s="1"/>
  <c r="R1549" i="19" s="1"/>
  <c r="U1552" i="19"/>
  <c r="P1552" i="19"/>
  <c r="U1554" i="19"/>
  <c r="P1554" i="19"/>
  <c r="U1556" i="19"/>
  <c r="P1556" i="19"/>
  <c r="U1557" i="19"/>
  <c r="P1557" i="19"/>
  <c r="Q1557" i="19" s="1"/>
  <c r="R1557" i="19" s="1"/>
  <c r="T1565" i="19"/>
  <c r="P1565" i="19"/>
  <c r="T1567" i="19"/>
  <c r="P1567" i="19"/>
  <c r="Q1567" i="19" s="1"/>
  <c r="R1567" i="19" s="1"/>
  <c r="U1570" i="19"/>
  <c r="P1570" i="19"/>
  <c r="U1571" i="19"/>
  <c r="P1571" i="19"/>
  <c r="Q1571" i="19" s="1"/>
  <c r="R1571" i="19" s="1"/>
  <c r="U1572" i="19"/>
  <c r="P1572" i="19"/>
  <c r="U1574" i="19"/>
  <c r="P1574" i="19"/>
  <c r="T1575" i="19"/>
  <c r="P1575" i="19"/>
  <c r="U1579" i="19"/>
  <c r="P1579" i="19"/>
  <c r="U1582" i="19"/>
  <c r="P1582" i="19"/>
  <c r="T1583" i="19"/>
  <c r="P1583" i="19"/>
  <c r="U1588" i="19"/>
  <c r="P1588" i="19"/>
  <c r="Q1588" i="19" s="1"/>
  <c r="R1588" i="19" s="1"/>
  <c r="U1590" i="19"/>
  <c r="P1590" i="19"/>
  <c r="T1592" i="19"/>
  <c r="P1592" i="19"/>
  <c r="U1593" i="19"/>
  <c r="P1593" i="19"/>
  <c r="U1594" i="19"/>
  <c r="P1594" i="19"/>
  <c r="T1596" i="19"/>
  <c r="P1596" i="19"/>
  <c r="U1597" i="19"/>
  <c r="P1597" i="19"/>
  <c r="U1598" i="19"/>
  <c r="P1598" i="19"/>
  <c r="U1599" i="19"/>
  <c r="P1599" i="19"/>
  <c r="T1600" i="19"/>
  <c r="P1600" i="19"/>
  <c r="T1601" i="19"/>
  <c r="P1601" i="19"/>
  <c r="Q1601" i="19" s="1"/>
  <c r="R1601" i="19" s="1"/>
  <c r="T1604" i="19"/>
  <c r="P1604" i="19"/>
  <c r="Q1604" i="19" s="1"/>
  <c r="R1604" i="19" s="1"/>
  <c r="U1605" i="19"/>
  <c r="P1605" i="19"/>
  <c r="U1606" i="19"/>
  <c r="P1606" i="19"/>
  <c r="T1609" i="19"/>
  <c r="P1609" i="19"/>
  <c r="Q1609" i="19" s="1"/>
  <c r="R1609" i="19" s="1"/>
  <c r="U1610" i="19"/>
  <c r="P1610" i="19"/>
  <c r="T1612" i="19"/>
  <c r="P1612" i="19"/>
  <c r="U1614" i="19"/>
  <c r="P1614" i="19"/>
  <c r="U1615" i="19"/>
  <c r="P1615" i="19"/>
  <c r="T1616" i="19"/>
  <c r="P1616" i="19"/>
  <c r="T1617" i="19"/>
  <c r="P1617" i="19"/>
  <c r="Q1617" i="19" s="1"/>
  <c r="R1617" i="19" s="1"/>
  <c r="U1618" i="19"/>
  <c r="P1618" i="19"/>
  <c r="U1619" i="19"/>
  <c r="P1619" i="19"/>
  <c r="U1620" i="19"/>
  <c r="P1620" i="19"/>
  <c r="U941" i="19"/>
  <c r="P941" i="19"/>
  <c r="Q941" i="19" s="1"/>
  <c r="R941" i="19" s="1"/>
  <c r="U945" i="19"/>
  <c r="P945" i="19"/>
  <c r="Q945" i="19" s="1"/>
  <c r="R945" i="19" s="1"/>
  <c r="U950" i="19"/>
  <c r="P950" i="19"/>
  <c r="U955" i="19"/>
  <c r="P955" i="19"/>
  <c r="T958" i="19"/>
  <c r="P958" i="19"/>
  <c r="Q958" i="19" s="1"/>
  <c r="R958" i="19" s="1"/>
  <c r="U959" i="19"/>
  <c r="P959" i="19"/>
  <c r="U963" i="19"/>
  <c r="P963" i="19"/>
  <c r="T966" i="19"/>
  <c r="P966" i="19"/>
  <c r="Q966" i="19" s="1"/>
  <c r="R966" i="19" s="1"/>
  <c r="U971" i="19"/>
  <c r="P971" i="19"/>
  <c r="U975" i="19"/>
  <c r="P975" i="19"/>
  <c r="U651" i="19"/>
  <c r="P651" i="19"/>
  <c r="Q651" i="19" s="1"/>
  <c r="R651" i="19" s="1"/>
  <c r="U656" i="19"/>
  <c r="P656" i="19"/>
  <c r="U664" i="19"/>
  <c r="P664" i="19"/>
  <c r="U674" i="19"/>
  <c r="P674" i="19"/>
  <c r="T675" i="19"/>
  <c r="P675" i="19"/>
  <c r="T676" i="19"/>
  <c r="P676" i="19"/>
  <c r="U678" i="19"/>
  <c r="P678" i="19"/>
  <c r="T679" i="19"/>
  <c r="P679" i="19"/>
  <c r="T680" i="19"/>
  <c r="P680" i="19"/>
  <c r="U686" i="19"/>
  <c r="P686" i="19"/>
  <c r="U690" i="19"/>
  <c r="P690" i="19"/>
  <c r="U693" i="19"/>
  <c r="P693" i="19"/>
  <c r="Q693" i="19" s="1"/>
  <c r="R693" i="19" s="1"/>
  <c r="T697" i="19"/>
  <c r="P697" i="19"/>
  <c r="Q697" i="19" s="1"/>
  <c r="R697" i="19" s="1"/>
  <c r="T699" i="19"/>
  <c r="P699" i="19"/>
  <c r="U705" i="19"/>
  <c r="P705" i="19"/>
  <c r="Q705" i="19" s="1"/>
  <c r="R705" i="19" s="1"/>
  <c r="U706" i="19"/>
  <c r="P706" i="19"/>
  <c r="Q706" i="19" s="1"/>
  <c r="R706" i="19" s="1"/>
  <c r="U708" i="19"/>
  <c r="P708" i="19"/>
  <c r="T709" i="19"/>
  <c r="P709" i="19"/>
  <c r="T710" i="19"/>
  <c r="P710" i="19"/>
  <c r="U711" i="19"/>
  <c r="P711" i="19"/>
  <c r="Q711" i="19" s="1"/>
  <c r="R711" i="19" s="1"/>
  <c r="U712" i="19"/>
  <c r="P712" i="19"/>
  <c r="T713" i="19"/>
  <c r="P713" i="19"/>
  <c r="T714" i="19"/>
  <c r="P714" i="19"/>
  <c r="U715" i="19"/>
  <c r="P715" i="19"/>
  <c r="T718" i="19"/>
  <c r="P718" i="19"/>
  <c r="U719" i="19"/>
  <c r="P719" i="19"/>
  <c r="Q719" i="19" s="1"/>
  <c r="R719" i="19" s="1"/>
  <c r="U720" i="19"/>
  <c r="P720" i="19"/>
  <c r="T722" i="19"/>
  <c r="P722" i="19"/>
  <c r="U724" i="19"/>
  <c r="P724" i="19"/>
  <c r="U726" i="19"/>
  <c r="P726" i="19"/>
  <c r="Q726" i="19" s="1"/>
  <c r="R726" i="19" s="1"/>
  <c r="T727" i="19"/>
  <c r="P727" i="19"/>
  <c r="T733" i="19"/>
  <c r="P733" i="19"/>
  <c r="U737" i="19"/>
  <c r="P737" i="19"/>
  <c r="U738" i="19"/>
  <c r="P738" i="19"/>
  <c r="Q738" i="19" s="1"/>
  <c r="R738" i="19" s="1"/>
  <c r="U739" i="19"/>
  <c r="P739" i="19"/>
  <c r="Q739" i="19" s="1"/>
  <c r="R739" i="19" s="1"/>
  <c r="U740" i="19"/>
  <c r="P740" i="19"/>
  <c r="T742" i="19"/>
  <c r="P742" i="19"/>
  <c r="U744" i="19"/>
  <c r="P744" i="19"/>
  <c r="T746" i="19"/>
  <c r="P746" i="19"/>
  <c r="T747" i="19"/>
  <c r="P747" i="19"/>
  <c r="U750" i="19"/>
  <c r="P750" i="19"/>
  <c r="U753" i="19"/>
  <c r="P753" i="19"/>
  <c r="T755" i="19"/>
  <c r="P755" i="19"/>
  <c r="Q755" i="19" s="1"/>
  <c r="R755" i="19" s="1"/>
  <c r="U756" i="19"/>
  <c r="P756" i="19"/>
  <c r="T763" i="19"/>
  <c r="P763" i="19"/>
  <c r="U764" i="19"/>
  <c r="P764" i="19"/>
  <c r="T765" i="19"/>
  <c r="P765" i="19"/>
  <c r="T766" i="19"/>
  <c r="P766" i="19"/>
  <c r="T767" i="19"/>
  <c r="P767" i="19"/>
  <c r="Q767" i="19" s="1"/>
  <c r="R767" i="19" s="1"/>
  <c r="U770" i="19"/>
  <c r="P770" i="19"/>
  <c r="Q770" i="19" s="1"/>
  <c r="R770" i="19" s="1"/>
  <c r="U771" i="19"/>
  <c r="P771" i="19"/>
  <c r="U773" i="19"/>
  <c r="P773" i="19"/>
  <c r="T774" i="19"/>
  <c r="P774" i="19"/>
  <c r="Q774" i="19" s="1"/>
  <c r="R774" i="19" s="1"/>
  <c r="T775" i="19"/>
  <c r="P775" i="19"/>
  <c r="Q775" i="19" s="1"/>
  <c r="R775" i="19" s="1"/>
  <c r="U776" i="19"/>
  <c r="P776" i="19"/>
  <c r="U777" i="19"/>
  <c r="P777" i="19"/>
  <c r="T779" i="19"/>
  <c r="P779" i="19"/>
  <c r="Q779" i="19" s="1"/>
  <c r="R779" i="19" s="1"/>
  <c r="U780" i="19"/>
  <c r="P780" i="19"/>
  <c r="T782" i="19"/>
  <c r="P782" i="19"/>
  <c r="T783" i="19"/>
  <c r="P783" i="19"/>
  <c r="U784" i="19"/>
  <c r="P784" i="19"/>
  <c r="T786" i="19"/>
  <c r="P786" i="19"/>
  <c r="U789" i="19"/>
  <c r="P789" i="19"/>
  <c r="U790" i="19"/>
  <c r="P790" i="19"/>
  <c r="U792" i="19"/>
  <c r="P792" i="19"/>
  <c r="T795" i="19"/>
  <c r="P795" i="19"/>
  <c r="Q795" i="19" s="1"/>
  <c r="R795" i="19" s="1"/>
  <c r="U796" i="19"/>
  <c r="P796" i="19"/>
  <c r="T801" i="19"/>
  <c r="P801" i="19"/>
  <c r="T802" i="19"/>
  <c r="P802" i="19"/>
  <c r="Q802" i="19" s="1"/>
  <c r="R802" i="19" s="1"/>
  <c r="U804" i="19"/>
  <c r="P804" i="19"/>
  <c r="U805" i="19"/>
  <c r="P805" i="19"/>
  <c r="T806" i="19"/>
  <c r="P806" i="19"/>
  <c r="T807" i="19"/>
  <c r="P807" i="19"/>
  <c r="U808" i="19"/>
  <c r="P808" i="19"/>
  <c r="U809" i="19"/>
  <c r="P809" i="19"/>
  <c r="U811" i="19"/>
  <c r="P811" i="19"/>
  <c r="Q811" i="19" s="1"/>
  <c r="R811" i="19" s="1"/>
  <c r="T815" i="19"/>
  <c r="P815" i="19"/>
  <c r="Q815" i="19" s="1"/>
  <c r="R815" i="19" s="1"/>
  <c r="U816" i="19"/>
  <c r="P816" i="19"/>
  <c r="T817" i="19"/>
  <c r="P817" i="19"/>
  <c r="T818" i="19"/>
  <c r="P818" i="19"/>
  <c r="Q818" i="19" s="1"/>
  <c r="R818" i="19" s="1"/>
  <c r="T819" i="19"/>
  <c r="P819" i="19"/>
  <c r="U821" i="19"/>
  <c r="P821" i="19"/>
  <c r="U822" i="19"/>
  <c r="P822" i="19"/>
  <c r="U824" i="19"/>
  <c r="P824" i="19"/>
  <c r="U825" i="19"/>
  <c r="P825" i="19"/>
  <c r="T826" i="19"/>
  <c r="P826" i="19"/>
  <c r="T835" i="19"/>
  <c r="P835" i="19"/>
  <c r="U836" i="19"/>
  <c r="P836" i="19"/>
  <c r="U840" i="19"/>
  <c r="P840" i="19"/>
  <c r="U841" i="19"/>
  <c r="P841" i="19"/>
  <c r="U843" i="19"/>
  <c r="P843" i="19"/>
  <c r="U847" i="19"/>
  <c r="P847" i="19"/>
  <c r="Q847" i="19" s="1"/>
  <c r="R847" i="19" s="1"/>
  <c r="U848" i="19"/>
  <c r="P848" i="19"/>
  <c r="T849" i="19"/>
  <c r="P849" i="19"/>
  <c r="T850" i="19"/>
  <c r="P850" i="19"/>
  <c r="Q850" i="19" s="1"/>
  <c r="R850" i="19" s="1"/>
  <c r="U851" i="19"/>
  <c r="P851" i="19"/>
  <c r="U853" i="19"/>
  <c r="P853" i="19"/>
  <c r="U856" i="19"/>
  <c r="P856" i="19"/>
  <c r="Q856" i="19" s="1"/>
  <c r="U857" i="19"/>
  <c r="P857" i="19"/>
  <c r="Q857" i="19" s="1"/>
  <c r="R857" i="19" s="1"/>
  <c r="U858" i="19"/>
  <c r="P858" i="19"/>
  <c r="Q858" i="19" s="1"/>
  <c r="R858" i="19" s="1"/>
  <c r="T859" i="19"/>
  <c r="P859" i="19"/>
  <c r="T863" i="19"/>
  <c r="P863" i="19"/>
  <c r="Q863" i="19" s="1"/>
  <c r="R863" i="19" s="1"/>
  <c r="U868" i="19"/>
  <c r="P868" i="19"/>
  <c r="U873" i="19"/>
  <c r="P873" i="19"/>
  <c r="T874" i="19"/>
  <c r="P874" i="19"/>
  <c r="U876" i="19"/>
  <c r="P876" i="19"/>
  <c r="U877" i="19"/>
  <c r="P877" i="19"/>
  <c r="Q877" i="19" s="1"/>
  <c r="R877" i="19" s="1"/>
  <c r="U878" i="19"/>
  <c r="P878" i="19"/>
  <c r="U880" i="19"/>
  <c r="P880" i="19"/>
  <c r="U884" i="19"/>
  <c r="P884" i="19"/>
  <c r="T885" i="19"/>
  <c r="P885" i="19"/>
  <c r="U888" i="19"/>
  <c r="P888" i="19"/>
  <c r="T890" i="19"/>
  <c r="P890" i="19"/>
  <c r="Q890" i="19" s="1"/>
  <c r="R890" i="19" s="1"/>
  <c r="U891" i="19"/>
  <c r="P891" i="19"/>
  <c r="U892" i="19"/>
  <c r="P892" i="19"/>
  <c r="U896" i="19"/>
  <c r="P896" i="19"/>
  <c r="T898" i="19"/>
  <c r="P898" i="19"/>
  <c r="T899" i="19"/>
  <c r="P899" i="19"/>
  <c r="T903" i="19"/>
  <c r="P903" i="19"/>
  <c r="Q903" i="19" s="1"/>
  <c r="R903" i="19" s="1"/>
  <c r="T906" i="19"/>
  <c r="P906" i="19"/>
  <c r="Q906" i="19" s="1"/>
  <c r="R906" i="19" s="1"/>
  <c r="U908" i="19"/>
  <c r="P908" i="19"/>
  <c r="U909" i="19"/>
  <c r="P909" i="19"/>
  <c r="U912" i="19"/>
  <c r="P912" i="19"/>
  <c r="T913" i="19"/>
  <c r="P913" i="19"/>
  <c r="T915" i="19"/>
  <c r="P915" i="19"/>
  <c r="Q915" i="19" s="1"/>
  <c r="R915" i="19" s="1"/>
  <c r="T919" i="19"/>
  <c r="P919" i="19"/>
  <c r="Q919" i="19" s="1"/>
  <c r="R919" i="19" s="1"/>
  <c r="T921" i="19"/>
  <c r="P921" i="19"/>
  <c r="T922" i="19"/>
  <c r="P922" i="19"/>
  <c r="Q922" i="19" s="1"/>
  <c r="R922" i="19" s="1"/>
  <c r="T925" i="19"/>
  <c r="P925" i="19"/>
  <c r="T931" i="19"/>
  <c r="P931" i="19"/>
  <c r="Q931" i="19" s="1"/>
  <c r="R931" i="19" s="1"/>
  <c r="T933" i="19"/>
  <c r="P933" i="19"/>
  <c r="T935" i="19"/>
  <c r="P935" i="19"/>
  <c r="Q935" i="19" s="1"/>
  <c r="R935" i="19" s="1"/>
  <c r="T937" i="19"/>
  <c r="P937" i="19"/>
  <c r="T938" i="19"/>
  <c r="P938" i="19"/>
  <c r="Q938" i="19" s="1"/>
  <c r="R938" i="19" s="1"/>
  <c r="T939" i="19"/>
  <c r="P939" i="19"/>
  <c r="Q939" i="19" s="1"/>
  <c r="R939" i="19" s="1"/>
  <c r="T367" i="19"/>
  <c r="P367" i="19"/>
  <c r="T372" i="19"/>
  <c r="P372" i="19"/>
  <c r="U375" i="19"/>
  <c r="P375" i="19"/>
  <c r="Q375" i="19" s="1"/>
  <c r="R375" i="19" s="1"/>
  <c r="U378" i="19"/>
  <c r="P378" i="19"/>
  <c r="T379" i="19"/>
  <c r="P379" i="19"/>
  <c r="U382" i="19"/>
  <c r="P382" i="19"/>
  <c r="Q382" i="19" s="1"/>
  <c r="R382" i="19" s="1"/>
  <c r="T383" i="19"/>
  <c r="P383" i="19"/>
  <c r="U386" i="19"/>
  <c r="P386" i="19"/>
  <c r="Q386" i="19" s="1"/>
  <c r="R386" i="19" s="1"/>
  <c r="T387" i="19"/>
  <c r="P387" i="19"/>
  <c r="Q387" i="19" s="1"/>
  <c r="R387" i="19" s="1"/>
  <c r="T390" i="19"/>
  <c r="P390" i="19"/>
  <c r="U392" i="19"/>
  <c r="P392" i="19"/>
  <c r="U393" i="19"/>
  <c r="P393" i="19"/>
  <c r="U395" i="19"/>
  <c r="P395" i="19"/>
  <c r="U397" i="19"/>
  <c r="P397" i="19"/>
  <c r="T399" i="19"/>
  <c r="P399" i="19"/>
  <c r="T400" i="19"/>
  <c r="P400" i="19"/>
  <c r="Q400" i="19" s="1"/>
  <c r="R400" i="19" s="1"/>
  <c r="U401" i="19"/>
  <c r="P401" i="19"/>
  <c r="T404" i="19"/>
  <c r="P404" i="19"/>
  <c r="U409" i="19"/>
  <c r="P409" i="19"/>
  <c r="T411" i="19"/>
  <c r="P411" i="19"/>
  <c r="Q411" i="19" s="1"/>
  <c r="R411" i="19" s="1"/>
  <c r="U412" i="19"/>
  <c r="P412" i="19"/>
  <c r="Q412" i="19" s="1"/>
  <c r="R412" i="19" s="1"/>
  <c r="T415" i="19"/>
  <c r="P415" i="19"/>
  <c r="T417" i="19"/>
  <c r="P417" i="19"/>
  <c r="T419" i="19"/>
  <c r="P419" i="19"/>
  <c r="Q419" i="19" s="1"/>
  <c r="R419" i="19" s="1"/>
  <c r="T420" i="19"/>
  <c r="P420" i="19"/>
  <c r="U421" i="19"/>
  <c r="P421" i="19"/>
  <c r="T423" i="19"/>
  <c r="P423" i="19"/>
  <c r="T427" i="19"/>
  <c r="P427" i="19"/>
  <c r="Q427" i="19" s="1"/>
  <c r="R427" i="19" s="1"/>
  <c r="T429" i="19"/>
  <c r="P429" i="19"/>
  <c r="U430" i="19"/>
  <c r="P430" i="19"/>
  <c r="U431" i="19"/>
  <c r="P431" i="19"/>
  <c r="T432" i="19"/>
  <c r="P432" i="19"/>
  <c r="Q432" i="19" s="1"/>
  <c r="R432" i="19" s="1"/>
  <c r="T433" i="19"/>
  <c r="P433" i="19"/>
  <c r="U434" i="19"/>
  <c r="P434" i="19"/>
  <c r="U435" i="19"/>
  <c r="P435" i="19"/>
  <c r="U436" i="19"/>
  <c r="P436" i="19"/>
  <c r="U438" i="19"/>
  <c r="P438" i="19"/>
  <c r="T440" i="19"/>
  <c r="P440" i="19"/>
  <c r="U442" i="19"/>
  <c r="P442" i="19"/>
  <c r="U447" i="19"/>
  <c r="P447" i="19"/>
  <c r="U448" i="19"/>
  <c r="P448" i="19"/>
  <c r="Q448" i="19" s="1"/>
  <c r="R448" i="19" s="1"/>
  <c r="U449" i="19"/>
  <c r="P449" i="19"/>
  <c r="Q449" i="19" s="1"/>
  <c r="R449" i="19" s="1"/>
  <c r="U450" i="19"/>
  <c r="P450" i="19"/>
  <c r="T453" i="19"/>
  <c r="P453" i="19"/>
  <c r="Q453" i="19" s="1"/>
  <c r="R453" i="19" s="1"/>
  <c r="U454" i="19"/>
  <c r="P454" i="19"/>
  <c r="T455" i="19"/>
  <c r="P455" i="19"/>
  <c r="Q455" i="19" s="1"/>
  <c r="R455" i="19" s="1"/>
  <c r="T457" i="19"/>
  <c r="P457" i="19"/>
  <c r="T459" i="19"/>
  <c r="P459" i="19"/>
  <c r="T460" i="19"/>
  <c r="P460" i="19"/>
  <c r="U462" i="19"/>
  <c r="P462" i="19"/>
  <c r="T464" i="19"/>
  <c r="P464" i="19"/>
  <c r="U465" i="19"/>
  <c r="P465" i="19"/>
  <c r="Q465" i="19" s="1"/>
  <c r="R465" i="19" s="1"/>
  <c r="U466" i="19"/>
  <c r="P466" i="19"/>
  <c r="U467" i="19"/>
  <c r="P467" i="19"/>
  <c r="Q467" i="19" s="1"/>
  <c r="R467" i="19" s="1"/>
  <c r="U468" i="19"/>
  <c r="P468" i="19"/>
  <c r="U470" i="19"/>
  <c r="P470" i="19"/>
  <c r="T472" i="19"/>
  <c r="P472" i="19"/>
  <c r="T473" i="19"/>
  <c r="P473" i="19"/>
  <c r="U474" i="19"/>
  <c r="P474" i="19"/>
  <c r="T476" i="19"/>
  <c r="P476" i="19"/>
  <c r="U477" i="19"/>
  <c r="P477" i="19"/>
  <c r="U481" i="19"/>
  <c r="P481" i="19"/>
  <c r="U482" i="19"/>
  <c r="P482" i="19"/>
  <c r="U483" i="19"/>
  <c r="P483" i="19"/>
  <c r="Q483" i="19" s="1"/>
  <c r="R483" i="19" s="1"/>
  <c r="T484" i="19"/>
  <c r="P484" i="19"/>
  <c r="T485" i="19"/>
  <c r="P485" i="19"/>
  <c r="T488" i="19"/>
  <c r="P488" i="19"/>
  <c r="Q488" i="19" s="1"/>
  <c r="R488" i="19" s="1"/>
  <c r="T489" i="19"/>
  <c r="P489" i="19"/>
  <c r="T490" i="19"/>
  <c r="P490" i="19"/>
  <c r="T492" i="19"/>
  <c r="P492" i="19"/>
  <c r="T494" i="19"/>
  <c r="P494" i="19"/>
  <c r="T496" i="19"/>
  <c r="P496" i="19"/>
  <c r="Q496" i="19" s="1"/>
  <c r="R496" i="19" s="1"/>
  <c r="T500" i="19"/>
  <c r="P500" i="19"/>
  <c r="U502" i="19"/>
  <c r="P502" i="19"/>
  <c r="U503" i="19"/>
  <c r="P503" i="19"/>
  <c r="T505" i="19"/>
  <c r="P505" i="19"/>
  <c r="T506" i="19"/>
  <c r="P506" i="19"/>
  <c r="U507" i="19"/>
  <c r="P507" i="19"/>
  <c r="T509" i="19"/>
  <c r="P509" i="19"/>
  <c r="U510" i="19"/>
  <c r="P510" i="19"/>
  <c r="Q510" i="19" s="1"/>
  <c r="R510" i="19" s="1"/>
  <c r="U511" i="19"/>
  <c r="P511" i="19"/>
  <c r="T513" i="19"/>
  <c r="P513" i="19"/>
  <c r="T514" i="19"/>
  <c r="P514" i="19"/>
  <c r="Q514" i="19" s="1"/>
  <c r="R514" i="19" s="1"/>
  <c r="U515" i="19"/>
  <c r="P515" i="19"/>
  <c r="U517" i="19"/>
  <c r="P517" i="19"/>
  <c r="T518" i="19"/>
  <c r="P518" i="19"/>
  <c r="Q518" i="19" s="1"/>
  <c r="R518" i="19" s="1"/>
  <c r="U521" i="19"/>
  <c r="P521" i="19"/>
  <c r="Q521" i="19" s="1"/>
  <c r="R521" i="19" s="1"/>
  <c r="U523" i="19"/>
  <c r="P523" i="19"/>
  <c r="T525" i="19"/>
  <c r="P525" i="19"/>
  <c r="U527" i="19"/>
  <c r="P527" i="19"/>
  <c r="T528" i="19"/>
  <c r="P528" i="19"/>
  <c r="Q528" i="19" s="1"/>
  <c r="R528" i="19" s="1"/>
  <c r="T530" i="19"/>
  <c r="P530" i="19"/>
  <c r="T532" i="19"/>
  <c r="P532" i="19"/>
  <c r="T533" i="19"/>
  <c r="P533" i="19"/>
  <c r="T534" i="19"/>
  <c r="P534" i="19"/>
  <c r="Q534" i="19" s="1"/>
  <c r="R534" i="19" s="1"/>
  <c r="U535" i="19"/>
  <c r="P535" i="19"/>
  <c r="U536" i="19"/>
  <c r="P536" i="19"/>
  <c r="Q536" i="19" s="1"/>
  <c r="R536" i="19" s="1"/>
  <c r="T537" i="19"/>
  <c r="P537" i="19"/>
  <c r="T538" i="19"/>
  <c r="P538" i="19"/>
  <c r="Q538" i="19" s="1"/>
  <c r="R538" i="19" s="1"/>
  <c r="U539" i="19"/>
  <c r="P539" i="19"/>
  <c r="U540" i="19"/>
  <c r="P540" i="19"/>
  <c r="Q540" i="19" s="1"/>
  <c r="R540" i="19" s="1"/>
  <c r="T541" i="19"/>
  <c r="P541" i="19"/>
  <c r="T542" i="19"/>
  <c r="P542" i="19"/>
  <c r="U543" i="19"/>
  <c r="P543" i="19"/>
  <c r="T545" i="19"/>
  <c r="P545" i="19"/>
  <c r="T546" i="19"/>
  <c r="P546" i="19"/>
  <c r="U547" i="19"/>
  <c r="P547" i="19"/>
  <c r="U549" i="19"/>
  <c r="P549" i="19"/>
  <c r="Q549" i="19" s="1"/>
  <c r="R549" i="19" s="1"/>
  <c r="T550" i="19"/>
  <c r="P550" i="19"/>
  <c r="U551" i="19"/>
  <c r="P551" i="19"/>
  <c r="U555" i="19"/>
  <c r="P555" i="19"/>
  <c r="U556" i="19"/>
  <c r="P556" i="19"/>
  <c r="T557" i="19"/>
  <c r="P557" i="19"/>
  <c r="U559" i="19"/>
  <c r="P559" i="19"/>
  <c r="T560" i="19"/>
  <c r="P560" i="19"/>
  <c r="T561" i="19"/>
  <c r="P561" i="19"/>
  <c r="U562" i="19"/>
  <c r="P562" i="19"/>
  <c r="Q562" i="19" s="1"/>
  <c r="R562" i="19" s="1"/>
  <c r="T564" i="19"/>
  <c r="P564" i="19"/>
  <c r="T566" i="19"/>
  <c r="P566" i="19"/>
  <c r="U567" i="19"/>
  <c r="P567" i="19"/>
  <c r="U569" i="19"/>
  <c r="P569" i="19"/>
  <c r="Q569" i="19" s="1"/>
  <c r="R569" i="19" s="1"/>
  <c r="T570" i="19"/>
  <c r="P570" i="19"/>
  <c r="U571" i="19"/>
  <c r="P571" i="19"/>
  <c r="U572" i="19"/>
  <c r="P572" i="19"/>
  <c r="U574" i="19"/>
  <c r="P574" i="19"/>
  <c r="U575" i="19"/>
  <c r="P575" i="19"/>
  <c r="T576" i="19"/>
  <c r="P576" i="19"/>
  <c r="Q576" i="19" s="1"/>
  <c r="R576" i="19" s="1"/>
  <c r="T577" i="19"/>
  <c r="P577" i="19"/>
  <c r="U578" i="19"/>
  <c r="P578" i="19"/>
  <c r="Q578" i="19" s="1"/>
  <c r="R578" i="19" s="1"/>
  <c r="U581" i="19"/>
  <c r="P581" i="19"/>
  <c r="Q581" i="19" s="1"/>
  <c r="R581" i="19" s="1"/>
  <c r="U584" i="19"/>
  <c r="P584" i="19"/>
  <c r="Q584" i="19" s="1"/>
  <c r="R584" i="19" s="1"/>
  <c r="T585" i="19"/>
  <c r="P585" i="19"/>
  <c r="U586" i="19"/>
  <c r="P586" i="19"/>
  <c r="Q586" i="19" s="1"/>
  <c r="R586" i="19" s="1"/>
  <c r="U587" i="19"/>
  <c r="P587" i="19"/>
  <c r="U588" i="19"/>
  <c r="P588" i="19"/>
  <c r="T590" i="19"/>
  <c r="P590" i="19"/>
  <c r="U591" i="19"/>
  <c r="P591" i="19"/>
  <c r="T594" i="19"/>
  <c r="P594" i="19"/>
  <c r="Q594" i="19" s="1"/>
  <c r="R594" i="19" s="1"/>
  <c r="U595" i="19"/>
  <c r="P595" i="19"/>
  <c r="T596" i="19"/>
  <c r="P596" i="19"/>
  <c r="T597" i="19"/>
  <c r="P597" i="19"/>
  <c r="U598" i="19"/>
  <c r="P598" i="19"/>
  <c r="U599" i="19"/>
  <c r="P599" i="19"/>
  <c r="U600" i="19"/>
  <c r="P600" i="19"/>
  <c r="T601" i="19"/>
  <c r="P601" i="19"/>
  <c r="T602" i="19"/>
  <c r="P602" i="19"/>
  <c r="Q602" i="19" s="1"/>
  <c r="R602" i="19" s="1"/>
  <c r="U603" i="19"/>
  <c r="P603" i="19"/>
  <c r="U604" i="19"/>
  <c r="P604" i="19"/>
  <c r="U605" i="19"/>
  <c r="P605" i="19"/>
  <c r="T606" i="19"/>
  <c r="P606" i="19"/>
  <c r="U607" i="19"/>
  <c r="P607" i="19"/>
  <c r="T609" i="19"/>
  <c r="P609" i="19"/>
  <c r="T610" i="19"/>
  <c r="P610" i="19"/>
  <c r="T613" i="19"/>
  <c r="P613" i="19"/>
  <c r="Q613" i="19" s="1"/>
  <c r="R613" i="19" s="1"/>
  <c r="U616" i="19"/>
  <c r="P616" i="19"/>
  <c r="T618" i="19"/>
  <c r="P618" i="19"/>
  <c r="Q618" i="19" s="1"/>
  <c r="R618" i="19" s="1"/>
  <c r="U619" i="19"/>
  <c r="P619" i="19"/>
  <c r="U620" i="19"/>
  <c r="P620" i="19"/>
  <c r="T622" i="19"/>
  <c r="P622" i="19"/>
  <c r="Q622" i="19" s="1"/>
  <c r="R622" i="19" s="1"/>
  <c r="U623" i="19"/>
  <c r="P623" i="19"/>
  <c r="T626" i="19"/>
  <c r="P626" i="19"/>
  <c r="U627" i="19"/>
  <c r="P627" i="19"/>
  <c r="T629" i="19"/>
  <c r="P629" i="19"/>
  <c r="U630" i="19"/>
  <c r="P630" i="19"/>
  <c r="Q630" i="19" s="1"/>
  <c r="R630" i="19" s="1"/>
  <c r="T635" i="19"/>
  <c r="P635" i="19"/>
  <c r="T637" i="19"/>
  <c r="P637" i="19"/>
  <c r="T638" i="19"/>
  <c r="P638" i="19"/>
  <c r="U639" i="19"/>
  <c r="P639" i="19"/>
  <c r="Q639" i="19" s="1"/>
  <c r="R639" i="19" s="1"/>
  <c r="T642" i="19"/>
  <c r="P642" i="19"/>
  <c r="Q642" i="19" s="1"/>
  <c r="R642" i="19" s="1"/>
  <c r="T645" i="19"/>
  <c r="P645" i="19"/>
  <c r="U647" i="19"/>
  <c r="P647" i="19"/>
  <c r="Q647" i="19" s="1"/>
  <c r="R647" i="19" s="1"/>
  <c r="U648" i="19"/>
  <c r="P648" i="19"/>
  <c r="U649" i="19"/>
  <c r="P649" i="19"/>
  <c r="S982" i="2"/>
  <c r="S992" i="2"/>
  <c r="T286" i="8"/>
  <c r="T383" i="8"/>
  <c r="T382" i="8"/>
  <c r="T163" i="8"/>
  <c r="T158" i="8"/>
  <c r="T140" i="8"/>
  <c r="T135" i="8"/>
  <c r="T391" i="8"/>
  <c r="T232" i="8"/>
  <c r="T221" i="8"/>
  <c r="T167" i="8"/>
  <c r="T142" i="8"/>
  <c r="T136" i="8"/>
  <c r="T243" i="8"/>
  <c r="T397" i="8"/>
  <c r="T292" i="8"/>
  <c r="T181" i="8"/>
  <c r="T141" i="8"/>
  <c r="T398" i="8"/>
  <c r="T220" i="8"/>
  <c r="T164" i="8"/>
  <c r="T291" i="8"/>
  <c r="T289" i="8"/>
  <c r="T200" i="8"/>
  <c r="T134" i="8"/>
  <c r="T162" i="8"/>
  <c r="T133" i="8"/>
  <c r="T145" i="8"/>
  <c r="T290" i="8"/>
  <c r="T165" i="8"/>
  <c r="N1620" i="19"/>
  <c r="K1625" i="2"/>
  <c r="N1616" i="19"/>
  <c r="K1621" i="2"/>
  <c r="N1612" i="19"/>
  <c r="K1617" i="2"/>
  <c r="N1608" i="19"/>
  <c r="K1613" i="2"/>
  <c r="N1604" i="19"/>
  <c r="K1609" i="2"/>
  <c r="N1600" i="19"/>
  <c r="K1605" i="2"/>
  <c r="N1596" i="19"/>
  <c r="K1601" i="2"/>
  <c r="N1592" i="19"/>
  <c r="K1597" i="2"/>
  <c r="N1588" i="19"/>
  <c r="K1593" i="2"/>
  <c r="N1584" i="19"/>
  <c r="K1589" i="2"/>
  <c r="N1580" i="19"/>
  <c r="K1585" i="2"/>
  <c r="N1576" i="19"/>
  <c r="K1581" i="2"/>
  <c r="N1572" i="19"/>
  <c r="K1577" i="2"/>
  <c r="N1568" i="19"/>
  <c r="K1573" i="2"/>
  <c r="N1564" i="19"/>
  <c r="K1569" i="2"/>
  <c r="N1560" i="19"/>
  <c r="K1565" i="2"/>
  <c r="N1556" i="19"/>
  <c r="K1561" i="2"/>
  <c r="N1552" i="19"/>
  <c r="K1557" i="2"/>
  <c r="N1548" i="19"/>
  <c r="K1553" i="2"/>
  <c r="N1544" i="19"/>
  <c r="K1549" i="2"/>
  <c r="N1540" i="19"/>
  <c r="K1545" i="2"/>
  <c r="N1536" i="19"/>
  <c r="K1541" i="2"/>
  <c r="N1532" i="19"/>
  <c r="K1537" i="2"/>
  <c r="N1528" i="19"/>
  <c r="K1533" i="2"/>
  <c r="N1524" i="19"/>
  <c r="K1529" i="2"/>
  <c r="N1520" i="19"/>
  <c r="K1525" i="2"/>
  <c r="N1516" i="19"/>
  <c r="K1521" i="2"/>
  <c r="N1512" i="19"/>
  <c r="K1517" i="2"/>
  <c r="N1508" i="19"/>
  <c r="K1513" i="2"/>
  <c r="N1504" i="19"/>
  <c r="K1509" i="2"/>
  <c r="N1500" i="19"/>
  <c r="K1505" i="2"/>
  <c r="N1496" i="19"/>
  <c r="K1501" i="2"/>
  <c r="N1492" i="19"/>
  <c r="K1497" i="2"/>
  <c r="N1488" i="19"/>
  <c r="K1493" i="2"/>
  <c r="N1484" i="19"/>
  <c r="K1489" i="2"/>
  <c r="N1480" i="19"/>
  <c r="K1485" i="2"/>
  <c r="N1476" i="19"/>
  <c r="K1481" i="2"/>
  <c r="N1472" i="19"/>
  <c r="K1477" i="2"/>
  <c r="N1468" i="19"/>
  <c r="K1473" i="2"/>
  <c r="N1464" i="19"/>
  <c r="K1469" i="2"/>
  <c r="N1460" i="19"/>
  <c r="K1465" i="2"/>
  <c r="N1456" i="19"/>
  <c r="K1461" i="2"/>
  <c r="N1452" i="19"/>
  <c r="K1457" i="2"/>
  <c r="N1448" i="19"/>
  <c r="K1453" i="2"/>
  <c r="N1443" i="19"/>
  <c r="K1448" i="2"/>
  <c r="N1439" i="19"/>
  <c r="K1444" i="2"/>
  <c r="N1435" i="19"/>
  <c r="K1440" i="2"/>
  <c r="N1431" i="19"/>
  <c r="K1436" i="2"/>
  <c r="N1427" i="19"/>
  <c r="K1432" i="2"/>
  <c r="N1423" i="19"/>
  <c r="K1428" i="2"/>
  <c r="N1419" i="19"/>
  <c r="K1424" i="2"/>
  <c r="N1415" i="19"/>
  <c r="K1420" i="2"/>
  <c r="N1411" i="19"/>
  <c r="K1416" i="2"/>
  <c r="N1407" i="19"/>
  <c r="K1412" i="2"/>
  <c r="N1403" i="19"/>
  <c r="K1408" i="2"/>
  <c r="N1399" i="19"/>
  <c r="K1404" i="2"/>
  <c r="N1395" i="19"/>
  <c r="K1400" i="2"/>
  <c r="N1391" i="19"/>
  <c r="K1396" i="2"/>
  <c r="N435" i="19"/>
  <c r="K440" i="2"/>
  <c r="N431" i="19"/>
  <c r="K436" i="2"/>
  <c r="N1387" i="19"/>
  <c r="K1392" i="2"/>
  <c r="N1383" i="19"/>
  <c r="K1388" i="2"/>
  <c r="N1379" i="19"/>
  <c r="K1384" i="2"/>
  <c r="N1375" i="19"/>
  <c r="K1380" i="2"/>
  <c r="N1371" i="19"/>
  <c r="K1376" i="2"/>
  <c r="N1367" i="19"/>
  <c r="K1372" i="2"/>
  <c r="N1363" i="19"/>
  <c r="K1368" i="2"/>
  <c r="N1359" i="19"/>
  <c r="K1364" i="2"/>
  <c r="N1355" i="19"/>
  <c r="K1360" i="2"/>
  <c r="N1351" i="19"/>
  <c r="K1356" i="2"/>
  <c r="N1347" i="19"/>
  <c r="K1352" i="2"/>
  <c r="N1343" i="19"/>
  <c r="K1348" i="2"/>
  <c r="N1339" i="19"/>
  <c r="K1344" i="2"/>
  <c r="N1335" i="19"/>
  <c r="K1340" i="2"/>
  <c r="N1331" i="19"/>
  <c r="K1336" i="2"/>
  <c r="N1327" i="19"/>
  <c r="K1332" i="2"/>
  <c r="N1323" i="19"/>
  <c r="K1328" i="2"/>
  <c r="N1319" i="19"/>
  <c r="K1324" i="2"/>
  <c r="N1315" i="19"/>
  <c r="K1320" i="2"/>
  <c r="N1311" i="19"/>
  <c r="K1316" i="2"/>
  <c r="N1307" i="19"/>
  <c r="K1312" i="2"/>
  <c r="N1303" i="19"/>
  <c r="K1308" i="2"/>
  <c r="N1299" i="19"/>
  <c r="K1304" i="2"/>
  <c r="N1295" i="19"/>
  <c r="K1300" i="2"/>
  <c r="N1291" i="19"/>
  <c r="K1296" i="2"/>
  <c r="N1287" i="19"/>
  <c r="K1292" i="2"/>
  <c r="N1283" i="19"/>
  <c r="K1288" i="2"/>
  <c r="N1279" i="19"/>
  <c r="K1284" i="2"/>
  <c r="N1275" i="19"/>
  <c r="K1280" i="2"/>
  <c r="N1271" i="19"/>
  <c r="K1276" i="2"/>
  <c r="N1267" i="19"/>
  <c r="K1272" i="2"/>
  <c r="N1263" i="19"/>
  <c r="K1268" i="2"/>
  <c r="N1259" i="19"/>
  <c r="K1264" i="2"/>
  <c r="N1255" i="19"/>
  <c r="K1260" i="2"/>
  <c r="N1251" i="19"/>
  <c r="K1256" i="2"/>
  <c r="N1247" i="19"/>
  <c r="K1252" i="2"/>
  <c r="N1243" i="19"/>
  <c r="K1248" i="2"/>
  <c r="N1239" i="19"/>
  <c r="K1244" i="2"/>
  <c r="N1235" i="19"/>
  <c r="K1240" i="2"/>
  <c r="N1231" i="19"/>
  <c r="K1236" i="2"/>
  <c r="N1227" i="19"/>
  <c r="K1232" i="2"/>
  <c r="N1223" i="19"/>
  <c r="K1228" i="2"/>
  <c r="N1219" i="19"/>
  <c r="K1224" i="2"/>
  <c r="N1215" i="19"/>
  <c r="K1220" i="2"/>
  <c r="N1211" i="19"/>
  <c r="K1216" i="2"/>
  <c r="N1207" i="19"/>
  <c r="K1212" i="2"/>
  <c r="N1203" i="19"/>
  <c r="K1208" i="2"/>
  <c r="N1199" i="19"/>
  <c r="K1204" i="2"/>
  <c r="N1195" i="19"/>
  <c r="K1200" i="2"/>
  <c r="N1191" i="19"/>
  <c r="K1196" i="2"/>
  <c r="N1187" i="19"/>
  <c r="K1192" i="2"/>
  <c r="N1183" i="19"/>
  <c r="K1188" i="2"/>
  <c r="N1179" i="19"/>
  <c r="K1184" i="2"/>
  <c r="N1175" i="19"/>
  <c r="K1180" i="2"/>
  <c r="N1171" i="19"/>
  <c r="K1176" i="2"/>
  <c r="N1167" i="19"/>
  <c r="K1172" i="2"/>
  <c r="N1163" i="19"/>
  <c r="K1168" i="2"/>
  <c r="N1159" i="19"/>
  <c r="K1164" i="2"/>
  <c r="N1155" i="19"/>
  <c r="K1160" i="2"/>
  <c r="N1151" i="19"/>
  <c r="K1156" i="2"/>
  <c r="N1147" i="19"/>
  <c r="K1152" i="2"/>
  <c r="N1143" i="19"/>
  <c r="K1148" i="2"/>
  <c r="N1139" i="19"/>
  <c r="K1144" i="2"/>
  <c r="N1135" i="19"/>
  <c r="K1140" i="2"/>
  <c r="N1131" i="19"/>
  <c r="K1136" i="2"/>
  <c r="N1127" i="19"/>
  <c r="K1132" i="2"/>
  <c r="N1123" i="19"/>
  <c r="K1128" i="2"/>
  <c r="N1119" i="19"/>
  <c r="K1124" i="2"/>
  <c r="N1115" i="19"/>
  <c r="K1120" i="2"/>
  <c r="N1111" i="19"/>
  <c r="K1116" i="2"/>
  <c r="N1107" i="19"/>
  <c r="K1112" i="2"/>
  <c r="N1103" i="19"/>
  <c r="K1108" i="2"/>
  <c r="N1099" i="19"/>
  <c r="K1104" i="2"/>
  <c r="N1095" i="19"/>
  <c r="K1100" i="2"/>
  <c r="N1091" i="19"/>
  <c r="K1096" i="2"/>
  <c r="N1087" i="19"/>
  <c r="K1092" i="2"/>
  <c r="N1083" i="19"/>
  <c r="K1088" i="2"/>
  <c r="N1079" i="19"/>
  <c r="K1084" i="2"/>
  <c r="N1075" i="19"/>
  <c r="K1080" i="2"/>
  <c r="N1071" i="19"/>
  <c r="K1076" i="2"/>
  <c r="N1067" i="19"/>
  <c r="K1072" i="2"/>
  <c r="N1063" i="19"/>
  <c r="K1068" i="2"/>
  <c r="N1059" i="19"/>
  <c r="K1064" i="2"/>
  <c r="N1055" i="19"/>
  <c r="K1060" i="2"/>
  <c r="N1051" i="19"/>
  <c r="K1056" i="2"/>
  <c r="N1047" i="19"/>
  <c r="K1052" i="2"/>
  <c r="N1043" i="19"/>
  <c r="K1048" i="2"/>
  <c r="N1039" i="19"/>
  <c r="K1044" i="2"/>
  <c r="N1035" i="19"/>
  <c r="K1040" i="2"/>
  <c r="N1031" i="19"/>
  <c r="K1036" i="2"/>
  <c r="N1027" i="19"/>
  <c r="K1032" i="2"/>
  <c r="N1023" i="19"/>
  <c r="K1028" i="2"/>
  <c r="N1019" i="19"/>
  <c r="K1024" i="2"/>
  <c r="N1015" i="19"/>
  <c r="K1020" i="2"/>
  <c r="N1011" i="19"/>
  <c r="K1016" i="2"/>
  <c r="N1007" i="19"/>
  <c r="K1012" i="2"/>
  <c r="N1003" i="19"/>
  <c r="K1008" i="2"/>
  <c r="N999" i="19"/>
  <c r="K1004" i="2"/>
  <c r="N995" i="19"/>
  <c r="K1000" i="2"/>
  <c r="N991" i="19"/>
  <c r="K996" i="2"/>
  <c r="N987" i="19"/>
  <c r="K992" i="2"/>
  <c r="O992" i="2" s="1"/>
  <c r="N983" i="19"/>
  <c r="K988" i="2"/>
  <c r="N979" i="19"/>
  <c r="K984" i="2"/>
  <c r="N975" i="19"/>
  <c r="K980" i="2"/>
  <c r="N971" i="19"/>
  <c r="K976" i="2"/>
  <c r="N967" i="19"/>
  <c r="K972" i="2"/>
  <c r="N963" i="19"/>
  <c r="K968" i="2"/>
  <c r="N959" i="19"/>
  <c r="K964" i="2"/>
  <c r="N955" i="19"/>
  <c r="K960" i="2"/>
  <c r="N951" i="19"/>
  <c r="K956" i="2"/>
  <c r="N947" i="19"/>
  <c r="K952" i="2"/>
  <c r="N943" i="19"/>
  <c r="K948" i="2"/>
  <c r="N939" i="19"/>
  <c r="K944" i="2"/>
  <c r="N935" i="19"/>
  <c r="K940" i="2"/>
  <c r="N931" i="19"/>
  <c r="K936" i="2"/>
  <c r="N927" i="19"/>
  <c r="K932" i="2"/>
  <c r="N923" i="19"/>
  <c r="K928" i="2"/>
  <c r="N919" i="19"/>
  <c r="K924" i="2"/>
  <c r="N915" i="19"/>
  <c r="K920" i="2"/>
  <c r="N911" i="19"/>
  <c r="K916" i="2"/>
  <c r="N907" i="19"/>
  <c r="K912" i="2"/>
  <c r="N903" i="19"/>
  <c r="K908" i="2"/>
  <c r="N899" i="19"/>
  <c r="K904" i="2"/>
  <c r="N895" i="19"/>
  <c r="K900" i="2"/>
  <c r="N891" i="19"/>
  <c r="K896" i="2"/>
  <c r="N887" i="19"/>
  <c r="K892" i="2"/>
  <c r="N883" i="19"/>
  <c r="K888" i="2"/>
  <c r="N879" i="19"/>
  <c r="K884" i="2"/>
  <c r="N875" i="19"/>
  <c r="K880" i="2"/>
  <c r="N871" i="19"/>
  <c r="K876" i="2"/>
  <c r="N867" i="19"/>
  <c r="K872" i="2"/>
  <c r="N863" i="19"/>
  <c r="K868" i="2"/>
  <c r="N859" i="19"/>
  <c r="K864" i="2"/>
  <c r="N855" i="19"/>
  <c r="K860" i="2"/>
  <c r="N851" i="19"/>
  <c r="K856" i="2"/>
  <c r="N847" i="19"/>
  <c r="K852" i="2"/>
  <c r="N843" i="19"/>
  <c r="K848" i="2"/>
  <c r="N839" i="19"/>
  <c r="K844" i="2"/>
  <c r="N835" i="19"/>
  <c r="K840" i="2"/>
  <c r="N831" i="19"/>
  <c r="K836" i="2"/>
  <c r="N827" i="19"/>
  <c r="K832" i="2"/>
  <c r="N823" i="19"/>
  <c r="K828" i="2"/>
  <c r="N819" i="19"/>
  <c r="K824" i="2"/>
  <c r="N815" i="19"/>
  <c r="K820" i="2"/>
  <c r="N811" i="19"/>
  <c r="K816" i="2"/>
  <c r="N807" i="19"/>
  <c r="K812" i="2"/>
  <c r="N803" i="19"/>
  <c r="K808" i="2"/>
  <c r="N799" i="19"/>
  <c r="K804" i="2"/>
  <c r="N795" i="19"/>
  <c r="K800" i="2"/>
  <c r="N791" i="19"/>
  <c r="K796" i="2"/>
  <c r="N787" i="19"/>
  <c r="K792" i="2"/>
  <c r="N783" i="19"/>
  <c r="K788" i="2"/>
  <c r="N779" i="19"/>
  <c r="K784" i="2"/>
  <c r="N775" i="19"/>
  <c r="K780" i="2"/>
  <c r="N771" i="19"/>
  <c r="K776" i="2"/>
  <c r="N767" i="19"/>
  <c r="K772" i="2"/>
  <c r="N763" i="19"/>
  <c r="K768" i="2"/>
  <c r="N759" i="19"/>
  <c r="K764" i="2"/>
  <c r="N755" i="19"/>
  <c r="K760" i="2"/>
  <c r="N751" i="19"/>
  <c r="K756" i="2"/>
  <c r="N747" i="19"/>
  <c r="K752" i="2"/>
  <c r="N743" i="19"/>
  <c r="K748" i="2"/>
  <c r="N739" i="19"/>
  <c r="K744" i="2"/>
  <c r="N735" i="19"/>
  <c r="K740" i="2"/>
  <c r="N731" i="19"/>
  <c r="K736" i="2"/>
  <c r="N727" i="19"/>
  <c r="K732" i="2"/>
  <c r="N723" i="19"/>
  <c r="K728" i="2"/>
  <c r="N719" i="19"/>
  <c r="K724" i="2"/>
  <c r="N715" i="19"/>
  <c r="K720" i="2"/>
  <c r="N711" i="19"/>
  <c r="K716" i="2"/>
  <c r="N707" i="19"/>
  <c r="K712" i="2"/>
  <c r="N703" i="19"/>
  <c r="K708" i="2"/>
  <c r="N699" i="19"/>
  <c r="K704" i="2"/>
  <c r="N695" i="19"/>
  <c r="K700" i="2"/>
  <c r="N691" i="19"/>
  <c r="K696" i="2"/>
  <c r="N687" i="19"/>
  <c r="K692" i="2"/>
  <c r="N683" i="19"/>
  <c r="K688" i="2"/>
  <c r="N679" i="19"/>
  <c r="K684" i="2"/>
  <c r="N675" i="19"/>
  <c r="K680" i="2"/>
  <c r="N671" i="19"/>
  <c r="K676" i="2"/>
  <c r="N667" i="19"/>
  <c r="K672" i="2"/>
  <c r="N663" i="19"/>
  <c r="K668" i="2"/>
  <c r="N659" i="19"/>
  <c r="K664" i="2"/>
  <c r="N655" i="19"/>
  <c r="K660" i="2"/>
  <c r="N651" i="19"/>
  <c r="K656" i="2"/>
  <c r="N647" i="19"/>
  <c r="K652" i="2"/>
  <c r="N643" i="19"/>
  <c r="K648" i="2"/>
  <c r="N639" i="19"/>
  <c r="K644" i="2"/>
  <c r="N635" i="19"/>
  <c r="K640" i="2"/>
  <c r="N631" i="19"/>
  <c r="K636" i="2"/>
  <c r="N627" i="19"/>
  <c r="K632" i="2"/>
  <c r="N623" i="19"/>
  <c r="K628" i="2"/>
  <c r="N619" i="19"/>
  <c r="K624" i="2"/>
  <c r="N615" i="19"/>
  <c r="K620" i="2"/>
  <c r="N611" i="19"/>
  <c r="K616" i="2"/>
  <c r="N607" i="19"/>
  <c r="K612" i="2"/>
  <c r="O612" i="2" s="1"/>
  <c r="N603" i="19"/>
  <c r="K608" i="2"/>
  <c r="N599" i="19"/>
  <c r="K604" i="2"/>
  <c r="N595" i="19"/>
  <c r="K600" i="2"/>
  <c r="N591" i="19"/>
  <c r="K596" i="2"/>
  <c r="N587" i="19"/>
  <c r="K592" i="2"/>
  <c r="N583" i="19"/>
  <c r="K588" i="2"/>
  <c r="N579" i="19"/>
  <c r="K584" i="2"/>
  <c r="N575" i="19"/>
  <c r="K580" i="2"/>
  <c r="N571" i="19"/>
  <c r="K576" i="2"/>
  <c r="N567" i="19"/>
  <c r="K572" i="2"/>
  <c r="N563" i="19"/>
  <c r="K568" i="2"/>
  <c r="N559" i="19"/>
  <c r="K564" i="2"/>
  <c r="N555" i="19"/>
  <c r="K560" i="2"/>
  <c r="N551" i="19"/>
  <c r="K556" i="2"/>
  <c r="N547" i="19"/>
  <c r="K552" i="2"/>
  <c r="N543" i="19"/>
  <c r="K548" i="2"/>
  <c r="N539" i="19"/>
  <c r="K544" i="2"/>
  <c r="N535" i="19"/>
  <c r="K540" i="2"/>
  <c r="O540" i="2" s="1"/>
  <c r="N531" i="19"/>
  <c r="K536" i="2"/>
  <c r="N527" i="19"/>
  <c r="K532" i="2"/>
  <c r="N523" i="19"/>
  <c r="K528" i="2"/>
  <c r="N519" i="19"/>
  <c r="K524" i="2"/>
  <c r="N515" i="19"/>
  <c r="K520" i="2"/>
  <c r="N511" i="19"/>
  <c r="K516" i="2"/>
  <c r="N507" i="19"/>
  <c r="K512" i="2"/>
  <c r="N503" i="19"/>
  <c r="K508" i="2"/>
  <c r="N499" i="19"/>
  <c r="K504" i="2"/>
  <c r="N495" i="19"/>
  <c r="K500" i="2"/>
  <c r="N491" i="19"/>
  <c r="K496" i="2"/>
  <c r="N487" i="19"/>
  <c r="K492" i="2"/>
  <c r="N483" i="19"/>
  <c r="K488" i="2"/>
  <c r="N479" i="19"/>
  <c r="K484" i="2"/>
  <c r="N475" i="19"/>
  <c r="K480" i="2"/>
  <c r="N471" i="19"/>
  <c r="K476" i="2"/>
  <c r="N467" i="19"/>
  <c r="K472" i="2"/>
  <c r="N463" i="19"/>
  <c r="K468" i="2"/>
  <c r="N459" i="19"/>
  <c r="K464" i="2"/>
  <c r="N455" i="19"/>
  <c r="K460" i="2"/>
  <c r="N451" i="19"/>
  <c r="K456" i="2"/>
  <c r="N447" i="19"/>
  <c r="K452" i="2"/>
  <c r="N443" i="19"/>
  <c r="K448" i="2"/>
  <c r="N439" i="19"/>
  <c r="K444" i="2"/>
  <c r="N427" i="19"/>
  <c r="K432" i="2"/>
  <c r="N423" i="19"/>
  <c r="K428" i="2"/>
  <c r="N419" i="19"/>
  <c r="K424" i="2"/>
  <c r="N415" i="19"/>
  <c r="K420" i="2"/>
  <c r="N411" i="19"/>
  <c r="K416" i="2"/>
  <c r="N407" i="19"/>
  <c r="K412" i="2"/>
  <c r="N403" i="19"/>
  <c r="K408" i="2"/>
  <c r="N399" i="19"/>
  <c r="K404" i="2"/>
  <c r="N395" i="19"/>
  <c r="K400" i="2"/>
  <c r="N391" i="19"/>
  <c r="K396" i="2"/>
  <c r="N387" i="19"/>
  <c r="K392" i="2"/>
  <c r="N383" i="19"/>
  <c r="K388" i="2"/>
  <c r="N379" i="19"/>
  <c r="K384" i="2"/>
  <c r="N375" i="19"/>
  <c r="K380" i="2"/>
  <c r="N371" i="19"/>
  <c r="K376" i="2"/>
  <c r="N367" i="19"/>
  <c r="K372" i="2"/>
  <c r="N1619" i="19"/>
  <c r="K1624" i="2"/>
  <c r="N1615" i="19"/>
  <c r="K1620" i="2"/>
  <c r="N1611" i="19"/>
  <c r="K1616" i="2"/>
  <c r="N1607" i="19"/>
  <c r="K1612" i="2"/>
  <c r="N1603" i="19"/>
  <c r="K1608" i="2"/>
  <c r="N1599" i="19"/>
  <c r="K1604" i="2"/>
  <c r="N1595" i="19"/>
  <c r="K1600" i="2"/>
  <c r="N1591" i="19"/>
  <c r="K1596" i="2"/>
  <c r="N1587" i="19"/>
  <c r="K1592" i="2"/>
  <c r="N1583" i="19"/>
  <c r="K1588" i="2"/>
  <c r="N1579" i="19"/>
  <c r="K1584" i="2"/>
  <c r="N1575" i="19"/>
  <c r="K1580" i="2"/>
  <c r="N1571" i="19"/>
  <c r="K1576" i="2"/>
  <c r="N1567" i="19"/>
  <c r="K1572" i="2"/>
  <c r="N1563" i="19"/>
  <c r="K1568" i="2"/>
  <c r="N1559" i="19"/>
  <c r="K1564" i="2"/>
  <c r="N1555" i="19"/>
  <c r="K1560" i="2"/>
  <c r="N1551" i="19"/>
  <c r="K1556" i="2"/>
  <c r="N1547" i="19"/>
  <c r="K1552" i="2"/>
  <c r="N1543" i="19"/>
  <c r="K1548" i="2"/>
  <c r="N1539" i="19"/>
  <c r="K1544" i="2"/>
  <c r="N1535" i="19"/>
  <c r="K1540" i="2"/>
  <c r="N1531" i="19"/>
  <c r="K1536" i="2"/>
  <c r="N1527" i="19"/>
  <c r="K1532" i="2"/>
  <c r="N1523" i="19"/>
  <c r="K1528" i="2"/>
  <c r="N1519" i="19"/>
  <c r="K1524" i="2"/>
  <c r="N1515" i="19"/>
  <c r="K1520" i="2"/>
  <c r="N1511" i="19"/>
  <c r="K1516" i="2"/>
  <c r="N1507" i="19"/>
  <c r="K1512" i="2"/>
  <c r="N1503" i="19"/>
  <c r="K1508" i="2"/>
  <c r="N1499" i="19"/>
  <c r="K1504" i="2"/>
  <c r="N1495" i="19"/>
  <c r="K1500" i="2"/>
  <c r="N1491" i="19"/>
  <c r="K1496" i="2"/>
  <c r="N1487" i="19"/>
  <c r="K1492" i="2"/>
  <c r="N1483" i="19"/>
  <c r="K1488" i="2"/>
  <c r="N1479" i="19"/>
  <c r="K1484" i="2"/>
  <c r="N1475" i="19"/>
  <c r="K1480" i="2"/>
  <c r="N1471" i="19"/>
  <c r="K1476" i="2"/>
  <c r="N1467" i="19"/>
  <c r="K1472" i="2"/>
  <c r="N1463" i="19"/>
  <c r="K1468" i="2"/>
  <c r="N1459" i="19"/>
  <c r="K1464" i="2"/>
  <c r="N1455" i="19"/>
  <c r="K1460" i="2"/>
  <c r="N1451" i="19"/>
  <c r="K1456" i="2"/>
  <c r="N1447" i="19"/>
  <c r="K1452" i="2"/>
  <c r="N1442" i="19"/>
  <c r="K1447" i="2"/>
  <c r="N1438" i="19"/>
  <c r="K1443" i="2"/>
  <c r="N1434" i="19"/>
  <c r="K1439" i="2"/>
  <c r="N1430" i="19"/>
  <c r="K1435" i="2"/>
  <c r="N1426" i="19"/>
  <c r="K1431" i="2"/>
  <c r="N1422" i="19"/>
  <c r="K1427" i="2"/>
  <c r="N1418" i="19"/>
  <c r="K1423" i="2"/>
  <c r="N1414" i="19"/>
  <c r="K1419" i="2"/>
  <c r="N1410" i="19"/>
  <c r="K1415" i="2"/>
  <c r="N1406" i="19"/>
  <c r="K1411" i="2"/>
  <c r="N1402" i="19"/>
  <c r="K1407" i="2"/>
  <c r="N1398" i="19"/>
  <c r="K1403" i="2"/>
  <c r="N1394" i="19"/>
  <c r="K1399" i="2"/>
  <c r="N1390" i="19"/>
  <c r="K1395" i="2"/>
  <c r="N1386" i="19"/>
  <c r="K1391" i="2"/>
  <c r="N1382" i="19"/>
  <c r="K1387" i="2"/>
  <c r="N1378" i="19"/>
  <c r="K1383" i="2"/>
  <c r="N1374" i="19"/>
  <c r="K1379" i="2"/>
  <c r="N1370" i="19"/>
  <c r="K1375" i="2"/>
  <c r="N1366" i="19"/>
  <c r="K1371" i="2"/>
  <c r="N1362" i="19"/>
  <c r="K1367" i="2"/>
  <c r="N1358" i="19"/>
  <c r="K1363" i="2"/>
  <c r="N1354" i="19"/>
  <c r="K1359" i="2"/>
  <c r="N1350" i="19"/>
  <c r="K1355" i="2"/>
  <c r="N1346" i="19"/>
  <c r="K1351" i="2"/>
  <c r="N1342" i="19"/>
  <c r="K1347" i="2"/>
  <c r="N1338" i="19"/>
  <c r="K1343" i="2"/>
  <c r="N1334" i="19"/>
  <c r="K1339" i="2"/>
  <c r="N1330" i="19"/>
  <c r="K1335" i="2"/>
  <c r="N1326" i="19"/>
  <c r="K1331" i="2"/>
  <c r="N1322" i="19"/>
  <c r="K1327" i="2"/>
  <c r="N1318" i="19"/>
  <c r="K1323" i="2"/>
  <c r="N1314" i="19"/>
  <c r="K1319" i="2"/>
  <c r="N1310" i="19"/>
  <c r="K1315" i="2"/>
  <c r="N1306" i="19"/>
  <c r="K1311" i="2"/>
  <c r="N1302" i="19"/>
  <c r="K1307" i="2"/>
  <c r="N1298" i="19"/>
  <c r="K1303" i="2"/>
  <c r="N1294" i="19"/>
  <c r="K1299" i="2"/>
  <c r="N1290" i="19"/>
  <c r="K1295" i="2"/>
  <c r="N1286" i="19"/>
  <c r="K1291" i="2"/>
  <c r="N1282" i="19"/>
  <c r="K1287" i="2"/>
  <c r="N1278" i="19"/>
  <c r="K1283" i="2"/>
  <c r="N1274" i="19"/>
  <c r="K1279" i="2"/>
  <c r="N1270" i="19"/>
  <c r="K1275" i="2"/>
  <c r="N1266" i="19"/>
  <c r="K1271" i="2"/>
  <c r="N1262" i="19"/>
  <c r="K1267" i="2"/>
  <c r="N1258" i="19"/>
  <c r="K1263" i="2"/>
  <c r="N1254" i="19"/>
  <c r="K1259" i="2"/>
  <c r="N1250" i="19"/>
  <c r="K1255" i="2"/>
  <c r="N1246" i="19"/>
  <c r="K1251" i="2"/>
  <c r="N1242" i="19"/>
  <c r="K1247" i="2"/>
  <c r="N1238" i="19"/>
  <c r="K1243" i="2"/>
  <c r="N1234" i="19"/>
  <c r="K1239" i="2"/>
  <c r="N1230" i="19"/>
  <c r="K1235" i="2"/>
  <c r="N1226" i="19"/>
  <c r="K1231" i="2"/>
  <c r="N1222" i="19"/>
  <c r="K1227" i="2"/>
  <c r="N1218" i="19"/>
  <c r="K1223" i="2"/>
  <c r="N1214" i="19"/>
  <c r="K1219" i="2"/>
  <c r="N1210" i="19"/>
  <c r="K1215" i="2"/>
  <c r="N1206" i="19"/>
  <c r="K1211" i="2"/>
  <c r="N1202" i="19"/>
  <c r="K1207" i="2"/>
  <c r="N1198" i="19"/>
  <c r="K1203" i="2"/>
  <c r="N1194" i="19"/>
  <c r="K1199" i="2"/>
  <c r="N1190" i="19"/>
  <c r="K1195" i="2"/>
  <c r="N1186" i="19"/>
  <c r="K1191" i="2"/>
  <c r="N1182" i="19"/>
  <c r="K1187" i="2"/>
  <c r="N1178" i="19"/>
  <c r="K1183" i="2"/>
  <c r="N1174" i="19"/>
  <c r="K1179" i="2"/>
  <c r="N1170" i="19"/>
  <c r="K1175" i="2"/>
  <c r="N1166" i="19"/>
  <c r="K1171" i="2"/>
  <c r="N1162" i="19"/>
  <c r="K1167" i="2"/>
  <c r="N1158" i="19"/>
  <c r="K1163" i="2"/>
  <c r="N1154" i="19"/>
  <c r="K1159" i="2"/>
  <c r="N1150" i="19"/>
  <c r="K1155" i="2"/>
  <c r="N1146" i="19"/>
  <c r="K1151" i="2"/>
  <c r="N1142" i="19"/>
  <c r="K1147" i="2"/>
  <c r="N1138" i="19"/>
  <c r="K1143" i="2"/>
  <c r="N1134" i="19"/>
  <c r="K1139" i="2"/>
  <c r="N1130" i="19"/>
  <c r="K1135" i="2"/>
  <c r="N1126" i="19"/>
  <c r="K1131" i="2"/>
  <c r="N1122" i="19"/>
  <c r="K1127" i="2"/>
  <c r="N1118" i="19"/>
  <c r="K1123" i="2"/>
  <c r="N1114" i="19"/>
  <c r="K1119" i="2"/>
  <c r="N1110" i="19"/>
  <c r="K1115" i="2"/>
  <c r="N1106" i="19"/>
  <c r="K1111" i="2"/>
  <c r="N1102" i="19"/>
  <c r="K1107" i="2"/>
  <c r="N1098" i="19"/>
  <c r="K1103" i="2"/>
  <c r="N1094" i="19"/>
  <c r="K1099" i="2"/>
  <c r="N1090" i="19"/>
  <c r="K1095" i="2"/>
  <c r="N1086" i="19"/>
  <c r="K1091" i="2"/>
  <c r="N1082" i="19"/>
  <c r="K1087" i="2"/>
  <c r="N1078" i="19"/>
  <c r="K1083" i="2"/>
  <c r="N1074" i="19"/>
  <c r="K1079" i="2"/>
  <c r="N1070" i="19"/>
  <c r="K1075" i="2"/>
  <c r="N1066" i="19"/>
  <c r="K1071" i="2"/>
  <c r="N1062" i="19"/>
  <c r="K1067" i="2"/>
  <c r="N1058" i="19"/>
  <c r="K1063" i="2"/>
  <c r="N1054" i="19"/>
  <c r="K1059" i="2"/>
  <c r="O1059" i="2" s="1"/>
  <c r="N1050" i="19"/>
  <c r="K1055" i="2"/>
  <c r="N1046" i="19"/>
  <c r="K1051" i="2"/>
  <c r="N1042" i="19"/>
  <c r="K1047" i="2"/>
  <c r="N1038" i="19"/>
  <c r="K1043" i="2"/>
  <c r="N1034" i="19"/>
  <c r="K1039" i="2"/>
  <c r="N1030" i="19"/>
  <c r="K1035" i="2"/>
  <c r="N1026" i="19"/>
  <c r="K1031" i="2"/>
  <c r="N1022" i="19"/>
  <c r="K1027" i="2"/>
  <c r="N1018" i="19"/>
  <c r="K1023" i="2"/>
  <c r="N1014" i="19"/>
  <c r="K1019" i="2"/>
  <c r="N1010" i="19"/>
  <c r="K1015" i="2"/>
  <c r="N1006" i="19"/>
  <c r="K1011" i="2"/>
  <c r="N1002" i="19"/>
  <c r="K1007" i="2"/>
  <c r="N998" i="19"/>
  <c r="K1003" i="2"/>
  <c r="N994" i="19"/>
  <c r="K999" i="2"/>
  <c r="N990" i="19"/>
  <c r="K995" i="2"/>
  <c r="N986" i="19"/>
  <c r="K991" i="2"/>
  <c r="N982" i="19"/>
  <c r="K987" i="2"/>
  <c r="N978" i="19"/>
  <c r="K983" i="2"/>
  <c r="N974" i="19"/>
  <c r="K979" i="2"/>
  <c r="N970" i="19"/>
  <c r="K975" i="2"/>
  <c r="N966" i="19"/>
  <c r="K971" i="2"/>
  <c r="O971" i="2" s="1"/>
  <c r="N962" i="19"/>
  <c r="K967" i="2"/>
  <c r="N958" i="19"/>
  <c r="K963" i="2"/>
  <c r="N954" i="19"/>
  <c r="K959" i="2"/>
  <c r="N950" i="19"/>
  <c r="K955" i="2"/>
  <c r="N946" i="19"/>
  <c r="K951" i="2"/>
  <c r="N942" i="19"/>
  <c r="K947" i="2"/>
  <c r="N938" i="19"/>
  <c r="K943" i="2"/>
  <c r="N934" i="19"/>
  <c r="K939" i="2"/>
  <c r="N930" i="19"/>
  <c r="K935" i="2"/>
  <c r="N926" i="19"/>
  <c r="K931" i="2"/>
  <c r="N922" i="19"/>
  <c r="K927" i="2"/>
  <c r="N918" i="19"/>
  <c r="K923" i="2"/>
  <c r="N914" i="19"/>
  <c r="K919" i="2"/>
  <c r="N910" i="19"/>
  <c r="K915" i="2"/>
  <c r="N906" i="19"/>
  <c r="K911" i="2"/>
  <c r="N902" i="19"/>
  <c r="K907" i="2"/>
  <c r="N898" i="19"/>
  <c r="K903" i="2"/>
  <c r="N894" i="19"/>
  <c r="K899" i="2"/>
  <c r="N890" i="19"/>
  <c r="K895" i="2"/>
  <c r="N886" i="19"/>
  <c r="K891" i="2"/>
  <c r="N882" i="19"/>
  <c r="K887" i="2"/>
  <c r="N878" i="19"/>
  <c r="K883" i="2"/>
  <c r="N874" i="19"/>
  <c r="K879" i="2"/>
  <c r="N870" i="19"/>
  <c r="K875" i="2"/>
  <c r="N866" i="19"/>
  <c r="K871" i="2"/>
  <c r="N862" i="19"/>
  <c r="K867" i="2"/>
  <c r="N858" i="19"/>
  <c r="K863" i="2"/>
  <c r="N854" i="19"/>
  <c r="K859" i="2"/>
  <c r="N850" i="19"/>
  <c r="K855" i="2"/>
  <c r="N846" i="19"/>
  <c r="K851" i="2"/>
  <c r="N842" i="19"/>
  <c r="K847" i="2"/>
  <c r="N838" i="19"/>
  <c r="K843" i="2"/>
  <c r="N834" i="19"/>
  <c r="K839" i="2"/>
  <c r="N830" i="19"/>
  <c r="K835" i="2"/>
  <c r="N826" i="19"/>
  <c r="K831" i="2"/>
  <c r="N822" i="19"/>
  <c r="K827" i="2"/>
  <c r="N818" i="19"/>
  <c r="K823" i="2"/>
  <c r="N814" i="19"/>
  <c r="K819" i="2"/>
  <c r="N810" i="19"/>
  <c r="K815" i="2"/>
  <c r="N806" i="19"/>
  <c r="K811" i="2"/>
  <c r="N802" i="19"/>
  <c r="K807" i="2"/>
  <c r="N798" i="19"/>
  <c r="K803" i="2"/>
  <c r="N794" i="19"/>
  <c r="K799" i="2"/>
  <c r="N790" i="19"/>
  <c r="K795" i="2"/>
  <c r="N786" i="19"/>
  <c r="K791" i="2"/>
  <c r="N782" i="19"/>
  <c r="K787" i="2"/>
  <c r="N778" i="19"/>
  <c r="K783" i="2"/>
  <c r="N774" i="19"/>
  <c r="K779" i="2"/>
  <c r="N770" i="19"/>
  <c r="K775" i="2"/>
  <c r="N766" i="19"/>
  <c r="K771" i="2"/>
  <c r="N762" i="19"/>
  <c r="K767" i="2"/>
  <c r="N758" i="19"/>
  <c r="K763" i="2"/>
  <c r="N754" i="19"/>
  <c r="K759" i="2"/>
  <c r="N750" i="19"/>
  <c r="K755" i="2"/>
  <c r="N746" i="19"/>
  <c r="K751" i="2"/>
  <c r="N742" i="19"/>
  <c r="K747" i="2"/>
  <c r="N738" i="19"/>
  <c r="K743" i="2"/>
  <c r="N734" i="19"/>
  <c r="K739" i="2"/>
  <c r="N730" i="19"/>
  <c r="K735" i="2"/>
  <c r="N726" i="19"/>
  <c r="K731" i="2"/>
  <c r="N722" i="19"/>
  <c r="K727" i="2"/>
  <c r="N718" i="19"/>
  <c r="K723" i="2"/>
  <c r="N714" i="19"/>
  <c r="K719" i="2"/>
  <c r="N710" i="19"/>
  <c r="K715" i="2"/>
  <c r="N706" i="19"/>
  <c r="K711" i="2"/>
  <c r="N702" i="19"/>
  <c r="K707" i="2"/>
  <c r="N698" i="19"/>
  <c r="K703" i="2"/>
  <c r="N694" i="19"/>
  <c r="K699" i="2"/>
  <c r="N690" i="19"/>
  <c r="K695" i="2"/>
  <c r="N686" i="19"/>
  <c r="K691" i="2"/>
  <c r="N682" i="19"/>
  <c r="K687" i="2"/>
  <c r="N678" i="19"/>
  <c r="K683" i="2"/>
  <c r="N674" i="19"/>
  <c r="K679" i="2"/>
  <c r="N670" i="19"/>
  <c r="K675" i="2"/>
  <c r="N666" i="19"/>
  <c r="K671" i="2"/>
  <c r="N662" i="19"/>
  <c r="K667" i="2"/>
  <c r="N658" i="19"/>
  <c r="K663" i="2"/>
  <c r="N654" i="19"/>
  <c r="K659" i="2"/>
  <c r="N650" i="19"/>
  <c r="K655" i="2"/>
  <c r="N646" i="19"/>
  <c r="K651" i="2"/>
  <c r="N642" i="19"/>
  <c r="K647" i="2"/>
  <c r="N638" i="19"/>
  <c r="K643" i="2"/>
  <c r="N634" i="19"/>
  <c r="K639" i="2"/>
  <c r="N630" i="19"/>
  <c r="K635" i="2"/>
  <c r="N626" i="19"/>
  <c r="K631" i="2"/>
  <c r="N622" i="19"/>
  <c r="K627" i="2"/>
  <c r="N618" i="19"/>
  <c r="K623" i="2"/>
  <c r="N614" i="19"/>
  <c r="K619" i="2"/>
  <c r="N610" i="19"/>
  <c r="K615" i="2"/>
  <c r="N606" i="19"/>
  <c r="K611" i="2"/>
  <c r="O611" i="2" s="1"/>
  <c r="N602" i="19"/>
  <c r="K607" i="2"/>
  <c r="N598" i="19"/>
  <c r="K603" i="2"/>
  <c r="O603" i="2" s="1"/>
  <c r="N594" i="19"/>
  <c r="K599" i="2"/>
  <c r="N590" i="19"/>
  <c r="K595" i="2"/>
  <c r="N586" i="19"/>
  <c r="K591" i="2"/>
  <c r="N582" i="19"/>
  <c r="K587" i="2"/>
  <c r="N578" i="19"/>
  <c r="K583" i="2"/>
  <c r="N574" i="19"/>
  <c r="K579" i="2"/>
  <c r="N570" i="19"/>
  <c r="K575" i="2"/>
  <c r="N566" i="19"/>
  <c r="K571" i="2"/>
  <c r="N562" i="19"/>
  <c r="K567" i="2"/>
  <c r="N558" i="19"/>
  <c r="K563" i="2"/>
  <c r="N554" i="19"/>
  <c r="K559" i="2"/>
  <c r="N550" i="19"/>
  <c r="K555" i="2"/>
  <c r="N546" i="19"/>
  <c r="K551" i="2"/>
  <c r="N542" i="19"/>
  <c r="K547" i="2"/>
  <c r="N538" i="19"/>
  <c r="K543" i="2"/>
  <c r="N534" i="19"/>
  <c r="K539" i="2"/>
  <c r="N530" i="19"/>
  <c r="K535" i="2"/>
  <c r="N526" i="19"/>
  <c r="K531" i="2"/>
  <c r="N522" i="19"/>
  <c r="K527" i="2"/>
  <c r="N518" i="19"/>
  <c r="K523" i="2"/>
  <c r="N514" i="19"/>
  <c r="K519" i="2"/>
  <c r="N510" i="19"/>
  <c r="K515" i="2"/>
  <c r="N506" i="19"/>
  <c r="K511" i="2"/>
  <c r="N502" i="19"/>
  <c r="K507" i="2"/>
  <c r="N498" i="19"/>
  <c r="K503" i="2"/>
  <c r="N494" i="19"/>
  <c r="K499" i="2"/>
  <c r="N490" i="19"/>
  <c r="K495" i="2"/>
  <c r="N486" i="19"/>
  <c r="K491" i="2"/>
  <c r="N482" i="19"/>
  <c r="K487" i="2"/>
  <c r="N478" i="19"/>
  <c r="K483" i="2"/>
  <c r="N474" i="19"/>
  <c r="K479" i="2"/>
  <c r="N470" i="19"/>
  <c r="K475" i="2"/>
  <c r="N466" i="19"/>
  <c r="K471" i="2"/>
  <c r="N462" i="19"/>
  <c r="K467" i="2"/>
  <c r="N458" i="19"/>
  <c r="K463" i="2"/>
  <c r="N454" i="19"/>
  <c r="K459" i="2"/>
  <c r="N450" i="19"/>
  <c r="K455" i="2"/>
  <c r="N446" i="19"/>
  <c r="K451" i="2"/>
  <c r="N442" i="19"/>
  <c r="K447" i="2"/>
  <c r="N438" i="19"/>
  <c r="K443" i="2"/>
  <c r="N434" i="19"/>
  <c r="K439" i="2"/>
  <c r="N430" i="19"/>
  <c r="K435" i="2"/>
  <c r="N426" i="19"/>
  <c r="K431" i="2"/>
  <c r="N422" i="19"/>
  <c r="K427" i="2"/>
  <c r="N418" i="19"/>
  <c r="K423" i="2"/>
  <c r="N414" i="19"/>
  <c r="K419" i="2"/>
  <c r="N410" i="19"/>
  <c r="K415" i="2"/>
  <c r="N406" i="19"/>
  <c r="K411" i="2"/>
  <c r="N402" i="19"/>
  <c r="K407" i="2"/>
  <c r="N398" i="19"/>
  <c r="K403" i="2"/>
  <c r="O403" i="2" s="1"/>
  <c r="N394" i="19"/>
  <c r="K399" i="2"/>
  <c r="N390" i="19"/>
  <c r="K395" i="2"/>
  <c r="N386" i="19"/>
  <c r="K391" i="2"/>
  <c r="N382" i="19"/>
  <c r="K387" i="2"/>
  <c r="N378" i="19"/>
  <c r="K383" i="2"/>
  <c r="N374" i="19"/>
  <c r="K379" i="2"/>
  <c r="N370" i="19"/>
  <c r="K375" i="2"/>
  <c r="N366" i="19"/>
  <c r="K371" i="2"/>
  <c r="N1618" i="19"/>
  <c r="K1623" i="2"/>
  <c r="N1614" i="19"/>
  <c r="K1619" i="2"/>
  <c r="N1610" i="19"/>
  <c r="K1615" i="2"/>
  <c r="N1606" i="19"/>
  <c r="K1611" i="2"/>
  <c r="N1602" i="19"/>
  <c r="K1607" i="2"/>
  <c r="N1598" i="19"/>
  <c r="K1603" i="2"/>
  <c r="N1594" i="19"/>
  <c r="K1599" i="2"/>
  <c r="N1590" i="19"/>
  <c r="K1595" i="2"/>
  <c r="N1586" i="19"/>
  <c r="K1591" i="2"/>
  <c r="N1582" i="19"/>
  <c r="K1587" i="2"/>
  <c r="N1578" i="19"/>
  <c r="K1583" i="2"/>
  <c r="N1574" i="19"/>
  <c r="K1579" i="2"/>
  <c r="N1570" i="19"/>
  <c r="K1575" i="2"/>
  <c r="N1566" i="19"/>
  <c r="K1571" i="2"/>
  <c r="N1562" i="19"/>
  <c r="K1567" i="2"/>
  <c r="N1558" i="19"/>
  <c r="K1563" i="2"/>
  <c r="N1554" i="19"/>
  <c r="K1559" i="2"/>
  <c r="N1550" i="19"/>
  <c r="K1555" i="2"/>
  <c r="N1542" i="19"/>
  <c r="K1547" i="2"/>
  <c r="N1538" i="19"/>
  <c r="K1543" i="2"/>
  <c r="N1530" i="19"/>
  <c r="K1535" i="2"/>
  <c r="N1526" i="19"/>
  <c r="K1531" i="2"/>
  <c r="N1522" i="19"/>
  <c r="K1527" i="2"/>
  <c r="N1514" i="19"/>
  <c r="K1519" i="2"/>
  <c r="N1510" i="19"/>
  <c r="K1515" i="2"/>
  <c r="N1506" i="19"/>
  <c r="K1511" i="2"/>
  <c r="N1502" i="19"/>
  <c r="K1507" i="2"/>
  <c r="N1498" i="19"/>
  <c r="K1503" i="2"/>
  <c r="N1494" i="19"/>
  <c r="K1499" i="2"/>
  <c r="N1490" i="19"/>
  <c r="K1495" i="2"/>
  <c r="N1486" i="19"/>
  <c r="K1491" i="2"/>
  <c r="N1482" i="19"/>
  <c r="K1487" i="2"/>
  <c r="N1478" i="19"/>
  <c r="K1483" i="2"/>
  <c r="N1474" i="19"/>
  <c r="K1479" i="2"/>
  <c r="N1470" i="19"/>
  <c r="K1475" i="2"/>
  <c r="N1466" i="19"/>
  <c r="K1471" i="2"/>
  <c r="N1462" i="19"/>
  <c r="K1467" i="2"/>
  <c r="N1458" i="19"/>
  <c r="K1463" i="2"/>
  <c r="N1454" i="19"/>
  <c r="K1459" i="2"/>
  <c r="N1450" i="19"/>
  <c r="K1455" i="2"/>
  <c r="N1446" i="19"/>
  <c r="K1451" i="2"/>
  <c r="N1441" i="19"/>
  <c r="K1446" i="2"/>
  <c r="N1437" i="19"/>
  <c r="K1442" i="2"/>
  <c r="N1433" i="19"/>
  <c r="K1438" i="2"/>
  <c r="N1429" i="19"/>
  <c r="K1434" i="2"/>
  <c r="N1425" i="19"/>
  <c r="K1430" i="2"/>
  <c r="N1421" i="19"/>
  <c r="K1426" i="2"/>
  <c r="N1417" i="19"/>
  <c r="K1422" i="2"/>
  <c r="N1413" i="19"/>
  <c r="K1418" i="2"/>
  <c r="N1409" i="19"/>
  <c r="K1414" i="2"/>
  <c r="N1405" i="19"/>
  <c r="K1410" i="2"/>
  <c r="N1401" i="19"/>
  <c r="K1406" i="2"/>
  <c r="N1397" i="19"/>
  <c r="K1402" i="2"/>
  <c r="N1393" i="19"/>
  <c r="K1398" i="2"/>
  <c r="N1389" i="19"/>
  <c r="K1394" i="2"/>
  <c r="N1385" i="19"/>
  <c r="K1390" i="2"/>
  <c r="N1381" i="19"/>
  <c r="K1386" i="2"/>
  <c r="N1377" i="19"/>
  <c r="K1382" i="2"/>
  <c r="N1373" i="19"/>
  <c r="K1378" i="2"/>
  <c r="N1369" i="19"/>
  <c r="K1374" i="2"/>
  <c r="N1365" i="19"/>
  <c r="K1370" i="2"/>
  <c r="N1361" i="19"/>
  <c r="K1366" i="2"/>
  <c r="N1357" i="19"/>
  <c r="K1362" i="2"/>
  <c r="N1353" i="19"/>
  <c r="K1358" i="2"/>
  <c r="N1349" i="19"/>
  <c r="K1354" i="2"/>
  <c r="N1345" i="19"/>
  <c r="K1350" i="2"/>
  <c r="N1341" i="19"/>
  <c r="K1346" i="2"/>
  <c r="N1337" i="19"/>
  <c r="K1342" i="2"/>
  <c r="N1333" i="19"/>
  <c r="K1338" i="2"/>
  <c r="N1329" i="19"/>
  <c r="K1334" i="2"/>
  <c r="N1325" i="19"/>
  <c r="K1330" i="2"/>
  <c r="N1321" i="19"/>
  <c r="K1326" i="2"/>
  <c r="N1317" i="19"/>
  <c r="K1322" i="2"/>
  <c r="N1313" i="19"/>
  <c r="K1318" i="2"/>
  <c r="N1309" i="19"/>
  <c r="K1314" i="2"/>
  <c r="N1305" i="19"/>
  <c r="K1310" i="2"/>
  <c r="N1301" i="19"/>
  <c r="K1306" i="2"/>
  <c r="N1297" i="19"/>
  <c r="K1302" i="2"/>
  <c r="N1293" i="19"/>
  <c r="K1298" i="2"/>
  <c r="N1289" i="19"/>
  <c r="K1294" i="2"/>
  <c r="N1285" i="19"/>
  <c r="K1290" i="2"/>
  <c r="N1281" i="19"/>
  <c r="K1286" i="2"/>
  <c r="N1277" i="19"/>
  <c r="K1282" i="2"/>
  <c r="N1273" i="19"/>
  <c r="K1278" i="2"/>
  <c r="N1269" i="19"/>
  <c r="K1274" i="2"/>
  <c r="N1265" i="19"/>
  <c r="K1270" i="2"/>
  <c r="N1261" i="19"/>
  <c r="K1266" i="2"/>
  <c r="N1257" i="19"/>
  <c r="K1262" i="2"/>
  <c r="N1253" i="19"/>
  <c r="K1258" i="2"/>
  <c r="N1249" i="19"/>
  <c r="K1254" i="2"/>
  <c r="N1245" i="19"/>
  <c r="K1250" i="2"/>
  <c r="N1241" i="19"/>
  <c r="K1246" i="2"/>
  <c r="N1237" i="19"/>
  <c r="K1242" i="2"/>
  <c r="N1233" i="19"/>
  <c r="K1238" i="2"/>
  <c r="N1229" i="19"/>
  <c r="K1234" i="2"/>
  <c r="N1225" i="19"/>
  <c r="K1230" i="2"/>
  <c r="N1221" i="19"/>
  <c r="K1226" i="2"/>
  <c r="N1217" i="19"/>
  <c r="K1222" i="2"/>
  <c r="N1213" i="19"/>
  <c r="K1218" i="2"/>
  <c r="N1209" i="19"/>
  <c r="K1214" i="2"/>
  <c r="N1205" i="19"/>
  <c r="K1210" i="2"/>
  <c r="N1201" i="19"/>
  <c r="K1206" i="2"/>
  <c r="N1197" i="19"/>
  <c r="K1202" i="2"/>
  <c r="N1193" i="19"/>
  <c r="K1198" i="2"/>
  <c r="N1189" i="19"/>
  <c r="K1194" i="2"/>
  <c r="N1185" i="19"/>
  <c r="K1190" i="2"/>
  <c r="N1181" i="19"/>
  <c r="K1186" i="2"/>
  <c r="N1177" i="19"/>
  <c r="K1182" i="2"/>
  <c r="N1173" i="19"/>
  <c r="K1178" i="2"/>
  <c r="N1169" i="19"/>
  <c r="K1174" i="2"/>
  <c r="N1165" i="19"/>
  <c r="K1170" i="2"/>
  <c r="N1161" i="19"/>
  <c r="K1166" i="2"/>
  <c r="N1157" i="19"/>
  <c r="K1162" i="2"/>
  <c r="N1153" i="19"/>
  <c r="K1158" i="2"/>
  <c r="N1149" i="19"/>
  <c r="K1154" i="2"/>
  <c r="N1145" i="19"/>
  <c r="K1150" i="2"/>
  <c r="N1141" i="19"/>
  <c r="K1146" i="2"/>
  <c r="N1137" i="19"/>
  <c r="K1142" i="2"/>
  <c r="N1133" i="19"/>
  <c r="K1138" i="2"/>
  <c r="N1129" i="19"/>
  <c r="K1134" i="2"/>
  <c r="N1125" i="19"/>
  <c r="K1130" i="2"/>
  <c r="N1121" i="19"/>
  <c r="K1126" i="2"/>
  <c r="N1117" i="19"/>
  <c r="K1122" i="2"/>
  <c r="N1113" i="19"/>
  <c r="K1118" i="2"/>
  <c r="N1109" i="19"/>
  <c r="K1114" i="2"/>
  <c r="N1105" i="19"/>
  <c r="K1110" i="2"/>
  <c r="N1101" i="19"/>
  <c r="K1106" i="2"/>
  <c r="N1097" i="19"/>
  <c r="K1102" i="2"/>
  <c r="N1093" i="19"/>
  <c r="K1098" i="2"/>
  <c r="N1089" i="19"/>
  <c r="K1094" i="2"/>
  <c r="N1085" i="19"/>
  <c r="K1090" i="2"/>
  <c r="N1081" i="19"/>
  <c r="K1086" i="2"/>
  <c r="N1077" i="19"/>
  <c r="K1082" i="2"/>
  <c r="N1073" i="19"/>
  <c r="K1078" i="2"/>
  <c r="N1069" i="19"/>
  <c r="K1074" i="2"/>
  <c r="N1065" i="19"/>
  <c r="K1070" i="2"/>
  <c r="N1061" i="19"/>
  <c r="K1066" i="2"/>
  <c r="N1057" i="19"/>
  <c r="K1062" i="2"/>
  <c r="O1062" i="2" s="1"/>
  <c r="N1053" i="19"/>
  <c r="K1058" i="2"/>
  <c r="O1058" i="2" s="1"/>
  <c r="N1049" i="19"/>
  <c r="K1054" i="2"/>
  <c r="N1045" i="19"/>
  <c r="K1050" i="2"/>
  <c r="N1041" i="19"/>
  <c r="K1046" i="2"/>
  <c r="N1037" i="19"/>
  <c r="K1042" i="2"/>
  <c r="N1033" i="19"/>
  <c r="K1038" i="2"/>
  <c r="N1029" i="19"/>
  <c r="K1034" i="2"/>
  <c r="N1025" i="19"/>
  <c r="K1030" i="2"/>
  <c r="N1021" i="19"/>
  <c r="K1026" i="2"/>
  <c r="N1017" i="19"/>
  <c r="K1022" i="2"/>
  <c r="N1013" i="19"/>
  <c r="K1018" i="2"/>
  <c r="N1009" i="19"/>
  <c r="K1014" i="2"/>
  <c r="N1005" i="19"/>
  <c r="K1010" i="2"/>
  <c r="N1001" i="19"/>
  <c r="K1006" i="2"/>
  <c r="N997" i="19"/>
  <c r="K1002" i="2"/>
  <c r="N993" i="19"/>
  <c r="K998" i="2"/>
  <c r="N989" i="19"/>
  <c r="K994" i="2"/>
  <c r="N985" i="19"/>
  <c r="K990" i="2"/>
  <c r="O990" i="2" s="1"/>
  <c r="N981" i="19"/>
  <c r="K986" i="2"/>
  <c r="N977" i="19"/>
  <c r="K982" i="2"/>
  <c r="N973" i="19"/>
  <c r="K978" i="2"/>
  <c r="N969" i="19"/>
  <c r="K974" i="2"/>
  <c r="N965" i="19"/>
  <c r="K970" i="2"/>
  <c r="N961" i="19"/>
  <c r="K966" i="2"/>
  <c r="N957" i="19"/>
  <c r="K962" i="2"/>
  <c r="N953" i="19"/>
  <c r="K958" i="2"/>
  <c r="N949" i="19"/>
  <c r="K954" i="2"/>
  <c r="N945" i="19"/>
  <c r="K950" i="2"/>
  <c r="N941" i="19"/>
  <c r="K946" i="2"/>
  <c r="N937" i="19"/>
  <c r="K942" i="2"/>
  <c r="N933" i="19"/>
  <c r="K938" i="2"/>
  <c r="N929" i="19"/>
  <c r="K934" i="2"/>
  <c r="N925" i="19"/>
  <c r="K930" i="2"/>
  <c r="N921" i="19"/>
  <c r="K926" i="2"/>
  <c r="N917" i="19"/>
  <c r="K922" i="2"/>
  <c r="N913" i="19"/>
  <c r="K918" i="2"/>
  <c r="N909" i="19"/>
  <c r="K914" i="2"/>
  <c r="N905" i="19"/>
  <c r="K910" i="2"/>
  <c r="N901" i="19"/>
  <c r="K906" i="2"/>
  <c r="N897" i="19"/>
  <c r="K902" i="2"/>
  <c r="N893" i="19"/>
  <c r="K898" i="2"/>
  <c r="N889" i="19"/>
  <c r="K894" i="2"/>
  <c r="N885" i="19"/>
  <c r="K890" i="2"/>
  <c r="N881" i="19"/>
  <c r="K886" i="2"/>
  <c r="N877" i="19"/>
  <c r="K882" i="2"/>
  <c r="N873" i="19"/>
  <c r="K878" i="2"/>
  <c r="N869" i="19"/>
  <c r="K874" i="2"/>
  <c r="N865" i="19"/>
  <c r="K870" i="2"/>
  <c r="N861" i="19"/>
  <c r="K866" i="2"/>
  <c r="N857" i="19"/>
  <c r="K862" i="2"/>
  <c r="N853" i="19"/>
  <c r="K858" i="2"/>
  <c r="N849" i="19"/>
  <c r="K854" i="2"/>
  <c r="N845" i="19"/>
  <c r="K850" i="2"/>
  <c r="N841" i="19"/>
  <c r="K846" i="2"/>
  <c r="N837" i="19"/>
  <c r="K842" i="2"/>
  <c r="N833" i="19"/>
  <c r="K838" i="2"/>
  <c r="N829" i="19"/>
  <c r="K834" i="2"/>
  <c r="N825" i="19"/>
  <c r="K830" i="2"/>
  <c r="N821" i="19"/>
  <c r="K826" i="2"/>
  <c r="N817" i="19"/>
  <c r="K822" i="2"/>
  <c r="N813" i="19"/>
  <c r="K818" i="2"/>
  <c r="N809" i="19"/>
  <c r="K814" i="2"/>
  <c r="N805" i="19"/>
  <c r="K810" i="2"/>
  <c r="N801" i="19"/>
  <c r="K806" i="2"/>
  <c r="N797" i="19"/>
  <c r="K802" i="2"/>
  <c r="N793" i="19"/>
  <c r="K798" i="2"/>
  <c r="N789" i="19"/>
  <c r="K794" i="2"/>
  <c r="N785" i="19"/>
  <c r="K790" i="2"/>
  <c r="N781" i="19"/>
  <c r="K786" i="2"/>
  <c r="N777" i="19"/>
  <c r="K782" i="2"/>
  <c r="N773" i="19"/>
  <c r="K778" i="2"/>
  <c r="N769" i="19"/>
  <c r="K774" i="2"/>
  <c r="N765" i="19"/>
  <c r="K770" i="2"/>
  <c r="N761" i="19"/>
  <c r="K766" i="2"/>
  <c r="N757" i="19"/>
  <c r="K762" i="2"/>
  <c r="N753" i="19"/>
  <c r="K758" i="2"/>
  <c r="N749" i="19"/>
  <c r="K754" i="2"/>
  <c r="N745" i="19"/>
  <c r="K750" i="2"/>
  <c r="N741" i="19"/>
  <c r="K746" i="2"/>
  <c r="N737" i="19"/>
  <c r="K742" i="2"/>
  <c r="N733" i="19"/>
  <c r="K738" i="2"/>
  <c r="N729" i="19"/>
  <c r="K734" i="2"/>
  <c r="N725" i="19"/>
  <c r="K730" i="2"/>
  <c r="N721" i="19"/>
  <c r="K726" i="2"/>
  <c r="N717" i="19"/>
  <c r="K722" i="2"/>
  <c r="N713" i="19"/>
  <c r="K718" i="2"/>
  <c r="N709" i="19"/>
  <c r="K714" i="2"/>
  <c r="N705" i="19"/>
  <c r="K710" i="2"/>
  <c r="N701" i="19"/>
  <c r="K706" i="2"/>
  <c r="N697" i="19"/>
  <c r="K702" i="2"/>
  <c r="N693" i="19"/>
  <c r="K698" i="2"/>
  <c r="N689" i="19"/>
  <c r="K694" i="2"/>
  <c r="N685" i="19"/>
  <c r="K690" i="2"/>
  <c r="N681" i="19"/>
  <c r="K686" i="2"/>
  <c r="N677" i="19"/>
  <c r="K682" i="2"/>
  <c r="N673" i="19"/>
  <c r="K678" i="2"/>
  <c r="N669" i="19"/>
  <c r="K674" i="2"/>
  <c r="N665" i="19"/>
  <c r="K670" i="2"/>
  <c r="N661" i="19"/>
  <c r="K666" i="2"/>
  <c r="N657" i="19"/>
  <c r="K662" i="2"/>
  <c r="N653" i="19"/>
  <c r="K658" i="2"/>
  <c r="N649" i="19"/>
  <c r="K654" i="2"/>
  <c r="N645" i="19"/>
  <c r="K650" i="2"/>
  <c r="N641" i="19"/>
  <c r="K646" i="2"/>
  <c r="N637" i="19"/>
  <c r="K642" i="2"/>
  <c r="N633" i="19"/>
  <c r="K638" i="2"/>
  <c r="N629" i="19"/>
  <c r="K634" i="2"/>
  <c r="N625" i="19"/>
  <c r="K630" i="2"/>
  <c r="N621" i="19"/>
  <c r="K626" i="2"/>
  <c r="N617" i="19"/>
  <c r="K622" i="2"/>
  <c r="N613" i="19"/>
  <c r="K618" i="2"/>
  <c r="N609" i="19"/>
  <c r="K614" i="2"/>
  <c r="N605" i="19"/>
  <c r="K610" i="2"/>
  <c r="N601" i="19"/>
  <c r="K606" i="2"/>
  <c r="N597" i="19"/>
  <c r="K602" i="2"/>
  <c r="N593" i="19"/>
  <c r="K598" i="2"/>
  <c r="O598" i="2" s="1"/>
  <c r="N589" i="19"/>
  <c r="K594" i="2"/>
  <c r="N585" i="19"/>
  <c r="K590" i="2"/>
  <c r="N581" i="19"/>
  <c r="K586" i="2"/>
  <c r="N577" i="19"/>
  <c r="K582" i="2"/>
  <c r="N573" i="19"/>
  <c r="K578" i="2"/>
  <c r="N569" i="19"/>
  <c r="K574" i="2"/>
  <c r="N565" i="19"/>
  <c r="K570" i="2"/>
  <c r="N561" i="19"/>
  <c r="K566" i="2"/>
  <c r="N557" i="19"/>
  <c r="K562" i="2"/>
  <c r="N553" i="19"/>
  <c r="K558" i="2"/>
  <c r="N549" i="19"/>
  <c r="K554" i="2"/>
  <c r="N545" i="19"/>
  <c r="K550" i="2"/>
  <c r="N541" i="19"/>
  <c r="K546" i="2"/>
  <c r="N537" i="19"/>
  <c r="K542" i="2"/>
  <c r="N533" i="19"/>
  <c r="K538" i="2"/>
  <c r="N529" i="19"/>
  <c r="K534" i="2"/>
  <c r="O534" i="2" s="1"/>
  <c r="N525" i="19"/>
  <c r="K530" i="2"/>
  <c r="N521" i="19"/>
  <c r="K526" i="2"/>
  <c r="N517" i="19"/>
  <c r="K522" i="2"/>
  <c r="N513" i="19"/>
  <c r="K518" i="2"/>
  <c r="N509" i="19"/>
  <c r="K514" i="2"/>
  <c r="N505" i="19"/>
  <c r="K510" i="2"/>
  <c r="N501" i="19"/>
  <c r="K506" i="2"/>
  <c r="N497" i="19"/>
  <c r="K502" i="2"/>
  <c r="N493" i="19"/>
  <c r="K498" i="2"/>
  <c r="N489" i="19"/>
  <c r="K494" i="2"/>
  <c r="N485" i="19"/>
  <c r="K490" i="2"/>
  <c r="N481" i="19"/>
  <c r="K486" i="2"/>
  <c r="N477" i="19"/>
  <c r="K482" i="2"/>
  <c r="N473" i="19"/>
  <c r="K478" i="2"/>
  <c r="N469" i="19"/>
  <c r="K474" i="2"/>
  <c r="N461" i="19"/>
  <c r="K466" i="2"/>
  <c r="N457" i="19"/>
  <c r="K462" i="2"/>
  <c r="N453" i="19"/>
  <c r="K458" i="2"/>
  <c r="N449" i="19"/>
  <c r="K454" i="2"/>
  <c r="N445" i="19"/>
  <c r="K450" i="2"/>
  <c r="N441" i="19"/>
  <c r="K446" i="2"/>
  <c r="N437" i="19"/>
  <c r="K442" i="2"/>
  <c r="N433" i="19"/>
  <c r="K438" i="2"/>
  <c r="N429" i="19"/>
  <c r="K434" i="2"/>
  <c r="N421" i="19"/>
  <c r="K426" i="2"/>
  <c r="N417" i="19"/>
  <c r="K422" i="2"/>
  <c r="N413" i="19"/>
  <c r="K418" i="2"/>
  <c r="N409" i="19"/>
  <c r="K414" i="2"/>
  <c r="N405" i="19"/>
  <c r="K410" i="2"/>
  <c r="N401" i="19"/>
  <c r="K406" i="2"/>
  <c r="N397" i="19"/>
  <c r="K402" i="2"/>
  <c r="N393" i="19"/>
  <c r="K398" i="2"/>
  <c r="N389" i="19"/>
  <c r="K394" i="2"/>
  <c r="N385" i="19"/>
  <c r="K390" i="2"/>
  <c r="N381" i="19"/>
  <c r="K386" i="2"/>
  <c r="N377" i="19"/>
  <c r="K382" i="2"/>
  <c r="N373" i="19"/>
  <c r="K378" i="2"/>
  <c r="N369" i="19"/>
  <c r="K374" i="2"/>
  <c r="N365" i="19"/>
  <c r="K370" i="2"/>
  <c r="N1445" i="19"/>
  <c r="K1450" i="2"/>
  <c r="N1621" i="19"/>
  <c r="K1626" i="2"/>
  <c r="N1617" i="19"/>
  <c r="K1622" i="2"/>
  <c r="N1613" i="19"/>
  <c r="K1618" i="2"/>
  <c r="N1609" i="19"/>
  <c r="K1614" i="2"/>
  <c r="N1605" i="19"/>
  <c r="K1610" i="2"/>
  <c r="N1601" i="19"/>
  <c r="K1606" i="2"/>
  <c r="N1597" i="19"/>
  <c r="K1602" i="2"/>
  <c r="N1593" i="19"/>
  <c r="K1598" i="2"/>
  <c r="N1589" i="19"/>
  <c r="K1594" i="2"/>
  <c r="N1585" i="19"/>
  <c r="K1590" i="2"/>
  <c r="N1581" i="19"/>
  <c r="K1586" i="2"/>
  <c r="N1577" i="19"/>
  <c r="K1582" i="2"/>
  <c r="N1573" i="19"/>
  <c r="K1578" i="2"/>
  <c r="N1569" i="19"/>
  <c r="K1574" i="2"/>
  <c r="N1565" i="19"/>
  <c r="K1570" i="2"/>
  <c r="N1561" i="19"/>
  <c r="K1566" i="2"/>
  <c r="N1557" i="19"/>
  <c r="K1562" i="2"/>
  <c r="N1553" i="19"/>
  <c r="K1558" i="2"/>
  <c r="N1549" i="19"/>
  <c r="K1554" i="2"/>
  <c r="N1545" i="19"/>
  <c r="K1550" i="2"/>
  <c r="N1541" i="19"/>
  <c r="K1546" i="2"/>
  <c r="N1537" i="19"/>
  <c r="K1542" i="2"/>
  <c r="N1533" i="19"/>
  <c r="K1538" i="2"/>
  <c r="N1529" i="19"/>
  <c r="K1534" i="2"/>
  <c r="N1525" i="19"/>
  <c r="K1530" i="2"/>
  <c r="N1521" i="19"/>
  <c r="K1526" i="2"/>
  <c r="N1517" i="19"/>
  <c r="K1522" i="2"/>
  <c r="N1513" i="19"/>
  <c r="K1518" i="2"/>
  <c r="N1509" i="19"/>
  <c r="K1514" i="2"/>
  <c r="N1505" i="19"/>
  <c r="K1510" i="2"/>
  <c r="N1501" i="19"/>
  <c r="K1506" i="2"/>
  <c r="N1497" i="19"/>
  <c r="K1502" i="2"/>
  <c r="N1493" i="19"/>
  <c r="K1498" i="2"/>
  <c r="N1489" i="19"/>
  <c r="K1494" i="2"/>
  <c r="N1485" i="19"/>
  <c r="K1490" i="2"/>
  <c r="N1481" i="19"/>
  <c r="K1486" i="2"/>
  <c r="N1477" i="19"/>
  <c r="K1482" i="2"/>
  <c r="N1473" i="19"/>
  <c r="K1478" i="2"/>
  <c r="N1469" i="19"/>
  <c r="K1474" i="2"/>
  <c r="N1465" i="19"/>
  <c r="K1470" i="2"/>
  <c r="N1461" i="19"/>
  <c r="K1466" i="2"/>
  <c r="N1457" i="19"/>
  <c r="K1462" i="2"/>
  <c r="N1453" i="19"/>
  <c r="K1458" i="2"/>
  <c r="N1449" i="19"/>
  <c r="K1454" i="2"/>
  <c r="N1444" i="19"/>
  <c r="K1449" i="2"/>
  <c r="N1440" i="19"/>
  <c r="K1445" i="2"/>
  <c r="N1436" i="19"/>
  <c r="K1441" i="2"/>
  <c r="N1432" i="19"/>
  <c r="K1437" i="2"/>
  <c r="N1428" i="19"/>
  <c r="K1433" i="2"/>
  <c r="N1424" i="19"/>
  <c r="K1429" i="2"/>
  <c r="N1420" i="19"/>
  <c r="K1425" i="2"/>
  <c r="N1416" i="19"/>
  <c r="K1421" i="2"/>
  <c r="N1412" i="19"/>
  <c r="K1417" i="2"/>
  <c r="N1408" i="19"/>
  <c r="K1413" i="2"/>
  <c r="N1404" i="19"/>
  <c r="K1409" i="2"/>
  <c r="N1400" i="19"/>
  <c r="K1405" i="2"/>
  <c r="N1396" i="19"/>
  <c r="K1401" i="2"/>
  <c r="N1392" i="19"/>
  <c r="K1397" i="2"/>
  <c r="N1388" i="19"/>
  <c r="K1393" i="2"/>
  <c r="N1384" i="19"/>
  <c r="K1389" i="2"/>
  <c r="N1380" i="19"/>
  <c r="K1385" i="2"/>
  <c r="N1376" i="19"/>
  <c r="K1381" i="2"/>
  <c r="N1372" i="19"/>
  <c r="K1377" i="2"/>
  <c r="N1368" i="19"/>
  <c r="K1373" i="2"/>
  <c r="N1364" i="19"/>
  <c r="K1369" i="2"/>
  <c r="N1360" i="19"/>
  <c r="K1365" i="2"/>
  <c r="N1356" i="19"/>
  <c r="K1361" i="2"/>
  <c r="N1352" i="19"/>
  <c r="K1357" i="2"/>
  <c r="N1348" i="19"/>
  <c r="K1353" i="2"/>
  <c r="N1344" i="19"/>
  <c r="K1349" i="2"/>
  <c r="N1340" i="19"/>
  <c r="K1345" i="2"/>
  <c r="N1336" i="19"/>
  <c r="K1341" i="2"/>
  <c r="N1332" i="19"/>
  <c r="K1337" i="2"/>
  <c r="N1328" i="19"/>
  <c r="K1333" i="2"/>
  <c r="N1324" i="19"/>
  <c r="K1329" i="2"/>
  <c r="N1320" i="19"/>
  <c r="K1325" i="2"/>
  <c r="N1316" i="19"/>
  <c r="K1321" i="2"/>
  <c r="N1312" i="19"/>
  <c r="K1317" i="2"/>
  <c r="N1308" i="19"/>
  <c r="K1313" i="2"/>
  <c r="N1304" i="19"/>
  <c r="K1309" i="2"/>
  <c r="N1300" i="19"/>
  <c r="K1305" i="2"/>
  <c r="N1296" i="19"/>
  <c r="K1301" i="2"/>
  <c r="N1292" i="19"/>
  <c r="K1297" i="2"/>
  <c r="N1288" i="19"/>
  <c r="K1293" i="2"/>
  <c r="N1284" i="19"/>
  <c r="K1289" i="2"/>
  <c r="N1280" i="19"/>
  <c r="K1285" i="2"/>
  <c r="N1276" i="19"/>
  <c r="K1281" i="2"/>
  <c r="N1272" i="19"/>
  <c r="K1277" i="2"/>
  <c r="N1268" i="19"/>
  <c r="K1273" i="2"/>
  <c r="N1264" i="19"/>
  <c r="K1269" i="2"/>
  <c r="N1260" i="19"/>
  <c r="K1265" i="2"/>
  <c r="N1256" i="19"/>
  <c r="K1261" i="2"/>
  <c r="N1252" i="19"/>
  <c r="K1257" i="2"/>
  <c r="N1248" i="19"/>
  <c r="K1253" i="2"/>
  <c r="N1244" i="19"/>
  <c r="K1249" i="2"/>
  <c r="N1240" i="19"/>
  <c r="K1245" i="2"/>
  <c r="N1236" i="19"/>
  <c r="K1241" i="2"/>
  <c r="N1232" i="19"/>
  <c r="K1237" i="2"/>
  <c r="N1228" i="19"/>
  <c r="K1233" i="2"/>
  <c r="N1224" i="19"/>
  <c r="K1229" i="2"/>
  <c r="N1220" i="19"/>
  <c r="K1225" i="2"/>
  <c r="N1216" i="19"/>
  <c r="K1221" i="2"/>
  <c r="N1212" i="19"/>
  <c r="K1217" i="2"/>
  <c r="N1208" i="19"/>
  <c r="K1213" i="2"/>
  <c r="N1204" i="19"/>
  <c r="K1209" i="2"/>
  <c r="N1200" i="19"/>
  <c r="K1205" i="2"/>
  <c r="N1196" i="19"/>
  <c r="K1201" i="2"/>
  <c r="N1192" i="19"/>
  <c r="K1197" i="2"/>
  <c r="N1188" i="19"/>
  <c r="K1193" i="2"/>
  <c r="N1184" i="19"/>
  <c r="K1189" i="2"/>
  <c r="N1180" i="19"/>
  <c r="K1185" i="2"/>
  <c r="N1176" i="19"/>
  <c r="K1181" i="2"/>
  <c r="N1172" i="19"/>
  <c r="K1177" i="2"/>
  <c r="N1168" i="19"/>
  <c r="K1173" i="2"/>
  <c r="N1164" i="19"/>
  <c r="K1169" i="2"/>
  <c r="N1160" i="19"/>
  <c r="K1165" i="2"/>
  <c r="N1156" i="19"/>
  <c r="K1161" i="2"/>
  <c r="N1152" i="19"/>
  <c r="K1157" i="2"/>
  <c r="N1148" i="19"/>
  <c r="K1153" i="2"/>
  <c r="N1144" i="19"/>
  <c r="K1149" i="2"/>
  <c r="N1140" i="19"/>
  <c r="K1145" i="2"/>
  <c r="N1136" i="19"/>
  <c r="K1141" i="2"/>
  <c r="N1132" i="19"/>
  <c r="K1137" i="2"/>
  <c r="N1128" i="19"/>
  <c r="K1133" i="2"/>
  <c r="N1124" i="19"/>
  <c r="K1129" i="2"/>
  <c r="N1120" i="19"/>
  <c r="K1125" i="2"/>
  <c r="N1116" i="19"/>
  <c r="K1121" i="2"/>
  <c r="N1112" i="19"/>
  <c r="K1117" i="2"/>
  <c r="N1108" i="19"/>
  <c r="K1113" i="2"/>
  <c r="N1104" i="19"/>
  <c r="K1109" i="2"/>
  <c r="N1100" i="19"/>
  <c r="K1105" i="2"/>
  <c r="N1096" i="19"/>
  <c r="K1101" i="2"/>
  <c r="N1092" i="19"/>
  <c r="K1097" i="2"/>
  <c r="N1088" i="19"/>
  <c r="K1093" i="2"/>
  <c r="N1084" i="19"/>
  <c r="K1089" i="2"/>
  <c r="N1080" i="19"/>
  <c r="K1085" i="2"/>
  <c r="N1076" i="19"/>
  <c r="K1081" i="2"/>
  <c r="N1072" i="19"/>
  <c r="K1077" i="2"/>
  <c r="N1068" i="19"/>
  <c r="K1073" i="2"/>
  <c r="N1064" i="19"/>
  <c r="K1069" i="2"/>
  <c r="N1060" i="19"/>
  <c r="K1065" i="2"/>
  <c r="N1056" i="19"/>
  <c r="K1061" i="2"/>
  <c r="O1061" i="2" s="1"/>
  <c r="N1052" i="19"/>
  <c r="K1057" i="2"/>
  <c r="N1048" i="19"/>
  <c r="K1053" i="2"/>
  <c r="N1044" i="19"/>
  <c r="K1049" i="2"/>
  <c r="N1040" i="19"/>
  <c r="K1045" i="2"/>
  <c r="N1036" i="19"/>
  <c r="K1041" i="2"/>
  <c r="N1032" i="19"/>
  <c r="K1037" i="2"/>
  <c r="N1028" i="19"/>
  <c r="K1033" i="2"/>
  <c r="N1024" i="19"/>
  <c r="K1029" i="2"/>
  <c r="N1020" i="19"/>
  <c r="K1025" i="2"/>
  <c r="N1016" i="19"/>
  <c r="K1021" i="2"/>
  <c r="N1012" i="19"/>
  <c r="K1017" i="2"/>
  <c r="N1008" i="19"/>
  <c r="K1013" i="2"/>
  <c r="N1004" i="19"/>
  <c r="K1009" i="2"/>
  <c r="N1000" i="19"/>
  <c r="K1005" i="2"/>
  <c r="N996" i="19"/>
  <c r="K1001" i="2"/>
  <c r="N992" i="19"/>
  <c r="K997" i="2"/>
  <c r="N988" i="19"/>
  <c r="K993" i="2"/>
  <c r="N984" i="19"/>
  <c r="K989" i="2"/>
  <c r="N980" i="19"/>
  <c r="K985" i="2"/>
  <c r="N976" i="19"/>
  <c r="K981" i="2"/>
  <c r="N972" i="19"/>
  <c r="K977" i="2"/>
  <c r="N968" i="19"/>
  <c r="K973" i="2"/>
  <c r="N964" i="19"/>
  <c r="K969" i="2"/>
  <c r="N960" i="19"/>
  <c r="K965" i="2"/>
  <c r="O965" i="2" s="1"/>
  <c r="N956" i="19"/>
  <c r="K961" i="2"/>
  <c r="N952" i="19"/>
  <c r="K957" i="2"/>
  <c r="N948" i="19"/>
  <c r="K953" i="2"/>
  <c r="N944" i="19"/>
  <c r="K949" i="2"/>
  <c r="O949" i="2" s="1"/>
  <c r="N940" i="19"/>
  <c r="K945" i="2"/>
  <c r="N936" i="19"/>
  <c r="K941" i="2"/>
  <c r="N932" i="19"/>
  <c r="K937" i="2"/>
  <c r="N928" i="19"/>
  <c r="K933" i="2"/>
  <c r="N924" i="19"/>
  <c r="K929" i="2"/>
  <c r="N920" i="19"/>
  <c r="K925" i="2"/>
  <c r="N916" i="19"/>
  <c r="K921" i="2"/>
  <c r="N912" i="19"/>
  <c r="K917" i="2"/>
  <c r="N908" i="19"/>
  <c r="K913" i="2"/>
  <c r="N904" i="19"/>
  <c r="K909" i="2"/>
  <c r="N900" i="19"/>
  <c r="K905" i="2"/>
  <c r="N896" i="19"/>
  <c r="K901" i="2"/>
  <c r="N892" i="19"/>
  <c r="K897" i="2"/>
  <c r="N888" i="19"/>
  <c r="K893" i="2"/>
  <c r="N884" i="19"/>
  <c r="K889" i="2"/>
  <c r="N880" i="19"/>
  <c r="K885" i="2"/>
  <c r="N876" i="19"/>
  <c r="K881" i="2"/>
  <c r="N872" i="19"/>
  <c r="K877" i="2"/>
  <c r="N868" i="19"/>
  <c r="K873" i="2"/>
  <c r="N864" i="19"/>
  <c r="K869" i="2"/>
  <c r="N860" i="19"/>
  <c r="K865" i="2"/>
  <c r="N856" i="19"/>
  <c r="K861" i="2"/>
  <c r="N852" i="19"/>
  <c r="K857" i="2"/>
  <c r="N848" i="19"/>
  <c r="K853" i="2"/>
  <c r="N844" i="19"/>
  <c r="K849" i="2"/>
  <c r="N840" i="19"/>
  <c r="K845" i="2"/>
  <c r="N836" i="19"/>
  <c r="K841" i="2"/>
  <c r="N832" i="19"/>
  <c r="K837" i="2"/>
  <c r="N828" i="19"/>
  <c r="K833" i="2"/>
  <c r="N824" i="19"/>
  <c r="K829" i="2"/>
  <c r="N820" i="19"/>
  <c r="K825" i="2"/>
  <c r="N816" i="19"/>
  <c r="K821" i="2"/>
  <c r="N812" i="19"/>
  <c r="K817" i="2"/>
  <c r="N808" i="19"/>
  <c r="K813" i="2"/>
  <c r="N804" i="19"/>
  <c r="K809" i="2"/>
  <c r="N800" i="19"/>
  <c r="K805" i="2"/>
  <c r="N796" i="19"/>
  <c r="K801" i="2"/>
  <c r="N792" i="19"/>
  <c r="K797" i="2"/>
  <c r="N788" i="19"/>
  <c r="K793" i="2"/>
  <c r="N784" i="19"/>
  <c r="K789" i="2"/>
  <c r="N780" i="19"/>
  <c r="K785" i="2"/>
  <c r="N776" i="19"/>
  <c r="K781" i="2"/>
  <c r="N772" i="19"/>
  <c r="K777" i="2"/>
  <c r="N768" i="19"/>
  <c r="K773" i="2"/>
  <c r="N764" i="19"/>
  <c r="K769" i="2"/>
  <c r="N756" i="19"/>
  <c r="K761" i="2"/>
  <c r="N752" i="19"/>
  <c r="K757" i="2"/>
  <c r="N748" i="19"/>
  <c r="K753" i="2"/>
  <c r="N744" i="19"/>
  <c r="K749" i="2"/>
  <c r="N740" i="19"/>
  <c r="K745" i="2"/>
  <c r="N736" i="19"/>
  <c r="K741" i="2"/>
  <c r="N732" i="19"/>
  <c r="K737" i="2"/>
  <c r="N728" i="19"/>
  <c r="K733" i="2"/>
  <c r="N724" i="19"/>
  <c r="K729" i="2"/>
  <c r="N720" i="19"/>
  <c r="K725" i="2"/>
  <c r="N716" i="19"/>
  <c r="K721" i="2"/>
  <c r="N712" i="19"/>
  <c r="K717" i="2"/>
  <c r="N708" i="19"/>
  <c r="K713" i="2"/>
  <c r="N704" i="19"/>
  <c r="K709" i="2"/>
  <c r="N700" i="19"/>
  <c r="K705" i="2"/>
  <c r="N696" i="19"/>
  <c r="K701" i="2"/>
  <c r="N692" i="19"/>
  <c r="K697" i="2"/>
  <c r="N688" i="19"/>
  <c r="K693" i="2"/>
  <c r="N684" i="19"/>
  <c r="K689" i="2"/>
  <c r="N680" i="19"/>
  <c r="K685" i="2"/>
  <c r="N676" i="19"/>
  <c r="K681" i="2"/>
  <c r="N672" i="19"/>
  <c r="K677" i="2"/>
  <c r="N668" i="19"/>
  <c r="K673" i="2"/>
  <c r="N664" i="19"/>
  <c r="K669" i="2"/>
  <c r="N660" i="19"/>
  <c r="K665" i="2"/>
  <c r="N656" i="19"/>
  <c r="K661" i="2"/>
  <c r="N652" i="19"/>
  <c r="K657" i="2"/>
  <c r="N648" i="19"/>
  <c r="K653" i="2"/>
  <c r="N644" i="19"/>
  <c r="K649" i="2"/>
  <c r="N640" i="19"/>
  <c r="K645" i="2"/>
  <c r="N636" i="19"/>
  <c r="K641" i="2"/>
  <c r="N632" i="19"/>
  <c r="K637" i="2"/>
  <c r="N628" i="19"/>
  <c r="K633" i="2"/>
  <c r="N624" i="19"/>
  <c r="K629" i="2"/>
  <c r="N620" i="19"/>
  <c r="K625" i="2"/>
  <c r="N616" i="19"/>
  <c r="K621" i="2"/>
  <c r="N612" i="19"/>
  <c r="K617" i="2"/>
  <c r="N608" i="19"/>
  <c r="K613" i="2"/>
  <c r="O613" i="2" s="1"/>
  <c r="N604" i="19"/>
  <c r="K609" i="2"/>
  <c r="O609" i="2" s="1"/>
  <c r="N600" i="19"/>
  <c r="K605" i="2"/>
  <c r="N596" i="19"/>
  <c r="K601" i="2"/>
  <c r="N592" i="19"/>
  <c r="K597" i="2"/>
  <c r="N588" i="19"/>
  <c r="K593" i="2"/>
  <c r="N584" i="19"/>
  <c r="K589" i="2"/>
  <c r="N580" i="19"/>
  <c r="K585" i="2"/>
  <c r="N576" i="19"/>
  <c r="K581" i="2"/>
  <c r="N572" i="19"/>
  <c r="K577" i="2"/>
  <c r="N568" i="19"/>
  <c r="K573" i="2"/>
  <c r="N564" i="19"/>
  <c r="K569" i="2"/>
  <c r="N560" i="19"/>
  <c r="K565" i="2"/>
  <c r="N556" i="19"/>
  <c r="K561" i="2"/>
  <c r="N552" i="19"/>
  <c r="K557" i="2"/>
  <c r="N548" i="19"/>
  <c r="K553" i="2"/>
  <c r="N544" i="19"/>
  <c r="K549" i="2"/>
  <c r="N540" i="19"/>
  <c r="K545" i="2"/>
  <c r="O545" i="2" s="1"/>
  <c r="N536" i="19"/>
  <c r="K541" i="2"/>
  <c r="N532" i="19"/>
  <c r="K537" i="2"/>
  <c r="N528" i="19"/>
  <c r="K533" i="2"/>
  <c r="N524" i="19"/>
  <c r="K529" i="2"/>
  <c r="N520" i="19"/>
  <c r="K525" i="2"/>
  <c r="N516" i="19"/>
  <c r="K521" i="2"/>
  <c r="N512" i="19"/>
  <c r="K517" i="2"/>
  <c r="N504" i="19"/>
  <c r="K509" i="2"/>
  <c r="N500" i="19"/>
  <c r="K505" i="2"/>
  <c r="N496" i="19"/>
  <c r="K501" i="2"/>
  <c r="N492" i="19"/>
  <c r="K497" i="2"/>
  <c r="N488" i="19"/>
  <c r="K493" i="2"/>
  <c r="N484" i="19"/>
  <c r="K489" i="2"/>
  <c r="N480" i="19"/>
  <c r="K485" i="2"/>
  <c r="N476" i="19"/>
  <c r="K481" i="2"/>
  <c r="N472" i="19"/>
  <c r="K477" i="2"/>
  <c r="N468" i="19"/>
  <c r="K473" i="2"/>
  <c r="N464" i="19"/>
  <c r="K469" i="2"/>
  <c r="N460" i="19"/>
  <c r="K465" i="2"/>
  <c r="N456" i="19"/>
  <c r="K461" i="2"/>
  <c r="N452" i="19"/>
  <c r="K457" i="2"/>
  <c r="N448" i="19"/>
  <c r="K453" i="2"/>
  <c r="N444" i="19"/>
  <c r="K449" i="2"/>
  <c r="N440" i="19"/>
  <c r="K445" i="2"/>
  <c r="N436" i="19"/>
  <c r="K441" i="2"/>
  <c r="N432" i="19"/>
  <c r="K437" i="2"/>
  <c r="N428" i="19"/>
  <c r="K433" i="2"/>
  <c r="N424" i="19"/>
  <c r="K429" i="2"/>
  <c r="O429" i="2" s="1"/>
  <c r="N420" i="19"/>
  <c r="K425" i="2"/>
  <c r="N416" i="19"/>
  <c r="K421" i="2"/>
  <c r="N412" i="19"/>
  <c r="K417" i="2"/>
  <c r="N408" i="19"/>
  <c r="K413" i="2"/>
  <c r="N404" i="19"/>
  <c r="K409" i="2"/>
  <c r="N400" i="19"/>
  <c r="K405" i="2"/>
  <c r="O405" i="2" s="1"/>
  <c r="N396" i="19"/>
  <c r="K401" i="2"/>
  <c r="N392" i="19"/>
  <c r="K397" i="2"/>
  <c r="N388" i="19"/>
  <c r="K393" i="2"/>
  <c r="N384" i="19"/>
  <c r="K389" i="2"/>
  <c r="N380" i="19"/>
  <c r="K385" i="2"/>
  <c r="N376" i="19"/>
  <c r="K381" i="2"/>
  <c r="N372" i="19"/>
  <c r="K377" i="2"/>
  <c r="N368" i="19"/>
  <c r="K373" i="2"/>
  <c r="N508" i="19"/>
  <c r="K513" i="2"/>
  <c r="U509" i="8"/>
  <c r="N1546" i="19"/>
  <c r="U1301" i="19"/>
  <c r="U1275" i="19"/>
  <c r="Q1003" i="19"/>
  <c r="R1003" i="19" s="1"/>
  <c r="T521" i="19"/>
  <c r="U815" i="19"/>
  <c r="T1124" i="19"/>
  <c r="Q686" i="8"/>
  <c r="V686" i="8" s="1" a="1"/>
  <c r="V686" i="8" s="1"/>
  <c r="U966" i="19"/>
  <c r="U859" i="19"/>
  <c r="U958" i="19"/>
  <c r="T1510" i="19"/>
  <c r="T1273" i="19"/>
  <c r="U919" i="19"/>
  <c r="U899" i="19"/>
  <c r="T1378" i="19"/>
  <c r="U534" i="19"/>
  <c r="T789" i="19"/>
  <c r="T705" i="19"/>
  <c r="U1592" i="19"/>
  <c r="Q1572" i="8"/>
  <c r="V1572" i="8" s="1" a="1"/>
  <c r="V1572" i="8" s="1"/>
  <c r="U1398" i="19"/>
  <c r="T1318" i="19"/>
  <c r="U1271" i="19"/>
  <c r="U1112" i="19"/>
  <c r="U834" i="19"/>
  <c r="T834" i="19"/>
  <c r="U962" i="19"/>
  <c r="T962" i="19"/>
  <c r="U514" i="19"/>
  <c r="U1362" i="19"/>
  <c r="T1362" i="19"/>
  <c r="U1306" i="19"/>
  <c r="T1306" i="19"/>
  <c r="T1187" i="19"/>
  <c r="U1160" i="19"/>
  <c r="T1160" i="19"/>
  <c r="Q1139" i="8"/>
  <c r="V1139" i="8" s="1" a="1"/>
  <c r="V1139" i="8" s="1"/>
  <c r="T803" i="19"/>
  <c r="U803" i="19"/>
  <c r="T1369" i="19"/>
  <c r="U1369" i="19"/>
  <c r="T1202" i="19"/>
  <c r="U1202" i="19"/>
  <c r="T1140" i="19"/>
  <c r="U1140" i="19"/>
  <c r="T1105" i="19"/>
  <c r="U1105" i="19"/>
  <c r="Q599" i="8"/>
  <c r="V599" i="8" s="1" a="1"/>
  <c r="V599" i="8" s="1"/>
  <c r="T517" i="19"/>
  <c r="Q512" i="19"/>
  <c r="R512" i="19" s="1"/>
  <c r="U505" i="19"/>
  <c r="T875" i="19"/>
  <c r="U875" i="19"/>
  <c r="U1309" i="19"/>
  <c r="T1309" i="19"/>
  <c r="T1239" i="19"/>
  <c r="U1239" i="19"/>
  <c r="U1107" i="19"/>
  <c r="T1107" i="19"/>
  <c r="U1024" i="19"/>
  <c r="Q944" i="19"/>
  <c r="R944" i="19" s="1"/>
  <c r="Q1574" i="8"/>
  <c r="V1574" i="8" s="1" a="1"/>
  <c r="V1574" i="8" s="1"/>
  <c r="Q1197" i="8"/>
  <c r="V1197" i="8" s="1" a="1"/>
  <c r="V1197" i="8" s="1"/>
  <c r="T639" i="19"/>
  <c r="U602" i="19"/>
  <c r="U490" i="19"/>
  <c r="U453" i="19"/>
  <c r="Q822" i="8"/>
  <c r="V822" i="8" s="1" a="1"/>
  <c r="V822" i="8" s="1"/>
  <c r="Q1166" i="8"/>
  <c r="V1166" i="8" s="1" a="1"/>
  <c r="V1166" i="8" s="1"/>
  <c r="Q1074" i="8"/>
  <c r="V1074" i="8" s="1" a="1"/>
  <c r="V1074" i="8" s="1"/>
  <c r="T578" i="19"/>
  <c r="Q163" i="8"/>
  <c r="V163" i="8" s="1" a="1"/>
  <c r="V163" i="8" s="1"/>
  <c r="T392" i="19"/>
  <c r="T847" i="19"/>
  <c r="U1575" i="19"/>
  <c r="U1452" i="19"/>
  <c r="T1436" i="19"/>
  <c r="Q1217" i="8"/>
  <c r="V1217" i="8" s="1" a="1"/>
  <c r="V1217" i="8" s="1"/>
  <c r="T1128" i="19"/>
  <c r="U1073" i="19"/>
  <c r="T987" i="19"/>
  <c r="Q985" i="19"/>
  <c r="R985" i="19" s="1"/>
  <c r="T981" i="19"/>
  <c r="U429" i="19"/>
  <c r="T412" i="19"/>
  <c r="T375" i="19"/>
  <c r="Q780" i="8"/>
  <c r="V780" i="8" s="1" a="1"/>
  <c r="V780" i="8" s="1"/>
  <c r="U775" i="19"/>
  <c r="U774" i="19"/>
  <c r="T773" i="19"/>
  <c r="T771" i="19"/>
  <c r="T739" i="19"/>
  <c r="U1604" i="19"/>
  <c r="T1549" i="19"/>
  <c r="T1516" i="19"/>
  <c r="T1480" i="19"/>
  <c r="T1334" i="19"/>
  <c r="T1329" i="19"/>
  <c r="Q1300" i="8"/>
  <c r="V1300" i="8" s="1" a="1"/>
  <c r="V1300" i="8" s="1"/>
  <c r="T1251" i="19"/>
  <c r="U1136" i="19"/>
  <c r="U384" i="19"/>
  <c r="T384" i="19"/>
  <c r="T1491" i="19"/>
  <c r="U1491" i="19"/>
  <c r="T1390" i="19"/>
  <c r="U1390" i="19"/>
  <c r="U1043" i="19"/>
  <c r="U1621" i="19"/>
  <c r="T1621" i="19"/>
  <c r="T1585" i="19"/>
  <c r="U1585" i="19"/>
  <c r="U1512" i="19"/>
  <c r="T1512" i="19"/>
  <c r="Q1079" i="8"/>
  <c r="V1079" i="8" s="1" a="1"/>
  <c r="V1079" i="8" s="1"/>
  <c r="T1080" i="19"/>
  <c r="T630" i="19"/>
  <c r="T604" i="19"/>
  <c r="T584" i="19"/>
  <c r="T581" i="19"/>
  <c r="T549" i="19"/>
  <c r="T510" i="19"/>
  <c r="T483" i="19"/>
  <c r="T467" i="19"/>
  <c r="T465" i="19"/>
  <c r="T421" i="19"/>
  <c r="T886" i="19"/>
  <c r="U886" i="19"/>
  <c r="U1531" i="19"/>
  <c r="T1531" i="19"/>
  <c r="U1500" i="19"/>
  <c r="T1500" i="19"/>
  <c r="U1483" i="19"/>
  <c r="T1483" i="19"/>
  <c r="U1464" i="19"/>
  <c r="T1464" i="19"/>
  <c r="U1101" i="19"/>
  <c r="T1101" i="19"/>
  <c r="U954" i="19"/>
  <c r="T954" i="19"/>
  <c r="T1267" i="19"/>
  <c r="U1267" i="19"/>
  <c r="T569" i="19"/>
  <c r="T477" i="19"/>
  <c r="T688" i="19"/>
  <c r="U688" i="19"/>
  <c r="U1400" i="19"/>
  <c r="T1400" i="19"/>
  <c r="T1345" i="19"/>
  <c r="U1345" i="19"/>
  <c r="T1320" i="19"/>
  <c r="Q886" i="19"/>
  <c r="R886" i="19" s="1"/>
  <c r="T873" i="19"/>
  <c r="T853" i="19"/>
  <c r="U819" i="19"/>
  <c r="U755" i="19"/>
  <c r="U697" i="19"/>
  <c r="T945" i="19"/>
  <c r="U1617" i="19"/>
  <c r="U1609" i="19"/>
  <c r="T1507" i="19"/>
  <c r="U1418" i="19"/>
  <c r="U1305" i="19"/>
  <c r="Q1267" i="19"/>
  <c r="R1267" i="19" s="1"/>
  <c r="U1258" i="19"/>
  <c r="T1227" i="19"/>
  <c r="U1194" i="19"/>
  <c r="T1183" i="19"/>
  <c r="Q1146" i="8"/>
  <c r="V1146" i="8" s="1" a="1"/>
  <c r="V1146" i="8" s="1"/>
  <c r="T1096" i="19"/>
  <c r="U1001" i="19"/>
  <c r="U993" i="19"/>
  <c r="Q366" i="8"/>
  <c r="V366" i="8" s="1" a="1"/>
  <c r="V366" i="8" s="1"/>
  <c r="Q735" i="19"/>
  <c r="R735" i="19" s="1"/>
  <c r="Q1325" i="8"/>
  <c r="V1325" i="8" s="1" a="1"/>
  <c r="V1325" i="8" s="1"/>
  <c r="Q995" i="19"/>
  <c r="R995" i="19" s="1"/>
  <c r="T743" i="19"/>
  <c r="U743" i="19"/>
  <c r="T461" i="19"/>
  <c r="U461" i="19"/>
  <c r="T424" i="19"/>
  <c r="U424" i="19"/>
  <c r="T493" i="19"/>
  <c r="U493" i="19"/>
  <c r="U479" i="19"/>
  <c r="T479" i="19"/>
  <c r="T923" i="19"/>
  <c r="U923" i="19"/>
  <c r="T702" i="19"/>
  <c r="U702" i="19"/>
  <c r="Q634" i="8"/>
  <c r="V634" i="8" s="1" a="1"/>
  <c r="V634" i="8" s="1"/>
  <c r="U618" i="19"/>
  <c r="T600" i="19"/>
  <c r="U594" i="19"/>
  <c r="T536" i="19"/>
  <c r="U526" i="19"/>
  <c r="T526" i="19"/>
  <c r="T445" i="19"/>
  <c r="U445" i="19"/>
  <c r="Q922" i="8"/>
  <c r="V922" i="8" s="1" a="1"/>
  <c r="V922" i="8" s="1"/>
  <c r="T823" i="19"/>
  <c r="U823" i="19"/>
  <c r="U1476" i="19"/>
  <c r="T1476" i="19"/>
  <c r="Q1327" i="8"/>
  <c r="V1327" i="8" s="1" a="1"/>
  <c r="V1327" i="8" s="1"/>
  <c r="T1328" i="19"/>
  <c r="T1247" i="19"/>
  <c r="U1247" i="19"/>
  <c r="U1243" i="19"/>
  <c r="Q1243" i="19"/>
  <c r="R1243" i="19" s="1"/>
  <c r="T1243" i="19"/>
  <c r="U1577" i="19"/>
  <c r="T1577" i="19"/>
  <c r="U553" i="19"/>
  <c r="T553" i="19"/>
  <c r="U451" i="19"/>
  <c r="T451" i="19"/>
  <c r="T647" i="19"/>
  <c r="U642" i="19"/>
  <c r="T598" i="19"/>
  <c r="T589" i="19"/>
  <c r="U589" i="19"/>
  <c r="T586" i="19"/>
  <c r="T574" i="19"/>
  <c r="U565" i="19"/>
  <c r="T565" i="19"/>
  <c r="T562" i="19"/>
  <c r="T540" i="19"/>
  <c r="T388" i="19"/>
  <c r="U388" i="19"/>
  <c r="T911" i="19"/>
  <c r="U911" i="19"/>
  <c r="U869" i="19"/>
  <c r="T869" i="19"/>
  <c r="T665" i="19"/>
  <c r="U665" i="19"/>
  <c r="T1410" i="19"/>
  <c r="U1410" i="19"/>
  <c r="T1289" i="19"/>
  <c r="U1289" i="19"/>
  <c r="T1263" i="19"/>
  <c r="U1263" i="19"/>
  <c r="T448" i="19"/>
  <c r="Q444" i="8"/>
  <c r="V444" i="8" s="1" a="1"/>
  <c r="V444" i="8" s="1"/>
  <c r="Q387" i="8"/>
  <c r="V387" i="8" s="1" a="1"/>
  <c r="V387" i="8" s="1"/>
  <c r="Q893" i="8"/>
  <c r="V893" i="8" s="1" a="1"/>
  <c r="V893" i="8" s="1"/>
  <c r="Q858" i="8"/>
  <c r="V858" i="8" s="1" a="1"/>
  <c r="V858" i="8" s="1"/>
  <c r="T851" i="19"/>
  <c r="U850" i="19"/>
  <c r="U826" i="19"/>
  <c r="Q818" i="8"/>
  <c r="V818" i="8" s="1" a="1"/>
  <c r="V818" i="8" s="1"/>
  <c r="U802" i="19"/>
  <c r="T1542" i="19"/>
  <c r="U1542" i="19"/>
  <c r="T1496" i="19"/>
  <c r="U1496" i="19"/>
  <c r="T1471" i="19"/>
  <c r="T1333" i="19"/>
  <c r="U1333" i="19"/>
  <c r="T1274" i="19"/>
  <c r="Q1273" i="8"/>
  <c r="V1273" i="8" s="1" a="1"/>
  <c r="V1273" i="8" s="1"/>
  <c r="U1059" i="19"/>
  <c r="Q180" i="8"/>
  <c r="V180" i="8" s="1" a="1"/>
  <c r="V180" i="8" s="1"/>
  <c r="Q890" i="8"/>
  <c r="V890" i="8" s="1" a="1"/>
  <c r="V890" i="8" s="1"/>
  <c r="U1543" i="19"/>
  <c r="T1543" i="19"/>
  <c r="U1536" i="19"/>
  <c r="T1536" i="19"/>
  <c r="U1245" i="19"/>
  <c r="Q1244" i="8"/>
  <c r="V1244" i="8" s="1" a="1"/>
  <c r="V1244" i="8" s="1"/>
  <c r="T1245" i="19"/>
  <c r="U1116" i="19"/>
  <c r="T1116" i="19"/>
  <c r="U1095" i="19"/>
  <c r="Q1095" i="19"/>
  <c r="R1095" i="19" s="1"/>
  <c r="T1095" i="19"/>
  <c r="Q742" i="8"/>
  <c r="V742" i="8" s="1" a="1"/>
  <c r="V742" i="8" s="1"/>
  <c r="Q722" i="8"/>
  <c r="V722" i="8" s="1" a="1"/>
  <c r="V722" i="8" s="1"/>
  <c r="Q701" i="8"/>
  <c r="V701" i="8" s="1" a="1"/>
  <c r="V701" i="8" s="1"/>
  <c r="T693" i="19"/>
  <c r="Q678" i="8"/>
  <c r="V678" i="8" s="1" a="1"/>
  <c r="V678" i="8" s="1"/>
  <c r="T1620" i="19"/>
  <c r="T1615" i="19"/>
  <c r="U1601" i="19"/>
  <c r="T1588" i="19"/>
  <c r="T1571" i="19"/>
  <c r="U1567" i="19"/>
  <c r="Q1541" i="8"/>
  <c r="V1541" i="8" s="1" a="1"/>
  <c r="V1541" i="8" s="1"/>
  <c r="T1499" i="19"/>
  <c r="T1484" i="19"/>
  <c r="T1443" i="19"/>
  <c r="U1432" i="19"/>
  <c r="U1386" i="19"/>
  <c r="T1386" i="19"/>
  <c r="T1384" i="19"/>
  <c r="Q1311" i="8"/>
  <c r="V1311" i="8" s="1" a="1"/>
  <c r="V1311" i="8" s="1"/>
  <c r="U1297" i="19"/>
  <c r="Q1262" i="8"/>
  <c r="V1262" i="8" s="1" a="1"/>
  <c r="V1262" i="8" s="1"/>
  <c r="U1207" i="19"/>
  <c r="T1174" i="19"/>
  <c r="Q1117" i="8"/>
  <c r="V1117" i="8" s="1" a="1"/>
  <c r="V1117" i="8" s="1"/>
  <c r="Q684" i="8"/>
  <c r="V684" i="8" s="1" a="1"/>
  <c r="V684" i="8" s="1"/>
  <c r="Q664" i="8"/>
  <c r="V664" i="8" s="1" a="1"/>
  <c r="V664" i="8" s="1"/>
  <c r="T1366" i="19"/>
  <c r="U1270" i="19"/>
  <c r="T1270" i="19"/>
  <c r="U1179" i="19"/>
  <c r="T1179" i="19"/>
  <c r="T1155" i="19"/>
  <c r="U1155" i="19"/>
  <c r="U1093" i="19"/>
  <c r="T1093" i="19"/>
  <c r="T1061" i="19"/>
  <c r="U1061" i="19"/>
  <c r="Q744" i="8"/>
  <c r="V744" i="8" s="1" a="1"/>
  <c r="V744" i="8" s="1"/>
  <c r="Q968" i="8"/>
  <c r="V968" i="8" s="1" a="1"/>
  <c r="V968" i="8" s="1"/>
  <c r="Q956" i="8"/>
  <c r="V956" i="8" s="1" a="1"/>
  <c r="V956" i="8" s="1"/>
  <c r="Q1590" i="8"/>
  <c r="V1590" i="8" s="1" a="1"/>
  <c r="V1590" i="8" s="1"/>
  <c r="Q1515" i="19"/>
  <c r="R1515" i="19" s="1"/>
  <c r="T1472" i="19"/>
  <c r="U1472" i="19"/>
  <c r="T1344" i="19"/>
  <c r="Q1344" i="19"/>
  <c r="R1344" i="19" s="1"/>
  <c r="Q1297" i="8"/>
  <c r="V1297" i="8" s="1" a="1"/>
  <c r="V1297" i="8" s="1"/>
  <c r="T1242" i="19"/>
  <c r="U1242" i="19"/>
  <c r="T1156" i="19"/>
  <c r="Q1156" i="19"/>
  <c r="R1156" i="19" s="1"/>
  <c r="Q1409" i="8"/>
  <c r="V1409" i="8" s="1" a="1"/>
  <c r="V1409" i="8" s="1"/>
  <c r="Q1234" i="8"/>
  <c r="V1234" i="8" s="1" a="1"/>
  <c r="V1234" i="8" s="1"/>
  <c r="Q1145" i="8"/>
  <c r="V1145" i="8" s="1" a="1"/>
  <c r="V1145" i="8" s="1"/>
  <c r="Q1123" i="8"/>
  <c r="V1123" i="8" s="1" a="1"/>
  <c r="V1123" i="8" s="1"/>
  <c r="U1115" i="19"/>
  <c r="T1043" i="19"/>
  <c r="T1031" i="19"/>
  <c r="U889" i="19"/>
  <c r="T889" i="19"/>
  <c r="U673" i="19"/>
  <c r="T673" i="19"/>
  <c r="T497" i="19"/>
  <c r="U497" i="19"/>
  <c r="T416" i="19"/>
  <c r="U416" i="19"/>
  <c r="T371" i="19"/>
  <c r="U371" i="19"/>
  <c r="T926" i="19"/>
  <c r="U926" i="19"/>
  <c r="T870" i="19"/>
  <c r="U870" i="19"/>
  <c r="T855" i="19"/>
  <c r="U855" i="19"/>
  <c r="T827" i="19"/>
  <c r="U827" i="19"/>
  <c r="T681" i="19"/>
  <c r="U681" i="19"/>
  <c r="U653" i="19"/>
  <c r="T653" i="19"/>
  <c r="T970" i="19"/>
  <c r="U970" i="19"/>
  <c r="T1460" i="19"/>
  <c r="U1460" i="19"/>
  <c r="T1402" i="19"/>
  <c r="T1330" i="19"/>
  <c r="U1330" i="19"/>
  <c r="T1296" i="19"/>
  <c r="T1279" i="19"/>
  <c r="U1279" i="19"/>
  <c r="T1108" i="19"/>
  <c r="U1108" i="19"/>
  <c r="U463" i="19"/>
  <c r="T463" i="19"/>
  <c r="U622" i="19"/>
  <c r="U613" i="19"/>
  <c r="T588" i="19"/>
  <c r="Q543" i="8"/>
  <c r="V543" i="8" s="1" a="1"/>
  <c r="V543" i="8" s="1"/>
  <c r="U538" i="19"/>
  <c r="U518" i="19"/>
  <c r="T481" i="19"/>
  <c r="T469" i="19"/>
  <c r="U469" i="19"/>
  <c r="T413" i="19"/>
  <c r="U413" i="19"/>
  <c r="T407" i="19"/>
  <c r="U407" i="19"/>
  <c r="T380" i="19"/>
  <c r="U380" i="19"/>
  <c r="T871" i="19"/>
  <c r="U871" i="19"/>
  <c r="T799" i="19"/>
  <c r="U799" i="19"/>
  <c r="U660" i="19"/>
  <c r="T660" i="19"/>
  <c r="T657" i="19"/>
  <c r="U657" i="19"/>
  <c r="U1534" i="19"/>
  <c r="T838" i="19"/>
  <c r="U838" i="19"/>
  <c r="Q286" i="8"/>
  <c r="V286" i="8" s="1" a="1"/>
  <c r="V286" i="8" s="1"/>
  <c r="Q222" i="8"/>
  <c r="V222" i="8" s="1" a="1"/>
  <c r="V222" i="8" s="1"/>
  <c r="Q219" i="8"/>
  <c r="V219" i="8" s="1" a="1"/>
  <c r="V219" i="8" s="1"/>
  <c r="Q587" i="8"/>
  <c r="V587" i="8" s="1" a="1"/>
  <c r="V587" i="8" s="1"/>
  <c r="Q573" i="8"/>
  <c r="V573" i="8" s="1" a="1"/>
  <c r="V573" i="8" s="1"/>
  <c r="Q565" i="19"/>
  <c r="R565" i="19" s="1"/>
  <c r="Q556" i="8"/>
  <c r="V556" i="8" s="1" a="1"/>
  <c r="V556" i="8" s="1"/>
  <c r="T502" i="19"/>
  <c r="T403" i="19"/>
  <c r="U403" i="19"/>
  <c r="T759" i="19"/>
  <c r="U759" i="19"/>
  <c r="U707" i="19"/>
  <c r="T707" i="19"/>
  <c r="U946" i="19"/>
  <c r="T946" i="19"/>
  <c r="Q496" i="8"/>
  <c r="V496" i="8" s="1" a="1"/>
  <c r="V496" i="8" s="1"/>
  <c r="Q469" i="19"/>
  <c r="R469" i="19" s="1"/>
  <c r="Q462" i="8"/>
  <c r="V462" i="8" s="1" a="1"/>
  <c r="V462" i="8" s="1"/>
  <c r="U432" i="19"/>
  <c r="U400" i="19"/>
  <c r="T386" i="19"/>
  <c r="T378" i="19"/>
  <c r="U939" i="19"/>
  <c r="U935" i="19"/>
  <c r="U922" i="19"/>
  <c r="U894" i="19"/>
  <c r="T891" i="19"/>
  <c r="T877" i="19"/>
  <c r="U866" i="19"/>
  <c r="T857" i="19"/>
  <c r="T843" i="19"/>
  <c r="Q825" i="8"/>
  <c r="V825" i="8" s="1" a="1"/>
  <c r="V825" i="8" s="1"/>
  <c r="Q821" i="8"/>
  <c r="V821" i="8" s="1" a="1"/>
  <c r="V821" i="8" s="1"/>
  <c r="T805" i="19"/>
  <c r="Q798" i="8"/>
  <c r="V798" i="8" s="1" a="1"/>
  <c r="V798" i="8" s="1"/>
  <c r="U793" i="19"/>
  <c r="T793" i="19"/>
  <c r="T772" i="19"/>
  <c r="U772" i="19"/>
  <c r="Q758" i="8"/>
  <c r="V758" i="8" s="1" a="1"/>
  <c r="V758" i="8" s="1"/>
  <c r="T731" i="19"/>
  <c r="U731" i="19"/>
  <c r="T711" i="19"/>
  <c r="U687" i="19"/>
  <c r="T687" i="19"/>
  <c r="Q964" i="8"/>
  <c r="V964" i="8" s="1" a="1"/>
  <c r="V964" i="8" s="1"/>
  <c r="T959" i="19"/>
  <c r="U1608" i="19"/>
  <c r="T1608" i="19"/>
  <c r="U1540" i="19"/>
  <c r="T1540" i="19"/>
  <c r="U1144" i="19"/>
  <c r="T1144" i="19"/>
  <c r="Q1119" i="8"/>
  <c r="V1119" i="8" s="1" a="1"/>
  <c r="V1119" i="8" s="1"/>
  <c r="T1120" i="19"/>
  <c r="Q407" i="19"/>
  <c r="R407" i="19" s="1"/>
  <c r="T382" i="19"/>
  <c r="U367" i="19"/>
  <c r="U938" i="19"/>
  <c r="U906" i="19"/>
  <c r="U903" i="19"/>
  <c r="T866" i="19"/>
  <c r="U842" i="19"/>
  <c r="T831" i="19"/>
  <c r="U831" i="19"/>
  <c r="Q826" i="8"/>
  <c r="V826" i="8" s="1" a="1"/>
  <c r="V826" i="8" s="1"/>
  <c r="T811" i="19"/>
  <c r="U810" i="19"/>
  <c r="Q806" i="8"/>
  <c r="V806" i="8" s="1" a="1"/>
  <c r="V806" i="8" s="1"/>
  <c r="U807" i="19"/>
  <c r="T734" i="19"/>
  <c r="U734" i="19"/>
  <c r="U725" i="19"/>
  <c r="Q725" i="19"/>
  <c r="R725" i="19" s="1"/>
  <c r="U723" i="19"/>
  <c r="U721" i="19"/>
  <c r="T721" i="19"/>
  <c r="U691" i="19"/>
  <c r="T684" i="19"/>
  <c r="U684" i="19"/>
  <c r="T668" i="19"/>
  <c r="U668" i="19"/>
  <c r="T943" i="19"/>
  <c r="U943" i="19"/>
  <c r="Q1454" i="8"/>
  <c r="V1454" i="8" s="1" a="1"/>
  <c r="V1454" i="8" s="1"/>
  <c r="T1455" i="19"/>
  <c r="T1444" i="19"/>
  <c r="U1444" i="19"/>
  <c r="U1420" i="19"/>
  <c r="T1420" i="19"/>
  <c r="T1300" i="19"/>
  <c r="U1057" i="19"/>
  <c r="T1057" i="19"/>
  <c r="Q786" i="8"/>
  <c r="V786" i="8" s="1" a="1"/>
  <c r="V786" i="8" s="1"/>
  <c r="T787" i="19"/>
  <c r="U787" i="19"/>
  <c r="Q770" i="8"/>
  <c r="V770" i="8" s="1" a="1"/>
  <c r="V770" i="8" s="1"/>
  <c r="U769" i="19"/>
  <c r="T769" i="19"/>
  <c r="U757" i="19"/>
  <c r="Q756" i="8"/>
  <c r="V756" i="8" s="1" a="1"/>
  <c r="V756" i="8" s="1"/>
  <c r="T735" i="19"/>
  <c r="U735" i="19"/>
  <c r="T719" i="19"/>
  <c r="U703" i="19"/>
  <c r="T703" i="19"/>
  <c r="T661" i="19"/>
  <c r="U661" i="19"/>
  <c r="T974" i="19"/>
  <c r="U974" i="19"/>
  <c r="U967" i="19"/>
  <c r="T967" i="19"/>
  <c r="T1524" i="19"/>
  <c r="U1524" i="19"/>
  <c r="U1448" i="19"/>
  <c r="T1448" i="19"/>
  <c r="T1422" i="19"/>
  <c r="U1422" i="19"/>
  <c r="T1414" i="19"/>
  <c r="U1414" i="19"/>
  <c r="T1382" i="19"/>
  <c r="U1382" i="19"/>
  <c r="T1353" i="19"/>
  <c r="U1353" i="19"/>
  <c r="T1338" i="19"/>
  <c r="U1338" i="19"/>
  <c r="U1069" i="19"/>
  <c r="T1069" i="19"/>
  <c r="U1302" i="19"/>
  <c r="T1302" i="19"/>
  <c r="U1241" i="19"/>
  <c r="T1241" i="19"/>
  <c r="U1190" i="19"/>
  <c r="T1190" i="19"/>
  <c r="T1148" i="19"/>
  <c r="U1148" i="19"/>
  <c r="U1089" i="19"/>
  <c r="T1089" i="19"/>
  <c r="U1007" i="19"/>
  <c r="T1007" i="19"/>
  <c r="Q834" i="19"/>
  <c r="R834" i="19" s="1"/>
  <c r="Q789" i="8"/>
  <c r="V789" i="8" s="1" a="1"/>
  <c r="V789" i="8" s="1"/>
  <c r="U779" i="19"/>
  <c r="Q749" i="8"/>
  <c r="V749" i="8" s="1" a="1"/>
  <c r="V749" i="8" s="1"/>
  <c r="Q734" i="19"/>
  <c r="R734" i="19" s="1"/>
  <c r="U699" i="19"/>
  <c r="Q684" i="19"/>
  <c r="R684" i="19" s="1"/>
  <c r="Q668" i="19"/>
  <c r="R668" i="19" s="1"/>
  <c r="T664" i="19"/>
  <c r="Q656" i="8"/>
  <c r="V656" i="8" s="1" a="1"/>
  <c r="V656" i="8" s="1"/>
  <c r="T651" i="19"/>
  <c r="T975" i="19"/>
  <c r="Q970" i="19"/>
  <c r="R970" i="19" s="1"/>
  <c r="T941" i="19"/>
  <c r="T1619" i="19"/>
  <c r="Q1591" i="8"/>
  <c r="V1591" i="8" s="1" a="1"/>
  <c r="V1591" i="8" s="1"/>
  <c r="T1557" i="19"/>
  <c r="Q1506" i="8"/>
  <c r="V1506" i="8" s="1" a="1"/>
  <c r="V1506" i="8" s="1"/>
  <c r="U1492" i="19"/>
  <c r="Q1483" i="19"/>
  <c r="R1483" i="19" s="1"/>
  <c r="Q1444" i="19"/>
  <c r="R1444" i="19" s="1"/>
  <c r="Q1419" i="8"/>
  <c r="V1419" i="8" s="1" a="1"/>
  <c r="V1419" i="8" s="1"/>
  <c r="T1416" i="19"/>
  <c r="U1388" i="19"/>
  <c r="T1388" i="19"/>
  <c r="T1349" i="19"/>
  <c r="U1342" i="19"/>
  <c r="T1292" i="19"/>
  <c r="T1286" i="19"/>
  <c r="U1277" i="19"/>
  <c r="T1230" i="19"/>
  <c r="U1219" i="19"/>
  <c r="T1219" i="19"/>
  <c r="T1214" i="19"/>
  <c r="T1191" i="19"/>
  <c r="U1191" i="19"/>
  <c r="U1077" i="19"/>
  <c r="U1021" i="19"/>
  <c r="T1021" i="19"/>
  <c r="Q793" i="8"/>
  <c r="V793" i="8" s="1" a="1"/>
  <c r="V793" i="8" s="1"/>
  <c r="Q653" i="19"/>
  <c r="R653" i="19" s="1"/>
  <c r="Q1577" i="19"/>
  <c r="R1577" i="19" s="1"/>
  <c r="Q1487" i="8"/>
  <c r="V1487" i="8" s="1" a="1"/>
  <c r="V1487" i="8" s="1"/>
  <c r="T1350" i="19"/>
  <c r="Q1345" i="19"/>
  <c r="R1345" i="19" s="1"/>
  <c r="T1337" i="19"/>
  <c r="U1329" i="19"/>
  <c r="U1235" i="19"/>
  <c r="T1235" i="19"/>
  <c r="T1231" i="19"/>
  <c r="Q1231" i="19"/>
  <c r="R1231" i="19" s="1"/>
  <c r="U1215" i="19"/>
  <c r="U1201" i="19"/>
  <c r="T1167" i="19"/>
  <c r="U1167" i="19"/>
  <c r="T1152" i="19"/>
  <c r="U1152" i="19"/>
  <c r="U1127" i="19"/>
  <c r="Q1012" i="8"/>
  <c r="V1012" i="8" s="1" a="1"/>
  <c r="V1012" i="8" s="1"/>
  <c r="Q1154" i="8"/>
  <c r="V1154" i="8" s="1" a="1"/>
  <c r="V1154" i="8" s="1"/>
  <c r="U1123" i="19"/>
  <c r="U1088" i="19"/>
  <c r="U1065" i="19"/>
  <c r="U1005" i="19"/>
  <c r="U979" i="19"/>
  <c r="T979" i="19"/>
  <c r="Q1364" i="8"/>
  <c r="V1364" i="8" s="1" a="1"/>
  <c r="V1364" i="8" s="1"/>
  <c r="Q1312" i="8"/>
  <c r="V1312" i="8" s="1" a="1"/>
  <c r="V1312" i="8" s="1"/>
  <c r="T1186" i="19"/>
  <c r="U1186" i="19"/>
  <c r="T1134" i="19"/>
  <c r="Q1193" i="8"/>
  <c r="V1193" i="8" s="1" a="1"/>
  <c r="V1193" i="8" s="1"/>
  <c r="Q1185" i="19"/>
  <c r="R1185" i="19" s="1"/>
  <c r="T558" i="19"/>
  <c r="U558" i="19"/>
  <c r="T522" i="19"/>
  <c r="U522" i="19"/>
  <c r="T498" i="19"/>
  <c r="U498" i="19"/>
  <c r="U410" i="19"/>
  <c r="T410" i="19"/>
  <c r="T927" i="19"/>
  <c r="U927" i="19"/>
  <c r="T646" i="19"/>
  <c r="U646" i="19"/>
  <c r="U508" i="19"/>
  <c r="T508" i="19"/>
  <c r="U504" i="19"/>
  <c r="T504" i="19"/>
  <c r="T444" i="19"/>
  <c r="U444" i="19"/>
  <c r="T441" i="19"/>
  <c r="U441" i="19"/>
  <c r="U406" i="19"/>
  <c r="T406" i="19"/>
  <c r="U394" i="19"/>
  <c r="T394" i="19"/>
  <c r="U374" i="19"/>
  <c r="T374" i="19"/>
  <c r="U370" i="19"/>
  <c r="T370" i="19"/>
  <c r="T910" i="19"/>
  <c r="U910" i="19"/>
  <c r="T897" i="19"/>
  <c r="T887" i="19"/>
  <c r="U887" i="19"/>
  <c r="T883" i="19"/>
  <c r="U883" i="19"/>
  <c r="T621" i="19"/>
  <c r="U621" i="19"/>
  <c r="T902" i="19"/>
  <c r="U902" i="19"/>
  <c r="U893" i="19"/>
  <c r="T893" i="19"/>
  <c r="U837" i="19"/>
  <c r="T837" i="19"/>
  <c r="T643" i="19"/>
  <c r="U643" i="19"/>
  <c r="T634" i="19"/>
  <c r="U634" i="19"/>
  <c r="T617" i="19"/>
  <c r="U617" i="19"/>
  <c r="T614" i="19"/>
  <c r="U614" i="19"/>
  <c r="U568" i="19"/>
  <c r="T568" i="19"/>
  <c r="U552" i="19"/>
  <c r="T552" i="19"/>
  <c r="T486" i="19"/>
  <c r="U486" i="19"/>
  <c r="T452" i="19"/>
  <c r="T437" i="19"/>
  <c r="U437" i="19"/>
  <c r="T428" i="19"/>
  <c r="U428" i="19"/>
  <c r="T408" i="19"/>
  <c r="U408" i="19"/>
  <c r="T391" i="19"/>
  <c r="U391" i="19"/>
  <c r="T368" i="19"/>
  <c r="U368" i="19"/>
  <c r="T918" i="19"/>
  <c r="U918" i="19"/>
  <c r="T914" i="19"/>
  <c r="U914" i="19"/>
  <c r="T879" i="19"/>
  <c r="U879" i="19"/>
  <c r="T631" i="19"/>
  <c r="U631" i="19"/>
  <c r="T582" i="19"/>
  <c r="U582" i="19"/>
  <c r="T554" i="19"/>
  <c r="U554" i="19"/>
  <c r="U524" i="19"/>
  <c r="T524" i="19"/>
  <c r="U520" i="19"/>
  <c r="T520" i="19"/>
  <c r="T501" i="19"/>
  <c r="U501" i="19"/>
  <c r="T480" i="19"/>
  <c r="U480" i="19"/>
  <c r="T425" i="19"/>
  <c r="U425" i="19"/>
  <c r="T396" i="19"/>
  <c r="U396" i="19"/>
  <c r="T376" i="19"/>
  <c r="U376" i="19"/>
  <c r="U366" i="19"/>
  <c r="T366" i="19"/>
  <c r="T934" i="19"/>
  <c r="U934" i="19"/>
  <c r="T930" i="19"/>
  <c r="U930" i="19"/>
  <c r="T907" i="19"/>
  <c r="U907" i="19"/>
  <c r="U905" i="19"/>
  <c r="T905" i="19"/>
  <c r="T895" i="19"/>
  <c r="U895" i="19"/>
  <c r="T867" i="19"/>
  <c r="U867" i="19"/>
  <c r="T839" i="19"/>
  <c r="U839" i="19"/>
  <c r="T689" i="19"/>
  <c r="U689" i="19"/>
  <c r="U949" i="19"/>
  <c r="T949" i="19"/>
  <c r="U1607" i="19"/>
  <c r="T1607" i="19"/>
  <c r="T1589" i="19"/>
  <c r="T1584" i="19"/>
  <c r="T1563" i="19"/>
  <c r="U1561" i="19"/>
  <c r="T1561" i="19"/>
  <c r="T1555" i="19"/>
  <c r="U1547" i="19"/>
  <c r="T1547" i="19"/>
  <c r="T1532" i="19"/>
  <c r="U1532" i="19"/>
  <c r="U1502" i="19"/>
  <c r="T1502" i="19"/>
  <c r="U1486" i="19"/>
  <c r="T1486" i="19"/>
  <c r="T1417" i="19"/>
  <c r="U1417" i="19"/>
  <c r="T1406" i="19"/>
  <c r="U1406" i="19"/>
  <c r="U1356" i="19"/>
  <c r="T1356" i="19"/>
  <c r="T1211" i="19"/>
  <c r="U1211" i="19"/>
  <c r="T1203" i="19"/>
  <c r="U1203" i="19"/>
  <c r="U1114" i="19"/>
  <c r="T1114" i="19"/>
  <c r="U638" i="19"/>
  <c r="U626" i="19"/>
  <c r="T620" i="19"/>
  <c r="T616" i="19"/>
  <c r="U610" i="19"/>
  <c r="T608" i="19"/>
  <c r="U606" i="19"/>
  <c r="U601" i="19"/>
  <c r="U597" i="19"/>
  <c r="U590" i="19"/>
  <c r="U585" i="19"/>
  <c r="U570" i="19"/>
  <c r="U566" i="19"/>
  <c r="U550" i="19"/>
  <c r="U546" i="19"/>
  <c r="U542" i="19"/>
  <c r="U537" i="19"/>
  <c r="U533" i="19"/>
  <c r="U530" i="19"/>
  <c r="U506" i="19"/>
  <c r="U494" i="19"/>
  <c r="U489" i="19"/>
  <c r="U485" i="19"/>
  <c r="U476" i="19"/>
  <c r="U473" i="19"/>
  <c r="U464" i="19"/>
  <c r="U460" i="19"/>
  <c r="U457" i="19"/>
  <c r="T449" i="19"/>
  <c r="U433" i="19"/>
  <c r="U420" i="19"/>
  <c r="U417" i="19"/>
  <c r="U404" i="19"/>
  <c r="U387" i="19"/>
  <c r="U383" i="19"/>
  <c r="U379" i="19"/>
  <c r="U372" i="19"/>
  <c r="U931" i="19"/>
  <c r="U915" i="19"/>
  <c r="T909" i="19"/>
  <c r="U890" i="19"/>
  <c r="T878" i="19"/>
  <c r="U874" i="19"/>
  <c r="U863" i="19"/>
  <c r="T858" i="19"/>
  <c r="U854" i="19"/>
  <c r="U835" i="19"/>
  <c r="T825" i="19"/>
  <c r="U818" i="19"/>
  <c r="T797" i="19"/>
  <c r="U795" i="19"/>
  <c r="U791" i="19"/>
  <c r="T790" i="19"/>
  <c r="U786" i="19"/>
  <c r="T777" i="19"/>
  <c r="U767" i="19"/>
  <c r="U751" i="19"/>
  <c r="T750" i="19"/>
  <c r="T745" i="19"/>
  <c r="U742" i="19"/>
  <c r="T737" i="19"/>
  <c r="T723" i="19"/>
  <c r="U692" i="19"/>
  <c r="T677" i="19"/>
  <c r="U677" i="19"/>
  <c r="U973" i="19"/>
  <c r="T973" i="19"/>
  <c r="U965" i="19"/>
  <c r="T965" i="19"/>
  <c r="U957" i="19"/>
  <c r="T957" i="19"/>
  <c r="U953" i="19"/>
  <c r="T953" i="19"/>
  <c r="T942" i="19"/>
  <c r="U942" i="19"/>
  <c r="T1605" i="19"/>
  <c r="U1595" i="19"/>
  <c r="T1579" i="19"/>
  <c r="U1573" i="19"/>
  <c r="T1573" i="19"/>
  <c r="U1526" i="19"/>
  <c r="T1526" i="19"/>
  <c r="U1518" i="19"/>
  <c r="T1518" i="19"/>
  <c r="T1508" i="19"/>
  <c r="U1508" i="19"/>
  <c r="T1504" i="19"/>
  <c r="U1504" i="19"/>
  <c r="U1477" i="19"/>
  <c r="U1461" i="19"/>
  <c r="T1456" i="19"/>
  <c r="U1456" i="19"/>
  <c r="U1453" i="19"/>
  <c r="U1445" i="19"/>
  <c r="U1437" i="19"/>
  <c r="T1426" i="19"/>
  <c r="U1426" i="19"/>
  <c r="T1354" i="19"/>
  <c r="U1354" i="19"/>
  <c r="T1346" i="19"/>
  <c r="U1346" i="19"/>
  <c r="T1314" i="19"/>
  <c r="U1314" i="19"/>
  <c r="T1308" i="19"/>
  <c r="T1290" i="19"/>
  <c r="U1290" i="19"/>
  <c r="T1259" i="19"/>
  <c r="U1259" i="19"/>
  <c r="T1178" i="19"/>
  <c r="U1178" i="19"/>
  <c r="T1164" i="19"/>
  <c r="U1164" i="19"/>
  <c r="U1154" i="19"/>
  <c r="T1154" i="19"/>
  <c r="T1139" i="19"/>
  <c r="U1139" i="19"/>
  <c r="T1111" i="19"/>
  <c r="U1111" i="19"/>
  <c r="U1104" i="19"/>
  <c r="T1104" i="19"/>
  <c r="T1009" i="19"/>
  <c r="U1009" i="19"/>
  <c r="U991" i="19"/>
  <c r="T991" i="19"/>
  <c r="U655" i="19"/>
  <c r="T655" i="19"/>
  <c r="T652" i="19"/>
  <c r="U652" i="19"/>
  <c r="U1611" i="19"/>
  <c r="T1611" i="19"/>
  <c r="T1528" i="19"/>
  <c r="U1528" i="19"/>
  <c r="T1440" i="19"/>
  <c r="U1440" i="19"/>
  <c r="U1404" i="19"/>
  <c r="T1404" i="19"/>
  <c r="T1394" i="19"/>
  <c r="U1394" i="19"/>
  <c r="T1370" i="19"/>
  <c r="U1370" i="19"/>
  <c r="T1199" i="19"/>
  <c r="U1199" i="19"/>
  <c r="T1131" i="19"/>
  <c r="U1131" i="19"/>
  <c r="U1072" i="19"/>
  <c r="T1072" i="19"/>
  <c r="U1049" i="19"/>
  <c r="T1049" i="19"/>
  <c r="U999" i="19"/>
  <c r="T999" i="19"/>
  <c r="T649" i="19"/>
  <c r="U635" i="19"/>
  <c r="T556" i="19"/>
  <c r="T447" i="19"/>
  <c r="T435" i="19"/>
  <c r="T431" i="19"/>
  <c r="T821" i="19"/>
  <c r="U806" i="19"/>
  <c r="T794" i="19"/>
  <c r="T791" i="19"/>
  <c r="U783" i="19"/>
  <c r="U766" i="19"/>
  <c r="U763" i="19"/>
  <c r="U758" i="19"/>
  <c r="T753" i="19"/>
  <c r="T751" i="19"/>
  <c r="U747" i="19"/>
  <c r="U722" i="19"/>
  <c r="T685" i="19"/>
  <c r="U685" i="19"/>
  <c r="T672" i="19"/>
  <c r="U672" i="19"/>
  <c r="T656" i="19"/>
  <c r="T950" i="19"/>
  <c r="T947" i="19"/>
  <c r="U947" i="19"/>
  <c r="T1613" i="19"/>
  <c r="U1613" i="19"/>
  <c r="T1597" i="19"/>
  <c r="U1587" i="19"/>
  <c r="T1587" i="19"/>
  <c r="U1583" i="19"/>
  <c r="U1569" i="19"/>
  <c r="T1569" i="19"/>
  <c r="U1565" i="19"/>
  <c r="T1559" i="19"/>
  <c r="U1559" i="19"/>
  <c r="U1553" i="19"/>
  <c r="U1551" i="19"/>
  <c r="T1551" i="19"/>
  <c r="U1545" i="19"/>
  <c r="T1539" i="19"/>
  <c r="T1488" i="19"/>
  <c r="T1468" i="19"/>
  <c r="U1468" i="19"/>
  <c r="U1368" i="19"/>
  <c r="T1368" i="19"/>
  <c r="T1325" i="19"/>
  <c r="U1325" i="19"/>
  <c r="U1321" i="19"/>
  <c r="T1321" i="19"/>
  <c r="U1238" i="19"/>
  <c r="T1238" i="19"/>
  <c r="U1170" i="19"/>
  <c r="T1170" i="19"/>
  <c r="U1126" i="19"/>
  <c r="T1126" i="19"/>
  <c r="T1085" i="19"/>
  <c r="U1085" i="19"/>
  <c r="U727" i="19"/>
  <c r="U718" i="19"/>
  <c r="T715" i="19"/>
  <c r="T669" i="19"/>
  <c r="U669" i="19"/>
  <c r="U667" i="19"/>
  <c r="T667" i="19"/>
  <c r="U663" i="19"/>
  <c r="T663" i="19"/>
  <c r="U659" i="19"/>
  <c r="T659" i="19"/>
  <c r="T971" i="19"/>
  <c r="U969" i="19"/>
  <c r="T969" i="19"/>
  <c r="T963" i="19"/>
  <c r="U961" i="19"/>
  <c r="T961" i="19"/>
  <c r="T955" i="19"/>
  <c r="T951" i="19"/>
  <c r="U951" i="19"/>
  <c r="U1603" i="19"/>
  <c r="T1603" i="19"/>
  <c r="T1593" i="19"/>
  <c r="U1591" i="19"/>
  <c r="T1591" i="19"/>
  <c r="U1589" i="19"/>
  <c r="U1581" i="19"/>
  <c r="T1581" i="19"/>
  <c r="U1563" i="19"/>
  <c r="U1555" i="19"/>
  <c r="T1553" i="19"/>
  <c r="T1545" i="19"/>
  <c r="T1523" i="19"/>
  <c r="U1523" i="19"/>
  <c r="T1520" i="19"/>
  <c r="T1515" i="19"/>
  <c r="U1515" i="19"/>
  <c r="U1494" i="19"/>
  <c r="T1494" i="19"/>
  <c r="T1475" i="19"/>
  <c r="T1459" i="19"/>
  <c r="T1435" i="19"/>
  <c r="T1401" i="19"/>
  <c r="U1401" i="19"/>
  <c r="T1385" i="19"/>
  <c r="U1385" i="19"/>
  <c r="T1374" i="19"/>
  <c r="U1374" i="19"/>
  <c r="U1372" i="19"/>
  <c r="T1372" i="19"/>
  <c r="U1352" i="19"/>
  <c r="T1352" i="19"/>
  <c r="T1341" i="19"/>
  <c r="U1341" i="19"/>
  <c r="T1336" i="19"/>
  <c r="U1261" i="19"/>
  <c r="T1261" i="19"/>
  <c r="U1257" i="19"/>
  <c r="T1257" i="19"/>
  <c r="T1223" i="19"/>
  <c r="U1223" i="19"/>
  <c r="T1182" i="19"/>
  <c r="U1182" i="19"/>
  <c r="U1175" i="19"/>
  <c r="T1175" i="19"/>
  <c r="U1142" i="19"/>
  <c r="T1142" i="19"/>
  <c r="U1097" i="19"/>
  <c r="T1097" i="19"/>
  <c r="U1047" i="19"/>
  <c r="T1047" i="19"/>
  <c r="U1039" i="19"/>
  <c r="T1039" i="19"/>
  <c r="U1019" i="19"/>
  <c r="T1019" i="19"/>
  <c r="U1011" i="19"/>
  <c r="T1011" i="19"/>
  <c r="U1233" i="19"/>
  <c r="U1197" i="19"/>
  <c r="T1197" i="19"/>
  <c r="U1110" i="19"/>
  <c r="U1067" i="19"/>
  <c r="U1055" i="19"/>
  <c r="U1035" i="19"/>
  <c r="T1035" i="19"/>
  <c r="U1027" i="19"/>
  <c r="T1027" i="19"/>
  <c r="T1017" i="19"/>
  <c r="T997" i="19"/>
  <c r="U989" i="19"/>
  <c r="T989" i="19"/>
  <c r="U1402" i="19"/>
  <c r="U1366" i="19"/>
  <c r="U1358" i="19"/>
  <c r="U1350" i="19"/>
  <c r="U1337" i="19"/>
  <c r="T1326" i="19"/>
  <c r="U1322" i="19"/>
  <c r="U1317" i="19"/>
  <c r="T1298" i="19"/>
  <c r="U1294" i="19"/>
  <c r="T1293" i="19"/>
  <c r="U1262" i="19"/>
  <c r="U1255" i="19"/>
  <c r="T1254" i="19"/>
  <c r="U1217" i="19"/>
  <c r="T1217" i="19"/>
  <c r="U1213" i="19"/>
  <c r="T1213" i="19"/>
  <c r="U1171" i="19"/>
  <c r="U1158" i="19"/>
  <c r="T1158" i="19"/>
  <c r="U1132" i="19"/>
  <c r="T1081" i="19"/>
  <c r="T1045" i="19"/>
  <c r="T1041" i="19"/>
  <c r="U1041" i="19"/>
  <c r="T1033" i="19"/>
  <c r="U1029" i="19"/>
  <c r="T1029" i="19"/>
  <c r="T1013" i="19"/>
  <c r="U1013" i="19"/>
  <c r="U1003" i="19"/>
  <c r="T1003" i="19"/>
  <c r="T977" i="19"/>
  <c r="U977" i="19"/>
  <c r="T1534" i="19"/>
  <c r="U1313" i="19"/>
  <c r="T1310" i="19"/>
  <c r="T1283" i="19"/>
  <c r="T1277" i="19"/>
  <c r="U1274" i="19"/>
  <c r="U1231" i="19"/>
  <c r="T1222" i="19"/>
  <c r="U1222" i="19"/>
  <c r="T1215" i="19"/>
  <c r="T1198" i="19"/>
  <c r="U1195" i="19"/>
  <c r="U1174" i="19"/>
  <c r="U1156" i="19"/>
  <c r="T1123" i="19"/>
  <c r="U1120" i="19"/>
  <c r="U1091" i="19"/>
  <c r="T1091" i="19"/>
  <c r="U1083" i="19"/>
  <c r="U1080" i="19"/>
  <c r="T1075" i="19"/>
  <c r="U1063" i="19"/>
  <c r="T1063" i="19"/>
  <c r="T1059" i="19"/>
  <c r="T1055" i="19"/>
  <c r="U1053" i="19"/>
  <c r="T1037" i="19"/>
  <c r="T1025" i="19"/>
  <c r="T985" i="19"/>
  <c r="U985" i="19"/>
  <c r="U1051" i="19"/>
  <c r="U1015" i="19"/>
  <c r="T1015" i="19"/>
  <c r="U995" i="19"/>
  <c r="T995" i="19"/>
  <c r="U983" i="19"/>
  <c r="T1614" i="19"/>
  <c r="T1564" i="19"/>
  <c r="T1562" i="19"/>
  <c r="T1544" i="19"/>
  <c r="T1427" i="19"/>
  <c r="U1424" i="19"/>
  <c r="U1421" i="19"/>
  <c r="U1408" i="19"/>
  <c r="U1405" i="19"/>
  <c r="T1395" i="19"/>
  <c r="U1392" i="19"/>
  <c r="U1389" i="19"/>
  <c r="U1376" i="19"/>
  <c r="U1373" i="19"/>
  <c r="T1363" i="19"/>
  <c r="U1360" i="19"/>
  <c r="U1357" i="19"/>
  <c r="T1339" i="19"/>
  <c r="U1339" i="19"/>
  <c r="T1307" i="19"/>
  <c r="U1307" i="19"/>
  <c r="T1141" i="19"/>
  <c r="U1141" i="19"/>
  <c r="T1618" i="19"/>
  <c r="T1602" i="19"/>
  <c r="U1586" i="19"/>
  <c r="T1574" i="19"/>
  <c r="T1560" i="19"/>
  <c r="T1558" i="19"/>
  <c r="T1533" i="19"/>
  <c r="T1509" i="19"/>
  <c r="T1501" i="19"/>
  <c r="T1434" i="19"/>
  <c r="U1434" i="19"/>
  <c r="T1331" i="19"/>
  <c r="U1331" i="19"/>
  <c r="T1598" i="19"/>
  <c r="T1580" i="19"/>
  <c r="T1578" i="19"/>
  <c r="T1546" i="19"/>
  <c r="U1616" i="19"/>
  <c r="T1610" i="19"/>
  <c r="U1600" i="19"/>
  <c r="T1594" i="19"/>
  <c r="U1584" i="19"/>
  <c r="T1582" i="19"/>
  <c r="U1580" i="19"/>
  <c r="U1578" i="19"/>
  <c r="T1568" i="19"/>
  <c r="T1566" i="19"/>
  <c r="U1564" i="19"/>
  <c r="U1562" i="19"/>
  <c r="T1550" i="19"/>
  <c r="T1548" i="19"/>
  <c r="U1546" i="19"/>
  <c r="U1544" i="19"/>
  <c r="U1535" i="19"/>
  <c r="U1533" i="19"/>
  <c r="U1527" i="19"/>
  <c r="U1519" i="19"/>
  <c r="U1511" i="19"/>
  <c r="U1509" i="19"/>
  <c r="U1503" i="19"/>
  <c r="U1501" i="19"/>
  <c r="U1495" i="19"/>
  <c r="U1487" i="19"/>
  <c r="T1478" i="19"/>
  <c r="U1478" i="19"/>
  <c r="T1470" i="19"/>
  <c r="U1470" i="19"/>
  <c r="T1462" i="19"/>
  <c r="U1462" i="19"/>
  <c r="T1454" i="19"/>
  <c r="U1454" i="19"/>
  <c r="T1446" i="19"/>
  <c r="U1446" i="19"/>
  <c r="T1438" i="19"/>
  <c r="U1438" i="19"/>
  <c r="T1430" i="19"/>
  <c r="U1430" i="19"/>
  <c r="T1411" i="19"/>
  <c r="T1379" i="19"/>
  <c r="T1347" i="19"/>
  <c r="T1315" i="19"/>
  <c r="U1315" i="19"/>
  <c r="U1265" i="19"/>
  <c r="T1265" i="19"/>
  <c r="U1253" i="19"/>
  <c r="T1253" i="19"/>
  <c r="U1143" i="19"/>
  <c r="T1143" i="19"/>
  <c r="U1602" i="19"/>
  <c r="T1599" i="19"/>
  <c r="T1586" i="19"/>
  <c r="T1576" i="19"/>
  <c r="T1541" i="19"/>
  <c r="T1525" i="19"/>
  <c r="T1517" i="19"/>
  <c r="T1493" i="19"/>
  <c r="T1485" i="19"/>
  <c r="T1474" i="19"/>
  <c r="U1474" i="19"/>
  <c r="T1466" i="19"/>
  <c r="U1466" i="19"/>
  <c r="T1458" i="19"/>
  <c r="U1458" i="19"/>
  <c r="T1450" i="19"/>
  <c r="U1450" i="19"/>
  <c r="T1442" i="19"/>
  <c r="U1442" i="19"/>
  <c r="T1595" i="19"/>
  <c r="U1576" i="19"/>
  <c r="U1560" i="19"/>
  <c r="U1558" i="19"/>
  <c r="U1612" i="19"/>
  <c r="T1606" i="19"/>
  <c r="U1596" i="19"/>
  <c r="T1590" i="19"/>
  <c r="T1572" i="19"/>
  <c r="T1570" i="19"/>
  <c r="U1568" i="19"/>
  <c r="U1566" i="19"/>
  <c r="T1556" i="19"/>
  <c r="T1554" i="19"/>
  <c r="T1552" i="19"/>
  <c r="U1550" i="19"/>
  <c r="U1548" i="19"/>
  <c r="U1538" i="19"/>
  <c r="U1530" i="19"/>
  <c r="U1522" i="19"/>
  <c r="U1514" i="19"/>
  <c r="U1506" i="19"/>
  <c r="U1498" i="19"/>
  <c r="U1490" i="19"/>
  <c r="U1482" i="19"/>
  <c r="T1415" i="19"/>
  <c r="T1399" i="19"/>
  <c r="T1383" i="19"/>
  <c r="T1367" i="19"/>
  <c r="T1351" i="19"/>
  <c r="T1323" i="19"/>
  <c r="U1323" i="19"/>
  <c r="T1291" i="19"/>
  <c r="U1291" i="19"/>
  <c r="T976" i="19"/>
  <c r="U976" i="19"/>
  <c r="T1537" i="19"/>
  <c r="T1521" i="19"/>
  <c r="T1505" i="19"/>
  <c r="T1489" i="19"/>
  <c r="U1475" i="19"/>
  <c r="U1467" i="19"/>
  <c r="U1459" i="19"/>
  <c r="U1451" i="19"/>
  <c r="U1443" i="19"/>
  <c r="U1435" i="19"/>
  <c r="U1428" i="19"/>
  <c r="U1409" i="19"/>
  <c r="U1396" i="19"/>
  <c r="U1377" i="19"/>
  <c r="U1364" i="19"/>
  <c r="T1343" i="19"/>
  <c r="U1343" i="19"/>
  <c r="T1327" i="19"/>
  <c r="U1327" i="19"/>
  <c r="T1311" i="19"/>
  <c r="U1311" i="19"/>
  <c r="T1295" i="19"/>
  <c r="U1295" i="19"/>
  <c r="T1256" i="19"/>
  <c r="U1256" i="19"/>
  <c r="T1252" i="19"/>
  <c r="U1252" i="19"/>
  <c r="T1246" i="19"/>
  <c r="U1246" i="19"/>
  <c r="U1234" i="19"/>
  <c r="T1234" i="19"/>
  <c r="T1232" i="19"/>
  <c r="U1221" i="19"/>
  <c r="T1208" i="19"/>
  <c r="U1208" i="19"/>
  <c r="U1151" i="19"/>
  <c r="T1151" i="19"/>
  <c r="T1299" i="19"/>
  <c r="U1299" i="19"/>
  <c r="U1285" i="19"/>
  <c r="T1285" i="19"/>
  <c r="T1196" i="19"/>
  <c r="U1196" i="19"/>
  <c r="U1173" i="19"/>
  <c r="T1173" i="19"/>
  <c r="U1166" i="19"/>
  <c r="T1166" i="19"/>
  <c r="U1119" i="19"/>
  <c r="T1119" i="19"/>
  <c r="T1529" i="19"/>
  <c r="T1513" i="19"/>
  <c r="T1497" i="19"/>
  <c r="T1481" i="19"/>
  <c r="U1479" i="19"/>
  <c r="U1471" i="19"/>
  <c r="U1463" i="19"/>
  <c r="U1455" i="19"/>
  <c r="U1447" i="19"/>
  <c r="U1439" i="19"/>
  <c r="U1431" i="19"/>
  <c r="T1428" i="19"/>
  <c r="U1425" i="19"/>
  <c r="U1412" i="19"/>
  <c r="T1409" i="19"/>
  <c r="T1396" i="19"/>
  <c r="U1393" i="19"/>
  <c r="U1380" i="19"/>
  <c r="T1377" i="19"/>
  <c r="T1364" i="19"/>
  <c r="U1361" i="19"/>
  <c r="U1348" i="19"/>
  <c r="T1335" i="19"/>
  <c r="U1335" i="19"/>
  <c r="T1319" i="19"/>
  <c r="U1319" i="19"/>
  <c r="T1303" i="19"/>
  <c r="U1303" i="19"/>
  <c r="T1287" i="19"/>
  <c r="U1287" i="19"/>
  <c r="T1284" i="19"/>
  <c r="U1284" i="19"/>
  <c r="T1278" i="19"/>
  <c r="U1278" i="19"/>
  <c r="U1266" i="19"/>
  <c r="T1266" i="19"/>
  <c r="U1181" i="19"/>
  <c r="T1181" i="19"/>
  <c r="T1172" i="19"/>
  <c r="U1172" i="19"/>
  <c r="T1477" i="19"/>
  <c r="T1473" i="19"/>
  <c r="T1469" i="19"/>
  <c r="T1465" i="19"/>
  <c r="T1461" i="19"/>
  <c r="T1457" i="19"/>
  <c r="T1453" i="19"/>
  <c r="T1449" i="19"/>
  <c r="T1445" i="19"/>
  <c r="T1441" i="19"/>
  <c r="T1437" i="19"/>
  <c r="T1433" i="19"/>
  <c r="T1429" i="19"/>
  <c r="T1423" i="19"/>
  <c r="U1413" i="19"/>
  <c r="T1407" i="19"/>
  <c r="U1397" i="19"/>
  <c r="T1391" i="19"/>
  <c r="U1381" i="19"/>
  <c r="T1375" i="19"/>
  <c r="U1365" i="19"/>
  <c r="T1359" i="19"/>
  <c r="U1349" i="19"/>
  <c r="U1344" i="19"/>
  <c r="U1340" i="19"/>
  <c r="U1336" i="19"/>
  <c r="U1332" i="19"/>
  <c r="U1328" i="19"/>
  <c r="U1324" i="19"/>
  <c r="U1320" i="19"/>
  <c r="U1316" i="19"/>
  <c r="U1312" i="19"/>
  <c r="U1308" i="19"/>
  <c r="U1304" i="19"/>
  <c r="U1300" i="19"/>
  <c r="U1296" i="19"/>
  <c r="U1292" i="19"/>
  <c r="U1288" i="19"/>
  <c r="U1281" i="19"/>
  <c r="T1268" i="19"/>
  <c r="U1249" i="19"/>
  <c r="T1236" i="19"/>
  <c r="T1218" i="19"/>
  <c r="U1218" i="19"/>
  <c r="U1206" i="19"/>
  <c r="T1206" i="19"/>
  <c r="U1189" i="19"/>
  <c r="T1189" i="19"/>
  <c r="T1180" i="19"/>
  <c r="U1180" i="19"/>
  <c r="T1102" i="19"/>
  <c r="U1102" i="19"/>
  <c r="T1419" i="19"/>
  <c r="T1403" i="19"/>
  <c r="T1387" i="19"/>
  <c r="T1371" i="19"/>
  <c r="T1355" i="19"/>
  <c r="U1282" i="19"/>
  <c r="T1272" i="19"/>
  <c r="U1269" i="19"/>
  <c r="U1250" i="19"/>
  <c r="T1240" i="19"/>
  <c r="U1237" i="19"/>
  <c r="T1188" i="19"/>
  <c r="U1188" i="19"/>
  <c r="U1130" i="19"/>
  <c r="T1280" i="19"/>
  <c r="T1264" i="19"/>
  <c r="T1248" i="19"/>
  <c r="U1229" i="19"/>
  <c r="T1228" i="19"/>
  <c r="U1209" i="19"/>
  <c r="U1193" i="19"/>
  <c r="T1193" i="19"/>
  <c r="U1185" i="19"/>
  <c r="T1185" i="19"/>
  <c r="U1177" i="19"/>
  <c r="T1177" i="19"/>
  <c r="U1169" i="19"/>
  <c r="T1169" i="19"/>
  <c r="U1162" i="19"/>
  <c r="T1162" i="19"/>
  <c r="T1159" i="19"/>
  <c r="U1122" i="19"/>
  <c r="T1276" i="19"/>
  <c r="T1260" i="19"/>
  <c r="T1244" i="19"/>
  <c r="T1229" i="19"/>
  <c r="U1228" i="19"/>
  <c r="U1226" i="19"/>
  <c r="U1225" i="19"/>
  <c r="T1224" i="19"/>
  <c r="T1212" i="19"/>
  <c r="U1205" i="19"/>
  <c r="T1192" i="19"/>
  <c r="U1192" i="19"/>
  <c r="T1184" i="19"/>
  <c r="U1184" i="19"/>
  <c r="T1176" i="19"/>
  <c r="U1176" i="19"/>
  <c r="T1168" i="19"/>
  <c r="U1168" i="19"/>
  <c r="T1149" i="19"/>
  <c r="U1149" i="19"/>
  <c r="T1117" i="19"/>
  <c r="U1117" i="19"/>
  <c r="T1220" i="19"/>
  <c r="U1210" i="19"/>
  <c r="T1204" i="19"/>
  <c r="U1163" i="19"/>
  <c r="T1153" i="19"/>
  <c r="U1150" i="19"/>
  <c r="T1150" i="19"/>
  <c r="T1090" i="19"/>
  <c r="U1090" i="19"/>
  <c r="T1216" i="19"/>
  <c r="T1200" i="19"/>
  <c r="T1165" i="19"/>
  <c r="T1121" i="19"/>
  <c r="U1118" i="19"/>
  <c r="T1118" i="19"/>
  <c r="U1099" i="19"/>
  <c r="T1099" i="19"/>
  <c r="T1092" i="19"/>
  <c r="U1092" i="19"/>
  <c r="T1074" i="19"/>
  <c r="U1074" i="19"/>
  <c r="T1161" i="19"/>
  <c r="U1138" i="19"/>
  <c r="T1137" i="19"/>
  <c r="T1125" i="19"/>
  <c r="U1103" i="19"/>
  <c r="U1100" i="19"/>
  <c r="T1100" i="19"/>
  <c r="T1098" i="19"/>
  <c r="U1098" i="19"/>
  <c r="T1082" i="19"/>
  <c r="U1082" i="19"/>
  <c r="T1066" i="19"/>
  <c r="U1066" i="19"/>
  <c r="T1050" i="19"/>
  <c r="U1050" i="19"/>
  <c r="T1010" i="19"/>
  <c r="U1010" i="19"/>
  <c r="T1008" i="19"/>
  <c r="U1008" i="19"/>
  <c r="T1157" i="19"/>
  <c r="T1147" i="19"/>
  <c r="T1146" i="19"/>
  <c r="T1138" i="19"/>
  <c r="U1137" i="19"/>
  <c r="U1135" i="19"/>
  <c r="U1134" i="19"/>
  <c r="T1133" i="19"/>
  <c r="T1127" i="19"/>
  <c r="T1064" i="19"/>
  <c r="U1064" i="19"/>
  <c r="T1048" i="19"/>
  <c r="U1048" i="19"/>
  <c r="T1145" i="19"/>
  <c r="T1129" i="19"/>
  <c r="T1113" i="19"/>
  <c r="U1106" i="19"/>
  <c r="U1084" i="19"/>
  <c r="U1076" i="19"/>
  <c r="U1068" i="19"/>
  <c r="T1058" i="19"/>
  <c r="U1058" i="19"/>
  <c r="U1023" i="19"/>
  <c r="T1023" i="19"/>
  <c r="T994" i="19"/>
  <c r="U994" i="19"/>
  <c r="T992" i="19"/>
  <c r="U992" i="19"/>
  <c r="T1109" i="19"/>
  <c r="U1087" i="19"/>
  <c r="U1079" i="19"/>
  <c r="U1071" i="19"/>
  <c r="T1056" i="19"/>
  <c r="U1056" i="19"/>
  <c r="T1032" i="19"/>
  <c r="U1032" i="19"/>
  <c r="T1094" i="19"/>
  <c r="T1078" i="19"/>
  <c r="T1054" i="19"/>
  <c r="T1052" i="19"/>
  <c r="T1036" i="19"/>
  <c r="U1036" i="19"/>
  <c r="U1020" i="19"/>
  <c r="T1042" i="19"/>
  <c r="T1040" i="19"/>
  <c r="T1086" i="19"/>
  <c r="T1070" i="19"/>
  <c r="T1062" i="19"/>
  <c r="T1060" i="19"/>
  <c r="T1046" i="19"/>
  <c r="T1044" i="19"/>
  <c r="T1028" i="19"/>
  <c r="U1028" i="19"/>
  <c r="T1038" i="19"/>
  <c r="T1034" i="19"/>
  <c r="T1030" i="19"/>
  <c r="T1026" i="19"/>
  <c r="Q423" i="8"/>
  <c r="V423" i="8" s="1" a="1"/>
  <c r="V423" i="8" s="1"/>
  <c r="T1022" i="19"/>
  <c r="T1014" i="19"/>
  <c r="T1012" i="19"/>
  <c r="T998" i="19"/>
  <c r="T996" i="19"/>
  <c r="T980" i="19"/>
  <c r="U980" i="19"/>
  <c r="T1018" i="19"/>
  <c r="T1016" i="19"/>
  <c r="T1002" i="19"/>
  <c r="T1000" i="19"/>
  <c r="T984" i="19"/>
  <c r="U984" i="19"/>
  <c r="T1006" i="19"/>
  <c r="T1004" i="19"/>
  <c r="T990" i="19"/>
  <c r="T988" i="19"/>
  <c r="T986" i="19"/>
  <c r="T982" i="19"/>
  <c r="T978" i="19"/>
  <c r="U972" i="19"/>
  <c r="U968" i="19"/>
  <c r="U964" i="19"/>
  <c r="U960" i="19"/>
  <c r="U956" i="19"/>
  <c r="U952" i="19"/>
  <c r="U948" i="19"/>
  <c r="U944" i="19"/>
  <c r="U940" i="19"/>
  <c r="T972" i="19"/>
  <c r="T968" i="19"/>
  <c r="T964" i="19"/>
  <c r="T960" i="19"/>
  <c r="T956" i="19"/>
  <c r="T952" i="19"/>
  <c r="T948" i="19"/>
  <c r="T944" i="19"/>
  <c r="T940" i="19"/>
  <c r="U929" i="19"/>
  <c r="U917" i="19"/>
  <c r="T872" i="19"/>
  <c r="T778" i="19"/>
  <c r="U778" i="19"/>
  <c r="T700" i="19"/>
  <c r="U700" i="19"/>
  <c r="T929" i="19"/>
  <c r="T917" i="19"/>
  <c r="T904" i="19"/>
  <c r="U901" i="19"/>
  <c r="U882" i="19"/>
  <c r="U813" i="19"/>
  <c r="T813" i="19"/>
  <c r="U741" i="19"/>
  <c r="T741" i="19"/>
  <c r="U933" i="19"/>
  <c r="T900" i="19"/>
  <c r="U881" i="19"/>
  <c r="T844" i="19"/>
  <c r="U844" i="19"/>
  <c r="U900" i="19"/>
  <c r="U897" i="19"/>
  <c r="T884" i="19"/>
  <c r="T881" i="19"/>
  <c r="U846" i="19"/>
  <c r="T846" i="19"/>
  <c r="T812" i="19"/>
  <c r="U812" i="19"/>
  <c r="T788" i="19"/>
  <c r="U788" i="19"/>
  <c r="U785" i="19"/>
  <c r="T785" i="19"/>
  <c r="T752" i="19"/>
  <c r="U752" i="19"/>
  <c r="T732" i="19"/>
  <c r="U732" i="19"/>
  <c r="U937" i="19"/>
  <c r="U925" i="19"/>
  <c r="U921" i="19"/>
  <c r="U913" i="19"/>
  <c r="U814" i="19"/>
  <c r="T814" i="19"/>
  <c r="U798" i="19"/>
  <c r="T798" i="19"/>
  <c r="T650" i="19"/>
  <c r="U650" i="19"/>
  <c r="T936" i="19"/>
  <c r="U936" i="19"/>
  <c r="T932" i="19"/>
  <c r="U932" i="19"/>
  <c r="T928" i="19"/>
  <c r="U928" i="19"/>
  <c r="T924" i="19"/>
  <c r="U924" i="19"/>
  <c r="T920" i="19"/>
  <c r="U920" i="19"/>
  <c r="T916" i="19"/>
  <c r="U916" i="19"/>
  <c r="U904" i="19"/>
  <c r="T901" i="19"/>
  <c r="U898" i="19"/>
  <c r="T894" i="19"/>
  <c r="T888" i="19"/>
  <c r="U885" i="19"/>
  <c r="T882" i="19"/>
  <c r="U872" i="19"/>
  <c r="U845" i="19"/>
  <c r="T845" i="19"/>
  <c r="T754" i="19"/>
  <c r="U754" i="19"/>
  <c r="U729" i="19"/>
  <c r="T729" i="19"/>
  <c r="T704" i="19"/>
  <c r="U704" i="19"/>
  <c r="U865" i="19"/>
  <c r="T864" i="19"/>
  <c r="T852" i="19"/>
  <c r="U833" i="19"/>
  <c r="T832" i="19"/>
  <c r="T820" i="19"/>
  <c r="T800" i="19"/>
  <c r="U781" i="19"/>
  <c r="T764" i="19"/>
  <c r="U761" i="19"/>
  <c r="T761" i="19"/>
  <c r="T698" i="19"/>
  <c r="U698" i="19"/>
  <c r="T912" i="19"/>
  <c r="T896" i="19"/>
  <c r="T880" i="19"/>
  <c r="T865" i="19"/>
  <c r="U864" i="19"/>
  <c r="U862" i="19"/>
  <c r="U861" i="19"/>
  <c r="T860" i="19"/>
  <c r="T854" i="19"/>
  <c r="U852" i="19"/>
  <c r="T842" i="19"/>
  <c r="T841" i="19"/>
  <c r="T833" i="19"/>
  <c r="U832" i="19"/>
  <c r="U830" i="19"/>
  <c r="U829" i="19"/>
  <c r="T828" i="19"/>
  <c r="T822" i="19"/>
  <c r="U820" i="19"/>
  <c r="T810" i="19"/>
  <c r="T809" i="19"/>
  <c r="T804" i="19"/>
  <c r="U801" i="19"/>
  <c r="U782" i="19"/>
  <c r="U733" i="19"/>
  <c r="U730" i="19"/>
  <c r="T730" i="19"/>
  <c r="T728" i="19"/>
  <c r="U728" i="19"/>
  <c r="T658" i="19"/>
  <c r="U658" i="19"/>
  <c r="T908" i="19"/>
  <c r="T892" i="19"/>
  <c r="T876" i="19"/>
  <c r="T868" i="19"/>
  <c r="T862" i="19"/>
  <c r="T861" i="19"/>
  <c r="U860" i="19"/>
  <c r="U849" i="19"/>
  <c r="T848" i="19"/>
  <c r="T836" i="19"/>
  <c r="T830" i="19"/>
  <c r="T829" i="19"/>
  <c r="U828" i="19"/>
  <c r="U817" i="19"/>
  <c r="T816" i="19"/>
  <c r="U800" i="19"/>
  <c r="U797" i="19"/>
  <c r="U794" i="19"/>
  <c r="T784" i="19"/>
  <c r="T781" i="19"/>
  <c r="U765" i="19"/>
  <c r="U762" i="19"/>
  <c r="T762" i="19"/>
  <c r="Q759" i="8"/>
  <c r="V759" i="8" s="1" a="1"/>
  <c r="V759" i="8" s="1"/>
  <c r="T760" i="19"/>
  <c r="U760" i="19"/>
  <c r="T720" i="19"/>
  <c r="U710" i="19"/>
  <c r="U709" i="19"/>
  <c r="U701" i="19"/>
  <c r="T701" i="19"/>
  <c r="U695" i="19"/>
  <c r="T695" i="19"/>
  <c r="U676" i="19"/>
  <c r="T796" i="19"/>
  <c r="T780" i="19"/>
  <c r="T768" i="19"/>
  <c r="U749" i="19"/>
  <c r="T748" i="19"/>
  <c r="T736" i="19"/>
  <c r="U717" i="19"/>
  <c r="T716" i="19"/>
  <c r="U696" i="19"/>
  <c r="T696" i="19"/>
  <c r="T694" i="19"/>
  <c r="U694" i="19"/>
  <c r="T666" i="19"/>
  <c r="U666" i="19"/>
  <c r="T856" i="19"/>
  <c r="T840" i="19"/>
  <c r="T824" i="19"/>
  <c r="T808" i="19"/>
  <c r="T792" i="19"/>
  <c r="T776" i="19"/>
  <c r="T770" i="19"/>
  <c r="U768" i="19"/>
  <c r="T758" i="19"/>
  <c r="T757" i="19"/>
  <c r="T749" i="19"/>
  <c r="U748" i="19"/>
  <c r="U746" i="19"/>
  <c r="U745" i="19"/>
  <c r="T744" i="19"/>
  <c r="T738" i="19"/>
  <c r="U736" i="19"/>
  <c r="T726" i="19"/>
  <c r="T725" i="19"/>
  <c r="T717" i="19"/>
  <c r="U716" i="19"/>
  <c r="U714" i="19"/>
  <c r="U713" i="19"/>
  <c r="T712" i="19"/>
  <c r="T706" i="19"/>
  <c r="T686" i="19"/>
  <c r="U675" i="19"/>
  <c r="U671" i="19"/>
  <c r="T671" i="19"/>
  <c r="U683" i="19"/>
  <c r="T682" i="19"/>
  <c r="T670" i="19"/>
  <c r="U670" i="19"/>
  <c r="T662" i="19"/>
  <c r="U662" i="19"/>
  <c r="T654" i="19"/>
  <c r="U654" i="19"/>
  <c r="T756" i="19"/>
  <c r="T740" i="19"/>
  <c r="T724" i="19"/>
  <c r="T708" i="19"/>
  <c r="T692" i="19"/>
  <c r="T691" i="19"/>
  <c r="T683" i="19"/>
  <c r="U682" i="19"/>
  <c r="U680" i="19"/>
  <c r="U679" i="19"/>
  <c r="T678" i="19"/>
  <c r="T690" i="19"/>
  <c r="T674" i="19"/>
  <c r="T365" i="19"/>
  <c r="U365" i="19"/>
  <c r="U593" i="19"/>
  <c r="T377" i="19"/>
  <c r="U377" i="19"/>
  <c r="U645" i="19"/>
  <c r="U637" i="19"/>
  <c r="U629" i="19"/>
  <c r="U592" i="19"/>
  <c r="T579" i="19"/>
  <c r="U548" i="19"/>
  <c r="U529" i="19"/>
  <c r="T519" i="19"/>
  <c r="U516" i="19"/>
  <c r="U625" i="19"/>
  <c r="T615" i="19"/>
  <c r="U612" i="19"/>
  <c r="U580" i="19"/>
  <c r="T563" i="19"/>
  <c r="U541" i="19"/>
  <c r="T531" i="19"/>
  <c r="U509" i="19"/>
  <c r="T499" i="19"/>
  <c r="T627" i="19"/>
  <c r="T595" i="19"/>
  <c r="T567" i="19"/>
  <c r="U564" i="19"/>
  <c r="T548" i="19"/>
  <c r="U545" i="19"/>
  <c r="T535" i="19"/>
  <c r="U532" i="19"/>
  <c r="T529" i="19"/>
  <c r="U519" i="19"/>
  <c r="T516" i="19"/>
  <c r="U513" i="19"/>
  <c r="T503" i="19"/>
  <c r="U500" i="19"/>
  <c r="T458" i="19"/>
  <c r="U458" i="19"/>
  <c r="T446" i="19"/>
  <c r="U446" i="19"/>
  <c r="U443" i="19"/>
  <c r="T443" i="19"/>
  <c r="U439" i="19"/>
  <c r="T439" i="19"/>
  <c r="T436" i="19"/>
  <c r="U641" i="19"/>
  <c r="U633" i="19"/>
  <c r="U624" i="19"/>
  <c r="T611" i="19"/>
  <c r="U561" i="19"/>
  <c r="T551" i="19"/>
  <c r="T381" i="19"/>
  <c r="U381" i="19"/>
  <c r="T641" i="19"/>
  <c r="T633" i="19"/>
  <c r="T583" i="19"/>
  <c r="U544" i="19"/>
  <c r="U512" i="19"/>
  <c r="T624" i="19"/>
  <c r="U611" i="19"/>
  <c r="U608" i="19"/>
  <c r="T592" i="19"/>
  <c r="U579" i="19"/>
  <c r="U576" i="19"/>
  <c r="U573" i="19"/>
  <c r="T648" i="19"/>
  <c r="T644" i="19"/>
  <c r="U644" i="19"/>
  <c r="T640" i="19"/>
  <c r="U640" i="19"/>
  <c r="T636" i="19"/>
  <c r="U636" i="19"/>
  <c r="T632" i="19"/>
  <c r="U632" i="19"/>
  <c r="T628" i="19"/>
  <c r="U628" i="19"/>
  <c r="T625" i="19"/>
  <c r="U615" i="19"/>
  <c r="T612" i="19"/>
  <c r="U609" i="19"/>
  <c r="T605" i="19"/>
  <c r="T599" i="19"/>
  <c r="U596" i="19"/>
  <c r="T593" i="19"/>
  <c r="U583" i="19"/>
  <c r="T580" i="19"/>
  <c r="U577" i="19"/>
  <c r="T573" i="19"/>
  <c r="U563" i="19"/>
  <c r="U560" i="19"/>
  <c r="U557" i="19"/>
  <c r="T547" i="19"/>
  <c r="T544" i="19"/>
  <c r="U531" i="19"/>
  <c r="U528" i="19"/>
  <c r="U525" i="19"/>
  <c r="T515" i="19"/>
  <c r="T512" i="19"/>
  <c r="U499" i="19"/>
  <c r="T478" i="19"/>
  <c r="U478" i="19"/>
  <c r="U475" i="19"/>
  <c r="T475" i="19"/>
  <c r="U471" i="19"/>
  <c r="T471" i="19"/>
  <c r="T468" i="19"/>
  <c r="U456" i="19"/>
  <c r="T456" i="19"/>
  <c r="T623" i="19"/>
  <c r="T607" i="19"/>
  <c r="T575" i="19"/>
  <c r="T572" i="19"/>
  <c r="T559" i="19"/>
  <c r="T543" i="19"/>
  <c r="T527" i="19"/>
  <c r="T511" i="19"/>
  <c r="T495" i="19"/>
  <c r="U495" i="19"/>
  <c r="T491" i="19"/>
  <c r="U491" i="19"/>
  <c r="T487" i="19"/>
  <c r="U487" i="19"/>
  <c r="U472" i="19"/>
  <c r="T462" i="19"/>
  <c r="U459" i="19"/>
  <c r="U440" i="19"/>
  <c r="T430" i="19"/>
  <c r="T405" i="19"/>
  <c r="U405" i="19"/>
  <c r="U402" i="19"/>
  <c r="T402" i="19"/>
  <c r="U398" i="19"/>
  <c r="T398" i="19"/>
  <c r="T395" i="19"/>
  <c r="U390" i="19"/>
  <c r="T591" i="19"/>
  <c r="T619" i="19"/>
  <c r="T603" i="19"/>
  <c r="T587" i="19"/>
  <c r="T571" i="19"/>
  <c r="T555" i="19"/>
  <c r="T539" i="19"/>
  <c r="T523" i="19"/>
  <c r="T507" i="19"/>
  <c r="U496" i="19"/>
  <c r="U492" i="19"/>
  <c r="U488" i="19"/>
  <c r="U484" i="19"/>
  <c r="T474" i="19"/>
  <c r="U455" i="19"/>
  <c r="U452" i="19"/>
  <c r="T442" i="19"/>
  <c r="T470" i="19"/>
  <c r="T454" i="19"/>
  <c r="T438" i="19"/>
  <c r="T426" i="19"/>
  <c r="U426" i="19"/>
  <c r="T422" i="19"/>
  <c r="U422" i="19"/>
  <c r="T418" i="19"/>
  <c r="U418" i="19"/>
  <c r="T414" i="19"/>
  <c r="U414" i="19"/>
  <c r="U399" i="19"/>
  <c r="T373" i="19"/>
  <c r="U373" i="19"/>
  <c r="T482" i="19"/>
  <c r="T466" i="19"/>
  <c r="T450" i="19"/>
  <c r="T434" i="19"/>
  <c r="U427" i="19"/>
  <c r="U423" i="19"/>
  <c r="U419" i="19"/>
  <c r="U415" i="19"/>
  <c r="U411" i="19"/>
  <c r="T401" i="19"/>
  <c r="T385" i="19"/>
  <c r="U385" i="19"/>
  <c r="T369" i="19"/>
  <c r="U369" i="19"/>
  <c r="T397" i="19"/>
  <c r="T409" i="19"/>
  <c r="T393" i="19"/>
  <c r="T389" i="19"/>
  <c r="U389" i="19"/>
  <c r="F34" i="9"/>
  <c r="S1063" i="19" l="1"/>
  <c r="S1062" i="8" s="1"/>
  <c r="S871" i="19"/>
  <c r="S870" i="8" s="1"/>
  <c r="S1015" i="19"/>
  <c r="S1014" i="8" s="1"/>
  <c r="O385" i="2"/>
  <c r="U135" i="8" s="1"/>
  <c r="O533" i="2"/>
  <c r="O937" i="2"/>
  <c r="U380" i="8" s="1"/>
  <c r="O945" i="2"/>
  <c r="U237" i="8" s="1"/>
  <c r="O977" i="2"/>
  <c r="U392" i="8" s="1"/>
  <c r="O985" i="2"/>
  <c r="U242" i="8" s="1"/>
  <c r="O993" i="2"/>
  <c r="U277" i="8" s="1"/>
  <c r="O386" i="2"/>
  <c r="U136" i="8" s="1"/>
  <c r="O530" i="2"/>
  <c r="U180" i="8" s="1"/>
  <c r="O938" i="2"/>
  <c r="U381" i="8" s="1"/>
  <c r="O946" i="2"/>
  <c r="U238" i="8" s="1"/>
  <c r="O978" i="2"/>
  <c r="U393" i="8" s="1"/>
  <c r="O986" i="2"/>
  <c r="U243" i="8" s="1"/>
  <c r="U278" i="8"/>
  <c r="O994" i="2"/>
  <c r="O383" i="2"/>
  <c r="U133" i="8" s="1"/>
  <c r="O399" i="2"/>
  <c r="U143" i="8" s="1"/>
  <c r="O935" i="2"/>
  <c r="U378" i="8" s="1"/>
  <c r="O943" i="2"/>
  <c r="U233" i="8" s="1"/>
  <c r="O983" i="2"/>
  <c r="U422" i="8" s="1"/>
  <c r="O991" i="2"/>
  <c r="U275" i="8" s="1"/>
  <c r="O1031" i="2"/>
  <c r="U423" i="8" s="1"/>
  <c r="O384" i="2"/>
  <c r="U134" i="8" s="1"/>
  <c r="O528" i="2"/>
  <c r="U179" i="8" s="1"/>
  <c r="O936" i="2"/>
  <c r="U379" i="8" s="1"/>
  <c r="O944" i="2"/>
  <c r="U236" i="8" s="1"/>
  <c r="O546" i="2"/>
  <c r="O535" i="2"/>
  <c r="O431" i="2"/>
  <c r="U161" i="8" s="1"/>
  <c r="O607" i="2"/>
  <c r="U221" i="8" s="1"/>
  <c r="O982" i="2"/>
  <c r="O536" i="2"/>
  <c r="U188" i="8" s="1"/>
  <c r="O439" i="2"/>
  <c r="U178" i="8" s="1"/>
  <c r="O616" i="2"/>
  <c r="U289" i="8" s="1"/>
  <c r="O541" i="2"/>
  <c r="O618" i="2"/>
  <c r="U291" i="8" s="1"/>
  <c r="O602" i="2"/>
  <c r="U218" i="8" s="1"/>
  <c r="O389" i="2"/>
  <c r="U139" i="8" s="1"/>
  <c r="O397" i="2"/>
  <c r="U141" i="8" s="1"/>
  <c r="U146" i="8"/>
  <c r="U159" i="8"/>
  <c r="O529" i="2"/>
  <c r="U292" i="8"/>
  <c r="U222" i="8"/>
  <c r="O933" i="2"/>
  <c r="U376" i="8" s="1"/>
  <c r="O941" i="2"/>
  <c r="U231" i="8" s="1"/>
  <c r="U241" i="8"/>
  <c r="U383" i="8"/>
  <c r="O981" i="2"/>
  <c r="U399" i="8" s="1"/>
  <c r="O989" i="2"/>
  <c r="U273" i="8" s="1"/>
  <c r="O398" i="2"/>
  <c r="U142" i="8" s="1"/>
  <c r="U187" i="8"/>
  <c r="U216" i="8"/>
  <c r="O934" i="2"/>
  <c r="U377" i="8" s="1"/>
  <c r="U232" i="8"/>
  <c r="O942" i="2"/>
  <c r="U421" i="8"/>
  <c r="U144" i="8"/>
  <c r="O531" i="2"/>
  <c r="U219" i="8"/>
  <c r="U382" i="8"/>
  <c r="O939" i="2"/>
  <c r="O947" i="2"/>
  <c r="U239" i="8" s="1"/>
  <c r="U390" i="8"/>
  <c r="O979" i="2"/>
  <c r="U397" i="8" s="1"/>
  <c r="O987" i="2"/>
  <c r="U254" i="8" s="1"/>
  <c r="O995" i="2"/>
  <c r="U279" i="8" s="1"/>
  <c r="O388" i="2"/>
  <c r="U138" i="8" s="1"/>
  <c r="O396" i="2"/>
  <c r="U140" i="8" s="1"/>
  <c r="U145" i="8"/>
  <c r="O404" i="2"/>
  <c r="O532" i="2"/>
  <c r="U181" i="8" s="1"/>
  <c r="U190" i="8"/>
  <c r="O932" i="2"/>
  <c r="U310" i="8" s="1"/>
  <c r="O940" i="2"/>
  <c r="U230" i="8" s="1"/>
  <c r="O948" i="2"/>
  <c r="U240" i="8" s="1"/>
  <c r="U391" i="8"/>
  <c r="O972" i="2"/>
  <c r="O980" i="2"/>
  <c r="U398" i="8" s="1"/>
  <c r="O988" i="2"/>
  <c r="U272" i="8" s="1"/>
  <c r="O427" i="2"/>
  <c r="U147" i="8" s="1"/>
  <c r="O606" i="2"/>
  <c r="U220" i="8" s="1"/>
  <c r="O435" i="2"/>
  <c r="U164" i="8" s="1"/>
  <c r="O543" i="2"/>
  <c r="U215" i="8" s="1"/>
  <c r="O438" i="2"/>
  <c r="U167" i="8" s="1"/>
  <c r="O542" i="2"/>
  <c r="U200" i="8" s="1"/>
  <c r="O387" i="2"/>
  <c r="U137" i="8" s="1"/>
  <c r="O548" i="2"/>
  <c r="O537" i="2"/>
  <c r="O614" i="2"/>
  <c r="U287" i="8" s="1"/>
  <c r="O547" i="2"/>
  <c r="U296" i="8" s="1"/>
  <c r="O544" i="2"/>
  <c r="O617" i="2"/>
  <c r="U290" i="8" s="1"/>
  <c r="O599" i="2"/>
  <c r="U217" i="8" s="1"/>
  <c r="O432" i="2"/>
  <c r="U162" i="8" s="1"/>
  <c r="O539" i="2"/>
  <c r="O382" i="2"/>
  <c r="U132" i="8" s="1"/>
  <c r="O434" i="2"/>
  <c r="U163" i="8" s="1"/>
  <c r="O538" i="2"/>
  <c r="U189" i="8" s="1"/>
  <c r="O615" i="2"/>
  <c r="U288" i="8" s="1"/>
  <c r="O437" i="2"/>
  <c r="U166" i="8" s="1"/>
  <c r="O428" i="2"/>
  <c r="U158" i="8" s="1"/>
  <c r="O610" i="2"/>
  <c r="U229" i="8" s="1"/>
  <c r="O436" i="2"/>
  <c r="U165" i="8" s="1"/>
  <c r="T421" i="8"/>
  <c r="U276" i="8"/>
  <c r="T276" i="8"/>
  <c r="S981" i="19"/>
  <c r="S243" i="8" s="1"/>
  <c r="U274" i="8"/>
  <c r="S1378" i="19"/>
  <c r="S1377" i="8" s="1"/>
  <c r="Q1377" i="8"/>
  <c r="V1377" i="8" s="1" a="1"/>
  <c r="V1377" i="8" s="1"/>
  <c r="Q1328" i="19"/>
  <c r="R1328" i="19" s="1"/>
  <c r="S1328" i="19" s="1"/>
  <c r="S1327" i="8" s="1"/>
  <c r="Q737" i="8"/>
  <c r="V737" i="8" s="1" a="1"/>
  <c r="V737" i="8" s="1"/>
  <c r="Q1568" i="8"/>
  <c r="V1568" i="8" s="1" a="1"/>
  <c r="V1568" i="8" s="1"/>
  <c r="Q1198" i="19"/>
  <c r="R1198" i="19" s="1"/>
  <c r="R1197" i="8" s="1"/>
  <c r="Q1140" i="19"/>
  <c r="R1140" i="19" s="1"/>
  <c r="S1140" i="19" s="1"/>
  <c r="S1139" i="8" s="1"/>
  <c r="Q1608" i="8"/>
  <c r="V1608" i="8" s="1" a="1"/>
  <c r="V1608" i="8" s="1"/>
  <c r="Q1332" i="8"/>
  <c r="V1332" i="8" s="1" a="1"/>
  <c r="V1332" i="8" s="1"/>
  <c r="Q745" i="19"/>
  <c r="R745" i="19" s="1"/>
  <c r="R744" i="8" s="1"/>
  <c r="Q392" i="19"/>
  <c r="R392" i="19" s="1"/>
  <c r="S392" i="19" s="1"/>
  <c r="Q379" i="8"/>
  <c r="V379" i="8" s="1" a="1"/>
  <c r="V379" i="8" s="1"/>
  <c r="Q600" i="19"/>
  <c r="R600" i="19" s="1"/>
  <c r="S600" i="19" s="1"/>
  <c r="S599" i="8" s="1"/>
  <c r="Q421" i="8"/>
  <c r="V421" i="8" s="1" a="1"/>
  <c r="V421" i="8" s="1"/>
  <c r="Q1060" i="8"/>
  <c r="V1060" i="8" s="1" a="1"/>
  <c r="V1060" i="8" s="1"/>
  <c r="Q819" i="19"/>
  <c r="R819" i="19" s="1"/>
  <c r="R818" i="8" s="1"/>
  <c r="Q221" i="8"/>
  <c r="V221" i="8" s="1" a="1"/>
  <c r="V221" i="8" s="1"/>
  <c r="Q706" i="8"/>
  <c r="V706" i="8" s="1" a="1"/>
  <c r="V706" i="8" s="1"/>
  <c r="Q790" i="8"/>
  <c r="V790" i="8" s="1" a="1"/>
  <c r="V790" i="8" s="1"/>
  <c r="Q1124" i="19"/>
  <c r="R1124" i="19" s="1"/>
  <c r="R1123" i="8" s="1"/>
  <c r="Q1245" i="8"/>
  <c r="V1245" i="8" s="1" a="1"/>
  <c r="V1245" i="8" s="1"/>
  <c r="Q923" i="19"/>
  <c r="R923" i="19" s="1"/>
  <c r="S923" i="19" s="1"/>
  <c r="S922" i="8" s="1"/>
  <c r="Q1263" i="19"/>
  <c r="R1263" i="19" s="1"/>
  <c r="S1263" i="19" s="1"/>
  <c r="S1262" i="8" s="1"/>
  <c r="Q799" i="19"/>
  <c r="R799" i="19" s="1"/>
  <c r="S799" i="19" s="1"/>
  <c r="S798" i="8" s="1"/>
  <c r="Q1470" i="8"/>
  <c r="V1470" i="8" s="1" a="1"/>
  <c r="V1470" i="8" s="1"/>
  <c r="Q1080" i="19"/>
  <c r="R1080" i="19" s="1"/>
  <c r="S1080" i="19" s="1"/>
  <c r="S1079" i="8" s="1"/>
  <c r="Q429" i="19"/>
  <c r="R429" i="19" s="1"/>
  <c r="R163" i="8" s="1"/>
  <c r="Q1075" i="19"/>
  <c r="R1075" i="19" s="1"/>
  <c r="S1075" i="19" s="1"/>
  <c r="S1074" i="8" s="1"/>
  <c r="Q781" i="19"/>
  <c r="R781" i="19" s="1"/>
  <c r="S781" i="19" s="1"/>
  <c r="S780" i="8" s="1"/>
  <c r="Q823" i="19"/>
  <c r="R823" i="19" s="1"/>
  <c r="S823" i="19" s="1"/>
  <c r="S822" i="8" s="1"/>
  <c r="Q445" i="19"/>
  <c r="R445" i="19" s="1"/>
  <c r="R444" i="8" s="1"/>
  <c r="Q1507" i="19"/>
  <c r="R1507" i="19" s="1"/>
  <c r="S1507" i="19" s="1"/>
  <c r="S1506" i="8" s="1"/>
  <c r="Q1274" i="19"/>
  <c r="R1274" i="19" s="1"/>
  <c r="S1274" i="19" s="1"/>
  <c r="S1273" i="8" s="1"/>
  <c r="Q1235" i="19"/>
  <c r="R1235" i="19" s="1"/>
  <c r="R1234" i="8" s="1"/>
  <c r="Q826" i="19"/>
  <c r="R826" i="19" s="1"/>
  <c r="R825" i="8" s="1"/>
  <c r="Q894" i="19"/>
  <c r="R894" i="19" s="1"/>
  <c r="S894" i="19" s="1"/>
  <c r="S893" i="8" s="1"/>
  <c r="Q743" i="19"/>
  <c r="R743" i="19" s="1"/>
  <c r="S743" i="19" s="1"/>
  <c r="S742" i="8" s="1"/>
  <c r="Q162" i="8"/>
  <c r="V162" i="8" s="1" a="1"/>
  <c r="V162" i="8" s="1"/>
  <c r="Q733" i="8"/>
  <c r="V733" i="8" s="1" a="1"/>
  <c r="V733" i="8" s="1"/>
  <c r="Q774" i="8"/>
  <c r="V774" i="8" s="1" a="1"/>
  <c r="V774" i="8" s="1"/>
  <c r="Q1328" i="8"/>
  <c r="V1328" i="8" s="1" a="1"/>
  <c r="V1328" i="8" s="1"/>
  <c r="Q696" i="8"/>
  <c r="V696" i="8" s="1" a="1"/>
  <c r="V696" i="8" s="1"/>
  <c r="Q1002" i="8"/>
  <c r="V1002" i="8" s="1" a="1"/>
  <c r="V1002" i="8" s="1"/>
  <c r="Q1533" i="8"/>
  <c r="V1533" i="8" s="1" a="1"/>
  <c r="V1533" i="8" s="1"/>
  <c r="Q1620" i="8"/>
  <c r="V1620" i="8" s="1" a="1"/>
  <c r="V1620" i="8" s="1"/>
  <c r="Q464" i="8"/>
  <c r="V464" i="8" s="1" a="1"/>
  <c r="V464" i="8" s="1"/>
  <c r="Q1326" i="19"/>
  <c r="R1326" i="19" s="1"/>
  <c r="S1326" i="19" s="1"/>
  <c r="S1325" i="8" s="1"/>
  <c r="Q1226" i="8"/>
  <c r="V1226" i="8" s="1" a="1"/>
  <c r="V1226" i="8" s="1"/>
  <c r="Q1229" i="8"/>
  <c r="V1229" i="8" s="1" a="1"/>
  <c r="V1229" i="8" s="1"/>
  <c r="Q885" i="8"/>
  <c r="V885" i="8" s="1" a="1"/>
  <c r="V885" i="8" s="1"/>
  <c r="Q1317" i="8"/>
  <c r="V1317" i="8" s="1" a="1"/>
  <c r="V1317" i="8" s="1"/>
  <c r="Q1147" i="19"/>
  <c r="R1147" i="19" s="1"/>
  <c r="S1147" i="19" s="1"/>
  <c r="S1146" i="8" s="1"/>
  <c r="Q957" i="8"/>
  <c r="V957" i="8" s="1" a="1"/>
  <c r="V957" i="8" s="1"/>
  <c r="Q1122" i="8"/>
  <c r="V1122" i="8" s="1" a="1"/>
  <c r="V1122" i="8" s="1"/>
  <c r="Q238" i="8"/>
  <c r="V238" i="8" s="1" a="1"/>
  <c r="V238" i="8" s="1"/>
  <c r="Q841" i="8"/>
  <c r="V841" i="8" s="1" a="1"/>
  <c r="V841" i="8" s="1"/>
  <c r="Q604" i="19"/>
  <c r="R604" i="19" s="1"/>
  <c r="R222" i="8" s="1"/>
  <c r="Q1276" i="8"/>
  <c r="V1276" i="8" s="1" a="1"/>
  <c r="V1276" i="8" s="1"/>
  <c r="Q910" i="8"/>
  <c r="V910" i="8" s="1" a="1"/>
  <c r="V910" i="8" s="1"/>
  <c r="Q526" i="19"/>
  <c r="R526" i="19" s="1"/>
  <c r="Q638" i="8"/>
  <c r="V638" i="8" s="1" a="1"/>
  <c r="V638" i="8" s="1"/>
  <c r="Q1490" i="8"/>
  <c r="V1490" i="8" s="1" a="1"/>
  <c r="V1490" i="8" s="1"/>
  <c r="Q859" i="19"/>
  <c r="R859" i="19" s="1"/>
  <c r="S859" i="19" s="1"/>
  <c r="S858" i="8" s="1"/>
  <c r="Q1127" i="8"/>
  <c r="V1127" i="8" s="1" a="1"/>
  <c r="V1127" i="8" s="1"/>
  <c r="Q687" i="19"/>
  <c r="R687" i="19" s="1"/>
  <c r="R686" i="8" s="1"/>
  <c r="Q778" i="8"/>
  <c r="V778" i="8" s="1" a="1"/>
  <c r="V778" i="8" s="1"/>
  <c r="Q388" i="19"/>
  <c r="R388" i="19" s="1"/>
  <c r="R387" i="8" s="1"/>
  <c r="Q557" i="19"/>
  <c r="R557" i="19" s="1"/>
  <c r="R556" i="8" s="1"/>
  <c r="Q1401" i="8"/>
  <c r="V1401" i="8" s="1" a="1"/>
  <c r="V1401" i="8" s="1"/>
  <c r="Q1584" i="8"/>
  <c r="V1584" i="8" s="1" a="1"/>
  <c r="V1584" i="8" s="1"/>
  <c r="Q1303" i="8"/>
  <c r="V1303" i="8" s="1" a="1"/>
  <c r="V1303" i="8" s="1"/>
  <c r="Q1167" i="19"/>
  <c r="R1167" i="19" s="1"/>
  <c r="R1166" i="8" s="1"/>
  <c r="Q1343" i="8"/>
  <c r="V1343" i="8" s="1" a="1"/>
  <c r="V1343" i="8" s="1"/>
  <c r="Q1155" i="19"/>
  <c r="R1155" i="19" s="1"/>
  <c r="R1154" i="8" s="1"/>
  <c r="Q704" i="8"/>
  <c r="V704" i="8" s="1" a="1"/>
  <c r="V704" i="8" s="1"/>
  <c r="Q1575" i="19"/>
  <c r="R1575" i="19" s="1"/>
  <c r="S1575" i="19" s="1"/>
  <c r="S1574" i="8" s="1"/>
  <c r="Q1556" i="8"/>
  <c r="V1556" i="8" s="1" a="1"/>
  <c r="V1556" i="8" s="1"/>
  <c r="Q889" i="8"/>
  <c r="V889" i="8" s="1" a="1"/>
  <c r="V889" i="8" s="1"/>
  <c r="Q1312" i="19"/>
  <c r="R1312" i="19" s="1"/>
  <c r="R1311" i="8" s="1"/>
  <c r="Q1266" i="8"/>
  <c r="V1266" i="8" s="1" a="1"/>
  <c r="V1266" i="8" s="1"/>
  <c r="R243" i="8"/>
  <c r="Q466" i="8"/>
  <c r="V466" i="8" s="1" a="1"/>
  <c r="V466" i="8" s="1"/>
  <c r="Q292" i="8"/>
  <c r="V292" i="8" s="1" a="1"/>
  <c r="V292" i="8" s="1"/>
  <c r="Q1277" i="8"/>
  <c r="V1277" i="8" s="1" a="1"/>
  <c r="V1277" i="8" s="1"/>
  <c r="Q1114" i="8"/>
  <c r="V1114" i="8" s="1" a="1"/>
  <c r="V1114" i="8" s="1"/>
  <c r="Q1365" i="19"/>
  <c r="R1365" i="19" s="1"/>
  <c r="S1365" i="19" s="1"/>
  <c r="S1364" i="8" s="1"/>
  <c r="Q1058" i="8"/>
  <c r="V1058" i="8" s="1" a="1"/>
  <c r="V1058" i="8" s="1"/>
  <c r="Q1201" i="8"/>
  <c r="V1201" i="8" s="1" a="1"/>
  <c r="V1201" i="8" s="1"/>
  <c r="Q487" i="8"/>
  <c r="V487" i="8" s="1" a="1"/>
  <c r="V487" i="8" s="1"/>
  <c r="Q572" i="8"/>
  <c r="V572" i="8" s="1" a="1"/>
  <c r="V572" i="8" s="1"/>
  <c r="R870" i="8"/>
  <c r="Q950" i="8"/>
  <c r="V950" i="8" s="1" a="1"/>
  <c r="V950" i="8" s="1"/>
  <c r="Q1020" i="8"/>
  <c r="V1020" i="8" s="1" a="1"/>
  <c r="V1020" i="8" s="1"/>
  <c r="Q1194" i="19"/>
  <c r="R1194" i="19" s="1"/>
  <c r="S1194" i="19" s="1"/>
  <c r="S1193" i="8" s="1"/>
  <c r="Q817" i="8"/>
  <c r="V817" i="8" s="1" a="1"/>
  <c r="V817" i="8" s="1"/>
  <c r="Q750" i="19"/>
  <c r="R750" i="19" s="1"/>
  <c r="R749" i="8" s="1"/>
  <c r="Q750" i="8"/>
  <c r="V750" i="8" s="1" a="1"/>
  <c r="V750" i="8" s="1"/>
  <c r="Q994" i="8"/>
  <c r="V994" i="8" s="1" a="1"/>
  <c r="V994" i="8" s="1"/>
  <c r="Q1216" i="8"/>
  <c r="V1216" i="8" s="1" a="1"/>
  <c r="V1216" i="8" s="1"/>
  <c r="Q1313" i="19"/>
  <c r="R1313" i="19" s="1"/>
  <c r="S1313" i="19" s="1"/>
  <c r="S1312" i="8" s="1"/>
  <c r="Q1094" i="8"/>
  <c r="V1094" i="8" s="1" a="1"/>
  <c r="V1094" i="8" s="1"/>
  <c r="Q925" i="8"/>
  <c r="V925" i="8" s="1" a="1"/>
  <c r="V925" i="8" s="1"/>
  <c r="Q621" i="8"/>
  <c r="V621" i="8" s="1" a="1"/>
  <c r="V621" i="8" s="1"/>
  <c r="Q1036" i="8"/>
  <c r="V1036" i="8" s="1" a="1"/>
  <c r="V1036" i="8" s="1"/>
  <c r="Q1491" i="8"/>
  <c r="V1491" i="8" s="1" a="1"/>
  <c r="V1491" i="8" s="1"/>
  <c r="Q802" i="8"/>
  <c r="V802" i="8" s="1" a="1"/>
  <c r="V802" i="8" s="1"/>
  <c r="Q870" i="8"/>
  <c r="V870" i="8" s="1" a="1"/>
  <c r="V870" i="8" s="1"/>
  <c r="Q1242" i="8"/>
  <c r="V1242" i="8" s="1" a="1"/>
  <c r="V1242" i="8" s="1"/>
  <c r="Q1600" i="8"/>
  <c r="V1600" i="8" s="1" a="1"/>
  <c r="V1600" i="8" s="1"/>
  <c r="Q1616" i="8"/>
  <c r="V1616" i="8" s="1" a="1"/>
  <c r="V1616" i="8" s="1"/>
  <c r="Q947" i="8"/>
  <c r="V947" i="8" s="1" a="1"/>
  <c r="V947" i="8" s="1"/>
  <c r="Q671" i="8"/>
  <c r="V671" i="8" s="1" a="1"/>
  <c r="V671" i="8" s="1"/>
  <c r="Q386" i="8"/>
  <c r="V386" i="8" s="1" a="1"/>
  <c r="V386" i="8" s="1"/>
  <c r="Q513" i="8"/>
  <c r="V513" i="8" s="1" a="1"/>
  <c r="V513" i="8" s="1"/>
  <c r="Q666" i="8"/>
  <c r="V666" i="8" s="1" a="1"/>
  <c r="V666" i="8" s="1"/>
  <c r="Q794" i="19"/>
  <c r="R794" i="19" s="1"/>
  <c r="S794" i="19" s="1"/>
  <c r="S793" i="8" s="1"/>
  <c r="Q865" i="8"/>
  <c r="V865" i="8" s="1" a="1"/>
  <c r="V865" i="8" s="1"/>
  <c r="Q410" i="8"/>
  <c r="V410" i="8" s="1" a="1"/>
  <c r="V410" i="8" s="1"/>
  <c r="Q525" i="19"/>
  <c r="R525" i="19" s="1"/>
  <c r="S525" i="19" s="1"/>
  <c r="S180" i="8" s="1"/>
  <c r="Q598" i="19"/>
  <c r="R598" i="19" s="1"/>
  <c r="R219" i="8" s="1"/>
  <c r="Q482" i="8"/>
  <c r="V482" i="8" s="1" a="1"/>
  <c r="V482" i="8" s="1"/>
  <c r="Q672" i="8"/>
  <c r="V672" i="8" s="1" a="1"/>
  <c r="V672" i="8" s="1"/>
  <c r="Q1420" i="19"/>
  <c r="R1420" i="19" s="1"/>
  <c r="S1420" i="19" s="1"/>
  <c r="S1419" i="8" s="1"/>
  <c r="Q685" i="19"/>
  <c r="R685" i="19" s="1"/>
  <c r="S685" i="19" s="1"/>
  <c r="S684" i="8" s="1"/>
  <c r="Q577" i="8"/>
  <c r="V577" i="8" s="1" a="1"/>
  <c r="V577" i="8" s="1"/>
  <c r="Q992" i="8"/>
  <c r="V992" i="8" s="1" a="1"/>
  <c r="V992" i="8" s="1"/>
  <c r="Q1023" i="8"/>
  <c r="V1023" i="8" s="1" a="1"/>
  <c r="V1023" i="8" s="1"/>
  <c r="Q1028" i="8"/>
  <c r="V1028" i="8" s="1" a="1"/>
  <c r="V1028" i="8" s="1"/>
  <c r="R1014" i="8"/>
  <c r="Q1287" i="8"/>
  <c r="V1287" i="8" s="1" a="1"/>
  <c r="V1287" i="8" s="1"/>
  <c r="Q650" i="8"/>
  <c r="V650" i="8" s="1" a="1"/>
  <c r="V650" i="8" s="1"/>
  <c r="Q1319" i="8"/>
  <c r="V1319" i="8" s="1" a="1"/>
  <c r="V1319" i="8" s="1"/>
  <c r="Q690" i="8"/>
  <c r="V690" i="8" s="1" a="1"/>
  <c r="V690" i="8" s="1"/>
  <c r="Q1176" i="8"/>
  <c r="V1176" i="8" s="1" a="1"/>
  <c r="V1176" i="8" s="1"/>
  <c r="Q230" i="8"/>
  <c r="V230" i="8" s="1" a="1"/>
  <c r="V230" i="8" s="1"/>
  <c r="Q1204" i="8"/>
  <c r="V1204" i="8" s="1" a="1"/>
  <c r="V1204" i="8" s="1"/>
  <c r="Q1014" i="8"/>
  <c r="V1014" i="8" s="1" a="1"/>
  <c r="V1014" i="8" s="1"/>
  <c r="Q692" i="8"/>
  <c r="V692" i="8" s="1" a="1"/>
  <c r="V692" i="8" s="1"/>
  <c r="Q1218" i="8"/>
  <c r="V1218" i="8" s="1" a="1"/>
  <c r="V1218" i="8" s="1"/>
  <c r="Q1323" i="8"/>
  <c r="V1323" i="8" s="1" a="1"/>
  <c r="V1323" i="8" s="1"/>
  <c r="Q1230" i="8"/>
  <c r="V1230" i="8" s="1" a="1"/>
  <c r="V1230" i="8" s="1"/>
  <c r="Q738" i="8"/>
  <c r="V738" i="8" s="1" a="1"/>
  <c r="V738" i="8" s="1"/>
  <c r="Q548" i="8"/>
  <c r="V548" i="8" s="1" a="1"/>
  <c r="V548" i="8" s="1"/>
  <c r="Q846" i="8"/>
  <c r="V846" i="8" s="1" a="1"/>
  <c r="V846" i="8" s="1"/>
  <c r="Q809" i="8"/>
  <c r="V809" i="8" s="1" a="1"/>
  <c r="V809" i="8" s="1"/>
  <c r="Q918" i="8"/>
  <c r="V918" i="8" s="1" a="1"/>
  <c r="V918" i="8" s="1"/>
  <c r="Q463" i="19"/>
  <c r="R463" i="19" s="1"/>
  <c r="R462" i="8" s="1"/>
  <c r="Q1246" i="8"/>
  <c r="V1246" i="8" s="1" a="1"/>
  <c r="V1246" i="8" s="1"/>
  <c r="Q1298" i="19"/>
  <c r="R1298" i="19" s="1"/>
  <c r="S1298" i="19" s="1"/>
  <c r="S1297" i="8" s="1"/>
  <c r="Q1218" i="19"/>
  <c r="R1218" i="19" s="1"/>
  <c r="S1218" i="19" s="1"/>
  <c r="S1217" i="8" s="1"/>
  <c r="Q833" i="8"/>
  <c r="V833" i="8" s="1" a="1"/>
  <c r="V833" i="8" s="1"/>
  <c r="Q969" i="19"/>
  <c r="R969" i="19" s="1"/>
  <c r="S969" i="19" s="1"/>
  <c r="S968" i="8" s="1"/>
  <c r="Q544" i="19"/>
  <c r="R544" i="19" s="1"/>
  <c r="S544" i="19" s="1"/>
  <c r="S543" i="8" s="1"/>
  <c r="Q617" i="8"/>
  <c r="V617" i="8" s="1" a="1"/>
  <c r="V617" i="8" s="1"/>
  <c r="Q1301" i="19"/>
  <c r="R1301" i="19" s="1"/>
  <c r="S1301" i="19" s="1"/>
  <c r="S1300" i="8" s="1"/>
  <c r="Q1126" i="8"/>
  <c r="V1126" i="8" s="1" a="1"/>
  <c r="V1126" i="8" s="1"/>
  <c r="Q1118" i="19"/>
  <c r="R1118" i="19" s="1"/>
  <c r="S1118" i="19" s="1"/>
  <c r="S1117" i="8" s="1"/>
  <c r="Q1482" i="8"/>
  <c r="V1482" i="8" s="1" a="1"/>
  <c r="V1482" i="8" s="1"/>
  <c r="Q773" i="8"/>
  <c r="V773" i="8" s="1" a="1"/>
  <c r="V773" i="8" s="1"/>
  <c r="Q236" i="8"/>
  <c r="V236" i="8" s="1" a="1"/>
  <c r="V236" i="8" s="1"/>
  <c r="Q1573" i="19"/>
  <c r="R1573" i="19" s="1"/>
  <c r="R1572" i="8" s="1"/>
  <c r="Q1341" i="8"/>
  <c r="V1341" i="8" s="1" a="1"/>
  <c r="V1341" i="8" s="1"/>
  <c r="Q1566" i="8"/>
  <c r="V1566" i="8" s="1" a="1"/>
  <c r="V1566" i="8" s="1"/>
  <c r="Q702" i="19"/>
  <c r="R702" i="19" s="1"/>
  <c r="S702" i="19" s="1"/>
  <c r="S701" i="8" s="1"/>
  <c r="Q757" i="19"/>
  <c r="R757" i="19" s="1"/>
  <c r="S757" i="19" s="1"/>
  <c r="S756" i="8" s="1"/>
  <c r="Q588" i="8"/>
  <c r="V588" i="8" s="1" a="1"/>
  <c r="V588" i="8" s="1"/>
  <c r="Q585" i="8"/>
  <c r="V585" i="8" s="1" a="1"/>
  <c r="V585" i="8" s="1"/>
  <c r="S1386" i="19"/>
  <c r="S1385" i="8" s="1"/>
  <c r="Q660" i="8"/>
  <c r="V660" i="8" s="1" a="1"/>
  <c r="V660" i="8" s="1"/>
  <c r="S1536" i="19"/>
  <c r="S1535" i="8" s="1"/>
  <c r="Q1004" i="8"/>
  <c r="V1004" i="8" s="1" a="1"/>
  <c r="V1004" i="8" s="1"/>
  <c r="Q1087" i="8"/>
  <c r="V1087" i="8" s="1" a="1"/>
  <c r="V1087" i="8" s="1"/>
  <c r="Q1131" i="8"/>
  <c r="V1131" i="8" s="1" a="1"/>
  <c r="V1131" i="8" s="1"/>
  <c r="R1377" i="8"/>
  <c r="Q1535" i="8"/>
  <c r="V1535" i="8" s="1" a="1"/>
  <c r="V1535" i="8" s="1"/>
  <c r="Q1104" i="8"/>
  <c r="V1104" i="8" s="1" a="1"/>
  <c r="V1104" i="8" s="1"/>
  <c r="Q1315" i="8"/>
  <c r="V1315" i="8" s="1" a="1"/>
  <c r="V1315" i="8" s="1"/>
  <c r="Q961" i="8"/>
  <c r="V961" i="8" s="1" a="1"/>
  <c r="V961" i="8" s="1"/>
  <c r="Q367" i="19"/>
  <c r="R367" i="19" s="1"/>
  <c r="S367" i="19" s="1"/>
  <c r="S366" i="8" s="1"/>
  <c r="Q509" i="8"/>
  <c r="V509" i="8" s="1" a="1"/>
  <c r="V509" i="8" s="1"/>
  <c r="Q1026" i="8"/>
  <c r="V1026" i="8" s="1" a="1"/>
  <c r="V1026" i="8" s="1"/>
  <c r="Q652" i="8"/>
  <c r="V652" i="8" s="1" a="1"/>
  <c r="V652" i="8" s="1"/>
  <c r="Q1587" i="8"/>
  <c r="V1587" i="8" s="1" a="1"/>
  <c r="V1587" i="8" s="1"/>
  <c r="Q1511" i="8"/>
  <c r="V1511" i="8" s="1" a="1"/>
  <c r="V1511" i="8" s="1"/>
  <c r="Q766" i="8"/>
  <c r="V766" i="8" s="1" a="1"/>
  <c r="V766" i="8" s="1"/>
  <c r="Q830" i="8"/>
  <c r="V830" i="8" s="1" a="1"/>
  <c r="V830" i="8" s="1"/>
  <c r="Q588" i="19"/>
  <c r="R588" i="19" s="1"/>
  <c r="S588" i="19" s="1"/>
  <c r="S587" i="8" s="1"/>
  <c r="Q406" i="8"/>
  <c r="V406" i="8" s="1" a="1"/>
  <c r="V406" i="8" s="1"/>
  <c r="Q807" i="19"/>
  <c r="R807" i="19" s="1"/>
  <c r="S807" i="19" s="1"/>
  <c r="S806" i="8" s="1"/>
  <c r="Q243" i="8"/>
  <c r="V243" i="8" s="1" a="1"/>
  <c r="V243" i="8" s="1"/>
  <c r="Q1385" i="8"/>
  <c r="V1385" i="8" s="1" a="1"/>
  <c r="V1385" i="8" s="1"/>
  <c r="S1418" i="19"/>
  <c r="S1417" i="8" s="1"/>
  <c r="Q370" i="8"/>
  <c r="V370" i="8" s="1" a="1"/>
  <c r="V370" i="8" s="1"/>
  <c r="Q166" i="8"/>
  <c r="V166" i="8" s="1" a="1"/>
  <c r="V166" i="8" s="1"/>
  <c r="Q1072" i="8"/>
  <c r="V1072" i="8" s="1" a="1"/>
  <c r="V1072" i="8" s="1"/>
  <c r="Q1168" i="8"/>
  <c r="V1168" i="8" s="1" a="1"/>
  <c r="V1168" i="8" s="1"/>
  <c r="Q683" i="8"/>
  <c r="V683" i="8" s="1" a="1"/>
  <c r="V683" i="8" s="1"/>
  <c r="Q1184" i="8"/>
  <c r="V1184" i="8" s="1" a="1"/>
  <c r="V1184" i="8" s="1"/>
  <c r="Q397" i="8"/>
  <c r="V397" i="8" s="1" a="1"/>
  <c r="V397" i="8" s="1"/>
  <c r="Q1214" i="8"/>
  <c r="V1214" i="8" s="1" a="1"/>
  <c r="V1214" i="8" s="1"/>
  <c r="Q1387" i="8"/>
  <c r="V1387" i="8" s="1" a="1"/>
  <c r="V1387" i="8" s="1"/>
  <c r="Q1451" i="8"/>
  <c r="V1451" i="8" s="1" a="1"/>
  <c r="V1451" i="8" s="1"/>
  <c r="Q393" i="8"/>
  <c r="V393" i="8" s="1" a="1"/>
  <c r="V393" i="8" s="1"/>
  <c r="Q511" i="8"/>
  <c r="V511" i="8" s="1" a="1"/>
  <c r="V511" i="8" s="1"/>
  <c r="Q857" i="8"/>
  <c r="V857" i="8" s="1" a="1"/>
  <c r="V857" i="8" s="1"/>
  <c r="Q452" i="8"/>
  <c r="V452" i="8" s="1" a="1"/>
  <c r="V452" i="8" s="1"/>
  <c r="Q1417" i="8"/>
  <c r="V1417" i="8" s="1" a="1"/>
  <c r="V1417" i="8" s="1"/>
  <c r="Q568" i="8"/>
  <c r="V568" i="8" s="1" a="1"/>
  <c r="V568" i="8" s="1"/>
  <c r="Q1030" i="8"/>
  <c r="V1030" i="8" s="1" a="1"/>
  <c r="V1030" i="8" s="1"/>
  <c r="Q837" i="8"/>
  <c r="V837" i="8" s="1" a="1"/>
  <c r="V837" i="8" s="1"/>
  <c r="Q1349" i="8"/>
  <c r="V1349" i="8" s="1" a="1"/>
  <c r="V1349" i="8" s="1"/>
  <c r="Q771" i="19"/>
  <c r="R771" i="19" s="1"/>
  <c r="S771" i="19" s="1"/>
  <c r="S770" i="8" s="1"/>
  <c r="Q552" i="8"/>
  <c r="V552" i="8" s="1" a="1"/>
  <c r="V552" i="8" s="1"/>
  <c r="Q520" i="8"/>
  <c r="V520" i="8" s="1" a="1"/>
  <c r="V520" i="8" s="1"/>
  <c r="Q1013" i="19"/>
  <c r="R1013" i="19" s="1"/>
  <c r="S1013" i="19" s="1"/>
  <c r="S1012" i="8" s="1"/>
  <c r="Q1182" i="8"/>
  <c r="V1182" i="8" s="1" a="1"/>
  <c r="V1182" i="8" s="1"/>
  <c r="Q608" i="19"/>
  <c r="R608" i="19" s="1"/>
  <c r="R286" i="8" s="1"/>
  <c r="Q1591" i="19"/>
  <c r="R1591" i="19" s="1"/>
  <c r="S1591" i="19" s="1"/>
  <c r="S1590" i="8" s="1"/>
  <c r="Q1365" i="8"/>
  <c r="V1365" i="8" s="1" a="1"/>
  <c r="V1365" i="8" s="1"/>
  <c r="Q1592" i="19"/>
  <c r="R1592" i="19" s="1"/>
  <c r="R1591" i="8" s="1"/>
  <c r="Q902" i="8"/>
  <c r="V902" i="8" s="1" a="1"/>
  <c r="V902" i="8" s="1"/>
  <c r="Q1064" i="8"/>
  <c r="V1064" i="8" s="1" a="1"/>
  <c r="V1064" i="8" s="1"/>
  <c r="Q1157" i="8"/>
  <c r="V1157" i="8" s="1" a="1"/>
  <c r="V1157" i="8" s="1"/>
  <c r="Q274" i="8"/>
  <c r="V274" i="8" s="1" a="1"/>
  <c r="V274" i="8" s="1"/>
  <c r="R1062" i="8"/>
  <c r="Q1542" i="19"/>
  <c r="R1542" i="19" s="1"/>
  <c r="R1541" i="8" s="1"/>
  <c r="Q790" i="19"/>
  <c r="R790" i="19" s="1"/>
  <c r="R789" i="8" s="1"/>
  <c r="Q860" i="8"/>
  <c r="V860" i="8" s="1" a="1"/>
  <c r="V860" i="8" s="1"/>
  <c r="Q1062" i="8"/>
  <c r="V1062" i="8" s="1" a="1"/>
  <c r="V1062" i="8" s="1"/>
  <c r="Q1337" i="8"/>
  <c r="V1337" i="8" s="1" a="1"/>
  <c r="V1337" i="8" s="1"/>
  <c r="Q241" i="8"/>
  <c r="V241" i="8" s="1" a="1"/>
  <c r="V241" i="8" s="1"/>
  <c r="Q1146" i="19"/>
  <c r="R1146" i="19" s="1"/>
  <c r="R1145" i="8" s="1"/>
  <c r="Q705" i="8"/>
  <c r="V705" i="8" s="1" a="1"/>
  <c r="V705" i="8" s="1"/>
  <c r="Q374" i="8"/>
  <c r="V374" i="8" s="1" a="1"/>
  <c r="V374" i="8" s="1"/>
  <c r="Q495" i="8"/>
  <c r="V495" i="8" s="1" a="1"/>
  <c r="V495" i="8" s="1"/>
  <c r="Q1361" i="8"/>
  <c r="V1361" i="8" s="1" a="1"/>
  <c r="V1361" i="8" s="1"/>
  <c r="S1362" i="19"/>
  <c r="S1361" i="8" s="1"/>
  <c r="Q1296" i="8"/>
  <c r="V1296" i="8" s="1" a="1"/>
  <c r="V1296" i="8" s="1"/>
  <c r="Q1493" i="8"/>
  <c r="V1493" i="8" s="1" a="1"/>
  <c r="V1493" i="8" s="1"/>
  <c r="Q217" i="8"/>
  <c r="V217" i="8" s="1" a="1"/>
  <c r="V217" i="8" s="1"/>
  <c r="Q575" i="8"/>
  <c r="V575" i="8" s="1" a="1"/>
  <c r="V575" i="8" s="1"/>
  <c r="Q1155" i="8"/>
  <c r="V1155" i="8" s="1" a="1"/>
  <c r="V1155" i="8" s="1"/>
  <c r="Q1542" i="8"/>
  <c r="V1542" i="8" s="1" a="1"/>
  <c r="V1542" i="8" s="1"/>
  <c r="Q801" i="8"/>
  <c r="V801" i="8" s="1" a="1"/>
  <c r="V801" i="8" s="1"/>
  <c r="Q641" i="8"/>
  <c r="V641" i="8" s="1" a="1"/>
  <c r="V641" i="8" s="1"/>
  <c r="Q1357" i="8"/>
  <c r="V1357" i="8" s="1" a="1"/>
  <c r="V1357" i="8" s="1"/>
  <c r="Q720" i="8"/>
  <c r="V720" i="8" s="1" a="1"/>
  <c r="V720" i="8" s="1"/>
  <c r="Q390" i="8"/>
  <c r="V390" i="8" s="1" a="1"/>
  <c r="V390" i="8" s="1"/>
  <c r="Q1170" i="8"/>
  <c r="V1170" i="8" s="1" a="1"/>
  <c r="V1170" i="8" s="1"/>
  <c r="Q657" i="19"/>
  <c r="R657" i="19" s="1"/>
  <c r="S657" i="19" s="1"/>
  <c r="S656" i="8" s="1"/>
  <c r="Q854" i="8"/>
  <c r="V854" i="8" s="1" a="1"/>
  <c r="V854" i="8" s="1"/>
  <c r="Q876" i="8"/>
  <c r="V876" i="8" s="1" a="1"/>
  <c r="V876" i="8" s="1"/>
  <c r="Q580" i="8"/>
  <c r="V580" i="8" s="1" a="1"/>
  <c r="V580" i="8" s="1"/>
  <c r="Q914" i="8"/>
  <c r="V914" i="8" s="1" a="1"/>
  <c r="V914" i="8" s="1"/>
  <c r="Q1522" i="8"/>
  <c r="V1522" i="8" s="1" a="1"/>
  <c r="V1522" i="8" s="1"/>
  <c r="Q787" i="19"/>
  <c r="R787" i="19" s="1"/>
  <c r="S787" i="19" s="1"/>
  <c r="S786" i="8" s="1"/>
  <c r="Q921" i="8"/>
  <c r="V921" i="8" s="1" a="1"/>
  <c r="V921" i="8" s="1"/>
  <c r="Q1135" i="8"/>
  <c r="V1135" i="8" s="1" a="1"/>
  <c r="V1135" i="8" s="1"/>
  <c r="Q1006" i="8"/>
  <c r="V1006" i="8" s="1" a="1"/>
  <c r="V1006" i="8" s="1"/>
  <c r="Q946" i="8"/>
  <c r="V946" i="8" s="1" a="1"/>
  <c r="V946" i="8" s="1"/>
  <c r="Q564" i="8"/>
  <c r="V564" i="8" s="1" a="1"/>
  <c r="V564" i="8" s="1"/>
  <c r="Q710" i="8"/>
  <c r="V710" i="8" s="1" a="1"/>
  <c r="V710" i="8" s="1"/>
  <c r="Q724" i="8"/>
  <c r="V724" i="8" s="1" a="1"/>
  <c r="V724" i="8" s="1"/>
  <c r="Q810" i="8"/>
  <c r="V810" i="8" s="1" a="1"/>
  <c r="V810" i="8" s="1"/>
  <c r="Q1603" i="8"/>
  <c r="V1603" i="8" s="1" a="1"/>
  <c r="V1603" i="8" s="1"/>
  <c r="Q965" i="19"/>
  <c r="R965" i="19" s="1"/>
  <c r="R964" i="8" s="1"/>
  <c r="Q827" i="19"/>
  <c r="R827" i="19" s="1"/>
  <c r="S827" i="19" s="1"/>
  <c r="S826" i="8" s="1"/>
  <c r="Q233" i="8"/>
  <c r="V233" i="8" s="1" a="1"/>
  <c r="V233" i="8" s="1"/>
  <c r="Q291" i="8"/>
  <c r="V291" i="8" s="1" a="1"/>
  <c r="V291" i="8" s="1"/>
  <c r="Q583" i="8"/>
  <c r="V583" i="8" s="1" a="1"/>
  <c r="V583" i="8" s="1"/>
  <c r="Q769" i="8"/>
  <c r="V769" i="8" s="1" a="1"/>
  <c r="V769" i="8" s="1"/>
  <c r="Q470" i="8"/>
  <c r="V470" i="8" s="1" a="1"/>
  <c r="V470" i="8" s="1"/>
  <c r="Q1257" i="8"/>
  <c r="V1257" i="8" s="1" a="1"/>
  <c r="V1257" i="8" s="1"/>
  <c r="Q1120" i="19"/>
  <c r="R1120" i="19" s="1"/>
  <c r="S1120" i="19" s="1"/>
  <c r="S1119" i="8" s="1"/>
  <c r="Q1455" i="19"/>
  <c r="R1455" i="19" s="1"/>
  <c r="S1455" i="19" s="1"/>
  <c r="S1454" i="8" s="1"/>
  <c r="Q1488" i="19"/>
  <c r="R1488" i="19" s="1"/>
  <c r="R1487" i="8" s="1"/>
  <c r="Q1240" i="8"/>
  <c r="V1240" i="8" s="1" a="1"/>
  <c r="V1240" i="8" s="1"/>
  <c r="Q1161" i="8"/>
  <c r="V1161" i="8" s="1" a="1"/>
  <c r="V1161" i="8" s="1"/>
  <c r="Q667" i="8"/>
  <c r="V667" i="8" s="1" a="1"/>
  <c r="V667" i="8" s="1"/>
  <c r="Q679" i="19"/>
  <c r="R679" i="19" s="1"/>
  <c r="S679" i="19" s="1"/>
  <c r="S678" i="8" s="1"/>
  <c r="Q849" i="8"/>
  <c r="V849" i="8" s="1" a="1"/>
  <c r="V849" i="8" s="1"/>
  <c r="Q905" i="8"/>
  <c r="V905" i="8" s="1" a="1"/>
  <c r="V905" i="8" s="1"/>
  <c r="Q447" i="8"/>
  <c r="V447" i="8" s="1" a="1"/>
  <c r="V447" i="8" s="1"/>
  <c r="Q574" i="19"/>
  <c r="R574" i="19" s="1"/>
  <c r="S574" i="19" s="1"/>
  <c r="S573" i="8" s="1"/>
  <c r="Q734" i="8"/>
  <c r="V734" i="8" s="1" a="1"/>
  <c r="V734" i="8" s="1"/>
  <c r="Q1288" i="8"/>
  <c r="V1288" i="8" s="1" a="1"/>
  <c r="V1288" i="8" s="1"/>
  <c r="Q944" i="8"/>
  <c r="V944" i="8" s="1" a="1"/>
  <c r="V944" i="8" s="1"/>
  <c r="Q1523" i="8"/>
  <c r="V1523" i="8" s="1" a="1"/>
  <c r="V1523" i="8" s="1"/>
  <c r="Q730" i="8"/>
  <c r="V730" i="8" s="1" a="1"/>
  <c r="V730" i="8" s="1"/>
  <c r="Q754" i="8"/>
  <c r="V754" i="8" s="1" a="1"/>
  <c r="V754" i="8" s="1"/>
  <c r="Q822" i="19"/>
  <c r="R822" i="19" s="1"/>
  <c r="R821" i="8" s="1"/>
  <c r="Q725" i="8"/>
  <c r="V725" i="8" s="1" a="1"/>
  <c r="V725" i="8" s="1"/>
  <c r="Q796" i="8"/>
  <c r="V796" i="8" s="1" a="1"/>
  <c r="V796" i="8" s="1"/>
  <c r="Q1190" i="8"/>
  <c r="V1190" i="8" s="1" a="1"/>
  <c r="V1190" i="8" s="1"/>
  <c r="Q1040" i="8"/>
  <c r="V1040" i="8" s="1" a="1"/>
  <c r="V1040" i="8" s="1"/>
  <c r="Q1443" i="8"/>
  <c r="V1443" i="8" s="1" a="1"/>
  <c r="V1443" i="8" s="1"/>
  <c r="Q1274" i="8"/>
  <c r="V1274" i="8" s="1" a="1"/>
  <c r="V1274" i="8" s="1"/>
  <c r="Q1368" i="8"/>
  <c r="V1368" i="8" s="1" a="1"/>
  <c r="V1368" i="8" s="1"/>
  <c r="Q1530" i="8"/>
  <c r="V1530" i="8" s="1" a="1"/>
  <c r="V1530" i="8" s="1"/>
  <c r="Q665" i="19"/>
  <c r="R665" i="19" s="1"/>
  <c r="S665" i="19" s="1"/>
  <c r="S664" i="8" s="1"/>
  <c r="Q411" i="8"/>
  <c r="V411" i="8" s="1" a="1"/>
  <c r="V411" i="8" s="1"/>
  <c r="Q1133" i="8"/>
  <c r="V1133" i="8" s="1" a="1"/>
  <c r="V1133" i="8" s="1"/>
  <c r="Q1200" i="8"/>
  <c r="V1200" i="8" s="1" a="1"/>
  <c r="V1200" i="8" s="1"/>
  <c r="Q1293" i="8"/>
  <c r="V1293" i="8" s="1" a="1"/>
  <c r="V1293" i="8" s="1"/>
  <c r="Q1352" i="8"/>
  <c r="V1352" i="8" s="1" a="1"/>
  <c r="V1352" i="8" s="1"/>
  <c r="Q768" i="8"/>
  <c r="V768" i="8" s="1" a="1"/>
  <c r="V768" i="8" s="1"/>
  <c r="Q1042" i="8"/>
  <c r="V1042" i="8" s="1" a="1"/>
  <c r="V1042" i="8" s="1"/>
  <c r="Q1272" i="8"/>
  <c r="V1272" i="8" s="1" a="1"/>
  <c r="V1272" i="8" s="1"/>
  <c r="Q957" i="19"/>
  <c r="R957" i="19" s="1"/>
  <c r="R956" i="8" s="1"/>
  <c r="Q960" i="8"/>
  <c r="V960" i="8" s="1" a="1"/>
  <c r="V960" i="8" s="1"/>
  <c r="Q869" i="8"/>
  <c r="V869" i="8" s="1" a="1"/>
  <c r="V869" i="8" s="1"/>
  <c r="Q891" i="19"/>
  <c r="R891" i="19" s="1"/>
  <c r="S891" i="19" s="1"/>
  <c r="S890" i="8" s="1"/>
  <c r="Q561" i="8"/>
  <c r="V561" i="8" s="1" a="1"/>
  <c r="V561" i="8" s="1"/>
  <c r="Q1245" i="19"/>
  <c r="R1245" i="19" s="1"/>
  <c r="S1245" i="19" s="1"/>
  <c r="S1244" i="8" s="1"/>
  <c r="Q723" i="19"/>
  <c r="R723" i="19" s="1"/>
  <c r="S723" i="19" s="1"/>
  <c r="S722" i="8" s="1"/>
  <c r="Q497" i="19"/>
  <c r="R497" i="19" s="1"/>
  <c r="S497" i="19" s="1"/>
  <c r="S496" i="8" s="1"/>
  <c r="Q1495" i="8"/>
  <c r="V1495" i="8" s="1" a="1"/>
  <c r="V1495" i="8" s="1"/>
  <c r="Q418" i="8"/>
  <c r="V418" i="8" s="1" a="1"/>
  <c r="V418" i="8" s="1"/>
  <c r="Q862" i="8"/>
  <c r="V862" i="8" s="1" a="1"/>
  <c r="V862" i="8" s="1"/>
  <c r="Q635" i="19"/>
  <c r="R635" i="19" s="1"/>
  <c r="S635" i="19" s="1"/>
  <c r="S634" i="8" s="1"/>
  <c r="Q1514" i="8"/>
  <c r="V1514" i="8" s="1" a="1"/>
  <c r="V1514" i="8" s="1"/>
  <c r="Q1316" i="8"/>
  <c r="V1316" i="8" s="1" a="1"/>
  <c r="V1316" i="8" s="1"/>
  <c r="Q1348" i="8"/>
  <c r="V1348" i="8" s="1" a="1"/>
  <c r="V1348" i="8" s="1"/>
  <c r="Q759" i="19"/>
  <c r="R759" i="19" s="1"/>
  <c r="S759" i="19" s="1"/>
  <c r="S758" i="8" s="1"/>
  <c r="Q1483" i="8"/>
  <c r="V1483" i="8" s="1" a="1"/>
  <c r="V1483" i="8" s="1"/>
  <c r="Q1509" i="8"/>
  <c r="V1509" i="8" s="1" a="1"/>
  <c r="V1509" i="8" s="1"/>
  <c r="Q794" i="8"/>
  <c r="V794" i="8" s="1" a="1"/>
  <c r="V794" i="8" s="1"/>
  <c r="Q1558" i="8"/>
  <c r="V1558" i="8" s="1" a="1"/>
  <c r="V1558" i="8" s="1"/>
  <c r="Q646" i="8"/>
  <c r="V646" i="8" s="1" a="1"/>
  <c r="V646" i="8" s="1"/>
  <c r="Q385" i="8"/>
  <c r="V385" i="8" s="1" a="1"/>
  <c r="V385" i="8" s="1"/>
  <c r="Q448" i="8"/>
  <c r="V448" i="8" s="1" a="1"/>
  <c r="V448" i="8" s="1"/>
  <c r="Q828" i="8"/>
  <c r="V828" i="8" s="1" a="1"/>
  <c r="V828" i="8" s="1"/>
  <c r="Q1410" i="19"/>
  <c r="R1410" i="19" s="1"/>
  <c r="Q718" i="8"/>
  <c r="V718" i="8" s="1" a="1"/>
  <c r="V718" i="8" s="1"/>
  <c r="Q215" i="8"/>
  <c r="V215" i="8" s="1" a="1"/>
  <c r="V215" i="8" s="1"/>
  <c r="Q702" i="8"/>
  <c r="V702" i="8" s="1" a="1"/>
  <c r="V702" i="8" s="1"/>
  <c r="Q1100" i="8"/>
  <c r="V1100" i="8" s="1" a="1"/>
  <c r="V1100" i="8" s="1"/>
  <c r="Q1151" i="8"/>
  <c r="V1151" i="8" s="1" a="1"/>
  <c r="V1151" i="8" s="1"/>
  <c r="Q1336" i="8"/>
  <c r="V1336" i="8" s="1" a="1"/>
  <c r="V1336" i="8" s="1"/>
  <c r="Q1570" i="8"/>
  <c r="V1570" i="8" s="1" a="1"/>
  <c r="V1570" i="8" s="1"/>
  <c r="Q159" i="8"/>
  <c r="V159" i="8" s="1" a="1"/>
  <c r="V159" i="8" s="1"/>
  <c r="Q874" i="8"/>
  <c r="V874" i="8" s="1" a="1"/>
  <c r="V874" i="8" s="1"/>
  <c r="Q1548" i="8"/>
  <c r="V1548" i="8" s="1" a="1"/>
  <c r="V1548" i="8" s="1"/>
  <c r="Q856" i="8"/>
  <c r="V856" i="8" s="1" a="1"/>
  <c r="V856" i="8" s="1"/>
  <c r="Q888" i="8"/>
  <c r="V888" i="8" s="1" a="1"/>
  <c r="V888" i="8" s="1"/>
  <c r="Q850" i="8"/>
  <c r="V850" i="8" s="1" a="1"/>
  <c r="V850" i="8" s="1"/>
  <c r="Q851" i="19"/>
  <c r="R851" i="19" s="1"/>
  <c r="Q1285" i="8"/>
  <c r="V1285" i="8" s="1" a="1"/>
  <c r="V1285" i="8" s="1"/>
  <c r="Q1147" i="8"/>
  <c r="V1147" i="8" s="1" a="1"/>
  <c r="V1147" i="8" s="1"/>
  <c r="Q1308" i="8"/>
  <c r="V1308" i="8" s="1" a="1"/>
  <c r="V1308" i="8" s="1"/>
  <c r="Q1498" i="8"/>
  <c r="V1498" i="8" s="1" a="1"/>
  <c r="V1498" i="8" s="1"/>
  <c r="Q680" i="8"/>
  <c r="V680" i="8" s="1" a="1"/>
  <c r="V680" i="8" s="1"/>
  <c r="Q1499" i="8"/>
  <c r="V1499" i="8" s="1" a="1"/>
  <c r="V1499" i="8" s="1"/>
  <c r="Q1339" i="8"/>
  <c r="V1339" i="8" s="1" a="1"/>
  <c r="V1339" i="8" s="1"/>
  <c r="Q1344" i="8"/>
  <c r="V1344" i="8" s="1" a="1"/>
  <c r="V1344" i="8" s="1"/>
  <c r="Q1607" i="8"/>
  <c r="V1607" i="8" s="1" a="1"/>
  <c r="V1607" i="8" s="1"/>
  <c r="Q760" i="8"/>
  <c r="V760" i="8" s="1" a="1"/>
  <c r="V760" i="8" s="1"/>
  <c r="Q814" i="8"/>
  <c r="V814" i="8" s="1" a="1"/>
  <c r="V814" i="8" s="1"/>
  <c r="Q629" i="8"/>
  <c r="V629" i="8" s="1" a="1"/>
  <c r="V629" i="8" s="1"/>
  <c r="Q454" i="8"/>
  <c r="V454" i="8" s="1" a="1"/>
  <c r="V454" i="8" s="1"/>
  <c r="Q517" i="8"/>
  <c r="V517" i="8" s="1" a="1"/>
  <c r="V517" i="8" s="1"/>
  <c r="Q1088" i="8"/>
  <c r="V1088" i="8" s="1" a="1"/>
  <c r="V1088" i="8" s="1"/>
  <c r="Q1089" i="19"/>
  <c r="R1089" i="19" s="1"/>
  <c r="Q1213" i="8"/>
  <c r="V1213" i="8" s="1" a="1"/>
  <c r="V1213" i="8" s="1"/>
  <c r="Q1299" i="8"/>
  <c r="V1299" i="8" s="1" a="1"/>
  <c r="V1299" i="8" s="1"/>
  <c r="Q240" i="8"/>
  <c r="V240" i="8" s="1" a="1"/>
  <c r="V240" i="8" s="1"/>
  <c r="Q969" i="8"/>
  <c r="V969" i="8" s="1" a="1"/>
  <c r="V969" i="8" s="1"/>
  <c r="Q415" i="8"/>
  <c r="V415" i="8" s="1" a="1"/>
  <c r="V415" i="8" s="1"/>
  <c r="Q951" i="8"/>
  <c r="V951" i="8" s="1" a="1"/>
  <c r="V951" i="8" s="1"/>
  <c r="Q1459" i="8"/>
  <c r="V1459" i="8" s="1" a="1"/>
  <c r="V1459" i="8" s="1"/>
  <c r="Q1576" i="8"/>
  <c r="V1576" i="8" s="1" a="1"/>
  <c r="V1576" i="8" s="1"/>
  <c r="Q868" i="8"/>
  <c r="V868" i="8" s="1" a="1"/>
  <c r="V868" i="8" s="1"/>
  <c r="Q757" i="8"/>
  <c r="V757" i="8" s="1" a="1"/>
  <c r="V757" i="8" s="1"/>
  <c r="Q468" i="8"/>
  <c r="V468" i="8" s="1" a="1"/>
  <c r="V468" i="8" s="1"/>
  <c r="Q1077" i="19"/>
  <c r="R1077" i="19" s="1"/>
  <c r="Q1076" i="8"/>
  <c r="V1076" i="8" s="1" a="1"/>
  <c r="V1076" i="8" s="1"/>
  <c r="Q842" i="8"/>
  <c r="V842" i="8" s="1" a="1"/>
  <c r="V842" i="8" s="1"/>
  <c r="Q843" i="19"/>
  <c r="R843" i="19" s="1"/>
  <c r="Q898" i="8"/>
  <c r="V898" i="8" s="1" a="1"/>
  <c r="V898" i="8" s="1"/>
  <c r="Q899" i="19"/>
  <c r="R899" i="19" s="1"/>
  <c r="Q1296" i="19"/>
  <c r="R1296" i="19" s="1"/>
  <c r="S1296" i="19" s="1"/>
  <c r="S1295" i="8" s="1"/>
  <c r="Q1295" i="8"/>
  <c r="V1295" i="8" s="1" a="1"/>
  <c r="V1295" i="8" s="1"/>
  <c r="Q1329" i="8"/>
  <c r="V1329" i="8" s="1" a="1"/>
  <c r="V1329" i="8" s="1"/>
  <c r="Q1330" i="19"/>
  <c r="R1330" i="19" s="1"/>
  <c r="Q516" i="8"/>
  <c r="V516" i="8" s="1" a="1"/>
  <c r="V516" i="8" s="1"/>
  <c r="Q517" i="19"/>
  <c r="R517" i="19" s="1"/>
  <c r="S517" i="19" s="1"/>
  <c r="S516" i="8" s="1"/>
  <c r="S1169" i="19"/>
  <c r="S1168" i="8" s="1"/>
  <c r="R1168" i="8"/>
  <c r="S521" i="19"/>
  <c r="S520" i="8" s="1"/>
  <c r="R520" i="8"/>
  <c r="S726" i="19"/>
  <c r="S725" i="8" s="1"/>
  <c r="R725" i="8"/>
  <c r="S1202" i="19"/>
  <c r="S1201" i="8" s="1"/>
  <c r="R1201" i="8"/>
  <c r="S1230" i="19"/>
  <c r="S1229" i="8" s="1"/>
  <c r="R1229" i="8"/>
  <c r="S802" i="19"/>
  <c r="S801" i="8" s="1"/>
  <c r="R801" i="8"/>
  <c r="S684" i="19"/>
  <c r="S683" i="8" s="1"/>
  <c r="R683" i="8"/>
  <c r="S738" i="19"/>
  <c r="S737" i="8" s="1"/>
  <c r="R737" i="8"/>
  <c r="S818" i="19"/>
  <c r="S817" i="8" s="1"/>
  <c r="R817" i="8"/>
  <c r="S961" i="19"/>
  <c r="S960" i="8" s="1"/>
  <c r="R960" i="8"/>
  <c r="S755" i="19"/>
  <c r="S754" i="8" s="1"/>
  <c r="R754" i="8"/>
  <c r="S581" i="19"/>
  <c r="S580" i="8" s="1"/>
  <c r="R580" i="8"/>
  <c r="S386" i="19"/>
  <c r="S385" i="8" s="1"/>
  <c r="R385" i="8"/>
  <c r="S407" i="19"/>
  <c r="S406" i="8" s="1"/>
  <c r="R406" i="8"/>
  <c r="S512" i="19"/>
  <c r="S511" i="8" s="1"/>
  <c r="R511" i="8"/>
  <c r="S419" i="19"/>
  <c r="S418" i="8" s="1"/>
  <c r="R418" i="8"/>
  <c r="S797" i="19"/>
  <c r="S796" i="8" s="1"/>
  <c r="R796" i="8"/>
  <c r="S1333" i="19"/>
  <c r="S1332" i="8" s="1"/>
  <c r="R1332" i="8"/>
  <c r="S1483" i="19"/>
  <c r="S1482" i="8" s="1"/>
  <c r="R1482" i="8"/>
  <c r="S944" i="19"/>
  <c r="S241" i="8" s="1"/>
  <c r="R241" i="8"/>
  <c r="S1134" i="19"/>
  <c r="S1133" i="8" s="1"/>
  <c r="R1133" i="8"/>
  <c r="S1297" i="19"/>
  <c r="S1296" i="8" s="1"/>
  <c r="R1296" i="8"/>
  <c r="S1309" i="19"/>
  <c r="S1308" i="8" s="1"/>
  <c r="R1308" i="8"/>
  <c r="S1369" i="19"/>
  <c r="S1368" i="8" s="1"/>
  <c r="R1368" i="8"/>
  <c r="S672" i="19"/>
  <c r="S671" i="8" s="1"/>
  <c r="R671" i="8"/>
  <c r="S1278" i="19"/>
  <c r="S1277" i="8" s="1"/>
  <c r="R1277" i="8"/>
  <c r="S1345" i="19"/>
  <c r="S1344" i="8" s="1"/>
  <c r="R1344" i="8"/>
  <c r="Q393" i="19"/>
  <c r="R393" i="19" s="1"/>
  <c r="Q418" i="19"/>
  <c r="R418" i="19" s="1"/>
  <c r="Q417" i="8"/>
  <c r="V417" i="8" s="1" a="1"/>
  <c r="V417" i="8" s="1"/>
  <c r="S496" i="19"/>
  <c r="S495" i="8" s="1"/>
  <c r="R495" i="8"/>
  <c r="Q587" i="19"/>
  <c r="R587" i="19" s="1"/>
  <c r="Q586" i="8"/>
  <c r="V586" i="8" s="1" a="1"/>
  <c r="V586" i="8" s="1"/>
  <c r="Q527" i="19"/>
  <c r="R527" i="19" s="1"/>
  <c r="Q181" i="8"/>
  <c r="V181" i="8" s="1" a="1"/>
  <c r="V181" i="8" s="1"/>
  <c r="Q515" i="19"/>
  <c r="R515" i="19" s="1"/>
  <c r="Q514" i="8"/>
  <c r="V514" i="8" s="1" a="1"/>
  <c r="V514" i="8" s="1"/>
  <c r="Q624" i="19"/>
  <c r="R624" i="19" s="1"/>
  <c r="Q623" i="8"/>
  <c r="V623" i="8" s="1" a="1"/>
  <c r="V623" i="8" s="1"/>
  <c r="Q640" i="19"/>
  <c r="R640" i="19" s="1"/>
  <c r="Q639" i="8"/>
  <c r="V639" i="8" s="1" a="1"/>
  <c r="V639" i="8" s="1"/>
  <c r="Q381" i="19"/>
  <c r="R381" i="19" s="1"/>
  <c r="Q535" i="19"/>
  <c r="R535" i="19" s="1"/>
  <c r="Q190" i="8"/>
  <c r="V190" i="8" s="1" a="1"/>
  <c r="V190" i="8" s="1"/>
  <c r="Q377" i="19"/>
  <c r="R377" i="19" s="1"/>
  <c r="Q740" i="19"/>
  <c r="R740" i="19" s="1"/>
  <c r="Q739" i="8"/>
  <c r="V739" i="8" s="1" a="1"/>
  <c r="V739" i="8" s="1"/>
  <c r="Q717" i="19"/>
  <c r="R717" i="19" s="1"/>
  <c r="Q716" i="8"/>
  <c r="V716" i="8" s="1" a="1"/>
  <c r="V716" i="8" s="1"/>
  <c r="Q709" i="19"/>
  <c r="R709" i="19" s="1"/>
  <c r="Q708" i="8"/>
  <c r="V708" i="8" s="1" a="1"/>
  <c r="V708" i="8" s="1"/>
  <c r="Q876" i="19"/>
  <c r="R876" i="19" s="1"/>
  <c r="Q875" i="8"/>
  <c r="V875" i="8" s="1" a="1"/>
  <c r="V875" i="8" s="1"/>
  <c r="Q900" i="19"/>
  <c r="R900" i="19" s="1"/>
  <c r="Q899" i="8"/>
  <c r="V899" i="8" s="1" a="1"/>
  <c r="V899" i="8" s="1"/>
  <c r="S966" i="19"/>
  <c r="S390" i="8" s="1"/>
  <c r="R390" i="8"/>
  <c r="Q996" i="19"/>
  <c r="R996" i="19" s="1"/>
  <c r="Q995" i="8"/>
  <c r="V995" i="8" s="1" a="1"/>
  <c r="V995" i="8" s="1"/>
  <c r="Q1042" i="19"/>
  <c r="R1042" i="19" s="1"/>
  <c r="Q1041" i="8"/>
  <c r="V1041" i="8" s="1" a="1"/>
  <c r="V1041" i="8" s="1"/>
  <c r="Q1076" i="19"/>
  <c r="R1076" i="19" s="1"/>
  <c r="Q1075" i="8"/>
  <c r="V1075" i="8" s="1" a="1"/>
  <c r="V1075" i="8" s="1"/>
  <c r="Q1133" i="19"/>
  <c r="R1133" i="19" s="1"/>
  <c r="Q1132" i="8"/>
  <c r="V1132" i="8" s="1" a="1"/>
  <c r="V1132" i="8" s="1"/>
  <c r="Q1216" i="19"/>
  <c r="R1216" i="19" s="1"/>
  <c r="Q1215" i="8"/>
  <c r="V1215" i="8" s="1" a="1"/>
  <c r="V1215" i="8" s="1"/>
  <c r="Q1220" i="19"/>
  <c r="R1220" i="19" s="1"/>
  <c r="Q1219" i="8"/>
  <c r="V1219" i="8" s="1" a="1"/>
  <c r="V1219" i="8" s="1"/>
  <c r="Q1282" i="19"/>
  <c r="R1282" i="19" s="1"/>
  <c r="Q1281" i="8"/>
  <c r="V1281" i="8" s="1" a="1"/>
  <c r="V1281" i="8" s="1"/>
  <c r="Q1375" i="19"/>
  <c r="R1375" i="19" s="1"/>
  <c r="Q1374" i="8"/>
  <c r="V1374" i="8" s="1" a="1"/>
  <c r="V1374" i="8" s="1"/>
  <c r="Q1335" i="19"/>
  <c r="R1335" i="19" s="1"/>
  <c r="Q1334" i="8"/>
  <c r="V1334" i="8" s="1" a="1"/>
  <c r="V1334" i="8" s="1"/>
  <c r="Q1221" i="19"/>
  <c r="R1221" i="19" s="1"/>
  <c r="Q1220" i="8"/>
  <c r="V1220" i="8" s="1" a="1"/>
  <c r="V1220" i="8" s="1"/>
  <c r="Q1351" i="19"/>
  <c r="R1351" i="19" s="1"/>
  <c r="Q1350" i="8"/>
  <c r="V1350" i="8" s="1" a="1"/>
  <c r="V1350" i="8" s="1"/>
  <c r="Q1570" i="19"/>
  <c r="R1570" i="19" s="1"/>
  <c r="Q1569" i="8"/>
  <c r="V1569" i="8" s="1" a="1"/>
  <c r="V1569" i="8" s="1"/>
  <c r="S1604" i="19"/>
  <c r="S1603" i="8" s="1"/>
  <c r="R1603" i="8"/>
  <c r="Q1501" i="19"/>
  <c r="R1501" i="19" s="1"/>
  <c r="Q1500" i="8"/>
  <c r="V1500" i="8" s="1" a="1"/>
  <c r="V1500" i="8" s="1"/>
  <c r="Q1427" i="19"/>
  <c r="R1427" i="19" s="1"/>
  <c r="Q1426" i="8"/>
  <c r="V1426" i="8" s="1" a="1"/>
  <c r="V1426" i="8" s="1"/>
  <c r="Q1306" i="19"/>
  <c r="R1306" i="19" s="1"/>
  <c r="Q1305" i="8"/>
  <c r="V1305" i="8" s="1" a="1"/>
  <c r="V1305" i="8" s="1"/>
  <c r="S1005" i="19"/>
  <c r="S1004" i="8" s="1"/>
  <c r="R1004" i="8"/>
  <c r="Q1207" i="19"/>
  <c r="R1207" i="19" s="1"/>
  <c r="Q1206" i="8"/>
  <c r="V1206" i="8" s="1" a="1"/>
  <c r="V1206" i="8" s="1"/>
  <c r="Q950" i="19"/>
  <c r="R950" i="19" s="1"/>
  <c r="Q949" i="8"/>
  <c r="V949" i="8" s="1" a="1"/>
  <c r="V949" i="8" s="1"/>
  <c r="Q1069" i="19"/>
  <c r="R1069" i="19" s="1"/>
  <c r="Q1068" i="8"/>
  <c r="V1068" i="8" s="1" a="1"/>
  <c r="V1068" i="8" s="1"/>
  <c r="Q1334" i="19"/>
  <c r="R1334" i="19" s="1"/>
  <c r="Q1333" i="8"/>
  <c r="V1333" i="8" s="1" a="1"/>
  <c r="V1333" i="8" s="1"/>
  <c r="Q956" i="19"/>
  <c r="R956" i="19" s="1"/>
  <c r="Q955" i="8"/>
  <c r="V955" i="8" s="1" a="1"/>
  <c r="V955" i="8" s="1"/>
  <c r="Q1110" i="19"/>
  <c r="R1110" i="19" s="1"/>
  <c r="Q1109" i="8"/>
  <c r="V1109" i="8" s="1" a="1"/>
  <c r="V1109" i="8" s="1"/>
  <c r="S1217" i="19"/>
  <c r="S1216" i="8" s="1"/>
  <c r="R1216" i="8"/>
  <c r="Q1047" i="19"/>
  <c r="R1047" i="19" s="1"/>
  <c r="Q1046" i="8"/>
  <c r="V1046" i="8" s="1" a="1"/>
  <c r="V1046" i="8" s="1"/>
  <c r="S1277" i="19"/>
  <c r="S1276" i="8" s="1"/>
  <c r="R1276" i="8"/>
  <c r="Q1607" i="19"/>
  <c r="R1607" i="19" s="1"/>
  <c r="Q1606" i="8"/>
  <c r="V1606" i="8" s="1" a="1"/>
  <c r="V1606" i="8" s="1"/>
  <c r="Q663" i="19"/>
  <c r="R663" i="19" s="1"/>
  <c r="Q662" i="8"/>
  <c r="V662" i="8" s="1" a="1"/>
  <c r="V662" i="8" s="1"/>
  <c r="S697" i="19"/>
  <c r="S696" i="8" s="1"/>
  <c r="R696" i="8"/>
  <c r="Q821" i="19"/>
  <c r="R821" i="19" s="1"/>
  <c r="Q820" i="8"/>
  <c r="V820" i="8" s="1" a="1"/>
  <c r="V820" i="8" s="1"/>
  <c r="Q1539" i="19"/>
  <c r="R1539" i="19" s="1"/>
  <c r="Q1538" i="8"/>
  <c r="V1538" i="8" s="1" a="1"/>
  <c r="V1538" i="8" s="1"/>
  <c r="S1569" i="19"/>
  <c r="S1568" i="8" s="1"/>
  <c r="R1568" i="8"/>
  <c r="Q841" i="19"/>
  <c r="R841" i="19" s="1"/>
  <c r="Q840" i="8"/>
  <c r="V840" i="8" s="1" a="1"/>
  <c r="V840" i="8" s="1"/>
  <c r="Q930" i="19"/>
  <c r="R930" i="19" s="1"/>
  <c r="Q378" i="8"/>
  <c r="V378" i="8" s="1" a="1"/>
  <c r="V378" i="8" s="1"/>
  <c r="Q524" i="19"/>
  <c r="R524" i="19" s="1"/>
  <c r="Q634" i="19"/>
  <c r="R634" i="19" s="1"/>
  <c r="Q633" i="8"/>
  <c r="V633" i="8" s="1" a="1"/>
  <c r="V633" i="8" s="1"/>
  <c r="S1231" i="19"/>
  <c r="S1230" i="8" s="1"/>
  <c r="R1230" i="8"/>
  <c r="S951" i="19"/>
  <c r="S950" i="8" s="1"/>
  <c r="R950" i="8"/>
  <c r="Q918" i="19"/>
  <c r="R918" i="19" s="1"/>
  <c r="Q917" i="8"/>
  <c r="V917" i="8" s="1" a="1"/>
  <c r="V917" i="8" s="1"/>
  <c r="Q420" i="19"/>
  <c r="R420" i="19" s="1"/>
  <c r="Q419" i="8"/>
  <c r="V419" i="8" s="1" a="1"/>
  <c r="V419" i="8" s="1"/>
  <c r="Q626" i="19"/>
  <c r="R626" i="19" s="1"/>
  <c r="Q625" i="8"/>
  <c r="V625" i="8" s="1" a="1"/>
  <c r="V625" i="8" s="1"/>
  <c r="Q482" i="19"/>
  <c r="R482" i="19" s="1"/>
  <c r="Q481" i="8"/>
  <c r="V481" i="8" s="1" a="1"/>
  <c r="V481" i="8" s="1"/>
  <c r="Q523" i="19"/>
  <c r="R523" i="19" s="1"/>
  <c r="R179" i="8" s="1"/>
  <c r="Q179" i="8"/>
  <c r="V179" i="8" s="1" a="1"/>
  <c r="V179" i="8" s="1"/>
  <c r="S553" i="19"/>
  <c r="S552" i="8" s="1"/>
  <c r="R552" i="8"/>
  <c r="S471" i="19"/>
  <c r="S470" i="8" s="1"/>
  <c r="R470" i="8"/>
  <c r="Q632" i="19"/>
  <c r="R632" i="19" s="1"/>
  <c r="Q631" i="8"/>
  <c r="V631" i="8" s="1" a="1"/>
  <c r="V631" i="8" s="1"/>
  <c r="Q561" i="19"/>
  <c r="R561" i="19" s="1"/>
  <c r="Q560" i="8"/>
  <c r="V560" i="8" s="1" a="1"/>
  <c r="V560" i="8" s="1"/>
  <c r="Q567" i="19"/>
  <c r="R567" i="19" s="1"/>
  <c r="Q566" i="8"/>
  <c r="V566" i="8" s="1" a="1"/>
  <c r="V566" i="8" s="1"/>
  <c r="Q625" i="19"/>
  <c r="R625" i="19" s="1"/>
  <c r="Q624" i="8"/>
  <c r="V624" i="8" s="1" a="1"/>
  <c r="V624" i="8" s="1"/>
  <c r="Q654" i="19"/>
  <c r="R654" i="19" s="1"/>
  <c r="Q653" i="8"/>
  <c r="V653" i="8" s="1" a="1"/>
  <c r="V653" i="8" s="1"/>
  <c r="S834" i="19"/>
  <c r="S833" i="8" s="1"/>
  <c r="R833" i="8"/>
  <c r="Q736" i="19"/>
  <c r="R736" i="19" s="1"/>
  <c r="Q735" i="8"/>
  <c r="V735" i="8" s="1" a="1"/>
  <c r="V735" i="8" s="1"/>
  <c r="Q780" i="19"/>
  <c r="R780" i="19" s="1"/>
  <c r="Q779" i="8"/>
  <c r="V779" i="8" s="1" a="1"/>
  <c r="V779" i="8" s="1"/>
  <c r="Q698" i="19"/>
  <c r="R698" i="19" s="1"/>
  <c r="Q697" i="8"/>
  <c r="V697" i="8" s="1" a="1"/>
  <c r="V697" i="8" s="1"/>
  <c r="Q729" i="19"/>
  <c r="R729" i="19" s="1"/>
  <c r="Q728" i="8"/>
  <c r="V728" i="8" s="1" a="1"/>
  <c r="V728" i="8" s="1"/>
  <c r="Q798" i="19"/>
  <c r="R798" i="19" s="1"/>
  <c r="Q797" i="8"/>
  <c r="V797" i="8" s="1" a="1"/>
  <c r="V797" i="8" s="1"/>
  <c r="Q741" i="19"/>
  <c r="R741" i="19" s="1"/>
  <c r="Q740" i="8"/>
  <c r="V740" i="8" s="1" a="1"/>
  <c r="V740" i="8" s="1"/>
  <c r="S948" i="19"/>
  <c r="S947" i="8" s="1"/>
  <c r="R947" i="8"/>
  <c r="Q1016" i="19"/>
  <c r="R1016" i="19" s="1"/>
  <c r="Q1015" i="8"/>
  <c r="V1015" i="8" s="1" a="1"/>
  <c r="V1015" i="8" s="1"/>
  <c r="Q1086" i="19"/>
  <c r="R1086" i="19" s="1"/>
  <c r="Q1085" i="8"/>
  <c r="V1085" i="8" s="1" a="1"/>
  <c r="V1085" i="8" s="1"/>
  <c r="Q1079" i="19"/>
  <c r="R1079" i="19" s="1"/>
  <c r="Q1078" i="8"/>
  <c r="V1078" i="8" s="1" a="1"/>
  <c r="V1078" i="8" s="1"/>
  <c r="Q1064" i="19"/>
  <c r="R1064" i="19" s="1"/>
  <c r="Q1063" i="8"/>
  <c r="V1063" i="8" s="1" a="1"/>
  <c r="V1063" i="8" s="1"/>
  <c r="Q1137" i="19"/>
  <c r="R1137" i="19" s="1"/>
  <c r="Q1136" i="8"/>
  <c r="V1136" i="8" s="1" a="1"/>
  <c r="V1136" i="8" s="1"/>
  <c r="Q1168" i="19"/>
  <c r="R1168" i="19" s="1"/>
  <c r="Q1167" i="8"/>
  <c r="V1167" i="8" s="1" a="1"/>
  <c r="V1167" i="8" s="1"/>
  <c r="S1289" i="19"/>
  <c r="S1288" i="8" s="1"/>
  <c r="R1288" i="8"/>
  <c r="S1344" i="19"/>
  <c r="S1343" i="8" s="1"/>
  <c r="R1343" i="8"/>
  <c r="Q1284" i="19"/>
  <c r="R1284" i="19" s="1"/>
  <c r="Q1283" i="8"/>
  <c r="V1283" i="8" s="1" a="1"/>
  <c r="V1283" i="8" s="1"/>
  <c r="Q1295" i="19"/>
  <c r="R1295" i="19" s="1"/>
  <c r="Q1294" i="8"/>
  <c r="V1294" i="8" s="1" a="1"/>
  <c r="V1294" i="8" s="1"/>
  <c r="S1494" i="19"/>
  <c r="S1493" i="8" s="1"/>
  <c r="R1493" i="8"/>
  <c r="Q1446" i="19"/>
  <c r="R1446" i="19" s="1"/>
  <c r="Q1445" i="8"/>
  <c r="V1445" i="8" s="1" a="1"/>
  <c r="V1445" i="8" s="1"/>
  <c r="Q1527" i="19"/>
  <c r="R1527" i="19" s="1"/>
  <c r="Q1526" i="8"/>
  <c r="V1526" i="8" s="1" a="1"/>
  <c r="V1526" i="8" s="1"/>
  <c r="Q1546" i="19"/>
  <c r="R1546" i="19" s="1"/>
  <c r="Q1545" i="8"/>
  <c r="V1545" i="8" s="1" a="1"/>
  <c r="V1545" i="8" s="1"/>
  <c r="Q1560" i="19"/>
  <c r="R1560" i="19" s="1"/>
  <c r="Q1559" i="8"/>
  <c r="V1559" i="8" s="1" a="1"/>
  <c r="V1559" i="8" s="1"/>
  <c r="S1608" i="19"/>
  <c r="S1607" i="8" s="1"/>
  <c r="R1607" i="8"/>
  <c r="Q1269" i="8"/>
  <c r="V1269" i="8" s="1" a="1"/>
  <c r="V1269" i="8" s="1"/>
  <c r="Q1270" i="19"/>
  <c r="R1270" i="19" s="1"/>
  <c r="Q1187" i="19"/>
  <c r="R1187" i="19" s="1"/>
  <c r="Q1186" i="8"/>
  <c r="V1186" i="8" s="1" a="1"/>
  <c r="V1186" i="8" s="1"/>
  <c r="Q1600" i="19"/>
  <c r="R1600" i="19" s="1"/>
  <c r="Q1599" i="8"/>
  <c r="V1599" i="8" s="1" a="1"/>
  <c r="V1599" i="8" s="1"/>
  <c r="Q1112" i="19"/>
  <c r="R1112" i="19" s="1"/>
  <c r="Q1111" i="8"/>
  <c r="V1111" i="8" s="1" a="1"/>
  <c r="V1111" i="8" s="1"/>
  <c r="Q1279" i="19"/>
  <c r="R1279" i="19" s="1"/>
  <c r="Q1278" i="8"/>
  <c r="V1278" i="8" s="1" a="1"/>
  <c r="V1278" i="8" s="1"/>
  <c r="Q1055" i="19"/>
  <c r="R1055" i="19" s="1"/>
  <c r="Q1054" i="8"/>
  <c r="V1054" i="8" s="1" a="1"/>
  <c r="V1054" i="8" s="1"/>
  <c r="Q1463" i="19"/>
  <c r="R1463" i="19" s="1"/>
  <c r="Q1462" i="8"/>
  <c r="V1462" i="8" s="1" a="1"/>
  <c r="V1462" i="8" s="1"/>
  <c r="S1585" i="19"/>
  <c r="S1584" i="8" s="1"/>
  <c r="R1584" i="8"/>
  <c r="S803" i="19"/>
  <c r="S802" i="8" s="1"/>
  <c r="R802" i="8"/>
  <c r="Q914" i="19"/>
  <c r="R914" i="19" s="1"/>
  <c r="Q913" i="8"/>
  <c r="V913" i="8" s="1" a="1"/>
  <c r="V913" i="8" s="1"/>
  <c r="Q406" i="19"/>
  <c r="R406" i="19" s="1"/>
  <c r="Q405" i="8"/>
  <c r="V405" i="8" s="1" a="1"/>
  <c r="V405" i="8" s="1"/>
  <c r="Q484" i="19"/>
  <c r="R484" i="19" s="1"/>
  <c r="Q483" i="8"/>
  <c r="V483" i="8" s="1" a="1"/>
  <c r="V483" i="8" s="1"/>
  <c r="Q616" i="19"/>
  <c r="R616" i="19" s="1"/>
  <c r="Q615" i="8"/>
  <c r="V615" i="8" s="1" a="1"/>
  <c r="V615" i="8" s="1"/>
  <c r="Q1139" i="19"/>
  <c r="R1139" i="19" s="1"/>
  <c r="Q1138" i="8"/>
  <c r="V1138" i="8" s="1" a="1"/>
  <c r="V1138" i="8" s="1"/>
  <c r="Q1445" i="19"/>
  <c r="R1445" i="19" s="1"/>
  <c r="Q1444" i="8"/>
  <c r="V1444" i="8" s="1" a="1"/>
  <c r="V1444" i="8" s="1"/>
  <c r="S1577" i="19"/>
  <c r="S1576" i="8" s="1"/>
  <c r="R1576" i="8"/>
  <c r="Q806" i="19"/>
  <c r="R806" i="19" s="1"/>
  <c r="Q805" i="8"/>
  <c r="V805" i="8" s="1" a="1"/>
  <c r="V805" i="8" s="1"/>
  <c r="Q374" i="19"/>
  <c r="R374" i="19" s="1"/>
  <c r="Q373" i="8"/>
  <c r="V373" i="8" s="1" a="1"/>
  <c r="V373" i="8" s="1"/>
  <c r="Q489" i="19"/>
  <c r="R489" i="19" s="1"/>
  <c r="Q488" i="8"/>
  <c r="V488" i="8" s="1" a="1"/>
  <c r="V488" i="8" s="1"/>
  <c r="Q585" i="19"/>
  <c r="R585" i="19" s="1"/>
  <c r="Q584" i="8"/>
  <c r="V584" i="8" s="1" a="1"/>
  <c r="V584" i="8" s="1"/>
  <c r="Q610" i="19"/>
  <c r="R610" i="19" s="1"/>
  <c r="Q288" i="8"/>
  <c r="V288" i="8" s="1" a="1"/>
  <c r="V288" i="8" s="1"/>
  <c r="Q366" i="19"/>
  <c r="R366" i="19" s="1"/>
  <c r="Q365" i="8"/>
  <c r="V365" i="8" s="1" a="1"/>
  <c r="V365" i="8" s="1"/>
  <c r="Q554" i="19"/>
  <c r="R554" i="19" s="1"/>
  <c r="Q553" i="8"/>
  <c r="V553" i="8" s="1" a="1"/>
  <c r="V553" i="8" s="1"/>
  <c r="S751" i="19"/>
  <c r="S750" i="8" s="1"/>
  <c r="R750" i="8"/>
  <c r="Q452" i="19"/>
  <c r="R452" i="19" s="1"/>
  <c r="Q451" i="8"/>
  <c r="V451" i="8" s="1" a="1"/>
  <c r="V451" i="8" s="1"/>
  <c r="S467" i="19"/>
  <c r="S466" i="8" s="1"/>
  <c r="R466" i="8"/>
  <c r="Q837" i="19"/>
  <c r="R837" i="19" s="1"/>
  <c r="Q836" i="8"/>
  <c r="V836" i="8" s="1" a="1"/>
  <c r="V836" i="8" s="1"/>
  <c r="Q910" i="19"/>
  <c r="R910" i="19" s="1"/>
  <c r="Q909" i="8"/>
  <c r="V909" i="8" s="1" a="1"/>
  <c r="V909" i="8" s="1"/>
  <c r="S931" i="19"/>
  <c r="S379" i="8" s="1"/>
  <c r="R379" i="8"/>
  <c r="S469" i="19"/>
  <c r="S468" i="8" s="1"/>
  <c r="R468" i="8"/>
  <c r="S584" i="19"/>
  <c r="S583" i="8" s="1"/>
  <c r="R583" i="8"/>
  <c r="S863" i="19"/>
  <c r="S862" i="8" s="1"/>
  <c r="R862" i="8"/>
  <c r="S453" i="19"/>
  <c r="S452" i="8" s="1"/>
  <c r="R452" i="8"/>
  <c r="Q385" i="19"/>
  <c r="R385" i="19" s="1"/>
  <c r="Q384" i="8"/>
  <c r="V384" i="8" s="1" a="1"/>
  <c r="V384" i="8" s="1"/>
  <c r="Q466" i="19"/>
  <c r="R466" i="19" s="1"/>
  <c r="Q465" i="8"/>
  <c r="V465" i="8" s="1" a="1"/>
  <c r="V465" i="8" s="1"/>
  <c r="Q399" i="19"/>
  <c r="R399" i="19" s="1"/>
  <c r="Q414" i="19"/>
  <c r="R414" i="19" s="1"/>
  <c r="Q413" i="8"/>
  <c r="V413" i="8" s="1" a="1"/>
  <c r="V413" i="8" s="1"/>
  <c r="Q486" i="19"/>
  <c r="R486" i="19" s="1"/>
  <c r="Q485" i="8"/>
  <c r="V485" i="8" s="1" a="1"/>
  <c r="V485" i="8" s="1"/>
  <c r="S455" i="19"/>
  <c r="S454" i="8" s="1"/>
  <c r="R454" i="8"/>
  <c r="Q571" i="19"/>
  <c r="R571" i="19" s="1"/>
  <c r="Q570" i="8"/>
  <c r="V570" i="8" s="1" a="1"/>
  <c r="V570" i="8" s="1"/>
  <c r="Q402" i="19"/>
  <c r="R402" i="19" s="1"/>
  <c r="Q401" i="8"/>
  <c r="V401" i="8" s="1" a="1"/>
  <c r="V401" i="8" s="1"/>
  <c r="Q405" i="19"/>
  <c r="R405" i="19" s="1"/>
  <c r="Q404" i="8"/>
  <c r="V404" i="8" s="1" a="1"/>
  <c r="V404" i="8" s="1"/>
  <c r="Q511" i="19"/>
  <c r="R511" i="19" s="1"/>
  <c r="Q510" i="8"/>
  <c r="V510" i="8" s="1" a="1"/>
  <c r="V510" i="8" s="1"/>
  <c r="Q623" i="19"/>
  <c r="R623" i="19" s="1"/>
  <c r="Q622" i="8"/>
  <c r="V622" i="8" s="1" a="1"/>
  <c r="V622" i="8" s="1"/>
  <c r="Q509" i="19"/>
  <c r="R509" i="19" s="1"/>
  <c r="Q508" i="8"/>
  <c r="V508" i="8" s="1" a="1"/>
  <c r="V508" i="8" s="1"/>
  <c r="Q541" i="19"/>
  <c r="R541" i="19" s="1"/>
  <c r="Q599" i="19"/>
  <c r="R599" i="19" s="1"/>
  <c r="Q598" i="8"/>
  <c r="V598" i="8" s="1" a="1"/>
  <c r="V598" i="8" s="1"/>
  <c r="Q629" i="19"/>
  <c r="R629" i="19" s="1"/>
  <c r="Q628" i="8"/>
  <c r="V628" i="8" s="1" a="1"/>
  <c r="V628" i="8" s="1"/>
  <c r="Q633" i="19"/>
  <c r="R633" i="19" s="1"/>
  <c r="Q632" i="8"/>
  <c r="V632" i="8" s="1" a="1"/>
  <c r="V632" i="8" s="1"/>
  <c r="Q637" i="19"/>
  <c r="R637" i="19" s="1"/>
  <c r="Q636" i="8"/>
  <c r="V636" i="8" s="1" a="1"/>
  <c r="V636" i="8" s="1"/>
  <c r="Q641" i="19"/>
  <c r="R641" i="19" s="1"/>
  <c r="Q640" i="8"/>
  <c r="V640" i="8" s="1" a="1"/>
  <c r="V640" i="8" s="1"/>
  <c r="Q645" i="19"/>
  <c r="R645" i="19" s="1"/>
  <c r="Q644" i="8"/>
  <c r="V644" i="8" s="1" a="1"/>
  <c r="V644" i="8" s="1"/>
  <c r="S576" i="19"/>
  <c r="S575" i="8" s="1"/>
  <c r="R575" i="8"/>
  <c r="Q436" i="19"/>
  <c r="R436" i="19" s="1"/>
  <c r="Q435" i="8"/>
  <c r="V435" i="8" s="1" a="1"/>
  <c r="V435" i="8" s="1"/>
  <c r="Q532" i="19"/>
  <c r="R532" i="19" s="1"/>
  <c r="Q564" i="19"/>
  <c r="R564" i="19" s="1"/>
  <c r="Q563" i="8"/>
  <c r="V563" i="8" s="1" a="1"/>
  <c r="V563" i="8" s="1"/>
  <c r="Q627" i="19"/>
  <c r="R627" i="19" s="1"/>
  <c r="Q626" i="8"/>
  <c r="V626" i="8" s="1" a="1"/>
  <c r="V626" i="8" s="1"/>
  <c r="Q563" i="19"/>
  <c r="R563" i="19" s="1"/>
  <c r="Q562" i="8"/>
  <c r="V562" i="8" s="1" a="1"/>
  <c r="V562" i="8" s="1"/>
  <c r="Q516" i="19"/>
  <c r="R516" i="19" s="1"/>
  <c r="Q515" i="8"/>
  <c r="V515" i="8" s="1" a="1"/>
  <c r="V515" i="8" s="1"/>
  <c r="Q365" i="19"/>
  <c r="R365" i="19" s="1"/>
  <c r="Q364" i="8"/>
  <c r="V364" i="8" s="1" a="1"/>
  <c r="V364" i="8" s="1"/>
  <c r="Q690" i="19"/>
  <c r="R690" i="19" s="1"/>
  <c r="Q689" i="8"/>
  <c r="V689" i="8" s="1" a="1"/>
  <c r="V689" i="8" s="1"/>
  <c r="Q724" i="19"/>
  <c r="R724" i="19" s="1"/>
  <c r="Q723" i="8"/>
  <c r="V723" i="8" s="1" a="1"/>
  <c r="V723" i="8" s="1"/>
  <c r="Q772" i="19"/>
  <c r="R772" i="19" s="1"/>
  <c r="Q771" i="8"/>
  <c r="V771" i="8" s="1" a="1"/>
  <c r="V771" i="8" s="1"/>
  <c r="Q683" i="19"/>
  <c r="R683" i="19" s="1"/>
  <c r="Q682" i="8"/>
  <c r="V682" i="8" s="1" a="1"/>
  <c r="V682" i="8" s="1"/>
  <c r="Q671" i="19"/>
  <c r="R671" i="19" s="1"/>
  <c r="Q670" i="8"/>
  <c r="V670" i="8" s="1" a="1"/>
  <c r="V670" i="8" s="1"/>
  <c r="Q792" i="19"/>
  <c r="R792" i="19" s="1"/>
  <c r="Q791" i="8"/>
  <c r="V791" i="8" s="1" a="1"/>
  <c r="V791" i="8" s="1"/>
  <c r="R856" i="19"/>
  <c r="Q855" i="8"/>
  <c r="V855" i="8" s="1" a="1"/>
  <c r="V855" i="8" s="1"/>
  <c r="Q666" i="19"/>
  <c r="R666" i="19" s="1"/>
  <c r="Q665" i="8"/>
  <c r="V665" i="8" s="1" a="1"/>
  <c r="V665" i="8" s="1"/>
  <c r="Q694" i="19"/>
  <c r="R694" i="19" s="1"/>
  <c r="Q693" i="8"/>
  <c r="V693" i="8" s="1" a="1"/>
  <c r="V693" i="8" s="1"/>
  <c r="S706" i="19"/>
  <c r="S705" i="8" s="1"/>
  <c r="R705" i="8"/>
  <c r="S770" i="19"/>
  <c r="S769" i="8" s="1"/>
  <c r="R769" i="8"/>
  <c r="Q676" i="19"/>
  <c r="R676" i="19" s="1"/>
  <c r="Q675" i="8"/>
  <c r="V675" i="8" s="1" a="1"/>
  <c r="V675" i="8" s="1"/>
  <c r="Q722" i="19"/>
  <c r="R722" i="19" s="1"/>
  <c r="Q721" i="8"/>
  <c r="V721" i="8" s="1" a="1"/>
  <c r="V721" i="8" s="1"/>
  <c r="Q760" i="19"/>
  <c r="R760" i="19" s="1"/>
  <c r="Q765" i="19"/>
  <c r="R765" i="19" s="1"/>
  <c r="Q764" i="8"/>
  <c r="V764" i="8" s="1" a="1"/>
  <c r="V764" i="8" s="1"/>
  <c r="Q784" i="19"/>
  <c r="R784" i="19" s="1"/>
  <c r="Q783" i="8"/>
  <c r="V783" i="8" s="1" a="1"/>
  <c r="V783" i="8" s="1"/>
  <c r="Q816" i="19"/>
  <c r="R816" i="19" s="1"/>
  <c r="Q815" i="8"/>
  <c r="V815" i="8" s="1" a="1"/>
  <c r="V815" i="8" s="1"/>
  <c r="Q836" i="19"/>
  <c r="R836" i="19" s="1"/>
  <c r="Q835" i="8"/>
  <c r="V835" i="8" s="1" a="1"/>
  <c r="V835" i="8" s="1"/>
  <c r="Q848" i="19"/>
  <c r="R848" i="19" s="1"/>
  <c r="Q847" i="8"/>
  <c r="V847" i="8" s="1" a="1"/>
  <c r="V847" i="8" s="1"/>
  <c r="Q868" i="19"/>
  <c r="R868" i="19" s="1"/>
  <c r="Q867" i="8"/>
  <c r="V867" i="8" s="1" a="1"/>
  <c r="V867" i="8" s="1"/>
  <c r="S886" i="19"/>
  <c r="S885" i="8" s="1"/>
  <c r="R885" i="8"/>
  <c r="Q658" i="19"/>
  <c r="R658" i="19" s="1"/>
  <c r="Q657" i="8"/>
  <c r="V657" i="8" s="1" a="1"/>
  <c r="V657" i="8" s="1"/>
  <c r="Q733" i="19"/>
  <c r="R733" i="19" s="1"/>
  <c r="Q732" i="8"/>
  <c r="V732" i="8" s="1" a="1"/>
  <c r="V732" i="8" s="1"/>
  <c r="Q782" i="19"/>
  <c r="R782" i="19" s="1"/>
  <c r="Q781" i="8"/>
  <c r="V781" i="8" s="1" a="1"/>
  <c r="V781" i="8" s="1"/>
  <c r="Q828" i="19"/>
  <c r="R828" i="19" s="1"/>
  <c r="Q827" i="8"/>
  <c r="V827" i="8" s="1" a="1"/>
  <c r="V827" i="8" s="1"/>
  <c r="Q830" i="19"/>
  <c r="R830" i="19" s="1"/>
  <c r="Q829" i="8"/>
  <c r="V829" i="8" s="1" a="1"/>
  <c r="V829" i="8" s="1"/>
  <c r="Q912" i="19"/>
  <c r="R912" i="19" s="1"/>
  <c r="Q911" i="8"/>
  <c r="V911" i="8" s="1" a="1"/>
  <c r="V911" i="8" s="1"/>
  <c r="Q710" i="19"/>
  <c r="R710" i="19" s="1"/>
  <c r="Q709" i="8"/>
  <c r="V709" i="8" s="1" a="1"/>
  <c r="V709" i="8" s="1"/>
  <c r="Q832" i="19"/>
  <c r="R832" i="19" s="1"/>
  <c r="Q831" i="8"/>
  <c r="V831" i="8" s="1" a="1"/>
  <c r="V831" i="8" s="1"/>
  <c r="Q864" i="19"/>
  <c r="R864" i="19" s="1"/>
  <c r="Q863" i="8"/>
  <c r="V863" i="8" s="1" a="1"/>
  <c r="V863" i="8" s="1"/>
  <c r="Q754" i="19"/>
  <c r="R754" i="19" s="1"/>
  <c r="Q753" i="8"/>
  <c r="V753" i="8" s="1" a="1"/>
  <c r="V753" i="8" s="1"/>
  <c r="Q916" i="19"/>
  <c r="R916" i="19" s="1"/>
  <c r="Q915" i="8"/>
  <c r="V915" i="8" s="1" a="1"/>
  <c r="V915" i="8" s="1"/>
  <c r="Q920" i="19"/>
  <c r="R920" i="19" s="1"/>
  <c r="Q919" i="8"/>
  <c r="V919" i="8" s="1" a="1"/>
  <c r="V919" i="8" s="1"/>
  <c r="Q924" i="19"/>
  <c r="R924" i="19" s="1"/>
  <c r="Q923" i="8"/>
  <c r="V923" i="8" s="1" a="1"/>
  <c r="V923" i="8" s="1"/>
  <c r="Q928" i="19"/>
  <c r="R928" i="19" s="1"/>
  <c r="Q376" i="8"/>
  <c r="V376" i="8" s="1" a="1"/>
  <c r="V376" i="8" s="1"/>
  <c r="Q932" i="19"/>
  <c r="R932" i="19" s="1"/>
  <c r="Q380" i="8"/>
  <c r="V380" i="8" s="1" a="1"/>
  <c r="V380" i="8" s="1"/>
  <c r="Q936" i="19"/>
  <c r="R936" i="19" s="1"/>
  <c r="Q231" i="8"/>
  <c r="V231" i="8" s="1" a="1"/>
  <c r="V231" i="8" s="1"/>
  <c r="Q650" i="19"/>
  <c r="R650" i="19" s="1"/>
  <c r="Q649" i="8"/>
  <c r="V649" i="8" s="1" a="1"/>
  <c r="V649" i="8" s="1"/>
  <c r="Q785" i="19"/>
  <c r="R785" i="19" s="1"/>
  <c r="Q784" i="8"/>
  <c r="V784" i="8" s="1" a="1"/>
  <c r="V784" i="8" s="1"/>
  <c r="Q788" i="19"/>
  <c r="R788" i="19" s="1"/>
  <c r="Q787" i="8"/>
  <c r="V787" i="8" s="1" a="1"/>
  <c r="V787" i="8" s="1"/>
  <c r="Q844" i="19"/>
  <c r="R844" i="19" s="1"/>
  <c r="Q843" i="8"/>
  <c r="V843" i="8" s="1" a="1"/>
  <c r="V843" i="8" s="1"/>
  <c r="Q904" i="19"/>
  <c r="R904" i="19" s="1"/>
  <c r="Q903" i="8"/>
  <c r="V903" i="8" s="1" a="1"/>
  <c r="V903" i="8" s="1"/>
  <c r="Q778" i="19"/>
  <c r="R778" i="19" s="1"/>
  <c r="Q777" i="8"/>
  <c r="V777" i="8" s="1" a="1"/>
  <c r="V777" i="8" s="1"/>
  <c r="S926" i="19"/>
  <c r="S925" i="8" s="1"/>
  <c r="R925" i="8"/>
  <c r="S941" i="19"/>
  <c r="S238" i="8" s="1"/>
  <c r="R238" i="8"/>
  <c r="S973" i="19"/>
  <c r="S393" i="8" s="1"/>
  <c r="R393" i="8"/>
  <c r="S952" i="19"/>
  <c r="S951" i="8" s="1"/>
  <c r="R951" i="8"/>
  <c r="Q982" i="19"/>
  <c r="R982" i="19" s="1"/>
  <c r="Q254" i="8"/>
  <c r="V254" i="8" s="1" a="1"/>
  <c r="V254" i="8" s="1"/>
  <c r="Q1006" i="19"/>
  <c r="R1006" i="19" s="1"/>
  <c r="Q1005" i="8"/>
  <c r="V1005" i="8" s="1" a="1"/>
  <c r="V1005" i="8" s="1"/>
  <c r="Q984" i="19"/>
  <c r="R984" i="19" s="1"/>
  <c r="Q273" i="8"/>
  <c r="V273" i="8" s="1" a="1"/>
  <c r="V273" i="8" s="1"/>
  <c r="Q980" i="19"/>
  <c r="R980" i="19" s="1"/>
  <c r="Q242" i="8"/>
  <c r="V242" i="8" s="1" a="1"/>
  <c r="V242" i="8" s="1"/>
  <c r="Q1026" i="19"/>
  <c r="R1026" i="19" s="1"/>
  <c r="Q1044" i="19"/>
  <c r="R1044" i="19" s="1"/>
  <c r="Q1043" i="8"/>
  <c r="V1043" i="8" s="1" a="1"/>
  <c r="V1043" i="8" s="1"/>
  <c r="Q1060" i="19"/>
  <c r="R1060" i="19" s="1"/>
  <c r="Q1059" i="8"/>
  <c r="V1059" i="8" s="1" a="1"/>
  <c r="V1059" i="8" s="1"/>
  <c r="Q1070" i="19"/>
  <c r="R1070" i="19" s="1"/>
  <c r="Q1069" i="8"/>
  <c r="V1069" i="8" s="1" a="1"/>
  <c r="V1069" i="8" s="1"/>
  <c r="Q1036" i="19"/>
  <c r="R1036" i="19" s="1"/>
  <c r="Q1035" i="8"/>
  <c r="V1035" i="8" s="1" a="1"/>
  <c r="V1035" i="8" s="1"/>
  <c r="Q1054" i="19"/>
  <c r="R1054" i="19" s="1"/>
  <c r="Q281" i="8"/>
  <c r="V281" i="8" s="1" a="1"/>
  <c r="V281" i="8" s="1"/>
  <c r="Q1078" i="19"/>
  <c r="R1078" i="19" s="1"/>
  <c r="Q1077" i="8"/>
  <c r="V1077" i="8" s="1" a="1"/>
  <c r="V1077" i="8" s="1"/>
  <c r="Q1094" i="19"/>
  <c r="R1094" i="19" s="1"/>
  <c r="Q1093" i="8"/>
  <c r="V1093" i="8" s="1" a="1"/>
  <c r="V1093" i="8" s="1"/>
  <c r="Q1032" i="19"/>
  <c r="R1032" i="19" s="1"/>
  <c r="Q1031" i="8"/>
  <c r="V1031" i="8" s="1" a="1"/>
  <c r="V1031" i="8" s="1"/>
  <c r="Q1056" i="19"/>
  <c r="R1056" i="19" s="1"/>
  <c r="Q282" i="8"/>
  <c r="V282" i="8" s="1" a="1"/>
  <c r="V282" i="8" s="1"/>
  <c r="Q1109" i="19"/>
  <c r="R1109" i="19" s="1"/>
  <c r="Q1108" i="8"/>
  <c r="V1108" i="8" s="1" a="1"/>
  <c r="V1108" i="8" s="1"/>
  <c r="Q1068" i="19"/>
  <c r="R1068" i="19" s="1"/>
  <c r="Q1067" i="8"/>
  <c r="V1067" i="8" s="1" a="1"/>
  <c r="V1067" i="8" s="1"/>
  <c r="Q1106" i="19"/>
  <c r="R1106" i="19" s="1"/>
  <c r="Q1105" i="8"/>
  <c r="V1105" i="8" s="1" a="1"/>
  <c r="V1105" i="8" s="1"/>
  <c r="S1123" i="19"/>
  <c r="S1122" i="8" s="1"/>
  <c r="R1122" i="8"/>
  <c r="Q1048" i="19"/>
  <c r="R1048" i="19" s="1"/>
  <c r="Q1047" i="8"/>
  <c r="V1047" i="8" s="1" a="1"/>
  <c r="V1047" i="8" s="1"/>
  <c r="Q1010" i="19"/>
  <c r="R1010" i="19" s="1"/>
  <c r="Q1009" i="8"/>
  <c r="V1009" i="8" s="1" a="1"/>
  <c r="V1009" i="8" s="1"/>
  <c r="Q1098" i="19"/>
  <c r="R1098" i="19" s="1"/>
  <c r="Q1097" i="8"/>
  <c r="V1097" i="8" s="1" a="1"/>
  <c r="V1097" i="8" s="1"/>
  <c r="Q1103" i="19"/>
  <c r="R1103" i="19" s="1"/>
  <c r="Q1102" i="8"/>
  <c r="V1102" i="8" s="1" a="1"/>
  <c r="V1102" i="8" s="1"/>
  <c r="Q1125" i="19"/>
  <c r="R1125" i="19" s="1"/>
  <c r="Q1124" i="8"/>
  <c r="V1124" i="8" s="1" a="1"/>
  <c r="V1124" i="8" s="1"/>
  <c r="Q1138" i="19"/>
  <c r="R1138" i="19" s="1"/>
  <c r="Q1137" i="8"/>
  <c r="V1137" i="8" s="1" a="1"/>
  <c r="V1137" i="8" s="1"/>
  <c r="Q1092" i="19"/>
  <c r="R1092" i="19" s="1"/>
  <c r="Q1091" i="8"/>
  <c r="V1091" i="8" s="1" a="1"/>
  <c r="V1091" i="8" s="1"/>
  <c r="Q1200" i="19"/>
  <c r="R1200" i="19" s="1"/>
  <c r="Q1199" i="8"/>
  <c r="V1199" i="8" s="1" a="1"/>
  <c r="V1199" i="8" s="1"/>
  <c r="Q1213" i="19"/>
  <c r="R1213" i="19" s="1"/>
  <c r="Q1212" i="8"/>
  <c r="V1212" i="8" s="1" a="1"/>
  <c r="V1212" i="8" s="1"/>
  <c r="Q1117" i="19"/>
  <c r="R1117" i="19" s="1"/>
  <c r="Q1116" i="8"/>
  <c r="V1116" i="8" s="1" a="1"/>
  <c r="V1116" i="8" s="1"/>
  <c r="Q1149" i="19"/>
  <c r="R1149" i="19" s="1"/>
  <c r="Q1148" i="8"/>
  <c r="V1148" i="8" s="1" a="1"/>
  <c r="V1148" i="8" s="1"/>
  <c r="Q1192" i="19"/>
  <c r="R1192" i="19" s="1"/>
  <c r="Q1191" i="8"/>
  <c r="V1191" i="8" s="1" a="1"/>
  <c r="V1191" i="8" s="1"/>
  <c r="Q1210" i="19"/>
  <c r="R1210" i="19" s="1"/>
  <c r="Q1209" i="8"/>
  <c r="V1209" i="8" s="1" a="1"/>
  <c r="V1209" i="8" s="1"/>
  <c r="Q1276" i="19"/>
  <c r="R1276" i="19" s="1"/>
  <c r="Q1275" i="8"/>
  <c r="V1275" i="8" s="1" a="1"/>
  <c r="V1275" i="8" s="1"/>
  <c r="Q1159" i="19"/>
  <c r="R1159" i="19" s="1"/>
  <c r="Q1158" i="8"/>
  <c r="V1158" i="8" s="1" a="1"/>
  <c r="V1158" i="8" s="1"/>
  <c r="Q1209" i="19"/>
  <c r="R1209" i="19" s="1"/>
  <c r="Q1208" i="8"/>
  <c r="V1208" i="8" s="1" a="1"/>
  <c r="V1208" i="8" s="1"/>
  <c r="Q1228" i="19"/>
  <c r="R1228" i="19" s="1"/>
  <c r="Q1227" i="8"/>
  <c r="V1227" i="8" s="1" a="1"/>
  <c r="V1227" i="8" s="1"/>
  <c r="Q1264" i="19"/>
  <c r="R1264" i="19" s="1"/>
  <c r="Q1263" i="8"/>
  <c r="V1263" i="8" s="1" a="1"/>
  <c r="V1263" i="8" s="1"/>
  <c r="Q1130" i="19"/>
  <c r="R1130" i="19" s="1"/>
  <c r="Q1129" i="8"/>
  <c r="V1129" i="8" s="1" a="1"/>
  <c r="V1129" i="8" s="1"/>
  <c r="Q1188" i="19"/>
  <c r="R1188" i="19" s="1"/>
  <c r="Q1187" i="8"/>
  <c r="V1187" i="8" s="1" a="1"/>
  <c r="V1187" i="8" s="1"/>
  <c r="S1349" i="19"/>
  <c r="S1348" i="8" s="1"/>
  <c r="R1348" i="8"/>
  <c r="Q1387" i="19"/>
  <c r="R1387" i="19" s="1"/>
  <c r="Q1386" i="8"/>
  <c r="V1386" i="8" s="1" a="1"/>
  <c r="V1386" i="8" s="1"/>
  <c r="Q1180" i="19"/>
  <c r="R1180" i="19" s="1"/>
  <c r="Q1179" i="8"/>
  <c r="V1179" i="8" s="1" a="1"/>
  <c r="V1179" i="8" s="1"/>
  <c r="S1317" i="19"/>
  <c r="S1316" i="8" s="1"/>
  <c r="R1316" i="8"/>
  <c r="S1324" i="19"/>
  <c r="S1323" i="8" s="1"/>
  <c r="R1323" i="8"/>
  <c r="S1340" i="19"/>
  <c r="S1339" i="8" s="1"/>
  <c r="R1339" i="8"/>
  <c r="S1353" i="19"/>
  <c r="S1352" i="8" s="1"/>
  <c r="R1352" i="8"/>
  <c r="Q1368" i="19"/>
  <c r="R1368" i="19" s="1"/>
  <c r="Q1367" i="8"/>
  <c r="V1367" i="8" s="1" a="1"/>
  <c r="V1367" i="8" s="1"/>
  <c r="Q1391" i="19"/>
  <c r="R1391" i="19" s="1"/>
  <c r="Q1390" i="8"/>
  <c r="V1390" i="8" s="1" a="1"/>
  <c r="V1390" i="8" s="1"/>
  <c r="Q1266" i="19"/>
  <c r="R1266" i="19" s="1"/>
  <c r="Q1265" i="8"/>
  <c r="V1265" i="8" s="1" a="1"/>
  <c r="V1265" i="8" s="1"/>
  <c r="Q1319" i="19"/>
  <c r="R1319" i="19" s="1"/>
  <c r="Q1318" i="8"/>
  <c r="V1318" i="8" s="1" a="1"/>
  <c r="V1318" i="8" s="1"/>
  <c r="Q1361" i="19"/>
  <c r="R1361" i="19" s="1"/>
  <c r="Q1360" i="8"/>
  <c r="V1360" i="8" s="1" a="1"/>
  <c r="V1360" i="8" s="1"/>
  <c r="Q1529" i="19"/>
  <c r="R1529" i="19" s="1"/>
  <c r="Q1528" i="8"/>
  <c r="V1528" i="8" s="1" a="1"/>
  <c r="V1528" i="8" s="1"/>
  <c r="Q1119" i="19"/>
  <c r="R1119" i="19" s="1"/>
  <c r="Q1118" i="8"/>
  <c r="V1118" i="8" s="1" a="1"/>
  <c r="V1118" i="8" s="1"/>
  <c r="Q1285" i="19"/>
  <c r="R1285" i="19" s="1"/>
  <c r="Q1284" i="8"/>
  <c r="V1284" i="8" s="1" a="1"/>
  <c r="V1284" i="8" s="1"/>
  <c r="Q1299" i="19"/>
  <c r="R1299" i="19" s="1"/>
  <c r="Q1298" i="8"/>
  <c r="V1298" i="8" s="1" a="1"/>
  <c r="V1298" i="8" s="1"/>
  <c r="S1246" i="19"/>
  <c r="S1245" i="8" s="1"/>
  <c r="R1245" i="8"/>
  <c r="Q1252" i="19"/>
  <c r="R1252" i="19" s="1"/>
  <c r="Q1251" i="8"/>
  <c r="V1251" i="8" s="1" a="1"/>
  <c r="V1251" i="8" s="1"/>
  <c r="Q1256" i="19"/>
  <c r="R1256" i="19" s="1"/>
  <c r="Q1255" i="8"/>
  <c r="V1255" i="8" s="1" a="1"/>
  <c r="V1255" i="8" s="1"/>
  <c r="Q1343" i="19"/>
  <c r="R1343" i="19" s="1"/>
  <c r="Q1342" i="8"/>
  <c r="V1342" i="8" s="1" a="1"/>
  <c r="V1342" i="8" s="1"/>
  <c r="Q1377" i="19"/>
  <c r="R1377" i="19" s="1"/>
  <c r="Q1376" i="8"/>
  <c r="V1376" i="8" s="1" a="1"/>
  <c r="V1376" i="8" s="1"/>
  <c r="S1499" i="19"/>
  <c r="S1498" i="8" s="1"/>
  <c r="R1498" i="8"/>
  <c r="Q1506" i="19"/>
  <c r="R1506" i="19" s="1"/>
  <c r="Q1505" i="8"/>
  <c r="V1505" i="8" s="1" a="1"/>
  <c r="V1505" i="8" s="1"/>
  <c r="Q1530" i="19"/>
  <c r="R1530" i="19" s="1"/>
  <c r="Q1529" i="8"/>
  <c r="V1529" i="8" s="1" a="1"/>
  <c r="V1529" i="8" s="1"/>
  <c r="Q1554" i="19"/>
  <c r="R1554" i="19" s="1"/>
  <c r="Q1553" i="8"/>
  <c r="V1553" i="8" s="1" a="1"/>
  <c r="V1553" i="8" s="1"/>
  <c r="Q1590" i="19"/>
  <c r="R1590" i="19" s="1"/>
  <c r="Q1589" i="8"/>
  <c r="V1589" i="8" s="1" a="1"/>
  <c r="V1589" i="8" s="1"/>
  <c r="Q1606" i="19"/>
  <c r="R1606" i="19" s="1"/>
  <c r="Q1605" i="8"/>
  <c r="V1605" i="8" s="1" a="1"/>
  <c r="V1605" i="8" s="1"/>
  <c r="Q1458" i="19"/>
  <c r="R1458" i="19" s="1"/>
  <c r="Q1457" i="8"/>
  <c r="V1457" i="8" s="1" a="1"/>
  <c r="V1457" i="8" s="1"/>
  <c r="Q1517" i="19"/>
  <c r="R1517" i="19" s="1"/>
  <c r="Q1516" i="8"/>
  <c r="V1516" i="8" s="1" a="1"/>
  <c r="V1516" i="8" s="1"/>
  <c r="Q1541" i="19"/>
  <c r="R1541" i="19" s="1"/>
  <c r="Q1540" i="8"/>
  <c r="V1540" i="8" s="1" a="1"/>
  <c r="V1540" i="8" s="1"/>
  <c r="Q1586" i="19"/>
  <c r="R1586" i="19" s="1"/>
  <c r="Q1585" i="8"/>
  <c r="V1585" i="8" s="1" a="1"/>
  <c r="V1585" i="8" s="1"/>
  <c r="Q1253" i="19"/>
  <c r="R1253" i="19" s="1"/>
  <c r="Q1252" i="8"/>
  <c r="V1252" i="8" s="1" a="1"/>
  <c r="V1252" i="8" s="1"/>
  <c r="Q1315" i="19"/>
  <c r="R1315" i="19" s="1"/>
  <c r="Q1314" i="8"/>
  <c r="V1314" i="8" s="1" a="1"/>
  <c r="V1314" i="8" s="1"/>
  <c r="Q1379" i="19"/>
  <c r="R1379" i="19" s="1"/>
  <c r="Q1378" i="8"/>
  <c r="V1378" i="8" s="1" a="1"/>
  <c r="V1378" i="8" s="1"/>
  <c r="Q1495" i="19"/>
  <c r="R1495" i="19" s="1"/>
  <c r="Q1494" i="8"/>
  <c r="V1494" i="8" s="1" a="1"/>
  <c r="V1494" i="8" s="1"/>
  <c r="Q1519" i="19"/>
  <c r="R1519" i="19" s="1"/>
  <c r="Q1518" i="8"/>
  <c r="V1518" i="8" s="1" a="1"/>
  <c r="V1518" i="8" s="1"/>
  <c r="Q1548" i="19"/>
  <c r="R1548" i="19" s="1"/>
  <c r="Q1547" i="8"/>
  <c r="V1547" i="8" s="1" a="1"/>
  <c r="V1547" i="8" s="1"/>
  <c r="Q1550" i="19"/>
  <c r="R1550" i="19" s="1"/>
  <c r="Q1549" i="8"/>
  <c r="V1549" i="8" s="1" a="1"/>
  <c r="V1549" i="8" s="1"/>
  <c r="Q1566" i="19"/>
  <c r="R1566" i="19" s="1"/>
  <c r="Q1565" i="8"/>
  <c r="V1565" i="8" s="1" a="1"/>
  <c r="V1565" i="8" s="1"/>
  <c r="Q1587" i="19"/>
  <c r="R1587" i="19" s="1"/>
  <c r="Q1586" i="8"/>
  <c r="V1586" i="8" s="1" a="1"/>
  <c r="V1586" i="8" s="1"/>
  <c r="Q1619" i="19"/>
  <c r="R1619" i="19" s="1"/>
  <c r="Q1618" i="8"/>
  <c r="V1618" i="8" s="1" a="1"/>
  <c r="V1618" i="8" s="1"/>
  <c r="Q1602" i="19"/>
  <c r="R1602" i="19" s="1"/>
  <c r="Q1601" i="8"/>
  <c r="V1601" i="8" s="1" a="1"/>
  <c r="V1601" i="8" s="1"/>
  <c r="Q1307" i="19"/>
  <c r="R1307" i="19" s="1"/>
  <c r="Q1306" i="8"/>
  <c r="V1306" i="8" s="1" a="1"/>
  <c r="V1306" i="8" s="1"/>
  <c r="Q1357" i="19"/>
  <c r="R1357" i="19" s="1"/>
  <c r="Q1356" i="8"/>
  <c r="V1356" i="8" s="1" a="1"/>
  <c r="V1356" i="8" s="1"/>
  <c r="Q1373" i="19"/>
  <c r="R1373" i="19" s="1"/>
  <c r="Q1372" i="8"/>
  <c r="V1372" i="8" s="1" a="1"/>
  <c r="V1372" i="8" s="1"/>
  <c r="Q1395" i="19"/>
  <c r="R1395" i="19" s="1"/>
  <c r="Q1394" i="8"/>
  <c r="V1394" i="8" s="1" a="1"/>
  <c r="V1394" i="8" s="1"/>
  <c r="Q1408" i="19"/>
  <c r="R1408" i="19" s="1"/>
  <c r="Q1407" i="8"/>
  <c r="V1407" i="8" s="1" a="1"/>
  <c r="V1407" i="8" s="1"/>
  <c r="Q1424" i="19"/>
  <c r="R1424" i="19" s="1"/>
  <c r="Q1423" i="8"/>
  <c r="V1423" i="8" s="1" a="1"/>
  <c r="V1423" i="8" s="1"/>
  <c r="Q1562" i="19"/>
  <c r="R1562" i="19" s="1"/>
  <c r="Q1561" i="8"/>
  <c r="V1561" i="8" s="1" a="1"/>
  <c r="V1561" i="8" s="1"/>
  <c r="Q1097" i="19"/>
  <c r="R1097" i="19" s="1"/>
  <c r="Q1096" i="8"/>
  <c r="V1096" i="8" s="1" a="1"/>
  <c r="V1096" i="8" s="1"/>
  <c r="Q1282" i="8"/>
  <c r="V1282" i="8" s="1" a="1"/>
  <c r="V1282" i="8" s="1"/>
  <c r="Q1283" i="19"/>
  <c r="R1283" i="19" s="1"/>
  <c r="Q1310" i="19"/>
  <c r="R1310" i="19" s="1"/>
  <c r="Q1309" i="8"/>
  <c r="V1309" i="8" s="1" a="1"/>
  <c r="V1309" i="8" s="1"/>
  <c r="Q979" i="19"/>
  <c r="R979" i="19" s="1"/>
  <c r="Q978" i="8"/>
  <c r="V978" i="8" s="1" a="1"/>
  <c r="V978" i="8" s="1"/>
  <c r="Q1001" i="19"/>
  <c r="R1001" i="19" s="1"/>
  <c r="Q1000" i="8"/>
  <c r="V1000" i="8" s="1" a="1"/>
  <c r="V1000" i="8" s="1"/>
  <c r="Q1025" i="19"/>
  <c r="R1025" i="19" s="1"/>
  <c r="Q1024" i="8"/>
  <c r="V1024" i="8" s="1" a="1"/>
  <c r="V1024" i="8" s="1"/>
  <c r="Q1108" i="19"/>
  <c r="R1108" i="19" s="1"/>
  <c r="Q1107" i="8"/>
  <c r="V1107" i="8" s="1" a="1"/>
  <c r="V1107" i="8" s="1"/>
  <c r="S1136" i="19"/>
  <c r="S1135" i="8" s="1"/>
  <c r="R1135" i="8"/>
  <c r="Q1239" i="19"/>
  <c r="R1239" i="19" s="1"/>
  <c r="Q1238" i="8"/>
  <c r="V1238" i="8" s="1" a="1"/>
  <c r="V1238" i="8" s="1"/>
  <c r="S1247" i="19"/>
  <c r="S1246" i="8" s="1"/>
  <c r="R1246" i="8"/>
  <c r="S1286" i="19"/>
  <c r="S1285" i="8" s="1"/>
  <c r="R1285" i="8"/>
  <c r="Q1413" i="19"/>
  <c r="R1413" i="19" s="1"/>
  <c r="Q1412" i="8"/>
  <c r="V1412" i="8" s="1" a="1"/>
  <c r="V1412" i="8" s="1"/>
  <c r="Q1616" i="19"/>
  <c r="R1616" i="19" s="1"/>
  <c r="Q1615" i="8"/>
  <c r="V1615" i="8" s="1" a="1"/>
  <c r="V1615" i="8" s="1"/>
  <c r="Q954" i="19"/>
  <c r="R954" i="19" s="1"/>
  <c r="Q953" i="8"/>
  <c r="V953" i="8" s="1" a="1"/>
  <c r="V953" i="8" s="1"/>
  <c r="Q967" i="19"/>
  <c r="R967" i="19" s="1"/>
  <c r="Q391" i="8"/>
  <c r="V391" i="8" s="1" a="1"/>
  <c r="V391" i="8" s="1"/>
  <c r="Q715" i="19"/>
  <c r="R715" i="19" s="1"/>
  <c r="Q714" i="8"/>
  <c r="V714" i="8" s="1" a="1"/>
  <c r="V714" i="8" s="1"/>
  <c r="Q1045" i="19"/>
  <c r="R1045" i="19" s="1"/>
  <c r="Q1044" i="8"/>
  <c r="V1044" i="8" s="1" a="1"/>
  <c r="V1044" i="8" s="1"/>
  <c r="Q1116" i="19"/>
  <c r="R1116" i="19" s="1"/>
  <c r="Q1115" i="8"/>
  <c r="V1115" i="8" s="1" a="1"/>
  <c r="V1115" i="8" s="1"/>
  <c r="S1148" i="19"/>
  <c r="S1147" i="8" s="1"/>
  <c r="R1147" i="8"/>
  <c r="Q1160" i="19"/>
  <c r="R1160" i="19" s="1"/>
  <c r="Q1159" i="8"/>
  <c r="V1159" i="8" s="1" a="1"/>
  <c r="V1159" i="8" s="1"/>
  <c r="Q1190" i="19"/>
  <c r="R1190" i="19" s="1"/>
  <c r="Q1189" i="8"/>
  <c r="V1189" i="8" s="1" a="1"/>
  <c r="V1189" i="8" s="1"/>
  <c r="Q1262" i="19"/>
  <c r="R1262" i="19" s="1"/>
  <c r="Q1261" i="8"/>
  <c r="V1261" i="8" s="1" a="1"/>
  <c r="V1261" i="8" s="1"/>
  <c r="Q1281" i="19"/>
  <c r="R1281" i="19" s="1"/>
  <c r="Q1280" i="8"/>
  <c r="V1280" i="8" s="1" a="1"/>
  <c r="V1280" i="8" s="1"/>
  <c r="Q1613" i="19"/>
  <c r="R1613" i="19" s="1"/>
  <c r="Q1612" i="8"/>
  <c r="V1612" i="8" s="1" a="1"/>
  <c r="V1612" i="8" s="1"/>
  <c r="Q960" i="19"/>
  <c r="R960" i="19" s="1"/>
  <c r="Q383" i="8"/>
  <c r="V383" i="8" s="1" a="1"/>
  <c r="V383" i="8" s="1"/>
  <c r="Q972" i="19"/>
  <c r="R972" i="19" s="1"/>
  <c r="Q392" i="8"/>
  <c r="V392" i="8" s="1" a="1"/>
  <c r="V392" i="8" s="1"/>
  <c r="Q669" i="19"/>
  <c r="R669" i="19" s="1"/>
  <c r="Q668" i="8"/>
  <c r="V668" i="8" s="1" a="1"/>
  <c r="V668" i="8" s="1"/>
  <c r="Q989" i="19"/>
  <c r="R989" i="19" s="1"/>
  <c r="Q278" i="8"/>
  <c r="V278" i="8" s="1" a="1"/>
  <c r="V278" i="8" s="1"/>
  <c r="S1003" i="19"/>
  <c r="S1002" i="8" s="1"/>
  <c r="R1002" i="8"/>
  <c r="S1029" i="19"/>
  <c r="S1028" i="8" s="1"/>
  <c r="R1028" i="8"/>
  <c r="S1041" i="19"/>
  <c r="S1040" i="8" s="1"/>
  <c r="R1040" i="8"/>
  <c r="S1065" i="19"/>
  <c r="S1064" i="8" s="1"/>
  <c r="R1064" i="8"/>
  <c r="S1132" i="19"/>
  <c r="S1131" i="8" s="1"/>
  <c r="R1131" i="8"/>
  <c r="S1158" i="19"/>
  <c r="S1157" i="8" s="1"/>
  <c r="R1157" i="8"/>
  <c r="Q1223" i="19"/>
  <c r="R1223" i="19" s="1"/>
  <c r="Q1222" i="8"/>
  <c r="V1222" i="8" s="1" a="1"/>
  <c r="V1222" i="8" s="1"/>
  <c r="S1267" i="19"/>
  <c r="S1266" i="8" s="1"/>
  <c r="R1266" i="8"/>
  <c r="Q1345" i="8"/>
  <c r="V1345" i="8" s="1" a="1"/>
  <c r="V1345" i="8" s="1"/>
  <c r="Q1346" i="19"/>
  <c r="R1346" i="19" s="1"/>
  <c r="S1444" i="19"/>
  <c r="S1443" i="8" s="1"/>
  <c r="R1443" i="8"/>
  <c r="Q1039" i="19"/>
  <c r="R1039" i="19" s="1"/>
  <c r="Q1038" i="8"/>
  <c r="V1038" i="8" s="1" a="1"/>
  <c r="V1038" i="8" s="1"/>
  <c r="S1059" i="19"/>
  <c r="S1058" i="8" s="1"/>
  <c r="R1058" i="8"/>
  <c r="Q1401" i="19"/>
  <c r="R1401" i="19" s="1"/>
  <c r="Q1400" i="8"/>
  <c r="V1400" i="8" s="1" a="1"/>
  <c r="V1400" i="8" s="1"/>
  <c r="Q1435" i="19"/>
  <c r="R1435" i="19" s="1"/>
  <c r="Q1434" i="8"/>
  <c r="V1434" i="8" s="1" a="1"/>
  <c r="V1434" i="8" s="1"/>
  <c r="Q1459" i="19"/>
  <c r="R1459" i="19" s="1"/>
  <c r="Q1458" i="8"/>
  <c r="V1458" i="8" s="1" a="1"/>
  <c r="V1458" i="8" s="1"/>
  <c r="Q1475" i="19"/>
  <c r="R1475" i="19" s="1"/>
  <c r="Q1474" i="8"/>
  <c r="V1474" i="8" s="1" a="1"/>
  <c r="V1474" i="8" s="1"/>
  <c r="Q1528" i="19"/>
  <c r="R1528" i="19" s="1"/>
  <c r="Q1527" i="8"/>
  <c r="V1527" i="8" s="1" a="1"/>
  <c r="V1527" i="8" s="1"/>
  <c r="R1533" i="8"/>
  <c r="S1534" i="19"/>
  <c r="S1533" i="8" s="1"/>
  <c r="Q1547" i="19"/>
  <c r="R1547" i="19" s="1"/>
  <c r="Q1546" i="8"/>
  <c r="V1546" i="8" s="1" a="1"/>
  <c r="V1546" i="8" s="1"/>
  <c r="Q1593" i="19"/>
  <c r="R1593" i="19" s="1"/>
  <c r="Q1592" i="8"/>
  <c r="V1592" i="8" s="1" a="1"/>
  <c r="V1592" i="8" s="1"/>
  <c r="Q809" i="19"/>
  <c r="R809" i="19" s="1"/>
  <c r="Q808" i="8"/>
  <c r="V808" i="8" s="1" a="1"/>
  <c r="V808" i="8" s="1"/>
  <c r="Q825" i="19"/>
  <c r="R825" i="19" s="1"/>
  <c r="Q824" i="8"/>
  <c r="V824" i="8" s="1" a="1"/>
  <c r="V824" i="8" s="1"/>
  <c r="S911" i="19"/>
  <c r="S910" i="8" s="1"/>
  <c r="R910" i="8"/>
  <c r="S380" i="19"/>
  <c r="S412" i="19"/>
  <c r="S411" i="8" s="1"/>
  <c r="R411" i="8"/>
  <c r="S534" i="19"/>
  <c r="S622" i="19"/>
  <c r="S621" i="8" s="1"/>
  <c r="R621" i="8"/>
  <c r="S1031" i="19"/>
  <c r="S1030" i="8" s="1"/>
  <c r="R1030" i="8"/>
  <c r="S1037" i="19"/>
  <c r="S1036" i="8" s="1"/>
  <c r="R1036" i="8"/>
  <c r="Q1126" i="19"/>
  <c r="R1126" i="19" s="1"/>
  <c r="Q1125" i="8"/>
  <c r="V1125" i="8" s="1" a="1"/>
  <c r="V1125" i="8" s="1"/>
  <c r="S1201" i="19"/>
  <c r="S1200" i="8" s="1"/>
  <c r="R1200" i="8"/>
  <c r="S1219" i="19"/>
  <c r="S1218" i="8" s="1"/>
  <c r="R1218" i="8"/>
  <c r="Q1382" i="19"/>
  <c r="R1382" i="19" s="1"/>
  <c r="Q1381" i="8"/>
  <c r="V1381" i="8" s="1" a="1"/>
  <c r="V1381" i="8" s="1"/>
  <c r="S1402" i="19"/>
  <c r="S1401" i="8" s="1"/>
  <c r="R1401" i="8"/>
  <c r="Q1451" i="19"/>
  <c r="R1451" i="19" s="1"/>
  <c r="Q1450" i="8"/>
  <c r="V1450" i="8" s="1" a="1"/>
  <c r="V1450" i="8" s="1"/>
  <c r="Q1565" i="19"/>
  <c r="R1565" i="19" s="1"/>
  <c r="Q1564" i="8"/>
  <c r="V1564" i="8" s="1" a="1"/>
  <c r="V1564" i="8" s="1"/>
  <c r="Q1583" i="19"/>
  <c r="R1583" i="19" s="1"/>
  <c r="Q1582" i="8"/>
  <c r="V1582" i="8" s="1" a="1"/>
  <c r="V1582" i="8" s="1"/>
  <c r="S1609" i="19"/>
  <c r="S1608" i="8" s="1"/>
  <c r="R1608" i="8"/>
  <c r="S1621" i="19"/>
  <c r="S1620" i="8" s="1"/>
  <c r="R1620" i="8"/>
  <c r="S653" i="19"/>
  <c r="S652" i="8" s="1"/>
  <c r="R652" i="8"/>
  <c r="Q698" i="8"/>
  <c r="V698" i="8" s="1" a="1"/>
  <c r="V698" i="8" s="1"/>
  <c r="Q699" i="19"/>
  <c r="R699" i="19" s="1"/>
  <c r="S711" i="19"/>
  <c r="S710" i="8" s="1"/>
  <c r="R710" i="8"/>
  <c r="S735" i="19"/>
  <c r="S734" i="8" s="1"/>
  <c r="R734" i="8"/>
  <c r="Q747" i="19"/>
  <c r="R747" i="19" s="1"/>
  <c r="Q746" i="8"/>
  <c r="V746" i="8" s="1" a="1"/>
  <c r="V746" i="8" s="1"/>
  <c r="Q793" i="19"/>
  <c r="R793" i="19" s="1"/>
  <c r="Q792" i="8"/>
  <c r="V792" i="8" s="1" a="1"/>
  <c r="V792" i="8" s="1"/>
  <c r="Q879" i="19"/>
  <c r="R879" i="19" s="1"/>
  <c r="Q878" i="8"/>
  <c r="V878" i="8" s="1" a="1"/>
  <c r="V878" i="8" s="1"/>
  <c r="Q391" i="19"/>
  <c r="R391" i="19" s="1"/>
  <c r="Q408" i="19"/>
  <c r="R408" i="19" s="1"/>
  <c r="Q407" i="8"/>
  <c r="V407" i="8" s="1" a="1"/>
  <c r="V407" i="8" s="1"/>
  <c r="Q443" i="8"/>
  <c r="V443" i="8" s="1" a="1"/>
  <c r="V443" i="8" s="1"/>
  <c r="Q444" i="19"/>
  <c r="R444" i="19" s="1"/>
  <c r="Q498" i="19"/>
  <c r="R498" i="19" s="1"/>
  <c r="Q497" i="8"/>
  <c r="V497" i="8" s="1" a="1"/>
  <c r="V497" i="8" s="1"/>
  <c r="Q552" i="19"/>
  <c r="R552" i="19" s="1"/>
  <c r="Q551" i="8"/>
  <c r="V551" i="8" s="1" a="1"/>
  <c r="V551" i="8" s="1"/>
  <c r="Q572" i="19"/>
  <c r="R572" i="19" s="1"/>
  <c r="Q571" i="8"/>
  <c r="V571" i="8" s="1" a="1"/>
  <c r="V571" i="8" s="1"/>
  <c r="Q617" i="19"/>
  <c r="R617" i="19" s="1"/>
  <c r="Q616" i="8"/>
  <c r="V616" i="8" s="1" a="1"/>
  <c r="V616" i="8" s="1"/>
  <c r="Q646" i="19"/>
  <c r="R646" i="19" s="1"/>
  <c r="Q645" i="8"/>
  <c r="V645" i="8" s="1" a="1"/>
  <c r="V645" i="8" s="1"/>
  <c r="Q999" i="19"/>
  <c r="R999" i="19" s="1"/>
  <c r="Q998" i="8"/>
  <c r="V998" i="8" s="1" a="1"/>
  <c r="V998" i="8" s="1"/>
  <c r="Q1049" i="19"/>
  <c r="R1049" i="19" s="1"/>
  <c r="Q1048" i="8"/>
  <c r="V1048" i="8" s="1" a="1"/>
  <c r="V1048" i="8" s="1"/>
  <c r="Q1370" i="19"/>
  <c r="R1370" i="19" s="1"/>
  <c r="Q1369" i="8"/>
  <c r="V1369" i="8" s="1" a="1"/>
  <c r="V1369" i="8" s="1"/>
  <c r="S1500" i="19"/>
  <c r="S1499" i="8" s="1"/>
  <c r="R1499" i="8"/>
  <c r="S1510" i="19"/>
  <c r="S1509" i="8" s="1"/>
  <c r="R1509" i="8"/>
  <c r="Q1611" i="19"/>
  <c r="R1611" i="19" s="1"/>
  <c r="Q1610" i="8"/>
  <c r="V1610" i="8" s="1" a="1"/>
  <c r="V1610" i="8" s="1"/>
  <c r="S721" i="19"/>
  <c r="S720" i="8" s="1"/>
  <c r="R720" i="8"/>
  <c r="S769" i="19"/>
  <c r="S768" i="8" s="1"/>
  <c r="R768" i="8"/>
  <c r="S795" i="19"/>
  <c r="S794" i="8" s="1"/>
  <c r="R794" i="8"/>
  <c r="S1021" i="19"/>
  <c r="S1020" i="8" s="1"/>
  <c r="R1020" i="8"/>
  <c r="Q1154" i="19"/>
  <c r="R1154" i="19" s="1"/>
  <c r="Q1153" i="8"/>
  <c r="V1153" i="8" s="1" a="1"/>
  <c r="V1153" i="8" s="1"/>
  <c r="S1273" i="19"/>
  <c r="S1272" i="8" s="1"/>
  <c r="R1272" i="8"/>
  <c r="Q1477" i="19"/>
  <c r="R1477" i="19" s="1"/>
  <c r="Q1476" i="8"/>
  <c r="V1476" i="8" s="1" a="1"/>
  <c r="V1476" i="8" s="1"/>
  <c r="S1512" i="19"/>
  <c r="S1511" i="8" s="1"/>
  <c r="R1511" i="8"/>
  <c r="S1567" i="19"/>
  <c r="S1566" i="8" s="1"/>
  <c r="R1566" i="8"/>
  <c r="Q953" i="19"/>
  <c r="R953" i="19" s="1"/>
  <c r="Q952" i="8"/>
  <c r="V952" i="8" s="1" a="1"/>
  <c r="V952" i="8" s="1"/>
  <c r="Q789" i="19"/>
  <c r="R789" i="19" s="1"/>
  <c r="Q788" i="8"/>
  <c r="V788" i="8" s="1" a="1"/>
  <c r="V788" i="8" s="1"/>
  <c r="Q853" i="19"/>
  <c r="R853" i="19" s="1"/>
  <c r="Q852" i="8"/>
  <c r="V852" i="8" s="1" a="1"/>
  <c r="V852" i="8" s="1"/>
  <c r="Q867" i="19"/>
  <c r="R867" i="19" s="1"/>
  <c r="Q866" i="8"/>
  <c r="V866" i="8" s="1" a="1"/>
  <c r="V866" i="8" s="1"/>
  <c r="Q902" i="19"/>
  <c r="R902" i="19" s="1"/>
  <c r="Q901" i="8"/>
  <c r="V901" i="8" s="1" a="1"/>
  <c r="V901" i="8" s="1"/>
  <c r="Q379" i="19"/>
  <c r="R379" i="19" s="1"/>
  <c r="Q415" i="19"/>
  <c r="R415" i="19" s="1"/>
  <c r="Q414" i="8"/>
  <c r="V414" i="8" s="1" a="1"/>
  <c r="V414" i="8" s="1"/>
  <c r="Q506" i="19"/>
  <c r="R506" i="19" s="1"/>
  <c r="Q505" i="8"/>
  <c r="V505" i="8" s="1" a="1"/>
  <c r="V505" i="8" s="1"/>
  <c r="Q533" i="19"/>
  <c r="R533" i="19" s="1"/>
  <c r="Q189" i="8"/>
  <c r="V189" i="8" s="1" a="1"/>
  <c r="V189" i="8" s="1"/>
  <c r="Q542" i="19"/>
  <c r="R542" i="19" s="1"/>
  <c r="Q296" i="8"/>
  <c r="V296" i="8" s="1" a="1"/>
  <c r="V296" i="8" s="1"/>
  <c r="Q550" i="19"/>
  <c r="R550" i="19" s="1"/>
  <c r="Q549" i="8"/>
  <c r="V549" i="8" s="1" a="1"/>
  <c r="V549" i="8" s="1"/>
  <c r="Q606" i="19"/>
  <c r="R606" i="19" s="1"/>
  <c r="Q284" i="8"/>
  <c r="V284" i="8" s="1" a="1"/>
  <c r="V284" i="8" s="1"/>
  <c r="Q1203" i="19"/>
  <c r="R1203" i="19" s="1"/>
  <c r="Q1202" i="8"/>
  <c r="V1202" i="8" s="1" a="1"/>
  <c r="V1202" i="8" s="1"/>
  <c r="S1366" i="19"/>
  <c r="S1365" i="8" s="1"/>
  <c r="R1365" i="8"/>
  <c r="Q1417" i="19"/>
  <c r="R1417" i="19" s="1"/>
  <c r="Q1416" i="8"/>
  <c r="V1416" i="8" s="1" a="1"/>
  <c r="V1416" i="8" s="1"/>
  <c r="S1452" i="19"/>
  <c r="S1451" i="8" s="1"/>
  <c r="R1451" i="8"/>
  <c r="S1524" i="19"/>
  <c r="S1523" i="8" s="1"/>
  <c r="R1523" i="8"/>
  <c r="Q1545" i="19"/>
  <c r="R1545" i="19" s="1"/>
  <c r="Q1544" i="8"/>
  <c r="V1544" i="8" s="1" a="1"/>
  <c r="V1544" i="8" s="1"/>
  <c r="Q1553" i="19"/>
  <c r="R1553" i="19" s="1"/>
  <c r="Q1552" i="8"/>
  <c r="V1552" i="8" s="1" a="1"/>
  <c r="V1552" i="8" s="1"/>
  <c r="S1571" i="19"/>
  <c r="S1570" i="8" s="1"/>
  <c r="R1570" i="8"/>
  <c r="Q1589" i="19"/>
  <c r="R1589" i="19" s="1"/>
  <c r="Q1588" i="8"/>
  <c r="V1588" i="8" s="1" a="1"/>
  <c r="V1588" i="8" s="1"/>
  <c r="S855" i="19"/>
  <c r="S854" i="8" s="1"/>
  <c r="R854" i="8"/>
  <c r="S483" i="19"/>
  <c r="S482" i="8" s="1"/>
  <c r="R482" i="8"/>
  <c r="S536" i="19"/>
  <c r="S875" i="19"/>
  <c r="S874" i="8" s="1"/>
  <c r="R874" i="8"/>
  <c r="S903" i="19"/>
  <c r="S902" i="8" s="1"/>
  <c r="R902" i="8"/>
  <c r="Q621" i="19"/>
  <c r="R621" i="19" s="1"/>
  <c r="Q620" i="8"/>
  <c r="V620" i="8" s="1" a="1"/>
  <c r="V620" i="8" s="1"/>
  <c r="Q897" i="19"/>
  <c r="R897" i="19" s="1"/>
  <c r="Q896" i="8"/>
  <c r="V896" i="8" s="1" a="1"/>
  <c r="V896" i="8" s="1"/>
  <c r="Q394" i="19"/>
  <c r="R394" i="19" s="1"/>
  <c r="Q508" i="19"/>
  <c r="R508" i="19" s="1"/>
  <c r="Q507" i="8"/>
  <c r="V507" i="8" s="1" a="1"/>
  <c r="V507" i="8" s="1"/>
  <c r="S618" i="19"/>
  <c r="S617" i="8" s="1"/>
  <c r="R617" i="8"/>
  <c r="S382" i="19"/>
  <c r="Q401" i="19"/>
  <c r="R401" i="19" s="1"/>
  <c r="Q400" i="8"/>
  <c r="V400" i="8" s="1" a="1"/>
  <c r="V400" i="8" s="1"/>
  <c r="Q454" i="19"/>
  <c r="R454" i="19" s="1"/>
  <c r="Q453" i="8"/>
  <c r="V453" i="8" s="1" a="1"/>
  <c r="V453" i="8" s="1"/>
  <c r="S549" i="19"/>
  <c r="S548" i="8" s="1"/>
  <c r="R548" i="8"/>
  <c r="S613" i="19"/>
  <c r="S291" i="8" s="1"/>
  <c r="R291" i="8"/>
  <c r="Q487" i="19"/>
  <c r="R487" i="19" s="1"/>
  <c r="Q486" i="8"/>
  <c r="V486" i="8" s="1" a="1"/>
  <c r="V486" i="8" s="1"/>
  <c r="Q456" i="19"/>
  <c r="R456" i="19" s="1"/>
  <c r="Q455" i="8"/>
  <c r="V455" i="8" s="1" a="1"/>
  <c r="V455" i="8" s="1"/>
  <c r="Q609" i="19"/>
  <c r="R609" i="19" s="1"/>
  <c r="Q287" i="8"/>
  <c r="V287" i="8" s="1" a="1"/>
  <c r="V287" i="8" s="1"/>
  <c r="Q636" i="19"/>
  <c r="R636" i="19" s="1"/>
  <c r="Q635" i="8"/>
  <c r="V635" i="8" s="1" a="1"/>
  <c r="V635" i="8" s="1"/>
  <c r="Q513" i="19"/>
  <c r="R513" i="19" s="1"/>
  <c r="Q512" i="8"/>
  <c r="V512" i="8" s="1" a="1"/>
  <c r="V512" i="8" s="1"/>
  <c r="S668" i="19"/>
  <c r="S667" i="8" s="1"/>
  <c r="R667" i="8"/>
  <c r="Q696" i="19"/>
  <c r="R696" i="19" s="1"/>
  <c r="Q695" i="8"/>
  <c r="V695" i="8" s="1" a="1"/>
  <c r="V695" i="8" s="1"/>
  <c r="Q768" i="19"/>
  <c r="R768" i="19" s="1"/>
  <c r="Q767" i="8"/>
  <c r="V767" i="8" s="1" a="1"/>
  <c r="V767" i="8" s="1"/>
  <c r="Q762" i="19"/>
  <c r="R762" i="19" s="1"/>
  <c r="Q761" i="8"/>
  <c r="V761" i="8" s="1" a="1"/>
  <c r="V761" i="8" s="1"/>
  <c r="Q728" i="19"/>
  <c r="R728" i="19" s="1"/>
  <c r="Q727" i="8"/>
  <c r="V727" i="8" s="1" a="1"/>
  <c r="V727" i="8" s="1"/>
  <c r="S890" i="19"/>
  <c r="S889" i="8" s="1"/>
  <c r="R889" i="8"/>
  <c r="S810" i="19"/>
  <c r="S809" i="8" s="1"/>
  <c r="R809" i="8"/>
  <c r="Q885" i="19"/>
  <c r="R885" i="19" s="1"/>
  <c r="Q884" i="8"/>
  <c r="V884" i="8" s="1" a="1"/>
  <c r="V884" i="8" s="1"/>
  <c r="Q812" i="19"/>
  <c r="R812" i="19" s="1"/>
  <c r="Q811" i="8"/>
  <c r="V811" i="8" s="1" a="1"/>
  <c r="V811" i="8" s="1"/>
  <c r="Q1000" i="19"/>
  <c r="R1000" i="19" s="1"/>
  <c r="Q999" i="8"/>
  <c r="V999" i="8" s="1" a="1"/>
  <c r="V999" i="8" s="1"/>
  <c r="Q1022" i="19"/>
  <c r="R1022" i="19" s="1"/>
  <c r="Q1021" i="8"/>
  <c r="V1021" i="8" s="1" a="1"/>
  <c r="V1021" i="8" s="1"/>
  <c r="Q992" i="19"/>
  <c r="R992" i="19" s="1"/>
  <c r="Q991" i="8"/>
  <c r="V991" i="8" s="1" a="1"/>
  <c r="V991" i="8" s="1"/>
  <c r="Q1135" i="19"/>
  <c r="R1135" i="19" s="1"/>
  <c r="Q1134" i="8"/>
  <c r="V1134" i="8" s="1" a="1"/>
  <c r="V1134" i="8" s="1"/>
  <c r="Q1100" i="19"/>
  <c r="R1100" i="19" s="1"/>
  <c r="Q1099" i="8"/>
  <c r="V1099" i="8" s="1" a="1"/>
  <c r="V1099" i="8" s="1"/>
  <c r="Q1197" i="19"/>
  <c r="R1197" i="19" s="1"/>
  <c r="Q1196" i="8"/>
  <c r="V1196" i="8" s="1" a="1"/>
  <c r="V1196" i="8" s="1"/>
  <c r="Q1212" i="19"/>
  <c r="R1212" i="19" s="1"/>
  <c r="Q1211" i="8"/>
  <c r="V1211" i="8" s="1" a="1"/>
  <c r="V1211" i="8" s="1"/>
  <c r="Q1280" i="19"/>
  <c r="R1280" i="19" s="1"/>
  <c r="Q1279" i="8"/>
  <c r="V1279" i="8" s="1" a="1"/>
  <c r="V1279" i="8" s="1"/>
  <c r="Q1403" i="19"/>
  <c r="R1403" i="19" s="1"/>
  <c r="Q1402" i="8"/>
  <c r="V1402" i="8" s="1" a="1"/>
  <c r="V1402" i="8" s="1"/>
  <c r="Q1352" i="19"/>
  <c r="R1352" i="19" s="1"/>
  <c r="Q1351" i="8"/>
  <c r="V1351" i="8" s="1" a="1"/>
  <c r="V1351" i="8" s="1"/>
  <c r="Q1181" i="19"/>
  <c r="R1181" i="19" s="1"/>
  <c r="Q1180" i="8"/>
  <c r="V1180" i="8" s="1" a="1"/>
  <c r="V1180" i="8" s="1"/>
  <c r="Q1380" i="19"/>
  <c r="R1380" i="19" s="1"/>
  <c r="Q1379" i="8"/>
  <c r="V1379" i="8" s="1" a="1"/>
  <c r="V1379" i="8" s="1"/>
  <c r="S1531" i="19"/>
  <c r="S1530" i="8" s="1"/>
  <c r="R1530" i="8"/>
  <c r="Q1383" i="19"/>
  <c r="R1383" i="19" s="1"/>
  <c r="Q1382" i="8"/>
  <c r="V1382" i="8" s="1" a="1"/>
  <c r="V1382" i="8" s="1"/>
  <c r="Q1514" i="19"/>
  <c r="R1514" i="19" s="1"/>
  <c r="Q1513" i="8"/>
  <c r="V1513" i="8" s="1" a="1"/>
  <c r="V1513" i="8" s="1"/>
  <c r="Q1466" i="19"/>
  <c r="R1466" i="19" s="1"/>
  <c r="Q1465" i="8"/>
  <c r="V1465" i="8" s="1" a="1"/>
  <c r="V1465" i="8" s="1"/>
  <c r="Q1503" i="19"/>
  <c r="R1503" i="19" s="1"/>
  <c r="Q1502" i="8"/>
  <c r="V1502" i="8" s="1" a="1"/>
  <c r="V1502" i="8" s="1"/>
  <c r="Q1594" i="19"/>
  <c r="R1594" i="19" s="1"/>
  <c r="Q1593" i="8"/>
  <c r="V1593" i="8" s="1" a="1"/>
  <c r="V1593" i="8" s="1"/>
  <c r="Q1533" i="19"/>
  <c r="R1533" i="19" s="1"/>
  <c r="Q1532" i="8"/>
  <c r="V1532" i="8" s="1" a="1"/>
  <c r="V1532" i="8" s="1"/>
  <c r="Q1389" i="19"/>
  <c r="R1389" i="19" s="1"/>
  <c r="Q1388" i="8"/>
  <c r="V1388" i="8" s="1" a="1"/>
  <c r="V1388" i="8" s="1"/>
  <c r="Q1179" i="19"/>
  <c r="R1179" i="19" s="1"/>
  <c r="Q1178" i="8"/>
  <c r="V1178" i="8" s="1" a="1"/>
  <c r="V1178" i="8" s="1"/>
  <c r="Q664" i="19"/>
  <c r="R664" i="19" s="1"/>
  <c r="Q663" i="8"/>
  <c r="V663" i="8" s="1" a="1"/>
  <c r="V663" i="8" s="1"/>
  <c r="Q971" i="19"/>
  <c r="R971" i="19" s="1"/>
  <c r="Q970" i="8"/>
  <c r="V970" i="8" s="1" a="1"/>
  <c r="V970" i="8" s="1"/>
  <c r="S993" i="19"/>
  <c r="S992" i="8" s="1"/>
  <c r="R992" i="8"/>
  <c r="Q1336" i="19"/>
  <c r="R1336" i="19" s="1"/>
  <c r="Q1335" i="8"/>
  <c r="V1335" i="8" s="1" a="1"/>
  <c r="V1335" i="8" s="1"/>
  <c r="Q1561" i="19"/>
  <c r="R1561" i="19" s="1"/>
  <c r="Q1560" i="8"/>
  <c r="V1560" i="8" s="1" a="1"/>
  <c r="V1560" i="8" s="1"/>
  <c r="Q689" i="19"/>
  <c r="R689" i="19" s="1"/>
  <c r="Q688" i="8"/>
  <c r="V688" i="8" s="1" a="1"/>
  <c r="V688" i="8" s="1"/>
  <c r="S779" i="19"/>
  <c r="S778" i="8" s="1"/>
  <c r="R778" i="8"/>
  <c r="Q1447" i="19"/>
  <c r="R1447" i="19" s="1"/>
  <c r="Q1446" i="8"/>
  <c r="V1446" i="8" s="1" a="1"/>
  <c r="V1446" i="8" s="1"/>
  <c r="S691" i="19"/>
  <c r="S690" i="8" s="1"/>
  <c r="R690" i="8"/>
  <c r="Q378" i="19"/>
  <c r="R378" i="19" s="1"/>
  <c r="Q441" i="19"/>
  <c r="R441" i="19" s="1"/>
  <c r="Q440" i="8"/>
  <c r="V440" i="8" s="1" a="1"/>
  <c r="V440" i="8" s="1"/>
  <c r="Q560" i="19"/>
  <c r="R560" i="19" s="1"/>
  <c r="Q559" i="8"/>
  <c r="V559" i="8" s="1" a="1"/>
  <c r="V559" i="8" s="1"/>
  <c r="Q1072" i="19"/>
  <c r="R1072" i="19" s="1"/>
  <c r="Q1071" i="8"/>
  <c r="V1071" i="8" s="1" a="1"/>
  <c r="V1071" i="8" s="1"/>
  <c r="Q655" i="19"/>
  <c r="R655" i="19" s="1"/>
  <c r="Q654" i="8"/>
  <c r="V654" i="8" s="1" a="1"/>
  <c r="V654" i="8" s="1"/>
  <c r="S1183" i="19"/>
  <c r="S1182" i="8" s="1"/>
  <c r="R1182" i="8"/>
  <c r="S1617" i="19"/>
  <c r="S1616" i="8" s="1"/>
  <c r="R1616" i="8"/>
  <c r="Q773" i="19"/>
  <c r="R773" i="19" s="1"/>
  <c r="Q772" i="8"/>
  <c r="V772" i="8" s="1" a="1"/>
  <c r="V772" i="8" s="1"/>
  <c r="Q895" i="19"/>
  <c r="R895" i="19" s="1"/>
  <c r="Q894" i="8"/>
  <c r="V894" i="8" s="1" a="1"/>
  <c r="V894" i="8" s="1"/>
  <c r="Q433" i="19"/>
  <c r="R433" i="19" s="1"/>
  <c r="Q167" i="8"/>
  <c r="V167" i="8" s="1" a="1"/>
  <c r="V167" i="8" s="1"/>
  <c r="Q464" i="19"/>
  <c r="R464" i="19" s="1"/>
  <c r="Q463" i="8"/>
  <c r="V463" i="8" s="1" a="1"/>
  <c r="V463" i="8" s="1"/>
  <c r="Q566" i="19"/>
  <c r="R566" i="19" s="1"/>
  <c r="Q565" i="8"/>
  <c r="V565" i="8" s="1" a="1"/>
  <c r="V565" i="8" s="1"/>
  <c r="Q597" i="19"/>
  <c r="R597" i="19" s="1"/>
  <c r="Q218" i="8"/>
  <c r="V218" i="8" s="1" a="1"/>
  <c r="V218" i="8" s="1"/>
  <c r="Q605" i="19"/>
  <c r="R605" i="19" s="1"/>
  <c r="Q229" i="8"/>
  <c r="V229" i="8" s="1" a="1"/>
  <c r="V229" i="8" s="1"/>
  <c r="Q643" i="19"/>
  <c r="R643" i="19" s="1"/>
  <c r="Q642" i="8"/>
  <c r="V642" i="8" s="1" a="1"/>
  <c r="V642" i="8" s="1"/>
  <c r="S731" i="19"/>
  <c r="S730" i="8" s="1"/>
  <c r="R730" i="8"/>
  <c r="Q878" i="19"/>
  <c r="R878" i="19" s="1"/>
  <c r="Q877" i="8"/>
  <c r="V877" i="8" s="1" a="1"/>
  <c r="V877" i="8" s="1"/>
  <c r="S449" i="19"/>
  <c r="S448" i="8" s="1"/>
  <c r="R448" i="8"/>
  <c r="Q568" i="19"/>
  <c r="R568" i="19" s="1"/>
  <c r="Q567" i="8"/>
  <c r="V567" i="8" s="1" a="1"/>
  <c r="V567" i="8" s="1"/>
  <c r="S915" i="19"/>
  <c r="S914" i="8" s="1"/>
  <c r="R914" i="8"/>
  <c r="Q370" i="19"/>
  <c r="R370" i="19" s="1"/>
  <c r="Q369" i="8"/>
  <c r="V369" i="8" s="1" a="1"/>
  <c r="V369" i="8" s="1"/>
  <c r="S540" i="19"/>
  <c r="S292" i="8" s="1"/>
  <c r="R292" i="8"/>
  <c r="S919" i="19"/>
  <c r="S918" i="8" s="1"/>
  <c r="R918" i="8"/>
  <c r="Q389" i="19"/>
  <c r="R389" i="19" s="1"/>
  <c r="Q388" i="8"/>
  <c r="V388" i="8" s="1" a="1"/>
  <c r="V388" i="8" s="1"/>
  <c r="Q369" i="19"/>
  <c r="R369" i="19" s="1"/>
  <c r="Q368" i="8"/>
  <c r="V368" i="8" s="1" a="1"/>
  <c r="V368" i="8" s="1"/>
  <c r="S424" i="19"/>
  <c r="S159" i="8" s="1"/>
  <c r="R159" i="8"/>
  <c r="Q450" i="19"/>
  <c r="R450" i="19" s="1"/>
  <c r="Q449" i="8"/>
  <c r="V449" i="8" s="1" a="1"/>
  <c r="V449" i="8" s="1"/>
  <c r="S411" i="19"/>
  <c r="S410" i="8" s="1"/>
  <c r="R410" i="8"/>
  <c r="Q426" i="19"/>
  <c r="R426" i="19" s="1"/>
  <c r="Q161" i="8"/>
  <c r="V161" i="8" s="1" a="1"/>
  <c r="V161" i="8" s="1"/>
  <c r="S448" i="19"/>
  <c r="S447" i="8" s="1"/>
  <c r="R447" i="8"/>
  <c r="S488" i="19"/>
  <c r="S487" i="8" s="1"/>
  <c r="R487" i="8"/>
  <c r="Q555" i="19"/>
  <c r="R555" i="19" s="1"/>
  <c r="Q554" i="8"/>
  <c r="V554" i="8" s="1" a="1"/>
  <c r="V554" i="8" s="1"/>
  <c r="Q619" i="19"/>
  <c r="R619" i="19" s="1"/>
  <c r="Q618" i="8"/>
  <c r="V618" i="8" s="1" a="1"/>
  <c r="V618" i="8" s="1"/>
  <c r="Q462" i="19"/>
  <c r="R462" i="19" s="1"/>
  <c r="Q461" i="8"/>
  <c r="V461" i="8" s="1" a="1"/>
  <c r="V461" i="8" s="1"/>
  <c r="Q559" i="19"/>
  <c r="R559" i="19" s="1"/>
  <c r="Q558" i="8"/>
  <c r="V558" i="8" s="1" a="1"/>
  <c r="V558" i="8" s="1"/>
  <c r="Q575" i="19"/>
  <c r="R575" i="19" s="1"/>
  <c r="Q574" i="8"/>
  <c r="V574" i="8" s="1" a="1"/>
  <c r="V574" i="8" s="1"/>
  <c r="Q607" i="19"/>
  <c r="R607" i="19" s="1"/>
  <c r="Q285" i="8"/>
  <c r="V285" i="8" s="1" a="1"/>
  <c r="V285" i="8" s="1"/>
  <c r="Q468" i="19"/>
  <c r="R468" i="19" s="1"/>
  <c r="Q467" i="8"/>
  <c r="V467" i="8" s="1" a="1"/>
  <c r="V467" i="8" s="1"/>
  <c r="S528" i="19"/>
  <c r="S589" i="19"/>
  <c r="S588" i="8" s="1"/>
  <c r="R588" i="8"/>
  <c r="Q596" i="19"/>
  <c r="R596" i="19" s="1"/>
  <c r="Q595" i="8"/>
  <c r="V595" i="8" s="1" a="1"/>
  <c r="V595" i="8" s="1"/>
  <c r="Q583" i="19"/>
  <c r="R583" i="19" s="1"/>
  <c r="Q582" i="8"/>
  <c r="V582" i="8" s="1" a="1"/>
  <c r="V582" i="8" s="1"/>
  <c r="Q551" i="19"/>
  <c r="R551" i="19" s="1"/>
  <c r="Q550" i="8"/>
  <c r="V550" i="8" s="1" a="1"/>
  <c r="V550" i="8" s="1"/>
  <c r="Q611" i="19"/>
  <c r="R611" i="19" s="1"/>
  <c r="Q289" i="8"/>
  <c r="V289" i="8" s="1" a="1"/>
  <c r="V289" i="8" s="1"/>
  <c r="Q458" i="19"/>
  <c r="R458" i="19" s="1"/>
  <c r="Q457" i="8"/>
  <c r="V457" i="8" s="1" a="1"/>
  <c r="V457" i="8" s="1"/>
  <c r="Q503" i="19"/>
  <c r="R503" i="19" s="1"/>
  <c r="Q502" i="8"/>
  <c r="V502" i="8" s="1" a="1"/>
  <c r="V502" i="8" s="1"/>
  <c r="Q545" i="19"/>
  <c r="R545" i="19" s="1"/>
  <c r="Q544" i="8"/>
  <c r="V544" i="8" s="1" a="1"/>
  <c r="V544" i="8" s="1"/>
  <c r="Q531" i="19"/>
  <c r="R531" i="19" s="1"/>
  <c r="Q188" i="8"/>
  <c r="V188" i="8" s="1" a="1"/>
  <c r="V188" i="8" s="1"/>
  <c r="S573" i="19"/>
  <c r="S572" i="8" s="1"/>
  <c r="R572" i="8"/>
  <c r="Q612" i="19"/>
  <c r="R612" i="19" s="1"/>
  <c r="Q290" i="8"/>
  <c r="V290" i="8" s="1" a="1"/>
  <c r="V290" i="8" s="1"/>
  <c r="Q615" i="19"/>
  <c r="R615" i="19" s="1"/>
  <c r="Q614" i="8"/>
  <c r="V614" i="8" s="1" a="1"/>
  <c r="V614" i="8" s="1"/>
  <c r="Q529" i="19"/>
  <c r="R529" i="19" s="1"/>
  <c r="Q187" i="8"/>
  <c r="V187" i="8" s="1" a="1"/>
  <c r="V187" i="8" s="1"/>
  <c r="Q579" i="19"/>
  <c r="R579" i="19" s="1"/>
  <c r="Q578" i="8"/>
  <c r="V578" i="8" s="1" a="1"/>
  <c r="V578" i="8" s="1"/>
  <c r="Q593" i="19"/>
  <c r="R593" i="19" s="1"/>
  <c r="Q216" i="8"/>
  <c r="V216" i="8" s="1" a="1"/>
  <c r="V216" i="8" s="1"/>
  <c r="Q372" i="19"/>
  <c r="R372" i="19" s="1"/>
  <c r="Q371" i="8"/>
  <c r="V371" i="8" s="1" a="1"/>
  <c r="V371" i="8" s="1"/>
  <c r="Q674" i="19"/>
  <c r="R674" i="19" s="1"/>
  <c r="Q673" i="8"/>
  <c r="V673" i="8" s="1" a="1"/>
  <c r="V673" i="8" s="1"/>
  <c r="Q708" i="19"/>
  <c r="R708" i="19" s="1"/>
  <c r="Q707" i="8"/>
  <c r="V707" i="8" s="1" a="1"/>
  <c r="V707" i="8" s="1"/>
  <c r="S734" i="19"/>
  <c r="S733" i="8" s="1"/>
  <c r="R733" i="8"/>
  <c r="Q670" i="19"/>
  <c r="R670" i="19" s="1"/>
  <c r="Q669" i="8"/>
  <c r="V669" i="8" s="1" a="1"/>
  <c r="V669" i="8" s="1"/>
  <c r="Q686" i="19"/>
  <c r="R686" i="19" s="1"/>
  <c r="Q685" i="8"/>
  <c r="V685" i="8" s="1" a="1"/>
  <c r="V685" i="8" s="1"/>
  <c r="Q712" i="19"/>
  <c r="R712" i="19" s="1"/>
  <c r="Q711" i="8"/>
  <c r="V711" i="8" s="1" a="1"/>
  <c r="V711" i="8" s="1"/>
  <c r="Q714" i="19"/>
  <c r="R714" i="19" s="1"/>
  <c r="Q713" i="8"/>
  <c r="V713" i="8" s="1" a="1"/>
  <c r="V713" i="8" s="1"/>
  <c r="Q744" i="19"/>
  <c r="R744" i="19" s="1"/>
  <c r="Q743" i="8"/>
  <c r="V743" i="8" s="1" a="1"/>
  <c r="V743" i="8" s="1"/>
  <c r="Q746" i="19"/>
  <c r="R746" i="19" s="1"/>
  <c r="Q745" i="8"/>
  <c r="V745" i="8" s="1" a="1"/>
  <c r="V745" i="8" s="1"/>
  <c r="Q776" i="19"/>
  <c r="R776" i="19" s="1"/>
  <c r="Q775" i="8"/>
  <c r="V775" i="8" s="1" a="1"/>
  <c r="V775" i="8" s="1"/>
  <c r="Q840" i="19"/>
  <c r="R840" i="19" s="1"/>
  <c r="Q839" i="8"/>
  <c r="V839" i="8" s="1" a="1"/>
  <c r="V839" i="8" s="1"/>
  <c r="S866" i="19"/>
  <c r="S865" i="8" s="1"/>
  <c r="R865" i="8"/>
  <c r="S758" i="19"/>
  <c r="S757" i="8" s="1"/>
  <c r="R757" i="8"/>
  <c r="S774" i="19"/>
  <c r="S773" i="8" s="1"/>
  <c r="R773" i="8"/>
  <c r="Q695" i="19"/>
  <c r="R695" i="19" s="1"/>
  <c r="Q694" i="8"/>
  <c r="V694" i="8" s="1" a="1"/>
  <c r="V694" i="8" s="1"/>
  <c r="Q701" i="19"/>
  <c r="R701" i="19" s="1"/>
  <c r="Q700" i="8"/>
  <c r="V700" i="8" s="1" a="1"/>
  <c r="V700" i="8" s="1"/>
  <c r="Q817" i="19"/>
  <c r="R817" i="19" s="1"/>
  <c r="Q816" i="8"/>
  <c r="V816" i="8" s="1" a="1"/>
  <c r="V816" i="8" s="1"/>
  <c r="S838" i="19"/>
  <c r="S837" i="8" s="1"/>
  <c r="R837" i="8"/>
  <c r="Q849" i="19"/>
  <c r="R849" i="19" s="1"/>
  <c r="Q848" i="8"/>
  <c r="V848" i="8" s="1" a="1"/>
  <c r="V848" i="8" s="1"/>
  <c r="S870" i="19"/>
  <c r="S869" i="8" s="1"/>
  <c r="R869" i="8"/>
  <c r="Q908" i="19"/>
  <c r="R908" i="19" s="1"/>
  <c r="Q907" i="8"/>
  <c r="V907" i="8" s="1" a="1"/>
  <c r="V907" i="8" s="1"/>
  <c r="S829" i="19"/>
  <c r="S828" i="8" s="1"/>
  <c r="R828" i="8"/>
  <c r="Q860" i="19"/>
  <c r="R860" i="19" s="1"/>
  <c r="Q859" i="8"/>
  <c r="V859" i="8" s="1" a="1"/>
  <c r="V859" i="8" s="1"/>
  <c r="Q862" i="19"/>
  <c r="R862" i="19" s="1"/>
  <c r="Q861" i="8"/>
  <c r="V861" i="8" s="1" a="1"/>
  <c r="V861" i="8" s="1"/>
  <c r="Q896" i="19"/>
  <c r="R896" i="19" s="1"/>
  <c r="Q895" i="8"/>
  <c r="V895" i="8" s="1" a="1"/>
  <c r="V895" i="8" s="1"/>
  <c r="Q820" i="19"/>
  <c r="R820" i="19" s="1"/>
  <c r="Q819" i="8"/>
  <c r="V819" i="8" s="1" a="1"/>
  <c r="V819" i="8" s="1"/>
  <c r="Q833" i="19"/>
  <c r="R833" i="19" s="1"/>
  <c r="Q832" i="8"/>
  <c r="V832" i="8" s="1" a="1"/>
  <c r="V832" i="8" s="1"/>
  <c r="Q852" i="19"/>
  <c r="R852" i="19" s="1"/>
  <c r="Q851" i="8"/>
  <c r="V851" i="8" s="1" a="1"/>
  <c r="V851" i="8" s="1"/>
  <c r="Q865" i="19"/>
  <c r="R865" i="19" s="1"/>
  <c r="Q864" i="8"/>
  <c r="V864" i="8" s="1" a="1"/>
  <c r="V864" i="8" s="1"/>
  <c r="Q881" i="19"/>
  <c r="R881" i="19" s="1"/>
  <c r="Q880" i="8"/>
  <c r="V880" i="8" s="1" a="1"/>
  <c r="V880" i="8" s="1"/>
  <c r="Q898" i="19"/>
  <c r="R898" i="19" s="1"/>
  <c r="Q897" i="8"/>
  <c r="V897" i="8" s="1" a="1"/>
  <c r="V897" i="8" s="1"/>
  <c r="Q913" i="19"/>
  <c r="R913" i="19" s="1"/>
  <c r="Q912" i="8"/>
  <c r="V912" i="8" s="1" a="1"/>
  <c r="V912" i="8" s="1"/>
  <c r="Q917" i="19"/>
  <c r="R917" i="19" s="1"/>
  <c r="Q916" i="8"/>
  <c r="V916" i="8" s="1" a="1"/>
  <c r="V916" i="8" s="1"/>
  <c r="Q921" i="19"/>
  <c r="R921" i="19" s="1"/>
  <c r="Q920" i="8"/>
  <c r="V920" i="8" s="1" a="1"/>
  <c r="V920" i="8" s="1"/>
  <c r="Q925" i="19"/>
  <c r="R925" i="19" s="1"/>
  <c r="Q924" i="8"/>
  <c r="V924" i="8" s="1" a="1"/>
  <c r="V924" i="8" s="1"/>
  <c r="Q929" i="19"/>
  <c r="R929" i="19" s="1"/>
  <c r="Q377" i="8"/>
  <c r="V377" i="8" s="1" a="1"/>
  <c r="V377" i="8" s="1"/>
  <c r="Q933" i="19"/>
  <c r="R933" i="19" s="1"/>
  <c r="Q381" i="8"/>
  <c r="V381" i="8" s="1" a="1"/>
  <c r="V381" i="8" s="1"/>
  <c r="Q937" i="19"/>
  <c r="R937" i="19" s="1"/>
  <c r="Q232" i="8"/>
  <c r="V232" i="8" s="1" a="1"/>
  <c r="V232" i="8" s="1"/>
  <c r="Q752" i="19"/>
  <c r="R752" i="19" s="1"/>
  <c r="Q751" i="8"/>
  <c r="V751" i="8" s="1" a="1"/>
  <c r="V751" i="8" s="1"/>
  <c r="S938" i="19"/>
  <c r="S233" i="8" s="1"/>
  <c r="R233" i="8"/>
  <c r="Q882" i="19"/>
  <c r="R882" i="19" s="1"/>
  <c r="Q881" i="8"/>
  <c r="V881" i="8" s="1" a="1"/>
  <c r="V881" i="8" s="1"/>
  <c r="Q901" i="19"/>
  <c r="R901" i="19" s="1"/>
  <c r="Q900" i="8"/>
  <c r="V900" i="8" s="1" a="1"/>
  <c r="V900" i="8" s="1"/>
  <c r="Q700" i="19"/>
  <c r="R700" i="19" s="1"/>
  <c r="Q699" i="8"/>
  <c r="V699" i="8" s="1" a="1"/>
  <c r="V699" i="8" s="1"/>
  <c r="S970" i="19"/>
  <c r="S969" i="8" s="1"/>
  <c r="R969" i="8"/>
  <c r="Q988" i="19"/>
  <c r="R988" i="19" s="1"/>
  <c r="Q277" i="8"/>
  <c r="V277" i="8" s="1" a="1"/>
  <c r="V277" i="8" s="1"/>
  <c r="S1024" i="19"/>
  <c r="S1023" i="8" s="1"/>
  <c r="R1023" i="8"/>
  <c r="Q1002" i="19"/>
  <c r="R1002" i="19" s="1"/>
  <c r="Q1001" i="8"/>
  <c r="V1001" i="8" s="1" a="1"/>
  <c r="V1001" i="8" s="1"/>
  <c r="Q1018" i="19"/>
  <c r="R1018" i="19" s="1"/>
  <c r="Q1017" i="8"/>
  <c r="V1017" i="8" s="1" a="1"/>
  <c r="V1017" i="8" s="1"/>
  <c r="Q998" i="19"/>
  <c r="R998" i="19" s="1"/>
  <c r="Q997" i="8"/>
  <c r="V997" i="8" s="1" a="1"/>
  <c r="V997" i="8" s="1"/>
  <c r="Q1014" i="19"/>
  <c r="R1014" i="19" s="1"/>
  <c r="Q1013" i="8"/>
  <c r="V1013" i="8" s="1" a="1"/>
  <c r="V1013" i="8" s="1"/>
  <c r="Q1040" i="19"/>
  <c r="R1040" i="19" s="1"/>
  <c r="Q1039" i="8"/>
  <c r="V1039" i="8" s="1" a="1"/>
  <c r="V1039" i="8" s="1"/>
  <c r="Q1020" i="19"/>
  <c r="R1020" i="19" s="1"/>
  <c r="Q1019" i="8"/>
  <c r="V1019" i="8" s="1" a="1"/>
  <c r="V1019" i="8" s="1"/>
  <c r="Q1071" i="19"/>
  <c r="R1071" i="19" s="1"/>
  <c r="Q1070" i="8"/>
  <c r="V1070" i="8" s="1" a="1"/>
  <c r="V1070" i="8" s="1"/>
  <c r="Q1087" i="19"/>
  <c r="R1087" i="19" s="1"/>
  <c r="Q1086" i="8"/>
  <c r="V1086" i="8" s="1" a="1"/>
  <c r="V1086" i="8" s="1"/>
  <c r="Q1084" i="19"/>
  <c r="R1084" i="19" s="1"/>
  <c r="Q1083" i="8"/>
  <c r="V1083" i="8" s="1" a="1"/>
  <c r="V1083" i="8" s="1"/>
  <c r="Q1145" i="19"/>
  <c r="R1145" i="19" s="1"/>
  <c r="Q1144" i="8"/>
  <c r="V1144" i="8" s="1" a="1"/>
  <c r="V1144" i="8" s="1"/>
  <c r="Q1157" i="19"/>
  <c r="R1157" i="19" s="1"/>
  <c r="Q1156" i="8"/>
  <c r="V1156" i="8" s="1" a="1"/>
  <c r="V1156" i="8" s="1"/>
  <c r="Q1008" i="19"/>
  <c r="R1008" i="19" s="1"/>
  <c r="Q1007" i="8"/>
  <c r="V1007" i="8" s="1" a="1"/>
  <c r="V1007" i="8" s="1"/>
  <c r="Q1082" i="19"/>
  <c r="R1082" i="19" s="1"/>
  <c r="Q1081" i="8"/>
  <c r="V1081" i="8" s="1" a="1"/>
  <c r="V1081" i="8" s="1"/>
  <c r="S1127" i="19"/>
  <c r="S1126" i="8" s="1"/>
  <c r="R1126" i="8"/>
  <c r="Q1161" i="19"/>
  <c r="R1161" i="19" s="1"/>
  <c r="Q1160" i="8"/>
  <c r="V1160" i="8" s="1" a="1"/>
  <c r="V1160" i="8" s="1"/>
  <c r="Q1074" i="19"/>
  <c r="R1074" i="19" s="1"/>
  <c r="Q1073" i="8"/>
  <c r="V1073" i="8" s="1" a="1"/>
  <c r="V1073" i="8" s="1"/>
  <c r="Q1121" i="19"/>
  <c r="R1121" i="19" s="1"/>
  <c r="Q1120" i="8"/>
  <c r="V1120" i="8" s="1" a="1"/>
  <c r="V1120" i="8" s="1"/>
  <c r="Q1163" i="19"/>
  <c r="R1163" i="19" s="1"/>
  <c r="Q1162" i="8"/>
  <c r="V1162" i="8" s="1" a="1"/>
  <c r="V1162" i="8" s="1"/>
  <c r="S1214" i="19"/>
  <c r="S1213" i="8" s="1"/>
  <c r="R1213" i="8"/>
  <c r="Q1184" i="19"/>
  <c r="R1184" i="19" s="1"/>
  <c r="Q1183" i="8"/>
  <c r="V1183" i="8" s="1" a="1"/>
  <c r="V1183" i="8" s="1"/>
  <c r="Q1224" i="19"/>
  <c r="R1224" i="19" s="1"/>
  <c r="Q1223" i="8"/>
  <c r="V1223" i="8" s="1" a="1"/>
  <c r="V1223" i="8" s="1"/>
  <c r="Q1226" i="19"/>
  <c r="R1226" i="19" s="1"/>
  <c r="Q1225" i="8"/>
  <c r="V1225" i="8" s="1" a="1"/>
  <c r="V1225" i="8" s="1"/>
  <c r="Q1260" i="19"/>
  <c r="R1260" i="19" s="1"/>
  <c r="Q1259" i="8"/>
  <c r="V1259" i="8" s="1" a="1"/>
  <c r="V1259" i="8" s="1"/>
  <c r="Q1122" i="19"/>
  <c r="R1122" i="19" s="1"/>
  <c r="Q1121" i="8"/>
  <c r="V1121" i="8" s="1" a="1"/>
  <c r="V1121" i="8" s="1"/>
  <c r="S1177" i="19"/>
  <c r="S1176" i="8" s="1"/>
  <c r="R1176" i="8"/>
  <c r="S1185" i="19"/>
  <c r="S1184" i="8" s="1"/>
  <c r="R1184" i="8"/>
  <c r="Q1229" i="19"/>
  <c r="R1229" i="19" s="1"/>
  <c r="Q1228" i="8"/>
  <c r="V1228" i="8" s="1" a="1"/>
  <c r="V1228" i="8" s="1"/>
  <c r="Q1248" i="19"/>
  <c r="R1248" i="19" s="1"/>
  <c r="Q1247" i="8"/>
  <c r="V1247" i="8" s="1" a="1"/>
  <c r="V1247" i="8" s="1"/>
  <c r="Q1222" i="19"/>
  <c r="R1222" i="19" s="1"/>
  <c r="Q1221" i="8"/>
  <c r="V1221" i="8" s="1" a="1"/>
  <c r="V1221" i="8" s="1"/>
  <c r="Q1240" i="19"/>
  <c r="R1240" i="19" s="1"/>
  <c r="Q1239" i="8"/>
  <c r="V1239" i="8" s="1" a="1"/>
  <c r="V1239" i="8" s="1"/>
  <c r="Q1269" i="19"/>
  <c r="R1269" i="19" s="1"/>
  <c r="Q1268" i="8"/>
  <c r="V1268" i="8" s="1" a="1"/>
  <c r="V1268" i="8" s="1"/>
  <c r="Q1272" i="19"/>
  <c r="R1272" i="19" s="1"/>
  <c r="Q1271" i="8"/>
  <c r="V1271" i="8" s="1" a="1"/>
  <c r="V1271" i="8" s="1"/>
  <c r="Q1371" i="19"/>
  <c r="R1371" i="19" s="1"/>
  <c r="Q1370" i="8"/>
  <c r="V1370" i="8" s="1" a="1"/>
  <c r="V1370" i="8" s="1"/>
  <c r="Q1102" i="19"/>
  <c r="R1102" i="19" s="1"/>
  <c r="Q1101" i="8"/>
  <c r="V1101" i="8" s="1" a="1"/>
  <c r="V1101" i="8" s="1"/>
  <c r="Q1189" i="19"/>
  <c r="R1189" i="19" s="1"/>
  <c r="Q1188" i="8"/>
  <c r="V1188" i="8" s="1" a="1"/>
  <c r="V1188" i="8" s="1"/>
  <c r="Q1236" i="19"/>
  <c r="R1236" i="19" s="1"/>
  <c r="Q1235" i="8"/>
  <c r="V1235" i="8" s="1" a="1"/>
  <c r="V1235" i="8" s="1"/>
  <c r="S1288" i="19"/>
  <c r="S1287" i="8" s="1"/>
  <c r="R1287" i="8"/>
  <c r="S1304" i="19"/>
  <c r="S1303" i="8" s="1"/>
  <c r="R1303" i="8"/>
  <c r="S1320" i="19"/>
  <c r="S1319" i="8" s="1"/>
  <c r="R1319" i="8"/>
  <c r="S1329" i="19"/>
  <c r="S1328" i="8" s="1"/>
  <c r="R1328" i="8"/>
  <c r="Q1384" i="19"/>
  <c r="R1384" i="19" s="1"/>
  <c r="Q1383" i="8"/>
  <c r="V1383" i="8" s="1" a="1"/>
  <c r="V1383" i="8" s="1"/>
  <c r="Q1407" i="19"/>
  <c r="R1407" i="19" s="1"/>
  <c r="Q1406" i="8"/>
  <c r="V1406" i="8" s="1" a="1"/>
  <c r="V1406" i="8" s="1"/>
  <c r="Q1303" i="19"/>
  <c r="R1303" i="19" s="1"/>
  <c r="Q1302" i="8"/>
  <c r="V1302" i="8" s="1" a="1"/>
  <c r="V1302" i="8" s="1"/>
  <c r="Q1348" i="19"/>
  <c r="R1348" i="19" s="1"/>
  <c r="Q1347" i="8"/>
  <c r="V1347" i="8" s="1" a="1"/>
  <c r="V1347" i="8" s="1"/>
  <c r="Q1425" i="19"/>
  <c r="R1425" i="19" s="1"/>
  <c r="Q1424" i="8"/>
  <c r="V1424" i="8" s="1" a="1"/>
  <c r="V1424" i="8" s="1"/>
  <c r="S1471" i="19"/>
  <c r="S1470" i="8" s="1"/>
  <c r="R1470" i="8"/>
  <c r="Q1497" i="19"/>
  <c r="R1497" i="19" s="1"/>
  <c r="Q1496" i="8"/>
  <c r="V1496" i="8" s="1" a="1"/>
  <c r="V1496" i="8" s="1"/>
  <c r="Q1513" i="19"/>
  <c r="R1513" i="19" s="1"/>
  <c r="Q1512" i="8"/>
  <c r="V1512" i="8" s="1" a="1"/>
  <c r="V1512" i="8" s="1"/>
  <c r="Q1327" i="19"/>
  <c r="R1327" i="19" s="1"/>
  <c r="Q1326" i="8"/>
  <c r="V1326" i="8" s="1" a="1"/>
  <c r="V1326" i="8" s="1"/>
  <c r="Q1364" i="19"/>
  <c r="R1364" i="19" s="1"/>
  <c r="Q1363" i="8"/>
  <c r="V1363" i="8" s="1" a="1"/>
  <c r="V1363" i="8" s="1"/>
  <c r="Q1409" i="19"/>
  <c r="R1409" i="19" s="1"/>
  <c r="Q1408" i="8"/>
  <c r="V1408" i="8" s="1" a="1"/>
  <c r="V1408" i="8" s="1"/>
  <c r="Q1521" i="19"/>
  <c r="R1521" i="19" s="1"/>
  <c r="Q1520" i="8"/>
  <c r="V1520" i="8" s="1" a="1"/>
  <c r="V1520" i="8" s="1"/>
  <c r="Q1537" i="19"/>
  <c r="R1537" i="19" s="1"/>
  <c r="Q1536" i="8"/>
  <c r="V1536" i="8" s="1" a="1"/>
  <c r="V1536" i="8" s="1"/>
  <c r="Q976" i="19"/>
  <c r="R976" i="19" s="1"/>
  <c r="Q399" i="8"/>
  <c r="V399" i="8" s="1" a="1"/>
  <c r="V399" i="8" s="1"/>
  <c r="Q1291" i="19"/>
  <c r="R1291" i="19" s="1"/>
  <c r="Q1290" i="8"/>
  <c r="V1290" i="8" s="1" a="1"/>
  <c r="V1290" i="8" s="1"/>
  <c r="Q1323" i="19"/>
  <c r="R1323" i="19" s="1"/>
  <c r="Q1322" i="8"/>
  <c r="V1322" i="8" s="1" a="1"/>
  <c r="V1322" i="8" s="1"/>
  <c r="Q1367" i="19"/>
  <c r="R1367" i="19" s="1"/>
  <c r="Q1366" i="8"/>
  <c r="V1366" i="8" s="1" a="1"/>
  <c r="V1366" i="8" s="1"/>
  <c r="Q1415" i="19"/>
  <c r="R1415" i="19" s="1"/>
  <c r="Q1414" i="8"/>
  <c r="V1414" i="8" s="1" a="1"/>
  <c r="V1414" i="8" s="1"/>
  <c r="Q1457" i="19"/>
  <c r="R1457" i="19" s="1"/>
  <c r="Q1456" i="8"/>
  <c r="V1456" i="8" s="1" a="1"/>
  <c r="V1456" i="8" s="1"/>
  <c r="Q1498" i="19"/>
  <c r="R1498" i="19" s="1"/>
  <c r="Q1497" i="8"/>
  <c r="V1497" i="8" s="1" a="1"/>
  <c r="V1497" i="8" s="1"/>
  <c r="Q1522" i="19"/>
  <c r="R1522" i="19" s="1"/>
  <c r="Q1521" i="8"/>
  <c r="V1521" i="8" s="1" a="1"/>
  <c r="V1521" i="8" s="1"/>
  <c r="Q1552" i="19"/>
  <c r="R1552" i="19" s="1"/>
  <c r="Q1551" i="8"/>
  <c r="V1551" i="8" s="1" a="1"/>
  <c r="V1551" i="8" s="1"/>
  <c r="Q1572" i="19"/>
  <c r="R1572" i="19" s="1"/>
  <c r="Q1571" i="8"/>
  <c r="V1571" i="8" s="1" a="1"/>
  <c r="V1571" i="8" s="1"/>
  <c r="Q1599" i="19"/>
  <c r="R1599" i="19" s="1"/>
  <c r="Q1598" i="8"/>
  <c r="V1598" i="8" s="1" a="1"/>
  <c r="V1598" i="8" s="1"/>
  <c r="Q1615" i="19"/>
  <c r="R1615" i="19" s="1"/>
  <c r="Q1614" i="8"/>
  <c r="V1614" i="8" s="1" a="1"/>
  <c r="V1614" i="8" s="1"/>
  <c r="Q1450" i="19"/>
  <c r="R1450" i="19" s="1"/>
  <c r="Q1449" i="8"/>
  <c r="V1449" i="8" s="1" a="1"/>
  <c r="V1449" i="8" s="1"/>
  <c r="Q1143" i="19"/>
  <c r="R1143" i="19" s="1"/>
  <c r="Q1142" i="8"/>
  <c r="V1142" i="8" s="1" a="1"/>
  <c r="V1142" i="8" s="1"/>
  <c r="Q1430" i="19"/>
  <c r="R1430" i="19" s="1"/>
  <c r="Q1429" i="8"/>
  <c r="V1429" i="8" s="1" a="1"/>
  <c r="V1429" i="8" s="1"/>
  <c r="S1588" i="19"/>
  <c r="S1587" i="8" s="1"/>
  <c r="R1587" i="8"/>
  <c r="Q1610" i="19"/>
  <c r="R1610" i="19" s="1"/>
  <c r="Q1609" i="8"/>
  <c r="V1609" i="8" s="1" a="1"/>
  <c r="V1609" i="8" s="1"/>
  <c r="Q1578" i="19"/>
  <c r="R1578" i="19" s="1"/>
  <c r="Q1577" i="8"/>
  <c r="V1577" i="8" s="1" a="1"/>
  <c r="V1577" i="8" s="1"/>
  <c r="Q1598" i="19"/>
  <c r="R1598" i="19" s="1"/>
  <c r="Q1597" i="8"/>
  <c r="V1597" i="8" s="1" a="1"/>
  <c r="V1597" i="8" s="1"/>
  <c r="Q1331" i="19"/>
  <c r="R1331" i="19" s="1"/>
  <c r="Q1330" i="8"/>
  <c r="V1330" i="8" s="1" a="1"/>
  <c r="V1330" i="8" s="1"/>
  <c r="Q1509" i="19"/>
  <c r="R1509" i="19" s="1"/>
  <c r="Q1508" i="8"/>
  <c r="V1508" i="8" s="1" a="1"/>
  <c r="V1508" i="8" s="1"/>
  <c r="Q1558" i="19"/>
  <c r="R1558" i="19" s="1"/>
  <c r="Q1557" i="8"/>
  <c r="V1557" i="8" s="1" a="1"/>
  <c r="V1557" i="8" s="1"/>
  <c r="Q1574" i="19"/>
  <c r="R1574" i="19" s="1"/>
  <c r="Q1573" i="8"/>
  <c r="V1573" i="8" s="1" a="1"/>
  <c r="V1573" i="8" s="1"/>
  <c r="Q1141" i="19"/>
  <c r="R1141" i="19" s="1"/>
  <c r="Q1140" i="8"/>
  <c r="V1140" i="8" s="1" a="1"/>
  <c r="V1140" i="8" s="1"/>
  <c r="Q1376" i="19"/>
  <c r="R1376" i="19" s="1"/>
  <c r="Q1375" i="8"/>
  <c r="V1375" i="8" s="1" a="1"/>
  <c r="V1375" i="8" s="1"/>
  <c r="Q1392" i="19"/>
  <c r="R1392" i="19" s="1"/>
  <c r="Q1391" i="8"/>
  <c r="V1391" i="8" s="1" a="1"/>
  <c r="V1391" i="8" s="1"/>
  <c r="Q1544" i="19"/>
  <c r="R1544" i="19" s="1"/>
  <c r="Q1543" i="8"/>
  <c r="V1543" i="8" s="1" a="1"/>
  <c r="V1543" i="8" s="1"/>
  <c r="Q1614" i="19"/>
  <c r="R1614" i="19" s="1"/>
  <c r="Q1613" i="8"/>
  <c r="V1613" i="8" s="1" a="1"/>
  <c r="V1613" i="8" s="1"/>
  <c r="S962" i="19"/>
  <c r="S961" i="8" s="1"/>
  <c r="R961" i="8"/>
  <c r="Q1107" i="19"/>
  <c r="R1107" i="19" s="1"/>
  <c r="Q1106" i="8"/>
  <c r="V1106" i="8" s="1" a="1"/>
  <c r="V1106" i="8" s="1"/>
  <c r="Q1237" i="8"/>
  <c r="V1237" i="8" s="1" a="1"/>
  <c r="V1237" i="8" s="1"/>
  <c r="Q1238" i="19"/>
  <c r="R1238" i="19" s="1"/>
  <c r="Q1293" i="19"/>
  <c r="R1293" i="19" s="1"/>
  <c r="Q1292" i="8"/>
  <c r="V1292" i="8" s="1" a="1"/>
  <c r="V1292" i="8" s="1"/>
  <c r="Q987" i="19"/>
  <c r="R987" i="19" s="1"/>
  <c r="Q276" i="8"/>
  <c r="V276" i="8" s="1" a="1"/>
  <c r="V276" i="8" s="1"/>
  <c r="S1191" i="19"/>
  <c r="S1190" i="8" s="1"/>
  <c r="R1190" i="8"/>
  <c r="Q1305" i="19"/>
  <c r="R1305" i="19" s="1"/>
  <c r="Q1304" i="8"/>
  <c r="V1304" i="8" s="1" a="1"/>
  <c r="V1304" i="8" s="1"/>
  <c r="Q1540" i="19"/>
  <c r="R1540" i="19" s="1"/>
  <c r="Q1539" i="8"/>
  <c r="V1539" i="8" s="1" a="1"/>
  <c r="V1539" i="8" s="1"/>
  <c r="Q1620" i="19"/>
  <c r="R1620" i="19" s="1"/>
  <c r="Q1619" i="8"/>
  <c r="V1619" i="8" s="1" a="1"/>
  <c r="V1619" i="8" s="1"/>
  <c r="S958" i="19"/>
  <c r="S957" i="8" s="1"/>
  <c r="R957" i="8"/>
  <c r="Q656" i="19"/>
  <c r="R656" i="19" s="1"/>
  <c r="Q655" i="8"/>
  <c r="V655" i="8" s="1" a="1"/>
  <c r="V655" i="8" s="1"/>
  <c r="S995" i="19"/>
  <c r="S994" i="8" s="1"/>
  <c r="R994" i="8"/>
  <c r="Q1033" i="19"/>
  <c r="R1033" i="19" s="1"/>
  <c r="Q1032" i="8"/>
  <c r="V1032" i="8" s="1" a="1"/>
  <c r="V1032" i="8" s="1"/>
  <c r="Q1093" i="19"/>
  <c r="R1093" i="19" s="1"/>
  <c r="Q1092" i="8"/>
  <c r="V1092" i="8" s="1" a="1"/>
  <c r="V1092" i="8" s="1"/>
  <c r="Q1150" i="19"/>
  <c r="R1150" i="19" s="1"/>
  <c r="Q1149" i="8"/>
  <c r="V1149" i="8" s="1" a="1"/>
  <c r="V1149" i="8" s="1"/>
  <c r="Q1164" i="19"/>
  <c r="R1164" i="19" s="1"/>
  <c r="Q1163" i="8"/>
  <c r="V1163" i="8" s="1" a="1"/>
  <c r="V1163" i="8" s="1"/>
  <c r="Q1194" i="8"/>
  <c r="V1194" i="8" s="1" a="1"/>
  <c r="V1194" i="8" s="1"/>
  <c r="Q1195" i="19"/>
  <c r="R1195" i="19" s="1"/>
  <c r="Q1290" i="19"/>
  <c r="R1290" i="19" s="1"/>
  <c r="Q1289" i="8"/>
  <c r="V1289" i="8" s="1" a="1"/>
  <c r="V1289" i="8" s="1"/>
  <c r="Q1341" i="19"/>
  <c r="R1341" i="19" s="1"/>
  <c r="Q1340" i="8"/>
  <c r="V1340" i="8" s="1" a="1"/>
  <c r="V1340" i="8" s="1"/>
  <c r="Q1469" i="19"/>
  <c r="R1469" i="19" s="1"/>
  <c r="Q1468" i="8"/>
  <c r="V1468" i="8" s="1" a="1"/>
  <c r="V1468" i="8" s="1"/>
  <c r="Q946" i="19"/>
  <c r="R946" i="19" s="1"/>
  <c r="Q945" i="8"/>
  <c r="V945" i="8" s="1" a="1"/>
  <c r="V945" i="8" s="1"/>
  <c r="Q964" i="19"/>
  <c r="R964" i="19" s="1"/>
  <c r="Q963" i="8"/>
  <c r="V963" i="8" s="1" a="1"/>
  <c r="V963" i="8" s="1"/>
  <c r="S974" i="19"/>
  <c r="S397" i="8" s="1"/>
  <c r="R397" i="8"/>
  <c r="Q677" i="19"/>
  <c r="R677" i="19" s="1"/>
  <c r="Q676" i="8"/>
  <c r="V676" i="8" s="1" a="1"/>
  <c r="V676" i="8" s="1"/>
  <c r="Q997" i="19"/>
  <c r="R997" i="19" s="1"/>
  <c r="Q996" i="8"/>
  <c r="V996" i="8" s="1" a="1"/>
  <c r="V996" i="8" s="1"/>
  <c r="Q1017" i="19"/>
  <c r="R1017" i="19" s="1"/>
  <c r="Q1016" i="8"/>
  <c r="V1016" i="8" s="1" a="1"/>
  <c r="V1016" i="8" s="1"/>
  <c r="Q1067" i="19"/>
  <c r="R1067" i="19" s="1"/>
  <c r="Q1066" i="8"/>
  <c r="V1066" i="8" s="1" a="1"/>
  <c r="V1066" i="8" s="1"/>
  <c r="Q1211" i="19"/>
  <c r="R1211" i="19" s="1"/>
  <c r="Q1210" i="8"/>
  <c r="V1210" i="8" s="1" a="1"/>
  <c r="V1210" i="8" s="1"/>
  <c r="Q1325" i="19"/>
  <c r="R1325" i="19" s="1"/>
  <c r="Q1324" i="8"/>
  <c r="V1324" i="8" s="1" a="1"/>
  <c r="V1324" i="8" s="1"/>
  <c r="Q1394" i="19"/>
  <c r="R1394" i="19" s="1"/>
  <c r="Q1393" i="8"/>
  <c r="V1393" i="8" s="1" a="1"/>
  <c r="V1393" i="8" s="1"/>
  <c r="Q1019" i="19"/>
  <c r="R1019" i="19" s="1"/>
  <c r="Q1018" i="8"/>
  <c r="V1018" i="8" s="1" a="1"/>
  <c r="V1018" i="8" s="1"/>
  <c r="S1095" i="19"/>
  <c r="S1094" i="8" s="1"/>
  <c r="R1094" i="8"/>
  <c r="S1105" i="19"/>
  <c r="S1104" i="8" s="1"/>
  <c r="R1104" i="8"/>
  <c r="Q1142" i="19"/>
  <c r="R1142" i="19" s="1"/>
  <c r="Q1141" i="8"/>
  <c r="V1141" i="8" s="1" a="1"/>
  <c r="V1141" i="8" s="1"/>
  <c r="Q1257" i="19"/>
  <c r="R1257" i="19" s="1"/>
  <c r="Q1256" i="8"/>
  <c r="V1256" i="8" s="1" a="1"/>
  <c r="V1256" i="8" s="1"/>
  <c r="S1275" i="19"/>
  <c r="S1274" i="8" s="1"/>
  <c r="R1274" i="8"/>
  <c r="S1338" i="19"/>
  <c r="S1337" i="8" s="1"/>
  <c r="R1337" i="8"/>
  <c r="Q1385" i="19"/>
  <c r="R1385" i="19" s="1"/>
  <c r="Q1384" i="8"/>
  <c r="V1384" i="8" s="1" a="1"/>
  <c r="V1384" i="8" s="1"/>
  <c r="Q1414" i="19"/>
  <c r="R1414" i="19" s="1"/>
  <c r="Q1413" i="8"/>
  <c r="V1413" i="8" s="1" a="1"/>
  <c r="V1413" i="8" s="1"/>
  <c r="Q1502" i="19"/>
  <c r="R1502" i="19" s="1"/>
  <c r="Q1501" i="8"/>
  <c r="V1501" i="8" s="1" a="1"/>
  <c r="V1501" i="8" s="1"/>
  <c r="Q1520" i="19"/>
  <c r="R1520" i="19" s="1"/>
  <c r="Q1519" i="8"/>
  <c r="V1519" i="8" s="1" a="1"/>
  <c r="V1519" i="8" s="1"/>
  <c r="S943" i="19"/>
  <c r="S240" i="8" s="1"/>
  <c r="R240" i="8"/>
  <c r="S947" i="19"/>
  <c r="S946" i="8" s="1"/>
  <c r="R946" i="8"/>
  <c r="S661" i="19"/>
  <c r="S660" i="8" s="1"/>
  <c r="R660" i="8"/>
  <c r="S693" i="19"/>
  <c r="S692" i="8" s="1"/>
  <c r="R692" i="8"/>
  <c r="S705" i="19"/>
  <c r="S704" i="8" s="1"/>
  <c r="R704" i="8"/>
  <c r="S719" i="19"/>
  <c r="S718" i="8" s="1"/>
  <c r="R718" i="8"/>
  <c r="Q777" i="19"/>
  <c r="R777" i="19" s="1"/>
  <c r="Q776" i="8"/>
  <c r="V776" i="8" s="1" a="1"/>
  <c r="V776" i="8" s="1"/>
  <c r="Q1085" i="19"/>
  <c r="R1085" i="19" s="1"/>
  <c r="Q1084" i="8"/>
  <c r="V1084" i="8" s="1" a="1"/>
  <c r="V1084" i="8" s="1"/>
  <c r="Q1170" i="19"/>
  <c r="R1170" i="19" s="1"/>
  <c r="Q1169" i="8"/>
  <c r="V1169" i="8" s="1" a="1"/>
  <c r="V1169" i="8" s="1"/>
  <c r="S1358" i="19"/>
  <c r="S1357" i="8" s="1"/>
  <c r="R1357" i="8"/>
  <c r="Q1390" i="19"/>
  <c r="R1390" i="19" s="1"/>
  <c r="Q1389" i="8"/>
  <c r="V1389" i="8" s="1" a="1"/>
  <c r="V1389" i="8" s="1"/>
  <c r="S1492" i="19"/>
  <c r="S1491" i="8" s="1"/>
  <c r="R1491" i="8"/>
  <c r="Q942" i="19"/>
  <c r="R942" i="19" s="1"/>
  <c r="Q239" i="8"/>
  <c r="V239" i="8" s="1" a="1"/>
  <c r="V239" i="8" s="1"/>
  <c r="S681" i="19"/>
  <c r="S680" i="8" s="1"/>
  <c r="R680" i="8"/>
  <c r="Q713" i="19"/>
  <c r="R713" i="19" s="1"/>
  <c r="Q712" i="8"/>
  <c r="V712" i="8" s="1" a="1"/>
  <c r="V712" i="8" s="1"/>
  <c r="S725" i="19"/>
  <c r="S724" i="8" s="1"/>
  <c r="R724" i="8"/>
  <c r="Q737" i="19"/>
  <c r="R737" i="19" s="1"/>
  <c r="Q736" i="8"/>
  <c r="V736" i="8" s="1" a="1"/>
  <c r="V736" i="8" s="1"/>
  <c r="Q887" i="19"/>
  <c r="R887" i="19" s="1"/>
  <c r="Q886" i="8"/>
  <c r="V886" i="8" s="1" a="1"/>
  <c r="V886" i="8" s="1"/>
  <c r="S939" i="19"/>
  <c r="S236" i="8" s="1"/>
  <c r="R236" i="8"/>
  <c r="Q396" i="19"/>
  <c r="R396" i="19" s="1"/>
  <c r="Q395" i="8"/>
  <c r="V395" i="8" s="1" a="1"/>
  <c r="V395" i="8" s="1"/>
  <c r="Q410" i="19"/>
  <c r="R410" i="19" s="1"/>
  <c r="Q409" i="8"/>
  <c r="V409" i="8" s="1" a="1"/>
  <c r="V409" i="8" s="1"/>
  <c r="Q501" i="19"/>
  <c r="R501" i="19" s="1"/>
  <c r="Q500" i="8"/>
  <c r="V500" i="8" s="1" a="1"/>
  <c r="V500" i="8" s="1"/>
  <c r="Q582" i="19"/>
  <c r="R582" i="19" s="1"/>
  <c r="Q581" i="8"/>
  <c r="V581" i="8" s="1" a="1"/>
  <c r="V581" i="8" s="1"/>
  <c r="Q620" i="19"/>
  <c r="R620" i="19" s="1"/>
  <c r="Q619" i="8"/>
  <c r="V619" i="8" s="1" a="1"/>
  <c r="V619" i="8" s="1"/>
  <c r="Q649" i="19"/>
  <c r="R649" i="19" s="1"/>
  <c r="Q648" i="8"/>
  <c r="V648" i="8" s="1" a="1"/>
  <c r="V648" i="8" s="1"/>
  <c r="Q1199" i="19"/>
  <c r="R1199" i="19" s="1"/>
  <c r="Q1198" i="8"/>
  <c r="V1198" i="8" s="1" a="1"/>
  <c r="V1198" i="8" s="1"/>
  <c r="S1294" i="19"/>
  <c r="S1293" i="8" s="1"/>
  <c r="R1293" i="8"/>
  <c r="Q1404" i="19"/>
  <c r="R1404" i="19" s="1"/>
  <c r="Q1403" i="8"/>
  <c r="V1403" i="8" s="1" a="1"/>
  <c r="V1403" i="8" s="1"/>
  <c r="Q991" i="19"/>
  <c r="R991" i="19" s="1"/>
  <c r="Q990" i="8"/>
  <c r="V990" i="8" s="1" a="1"/>
  <c r="V990" i="8" s="1"/>
  <c r="Q1178" i="19"/>
  <c r="R1178" i="19" s="1"/>
  <c r="Q1177" i="8"/>
  <c r="V1177" i="8" s="1" a="1"/>
  <c r="V1177" i="8" s="1"/>
  <c r="S1243" i="19"/>
  <c r="S1242" i="8" s="1"/>
  <c r="R1242" i="8"/>
  <c r="Q1259" i="19"/>
  <c r="R1259" i="19" s="1"/>
  <c r="Q1258" i="8"/>
  <c r="V1258" i="8" s="1" a="1"/>
  <c r="V1258" i="8" s="1"/>
  <c r="Q1354" i="19"/>
  <c r="R1354" i="19" s="1"/>
  <c r="Q1353" i="8"/>
  <c r="V1353" i="8" s="1" a="1"/>
  <c r="V1353" i="8" s="1"/>
  <c r="Q1453" i="19"/>
  <c r="R1453" i="19" s="1"/>
  <c r="Q1452" i="8"/>
  <c r="V1452" i="8" s="1" a="1"/>
  <c r="V1452" i="8" s="1"/>
  <c r="S1460" i="19"/>
  <c r="S1459" i="8" s="1"/>
  <c r="R1459" i="8"/>
  <c r="Q1526" i="19"/>
  <c r="R1526" i="19" s="1"/>
  <c r="Q1525" i="8"/>
  <c r="V1525" i="8" s="1" a="1"/>
  <c r="V1525" i="8" s="1"/>
  <c r="Q1579" i="19"/>
  <c r="R1579" i="19" s="1"/>
  <c r="Q1578" i="8"/>
  <c r="V1578" i="8" s="1" a="1"/>
  <c r="V1578" i="8" s="1"/>
  <c r="S1601" i="19"/>
  <c r="S1600" i="8" s="1"/>
  <c r="R1600" i="8"/>
  <c r="Q1605" i="19"/>
  <c r="R1605" i="19" s="1"/>
  <c r="Q1604" i="8"/>
  <c r="V1604" i="8" s="1" a="1"/>
  <c r="V1604" i="8" s="1"/>
  <c r="Q692" i="19"/>
  <c r="R692" i="19" s="1"/>
  <c r="Q691" i="8"/>
  <c r="V691" i="8" s="1" a="1"/>
  <c r="V691" i="8" s="1"/>
  <c r="S707" i="19"/>
  <c r="S706" i="8" s="1"/>
  <c r="R706" i="8"/>
  <c r="Q766" i="19"/>
  <c r="R766" i="19" s="1"/>
  <c r="Q765" i="8"/>
  <c r="V765" i="8" s="1" a="1"/>
  <c r="V765" i="8" s="1"/>
  <c r="Q783" i="19"/>
  <c r="R783" i="19" s="1"/>
  <c r="Q782" i="8"/>
  <c r="V782" i="8" s="1" a="1"/>
  <c r="V782" i="8" s="1"/>
  <c r="Q873" i="19"/>
  <c r="R873" i="19" s="1"/>
  <c r="Q872" i="8"/>
  <c r="V872" i="8" s="1" a="1"/>
  <c r="V872" i="8" s="1"/>
  <c r="Q883" i="19"/>
  <c r="R883" i="19" s="1"/>
  <c r="Q882" i="8"/>
  <c r="V882" i="8" s="1" a="1"/>
  <c r="V882" i="8" s="1"/>
  <c r="Q934" i="19"/>
  <c r="R934" i="19" s="1"/>
  <c r="Q382" i="8"/>
  <c r="V382" i="8" s="1" a="1"/>
  <c r="V382" i="8" s="1"/>
  <c r="Q398" i="19"/>
  <c r="R398" i="19" s="1"/>
  <c r="Q417" i="19"/>
  <c r="R417" i="19" s="1"/>
  <c r="Q416" i="8"/>
  <c r="V416" i="8" s="1" a="1"/>
  <c r="V416" i="8" s="1"/>
  <c r="Q423" i="19"/>
  <c r="R423" i="19" s="1"/>
  <c r="Q158" i="8"/>
  <c r="V158" i="8" s="1" a="1"/>
  <c r="V158" i="8" s="1"/>
  <c r="Q435" i="19"/>
  <c r="R435" i="19" s="1"/>
  <c r="Q434" i="8"/>
  <c r="V434" i="8" s="1" a="1"/>
  <c r="V434" i="8" s="1"/>
  <c r="Q460" i="19"/>
  <c r="R460" i="19" s="1"/>
  <c r="Q459" i="8"/>
  <c r="V459" i="8" s="1" a="1"/>
  <c r="V459" i="8" s="1"/>
  <c r="Q485" i="19"/>
  <c r="R485" i="19" s="1"/>
  <c r="Q484" i="8"/>
  <c r="V484" i="8" s="1" a="1"/>
  <c r="V484" i="8" s="1"/>
  <c r="Q492" i="19"/>
  <c r="R492" i="19" s="1"/>
  <c r="Q491" i="8"/>
  <c r="V491" i="8" s="1" a="1"/>
  <c r="V491" i="8" s="1"/>
  <c r="Q570" i="19"/>
  <c r="R570" i="19" s="1"/>
  <c r="Q569" i="8"/>
  <c r="V569" i="8" s="1" a="1"/>
  <c r="V569" i="8" s="1"/>
  <c r="Q590" i="19"/>
  <c r="R590" i="19" s="1"/>
  <c r="Q589" i="8"/>
  <c r="V589" i="8" s="1" a="1"/>
  <c r="V589" i="8" s="1"/>
  <c r="Q601" i="19"/>
  <c r="R601" i="19" s="1"/>
  <c r="Q220" i="8"/>
  <c r="V220" i="8" s="1" a="1"/>
  <c r="V220" i="8" s="1"/>
  <c r="Q638" i="19"/>
  <c r="R638" i="19" s="1"/>
  <c r="Q637" i="8"/>
  <c r="V637" i="8" s="1" a="1"/>
  <c r="V637" i="8" s="1"/>
  <c r="S1128" i="19"/>
  <c r="S1127" i="8" s="1"/>
  <c r="R1127" i="8"/>
  <c r="S1171" i="19"/>
  <c r="S1170" i="8" s="1"/>
  <c r="R1170" i="8"/>
  <c r="S1215" i="19"/>
  <c r="S1214" i="8" s="1"/>
  <c r="R1214" i="8"/>
  <c r="Q1356" i="19"/>
  <c r="R1356" i="19" s="1"/>
  <c r="Q1355" i="8"/>
  <c r="V1355" i="8" s="1" a="1"/>
  <c r="V1355" i="8" s="1"/>
  <c r="Q1406" i="19"/>
  <c r="R1406" i="19" s="1"/>
  <c r="Q1405" i="8"/>
  <c r="V1405" i="8" s="1" a="1"/>
  <c r="V1405" i="8" s="1"/>
  <c r="S739" i="19"/>
  <c r="S738" i="8" s="1"/>
  <c r="R738" i="8"/>
  <c r="S767" i="19"/>
  <c r="S766" i="8" s="1"/>
  <c r="R766" i="8"/>
  <c r="S775" i="19"/>
  <c r="S774" i="8" s="1"/>
  <c r="R774" i="8"/>
  <c r="S831" i="19"/>
  <c r="S830" i="8" s="1"/>
  <c r="R830" i="8"/>
  <c r="S815" i="19"/>
  <c r="S814" i="8" s="1"/>
  <c r="R814" i="8"/>
  <c r="Q905" i="19"/>
  <c r="R905" i="19" s="1"/>
  <c r="Q904" i="8"/>
  <c r="V904" i="8" s="1" a="1"/>
  <c r="V904" i="8" s="1"/>
  <c r="Q907" i="19"/>
  <c r="R907" i="19" s="1"/>
  <c r="Q906" i="8"/>
  <c r="V906" i="8" s="1" a="1"/>
  <c r="V906" i="8" s="1"/>
  <c r="S562" i="19"/>
  <c r="S561" i="8" s="1"/>
  <c r="R561" i="8"/>
  <c r="S647" i="19"/>
  <c r="S646" i="8" s="1"/>
  <c r="R646" i="8"/>
  <c r="S791" i="19"/>
  <c r="S790" i="8" s="1"/>
  <c r="R790" i="8"/>
  <c r="S847" i="19"/>
  <c r="S846" i="8" s="1"/>
  <c r="R846" i="8"/>
  <c r="Q368" i="19"/>
  <c r="R368" i="19" s="1"/>
  <c r="Q367" i="8"/>
  <c r="V367" i="8" s="1" a="1"/>
  <c r="V367" i="8" s="1"/>
  <c r="S518" i="19"/>
  <c r="S517" i="8" s="1"/>
  <c r="R517" i="8"/>
  <c r="S935" i="19"/>
  <c r="S230" i="8" s="1"/>
  <c r="R230" i="8"/>
  <c r="S465" i="19"/>
  <c r="S464" i="8" s="1"/>
  <c r="R464" i="8"/>
  <c r="Q504" i="19"/>
  <c r="R504" i="19" s="1"/>
  <c r="Q503" i="8"/>
  <c r="V503" i="8" s="1" a="1"/>
  <c r="V503" i="8" s="1"/>
  <c r="S578" i="19"/>
  <c r="S577" i="8" s="1"/>
  <c r="R577" i="8"/>
  <c r="S586" i="19"/>
  <c r="S585" i="8" s="1"/>
  <c r="R585" i="8"/>
  <c r="S1549" i="19"/>
  <c r="S1548" i="8" s="1"/>
  <c r="R1548" i="8"/>
  <c r="S857" i="19"/>
  <c r="S856" i="8" s="1"/>
  <c r="R856" i="8"/>
  <c r="S889" i="19"/>
  <c r="S888" i="8" s="1"/>
  <c r="R888" i="8"/>
  <c r="S375" i="19"/>
  <c r="S374" i="8" s="1"/>
  <c r="R374" i="8"/>
  <c r="S416" i="19"/>
  <c r="S415" i="8" s="1"/>
  <c r="R415" i="8"/>
  <c r="Q591" i="19"/>
  <c r="R591" i="19" s="1"/>
  <c r="Q590" i="8"/>
  <c r="V590" i="8" s="1" a="1"/>
  <c r="V590" i="8" s="1"/>
  <c r="Q472" i="19"/>
  <c r="R472" i="19" s="1"/>
  <c r="Q471" i="8"/>
  <c r="V471" i="8" s="1" a="1"/>
  <c r="V471" i="8" s="1"/>
  <c r="Q547" i="19"/>
  <c r="R547" i="19" s="1"/>
  <c r="Q546" i="8"/>
  <c r="V546" i="8" s="1" a="1"/>
  <c r="V546" i="8" s="1"/>
  <c r="Q628" i="19"/>
  <c r="R628" i="19" s="1"/>
  <c r="Q627" i="8"/>
  <c r="V627" i="8" s="1" a="1"/>
  <c r="V627" i="8" s="1"/>
  <c r="Q644" i="19"/>
  <c r="R644" i="19" s="1"/>
  <c r="Q643" i="8"/>
  <c r="V643" i="8" s="1" a="1"/>
  <c r="V643" i="8" s="1"/>
  <c r="S630" i="19"/>
  <c r="S629" i="8" s="1"/>
  <c r="R629" i="8"/>
  <c r="Q519" i="19"/>
  <c r="R519" i="19" s="1"/>
  <c r="Q518" i="8"/>
  <c r="V518" i="8" s="1" a="1"/>
  <c r="V518" i="8" s="1"/>
  <c r="Q682" i="19"/>
  <c r="R682" i="19" s="1"/>
  <c r="Q681" i="8"/>
  <c r="V681" i="8" s="1" a="1"/>
  <c r="V681" i="8" s="1"/>
  <c r="Q808" i="19"/>
  <c r="R808" i="19" s="1"/>
  <c r="Q807" i="8"/>
  <c r="V807" i="8" s="1" a="1"/>
  <c r="V807" i="8" s="1"/>
  <c r="Q749" i="19"/>
  <c r="R749" i="19" s="1"/>
  <c r="Q748" i="8"/>
  <c r="V748" i="8" s="1" a="1"/>
  <c r="V748" i="8" s="1"/>
  <c r="Q720" i="19"/>
  <c r="R720" i="19" s="1"/>
  <c r="Q719" i="8"/>
  <c r="V719" i="8" s="1" a="1"/>
  <c r="V719" i="8" s="1"/>
  <c r="S858" i="19"/>
  <c r="S857" i="8" s="1"/>
  <c r="R857" i="8"/>
  <c r="Q801" i="19"/>
  <c r="R801" i="19" s="1"/>
  <c r="Q800" i="8"/>
  <c r="V800" i="8" s="1" a="1"/>
  <c r="V800" i="8" s="1"/>
  <c r="S761" i="19"/>
  <c r="S760" i="8" s="1"/>
  <c r="R760" i="8"/>
  <c r="S842" i="19"/>
  <c r="S841" i="8" s="1"/>
  <c r="R841" i="8"/>
  <c r="Q990" i="19"/>
  <c r="R990" i="19" s="1"/>
  <c r="Q279" i="8"/>
  <c r="V279" i="8" s="1" a="1"/>
  <c r="V279" i="8" s="1"/>
  <c r="Q1012" i="19"/>
  <c r="R1012" i="19" s="1"/>
  <c r="Q1011" i="8"/>
  <c r="V1011" i="8" s="1" a="1"/>
  <c r="V1011" i="8" s="1"/>
  <c r="Q1113" i="19"/>
  <c r="R1113" i="19" s="1"/>
  <c r="Q1112" i="8"/>
  <c r="V1112" i="8" s="1" a="1"/>
  <c r="V1112" i="8" s="1"/>
  <c r="Q1050" i="19"/>
  <c r="R1050" i="19" s="1"/>
  <c r="Q1049" i="8"/>
  <c r="V1049" i="8" s="1" a="1"/>
  <c r="V1049" i="8" s="1"/>
  <c r="Q1153" i="19"/>
  <c r="R1153" i="19" s="1"/>
  <c r="Q1152" i="8"/>
  <c r="V1152" i="8" s="1" a="1"/>
  <c r="V1152" i="8" s="1"/>
  <c r="S1337" i="19"/>
  <c r="S1336" i="8" s="1"/>
  <c r="R1336" i="8"/>
  <c r="Q1416" i="19"/>
  <c r="R1416" i="19" s="1"/>
  <c r="Q1415" i="8"/>
  <c r="V1415" i="8" s="1" a="1"/>
  <c r="V1415" i="8" s="1"/>
  <c r="S1491" i="19"/>
  <c r="S1490" i="8" s="1"/>
  <c r="R1490" i="8"/>
  <c r="Q1151" i="19"/>
  <c r="R1151" i="19" s="1"/>
  <c r="Q1150" i="8"/>
  <c r="V1150" i="8" s="1" a="1"/>
  <c r="V1150" i="8" s="1"/>
  <c r="S1515" i="19"/>
  <c r="S1514" i="8" s="1"/>
  <c r="R1514" i="8"/>
  <c r="Q1538" i="19"/>
  <c r="R1538" i="19" s="1"/>
  <c r="Q1537" i="8"/>
  <c r="V1537" i="8" s="1" a="1"/>
  <c r="V1537" i="8" s="1"/>
  <c r="Q1265" i="19"/>
  <c r="R1265" i="19" s="1"/>
  <c r="Q1264" i="8"/>
  <c r="V1264" i="8" s="1" a="1"/>
  <c r="V1264" i="8" s="1"/>
  <c r="Q1535" i="19"/>
  <c r="R1535" i="19" s="1"/>
  <c r="Q1534" i="8"/>
  <c r="V1534" i="8" s="1" a="1"/>
  <c r="V1534" i="8" s="1"/>
  <c r="Q1580" i="19"/>
  <c r="R1580" i="19" s="1"/>
  <c r="Q1579" i="8"/>
  <c r="V1579" i="8" s="1" a="1"/>
  <c r="V1579" i="8" s="1"/>
  <c r="Q1339" i="19"/>
  <c r="R1339" i="19" s="1"/>
  <c r="Q1338" i="8"/>
  <c r="V1338" i="8" s="1" a="1"/>
  <c r="V1338" i="8" s="1"/>
  <c r="Q1081" i="19"/>
  <c r="R1081" i="19" s="1"/>
  <c r="Q1080" i="8"/>
  <c r="V1080" i="8" s="1" a="1"/>
  <c r="V1080" i="8" s="1"/>
  <c r="Q1051" i="19"/>
  <c r="R1051" i="19" s="1"/>
  <c r="Q1050" i="8"/>
  <c r="V1050" i="8" s="1" a="1"/>
  <c r="V1050" i="8" s="1"/>
  <c r="Q1397" i="19"/>
  <c r="R1397" i="19" s="1"/>
  <c r="Q1396" i="8"/>
  <c r="V1396" i="8" s="1" a="1"/>
  <c r="V1396" i="8" s="1"/>
  <c r="Q963" i="19"/>
  <c r="R963" i="19" s="1"/>
  <c r="Q962" i="8"/>
  <c r="V962" i="8" s="1" a="1"/>
  <c r="V962" i="8" s="1"/>
  <c r="Q1456" i="19"/>
  <c r="R1456" i="19" s="1"/>
  <c r="Q1455" i="8"/>
  <c r="V1455" i="8" s="1" a="1"/>
  <c r="V1455" i="8" s="1"/>
  <c r="Q652" i="19"/>
  <c r="R652" i="19" s="1"/>
  <c r="Q651" i="8"/>
  <c r="V651" i="8" s="1" a="1"/>
  <c r="V651" i="8" s="1"/>
  <c r="Q1011" i="19"/>
  <c r="R1011" i="19" s="1"/>
  <c r="Q1010" i="8"/>
  <c r="V1010" i="8" s="1" a="1"/>
  <c r="V1010" i="8" s="1"/>
  <c r="Q1091" i="19"/>
  <c r="R1091" i="19" s="1"/>
  <c r="Q1090" i="8"/>
  <c r="V1090" i="8" s="1" a="1"/>
  <c r="V1090" i="8" s="1"/>
  <c r="S371" i="19"/>
  <c r="S370" i="8" s="1"/>
  <c r="R370" i="8"/>
  <c r="S387" i="19"/>
  <c r="S386" i="8" s="1"/>
  <c r="R386" i="8"/>
  <c r="Q409" i="19"/>
  <c r="R409" i="19" s="1"/>
  <c r="Q408" i="8"/>
  <c r="V408" i="8" s="1" a="1"/>
  <c r="V408" i="8" s="1"/>
  <c r="Q413" i="19"/>
  <c r="R413" i="19" s="1"/>
  <c r="Q412" i="8"/>
  <c r="V412" i="8" s="1" a="1"/>
  <c r="V412" i="8" s="1"/>
  <c r="S427" i="19"/>
  <c r="S162" i="8" s="1"/>
  <c r="R162" i="8"/>
  <c r="Q434" i="19"/>
  <c r="R434" i="19" s="1"/>
  <c r="Q178" i="8"/>
  <c r="V178" i="8" s="1" a="1"/>
  <c r="V178" i="8" s="1"/>
  <c r="Q373" i="19"/>
  <c r="R373" i="19" s="1"/>
  <c r="Q372" i="8"/>
  <c r="V372" i="8" s="1" a="1"/>
  <c r="V372" i="8" s="1"/>
  <c r="Q422" i="19"/>
  <c r="R422" i="19" s="1"/>
  <c r="S432" i="19"/>
  <c r="S166" i="8" s="1"/>
  <c r="R166" i="8"/>
  <c r="Q470" i="19"/>
  <c r="R470" i="19" s="1"/>
  <c r="Q469" i="8"/>
  <c r="V469" i="8" s="1" a="1"/>
  <c r="V469" i="8" s="1"/>
  <c r="Q442" i="19"/>
  <c r="R442" i="19" s="1"/>
  <c r="Q441" i="8"/>
  <c r="V441" i="8" s="1" a="1"/>
  <c r="V441" i="8" s="1"/>
  <c r="Q539" i="19"/>
  <c r="R539" i="19" s="1"/>
  <c r="S565" i="19"/>
  <c r="S564" i="8" s="1"/>
  <c r="R564" i="8"/>
  <c r="Q603" i="19"/>
  <c r="R603" i="19" s="1"/>
  <c r="Q602" i="8"/>
  <c r="V602" i="8" s="1" a="1"/>
  <c r="V602" i="8" s="1"/>
  <c r="Q430" i="19"/>
  <c r="R430" i="19" s="1"/>
  <c r="Q164" i="8"/>
  <c r="V164" i="8" s="1" a="1"/>
  <c r="V164" i="8" s="1"/>
  <c r="Q491" i="19"/>
  <c r="R491" i="19" s="1"/>
  <c r="Q490" i="8"/>
  <c r="V490" i="8" s="1" a="1"/>
  <c r="V490" i="8" s="1"/>
  <c r="Q543" i="19"/>
  <c r="R543" i="19" s="1"/>
  <c r="S569" i="19"/>
  <c r="S568" i="8" s="1"/>
  <c r="R568" i="8"/>
  <c r="Q577" i="19"/>
  <c r="R577" i="19" s="1"/>
  <c r="Q576" i="8"/>
  <c r="V576" i="8" s="1" a="1"/>
  <c r="V576" i="8" s="1"/>
  <c r="Q592" i="19"/>
  <c r="R592" i="19" s="1"/>
  <c r="Q591" i="8"/>
  <c r="V591" i="8" s="1" a="1"/>
  <c r="V591" i="8" s="1"/>
  <c r="Q648" i="19"/>
  <c r="R648" i="19" s="1"/>
  <c r="Q647" i="8"/>
  <c r="V647" i="8" s="1" a="1"/>
  <c r="V647" i="8" s="1"/>
  <c r="Q446" i="19"/>
  <c r="R446" i="19" s="1"/>
  <c r="Q445" i="8"/>
  <c r="V445" i="8" s="1" a="1"/>
  <c r="V445" i="8" s="1"/>
  <c r="Q500" i="19"/>
  <c r="R500" i="19" s="1"/>
  <c r="Q499" i="8"/>
  <c r="V499" i="8" s="1" a="1"/>
  <c r="V499" i="8" s="1"/>
  <c r="Q595" i="19"/>
  <c r="R595" i="19" s="1"/>
  <c r="Q594" i="8"/>
  <c r="V594" i="8" s="1" a="1"/>
  <c r="V594" i="8" s="1"/>
  <c r="Q499" i="19"/>
  <c r="R499" i="19" s="1"/>
  <c r="Q498" i="8"/>
  <c r="V498" i="8" s="1" a="1"/>
  <c r="V498" i="8" s="1"/>
  <c r="Q580" i="19"/>
  <c r="R580" i="19" s="1"/>
  <c r="Q579" i="8"/>
  <c r="V579" i="8" s="1" a="1"/>
  <c r="V579" i="8" s="1"/>
  <c r="Q548" i="19"/>
  <c r="R548" i="19" s="1"/>
  <c r="Q547" i="8"/>
  <c r="V547" i="8" s="1" a="1"/>
  <c r="V547" i="8" s="1"/>
  <c r="S642" i="19"/>
  <c r="S641" i="8" s="1"/>
  <c r="R641" i="8"/>
  <c r="S651" i="19"/>
  <c r="S650" i="8" s="1"/>
  <c r="R650" i="8"/>
  <c r="S667" i="19"/>
  <c r="S666" i="8" s="1"/>
  <c r="R666" i="8"/>
  <c r="Q678" i="19"/>
  <c r="R678" i="19" s="1"/>
  <c r="Q677" i="8"/>
  <c r="V677" i="8" s="1" a="1"/>
  <c r="V677" i="8" s="1"/>
  <c r="Q680" i="19"/>
  <c r="R680" i="19" s="1"/>
  <c r="Q679" i="8"/>
  <c r="V679" i="8" s="1" a="1"/>
  <c r="V679" i="8" s="1"/>
  <c r="Q756" i="19"/>
  <c r="R756" i="19" s="1"/>
  <c r="Q755" i="8"/>
  <c r="V755" i="8" s="1" a="1"/>
  <c r="V755" i="8" s="1"/>
  <c r="Q662" i="19"/>
  <c r="R662" i="19" s="1"/>
  <c r="Q661" i="8"/>
  <c r="V661" i="8" s="1" a="1"/>
  <c r="V661" i="8" s="1"/>
  <c r="Q675" i="19"/>
  <c r="R675" i="19" s="1"/>
  <c r="Q674" i="8"/>
  <c r="V674" i="8" s="1" a="1"/>
  <c r="V674" i="8" s="1"/>
  <c r="Q688" i="19"/>
  <c r="R688" i="19" s="1"/>
  <c r="Q687" i="8"/>
  <c r="V687" i="8" s="1" a="1"/>
  <c r="V687" i="8" s="1"/>
  <c r="Q824" i="19"/>
  <c r="R824" i="19" s="1"/>
  <c r="Q823" i="8"/>
  <c r="V823" i="8" s="1" a="1"/>
  <c r="V823" i="8" s="1"/>
  <c r="S850" i="19"/>
  <c r="S849" i="8" s="1"/>
  <c r="R849" i="8"/>
  <c r="Q716" i="19"/>
  <c r="R716" i="19" s="1"/>
  <c r="Q715" i="8"/>
  <c r="V715" i="8" s="1" a="1"/>
  <c r="V715" i="8" s="1"/>
  <c r="Q748" i="19"/>
  <c r="R748" i="19" s="1"/>
  <c r="Q747" i="8"/>
  <c r="V747" i="8" s="1" a="1"/>
  <c r="V747" i="8" s="1"/>
  <c r="Q796" i="19"/>
  <c r="R796" i="19" s="1"/>
  <c r="Q795" i="8"/>
  <c r="V795" i="8" s="1" a="1"/>
  <c r="V795" i="8" s="1"/>
  <c r="Q892" i="19"/>
  <c r="R892" i="19" s="1"/>
  <c r="Q891" i="8"/>
  <c r="V891" i="8" s="1" a="1"/>
  <c r="V891" i="8" s="1"/>
  <c r="Q730" i="19"/>
  <c r="R730" i="19" s="1"/>
  <c r="Q729" i="8"/>
  <c r="V729" i="8" s="1" a="1"/>
  <c r="V729" i="8" s="1"/>
  <c r="Q742" i="19"/>
  <c r="R742" i="19" s="1"/>
  <c r="Q741" i="8"/>
  <c r="V741" i="8" s="1" a="1"/>
  <c r="V741" i="8" s="1"/>
  <c r="Q804" i="19"/>
  <c r="R804" i="19" s="1"/>
  <c r="Q803" i="8"/>
  <c r="V803" i="8" s="1" a="1"/>
  <c r="V803" i="8" s="1"/>
  <c r="S861" i="19"/>
  <c r="S860" i="8" s="1"/>
  <c r="R860" i="8"/>
  <c r="Q880" i="19"/>
  <c r="R880" i="19" s="1"/>
  <c r="Q879" i="8"/>
  <c r="V879" i="8" s="1" a="1"/>
  <c r="V879" i="8" s="1"/>
  <c r="S906" i="19"/>
  <c r="S905" i="8" s="1"/>
  <c r="R905" i="8"/>
  <c r="Q764" i="19"/>
  <c r="R764" i="19" s="1"/>
  <c r="Q763" i="8"/>
  <c r="V763" i="8" s="1" a="1"/>
  <c r="V763" i="8" s="1"/>
  <c r="Q800" i="19"/>
  <c r="R800" i="19" s="1"/>
  <c r="Q799" i="8"/>
  <c r="V799" i="8" s="1" a="1"/>
  <c r="V799" i="8" s="1"/>
  <c r="Q704" i="19"/>
  <c r="R704" i="19" s="1"/>
  <c r="Q703" i="8"/>
  <c r="V703" i="8" s="1" a="1"/>
  <c r="V703" i="8" s="1"/>
  <c r="Q845" i="19"/>
  <c r="R845" i="19" s="1"/>
  <c r="Q844" i="8"/>
  <c r="V844" i="8" s="1" a="1"/>
  <c r="V844" i="8" s="1"/>
  <c r="Q888" i="19"/>
  <c r="R888" i="19" s="1"/>
  <c r="Q887" i="8"/>
  <c r="V887" i="8" s="1" a="1"/>
  <c r="V887" i="8" s="1"/>
  <c r="Q814" i="19"/>
  <c r="R814" i="19" s="1"/>
  <c r="Q813" i="8"/>
  <c r="V813" i="8" s="1" a="1"/>
  <c r="V813" i="8" s="1"/>
  <c r="Q732" i="19"/>
  <c r="R732" i="19" s="1"/>
  <c r="Q731" i="8"/>
  <c r="V731" i="8" s="1" a="1"/>
  <c r="V731" i="8" s="1"/>
  <c r="Q846" i="19"/>
  <c r="R846" i="19" s="1"/>
  <c r="Q845" i="8"/>
  <c r="V845" i="8" s="1" a="1"/>
  <c r="V845" i="8" s="1"/>
  <c r="Q884" i="19"/>
  <c r="R884" i="19" s="1"/>
  <c r="Q883" i="8"/>
  <c r="V883" i="8" s="1" a="1"/>
  <c r="V883" i="8" s="1"/>
  <c r="S922" i="19"/>
  <c r="S921" i="8" s="1"/>
  <c r="R921" i="8"/>
  <c r="Q813" i="19"/>
  <c r="R813" i="19" s="1"/>
  <c r="Q812" i="8"/>
  <c r="V812" i="8" s="1" a="1"/>
  <c r="V812" i="8" s="1"/>
  <c r="Q872" i="19"/>
  <c r="R872" i="19" s="1"/>
  <c r="Q871" i="8"/>
  <c r="V871" i="8" s="1" a="1"/>
  <c r="V871" i="8" s="1"/>
  <c r="S945" i="19"/>
  <c r="S944" i="8" s="1"/>
  <c r="R944" i="8"/>
  <c r="Q978" i="19"/>
  <c r="R978" i="19" s="1"/>
  <c r="Q422" i="8"/>
  <c r="V422" i="8" s="1" a="1"/>
  <c r="V422" i="8" s="1"/>
  <c r="Q986" i="19"/>
  <c r="R986" i="19" s="1"/>
  <c r="Q275" i="8"/>
  <c r="V275" i="8" s="1" a="1"/>
  <c r="V275" i="8" s="1"/>
  <c r="Q1004" i="19"/>
  <c r="R1004" i="19" s="1"/>
  <c r="Q1003" i="8"/>
  <c r="V1003" i="8" s="1" a="1"/>
  <c r="V1003" i="8" s="1"/>
  <c r="Q1030" i="19"/>
  <c r="R1030" i="19" s="1"/>
  <c r="Q1029" i="8"/>
  <c r="V1029" i="8" s="1" a="1"/>
  <c r="V1029" i="8" s="1"/>
  <c r="Q1038" i="19"/>
  <c r="R1038" i="19" s="1"/>
  <c r="Q1037" i="8"/>
  <c r="V1037" i="8" s="1" a="1"/>
  <c r="V1037" i="8" s="1"/>
  <c r="Q1028" i="19"/>
  <c r="R1028" i="19" s="1"/>
  <c r="Q1027" i="8"/>
  <c r="V1027" i="8" s="1" a="1"/>
  <c r="V1027" i="8" s="1"/>
  <c r="Q1046" i="19"/>
  <c r="R1046" i="19" s="1"/>
  <c r="Q1045" i="8"/>
  <c r="V1045" i="8" s="1" a="1"/>
  <c r="V1045" i="8" s="1"/>
  <c r="Q1062" i="19"/>
  <c r="R1062" i="19" s="1"/>
  <c r="Q1061" i="8"/>
  <c r="V1061" i="8" s="1" a="1"/>
  <c r="V1061" i="8" s="1"/>
  <c r="Q1052" i="19"/>
  <c r="R1052" i="19" s="1"/>
  <c r="Q1051" i="8"/>
  <c r="V1051" i="8" s="1" a="1"/>
  <c r="V1051" i="8" s="1"/>
  <c r="S1088" i="19"/>
  <c r="S1087" i="8" s="1"/>
  <c r="R1087" i="8"/>
  <c r="Q994" i="19"/>
  <c r="R994" i="19" s="1"/>
  <c r="Q993" i="8"/>
  <c r="V993" i="8" s="1" a="1"/>
  <c r="V993" i="8" s="1"/>
  <c r="Q1023" i="19"/>
  <c r="R1023" i="19" s="1"/>
  <c r="Q1022" i="8"/>
  <c r="V1022" i="8" s="1" a="1"/>
  <c r="V1022" i="8" s="1"/>
  <c r="Q1058" i="19"/>
  <c r="R1058" i="19" s="1"/>
  <c r="Q1057" i="8"/>
  <c r="V1057" i="8" s="1" a="1"/>
  <c r="V1057" i="8" s="1"/>
  <c r="Q1129" i="19"/>
  <c r="R1129" i="19" s="1"/>
  <c r="Q1128" i="8"/>
  <c r="V1128" i="8" s="1" a="1"/>
  <c r="V1128" i="8" s="1"/>
  <c r="Q1066" i="19"/>
  <c r="R1066" i="19" s="1"/>
  <c r="Q1065" i="8"/>
  <c r="V1065" i="8" s="1" a="1"/>
  <c r="V1065" i="8" s="1"/>
  <c r="S1115" i="19"/>
  <c r="S1114" i="8" s="1"/>
  <c r="R1114" i="8"/>
  <c r="Q1099" i="19"/>
  <c r="R1099" i="19" s="1"/>
  <c r="Q1098" i="8"/>
  <c r="V1098" i="8" s="1" a="1"/>
  <c r="V1098" i="8" s="1"/>
  <c r="Q1131" i="19"/>
  <c r="R1131" i="19" s="1"/>
  <c r="Q1130" i="8"/>
  <c r="V1130" i="8" s="1" a="1"/>
  <c r="V1130" i="8" s="1"/>
  <c r="Q1165" i="19"/>
  <c r="R1165" i="19" s="1"/>
  <c r="Q1164" i="8"/>
  <c r="V1164" i="8" s="1" a="1"/>
  <c r="V1164" i="8" s="1"/>
  <c r="Q1090" i="19"/>
  <c r="R1090" i="19" s="1"/>
  <c r="Q1089" i="8"/>
  <c r="V1089" i="8" s="1" a="1"/>
  <c r="V1089" i="8" s="1"/>
  <c r="Q1204" i="19"/>
  <c r="R1204" i="19" s="1"/>
  <c r="Q1203" i="8"/>
  <c r="V1203" i="8" s="1" a="1"/>
  <c r="V1203" i="8" s="1"/>
  <c r="Q1176" i="19"/>
  <c r="R1176" i="19" s="1"/>
  <c r="Q1175" i="8"/>
  <c r="V1175" i="8" s="1" a="1"/>
  <c r="V1175" i="8" s="1"/>
  <c r="S1205" i="19"/>
  <c r="S1204" i="8" s="1"/>
  <c r="R1204" i="8"/>
  <c r="Q1244" i="19"/>
  <c r="R1244" i="19" s="1"/>
  <c r="Q1243" i="8"/>
  <c r="V1243" i="8" s="1" a="1"/>
  <c r="V1243" i="8" s="1"/>
  <c r="S1162" i="19"/>
  <c r="S1161" i="8" s="1"/>
  <c r="R1161" i="8"/>
  <c r="S1258" i="19"/>
  <c r="S1257" i="8" s="1"/>
  <c r="R1257" i="8"/>
  <c r="Q1237" i="19"/>
  <c r="R1237" i="19" s="1"/>
  <c r="Q1236" i="8"/>
  <c r="V1236" i="8" s="1" a="1"/>
  <c r="V1236" i="8" s="1"/>
  <c r="Q1355" i="19"/>
  <c r="R1355" i="19" s="1"/>
  <c r="Q1354" i="8"/>
  <c r="V1354" i="8" s="1" a="1"/>
  <c r="V1354" i="8" s="1"/>
  <c r="Q1419" i="19"/>
  <c r="R1419" i="19" s="1"/>
  <c r="Q1418" i="8"/>
  <c r="V1418" i="8" s="1" a="1"/>
  <c r="V1418" i="8" s="1"/>
  <c r="Q1206" i="19"/>
  <c r="R1206" i="19" s="1"/>
  <c r="Q1205" i="8"/>
  <c r="V1205" i="8" s="1" a="1"/>
  <c r="V1205" i="8" s="1"/>
  <c r="S1300" i="19"/>
  <c r="S1299" i="8" s="1"/>
  <c r="R1299" i="8"/>
  <c r="S1316" i="19"/>
  <c r="S1315" i="8" s="1"/>
  <c r="R1315" i="8"/>
  <c r="Q1359" i="19"/>
  <c r="R1359" i="19" s="1"/>
  <c r="Q1358" i="8"/>
  <c r="V1358" i="8" s="1" a="1"/>
  <c r="V1358" i="8" s="1"/>
  <c r="Q1400" i="19"/>
  <c r="R1400" i="19" s="1"/>
  <c r="Q1399" i="8"/>
  <c r="V1399" i="8" s="1" a="1"/>
  <c r="V1399" i="8" s="1"/>
  <c r="Q1423" i="19"/>
  <c r="R1423" i="19" s="1"/>
  <c r="Q1422" i="8"/>
  <c r="V1422" i="8" s="1" a="1"/>
  <c r="V1422" i="8" s="1"/>
  <c r="Q1172" i="19"/>
  <c r="R1172" i="19" s="1"/>
  <c r="Q1171" i="8"/>
  <c r="V1171" i="8" s="1" a="1"/>
  <c r="V1171" i="8" s="1"/>
  <c r="Q1287" i="19"/>
  <c r="R1287" i="19" s="1"/>
  <c r="Q1286" i="8"/>
  <c r="V1286" i="8" s="1" a="1"/>
  <c r="V1286" i="8" s="1"/>
  <c r="Q1393" i="19"/>
  <c r="R1393" i="19" s="1"/>
  <c r="Q1392" i="8"/>
  <c r="V1392" i="8" s="1" a="1"/>
  <c r="V1392" i="8" s="1"/>
  <c r="Q1412" i="19"/>
  <c r="R1412" i="19" s="1"/>
  <c r="Q1411" i="8"/>
  <c r="V1411" i="8" s="1" a="1"/>
  <c r="V1411" i="8" s="1"/>
  <c r="Q1481" i="19"/>
  <c r="R1481" i="19" s="1"/>
  <c r="Q1480" i="8"/>
  <c r="V1480" i="8" s="1" a="1"/>
  <c r="V1480" i="8" s="1"/>
  <c r="S1523" i="19"/>
  <c r="S1522" i="8" s="1"/>
  <c r="R1522" i="8"/>
  <c r="Q1166" i="19"/>
  <c r="R1166" i="19" s="1"/>
  <c r="Q1165" i="8"/>
  <c r="V1165" i="8" s="1" a="1"/>
  <c r="V1165" i="8" s="1"/>
  <c r="Q1196" i="19"/>
  <c r="R1196" i="19" s="1"/>
  <c r="Q1195" i="8"/>
  <c r="V1195" i="8" s="1" a="1"/>
  <c r="V1195" i="8" s="1"/>
  <c r="Q1208" i="19"/>
  <c r="R1208" i="19" s="1"/>
  <c r="Q1207" i="8"/>
  <c r="V1207" i="8" s="1" a="1"/>
  <c r="V1207" i="8" s="1"/>
  <c r="Q1311" i="19"/>
  <c r="R1311" i="19" s="1"/>
  <c r="Q1310" i="8"/>
  <c r="V1310" i="8" s="1" a="1"/>
  <c r="V1310" i="8" s="1"/>
  <c r="Q1396" i="19"/>
  <c r="R1396" i="19" s="1"/>
  <c r="Q1395" i="8"/>
  <c r="V1395" i="8" s="1" a="1"/>
  <c r="V1395" i="8" s="1"/>
  <c r="Q1489" i="19"/>
  <c r="R1489" i="19" s="1"/>
  <c r="Q1488" i="8"/>
  <c r="V1488" i="8" s="1" a="1"/>
  <c r="V1488" i="8" s="1"/>
  <c r="Q1505" i="19"/>
  <c r="R1505" i="19" s="1"/>
  <c r="Q1504" i="8"/>
  <c r="V1504" i="8" s="1" a="1"/>
  <c r="V1504" i="8" s="1"/>
  <c r="Q1399" i="19"/>
  <c r="R1399" i="19" s="1"/>
  <c r="Q1398" i="8"/>
  <c r="V1398" i="8" s="1" a="1"/>
  <c r="V1398" i="8" s="1"/>
  <c r="Q1433" i="19"/>
  <c r="R1433" i="19" s="1"/>
  <c r="Q1432" i="8"/>
  <c r="V1432" i="8" s="1" a="1"/>
  <c r="V1432" i="8" s="1"/>
  <c r="Q1465" i="19"/>
  <c r="R1465" i="19" s="1"/>
  <c r="Q1464" i="8"/>
  <c r="V1464" i="8" s="1" a="1"/>
  <c r="V1464" i="8" s="1"/>
  <c r="Q1490" i="19"/>
  <c r="R1490" i="19" s="1"/>
  <c r="Q1489" i="8"/>
  <c r="V1489" i="8" s="1" a="1"/>
  <c r="V1489" i="8" s="1"/>
  <c r="Q1556" i="19"/>
  <c r="R1556" i="19" s="1"/>
  <c r="Q1555" i="8"/>
  <c r="V1555" i="8" s="1" a="1"/>
  <c r="V1555" i="8" s="1"/>
  <c r="Q1596" i="19"/>
  <c r="R1596" i="19" s="1"/>
  <c r="Q1595" i="8"/>
  <c r="V1595" i="8" s="1" a="1"/>
  <c r="V1595" i="8" s="1"/>
  <c r="Q1612" i="19"/>
  <c r="R1612" i="19" s="1"/>
  <c r="Q1611" i="8"/>
  <c r="V1611" i="8" s="1" a="1"/>
  <c r="V1611" i="8" s="1"/>
  <c r="Q1493" i="19"/>
  <c r="R1493" i="19" s="1"/>
  <c r="Q1492" i="8"/>
  <c r="V1492" i="8" s="1" a="1"/>
  <c r="V1492" i="8" s="1"/>
  <c r="Q1525" i="19"/>
  <c r="R1525" i="19" s="1"/>
  <c r="Q1524" i="8"/>
  <c r="V1524" i="8" s="1" a="1"/>
  <c r="V1524" i="8" s="1"/>
  <c r="Q1576" i="19"/>
  <c r="R1576" i="19" s="1"/>
  <c r="Q1575" i="8"/>
  <c r="V1575" i="8" s="1" a="1"/>
  <c r="V1575" i="8" s="1"/>
  <c r="Q1347" i="19"/>
  <c r="R1347" i="19" s="1"/>
  <c r="Q1346" i="8"/>
  <c r="V1346" i="8" s="1" a="1"/>
  <c r="V1346" i="8" s="1"/>
  <c r="Q1411" i="19"/>
  <c r="R1411" i="19" s="1"/>
  <c r="Q1410" i="8"/>
  <c r="V1410" i="8" s="1" a="1"/>
  <c r="V1410" i="8" s="1"/>
  <c r="Q1454" i="19"/>
  <c r="R1454" i="19" s="1"/>
  <c r="Q1453" i="8"/>
  <c r="V1453" i="8" s="1" a="1"/>
  <c r="V1453" i="8" s="1"/>
  <c r="Q1511" i="19"/>
  <c r="R1511" i="19" s="1"/>
  <c r="Q1510" i="8"/>
  <c r="V1510" i="8" s="1" a="1"/>
  <c r="V1510" i="8" s="1"/>
  <c r="Q1568" i="19"/>
  <c r="R1568" i="19" s="1"/>
  <c r="Q1567" i="8"/>
  <c r="V1567" i="8" s="1" a="1"/>
  <c r="V1567" i="8" s="1"/>
  <c r="Q1582" i="19"/>
  <c r="R1582" i="19" s="1"/>
  <c r="Q1581" i="8"/>
  <c r="V1581" i="8" s="1" a="1"/>
  <c r="V1581" i="8" s="1"/>
  <c r="Q1603" i="19"/>
  <c r="R1603" i="19" s="1"/>
  <c r="Q1602" i="8"/>
  <c r="V1602" i="8" s="1" a="1"/>
  <c r="V1602" i="8" s="1"/>
  <c r="Q1618" i="19"/>
  <c r="R1618" i="19" s="1"/>
  <c r="Q1617" i="8"/>
  <c r="V1617" i="8" s="1" a="1"/>
  <c r="V1617" i="8" s="1"/>
  <c r="Q1360" i="19"/>
  <c r="R1360" i="19" s="1"/>
  <c r="Q1359" i="8"/>
  <c r="V1359" i="8" s="1" a="1"/>
  <c r="V1359" i="8" s="1"/>
  <c r="Q1363" i="19"/>
  <c r="R1363" i="19" s="1"/>
  <c r="Q1362" i="8"/>
  <c r="V1362" i="8" s="1" a="1"/>
  <c r="V1362" i="8" s="1"/>
  <c r="Q1405" i="19"/>
  <c r="R1405" i="19" s="1"/>
  <c r="Q1404" i="8"/>
  <c r="V1404" i="8" s="1" a="1"/>
  <c r="V1404" i="8" s="1"/>
  <c r="Q1421" i="19"/>
  <c r="R1421" i="19" s="1"/>
  <c r="Q1420" i="8"/>
  <c r="V1420" i="8" s="1" a="1"/>
  <c r="V1420" i="8" s="1"/>
  <c r="Q1564" i="19"/>
  <c r="R1564" i="19" s="1"/>
  <c r="Q1563" i="8"/>
  <c r="V1563" i="8" s="1" a="1"/>
  <c r="V1563" i="8" s="1"/>
  <c r="Q1174" i="8"/>
  <c r="V1174" i="8" s="1" a="1"/>
  <c r="V1174" i="8" s="1"/>
  <c r="Q1175" i="19"/>
  <c r="R1175" i="19" s="1"/>
  <c r="Q1302" i="19"/>
  <c r="R1302" i="19" s="1"/>
  <c r="Q1301" i="8"/>
  <c r="V1301" i="8" s="1" a="1"/>
  <c r="V1301" i="8" s="1"/>
  <c r="Q983" i="19"/>
  <c r="R983" i="19" s="1"/>
  <c r="Q272" i="8"/>
  <c r="V272" i="8" s="1" a="1"/>
  <c r="V272" i="8" s="1"/>
  <c r="Q1083" i="19"/>
  <c r="R1083" i="19" s="1"/>
  <c r="Q1082" i="8"/>
  <c r="V1082" i="8" s="1" a="1"/>
  <c r="V1082" i="8" s="1"/>
  <c r="Q1193" i="19"/>
  <c r="R1193" i="19" s="1"/>
  <c r="Q1192" i="8"/>
  <c r="V1192" i="8" s="1" a="1"/>
  <c r="V1192" i="8" s="1"/>
  <c r="S1227" i="19"/>
  <c r="S1226" i="8" s="1"/>
  <c r="R1226" i="8"/>
  <c r="S1241" i="19"/>
  <c r="S1240" i="8" s="1"/>
  <c r="R1240" i="8"/>
  <c r="Q1381" i="19"/>
  <c r="R1381" i="19" s="1"/>
  <c r="Q1380" i="8"/>
  <c r="V1380" i="8" s="1" a="1"/>
  <c r="V1380" i="8" s="1"/>
  <c r="Q1448" i="19"/>
  <c r="R1448" i="19" s="1"/>
  <c r="Q1447" i="8"/>
  <c r="V1447" i="8" s="1" a="1"/>
  <c r="V1447" i="8" s="1"/>
  <c r="Q1597" i="19"/>
  <c r="R1597" i="19" s="1"/>
  <c r="Q1596" i="8"/>
  <c r="V1596" i="8" s="1" a="1"/>
  <c r="V1596" i="8" s="1"/>
  <c r="Q940" i="19"/>
  <c r="R940" i="19" s="1"/>
  <c r="Q237" i="8"/>
  <c r="V237" i="8" s="1" a="1"/>
  <c r="V237" i="8" s="1"/>
  <c r="Q959" i="19"/>
  <c r="R959" i="19" s="1"/>
  <c r="Q958" i="8"/>
  <c r="V958" i="8" s="1" a="1"/>
  <c r="V958" i="8" s="1"/>
  <c r="Q660" i="19"/>
  <c r="R660" i="19" s="1"/>
  <c r="Q659" i="8"/>
  <c r="V659" i="8" s="1" a="1"/>
  <c r="V659" i="8" s="1"/>
  <c r="Q1057" i="19"/>
  <c r="R1057" i="19" s="1"/>
  <c r="Q283" i="8"/>
  <c r="V283" i="8" s="1" a="1"/>
  <c r="V283" i="8" s="1"/>
  <c r="Q1096" i="19"/>
  <c r="R1096" i="19" s="1"/>
  <c r="Q1095" i="8"/>
  <c r="V1095" i="8" s="1" a="1"/>
  <c r="V1095" i="8" s="1"/>
  <c r="Q1144" i="19"/>
  <c r="R1144" i="19" s="1"/>
  <c r="Q1143" i="8"/>
  <c r="V1143" i="8" s="1" a="1"/>
  <c r="V1143" i="8" s="1"/>
  <c r="Q1225" i="19"/>
  <c r="R1225" i="19" s="1"/>
  <c r="Q1224" i="8"/>
  <c r="V1224" i="8" s="1" a="1"/>
  <c r="V1224" i="8" s="1"/>
  <c r="Q1271" i="19"/>
  <c r="R1271" i="19" s="1"/>
  <c r="Q1270" i="8"/>
  <c r="V1270" i="8" s="1" a="1"/>
  <c r="V1270" i="8" s="1"/>
  <c r="Q1332" i="19"/>
  <c r="R1332" i="19" s="1"/>
  <c r="Q1331" i="8"/>
  <c r="V1331" i="8" s="1" a="1"/>
  <c r="V1331" i="8" s="1"/>
  <c r="Q1440" i="19"/>
  <c r="R1440" i="19" s="1"/>
  <c r="Q1439" i="8"/>
  <c r="V1439" i="8" s="1" a="1"/>
  <c r="V1439" i="8" s="1"/>
  <c r="Q1508" i="19"/>
  <c r="R1508" i="19" s="1"/>
  <c r="Q1507" i="8"/>
  <c r="V1507" i="8" s="1" a="1"/>
  <c r="V1507" i="8" s="1"/>
  <c r="Q955" i="19"/>
  <c r="R955" i="19" s="1"/>
  <c r="Q954" i="8"/>
  <c r="V954" i="8" s="1" a="1"/>
  <c r="V954" i="8" s="1"/>
  <c r="Q968" i="19"/>
  <c r="R968" i="19" s="1"/>
  <c r="Q967" i="8"/>
  <c r="V967" i="8" s="1" a="1"/>
  <c r="V967" i="8" s="1"/>
  <c r="Q975" i="19"/>
  <c r="R975" i="19" s="1"/>
  <c r="Q398" i="8"/>
  <c r="V398" i="8" s="1" a="1"/>
  <c r="V398" i="8" s="1"/>
  <c r="S977" i="19"/>
  <c r="S421" i="8" s="1"/>
  <c r="R421" i="8"/>
  <c r="S1007" i="19"/>
  <c r="S1006" i="8" s="1"/>
  <c r="R1006" i="8"/>
  <c r="Q1053" i="19"/>
  <c r="R1053" i="19" s="1"/>
  <c r="Q280" i="8"/>
  <c r="V280" i="8" s="1" a="1"/>
  <c r="V280" i="8" s="1"/>
  <c r="S1061" i="19"/>
  <c r="S1060" i="8" s="1"/>
  <c r="R1060" i="8"/>
  <c r="R1139" i="8"/>
  <c r="Q1426" i="19"/>
  <c r="R1426" i="19" s="1"/>
  <c r="Q1425" i="8"/>
  <c r="V1425" i="8" s="1" a="1"/>
  <c r="V1425" i="8" s="1"/>
  <c r="S985" i="19"/>
  <c r="S274" i="8" s="1"/>
  <c r="R274" i="8"/>
  <c r="S1156" i="19"/>
  <c r="S1155" i="8" s="1"/>
  <c r="R1155" i="8"/>
  <c r="Q1182" i="19"/>
  <c r="R1182" i="19" s="1"/>
  <c r="Q1181" i="8"/>
  <c r="V1181" i="8" s="1" a="1"/>
  <c r="V1181" i="8" s="1"/>
  <c r="Q1261" i="19"/>
  <c r="R1261" i="19" s="1"/>
  <c r="Q1260" i="8"/>
  <c r="V1260" i="8" s="1" a="1"/>
  <c r="V1260" i="8" s="1"/>
  <c r="Q1372" i="19"/>
  <c r="R1372" i="19" s="1"/>
  <c r="Q1371" i="8"/>
  <c r="V1371" i="8" s="1" a="1"/>
  <c r="V1371" i="8" s="1"/>
  <c r="Q1374" i="19"/>
  <c r="R1374" i="19" s="1"/>
  <c r="Q1373" i="8"/>
  <c r="V1373" i="8" s="1" a="1"/>
  <c r="V1373" i="8" s="1"/>
  <c r="Q1422" i="19"/>
  <c r="R1422" i="19" s="1"/>
  <c r="Q1421" i="8"/>
  <c r="V1421" i="8" s="1" a="1"/>
  <c r="V1421" i="8" s="1"/>
  <c r="S1543" i="19"/>
  <c r="S1542" i="8" s="1"/>
  <c r="R1542" i="8"/>
  <c r="Q1581" i="19"/>
  <c r="R1581" i="19" s="1"/>
  <c r="Q1580" i="8"/>
  <c r="V1580" i="8" s="1" a="1"/>
  <c r="V1580" i="8" s="1"/>
  <c r="Q659" i="19"/>
  <c r="R659" i="19" s="1"/>
  <c r="Q658" i="8"/>
  <c r="V658" i="8" s="1" a="1"/>
  <c r="V658" i="8" s="1"/>
  <c r="Q753" i="19"/>
  <c r="R753" i="19" s="1"/>
  <c r="Q752" i="8"/>
  <c r="V752" i="8" s="1" a="1"/>
  <c r="V752" i="8" s="1"/>
  <c r="S384" i="19"/>
  <c r="S400" i="19"/>
  <c r="S510" i="19"/>
  <c r="S509" i="8" s="1"/>
  <c r="R509" i="8"/>
  <c r="S538" i="19"/>
  <c r="S215" i="8" s="1"/>
  <c r="R215" i="8"/>
  <c r="S594" i="19"/>
  <c r="S217" i="8" s="1"/>
  <c r="R217" i="8"/>
  <c r="S602" i="19"/>
  <c r="S221" i="8" s="1"/>
  <c r="R221" i="8"/>
  <c r="S639" i="19"/>
  <c r="S638" i="8" s="1"/>
  <c r="R638" i="8"/>
  <c r="S1027" i="19"/>
  <c r="S1026" i="8" s="1"/>
  <c r="R1026" i="8"/>
  <c r="S1073" i="19"/>
  <c r="S1072" i="8" s="1"/>
  <c r="R1072" i="8"/>
  <c r="S1318" i="19"/>
  <c r="S1317" i="8" s="1"/>
  <c r="R1317" i="8"/>
  <c r="Q1321" i="19"/>
  <c r="R1321" i="19" s="1"/>
  <c r="Q1320" i="8"/>
  <c r="V1320" i="8" s="1" a="1"/>
  <c r="V1320" i="8" s="1"/>
  <c r="Q1398" i="19"/>
  <c r="R1398" i="19" s="1"/>
  <c r="Q1397" i="8"/>
  <c r="V1397" i="8" s="1" a="1"/>
  <c r="V1397" i="8" s="1"/>
  <c r="Q1551" i="19"/>
  <c r="R1551" i="19" s="1"/>
  <c r="Q1550" i="8"/>
  <c r="V1550" i="8" s="1" a="1"/>
  <c r="V1550" i="8" s="1"/>
  <c r="S703" i="19"/>
  <c r="S702" i="8" s="1"/>
  <c r="R702" i="8"/>
  <c r="Q718" i="19"/>
  <c r="R718" i="19" s="1"/>
  <c r="Q717" i="8"/>
  <c r="V717" i="8" s="1" a="1"/>
  <c r="V717" i="8" s="1"/>
  <c r="Q727" i="19"/>
  <c r="R727" i="19" s="1"/>
  <c r="Q726" i="8"/>
  <c r="V726" i="8" s="1" a="1"/>
  <c r="V726" i="8" s="1"/>
  <c r="Q763" i="19"/>
  <c r="R763" i="19" s="1"/>
  <c r="Q762" i="8"/>
  <c r="V762" i="8" s="1" a="1"/>
  <c r="V762" i="8" s="1"/>
  <c r="S811" i="19"/>
  <c r="S810" i="8" s="1"/>
  <c r="R810" i="8"/>
  <c r="Q909" i="19"/>
  <c r="R909" i="19" s="1"/>
  <c r="Q908" i="8"/>
  <c r="V908" i="8" s="1" a="1"/>
  <c r="V908" i="8" s="1"/>
  <c r="Q927" i="19"/>
  <c r="R927" i="19" s="1"/>
  <c r="Q310" i="8"/>
  <c r="V310" i="8" s="1" a="1"/>
  <c r="V310" i="8" s="1"/>
  <c r="Q403" i="19"/>
  <c r="R403" i="19" s="1"/>
  <c r="Q402" i="8"/>
  <c r="V402" i="8" s="1" a="1"/>
  <c r="V402" i="8" s="1"/>
  <c r="Q425" i="19"/>
  <c r="R425" i="19" s="1"/>
  <c r="Q160" i="8"/>
  <c r="V160" i="8" s="1" a="1"/>
  <c r="V160" i="8" s="1"/>
  <c r="Q520" i="19"/>
  <c r="R520" i="19" s="1"/>
  <c r="Q519" i="8"/>
  <c r="V519" i="8" s="1" a="1"/>
  <c r="V519" i="8" s="1"/>
  <c r="Q558" i="19"/>
  <c r="R558" i="19" s="1"/>
  <c r="Q557" i="8"/>
  <c r="V557" i="8" s="1" a="1"/>
  <c r="V557" i="8" s="1"/>
  <c r="Q614" i="19"/>
  <c r="R614" i="19" s="1"/>
  <c r="Q613" i="8"/>
  <c r="V613" i="8" s="1" a="1"/>
  <c r="V613" i="8" s="1"/>
  <c r="Q631" i="19"/>
  <c r="R631" i="19" s="1"/>
  <c r="Q630" i="8"/>
  <c r="V630" i="8" s="1" a="1"/>
  <c r="V630" i="8" s="1"/>
  <c r="S1101" i="19"/>
  <c r="S1100" i="8" s="1"/>
  <c r="R1100" i="8"/>
  <c r="S1152" i="19"/>
  <c r="S1151" i="8" s="1"/>
  <c r="R1151" i="8"/>
  <c r="S1484" i="19"/>
  <c r="S1483" i="8" s="1"/>
  <c r="R1483" i="8"/>
  <c r="S1557" i="19"/>
  <c r="S1556" i="8" s="1"/>
  <c r="R1556" i="8"/>
  <c r="S673" i="19"/>
  <c r="S672" i="8" s="1"/>
  <c r="R672" i="8"/>
  <c r="Q1009" i="19"/>
  <c r="R1009" i="19" s="1"/>
  <c r="Q1008" i="8"/>
  <c r="V1008" i="8" s="1" a="1"/>
  <c r="V1008" i="8" s="1"/>
  <c r="S1043" i="19"/>
  <c r="S1042" i="8" s="1"/>
  <c r="R1042" i="8"/>
  <c r="Q1104" i="19"/>
  <c r="R1104" i="19" s="1"/>
  <c r="Q1103" i="8"/>
  <c r="V1103" i="8" s="1" a="1"/>
  <c r="V1103" i="8" s="1"/>
  <c r="Q1111" i="19"/>
  <c r="R1111" i="19" s="1"/>
  <c r="Q1110" i="8"/>
  <c r="V1110" i="8" s="1" a="1"/>
  <c r="V1110" i="8" s="1"/>
  <c r="Q1308" i="19"/>
  <c r="R1308" i="19" s="1"/>
  <c r="Q1307" i="8"/>
  <c r="V1307" i="8" s="1" a="1"/>
  <c r="V1307" i="8" s="1"/>
  <c r="S1342" i="19"/>
  <c r="S1341" i="8" s="1"/>
  <c r="R1341" i="8"/>
  <c r="S1350" i="19"/>
  <c r="S1349" i="8" s="1"/>
  <c r="R1349" i="8"/>
  <c r="Q1518" i="19"/>
  <c r="R1518" i="19" s="1"/>
  <c r="Q1517" i="8"/>
  <c r="V1517" i="8" s="1" a="1"/>
  <c r="V1517" i="8" s="1"/>
  <c r="S1559" i="19"/>
  <c r="S1558" i="8" s="1"/>
  <c r="R1558" i="8"/>
  <c r="Q1595" i="19"/>
  <c r="R1595" i="19" s="1"/>
  <c r="Q1594" i="8"/>
  <c r="V1594" i="8" s="1" a="1"/>
  <c r="V1594" i="8" s="1"/>
  <c r="Q785" i="8"/>
  <c r="V785" i="8" s="1" a="1"/>
  <c r="V785" i="8" s="1"/>
  <c r="Q786" i="19"/>
  <c r="R786" i="19" s="1"/>
  <c r="Q805" i="19"/>
  <c r="R805" i="19" s="1"/>
  <c r="Q804" i="8"/>
  <c r="V804" i="8" s="1" a="1"/>
  <c r="V804" i="8" s="1"/>
  <c r="Q835" i="19"/>
  <c r="R835" i="19" s="1"/>
  <c r="Q834" i="8"/>
  <c r="V834" i="8" s="1" a="1"/>
  <c r="V834" i="8" s="1"/>
  <c r="Q874" i="19"/>
  <c r="R874" i="19" s="1"/>
  <c r="Q873" i="8"/>
  <c r="V873" i="8" s="1" a="1"/>
  <c r="V873" i="8" s="1"/>
  <c r="Q383" i="19"/>
  <c r="R383" i="19" s="1"/>
  <c r="Q404" i="19"/>
  <c r="R404" i="19" s="1"/>
  <c r="Q403" i="8"/>
  <c r="V403" i="8" s="1" a="1"/>
  <c r="V403" i="8" s="1"/>
  <c r="Q431" i="19"/>
  <c r="R431" i="19" s="1"/>
  <c r="Q165" i="8"/>
  <c r="V165" i="8" s="1" a="1"/>
  <c r="V165" i="8" s="1"/>
  <c r="Q494" i="19"/>
  <c r="R494" i="19" s="1"/>
  <c r="Q493" i="8"/>
  <c r="V493" i="8" s="1" a="1"/>
  <c r="V493" i="8" s="1"/>
  <c r="Q530" i="19"/>
  <c r="R530" i="19" s="1"/>
  <c r="Q537" i="19"/>
  <c r="R537" i="19" s="1"/>
  <c r="Q200" i="8"/>
  <c r="V200" i="8" s="1" a="1"/>
  <c r="V200" i="8" s="1"/>
  <c r="Q546" i="19"/>
  <c r="R546" i="19" s="1"/>
  <c r="Q545" i="8"/>
  <c r="V545" i="8" s="1" a="1"/>
  <c r="V545" i="8" s="1"/>
  <c r="Q556" i="19"/>
  <c r="R556" i="19" s="1"/>
  <c r="Q555" i="8"/>
  <c r="V555" i="8" s="1" a="1"/>
  <c r="V555" i="8" s="1"/>
  <c r="Q1114" i="19"/>
  <c r="R1114" i="19" s="1"/>
  <c r="Q1113" i="8"/>
  <c r="V1113" i="8" s="1" a="1"/>
  <c r="V1113" i="8" s="1"/>
  <c r="S1388" i="19"/>
  <c r="S1387" i="8" s="1"/>
  <c r="R1387" i="8"/>
  <c r="Q1555" i="19"/>
  <c r="R1555" i="19" s="1"/>
  <c r="Q1554" i="8"/>
  <c r="V1554" i="8" s="1" a="1"/>
  <c r="V1554" i="8" s="1"/>
  <c r="Q1563" i="19"/>
  <c r="R1563" i="19" s="1"/>
  <c r="Q1562" i="8"/>
  <c r="V1562" i="8" s="1" a="1"/>
  <c r="V1562" i="8" s="1"/>
  <c r="Q1584" i="19"/>
  <c r="R1584" i="19" s="1"/>
  <c r="Q1583" i="8"/>
  <c r="V1583" i="8" s="1" a="1"/>
  <c r="V1583" i="8" s="1"/>
  <c r="Q949" i="19"/>
  <c r="R949" i="19" s="1"/>
  <c r="Q948" i="8"/>
  <c r="V948" i="8" s="1" a="1"/>
  <c r="V948" i="8" s="1"/>
  <c r="Q839" i="19"/>
  <c r="R839" i="19" s="1"/>
  <c r="Q838" i="8"/>
  <c r="V838" i="8" s="1" a="1"/>
  <c r="V838" i="8" s="1"/>
  <c r="S877" i="19"/>
  <c r="S876" i="8" s="1"/>
  <c r="R876" i="8"/>
  <c r="S514" i="19"/>
  <c r="S513" i="8" s="1"/>
  <c r="R513" i="8"/>
  <c r="Q854" i="19"/>
  <c r="R854" i="19" s="1"/>
  <c r="Q853" i="8"/>
  <c r="V853" i="8" s="1" a="1"/>
  <c r="V853" i="8" s="1"/>
  <c r="S869" i="19"/>
  <c r="S868" i="8" s="1"/>
  <c r="R868" i="8"/>
  <c r="Q893" i="19"/>
  <c r="R893" i="19" s="1"/>
  <c r="Q892" i="8"/>
  <c r="V892" i="8" s="1" a="1"/>
  <c r="V892" i="8" s="1"/>
  <c r="S1496" i="19"/>
  <c r="S1495" i="8" s="1"/>
  <c r="R1495" i="8"/>
  <c r="Q522" i="19"/>
  <c r="R522" i="19" s="1"/>
  <c r="Q521" i="8"/>
  <c r="V521" i="8" s="1" a="1"/>
  <c r="V521" i="8" s="1"/>
  <c r="N48" i="10"/>
  <c r="N47" i="10" s="1"/>
  <c r="E25" i="10"/>
  <c r="U2" i="19"/>
  <c r="O37" i="32"/>
  <c r="H37" i="32"/>
  <c r="F39" i="32"/>
  <c r="E39" i="32"/>
  <c r="D39" i="32"/>
  <c r="C39" i="32"/>
  <c r="C37" i="32"/>
  <c r="D37" i="32"/>
  <c r="E37" i="32"/>
  <c r="F37" i="32"/>
  <c r="B37" i="32"/>
  <c r="J7" i="32"/>
  <c r="K7" i="32"/>
  <c r="L7" i="32"/>
  <c r="M7" i="32"/>
  <c r="I7" i="32"/>
  <c r="J19" i="32"/>
  <c r="K19" i="32"/>
  <c r="L19" i="32"/>
  <c r="M19" i="32"/>
  <c r="P19" i="32"/>
  <c r="Q19" i="32"/>
  <c r="R19" i="32"/>
  <c r="S19" i="32"/>
  <c r="I19" i="32"/>
  <c r="AA38" i="27"/>
  <c r="AB38" i="27"/>
  <c r="Z38" i="27"/>
  <c r="D7" i="27"/>
  <c r="E7" i="27"/>
  <c r="F7" i="27"/>
  <c r="G7" i="27"/>
  <c r="H7" i="27"/>
  <c r="K7" i="27"/>
  <c r="L7" i="27"/>
  <c r="M7" i="27"/>
  <c r="N7" i="27"/>
  <c r="O7" i="27"/>
  <c r="P7" i="27"/>
  <c r="C7" i="27"/>
  <c r="N37" i="27"/>
  <c r="N38" i="27" s="1"/>
  <c r="M37" i="27"/>
  <c r="M38" i="27" s="1"/>
  <c r="L37" i="27"/>
  <c r="L38" i="27" s="1"/>
  <c r="K37" i="27"/>
  <c r="K38" i="27" s="1"/>
  <c r="H17" i="27"/>
  <c r="G17" i="27"/>
  <c r="F17" i="27"/>
  <c r="E17" i="27"/>
  <c r="D17" i="27"/>
  <c r="C17" i="27"/>
  <c r="T24" i="23"/>
  <c r="S24" i="23"/>
  <c r="R24" i="23"/>
  <c r="J24" i="23"/>
  <c r="I24" i="23"/>
  <c r="H24" i="23"/>
  <c r="O17" i="23"/>
  <c r="N17" i="23"/>
  <c r="M17" i="23"/>
  <c r="E17" i="23"/>
  <c r="D17" i="23"/>
  <c r="C17" i="23"/>
  <c r="E133" i="9"/>
  <c r="E95" i="9"/>
  <c r="O35" i="9"/>
  <c r="E72" i="10"/>
  <c r="K25" i="9"/>
  <c r="F45" i="10"/>
  <c r="G45" i="10" s="1"/>
  <c r="F36" i="10"/>
  <c r="S445" i="19" l="1"/>
  <c r="S444" i="8" s="1"/>
  <c r="S1592" i="19"/>
  <c r="S1591" i="8" s="1"/>
  <c r="R1327" i="8"/>
  <c r="S826" i="19"/>
  <c r="S825" i="8" s="1"/>
  <c r="R893" i="8"/>
  <c r="S1124" i="19"/>
  <c r="S1123" i="8" s="1"/>
  <c r="S429" i="19"/>
  <c r="S163" i="8" s="1"/>
  <c r="R1262" i="8"/>
  <c r="S1198" i="19"/>
  <c r="S1197" i="8" s="1"/>
  <c r="R587" i="8"/>
  <c r="R922" i="8"/>
  <c r="R822" i="8"/>
  <c r="R1079" i="8"/>
  <c r="S819" i="19"/>
  <c r="S818" i="8" s="1"/>
  <c r="R1506" i="8"/>
  <c r="S750" i="19"/>
  <c r="S749" i="8" s="1"/>
  <c r="S745" i="19"/>
  <c r="S744" i="8" s="1"/>
  <c r="S965" i="19"/>
  <c r="S964" i="8" s="1"/>
  <c r="R599" i="8"/>
  <c r="R1074" i="8"/>
  <c r="R798" i="8"/>
  <c r="S604" i="19"/>
  <c r="S222" i="8" s="1"/>
  <c r="R1325" i="8"/>
  <c r="R1454" i="8"/>
  <c r="S790" i="19"/>
  <c r="S789" i="8" s="1"/>
  <c r="S822" i="19"/>
  <c r="S821" i="8" s="1"/>
  <c r="R1297" i="8"/>
  <c r="R496" i="8"/>
  <c r="R770" i="8"/>
  <c r="S687" i="19"/>
  <c r="S686" i="8" s="1"/>
  <c r="R543" i="8"/>
  <c r="R701" i="8"/>
  <c r="R1244" i="8"/>
  <c r="R742" i="8"/>
  <c r="R1273" i="8"/>
  <c r="R366" i="8"/>
  <c r="R1364" i="8"/>
  <c r="R684" i="8"/>
  <c r="R780" i="8"/>
  <c r="R1117" i="8"/>
  <c r="R634" i="8"/>
  <c r="S1235" i="19"/>
  <c r="S1234" i="8" s="1"/>
  <c r="S1155" i="19"/>
  <c r="S1154" i="8" s="1"/>
  <c r="R180" i="8"/>
  <c r="R1312" i="8"/>
  <c r="S388" i="19"/>
  <c r="S387" i="8" s="1"/>
  <c r="S598" i="19"/>
  <c r="S219" i="8" s="1"/>
  <c r="R1146" i="8"/>
  <c r="R858" i="8"/>
  <c r="R806" i="8"/>
  <c r="S463" i="19"/>
  <c r="S462" i="8" s="1"/>
  <c r="S557" i="19"/>
  <c r="S556" i="8" s="1"/>
  <c r="S1167" i="19"/>
  <c r="S1166" i="8" s="1"/>
  <c r="S1312" i="19"/>
  <c r="S1311" i="8" s="1"/>
  <c r="S526" i="19"/>
  <c r="R1574" i="8"/>
  <c r="R1419" i="8"/>
  <c r="R968" i="8"/>
  <c r="S1542" i="19"/>
  <c r="S1541" i="8" s="1"/>
  <c r="R1012" i="8"/>
  <c r="R1300" i="8"/>
  <c r="R793" i="8"/>
  <c r="R826" i="8"/>
  <c r="R1193" i="8"/>
  <c r="S1146" i="19"/>
  <c r="S1145" i="8" s="1"/>
  <c r="S608" i="19"/>
  <c r="S286" i="8" s="1"/>
  <c r="R1217" i="8"/>
  <c r="S1488" i="19"/>
  <c r="S1487" i="8" s="1"/>
  <c r="S1573" i="19"/>
  <c r="S1572" i="8" s="1"/>
  <c r="R756" i="8"/>
  <c r="R656" i="8"/>
  <c r="R516" i="8"/>
  <c r="R1119" i="8"/>
  <c r="R890" i="8"/>
  <c r="R1590" i="8"/>
  <c r="S957" i="19"/>
  <c r="S956" i="8" s="1"/>
  <c r="R786" i="8"/>
  <c r="R722" i="8"/>
  <c r="R573" i="8"/>
  <c r="R664" i="8"/>
  <c r="R678" i="8"/>
  <c r="R1295" i="8"/>
  <c r="R758" i="8"/>
  <c r="S1410" i="19"/>
  <c r="S1409" i="8" s="1"/>
  <c r="R1409" i="8"/>
  <c r="S843" i="19"/>
  <c r="S842" i="8" s="1"/>
  <c r="R842" i="8"/>
  <c r="S1330" i="19"/>
  <c r="S1329" i="8" s="1"/>
  <c r="R1329" i="8"/>
  <c r="R898" i="8"/>
  <c r="S899" i="19"/>
  <c r="S898" i="8" s="1"/>
  <c r="S1089" i="19"/>
  <c r="S1088" i="8" s="1"/>
  <c r="R1088" i="8"/>
  <c r="R850" i="8"/>
  <c r="S851" i="19"/>
  <c r="S850" i="8" s="1"/>
  <c r="S1077" i="19"/>
  <c r="S1076" i="8" s="1"/>
  <c r="R1076" i="8"/>
  <c r="S854" i="19"/>
  <c r="S853" i="8" s="1"/>
  <c r="R853" i="8"/>
  <c r="S949" i="19"/>
  <c r="S948" i="8" s="1"/>
  <c r="R948" i="8"/>
  <c r="S546" i="19"/>
  <c r="S545" i="8" s="1"/>
  <c r="R545" i="8"/>
  <c r="S431" i="19"/>
  <c r="S165" i="8" s="1"/>
  <c r="R165" i="8"/>
  <c r="S835" i="19"/>
  <c r="S834" i="8" s="1"/>
  <c r="R834" i="8"/>
  <c r="S1111" i="19"/>
  <c r="S1110" i="8" s="1"/>
  <c r="R1110" i="8"/>
  <c r="S520" i="19"/>
  <c r="S519" i="8" s="1"/>
  <c r="R519" i="8"/>
  <c r="S1321" i="19"/>
  <c r="S1320" i="8" s="1"/>
  <c r="R1320" i="8"/>
  <c r="S1581" i="19"/>
  <c r="S1580" i="8" s="1"/>
  <c r="R1580" i="8"/>
  <c r="S1372" i="19"/>
  <c r="S1371" i="8" s="1"/>
  <c r="R1371" i="8"/>
  <c r="S1508" i="19"/>
  <c r="S1507" i="8" s="1"/>
  <c r="R1507" i="8"/>
  <c r="S1225" i="19"/>
  <c r="S1224" i="8" s="1"/>
  <c r="R1224" i="8"/>
  <c r="S660" i="19"/>
  <c r="S659" i="8" s="1"/>
  <c r="R659" i="8"/>
  <c r="S1448" i="19"/>
  <c r="S1447" i="8" s="1"/>
  <c r="R1447" i="8"/>
  <c r="S1193" i="19"/>
  <c r="S1192" i="8" s="1"/>
  <c r="R1192" i="8"/>
  <c r="S1405" i="19"/>
  <c r="S1404" i="8" s="1"/>
  <c r="R1404" i="8"/>
  <c r="S1603" i="19"/>
  <c r="S1602" i="8" s="1"/>
  <c r="R1602" i="8"/>
  <c r="S1576" i="19"/>
  <c r="S1575" i="8" s="1"/>
  <c r="R1575" i="8"/>
  <c r="S1399" i="19"/>
  <c r="S1398" i="8" s="1"/>
  <c r="R1398" i="8"/>
  <c r="S1175" i="19"/>
  <c r="S1174" i="8" s="1"/>
  <c r="R1174" i="8"/>
  <c r="S1238" i="19"/>
  <c r="S1237" i="8" s="1"/>
  <c r="R1237" i="8"/>
  <c r="S1346" i="19"/>
  <c r="S1345" i="8" s="1"/>
  <c r="R1345" i="8"/>
  <c r="S839" i="19"/>
  <c r="S838" i="8" s="1"/>
  <c r="R838" i="8"/>
  <c r="S1555" i="19"/>
  <c r="S1554" i="8" s="1"/>
  <c r="R1554" i="8"/>
  <c r="S556" i="19"/>
  <c r="S555" i="8" s="1"/>
  <c r="R555" i="8"/>
  <c r="S494" i="19"/>
  <c r="S493" i="8" s="1"/>
  <c r="R493" i="8"/>
  <c r="S874" i="19"/>
  <c r="S873" i="8" s="1"/>
  <c r="R873" i="8"/>
  <c r="S1595" i="19"/>
  <c r="S1594" i="8" s="1"/>
  <c r="R1594" i="8"/>
  <c r="S1104" i="19"/>
  <c r="S1103" i="8" s="1"/>
  <c r="R1103" i="8"/>
  <c r="S631" i="19"/>
  <c r="S630" i="8" s="1"/>
  <c r="R630" i="8"/>
  <c r="S718" i="19"/>
  <c r="S717" i="8" s="1"/>
  <c r="R717" i="8"/>
  <c r="S659" i="19"/>
  <c r="S658" i="8" s="1"/>
  <c r="R658" i="8"/>
  <c r="S1374" i="19"/>
  <c r="S1373" i="8" s="1"/>
  <c r="R1373" i="8"/>
  <c r="S955" i="19"/>
  <c r="S954" i="8" s="1"/>
  <c r="R954" i="8"/>
  <c r="S1271" i="19"/>
  <c r="S1270" i="8" s="1"/>
  <c r="R1270" i="8"/>
  <c r="S1057" i="19"/>
  <c r="S283" i="8" s="1"/>
  <c r="R283" i="8"/>
  <c r="S1597" i="19"/>
  <c r="S1596" i="8" s="1"/>
  <c r="R1596" i="8"/>
  <c r="S1083" i="19"/>
  <c r="S1082" i="8" s="1"/>
  <c r="R1082" i="8"/>
  <c r="S1363" i="19"/>
  <c r="S1362" i="8" s="1"/>
  <c r="R1362" i="8"/>
  <c r="S1582" i="19"/>
  <c r="S1581" i="8" s="1"/>
  <c r="R1581" i="8"/>
  <c r="S1454" i="19"/>
  <c r="S1453" i="8" s="1"/>
  <c r="R1453" i="8"/>
  <c r="S1525" i="19"/>
  <c r="S1524" i="8" s="1"/>
  <c r="R1524" i="8"/>
  <c r="S1490" i="19"/>
  <c r="S1489" i="8" s="1"/>
  <c r="R1489" i="8"/>
  <c r="S1287" i="19"/>
  <c r="S1286" i="8" s="1"/>
  <c r="R1286" i="8"/>
  <c r="S1359" i="19"/>
  <c r="S1358" i="8" s="1"/>
  <c r="R1358" i="8"/>
  <c r="S1237" i="19"/>
  <c r="S1236" i="8" s="1"/>
  <c r="R1236" i="8"/>
  <c r="S1165" i="19"/>
  <c r="S1164" i="8" s="1"/>
  <c r="R1164" i="8"/>
  <c r="S1066" i="19"/>
  <c r="S1065" i="8" s="1"/>
  <c r="R1065" i="8"/>
  <c r="S994" i="19"/>
  <c r="S993" i="8" s="1"/>
  <c r="R993" i="8"/>
  <c r="S1046" i="19"/>
  <c r="S1045" i="8" s="1"/>
  <c r="R1045" i="8"/>
  <c r="S1004" i="19"/>
  <c r="S1003" i="8" s="1"/>
  <c r="R1003" i="8"/>
  <c r="S872" i="19"/>
  <c r="S871" i="8" s="1"/>
  <c r="R871" i="8"/>
  <c r="S846" i="19"/>
  <c r="S845" i="8" s="1"/>
  <c r="R845" i="8"/>
  <c r="S845" i="19"/>
  <c r="S844" i="8" s="1"/>
  <c r="R844" i="8"/>
  <c r="S764" i="19"/>
  <c r="S763" i="8" s="1"/>
  <c r="R763" i="8"/>
  <c r="S804" i="19"/>
  <c r="S803" i="8" s="1"/>
  <c r="R803" i="8"/>
  <c r="S796" i="19"/>
  <c r="S795" i="8" s="1"/>
  <c r="R795" i="8"/>
  <c r="S824" i="19"/>
  <c r="S823" i="8" s="1"/>
  <c r="R823" i="8"/>
  <c r="S662" i="19"/>
  <c r="S661" i="8" s="1"/>
  <c r="R661" i="8"/>
  <c r="S580" i="19"/>
  <c r="S579" i="8" s="1"/>
  <c r="R579" i="8"/>
  <c r="S500" i="19"/>
  <c r="S499" i="8" s="1"/>
  <c r="R499" i="8"/>
  <c r="S592" i="19"/>
  <c r="S591" i="8" s="1"/>
  <c r="R591" i="8"/>
  <c r="S539" i="19"/>
  <c r="S442" i="19"/>
  <c r="S441" i="8" s="1"/>
  <c r="R441" i="8"/>
  <c r="S373" i="19"/>
  <c r="S372" i="8" s="1"/>
  <c r="R372" i="8"/>
  <c r="S409" i="19"/>
  <c r="S408" i="8" s="1"/>
  <c r="R408" i="8"/>
  <c r="S1011" i="19"/>
  <c r="S1010" i="8" s="1"/>
  <c r="R1010" i="8"/>
  <c r="S1456" i="19"/>
  <c r="S1455" i="8" s="1"/>
  <c r="R1455" i="8"/>
  <c r="S1397" i="19"/>
  <c r="S1396" i="8" s="1"/>
  <c r="R1396" i="8"/>
  <c r="S1081" i="19"/>
  <c r="S1080" i="8" s="1"/>
  <c r="R1080" i="8"/>
  <c r="S1580" i="19"/>
  <c r="S1579" i="8" s="1"/>
  <c r="R1579" i="8"/>
  <c r="S1265" i="19"/>
  <c r="S1264" i="8" s="1"/>
  <c r="R1264" i="8"/>
  <c r="S1151" i="19"/>
  <c r="S1150" i="8" s="1"/>
  <c r="R1150" i="8"/>
  <c r="S1416" i="19"/>
  <c r="S1415" i="8" s="1"/>
  <c r="R1415" i="8"/>
  <c r="S1113" i="19"/>
  <c r="S1112" i="8" s="1"/>
  <c r="R1112" i="8"/>
  <c r="S990" i="19"/>
  <c r="S279" i="8" s="1"/>
  <c r="R279" i="8"/>
  <c r="S801" i="19"/>
  <c r="S800" i="8" s="1"/>
  <c r="R800" i="8"/>
  <c r="S749" i="19"/>
  <c r="S748" i="8" s="1"/>
  <c r="R748" i="8"/>
  <c r="S682" i="19"/>
  <c r="S681" i="8" s="1"/>
  <c r="R681" i="8"/>
  <c r="S519" i="19"/>
  <c r="S518" i="8" s="1"/>
  <c r="R518" i="8"/>
  <c r="S644" i="19"/>
  <c r="S643" i="8" s="1"/>
  <c r="R643" i="8"/>
  <c r="S547" i="19"/>
  <c r="S546" i="8" s="1"/>
  <c r="R546" i="8"/>
  <c r="S591" i="19"/>
  <c r="S590" i="8" s="1"/>
  <c r="R590" i="8"/>
  <c r="S905" i="19"/>
  <c r="S904" i="8" s="1"/>
  <c r="R904" i="8"/>
  <c r="S1406" i="19"/>
  <c r="S1405" i="8" s="1"/>
  <c r="R1405" i="8"/>
  <c r="S638" i="19"/>
  <c r="S637" i="8" s="1"/>
  <c r="R637" i="8"/>
  <c r="S590" i="19"/>
  <c r="S589" i="8" s="1"/>
  <c r="R589" i="8"/>
  <c r="S492" i="19"/>
  <c r="S491" i="8" s="1"/>
  <c r="R491" i="8"/>
  <c r="S435" i="19"/>
  <c r="S434" i="8" s="1"/>
  <c r="R434" i="8"/>
  <c r="S417" i="19"/>
  <c r="S416" i="8" s="1"/>
  <c r="R416" i="8"/>
  <c r="S934" i="19"/>
  <c r="S382" i="8" s="1"/>
  <c r="R382" i="8"/>
  <c r="S873" i="19"/>
  <c r="S872" i="8" s="1"/>
  <c r="R872" i="8"/>
  <c r="S766" i="19"/>
  <c r="S765" i="8" s="1"/>
  <c r="R765" i="8"/>
  <c r="S692" i="19"/>
  <c r="S691" i="8" s="1"/>
  <c r="R691" i="8"/>
  <c r="S1526" i="19"/>
  <c r="S1525" i="8" s="1"/>
  <c r="R1525" i="8"/>
  <c r="S1259" i="19"/>
  <c r="S1258" i="8" s="1"/>
  <c r="R1258" i="8"/>
  <c r="S1178" i="19"/>
  <c r="S1177" i="8" s="1"/>
  <c r="R1177" i="8"/>
  <c r="S1404" i="19"/>
  <c r="S1403" i="8" s="1"/>
  <c r="R1403" i="8"/>
  <c r="S1199" i="19"/>
  <c r="S1198" i="8" s="1"/>
  <c r="R1198" i="8"/>
  <c r="S620" i="19"/>
  <c r="S619" i="8" s="1"/>
  <c r="R619" i="8"/>
  <c r="S501" i="19"/>
  <c r="S500" i="8" s="1"/>
  <c r="R500" i="8"/>
  <c r="S396" i="19"/>
  <c r="S395" i="8" s="1"/>
  <c r="R395" i="8"/>
  <c r="S737" i="19"/>
  <c r="S736" i="8" s="1"/>
  <c r="R736" i="8"/>
  <c r="S713" i="19"/>
  <c r="S712" i="8" s="1"/>
  <c r="R712" i="8"/>
  <c r="S942" i="19"/>
  <c r="S239" i="8" s="1"/>
  <c r="R239" i="8"/>
  <c r="S1390" i="19"/>
  <c r="S1389" i="8" s="1"/>
  <c r="R1389" i="8"/>
  <c r="S1170" i="19"/>
  <c r="S1169" i="8" s="1"/>
  <c r="R1169" i="8"/>
  <c r="S1085" i="19"/>
  <c r="S1084" i="8" s="1"/>
  <c r="R1084" i="8"/>
  <c r="S777" i="19"/>
  <c r="S776" i="8" s="1"/>
  <c r="R776" i="8"/>
  <c r="S1520" i="19"/>
  <c r="S1519" i="8" s="1"/>
  <c r="R1519" i="8"/>
  <c r="S1385" i="19"/>
  <c r="S1384" i="8" s="1"/>
  <c r="R1384" i="8"/>
  <c r="S1257" i="19"/>
  <c r="S1256" i="8" s="1"/>
  <c r="R1256" i="8"/>
  <c r="S1019" i="19"/>
  <c r="S1018" i="8" s="1"/>
  <c r="R1018" i="8"/>
  <c r="S1325" i="19"/>
  <c r="S1324" i="8" s="1"/>
  <c r="R1324" i="8"/>
  <c r="S1211" i="19"/>
  <c r="S1210" i="8" s="1"/>
  <c r="R1210" i="8"/>
  <c r="S1017" i="19"/>
  <c r="S1016" i="8" s="1"/>
  <c r="R1016" i="8"/>
  <c r="S677" i="19"/>
  <c r="S676" i="8" s="1"/>
  <c r="R676" i="8"/>
  <c r="S964" i="19"/>
  <c r="S963" i="8" s="1"/>
  <c r="R963" i="8"/>
  <c r="S1469" i="19"/>
  <c r="S1468" i="8" s="1"/>
  <c r="R1468" i="8"/>
  <c r="S1290" i="19"/>
  <c r="S1289" i="8" s="1"/>
  <c r="R1289" i="8"/>
  <c r="S1164" i="19"/>
  <c r="S1163" i="8" s="1"/>
  <c r="R1163" i="8"/>
  <c r="S1093" i="19"/>
  <c r="S1092" i="8" s="1"/>
  <c r="R1092" i="8"/>
  <c r="S1540" i="19"/>
  <c r="S1539" i="8" s="1"/>
  <c r="R1539" i="8"/>
  <c r="S1305" i="19"/>
  <c r="S1304" i="8" s="1"/>
  <c r="R1304" i="8"/>
  <c r="S1544" i="19"/>
  <c r="S1543" i="8" s="1"/>
  <c r="R1543" i="8"/>
  <c r="S1376" i="19"/>
  <c r="S1375" i="8" s="1"/>
  <c r="R1375" i="8"/>
  <c r="S1574" i="19"/>
  <c r="S1573" i="8" s="1"/>
  <c r="R1573" i="8"/>
  <c r="S1509" i="19"/>
  <c r="S1508" i="8" s="1"/>
  <c r="R1508" i="8"/>
  <c r="S1331" i="19"/>
  <c r="S1330" i="8" s="1"/>
  <c r="R1330" i="8"/>
  <c r="S1578" i="19"/>
  <c r="S1577" i="8" s="1"/>
  <c r="R1577" i="8"/>
  <c r="S1430" i="19"/>
  <c r="S1429" i="8" s="1"/>
  <c r="R1429" i="8"/>
  <c r="S1450" i="19"/>
  <c r="S1449" i="8" s="1"/>
  <c r="R1449" i="8"/>
  <c r="S1599" i="19"/>
  <c r="S1598" i="8" s="1"/>
  <c r="R1598" i="8"/>
  <c r="S1552" i="19"/>
  <c r="S1551" i="8" s="1"/>
  <c r="R1551" i="8"/>
  <c r="S1498" i="19"/>
  <c r="S1497" i="8" s="1"/>
  <c r="R1497" i="8"/>
  <c r="S1415" i="19"/>
  <c r="S1414" i="8" s="1"/>
  <c r="R1414" i="8"/>
  <c r="S1323" i="19"/>
  <c r="S1322" i="8" s="1"/>
  <c r="R1322" i="8"/>
  <c r="S976" i="19"/>
  <c r="S399" i="8" s="1"/>
  <c r="R399" i="8"/>
  <c r="S1521" i="19"/>
  <c r="S1520" i="8" s="1"/>
  <c r="R1520" i="8"/>
  <c r="S1364" i="19"/>
  <c r="S1363" i="8" s="1"/>
  <c r="R1363" i="8"/>
  <c r="S1497" i="19"/>
  <c r="S1496" i="8" s="1"/>
  <c r="R1496" i="8"/>
  <c r="S1425" i="19"/>
  <c r="S1424" i="8" s="1"/>
  <c r="R1424" i="8"/>
  <c r="S1303" i="19"/>
  <c r="S1302" i="8" s="1"/>
  <c r="R1302" i="8"/>
  <c r="S1384" i="19"/>
  <c r="S1383" i="8" s="1"/>
  <c r="R1383" i="8"/>
  <c r="S1236" i="19"/>
  <c r="S1235" i="8" s="1"/>
  <c r="R1235" i="8"/>
  <c r="S1102" i="19"/>
  <c r="S1101" i="8" s="1"/>
  <c r="R1101" i="8"/>
  <c r="S1272" i="19"/>
  <c r="S1271" i="8" s="1"/>
  <c r="R1271" i="8"/>
  <c r="S1240" i="19"/>
  <c r="S1239" i="8" s="1"/>
  <c r="R1239" i="8"/>
  <c r="S1229" i="19"/>
  <c r="S1228" i="8" s="1"/>
  <c r="R1228" i="8"/>
  <c r="S1260" i="19"/>
  <c r="S1259" i="8" s="1"/>
  <c r="R1259" i="8"/>
  <c r="S1224" i="19"/>
  <c r="S1223" i="8" s="1"/>
  <c r="R1223" i="8"/>
  <c r="S1121" i="19"/>
  <c r="S1120" i="8" s="1"/>
  <c r="R1120" i="8"/>
  <c r="S1161" i="19"/>
  <c r="S1160" i="8" s="1"/>
  <c r="R1160" i="8"/>
  <c r="S1082" i="19"/>
  <c r="S1081" i="8" s="1"/>
  <c r="R1081" i="8"/>
  <c r="S1157" i="19"/>
  <c r="S1156" i="8" s="1"/>
  <c r="R1156" i="8"/>
  <c r="S1084" i="19"/>
  <c r="S1083" i="8" s="1"/>
  <c r="R1083" i="8"/>
  <c r="S1071" i="19"/>
  <c r="S1070" i="8" s="1"/>
  <c r="R1070" i="8"/>
  <c r="S1040" i="19"/>
  <c r="S1039" i="8" s="1"/>
  <c r="R1039" i="8"/>
  <c r="S1014" i="19"/>
  <c r="S1013" i="8" s="1"/>
  <c r="R1013" i="8"/>
  <c r="S1018" i="19"/>
  <c r="S1017" i="8" s="1"/>
  <c r="R1017" i="8"/>
  <c r="S901" i="19"/>
  <c r="S900" i="8" s="1"/>
  <c r="R900" i="8"/>
  <c r="S937" i="19"/>
  <c r="S232" i="8" s="1"/>
  <c r="R232" i="8"/>
  <c r="S929" i="19"/>
  <c r="S377" i="8" s="1"/>
  <c r="R377" i="8"/>
  <c r="S921" i="19"/>
  <c r="S920" i="8" s="1"/>
  <c r="R920" i="8"/>
  <c r="S913" i="19"/>
  <c r="S912" i="8" s="1"/>
  <c r="R912" i="8"/>
  <c r="S881" i="19"/>
  <c r="S880" i="8" s="1"/>
  <c r="R880" i="8"/>
  <c r="S852" i="19"/>
  <c r="S851" i="8" s="1"/>
  <c r="R851" i="8"/>
  <c r="S820" i="19"/>
  <c r="S819" i="8" s="1"/>
  <c r="R819" i="8"/>
  <c r="S862" i="19"/>
  <c r="S861" i="8" s="1"/>
  <c r="R861" i="8"/>
  <c r="S908" i="19"/>
  <c r="S907" i="8" s="1"/>
  <c r="R907" i="8"/>
  <c r="S849" i="19"/>
  <c r="S848" i="8" s="1"/>
  <c r="R848" i="8"/>
  <c r="S817" i="19"/>
  <c r="S816" i="8" s="1"/>
  <c r="R816" i="8"/>
  <c r="S695" i="19"/>
  <c r="S694" i="8" s="1"/>
  <c r="R694" i="8"/>
  <c r="S840" i="19"/>
  <c r="S839" i="8" s="1"/>
  <c r="R839" i="8"/>
  <c r="S746" i="19"/>
  <c r="S745" i="8" s="1"/>
  <c r="R745" i="8"/>
  <c r="S714" i="19"/>
  <c r="S713" i="8" s="1"/>
  <c r="R713" i="8"/>
  <c r="S686" i="19"/>
  <c r="S685" i="8" s="1"/>
  <c r="R685" i="8"/>
  <c r="S674" i="19"/>
  <c r="S673" i="8" s="1"/>
  <c r="R673" i="8"/>
  <c r="S593" i="19"/>
  <c r="S216" i="8" s="1"/>
  <c r="R216" i="8"/>
  <c r="S529" i="19"/>
  <c r="S187" i="8" s="1"/>
  <c r="R187" i="8"/>
  <c r="S612" i="19"/>
  <c r="S290" i="8" s="1"/>
  <c r="R290" i="8"/>
  <c r="S531" i="19"/>
  <c r="S188" i="8" s="1"/>
  <c r="R188" i="8"/>
  <c r="S503" i="19"/>
  <c r="S502" i="8" s="1"/>
  <c r="R502" i="8"/>
  <c r="S611" i="19"/>
  <c r="S289" i="8" s="1"/>
  <c r="R289" i="8"/>
  <c r="S583" i="19"/>
  <c r="S582" i="8" s="1"/>
  <c r="R582" i="8"/>
  <c r="S468" i="19"/>
  <c r="S467" i="8" s="1"/>
  <c r="R467" i="8"/>
  <c r="S575" i="19"/>
  <c r="S574" i="8" s="1"/>
  <c r="R574" i="8"/>
  <c r="S619" i="19"/>
  <c r="S618" i="8" s="1"/>
  <c r="R618" i="8"/>
  <c r="S426" i="19"/>
  <c r="S161" i="8" s="1"/>
  <c r="R161" i="8"/>
  <c r="S450" i="19"/>
  <c r="S449" i="8" s="1"/>
  <c r="R449" i="8"/>
  <c r="S369" i="19"/>
  <c r="S368" i="8" s="1"/>
  <c r="R368" i="8"/>
  <c r="S370" i="19"/>
  <c r="S369" i="8" s="1"/>
  <c r="R369" i="8"/>
  <c r="S568" i="19"/>
  <c r="S567" i="8" s="1"/>
  <c r="R567" i="8"/>
  <c r="S605" i="19"/>
  <c r="S229" i="8" s="1"/>
  <c r="R229" i="8"/>
  <c r="S566" i="19"/>
  <c r="S565" i="8" s="1"/>
  <c r="R565" i="8"/>
  <c r="S433" i="19"/>
  <c r="S167" i="8" s="1"/>
  <c r="R167" i="8"/>
  <c r="R772" i="8"/>
  <c r="S773" i="19"/>
  <c r="S772" i="8" s="1"/>
  <c r="S655" i="19"/>
  <c r="S654" i="8" s="1"/>
  <c r="R654" i="8"/>
  <c r="S560" i="19"/>
  <c r="S559" i="8" s="1"/>
  <c r="R559" i="8"/>
  <c r="S378" i="19"/>
  <c r="S1447" i="19"/>
  <c r="S1446" i="8" s="1"/>
  <c r="R1446" i="8"/>
  <c r="S689" i="19"/>
  <c r="S688" i="8" s="1"/>
  <c r="R688" i="8"/>
  <c r="S1336" i="19"/>
  <c r="S1335" i="8" s="1"/>
  <c r="R1335" i="8"/>
  <c r="S971" i="19"/>
  <c r="S970" i="8" s="1"/>
  <c r="R970" i="8"/>
  <c r="S664" i="19"/>
  <c r="S663" i="8" s="1"/>
  <c r="R663" i="8"/>
  <c r="S1179" i="19"/>
  <c r="S1178" i="8" s="1"/>
  <c r="R1178" i="8"/>
  <c r="S1533" i="19"/>
  <c r="S1532" i="8" s="1"/>
  <c r="R1532" i="8"/>
  <c r="S1503" i="19"/>
  <c r="S1502" i="8" s="1"/>
  <c r="R1502" i="8"/>
  <c r="S1514" i="19"/>
  <c r="S1513" i="8" s="1"/>
  <c r="R1513" i="8"/>
  <c r="S1380" i="19"/>
  <c r="S1379" i="8" s="1"/>
  <c r="R1379" i="8"/>
  <c r="S1352" i="19"/>
  <c r="S1351" i="8" s="1"/>
  <c r="R1351" i="8"/>
  <c r="S1403" i="19"/>
  <c r="S1402" i="8" s="1"/>
  <c r="R1402" i="8"/>
  <c r="S1212" i="19"/>
  <c r="S1211" i="8" s="1"/>
  <c r="R1211" i="8"/>
  <c r="S1100" i="19"/>
  <c r="S1099" i="8" s="1"/>
  <c r="R1099" i="8"/>
  <c r="S992" i="19"/>
  <c r="S991" i="8" s="1"/>
  <c r="R991" i="8"/>
  <c r="S1000" i="19"/>
  <c r="S999" i="8" s="1"/>
  <c r="R999" i="8"/>
  <c r="S885" i="19"/>
  <c r="S884" i="8" s="1"/>
  <c r="R884" i="8"/>
  <c r="S762" i="19"/>
  <c r="S761" i="8" s="1"/>
  <c r="R761" i="8"/>
  <c r="S696" i="19"/>
  <c r="S695" i="8" s="1"/>
  <c r="R695" i="8"/>
  <c r="S513" i="19"/>
  <c r="S512" i="8" s="1"/>
  <c r="R512" i="8"/>
  <c r="S609" i="19"/>
  <c r="S287" i="8" s="1"/>
  <c r="R287" i="8"/>
  <c r="S487" i="19"/>
  <c r="S486" i="8" s="1"/>
  <c r="R486" i="8"/>
  <c r="S401" i="19"/>
  <c r="S400" i="8" s="1"/>
  <c r="R400" i="8"/>
  <c r="S394" i="19"/>
  <c r="S1589" i="19"/>
  <c r="S1588" i="8" s="1"/>
  <c r="R1588" i="8"/>
  <c r="S1553" i="19"/>
  <c r="S1552" i="8" s="1"/>
  <c r="R1552" i="8"/>
  <c r="S1417" i="19"/>
  <c r="S1416" i="8" s="1"/>
  <c r="R1416" i="8"/>
  <c r="S1203" i="19"/>
  <c r="S1202" i="8" s="1"/>
  <c r="R1202" i="8"/>
  <c r="S550" i="19"/>
  <c r="S549" i="8" s="1"/>
  <c r="R549" i="8"/>
  <c r="S533" i="19"/>
  <c r="S189" i="8" s="1"/>
  <c r="R189" i="8"/>
  <c r="S415" i="19"/>
  <c r="S414" i="8" s="1"/>
  <c r="R414" i="8"/>
  <c r="S902" i="19"/>
  <c r="S901" i="8" s="1"/>
  <c r="R901" i="8"/>
  <c r="S853" i="19"/>
  <c r="S852" i="8" s="1"/>
  <c r="R852" i="8"/>
  <c r="S953" i="19"/>
  <c r="S952" i="8" s="1"/>
  <c r="R952" i="8"/>
  <c r="S1477" i="19"/>
  <c r="S1476" i="8" s="1"/>
  <c r="R1476" i="8"/>
  <c r="S1154" i="19"/>
  <c r="S1153" i="8" s="1"/>
  <c r="R1153" i="8"/>
  <c r="S1611" i="19"/>
  <c r="S1610" i="8" s="1"/>
  <c r="R1610" i="8"/>
  <c r="S1049" i="19"/>
  <c r="S1048" i="8" s="1"/>
  <c r="R1048" i="8"/>
  <c r="S646" i="19"/>
  <c r="S645" i="8" s="1"/>
  <c r="R645" i="8"/>
  <c r="S572" i="19"/>
  <c r="S571" i="8" s="1"/>
  <c r="R571" i="8"/>
  <c r="S498" i="19"/>
  <c r="S497" i="8" s="1"/>
  <c r="R497" i="8"/>
  <c r="S408" i="19"/>
  <c r="S407" i="8" s="1"/>
  <c r="R407" i="8"/>
  <c r="S879" i="19"/>
  <c r="S878" i="8" s="1"/>
  <c r="R878" i="8"/>
  <c r="S747" i="19"/>
  <c r="S746" i="8" s="1"/>
  <c r="R746" i="8"/>
  <c r="S1565" i="19"/>
  <c r="S1564" i="8" s="1"/>
  <c r="R1564" i="8"/>
  <c r="S825" i="19"/>
  <c r="S824" i="8" s="1"/>
  <c r="R824" i="8"/>
  <c r="S1593" i="19"/>
  <c r="S1592" i="8" s="1"/>
  <c r="R1592" i="8"/>
  <c r="S1459" i="19"/>
  <c r="S1458" i="8" s="1"/>
  <c r="R1458" i="8"/>
  <c r="S1401" i="19"/>
  <c r="S1400" i="8" s="1"/>
  <c r="R1400" i="8"/>
  <c r="S1039" i="19"/>
  <c r="S1038" i="8" s="1"/>
  <c r="R1038" i="8"/>
  <c r="S669" i="19"/>
  <c r="S668" i="8" s="1"/>
  <c r="R668" i="8"/>
  <c r="S960" i="19"/>
  <c r="S383" i="8" s="1"/>
  <c r="R383" i="8"/>
  <c r="S1262" i="19"/>
  <c r="S1261" i="8" s="1"/>
  <c r="R1261" i="8"/>
  <c r="S1190" i="19"/>
  <c r="S1189" i="8" s="1"/>
  <c r="R1189" i="8"/>
  <c r="S1045" i="19"/>
  <c r="S1044" i="8" s="1"/>
  <c r="R1044" i="8"/>
  <c r="S967" i="19"/>
  <c r="S391" i="8" s="1"/>
  <c r="R391" i="8"/>
  <c r="S1616" i="19"/>
  <c r="S1615" i="8" s="1"/>
  <c r="R1615" i="8"/>
  <c r="S1239" i="19"/>
  <c r="S1238" i="8" s="1"/>
  <c r="R1238" i="8"/>
  <c r="S1108" i="19"/>
  <c r="S1107" i="8" s="1"/>
  <c r="R1107" i="8"/>
  <c r="S1001" i="19"/>
  <c r="S1000" i="8" s="1"/>
  <c r="R1000" i="8"/>
  <c r="S1310" i="19"/>
  <c r="S1309" i="8" s="1"/>
  <c r="R1309" i="8"/>
  <c r="S1097" i="19"/>
  <c r="S1096" i="8" s="1"/>
  <c r="R1096" i="8"/>
  <c r="S1424" i="19"/>
  <c r="S1423" i="8" s="1"/>
  <c r="R1423" i="8"/>
  <c r="S1395" i="19"/>
  <c r="S1394" i="8" s="1"/>
  <c r="R1394" i="8"/>
  <c r="S1357" i="19"/>
  <c r="S1356" i="8" s="1"/>
  <c r="R1356" i="8"/>
  <c r="S1602" i="19"/>
  <c r="S1601" i="8" s="1"/>
  <c r="R1601" i="8"/>
  <c r="S1587" i="19"/>
  <c r="S1586" i="8" s="1"/>
  <c r="R1586" i="8"/>
  <c r="S1550" i="19"/>
  <c r="S1549" i="8" s="1"/>
  <c r="R1549" i="8"/>
  <c r="S1519" i="19"/>
  <c r="S1518" i="8" s="1"/>
  <c r="R1518" i="8"/>
  <c r="S1315" i="19"/>
  <c r="S1314" i="8" s="1"/>
  <c r="R1314" i="8"/>
  <c r="S1586" i="19"/>
  <c r="S1585" i="8" s="1"/>
  <c r="R1585" i="8"/>
  <c r="S1517" i="19"/>
  <c r="S1516" i="8" s="1"/>
  <c r="R1516" i="8"/>
  <c r="S1458" i="19"/>
  <c r="S1457" i="8" s="1"/>
  <c r="R1457" i="8"/>
  <c r="S1590" i="19"/>
  <c r="S1589" i="8" s="1"/>
  <c r="R1589" i="8"/>
  <c r="S1530" i="19"/>
  <c r="S1529" i="8" s="1"/>
  <c r="R1529" i="8"/>
  <c r="S1377" i="19"/>
  <c r="S1376" i="8" s="1"/>
  <c r="R1376" i="8"/>
  <c r="S1256" i="19"/>
  <c r="S1255" i="8" s="1"/>
  <c r="R1255" i="8"/>
  <c r="S1285" i="19"/>
  <c r="S1284" i="8" s="1"/>
  <c r="R1284" i="8"/>
  <c r="S1119" i="19"/>
  <c r="S1118" i="8" s="1"/>
  <c r="R1118" i="8"/>
  <c r="S1361" i="19"/>
  <c r="S1360" i="8" s="1"/>
  <c r="R1360" i="8"/>
  <c r="S1266" i="19"/>
  <c r="S1265" i="8" s="1"/>
  <c r="R1265" i="8"/>
  <c r="S1368" i="19"/>
  <c r="S1367" i="8" s="1"/>
  <c r="R1367" i="8"/>
  <c r="S1387" i="19"/>
  <c r="S1386" i="8" s="1"/>
  <c r="R1386" i="8"/>
  <c r="S1188" i="19"/>
  <c r="S1187" i="8" s="1"/>
  <c r="R1187" i="8"/>
  <c r="S1264" i="19"/>
  <c r="S1263" i="8" s="1"/>
  <c r="R1263" i="8"/>
  <c r="S1209" i="19"/>
  <c r="S1208" i="8" s="1"/>
  <c r="R1208" i="8"/>
  <c r="S1276" i="19"/>
  <c r="S1275" i="8" s="1"/>
  <c r="R1275" i="8"/>
  <c r="S1192" i="19"/>
  <c r="S1191" i="8" s="1"/>
  <c r="R1191" i="8"/>
  <c r="S1117" i="19"/>
  <c r="S1116" i="8" s="1"/>
  <c r="R1116" i="8"/>
  <c r="S1092" i="19"/>
  <c r="S1091" i="8" s="1"/>
  <c r="R1091" i="8"/>
  <c r="S1125" i="19"/>
  <c r="S1124" i="8" s="1"/>
  <c r="R1124" i="8"/>
  <c r="S1098" i="19"/>
  <c r="S1097" i="8" s="1"/>
  <c r="R1097" i="8"/>
  <c r="S1048" i="19"/>
  <c r="S1047" i="8" s="1"/>
  <c r="R1047" i="8"/>
  <c r="S1106" i="19"/>
  <c r="S1105" i="8" s="1"/>
  <c r="R1105" i="8"/>
  <c r="S1109" i="19"/>
  <c r="S1108" i="8" s="1"/>
  <c r="R1108" i="8"/>
  <c r="S1032" i="19"/>
  <c r="S1031" i="8" s="1"/>
  <c r="R1031" i="8"/>
  <c r="S1078" i="19"/>
  <c r="S1077" i="8" s="1"/>
  <c r="R1077" i="8"/>
  <c r="S1036" i="19"/>
  <c r="S1035" i="8" s="1"/>
  <c r="R1035" i="8"/>
  <c r="S1060" i="19"/>
  <c r="S1059" i="8" s="1"/>
  <c r="R1059" i="8"/>
  <c r="S980" i="19"/>
  <c r="S242" i="8" s="1"/>
  <c r="R242" i="8"/>
  <c r="S1006" i="19"/>
  <c r="S1005" i="8" s="1"/>
  <c r="R1005" i="8"/>
  <c r="S904" i="19"/>
  <c r="S903" i="8" s="1"/>
  <c r="R903" i="8"/>
  <c r="S788" i="19"/>
  <c r="S787" i="8" s="1"/>
  <c r="R787" i="8"/>
  <c r="S650" i="19"/>
  <c r="S649" i="8" s="1"/>
  <c r="R649" i="8"/>
  <c r="S932" i="19"/>
  <c r="S380" i="8" s="1"/>
  <c r="R380" i="8"/>
  <c r="S924" i="19"/>
  <c r="S923" i="8" s="1"/>
  <c r="R923" i="8"/>
  <c r="S916" i="19"/>
  <c r="S915" i="8" s="1"/>
  <c r="R915" i="8"/>
  <c r="S864" i="19"/>
  <c r="S863" i="8" s="1"/>
  <c r="R863" i="8"/>
  <c r="S710" i="19"/>
  <c r="S709" i="8" s="1"/>
  <c r="R709" i="8"/>
  <c r="S830" i="19"/>
  <c r="S829" i="8" s="1"/>
  <c r="R829" i="8"/>
  <c r="S782" i="19"/>
  <c r="S781" i="8" s="1"/>
  <c r="R781" i="8"/>
  <c r="S658" i="19"/>
  <c r="S657" i="8" s="1"/>
  <c r="R657" i="8"/>
  <c r="S868" i="19"/>
  <c r="S867" i="8" s="1"/>
  <c r="R867" i="8"/>
  <c r="S836" i="19"/>
  <c r="S835" i="8" s="1"/>
  <c r="R835" i="8"/>
  <c r="S784" i="19"/>
  <c r="S783" i="8" s="1"/>
  <c r="R783" i="8"/>
  <c r="S760" i="19"/>
  <c r="S759" i="8" s="1"/>
  <c r="R759" i="8"/>
  <c r="S676" i="19"/>
  <c r="S675" i="8" s="1"/>
  <c r="R675" i="8"/>
  <c r="S666" i="19"/>
  <c r="S665" i="8" s="1"/>
  <c r="R665" i="8"/>
  <c r="S792" i="19"/>
  <c r="S791" i="8" s="1"/>
  <c r="R791" i="8"/>
  <c r="S683" i="19"/>
  <c r="S682" i="8" s="1"/>
  <c r="R682" i="8"/>
  <c r="S690" i="19"/>
  <c r="S689" i="8" s="1"/>
  <c r="R689" i="8"/>
  <c r="S516" i="19"/>
  <c r="S515" i="8" s="1"/>
  <c r="R515" i="8"/>
  <c r="S627" i="19"/>
  <c r="S626" i="8" s="1"/>
  <c r="R626" i="8"/>
  <c r="S532" i="19"/>
  <c r="S641" i="19"/>
  <c r="S640" i="8" s="1"/>
  <c r="R640" i="8"/>
  <c r="S633" i="19"/>
  <c r="S632" i="8" s="1"/>
  <c r="R632" i="8"/>
  <c r="S599" i="19"/>
  <c r="S598" i="8" s="1"/>
  <c r="R598" i="8"/>
  <c r="S509" i="19"/>
  <c r="S508" i="8" s="1"/>
  <c r="R508" i="8"/>
  <c r="S511" i="19"/>
  <c r="S510" i="8" s="1"/>
  <c r="R510" i="8"/>
  <c r="S405" i="19"/>
  <c r="S404" i="8" s="1"/>
  <c r="R404" i="8"/>
  <c r="S486" i="19"/>
  <c r="S485" i="8" s="1"/>
  <c r="R485" i="8"/>
  <c r="S414" i="19"/>
  <c r="S413" i="8" s="1"/>
  <c r="R413" i="8"/>
  <c r="S466" i="19"/>
  <c r="S465" i="8" s="1"/>
  <c r="R465" i="8"/>
  <c r="S910" i="19"/>
  <c r="S909" i="8" s="1"/>
  <c r="R909" i="8"/>
  <c r="S837" i="19"/>
  <c r="S836" i="8" s="1"/>
  <c r="R836" i="8"/>
  <c r="S452" i="19"/>
  <c r="S451" i="8" s="1"/>
  <c r="R451" i="8"/>
  <c r="S554" i="19"/>
  <c r="S553" i="8" s="1"/>
  <c r="R553" i="8"/>
  <c r="S610" i="19"/>
  <c r="S288" i="8" s="1"/>
  <c r="R288" i="8"/>
  <c r="S489" i="19"/>
  <c r="S488" i="8" s="1"/>
  <c r="R488" i="8"/>
  <c r="S374" i="19"/>
  <c r="S373" i="8" s="1"/>
  <c r="R373" i="8"/>
  <c r="S1139" i="19"/>
  <c r="S1138" i="8" s="1"/>
  <c r="R1138" i="8"/>
  <c r="S616" i="19"/>
  <c r="S615" i="8" s="1"/>
  <c r="R615" i="8"/>
  <c r="S406" i="19"/>
  <c r="S405" i="8" s="1"/>
  <c r="R405" i="8"/>
  <c r="S1463" i="19"/>
  <c r="S1462" i="8" s="1"/>
  <c r="R1462" i="8"/>
  <c r="S1112" i="19"/>
  <c r="S1111" i="8" s="1"/>
  <c r="R1111" i="8"/>
  <c r="S1187" i="19"/>
  <c r="S1186" i="8" s="1"/>
  <c r="R1186" i="8"/>
  <c r="S1546" i="19"/>
  <c r="S1545" i="8" s="1"/>
  <c r="R1545" i="8"/>
  <c r="S1446" i="19"/>
  <c r="S1445" i="8" s="1"/>
  <c r="R1445" i="8"/>
  <c r="S1168" i="19"/>
  <c r="S1167" i="8" s="1"/>
  <c r="R1167" i="8"/>
  <c r="S1064" i="19"/>
  <c r="S1063" i="8" s="1"/>
  <c r="R1063" i="8"/>
  <c r="S1086" i="19"/>
  <c r="S1085" i="8" s="1"/>
  <c r="R1085" i="8"/>
  <c r="S798" i="19"/>
  <c r="S797" i="8" s="1"/>
  <c r="R797" i="8"/>
  <c r="S698" i="19"/>
  <c r="S697" i="8" s="1"/>
  <c r="R697" i="8"/>
  <c r="S736" i="19"/>
  <c r="S735" i="8" s="1"/>
  <c r="R735" i="8"/>
  <c r="S654" i="19"/>
  <c r="S653" i="8" s="1"/>
  <c r="R653" i="8"/>
  <c r="S567" i="19"/>
  <c r="S566" i="8" s="1"/>
  <c r="R566" i="8"/>
  <c r="S632" i="19"/>
  <c r="S631" i="8" s="1"/>
  <c r="R631" i="8"/>
  <c r="S523" i="19"/>
  <c r="S179" i="8" s="1"/>
  <c r="S626" i="19"/>
  <c r="S625" i="8" s="1"/>
  <c r="R625" i="8"/>
  <c r="S420" i="19"/>
  <c r="S419" i="8" s="1"/>
  <c r="R419" i="8"/>
  <c r="S524" i="19"/>
  <c r="S930" i="19"/>
  <c r="S378" i="8" s="1"/>
  <c r="R378" i="8"/>
  <c r="S821" i="19"/>
  <c r="S820" i="8" s="1"/>
  <c r="R820" i="8"/>
  <c r="S663" i="19"/>
  <c r="S662" i="8" s="1"/>
  <c r="R662" i="8"/>
  <c r="S956" i="19"/>
  <c r="S955" i="8" s="1"/>
  <c r="R955" i="8"/>
  <c r="S1069" i="19"/>
  <c r="S1068" i="8" s="1"/>
  <c r="R1068" i="8"/>
  <c r="S1207" i="19"/>
  <c r="S1206" i="8" s="1"/>
  <c r="R1206" i="8"/>
  <c r="S1306" i="19"/>
  <c r="S1305" i="8" s="1"/>
  <c r="R1305" i="8"/>
  <c r="S1501" i="19"/>
  <c r="S1500" i="8" s="1"/>
  <c r="R1500" i="8"/>
  <c r="S1570" i="19"/>
  <c r="S1569" i="8" s="1"/>
  <c r="R1569" i="8"/>
  <c r="S1221" i="19"/>
  <c r="S1220" i="8" s="1"/>
  <c r="R1220" i="8"/>
  <c r="S1375" i="19"/>
  <c r="S1374" i="8" s="1"/>
  <c r="R1374" i="8"/>
  <c r="S1282" i="19"/>
  <c r="S1281" i="8" s="1"/>
  <c r="R1281" i="8"/>
  <c r="S1220" i="19"/>
  <c r="S1219" i="8" s="1"/>
  <c r="R1219" i="8"/>
  <c r="S1133" i="19"/>
  <c r="S1132" i="8" s="1"/>
  <c r="R1132" i="8"/>
  <c r="S1042" i="19"/>
  <c r="S1041" i="8" s="1"/>
  <c r="R1041" i="8"/>
  <c r="S709" i="19"/>
  <c r="S708" i="8" s="1"/>
  <c r="R708" i="8"/>
  <c r="S740" i="19"/>
  <c r="S739" i="8" s="1"/>
  <c r="R739" i="8"/>
  <c r="S535" i="19"/>
  <c r="S190" i="8" s="1"/>
  <c r="R190" i="8"/>
  <c r="S640" i="19"/>
  <c r="S639" i="8" s="1"/>
  <c r="R639" i="8"/>
  <c r="S515" i="19"/>
  <c r="S514" i="8" s="1"/>
  <c r="R514" i="8"/>
  <c r="S587" i="19"/>
  <c r="S586" i="8" s="1"/>
  <c r="R586" i="8"/>
  <c r="S418" i="19"/>
  <c r="S417" i="8" s="1"/>
  <c r="R417" i="8"/>
  <c r="S1584" i="19"/>
  <c r="S1583" i="8" s="1"/>
  <c r="R1583" i="8"/>
  <c r="S537" i="19"/>
  <c r="S200" i="8" s="1"/>
  <c r="R200" i="8"/>
  <c r="S404" i="19"/>
  <c r="S403" i="8" s="1"/>
  <c r="R403" i="8"/>
  <c r="S805" i="19"/>
  <c r="S804" i="8" s="1"/>
  <c r="R804" i="8"/>
  <c r="S1518" i="19"/>
  <c r="S1517" i="8" s="1"/>
  <c r="R1517" i="8"/>
  <c r="S1308" i="19"/>
  <c r="S1307" i="8" s="1"/>
  <c r="R1307" i="8"/>
  <c r="S1009" i="19"/>
  <c r="S1008" i="8" s="1"/>
  <c r="R1008" i="8"/>
  <c r="S558" i="19"/>
  <c r="S557" i="8" s="1"/>
  <c r="R557" i="8"/>
  <c r="R160" i="8"/>
  <c r="S909" i="19"/>
  <c r="S908" i="8" s="1"/>
  <c r="R908" i="8"/>
  <c r="S763" i="19"/>
  <c r="S762" i="8" s="1"/>
  <c r="R762" i="8"/>
  <c r="S1398" i="19"/>
  <c r="S1397" i="8" s="1"/>
  <c r="R1397" i="8"/>
  <c r="S753" i="19"/>
  <c r="S752" i="8" s="1"/>
  <c r="R752" i="8"/>
  <c r="S1261" i="19"/>
  <c r="S1260" i="8" s="1"/>
  <c r="R1260" i="8"/>
  <c r="S975" i="19"/>
  <c r="S398" i="8" s="1"/>
  <c r="R398" i="8"/>
  <c r="S1440" i="19"/>
  <c r="S1439" i="8" s="1"/>
  <c r="R1439" i="8"/>
  <c r="S1144" i="19"/>
  <c r="S1143" i="8" s="1"/>
  <c r="R1143" i="8"/>
  <c r="S959" i="19"/>
  <c r="S958" i="8" s="1"/>
  <c r="R958" i="8"/>
  <c r="S1381" i="19"/>
  <c r="S1380" i="8" s="1"/>
  <c r="R1380" i="8"/>
  <c r="S1302" i="19"/>
  <c r="S1301" i="8" s="1"/>
  <c r="R1301" i="8"/>
  <c r="S1421" i="19"/>
  <c r="S1420" i="8" s="1"/>
  <c r="R1420" i="8"/>
  <c r="S1618" i="19"/>
  <c r="S1617" i="8" s="1"/>
  <c r="R1617" i="8"/>
  <c r="S1511" i="19"/>
  <c r="S1510" i="8" s="1"/>
  <c r="R1510" i="8"/>
  <c r="S1347" i="19"/>
  <c r="S1346" i="8" s="1"/>
  <c r="R1346" i="8"/>
  <c r="S1596" i="19"/>
  <c r="S1595" i="8" s="1"/>
  <c r="R1595" i="8"/>
  <c r="S1433" i="19"/>
  <c r="S1432" i="8" s="1"/>
  <c r="R1432" i="8"/>
  <c r="S1505" i="19"/>
  <c r="S1504" i="8" s="1"/>
  <c r="R1504" i="8"/>
  <c r="S1396" i="19"/>
  <c r="S1395" i="8" s="1"/>
  <c r="R1395" i="8"/>
  <c r="S1196" i="19"/>
  <c r="S1195" i="8" s="1"/>
  <c r="R1195" i="8"/>
  <c r="S1412" i="19"/>
  <c r="S1411" i="8" s="1"/>
  <c r="R1411" i="8"/>
  <c r="S1423" i="19"/>
  <c r="S1422" i="8" s="1"/>
  <c r="R1422" i="8"/>
  <c r="S1419" i="19"/>
  <c r="S1418" i="8" s="1"/>
  <c r="R1418" i="8"/>
  <c r="S1204" i="19"/>
  <c r="S1203" i="8" s="1"/>
  <c r="R1203" i="8"/>
  <c r="S1099" i="19"/>
  <c r="S1098" i="8" s="1"/>
  <c r="R1098" i="8"/>
  <c r="S1058" i="19"/>
  <c r="S1057" i="8" s="1"/>
  <c r="R1057" i="8"/>
  <c r="S1052" i="19"/>
  <c r="S1051" i="8" s="1"/>
  <c r="R1051" i="8"/>
  <c r="S1038" i="19"/>
  <c r="S1037" i="8" s="1"/>
  <c r="R1037" i="8"/>
  <c r="S978" i="19"/>
  <c r="S422" i="8" s="1"/>
  <c r="R422" i="8"/>
  <c r="S814" i="19"/>
  <c r="S813" i="8" s="1"/>
  <c r="R813" i="8"/>
  <c r="S880" i="19"/>
  <c r="S879" i="8" s="1"/>
  <c r="R879" i="8"/>
  <c r="S730" i="19"/>
  <c r="S729" i="8" s="1"/>
  <c r="R729" i="8"/>
  <c r="S716" i="19"/>
  <c r="S715" i="8" s="1"/>
  <c r="R715" i="8"/>
  <c r="S688" i="19"/>
  <c r="S687" i="8" s="1"/>
  <c r="R687" i="8"/>
  <c r="S680" i="19"/>
  <c r="S679" i="8" s="1"/>
  <c r="R679" i="8"/>
  <c r="S595" i="19"/>
  <c r="S594" i="8" s="1"/>
  <c r="R594" i="8"/>
  <c r="S603" i="19"/>
  <c r="S602" i="8" s="1"/>
  <c r="R602" i="8"/>
  <c r="S786" i="19"/>
  <c r="S785" i="8" s="1"/>
  <c r="R785" i="8"/>
  <c r="S1195" i="19"/>
  <c r="S1194" i="8" s="1"/>
  <c r="R1194" i="8"/>
  <c r="S444" i="19"/>
  <c r="S443" i="8" s="1"/>
  <c r="R443" i="8"/>
  <c r="S699" i="19"/>
  <c r="S698" i="8" s="1"/>
  <c r="R698" i="8"/>
  <c r="S1283" i="19"/>
  <c r="S1282" i="8" s="1"/>
  <c r="R1282" i="8"/>
  <c r="S1270" i="19"/>
  <c r="S1269" i="8" s="1"/>
  <c r="R1269" i="8"/>
  <c r="S522" i="19"/>
  <c r="S521" i="8" s="1"/>
  <c r="R521" i="8"/>
  <c r="S893" i="19"/>
  <c r="S892" i="8" s="1"/>
  <c r="R892" i="8"/>
  <c r="S1563" i="19"/>
  <c r="S1562" i="8" s="1"/>
  <c r="R1562" i="8"/>
  <c r="S1114" i="19"/>
  <c r="S1113" i="8" s="1"/>
  <c r="R1113" i="8"/>
  <c r="S530" i="19"/>
  <c r="S383" i="19"/>
  <c r="S614" i="19"/>
  <c r="S613" i="8" s="1"/>
  <c r="R613" i="8"/>
  <c r="S403" i="19"/>
  <c r="S402" i="8" s="1"/>
  <c r="R402" i="8"/>
  <c r="S927" i="19"/>
  <c r="S310" i="8" s="1"/>
  <c r="R310" i="8"/>
  <c r="S727" i="19"/>
  <c r="S726" i="8" s="1"/>
  <c r="R726" i="8"/>
  <c r="S1551" i="19"/>
  <c r="S1550" i="8" s="1"/>
  <c r="R1550" i="8"/>
  <c r="S1422" i="19"/>
  <c r="S1421" i="8" s="1"/>
  <c r="R1421" i="8"/>
  <c r="S1182" i="19"/>
  <c r="S1181" i="8" s="1"/>
  <c r="R1181" i="8"/>
  <c r="S1426" i="19"/>
  <c r="S1425" i="8" s="1"/>
  <c r="R1425" i="8"/>
  <c r="S1053" i="19"/>
  <c r="S280" i="8" s="1"/>
  <c r="R280" i="8"/>
  <c r="S968" i="19"/>
  <c r="S967" i="8" s="1"/>
  <c r="R967" i="8"/>
  <c r="S1332" i="19"/>
  <c r="S1331" i="8" s="1"/>
  <c r="R1331" i="8"/>
  <c r="S1096" i="19"/>
  <c r="S1095" i="8" s="1"/>
  <c r="R1095" i="8"/>
  <c r="S940" i="19"/>
  <c r="S237" i="8" s="1"/>
  <c r="R237" i="8"/>
  <c r="S983" i="19"/>
  <c r="S272" i="8" s="1"/>
  <c r="R272" i="8"/>
  <c r="S1564" i="19"/>
  <c r="S1563" i="8" s="1"/>
  <c r="R1563" i="8"/>
  <c r="S1360" i="19"/>
  <c r="S1359" i="8" s="1"/>
  <c r="R1359" i="8"/>
  <c r="S1568" i="19"/>
  <c r="S1567" i="8" s="1"/>
  <c r="R1567" i="8"/>
  <c r="S1411" i="19"/>
  <c r="S1410" i="8" s="1"/>
  <c r="R1410" i="8"/>
  <c r="S1493" i="19"/>
  <c r="S1492" i="8" s="1"/>
  <c r="R1492" i="8"/>
  <c r="S1612" i="19"/>
  <c r="S1611" i="8" s="1"/>
  <c r="R1611" i="8"/>
  <c r="S1556" i="19"/>
  <c r="S1555" i="8" s="1"/>
  <c r="R1555" i="8"/>
  <c r="S1465" i="19"/>
  <c r="S1464" i="8" s="1"/>
  <c r="R1464" i="8"/>
  <c r="S1489" i="19"/>
  <c r="S1488" i="8" s="1"/>
  <c r="R1488" i="8"/>
  <c r="S1311" i="19"/>
  <c r="S1310" i="8" s="1"/>
  <c r="R1310" i="8"/>
  <c r="S1208" i="19"/>
  <c r="S1207" i="8" s="1"/>
  <c r="R1207" i="8"/>
  <c r="S1166" i="19"/>
  <c r="S1165" i="8" s="1"/>
  <c r="R1165" i="8"/>
  <c r="S1481" i="19"/>
  <c r="S1480" i="8" s="1"/>
  <c r="R1480" i="8"/>
  <c r="S1393" i="19"/>
  <c r="S1392" i="8" s="1"/>
  <c r="R1392" i="8"/>
  <c r="S1172" i="19"/>
  <c r="S1171" i="8" s="1"/>
  <c r="R1171" i="8"/>
  <c r="S1400" i="19"/>
  <c r="S1399" i="8" s="1"/>
  <c r="R1399" i="8"/>
  <c r="S1206" i="19"/>
  <c r="S1205" i="8" s="1"/>
  <c r="R1205" i="8"/>
  <c r="S1355" i="19"/>
  <c r="S1354" i="8" s="1"/>
  <c r="R1354" i="8"/>
  <c r="S1244" i="19"/>
  <c r="S1243" i="8" s="1"/>
  <c r="R1243" i="8"/>
  <c r="S1176" i="19"/>
  <c r="S1175" i="8" s="1"/>
  <c r="R1175" i="8"/>
  <c r="S1090" i="19"/>
  <c r="S1089" i="8" s="1"/>
  <c r="R1089" i="8"/>
  <c r="S1131" i="19"/>
  <c r="S1130" i="8" s="1"/>
  <c r="R1130" i="8"/>
  <c r="S1129" i="19"/>
  <c r="S1128" i="8" s="1"/>
  <c r="R1128" i="8"/>
  <c r="S1023" i="19"/>
  <c r="S1022" i="8" s="1"/>
  <c r="R1022" i="8"/>
  <c r="S1062" i="19"/>
  <c r="S1061" i="8" s="1"/>
  <c r="R1061" i="8"/>
  <c r="S1028" i="19"/>
  <c r="S1027" i="8" s="1"/>
  <c r="R1027" i="8"/>
  <c r="S1030" i="19"/>
  <c r="S1029" i="8" s="1"/>
  <c r="R1029" i="8"/>
  <c r="S986" i="19"/>
  <c r="S275" i="8" s="1"/>
  <c r="R275" i="8"/>
  <c r="S813" i="19"/>
  <c r="S812" i="8" s="1"/>
  <c r="R812" i="8"/>
  <c r="S884" i="19"/>
  <c r="S883" i="8" s="1"/>
  <c r="R883" i="8"/>
  <c r="S732" i="19"/>
  <c r="S731" i="8" s="1"/>
  <c r="R731" i="8"/>
  <c r="S888" i="19"/>
  <c r="S887" i="8" s="1"/>
  <c r="R887" i="8"/>
  <c r="S704" i="19"/>
  <c r="S703" i="8" s="1"/>
  <c r="R703" i="8"/>
  <c r="S800" i="19"/>
  <c r="S799" i="8" s="1"/>
  <c r="R799" i="8"/>
  <c r="S742" i="19"/>
  <c r="S741" i="8" s="1"/>
  <c r="R741" i="8"/>
  <c r="S892" i="19"/>
  <c r="S891" i="8" s="1"/>
  <c r="R891" i="8"/>
  <c r="S748" i="19"/>
  <c r="S747" i="8" s="1"/>
  <c r="R747" i="8"/>
  <c r="S675" i="19"/>
  <c r="S674" i="8" s="1"/>
  <c r="R674" i="8"/>
  <c r="S756" i="19"/>
  <c r="S755" i="8" s="1"/>
  <c r="R755" i="8"/>
  <c r="S678" i="19"/>
  <c r="S677" i="8" s="1"/>
  <c r="R677" i="8"/>
  <c r="S548" i="19"/>
  <c r="S547" i="8" s="1"/>
  <c r="R547" i="8"/>
  <c r="S499" i="19"/>
  <c r="S498" i="8" s="1"/>
  <c r="R498" i="8"/>
  <c r="S446" i="19"/>
  <c r="S445" i="8" s="1"/>
  <c r="R445" i="8"/>
  <c r="S648" i="19"/>
  <c r="S647" i="8" s="1"/>
  <c r="R647" i="8"/>
  <c r="S577" i="19"/>
  <c r="S576" i="8" s="1"/>
  <c r="R576" i="8"/>
  <c r="S543" i="19"/>
  <c r="S491" i="19"/>
  <c r="S490" i="8" s="1"/>
  <c r="R490" i="8"/>
  <c r="S430" i="19"/>
  <c r="S164" i="8" s="1"/>
  <c r="R164" i="8"/>
  <c r="S470" i="19"/>
  <c r="S469" i="8" s="1"/>
  <c r="R469" i="8"/>
  <c r="S422" i="19"/>
  <c r="S434" i="19"/>
  <c r="S178" i="8" s="1"/>
  <c r="R178" i="8"/>
  <c r="S413" i="19"/>
  <c r="S412" i="8" s="1"/>
  <c r="R412" i="8"/>
  <c r="S1091" i="19"/>
  <c r="S1090" i="8" s="1"/>
  <c r="R1090" i="8"/>
  <c r="S652" i="19"/>
  <c r="S651" i="8" s="1"/>
  <c r="R651" i="8"/>
  <c r="S963" i="19"/>
  <c r="S962" i="8" s="1"/>
  <c r="R962" i="8"/>
  <c r="S1051" i="19"/>
  <c r="S1050" i="8" s="1"/>
  <c r="R1050" i="8"/>
  <c r="S1339" i="19"/>
  <c r="S1338" i="8" s="1"/>
  <c r="R1338" i="8"/>
  <c r="S1535" i="19"/>
  <c r="S1534" i="8" s="1"/>
  <c r="R1534" i="8"/>
  <c r="S1538" i="19"/>
  <c r="S1537" i="8" s="1"/>
  <c r="R1537" i="8"/>
  <c r="S1153" i="19"/>
  <c r="S1152" i="8" s="1"/>
  <c r="R1152" i="8"/>
  <c r="S1050" i="19"/>
  <c r="S1049" i="8" s="1"/>
  <c r="R1049" i="8"/>
  <c r="S1012" i="19"/>
  <c r="S1011" i="8" s="1"/>
  <c r="R1011" i="8"/>
  <c r="S720" i="19"/>
  <c r="S719" i="8" s="1"/>
  <c r="R719" i="8"/>
  <c r="S808" i="19"/>
  <c r="S807" i="8" s="1"/>
  <c r="R807" i="8"/>
  <c r="S628" i="19"/>
  <c r="S627" i="8" s="1"/>
  <c r="R627" i="8"/>
  <c r="S472" i="19"/>
  <c r="S471" i="8" s="1"/>
  <c r="R471" i="8"/>
  <c r="S504" i="19"/>
  <c r="S503" i="8" s="1"/>
  <c r="R503" i="8"/>
  <c r="S368" i="19"/>
  <c r="S367" i="8" s="1"/>
  <c r="R367" i="8"/>
  <c r="S907" i="19"/>
  <c r="S906" i="8" s="1"/>
  <c r="R906" i="8"/>
  <c r="S1356" i="19"/>
  <c r="S1355" i="8" s="1"/>
  <c r="R1355" i="8"/>
  <c r="S601" i="19"/>
  <c r="S220" i="8" s="1"/>
  <c r="R220" i="8"/>
  <c r="S570" i="19"/>
  <c r="S569" i="8" s="1"/>
  <c r="R569" i="8"/>
  <c r="S485" i="19"/>
  <c r="S484" i="8" s="1"/>
  <c r="R484" i="8"/>
  <c r="S460" i="19"/>
  <c r="S459" i="8" s="1"/>
  <c r="R459" i="8"/>
  <c r="S423" i="19"/>
  <c r="S158" i="8" s="1"/>
  <c r="R158" i="8"/>
  <c r="S398" i="19"/>
  <c r="S883" i="19"/>
  <c r="S882" i="8" s="1"/>
  <c r="R882" i="8"/>
  <c r="S783" i="19"/>
  <c r="S782" i="8" s="1"/>
  <c r="R782" i="8"/>
  <c r="S1605" i="19"/>
  <c r="S1604" i="8" s="1"/>
  <c r="R1604" i="8"/>
  <c r="S1579" i="19"/>
  <c r="S1578" i="8" s="1"/>
  <c r="R1578" i="8"/>
  <c r="S1453" i="19"/>
  <c r="S1452" i="8" s="1"/>
  <c r="R1452" i="8"/>
  <c r="S1354" i="19"/>
  <c r="S1353" i="8" s="1"/>
  <c r="R1353" i="8"/>
  <c r="S991" i="19"/>
  <c r="S990" i="8" s="1"/>
  <c r="R990" i="8"/>
  <c r="S649" i="19"/>
  <c r="S648" i="8" s="1"/>
  <c r="R648" i="8"/>
  <c r="S582" i="19"/>
  <c r="S581" i="8" s="1"/>
  <c r="R581" i="8"/>
  <c r="S410" i="19"/>
  <c r="S409" i="8" s="1"/>
  <c r="R409" i="8"/>
  <c r="S887" i="19"/>
  <c r="S886" i="8" s="1"/>
  <c r="R886" i="8"/>
  <c r="S1502" i="19"/>
  <c r="S1501" i="8" s="1"/>
  <c r="R1501" i="8"/>
  <c r="S1414" i="19"/>
  <c r="S1413" i="8" s="1"/>
  <c r="R1413" i="8"/>
  <c r="S1142" i="19"/>
  <c r="S1141" i="8" s="1"/>
  <c r="R1141" i="8"/>
  <c r="S1394" i="19"/>
  <c r="S1393" i="8" s="1"/>
  <c r="R1393" i="8"/>
  <c r="S1067" i="19"/>
  <c r="S1066" i="8" s="1"/>
  <c r="R1066" i="8"/>
  <c r="S997" i="19"/>
  <c r="S996" i="8" s="1"/>
  <c r="R996" i="8"/>
  <c r="S946" i="19"/>
  <c r="S945" i="8" s="1"/>
  <c r="R945" i="8"/>
  <c r="S1341" i="19"/>
  <c r="S1340" i="8" s="1"/>
  <c r="R1340" i="8"/>
  <c r="S1150" i="19"/>
  <c r="S1149" i="8" s="1"/>
  <c r="R1149" i="8"/>
  <c r="S1033" i="19"/>
  <c r="S1032" i="8" s="1"/>
  <c r="R1032" i="8"/>
  <c r="S656" i="19"/>
  <c r="S655" i="8" s="1"/>
  <c r="R655" i="8"/>
  <c r="S1620" i="19"/>
  <c r="S1619" i="8" s="1"/>
  <c r="R1619" i="8"/>
  <c r="S987" i="19"/>
  <c r="S276" i="8" s="1"/>
  <c r="R276" i="8"/>
  <c r="S1293" i="19"/>
  <c r="S1292" i="8" s="1"/>
  <c r="R1292" i="8"/>
  <c r="S1107" i="19"/>
  <c r="S1106" i="8" s="1"/>
  <c r="R1106" i="8"/>
  <c r="S1614" i="19"/>
  <c r="S1613" i="8" s="1"/>
  <c r="R1613" i="8"/>
  <c r="S1392" i="19"/>
  <c r="S1391" i="8" s="1"/>
  <c r="R1391" i="8"/>
  <c r="S1141" i="19"/>
  <c r="S1140" i="8" s="1"/>
  <c r="R1140" i="8"/>
  <c r="S1558" i="19"/>
  <c r="S1557" i="8" s="1"/>
  <c r="R1557" i="8"/>
  <c r="S1598" i="19"/>
  <c r="S1597" i="8" s="1"/>
  <c r="R1597" i="8"/>
  <c r="S1610" i="19"/>
  <c r="S1609" i="8" s="1"/>
  <c r="R1609" i="8"/>
  <c r="S1143" i="19"/>
  <c r="S1142" i="8" s="1"/>
  <c r="R1142" i="8"/>
  <c r="S1615" i="19"/>
  <c r="S1614" i="8" s="1"/>
  <c r="R1614" i="8"/>
  <c r="S1572" i="19"/>
  <c r="S1571" i="8" s="1"/>
  <c r="R1571" i="8"/>
  <c r="S1522" i="19"/>
  <c r="S1521" i="8" s="1"/>
  <c r="R1521" i="8"/>
  <c r="S1457" i="19"/>
  <c r="S1456" i="8" s="1"/>
  <c r="R1456" i="8"/>
  <c r="S1367" i="19"/>
  <c r="S1366" i="8" s="1"/>
  <c r="R1366" i="8"/>
  <c r="S1291" i="19"/>
  <c r="S1290" i="8" s="1"/>
  <c r="R1290" i="8"/>
  <c r="S1537" i="19"/>
  <c r="S1536" i="8" s="1"/>
  <c r="R1536" i="8"/>
  <c r="S1409" i="19"/>
  <c r="S1408" i="8" s="1"/>
  <c r="R1408" i="8"/>
  <c r="S1327" i="19"/>
  <c r="S1326" i="8" s="1"/>
  <c r="R1326" i="8"/>
  <c r="S1513" i="19"/>
  <c r="S1512" i="8" s="1"/>
  <c r="R1512" i="8"/>
  <c r="S1348" i="19"/>
  <c r="S1347" i="8" s="1"/>
  <c r="R1347" i="8"/>
  <c r="S1407" i="19"/>
  <c r="S1406" i="8" s="1"/>
  <c r="R1406" i="8"/>
  <c r="S1189" i="19"/>
  <c r="S1188" i="8" s="1"/>
  <c r="R1188" i="8"/>
  <c r="S1371" i="19"/>
  <c r="S1370" i="8" s="1"/>
  <c r="R1370" i="8"/>
  <c r="S1269" i="19"/>
  <c r="S1268" i="8" s="1"/>
  <c r="R1268" i="8"/>
  <c r="S1222" i="19"/>
  <c r="S1221" i="8" s="1"/>
  <c r="R1221" i="8"/>
  <c r="S1248" i="19"/>
  <c r="S1247" i="8" s="1"/>
  <c r="R1247" i="8"/>
  <c r="S1122" i="19"/>
  <c r="S1121" i="8" s="1"/>
  <c r="R1121" i="8"/>
  <c r="S1226" i="19"/>
  <c r="S1225" i="8" s="1"/>
  <c r="R1225" i="8"/>
  <c r="S1184" i="19"/>
  <c r="S1183" i="8" s="1"/>
  <c r="R1183" i="8"/>
  <c r="S1163" i="19"/>
  <c r="S1162" i="8" s="1"/>
  <c r="R1162" i="8"/>
  <c r="S1074" i="19"/>
  <c r="S1073" i="8" s="1"/>
  <c r="R1073" i="8"/>
  <c r="S1008" i="19"/>
  <c r="S1007" i="8" s="1"/>
  <c r="R1007" i="8"/>
  <c r="S1145" i="19"/>
  <c r="S1144" i="8" s="1"/>
  <c r="R1144" i="8"/>
  <c r="S1087" i="19"/>
  <c r="S1086" i="8" s="1"/>
  <c r="R1086" i="8"/>
  <c r="S1020" i="19"/>
  <c r="S1019" i="8" s="1"/>
  <c r="R1019" i="8"/>
  <c r="S998" i="19"/>
  <c r="S997" i="8" s="1"/>
  <c r="R997" i="8"/>
  <c r="S1002" i="19"/>
  <c r="S1001" i="8" s="1"/>
  <c r="R1001" i="8"/>
  <c r="S988" i="19"/>
  <c r="S277" i="8" s="1"/>
  <c r="R277" i="8"/>
  <c r="S700" i="19"/>
  <c r="S699" i="8" s="1"/>
  <c r="R699" i="8"/>
  <c r="S882" i="19"/>
  <c r="S881" i="8" s="1"/>
  <c r="R881" i="8"/>
  <c r="S752" i="19"/>
  <c r="S751" i="8" s="1"/>
  <c r="R751" i="8"/>
  <c r="S933" i="19"/>
  <c r="S381" i="8" s="1"/>
  <c r="R381" i="8"/>
  <c r="S925" i="19"/>
  <c r="S924" i="8" s="1"/>
  <c r="R924" i="8"/>
  <c r="S917" i="19"/>
  <c r="S916" i="8" s="1"/>
  <c r="R916" i="8"/>
  <c r="S898" i="19"/>
  <c r="S897" i="8" s="1"/>
  <c r="R897" i="8"/>
  <c r="S865" i="19"/>
  <c r="S864" i="8" s="1"/>
  <c r="R864" i="8"/>
  <c r="S833" i="19"/>
  <c r="S832" i="8" s="1"/>
  <c r="R832" i="8"/>
  <c r="S896" i="19"/>
  <c r="S895" i="8" s="1"/>
  <c r="R895" i="8"/>
  <c r="S860" i="19"/>
  <c r="S859" i="8" s="1"/>
  <c r="R859" i="8"/>
  <c r="S701" i="19"/>
  <c r="S700" i="8" s="1"/>
  <c r="R700" i="8"/>
  <c r="S776" i="19"/>
  <c r="S775" i="8" s="1"/>
  <c r="R775" i="8"/>
  <c r="S744" i="19"/>
  <c r="S743" i="8" s="1"/>
  <c r="R743" i="8"/>
  <c r="S712" i="19"/>
  <c r="S711" i="8" s="1"/>
  <c r="R711" i="8"/>
  <c r="S670" i="19"/>
  <c r="S669" i="8" s="1"/>
  <c r="R669" i="8"/>
  <c r="S708" i="19"/>
  <c r="S707" i="8" s="1"/>
  <c r="R707" i="8"/>
  <c r="S372" i="19"/>
  <c r="S371" i="8" s="1"/>
  <c r="R371" i="8"/>
  <c r="S579" i="19"/>
  <c r="S578" i="8" s="1"/>
  <c r="R578" i="8"/>
  <c r="S615" i="19"/>
  <c r="S614" i="8" s="1"/>
  <c r="R614" i="8"/>
  <c r="S545" i="19"/>
  <c r="S544" i="8" s="1"/>
  <c r="R544" i="8"/>
  <c r="S458" i="19"/>
  <c r="S457" i="8" s="1"/>
  <c r="R457" i="8"/>
  <c r="S551" i="19"/>
  <c r="S550" i="8" s="1"/>
  <c r="R550" i="8"/>
  <c r="S596" i="19"/>
  <c r="S595" i="8" s="1"/>
  <c r="R595" i="8"/>
  <c r="S607" i="19"/>
  <c r="S285" i="8" s="1"/>
  <c r="R285" i="8"/>
  <c r="S559" i="19"/>
  <c r="S558" i="8" s="1"/>
  <c r="R558" i="8"/>
  <c r="S462" i="19"/>
  <c r="S461" i="8" s="1"/>
  <c r="R461" i="8"/>
  <c r="S555" i="19"/>
  <c r="S554" i="8" s="1"/>
  <c r="R554" i="8"/>
  <c r="S389" i="19"/>
  <c r="S388" i="8" s="1"/>
  <c r="R388" i="8"/>
  <c r="S878" i="19"/>
  <c r="S877" i="8" s="1"/>
  <c r="R877" i="8"/>
  <c r="S643" i="19"/>
  <c r="S642" i="8" s="1"/>
  <c r="R642" i="8"/>
  <c r="S597" i="19"/>
  <c r="S218" i="8" s="1"/>
  <c r="R218" i="8"/>
  <c r="S464" i="19"/>
  <c r="S463" i="8" s="1"/>
  <c r="R463" i="8"/>
  <c r="S895" i="19"/>
  <c r="S894" i="8" s="1"/>
  <c r="R894" i="8"/>
  <c r="S1072" i="19"/>
  <c r="S1071" i="8" s="1"/>
  <c r="R1071" i="8"/>
  <c r="S441" i="19"/>
  <c r="S440" i="8" s="1"/>
  <c r="R440" i="8"/>
  <c r="S1561" i="19"/>
  <c r="S1560" i="8" s="1"/>
  <c r="R1560" i="8"/>
  <c r="S1389" i="19"/>
  <c r="S1388" i="8" s="1"/>
  <c r="R1388" i="8"/>
  <c r="S1594" i="19"/>
  <c r="S1593" i="8" s="1"/>
  <c r="R1593" i="8"/>
  <c r="S1466" i="19"/>
  <c r="S1465" i="8" s="1"/>
  <c r="R1465" i="8"/>
  <c r="S1383" i="19"/>
  <c r="S1382" i="8" s="1"/>
  <c r="R1382" i="8"/>
  <c r="S1181" i="19"/>
  <c r="S1180" i="8" s="1"/>
  <c r="R1180" i="8"/>
  <c r="S1280" i="19"/>
  <c r="S1279" i="8" s="1"/>
  <c r="R1279" i="8"/>
  <c r="S1197" i="19"/>
  <c r="S1196" i="8" s="1"/>
  <c r="R1196" i="8"/>
  <c r="S1135" i="19"/>
  <c r="S1134" i="8" s="1"/>
  <c r="R1134" i="8"/>
  <c r="S1022" i="19"/>
  <c r="S1021" i="8" s="1"/>
  <c r="R1021" i="8"/>
  <c r="S812" i="19"/>
  <c r="S811" i="8" s="1"/>
  <c r="R811" i="8"/>
  <c r="S728" i="19"/>
  <c r="S727" i="8" s="1"/>
  <c r="R727" i="8"/>
  <c r="S768" i="19"/>
  <c r="S767" i="8" s="1"/>
  <c r="R767" i="8"/>
  <c r="S636" i="19"/>
  <c r="S635" i="8" s="1"/>
  <c r="R635" i="8"/>
  <c r="S456" i="19"/>
  <c r="S455" i="8" s="1"/>
  <c r="R455" i="8"/>
  <c r="S454" i="19"/>
  <c r="S453" i="8" s="1"/>
  <c r="R453" i="8"/>
  <c r="S508" i="19"/>
  <c r="S507" i="8" s="1"/>
  <c r="R507" i="8"/>
  <c r="S897" i="19"/>
  <c r="S896" i="8" s="1"/>
  <c r="R896" i="8"/>
  <c r="S621" i="19"/>
  <c r="S620" i="8" s="1"/>
  <c r="R620" i="8"/>
  <c r="S1545" i="19"/>
  <c r="S1544" i="8" s="1"/>
  <c r="R1544" i="8"/>
  <c r="S606" i="19"/>
  <c r="S284" i="8" s="1"/>
  <c r="R284" i="8"/>
  <c r="S542" i="19"/>
  <c r="S296" i="8" s="1"/>
  <c r="R296" i="8"/>
  <c r="S506" i="19"/>
  <c r="S505" i="8" s="1"/>
  <c r="R505" i="8"/>
  <c r="S379" i="19"/>
  <c r="S867" i="19"/>
  <c r="S866" i="8" s="1"/>
  <c r="R866" i="8"/>
  <c r="S789" i="19"/>
  <c r="S788" i="8" s="1"/>
  <c r="R788" i="8"/>
  <c r="S1370" i="19"/>
  <c r="S1369" i="8" s="1"/>
  <c r="R1369" i="8"/>
  <c r="S999" i="19"/>
  <c r="S998" i="8" s="1"/>
  <c r="R998" i="8"/>
  <c r="S617" i="19"/>
  <c r="S616" i="8" s="1"/>
  <c r="R616" i="8"/>
  <c r="S552" i="19"/>
  <c r="S551" i="8" s="1"/>
  <c r="R551" i="8"/>
  <c r="S391" i="19"/>
  <c r="S793" i="19"/>
  <c r="S792" i="8" s="1"/>
  <c r="R792" i="8"/>
  <c r="S1583" i="19"/>
  <c r="S1582" i="8" s="1"/>
  <c r="R1582" i="8"/>
  <c r="S1451" i="19"/>
  <c r="S1450" i="8" s="1"/>
  <c r="R1450" i="8"/>
  <c r="S1382" i="19"/>
  <c r="S1381" i="8" s="1"/>
  <c r="R1381" i="8"/>
  <c r="S1126" i="19"/>
  <c r="S1125" i="8" s="1"/>
  <c r="R1125" i="8"/>
  <c r="S809" i="19"/>
  <c r="S808" i="8" s="1"/>
  <c r="R808" i="8"/>
  <c r="S1547" i="19"/>
  <c r="S1546" i="8" s="1"/>
  <c r="R1546" i="8"/>
  <c r="S1528" i="19"/>
  <c r="S1527" i="8" s="1"/>
  <c r="R1527" i="8"/>
  <c r="S1475" i="19"/>
  <c r="S1474" i="8" s="1"/>
  <c r="R1474" i="8"/>
  <c r="S1435" i="19"/>
  <c r="S1434" i="8" s="1"/>
  <c r="R1434" i="8"/>
  <c r="S1223" i="19"/>
  <c r="S1222" i="8" s="1"/>
  <c r="R1222" i="8"/>
  <c r="S989" i="19"/>
  <c r="S278" i="8" s="1"/>
  <c r="R278" i="8"/>
  <c r="S972" i="19"/>
  <c r="S392" i="8" s="1"/>
  <c r="R392" i="8"/>
  <c r="S1613" i="19"/>
  <c r="S1612" i="8" s="1"/>
  <c r="R1612" i="8"/>
  <c r="S1281" i="19"/>
  <c r="S1280" i="8" s="1"/>
  <c r="R1280" i="8"/>
  <c r="S1160" i="19"/>
  <c r="S1159" i="8" s="1"/>
  <c r="R1159" i="8"/>
  <c r="S1116" i="19"/>
  <c r="S1115" i="8" s="1"/>
  <c r="R1115" i="8"/>
  <c r="S715" i="19"/>
  <c r="S714" i="8" s="1"/>
  <c r="R714" i="8"/>
  <c r="S954" i="19"/>
  <c r="S953" i="8" s="1"/>
  <c r="R953" i="8"/>
  <c r="S1413" i="19"/>
  <c r="S1412" i="8" s="1"/>
  <c r="R1412" i="8"/>
  <c r="S1025" i="19"/>
  <c r="S1024" i="8" s="1"/>
  <c r="R1024" i="8"/>
  <c r="S979" i="19"/>
  <c r="S978" i="8" s="1"/>
  <c r="R978" i="8"/>
  <c r="S1562" i="19"/>
  <c r="S1561" i="8" s="1"/>
  <c r="R1561" i="8"/>
  <c r="S1408" i="19"/>
  <c r="S1407" i="8" s="1"/>
  <c r="R1407" i="8"/>
  <c r="S1373" i="19"/>
  <c r="S1372" i="8" s="1"/>
  <c r="R1372" i="8"/>
  <c r="S1307" i="19"/>
  <c r="S1306" i="8" s="1"/>
  <c r="R1306" i="8"/>
  <c r="S1619" i="19"/>
  <c r="S1618" i="8" s="1"/>
  <c r="R1618" i="8"/>
  <c r="S1566" i="19"/>
  <c r="S1565" i="8" s="1"/>
  <c r="R1565" i="8"/>
  <c r="S1548" i="19"/>
  <c r="S1547" i="8" s="1"/>
  <c r="R1547" i="8"/>
  <c r="S1495" i="19"/>
  <c r="S1494" i="8" s="1"/>
  <c r="R1494" i="8"/>
  <c r="S1379" i="19"/>
  <c r="S1378" i="8" s="1"/>
  <c r="R1378" i="8"/>
  <c r="S1253" i="19"/>
  <c r="S1252" i="8" s="1"/>
  <c r="R1252" i="8"/>
  <c r="S1541" i="19"/>
  <c r="S1540" i="8" s="1"/>
  <c r="R1540" i="8"/>
  <c r="S1606" i="19"/>
  <c r="S1605" i="8" s="1"/>
  <c r="R1605" i="8"/>
  <c r="S1554" i="19"/>
  <c r="S1553" i="8" s="1"/>
  <c r="R1553" i="8"/>
  <c r="S1506" i="19"/>
  <c r="S1505" i="8" s="1"/>
  <c r="R1505" i="8"/>
  <c r="S1343" i="19"/>
  <c r="S1342" i="8" s="1"/>
  <c r="R1342" i="8"/>
  <c r="S1252" i="19"/>
  <c r="S1251" i="8" s="1"/>
  <c r="R1251" i="8"/>
  <c r="S1299" i="19"/>
  <c r="S1298" i="8" s="1"/>
  <c r="R1298" i="8"/>
  <c r="S1529" i="19"/>
  <c r="S1528" i="8" s="1"/>
  <c r="R1528" i="8"/>
  <c r="S1319" i="19"/>
  <c r="S1318" i="8" s="1"/>
  <c r="R1318" i="8"/>
  <c r="S1391" i="19"/>
  <c r="S1390" i="8" s="1"/>
  <c r="R1390" i="8"/>
  <c r="S1180" i="19"/>
  <c r="S1179" i="8" s="1"/>
  <c r="R1179" i="8"/>
  <c r="S1130" i="19"/>
  <c r="S1129" i="8" s="1"/>
  <c r="R1129" i="8"/>
  <c r="S1228" i="19"/>
  <c r="S1227" i="8" s="1"/>
  <c r="R1227" i="8"/>
  <c r="S1159" i="19"/>
  <c r="S1158" i="8" s="1"/>
  <c r="R1158" i="8"/>
  <c r="S1210" i="19"/>
  <c r="S1209" i="8" s="1"/>
  <c r="R1209" i="8"/>
  <c r="S1149" i="19"/>
  <c r="S1148" i="8" s="1"/>
  <c r="R1148" i="8"/>
  <c r="S1213" i="19"/>
  <c r="S1212" i="8" s="1"/>
  <c r="R1212" i="8"/>
  <c r="S1200" i="19"/>
  <c r="S1199" i="8" s="1"/>
  <c r="R1199" i="8"/>
  <c r="S1138" i="19"/>
  <c r="S1137" i="8" s="1"/>
  <c r="R1137" i="8"/>
  <c r="S1103" i="19"/>
  <c r="S1102" i="8" s="1"/>
  <c r="R1102" i="8"/>
  <c r="S1010" i="19"/>
  <c r="S1009" i="8" s="1"/>
  <c r="R1009" i="8"/>
  <c r="S1068" i="19"/>
  <c r="S1067" i="8" s="1"/>
  <c r="R1067" i="8"/>
  <c r="S1056" i="19"/>
  <c r="S282" i="8" s="1"/>
  <c r="R282" i="8"/>
  <c r="S1094" i="19"/>
  <c r="S1093" i="8" s="1"/>
  <c r="R1093" i="8"/>
  <c r="S1054" i="19"/>
  <c r="S281" i="8" s="1"/>
  <c r="R281" i="8"/>
  <c r="S1070" i="19"/>
  <c r="S1069" i="8" s="1"/>
  <c r="R1069" i="8"/>
  <c r="S1044" i="19"/>
  <c r="S1043" i="8" s="1"/>
  <c r="R1043" i="8"/>
  <c r="S1026" i="19"/>
  <c r="S423" i="8" s="1"/>
  <c r="R423" i="8"/>
  <c r="S984" i="19"/>
  <c r="S273" i="8" s="1"/>
  <c r="R273" i="8"/>
  <c r="S982" i="19"/>
  <c r="S254" i="8" s="1"/>
  <c r="R254" i="8"/>
  <c r="S778" i="19"/>
  <c r="S777" i="8" s="1"/>
  <c r="R777" i="8"/>
  <c r="S844" i="19"/>
  <c r="S843" i="8" s="1"/>
  <c r="R843" i="8"/>
  <c r="S785" i="19"/>
  <c r="S784" i="8" s="1"/>
  <c r="R784" i="8"/>
  <c r="S936" i="19"/>
  <c r="S231" i="8" s="1"/>
  <c r="R231" i="8"/>
  <c r="S928" i="19"/>
  <c r="S376" i="8" s="1"/>
  <c r="R376" i="8"/>
  <c r="S920" i="19"/>
  <c r="S919" i="8" s="1"/>
  <c r="R919" i="8"/>
  <c r="S754" i="19"/>
  <c r="S753" i="8" s="1"/>
  <c r="R753" i="8"/>
  <c r="S832" i="19"/>
  <c r="S831" i="8" s="1"/>
  <c r="R831" i="8"/>
  <c r="S912" i="19"/>
  <c r="S911" i="8" s="1"/>
  <c r="R911" i="8"/>
  <c r="S828" i="19"/>
  <c r="S827" i="8" s="1"/>
  <c r="R827" i="8"/>
  <c r="S733" i="19"/>
  <c r="S732" i="8" s="1"/>
  <c r="R732" i="8"/>
  <c r="S848" i="19"/>
  <c r="S847" i="8" s="1"/>
  <c r="R847" i="8"/>
  <c r="S816" i="19"/>
  <c r="S815" i="8" s="1"/>
  <c r="R815" i="8"/>
  <c r="S765" i="19"/>
  <c r="S764" i="8" s="1"/>
  <c r="R764" i="8"/>
  <c r="S722" i="19"/>
  <c r="S721" i="8" s="1"/>
  <c r="R721" i="8"/>
  <c r="S694" i="19"/>
  <c r="S693" i="8" s="1"/>
  <c r="R693" i="8"/>
  <c r="S856" i="19"/>
  <c r="S855" i="8" s="1"/>
  <c r="R855" i="8"/>
  <c r="S671" i="19"/>
  <c r="S670" i="8" s="1"/>
  <c r="R670" i="8"/>
  <c r="S772" i="19"/>
  <c r="S771" i="8" s="1"/>
  <c r="R771" i="8"/>
  <c r="S724" i="19"/>
  <c r="S723" i="8" s="1"/>
  <c r="R723" i="8"/>
  <c r="S365" i="19"/>
  <c r="S364" i="8" s="1"/>
  <c r="R364" i="8"/>
  <c r="S563" i="19"/>
  <c r="S562" i="8" s="1"/>
  <c r="R562" i="8"/>
  <c r="S564" i="19"/>
  <c r="S563" i="8" s="1"/>
  <c r="R563" i="8"/>
  <c r="S436" i="19"/>
  <c r="S435" i="8" s="1"/>
  <c r="R435" i="8"/>
  <c r="S645" i="19"/>
  <c r="S644" i="8" s="1"/>
  <c r="R644" i="8"/>
  <c r="S637" i="19"/>
  <c r="S636" i="8" s="1"/>
  <c r="R636" i="8"/>
  <c r="S629" i="19"/>
  <c r="S628" i="8" s="1"/>
  <c r="R628" i="8"/>
  <c r="S541" i="19"/>
  <c r="S623" i="19"/>
  <c r="S622" i="8" s="1"/>
  <c r="R622" i="8"/>
  <c r="S402" i="19"/>
  <c r="S401" i="8" s="1"/>
  <c r="R401" i="8"/>
  <c r="S571" i="19"/>
  <c r="S570" i="8" s="1"/>
  <c r="R570" i="8"/>
  <c r="S399" i="19"/>
  <c r="S385" i="19"/>
  <c r="S384" i="8" s="1"/>
  <c r="R384" i="8"/>
  <c r="S366" i="19"/>
  <c r="S365" i="8" s="1"/>
  <c r="R365" i="8"/>
  <c r="S585" i="19"/>
  <c r="S584" i="8" s="1"/>
  <c r="R584" i="8"/>
  <c r="S806" i="19"/>
  <c r="S805" i="8" s="1"/>
  <c r="R805" i="8"/>
  <c r="S1445" i="19"/>
  <c r="S1444" i="8" s="1"/>
  <c r="R1444" i="8"/>
  <c r="S484" i="19"/>
  <c r="S483" i="8" s="1"/>
  <c r="R483" i="8"/>
  <c r="S914" i="19"/>
  <c r="S913" i="8" s="1"/>
  <c r="R913" i="8"/>
  <c r="S1055" i="19"/>
  <c r="S1054" i="8" s="1"/>
  <c r="R1054" i="8"/>
  <c r="S1279" i="19"/>
  <c r="S1278" i="8" s="1"/>
  <c r="R1278" i="8"/>
  <c r="S1600" i="19"/>
  <c r="S1599" i="8" s="1"/>
  <c r="R1599" i="8"/>
  <c r="S1560" i="19"/>
  <c r="S1559" i="8" s="1"/>
  <c r="R1559" i="8"/>
  <c r="S1527" i="19"/>
  <c r="S1526" i="8" s="1"/>
  <c r="R1526" i="8"/>
  <c r="S1295" i="19"/>
  <c r="S1294" i="8" s="1"/>
  <c r="R1294" i="8"/>
  <c r="S1284" i="19"/>
  <c r="S1283" i="8" s="1"/>
  <c r="R1283" i="8"/>
  <c r="S1137" i="19"/>
  <c r="S1136" i="8" s="1"/>
  <c r="R1136" i="8"/>
  <c r="S1079" i="19"/>
  <c r="S1078" i="8" s="1"/>
  <c r="R1078" i="8"/>
  <c r="S1016" i="19"/>
  <c r="S1015" i="8" s="1"/>
  <c r="R1015" i="8"/>
  <c r="S741" i="19"/>
  <c r="S740" i="8" s="1"/>
  <c r="R740" i="8"/>
  <c r="S729" i="19"/>
  <c r="S728" i="8" s="1"/>
  <c r="R728" i="8"/>
  <c r="S780" i="19"/>
  <c r="S779" i="8" s="1"/>
  <c r="R779" i="8"/>
  <c r="S625" i="19"/>
  <c r="S624" i="8" s="1"/>
  <c r="R624" i="8"/>
  <c r="S561" i="19"/>
  <c r="S560" i="8" s="1"/>
  <c r="R560" i="8"/>
  <c r="S482" i="19"/>
  <c r="S481" i="8" s="1"/>
  <c r="R481" i="8"/>
  <c r="S918" i="19"/>
  <c r="S917" i="8" s="1"/>
  <c r="R917" i="8"/>
  <c r="S634" i="19"/>
  <c r="S633" i="8" s="1"/>
  <c r="R633" i="8"/>
  <c r="S841" i="19"/>
  <c r="S840" i="8" s="1"/>
  <c r="R840" i="8"/>
  <c r="S1539" i="19"/>
  <c r="S1538" i="8" s="1"/>
  <c r="R1538" i="8"/>
  <c r="S1607" i="19"/>
  <c r="S1606" i="8" s="1"/>
  <c r="R1606" i="8"/>
  <c r="S1047" i="19"/>
  <c r="S1046" i="8" s="1"/>
  <c r="R1046" i="8"/>
  <c r="S1110" i="19"/>
  <c r="S1109" i="8" s="1"/>
  <c r="R1109" i="8"/>
  <c r="S1334" i="19"/>
  <c r="S1333" i="8" s="1"/>
  <c r="R1333" i="8"/>
  <c r="S950" i="19"/>
  <c r="S949" i="8" s="1"/>
  <c r="R949" i="8"/>
  <c r="S1427" i="19"/>
  <c r="S1426" i="8" s="1"/>
  <c r="R1426" i="8"/>
  <c r="S1351" i="19"/>
  <c r="S1350" i="8" s="1"/>
  <c r="R1350" i="8"/>
  <c r="S1335" i="19"/>
  <c r="S1334" i="8" s="1"/>
  <c r="R1334" i="8"/>
  <c r="S1216" i="19"/>
  <c r="S1215" i="8" s="1"/>
  <c r="R1215" i="8"/>
  <c r="S1076" i="19"/>
  <c r="S1075" i="8" s="1"/>
  <c r="R1075" i="8"/>
  <c r="S996" i="19"/>
  <c r="S995" i="8" s="1"/>
  <c r="R995" i="8"/>
  <c r="S900" i="19"/>
  <c r="S899" i="8" s="1"/>
  <c r="R899" i="8"/>
  <c r="S876" i="19"/>
  <c r="S875" i="8" s="1"/>
  <c r="R875" i="8"/>
  <c r="S717" i="19"/>
  <c r="S716" i="8" s="1"/>
  <c r="R716" i="8"/>
  <c r="S377" i="19"/>
  <c r="S381" i="19"/>
  <c r="S624" i="19"/>
  <c r="S623" i="8" s="1"/>
  <c r="R623" i="8"/>
  <c r="S527" i="19"/>
  <c r="S181" i="8" s="1"/>
  <c r="R181" i="8"/>
  <c r="S393" i="19"/>
  <c r="O6" i="10"/>
  <c r="O34" i="9"/>
  <c r="O33" i="9"/>
  <c r="O32" i="9"/>
  <c r="N45" i="10"/>
  <c r="N46" i="10"/>
  <c r="B1" i="10" a="1"/>
  <c r="B1" i="10" s="1"/>
  <c r="F28" i="10"/>
  <c r="F25" i="10"/>
  <c r="K28" i="9"/>
  <c r="Q395" i="19" l="1"/>
  <c r="R395" i="19" s="1"/>
  <c r="Q394" i="8"/>
  <c r="V394" i="8" s="1" a="1"/>
  <c r="V394" i="8" s="1"/>
  <c r="Q396" i="8"/>
  <c r="V396" i="8" s="1" a="1"/>
  <c r="V396" i="8" s="1"/>
  <c r="Q397" i="19"/>
  <c r="R397" i="19" s="1"/>
  <c r="Q428" i="19"/>
  <c r="R428" i="19" s="1"/>
  <c r="Q427" i="8"/>
  <c r="V427" i="8" s="1" a="1"/>
  <c r="V427" i="8" s="1"/>
  <c r="Q390" i="19"/>
  <c r="R390" i="19" s="1"/>
  <c r="Q389" i="8"/>
  <c r="V389" i="8" s="1" a="1"/>
  <c r="V389" i="8" s="1"/>
  <c r="Q421" i="19"/>
  <c r="R421" i="19" s="1"/>
  <c r="Q420" i="8"/>
  <c r="V420" i="8" s="1" a="1"/>
  <c r="V420" i="8" s="1"/>
  <c r="Q375" i="8"/>
  <c r="V375" i="8" s="1" a="1"/>
  <c r="V375" i="8" s="1"/>
  <c r="Q376" i="19"/>
  <c r="R376" i="19" s="1"/>
  <c r="Q1033" i="8"/>
  <c r="V1033" i="8" s="1" a="1"/>
  <c r="V1033" i="8" s="1"/>
  <c r="Q1034" i="19"/>
  <c r="R1034" i="19" s="1"/>
  <c r="Q1484" i="8"/>
  <c r="V1484" i="8" s="1" a="1"/>
  <c r="V1484" i="8" s="1"/>
  <c r="Q1485" i="19"/>
  <c r="R1485" i="19" s="1"/>
  <c r="Q1442" i="8"/>
  <c r="V1442" i="8" s="1" a="1"/>
  <c r="V1442" i="8" s="1"/>
  <c r="Q1443" i="19"/>
  <c r="R1443" i="19" s="1"/>
  <c r="Q1467" i="8"/>
  <c r="V1467" i="8" s="1" a="1"/>
  <c r="V1467" i="8" s="1"/>
  <c r="Q1468" i="19"/>
  <c r="R1468" i="19" s="1"/>
  <c r="Q1466" i="8"/>
  <c r="V1466" i="8" s="1" a="1"/>
  <c r="V1466" i="8" s="1"/>
  <c r="Q1467" i="19"/>
  <c r="R1467" i="19" s="1"/>
  <c r="Q1469" i="8"/>
  <c r="V1469" i="8" s="1" a="1"/>
  <c r="V1469" i="8" s="1"/>
  <c r="Q1470" i="19"/>
  <c r="R1470" i="19" s="1"/>
  <c r="Q1441" i="19"/>
  <c r="R1441" i="19" s="1"/>
  <c r="Q1440" i="8"/>
  <c r="V1440" i="8" s="1" a="1"/>
  <c r="V1440" i="8" s="1"/>
  <c r="Q1463" i="8"/>
  <c r="V1463" i="8" s="1" a="1"/>
  <c r="V1463" i="8" s="1"/>
  <c r="Q1464" i="19"/>
  <c r="R1464" i="19" s="1"/>
  <c r="Q1476" i="19"/>
  <c r="R1476" i="19" s="1"/>
  <c r="Q1475" i="8"/>
  <c r="V1475" i="8" s="1" a="1"/>
  <c r="V1475" i="8" s="1"/>
  <c r="Q439" i="8"/>
  <c r="V439" i="8" s="1" a="1"/>
  <c r="V439" i="8" s="1"/>
  <c r="Q440" i="19"/>
  <c r="R440" i="19" s="1"/>
  <c r="Q502" i="19"/>
  <c r="R502" i="19" s="1"/>
  <c r="Q501" i="8"/>
  <c r="V501" i="8" s="1" a="1"/>
  <c r="V501" i="8" s="1"/>
  <c r="Q439" i="19"/>
  <c r="R439" i="19" s="1"/>
  <c r="Q438" i="8"/>
  <c r="V438" i="8" s="1" a="1"/>
  <c r="V438" i="8" s="1"/>
  <c r="Q459" i="19"/>
  <c r="R459" i="19" s="1"/>
  <c r="Q458" i="8"/>
  <c r="V458" i="8" s="1" a="1"/>
  <c r="V458" i="8" s="1"/>
  <c r="Q1292" i="19"/>
  <c r="R1292" i="19" s="1"/>
  <c r="Q1291" i="8"/>
  <c r="V1291" i="8" s="1" a="1"/>
  <c r="V1291" i="8" s="1"/>
  <c r="Q1174" i="19"/>
  <c r="R1174" i="19" s="1"/>
  <c r="Q1173" i="8"/>
  <c r="V1173" i="8" s="1" a="1"/>
  <c r="V1173" i="8" s="1"/>
  <c r="Q475" i="8"/>
  <c r="V475" i="8" s="1" a="1"/>
  <c r="V475" i="8" s="1"/>
  <c r="Q476" i="19"/>
  <c r="R476" i="19" s="1"/>
  <c r="Q474" i="8"/>
  <c r="V474" i="8" s="1" a="1"/>
  <c r="V474" i="8" s="1"/>
  <c r="Q475" i="19"/>
  <c r="R475" i="19" s="1"/>
  <c r="Q437" i="19"/>
  <c r="R437" i="19" s="1"/>
  <c r="Q436" i="8"/>
  <c r="V436" i="8" s="1" a="1"/>
  <c r="V436" i="8" s="1"/>
  <c r="Q1254" i="19"/>
  <c r="R1254" i="19" s="1"/>
  <c r="Q1253" i="8"/>
  <c r="V1253" i="8" s="1" a="1"/>
  <c r="V1253" i="8" s="1"/>
  <c r="Q1035" i="19"/>
  <c r="R1035" i="19" s="1"/>
  <c r="Q1034" i="8"/>
  <c r="V1034" i="8" s="1" a="1"/>
  <c r="V1034" i="8" s="1"/>
  <c r="Q1485" i="8"/>
  <c r="V1485" i="8" s="1" a="1"/>
  <c r="V1485" i="8" s="1"/>
  <c r="Q1486" i="19"/>
  <c r="R1486" i="19" s="1"/>
  <c r="Q442" i="8"/>
  <c r="V442" i="8" s="1" a="1"/>
  <c r="V442" i="8" s="1"/>
  <c r="Q443" i="19"/>
  <c r="R443" i="19" s="1"/>
  <c r="Q1436" i="19"/>
  <c r="R1436" i="19" s="1"/>
  <c r="Q1435" i="8"/>
  <c r="V1435" i="8" s="1" a="1"/>
  <c r="V1435" i="8" s="1"/>
  <c r="Q1442" i="19"/>
  <c r="R1442" i="19" s="1"/>
  <c r="Q1441" i="8"/>
  <c r="V1441" i="8" s="1" a="1"/>
  <c r="V1441" i="8" s="1"/>
  <c r="Q1433" i="8"/>
  <c r="V1433" i="8" s="1" a="1"/>
  <c r="V1433" i="8" s="1"/>
  <c r="Q1434" i="19"/>
  <c r="R1434" i="19" s="1"/>
  <c r="Q1473" i="19"/>
  <c r="R1473" i="19" s="1"/>
  <c r="Q1472" i="8"/>
  <c r="V1472" i="8" s="1" a="1"/>
  <c r="V1472" i="8" s="1"/>
  <c r="Q1478" i="8"/>
  <c r="V1478" i="8" s="1" a="1"/>
  <c r="V1478" i="8" s="1"/>
  <c r="Q1479" i="19"/>
  <c r="R1479" i="19" s="1"/>
  <c r="Q460" i="8"/>
  <c r="V460" i="8" s="1" a="1"/>
  <c r="V460" i="8" s="1"/>
  <c r="Q461" i="19"/>
  <c r="R461" i="19" s="1"/>
  <c r="Q1268" i="19"/>
  <c r="R1268" i="19" s="1"/>
  <c r="Q1267" i="8"/>
  <c r="V1267" i="8" s="1" a="1"/>
  <c r="V1267" i="8" s="1"/>
  <c r="Q447" i="19"/>
  <c r="R447" i="19" s="1"/>
  <c r="Q446" i="8"/>
  <c r="V446" i="8" s="1" a="1"/>
  <c r="V446" i="8" s="1"/>
  <c r="Q490" i="19"/>
  <c r="R490" i="19" s="1"/>
  <c r="Q489" i="8"/>
  <c r="V489" i="8" s="1" a="1"/>
  <c r="V489" i="8" s="1"/>
  <c r="Q1249" i="8"/>
  <c r="V1249" i="8" s="1" a="1"/>
  <c r="V1249" i="8" s="1"/>
  <c r="Q1250" i="19"/>
  <c r="R1250" i="19" s="1"/>
  <c r="Q493" i="19"/>
  <c r="R493" i="19" s="1"/>
  <c r="Q492" i="8"/>
  <c r="V492" i="8" s="1" a="1"/>
  <c r="V492" i="8" s="1"/>
  <c r="Q1173" i="19"/>
  <c r="R1173" i="19" s="1"/>
  <c r="Q1172" i="8"/>
  <c r="V1172" i="8" s="1" a="1"/>
  <c r="V1172" i="8" s="1"/>
  <c r="Q477" i="19"/>
  <c r="R477" i="19" s="1"/>
  <c r="Q476" i="8"/>
  <c r="V476" i="8" s="1" a="1"/>
  <c r="V476" i="8" s="1"/>
  <c r="Q478" i="19"/>
  <c r="R478" i="19" s="1"/>
  <c r="Q477" i="8"/>
  <c r="V477" i="8" s="1" a="1"/>
  <c r="V477" i="8" s="1"/>
  <c r="Q479" i="8"/>
  <c r="V479" i="8" s="1" a="1"/>
  <c r="V479" i="8" s="1"/>
  <c r="Q480" i="19"/>
  <c r="R480" i="19" s="1"/>
  <c r="Q1531" i="8"/>
  <c r="V1531" i="8" s="1" a="1"/>
  <c r="V1531" i="8" s="1"/>
  <c r="Q1532" i="19"/>
  <c r="R1532" i="19" s="1"/>
  <c r="Q1448" i="8"/>
  <c r="V1448" i="8" s="1" a="1"/>
  <c r="V1448" i="8" s="1"/>
  <c r="Q1449" i="19"/>
  <c r="R1449" i="19" s="1"/>
  <c r="Q1431" i="19"/>
  <c r="R1431" i="19" s="1"/>
  <c r="Q1430" i="8"/>
  <c r="V1430" i="8" s="1" a="1"/>
  <c r="V1430" i="8" s="1"/>
  <c r="Q1478" i="19"/>
  <c r="R1478" i="19" s="1"/>
  <c r="Q1477" i="8"/>
  <c r="V1477" i="8" s="1" a="1"/>
  <c r="V1477" i="8" s="1"/>
  <c r="Q1439" i="19"/>
  <c r="R1439" i="19" s="1"/>
  <c r="Q1438" i="8"/>
  <c r="V1438" i="8" s="1" a="1"/>
  <c r="V1438" i="8" s="1"/>
  <c r="Q1474" i="19"/>
  <c r="R1474" i="19" s="1"/>
  <c r="Q1473" i="8"/>
  <c r="V1473" i="8" s="1" a="1"/>
  <c r="V1473" i="8" s="1"/>
  <c r="Q1472" i="19"/>
  <c r="R1472" i="19" s="1"/>
  <c r="Q1471" i="8"/>
  <c r="V1471" i="8" s="1" a="1"/>
  <c r="V1471" i="8" s="1"/>
  <c r="Q1461" i="8"/>
  <c r="V1461" i="8" s="1" a="1"/>
  <c r="V1461" i="8" s="1"/>
  <c r="Q1462" i="19"/>
  <c r="R1462" i="19" s="1"/>
  <c r="Q1436" i="8"/>
  <c r="V1436" i="8" s="1" a="1"/>
  <c r="V1436" i="8" s="1"/>
  <c r="Q1437" i="19"/>
  <c r="R1437" i="19" s="1"/>
  <c r="Q472" i="8"/>
  <c r="V472" i="8" s="1" a="1"/>
  <c r="V472" i="8" s="1"/>
  <c r="Q473" i="19"/>
  <c r="R473" i="19" s="1"/>
  <c r="Q1314" i="19"/>
  <c r="R1314" i="19" s="1"/>
  <c r="Q1313" i="8"/>
  <c r="V1313" i="8" s="1" a="1"/>
  <c r="V1313" i="8" s="1"/>
  <c r="Q479" i="19"/>
  <c r="R479" i="19" s="1"/>
  <c r="Q478" i="8"/>
  <c r="V478" i="8" s="1" a="1"/>
  <c r="V478" i="8" s="1"/>
  <c r="Q1255" i="19"/>
  <c r="R1255" i="19" s="1"/>
  <c r="Q1254" i="8"/>
  <c r="V1254" i="8" s="1" a="1"/>
  <c r="V1254" i="8" s="1"/>
  <c r="Q1250" i="8"/>
  <c r="V1250" i="8" s="1" a="1"/>
  <c r="V1250" i="8" s="1"/>
  <c r="Q1251" i="19"/>
  <c r="R1251" i="19" s="1"/>
  <c r="Q1242" i="19"/>
  <c r="R1242" i="19" s="1"/>
  <c r="Q1241" i="8"/>
  <c r="V1241" i="8" s="1" a="1"/>
  <c r="V1241" i="8" s="1"/>
  <c r="Q1234" i="19"/>
  <c r="R1234" i="19" s="1"/>
  <c r="Q1233" i="8"/>
  <c r="V1233" i="8" s="1" a="1"/>
  <c r="V1233" i="8" s="1"/>
  <c r="Q437" i="8"/>
  <c r="V437" i="8" s="1" a="1"/>
  <c r="V437" i="8" s="1"/>
  <c r="Q438" i="19"/>
  <c r="R438" i="19" s="1"/>
  <c r="Q1231" i="8"/>
  <c r="V1231" i="8" s="1" a="1"/>
  <c r="V1231" i="8" s="1"/>
  <c r="Q1232" i="19"/>
  <c r="R1232" i="19" s="1"/>
  <c r="Q451" i="19"/>
  <c r="R451" i="19" s="1"/>
  <c r="Q450" i="8"/>
  <c r="V450" i="8" s="1" a="1"/>
  <c r="V450" i="8" s="1"/>
  <c r="Q1516" i="19"/>
  <c r="R1516" i="19" s="1"/>
  <c r="Q1515" i="8"/>
  <c r="V1515" i="8" s="1" a="1"/>
  <c r="V1515" i="8" s="1"/>
  <c r="Q1482" i="19"/>
  <c r="R1482" i="19" s="1"/>
  <c r="Q1481" i="8"/>
  <c r="V1481" i="8" s="1" a="1"/>
  <c r="V1481" i="8" s="1"/>
  <c r="Q1480" i="19"/>
  <c r="R1480" i="19" s="1"/>
  <c r="Q1479" i="8"/>
  <c r="V1479" i="8" s="1" a="1"/>
  <c r="V1479" i="8" s="1"/>
  <c r="Q1428" i="8"/>
  <c r="V1428" i="8" s="1" a="1"/>
  <c r="V1428" i="8" s="1"/>
  <c r="Q1429" i="19"/>
  <c r="R1429" i="19" s="1"/>
  <c r="Q1432" i="19"/>
  <c r="R1432" i="19" s="1"/>
  <c r="Q1431" i="8"/>
  <c r="V1431" i="8" s="1" a="1"/>
  <c r="V1431" i="8" s="1"/>
  <c r="Q1438" i="19"/>
  <c r="R1438" i="19" s="1"/>
  <c r="Q1437" i="8"/>
  <c r="V1437" i="8" s="1" a="1"/>
  <c r="V1437" i="8" s="1"/>
  <c r="Q1428" i="19"/>
  <c r="R1428" i="19" s="1"/>
  <c r="Q1427" i="8"/>
  <c r="V1427" i="8" s="1" a="1"/>
  <c r="V1427" i="8" s="1"/>
  <c r="Q1487" i="19"/>
  <c r="R1487" i="19" s="1"/>
  <c r="Q1486" i="8"/>
  <c r="V1486" i="8" s="1" a="1"/>
  <c r="V1486" i="8" s="1"/>
  <c r="Q1461" i="19"/>
  <c r="R1461" i="19" s="1"/>
  <c r="Q1460" i="8"/>
  <c r="V1460" i="8" s="1" a="1"/>
  <c r="V1460" i="8" s="1"/>
  <c r="Q474" i="19"/>
  <c r="R474" i="19" s="1"/>
  <c r="Q473" i="8"/>
  <c r="V473" i="8" s="1" a="1"/>
  <c r="V473" i="8" s="1"/>
  <c r="Q1232" i="8"/>
  <c r="V1232" i="8" s="1" a="1"/>
  <c r="V1232" i="8" s="1"/>
  <c r="Q1233" i="19"/>
  <c r="R1233" i="19" s="1"/>
  <c r="Q1322" i="19"/>
  <c r="R1322" i="19" s="1"/>
  <c r="Q1321" i="8"/>
  <c r="V1321" i="8" s="1" a="1"/>
  <c r="V1321" i="8" s="1"/>
  <c r="Q507" i="19"/>
  <c r="R507" i="19" s="1"/>
  <c r="Q506" i="8"/>
  <c r="V506" i="8" s="1" a="1"/>
  <c r="V506" i="8" s="1"/>
  <c r="Q1185" i="8"/>
  <c r="V1185" i="8" s="1" a="1"/>
  <c r="V1185" i="8" s="1"/>
  <c r="Q1186" i="19"/>
  <c r="R1186" i="19" s="1"/>
  <c r="Q505" i="19"/>
  <c r="R505" i="19" s="1"/>
  <c r="Q504" i="8"/>
  <c r="V504" i="8" s="1" a="1"/>
  <c r="V504" i="8" s="1"/>
  <c r="Q456" i="8"/>
  <c r="V456" i="8" s="1" a="1"/>
  <c r="V456" i="8" s="1"/>
  <c r="Q457" i="19"/>
  <c r="R457" i="19" s="1"/>
  <c r="Q494" i="8"/>
  <c r="V494" i="8" s="1" a="1"/>
  <c r="V494" i="8" s="1"/>
  <c r="Q495" i="19"/>
  <c r="R495" i="19" s="1"/>
  <c r="Q1248" i="8"/>
  <c r="V1248" i="8" s="1" a="1"/>
  <c r="V1248" i="8" s="1"/>
  <c r="Q1249" i="19"/>
  <c r="R1249" i="19" s="1"/>
  <c r="Q481" i="19"/>
  <c r="R481" i="19" s="1"/>
  <c r="Q480" i="8"/>
  <c r="V480" i="8" s="1" a="1"/>
  <c r="V480" i="8" s="1"/>
  <c r="Q1504" i="19"/>
  <c r="R1504" i="19" s="1"/>
  <c r="Q1503" i="8"/>
  <c r="V1503" i="8" s="1" a="1"/>
  <c r="V1503" i="8" s="1"/>
  <c r="S376" i="19" l="1"/>
  <c r="S375" i="8" s="1"/>
  <c r="R375" i="8"/>
  <c r="S397" i="19"/>
  <c r="S396" i="8" s="1"/>
  <c r="R396" i="8"/>
  <c r="S390" i="19"/>
  <c r="S389" i="8" s="1"/>
  <c r="R389" i="8"/>
  <c r="R420" i="8"/>
  <c r="S421" i="19"/>
  <c r="S420" i="8" s="1"/>
  <c r="R427" i="8"/>
  <c r="S428" i="19"/>
  <c r="S427" i="8" s="1"/>
  <c r="R394" i="8"/>
  <c r="S395" i="19"/>
  <c r="S394" i="8" s="1"/>
  <c r="S457" i="19"/>
  <c r="S456" i="8" s="1"/>
  <c r="R456" i="8"/>
  <c r="S1429" i="19"/>
  <c r="S1428" i="8" s="1"/>
  <c r="R1428" i="8"/>
  <c r="S438" i="19"/>
  <c r="S437" i="8" s="1"/>
  <c r="R437" i="8"/>
  <c r="S1437" i="19"/>
  <c r="S1436" i="8" s="1"/>
  <c r="R1436" i="8"/>
  <c r="R1531" i="8"/>
  <c r="S1532" i="19"/>
  <c r="S1531" i="8" s="1"/>
  <c r="S1250" i="19"/>
  <c r="S1249" i="8" s="1"/>
  <c r="R1249" i="8"/>
  <c r="S461" i="19"/>
  <c r="S460" i="8" s="1"/>
  <c r="R460" i="8"/>
  <c r="R442" i="8"/>
  <c r="S443" i="19"/>
  <c r="S442" i="8" s="1"/>
  <c r="R475" i="8"/>
  <c r="S476" i="19"/>
  <c r="S475" i="8" s="1"/>
  <c r="R439" i="8"/>
  <c r="S440" i="19"/>
  <c r="S439" i="8" s="1"/>
  <c r="S1464" i="19"/>
  <c r="S1463" i="8" s="1"/>
  <c r="R1463" i="8"/>
  <c r="S1470" i="19"/>
  <c r="S1469" i="8" s="1"/>
  <c r="R1469" i="8"/>
  <c r="S1468" i="19"/>
  <c r="S1467" i="8" s="1"/>
  <c r="R1467" i="8"/>
  <c r="S1485" i="19"/>
  <c r="S1484" i="8" s="1"/>
  <c r="R1484" i="8"/>
  <c r="S1186" i="19"/>
  <c r="S1185" i="8" s="1"/>
  <c r="R1185" i="8"/>
  <c r="R1321" i="8"/>
  <c r="S1322" i="19"/>
  <c r="S1321" i="8" s="1"/>
  <c r="S474" i="19"/>
  <c r="S473" i="8" s="1"/>
  <c r="R473" i="8"/>
  <c r="S1487" i="19"/>
  <c r="S1486" i="8" s="1"/>
  <c r="R1486" i="8"/>
  <c r="R1437" i="8"/>
  <c r="S1438" i="19"/>
  <c r="S1437" i="8" s="1"/>
  <c r="S1482" i="19"/>
  <c r="S1481" i="8" s="1"/>
  <c r="R1481" i="8"/>
  <c r="S451" i="19"/>
  <c r="S450" i="8" s="1"/>
  <c r="R450" i="8"/>
  <c r="S1242" i="19"/>
  <c r="S1241" i="8" s="1"/>
  <c r="R1241" i="8"/>
  <c r="R1254" i="8"/>
  <c r="S1255" i="19"/>
  <c r="S1254" i="8" s="1"/>
  <c r="R1313" i="8"/>
  <c r="S1314" i="19"/>
  <c r="S1313" i="8" s="1"/>
  <c r="S1472" i="19"/>
  <c r="S1471" i="8" s="1"/>
  <c r="R1471" i="8"/>
  <c r="S1439" i="19"/>
  <c r="S1438" i="8" s="1"/>
  <c r="R1438" i="8"/>
  <c r="R1430" i="8"/>
  <c r="S1431" i="19"/>
  <c r="S1430" i="8" s="1"/>
  <c r="R477" i="8"/>
  <c r="S478" i="19"/>
  <c r="S477" i="8" s="1"/>
  <c r="S1173" i="19"/>
  <c r="S1172" i="8" s="1"/>
  <c r="R1172" i="8"/>
  <c r="R446" i="8"/>
  <c r="S447" i="19"/>
  <c r="S446" i="8" s="1"/>
  <c r="S1473" i="19"/>
  <c r="S1472" i="8" s="1"/>
  <c r="R1472" i="8"/>
  <c r="S1442" i="19"/>
  <c r="S1441" i="8" s="1"/>
  <c r="R1441" i="8"/>
  <c r="S1035" i="19"/>
  <c r="S1034" i="8" s="1"/>
  <c r="R1034" i="8"/>
  <c r="S437" i="19"/>
  <c r="S436" i="8" s="1"/>
  <c r="R436" i="8"/>
  <c r="S1292" i="19"/>
  <c r="S1291" i="8" s="1"/>
  <c r="R1291" i="8"/>
  <c r="S439" i="19"/>
  <c r="S438" i="8" s="1"/>
  <c r="R438" i="8"/>
  <c r="S1504" i="19"/>
  <c r="S1503" i="8" s="1"/>
  <c r="R1503" i="8"/>
  <c r="S495" i="19"/>
  <c r="S494" i="8" s="1"/>
  <c r="R494" i="8"/>
  <c r="S1233" i="19"/>
  <c r="S1232" i="8" s="1"/>
  <c r="R1232" i="8"/>
  <c r="S1232" i="19"/>
  <c r="S1231" i="8" s="1"/>
  <c r="R1231" i="8"/>
  <c r="S1251" i="19"/>
  <c r="S1250" i="8" s="1"/>
  <c r="R1250" i="8"/>
  <c r="S473" i="19"/>
  <c r="S472" i="8" s="1"/>
  <c r="R472" i="8"/>
  <c r="S1462" i="19"/>
  <c r="S1461" i="8" s="1"/>
  <c r="R1461" i="8"/>
  <c r="S1449" i="19"/>
  <c r="S1448" i="8" s="1"/>
  <c r="R1448" i="8"/>
  <c r="R479" i="8"/>
  <c r="S480" i="19"/>
  <c r="S479" i="8" s="1"/>
  <c r="S1479" i="19"/>
  <c r="S1478" i="8" s="1"/>
  <c r="R1478" i="8"/>
  <c r="S1434" i="19"/>
  <c r="S1433" i="8" s="1"/>
  <c r="R1433" i="8"/>
  <c r="S1486" i="19"/>
  <c r="S1485" i="8" s="1"/>
  <c r="R1485" i="8"/>
  <c r="S475" i="19"/>
  <c r="S474" i="8" s="1"/>
  <c r="R474" i="8"/>
  <c r="S1467" i="19"/>
  <c r="S1466" i="8" s="1"/>
  <c r="R1466" i="8"/>
  <c r="S1443" i="19"/>
  <c r="S1442" i="8" s="1"/>
  <c r="R1442" i="8"/>
  <c r="R1033" i="8"/>
  <c r="S1034" i="19"/>
  <c r="S1033" i="8" s="1"/>
  <c r="S1249" i="19"/>
  <c r="S1248" i="8" s="1"/>
  <c r="R1248" i="8"/>
  <c r="R480" i="8"/>
  <c r="S481" i="19"/>
  <c r="S480" i="8" s="1"/>
  <c r="S505" i="19"/>
  <c r="S504" i="8" s="1"/>
  <c r="R504" i="8"/>
  <c r="S507" i="19"/>
  <c r="S506" i="8" s="1"/>
  <c r="R506" i="8"/>
  <c r="R1460" i="8"/>
  <c r="S1461" i="19"/>
  <c r="S1460" i="8" s="1"/>
  <c r="S1428" i="19"/>
  <c r="S1427" i="8" s="1"/>
  <c r="R1427" i="8"/>
  <c r="S1432" i="19"/>
  <c r="S1431" i="8" s="1"/>
  <c r="R1431" i="8"/>
  <c r="S1480" i="19"/>
  <c r="S1479" i="8" s="1"/>
  <c r="R1479" i="8"/>
  <c r="S1516" i="19"/>
  <c r="S1515" i="8" s="1"/>
  <c r="R1515" i="8"/>
  <c r="S1234" i="19"/>
  <c r="S1233" i="8" s="1"/>
  <c r="R1233" i="8"/>
  <c r="R478" i="8"/>
  <c r="S479" i="19"/>
  <c r="S478" i="8" s="1"/>
  <c r="S1474" i="19"/>
  <c r="S1473" i="8" s="1"/>
  <c r="R1473" i="8"/>
  <c r="S1478" i="19"/>
  <c r="S1477" i="8" s="1"/>
  <c r="R1477" i="8"/>
  <c r="S477" i="19"/>
  <c r="S476" i="8" s="1"/>
  <c r="R476" i="8"/>
  <c r="R492" i="8"/>
  <c r="S493" i="19"/>
  <c r="S492" i="8" s="1"/>
  <c r="R489" i="8"/>
  <c r="S490" i="19"/>
  <c r="S489" i="8" s="1"/>
  <c r="S1268" i="19"/>
  <c r="S1267" i="8" s="1"/>
  <c r="R1267" i="8"/>
  <c r="S1436" i="19"/>
  <c r="S1435" i="8" s="1"/>
  <c r="R1435" i="8"/>
  <c r="S1254" i="19"/>
  <c r="S1253" i="8" s="1"/>
  <c r="R1253" i="8"/>
  <c r="S1174" i="19"/>
  <c r="S1173" i="8" s="1"/>
  <c r="R1173" i="8"/>
  <c r="S459" i="19"/>
  <c r="S458" i="8" s="1"/>
  <c r="R458" i="8"/>
  <c r="S502" i="19"/>
  <c r="S501" i="8" s="1"/>
  <c r="R501" i="8"/>
  <c r="S1476" i="19"/>
  <c r="S1475" i="8" s="1"/>
  <c r="R1475" i="8"/>
  <c r="R1440" i="8"/>
  <c r="S1441" i="19"/>
  <c r="S1440" i="8" s="1"/>
  <c r="U76" i="8"/>
  <c r="U114" i="8"/>
  <c r="U120" i="8"/>
  <c r="U121" i="8"/>
  <c r="U122" i="8"/>
  <c r="U124" i="8"/>
  <c r="U125" i="8"/>
  <c r="U126" i="8"/>
  <c r="U127" i="8"/>
  <c r="U128" i="8"/>
  <c r="U129" i="8"/>
  <c r="U130" i="8"/>
  <c r="U131" i="8"/>
  <c r="T76" i="8"/>
  <c r="T114" i="8"/>
  <c r="T120" i="8"/>
  <c r="T121" i="8"/>
  <c r="T122" i="8"/>
  <c r="T124" i="8"/>
  <c r="T125" i="8"/>
  <c r="T126" i="8"/>
  <c r="T127" i="8"/>
  <c r="T128" i="8"/>
  <c r="T129" i="8"/>
  <c r="T130" i="8"/>
  <c r="T131" i="8"/>
  <c r="I21" i="2"/>
  <c r="A11" i="2"/>
  <c r="B11" i="2"/>
  <c r="C11" i="2"/>
  <c r="G11" i="2"/>
  <c r="I11" i="2"/>
  <c r="J11" i="2"/>
  <c r="L11" i="2"/>
  <c r="M11" i="2"/>
  <c r="A12" i="2"/>
  <c r="B12" i="2"/>
  <c r="C12" i="2"/>
  <c r="G12" i="2"/>
  <c r="I12" i="2"/>
  <c r="J12" i="2"/>
  <c r="L12" i="2"/>
  <c r="M12" i="2"/>
  <c r="A13" i="2"/>
  <c r="B13" i="2"/>
  <c r="C13" i="2"/>
  <c r="G13" i="2"/>
  <c r="I13" i="2"/>
  <c r="J13" i="2"/>
  <c r="L13" i="2"/>
  <c r="M13" i="2"/>
  <c r="A14" i="2"/>
  <c r="B14" i="2"/>
  <c r="C14" i="2"/>
  <c r="G14" i="2"/>
  <c r="I14" i="2"/>
  <c r="J14" i="2"/>
  <c r="L14" i="2"/>
  <c r="M14" i="2"/>
  <c r="A15" i="2"/>
  <c r="B15" i="2"/>
  <c r="C15" i="2"/>
  <c r="G15" i="2"/>
  <c r="I15" i="2"/>
  <c r="J15" i="2"/>
  <c r="L15" i="2"/>
  <c r="M15" i="2"/>
  <c r="A16" i="2"/>
  <c r="B16" i="2"/>
  <c r="C16" i="2"/>
  <c r="G16" i="2"/>
  <c r="I16" i="2"/>
  <c r="J16" i="2"/>
  <c r="L16" i="2"/>
  <c r="M16" i="2"/>
  <c r="A17" i="2"/>
  <c r="B17" i="2"/>
  <c r="C17" i="2"/>
  <c r="G17" i="2"/>
  <c r="I17" i="2"/>
  <c r="J17" i="2"/>
  <c r="L17" i="2"/>
  <c r="M17" i="2"/>
  <c r="A18" i="2"/>
  <c r="B18" i="2"/>
  <c r="C18" i="2"/>
  <c r="G18" i="2"/>
  <c r="I18" i="2"/>
  <c r="J18" i="2"/>
  <c r="L18" i="2"/>
  <c r="M18" i="2"/>
  <c r="A19" i="2"/>
  <c r="B19" i="2"/>
  <c r="C19" i="2"/>
  <c r="G19" i="2"/>
  <c r="I19" i="2"/>
  <c r="J19" i="2"/>
  <c r="L19" i="2"/>
  <c r="M19" i="2"/>
  <c r="A20" i="2"/>
  <c r="B20" i="2"/>
  <c r="C20" i="2"/>
  <c r="G20" i="2"/>
  <c r="I20" i="2"/>
  <c r="J20" i="2"/>
  <c r="L20" i="2"/>
  <c r="M20" i="2"/>
  <c r="A21" i="2"/>
  <c r="B21" i="2"/>
  <c r="C21" i="2"/>
  <c r="G21" i="2"/>
  <c r="J21" i="2"/>
  <c r="L21" i="2"/>
  <c r="M21" i="2"/>
  <c r="A22" i="2"/>
  <c r="B22" i="2"/>
  <c r="C22" i="2"/>
  <c r="G22" i="2"/>
  <c r="I22" i="2"/>
  <c r="J22" i="2"/>
  <c r="L22" i="2"/>
  <c r="M22" i="2"/>
  <c r="A23" i="2"/>
  <c r="B23" i="2"/>
  <c r="C23" i="2"/>
  <c r="G23" i="2"/>
  <c r="I23" i="2"/>
  <c r="J23" i="2"/>
  <c r="L23" i="2"/>
  <c r="M23" i="2"/>
  <c r="A24" i="2"/>
  <c r="B24" i="2"/>
  <c r="C24" i="2"/>
  <c r="G24" i="2"/>
  <c r="I24" i="2"/>
  <c r="J24" i="2"/>
  <c r="L24" i="2"/>
  <c r="M24" i="2"/>
  <c r="A25" i="2"/>
  <c r="B25" i="2"/>
  <c r="C25" i="2"/>
  <c r="G25" i="2"/>
  <c r="I25" i="2"/>
  <c r="J25" i="2"/>
  <c r="L25" i="2"/>
  <c r="M25" i="2"/>
  <c r="A26" i="2"/>
  <c r="B26" i="2"/>
  <c r="C26" i="2"/>
  <c r="G26" i="2"/>
  <c r="I26" i="2"/>
  <c r="J26" i="2"/>
  <c r="L26" i="2"/>
  <c r="M26" i="2"/>
  <c r="A27" i="2"/>
  <c r="B27" i="2"/>
  <c r="C27" i="2"/>
  <c r="G27" i="2"/>
  <c r="I27" i="2"/>
  <c r="J27" i="2"/>
  <c r="L27" i="2"/>
  <c r="M27" i="2"/>
  <c r="A28" i="2"/>
  <c r="B28" i="2"/>
  <c r="C28" i="2"/>
  <c r="G28" i="2"/>
  <c r="I28" i="2"/>
  <c r="J28" i="2"/>
  <c r="L28" i="2"/>
  <c r="M28" i="2"/>
  <c r="A29" i="2"/>
  <c r="B29" i="2"/>
  <c r="C29" i="2"/>
  <c r="G29" i="2"/>
  <c r="I29" i="2"/>
  <c r="J29" i="2"/>
  <c r="L29" i="2"/>
  <c r="M29" i="2"/>
  <c r="A30" i="2"/>
  <c r="B30" i="2"/>
  <c r="C30" i="2"/>
  <c r="G30" i="2"/>
  <c r="I30" i="2"/>
  <c r="J30" i="2"/>
  <c r="L30" i="2"/>
  <c r="M30" i="2"/>
  <c r="A31" i="2"/>
  <c r="B31" i="2"/>
  <c r="C31" i="2"/>
  <c r="G31" i="2"/>
  <c r="I31" i="2"/>
  <c r="J31" i="2"/>
  <c r="L31" i="2"/>
  <c r="M31" i="2"/>
  <c r="A32" i="2"/>
  <c r="B32" i="2"/>
  <c r="C32" i="2"/>
  <c r="G32" i="2"/>
  <c r="I32" i="2"/>
  <c r="J32" i="2"/>
  <c r="L32" i="2"/>
  <c r="M32" i="2"/>
  <c r="A33" i="2"/>
  <c r="B33" i="2"/>
  <c r="C33" i="2"/>
  <c r="G33" i="2"/>
  <c r="I33" i="2"/>
  <c r="J33" i="2"/>
  <c r="L33" i="2"/>
  <c r="M33" i="2"/>
  <c r="A34" i="2"/>
  <c r="B34" i="2"/>
  <c r="C34" i="2"/>
  <c r="G34" i="2"/>
  <c r="I34" i="2"/>
  <c r="J34" i="2"/>
  <c r="L34" i="2"/>
  <c r="M34" i="2"/>
  <c r="A35" i="2"/>
  <c r="B35" i="2"/>
  <c r="C35" i="2"/>
  <c r="G35" i="2"/>
  <c r="I35" i="2"/>
  <c r="J35" i="2"/>
  <c r="L35" i="2"/>
  <c r="M35" i="2"/>
  <c r="A36" i="2"/>
  <c r="B36" i="2"/>
  <c r="C36" i="2"/>
  <c r="G36" i="2"/>
  <c r="I36" i="2"/>
  <c r="J36" i="2"/>
  <c r="L36" i="2"/>
  <c r="M36" i="2"/>
  <c r="A37" i="2"/>
  <c r="B37" i="2"/>
  <c r="C37" i="2"/>
  <c r="G37" i="2"/>
  <c r="I37" i="2"/>
  <c r="J37" i="2"/>
  <c r="L37" i="2"/>
  <c r="M37" i="2"/>
  <c r="A38" i="2"/>
  <c r="B38" i="2"/>
  <c r="C38" i="2"/>
  <c r="G38" i="2"/>
  <c r="I38" i="2"/>
  <c r="J38" i="2"/>
  <c r="L38" i="2"/>
  <c r="M38" i="2"/>
  <c r="A39" i="2"/>
  <c r="B39" i="2"/>
  <c r="C39" i="2"/>
  <c r="G39" i="2"/>
  <c r="I39" i="2"/>
  <c r="J39" i="2"/>
  <c r="L39" i="2"/>
  <c r="M39" i="2"/>
  <c r="A40" i="2"/>
  <c r="B40" i="2"/>
  <c r="C40" i="2"/>
  <c r="G40" i="2"/>
  <c r="I40" i="2"/>
  <c r="J40" i="2"/>
  <c r="L40" i="2"/>
  <c r="M40" i="2"/>
  <c r="A41" i="2"/>
  <c r="B41" i="2"/>
  <c r="C41" i="2"/>
  <c r="G41" i="2"/>
  <c r="I41" i="2"/>
  <c r="J41" i="2"/>
  <c r="L41" i="2"/>
  <c r="M41" i="2"/>
  <c r="A42" i="2"/>
  <c r="B42" i="2"/>
  <c r="C42" i="2"/>
  <c r="G42" i="2"/>
  <c r="I42" i="2"/>
  <c r="J42" i="2"/>
  <c r="L42" i="2"/>
  <c r="M42" i="2"/>
  <c r="A43" i="2"/>
  <c r="B43" i="2"/>
  <c r="C43" i="2"/>
  <c r="G43" i="2"/>
  <c r="I43" i="2"/>
  <c r="J43" i="2"/>
  <c r="L43" i="2"/>
  <c r="M43" i="2"/>
  <c r="A44" i="2"/>
  <c r="B44" i="2"/>
  <c r="C44" i="2"/>
  <c r="G44" i="2"/>
  <c r="I44" i="2"/>
  <c r="J44" i="2"/>
  <c r="L44" i="2"/>
  <c r="M44" i="2"/>
  <c r="A45" i="2"/>
  <c r="B45" i="2"/>
  <c r="C45" i="2"/>
  <c r="G45" i="2"/>
  <c r="I45" i="2"/>
  <c r="J45" i="2"/>
  <c r="L45" i="2"/>
  <c r="M45" i="2"/>
  <c r="A46" i="2"/>
  <c r="B46" i="2"/>
  <c r="C46" i="2"/>
  <c r="G46" i="2"/>
  <c r="I46" i="2"/>
  <c r="J46" i="2"/>
  <c r="L46" i="2"/>
  <c r="M46" i="2"/>
  <c r="A47" i="2"/>
  <c r="B47" i="2"/>
  <c r="C47" i="2"/>
  <c r="G47" i="2"/>
  <c r="I47" i="2"/>
  <c r="J47" i="2"/>
  <c r="L47" i="2"/>
  <c r="M47" i="2"/>
  <c r="A48" i="2"/>
  <c r="B48" i="2"/>
  <c r="C48" i="2"/>
  <c r="G48" i="2"/>
  <c r="I48" i="2"/>
  <c r="J48" i="2"/>
  <c r="L48" i="2"/>
  <c r="M48" i="2"/>
  <c r="A49" i="2"/>
  <c r="B49" i="2"/>
  <c r="C49" i="2"/>
  <c r="G49" i="2"/>
  <c r="I49" i="2"/>
  <c r="J49" i="2"/>
  <c r="L49" i="2"/>
  <c r="M49" i="2"/>
  <c r="A50" i="2"/>
  <c r="B50" i="2"/>
  <c r="C50" i="2"/>
  <c r="G50" i="2"/>
  <c r="I50" i="2"/>
  <c r="J50" i="2"/>
  <c r="L50" i="2"/>
  <c r="M50" i="2"/>
  <c r="A51" i="2"/>
  <c r="B51" i="2"/>
  <c r="C51" i="2"/>
  <c r="G51" i="2"/>
  <c r="I51" i="2"/>
  <c r="J51" i="2"/>
  <c r="L51" i="2"/>
  <c r="M51" i="2"/>
  <c r="A52" i="2"/>
  <c r="B52" i="2"/>
  <c r="C52" i="2"/>
  <c r="G52" i="2"/>
  <c r="I52" i="2"/>
  <c r="J52" i="2"/>
  <c r="L52" i="2"/>
  <c r="M52" i="2"/>
  <c r="A53" i="2"/>
  <c r="B53" i="2"/>
  <c r="C53" i="2"/>
  <c r="G53" i="2"/>
  <c r="I53" i="2"/>
  <c r="J53" i="2"/>
  <c r="L53" i="2"/>
  <c r="M53" i="2"/>
  <c r="A54" i="2"/>
  <c r="B54" i="2"/>
  <c r="C54" i="2"/>
  <c r="G54" i="2"/>
  <c r="I54" i="2"/>
  <c r="J54" i="2"/>
  <c r="L54" i="2"/>
  <c r="M54" i="2"/>
  <c r="A55" i="2"/>
  <c r="B55" i="2"/>
  <c r="C55" i="2"/>
  <c r="G55" i="2"/>
  <c r="I55" i="2"/>
  <c r="J55" i="2"/>
  <c r="L55" i="2"/>
  <c r="M55" i="2"/>
  <c r="A56" i="2"/>
  <c r="B56" i="2"/>
  <c r="C56" i="2"/>
  <c r="G56" i="2"/>
  <c r="I56" i="2"/>
  <c r="J56" i="2"/>
  <c r="L56" i="2"/>
  <c r="M56" i="2"/>
  <c r="A57" i="2"/>
  <c r="B57" i="2"/>
  <c r="C57" i="2"/>
  <c r="G57" i="2"/>
  <c r="I57" i="2"/>
  <c r="J57" i="2"/>
  <c r="L57" i="2"/>
  <c r="M57" i="2"/>
  <c r="A58" i="2"/>
  <c r="B58" i="2"/>
  <c r="C58" i="2"/>
  <c r="G58" i="2"/>
  <c r="I58" i="2"/>
  <c r="J58" i="2"/>
  <c r="L58" i="2"/>
  <c r="M58" i="2"/>
  <c r="A59" i="2"/>
  <c r="B59" i="2"/>
  <c r="C59" i="2"/>
  <c r="G59" i="2"/>
  <c r="I59" i="2"/>
  <c r="J59" i="2"/>
  <c r="L59" i="2"/>
  <c r="M59" i="2"/>
  <c r="A60" i="2"/>
  <c r="B60" i="2"/>
  <c r="C60" i="2"/>
  <c r="G60" i="2"/>
  <c r="I60" i="2"/>
  <c r="J60" i="2"/>
  <c r="L60" i="2"/>
  <c r="M60" i="2"/>
  <c r="A61" i="2"/>
  <c r="B61" i="2"/>
  <c r="C61" i="2"/>
  <c r="G61" i="2"/>
  <c r="I61" i="2"/>
  <c r="J61" i="2"/>
  <c r="L61" i="2"/>
  <c r="M61" i="2"/>
  <c r="A62" i="2"/>
  <c r="B62" i="2"/>
  <c r="C62" i="2"/>
  <c r="G62" i="2"/>
  <c r="I62" i="2"/>
  <c r="J62" i="2"/>
  <c r="L62" i="2"/>
  <c r="M62" i="2"/>
  <c r="A63" i="2"/>
  <c r="B63" i="2"/>
  <c r="C63" i="2"/>
  <c r="G63" i="2"/>
  <c r="I63" i="2"/>
  <c r="J63" i="2"/>
  <c r="L63" i="2"/>
  <c r="M63" i="2"/>
  <c r="A64" i="2"/>
  <c r="B64" i="2"/>
  <c r="C64" i="2"/>
  <c r="G64" i="2"/>
  <c r="I64" i="2"/>
  <c r="J64" i="2"/>
  <c r="L64" i="2"/>
  <c r="M64" i="2"/>
  <c r="A65" i="2"/>
  <c r="B65" i="2"/>
  <c r="C65" i="2"/>
  <c r="G65" i="2"/>
  <c r="I65" i="2"/>
  <c r="J65" i="2"/>
  <c r="L65" i="2"/>
  <c r="M65" i="2"/>
  <c r="A66" i="2"/>
  <c r="B66" i="2"/>
  <c r="C66" i="2"/>
  <c r="G66" i="2"/>
  <c r="I66" i="2"/>
  <c r="J66" i="2"/>
  <c r="L66" i="2"/>
  <c r="M66" i="2"/>
  <c r="A67" i="2"/>
  <c r="B67" i="2"/>
  <c r="C67" i="2"/>
  <c r="G67" i="2"/>
  <c r="I67" i="2"/>
  <c r="J67" i="2"/>
  <c r="L67" i="2"/>
  <c r="M67" i="2"/>
  <c r="A68" i="2"/>
  <c r="B68" i="2"/>
  <c r="C68" i="2"/>
  <c r="G68" i="2"/>
  <c r="I68" i="2"/>
  <c r="J68" i="2"/>
  <c r="L68" i="2"/>
  <c r="M68" i="2"/>
  <c r="A69" i="2"/>
  <c r="B69" i="2"/>
  <c r="C69" i="2"/>
  <c r="G69" i="2"/>
  <c r="I69" i="2"/>
  <c r="J69" i="2"/>
  <c r="L69" i="2"/>
  <c r="M69" i="2"/>
  <c r="A70" i="2"/>
  <c r="B70" i="2"/>
  <c r="C70" i="2"/>
  <c r="G70" i="2"/>
  <c r="I70" i="2"/>
  <c r="J70" i="2"/>
  <c r="L70" i="2"/>
  <c r="M70" i="2"/>
  <c r="A71" i="2"/>
  <c r="B71" i="2"/>
  <c r="C71" i="2"/>
  <c r="G71" i="2"/>
  <c r="I71" i="2"/>
  <c r="J71" i="2"/>
  <c r="L71" i="2"/>
  <c r="M71" i="2"/>
  <c r="A72" i="2"/>
  <c r="B72" i="2"/>
  <c r="C72" i="2"/>
  <c r="G72" i="2"/>
  <c r="I72" i="2"/>
  <c r="J72" i="2"/>
  <c r="L72" i="2"/>
  <c r="M72" i="2"/>
  <c r="A73" i="2"/>
  <c r="B73" i="2"/>
  <c r="C73" i="2"/>
  <c r="G73" i="2"/>
  <c r="I73" i="2"/>
  <c r="J73" i="2"/>
  <c r="L73" i="2"/>
  <c r="M73" i="2"/>
  <c r="A74" i="2"/>
  <c r="B74" i="2"/>
  <c r="C74" i="2"/>
  <c r="G74" i="2"/>
  <c r="I74" i="2"/>
  <c r="J74" i="2"/>
  <c r="L74" i="2"/>
  <c r="M74" i="2"/>
  <c r="A75" i="2"/>
  <c r="B75" i="2"/>
  <c r="C75" i="2"/>
  <c r="G75" i="2"/>
  <c r="I75" i="2"/>
  <c r="J75" i="2"/>
  <c r="L75" i="2"/>
  <c r="M75" i="2"/>
  <c r="A76" i="2"/>
  <c r="B76" i="2"/>
  <c r="C76" i="2"/>
  <c r="G76" i="2"/>
  <c r="I76" i="2"/>
  <c r="J76" i="2"/>
  <c r="L76" i="2"/>
  <c r="M76" i="2"/>
  <c r="A77" i="2"/>
  <c r="B77" i="2"/>
  <c r="C77" i="2"/>
  <c r="G77" i="2"/>
  <c r="I77" i="2"/>
  <c r="J77" i="2"/>
  <c r="L77" i="2"/>
  <c r="M77" i="2"/>
  <c r="A78" i="2"/>
  <c r="B78" i="2"/>
  <c r="C78" i="2"/>
  <c r="G78" i="2"/>
  <c r="I78" i="2"/>
  <c r="J78" i="2"/>
  <c r="L78" i="2"/>
  <c r="M78" i="2"/>
  <c r="A79" i="2"/>
  <c r="B79" i="2"/>
  <c r="C79" i="2"/>
  <c r="G79" i="2"/>
  <c r="I79" i="2"/>
  <c r="J79" i="2"/>
  <c r="L79" i="2"/>
  <c r="M79" i="2"/>
  <c r="A80" i="2"/>
  <c r="B80" i="2"/>
  <c r="C80" i="2"/>
  <c r="G80" i="2"/>
  <c r="I80" i="2"/>
  <c r="J80" i="2"/>
  <c r="L80" i="2"/>
  <c r="M80" i="2"/>
  <c r="A81" i="2"/>
  <c r="B81" i="2"/>
  <c r="C81" i="2"/>
  <c r="G81" i="2"/>
  <c r="I81" i="2"/>
  <c r="J81" i="2"/>
  <c r="L81" i="2"/>
  <c r="M81" i="2"/>
  <c r="A82" i="2"/>
  <c r="B82" i="2"/>
  <c r="C82" i="2"/>
  <c r="G82" i="2"/>
  <c r="I82" i="2"/>
  <c r="J82" i="2"/>
  <c r="L82" i="2"/>
  <c r="M82" i="2"/>
  <c r="A83" i="2"/>
  <c r="B83" i="2"/>
  <c r="C83" i="2"/>
  <c r="G83" i="2"/>
  <c r="I83" i="2"/>
  <c r="J83" i="2"/>
  <c r="L83" i="2"/>
  <c r="M83" i="2"/>
  <c r="A84" i="2"/>
  <c r="B84" i="2"/>
  <c r="C84" i="2"/>
  <c r="G84" i="2"/>
  <c r="I84" i="2"/>
  <c r="J84" i="2"/>
  <c r="L84" i="2"/>
  <c r="M84" i="2"/>
  <c r="A85" i="2"/>
  <c r="B85" i="2"/>
  <c r="C85" i="2"/>
  <c r="G85" i="2"/>
  <c r="I85" i="2"/>
  <c r="J85" i="2"/>
  <c r="L85" i="2"/>
  <c r="M85" i="2"/>
  <c r="A86" i="2"/>
  <c r="B86" i="2"/>
  <c r="C86" i="2"/>
  <c r="G86" i="2"/>
  <c r="I86" i="2"/>
  <c r="J86" i="2"/>
  <c r="L86" i="2"/>
  <c r="M86" i="2"/>
  <c r="A87" i="2"/>
  <c r="B87" i="2"/>
  <c r="C87" i="2"/>
  <c r="G87" i="2"/>
  <c r="I87" i="2"/>
  <c r="J87" i="2"/>
  <c r="L87" i="2"/>
  <c r="M87" i="2"/>
  <c r="A88" i="2"/>
  <c r="B88" i="2"/>
  <c r="C88" i="2"/>
  <c r="G88" i="2"/>
  <c r="I88" i="2"/>
  <c r="J88" i="2"/>
  <c r="L88" i="2"/>
  <c r="M88" i="2"/>
  <c r="A89" i="2"/>
  <c r="B89" i="2"/>
  <c r="C89" i="2"/>
  <c r="G89" i="2"/>
  <c r="I89" i="2"/>
  <c r="J89" i="2"/>
  <c r="L89" i="2"/>
  <c r="M89" i="2"/>
  <c r="A90" i="2"/>
  <c r="B90" i="2"/>
  <c r="C90" i="2"/>
  <c r="G90" i="2"/>
  <c r="I90" i="2"/>
  <c r="J90" i="2"/>
  <c r="L90" i="2"/>
  <c r="M90" i="2"/>
  <c r="A91" i="2"/>
  <c r="B91" i="2"/>
  <c r="C91" i="2"/>
  <c r="G91" i="2"/>
  <c r="I91" i="2"/>
  <c r="J91" i="2"/>
  <c r="L91" i="2"/>
  <c r="M91" i="2"/>
  <c r="A92" i="2"/>
  <c r="B92" i="2"/>
  <c r="C92" i="2"/>
  <c r="G92" i="2"/>
  <c r="I92" i="2"/>
  <c r="J92" i="2"/>
  <c r="L92" i="2"/>
  <c r="M92" i="2"/>
  <c r="A93" i="2"/>
  <c r="B93" i="2"/>
  <c r="C93" i="2"/>
  <c r="G93" i="2"/>
  <c r="I93" i="2"/>
  <c r="J93" i="2"/>
  <c r="L93" i="2"/>
  <c r="M93" i="2"/>
  <c r="A94" i="2"/>
  <c r="B94" i="2"/>
  <c r="C94" i="2"/>
  <c r="G94" i="2"/>
  <c r="I94" i="2"/>
  <c r="J94" i="2"/>
  <c r="L94" i="2"/>
  <c r="M94" i="2"/>
  <c r="A95" i="2"/>
  <c r="B95" i="2"/>
  <c r="C95" i="2"/>
  <c r="G95" i="2"/>
  <c r="I95" i="2"/>
  <c r="J95" i="2"/>
  <c r="L95" i="2"/>
  <c r="M95" i="2"/>
  <c r="A96" i="2"/>
  <c r="B96" i="2"/>
  <c r="C96" i="2"/>
  <c r="G96" i="2"/>
  <c r="I96" i="2"/>
  <c r="J96" i="2"/>
  <c r="L96" i="2"/>
  <c r="M96" i="2"/>
  <c r="A97" i="2"/>
  <c r="B97" i="2"/>
  <c r="C97" i="2"/>
  <c r="G97" i="2"/>
  <c r="I97" i="2"/>
  <c r="J97" i="2"/>
  <c r="L97" i="2"/>
  <c r="M97" i="2"/>
  <c r="A98" i="2"/>
  <c r="B98" i="2"/>
  <c r="C98" i="2"/>
  <c r="G98" i="2"/>
  <c r="I98" i="2"/>
  <c r="J98" i="2"/>
  <c r="L98" i="2"/>
  <c r="M98" i="2"/>
  <c r="A99" i="2"/>
  <c r="B99" i="2"/>
  <c r="C99" i="2"/>
  <c r="G99" i="2"/>
  <c r="I99" i="2"/>
  <c r="J99" i="2"/>
  <c r="L99" i="2"/>
  <c r="M99" i="2"/>
  <c r="A100" i="2"/>
  <c r="B100" i="2"/>
  <c r="C100" i="2"/>
  <c r="G100" i="2"/>
  <c r="I100" i="2"/>
  <c r="J100" i="2"/>
  <c r="L100" i="2"/>
  <c r="M100" i="2"/>
  <c r="A101" i="2"/>
  <c r="B101" i="2"/>
  <c r="C101" i="2"/>
  <c r="G101" i="2"/>
  <c r="I101" i="2"/>
  <c r="J101" i="2"/>
  <c r="L101" i="2"/>
  <c r="M101" i="2"/>
  <c r="A102" i="2"/>
  <c r="B102" i="2"/>
  <c r="C102" i="2"/>
  <c r="G102" i="2"/>
  <c r="I102" i="2"/>
  <c r="J102" i="2"/>
  <c r="L102" i="2"/>
  <c r="M102" i="2"/>
  <c r="A103" i="2"/>
  <c r="B103" i="2"/>
  <c r="C103" i="2"/>
  <c r="G103" i="2"/>
  <c r="I103" i="2"/>
  <c r="J103" i="2"/>
  <c r="L103" i="2"/>
  <c r="M103" i="2"/>
  <c r="A104" i="2"/>
  <c r="B104" i="2"/>
  <c r="C104" i="2"/>
  <c r="G104" i="2"/>
  <c r="I104" i="2"/>
  <c r="J104" i="2"/>
  <c r="L104" i="2"/>
  <c r="M104" i="2"/>
  <c r="A105" i="2"/>
  <c r="B105" i="2"/>
  <c r="C105" i="2"/>
  <c r="G105" i="2"/>
  <c r="I105" i="2"/>
  <c r="J105" i="2"/>
  <c r="L105" i="2"/>
  <c r="M105" i="2"/>
  <c r="A106" i="2"/>
  <c r="B106" i="2"/>
  <c r="C106" i="2"/>
  <c r="G106" i="2"/>
  <c r="I106" i="2"/>
  <c r="J106" i="2"/>
  <c r="L106" i="2"/>
  <c r="M106" i="2"/>
  <c r="A107" i="2"/>
  <c r="B107" i="2"/>
  <c r="C107" i="2"/>
  <c r="G107" i="2"/>
  <c r="I107" i="2"/>
  <c r="J107" i="2"/>
  <c r="L107" i="2"/>
  <c r="M107" i="2"/>
  <c r="A108" i="2"/>
  <c r="B108" i="2"/>
  <c r="C108" i="2"/>
  <c r="G108" i="2"/>
  <c r="I108" i="2"/>
  <c r="J108" i="2"/>
  <c r="L108" i="2"/>
  <c r="M108" i="2"/>
  <c r="A109" i="2"/>
  <c r="B109" i="2"/>
  <c r="C109" i="2"/>
  <c r="G109" i="2"/>
  <c r="I109" i="2"/>
  <c r="J109" i="2"/>
  <c r="L109" i="2"/>
  <c r="M109" i="2"/>
  <c r="A110" i="2"/>
  <c r="B110" i="2"/>
  <c r="C110" i="2"/>
  <c r="G110" i="2"/>
  <c r="I110" i="2"/>
  <c r="J110" i="2"/>
  <c r="L110" i="2"/>
  <c r="M110" i="2"/>
  <c r="A111" i="2"/>
  <c r="B111" i="2"/>
  <c r="C111" i="2"/>
  <c r="G111" i="2"/>
  <c r="I111" i="2"/>
  <c r="J111" i="2"/>
  <c r="L111" i="2"/>
  <c r="M111" i="2"/>
  <c r="A112" i="2"/>
  <c r="B112" i="2"/>
  <c r="C112" i="2"/>
  <c r="G112" i="2"/>
  <c r="I112" i="2"/>
  <c r="J112" i="2"/>
  <c r="L112" i="2"/>
  <c r="M112" i="2"/>
  <c r="A113" i="2"/>
  <c r="B113" i="2"/>
  <c r="C113" i="2"/>
  <c r="G113" i="2"/>
  <c r="I113" i="2"/>
  <c r="J113" i="2"/>
  <c r="L113" i="2"/>
  <c r="M113" i="2"/>
  <c r="A114" i="2"/>
  <c r="B114" i="2"/>
  <c r="C114" i="2"/>
  <c r="G114" i="2"/>
  <c r="I114" i="2"/>
  <c r="J114" i="2"/>
  <c r="L114" i="2"/>
  <c r="M114" i="2"/>
  <c r="A115" i="2"/>
  <c r="B115" i="2"/>
  <c r="C115" i="2"/>
  <c r="G115" i="2"/>
  <c r="I115" i="2"/>
  <c r="J115" i="2"/>
  <c r="L115" i="2"/>
  <c r="M115" i="2"/>
  <c r="A116" i="2"/>
  <c r="B116" i="2"/>
  <c r="C116" i="2"/>
  <c r="G116" i="2"/>
  <c r="I116" i="2"/>
  <c r="J116" i="2"/>
  <c r="L116" i="2"/>
  <c r="M116" i="2"/>
  <c r="A117" i="2"/>
  <c r="B117" i="2"/>
  <c r="C117" i="2"/>
  <c r="G117" i="2"/>
  <c r="I117" i="2"/>
  <c r="J117" i="2"/>
  <c r="L117" i="2"/>
  <c r="M117" i="2"/>
  <c r="A118" i="2"/>
  <c r="B118" i="2"/>
  <c r="C118" i="2"/>
  <c r="G118" i="2"/>
  <c r="I118" i="2"/>
  <c r="J118" i="2"/>
  <c r="L118" i="2"/>
  <c r="M118" i="2"/>
  <c r="A125" i="2"/>
  <c r="B125" i="2"/>
  <c r="C125" i="2"/>
  <c r="G125" i="2"/>
  <c r="I125" i="2"/>
  <c r="J125" i="2"/>
  <c r="L125" i="2"/>
  <c r="M125" i="2"/>
  <c r="A126" i="2"/>
  <c r="B126" i="2"/>
  <c r="C126" i="2"/>
  <c r="G126" i="2"/>
  <c r="I126" i="2"/>
  <c r="J126" i="2"/>
  <c r="L126" i="2"/>
  <c r="M126" i="2"/>
  <c r="A127" i="2"/>
  <c r="B127" i="2"/>
  <c r="C127" i="2"/>
  <c r="G127" i="2"/>
  <c r="I127" i="2"/>
  <c r="J127" i="2"/>
  <c r="L127" i="2"/>
  <c r="M127" i="2"/>
  <c r="A128" i="2"/>
  <c r="B128" i="2"/>
  <c r="C128" i="2"/>
  <c r="G128" i="2"/>
  <c r="I128" i="2"/>
  <c r="J128" i="2"/>
  <c r="L128" i="2"/>
  <c r="M128" i="2"/>
  <c r="A129" i="2"/>
  <c r="B129" i="2"/>
  <c r="C129" i="2"/>
  <c r="G129" i="2"/>
  <c r="I129" i="2"/>
  <c r="J129" i="2"/>
  <c r="L129" i="2"/>
  <c r="M129" i="2"/>
  <c r="A130" i="2"/>
  <c r="B130" i="2"/>
  <c r="C130" i="2"/>
  <c r="G130" i="2"/>
  <c r="I130" i="2"/>
  <c r="J130" i="2"/>
  <c r="L130" i="2"/>
  <c r="M130" i="2"/>
  <c r="A131" i="2"/>
  <c r="B131" i="2"/>
  <c r="C131" i="2"/>
  <c r="G131" i="2"/>
  <c r="I131" i="2"/>
  <c r="J131" i="2"/>
  <c r="L131" i="2"/>
  <c r="M131" i="2"/>
  <c r="A132" i="2"/>
  <c r="B132" i="2"/>
  <c r="C132" i="2"/>
  <c r="G132" i="2"/>
  <c r="I132" i="2"/>
  <c r="J132" i="2"/>
  <c r="L132" i="2"/>
  <c r="M132" i="2"/>
  <c r="A133" i="2"/>
  <c r="B133" i="2"/>
  <c r="C133" i="2"/>
  <c r="G133" i="2"/>
  <c r="I133" i="2"/>
  <c r="J133" i="2"/>
  <c r="L133" i="2"/>
  <c r="M133" i="2"/>
  <c r="A134" i="2"/>
  <c r="B134" i="2"/>
  <c r="C134" i="2"/>
  <c r="G134" i="2"/>
  <c r="I134" i="2"/>
  <c r="J134" i="2"/>
  <c r="L134" i="2"/>
  <c r="M134" i="2"/>
  <c r="A135" i="2"/>
  <c r="B135" i="2"/>
  <c r="C135" i="2"/>
  <c r="G135" i="2"/>
  <c r="I135" i="2"/>
  <c r="J135" i="2"/>
  <c r="L135" i="2"/>
  <c r="M135" i="2"/>
  <c r="A136" i="2"/>
  <c r="B136" i="2"/>
  <c r="C136" i="2"/>
  <c r="G136" i="2"/>
  <c r="I136" i="2"/>
  <c r="J136" i="2"/>
  <c r="L136" i="2"/>
  <c r="M136" i="2"/>
  <c r="A137" i="2"/>
  <c r="B137" i="2"/>
  <c r="C137" i="2"/>
  <c r="G137" i="2"/>
  <c r="I137" i="2"/>
  <c r="J137" i="2"/>
  <c r="L137" i="2"/>
  <c r="M137" i="2"/>
  <c r="A138" i="2"/>
  <c r="B138" i="2"/>
  <c r="C138" i="2"/>
  <c r="G138" i="2"/>
  <c r="I138" i="2"/>
  <c r="J138" i="2"/>
  <c r="L138" i="2"/>
  <c r="M138" i="2"/>
  <c r="A139" i="2"/>
  <c r="B139" i="2"/>
  <c r="C139" i="2"/>
  <c r="G139" i="2"/>
  <c r="I139" i="2"/>
  <c r="J139" i="2"/>
  <c r="L139" i="2"/>
  <c r="M139" i="2"/>
  <c r="A140" i="2"/>
  <c r="B140" i="2"/>
  <c r="C140" i="2"/>
  <c r="G140" i="2"/>
  <c r="I140" i="2"/>
  <c r="J140" i="2"/>
  <c r="L140" i="2"/>
  <c r="M140" i="2"/>
  <c r="A141" i="2"/>
  <c r="B141" i="2"/>
  <c r="C141" i="2"/>
  <c r="G141" i="2"/>
  <c r="I141" i="2"/>
  <c r="J141" i="2"/>
  <c r="L141" i="2"/>
  <c r="M141" i="2"/>
  <c r="A142" i="2"/>
  <c r="B142" i="2"/>
  <c r="C142" i="2"/>
  <c r="G142" i="2"/>
  <c r="I142" i="2"/>
  <c r="J142" i="2"/>
  <c r="L142" i="2"/>
  <c r="M142" i="2"/>
  <c r="A143" i="2"/>
  <c r="B143" i="2"/>
  <c r="C143" i="2"/>
  <c r="G143" i="2"/>
  <c r="I143" i="2"/>
  <c r="J143" i="2"/>
  <c r="L143" i="2"/>
  <c r="M143" i="2"/>
  <c r="A144" i="2"/>
  <c r="B144" i="2"/>
  <c r="C144" i="2"/>
  <c r="G144" i="2"/>
  <c r="I144" i="2"/>
  <c r="J144" i="2"/>
  <c r="L144" i="2"/>
  <c r="M144" i="2"/>
  <c r="A145" i="2"/>
  <c r="B145" i="2"/>
  <c r="C145" i="2"/>
  <c r="G145" i="2"/>
  <c r="I145" i="2"/>
  <c r="J145" i="2"/>
  <c r="L145" i="2"/>
  <c r="M145" i="2"/>
  <c r="A146" i="2"/>
  <c r="B146" i="2"/>
  <c r="C146" i="2"/>
  <c r="G146" i="2"/>
  <c r="I146" i="2"/>
  <c r="J146" i="2"/>
  <c r="L146" i="2"/>
  <c r="M146" i="2"/>
  <c r="A147" i="2"/>
  <c r="B147" i="2"/>
  <c r="C147" i="2"/>
  <c r="G147" i="2"/>
  <c r="I147" i="2"/>
  <c r="J147" i="2"/>
  <c r="L147" i="2"/>
  <c r="M147" i="2"/>
  <c r="A148" i="2"/>
  <c r="B148" i="2"/>
  <c r="C148" i="2"/>
  <c r="G148" i="2"/>
  <c r="I148" i="2"/>
  <c r="J148" i="2"/>
  <c r="L148" i="2"/>
  <c r="M148" i="2"/>
  <c r="A149" i="2"/>
  <c r="B149" i="2"/>
  <c r="C149" i="2"/>
  <c r="G149" i="2"/>
  <c r="I149" i="2"/>
  <c r="J149" i="2"/>
  <c r="K149" i="2"/>
  <c r="L149" i="2"/>
  <c r="M149" i="2"/>
  <c r="A150" i="2"/>
  <c r="B150" i="2"/>
  <c r="C150" i="2"/>
  <c r="G150" i="2"/>
  <c r="I150" i="2"/>
  <c r="J150" i="2"/>
  <c r="K150" i="2"/>
  <c r="L150" i="2"/>
  <c r="M150" i="2"/>
  <c r="A151" i="2"/>
  <c r="B151" i="2"/>
  <c r="C151" i="2"/>
  <c r="G151" i="2"/>
  <c r="I151" i="2"/>
  <c r="J151" i="2"/>
  <c r="K151" i="2"/>
  <c r="L151" i="2"/>
  <c r="M151" i="2"/>
  <c r="A152" i="2"/>
  <c r="B152" i="2"/>
  <c r="C152" i="2"/>
  <c r="G152" i="2"/>
  <c r="I152" i="2"/>
  <c r="J152" i="2"/>
  <c r="K152" i="2"/>
  <c r="L152" i="2"/>
  <c r="M152" i="2"/>
  <c r="A153" i="2"/>
  <c r="B153" i="2"/>
  <c r="C153" i="2"/>
  <c r="G153" i="2"/>
  <c r="I153" i="2"/>
  <c r="J153" i="2"/>
  <c r="K153" i="2"/>
  <c r="L153" i="2"/>
  <c r="M153" i="2"/>
  <c r="A154" i="2"/>
  <c r="B154" i="2"/>
  <c r="C154" i="2"/>
  <c r="G154" i="2"/>
  <c r="I154" i="2"/>
  <c r="J154" i="2"/>
  <c r="K154" i="2"/>
  <c r="L154" i="2"/>
  <c r="M154" i="2"/>
  <c r="A155" i="2"/>
  <c r="B155" i="2"/>
  <c r="C155" i="2"/>
  <c r="G155" i="2"/>
  <c r="I155" i="2"/>
  <c r="J155" i="2"/>
  <c r="K155" i="2"/>
  <c r="L155" i="2"/>
  <c r="M155" i="2"/>
  <c r="A156" i="2"/>
  <c r="B156" i="2"/>
  <c r="C156" i="2"/>
  <c r="G156" i="2"/>
  <c r="I156" i="2"/>
  <c r="J156" i="2"/>
  <c r="K156" i="2"/>
  <c r="L156" i="2"/>
  <c r="M156" i="2"/>
  <c r="A157" i="2"/>
  <c r="B157" i="2"/>
  <c r="C157" i="2"/>
  <c r="G157" i="2"/>
  <c r="I157" i="2"/>
  <c r="J157" i="2"/>
  <c r="K157" i="2"/>
  <c r="L157" i="2"/>
  <c r="M157" i="2"/>
  <c r="A158" i="2"/>
  <c r="B158" i="2"/>
  <c r="C158" i="2"/>
  <c r="G158" i="2"/>
  <c r="I158" i="2"/>
  <c r="J158" i="2"/>
  <c r="K158" i="2"/>
  <c r="L158" i="2"/>
  <c r="M158" i="2"/>
  <c r="A159" i="2"/>
  <c r="B159" i="2"/>
  <c r="C159" i="2"/>
  <c r="G159" i="2"/>
  <c r="I159" i="2"/>
  <c r="J159" i="2"/>
  <c r="K159" i="2"/>
  <c r="L159" i="2"/>
  <c r="M159" i="2"/>
  <c r="A160" i="2"/>
  <c r="B160" i="2"/>
  <c r="C160" i="2"/>
  <c r="G160" i="2"/>
  <c r="I160" i="2"/>
  <c r="J160" i="2"/>
  <c r="K160" i="2"/>
  <c r="L160" i="2"/>
  <c r="M160" i="2"/>
  <c r="A161" i="2"/>
  <c r="B161" i="2"/>
  <c r="C161" i="2"/>
  <c r="G161" i="2"/>
  <c r="I161" i="2"/>
  <c r="J161" i="2"/>
  <c r="K161" i="2"/>
  <c r="L161" i="2"/>
  <c r="M161" i="2"/>
  <c r="A162" i="2"/>
  <c r="B162" i="2"/>
  <c r="C162" i="2"/>
  <c r="G162" i="2"/>
  <c r="I162" i="2"/>
  <c r="J162" i="2"/>
  <c r="K162" i="2"/>
  <c r="L162" i="2"/>
  <c r="M162" i="2"/>
  <c r="A163" i="2"/>
  <c r="B163" i="2"/>
  <c r="C163" i="2"/>
  <c r="G163" i="2"/>
  <c r="I163" i="2"/>
  <c r="J163" i="2"/>
  <c r="K163" i="2"/>
  <c r="L163" i="2"/>
  <c r="M163" i="2"/>
  <c r="A164" i="2"/>
  <c r="B164" i="2"/>
  <c r="C164" i="2"/>
  <c r="G164" i="2"/>
  <c r="I164" i="2"/>
  <c r="J164" i="2"/>
  <c r="K164" i="2"/>
  <c r="L164" i="2"/>
  <c r="M164" i="2"/>
  <c r="A165" i="2"/>
  <c r="B165" i="2"/>
  <c r="C165" i="2"/>
  <c r="G165" i="2"/>
  <c r="I165" i="2"/>
  <c r="J165" i="2"/>
  <c r="K165" i="2"/>
  <c r="L165" i="2"/>
  <c r="M165" i="2"/>
  <c r="A166" i="2"/>
  <c r="B166" i="2"/>
  <c r="C166" i="2"/>
  <c r="G166" i="2"/>
  <c r="I166" i="2"/>
  <c r="J166" i="2"/>
  <c r="K166" i="2"/>
  <c r="L166" i="2"/>
  <c r="M166" i="2"/>
  <c r="A167" i="2"/>
  <c r="B167" i="2"/>
  <c r="C167" i="2"/>
  <c r="G167" i="2"/>
  <c r="I167" i="2"/>
  <c r="J167" i="2"/>
  <c r="K167" i="2"/>
  <c r="L167" i="2"/>
  <c r="M167" i="2"/>
  <c r="A168" i="2"/>
  <c r="B168" i="2"/>
  <c r="C168" i="2"/>
  <c r="G168" i="2"/>
  <c r="I168" i="2"/>
  <c r="J168" i="2"/>
  <c r="K168" i="2"/>
  <c r="L168" i="2"/>
  <c r="M168" i="2"/>
  <c r="A169" i="2"/>
  <c r="B169" i="2"/>
  <c r="C169" i="2"/>
  <c r="G169" i="2"/>
  <c r="I169" i="2"/>
  <c r="J169" i="2"/>
  <c r="K169" i="2"/>
  <c r="L169" i="2"/>
  <c r="M169" i="2"/>
  <c r="A170" i="2"/>
  <c r="B170" i="2"/>
  <c r="C170" i="2"/>
  <c r="G170" i="2"/>
  <c r="I170" i="2"/>
  <c r="J170" i="2"/>
  <c r="K170" i="2"/>
  <c r="L170" i="2"/>
  <c r="M170" i="2"/>
  <c r="A171" i="2"/>
  <c r="B171" i="2"/>
  <c r="C171" i="2"/>
  <c r="G171" i="2"/>
  <c r="I171" i="2"/>
  <c r="J171" i="2"/>
  <c r="K171" i="2"/>
  <c r="L171" i="2"/>
  <c r="M171" i="2"/>
  <c r="A172" i="2"/>
  <c r="B172" i="2"/>
  <c r="C172" i="2"/>
  <c r="G172" i="2"/>
  <c r="I172" i="2"/>
  <c r="J172" i="2"/>
  <c r="K172" i="2"/>
  <c r="L172" i="2"/>
  <c r="M172" i="2"/>
  <c r="A173" i="2"/>
  <c r="B173" i="2"/>
  <c r="C173" i="2"/>
  <c r="G173" i="2"/>
  <c r="I173" i="2"/>
  <c r="J173" i="2"/>
  <c r="K173" i="2"/>
  <c r="L173" i="2"/>
  <c r="M173" i="2"/>
  <c r="A174" i="2"/>
  <c r="B174" i="2"/>
  <c r="C174" i="2"/>
  <c r="G174" i="2"/>
  <c r="I174" i="2"/>
  <c r="J174" i="2"/>
  <c r="K174" i="2"/>
  <c r="L174" i="2"/>
  <c r="M174" i="2"/>
  <c r="A175" i="2"/>
  <c r="B175" i="2"/>
  <c r="C175" i="2"/>
  <c r="G175" i="2"/>
  <c r="I175" i="2"/>
  <c r="J175" i="2"/>
  <c r="K175" i="2"/>
  <c r="L175" i="2"/>
  <c r="M175" i="2"/>
  <c r="A176" i="2"/>
  <c r="B176" i="2"/>
  <c r="C176" i="2"/>
  <c r="G176" i="2"/>
  <c r="I176" i="2"/>
  <c r="J176" i="2"/>
  <c r="K176" i="2"/>
  <c r="L176" i="2"/>
  <c r="M176" i="2"/>
  <c r="A177" i="2"/>
  <c r="B177" i="2"/>
  <c r="C177" i="2"/>
  <c r="G177" i="2"/>
  <c r="I177" i="2"/>
  <c r="J177" i="2"/>
  <c r="K177" i="2"/>
  <c r="L177" i="2"/>
  <c r="M177" i="2"/>
  <c r="A178" i="2"/>
  <c r="B178" i="2"/>
  <c r="C178" i="2"/>
  <c r="G178" i="2"/>
  <c r="I178" i="2"/>
  <c r="J178" i="2"/>
  <c r="K178" i="2"/>
  <c r="L178" i="2"/>
  <c r="M178" i="2"/>
  <c r="A179" i="2"/>
  <c r="B179" i="2"/>
  <c r="C179" i="2"/>
  <c r="G179" i="2"/>
  <c r="I179" i="2"/>
  <c r="J179" i="2"/>
  <c r="K179" i="2"/>
  <c r="L179" i="2"/>
  <c r="M179" i="2"/>
  <c r="A180" i="2"/>
  <c r="B180" i="2"/>
  <c r="C180" i="2"/>
  <c r="G180" i="2"/>
  <c r="I180" i="2"/>
  <c r="J180" i="2"/>
  <c r="K180" i="2"/>
  <c r="L180" i="2"/>
  <c r="M180" i="2"/>
  <c r="A181" i="2"/>
  <c r="B181" i="2"/>
  <c r="C181" i="2"/>
  <c r="G181" i="2"/>
  <c r="I181" i="2"/>
  <c r="J181" i="2"/>
  <c r="K181" i="2"/>
  <c r="L181" i="2"/>
  <c r="M181" i="2"/>
  <c r="A182" i="2"/>
  <c r="B182" i="2"/>
  <c r="C182" i="2"/>
  <c r="G182" i="2"/>
  <c r="I182" i="2"/>
  <c r="J182" i="2"/>
  <c r="K182" i="2"/>
  <c r="L182" i="2"/>
  <c r="M182" i="2"/>
  <c r="A183" i="2"/>
  <c r="B183" i="2"/>
  <c r="C183" i="2"/>
  <c r="G183" i="2"/>
  <c r="I183" i="2"/>
  <c r="J183" i="2"/>
  <c r="K183" i="2"/>
  <c r="L183" i="2"/>
  <c r="M183" i="2"/>
  <c r="A184" i="2"/>
  <c r="B184" i="2"/>
  <c r="C184" i="2"/>
  <c r="G184" i="2"/>
  <c r="I184" i="2"/>
  <c r="J184" i="2"/>
  <c r="K184" i="2"/>
  <c r="L184" i="2"/>
  <c r="M184" i="2"/>
  <c r="A185" i="2"/>
  <c r="B185" i="2"/>
  <c r="C185" i="2"/>
  <c r="G185" i="2"/>
  <c r="I185" i="2"/>
  <c r="J185" i="2"/>
  <c r="K185" i="2"/>
  <c r="L185" i="2"/>
  <c r="M185" i="2"/>
  <c r="A186" i="2"/>
  <c r="B186" i="2"/>
  <c r="C186" i="2"/>
  <c r="G186" i="2"/>
  <c r="I186" i="2"/>
  <c r="J186" i="2"/>
  <c r="K186" i="2"/>
  <c r="L186" i="2"/>
  <c r="M186" i="2"/>
  <c r="A187" i="2"/>
  <c r="B187" i="2"/>
  <c r="C187" i="2"/>
  <c r="G187" i="2"/>
  <c r="I187" i="2"/>
  <c r="J187" i="2"/>
  <c r="K187" i="2"/>
  <c r="L187" i="2"/>
  <c r="M187" i="2"/>
  <c r="A188" i="2"/>
  <c r="B188" i="2"/>
  <c r="C188" i="2"/>
  <c r="G188" i="2"/>
  <c r="I188" i="2"/>
  <c r="J188" i="2"/>
  <c r="K188" i="2"/>
  <c r="L188" i="2"/>
  <c r="M188" i="2"/>
  <c r="A189" i="2"/>
  <c r="B189" i="2"/>
  <c r="C189" i="2"/>
  <c r="G189" i="2"/>
  <c r="I189" i="2"/>
  <c r="J189" i="2"/>
  <c r="K189" i="2"/>
  <c r="L189" i="2"/>
  <c r="M189" i="2"/>
  <c r="A190" i="2"/>
  <c r="B190" i="2"/>
  <c r="C190" i="2"/>
  <c r="G190" i="2"/>
  <c r="I190" i="2"/>
  <c r="J190" i="2"/>
  <c r="K190" i="2"/>
  <c r="L190" i="2"/>
  <c r="M190" i="2"/>
  <c r="A191" i="2"/>
  <c r="B191" i="2"/>
  <c r="C191" i="2"/>
  <c r="G191" i="2"/>
  <c r="I191" i="2"/>
  <c r="J191" i="2"/>
  <c r="K191" i="2"/>
  <c r="L191" i="2"/>
  <c r="M191" i="2"/>
  <c r="A192" i="2"/>
  <c r="B192" i="2"/>
  <c r="C192" i="2"/>
  <c r="G192" i="2"/>
  <c r="I192" i="2"/>
  <c r="J192" i="2"/>
  <c r="K192" i="2"/>
  <c r="L192" i="2"/>
  <c r="M192" i="2"/>
  <c r="A193" i="2"/>
  <c r="B193" i="2"/>
  <c r="C193" i="2"/>
  <c r="G193" i="2"/>
  <c r="I193" i="2"/>
  <c r="J193" i="2"/>
  <c r="K193" i="2"/>
  <c r="L193" i="2"/>
  <c r="M193" i="2"/>
  <c r="A194" i="2"/>
  <c r="B194" i="2"/>
  <c r="C194" i="2"/>
  <c r="G194" i="2"/>
  <c r="I194" i="2"/>
  <c r="J194" i="2"/>
  <c r="K194" i="2"/>
  <c r="L194" i="2"/>
  <c r="M194" i="2"/>
  <c r="A195" i="2"/>
  <c r="B195" i="2"/>
  <c r="C195" i="2"/>
  <c r="G195" i="2"/>
  <c r="I195" i="2"/>
  <c r="J195" i="2"/>
  <c r="K195" i="2"/>
  <c r="L195" i="2"/>
  <c r="M195" i="2"/>
  <c r="A196" i="2"/>
  <c r="B196" i="2"/>
  <c r="C196" i="2"/>
  <c r="G196" i="2"/>
  <c r="I196" i="2"/>
  <c r="J196" i="2"/>
  <c r="K196" i="2"/>
  <c r="L196" i="2"/>
  <c r="M196" i="2"/>
  <c r="A197" i="2"/>
  <c r="B197" i="2"/>
  <c r="C197" i="2"/>
  <c r="G197" i="2"/>
  <c r="I197" i="2"/>
  <c r="J197" i="2"/>
  <c r="K197" i="2"/>
  <c r="L197" i="2"/>
  <c r="M197" i="2"/>
  <c r="A198" i="2"/>
  <c r="B198" i="2"/>
  <c r="C198" i="2"/>
  <c r="G198" i="2"/>
  <c r="I198" i="2"/>
  <c r="J198" i="2"/>
  <c r="K198" i="2"/>
  <c r="L198" i="2"/>
  <c r="M198" i="2"/>
  <c r="A199" i="2"/>
  <c r="B199" i="2"/>
  <c r="C199" i="2"/>
  <c r="G199" i="2"/>
  <c r="I199" i="2"/>
  <c r="J199" i="2"/>
  <c r="K199" i="2"/>
  <c r="L199" i="2"/>
  <c r="M199" i="2"/>
  <c r="A200" i="2"/>
  <c r="B200" i="2"/>
  <c r="C200" i="2"/>
  <c r="G200" i="2"/>
  <c r="I200" i="2"/>
  <c r="J200" i="2"/>
  <c r="K200" i="2"/>
  <c r="L200" i="2"/>
  <c r="M200" i="2"/>
  <c r="A201" i="2"/>
  <c r="B201" i="2"/>
  <c r="C201" i="2"/>
  <c r="G201" i="2"/>
  <c r="I201" i="2"/>
  <c r="J201" i="2"/>
  <c r="K201" i="2"/>
  <c r="L201" i="2"/>
  <c r="M201" i="2"/>
  <c r="A202" i="2"/>
  <c r="B202" i="2"/>
  <c r="C202" i="2"/>
  <c r="G202" i="2"/>
  <c r="I202" i="2"/>
  <c r="J202" i="2"/>
  <c r="K202" i="2"/>
  <c r="L202" i="2"/>
  <c r="M202" i="2"/>
  <c r="A203" i="2"/>
  <c r="B203" i="2"/>
  <c r="C203" i="2"/>
  <c r="G203" i="2"/>
  <c r="I203" i="2"/>
  <c r="J203" i="2"/>
  <c r="K203" i="2"/>
  <c r="L203" i="2"/>
  <c r="M203" i="2"/>
  <c r="A204" i="2"/>
  <c r="B204" i="2"/>
  <c r="C204" i="2"/>
  <c r="G204" i="2"/>
  <c r="I204" i="2"/>
  <c r="J204" i="2"/>
  <c r="K204" i="2"/>
  <c r="L204" i="2"/>
  <c r="M204" i="2"/>
  <c r="A205" i="2"/>
  <c r="B205" i="2"/>
  <c r="C205" i="2"/>
  <c r="G205" i="2"/>
  <c r="I205" i="2"/>
  <c r="J205" i="2"/>
  <c r="K205" i="2"/>
  <c r="L205" i="2"/>
  <c r="M205" i="2"/>
  <c r="A206" i="2"/>
  <c r="B206" i="2"/>
  <c r="C206" i="2"/>
  <c r="G206" i="2"/>
  <c r="I206" i="2"/>
  <c r="J206" i="2"/>
  <c r="K206" i="2"/>
  <c r="L206" i="2"/>
  <c r="M206" i="2"/>
  <c r="A207" i="2"/>
  <c r="B207" i="2"/>
  <c r="C207" i="2"/>
  <c r="G207" i="2"/>
  <c r="I207" i="2"/>
  <c r="J207" i="2"/>
  <c r="K207" i="2"/>
  <c r="L207" i="2"/>
  <c r="M207" i="2"/>
  <c r="A208" i="2"/>
  <c r="B208" i="2"/>
  <c r="C208" i="2"/>
  <c r="G208" i="2"/>
  <c r="I208" i="2"/>
  <c r="J208" i="2"/>
  <c r="K208" i="2"/>
  <c r="L208" i="2"/>
  <c r="M208" i="2"/>
  <c r="A209" i="2"/>
  <c r="B209" i="2"/>
  <c r="C209" i="2"/>
  <c r="G209" i="2"/>
  <c r="I209" i="2"/>
  <c r="J209" i="2"/>
  <c r="K209" i="2"/>
  <c r="L209" i="2"/>
  <c r="M209" i="2"/>
  <c r="A210" i="2"/>
  <c r="B210" i="2"/>
  <c r="C210" i="2"/>
  <c r="G210" i="2"/>
  <c r="I210" i="2"/>
  <c r="J210" i="2"/>
  <c r="K210" i="2"/>
  <c r="L210" i="2"/>
  <c r="M210" i="2"/>
  <c r="A211" i="2"/>
  <c r="B211" i="2"/>
  <c r="C211" i="2"/>
  <c r="G211" i="2"/>
  <c r="I211" i="2"/>
  <c r="J211" i="2"/>
  <c r="K211" i="2"/>
  <c r="L211" i="2"/>
  <c r="M211" i="2"/>
  <c r="A212" i="2"/>
  <c r="B212" i="2"/>
  <c r="C212" i="2"/>
  <c r="G212" i="2"/>
  <c r="I212" i="2"/>
  <c r="J212" i="2"/>
  <c r="K212" i="2"/>
  <c r="L212" i="2"/>
  <c r="M212" i="2"/>
  <c r="A213" i="2"/>
  <c r="B213" i="2"/>
  <c r="C213" i="2"/>
  <c r="G213" i="2"/>
  <c r="I213" i="2"/>
  <c r="J213" i="2"/>
  <c r="K213" i="2"/>
  <c r="L213" i="2"/>
  <c r="M213" i="2"/>
  <c r="A214" i="2"/>
  <c r="B214" i="2"/>
  <c r="C214" i="2"/>
  <c r="G214" i="2"/>
  <c r="I214" i="2"/>
  <c r="J214" i="2"/>
  <c r="K214" i="2"/>
  <c r="L214" i="2"/>
  <c r="M214" i="2"/>
  <c r="A215" i="2"/>
  <c r="B215" i="2"/>
  <c r="C215" i="2"/>
  <c r="G215" i="2"/>
  <c r="I215" i="2"/>
  <c r="J215" i="2"/>
  <c r="K215" i="2"/>
  <c r="L215" i="2"/>
  <c r="M215" i="2"/>
  <c r="A216" i="2"/>
  <c r="B216" i="2"/>
  <c r="C216" i="2"/>
  <c r="G216" i="2"/>
  <c r="I216" i="2"/>
  <c r="J216" i="2"/>
  <c r="K216" i="2"/>
  <c r="L216" i="2"/>
  <c r="M216" i="2"/>
  <c r="A217" i="2"/>
  <c r="B217" i="2"/>
  <c r="C217" i="2"/>
  <c r="G217" i="2"/>
  <c r="I217" i="2"/>
  <c r="J217" i="2"/>
  <c r="K217" i="2"/>
  <c r="L217" i="2"/>
  <c r="M217" i="2"/>
  <c r="A218" i="2"/>
  <c r="B218" i="2"/>
  <c r="C218" i="2"/>
  <c r="G218" i="2"/>
  <c r="I218" i="2"/>
  <c r="J218" i="2"/>
  <c r="K218" i="2"/>
  <c r="L218" i="2"/>
  <c r="M218" i="2"/>
  <c r="A219" i="2"/>
  <c r="B219" i="2"/>
  <c r="C219" i="2"/>
  <c r="G219" i="2"/>
  <c r="I219" i="2"/>
  <c r="J219" i="2"/>
  <c r="K219" i="2"/>
  <c r="L219" i="2"/>
  <c r="M219" i="2"/>
  <c r="A220" i="2"/>
  <c r="B220" i="2"/>
  <c r="C220" i="2"/>
  <c r="G220" i="2"/>
  <c r="I220" i="2"/>
  <c r="J220" i="2"/>
  <c r="K220" i="2"/>
  <c r="L220" i="2"/>
  <c r="M220" i="2"/>
  <c r="A221" i="2"/>
  <c r="B221" i="2"/>
  <c r="C221" i="2"/>
  <c r="G221" i="2"/>
  <c r="I221" i="2"/>
  <c r="J221" i="2"/>
  <c r="K221" i="2"/>
  <c r="L221" i="2"/>
  <c r="M221" i="2"/>
  <c r="A222" i="2"/>
  <c r="B222" i="2"/>
  <c r="C222" i="2"/>
  <c r="G222" i="2"/>
  <c r="I222" i="2"/>
  <c r="J222" i="2"/>
  <c r="K222" i="2"/>
  <c r="L222" i="2"/>
  <c r="M222" i="2"/>
  <c r="A223" i="2"/>
  <c r="B223" i="2"/>
  <c r="C223" i="2"/>
  <c r="G223" i="2"/>
  <c r="I223" i="2"/>
  <c r="J223" i="2"/>
  <c r="K223" i="2"/>
  <c r="L223" i="2"/>
  <c r="M223" i="2"/>
  <c r="A224" i="2"/>
  <c r="B224" i="2"/>
  <c r="C224" i="2"/>
  <c r="G224" i="2"/>
  <c r="I224" i="2"/>
  <c r="J224" i="2"/>
  <c r="K224" i="2"/>
  <c r="L224" i="2"/>
  <c r="M224" i="2"/>
  <c r="A225" i="2"/>
  <c r="B225" i="2"/>
  <c r="C225" i="2"/>
  <c r="G225" i="2"/>
  <c r="I225" i="2"/>
  <c r="J225" i="2"/>
  <c r="K225" i="2"/>
  <c r="L225" i="2"/>
  <c r="M225" i="2"/>
  <c r="A226" i="2"/>
  <c r="B226" i="2"/>
  <c r="C226" i="2"/>
  <c r="G226" i="2"/>
  <c r="I226" i="2"/>
  <c r="J226" i="2"/>
  <c r="K226" i="2"/>
  <c r="L226" i="2"/>
  <c r="M226" i="2"/>
  <c r="A227" i="2"/>
  <c r="B227" i="2"/>
  <c r="C227" i="2"/>
  <c r="G227" i="2"/>
  <c r="I227" i="2"/>
  <c r="J227" i="2"/>
  <c r="K227" i="2"/>
  <c r="L227" i="2"/>
  <c r="M227" i="2"/>
  <c r="A228" i="2"/>
  <c r="B228" i="2"/>
  <c r="C228" i="2"/>
  <c r="G228" i="2"/>
  <c r="I228" i="2"/>
  <c r="J228" i="2"/>
  <c r="K228" i="2"/>
  <c r="L228" i="2"/>
  <c r="M228" i="2"/>
  <c r="A229" i="2"/>
  <c r="B229" i="2"/>
  <c r="C229" i="2"/>
  <c r="G229" i="2"/>
  <c r="I229" i="2"/>
  <c r="J229" i="2"/>
  <c r="K229" i="2"/>
  <c r="L229" i="2"/>
  <c r="M229" i="2"/>
  <c r="A230" i="2"/>
  <c r="B230" i="2"/>
  <c r="C230" i="2"/>
  <c r="G230" i="2"/>
  <c r="I230" i="2"/>
  <c r="J230" i="2"/>
  <c r="K230" i="2"/>
  <c r="L230" i="2"/>
  <c r="M230" i="2"/>
  <c r="A231" i="2"/>
  <c r="B231" i="2"/>
  <c r="C231" i="2"/>
  <c r="G231" i="2"/>
  <c r="I231" i="2"/>
  <c r="J231" i="2"/>
  <c r="K231" i="2"/>
  <c r="L231" i="2"/>
  <c r="M231" i="2"/>
  <c r="A232" i="2"/>
  <c r="B232" i="2"/>
  <c r="C232" i="2"/>
  <c r="G232" i="2"/>
  <c r="I232" i="2"/>
  <c r="J232" i="2"/>
  <c r="K232" i="2"/>
  <c r="L232" i="2"/>
  <c r="M232" i="2"/>
  <c r="A233" i="2"/>
  <c r="B233" i="2"/>
  <c r="C233" i="2"/>
  <c r="G233" i="2"/>
  <c r="I233" i="2"/>
  <c r="J233" i="2"/>
  <c r="K233" i="2"/>
  <c r="L233" i="2"/>
  <c r="M233" i="2"/>
  <c r="A234" i="2"/>
  <c r="B234" i="2"/>
  <c r="C234" i="2"/>
  <c r="G234" i="2"/>
  <c r="I234" i="2"/>
  <c r="J234" i="2"/>
  <c r="K234" i="2"/>
  <c r="L234" i="2"/>
  <c r="M234" i="2"/>
  <c r="A235" i="2"/>
  <c r="B235" i="2"/>
  <c r="C235" i="2"/>
  <c r="G235" i="2"/>
  <c r="I235" i="2"/>
  <c r="J235" i="2"/>
  <c r="K235" i="2"/>
  <c r="L235" i="2"/>
  <c r="M235" i="2"/>
  <c r="A236" i="2"/>
  <c r="B236" i="2"/>
  <c r="C236" i="2"/>
  <c r="G236" i="2"/>
  <c r="I236" i="2"/>
  <c r="J236" i="2"/>
  <c r="K236" i="2"/>
  <c r="L236" i="2"/>
  <c r="M236" i="2"/>
  <c r="A237" i="2"/>
  <c r="B237" i="2"/>
  <c r="C237" i="2"/>
  <c r="G237" i="2"/>
  <c r="I237" i="2"/>
  <c r="J237" i="2"/>
  <c r="K237" i="2"/>
  <c r="L237" i="2"/>
  <c r="M237" i="2"/>
  <c r="A238" i="2"/>
  <c r="B238" i="2"/>
  <c r="C238" i="2"/>
  <c r="G238" i="2"/>
  <c r="I238" i="2"/>
  <c r="J238" i="2"/>
  <c r="K238" i="2"/>
  <c r="L238" i="2"/>
  <c r="M238" i="2"/>
  <c r="A239" i="2"/>
  <c r="B239" i="2"/>
  <c r="C239" i="2"/>
  <c r="G239" i="2"/>
  <c r="I239" i="2"/>
  <c r="J239" i="2"/>
  <c r="K239" i="2"/>
  <c r="L239" i="2"/>
  <c r="M239" i="2"/>
  <c r="A240" i="2"/>
  <c r="B240" i="2"/>
  <c r="C240" i="2"/>
  <c r="G240" i="2"/>
  <c r="I240" i="2"/>
  <c r="J240" i="2"/>
  <c r="K240" i="2"/>
  <c r="L240" i="2"/>
  <c r="M240" i="2"/>
  <c r="A241" i="2"/>
  <c r="B241" i="2"/>
  <c r="C241" i="2"/>
  <c r="G241" i="2"/>
  <c r="I241" i="2"/>
  <c r="J241" i="2"/>
  <c r="K241" i="2"/>
  <c r="L241" i="2"/>
  <c r="M241" i="2"/>
  <c r="A242" i="2"/>
  <c r="B242" i="2"/>
  <c r="C242" i="2"/>
  <c r="G242" i="2"/>
  <c r="I242" i="2"/>
  <c r="J242" i="2"/>
  <c r="K242" i="2"/>
  <c r="L242" i="2"/>
  <c r="M242" i="2"/>
  <c r="A243" i="2"/>
  <c r="B243" i="2"/>
  <c r="C243" i="2"/>
  <c r="G243" i="2"/>
  <c r="I243" i="2"/>
  <c r="J243" i="2"/>
  <c r="K243" i="2"/>
  <c r="L243" i="2"/>
  <c r="M243" i="2"/>
  <c r="A244" i="2"/>
  <c r="B244" i="2"/>
  <c r="C244" i="2"/>
  <c r="G244" i="2"/>
  <c r="I244" i="2"/>
  <c r="J244" i="2"/>
  <c r="K244" i="2"/>
  <c r="L244" i="2"/>
  <c r="M244" i="2"/>
  <c r="A245" i="2"/>
  <c r="B245" i="2"/>
  <c r="C245" i="2"/>
  <c r="G245" i="2"/>
  <c r="I245" i="2"/>
  <c r="J245" i="2"/>
  <c r="K245" i="2"/>
  <c r="L245" i="2"/>
  <c r="M245" i="2"/>
  <c r="A246" i="2"/>
  <c r="B246" i="2"/>
  <c r="C246" i="2"/>
  <c r="G246" i="2"/>
  <c r="I246" i="2"/>
  <c r="J246" i="2"/>
  <c r="K246" i="2"/>
  <c r="L246" i="2"/>
  <c r="M246" i="2"/>
  <c r="A247" i="2"/>
  <c r="B247" i="2"/>
  <c r="C247" i="2"/>
  <c r="G247" i="2"/>
  <c r="I247" i="2"/>
  <c r="J247" i="2"/>
  <c r="K247" i="2"/>
  <c r="L247" i="2"/>
  <c r="M247" i="2"/>
  <c r="A248" i="2"/>
  <c r="B248" i="2"/>
  <c r="C248" i="2"/>
  <c r="G248" i="2"/>
  <c r="I248" i="2"/>
  <c r="J248" i="2"/>
  <c r="K248" i="2"/>
  <c r="L248" i="2"/>
  <c r="M248" i="2"/>
  <c r="A249" i="2"/>
  <c r="B249" i="2"/>
  <c r="C249" i="2"/>
  <c r="G249" i="2"/>
  <c r="I249" i="2"/>
  <c r="J249" i="2"/>
  <c r="K249" i="2"/>
  <c r="L249" i="2"/>
  <c r="M249" i="2"/>
  <c r="A250" i="2"/>
  <c r="B250" i="2"/>
  <c r="C250" i="2"/>
  <c r="G250" i="2"/>
  <c r="I250" i="2"/>
  <c r="J250" i="2"/>
  <c r="K250" i="2"/>
  <c r="L250" i="2"/>
  <c r="M250" i="2"/>
  <c r="A251" i="2"/>
  <c r="B251" i="2"/>
  <c r="C251" i="2"/>
  <c r="G251" i="2"/>
  <c r="I251" i="2"/>
  <c r="J251" i="2"/>
  <c r="K251" i="2"/>
  <c r="L251" i="2"/>
  <c r="M251" i="2"/>
  <c r="A252" i="2"/>
  <c r="B252" i="2"/>
  <c r="C252" i="2"/>
  <c r="G252" i="2"/>
  <c r="I252" i="2"/>
  <c r="J252" i="2"/>
  <c r="K252" i="2"/>
  <c r="L252" i="2"/>
  <c r="M252" i="2"/>
  <c r="A253" i="2"/>
  <c r="B253" i="2"/>
  <c r="C253" i="2"/>
  <c r="G253" i="2"/>
  <c r="I253" i="2"/>
  <c r="J253" i="2"/>
  <c r="K253" i="2"/>
  <c r="L253" i="2"/>
  <c r="M253" i="2"/>
  <c r="A254" i="2"/>
  <c r="B254" i="2"/>
  <c r="C254" i="2"/>
  <c r="G254" i="2"/>
  <c r="I254" i="2"/>
  <c r="J254" i="2"/>
  <c r="K254" i="2"/>
  <c r="L254" i="2"/>
  <c r="M254" i="2"/>
  <c r="A255" i="2"/>
  <c r="B255" i="2"/>
  <c r="C255" i="2"/>
  <c r="G255" i="2"/>
  <c r="I255" i="2"/>
  <c r="J255" i="2"/>
  <c r="K255" i="2"/>
  <c r="L255" i="2"/>
  <c r="M255" i="2"/>
  <c r="A256" i="2"/>
  <c r="B256" i="2"/>
  <c r="C256" i="2"/>
  <c r="G256" i="2"/>
  <c r="I256" i="2"/>
  <c r="J256" i="2"/>
  <c r="K256" i="2"/>
  <c r="L256" i="2"/>
  <c r="M256" i="2"/>
  <c r="A257" i="2"/>
  <c r="B257" i="2"/>
  <c r="C257" i="2"/>
  <c r="G257" i="2"/>
  <c r="I257" i="2"/>
  <c r="J257" i="2"/>
  <c r="K257" i="2"/>
  <c r="L257" i="2"/>
  <c r="M257" i="2"/>
  <c r="A258" i="2"/>
  <c r="B258" i="2"/>
  <c r="C258" i="2"/>
  <c r="G258" i="2"/>
  <c r="I258" i="2"/>
  <c r="J258" i="2"/>
  <c r="K258" i="2"/>
  <c r="L258" i="2"/>
  <c r="M258" i="2"/>
  <c r="A259" i="2"/>
  <c r="B259" i="2"/>
  <c r="C259" i="2"/>
  <c r="G259" i="2"/>
  <c r="I259" i="2"/>
  <c r="J259" i="2"/>
  <c r="K259" i="2"/>
  <c r="L259" i="2"/>
  <c r="M259" i="2"/>
  <c r="A260" i="2"/>
  <c r="B260" i="2"/>
  <c r="C260" i="2"/>
  <c r="G260" i="2"/>
  <c r="I260" i="2"/>
  <c r="J260" i="2"/>
  <c r="K260" i="2"/>
  <c r="L260" i="2"/>
  <c r="M260" i="2"/>
  <c r="A261" i="2"/>
  <c r="B261" i="2"/>
  <c r="C261" i="2"/>
  <c r="G261" i="2"/>
  <c r="I261" i="2"/>
  <c r="J261" i="2"/>
  <c r="K261" i="2"/>
  <c r="L261" i="2"/>
  <c r="M261" i="2"/>
  <c r="A262" i="2"/>
  <c r="B262" i="2"/>
  <c r="C262" i="2"/>
  <c r="G262" i="2"/>
  <c r="I262" i="2"/>
  <c r="J262" i="2"/>
  <c r="K262" i="2"/>
  <c r="L262" i="2"/>
  <c r="M262" i="2"/>
  <c r="A263" i="2"/>
  <c r="B263" i="2"/>
  <c r="C263" i="2"/>
  <c r="G263" i="2"/>
  <c r="I263" i="2"/>
  <c r="J263" i="2"/>
  <c r="K263" i="2"/>
  <c r="L263" i="2"/>
  <c r="M263" i="2"/>
  <c r="A264" i="2"/>
  <c r="B264" i="2"/>
  <c r="C264" i="2"/>
  <c r="G264" i="2"/>
  <c r="I264" i="2"/>
  <c r="J264" i="2"/>
  <c r="K264" i="2"/>
  <c r="L264" i="2"/>
  <c r="M264" i="2"/>
  <c r="A265" i="2"/>
  <c r="B265" i="2"/>
  <c r="C265" i="2"/>
  <c r="G265" i="2"/>
  <c r="I265" i="2"/>
  <c r="J265" i="2"/>
  <c r="K265" i="2"/>
  <c r="L265" i="2"/>
  <c r="M265" i="2"/>
  <c r="A266" i="2"/>
  <c r="B266" i="2"/>
  <c r="C266" i="2"/>
  <c r="G266" i="2"/>
  <c r="I266" i="2"/>
  <c r="J266" i="2"/>
  <c r="K266" i="2"/>
  <c r="L266" i="2"/>
  <c r="M266" i="2"/>
  <c r="A267" i="2"/>
  <c r="B267" i="2"/>
  <c r="C267" i="2"/>
  <c r="G267" i="2"/>
  <c r="I267" i="2"/>
  <c r="J267" i="2"/>
  <c r="K267" i="2"/>
  <c r="L267" i="2"/>
  <c r="M267" i="2"/>
  <c r="A268" i="2"/>
  <c r="B268" i="2"/>
  <c r="C268" i="2"/>
  <c r="G268" i="2"/>
  <c r="I268" i="2"/>
  <c r="J268" i="2"/>
  <c r="K268" i="2"/>
  <c r="L268" i="2"/>
  <c r="M268" i="2"/>
  <c r="A269" i="2"/>
  <c r="B269" i="2"/>
  <c r="C269" i="2"/>
  <c r="G269" i="2"/>
  <c r="I269" i="2"/>
  <c r="J269" i="2"/>
  <c r="K269" i="2"/>
  <c r="L269" i="2"/>
  <c r="M269" i="2"/>
  <c r="A270" i="2"/>
  <c r="B270" i="2"/>
  <c r="C270" i="2"/>
  <c r="G270" i="2"/>
  <c r="I270" i="2"/>
  <c r="J270" i="2"/>
  <c r="K270" i="2"/>
  <c r="L270" i="2"/>
  <c r="M270" i="2"/>
  <c r="A271" i="2"/>
  <c r="B271" i="2"/>
  <c r="C271" i="2"/>
  <c r="G271" i="2"/>
  <c r="I271" i="2"/>
  <c r="J271" i="2"/>
  <c r="K271" i="2"/>
  <c r="L271" i="2"/>
  <c r="M271" i="2"/>
  <c r="A272" i="2"/>
  <c r="B272" i="2"/>
  <c r="C272" i="2"/>
  <c r="G272" i="2"/>
  <c r="I272" i="2"/>
  <c r="J272" i="2"/>
  <c r="K272" i="2"/>
  <c r="L272" i="2"/>
  <c r="M272" i="2"/>
  <c r="A273" i="2"/>
  <c r="B273" i="2"/>
  <c r="C273" i="2"/>
  <c r="G273" i="2"/>
  <c r="I273" i="2"/>
  <c r="J273" i="2"/>
  <c r="K273" i="2"/>
  <c r="L273" i="2"/>
  <c r="M273" i="2"/>
  <c r="A274" i="2"/>
  <c r="B274" i="2"/>
  <c r="C274" i="2"/>
  <c r="G274" i="2"/>
  <c r="I274" i="2"/>
  <c r="J274" i="2"/>
  <c r="K274" i="2"/>
  <c r="L274" i="2"/>
  <c r="M274" i="2"/>
  <c r="A275" i="2"/>
  <c r="B275" i="2"/>
  <c r="C275" i="2"/>
  <c r="G275" i="2"/>
  <c r="I275" i="2"/>
  <c r="J275" i="2"/>
  <c r="K275" i="2"/>
  <c r="L275" i="2"/>
  <c r="M275" i="2"/>
  <c r="A276" i="2"/>
  <c r="B276" i="2"/>
  <c r="C276" i="2"/>
  <c r="G276" i="2"/>
  <c r="I276" i="2"/>
  <c r="J276" i="2"/>
  <c r="K276" i="2"/>
  <c r="L276" i="2"/>
  <c r="M276" i="2"/>
  <c r="A277" i="2"/>
  <c r="B277" i="2"/>
  <c r="C277" i="2"/>
  <c r="G277" i="2"/>
  <c r="I277" i="2"/>
  <c r="J277" i="2"/>
  <c r="K277" i="2"/>
  <c r="L277" i="2"/>
  <c r="M277" i="2"/>
  <c r="A278" i="2"/>
  <c r="B278" i="2"/>
  <c r="C278" i="2"/>
  <c r="G278" i="2"/>
  <c r="I278" i="2"/>
  <c r="J278" i="2"/>
  <c r="K278" i="2"/>
  <c r="L278" i="2"/>
  <c r="M278" i="2"/>
  <c r="A279" i="2"/>
  <c r="B279" i="2"/>
  <c r="C279" i="2"/>
  <c r="G279" i="2"/>
  <c r="I279" i="2"/>
  <c r="J279" i="2"/>
  <c r="K279" i="2"/>
  <c r="L279" i="2"/>
  <c r="M279" i="2"/>
  <c r="A280" i="2"/>
  <c r="B280" i="2"/>
  <c r="C280" i="2"/>
  <c r="G280" i="2"/>
  <c r="I280" i="2"/>
  <c r="J280" i="2"/>
  <c r="L280" i="2"/>
  <c r="M280" i="2"/>
  <c r="A281" i="2"/>
  <c r="B281" i="2"/>
  <c r="C281" i="2"/>
  <c r="G281" i="2"/>
  <c r="I281" i="2"/>
  <c r="J281" i="2"/>
  <c r="K281" i="2"/>
  <c r="L281" i="2"/>
  <c r="M281" i="2"/>
  <c r="A282" i="2"/>
  <c r="B282" i="2"/>
  <c r="C282" i="2"/>
  <c r="G282" i="2"/>
  <c r="I282" i="2"/>
  <c r="J282" i="2"/>
  <c r="K282" i="2"/>
  <c r="L282" i="2"/>
  <c r="M282" i="2"/>
  <c r="A283" i="2"/>
  <c r="B283" i="2"/>
  <c r="C283" i="2"/>
  <c r="G283" i="2"/>
  <c r="I283" i="2"/>
  <c r="J283" i="2"/>
  <c r="K283" i="2"/>
  <c r="L283" i="2"/>
  <c r="M283" i="2"/>
  <c r="A284" i="2"/>
  <c r="B284" i="2"/>
  <c r="C284" i="2"/>
  <c r="G284" i="2"/>
  <c r="I284" i="2"/>
  <c r="J284" i="2"/>
  <c r="K284" i="2"/>
  <c r="L284" i="2"/>
  <c r="M284" i="2"/>
  <c r="A285" i="2"/>
  <c r="B285" i="2"/>
  <c r="C285" i="2"/>
  <c r="G285" i="2"/>
  <c r="I285" i="2"/>
  <c r="J285" i="2"/>
  <c r="K285" i="2"/>
  <c r="L285" i="2"/>
  <c r="M285" i="2"/>
  <c r="A286" i="2"/>
  <c r="B286" i="2"/>
  <c r="C286" i="2"/>
  <c r="G286" i="2"/>
  <c r="I286" i="2"/>
  <c r="J286" i="2"/>
  <c r="K286" i="2"/>
  <c r="L286" i="2"/>
  <c r="M286" i="2"/>
  <c r="A287" i="2"/>
  <c r="B287" i="2"/>
  <c r="C287" i="2"/>
  <c r="G287" i="2"/>
  <c r="I287" i="2"/>
  <c r="J287" i="2"/>
  <c r="K287" i="2"/>
  <c r="L287" i="2"/>
  <c r="M287" i="2"/>
  <c r="A288" i="2"/>
  <c r="B288" i="2"/>
  <c r="C288" i="2"/>
  <c r="G288" i="2"/>
  <c r="I288" i="2"/>
  <c r="J288" i="2"/>
  <c r="K288" i="2"/>
  <c r="L288" i="2"/>
  <c r="M288" i="2"/>
  <c r="A289" i="2"/>
  <c r="B289" i="2"/>
  <c r="C289" i="2"/>
  <c r="G289" i="2"/>
  <c r="I289" i="2"/>
  <c r="J289" i="2"/>
  <c r="K289" i="2"/>
  <c r="L289" i="2"/>
  <c r="M289" i="2"/>
  <c r="A290" i="2"/>
  <c r="B290" i="2"/>
  <c r="C290" i="2"/>
  <c r="G290" i="2"/>
  <c r="I290" i="2"/>
  <c r="J290" i="2"/>
  <c r="K290" i="2"/>
  <c r="L290" i="2"/>
  <c r="M290" i="2"/>
  <c r="A291" i="2"/>
  <c r="B291" i="2"/>
  <c r="C291" i="2"/>
  <c r="G291" i="2"/>
  <c r="I291" i="2"/>
  <c r="J291" i="2"/>
  <c r="K291" i="2"/>
  <c r="L291" i="2"/>
  <c r="M291" i="2"/>
  <c r="A292" i="2"/>
  <c r="B292" i="2"/>
  <c r="C292" i="2"/>
  <c r="G292" i="2"/>
  <c r="I292" i="2"/>
  <c r="J292" i="2"/>
  <c r="K292" i="2"/>
  <c r="L292" i="2"/>
  <c r="M292" i="2"/>
  <c r="A293" i="2"/>
  <c r="B293" i="2"/>
  <c r="C293" i="2"/>
  <c r="G293" i="2"/>
  <c r="I293" i="2"/>
  <c r="J293" i="2"/>
  <c r="K293" i="2"/>
  <c r="L293" i="2"/>
  <c r="M293" i="2"/>
  <c r="A294" i="2"/>
  <c r="B294" i="2"/>
  <c r="C294" i="2"/>
  <c r="G294" i="2"/>
  <c r="I294" i="2"/>
  <c r="J294" i="2"/>
  <c r="K294" i="2"/>
  <c r="L294" i="2"/>
  <c r="M294" i="2"/>
  <c r="A295" i="2"/>
  <c r="B295" i="2"/>
  <c r="C295" i="2"/>
  <c r="G295" i="2"/>
  <c r="I295" i="2"/>
  <c r="J295" i="2"/>
  <c r="K295" i="2"/>
  <c r="L295" i="2"/>
  <c r="M295" i="2"/>
  <c r="A296" i="2"/>
  <c r="B296" i="2"/>
  <c r="C296" i="2"/>
  <c r="G296" i="2"/>
  <c r="I296" i="2"/>
  <c r="J296" i="2"/>
  <c r="K296" i="2"/>
  <c r="L296" i="2"/>
  <c r="M296" i="2"/>
  <c r="A297" i="2"/>
  <c r="B297" i="2"/>
  <c r="C297" i="2"/>
  <c r="G297" i="2"/>
  <c r="I297" i="2"/>
  <c r="J297" i="2"/>
  <c r="K297" i="2"/>
  <c r="L297" i="2"/>
  <c r="M297" i="2"/>
  <c r="A298" i="2"/>
  <c r="B298" i="2"/>
  <c r="C298" i="2"/>
  <c r="G298" i="2"/>
  <c r="I298" i="2"/>
  <c r="J298" i="2"/>
  <c r="K298" i="2"/>
  <c r="L298" i="2"/>
  <c r="M298" i="2"/>
  <c r="A299" i="2"/>
  <c r="B299" i="2"/>
  <c r="C299" i="2"/>
  <c r="G299" i="2"/>
  <c r="I299" i="2"/>
  <c r="J299" i="2"/>
  <c r="K299" i="2"/>
  <c r="L299" i="2"/>
  <c r="M299" i="2"/>
  <c r="A300" i="2"/>
  <c r="B300" i="2"/>
  <c r="C300" i="2"/>
  <c r="G300" i="2"/>
  <c r="I300" i="2"/>
  <c r="J300" i="2"/>
  <c r="K300" i="2"/>
  <c r="L300" i="2"/>
  <c r="M300" i="2"/>
  <c r="A301" i="2"/>
  <c r="B301" i="2"/>
  <c r="C301" i="2"/>
  <c r="G301" i="2"/>
  <c r="I301" i="2"/>
  <c r="J301" i="2"/>
  <c r="K301" i="2"/>
  <c r="L301" i="2"/>
  <c r="M301" i="2"/>
  <c r="A302" i="2"/>
  <c r="B302" i="2"/>
  <c r="C302" i="2"/>
  <c r="G302" i="2"/>
  <c r="I302" i="2"/>
  <c r="J302" i="2"/>
  <c r="K302" i="2"/>
  <c r="L302" i="2"/>
  <c r="M302" i="2"/>
  <c r="A303" i="2"/>
  <c r="B303" i="2"/>
  <c r="C303" i="2"/>
  <c r="G303" i="2"/>
  <c r="I303" i="2"/>
  <c r="J303" i="2"/>
  <c r="K303" i="2"/>
  <c r="L303" i="2"/>
  <c r="M303" i="2"/>
  <c r="A304" i="2"/>
  <c r="B304" i="2"/>
  <c r="C304" i="2"/>
  <c r="G304" i="2"/>
  <c r="I304" i="2"/>
  <c r="J304" i="2"/>
  <c r="K304" i="2"/>
  <c r="L304" i="2"/>
  <c r="M304" i="2"/>
  <c r="A305" i="2"/>
  <c r="B305" i="2"/>
  <c r="C305" i="2"/>
  <c r="G305" i="2"/>
  <c r="I305" i="2"/>
  <c r="J305" i="2"/>
  <c r="K305" i="2"/>
  <c r="L305" i="2"/>
  <c r="M305" i="2"/>
  <c r="A306" i="2"/>
  <c r="B306" i="2"/>
  <c r="C306" i="2"/>
  <c r="G306" i="2"/>
  <c r="I306" i="2"/>
  <c r="J306" i="2"/>
  <c r="K306" i="2"/>
  <c r="L306" i="2"/>
  <c r="M306" i="2"/>
  <c r="A307" i="2"/>
  <c r="B307" i="2"/>
  <c r="C307" i="2"/>
  <c r="G307" i="2"/>
  <c r="I307" i="2"/>
  <c r="J307" i="2"/>
  <c r="K307" i="2"/>
  <c r="L307" i="2"/>
  <c r="M307" i="2"/>
  <c r="A308" i="2"/>
  <c r="B308" i="2"/>
  <c r="C308" i="2"/>
  <c r="G308" i="2"/>
  <c r="I308" i="2"/>
  <c r="J308" i="2"/>
  <c r="K308" i="2"/>
  <c r="L308" i="2"/>
  <c r="M308" i="2"/>
  <c r="A309" i="2"/>
  <c r="B309" i="2"/>
  <c r="C309" i="2"/>
  <c r="G309" i="2"/>
  <c r="I309" i="2"/>
  <c r="J309" i="2"/>
  <c r="K309" i="2"/>
  <c r="L309" i="2"/>
  <c r="M309" i="2"/>
  <c r="A310" i="2"/>
  <c r="B310" i="2"/>
  <c r="C310" i="2"/>
  <c r="G310" i="2"/>
  <c r="I310" i="2"/>
  <c r="J310" i="2"/>
  <c r="K310" i="2"/>
  <c r="L310" i="2"/>
  <c r="M310" i="2"/>
  <c r="A311" i="2"/>
  <c r="B311" i="2"/>
  <c r="C311" i="2"/>
  <c r="G311" i="2"/>
  <c r="I311" i="2"/>
  <c r="J311" i="2"/>
  <c r="K311" i="2"/>
  <c r="L311" i="2"/>
  <c r="M311" i="2"/>
  <c r="A312" i="2"/>
  <c r="B312" i="2"/>
  <c r="C312" i="2"/>
  <c r="G312" i="2"/>
  <c r="I312" i="2"/>
  <c r="J312" i="2"/>
  <c r="K312" i="2"/>
  <c r="L312" i="2"/>
  <c r="M312" i="2"/>
  <c r="A313" i="2"/>
  <c r="B313" i="2"/>
  <c r="C313" i="2"/>
  <c r="G313" i="2"/>
  <c r="I313" i="2"/>
  <c r="J313" i="2"/>
  <c r="K313" i="2"/>
  <c r="L313" i="2"/>
  <c r="M313" i="2"/>
  <c r="A314" i="2"/>
  <c r="B314" i="2"/>
  <c r="C314" i="2"/>
  <c r="G314" i="2"/>
  <c r="I314" i="2"/>
  <c r="J314" i="2"/>
  <c r="K314" i="2"/>
  <c r="L314" i="2"/>
  <c r="M314" i="2"/>
  <c r="A315" i="2"/>
  <c r="B315" i="2"/>
  <c r="C315" i="2"/>
  <c r="G315" i="2"/>
  <c r="I315" i="2"/>
  <c r="J315" i="2"/>
  <c r="K315" i="2"/>
  <c r="L315" i="2"/>
  <c r="M315" i="2"/>
  <c r="A316" i="2"/>
  <c r="B316" i="2"/>
  <c r="C316" i="2"/>
  <c r="G316" i="2"/>
  <c r="I316" i="2"/>
  <c r="J316" i="2"/>
  <c r="K316" i="2"/>
  <c r="L316" i="2"/>
  <c r="M316" i="2"/>
  <c r="A317" i="2"/>
  <c r="B317" i="2"/>
  <c r="C317" i="2"/>
  <c r="G317" i="2"/>
  <c r="I317" i="2"/>
  <c r="J317" i="2"/>
  <c r="K317" i="2"/>
  <c r="L317" i="2"/>
  <c r="M317" i="2"/>
  <c r="A318" i="2"/>
  <c r="B318" i="2"/>
  <c r="C318" i="2"/>
  <c r="G318" i="2"/>
  <c r="I318" i="2"/>
  <c r="J318" i="2"/>
  <c r="K318" i="2"/>
  <c r="L318" i="2"/>
  <c r="M318" i="2"/>
  <c r="A319" i="2"/>
  <c r="B319" i="2"/>
  <c r="C319" i="2"/>
  <c r="G319" i="2"/>
  <c r="I319" i="2"/>
  <c r="J319" i="2"/>
  <c r="K319" i="2"/>
  <c r="L319" i="2"/>
  <c r="M319" i="2"/>
  <c r="A320" i="2"/>
  <c r="B320" i="2"/>
  <c r="C320" i="2"/>
  <c r="G320" i="2"/>
  <c r="I320" i="2"/>
  <c r="J320" i="2"/>
  <c r="K320" i="2"/>
  <c r="L320" i="2"/>
  <c r="M320" i="2"/>
  <c r="A321" i="2"/>
  <c r="B321" i="2"/>
  <c r="C321" i="2"/>
  <c r="G321" i="2"/>
  <c r="I321" i="2"/>
  <c r="J321" i="2"/>
  <c r="K321" i="2"/>
  <c r="L321" i="2"/>
  <c r="M321" i="2"/>
  <c r="A322" i="2"/>
  <c r="B322" i="2"/>
  <c r="C322" i="2"/>
  <c r="G322" i="2"/>
  <c r="I322" i="2"/>
  <c r="J322" i="2"/>
  <c r="K322" i="2"/>
  <c r="L322" i="2"/>
  <c r="M322" i="2"/>
  <c r="A323" i="2"/>
  <c r="B323" i="2"/>
  <c r="C323" i="2"/>
  <c r="G323" i="2"/>
  <c r="I323" i="2"/>
  <c r="J323" i="2"/>
  <c r="K323" i="2"/>
  <c r="L323" i="2"/>
  <c r="M323" i="2"/>
  <c r="A324" i="2"/>
  <c r="B324" i="2"/>
  <c r="C324" i="2"/>
  <c r="G324" i="2"/>
  <c r="I324" i="2"/>
  <c r="J324" i="2"/>
  <c r="K324" i="2"/>
  <c r="L324" i="2"/>
  <c r="M324" i="2"/>
  <c r="A325" i="2"/>
  <c r="B325" i="2"/>
  <c r="C325" i="2"/>
  <c r="G325" i="2"/>
  <c r="I325" i="2"/>
  <c r="J325" i="2"/>
  <c r="K325" i="2"/>
  <c r="L325" i="2"/>
  <c r="M325" i="2"/>
  <c r="A326" i="2"/>
  <c r="B326" i="2"/>
  <c r="C326" i="2"/>
  <c r="G326" i="2"/>
  <c r="I326" i="2"/>
  <c r="J326" i="2"/>
  <c r="K326" i="2"/>
  <c r="L326" i="2"/>
  <c r="M326" i="2"/>
  <c r="A327" i="2"/>
  <c r="B327" i="2"/>
  <c r="C327" i="2"/>
  <c r="G327" i="2"/>
  <c r="I327" i="2"/>
  <c r="J327" i="2"/>
  <c r="K327" i="2"/>
  <c r="L327" i="2"/>
  <c r="M327" i="2"/>
  <c r="A328" i="2"/>
  <c r="B328" i="2"/>
  <c r="C328" i="2"/>
  <c r="G328" i="2"/>
  <c r="I328" i="2"/>
  <c r="J328" i="2"/>
  <c r="K328" i="2"/>
  <c r="L328" i="2"/>
  <c r="M328" i="2"/>
  <c r="A329" i="2"/>
  <c r="B329" i="2"/>
  <c r="C329" i="2"/>
  <c r="G329" i="2"/>
  <c r="I329" i="2"/>
  <c r="J329" i="2"/>
  <c r="K329" i="2"/>
  <c r="L329" i="2"/>
  <c r="M329" i="2"/>
  <c r="A330" i="2"/>
  <c r="B330" i="2"/>
  <c r="C330" i="2"/>
  <c r="G330" i="2"/>
  <c r="I330" i="2"/>
  <c r="J330" i="2"/>
  <c r="K330" i="2"/>
  <c r="L330" i="2"/>
  <c r="M330" i="2"/>
  <c r="A331" i="2"/>
  <c r="B331" i="2"/>
  <c r="C331" i="2"/>
  <c r="G331" i="2"/>
  <c r="I331" i="2"/>
  <c r="J331" i="2"/>
  <c r="K331" i="2"/>
  <c r="L331" i="2"/>
  <c r="M331" i="2"/>
  <c r="A332" i="2"/>
  <c r="B332" i="2"/>
  <c r="C332" i="2"/>
  <c r="G332" i="2"/>
  <c r="I332" i="2"/>
  <c r="J332" i="2"/>
  <c r="K332" i="2"/>
  <c r="L332" i="2"/>
  <c r="M332" i="2"/>
  <c r="A333" i="2"/>
  <c r="B333" i="2"/>
  <c r="C333" i="2"/>
  <c r="G333" i="2"/>
  <c r="I333" i="2"/>
  <c r="J333" i="2"/>
  <c r="K333" i="2"/>
  <c r="L333" i="2"/>
  <c r="M333" i="2"/>
  <c r="A334" i="2"/>
  <c r="B334" i="2"/>
  <c r="C334" i="2"/>
  <c r="G334" i="2"/>
  <c r="I334" i="2"/>
  <c r="J334" i="2"/>
  <c r="K334" i="2"/>
  <c r="L334" i="2"/>
  <c r="M334" i="2"/>
  <c r="A335" i="2"/>
  <c r="B335" i="2"/>
  <c r="C335" i="2"/>
  <c r="G335" i="2"/>
  <c r="I335" i="2"/>
  <c r="J335" i="2"/>
  <c r="K335" i="2"/>
  <c r="L335" i="2"/>
  <c r="M335" i="2"/>
  <c r="A336" i="2"/>
  <c r="B336" i="2"/>
  <c r="C336" i="2"/>
  <c r="G336" i="2"/>
  <c r="I336" i="2"/>
  <c r="J336" i="2"/>
  <c r="K336" i="2"/>
  <c r="L336" i="2"/>
  <c r="M336" i="2"/>
  <c r="A337" i="2"/>
  <c r="B337" i="2"/>
  <c r="C337" i="2"/>
  <c r="G337" i="2"/>
  <c r="I337" i="2"/>
  <c r="J337" i="2"/>
  <c r="K337" i="2"/>
  <c r="L337" i="2"/>
  <c r="M337" i="2"/>
  <c r="A338" i="2"/>
  <c r="B338" i="2"/>
  <c r="C338" i="2"/>
  <c r="G338" i="2"/>
  <c r="I338" i="2"/>
  <c r="J338" i="2"/>
  <c r="K338" i="2"/>
  <c r="L338" i="2"/>
  <c r="M338" i="2"/>
  <c r="A339" i="2"/>
  <c r="B339" i="2"/>
  <c r="C339" i="2"/>
  <c r="G339" i="2"/>
  <c r="I339" i="2"/>
  <c r="J339" i="2"/>
  <c r="K339" i="2"/>
  <c r="L339" i="2"/>
  <c r="M339" i="2"/>
  <c r="A340" i="2"/>
  <c r="B340" i="2"/>
  <c r="C340" i="2"/>
  <c r="G340" i="2"/>
  <c r="I340" i="2"/>
  <c r="J340" i="2"/>
  <c r="K340" i="2"/>
  <c r="L340" i="2"/>
  <c r="M340" i="2"/>
  <c r="A341" i="2"/>
  <c r="B341" i="2"/>
  <c r="C341" i="2"/>
  <c r="G341" i="2"/>
  <c r="I341" i="2"/>
  <c r="J341" i="2"/>
  <c r="K341" i="2"/>
  <c r="L341" i="2"/>
  <c r="M341" i="2"/>
  <c r="A342" i="2"/>
  <c r="B342" i="2"/>
  <c r="C342" i="2"/>
  <c r="G342" i="2"/>
  <c r="I342" i="2"/>
  <c r="J342" i="2"/>
  <c r="K342" i="2"/>
  <c r="L342" i="2"/>
  <c r="M342" i="2"/>
  <c r="A343" i="2"/>
  <c r="B343" i="2"/>
  <c r="C343" i="2"/>
  <c r="G343" i="2"/>
  <c r="I343" i="2"/>
  <c r="J343" i="2"/>
  <c r="K343" i="2"/>
  <c r="L343" i="2"/>
  <c r="M343" i="2"/>
  <c r="A344" i="2"/>
  <c r="B344" i="2"/>
  <c r="C344" i="2"/>
  <c r="G344" i="2"/>
  <c r="I344" i="2"/>
  <c r="J344" i="2"/>
  <c r="K344" i="2"/>
  <c r="L344" i="2"/>
  <c r="M344" i="2"/>
  <c r="A345" i="2"/>
  <c r="B345" i="2"/>
  <c r="C345" i="2"/>
  <c r="G345" i="2"/>
  <c r="I345" i="2"/>
  <c r="J345" i="2"/>
  <c r="K345" i="2"/>
  <c r="L345" i="2"/>
  <c r="M345" i="2"/>
  <c r="A346" i="2"/>
  <c r="B346" i="2"/>
  <c r="C346" i="2"/>
  <c r="G346" i="2"/>
  <c r="I346" i="2"/>
  <c r="J346" i="2"/>
  <c r="K346" i="2"/>
  <c r="L346" i="2"/>
  <c r="M346" i="2"/>
  <c r="A347" i="2"/>
  <c r="B347" i="2"/>
  <c r="C347" i="2"/>
  <c r="G347" i="2"/>
  <c r="I347" i="2"/>
  <c r="J347" i="2"/>
  <c r="K347" i="2"/>
  <c r="L347" i="2"/>
  <c r="M347" i="2"/>
  <c r="A348" i="2"/>
  <c r="B348" i="2"/>
  <c r="C348" i="2"/>
  <c r="G348" i="2"/>
  <c r="I348" i="2"/>
  <c r="J348" i="2"/>
  <c r="K348" i="2"/>
  <c r="L348" i="2"/>
  <c r="M348" i="2"/>
  <c r="A349" i="2"/>
  <c r="B349" i="2"/>
  <c r="C349" i="2"/>
  <c r="G349" i="2"/>
  <c r="I349" i="2"/>
  <c r="J349" i="2"/>
  <c r="K349" i="2"/>
  <c r="L349" i="2"/>
  <c r="M349" i="2"/>
  <c r="A350" i="2"/>
  <c r="B350" i="2"/>
  <c r="C350" i="2"/>
  <c r="G350" i="2"/>
  <c r="I350" i="2"/>
  <c r="J350" i="2"/>
  <c r="K350" i="2"/>
  <c r="L350" i="2"/>
  <c r="M350" i="2"/>
  <c r="A351" i="2"/>
  <c r="B351" i="2"/>
  <c r="C351" i="2"/>
  <c r="G351" i="2"/>
  <c r="I351" i="2"/>
  <c r="J351" i="2"/>
  <c r="K351" i="2"/>
  <c r="L351" i="2"/>
  <c r="M351" i="2"/>
  <c r="A352" i="2"/>
  <c r="B352" i="2"/>
  <c r="C352" i="2"/>
  <c r="G352" i="2"/>
  <c r="I352" i="2"/>
  <c r="J352" i="2"/>
  <c r="K352" i="2"/>
  <c r="L352" i="2"/>
  <c r="M352" i="2"/>
  <c r="A353" i="2"/>
  <c r="B353" i="2"/>
  <c r="C353" i="2"/>
  <c r="G353" i="2"/>
  <c r="I353" i="2"/>
  <c r="J353" i="2"/>
  <c r="K353" i="2"/>
  <c r="L353" i="2"/>
  <c r="M353" i="2"/>
  <c r="A354" i="2"/>
  <c r="B354" i="2"/>
  <c r="C354" i="2"/>
  <c r="G354" i="2"/>
  <c r="I354" i="2"/>
  <c r="J354" i="2"/>
  <c r="K354" i="2"/>
  <c r="L354" i="2"/>
  <c r="M354" i="2"/>
  <c r="A355" i="2"/>
  <c r="B355" i="2"/>
  <c r="C355" i="2"/>
  <c r="G355" i="2"/>
  <c r="I355" i="2"/>
  <c r="J355" i="2"/>
  <c r="K355" i="2"/>
  <c r="L355" i="2"/>
  <c r="M355" i="2"/>
  <c r="A356" i="2"/>
  <c r="B356" i="2"/>
  <c r="C356" i="2"/>
  <c r="G356" i="2"/>
  <c r="I356" i="2"/>
  <c r="J356" i="2"/>
  <c r="K356" i="2"/>
  <c r="L356" i="2"/>
  <c r="M356" i="2"/>
  <c r="A357" i="2"/>
  <c r="B357" i="2"/>
  <c r="C357" i="2"/>
  <c r="G357" i="2"/>
  <c r="I357" i="2"/>
  <c r="J357" i="2"/>
  <c r="K357" i="2"/>
  <c r="L357" i="2"/>
  <c r="M357" i="2"/>
  <c r="A358" i="2"/>
  <c r="B358" i="2"/>
  <c r="C358" i="2"/>
  <c r="G358" i="2"/>
  <c r="I358" i="2"/>
  <c r="J358" i="2"/>
  <c r="K358" i="2"/>
  <c r="L358" i="2"/>
  <c r="M358" i="2"/>
  <c r="A359" i="2"/>
  <c r="B359" i="2"/>
  <c r="C359" i="2"/>
  <c r="G359" i="2"/>
  <c r="I359" i="2"/>
  <c r="J359" i="2"/>
  <c r="K359" i="2"/>
  <c r="L359" i="2"/>
  <c r="M359" i="2"/>
  <c r="A360" i="2"/>
  <c r="B360" i="2"/>
  <c r="C360" i="2"/>
  <c r="G360" i="2"/>
  <c r="I360" i="2"/>
  <c r="J360" i="2"/>
  <c r="K360" i="2"/>
  <c r="L360" i="2"/>
  <c r="M360" i="2"/>
  <c r="A361" i="2"/>
  <c r="B361" i="2"/>
  <c r="C361" i="2"/>
  <c r="G361" i="2"/>
  <c r="I361" i="2"/>
  <c r="J361" i="2"/>
  <c r="K361" i="2"/>
  <c r="L361" i="2"/>
  <c r="M361" i="2"/>
  <c r="A362" i="2"/>
  <c r="B362" i="2"/>
  <c r="C362" i="2"/>
  <c r="G362" i="2"/>
  <c r="I362" i="2"/>
  <c r="J362" i="2"/>
  <c r="K362" i="2"/>
  <c r="L362" i="2"/>
  <c r="M362" i="2"/>
  <c r="A363" i="2"/>
  <c r="B363" i="2"/>
  <c r="C363" i="2"/>
  <c r="G363" i="2"/>
  <c r="I363" i="2"/>
  <c r="J363" i="2"/>
  <c r="K363" i="2"/>
  <c r="L363" i="2"/>
  <c r="M363" i="2"/>
  <c r="A364" i="2"/>
  <c r="B364" i="2"/>
  <c r="C364" i="2"/>
  <c r="G364" i="2"/>
  <c r="I364" i="2"/>
  <c r="J364" i="2"/>
  <c r="K364" i="2"/>
  <c r="L364" i="2"/>
  <c r="M364" i="2"/>
  <c r="A365" i="2"/>
  <c r="B365" i="2"/>
  <c r="C365" i="2"/>
  <c r="G365" i="2"/>
  <c r="I365" i="2"/>
  <c r="J365" i="2"/>
  <c r="K365" i="2"/>
  <c r="L365" i="2"/>
  <c r="M365" i="2"/>
  <c r="A366" i="2"/>
  <c r="B366" i="2"/>
  <c r="C366" i="2"/>
  <c r="G366" i="2"/>
  <c r="I366" i="2"/>
  <c r="J366" i="2"/>
  <c r="K366" i="2"/>
  <c r="L366" i="2"/>
  <c r="M366" i="2"/>
  <c r="A367" i="2"/>
  <c r="B367" i="2"/>
  <c r="C367" i="2"/>
  <c r="G367" i="2"/>
  <c r="I367" i="2"/>
  <c r="J367" i="2"/>
  <c r="K367" i="2"/>
  <c r="L367" i="2"/>
  <c r="M367" i="2"/>
  <c r="A368" i="2"/>
  <c r="B368" i="2"/>
  <c r="C368" i="2"/>
  <c r="G368" i="2"/>
  <c r="I368" i="2"/>
  <c r="J368" i="2"/>
  <c r="K368" i="2"/>
  <c r="L368" i="2"/>
  <c r="M368" i="2"/>
  <c r="A369" i="2"/>
  <c r="B369" i="2"/>
  <c r="C369" i="2"/>
  <c r="G369" i="2"/>
  <c r="I369" i="2"/>
  <c r="J369" i="2"/>
  <c r="K369" i="2"/>
  <c r="L369" i="2"/>
  <c r="M369" i="2"/>
  <c r="L21" i="19"/>
  <c r="D11" i="19"/>
  <c r="E11" i="19"/>
  <c r="F11" i="19"/>
  <c r="J11" i="19"/>
  <c r="L11" i="19"/>
  <c r="M11" i="19"/>
  <c r="D12" i="19"/>
  <c r="E12" i="19"/>
  <c r="F12" i="19"/>
  <c r="J12" i="19"/>
  <c r="L12" i="19"/>
  <c r="M12" i="19"/>
  <c r="V12" i="19" s="1"/>
  <c r="D13" i="19"/>
  <c r="E13" i="19"/>
  <c r="F13" i="19"/>
  <c r="J13" i="19"/>
  <c r="L13" i="19"/>
  <c r="M13" i="19"/>
  <c r="D14" i="19"/>
  <c r="E14" i="19"/>
  <c r="F14" i="19"/>
  <c r="J14" i="19"/>
  <c r="L14" i="19"/>
  <c r="M14" i="19"/>
  <c r="D15" i="19"/>
  <c r="E15" i="19"/>
  <c r="F15" i="19"/>
  <c r="J15" i="19"/>
  <c r="L15" i="19"/>
  <c r="M15" i="19"/>
  <c r="V15" i="19" s="1"/>
  <c r="D16" i="19"/>
  <c r="E16" i="19"/>
  <c r="F16" i="19"/>
  <c r="J16" i="19"/>
  <c r="L16" i="19"/>
  <c r="M16" i="19"/>
  <c r="D17" i="19"/>
  <c r="E17" i="19"/>
  <c r="F17" i="19"/>
  <c r="J17" i="19"/>
  <c r="L17" i="19"/>
  <c r="M17" i="19"/>
  <c r="D18" i="19"/>
  <c r="E18" i="19"/>
  <c r="F18" i="19"/>
  <c r="J18" i="19"/>
  <c r="L18" i="19"/>
  <c r="M18" i="19"/>
  <c r="D19" i="19"/>
  <c r="E19" i="19"/>
  <c r="F19" i="19"/>
  <c r="J19" i="19"/>
  <c r="L19" i="19"/>
  <c r="M19" i="19"/>
  <c r="D20" i="19"/>
  <c r="E20" i="19"/>
  <c r="F20" i="19"/>
  <c r="J20" i="19"/>
  <c r="L20" i="19"/>
  <c r="M20" i="19"/>
  <c r="D21" i="19"/>
  <c r="E21" i="19"/>
  <c r="F21" i="19"/>
  <c r="J21" i="19"/>
  <c r="M21" i="19"/>
  <c r="V21" i="19" s="1"/>
  <c r="D22" i="19"/>
  <c r="E22" i="19"/>
  <c r="F22" i="19"/>
  <c r="J22" i="19"/>
  <c r="L22" i="19"/>
  <c r="M22" i="19"/>
  <c r="D23" i="19"/>
  <c r="E23" i="19"/>
  <c r="F23" i="19"/>
  <c r="J23" i="19"/>
  <c r="L23" i="19"/>
  <c r="M23" i="19"/>
  <c r="V23" i="19" s="1"/>
  <c r="D24" i="19"/>
  <c r="E24" i="19"/>
  <c r="F24" i="19"/>
  <c r="J24" i="19"/>
  <c r="L24" i="19"/>
  <c r="M24" i="19"/>
  <c r="D25" i="19"/>
  <c r="E25" i="19"/>
  <c r="F25" i="19"/>
  <c r="J25" i="19"/>
  <c r="L25" i="19"/>
  <c r="M25" i="19"/>
  <c r="D26" i="19"/>
  <c r="E26" i="19"/>
  <c r="F26" i="19"/>
  <c r="J26" i="19"/>
  <c r="L26" i="19"/>
  <c r="M26" i="19"/>
  <c r="V26" i="19" s="1"/>
  <c r="D27" i="19"/>
  <c r="E27" i="19"/>
  <c r="F27" i="19"/>
  <c r="J27" i="19"/>
  <c r="L27" i="19"/>
  <c r="M27" i="19"/>
  <c r="V27" i="19" s="1"/>
  <c r="D28" i="19"/>
  <c r="E28" i="19"/>
  <c r="F28" i="19"/>
  <c r="J28" i="19"/>
  <c r="L28" i="19"/>
  <c r="M28" i="19"/>
  <c r="D29" i="19"/>
  <c r="E29" i="19"/>
  <c r="F29" i="19"/>
  <c r="J29" i="19"/>
  <c r="L29" i="19"/>
  <c r="M29" i="19"/>
  <c r="D30" i="19"/>
  <c r="E30" i="19"/>
  <c r="F30" i="19"/>
  <c r="J30" i="19"/>
  <c r="L30" i="19"/>
  <c r="M30" i="19"/>
  <c r="D31" i="19"/>
  <c r="E31" i="19"/>
  <c r="F31" i="19"/>
  <c r="J31" i="19"/>
  <c r="L31" i="19"/>
  <c r="M31" i="19"/>
  <c r="V31" i="19" s="1"/>
  <c r="D32" i="19"/>
  <c r="E32" i="19"/>
  <c r="F32" i="19"/>
  <c r="J32" i="19"/>
  <c r="L32" i="19"/>
  <c r="M32" i="19"/>
  <c r="D33" i="19"/>
  <c r="E33" i="19"/>
  <c r="F33" i="19"/>
  <c r="J33" i="19"/>
  <c r="L33" i="19"/>
  <c r="M33" i="19"/>
  <c r="D34" i="19"/>
  <c r="E34" i="19"/>
  <c r="F34" i="19"/>
  <c r="J34" i="19"/>
  <c r="L34" i="19"/>
  <c r="M34" i="19"/>
  <c r="D35" i="19"/>
  <c r="E35" i="19"/>
  <c r="F35" i="19"/>
  <c r="J35" i="19"/>
  <c r="L35" i="19"/>
  <c r="M35" i="19"/>
  <c r="V35" i="19" s="1"/>
  <c r="D36" i="19"/>
  <c r="E36" i="19"/>
  <c r="F36" i="19"/>
  <c r="J36" i="19"/>
  <c r="L36" i="19"/>
  <c r="M36" i="19"/>
  <c r="D37" i="19"/>
  <c r="E37" i="19"/>
  <c r="F37" i="19"/>
  <c r="J37" i="19"/>
  <c r="L37" i="19"/>
  <c r="M37" i="19"/>
  <c r="V37" i="19" s="1"/>
  <c r="D38" i="19"/>
  <c r="E38" i="19"/>
  <c r="F38" i="19"/>
  <c r="J38" i="19"/>
  <c r="L38" i="19"/>
  <c r="M38" i="19"/>
  <c r="D39" i="19"/>
  <c r="E39" i="19"/>
  <c r="F39" i="19"/>
  <c r="J39" i="19"/>
  <c r="L39" i="19"/>
  <c r="M39" i="19"/>
  <c r="V39" i="19" s="1"/>
  <c r="D40" i="19"/>
  <c r="E40" i="19"/>
  <c r="F40" i="19"/>
  <c r="J40" i="19"/>
  <c r="L40" i="19"/>
  <c r="M40" i="19"/>
  <c r="D41" i="19"/>
  <c r="E41" i="19"/>
  <c r="F41" i="19"/>
  <c r="J41" i="19"/>
  <c r="L41" i="19"/>
  <c r="M41" i="19"/>
  <c r="V41" i="19" s="1"/>
  <c r="D42" i="19"/>
  <c r="E42" i="19"/>
  <c r="F42" i="19"/>
  <c r="J42" i="19"/>
  <c r="L42" i="19"/>
  <c r="M42" i="19"/>
  <c r="D43" i="19"/>
  <c r="E43" i="19"/>
  <c r="F43" i="19"/>
  <c r="J43" i="19"/>
  <c r="L43" i="19"/>
  <c r="M43" i="19"/>
  <c r="V43" i="19" s="1"/>
  <c r="D44" i="19"/>
  <c r="E44" i="19"/>
  <c r="F44" i="19"/>
  <c r="J44" i="19"/>
  <c r="L44" i="19"/>
  <c r="M44" i="19"/>
  <c r="D45" i="19"/>
  <c r="E45" i="19"/>
  <c r="F45" i="19"/>
  <c r="J45" i="19"/>
  <c r="L45" i="19"/>
  <c r="M45" i="19"/>
  <c r="D46" i="19"/>
  <c r="E46" i="19"/>
  <c r="F46" i="19"/>
  <c r="J46" i="19"/>
  <c r="L46" i="19"/>
  <c r="M46" i="19"/>
  <c r="D47" i="19"/>
  <c r="E47" i="19"/>
  <c r="F47" i="19"/>
  <c r="J47" i="19"/>
  <c r="L47" i="19"/>
  <c r="M47" i="19"/>
  <c r="V47" i="19" s="1"/>
  <c r="D48" i="19"/>
  <c r="E48" i="19"/>
  <c r="F48" i="19"/>
  <c r="J48" i="19"/>
  <c r="L48" i="19"/>
  <c r="M48" i="19"/>
  <c r="V48" i="19" s="1"/>
  <c r="D49" i="19"/>
  <c r="E49" i="19"/>
  <c r="F49" i="19"/>
  <c r="J49" i="19"/>
  <c r="L49" i="19"/>
  <c r="M49" i="19"/>
  <c r="D50" i="19"/>
  <c r="E50" i="19"/>
  <c r="F50" i="19"/>
  <c r="J50" i="19"/>
  <c r="L50" i="19"/>
  <c r="M50" i="19"/>
  <c r="D51" i="19"/>
  <c r="E51" i="19"/>
  <c r="F51" i="19"/>
  <c r="J51" i="19"/>
  <c r="L51" i="19"/>
  <c r="M51" i="19"/>
  <c r="V51" i="19" s="1"/>
  <c r="D52" i="19"/>
  <c r="E52" i="19"/>
  <c r="F52" i="19"/>
  <c r="J52" i="19"/>
  <c r="L52" i="19"/>
  <c r="M52" i="19"/>
  <c r="V52" i="19" s="1"/>
  <c r="D53" i="19"/>
  <c r="E53" i="19"/>
  <c r="F53" i="19"/>
  <c r="J53" i="19"/>
  <c r="L53" i="19"/>
  <c r="M53" i="19"/>
  <c r="V53" i="19" s="1"/>
  <c r="D54" i="19"/>
  <c r="E54" i="19"/>
  <c r="F54" i="19"/>
  <c r="J54" i="19"/>
  <c r="L54" i="19"/>
  <c r="M54" i="19"/>
  <c r="V54" i="19" s="1"/>
  <c r="D55" i="19"/>
  <c r="E55" i="19"/>
  <c r="F55" i="19"/>
  <c r="J55" i="19"/>
  <c r="L55" i="19"/>
  <c r="M55" i="19"/>
  <c r="V55" i="19" s="1"/>
  <c r="D56" i="19"/>
  <c r="E56" i="19"/>
  <c r="F56" i="19"/>
  <c r="J56" i="19"/>
  <c r="L56" i="19"/>
  <c r="M56" i="19"/>
  <c r="V56" i="19" s="1"/>
  <c r="D57" i="19"/>
  <c r="E57" i="19"/>
  <c r="F57" i="19"/>
  <c r="J57" i="19"/>
  <c r="L57" i="19"/>
  <c r="M57" i="19"/>
  <c r="D58" i="19"/>
  <c r="E58" i="19"/>
  <c r="F58" i="19"/>
  <c r="J58" i="19"/>
  <c r="L58" i="19"/>
  <c r="M58" i="19"/>
  <c r="V58" i="19" s="1"/>
  <c r="D59" i="19"/>
  <c r="E59" i="19"/>
  <c r="F59" i="19"/>
  <c r="J59" i="19"/>
  <c r="L59" i="19"/>
  <c r="M59" i="19"/>
  <c r="V59" i="19" s="1"/>
  <c r="D60" i="19"/>
  <c r="E60" i="19"/>
  <c r="F60" i="19"/>
  <c r="J60" i="19"/>
  <c r="L60" i="19"/>
  <c r="M60" i="19"/>
  <c r="D61" i="19"/>
  <c r="E61" i="19"/>
  <c r="F61" i="19"/>
  <c r="J61" i="19"/>
  <c r="L61" i="19"/>
  <c r="M61" i="19"/>
  <c r="D62" i="19"/>
  <c r="E62" i="19"/>
  <c r="F62" i="19"/>
  <c r="J62" i="19"/>
  <c r="L62" i="19"/>
  <c r="M62" i="19"/>
  <c r="D63" i="19"/>
  <c r="E63" i="19"/>
  <c r="F63" i="19"/>
  <c r="J63" i="19"/>
  <c r="L63" i="19"/>
  <c r="M63" i="19"/>
  <c r="V63" i="19" s="1"/>
  <c r="D64" i="19"/>
  <c r="E64" i="19"/>
  <c r="F64" i="19"/>
  <c r="J64" i="19"/>
  <c r="L64" i="19"/>
  <c r="M64" i="19"/>
  <c r="D65" i="19"/>
  <c r="E65" i="19"/>
  <c r="F65" i="19"/>
  <c r="J65" i="19"/>
  <c r="L65" i="19"/>
  <c r="M65" i="19"/>
  <c r="D66" i="19"/>
  <c r="E66" i="19"/>
  <c r="F66" i="19"/>
  <c r="J66" i="19"/>
  <c r="L66" i="19"/>
  <c r="M66" i="19"/>
  <c r="D67" i="19"/>
  <c r="E67" i="19"/>
  <c r="F67" i="19"/>
  <c r="J67" i="19"/>
  <c r="L67" i="19"/>
  <c r="M67" i="19"/>
  <c r="V67" i="19" s="1"/>
  <c r="D68" i="19"/>
  <c r="E68" i="19"/>
  <c r="F68" i="19"/>
  <c r="J68" i="19"/>
  <c r="L68" i="19"/>
  <c r="M68" i="19"/>
  <c r="D69" i="19"/>
  <c r="E69" i="19"/>
  <c r="F69" i="19"/>
  <c r="J69" i="19"/>
  <c r="L69" i="19"/>
  <c r="M69" i="19"/>
  <c r="D70" i="19"/>
  <c r="E70" i="19"/>
  <c r="F70" i="19"/>
  <c r="J70" i="19"/>
  <c r="L70" i="19"/>
  <c r="M70" i="19"/>
  <c r="D71" i="19"/>
  <c r="E71" i="19"/>
  <c r="F71" i="19"/>
  <c r="J71" i="19"/>
  <c r="L71" i="19"/>
  <c r="M71" i="19"/>
  <c r="V71" i="19" s="1"/>
  <c r="D72" i="19"/>
  <c r="E72" i="19"/>
  <c r="F72" i="19"/>
  <c r="J72" i="19"/>
  <c r="L72" i="19"/>
  <c r="M72" i="19"/>
  <c r="D73" i="19"/>
  <c r="E73" i="19"/>
  <c r="F73" i="19"/>
  <c r="J73" i="19"/>
  <c r="L73" i="19"/>
  <c r="M73" i="19"/>
  <c r="D74" i="19"/>
  <c r="E74" i="19"/>
  <c r="F74" i="19"/>
  <c r="J74" i="19"/>
  <c r="L74" i="19"/>
  <c r="M74" i="19"/>
  <c r="D75" i="19"/>
  <c r="E75" i="19"/>
  <c r="F75" i="19"/>
  <c r="J75" i="19"/>
  <c r="L75" i="19"/>
  <c r="M75" i="19"/>
  <c r="V75" i="19" s="1"/>
  <c r="D76" i="19"/>
  <c r="E76" i="19"/>
  <c r="F76" i="19"/>
  <c r="J76" i="19"/>
  <c r="L76" i="19"/>
  <c r="M76" i="19"/>
  <c r="D77" i="19"/>
  <c r="E77" i="19"/>
  <c r="F77" i="19"/>
  <c r="J77" i="19"/>
  <c r="L77" i="19"/>
  <c r="M77" i="19"/>
  <c r="D78" i="19"/>
  <c r="E78" i="19"/>
  <c r="F78" i="19"/>
  <c r="J78" i="19"/>
  <c r="L78" i="19"/>
  <c r="M78" i="19"/>
  <c r="D79" i="19"/>
  <c r="E79" i="19"/>
  <c r="F79" i="19"/>
  <c r="J79" i="19"/>
  <c r="L79" i="19"/>
  <c r="M79" i="19"/>
  <c r="V79" i="19" s="1"/>
  <c r="D80" i="19"/>
  <c r="E80" i="19"/>
  <c r="F80" i="19"/>
  <c r="J80" i="19"/>
  <c r="L80" i="19"/>
  <c r="M80" i="19"/>
  <c r="D81" i="19"/>
  <c r="E81" i="19"/>
  <c r="F81" i="19"/>
  <c r="J81" i="19"/>
  <c r="L81" i="19"/>
  <c r="M81" i="19"/>
  <c r="D82" i="19"/>
  <c r="E82" i="19"/>
  <c r="F82" i="19"/>
  <c r="J82" i="19"/>
  <c r="L82" i="19"/>
  <c r="M82" i="19"/>
  <c r="D83" i="19"/>
  <c r="E83" i="19"/>
  <c r="F83" i="19"/>
  <c r="J83" i="19"/>
  <c r="L83" i="19"/>
  <c r="M83" i="19"/>
  <c r="V83" i="19" s="1"/>
  <c r="D84" i="19"/>
  <c r="E84" i="19"/>
  <c r="F84" i="19"/>
  <c r="J84" i="19"/>
  <c r="L84" i="19"/>
  <c r="M84" i="19"/>
  <c r="D85" i="19"/>
  <c r="E85" i="19"/>
  <c r="F85" i="19"/>
  <c r="J85" i="19"/>
  <c r="L85" i="19"/>
  <c r="M85" i="19"/>
  <c r="D86" i="19"/>
  <c r="E86" i="19"/>
  <c r="F86" i="19"/>
  <c r="J86" i="19"/>
  <c r="L86" i="19"/>
  <c r="M86" i="19"/>
  <c r="D87" i="19"/>
  <c r="E87" i="19"/>
  <c r="F87" i="19"/>
  <c r="J87" i="19"/>
  <c r="L87" i="19"/>
  <c r="M87" i="19"/>
  <c r="V87" i="19" s="1"/>
  <c r="D88" i="19"/>
  <c r="E88" i="19"/>
  <c r="F88" i="19"/>
  <c r="J88" i="19"/>
  <c r="L88" i="19"/>
  <c r="M88" i="19"/>
  <c r="D89" i="19"/>
  <c r="E89" i="19"/>
  <c r="F89" i="19"/>
  <c r="J89" i="19"/>
  <c r="L89" i="19"/>
  <c r="M89" i="19"/>
  <c r="D90" i="19"/>
  <c r="E90" i="19"/>
  <c r="F90" i="19"/>
  <c r="J90" i="19"/>
  <c r="L90" i="19"/>
  <c r="M90" i="19"/>
  <c r="D91" i="19"/>
  <c r="E91" i="19"/>
  <c r="F91" i="19"/>
  <c r="J91" i="19"/>
  <c r="L91" i="19"/>
  <c r="M91" i="19"/>
  <c r="V91" i="19" s="1"/>
  <c r="D92" i="19"/>
  <c r="E92" i="19"/>
  <c r="F92" i="19"/>
  <c r="J92" i="19"/>
  <c r="L92" i="19"/>
  <c r="M92" i="19"/>
  <c r="D93" i="19"/>
  <c r="E93" i="19"/>
  <c r="F93" i="19"/>
  <c r="J93" i="19"/>
  <c r="L93" i="19"/>
  <c r="M93" i="19"/>
  <c r="D94" i="19"/>
  <c r="E94" i="19"/>
  <c r="F94" i="19"/>
  <c r="J94" i="19"/>
  <c r="L94" i="19"/>
  <c r="M94" i="19"/>
  <c r="D95" i="19"/>
  <c r="E95" i="19"/>
  <c r="F95" i="19"/>
  <c r="J95" i="19"/>
  <c r="L95" i="19"/>
  <c r="M95" i="19"/>
  <c r="D96" i="19"/>
  <c r="E96" i="19"/>
  <c r="F96" i="19"/>
  <c r="J96" i="19"/>
  <c r="L96" i="19"/>
  <c r="M96" i="19"/>
  <c r="D97" i="19"/>
  <c r="E97" i="19"/>
  <c r="F97" i="19"/>
  <c r="J97" i="19"/>
  <c r="L97" i="19"/>
  <c r="M97" i="19"/>
  <c r="D98" i="19"/>
  <c r="E98" i="19"/>
  <c r="F98" i="19"/>
  <c r="J98" i="19"/>
  <c r="L98" i="19"/>
  <c r="M98" i="19"/>
  <c r="D99" i="19"/>
  <c r="E99" i="19"/>
  <c r="F99" i="19"/>
  <c r="J99" i="19"/>
  <c r="L99" i="19"/>
  <c r="M99" i="19"/>
  <c r="V99" i="19" s="1"/>
  <c r="D100" i="19"/>
  <c r="E100" i="19"/>
  <c r="F100" i="19"/>
  <c r="J100" i="19"/>
  <c r="L100" i="19"/>
  <c r="M100" i="19"/>
  <c r="D101" i="19"/>
  <c r="E101" i="19"/>
  <c r="F101" i="19"/>
  <c r="J101" i="19"/>
  <c r="L101" i="19"/>
  <c r="M101" i="19"/>
  <c r="D102" i="19"/>
  <c r="E102" i="19"/>
  <c r="F102" i="19"/>
  <c r="J102" i="19"/>
  <c r="L102" i="19"/>
  <c r="M102" i="19"/>
  <c r="D103" i="19"/>
  <c r="E103" i="19"/>
  <c r="F103" i="19"/>
  <c r="J103" i="19"/>
  <c r="L103" i="19"/>
  <c r="M103" i="19"/>
  <c r="V103" i="19" s="1"/>
  <c r="D104" i="19"/>
  <c r="E104" i="19"/>
  <c r="F104" i="19"/>
  <c r="J104" i="19"/>
  <c r="L104" i="19"/>
  <c r="M104" i="19"/>
  <c r="D105" i="19"/>
  <c r="E105" i="19"/>
  <c r="F105" i="19"/>
  <c r="J105" i="19"/>
  <c r="L105" i="19"/>
  <c r="M105" i="19"/>
  <c r="D106" i="19"/>
  <c r="E106" i="19"/>
  <c r="F106" i="19"/>
  <c r="J106" i="19"/>
  <c r="L106" i="19"/>
  <c r="M106" i="19"/>
  <c r="D107" i="19"/>
  <c r="E107" i="19"/>
  <c r="F107" i="19"/>
  <c r="J107" i="19"/>
  <c r="L107" i="19"/>
  <c r="M107" i="19"/>
  <c r="V107" i="19" s="1"/>
  <c r="D108" i="19"/>
  <c r="E108" i="19"/>
  <c r="F108" i="19"/>
  <c r="J108" i="19"/>
  <c r="L108" i="19"/>
  <c r="M108" i="19"/>
  <c r="D109" i="19"/>
  <c r="E109" i="19"/>
  <c r="F109" i="19"/>
  <c r="J109" i="19"/>
  <c r="L109" i="19"/>
  <c r="M109" i="19"/>
  <c r="D110" i="19"/>
  <c r="E110" i="19"/>
  <c r="F110" i="19"/>
  <c r="J110" i="19"/>
  <c r="L110" i="19"/>
  <c r="M110" i="19"/>
  <c r="D111" i="19"/>
  <c r="E111" i="19"/>
  <c r="F111" i="19"/>
  <c r="J111" i="19"/>
  <c r="L111" i="19"/>
  <c r="M111" i="19"/>
  <c r="V111" i="19" s="1"/>
  <c r="D112" i="19"/>
  <c r="E112" i="19"/>
  <c r="F112" i="19"/>
  <c r="J112" i="19"/>
  <c r="L112" i="19"/>
  <c r="M112" i="19"/>
  <c r="D113" i="19"/>
  <c r="E113" i="19"/>
  <c r="F113" i="19"/>
  <c r="J113" i="19"/>
  <c r="L113" i="19"/>
  <c r="M113" i="19"/>
  <c r="D114" i="19"/>
  <c r="E114" i="19"/>
  <c r="F114" i="19"/>
  <c r="J114" i="19"/>
  <c r="L114" i="19"/>
  <c r="M114" i="19"/>
  <c r="D115" i="19"/>
  <c r="E115" i="19"/>
  <c r="F115" i="19"/>
  <c r="J115" i="19"/>
  <c r="L115" i="19"/>
  <c r="M115" i="19"/>
  <c r="D116" i="19"/>
  <c r="E116" i="19"/>
  <c r="F116" i="19"/>
  <c r="J116" i="19"/>
  <c r="L116" i="19"/>
  <c r="M116" i="19"/>
  <c r="V116" i="19" s="1"/>
  <c r="D117" i="19"/>
  <c r="E117" i="19"/>
  <c r="F117" i="19"/>
  <c r="J117" i="19"/>
  <c r="L117" i="19"/>
  <c r="M117" i="19"/>
  <c r="D118" i="19"/>
  <c r="E118" i="19"/>
  <c r="F118" i="19"/>
  <c r="J118" i="19"/>
  <c r="L118" i="19"/>
  <c r="M118" i="19"/>
  <c r="D119" i="19"/>
  <c r="E119" i="19"/>
  <c r="F119" i="19"/>
  <c r="J119" i="19"/>
  <c r="L119" i="19"/>
  <c r="M119" i="19"/>
  <c r="D120" i="19"/>
  <c r="E120" i="19"/>
  <c r="F120" i="19"/>
  <c r="J120" i="19"/>
  <c r="L120" i="19"/>
  <c r="M120" i="19"/>
  <c r="D121" i="19"/>
  <c r="E121" i="19"/>
  <c r="F121" i="19"/>
  <c r="J121" i="19"/>
  <c r="L121" i="19"/>
  <c r="M121" i="19"/>
  <c r="D122" i="19"/>
  <c r="E122" i="19"/>
  <c r="F122" i="19"/>
  <c r="J122" i="19"/>
  <c r="L122" i="19"/>
  <c r="M122" i="19"/>
  <c r="D123" i="19"/>
  <c r="E123" i="19"/>
  <c r="F123" i="19"/>
  <c r="J123" i="19"/>
  <c r="L123" i="19"/>
  <c r="M123" i="19"/>
  <c r="V123" i="19" s="1"/>
  <c r="D124" i="19"/>
  <c r="E124" i="19"/>
  <c r="F124" i="19"/>
  <c r="J124" i="19"/>
  <c r="L124" i="19"/>
  <c r="M124" i="19"/>
  <c r="D125" i="19"/>
  <c r="E125" i="19"/>
  <c r="F125" i="19"/>
  <c r="J125" i="19"/>
  <c r="L125" i="19"/>
  <c r="M125" i="19"/>
  <c r="D126" i="19"/>
  <c r="E126" i="19"/>
  <c r="F126" i="19"/>
  <c r="J126" i="19"/>
  <c r="L126" i="19"/>
  <c r="M126" i="19"/>
  <c r="D127" i="19"/>
  <c r="E127" i="19"/>
  <c r="F127" i="19"/>
  <c r="J127" i="19"/>
  <c r="L127" i="19"/>
  <c r="M127" i="19"/>
  <c r="D128" i="19"/>
  <c r="E128" i="19"/>
  <c r="F128" i="19"/>
  <c r="J128" i="19"/>
  <c r="L128" i="19"/>
  <c r="M128" i="19"/>
  <c r="D129" i="19"/>
  <c r="E129" i="19"/>
  <c r="F129" i="19"/>
  <c r="J129" i="19"/>
  <c r="L129" i="19"/>
  <c r="M129" i="19"/>
  <c r="D130" i="19"/>
  <c r="E130" i="19"/>
  <c r="F130" i="19"/>
  <c r="J130" i="19"/>
  <c r="L130" i="19"/>
  <c r="M130" i="19"/>
  <c r="D131" i="19"/>
  <c r="E131" i="19"/>
  <c r="F131" i="19"/>
  <c r="J131" i="19"/>
  <c r="L131" i="19"/>
  <c r="M131" i="19"/>
  <c r="D132" i="19"/>
  <c r="E132" i="19"/>
  <c r="F132" i="19"/>
  <c r="J132" i="19"/>
  <c r="L132" i="19"/>
  <c r="M132" i="19"/>
  <c r="D133" i="19"/>
  <c r="E133" i="19"/>
  <c r="F133" i="19"/>
  <c r="J133" i="19"/>
  <c r="L133" i="19"/>
  <c r="M133" i="19"/>
  <c r="D134" i="19"/>
  <c r="E134" i="19"/>
  <c r="F134" i="19"/>
  <c r="J134" i="19"/>
  <c r="L134" i="19"/>
  <c r="M134" i="19"/>
  <c r="D135" i="19"/>
  <c r="E135" i="19"/>
  <c r="F135" i="19"/>
  <c r="J135" i="19"/>
  <c r="L135" i="19"/>
  <c r="M135" i="19"/>
  <c r="D136" i="19"/>
  <c r="E136" i="19"/>
  <c r="F136" i="19"/>
  <c r="J136" i="19"/>
  <c r="L136" i="19"/>
  <c r="M136" i="19"/>
  <c r="D137" i="19"/>
  <c r="E137" i="19"/>
  <c r="F137" i="19"/>
  <c r="J137" i="19"/>
  <c r="L137" i="19"/>
  <c r="M137" i="19"/>
  <c r="D138" i="19"/>
  <c r="E138" i="19"/>
  <c r="F138" i="19"/>
  <c r="J138" i="19"/>
  <c r="L138" i="19"/>
  <c r="M138" i="19"/>
  <c r="D139" i="19"/>
  <c r="E139" i="19"/>
  <c r="F139" i="19"/>
  <c r="J139" i="19"/>
  <c r="L139" i="19"/>
  <c r="M139" i="19"/>
  <c r="D140" i="19"/>
  <c r="E140" i="19"/>
  <c r="F140" i="19"/>
  <c r="J140" i="19"/>
  <c r="L140" i="19"/>
  <c r="M140" i="19"/>
  <c r="D141" i="19"/>
  <c r="E141" i="19"/>
  <c r="F141" i="19"/>
  <c r="J141" i="19"/>
  <c r="L141" i="19"/>
  <c r="M141" i="19"/>
  <c r="D142" i="19"/>
  <c r="E142" i="19"/>
  <c r="F142" i="19"/>
  <c r="J142" i="19"/>
  <c r="L142" i="19"/>
  <c r="M142" i="19"/>
  <c r="V142" i="19" s="1"/>
  <c r="D143" i="19"/>
  <c r="E143" i="19"/>
  <c r="F143" i="19"/>
  <c r="J143" i="19"/>
  <c r="L143" i="19"/>
  <c r="M143" i="19"/>
  <c r="D144" i="19"/>
  <c r="E144" i="19"/>
  <c r="F144" i="19"/>
  <c r="J144" i="19"/>
  <c r="L144" i="19"/>
  <c r="M144" i="19"/>
  <c r="N144" i="19"/>
  <c r="D145" i="19"/>
  <c r="E145" i="19"/>
  <c r="F145" i="19"/>
  <c r="J145" i="19"/>
  <c r="L145" i="19"/>
  <c r="M145" i="19"/>
  <c r="N145" i="19"/>
  <c r="D146" i="19"/>
  <c r="E146" i="19"/>
  <c r="F146" i="19"/>
  <c r="J146" i="19"/>
  <c r="L146" i="19"/>
  <c r="M146" i="19"/>
  <c r="N146" i="19"/>
  <c r="D147" i="19"/>
  <c r="E147" i="19"/>
  <c r="F147" i="19"/>
  <c r="J147" i="19"/>
  <c r="L147" i="19"/>
  <c r="M147" i="19"/>
  <c r="N147" i="19"/>
  <c r="D148" i="19"/>
  <c r="E148" i="19"/>
  <c r="F148" i="19"/>
  <c r="J148" i="19"/>
  <c r="L148" i="19"/>
  <c r="M148" i="19"/>
  <c r="N148" i="19"/>
  <c r="D149" i="19"/>
  <c r="E149" i="19"/>
  <c r="F149" i="19"/>
  <c r="J149" i="19"/>
  <c r="L149" i="19"/>
  <c r="M149" i="19"/>
  <c r="N149" i="19"/>
  <c r="D150" i="19"/>
  <c r="E150" i="19"/>
  <c r="F150" i="19"/>
  <c r="J150" i="19"/>
  <c r="L150" i="19"/>
  <c r="M150" i="19"/>
  <c r="N150" i="19"/>
  <c r="D151" i="19"/>
  <c r="E151" i="19"/>
  <c r="F151" i="19"/>
  <c r="J151" i="19"/>
  <c r="L151" i="19"/>
  <c r="M151" i="19"/>
  <c r="N151" i="19"/>
  <c r="D152" i="19"/>
  <c r="E152" i="19"/>
  <c r="F152" i="19"/>
  <c r="J152" i="19"/>
  <c r="L152" i="19"/>
  <c r="M152" i="19"/>
  <c r="N152" i="19"/>
  <c r="D153" i="19"/>
  <c r="E153" i="19"/>
  <c r="F153" i="19"/>
  <c r="J153" i="19"/>
  <c r="L153" i="19"/>
  <c r="M153" i="19"/>
  <c r="N153" i="19"/>
  <c r="D154" i="19"/>
  <c r="E154" i="19"/>
  <c r="F154" i="19"/>
  <c r="J154" i="19"/>
  <c r="L154" i="19"/>
  <c r="M154" i="19"/>
  <c r="N154" i="19"/>
  <c r="D155" i="19"/>
  <c r="E155" i="19"/>
  <c r="F155" i="19"/>
  <c r="J155" i="19"/>
  <c r="L155" i="19"/>
  <c r="M155" i="19"/>
  <c r="N155" i="19"/>
  <c r="D156" i="19"/>
  <c r="E156" i="19"/>
  <c r="F156" i="19"/>
  <c r="J156" i="19"/>
  <c r="L156" i="19"/>
  <c r="M156" i="19"/>
  <c r="N156" i="19"/>
  <c r="D157" i="19"/>
  <c r="E157" i="19"/>
  <c r="F157" i="19"/>
  <c r="J157" i="19"/>
  <c r="L157" i="19"/>
  <c r="M157" i="19"/>
  <c r="N157" i="19"/>
  <c r="D158" i="19"/>
  <c r="E158" i="19"/>
  <c r="F158" i="19"/>
  <c r="J158" i="19"/>
  <c r="L158" i="19"/>
  <c r="M158" i="19"/>
  <c r="N158" i="19"/>
  <c r="D159" i="19"/>
  <c r="E159" i="19"/>
  <c r="F159" i="19"/>
  <c r="J159" i="19"/>
  <c r="L159" i="19"/>
  <c r="M159" i="19"/>
  <c r="N159" i="19"/>
  <c r="D160" i="19"/>
  <c r="E160" i="19"/>
  <c r="F160" i="19"/>
  <c r="J160" i="19"/>
  <c r="L160" i="19"/>
  <c r="M160" i="19"/>
  <c r="N160" i="19"/>
  <c r="D161" i="19"/>
  <c r="E161" i="19"/>
  <c r="F161" i="19"/>
  <c r="J161" i="19"/>
  <c r="L161" i="19"/>
  <c r="M161" i="19"/>
  <c r="N161" i="19"/>
  <c r="D162" i="19"/>
  <c r="E162" i="19"/>
  <c r="F162" i="19"/>
  <c r="J162" i="19"/>
  <c r="L162" i="19"/>
  <c r="M162" i="19"/>
  <c r="N162" i="19"/>
  <c r="D163" i="19"/>
  <c r="E163" i="19"/>
  <c r="F163" i="19"/>
  <c r="J163" i="19"/>
  <c r="L163" i="19"/>
  <c r="M163" i="19"/>
  <c r="N163" i="19"/>
  <c r="D164" i="19"/>
  <c r="E164" i="19"/>
  <c r="F164" i="19"/>
  <c r="J164" i="19"/>
  <c r="L164" i="19"/>
  <c r="M164" i="19"/>
  <c r="N164" i="19"/>
  <c r="D165" i="19"/>
  <c r="E165" i="19"/>
  <c r="F165" i="19"/>
  <c r="J165" i="19"/>
  <c r="L165" i="19"/>
  <c r="M165" i="19"/>
  <c r="N165" i="19"/>
  <c r="D166" i="19"/>
  <c r="E166" i="19"/>
  <c r="F166" i="19"/>
  <c r="J166" i="19"/>
  <c r="L166" i="19"/>
  <c r="M166" i="19"/>
  <c r="N166" i="19"/>
  <c r="D167" i="19"/>
  <c r="E167" i="19"/>
  <c r="F167" i="19"/>
  <c r="J167" i="19"/>
  <c r="L167" i="19"/>
  <c r="M167" i="19"/>
  <c r="N167" i="19"/>
  <c r="D168" i="19"/>
  <c r="E168" i="19"/>
  <c r="F168" i="19"/>
  <c r="J168" i="19"/>
  <c r="L168" i="19"/>
  <c r="M168" i="19"/>
  <c r="N168" i="19"/>
  <c r="D169" i="19"/>
  <c r="E169" i="19"/>
  <c r="F169" i="19"/>
  <c r="J169" i="19"/>
  <c r="L169" i="19"/>
  <c r="M169" i="19"/>
  <c r="N169" i="19"/>
  <c r="D170" i="19"/>
  <c r="E170" i="19"/>
  <c r="F170" i="19"/>
  <c r="J170" i="19"/>
  <c r="L170" i="19"/>
  <c r="M170" i="19"/>
  <c r="N170" i="19"/>
  <c r="D171" i="19"/>
  <c r="E171" i="19"/>
  <c r="F171" i="19"/>
  <c r="J171" i="19"/>
  <c r="L171" i="19"/>
  <c r="M171" i="19"/>
  <c r="N171" i="19"/>
  <c r="D172" i="19"/>
  <c r="E172" i="19"/>
  <c r="F172" i="19"/>
  <c r="J172" i="19"/>
  <c r="L172" i="19"/>
  <c r="M172" i="19"/>
  <c r="N172" i="19"/>
  <c r="D173" i="19"/>
  <c r="E173" i="19"/>
  <c r="F173" i="19"/>
  <c r="J173" i="19"/>
  <c r="L173" i="19"/>
  <c r="M173" i="19"/>
  <c r="N173" i="19"/>
  <c r="D174" i="19"/>
  <c r="E174" i="19"/>
  <c r="F174" i="19"/>
  <c r="J174" i="19"/>
  <c r="L174" i="19"/>
  <c r="M174" i="19"/>
  <c r="N174" i="19"/>
  <c r="D175" i="19"/>
  <c r="E175" i="19"/>
  <c r="F175" i="19"/>
  <c r="J175" i="19"/>
  <c r="L175" i="19"/>
  <c r="M175" i="19"/>
  <c r="N175" i="19"/>
  <c r="D176" i="19"/>
  <c r="E176" i="19"/>
  <c r="F176" i="19"/>
  <c r="J176" i="19"/>
  <c r="L176" i="19"/>
  <c r="M176" i="19"/>
  <c r="N176" i="19"/>
  <c r="D177" i="19"/>
  <c r="E177" i="19"/>
  <c r="F177" i="19"/>
  <c r="J177" i="19"/>
  <c r="L177" i="19"/>
  <c r="M177" i="19"/>
  <c r="N177" i="19"/>
  <c r="D178" i="19"/>
  <c r="E178" i="19"/>
  <c r="F178" i="19"/>
  <c r="J178" i="19"/>
  <c r="L178" i="19"/>
  <c r="M178" i="19"/>
  <c r="N178" i="19"/>
  <c r="D179" i="19"/>
  <c r="E179" i="19"/>
  <c r="F179" i="19"/>
  <c r="J179" i="19"/>
  <c r="L179" i="19"/>
  <c r="M179" i="19"/>
  <c r="N179" i="19"/>
  <c r="D180" i="19"/>
  <c r="E180" i="19"/>
  <c r="F180" i="19"/>
  <c r="J180" i="19"/>
  <c r="L180" i="19"/>
  <c r="M180" i="19"/>
  <c r="N180" i="19"/>
  <c r="D181" i="19"/>
  <c r="E181" i="19"/>
  <c r="F181" i="19"/>
  <c r="J181" i="19"/>
  <c r="L181" i="19"/>
  <c r="M181" i="19"/>
  <c r="N181" i="19"/>
  <c r="D182" i="19"/>
  <c r="E182" i="19"/>
  <c r="F182" i="19"/>
  <c r="J182" i="19"/>
  <c r="L182" i="19"/>
  <c r="M182" i="19"/>
  <c r="N182" i="19"/>
  <c r="D183" i="19"/>
  <c r="E183" i="19"/>
  <c r="F183" i="19"/>
  <c r="J183" i="19"/>
  <c r="L183" i="19"/>
  <c r="M183" i="19"/>
  <c r="N183" i="19"/>
  <c r="D184" i="19"/>
  <c r="E184" i="19"/>
  <c r="F184" i="19"/>
  <c r="J184" i="19"/>
  <c r="L184" i="19"/>
  <c r="M184" i="19"/>
  <c r="N184" i="19"/>
  <c r="D185" i="19"/>
  <c r="E185" i="19"/>
  <c r="F185" i="19"/>
  <c r="J185" i="19"/>
  <c r="L185" i="19"/>
  <c r="M185" i="19"/>
  <c r="N185" i="19"/>
  <c r="D186" i="19"/>
  <c r="E186" i="19"/>
  <c r="F186" i="19"/>
  <c r="J186" i="19"/>
  <c r="L186" i="19"/>
  <c r="M186" i="19"/>
  <c r="N186" i="19"/>
  <c r="D187" i="19"/>
  <c r="E187" i="19"/>
  <c r="F187" i="19"/>
  <c r="J187" i="19"/>
  <c r="L187" i="19"/>
  <c r="M187" i="19"/>
  <c r="N187" i="19"/>
  <c r="D188" i="19"/>
  <c r="E188" i="19"/>
  <c r="F188" i="19"/>
  <c r="J188" i="19"/>
  <c r="L188" i="19"/>
  <c r="M188" i="19"/>
  <c r="N188" i="19"/>
  <c r="D189" i="19"/>
  <c r="E189" i="19"/>
  <c r="F189" i="19"/>
  <c r="J189" i="19"/>
  <c r="L189" i="19"/>
  <c r="M189" i="19"/>
  <c r="N189" i="19"/>
  <c r="D190" i="19"/>
  <c r="E190" i="19"/>
  <c r="F190" i="19"/>
  <c r="J190" i="19"/>
  <c r="L190" i="19"/>
  <c r="M190" i="19"/>
  <c r="N190" i="19"/>
  <c r="D191" i="19"/>
  <c r="E191" i="19"/>
  <c r="F191" i="19"/>
  <c r="J191" i="19"/>
  <c r="L191" i="19"/>
  <c r="M191" i="19"/>
  <c r="N191" i="19"/>
  <c r="D192" i="19"/>
  <c r="E192" i="19"/>
  <c r="F192" i="19"/>
  <c r="J192" i="19"/>
  <c r="L192" i="19"/>
  <c r="M192" i="19"/>
  <c r="N192" i="19"/>
  <c r="D193" i="19"/>
  <c r="E193" i="19"/>
  <c r="F193" i="19"/>
  <c r="J193" i="19"/>
  <c r="L193" i="19"/>
  <c r="M193" i="19"/>
  <c r="N193" i="19"/>
  <c r="D194" i="19"/>
  <c r="E194" i="19"/>
  <c r="F194" i="19"/>
  <c r="J194" i="19"/>
  <c r="L194" i="19"/>
  <c r="M194" i="19"/>
  <c r="N194" i="19"/>
  <c r="D195" i="19"/>
  <c r="E195" i="19"/>
  <c r="F195" i="19"/>
  <c r="J195" i="19"/>
  <c r="L195" i="19"/>
  <c r="M195" i="19"/>
  <c r="N195" i="19"/>
  <c r="D196" i="19"/>
  <c r="E196" i="19"/>
  <c r="F196" i="19"/>
  <c r="J196" i="19"/>
  <c r="L196" i="19"/>
  <c r="M196" i="19"/>
  <c r="N196" i="19"/>
  <c r="D197" i="19"/>
  <c r="E197" i="19"/>
  <c r="F197" i="19"/>
  <c r="J197" i="19"/>
  <c r="L197" i="19"/>
  <c r="M197" i="19"/>
  <c r="N197" i="19"/>
  <c r="D198" i="19"/>
  <c r="E198" i="19"/>
  <c r="F198" i="19"/>
  <c r="J198" i="19"/>
  <c r="L198" i="19"/>
  <c r="M198" i="19"/>
  <c r="N198" i="19"/>
  <c r="D199" i="19"/>
  <c r="E199" i="19"/>
  <c r="F199" i="19"/>
  <c r="J199" i="19"/>
  <c r="L199" i="19"/>
  <c r="M199" i="19"/>
  <c r="N199" i="19"/>
  <c r="D200" i="19"/>
  <c r="E200" i="19"/>
  <c r="F200" i="19"/>
  <c r="J200" i="19"/>
  <c r="L200" i="19"/>
  <c r="M200" i="19"/>
  <c r="N200" i="19"/>
  <c r="D201" i="19"/>
  <c r="E201" i="19"/>
  <c r="F201" i="19"/>
  <c r="J201" i="19"/>
  <c r="L201" i="19"/>
  <c r="M201" i="19"/>
  <c r="V201" i="19" s="1"/>
  <c r="N201" i="19"/>
  <c r="D202" i="19"/>
  <c r="E202" i="19"/>
  <c r="F202" i="19"/>
  <c r="J202" i="19"/>
  <c r="L202" i="19"/>
  <c r="M202" i="19"/>
  <c r="N202" i="19"/>
  <c r="D203" i="19"/>
  <c r="E203" i="19"/>
  <c r="F203" i="19"/>
  <c r="J203" i="19"/>
  <c r="L203" i="19"/>
  <c r="M203" i="19"/>
  <c r="N203" i="19"/>
  <c r="D204" i="19"/>
  <c r="E204" i="19"/>
  <c r="F204" i="19"/>
  <c r="J204" i="19"/>
  <c r="L204" i="19"/>
  <c r="M204" i="19"/>
  <c r="N204" i="19"/>
  <c r="D205" i="19"/>
  <c r="E205" i="19"/>
  <c r="F205" i="19"/>
  <c r="J205" i="19"/>
  <c r="L205" i="19"/>
  <c r="M205" i="19"/>
  <c r="N205" i="19"/>
  <c r="D206" i="19"/>
  <c r="E206" i="19"/>
  <c r="F206" i="19"/>
  <c r="J206" i="19"/>
  <c r="L206" i="19"/>
  <c r="M206" i="19"/>
  <c r="N206" i="19"/>
  <c r="D207" i="19"/>
  <c r="E207" i="19"/>
  <c r="F207" i="19"/>
  <c r="J207" i="19"/>
  <c r="L207" i="19"/>
  <c r="M207" i="19"/>
  <c r="N207" i="19"/>
  <c r="D208" i="19"/>
  <c r="E208" i="19"/>
  <c r="F208" i="19"/>
  <c r="J208" i="19"/>
  <c r="L208" i="19"/>
  <c r="M208" i="19"/>
  <c r="N208" i="19"/>
  <c r="D209" i="19"/>
  <c r="E209" i="19"/>
  <c r="F209" i="19"/>
  <c r="J209" i="19"/>
  <c r="L209" i="19"/>
  <c r="M209" i="19"/>
  <c r="N209" i="19"/>
  <c r="D210" i="19"/>
  <c r="E210" i="19"/>
  <c r="F210" i="19"/>
  <c r="J210" i="19"/>
  <c r="L210" i="19"/>
  <c r="M210" i="19"/>
  <c r="N210" i="19"/>
  <c r="D211" i="19"/>
  <c r="E211" i="19"/>
  <c r="F211" i="19"/>
  <c r="J211" i="19"/>
  <c r="L211" i="19"/>
  <c r="M211" i="19"/>
  <c r="N211" i="19"/>
  <c r="D212" i="19"/>
  <c r="E212" i="19"/>
  <c r="F212" i="19"/>
  <c r="J212" i="19"/>
  <c r="L212" i="19"/>
  <c r="M212" i="19"/>
  <c r="N212" i="19"/>
  <c r="D213" i="19"/>
  <c r="E213" i="19"/>
  <c r="F213" i="19"/>
  <c r="J213" i="19"/>
  <c r="L213" i="19"/>
  <c r="M213" i="19"/>
  <c r="N213" i="19"/>
  <c r="D214" i="19"/>
  <c r="E214" i="19"/>
  <c r="F214" i="19"/>
  <c r="J214" i="19"/>
  <c r="L214" i="19"/>
  <c r="M214" i="19"/>
  <c r="N214" i="19"/>
  <c r="D215" i="19"/>
  <c r="E215" i="19"/>
  <c r="F215" i="19"/>
  <c r="J215" i="19"/>
  <c r="L215" i="19"/>
  <c r="M215" i="19"/>
  <c r="N215" i="19"/>
  <c r="D216" i="19"/>
  <c r="E216" i="19"/>
  <c r="F216" i="19"/>
  <c r="J216" i="19"/>
  <c r="L216" i="19"/>
  <c r="M216" i="19"/>
  <c r="N216" i="19"/>
  <c r="D217" i="19"/>
  <c r="E217" i="19"/>
  <c r="F217" i="19"/>
  <c r="J217" i="19"/>
  <c r="L217" i="19"/>
  <c r="M217" i="19"/>
  <c r="N217" i="19"/>
  <c r="D218" i="19"/>
  <c r="E218" i="19"/>
  <c r="F218" i="19"/>
  <c r="J218" i="19"/>
  <c r="L218" i="19"/>
  <c r="M218" i="19"/>
  <c r="N218" i="19"/>
  <c r="D219" i="19"/>
  <c r="E219" i="19"/>
  <c r="F219" i="19"/>
  <c r="J219" i="19"/>
  <c r="L219" i="19"/>
  <c r="M219" i="19"/>
  <c r="N219" i="19"/>
  <c r="D220" i="19"/>
  <c r="E220" i="19"/>
  <c r="F220" i="19"/>
  <c r="J220" i="19"/>
  <c r="L220" i="19"/>
  <c r="M220" i="19"/>
  <c r="N220" i="19"/>
  <c r="D221" i="19"/>
  <c r="E221" i="19"/>
  <c r="F221" i="19"/>
  <c r="J221" i="19"/>
  <c r="L221" i="19"/>
  <c r="M221" i="19"/>
  <c r="N221" i="19"/>
  <c r="D222" i="19"/>
  <c r="E222" i="19"/>
  <c r="F222" i="19"/>
  <c r="J222" i="19"/>
  <c r="L222" i="19"/>
  <c r="M222" i="19"/>
  <c r="N222" i="19"/>
  <c r="D223" i="19"/>
  <c r="E223" i="19"/>
  <c r="F223" i="19"/>
  <c r="J223" i="19"/>
  <c r="L223" i="19"/>
  <c r="M223" i="19"/>
  <c r="N223" i="19"/>
  <c r="D224" i="19"/>
  <c r="E224" i="19"/>
  <c r="F224" i="19"/>
  <c r="J224" i="19"/>
  <c r="L224" i="19"/>
  <c r="M224" i="19"/>
  <c r="N224" i="19"/>
  <c r="D225" i="19"/>
  <c r="E225" i="19"/>
  <c r="F225" i="19"/>
  <c r="J225" i="19"/>
  <c r="L225" i="19"/>
  <c r="M225" i="19"/>
  <c r="N225" i="19"/>
  <c r="D226" i="19"/>
  <c r="E226" i="19"/>
  <c r="F226" i="19"/>
  <c r="J226" i="19"/>
  <c r="L226" i="19"/>
  <c r="M226" i="19"/>
  <c r="N226" i="19"/>
  <c r="D227" i="19"/>
  <c r="E227" i="19"/>
  <c r="F227" i="19"/>
  <c r="J227" i="19"/>
  <c r="L227" i="19"/>
  <c r="M227" i="19"/>
  <c r="N227" i="19"/>
  <c r="D228" i="19"/>
  <c r="E228" i="19"/>
  <c r="F228" i="19"/>
  <c r="J228" i="19"/>
  <c r="L228" i="19"/>
  <c r="M228" i="19"/>
  <c r="N228" i="19"/>
  <c r="D229" i="19"/>
  <c r="E229" i="19"/>
  <c r="F229" i="19"/>
  <c r="J229" i="19"/>
  <c r="L229" i="19"/>
  <c r="M229" i="19"/>
  <c r="N229" i="19"/>
  <c r="D230" i="19"/>
  <c r="E230" i="19"/>
  <c r="F230" i="19"/>
  <c r="J230" i="19"/>
  <c r="L230" i="19"/>
  <c r="M230" i="19"/>
  <c r="N230" i="19"/>
  <c r="D231" i="19"/>
  <c r="E231" i="19"/>
  <c r="F231" i="19"/>
  <c r="J231" i="19"/>
  <c r="L231" i="19"/>
  <c r="M231" i="19"/>
  <c r="N231" i="19"/>
  <c r="D232" i="19"/>
  <c r="E232" i="19"/>
  <c r="F232" i="19"/>
  <c r="J232" i="19"/>
  <c r="L232" i="19"/>
  <c r="M232" i="19"/>
  <c r="N232" i="19"/>
  <c r="D233" i="19"/>
  <c r="E233" i="19"/>
  <c r="F233" i="19"/>
  <c r="J233" i="19"/>
  <c r="L233" i="19"/>
  <c r="M233" i="19"/>
  <c r="N233" i="19"/>
  <c r="D234" i="19"/>
  <c r="E234" i="19"/>
  <c r="F234" i="19"/>
  <c r="J234" i="19"/>
  <c r="L234" i="19"/>
  <c r="M234" i="19"/>
  <c r="N234" i="19"/>
  <c r="D235" i="19"/>
  <c r="E235" i="19"/>
  <c r="F235" i="19"/>
  <c r="J235" i="19"/>
  <c r="L235" i="19"/>
  <c r="M235" i="19"/>
  <c r="N235" i="19"/>
  <c r="D236" i="19"/>
  <c r="E236" i="19"/>
  <c r="F236" i="19"/>
  <c r="J236" i="19"/>
  <c r="L236" i="19"/>
  <c r="M236" i="19"/>
  <c r="N236" i="19"/>
  <c r="D237" i="19"/>
  <c r="E237" i="19"/>
  <c r="F237" i="19"/>
  <c r="J237" i="19"/>
  <c r="L237" i="19"/>
  <c r="M237" i="19"/>
  <c r="N237" i="19"/>
  <c r="D238" i="19"/>
  <c r="E238" i="19"/>
  <c r="F238" i="19"/>
  <c r="J238" i="19"/>
  <c r="L238" i="19"/>
  <c r="M238" i="19"/>
  <c r="N238" i="19"/>
  <c r="D239" i="19"/>
  <c r="E239" i="19"/>
  <c r="F239" i="19"/>
  <c r="J239" i="19"/>
  <c r="L239" i="19"/>
  <c r="M239" i="19"/>
  <c r="N239" i="19"/>
  <c r="D240" i="19"/>
  <c r="E240" i="19"/>
  <c r="F240" i="19"/>
  <c r="J240" i="19"/>
  <c r="L240" i="19"/>
  <c r="M240" i="19"/>
  <c r="N240" i="19"/>
  <c r="D241" i="19"/>
  <c r="E241" i="19"/>
  <c r="F241" i="19"/>
  <c r="J241" i="19"/>
  <c r="L241" i="19"/>
  <c r="M241" i="19"/>
  <c r="N241" i="19"/>
  <c r="D242" i="19"/>
  <c r="E242" i="19"/>
  <c r="F242" i="19"/>
  <c r="J242" i="19"/>
  <c r="L242" i="19"/>
  <c r="M242" i="19"/>
  <c r="N242" i="19"/>
  <c r="D243" i="19"/>
  <c r="E243" i="19"/>
  <c r="F243" i="19"/>
  <c r="J243" i="19"/>
  <c r="L243" i="19"/>
  <c r="M243" i="19"/>
  <c r="N243" i="19"/>
  <c r="D244" i="19"/>
  <c r="E244" i="19"/>
  <c r="F244" i="19"/>
  <c r="J244" i="19"/>
  <c r="L244" i="19"/>
  <c r="M244" i="19"/>
  <c r="N244" i="19"/>
  <c r="D245" i="19"/>
  <c r="E245" i="19"/>
  <c r="F245" i="19"/>
  <c r="J245" i="19"/>
  <c r="L245" i="19"/>
  <c r="M245" i="19"/>
  <c r="N245" i="19"/>
  <c r="D246" i="19"/>
  <c r="E246" i="19"/>
  <c r="F246" i="19"/>
  <c r="J246" i="19"/>
  <c r="L246" i="19"/>
  <c r="M246" i="19"/>
  <c r="V246" i="19" s="1"/>
  <c r="N246" i="19"/>
  <c r="D247" i="19"/>
  <c r="E247" i="19"/>
  <c r="F247" i="19"/>
  <c r="J247" i="19"/>
  <c r="L247" i="19"/>
  <c r="M247" i="19"/>
  <c r="N247" i="19"/>
  <c r="D248" i="19"/>
  <c r="E248" i="19"/>
  <c r="F248" i="19"/>
  <c r="J248" i="19"/>
  <c r="L248" i="19"/>
  <c r="M248" i="19"/>
  <c r="N248" i="19"/>
  <c r="D249" i="19"/>
  <c r="E249" i="19"/>
  <c r="F249" i="19"/>
  <c r="J249" i="19"/>
  <c r="L249" i="19"/>
  <c r="M249" i="19"/>
  <c r="N249" i="19"/>
  <c r="D250" i="19"/>
  <c r="E250" i="19"/>
  <c r="F250" i="19"/>
  <c r="J250" i="19"/>
  <c r="L250" i="19"/>
  <c r="M250" i="19"/>
  <c r="N250" i="19"/>
  <c r="D251" i="19"/>
  <c r="E251" i="19"/>
  <c r="F251" i="19"/>
  <c r="J251" i="19"/>
  <c r="L251" i="19"/>
  <c r="M251" i="19"/>
  <c r="N251" i="19"/>
  <c r="D252" i="19"/>
  <c r="E252" i="19"/>
  <c r="F252" i="19"/>
  <c r="J252" i="19"/>
  <c r="L252" i="19"/>
  <c r="M252" i="19"/>
  <c r="N252" i="19"/>
  <c r="D253" i="19"/>
  <c r="E253" i="19"/>
  <c r="F253" i="19"/>
  <c r="J253" i="19"/>
  <c r="L253" i="19"/>
  <c r="M253" i="19"/>
  <c r="N253" i="19"/>
  <c r="D254" i="19"/>
  <c r="E254" i="19"/>
  <c r="F254" i="19"/>
  <c r="J254" i="19"/>
  <c r="L254" i="19"/>
  <c r="M254" i="19"/>
  <c r="N254" i="19"/>
  <c r="D255" i="19"/>
  <c r="E255" i="19"/>
  <c r="F255" i="19"/>
  <c r="J255" i="19"/>
  <c r="L255" i="19"/>
  <c r="M255" i="19"/>
  <c r="N255" i="19"/>
  <c r="D256" i="19"/>
  <c r="E256" i="19"/>
  <c r="F256" i="19"/>
  <c r="J256" i="19"/>
  <c r="L256" i="19"/>
  <c r="M256" i="19"/>
  <c r="N256" i="19"/>
  <c r="D257" i="19"/>
  <c r="E257" i="19"/>
  <c r="F257" i="19"/>
  <c r="J257" i="19"/>
  <c r="L257" i="19"/>
  <c r="M257" i="19"/>
  <c r="N257" i="19"/>
  <c r="D258" i="19"/>
  <c r="E258" i="19"/>
  <c r="F258" i="19"/>
  <c r="J258" i="19"/>
  <c r="L258" i="19"/>
  <c r="M258" i="19"/>
  <c r="N258" i="19"/>
  <c r="D259" i="19"/>
  <c r="E259" i="19"/>
  <c r="F259" i="19"/>
  <c r="J259" i="19"/>
  <c r="L259" i="19"/>
  <c r="M259" i="19"/>
  <c r="N259" i="19"/>
  <c r="D260" i="19"/>
  <c r="E260" i="19"/>
  <c r="F260" i="19"/>
  <c r="J260" i="19"/>
  <c r="L260" i="19"/>
  <c r="M260" i="19"/>
  <c r="N260" i="19"/>
  <c r="D261" i="19"/>
  <c r="E261" i="19"/>
  <c r="F261" i="19"/>
  <c r="J261" i="19"/>
  <c r="L261" i="19"/>
  <c r="M261" i="19"/>
  <c r="N261" i="19"/>
  <c r="D262" i="19"/>
  <c r="E262" i="19"/>
  <c r="F262" i="19"/>
  <c r="J262" i="19"/>
  <c r="L262" i="19"/>
  <c r="M262" i="19"/>
  <c r="N262" i="19"/>
  <c r="D263" i="19"/>
  <c r="E263" i="19"/>
  <c r="F263" i="19"/>
  <c r="J263" i="19"/>
  <c r="L263" i="19"/>
  <c r="M263" i="19"/>
  <c r="N263" i="19"/>
  <c r="D264" i="19"/>
  <c r="E264" i="19"/>
  <c r="F264" i="19"/>
  <c r="J264" i="19"/>
  <c r="L264" i="19"/>
  <c r="M264" i="19"/>
  <c r="N264" i="19"/>
  <c r="D265" i="19"/>
  <c r="E265" i="19"/>
  <c r="F265" i="19"/>
  <c r="J265" i="19"/>
  <c r="L265" i="19"/>
  <c r="M265" i="19"/>
  <c r="N265" i="19"/>
  <c r="D266" i="19"/>
  <c r="E266" i="19"/>
  <c r="F266" i="19"/>
  <c r="J266" i="19"/>
  <c r="L266" i="19"/>
  <c r="M266" i="19"/>
  <c r="N266" i="19"/>
  <c r="D267" i="19"/>
  <c r="E267" i="19"/>
  <c r="F267" i="19"/>
  <c r="J267" i="19"/>
  <c r="L267" i="19"/>
  <c r="M267" i="19"/>
  <c r="N267" i="19"/>
  <c r="D268" i="19"/>
  <c r="E268" i="19"/>
  <c r="F268" i="19"/>
  <c r="J268" i="19"/>
  <c r="L268" i="19"/>
  <c r="M268" i="19"/>
  <c r="N268" i="19"/>
  <c r="D269" i="19"/>
  <c r="E269" i="19"/>
  <c r="F269" i="19"/>
  <c r="J269" i="19"/>
  <c r="L269" i="19"/>
  <c r="M269" i="19"/>
  <c r="N269" i="19"/>
  <c r="D270" i="19"/>
  <c r="E270" i="19"/>
  <c r="F270" i="19"/>
  <c r="J270" i="19"/>
  <c r="L270" i="19"/>
  <c r="M270" i="19"/>
  <c r="N270" i="19"/>
  <c r="D271" i="19"/>
  <c r="E271" i="19"/>
  <c r="F271" i="19"/>
  <c r="J271" i="19"/>
  <c r="L271" i="19"/>
  <c r="M271" i="19"/>
  <c r="N271" i="19"/>
  <c r="D272" i="19"/>
  <c r="E272" i="19"/>
  <c r="F272" i="19"/>
  <c r="J272" i="19"/>
  <c r="L272" i="19"/>
  <c r="M272" i="19"/>
  <c r="N272" i="19"/>
  <c r="D273" i="19"/>
  <c r="E273" i="19"/>
  <c r="F273" i="19"/>
  <c r="J273" i="19"/>
  <c r="L273" i="19"/>
  <c r="M273" i="19"/>
  <c r="N273" i="19"/>
  <c r="D274" i="19"/>
  <c r="E274" i="19"/>
  <c r="F274" i="19"/>
  <c r="J274" i="19"/>
  <c r="L274" i="19"/>
  <c r="M274" i="19"/>
  <c r="N274" i="19"/>
  <c r="D275" i="19"/>
  <c r="E275" i="19"/>
  <c r="F275" i="19"/>
  <c r="J275" i="19"/>
  <c r="L275" i="19"/>
  <c r="M275" i="19"/>
  <c r="D276" i="19"/>
  <c r="E276" i="19"/>
  <c r="F276" i="19"/>
  <c r="J276" i="19"/>
  <c r="L276" i="19"/>
  <c r="M276" i="19"/>
  <c r="N276" i="19"/>
  <c r="D277" i="19"/>
  <c r="E277" i="19"/>
  <c r="F277" i="19"/>
  <c r="J277" i="19"/>
  <c r="L277" i="19"/>
  <c r="M277" i="19"/>
  <c r="N277" i="19"/>
  <c r="D278" i="19"/>
  <c r="E278" i="19"/>
  <c r="F278" i="19"/>
  <c r="J278" i="19"/>
  <c r="L278" i="19"/>
  <c r="M278" i="19"/>
  <c r="N278" i="19"/>
  <c r="D279" i="19"/>
  <c r="E279" i="19"/>
  <c r="F279" i="19"/>
  <c r="J279" i="19"/>
  <c r="L279" i="19"/>
  <c r="M279" i="19"/>
  <c r="N279" i="19"/>
  <c r="D280" i="19"/>
  <c r="E280" i="19"/>
  <c r="F280" i="19"/>
  <c r="J280" i="19"/>
  <c r="L280" i="19"/>
  <c r="M280" i="19"/>
  <c r="N280" i="19"/>
  <c r="D281" i="19"/>
  <c r="E281" i="19"/>
  <c r="F281" i="19"/>
  <c r="J281" i="19"/>
  <c r="L281" i="19"/>
  <c r="M281" i="19"/>
  <c r="N281" i="19"/>
  <c r="D282" i="19"/>
  <c r="E282" i="19"/>
  <c r="F282" i="19"/>
  <c r="J282" i="19"/>
  <c r="L282" i="19"/>
  <c r="M282" i="19"/>
  <c r="N282" i="19"/>
  <c r="D283" i="19"/>
  <c r="E283" i="19"/>
  <c r="F283" i="19"/>
  <c r="J283" i="19"/>
  <c r="L283" i="19"/>
  <c r="M283" i="19"/>
  <c r="N283" i="19"/>
  <c r="D284" i="19"/>
  <c r="E284" i="19"/>
  <c r="F284" i="19"/>
  <c r="J284" i="19"/>
  <c r="L284" i="19"/>
  <c r="M284" i="19"/>
  <c r="N284" i="19"/>
  <c r="D285" i="19"/>
  <c r="E285" i="19"/>
  <c r="F285" i="19"/>
  <c r="J285" i="19"/>
  <c r="L285" i="19"/>
  <c r="M285" i="19"/>
  <c r="N285" i="19"/>
  <c r="D286" i="19"/>
  <c r="E286" i="19"/>
  <c r="F286" i="19"/>
  <c r="J286" i="19"/>
  <c r="L286" i="19"/>
  <c r="M286" i="19"/>
  <c r="N286" i="19"/>
  <c r="D287" i="19"/>
  <c r="E287" i="19"/>
  <c r="F287" i="19"/>
  <c r="J287" i="19"/>
  <c r="L287" i="19"/>
  <c r="M287" i="19"/>
  <c r="N287" i="19"/>
  <c r="D288" i="19"/>
  <c r="E288" i="19"/>
  <c r="F288" i="19"/>
  <c r="J288" i="19"/>
  <c r="L288" i="19"/>
  <c r="M288" i="19"/>
  <c r="N288" i="19"/>
  <c r="D289" i="19"/>
  <c r="E289" i="19"/>
  <c r="F289" i="19"/>
  <c r="J289" i="19"/>
  <c r="L289" i="19"/>
  <c r="M289" i="19"/>
  <c r="N289" i="19"/>
  <c r="D290" i="19"/>
  <c r="E290" i="19"/>
  <c r="F290" i="19"/>
  <c r="J290" i="19"/>
  <c r="L290" i="19"/>
  <c r="M290" i="19"/>
  <c r="N290" i="19"/>
  <c r="D291" i="19"/>
  <c r="E291" i="19"/>
  <c r="F291" i="19"/>
  <c r="J291" i="19"/>
  <c r="L291" i="19"/>
  <c r="M291" i="19"/>
  <c r="N291" i="19"/>
  <c r="D292" i="19"/>
  <c r="E292" i="19"/>
  <c r="F292" i="19"/>
  <c r="J292" i="19"/>
  <c r="L292" i="19"/>
  <c r="M292" i="19"/>
  <c r="N292" i="19"/>
  <c r="D293" i="19"/>
  <c r="E293" i="19"/>
  <c r="F293" i="19"/>
  <c r="J293" i="19"/>
  <c r="L293" i="19"/>
  <c r="M293" i="19"/>
  <c r="N293" i="19"/>
  <c r="D294" i="19"/>
  <c r="E294" i="19"/>
  <c r="F294" i="19"/>
  <c r="J294" i="19"/>
  <c r="L294" i="19"/>
  <c r="M294" i="19"/>
  <c r="N294" i="19"/>
  <c r="D295" i="19"/>
  <c r="E295" i="19"/>
  <c r="F295" i="19"/>
  <c r="J295" i="19"/>
  <c r="L295" i="19"/>
  <c r="M295" i="19"/>
  <c r="N295" i="19"/>
  <c r="D296" i="19"/>
  <c r="E296" i="19"/>
  <c r="F296" i="19"/>
  <c r="J296" i="19"/>
  <c r="L296" i="19"/>
  <c r="M296" i="19"/>
  <c r="N296" i="19"/>
  <c r="D297" i="19"/>
  <c r="E297" i="19"/>
  <c r="F297" i="19"/>
  <c r="J297" i="19"/>
  <c r="L297" i="19"/>
  <c r="M297" i="19"/>
  <c r="N297" i="19"/>
  <c r="D298" i="19"/>
  <c r="E298" i="19"/>
  <c r="F298" i="19"/>
  <c r="J298" i="19"/>
  <c r="L298" i="19"/>
  <c r="M298" i="19"/>
  <c r="V298" i="19" s="1"/>
  <c r="N298" i="19"/>
  <c r="D299" i="19"/>
  <c r="E299" i="19"/>
  <c r="F299" i="19"/>
  <c r="J299" i="19"/>
  <c r="L299" i="19"/>
  <c r="M299" i="19"/>
  <c r="N299" i="19"/>
  <c r="D300" i="19"/>
  <c r="E300" i="19"/>
  <c r="F300" i="19"/>
  <c r="J300" i="19"/>
  <c r="L300" i="19"/>
  <c r="M300" i="19"/>
  <c r="N300" i="19"/>
  <c r="D301" i="19"/>
  <c r="E301" i="19"/>
  <c r="F301" i="19"/>
  <c r="J301" i="19"/>
  <c r="L301" i="19"/>
  <c r="M301" i="19"/>
  <c r="N301" i="19"/>
  <c r="D302" i="19"/>
  <c r="E302" i="19"/>
  <c r="F302" i="19"/>
  <c r="J302" i="19"/>
  <c r="L302" i="19"/>
  <c r="M302" i="19"/>
  <c r="N302" i="19"/>
  <c r="D303" i="19"/>
  <c r="E303" i="19"/>
  <c r="F303" i="19"/>
  <c r="J303" i="19"/>
  <c r="L303" i="19"/>
  <c r="M303" i="19"/>
  <c r="N303" i="19"/>
  <c r="D304" i="19"/>
  <c r="E304" i="19"/>
  <c r="F304" i="19"/>
  <c r="J304" i="19"/>
  <c r="L304" i="19"/>
  <c r="M304" i="19"/>
  <c r="N304" i="19"/>
  <c r="D305" i="19"/>
  <c r="E305" i="19"/>
  <c r="F305" i="19"/>
  <c r="J305" i="19"/>
  <c r="L305" i="19"/>
  <c r="M305" i="19"/>
  <c r="N305" i="19"/>
  <c r="D306" i="19"/>
  <c r="E306" i="19"/>
  <c r="F306" i="19"/>
  <c r="J306" i="19"/>
  <c r="L306" i="19"/>
  <c r="M306" i="19"/>
  <c r="N306" i="19"/>
  <c r="D307" i="19"/>
  <c r="E307" i="19"/>
  <c r="F307" i="19"/>
  <c r="J307" i="19"/>
  <c r="L307" i="19"/>
  <c r="M307" i="19"/>
  <c r="N307" i="19"/>
  <c r="D308" i="19"/>
  <c r="E308" i="19"/>
  <c r="F308" i="19"/>
  <c r="J308" i="19"/>
  <c r="L308" i="19"/>
  <c r="M308" i="19"/>
  <c r="N308" i="19"/>
  <c r="D309" i="19"/>
  <c r="E309" i="19"/>
  <c r="F309" i="19"/>
  <c r="J309" i="19"/>
  <c r="L309" i="19"/>
  <c r="M309" i="19"/>
  <c r="N309" i="19"/>
  <c r="D310" i="19"/>
  <c r="E310" i="19"/>
  <c r="F310" i="19"/>
  <c r="J310" i="19"/>
  <c r="L310" i="19"/>
  <c r="M310" i="19"/>
  <c r="N310" i="19"/>
  <c r="D311" i="19"/>
  <c r="E311" i="19"/>
  <c r="F311" i="19"/>
  <c r="J311" i="19"/>
  <c r="L311" i="19"/>
  <c r="M311" i="19"/>
  <c r="N311" i="19"/>
  <c r="D312" i="19"/>
  <c r="E312" i="19"/>
  <c r="F312" i="19"/>
  <c r="J312" i="19"/>
  <c r="L312" i="19"/>
  <c r="M312" i="19"/>
  <c r="N312" i="19"/>
  <c r="D313" i="19"/>
  <c r="E313" i="19"/>
  <c r="F313" i="19"/>
  <c r="J313" i="19"/>
  <c r="L313" i="19"/>
  <c r="M313" i="19"/>
  <c r="N313" i="19"/>
  <c r="D314" i="19"/>
  <c r="E314" i="19"/>
  <c r="F314" i="19"/>
  <c r="J314" i="19"/>
  <c r="L314" i="19"/>
  <c r="M314" i="19"/>
  <c r="N314" i="19"/>
  <c r="D315" i="19"/>
  <c r="E315" i="19"/>
  <c r="F315" i="19"/>
  <c r="J315" i="19"/>
  <c r="L315" i="19"/>
  <c r="M315" i="19"/>
  <c r="N315" i="19"/>
  <c r="D316" i="19"/>
  <c r="E316" i="19"/>
  <c r="F316" i="19"/>
  <c r="J316" i="19"/>
  <c r="L316" i="19"/>
  <c r="M316" i="19"/>
  <c r="N316" i="19"/>
  <c r="D317" i="19"/>
  <c r="E317" i="19"/>
  <c r="F317" i="19"/>
  <c r="J317" i="19"/>
  <c r="L317" i="19"/>
  <c r="M317" i="19"/>
  <c r="N317" i="19"/>
  <c r="D318" i="19"/>
  <c r="E318" i="19"/>
  <c r="F318" i="19"/>
  <c r="J318" i="19"/>
  <c r="L318" i="19"/>
  <c r="M318" i="19"/>
  <c r="N318" i="19"/>
  <c r="D319" i="19"/>
  <c r="E319" i="19"/>
  <c r="F319" i="19"/>
  <c r="J319" i="19"/>
  <c r="L319" i="19"/>
  <c r="M319" i="19"/>
  <c r="N319" i="19"/>
  <c r="D320" i="19"/>
  <c r="E320" i="19"/>
  <c r="F320" i="19"/>
  <c r="J320" i="19"/>
  <c r="L320" i="19"/>
  <c r="M320" i="19"/>
  <c r="N320" i="19"/>
  <c r="D321" i="19"/>
  <c r="E321" i="19"/>
  <c r="F321" i="19"/>
  <c r="J321" i="19"/>
  <c r="L321" i="19"/>
  <c r="M321" i="19"/>
  <c r="N321" i="19"/>
  <c r="D322" i="19"/>
  <c r="E322" i="19"/>
  <c r="F322" i="19"/>
  <c r="J322" i="19"/>
  <c r="L322" i="19"/>
  <c r="M322" i="19"/>
  <c r="N322" i="19"/>
  <c r="D323" i="19"/>
  <c r="E323" i="19"/>
  <c r="F323" i="19"/>
  <c r="J323" i="19"/>
  <c r="L323" i="19"/>
  <c r="M323" i="19"/>
  <c r="N323" i="19"/>
  <c r="D324" i="19"/>
  <c r="E324" i="19"/>
  <c r="F324" i="19"/>
  <c r="J324" i="19"/>
  <c r="L324" i="19"/>
  <c r="M324" i="19"/>
  <c r="N324" i="19"/>
  <c r="D325" i="19"/>
  <c r="E325" i="19"/>
  <c r="F325" i="19"/>
  <c r="J325" i="19"/>
  <c r="L325" i="19"/>
  <c r="M325" i="19"/>
  <c r="N325" i="19"/>
  <c r="D326" i="19"/>
  <c r="E326" i="19"/>
  <c r="F326" i="19"/>
  <c r="J326" i="19"/>
  <c r="L326" i="19"/>
  <c r="M326" i="19"/>
  <c r="N326" i="19"/>
  <c r="D327" i="19"/>
  <c r="E327" i="19"/>
  <c r="F327" i="19"/>
  <c r="J327" i="19"/>
  <c r="L327" i="19"/>
  <c r="M327" i="19"/>
  <c r="N327" i="19"/>
  <c r="D328" i="19"/>
  <c r="E328" i="19"/>
  <c r="F328" i="19"/>
  <c r="J328" i="19"/>
  <c r="L328" i="19"/>
  <c r="M328" i="19"/>
  <c r="N328" i="19"/>
  <c r="D329" i="19"/>
  <c r="E329" i="19"/>
  <c r="F329" i="19"/>
  <c r="J329" i="19"/>
  <c r="L329" i="19"/>
  <c r="M329" i="19"/>
  <c r="N329" i="19"/>
  <c r="D330" i="19"/>
  <c r="E330" i="19"/>
  <c r="F330" i="19"/>
  <c r="J330" i="19"/>
  <c r="L330" i="19"/>
  <c r="M330" i="19"/>
  <c r="N330" i="19"/>
  <c r="D331" i="19"/>
  <c r="E331" i="19"/>
  <c r="F331" i="19"/>
  <c r="J331" i="19"/>
  <c r="L331" i="19"/>
  <c r="M331" i="19"/>
  <c r="N331" i="19"/>
  <c r="D332" i="19"/>
  <c r="E332" i="19"/>
  <c r="F332" i="19"/>
  <c r="J332" i="19"/>
  <c r="L332" i="19"/>
  <c r="M332" i="19"/>
  <c r="N332" i="19"/>
  <c r="D333" i="19"/>
  <c r="E333" i="19"/>
  <c r="F333" i="19"/>
  <c r="J333" i="19"/>
  <c r="L333" i="19"/>
  <c r="M333" i="19"/>
  <c r="N333" i="19"/>
  <c r="D334" i="19"/>
  <c r="E334" i="19"/>
  <c r="F334" i="19"/>
  <c r="J334" i="19"/>
  <c r="L334" i="19"/>
  <c r="M334" i="19"/>
  <c r="N334" i="19"/>
  <c r="D335" i="19"/>
  <c r="E335" i="19"/>
  <c r="F335" i="19"/>
  <c r="J335" i="19"/>
  <c r="L335" i="19"/>
  <c r="M335" i="19"/>
  <c r="N335" i="19"/>
  <c r="D336" i="19"/>
  <c r="E336" i="19"/>
  <c r="F336" i="19"/>
  <c r="J336" i="19"/>
  <c r="L336" i="19"/>
  <c r="M336" i="19"/>
  <c r="N336" i="19"/>
  <c r="D337" i="19"/>
  <c r="E337" i="19"/>
  <c r="F337" i="19"/>
  <c r="J337" i="19"/>
  <c r="L337" i="19"/>
  <c r="M337" i="19"/>
  <c r="N337" i="19"/>
  <c r="D338" i="19"/>
  <c r="E338" i="19"/>
  <c r="F338" i="19"/>
  <c r="J338" i="19"/>
  <c r="L338" i="19"/>
  <c r="M338" i="19"/>
  <c r="N338" i="19"/>
  <c r="D339" i="19"/>
  <c r="E339" i="19"/>
  <c r="F339" i="19"/>
  <c r="J339" i="19"/>
  <c r="L339" i="19"/>
  <c r="M339" i="19"/>
  <c r="N339" i="19"/>
  <c r="D340" i="19"/>
  <c r="E340" i="19"/>
  <c r="F340" i="19"/>
  <c r="J340" i="19"/>
  <c r="L340" i="19"/>
  <c r="M340" i="19"/>
  <c r="N340" i="19"/>
  <c r="D341" i="19"/>
  <c r="E341" i="19"/>
  <c r="F341" i="19"/>
  <c r="J341" i="19"/>
  <c r="L341" i="19"/>
  <c r="M341" i="19"/>
  <c r="N341" i="19"/>
  <c r="D342" i="19"/>
  <c r="E342" i="19"/>
  <c r="F342" i="19"/>
  <c r="J342" i="19"/>
  <c r="L342" i="19"/>
  <c r="M342" i="19"/>
  <c r="N342" i="19"/>
  <c r="D343" i="19"/>
  <c r="E343" i="19"/>
  <c r="F343" i="19"/>
  <c r="J343" i="19"/>
  <c r="L343" i="19"/>
  <c r="M343" i="19"/>
  <c r="N343" i="19"/>
  <c r="D344" i="19"/>
  <c r="E344" i="19"/>
  <c r="F344" i="19"/>
  <c r="J344" i="19"/>
  <c r="L344" i="19"/>
  <c r="M344" i="19"/>
  <c r="N344" i="19"/>
  <c r="D345" i="19"/>
  <c r="E345" i="19"/>
  <c r="F345" i="19"/>
  <c r="J345" i="19"/>
  <c r="L345" i="19"/>
  <c r="M345" i="19"/>
  <c r="N345" i="19"/>
  <c r="D346" i="19"/>
  <c r="E346" i="19"/>
  <c r="F346" i="19"/>
  <c r="J346" i="19"/>
  <c r="L346" i="19"/>
  <c r="M346" i="19"/>
  <c r="N346" i="19"/>
  <c r="D347" i="19"/>
  <c r="E347" i="19"/>
  <c r="F347" i="19"/>
  <c r="J347" i="19"/>
  <c r="L347" i="19"/>
  <c r="M347" i="19"/>
  <c r="N347" i="19"/>
  <c r="D348" i="19"/>
  <c r="E348" i="19"/>
  <c r="F348" i="19"/>
  <c r="J348" i="19"/>
  <c r="L348" i="19"/>
  <c r="M348" i="19"/>
  <c r="N348" i="19"/>
  <c r="D349" i="19"/>
  <c r="E349" i="19"/>
  <c r="F349" i="19"/>
  <c r="J349" i="19"/>
  <c r="L349" i="19"/>
  <c r="M349" i="19"/>
  <c r="N349" i="19"/>
  <c r="D350" i="19"/>
  <c r="E350" i="19"/>
  <c r="F350" i="19"/>
  <c r="J350" i="19"/>
  <c r="L350" i="19"/>
  <c r="M350" i="19"/>
  <c r="N350" i="19"/>
  <c r="D351" i="19"/>
  <c r="E351" i="19"/>
  <c r="F351" i="19"/>
  <c r="J351" i="19"/>
  <c r="L351" i="19"/>
  <c r="M351" i="19"/>
  <c r="N351" i="19"/>
  <c r="D352" i="19"/>
  <c r="E352" i="19"/>
  <c r="F352" i="19"/>
  <c r="J352" i="19"/>
  <c r="L352" i="19"/>
  <c r="M352" i="19"/>
  <c r="N352" i="19"/>
  <c r="D353" i="19"/>
  <c r="E353" i="19"/>
  <c r="F353" i="19"/>
  <c r="J353" i="19"/>
  <c r="L353" i="19"/>
  <c r="M353" i="19"/>
  <c r="N353" i="19"/>
  <c r="D354" i="19"/>
  <c r="E354" i="19"/>
  <c r="F354" i="19"/>
  <c r="J354" i="19"/>
  <c r="L354" i="19"/>
  <c r="M354" i="19"/>
  <c r="N354" i="19"/>
  <c r="D355" i="19"/>
  <c r="E355" i="19"/>
  <c r="F355" i="19"/>
  <c r="J355" i="19"/>
  <c r="L355" i="19"/>
  <c r="M355" i="19"/>
  <c r="N355" i="19"/>
  <c r="D356" i="19"/>
  <c r="E356" i="19"/>
  <c r="F356" i="19"/>
  <c r="J356" i="19"/>
  <c r="L356" i="19"/>
  <c r="M356" i="19"/>
  <c r="N356" i="19"/>
  <c r="D357" i="19"/>
  <c r="E357" i="19"/>
  <c r="F357" i="19"/>
  <c r="J357" i="19"/>
  <c r="L357" i="19"/>
  <c r="M357" i="19"/>
  <c r="N357" i="19"/>
  <c r="D358" i="19"/>
  <c r="E358" i="19"/>
  <c r="F358" i="19"/>
  <c r="J358" i="19"/>
  <c r="L358" i="19"/>
  <c r="M358" i="19"/>
  <c r="N358" i="19"/>
  <c r="D359" i="19"/>
  <c r="E359" i="19"/>
  <c r="F359" i="19"/>
  <c r="J359" i="19"/>
  <c r="L359" i="19"/>
  <c r="M359" i="19"/>
  <c r="N359" i="19"/>
  <c r="D360" i="19"/>
  <c r="E360" i="19"/>
  <c r="F360" i="19"/>
  <c r="J360" i="19"/>
  <c r="L360" i="19"/>
  <c r="M360" i="19"/>
  <c r="N360" i="19"/>
  <c r="D361" i="19"/>
  <c r="E361" i="19"/>
  <c r="F361" i="19"/>
  <c r="J361" i="19"/>
  <c r="L361" i="19"/>
  <c r="M361" i="19"/>
  <c r="N361" i="19"/>
  <c r="D362" i="19"/>
  <c r="E362" i="19"/>
  <c r="F362" i="19"/>
  <c r="J362" i="19"/>
  <c r="L362" i="19"/>
  <c r="M362" i="19"/>
  <c r="N362" i="19"/>
  <c r="D363" i="19"/>
  <c r="E363" i="19"/>
  <c r="F363" i="19"/>
  <c r="J363" i="19"/>
  <c r="L363" i="19"/>
  <c r="M363" i="19"/>
  <c r="N363" i="19"/>
  <c r="D364" i="19"/>
  <c r="E364" i="19"/>
  <c r="F364" i="19"/>
  <c r="J364" i="19"/>
  <c r="L364" i="19"/>
  <c r="M364" i="19"/>
  <c r="N364" i="19"/>
  <c r="M10" i="19"/>
  <c r="V10" i="19" s="1"/>
  <c r="L10" i="19"/>
  <c r="J10" i="19"/>
  <c r="F10" i="19"/>
  <c r="E10" i="19"/>
  <c r="D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Q24" i="8" s="1"/>
  <c r="O26" i="19"/>
  <c r="Q25" i="8" s="1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Q50" i="8" s="1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104" i="19"/>
  <c r="O105" i="19"/>
  <c r="O106" i="19"/>
  <c r="O107" i="19"/>
  <c r="O108" i="19"/>
  <c r="O109" i="19"/>
  <c r="O110" i="19"/>
  <c r="O111" i="19"/>
  <c r="O112" i="19"/>
  <c r="O113" i="19"/>
  <c r="O114" i="19"/>
  <c r="O115" i="19"/>
  <c r="O116" i="19"/>
  <c r="O117" i="19"/>
  <c r="O118" i="19"/>
  <c r="O119" i="19"/>
  <c r="O120" i="19"/>
  <c r="O121" i="19"/>
  <c r="O122" i="19"/>
  <c r="O123" i="19"/>
  <c r="O124" i="19"/>
  <c r="O125" i="19"/>
  <c r="O126" i="19"/>
  <c r="O127" i="19"/>
  <c r="O128" i="19"/>
  <c r="O129" i="19"/>
  <c r="O130" i="19"/>
  <c r="O131" i="19"/>
  <c r="O132" i="19"/>
  <c r="O133" i="19"/>
  <c r="O134" i="19"/>
  <c r="O135" i="19"/>
  <c r="O136" i="19"/>
  <c r="O137" i="19"/>
  <c r="O138" i="19"/>
  <c r="O139" i="19"/>
  <c r="O140" i="19"/>
  <c r="O141" i="19"/>
  <c r="O142" i="19"/>
  <c r="O143" i="19"/>
  <c r="O144" i="19"/>
  <c r="O145" i="19"/>
  <c r="O146" i="19"/>
  <c r="O147" i="19"/>
  <c r="O148" i="19"/>
  <c r="O149" i="19"/>
  <c r="O150" i="19"/>
  <c r="O151" i="19"/>
  <c r="O152" i="19"/>
  <c r="O153" i="19"/>
  <c r="O154" i="19"/>
  <c r="O155" i="19"/>
  <c r="O156" i="19"/>
  <c r="O157" i="19"/>
  <c r="O158" i="19"/>
  <c r="O159" i="19"/>
  <c r="O160" i="19"/>
  <c r="O161" i="19"/>
  <c r="O162" i="19"/>
  <c r="O163" i="19"/>
  <c r="O164" i="19"/>
  <c r="O165" i="19"/>
  <c r="O166" i="19"/>
  <c r="O167" i="19"/>
  <c r="O168" i="19"/>
  <c r="O169" i="19"/>
  <c r="O170" i="19"/>
  <c r="O171" i="19"/>
  <c r="O172" i="19"/>
  <c r="O173" i="19"/>
  <c r="O174" i="19"/>
  <c r="O175" i="19"/>
  <c r="O176" i="19"/>
  <c r="O177" i="19"/>
  <c r="O178" i="19"/>
  <c r="O179" i="19"/>
  <c r="O180" i="19"/>
  <c r="O181" i="19"/>
  <c r="O182" i="19"/>
  <c r="O183" i="19"/>
  <c r="O184" i="19"/>
  <c r="O185" i="19"/>
  <c r="O186" i="19"/>
  <c r="O187" i="19"/>
  <c r="O188" i="19"/>
  <c r="O189" i="19"/>
  <c r="O190" i="19"/>
  <c r="O191" i="19"/>
  <c r="O192" i="19"/>
  <c r="O193" i="19"/>
  <c r="O194" i="19"/>
  <c r="O195" i="19"/>
  <c r="O196" i="19"/>
  <c r="O197" i="19"/>
  <c r="O198" i="19"/>
  <c r="O199" i="19"/>
  <c r="O200" i="19"/>
  <c r="O201" i="19"/>
  <c r="O202" i="19"/>
  <c r="O203" i="19"/>
  <c r="O204" i="19"/>
  <c r="O205" i="19"/>
  <c r="O206" i="19"/>
  <c r="O207" i="19"/>
  <c r="O208" i="19"/>
  <c r="O209" i="19"/>
  <c r="O210" i="19"/>
  <c r="O211" i="19"/>
  <c r="O212" i="19"/>
  <c r="O213" i="19"/>
  <c r="O214" i="19"/>
  <c r="O215" i="19"/>
  <c r="O216" i="19"/>
  <c r="O217" i="19"/>
  <c r="O218" i="19"/>
  <c r="O219" i="19"/>
  <c r="O220" i="19"/>
  <c r="O221" i="19"/>
  <c r="O222" i="19"/>
  <c r="O223" i="19"/>
  <c r="O224" i="19"/>
  <c r="O225" i="19"/>
  <c r="O226" i="19"/>
  <c r="O227" i="19"/>
  <c r="O228" i="19"/>
  <c r="O229" i="19"/>
  <c r="O230" i="19"/>
  <c r="O231" i="19"/>
  <c r="O232" i="19"/>
  <c r="O233" i="19"/>
  <c r="O234" i="19"/>
  <c r="O235" i="19"/>
  <c r="O236" i="19"/>
  <c r="O237" i="19"/>
  <c r="O238" i="19"/>
  <c r="O239" i="19"/>
  <c r="O240" i="19"/>
  <c r="O241" i="19"/>
  <c r="O242" i="19"/>
  <c r="O243" i="19"/>
  <c r="O244" i="19"/>
  <c r="O245" i="19"/>
  <c r="O246" i="19"/>
  <c r="O247" i="19"/>
  <c r="O248" i="19"/>
  <c r="O249" i="19"/>
  <c r="O250" i="19"/>
  <c r="O251" i="19"/>
  <c r="O252" i="19"/>
  <c r="O253" i="19"/>
  <c r="O254" i="19"/>
  <c r="O255" i="19"/>
  <c r="O256" i="19"/>
  <c r="O257" i="19"/>
  <c r="O258" i="19"/>
  <c r="O259" i="19"/>
  <c r="O260" i="19"/>
  <c r="O261" i="19"/>
  <c r="O262" i="19"/>
  <c r="O263" i="19"/>
  <c r="O264" i="19"/>
  <c r="O265" i="19"/>
  <c r="O266" i="19"/>
  <c r="O267" i="19"/>
  <c r="O268" i="19"/>
  <c r="O269" i="19"/>
  <c r="O270" i="19"/>
  <c r="O271" i="19"/>
  <c r="O272" i="19"/>
  <c r="O273" i="19"/>
  <c r="O274" i="19"/>
  <c r="O275" i="19"/>
  <c r="O276" i="19"/>
  <c r="O277" i="19"/>
  <c r="O278" i="19"/>
  <c r="O279" i="19"/>
  <c r="O280" i="19"/>
  <c r="O281" i="19"/>
  <c r="O282" i="19"/>
  <c r="O283" i="19"/>
  <c r="O284" i="19"/>
  <c r="O285" i="19"/>
  <c r="O286" i="19"/>
  <c r="O287" i="19"/>
  <c r="O288" i="19"/>
  <c r="O289" i="19"/>
  <c r="O290" i="19"/>
  <c r="O291" i="19"/>
  <c r="O292" i="19"/>
  <c r="O293" i="19"/>
  <c r="O294" i="19"/>
  <c r="O295" i="19"/>
  <c r="O296" i="19"/>
  <c r="O297" i="19"/>
  <c r="O298" i="19"/>
  <c r="O299" i="19"/>
  <c r="O300" i="19"/>
  <c r="O301" i="19"/>
  <c r="O302" i="19"/>
  <c r="O303" i="19"/>
  <c r="O304" i="19"/>
  <c r="O305" i="19"/>
  <c r="O306" i="19"/>
  <c r="O307" i="19"/>
  <c r="O308" i="19"/>
  <c r="O309" i="19"/>
  <c r="O310" i="19"/>
  <c r="O311" i="19"/>
  <c r="O312" i="19"/>
  <c r="O313" i="19"/>
  <c r="O314" i="19"/>
  <c r="O315" i="19"/>
  <c r="O316" i="19"/>
  <c r="O317" i="19"/>
  <c r="O318" i="19"/>
  <c r="O319" i="19"/>
  <c r="O320" i="19"/>
  <c r="O321" i="19"/>
  <c r="O322" i="19"/>
  <c r="O323" i="19"/>
  <c r="O324" i="19"/>
  <c r="O325" i="19"/>
  <c r="O326" i="19"/>
  <c r="O327" i="19"/>
  <c r="O328" i="19"/>
  <c r="O329" i="19"/>
  <c r="O330" i="19"/>
  <c r="O331" i="19"/>
  <c r="O332" i="19"/>
  <c r="O333" i="19"/>
  <c r="O334" i="19"/>
  <c r="O335" i="19"/>
  <c r="O336" i="19"/>
  <c r="O337" i="19"/>
  <c r="O338" i="19"/>
  <c r="O339" i="19"/>
  <c r="O340" i="19"/>
  <c r="O341" i="19"/>
  <c r="O342" i="19"/>
  <c r="O343" i="19"/>
  <c r="O344" i="19"/>
  <c r="O345" i="19"/>
  <c r="O346" i="19"/>
  <c r="O347" i="19"/>
  <c r="O348" i="19"/>
  <c r="O349" i="19"/>
  <c r="O350" i="19"/>
  <c r="O351" i="19"/>
  <c r="O352" i="19"/>
  <c r="O353" i="19"/>
  <c r="O354" i="19"/>
  <c r="O355" i="19"/>
  <c r="O356" i="19"/>
  <c r="O357" i="19"/>
  <c r="O358" i="19"/>
  <c r="O359" i="19"/>
  <c r="O360" i="19"/>
  <c r="O361" i="19"/>
  <c r="O362" i="19"/>
  <c r="O363" i="19"/>
  <c r="O364" i="19"/>
  <c r="O10" i="19"/>
  <c r="E80" i="20"/>
  <c r="E79" i="20"/>
  <c r="E78" i="20"/>
  <c r="E77" i="20"/>
  <c r="E76" i="20"/>
  <c r="E75" i="20"/>
  <c r="E74" i="20"/>
  <c r="E73" i="20"/>
  <c r="E72" i="20"/>
  <c r="E71" i="20"/>
  <c r="E70" i="20"/>
  <c r="E69" i="20"/>
  <c r="E68" i="20"/>
  <c r="E67" i="20"/>
  <c r="E66" i="20"/>
  <c r="E65" i="20"/>
  <c r="E64" i="20"/>
  <c r="E63" i="20"/>
  <c r="E62" i="20"/>
  <c r="E61" i="20"/>
  <c r="E60" i="20"/>
  <c r="E59" i="20"/>
  <c r="E58" i="20"/>
  <c r="E57" i="20"/>
  <c r="E56" i="20"/>
  <c r="E55" i="20"/>
  <c r="E54" i="20"/>
  <c r="E53" i="20"/>
  <c r="E52" i="20"/>
  <c r="E51" i="20"/>
  <c r="E50" i="20"/>
  <c r="E49" i="20"/>
  <c r="E48" i="20"/>
  <c r="K47" i="20"/>
  <c r="H47" i="20"/>
  <c r="I47" i="20" s="1"/>
  <c r="J47" i="20" s="1"/>
  <c r="E44" i="20"/>
  <c r="E43" i="20"/>
  <c r="E42" i="20"/>
  <c r="E41" i="20"/>
  <c r="K40" i="20"/>
  <c r="H40" i="20"/>
  <c r="I40" i="20" s="1"/>
  <c r="J40" i="20" s="1"/>
  <c r="E37" i="20"/>
  <c r="K36" i="20"/>
  <c r="H36" i="20"/>
  <c r="I36" i="20" s="1"/>
  <c r="J36" i="20" s="1"/>
  <c r="E33" i="20"/>
  <c r="K32" i="20"/>
  <c r="H32" i="20"/>
  <c r="I32" i="20" s="1"/>
  <c r="J32" i="20" s="1"/>
  <c r="E29" i="20"/>
  <c r="K28" i="20"/>
  <c r="H28" i="20"/>
  <c r="I28" i="20" s="1"/>
  <c r="J28" i="20" s="1"/>
  <c r="E25" i="20"/>
  <c r="K24" i="20"/>
  <c r="H24" i="20"/>
  <c r="I24" i="20" s="1"/>
  <c r="J24" i="20" s="1"/>
  <c r="E21" i="20"/>
  <c r="E19" i="20"/>
  <c r="E18" i="20"/>
  <c r="K17" i="20"/>
  <c r="H17" i="20"/>
  <c r="I17" i="20" s="1"/>
  <c r="J17" i="20" s="1"/>
  <c r="E14" i="20"/>
  <c r="E12" i="20"/>
  <c r="K10" i="20"/>
  <c r="H10" i="20"/>
  <c r="I10" i="20" s="1"/>
  <c r="J10" i="20" s="1"/>
  <c r="K7" i="20"/>
  <c r="H7" i="20"/>
  <c r="I7" i="20" s="1"/>
  <c r="J7" i="20" s="1"/>
  <c r="K4" i="20"/>
  <c r="H4" i="20"/>
  <c r="I4" i="20" s="1"/>
  <c r="J4" i="20" s="1"/>
  <c r="V329" i="13"/>
  <c r="V328" i="13"/>
  <c r="V327" i="13"/>
  <c r="W326" i="13"/>
  <c r="W325" i="13"/>
  <c r="W324" i="13"/>
  <c r="W322" i="13"/>
  <c r="W321" i="13"/>
  <c r="W320" i="13"/>
  <c r="W319" i="13"/>
  <c r="W318" i="13"/>
  <c r="W317" i="13"/>
  <c r="W316" i="13"/>
  <c r="W314" i="13"/>
  <c r="W313" i="13"/>
  <c r="W312" i="13"/>
  <c r="W311" i="13"/>
  <c r="W309" i="13"/>
  <c r="W308" i="13"/>
  <c r="W307" i="13"/>
  <c r="W305" i="13"/>
  <c r="W304" i="13"/>
  <c r="W303" i="13"/>
  <c r="W301" i="13"/>
  <c r="W300" i="13"/>
  <c r="W299" i="13"/>
  <c r="W297" i="13"/>
  <c r="W296" i="13"/>
  <c r="W295" i="13"/>
  <c r="W293" i="13"/>
  <c r="W292" i="13"/>
  <c r="W272" i="13"/>
  <c r="V271" i="13"/>
  <c r="W270" i="13"/>
  <c r="V269" i="13"/>
  <c r="W268" i="13"/>
  <c r="V267" i="13"/>
  <c r="W266" i="13"/>
  <c r="V265" i="13"/>
  <c r="W264" i="13"/>
  <c r="V263" i="13"/>
  <c r="W262" i="13"/>
  <c r="V261" i="13"/>
  <c r="W260" i="13"/>
  <c r="V259" i="13"/>
  <c r="W258" i="13"/>
  <c r="V257" i="13"/>
  <c r="W256" i="13"/>
  <c r="V255" i="13"/>
  <c r="W254" i="13"/>
  <c r="V253" i="13"/>
  <c r="W252" i="13"/>
  <c r="V251" i="13"/>
  <c r="W250" i="13"/>
  <c r="V249" i="13"/>
  <c r="W248" i="13"/>
  <c r="V247" i="13"/>
  <c r="W246" i="13"/>
  <c r="V245" i="13"/>
  <c r="V244" i="13"/>
  <c r="V243" i="13"/>
  <c r="W242" i="13"/>
  <c r="V241" i="13"/>
  <c r="W240" i="13"/>
  <c r="V239" i="13"/>
  <c r="W238" i="13"/>
  <c r="V237" i="13"/>
  <c r="V236" i="13"/>
  <c r="V235" i="13"/>
  <c r="W234" i="13"/>
  <c r="V233" i="13"/>
  <c r="W232" i="13"/>
  <c r="V231" i="13"/>
  <c r="W230" i="13"/>
  <c r="V229" i="13"/>
  <c r="V228" i="13"/>
  <c r="V227" i="13"/>
  <c r="W226" i="13"/>
  <c r="V225" i="13"/>
  <c r="W224" i="13"/>
  <c r="V223" i="13"/>
  <c r="W222" i="13"/>
  <c r="V221" i="13"/>
  <c r="V220" i="13"/>
  <c r="V219" i="13"/>
  <c r="W218" i="13"/>
  <c r="V217" i="13"/>
  <c r="W216" i="13"/>
  <c r="W215" i="13"/>
  <c r="W214" i="13"/>
  <c r="W213" i="13"/>
  <c r="W211" i="13"/>
  <c r="W210" i="13"/>
  <c r="W209" i="13"/>
  <c r="W207" i="13"/>
  <c r="W206" i="13"/>
  <c r="W205" i="13"/>
  <c r="W203" i="13"/>
  <c r="W202" i="13"/>
  <c r="W201" i="13"/>
  <c r="W199" i="13"/>
  <c r="W198" i="13"/>
  <c r="W197" i="13"/>
  <c r="W195" i="13"/>
  <c r="W194" i="13"/>
  <c r="W193" i="13"/>
  <c r="W191" i="13"/>
  <c r="W190" i="13"/>
  <c r="W189" i="13"/>
  <c r="W187" i="13"/>
  <c r="W186" i="13"/>
  <c r="W185" i="13"/>
  <c r="W183" i="13"/>
  <c r="W182" i="13"/>
  <c r="W181" i="13"/>
  <c r="W179" i="13"/>
  <c r="W178" i="13"/>
  <c r="W177" i="13"/>
  <c r="W175" i="13"/>
  <c r="W173" i="13"/>
  <c r="W172" i="13"/>
  <c r="W171" i="13"/>
  <c r="W170" i="13"/>
  <c r="W168" i="13"/>
  <c r="W167" i="13"/>
  <c r="W166" i="13"/>
  <c r="W165" i="13"/>
  <c r="W164" i="13"/>
  <c r="W163" i="13"/>
  <c r="W162" i="13"/>
  <c r="W160" i="13"/>
  <c r="W159" i="13"/>
  <c r="W158" i="13"/>
  <c r="W157" i="13"/>
  <c r="W156" i="13"/>
  <c r="W155" i="13"/>
  <c r="W154" i="13"/>
  <c r="W152" i="13"/>
  <c r="W151" i="13"/>
  <c r="W150" i="13"/>
  <c r="W149" i="13"/>
  <c r="W148" i="13"/>
  <c r="W147" i="13"/>
  <c r="W146" i="13"/>
  <c r="W144" i="13"/>
  <c r="W143" i="13"/>
  <c r="W142" i="13"/>
  <c r="W141" i="13"/>
  <c r="W139" i="13"/>
  <c r="W138" i="13"/>
  <c r="W137" i="13"/>
  <c r="W136" i="13"/>
  <c r="W135" i="13"/>
  <c r="W134" i="13"/>
  <c r="W133" i="13"/>
  <c r="W132" i="13"/>
  <c r="V131" i="13"/>
  <c r="V130" i="13"/>
  <c r="V129" i="13"/>
  <c r="V128" i="13"/>
  <c r="V127" i="13"/>
  <c r="V126" i="13"/>
  <c r="V125" i="13"/>
  <c r="V124" i="13"/>
  <c r="V123" i="13"/>
  <c r="V122" i="13"/>
  <c r="V121" i="13"/>
  <c r="V120" i="13"/>
  <c r="V119" i="13"/>
  <c r="V118" i="13"/>
  <c r="V117" i="13"/>
  <c r="V116" i="13"/>
  <c r="V115" i="13"/>
  <c r="V114" i="13"/>
  <c r="V113" i="13"/>
  <c r="V112" i="13"/>
  <c r="V111" i="13"/>
  <c r="V110" i="13"/>
  <c r="V109" i="13"/>
  <c r="V108" i="13"/>
  <c r="V107" i="13"/>
  <c r="V106" i="13"/>
  <c r="V105" i="13"/>
  <c r="V104" i="13"/>
  <c r="V103" i="13"/>
  <c r="V102" i="13"/>
  <c r="V101" i="13"/>
  <c r="V100" i="13"/>
  <c r="V99" i="13"/>
  <c r="V98" i="13"/>
  <c r="V97" i="13"/>
  <c r="V96" i="13"/>
  <c r="V95" i="13"/>
  <c r="V94" i="13"/>
  <c r="V93" i="13"/>
  <c r="V92" i="13"/>
  <c r="V91" i="13"/>
  <c r="V90" i="13"/>
  <c r="V89" i="13"/>
  <c r="V88" i="13"/>
  <c r="V87" i="13"/>
  <c r="V86" i="13"/>
  <c r="V85" i="13"/>
  <c r="V84" i="13"/>
  <c r="V83" i="13"/>
  <c r="V82" i="13"/>
  <c r="V81" i="13"/>
  <c r="V80" i="13"/>
  <c r="V79" i="13"/>
  <c r="V78" i="13"/>
  <c r="V77" i="13"/>
  <c r="V76" i="13"/>
  <c r="V75" i="13"/>
  <c r="V74" i="13"/>
  <c r="V73" i="13"/>
  <c r="V72" i="13"/>
  <c r="V71" i="13"/>
  <c r="V70" i="13"/>
  <c r="V69" i="13"/>
  <c r="V68" i="13"/>
  <c r="V41" i="13"/>
  <c r="V40" i="13"/>
  <c r="V39" i="13"/>
  <c r="V38" i="13"/>
  <c r="V37" i="13"/>
  <c r="V36" i="13"/>
  <c r="V35" i="13"/>
  <c r="V34" i="13"/>
  <c r="V33" i="13"/>
  <c r="V32" i="13"/>
  <c r="V31" i="13"/>
  <c r="U30" i="13"/>
  <c r="V30" i="13"/>
  <c r="U29" i="13"/>
  <c r="V29" i="13"/>
  <c r="U28" i="13"/>
  <c r="W28" i="13"/>
  <c r="U27" i="13"/>
  <c r="V27" i="13"/>
  <c r="U26" i="13"/>
  <c r="W26" i="13"/>
  <c r="U25" i="13"/>
  <c r="V25" i="13"/>
  <c r="U24" i="13"/>
  <c r="W24" i="13"/>
  <c r="U23" i="13"/>
  <c r="V23" i="13"/>
  <c r="Q22" i="13"/>
  <c r="W22" i="13"/>
  <c r="U21" i="13"/>
  <c r="V21" i="13"/>
  <c r="U20" i="13"/>
  <c r="V20" i="13"/>
  <c r="R19" i="13"/>
  <c r="S19" i="13" s="1"/>
  <c r="V19" i="13"/>
  <c r="U18" i="13"/>
  <c r="W18" i="13"/>
  <c r="T17" i="13"/>
  <c r="V17" i="13"/>
  <c r="R16" i="13"/>
  <c r="S16" i="13" s="1"/>
  <c r="W16" i="13"/>
  <c r="U15" i="13"/>
  <c r="W15" i="13"/>
  <c r="U14" i="13"/>
  <c r="V14" i="13"/>
  <c r="Q13" i="13"/>
  <c r="W13" i="13"/>
  <c r="R12" i="13"/>
  <c r="S12" i="13" s="1"/>
  <c r="W12" i="13"/>
  <c r="T11" i="13"/>
  <c r="W11" i="13"/>
  <c r="U10" i="13"/>
  <c r="W10" i="13"/>
  <c r="N47" i="2" l="1"/>
  <c r="P271" i="19"/>
  <c r="P255" i="19"/>
  <c r="P262" i="19"/>
  <c r="P272" i="19"/>
  <c r="P256" i="19"/>
  <c r="Q39" i="2"/>
  <c r="P306" i="19"/>
  <c r="P290" i="19"/>
  <c r="P303" i="19"/>
  <c r="P287" i="19"/>
  <c r="P301" i="19"/>
  <c r="P285" i="19"/>
  <c r="P267" i="19"/>
  <c r="P251" i="19"/>
  <c r="P264" i="19"/>
  <c r="P311" i="19"/>
  <c r="P295" i="19"/>
  <c r="P279" i="19"/>
  <c r="P310" i="19"/>
  <c r="P294" i="19"/>
  <c r="P278" i="19"/>
  <c r="P308" i="19"/>
  <c r="P292" i="19"/>
  <c r="P276" i="19"/>
  <c r="P273" i="19"/>
  <c r="P257" i="19"/>
  <c r="P312" i="19"/>
  <c r="P280" i="19"/>
  <c r="P296" i="19"/>
  <c r="P305" i="19"/>
  <c r="P289" i="19"/>
  <c r="P266" i="19"/>
  <c r="P274" i="19"/>
  <c r="P258" i="19"/>
  <c r="P304" i="19"/>
  <c r="P288" i="19"/>
  <c r="P299" i="19"/>
  <c r="P283" i="19"/>
  <c r="P297" i="19"/>
  <c r="P281" i="19"/>
  <c r="P265" i="19"/>
  <c r="P263" i="19"/>
  <c r="P260" i="19"/>
  <c r="P302" i="19"/>
  <c r="P286" i="19"/>
  <c r="P269" i="19"/>
  <c r="P253" i="19"/>
  <c r="P270" i="19"/>
  <c r="P254" i="19"/>
  <c r="P268" i="19"/>
  <c r="P252" i="19"/>
  <c r="P309" i="19"/>
  <c r="P293" i="19"/>
  <c r="P277" i="19"/>
  <c r="P307" i="19"/>
  <c r="P291" i="19"/>
  <c r="P300" i="19"/>
  <c r="P284" i="19"/>
  <c r="P298" i="19"/>
  <c r="P282" i="19"/>
  <c r="P261" i="19"/>
  <c r="P275" i="19"/>
  <c r="P259" i="19"/>
  <c r="P234" i="19"/>
  <c r="P235" i="19"/>
  <c r="P236" i="19"/>
  <c r="P237" i="19"/>
  <c r="P238" i="19"/>
  <c r="P239" i="19"/>
  <c r="P240" i="19"/>
  <c r="P241" i="19"/>
  <c r="P242" i="19"/>
  <c r="P243" i="19"/>
  <c r="P244" i="19"/>
  <c r="P245" i="19"/>
  <c r="P246" i="19"/>
  <c r="P247" i="19"/>
  <c r="P248" i="19"/>
  <c r="P249" i="19"/>
  <c r="P250" i="19"/>
  <c r="P202" i="19"/>
  <c r="P203" i="19"/>
  <c r="P204" i="19"/>
  <c r="P205" i="19"/>
  <c r="P206" i="19"/>
  <c r="P207" i="19"/>
  <c r="P208" i="19"/>
  <c r="P209" i="19"/>
  <c r="P210" i="19"/>
  <c r="P211" i="19"/>
  <c r="P212" i="19"/>
  <c r="P213" i="19"/>
  <c r="P214" i="19"/>
  <c r="P215" i="19"/>
  <c r="P216" i="19"/>
  <c r="P217" i="19"/>
  <c r="P218" i="19"/>
  <c r="P219" i="19"/>
  <c r="P220" i="19"/>
  <c r="P221" i="19"/>
  <c r="P222" i="19"/>
  <c r="P223" i="19"/>
  <c r="P224" i="19"/>
  <c r="P225" i="19"/>
  <c r="P226" i="19"/>
  <c r="P227" i="19"/>
  <c r="P228" i="19"/>
  <c r="P229" i="19"/>
  <c r="P230" i="19"/>
  <c r="P231" i="19"/>
  <c r="P232" i="19"/>
  <c r="P233" i="19"/>
  <c r="P201" i="19"/>
  <c r="P143" i="19"/>
  <c r="P144" i="19"/>
  <c r="P145" i="19"/>
  <c r="P146" i="19"/>
  <c r="P147" i="19"/>
  <c r="P148" i="19"/>
  <c r="P149" i="19"/>
  <c r="P150" i="19"/>
  <c r="P151" i="19"/>
  <c r="P152" i="19"/>
  <c r="P153" i="19"/>
  <c r="P154" i="19"/>
  <c r="P155" i="19"/>
  <c r="P156" i="19"/>
  <c r="P157" i="19"/>
  <c r="P158" i="19"/>
  <c r="P159" i="19"/>
  <c r="P160" i="19"/>
  <c r="P161" i="19"/>
  <c r="P162" i="19"/>
  <c r="P163" i="19"/>
  <c r="P164" i="19"/>
  <c r="P165" i="19"/>
  <c r="P166" i="19"/>
  <c r="P167" i="19"/>
  <c r="P168" i="19"/>
  <c r="P169" i="19"/>
  <c r="P170" i="19"/>
  <c r="P171" i="19"/>
  <c r="P172" i="19"/>
  <c r="P173" i="19"/>
  <c r="P174" i="19"/>
  <c r="P175" i="19"/>
  <c r="P176" i="19"/>
  <c r="P177" i="19"/>
  <c r="P178" i="19"/>
  <c r="P179" i="19"/>
  <c r="P180" i="19"/>
  <c r="P181" i="19"/>
  <c r="P182" i="19"/>
  <c r="P183" i="19"/>
  <c r="P184" i="19"/>
  <c r="P185" i="19"/>
  <c r="P186" i="19"/>
  <c r="P187" i="19"/>
  <c r="P188" i="19"/>
  <c r="P189" i="19"/>
  <c r="P190" i="19"/>
  <c r="P191" i="19"/>
  <c r="P192" i="19"/>
  <c r="P193" i="19"/>
  <c r="P194" i="19"/>
  <c r="P195" i="19"/>
  <c r="P196" i="19"/>
  <c r="P197" i="19"/>
  <c r="P198" i="19"/>
  <c r="P199" i="19"/>
  <c r="P200" i="19"/>
  <c r="P313" i="19"/>
  <c r="P314" i="19"/>
  <c r="P315" i="19"/>
  <c r="P316" i="19"/>
  <c r="P317" i="19"/>
  <c r="P27" i="19"/>
  <c r="P28" i="19"/>
  <c r="P323" i="19"/>
  <c r="P324" i="19"/>
  <c r="P325" i="19"/>
  <c r="P326" i="19"/>
  <c r="P327" i="19"/>
  <c r="N223" i="2"/>
  <c r="N228" i="2"/>
  <c r="P56" i="19"/>
  <c r="Q55" i="8" s="1"/>
  <c r="N287" i="2"/>
  <c r="N288" i="2"/>
  <c r="N290" i="2"/>
  <c r="N292" i="2"/>
  <c r="N293" i="2"/>
  <c r="N295" i="2"/>
  <c r="N297" i="2"/>
  <c r="N299" i="2"/>
  <c r="N302" i="2"/>
  <c r="N304" i="2"/>
  <c r="N305" i="2"/>
  <c r="N306" i="2"/>
  <c r="N307" i="2"/>
  <c r="N309" i="2"/>
  <c r="N310" i="2"/>
  <c r="N311" i="2"/>
  <c r="N312" i="2"/>
  <c r="N314" i="2"/>
  <c r="P54" i="19"/>
  <c r="Q53" i="8" s="1"/>
  <c r="P55" i="19"/>
  <c r="Q54" i="8" s="1"/>
  <c r="P33" i="19"/>
  <c r="Q32" i="8" s="1"/>
  <c r="P53" i="19"/>
  <c r="Q52" i="8" s="1"/>
  <c r="P103" i="19"/>
  <c r="P134" i="19"/>
  <c r="P135" i="19"/>
  <c r="P136" i="19"/>
  <c r="P137" i="19"/>
  <c r="P138" i="19"/>
  <c r="P139" i="19"/>
  <c r="P140" i="19"/>
  <c r="P141" i="19"/>
  <c r="P142" i="19"/>
  <c r="P318" i="19"/>
  <c r="P319" i="19"/>
  <c r="P320" i="19"/>
  <c r="P321" i="19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315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296" i="2"/>
  <c r="N298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4" i="2"/>
  <c r="N225" i="2"/>
  <c r="N226" i="2"/>
  <c r="N227" i="2"/>
  <c r="N289" i="2"/>
  <c r="N291" i="2"/>
  <c r="N300" i="2"/>
  <c r="N301" i="2"/>
  <c r="N30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303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94" i="2"/>
  <c r="N313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Q106" i="8"/>
  <c r="V106" i="8" s="1" a="1"/>
  <c r="V106" i="8" s="1"/>
  <c r="P109" i="19"/>
  <c r="P110" i="19"/>
  <c r="P111" i="19"/>
  <c r="P113" i="19"/>
  <c r="P118" i="19"/>
  <c r="P120" i="19"/>
  <c r="P121" i="19"/>
  <c r="P122" i="19"/>
  <c r="P123" i="19"/>
  <c r="P124" i="19"/>
  <c r="P125" i="19"/>
  <c r="P126" i="19"/>
  <c r="P127" i="19"/>
  <c r="P128" i="19"/>
  <c r="P129" i="19"/>
  <c r="P130" i="19"/>
  <c r="P131" i="19"/>
  <c r="P132" i="19"/>
  <c r="P133" i="19"/>
  <c r="P328" i="19"/>
  <c r="P329" i="19"/>
  <c r="P330" i="19"/>
  <c r="P331" i="19"/>
  <c r="P332" i="19"/>
  <c r="P333" i="19"/>
  <c r="P334" i="19"/>
  <c r="P335" i="19"/>
  <c r="P336" i="19"/>
  <c r="P337" i="19"/>
  <c r="P338" i="19"/>
  <c r="P339" i="19"/>
  <c r="P340" i="19"/>
  <c r="P341" i="19"/>
  <c r="P342" i="19"/>
  <c r="P343" i="19"/>
  <c r="P344" i="19"/>
  <c r="P345" i="19"/>
  <c r="P346" i="19"/>
  <c r="P347" i="19"/>
  <c r="P348" i="19"/>
  <c r="P349" i="19"/>
  <c r="P350" i="19"/>
  <c r="P351" i="19"/>
  <c r="P352" i="19"/>
  <c r="P353" i="19"/>
  <c r="P354" i="19"/>
  <c r="P355" i="19"/>
  <c r="P356" i="19"/>
  <c r="P357" i="19"/>
  <c r="P358" i="19"/>
  <c r="P359" i="19"/>
  <c r="P360" i="19"/>
  <c r="P361" i="19"/>
  <c r="P362" i="19"/>
  <c r="P363" i="19"/>
  <c r="P364" i="19"/>
  <c r="N73" i="2"/>
  <c r="N74" i="2"/>
  <c r="N75" i="2"/>
  <c r="N76" i="2"/>
  <c r="N77" i="2"/>
  <c r="N78" i="2"/>
  <c r="N79" i="2"/>
  <c r="N80" i="2"/>
  <c r="N81" i="2"/>
  <c r="T80" i="8" s="1"/>
  <c r="N82" i="2"/>
  <c r="N83" i="2"/>
  <c r="T82" i="8" s="1"/>
  <c r="N84" i="2"/>
  <c r="N85" i="2"/>
  <c r="N86" i="2"/>
  <c r="T85" i="8" s="1"/>
  <c r="N87" i="2"/>
  <c r="N88" i="2"/>
  <c r="N89" i="2"/>
  <c r="N90" i="2"/>
  <c r="N91" i="2"/>
  <c r="N92" i="2"/>
  <c r="N93" i="2"/>
  <c r="T92" i="8" s="1"/>
  <c r="N94" i="2"/>
  <c r="T94" i="8"/>
  <c r="T95" i="8"/>
  <c r="N97" i="2"/>
  <c r="T96" i="8" s="1"/>
  <c r="N100" i="2"/>
  <c r="N101" i="2"/>
  <c r="N102" i="2"/>
  <c r="P11" i="19"/>
  <c r="Q10" i="8" s="1"/>
  <c r="P12" i="19"/>
  <c r="Q11" i="8" s="1"/>
  <c r="P14" i="19"/>
  <c r="Q13" i="8" s="1"/>
  <c r="P15" i="19"/>
  <c r="P16" i="19"/>
  <c r="Q15" i="8" s="1"/>
  <c r="P17" i="19"/>
  <c r="Q16" i="8" s="1"/>
  <c r="P18" i="19"/>
  <c r="P21" i="19"/>
  <c r="Q20" i="8" s="1"/>
  <c r="P22" i="19"/>
  <c r="Q21" i="8" s="1"/>
  <c r="P23" i="19"/>
  <c r="Q22" i="8" s="1"/>
  <c r="P24" i="19"/>
  <c r="Q23" i="8" s="1"/>
  <c r="P25" i="19"/>
  <c r="P26" i="19"/>
  <c r="P30" i="19"/>
  <c r="Q29" i="8" s="1"/>
  <c r="P31" i="19"/>
  <c r="Q30" i="8" s="1"/>
  <c r="P32" i="19"/>
  <c r="Q31" i="8" s="1"/>
  <c r="P35" i="19"/>
  <c r="P36" i="19"/>
  <c r="Q35" i="8" s="1"/>
  <c r="P38" i="19"/>
  <c r="P39" i="19"/>
  <c r="P40" i="19"/>
  <c r="P41" i="19"/>
  <c r="Q40" i="8" s="1"/>
  <c r="P43" i="19"/>
  <c r="Q42" i="8" s="1"/>
  <c r="P44" i="19"/>
  <c r="Q43" i="8" s="1"/>
  <c r="P45" i="19"/>
  <c r="P46" i="19"/>
  <c r="P47" i="19"/>
  <c r="P48" i="19"/>
  <c r="Q47" i="8" s="1"/>
  <c r="P49" i="19"/>
  <c r="Q48" i="8" s="1"/>
  <c r="P50" i="19"/>
  <c r="Q49" i="8" s="1"/>
  <c r="P51" i="19"/>
  <c r="P52" i="19"/>
  <c r="Q51" i="8" s="1"/>
  <c r="P57" i="19"/>
  <c r="P58" i="19"/>
  <c r="Q57" i="8" s="1"/>
  <c r="P59" i="19"/>
  <c r="P60" i="19"/>
  <c r="Q59" i="8" s="1"/>
  <c r="P61" i="19"/>
  <c r="P62" i="19"/>
  <c r="Q61" i="8" s="1"/>
  <c r="P63" i="19"/>
  <c r="Q62" i="8" s="1"/>
  <c r="P64" i="19"/>
  <c r="Q63" i="8" s="1"/>
  <c r="P65" i="19"/>
  <c r="Q64" i="8" s="1"/>
  <c r="P66" i="19"/>
  <c r="Q65" i="8" s="1"/>
  <c r="P67" i="19"/>
  <c r="Q66" i="8" s="1"/>
  <c r="P68" i="19"/>
  <c r="Q67" i="8" s="1"/>
  <c r="P69" i="19"/>
  <c r="Q68" i="8" s="1"/>
  <c r="P70" i="19"/>
  <c r="Q69" i="8" s="1"/>
  <c r="P71" i="19"/>
  <c r="P72" i="19"/>
  <c r="Q71" i="8" s="1"/>
  <c r="P73" i="19"/>
  <c r="Q72" i="8" s="1"/>
  <c r="V72" i="8" s="1" a="1"/>
  <c r="V72" i="8" s="1"/>
  <c r="P74" i="19"/>
  <c r="Q73" i="8" s="1"/>
  <c r="V73" i="8" s="1" a="1"/>
  <c r="V73" i="8" s="1"/>
  <c r="P75" i="19"/>
  <c r="Q74" i="8" s="1"/>
  <c r="V74" i="8" s="1" a="1"/>
  <c r="V74" i="8" s="1"/>
  <c r="P76" i="19"/>
  <c r="Q75" i="8" s="1"/>
  <c r="V75" i="8" s="1" a="1"/>
  <c r="V75" i="8" s="1"/>
  <c r="P77" i="19"/>
  <c r="Q76" i="8" s="1"/>
  <c r="V76" i="8" s="1" a="1"/>
  <c r="V76" i="8" s="1"/>
  <c r="P78" i="19"/>
  <c r="Q77" i="8" s="1"/>
  <c r="V77" i="8" s="1" a="1"/>
  <c r="V77" i="8" s="1"/>
  <c r="P79" i="19"/>
  <c r="Q78" i="8" s="1"/>
  <c r="V78" i="8" s="1" a="1"/>
  <c r="V78" i="8" s="1"/>
  <c r="P80" i="19"/>
  <c r="Q79" i="8" s="1"/>
  <c r="V79" i="8" s="1" a="1"/>
  <c r="V79" i="8" s="1"/>
  <c r="P81" i="19"/>
  <c r="Q80" i="8" s="1"/>
  <c r="P82" i="19"/>
  <c r="Q81" i="8" s="1"/>
  <c r="V81" i="8" s="1" a="1"/>
  <c r="V81" i="8" s="1"/>
  <c r="P83" i="19"/>
  <c r="Q82" i="8" s="1"/>
  <c r="P84" i="19"/>
  <c r="Q83" i="8" s="1"/>
  <c r="V83" i="8" s="1" a="1"/>
  <c r="V83" i="8" s="1"/>
  <c r="P85" i="19"/>
  <c r="Q84" i="8" s="1"/>
  <c r="V84" i="8" s="1" a="1"/>
  <c r="V84" i="8" s="1"/>
  <c r="P86" i="19"/>
  <c r="Q85" i="8" s="1"/>
  <c r="P87" i="19"/>
  <c r="Q86" i="8" s="1"/>
  <c r="V86" i="8" s="1" a="1"/>
  <c r="V86" i="8" s="1"/>
  <c r="P88" i="19"/>
  <c r="Q87" i="8" s="1"/>
  <c r="P89" i="19"/>
  <c r="Q88" i="8" s="1"/>
  <c r="V88" i="8" s="1" a="1"/>
  <c r="V88" i="8" s="1"/>
  <c r="P90" i="19"/>
  <c r="Q89" i="8" s="1"/>
  <c r="V89" i="8" s="1" a="1"/>
  <c r="V89" i="8" s="1"/>
  <c r="P91" i="19"/>
  <c r="Q90" i="8" s="1"/>
  <c r="V90" i="8" s="1" a="1"/>
  <c r="V90" i="8" s="1"/>
  <c r="P92" i="19"/>
  <c r="Q91" i="8" s="1"/>
  <c r="V91" i="8" s="1" a="1"/>
  <c r="V91" i="8" s="1"/>
  <c r="P93" i="19"/>
  <c r="Q92" i="8" s="1"/>
  <c r="P94" i="19"/>
  <c r="Q93" i="8" s="1"/>
  <c r="V93" i="8" s="1" a="1"/>
  <c r="V93" i="8" s="1"/>
  <c r="P95" i="19"/>
  <c r="Q94" i="8" s="1"/>
  <c r="P96" i="19"/>
  <c r="Q95" i="8" s="1"/>
  <c r="P97" i="19"/>
  <c r="Q96" i="8" s="1"/>
  <c r="P98" i="19"/>
  <c r="Q97" i="8" s="1"/>
  <c r="P99" i="19"/>
  <c r="Q98" i="8" s="1"/>
  <c r="P100" i="19"/>
  <c r="Q99" i="8" s="1"/>
  <c r="V99" i="8" s="1" a="1"/>
  <c r="V99" i="8" s="1"/>
  <c r="P101" i="19"/>
  <c r="Q100" i="8" s="1"/>
  <c r="V100" i="8" s="1" a="1"/>
  <c r="V100" i="8" s="1"/>
  <c r="P102" i="19"/>
  <c r="Q101" i="8" s="1"/>
  <c r="V101" i="8" s="1" a="1"/>
  <c r="V101" i="8" s="1"/>
  <c r="P10" i="19"/>
  <c r="Q10" i="19" s="1"/>
  <c r="P19" i="19"/>
  <c r="Q18" i="8" s="1"/>
  <c r="P20" i="19"/>
  <c r="Q19" i="8" s="1"/>
  <c r="P29" i="19"/>
  <c r="Q28" i="8" s="1"/>
  <c r="Q103" i="8"/>
  <c r="P104" i="19"/>
  <c r="Q104" i="8"/>
  <c r="P105" i="19"/>
  <c r="Q107" i="8"/>
  <c r="V107" i="8" s="1" a="1"/>
  <c r="V107" i="8" s="1"/>
  <c r="P108" i="19"/>
  <c r="Q111" i="8"/>
  <c r="V111" i="8" s="1" a="1"/>
  <c r="V111" i="8" s="1"/>
  <c r="P112" i="19"/>
  <c r="Q113" i="8"/>
  <c r="V113" i="8" s="1" a="1"/>
  <c r="V113" i="8" s="1"/>
  <c r="P114" i="19"/>
  <c r="Q114" i="8"/>
  <c r="V114" i="8" s="1" a="1"/>
  <c r="V114" i="8" s="1"/>
  <c r="P115" i="19"/>
  <c r="Q115" i="8"/>
  <c r="V115" i="8" s="1" a="1"/>
  <c r="V115" i="8" s="1"/>
  <c r="P116" i="19"/>
  <c r="Q116" i="8"/>
  <c r="V116" i="8" s="1" a="1"/>
  <c r="V116" i="8" s="1"/>
  <c r="P117" i="19"/>
  <c r="Q118" i="8"/>
  <c r="V118" i="8" s="1" a="1"/>
  <c r="V118" i="8" s="1"/>
  <c r="P119" i="19"/>
  <c r="T322" i="19"/>
  <c r="P322" i="19"/>
  <c r="N99" i="2"/>
  <c r="T98" i="8" s="1"/>
  <c r="N98" i="2"/>
  <c r="T97" i="8" s="1"/>
  <c r="P42" i="19"/>
  <c r="Q41" i="8" s="1"/>
  <c r="P37" i="19"/>
  <c r="Q36" i="8" s="1"/>
  <c r="P34" i="19"/>
  <c r="Q33" i="8" s="1"/>
  <c r="P13" i="19"/>
  <c r="Q12" i="8" s="1"/>
  <c r="O115" i="2"/>
  <c r="O125" i="2"/>
  <c r="Q27" i="8"/>
  <c r="Q14" i="8"/>
  <c r="U53" i="2"/>
  <c r="Q38" i="8"/>
  <c r="V38" i="8" s="1" a="1"/>
  <c r="V38" i="8" s="1"/>
  <c r="Q26" i="8"/>
  <c r="Q37" i="8"/>
  <c r="Q110" i="8"/>
  <c r="V110" i="8" s="1" a="1"/>
  <c r="V110" i="8" s="1"/>
  <c r="Q102" i="8"/>
  <c r="Q70" i="8"/>
  <c r="Q58" i="8"/>
  <c r="Q46" i="8"/>
  <c r="Q34" i="8"/>
  <c r="Q117" i="8"/>
  <c r="V117" i="8" s="1" a="1"/>
  <c r="V117" i="8" s="1"/>
  <c r="Q109" i="8"/>
  <c r="V109" i="8" s="1" a="1"/>
  <c r="V109" i="8" s="1"/>
  <c r="Q105" i="8"/>
  <c r="V105" i="8" s="1" a="1"/>
  <c r="V105" i="8" s="1"/>
  <c r="Q45" i="8"/>
  <c r="Q17" i="8"/>
  <c r="Q112" i="8"/>
  <c r="V112" i="8" s="1" a="1"/>
  <c r="V112" i="8" s="1"/>
  <c r="Q108" i="8"/>
  <c r="V108" i="8" s="1" a="1"/>
  <c r="V108" i="8" s="1"/>
  <c r="Q60" i="8"/>
  <c r="Q56" i="8"/>
  <c r="Q44" i="8"/>
  <c r="Q39" i="8"/>
  <c r="T116" i="8"/>
  <c r="T115" i="8"/>
  <c r="T113" i="8"/>
  <c r="T112" i="8"/>
  <c r="T111" i="8"/>
  <c r="T110" i="8"/>
  <c r="T109" i="8"/>
  <c r="T108" i="8"/>
  <c r="T107" i="8"/>
  <c r="T106" i="8"/>
  <c r="T105" i="8"/>
  <c r="T101" i="8"/>
  <c r="T100" i="8"/>
  <c r="T99" i="8"/>
  <c r="T93" i="8"/>
  <c r="T91" i="8"/>
  <c r="T90" i="8"/>
  <c r="T89" i="8"/>
  <c r="T88" i="8"/>
  <c r="T87" i="8"/>
  <c r="T86" i="8"/>
  <c r="T84" i="8"/>
  <c r="T83" i="8"/>
  <c r="T81" i="8"/>
  <c r="T79" i="8"/>
  <c r="T78" i="8"/>
  <c r="T77" i="8"/>
  <c r="T75" i="8"/>
  <c r="T74" i="8"/>
  <c r="T73" i="8"/>
  <c r="T72" i="8"/>
  <c r="O306" i="2"/>
  <c r="O302" i="2"/>
  <c r="O298" i="2"/>
  <c r="O294" i="2"/>
  <c r="O290" i="2"/>
  <c r="O286" i="2"/>
  <c r="O282" i="2"/>
  <c r="O249" i="2"/>
  <c r="O245" i="2"/>
  <c r="O237" i="2"/>
  <c r="O225" i="2"/>
  <c r="O221" i="2"/>
  <c r="O193" i="2"/>
  <c r="O185" i="2"/>
  <c r="O173" i="2"/>
  <c r="O169" i="2"/>
  <c r="O165" i="2"/>
  <c r="O153" i="2"/>
  <c r="O149" i="2"/>
  <c r="O346" i="2"/>
  <c r="O342" i="2"/>
  <c r="O338" i="2"/>
  <c r="O334" i="2"/>
  <c r="O269" i="2"/>
  <c r="O241" i="2"/>
  <c r="O209" i="2"/>
  <c r="O181" i="2"/>
  <c r="O177" i="2"/>
  <c r="O369" i="2"/>
  <c r="O365" i="2"/>
  <c r="O361" i="2"/>
  <c r="O357" i="2"/>
  <c r="O353" i="2"/>
  <c r="O349" i="2"/>
  <c r="O345" i="2"/>
  <c r="O341" i="2"/>
  <c r="O337" i="2"/>
  <c r="O333" i="2"/>
  <c r="O329" i="2"/>
  <c r="O325" i="2"/>
  <c r="O321" i="2"/>
  <c r="O317" i="2"/>
  <c r="O313" i="2"/>
  <c r="O309" i="2"/>
  <c r="O305" i="2"/>
  <c r="O301" i="2"/>
  <c r="O297" i="2"/>
  <c r="O293" i="2"/>
  <c r="O289" i="2"/>
  <c r="O285" i="2"/>
  <c r="O281" i="2"/>
  <c r="O276" i="2"/>
  <c r="O272" i="2"/>
  <c r="O268" i="2"/>
  <c r="O264" i="2"/>
  <c r="O260" i="2"/>
  <c r="O256" i="2"/>
  <c r="O252" i="2"/>
  <c r="O248" i="2"/>
  <c r="O244" i="2"/>
  <c r="O240" i="2"/>
  <c r="O236" i="2"/>
  <c r="O232" i="2"/>
  <c r="O228" i="2"/>
  <c r="O224" i="2"/>
  <c r="O220" i="2"/>
  <c r="O216" i="2"/>
  <c r="O212" i="2"/>
  <c r="O208" i="2"/>
  <c r="O204" i="2"/>
  <c r="O200" i="2"/>
  <c r="O196" i="2"/>
  <c r="O192" i="2"/>
  <c r="O188" i="2"/>
  <c r="O184" i="2"/>
  <c r="O180" i="2"/>
  <c r="O176" i="2"/>
  <c r="O172" i="2"/>
  <c r="O168" i="2"/>
  <c r="O164" i="2"/>
  <c r="O160" i="2"/>
  <c r="O156" i="2"/>
  <c r="O152" i="2"/>
  <c r="O137" i="2"/>
  <c r="O136" i="2"/>
  <c r="O135" i="2"/>
  <c r="O134" i="2"/>
  <c r="O133" i="2"/>
  <c r="O132" i="2"/>
  <c r="O131" i="2"/>
  <c r="O130" i="2"/>
  <c r="O128" i="2"/>
  <c r="O127" i="2"/>
  <c r="O126" i="2"/>
  <c r="O358" i="2"/>
  <c r="O354" i="2"/>
  <c r="O322" i="2"/>
  <c r="O318" i="2"/>
  <c r="O314" i="2"/>
  <c r="O310" i="2"/>
  <c r="O273" i="2"/>
  <c r="O265" i="2"/>
  <c r="O257" i="2"/>
  <c r="O253" i="2"/>
  <c r="O368" i="2"/>
  <c r="O364" i="2"/>
  <c r="O360" i="2"/>
  <c r="O356" i="2"/>
  <c r="O352" i="2"/>
  <c r="O348" i="2"/>
  <c r="O344" i="2"/>
  <c r="O340" i="2"/>
  <c r="O336" i="2"/>
  <c r="O332" i="2"/>
  <c r="O328" i="2"/>
  <c r="O324" i="2"/>
  <c r="O320" i="2"/>
  <c r="O316" i="2"/>
  <c r="O312" i="2"/>
  <c r="O308" i="2"/>
  <c r="O304" i="2"/>
  <c r="O300" i="2"/>
  <c r="O296" i="2"/>
  <c r="O292" i="2"/>
  <c r="O288" i="2"/>
  <c r="O284" i="2"/>
  <c r="O279" i="2"/>
  <c r="O275" i="2"/>
  <c r="O271" i="2"/>
  <c r="O267" i="2"/>
  <c r="O263" i="2"/>
  <c r="O259" i="2"/>
  <c r="O255" i="2"/>
  <c r="O251" i="2"/>
  <c r="O247" i="2"/>
  <c r="O243" i="2"/>
  <c r="O239" i="2"/>
  <c r="O235" i="2"/>
  <c r="O231" i="2"/>
  <c r="O227" i="2"/>
  <c r="O223" i="2"/>
  <c r="O219" i="2"/>
  <c r="O215" i="2"/>
  <c r="O211" i="2"/>
  <c r="O207" i="2"/>
  <c r="O203" i="2"/>
  <c r="O199" i="2"/>
  <c r="O195" i="2"/>
  <c r="O191" i="2"/>
  <c r="O187" i="2"/>
  <c r="O183" i="2"/>
  <c r="O179" i="2"/>
  <c r="O175" i="2"/>
  <c r="O171" i="2"/>
  <c r="O167" i="2"/>
  <c r="O163" i="2"/>
  <c r="O159" i="2"/>
  <c r="O155" i="2"/>
  <c r="O151" i="2"/>
  <c r="O362" i="2"/>
  <c r="O330" i="2"/>
  <c r="O326" i="2"/>
  <c r="O161" i="2"/>
  <c r="O157" i="2"/>
  <c r="O367" i="2"/>
  <c r="O363" i="2"/>
  <c r="O359" i="2"/>
  <c r="O355" i="2"/>
  <c r="O351" i="2"/>
  <c r="O347" i="2"/>
  <c r="O343" i="2"/>
  <c r="O339" i="2"/>
  <c r="O335" i="2"/>
  <c r="O331" i="2"/>
  <c r="O327" i="2"/>
  <c r="O323" i="2"/>
  <c r="O319" i="2"/>
  <c r="O315" i="2"/>
  <c r="O311" i="2"/>
  <c r="O307" i="2"/>
  <c r="O303" i="2"/>
  <c r="O299" i="2"/>
  <c r="O295" i="2"/>
  <c r="O291" i="2"/>
  <c r="O287" i="2"/>
  <c r="O283" i="2"/>
  <c r="O278" i="2"/>
  <c r="O274" i="2"/>
  <c r="O270" i="2"/>
  <c r="O266" i="2"/>
  <c r="O262" i="2"/>
  <c r="O258" i="2"/>
  <c r="O254" i="2"/>
  <c r="O250" i="2"/>
  <c r="O246" i="2"/>
  <c r="O242" i="2"/>
  <c r="O238" i="2"/>
  <c r="O234" i="2"/>
  <c r="O230" i="2"/>
  <c r="O226" i="2"/>
  <c r="O222" i="2"/>
  <c r="O218" i="2"/>
  <c r="O214" i="2"/>
  <c r="O210" i="2"/>
  <c r="O206" i="2"/>
  <c r="O202" i="2"/>
  <c r="O198" i="2"/>
  <c r="O194" i="2"/>
  <c r="O190" i="2"/>
  <c r="O186" i="2"/>
  <c r="O182" i="2"/>
  <c r="O178" i="2"/>
  <c r="O174" i="2"/>
  <c r="O170" i="2"/>
  <c r="O166" i="2"/>
  <c r="O162" i="2"/>
  <c r="O158" i="2"/>
  <c r="O154" i="2"/>
  <c r="O150" i="2"/>
  <c r="O366" i="2"/>
  <c r="O350" i="2"/>
  <c r="O277" i="2"/>
  <c r="O261" i="2"/>
  <c r="O233" i="2"/>
  <c r="O229" i="2"/>
  <c r="O217" i="2"/>
  <c r="O213" i="2"/>
  <c r="O205" i="2"/>
  <c r="O201" i="2"/>
  <c r="O197" i="2"/>
  <c r="O189" i="2"/>
  <c r="O77" i="2"/>
  <c r="T2" i="19"/>
  <c r="S2" i="19"/>
  <c r="U10" i="19"/>
  <c r="T10" i="19"/>
  <c r="Q322" i="8"/>
  <c r="V322" i="8" s="1" a="1"/>
  <c r="V322" i="8" s="1"/>
  <c r="Q336" i="8"/>
  <c r="V336" i="8" s="1" a="1"/>
  <c r="V336" i="8" s="1"/>
  <c r="Q983" i="8"/>
  <c r="V983" i="8" s="1" a="1"/>
  <c r="V983" i="8" s="1"/>
  <c r="Q433" i="8"/>
  <c r="V433" i="8" s="1" a="1"/>
  <c r="V433" i="8" s="1"/>
  <c r="Q297" i="8"/>
  <c r="V297" i="8" s="1" a="1"/>
  <c r="V297" i="8" s="1"/>
  <c r="Q986" i="8"/>
  <c r="V986" i="8" s="1" a="1"/>
  <c r="V986" i="8" s="1"/>
  <c r="Q974" i="8"/>
  <c r="V974" i="8" s="1" a="1"/>
  <c r="V974" i="8" s="1"/>
  <c r="Q971" i="8"/>
  <c r="V971" i="8" s="1" a="1"/>
  <c r="V971" i="8" s="1"/>
  <c r="Q299" i="8"/>
  <c r="V299" i="8" s="1" a="1"/>
  <c r="V299" i="8" s="1"/>
  <c r="Q936" i="8"/>
  <c r="V936" i="8" s="1" a="1"/>
  <c r="V936" i="8" s="1"/>
  <c r="V36" i="19"/>
  <c r="V66" i="19"/>
  <c r="V126" i="19"/>
  <c r="V122" i="19"/>
  <c r="V119" i="19"/>
  <c r="V95" i="19"/>
  <c r="V115" i="19"/>
  <c r="V130" i="19"/>
  <c r="V134" i="19"/>
  <c r="V138" i="19"/>
  <c r="T204" i="19"/>
  <c r="V362" i="19"/>
  <c r="V350" i="19"/>
  <c r="V346" i="19"/>
  <c r="V342" i="19"/>
  <c r="V334" i="19"/>
  <c r="V330" i="19"/>
  <c r="V322" i="19"/>
  <c r="V318" i="19"/>
  <c r="V302" i="19"/>
  <c r="V286" i="19"/>
  <c r="V278" i="19"/>
  <c r="V270" i="19"/>
  <c r="V254" i="19"/>
  <c r="V242" i="19"/>
  <c r="V238" i="19"/>
  <c r="V230" i="19"/>
  <c r="V222" i="19"/>
  <c r="V214" i="19"/>
  <c r="V206" i="19"/>
  <c r="V202" i="19"/>
  <c r="V198" i="19"/>
  <c r="V194" i="19"/>
  <c r="V170" i="19"/>
  <c r="V166" i="19"/>
  <c r="V158" i="19"/>
  <c r="V150" i="19"/>
  <c r="V146" i="19"/>
  <c r="V137" i="19"/>
  <c r="V133" i="19"/>
  <c r="V129" i="19"/>
  <c r="V125" i="19"/>
  <c r="V121" i="19"/>
  <c r="V106" i="19"/>
  <c r="V102" i="19"/>
  <c r="V92" i="19"/>
  <c r="V84" i="19"/>
  <c r="V80" i="19"/>
  <c r="V74" i="19"/>
  <c r="V70" i="19"/>
  <c r="V68" i="19"/>
  <c r="V64" i="19"/>
  <c r="V38" i="19"/>
  <c r="V28" i="19"/>
  <c r="V24" i="19"/>
  <c r="V88" i="19"/>
  <c r="V98" i="19"/>
  <c r="V112" i="19"/>
  <c r="V32" i="19"/>
  <c r="V50" i="19"/>
  <c r="V114" i="19"/>
  <c r="V141" i="19"/>
  <c r="V358" i="19"/>
  <c r="V354" i="19"/>
  <c r="V338" i="19"/>
  <c r="V326" i="19"/>
  <c r="V314" i="19"/>
  <c r="V310" i="19"/>
  <c r="V306" i="19"/>
  <c r="V294" i="19"/>
  <c r="V290" i="19"/>
  <c r="V282" i="19"/>
  <c r="V274" i="19"/>
  <c r="V266" i="19"/>
  <c r="V262" i="19"/>
  <c r="V250" i="19"/>
  <c r="V234" i="19"/>
  <c r="V226" i="19"/>
  <c r="V218" i="19"/>
  <c r="V210" i="19"/>
  <c r="V190" i="19"/>
  <c r="V186" i="19"/>
  <c r="V182" i="19"/>
  <c r="V178" i="19"/>
  <c r="V174" i="19"/>
  <c r="V162" i="19"/>
  <c r="V154" i="19"/>
  <c r="V143" i="19"/>
  <c r="V139" i="19"/>
  <c r="V135" i="19"/>
  <c r="V131" i="19"/>
  <c r="V127" i="19"/>
  <c r="V118" i="19"/>
  <c r="V108" i="19"/>
  <c r="V104" i="19"/>
  <c r="V96" i="19"/>
  <c r="V94" i="19"/>
  <c r="V90" i="19"/>
  <c r="V82" i="19"/>
  <c r="V78" i="19"/>
  <c r="V76" i="19"/>
  <c r="V72" i="19"/>
  <c r="V62" i="19"/>
  <c r="V44" i="19"/>
  <c r="V42" i="19"/>
  <c r="V40" i="19"/>
  <c r="V30" i="19"/>
  <c r="V22" i="19"/>
  <c r="V34" i="19"/>
  <c r="V46" i="19"/>
  <c r="V86" i="19"/>
  <c r="V100" i="19"/>
  <c r="V110" i="19"/>
  <c r="V258" i="19"/>
  <c r="W107" i="13"/>
  <c r="V16" i="19"/>
  <c r="V361" i="19"/>
  <c r="V357" i="19"/>
  <c r="V353" i="19"/>
  <c r="V349" i="19"/>
  <c r="V345" i="19"/>
  <c r="V341" i="19"/>
  <c r="V337" i="19"/>
  <c r="V333" i="19"/>
  <c r="V329" i="19"/>
  <c r="V325" i="19"/>
  <c r="V321" i="19"/>
  <c r="V317" i="19"/>
  <c r="V313" i="19"/>
  <c r="V309" i="19"/>
  <c r="V305" i="19"/>
  <c r="V301" i="19"/>
  <c r="V297" i="19"/>
  <c r="V293" i="19"/>
  <c r="V289" i="19"/>
  <c r="V285" i="19"/>
  <c r="V281" i="19"/>
  <c r="V277" i="19"/>
  <c r="V273" i="19"/>
  <c r="V269" i="19"/>
  <c r="V265" i="19"/>
  <c r="V261" i="19"/>
  <c r="V257" i="19"/>
  <c r="V253" i="19"/>
  <c r="V249" i="19"/>
  <c r="V245" i="19"/>
  <c r="V241" i="19"/>
  <c r="V237" i="19"/>
  <c r="V233" i="19"/>
  <c r="V229" i="19"/>
  <c r="V225" i="19"/>
  <c r="V221" i="19"/>
  <c r="V217" i="19"/>
  <c r="V213" i="19"/>
  <c r="V205" i="19"/>
  <c r="V197" i="19"/>
  <c r="V193" i="19"/>
  <c r="V189" i="19"/>
  <c r="V185" i="19"/>
  <c r="V181" i="19"/>
  <c r="V177" i="19"/>
  <c r="V173" i="19"/>
  <c r="V169" i="19"/>
  <c r="V165" i="19"/>
  <c r="V161" i="19"/>
  <c r="V153" i="19"/>
  <c r="V149" i="19"/>
  <c r="V20" i="19"/>
  <c r="V18" i="19"/>
  <c r="V14" i="19"/>
  <c r="V145" i="19"/>
  <c r="V157" i="19"/>
  <c r="V209" i="19"/>
  <c r="V304" i="13"/>
  <c r="U16" i="13"/>
  <c r="R22" i="13"/>
  <c r="S22" i="13" s="1"/>
  <c r="R28" i="13"/>
  <c r="S28" i="13" s="1"/>
  <c r="V321" i="13"/>
  <c r="Q189" i="13"/>
  <c r="R189" i="13" s="1"/>
  <c r="S189" i="13" s="1"/>
  <c r="U189" i="13" s="1"/>
  <c r="V189" i="13"/>
  <c r="Q26" i="13"/>
  <c r="Q132" i="13"/>
  <c r="R132" i="13" s="1"/>
  <c r="S132" i="13" s="1"/>
  <c r="T132" i="13" s="1"/>
  <c r="Q133" i="13"/>
  <c r="R133" i="13" s="1"/>
  <c r="S133" i="13" s="1"/>
  <c r="T133" i="13" s="1"/>
  <c r="Q134" i="13"/>
  <c r="R134" i="13" s="1"/>
  <c r="S134" i="13" s="1"/>
  <c r="T134" i="13" s="1"/>
  <c r="Q135" i="13"/>
  <c r="R135" i="13" s="1"/>
  <c r="S135" i="13" s="1"/>
  <c r="U135" i="13" s="1"/>
  <c r="Q141" i="13"/>
  <c r="R141" i="13" s="1"/>
  <c r="S141" i="13" s="1"/>
  <c r="U141" i="13" s="1"/>
  <c r="V141" i="13"/>
  <c r="W75" i="13"/>
  <c r="V254" i="13"/>
  <c r="Q12" i="13"/>
  <c r="V24" i="13"/>
  <c r="W115" i="13"/>
  <c r="V222" i="13"/>
  <c r="R26" i="13"/>
  <c r="S26" i="13" s="1"/>
  <c r="W99" i="13"/>
  <c r="V155" i="13"/>
  <c r="V292" i="13"/>
  <c r="Q24" i="13"/>
  <c r="V10" i="13"/>
  <c r="W14" i="13"/>
  <c r="W91" i="13"/>
  <c r="W123" i="13"/>
  <c r="Q181" i="13"/>
  <c r="R181" i="13" s="1"/>
  <c r="S181" i="13" s="1"/>
  <c r="U181" i="13" s="1"/>
  <c r="V181" i="13"/>
  <c r="Q213" i="13"/>
  <c r="R213" i="13" s="1"/>
  <c r="S213" i="13" s="1"/>
  <c r="T213" i="13" s="1"/>
  <c r="V213" i="13"/>
  <c r="V246" i="13"/>
  <c r="V297" i="13"/>
  <c r="V12" i="13"/>
  <c r="Q155" i="13"/>
  <c r="R155" i="13" s="1"/>
  <c r="S155" i="13" s="1"/>
  <c r="U155" i="13" s="1"/>
  <c r="V197" i="13"/>
  <c r="Q197" i="13" s="1"/>
  <c r="R197" i="13" s="1"/>
  <c r="S197" i="13" s="1"/>
  <c r="V230" i="13"/>
  <c r="V262" i="13"/>
  <c r="V311" i="13"/>
  <c r="R17" i="13"/>
  <c r="S17" i="13" s="1"/>
  <c r="Q10" i="13"/>
  <c r="R13" i="13"/>
  <c r="S13" i="13" s="1"/>
  <c r="Q19" i="13"/>
  <c r="T24" i="13"/>
  <c r="T26" i="13"/>
  <c r="W83" i="13"/>
  <c r="Q171" i="13"/>
  <c r="R171" i="13" s="1"/>
  <c r="S171" i="13" s="1"/>
  <c r="U171" i="13" s="1"/>
  <c r="V171" i="13"/>
  <c r="Q205" i="13"/>
  <c r="R205" i="13" s="1"/>
  <c r="S205" i="13" s="1"/>
  <c r="U205" i="13" s="1"/>
  <c r="V205" i="13"/>
  <c r="V238" i="13"/>
  <c r="Q238" i="13" s="1"/>
  <c r="R238" i="13" s="1"/>
  <c r="S238" i="13" s="1"/>
  <c r="U238" i="13" s="1"/>
  <c r="R10" i="13"/>
  <c r="S10" i="13" s="1"/>
  <c r="T12" i="13"/>
  <c r="V15" i="13"/>
  <c r="V26" i="13"/>
  <c r="W77" i="13"/>
  <c r="W85" i="13"/>
  <c r="W93" i="13"/>
  <c r="W101" i="13"/>
  <c r="W109" i="13"/>
  <c r="W117" i="13"/>
  <c r="W126" i="13"/>
  <c r="Q143" i="13"/>
  <c r="R143" i="13" s="1"/>
  <c r="S143" i="13" s="1"/>
  <c r="T143" i="13" s="1"/>
  <c r="V143" i="13"/>
  <c r="Q159" i="13"/>
  <c r="R159" i="13" s="1"/>
  <c r="S159" i="13" s="1"/>
  <c r="U159" i="13" s="1"/>
  <c r="V159" i="13"/>
  <c r="Q175" i="13"/>
  <c r="R175" i="13" s="1"/>
  <c r="S175" i="13" s="1"/>
  <c r="U175" i="13" s="1"/>
  <c r="V175" i="13"/>
  <c r="Q183" i="13"/>
  <c r="R183" i="13" s="1"/>
  <c r="S183" i="13" s="1"/>
  <c r="U183" i="13" s="1"/>
  <c r="V183" i="13"/>
  <c r="Q191" i="13"/>
  <c r="R191" i="13" s="1"/>
  <c r="S191" i="13" s="1"/>
  <c r="U191" i="13" s="1"/>
  <c r="V191" i="13"/>
  <c r="V199" i="13"/>
  <c r="Q207" i="13"/>
  <c r="R207" i="13" s="1"/>
  <c r="S207" i="13" s="1"/>
  <c r="U207" i="13" s="1"/>
  <c r="V207" i="13"/>
  <c r="Q215" i="13"/>
  <c r="R215" i="13" s="1"/>
  <c r="S215" i="13" s="1"/>
  <c r="U215" i="13" s="1"/>
  <c r="V215" i="13"/>
  <c r="W223" i="13"/>
  <c r="W231" i="13"/>
  <c r="W239" i="13"/>
  <c r="W247" i="13"/>
  <c r="V256" i="13"/>
  <c r="V264" i="13"/>
  <c r="V293" i="13"/>
  <c r="V300" i="13"/>
  <c r="V305" i="13"/>
  <c r="V312" i="13"/>
  <c r="Q312" i="13" s="1"/>
  <c r="R312" i="13" s="1"/>
  <c r="S312" i="13" s="1"/>
  <c r="U312" i="13" s="1"/>
  <c r="V325" i="13"/>
  <c r="T10" i="13"/>
  <c r="U19" i="13"/>
  <c r="W79" i="13"/>
  <c r="W87" i="13"/>
  <c r="W95" i="13"/>
  <c r="W103" i="13"/>
  <c r="W111" i="13"/>
  <c r="W119" i="13"/>
  <c r="W128" i="13"/>
  <c r="Q149" i="13"/>
  <c r="R149" i="13" s="1"/>
  <c r="S149" i="13" s="1"/>
  <c r="U149" i="13" s="1"/>
  <c r="V149" i="13"/>
  <c r="Q165" i="13"/>
  <c r="R165" i="13" s="1"/>
  <c r="S165" i="13" s="1"/>
  <c r="U165" i="13" s="1"/>
  <c r="V165" i="13"/>
  <c r="Q178" i="13"/>
  <c r="R178" i="13" s="1"/>
  <c r="S178" i="13" s="1"/>
  <c r="U178" i="13" s="1"/>
  <c r="V178" i="13"/>
  <c r="Q186" i="13"/>
  <c r="R186" i="13" s="1"/>
  <c r="S186" i="13" s="1"/>
  <c r="U186" i="13" s="1"/>
  <c r="V186" i="13"/>
  <c r="Q194" i="13"/>
  <c r="R194" i="13" s="1"/>
  <c r="S194" i="13" s="1"/>
  <c r="U194" i="13" s="1"/>
  <c r="V194" i="13"/>
  <c r="Q202" i="13"/>
  <c r="R202" i="13" s="1"/>
  <c r="S202" i="13" s="1"/>
  <c r="U202" i="13" s="1"/>
  <c r="V202" i="13"/>
  <c r="Q210" i="13"/>
  <c r="R210" i="13" s="1"/>
  <c r="S210" i="13" s="1"/>
  <c r="U210" i="13" s="1"/>
  <c r="V210" i="13"/>
  <c r="V218" i="13"/>
  <c r="V226" i="13"/>
  <c r="V234" i="13"/>
  <c r="Q234" i="13" s="1"/>
  <c r="R234" i="13" s="1"/>
  <c r="S234" i="13" s="1"/>
  <c r="U234" i="13" s="1"/>
  <c r="V242" i="13"/>
  <c r="V250" i="13"/>
  <c r="V258" i="13"/>
  <c r="V266" i="13"/>
  <c r="V295" i="13"/>
  <c r="V301" i="13"/>
  <c r="V308" i="13"/>
  <c r="Q308" i="13" s="1"/>
  <c r="R308" i="13" s="1"/>
  <c r="S308" i="13" s="1"/>
  <c r="U308" i="13" s="1"/>
  <c r="V313" i="13"/>
  <c r="Q313" i="13" s="1"/>
  <c r="R313" i="13" s="1"/>
  <c r="S313" i="13" s="1"/>
  <c r="U313" i="13" s="1"/>
  <c r="W327" i="13"/>
  <c r="W81" i="13"/>
  <c r="W89" i="13"/>
  <c r="W97" i="13"/>
  <c r="W105" i="13"/>
  <c r="W113" i="13"/>
  <c r="W121" i="13"/>
  <c r="W130" i="13"/>
  <c r="V151" i="13"/>
  <c r="V167" i="13"/>
  <c r="V179" i="13"/>
  <c r="V187" i="13"/>
  <c r="V195" i="13"/>
  <c r="V203" i="13"/>
  <c r="V211" i="13"/>
  <c r="W219" i="13"/>
  <c r="W227" i="13"/>
  <c r="W235" i="13"/>
  <c r="W243" i="13"/>
  <c r="V252" i="13"/>
  <c r="V260" i="13"/>
  <c r="V268" i="13"/>
  <c r="V296" i="13"/>
  <c r="V303" i="13"/>
  <c r="V309" i="13"/>
  <c r="Q309" i="13" s="1"/>
  <c r="R309" i="13" s="1"/>
  <c r="S309" i="13" s="1"/>
  <c r="U309" i="13" s="1"/>
  <c r="V319" i="13"/>
  <c r="Q11" i="13"/>
  <c r="V11" i="13"/>
  <c r="U12" i="13"/>
  <c r="T13" i="13"/>
  <c r="Q15" i="13"/>
  <c r="U17" i="13"/>
  <c r="R18" i="13"/>
  <c r="S18" i="13" s="1"/>
  <c r="W20" i="13"/>
  <c r="T22" i="13"/>
  <c r="W23" i="13"/>
  <c r="T28" i="13"/>
  <c r="W78" i="13"/>
  <c r="W82" i="13"/>
  <c r="W86" i="13"/>
  <c r="W90" i="13"/>
  <c r="W94" i="13"/>
  <c r="W98" i="13"/>
  <c r="W102" i="13"/>
  <c r="W106" i="13"/>
  <c r="W110" i="13"/>
  <c r="W114" i="13"/>
  <c r="W118" i="13"/>
  <c r="W122" i="13"/>
  <c r="W127" i="13"/>
  <c r="W131" i="13"/>
  <c r="Q147" i="13"/>
  <c r="R147" i="13" s="1"/>
  <c r="S147" i="13" s="1"/>
  <c r="T147" i="13" s="1"/>
  <c r="V147" i="13"/>
  <c r="W153" i="13"/>
  <c r="V153" i="13"/>
  <c r="Q157" i="13"/>
  <c r="R157" i="13" s="1"/>
  <c r="S157" i="13" s="1"/>
  <c r="U157" i="13" s="1"/>
  <c r="V157" i="13"/>
  <c r="Q167" i="13"/>
  <c r="R167" i="13" s="1"/>
  <c r="S167" i="13" s="1"/>
  <c r="U167" i="13" s="1"/>
  <c r="Q177" i="13"/>
  <c r="R177" i="13" s="1"/>
  <c r="S177" i="13" s="1"/>
  <c r="T177" i="13" s="1"/>
  <c r="V177" i="13"/>
  <c r="W180" i="13"/>
  <c r="V180" i="13"/>
  <c r="Q182" i="13"/>
  <c r="R182" i="13" s="1"/>
  <c r="S182" i="13" s="1"/>
  <c r="U182" i="13" s="1"/>
  <c r="V182" i="13"/>
  <c r="Q187" i="13"/>
  <c r="R187" i="13" s="1"/>
  <c r="S187" i="13" s="1"/>
  <c r="T187" i="13" s="1"/>
  <c r="Q193" i="13"/>
  <c r="R193" i="13" s="1"/>
  <c r="S193" i="13" s="1"/>
  <c r="T193" i="13" s="1"/>
  <c r="V193" i="13"/>
  <c r="W196" i="13"/>
  <c r="V196" i="13"/>
  <c r="V198" i="13"/>
  <c r="Q198" i="13" s="1"/>
  <c r="R198" i="13" s="1"/>
  <c r="S198" i="13" s="1"/>
  <c r="Q203" i="13"/>
  <c r="R203" i="13" s="1"/>
  <c r="S203" i="13" s="1"/>
  <c r="U203" i="13" s="1"/>
  <c r="Q209" i="13"/>
  <c r="R209" i="13" s="1"/>
  <c r="S209" i="13" s="1"/>
  <c r="U209" i="13" s="1"/>
  <c r="V209" i="13"/>
  <c r="W212" i="13"/>
  <c r="V212" i="13"/>
  <c r="Q214" i="13"/>
  <c r="R214" i="13" s="1"/>
  <c r="S214" i="13" s="1"/>
  <c r="U214" i="13" s="1"/>
  <c r="V214" i="13"/>
  <c r="W221" i="13"/>
  <c r="V224" i="13"/>
  <c r="W229" i="13"/>
  <c r="V232" i="13"/>
  <c r="W237" i="13"/>
  <c r="V240" i="13"/>
  <c r="W245" i="13"/>
  <c r="V248" i="13"/>
  <c r="W251" i="13"/>
  <c r="W255" i="13"/>
  <c r="W259" i="13"/>
  <c r="W263" i="13"/>
  <c r="W267" i="13"/>
  <c r="V299" i="13"/>
  <c r="W302" i="13"/>
  <c r="V302" i="13"/>
  <c r="V317" i="13"/>
  <c r="W323" i="13"/>
  <c r="V323" i="13"/>
  <c r="U11" i="13"/>
  <c r="W220" i="13"/>
  <c r="W236" i="13"/>
  <c r="W161" i="13"/>
  <c r="V161" i="13"/>
  <c r="W184" i="13"/>
  <c r="V184" i="13"/>
  <c r="W200" i="13"/>
  <c r="V200" i="13"/>
  <c r="Q200" i="13" s="1"/>
  <c r="R200" i="13" s="1"/>
  <c r="S200" i="13" s="1"/>
  <c r="U200" i="13" s="1"/>
  <c r="W228" i="13"/>
  <c r="W244" i="13"/>
  <c r="W306" i="13"/>
  <c r="V306" i="13"/>
  <c r="R11" i="13"/>
  <c r="S11" i="13" s="1"/>
  <c r="U13" i="13"/>
  <c r="R15" i="13"/>
  <c r="S15" i="13" s="1"/>
  <c r="W17" i="13"/>
  <c r="T18" i="13"/>
  <c r="U22" i="13"/>
  <c r="W27" i="13"/>
  <c r="V28" i="13"/>
  <c r="W145" i="13"/>
  <c r="V145" i="13"/>
  <c r="W176" i="13"/>
  <c r="V176" i="13"/>
  <c r="W192" i="13"/>
  <c r="V192" i="13"/>
  <c r="W208" i="13"/>
  <c r="V208" i="13"/>
  <c r="W298" i="13"/>
  <c r="V298" i="13"/>
  <c r="W315" i="13"/>
  <c r="V315" i="13"/>
  <c r="V13" i="13"/>
  <c r="T15" i="13"/>
  <c r="Q17" i="13"/>
  <c r="Q18" i="13"/>
  <c r="R20" i="13"/>
  <c r="S20" i="13" s="1"/>
  <c r="V22" i="13"/>
  <c r="R24" i="13"/>
  <c r="S24" i="13" s="1"/>
  <c r="Q28" i="13"/>
  <c r="W76" i="13"/>
  <c r="W80" i="13"/>
  <c r="W84" i="13"/>
  <c r="W88" i="13"/>
  <c r="W92" i="13"/>
  <c r="W96" i="13"/>
  <c r="W100" i="13"/>
  <c r="W104" i="13"/>
  <c r="W108" i="13"/>
  <c r="W112" i="13"/>
  <c r="W116" i="13"/>
  <c r="W120" i="13"/>
  <c r="W125" i="13"/>
  <c r="W129" i="13"/>
  <c r="W140" i="13"/>
  <c r="V140" i="13"/>
  <c r="Q142" i="13"/>
  <c r="R142" i="13" s="1"/>
  <c r="S142" i="13" s="1"/>
  <c r="U142" i="13" s="1"/>
  <c r="V142" i="13"/>
  <c r="Q151" i="13"/>
  <c r="R151" i="13" s="1"/>
  <c r="S151" i="13" s="1"/>
  <c r="T151" i="13" s="1"/>
  <c r="Q163" i="13"/>
  <c r="R163" i="13" s="1"/>
  <c r="S163" i="13" s="1"/>
  <c r="V163" i="13"/>
  <c r="W169" i="13"/>
  <c r="V169" i="13"/>
  <c r="Q173" i="13"/>
  <c r="R173" i="13" s="1"/>
  <c r="S173" i="13" s="1"/>
  <c r="U173" i="13" s="1"/>
  <c r="V173" i="13"/>
  <c r="Q179" i="13"/>
  <c r="R179" i="13" s="1"/>
  <c r="S179" i="13" s="1"/>
  <c r="U179" i="13" s="1"/>
  <c r="Q185" i="13"/>
  <c r="R185" i="13" s="1"/>
  <c r="S185" i="13" s="1"/>
  <c r="U185" i="13" s="1"/>
  <c r="V185" i="13"/>
  <c r="W188" i="13"/>
  <c r="V188" i="13"/>
  <c r="Q190" i="13"/>
  <c r="R190" i="13" s="1"/>
  <c r="S190" i="13" s="1"/>
  <c r="U190" i="13" s="1"/>
  <c r="V190" i="13"/>
  <c r="Q195" i="13"/>
  <c r="R195" i="13" s="1"/>
  <c r="S195" i="13" s="1"/>
  <c r="U195" i="13" s="1"/>
  <c r="V201" i="13"/>
  <c r="Q201" i="13" s="1"/>
  <c r="R201" i="13" s="1"/>
  <c r="S201" i="13" s="1"/>
  <c r="W204" i="13"/>
  <c r="V204" i="13"/>
  <c r="Q206" i="13"/>
  <c r="R206" i="13" s="1"/>
  <c r="S206" i="13" s="1"/>
  <c r="U206" i="13" s="1"/>
  <c r="V206" i="13"/>
  <c r="Q211" i="13"/>
  <c r="R211" i="13" s="1"/>
  <c r="S211" i="13" s="1"/>
  <c r="U211" i="13" s="1"/>
  <c r="W217" i="13"/>
  <c r="W225" i="13"/>
  <c r="W233" i="13"/>
  <c r="W241" i="13"/>
  <c r="W249" i="13"/>
  <c r="W253" i="13"/>
  <c r="W257" i="13"/>
  <c r="W261" i="13"/>
  <c r="W265" i="13"/>
  <c r="W269" i="13"/>
  <c r="W294" i="13"/>
  <c r="V294" i="13"/>
  <c r="V307" i="13"/>
  <c r="W310" i="13"/>
  <c r="V310" i="13"/>
  <c r="Q310" i="13" s="1"/>
  <c r="R310" i="13" s="1"/>
  <c r="S310" i="13" s="1"/>
  <c r="U310" i="13" s="1"/>
  <c r="Q329" i="13"/>
  <c r="R329" i="13" s="1"/>
  <c r="S329" i="13" s="1"/>
  <c r="U329" i="13" s="1"/>
  <c r="Q330" i="13"/>
  <c r="R330" i="13" s="1"/>
  <c r="S330" i="13" s="1"/>
  <c r="Q331" i="13"/>
  <c r="R331" i="13" s="1"/>
  <c r="S331" i="13" s="1"/>
  <c r="Q332" i="13"/>
  <c r="R332" i="13" s="1"/>
  <c r="S332" i="13" s="1"/>
  <c r="Q333" i="13"/>
  <c r="R333" i="13" s="1"/>
  <c r="S333" i="13" s="1"/>
  <c r="Q334" i="13"/>
  <c r="Q335" i="13"/>
  <c r="R335" i="13" s="1"/>
  <c r="S335" i="13" s="1"/>
  <c r="Q342" i="13"/>
  <c r="R342" i="13" s="1"/>
  <c r="S342" i="13" s="1"/>
  <c r="Q343" i="13"/>
  <c r="R343" i="13" s="1"/>
  <c r="S343" i="13" s="1"/>
  <c r="Q344" i="13"/>
  <c r="R344" i="13" s="1"/>
  <c r="S344" i="13" s="1"/>
  <c r="Q346" i="13"/>
  <c r="R346" i="13" s="1"/>
  <c r="S346" i="13" s="1"/>
  <c r="Q347" i="13"/>
  <c r="R347" i="13" s="1"/>
  <c r="S347" i="13" s="1"/>
  <c r="Q348" i="13"/>
  <c r="R348" i="13" s="1"/>
  <c r="S348" i="13" s="1"/>
  <c r="Q349" i="13"/>
  <c r="Q350" i="13"/>
  <c r="R350" i="13" s="1"/>
  <c r="S350" i="13" s="1"/>
  <c r="Q351" i="13"/>
  <c r="R351" i="13" s="1"/>
  <c r="S351" i="13" s="1"/>
  <c r="Q353" i="13"/>
  <c r="R353" i="13" s="1"/>
  <c r="S353" i="13" s="1"/>
  <c r="Q359" i="13"/>
  <c r="R359" i="13" s="1"/>
  <c r="S359" i="13" s="1"/>
  <c r="Q360" i="13"/>
  <c r="R360" i="13" s="1"/>
  <c r="S360" i="13" s="1"/>
  <c r="Q361" i="13"/>
  <c r="R361" i="13" s="1"/>
  <c r="S361" i="13" s="1"/>
  <c r="Q362" i="13"/>
  <c r="R362" i="13" s="1"/>
  <c r="S362" i="13" s="1"/>
  <c r="Q363" i="13"/>
  <c r="Q364" i="13"/>
  <c r="R364" i="13" s="1"/>
  <c r="S364" i="13" s="1"/>
  <c r="Q365" i="13"/>
  <c r="R365" i="13" s="1"/>
  <c r="S365" i="13" s="1"/>
  <c r="Q366" i="13"/>
  <c r="R366" i="13" s="1"/>
  <c r="S366" i="13" s="1"/>
  <c r="Q367" i="13"/>
  <c r="R367" i="13" s="1"/>
  <c r="S367" i="13" s="1"/>
  <c r="Q368" i="13"/>
  <c r="R368" i="13" s="1"/>
  <c r="S368" i="13" s="1"/>
  <c r="Q369" i="13"/>
  <c r="R369" i="13" s="1"/>
  <c r="S369" i="13" s="1"/>
  <c r="Q136" i="13"/>
  <c r="R136" i="13" s="1"/>
  <c r="S136" i="13" s="1"/>
  <c r="U136" i="13" s="1"/>
  <c r="Q137" i="13"/>
  <c r="R137" i="13" s="1"/>
  <c r="S137" i="13" s="1"/>
  <c r="T137" i="13" s="1"/>
  <c r="Q138" i="13"/>
  <c r="R138" i="13" s="1"/>
  <c r="S138" i="13" s="1"/>
  <c r="T138" i="13" s="1"/>
  <c r="Q139" i="13"/>
  <c r="R139" i="13" s="1"/>
  <c r="S139" i="13" s="1"/>
  <c r="U139" i="13" s="1"/>
  <c r="Q140" i="13"/>
  <c r="R140" i="13" s="1"/>
  <c r="S140" i="13" s="1"/>
  <c r="T140" i="13" s="1"/>
  <c r="Q145" i="13"/>
  <c r="R145" i="13" s="1"/>
  <c r="S145" i="13" s="1"/>
  <c r="U145" i="13" s="1"/>
  <c r="Q153" i="13"/>
  <c r="R153" i="13" s="1"/>
  <c r="S153" i="13" s="1"/>
  <c r="T153" i="13" s="1"/>
  <c r="Q161" i="13"/>
  <c r="R161" i="13" s="1"/>
  <c r="S161" i="13" s="1"/>
  <c r="T161" i="13" s="1"/>
  <c r="Q169" i="13"/>
  <c r="R169" i="13" s="1"/>
  <c r="S169" i="13" s="1"/>
  <c r="U169" i="13" s="1"/>
  <c r="Q176" i="13"/>
  <c r="R176" i="13" s="1"/>
  <c r="S176" i="13" s="1"/>
  <c r="U176" i="13" s="1"/>
  <c r="Q180" i="13"/>
  <c r="R180" i="13" s="1"/>
  <c r="S180" i="13" s="1"/>
  <c r="T180" i="13" s="1"/>
  <c r="Q184" i="13"/>
  <c r="R184" i="13" s="1"/>
  <c r="S184" i="13" s="1"/>
  <c r="U184" i="13" s="1"/>
  <c r="Q188" i="13"/>
  <c r="R188" i="13" s="1"/>
  <c r="S188" i="13" s="1"/>
  <c r="U188" i="13" s="1"/>
  <c r="Q192" i="13"/>
  <c r="R192" i="13" s="1"/>
  <c r="S192" i="13" s="1"/>
  <c r="T192" i="13" s="1"/>
  <c r="Q196" i="13"/>
  <c r="R196" i="13" s="1"/>
  <c r="S196" i="13" s="1"/>
  <c r="T196" i="13" s="1"/>
  <c r="Q204" i="13"/>
  <c r="R204" i="13" s="1"/>
  <c r="S204" i="13" s="1"/>
  <c r="U204" i="13" s="1"/>
  <c r="Q208" i="13"/>
  <c r="R208" i="13" s="1"/>
  <c r="S208" i="13" s="1"/>
  <c r="U208" i="13" s="1"/>
  <c r="Q212" i="13"/>
  <c r="R212" i="13" s="1"/>
  <c r="S212" i="13" s="1"/>
  <c r="U212" i="13" s="1"/>
  <c r="V283" i="19"/>
  <c r="V227" i="19"/>
  <c r="V223" i="19"/>
  <c r="V219" i="19"/>
  <c r="V211" i="19"/>
  <c r="V187" i="19"/>
  <c r="V171" i="19"/>
  <c r="V155" i="19"/>
  <c r="V151" i="19"/>
  <c r="V147" i="19"/>
  <c r="V11" i="19"/>
  <c r="V17" i="19"/>
  <c r="T323" i="19"/>
  <c r="U323" i="19"/>
  <c r="V311" i="19"/>
  <c r="V299" i="19"/>
  <c r="V271" i="19"/>
  <c r="V263" i="19"/>
  <c r="V259" i="19"/>
  <c r="V207" i="19"/>
  <c r="V199" i="19"/>
  <c r="V191" i="19"/>
  <c r="V175" i="19"/>
  <c r="V327" i="19"/>
  <c r="V315" i="19"/>
  <c r="V231" i="19"/>
  <c r="V215" i="19"/>
  <c r="V203" i="19"/>
  <c r="V195" i="19"/>
  <c r="V183" i="19"/>
  <c r="V179" i="19"/>
  <c r="V167" i="19"/>
  <c r="V159" i="19"/>
  <c r="V19" i="19"/>
  <c r="V163" i="19"/>
  <c r="V60" i="19"/>
  <c r="V335" i="19"/>
  <c r="V287" i="19"/>
  <c r="V279" i="19"/>
  <c r="V275" i="19"/>
  <c r="V267" i="19"/>
  <c r="V255" i="19"/>
  <c r="V251" i="19"/>
  <c r="V247" i="19"/>
  <c r="V243" i="19"/>
  <c r="V239" i="19"/>
  <c r="V235" i="19"/>
  <c r="V363" i="19"/>
  <c r="V359" i="19"/>
  <c r="V355" i="19"/>
  <c r="V351" i="19"/>
  <c r="V343" i="19"/>
  <c r="V331" i="19"/>
  <c r="V319" i="19"/>
  <c r="V307" i="19"/>
  <c r="V303" i="19"/>
  <c r="V291" i="19"/>
  <c r="V339" i="19"/>
  <c r="V295" i="19"/>
  <c r="V323" i="19"/>
  <c r="V347" i="19"/>
  <c r="V356" i="19"/>
  <c r="V352" i="19"/>
  <c r="V320" i="19"/>
  <c r="V316" i="19"/>
  <c r="V304" i="19"/>
  <c r="V288" i="19"/>
  <c r="V284" i="19"/>
  <c r="V268" i="19"/>
  <c r="V260" i="19"/>
  <c r="V256" i="19"/>
  <c r="V244" i="19"/>
  <c r="V228" i="19"/>
  <c r="V220" i="19"/>
  <c r="V200" i="19"/>
  <c r="V184" i="19"/>
  <c r="V176" i="19"/>
  <c r="V144" i="19"/>
  <c r="V120" i="19"/>
  <c r="V77" i="19"/>
  <c r="V69" i="19"/>
  <c r="V57" i="19"/>
  <c r="V13" i="19"/>
  <c r="V29" i="19"/>
  <c r="V33" i="19"/>
  <c r="V364" i="19"/>
  <c r="V340" i="19"/>
  <c r="V336" i="19"/>
  <c r="V332" i="19"/>
  <c r="V328" i="19"/>
  <c r="V312" i="19"/>
  <c r="V308" i="19"/>
  <c r="V296" i="19"/>
  <c r="V292" i="19"/>
  <c r="V264" i="19"/>
  <c r="V248" i="19"/>
  <c r="V240" i="19"/>
  <c r="V236" i="19"/>
  <c r="V224" i="19"/>
  <c r="V216" i="19"/>
  <c r="V212" i="19"/>
  <c r="V208" i="19"/>
  <c r="V192" i="19"/>
  <c r="V168" i="19"/>
  <c r="V164" i="19"/>
  <c r="V160" i="19"/>
  <c r="V152" i="19"/>
  <c r="V136" i="19"/>
  <c r="V109" i="19"/>
  <c r="V105" i="19"/>
  <c r="V101" i="19"/>
  <c r="V93" i="19"/>
  <c r="V89" i="19"/>
  <c r="V65" i="19"/>
  <c r="V25" i="19"/>
  <c r="V45" i="19"/>
  <c r="V360" i="19"/>
  <c r="V348" i="19"/>
  <c r="V344" i="19"/>
  <c r="V324" i="19"/>
  <c r="V300" i="19"/>
  <c r="V280" i="19"/>
  <c r="V276" i="19"/>
  <c r="V272" i="19"/>
  <c r="V252" i="19"/>
  <c r="V232" i="19"/>
  <c r="V196" i="19"/>
  <c r="V188" i="19"/>
  <c r="V180" i="19"/>
  <c r="V172" i="19"/>
  <c r="V156" i="19"/>
  <c r="V148" i="19"/>
  <c r="V140" i="19"/>
  <c r="V132" i="19"/>
  <c r="V117" i="19"/>
  <c r="V85" i="19"/>
  <c r="V73" i="19"/>
  <c r="V61" i="19"/>
  <c r="V49" i="19"/>
  <c r="V81" i="19"/>
  <c r="V97" i="19"/>
  <c r="V113" i="19"/>
  <c r="V124" i="19"/>
  <c r="V128" i="19"/>
  <c r="V204" i="19"/>
  <c r="T332" i="19"/>
  <c r="U332" i="19"/>
  <c r="U312" i="19"/>
  <c r="T312" i="19"/>
  <c r="U212" i="19"/>
  <c r="T212" i="19"/>
  <c r="U343" i="19"/>
  <c r="T343" i="19"/>
  <c r="U338" i="19"/>
  <c r="T338" i="19"/>
  <c r="U255" i="19"/>
  <c r="T314" i="19"/>
  <c r="T339" i="19"/>
  <c r="U11" i="19"/>
  <c r="T11" i="19"/>
  <c r="U31" i="19"/>
  <c r="T31" i="19"/>
  <c r="U32" i="19"/>
  <c r="T32" i="19"/>
  <c r="U34" i="19"/>
  <c r="T34" i="19"/>
  <c r="T41" i="19"/>
  <c r="U41" i="19"/>
  <c r="U47" i="19"/>
  <c r="T47" i="19"/>
  <c r="U48" i="19"/>
  <c r="T48" i="19"/>
  <c r="U50" i="19"/>
  <c r="T50" i="19"/>
  <c r="T57" i="19"/>
  <c r="U57" i="19"/>
  <c r="U63" i="19"/>
  <c r="T63" i="19"/>
  <c r="U66" i="19"/>
  <c r="T66" i="19"/>
  <c r="T73" i="19"/>
  <c r="U73" i="19"/>
  <c r="U79" i="19"/>
  <c r="T79" i="19"/>
  <c r="U82" i="19"/>
  <c r="T82" i="19"/>
  <c r="T89" i="19"/>
  <c r="U89" i="19"/>
  <c r="T14" i="19"/>
  <c r="U14" i="19"/>
  <c r="T16" i="19"/>
  <c r="U16" i="19"/>
  <c r="T18" i="19"/>
  <c r="U18" i="19"/>
  <c r="T20" i="19"/>
  <c r="U20" i="19"/>
  <c r="T22" i="19"/>
  <c r="U22" i="19"/>
  <c r="T26" i="19"/>
  <c r="U26" i="19"/>
  <c r="U30" i="19"/>
  <c r="T30" i="19"/>
  <c r="T37" i="19"/>
  <c r="U37" i="19"/>
  <c r="U43" i="19"/>
  <c r="T43" i="19"/>
  <c r="U46" i="19"/>
  <c r="T46" i="19"/>
  <c r="T53" i="19"/>
  <c r="U53" i="19"/>
  <c r="U59" i="19"/>
  <c r="T59" i="19"/>
  <c r="U62" i="19"/>
  <c r="T62" i="19"/>
  <c r="T69" i="19"/>
  <c r="U69" i="19"/>
  <c r="U75" i="19"/>
  <c r="T75" i="19"/>
  <c r="U78" i="19"/>
  <c r="T78" i="19"/>
  <c r="T85" i="19"/>
  <c r="U85" i="19"/>
  <c r="U91" i="19"/>
  <c r="T91" i="19"/>
  <c r="T33" i="19"/>
  <c r="U33" i="19"/>
  <c r="U39" i="19"/>
  <c r="T39" i="19"/>
  <c r="U40" i="19"/>
  <c r="T40" i="19"/>
  <c r="U42" i="19"/>
  <c r="T42" i="19"/>
  <c r="T49" i="19"/>
  <c r="U49" i="19"/>
  <c r="U55" i="19"/>
  <c r="T55" i="19"/>
  <c r="U58" i="19"/>
  <c r="T58" i="19"/>
  <c r="T65" i="19"/>
  <c r="U65" i="19"/>
  <c r="U71" i="19"/>
  <c r="T71" i="19"/>
  <c r="U74" i="19"/>
  <c r="T74" i="19"/>
  <c r="T81" i="19"/>
  <c r="U81" i="19"/>
  <c r="U87" i="19"/>
  <c r="T87" i="19"/>
  <c r="U90" i="19"/>
  <c r="T90" i="19"/>
  <c r="T13" i="19"/>
  <c r="U13" i="19"/>
  <c r="T15" i="19"/>
  <c r="U15" i="19"/>
  <c r="T17" i="19"/>
  <c r="U17" i="19"/>
  <c r="T19" i="19"/>
  <c r="U19" i="19"/>
  <c r="T21" i="19"/>
  <c r="U21" i="19"/>
  <c r="T23" i="19"/>
  <c r="U23" i="19"/>
  <c r="T25" i="19"/>
  <c r="U25" i="19"/>
  <c r="T27" i="19"/>
  <c r="T29" i="19"/>
  <c r="U29" i="19"/>
  <c r="U35" i="19"/>
  <c r="T35" i="19"/>
  <c r="U38" i="19"/>
  <c r="T38" i="19"/>
  <c r="T45" i="19"/>
  <c r="U45" i="19"/>
  <c r="U51" i="19"/>
  <c r="T51" i="19"/>
  <c r="U54" i="19"/>
  <c r="T54" i="19"/>
  <c r="T61" i="19"/>
  <c r="U61" i="19"/>
  <c r="U67" i="19"/>
  <c r="T67" i="19"/>
  <c r="U70" i="19"/>
  <c r="T70" i="19"/>
  <c r="T77" i="19"/>
  <c r="U77" i="19"/>
  <c r="U83" i="19"/>
  <c r="T83" i="19"/>
  <c r="U86" i="19"/>
  <c r="T86" i="19"/>
  <c r="T97" i="19"/>
  <c r="U97" i="19"/>
  <c r="T105" i="19"/>
  <c r="U105" i="19"/>
  <c r="T113" i="19"/>
  <c r="U113" i="19"/>
  <c r="T148" i="19"/>
  <c r="U148" i="19"/>
  <c r="T156" i="19"/>
  <c r="U156" i="19"/>
  <c r="T164" i="19"/>
  <c r="U164" i="19"/>
  <c r="T172" i="19"/>
  <c r="U172" i="19"/>
  <c r="T180" i="19"/>
  <c r="U180" i="19"/>
  <c r="T188" i="19"/>
  <c r="U188" i="19"/>
  <c r="T196" i="19"/>
  <c r="U196" i="19"/>
  <c r="U94" i="19"/>
  <c r="T94" i="19"/>
  <c r="U99" i="19"/>
  <c r="T99" i="19"/>
  <c r="U102" i="19"/>
  <c r="T102" i="19"/>
  <c r="U107" i="19"/>
  <c r="T107" i="19"/>
  <c r="U110" i="19"/>
  <c r="T110" i="19"/>
  <c r="U115" i="19"/>
  <c r="T115" i="19"/>
  <c r="U118" i="19"/>
  <c r="T118" i="19"/>
  <c r="U121" i="19"/>
  <c r="T121" i="19"/>
  <c r="U125" i="19"/>
  <c r="T125" i="19"/>
  <c r="U129" i="19"/>
  <c r="T129" i="19"/>
  <c r="U133" i="19"/>
  <c r="T133" i="19"/>
  <c r="U137" i="19"/>
  <c r="T137" i="19"/>
  <c r="U141" i="19"/>
  <c r="T141" i="19"/>
  <c r="U145" i="19"/>
  <c r="T145" i="19"/>
  <c r="U146" i="19"/>
  <c r="T146" i="19"/>
  <c r="U153" i="19"/>
  <c r="T153" i="19"/>
  <c r="U154" i="19"/>
  <c r="T154" i="19"/>
  <c r="U161" i="19"/>
  <c r="T161" i="19"/>
  <c r="U162" i="19"/>
  <c r="T162" i="19"/>
  <c r="U169" i="19"/>
  <c r="T169" i="19"/>
  <c r="U170" i="19"/>
  <c r="T170" i="19"/>
  <c r="U177" i="19"/>
  <c r="T177" i="19"/>
  <c r="U178" i="19"/>
  <c r="T178" i="19"/>
  <c r="U185" i="19"/>
  <c r="T185" i="19"/>
  <c r="U186" i="19"/>
  <c r="T186" i="19"/>
  <c r="U193" i="19"/>
  <c r="T193" i="19"/>
  <c r="U194" i="19"/>
  <c r="T194" i="19"/>
  <c r="U201" i="19"/>
  <c r="T201" i="19"/>
  <c r="U202" i="19"/>
  <c r="T202" i="19"/>
  <c r="T207" i="19"/>
  <c r="U207" i="19"/>
  <c r="T211" i="19"/>
  <c r="U211" i="19"/>
  <c r="T93" i="19"/>
  <c r="U93" i="19"/>
  <c r="T101" i="19"/>
  <c r="U101" i="19"/>
  <c r="T109" i="19"/>
  <c r="U109" i="19"/>
  <c r="T117" i="19"/>
  <c r="U117" i="19"/>
  <c r="T120" i="19"/>
  <c r="U120" i="19"/>
  <c r="T124" i="19"/>
  <c r="U124" i="19"/>
  <c r="T128" i="19"/>
  <c r="U128" i="19"/>
  <c r="T132" i="19"/>
  <c r="U132" i="19"/>
  <c r="T136" i="19"/>
  <c r="U136" i="19"/>
  <c r="T140" i="19"/>
  <c r="U140" i="19"/>
  <c r="T144" i="19"/>
  <c r="U144" i="19"/>
  <c r="T152" i="19"/>
  <c r="U152" i="19"/>
  <c r="T160" i="19"/>
  <c r="U160" i="19"/>
  <c r="T168" i="19"/>
  <c r="U168" i="19"/>
  <c r="T176" i="19"/>
  <c r="U176" i="19"/>
  <c r="T184" i="19"/>
  <c r="U184" i="19"/>
  <c r="T192" i="19"/>
  <c r="U192" i="19"/>
  <c r="T200" i="19"/>
  <c r="U200" i="19"/>
  <c r="U95" i="19"/>
  <c r="T95" i="19"/>
  <c r="U98" i="19"/>
  <c r="T98" i="19"/>
  <c r="U103" i="19"/>
  <c r="T103" i="19"/>
  <c r="U106" i="19"/>
  <c r="T106" i="19"/>
  <c r="U111" i="19"/>
  <c r="T111" i="19"/>
  <c r="U114" i="19"/>
  <c r="T114" i="19"/>
  <c r="U119" i="19"/>
  <c r="T119" i="19"/>
  <c r="U122" i="19"/>
  <c r="T122" i="19"/>
  <c r="U126" i="19"/>
  <c r="T126" i="19"/>
  <c r="U130" i="19"/>
  <c r="T130" i="19"/>
  <c r="U134" i="19"/>
  <c r="T134" i="19"/>
  <c r="U138" i="19"/>
  <c r="T138" i="19"/>
  <c r="U142" i="19"/>
  <c r="T142" i="19"/>
  <c r="U149" i="19"/>
  <c r="T149" i="19"/>
  <c r="U150" i="19"/>
  <c r="T150" i="19"/>
  <c r="U157" i="19"/>
  <c r="T157" i="19"/>
  <c r="U158" i="19"/>
  <c r="T158" i="19"/>
  <c r="U165" i="19"/>
  <c r="T165" i="19"/>
  <c r="U166" i="19"/>
  <c r="T166" i="19"/>
  <c r="U173" i="19"/>
  <c r="T173" i="19"/>
  <c r="U174" i="19"/>
  <c r="T174" i="19"/>
  <c r="U181" i="19"/>
  <c r="T181" i="19"/>
  <c r="U182" i="19"/>
  <c r="T182" i="19"/>
  <c r="U189" i="19"/>
  <c r="T189" i="19"/>
  <c r="U190" i="19"/>
  <c r="T190" i="19"/>
  <c r="U197" i="19"/>
  <c r="T197" i="19"/>
  <c r="U198" i="19"/>
  <c r="T198" i="19"/>
  <c r="U203" i="19"/>
  <c r="T203" i="19"/>
  <c r="U208" i="19"/>
  <c r="T208" i="19"/>
  <c r="T215" i="19"/>
  <c r="U215" i="19"/>
  <c r="T147" i="19"/>
  <c r="T151" i="19"/>
  <c r="T155" i="19"/>
  <c r="T159" i="19"/>
  <c r="T163" i="19"/>
  <c r="T167" i="19"/>
  <c r="T171" i="19"/>
  <c r="T175" i="19"/>
  <c r="T179" i="19"/>
  <c r="T183" i="19"/>
  <c r="T187" i="19"/>
  <c r="T191" i="19"/>
  <c r="T195" i="19"/>
  <c r="T199" i="19"/>
  <c r="U205" i="19"/>
  <c r="T206" i="19"/>
  <c r="U213" i="19"/>
  <c r="T214" i="19"/>
  <c r="T216" i="19"/>
  <c r="U217" i="19"/>
  <c r="U220" i="19"/>
  <c r="T220" i="19"/>
  <c r="U223" i="19"/>
  <c r="T223" i="19"/>
  <c r="U228" i="19"/>
  <c r="T228" i="19"/>
  <c r="U231" i="19"/>
  <c r="T231" i="19"/>
  <c r="U236" i="19"/>
  <c r="T236" i="19"/>
  <c r="U239" i="19"/>
  <c r="T239" i="19"/>
  <c r="U244" i="19"/>
  <c r="T244" i="19"/>
  <c r="U247" i="19"/>
  <c r="T247" i="19"/>
  <c r="U252" i="19"/>
  <c r="T252" i="19"/>
  <c r="U310" i="19"/>
  <c r="T310" i="19"/>
  <c r="T222" i="19"/>
  <c r="U222" i="19"/>
  <c r="U225" i="19"/>
  <c r="T225" i="19"/>
  <c r="T230" i="19"/>
  <c r="U230" i="19"/>
  <c r="U233" i="19"/>
  <c r="T233" i="19"/>
  <c r="T238" i="19"/>
  <c r="U238" i="19"/>
  <c r="U241" i="19"/>
  <c r="T241" i="19"/>
  <c r="T246" i="19"/>
  <c r="U246" i="19"/>
  <c r="U249" i="19"/>
  <c r="T249" i="19"/>
  <c r="U258" i="19"/>
  <c r="T258" i="19"/>
  <c r="U209" i="19"/>
  <c r="T210" i="19"/>
  <c r="U219" i="19"/>
  <c r="T219" i="19"/>
  <c r="U224" i="19"/>
  <c r="T224" i="19"/>
  <c r="U227" i="19"/>
  <c r="T227" i="19"/>
  <c r="U232" i="19"/>
  <c r="T232" i="19"/>
  <c r="U235" i="19"/>
  <c r="T235" i="19"/>
  <c r="U240" i="19"/>
  <c r="T240" i="19"/>
  <c r="U243" i="19"/>
  <c r="T243" i="19"/>
  <c r="U248" i="19"/>
  <c r="T248" i="19"/>
  <c r="U251" i="19"/>
  <c r="T251" i="19"/>
  <c r="T218" i="19"/>
  <c r="U218" i="19"/>
  <c r="U221" i="19"/>
  <c r="T221" i="19"/>
  <c r="T226" i="19"/>
  <c r="U226" i="19"/>
  <c r="U229" i="19"/>
  <c r="T229" i="19"/>
  <c r="T234" i="19"/>
  <c r="U234" i="19"/>
  <c r="U237" i="19"/>
  <c r="T237" i="19"/>
  <c r="T242" i="19"/>
  <c r="U242" i="19"/>
  <c r="U245" i="19"/>
  <c r="T245" i="19"/>
  <c r="T250" i="19"/>
  <c r="U250" i="19"/>
  <c r="T253" i="19"/>
  <c r="U253" i="19"/>
  <c r="T259" i="19"/>
  <c r="U259" i="19"/>
  <c r="T254" i="19"/>
  <c r="U260" i="19"/>
  <c r="U261" i="19"/>
  <c r="T261" i="19"/>
  <c r="T267" i="19"/>
  <c r="U268" i="19"/>
  <c r="U269" i="19"/>
  <c r="T269" i="19"/>
  <c r="T275" i="19"/>
  <c r="U276" i="19"/>
  <c r="U277" i="19"/>
  <c r="T277" i="19"/>
  <c r="T283" i="19"/>
  <c r="U284" i="19"/>
  <c r="U285" i="19"/>
  <c r="T285" i="19"/>
  <c r="T291" i="19"/>
  <c r="U292" i="19"/>
  <c r="U293" i="19"/>
  <c r="T293" i="19"/>
  <c r="T299" i="19"/>
  <c r="U300" i="19"/>
  <c r="U301" i="19"/>
  <c r="T301" i="19"/>
  <c r="T307" i="19"/>
  <c r="U308" i="19"/>
  <c r="U309" i="19"/>
  <c r="T309" i="19"/>
  <c r="T313" i="19"/>
  <c r="U313" i="19"/>
  <c r="T324" i="19"/>
  <c r="U324" i="19"/>
  <c r="T340" i="19"/>
  <c r="U340" i="19"/>
  <c r="U347" i="19"/>
  <c r="T347" i="19"/>
  <c r="U349" i="19"/>
  <c r="T349" i="19"/>
  <c r="U354" i="19"/>
  <c r="T354" i="19"/>
  <c r="U358" i="19"/>
  <c r="T358" i="19"/>
  <c r="U362" i="19"/>
  <c r="T362" i="19"/>
  <c r="U266" i="19"/>
  <c r="T266" i="19"/>
  <c r="U274" i="19"/>
  <c r="T274" i="19"/>
  <c r="U282" i="19"/>
  <c r="T282" i="19"/>
  <c r="U290" i="19"/>
  <c r="T290" i="19"/>
  <c r="U298" i="19"/>
  <c r="T298" i="19"/>
  <c r="U306" i="19"/>
  <c r="T306" i="19"/>
  <c r="T327" i="19"/>
  <c r="U327" i="19"/>
  <c r="U329" i="19"/>
  <c r="T329" i="19"/>
  <c r="U331" i="19"/>
  <c r="T331" i="19"/>
  <c r="U351" i="19"/>
  <c r="T351" i="19"/>
  <c r="U353" i="19"/>
  <c r="T353" i="19"/>
  <c r="U357" i="19"/>
  <c r="T357" i="19"/>
  <c r="U361" i="19"/>
  <c r="T361" i="19"/>
  <c r="U256" i="19"/>
  <c r="T263" i="19"/>
  <c r="U264" i="19"/>
  <c r="U265" i="19"/>
  <c r="T265" i="19"/>
  <c r="T271" i="19"/>
  <c r="U272" i="19"/>
  <c r="U273" i="19"/>
  <c r="T273" i="19"/>
  <c r="T279" i="19"/>
  <c r="U280" i="19"/>
  <c r="U281" i="19"/>
  <c r="T281" i="19"/>
  <c r="T287" i="19"/>
  <c r="U288" i="19"/>
  <c r="U289" i="19"/>
  <c r="T289" i="19"/>
  <c r="T295" i="19"/>
  <c r="U296" i="19"/>
  <c r="U297" i="19"/>
  <c r="T297" i="19"/>
  <c r="T303" i="19"/>
  <c r="U304" i="19"/>
  <c r="U305" i="19"/>
  <c r="T305" i="19"/>
  <c r="U311" i="19"/>
  <c r="T311" i="19"/>
  <c r="U316" i="19"/>
  <c r="U317" i="19"/>
  <c r="T317" i="19"/>
  <c r="U333" i="19"/>
  <c r="T333" i="19"/>
  <c r="U346" i="19"/>
  <c r="T346" i="19"/>
  <c r="U356" i="19"/>
  <c r="T356" i="19"/>
  <c r="U360" i="19"/>
  <c r="T360" i="19"/>
  <c r="U364" i="19"/>
  <c r="T364" i="19"/>
  <c r="U257" i="19"/>
  <c r="T257" i="19"/>
  <c r="U262" i="19"/>
  <c r="T262" i="19"/>
  <c r="U270" i="19"/>
  <c r="T270" i="19"/>
  <c r="U278" i="19"/>
  <c r="T278" i="19"/>
  <c r="U286" i="19"/>
  <c r="T286" i="19"/>
  <c r="U294" i="19"/>
  <c r="T294" i="19"/>
  <c r="U302" i="19"/>
  <c r="T302" i="19"/>
  <c r="U315" i="19"/>
  <c r="T315" i="19"/>
  <c r="T320" i="19"/>
  <c r="U320" i="19"/>
  <c r="U326" i="19"/>
  <c r="T326" i="19"/>
  <c r="U330" i="19"/>
  <c r="T330" i="19"/>
  <c r="T336" i="19"/>
  <c r="U336" i="19"/>
  <c r="U342" i="19"/>
  <c r="T342" i="19"/>
  <c r="U345" i="19"/>
  <c r="T345" i="19"/>
  <c r="U350" i="19"/>
  <c r="T350" i="19"/>
  <c r="U355" i="19"/>
  <c r="T355" i="19"/>
  <c r="U359" i="19"/>
  <c r="T359" i="19"/>
  <c r="U363" i="19"/>
  <c r="T363" i="19"/>
  <c r="U321" i="19"/>
  <c r="T321" i="19"/>
  <c r="U337" i="19"/>
  <c r="T337" i="19"/>
  <c r="T318" i="19"/>
  <c r="T319" i="19"/>
  <c r="U328" i="19"/>
  <c r="T334" i="19"/>
  <c r="T335" i="19"/>
  <c r="T344" i="19"/>
  <c r="T348" i="19"/>
  <c r="T352" i="19"/>
  <c r="U325" i="19"/>
  <c r="T325" i="19"/>
  <c r="U341" i="19"/>
  <c r="T341" i="19"/>
  <c r="T2" i="13"/>
  <c r="T3" i="13" s="1"/>
  <c r="R14" i="13"/>
  <c r="S14" i="13" s="1"/>
  <c r="Q16" i="13"/>
  <c r="T16" i="13"/>
  <c r="W19" i="13"/>
  <c r="R21" i="13"/>
  <c r="S21" i="13" s="1"/>
  <c r="T21" i="13"/>
  <c r="Q21" i="13"/>
  <c r="W21" i="13"/>
  <c r="R25" i="13"/>
  <c r="S25" i="13" s="1"/>
  <c r="T25" i="13"/>
  <c r="Q25" i="13"/>
  <c r="W25" i="13"/>
  <c r="R29" i="13"/>
  <c r="S29" i="13" s="1"/>
  <c r="T29" i="13"/>
  <c r="Q29" i="13"/>
  <c r="W29" i="13"/>
  <c r="R30" i="13"/>
  <c r="S30" i="13" s="1"/>
  <c r="T30" i="13"/>
  <c r="Q30" i="13"/>
  <c r="W30" i="13"/>
  <c r="Q31" i="13"/>
  <c r="R31" i="13" s="1"/>
  <c r="S31" i="13" s="1"/>
  <c r="W31" i="13"/>
  <c r="Q32" i="13"/>
  <c r="R32" i="13" s="1"/>
  <c r="S32" i="13" s="1"/>
  <c r="W32" i="13"/>
  <c r="Q33" i="13"/>
  <c r="R33" i="13" s="1"/>
  <c r="S33" i="13" s="1"/>
  <c r="W33" i="13"/>
  <c r="Q34" i="13"/>
  <c r="R34" i="13" s="1"/>
  <c r="S34" i="13" s="1"/>
  <c r="W34" i="13"/>
  <c r="Q35" i="13"/>
  <c r="R35" i="13" s="1"/>
  <c r="S35" i="13" s="1"/>
  <c r="W35" i="13"/>
  <c r="Q36" i="13"/>
  <c r="R36" i="13" s="1"/>
  <c r="S36" i="13" s="1"/>
  <c r="W36" i="13"/>
  <c r="Q37" i="13"/>
  <c r="R37" i="13" s="1"/>
  <c r="S37" i="13" s="1"/>
  <c r="W37" i="13"/>
  <c r="Q38" i="13"/>
  <c r="R38" i="13" s="1"/>
  <c r="S38" i="13" s="1"/>
  <c r="W38" i="13"/>
  <c r="Q39" i="13"/>
  <c r="R39" i="13" s="1"/>
  <c r="S39" i="13" s="1"/>
  <c r="W39" i="13"/>
  <c r="Q40" i="13"/>
  <c r="R40" i="13" s="1"/>
  <c r="S40" i="13" s="1"/>
  <c r="W40" i="13"/>
  <c r="Q41" i="13"/>
  <c r="R41" i="13" s="1"/>
  <c r="S41" i="13" s="1"/>
  <c r="W41" i="13"/>
  <c r="W74" i="13"/>
  <c r="Q75" i="13"/>
  <c r="R75" i="13" s="1"/>
  <c r="S75" i="13" s="1"/>
  <c r="Q79" i="13"/>
  <c r="R79" i="13" s="1"/>
  <c r="S79" i="13" s="1"/>
  <c r="Q83" i="13"/>
  <c r="R83" i="13" s="1"/>
  <c r="S83" i="13" s="1"/>
  <c r="Q87" i="13"/>
  <c r="R87" i="13" s="1"/>
  <c r="S87" i="13" s="1"/>
  <c r="Q91" i="13"/>
  <c r="R91" i="13" s="1"/>
  <c r="S91" i="13" s="1"/>
  <c r="Q95" i="13"/>
  <c r="R95" i="13" s="1"/>
  <c r="S95" i="13" s="1"/>
  <c r="Q99" i="13"/>
  <c r="R99" i="13" s="1"/>
  <c r="S99" i="13" s="1"/>
  <c r="Q103" i="13"/>
  <c r="R103" i="13" s="1"/>
  <c r="S103" i="13" s="1"/>
  <c r="Q107" i="13"/>
  <c r="R107" i="13" s="1"/>
  <c r="S107" i="13" s="1"/>
  <c r="Q111" i="13"/>
  <c r="R111" i="13" s="1"/>
  <c r="S111" i="13" s="1"/>
  <c r="Q115" i="13"/>
  <c r="R115" i="13" s="1"/>
  <c r="S115" i="13" s="1"/>
  <c r="Q119" i="13"/>
  <c r="R119" i="13" s="1"/>
  <c r="S119" i="13" s="1"/>
  <c r="Q123" i="13"/>
  <c r="R123" i="13" s="1"/>
  <c r="S123" i="13" s="1"/>
  <c r="Q128" i="13"/>
  <c r="R128" i="13" s="1"/>
  <c r="S128" i="13" s="1"/>
  <c r="V18" i="13"/>
  <c r="T20" i="13"/>
  <c r="W43" i="13"/>
  <c r="V43" i="13"/>
  <c r="W45" i="13"/>
  <c r="V45" i="13"/>
  <c r="Q45" i="13" s="1"/>
  <c r="R45" i="13" s="1"/>
  <c r="S45" i="13" s="1"/>
  <c r="W47" i="13"/>
  <c r="V47" i="13"/>
  <c r="Q47" i="13" s="1"/>
  <c r="R47" i="13" s="1"/>
  <c r="S47" i="13" s="1"/>
  <c r="W49" i="13"/>
  <c r="V49" i="13"/>
  <c r="Q49" i="13" s="1"/>
  <c r="R49" i="13" s="1"/>
  <c r="S49" i="13" s="1"/>
  <c r="U49" i="13" s="1"/>
  <c r="W51" i="13"/>
  <c r="V51" i="13"/>
  <c r="Q51" i="13" s="1"/>
  <c r="R51" i="13" s="1"/>
  <c r="S51" i="13" s="1"/>
  <c r="W53" i="13"/>
  <c r="V53" i="13"/>
  <c r="Q53" i="13" s="1"/>
  <c r="R53" i="13" s="1"/>
  <c r="S53" i="13" s="1"/>
  <c r="W55" i="13"/>
  <c r="V55" i="13"/>
  <c r="Q55" i="13" s="1"/>
  <c r="R55" i="13" s="1"/>
  <c r="S55" i="13" s="1"/>
  <c r="W57" i="13"/>
  <c r="V57" i="13"/>
  <c r="Q57" i="13" s="1"/>
  <c r="R57" i="13" s="1"/>
  <c r="S57" i="13" s="1"/>
  <c r="U57" i="13" s="1"/>
  <c r="W59" i="13"/>
  <c r="V59" i="13"/>
  <c r="Q59" i="13" s="1"/>
  <c r="R59" i="13" s="1"/>
  <c r="S59" i="13" s="1"/>
  <c r="W61" i="13"/>
  <c r="V61" i="13"/>
  <c r="Q61" i="13" s="1"/>
  <c r="R61" i="13" s="1"/>
  <c r="S61" i="13" s="1"/>
  <c r="W63" i="13"/>
  <c r="V63" i="13"/>
  <c r="Q63" i="13" s="1"/>
  <c r="R63" i="13" s="1"/>
  <c r="S63" i="13" s="1"/>
  <c r="W65" i="13"/>
  <c r="V65" i="13"/>
  <c r="Q65" i="13" s="1"/>
  <c r="R65" i="13" s="1"/>
  <c r="S65" i="13" s="1"/>
  <c r="U65" i="13" s="1"/>
  <c r="W67" i="13"/>
  <c r="V67" i="13"/>
  <c r="Q67" i="13" s="1"/>
  <c r="R67" i="13" s="1"/>
  <c r="S67" i="13" s="1"/>
  <c r="W72" i="13"/>
  <c r="Q73" i="13"/>
  <c r="R73" i="13" s="1"/>
  <c r="S73" i="13" s="1"/>
  <c r="Q76" i="13"/>
  <c r="R76" i="13" s="1"/>
  <c r="S76" i="13" s="1"/>
  <c r="U76" i="13" s="1"/>
  <c r="Q80" i="13"/>
  <c r="R80" i="13" s="1"/>
  <c r="S80" i="13" s="1"/>
  <c r="U80" i="13" s="1"/>
  <c r="Q84" i="13"/>
  <c r="R84" i="13" s="1"/>
  <c r="S84" i="13" s="1"/>
  <c r="U84" i="13" s="1"/>
  <c r="Q88" i="13"/>
  <c r="R88" i="13" s="1"/>
  <c r="S88" i="13" s="1"/>
  <c r="U88" i="13" s="1"/>
  <c r="Q92" i="13"/>
  <c r="R92" i="13" s="1"/>
  <c r="S92" i="13" s="1"/>
  <c r="U92" i="13" s="1"/>
  <c r="Q96" i="13"/>
  <c r="R96" i="13" s="1"/>
  <c r="S96" i="13" s="1"/>
  <c r="U96" i="13" s="1"/>
  <c r="Q100" i="13"/>
  <c r="R100" i="13" s="1"/>
  <c r="S100" i="13" s="1"/>
  <c r="U100" i="13" s="1"/>
  <c r="Q104" i="13"/>
  <c r="R104" i="13" s="1"/>
  <c r="S104" i="13" s="1"/>
  <c r="U104" i="13" s="1"/>
  <c r="Q108" i="13"/>
  <c r="R108" i="13" s="1"/>
  <c r="S108" i="13" s="1"/>
  <c r="U108" i="13" s="1"/>
  <c r="Q112" i="13"/>
  <c r="R112" i="13" s="1"/>
  <c r="S112" i="13" s="1"/>
  <c r="U112" i="13" s="1"/>
  <c r="Q116" i="13"/>
  <c r="R116" i="13" s="1"/>
  <c r="S116" i="13" s="1"/>
  <c r="U116" i="13" s="1"/>
  <c r="Q120" i="13"/>
  <c r="R120" i="13" s="1"/>
  <c r="S120" i="13" s="1"/>
  <c r="U120" i="13" s="1"/>
  <c r="Q124" i="13"/>
  <c r="R124" i="13" s="1"/>
  <c r="S124" i="13" s="1"/>
  <c r="U124" i="13" s="1"/>
  <c r="Q14" i="13"/>
  <c r="T14" i="13"/>
  <c r="V16" i="13"/>
  <c r="T19" i="13"/>
  <c r="Q20" i="13"/>
  <c r="T23" i="13"/>
  <c r="Q23" i="13"/>
  <c r="R23" i="13"/>
  <c r="S23" i="13" s="1"/>
  <c r="T27" i="13"/>
  <c r="Q27" i="13"/>
  <c r="R27" i="13"/>
  <c r="S27" i="13" s="1"/>
  <c r="W42" i="13"/>
  <c r="V42" i="13"/>
  <c r="Q42" i="13" s="1"/>
  <c r="R42" i="13" s="1"/>
  <c r="S42" i="13" s="1"/>
  <c r="W70" i="13"/>
  <c r="Q71" i="13"/>
  <c r="R71" i="13" s="1"/>
  <c r="S71" i="13" s="1"/>
  <c r="Q77" i="13"/>
  <c r="R77" i="13" s="1"/>
  <c r="S77" i="13" s="1"/>
  <c r="Q81" i="13"/>
  <c r="R81" i="13" s="1"/>
  <c r="S81" i="13" s="1"/>
  <c r="Q85" i="13"/>
  <c r="R85" i="13" s="1"/>
  <c r="S85" i="13" s="1"/>
  <c r="Q89" i="13"/>
  <c r="R89" i="13" s="1"/>
  <c r="S89" i="13" s="1"/>
  <c r="Q93" i="13"/>
  <c r="R93" i="13" s="1"/>
  <c r="S93" i="13" s="1"/>
  <c r="Q97" i="13"/>
  <c r="R97" i="13" s="1"/>
  <c r="S97" i="13" s="1"/>
  <c r="Q101" i="13"/>
  <c r="R101" i="13" s="1"/>
  <c r="S101" i="13" s="1"/>
  <c r="Q105" i="13"/>
  <c r="R105" i="13" s="1"/>
  <c r="S105" i="13" s="1"/>
  <c r="Q109" i="13"/>
  <c r="R109" i="13" s="1"/>
  <c r="S109" i="13" s="1"/>
  <c r="Q113" i="13"/>
  <c r="R113" i="13" s="1"/>
  <c r="S113" i="13" s="1"/>
  <c r="Q117" i="13"/>
  <c r="R117" i="13" s="1"/>
  <c r="S117" i="13" s="1"/>
  <c r="Q121" i="13"/>
  <c r="R121" i="13" s="1"/>
  <c r="S121" i="13" s="1"/>
  <c r="Q126" i="13"/>
  <c r="R126" i="13" s="1"/>
  <c r="S126" i="13" s="1"/>
  <c r="W44" i="13"/>
  <c r="V44" i="13"/>
  <c r="Q44" i="13" s="1"/>
  <c r="R44" i="13" s="1"/>
  <c r="S44" i="13" s="1"/>
  <c r="W46" i="13"/>
  <c r="V46" i="13"/>
  <c r="Q46" i="13" s="1"/>
  <c r="R46" i="13" s="1"/>
  <c r="S46" i="13" s="1"/>
  <c r="W48" i="13"/>
  <c r="V48" i="13"/>
  <c r="Q48" i="13" s="1"/>
  <c r="R48" i="13" s="1"/>
  <c r="S48" i="13" s="1"/>
  <c r="W50" i="13"/>
  <c r="V50" i="13"/>
  <c r="Q50" i="13" s="1"/>
  <c r="R50" i="13" s="1"/>
  <c r="S50" i="13" s="1"/>
  <c r="W52" i="13"/>
  <c r="V52" i="13"/>
  <c r="Q52" i="13" s="1"/>
  <c r="R52" i="13" s="1"/>
  <c r="S52" i="13" s="1"/>
  <c r="W54" i="13"/>
  <c r="V54" i="13"/>
  <c r="Q54" i="13" s="1"/>
  <c r="R54" i="13" s="1"/>
  <c r="S54" i="13" s="1"/>
  <c r="W56" i="13"/>
  <c r="V56" i="13"/>
  <c r="Q56" i="13" s="1"/>
  <c r="R56" i="13" s="1"/>
  <c r="S56" i="13" s="1"/>
  <c r="W58" i="13"/>
  <c r="V58" i="13"/>
  <c r="Q58" i="13" s="1"/>
  <c r="R58" i="13" s="1"/>
  <c r="S58" i="13" s="1"/>
  <c r="W60" i="13"/>
  <c r="V60" i="13"/>
  <c r="Q60" i="13" s="1"/>
  <c r="R60" i="13" s="1"/>
  <c r="S60" i="13" s="1"/>
  <c r="W62" i="13"/>
  <c r="V62" i="13"/>
  <c r="Q62" i="13" s="1"/>
  <c r="R62" i="13" s="1"/>
  <c r="S62" i="13" s="1"/>
  <c r="W64" i="13"/>
  <c r="V64" i="13"/>
  <c r="Q64" i="13" s="1"/>
  <c r="R64" i="13" s="1"/>
  <c r="S64" i="13" s="1"/>
  <c r="W66" i="13"/>
  <c r="V66" i="13"/>
  <c r="Q66" i="13" s="1"/>
  <c r="R66" i="13" s="1"/>
  <c r="S66" i="13" s="1"/>
  <c r="W68" i="13"/>
  <c r="Q69" i="13"/>
  <c r="R69" i="13" s="1"/>
  <c r="S69" i="13" s="1"/>
  <c r="Q78" i="13"/>
  <c r="R78" i="13" s="1"/>
  <c r="S78" i="13" s="1"/>
  <c r="U78" i="13" s="1"/>
  <c r="Q82" i="13"/>
  <c r="R82" i="13" s="1"/>
  <c r="S82" i="13" s="1"/>
  <c r="U82" i="13" s="1"/>
  <c r="Q86" i="13"/>
  <c r="R86" i="13" s="1"/>
  <c r="S86" i="13" s="1"/>
  <c r="U86" i="13" s="1"/>
  <c r="Q90" i="13"/>
  <c r="R90" i="13" s="1"/>
  <c r="S90" i="13" s="1"/>
  <c r="U90" i="13" s="1"/>
  <c r="Q94" i="13"/>
  <c r="R94" i="13" s="1"/>
  <c r="S94" i="13" s="1"/>
  <c r="U94" i="13" s="1"/>
  <c r="Q98" i="13"/>
  <c r="R98" i="13" s="1"/>
  <c r="S98" i="13" s="1"/>
  <c r="U98" i="13" s="1"/>
  <c r="Q102" i="13"/>
  <c r="R102" i="13" s="1"/>
  <c r="S102" i="13" s="1"/>
  <c r="U102" i="13" s="1"/>
  <c r="Q106" i="13"/>
  <c r="R106" i="13" s="1"/>
  <c r="S106" i="13" s="1"/>
  <c r="U106" i="13" s="1"/>
  <c r="Q110" i="13"/>
  <c r="R110" i="13" s="1"/>
  <c r="S110" i="13" s="1"/>
  <c r="U110" i="13" s="1"/>
  <c r="Q114" i="13"/>
  <c r="R114" i="13" s="1"/>
  <c r="S114" i="13" s="1"/>
  <c r="U114" i="13" s="1"/>
  <c r="Q118" i="13"/>
  <c r="R118" i="13" s="1"/>
  <c r="S118" i="13" s="1"/>
  <c r="U118" i="13" s="1"/>
  <c r="Q122" i="13"/>
  <c r="R122" i="13" s="1"/>
  <c r="S122" i="13" s="1"/>
  <c r="U122" i="13" s="1"/>
  <c r="Q68" i="13"/>
  <c r="R68" i="13" s="1"/>
  <c r="S68" i="13" s="1"/>
  <c r="Q70" i="13"/>
  <c r="R70" i="13" s="1"/>
  <c r="S70" i="13" s="1"/>
  <c r="U70" i="13" s="1"/>
  <c r="Q72" i="13"/>
  <c r="R72" i="13" s="1"/>
  <c r="S72" i="13" s="1"/>
  <c r="U72" i="13" s="1"/>
  <c r="Q74" i="13"/>
  <c r="R74" i="13" s="1"/>
  <c r="S74" i="13" s="1"/>
  <c r="U74" i="13" s="1"/>
  <c r="U143" i="13"/>
  <c r="U187" i="13"/>
  <c r="Q130" i="13"/>
  <c r="R130" i="13" s="1"/>
  <c r="S130" i="13" s="1"/>
  <c r="U130" i="13" s="1"/>
  <c r="U132" i="13"/>
  <c r="U137" i="13"/>
  <c r="T176" i="13"/>
  <c r="U192" i="13"/>
  <c r="U163" i="13"/>
  <c r="T163" i="13"/>
  <c r="W69" i="13"/>
  <c r="W71" i="13"/>
  <c r="W73" i="13"/>
  <c r="W124" i="13"/>
  <c r="Q125" i="13"/>
  <c r="R125" i="13" s="1"/>
  <c r="S125" i="13" s="1"/>
  <c r="U125" i="13" s="1"/>
  <c r="Q127" i="13"/>
  <c r="R127" i="13" s="1"/>
  <c r="S127" i="13" s="1"/>
  <c r="U127" i="13" s="1"/>
  <c r="Q129" i="13"/>
  <c r="R129" i="13" s="1"/>
  <c r="S129" i="13" s="1"/>
  <c r="U129" i="13" s="1"/>
  <c r="V132" i="13"/>
  <c r="V134" i="13"/>
  <c r="V136" i="13"/>
  <c r="V138" i="13"/>
  <c r="V139" i="13"/>
  <c r="W174" i="13"/>
  <c r="V174" i="13"/>
  <c r="Q144" i="13"/>
  <c r="R144" i="13" s="1"/>
  <c r="S144" i="13" s="1"/>
  <c r="V146" i="13"/>
  <c r="Q148" i="13"/>
  <c r="R148" i="13" s="1"/>
  <c r="S148" i="13" s="1"/>
  <c r="V150" i="13"/>
  <c r="Q152" i="13"/>
  <c r="R152" i="13" s="1"/>
  <c r="S152" i="13" s="1"/>
  <c r="V154" i="13"/>
  <c r="Q156" i="13"/>
  <c r="R156" i="13" s="1"/>
  <c r="S156" i="13" s="1"/>
  <c r="V158" i="13"/>
  <c r="Q160" i="13"/>
  <c r="R160" i="13" s="1"/>
  <c r="S160" i="13" s="1"/>
  <c r="V162" i="13"/>
  <c r="Q164" i="13"/>
  <c r="R164" i="13" s="1"/>
  <c r="S164" i="13" s="1"/>
  <c r="V166" i="13"/>
  <c r="Q168" i="13"/>
  <c r="R168" i="13" s="1"/>
  <c r="S168" i="13" s="1"/>
  <c r="V170" i="13"/>
  <c r="Q172" i="13"/>
  <c r="R172" i="13" s="1"/>
  <c r="S172" i="13" s="1"/>
  <c r="T208" i="13"/>
  <c r="V133" i="13"/>
  <c r="V135" i="13"/>
  <c r="V137" i="13"/>
  <c r="Q131" i="13"/>
  <c r="R131" i="13" s="1"/>
  <c r="S131" i="13" s="1"/>
  <c r="V144" i="13"/>
  <c r="Q146" i="13"/>
  <c r="R146" i="13" s="1"/>
  <c r="S146" i="13" s="1"/>
  <c r="V148" i="13"/>
  <c r="Q150" i="13"/>
  <c r="R150" i="13" s="1"/>
  <c r="S150" i="13" s="1"/>
  <c r="V152" i="13"/>
  <c r="Q154" i="13"/>
  <c r="R154" i="13" s="1"/>
  <c r="S154" i="13" s="1"/>
  <c r="V156" i="13"/>
  <c r="Q158" i="13"/>
  <c r="R158" i="13" s="1"/>
  <c r="S158" i="13" s="1"/>
  <c r="V160" i="13"/>
  <c r="Q162" i="13"/>
  <c r="R162" i="13" s="1"/>
  <c r="S162" i="13" s="1"/>
  <c r="V164" i="13"/>
  <c r="Q166" i="13"/>
  <c r="R166" i="13" s="1"/>
  <c r="S166" i="13" s="1"/>
  <c r="V168" i="13"/>
  <c r="Q170" i="13"/>
  <c r="R170" i="13" s="1"/>
  <c r="S170" i="13" s="1"/>
  <c r="V172" i="13"/>
  <c r="Q174" i="13"/>
  <c r="R174" i="13" s="1"/>
  <c r="S174" i="13" s="1"/>
  <c r="Q250" i="13"/>
  <c r="R250" i="13" s="1"/>
  <c r="S250" i="13" s="1"/>
  <c r="Q266" i="13"/>
  <c r="R266" i="13" s="1"/>
  <c r="S266" i="13" s="1"/>
  <c r="T266" i="13" s="1"/>
  <c r="W275" i="13"/>
  <c r="V275" i="13"/>
  <c r="W291" i="13"/>
  <c r="V291" i="13"/>
  <c r="Q199" i="13"/>
  <c r="R199" i="13" s="1"/>
  <c r="S199" i="13" s="1"/>
  <c r="Q254" i="13"/>
  <c r="R254" i="13" s="1"/>
  <c r="S254" i="13" s="1"/>
  <c r="Q270" i="13"/>
  <c r="R270" i="13" s="1"/>
  <c r="S270" i="13" s="1"/>
  <c r="T270" i="13" s="1"/>
  <c r="W279" i="13"/>
  <c r="V279" i="13"/>
  <c r="Q279" i="13" s="1"/>
  <c r="R279" i="13" s="1"/>
  <c r="S279" i="13" s="1"/>
  <c r="U279" i="13" s="1"/>
  <c r="Q258" i="13"/>
  <c r="R258" i="13" s="1"/>
  <c r="S258" i="13" s="1"/>
  <c r="W283" i="13"/>
  <c r="V283" i="13"/>
  <c r="Q262" i="13"/>
  <c r="R262" i="13" s="1"/>
  <c r="S262" i="13" s="1"/>
  <c r="W287" i="13"/>
  <c r="V287" i="13"/>
  <c r="Q216" i="13"/>
  <c r="R216" i="13" s="1"/>
  <c r="S216" i="13" s="1"/>
  <c r="U216" i="13" s="1"/>
  <c r="V216" i="13"/>
  <c r="Q249" i="13"/>
  <c r="R249" i="13" s="1"/>
  <c r="S249" i="13" s="1"/>
  <c r="Q253" i="13"/>
  <c r="R253" i="13" s="1"/>
  <c r="S253" i="13" s="1"/>
  <c r="Q257" i="13"/>
  <c r="R257" i="13" s="1"/>
  <c r="S257" i="13" s="1"/>
  <c r="T257" i="13" s="1"/>
  <c r="Q261" i="13"/>
  <c r="R261" i="13" s="1"/>
  <c r="S261" i="13" s="1"/>
  <c r="Q265" i="13"/>
  <c r="R265" i="13" s="1"/>
  <c r="S265" i="13" s="1"/>
  <c r="Q269" i="13"/>
  <c r="R269" i="13" s="1"/>
  <c r="S269" i="13" s="1"/>
  <c r="W276" i="13"/>
  <c r="V276" i="13"/>
  <c r="Q276" i="13" s="1"/>
  <c r="R276" i="13" s="1"/>
  <c r="S276" i="13" s="1"/>
  <c r="U276" i="13" s="1"/>
  <c r="W280" i="13"/>
  <c r="V280" i="13"/>
  <c r="Q280" i="13" s="1"/>
  <c r="R280" i="13" s="1"/>
  <c r="S280" i="13" s="1"/>
  <c r="U280" i="13" s="1"/>
  <c r="W284" i="13"/>
  <c r="V284" i="13"/>
  <c r="W288" i="13"/>
  <c r="V288" i="13"/>
  <c r="Q217" i="13"/>
  <c r="R217" i="13" s="1"/>
  <c r="S217" i="13" s="1"/>
  <c r="U217" i="13" s="1"/>
  <c r="Q218" i="13"/>
  <c r="R218" i="13" s="1"/>
  <c r="S218" i="13" s="1"/>
  <c r="U218" i="13" s="1"/>
  <c r="Q219" i="13"/>
  <c r="R219" i="13" s="1"/>
  <c r="S219" i="13" s="1"/>
  <c r="U219" i="13" s="1"/>
  <c r="Q220" i="13"/>
  <c r="R220" i="13" s="1"/>
  <c r="S220" i="13" s="1"/>
  <c r="T220" i="13" s="1"/>
  <c r="Q221" i="13"/>
  <c r="R221" i="13" s="1"/>
  <c r="S221" i="13" s="1"/>
  <c r="U221" i="13" s="1"/>
  <c r="Q222" i="13"/>
  <c r="R222" i="13" s="1"/>
  <c r="S222" i="13" s="1"/>
  <c r="U222" i="13" s="1"/>
  <c r="Q223" i="13"/>
  <c r="R223" i="13" s="1"/>
  <c r="S223" i="13" s="1"/>
  <c r="U223" i="13" s="1"/>
  <c r="Q224" i="13"/>
  <c r="R224" i="13" s="1"/>
  <c r="S224" i="13" s="1"/>
  <c r="T224" i="13" s="1"/>
  <c r="Q225" i="13"/>
  <c r="R225" i="13" s="1"/>
  <c r="S225" i="13" s="1"/>
  <c r="U225" i="13" s="1"/>
  <c r="Q226" i="13"/>
  <c r="R226" i="13" s="1"/>
  <c r="S226" i="13" s="1"/>
  <c r="U226" i="13" s="1"/>
  <c r="Q227" i="13"/>
  <c r="R227" i="13" s="1"/>
  <c r="S227" i="13" s="1"/>
  <c r="U227" i="13" s="1"/>
  <c r="Q228" i="13"/>
  <c r="R228" i="13" s="1"/>
  <c r="S228" i="13" s="1"/>
  <c r="T228" i="13" s="1"/>
  <c r="Q229" i="13"/>
  <c r="R229" i="13" s="1"/>
  <c r="S229" i="13" s="1"/>
  <c r="T229" i="13" s="1"/>
  <c r="Q230" i="13"/>
  <c r="R230" i="13" s="1"/>
  <c r="S230" i="13" s="1"/>
  <c r="U230" i="13" s="1"/>
  <c r="Q231" i="13"/>
  <c r="R231" i="13" s="1"/>
  <c r="S231" i="13" s="1"/>
  <c r="U231" i="13" s="1"/>
  <c r="Q232" i="13"/>
  <c r="R232" i="13" s="1"/>
  <c r="S232" i="13" s="1"/>
  <c r="T232" i="13" s="1"/>
  <c r="Q233" i="13"/>
  <c r="R233" i="13" s="1"/>
  <c r="S233" i="13" s="1"/>
  <c r="U233" i="13" s="1"/>
  <c r="Q235" i="13"/>
  <c r="R235" i="13" s="1"/>
  <c r="S235" i="13" s="1"/>
  <c r="U235" i="13" s="1"/>
  <c r="Q236" i="13"/>
  <c r="R236" i="13" s="1"/>
  <c r="S236" i="13" s="1"/>
  <c r="T236" i="13" s="1"/>
  <c r="Q237" i="13"/>
  <c r="R237" i="13" s="1"/>
  <c r="S237" i="13" s="1"/>
  <c r="U237" i="13" s="1"/>
  <c r="Q239" i="13"/>
  <c r="R239" i="13" s="1"/>
  <c r="S239" i="13" s="1"/>
  <c r="U239" i="13" s="1"/>
  <c r="Q240" i="13"/>
  <c r="R240" i="13" s="1"/>
  <c r="S240" i="13" s="1"/>
  <c r="T240" i="13" s="1"/>
  <c r="Q241" i="13"/>
  <c r="R241" i="13" s="1"/>
  <c r="S241" i="13" s="1"/>
  <c r="T241" i="13" s="1"/>
  <c r="Q242" i="13"/>
  <c r="R242" i="13" s="1"/>
  <c r="S242" i="13" s="1"/>
  <c r="U242" i="13" s="1"/>
  <c r="Q243" i="13"/>
  <c r="R243" i="13" s="1"/>
  <c r="S243" i="13" s="1"/>
  <c r="U243" i="13" s="1"/>
  <c r="Q244" i="13"/>
  <c r="R244" i="13" s="1"/>
  <c r="S244" i="13" s="1"/>
  <c r="T244" i="13" s="1"/>
  <c r="Q245" i="13"/>
  <c r="R245" i="13" s="1"/>
  <c r="S245" i="13" s="1"/>
  <c r="T245" i="13" s="1"/>
  <c r="Q246" i="13"/>
  <c r="R246" i="13" s="1"/>
  <c r="S246" i="13" s="1"/>
  <c r="U246" i="13" s="1"/>
  <c r="Q247" i="13"/>
  <c r="R247" i="13" s="1"/>
  <c r="S247" i="13" s="1"/>
  <c r="U247" i="13" s="1"/>
  <c r="Q248" i="13"/>
  <c r="R248" i="13" s="1"/>
  <c r="S248" i="13" s="1"/>
  <c r="U248" i="13" s="1"/>
  <c r="Q252" i="13"/>
  <c r="R252" i="13" s="1"/>
  <c r="S252" i="13" s="1"/>
  <c r="U252" i="13" s="1"/>
  <c r="Q256" i="13"/>
  <c r="R256" i="13" s="1"/>
  <c r="S256" i="13" s="1"/>
  <c r="U256" i="13" s="1"/>
  <c r="Q260" i="13"/>
  <c r="R260" i="13" s="1"/>
  <c r="S260" i="13" s="1"/>
  <c r="U260" i="13" s="1"/>
  <c r="Q264" i="13"/>
  <c r="R264" i="13" s="1"/>
  <c r="S264" i="13" s="1"/>
  <c r="U264" i="13" s="1"/>
  <c r="Q268" i="13"/>
  <c r="R268" i="13" s="1"/>
  <c r="S268" i="13" s="1"/>
  <c r="U268" i="13" s="1"/>
  <c r="W273" i="13"/>
  <c r="V273" i="13"/>
  <c r="W277" i="13"/>
  <c r="V277" i="13"/>
  <c r="Q277" i="13" s="1"/>
  <c r="R277" i="13" s="1"/>
  <c r="S277" i="13" s="1"/>
  <c r="W281" i="13"/>
  <c r="V281" i="13"/>
  <c r="Q281" i="13" s="1"/>
  <c r="R281" i="13" s="1"/>
  <c r="S281" i="13" s="1"/>
  <c r="U281" i="13" s="1"/>
  <c r="W285" i="13"/>
  <c r="V285" i="13"/>
  <c r="W289" i="13"/>
  <c r="V289" i="13"/>
  <c r="Q251" i="13"/>
  <c r="R251" i="13" s="1"/>
  <c r="S251" i="13" s="1"/>
  <c r="U251" i="13" s="1"/>
  <c r="Q255" i="13"/>
  <c r="R255" i="13" s="1"/>
  <c r="S255" i="13" s="1"/>
  <c r="U255" i="13" s="1"/>
  <c r="Q259" i="13"/>
  <c r="R259" i="13" s="1"/>
  <c r="S259" i="13" s="1"/>
  <c r="U259" i="13" s="1"/>
  <c r="Q263" i="13"/>
  <c r="R263" i="13" s="1"/>
  <c r="S263" i="13" s="1"/>
  <c r="U263" i="13" s="1"/>
  <c r="Q267" i="13"/>
  <c r="R267" i="13" s="1"/>
  <c r="S267" i="13" s="1"/>
  <c r="U267" i="13" s="1"/>
  <c r="W271" i="13"/>
  <c r="Q272" i="13"/>
  <c r="R272" i="13" s="1"/>
  <c r="S272" i="13" s="1"/>
  <c r="U272" i="13" s="1"/>
  <c r="W274" i="13"/>
  <c r="V274" i="13"/>
  <c r="W278" i="13"/>
  <c r="V278" i="13"/>
  <c r="Q278" i="13" s="1"/>
  <c r="R278" i="13" s="1"/>
  <c r="S278" i="13" s="1"/>
  <c r="W282" i="13"/>
  <c r="V282" i="13"/>
  <c r="W286" i="13"/>
  <c r="V286" i="13"/>
  <c r="W290" i="13"/>
  <c r="V290" i="13"/>
  <c r="V270" i="13"/>
  <c r="V272" i="13"/>
  <c r="Q328" i="13"/>
  <c r="R328" i="13" s="1"/>
  <c r="S328" i="13" s="1"/>
  <c r="Q271" i="13"/>
  <c r="R271" i="13" s="1"/>
  <c r="S271" i="13" s="1"/>
  <c r="U271" i="13" s="1"/>
  <c r="R334" i="13"/>
  <c r="S334" i="13" s="1"/>
  <c r="Q314" i="13"/>
  <c r="R314" i="13" s="1"/>
  <c r="S314" i="13" s="1"/>
  <c r="T314" i="13" s="1"/>
  <c r="Q316" i="13"/>
  <c r="R316" i="13" s="1"/>
  <c r="S316" i="13" s="1"/>
  <c r="T316" i="13" s="1"/>
  <c r="Q318" i="13"/>
  <c r="R318" i="13" s="1"/>
  <c r="S318" i="13" s="1"/>
  <c r="T318" i="13" s="1"/>
  <c r="Q320" i="13"/>
  <c r="R320" i="13" s="1"/>
  <c r="S320" i="13" s="1"/>
  <c r="U320" i="13" s="1"/>
  <c r="Q322" i="13"/>
  <c r="R322" i="13" s="1"/>
  <c r="S322" i="13" s="1"/>
  <c r="T322" i="13" s="1"/>
  <c r="Q324" i="13"/>
  <c r="R324" i="13" s="1"/>
  <c r="S324" i="13" s="1"/>
  <c r="T324" i="13" s="1"/>
  <c r="Q326" i="13"/>
  <c r="R326" i="13" s="1"/>
  <c r="S326" i="13" s="1"/>
  <c r="T326" i="13" s="1"/>
  <c r="W329" i="13"/>
  <c r="Q273" i="13"/>
  <c r="R273" i="13" s="1"/>
  <c r="S273" i="13" s="1"/>
  <c r="U273" i="13" s="1"/>
  <c r="Q274" i="13"/>
  <c r="R274" i="13" s="1"/>
  <c r="S274" i="13" s="1"/>
  <c r="U274" i="13" s="1"/>
  <c r="Q275" i="13"/>
  <c r="R275" i="13" s="1"/>
  <c r="S275" i="13" s="1"/>
  <c r="U275" i="13" s="1"/>
  <c r="Q282" i="13"/>
  <c r="R282" i="13" s="1"/>
  <c r="S282" i="13" s="1"/>
  <c r="U282" i="13" s="1"/>
  <c r="Q283" i="13"/>
  <c r="R283" i="13" s="1"/>
  <c r="S283" i="13" s="1"/>
  <c r="U283" i="13" s="1"/>
  <c r="Q284" i="13"/>
  <c r="R284" i="13" s="1"/>
  <c r="S284" i="13" s="1"/>
  <c r="U284" i="13" s="1"/>
  <c r="Q285" i="13"/>
  <c r="R285" i="13" s="1"/>
  <c r="S285" i="13" s="1"/>
  <c r="U285" i="13" s="1"/>
  <c r="Q286" i="13"/>
  <c r="R286" i="13" s="1"/>
  <c r="S286" i="13" s="1"/>
  <c r="U286" i="13" s="1"/>
  <c r="Q287" i="13"/>
  <c r="R287" i="13" s="1"/>
  <c r="S287" i="13" s="1"/>
  <c r="U287" i="13" s="1"/>
  <c r="Q288" i="13"/>
  <c r="R288" i="13" s="1"/>
  <c r="S288" i="13" s="1"/>
  <c r="U288" i="13" s="1"/>
  <c r="Q289" i="13"/>
  <c r="R289" i="13" s="1"/>
  <c r="S289" i="13" s="1"/>
  <c r="U289" i="13" s="1"/>
  <c r="Q290" i="13"/>
  <c r="R290" i="13" s="1"/>
  <c r="S290" i="13" s="1"/>
  <c r="U290" i="13" s="1"/>
  <c r="Q291" i="13"/>
  <c r="R291" i="13" s="1"/>
  <c r="S291" i="13" s="1"/>
  <c r="U291" i="13" s="1"/>
  <c r="Q292" i="13"/>
  <c r="R292" i="13" s="1"/>
  <c r="S292" i="13" s="1"/>
  <c r="U292" i="13" s="1"/>
  <c r="Q293" i="13"/>
  <c r="R293" i="13" s="1"/>
  <c r="S293" i="13" s="1"/>
  <c r="U293" i="13" s="1"/>
  <c r="Q294" i="13"/>
  <c r="R294" i="13" s="1"/>
  <c r="S294" i="13" s="1"/>
  <c r="U294" i="13" s="1"/>
  <c r="Q295" i="13"/>
  <c r="R295" i="13" s="1"/>
  <c r="S295" i="13" s="1"/>
  <c r="U295" i="13" s="1"/>
  <c r="Q296" i="13"/>
  <c r="R296" i="13" s="1"/>
  <c r="S296" i="13" s="1"/>
  <c r="U296" i="13" s="1"/>
  <c r="Q297" i="13"/>
  <c r="R297" i="13" s="1"/>
  <c r="S297" i="13" s="1"/>
  <c r="U297" i="13" s="1"/>
  <c r="Q298" i="13"/>
  <c r="R298" i="13" s="1"/>
  <c r="S298" i="13" s="1"/>
  <c r="U298" i="13" s="1"/>
  <c r="Q299" i="13"/>
  <c r="R299" i="13" s="1"/>
  <c r="S299" i="13" s="1"/>
  <c r="U299" i="13" s="1"/>
  <c r="Q300" i="13"/>
  <c r="R300" i="13" s="1"/>
  <c r="S300" i="13" s="1"/>
  <c r="U300" i="13" s="1"/>
  <c r="Q301" i="13"/>
  <c r="R301" i="13" s="1"/>
  <c r="S301" i="13" s="1"/>
  <c r="U301" i="13" s="1"/>
  <c r="Q302" i="13"/>
  <c r="R302" i="13" s="1"/>
  <c r="S302" i="13" s="1"/>
  <c r="U302" i="13" s="1"/>
  <c r="Q303" i="13"/>
  <c r="R303" i="13" s="1"/>
  <c r="S303" i="13" s="1"/>
  <c r="U303" i="13" s="1"/>
  <c r="Q304" i="13"/>
  <c r="R304" i="13" s="1"/>
  <c r="S304" i="13" s="1"/>
  <c r="U304" i="13" s="1"/>
  <c r="Q305" i="13"/>
  <c r="R305" i="13" s="1"/>
  <c r="S305" i="13" s="1"/>
  <c r="U305" i="13" s="1"/>
  <c r="Q306" i="13"/>
  <c r="R306" i="13" s="1"/>
  <c r="S306" i="13" s="1"/>
  <c r="U306" i="13" s="1"/>
  <c r="Q307" i="13"/>
  <c r="R307" i="13" s="1"/>
  <c r="S307" i="13" s="1"/>
  <c r="U307" i="13" s="1"/>
  <c r="Q311" i="13"/>
  <c r="R311" i="13" s="1"/>
  <c r="S311" i="13" s="1"/>
  <c r="U311" i="13" s="1"/>
  <c r="V314" i="13"/>
  <c r="V316" i="13"/>
  <c r="V318" i="13"/>
  <c r="V320" i="13"/>
  <c r="V322" i="13"/>
  <c r="V324" i="13"/>
  <c r="V326" i="13"/>
  <c r="Q315" i="13"/>
  <c r="R315" i="13" s="1"/>
  <c r="S315" i="13" s="1"/>
  <c r="Q317" i="13"/>
  <c r="R317" i="13" s="1"/>
  <c r="S317" i="13" s="1"/>
  <c r="Q319" i="13"/>
  <c r="R319" i="13" s="1"/>
  <c r="S319" i="13" s="1"/>
  <c r="Q321" i="13"/>
  <c r="R321" i="13" s="1"/>
  <c r="S321" i="13" s="1"/>
  <c r="Q323" i="13"/>
  <c r="R323" i="13" s="1"/>
  <c r="S323" i="13" s="1"/>
  <c r="Q325" i="13"/>
  <c r="R325" i="13" s="1"/>
  <c r="S325" i="13" s="1"/>
  <c r="Q327" i="13"/>
  <c r="R327" i="13" s="1"/>
  <c r="S327" i="13" s="1"/>
  <c r="T327" i="13" s="1"/>
  <c r="W328" i="13"/>
  <c r="W330" i="13"/>
  <c r="V330" i="13"/>
  <c r="W331" i="13"/>
  <c r="V331" i="13"/>
  <c r="W332" i="13"/>
  <c r="V332" i="13"/>
  <c r="W333" i="13"/>
  <c r="V333" i="13"/>
  <c r="W334" i="13"/>
  <c r="V334" i="13"/>
  <c r="W335" i="13"/>
  <c r="V335" i="13"/>
  <c r="W336" i="13"/>
  <c r="V336" i="13"/>
  <c r="Q336" i="13" s="1"/>
  <c r="R336" i="13" s="1"/>
  <c r="S336" i="13" s="1"/>
  <c r="W337" i="13"/>
  <c r="V337" i="13"/>
  <c r="Q337" i="13" s="1"/>
  <c r="R337" i="13" s="1"/>
  <c r="S337" i="13" s="1"/>
  <c r="W338" i="13"/>
  <c r="V338" i="13"/>
  <c r="Q338" i="13" s="1"/>
  <c r="R338" i="13" s="1"/>
  <c r="S338" i="13" s="1"/>
  <c r="W339" i="13"/>
  <c r="V339" i="13"/>
  <c r="Q339" i="13" s="1"/>
  <c r="R339" i="13" s="1"/>
  <c r="S339" i="13" s="1"/>
  <c r="W340" i="13"/>
  <c r="V340" i="13"/>
  <c r="Q340" i="13" s="1"/>
  <c r="R340" i="13" s="1"/>
  <c r="S340" i="13" s="1"/>
  <c r="W341" i="13"/>
  <c r="V341" i="13"/>
  <c r="Q341" i="13" s="1"/>
  <c r="R341" i="13" s="1"/>
  <c r="S341" i="13" s="1"/>
  <c r="W342" i="13"/>
  <c r="V342" i="13"/>
  <c r="W343" i="13"/>
  <c r="V343" i="13"/>
  <c r="W344" i="13"/>
  <c r="V344" i="13"/>
  <c r="W345" i="13"/>
  <c r="V345" i="13"/>
  <c r="Q345" i="13" s="1"/>
  <c r="R345" i="13" s="1"/>
  <c r="S345" i="13" s="1"/>
  <c r="W346" i="13"/>
  <c r="V346" i="13"/>
  <c r="W347" i="13"/>
  <c r="V347" i="13"/>
  <c r="W348" i="13"/>
  <c r="V348" i="13"/>
  <c r="W349" i="13"/>
  <c r="V349" i="13"/>
  <c r="W350" i="13"/>
  <c r="V350" i="13"/>
  <c r="W351" i="13"/>
  <c r="V351" i="13"/>
  <c r="W352" i="13"/>
  <c r="V352" i="13"/>
  <c r="Q352" i="13" s="1"/>
  <c r="R352" i="13" s="1"/>
  <c r="S352" i="13" s="1"/>
  <c r="W353" i="13"/>
  <c r="V353" i="13"/>
  <c r="W354" i="13"/>
  <c r="V354" i="13"/>
  <c r="Q354" i="13" s="1"/>
  <c r="R354" i="13" s="1"/>
  <c r="S354" i="13" s="1"/>
  <c r="W355" i="13"/>
  <c r="V355" i="13"/>
  <c r="Q355" i="13" s="1"/>
  <c r="R355" i="13" s="1"/>
  <c r="S355" i="13" s="1"/>
  <c r="W356" i="13"/>
  <c r="V356" i="13"/>
  <c r="Q356" i="13" s="1"/>
  <c r="R356" i="13" s="1"/>
  <c r="S356" i="13" s="1"/>
  <c r="W357" i="13"/>
  <c r="V357" i="13"/>
  <c r="Q357" i="13" s="1"/>
  <c r="R357" i="13" s="1"/>
  <c r="S357" i="13" s="1"/>
  <c r="W358" i="13"/>
  <c r="V358" i="13"/>
  <c r="Q358" i="13" s="1"/>
  <c r="R358" i="13" s="1"/>
  <c r="S358" i="13" s="1"/>
  <c r="W359" i="13"/>
  <c r="V359" i="13"/>
  <c r="W360" i="13"/>
  <c r="V360" i="13"/>
  <c r="W361" i="13"/>
  <c r="V361" i="13"/>
  <c r="W362" i="13"/>
  <c r="V362" i="13"/>
  <c r="W363" i="13"/>
  <c r="V363" i="13"/>
  <c r="W364" i="13"/>
  <c r="V364" i="13"/>
  <c r="W365" i="13"/>
  <c r="V365" i="13"/>
  <c r="W366" i="13"/>
  <c r="V366" i="13"/>
  <c r="W367" i="13"/>
  <c r="V367" i="13"/>
  <c r="W368" i="13"/>
  <c r="V368" i="13"/>
  <c r="W369" i="13"/>
  <c r="V369" i="13"/>
  <c r="R349" i="13"/>
  <c r="S349" i="13" s="1"/>
  <c r="R363" i="13"/>
  <c r="S363" i="13" s="1"/>
  <c r="Q9" i="8" l="1"/>
  <c r="O114" i="2"/>
  <c r="U113" i="8" s="1"/>
  <c r="Q17" i="19"/>
  <c r="R17" i="19" s="1"/>
  <c r="R16" i="8" s="1"/>
  <c r="Q426" i="8"/>
  <c r="V426" i="8" s="1" a="1"/>
  <c r="V426" i="8" s="1"/>
  <c r="R10" i="19"/>
  <c r="Q323" i="19"/>
  <c r="R323" i="19" s="1"/>
  <c r="Q337" i="19"/>
  <c r="R337" i="19" s="1"/>
  <c r="S337" i="19" s="1"/>
  <c r="S336" i="8" s="1"/>
  <c r="Q153" i="19"/>
  <c r="R153" i="19" s="1"/>
  <c r="Q165" i="19"/>
  <c r="R165" i="19" s="1"/>
  <c r="Q524" i="8"/>
  <c r="V524" i="8" s="1" a="1"/>
  <c r="V524" i="8" s="1"/>
  <c r="Q181" i="19"/>
  <c r="R181" i="19" s="1"/>
  <c r="Q527" i="8"/>
  <c r="V527" i="8" s="1" a="1"/>
  <c r="V527" i="8" s="1"/>
  <c r="Q197" i="19"/>
  <c r="R197" i="19" s="1"/>
  <c r="Q196" i="8"/>
  <c r="V196" i="8" s="1" a="1"/>
  <c r="V196" i="8" s="1"/>
  <c r="Q213" i="19"/>
  <c r="R213" i="19" s="1"/>
  <c r="Q212" i="8"/>
  <c r="V212" i="8" s="1" a="1"/>
  <c r="V212" i="8" s="1"/>
  <c r="Q229" i="19"/>
  <c r="R229" i="19" s="1"/>
  <c r="Q228" i="8"/>
  <c r="V228" i="8" s="1" a="1"/>
  <c r="V228" i="8" s="1"/>
  <c r="Q245" i="19"/>
  <c r="R245" i="19" s="1"/>
  <c r="Q244" i="8"/>
  <c r="V244" i="8" s="1" a="1"/>
  <c r="V244" i="8" s="1"/>
  <c r="Q261" i="19"/>
  <c r="R261" i="19" s="1"/>
  <c r="Q260" i="8"/>
  <c r="V260" i="8" s="1" a="1"/>
  <c r="V260" i="8" s="1"/>
  <c r="Q277" i="19"/>
  <c r="R277" i="19" s="1"/>
  <c r="Q611" i="8"/>
  <c r="V611" i="8" s="1" a="1"/>
  <c r="V611" i="8" s="1"/>
  <c r="Q293" i="19"/>
  <c r="R293" i="19" s="1"/>
  <c r="Q940" i="8"/>
  <c r="V940" i="8" s="1" a="1"/>
  <c r="V940" i="8" s="1"/>
  <c r="Q309" i="19"/>
  <c r="R309" i="19" s="1"/>
  <c r="Q308" i="8"/>
  <c r="V308" i="8" s="1" a="1"/>
  <c r="V308" i="8" s="1"/>
  <c r="Q150" i="19"/>
  <c r="R150" i="19" s="1"/>
  <c r="Q178" i="19"/>
  <c r="R178" i="19" s="1"/>
  <c r="Q177" i="8"/>
  <c r="V177" i="8" s="1" a="1"/>
  <c r="V177" i="8" s="1"/>
  <c r="Q202" i="19"/>
  <c r="R202" i="19" s="1"/>
  <c r="Q201" i="8"/>
  <c r="V201" i="8" s="1" a="1"/>
  <c r="V201" i="8" s="1"/>
  <c r="Q226" i="19"/>
  <c r="R226" i="19" s="1"/>
  <c r="Q225" i="8"/>
  <c r="V225" i="8" s="1" a="1"/>
  <c r="V225" i="8" s="1"/>
  <c r="Q270" i="19"/>
  <c r="R270" i="19" s="1"/>
  <c r="Q269" i="8"/>
  <c r="V269" i="8" s="1" a="1"/>
  <c r="V269" i="8" s="1"/>
  <c r="Q159" i="19"/>
  <c r="R159" i="19" s="1"/>
  <c r="Q522" i="8"/>
  <c r="V522" i="8" s="1" a="1"/>
  <c r="V522" i="8" s="1"/>
  <c r="Q183" i="19"/>
  <c r="R183" i="19" s="1"/>
  <c r="Q182" i="8"/>
  <c r="V182" i="8" s="1" a="1"/>
  <c r="V182" i="8" s="1"/>
  <c r="Q203" i="19"/>
  <c r="R203" i="19" s="1"/>
  <c r="Q202" i="8"/>
  <c r="V202" i="8" s="1" a="1"/>
  <c r="V202" i="8" s="1"/>
  <c r="Q243" i="19"/>
  <c r="R243" i="19" s="1"/>
  <c r="Q605" i="8"/>
  <c r="V605" i="8" s="1" a="1"/>
  <c r="V605" i="8" s="1"/>
  <c r="Q279" i="19"/>
  <c r="R279" i="19" s="1"/>
  <c r="Q926" i="8"/>
  <c r="V926" i="8" s="1" a="1"/>
  <c r="V926" i="8" s="1"/>
  <c r="Q303" i="19"/>
  <c r="R303" i="19" s="1"/>
  <c r="Q302" i="8"/>
  <c r="V302" i="8" s="1" a="1"/>
  <c r="V302" i="8" s="1"/>
  <c r="Q148" i="19"/>
  <c r="R148" i="19" s="1"/>
  <c r="Q982" i="8"/>
  <c r="V982" i="8" s="1" a="1"/>
  <c r="V982" i="8" s="1"/>
  <c r="Q164" i="19"/>
  <c r="R164" i="19" s="1"/>
  <c r="Q1052" i="8"/>
  <c r="V1052" i="8" s="1" a="1"/>
  <c r="V1052" i="8" s="1"/>
  <c r="Q180" i="19"/>
  <c r="R180" i="19" s="1"/>
  <c r="Q526" i="8"/>
  <c r="V526" i="8" s="1" a="1"/>
  <c r="V526" i="8" s="1"/>
  <c r="Q196" i="19"/>
  <c r="R196" i="19" s="1"/>
  <c r="Q195" i="8"/>
  <c r="V195" i="8" s="1" a="1"/>
  <c r="V195" i="8" s="1"/>
  <c r="Q212" i="19"/>
  <c r="R212" i="19" s="1"/>
  <c r="Q211" i="8"/>
  <c r="V211" i="8" s="1" a="1"/>
  <c r="V211" i="8" s="1"/>
  <c r="Q228" i="19"/>
  <c r="R228" i="19" s="1"/>
  <c r="Q227" i="8"/>
  <c r="V227" i="8" s="1" a="1"/>
  <c r="V227" i="8" s="1"/>
  <c r="Q244" i="19"/>
  <c r="R244" i="19" s="1"/>
  <c r="Q606" i="8"/>
  <c r="V606" i="8" s="1" a="1"/>
  <c r="V606" i="8" s="1"/>
  <c r="Q260" i="19"/>
  <c r="R260" i="19" s="1"/>
  <c r="Q259" i="8"/>
  <c r="V259" i="8" s="1" a="1"/>
  <c r="V259" i="8" s="1"/>
  <c r="Q272" i="19"/>
  <c r="R272" i="19" s="1"/>
  <c r="Q271" i="8"/>
  <c r="V271" i="8" s="1" a="1"/>
  <c r="V271" i="8" s="1"/>
  <c r="Q288" i="19"/>
  <c r="R288" i="19" s="1"/>
  <c r="Q935" i="8"/>
  <c r="V935" i="8" s="1" a="1"/>
  <c r="V935" i="8" s="1"/>
  <c r="Q304" i="19"/>
  <c r="R304" i="19" s="1"/>
  <c r="Q303" i="8"/>
  <c r="V303" i="8" s="1" a="1"/>
  <c r="V303" i="8" s="1"/>
  <c r="Q166" i="19"/>
  <c r="R166" i="19" s="1"/>
  <c r="Q1053" i="8"/>
  <c r="V1053" i="8" s="1" a="1"/>
  <c r="V1053" i="8" s="1"/>
  <c r="Q210" i="19"/>
  <c r="R210" i="19" s="1"/>
  <c r="Q209" i="8"/>
  <c r="V209" i="8" s="1" a="1"/>
  <c r="V209" i="8" s="1"/>
  <c r="Q246" i="19"/>
  <c r="R246" i="19" s="1"/>
  <c r="Q245" i="8"/>
  <c r="V245" i="8" s="1" a="1"/>
  <c r="V245" i="8" s="1"/>
  <c r="Q266" i="19"/>
  <c r="R266" i="19" s="1"/>
  <c r="Q265" i="8"/>
  <c r="V265" i="8" s="1" a="1"/>
  <c r="V265" i="8" s="1"/>
  <c r="Q290" i="19"/>
  <c r="R290" i="19" s="1"/>
  <c r="Q937" i="8"/>
  <c r="V937" i="8" s="1" a="1"/>
  <c r="V937" i="8" s="1"/>
  <c r="Q191" i="19"/>
  <c r="R191" i="19" s="1"/>
  <c r="Q532" i="8"/>
  <c r="V532" i="8" s="1" a="1"/>
  <c r="V532" i="8" s="1"/>
  <c r="Q219" i="19"/>
  <c r="R219" i="19" s="1"/>
  <c r="Q536" i="8"/>
  <c r="V536" i="8" s="1" a="1"/>
  <c r="V536" i="8" s="1"/>
  <c r="Q247" i="19"/>
  <c r="R247" i="19" s="1"/>
  <c r="Q246" i="8"/>
  <c r="V246" i="8" s="1" a="1"/>
  <c r="V246" i="8" s="1"/>
  <c r="Q275" i="19"/>
  <c r="R275" i="19" s="1"/>
  <c r="Q609" i="8"/>
  <c r="V609" i="8" s="1" a="1"/>
  <c r="V609" i="8" s="1"/>
  <c r="Q313" i="19"/>
  <c r="R313" i="19" s="1"/>
  <c r="Q312" i="8"/>
  <c r="V312" i="8" s="1" a="1"/>
  <c r="V312" i="8" s="1"/>
  <c r="Q329" i="19"/>
  <c r="R329" i="19" s="1"/>
  <c r="Q328" i="8"/>
  <c r="V328" i="8" s="1" a="1"/>
  <c r="V328" i="8" s="1"/>
  <c r="Q341" i="19"/>
  <c r="R341" i="19" s="1"/>
  <c r="Q340" i="8"/>
  <c r="V340" i="8" s="1" a="1"/>
  <c r="V340" i="8" s="1"/>
  <c r="Q357" i="19"/>
  <c r="R357" i="19" s="1"/>
  <c r="Q356" i="8"/>
  <c r="V356" i="8" s="1" a="1"/>
  <c r="V356" i="8" s="1"/>
  <c r="Q322" i="19"/>
  <c r="R322" i="19" s="1"/>
  <c r="Q321" i="8"/>
  <c r="V321" i="8" s="1" a="1"/>
  <c r="V321" i="8" s="1"/>
  <c r="Q334" i="19"/>
  <c r="R334" i="19" s="1"/>
  <c r="Q333" i="8"/>
  <c r="V333" i="8" s="1" a="1"/>
  <c r="V333" i="8" s="1"/>
  <c r="Q350" i="19"/>
  <c r="R350" i="19" s="1"/>
  <c r="Q349" i="8"/>
  <c r="V349" i="8" s="1" a="1"/>
  <c r="V349" i="8" s="1"/>
  <c r="Q311" i="19"/>
  <c r="R311" i="19" s="1"/>
  <c r="Q327" i="19"/>
  <c r="R327" i="19" s="1"/>
  <c r="Q326" i="8"/>
  <c r="V326" i="8" s="1" a="1"/>
  <c r="V326" i="8" s="1"/>
  <c r="Q343" i="19"/>
  <c r="R343" i="19" s="1"/>
  <c r="Q342" i="8"/>
  <c r="V342" i="8" s="1" a="1"/>
  <c r="V342" i="8" s="1"/>
  <c r="Q359" i="19"/>
  <c r="R359" i="19" s="1"/>
  <c r="Q358" i="8"/>
  <c r="V358" i="8" s="1" a="1"/>
  <c r="V358" i="8" s="1"/>
  <c r="Q320" i="19"/>
  <c r="R320" i="19" s="1"/>
  <c r="Q319" i="8"/>
  <c r="V319" i="8" s="1" a="1"/>
  <c r="V319" i="8" s="1"/>
  <c r="Q336" i="19"/>
  <c r="R336" i="19" s="1"/>
  <c r="Q335" i="8"/>
  <c r="V335" i="8" s="1" a="1"/>
  <c r="V335" i="8" s="1"/>
  <c r="Q352" i="19"/>
  <c r="R352" i="19" s="1"/>
  <c r="Q351" i="8"/>
  <c r="V351" i="8" s="1" a="1"/>
  <c r="V351" i="8" s="1"/>
  <c r="Q169" i="19"/>
  <c r="R169" i="19" s="1"/>
  <c r="Q168" i="8"/>
  <c r="V168" i="8" s="1" a="1"/>
  <c r="V168" i="8" s="1"/>
  <c r="Q185" i="19"/>
  <c r="R185" i="19" s="1"/>
  <c r="Q184" i="8"/>
  <c r="V184" i="8" s="1" a="1"/>
  <c r="V184" i="8" s="1"/>
  <c r="Q201" i="19"/>
  <c r="R201" i="19" s="1"/>
  <c r="Q217" i="19"/>
  <c r="R217" i="19" s="1"/>
  <c r="Q534" i="8"/>
  <c r="V534" i="8" s="1" a="1"/>
  <c r="V534" i="8" s="1"/>
  <c r="Q233" i="19"/>
  <c r="R233" i="19" s="1"/>
  <c r="Q592" i="8"/>
  <c r="V592" i="8" s="1" a="1"/>
  <c r="V592" i="8" s="1"/>
  <c r="Q249" i="19"/>
  <c r="R249" i="19" s="1"/>
  <c r="Q248" i="8"/>
  <c r="V248" i="8" s="1" a="1"/>
  <c r="V248" i="8" s="1"/>
  <c r="Q265" i="19"/>
  <c r="R265" i="19" s="1"/>
  <c r="Q264" i="8"/>
  <c r="V264" i="8" s="1" a="1"/>
  <c r="V264" i="8" s="1"/>
  <c r="Q281" i="19"/>
  <c r="R281" i="19" s="1"/>
  <c r="Q928" i="8"/>
  <c r="V928" i="8" s="1" a="1"/>
  <c r="V928" i="8" s="1"/>
  <c r="Q297" i="19"/>
  <c r="R297" i="19" s="1"/>
  <c r="Q941" i="8"/>
  <c r="V941" i="8" s="1" a="1"/>
  <c r="V941" i="8" s="1"/>
  <c r="Q158" i="19"/>
  <c r="R158" i="19" s="1"/>
  <c r="Q157" i="8"/>
  <c r="V157" i="8" s="1" a="1"/>
  <c r="V157" i="8" s="1"/>
  <c r="Q182" i="19"/>
  <c r="R182" i="19" s="1"/>
  <c r="Q528" i="8"/>
  <c r="V528" i="8" s="1" a="1"/>
  <c r="V528" i="8" s="1"/>
  <c r="Q206" i="19"/>
  <c r="R206" i="19" s="1"/>
  <c r="Q205" i="8"/>
  <c r="V205" i="8" s="1" a="1"/>
  <c r="V205" i="8" s="1"/>
  <c r="Q234" i="19"/>
  <c r="R234" i="19" s="1"/>
  <c r="Q593" i="8"/>
  <c r="V593" i="8" s="1" a="1"/>
  <c r="V593" i="8" s="1"/>
  <c r="Q282" i="19"/>
  <c r="R282" i="19" s="1"/>
  <c r="Q929" i="8"/>
  <c r="V929" i="8" s="1" a="1"/>
  <c r="V929" i="8" s="1"/>
  <c r="Q147" i="19"/>
  <c r="R147" i="19" s="1"/>
  <c r="Q981" i="8"/>
  <c r="V981" i="8" s="1" a="1"/>
  <c r="V981" i="8" s="1"/>
  <c r="Q163" i="19"/>
  <c r="R163" i="19" s="1"/>
  <c r="Q1025" i="8"/>
  <c r="V1025" i="8" s="1" a="1"/>
  <c r="V1025" i="8" s="1"/>
  <c r="Q211" i="19"/>
  <c r="R211" i="19" s="1"/>
  <c r="Q210" i="8"/>
  <c r="V210" i="8" s="1" a="1"/>
  <c r="V210" i="8" s="1"/>
  <c r="Q251" i="19"/>
  <c r="R251" i="19" s="1"/>
  <c r="Q250" i="8"/>
  <c r="V250" i="8" s="1" a="1"/>
  <c r="V250" i="8" s="1"/>
  <c r="Q283" i="19"/>
  <c r="R283" i="19" s="1"/>
  <c r="Q930" i="8"/>
  <c r="V930" i="8" s="1" a="1"/>
  <c r="V930" i="8" s="1"/>
  <c r="Q152" i="19"/>
  <c r="R152" i="19" s="1"/>
  <c r="Q168" i="19"/>
  <c r="R168" i="19" s="1"/>
  <c r="Q1056" i="8"/>
  <c r="V1056" i="8" s="1" a="1"/>
  <c r="V1056" i="8" s="1"/>
  <c r="Q184" i="19"/>
  <c r="R184" i="19" s="1"/>
  <c r="Q183" i="8"/>
  <c r="V183" i="8" s="1" a="1"/>
  <c r="V183" i="8" s="1"/>
  <c r="Q200" i="19"/>
  <c r="R200" i="19" s="1"/>
  <c r="Q199" i="8"/>
  <c r="V199" i="8" s="1" a="1"/>
  <c r="V199" i="8" s="1"/>
  <c r="Q216" i="19"/>
  <c r="R216" i="19" s="1"/>
  <c r="Q533" i="8"/>
  <c r="V533" i="8" s="1" a="1"/>
  <c r="V533" i="8" s="1"/>
  <c r="Q232" i="19"/>
  <c r="R232" i="19" s="1"/>
  <c r="Q542" i="8"/>
  <c r="V542" i="8" s="1" a="1"/>
  <c r="V542" i="8" s="1"/>
  <c r="Q248" i="19"/>
  <c r="R248" i="19" s="1"/>
  <c r="Q247" i="8"/>
  <c r="V247" i="8" s="1" a="1"/>
  <c r="V247" i="8" s="1"/>
  <c r="Q264" i="19"/>
  <c r="R264" i="19" s="1"/>
  <c r="Q263" i="8"/>
  <c r="V263" i="8" s="1" a="1"/>
  <c r="V263" i="8" s="1"/>
  <c r="Q276" i="19"/>
  <c r="R276" i="19" s="1"/>
  <c r="Q610" i="8"/>
  <c r="V610" i="8" s="1" a="1"/>
  <c r="V610" i="8" s="1"/>
  <c r="Q292" i="19"/>
  <c r="R292" i="19" s="1"/>
  <c r="Q939" i="8"/>
  <c r="V939" i="8" s="1" a="1"/>
  <c r="V939" i="8" s="1"/>
  <c r="Q308" i="19"/>
  <c r="R308" i="19" s="1"/>
  <c r="Q307" i="8"/>
  <c r="V307" i="8" s="1" a="1"/>
  <c r="V307" i="8" s="1"/>
  <c r="Q174" i="19"/>
  <c r="R174" i="19" s="1"/>
  <c r="Q173" i="8"/>
  <c r="V173" i="8" s="1" a="1"/>
  <c r="V173" i="8" s="1"/>
  <c r="Q222" i="19"/>
  <c r="R222" i="19" s="1"/>
  <c r="Q539" i="8"/>
  <c r="V539" i="8" s="1" a="1"/>
  <c r="V539" i="8" s="1"/>
  <c r="Q250" i="19"/>
  <c r="R250" i="19" s="1"/>
  <c r="Q249" i="8"/>
  <c r="V249" i="8" s="1" a="1"/>
  <c r="V249" i="8" s="1"/>
  <c r="Q274" i="19"/>
  <c r="R274" i="19" s="1"/>
  <c r="Q608" i="8"/>
  <c r="V608" i="8" s="1" a="1"/>
  <c r="V608" i="8" s="1"/>
  <c r="Q294" i="19"/>
  <c r="R294" i="19" s="1"/>
  <c r="Q293" i="8"/>
  <c r="V293" i="8" s="1" a="1"/>
  <c r="V293" i="8" s="1"/>
  <c r="Q199" i="19"/>
  <c r="R199" i="19" s="1"/>
  <c r="Q198" i="8"/>
  <c r="V198" i="8" s="1" a="1"/>
  <c r="V198" i="8" s="1"/>
  <c r="Q227" i="19"/>
  <c r="R227" i="19" s="1"/>
  <c r="Q226" i="8"/>
  <c r="V226" i="8" s="1" a="1"/>
  <c r="V226" i="8" s="1"/>
  <c r="Q255" i="19"/>
  <c r="R255" i="19" s="1"/>
  <c r="Q287" i="19"/>
  <c r="R287" i="19" s="1"/>
  <c r="Q934" i="8"/>
  <c r="V934" i="8" s="1" a="1"/>
  <c r="V934" i="8" s="1"/>
  <c r="Q317" i="19"/>
  <c r="R317" i="19" s="1"/>
  <c r="Q316" i="8"/>
  <c r="V316" i="8" s="1" a="1"/>
  <c r="V316" i="8" s="1"/>
  <c r="Q333" i="19"/>
  <c r="R333" i="19" s="1"/>
  <c r="Q332" i="8"/>
  <c r="V332" i="8" s="1" a="1"/>
  <c r="V332" i="8" s="1"/>
  <c r="Q345" i="19"/>
  <c r="R345" i="19" s="1"/>
  <c r="Q344" i="8"/>
  <c r="V344" i="8" s="1" a="1"/>
  <c r="V344" i="8" s="1"/>
  <c r="Q361" i="19"/>
  <c r="R361" i="19" s="1"/>
  <c r="Q360" i="8"/>
  <c r="V360" i="8" s="1" a="1"/>
  <c r="V360" i="8" s="1"/>
  <c r="Q326" i="19"/>
  <c r="R326" i="19" s="1"/>
  <c r="Q325" i="8"/>
  <c r="V325" i="8" s="1" a="1"/>
  <c r="V325" i="8" s="1"/>
  <c r="Q338" i="19"/>
  <c r="R338" i="19" s="1"/>
  <c r="Q337" i="8"/>
  <c r="V337" i="8" s="1" a="1"/>
  <c r="V337" i="8" s="1"/>
  <c r="Q354" i="19"/>
  <c r="R354" i="19" s="1"/>
  <c r="Q353" i="8"/>
  <c r="V353" i="8" s="1" a="1"/>
  <c r="V353" i="8" s="1"/>
  <c r="Q315" i="19"/>
  <c r="R315" i="19" s="1"/>
  <c r="Q314" i="8"/>
  <c r="V314" i="8" s="1" a="1"/>
  <c r="V314" i="8" s="1"/>
  <c r="Q331" i="19"/>
  <c r="R331" i="19" s="1"/>
  <c r="Q330" i="8"/>
  <c r="V330" i="8" s="1" a="1"/>
  <c r="V330" i="8" s="1"/>
  <c r="Q347" i="19"/>
  <c r="R347" i="19" s="1"/>
  <c r="Q346" i="8"/>
  <c r="V346" i="8" s="1" a="1"/>
  <c r="V346" i="8" s="1"/>
  <c r="Q363" i="19"/>
  <c r="R363" i="19" s="1"/>
  <c r="Q362" i="8"/>
  <c r="V362" i="8" s="1" a="1"/>
  <c r="V362" i="8" s="1"/>
  <c r="Q324" i="19"/>
  <c r="R324" i="19" s="1"/>
  <c r="Q323" i="8"/>
  <c r="V323" i="8" s="1" a="1"/>
  <c r="V323" i="8" s="1"/>
  <c r="Q340" i="19"/>
  <c r="R340" i="19" s="1"/>
  <c r="Q339" i="8"/>
  <c r="V339" i="8" s="1" a="1"/>
  <c r="V339" i="8" s="1"/>
  <c r="Q356" i="19"/>
  <c r="R356" i="19" s="1"/>
  <c r="Q355" i="8"/>
  <c r="V355" i="8" s="1" a="1"/>
  <c r="V355" i="8" s="1"/>
  <c r="Q145" i="19"/>
  <c r="R145" i="19" s="1"/>
  <c r="Q980" i="8"/>
  <c r="V980" i="8" s="1" a="1"/>
  <c r="V980" i="8" s="1"/>
  <c r="Q157" i="19"/>
  <c r="R157" i="19" s="1"/>
  <c r="Q156" i="8"/>
  <c r="V156" i="8" s="1" a="1"/>
  <c r="V156" i="8" s="1"/>
  <c r="Q173" i="19"/>
  <c r="R173" i="19" s="1"/>
  <c r="Q172" i="8"/>
  <c r="V172" i="8" s="1" a="1"/>
  <c r="V172" i="8" s="1"/>
  <c r="Q189" i="19"/>
  <c r="R189" i="19" s="1"/>
  <c r="Q530" i="8"/>
  <c r="V530" i="8" s="1" a="1"/>
  <c r="V530" i="8" s="1"/>
  <c r="Q205" i="19"/>
  <c r="R205" i="19" s="1"/>
  <c r="Q204" i="8"/>
  <c r="V204" i="8" s="1" a="1"/>
  <c r="V204" i="8" s="1"/>
  <c r="Q221" i="19"/>
  <c r="R221" i="19" s="1"/>
  <c r="Q538" i="8"/>
  <c r="V538" i="8" s="1" a="1"/>
  <c r="V538" i="8" s="1"/>
  <c r="Q237" i="19"/>
  <c r="R237" i="19" s="1"/>
  <c r="Q596" i="8"/>
  <c r="V596" i="8" s="1" a="1"/>
  <c r="V596" i="8" s="1"/>
  <c r="Q253" i="19"/>
  <c r="R253" i="19" s="1"/>
  <c r="Q252" i="8"/>
  <c r="V252" i="8" s="1" a="1"/>
  <c r="V252" i="8" s="1"/>
  <c r="Q269" i="19"/>
  <c r="R269" i="19" s="1"/>
  <c r="Q268" i="8"/>
  <c r="V268" i="8" s="1" a="1"/>
  <c r="V268" i="8" s="1"/>
  <c r="Q285" i="19"/>
  <c r="R285" i="19" s="1"/>
  <c r="Q932" i="8"/>
  <c r="V932" i="8" s="1" a="1"/>
  <c r="V932" i="8" s="1"/>
  <c r="Q301" i="19"/>
  <c r="R301" i="19" s="1"/>
  <c r="Q965" i="8"/>
  <c r="V965" i="8" s="1" a="1"/>
  <c r="V965" i="8" s="1"/>
  <c r="Q162" i="19"/>
  <c r="R162" i="19" s="1"/>
  <c r="Q523" i="8"/>
  <c r="V523" i="8" s="1" a="1"/>
  <c r="V523" i="8" s="1"/>
  <c r="Q190" i="19"/>
  <c r="R190" i="19" s="1"/>
  <c r="Q531" i="8"/>
  <c r="V531" i="8" s="1" a="1"/>
  <c r="V531" i="8" s="1"/>
  <c r="Q214" i="19"/>
  <c r="R214" i="19" s="1"/>
  <c r="Q213" i="8"/>
  <c r="V213" i="8" s="1" a="1"/>
  <c r="V213" i="8" s="1"/>
  <c r="Q242" i="19"/>
  <c r="R242" i="19" s="1"/>
  <c r="Q604" i="8"/>
  <c r="V604" i="8" s="1" a="1"/>
  <c r="V604" i="8" s="1"/>
  <c r="Q298" i="19"/>
  <c r="R298" i="19" s="1"/>
  <c r="Q942" i="8"/>
  <c r="V942" i="8" s="1" a="1"/>
  <c r="V942" i="8" s="1"/>
  <c r="Q151" i="19"/>
  <c r="R151" i="19" s="1"/>
  <c r="Q171" i="19"/>
  <c r="R171" i="19" s="1"/>
  <c r="Q170" i="8"/>
  <c r="V170" i="8" s="1" a="1"/>
  <c r="V170" i="8" s="1"/>
  <c r="Q187" i="19"/>
  <c r="R187" i="19" s="1"/>
  <c r="Q186" i="8"/>
  <c r="V186" i="8" s="1" a="1"/>
  <c r="V186" i="8" s="1"/>
  <c r="Q223" i="19"/>
  <c r="R223" i="19" s="1"/>
  <c r="Q540" i="8"/>
  <c r="V540" i="8" s="1" a="1"/>
  <c r="V540" i="8" s="1"/>
  <c r="Q259" i="19"/>
  <c r="R259" i="19" s="1"/>
  <c r="Q258" i="8"/>
  <c r="V258" i="8" s="1" a="1"/>
  <c r="V258" i="8" s="1"/>
  <c r="Q291" i="19"/>
  <c r="R291" i="19" s="1"/>
  <c r="Q938" i="8"/>
  <c r="V938" i="8" s="1" a="1"/>
  <c r="V938" i="8" s="1"/>
  <c r="Q156" i="19"/>
  <c r="R156" i="19" s="1"/>
  <c r="Q155" i="8"/>
  <c r="V155" i="8" s="1" a="1"/>
  <c r="V155" i="8" s="1"/>
  <c r="Q172" i="19"/>
  <c r="R172" i="19" s="1"/>
  <c r="Q171" i="8"/>
  <c r="V171" i="8" s="1" a="1"/>
  <c r="V171" i="8" s="1"/>
  <c r="Q188" i="19"/>
  <c r="R188" i="19" s="1"/>
  <c r="Q529" i="8"/>
  <c r="V529" i="8" s="1" a="1"/>
  <c r="V529" i="8" s="1"/>
  <c r="Q204" i="19"/>
  <c r="R204" i="19" s="1"/>
  <c r="Q203" i="8"/>
  <c r="V203" i="8" s="1" a="1"/>
  <c r="V203" i="8" s="1"/>
  <c r="Q220" i="19"/>
  <c r="R220" i="19" s="1"/>
  <c r="Q537" i="8"/>
  <c r="V537" i="8" s="1" a="1"/>
  <c r="V537" i="8" s="1"/>
  <c r="Q236" i="19"/>
  <c r="R236" i="19" s="1"/>
  <c r="Q235" i="8"/>
  <c r="V235" i="8" s="1" a="1"/>
  <c r="V235" i="8" s="1"/>
  <c r="Q252" i="19"/>
  <c r="R252" i="19" s="1"/>
  <c r="Q251" i="8"/>
  <c r="V251" i="8" s="1" a="1"/>
  <c r="V251" i="8" s="1"/>
  <c r="Q268" i="19"/>
  <c r="R268" i="19" s="1"/>
  <c r="Q267" i="8"/>
  <c r="V267" i="8" s="1" a="1"/>
  <c r="V267" i="8" s="1"/>
  <c r="Q280" i="19"/>
  <c r="R280" i="19" s="1"/>
  <c r="Q927" i="8"/>
  <c r="V927" i="8" s="1" a="1"/>
  <c r="V927" i="8" s="1"/>
  <c r="Q296" i="19"/>
  <c r="R296" i="19" s="1"/>
  <c r="Q295" i="8"/>
  <c r="V295" i="8" s="1" a="1"/>
  <c r="V295" i="8" s="1"/>
  <c r="Q146" i="19"/>
  <c r="R146" i="19" s="1"/>
  <c r="Q987" i="8"/>
  <c r="V987" i="8" s="1" a="1"/>
  <c r="V987" i="8" s="1"/>
  <c r="Q186" i="19"/>
  <c r="R186" i="19" s="1"/>
  <c r="Q185" i="8"/>
  <c r="V185" i="8" s="1" a="1"/>
  <c r="V185" i="8" s="1"/>
  <c r="Q230" i="19"/>
  <c r="R230" i="19" s="1"/>
  <c r="Q300" i="8"/>
  <c r="V300" i="8" s="1" a="1"/>
  <c r="V300" i="8" s="1"/>
  <c r="Q254" i="19"/>
  <c r="R254" i="19" s="1"/>
  <c r="Q253" i="8"/>
  <c r="V253" i="8" s="1" a="1"/>
  <c r="V253" i="8" s="1"/>
  <c r="Q278" i="19"/>
  <c r="R278" i="19" s="1"/>
  <c r="Q612" i="8"/>
  <c r="V612" i="8" s="1" a="1"/>
  <c r="V612" i="8" s="1"/>
  <c r="Q302" i="19"/>
  <c r="R302" i="19" s="1"/>
  <c r="Q301" i="8"/>
  <c r="V301" i="8" s="1" a="1"/>
  <c r="V301" i="8" s="1"/>
  <c r="Q167" i="19"/>
  <c r="R167" i="19" s="1"/>
  <c r="Q1055" i="8"/>
  <c r="V1055" i="8" s="1" a="1"/>
  <c r="V1055" i="8" s="1"/>
  <c r="Q207" i="19"/>
  <c r="R207" i="19" s="1"/>
  <c r="Q206" i="8"/>
  <c r="V206" i="8" s="1" a="1"/>
  <c r="V206" i="8" s="1"/>
  <c r="Q235" i="19"/>
  <c r="R235" i="19" s="1"/>
  <c r="Q234" i="8"/>
  <c r="V234" i="8" s="1" a="1"/>
  <c r="V234" i="8" s="1"/>
  <c r="Q263" i="19"/>
  <c r="R263" i="19" s="1"/>
  <c r="Q262" i="8"/>
  <c r="V262" i="8" s="1" a="1"/>
  <c r="V262" i="8" s="1"/>
  <c r="Q299" i="19"/>
  <c r="R299" i="19" s="1"/>
  <c r="Q943" i="8"/>
  <c r="V943" i="8" s="1" a="1"/>
  <c r="V943" i="8" s="1"/>
  <c r="Q321" i="19"/>
  <c r="R321" i="19" s="1"/>
  <c r="Q320" i="8"/>
  <c r="V320" i="8" s="1" a="1"/>
  <c r="V320" i="8" s="1"/>
  <c r="Q349" i="19"/>
  <c r="R349" i="19" s="1"/>
  <c r="Q348" i="8"/>
  <c r="V348" i="8" s="1" a="1"/>
  <c r="V348" i="8" s="1"/>
  <c r="Q314" i="19"/>
  <c r="R314" i="19" s="1"/>
  <c r="Q313" i="8"/>
  <c r="V313" i="8" s="1" a="1"/>
  <c r="V313" i="8" s="1"/>
  <c r="Q330" i="19"/>
  <c r="R330" i="19" s="1"/>
  <c r="Q329" i="8"/>
  <c r="V329" i="8" s="1" a="1"/>
  <c r="V329" i="8" s="1"/>
  <c r="Q342" i="19"/>
  <c r="R342" i="19" s="1"/>
  <c r="Q341" i="8"/>
  <c r="V341" i="8" s="1" a="1"/>
  <c r="V341" i="8" s="1"/>
  <c r="Q358" i="19"/>
  <c r="R358" i="19" s="1"/>
  <c r="Q357" i="8"/>
  <c r="V357" i="8" s="1" a="1"/>
  <c r="V357" i="8" s="1"/>
  <c r="Q319" i="19"/>
  <c r="R319" i="19" s="1"/>
  <c r="Q318" i="8"/>
  <c r="V318" i="8" s="1" a="1"/>
  <c r="V318" i="8" s="1"/>
  <c r="Q335" i="19"/>
  <c r="R335" i="19" s="1"/>
  <c r="Q334" i="8"/>
  <c r="V334" i="8" s="1" a="1"/>
  <c r="V334" i="8" s="1"/>
  <c r="Q351" i="19"/>
  <c r="R351" i="19" s="1"/>
  <c r="Q350" i="8"/>
  <c r="V350" i="8" s="1" a="1"/>
  <c r="V350" i="8" s="1"/>
  <c r="Q312" i="19"/>
  <c r="R312" i="19" s="1"/>
  <c r="Q311" i="8"/>
  <c r="V311" i="8" s="1" a="1"/>
  <c r="V311" i="8" s="1"/>
  <c r="Q328" i="19"/>
  <c r="R328" i="19" s="1"/>
  <c r="Q327" i="8"/>
  <c r="V327" i="8" s="1" a="1"/>
  <c r="V327" i="8" s="1"/>
  <c r="Q344" i="19"/>
  <c r="R344" i="19" s="1"/>
  <c r="Q343" i="8"/>
  <c r="V343" i="8" s="1" a="1"/>
  <c r="V343" i="8" s="1"/>
  <c r="Q360" i="19"/>
  <c r="R360" i="19" s="1"/>
  <c r="Q359" i="8"/>
  <c r="V359" i="8" s="1" a="1"/>
  <c r="V359" i="8" s="1"/>
  <c r="Q149" i="19"/>
  <c r="R149" i="19" s="1"/>
  <c r="Q161" i="19"/>
  <c r="R161" i="19" s="1"/>
  <c r="Q989" i="8"/>
  <c r="V989" i="8" s="1" a="1"/>
  <c r="V989" i="8" s="1"/>
  <c r="Q177" i="19"/>
  <c r="R177" i="19" s="1"/>
  <c r="Q176" i="8"/>
  <c r="V176" i="8" s="1" a="1"/>
  <c r="V176" i="8" s="1"/>
  <c r="Q193" i="19"/>
  <c r="R193" i="19" s="1"/>
  <c r="Q192" i="8"/>
  <c r="V192" i="8" s="1" a="1"/>
  <c r="V192" i="8" s="1"/>
  <c r="Q209" i="19"/>
  <c r="R209" i="19" s="1"/>
  <c r="Q208" i="8"/>
  <c r="V208" i="8" s="1" a="1"/>
  <c r="V208" i="8" s="1"/>
  <c r="Q225" i="19"/>
  <c r="R225" i="19" s="1"/>
  <c r="Q224" i="8"/>
  <c r="V224" i="8" s="1" a="1"/>
  <c r="V224" i="8" s="1"/>
  <c r="Q241" i="19"/>
  <c r="R241" i="19" s="1"/>
  <c r="Q603" i="8"/>
  <c r="V603" i="8" s="1" a="1"/>
  <c r="V603" i="8" s="1"/>
  <c r="Q257" i="19"/>
  <c r="R257" i="19" s="1"/>
  <c r="Q256" i="8"/>
  <c r="V256" i="8" s="1" a="1"/>
  <c r="V256" i="8" s="1"/>
  <c r="Q273" i="19"/>
  <c r="R273" i="19" s="1"/>
  <c r="Q607" i="8"/>
  <c r="V607" i="8" s="1" a="1"/>
  <c r="V607" i="8" s="1"/>
  <c r="Q289" i="19"/>
  <c r="R289" i="19" s="1"/>
  <c r="R936" i="8" s="1"/>
  <c r="Q305" i="19"/>
  <c r="R305" i="19" s="1"/>
  <c r="Q304" i="8"/>
  <c r="V304" i="8" s="1" a="1"/>
  <c r="V304" i="8" s="1"/>
  <c r="Q170" i="19"/>
  <c r="R170" i="19" s="1"/>
  <c r="Q169" i="8"/>
  <c r="V169" i="8" s="1" a="1"/>
  <c r="V169" i="8" s="1"/>
  <c r="Q194" i="19"/>
  <c r="R194" i="19" s="1"/>
  <c r="Q193" i="8"/>
  <c r="V193" i="8" s="1" a="1"/>
  <c r="V193" i="8" s="1"/>
  <c r="Q218" i="19"/>
  <c r="R218" i="19" s="1"/>
  <c r="Q535" i="8"/>
  <c r="V535" i="8" s="1" a="1"/>
  <c r="V535" i="8" s="1"/>
  <c r="Q258" i="19"/>
  <c r="R258" i="19" s="1"/>
  <c r="Q257" i="8"/>
  <c r="V257" i="8" s="1" a="1"/>
  <c r="V257" i="8" s="1"/>
  <c r="Q310" i="19"/>
  <c r="R310" i="19" s="1"/>
  <c r="Q309" i="8"/>
  <c r="V309" i="8" s="1" a="1"/>
  <c r="V309" i="8" s="1"/>
  <c r="Q155" i="19"/>
  <c r="R155" i="19" s="1"/>
  <c r="Q154" i="8"/>
  <c r="V154" i="8" s="1" a="1"/>
  <c r="V154" i="8" s="1"/>
  <c r="Q175" i="19"/>
  <c r="R175" i="19" s="1"/>
  <c r="Q174" i="8"/>
  <c r="V174" i="8" s="1" a="1"/>
  <c r="V174" i="8" s="1"/>
  <c r="Q195" i="19"/>
  <c r="R195" i="19" s="1"/>
  <c r="Q194" i="8"/>
  <c r="V194" i="8" s="1" a="1"/>
  <c r="V194" i="8" s="1"/>
  <c r="Q231" i="19"/>
  <c r="R231" i="19" s="1"/>
  <c r="Q541" i="8"/>
  <c r="V541" i="8" s="1" a="1"/>
  <c r="V541" i="8" s="1"/>
  <c r="Q271" i="19"/>
  <c r="R271" i="19" s="1"/>
  <c r="Q270" i="8"/>
  <c r="V270" i="8" s="1" a="1"/>
  <c r="V270" i="8" s="1"/>
  <c r="Q295" i="19"/>
  <c r="R295" i="19" s="1"/>
  <c r="Q294" i="8"/>
  <c r="V294" i="8" s="1" a="1"/>
  <c r="V294" i="8" s="1"/>
  <c r="Q144" i="19"/>
  <c r="R144" i="19" s="1"/>
  <c r="Q979" i="8"/>
  <c r="V979" i="8" s="1" a="1"/>
  <c r="V979" i="8" s="1"/>
  <c r="Q160" i="19"/>
  <c r="R160" i="19" s="1"/>
  <c r="R988" i="8" s="1"/>
  <c r="Q988" i="8"/>
  <c r="V988" i="8" s="1" a="1"/>
  <c r="V988" i="8" s="1"/>
  <c r="Q176" i="19"/>
  <c r="R176" i="19" s="1"/>
  <c r="Q175" i="8"/>
  <c r="V175" i="8" s="1" a="1"/>
  <c r="V175" i="8" s="1"/>
  <c r="Q192" i="19"/>
  <c r="R192" i="19" s="1"/>
  <c r="Q191" i="8"/>
  <c r="V191" i="8" s="1" a="1"/>
  <c r="V191" i="8" s="1"/>
  <c r="Q208" i="19"/>
  <c r="R208" i="19" s="1"/>
  <c r="Q207" i="8"/>
  <c r="V207" i="8" s="1" a="1"/>
  <c r="V207" i="8" s="1"/>
  <c r="Q224" i="19"/>
  <c r="R224" i="19" s="1"/>
  <c r="Q223" i="8"/>
  <c r="V223" i="8" s="1" a="1"/>
  <c r="V223" i="8" s="1"/>
  <c r="Q240" i="19"/>
  <c r="R240" i="19" s="1"/>
  <c r="Q601" i="8"/>
  <c r="V601" i="8" s="1" a="1"/>
  <c r="V601" i="8" s="1"/>
  <c r="Q256" i="19"/>
  <c r="R256" i="19" s="1"/>
  <c r="Q255" i="8"/>
  <c r="V255" i="8" s="1" a="1"/>
  <c r="V255" i="8" s="1"/>
  <c r="Q284" i="19"/>
  <c r="R284" i="19" s="1"/>
  <c r="Q931" i="8"/>
  <c r="V931" i="8" s="1" a="1"/>
  <c r="V931" i="8" s="1"/>
  <c r="Q300" i="19"/>
  <c r="R300" i="19" s="1"/>
  <c r="Q959" i="8"/>
  <c r="V959" i="8" s="1" a="1"/>
  <c r="V959" i="8" s="1"/>
  <c r="Q154" i="19"/>
  <c r="R154" i="19" s="1"/>
  <c r="Q153" i="8"/>
  <c r="V153" i="8" s="1" a="1"/>
  <c r="V153" i="8" s="1"/>
  <c r="Q198" i="19"/>
  <c r="R198" i="19" s="1"/>
  <c r="Q197" i="8"/>
  <c r="V197" i="8" s="1" a="1"/>
  <c r="V197" i="8" s="1"/>
  <c r="Q238" i="19"/>
  <c r="R238" i="19" s="1"/>
  <c r="Q597" i="8"/>
  <c r="V597" i="8" s="1" a="1"/>
  <c r="V597" i="8" s="1"/>
  <c r="Q262" i="19"/>
  <c r="R262" i="19" s="1"/>
  <c r="Q261" i="8"/>
  <c r="V261" i="8" s="1" a="1"/>
  <c r="V261" i="8" s="1"/>
  <c r="Q286" i="19"/>
  <c r="R286" i="19" s="1"/>
  <c r="Q933" i="8"/>
  <c r="V933" i="8" s="1" a="1"/>
  <c r="V933" i="8" s="1"/>
  <c r="Q306" i="19"/>
  <c r="R306" i="19" s="1"/>
  <c r="Q305" i="8"/>
  <c r="V305" i="8" s="1" a="1"/>
  <c r="V305" i="8" s="1"/>
  <c r="Q179" i="19"/>
  <c r="R179" i="19" s="1"/>
  <c r="Q525" i="8"/>
  <c r="V525" i="8" s="1" a="1"/>
  <c r="V525" i="8" s="1"/>
  <c r="Q215" i="19"/>
  <c r="R215" i="19" s="1"/>
  <c r="Q214" i="8"/>
  <c r="V214" i="8" s="1" a="1"/>
  <c r="V214" i="8" s="1"/>
  <c r="Q239" i="19"/>
  <c r="R239" i="19" s="1"/>
  <c r="Q600" i="8"/>
  <c r="V600" i="8" s="1" a="1"/>
  <c r="V600" i="8" s="1"/>
  <c r="Q267" i="19"/>
  <c r="R267" i="19" s="1"/>
  <c r="Q266" i="8"/>
  <c r="V266" i="8" s="1" a="1"/>
  <c r="V266" i="8" s="1"/>
  <c r="Q307" i="19"/>
  <c r="R307" i="19" s="1"/>
  <c r="Q306" i="8"/>
  <c r="V306" i="8" s="1" a="1"/>
  <c r="V306" i="8" s="1"/>
  <c r="Q325" i="19"/>
  <c r="R325" i="19" s="1"/>
  <c r="Q324" i="8"/>
  <c r="V324" i="8" s="1" a="1"/>
  <c r="V324" i="8" s="1"/>
  <c r="Q353" i="19"/>
  <c r="R353" i="19" s="1"/>
  <c r="Q352" i="8"/>
  <c r="V352" i="8" s="1" a="1"/>
  <c r="V352" i="8" s="1"/>
  <c r="Q318" i="19"/>
  <c r="R318" i="19" s="1"/>
  <c r="Q317" i="8"/>
  <c r="V317" i="8" s="1" a="1"/>
  <c r="V317" i="8" s="1"/>
  <c r="Q346" i="19"/>
  <c r="R346" i="19" s="1"/>
  <c r="Q345" i="8"/>
  <c r="V345" i="8" s="1" a="1"/>
  <c r="V345" i="8" s="1"/>
  <c r="Q362" i="19"/>
  <c r="R362" i="19" s="1"/>
  <c r="Q361" i="8"/>
  <c r="V361" i="8" s="1" a="1"/>
  <c r="V361" i="8" s="1"/>
  <c r="Q339" i="19"/>
  <c r="R339" i="19" s="1"/>
  <c r="Q338" i="8"/>
  <c r="V338" i="8" s="1" a="1"/>
  <c r="V338" i="8" s="1"/>
  <c r="Q355" i="19"/>
  <c r="R355" i="19" s="1"/>
  <c r="Q354" i="8"/>
  <c r="V354" i="8" s="1" a="1"/>
  <c r="V354" i="8" s="1"/>
  <c r="Q316" i="19"/>
  <c r="R316" i="19" s="1"/>
  <c r="Q315" i="8"/>
  <c r="V315" i="8" s="1" a="1"/>
  <c r="V315" i="8" s="1"/>
  <c r="Q332" i="19"/>
  <c r="R332" i="19" s="1"/>
  <c r="Q331" i="8"/>
  <c r="V331" i="8" s="1" a="1"/>
  <c r="V331" i="8" s="1"/>
  <c r="Q348" i="19"/>
  <c r="R348" i="19" s="1"/>
  <c r="Q347" i="8"/>
  <c r="V347" i="8" s="1" a="1"/>
  <c r="V347" i="8" s="1"/>
  <c r="Q364" i="19"/>
  <c r="R364" i="19" s="1"/>
  <c r="Q363" i="8"/>
  <c r="V363" i="8" s="1" a="1"/>
  <c r="V363" i="8" s="1"/>
  <c r="Q26" i="19"/>
  <c r="R26" i="19" s="1"/>
  <c r="R25" i="8" s="1"/>
  <c r="Q50" i="19"/>
  <c r="R50" i="19" s="1"/>
  <c r="R49" i="8" s="1"/>
  <c r="Q66" i="19"/>
  <c r="R66" i="19" s="1"/>
  <c r="R65" i="8" s="1"/>
  <c r="Q82" i="19"/>
  <c r="R82" i="19" s="1"/>
  <c r="R81" i="8" s="1"/>
  <c r="Q98" i="19"/>
  <c r="R98" i="19" s="1"/>
  <c r="R97" i="8" s="1"/>
  <c r="Q114" i="19"/>
  <c r="R114" i="19" s="1"/>
  <c r="R113" i="8" s="1"/>
  <c r="Q125" i="19"/>
  <c r="R125" i="19" s="1"/>
  <c r="Q31" i="19"/>
  <c r="R31" i="19" s="1"/>
  <c r="R30" i="8" s="1"/>
  <c r="Q43" i="19"/>
  <c r="R43" i="19" s="1"/>
  <c r="R42" i="8" s="1"/>
  <c r="Q67" i="19"/>
  <c r="R67" i="19" s="1"/>
  <c r="Q428" i="8"/>
  <c r="V428" i="8" s="1" a="1"/>
  <c r="V428" i="8" s="1"/>
  <c r="Q83" i="19"/>
  <c r="R83" i="19" s="1"/>
  <c r="Q431" i="8"/>
  <c r="V431" i="8" s="1" a="1"/>
  <c r="V431" i="8" s="1"/>
  <c r="Q99" i="19"/>
  <c r="R99" i="19" s="1"/>
  <c r="R98" i="8" s="1"/>
  <c r="Q115" i="19"/>
  <c r="R115" i="19" s="1"/>
  <c r="R114" i="8" s="1"/>
  <c r="Q130" i="19"/>
  <c r="R130" i="19" s="1"/>
  <c r="Q32" i="19"/>
  <c r="R32" i="19" s="1"/>
  <c r="R31" i="8" s="1"/>
  <c r="Q25" i="19"/>
  <c r="R25" i="19" s="1"/>
  <c r="R24" i="8" s="1"/>
  <c r="Q41" i="19"/>
  <c r="R41" i="19" s="1"/>
  <c r="R40" i="8" s="1"/>
  <c r="Q57" i="19"/>
  <c r="R57" i="19" s="1"/>
  <c r="R56" i="8" s="1"/>
  <c r="Q73" i="19"/>
  <c r="R73" i="19" s="1"/>
  <c r="R72" i="8" s="1"/>
  <c r="Q34" i="19"/>
  <c r="R34" i="19" s="1"/>
  <c r="R33" i="8" s="1"/>
  <c r="Q42" i="19"/>
  <c r="R42" i="19" s="1"/>
  <c r="Q425" i="8"/>
  <c r="V425" i="8" s="1" a="1"/>
  <c r="V425" i="8" s="1"/>
  <c r="Q58" i="19"/>
  <c r="R58" i="19" s="1"/>
  <c r="R57" i="8" s="1"/>
  <c r="Q74" i="19"/>
  <c r="R74" i="19" s="1"/>
  <c r="R73" i="8" s="1"/>
  <c r="Q90" i="19"/>
  <c r="R90" i="19" s="1"/>
  <c r="R89" i="8" s="1"/>
  <c r="Q106" i="19"/>
  <c r="R106" i="19" s="1"/>
  <c r="R105" i="8" s="1"/>
  <c r="Q133" i="19"/>
  <c r="R133" i="19" s="1"/>
  <c r="R984" i="8" s="1"/>
  <c r="Q984" i="8"/>
  <c r="V984" i="8" s="1" a="1"/>
  <c r="V984" i="8" s="1"/>
  <c r="Q35" i="19"/>
  <c r="R35" i="19" s="1"/>
  <c r="R34" i="8" s="1"/>
  <c r="Q55" i="19"/>
  <c r="R55" i="19" s="1"/>
  <c r="R54" i="8" s="1"/>
  <c r="Q71" i="19"/>
  <c r="R71" i="19" s="1"/>
  <c r="Q430" i="8"/>
  <c r="V430" i="8" s="1" a="1"/>
  <c r="V430" i="8" s="1"/>
  <c r="Q87" i="19"/>
  <c r="R87" i="19" s="1"/>
  <c r="Q432" i="8"/>
  <c r="V432" i="8" s="1" a="1"/>
  <c r="V432" i="8" s="1"/>
  <c r="Q103" i="19"/>
  <c r="R103" i="19" s="1"/>
  <c r="R102" i="8" s="1"/>
  <c r="Q119" i="19"/>
  <c r="R119" i="19" s="1"/>
  <c r="R118" i="8" s="1"/>
  <c r="Q142" i="19"/>
  <c r="R142" i="19" s="1"/>
  <c r="R977" i="8" s="1"/>
  <c r="Q977" i="8"/>
  <c r="V977" i="8" s="1" a="1"/>
  <c r="V977" i="8" s="1"/>
  <c r="Q40" i="19"/>
  <c r="R40" i="19" s="1"/>
  <c r="R39" i="8" s="1"/>
  <c r="Q22" i="19"/>
  <c r="R22" i="19" s="1"/>
  <c r="R21" i="8" s="1"/>
  <c r="Q38" i="19"/>
  <c r="R38" i="19" s="1"/>
  <c r="R37" i="8" s="1"/>
  <c r="Q46" i="19"/>
  <c r="R46" i="19" s="1"/>
  <c r="R45" i="8" s="1"/>
  <c r="Q54" i="19"/>
  <c r="R54" i="19" s="1"/>
  <c r="R53" i="8" s="1"/>
  <c r="Q62" i="19"/>
  <c r="R62" i="19" s="1"/>
  <c r="R61" i="8" s="1"/>
  <c r="Q70" i="19"/>
  <c r="R70" i="19" s="1"/>
  <c r="Q429" i="8"/>
  <c r="V429" i="8" s="1" a="1"/>
  <c r="V429" i="8" s="1"/>
  <c r="Q78" i="19"/>
  <c r="R78" i="19" s="1"/>
  <c r="R77" i="8" s="1"/>
  <c r="Q86" i="19"/>
  <c r="R86" i="19" s="1"/>
  <c r="R85" i="8" s="1"/>
  <c r="Q94" i="19"/>
  <c r="R94" i="19" s="1"/>
  <c r="R93" i="8" s="1"/>
  <c r="Q102" i="19"/>
  <c r="R102" i="19" s="1"/>
  <c r="R101" i="8" s="1"/>
  <c r="Q110" i="19"/>
  <c r="R110" i="19" s="1"/>
  <c r="R109" i="8" s="1"/>
  <c r="Q118" i="19"/>
  <c r="R118" i="19" s="1"/>
  <c r="R117" i="8" s="1"/>
  <c r="Q121" i="19"/>
  <c r="R121" i="19" s="1"/>
  <c r="Q129" i="19"/>
  <c r="R129" i="19" s="1"/>
  <c r="Q137" i="19"/>
  <c r="R137" i="19" s="1"/>
  <c r="R973" i="8" s="1"/>
  <c r="Q973" i="8"/>
  <c r="V973" i="8" s="1" a="1"/>
  <c r="V973" i="8" s="1"/>
  <c r="Q27" i="19"/>
  <c r="R27" i="19" s="1"/>
  <c r="R26" i="8" s="1"/>
  <c r="Q47" i="19"/>
  <c r="R47" i="19" s="1"/>
  <c r="R46" i="8" s="1"/>
  <c r="Q59" i="19"/>
  <c r="R59" i="19" s="1"/>
  <c r="R58" i="8" s="1"/>
  <c r="Q75" i="19"/>
  <c r="R75" i="19" s="1"/>
  <c r="R74" i="8" s="1"/>
  <c r="Q91" i="19"/>
  <c r="R91" i="19" s="1"/>
  <c r="R90" i="8" s="1"/>
  <c r="Q107" i="19"/>
  <c r="R107" i="19" s="1"/>
  <c r="R106" i="8" s="1"/>
  <c r="Q122" i="19"/>
  <c r="R122" i="19" s="1"/>
  <c r="Q48" i="19"/>
  <c r="R48" i="19" s="1"/>
  <c r="R47" i="8" s="1"/>
  <c r="Q33" i="19"/>
  <c r="R33" i="19" s="1"/>
  <c r="R32" i="8" s="1"/>
  <c r="Q49" i="19"/>
  <c r="R49" i="19" s="1"/>
  <c r="R48" i="8" s="1"/>
  <c r="Q65" i="19"/>
  <c r="R65" i="19" s="1"/>
  <c r="R64" i="8" s="1"/>
  <c r="Q30" i="19"/>
  <c r="R30" i="19" s="1"/>
  <c r="R29" i="8" s="1"/>
  <c r="Q39" i="19"/>
  <c r="R39" i="19" s="1"/>
  <c r="R38" i="8" s="1"/>
  <c r="Q51" i="19"/>
  <c r="R51" i="19" s="1"/>
  <c r="R50" i="8" s="1"/>
  <c r="Q63" i="19"/>
  <c r="R63" i="19" s="1"/>
  <c r="R62" i="8" s="1"/>
  <c r="Q79" i="19"/>
  <c r="R79" i="19" s="1"/>
  <c r="R78" i="8" s="1"/>
  <c r="Q95" i="19"/>
  <c r="R95" i="19" s="1"/>
  <c r="R94" i="8" s="1"/>
  <c r="Q111" i="19"/>
  <c r="R111" i="19" s="1"/>
  <c r="R110" i="8" s="1"/>
  <c r="Q126" i="19"/>
  <c r="R126" i="19" s="1"/>
  <c r="Q37" i="19"/>
  <c r="R37" i="19" s="1"/>
  <c r="R36" i="8" s="1"/>
  <c r="Q45" i="19"/>
  <c r="R45" i="19" s="1"/>
  <c r="R44" i="8" s="1"/>
  <c r="Q61" i="19"/>
  <c r="R61" i="19" s="1"/>
  <c r="R60" i="8" s="1"/>
  <c r="Q77" i="19"/>
  <c r="R77" i="19" s="1"/>
  <c r="R76" i="8" s="1"/>
  <c r="Q93" i="19"/>
  <c r="R93" i="19" s="1"/>
  <c r="R92" i="8" s="1"/>
  <c r="Q109" i="19"/>
  <c r="R109" i="19" s="1"/>
  <c r="R108" i="8" s="1"/>
  <c r="Q120" i="19"/>
  <c r="R120" i="19" s="1"/>
  <c r="Q136" i="19"/>
  <c r="R136" i="19" s="1"/>
  <c r="R972" i="8" s="1"/>
  <c r="Q972" i="8"/>
  <c r="V972" i="8" s="1" a="1"/>
  <c r="V972" i="8" s="1"/>
  <c r="Q23" i="19"/>
  <c r="R23" i="19" s="1"/>
  <c r="R22" i="8" s="1"/>
  <c r="Q134" i="19"/>
  <c r="R134" i="19" s="1"/>
  <c r="R966" i="8" s="1"/>
  <c r="Q966" i="8"/>
  <c r="V966" i="8" s="1" a="1"/>
  <c r="V966" i="8" s="1"/>
  <c r="Q36" i="19"/>
  <c r="R36" i="19" s="1"/>
  <c r="R35" i="8" s="1"/>
  <c r="Q29" i="19"/>
  <c r="R29" i="19" s="1"/>
  <c r="R28" i="8" s="1"/>
  <c r="Q53" i="19"/>
  <c r="R53" i="19" s="1"/>
  <c r="R52" i="8" s="1"/>
  <c r="Q69" i="19"/>
  <c r="R69" i="19" s="1"/>
  <c r="R68" i="8" s="1"/>
  <c r="Q85" i="19"/>
  <c r="R85" i="19" s="1"/>
  <c r="R84" i="8" s="1"/>
  <c r="Q101" i="19"/>
  <c r="R101" i="19" s="1"/>
  <c r="R100" i="8" s="1"/>
  <c r="Q117" i="19"/>
  <c r="R117" i="19" s="1"/>
  <c r="R116" i="8" s="1"/>
  <c r="Q128" i="19"/>
  <c r="R128" i="19" s="1"/>
  <c r="Q81" i="19"/>
  <c r="R81" i="19" s="1"/>
  <c r="R80" i="8" s="1"/>
  <c r="Q298" i="8"/>
  <c r="V298" i="8" s="1" a="1"/>
  <c r="V298" i="8" s="1"/>
  <c r="Q89" i="19"/>
  <c r="R89" i="19" s="1"/>
  <c r="R88" i="8" s="1"/>
  <c r="Q97" i="19"/>
  <c r="R97" i="19" s="1"/>
  <c r="R96" i="8" s="1"/>
  <c r="Q105" i="19"/>
  <c r="R105" i="19" s="1"/>
  <c r="R104" i="8" s="1"/>
  <c r="Q113" i="19"/>
  <c r="R113" i="19" s="1"/>
  <c r="R112" i="8" s="1"/>
  <c r="Q124" i="19"/>
  <c r="R124" i="19" s="1"/>
  <c r="Q132" i="19"/>
  <c r="R132" i="19" s="1"/>
  <c r="Q140" i="19"/>
  <c r="R140" i="19" s="1"/>
  <c r="R975" i="8" s="1"/>
  <c r="Q975" i="8"/>
  <c r="V975" i="8" s="1" a="1"/>
  <c r="V975" i="8" s="1"/>
  <c r="Q138" i="19"/>
  <c r="R138" i="19" s="1"/>
  <c r="R985" i="8" s="1"/>
  <c r="Q985" i="8"/>
  <c r="V985" i="8" s="1" a="1"/>
  <c r="V985" i="8" s="1"/>
  <c r="Q28" i="19"/>
  <c r="R28" i="19" s="1"/>
  <c r="R27" i="8" s="1"/>
  <c r="Q141" i="19"/>
  <c r="R141" i="19" s="1"/>
  <c r="R976" i="8" s="1"/>
  <c r="Q976" i="8"/>
  <c r="V976" i="8" s="1" a="1"/>
  <c r="V976" i="8" s="1"/>
  <c r="Q15" i="19"/>
  <c r="R15" i="19" s="1"/>
  <c r="R14" i="8" s="1"/>
  <c r="Q12" i="19"/>
  <c r="R12" i="19" s="1"/>
  <c r="R11" i="8" s="1"/>
  <c r="Q21" i="19"/>
  <c r="R21" i="19" s="1"/>
  <c r="R20" i="8" s="1"/>
  <c r="Q18" i="19"/>
  <c r="R18" i="19" s="1"/>
  <c r="R17" i="8" s="1"/>
  <c r="Q19" i="19"/>
  <c r="R19" i="19" s="1"/>
  <c r="R18" i="8" s="1"/>
  <c r="Q20" i="19"/>
  <c r="R20" i="19" s="1"/>
  <c r="R19" i="8" s="1"/>
  <c r="Q16" i="19"/>
  <c r="R16" i="19" s="1"/>
  <c r="R15" i="8" s="1"/>
  <c r="Q13" i="19"/>
  <c r="R13" i="19" s="1"/>
  <c r="R12" i="8" s="1"/>
  <c r="Q14" i="19"/>
  <c r="Q424" i="8"/>
  <c r="V424" i="8" s="1" a="1"/>
  <c r="V424" i="8" s="1"/>
  <c r="Q11" i="19"/>
  <c r="R11" i="19" s="1"/>
  <c r="R10" i="8" s="1"/>
  <c r="U193" i="13"/>
  <c r="T186" i="13"/>
  <c r="T141" i="13"/>
  <c r="T145" i="13"/>
  <c r="U151" i="13"/>
  <c r="T165" i="13"/>
  <c r="T181" i="13"/>
  <c r="T167" i="13"/>
  <c r="T215" i="13"/>
  <c r="T202" i="13"/>
  <c r="T173" i="13"/>
  <c r="T142" i="13"/>
  <c r="T189" i="13"/>
  <c r="T171" i="13"/>
  <c r="T155" i="13"/>
  <c r="U196" i="13"/>
  <c r="U138" i="13"/>
  <c r="U133" i="13"/>
  <c r="T191" i="13"/>
  <c r="T175" i="13"/>
  <c r="U153" i="13"/>
  <c r="U134" i="13"/>
  <c r="U140" i="13"/>
  <c r="T136" i="13"/>
  <c r="T205" i="13"/>
  <c r="T203" i="13"/>
  <c r="U177" i="13"/>
  <c r="T179" i="13"/>
  <c r="T149" i="13"/>
  <c r="T190" i="13"/>
  <c r="T214" i="13"/>
  <c r="U213" i="13"/>
  <c r="T211" i="13"/>
  <c r="U147" i="13"/>
  <c r="T178" i="13"/>
  <c r="T185" i="13"/>
  <c r="T209" i="13"/>
  <c r="T204" i="13"/>
  <c r="T210" i="13"/>
  <c r="T207" i="13"/>
  <c r="T194" i="13"/>
  <c r="T157" i="13"/>
  <c r="T188" i="13"/>
  <c r="T169" i="13"/>
  <c r="T135" i="13"/>
  <c r="U180" i="13"/>
  <c r="U241" i="13"/>
  <c r="U161" i="13"/>
  <c r="T184" i="13"/>
  <c r="T200" i="13"/>
  <c r="T182" i="13"/>
  <c r="T139" i="13"/>
  <c r="T183" i="13"/>
  <c r="T159" i="13"/>
  <c r="U244" i="13"/>
  <c r="U228" i="13"/>
  <c r="T225" i="13"/>
  <c r="U229" i="13"/>
  <c r="U220" i="13"/>
  <c r="T217" i="13"/>
  <c r="U322" i="13"/>
  <c r="U316" i="13"/>
  <c r="T206" i="13"/>
  <c r="T195" i="13"/>
  <c r="T212" i="13"/>
  <c r="T329" i="13"/>
  <c r="T71" i="13"/>
  <c r="U71" i="13"/>
  <c r="T73" i="13"/>
  <c r="U73" i="13"/>
  <c r="T250" i="13"/>
  <c r="U250" i="13"/>
  <c r="T269" i="13"/>
  <c r="U269" i="13"/>
  <c r="U245" i="13"/>
  <c r="T286" i="13"/>
  <c r="U324" i="13"/>
  <c r="U314" i="13"/>
  <c r="T273" i="13"/>
  <c r="U236" i="13"/>
  <c r="T233" i="13"/>
  <c r="T319" i="13"/>
  <c r="U319" i="13"/>
  <c r="T265" i="13"/>
  <c r="U265" i="13"/>
  <c r="T253" i="13"/>
  <c r="U253" i="13"/>
  <c r="U331" i="13"/>
  <c r="T331" i="13"/>
  <c r="T198" i="13"/>
  <c r="U198" i="13"/>
  <c r="T261" i="13"/>
  <c r="U261" i="13"/>
  <c r="T249" i="13"/>
  <c r="U249" i="13"/>
  <c r="T258" i="13"/>
  <c r="U258" i="13"/>
  <c r="U321" i="13"/>
  <c r="T321" i="13"/>
  <c r="U326" i="13"/>
  <c r="U318" i="13"/>
  <c r="T307" i="13"/>
  <c r="T290" i="13"/>
  <c r="T285" i="13"/>
  <c r="T279" i="13"/>
  <c r="U240" i="13"/>
  <c r="T237" i="13"/>
  <c r="U224" i="13"/>
  <c r="T221" i="13"/>
  <c r="T216" i="13"/>
  <c r="U270" i="13"/>
  <c r="T74" i="13"/>
  <c r="T305" i="13"/>
  <c r="T289" i="13"/>
  <c r="T283" i="13"/>
  <c r="T275" i="13"/>
  <c r="T70" i="13"/>
  <c r="T297" i="13"/>
  <c r="T287" i="13"/>
  <c r="T282" i="13"/>
  <c r="T274" i="13"/>
  <c r="U232" i="13"/>
  <c r="U257" i="13"/>
  <c r="U266" i="13"/>
  <c r="T313" i="13"/>
  <c r="T291" i="13"/>
  <c r="T281" i="13"/>
  <c r="T298" i="13"/>
  <c r="Q24" i="19"/>
  <c r="R24" i="19" s="1"/>
  <c r="R23" i="8" s="1"/>
  <c r="Q44" i="19"/>
  <c r="R44" i="19" s="1"/>
  <c r="R43" i="8" s="1"/>
  <c r="Q108" i="19"/>
  <c r="R108" i="19" s="1"/>
  <c r="R107" i="8" s="1"/>
  <c r="U28" i="19"/>
  <c r="T12" i="19"/>
  <c r="Q123" i="19"/>
  <c r="R123" i="19" s="1"/>
  <c r="Q143" i="19"/>
  <c r="R143" i="19" s="1"/>
  <c r="R986" i="8" s="1"/>
  <c r="Q84" i="19"/>
  <c r="R84" i="19" s="1"/>
  <c r="Q96" i="19"/>
  <c r="R96" i="19" s="1"/>
  <c r="R95" i="8" s="1"/>
  <c r="Q80" i="19"/>
  <c r="R80" i="19" s="1"/>
  <c r="Q76" i="19"/>
  <c r="R76" i="19" s="1"/>
  <c r="R75" i="8" s="1"/>
  <c r="T36" i="19"/>
  <c r="Q100" i="19"/>
  <c r="R100" i="19" s="1"/>
  <c r="Q56" i="19"/>
  <c r="R56" i="19" s="1"/>
  <c r="R55" i="8" s="1"/>
  <c r="Q68" i="19"/>
  <c r="R68" i="19" s="1"/>
  <c r="R67" i="8" s="1"/>
  <c r="Q64" i="19"/>
  <c r="R64" i="19" s="1"/>
  <c r="Q72" i="19"/>
  <c r="R72" i="19" s="1"/>
  <c r="R71" i="8" s="1"/>
  <c r="Q139" i="19"/>
  <c r="R139" i="19" s="1"/>
  <c r="R974" i="8" s="1"/>
  <c r="Q52" i="19"/>
  <c r="R52" i="19" s="1"/>
  <c r="R51" i="8" s="1"/>
  <c r="Q116" i="19"/>
  <c r="R116" i="19" s="1"/>
  <c r="R115" i="8" s="1"/>
  <c r="Q127" i="19"/>
  <c r="R127" i="19" s="1"/>
  <c r="Q88" i="19"/>
  <c r="R88" i="19" s="1"/>
  <c r="Q135" i="19"/>
  <c r="R135" i="19" s="1"/>
  <c r="R971" i="8" s="1"/>
  <c r="Q104" i="19"/>
  <c r="R104" i="19" s="1"/>
  <c r="R103" i="8" s="1"/>
  <c r="Q112" i="19"/>
  <c r="R112" i="19" s="1"/>
  <c r="R111" i="8" s="1"/>
  <c r="Q60" i="19"/>
  <c r="R60" i="19" s="1"/>
  <c r="R59" i="8" s="1"/>
  <c r="Q92" i="19"/>
  <c r="R92" i="19" s="1"/>
  <c r="R91" i="8" s="1"/>
  <c r="Q131" i="19"/>
  <c r="R131" i="19" s="1"/>
  <c r="U358" i="13"/>
  <c r="T358" i="13"/>
  <c r="U356" i="13"/>
  <c r="T356" i="13"/>
  <c r="U352" i="13"/>
  <c r="T352" i="13"/>
  <c r="U323" i="13"/>
  <c r="T323" i="13"/>
  <c r="U278" i="13"/>
  <c r="T278" i="13"/>
  <c r="U277" i="13"/>
  <c r="T277" i="13"/>
  <c r="U254" i="13"/>
  <c r="T254" i="13"/>
  <c r="U354" i="13"/>
  <c r="T354" i="13"/>
  <c r="T131" i="13"/>
  <c r="U131" i="13"/>
  <c r="U68" i="13"/>
  <c r="T68" i="13"/>
  <c r="U63" i="13"/>
  <c r="T63" i="13"/>
  <c r="U58" i="13"/>
  <c r="T58" i="13"/>
  <c r="U54" i="13"/>
  <c r="T54" i="13"/>
  <c r="U45" i="13"/>
  <c r="T45" i="13"/>
  <c r="U126" i="13"/>
  <c r="T126" i="13"/>
  <c r="U109" i="13"/>
  <c r="T109" i="13"/>
  <c r="U93" i="13"/>
  <c r="T93" i="13"/>
  <c r="U77" i="13"/>
  <c r="T77" i="13"/>
  <c r="U115" i="13"/>
  <c r="T115" i="13"/>
  <c r="U99" i="13"/>
  <c r="T99" i="13"/>
  <c r="U83" i="13"/>
  <c r="T83" i="13"/>
  <c r="U42" i="13"/>
  <c r="T42" i="13"/>
  <c r="U40" i="13"/>
  <c r="T40" i="13"/>
  <c r="U38" i="13"/>
  <c r="T38" i="13"/>
  <c r="U36" i="13"/>
  <c r="T36" i="13"/>
  <c r="U34" i="13"/>
  <c r="T34" i="13"/>
  <c r="U32" i="13"/>
  <c r="T32" i="13"/>
  <c r="T317" i="13"/>
  <c r="U317" i="13"/>
  <c r="T336" i="13"/>
  <c r="U336" i="13"/>
  <c r="U262" i="13"/>
  <c r="T262" i="13"/>
  <c r="U338" i="13"/>
  <c r="T338" i="13"/>
  <c r="U66" i="13"/>
  <c r="T66" i="13"/>
  <c r="U62" i="13"/>
  <c r="T62" i="13"/>
  <c r="U53" i="13"/>
  <c r="T53" i="13"/>
  <c r="U48" i="13"/>
  <c r="T48" i="13"/>
  <c r="U44" i="13"/>
  <c r="T44" i="13"/>
  <c r="U121" i="13"/>
  <c r="T121" i="13"/>
  <c r="U105" i="13"/>
  <c r="T105" i="13"/>
  <c r="U89" i="13"/>
  <c r="T89" i="13"/>
  <c r="U67" i="13"/>
  <c r="T67" i="13"/>
  <c r="U59" i="13"/>
  <c r="T59" i="13"/>
  <c r="U51" i="13"/>
  <c r="T51" i="13"/>
  <c r="Q43" i="13"/>
  <c r="R43" i="13" s="1"/>
  <c r="S43" i="13" s="1"/>
  <c r="Z23" i="13"/>
  <c r="Z22" i="13"/>
  <c r="Z26" i="13"/>
  <c r="U128" i="13"/>
  <c r="T128" i="13"/>
  <c r="U111" i="13"/>
  <c r="T111" i="13"/>
  <c r="U95" i="13"/>
  <c r="T95" i="13"/>
  <c r="U79" i="13"/>
  <c r="T79" i="13"/>
  <c r="U357" i="13"/>
  <c r="T357" i="13"/>
  <c r="U355" i="13"/>
  <c r="T355" i="13"/>
  <c r="U345" i="13"/>
  <c r="T345" i="13"/>
  <c r="U341" i="13"/>
  <c r="T341" i="13"/>
  <c r="U339" i="13"/>
  <c r="T339" i="13"/>
  <c r="U337" i="13"/>
  <c r="T337" i="13"/>
  <c r="U315" i="13"/>
  <c r="T315" i="13"/>
  <c r="U61" i="13"/>
  <c r="T61" i="13"/>
  <c r="U56" i="13"/>
  <c r="T56" i="13"/>
  <c r="U52" i="13"/>
  <c r="T52" i="13"/>
  <c r="U47" i="13"/>
  <c r="T47" i="13"/>
  <c r="U117" i="13"/>
  <c r="T117" i="13"/>
  <c r="U101" i="13"/>
  <c r="T101" i="13"/>
  <c r="U85" i="13"/>
  <c r="T85" i="13"/>
  <c r="U123" i="13"/>
  <c r="T123" i="13"/>
  <c r="U107" i="13"/>
  <c r="T107" i="13"/>
  <c r="U91" i="13"/>
  <c r="T91" i="13"/>
  <c r="U75" i="13"/>
  <c r="T75" i="13"/>
  <c r="U41" i="13"/>
  <c r="T41" i="13"/>
  <c r="U39" i="13"/>
  <c r="T39" i="13"/>
  <c r="U37" i="13"/>
  <c r="T37" i="13"/>
  <c r="U35" i="13"/>
  <c r="T35" i="13"/>
  <c r="U33" i="13"/>
  <c r="T33" i="13"/>
  <c r="U31" i="13"/>
  <c r="U2" i="13"/>
  <c r="U3" i="13" s="1"/>
  <c r="T31" i="13"/>
  <c r="U325" i="13"/>
  <c r="T325" i="13"/>
  <c r="U328" i="13"/>
  <c r="T328" i="13"/>
  <c r="U64" i="13"/>
  <c r="T64" i="13"/>
  <c r="U60" i="13"/>
  <c r="T60" i="13"/>
  <c r="U55" i="13"/>
  <c r="T55" i="13"/>
  <c r="U50" i="13"/>
  <c r="T50" i="13"/>
  <c r="U46" i="13"/>
  <c r="T46" i="13"/>
  <c r="T69" i="13"/>
  <c r="U69" i="13"/>
  <c r="U113" i="13"/>
  <c r="T113" i="13"/>
  <c r="U97" i="13"/>
  <c r="T97" i="13"/>
  <c r="U81" i="13"/>
  <c r="T81" i="13"/>
  <c r="U119" i="13"/>
  <c r="T119" i="13"/>
  <c r="U103" i="13"/>
  <c r="T103" i="13"/>
  <c r="U87" i="13"/>
  <c r="T87" i="13"/>
  <c r="U361" i="13"/>
  <c r="T361" i="13"/>
  <c r="T330" i="13"/>
  <c r="U330" i="13"/>
  <c r="T299" i="13"/>
  <c r="T300" i="13"/>
  <c r="U201" i="13"/>
  <c r="T201" i="13"/>
  <c r="U170" i="13"/>
  <c r="T170" i="13"/>
  <c r="U162" i="13"/>
  <c r="T162" i="13"/>
  <c r="U154" i="13"/>
  <c r="T154" i="13"/>
  <c r="U146" i="13"/>
  <c r="T146" i="13"/>
  <c r="U172" i="13"/>
  <c r="T172" i="13"/>
  <c r="U164" i="13"/>
  <c r="T164" i="13"/>
  <c r="U156" i="13"/>
  <c r="T156" i="13"/>
  <c r="U148" i="13"/>
  <c r="T148" i="13"/>
  <c r="U365" i="13"/>
  <c r="T365" i="13"/>
  <c r="U349" i="13"/>
  <c r="T349" i="13"/>
  <c r="U364" i="13"/>
  <c r="T364" i="13"/>
  <c r="U344" i="13"/>
  <c r="T344" i="13"/>
  <c r="U340" i="13"/>
  <c r="T340" i="13"/>
  <c r="U327" i="13"/>
  <c r="T320" i="13"/>
  <c r="T271" i="13"/>
  <c r="T312" i="13"/>
  <c r="T296" i="13"/>
  <c r="T246" i="13"/>
  <c r="T242" i="13"/>
  <c r="T238" i="13"/>
  <c r="T234" i="13"/>
  <c r="T230" i="13"/>
  <c r="T226" i="13"/>
  <c r="T222" i="13"/>
  <c r="T218" i="13"/>
  <c r="T310" i="13"/>
  <c r="T294" i="13"/>
  <c r="U199" i="13"/>
  <c r="T199" i="13"/>
  <c r="T65" i="13"/>
  <c r="T57" i="13"/>
  <c r="T49" i="13"/>
  <c r="Z14" i="13"/>
  <c r="W2" i="13"/>
  <c r="Z17" i="13"/>
  <c r="Z27" i="13"/>
  <c r="Z16" i="13"/>
  <c r="U369" i="13"/>
  <c r="T369" i="13"/>
  <c r="U332" i="13"/>
  <c r="T332" i="13"/>
  <c r="U363" i="13"/>
  <c r="T363" i="13"/>
  <c r="U347" i="13"/>
  <c r="T347" i="13"/>
  <c r="T335" i="13"/>
  <c r="U335" i="13"/>
  <c r="T311" i="13"/>
  <c r="T303" i="13"/>
  <c r="T295" i="13"/>
  <c r="T308" i="13"/>
  <c r="T292" i="13"/>
  <c r="T267" i="13"/>
  <c r="T263" i="13"/>
  <c r="T259" i="13"/>
  <c r="T255" i="13"/>
  <c r="T251" i="13"/>
  <c r="T268" i="13"/>
  <c r="T264" i="13"/>
  <c r="T260" i="13"/>
  <c r="T256" i="13"/>
  <c r="T252" i="13"/>
  <c r="T248" i="13"/>
  <c r="T247" i="13"/>
  <c r="T243" i="13"/>
  <c r="T239" i="13"/>
  <c r="T235" i="13"/>
  <c r="T231" i="13"/>
  <c r="T227" i="13"/>
  <c r="T223" i="13"/>
  <c r="T219" i="13"/>
  <c r="T306" i="13"/>
  <c r="U197" i="13"/>
  <c r="T197" i="13"/>
  <c r="U174" i="13"/>
  <c r="T174" i="13"/>
  <c r="U166" i="13"/>
  <c r="T166" i="13"/>
  <c r="U158" i="13"/>
  <c r="T158" i="13"/>
  <c r="U150" i="13"/>
  <c r="T150" i="13"/>
  <c r="U168" i="13"/>
  <c r="T168" i="13"/>
  <c r="U160" i="13"/>
  <c r="T160" i="13"/>
  <c r="U152" i="13"/>
  <c r="T152" i="13"/>
  <c r="U144" i="13"/>
  <c r="T144" i="13"/>
  <c r="T129" i="13"/>
  <c r="T127" i="13"/>
  <c r="T125" i="13"/>
  <c r="T130" i="13"/>
  <c r="T122" i="13"/>
  <c r="T118" i="13"/>
  <c r="T114" i="13"/>
  <c r="T110" i="13"/>
  <c r="T106" i="13"/>
  <c r="T102" i="13"/>
  <c r="T98" i="13"/>
  <c r="T94" i="13"/>
  <c r="T90" i="13"/>
  <c r="T86" i="13"/>
  <c r="T82" i="13"/>
  <c r="T78" i="13"/>
  <c r="Z13" i="13"/>
  <c r="T124" i="13"/>
  <c r="T120" i="13"/>
  <c r="T116" i="13"/>
  <c r="T112" i="13"/>
  <c r="T108" i="13"/>
  <c r="T104" i="13"/>
  <c r="T100" i="13"/>
  <c r="T96" i="13"/>
  <c r="T92" i="13"/>
  <c r="T88" i="13"/>
  <c r="T84" i="13"/>
  <c r="T80" i="13"/>
  <c r="T76" i="13"/>
  <c r="Z21" i="13"/>
  <c r="Z15" i="13"/>
  <c r="U353" i="13"/>
  <c r="T353" i="13"/>
  <c r="U368" i="13"/>
  <c r="T368" i="13"/>
  <c r="U360" i="13"/>
  <c r="T360" i="13"/>
  <c r="U348" i="13"/>
  <c r="T348" i="13"/>
  <c r="U367" i="13"/>
  <c r="T367" i="13"/>
  <c r="U359" i="13"/>
  <c r="T359" i="13"/>
  <c r="U351" i="13"/>
  <c r="T351" i="13"/>
  <c r="U343" i="13"/>
  <c r="T343" i="13"/>
  <c r="U366" i="13"/>
  <c r="T366" i="13"/>
  <c r="U362" i="13"/>
  <c r="T362" i="13"/>
  <c r="U350" i="13"/>
  <c r="T350" i="13"/>
  <c r="U346" i="13"/>
  <c r="T346" i="13"/>
  <c r="U342" i="13"/>
  <c r="T342" i="13"/>
  <c r="T333" i="13"/>
  <c r="U333" i="13"/>
  <c r="T334" i="13"/>
  <c r="U334" i="13"/>
  <c r="T309" i="13"/>
  <c r="T301" i="13"/>
  <c r="T293" i="13"/>
  <c r="T288" i="13"/>
  <c r="T284" i="13"/>
  <c r="T280" i="13"/>
  <c r="T276" i="13"/>
  <c r="T304" i="13"/>
  <c r="T272" i="13"/>
  <c r="T302" i="13"/>
  <c r="T72" i="13"/>
  <c r="Z18" i="13"/>
  <c r="Z19" i="13"/>
  <c r="Z25" i="13"/>
  <c r="Z20" i="13"/>
  <c r="Z24" i="13"/>
  <c r="Q7" i="8" l="1"/>
  <c r="R431" i="8"/>
  <c r="R82" i="8"/>
  <c r="R983" i="8"/>
  <c r="R99" i="8"/>
  <c r="R426" i="8"/>
  <c r="R63" i="8"/>
  <c r="R299" i="8"/>
  <c r="R83" i="8"/>
  <c r="R429" i="8"/>
  <c r="R69" i="8"/>
  <c r="R432" i="8"/>
  <c r="R86" i="8"/>
  <c r="R425" i="8"/>
  <c r="R41" i="8"/>
  <c r="R428" i="8"/>
  <c r="R66" i="8"/>
  <c r="R433" i="8"/>
  <c r="R87" i="8"/>
  <c r="R297" i="8"/>
  <c r="R79" i="8"/>
  <c r="R430" i="8"/>
  <c r="R70" i="8"/>
  <c r="R298" i="8"/>
  <c r="R424" i="8"/>
  <c r="R14" i="19"/>
  <c r="R13" i="8" s="1"/>
  <c r="R336" i="8"/>
  <c r="S160" i="19"/>
  <c r="S988" i="8" s="1"/>
  <c r="S323" i="19"/>
  <c r="S322" i="8" s="1"/>
  <c r="R322" i="8"/>
  <c r="R363" i="8"/>
  <c r="S364" i="19"/>
  <c r="S363" i="8" s="1"/>
  <c r="R331" i="8"/>
  <c r="S332" i="19"/>
  <c r="S331" i="8" s="1"/>
  <c r="S355" i="19"/>
  <c r="S354" i="8" s="1"/>
  <c r="R354" i="8"/>
  <c r="R361" i="8"/>
  <c r="S362" i="19"/>
  <c r="S361" i="8" s="1"/>
  <c r="R317" i="8"/>
  <c r="S318" i="19"/>
  <c r="S307" i="19"/>
  <c r="R306" i="8"/>
  <c r="S239" i="19"/>
  <c r="S600" i="8" s="1"/>
  <c r="R600" i="8"/>
  <c r="R525" i="8"/>
  <c r="S179" i="19"/>
  <c r="S286" i="19"/>
  <c r="S933" i="8" s="1"/>
  <c r="R933" i="8"/>
  <c r="S238" i="19"/>
  <c r="S597" i="8" s="1"/>
  <c r="R597" i="8"/>
  <c r="S154" i="19"/>
  <c r="S153" i="8" s="1"/>
  <c r="R153" i="8"/>
  <c r="S284" i="19"/>
  <c r="R931" i="8"/>
  <c r="S240" i="19"/>
  <c r="S601" i="8" s="1"/>
  <c r="R601" i="8"/>
  <c r="S208" i="19"/>
  <c r="S207" i="8" s="1"/>
  <c r="R207" i="8"/>
  <c r="S176" i="19"/>
  <c r="S175" i="8" s="1"/>
  <c r="R175" i="8"/>
  <c r="S144" i="19"/>
  <c r="S979" i="8" s="1"/>
  <c r="R979" i="8"/>
  <c r="S271" i="19"/>
  <c r="R270" i="8"/>
  <c r="S195" i="19"/>
  <c r="R194" i="8"/>
  <c r="S155" i="19"/>
  <c r="R154" i="8"/>
  <c r="S258" i="19"/>
  <c r="S257" i="8" s="1"/>
  <c r="R257" i="8"/>
  <c r="S194" i="19"/>
  <c r="S193" i="8" s="1"/>
  <c r="R193" i="8"/>
  <c r="S305" i="19"/>
  <c r="S304" i="8" s="1"/>
  <c r="R304" i="8"/>
  <c r="S273" i="19"/>
  <c r="S607" i="8" s="1"/>
  <c r="R607" i="8"/>
  <c r="S241" i="19"/>
  <c r="S603" i="8" s="1"/>
  <c r="R603" i="8"/>
  <c r="S209" i="19"/>
  <c r="R208" i="8"/>
  <c r="S177" i="19"/>
  <c r="S176" i="8" s="1"/>
  <c r="R176" i="8"/>
  <c r="S149" i="19"/>
  <c r="R343" i="8"/>
  <c r="S344" i="19"/>
  <c r="S312" i="19"/>
  <c r="S311" i="8" s="1"/>
  <c r="R311" i="8"/>
  <c r="S335" i="19"/>
  <c r="R334" i="8"/>
  <c r="S358" i="19"/>
  <c r="S357" i="8" s="1"/>
  <c r="R357" i="8"/>
  <c r="S330" i="19"/>
  <c r="S329" i="8" s="1"/>
  <c r="R329" i="8"/>
  <c r="R348" i="8"/>
  <c r="S349" i="19"/>
  <c r="S348" i="8" s="1"/>
  <c r="S299" i="19"/>
  <c r="R943" i="8"/>
  <c r="S235" i="19"/>
  <c r="S234" i="8" s="1"/>
  <c r="R234" i="8"/>
  <c r="S167" i="19"/>
  <c r="R1055" i="8"/>
  <c r="S278" i="19"/>
  <c r="S612" i="8" s="1"/>
  <c r="R612" i="8"/>
  <c r="S230" i="19"/>
  <c r="S300" i="8" s="1"/>
  <c r="R300" i="8"/>
  <c r="S146" i="19"/>
  <c r="S987" i="8" s="1"/>
  <c r="R987" i="8"/>
  <c r="S280" i="19"/>
  <c r="R927" i="8"/>
  <c r="S252" i="19"/>
  <c r="S251" i="8" s="1"/>
  <c r="R251" i="8"/>
  <c r="S220" i="19"/>
  <c r="S537" i="8" s="1"/>
  <c r="R537" i="8"/>
  <c r="S188" i="19"/>
  <c r="S529" i="8" s="1"/>
  <c r="R529" i="8"/>
  <c r="R155" i="8"/>
  <c r="S156" i="19"/>
  <c r="S155" i="8" s="1"/>
  <c r="R258" i="8"/>
  <c r="S259" i="19"/>
  <c r="S258" i="8" s="1"/>
  <c r="S187" i="19"/>
  <c r="R186" i="8"/>
  <c r="S151" i="19"/>
  <c r="S242" i="19"/>
  <c r="S604" i="8" s="1"/>
  <c r="R604" i="8"/>
  <c r="S190" i="19"/>
  <c r="S531" i="8" s="1"/>
  <c r="R531" i="8"/>
  <c r="S301" i="19"/>
  <c r="S965" i="8" s="1"/>
  <c r="R965" i="8"/>
  <c r="S269" i="19"/>
  <c r="S268" i="8" s="1"/>
  <c r="R268" i="8"/>
  <c r="S237" i="19"/>
  <c r="S596" i="8" s="1"/>
  <c r="R596" i="8"/>
  <c r="S205" i="19"/>
  <c r="R204" i="8"/>
  <c r="S173" i="19"/>
  <c r="S172" i="8" s="1"/>
  <c r="R172" i="8"/>
  <c r="S145" i="19"/>
  <c r="S980" i="8" s="1"/>
  <c r="R980" i="8"/>
  <c r="R339" i="8"/>
  <c r="S340" i="19"/>
  <c r="S339" i="8" s="1"/>
  <c r="R362" i="8"/>
  <c r="S363" i="19"/>
  <c r="S362" i="8" s="1"/>
  <c r="S331" i="19"/>
  <c r="S330" i="8" s="1"/>
  <c r="R330" i="8"/>
  <c r="R353" i="8"/>
  <c r="S354" i="19"/>
  <c r="S353" i="8" s="1"/>
  <c r="S326" i="19"/>
  <c r="S325" i="8" s="1"/>
  <c r="R325" i="8"/>
  <c r="R344" i="8"/>
  <c r="S345" i="19"/>
  <c r="S344" i="8" s="1"/>
  <c r="R316" i="8"/>
  <c r="S317" i="19"/>
  <c r="S316" i="8" s="1"/>
  <c r="S255" i="19"/>
  <c r="S199" i="19"/>
  <c r="R198" i="8"/>
  <c r="S274" i="19"/>
  <c r="S608" i="8" s="1"/>
  <c r="R608" i="8"/>
  <c r="S222" i="19"/>
  <c r="S539" i="8" s="1"/>
  <c r="R539" i="8"/>
  <c r="R307" i="8"/>
  <c r="S308" i="19"/>
  <c r="S276" i="19"/>
  <c r="R610" i="8"/>
  <c r="S248" i="19"/>
  <c r="S247" i="8" s="1"/>
  <c r="R247" i="8"/>
  <c r="S216" i="19"/>
  <c r="R533" i="8"/>
  <c r="S184" i="19"/>
  <c r="S183" i="8" s="1"/>
  <c r="R183" i="8"/>
  <c r="S152" i="19"/>
  <c r="S251" i="19"/>
  <c r="S250" i="8" s="1"/>
  <c r="R250" i="8"/>
  <c r="S163" i="19"/>
  <c r="R1025" i="8"/>
  <c r="S282" i="19"/>
  <c r="S929" i="8" s="1"/>
  <c r="R929" i="8"/>
  <c r="S206" i="19"/>
  <c r="R205" i="8"/>
  <c r="S158" i="19"/>
  <c r="S157" i="8" s="1"/>
  <c r="R157" i="8"/>
  <c r="S281" i="19"/>
  <c r="S928" i="8" s="1"/>
  <c r="R928" i="8"/>
  <c r="S249" i="19"/>
  <c r="S248" i="8" s="1"/>
  <c r="R248" i="8"/>
  <c r="S217" i="19"/>
  <c r="R534" i="8"/>
  <c r="S185" i="19"/>
  <c r="S184" i="8" s="1"/>
  <c r="R184" i="8"/>
  <c r="S352" i="19"/>
  <c r="R351" i="8"/>
  <c r="S320" i="19"/>
  <c r="S319" i="8" s="1"/>
  <c r="R319" i="8"/>
  <c r="S343" i="19"/>
  <c r="S342" i="8" s="1"/>
  <c r="R342" i="8"/>
  <c r="S311" i="19"/>
  <c r="S334" i="19"/>
  <c r="R333" i="8"/>
  <c r="R356" i="8"/>
  <c r="S357" i="19"/>
  <c r="S356" i="8" s="1"/>
  <c r="S329" i="19"/>
  <c r="S328" i="8" s="1"/>
  <c r="R328" i="8"/>
  <c r="R609" i="8"/>
  <c r="S219" i="19"/>
  <c r="S536" i="8" s="1"/>
  <c r="R536" i="8"/>
  <c r="S290" i="19"/>
  <c r="S937" i="8" s="1"/>
  <c r="R937" i="8"/>
  <c r="S246" i="19"/>
  <c r="S245" i="8" s="1"/>
  <c r="R245" i="8"/>
  <c r="S166" i="19"/>
  <c r="S1053" i="8" s="1"/>
  <c r="R1053" i="8"/>
  <c r="S288" i="19"/>
  <c r="R935" i="8"/>
  <c r="R259" i="8"/>
  <c r="S260" i="19"/>
  <c r="R227" i="8"/>
  <c r="S228" i="19"/>
  <c r="S227" i="8" s="1"/>
  <c r="S196" i="19"/>
  <c r="S195" i="8" s="1"/>
  <c r="R195" i="8"/>
  <c r="S164" i="19"/>
  <c r="S1052" i="8" s="1"/>
  <c r="R1052" i="8"/>
  <c r="S303" i="19"/>
  <c r="R302" i="8"/>
  <c r="S243" i="19"/>
  <c r="S605" i="8" s="1"/>
  <c r="R605" i="8"/>
  <c r="S183" i="19"/>
  <c r="R182" i="8"/>
  <c r="S270" i="19"/>
  <c r="S269" i="8" s="1"/>
  <c r="R269" i="8"/>
  <c r="S202" i="19"/>
  <c r="S201" i="8" s="1"/>
  <c r="R201" i="8"/>
  <c r="S150" i="19"/>
  <c r="S293" i="19"/>
  <c r="S940" i="8" s="1"/>
  <c r="R940" i="8"/>
  <c r="S261" i="19"/>
  <c r="S260" i="8" s="1"/>
  <c r="R260" i="8"/>
  <c r="S229" i="19"/>
  <c r="S228" i="8" s="1"/>
  <c r="R228" i="8"/>
  <c r="S197" i="19"/>
  <c r="S196" i="8" s="1"/>
  <c r="R196" i="8"/>
  <c r="S165" i="19"/>
  <c r="S524" i="8" s="1"/>
  <c r="R524" i="8"/>
  <c r="R347" i="8"/>
  <c r="S348" i="19"/>
  <c r="R315" i="8"/>
  <c r="S316" i="19"/>
  <c r="R338" i="8"/>
  <c r="S339" i="19"/>
  <c r="S346" i="19"/>
  <c r="S345" i="8" s="1"/>
  <c r="R345" i="8"/>
  <c r="S353" i="19"/>
  <c r="S352" i="8" s="1"/>
  <c r="R352" i="8"/>
  <c r="R324" i="8"/>
  <c r="S325" i="19"/>
  <c r="S324" i="8" s="1"/>
  <c r="S267" i="19"/>
  <c r="R266" i="8"/>
  <c r="S215" i="19"/>
  <c r="S214" i="8" s="1"/>
  <c r="R214" i="8"/>
  <c r="S306" i="19"/>
  <c r="S305" i="8" s="1"/>
  <c r="R305" i="8"/>
  <c r="S262" i="19"/>
  <c r="S261" i="8" s="1"/>
  <c r="R261" i="8"/>
  <c r="S198" i="19"/>
  <c r="S197" i="8" s="1"/>
  <c r="R197" i="8"/>
  <c r="S300" i="19"/>
  <c r="R959" i="8"/>
  <c r="S256" i="19"/>
  <c r="R255" i="8"/>
  <c r="S224" i="19"/>
  <c r="S223" i="8" s="1"/>
  <c r="R223" i="8"/>
  <c r="S192" i="19"/>
  <c r="S191" i="8" s="1"/>
  <c r="R191" i="8"/>
  <c r="S295" i="19"/>
  <c r="R294" i="8"/>
  <c r="S231" i="19"/>
  <c r="S541" i="8" s="1"/>
  <c r="R541" i="8"/>
  <c r="S175" i="19"/>
  <c r="R174" i="8"/>
  <c r="S310" i="19"/>
  <c r="S309" i="8" s="1"/>
  <c r="R309" i="8"/>
  <c r="S218" i="19"/>
  <c r="S535" i="8" s="1"/>
  <c r="R535" i="8"/>
  <c r="S170" i="19"/>
  <c r="S169" i="8" s="1"/>
  <c r="R169" i="8"/>
  <c r="S289" i="19"/>
  <c r="S936" i="8" s="1"/>
  <c r="S257" i="19"/>
  <c r="S256" i="8" s="1"/>
  <c r="R256" i="8"/>
  <c r="S225" i="19"/>
  <c r="S224" i="8" s="1"/>
  <c r="R224" i="8"/>
  <c r="S193" i="19"/>
  <c r="S192" i="8" s="1"/>
  <c r="R192" i="8"/>
  <c r="S161" i="19"/>
  <c r="S989" i="8" s="1"/>
  <c r="R989" i="8"/>
  <c r="R359" i="8"/>
  <c r="S360" i="19"/>
  <c r="S359" i="8" s="1"/>
  <c r="R327" i="8"/>
  <c r="S328" i="19"/>
  <c r="S351" i="19"/>
  <c r="S350" i="8" s="1"/>
  <c r="R350" i="8"/>
  <c r="R318" i="8"/>
  <c r="S319" i="19"/>
  <c r="S342" i="19"/>
  <c r="S341" i="8" s="1"/>
  <c r="R341" i="8"/>
  <c r="S314" i="19"/>
  <c r="R313" i="8"/>
  <c r="S321" i="19"/>
  <c r="S320" i="8" s="1"/>
  <c r="R320" i="8"/>
  <c r="S263" i="19"/>
  <c r="R262" i="8"/>
  <c r="S207" i="19"/>
  <c r="S206" i="8" s="1"/>
  <c r="R206" i="8"/>
  <c r="S302" i="19"/>
  <c r="S301" i="8" s="1"/>
  <c r="R301" i="8"/>
  <c r="S254" i="19"/>
  <c r="R253" i="8"/>
  <c r="S186" i="19"/>
  <c r="S185" i="8" s="1"/>
  <c r="R185" i="8"/>
  <c r="S296" i="19"/>
  <c r="R295" i="8"/>
  <c r="S268" i="19"/>
  <c r="R267" i="8"/>
  <c r="S236" i="19"/>
  <c r="S235" i="8" s="1"/>
  <c r="R235" i="8"/>
  <c r="S204" i="19"/>
  <c r="R203" i="8"/>
  <c r="S172" i="19"/>
  <c r="S171" i="8" s="1"/>
  <c r="R171" i="8"/>
  <c r="S291" i="19"/>
  <c r="R938" i="8"/>
  <c r="S223" i="19"/>
  <c r="S540" i="8" s="1"/>
  <c r="R540" i="8"/>
  <c r="S171" i="19"/>
  <c r="R170" i="8"/>
  <c r="S298" i="19"/>
  <c r="S942" i="8" s="1"/>
  <c r="R942" i="8"/>
  <c r="S214" i="19"/>
  <c r="R213" i="8"/>
  <c r="S162" i="19"/>
  <c r="S523" i="8" s="1"/>
  <c r="R523" i="8"/>
  <c r="S285" i="19"/>
  <c r="S932" i="8" s="1"/>
  <c r="R932" i="8"/>
  <c r="S253" i="19"/>
  <c r="S252" i="8" s="1"/>
  <c r="R252" i="8"/>
  <c r="S221" i="19"/>
  <c r="S538" i="8" s="1"/>
  <c r="R538" i="8"/>
  <c r="S189" i="19"/>
  <c r="S530" i="8" s="1"/>
  <c r="R530" i="8"/>
  <c r="S157" i="19"/>
  <c r="S156" i="8" s="1"/>
  <c r="R156" i="8"/>
  <c r="R355" i="8"/>
  <c r="S356" i="19"/>
  <c r="S355" i="8" s="1"/>
  <c r="R323" i="8"/>
  <c r="S324" i="19"/>
  <c r="S323" i="8" s="1"/>
  <c r="R346" i="8"/>
  <c r="S347" i="19"/>
  <c r="S346" i="8" s="1"/>
  <c r="S315" i="19"/>
  <c r="S314" i="8" s="1"/>
  <c r="R314" i="8"/>
  <c r="R337" i="8"/>
  <c r="S338" i="19"/>
  <c r="S337" i="8" s="1"/>
  <c r="S361" i="19"/>
  <c r="S360" i="8" s="1"/>
  <c r="R360" i="8"/>
  <c r="R332" i="8"/>
  <c r="S333" i="19"/>
  <c r="S332" i="8" s="1"/>
  <c r="R934" i="8"/>
  <c r="S287" i="19"/>
  <c r="S227" i="19"/>
  <c r="S226" i="8" s="1"/>
  <c r="R226" i="8"/>
  <c r="S294" i="19"/>
  <c r="S293" i="8" s="1"/>
  <c r="R293" i="8"/>
  <c r="R249" i="8"/>
  <c r="S250" i="19"/>
  <c r="S249" i="8" s="1"/>
  <c r="S174" i="19"/>
  <c r="S173" i="8" s="1"/>
  <c r="R173" i="8"/>
  <c r="S292" i="19"/>
  <c r="R939" i="8"/>
  <c r="S264" i="19"/>
  <c r="R263" i="8"/>
  <c r="S232" i="19"/>
  <c r="S542" i="8" s="1"/>
  <c r="R542" i="8"/>
  <c r="S200" i="19"/>
  <c r="S199" i="8" s="1"/>
  <c r="R199" i="8"/>
  <c r="S168" i="19"/>
  <c r="S1056" i="8" s="1"/>
  <c r="R1056" i="8"/>
  <c r="S283" i="19"/>
  <c r="R930" i="8"/>
  <c r="S211" i="19"/>
  <c r="S210" i="8" s="1"/>
  <c r="R210" i="8"/>
  <c r="R981" i="8"/>
  <c r="S147" i="19"/>
  <c r="S234" i="19"/>
  <c r="S593" i="8" s="1"/>
  <c r="R593" i="8"/>
  <c r="S182" i="19"/>
  <c r="S528" i="8" s="1"/>
  <c r="R528" i="8"/>
  <c r="S297" i="19"/>
  <c r="S941" i="8" s="1"/>
  <c r="R941" i="8"/>
  <c r="S265" i="19"/>
  <c r="S264" i="8" s="1"/>
  <c r="R264" i="8"/>
  <c r="S233" i="19"/>
  <c r="S592" i="8" s="1"/>
  <c r="R592" i="8"/>
  <c r="S201" i="19"/>
  <c r="S169" i="19"/>
  <c r="S168" i="8" s="1"/>
  <c r="R168" i="8"/>
  <c r="S336" i="19"/>
  <c r="S335" i="8" s="1"/>
  <c r="R335" i="8"/>
  <c r="S359" i="19"/>
  <c r="S358" i="8" s="1"/>
  <c r="R358" i="8"/>
  <c r="S327" i="19"/>
  <c r="S326" i="8" s="1"/>
  <c r="R326" i="8"/>
  <c r="S350" i="19"/>
  <c r="S349" i="8" s="1"/>
  <c r="R349" i="8"/>
  <c r="S322" i="19"/>
  <c r="R321" i="8"/>
  <c r="S341" i="19"/>
  <c r="S340" i="8" s="1"/>
  <c r="R340" i="8"/>
  <c r="R312" i="8"/>
  <c r="S313" i="19"/>
  <c r="S312" i="8" s="1"/>
  <c r="S247" i="19"/>
  <c r="S246" i="8" s="1"/>
  <c r="R246" i="8"/>
  <c r="S191" i="19"/>
  <c r="R532" i="8"/>
  <c r="S266" i="19"/>
  <c r="S265" i="8" s="1"/>
  <c r="R265" i="8"/>
  <c r="S210" i="19"/>
  <c r="R209" i="8"/>
  <c r="S304" i="19"/>
  <c r="R303" i="8"/>
  <c r="S272" i="19"/>
  <c r="R271" i="8"/>
  <c r="S244" i="19"/>
  <c r="S606" i="8" s="1"/>
  <c r="R606" i="8"/>
  <c r="S212" i="19"/>
  <c r="S211" i="8" s="1"/>
  <c r="R211" i="8"/>
  <c r="S180" i="19"/>
  <c r="S526" i="8" s="1"/>
  <c r="R526" i="8"/>
  <c r="S148" i="19"/>
  <c r="S982" i="8" s="1"/>
  <c r="R982" i="8"/>
  <c r="S279" i="19"/>
  <c r="R926" i="8"/>
  <c r="S203" i="19"/>
  <c r="S202" i="8" s="1"/>
  <c r="R202" i="8"/>
  <c r="S159" i="19"/>
  <c r="R522" i="8"/>
  <c r="S226" i="19"/>
  <c r="S225" i="8" s="1"/>
  <c r="R225" i="8"/>
  <c r="S178" i="19"/>
  <c r="S177" i="8" s="1"/>
  <c r="R177" i="8"/>
  <c r="S309" i="19"/>
  <c r="S308" i="8" s="1"/>
  <c r="R308" i="8"/>
  <c r="S277" i="19"/>
  <c r="S611" i="8" s="1"/>
  <c r="R611" i="8"/>
  <c r="S245" i="19"/>
  <c r="S244" i="8" s="1"/>
  <c r="R244" i="8"/>
  <c r="S213" i="19"/>
  <c r="R212" i="8"/>
  <c r="S181" i="19"/>
  <c r="S527" i="8" s="1"/>
  <c r="R527" i="8"/>
  <c r="S153" i="19"/>
  <c r="R9" i="8"/>
  <c r="T24" i="19"/>
  <c r="U24" i="19"/>
  <c r="U44" i="19"/>
  <c r="T44" i="19"/>
  <c r="U143" i="19"/>
  <c r="T143" i="19"/>
  <c r="U131" i="19"/>
  <c r="T131" i="19"/>
  <c r="U60" i="19"/>
  <c r="T60" i="19"/>
  <c r="U104" i="19"/>
  <c r="T104" i="19"/>
  <c r="U127" i="19"/>
  <c r="T127" i="19"/>
  <c r="U52" i="19"/>
  <c r="T52" i="19"/>
  <c r="U72" i="19"/>
  <c r="T72" i="19"/>
  <c r="U56" i="19"/>
  <c r="T56" i="19"/>
  <c r="T96" i="19"/>
  <c r="U96" i="19"/>
  <c r="T80" i="19"/>
  <c r="U80" i="19"/>
  <c r="U84" i="19"/>
  <c r="T84" i="19"/>
  <c r="U123" i="19"/>
  <c r="T123" i="19"/>
  <c r="U108" i="19"/>
  <c r="T108" i="19"/>
  <c r="U76" i="19"/>
  <c r="T76" i="19"/>
  <c r="U92" i="19"/>
  <c r="T92" i="19"/>
  <c r="T112" i="19"/>
  <c r="U112" i="19"/>
  <c r="U135" i="19"/>
  <c r="T135" i="19"/>
  <c r="U88" i="19"/>
  <c r="T88" i="19"/>
  <c r="U116" i="19"/>
  <c r="T116" i="19"/>
  <c r="U139" i="19"/>
  <c r="T139" i="19"/>
  <c r="T64" i="19"/>
  <c r="U64" i="19"/>
  <c r="U68" i="19"/>
  <c r="T68" i="19"/>
  <c r="U100" i="19"/>
  <c r="T100" i="19"/>
  <c r="Z28" i="13"/>
  <c r="U43" i="13"/>
  <c r="T43" i="13"/>
  <c r="U147" i="19" l="1"/>
  <c r="S981" i="8"/>
  <c r="U287" i="19"/>
  <c r="S934" i="8"/>
  <c r="U319" i="19"/>
  <c r="S318" i="8"/>
  <c r="T328" i="19"/>
  <c r="S327" i="8"/>
  <c r="T316" i="19"/>
  <c r="S315" i="8"/>
  <c r="T260" i="19"/>
  <c r="S259" i="8"/>
  <c r="T308" i="19"/>
  <c r="S307" i="8"/>
  <c r="T255" i="19"/>
  <c r="U318" i="19"/>
  <c r="S317" i="8"/>
  <c r="T272" i="19"/>
  <c r="S271" i="8"/>
  <c r="U210" i="19"/>
  <c r="S209" i="8"/>
  <c r="U191" i="19"/>
  <c r="S532" i="8"/>
  <c r="U322" i="19"/>
  <c r="S321" i="8"/>
  <c r="U283" i="19"/>
  <c r="S930" i="8"/>
  <c r="T264" i="19"/>
  <c r="S263" i="8"/>
  <c r="U214" i="19"/>
  <c r="S213" i="8"/>
  <c r="U171" i="19"/>
  <c r="S170" i="8"/>
  <c r="U291" i="19"/>
  <c r="S938" i="8"/>
  <c r="U204" i="19"/>
  <c r="S203" i="8"/>
  <c r="T268" i="19"/>
  <c r="S267" i="8"/>
  <c r="U263" i="19"/>
  <c r="S262" i="8"/>
  <c r="U314" i="19"/>
  <c r="S313" i="8"/>
  <c r="U175" i="19"/>
  <c r="S174" i="8"/>
  <c r="U295" i="19"/>
  <c r="S294" i="8"/>
  <c r="T300" i="19"/>
  <c r="S959" i="8"/>
  <c r="U183" i="19"/>
  <c r="S182" i="8"/>
  <c r="U303" i="19"/>
  <c r="S302" i="8"/>
  <c r="U275" i="19"/>
  <c r="S609" i="8"/>
  <c r="T205" i="19"/>
  <c r="S204" i="8"/>
  <c r="U151" i="19"/>
  <c r="T209" i="19"/>
  <c r="S208" i="8"/>
  <c r="U155" i="19"/>
  <c r="S154" i="8"/>
  <c r="U271" i="19"/>
  <c r="S270" i="8"/>
  <c r="U339" i="19"/>
  <c r="S338" i="8"/>
  <c r="U348" i="19"/>
  <c r="S347" i="8"/>
  <c r="U344" i="19"/>
  <c r="S343" i="8"/>
  <c r="U179" i="19"/>
  <c r="S525" i="8"/>
  <c r="T213" i="19"/>
  <c r="S212" i="8"/>
  <c r="U159" i="19"/>
  <c r="S522" i="8"/>
  <c r="U279" i="19"/>
  <c r="S926" i="8"/>
  <c r="T304" i="19"/>
  <c r="S303" i="8"/>
  <c r="T292" i="19"/>
  <c r="S939" i="8"/>
  <c r="T296" i="19"/>
  <c r="S295" i="8"/>
  <c r="U254" i="19"/>
  <c r="S253" i="8"/>
  <c r="T256" i="19"/>
  <c r="S255" i="8"/>
  <c r="U267" i="19"/>
  <c r="S266" i="8"/>
  <c r="T288" i="19"/>
  <c r="S935" i="8"/>
  <c r="U334" i="19"/>
  <c r="S333" i="8"/>
  <c r="U352" i="19"/>
  <c r="S351" i="8"/>
  <c r="T217" i="19"/>
  <c r="S534" i="8"/>
  <c r="U206" i="19"/>
  <c r="S205" i="8"/>
  <c r="U163" i="19"/>
  <c r="S1025" i="8"/>
  <c r="U216" i="19"/>
  <c r="S533" i="8"/>
  <c r="T276" i="19"/>
  <c r="S610" i="8"/>
  <c r="U199" i="19"/>
  <c r="S198" i="8"/>
  <c r="U187" i="19"/>
  <c r="S186" i="8"/>
  <c r="T280" i="19"/>
  <c r="S927" i="8"/>
  <c r="U167" i="19"/>
  <c r="S1055" i="8"/>
  <c r="U299" i="19"/>
  <c r="S943" i="8"/>
  <c r="U335" i="19"/>
  <c r="S334" i="8"/>
  <c r="U195" i="19"/>
  <c r="S194" i="8"/>
  <c r="T284" i="19"/>
  <c r="S931" i="8"/>
  <c r="U307" i="19"/>
  <c r="S306" i="8"/>
  <c r="L10" i="2"/>
  <c r="M10" i="2"/>
  <c r="G106" i="10"/>
  <c r="I106" i="10" s="1"/>
  <c r="K106" i="10" s="1"/>
  <c r="G105" i="10"/>
  <c r="I105" i="10" s="1"/>
  <c r="K105" i="10" s="1"/>
  <c r="G104" i="10"/>
  <c r="I104" i="10" s="1"/>
  <c r="K104" i="10" s="1"/>
  <c r="G103" i="10"/>
  <c r="I103" i="10" s="1"/>
  <c r="K103" i="10" s="1"/>
  <c r="G102" i="10"/>
  <c r="I102" i="10" s="1"/>
  <c r="K102" i="10" s="1"/>
  <c r="G101" i="10"/>
  <c r="I101" i="10" s="1"/>
  <c r="K101" i="10" s="1"/>
  <c r="G100" i="10"/>
  <c r="I100" i="10" s="1"/>
  <c r="K100" i="10" s="1"/>
  <c r="G98" i="10"/>
  <c r="I98" i="10" s="1"/>
  <c r="K98" i="10" s="1"/>
  <c r="G97" i="10"/>
  <c r="I97" i="10" s="1"/>
  <c r="K97" i="10" s="1"/>
  <c r="G94" i="10"/>
  <c r="I94" i="10" s="1"/>
  <c r="G93" i="10"/>
  <c r="I93" i="10" s="1"/>
  <c r="G92" i="10"/>
  <c r="I92" i="10" s="1"/>
  <c r="G91" i="10"/>
  <c r="I91" i="10" s="1"/>
  <c r="G90" i="10"/>
  <c r="I90" i="10" s="1"/>
  <c r="I87" i="10"/>
  <c r="K87" i="10" s="1"/>
  <c r="G86" i="10"/>
  <c r="I86" i="10" s="1"/>
  <c r="G85" i="10"/>
  <c r="I85" i="10" s="1"/>
  <c r="F84" i="10"/>
  <c r="G84" i="10" s="1"/>
  <c r="I84" i="10" s="1"/>
  <c r="G83" i="10"/>
  <c r="I83" i="10" s="1"/>
  <c r="K83" i="10" s="1"/>
  <c r="G79" i="10"/>
  <c r="I79" i="10" s="1"/>
  <c r="G77" i="10"/>
  <c r="I77" i="10" s="1"/>
  <c r="G76" i="10"/>
  <c r="I76" i="10" s="1"/>
  <c r="F72" i="10"/>
  <c r="G72" i="10" s="1"/>
  <c r="I72" i="10" s="1"/>
  <c r="K72" i="10" s="1"/>
  <c r="F71" i="10"/>
  <c r="C71" i="10"/>
  <c r="F70" i="10"/>
  <c r="C70" i="10"/>
  <c r="F69" i="10"/>
  <c r="C69" i="10"/>
  <c r="F68" i="10"/>
  <c r="C68" i="10"/>
  <c r="F67" i="10"/>
  <c r="C67" i="10"/>
  <c r="F64" i="10"/>
  <c r="F63" i="10"/>
  <c r="F62" i="10"/>
  <c r="F61" i="10"/>
  <c r="F60" i="10"/>
  <c r="G60" i="10" s="1"/>
  <c r="I60" i="10" s="1"/>
  <c r="K60" i="10" s="1"/>
  <c r="F59" i="10"/>
  <c r="F58" i="10"/>
  <c r="F55" i="10"/>
  <c r="G55" i="10" s="1"/>
  <c r="I55" i="10" s="1"/>
  <c r="K55" i="10" s="1"/>
  <c r="F54" i="10"/>
  <c r="G54" i="10" s="1"/>
  <c r="I54" i="10" s="1"/>
  <c r="K54" i="10" s="1"/>
  <c r="F53" i="10"/>
  <c r="F52" i="10"/>
  <c r="F51" i="10"/>
  <c r="F50" i="10"/>
  <c r="F49" i="10"/>
  <c r="H46" i="10"/>
  <c r="H45" i="10"/>
  <c r="H44" i="10"/>
  <c r="H43" i="10"/>
  <c r="H42" i="10"/>
  <c r="I35" i="10"/>
  <c r="K35" i="10" s="1"/>
  <c r="I34" i="10"/>
  <c r="F29" i="10"/>
  <c r="G29" i="10" s="1"/>
  <c r="I29" i="10" s="1"/>
  <c r="K137" i="9"/>
  <c r="K134" i="9"/>
  <c r="G134" i="9"/>
  <c r="I134" i="9" s="1"/>
  <c r="K133" i="9"/>
  <c r="G133" i="9"/>
  <c r="I133" i="9" s="1"/>
  <c r="K132" i="9"/>
  <c r="G132" i="9"/>
  <c r="I132" i="9" s="1"/>
  <c r="K131" i="9"/>
  <c r="G131" i="9"/>
  <c r="I131" i="9" s="1"/>
  <c r="K130" i="9"/>
  <c r="K129" i="9"/>
  <c r="G129" i="9"/>
  <c r="I129" i="9" s="1"/>
  <c r="K128" i="9"/>
  <c r="G128" i="9"/>
  <c r="I128" i="9" s="1"/>
  <c r="K127" i="9"/>
  <c r="K126" i="9"/>
  <c r="G126" i="9"/>
  <c r="I126" i="9" s="1"/>
  <c r="K125" i="9"/>
  <c r="G125" i="9"/>
  <c r="I125" i="9" s="1"/>
  <c r="K122" i="9"/>
  <c r="G122" i="9"/>
  <c r="I122" i="9" s="1"/>
  <c r="K121" i="9"/>
  <c r="G121" i="9"/>
  <c r="I121" i="9" s="1"/>
  <c r="K120" i="9"/>
  <c r="G120" i="9"/>
  <c r="I120" i="9" s="1"/>
  <c r="K119" i="9"/>
  <c r="G119" i="9"/>
  <c r="I119" i="9" s="1"/>
  <c r="K118" i="9"/>
  <c r="G118" i="9"/>
  <c r="I118" i="9" s="1"/>
  <c r="K115" i="9"/>
  <c r="I115" i="9"/>
  <c r="K114" i="9"/>
  <c r="G114" i="9"/>
  <c r="I114" i="9" s="1"/>
  <c r="K113" i="9"/>
  <c r="G113" i="9"/>
  <c r="I113" i="9" s="1"/>
  <c r="K112" i="9"/>
  <c r="F112" i="9"/>
  <c r="G112" i="9" s="1"/>
  <c r="I112" i="9" s="1"/>
  <c r="K111" i="9"/>
  <c r="G111" i="9"/>
  <c r="I111" i="9" s="1"/>
  <c r="K110" i="9"/>
  <c r="K107" i="9"/>
  <c r="G107" i="9"/>
  <c r="I107" i="9" s="1"/>
  <c r="K106" i="9"/>
  <c r="K105" i="9"/>
  <c r="G105" i="9"/>
  <c r="I105" i="9" s="1"/>
  <c r="K104" i="9"/>
  <c r="G104" i="9"/>
  <c r="I104" i="9" s="1"/>
  <c r="K103" i="9"/>
  <c r="K100" i="9"/>
  <c r="F100" i="9"/>
  <c r="G100" i="9" s="1"/>
  <c r="I100" i="9" s="1"/>
  <c r="K99" i="9"/>
  <c r="F99" i="9"/>
  <c r="G99" i="9" s="1"/>
  <c r="I99" i="9" s="1"/>
  <c r="K98" i="9"/>
  <c r="F98" i="9"/>
  <c r="G98" i="9" s="1"/>
  <c r="I98" i="9" s="1"/>
  <c r="K97" i="9"/>
  <c r="F97" i="9"/>
  <c r="G97" i="9" s="1"/>
  <c r="I97" i="9" s="1"/>
  <c r="K96" i="9"/>
  <c r="F96" i="9"/>
  <c r="G96" i="9" s="1"/>
  <c r="I96" i="9" s="1"/>
  <c r="K95" i="9"/>
  <c r="F95" i="9"/>
  <c r="G95" i="9" s="1"/>
  <c r="I95" i="9" s="1"/>
  <c r="K94" i="9"/>
  <c r="F94" i="9"/>
  <c r="K93" i="9"/>
  <c r="F93" i="9"/>
  <c r="K92" i="9"/>
  <c r="F92" i="9"/>
  <c r="G92" i="9" s="1"/>
  <c r="I92" i="9" s="1"/>
  <c r="K91" i="9"/>
  <c r="F91" i="9"/>
  <c r="K90" i="9"/>
  <c r="K86" i="9"/>
  <c r="K85" i="9"/>
  <c r="K84" i="9"/>
  <c r="K83" i="9"/>
  <c r="C83" i="9"/>
  <c r="K82" i="9"/>
  <c r="C82" i="9"/>
  <c r="K81" i="9"/>
  <c r="K80" i="9"/>
  <c r="K79" i="9"/>
  <c r="K78" i="9"/>
  <c r="K75" i="9"/>
  <c r="F75" i="9"/>
  <c r="G75" i="9" s="1"/>
  <c r="I75" i="9" s="1"/>
  <c r="K74" i="9"/>
  <c r="F74" i="9"/>
  <c r="G74" i="9" s="1"/>
  <c r="I74" i="9" s="1"/>
  <c r="K73" i="9"/>
  <c r="F73" i="9"/>
  <c r="G73" i="9" s="1"/>
  <c r="I73" i="9" s="1"/>
  <c r="K72" i="9"/>
  <c r="F72" i="9"/>
  <c r="G72" i="9" s="1"/>
  <c r="I72" i="9" s="1"/>
  <c r="K71" i="9"/>
  <c r="F71" i="9"/>
  <c r="C71" i="9"/>
  <c r="K70" i="9"/>
  <c r="F70" i="9"/>
  <c r="C70" i="9"/>
  <c r="K69" i="9"/>
  <c r="F69" i="9"/>
  <c r="G69" i="9" s="1"/>
  <c r="I69" i="9" s="1"/>
  <c r="K68" i="9"/>
  <c r="F68" i="9"/>
  <c r="G68" i="9" s="1"/>
  <c r="I68" i="9" s="1"/>
  <c r="K67" i="9"/>
  <c r="F67" i="9"/>
  <c r="K66" i="9"/>
  <c r="F66" i="9"/>
  <c r="K63" i="9"/>
  <c r="H63" i="9"/>
  <c r="I63" i="9" s="1"/>
  <c r="K61" i="9"/>
  <c r="G61" i="9"/>
  <c r="I61" i="9" s="1"/>
  <c r="K60" i="9"/>
  <c r="G60" i="9"/>
  <c r="I60" i="9" s="1"/>
  <c r="K59" i="9"/>
  <c r="G59" i="9"/>
  <c r="I59" i="9" s="1"/>
  <c r="K58" i="9"/>
  <c r="G58" i="9"/>
  <c r="I58" i="9" s="1"/>
  <c r="K57" i="9"/>
  <c r="G57" i="9"/>
  <c r="I57" i="9" s="1"/>
  <c r="K56" i="9"/>
  <c r="G56" i="9"/>
  <c r="I56" i="9" s="1"/>
  <c r="K55" i="9"/>
  <c r="G55" i="9"/>
  <c r="I55" i="9" s="1"/>
  <c r="K54" i="9"/>
  <c r="G54" i="9"/>
  <c r="I54" i="9" s="1"/>
  <c r="K53" i="9"/>
  <c r="G53" i="9"/>
  <c r="I53" i="9" s="1"/>
  <c r="K52" i="9"/>
  <c r="G52" i="9"/>
  <c r="I52" i="9" s="1"/>
  <c r="K51" i="9"/>
  <c r="G51" i="9"/>
  <c r="I51" i="9" s="1"/>
  <c r="K50" i="9"/>
  <c r="G50" i="9"/>
  <c r="I50" i="9" s="1"/>
  <c r="K49" i="9"/>
  <c r="G49" i="9"/>
  <c r="I49" i="9" s="1"/>
  <c r="K48" i="9"/>
  <c r="G48" i="9"/>
  <c r="I48" i="9" s="1"/>
  <c r="K47" i="9"/>
  <c r="G47" i="9"/>
  <c r="I47" i="9" s="1"/>
  <c r="E46" i="9"/>
  <c r="C46" i="9" s="1"/>
  <c r="K45" i="9"/>
  <c r="H45" i="9"/>
  <c r="G45" i="9"/>
  <c r="K44" i="9"/>
  <c r="H44" i="9"/>
  <c r="F44" i="9"/>
  <c r="G44" i="9" s="1"/>
  <c r="K43" i="9"/>
  <c r="H43" i="9"/>
  <c r="F43" i="9"/>
  <c r="G43" i="9" s="1"/>
  <c r="K42" i="9"/>
  <c r="H42" i="9"/>
  <c r="K41" i="9"/>
  <c r="H41" i="9"/>
  <c r="K36" i="9"/>
  <c r="F36" i="9"/>
  <c r="G36" i="9" s="1"/>
  <c r="I36" i="9" s="1"/>
  <c r="K35" i="9"/>
  <c r="K34" i="9"/>
  <c r="K33" i="9"/>
  <c r="I33" i="9"/>
  <c r="K32" i="9"/>
  <c r="I32" i="9"/>
  <c r="L32" i="9" s="1"/>
  <c r="K29" i="9"/>
  <c r="K27" i="9"/>
  <c r="K26" i="9"/>
  <c r="J10" i="2"/>
  <c r="I10" i="2"/>
  <c r="G10" i="2"/>
  <c r="C10" i="2"/>
  <c r="B10" i="2"/>
  <c r="A10" i="2"/>
  <c r="N27" i="8"/>
  <c r="N26" i="8"/>
  <c r="N23" i="8"/>
  <c r="N22" i="8"/>
  <c r="N21" i="8"/>
  <c r="N20" i="8"/>
  <c r="N19" i="8"/>
  <c r="N18" i="8"/>
  <c r="N17" i="8"/>
  <c r="N16" i="8"/>
  <c r="N15" i="8"/>
  <c r="N14" i="8"/>
  <c r="N424" i="8"/>
  <c r="G29" i="9"/>
  <c r="I29" i="9" s="1"/>
  <c r="Q3" i="8" l="1"/>
  <c r="N42" i="10" s="1"/>
  <c r="N40" i="10" s="1"/>
  <c r="N7" i="8"/>
  <c r="L29" i="9"/>
  <c r="U3" i="8"/>
  <c r="O43" i="9" s="1"/>
  <c r="L74" i="9"/>
  <c r="L113" i="9"/>
  <c r="L51" i="9"/>
  <c r="L57" i="9"/>
  <c r="L59" i="9"/>
  <c r="N4" i="2"/>
  <c r="M4" i="2"/>
  <c r="N3" i="2"/>
  <c r="N425" i="19"/>
  <c r="S425" i="19" s="1"/>
  <c r="S160" i="8" s="1"/>
  <c r="K430" i="2"/>
  <c r="Q2" i="8"/>
  <c r="N36" i="10" s="1"/>
  <c r="N275" i="19"/>
  <c r="S275" i="19" s="1"/>
  <c r="K280" i="2"/>
  <c r="O280" i="2" s="1"/>
  <c r="U5" i="8"/>
  <c r="U4" i="8"/>
  <c r="K34" i="10"/>
  <c r="I43" i="9"/>
  <c r="L120" i="9"/>
  <c r="L128" i="9"/>
  <c r="L132" i="9"/>
  <c r="I45" i="9"/>
  <c r="L45" i="9" s="1"/>
  <c r="L105" i="9"/>
  <c r="L126" i="9"/>
  <c r="L73" i="9"/>
  <c r="L95" i="9"/>
  <c r="L115" i="9"/>
  <c r="L121" i="9"/>
  <c r="L129" i="9"/>
  <c r="L33" i="9"/>
  <c r="L48" i="9"/>
  <c r="L52" i="9"/>
  <c r="L56" i="9"/>
  <c r="L58" i="9"/>
  <c r="L60" i="9"/>
  <c r="L69" i="9"/>
  <c r="L112" i="9"/>
  <c r="L125" i="9"/>
  <c r="L133" i="9"/>
  <c r="L63" i="9"/>
  <c r="G25" i="10"/>
  <c r="I25" i="10" s="1"/>
  <c r="N11" i="19"/>
  <c r="S11" i="19" s="1"/>
  <c r="S10" i="8" s="1"/>
  <c r="K11" i="2"/>
  <c r="N13" i="19"/>
  <c r="S13" i="19" s="1"/>
  <c r="S12" i="8" s="1"/>
  <c r="K13" i="2"/>
  <c r="N15" i="19"/>
  <c r="S15" i="19" s="1"/>
  <c r="S14" i="8" s="1"/>
  <c r="K15" i="2"/>
  <c r="N17" i="19"/>
  <c r="S17" i="19" s="1"/>
  <c r="S16" i="8" s="1"/>
  <c r="K17" i="2"/>
  <c r="N19" i="19"/>
  <c r="S19" i="19" s="1"/>
  <c r="S18" i="8" s="1"/>
  <c r="K19" i="2"/>
  <c r="K21" i="2"/>
  <c r="N21" i="19"/>
  <c r="S21" i="19" s="1"/>
  <c r="S20" i="8" s="1"/>
  <c r="N23" i="19"/>
  <c r="S23" i="19" s="1"/>
  <c r="S22" i="8" s="1"/>
  <c r="K23" i="2"/>
  <c r="K25" i="2"/>
  <c r="N25" i="19"/>
  <c r="S25" i="19" s="1"/>
  <c r="S24" i="8" s="1"/>
  <c r="N27" i="19"/>
  <c r="S27" i="19" s="1"/>
  <c r="S26" i="8" s="1"/>
  <c r="K27" i="2"/>
  <c r="K29" i="2"/>
  <c r="N29" i="19"/>
  <c r="S29" i="19" s="1"/>
  <c r="S28" i="8" s="1"/>
  <c r="N31" i="19"/>
  <c r="S31" i="19" s="1"/>
  <c r="S30" i="8" s="1"/>
  <c r="K31" i="2"/>
  <c r="K33" i="2"/>
  <c r="N33" i="19"/>
  <c r="S33" i="19" s="1"/>
  <c r="S32" i="8" s="1"/>
  <c r="N35" i="19"/>
  <c r="S35" i="19" s="1"/>
  <c r="S34" i="8" s="1"/>
  <c r="K35" i="2"/>
  <c r="K37" i="2"/>
  <c r="N37" i="19"/>
  <c r="S37" i="19" s="1"/>
  <c r="S36" i="8" s="1"/>
  <c r="N39" i="19"/>
  <c r="S39" i="19" s="1"/>
  <c r="S38" i="8" s="1"/>
  <c r="K39" i="2"/>
  <c r="K41" i="2"/>
  <c r="N41" i="19"/>
  <c r="S41" i="19" s="1"/>
  <c r="S40" i="8" s="1"/>
  <c r="N43" i="19"/>
  <c r="S43" i="19" s="1"/>
  <c r="S42" i="8" s="1"/>
  <c r="K43" i="2"/>
  <c r="K45" i="2"/>
  <c r="N45" i="19"/>
  <c r="S45" i="19" s="1"/>
  <c r="S44" i="8" s="1"/>
  <c r="N47" i="19"/>
  <c r="S47" i="19" s="1"/>
  <c r="S46" i="8" s="1"/>
  <c r="K47" i="2"/>
  <c r="K49" i="2"/>
  <c r="N49" i="19"/>
  <c r="S49" i="19" s="1"/>
  <c r="S48" i="8" s="1"/>
  <c r="N51" i="19"/>
  <c r="S51" i="19" s="1"/>
  <c r="S50" i="8" s="1"/>
  <c r="K51" i="2"/>
  <c r="K53" i="2"/>
  <c r="N53" i="19"/>
  <c r="S53" i="19" s="1"/>
  <c r="S52" i="8" s="1"/>
  <c r="N55" i="19"/>
  <c r="S55" i="19" s="1"/>
  <c r="S54" i="8" s="1"/>
  <c r="K55" i="2"/>
  <c r="K57" i="2"/>
  <c r="N57" i="19"/>
  <c r="S57" i="19" s="1"/>
  <c r="S56" i="8" s="1"/>
  <c r="N59" i="19"/>
  <c r="S59" i="19" s="1"/>
  <c r="S58" i="8" s="1"/>
  <c r="K59" i="2"/>
  <c r="K61" i="2"/>
  <c r="N61" i="19"/>
  <c r="S61" i="19" s="1"/>
  <c r="S60" i="8" s="1"/>
  <c r="N63" i="19"/>
  <c r="S63" i="19" s="1"/>
  <c r="S62" i="8" s="1"/>
  <c r="K63" i="2"/>
  <c r="K65" i="2"/>
  <c r="N65" i="19"/>
  <c r="S65" i="19" s="1"/>
  <c r="S64" i="8" s="1"/>
  <c r="N67" i="19"/>
  <c r="S67" i="19" s="1"/>
  <c r="S66" i="8" s="1"/>
  <c r="K67" i="2"/>
  <c r="K74" i="2"/>
  <c r="O74" i="2" s="1"/>
  <c r="U73" i="8" s="1"/>
  <c r="N74" i="19"/>
  <c r="S74" i="19" s="1"/>
  <c r="S73" i="8" s="1"/>
  <c r="N76" i="19"/>
  <c r="S76" i="19" s="1"/>
  <c r="S75" i="8" s="1"/>
  <c r="K76" i="2"/>
  <c r="O76" i="2" s="1"/>
  <c r="U75" i="8" s="1"/>
  <c r="K81" i="2"/>
  <c r="O81" i="2" s="1"/>
  <c r="U80" i="8" s="1"/>
  <c r="N81" i="19"/>
  <c r="S81" i="19" s="1"/>
  <c r="S80" i="8" s="1"/>
  <c r="N83" i="19"/>
  <c r="S83" i="19" s="1"/>
  <c r="K83" i="2"/>
  <c r="O83" i="2" s="1"/>
  <c r="U82" i="8" s="1"/>
  <c r="K85" i="2"/>
  <c r="O85" i="2" s="1"/>
  <c r="U84" i="8" s="1"/>
  <c r="N85" i="19"/>
  <c r="S85" i="19" s="1"/>
  <c r="S84" i="8" s="1"/>
  <c r="N87" i="19"/>
  <c r="S87" i="19" s="1"/>
  <c r="K87" i="2"/>
  <c r="O87" i="2" s="1"/>
  <c r="U86" i="8" s="1"/>
  <c r="K89" i="2"/>
  <c r="O89" i="2" s="1"/>
  <c r="U88" i="8" s="1"/>
  <c r="N89" i="19"/>
  <c r="S89" i="19" s="1"/>
  <c r="S88" i="8" s="1"/>
  <c r="N91" i="19"/>
  <c r="S91" i="19" s="1"/>
  <c r="S90" i="8" s="1"/>
  <c r="K91" i="2"/>
  <c r="O91" i="2" s="1"/>
  <c r="U90" i="8" s="1"/>
  <c r="K93" i="2"/>
  <c r="O93" i="2" s="1"/>
  <c r="U92" i="8" s="1"/>
  <c r="N93" i="19"/>
  <c r="S93" i="19" s="1"/>
  <c r="S92" i="8" s="1"/>
  <c r="N95" i="19"/>
  <c r="S95" i="19" s="1"/>
  <c r="S94" i="8" s="1"/>
  <c r="K95" i="2"/>
  <c r="O95" i="2" s="1"/>
  <c r="U94" i="8" s="1"/>
  <c r="K97" i="2"/>
  <c r="O97" i="2" s="1"/>
  <c r="U96" i="8" s="1"/>
  <c r="N97" i="19"/>
  <c r="S97" i="19" s="1"/>
  <c r="S96" i="8" s="1"/>
  <c r="N99" i="19"/>
  <c r="S99" i="19" s="1"/>
  <c r="S98" i="8" s="1"/>
  <c r="K99" i="2"/>
  <c r="O99" i="2" s="1"/>
  <c r="U98" i="8" s="1"/>
  <c r="K101" i="2"/>
  <c r="O101" i="2" s="1"/>
  <c r="U100" i="8" s="1"/>
  <c r="N101" i="19"/>
  <c r="S101" i="19" s="1"/>
  <c r="S100" i="8" s="1"/>
  <c r="N103" i="19"/>
  <c r="S103" i="19" s="1"/>
  <c r="S102" i="8" s="1"/>
  <c r="K103" i="2"/>
  <c r="K105" i="2"/>
  <c r="N105" i="19"/>
  <c r="S105" i="19" s="1"/>
  <c r="S104" i="8" s="1"/>
  <c r="N107" i="19"/>
  <c r="S107" i="19" s="1"/>
  <c r="S106" i="8" s="1"/>
  <c r="K107" i="2"/>
  <c r="O107" i="2" s="1"/>
  <c r="U106" i="8" s="1"/>
  <c r="K109" i="2"/>
  <c r="O109" i="2" s="1"/>
  <c r="U108" i="8" s="1"/>
  <c r="N109" i="19"/>
  <c r="S109" i="19" s="1"/>
  <c r="S108" i="8" s="1"/>
  <c r="N111" i="19"/>
  <c r="S111" i="19" s="1"/>
  <c r="S110" i="8" s="1"/>
  <c r="K111" i="2"/>
  <c r="O111" i="2" s="1"/>
  <c r="U110" i="8" s="1"/>
  <c r="K113" i="2"/>
  <c r="O113" i="2" s="1"/>
  <c r="U112" i="8" s="1"/>
  <c r="N113" i="19"/>
  <c r="S113" i="19" s="1"/>
  <c r="S112" i="8" s="1"/>
  <c r="N115" i="19"/>
  <c r="S115" i="19" s="1"/>
  <c r="S114" i="8" s="1"/>
  <c r="K115" i="2"/>
  <c r="K117" i="2"/>
  <c r="O117" i="2" s="1"/>
  <c r="U116" i="8" s="1"/>
  <c r="N117" i="19"/>
  <c r="S117" i="19" s="1"/>
  <c r="S116" i="8" s="1"/>
  <c r="N119" i="19"/>
  <c r="S119" i="19" s="1"/>
  <c r="S118" i="8" s="1"/>
  <c r="K125" i="2"/>
  <c r="N120" i="19"/>
  <c r="S120" i="19" s="1"/>
  <c r="N122" i="19"/>
  <c r="S122" i="19" s="1"/>
  <c r="K127" i="2"/>
  <c r="K129" i="2"/>
  <c r="O129" i="2" s="1"/>
  <c r="N124" i="19"/>
  <c r="S124" i="19" s="1"/>
  <c r="N126" i="19"/>
  <c r="S126" i="19" s="1"/>
  <c r="K131" i="2"/>
  <c r="K133" i="2"/>
  <c r="N128" i="19"/>
  <c r="S128" i="19" s="1"/>
  <c r="N130" i="19"/>
  <c r="S130" i="19" s="1"/>
  <c r="K135" i="2"/>
  <c r="K137" i="2"/>
  <c r="N132" i="19"/>
  <c r="S132" i="19" s="1"/>
  <c r="N134" i="19"/>
  <c r="S134" i="19" s="1"/>
  <c r="S966" i="8" s="1"/>
  <c r="K139" i="2"/>
  <c r="O139" i="2" s="1"/>
  <c r="K141" i="2"/>
  <c r="O141" i="2" s="1"/>
  <c r="N136" i="19"/>
  <c r="S136" i="19" s="1"/>
  <c r="S972" i="8" s="1"/>
  <c r="N138" i="19"/>
  <c r="S138" i="19" s="1"/>
  <c r="S985" i="8" s="1"/>
  <c r="K143" i="2"/>
  <c r="O143" i="2" s="1"/>
  <c r="K145" i="2"/>
  <c r="O145" i="2" s="1"/>
  <c r="N140" i="19"/>
  <c r="S140" i="19" s="1"/>
  <c r="S975" i="8" s="1"/>
  <c r="K70" i="2"/>
  <c r="N70" i="19"/>
  <c r="S70" i="19" s="1"/>
  <c r="S69" i="8" s="1"/>
  <c r="N72" i="19"/>
  <c r="S72" i="19" s="1"/>
  <c r="S71" i="8" s="1"/>
  <c r="K72" i="2"/>
  <c r="N10" i="19"/>
  <c r="S10" i="19" s="1"/>
  <c r="K69" i="2"/>
  <c r="N69" i="19"/>
  <c r="S69" i="19" s="1"/>
  <c r="S68" i="8" s="1"/>
  <c r="N71" i="19"/>
  <c r="S71" i="19" s="1"/>
  <c r="S70" i="8" s="1"/>
  <c r="K71" i="2"/>
  <c r="K78" i="2"/>
  <c r="O78" i="2" s="1"/>
  <c r="U77" i="8" s="1"/>
  <c r="N78" i="19"/>
  <c r="S78" i="19" s="1"/>
  <c r="S77" i="8" s="1"/>
  <c r="N80" i="19"/>
  <c r="S80" i="19" s="1"/>
  <c r="K80" i="2"/>
  <c r="O80" i="2" s="1"/>
  <c r="U79" i="8" s="1"/>
  <c r="N142" i="19"/>
  <c r="S142" i="19" s="1"/>
  <c r="S977" i="8" s="1"/>
  <c r="K147" i="2"/>
  <c r="O147" i="2" s="1"/>
  <c r="K77" i="2"/>
  <c r="N77" i="19"/>
  <c r="S77" i="19" s="1"/>
  <c r="S76" i="8" s="1"/>
  <c r="N79" i="19"/>
  <c r="S79" i="19" s="1"/>
  <c r="S78" i="8" s="1"/>
  <c r="K79" i="2"/>
  <c r="O79" i="2" s="1"/>
  <c r="U78" i="8" s="1"/>
  <c r="N143" i="19"/>
  <c r="S143" i="19" s="1"/>
  <c r="S986" i="8" s="1"/>
  <c r="K148" i="2"/>
  <c r="O148" i="2" s="1"/>
  <c r="K12" i="2"/>
  <c r="N12" i="19"/>
  <c r="K14" i="2"/>
  <c r="N14" i="19"/>
  <c r="S14" i="19" s="1"/>
  <c r="S13" i="8" s="1"/>
  <c r="K16" i="2"/>
  <c r="N16" i="19"/>
  <c r="S16" i="19" s="1"/>
  <c r="S15" i="8" s="1"/>
  <c r="K18" i="2"/>
  <c r="N18" i="19"/>
  <c r="S18" i="19" s="1"/>
  <c r="S17" i="8" s="1"/>
  <c r="K20" i="2"/>
  <c r="N20" i="19"/>
  <c r="S20" i="19" s="1"/>
  <c r="S19" i="8" s="1"/>
  <c r="K22" i="2"/>
  <c r="N22" i="19"/>
  <c r="S22" i="19" s="1"/>
  <c r="S21" i="8" s="1"/>
  <c r="N24" i="19"/>
  <c r="S24" i="19" s="1"/>
  <c r="S23" i="8" s="1"/>
  <c r="K24" i="2"/>
  <c r="K26" i="2"/>
  <c r="N26" i="19"/>
  <c r="S26" i="19" s="1"/>
  <c r="S25" i="8" s="1"/>
  <c r="N28" i="19"/>
  <c r="S28" i="19" s="1"/>
  <c r="S27" i="8" s="1"/>
  <c r="K28" i="2"/>
  <c r="K30" i="2"/>
  <c r="N30" i="19"/>
  <c r="S30" i="19" s="1"/>
  <c r="S29" i="8" s="1"/>
  <c r="N32" i="19"/>
  <c r="S32" i="19" s="1"/>
  <c r="S31" i="8" s="1"/>
  <c r="K32" i="2"/>
  <c r="K34" i="2"/>
  <c r="N34" i="19"/>
  <c r="S34" i="19" s="1"/>
  <c r="S33" i="8" s="1"/>
  <c r="N36" i="19"/>
  <c r="S36" i="19" s="1"/>
  <c r="S35" i="8" s="1"/>
  <c r="K36" i="2"/>
  <c r="K38" i="2"/>
  <c r="N38" i="19"/>
  <c r="S38" i="19" s="1"/>
  <c r="S37" i="8" s="1"/>
  <c r="N40" i="19"/>
  <c r="S40" i="19" s="1"/>
  <c r="S39" i="8" s="1"/>
  <c r="K40" i="2"/>
  <c r="K42" i="2"/>
  <c r="N42" i="19"/>
  <c r="S42" i="19" s="1"/>
  <c r="S41" i="8" s="1"/>
  <c r="N44" i="19"/>
  <c r="S44" i="19" s="1"/>
  <c r="S43" i="8" s="1"/>
  <c r="K44" i="2"/>
  <c r="K46" i="2"/>
  <c r="N46" i="19"/>
  <c r="S46" i="19" s="1"/>
  <c r="S45" i="8" s="1"/>
  <c r="N48" i="19"/>
  <c r="S48" i="19" s="1"/>
  <c r="S47" i="8" s="1"/>
  <c r="K48" i="2"/>
  <c r="K50" i="2"/>
  <c r="N50" i="19"/>
  <c r="S50" i="19" s="1"/>
  <c r="S49" i="8" s="1"/>
  <c r="N52" i="19"/>
  <c r="S52" i="19" s="1"/>
  <c r="S51" i="8" s="1"/>
  <c r="K52" i="2"/>
  <c r="K54" i="2"/>
  <c r="N54" i="19"/>
  <c r="S54" i="19" s="1"/>
  <c r="S53" i="8" s="1"/>
  <c r="N56" i="19"/>
  <c r="S56" i="19" s="1"/>
  <c r="S55" i="8" s="1"/>
  <c r="K56" i="2"/>
  <c r="K58" i="2"/>
  <c r="N58" i="19"/>
  <c r="S58" i="19" s="1"/>
  <c r="S57" i="8" s="1"/>
  <c r="N60" i="19"/>
  <c r="S60" i="19" s="1"/>
  <c r="S59" i="8" s="1"/>
  <c r="K60" i="2"/>
  <c r="K62" i="2"/>
  <c r="N62" i="19"/>
  <c r="S62" i="19" s="1"/>
  <c r="S61" i="8" s="1"/>
  <c r="N64" i="19"/>
  <c r="S64" i="19" s="1"/>
  <c r="S63" i="8" s="1"/>
  <c r="K64" i="2"/>
  <c r="K66" i="2"/>
  <c r="N66" i="19"/>
  <c r="S66" i="19" s="1"/>
  <c r="S65" i="8" s="1"/>
  <c r="N68" i="19"/>
  <c r="S68" i="19" s="1"/>
  <c r="S67" i="8" s="1"/>
  <c r="K68" i="2"/>
  <c r="K73" i="2"/>
  <c r="O73" i="2" s="1"/>
  <c r="U72" i="8" s="1"/>
  <c r="N73" i="19"/>
  <c r="S73" i="19" s="1"/>
  <c r="S72" i="8" s="1"/>
  <c r="N75" i="19"/>
  <c r="S75" i="19" s="1"/>
  <c r="S74" i="8" s="1"/>
  <c r="K75" i="2"/>
  <c r="O75" i="2" s="1"/>
  <c r="U74" i="8" s="1"/>
  <c r="K82" i="2"/>
  <c r="O82" i="2" s="1"/>
  <c r="U81" i="8" s="1"/>
  <c r="N82" i="19"/>
  <c r="S82" i="19" s="1"/>
  <c r="S81" i="8" s="1"/>
  <c r="N84" i="19"/>
  <c r="S84" i="19" s="1"/>
  <c r="K84" i="2"/>
  <c r="O84" i="2" s="1"/>
  <c r="U83" i="8" s="1"/>
  <c r="K86" i="2"/>
  <c r="O86" i="2" s="1"/>
  <c r="U85" i="8" s="1"/>
  <c r="N86" i="19"/>
  <c r="S86" i="19" s="1"/>
  <c r="S85" i="8" s="1"/>
  <c r="N88" i="19"/>
  <c r="S88" i="19" s="1"/>
  <c r="K88" i="2"/>
  <c r="O88" i="2" s="1"/>
  <c r="U87" i="8" s="1"/>
  <c r="K90" i="2"/>
  <c r="O90" i="2" s="1"/>
  <c r="U89" i="8" s="1"/>
  <c r="N90" i="19"/>
  <c r="S90" i="19" s="1"/>
  <c r="S89" i="8" s="1"/>
  <c r="N92" i="19"/>
  <c r="S92" i="19" s="1"/>
  <c r="S91" i="8" s="1"/>
  <c r="K92" i="2"/>
  <c r="O92" i="2" s="1"/>
  <c r="U91" i="8" s="1"/>
  <c r="K94" i="2"/>
  <c r="O94" i="2" s="1"/>
  <c r="U93" i="8" s="1"/>
  <c r="N94" i="19"/>
  <c r="S94" i="19" s="1"/>
  <c r="S93" i="8" s="1"/>
  <c r="N96" i="19"/>
  <c r="S96" i="19" s="1"/>
  <c r="S95" i="8" s="1"/>
  <c r="K96" i="2"/>
  <c r="O96" i="2" s="1"/>
  <c r="U95" i="8" s="1"/>
  <c r="K98" i="2"/>
  <c r="O98" i="2" s="1"/>
  <c r="U97" i="8" s="1"/>
  <c r="N98" i="19"/>
  <c r="S98" i="19" s="1"/>
  <c r="S97" i="8" s="1"/>
  <c r="N100" i="19"/>
  <c r="S100" i="19" s="1"/>
  <c r="K100" i="2"/>
  <c r="O100" i="2" s="1"/>
  <c r="U99" i="8" s="1"/>
  <c r="K102" i="2"/>
  <c r="O102" i="2" s="1"/>
  <c r="U101" i="8" s="1"/>
  <c r="N102" i="19"/>
  <c r="S102" i="19" s="1"/>
  <c r="S101" i="8" s="1"/>
  <c r="N104" i="19"/>
  <c r="S104" i="19" s="1"/>
  <c r="S103" i="8" s="1"/>
  <c r="K104" i="2"/>
  <c r="K106" i="2"/>
  <c r="O106" i="2" s="1"/>
  <c r="U105" i="8" s="1"/>
  <c r="N106" i="19"/>
  <c r="S106" i="19" s="1"/>
  <c r="S105" i="8" s="1"/>
  <c r="N108" i="19"/>
  <c r="S108" i="19" s="1"/>
  <c r="S107" i="8" s="1"/>
  <c r="K108" i="2"/>
  <c r="O108" i="2" s="1"/>
  <c r="U107" i="8" s="1"/>
  <c r="K110" i="2"/>
  <c r="O110" i="2" s="1"/>
  <c r="U109" i="8" s="1"/>
  <c r="N110" i="19"/>
  <c r="S110" i="19" s="1"/>
  <c r="S109" i="8" s="1"/>
  <c r="N112" i="19"/>
  <c r="S112" i="19" s="1"/>
  <c r="S111" i="8" s="1"/>
  <c r="K112" i="2"/>
  <c r="O112" i="2" s="1"/>
  <c r="U111" i="8" s="1"/>
  <c r="K114" i="2"/>
  <c r="N114" i="19"/>
  <c r="S114" i="19" s="1"/>
  <c r="S113" i="8" s="1"/>
  <c r="N116" i="19"/>
  <c r="S116" i="19" s="1"/>
  <c r="S115" i="8" s="1"/>
  <c r="K116" i="2"/>
  <c r="O116" i="2" s="1"/>
  <c r="U115" i="8" s="1"/>
  <c r="K118" i="2"/>
  <c r="O118" i="2" s="1"/>
  <c r="U117" i="8" s="1"/>
  <c r="N118" i="19"/>
  <c r="S118" i="19" s="1"/>
  <c r="S117" i="8" s="1"/>
  <c r="K126" i="2"/>
  <c r="N121" i="19"/>
  <c r="S121" i="19" s="1"/>
  <c r="N123" i="19"/>
  <c r="S123" i="19" s="1"/>
  <c r="K128" i="2"/>
  <c r="K130" i="2"/>
  <c r="N125" i="19"/>
  <c r="S125" i="19" s="1"/>
  <c r="N127" i="19"/>
  <c r="S127" i="19" s="1"/>
  <c r="K132" i="2"/>
  <c r="K134" i="2"/>
  <c r="N129" i="19"/>
  <c r="S129" i="19" s="1"/>
  <c r="N131" i="19"/>
  <c r="S131" i="19" s="1"/>
  <c r="K136" i="2"/>
  <c r="K138" i="2"/>
  <c r="O138" i="2" s="1"/>
  <c r="N133" i="19"/>
  <c r="S133" i="19" s="1"/>
  <c r="S984" i="8" s="1"/>
  <c r="N135" i="19"/>
  <c r="S135" i="19" s="1"/>
  <c r="S971" i="8" s="1"/>
  <c r="K140" i="2"/>
  <c r="O140" i="2" s="1"/>
  <c r="K142" i="2"/>
  <c r="O142" i="2" s="1"/>
  <c r="N137" i="19"/>
  <c r="S137" i="19" s="1"/>
  <c r="S973" i="8" s="1"/>
  <c r="N139" i="19"/>
  <c r="S139" i="19" s="1"/>
  <c r="S974" i="8" s="1"/>
  <c r="K144" i="2"/>
  <c r="O144" i="2" s="1"/>
  <c r="K146" i="2"/>
  <c r="O146" i="2" s="1"/>
  <c r="N141" i="19"/>
  <c r="S141" i="19" s="1"/>
  <c r="S976" i="8" s="1"/>
  <c r="K10" i="2"/>
  <c r="E25" i="9"/>
  <c r="K76" i="10"/>
  <c r="K85" i="10"/>
  <c r="K91" i="10"/>
  <c r="K29" i="10"/>
  <c r="K77" i="10"/>
  <c r="K86" i="10"/>
  <c r="K92" i="10"/>
  <c r="K93" i="10"/>
  <c r="K79" i="10"/>
  <c r="K84" i="10"/>
  <c r="K90" i="10"/>
  <c r="K94" i="10"/>
  <c r="E28" i="10"/>
  <c r="G28" i="10" s="1"/>
  <c r="I28" i="10" s="1"/>
  <c r="L68" i="9"/>
  <c r="L43" i="9"/>
  <c r="L53" i="9"/>
  <c r="L36" i="9"/>
  <c r="L61" i="9"/>
  <c r="L49" i="9"/>
  <c r="L118" i="9"/>
  <c r="I44" i="9"/>
  <c r="L47" i="9"/>
  <c r="L54" i="9"/>
  <c r="L72" i="9"/>
  <c r="C74" i="9"/>
  <c r="L75" i="9"/>
  <c r="C86" i="9"/>
  <c r="L97" i="9"/>
  <c r="L99" i="9"/>
  <c r="L107" i="9"/>
  <c r="L111" i="9"/>
  <c r="L114" i="9"/>
  <c r="L119" i="9"/>
  <c r="L122" i="9"/>
  <c r="L131" i="9"/>
  <c r="L134" i="9"/>
  <c r="L50" i="9"/>
  <c r="L55" i="9"/>
  <c r="L92" i="9"/>
  <c r="L96" i="9"/>
  <c r="L98" i="9"/>
  <c r="L100" i="9"/>
  <c r="L104" i="9"/>
  <c r="N41" i="10" l="1"/>
  <c r="N39" i="10"/>
  <c r="C11" i="10"/>
  <c r="G31" i="10" s="1"/>
  <c r="I31" i="10" s="1"/>
  <c r="K31" i="10" s="1"/>
  <c r="M3" i="2"/>
  <c r="S983" i="8"/>
  <c r="S99" i="8"/>
  <c r="S433" i="8"/>
  <c r="S87" i="8"/>
  <c r="S299" i="8"/>
  <c r="S83" i="8"/>
  <c r="S297" i="8"/>
  <c r="S79" i="8"/>
  <c r="S432" i="8"/>
  <c r="S86" i="8"/>
  <c r="S431" i="8"/>
  <c r="S82" i="8"/>
  <c r="S298" i="8"/>
  <c r="S3" i="19"/>
  <c r="S426" i="8"/>
  <c r="S429" i="8"/>
  <c r="S430" i="8"/>
  <c r="S428" i="8"/>
  <c r="S425" i="8"/>
  <c r="S424" i="8"/>
  <c r="O430" i="2"/>
  <c r="U160" i="8" s="1"/>
  <c r="M2" i="2"/>
  <c r="S12" i="19"/>
  <c r="S11" i="8" s="1"/>
  <c r="S5" i="19"/>
  <c r="Y26" i="19"/>
  <c r="Y24" i="19"/>
  <c r="Y27" i="19"/>
  <c r="Y25" i="19"/>
  <c r="S4" i="19"/>
  <c r="C9" i="9"/>
  <c r="U36" i="19"/>
  <c r="T28" i="19"/>
  <c r="U27" i="19"/>
  <c r="U12" i="19"/>
  <c r="Y18" i="19"/>
  <c r="Y23" i="19"/>
  <c r="Y20" i="19"/>
  <c r="Y21" i="19"/>
  <c r="Y22" i="19"/>
  <c r="Y19" i="19"/>
  <c r="Y16" i="19"/>
  <c r="Y17" i="19"/>
  <c r="T4" i="19"/>
  <c r="Y14" i="19"/>
  <c r="Y15" i="19"/>
  <c r="C9" i="10"/>
  <c r="N24" i="10" s="1"/>
  <c r="N25" i="10" s="1"/>
  <c r="N26" i="10" s="1"/>
  <c r="N27" i="10" s="1"/>
  <c r="G25" i="9"/>
  <c r="I25" i="9" s="1"/>
  <c r="Y13" i="19"/>
  <c r="K25" i="10"/>
  <c r="K28" i="10"/>
  <c r="L44" i="9"/>
  <c r="M5" i="2" l="1"/>
  <c r="O25" i="9"/>
  <c r="O24" i="9"/>
  <c r="T5" i="19"/>
  <c r="T3" i="19"/>
  <c r="O26" i="9"/>
  <c r="O27" i="9" s="1"/>
  <c r="S9" i="8"/>
  <c r="Y28" i="19"/>
  <c r="I45" i="10"/>
  <c r="K45" i="10" s="1"/>
  <c r="L25" i="9"/>
  <c r="V4" i="8" l="1"/>
  <c r="E27" i="9" s="1"/>
  <c r="G27" i="9" s="1"/>
  <c r="I27" i="9" s="1"/>
  <c r="V3" i="8"/>
  <c r="E26" i="9" s="1"/>
  <c r="V5" i="8"/>
  <c r="E28" i="9" s="1"/>
  <c r="G28" i="9" s="1"/>
  <c r="I28" i="9" s="1"/>
  <c r="L28" i="9" s="1"/>
  <c r="E38" i="9" l="1"/>
  <c r="L27" i="9"/>
  <c r="G26" i="9"/>
  <c r="I26" i="9" s="1"/>
  <c r="L26" i="9" s="1"/>
  <c r="R39" i="9"/>
  <c r="E110" i="9"/>
  <c r="G110" i="9" s="1"/>
  <c r="I110" i="9" s="1"/>
  <c r="L110" i="9" s="1"/>
  <c r="G103" i="9"/>
  <c r="I103" i="9" s="1"/>
  <c r="L103" i="9" s="1"/>
  <c r="R31" i="9"/>
  <c r="E106" i="9" l="1"/>
  <c r="G106" i="9" s="1"/>
  <c r="I106" i="9" s="1"/>
  <c r="L106" i="9" s="1"/>
  <c r="E78" i="9"/>
  <c r="E130" i="9"/>
  <c r="G130" i="9" s="1"/>
  <c r="I130" i="9" s="1"/>
  <c r="L130" i="9" s="1"/>
  <c r="E79" i="9"/>
  <c r="E82" i="9"/>
  <c r="E42" i="9"/>
  <c r="E67" i="9" s="1"/>
  <c r="E34" i="9"/>
  <c r="E90" i="9" s="1"/>
  <c r="E41" i="9"/>
  <c r="E127" i="9"/>
  <c r="G127" i="9" s="1"/>
  <c r="I127" i="9" s="1"/>
  <c r="L127" i="9" s="1"/>
  <c r="F83" i="9" l="1"/>
  <c r="G83" i="9" s="1"/>
  <c r="I83" i="9" s="1"/>
  <c r="L83" i="9" s="1"/>
  <c r="G90" i="9"/>
  <c r="I90" i="9" s="1"/>
  <c r="L90" i="9" s="1"/>
  <c r="E70" i="9"/>
  <c r="G70" i="9" s="1"/>
  <c r="I70" i="9" s="1"/>
  <c r="L70" i="9" s="1"/>
  <c r="G35" i="9"/>
  <c r="I35" i="9" s="1"/>
  <c r="L35" i="9" s="1"/>
  <c r="G71" i="9"/>
  <c r="I71" i="9" s="1"/>
  <c r="L71" i="9" s="1"/>
  <c r="G91" i="9"/>
  <c r="I91" i="9" s="1"/>
  <c r="L91" i="9" s="1"/>
  <c r="G41" i="9"/>
  <c r="I41" i="9" s="1"/>
  <c r="L41" i="9" s="1"/>
  <c r="E93" i="9"/>
  <c r="G93" i="9" s="1"/>
  <c r="I93" i="9" s="1"/>
  <c r="L93" i="9" s="1"/>
  <c r="E66" i="9"/>
  <c r="G66" i="9" s="1"/>
  <c r="I66" i="9" s="1"/>
  <c r="L66" i="9" s="1"/>
  <c r="G42" i="9"/>
  <c r="I42" i="9" s="1"/>
  <c r="L42" i="9" s="1"/>
  <c r="G67" i="9"/>
  <c r="I67" i="9" s="1"/>
  <c r="L67" i="9" s="1"/>
  <c r="E94" i="9"/>
  <c r="G94" i="9" s="1"/>
  <c r="I94" i="9" s="1"/>
  <c r="L94" i="9" s="1"/>
  <c r="F80" i="9"/>
  <c r="G80" i="9" s="1"/>
  <c r="I80" i="9" s="1"/>
  <c r="L80" i="9" s="1"/>
  <c r="F82" i="9"/>
  <c r="G82" i="9" s="1"/>
  <c r="I82" i="9" s="1"/>
  <c r="L82" i="9" s="1"/>
  <c r="F86" i="9"/>
  <c r="G86" i="9" s="1"/>
  <c r="I86" i="9" s="1"/>
  <c r="L86" i="9" s="1"/>
  <c r="F85" i="9"/>
  <c r="G85" i="9" s="1"/>
  <c r="I85" i="9" s="1"/>
  <c r="L85" i="9" s="1"/>
  <c r="F84" i="9"/>
  <c r="G84" i="9" s="1"/>
  <c r="I84" i="9" s="1"/>
  <c r="L84" i="9" s="1"/>
  <c r="F78" i="9"/>
  <c r="G78" i="9" s="1"/>
  <c r="I78" i="9" s="1"/>
  <c r="L78" i="9" s="1"/>
  <c r="F81" i="9"/>
  <c r="G81" i="9" s="1"/>
  <c r="I81" i="9" s="1"/>
  <c r="L81" i="9" s="1"/>
  <c r="G34" i="9"/>
  <c r="I34" i="9" s="1"/>
  <c r="L34" i="9" s="1"/>
  <c r="F79" i="9"/>
  <c r="G79" i="9" s="1"/>
  <c r="I79" i="9" s="1"/>
  <c r="L79" i="9" s="1"/>
  <c r="G137" i="9" l="1"/>
  <c r="I137" i="9" s="1"/>
  <c r="L137" i="9" s="1"/>
  <c r="L139" i="9" s="1"/>
  <c r="T522" i="8"/>
  <c r="T523" i="8"/>
  <c r="T524" i="8"/>
  <c r="T525" i="8"/>
  <c r="T526" i="8"/>
  <c r="T527" i="8"/>
  <c r="T528" i="8"/>
  <c r="T529" i="8"/>
  <c r="T530" i="8"/>
  <c r="T531" i="8"/>
  <c r="T532" i="8"/>
  <c r="T533" i="8"/>
  <c r="T534" i="8"/>
  <c r="T535" i="8"/>
  <c r="T536" i="8"/>
  <c r="T537" i="8"/>
  <c r="T538" i="8"/>
  <c r="T539" i="8"/>
  <c r="T540" i="8"/>
  <c r="T300" i="8"/>
  <c r="T541" i="8"/>
  <c r="T542" i="8"/>
  <c r="T592" i="8"/>
  <c r="T593" i="8"/>
  <c r="T596" i="8"/>
  <c r="T597" i="8"/>
  <c r="T600" i="8"/>
  <c r="T601" i="8"/>
  <c r="T603" i="8"/>
  <c r="T604" i="8"/>
  <c r="T605" i="8"/>
  <c r="T606" i="8"/>
  <c r="T607" i="8"/>
  <c r="T608" i="8"/>
  <c r="T609" i="8"/>
  <c r="T610" i="8"/>
  <c r="T611" i="8"/>
  <c r="T612" i="8"/>
  <c r="T926" i="8"/>
  <c r="T927" i="8"/>
  <c r="T928" i="8"/>
  <c r="T929" i="8"/>
  <c r="T930" i="8"/>
  <c r="T931" i="8"/>
  <c r="T932" i="8"/>
  <c r="T933" i="8"/>
  <c r="T934" i="8"/>
  <c r="T935" i="8"/>
  <c r="T936" i="8"/>
  <c r="T937" i="8"/>
  <c r="T938" i="8"/>
  <c r="T939" i="8"/>
  <c r="T940" i="8"/>
  <c r="T941" i="8"/>
  <c r="T942" i="8"/>
  <c r="T943" i="8"/>
  <c r="T959" i="8"/>
  <c r="T965" i="8"/>
  <c r="G19" i="9" l="1"/>
  <c r="I19" i="9" s="1"/>
  <c r="I8" i="9" s="1"/>
  <c r="G139" i="9"/>
  <c r="I139" i="9"/>
  <c r="L140" i="9" s="1"/>
  <c r="G15" i="9" s="1"/>
  <c r="U10" i="2"/>
  <c r="Q27" i="9" l="1"/>
  <c r="Q42" i="9" s="1"/>
  <c r="I9" i="9"/>
  <c r="J36" i="9"/>
  <c r="J27" i="9"/>
  <c r="J105" i="9"/>
  <c r="J61" i="9"/>
  <c r="J113" i="9"/>
  <c r="J100" i="9"/>
  <c r="J29" i="9"/>
  <c r="J86" i="9"/>
  <c r="J115" i="9"/>
  <c r="J69" i="9"/>
  <c r="J58" i="9"/>
  <c r="J99" i="9"/>
  <c r="J75" i="9"/>
  <c r="J45" i="9"/>
  <c r="J47" i="9"/>
  <c r="J91" i="9"/>
  <c r="J73" i="9"/>
  <c r="J26" i="9"/>
  <c r="J119" i="9"/>
  <c r="J104" i="9"/>
  <c r="J128" i="9"/>
  <c r="J41" i="9"/>
  <c r="J96" i="9"/>
  <c r="J79" i="9"/>
  <c r="J81" i="9"/>
  <c r="J120" i="9"/>
  <c r="J44" i="9"/>
  <c r="J92" i="9"/>
  <c r="J35" i="9"/>
  <c r="J131" i="9"/>
  <c r="J32" i="9"/>
  <c r="J118" i="9"/>
  <c r="J66" i="9"/>
  <c r="J34" i="9"/>
  <c r="J82" i="9"/>
  <c r="J57" i="9"/>
  <c r="J63" i="9"/>
  <c r="J67" i="9"/>
  <c r="I15" i="9"/>
  <c r="G13" i="9"/>
  <c r="G17" i="9" s="1"/>
  <c r="I17" i="9" s="1"/>
  <c r="J125" i="9"/>
  <c r="J51" i="9"/>
  <c r="J127" i="9"/>
  <c r="J111" i="9"/>
  <c r="J59" i="9"/>
  <c r="J84" i="9"/>
  <c r="J52" i="9"/>
  <c r="J110" i="9"/>
  <c r="J43" i="9"/>
  <c r="J133" i="9"/>
  <c r="J33" i="9"/>
  <c r="J60" i="9"/>
  <c r="J106" i="9"/>
  <c r="J78" i="9"/>
  <c r="J71" i="9"/>
  <c r="J25" i="9"/>
  <c r="J72" i="9"/>
  <c r="J68" i="9"/>
  <c r="J70" i="9"/>
  <c r="J112" i="9"/>
  <c r="J122" i="9"/>
  <c r="J107" i="9"/>
  <c r="J56" i="9"/>
  <c r="J134" i="9"/>
  <c r="J74" i="9"/>
  <c r="J80" i="9"/>
  <c r="J49" i="9"/>
  <c r="J121" i="9"/>
  <c r="J95" i="9"/>
  <c r="J93" i="9"/>
  <c r="J42" i="9"/>
  <c r="J55" i="9"/>
  <c r="J50" i="9"/>
  <c r="J126" i="9"/>
  <c r="J90" i="9"/>
  <c r="J114" i="9"/>
  <c r="J137" i="9"/>
  <c r="D136" i="9" s="1"/>
  <c r="J132" i="9"/>
  <c r="J130" i="9"/>
  <c r="J54" i="9"/>
  <c r="J103" i="9"/>
  <c r="J83" i="9"/>
  <c r="J129" i="9"/>
  <c r="J97" i="9"/>
  <c r="J94" i="9"/>
  <c r="J48" i="9"/>
  <c r="J98" i="9"/>
  <c r="J85" i="9"/>
  <c r="J28" i="9"/>
  <c r="J53" i="9"/>
  <c r="P10" i="2"/>
  <c r="D24" i="9" l="1"/>
  <c r="R24" i="9" s="1"/>
  <c r="Q24" i="9" s="1"/>
  <c r="Q32" i="9" s="1"/>
  <c r="P32" i="9" s="1"/>
  <c r="P35" i="9" s="1"/>
  <c r="D102" i="9"/>
  <c r="D109" i="9"/>
  <c r="F40" i="9"/>
  <c r="D117" i="9"/>
  <c r="D31" i="9"/>
  <c r="D124" i="9"/>
  <c r="D65" i="9"/>
  <c r="I13" i="9"/>
  <c r="J139" i="9"/>
  <c r="D89" i="9"/>
  <c r="D77" i="9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26" i="9" l="1"/>
  <c r="Q26" i="9" s="1"/>
  <c r="R25" i="9"/>
  <c r="Q25" i="9" s="1"/>
  <c r="Q41" i="9" s="1"/>
  <c r="P24" i="9"/>
  <c r="Q40" i="9"/>
  <c r="R10" i="2"/>
  <c r="L8" i="4"/>
  <c r="Q11" i="2"/>
  <c r="V10" i="8" s="1" a="1"/>
  <c r="V10" i="8" s="1"/>
  <c r="Q12" i="2"/>
  <c r="V11" i="8" s="1" a="1"/>
  <c r="V11" i="8" s="1"/>
  <c r="Q13" i="2"/>
  <c r="V12" i="8" s="1" a="1"/>
  <c r="V12" i="8" s="1"/>
  <c r="Q14" i="2"/>
  <c r="V13" i="8" s="1" a="1"/>
  <c r="V13" i="8" s="1"/>
  <c r="Q15" i="2"/>
  <c r="V14" i="8" s="1" a="1"/>
  <c r="V14" i="8" s="1"/>
  <c r="Q16" i="2"/>
  <c r="V15" i="8" s="1" a="1"/>
  <c r="V15" i="8" s="1"/>
  <c r="Q17" i="2"/>
  <c r="V16" i="8" s="1" a="1"/>
  <c r="V16" i="8" s="1"/>
  <c r="Q18" i="2"/>
  <c r="V17" i="8" s="1" a="1"/>
  <c r="V17" i="8" s="1"/>
  <c r="Q19" i="2"/>
  <c r="V18" i="8" s="1" a="1"/>
  <c r="V18" i="8" s="1"/>
  <c r="Q20" i="2"/>
  <c r="V19" i="8" s="1" a="1"/>
  <c r="V19" i="8" s="1"/>
  <c r="Q21" i="2"/>
  <c r="V20" i="8" s="1" a="1"/>
  <c r="V20" i="8" s="1"/>
  <c r="Q22" i="2"/>
  <c r="V21" i="8" s="1" a="1"/>
  <c r="V21" i="8" s="1"/>
  <c r="Q23" i="2"/>
  <c r="V22" i="8" s="1" a="1"/>
  <c r="V22" i="8" s="1"/>
  <c r="Q24" i="2"/>
  <c r="V23" i="8" s="1" a="1"/>
  <c r="V23" i="8" s="1"/>
  <c r="Q25" i="2"/>
  <c r="V24" i="8" s="1" a="1"/>
  <c r="V24" i="8" s="1"/>
  <c r="Q26" i="2"/>
  <c r="V25" i="8" s="1" a="1"/>
  <c r="V25" i="8" s="1"/>
  <c r="Q27" i="2"/>
  <c r="V26" i="8" s="1" a="1"/>
  <c r="V26" i="8" s="1"/>
  <c r="Q28" i="2"/>
  <c r="V27" i="8" s="1" a="1"/>
  <c r="V27" i="8" s="1"/>
  <c r="Q29" i="2"/>
  <c r="V28" i="8" s="1" a="1"/>
  <c r="V28" i="8" s="1"/>
  <c r="Q30" i="2"/>
  <c r="V29" i="8" s="1" a="1"/>
  <c r="V29" i="8" s="1"/>
  <c r="Q31" i="2"/>
  <c r="V30" i="8" s="1" a="1"/>
  <c r="V30" i="8" s="1"/>
  <c r="Q32" i="2"/>
  <c r="V31" i="8" s="1" a="1"/>
  <c r="V31" i="8" s="1"/>
  <c r="Q33" i="2"/>
  <c r="V32" i="8" s="1" a="1"/>
  <c r="V32" i="8" s="1"/>
  <c r="Q34" i="2"/>
  <c r="V33" i="8" s="1" a="1"/>
  <c r="V33" i="8" s="1"/>
  <c r="Q35" i="2"/>
  <c r="V34" i="8" s="1" a="1"/>
  <c r="V34" i="8" s="1"/>
  <c r="Q36" i="2"/>
  <c r="V35" i="8" s="1" a="1"/>
  <c r="V35" i="8" s="1"/>
  <c r="Q37" i="2"/>
  <c r="V36" i="8" s="1" a="1"/>
  <c r="V36" i="8" s="1"/>
  <c r="Q38" i="2"/>
  <c r="V37" i="8" s="1" a="1"/>
  <c r="V37" i="8" s="1"/>
  <c r="Q40" i="2"/>
  <c r="V39" i="8" s="1" a="1"/>
  <c r="V39" i="8" s="1"/>
  <c r="Q41" i="2"/>
  <c r="V40" i="8" s="1" a="1"/>
  <c r="V40" i="8" s="1"/>
  <c r="Q42" i="2"/>
  <c r="V41" i="8" s="1" a="1"/>
  <c r="V41" i="8" s="1"/>
  <c r="Q43" i="2"/>
  <c r="V42" i="8" s="1" a="1"/>
  <c r="V42" i="8" s="1"/>
  <c r="Q44" i="2"/>
  <c r="V43" i="8" s="1" a="1"/>
  <c r="V43" i="8" s="1"/>
  <c r="Q45" i="2"/>
  <c r="V44" i="8" s="1" a="1"/>
  <c r="V44" i="8" s="1"/>
  <c r="Q46" i="2"/>
  <c r="V45" i="8" s="1" a="1"/>
  <c r="V45" i="8" s="1"/>
  <c r="Q47" i="2"/>
  <c r="Q48" i="2"/>
  <c r="V47" i="8" s="1" a="1"/>
  <c r="V47" i="8" s="1"/>
  <c r="Q49" i="2"/>
  <c r="V48" i="8" s="1" a="1"/>
  <c r="V48" i="8" s="1"/>
  <c r="Q50" i="2"/>
  <c r="V49" i="8" s="1" a="1"/>
  <c r="V49" i="8" s="1"/>
  <c r="Q51" i="2"/>
  <c r="Q52" i="2"/>
  <c r="V51" i="8" s="1" a="1"/>
  <c r="V51" i="8" s="1"/>
  <c r="Q53" i="2"/>
  <c r="V52" i="8" s="1" a="1"/>
  <c r="V52" i="8" s="1"/>
  <c r="Q54" i="2"/>
  <c r="V53" i="8" s="1" a="1"/>
  <c r="V53" i="8" s="1"/>
  <c r="Q55" i="2"/>
  <c r="V54" i="8" s="1" a="1"/>
  <c r="V54" i="8" s="1"/>
  <c r="Q56" i="2"/>
  <c r="V55" i="8" s="1" a="1"/>
  <c r="V55" i="8" s="1"/>
  <c r="Q57" i="2"/>
  <c r="V56" i="8" s="1" a="1"/>
  <c r="V56" i="8" s="1"/>
  <c r="Q58" i="2"/>
  <c r="V57" i="8" s="1" a="1"/>
  <c r="V57" i="8" s="1"/>
  <c r="Q59" i="2"/>
  <c r="V58" i="8" s="1" a="1"/>
  <c r="V58" i="8" s="1"/>
  <c r="Q60" i="2"/>
  <c r="V59" i="8" s="1" a="1"/>
  <c r="V59" i="8" s="1"/>
  <c r="Q61" i="2"/>
  <c r="Q62" i="2"/>
  <c r="V61" i="8" s="1" a="1"/>
  <c r="V61" i="8" s="1"/>
  <c r="Q63" i="2"/>
  <c r="V62" i="8" s="1" a="1"/>
  <c r="V62" i="8" s="1"/>
  <c r="Q64" i="2"/>
  <c r="V63" i="8" s="1" a="1"/>
  <c r="V63" i="8" s="1"/>
  <c r="Q65" i="2"/>
  <c r="V64" i="8" s="1" a="1"/>
  <c r="V64" i="8" s="1"/>
  <c r="Q66" i="2"/>
  <c r="V65" i="8" s="1" a="1"/>
  <c r="V65" i="8" s="1"/>
  <c r="Q67" i="2"/>
  <c r="V66" i="8" s="1" a="1"/>
  <c r="V66" i="8" s="1"/>
  <c r="Q68" i="2"/>
  <c r="V67" i="8" s="1" a="1"/>
  <c r="V67" i="8" s="1"/>
  <c r="Q69" i="2"/>
  <c r="V68" i="8" s="1" a="1"/>
  <c r="V68" i="8" s="1"/>
  <c r="Q70" i="2"/>
  <c r="V69" i="8" s="1" a="1"/>
  <c r="V69" i="8" s="1"/>
  <c r="Q71" i="2"/>
  <c r="V70" i="8" s="1" a="1"/>
  <c r="V70" i="8" s="1"/>
  <c r="Q72" i="2"/>
  <c r="V71" i="8" s="1" a="1"/>
  <c r="V71" i="8" s="1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V102" i="8" s="1" a="1"/>
  <c r="V102" i="8" s="1"/>
  <c r="Q104" i="2"/>
  <c r="V103" i="8" s="1" a="1"/>
  <c r="V103" i="8" s="1"/>
  <c r="Q105" i="2"/>
  <c r="V104" i="8" s="1" a="1"/>
  <c r="V104" i="8" s="1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10" i="2"/>
  <c r="V9" i="8" s="1" a="1"/>
  <c r="V9" i="8" s="1"/>
  <c r="Q43" i="9" l="1"/>
  <c r="Q34" i="9"/>
  <c r="P26" i="9"/>
  <c r="P25" i="9"/>
  <c r="Q33" i="9"/>
  <c r="P33" i="9" s="1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V46" i="8" s="1" a="1"/>
  <c r="V46" i="8" s="1"/>
  <c r="P48" i="2"/>
  <c r="P49" i="2"/>
  <c r="P50" i="2"/>
  <c r="P51" i="2"/>
  <c r="V50" i="8" s="1" a="1"/>
  <c r="V50" i="8" s="1"/>
  <c r="P52" i="2"/>
  <c r="P53" i="2"/>
  <c r="P54" i="2"/>
  <c r="P55" i="2"/>
  <c r="P56" i="2"/>
  <c r="P57" i="2"/>
  <c r="P58" i="2"/>
  <c r="P59" i="2"/>
  <c r="P60" i="2"/>
  <c r="P61" i="2"/>
  <c r="V60" i="8" s="1" a="1"/>
  <c r="V60" i="8" s="1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V80" i="8" s="1" a="1"/>
  <c r="V80" i="8" s="1"/>
  <c r="P82" i="2"/>
  <c r="P83" i="2"/>
  <c r="V82" i="8" s="1" a="1"/>
  <c r="V82" i="8" s="1"/>
  <c r="P84" i="2"/>
  <c r="P85" i="2"/>
  <c r="P86" i="2"/>
  <c r="V85" i="8" s="1" a="1"/>
  <c r="V85" i="8" s="1"/>
  <c r="P87" i="2"/>
  <c r="P88" i="2"/>
  <c r="V87" i="8" s="1" a="1"/>
  <c r="V87" i="8" s="1"/>
  <c r="P89" i="2"/>
  <c r="P90" i="2"/>
  <c r="P91" i="2"/>
  <c r="P92" i="2"/>
  <c r="P93" i="2"/>
  <c r="V92" i="8" s="1" a="1"/>
  <c r="V92" i="8" s="1"/>
  <c r="P94" i="2"/>
  <c r="P95" i="2"/>
  <c r="V94" i="8" s="1" a="1"/>
  <c r="V94" i="8" s="1"/>
  <c r="P96" i="2"/>
  <c r="V95" i="8" s="1" a="1"/>
  <c r="V95" i="8" s="1"/>
  <c r="P97" i="2"/>
  <c r="V96" i="8" s="1" a="1"/>
  <c r="V96" i="8" s="1"/>
  <c r="P98" i="2"/>
  <c r="V97" i="8" s="1" a="1"/>
  <c r="V97" i="8" s="1"/>
  <c r="P99" i="2"/>
  <c r="V98" i="8" s="1" a="1"/>
  <c r="V98" i="8" s="1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P27" i="9" l="1"/>
  <c r="Q35" i="9"/>
  <c r="W369" i="5"/>
  <c r="T369" i="5" s="1"/>
  <c r="R369" i="5"/>
  <c r="S369" i="5" s="1"/>
  <c r="Q369" i="5"/>
  <c r="O369" i="5"/>
  <c r="P369" i="5" s="1"/>
  <c r="N369" i="5"/>
  <c r="K369" i="5"/>
  <c r="W368" i="5"/>
  <c r="T368" i="5" s="1"/>
  <c r="R368" i="5"/>
  <c r="S368" i="5" s="1"/>
  <c r="Q368" i="5"/>
  <c r="O368" i="5"/>
  <c r="P368" i="5" s="1"/>
  <c r="N368" i="5"/>
  <c r="K368" i="5"/>
  <c r="W367" i="5"/>
  <c r="T367" i="5" s="1"/>
  <c r="R367" i="5"/>
  <c r="S367" i="5" s="1"/>
  <c r="Q367" i="5"/>
  <c r="O367" i="5"/>
  <c r="P367" i="5" s="1"/>
  <c r="N367" i="5"/>
  <c r="K367" i="5"/>
  <c r="W366" i="5"/>
  <c r="T366" i="5" s="1"/>
  <c r="R366" i="5"/>
  <c r="S366" i="5" s="1"/>
  <c r="Q366" i="5"/>
  <c r="O366" i="5"/>
  <c r="P366" i="5" s="1"/>
  <c r="N366" i="5"/>
  <c r="K366" i="5"/>
  <c r="W365" i="5"/>
  <c r="T365" i="5" s="1"/>
  <c r="R365" i="5"/>
  <c r="S365" i="5" s="1"/>
  <c r="Q365" i="5"/>
  <c r="O365" i="5"/>
  <c r="P365" i="5" s="1"/>
  <c r="N365" i="5"/>
  <c r="K365" i="5"/>
  <c r="W364" i="5"/>
  <c r="T364" i="5" s="1"/>
  <c r="R364" i="5"/>
  <c r="S364" i="5" s="1"/>
  <c r="Q364" i="5"/>
  <c r="O364" i="5"/>
  <c r="P364" i="5" s="1"/>
  <c r="N364" i="5"/>
  <c r="K364" i="5"/>
  <c r="W363" i="5"/>
  <c r="T363" i="5" s="1"/>
  <c r="R363" i="5"/>
  <c r="S363" i="5" s="1"/>
  <c r="Q363" i="5"/>
  <c r="O363" i="5"/>
  <c r="P363" i="5" s="1"/>
  <c r="N363" i="5"/>
  <c r="K363" i="5"/>
  <c r="W362" i="5"/>
  <c r="T362" i="5" s="1"/>
  <c r="R362" i="5"/>
  <c r="S362" i="5" s="1"/>
  <c r="Q362" i="5"/>
  <c r="O362" i="5"/>
  <c r="P362" i="5" s="1"/>
  <c r="N362" i="5"/>
  <c r="K362" i="5"/>
  <c r="W361" i="5"/>
  <c r="T361" i="5" s="1"/>
  <c r="R361" i="5"/>
  <c r="S361" i="5" s="1"/>
  <c r="Q361" i="5"/>
  <c r="O361" i="5"/>
  <c r="P361" i="5" s="1"/>
  <c r="N361" i="5"/>
  <c r="K361" i="5"/>
  <c r="W360" i="5"/>
  <c r="T360" i="5" s="1"/>
  <c r="R360" i="5"/>
  <c r="S360" i="5" s="1"/>
  <c r="Q360" i="5"/>
  <c r="O360" i="5"/>
  <c r="P360" i="5" s="1"/>
  <c r="N360" i="5"/>
  <c r="K360" i="5"/>
  <c r="W359" i="5"/>
  <c r="T359" i="5" s="1"/>
  <c r="R359" i="5"/>
  <c r="S359" i="5" s="1"/>
  <c r="Q359" i="5"/>
  <c r="O359" i="5"/>
  <c r="P359" i="5" s="1"/>
  <c r="N359" i="5"/>
  <c r="K359" i="5"/>
  <c r="W358" i="5"/>
  <c r="T358" i="5" s="1"/>
  <c r="R358" i="5"/>
  <c r="S358" i="5" s="1"/>
  <c r="Q358" i="5"/>
  <c r="O358" i="5"/>
  <c r="P358" i="5" s="1"/>
  <c r="N358" i="5"/>
  <c r="K358" i="5"/>
  <c r="W357" i="5"/>
  <c r="T357" i="5" s="1"/>
  <c r="R357" i="5"/>
  <c r="S357" i="5" s="1"/>
  <c r="Q357" i="5"/>
  <c r="O357" i="5"/>
  <c r="P357" i="5" s="1"/>
  <c r="N357" i="5"/>
  <c r="K357" i="5"/>
  <c r="W356" i="5"/>
  <c r="T356" i="5" s="1"/>
  <c r="R356" i="5"/>
  <c r="S356" i="5" s="1"/>
  <c r="Q356" i="5"/>
  <c r="O356" i="5"/>
  <c r="P356" i="5" s="1"/>
  <c r="N356" i="5"/>
  <c r="K356" i="5"/>
  <c r="W355" i="5"/>
  <c r="T355" i="5" s="1"/>
  <c r="R355" i="5"/>
  <c r="S355" i="5" s="1"/>
  <c r="Q355" i="5"/>
  <c r="O355" i="5"/>
  <c r="P355" i="5" s="1"/>
  <c r="N355" i="5"/>
  <c r="K355" i="5"/>
  <c r="W354" i="5"/>
  <c r="T354" i="5" s="1"/>
  <c r="R354" i="5"/>
  <c r="S354" i="5" s="1"/>
  <c r="Q354" i="5"/>
  <c r="O354" i="5"/>
  <c r="P354" i="5" s="1"/>
  <c r="N354" i="5"/>
  <c r="K354" i="5"/>
  <c r="W353" i="5"/>
  <c r="T353" i="5" s="1"/>
  <c r="R353" i="5"/>
  <c r="S353" i="5" s="1"/>
  <c r="Q353" i="5"/>
  <c r="O353" i="5"/>
  <c r="P353" i="5" s="1"/>
  <c r="N353" i="5"/>
  <c r="K353" i="5"/>
  <c r="W352" i="5"/>
  <c r="T352" i="5" s="1"/>
  <c r="R352" i="5"/>
  <c r="S352" i="5" s="1"/>
  <c r="Q352" i="5"/>
  <c r="O352" i="5"/>
  <c r="P352" i="5" s="1"/>
  <c r="N352" i="5"/>
  <c r="K352" i="5"/>
  <c r="W351" i="5"/>
  <c r="T351" i="5" s="1"/>
  <c r="R351" i="5"/>
  <c r="S351" i="5" s="1"/>
  <c r="Q351" i="5"/>
  <c r="O351" i="5"/>
  <c r="P351" i="5" s="1"/>
  <c r="N351" i="5"/>
  <c r="K351" i="5"/>
  <c r="W350" i="5"/>
  <c r="T350" i="5" s="1"/>
  <c r="R350" i="5"/>
  <c r="S350" i="5" s="1"/>
  <c r="Q350" i="5"/>
  <c r="O350" i="5"/>
  <c r="P350" i="5" s="1"/>
  <c r="N350" i="5"/>
  <c r="K350" i="5"/>
  <c r="W349" i="5"/>
  <c r="T349" i="5" s="1"/>
  <c r="R349" i="5"/>
  <c r="S349" i="5" s="1"/>
  <c r="Q349" i="5"/>
  <c r="O349" i="5"/>
  <c r="P349" i="5" s="1"/>
  <c r="N349" i="5"/>
  <c r="K349" i="5"/>
  <c r="W348" i="5"/>
  <c r="T348" i="5" s="1"/>
  <c r="R348" i="5"/>
  <c r="S348" i="5" s="1"/>
  <c r="Q348" i="5"/>
  <c r="O348" i="5"/>
  <c r="P348" i="5" s="1"/>
  <c r="N348" i="5"/>
  <c r="K348" i="5"/>
  <c r="W347" i="5"/>
  <c r="T347" i="5" s="1"/>
  <c r="R347" i="5"/>
  <c r="S347" i="5" s="1"/>
  <c r="Q347" i="5"/>
  <c r="O347" i="5"/>
  <c r="P347" i="5" s="1"/>
  <c r="N347" i="5"/>
  <c r="K347" i="5"/>
  <c r="W346" i="5"/>
  <c r="T346" i="5" s="1"/>
  <c r="R346" i="5"/>
  <c r="S346" i="5" s="1"/>
  <c r="Q346" i="5"/>
  <c r="O346" i="5"/>
  <c r="P346" i="5" s="1"/>
  <c r="N346" i="5"/>
  <c r="K346" i="5"/>
  <c r="W345" i="5"/>
  <c r="T345" i="5" s="1"/>
  <c r="R345" i="5"/>
  <c r="S345" i="5" s="1"/>
  <c r="Q345" i="5"/>
  <c r="O345" i="5"/>
  <c r="P345" i="5" s="1"/>
  <c r="N345" i="5"/>
  <c r="K345" i="5"/>
  <c r="W344" i="5"/>
  <c r="T344" i="5" s="1"/>
  <c r="R344" i="5"/>
  <c r="S344" i="5" s="1"/>
  <c r="Q344" i="5"/>
  <c r="O344" i="5"/>
  <c r="P344" i="5" s="1"/>
  <c r="N344" i="5"/>
  <c r="K344" i="5"/>
  <c r="W343" i="5"/>
  <c r="T343" i="5" s="1"/>
  <c r="R343" i="5"/>
  <c r="S343" i="5" s="1"/>
  <c r="Q343" i="5"/>
  <c r="O343" i="5"/>
  <c r="P343" i="5" s="1"/>
  <c r="N343" i="5"/>
  <c r="K343" i="5"/>
  <c r="W342" i="5"/>
  <c r="T342" i="5" s="1"/>
  <c r="R342" i="5"/>
  <c r="S342" i="5" s="1"/>
  <c r="Q342" i="5"/>
  <c r="O342" i="5"/>
  <c r="P342" i="5" s="1"/>
  <c r="N342" i="5"/>
  <c r="K342" i="5"/>
  <c r="W341" i="5"/>
  <c r="T341" i="5" s="1"/>
  <c r="R341" i="5"/>
  <c r="S341" i="5" s="1"/>
  <c r="Q341" i="5"/>
  <c r="O341" i="5"/>
  <c r="P341" i="5" s="1"/>
  <c r="N341" i="5"/>
  <c r="K341" i="5"/>
  <c r="W340" i="5"/>
  <c r="T340" i="5" s="1"/>
  <c r="R340" i="5"/>
  <c r="S340" i="5" s="1"/>
  <c r="Q340" i="5"/>
  <c r="O340" i="5"/>
  <c r="P340" i="5" s="1"/>
  <c r="N340" i="5"/>
  <c r="K340" i="5"/>
  <c r="W339" i="5"/>
  <c r="T339" i="5" s="1"/>
  <c r="R339" i="5"/>
  <c r="S339" i="5" s="1"/>
  <c r="Q339" i="5"/>
  <c r="O339" i="5"/>
  <c r="P339" i="5" s="1"/>
  <c r="N339" i="5"/>
  <c r="K339" i="5"/>
  <c r="W338" i="5"/>
  <c r="T338" i="5" s="1"/>
  <c r="R338" i="5"/>
  <c r="S338" i="5" s="1"/>
  <c r="Q338" i="5"/>
  <c r="O338" i="5"/>
  <c r="P338" i="5" s="1"/>
  <c r="N338" i="5"/>
  <c r="K338" i="5"/>
  <c r="W337" i="5"/>
  <c r="T337" i="5" s="1"/>
  <c r="R337" i="5"/>
  <c r="S337" i="5" s="1"/>
  <c r="Q337" i="5"/>
  <c r="O337" i="5"/>
  <c r="P337" i="5" s="1"/>
  <c r="N337" i="5"/>
  <c r="K337" i="5"/>
  <c r="W336" i="5"/>
  <c r="T336" i="5" s="1"/>
  <c r="R336" i="5"/>
  <c r="S336" i="5" s="1"/>
  <c r="Q336" i="5"/>
  <c r="O336" i="5"/>
  <c r="P336" i="5" s="1"/>
  <c r="N336" i="5"/>
  <c r="K336" i="5"/>
  <c r="W335" i="5"/>
  <c r="T335" i="5" s="1"/>
  <c r="R335" i="5"/>
  <c r="S335" i="5" s="1"/>
  <c r="Q335" i="5"/>
  <c r="O335" i="5"/>
  <c r="P335" i="5" s="1"/>
  <c r="N335" i="5"/>
  <c r="K335" i="5"/>
  <c r="W334" i="5"/>
  <c r="T334" i="5" s="1"/>
  <c r="R334" i="5"/>
  <c r="S334" i="5" s="1"/>
  <c r="Q334" i="5"/>
  <c r="O334" i="5"/>
  <c r="P334" i="5" s="1"/>
  <c r="N334" i="5"/>
  <c r="K334" i="5"/>
  <c r="W333" i="5"/>
  <c r="T333" i="5" s="1"/>
  <c r="R333" i="5"/>
  <c r="S333" i="5" s="1"/>
  <c r="Q333" i="5"/>
  <c r="O333" i="5"/>
  <c r="P333" i="5" s="1"/>
  <c r="N333" i="5"/>
  <c r="K333" i="5"/>
  <c r="W332" i="5"/>
  <c r="T332" i="5" s="1"/>
  <c r="R332" i="5"/>
  <c r="S332" i="5" s="1"/>
  <c r="Q332" i="5"/>
  <c r="O332" i="5"/>
  <c r="P332" i="5" s="1"/>
  <c r="N332" i="5"/>
  <c r="K332" i="5"/>
  <c r="W331" i="5"/>
  <c r="T331" i="5" s="1"/>
  <c r="R331" i="5"/>
  <c r="S331" i="5" s="1"/>
  <c r="Q331" i="5"/>
  <c r="O331" i="5"/>
  <c r="P331" i="5" s="1"/>
  <c r="N331" i="5"/>
  <c r="K331" i="5"/>
  <c r="W330" i="5"/>
  <c r="T330" i="5" s="1"/>
  <c r="R330" i="5"/>
  <c r="S330" i="5" s="1"/>
  <c r="Q330" i="5"/>
  <c r="O330" i="5"/>
  <c r="P330" i="5" s="1"/>
  <c r="N330" i="5"/>
  <c r="K330" i="5"/>
  <c r="W329" i="5"/>
  <c r="T329" i="5" s="1"/>
  <c r="R329" i="5"/>
  <c r="S329" i="5" s="1"/>
  <c r="Q329" i="5"/>
  <c r="O329" i="5"/>
  <c r="P329" i="5" s="1"/>
  <c r="N329" i="5"/>
  <c r="K329" i="5"/>
  <c r="W328" i="5"/>
  <c r="T328" i="5" s="1"/>
  <c r="R328" i="5"/>
  <c r="S328" i="5" s="1"/>
  <c r="Q328" i="5"/>
  <c r="O328" i="5"/>
  <c r="P328" i="5" s="1"/>
  <c r="N328" i="5"/>
  <c r="K328" i="5"/>
  <c r="W327" i="5"/>
  <c r="T327" i="5" s="1"/>
  <c r="R327" i="5"/>
  <c r="S327" i="5" s="1"/>
  <c r="Q327" i="5"/>
  <c r="O327" i="5"/>
  <c r="P327" i="5" s="1"/>
  <c r="N327" i="5"/>
  <c r="K327" i="5"/>
  <c r="W326" i="5"/>
  <c r="T326" i="5" s="1"/>
  <c r="R326" i="5"/>
  <c r="S326" i="5" s="1"/>
  <c r="Q326" i="5"/>
  <c r="O326" i="5"/>
  <c r="P326" i="5" s="1"/>
  <c r="N326" i="5"/>
  <c r="K326" i="5"/>
  <c r="W325" i="5"/>
  <c r="T325" i="5" s="1"/>
  <c r="R325" i="5"/>
  <c r="S325" i="5" s="1"/>
  <c r="Q325" i="5"/>
  <c r="O325" i="5"/>
  <c r="P325" i="5" s="1"/>
  <c r="N325" i="5"/>
  <c r="K325" i="5"/>
  <c r="W324" i="5"/>
  <c r="T324" i="5" s="1"/>
  <c r="R324" i="5"/>
  <c r="S324" i="5" s="1"/>
  <c r="Q324" i="5"/>
  <c r="O324" i="5"/>
  <c r="P324" i="5" s="1"/>
  <c r="N324" i="5"/>
  <c r="K324" i="5"/>
  <c r="W323" i="5"/>
  <c r="T323" i="5" s="1"/>
  <c r="R323" i="5"/>
  <c r="S323" i="5" s="1"/>
  <c r="Q323" i="5"/>
  <c r="O323" i="5"/>
  <c r="P323" i="5" s="1"/>
  <c r="N323" i="5"/>
  <c r="K323" i="5"/>
  <c r="W322" i="5"/>
  <c r="T322" i="5" s="1"/>
  <c r="R322" i="5"/>
  <c r="S322" i="5" s="1"/>
  <c r="Q322" i="5"/>
  <c r="O322" i="5"/>
  <c r="P322" i="5" s="1"/>
  <c r="N322" i="5"/>
  <c r="K322" i="5"/>
  <c r="W321" i="5"/>
  <c r="T321" i="5" s="1"/>
  <c r="R321" i="5"/>
  <c r="S321" i="5" s="1"/>
  <c r="Q321" i="5"/>
  <c r="O321" i="5"/>
  <c r="P321" i="5" s="1"/>
  <c r="N321" i="5"/>
  <c r="K321" i="5"/>
  <c r="W320" i="5"/>
  <c r="T320" i="5" s="1"/>
  <c r="R320" i="5"/>
  <c r="S320" i="5" s="1"/>
  <c r="Q320" i="5"/>
  <c r="O320" i="5"/>
  <c r="P320" i="5" s="1"/>
  <c r="N320" i="5"/>
  <c r="K320" i="5"/>
  <c r="W319" i="5"/>
  <c r="T319" i="5" s="1"/>
  <c r="R319" i="5"/>
  <c r="S319" i="5" s="1"/>
  <c r="Q319" i="5"/>
  <c r="O319" i="5"/>
  <c r="P319" i="5" s="1"/>
  <c r="N319" i="5"/>
  <c r="K319" i="5"/>
  <c r="W318" i="5"/>
  <c r="T318" i="5" s="1"/>
  <c r="R318" i="5"/>
  <c r="S318" i="5" s="1"/>
  <c r="Q318" i="5"/>
  <c r="O318" i="5"/>
  <c r="P318" i="5" s="1"/>
  <c r="N318" i="5"/>
  <c r="K318" i="5"/>
  <c r="W317" i="5"/>
  <c r="T317" i="5" s="1"/>
  <c r="R317" i="5"/>
  <c r="S317" i="5" s="1"/>
  <c r="Q317" i="5"/>
  <c r="O317" i="5"/>
  <c r="P317" i="5" s="1"/>
  <c r="N317" i="5"/>
  <c r="K317" i="5"/>
  <c r="W316" i="5"/>
  <c r="T316" i="5" s="1"/>
  <c r="R316" i="5"/>
  <c r="S316" i="5" s="1"/>
  <c r="Q316" i="5"/>
  <c r="O316" i="5"/>
  <c r="P316" i="5" s="1"/>
  <c r="N316" i="5"/>
  <c r="K316" i="5"/>
  <c r="W315" i="5"/>
  <c r="T315" i="5" s="1"/>
  <c r="R315" i="5"/>
  <c r="S315" i="5" s="1"/>
  <c r="Q315" i="5"/>
  <c r="O315" i="5"/>
  <c r="P315" i="5" s="1"/>
  <c r="N315" i="5"/>
  <c r="K315" i="5"/>
  <c r="W314" i="5"/>
  <c r="T314" i="5" s="1"/>
  <c r="R314" i="5"/>
  <c r="S314" i="5" s="1"/>
  <c r="Q314" i="5"/>
  <c r="O314" i="5"/>
  <c r="P314" i="5" s="1"/>
  <c r="N314" i="5"/>
  <c r="K314" i="5"/>
  <c r="W313" i="5"/>
  <c r="T313" i="5" s="1"/>
  <c r="R313" i="5"/>
  <c r="S313" i="5" s="1"/>
  <c r="Q313" i="5"/>
  <c r="O313" i="5"/>
  <c r="P313" i="5" s="1"/>
  <c r="N313" i="5"/>
  <c r="K313" i="5"/>
  <c r="W312" i="5"/>
  <c r="T312" i="5" s="1"/>
  <c r="R312" i="5"/>
  <c r="S312" i="5" s="1"/>
  <c r="Q312" i="5"/>
  <c r="O312" i="5"/>
  <c r="P312" i="5" s="1"/>
  <c r="N312" i="5"/>
  <c r="K312" i="5"/>
  <c r="W311" i="5"/>
  <c r="T311" i="5" s="1"/>
  <c r="R311" i="5"/>
  <c r="S311" i="5" s="1"/>
  <c r="Q311" i="5"/>
  <c r="O311" i="5"/>
  <c r="P311" i="5" s="1"/>
  <c r="N311" i="5"/>
  <c r="K311" i="5"/>
  <c r="W310" i="5"/>
  <c r="T310" i="5" s="1"/>
  <c r="R310" i="5"/>
  <c r="S310" i="5" s="1"/>
  <c r="Q310" i="5"/>
  <c r="O310" i="5"/>
  <c r="P310" i="5" s="1"/>
  <c r="N310" i="5"/>
  <c r="K310" i="5"/>
  <c r="W309" i="5"/>
  <c r="T309" i="5" s="1"/>
  <c r="R309" i="5"/>
  <c r="S309" i="5" s="1"/>
  <c r="Q309" i="5"/>
  <c r="O309" i="5"/>
  <c r="P309" i="5" s="1"/>
  <c r="N309" i="5"/>
  <c r="K309" i="5"/>
  <c r="W308" i="5"/>
  <c r="T308" i="5" s="1"/>
  <c r="R308" i="5"/>
  <c r="S308" i="5" s="1"/>
  <c r="Q308" i="5"/>
  <c r="O308" i="5"/>
  <c r="P308" i="5" s="1"/>
  <c r="N308" i="5"/>
  <c r="K308" i="5"/>
  <c r="W307" i="5"/>
  <c r="T307" i="5" s="1"/>
  <c r="R307" i="5"/>
  <c r="S307" i="5" s="1"/>
  <c r="Q307" i="5"/>
  <c r="O307" i="5"/>
  <c r="P307" i="5" s="1"/>
  <c r="N307" i="5"/>
  <c r="K307" i="5"/>
  <c r="W306" i="5"/>
  <c r="T306" i="5" s="1"/>
  <c r="R306" i="5"/>
  <c r="S306" i="5" s="1"/>
  <c r="Q306" i="5"/>
  <c r="O306" i="5"/>
  <c r="P306" i="5" s="1"/>
  <c r="N306" i="5"/>
  <c r="K306" i="5"/>
  <c r="W305" i="5"/>
  <c r="T305" i="5" s="1"/>
  <c r="R305" i="5"/>
  <c r="S305" i="5" s="1"/>
  <c r="Q305" i="5"/>
  <c r="O305" i="5"/>
  <c r="P305" i="5" s="1"/>
  <c r="N305" i="5"/>
  <c r="K305" i="5"/>
  <c r="W304" i="5"/>
  <c r="T304" i="5" s="1"/>
  <c r="R304" i="5"/>
  <c r="S304" i="5" s="1"/>
  <c r="Q304" i="5"/>
  <c r="O304" i="5"/>
  <c r="P304" i="5" s="1"/>
  <c r="N304" i="5"/>
  <c r="K304" i="5"/>
  <c r="W303" i="5"/>
  <c r="T303" i="5" s="1"/>
  <c r="R303" i="5"/>
  <c r="S303" i="5" s="1"/>
  <c r="Q303" i="5"/>
  <c r="O303" i="5"/>
  <c r="P303" i="5" s="1"/>
  <c r="N303" i="5"/>
  <c r="K303" i="5"/>
  <c r="W302" i="5"/>
  <c r="T302" i="5" s="1"/>
  <c r="R302" i="5"/>
  <c r="S302" i="5" s="1"/>
  <c r="Q302" i="5"/>
  <c r="O302" i="5"/>
  <c r="P302" i="5" s="1"/>
  <c r="N302" i="5"/>
  <c r="K302" i="5"/>
  <c r="W301" i="5"/>
  <c r="T301" i="5" s="1"/>
  <c r="R301" i="5"/>
  <c r="S301" i="5" s="1"/>
  <c r="Q301" i="5"/>
  <c r="O301" i="5"/>
  <c r="P301" i="5" s="1"/>
  <c r="N301" i="5"/>
  <c r="K301" i="5"/>
  <c r="W300" i="5"/>
  <c r="T300" i="5" s="1"/>
  <c r="R300" i="5"/>
  <c r="S300" i="5" s="1"/>
  <c r="Q300" i="5"/>
  <c r="O300" i="5"/>
  <c r="P300" i="5" s="1"/>
  <c r="N300" i="5"/>
  <c r="K300" i="5"/>
  <c r="W299" i="5"/>
  <c r="T299" i="5" s="1"/>
  <c r="R299" i="5"/>
  <c r="S299" i="5" s="1"/>
  <c r="Q299" i="5"/>
  <c r="O299" i="5"/>
  <c r="P299" i="5" s="1"/>
  <c r="N299" i="5"/>
  <c r="K299" i="5"/>
  <c r="W298" i="5"/>
  <c r="T298" i="5" s="1"/>
  <c r="R298" i="5"/>
  <c r="S298" i="5" s="1"/>
  <c r="Q298" i="5"/>
  <c r="O298" i="5"/>
  <c r="P298" i="5" s="1"/>
  <c r="N298" i="5"/>
  <c r="K298" i="5"/>
  <c r="W297" i="5"/>
  <c r="T297" i="5" s="1"/>
  <c r="R297" i="5"/>
  <c r="S297" i="5" s="1"/>
  <c r="Q297" i="5"/>
  <c r="O297" i="5"/>
  <c r="P297" i="5" s="1"/>
  <c r="N297" i="5"/>
  <c r="K297" i="5"/>
  <c r="W296" i="5"/>
  <c r="T296" i="5" s="1"/>
  <c r="R296" i="5"/>
  <c r="S296" i="5" s="1"/>
  <c r="Q296" i="5"/>
  <c r="O296" i="5"/>
  <c r="P296" i="5" s="1"/>
  <c r="N296" i="5"/>
  <c r="K296" i="5"/>
  <c r="W295" i="5"/>
  <c r="T295" i="5" s="1"/>
  <c r="R295" i="5"/>
  <c r="S295" i="5" s="1"/>
  <c r="Q295" i="5"/>
  <c r="O295" i="5"/>
  <c r="P295" i="5" s="1"/>
  <c r="N295" i="5"/>
  <c r="K295" i="5"/>
  <c r="W294" i="5"/>
  <c r="T294" i="5" s="1"/>
  <c r="R294" i="5"/>
  <c r="S294" i="5" s="1"/>
  <c r="Q294" i="5"/>
  <c r="O294" i="5"/>
  <c r="P294" i="5" s="1"/>
  <c r="N294" i="5"/>
  <c r="K294" i="5"/>
  <c r="W293" i="5"/>
  <c r="T293" i="5" s="1"/>
  <c r="R293" i="5"/>
  <c r="S293" i="5" s="1"/>
  <c r="Q293" i="5"/>
  <c r="O293" i="5"/>
  <c r="P293" i="5" s="1"/>
  <c r="N293" i="5"/>
  <c r="K293" i="5"/>
  <c r="W292" i="5"/>
  <c r="T292" i="5" s="1"/>
  <c r="R292" i="5"/>
  <c r="S292" i="5" s="1"/>
  <c r="Q292" i="5"/>
  <c r="O292" i="5"/>
  <c r="P292" i="5" s="1"/>
  <c r="N292" i="5"/>
  <c r="K292" i="5"/>
  <c r="W291" i="5"/>
  <c r="T291" i="5" s="1"/>
  <c r="R291" i="5"/>
  <c r="S291" i="5" s="1"/>
  <c r="Q291" i="5"/>
  <c r="O291" i="5"/>
  <c r="P291" i="5" s="1"/>
  <c r="N291" i="5"/>
  <c r="K291" i="5"/>
  <c r="W290" i="5"/>
  <c r="T290" i="5" s="1"/>
  <c r="R290" i="5"/>
  <c r="S290" i="5" s="1"/>
  <c r="Q290" i="5"/>
  <c r="O290" i="5"/>
  <c r="P290" i="5" s="1"/>
  <c r="N290" i="5"/>
  <c r="K290" i="5"/>
  <c r="W289" i="5"/>
  <c r="T289" i="5" s="1"/>
  <c r="R289" i="5"/>
  <c r="S289" i="5" s="1"/>
  <c r="Q289" i="5"/>
  <c r="O289" i="5"/>
  <c r="P289" i="5" s="1"/>
  <c r="N289" i="5"/>
  <c r="K289" i="5"/>
  <c r="W288" i="5"/>
  <c r="T288" i="5" s="1"/>
  <c r="R288" i="5"/>
  <c r="S288" i="5" s="1"/>
  <c r="Q288" i="5"/>
  <c r="O288" i="5"/>
  <c r="P288" i="5" s="1"/>
  <c r="N288" i="5"/>
  <c r="K288" i="5"/>
  <c r="W287" i="5"/>
  <c r="T287" i="5" s="1"/>
  <c r="R287" i="5"/>
  <c r="S287" i="5" s="1"/>
  <c r="Q287" i="5"/>
  <c r="O287" i="5"/>
  <c r="P287" i="5" s="1"/>
  <c r="N287" i="5"/>
  <c r="K287" i="5"/>
  <c r="W286" i="5"/>
  <c r="T286" i="5" s="1"/>
  <c r="R286" i="5"/>
  <c r="S286" i="5" s="1"/>
  <c r="Q286" i="5"/>
  <c r="O286" i="5"/>
  <c r="P286" i="5" s="1"/>
  <c r="N286" i="5"/>
  <c r="K286" i="5"/>
  <c r="W285" i="5"/>
  <c r="T285" i="5" s="1"/>
  <c r="R285" i="5"/>
  <c r="S285" i="5" s="1"/>
  <c r="Q285" i="5"/>
  <c r="O285" i="5"/>
  <c r="P285" i="5" s="1"/>
  <c r="N285" i="5"/>
  <c r="K285" i="5"/>
  <c r="W284" i="5"/>
  <c r="T284" i="5" s="1"/>
  <c r="R284" i="5"/>
  <c r="S284" i="5" s="1"/>
  <c r="Q284" i="5"/>
  <c r="O284" i="5"/>
  <c r="P284" i="5" s="1"/>
  <c r="N284" i="5"/>
  <c r="K284" i="5"/>
  <c r="W283" i="5"/>
  <c r="T283" i="5" s="1"/>
  <c r="R283" i="5"/>
  <c r="S283" i="5" s="1"/>
  <c r="Q283" i="5"/>
  <c r="O283" i="5"/>
  <c r="P283" i="5" s="1"/>
  <c r="N283" i="5"/>
  <c r="K283" i="5"/>
  <c r="W282" i="5"/>
  <c r="T282" i="5" s="1"/>
  <c r="R282" i="5"/>
  <c r="S282" i="5" s="1"/>
  <c r="Q282" i="5"/>
  <c r="O282" i="5"/>
  <c r="P282" i="5" s="1"/>
  <c r="N282" i="5"/>
  <c r="K282" i="5"/>
  <c r="W281" i="5"/>
  <c r="T281" i="5" s="1"/>
  <c r="R281" i="5"/>
  <c r="S281" i="5" s="1"/>
  <c r="Q281" i="5"/>
  <c r="O281" i="5"/>
  <c r="P281" i="5" s="1"/>
  <c r="N281" i="5"/>
  <c r="K281" i="5"/>
  <c r="W280" i="5"/>
  <c r="T280" i="5" s="1"/>
  <c r="R280" i="5"/>
  <c r="S280" i="5" s="1"/>
  <c r="Q280" i="5"/>
  <c r="O280" i="5"/>
  <c r="P280" i="5" s="1"/>
  <c r="N280" i="5"/>
  <c r="K280" i="5"/>
  <c r="W279" i="5"/>
  <c r="T279" i="5" s="1"/>
  <c r="R279" i="5"/>
  <c r="S279" i="5" s="1"/>
  <c r="Q279" i="5"/>
  <c r="O279" i="5"/>
  <c r="P279" i="5" s="1"/>
  <c r="N279" i="5"/>
  <c r="K279" i="5"/>
  <c r="W278" i="5"/>
  <c r="T278" i="5" s="1"/>
  <c r="R278" i="5"/>
  <c r="S278" i="5" s="1"/>
  <c r="Q278" i="5"/>
  <c r="O278" i="5"/>
  <c r="P278" i="5" s="1"/>
  <c r="N278" i="5"/>
  <c r="K278" i="5"/>
  <c r="W277" i="5"/>
  <c r="T277" i="5" s="1"/>
  <c r="R277" i="5"/>
  <c r="S277" i="5" s="1"/>
  <c r="Q277" i="5"/>
  <c r="O277" i="5"/>
  <c r="P277" i="5" s="1"/>
  <c r="N277" i="5"/>
  <c r="K277" i="5"/>
  <c r="W276" i="5"/>
  <c r="T276" i="5" s="1"/>
  <c r="R276" i="5"/>
  <c r="S276" i="5" s="1"/>
  <c r="Q276" i="5"/>
  <c r="O276" i="5"/>
  <c r="P276" i="5" s="1"/>
  <c r="N276" i="5"/>
  <c r="K276" i="5"/>
  <c r="W275" i="5"/>
  <c r="T275" i="5" s="1"/>
  <c r="R275" i="5"/>
  <c r="S275" i="5" s="1"/>
  <c r="Q275" i="5"/>
  <c r="O275" i="5"/>
  <c r="P275" i="5" s="1"/>
  <c r="N275" i="5"/>
  <c r="K275" i="5"/>
  <c r="W274" i="5"/>
  <c r="T274" i="5" s="1"/>
  <c r="R274" i="5"/>
  <c r="S274" i="5" s="1"/>
  <c r="Q274" i="5"/>
  <c r="O274" i="5"/>
  <c r="P274" i="5" s="1"/>
  <c r="N274" i="5"/>
  <c r="K274" i="5"/>
  <c r="W273" i="5"/>
  <c r="T273" i="5" s="1"/>
  <c r="R273" i="5"/>
  <c r="S273" i="5" s="1"/>
  <c r="Q273" i="5"/>
  <c r="O273" i="5"/>
  <c r="P273" i="5" s="1"/>
  <c r="N273" i="5"/>
  <c r="K273" i="5"/>
  <c r="W272" i="5"/>
  <c r="T272" i="5" s="1"/>
  <c r="R272" i="5"/>
  <c r="S272" i="5" s="1"/>
  <c r="Q272" i="5"/>
  <c r="O272" i="5"/>
  <c r="P272" i="5" s="1"/>
  <c r="N272" i="5"/>
  <c r="K272" i="5"/>
  <c r="W271" i="5"/>
  <c r="T271" i="5" s="1"/>
  <c r="R271" i="5"/>
  <c r="S271" i="5" s="1"/>
  <c r="Q271" i="5"/>
  <c r="O271" i="5"/>
  <c r="P271" i="5" s="1"/>
  <c r="N271" i="5"/>
  <c r="K271" i="5"/>
  <c r="W270" i="5"/>
  <c r="T270" i="5" s="1"/>
  <c r="R270" i="5"/>
  <c r="S270" i="5" s="1"/>
  <c r="Q270" i="5"/>
  <c r="O270" i="5"/>
  <c r="P270" i="5" s="1"/>
  <c r="N270" i="5"/>
  <c r="K270" i="5"/>
  <c r="W269" i="5"/>
  <c r="T269" i="5" s="1"/>
  <c r="R269" i="5"/>
  <c r="S269" i="5" s="1"/>
  <c r="Q269" i="5"/>
  <c r="O269" i="5"/>
  <c r="P269" i="5" s="1"/>
  <c r="N269" i="5"/>
  <c r="K269" i="5"/>
  <c r="W268" i="5"/>
  <c r="T268" i="5" s="1"/>
  <c r="R268" i="5"/>
  <c r="S268" i="5" s="1"/>
  <c r="Q268" i="5"/>
  <c r="O268" i="5"/>
  <c r="P268" i="5" s="1"/>
  <c r="N268" i="5"/>
  <c r="K268" i="5"/>
  <c r="W267" i="5"/>
  <c r="T267" i="5" s="1"/>
  <c r="R267" i="5"/>
  <c r="S267" i="5" s="1"/>
  <c r="Q267" i="5"/>
  <c r="O267" i="5"/>
  <c r="P267" i="5" s="1"/>
  <c r="N267" i="5"/>
  <c r="K267" i="5"/>
  <c r="W266" i="5"/>
  <c r="T266" i="5" s="1"/>
  <c r="R266" i="5"/>
  <c r="S266" i="5" s="1"/>
  <c r="Q266" i="5"/>
  <c r="O266" i="5"/>
  <c r="P266" i="5" s="1"/>
  <c r="N266" i="5"/>
  <c r="K266" i="5"/>
  <c r="W265" i="5"/>
  <c r="T265" i="5" s="1"/>
  <c r="R265" i="5"/>
  <c r="S265" i="5" s="1"/>
  <c r="Q265" i="5"/>
  <c r="O265" i="5"/>
  <c r="P265" i="5" s="1"/>
  <c r="N265" i="5"/>
  <c r="K265" i="5"/>
  <c r="W264" i="5"/>
  <c r="T264" i="5" s="1"/>
  <c r="R264" i="5"/>
  <c r="S264" i="5" s="1"/>
  <c r="Q264" i="5"/>
  <c r="O264" i="5"/>
  <c r="P264" i="5" s="1"/>
  <c r="N264" i="5"/>
  <c r="K264" i="5"/>
  <c r="W263" i="5"/>
  <c r="T263" i="5" s="1"/>
  <c r="R263" i="5"/>
  <c r="S263" i="5" s="1"/>
  <c r="Q263" i="5"/>
  <c r="O263" i="5"/>
  <c r="P263" i="5" s="1"/>
  <c r="N263" i="5"/>
  <c r="K263" i="5"/>
  <c r="W262" i="5"/>
  <c r="T262" i="5" s="1"/>
  <c r="R262" i="5"/>
  <c r="S262" i="5" s="1"/>
  <c r="Q262" i="5"/>
  <c r="O262" i="5"/>
  <c r="P262" i="5" s="1"/>
  <c r="N262" i="5"/>
  <c r="K262" i="5"/>
  <c r="W261" i="5"/>
  <c r="T261" i="5" s="1"/>
  <c r="R261" i="5"/>
  <c r="S261" i="5" s="1"/>
  <c r="Q261" i="5"/>
  <c r="O261" i="5"/>
  <c r="P261" i="5" s="1"/>
  <c r="N261" i="5"/>
  <c r="K261" i="5"/>
  <c r="W260" i="5"/>
  <c r="T260" i="5" s="1"/>
  <c r="R260" i="5"/>
  <c r="S260" i="5" s="1"/>
  <c r="Q260" i="5"/>
  <c r="O260" i="5"/>
  <c r="P260" i="5" s="1"/>
  <c r="N260" i="5"/>
  <c r="K260" i="5"/>
  <c r="W259" i="5"/>
  <c r="T259" i="5" s="1"/>
  <c r="R259" i="5"/>
  <c r="S259" i="5" s="1"/>
  <c r="Q259" i="5"/>
  <c r="O259" i="5"/>
  <c r="P259" i="5" s="1"/>
  <c r="N259" i="5"/>
  <c r="K259" i="5"/>
  <c r="W258" i="5"/>
  <c r="T258" i="5" s="1"/>
  <c r="R258" i="5"/>
  <c r="S258" i="5" s="1"/>
  <c r="Q258" i="5"/>
  <c r="O258" i="5"/>
  <c r="P258" i="5" s="1"/>
  <c r="N258" i="5"/>
  <c r="K258" i="5"/>
  <c r="W257" i="5"/>
  <c r="T257" i="5" s="1"/>
  <c r="R257" i="5"/>
  <c r="S257" i="5" s="1"/>
  <c r="Q257" i="5"/>
  <c r="O257" i="5"/>
  <c r="P257" i="5" s="1"/>
  <c r="N257" i="5"/>
  <c r="K257" i="5"/>
  <c r="W256" i="5"/>
  <c r="T256" i="5" s="1"/>
  <c r="R256" i="5"/>
  <c r="S256" i="5" s="1"/>
  <c r="Q256" i="5"/>
  <c r="O256" i="5"/>
  <c r="P256" i="5" s="1"/>
  <c r="N256" i="5"/>
  <c r="K256" i="5"/>
  <c r="W255" i="5"/>
  <c r="T255" i="5" s="1"/>
  <c r="R255" i="5"/>
  <c r="S255" i="5" s="1"/>
  <c r="Q255" i="5"/>
  <c r="O255" i="5"/>
  <c r="P255" i="5" s="1"/>
  <c r="N255" i="5"/>
  <c r="K255" i="5"/>
  <c r="W254" i="5"/>
  <c r="T254" i="5" s="1"/>
  <c r="R254" i="5"/>
  <c r="S254" i="5" s="1"/>
  <c r="Q254" i="5"/>
  <c r="O254" i="5"/>
  <c r="P254" i="5" s="1"/>
  <c r="N254" i="5"/>
  <c r="K254" i="5"/>
  <c r="W253" i="5"/>
  <c r="T253" i="5" s="1"/>
  <c r="R253" i="5"/>
  <c r="S253" i="5" s="1"/>
  <c r="Q253" i="5"/>
  <c r="O253" i="5"/>
  <c r="P253" i="5" s="1"/>
  <c r="N253" i="5"/>
  <c r="K253" i="5"/>
  <c r="W252" i="5"/>
  <c r="T252" i="5" s="1"/>
  <c r="R252" i="5"/>
  <c r="S252" i="5" s="1"/>
  <c r="Q252" i="5"/>
  <c r="O252" i="5"/>
  <c r="P252" i="5" s="1"/>
  <c r="N252" i="5"/>
  <c r="K252" i="5"/>
  <c r="W251" i="5"/>
  <c r="T251" i="5" s="1"/>
  <c r="R251" i="5"/>
  <c r="S251" i="5" s="1"/>
  <c r="Q251" i="5"/>
  <c r="O251" i="5"/>
  <c r="P251" i="5" s="1"/>
  <c r="N251" i="5"/>
  <c r="K251" i="5"/>
  <c r="W250" i="5"/>
  <c r="T250" i="5" s="1"/>
  <c r="R250" i="5"/>
  <c r="S250" i="5" s="1"/>
  <c r="Q250" i="5"/>
  <c r="O250" i="5"/>
  <c r="P250" i="5" s="1"/>
  <c r="N250" i="5"/>
  <c r="K250" i="5"/>
  <c r="W249" i="5"/>
  <c r="T249" i="5" s="1"/>
  <c r="R249" i="5"/>
  <c r="S249" i="5" s="1"/>
  <c r="Q249" i="5"/>
  <c r="O249" i="5"/>
  <c r="P249" i="5" s="1"/>
  <c r="N249" i="5"/>
  <c r="K249" i="5"/>
  <c r="W248" i="5"/>
  <c r="T248" i="5" s="1"/>
  <c r="R248" i="5"/>
  <c r="S248" i="5" s="1"/>
  <c r="Q248" i="5"/>
  <c r="O248" i="5"/>
  <c r="P248" i="5" s="1"/>
  <c r="N248" i="5"/>
  <c r="K248" i="5"/>
  <c r="W247" i="5"/>
  <c r="T247" i="5" s="1"/>
  <c r="R247" i="5"/>
  <c r="S247" i="5" s="1"/>
  <c r="Q247" i="5"/>
  <c r="O247" i="5"/>
  <c r="P247" i="5" s="1"/>
  <c r="N247" i="5"/>
  <c r="K247" i="5"/>
  <c r="W246" i="5"/>
  <c r="T246" i="5" s="1"/>
  <c r="R246" i="5"/>
  <c r="S246" i="5" s="1"/>
  <c r="Q246" i="5"/>
  <c r="O246" i="5"/>
  <c r="P246" i="5" s="1"/>
  <c r="N246" i="5"/>
  <c r="K246" i="5"/>
  <c r="W245" i="5"/>
  <c r="T245" i="5" s="1"/>
  <c r="R245" i="5"/>
  <c r="S245" i="5" s="1"/>
  <c r="Q245" i="5"/>
  <c r="O245" i="5"/>
  <c r="P245" i="5" s="1"/>
  <c r="N245" i="5"/>
  <c r="K245" i="5"/>
  <c r="W244" i="5"/>
  <c r="T244" i="5" s="1"/>
  <c r="R244" i="5"/>
  <c r="S244" i="5" s="1"/>
  <c r="Q244" i="5"/>
  <c r="O244" i="5"/>
  <c r="P244" i="5" s="1"/>
  <c r="N244" i="5"/>
  <c r="K244" i="5"/>
  <c r="W243" i="5"/>
  <c r="T243" i="5" s="1"/>
  <c r="R243" i="5"/>
  <c r="S243" i="5" s="1"/>
  <c r="Q243" i="5"/>
  <c r="O243" i="5"/>
  <c r="P243" i="5" s="1"/>
  <c r="N243" i="5"/>
  <c r="K243" i="5"/>
  <c r="W242" i="5"/>
  <c r="T242" i="5" s="1"/>
  <c r="R242" i="5"/>
  <c r="S242" i="5" s="1"/>
  <c r="Q242" i="5"/>
  <c r="O242" i="5"/>
  <c r="P242" i="5" s="1"/>
  <c r="N242" i="5"/>
  <c r="K242" i="5"/>
  <c r="W241" i="5"/>
  <c r="T241" i="5" s="1"/>
  <c r="R241" i="5"/>
  <c r="S241" i="5" s="1"/>
  <c r="Q241" i="5"/>
  <c r="O241" i="5"/>
  <c r="P241" i="5" s="1"/>
  <c r="N241" i="5"/>
  <c r="K241" i="5"/>
  <c r="W240" i="5"/>
  <c r="T240" i="5" s="1"/>
  <c r="R240" i="5"/>
  <c r="S240" i="5" s="1"/>
  <c r="Q240" i="5"/>
  <c r="O240" i="5"/>
  <c r="P240" i="5" s="1"/>
  <c r="N240" i="5"/>
  <c r="K240" i="5"/>
  <c r="W239" i="5"/>
  <c r="T239" i="5" s="1"/>
  <c r="R239" i="5"/>
  <c r="S239" i="5" s="1"/>
  <c r="Q239" i="5"/>
  <c r="O239" i="5"/>
  <c r="P239" i="5" s="1"/>
  <c r="N239" i="5"/>
  <c r="K239" i="5"/>
  <c r="W238" i="5"/>
  <c r="T238" i="5" s="1"/>
  <c r="R238" i="5"/>
  <c r="S238" i="5" s="1"/>
  <c r="Q238" i="5"/>
  <c r="O238" i="5"/>
  <c r="P238" i="5" s="1"/>
  <c r="N238" i="5"/>
  <c r="K238" i="5"/>
  <c r="W237" i="5"/>
  <c r="T237" i="5" s="1"/>
  <c r="R237" i="5"/>
  <c r="S237" i="5" s="1"/>
  <c r="Q237" i="5"/>
  <c r="O237" i="5"/>
  <c r="P237" i="5" s="1"/>
  <c r="N237" i="5"/>
  <c r="K237" i="5"/>
  <c r="W236" i="5"/>
  <c r="T236" i="5" s="1"/>
  <c r="R236" i="5"/>
  <c r="S236" i="5" s="1"/>
  <c r="Q236" i="5"/>
  <c r="O236" i="5"/>
  <c r="P236" i="5" s="1"/>
  <c r="N236" i="5"/>
  <c r="K236" i="5"/>
  <c r="W235" i="5"/>
  <c r="T235" i="5" s="1"/>
  <c r="R235" i="5"/>
  <c r="S235" i="5" s="1"/>
  <c r="Q235" i="5"/>
  <c r="O235" i="5"/>
  <c r="P235" i="5" s="1"/>
  <c r="N235" i="5"/>
  <c r="K235" i="5"/>
  <c r="W234" i="5"/>
  <c r="T234" i="5" s="1"/>
  <c r="R234" i="5"/>
  <c r="S234" i="5" s="1"/>
  <c r="Q234" i="5"/>
  <c r="O234" i="5"/>
  <c r="P234" i="5" s="1"/>
  <c r="N234" i="5"/>
  <c r="K234" i="5"/>
  <c r="W233" i="5"/>
  <c r="T233" i="5" s="1"/>
  <c r="R233" i="5"/>
  <c r="S233" i="5" s="1"/>
  <c r="Q233" i="5"/>
  <c r="O233" i="5"/>
  <c r="P233" i="5" s="1"/>
  <c r="N233" i="5"/>
  <c r="K233" i="5"/>
  <c r="W232" i="5"/>
  <c r="T232" i="5" s="1"/>
  <c r="R232" i="5"/>
  <c r="S232" i="5" s="1"/>
  <c r="Q232" i="5"/>
  <c r="O232" i="5"/>
  <c r="P232" i="5" s="1"/>
  <c r="N232" i="5"/>
  <c r="K232" i="5"/>
  <c r="W231" i="5"/>
  <c r="T231" i="5" s="1"/>
  <c r="R231" i="5"/>
  <c r="S231" i="5" s="1"/>
  <c r="Q231" i="5"/>
  <c r="O231" i="5"/>
  <c r="P231" i="5" s="1"/>
  <c r="N231" i="5"/>
  <c r="K231" i="5"/>
  <c r="W230" i="5"/>
  <c r="T230" i="5" s="1"/>
  <c r="U230" i="5" s="1"/>
  <c r="V230" i="5" s="1"/>
  <c r="R230" i="5"/>
  <c r="S230" i="5" s="1"/>
  <c r="Q230" i="5"/>
  <c r="O230" i="5"/>
  <c r="P230" i="5" s="1"/>
  <c r="N230" i="5"/>
  <c r="K230" i="5"/>
  <c r="W229" i="5"/>
  <c r="T229" i="5" s="1"/>
  <c r="R229" i="5"/>
  <c r="S229" i="5" s="1"/>
  <c r="Q229" i="5"/>
  <c r="O229" i="5"/>
  <c r="P229" i="5" s="1"/>
  <c r="N229" i="5"/>
  <c r="K229" i="5"/>
  <c r="W228" i="5"/>
  <c r="T228" i="5" s="1"/>
  <c r="R228" i="5"/>
  <c r="S228" i="5" s="1"/>
  <c r="Q228" i="5"/>
  <c r="O228" i="5"/>
  <c r="P228" i="5" s="1"/>
  <c r="N228" i="5"/>
  <c r="K228" i="5"/>
  <c r="W227" i="5"/>
  <c r="T227" i="5" s="1"/>
  <c r="R227" i="5"/>
  <c r="S227" i="5" s="1"/>
  <c r="Q227" i="5"/>
  <c r="O227" i="5"/>
  <c r="P227" i="5" s="1"/>
  <c r="N227" i="5"/>
  <c r="K227" i="5"/>
  <c r="W226" i="5"/>
  <c r="T226" i="5" s="1"/>
  <c r="R226" i="5"/>
  <c r="S226" i="5" s="1"/>
  <c r="Q226" i="5"/>
  <c r="O226" i="5"/>
  <c r="P226" i="5" s="1"/>
  <c r="N226" i="5"/>
  <c r="K226" i="5"/>
  <c r="W225" i="5"/>
  <c r="T225" i="5" s="1"/>
  <c r="R225" i="5"/>
  <c r="S225" i="5" s="1"/>
  <c r="Q225" i="5"/>
  <c r="O225" i="5"/>
  <c r="P225" i="5" s="1"/>
  <c r="N225" i="5"/>
  <c r="K225" i="5"/>
  <c r="W224" i="5"/>
  <c r="T224" i="5" s="1"/>
  <c r="R224" i="5"/>
  <c r="S224" i="5" s="1"/>
  <c r="Q224" i="5"/>
  <c r="O224" i="5"/>
  <c r="P224" i="5" s="1"/>
  <c r="N224" i="5"/>
  <c r="K224" i="5"/>
  <c r="W223" i="5"/>
  <c r="T223" i="5" s="1"/>
  <c r="R223" i="5"/>
  <c r="S223" i="5" s="1"/>
  <c r="Q223" i="5"/>
  <c r="O223" i="5"/>
  <c r="P223" i="5" s="1"/>
  <c r="N223" i="5"/>
  <c r="K223" i="5"/>
  <c r="W222" i="5"/>
  <c r="T222" i="5" s="1"/>
  <c r="R222" i="5"/>
  <c r="S222" i="5" s="1"/>
  <c r="Q222" i="5"/>
  <c r="O222" i="5"/>
  <c r="P222" i="5" s="1"/>
  <c r="N222" i="5"/>
  <c r="K222" i="5"/>
  <c r="W221" i="5"/>
  <c r="T221" i="5" s="1"/>
  <c r="R221" i="5"/>
  <c r="S221" i="5" s="1"/>
  <c r="Q221" i="5"/>
  <c r="O221" i="5"/>
  <c r="P221" i="5" s="1"/>
  <c r="N221" i="5"/>
  <c r="K221" i="5"/>
  <c r="W220" i="5"/>
  <c r="T220" i="5" s="1"/>
  <c r="R220" i="5"/>
  <c r="S220" i="5" s="1"/>
  <c r="Q220" i="5"/>
  <c r="O220" i="5"/>
  <c r="P220" i="5" s="1"/>
  <c r="N220" i="5"/>
  <c r="K220" i="5"/>
  <c r="W219" i="5"/>
  <c r="T219" i="5" s="1"/>
  <c r="R219" i="5"/>
  <c r="S219" i="5" s="1"/>
  <c r="Q219" i="5"/>
  <c r="O219" i="5"/>
  <c r="P219" i="5" s="1"/>
  <c r="N219" i="5"/>
  <c r="K219" i="5"/>
  <c r="W218" i="5"/>
  <c r="T218" i="5" s="1"/>
  <c r="R218" i="5"/>
  <c r="S218" i="5" s="1"/>
  <c r="Q218" i="5"/>
  <c r="O218" i="5"/>
  <c r="P218" i="5" s="1"/>
  <c r="N218" i="5"/>
  <c r="K218" i="5"/>
  <c r="W217" i="5"/>
  <c r="T217" i="5" s="1"/>
  <c r="R217" i="5"/>
  <c r="S217" i="5" s="1"/>
  <c r="Q217" i="5"/>
  <c r="O217" i="5"/>
  <c r="P217" i="5" s="1"/>
  <c r="N217" i="5"/>
  <c r="K217" i="5"/>
  <c r="W216" i="5"/>
  <c r="T216" i="5" s="1"/>
  <c r="R216" i="5"/>
  <c r="S216" i="5" s="1"/>
  <c r="Q216" i="5"/>
  <c r="O216" i="5"/>
  <c r="P216" i="5" s="1"/>
  <c r="N216" i="5"/>
  <c r="K216" i="5"/>
  <c r="W215" i="5"/>
  <c r="T215" i="5" s="1"/>
  <c r="R215" i="5"/>
  <c r="S215" i="5" s="1"/>
  <c r="Q215" i="5"/>
  <c r="O215" i="5"/>
  <c r="P215" i="5" s="1"/>
  <c r="N215" i="5"/>
  <c r="K215" i="5"/>
  <c r="W214" i="5"/>
  <c r="T214" i="5" s="1"/>
  <c r="R214" i="5"/>
  <c r="S214" i="5" s="1"/>
  <c r="Q214" i="5"/>
  <c r="O214" i="5"/>
  <c r="P214" i="5" s="1"/>
  <c r="N214" i="5"/>
  <c r="K214" i="5"/>
  <c r="W213" i="5"/>
  <c r="T213" i="5" s="1"/>
  <c r="R213" i="5"/>
  <c r="S213" i="5" s="1"/>
  <c r="Q213" i="5"/>
  <c r="O213" i="5"/>
  <c r="P213" i="5" s="1"/>
  <c r="N213" i="5"/>
  <c r="K213" i="5"/>
  <c r="W212" i="5"/>
  <c r="T212" i="5" s="1"/>
  <c r="R212" i="5"/>
  <c r="S212" i="5" s="1"/>
  <c r="Q212" i="5"/>
  <c r="O212" i="5"/>
  <c r="P212" i="5" s="1"/>
  <c r="N212" i="5"/>
  <c r="K212" i="5"/>
  <c r="W211" i="5"/>
  <c r="T211" i="5" s="1"/>
  <c r="R211" i="5"/>
  <c r="S211" i="5" s="1"/>
  <c r="Q211" i="5"/>
  <c r="O211" i="5"/>
  <c r="P211" i="5" s="1"/>
  <c r="N211" i="5"/>
  <c r="K211" i="5"/>
  <c r="W210" i="5"/>
  <c r="T210" i="5" s="1"/>
  <c r="R210" i="5"/>
  <c r="S210" i="5" s="1"/>
  <c r="Q210" i="5"/>
  <c r="O210" i="5"/>
  <c r="P210" i="5" s="1"/>
  <c r="N210" i="5"/>
  <c r="K210" i="5"/>
  <c r="W209" i="5"/>
  <c r="T209" i="5" s="1"/>
  <c r="R209" i="5"/>
  <c r="S209" i="5" s="1"/>
  <c r="Q209" i="5"/>
  <c r="O209" i="5"/>
  <c r="P209" i="5" s="1"/>
  <c r="N209" i="5"/>
  <c r="K209" i="5"/>
  <c r="W208" i="5"/>
  <c r="T208" i="5" s="1"/>
  <c r="R208" i="5"/>
  <c r="S208" i="5" s="1"/>
  <c r="Q208" i="5"/>
  <c r="O208" i="5"/>
  <c r="P208" i="5" s="1"/>
  <c r="N208" i="5"/>
  <c r="K208" i="5"/>
  <c r="W207" i="5"/>
  <c r="T207" i="5" s="1"/>
  <c r="R207" i="5"/>
  <c r="S207" i="5" s="1"/>
  <c r="Q207" i="5"/>
  <c r="O207" i="5"/>
  <c r="P207" i="5" s="1"/>
  <c r="N207" i="5"/>
  <c r="K207" i="5"/>
  <c r="W206" i="5"/>
  <c r="T206" i="5" s="1"/>
  <c r="R206" i="5"/>
  <c r="S206" i="5" s="1"/>
  <c r="Q206" i="5"/>
  <c r="O206" i="5"/>
  <c r="P206" i="5" s="1"/>
  <c r="N206" i="5"/>
  <c r="K206" i="5"/>
  <c r="W205" i="5"/>
  <c r="T205" i="5" s="1"/>
  <c r="R205" i="5"/>
  <c r="S205" i="5" s="1"/>
  <c r="Q205" i="5"/>
  <c r="O205" i="5"/>
  <c r="P205" i="5" s="1"/>
  <c r="N205" i="5"/>
  <c r="K205" i="5"/>
  <c r="W204" i="5"/>
  <c r="T204" i="5" s="1"/>
  <c r="R204" i="5"/>
  <c r="S204" i="5" s="1"/>
  <c r="Q204" i="5"/>
  <c r="O204" i="5"/>
  <c r="P204" i="5" s="1"/>
  <c r="N204" i="5"/>
  <c r="K204" i="5"/>
  <c r="W203" i="5"/>
  <c r="T203" i="5" s="1"/>
  <c r="R203" i="5"/>
  <c r="S203" i="5" s="1"/>
  <c r="Q203" i="5"/>
  <c r="O203" i="5"/>
  <c r="P203" i="5" s="1"/>
  <c r="N203" i="5"/>
  <c r="K203" i="5"/>
  <c r="W202" i="5"/>
  <c r="T202" i="5" s="1"/>
  <c r="R202" i="5"/>
  <c r="S202" i="5" s="1"/>
  <c r="Q202" i="5"/>
  <c r="O202" i="5"/>
  <c r="P202" i="5" s="1"/>
  <c r="N202" i="5"/>
  <c r="K202" i="5"/>
  <c r="W201" i="5"/>
  <c r="T201" i="5" s="1"/>
  <c r="R201" i="5"/>
  <c r="S201" i="5" s="1"/>
  <c r="Q201" i="5"/>
  <c r="O201" i="5"/>
  <c r="P201" i="5" s="1"/>
  <c r="N201" i="5"/>
  <c r="K201" i="5"/>
  <c r="W200" i="5"/>
  <c r="T200" i="5" s="1"/>
  <c r="R200" i="5"/>
  <c r="S200" i="5" s="1"/>
  <c r="Q200" i="5"/>
  <c r="O200" i="5"/>
  <c r="P200" i="5" s="1"/>
  <c r="N200" i="5"/>
  <c r="K200" i="5"/>
  <c r="W199" i="5"/>
  <c r="T199" i="5" s="1"/>
  <c r="R199" i="5"/>
  <c r="S199" i="5" s="1"/>
  <c r="Q199" i="5"/>
  <c r="O199" i="5"/>
  <c r="P199" i="5" s="1"/>
  <c r="N199" i="5"/>
  <c r="K199" i="5"/>
  <c r="W198" i="5"/>
  <c r="T198" i="5" s="1"/>
  <c r="R198" i="5"/>
  <c r="S198" i="5" s="1"/>
  <c r="Q198" i="5"/>
  <c r="O198" i="5"/>
  <c r="P198" i="5" s="1"/>
  <c r="N198" i="5"/>
  <c r="K198" i="5"/>
  <c r="W197" i="5"/>
  <c r="T197" i="5" s="1"/>
  <c r="R197" i="5"/>
  <c r="S197" i="5" s="1"/>
  <c r="Q197" i="5"/>
  <c r="O197" i="5"/>
  <c r="P197" i="5" s="1"/>
  <c r="N197" i="5"/>
  <c r="K197" i="5"/>
  <c r="W196" i="5"/>
  <c r="T196" i="5" s="1"/>
  <c r="R196" i="5"/>
  <c r="S196" i="5" s="1"/>
  <c r="Q196" i="5"/>
  <c r="O196" i="5"/>
  <c r="P196" i="5" s="1"/>
  <c r="N196" i="5"/>
  <c r="K196" i="5"/>
  <c r="W195" i="5"/>
  <c r="T195" i="5" s="1"/>
  <c r="R195" i="5"/>
  <c r="S195" i="5" s="1"/>
  <c r="Q195" i="5"/>
  <c r="O195" i="5"/>
  <c r="P195" i="5" s="1"/>
  <c r="N195" i="5"/>
  <c r="K195" i="5"/>
  <c r="W194" i="5"/>
  <c r="T194" i="5" s="1"/>
  <c r="R194" i="5"/>
  <c r="S194" i="5" s="1"/>
  <c r="Q194" i="5"/>
  <c r="O194" i="5"/>
  <c r="P194" i="5" s="1"/>
  <c r="N194" i="5"/>
  <c r="K194" i="5"/>
  <c r="W193" i="5"/>
  <c r="T193" i="5" s="1"/>
  <c r="R193" i="5"/>
  <c r="S193" i="5" s="1"/>
  <c r="Q193" i="5"/>
  <c r="O193" i="5"/>
  <c r="P193" i="5" s="1"/>
  <c r="N193" i="5"/>
  <c r="K193" i="5"/>
  <c r="W192" i="5"/>
  <c r="T192" i="5" s="1"/>
  <c r="R192" i="5"/>
  <c r="S192" i="5" s="1"/>
  <c r="Q192" i="5"/>
  <c r="O192" i="5"/>
  <c r="P192" i="5" s="1"/>
  <c r="N192" i="5"/>
  <c r="K192" i="5"/>
  <c r="W191" i="5"/>
  <c r="T191" i="5" s="1"/>
  <c r="R191" i="5"/>
  <c r="S191" i="5" s="1"/>
  <c r="Q191" i="5"/>
  <c r="O191" i="5"/>
  <c r="P191" i="5" s="1"/>
  <c r="N191" i="5"/>
  <c r="K191" i="5"/>
  <c r="W190" i="5"/>
  <c r="T190" i="5" s="1"/>
  <c r="R190" i="5"/>
  <c r="S190" i="5" s="1"/>
  <c r="Q190" i="5"/>
  <c r="O190" i="5"/>
  <c r="P190" i="5" s="1"/>
  <c r="N190" i="5"/>
  <c r="K190" i="5"/>
  <c r="W189" i="5"/>
  <c r="T189" i="5" s="1"/>
  <c r="R189" i="5"/>
  <c r="S189" i="5" s="1"/>
  <c r="Q189" i="5"/>
  <c r="O189" i="5"/>
  <c r="P189" i="5" s="1"/>
  <c r="N189" i="5"/>
  <c r="K189" i="5"/>
  <c r="W188" i="5"/>
  <c r="T188" i="5" s="1"/>
  <c r="R188" i="5"/>
  <c r="S188" i="5" s="1"/>
  <c r="Q188" i="5"/>
  <c r="O188" i="5"/>
  <c r="P188" i="5" s="1"/>
  <c r="N188" i="5"/>
  <c r="K188" i="5"/>
  <c r="W187" i="5"/>
  <c r="T187" i="5" s="1"/>
  <c r="R187" i="5"/>
  <c r="S187" i="5" s="1"/>
  <c r="Q187" i="5"/>
  <c r="O187" i="5"/>
  <c r="P187" i="5" s="1"/>
  <c r="N187" i="5"/>
  <c r="K187" i="5"/>
  <c r="W186" i="5"/>
  <c r="T186" i="5" s="1"/>
  <c r="R186" i="5"/>
  <c r="S186" i="5" s="1"/>
  <c r="Q186" i="5"/>
  <c r="O186" i="5"/>
  <c r="P186" i="5" s="1"/>
  <c r="N186" i="5"/>
  <c r="K186" i="5"/>
  <c r="W185" i="5"/>
  <c r="T185" i="5" s="1"/>
  <c r="R185" i="5"/>
  <c r="S185" i="5" s="1"/>
  <c r="Q185" i="5"/>
  <c r="O185" i="5"/>
  <c r="P185" i="5" s="1"/>
  <c r="N185" i="5"/>
  <c r="K185" i="5"/>
  <c r="W184" i="5"/>
  <c r="T184" i="5" s="1"/>
  <c r="R184" i="5"/>
  <c r="S184" i="5" s="1"/>
  <c r="Q184" i="5"/>
  <c r="O184" i="5"/>
  <c r="P184" i="5" s="1"/>
  <c r="N184" i="5"/>
  <c r="K184" i="5"/>
  <c r="W183" i="5"/>
  <c r="T183" i="5" s="1"/>
  <c r="R183" i="5"/>
  <c r="S183" i="5" s="1"/>
  <c r="Q183" i="5"/>
  <c r="O183" i="5"/>
  <c r="P183" i="5" s="1"/>
  <c r="N183" i="5"/>
  <c r="K183" i="5"/>
  <c r="W182" i="5"/>
  <c r="T182" i="5" s="1"/>
  <c r="R182" i="5"/>
  <c r="S182" i="5" s="1"/>
  <c r="Q182" i="5"/>
  <c r="O182" i="5"/>
  <c r="P182" i="5" s="1"/>
  <c r="N182" i="5"/>
  <c r="K182" i="5"/>
  <c r="W181" i="5"/>
  <c r="T181" i="5" s="1"/>
  <c r="R181" i="5"/>
  <c r="S181" i="5" s="1"/>
  <c r="Q181" i="5"/>
  <c r="O181" i="5"/>
  <c r="P181" i="5" s="1"/>
  <c r="N181" i="5"/>
  <c r="K181" i="5"/>
  <c r="W180" i="5"/>
  <c r="T180" i="5" s="1"/>
  <c r="R180" i="5"/>
  <c r="S180" i="5" s="1"/>
  <c r="Q180" i="5"/>
  <c r="O180" i="5"/>
  <c r="P180" i="5" s="1"/>
  <c r="N180" i="5"/>
  <c r="K180" i="5"/>
  <c r="W179" i="5"/>
  <c r="T179" i="5" s="1"/>
  <c r="R179" i="5"/>
  <c r="S179" i="5" s="1"/>
  <c r="Q179" i="5"/>
  <c r="O179" i="5"/>
  <c r="P179" i="5" s="1"/>
  <c r="N179" i="5"/>
  <c r="K179" i="5"/>
  <c r="W178" i="5"/>
  <c r="T178" i="5" s="1"/>
  <c r="R178" i="5"/>
  <c r="S178" i="5" s="1"/>
  <c r="Q178" i="5"/>
  <c r="O178" i="5"/>
  <c r="P178" i="5" s="1"/>
  <c r="N178" i="5"/>
  <c r="K178" i="5"/>
  <c r="W177" i="5"/>
  <c r="T177" i="5" s="1"/>
  <c r="R177" i="5"/>
  <c r="S177" i="5" s="1"/>
  <c r="Q177" i="5"/>
  <c r="O177" i="5"/>
  <c r="P177" i="5" s="1"/>
  <c r="N177" i="5"/>
  <c r="K177" i="5"/>
  <c r="W176" i="5"/>
  <c r="T176" i="5" s="1"/>
  <c r="R176" i="5"/>
  <c r="S176" i="5" s="1"/>
  <c r="Q176" i="5"/>
  <c r="O176" i="5"/>
  <c r="P176" i="5" s="1"/>
  <c r="N176" i="5"/>
  <c r="K176" i="5"/>
  <c r="W175" i="5"/>
  <c r="T175" i="5" s="1"/>
  <c r="R175" i="5"/>
  <c r="S175" i="5" s="1"/>
  <c r="Q175" i="5"/>
  <c r="O175" i="5"/>
  <c r="P175" i="5" s="1"/>
  <c r="N175" i="5"/>
  <c r="K175" i="5"/>
  <c r="W174" i="5"/>
  <c r="T174" i="5" s="1"/>
  <c r="R174" i="5"/>
  <c r="S174" i="5" s="1"/>
  <c r="Q174" i="5"/>
  <c r="O174" i="5"/>
  <c r="P174" i="5" s="1"/>
  <c r="N174" i="5"/>
  <c r="K174" i="5"/>
  <c r="W173" i="5"/>
  <c r="T173" i="5" s="1"/>
  <c r="R173" i="5"/>
  <c r="S173" i="5" s="1"/>
  <c r="Q173" i="5"/>
  <c r="O173" i="5"/>
  <c r="P173" i="5" s="1"/>
  <c r="N173" i="5"/>
  <c r="K173" i="5"/>
  <c r="W172" i="5"/>
  <c r="T172" i="5" s="1"/>
  <c r="R172" i="5"/>
  <c r="S172" i="5" s="1"/>
  <c r="Q172" i="5"/>
  <c r="O172" i="5"/>
  <c r="P172" i="5" s="1"/>
  <c r="N172" i="5"/>
  <c r="K172" i="5"/>
  <c r="W171" i="5"/>
  <c r="T171" i="5" s="1"/>
  <c r="R171" i="5"/>
  <c r="S171" i="5" s="1"/>
  <c r="Q171" i="5"/>
  <c r="O171" i="5"/>
  <c r="P171" i="5" s="1"/>
  <c r="N171" i="5"/>
  <c r="K171" i="5"/>
  <c r="W170" i="5"/>
  <c r="T170" i="5" s="1"/>
  <c r="R170" i="5"/>
  <c r="S170" i="5" s="1"/>
  <c r="Q170" i="5"/>
  <c r="O170" i="5"/>
  <c r="P170" i="5" s="1"/>
  <c r="N170" i="5"/>
  <c r="K170" i="5"/>
  <c r="W169" i="5"/>
  <c r="T169" i="5" s="1"/>
  <c r="R169" i="5"/>
  <c r="S169" i="5" s="1"/>
  <c r="Q169" i="5"/>
  <c r="O169" i="5"/>
  <c r="P169" i="5" s="1"/>
  <c r="N169" i="5"/>
  <c r="K169" i="5"/>
  <c r="W168" i="5"/>
  <c r="T168" i="5" s="1"/>
  <c r="R168" i="5"/>
  <c r="S168" i="5" s="1"/>
  <c r="Q168" i="5"/>
  <c r="O168" i="5"/>
  <c r="P168" i="5" s="1"/>
  <c r="N168" i="5"/>
  <c r="K168" i="5"/>
  <c r="W167" i="5"/>
  <c r="T167" i="5" s="1"/>
  <c r="R167" i="5"/>
  <c r="S167" i="5" s="1"/>
  <c r="Q167" i="5"/>
  <c r="O167" i="5"/>
  <c r="P167" i="5" s="1"/>
  <c r="N167" i="5"/>
  <c r="K167" i="5"/>
  <c r="W166" i="5"/>
  <c r="T166" i="5" s="1"/>
  <c r="R166" i="5"/>
  <c r="S166" i="5" s="1"/>
  <c r="Q166" i="5"/>
  <c r="O166" i="5"/>
  <c r="P166" i="5" s="1"/>
  <c r="N166" i="5"/>
  <c r="K166" i="5"/>
  <c r="W165" i="5"/>
  <c r="T165" i="5" s="1"/>
  <c r="R165" i="5"/>
  <c r="S165" i="5" s="1"/>
  <c r="Q165" i="5"/>
  <c r="O165" i="5"/>
  <c r="P165" i="5" s="1"/>
  <c r="N165" i="5"/>
  <c r="K165" i="5"/>
  <c r="W164" i="5"/>
  <c r="T164" i="5" s="1"/>
  <c r="R164" i="5"/>
  <c r="S164" i="5" s="1"/>
  <c r="Q164" i="5"/>
  <c r="O164" i="5"/>
  <c r="P164" i="5" s="1"/>
  <c r="N164" i="5"/>
  <c r="K164" i="5"/>
  <c r="W163" i="5"/>
  <c r="T163" i="5" s="1"/>
  <c r="R163" i="5"/>
  <c r="S163" i="5" s="1"/>
  <c r="Q163" i="5"/>
  <c r="O163" i="5"/>
  <c r="P163" i="5" s="1"/>
  <c r="N163" i="5"/>
  <c r="K163" i="5"/>
  <c r="W162" i="5"/>
  <c r="T162" i="5" s="1"/>
  <c r="R162" i="5"/>
  <c r="S162" i="5" s="1"/>
  <c r="Q162" i="5"/>
  <c r="O162" i="5"/>
  <c r="P162" i="5" s="1"/>
  <c r="N162" i="5"/>
  <c r="K162" i="5"/>
  <c r="W161" i="5"/>
  <c r="T161" i="5" s="1"/>
  <c r="R161" i="5"/>
  <c r="S161" i="5" s="1"/>
  <c r="Q161" i="5"/>
  <c r="O161" i="5"/>
  <c r="P161" i="5" s="1"/>
  <c r="N161" i="5"/>
  <c r="K161" i="5"/>
  <c r="W160" i="5"/>
  <c r="T160" i="5" s="1"/>
  <c r="R160" i="5"/>
  <c r="S160" i="5" s="1"/>
  <c r="Q160" i="5"/>
  <c r="O160" i="5"/>
  <c r="P160" i="5" s="1"/>
  <c r="N160" i="5"/>
  <c r="K160" i="5"/>
  <c r="W159" i="5"/>
  <c r="T159" i="5" s="1"/>
  <c r="R159" i="5"/>
  <c r="S159" i="5" s="1"/>
  <c r="Q159" i="5"/>
  <c r="O159" i="5"/>
  <c r="P159" i="5" s="1"/>
  <c r="N159" i="5"/>
  <c r="K159" i="5"/>
  <c r="W158" i="5"/>
  <c r="T158" i="5" s="1"/>
  <c r="R158" i="5"/>
  <c r="S158" i="5" s="1"/>
  <c r="Q158" i="5"/>
  <c r="O158" i="5"/>
  <c r="P158" i="5" s="1"/>
  <c r="N158" i="5"/>
  <c r="K158" i="5"/>
  <c r="W157" i="5"/>
  <c r="T157" i="5" s="1"/>
  <c r="R157" i="5"/>
  <c r="S157" i="5" s="1"/>
  <c r="Q157" i="5"/>
  <c r="O157" i="5"/>
  <c r="P157" i="5" s="1"/>
  <c r="N157" i="5"/>
  <c r="K157" i="5"/>
  <c r="W156" i="5"/>
  <c r="T156" i="5" s="1"/>
  <c r="R156" i="5"/>
  <c r="S156" i="5" s="1"/>
  <c r="Q156" i="5"/>
  <c r="O156" i="5"/>
  <c r="P156" i="5" s="1"/>
  <c r="N156" i="5"/>
  <c r="K156" i="5"/>
  <c r="W155" i="5"/>
  <c r="T155" i="5" s="1"/>
  <c r="R155" i="5"/>
  <c r="S155" i="5" s="1"/>
  <c r="Q155" i="5"/>
  <c r="O155" i="5"/>
  <c r="P155" i="5" s="1"/>
  <c r="N155" i="5"/>
  <c r="K155" i="5"/>
  <c r="W154" i="5"/>
  <c r="T154" i="5" s="1"/>
  <c r="R154" i="5"/>
  <c r="S154" i="5" s="1"/>
  <c r="Q154" i="5"/>
  <c r="O154" i="5"/>
  <c r="P154" i="5" s="1"/>
  <c r="N154" i="5"/>
  <c r="K154" i="5"/>
  <c r="W153" i="5"/>
  <c r="T153" i="5" s="1"/>
  <c r="R153" i="5"/>
  <c r="S153" i="5" s="1"/>
  <c r="Q153" i="5"/>
  <c r="O153" i="5"/>
  <c r="P153" i="5" s="1"/>
  <c r="N153" i="5"/>
  <c r="K153" i="5"/>
  <c r="W152" i="5"/>
  <c r="T152" i="5" s="1"/>
  <c r="R152" i="5"/>
  <c r="S152" i="5" s="1"/>
  <c r="Q152" i="5"/>
  <c r="O152" i="5"/>
  <c r="P152" i="5" s="1"/>
  <c r="N152" i="5"/>
  <c r="K152" i="5"/>
  <c r="W151" i="5"/>
  <c r="T151" i="5" s="1"/>
  <c r="R151" i="5"/>
  <c r="S151" i="5" s="1"/>
  <c r="Q151" i="5"/>
  <c r="O151" i="5"/>
  <c r="P151" i="5" s="1"/>
  <c r="N151" i="5"/>
  <c r="K151" i="5"/>
  <c r="W150" i="5"/>
  <c r="T150" i="5" s="1"/>
  <c r="R150" i="5"/>
  <c r="S150" i="5" s="1"/>
  <c r="Q150" i="5"/>
  <c r="O150" i="5"/>
  <c r="P150" i="5" s="1"/>
  <c r="N150" i="5"/>
  <c r="K150" i="5"/>
  <c r="W149" i="5"/>
  <c r="T149" i="5" s="1"/>
  <c r="R149" i="5"/>
  <c r="S149" i="5" s="1"/>
  <c r="Q149" i="5"/>
  <c r="O149" i="5"/>
  <c r="P149" i="5" s="1"/>
  <c r="N149" i="5"/>
  <c r="K149" i="5"/>
  <c r="W148" i="5"/>
  <c r="T148" i="5" s="1"/>
  <c r="R148" i="5"/>
  <c r="S148" i="5" s="1"/>
  <c r="Q148" i="5"/>
  <c r="O148" i="5"/>
  <c r="P148" i="5" s="1"/>
  <c r="N148" i="5"/>
  <c r="K148" i="5"/>
  <c r="W147" i="5"/>
  <c r="T147" i="5" s="1"/>
  <c r="R147" i="5"/>
  <c r="S147" i="5" s="1"/>
  <c r="Q147" i="5"/>
  <c r="O147" i="5"/>
  <c r="P147" i="5" s="1"/>
  <c r="N147" i="5"/>
  <c r="K147" i="5"/>
  <c r="W146" i="5"/>
  <c r="T146" i="5" s="1"/>
  <c r="R146" i="5"/>
  <c r="S146" i="5" s="1"/>
  <c r="Q146" i="5"/>
  <c r="O146" i="5"/>
  <c r="P146" i="5" s="1"/>
  <c r="N146" i="5"/>
  <c r="K146" i="5"/>
  <c r="W145" i="5"/>
  <c r="T145" i="5" s="1"/>
  <c r="R145" i="5"/>
  <c r="S145" i="5" s="1"/>
  <c r="Q145" i="5"/>
  <c r="O145" i="5"/>
  <c r="P145" i="5" s="1"/>
  <c r="N145" i="5"/>
  <c r="K145" i="5"/>
  <c r="W144" i="5"/>
  <c r="T144" i="5" s="1"/>
  <c r="R144" i="5"/>
  <c r="S144" i="5" s="1"/>
  <c r="Q144" i="5"/>
  <c r="O144" i="5"/>
  <c r="P144" i="5" s="1"/>
  <c r="N144" i="5"/>
  <c r="K144" i="5"/>
  <c r="W143" i="5"/>
  <c r="T143" i="5" s="1"/>
  <c r="R143" i="5"/>
  <c r="S143" i="5" s="1"/>
  <c r="Q143" i="5"/>
  <c r="O143" i="5"/>
  <c r="P143" i="5" s="1"/>
  <c r="N143" i="5"/>
  <c r="K143" i="5"/>
  <c r="W142" i="5"/>
  <c r="T142" i="5" s="1"/>
  <c r="R142" i="5"/>
  <c r="S142" i="5" s="1"/>
  <c r="Q142" i="5"/>
  <c r="O142" i="5"/>
  <c r="P142" i="5" s="1"/>
  <c r="N142" i="5"/>
  <c r="K142" i="5"/>
  <c r="W141" i="5"/>
  <c r="T141" i="5" s="1"/>
  <c r="R141" i="5"/>
  <c r="S141" i="5" s="1"/>
  <c r="Q141" i="5"/>
  <c r="O141" i="5"/>
  <c r="P141" i="5" s="1"/>
  <c r="N141" i="5"/>
  <c r="K141" i="5"/>
  <c r="W140" i="5"/>
  <c r="T140" i="5" s="1"/>
  <c r="R140" i="5"/>
  <c r="S140" i="5" s="1"/>
  <c r="Q140" i="5"/>
  <c r="O140" i="5"/>
  <c r="P140" i="5" s="1"/>
  <c r="N140" i="5"/>
  <c r="K140" i="5"/>
  <c r="W139" i="5"/>
  <c r="T139" i="5" s="1"/>
  <c r="R139" i="5"/>
  <c r="S139" i="5" s="1"/>
  <c r="Q139" i="5"/>
  <c r="O139" i="5"/>
  <c r="P139" i="5" s="1"/>
  <c r="N139" i="5"/>
  <c r="K139" i="5"/>
  <c r="W138" i="5"/>
  <c r="T138" i="5" s="1"/>
  <c r="R138" i="5"/>
  <c r="S138" i="5" s="1"/>
  <c r="Q138" i="5"/>
  <c r="O138" i="5"/>
  <c r="P138" i="5" s="1"/>
  <c r="N138" i="5"/>
  <c r="K138" i="5"/>
  <c r="W137" i="5"/>
  <c r="T137" i="5" s="1"/>
  <c r="R137" i="5"/>
  <c r="S137" i="5" s="1"/>
  <c r="Q137" i="5"/>
  <c r="O137" i="5"/>
  <c r="P137" i="5" s="1"/>
  <c r="N137" i="5"/>
  <c r="K137" i="5"/>
  <c r="W136" i="5"/>
  <c r="T136" i="5" s="1"/>
  <c r="R136" i="5"/>
  <c r="S136" i="5" s="1"/>
  <c r="Q136" i="5"/>
  <c r="O136" i="5"/>
  <c r="P136" i="5" s="1"/>
  <c r="N136" i="5"/>
  <c r="K136" i="5"/>
  <c r="W135" i="5"/>
  <c r="T135" i="5" s="1"/>
  <c r="R135" i="5"/>
  <c r="S135" i="5" s="1"/>
  <c r="Q135" i="5"/>
  <c r="O135" i="5"/>
  <c r="P135" i="5" s="1"/>
  <c r="N135" i="5"/>
  <c r="K135" i="5"/>
  <c r="W134" i="5"/>
  <c r="T134" i="5" s="1"/>
  <c r="R134" i="5"/>
  <c r="S134" i="5" s="1"/>
  <c r="Q134" i="5"/>
  <c r="O134" i="5"/>
  <c r="P134" i="5" s="1"/>
  <c r="N134" i="5"/>
  <c r="K134" i="5"/>
  <c r="W133" i="5"/>
  <c r="T133" i="5" s="1"/>
  <c r="R133" i="5"/>
  <c r="S133" i="5" s="1"/>
  <c r="Q133" i="5"/>
  <c r="O133" i="5"/>
  <c r="P133" i="5" s="1"/>
  <c r="N133" i="5"/>
  <c r="K133" i="5"/>
  <c r="W132" i="5"/>
  <c r="T132" i="5" s="1"/>
  <c r="R132" i="5"/>
  <c r="S132" i="5" s="1"/>
  <c r="Q132" i="5"/>
  <c r="O132" i="5"/>
  <c r="P132" i="5" s="1"/>
  <c r="N132" i="5"/>
  <c r="K132" i="5"/>
  <c r="W131" i="5"/>
  <c r="T131" i="5" s="1"/>
  <c r="R131" i="5"/>
  <c r="S131" i="5" s="1"/>
  <c r="Q131" i="5"/>
  <c r="O131" i="5"/>
  <c r="P131" i="5" s="1"/>
  <c r="N131" i="5"/>
  <c r="K131" i="5"/>
  <c r="W130" i="5"/>
  <c r="T130" i="5" s="1"/>
  <c r="R130" i="5"/>
  <c r="S130" i="5" s="1"/>
  <c r="Q130" i="5"/>
  <c r="O130" i="5"/>
  <c r="P130" i="5" s="1"/>
  <c r="N130" i="5"/>
  <c r="K130" i="5"/>
  <c r="W129" i="5"/>
  <c r="T129" i="5" s="1"/>
  <c r="R129" i="5"/>
  <c r="S129" i="5" s="1"/>
  <c r="Q129" i="5"/>
  <c r="O129" i="5"/>
  <c r="P129" i="5" s="1"/>
  <c r="N129" i="5"/>
  <c r="K129" i="5"/>
  <c r="W128" i="5"/>
  <c r="T128" i="5" s="1"/>
  <c r="R128" i="5"/>
  <c r="S128" i="5" s="1"/>
  <c r="Q128" i="5"/>
  <c r="O128" i="5"/>
  <c r="P128" i="5" s="1"/>
  <c r="N128" i="5"/>
  <c r="K128" i="5"/>
  <c r="W127" i="5"/>
  <c r="T127" i="5" s="1"/>
  <c r="R127" i="5"/>
  <c r="S127" i="5" s="1"/>
  <c r="Q127" i="5"/>
  <c r="O127" i="5"/>
  <c r="P127" i="5" s="1"/>
  <c r="N127" i="5"/>
  <c r="K127" i="5"/>
  <c r="W126" i="5"/>
  <c r="T126" i="5" s="1"/>
  <c r="R126" i="5"/>
  <c r="S126" i="5" s="1"/>
  <c r="Q126" i="5"/>
  <c r="O126" i="5"/>
  <c r="P126" i="5" s="1"/>
  <c r="N126" i="5"/>
  <c r="K126" i="5"/>
  <c r="W125" i="5"/>
  <c r="T125" i="5" s="1"/>
  <c r="R125" i="5"/>
  <c r="S125" i="5" s="1"/>
  <c r="Q125" i="5"/>
  <c r="O125" i="5"/>
  <c r="P125" i="5" s="1"/>
  <c r="N125" i="5"/>
  <c r="K125" i="5"/>
  <c r="W124" i="5"/>
  <c r="T124" i="5" s="1"/>
  <c r="R124" i="5"/>
  <c r="S124" i="5" s="1"/>
  <c r="Q124" i="5"/>
  <c r="O124" i="5"/>
  <c r="P124" i="5" s="1"/>
  <c r="N124" i="5"/>
  <c r="K124" i="5"/>
  <c r="W123" i="5"/>
  <c r="T123" i="5" s="1"/>
  <c r="R123" i="5"/>
  <c r="S123" i="5" s="1"/>
  <c r="Q123" i="5"/>
  <c r="O123" i="5"/>
  <c r="P123" i="5" s="1"/>
  <c r="N123" i="5"/>
  <c r="K123" i="5"/>
  <c r="W122" i="5"/>
  <c r="T122" i="5" s="1"/>
  <c r="R122" i="5"/>
  <c r="S122" i="5" s="1"/>
  <c r="Q122" i="5"/>
  <c r="O122" i="5"/>
  <c r="P122" i="5" s="1"/>
  <c r="N122" i="5"/>
  <c r="K122" i="5"/>
  <c r="W121" i="5"/>
  <c r="T121" i="5" s="1"/>
  <c r="R121" i="5"/>
  <c r="S121" i="5" s="1"/>
  <c r="Q121" i="5"/>
  <c r="O121" i="5"/>
  <c r="P121" i="5" s="1"/>
  <c r="N121" i="5"/>
  <c r="K121" i="5"/>
  <c r="W120" i="5"/>
  <c r="T120" i="5" s="1"/>
  <c r="R120" i="5"/>
  <c r="S120" i="5" s="1"/>
  <c r="Q120" i="5"/>
  <c r="O120" i="5"/>
  <c r="P120" i="5" s="1"/>
  <c r="N120" i="5"/>
  <c r="K120" i="5"/>
  <c r="W119" i="5"/>
  <c r="T119" i="5" s="1"/>
  <c r="R119" i="5"/>
  <c r="S119" i="5" s="1"/>
  <c r="Q119" i="5"/>
  <c r="O119" i="5"/>
  <c r="P119" i="5" s="1"/>
  <c r="N119" i="5"/>
  <c r="K119" i="5"/>
  <c r="W118" i="5"/>
  <c r="T118" i="5" s="1"/>
  <c r="R118" i="5"/>
  <c r="S118" i="5" s="1"/>
  <c r="Q118" i="5"/>
  <c r="O118" i="5"/>
  <c r="P118" i="5" s="1"/>
  <c r="N118" i="5"/>
  <c r="K118" i="5"/>
  <c r="W117" i="5"/>
  <c r="T117" i="5" s="1"/>
  <c r="R117" i="5"/>
  <c r="S117" i="5" s="1"/>
  <c r="Q117" i="5"/>
  <c r="O117" i="5"/>
  <c r="P117" i="5" s="1"/>
  <c r="N117" i="5"/>
  <c r="K117" i="5"/>
  <c r="W116" i="5"/>
  <c r="T116" i="5" s="1"/>
  <c r="R116" i="5"/>
  <c r="S116" i="5" s="1"/>
  <c r="Q116" i="5"/>
  <c r="O116" i="5"/>
  <c r="P116" i="5" s="1"/>
  <c r="N116" i="5"/>
  <c r="K116" i="5"/>
  <c r="W115" i="5"/>
  <c r="T115" i="5" s="1"/>
  <c r="R115" i="5"/>
  <c r="S115" i="5" s="1"/>
  <c r="Q115" i="5"/>
  <c r="O115" i="5"/>
  <c r="P115" i="5" s="1"/>
  <c r="N115" i="5"/>
  <c r="K115" i="5"/>
  <c r="W114" i="5"/>
  <c r="T114" i="5" s="1"/>
  <c r="R114" i="5"/>
  <c r="S114" i="5" s="1"/>
  <c r="Q114" i="5"/>
  <c r="O114" i="5"/>
  <c r="P114" i="5" s="1"/>
  <c r="N114" i="5"/>
  <c r="K114" i="5"/>
  <c r="W113" i="5"/>
  <c r="T113" i="5" s="1"/>
  <c r="R113" i="5"/>
  <c r="S113" i="5" s="1"/>
  <c r="Q113" i="5"/>
  <c r="O113" i="5"/>
  <c r="P113" i="5" s="1"/>
  <c r="N113" i="5"/>
  <c r="K113" i="5"/>
  <c r="W112" i="5"/>
  <c r="T112" i="5" s="1"/>
  <c r="R112" i="5"/>
  <c r="S112" i="5" s="1"/>
  <c r="Q112" i="5"/>
  <c r="O112" i="5"/>
  <c r="P112" i="5" s="1"/>
  <c r="N112" i="5"/>
  <c r="K112" i="5"/>
  <c r="W111" i="5"/>
  <c r="T111" i="5" s="1"/>
  <c r="R111" i="5"/>
  <c r="S111" i="5" s="1"/>
  <c r="Q111" i="5"/>
  <c r="O111" i="5"/>
  <c r="P111" i="5" s="1"/>
  <c r="N111" i="5"/>
  <c r="K111" i="5"/>
  <c r="W110" i="5"/>
  <c r="T110" i="5" s="1"/>
  <c r="R110" i="5"/>
  <c r="S110" i="5" s="1"/>
  <c r="Q110" i="5"/>
  <c r="O110" i="5"/>
  <c r="P110" i="5" s="1"/>
  <c r="N110" i="5"/>
  <c r="K110" i="5"/>
  <c r="W109" i="5"/>
  <c r="T109" i="5" s="1"/>
  <c r="R109" i="5"/>
  <c r="S109" i="5" s="1"/>
  <c r="Q109" i="5"/>
  <c r="O109" i="5"/>
  <c r="P109" i="5" s="1"/>
  <c r="N109" i="5"/>
  <c r="K109" i="5"/>
  <c r="W108" i="5"/>
  <c r="T108" i="5" s="1"/>
  <c r="R108" i="5"/>
  <c r="S108" i="5" s="1"/>
  <c r="Q108" i="5"/>
  <c r="O108" i="5"/>
  <c r="P108" i="5" s="1"/>
  <c r="N108" i="5"/>
  <c r="K108" i="5"/>
  <c r="W107" i="5"/>
  <c r="T107" i="5" s="1"/>
  <c r="R107" i="5"/>
  <c r="S107" i="5" s="1"/>
  <c r="Q107" i="5"/>
  <c r="O107" i="5"/>
  <c r="P107" i="5" s="1"/>
  <c r="N107" i="5"/>
  <c r="K107" i="5"/>
  <c r="W106" i="5"/>
  <c r="T106" i="5" s="1"/>
  <c r="R106" i="5"/>
  <c r="S106" i="5" s="1"/>
  <c r="Q106" i="5"/>
  <c r="O106" i="5"/>
  <c r="P106" i="5" s="1"/>
  <c r="N106" i="5"/>
  <c r="K106" i="5"/>
  <c r="W105" i="5"/>
  <c r="T105" i="5" s="1"/>
  <c r="R105" i="5"/>
  <c r="S105" i="5" s="1"/>
  <c r="Q105" i="5"/>
  <c r="O105" i="5"/>
  <c r="P105" i="5" s="1"/>
  <c r="N105" i="5"/>
  <c r="K105" i="5"/>
  <c r="W104" i="5"/>
  <c r="T104" i="5" s="1"/>
  <c r="R104" i="5"/>
  <c r="S104" i="5" s="1"/>
  <c r="Q104" i="5"/>
  <c r="O104" i="5"/>
  <c r="P104" i="5" s="1"/>
  <c r="N104" i="5"/>
  <c r="K104" i="5"/>
  <c r="W103" i="5"/>
  <c r="T103" i="5" s="1"/>
  <c r="R103" i="5"/>
  <c r="S103" i="5" s="1"/>
  <c r="Q103" i="5"/>
  <c r="O103" i="5"/>
  <c r="P103" i="5" s="1"/>
  <c r="N103" i="5"/>
  <c r="K103" i="5"/>
  <c r="W102" i="5"/>
  <c r="T102" i="5" s="1"/>
  <c r="R102" i="5"/>
  <c r="S102" i="5" s="1"/>
  <c r="Q102" i="5"/>
  <c r="O102" i="5"/>
  <c r="P102" i="5" s="1"/>
  <c r="N102" i="5"/>
  <c r="K102" i="5"/>
  <c r="W101" i="5"/>
  <c r="T101" i="5" s="1"/>
  <c r="R101" i="5"/>
  <c r="S101" i="5" s="1"/>
  <c r="Q101" i="5"/>
  <c r="O101" i="5"/>
  <c r="P101" i="5" s="1"/>
  <c r="N101" i="5"/>
  <c r="K101" i="5"/>
  <c r="W100" i="5"/>
  <c r="T100" i="5" s="1"/>
  <c r="R100" i="5"/>
  <c r="S100" i="5" s="1"/>
  <c r="Q100" i="5"/>
  <c r="O100" i="5"/>
  <c r="P100" i="5" s="1"/>
  <c r="N100" i="5"/>
  <c r="K100" i="5"/>
  <c r="W99" i="5"/>
  <c r="T99" i="5" s="1"/>
  <c r="R99" i="5"/>
  <c r="S99" i="5" s="1"/>
  <c r="Q99" i="5"/>
  <c r="O99" i="5"/>
  <c r="P99" i="5" s="1"/>
  <c r="N99" i="5"/>
  <c r="K99" i="5"/>
  <c r="W98" i="5"/>
  <c r="T98" i="5" s="1"/>
  <c r="R98" i="5"/>
  <c r="S98" i="5" s="1"/>
  <c r="Q98" i="5"/>
  <c r="O98" i="5"/>
  <c r="P98" i="5" s="1"/>
  <c r="N98" i="5"/>
  <c r="K98" i="5"/>
  <c r="W97" i="5"/>
  <c r="T97" i="5" s="1"/>
  <c r="R97" i="5"/>
  <c r="S97" i="5" s="1"/>
  <c r="Q97" i="5"/>
  <c r="O97" i="5"/>
  <c r="P97" i="5" s="1"/>
  <c r="N97" i="5"/>
  <c r="K97" i="5"/>
  <c r="W96" i="5"/>
  <c r="T96" i="5" s="1"/>
  <c r="R96" i="5"/>
  <c r="S96" i="5" s="1"/>
  <c r="Q96" i="5"/>
  <c r="O96" i="5"/>
  <c r="P96" i="5" s="1"/>
  <c r="N96" i="5"/>
  <c r="K96" i="5"/>
  <c r="W95" i="5"/>
  <c r="T95" i="5" s="1"/>
  <c r="R95" i="5"/>
  <c r="S95" i="5" s="1"/>
  <c r="Q95" i="5"/>
  <c r="O95" i="5"/>
  <c r="P95" i="5" s="1"/>
  <c r="N95" i="5"/>
  <c r="K95" i="5"/>
  <c r="W94" i="5"/>
  <c r="T94" i="5" s="1"/>
  <c r="R94" i="5"/>
  <c r="S94" i="5" s="1"/>
  <c r="Q94" i="5"/>
  <c r="O94" i="5"/>
  <c r="P94" i="5" s="1"/>
  <c r="N94" i="5"/>
  <c r="K94" i="5"/>
  <c r="W93" i="5"/>
  <c r="T93" i="5" s="1"/>
  <c r="R93" i="5"/>
  <c r="S93" i="5" s="1"/>
  <c r="Q93" i="5"/>
  <c r="O93" i="5"/>
  <c r="P93" i="5" s="1"/>
  <c r="N93" i="5"/>
  <c r="K93" i="5"/>
  <c r="W92" i="5"/>
  <c r="T92" i="5" s="1"/>
  <c r="R92" i="5"/>
  <c r="S92" i="5" s="1"/>
  <c r="Q92" i="5"/>
  <c r="O92" i="5"/>
  <c r="P92" i="5" s="1"/>
  <c r="N92" i="5"/>
  <c r="K92" i="5"/>
  <c r="W91" i="5"/>
  <c r="T91" i="5" s="1"/>
  <c r="R91" i="5"/>
  <c r="S91" i="5" s="1"/>
  <c r="Q91" i="5"/>
  <c r="O91" i="5"/>
  <c r="P91" i="5" s="1"/>
  <c r="N91" i="5"/>
  <c r="K91" i="5"/>
  <c r="W90" i="5"/>
  <c r="T90" i="5" s="1"/>
  <c r="R90" i="5"/>
  <c r="S90" i="5" s="1"/>
  <c r="Q90" i="5"/>
  <c r="O90" i="5"/>
  <c r="P90" i="5" s="1"/>
  <c r="N90" i="5"/>
  <c r="K90" i="5"/>
  <c r="W89" i="5"/>
  <c r="T89" i="5" s="1"/>
  <c r="R89" i="5"/>
  <c r="S89" i="5" s="1"/>
  <c r="Q89" i="5"/>
  <c r="O89" i="5"/>
  <c r="P89" i="5" s="1"/>
  <c r="N89" i="5"/>
  <c r="K89" i="5"/>
  <c r="W88" i="5"/>
  <c r="T88" i="5" s="1"/>
  <c r="R88" i="5"/>
  <c r="S88" i="5" s="1"/>
  <c r="Q88" i="5"/>
  <c r="O88" i="5"/>
  <c r="P88" i="5" s="1"/>
  <c r="N88" i="5"/>
  <c r="K88" i="5"/>
  <c r="W87" i="5"/>
  <c r="T87" i="5" s="1"/>
  <c r="R87" i="5"/>
  <c r="S87" i="5" s="1"/>
  <c r="Q87" i="5"/>
  <c r="O87" i="5"/>
  <c r="P87" i="5" s="1"/>
  <c r="N87" i="5"/>
  <c r="K87" i="5"/>
  <c r="W86" i="5"/>
  <c r="T86" i="5" s="1"/>
  <c r="R86" i="5"/>
  <c r="S86" i="5" s="1"/>
  <c r="Q86" i="5"/>
  <c r="O86" i="5"/>
  <c r="P86" i="5" s="1"/>
  <c r="N86" i="5"/>
  <c r="K86" i="5"/>
  <c r="W85" i="5"/>
  <c r="T85" i="5" s="1"/>
  <c r="R85" i="5"/>
  <c r="S85" i="5" s="1"/>
  <c r="Q85" i="5"/>
  <c r="O85" i="5"/>
  <c r="P85" i="5" s="1"/>
  <c r="N85" i="5"/>
  <c r="K85" i="5"/>
  <c r="W84" i="5"/>
  <c r="T84" i="5" s="1"/>
  <c r="R84" i="5"/>
  <c r="S84" i="5" s="1"/>
  <c r="Q84" i="5"/>
  <c r="O84" i="5"/>
  <c r="P84" i="5" s="1"/>
  <c r="N84" i="5"/>
  <c r="K84" i="5"/>
  <c r="W83" i="5"/>
  <c r="T83" i="5" s="1"/>
  <c r="R83" i="5"/>
  <c r="S83" i="5" s="1"/>
  <c r="Q83" i="5"/>
  <c r="O83" i="5"/>
  <c r="P83" i="5" s="1"/>
  <c r="N83" i="5"/>
  <c r="K83" i="5"/>
  <c r="W82" i="5"/>
  <c r="T82" i="5" s="1"/>
  <c r="R82" i="5"/>
  <c r="S82" i="5" s="1"/>
  <c r="Q82" i="5"/>
  <c r="O82" i="5"/>
  <c r="P82" i="5" s="1"/>
  <c r="N82" i="5"/>
  <c r="K82" i="5"/>
  <c r="W81" i="5"/>
  <c r="T81" i="5" s="1"/>
  <c r="R81" i="5"/>
  <c r="S81" i="5" s="1"/>
  <c r="Q81" i="5"/>
  <c r="O81" i="5"/>
  <c r="P81" i="5" s="1"/>
  <c r="N81" i="5"/>
  <c r="K81" i="5"/>
  <c r="W80" i="5"/>
  <c r="T80" i="5" s="1"/>
  <c r="R80" i="5"/>
  <c r="S80" i="5" s="1"/>
  <c r="Q80" i="5"/>
  <c r="O80" i="5"/>
  <c r="P80" i="5" s="1"/>
  <c r="N80" i="5"/>
  <c r="K80" i="5"/>
  <c r="W79" i="5"/>
  <c r="T79" i="5" s="1"/>
  <c r="R79" i="5"/>
  <c r="S79" i="5" s="1"/>
  <c r="Q79" i="5"/>
  <c r="O79" i="5"/>
  <c r="P79" i="5" s="1"/>
  <c r="N79" i="5"/>
  <c r="K79" i="5"/>
  <c r="W78" i="5"/>
  <c r="T78" i="5" s="1"/>
  <c r="R78" i="5"/>
  <c r="S78" i="5" s="1"/>
  <c r="Q78" i="5"/>
  <c r="O78" i="5"/>
  <c r="P78" i="5" s="1"/>
  <c r="N78" i="5"/>
  <c r="K78" i="5"/>
  <c r="W77" i="5"/>
  <c r="T77" i="5" s="1"/>
  <c r="R77" i="5"/>
  <c r="S77" i="5" s="1"/>
  <c r="Q77" i="5"/>
  <c r="O77" i="5"/>
  <c r="P77" i="5" s="1"/>
  <c r="N77" i="5"/>
  <c r="K77" i="5"/>
  <c r="W76" i="5"/>
  <c r="T76" i="5" s="1"/>
  <c r="R76" i="5"/>
  <c r="S76" i="5" s="1"/>
  <c r="Q76" i="5"/>
  <c r="O76" i="5"/>
  <c r="P76" i="5" s="1"/>
  <c r="N76" i="5"/>
  <c r="K76" i="5"/>
  <c r="W75" i="5"/>
  <c r="T75" i="5" s="1"/>
  <c r="R75" i="5"/>
  <c r="S75" i="5" s="1"/>
  <c r="Q75" i="5"/>
  <c r="O75" i="5"/>
  <c r="P75" i="5" s="1"/>
  <c r="N75" i="5"/>
  <c r="K75" i="5"/>
  <c r="W74" i="5"/>
  <c r="T74" i="5" s="1"/>
  <c r="R74" i="5"/>
  <c r="S74" i="5" s="1"/>
  <c r="Q74" i="5"/>
  <c r="O74" i="5"/>
  <c r="P74" i="5" s="1"/>
  <c r="N74" i="5"/>
  <c r="K74" i="5"/>
  <c r="W73" i="5"/>
  <c r="T73" i="5" s="1"/>
  <c r="R73" i="5"/>
  <c r="S73" i="5" s="1"/>
  <c r="Q73" i="5"/>
  <c r="O73" i="5"/>
  <c r="P73" i="5" s="1"/>
  <c r="N73" i="5"/>
  <c r="K73" i="5"/>
  <c r="W72" i="5"/>
  <c r="T72" i="5" s="1"/>
  <c r="R72" i="5"/>
  <c r="S72" i="5" s="1"/>
  <c r="Q72" i="5"/>
  <c r="O72" i="5"/>
  <c r="P72" i="5" s="1"/>
  <c r="N72" i="5"/>
  <c r="K72" i="5"/>
  <c r="W71" i="5"/>
  <c r="T71" i="5" s="1"/>
  <c r="R71" i="5"/>
  <c r="S71" i="5" s="1"/>
  <c r="Q71" i="5"/>
  <c r="O71" i="5"/>
  <c r="P71" i="5" s="1"/>
  <c r="N71" i="5"/>
  <c r="K71" i="5"/>
  <c r="W70" i="5"/>
  <c r="T70" i="5" s="1"/>
  <c r="R70" i="5"/>
  <c r="S70" i="5" s="1"/>
  <c r="Q70" i="5"/>
  <c r="O70" i="5"/>
  <c r="P70" i="5" s="1"/>
  <c r="N70" i="5"/>
  <c r="K70" i="5"/>
  <c r="W69" i="5"/>
  <c r="T69" i="5" s="1"/>
  <c r="R69" i="5"/>
  <c r="S69" i="5" s="1"/>
  <c r="Q69" i="5"/>
  <c r="O69" i="5"/>
  <c r="P69" i="5" s="1"/>
  <c r="N69" i="5"/>
  <c r="K69" i="5"/>
  <c r="W68" i="5"/>
  <c r="T68" i="5" s="1"/>
  <c r="R68" i="5"/>
  <c r="S68" i="5" s="1"/>
  <c r="Q68" i="5"/>
  <c r="O68" i="5"/>
  <c r="P68" i="5" s="1"/>
  <c r="N68" i="5"/>
  <c r="K68" i="5"/>
  <c r="W67" i="5"/>
  <c r="T67" i="5" s="1"/>
  <c r="R67" i="5"/>
  <c r="S67" i="5" s="1"/>
  <c r="Q67" i="5"/>
  <c r="O67" i="5"/>
  <c r="P67" i="5" s="1"/>
  <c r="N67" i="5"/>
  <c r="K67" i="5"/>
  <c r="W66" i="5"/>
  <c r="T66" i="5" s="1"/>
  <c r="R66" i="5"/>
  <c r="S66" i="5" s="1"/>
  <c r="Q66" i="5"/>
  <c r="O66" i="5"/>
  <c r="P66" i="5" s="1"/>
  <c r="N66" i="5"/>
  <c r="K66" i="5"/>
  <c r="W65" i="5"/>
  <c r="T65" i="5" s="1"/>
  <c r="R65" i="5"/>
  <c r="S65" i="5" s="1"/>
  <c r="Q65" i="5"/>
  <c r="O65" i="5"/>
  <c r="P65" i="5" s="1"/>
  <c r="N65" i="5"/>
  <c r="K65" i="5"/>
  <c r="W64" i="5"/>
  <c r="T64" i="5" s="1"/>
  <c r="R64" i="5"/>
  <c r="S64" i="5" s="1"/>
  <c r="Q64" i="5"/>
  <c r="O64" i="5"/>
  <c r="P64" i="5" s="1"/>
  <c r="N64" i="5"/>
  <c r="K64" i="5"/>
  <c r="W63" i="5"/>
  <c r="T63" i="5" s="1"/>
  <c r="R63" i="5"/>
  <c r="S63" i="5" s="1"/>
  <c r="Q63" i="5"/>
  <c r="O63" i="5"/>
  <c r="P63" i="5" s="1"/>
  <c r="N63" i="5"/>
  <c r="K63" i="5"/>
  <c r="W62" i="5"/>
  <c r="T62" i="5" s="1"/>
  <c r="R62" i="5"/>
  <c r="S62" i="5" s="1"/>
  <c r="Q62" i="5"/>
  <c r="O62" i="5"/>
  <c r="P62" i="5" s="1"/>
  <c r="N62" i="5"/>
  <c r="K62" i="5"/>
  <c r="W61" i="5"/>
  <c r="T61" i="5" s="1"/>
  <c r="R61" i="5"/>
  <c r="S61" i="5" s="1"/>
  <c r="Q61" i="5"/>
  <c r="O61" i="5"/>
  <c r="P61" i="5" s="1"/>
  <c r="N61" i="5"/>
  <c r="K61" i="5"/>
  <c r="W60" i="5"/>
  <c r="T60" i="5" s="1"/>
  <c r="R60" i="5"/>
  <c r="S60" i="5" s="1"/>
  <c r="Q60" i="5"/>
  <c r="O60" i="5"/>
  <c r="P60" i="5" s="1"/>
  <c r="N60" i="5"/>
  <c r="K60" i="5"/>
  <c r="W59" i="5"/>
  <c r="T59" i="5" s="1"/>
  <c r="R59" i="5"/>
  <c r="S59" i="5" s="1"/>
  <c r="Q59" i="5"/>
  <c r="O59" i="5"/>
  <c r="P59" i="5" s="1"/>
  <c r="N59" i="5"/>
  <c r="K59" i="5"/>
  <c r="W58" i="5"/>
  <c r="T58" i="5" s="1"/>
  <c r="R58" i="5"/>
  <c r="S58" i="5" s="1"/>
  <c r="Q58" i="5"/>
  <c r="O58" i="5"/>
  <c r="P58" i="5" s="1"/>
  <c r="N58" i="5"/>
  <c r="K58" i="5"/>
  <c r="W57" i="5"/>
  <c r="T57" i="5" s="1"/>
  <c r="R57" i="5"/>
  <c r="S57" i="5" s="1"/>
  <c r="Q57" i="5"/>
  <c r="O57" i="5"/>
  <c r="P57" i="5" s="1"/>
  <c r="N57" i="5"/>
  <c r="K57" i="5"/>
  <c r="W56" i="5"/>
  <c r="T56" i="5" s="1"/>
  <c r="R56" i="5"/>
  <c r="S56" i="5" s="1"/>
  <c r="Q56" i="5"/>
  <c r="O56" i="5"/>
  <c r="P56" i="5" s="1"/>
  <c r="N56" i="5"/>
  <c r="K56" i="5"/>
  <c r="W55" i="5"/>
  <c r="T55" i="5" s="1"/>
  <c r="R55" i="5"/>
  <c r="S55" i="5" s="1"/>
  <c r="Q55" i="5"/>
  <c r="O55" i="5"/>
  <c r="P55" i="5" s="1"/>
  <c r="N55" i="5"/>
  <c r="K55" i="5"/>
  <c r="W54" i="5"/>
  <c r="T54" i="5" s="1"/>
  <c r="R54" i="5"/>
  <c r="S54" i="5" s="1"/>
  <c r="Q54" i="5"/>
  <c r="O54" i="5"/>
  <c r="P54" i="5" s="1"/>
  <c r="N54" i="5"/>
  <c r="K54" i="5"/>
  <c r="W53" i="5"/>
  <c r="T53" i="5" s="1"/>
  <c r="R53" i="5"/>
  <c r="S53" i="5" s="1"/>
  <c r="Q53" i="5"/>
  <c r="O53" i="5"/>
  <c r="P53" i="5" s="1"/>
  <c r="N53" i="5"/>
  <c r="K53" i="5"/>
  <c r="W52" i="5"/>
  <c r="T52" i="5" s="1"/>
  <c r="R52" i="5"/>
  <c r="S52" i="5" s="1"/>
  <c r="Q52" i="5"/>
  <c r="O52" i="5"/>
  <c r="P52" i="5" s="1"/>
  <c r="N52" i="5"/>
  <c r="K52" i="5"/>
  <c r="W51" i="5"/>
  <c r="T51" i="5" s="1"/>
  <c r="R51" i="5"/>
  <c r="S51" i="5" s="1"/>
  <c r="Q51" i="5"/>
  <c r="O51" i="5"/>
  <c r="P51" i="5" s="1"/>
  <c r="N51" i="5"/>
  <c r="K51" i="5"/>
  <c r="W50" i="5"/>
  <c r="T50" i="5" s="1"/>
  <c r="R50" i="5"/>
  <c r="S50" i="5" s="1"/>
  <c r="Q50" i="5"/>
  <c r="O50" i="5"/>
  <c r="P50" i="5" s="1"/>
  <c r="N50" i="5"/>
  <c r="K50" i="5"/>
  <c r="W49" i="5"/>
  <c r="T49" i="5" s="1"/>
  <c r="R49" i="5"/>
  <c r="S49" i="5" s="1"/>
  <c r="Q49" i="5"/>
  <c r="O49" i="5"/>
  <c r="P49" i="5" s="1"/>
  <c r="N49" i="5"/>
  <c r="K49" i="5"/>
  <c r="W48" i="5"/>
  <c r="T48" i="5" s="1"/>
  <c r="R48" i="5"/>
  <c r="S48" i="5" s="1"/>
  <c r="Q48" i="5"/>
  <c r="O48" i="5"/>
  <c r="P48" i="5" s="1"/>
  <c r="N48" i="5"/>
  <c r="K48" i="5"/>
  <c r="W47" i="5"/>
  <c r="T47" i="5" s="1"/>
  <c r="R47" i="5"/>
  <c r="S47" i="5" s="1"/>
  <c r="Q47" i="5"/>
  <c r="O47" i="5"/>
  <c r="P47" i="5" s="1"/>
  <c r="N47" i="5"/>
  <c r="K47" i="5"/>
  <c r="W46" i="5"/>
  <c r="T46" i="5" s="1"/>
  <c r="R46" i="5"/>
  <c r="S46" i="5" s="1"/>
  <c r="Q46" i="5"/>
  <c r="O46" i="5"/>
  <c r="P46" i="5" s="1"/>
  <c r="N46" i="5"/>
  <c r="K46" i="5"/>
  <c r="W45" i="5"/>
  <c r="T45" i="5" s="1"/>
  <c r="R45" i="5"/>
  <c r="S45" i="5" s="1"/>
  <c r="Q45" i="5"/>
  <c r="O45" i="5"/>
  <c r="P45" i="5" s="1"/>
  <c r="N45" i="5"/>
  <c r="K45" i="5"/>
  <c r="W44" i="5"/>
  <c r="T44" i="5" s="1"/>
  <c r="R44" i="5"/>
  <c r="S44" i="5" s="1"/>
  <c r="Q44" i="5"/>
  <c r="O44" i="5"/>
  <c r="P44" i="5" s="1"/>
  <c r="N44" i="5"/>
  <c r="K44" i="5"/>
  <c r="W43" i="5"/>
  <c r="T43" i="5" s="1"/>
  <c r="R43" i="5"/>
  <c r="S43" i="5" s="1"/>
  <c r="Q43" i="5"/>
  <c r="O43" i="5"/>
  <c r="P43" i="5" s="1"/>
  <c r="N43" i="5"/>
  <c r="K43" i="5"/>
  <c r="W42" i="5"/>
  <c r="T42" i="5" s="1"/>
  <c r="R42" i="5"/>
  <c r="S42" i="5" s="1"/>
  <c r="Q42" i="5"/>
  <c r="O42" i="5"/>
  <c r="P42" i="5" s="1"/>
  <c r="N42" i="5"/>
  <c r="K42" i="5"/>
  <c r="W41" i="5"/>
  <c r="T41" i="5" s="1"/>
  <c r="R41" i="5"/>
  <c r="S41" i="5" s="1"/>
  <c r="Q41" i="5"/>
  <c r="O41" i="5"/>
  <c r="P41" i="5" s="1"/>
  <c r="N41" i="5"/>
  <c r="K41" i="5"/>
  <c r="W40" i="5"/>
  <c r="T40" i="5" s="1"/>
  <c r="R40" i="5"/>
  <c r="S40" i="5" s="1"/>
  <c r="Q40" i="5"/>
  <c r="O40" i="5"/>
  <c r="P40" i="5" s="1"/>
  <c r="N40" i="5"/>
  <c r="K40" i="5"/>
  <c r="W39" i="5"/>
  <c r="T39" i="5" s="1"/>
  <c r="R39" i="5"/>
  <c r="S39" i="5" s="1"/>
  <c r="Q39" i="5"/>
  <c r="O39" i="5"/>
  <c r="P39" i="5" s="1"/>
  <c r="N39" i="5"/>
  <c r="K39" i="5"/>
  <c r="W38" i="5"/>
  <c r="T38" i="5" s="1"/>
  <c r="R38" i="5"/>
  <c r="S38" i="5" s="1"/>
  <c r="Q38" i="5"/>
  <c r="O38" i="5"/>
  <c r="P38" i="5" s="1"/>
  <c r="N38" i="5"/>
  <c r="K38" i="5"/>
  <c r="W37" i="5"/>
  <c r="T37" i="5" s="1"/>
  <c r="R37" i="5"/>
  <c r="S37" i="5" s="1"/>
  <c r="Q37" i="5"/>
  <c r="O37" i="5"/>
  <c r="P37" i="5" s="1"/>
  <c r="N37" i="5"/>
  <c r="K37" i="5"/>
  <c r="W36" i="5"/>
  <c r="T36" i="5" s="1"/>
  <c r="R36" i="5"/>
  <c r="S36" i="5" s="1"/>
  <c r="Q36" i="5"/>
  <c r="O36" i="5"/>
  <c r="P36" i="5" s="1"/>
  <c r="N36" i="5"/>
  <c r="K36" i="5"/>
  <c r="W35" i="5"/>
  <c r="T35" i="5" s="1"/>
  <c r="R35" i="5"/>
  <c r="S35" i="5" s="1"/>
  <c r="Q35" i="5"/>
  <c r="O35" i="5"/>
  <c r="P35" i="5" s="1"/>
  <c r="N35" i="5"/>
  <c r="K35" i="5"/>
  <c r="W34" i="5"/>
  <c r="T34" i="5" s="1"/>
  <c r="R34" i="5"/>
  <c r="S34" i="5" s="1"/>
  <c r="Q34" i="5"/>
  <c r="O34" i="5"/>
  <c r="P34" i="5" s="1"/>
  <c r="N34" i="5"/>
  <c r="K34" i="5"/>
  <c r="W33" i="5"/>
  <c r="T33" i="5" s="1"/>
  <c r="R33" i="5"/>
  <c r="S33" i="5" s="1"/>
  <c r="Q33" i="5"/>
  <c r="O33" i="5"/>
  <c r="P33" i="5" s="1"/>
  <c r="N33" i="5"/>
  <c r="K33" i="5"/>
  <c r="W32" i="5"/>
  <c r="T32" i="5" s="1"/>
  <c r="R32" i="5"/>
  <c r="S32" i="5" s="1"/>
  <c r="Q32" i="5"/>
  <c r="O32" i="5"/>
  <c r="P32" i="5" s="1"/>
  <c r="N32" i="5"/>
  <c r="K32" i="5"/>
  <c r="W31" i="5"/>
  <c r="T31" i="5" s="1"/>
  <c r="R31" i="5"/>
  <c r="S31" i="5" s="1"/>
  <c r="Q31" i="5"/>
  <c r="O31" i="5"/>
  <c r="P31" i="5" s="1"/>
  <c r="N31" i="5"/>
  <c r="K31" i="5"/>
  <c r="W30" i="5"/>
  <c r="T30" i="5" s="1"/>
  <c r="R30" i="5"/>
  <c r="S30" i="5" s="1"/>
  <c r="Q30" i="5"/>
  <c r="O30" i="5"/>
  <c r="P30" i="5" s="1"/>
  <c r="N30" i="5"/>
  <c r="K30" i="5"/>
  <c r="W29" i="5"/>
  <c r="T29" i="5" s="1"/>
  <c r="R29" i="5"/>
  <c r="S29" i="5" s="1"/>
  <c r="Q29" i="5"/>
  <c r="O29" i="5"/>
  <c r="P29" i="5" s="1"/>
  <c r="N29" i="5"/>
  <c r="K29" i="5"/>
  <c r="W28" i="5"/>
  <c r="T28" i="5" s="1"/>
  <c r="R28" i="5"/>
  <c r="S28" i="5" s="1"/>
  <c r="Q28" i="5"/>
  <c r="O28" i="5"/>
  <c r="P28" i="5" s="1"/>
  <c r="N28" i="5"/>
  <c r="K28" i="5"/>
  <c r="W27" i="5"/>
  <c r="T27" i="5" s="1"/>
  <c r="R27" i="5"/>
  <c r="S27" i="5" s="1"/>
  <c r="Q27" i="5"/>
  <c r="O27" i="5"/>
  <c r="P27" i="5" s="1"/>
  <c r="N27" i="5"/>
  <c r="K27" i="5"/>
  <c r="W26" i="5"/>
  <c r="T26" i="5" s="1"/>
  <c r="R26" i="5"/>
  <c r="S26" i="5" s="1"/>
  <c r="Q26" i="5"/>
  <c r="O26" i="5"/>
  <c r="P26" i="5" s="1"/>
  <c r="N26" i="5"/>
  <c r="K26" i="5"/>
  <c r="W25" i="5"/>
  <c r="T25" i="5" s="1"/>
  <c r="R25" i="5"/>
  <c r="S25" i="5" s="1"/>
  <c r="Q25" i="5"/>
  <c r="O25" i="5"/>
  <c r="P25" i="5" s="1"/>
  <c r="N25" i="5"/>
  <c r="K25" i="5"/>
  <c r="W24" i="5"/>
  <c r="T24" i="5" s="1"/>
  <c r="R24" i="5"/>
  <c r="S24" i="5" s="1"/>
  <c r="Q24" i="5"/>
  <c r="O24" i="5"/>
  <c r="P24" i="5" s="1"/>
  <c r="N24" i="5"/>
  <c r="K24" i="5"/>
  <c r="W23" i="5"/>
  <c r="T23" i="5" s="1"/>
  <c r="R23" i="5"/>
  <c r="S23" i="5" s="1"/>
  <c r="Q23" i="5"/>
  <c r="O23" i="5"/>
  <c r="P23" i="5" s="1"/>
  <c r="N23" i="5"/>
  <c r="K23" i="5"/>
  <c r="W22" i="5"/>
  <c r="T22" i="5" s="1"/>
  <c r="R22" i="5"/>
  <c r="S22" i="5" s="1"/>
  <c r="Q22" i="5"/>
  <c r="O22" i="5"/>
  <c r="P22" i="5" s="1"/>
  <c r="N22" i="5"/>
  <c r="K22" i="5"/>
  <c r="W21" i="5"/>
  <c r="T21" i="5" s="1"/>
  <c r="R21" i="5"/>
  <c r="S21" i="5" s="1"/>
  <c r="Q21" i="5"/>
  <c r="O21" i="5"/>
  <c r="P21" i="5" s="1"/>
  <c r="N21" i="5"/>
  <c r="K21" i="5"/>
  <c r="W20" i="5"/>
  <c r="T20" i="5" s="1"/>
  <c r="R20" i="5"/>
  <c r="S20" i="5" s="1"/>
  <c r="Q20" i="5"/>
  <c r="O20" i="5"/>
  <c r="P20" i="5" s="1"/>
  <c r="N20" i="5"/>
  <c r="K20" i="5"/>
  <c r="W19" i="5"/>
  <c r="T19" i="5" s="1"/>
  <c r="R19" i="5"/>
  <c r="S19" i="5" s="1"/>
  <c r="Q19" i="5"/>
  <c r="O19" i="5"/>
  <c r="P19" i="5" s="1"/>
  <c r="N19" i="5"/>
  <c r="K19" i="5"/>
  <c r="W18" i="5"/>
  <c r="U18" i="5"/>
  <c r="V18" i="5" s="1"/>
  <c r="T18" i="5"/>
  <c r="O18" i="5"/>
  <c r="P18" i="5" s="1"/>
  <c r="N18" i="5"/>
  <c r="K18" i="5"/>
  <c r="W17" i="5"/>
  <c r="U17" i="5"/>
  <c r="V17" i="5" s="1"/>
  <c r="T17" i="5"/>
  <c r="O17" i="5"/>
  <c r="P17" i="5" s="1"/>
  <c r="N17" i="5"/>
  <c r="K17" i="5"/>
  <c r="W16" i="5"/>
  <c r="U16" i="5"/>
  <c r="V16" i="5" s="1"/>
  <c r="T16" i="5"/>
  <c r="O16" i="5"/>
  <c r="P16" i="5" s="1"/>
  <c r="N16" i="5"/>
  <c r="K16" i="5"/>
  <c r="W15" i="5"/>
  <c r="U15" i="5"/>
  <c r="V15" i="5" s="1"/>
  <c r="T15" i="5"/>
  <c r="O15" i="5"/>
  <c r="P15" i="5" s="1"/>
  <c r="N15" i="5"/>
  <c r="K15" i="5"/>
  <c r="W14" i="5"/>
  <c r="U14" i="5"/>
  <c r="V14" i="5" s="1"/>
  <c r="T14" i="5"/>
  <c r="O14" i="5"/>
  <c r="P14" i="5" s="1"/>
  <c r="N14" i="5"/>
  <c r="K14" i="5"/>
  <c r="W13" i="5"/>
  <c r="U13" i="5"/>
  <c r="V13" i="5" s="1"/>
  <c r="T13" i="5"/>
  <c r="O13" i="5"/>
  <c r="P13" i="5" s="1"/>
  <c r="N13" i="5"/>
  <c r="K13" i="5"/>
  <c r="W12" i="5"/>
  <c r="U12" i="5"/>
  <c r="V12" i="5" s="1"/>
  <c r="T12" i="5"/>
  <c r="O12" i="5"/>
  <c r="P12" i="5" s="1"/>
  <c r="N12" i="5"/>
  <c r="K12" i="5"/>
  <c r="W11" i="5"/>
  <c r="U11" i="5"/>
  <c r="V11" i="5" s="1"/>
  <c r="T11" i="5"/>
  <c r="O11" i="5"/>
  <c r="P11" i="5" s="1"/>
  <c r="N11" i="5"/>
  <c r="K11" i="5"/>
  <c r="W10" i="5"/>
  <c r="T10" i="5" s="1"/>
  <c r="R10" i="5"/>
  <c r="S10" i="5" s="1"/>
  <c r="Q10" i="5"/>
  <c r="O10" i="5"/>
  <c r="P10" i="5" s="1"/>
  <c r="N10" i="5"/>
  <c r="K10" i="5"/>
  <c r="P2" i="5"/>
  <c r="O2" i="5"/>
  <c r="D7" i="4"/>
  <c r="U337" i="5" l="1"/>
  <c r="V337" i="5" s="1"/>
  <c r="U50" i="5"/>
  <c r="V50" i="5" s="1"/>
  <c r="U82" i="5"/>
  <c r="V82" i="5" s="1"/>
  <c r="U282" i="5"/>
  <c r="V282" i="5" s="1"/>
  <c r="U174" i="5"/>
  <c r="V174" i="5" s="1"/>
  <c r="U196" i="5"/>
  <c r="V196" i="5" s="1"/>
  <c r="U198" i="5"/>
  <c r="V198" i="5" s="1"/>
  <c r="U221" i="5"/>
  <c r="V221" i="5" s="1"/>
  <c r="U237" i="5"/>
  <c r="V237" i="5" s="1"/>
  <c r="U160" i="5"/>
  <c r="V160" i="5" s="1"/>
  <c r="U183" i="5"/>
  <c r="V183" i="5" s="1"/>
  <c r="U306" i="5"/>
  <c r="V306" i="5" s="1"/>
  <c r="U316" i="5"/>
  <c r="V316" i="5" s="1"/>
  <c r="O4" i="5"/>
  <c r="U54" i="5"/>
  <c r="V54" i="5" s="1"/>
  <c r="U86" i="5"/>
  <c r="V86" i="5" s="1"/>
  <c r="U148" i="5"/>
  <c r="V148" i="5" s="1"/>
  <c r="U150" i="5"/>
  <c r="V150" i="5" s="1"/>
  <c r="U284" i="5"/>
  <c r="V284" i="5" s="1"/>
  <c r="U290" i="5"/>
  <c r="V290" i="5" s="1"/>
  <c r="U118" i="5"/>
  <c r="V118" i="5" s="1"/>
  <c r="U249" i="5"/>
  <c r="V249" i="5" s="1"/>
  <c r="U253" i="5"/>
  <c r="V253" i="5" s="1"/>
  <c r="U279" i="5"/>
  <c r="V279" i="5" s="1"/>
  <c r="U361" i="5"/>
  <c r="V361" i="5" s="1"/>
  <c r="U178" i="5"/>
  <c r="V178" i="5" s="1"/>
  <c r="U114" i="5"/>
  <c r="V114" i="5" s="1"/>
  <c r="U123" i="5"/>
  <c r="V123" i="5" s="1"/>
  <c r="U159" i="5"/>
  <c r="V159" i="5" s="1"/>
  <c r="U250" i="5"/>
  <c r="V250" i="5" s="1"/>
  <c r="U322" i="5"/>
  <c r="V322" i="5" s="1"/>
  <c r="U346" i="5"/>
  <c r="V346" i="5" s="1"/>
  <c r="U355" i="5"/>
  <c r="V355" i="5" s="1"/>
  <c r="U331" i="5"/>
  <c r="V331" i="5" s="1"/>
  <c r="U258" i="5"/>
  <c r="V258" i="5" s="1"/>
  <c r="U22" i="5"/>
  <c r="V22" i="5" s="1"/>
  <c r="U182" i="5"/>
  <c r="V182" i="5" s="1"/>
  <c r="U214" i="5"/>
  <c r="V214" i="5" s="1"/>
  <c r="U247" i="5"/>
  <c r="V247" i="5" s="1"/>
  <c r="U156" i="5"/>
  <c r="V156" i="5" s="1"/>
  <c r="U199" i="5"/>
  <c r="V199" i="5" s="1"/>
  <c r="U234" i="5"/>
  <c r="V234" i="5" s="1"/>
  <c r="U33" i="5"/>
  <c r="V33" i="5" s="1"/>
  <c r="U10" i="5"/>
  <c r="U38" i="5"/>
  <c r="V38" i="5" s="1"/>
  <c r="U66" i="5"/>
  <c r="V66" i="5" s="1"/>
  <c r="U81" i="5"/>
  <c r="V81" i="5" s="1"/>
  <c r="U102" i="5"/>
  <c r="V102" i="5" s="1"/>
  <c r="U205" i="5"/>
  <c r="V205" i="5" s="1"/>
  <c r="U276" i="5"/>
  <c r="V276" i="5" s="1"/>
  <c r="U303" i="5"/>
  <c r="V303" i="5" s="1"/>
  <c r="U315" i="5"/>
  <c r="V315" i="5" s="1"/>
  <c r="U339" i="5"/>
  <c r="V339" i="5" s="1"/>
  <c r="U363" i="5"/>
  <c r="V363" i="5" s="1"/>
  <c r="U65" i="5"/>
  <c r="V65" i="5" s="1"/>
  <c r="U140" i="5"/>
  <c r="V140" i="5" s="1"/>
  <c r="U143" i="5"/>
  <c r="V143" i="5" s="1"/>
  <c r="U146" i="5"/>
  <c r="V146" i="5" s="1"/>
  <c r="U154" i="5"/>
  <c r="V154" i="5" s="1"/>
  <c r="U270" i="5"/>
  <c r="V270" i="5" s="1"/>
  <c r="U310" i="5"/>
  <c r="V310" i="5" s="1"/>
  <c r="U312" i="5"/>
  <c r="V312" i="5" s="1"/>
  <c r="U330" i="5"/>
  <c r="V330" i="5" s="1"/>
  <c r="U347" i="5"/>
  <c r="V347" i="5" s="1"/>
  <c r="U354" i="5"/>
  <c r="V354" i="5" s="1"/>
  <c r="U369" i="5"/>
  <c r="V369" i="5" s="1"/>
  <c r="U97" i="5"/>
  <c r="V97" i="5" s="1"/>
  <c r="U34" i="5"/>
  <c r="V34" i="5" s="1"/>
  <c r="U49" i="5"/>
  <c r="V49" i="5" s="1"/>
  <c r="U70" i="5"/>
  <c r="V70" i="5" s="1"/>
  <c r="U98" i="5"/>
  <c r="V98" i="5" s="1"/>
  <c r="U113" i="5"/>
  <c r="V113" i="5" s="1"/>
  <c r="U134" i="5"/>
  <c r="V134" i="5" s="1"/>
  <c r="U136" i="5"/>
  <c r="V136" i="5" s="1"/>
  <c r="U139" i="5"/>
  <c r="V139" i="5" s="1"/>
  <c r="U158" i="5"/>
  <c r="V158" i="5" s="1"/>
  <c r="U162" i="5"/>
  <c r="V162" i="5" s="1"/>
  <c r="U167" i="5"/>
  <c r="V167" i="5" s="1"/>
  <c r="U189" i="5"/>
  <c r="V189" i="5" s="1"/>
  <c r="U195" i="5"/>
  <c r="V195" i="5" s="1"/>
  <c r="U213" i="5"/>
  <c r="V213" i="5" s="1"/>
  <c r="U220" i="5"/>
  <c r="V220" i="5" s="1"/>
  <c r="U222" i="5"/>
  <c r="V222" i="5" s="1"/>
  <c r="U235" i="5"/>
  <c r="V235" i="5" s="1"/>
  <c r="U238" i="5"/>
  <c r="V238" i="5" s="1"/>
  <c r="U251" i="5"/>
  <c r="V251" i="5" s="1"/>
  <c r="U283" i="5"/>
  <c r="V283" i="5" s="1"/>
  <c r="U285" i="5"/>
  <c r="V285" i="5" s="1"/>
  <c r="U294" i="5"/>
  <c r="V294" i="5" s="1"/>
  <c r="U304" i="5"/>
  <c r="V304" i="5" s="1"/>
  <c r="U314" i="5"/>
  <c r="V314" i="5" s="1"/>
  <c r="U323" i="5"/>
  <c r="V323" i="5" s="1"/>
  <c r="U329" i="5"/>
  <c r="V329" i="5" s="1"/>
  <c r="U338" i="5"/>
  <c r="V338" i="5" s="1"/>
  <c r="U362" i="5"/>
  <c r="V362" i="5" s="1"/>
  <c r="U39" i="5"/>
  <c r="V39" i="5" s="1"/>
  <c r="U52" i="5"/>
  <c r="V52" i="5" s="1"/>
  <c r="U55" i="5"/>
  <c r="V55" i="5" s="1"/>
  <c r="U68" i="5"/>
  <c r="V68" i="5" s="1"/>
  <c r="U116" i="5"/>
  <c r="V116" i="5" s="1"/>
  <c r="U119" i="5"/>
  <c r="V119" i="5" s="1"/>
  <c r="U21" i="5"/>
  <c r="V21" i="5" s="1"/>
  <c r="U24" i="5"/>
  <c r="V24" i="5" s="1"/>
  <c r="U27" i="5"/>
  <c r="V27" i="5" s="1"/>
  <c r="U40" i="5"/>
  <c r="V40" i="5" s="1"/>
  <c r="U43" i="5"/>
  <c r="V43" i="5" s="1"/>
  <c r="U53" i="5"/>
  <c r="V53" i="5" s="1"/>
  <c r="U56" i="5"/>
  <c r="V56" i="5" s="1"/>
  <c r="U69" i="5"/>
  <c r="V69" i="5" s="1"/>
  <c r="U72" i="5"/>
  <c r="V72" i="5" s="1"/>
  <c r="U75" i="5"/>
  <c r="V75" i="5" s="1"/>
  <c r="U20" i="5"/>
  <c r="V20" i="5" s="1"/>
  <c r="U23" i="5"/>
  <c r="V23" i="5" s="1"/>
  <c r="U36" i="5"/>
  <c r="V36" i="5" s="1"/>
  <c r="U71" i="5"/>
  <c r="V71" i="5" s="1"/>
  <c r="U84" i="5"/>
  <c r="V84" i="5" s="1"/>
  <c r="U87" i="5"/>
  <c r="V87" i="5" s="1"/>
  <c r="U103" i="5"/>
  <c r="V103" i="5" s="1"/>
  <c r="U37" i="5"/>
  <c r="V37" i="5" s="1"/>
  <c r="U59" i="5"/>
  <c r="V59" i="5" s="1"/>
  <c r="U91" i="5"/>
  <c r="V91" i="5" s="1"/>
  <c r="U101" i="5"/>
  <c r="V101" i="5" s="1"/>
  <c r="U104" i="5"/>
  <c r="V104" i="5" s="1"/>
  <c r="U107" i="5"/>
  <c r="V107" i="5" s="1"/>
  <c r="U117" i="5"/>
  <c r="V117" i="5" s="1"/>
  <c r="U120" i="5"/>
  <c r="V120" i="5" s="1"/>
  <c r="U25" i="5"/>
  <c r="V25" i="5" s="1"/>
  <c r="U28" i="5"/>
  <c r="V28" i="5" s="1"/>
  <c r="U31" i="5"/>
  <c r="V31" i="5" s="1"/>
  <c r="U41" i="5"/>
  <c r="V41" i="5" s="1"/>
  <c r="U44" i="5"/>
  <c r="V44" i="5" s="1"/>
  <c r="U47" i="5"/>
  <c r="V47" i="5" s="1"/>
  <c r="U57" i="5"/>
  <c r="V57" i="5" s="1"/>
  <c r="U60" i="5"/>
  <c r="V60" i="5" s="1"/>
  <c r="U63" i="5"/>
  <c r="V63" i="5" s="1"/>
  <c r="U73" i="5"/>
  <c r="V73" i="5" s="1"/>
  <c r="U76" i="5"/>
  <c r="V76" i="5" s="1"/>
  <c r="U79" i="5"/>
  <c r="V79" i="5" s="1"/>
  <c r="U89" i="5"/>
  <c r="V89" i="5" s="1"/>
  <c r="U92" i="5"/>
  <c r="V92" i="5" s="1"/>
  <c r="U95" i="5"/>
  <c r="V95" i="5" s="1"/>
  <c r="U105" i="5"/>
  <c r="V105" i="5" s="1"/>
  <c r="U108" i="5"/>
  <c r="V108" i="5" s="1"/>
  <c r="U111" i="5"/>
  <c r="V111" i="5" s="1"/>
  <c r="U121" i="5"/>
  <c r="V121" i="5" s="1"/>
  <c r="U187" i="5"/>
  <c r="V187" i="5" s="1"/>
  <c r="U209" i="5"/>
  <c r="V209" i="5" s="1"/>
  <c r="U100" i="5"/>
  <c r="V100" i="5" s="1"/>
  <c r="U85" i="5"/>
  <c r="V85" i="5" s="1"/>
  <c r="U88" i="5"/>
  <c r="V88" i="5" s="1"/>
  <c r="U201" i="5"/>
  <c r="V201" i="5" s="1"/>
  <c r="O3" i="5"/>
  <c r="U19" i="5"/>
  <c r="V19" i="5" s="1"/>
  <c r="U29" i="5"/>
  <c r="V29" i="5" s="1"/>
  <c r="U32" i="5"/>
  <c r="V32" i="5" s="1"/>
  <c r="U35" i="5"/>
  <c r="V35" i="5" s="1"/>
  <c r="U45" i="5"/>
  <c r="V45" i="5" s="1"/>
  <c r="U48" i="5"/>
  <c r="V48" i="5" s="1"/>
  <c r="U51" i="5"/>
  <c r="V51" i="5" s="1"/>
  <c r="U61" i="5"/>
  <c r="V61" i="5" s="1"/>
  <c r="U64" i="5"/>
  <c r="V64" i="5" s="1"/>
  <c r="U67" i="5"/>
  <c r="V67" i="5" s="1"/>
  <c r="U77" i="5"/>
  <c r="V77" i="5" s="1"/>
  <c r="U80" i="5"/>
  <c r="V80" i="5" s="1"/>
  <c r="U83" i="5"/>
  <c r="V83" i="5" s="1"/>
  <c r="U93" i="5"/>
  <c r="V93" i="5" s="1"/>
  <c r="U96" i="5"/>
  <c r="V96" i="5" s="1"/>
  <c r="U99" i="5"/>
  <c r="V99" i="5" s="1"/>
  <c r="U109" i="5"/>
  <c r="V109" i="5" s="1"/>
  <c r="U112" i="5"/>
  <c r="V112" i="5" s="1"/>
  <c r="U115" i="5"/>
  <c r="V115" i="5" s="1"/>
  <c r="U124" i="5"/>
  <c r="V124" i="5" s="1"/>
  <c r="U127" i="5"/>
  <c r="V127" i="5" s="1"/>
  <c r="U133" i="5"/>
  <c r="V133" i="5" s="1"/>
  <c r="U137" i="5"/>
  <c r="V137" i="5" s="1"/>
  <c r="U144" i="5"/>
  <c r="V144" i="5" s="1"/>
  <c r="U147" i="5"/>
  <c r="V147" i="5" s="1"/>
  <c r="U179" i="5"/>
  <c r="V179" i="5" s="1"/>
  <c r="U186" i="5"/>
  <c r="V186" i="5" s="1"/>
  <c r="U194" i="5"/>
  <c r="V194" i="5" s="1"/>
  <c r="U206" i="5"/>
  <c r="V206" i="5" s="1"/>
  <c r="U229" i="5"/>
  <c r="V229" i="5" s="1"/>
  <c r="U254" i="5"/>
  <c r="V254" i="5" s="1"/>
  <c r="U261" i="5"/>
  <c r="V261" i="5" s="1"/>
  <c r="U125" i="5"/>
  <c r="V125" i="5" s="1"/>
  <c r="U128" i="5"/>
  <c r="V128" i="5" s="1"/>
  <c r="U131" i="5"/>
  <c r="V131" i="5" s="1"/>
  <c r="U153" i="5"/>
  <c r="V153" i="5" s="1"/>
  <c r="U170" i="5"/>
  <c r="V170" i="5" s="1"/>
  <c r="U175" i="5"/>
  <c r="V175" i="5" s="1"/>
  <c r="U202" i="5"/>
  <c r="V202" i="5" s="1"/>
  <c r="U203" i="5"/>
  <c r="V203" i="5" s="1"/>
  <c r="U210" i="5"/>
  <c r="V210" i="5" s="1"/>
  <c r="U211" i="5"/>
  <c r="V211" i="5" s="1"/>
  <c r="U217" i="5"/>
  <c r="V217" i="5" s="1"/>
  <c r="U225" i="5"/>
  <c r="V225" i="5" s="1"/>
  <c r="U241" i="5"/>
  <c r="V241" i="5" s="1"/>
  <c r="U244" i="5"/>
  <c r="V244" i="5" s="1"/>
  <c r="U252" i="5"/>
  <c r="V252" i="5" s="1"/>
  <c r="U262" i="5"/>
  <c r="V262" i="5" s="1"/>
  <c r="U273" i="5"/>
  <c r="V273" i="5" s="1"/>
  <c r="U321" i="5"/>
  <c r="V321" i="5" s="1"/>
  <c r="U353" i="5"/>
  <c r="V353" i="5" s="1"/>
  <c r="U129" i="5"/>
  <c r="V129" i="5" s="1"/>
  <c r="U130" i="5"/>
  <c r="V130" i="5" s="1"/>
  <c r="U132" i="5"/>
  <c r="V132" i="5" s="1"/>
  <c r="U135" i="5"/>
  <c r="V135" i="5" s="1"/>
  <c r="U142" i="5"/>
  <c r="V142" i="5" s="1"/>
  <c r="U151" i="5"/>
  <c r="V151" i="5" s="1"/>
  <c r="U152" i="5"/>
  <c r="V152" i="5" s="1"/>
  <c r="U161" i="5"/>
  <c r="V161" i="5" s="1"/>
  <c r="U166" i="5"/>
  <c r="V166" i="5" s="1"/>
  <c r="U171" i="5"/>
  <c r="V171" i="5" s="1"/>
  <c r="U185" i="5"/>
  <c r="V185" i="5" s="1"/>
  <c r="U218" i="5"/>
  <c r="V218" i="5" s="1"/>
  <c r="U219" i="5"/>
  <c r="V219" i="5" s="1"/>
  <c r="U226" i="5"/>
  <c r="V226" i="5" s="1"/>
  <c r="U227" i="5"/>
  <c r="V227" i="5" s="1"/>
  <c r="U233" i="5"/>
  <c r="V233" i="5" s="1"/>
  <c r="U236" i="5"/>
  <c r="V236" i="5" s="1"/>
  <c r="U242" i="5"/>
  <c r="V242" i="5" s="1"/>
  <c r="U245" i="5"/>
  <c r="V245" i="5" s="1"/>
  <c r="U281" i="5"/>
  <c r="V281" i="5" s="1"/>
  <c r="U293" i="5"/>
  <c r="V293" i="5" s="1"/>
  <c r="U345" i="5"/>
  <c r="V345" i="5" s="1"/>
  <c r="U263" i="5"/>
  <c r="V263" i="5" s="1"/>
  <c r="U265" i="5"/>
  <c r="V265" i="5" s="1"/>
  <c r="U268" i="5"/>
  <c r="V268" i="5" s="1"/>
  <c r="U274" i="5"/>
  <c r="V274" i="5" s="1"/>
  <c r="U277" i="5"/>
  <c r="V277" i="5" s="1"/>
  <c r="U286" i="5"/>
  <c r="V286" i="5" s="1"/>
  <c r="U295" i="5"/>
  <c r="V295" i="5" s="1"/>
  <c r="U297" i="5"/>
  <c r="V297" i="5" s="1"/>
  <c r="U300" i="5"/>
  <c r="V300" i="5" s="1"/>
  <c r="U309" i="5"/>
  <c r="V309" i="5" s="1"/>
  <c r="U319" i="5"/>
  <c r="V319" i="5" s="1"/>
  <c r="U327" i="5"/>
  <c r="V327" i="5" s="1"/>
  <c r="U335" i="5"/>
  <c r="V335" i="5" s="1"/>
  <c r="U343" i="5"/>
  <c r="V343" i="5" s="1"/>
  <c r="U351" i="5"/>
  <c r="V351" i="5" s="1"/>
  <c r="U359" i="5"/>
  <c r="V359" i="5" s="1"/>
  <c r="U367" i="5"/>
  <c r="V367" i="5" s="1"/>
  <c r="U368" i="5"/>
  <c r="V368" i="5" s="1"/>
  <c r="U246" i="5"/>
  <c r="V246" i="5" s="1"/>
  <c r="U257" i="5"/>
  <c r="V257" i="5" s="1"/>
  <c r="U260" i="5"/>
  <c r="V260" i="5" s="1"/>
  <c r="U266" i="5"/>
  <c r="V266" i="5" s="1"/>
  <c r="U267" i="5"/>
  <c r="V267" i="5" s="1"/>
  <c r="U269" i="5"/>
  <c r="V269" i="5" s="1"/>
  <c r="U278" i="5"/>
  <c r="V278" i="5" s="1"/>
  <c r="U289" i="5"/>
  <c r="V289" i="5" s="1"/>
  <c r="U292" i="5"/>
  <c r="V292" i="5" s="1"/>
  <c r="U298" i="5"/>
  <c r="V298" i="5" s="1"/>
  <c r="U299" i="5"/>
  <c r="V299" i="5" s="1"/>
  <c r="U301" i="5"/>
  <c r="V301" i="5" s="1"/>
  <c r="U305" i="5"/>
  <c r="V305" i="5" s="1"/>
  <c r="U307" i="5"/>
  <c r="V307" i="5" s="1"/>
  <c r="U308" i="5"/>
  <c r="V308" i="5" s="1"/>
  <c r="U317" i="5"/>
  <c r="V317" i="5" s="1"/>
  <c r="U318" i="5"/>
  <c r="V318" i="5" s="1"/>
  <c r="U325" i="5"/>
  <c r="V325" i="5" s="1"/>
  <c r="U326" i="5"/>
  <c r="V326" i="5" s="1"/>
  <c r="U333" i="5"/>
  <c r="V333" i="5" s="1"/>
  <c r="U334" i="5"/>
  <c r="V334" i="5" s="1"/>
  <c r="U341" i="5"/>
  <c r="V341" i="5" s="1"/>
  <c r="U342" i="5"/>
  <c r="V342" i="5" s="1"/>
  <c r="U349" i="5"/>
  <c r="V349" i="5" s="1"/>
  <c r="U350" i="5"/>
  <c r="V350" i="5" s="1"/>
  <c r="U357" i="5"/>
  <c r="V357" i="5" s="1"/>
  <c r="U358" i="5"/>
  <c r="V358" i="5" s="1"/>
  <c r="U365" i="5"/>
  <c r="V365" i="5" s="1"/>
  <c r="U366" i="5"/>
  <c r="V366" i="5" s="1"/>
  <c r="U42" i="5"/>
  <c r="V42" i="5" s="1"/>
  <c r="R2" i="5"/>
  <c r="U30" i="5"/>
  <c r="V30" i="5" s="1"/>
  <c r="U46" i="5"/>
  <c r="V46" i="5" s="1"/>
  <c r="U62" i="5"/>
  <c r="V62" i="5" s="1"/>
  <c r="U78" i="5"/>
  <c r="V78" i="5" s="1"/>
  <c r="U94" i="5"/>
  <c r="V94" i="5" s="1"/>
  <c r="U110" i="5"/>
  <c r="V110" i="5" s="1"/>
  <c r="U126" i="5"/>
  <c r="V126" i="5" s="1"/>
  <c r="V10" i="5"/>
  <c r="U26" i="5"/>
  <c r="V26" i="5" s="1"/>
  <c r="U58" i="5"/>
  <c r="V58" i="5" s="1"/>
  <c r="U74" i="5"/>
  <c r="V74" i="5" s="1"/>
  <c r="U90" i="5"/>
  <c r="V90" i="5" s="1"/>
  <c r="U106" i="5"/>
  <c r="V106" i="5" s="1"/>
  <c r="U122" i="5"/>
  <c r="V122" i="5" s="1"/>
  <c r="U138" i="5"/>
  <c r="V138" i="5" s="1"/>
  <c r="U193" i="5"/>
  <c r="V193" i="5" s="1"/>
  <c r="S2" i="5"/>
  <c r="U149" i="5"/>
  <c r="V149" i="5" s="1"/>
  <c r="U155" i="5"/>
  <c r="V155" i="5" s="1"/>
  <c r="U163" i="5"/>
  <c r="V163" i="5" s="1"/>
  <c r="U165" i="5"/>
  <c r="V165" i="5" s="1"/>
  <c r="U169" i="5"/>
  <c r="V169" i="5" s="1"/>
  <c r="U173" i="5"/>
  <c r="V173" i="5" s="1"/>
  <c r="U177" i="5"/>
  <c r="V177" i="5" s="1"/>
  <c r="U181" i="5"/>
  <c r="V181" i="5" s="1"/>
  <c r="U197" i="5"/>
  <c r="V197" i="5" s="1"/>
  <c r="U204" i="5"/>
  <c r="V204" i="5" s="1"/>
  <c r="U145" i="5"/>
  <c r="V145" i="5" s="1"/>
  <c r="U157" i="5"/>
  <c r="V157" i="5" s="1"/>
  <c r="U164" i="5"/>
  <c r="V164" i="5" s="1"/>
  <c r="U168" i="5"/>
  <c r="V168" i="5" s="1"/>
  <c r="U172" i="5"/>
  <c r="V172" i="5" s="1"/>
  <c r="U176" i="5"/>
  <c r="V176" i="5" s="1"/>
  <c r="U180" i="5"/>
  <c r="V180" i="5" s="1"/>
  <c r="U190" i="5"/>
  <c r="V190" i="5" s="1"/>
  <c r="U191" i="5"/>
  <c r="V191" i="5" s="1"/>
  <c r="U141" i="5"/>
  <c r="V141" i="5" s="1"/>
  <c r="U192" i="5"/>
  <c r="V192" i="5" s="1"/>
  <c r="U207" i="5"/>
  <c r="V207" i="5" s="1"/>
  <c r="U208" i="5"/>
  <c r="V208" i="5" s="1"/>
  <c r="U223" i="5"/>
  <c r="V223" i="5" s="1"/>
  <c r="U224" i="5"/>
  <c r="V224" i="5" s="1"/>
  <c r="U240" i="5"/>
  <c r="V240" i="5" s="1"/>
  <c r="U243" i="5"/>
  <c r="V243" i="5" s="1"/>
  <c r="U256" i="5"/>
  <c r="V256" i="5" s="1"/>
  <c r="U259" i="5"/>
  <c r="V259" i="5" s="1"/>
  <c r="U272" i="5"/>
  <c r="V272" i="5" s="1"/>
  <c r="U275" i="5"/>
  <c r="V275" i="5" s="1"/>
  <c r="U288" i="5"/>
  <c r="V288" i="5" s="1"/>
  <c r="U291" i="5"/>
  <c r="V291" i="5" s="1"/>
  <c r="U302" i="5"/>
  <c r="V302" i="5" s="1"/>
  <c r="U188" i="5"/>
  <c r="V188" i="5" s="1"/>
  <c r="U212" i="5"/>
  <c r="V212" i="5" s="1"/>
  <c r="U228" i="5"/>
  <c r="V228" i="5" s="1"/>
  <c r="U239" i="5"/>
  <c r="V239" i="5" s="1"/>
  <c r="U255" i="5"/>
  <c r="V255" i="5" s="1"/>
  <c r="U271" i="5"/>
  <c r="V271" i="5" s="1"/>
  <c r="U287" i="5"/>
  <c r="V287" i="5" s="1"/>
  <c r="U184" i="5"/>
  <c r="V184" i="5" s="1"/>
  <c r="U200" i="5"/>
  <c r="V200" i="5" s="1"/>
  <c r="U215" i="5"/>
  <c r="V215" i="5" s="1"/>
  <c r="U216" i="5"/>
  <c r="V216" i="5" s="1"/>
  <c r="U231" i="5"/>
  <c r="V231" i="5" s="1"/>
  <c r="U232" i="5"/>
  <c r="V232" i="5" s="1"/>
  <c r="U248" i="5"/>
  <c r="V248" i="5" s="1"/>
  <c r="U264" i="5"/>
  <c r="V264" i="5" s="1"/>
  <c r="U280" i="5"/>
  <c r="V280" i="5" s="1"/>
  <c r="U296" i="5"/>
  <c r="V296" i="5" s="1"/>
  <c r="U311" i="5"/>
  <c r="V311" i="5" s="1"/>
  <c r="U320" i="5"/>
  <c r="V320" i="5" s="1"/>
  <c r="U324" i="5"/>
  <c r="V324" i="5" s="1"/>
  <c r="U328" i="5"/>
  <c r="V328" i="5" s="1"/>
  <c r="U332" i="5"/>
  <c r="V332" i="5" s="1"/>
  <c r="U336" i="5"/>
  <c r="V336" i="5" s="1"/>
  <c r="U340" i="5"/>
  <c r="V340" i="5" s="1"/>
  <c r="U344" i="5"/>
  <c r="V344" i="5" s="1"/>
  <c r="U348" i="5"/>
  <c r="V348" i="5" s="1"/>
  <c r="U352" i="5"/>
  <c r="V352" i="5" s="1"/>
  <c r="U356" i="5"/>
  <c r="V356" i="5" s="1"/>
  <c r="U360" i="5"/>
  <c r="V360" i="5" s="1"/>
  <c r="U364" i="5"/>
  <c r="V364" i="5" s="1"/>
  <c r="U313" i="5"/>
  <c r="V313" i="5" s="1"/>
  <c r="T10" i="2"/>
  <c r="S10" i="2" s="1"/>
  <c r="T11" i="2"/>
  <c r="S11" i="2" s="1"/>
  <c r="T12" i="2"/>
  <c r="S12" i="2" s="1"/>
  <c r="T13" i="2"/>
  <c r="S13" i="2" s="1"/>
  <c r="T14" i="2"/>
  <c r="T15" i="2"/>
  <c r="S15" i="2" s="1"/>
  <c r="T16" i="2"/>
  <c r="S16" i="2" s="1"/>
  <c r="T17" i="2"/>
  <c r="S17" i="2" s="1"/>
  <c r="T18" i="2"/>
  <c r="S18" i="2" s="1"/>
  <c r="T19" i="2"/>
  <c r="S19" i="2" s="1"/>
  <c r="T20" i="2"/>
  <c r="S20" i="2" s="1"/>
  <c r="T21" i="2"/>
  <c r="S21" i="2" s="1"/>
  <c r="T22" i="2"/>
  <c r="S22" i="2" s="1"/>
  <c r="T23" i="2"/>
  <c r="S23" i="2" s="1"/>
  <c r="T24" i="2"/>
  <c r="S24" i="2" s="1"/>
  <c r="T25" i="2"/>
  <c r="S25" i="2" s="1"/>
  <c r="T26" i="2"/>
  <c r="S26" i="2" s="1"/>
  <c r="T27" i="2"/>
  <c r="S27" i="2" s="1"/>
  <c r="T28" i="2"/>
  <c r="S28" i="2" s="1"/>
  <c r="T29" i="2"/>
  <c r="S29" i="2" s="1"/>
  <c r="T30" i="2"/>
  <c r="S30" i="2" s="1"/>
  <c r="T31" i="2"/>
  <c r="S31" i="2" s="1"/>
  <c r="T32" i="2"/>
  <c r="S32" i="2" s="1"/>
  <c r="T33" i="2"/>
  <c r="S33" i="2" s="1"/>
  <c r="T34" i="2"/>
  <c r="S34" i="2" s="1"/>
  <c r="T35" i="2"/>
  <c r="S35" i="2" s="1"/>
  <c r="T36" i="2"/>
  <c r="S36" i="2" s="1"/>
  <c r="T37" i="2"/>
  <c r="S37" i="2" s="1"/>
  <c r="T38" i="2"/>
  <c r="S38" i="2" s="1"/>
  <c r="T39" i="2"/>
  <c r="S39" i="2" s="1"/>
  <c r="T40" i="2"/>
  <c r="S40" i="2" s="1"/>
  <c r="T41" i="2"/>
  <c r="S41" i="2" s="1"/>
  <c r="T42" i="2"/>
  <c r="T43" i="2"/>
  <c r="S43" i="2" s="1"/>
  <c r="T44" i="2"/>
  <c r="S44" i="2" s="1"/>
  <c r="T45" i="2"/>
  <c r="S45" i="2" s="1"/>
  <c r="T46" i="2"/>
  <c r="S46" i="2" s="1"/>
  <c r="T47" i="2"/>
  <c r="S47" i="2" s="1"/>
  <c r="T48" i="2"/>
  <c r="S48" i="2" s="1"/>
  <c r="T49" i="2"/>
  <c r="S49" i="2" s="1"/>
  <c r="T50" i="2"/>
  <c r="S50" i="2" s="1"/>
  <c r="T51" i="2"/>
  <c r="S51" i="2" s="1"/>
  <c r="T52" i="2"/>
  <c r="S52" i="2" s="1"/>
  <c r="T53" i="2"/>
  <c r="S53" i="2" s="1"/>
  <c r="T54" i="2"/>
  <c r="S54" i="2" s="1"/>
  <c r="T55" i="2"/>
  <c r="S55" i="2" s="1"/>
  <c r="T56" i="2"/>
  <c r="S56" i="2" s="1"/>
  <c r="T57" i="2"/>
  <c r="S57" i="2" s="1"/>
  <c r="T58" i="2"/>
  <c r="S58" i="2" s="1"/>
  <c r="T59" i="2"/>
  <c r="S59" i="2" s="1"/>
  <c r="T60" i="2"/>
  <c r="S60" i="2" s="1"/>
  <c r="T61" i="2"/>
  <c r="S61" i="2" s="1"/>
  <c r="T62" i="2"/>
  <c r="S62" i="2" s="1"/>
  <c r="T63" i="2"/>
  <c r="S63" i="2" s="1"/>
  <c r="T64" i="2"/>
  <c r="T65" i="2"/>
  <c r="S65" i="2" s="1"/>
  <c r="T66" i="2"/>
  <c r="S66" i="2" s="1"/>
  <c r="T67" i="2"/>
  <c r="T68" i="2"/>
  <c r="S68" i="2" s="1"/>
  <c r="T69" i="2"/>
  <c r="S69" i="2" s="1"/>
  <c r="T70" i="2"/>
  <c r="T71" i="2"/>
  <c r="T72" i="2"/>
  <c r="S72" i="2" s="1"/>
  <c r="T73" i="2"/>
  <c r="S73" i="2" s="1"/>
  <c r="T74" i="2"/>
  <c r="S74" i="2" s="1"/>
  <c r="T75" i="2"/>
  <c r="S75" i="2" s="1"/>
  <c r="T76" i="2"/>
  <c r="S76" i="2" s="1"/>
  <c r="T77" i="2"/>
  <c r="S77" i="2" s="1"/>
  <c r="T78" i="2"/>
  <c r="S78" i="2" s="1"/>
  <c r="T79" i="2"/>
  <c r="S79" i="2" s="1"/>
  <c r="T80" i="2"/>
  <c r="T81" i="2"/>
  <c r="T82" i="2"/>
  <c r="S82" i="2" s="1"/>
  <c r="T83" i="2"/>
  <c r="T84" i="2"/>
  <c r="T85" i="2"/>
  <c r="S85" i="2" s="1"/>
  <c r="T86" i="2"/>
  <c r="S86" i="2" s="1"/>
  <c r="T87" i="2"/>
  <c r="T88" i="2"/>
  <c r="T89" i="2"/>
  <c r="S89" i="2" s="1"/>
  <c r="T90" i="2"/>
  <c r="S90" i="2" s="1"/>
  <c r="T91" i="2"/>
  <c r="S91" i="2" s="1"/>
  <c r="T92" i="2"/>
  <c r="S92" i="2" s="1"/>
  <c r="T93" i="2"/>
  <c r="S93" i="2" s="1"/>
  <c r="T94" i="2"/>
  <c r="S94" i="2" s="1"/>
  <c r="T95" i="2"/>
  <c r="S95" i="2" s="1"/>
  <c r="T96" i="2"/>
  <c r="S96" i="2" s="1"/>
  <c r="T97" i="2"/>
  <c r="S97" i="2" s="1"/>
  <c r="T98" i="2"/>
  <c r="S98" i="2" s="1"/>
  <c r="T99" i="2"/>
  <c r="S99" i="2" s="1"/>
  <c r="T100" i="2"/>
  <c r="T101" i="2"/>
  <c r="S101" i="2" s="1"/>
  <c r="T102" i="2"/>
  <c r="S102" i="2" s="1"/>
  <c r="T103" i="2"/>
  <c r="S103" i="2" s="1"/>
  <c r="T104" i="2"/>
  <c r="S104" i="2" s="1"/>
  <c r="T105" i="2"/>
  <c r="S105" i="2" s="1"/>
  <c r="T106" i="2"/>
  <c r="S106" i="2" s="1"/>
  <c r="T107" i="2"/>
  <c r="S107" i="2" s="1"/>
  <c r="T108" i="2"/>
  <c r="S108" i="2" s="1"/>
  <c r="T109" i="2"/>
  <c r="S109" i="2" s="1"/>
  <c r="T110" i="2"/>
  <c r="S110" i="2" s="1"/>
  <c r="T111" i="2"/>
  <c r="S111" i="2" s="1"/>
  <c r="T112" i="2"/>
  <c r="S112" i="2" s="1"/>
  <c r="T113" i="2"/>
  <c r="S113" i="2" s="1"/>
  <c r="T114" i="2"/>
  <c r="S114" i="2" s="1"/>
  <c r="T115" i="2"/>
  <c r="S115" i="2" s="1"/>
  <c r="T116" i="2"/>
  <c r="S116" i="2" s="1"/>
  <c r="T117" i="2"/>
  <c r="S117" i="2" s="1"/>
  <c r="T118" i="2"/>
  <c r="T125" i="2"/>
  <c r="T126" i="2"/>
  <c r="S126" i="2" s="1"/>
  <c r="T127" i="2"/>
  <c r="S127" i="2" s="1"/>
  <c r="T128" i="2"/>
  <c r="S128" i="2" s="1"/>
  <c r="T129" i="2"/>
  <c r="T130" i="2"/>
  <c r="S130" i="2" s="1"/>
  <c r="T131" i="2"/>
  <c r="S131" i="2" s="1"/>
  <c r="T132" i="2"/>
  <c r="S132" i="2" s="1"/>
  <c r="T133" i="2"/>
  <c r="S133" i="2" s="1"/>
  <c r="T134" i="2"/>
  <c r="S134" i="2" s="1"/>
  <c r="T135" i="2"/>
  <c r="S135" i="2" s="1"/>
  <c r="T136" i="2"/>
  <c r="S136" i="2" s="1"/>
  <c r="T137" i="2"/>
  <c r="S137" i="2" s="1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S154" i="2" s="1"/>
  <c r="T155" i="2"/>
  <c r="S155" i="2" s="1"/>
  <c r="T156" i="2"/>
  <c r="S156" i="2" s="1"/>
  <c r="T157" i="2"/>
  <c r="S157" i="2" s="1"/>
  <c r="T158" i="2"/>
  <c r="S158" i="2" s="1"/>
  <c r="T159" i="2"/>
  <c r="S159" i="2" s="1"/>
  <c r="T160" i="2"/>
  <c r="S160" i="2" s="1"/>
  <c r="T161" i="2"/>
  <c r="S161" i="2" s="1"/>
  <c r="T162" i="2"/>
  <c r="S162" i="2" s="1"/>
  <c r="T163" i="2"/>
  <c r="S163" i="2" s="1"/>
  <c r="T164" i="2"/>
  <c r="S164" i="2" s="1"/>
  <c r="T165" i="2"/>
  <c r="T166" i="2"/>
  <c r="T167" i="2"/>
  <c r="S167" i="2" s="1"/>
  <c r="T168" i="2"/>
  <c r="T169" i="2"/>
  <c r="T170" i="2"/>
  <c r="S170" i="2" s="1"/>
  <c r="T171" i="2"/>
  <c r="T172" i="2"/>
  <c r="T173" i="2"/>
  <c r="T174" i="2"/>
  <c r="S174" i="2" s="1"/>
  <c r="T175" i="2"/>
  <c r="S175" i="2" s="1"/>
  <c r="T176" i="2"/>
  <c r="S176" i="2" s="1"/>
  <c r="T177" i="2"/>
  <c r="S177" i="2" s="1"/>
  <c r="T178" i="2"/>
  <c r="S178" i="2" s="1"/>
  <c r="T179" i="2"/>
  <c r="S179" i="2" s="1"/>
  <c r="T180" i="2"/>
  <c r="S180" i="2" s="1"/>
  <c r="T181" i="2"/>
  <c r="S181" i="2" s="1"/>
  <c r="T182" i="2"/>
  <c r="S182" i="2" s="1"/>
  <c r="T183" i="2"/>
  <c r="S183" i="2" s="1"/>
  <c r="T184" i="2"/>
  <c r="S184" i="2" s="1"/>
  <c r="T185" i="2"/>
  <c r="S185" i="2" s="1"/>
  <c r="T186" i="2"/>
  <c r="S186" i="2" s="1"/>
  <c r="T187" i="2"/>
  <c r="S187" i="2" s="1"/>
  <c r="T188" i="2"/>
  <c r="S188" i="2" s="1"/>
  <c r="T189" i="2"/>
  <c r="S189" i="2" s="1"/>
  <c r="T190" i="2"/>
  <c r="S190" i="2" s="1"/>
  <c r="T191" i="2"/>
  <c r="S191" i="2" s="1"/>
  <c r="T192" i="2"/>
  <c r="S192" i="2" s="1"/>
  <c r="T193" i="2"/>
  <c r="S193" i="2" s="1"/>
  <c r="T194" i="2"/>
  <c r="S194" i="2" s="1"/>
  <c r="T195" i="2"/>
  <c r="S195" i="2" s="1"/>
  <c r="T196" i="2"/>
  <c r="S196" i="2" s="1"/>
  <c r="T197" i="2"/>
  <c r="S197" i="2" s="1"/>
  <c r="T198" i="2"/>
  <c r="S198" i="2" s="1"/>
  <c r="T199" i="2"/>
  <c r="S199" i="2" s="1"/>
  <c r="T200" i="2"/>
  <c r="S200" i="2" s="1"/>
  <c r="T201" i="2"/>
  <c r="S201" i="2" s="1"/>
  <c r="T202" i="2"/>
  <c r="S202" i="2" s="1"/>
  <c r="T203" i="2"/>
  <c r="S203" i="2" s="1"/>
  <c r="T204" i="2"/>
  <c r="S204" i="2" s="1"/>
  <c r="T205" i="2"/>
  <c r="S205" i="2" s="1"/>
  <c r="T206" i="2"/>
  <c r="S206" i="2" s="1"/>
  <c r="T207" i="2"/>
  <c r="S207" i="2" s="1"/>
  <c r="T208" i="2"/>
  <c r="S208" i="2" s="1"/>
  <c r="T209" i="2"/>
  <c r="S209" i="2" s="1"/>
  <c r="T210" i="2"/>
  <c r="S210" i="2" s="1"/>
  <c r="T211" i="2"/>
  <c r="S211" i="2" s="1"/>
  <c r="T212" i="2"/>
  <c r="S212" i="2" s="1"/>
  <c r="T213" i="2"/>
  <c r="S213" i="2" s="1"/>
  <c r="T214" i="2"/>
  <c r="S214" i="2" s="1"/>
  <c r="T215" i="2"/>
  <c r="S215" i="2" s="1"/>
  <c r="T216" i="2"/>
  <c r="S216" i="2" s="1"/>
  <c r="T217" i="2"/>
  <c r="S217" i="2" s="1"/>
  <c r="T218" i="2"/>
  <c r="S218" i="2" s="1"/>
  <c r="T219" i="2"/>
  <c r="S219" i="2" s="1"/>
  <c r="T220" i="2"/>
  <c r="S220" i="2" s="1"/>
  <c r="T221" i="2"/>
  <c r="S221" i="2" s="1"/>
  <c r="T222" i="2"/>
  <c r="S222" i="2" s="1"/>
  <c r="T223" i="2"/>
  <c r="S223" i="2" s="1"/>
  <c r="T224" i="2"/>
  <c r="S224" i="2" s="1"/>
  <c r="T225" i="2"/>
  <c r="S225" i="2" s="1"/>
  <c r="T226" i="2"/>
  <c r="S226" i="2" s="1"/>
  <c r="T227" i="2"/>
  <c r="S227" i="2" s="1"/>
  <c r="T228" i="2"/>
  <c r="S228" i="2" s="1"/>
  <c r="T229" i="2"/>
  <c r="S229" i="2" s="1"/>
  <c r="T230" i="2"/>
  <c r="S230" i="2" s="1"/>
  <c r="T231" i="2"/>
  <c r="S231" i="2" s="1"/>
  <c r="T232" i="2"/>
  <c r="S232" i="2" s="1"/>
  <c r="T233" i="2"/>
  <c r="S233" i="2" s="1"/>
  <c r="T234" i="2"/>
  <c r="S234" i="2" s="1"/>
  <c r="T235" i="2"/>
  <c r="S235" i="2" s="1"/>
  <c r="T236" i="2"/>
  <c r="S236" i="2" s="1"/>
  <c r="T237" i="2"/>
  <c r="S237" i="2" s="1"/>
  <c r="T238" i="2"/>
  <c r="S238" i="2" s="1"/>
  <c r="T239" i="2"/>
  <c r="S239" i="2" s="1"/>
  <c r="T240" i="2"/>
  <c r="S240" i="2" s="1"/>
  <c r="T241" i="2"/>
  <c r="S241" i="2" s="1"/>
  <c r="T242" i="2"/>
  <c r="S242" i="2" s="1"/>
  <c r="T243" i="2"/>
  <c r="S243" i="2" s="1"/>
  <c r="T244" i="2"/>
  <c r="S244" i="2" s="1"/>
  <c r="T245" i="2"/>
  <c r="S245" i="2" s="1"/>
  <c r="T246" i="2"/>
  <c r="S246" i="2" s="1"/>
  <c r="T247" i="2"/>
  <c r="S247" i="2" s="1"/>
  <c r="T248" i="2"/>
  <c r="S248" i="2" s="1"/>
  <c r="T249" i="2"/>
  <c r="S249" i="2" s="1"/>
  <c r="T250" i="2"/>
  <c r="S250" i="2" s="1"/>
  <c r="T251" i="2"/>
  <c r="S251" i="2" s="1"/>
  <c r="T252" i="2"/>
  <c r="S252" i="2" s="1"/>
  <c r="T253" i="2"/>
  <c r="S253" i="2" s="1"/>
  <c r="T254" i="2"/>
  <c r="S254" i="2" s="1"/>
  <c r="T255" i="2"/>
  <c r="S255" i="2" s="1"/>
  <c r="T256" i="2"/>
  <c r="S256" i="2" s="1"/>
  <c r="T257" i="2"/>
  <c r="S257" i="2" s="1"/>
  <c r="T258" i="2"/>
  <c r="S258" i="2" s="1"/>
  <c r="T259" i="2"/>
  <c r="S259" i="2" s="1"/>
  <c r="T260" i="2"/>
  <c r="S260" i="2" s="1"/>
  <c r="T261" i="2"/>
  <c r="S261" i="2" s="1"/>
  <c r="T262" i="2"/>
  <c r="S262" i="2" s="1"/>
  <c r="T263" i="2"/>
  <c r="S263" i="2" s="1"/>
  <c r="T264" i="2"/>
  <c r="S264" i="2" s="1"/>
  <c r="T265" i="2"/>
  <c r="S265" i="2" s="1"/>
  <c r="T266" i="2"/>
  <c r="S266" i="2" s="1"/>
  <c r="T267" i="2"/>
  <c r="S267" i="2" s="1"/>
  <c r="T268" i="2"/>
  <c r="S268" i="2" s="1"/>
  <c r="T269" i="2"/>
  <c r="S269" i="2" s="1"/>
  <c r="T270" i="2"/>
  <c r="S270" i="2" s="1"/>
  <c r="T271" i="2"/>
  <c r="S271" i="2" s="1"/>
  <c r="T272" i="2"/>
  <c r="S272" i="2" s="1"/>
  <c r="T273" i="2"/>
  <c r="S273" i="2" s="1"/>
  <c r="T274" i="2"/>
  <c r="S274" i="2" s="1"/>
  <c r="T275" i="2"/>
  <c r="S275" i="2" s="1"/>
  <c r="T276" i="2"/>
  <c r="S276" i="2" s="1"/>
  <c r="T277" i="2"/>
  <c r="S277" i="2" s="1"/>
  <c r="T278" i="2"/>
  <c r="S278" i="2" s="1"/>
  <c r="T279" i="2"/>
  <c r="S279" i="2" s="1"/>
  <c r="T280" i="2"/>
  <c r="S280" i="2" s="1"/>
  <c r="T281" i="2"/>
  <c r="S281" i="2" s="1"/>
  <c r="T282" i="2"/>
  <c r="S282" i="2" s="1"/>
  <c r="T283" i="2"/>
  <c r="S283" i="2" s="1"/>
  <c r="T284" i="2"/>
  <c r="S284" i="2" s="1"/>
  <c r="T285" i="2"/>
  <c r="S285" i="2" s="1"/>
  <c r="T286" i="2"/>
  <c r="S286" i="2" s="1"/>
  <c r="T287" i="2"/>
  <c r="S287" i="2" s="1"/>
  <c r="T288" i="2"/>
  <c r="S288" i="2" s="1"/>
  <c r="T289" i="2"/>
  <c r="S289" i="2" s="1"/>
  <c r="T290" i="2"/>
  <c r="S290" i="2" s="1"/>
  <c r="T291" i="2"/>
  <c r="S291" i="2" s="1"/>
  <c r="T292" i="2"/>
  <c r="S292" i="2" s="1"/>
  <c r="T293" i="2"/>
  <c r="S293" i="2" s="1"/>
  <c r="T294" i="2"/>
  <c r="S294" i="2" s="1"/>
  <c r="T295" i="2"/>
  <c r="S295" i="2" s="1"/>
  <c r="T296" i="2"/>
  <c r="S296" i="2" s="1"/>
  <c r="T297" i="2"/>
  <c r="S297" i="2" s="1"/>
  <c r="T298" i="2"/>
  <c r="S298" i="2" s="1"/>
  <c r="T299" i="2"/>
  <c r="S299" i="2" s="1"/>
  <c r="T300" i="2"/>
  <c r="S300" i="2" s="1"/>
  <c r="T301" i="2"/>
  <c r="S301" i="2" s="1"/>
  <c r="T302" i="2"/>
  <c r="S302" i="2" s="1"/>
  <c r="T303" i="2"/>
  <c r="S303" i="2" s="1"/>
  <c r="T304" i="2"/>
  <c r="S304" i="2" s="1"/>
  <c r="T305" i="2"/>
  <c r="S305" i="2" s="1"/>
  <c r="T306" i="2"/>
  <c r="S306" i="2" s="1"/>
  <c r="T307" i="2"/>
  <c r="S307" i="2" s="1"/>
  <c r="T308" i="2"/>
  <c r="S308" i="2" s="1"/>
  <c r="T309" i="2"/>
  <c r="S309" i="2" s="1"/>
  <c r="T310" i="2"/>
  <c r="S310" i="2" s="1"/>
  <c r="T311" i="2"/>
  <c r="S311" i="2" s="1"/>
  <c r="T312" i="2"/>
  <c r="S312" i="2" s="1"/>
  <c r="T313" i="2"/>
  <c r="S313" i="2" s="1"/>
  <c r="T314" i="2"/>
  <c r="S314" i="2" s="1"/>
  <c r="T315" i="2"/>
  <c r="S315" i="2" s="1"/>
  <c r="T316" i="2"/>
  <c r="S316" i="2" s="1"/>
  <c r="T317" i="2"/>
  <c r="S317" i="2" s="1"/>
  <c r="T318" i="2"/>
  <c r="S318" i="2" s="1"/>
  <c r="T319" i="2"/>
  <c r="S319" i="2" s="1"/>
  <c r="T320" i="2"/>
  <c r="S320" i="2" s="1"/>
  <c r="T321" i="2"/>
  <c r="S321" i="2" s="1"/>
  <c r="T322" i="2"/>
  <c r="S322" i="2" s="1"/>
  <c r="T323" i="2"/>
  <c r="S323" i="2" s="1"/>
  <c r="T324" i="2"/>
  <c r="S324" i="2" s="1"/>
  <c r="T325" i="2"/>
  <c r="S325" i="2" s="1"/>
  <c r="T326" i="2"/>
  <c r="S326" i="2" s="1"/>
  <c r="T327" i="2"/>
  <c r="S327" i="2" s="1"/>
  <c r="T328" i="2"/>
  <c r="S328" i="2" s="1"/>
  <c r="T329" i="2"/>
  <c r="S329" i="2" s="1"/>
  <c r="T330" i="2"/>
  <c r="S330" i="2" s="1"/>
  <c r="T331" i="2"/>
  <c r="S331" i="2" s="1"/>
  <c r="T332" i="2"/>
  <c r="S332" i="2" s="1"/>
  <c r="T333" i="2"/>
  <c r="S333" i="2" s="1"/>
  <c r="T334" i="2"/>
  <c r="S334" i="2" s="1"/>
  <c r="T335" i="2"/>
  <c r="S335" i="2" s="1"/>
  <c r="T336" i="2"/>
  <c r="S336" i="2" s="1"/>
  <c r="T337" i="2"/>
  <c r="S337" i="2" s="1"/>
  <c r="T338" i="2"/>
  <c r="S338" i="2" s="1"/>
  <c r="T339" i="2"/>
  <c r="S339" i="2" s="1"/>
  <c r="T340" i="2"/>
  <c r="S340" i="2" s="1"/>
  <c r="T341" i="2"/>
  <c r="S341" i="2" s="1"/>
  <c r="T342" i="2"/>
  <c r="S342" i="2" s="1"/>
  <c r="T343" i="2"/>
  <c r="S343" i="2" s="1"/>
  <c r="T344" i="2"/>
  <c r="S344" i="2" s="1"/>
  <c r="T345" i="2"/>
  <c r="S345" i="2" s="1"/>
  <c r="T346" i="2"/>
  <c r="S346" i="2" s="1"/>
  <c r="T347" i="2"/>
  <c r="S347" i="2" s="1"/>
  <c r="T348" i="2"/>
  <c r="S348" i="2" s="1"/>
  <c r="T349" i="2"/>
  <c r="S349" i="2" s="1"/>
  <c r="T350" i="2"/>
  <c r="S350" i="2" s="1"/>
  <c r="T351" i="2"/>
  <c r="S351" i="2" s="1"/>
  <c r="T352" i="2"/>
  <c r="S352" i="2" s="1"/>
  <c r="T353" i="2"/>
  <c r="S353" i="2" s="1"/>
  <c r="T354" i="2"/>
  <c r="S354" i="2" s="1"/>
  <c r="T355" i="2"/>
  <c r="S355" i="2" s="1"/>
  <c r="T356" i="2"/>
  <c r="S356" i="2" s="1"/>
  <c r="T357" i="2"/>
  <c r="S357" i="2" s="1"/>
  <c r="T358" i="2"/>
  <c r="S358" i="2" s="1"/>
  <c r="T359" i="2"/>
  <c r="S359" i="2" s="1"/>
  <c r="T360" i="2"/>
  <c r="S360" i="2" s="1"/>
  <c r="T361" i="2"/>
  <c r="S361" i="2" s="1"/>
  <c r="T362" i="2"/>
  <c r="S362" i="2" s="1"/>
  <c r="T363" i="2"/>
  <c r="S363" i="2" s="1"/>
  <c r="T364" i="2"/>
  <c r="S364" i="2" s="1"/>
  <c r="T365" i="2"/>
  <c r="S365" i="2" s="1"/>
  <c r="T366" i="2"/>
  <c r="S366" i="2" s="1"/>
  <c r="T367" i="2"/>
  <c r="S367" i="2" s="1"/>
  <c r="T368" i="2"/>
  <c r="S368" i="2" s="1"/>
  <c r="T369" i="2"/>
  <c r="S369" i="2" s="1"/>
  <c r="S67" i="2" l="1"/>
  <c r="T428" i="8"/>
  <c r="S118" i="2"/>
  <c r="T118" i="8"/>
  <c r="S70" i="2"/>
  <c r="T429" i="8"/>
  <c r="S42" i="2"/>
  <c r="T425" i="8"/>
  <c r="S14" i="2"/>
  <c r="T424" i="8"/>
  <c r="S87" i="2"/>
  <c r="T432" i="8"/>
  <c r="S83" i="2"/>
  <c r="T431" i="8"/>
  <c r="S129" i="2"/>
  <c r="S125" i="2"/>
  <c r="T123" i="8"/>
  <c r="S81" i="2"/>
  <c r="T298" i="8"/>
  <c r="S71" i="2"/>
  <c r="T430" i="8"/>
  <c r="T119" i="8"/>
  <c r="S88" i="2"/>
  <c r="T433" i="8"/>
  <c r="S84" i="2"/>
  <c r="T299" i="8"/>
  <c r="S80" i="2"/>
  <c r="T297" i="8"/>
  <c r="S64" i="2"/>
  <c r="T426" i="8"/>
  <c r="S171" i="2"/>
  <c r="T1053" i="8"/>
  <c r="S151" i="2"/>
  <c r="T987" i="8"/>
  <c r="S147" i="2"/>
  <c r="T977" i="8"/>
  <c r="S143" i="2"/>
  <c r="T985" i="8"/>
  <c r="S139" i="2"/>
  <c r="T966" i="8"/>
  <c r="S166" i="2"/>
  <c r="T989" i="8"/>
  <c r="S150" i="2"/>
  <c r="T980" i="8"/>
  <c r="S146" i="2"/>
  <c r="T976" i="8"/>
  <c r="S142" i="2"/>
  <c r="T973" i="8"/>
  <c r="S138" i="2"/>
  <c r="T984" i="8"/>
  <c r="S173" i="2"/>
  <c r="T1056" i="8"/>
  <c r="S169" i="2"/>
  <c r="T1052" i="8"/>
  <c r="S165" i="2"/>
  <c r="T988" i="8"/>
  <c r="S153" i="2"/>
  <c r="T982" i="8"/>
  <c r="S149" i="2"/>
  <c r="T979" i="8"/>
  <c r="S145" i="2"/>
  <c r="T975" i="8"/>
  <c r="S141" i="2"/>
  <c r="T972" i="8"/>
  <c r="S172" i="2"/>
  <c r="T1055" i="8"/>
  <c r="S168" i="2"/>
  <c r="T1025" i="8"/>
  <c r="S152" i="2"/>
  <c r="T981" i="8"/>
  <c r="S148" i="2"/>
  <c r="T986" i="8"/>
  <c r="S144" i="2"/>
  <c r="T974" i="8"/>
  <c r="S140" i="2"/>
  <c r="T971" i="8"/>
  <c r="S100" i="2"/>
  <c r="T983" i="8"/>
  <c r="P4" i="5"/>
  <c r="S4" i="5" s="1"/>
  <c r="R4" i="5"/>
  <c r="D31" i="4"/>
  <c r="D30" i="4"/>
  <c r="D29" i="4"/>
  <c r="D28" i="4"/>
  <c r="D27" i="4"/>
  <c r="D26" i="4"/>
  <c r="D25" i="4"/>
  <c r="D24" i="4"/>
  <c r="D23" i="4"/>
  <c r="L16" i="4"/>
  <c r="L15" i="4"/>
  <c r="L14" i="4"/>
  <c r="L13" i="4"/>
  <c r="L12" i="4"/>
  <c r="L11" i="4"/>
  <c r="L10" i="4"/>
  <c r="L9" i="4"/>
  <c r="L7" i="4"/>
  <c r="H11" i="4"/>
  <c r="H18" i="4"/>
  <c r="H17" i="4"/>
  <c r="H16" i="4"/>
  <c r="H15" i="4"/>
  <c r="H14" i="4"/>
  <c r="H13" i="4"/>
  <c r="H12" i="4"/>
  <c r="H10" i="4"/>
  <c r="H9" i="4"/>
  <c r="H8" i="4"/>
  <c r="H7" i="4"/>
  <c r="D11" i="4"/>
  <c r="D12" i="4"/>
  <c r="D10" i="4"/>
  <c r="D9" i="4"/>
  <c r="D8" i="4"/>
  <c r="N53" i="2" l="1"/>
  <c r="N10" i="2"/>
  <c r="T9" i="8" s="1"/>
  <c r="N69" i="2"/>
  <c r="N24" i="2"/>
  <c r="N52" i="2"/>
  <c r="N60" i="2"/>
  <c r="N104" i="2"/>
  <c r="N31" i="2"/>
  <c r="N43" i="2"/>
  <c r="N72" i="2"/>
  <c r="N20" i="2"/>
  <c r="N27" i="2"/>
  <c r="N56" i="2"/>
  <c r="N68" i="2"/>
  <c r="N11" i="2"/>
  <c r="N63" i="2"/>
  <c r="N59" i="2"/>
  <c r="N23" i="2"/>
  <c r="N19" i="2"/>
  <c r="N103" i="2"/>
  <c r="N67" i="2"/>
  <c r="N30" i="2"/>
  <c r="N26" i="2"/>
  <c r="N71" i="2"/>
  <c r="N50" i="2"/>
  <c r="N14" i="2"/>
  <c r="N65" i="2"/>
  <c r="N55" i="2"/>
  <c r="N64" i="2"/>
  <c r="N61" i="2"/>
  <c r="N38" i="2"/>
  <c r="N18" i="2"/>
  <c r="N62" i="2"/>
  <c r="N58" i="2"/>
  <c r="N22" i="2"/>
  <c r="N45" i="2"/>
  <c r="N41" i="2"/>
  <c r="N66" i="2"/>
  <c r="N29" i="2"/>
  <c r="N25" i="2"/>
  <c r="N70" i="2"/>
  <c r="N105" i="2"/>
  <c r="N54" i="2"/>
  <c r="N48" i="2"/>
  <c r="N57" i="2"/>
  <c r="N28" i="2"/>
  <c r="N21" i="2"/>
  <c r="N16" i="2"/>
  <c r="N12" i="2"/>
  <c r="N36" i="2"/>
  <c r="N15" i="2"/>
  <c r="N51" i="2"/>
  <c r="N39" i="2"/>
  <c r="N35" i="2"/>
  <c r="N46" i="2"/>
  <c r="N42" i="2"/>
  <c r="N34" i="2"/>
  <c r="N49" i="2"/>
  <c r="N33" i="2"/>
  <c r="N17" i="2"/>
  <c r="N13" i="2"/>
  <c r="N44" i="2"/>
  <c r="N37" i="2"/>
  <c r="N32" i="2"/>
  <c r="N40" i="2"/>
  <c r="O10" i="2"/>
  <c r="U9" i="8" s="1"/>
  <c r="Q11" i="5"/>
  <c r="R11" i="5" s="1"/>
  <c r="Q18" i="5"/>
  <c r="R18" i="5" s="1"/>
  <c r="S18" i="5" s="1"/>
  <c r="Q14" i="5"/>
  <c r="R14" i="5" s="1"/>
  <c r="S14" i="5" s="1"/>
  <c r="Q15" i="5"/>
  <c r="R15" i="5" s="1"/>
  <c r="S15" i="5" s="1"/>
  <c r="Q12" i="5"/>
  <c r="R12" i="5" s="1"/>
  <c r="S12" i="5" s="1"/>
  <c r="Q16" i="5"/>
  <c r="R16" i="5" s="1"/>
  <c r="S16" i="5" s="1"/>
  <c r="Q13" i="5"/>
  <c r="R13" i="5" s="1"/>
  <c r="S13" i="5" s="1"/>
  <c r="Q17" i="5"/>
  <c r="R17" i="5" s="1"/>
  <c r="S17" i="5" s="1"/>
  <c r="U425" i="8"/>
  <c r="U426" i="8"/>
  <c r="U428" i="8"/>
  <c r="U429" i="8"/>
  <c r="U297" i="8"/>
  <c r="U298" i="8"/>
  <c r="U299" i="8"/>
  <c r="U983" i="8"/>
  <c r="U118" i="8"/>
  <c r="U123" i="8"/>
  <c r="U984" i="8"/>
  <c r="U966" i="8"/>
  <c r="U971" i="8"/>
  <c r="U976" i="8"/>
  <c r="U986" i="8"/>
  <c r="U980" i="8"/>
  <c r="U987" i="8"/>
  <c r="U981" i="8"/>
  <c r="U982" i="8"/>
  <c r="U522" i="8"/>
  <c r="U988" i="8"/>
  <c r="U989" i="8"/>
  <c r="U524" i="8"/>
  <c r="U1055" i="8"/>
  <c r="U525" i="8"/>
  <c r="U526" i="8"/>
  <c r="U527" i="8"/>
  <c r="U528" i="8"/>
  <c r="U530" i="8"/>
  <c r="U533" i="8"/>
  <c r="U534" i="8"/>
  <c r="U535" i="8"/>
  <c r="U536" i="8"/>
  <c r="U538" i="8"/>
  <c r="U539" i="8"/>
  <c r="U540" i="8"/>
  <c r="U596" i="8"/>
  <c r="U603" i="8"/>
  <c r="U604" i="8"/>
  <c r="U605" i="8"/>
  <c r="U606" i="8"/>
  <c r="U607" i="8"/>
  <c r="U608" i="8"/>
  <c r="U609" i="8"/>
  <c r="U610" i="8"/>
  <c r="U611" i="8"/>
  <c r="U926" i="8"/>
  <c r="U927" i="8"/>
  <c r="U928" i="8"/>
  <c r="U929" i="8"/>
  <c r="U930" i="8"/>
  <c r="U932" i="8"/>
  <c r="U934" i="8"/>
  <c r="U935" i="8"/>
  <c r="U936" i="8"/>
  <c r="U965" i="8"/>
  <c r="T36" i="8" l="1"/>
  <c r="O37" i="2"/>
  <c r="U36" i="8" s="1"/>
  <c r="T15" i="8"/>
  <c r="O16" i="2"/>
  <c r="U15" i="8" s="1"/>
  <c r="T17" i="8"/>
  <c r="O18" i="2"/>
  <c r="U17" i="8" s="1"/>
  <c r="T62" i="8"/>
  <c r="O63" i="2"/>
  <c r="U62" i="8" s="1"/>
  <c r="T43" i="8"/>
  <c r="O44" i="2"/>
  <c r="U43" i="8" s="1"/>
  <c r="T20" i="8"/>
  <c r="O21" i="2"/>
  <c r="U20" i="8" s="1"/>
  <c r="T37" i="8"/>
  <c r="O38" i="2"/>
  <c r="U37" i="8" s="1"/>
  <c r="T10" i="8"/>
  <c r="O11" i="2"/>
  <c r="U10" i="8" s="1"/>
  <c r="T12" i="8"/>
  <c r="O13" i="2"/>
  <c r="U12" i="8" s="1"/>
  <c r="T27" i="8"/>
  <c r="O28" i="2"/>
  <c r="U27" i="8" s="1"/>
  <c r="T60" i="8"/>
  <c r="O61" i="2"/>
  <c r="U60" i="8" s="1"/>
  <c r="T67" i="8"/>
  <c r="O68" i="2"/>
  <c r="U67" i="8" s="1"/>
  <c r="T16" i="8"/>
  <c r="O17" i="2"/>
  <c r="U16" i="8" s="1"/>
  <c r="T56" i="8"/>
  <c r="O57" i="2"/>
  <c r="U56" i="8" s="1"/>
  <c r="T63" i="8"/>
  <c r="O64" i="2"/>
  <c r="U63" i="8" s="1"/>
  <c r="T55" i="8"/>
  <c r="O56" i="2"/>
  <c r="U55" i="8" s="1"/>
  <c r="T32" i="8"/>
  <c r="O33" i="2"/>
  <c r="U32" i="8" s="1"/>
  <c r="T47" i="8"/>
  <c r="O48" i="2"/>
  <c r="U47" i="8" s="1"/>
  <c r="T54" i="8"/>
  <c r="O55" i="2"/>
  <c r="U54" i="8" s="1"/>
  <c r="T26" i="8"/>
  <c r="O27" i="2"/>
  <c r="U26" i="8" s="1"/>
  <c r="T48" i="8"/>
  <c r="O49" i="2"/>
  <c r="U48" i="8" s="1"/>
  <c r="T53" i="8"/>
  <c r="O54" i="2"/>
  <c r="U53" i="8" s="1"/>
  <c r="T64" i="8"/>
  <c r="O65" i="2"/>
  <c r="U64" i="8" s="1"/>
  <c r="T19" i="8"/>
  <c r="O20" i="2"/>
  <c r="U19" i="8" s="1"/>
  <c r="T33" i="8"/>
  <c r="O34" i="2"/>
  <c r="U33" i="8" s="1"/>
  <c r="T104" i="8"/>
  <c r="O105" i="2"/>
  <c r="U104" i="8" s="1"/>
  <c r="T13" i="8"/>
  <c r="O14" i="2"/>
  <c r="U13" i="8" s="1"/>
  <c r="T71" i="8"/>
  <c r="O72" i="2"/>
  <c r="U71" i="8" s="1"/>
  <c r="T41" i="8"/>
  <c r="O42" i="2"/>
  <c r="U41" i="8" s="1"/>
  <c r="T69" i="8"/>
  <c r="O70" i="2"/>
  <c r="U69" i="8" s="1"/>
  <c r="T49" i="8"/>
  <c r="O50" i="2"/>
  <c r="U49" i="8" s="1"/>
  <c r="T42" i="8"/>
  <c r="O43" i="2"/>
  <c r="U42" i="8" s="1"/>
  <c r="T45" i="8"/>
  <c r="O46" i="2"/>
  <c r="U45" i="8" s="1"/>
  <c r="T24" i="8"/>
  <c r="O25" i="2"/>
  <c r="U24" i="8" s="1"/>
  <c r="T70" i="8"/>
  <c r="O71" i="2"/>
  <c r="U70" i="8" s="1"/>
  <c r="T30" i="8"/>
  <c r="O31" i="2"/>
  <c r="U30" i="8" s="1"/>
  <c r="T34" i="8"/>
  <c r="O35" i="2"/>
  <c r="U34" i="8" s="1"/>
  <c r="T28" i="8"/>
  <c r="O29" i="2"/>
  <c r="U28" i="8" s="1"/>
  <c r="T25" i="8"/>
  <c r="O26" i="2"/>
  <c r="U25" i="8" s="1"/>
  <c r="T103" i="8"/>
  <c r="O104" i="2"/>
  <c r="U103" i="8" s="1"/>
  <c r="T38" i="8"/>
  <c r="O39" i="2"/>
  <c r="U38" i="8" s="1"/>
  <c r="T65" i="8"/>
  <c r="O66" i="2"/>
  <c r="U65" i="8" s="1"/>
  <c r="T29" i="8"/>
  <c r="O30" i="2"/>
  <c r="U29" i="8" s="1"/>
  <c r="T59" i="8"/>
  <c r="O60" i="2"/>
  <c r="U59" i="8" s="1"/>
  <c r="T50" i="8"/>
  <c r="O51" i="2"/>
  <c r="U50" i="8" s="1"/>
  <c r="T40" i="8"/>
  <c r="O41" i="2"/>
  <c r="U40" i="8" s="1"/>
  <c r="T66" i="8"/>
  <c r="O67" i="2"/>
  <c r="U66" i="8" s="1"/>
  <c r="T51" i="8"/>
  <c r="O52" i="2"/>
  <c r="U51" i="8" s="1"/>
  <c r="T14" i="8"/>
  <c r="O15" i="2"/>
  <c r="U14" i="8" s="1"/>
  <c r="T44" i="8"/>
  <c r="O45" i="2"/>
  <c r="U44" i="8" s="1"/>
  <c r="T102" i="8"/>
  <c r="O103" i="2"/>
  <c r="U102" i="8" s="1"/>
  <c r="T23" i="8"/>
  <c r="O24" i="2"/>
  <c r="U23" i="8" s="1"/>
  <c r="T35" i="8"/>
  <c r="O36" i="2"/>
  <c r="U35" i="8" s="1"/>
  <c r="T21" i="8"/>
  <c r="O22" i="2"/>
  <c r="U21" i="8" s="1"/>
  <c r="T18" i="8"/>
  <c r="O19" i="2"/>
  <c r="U18" i="8" s="1"/>
  <c r="T68" i="8"/>
  <c r="O69" i="2"/>
  <c r="U68" i="8" s="1"/>
  <c r="T39" i="8"/>
  <c r="O40" i="2"/>
  <c r="U39" i="8" s="1"/>
  <c r="T46" i="8"/>
  <c r="O47" i="2"/>
  <c r="T57" i="8"/>
  <c r="O58" i="2"/>
  <c r="U57" i="8" s="1"/>
  <c r="T22" i="8"/>
  <c r="O23" i="2"/>
  <c r="U22" i="8" s="1"/>
  <c r="T31" i="8"/>
  <c r="O32" i="2"/>
  <c r="U31" i="8" s="1"/>
  <c r="T11" i="8"/>
  <c r="O12" i="2"/>
  <c r="U11" i="8" s="1"/>
  <c r="R3" i="8" s="1"/>
  <c r="E26" i="10" s="1"/>
  <c r="T61" i="8"/>
  <c r="O62" i="2"/>
  <c r="U61" i="8" s="1"/>
  <c r="T58" i="8"/>
  <c r="O59" i="2"/>
  <c r="U58" i="8" s="1"/>
  <c r="T52" i="8"/>
  <c r="O53" i="2"/>
  <c r="U52" i="8" s="1"/>
  <c r="U931" i="8"/>
  <c r="U938" i="8"/>
  <c r="U1025" i="8"/>
  <c r="U531" i="8"/>
  <c r="U537" i="8"/>
  <c r="U529" i="8"/>
  <c r="U942" i="8"/>
  <c r="U612" i="8"/>
  <c r="U593" i="8"/>
  <c r="U977" i="8"/>
  <c r="U985" i="8"/>
  <c r="U432" i="8"/>
  <c r="U941" i="8"/>
  <c r="U940" i="8"/>
  <c r="U592" i="8"/>
  <c r="U973" i="8"/>
  <c r="U959" i="8"/>
  <c r="U601" i="8"/>
  <c r="U979" i="8"/>
  <c r="U975" i="8"/>
  <c r="U1053" i="8"/>
  <c r="U939" i="8"/>
  <c r="U542" i="8"/>
  <c r="U1056" i="8"/>
  <c r="U1052" i="8"/>
  <c r="U972" i="8"/>
  <c r="U943" i="8"/>
  <c r="U600" i="8"/>
  <c r="U541" i="8"/>
  <c r="U532" i="8"/>
  <c r="U974" i="8"/>
  <c r="U119" i="8"/>
  <c r="U433" i="8"/>
  <c r="U937" i="8"/>
  <c r="U933" i="8"/>
  <c r="U597" i="8"/>
  <c r="U300" i="8"/>
  <c r="U523" i="8"/>
  <c r="U431" i="8"/>
  <c r="U430" i="8"/>
  <c r="U424" i="8"/>
  <c r="S11" i="5"/>
  <c r="R3" i="5" s="1"/>
  <c r="R5" i="5" s="1"/>
  <c r="P3" i="5"/>
  <c r="U46" i="8" l="1"/>
  <c r="N2" i="2"/>
  <c r="E75" i="10"/>
  <c r="O7" i="10"/>
  <c r="G26" i="10"/>
  <c r="I26" i="10" s="1"/>
  <c r="K26" i="10" s="1"/>
  <c r="R2" i="8"/>
  <c r="E27" i="10" s="1"/>
  <c r="S3" i="5"/>
  <c r="S5" i="5" s="1"/>
  <c r="P5" i="5"/>
  <c r="Q39" i="10" l="1"/>
  <c r="E36" i="10"/>
  <c r="E58" i="10" s="1"/>
  <c r="G58" i="10" s="1"/>
  <c r="I58" i="10" s="1"/>
  <c r="K58" i="10" s="1"/>
  <c r="G27" i="10"/>
  <c r="F82" i="10" s="1"/>
  <c r="G82" i="10" s="1"/>
  <c r="I82" i="10" s="1"/>
  <c r="K82" i="10" s="1"/>
  <c r="O8" i="10"/>
  <c r="E30" i="10"/>
  <c r="G30" i="10" s="1"/>
  <c r="I30" i="10" s="1"/>
  <c r="K30" i="10" s="1"/>
  <c r="Q33" i="10"/>
  <c r="E39" i="10"/>
  <c r="E78" i="10" s="1"/>
  <c r="G78" i="10" s="1"/>
  <c r="I78" i="10" s="1"/>
  <c r="K78" i="10" s="1"/>
  <c r="Q45" i="10"/>
  <c r="E64" i="10" l="1"/>
  <c r="G64" i="10" s="1"/>
  <c r="I64" i="10" s="1"/>
  <c r="K64" i="10" s="1"/>
  <c r="G46" i="10"/>
  <c r="I46" i="10" s="1"/>
  <c r="K46" i="10" s="1"/>
  <c r="G75" i="10"/>
  <c r="I75" i="10" s="1"/>
  <c r="K75" i="10" s="1"/>
  <c r="E62" i="10"/>
  <c r="G62" i="10" s="1"/>
  <c r="I62" i="10" s="1"/>
  <c r="K62" i="10" s="1"/>
  <c r="E63" i="10"/>
  <c r="G63" i="10" s="1"/>
  <c r="I63" i="10" s="1"/>
  <c r="K63" i="10" s="1"/>
  <c r="E61" i="10"/>
  <c r="G61" i="10" s="1"/>
  <c r="I61" i="10" s="1"/>
  <c r="K61" i="10" s="1"/>
  <c r="E42" i="10"/>
  <c r="E67" i="10"/>
  <c r="G67" i="10" s="1"/>
  <c r="I67" i="10" s="1"/>
  <c r="K67" i="10" s="1"/>
  <c r="E49" i="10"/>
  <c r="G49" i="10" s="1"/>
  <c r="I49" i="10" s="1"/>
  <c r="K49" i="10" s="1"/>
  <c r="G59" i="10"/>
  <c r="I59" i="10" s="1"/>
  <c r="K59" i="10" s="1"/>
  <c r="I27" i="10"/>
  <c r="E43" i="10"/>
  <c r="G36" i="10"/>
  <c r="I36" i="10" s="1"/>
  <c r="K36" i="10" s="1"/>
  <c r="E99" i="10"/>
  <c r="G99" i="10" s="1"/>
  <c r="I99" i="10" s="1"/>
  <c r="K99" i="10" s="1"/>
  <c r="E44" i="10"/>
  <c r="G37" i="10" l="1"/>
  <c r="I37" i="10" s="1"/>
  <c r="K37" i="10" s="1"/>
  <c r="G50" i="10"/>
  <c r="I50" i="10" s="1"/>
  <c r="K50" i="10" s="1"/>
  <c r="G68" i="10"/>
  <c r="I68" i="10" s="1"/>
  <c r="K68" i="10" s="1"/>
  <c r="G44" i="10"/>
  <c r="I44" i="10" s="1"/>
  <c r="K44" i="10" s="1"/>
  <c r="E53" i="10"/>
  <c r="G53" i="10" s="1"/>
  <c r="I53" i="10" s="1"/>
  <c r="K53" i="10" s="1"/>
  <c r="E70" i="10"/>
  <c r="G70" i="10" s="1"/>
  <c r="I70" i="10" s="1"/>
  <c r="K70" i="10" s="1"/>
  <c r="G43" i="10"/>
  <c r="I43" i="10" s="1"/>
  <c r="K43" i="10" s="1"/>
  <c r="E52" i="10"/>
  <c r="G52" i="10" s="1"/>
  <c r="I52" i="10" s="1"/>
  <c r="K52" i="10" s="1"/>
  <c r="E71" i="10"/>
  <c r="G71" i="10" s="1"/>
  <c r="I71" i="10" s="1"/>
  <c r="K71" i="10" s="1"/>
  <c r="G42" i="10"/>
  <c r="I42" i="10" s="1"/>
  <c r="K42" i="10" s="1"/>
  <c r="E51" i="10"/>
  <c r="G51" i="10" s="1"/>
  <c r="I51" i="10" s="1"/>
  <c r="K51" i="10" s="1"/>
  <c r="E69" i="10"/>
  <c r="G69" i="10" s="1"/>
  <c r="I69" i="10" s="1"/>
  <c r="K69" i="10" s="1"/>
  <c r="K27" i="10"/>
  <c r="Q44" i="10"/>
  <c r="Q32" i="10"/>
  <c r="Q38" i="10"/>
  <c r="N5" i="2"/>
  <c r="P34" i="9"/>
  <c r="O40" i="9"/>
  <c r="P40" i="9" s="1"/>
  <c r="O41" i="9"/>
  <c r="P41" i="9" s="1"/>
  <c r="O42" i="9"/>
  <c r="P42" i="9" s="1"/>
  <c r="N33" i="10"/>
  <c r="N35" i="10"/>
  <c r="N34" i="10"/>
  <c r="G109" i="10" l="1"/>
  <c r="I109" i="10" s="1"/>
  <c r="I111" i="10" s="1"/>
  <c r="J104" i="10" s="1"/>
  <c r="P43" i="9"/>
  <c r="J105" i="10" l="1"/>
  <c r="J27" i="10"/>
  <c r="J101" i="10"/>
  <c r="J26" i="10"/>
  <c r="J55" i="10"/>
  <c r="K109" i="10"/>
  <c r="K111" i="10" s="1"/>
  <c r="J35" i="10"/>
  <c r="J85" i="10"/>
  <c r="J58" i="10"/>
  <c r="J98" i="10"/>
  <c r="J68" i="10"/>
  <c r="J76" i="10"/>
  <c r="J93" i="10"/>
  <c r="J60" i="10"/>
  <c r="J36" i="10"/>
  <c r="J72" i="10"/>
  <c r="J97" i="10"/>
  <c r="J63" i="10"/>
  <c r="J64" i="10"/>
  <c r="J28" i="10"/>
  <c r="J34" i="10"/>
  <c r="J78" i="10"/>
  <c r="J71" i="10"/>
  <c r="J70" i="10"/>
  <c r="J109" i="10"/>
  <c r="D108" i="10" s="1"/>
  <c r="G13" i="10"/>
  <c r="I13" i="10" s="1"/>
  <c r="J75" i="10"/>
  <c r="J90" i="10"/>
  <c r="J94" i="10"/>
  <c r="J100" i="10"/>
  <c r="J50" i="10"/>
  <c r="J52" i="10"/>
  <c r="J37" i="10"/>
  <c r="J87" i="10"/>
  <c r="J31" i="10"/>
  <c r="J54" i="10"/>
  <c r="J49" i="10"/>
  <c r="J86" i="10"/>
  <c r="J102" i="10"/>
  <c r="J77" i="10"/>
  <c r="J103" i="10"/>
  <c r="J84" i="10"/>
  <c r="J79" i="10"/>
  <c r="J44" i="10"/>
  <c r="J106" i="10"/>
  <c r="J43" i="10"/>
  <c r="J25" i="10"/>
  <c r="J99" i="10"/>
  <c r="J45" i="10"/>
  <c r="J59" i="10"/>
  <c r="J61" i="10"/>
  <c r="J46" i="10"/>
  <c r="J67" i="10"/>
  <c r="J69" i="10"/>
  <c r="J62" i="10"/>
  <c r="J92" i="10"/>
  <c r="J30" i="10"/>
  <c r="J51" i="10"/>
  <c r="J82" i="10"/>
  <c r="G111" i="10"/>
  <c r="J29" i="10"/>
  <c r="J83" i="10"/>
  <c r="J91" i="10"/>
  <c r="J53" i="10"/>
  <c r="J42" i="10"/>
  <c r="D74" i="10" l="1"/>
  <c r="D57" i="10"/>
  <c r="D96" i="10"/>
  <c r="D33" i="10"/>
  <c r="D48" i="10"/>
  <c r="D81" i="10"/>
  <c r="D41" i="10"/>
  <c r="D24" i="10"/>
  <c r="Q24" i="10" s="1"/>
  <c r="D66" i="10"/>
  <c r="D89" i="10"/>
  <c r="J111" i="10"/>
  <c r="K112" i="10" l="1"/>
  <c r="G15" i="10" s="1"/>
  <c r="I15" i="10" s="1"/>
  <c r="G19" i="10"/>
  <c r="I9" i="10" s="1"/>
  <c r="Q25" i="10"/>
  <c r="Q26" i="10"/>
  <c r="G17" i="10" l="1"/>
  <c r="I17" i="10" s="1"/>
  <c r="I19" i="10"/>
  <c r="P27" i="10" l="1"/>
  <c r="P24" i="10" s="1"/>
  <c r="P45" i="10" s="1"/>
  <c r="I8" i="10"/>
  <c r="P33" i="10" l="1"/>
  <c r="O33" i="10" s="1"/>
  <c r="O24" i="10"/>
  <c r="P39" i="10"/>
  <c r="O39" i="10" s="1"/>
  <c r="P25" i="10"/>
  <c r="O25" i="10" s="1"/>
  <c r="P26" i="10"/>
  <c r="P35" i="10" s="1"/>
  <c r="O35" i="10" s="1"/>
  <c r="O45" i="10"/>
  <c r="O48" i="10" s="1"/>
  <c r="P34" i="10" l="1"/>
  <c r="O34" i="10" s="1"/>
  <c r="O36" i="10" s="1"/>
  <c r="P46" i="10"/>
  <c r="O46" i="10" s="1"/>
  <c r="P40" i="10"/>
  <c r="O40" i="10" s="1"/>
  <c r="P41" i="10"/>
  <c r="O41" i="10" s="1"/>
  <c r="O42" i="10" s="1"/>
  <c r="P47" i="10"/>
  <c r="O47" i="10" s="1"/>
  <c r="O26" i="10"/>
  <c r="O27" i="10" s="1"/>
  <c r="P36" i="10" l="1"/>
  <c r="P42" i="10"/>
  <c r="P48" i="10"/>
  <c r="T6" i="19"/>
  <c r="O5" i="5"/>
  <c r="S6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11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las maquinas son aporte del instalador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<sst xmlns="http://schemas.openxmlformats.org/spreadsheetml/2006/main" count="8015" uniqueCount="632">
  <si>
    <t>RESIST. AL FUEGO</t>
  </si>
  <si>
    <r>
      <t>MASIV. (M</t>
    </r>
    <r>
      <rPr>
        <b/>
        <vertAlign val="superscript"/>
        <sz val="12"/>
        <color theme="1"/>
        <rFont val="Calibri"/>
        <family val="2"/>
        <scheme val="minor"/>
      </rPr>
      <t>-1</t>
    </r>
    <r>
      <rPr>
        <b/>
        <sz val="12"/>
        <color theme="1"/>
        <rFont val="Calibri"/>
        <family val="2"/>
        <scheme val="minor"/>
      </rPr>
      <t>)</t>
    </r>
  </si>
  <si>
    <r>
      <t>ÁREA EXPUESTA
[m</t>
    </r>
    <r>
      <rPr>
        <b/>
        <vertAlign val="super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>]</t>
    </r>
  </si>
  <si>
    <t>MATERIAL</t>
  </si>
  <si>
    <t>ESTRUCTURA</t>
  </si>
  <si>
    <t>DIMENSIONES</t>
  </si>
  <si>
    <t>CANT.</t>
  </si>
  <si>
    <t>CANTIDAD ESTRUCTURAS</t>
  </si>
  <si>
    <t>LARGO
[mm]</t>
  </si>
  <si>
    <t>PERÍMETRO EXPUESTO
[mm]</t>
  </si>
  <si>
    <t>Viga cubierta</t>
  </si>
  <si>
    <t>M2</t>
  </si>
  <si>
    <t>Viga</t>
  </si>
  <si>
    <t>Viga bajo losa</t>
  </si>
  <si>
    <t>Limón</t>
  </si>
  <si>
    <t>Peldaño</t>
  </si>
  <si>
    <t>Descanso</t>
  </si>
  <si>
    <t>Cj</t>
  </si>
  <si>
    <t>TIPO DE PERFIL</t>
  </si>
  <si>
    <t>IN</t>
  </si>
  <si>
    <t>NO MODIFICABLE</t>
  </si>
  <si>
    <t>PERFIL CIRCULAR</t>
  </si>
  <si>
    <t>O</t>
  </si>
  <si>
    <t>NOMENCLATURA</t>
  </si>
  <si>
    <t>DEFINICIÓN</t>
  </si>
  <si>
    <t>CERTIFICACIÓN</t>
  </si>
  <si>
    <t>PRODUCTO</t>
  </si>
  <si>
    <t>SIGLA</t>
  </si>
  <si>
    <t>PERFIL DOBLE T</t>
  </si>
  <si>
    <t>PERFIL CAJÓN</t>
  </si>
  <si>
    <t>PRECIO TOTAL (CLP)</t>
  </si>
  <si>
    <t>Total</t>
  </si>
  <si>
    <t>CELDAS</t>
  </si>
  <si>
    <t>Pilar metalico</t>
  </si>
  <si>
    <t>Viga maestra de techo</t>
  </si>
  <si>
    <t>Arriost. vert. en X</t>
  </si>
  <si>
    <t>Arriost. vert. Diagonal</t>
  </si>
  <si>
    <t>Arriost. vert. En X</t>
  </si>
  <si>
    <t xml:space="preserve">Viga bajo losa </t>
  </si>
  <si>
    <t>Arriost. Vertical en V</t>
  </si>
  <si>
    <t>Arriost. Vertical en X</t>
  </si>
  <si>
    <t>Cordon sup. E inf.</t>
  </si>
  <si>
    <t>Cordon lateral</t>
  </si>
  <si>
    <t>Montante</t>
  </si>
  <si>
    <t>Diagonal</t>
  </si>
  <si>
    <t>Montante superior</t>
  </si>
  <si>
    <t>viga cubierta</t>
  </si>
  <si>
    <t>Cordon superior</t>
  </si>
  <si>
    <t>Cordon inferior</t>
  </si>
  <si>
    <t>Diagonal superior</t>
  </si>
  <si>
    <t>Diagonal inferior</t>
  </si>
  <si>
    <t xml:space="preserve">Montante </t>
  </si>
  <si>
    <t xml:space="preserve">Diagonal </t>
  </si>
  <si>
    <t>Limon</t>
  </si>
  <si>
    <t>descanso</t>
  </si>
  <si>
    <t>Peldaños</t>
  </si>
  <si>
    <t>peldaños</t>
  </si>
  <si>
    <t>PRECIO</t>
  </si>
  <si>
    <t>ESPESOR (mm)</t>
  </si>
  <si>
    <t>SACOS</t>
  </si>
  <si>
    <t>Blaze Shield II</t>
  </si>
  <si>
    <t>Cafco 300</t>
  </si>
  <si>
    <t>Cafco 400</t>
  </si>
  <si>
    <t>VALORES CONSTANTES LOGARÍTMICAS</t>
  </si>
  <si>
    <t>ALFA 2</t>
  </si>
  <si>
    <t>ALFA 1</t>
  </si>
  <si>
    <t>ALFA 0</t>
  </si>
  <si>
    <t>BETA 2</t>
  </si>
  <si>
    <t>BETA 0</t>
  </si>
  <si>
    <t>PERFIL IN</t>
  </si>
  <si>
    <t>Idiem Software</t>
  </si>
  <si>
    <t>MORTERO</t>
  </si>
  <si>
    <t>TOTAL BOLSAS</t>
  </si>
  <si>
    <t>100x100x3</t>
  </si>
  <si>
    <t>200x300x5</t>
  </si>
  <si>
    <t>200x200x5</t>
  </si>
  <si>
    <t>CARAS EXPTAS</t>
  </si>
  <si>
    <t>IN A 3 CARAS</t>
  </si>
  <si>
    <t xml:space="preserve">COLUMNAS IN </t>
  </si>
  <si>
    <t>MASIVIDAD m-1</t>
  </si>
  <si>
    <t>CLASIFICACION</t>
  </si>
  <si>
    <t>F90</t>
  </si>
  <si>
    <t>F120</t>
  </si>
  <si>
    <t>PERFIL C</t>
  </si>
  <si>
    <t>BETA 1</t>
  </si>
  <si>
    <t>PERFIL CJ</t>
  </si>
  <si>
    <t>PERFIL IN CON LOSA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</si>
  <si>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</si>
  <si>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</si>
  <si>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</si>
  <si>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</si>
  <si>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</si>
  <si>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</si>
  <si>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</si>
  <si>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</si>
  <si>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</si>
  <si>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</si>
  <si>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</si>
  <si>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</si>
  <si>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 xml:space="preserve">VALORES CONSTANTES </t>
  </si>
  <si>
    <t>CJ</t>
  </si>
  <si>
    <t>Cant. Equipo</t>
  </si>
  <si>
    <t>Rend BS/dia</t>
  </si>
  <si>
    <t>Rend Cafco/dia</t>
  </si>
  <si>
    <t>HD inst. faena</t>
  </si>
  <si>
    <t>HD induccion</t>
  </si>
  <si>
    <t>PRECIO TOTAL</t>
  </si>
  <si>
    <t>DIAS TOTAL</t>
  </si>
  <si>
    <t>STATUS BS II</t>
  </si>
  <si>
    <t>STATUS CAFCO 400</t>
  </si>
  <si>
    <t>STATUS CAFCO 300</t>
  </si>
  <si>
    <t>PERFIL IN 4 CARAS</t>
  </si>
  <si>
    <t>Masividad</t>
  </si>
  <si>
    <t>(m-1)</t>
  </si>
  <si>
    <t>Clasificacion</t>
  </si>
  <si>
    <t>Software Idiem</t>
  </si>
  <si>
    <t>Ensayo Idiem</t>
  </si>
  <si>
    <t>CANT. EST.</t>
  </si>
  <si>
    <t>ENSAYE N°244.094</t>
  </si>
  <si>
    <t>F-90</t>
  </si>
  <si>
    <t>F-120</t>
  </si>
  <si>
    <t>PV6, e=0.85mm</t>
  </si>
  <si>
    <t>Hormigon</t>
  </si>
  <si>
    <t>H25</t>
  </si>
  <si>
    <t>Placa colaborante</t>
  </si>
  <si>
    <t>Superficie</t>
  </si>
  <si>
    <t>12 m2</t>
  </si>
  <si>
    <t>Separacion Vigas</t>
  </si>
  <si>
    <t>3 m</t>
  </si>
  <si>
    <t>ENSAYE N°244.095</t>
  </si>
  <si>
    <t>24 mm</t>
  </si>
  <si>
    <t>13mm</t>
  </si>
  <si>
    <t xml:space="preserve">Proteccion Vigas </t>
  </si>
  <si>
    <t>RF (segundo)</t>
  </si>
  <si>
    <t>PERFIL C Y L</t>
  </si>
  <si>
    <t>Material</t>
  </si>
  <si>
    <t>Total bolsas</t>
  </si>
  <si>
    <t>Total tinetas</t>
  </si>
  <si>
    <t>Fire Control</t>
  </si>
  <si>
    <t>Fire Tex</t>
  </si>
  <si>
    <t>FX 2003</t>
  </si>
  <si>
    <t>WB7</t>
  </si>
  <si>
    <t>TOTAL</t>
  </si>
  <si>
    <t>MAX</t>
  </si>
  <si>
    <t>UBICACIÓN</t>
  </si>
  <si>
    <t>PLANO</t>
  </si>
  <si>
    <t>DESCRIPCIÓN EN PLANO</t>
  </si>
  <si>
    <t>PERFIL</t>
  </si>
  <si>
    <t>CARAS EXPTAS.</t>
  </si>
  <si>
    <t>MICRAS</t>
  </si>
  <si>
    <t>MILLS</t>
  </si>
  <si>
    <t>FORMULA</t>
  </si>
  <si>
    <t>TINETAS</t>
  </si>
  <si>
    <t>ANOTACIONES</t>
  </si>
  <si>
    <t>CERTIFICACION</t>
  </si>
  <si>
    <t xml:space="preserve">PRESUPUESTO: </t>
  </si>
  <si>
    <t>F-60</t>
  </si>
  <si>
    <t xml:space="preserve">OBRA: </t>
  </si>
  <si>
    <t>PRODUCTO:</t>
  </si>
  <si>
    <t>ING. A CARGO:</t>
  </si>
  <si>
    <t>RESUMEN</t>
  </si>
  <si>
    <t>RESUMEN ECONIMICO</t>
  </si>
  <si>
    <t>uf/m2</t>
  </si>
  <si>
    <t>SUPERFICIE 1</t>
  </si>
  <si>
    <t>m2</t>
  </si>
  <si>
    <t>VALOR UF</t>
  </si>
  <si>
    <t>$</t>
  </si>
  <si>
    <t>$/m2</t>
  </si>
  <si>
    <t>Superficie Topping</t>
  </si>
  <si>
    <t>VALOR DOLLAR</t>
  </si>
  <si>
    <t>Margen mat</t>
  </si>
  <si>
    <t>Rendimiento  m2/día</t>
  </si>
  <si>
    <t>m2/día</t>
  </si>
  <si>
    <t>COSTO</t>
  </si>
  <si>
    <t>UF</t>
  </si>
  <si>
    <t>Margen MOI</t>
  </si>
  <si>
    <t>Tineta/máquina</t>
  </si>
  <si>
    <t>MARGEN DE VENTA</t>
  </si>
  <si>
    <t>%</t>
  </si>
  <si>
    <t>Margen MOD</t>
  </si>
  <si>
    <t>Cantidad de equipos</t>
  </si>
  <si>
    <t>Unidad</t>
  </si>
  <si>
    <t>Margen Equipos</t>
  </si>
  <si>
    <t>PRECIO DE VENTA</t>
  </si>
  <si>
    <t>Margen GG</t>
  </si>
  <si>
    <t>ÍTEM Nº</t>
  </si>
  <si>
    <t>Descripcion</t>
  </si>
  <si>
    <t>Cantidad</t>
  </si>
  <si>
    <t xml:space="preserve"> Costo Unitario</t>
  </si>
  <si>
    <t xml:space="preserve"> Costo Total </t>
  </si>
  <si>
    <t xml:space="preserve"> PERDIDA (%)</t>
  </si>
  <si>
    <t>Costo Total C/Perdida</t>
  </si>
  <si>
    <t>INCIDENCIA (%)</t>
  </si>
  <si>
    <t>Margen (%)</t>
  </si>
  <si>
    <t>Precio de Venta</t>
  </si>
  <si>
    <t>CUADRO DE OFERTA PARA CARTA</t>
  </si>
  <si>
    <t>Descripción</t>
  </si>
  <si>
    <t>Total P.U (UF)</t>
  </si>
  <si>
    <t>MATERIALES</t>
  </si>
  <si>
    <t>Materiales Directos</t>
  </si>
  <si>
    <t>1.1</t>
  </si>
  <si>
    <t>Tinetas</t>
  </si>
  <si>
    <t>Mano de obra Directa e Indirecta</t>
  </si>
  <si>
    <t>1.2</t>
  </si>
  <si>
    <t>Gastos Generales</t>
  </si>
  <si>
    <t>1.3</t>
  </si>
  <si>
    <t>MANO DE OBRA INDIRECTA</t>
  </si>
  <si>
    <t>2.1</t>
  </si>
  <si>
    <t>HD Instalacion/retiro de Faena</t>
  </si>
  <si>
    <t>HD</t>
  </si>
  <si>
    <t>2.2</t>
  </si>
  <si>
    <t>2.3</t>
  </si>
  <si>
    <t>Supervisión 100% tiempo efectivo</t>
  </si>
  <si>
    <t>2.4</t>
  </si>
  <si>
    <t>2.5</t>
  </si>
  <si>
    <t>Administrador /oficina técnica</t>
  </si>
  <si>
    <t>Duracion  obra</t>
  </si>
  <si>
    <t>MANO DE OBRA DIRECTA</t>
  </si>
  <si>
    <t>cantidad de equipos</t>
  </si>
  <si>
    <t>fondo de reserva</t>
  </si>
  <si>
    <t>SUBCONTRATO 2</t>
  </si>
  <si>
    <t>Aplicador</t>
  </si>
  <si>
    <t xml:space="preserve">Ayudante </t>
  </si>
  <si>
    <t>Maquinista</t>
  </si>
  <si>
    <t>mallero</t>
  </si>
  <si>
    <t>Variable HH</t>
  </si>
  <si>
    <t>2.6</t>
  </si>
  <si>
    <t>N°</t>
  </si>
  <si>
    <t>2.6.0</t>
  </si>
  <si>
    <r>
      <t>M</t>
    </r>
    <r>
      <rPr>
        <vertAlign val="superscript"/>
        <sz val="11"/>
        <rFont val="Arial"/>
        <family val="2"/>
      </rPr>
      <t>2</t>
    </r>
    <r>
      <rPr>
        <sz val="11"/>
        <color theme="1"/>
        <rFont val="Calibri"/>
        <family val="2"/>
        <scheme val="minor"/>
      </rPr>
      <t/>
    </r>
  </si>
  <si>
    <t>2.6.1</t>
  </si>
  <si>
    <t>2.6.2</t>
  </si>
  <si>
    <t>2.6.3</t>
  </si>
  <si>
    <t>2.6.4</t>
  </si>
  <si>
    <t>2.6.5</t>
  </si>
  <si>
    <t>2.6.6</t>
  </si>
  <si>
    <r>
      <t>M</t>
    </r>
    <r>
      <rPr>
        <vertAlign val="superscript"/>
        <sz val="11"/>
        <rFont val="Arial"/>
        <family val="2"/>
      </rPr>
      <t>2</t>
    </r>
  </si>
  <si>
    <t>2.7</t>
  </si>
  <si>
    <t>día</t>
  </si>
  <si>
    <t xml:space="preserve">GG VIAJES (ida y vuelta) </t>
  </si>
  <si>
    <t>valor asignado</t>
  </si>
  <si>
    <t>4.1</t>
  </si>
  <si>
    <t>Unid</t>
  </si>
  <si>
    <t>4.2</t>
  </si>
  <si>
    <t>4.3</t>
  </si>
  <si>
    <t>4.5</t>
  </si>
  <si>
    <t>4.6</t>
  </si>
  <si>
    <t>4.7</t>
  </si>
  <si>
    <t>4.8</t>
  </si>
  <si>
    <t>4.10</t>
  </si>
  <si>
    <t>4.11</t>
  </si>
  <si>
    <t>4.12</t>
  </si>
  <si>
    <t>otro</t>
  </si>
  <si>
    <t>GG TRASLADOS INTERNOS</t>
  </si>
  <si>
    <t>5.1</t>
  </si>
  <si>
    <t>5.2</t>
  </si>
  <si>
    <t>5.3</t>
  </si>
  <si>
    <t>5.4</t>
  </si>
  <si>
    <t>5.5</t>
  </si>
  <si>
    <t>5.6</t>
  </si>
  <si>
    <t>5.7</t>
  </si>
  <si>
    <t>5.9</t>
  </si>
  <si>
    <t>Prevensionista 10%</t>
  </si>
  <si>
    <t>5.10</t>
  </si>
  <si>
    <t>5.11</t>
  </si>
  <si>
    <t>GG VIATICO</t>
  </si>
  <si>
    <t>6.1</t>
  </si>
  <si>
    <t xml:space="preserve">Supervisor </t>
  </si>
  <si>
    <t>6.2</t>
  </si>
  <si>
    <t>Prevencionista de Riesgo</t>
  </si>
  <si>
    <t>6.3</t>
  </si>
  <si>
    <t>6.4</t>
  </si>
  <si>
    <t xml:space="preserve">Aplicador </t>
  </si>
  <si>
    <t>6.5</t>
  </si>
  <si>
    <t>6.6</t>
  </si>
  <si>
    <t xml:space="preserve">Maquinista </t>
  </si>
  <si>
    <t>6.7</t>
  </si>
  <si>
    <t xml:space="preserve">Jornal </t>
  </si>
  <si>
    <t>6.8</t>
  </si>
  <si>
    <t>Operario Elevador</t>
  </si>
  <si>
    <t>6.9</t>
  </si>
  <si>
    <t>Andamieros</t>
  </si>
  <si>
    <t>6.10</t>
  </si>
  <si>
    <t>Sub contrato</t>
  </si>
  <si>
    <t>6.11</t>
  </si>
  <si>
    <t>GG TRASLADOS</t>
  </si>
  <si>
    <t>7.1</t>
  </si>
  <si>
    <t>Flete material</t>
  </si>
  <si>
    <t>unid</t>
  </si>
  <si>
    <t>7.2</t>
  </si>
  <si>
    <t>Flete Contenedor</t>
  </si>
  <si>
    <t>7.3</t>
  </si>
  <si>
    <t>Flete Elevador</t>
  </si>
  <si>
    <t>7.5</t>
  </si>
  <si>
    <t>Arriendo camioneta C/combustible</t>
  </si>
  <si>
    <t>días</t>
  </si>
  <si>
    <t>7.6</t>
  </si>
  <si>
    <t>Flete retorno</t>
  </si>
  <si>
    <t>MAQUINARIA Y EQUIPOS</t>
  </si>
  <si>
    <t>8.1</t>
  </si>
  <si>
    <t>Amortización de máquina de aplicación</t>
  </si>
  <si>
    <t>CLP$/bolsa</t>
  </si>
  <si>
    <t>8.2</t>
  </si>
  <si>
    <t>Sistema de elevacion tipo manlift</t>
  </si>
  <si>
    <t>dias</t>
  </si>
  <si>
    <t>8.3</t>
  </si>
  <si>
    <t>Petroleo sistema de elevacion</t>
  </si>
  <si>
    <t>lt/dia</t>
  </si>
  <si>
    <t>8.4</t>
  </si>
  <si>
    <t>Pistola Hilti y mantencion</t>
  </si>
  <si>
    <t>Global</t>
  </si>
  <si>
    <t>8.5</t>
  </si>
  <si>
    <t>Airles Pte adherente</t>
  </si>
  <si>
    <t>8.6</t>
  </si>
  <si>
    <t>Andamios</t>
  </si>
  <si>
    <t>GG INSTALACION DE FAENA</t>
  </si>
  <si>
    <t>9.1</t>
  </si>
  <si>
    <t>Contenedor oficina tecnica</t>
  </si>
  <si>
    <t>mes</t>
  </si>
  <si>
    <t>9.2</t>
  </si>
  <si>
    <t>Contenedor camarines y duchas</t>
  </si>
  <si>
    <t>9.3</t>
  </si>
  <si>
    <t>Caseta Vestidor</t>
  </si>
  <si>
    <t>9.4</t>
  </si>
  <si>
    <t>Baños Quimicos</t>
  </si>
  <si>
    <t>9.5</t>
  </si>
  <si>
    <t>Contenedor Bodega</t>
  </si>
  <si>
    <t>GG</t>
  </si>
  <si>
    <t>10.1</t>
  </si>
  <si>
    <t>Tape</t>
  </si>
  <si>
    <t>un</t>
  </si>
  <si>
    <t>10.2</t>
  </si>
  <si>
    <t>Escobillones</t>
  </si>
  <si>
    <t>10.3</t>
  </si>
  <si>
    <t>Varios, caja chica 6 días</t>
  </si>
  <si>
    <t>sem</t>
  </si>
  <si>
    <t>10.4</t>
  </si>
  <si>
    <t>Extensiones electricas</t>
  </si>
  <si>
    <t>10.5</t>
  </si>
  <si>
    <t>Accesorios maquinas (mangera y tarjeta)</t>
  </si>
  <si>
    <t>10.6</t>
  </si>
  <si>
    <t>Rodillos/Brochas</t>
  </si>
  <si>
    <t>10.7</t>
  </si>
  <si>
    <t>Polietileno</t>
  </si>
  <si>
    <t>global</t>
  </si>
  <si>
    <t>10.8</t>
  </si>
  <si>
    <t>Iluminacion</t>
  </si>
  <si>
    <t>10.18</t>
  </si>
  <si>
    <t>Examenes de altura</t>
  </si>
  <si>
    <t>10.19</t>
  </si>
  <si>
    <t>GG ELEMENTOS DE PROTECCION PERSONAL</t>
  </si>
  <si>
    <t>11.1</t>
  </si>
  <si>
    <t>elementos de proteccion personal</t>
  </si>
  <si>
    <t>gl</t>
  </si>
  <si>
    <t>TOTALES</t>
  </si>
  <si>
    <t>NOTAS:</t>
  </si>
  <si>
    <r>
      <t>uf/m</t>
    </r>
    <r>
      <rPr>
        <b/>
        <vertAlign val="superscript"/>
        <sz val="11"/>
        <rFont val="Arial"/>
        <family val="2"/>
      </rPr>
      <t>2</t>
    </r>
  </si>
  <si>
    <r>
      <t>m</t>
    </r>
    <r>
      <rPr>
        <vertAlign val="superscript"/>
        <sz val="11"/>
        <rFont val="Arial"/>
        <family val="2"/>
      </rPr>
      <t>2</t>
    </r>
  </si>
  <si>
    <r>
      <t>$/m</t>
    </r>
    <r>
      <rPr>
        <b/>
        <vertAlign val="superscript"/>
        <sz val="11"/>
        <rFont val="Arial"/>
        <family val="2"/>
      </rPr>
      <t>2</t>
    </r>
  </si>
  <si>
    <t>SUPERFICIE CAFCO 400</t>
  </si>
  <si>
    <t>Rendimiento  BSII/DIA</t>
  </si>
  <si>
    <t>Bl/dia</t>
  </si>
  <si>
    <t>Rendimiento CAFCO/DIA</t>
  </si>
  <si>
    <t>Rendimiento M2/BL</t>
  </si>
  <si>
    <t>m2/bl</t>
  </si>
  <si>
    <r>
      <t>Superficie m</t>
    </r>
    <r>
      <rPr>
        <b/>
        <vertAlign val="superscript"/>
        <sz val="11"/>
        <rFont val="Arial"/>
        <family val="2"/>
      </rPr>
      <t>2</t>
    </r>
  </si>
  <si>
    <r>
      <t>UF/m</t>
    </r>
    <r>
      <rPr>
        <b/>
        <vertAlign val="superscript"/>
        <sz val="11"/>
        <rFont val="Arial"/>
        <family val="2"/>
      </rPr>
      <t>2</t>
    </r>
  </si>
  <si>
    <t>Total P.U. (UF)</t>
  </si>
  <si>
    <t>Cafco  300</t>
  </si>
  <si>
    <t>Bolsas</t>
  </si>
  <si>
    <t>Cafco  400</t>
  </si>
  <si>
    <t>1.4</t>
  </si>
  <si>
    <t>Quik Set</t>
  </si>
  <si>
    <t>tineta</t>
  </si>
  <si>
    <t>1.5</t>
  </si>
  <si>
    <t>MALLA</t>
  </si>
  <si>
    <t>1.6</t>
  </si>
  <si>
    <t>Bond Seal</t>
  </si>
  <si>
    <t>1.7</t>
  </si>
  <si>
    <t>CAFCO 400</t>
  </si>
  <si>
    <t>HD Instalacion de Faena</t>
  </si>
  <si>
    <t>Prevencionista 15% tiempo efectivo</t>
  </si>
  <si>
    <t>CAFCO 300</t>
  </si>
  <si>
    <t>DURACIÓN OBRA</t>
  </si>
  <si>
    <t>Fondo de reserva</t>
  </si>
  <si>
    <t>3.1</t>
  </si>
  <si>
    <t xml:space="preserve">Aplicadores </t>
  </si>
  <si>
    <t>BLAZE SHIELD II</t>
  </si>
  <si>
    <t>3.3</t>
  </si>
  <si>
    <t>Maquinistas</t>
  </si>
  <si>
    <t>3.5</t>
  </si>
  <si>
    <t>Ayudante de Aplicador</t>
  </si>
  <si>
    <t>3.7</t>
  </si>
  <si>
    <t>Mallero</t>
  </si>
  <si>
    <t>3.9</t>
  </si>
  <si>
    <t>Pintor SBK 113</t>
  </si>
  <si>
    <t>Valor asignado</t>
  </si>
  <si>
    <t>4.4</t>
  </si>
  <si>
    <t>GG TRASLADOS INTERNOS (nocturnos +colaciones)</t>
  </si>
  <si>
    <t>Sistema de elevacion , brazo articulado</t>
  </si>
  <si>
    <t>Poliesterino</t>
  </si>
  <si>
    <t>10.9</t>
  </si>
  <si>
    <t>10.10</t>
  </si>
  <si>
    <t>STOFIRE</t>
  </si>
  <si>
    <t>FIRE CONTROL</t>
  </si>
  <si>
    <t>IN 4 CARAS</t>
  </si>
  <si>
    <t>Planta de estructura ampliación entre ejes S y M'</t>
  </si>
  <si>
    <t>1620_amb_10_planta_de_estructura_techo_ampliacion</t>
  </si>
  <si>
    <t>-</t>
  </si>
  <si>
    <t>Cerramiento eje 1 y 7</t>
  </si>
  <si>
    <t>1620_amb_14_cerramientos_eje_1___7</t>
  </si>
  <si>
    <t>Micra</t>
  </si>
  <si>
    <r>
      <t>M</t>
    </r>
    <r>
      <rPr>
        <b/>
        <vertAlign val="superscript"/>
        <sz val="12"/>
        <rFont val="Calibri"/>
        <family val="2"/>
        <scheme val="minor"/>
      </rPr>
      <t>2</t>
    </r>
  </si>
  <si>
    <r>
      <t>Valor M</t>
    </r>
    <r>
      <rPr>
        <b/>
        <vertAlign val="superscript"/>
        <sz val="12"/>
        <rFont val="Calibri"/>
        <family val="2"/>
        <scheme val="minor"/>
      </rPr>
      <t>2</t>
    </r>
  </si>
  <si>
    <t>Planta estructura y techo eje C @ E</t>
  </si>
  <si>
    <t>1620_binf_01__pl_fundacion_y_estructura</t>
  </si>
  <si>
    <t>&lt;500 mic</t>
  </si>
  <si>
    <t>Planta estructura y techo eje E @ F</t>
  </si>
  <si>
    <t>600 - 750</t>
  </si>
  <si>
    <t>Planta estructura y techo eje 7</t>
  </si>
  <si>
    <t>800 - 1000</t>
  </si>
  <si>
    <t>Planta 2do piso ELEV. +4650 eje 26</t>
  </si>
  <si>
    <t>201913-200-SS-PL-005-REV0</t>
  </si>
  <si>
    <t>VF-204</t>
  </si>
  <si>
    <t>1100 - 1300</t>
  </si>
  <si>
    <t>Planta 2do piso ELEV. +4650 entre eje 0 y 1, y entre ejes B y D</t>
  </si>
  <si>
    <t>201913-200-SS-PL-002-REV0</t>
  </si>
  <si>
    <t>TM-205</t>
  </si>
  <si>
    <t>1400 - 1600</t>
  </si>
  <si>
    <t>Planta 2do piso ELEV. +4650 eje A</t>
  </si>
  <si>
    <t>201913-200-SS-PL-002-REV0, 201913-200-SS-PL-003-REV0 y 201913-200-SS-PL-004-REV0</t>
  </si>
  <si>
    <t>VM-201</t>
  </si>
  <si>
    <t>1700 - 1800</t>
  </si>
  <si>
    <t>VM-204</t>
  </si>
  <si>
    <t>1900 - 2100</t>
  </si>
  <si>
    <t>VMD-201</t>
  </si>
  <si>
    <t>2150 - 2500</t>
  </si>
  <si>
    <t>VMD-202</t>
  </si>
  <si>
    <t>2550 - 3000</t>
  </si>
  <si>
    <t>Planta 2do piso ELEV. +4650 eje E</t>
  </si>
  <si>
    <t>3050 - 3500</t>
  </si>
  <si>
    <t>4050 - 4500</t>
  </si>
  <si>
    <t>Planta 2do piso ELEV. +4650 eje D</t>
  </si>
  <si>
    <t>201913-200-SS-PL-003-REV0 y 201913-200-SS-PL-004-REV0</t>
  </si>
  <si>
    <t>VM-203</t>
  </si>
  <si>
    <t>5050 - 5500</t>
  </si>
  <si>
    <t>VM-205</t>
  </si>
  <si>
    <t>6050 - 6500</t>
  </si>
  <si>
    <t>Planta 2do piso ELEV. +4650 eje B</t>
  </si>
  <si>
    <t>7050 - 7500</t>
  </si>
  <si>
    <t>7550 - 8000</t>
  </si>
  <si>
    <t>201913-200-SS-PL-004-REV0</t>
  </si>
  <si>
    <t>Elevación escala E-202</t>
  </si>
  <si>
    <t>201913-200-SS-PL-011-REV0</t>
  </si>
  <si>
    <t>LM-202</t>
  </si>
  <si>
    <t>F-15</t>
  </si>
  <si>
    <t>Elevación escala E-203</t>
  </si>
  <si>
    <t>LM-203</t>
  </si>
  <si>
    <t>Elevación escala E-204</t>
  </si>
  <si>
    <t>201913-200-SS-PL-012-REV0</t>
  </si>
  <si>
    <t>LM-204</t>
  </si>
  <si>
    <t>Elevación escala E-205</t>
  </si>
  <si>
    <t>LM-205</t>
  </si>
  <si>
    <t>F-150</t>
  </si>
  <si>
    <t>NOMBRE NO MODIFICABLE</t>
  </si>
  <si>
    <t>MICRAS MAX.</t>
  </si>
  <si>
    <t>PINTURA</t>
  </si>
  <si>
    <r>
      <t>MASIVIDAD CÁLCULO DE MICRAS "FX 2003" (M</t>
    </r>
    <r>
      <rPr>
        <b/>
        <vertAlign val="superscript"/>
        <sz val="12"/>
        <color theme="1"/>
        <rFont val="Calibri"/>
        <family val="2"/>
        <scheme val="minor"/>
      </rPr>
      <t>-1</t>
    </r>
    <r>
      <rPr>
        <b/>
        <sz val="12"/>
        <color theme="1"/>
        <rFont val="Calibri"/>
        <family val="2"/>
        <scheme val="minor"/>
      </rPr>
      <t>)</t>
    </r>
  </si>
  <si>
    <r>
      <t>MASIVIDAD CÁLCULO DE MICRAS (M</t>
    </r>
    <r>
      <rPr>
        <b/>
        <vertAlign val="superscript"/>
        <sz val="12"/>
        <color theme="1"/>
        <rFont val="Calibri"/>
        <family val="2"/>
        <scheme val="minor"/>
      </rPr>
      <t>-1</t>
    </r>
    <r>
      <rPr>
        <b/>
        <sz val="12"/>
        <color theme="1"/>
        <rFont val="Calibri"/>
        <family val="2"/>
        <scheme val="minor"/>
      </rPr>
      <t>)</t>
    </r>
  </si>
  <si>
    <t>DÍAS TOTAL PROYECTO</t>
  </si>
  <si>
    <t>RESISTENCIA AL FUEGO</t>
  </si>
  <si>
    <t>F15</t>
  </si>
  <si>
    <t>F30</t>
  </si>
  <si>
    <t>F60</t>
  </si>
  <si>
    <t>VIGA IN 3 CARAS A 500°C</t>
  </si>
  <si>
    <t>VIGA IN 4 CARAS A 500°C</t>
  </si>
  <si>
    <t>VIGA CAJÓN 3 CARAS A 500°C</t>
  </si>
  <si>
    <t>VIGA CAJÓN 4 CARAS A 500°C</t>
  </si>
  <si>
    <t>VIGA CIRCULAR A 500°C</t>
  </si>
  <si>
    <t>VIGA IN 3 CARAS A 500°C BAJO LOSA</t>
  </si>
  <si>
    <t>COLUMNA IN 4 CARAS A 500°C</t>
  </si>
  <si>
    <t>VIGA CAJÓN 3 CARAS A 500°C BAJO LOSA</t>
  </si>
  <si>
    <t>COLUMNA CAJÓN 4 CARAS A 500°C</t>
  </si>
  <si>
    <t>COLUMNA CIRCULAR A 500°C</t>
  </si>
  <si>
    <t>Perfil IN</t>
  </si>
  <si>
    <t>Perfil Cajón</t>
  </si>
  <si>
    <t>FIRETEX A 500°C</t>
  </si>
  <si>
    <t>FIRETEX</t>
  </si>
  <si>
    <t>Perfil Circular</t>
  </si>
  <si>
    <t>IN BAJO LOSA</t>
  </si>
  <si>
    <t>F-30</t>
  </si>
  <si>
    <t/>
  </si>
  <si>
    <t>UF/m²</t>
  </si>
  <si>
    <t>Superficie m²</t>
  </si>
  <si>
    <t>IE 600x200x8x5</t>
  </si>
  <si>
    <t>Cj 150x150x3</t>
  </si>
  <si>
    <t>f-30</t>
  </si>
  <si>
    <t>IE 900x250x18x8</t>
  </si>
  <si>
    <t>IE 900x250x25x8</t>
  </si>
  <si>
    <t>IE 900x250x16x8</t>
  </si>
  <si>
    <t>IE 600x250x20x6</t>
  </si>
  <si>
    <t>IE 600x250x18x5</t>
  </si>
  <si>
    <t>IE 600x200x10x5</t>
  </si>
  <si>
    <t>IE 900x200x10x6</t>
  </si>
  <si>
    <t>IE 600x200x12x5</t>
  </si>
  <si>
    <t>Arriostramiento</t>
  </si>
  <si>
    <t>Cj 150x100x3</t>
  </si>
  <si>
    <t>Cj 100x100x2</t>
  </si>
  <si>
    <t>Costaneras</t>
  </si>
  <si>
    <t>Colgadores</t>
  </si>
  <si>
    <t>L</t>
  </si>
  <si>
    <t>L 40x40x2</t>
  </si>
  <si>
    <t xml:space="preserve">Ca 300x50x15x5 </t>
  </si>
  <si>
    <t>Cj 200x100x5</t>
  </si>
  <si>
    <t>Ca 300x50x15x5</t>
  </si>
  <si>
    <t>800x300x16x8</t>
  </si>
  <si>
    <t>700x200x6</t>
  </si>
  <si>
    <t>300x200x10</t>
  </si>
  <si>
    <t>600X250X14X8</t>
  </si>
  <si>
    <t>250x150x5</t>
  </si>
  <si>
    <t>Cj 350x250x5</t>
  </si>
  <si>
    <t>Cj 350x250x3</t>
  </si>
  <si>
    <t>Cj 350x250x6</t>
  </si>
  <si>
    <t>475x190x14,5x9,02</t>
  </si>
  <si>
    <t xml:space="preserve">C </t>
  </si>
  <si>
    <t>C</t>
  </si>
  <si>
    <t>CUADRO GENERAL</t>
  </si>
  <si>
    <t>m²/bolsa</t>
  </si>
  <si>
    <t>Fire Tex 5120</t>
  </si>
  <si>
    <t>Fire Tex 5090</t>
  </si>
  <si>
    <t>Fire Tex 5062</t>
  </si>
  <si>
    <t>[m-1]</t>
  </si>
  <si>
    <t>CJ BAJO LOSA</t>
  </si>
  <si>
    <t>CJ 4 CARAS</t>
  </si>
  <si>
    <t>Masividad
[m-1]</t>
  </si>
  <si>
    <t>MASIVIDAD APROXIMADA</t>
  </si>
  <si>
    <t>PERFIL SECCIÓN MASIZA</t>
  </si>
  <si>
    <t>PERFIL SECCIÓN CERRADA</t>
  </si>
  <si>
    <t>Topping</t>
  </si>
  <si>
    <t>Actualizados Febrero '25</t>
  </si>
  <si>
    <t>ÁREA EXPUESTA
[m2]</t>
  </si>
  <si>
    <t xml:space="preserve">PINTURA INTUMESCENTE </t>
  </si>
  <si>
    <t>PINTURA INTUMESCENTE FIRE TEX 5090</t>
  </si>
  <si>
    <t>PINTURA INTUMESCENTE FIRE TEX 5120</t>
  </si>
  <si>
    <t>EN ANDAMIOS SE REQUIERE 100M2 DISPONIBLES DIARIAMENTE</t>
  </si>
  <si>
    <t xml:space="preserve">SE CONSIDERA DAR CAPAS DE 325 CAPAS POR CADA MANO, POR LO TANTO EN CADA POSCICION SE OCUPARAN LOS ANDAMIOS 4 DIAS </t>
  </si>
  <si>
    <t>SI LA APLICACIÓN DE P.I SE DEBE APLICAR CON RODILLO PARA EVITAR CONTAMINACION DR RDTRUCUTS , ESTA SE DEBE ENTREGAR LIMPIA, ES DECIR SIN POLVO NI GRASAS</t>
  </si>
  <si>
    <t>TORRE KENNEDY</t>
  </si>
  <si>
    <t>TORRE KENEDY</t>
  </si>
  <si>
    <t>VIGA</t>
  </si>
  <si>
    <t>PILAR</t>
  </si>
  <si>
    <t>Total general</t>
  </si>
  <si>
    <t>Suma de ÁREA EXPUESTA
[m2]</t>
  </si>
  <si>
    <t>MASIV. (M-1)</t>
  </si>
  <si>
    <t>COMENTARIO</t>
  </si>
  <si>
    <t>CERTIFICABLE</t>
  </si>
  <si>
    <t>pintor sbk 113</t>
  </si>
  <si>
    <t>poliza anticipo</t>
  </si>
  <si>
    <t>CARAS</t>
  </si>
  <si>
    <t>AREA</t>
  </si>
  <si>
    <t>H</t>
  </si>
  <si>
    <t>A</t>
  </si>
  <si>
    <t>E1</t>
  </si>
  <si>
    <t>B</t>
  </si>
  <si>
    <t>E2</t>
  </si>
  <si>
    <t>T</t>
  </si>
  <si>
    <t>A Y B</t>
  </si>
  <si>
    <t xml:space="preserve">E </t>
  </si>
  <si>
    <t>D</t>
  </si>
  <si>
    <t>E</t>
  </si>
  <si>
    <t>107-B</t>
  </si>
  <si>
    <t>PM1</t>
  </si>
  <si>
    <t>PM3</t>
  </si>
  <si>
    <t>CJ200X100X3</t>
  </si>
  <si>
    <t>PUNTAL. TIP</t>
  </si>
  <si>
    <t>PUNTAL</t>
  </si>
  <si>
    <t>100X100X3</t>
  </si>
  <si>
    <t>ARRIOSTRA</t>
  </si>
  <si>
    <t>ARRIOSTRAMINETO VERTICAL</t>
  </si>
  <si>
    <t>ELEVACION EJE A</t>
  </si>
  <si>
    <t>ELEVACION EJE F</t>
  </si>
  <si>
    <t>200X100X3</t>
  </si>
  <si>
    <t>ELEVACION EJE B</t>
  </si>
  <si>
    <t>PM2</t>
  </si>
  <si>
    <t>ELEVACION EJE 10</t>
  </si>
  <si>
    <t>106-B</t>
  </si>
  <si>
    <t xml:space="preserve"> M1 MM600X225X4</t>
  </si>
  <si>
    <t>ELEVACION EJE C</t>
  </si>
  <si>
    <t>ELEVACION EJE 11</t>
  </si>
  <si>
    <t>ELEVACION EJE 02</t>
  </si>
  <si>
    <t>ELEVACION EJES 3, 4, 5, 6, 7,8 , 9</t>
  </si>
  <si>
    <t>ELEVACION EJE 12</t>
  </si>
  <si>
    <t>ELEVACION EJE 1</t>
  </si>
  <si>
    <t>ELEVACION EJA 9A</t>
  </si>
  <si>
    <t>PLANTA TECHUMBRE</t>
  </si>
  <si>
    <t>104-B</t>
  </si>
  <si>
    <t>COSTANERA TIP</t>
  </si>
  <si>
    <t>COSTANERA</t>
  </si>
  <si>
    <t>211-B</t>
  </si>
  <si>
    <t>CJ200X100X4</t>
  </si>
  <si>
    <t>200X100X4</t>
  </si>
  <si>
    <t>VM3</t>
  </si>
  <si>
    <t>VIGA BAJO LOSA</t>
  </si>
  <si>
    <t>CJ100X100X3</t>
  </si>
  <si>
    <t>ELEVACION EJE 2</t>
  </si>
  <si>
    <t>ELEVACION EJE 3</t>
  </si>
  <si>
    <t>212-B</t>
  </si>
  <si>
    <t>208-B</t>
  </si>
  <si>
    <t>ELEVACION EJE A-F</t>
  </si>
  <si>
    <t>M1 MM400X200X4</t>
  </si>
  <si>
    <t>ELEVACION A</t>
  </si>
  <si>
    <t>ELEVACION B</t>
  </si>
  <si>
    <t>209-B</t>
  </si>
  <si>
    <t>ELEVACION EJE D</t>
  </si>
  <si>
    <t>ELEVACION EJE E</t>
  </si>
  <si>
    <t>210-B</t>
  </si>
  <si>
    <t>207-B</t>
  </si>
  <si>
    <t>PLANTA CIELO PISO 1</t>
  </si>
  <si>
    <t>LOSA</t>
  </si>
  <si>
    <t>205-B</t>
  </si>
  <si>
    <t xml:space="preserve">PM1 </t>
  </si>
  <si>
    <t>MM 400X200X4</t>
  </si>
  <si>
    <t>150X150X5</t>
  </si>
  <si>
    <t>VM1 IPE 240</t>
  </si>
  <si>
    <t>240X120X9,8X6,2</t>
  </si>
  <si>
    <t>VM2 IPE 200</t>
  </si>
  <si>
    <t>200X100X8,5X5,6</t>
  </si>
  <si>
    <t>125X50X15X2</t>
  </si>
  <si>
    <t>SHIPPING</t>
  </si>
  <si>
    <t xml:space="preserve">UNI. </t>
  </si>
  <si>
    <t>Prevencionista 100% tiempo efectivo</t>
  </si>
  <si>
    <t>(en blanco)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</si>
</sst>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&quot;F-&quot;##,#00"/>
    <numFmt numFmtId="165" formatCode="_ * #,##0.000_ ;_ * \-#,##0.000_ ;_ * &quot;-&quot;_ ;_ @_ "/>
    <numFmt numFmtId="166" formatCode="0.0%"/>
    <numFmt numFmtId="167" formatCode="#,##0.000"/>
    <numFmt numFmtId="168" formatCode="0.0"/>
    <numFmt numFmtId="169" formatCode="&quot;$&quot;#,##0"/>
    <numFmt numFmtId="170" formatCode="#,##0.0"/>
    <numFmt numFmtId="171" formatCode="0.000"/>
    <numFmt numFmtId="172" formatCode="0.0000"/>
    <numFmt numFmtId="173" formatCode="_ * #,##0.00_ ;_ * \-#,##0.00_ ;_ * &quot;-&quot;_ ;_ @_ 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indexed="8"/>
      <name val="Calibri"/>
      <family val="2"/>
      <charset val="1"/>
    </font>
    <font>
      <sz val="12"/>
      <name val="Calibri"/>
      <family val="2"/>
      <charset val="1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i/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1"/>
      <color indexed="12"/>
      <name val="Arial"/>
      <family val="2"/>
    </font>
    <font>
      <b/>
      <sz val="11"/>
      <color theme="3" tint="0.39997558519241921"/>
      <name val="Arial"/>
      <family val="2"/>
    </font>
    <font>
      <sz val="11"/>
      <color theme="3" tint="0.39997558519241921"/>
      <name val="Arial"/>
      <family val="2"/>
    </font>
    <font>
      <vertAlign val="superscript"/>
      <sz val="11"/>
      <name val="Arial"/>
      <family val="2"/>
    </font>
    <font>
      <sz val="11"/>
      <color theme="1"/>
      <name val="Arial"/>
      <family val="2"/>
    </font>
    <font>
      <sz val="11"/>
      <color indexed="10"/>
      <name val="Arial"/>
      <family val="2"/>
    </font>
    <font>
      <b/>
      <sz val="11"/>
      <color indexed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vertAlign val="superscript"/>
      <sz val="11"/>
      <name val="Arial"/>
      <family val="2"/>
    </font>
    <font>
      <b/>
      <sz val="11"/>
      <color theme="1"/>
      <name val="Arial"/>
      <family val="2"/>
    </font>
    <font>
      <b/>
      <vertAlign val="superscript"/>
      <sz val="12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Times New Roman"/>
      <family val="1"/>
    </font>
    <font>
      <b/>
      <i/>
      <sz val="11"/>
      <color theme="0"/>
      <name val="Arial"/>
      <family val="2"/>
    </font>
    <font>
      <sz val="11"/>
      <color theme="9" tint="-0.249977111117893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5AB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7" tint="0.59999389629810485"/>
        <bgColor indexed="64"/>
      </patternFill>
    </fill>
  </fills>
  <borders count="10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rgb="FFEE0000"/>
      </left>
      <right style="medium">
        <color rgb="FFFF0000"/>
      </right>
      <top style="medium">
        <color rgb="FFEE0000"/>
      </top>
      <bottom style="thin">
        <color indexed="64"/>
      </bottom>
      <diagonal/>
    </border>
    <border>
      <left/>
      <right style="medium">
        <color rgb="FFEE0000"/>
      </right>
      <top style="medium">
        <color rgb="FFEE0000"/>
      </top>
      <bottom style="thin">
        <color indexed="64"/>
      </bottom>
      <diagonal/>
    </border>
    <border>
      <left style="medium">
        <color rgb="FFEE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/>
      <right style="medium">
        <color rgb="FFEE0000"/>
      </right>
      <top style="thin">
        <color indexed="64"/>
      </top>
      <bottom style="thin">
        <color indexed="64"/>
      </bottom>
      <diagonal/>
    </border>
    <border>
      <left style="medium">
        <color rgb="FFEE0000"/>
      </left>
      <right style="medium">
        <color rgb="FFFF0000"/>
      </right>
      <top style="thin">
        <color indexed="64"/>
      </top>
      <bottom style="medium">
        <color rgb="FFEE0000"/>
      </bottom>
      <diagonal/>
    </border>
    <border>
      <left/>
      <right style="medium">
        <color rgb="FFEE0000"/>
      </right>
      <top style="thin">
        <color indexed="64"/>
      </top>
      <bottom style="medium">
        <color rgb="FFEE0000"/>
      </bottom>
      <diagonal/>
    </border>
    <border>
      <left style="medium">
        <color rgb="FFEE0000"/>
      </left>
      <right style="medium">
        <color rgb="FFEE0000"/>
      </right>
      <top style="medium">
        <color rgb="FFEE0000"/>
      </top>
      <bottom style="thin">
        <color indexed="64"/>
      </bottom>
      <diagonal/>
    </border>
    <border>
      <left style="medium">
        <color rgb="FFEE0000"/>
      </left>
      <right style="medium">
        <color rgb="FFEE0000"/>
      </right>
      <top style="thin">
        <color indexed="64"/>
      </top>
      <bottom style="thin">
        <color indexed="64"/>
      </bottom>
      <diagonal/>
    </border>
    <border>
      <left style="medium">
        <color rgb="FFEE0000"/>
      </left>
      <right style="medium">
        <color rgb="FFEE0000"/>
      </right>
      <top style="thin">
        <color indexed="64"/>
      </top>
      <bottom style="medium">
        <color rgb="FFEE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1">
    <xf numFmtId="0" fontId="0" fillId="0" borderId="0"/>
    <xf numFmtId="0" fontId="1" fillId="2" borderId="0" applyNumberFormat="0" applyBorder="0" applyAlignment="0" applyProtection="0"/>
    <xf numFmtId="42" fontId="1" fillId="0" borderId="0" applyFont="0" applyFill="0" applyBorder="0" applyAlignment="0" applyProtection="0"/>
    <xf numFmtId="0" fontId="7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164" fontId="4" fillId="0" borderId="3">
      <alignment horizontal="center" vertical="center"/>
    </xf>
    <xf numFmtId="0" fontId="7" fillId="11" borderId="0" applyNumberFormat="0" applyBorder="0" applyAlignment="0" applyProtection="0"/>
    <xf numFmtId="0" fontId="12" fillId="0" borderId="0"/>
    <xf numFmtId="0" fontId="7" fillId="19" borderId="0" applyNumberFormat="0" applyBorder="0" applyAlignment="0" applyProtection="0"/>
    <xf numFmtId="0" fontId="15" fillId="0" borderId="0"/>
    <xf numFmtId="0" fontId="1" fillId="20" borderId="0" applyNumberFormat="0" applyBorder="0" applyAlignment="0" applyProtection="0"/>
    <xf numFmtId="0" fontId="1" fillId="2" borderId="0" applyNumberFormat="0" applyBorder="0" applyAlignment="0" applyProtection="0"/>
    <xf numFmtId="41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42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163">
    <xf numFmtId="0" fontId="0" fillId="0" borderId="0" xfId="0"/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5" fillId="0" borderId="3" xfId="0" applyNumberFormat="1" applyFont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2" fontId="4" fillId="0" borderId="13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" fontId="4" fillId="0" borderId="19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2" fontId="4" fillId="0" borderId="17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2" fontId="5" fillId="4" borderId="1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0" xfId="3" applyFont="1" applyFill="1" applyBorder="1" applyAlignment="1">
      <alignment vertical="center" wrapText="1"/>
    </xf>
    <xf numFmtId="0" fontId="4" fillId="8" borderId="6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4" fontId="4" fillId="0" borderId="3" xfId="7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42" fontId="4" fillId="0" borderId="23" xfId="2" applyFont="1" applyBorder="1" applyAlignment="1">
      <alignment horizontal="left" vertical="center"/>
    </xf>
    <xf numFmtId="42" fontId="4" fillId="0" borderId="23" xfId="2" applyFont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13" fillId="0" borderId="3" xfId="9" applyFont="1" applyBorder="1" applyAlignment="1">
      <alignment horizontal="center" vertical="center"/>
    </xf>
    <xf numFmtId="0" fontId="13" fillId="0" borderId="2" xfId="9" applyFont="1" applyBorder="1" applyAlignment="1">
      <alignment horizontal="center" vertical="center"/>
    </xf>
    <xf numFmtId="0" fontId="13" fillId="0" borderId="26" xfId="9" applyFont="1" applyBorder="1" applyAlignment="1">
      <alignment horizontal="center" vertical="center"/>
    </xf>
    <xf numFmtId="0" fontId="13" fillId="0" borderId="27" xfId="9" applyFont="1" applyBorder="1" applyAlignment="1">
      <alignment horizontal="center" vertical="center"/>
    </xf>
    <xf numFmtId="4" fontId="4" fillId="13" borderId="2" xfId="0" applyNumberFormat="1" applyFont="1" applyFill="1" applyBorder="1" applyAlignment="1">
      <alignment horizontal="center" vertical="center"/>
    </xf>
    <xf numFmtId="0" fontId="4" fillId="13" borderId="13" xfId="0" applyFont="1" applyFill="1" applyBorder="1" applyAlignment="1">
      <alignment horizontal="center" vertical="center"/>
    </xf>
    <xf numFmtId="2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2" applyNumberFormat="1" applyFont="1" applyFill="1" applyBorder="1" applyAlignment="1">
      <alignment horizontal="center" vertical="center"/>
    </xf>
    <xf numFmtId="0" fontId="7" fillId="3" borderId="0" xfId="8" applyFill="1" applyBorder="1" applyAlignment="1">
      <alignment vertical="center"/>
    </xf>
    <xf numFmtId="0" fontId="6" fillId="14" borderId="34" xfId="0" applyFont="1" applyFill="1" applyBorder="1" applyAlignment="1">
      <alignment horizontal="center" vertical="center"/>
    </xf>
    <xf numFmtId="0" fontId="6" fillId="14" borderId="35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3" borderId="0" xfId="0" applyFill="1"/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" fontId="5" fillId="8" borderId="3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3" applyFont="1" applyFill="1" applyBorder="1" applyAlignment="1">
      <alignment horizontal="center" vertical="center" wrapText="1"/>
    </xf>
    <xf numFmtId="0" fontId="2" fillId="0" borderId="0" xfId="4" applyFont="1" applyFill="1" applyBorder="1" applyAlignment="1">
      <alignment vertical="center"/>
    </xf>
    <xf numFmtId="0" fontId="2" fillId="0" borderId="0" xfId="4" applyFont="1" applyFill="1" applyBorder="1" applyAlignment="1">
      <alignment horizontal="center" vertical="center"/>
    </xf>
    <xf numFmtId="0" fontId="2" fillId="7" borderId="4" xfId="4" applyFont="1" applyBorder="1" applyAlignment="1">
      <alignment horizontal="center" vertical="center"/>
    </xf>
    <xf numFmtId="0" fontId="2" fillId="7" borderId="5" xfId="4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2" fontId="4" fillId="3" borderId="0" xfId="2" applyFont="1" applyFill="1" applyBorder="1" applyAlignment="1">
      <alignment horizontal="left" vertical="center"/>
    </xf>
    <xf numFmtId="42" fontId="4" fillId="3" borderId="0" xfId="2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4" fillId="0" borderId="23" xfId="2" applyNumberFormat="1" applyFont="1" applyBorder="1" applyAlignment="1">
      <alignment horizontal="center" vertical="center"/>
    </xf>
    <xf numFmtId="42" fontId="5" fillId="4" borderId="12" xfId="0" applyNumberFormat="1" applyFont="1" applyFill="1" applyBorder="1" applyAlignment="1">
      <alignment horizontal="center" vertical="center"/>
    </xf>
    <xf numFmtId="42" fontId="5" fillId="5" borderId="37" xfId="2" applyFont="1" applyFill="1" applyBorder="1" applyAlignment="1">
      <alignment horizontal="center" vertical="center"/>
    </xf>
    <xf numFmtId="0" fontId="5" fillId="5" borderId="38" xfId="2" applyNumberFormat="1" applyFont="1" applyFill="1" applyBorder="1" applyAlignment="1">
      <alignment horizontal="center" vertical="center"/>
    </xf>
    <xf numFmtId="42" fontId="5" fillId="5" borderId="39" xfId="2" applyFont="1" applyFill="1" applyBorder="1" applyAlignment="1">
      <alignment horizontal="center" vertical="center"/>
    </xf>
    <xf numFmtId="0" fontId="5" fillId="5" borderId="34" xfId="2" applyNumberFormat="1" applyFont="1" applyFill="1" applyBorder="1" applyAlignment="1">
      <alignment horizontal="center" vertical="center"/>
    </xf>
    <xf numFmtId="42" fontId="5" fillId="5" borderId="35" xfId="2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42" fontId="5" fillId="12" borderId="17" xfId="2" applyFont="1" applyFill="1" applyBorder="1" applyAlignment="1">
      <alignment horizontal="center" vertical="center"/>
    </xf>
    <xf numFmtId="42" fontId="5" fillId="12" borderId="33" xfId="2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4" fillId="3" borderId="41" xfId="2" applyNumberFormat="1" applyFont="1" applyFill="1" applyBorder="1" applyAlignment="1">
      <alignment horizontal="center" vertical="center"/>
    </xf>
    <xf numFmtId="0" fontId="4" fillId="3" borderId="42" xfId="0" applyFont="1" applyFill="1" applyBorder="1" applyAlignment="1">
      <alignment horizontal="center" vertical="center"/>
    </xf>
    <xf numFmtId="0" fontId="2" fillId="3" borderId="0" xfId="1" applyFont="1" applyFill="1" applyBorder="1" applyAlignment="1">
      <alignment vertical="center" wrapText="1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2" fontId="4" fillId="16" borderId="3" xfId="0" applyNumberFormat="1" applyFont="1" applyFill="1" applyBorder="1" applyAlignment="1">
      <alignment horizontal="center" vertical="center"/>
    </xf>
    <xf numFmtId="0" fontId="11" fillId="16" borderId="4" xfId="0" applyFont="1" applyFill="1" applyBorder="1" applyAlignment="1">
      <alignment horizontal="center" vertical="center"/>
    </xf>
    <xf numFmtId="0" fontId="2" fillId="3" borderId="4" xfId="4" applyFont="1" applyFill="1" applyBorder="1" applyAlignment="1">
      <alignment horizontal="center" vertical="center"/>
    </xf>
    <xf numFmtId="0" fontId="2" fillId="3" borderId="43" xfId="4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2" fillId="3" borderId="12" xfId="4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7" fillId="3" borderId="0" xfId="8" applyFill="1" applyBorder="1" applyAlignment="1">
      <alignment vertical="center" wrapText="1"/>
    </xf>
    <xf numFmtId="0" fontId="6" fillId="3" borderId="0" xfId="6" applyFont="1" applyFill="1" applyBorder="1" applyAlignment="1">
      <alignment vertical="center"/>
    </xf>
    <xf numFmtId="0" fontId="6" fillId="3" borderId="0" xfId="5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8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29" xfId="6" applyFill="1" applyBorder="1" applyAlignment="1">
      <alignment horizontal="center" vertical="center"/>
    </xf>
    <xf numFmtId="0" fontId="6" fillId="18" borderId="43" xfId="5" applyFont="1" applyFill="1" applyBorder="1" applyAlignment="1">
      <alignment horizontal="center" vertical="center"/>
    </xf>
    <xf numFmtId="0" fontId="6" fillId="18" borderId="19" xfId="6" applyFont="1" applyFill="1" applyBorder="1" applyAlignment="1">
      <alignment horizontal="center" vertical="center"/>
    </xf>
    <xf numFmtId="0" fontId="4" fillId="3" borderId="0" xfId="2" applyNumberFormat="1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3" fontId="4" fillId="8" borderId="13" xfId="0" applyNumberFormat="1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0" fontId="5" fillId="15" borderId="43" xfId="0" applyFont="1" applyFill="1" applyBorder="1" applyAlignment="1">
      <alignment horizontal="center" vertical="center"/>
    </xf>
    <xf numFmtId="0" fontId="6" fillId="18" borderId="19" xfId="0" applyFont="1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0" fontId="0" fillId="3" borderId="29" xfId="0" applyFill="1" applyBorder="1" applyAlignment="1">
      <alignment vertical="center"/>
    </xf>
    <xf numFmtId="0" fontId="0" fillId="18" borderId="24" xfId="0" applyFill="1" applyBorder="1" applyAlignment="1">
      <alignment vertical="center"/>
    </xf>
    <xf numFmtId="0" fontId="0" fillId="3" borderId="28" xfId="0" applyFill="1" applyBorder="1" applyAlignment="1">
      <alignment vertical="center"/>
    </xf>
    <xf numFmtId="0" fontId="6" fillId="3" borderId="10" xfId="0" applyFont="1" applyFill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5" fillId="15" borderId="22" xfId="0" applyFont="1" applyFill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3" fontId="4" fillId="8" borderId="19" xfId="0" applyNumberFormat="1" applyFont="1" applyFill="1" applyBorder="1" applyAlignment="1">
      <alignment horizontal="center" vertical="center"/>
    </xf>
    <xf numFmtId="0" fontId="4" fillId="8" borderId="49" xfId="0" applyFont="1" applyFill="1" applyBorder="1" applyAlignment="1">
      <alignment horizontal="center" vertical="center"/>
    </xf>
    <xf numFmtId="2" fontId="4" fillId="3" borderId="0" xfId="0" applyNumberFormat="1" applyFont="1" applyFill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1" applyFont="1" applyBorder="1" applyAlignment="1">
      <alignment horizontal="center" vertical="center" wrapText="1"/>
    </xf>
    <xf numFmtId="0" fontId="2" fillId="2" borderId="1" xfId="1" applyFont="1" applyBorder="1" applyAlignment="1">
      <alignment horizontal="center" vertical="center"/>
    </xf>
    <xf numFmtId="4" fontId="2" fillId="2" borderId="1" xfId="1" applyNumberFormat="1" applyFont="1" applyBorder="1" applyAlignment="1">
      <alignment horizontal="center" vertical="center" wrapText="1"/>
    </xf>
    <xf numFmtId="0" fontId="4" fillId="3" borderId="0" xfId="11" applyFont="1" applyFill="1" applyAlignment="1">
      <alignment horizontal="left" vertical="center"/>
    </xf>
    <xf numFmtId="0" fontId="4" fillId="3" borderId="0" xfId="11" applyFont="1" applyFill="1" applyAlignment="1">
      <alignment vertical="center"/>
    </xf>
    <xf numFmtId="0" fontId="4" fillId="3" borderId="0" xfId="11" applyFont="1" applyFill="1" applyAlignment="1">
      <alignment horizontal="center" vertical="center"/>
    </xf>
    <xf numFmtId="0" fontId="5" fillId="3" borderId="0" xfId="11" applyFont="1" applyFill="1" applyAlignment="1">
      <alignment horizontal="center" vertical="center"/>
    </xf>
    <xf numFmtId="4" fontId="4" fillId="0" borderId="0" xfId="11" applyNumberFormat="1" applyFont="1" applyAlignment="1">
      <alignment horizontal="center" vertical="center"/>
    </xf>
    <xf numFmtId="0" fontId="4" fillId="0" borderId="0" xfId="11" applyFont="1" applyAlignment="1">
      <alignment horizontal="center" vertical="center"/>
    </xf>
    <xf numFmtId="0" fontId="5" fillId="19" borderId="10" xfId="10" applyFont="1" applyBorder="1" applyAlignment="1">
      <alignment horizontal="center" vertical="center"/>
    </xf>
    <xf numFmtId="0" fontId="5" fillId="19" borderId="11" xfId="10" applyFont="1" applyBorder="1" applyAlignment="1">
      <alignment horizontal="center" vertical="center"/>
    </xf>
    <xf numFmtId="0" fontId="5" fillId="19" borderId="12" xfId="10" applyFont="1" applyBorder="1" applyAlignment="1">
      <alignment horizontal="center" vertical="center" wrapText="1"/>
    </xf>
    <xf numFmtId="3" fontId="4" fillId="3" borderId="0" xfId="11" applyNumberFormat="1" applyFont="1" applyFill="1" applyAlignment="1">
      <alignment horizontal="center" vertical="center"/>
    </xf>
    <xf numFmtId="0" fontId="16" fillId="3" borderId="0" xfId="11" applyFont="1" applyFill="1" applyAlignment="1">
      <alignment horizontal="center"/>
    </xf>
    <xf numFmtId="0" fontId="2" fillId="20" borderId="13" xfId="12" applyFont="1" applyBorder="1" applyAlignment="1">
      <alignment horizontal="center" vertical="center"/>
    </xf>
    <xf numFmtId="0" fontId="4" fillId="3" borderId="0" xfId="11" applyFont="1" applyFill="1" applyAlignment="1">
      <alignment horizontal="center"/>
    </xf>
    <xf numFmtId="0" fontId="4" fillId="0" borderId="0" xfId="11" applyFont="1" applyAlignment="1">
      <alignment horizontal="left" vertical="center"/>
    </xf>
    <xf numFmtId="0" fontId="15" fillId="0" borderId="0" xfId="11"/>
    <xf numFmtId="4" fontId="5" fillId="4" borderId="43" xfId="11" applyNumberFormat="1" applyFont="1" applyFill="1" applyBorder="1" applyAlignment="1">
      <alignment horizontal="center" vertical="center"/>
    </xf>
    <xf numFmtId="4" fontId="5" fillId="3" borderId="0" xfId="11" applyNumberFormat="1" applyFont="1" applyFill="1" applyAlignment="1">
      <alignment vertical="center"/>
    </xf>
    <xf numFmtId="3" fontId="4" fillId="0" borderId="0" xfId="11" applyNumberFormat="1" applyFont="1" applyAlignment="1">
      <alignment horizontal="center" vertical="center"/>
    </xf>
    <xf numFmtId="0" fontId="5" fillId="0" borderId="0" xfId="11" applyFont="1" applyAlignment="1">
      <alignment horizontal="center" vertical="center"/>
    </xf>
    <xf numFmtId="3" fontId="5" fillId="4" borderId="28" xfId="11" applyNumberFormat="1" applyFont="1" applyFill="1" applyBorder="1" applyAlignment="1">
      <alignment horizontal="center" vertical="center"/>
    </xf>
    <xf numFmtId="0" fontId="4" fillId="0" borderId="2" xfId="11" applyFont="1" applyBorder="1" applyAlignment="1">
      <alignment horizontal="center" vertical="center"/>
    </xf>
    <xf numFmtId="0" fontId="5" fillId="0" borderId="2" xfId="11" applyFont="1" applyBorder="1" applyAlignment="1">
      <alignment horizontal="center" vertical="center"/>
    </xf>
    <xf numFmtId="4" fontId="4" fillId="0" borderId="2" xfId="11" applyNumberFormat="1" applyFont="1" applyBorder="1" applyAlignment="1">
      <alignment horizontal="center" vertical="center"/>
    </xf>
    <xf numFmtId="2" fontId="4" fillId="0" borderId="2" xfId="11" applyNumberFormat="1" applyFont="1" applyBorder="1" applyAlignment="1">
      <alignment horizontal="center" vertical="center"/>
    </xf>
    <xf numFmtId="2" fontId="4" fillId="0" borderId="39" xfId="11" applyNumberFormat="1" applyFont="1" applyBorder="1" applyAlignment="1">
      <alignment horizontal="center" vertical="center"/>
    </xf>
    <xf numFmtId="3" fontId="4" fillId="0" borderId="2" xfId="11" applyNumberFormat="1" applyFont="1" applyBorder="1" applyAlignment="1">
      <alignment horizontal="center" vertical="center"/>
    </xf>
    <xf numFmtId="0" fontId="17" fillId="0" borderId="0" xfId="11" applyFont="1"/>
    <xf numFmtId="0" fontId="4" fillId="0" borderId="2" xfId="11" applyFont="1" applyBorder="1" applyAlignment="1">
      <alignment horizontal="left" vertical="center"/>
    </xf>
    <xf numFmtId="3" fontId="5" fillId="0" borderId="2" xfId="11" applyNumberFormat="1" applyFont="1" applyBorder="1" applyAlignment="1">
      <alignment horizontal="center" vertical="center"/>
    </xf>
    <xf numFmtId="0" fontId="13" fillId="0" borderId="0" xfId="9" applyFont="1" applyAlignment="1">
      <alignment horizontal="center" vertical="center"/>
    </xf>
    <xf numFmtId="2" fontId="4" fillId="0" borderId="0" xfId="11" applyNumberFormat="1" applyFont="1" applyAlignment="1">
      <alignment horizontal="center" vertical="center"/>
    </xf>
    <xf numFmtId="4" fontId="5" fillId="4" borderId="28" xfId="11" applyNumberFormat="1" applyFont="1" applyFill="1" applyBorder="1" applyAlignment="1">
      <alignment horizontal="center" vertical="center"/>
    </xf>
    <xf numFmtId="0" fontId="2" fillId="2" borderId="2" xfId="13" applyFont="1" applyBorder="1" applyAlignment="1">
      <alignment horizontal="center" vertical="center"/>
    </xf>
    <xf numFmtId="0" fontId="2" fillId="2" borderId="2" xfId="13" applyFont="1" applyBorder="1" applyAlignment="1">
      <alignment horizontal="center" vertical="center" wrapText="1"/>
    </xf>
    <xf numFmtId="3" fontId="2" fillId="2" borderId="2" xfId="13" applyNumberFormat="1" applyFont="1" applyBorder="1" applyAlignment="1">
      <alignment horizontal="center" vertical="center" wrapText="1"/>
    </xf>
    <xf numFmtId="4" fontId="2" fillId="2" borderId="2" xfId="13" applyNumberFormat="1" applyFont="1" applyBorder="1" applyAlignment="1">
      <alignment horizontal="center" vertical="center" wrapText="1"/>
    </xf>
    <xf numFmtId="0" fontId="18" fillId="3" borderId="0" xfId="11" applyFont="1" applyFill="1" applyAlignment="1" applyProtection="1">
      <alignment horizontal="left" vertical="center"/>
      <protection locked="0"/>
    </xf>
    <xf numFmtId="3" fontId="19" fillId="3" borderId="0" xfId="11" applyNumberFormat="1" applyFont="1" applyFill="1" applyAlignment="1" applyProtection="1">
      <alignment horizontal="center" vertical="center"/>
      <protection locked="0"/>
    </xf>
    <xf numFmtId="165" fontId="19" fillId="3" borderId="0" xfId="11" applyNumberFormat="1" applyFont="1" applyFill="1" applyAlignment="1" applyProtection="1">
      <alignment vertical="center"/>
      <protection locked="0"/>
    </xf>
    <xf numFmtId="41" fontId="19" fillId="3" borderId="0" xfId="14" applyFont="1" applyFill="1" applyAlignment="1" applyProtection="1">
      <alignment vertical="center"/>
      <protection locked="0"/>
    </xf>
    <xf numFmtId="4" fontId="20" fillId="0" borderId="0" xfId="15" applyNumberFormat="1" applyFont="1" applyAlignment="1">
      <alignment vertical="center"/>
    </xf>
    <xf numFmtId="4" fontId="20" fillId="0" borderId="0" xfId="15" applyNumberFormat="1" applyFont="1" applyAlignment="1">
      <alignment horizontal="center" vertical="center"/>
    </xf>
    <xf numFmtId="0" fontId="20" fillId="3" borderId="0" xfId="15" applyFont="1" applyFill="1" applyAlignment="1">
      <alignment vertical="center"/>
    </xf>
    <xf numFmtId="0" fontId="20" fillId="0" borderId="0" xfId="15" applyFont="1" applyAlignment="1">
      <alignment vertical="center"/>
    </xf>
    <xf numFmtId="4" fontId="19" fillId="0" borderId="0" xfId="11" applyNumberFormat="1" applyFont="1" applyAlignment="1" applyProtection="1">
      <alignment horizontal="center" vertical="center"/>
      <protection locked="0"/>
    </xf>
    <xf numFmtId="166" fontId="19" fillId="0" borderId="0" xfId="16" applyNumberFormat="1" applyFont="1" applyAlignment="1">
      <alignment vertical="center"/>
    </xf>
    <xf numFmtId="0" fontId="19" fillId="3" borderId="22" xfId="11" applyFont="1" applyFill="1" applyBorder="1" applyAlignment="1" applyProtection="1">
      <alignment horizontal="left" vertical="center"/>
      <protection locked="0"/>
    </xf>
    <xf numFmtId="0" fontId="19" fillId="3" borderId="9" xfId="11" applyFont="1" applyFill="1" applyBorder="1" applyAlignment="1" applyProtection="1">
      <alignment horizontal="left" vertical="center"/>
      <protection locked="0"/>
    </xf>
    <xf numFmtId="3" fontId="19" fillId="3" borderId="9" xfId="11" applyNumberFormat="1" applyFont="1" applyFill="1" applyBorder="1" applyAlignment="1" applyProtection="1">
      <alignment horizontal="center" vertical="center"/>
      <protection locked="0"/>
    </xf>
    <xf numFmtId="165" fontId="19" fillId="3" borderId="9" xfId="11" applyNumberFormat="1" applyFont="1" applyFill="1" applyBorder="1" applyAlignment="1" applyProtection="1">
      <alignment vertical="center"/>
      <protection locked="0"/>
    </xf>
    <xf numFmtId="41" fontId="19" fillId="3" borderId="25" xfId="14" applyFont="1" applyFill="1" applyBorder="1" applyAlignment="1" applyProtection="1">
      <alignment vertical="center"/>
      <protection locked="0"/>
    </xf>
    <xf numFmtId="0" fontId="19" fillId="3" borderId="19" xfId="11" applyFont="1" applyFill="1" applyBorder="1" applyAlignment="1" applyProtection="1">
      <alignment horizontal="left" vertical="center"/>
      <protection locked="0"/>
    </xf>
    <xf numFmtId="0" fontId="19" fillId="3" borderId="0" xfId="11" applyFont="1" applyFill="1" applyAlignment="1" applyProtection="1">
      <alignment horizontal="left" vertical="center"/>
      <protection locked="0"/>
    </xf>
    <xf numFmtId="41" fontId="19" fillId="3" borderId="24" xfId="14" applyFont="1" applyFill="1" applyBorder="1" applyAlignment="1" applyProtection="1">
      <alignment vertical="center"/>
      <protection locked="0"/>
    </xf>
    <xf numFmtId="0" fontId="19" fillId="3" borderId="0" xfId="11" applyFont="1" applyFill="1" applyAlignment="1" applyProtection="1">
      <alignment vertical="center"/>
      <protection locked="0"/>
    </xf>
    <xf numFmtId="0" fontId="19" fillId="3" borderId="24" xfId="11" applyFont="1" applyFill="1" applyBorder="1" applyAlignment="1" applyProtection="1">
      <alignment vertical="center"/>
      <protection locked="0"/>
    </xf>
    <xf numFmtId="0" fontId="19" fillId="3" borderId="4" xfId="11" applyFont="1" applyFill="1" applyBorder="1" applyAlignment="1" applyProtection="1">
      <alignment horizontal="left" vertical="center"/>
      <protection locked="0"/>
    </xf>
    <xf numFmtId="0" fontId="19" fillId="3" borderId="1" xfId="11" applyFont="1" applyFill="1" applyBorder="1" applyAlignment="1" applyProtection="1">
      <alignment horizontal="left" vertical="center"/>
      <protection locked="0"/>
    </xf>
    <xf numFmtId="3" fontId="19" fillId="3" borderId="1" xfId="11" applyNumberFormat="1" applyFont="1" applyFill="1" applyBorder="1" applyAlignment="1" applyProtection="1">
      <alignment horizontal="center" vertical="center"/>
      <protection locked="0"/>
    </xf>
    <xf numFmtId="165" fontId="19" fillId="3" borderId="1" xfId="11" applyNumberFormat="1" applyFont="1" applyFill="1" applyBorder="1" applyAlignment="1" applyProtection="1">
      <alignment vertical="center"/>
      <protection locked="0"/>
    </xf>
    <xf numFmtId="41" fontId="19" fillId="3" borderId="5" xfId="14" applyFont="1" applyFill="1" applyBorder="1" applyAlignment="1" applyProtection="1">
      <alignment vertical="center"/>
      <protection locked="0"/>
    </xf>
    <xf numFmtId="10" fontId="19" fillId="3" borderId="0" xfId="11" applyNumberFormat="1" applyFont="1" applyFill="1" applyAlignment="1" applyProtection="1">
      <alignment horizontal="center" vertical="center"/>
      <protection locked="0"/>
    </xf>
    <xf numFmtId="0" fontId="19" fillId="0" borderId="0" xfId="15" applyFont="1" applyAlignment="1">
      <alignment vertical="center"/>
    </xf>
    <xf numFmtId="0" fontId="20" fillId="0" borderId="0" xfId="11" applyFont="1"/>
    <xf numFmtId="0" fontId="20" fillId="22" borderId="22" xfId="15" applyFont="1" applyFill="1" applyBorder="1" applyAlignment="1">
      <alignment vertical="center"/>
    </xf>
    <xf numFmtId="0" fontId="20" fillId="22" borderId="9" xfId="15" applyFont="1" applyFill="1" applyBorder="1" applyAlignment="1">
      <alignment vertical="center"/>
    </xf>
    <xf numFmtId="0" fontId="20" fillId="22" borderId="25" xfId="15" applyFont="1" applyFill="1" applyBorder="1" applyAlignment="1">
      <alignment vertical="center"/>
    </xf>
    <xf numFmtId="0" fontId="20" fillId="23" borderId="22" xfId="15" applyFont="1" applyFill="1" applyBorder="1" applyAlignment="1">
      <alignment vertical="center"/>
    </xf>
    <xf numFmtId="4" fontId="19" fillId="23" borderId="9" xfId="11" applyNumberFormat="1" applyFont="1" applyFill="1" applyBorder="1" applyAlignment="1" applyProtection="1">
      <alignment horizontal="center" vertical="center"/>
      <protection locked="0"/>
    </xf>
    <xf numFmtId="167" fontId="19" fillId="3" borderId="43" xfId="11" applyNumberFormat="1" applyFont="1" applyFill="1" applyBorder="1" applyAlignment="1">
      <alignment horizontal="center" vertical="center"/>
    </xf>
    <xf numFmtId="166" fontId="19" fillId="23" borderId="9" xfId="16" applyNumberFormat="1" applyFont="1" applyFill="1" applyBorder="1" applyAlignment="1">
      <alignment vertical="center"/>
    </xf>
    <xf numFmtId="10" fontId="19" fillId="23" borderId="9" xfId="11" applyNumberFormat="1" applyFont="1" applyFill="1" applyBorder="1" applyAlignment="1" applyProtection="1">
      <alignment horizontal="center" vertical="center"/>
      <protection locked="0"/>
    </xf>
    <xf numFmtId="0" fontId="20" fillId="23" borderId="25" xfId="15" applyFont="1" applyFill="1" applyBorder="1" applyAlignment="1">
      <alignment vertical="center"/>
    </xf>
    <xf numFmtId="0" fontId="20" fillId="22" borderId="19" xfId="15" applyFont="1" applyFill="1" applyBorder="1" applyAlignment="1">
      <alignment vertical="center"/>
    </xf>
    <xf numFmtId="168" fontId="20" fillId="3" borderId="43" xfId="15" applyNumberFormat="1" applyFont="1" applyFill="1" applyBorder="1" applyAlignment="1">
      <alignment vertical="center"/>
    </xf>
    <xf numFmtId="0" fontId="20" fillId="22" borderId="24" xfId="15" applyFont="1" applyFill="1" applyBorder="1" applyAlignment="1">
      <alignment vertical="center"/>
    </xf>
    <xf numFmtId="0" fontId="20" fillId="23" borderId="19" xfId="15" applyFont="1" applyFill="1" applyBorder="1" applyAlignment="1">
      <alignment vertical="center"/>
    </xf>
    <xf numFmtId="4" fontId="19" fillId="0" borderId="43" xfId="11" applyNumberFormat="1" applyFont="1" applyBorder="1" applyAlignment="1" applyProtection="1">
      <alignment horizontal="center" vertical="center"/>
      <protection locked="0"/>
    </xf>
    <xf numFmtId="4" fontId="19" fillId="23" borderId="0" xfId="11" applyNumberFormat="1" applyFont="1" applyFill="1" applyAlignment="1" applyProtection="1">
      <alignment horizontal="left" vertical="center"/>
      <protection locked="0"/>
    </xf>
    <xf numFmtId="4" fontId="19" fillId="3" borderId="30" xfId="11" applyNumberFormat="1" applyFont="1" applyFill="1" applyBorder="1" applyAlignment="1">
      <alignment horizontal="center" vertical="center"/>
    </xf>
    <xf numFmtId="166" fontId="19" fillId="23" borderId="0" xfId="16" applyNumberFormat="1" applyFont="1" applyFill="1" applyAlignment="1">
      <alignment vertical="center"/>
    </xf>
    <xf numFmtId="10" fontId="19" fillId="23" borderId="0" xfId="11" applyNumberFormat="1" applyFont="1" applyFill="1" applyAlignment="1" applyProtection="1">
      <alignment horizontal="center" vertical="center"/>
      <protection locked="0"/>
    </xf>
    <xf numFmtId="0" fontId="20" fillId="23" borderId="24" xfId="15" applyFont="1" applyFill="1" applyBorder="1" applyAlignment="1">
      <alignment vertical="center"/>
    </xf>
    <xf numFmtId="0" fontId="20" fillId="22" borderId="0" xfId="15" applyFont="1" applyFill="1" applyAlignment="1">
      <alignment vertical="center"/>
    </xf>
    <xf numFmtId="4" fontId="19" fillId="23" borderId="0" xfId="11" applyNumberFormat="1" applyFont="1" applyFill="1" applyAlignment="1" applyProtection="1">
      <alignment horizontal="center" vertical="center"/>
      <protection locked="0"/>
    </xf>
    <xf numFmtId="0" fontId="20" fillId="3" borderId="43" xfId="15" applyFont="1" applyFill="1" applyBorder="1" applyAlignment="1">
      <alignment vertical="center"/>
    </xf>
    <xf numFmtId="166" fontId="19" fillId="3" borderId="43" xfId="11" applyNumberFormat="1" applyFont="1" applyFill="1" applyBorder="1" applyAlignment="1" applyProtection="1">
      <alignment horizontal="center" vertical="center"/>
      <protection locked="0"/>
    </xf>
    <xf numFmtId="3" fontId="19" fillId="0" borderId="43" xfId="11" applyNumberFormat="1" applyFont="1" applyBorder="1" applyAlignment="1">
      <alignment horizontal="center" vertical="center"/>
    </xf>
    <xf numFmtId="4" fontId="19" fillId="23" borderId="0" xfId="11" applyNumberFormat="1" applyFont="1" applyFill="1" applyAlignment="1">
      <alignment horizontal="left" vertical="center"/>
    </xf>
    <xf numFmtId="4" fontId="19" fillId="0" borderId="43" xfId="11" applyNumberFormat="1" applyFont="1" applyBorder="1" applyAlignment="1">
      <alignment horizontal="center" vertical="center"/>
    </xf>
    <xf numFmtId="3" fontId="19" fillId="23" borderId="0" xfId="11" applyNumberFormat="1" applyFont="1" applyFill="1" applyAlignment="1">
      <alignment horizontal="center" vertical="center"/>
    </xf>
    <xf numFmtId="4" fontId="19" fillId="23" borderId="0" xfId="11" applyNumberFormat="1" applyFont="1" applyFill="1" applyAlignment="1">
      <alignment horizontal="center" vertical="center"/>
    </xf>
    <xf numFmtId="9" fontId="19" fillId="24" borderId="43" xfId="16" applyFont="1" applyFill="1" applyBorder="1" applyAlignment="1" applyProtection="1">
      <alignment horizontal="center" vertical="center"/>
    </xf>
    <xf numFmtId="166" fontId="19" fillId="24" borderId="43" xfId="16" applyNumberFormat="1" applyFont="1" applyFill="1" applyBorder="1" applyAlignment="1" applyProtection="1">
      <alignment horizontal="center" vertical="center"/>
    </xf>
    <xf numFmtId="166" fontId="19" fillId="23" borderId="0" xfId="16" applyNumberFormat="1" applyFont="1" applyFill="1" applyAlignment="1" applyProtection="1">
      <alignment horizontal="center" vertical="center"/>
    </xf>
    <xf numFmtId="0" fontId="21" fillId="0" borderId="43" xfId="15" applyFont="1" applyBorder="1" applyAlignment="1">
      <alignment vertical="center"/>
    </xf>
    <xf numFmtId="0" fontId="20" fillId="22" borderId="4" xfId="15" applyFont="1" applyFill="1" applyBorder="1" applyAlignment="1">
      <alignment vertical="center"/>
    </xf>
    <xf numFmtId="0" fontId="20" fillId="22" borderId="1" xfId="15" applyFont="1" applyFill="1" applyBorder="1" applyAlignment="1">
      <alignment vertical="center"/>
    </xf>
    <xf numFmtId="0" fontId="20" fillId="22" borderId="5" xfId="15" applyFont="1" applyFill="1" applyBorder="1" applyAlignment="1">
      <alignment vertical="center"/>
    </xf>
    <xf numFmtId="0" fontId="20" fillId="23" borderId="4" xfId="15" applyFont="1" applyFill="1" applyBorder="1" applyAlignment="1">
      <alignment vertical="center"/>
    </xf>
    <xf numFmtId="3" fontId="19" fillId="23" borderId="1" xfId="11" applyNumberFormat="1" applyFont="1" applyFill="1" applyBorder="1" applyAlignment="1" applyProtection="1">
      <alignment horizontal="center" vertical="center"/>
      <protection locked="0"/>
    </xf>
    <xf numFmtId="4" fontId="19" fillId="23" borderId="1" xfId="11" applyNumberFormat="1" applyFont="1" applyFill="1" applyBorder="1" applyAlignment="1" applyProtection="1">
      <alignment horizontal="left" vertical="center"/>
      <protection locked="0"/>
    </xf>
    <xf numFmtId="4" fontId="19" fillId="23" borderId="1" xfId="11" applyNumberFormat="1" applyFont="1" applyFill="1" applyBorder="1" applyAlignment="1" applyProtection="1">
      <alignment horizontal="center" vertical="center"/>
      <protection locked="0"/>
    </xf>
    <xf numFmtId="166" fontId="19" fillId="23" borderId="1" xfId="16" applyNumberFormat="1" applyFont="1" applyFill="1" applyBorder="1" applyAlignment="1">
      <alignment vertical="center"/>
    </xf>
    <xf numFmtId="10" fontId="19" fillId="23" borderId="1" xfId="11" applyNumberFormat="1" applyFont="1" applyFill="1" applyBorder="1" applyAlignment="1" applyProtection="1">
      <alignment horizontal="center" vertical="center"/>
      <protection locked="0"/>
    </xf>
    <xf numFmtId="0" fontId="20" fillId="23" borderId="5" xfId="15" applyFont="1" applyFill="1" applyBorder="1" applyAlignment="1">
      <alignment vertical="center"/>
    </xf>
    <xf numFmtId="0" fontId="19" fillId="25" borderId="63" xfId="11" applyFont="1" applyFill="1" applyBorder="1" applyAlignment="1" applyProtection="1">
      <alignment horizontal="center" vertical="center"/>
      <protection locked="0"/>
    </xf>
    <xf numFmtId="0" fontId="19" fillId="25" borderId="64" xfId="11" applyFont="1" applyFill="1" applyBorder="1" applyAlignment="1" applyProtection="1">
      <alignment horizontal="center" vertical="center"/>
      <protection locked="0"/>
    </xf>
    <xf numFmtId="2" fontId="19" fillId="25" borderId="64" xfId="14" applyNumberFormat="1" applyFont="1" applyFill="1" applyBorder="1" applyAlignment="1" applyProtection="1">
      <alignment horizontal="center" vertical="center"/>
      <protection locked="0"/>
    </xf>
    <xf numFmtId="2" fontId="19" fillId="25" borderId="64" xfId="11" applyNumberFormat="1" applyFont="1" applyFill="1" applyBorder="1" applyAlignment="1" applyProtection="1">
      <alignment horizontal="center" vertical="center"/>
      <protection locked="0"/>
    </xf>
    <xf numFmtId="2" fontId="19" fillId="25" borderId="64" xfId="11" applyNumberFormat="1" applyFont="1" applyFill="1" applyBorder="1" applyAlignment="1" applyProtection="1">
      <alignment horizontal="center" vertical="center" wrapText="1"/>
      <protection locked="0"/>
    </xf>
    <xf numFmtId="10" fontId="19" fillId="25" borderId="64" xfId="11" applyNumberFormat="1" applyFont="1" applyFill="1" applyBorder="1" applyAlignment="1" applyProtection="1">
      <alignment horizontal="center" vertical="center" wrapText="1"/>
      <protection locked="0"/>
    </xf>
    <xf numFmtId="10" fontId="19" fillId="25" borderId="16" xfId="11" applyNumberFormat="1" applyFont="1" applyFill="1" applyBorder="1" applyAlignment="1" applyProtection="1">
      <alignment horizontal="center" vertical="center" wrapText="1"/>
      <protection locked="0"/>
    </xf>
    <xf numFmtId="0" fontId="19" fillId="0" borderId="65" xfId="11" applyFont="1" applyBorder="1" applyAlignment="1" applyProtection="1">
      <alignment vertical="center"/>
      <protection locked="0"/>
    </xf>
    <xf numFmtId="0" fontId="18" fillId="0" borderId="66" xfId="11" applyFont="1" applyBorder="1" applyAlignment="1" applyProtection="1">
      <alignment vertical="center"/>
      <protection locked="0"/>
    </xf>
    <xf numFmtId="0" fontId="20" fillId="0" borderId="66" xfId="11" applyFont="1" applyBorder="1" applyAlignment="1" applyProtection="1">
      <alignment vertical="center"/>
      <protection locked="0"/>
    </xf>
    <xf numFmtId="3" fontId="20" fillId="0" borderId="66" xfId="14" applyNumberFormat="1" applyFont="1" applyBorder="1" applyAlignment="1" applyProtection="1">
      <alignment vertical="center"/>
      <protection locked="0"/>
    </xf>
    <xf numFmtId="3" fontId="20" fillId="0" borderId="66" xfId="11" applyNumberFormat="1" applyFont="1" applyBorder="1" applyAlignment="1" applyProtection="1">
      <alignment vertical="center"/>
      <protection locked="0"/>
    </xf>
    <xf numFmtId="4" fontId="20" fillId="0" borderId="66" xfId="11" applyNumberFormat="1" applyFont="1" applyBorder="1" applyAlignment="1" applyProtection="1">
      <alignment vertical="center"/>
      <protection locked="0"/>
    </xf>
    <xf numFmtId="4" fontId="20" fillId="0" borderId="66" xfId="11" applyNumberFormat="1" applyFont="1" applyBorder="1" applyAlignment="1" applyProtection="1">
      <alignment horizontal="center" vertical="center"/>
      <protection locked="0"/>
    </xf>
    <xf numFmtId="10" fontId="22" fillId="0" borderId="66" xfId="11" applyNumberFormat="1" applyFont="1" applyBorder="1" applyAlignment="1" applyProtection="1">
      <alignment horizontal="center" vertical="center"/>
      <protection locked="0"/>
    </xf>
    <xf numFmtId="10" fontId="22" fillId="3" borderId="66" xfId="11" applyNumberFormat="1" applyFont="1" applyFill="1" applyBorder="1" applyAlignment="1" applyProtection="1">
      <alignment horizontal="center" vertical="center"/>
      <protection locked="0"/>
    </xf>
    <xf numFmtId="10" fontId="22" fillId="0" borderId="67" xfId="11" applyNumberFormat="1" applyFont="1" applyBorder="1" applyAlignment="1" applyProtection="1">
      <alignment horizontal="center" vertical="center"/>
      <protection locked="0"/>
    </xf>
    <xf numFmtId="0" fontId="19" fillId="25" borderId="10" xfId="11" applyFont="1" applyFill="1" applyBorder="1" applyAlignment="1" applyProtection="1">
      <alignment horizontal="center" vertical="center"/>
      <protection locked="0"/>
    </xf>
    <xf numFmtId="0" fontId="19" fillId="25" borderId="68" xfId="11" applyFont="1" applyFill="1" applyBorder="1" applyAlignment="1" applyProtection="1">
      <alignment horizontal="center" vertical="center"/>
      <protection locked="0"/>
    </xf>
    <xf numFmtId="0" fontId="19" fillId="25" borderId="69" xfId="11" applyFont="1" applyFill="1" applyBorder="1" applyAlignment="1" applyProtection="1">
      <alignment horizontal="center" vertical="center"/>
      <protection locked="0"/>
    </xf>
    <xf numFmtId="4" fontId="19" fillId="4" borderId="43" xfId="15" applyNumberFormat="1" applyFont="1" applyFill="1" applyBorder="1" applyAlignment="1">
      <alignment horizontal="center" vertical="center"/>
    </xf>
    <xf numFmtId="0" fontId="19" fillId="16" borderId="38" xfId="11" applyFont="1" applyFill="1" applyBorder="1" applyAlignment="1" applyProtection="1">
      <alignment horizontal="left" vertical="center"/>
      <protection locked="0"/>
    </xf>
    <xf numFmtId="0" fontId="19" fillId="16" borderId="2" xfId="11" applyFont="1" applyFill="1" applyBorder="1" applyAlignment="1" applyProtection="1">
      <alignment vertical="center"/>
      <protection locked="0"/>
    </xf>
    <xf numFmtId="10" fontId="23" fillId="16" borderId="2" xfId="11" applyNumberFormat="1" applyFont="1" applyFill="1" applyBorder="1" applyAlignment="1">
      <alignment horizontal="center" vertical="center"/>
    </xf>
    <xf numFmtId="3" fontId="20" fillId="0" borderId="44" xfId="14" applyNumberFormat="1" applyFont="1" applyBorder="1" applyAlignment="1" applyProtection="1">
      <alignment vertical="center"/>
      <protection locked="0"/>
    </xf>
    <xf numFmtId="3" fontId="20" fillId="0" borderId="14" xfId="11" applyNumberFormat="1" applyFont="1" applyBorder="1" applyAlignment="1" applyProtection="1">
      <alignment vertical="center"/>
      <protection locked="0"/>
    </xf>
    <xf numFmtId="4" fontId="20" fillId="0" borderId="14" xfId="11" applyNumberFormat="1" applyFont="1" applyBorder="1" applyAlignment="1" applyProtection="1">
      <alignment vertical="center"/>
      <protection locked="0"/>
    </xf>
    <xf numFmtId="4" fontId="20" fillId="0" borderId="14" xfId="11" applyNumberFormat="1" applyFont="1" applyBorder="1" applyAlignment="1" applyProtection="1">
      <alignment horizontal="center" vertical="center"/>
      <protection locked="0"/>
    </xf>
    <xf numFmtId="10" fontId="22" fillId="0" borderId="14" xfId="11" applyNumberFormat="1" applyFont="1" applyBorder="1" applyAlignment="1" applyProtection="1">
      <alignment horizontal="center" vertical="center"/>
      <protection locked="0"/>
    </xf>
    <xf numFmtId="10" fontId="22" fillId="3" borderId="14" xfId="11" applyNumberFormat="1" applyFont="1" applyFill="1" applyBorder="1" applyAlignment="1" applyProtection="1">
      <alignment horizontal="center" vertical="center"/>
      <protection locked="0"/>
    </xf>
    <xf numFmtId="10" fontId="22" fillId="0" borderId="15" xfId="11" applyNumberFormat="1" applyFont="1" applyBorder="1" applyAlignment="1" applyProtection="1">
      <alignment horizontal="center" vertical="center"/>
      <protection locked="0"/>
    </xf>
    <xf numFmtId="0" fontId="19" fillId="25" borderId="6" xfId="11" applyFont="1" applyFill="1" applyBorder="1" applyAlignment="1" applyProtection="1">
      <alignment horizontal="left" vertical="center" wrapText="1"/>
      <protection locked="0"/>
    </xf>
    <xf numFmtId="168" fontId="20" fillId="25" borderId="3" xfId="11" applyNumberFormat="1" applyFont="1" applyFill="1" applyBorder="1" applyAlignment="1">
      <alignment horizontal="center" vertical="center"/>
    </xf>
    <xf numFmtId="2" fontId="20" fillId="25" borderId="3" xfId="11" applyNumberFormat="1" applyFont="1" applyFill="1" applyBorder="1" applyAlignment="1">
      <alignment horizontal="center" vertical="center"/>
    </xf>
    <xf numFmtId="2" fontId="20" fillId="25" borderId="48" xfId="14" applyNumberFormat="1" applyFont="1" applyFill="1" applyBorder="1" applyAlignment="1" applyProtection="1">
      <alignment horizontal="center" vertical="center"/>
    </xf>
    <xf numFmtId="4" fontId="19" fillId="4" borderId="29" xfId="15" applyNumberFormat="1" applyFont="1" applyFill="1" applyBorder="1" applyAlignment="1">
      <alignment horizontal="center" vertical="center"/>
    </xf>
    <xf numFmtId="0" fontId="20" fillId="0" borderId="46" xfId="11" applyFont="1" applyBorder="1" applyAlignment="1" applyProtection="1">
      <alignment horizontal="left" vertical="center"/>
      <protection locked="0"/>
    </xf>
    <xf numFmtId="0" fontId="20" fillId="0" borderId="3" xfId="11" applyFont="1" applyBorder="1" applyAlignment="1" applyProtection="1">
      <alignment vertical="center"/>
      <protection locked="0"/>
    </xf>
    <xf numFmtId="0" fontId="20" fillId="0" borderId="3" xfId="11" applyFont="1" applyBorder="1" applyAlignment="1" applyProtection="1">
      <alignment horizontal="center" vertical="center"/>
      <protection locked="0"/>
    </xf>
    <xf numFmtId="3" fontId="20" fillId="0" borderId="3" xfId="14" applyNumberFormat="1" applyFont="1" applyBorder="1" applyAlignment="1" applyProtection="1">
      <alignment horizontal="center" vertical="center"/>
    </xf>
    <xf numFmtId="42" fontId="20" fillId="0" borderId="3" xfId="17" applyFont="1" applyBorder="1" applyAlignment="1" applyProtection="1">
      <alignment horizontal="left" vertical="center"/>
    </xf>
    <xf numFmtId="10" fontId="24" fillId="3" borderId="3" xfId="11" applyNumberFormat="1" applyFont="1" applyFill="1" applyBorder="1" applyAlignment="1">
      <alignment horizontal="center" vertical="center"/>
    </xf>
    <xf numFmtId="166" fontId="20" fillId="3" borderId="3" xfId="11" applyNumberFormat="1" applyFont="1" applyFill="1" applyBorder="1" applyAlignment="1">
      <alignment horizontal="center" vertical="center"/>
    </xf>
    <xf numFmtId="42" fontId="20" fillId="0" borderId="48" xfId="17" applyFont="1" applyBorder="1" applyAlignment="1" applyProtection="1">
      <alignment horizontal="left" vertical="center"/>
    </xf>
    <xf numFmtId="0" fontId="19" fillId="3" borderId="0" xfId="15" applyFont="1" applyFill="1" applyAlignment="1">
      <alignment horizontal="center" vertical="center"/>
    </xf>
    <xf numFmtId="0" fontId="19" fillId="26" borderId="17" xfId="11" applyFont="1" applyFill="1" applyBorder="1" applyAlignment="1" applyProtection="1">
      <alignment horizontal="left" vertical="center"/>
      <protection locked="0"/>
    </xf>
    <xf numFmtId="168" fontId="20" fillId="26" borderId="2" xfId="11" applyNumberFormat="1" applyFont="1" applyFill="1" applyBorder="1" applyAlignment="1">
      <alignment horizontal="center" vertical="center"/>
    </xf>
    <xf numFmtId="2" fontId="20" fillId="26" borderId="2" xfId="11" applyNumberFormat="1" applyFont="1" applyFill="1" applyBorder="1" applyAlignment="1">
      <alignment horizontal="center" vertical="center"/>
    </xf>
    <xf numFmtId="2" fontId="20" fillId="26" borderId="39" xfId="14" applyNumberFormat="1" applyFont="1" applyFill="1" applyBorder="1" applyAlignment="1" applyProtection="1">
      <alignment horizontal="center" vertical="center"/>
    </xf>
    <xf numFmtId="0" fontId="20" fillId="3" borderId="2" xfId="11" applyFont="1" applyFill="1" applyBorder="1" applyAlignment="1" applyProtection="1">
      <alignment vertical="center"/>
      <protection locked="0"/>
    </xf>
    <xf numFmtId="0" fontId="20" fillId="3" borderId="2" xfId="11" applyFont="1" applyFill="1" applyBorder="1" applyAlignment="1" applyProtection="1">
      <alignment horizontal="center" vertical="center"/>
      <protection locked="0"/>
    </xf>
    <xf numFmtId="3" fontId="20" fillId="3" borderId="2" xfId="14" applyNumberFormat="1" applyFont="1" applyFill="1" applyBorder="1" applyAlignment="1" applyProtection="1">
      <alignment horizontal="center" vertical="center"/>
    </xf>
    <xf numFmtId="42" fontId="20" fillId="3" borderId="2" xfId="17" applyFont="1" applyFill="1" applyBorder="1" applyAlignment="1" applyProtection="1">
      <alignment horizontal="left" vertical="center"/>
    </xf>
    <xf numFmtId="10" fontId="20" fillId="3" borderId="2" xfId="11" applyNumberFormat="1" applyFont="1" applyFill="1" applyBorder="1" applyAlignment="1">
      <alignment vertical="center"/>
    </xf>
    <xf numFmtId="10" fontId="24" fillId="3" borderId="2" xfId="11" applyNumberFormat="1" applyFont="1" applyFill="1" applyBorder="1" applyAlignment="1">
      <alignment horizontal="center" vertical="center"/>
    </xf>
    <xf numFmtId="42" fontId="20" fillId="3" borderId="39" xfId="17" applyFont="1" applyFill="1" applyBorder="1" applyAlignment="1" applyProtection="1">
      <alignment horizontal="left" vertical="center"/>
    </xf>
    <xf numFmtId="0" fontId="19" fillId="25" borderId="70" xfId="11" applyFont="1" applyFill="1" applyBorder="1" applyAlignment="1" applyProtection="1">
      <alignment horizontal="left" vertical="center" wrapText="1"/>
      <protection locked="0"/>
    </xf>
    <xf numFmtId="168" fontId="20" fillId="25" borderId="26" xfId="11" applyNumberFormat="1" applyFont="1" applyFill="1" applyBorder="1" applyAlignment="1">
      <alignment horizontal="center" vertical="center"/>
    </xf>
    <xf numFmtId="2" fontId="20" fillId="25" borderId="26" xfId="11" applyNumberFormat="1" applyFont="1" applyFill="1" applyBorder="1" applyAlignment="1">
      <alignment horizontal="center" vertical="center"/>
    </xf>
    <xf numFmtId="2" fontId="20" fillId="25" borderId="71" xfId="14" applyNumberFormat="1" applyFont="1" applyFill="1" applyBorder="1" applyAlignment="1" applyProtection="1">
      <alignment horizontal="center" vertical="center"/>
    </xf>
    <xf numFmtId="4" fontId="19" fillId="4" borderId="30" xfId="15" applyNumberFormat="1" applyFont="1" applyFill="1" applyBorder="1" applyAlignment="1">
      <alignment horizontal="center" vertical="center"/>
    </xf>
    <xf numFmtId="0" fontId="20" fillId="3" borderId="36" xfId="11" applyFont="1" applyFill="1" applyBorder="1" applyAlignment="1" applyProtection="1">
      <alignment vertical="center"/>
      <protection locked="0"/>
    </xf>
    <xf numFmtId="3" fontId="20" fillId="3" borderId="36" xfId="14" applyNumberFormat="1" applyFont="1" applyFill="1" applyBorder="1" applyAlignment="1" applyProtection="1">
      <alignment horizontal="center" vertical="center"/>
    </xf>
    <xf numFmtId="42" fontId="20" fillId="3" borderId="36" xfId="17" applyFont="1" applyFill="1" applyBorder="1" applyAlignment="1" applyProtection="1">
      <alignment horizontal="left" vertical="center"/>
    </xf>
    <xf numFmtId="0" fontId="19" fillId="26" borderId="72" xfId="11" applyFont="1" applyFill="1" applyBorder="1" applyAlignment="1" applyProtection="1">
      <alignment horizontal="left" vertical="center"/>
      <protection locked="0"/>
    </xf>
    <xf numFmtId="168" fontId="19" fillId="26" borderId="54" xfId="11" applyNumberFormat="1" applyFont="1" applyFill="1" applyBorder="1" applyAlignment="1">
      <alignment horizontal="center" vertical="center"/>
    </xf>
    <xf numFmtId="2" fontId="19" fillId="26" borderId="54" xfId="11" applyNumberFormat="1" applyFont="1" applyFill="1" applyBorder="1" applyAlignment="1">
      <alignment horizontal="center" vertical="center"/>
    </xf>
    <xf numFmtId="2" fontId="19" fillId="26" borderId="21" xfId="14" applyNumberFormat="1" applyFont="1" applyFill="1" applyBorder="1" applyAlignment="1" applyProtection="1">
      <alignment horizontal="center" vertical="center"/>
    </xf>
    <xf numFmtId="4" fontId="20" fillId="3" borderId="0" xfId="15" applyNumberFormat="1" applyFont="1" applyFill="1" applyAlignment="1">
      <alignment vertical="center"/>
    </xf>
    <xf numFmtId="0" fontId="20" fillId="3" borderId="0" xfId="15" applyFont="1" applyFill="1" applyAlignment="1">
      <alignment horizontal="left" vertical="center"/>
    </xf>
    <xf numFmtId="0" fontId="19" fillId="0" borderId="65" xfId="11" applyFont="1" applyBorder="1" applyAlignment="1" applyProtection="1">
      <alignment horizontal="left" vertical="center"/>
      <protection locked="0"/>
    </xf>
    <xf numFmtId="42" fontId="20" fillId="0" borderId="66" xfId="11" applyNumberFormat="1" applyFont="1" applyBorder="1" applyAlignment="1" applyProtection="1">
      <alignment horizontal="center" vertical="center"/>
      <protection locked="0"/>
    </xf>
    <xf numFmtId="4" fontId="20" fillId="0" borderId="66" xfId="14" applyNumberFormat="1" applyFont="1" applyBorder="1" applyAlignment="1" applyProtection="1">
      <alignment horizontal="center" vertical="center"/>
    </xf>
    <xf numFmtId="3" fontId="20" fillId="0" borderId="66" xfId="11" applyNumberFormat="1" applyFont="1" applyBorder="1" applyAlignment="1">
      <alignment vertical="center"/>
    </xf>
    <xf numFmtId="4" fontId="20" fillId="0" borderId="66" xfId="11" applyNumberFormat="1" applyFont="1" applyBorder="1" applyAlignment="1">
      <alignment vertical="center"/>
    </xf>
    <xf numFmtId="9" fontId="20" fillId="0" borderId="66" xfId="16" applyFont="1" applyBorder="1" applyAlignment="1" applyProtection="1">
      <alignment horizontal="center" vertical="center"/>
    </xf>
    <xf numFmtId="4" fontId="20" fillId="0" borderId="66" xfId="11" applyNumberFormat="1" applyFont="1" applyBorder="1" applyAlignment="1">
      <alignment horizontal="center" vertical="center"/>
    </xf>
    <xf numFmtId="10" fontId="24" fillId="3" borderId="66" xfId="11" applyNumberFormat="1" applyFont="1" applyFill="1" applyBorder="1" applyAlignment="1">
      <alignment horizontal="center" vertical="center"/>
    </xf>
    <xf numFmtId="10" fontId="22" fillId="3" borderId="66" xfId="11" applyNumberFormat="1" applyFont="1" applyFill="1" applyBorder="1" applyAlignment="1">
      <alignment horizontal="center" vertical="center"/>
    </xf>
    <xf numFmtId="169" fontId="20" fillId="0" borderId="67" xfId="16" applyNumberFormat="1" applyFont="1" applyBorder="1" applyAlignment="1" applyProtection="1">
      <alignment horizontal="center" vertical="center"/>
    </xf>
    <xf numFmtId="10" fontId="23" fillId="16" borderId="2" xfId="16" applyNumberFormat="1" applyFont="1" applyFill="1" applyBorder="1" applyAlignment="1" applyProtection="1">
      <alignment horizontal="center" vertical="center"/>
    </xf>
    <xf numFmtId="3" fontId="20" fillId="3" borderId="14" xfId="14" applyNumberFormat="1" applyFont="1" applyFill="1" applyBorder="1" applyAlignment="1" applyProtection="1">
      <alignment horizontal="center" vertical="center"/>
      <protection locked="0"/>
    </xf>
    <xf numFmtId="4" fontId="19" fillId="3" borderId="14" xfId="11" applyNumberFormat="1" applyFont="1" applyFill="1" applyBorder="1" applyAlignment="1" applyProtection="1">
      <alignment horizontal="center" vertical="center"/>
      <protection locked="0"/>
    </xf>
    <xf numFmtId="9" fontId="20" fillId="0" borderId="14" xfId="16" applyFont="1" applyBorder="1" applyAlignment="1" applyProtection="1">
      <alignment horizontal="center" vertical="center"/>
      <protection locked="0"/>
    </xf>
    <xf numFmtId="10" fontId="24" fillId="3" borderId="14" xfId="11" applyNumberFormat="1" applyFont="1" applyFill="1" applyBorder="1" applyAlignment="1" applyProtection="1">
      <alignment horizontal="center" vertical="center"/>
      <protection locked="0"/>
    </xf>
    <xf numFmtId="10" fontId="19" fillId="3" borderId="14" xfId="11" applyNumberFormat="1" applyFont="1" applyFill="1" applyBorder="1" applyAlignment="1" applyProtection="1">
      <alignment horizontal="center" vertical="center"/>
      <protection locked="0"/>
    </xf>
    <xf numFmtId="169" fontId="20" fillId="0" borderId="15" xfId="16" applyNumberFormat="1" applyFont="1" applyBorder="1" applyAlignment="1" applyProtection="1">
      <alignment horizontal="center" vertical="center"/>
      <protection locked="0"/>
    </xf>
    <xf numFmtId="0" fontId="20" fillId="0" borderId="38" xfId="11" applyFont="1" applyBorder="1" applyAlignment="1" applyProtection="1">
      <alignment horizontal="left" vertical="center"/>
      <protection locked="0"/>
    </xf>
    <xf numFmtId="0" fontId="20" fillId="0" borderId="2" xfId="11" applyFont="1" applyBorder="1" applyAlignment="1" applyProtection="1">
      <alignment horizontal="center" vertical="center"/>
      <protection locked="0"/>
    </xf>
    <xf numFmtId="3" fontId="20" fillId="3" borderId="3" xfId="14" applyNumberFormat="1" applyFont="1" applyFill="1" applyBorder="1" applyAlignment="1" applyProtection="1">
      <alignment horizontal="center" vertical="center"/>
      <protection locked="0"/>
    </xf>
    <xf numFmtId="3" fontId="20" fillId="3" borderId="3" xfId="11" applyNumberFormat="1" applyFont="1" applyFill="1" applyBorder="1" applyAlignment="1" applyProtection="1">
      <alignment vertical="center"/>
      <protection locked="0"/>
    </xf>
    <xf numFmtId="4" fontId="20" fillId="3" borderId="3" xfId="11" applyNumberFormat="1" applyFont="1" applyFill="1" applyBorder="1" applyAlignment="1" applyProtection="1">
      <alignment vertical="center"/>
      <protection locked="0"/>
    </xf>
    <xf numFmtId="9" fontId="20" fillId="0" borderId="3" xfId="16" applyFont="1" applyBorder="1" applyAlignment="1" applyProtection="1">
      <alignment horizontal="center" vertical="center"/>
      <protection locked="0"/>
    </xf>
    <xf numFmtId="169" fontId="20" fillId="3" borderId="0" xfId="15" applyNumberFormat="1" applyFont="1" applyFill="1" applyAlignment="1">
      <alignment vertical="center"/>
    </xf>
    <xf numFmtId="3" fontId="20" fillId="3" borderId="2" xfId="14" applyNumberFormat="1" applyFont="1" applyFill="1" applyBorder="1" applyAlignment="1" applyProtection="1">
      <alignment horizontal="center" vertical="center"/>
      <protection locked="0"/>
    </xf>
    <xf numFmtId="3" fontId="20" fillId="3" borderId="2" xfId="11" applyNumberFormat="1" applyFont="1" applyFill="1" applyBorder="1" applyAlignment="1" applyProtection="1">
      <alignment vertical="center"/>
      <protection locked="0"/>
    </xf>
    <xf numFmtId="4" fontId="20" fillId="3" borderId="2" xfId="11" applyNumberFormat="1" applyFont="1" applyFill="1" applyBorder="1" applyAlignment="1" applyProtection="1">
      <alignment vertical="center"/>
      <protection locked="0"/>
    </xf>
    <xf numFmtId="9" fontId="20" fillId="0" borderId="2" xfId="16" applyFont="1" applyBorder="1" applyAlignment="1" applyProtection="1">
      <alignment horizontal="center" vertical="center"/>
      <protection locked="0"/>
    </xf>
    <xf numFmtId="42" fontId="20" fillId="0" borderId="2" xfId="17" applyFont="1" applyBorder="1" applyAlignment="1" applyProtection="1">
      <alignment horizontal="left" vertical="center"/>
    </xf>
    <xf numFmtId="166" fontId="20" fillId="3" borderId="2" xfId="11" applyNumberFormat="1" applyFont="1" applyFill="1" applyBorder="1" applyAlignment="1">
      <alignment horizontal="center" vertical="center"/>
    </xf>
    <xf numFmtId="42" fontId="20" fillId="0" borderId="39" xfId="17" applyFont="1" applyBorder="1" applyAlignment="1" applyProtection="1">
      <alignment horizontal="left" vertical="center"/>
    </xf>
    <xf numFmtId="42" fontId="20" fillId="0" borderId="2" xfId="17" applyFont="1" applyFill="1" applyBorder="1" applyAlignment="1" applyProtection="1">
      <alignment horizontal="left" vertical="center"/>
    </xf>
    <xf numFmtId="9" fontId="20" fillId="0" borderId="2" xfId="16" applyFont="1" applyBorder="1" applyAlignment="1" applyProtection="1">
      <alignment horizontal="center" vertical="center"/>
    </xf>
    <xf numFmtId="0" fontId="20" fillId="0" borderId="56" xfId="11" applyFont="1" applyBorder="1" applyAlignment="1" applyProtection="1">
      <alignment horizontal="left" vertical="center"/>
      <protection locked="0"/>
    </xf>
    <xf numFmtId="0" fontId="20" fillId="0" borderId="36" xfId="11" applyFont="1" applyBorder="1" applyAlignment="1" applyProtection="1">
      <alignment horizontal="center" vertical="center"/>
      <protection locked="0"/>
    </xf>
    <xf numFmtId="42" fontId="20" fillId="0" borderId="36" xfId="17" applyFont="1" applyBorder="1" applyAlignment="1" applyProtection="1">
      <alignment horizontal="left" vertical="center"/>
    </xf>
    <xf numFmtId="9" fontId="20" fillId="0" borderId="36" xfId="16" applyFont="1" applyBorder="1" applyAlignment="1" applyProtection="1">
      <alignment horizontal="center" vertical="center"/>
    </xf>
    <xf numFmtId="10" fontId="24" fillId="3" borderId="36" xfId="11" applyNumberFormat="1" applyFont="1" applyFill="1" applyBorder="1" applyAlignment="1">
      <alignment horizontal="center" vertical="center"/>
    </xf>
    <xf numFmtId="166" fontId="20" fillId="3" borderId="36" xfId="11" applyNumberFormat="1" applyFont="1" applyFill="1" applyBorder="1" applyAlignment="1">
      <alignment horizontal="center" vertical="center"/>
    </xf>
    <xf numFmtId="42" fontId="20" fillId="0" borderId="57" xfId="17" applyFont="1" applyBorder="1" applyAlignment="1" applyProtection="1">
      <alignment horizontal="left" vertical="center"/>
    </xf>
    <xf numFmtId="0" fontId="20" fillId="0" borderId="65" xfId="11" applyFont="1" applyBorder="1" applyAlignment="1" applyProtection="1">
      <alignment horizontal="left" vertical="center"/>
      <protection locked="0"/>
    </xf>
    <xf numFmtId="0" fontId="19" fillId="0" borderId="66" xfId="11" applyFont="1" applyBorder="1" applyAlignment="1" applyProtection="1">
      <alignment vertical="center"/>
      <protection locked="0"/>
    </xf>
    <xf numFmtId="0" fontId="20" fillId="0" borderId="66" xfId="11" applyFont="1" applyBorder="1" applyAlignment="1" applyProtection="1">
      <alignment horizontal="center" vertical="center"/>
      <protection locked="0"/>
    </xf>
    <xf numFmtId="3" fontId="20" fillId="3" borderId="66" xfId="14" applyNumberFormat="1" applyFont="1" applyFill="1" applyBorder="1" applyAlignment="1" applyProtection="1">
      <alignment horizontal="center" vertical="center"/>
    </xf>
    <xf numFmtId="3" fontId="20" fillId="3" borderId="66" xfId="11" applyNumberFormat="1" applyFont="1" applyFill="1" applyBorder="1" applyAlignment="1">
      <alignment vertical="center"/>
    </xf>
    <xf numFmtId="3" fontId="20" fillId="3" borderId="66" xfId="11" applyNumberFormat="1" applyFont="1" applyFill="1" applyBorder="1" applyAlignment="1">
      <alignment horizontal="center" vertical="center"/>
    </xf>
    <xf numFmtId="41" fontId="20" fillId="0" borderId="66" xfId="14" applyFont="1" applyBorder="1" applyAlignment="1" applyProtection="1">
      <alignment horizontal="center" vertical="center"/>
    </xf>
    <xf numFmtId="166" fontId="20" fillId="3" borderId="66" xfId="11" applyNumberFormat="1" applyFont="1" applyFill="1" applyBorder="1" applyAlignment="1">
      <alignment horizontal="center" vertical="center"/>
    </xf>
    <xf numFmtId="0" fontId="20" fillId="0" borderId="19" xfId="11" applyFont="1" applyBorder="1" applyAlignment="1" applyProtection="1">
      <alignment horizontal="left" vertical="center"/>
      <protection locked="0"/>
    </xf>
    <xf numFmtId="0" fontId="19" fillId="4" borderId="10" xfId="11" applyFont="1" applyFill="1" applyBorder="1" applyAlignment="1" applyProtection="1">
      <alignment vertical="center"/>
      <protection locked="0"/>
    </xf>
    <xf numFmtId="0" fontId="20" fillId="4" borderId="11" xfId="11" applyFont="1" applyFill="1" applyBorder="1" applyAlignment="1" applyProtection="1">
      <alignment horizontal="center" vertical="center"/>
      <protection locked="0"/>
    </xf>
    <xf numFmtId="3" fontId="20" fillId="4" borderId="12" xfId="14" applyNumberFormat="1" applyFont="1" applyFill="1" applyBorder="1" applyAlignment="1" applyProtection="1">
      <alignment horizontal="center" vertical="center"/>
    </xf>
    <xf numFmtId="3" fontId="20" fillId="3" borderId="0" xfId="11" applyNumberFormat="1" applyFont="1" applyFill="1" applyAlignment="1">
      <alignment vertical="center"/>
    </xf>
    <xf numFmtId="3" fontId="20" fillId="3" borderId="0" xfId="11" applyNumberFormat="1" applyFont="1" applyFill="1" applyAlignment="1">
      <alignment horizontal="center" vertical="center"/>
    </xf>
    <xf numFmtId="41" fontId="20" fillId="0" borderId="0" xfId="14" applyFont="1" applyBorder="1" applyAlignment="1" applyProtection="1">
      <alignment horizontal="center" vertical="center"/>
    </xf>
    <xf numFmtId="10" fontId="24" fillId="3" borderId="0" xfId="11" applyNumberFormat="1" applyFont="1" applyFill="1" applyAlignment="1">
      <alignment horizontal="center" vertical="center"/>
    </xf>
    <xf numFmtId="166" fontId="20" fillId="3" borderId="0" xfId="11" applyNumberFormat="1" applyFont="1" applyFill="1" applyAlignment="1">
      <alignment horizontal="center" vertical="center"/>
    </xf>
    <xf numFmtId="169" fontId="20" fillId="0" borderId="24" xfId="16" applyNumberFormat="1" applyFont="1" applyBorder="1" applyAlignment="1" applyProtection="1">
      <alignment horizontal="center" vertical="center"/>
    </xf>
    <xf numFmtId="0" fontId="19" fillId="0" borderId="0" xfId="11" applyFont="1" applyAlignment="1" applyProtection="1">
      <alignment vertical="center"/>
      <protection locked="0"/>
    </xf>
    <xf numFmtId="0" fontId="20" fillId="0" borderId="0" xfId="11" applyFont="1" applyAlignment="1" applyProtection="1">
      <alignment horizontal="center" vertical="center"/>
      <protection locked="0"/>
    </xf>
    <xf numFmtId="3" fontId="20" fillId="3" borderId="0" xfId="14" applyNumberFormat="1" applyFont="1" applyFill="1" applyBorder="1" applyAlignment="1" applyProtection="1">
      <alignment horizontal="center" vertical="center"/>
      <protection locked="0"/>
    </xf>
    <xf numFmtId="3" fontId="20" fillId="3" borderId="0" xfId="11" applyNumberFormat="1" applyFont="1" applyFill="1" applyAlignment="1" applyProtection="1">
      <alignment vertical="center"/>
      <protection locked="0"/>
    </xf>
    <xf numFmtId="3" fontId="20" fillId="3" borderId="0" xfId="11" applyNumberFormat="1" applyFont="1" applyFill="1" applyAlignment="1" applyProtection="1">
      <alignment horizontal="center" vertical="center"/>
      <protection locked="0"/>
    </xf>
    <xf numFmtId="41" fontId="20" fillId="0" borderId="0" xfId="14" applyFont="1" applyBorder="1" applyAlignment="1" applyProtection="1">
      <alignment horizontal="center" vertical="center"/>
      <protection locked="0"/>
    </xf>
    <xf numFmtId="10" fontId="24" fillId="3" borderId="0" xfId="11" applyNumberFormat="1" applyFont="1" applyFill="1" applyAlignment="1" applyProtection="1">
      <alignment horizontal="center" vertical="center"/>
      <protection locked="0"/>
    </xf>
    <xf numFmtId="166" fontId="20" fillId="3" borderId="0" xfId="11" applyNumberFormat="1" applyFont="1" applyFill="1" applyAlignment="1" applyProtection="1">
      <alignment horizontal="center" vertical="center"/>
      <protection locked="0"/>
    </xf>
    <xf numFmtId="169" fontId="20" fillId="0" borderId="24" xfId="16" applyNumberFormat="1" applyFont="1" applyBorder="1" applyAlignment="1" applyProtection="1">
      <alignment horizontal="center" vertical="center"/>
      <protection locked="0"/>
    </xf>
    <xf numFmtId="0" fontId="19" fillId="16" borderId="37" xfId="11" applyFont="1" applyFill="1" applyBorder="1" applyAlignment="1" applyProtection="1">
      <alignment vertical="center"/>
      <protection locked="0"/>
    </xf>
    <xf numFmtId="0" fontId="20" fillId="25" borderId="10" xfId="11" applyFont="1" applyFill="1" applyBorder="1" applyAlignment="1" applyProtection="1">
      <alignment horizontal="center" vertical="center" wrapText="1"/>
      <protection locked="0"/>
    </xf>
    <xf numFmtId="3" fontId="20" fillId="25" borderId="12" xfId="14" applyNumberFormat="1" applyFont="1" applyFill="1" applyBorder="1" applyAlignment="1" applyProtection="1">
      <alignment horizontal="center" vertical="center"/>
      <protection locked="0"/>
    </xf>
    <xf numFmtId="10" fontId="23" fillId="0" borderId="43" xfId="16" applyNumberFormat="1" applyFont="1" applyBorder="1" applyAlignment="1" applyProtection="1">
      <alignment horizontal="center" vertical="center"/>
    </xf>
    <xf numFmtId="9" fontId="20" fillId="25" borderId="12" xfId="16" applyFont="1" applyFill="1" applyBorder="1" applyAlignment="1" applyProtection="1">
      <alignment horizontal="center" vertical="center" wrapText="1"/>
      <protection locked="0"/>
    </xf>
    <xf numFmtId="41" fontId="20" fillId="0" borderId="14" xfId="14" applyFont="1" applyBorder="1" applyAlignment="1" applyProtection="1">
      <alignment horizontal="center" vertical="center"/>
      <protection locked="0"/>
    </xf>
    <xf numFmtId="10" fontId="23" fillId="3" borderId="14" xfId="11" applyNumberFormat="1" applyFont="1" applyFill="1" applyBorder="1" applyAlignment="1" applyProtection="1">
      <alignment horizontal="center" vertical="center"/>
      <protection locked="0"/>
    </xf>
    <xf numFmtId="166" fontId="20" fillId="3" borderId="14" xfId="11" applyNumberFormat="1" applyFont="1" applyFill="1" applyBorder="1" applyAlignment="1" applyProtection="1">
      <alignment horizontal="center" vertical="center"/>
      <protection locked="0"/>
    </xf>
    <xf numFmtId="3" fontId="20" fillId="3" borderId="3" xfId="14" applyNumberFormat="1" applyFont="1" applyFill="1" applyBorder="1" applyAlignment="1" applyProtection="1">
      <alignment horizontal="center" vertical="center"/>
    </xf>
    <xf numFmtId="42" fontId="20" fillId="0" borderId="3" xfId="17" applyFont="1" applyFill="1" applyBorder="1" applyAlignment="1" applyProtection="1">
      <alignment horizontal="left" vertical="center"/>
    </xf>
    <xf numFmtId="42" fontId="20" fillId="3" borderId="3" xfId="17" applyFont="1" applyFill="1" applyBorder="1" applyAlignment="1" applyProtection="1">
      <alignment horizontal="left" vertical="center"/>
    </xf>
    <xf numFmtId="9" fontId="20" fillId="3" borderId="3" xfId="16" applyFont="1" applyFill="1" applyBorder="1" applyAlignment="1" applyProtection="1">
      <alignment horizontal="center" vertical="center"/>
    </xf>
    <xf numFmtId="42" fontId="20" fillId="0" borderId="73" xfId="17" applyFont="1" applyBorder="1" applyAlignment="1" applyProtection="1">
      <alignment horizontal="left" vertical="center"/>
    </xf>
    <xf numFmtId="9" fontId="20" fillId="3" borderId="2" xfId="16" applyFont="1" applyFill="1" applyBorder="1" applyAlignment="1" applyProtection="1">
      <alignment horizontal="center" vertical="center"/>
    </xf>
    <xf numFmtId="0" fontId="19" fillId="0" borderId="2" xfId="11" applyFont="1" applyBorder="1" applyAlignment="1">
      <alignment vertical="center"/>
    </xf>
    <xf numFmtId="0" fontId="20" fillId="3" borderId="2" xfId="15" applyFont="1" applyFill="1" applyBorder="1" applyAlignment="1">
      <alignment horizontal="center" vertical="center"/>
    </xf>
    <xf numFmtId="0" fontId="19" fillId="3" borderId="2" xfId="11" applyFont="1" applyFill="1" applyBorder="1" applyAlignment="1">
      <alignment horizontal="center" vertical="center"/>
    </xf>
    <xf numFmtId="4" fontId="20" fillId="3" borderId="2" xfId="14" applyNumberFormat="1" applyFont="1" applyFill="1" applyBorder="1" applyAlignment="1" applyProtection="1">
      <alignment horizontal="center" vertical="center"/>
    </xf>
    <xf numFmtId="42" fontId="20" fillId="3" borderId="2" xfId="17" applyFont="1" applyFill="1" applyBorder="1" applyAlignment="1" applyProtection="1">
      <alignment horizontal="left" vertical="center"/>
      <protection locked="0"/>
    </xf>
    <xf numFmtId="9" fontId="20" fillId="3" borderId="2" xfId="16" applyFont="1" applyFill="1" applyBorder="1" applyAlignment="1" applyProtection="1">
      <alignment horizontal="center" vertical="center"/>
      <protection locked="0"/>
    </xf>
    <xf numFmtId="10" fontId="24" fillId="3" borderId="2" xfId="11" applyNumberFormat="1" applyFont="1" applyFill="1" applyBorder="1" applyAlignment="1" applyProtection="1">
      <alignment horizontal="center" vertical="center"/>
      <protection locked="0"/>
    </xf>
    <xf numFmtId="166" fontId="20" fillId="3" borderId="2" xfId="11" applyNumberFormat="1" applyFont="1" applyFill="1" applyBorder="1" applyAlignment="1" applyProtection="1">
      <alignment horizontal="center" vertical="center"/>
      <protection locked="0"/>
    </xf>
    <xf numFmtId="42" fontId="20" fillId="3" borderId="39" xfId="17" applyFont="1" applyFill="1" applyBorder="1" applyAlignment="1" applyProtection="1">
      <alignment horizontal="left" vertical="center"/>
      <protection locked="0"/>
    </xf>
    <xf numFmtId="0" fontId="20" fillId="0" borderId="2" xfId="11" applyFont="1" applyBorder="1" applyAlignment="1" applyProtection="1">
      <alignment vertical="center"/>
      <protection locked="0"/>
    </xf>
    <xf numFmtId="0" fontId="20" fillId="3" borderId="0" xfId="11" applyFont="1" applyFill="1" applyAlignment="1" applyProtection="1">
      <alignment vertical="center"/>
      <protection locked="0"/>
    </xf>
    <xf numFmtId="9" fontId="20" fillId="3" borderId="0" xfId="16" applyFont="1" applyFill="1" applyBorder="1" applyAlignment="1" applyProtection="1">
      <alignment horizontal="center" vertical="center"/>
      <protection locked="0"/>
    </xf>
    <xf numFmtId="10" fontId="23" fillId="16" borderId="37" xfId="16" applyNumberFormat="1" applyFont="1" applyFill="1" applyBorder="1" applyAlignment="1" applyProtection="1">
      <alignment horizontal="center" vertical="center"/>
    </xf>
    <xf numFmtId="3" fontId="20" fillId="25" borderId="74" xfId="11" applyNumberFormat="1" applyFont="1" applyFill="1" applyBorder="1" applyAlignment="1" applyProtection="1">
      <alignment horizontal="center" vertical="center" wrapText="1"/>
      <protection locked="0"/>
    </xf>
    <xf numFmtId="42" fontId="20" fillId="25" borderId="69" xfId="17" applyFont="1" applyFill="1" applyBorder="1" applyAlignment="1" applyProtection="1">
      <alignment horizontal="left" vertical="center"/>
      <protection locked="0"/>
    </xf>
    <xf numFmtId="0" fontId="20" fillId="0" borderId="13" xfId="11" applyFont="1" applyBorder="1" applyAlignment="1">
      <alignment vertical="center"/>
    </xf>
    <xf numFmtId="4" fontId="19" fillId="3" borderId="14" xfId="18" applyNumberFormat="1" applyFont="1" applyFill="1" applyBorder="1" applyAlignment="1" applyProtection="1">
      <alignment horizontal="center" vertical="center"/>
      <protection locked="0"/>
    </xf>
    <xf numFmtId="1" fontId="20" fillId="0" borderId="3" xfId="11" applyNumberFormat="1" applyFont="1" applyBorder="1" applyAlignment="1">
      <alignment horizontal="center" vertical="center"/>
    </xf>
    <xf numFmtId="1" fontId="20" fillId="0" borderId="2" xfId="11" applyNumberFormat="1" applyFont="1" applyBorder="1" applyAlignment="1">
      <alignment horizontal="center" vertical="center"/>
    </xf>
    <xf numFmtId="0" fontId="26" fillId="3" borderId="2" xfId="11" applyFont="1" applyFill="1" applyBorder="1" applyAlignment="1">
      <alignment vertical="center"/>
    </xf>
    <xf numFmtId="3" fontId="20" fillId="0" borderId="2" xfId="14" applyNumberFormat="1" applyFont="1" applyBorder="1" applyAlignment="1" applyProtection="1">
      <alignment horizontal="center" vertical="center"/>
    </xf>
    <xf numFmtId="0" fontId="26" fillId="3" borderId="0" xfId="11" applyFont="1" applyFill="1" applyAlignment="1">
      <alignment vertical="center"/>
    </xf>
    <xf numFmtId="1" fontId="20" fillId="0" borderId="0" xfId="11" applyNumberFormat="1" applyFont="1" applyAlignment="1">
      <alignment horizontal="center" vertical="center"/>
    </xf>
    <xf numFmtId="4" fontId="20" fillId="0" borderId="0" xfId="14" applyNumberFormat="1" applyFont="1" applyBorder="1" applyAlignment="1" applyProtection="1">
      <alignment horizontal="center" vertical="center"/>
    </xf>
    <xf numFmtId="3" fontId="20" fillId="0" borderId="0" xfId="11" applyNumberFormat="1" applyFont="1" applyAlignment="1" applyProtection="1">
      <alignment vertical="center"/>
      <protection locked="0"/>
    </xf>
    <xf numFmtId="3" fontId="20" fillId="25" borderId="10" xfId="11" applyNumberFormat="1" applyFont="1" applyFill="1" applyBorder="1" applyAlignment="1" applyProtection="1">
      <alignment horizontal="center" vertical="center" wrapText="1"/>
      <protection locked="0"/>
    </xf>
    <xf numFmtId="42" fontId="20" fillId="25" borderId="12" xfId="17" applyFont="1" applyFill="1" applyBorder="1" applyAlignment="1" applyProtection="1">
      <alignment horizontal="left" vertical="center"/>
      <protection locked="0"/>
    </xf>
    <xf numFmtId="4" fontId="19" fillId="3" borderId="13" xfId="18" applyNumberFormat="1" applyFont="1" applyFill="1" applyBorder="1" applyAlignment="1" applyProtection="1">
      <alignment vertical="center"/>
      <protection locked="0"/>
    </xf>
    <xf numFmtId="9" fontId="20" fillId="3" borderId="14" xfId="16" applyFont="1" applyFill="1" applyBorder="1" applyAlignment="1" applyProtection="1">
      <alignment horizontal="center" vertical="center"/>
      <protection locked="0"/>
    </xf>
    <xf numFmtId="0" fontId="26" fillId="3" borderId="36" xfId="11" applyFont="1" applyFill="1" applyBorder="1" applyAlignment="1">
      <alignment vertical="center"/>
    </xf>
    <xf numFmtId="1" fontId="20" fillId="0" borderId="36" xfId="11" applyNumberFormat="1" applyFont="1" applyBorder="1" applyAlignment="1">
      <alignment horizontal="center" vertical="center"/>
    </xf>
    <xf numFmtId="3" fontId="20" fillId="0" borderId="36" xfId="14" applyNumberFormat="1" applyFont="1" applyBorder="1" applyAlignment="1" applyProtection="1">
      <alignment horizontal="center" vertical="center"/>
      <protection locked="0"/>
    </xf>
    <xf numFmtId="42" fontId="20" fillId="0" borderId="36" xfId="17" applyFont="1" applyBorder="1" applyAlignment="1" applyProtection="1">
      <alignment horizontal="left" vertical="center"/>
      <protection locked="0"/>
    </xf>
    <xf numFmtId="42" fontId="19" fillId="0" borderId="36" xfId="17" applyFont="1" applyBorder="1" applyAlignment="1" applyProtection="1">
      <alignment horizontal="left" vertical="center"/>
      <protection locked="0"/>
    </xf>
    <xf numFmtId="9" fontId="20" fillId="3" borderId="36" xfId="16" applyFont="1" applyFill="1" applyBorder="1" applyAlignment="1" applyProtection="1">
      <alignment horizontal="center" vertical="center"/>
      <protection locked="0"/>
    </xf>
    <xf numFmtId="10" fontId="24" fillId="3" borderId="36" xfId="11" applyNumberFormat="1" applyFont="1" applyFill="1" applyBorder="1" applyAlignment="1" applyProtection="1">
      <alignment horizontal="center" vertical="center"/>
      <protection locked="0"/>
    </xf>
    <xf numFmtId="10" fontId="22" fillId="3" borderId="36" xfId="18" applyNumberFormat="1" applyFont="1" applyFill="1" applyBorder="1" applyAlignment="1" applyProtection="1">
      <alignment horizontal="center" vertical="center"/>
      <protection locked="0"/>
    </xf>
    <xf numFmtId="42" fontId="20" fillId="0" borderId="57" xfId="17" applyFont="1" applyBorder="1" applyAlignment="1" applyProtection="1">
      <alignment horizontal="left" vertical="center"/>
      <protection locked="0"/>
    </xf>
    <xf numFmtId="0" fontId="26" fillId="3" borderId="66" xfId="11" applyFont="1" applyFill="1" applyBorder="1" applyAlignment="1">
      <alignment vertical="center"/>
    </xf>
    <xf numFmtId="0" fontId="20" fillId="0" borderId="66" xfId="11" applyFont="1" applyBorder="1" applyAlignment="1">
      <alignment horizontal="center" vertical="center"/>
    </xf>
    <xf numFmtId="170" fontId="20" fillId="0" borderId="66" xfId="14" applyNumberFormat="1" applyFont="1" applyBorder="1" applyAlignment="1" applyProtection="1">
      <alignment horizontal="center" vertical="center"/>
      <protection locked="0"/>
    </xf>
    <xf numFmtId="4" fontId="19" fillId="0" borderId="66" xfId="11" applyNumberFormat="1" applyFont="1" applyBorder="1" applyAlignment="1" applyProtection="1">
      <alignment horizontal="right" vertical="center"/>
      <protection locked="0"/>
    </xf>
    <xf numFmtId="9" fontId="20" fillId="3" borderId="66" xfId="16" applyFont="1" applyFill="1" applyBorder="1" applyAlignment="1" applyProtection="1">
      <alignment horizontal="center" vertical="center"/>
      <protection locked="0"/>
    </xf>
    <xf numFmtId="41" fontId="20" fillId="0" borderId="66" xfId="14" applyFont="1" applyBorder="1" applyAlignment="1" applyProtection="1">
      <alignment horizontal="center" vertical="center"/>
      <protection locked="0"/>
    </xf>
    <xf numFmtId="10" fontId="24" fillId="3" borderId="66" xfId="11" applyNumberFormat="1" applyFont="1" applyFill="1" applyBorder="1" applyAlignment="1" applyProtection="1">
      <alignment horizontal="center" vertical="center"/>
      <protection locked="0"/>
    </xf>
    <xf numFmtId="10" fontId="22" fillId="3" borderId="66" xfId="18" applyNumberFormat="1" applyFont="1" applyFill="1" applyBorder="1" applyAlignment="1" applyProtection="1">
      <alignment horizontal="center" vertical="center"/>
      <protection locked="0"/>
    </xf>
    <xf numFmtId="169" fontId="20" fillId="0" borderId="67" xfId="16" applyNumberFormat="1" applyFont="1" applyBorder="1" applyAlignment="1" applyProtection="1">
      <alignment horizontal="center" vertical="center"/>
      <protection locked="0"/>
    </xf>
    <xf numFmtId="0" fontId="20" fillId="0" borderId="3" xfId="11" applyFont="1" applyBorder="1" applyAlignment="1">
      <alignment horizontal="center" vertical="center"/>
    </xf>
    <xf numFmtId="0" fontId="20" fillId="0" borderId="2" xfId="11" applyFont="1" applyBorder="1" applyAlignment="1">
      <alignment horizontal="center" vertical="center"/>
    </xf>
    <xf numFmtId="3" fontId="20" fillId="0" borderId="2" xfId="11" applyNumberFormat="1" applyFont="1" applyBorder="1" applyAlignment="1">
      <alignment horizontal="center" vertical="center"/>
    </xf>
    <xf numFmtId="0" fontId="20" fillId="0" borderId="36" xfId="11" applyFont="1" applyBorder="1" applyAlignment="1">
      <alignment horizontal="center" vertical="center"/>
    </xf>
    <xf numFmtId="170" fontId="20" fillId="0" borderId="36" xfId="11" applyNumberFormat="1" applyFont="1" applyBorder="1" applyAlignment="1">
      <alignment horizontal="center" vertical="center"/>
    </xf>
    <xf numFmtId="9" fontId="20" fillId="3" borderId="36" xfId="16" applyFont="1" applyFill="1" applyBorder="1" applyAlignment="1" applyProtection="1">
      <alignment horizontal="center" vertical="center"/>
    </xf>
    <xf numFmtId="0" fontId="27" fillId="0" borderId="17" xfId="11" applyFont="1" applyBorder="1" applyAlignment="1" applyProtection="1">
      <alignment horizontal="left" vertical="center"/>
      <protection locked="0"/>
    </xf>
    <xf numFmtId="0" fontId="20" fillId="0" borderId="18" xfId="11" applyFont="1" applyBorder="1" applyAlignment="1" applyProtection="1">
      <alignment vertical="center"/>
      <protection locked="0"/>
    </xf>
    <xf numFmtId="0" fontId="20" fillId="0" borderId="18" xfId="11" applyFont="1" applyBorder="1" applyAlignment="1">
      <alignment horizontal="center" vertical="center"/>
    </xf>
    <xf numFmtId="0" fontId="20" fillId="0" borderId="66" xfId="15" applyFont="1" applyBorder="1" applyAlignment="1">
      <alignment vertical="center"/>
    </xf>
    <xf numFmtId="9" fontId="20" fillId="3" borderId="66" xfId="16" applyFont="1" applyFill="1" applyBorder="1" applyAlignment="1" applyProtection="1">
      <alignment horizontal="center" vertical="center"/>
    </xf>
    <xf numFmtId="10" fontId="22" fillId="3" borderId="66" xfId="18" applyNumberFormat="1" applyFont="1" applyFill="1" applyBorder="1" applyAlignment="1" applyProtection="1">
      <alignment horizontal="center" vertical="center"/>
    </xf>
    <xf numFmtId="3" fontId="20" fillId="0" borderId="0" xfId="15" applyNumberFormat="1" applyFont="1" applyAlignment="1">
      <alignment vertical="center"/>
    </xf>
    <xf numFmtId="0" fontId="20" fillId="0" borderId="0" xfId="15" applyFont="1" applyAlignment="1">
      <alignment horizontal="center" vertical="center"/>
    </xf>
    <xf numFmtId="0" fontId="19" fillId="16" borderId="46" xfId="11" applyFont="1" applyFill="1" applyBorder="1" applyAlignment="1" applyProtection="1">
      <alignment horizontal="left" vertical="center"/>
      <protection locked="0"/>
    </xf>
    <xf numFmtId="0" fontId="19" fillId="16" borderId="3" xfId="11" applyFont="1" applyFill="1" applyBorder="1" applyAlignment="1" applyProtection="1">
      <alignment vertical="center"/>
      <protection locked="0"/>
    </xf>
    <xf numFmtId="10" fontId="23" fillId="16" borderId="44" xfId="16" applyNumberFormat="1" applyFont="1" applyFill="1" applyBorder="1" applyAlignment="1" applyProtection="1">
      <alignment horizontal="center" vertical="center"/>
    </xf>
    <xf numFmtId="3" fontId="20" fillId="0" borderId="44" xfId="11" applyNumberFormat="1" applyFont="1" applyBorder="1" applyAlignment="1">
      <alignment horizontal="center" vertical="center"/>
    </xf>
    <xf numFmtId="3" fontId="20" fillId="0" borderId="14" xfId="11" applyNumberFormat="1" applyFont="1" applyBorder="1" applyAlignment="1">
      <alignment vertical="center"/>
    </xf>
    <xf numFmtId="4" fontId="20" fillId="0" borderId="14" xfId="11" applyNumberFormat="1" applyFont="1" applyBorder="1" applyAlignment="1">
      <alignment vertical="center"/>
    </xf>
    <xf numFmtId="9" fontId="20" fillId="3" borderId="14" xfId="16" applyFont="1" applyFill="1" applyBorder="1" applyAlignment="1" applyProtection="1">
      <alignment horizontal="center" vertical="center"/>
    </xf>
    <xf numFmtId="41" fontId="20" fillId="0" borderId="14" xfId="14" applyFont="1" applyBorder="1" applyAlignment="1" applyProtection="1">
      <alignment horizontal="center" vertical="center"/>
    </xf>
    <xf numFmtId="10" fontId="24" fillId="3" borderId="14" xfId="11" applyNumberFormat="1" applyFont="1" applyFill="1" applyBorder="1" applyAlignment="1">
      <alignment horizontal="center" vertical="center"/>
    </xf>
    <xf numFmtId="10" fontId="19" fillId="3" borderId="14" xfId="11" applyNumberFormat="1" applyFont="1" applyFill="1" applyBorder="1" applyAlignment="1">
      <alignment horizontal="center" vertical="center"/>
    </xf>
    <xf numFmtId="169" fontId="20" fillId="0" borderId="15" xfId="16" applyNumberFormat="1" applyFont="1" applyBorder="1" applyAlignment="1" applyProtection="1">
      <alignment horizontal="center" vertical="center"/>
    </xf>
    <xf numFmtId="3" fontId="20" fillId="0" borderId="3" xfId="11" applyNumberFormat="1" applyFont="1" applyBorder="1" applyAlignment="1">
      <alignment horizontal="center" vertical="center"/>
    </xf>
    <xf numFmtId="3" fontId="20" fillId="3" borderId="2" xfId="11" applyNumberFormat="1" applyFont="1" applyFill="1" applyBorder="1" applyAlignment="1">
      <alignment horizontal="center" vertical="center"/>
    </xf>
    <xf numFmtId="0" fontId="20" fillId="0" borderId="36" xfId="11" applyFont="1" applyBorder="1" applyAlignment="1" applyProtection="1">
      <alignment vertical="center"/>
      <protection locked="0"/>
    </xf>
    <xf numFmtId="3" fontId="20" fillId="3" borderId="36" xfId="11" applyNumberFormat="1" applyFont="1" applyFill="1" applyBorder="1" applyAlignment="1">
      <alignment horizontal="center" vertical="center"/>
    </xf>
    <xf numFmtId="3" fontId="19" fillId="3" borderId="66" xfId="14" applyNumberFormat="1" applyFont="1" applyFill="1" applyBorder="1" applyAlignment="1" applyProtection="1">
      <alignment horizontal="right" vertical="center"/>
    </xf>
    <xf numFmtId="3" fontId="19" fillId="3" borderId="66" xfId="11" applyNumberFormat="1" applyFont="1" applyFill="1" applyBorder="1" applyAlignment="1">
      <alignment horizontal="center" vertical="center"/>
    </xf>
    <xf numFmtId="3" fontId="20" fillId="0" borderId="14" xfId="16" applyNumberFormat="1" applyFont="1" applyBorder="1" applyAlignment="1" applyProtection="1">
      <alignment horizontal="center" vertical="center"/>
    </xf>
    <xf numFmtId="2" fontId="20" fillId="0" borderId="3" xfId="11" applyNumberFormat="1" applyFont="1" applyBorder="1" applyAlignment="1">
      <alignment horizontal="center" vertical="center"/>
    </xf>
    <xf numFmtId="3" fontId="20" fillId="3" borderId="3" xfId="11" applyNumberFormat="1" applyFont="1" applyFill="1" applyBorder="1" applyAlignment="1">
      <alignment horizontal="center" vertical="center"/>
    </xf>
    <xf numFmtId="0" fontId="20" fillId="0" borderId="2" xfId="11" applyFont="1" applyBorder="1" applyAlignment="1" applyProtection="1">
      <alignment horizontal="left" vertical="center" wrapText="1"/>
      <protection locked="0"/>
    </xf>
    <xf numFmtId="2" fontId="20" fillId="0" borderId="2" xfId="11" applyNumberFormat="1" applyFont="1" applyBorder="1" applyAlignment="1">
      <alignment horizontal="center" vertical="center"/>
    </xf>
    <xf numFmtId="3" fontId="20" fillId="3" borderId="2" xfId="16" applyNumberFormat="1" applyFont="1" applyFill="1" applyBorder="1" applyAlignment="1" applyProtection="1">
      <alignment horizontal="center" vertical="center"/>
    </xf>
    <xf numFmtId="2" fontId="20" fillId="0" borderId="36" xfId="11" applyNumberFormat="1" applyFont="1" applyBorder="1" applyAlignment="1">
      <alignment horizontal="center" vertical="center"/>
    </xf>
    <xf numFmtId="42" fontId="19" fillId="3" borderId="36" xfId="17" applyFont="1" applyFill="1" applyBorder="1" applyAlignment="1" applyProtection="1">
      <alignment horizontal="left" vertical="center"/>
    </xf>
    <xf numFmtId="4" fontId="19" fillId="0" borderId="66" xfId="11" applyNumberFormat="1" applyFont="1" applyBorder="1" applyAlignment="1">
      <alignment horizontal="right" vertical="center"/>
    </xf>
    <xf numFmtId="0" fontId="20" fillId="3" borderId="66" xfId="15" applyFont="1" applyFill="1" applyBorder="1" applyAlignment="1">
      <alignment vertical="center"/>
    </xf>
    <xf numFmtId="0" fontId="20" fillId="0" borderId="14" xfId="11" applyFont="1" applyBorder="1" applyAlignment="1">
      <alignment horizontal="center" vertical="center"/>
    </xf>
    <xf numFmtId="0" fontId="20" fillId="0" borderId="14" xfId="11" applyFont="1" applyBorder="1" applyAlignment="1">
      <alignment vertical="center"/>
    </xf>
    <xf numFmtId="3" fontId="20" fillId="3" borderId="3" xfId="16" applyNumberFormat="1" applyFont="1" applyFill="1" applyBorder="1" applyAlignment="1" applyProtection="1">
      <alignment horizontal="center" vertical="center"/>
    </xf>
    <xf numFmtId="0" fontId="20" fillId="0" borderId="2" xfId="11" applyFont="1" applyBorder="1" applyAlignment="1" applyProtection="1">
      <alignment horizontal="left" vertical="center"/>
      <protection locked="0"/>
    </xf>
    <xf numFmtId="3" fontId="20" fillId="3" borderId="36" xfId="16" applyNumberFormat="1" applyFont="1" applyFill="1" applyBorder="1" applyAlignment="1" applyProtection="1">
      <alignment horizontal="center" vertical="center"/>
    </xf>
    <xf numFmtId="2" fontId="20" fillId="0" borderId="66" xfId="11" applyNumberFormat="1" applyFont="1" applyBorder="1" applyAlignment="1">
      <alignment horizontal="center" vertical="center"/>
    </xf>
    <xf numFmtId="3" fontId="20" fillId="3" borderId="66" xfId="16" applyNumberFormat="1" applyFont="1" applyFill="1" applyBorder="1" applyAlignment="1" applyProtection="1">
      <alignment horizontal="center" vertical="center"/>
    </xf>
    <xf numFmtId="3" fontId="20" fillId="3" borderId="14" xfId="16" applyNumberFormat="1" applyFont="1" applyFill="1" applyBorder="1" applyAlignment="1" applyProtection="1">
      <alignment horizontal="center" vertical="center"/>
    </xf>
    <xf numFmtId="166" fontId="20" fillId="3" borderId="14" xfId="11" applyNumberFormat="1" applyFont="1" applyFill="1" applyBorder="1" applyAlignment="1">
      <alignment horizontal="center" vertical="center"/>
    </xf>
    <xf numFmtId="0" fontId="20" fillId="0" borderId="2" xfId="11" applyFont="1" applyBorder="1" applyAlignment="1">
      <alignment vertical="center"/>
    </xf>
    <xf numFmtId="0" fontId="20" fillId="0" borderId="2" xfId="11" applyFont="1" applyBorder="1" applyAlignment="1">
      <alignment horizontal="left" vertical="center" wrapText="1"/>
    </xf>
    <xf numFmtId="170" fontId="20" fillId="3" borderId="2" xfId="11" applyNumberFormat="1" applyFont="1" applyFill="1" applyBorder="1" applyAlignment="1">
      <alignment horizontal="center" vertical="center"/>
    </xf>
    <xf numFmtId="0" fontId="20" fillId="0" borderId="36" xfId="11" applyFont="1" applyBorder="1" applyAlignment="1" applyProtection="1">
      <alignment horizontal="left" vertical="center" wrapText="1"/>
      <protection locked="0"/>
    </xf>
    <xf numFmtId="0" fontId="20" fillId="0" borderId="66" xfId="11" applyFont="1" applyBorder="1" applyAlignment="1" applyProtection="1">
      <alignment horizontal="left" vertical="center" wrapText="1"/>
      <protection locked="0"/>
    </xf>
    <xf numFmtId="0" fontId="20" fillId="0" borderId="60" xfId="11" applyFont="1" applyBorder="1" applyAlignment="1" applyProtection="1">
      <alignment horizontal="left" vertical="center"/>
      <protection locked="0"/>
    </xf>
    <xf numFmtId="0" fontId="20" fillId="0" borderId="54" xfId="11" applyFont="1" applyBorder="1" applyAlignment="1" applyProtection="1">
      <alignment vertical="center"/>
      <protection locked="0"/>
    </xf>
    <xf numFmtId="2" fontId="20" fillId="0" borderId="54" xfId="11" applyNumberFormat="1" applyFont="1" applyBorder="1" applyAlignment="1">
      <alignment horizontal="center" vertical="center"/>
    </xf>
    <xf numFmtId="9" fontId="20" fillId="3" borderId="54" xfId="16" applyFont="1" applyFill="1" applyBorder="1" applyAlignment="1" applyProtection="1">
      <alignment horizontal="center" vertical="center"/>
    </xf>
    <xf numFmtId="42" fontId="19" fillId="3" borderId="54" xfId="17" applyFont="1" applyFill="1" applyBorder="1" applyAlignment="1" applyProtection="1">
      <alignment horizontal="left" vertical="center"/>
    </xf>
    <xf numFmtId="42" fontId="20" fillId="0" borderId="54" xfId="17" applyFont="1" applyBorder="1" applyAlignment="1" applyProtection="1">
      <alignment horizontal="left" vertical="center"/>
    </xf>
    <xf numFmtId="10" fontId="24" fillId="3" borderId="54" xfId="11" applyNumberFormat="1" applyFont="1" applyFill="1" applyBorder="1" applyAlignment="1">
      <alignment horizontal="center" vertical="center"/>
    </xf>
    <xf numFmtId="166" fontId="20" fillId="3" borderId="54" xfId="11" applyNumberFormat="1" applyFont="1" applyFill="1" applyBorder="1" applyAlignment="1">
      <alignment horizontal="center" vertical="center"/>
    </xf>
    <xf numFmtId="42" fontId="20" fillId="0" borderId="21" xfId="17" applyFont="1" applyBorder="1" applyAlignment="1" applyProtection="1">
      <alignment horizontal="left" vertical="center"/>
    </xf>
    <xf numFmtId="0" fontId="20" fillId="0" borderId="0" xfId="11" applyFont="1" applyAlignment="1" applyProtection="1">
      <alignment vertical="center"/>
      <protection locked="0"/>
    </xf>
    <xf numFmtId="2" fontId="20" fillId="0" borderId="0" xfId="11" applyNumberFormat="1" applyFont="1" applyAlignment="1" applyProtection="1">
      <alignment horizontal="center" vertical="center"/>
      <protection locked="0"/>
    </xf>
    <xf numFmtId="3" fontId="19" fillId="3" borderId="0" xfId="14" applyNumberFormat="1" applyFont="1" applyFill="1" applyAlignment="1" applyProtection="1">
      <alignment horizontal="right" vertical="center"/>
    </xf>
    <xf numFmtId="3" fontId="19" fillId="3" borderId="0" xfId="11" applyNumberFormat="1" applyFont="1" applyFill="1" applyAlignment="1">
      <alignment horizontal="center" vertical="center"/>
    </xf>
    <xf numFmtId="10" fontId="19" fillId="3" borderId="0" xfId="16" applyNumberFormat="1" applyFont="1" applyFill="1" applyAlignment="1" applyProtection="1">
      <alignment horizontal="center" vertical="center"/>
    </xf>
    <xf numFmtId="10" fontId="22" fillId="3" borderId="0" xfId="11" applyNumberFormat="1" applyFont="1" applyFill="1" applyAlignment="1">
      <alignment horizontal="center" vertical="center"/>
    </xf>
    <xf numFmtId="10" fontId="22" fillId="0" borderId="0" xfId="11" applyNumberFormat="1" applyFont="1" applyAlignment="1">
      <alignment horizontal="center" vertical="center"/>
    </xf>
    <xf numFmtId="42" fontId="19" fillId="3" borderId="43" xfId="17" applyFont="1" applyFill="1" applyBorder="1" applyAlignment="1" applyProtection="1">
      <alignment horizontal="left" vertical="center"/>
    </xf>
    <xf numFmtId="9" fontId="23" fillId="3" borderId="0" xfId="16" applyFont="1" applyFill="1" applyAlignment="1" applyProtection="1">
      <alignment horizontal="center" vertical="center"/>
    </xf>
    <xf numFmtId="42" fontId="28" fillId="0" borderId="43" xfId="17" applyFont="1" applyBorder="1" applyAlignment="1" applyProtection="1">
      <alignment horizontal="left" vertical="center"/>
    </xf>
    <xf numFmtId="10" fontId="28" fillId="0" borderId="43" xfId="11" applyNumberFormat="1" applyFont="1" applyBorder="1" applyAlignment="1">
      <alignment horizontal="center" vertical="center"/>
    </xf>
    <xf numFmtId="10" fontId="20" fillId="3" borderId="0" xfId="15" applyNumberFormat="1" applyFont="1" applyFill="1" applyAlignment="1">
      <alignment horizontal="center" vertical="center"/>
    </xf>
    <xf numFmtId="10" fontId="20" fillId="0" borderId="0" xfId="15" applyNumberFormat="1" applyFont="1" applyAlignment="1">
      <alignment horizontal="center" vertical="center"/>
    </xf>
    <xf numFmtId="2" fontId="20" fillId="3" borderId="43" xfId="15" applyNumberFormat="1" applyFont="1" applyFill="1" applyBorder="1" applyAlignment="1">
      <alignment horizontal="center" vertical="center"/>
    </xf>
    <xf numFmtId="4" fontId="19" fillId="3" borderId="43" xfId="11" applyNumberFormat="1" applyFont="1" applyFill="1" applyBorder="1" applyAlignment="1">
      <alignment horizontal="center" vertical="center"/>
    </xf>
    <xf numFmtId="166" fontId="19" fillId="23" borderId="0" xfId="16" applyNumberFormat="1" applyFont="1" applyFill="1" applyBorder="1" applyAlignment="1">
      <alignment vertical="center"/>
    </xf>
    <xf numFmtId="0" fontId="20" fillId="22" borderId="0" xfId="15" applyFont="1" applyFill="1" applyAlignment="1">
      <alignment horizontal="center" vertical="center"/>
    </xf>
    <xf numFmtId="0" fontId="20" fillId="0" borderId="43" xfId="15" applyFont="1" applyBorder="1" applyAlignment="1">
      <alignment horizontal="center" vertical="center"/>
    </xf>
    <xf numFmtId="0" fontId="20" fillId="3" borderId="43" xfId="15" applyFont="1" applyFill="1" applyBorder="1" applyAlignment="1">
      <alignment horizontal="center" vertical="center"/>
    </xf>
    <xf numFmtId="166" fontId="19" fillId="23" borderId="0" xfId="16" applyNumberFormat="1" applyFont="1" applyFill="1" applyBorder="1" applyAlignment="1" applyProtection="1">
      <alignment horizontal="center" vertical="center"/>
    </xf>
    <xf numFmtId="0" fontId="20" fillId="0" borderId="1" xfId="15" applyFont="1" applyBorder="1" applyAlignment="1">
      <alignment horizontal="left" vertical="center"/>
    </xf>
    <xf numFmtId="0" fontId="19" fillId="25" borderId="75" xfId="11" applyFont="1" applyFill="1" applyBorder="1" applyAlignment="1" applyProtection="1">
      <alignment horizontal="center" vertical="center"/>
      <protection locked="0"/>
    </xf>
    <xf numFmtId="0" fontId="19" fillId="25" borderId="76" xfId="11" applyFont="1" applyFill="1" applyBorder="1" applyAlignment="1" applyProtection="1">
      <alignment horizontal="center" vertical="center"/>
      <protection locked="0"/>
    </xf>
    <xf numFmtId="0" fontId="19" fillId="25" borderId="77" xfId="11" applyFont="1" applyFill="1" applyBorder="1" applyAlignment="1" applyProtection="1">
      <alignment horizontal="center" vertical="center"/>
      <protection locked="0"/>
    </xf>
    <xf numFmtId="0" fontId="19" fillId="16" borderId="38" xfId="11" applyFont="1" applyFill="1" applyBorder="1" applyAlignment="1" applyProtection="1">
      <alignment horizontal="center" vertical="center"/>
      <protection locked="0"/>
    </xf>
    <xf numFmtId="3" fontId="20" fillId="0" borderId="14" xfId="14" applyNumberFormat="1" applyFont="1" applyBorder="1" applyAlignment="1" applyProtection="1">
      <alignment vertical="center"/>
      <protection locked="0"/>
    </xf>
    <xf numFmtId="0" fontId="19" fillId="25" borderId="38" xfId="11" applyFont="1" applyFill="1" applyBorder="1" applyAlignment="1" applyProtection="1">
      <alignment horizontal="left" vertical="center" wrapText="1"/>
      <protection locked="0"/>
    </xf>
    <xf numFmtId="1" fontId="20" fillId="25" borderId="2" xfId="11" applyNumberFormat="1" applyFont="1" applyFill="1" applyBorder="1" applyAlignment="1">
      <alignment horizontal="center" vertical="center"/>
    </xf>
    <xf numFmtId="2" fontId="20" fillId="25" borderId="2" xfId="11" applyNumberFormat="1" applyFont="1" applyFill="1" applyBorder="1" applyAlignment="1">
      <alignment horizontal="center" vertical="center"/>
    </xf>
    <xf numFmtId="168" fontId="20" fillId="25" borderId="39" xfId="14" applyNumberFormat="1" applyFont="1" applyFill="1" applyBorder="1" applyAlignment="1" applyProtection="1">
      <alignment horizontal="center" vertical="center"/>
    </xf>
    <xf numFmtId="0" fontId="20" fillId="0" borderId="46" xfId="11" applyFont="1" applyBorder="1" applyAlignment="1" applyProtection="1">
      <alignment horizontal="center" vertical="center"/>
      <protection locked="0"/>
    </xf>
    <xf numFmtId="0" fontId="20" fillId="0" borderId="3" xfId="11" applyFont="1" applyBorder="1" applyAlignment="1" applyProtection="1">
      <alignment horizontal="left" vertical="center"/>
      <protection locked="0"/>
    </xf>
    <xf numFmtId="3" fontId="20" fillId="0" borderId="3" xfId="14" applyNumberFormat="1" applyFont="1" applyBorder="1" applyAlignment="1" applyProtection="1">
      <alignment horizontal="center" vertical="center"/>
      <protection locked="0"/>
    </xf>
    <xf numFmtId="42" fontId="20" fillId="0" borderId="3" xfId="17" applyFont="1" applyBorder="1" applyAlignment="1" applyProtection="1">
      <alignment horizontal="left" vertical="center"/>
      <protection locked="0"/>
    </xf>
    <xf numFmtId="9" fontId="20" fillId="0" borderId="3" xfId="16" applyFont="1" applyBorder="1" applyAlignment="1" applyProtection="1">
      <alignment horizontal="center" vertical="center"/>
    </xf>
    <xf numFmtId="0" fontId="19" fillId="26" borderId="38" xfId="11" applyFont="1" applyFill="1" applyBorder="1" applyAlignment="1" applyProtection="1">
      <alignment horizontal="left" vertical="center"/>
      <protection locked="0"/>
    </xf>
    <xf numFmtId="1" fontId="20" fillId="26" borderId="2" xfId="11" applyNumberFormat="1" applyFont="1" applyFill="1" applyBorder="1" applyAlignment="1">
      <alignment horizontal="center" vertical="center"/>
    </xf>
    <xf numFmtId="168" fontId="20" fillId="26" borderId="39" xfId="14" applyNumberFormat="1" applyFont="1" applyFill="1" applyBorder="1" applyAlignment="1" applyProtection="1">
      <alignment horizontal="center" vertical="center"/>
    </xf>
    <xf numFmtId="0" fontId="20" fillId="0" borderId="38" xfId="11" applyFont="1" applyBorder="1" applyAlignment="1" applyProtection="1">
      <alignment horizontal="center" vertical="center"/>
      <protection locked="0"/>
    </xf>
    <xf numFmtId="170" fontId="20" fillId="0" borderId="2" xfId="14" applyNumberFormat="1" applyFont="1" applyBorder="1" applyAlignment="1" applyProtection="1">
      <alignment horizontal="center" vertical="center"/>
    </xf>
    <xf numFmtId="0" fontId="19" fillId="25" borderId="78" xfId="11" applyFont="1" applyFill="1" applyBorder="1" applyAlignment="1" applyProtection="1">
      <alignment horizontal="left" vertical="center"/>
      <protection locked="0"/>
    </xf>
    <xf numFmtId="1" fontId="20" fillId="25" borderId="26" xfId="11" applyNumberFormat="1" applyFont="1" applyFill="1" applyBorder="1" applyAlignment="1">
      <alignment horizontal="center" vertical="center"/>
    </xf>
    <xf numFmtId="168" fontId="20" fillId="25" borderId="71" xfId="14" applyNumberFormat="1" applyFont="1" applyFill="1" applyBorder="1" applyAlignment="1" applyProtection="1">
      <alignment horizontal="center" vertical="center"/>
    </xf>
    <xf numFmtId="0" fontId="19" fillId="26" borderId="60" xfId="11" applyFont="1" applyFill="1" applyBorder="1" applyAlignment="1" applyProtection="1">
      <alignment horizontal="left" vertical="center"/>
      <protection locked="0"/>
    </xf>
    <xf numFmtId="1" fontId="19" fillId="26" borderId="54" xfId="11" applyNumberFormat="1" applyFont="1" applyFill="1" applyBorder="1" applyAlignment="1">
      <alignment horizontal="center" vertical="center"/>
    </xf>
    <xf numFmtId="1" fontId="19" fillId="26" borderId="21" xfId="14" applyNumberFormat="1" applyFont="1" applyFill="1" applyBorder="1" applyAlignment="1" applyProtection="1">
      <alignment horizontal="center" vertical="center"/>
    </xf>
    <xf numFmtId="4" fontId="20" fillId="3" borderId="0" xfId="11" applyNumberFormat="1" applyFont="1" applyFill="1" applyAlignment="1">
      <alignment vertical="center"/>
    </xf>
    <xf numFmtId="1" fontId="20" fillId="3" borderId="0" xfId="15" applyNumberFormat="1" applyFont="1" applyFill="1" applyAlignment="1">
      <alignment vertical="center"/>
    </xf>
    <xf numFmtId="0" fontId="20" fillId="0" borderId="56" xfId="11" applyFont="1" applyBorder="1" applyAlignment="1" applyProtection="1">
      <alignment horizontal="center" vertical="center"/>
      <protection locked="0"/>
    </xf>
    <xf numFmtId="0" fontId="19" fillId="0" borderId="65" xfId="11" applyFont="1" applyBorder="1" applyAlignment="1" applyProtection="1">
      <alignment horizontal="center" vertical="center"/>
      <protection locked="0"/>
    </xf>
    <xf numFmtId="0" fontId="18" fillId="0" borderId="0" xfId="11" applyFont="1" applyAlignment="1" applyProtection="1">
      <alignment vertical="center"/>
      <protection locked="0"/>
    </xf>
    <xf numFmtId="4" fontId="20" fillId="0" borderId="0" xfId="14" applyNumberFormat="1" applyFont="1" applyBorder="1" applyAlignment="1" applyProtection="1">
      <alignment horizontal="center" vertical="center"/>
      <protection locked="0"/>
    </xf>
    <xf numFmtId="9" fontId="20" fillId="0" borderId="66" xfId="16" applyFont="1" applyBorder="1" applyAlignment="1" applyProtection="1">
      <alignment horizontal="center" vertical="center"/>
      <protection locked="0"/>
    </xf>
    <xf numFmtId="0" fontId="20" fillId="3" borderId="3" xfId="11" applyFont="1" applyFill="1" applyBorder="1" applyAlignment="1" applyProtection="1">
      <alignment vertical="center"/>
      <protection locked="0"/>
    </xf>
    <xf numFmtId="3" fontId="20" fillId="3" borderId="36" xfId="14" applyNumberFormat="1" applyFont="1" applyFill="1" applyBorder="1" applyAlignment="1" applyProtection="1">
      <alignment horizontal="center" vertical="center"/>
      <protection locked="0"/>
    </xf>
    <xf numFmtId="0" fontId="20" fillId="0" borderId="17" xfId="11" applyFont="1" applyBorder="1" applyAlignment="1" applyProtection="1">
      <alignment horizontal="center" vertical="center"/>
      <protection locked="0"/>
    </xf>
    <xf numFmtId="3" fontId="20" fillId="0" borderId="2" xfId="14" applyNumberFormat="1" applyFont="1" applyFill="1" applyBorder="1" applyAlignment="1" applyProtection="1">
      <alignment horizontal="center" vertical="center"/>
    </xf>
    <xf numFmtId="42" fontId="20" fillId="0" borderId="80" xfId="17" applyFont="1" applyBorder="1" applyAlignment="1" applyProtection="1">
      <alignment horizontal="left" vertical="center"/>
    </xf>
    <xf numFmtId="170" fontId="20" fillId="3" borderId="3" xfId="14" applyNumberFormat="1" applyFont="1" applyFill="1" applyBorder="1" applyAlignment="1" applyProtection="1">
      <alignment horizontal="center" vertical="center"/>
    </xf>
    <xf numFmtId="0" fontId="20" fillId="0" borderId="65" xfId="11" applyFont="1" applyBorder="1" applyAlignment="1" applyProtection="1">
      <alignment horizontal="center" vertical="center"/>
      <protection locked="0"/>
    </xf>
    <xf numFmtId="170" fontId="20" fillId="3" borderId="0" xfId="14" applyNumberFormat="1" applyFont="1" applyFill="1" applyBorder="1" applyAlignment="1" applyProtection="1">
      <alignment horizontal="center" vertical="center"/>
    </xf>
    <xf numFmtId="42" fontId="20" fillId="0" borderId="66" xfId="17" applyFont="1" applyBorder="1" applyAlignment="1" applyProtection="1">
      <alignment horizontal="left" vertical="center"/>
    </xf>
    <xf numFmtId="42" fontId="20" fillId="3" borderId="66" xfId="17" applyFont="1" applyFill="1" applyBorder="1" applyAlignment="1" applyProtection="1">
      <alignment horizontal="left" vertical="center"/>
    </xf>
    <xf numFmtId="42" fontId="20" fillId="0" borderId="24" xfId="17" applyFont="1" applyBorder="1" applyAlignment="1" applyProtection="1">
      <alignment horizontal="left" vertical="center"/>
    </xf>
    <xf numFmtId="0" fontId="20" fillId="0" borderId="19" xfId="11" applyFont="1" applyBorder="1" applyAlignment="1" applyProtection="1">
      <alignment horizontal="center" vertical="center"/>
      <protection locked="0"/>
    </xf>
    <xf numFmtId="0" fontId="19" fillId="4" borderId="10" xfId="11" applyFont="1" applyFill="1" applyBorder="1" applyAlignment="1" applyProtection="1">
      <alignment horizontal="left" vertical="center"/>
      <protection locked="0"/>
    </xf>
    <xf numFmtId="0" fontId="19" fillId="4" borderId="11" xfId="11" applyFont="1" applyFill="1" applyBorder="1" applyAlignment="1" applyProtection="1">
      <alignment horizontal="center" vertical="center"/>
      <protection locked="0"/>
    </xf>
    <xf numFmtId="3" fontId="19" fillId="4" borderId="12" xfId="14" applyNumberFormat="1" applyFont="1" applyFill="1" applyBorder="1" applyAlignment="1" applyProtection="1">
      <alignment horizontal="center" vertical="center"/>
    </xf>
    <xf numFmtId="42" fontId="20" fillId="0" borderId="0" xfId="17" applyFont="1" applyBorder="1" applyAlignment="1" applyProtection="1">
      <alignment horizontal="left" vertical="center"/>
    </xf>
    <xf numFmtId="9" fontId="20" fillId="0" borderId="0" xfId="16" applyFont="1" applyBorder="1" applyAlignment="1" applyProtection="1">
      <alignment horizontal="center" vertical="center"/>
    </xf>
    <xf numFmtId="3" fontId="20" fillId="3" borderId="0" xfId="14" applyNumberFormat="1" applyFont="1" applyFill="1" applyBorder="1" applyAlignment="1" applyProtection="1">
      <alignment vertical="center"/>
      <protection locked="0"/>
    </xf>
    <xf numFmtId="3" fontId="20" fillId="25" borderId="10" xfId="14" applyNumberFormat="1" applyFont="1" applyFill="1" applyBorder="1" applyAlignment="1" applyProtection="1">
      <alignment horizontal="center" vertical="center"/>
      <protection locked="0"/>
    </xf>
    <xf numFmtId="0" fontId="20" fillId="25" borderId="12" xfId="11" applyFont="1" applyFill="1" applyBorder="1" applyAlignment="1" applyProtection="1">
      <alignment horizontal="center" vertical="center" wrapText="1"/>
      <protection locked="0"/>
    </xf>
    <xf numFmtId="0" fontId="20" fillId="3" borderId="45" xfId="15" applyFont="1" applyFill="1" applyBorder="1" applyAlignment="1">
      <alignment vertical="center"/>
    </xf>
    <xf numFmtId="9" fontId="20" fillId="25" borderId="10" xfId="16" applyFont="1" applyFill="1" applyBorder="1" applyAlignment="1" applyProtection="1">
      <alignment horizontal="center" vertical="center" wrapText="1"/>
      <protection locked="0"/>
    </xf>
    <xf numFmtId="42" fontId="20" fillId="3" borderId="0" xfId="15" applyNumberFormat="1" applyFont="1" applyFill="1" applyAlignment="1">
      <alignment vertical="center"/>
    </xf>
    <xf numFmtId="0" fontId="20" fillId="0" borderId="49" xfId="11" applyFont="1" applyBorder="1" applyAlignment="1" applyProtection="1">
      <alignment horizontal="center" vertical="center"/>
      <protection locked="0"/>
    </xf>
    <xf numFmtId="9" fontId="20" fillId="3" borderId="49" xfId="16" applyFont="1" applyFill="1" applyBorder="1" applyAlignment="1" applyProtection="1">
      <alignment horizontal="center" vertical="center"/>
    </xf>
    <xf numFmtId="0" fontId="20" fillId="3" borderId="66" xfId="11" applyFont="1" applyFill="1" applyBorder="1" applyAlignment="1" applyProtection="1">
      <alignment vertical="center"/>
      <protection locked="0"/>
    </xf>
    <xf numFmtId="3" fontId="20" fillId="3" borderId="66" xfId="14" applyNumberFormat="1" applyFont="1" applyFill="1" applyBorder="1" applyAlignment="1" applyProtection="1">
      <alignment vertical="center"/>
      <protection locked="0"/>
    </xf>
    <xf numFmtId="3" fontId="20" fillId="3" borderId="66" xfId="11" applyNumberFormat="1" applyFont="1" applyFill="1" applyBorder="1" applyAlignment="1" applyProtection="1">
      <alignment vertical="center"/>
      <protection locked="0"/>
    </xf>
    <xf numFmtId="0" fontId="18" fillId="16" borderId="2" xfId="11" applyFont="1" applyFill="1" applyBorder="1" applyAlignment="1" applyProtection="1">
      <alignment vertical="center"/>
      <protection locked="0"/>
    </xf>
    <xf numFmtId="3" fontId="20" fillId="25" borderId="12" xfId="11" applyNumberFormat="1" applyFont="1" applyFill="1" applyBorder="1" applyAlignment="1" applyProtection="1">
      <alignment horizontal="center" vertical="center"/>
      <protection locked="0"/>
    </xf>
    <xf numFmtId="4" fontId="19" fillId="3" borderId="14" xfId="18" applyNumberFormat="1" applyFont="1" applyFill="1" applyBorder="1" applyAlignment="1" applyProtection="1">
      <alignment vertical="center"/>
      <protection locked="0"/>
    </xf>
    <xf numFmtId="42" fontId="20" fillId="0" borderId="49" xfId="17" applyFont="1" applyBorder="1" applyAlignment="1" applyProtection="1">
      <alignment horizontal="left" vertical="center"/>
    </xf>
    <xf numFmtId="0" fontId="32" fillId="3" borderId="65" xfId="11" applyFont="1" applyFill="1" applyBorder="1" applyAlignment="1">
      <alignment horizontal="center" vertical="center"/>
    </xf>
    <xf numFmtId="0" fontId="32" fillId="3" borderId="66" xfId="11" applyFont="1" applyFill="1" applyBorder="1" applyAlignment="1">
      <alignment vertical="center"/>
    </xf>
    <xf numFmtId="9" fontId="32" fillId="3" borderId="66" xfId="16" applyFont="1" applyFill="1" applyBorder="1" applyAlignment="1">
      <alignment vertical="center"/>
    </xf>
    <xf numFmtId="3" fontId="26" fillId="3" borderId="66" xfId="11" applyNumberFormat="1" applyFont="1" applyFill="1" applyBorder="1" applyAlignment="1">
      <alignment vertical="center"/>
    </xf>
    <xf numFmtId="1" fontId="20" fillId="0" borderId="3" xfId="11" applyNumberFormat="1" applyFont="1" applyBorder="1" applyAlignment="1" applyProtection="1">
      <alignment horizontal="center" vertical="center"/>
      <protection locked="0"/>
    </xf>
    <xf numFmtId="1" fontId="20" fillId="0" borderId="2" xfId="11" applyNumberFormat="1" applyFont="1" applyBorder="1" applyAlignment="1" applyProtection="1">
      <alignment horizontal="center" vertical="center"/>
      <protection locked="0"/>
    </xf>
    <xf numFmtId="1" fontId="20" fillId="0" borderId="36" xfId="11" applyNumberFormat="1" applyFont="1" applyBorder="1" applyAlignment="1" applyProtection="1">
      <alignment horizontal="center" vertical="center"/>
      <protection locked="0"/>
    </xf>
    <xf numFmtId="4" fontId="20" fillId="0" borderId="66" xfId="14" applyNumberFormat="1" applyFont="1" applyBorder="1" applyAlignment="1" applyProtection="1">
      <alignment horizontal="center" vertical="center"/>
      <protection locked="0"/>
    </xf>
    <xf numFmtId="0" fontId="20" fillId="0" borderId="3" xfId="11" applyFont="1" applyBorder="1" applyAlignment="1">
      <alignment vertical="center"/>
    </xf>
    <xf numFmtId="0" fontId="20" fillId="0" borderId="36" xfId="11" applyFont="1" applyBorder="1" applyAlignment="1">
      <alignment vertical="center"/>
    </xf>
    <xf numFmtId="0" fontId="27" fillId="0" borderId="65" xfId="11" applyFont="1" applyBorder="1" applyAlignment="1" applyProtection="1">
      <alignment horizontal="center" vertical="center"/>
      <protection locked="0"/>
    </xf>
    <xf numFmtId="3" fontId="20" fillId="0" borderId="14" xfId="11" applyNumberFormat="1" applyFont="1" applyBorder="1" applyAlignment="1" applyProtection="1">
      <alignment horizontal="center" vertical="center"/>
      <protection locked="0"/>
    </xf>
    <xf numFmtId="3" fontId="20" fillId="3" borderId="66" xfId="11" applyNumberFormat="1" applyFont="1" applyFill="1" applyBorder="1" applyAlignment="1" applyProtection="1">
      <alignment horizontal="center" vertical="center"/>
      <protection locked="0"/>
    </xf>
    <xf numFmtId="3" fontId="19" fillId="3" borderId="66" xfId="14" applyNumberFormat="1" applyFont="1" applyFill="1" applyBorder="1" applyAlignment="1" applyProtection="1">
      <alignment horizontal="right" vertical="center"/>
      <protection locked="0"/>
    </xf>
    <xf numFmtId="3" fontId="19" fillId="3" borderId="66" xfId="11" applyNumberFormat="1" applyFont="1" applyFill="1" applyBorder="1" applyAlignment="1" applyProtection="1">
      <alignment horizontal="center" vertical="center"/>
      <protection locked="0"/>
    </xf>
    <xf numFmtId="3" fontId="20" fillId="0" borderId="14" xfId="16" applyNumberFormat="1" applyFont="1" applyBorder="1" applyAlignment="1" applyProtection="1">
      <alignment horizontal="center" vertical="center"/>
      <protection locked="0"/>
    </xf>
    <xf numFmtId="2" fontId="20" fillId="0" borderId="3" xfId="11" applyNumberFormat="1" applyFont="1" applyBorder="1" applyAlignment="1" applyProtection="1">
      <alignment horizontal="center" vertical="center"/>
      <protection locked="0"/>
    </xf>
    <xf numFmtId="0" fontId="20" fillId="3" borderId="2" xfId="11" applyFont="1" applyFill="1" applyBorder="1" applyAlignment="1" applyProtection="1">
      <alignment horizontal="left" vertical="center" wrapText="1"/>
      <protection locked="0"/>
    </xf>
    <xf numFmtId="2" fontId="20" fillId="3" borderId="2" xfId="11" applyNumberFormat="1" applyFont="1" applyFill="1" applyBorder="1" applyAlignment="1" applyProtection="1">
      <alignment horizontal="center" vertical="center"/>
      <protection locked="0"/>
    </xf>
    <xf numFmtId="170" fontId="20" fillId="3" borderId="2" xfId="16" applyNumberFormat="1" applyFont="1" applyFill="1" applyBorder="1" applyAlignment="1" applyProtection="1">
      <alignment horizontal="center" vertical="center"/>
      <protection locked="0"/>
    </xf>
    <xf numFmtId="3" fontId="20" fillId="3" borderId="2" xfId="11" applyNumberFormat="1" applyFont="1" applyFill="1" applyBorder="1" applyAlignment="1" applyProtection="1">
      <alignment horizontal="center" vertical="center"/>
      <protection locked="0"/>
    </xf>
    <xf numFmtId="2" fontId="20" fillId="0" borderId="2" xfId="11" applyNumberFormat="1" applyFont="1" applyBorder="1" applyAlignment="1" applyProtection="1">
      <alignment horizontal="center" vertical="center"/>
      <protection locked="0"/>
    </xf>
    <xf numFmtId="3" fontId="20" fillId="3" borderId="2" xfId="16" applyNumberFormat="1" applyFont="1" applyFill="1" applyBorder="1" applyAlignment="1" applyProtection="1">
      <alignment horizontal="center" vertical="center"/>
      <protection locked="0"/>
    </xf>
    <xf numFmtId="2" fontId="20" fillId="0" borderId="36" xfId="11" applyNumberFormat="1" applyFont="1" applyBorder="1" applyAlignment="1" applyProtection="1">
      <alignment horizontal="center" vertical="center"/>
      <protection locked="0"/>
    </xf>
    <xf numFmtId="3" fontId="20" fillId="3" borderId="36" xfId="11" applyNumberFormat="1" applyFont="1" applyFill="1" applyBorder="1" applyAlignment="1" applyProtection="1">
      <alignment horizontal="center" vertical="center"/>
      <protection locked="0"/>
    </xf>
    <xf numFmtId="3" fontId="20" fillId="3" borderId="3" xfId="16" applyNumberFormat="1" applyFont="1" applyFill="1" applyBorder="1" applyAlignment="1" applyProtection="1">
      <alignment horizontal="center" vertical="center"/>
      <protection locked="0"/>
    </xf>
    <xf numFmtId="42" fontId="20" fillId="0" borderId="2" xfId="17" applyFont="1" applyBorder="1" applyAlignment="1" applyProtection="1">
      <alignment horizontal="left" vertical="center"/>
      <protection locked="0"/>
    </xf>
    <xf numFmtId="3" fontId="20" fillId="3" borderId="36" xfId="16" applyNumberFormat="1" applyFont="1" applyFill="1" applyBorder="1" applyAlignment="1" applyProtection="1">
      <alignment horizontal="center" vertical="center"/>
      <protection locked="0"/>
    </xf>
    <xf numFmtId="2" fontId="20" fillId="0" borderId="66" xfId="11" applyNumberFormat="1" applyFont="1" applyBorder="1" applyAlignment="1" applyProtection="1">
      <alignment vertical="center"/>
      <protection locked="0"/>
    </xf>
    <xf numFmtId="3" fontId="20" fillId="3" borderId="66" xfId="16" applyNumberFormat="1" applyFont="1" applyFill="1" applyBorder="1" applyAlignment="1" applyProtection="1">
      <alignment horizontal="center" vertical="center"/>
      <protection locked="0"/>
    </xf>
    <xf numFmtId="3" fontId="20" fillId="3" borderId="14" xfId="16" applyNumberFormat="1" applyFont="1" applyFill="1" applyBorder="1" applyAlignment="1" applyProtection="1">
      <alignment horizontal="center" vertical="center"/>
      <protection locked="0"/>
    </xf>
    <xf numFmtId="3" fontId="20" fillId="3" borderId="3" xfId="11" applyNumberFormat="1" applyFont="1" applyFill="1" applyBorder="1" applyAlignment="1" applyProtection="1">
      <alignment horizontal="center" vertical="center"/>
      <protection locked="0"/>
    </xf>
    <xf numFmtId="0" fontId="20" fillId="0" borderId="60" xfId="11" applyFont="1" applyBorder="1" applyAlignment="1" applyProtection="1">
      <alignment horizontal="center" vertical="center"/>
      <protection locked="0"/>
    </xf>
    <xf numFmtId="2" fontId="20" fillId="0" borderId="54" xfId="11" applyNumberFormat="1" applyFont="1" applyBorder="1" applyAlignment="1" applyProtection="1">
      <alignment horizontal="center" vertical="center"/>
      <protection locked="0"/>
    </xf>
    <xf numFmtId="166" fontId="20" fillId="3" borderId="54" xfId="16" applyNumberFormat="1" applyFont="1" applyFill="1" applyBorder="1" applyAlignment="1" applyProtection="1">
      <alignment horizontal="center" vertical="center"/>
      <protection locked="0"/>
    </xf>
    <xf numFmtId="3" fontId="19" fillId="3" borderId="54" xfId="14" applyNumberFormat="1" applyFont="1" applyFill="1" applyBorder="1" applyAlignment="1" applyProtection="1">
      <alignment horizontal="right" vertical="center"/>
      <protection locked="0"/>
    </xf>
    <xf numFmtId="9" fontId="20" fillId="3" borderId="54" xfId="16" applyFont="1" applyFill="1" applyBorder="1" applyAlignment="1" applyProtection="1">
      <alignment horizontal="center" vertical="center"/>
      <protection locked="0"/>
    </xf>
    <xf numFmtId="2" fontId="20" fillId="0" borderId="0" xfId="11" applyNumberFormat="1" applyFont="1" applyAlignment="1" applyProtection="1">
      <alignment vertical="center"/>
      <protection locked="0"/>
    </xf>
    <xf numFmtId="3" fontId="19" fillId="3" borderId="0" xfId="14" applyNumberFormat="1" applyFont="1" applyFill="1" applyAlignment="1" applyProtection="1">
      <alignment horizontal="right" vertical="center"/>
      <protection locked="0"/>
    </xf>
    <xf numFmtId="10" fontId="19" fillId="3" borderId="0" xfId="16" applyNumberFormat="1" applyFont="1" applyFill="1" applyAlignment="1" applyProtection="1">
      <alignment horizontal="center" vertical="center"/>
      <protection locked="0"/>
    </xf>
    <xf numFmtId="10" fontId="22" fillId="0" borderId="0" xfId="11" applyNumberFormat="1" applyFont="1" applyAlignment="1" applyProtection="1">
      <alignment horizontal="center" vertical="center"/>
      <protection locked="0"/>
    </xf>
    <xf numFmtId="10" fontId="22" fillId="0" borderId="43" xfId="11" applyNumberFormat="1" applyFont="1" applyBorder="1" applyAlignment="1">
      <alignment horizontal="center" vertical="center"/>
    </xf>
    <xf numFmtId="0" fontId="2" fillId="2" borderId="37" xfId="13" applyFont="1" applyBorder="1" applyAlignment="1">
      <alignment horizontal="center" vertical="center" wrapText="1"/>
    </xf>
    <xf numFmtId="0" fontId="2" fillId="2" borderId="80" xfId="13" applyFont="1" applyBorder="1" applyAlignment="1">
      <alignment horizontal="center" vertical="center" wrapText="1"/>
    </xf>
    <xf numFmtId="0" fontId="2" fillId="2" borderId="31" xfId="13" applyFont="1" applyBorder="1" applyAlignment="1">
      <alignment horizontal="center" vertical="center"/>
    </xf>
    <xf numFmtId="0" fontId="2" fillId="2" borderId="52" xfId="13" applyFont="1" applyBorder="1" applyAlignment="1">
      <alignment horizontal="center" vertical="center"/>
    </xf>
    <xf numFmtId="0" fontId="2" fillId="2" borderId="32" xfId="13" applyFont="1" applyBorder="1" applyAlignment="1">
      <alignment horizontal="center" vertical="center" wrapText="1"/>
    </xf>
    <xf numFmtId="0" fontId="2" fillId="2" borderId="31" xfId="13" applyFont="1" applyBorder="1" applyAlignment="1">
      <alignment horizontal="center" vertical="center" wrapText="1"/>
    </xf>
    <xf numFmtId="0" fontId="9" fillId="3" borderId="0" xfId="12" applyFont="1" applyFill="1" applyBorder="1" applyAlignment="1">
      <alignment horizontal="center" vertical="center"/>
    </xf>
    <xf numFmtId="0" fontId="4" fillId="0" borderId="0" xfId="0" applyFont="1"/>
    <xf numFmtId="2" fontId="4" fillId="0" borderId="15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3" xfId="0" quotePrefix="1" applyFont="1" applyBorder="1" applyAlignment="1">
      <alignment horizontal="left" vertical="center"/>
    </xf>
    <xf numFmtId="2" fontId="4" fillId="5" borderId="3" xfId="0" applyNumberFormat="1" applyFont="1" applyFill="1" applyBorder="1" applyAlignment="1">
      <alignment horizontal="center" vertical="center"/>
    </xf>
    <xf numFmtId="0" fontId="4" fillId="5" borderId="73" xfId="0" applyFont="1" applyFill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5" borderId="80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quotePrefix="1" applyFont="1" applyBorder="1" applyAlignment="1">
      <alignment horizontal="left" vertical="center"/>
    </xf>
    <xf numFmtId="0" fontId="5" fillId="4" borderId="11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42" fontId="4" fillId="0" borderId="15" xfId="2" applyFont="1" applyBorder="1" applyAlignment="1">
      <alignment horizontal="center" vertical="center"/>
    </xf>
    <xf numFmtId="42" fontId="4" fillId="0" borderId="15" xfId="2" applyFont="1" applyBorder="1" applyAlignment="1">
      <alignment horizontal="left" vertical="center"/>
    </xf>
    <xf numFmtId="0" fontId="4" fillId="0" borderId="8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2" fontId="4" fillId="0" borderId="18" xfId="2" applyFont="1" applyBorder="1" applyAlignment="1">
      <alignment horizontal="left" vertical="center"/>
    </xf>
    <xf numFmtId="0" fontId="2" fillId="7" borderId="30" xfId="4" applyFont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27" borderId="13" xfId="0" applyFont="1" applyFill="1" applyBorder="1" applyAlignment="1">
      <alignment horizontal="center" vertical="center"/>
    </xf>
    <xf numFmtId="0" fontId="4" fillId="27" borderId="1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4" fontId="34" fillId="0" borderId="0" xfId="0" applyNumberFormat="1" applyFont="1" applyAlignment="1">
      <alignment vertical="center" wrapText="1"/>
    </xf>
    <xf numFmtId="2" fontId="5" fillId="0" borderId="0" xfId="0" applyNumberFormat="1" applyFont="1" applyAlignment="1">
      <alignment horizontal="center" vertical="center"/>
    </xf>
    <xf numFmtId="0" fontId="4" fillId="5" borderId="3" xfId="0" applyFont="1" applyFill="1" applyBorder="1" applyAlignment="1">
      <alignment horizontal="left" vertical="center"/>
    </xf>
    <xf numFmtId="0" fontId="4" fillId="5" borderId="3" xfId="0" quotePrefix="1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center" vertical="center"/>
    </xf>
    <xf numFmtId="168" fontId="4" fillId="8" borderId="3" xfId="0" applyNumberFormat="1" applyFont="1" applyFill="1" applyBorder="1" applyAlignment="1">
      <alignment horizontal="center" vertical="center"/>
    </xf>
    <xf numFmtId="2" fontId="5" fillId="5" borderId="2" xfId="0" applyNumberFormat="1" applyFont="1" applyFill="1" applyBorder="1" applyAlignment="1">
      <alignment horizontal="center" vertical="center"/>
    </xf>
    <xf numFmtId="0" fontId="4" fillId="5" borderId="46" xfId="0" applyFont="1" applyFill="1" applyBorder="1" applyAlignment="1">
      <alignment horizontal="center" vertical="center"/>
    </xf>
    <xf numFmtId="0" fontId="4" fillId="5" borderId="48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2" xfId="0" quotePrefix="1" applyFont="1" applyFill="1" applyBorder="1" applyAlignment="1">
      <alignment horizontal="left" vertical="center"/>
    </xf>
    <xf numFmtId="2" fontId="4" fillId="5" borderId="53" xfId="0" applyNumberFormat="1" applyFont="1" applyFill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42" fontId="4" fillId="0" borderId="82" xfId="2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4" fillId="5" borderId="34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4" borderId="64" xfId="0" applyFont="1" applyFill="1" applyBorder="1" applyAlignment="1">
      <alignment horizontal="center" vertical="center"/>
    </xf>
    <xf numFmtId="0" fontId="6" fillId="14" borderId="16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4" xfId="0" applyBorder="1"/>
    <xf numFmtId="0" fontId="6" fillId="14" borderId="33" xfId="0" applyFont="1" applyFill="1" applyBorder="1" applyAlignment="1">
      <alignment horizontal="center" vertical="center"/>
    </xf>
    <xf numFmtId="0" fontId="6" fillId="14" borderId="53" xfId="0" applyFont="1" applyFill="1" applyBorder="1" applyAlignment="1">
      <alignment horizontal="center" vertical="center"/>
    </xf>
    <xf numFmtId="0" fontId="6" fillId="14" borderId="55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 vertical="center" wrapText="1"/>
    </xf>
    <xf numFmtId="0" fontId="0" fillId="0" borderId="7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3" fontId="0" fillId="0" borderId="48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3" fontId="0" fillId="0" borderId="44" xfId="0" applyNumberForma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3" fontId="0" fillId="0" borderId="39" xfId="0" applyNumberForma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3" fontId="0" fillId="0" borderId="37" xfId="0" applyNumberFormat="1" applyBorder="1" applyAlignment="1">
      <alignment horizontal="center" vertical="center" wrapText="1"/>
    </xf>
    <xf numFmtId="3" fontId="0" fillId="0" borderId="18" xfId="0" applyNumberFormat="1" applyBorder="1" applyAlignment="1">
      <alignment horizontal="center" vertical="center" wrapText="1"/>
    </xf>
    <xf numFmtId="3" fontId="0" fillId="0" borderId="80" xfId="0" applyNumberForma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3" fontId="0" fillId="0" borderId="55" xfId="0" applyNumberFormat="1" applyBorder="1" applyAlignment="1">
      <alignment horizontal="center" vertical="center" wrapText="1"/>
    </xf>
    <xf numFmtId="3" fontId="0" fillId="0" borderId="62" xfId="0" applyNumberFormat="1" applyBorder="1" applyAlignment="1">
      <alignment horizontal="center" vertical="center" wrapText="1"/>
    </xf>
    <xf numFmtId="3" fontId="0" fillId="0" borderId="53" xfId="0" applyNumberFormat="1" applyBorder="1" applyAlignment="1">
      <alignment horizontal="center" vertical="center" wrapText="1"/>
    </xf>
    <xf numFmtId="3" fontId="0" fillId="0" borderId="83" xfId="0" applyNumberFormat="1" applyBorder="1" applyAlignment="1">
      <alignment horizontal="center" vertical="center" wrapText="1"/>
    </xf>
    <xf numFmtId="0" fontId="0" fillId="0" borderId="84" xfId="0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3" fontId="0" fillId="0" borderId="59" xfId="0" applyNumberFormat="1" applyBorder="1" applyAlignment="1">
      <alignment horizontal="center" vertical="center" wrapText="1"/>
    </xf>
    <xf numFmtId="3" fontId="0" fillId="0" borderId="32" xfId="0" applyNumberFormat="1" applyBorder="1" applyAlignment="1">
      <alignment horizontal="center" vertical="center" wrapText="1"/>
    </xf>
    <xf numFmtId="3" fontId="0" fillId="0" borderId="24" xfId="0" applyNumberFormat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3" fontId="0" fillId="0" borderId="17" xfId="0" applyNumberForma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3" fontId="0" fillId="0" borderId="33" xfId="0" applyNumberFormat="1" applyBorder="1" applyAlignment="1">
      <alignment horizontal="center" vertical="center" wrapText="1"/>
    </xf>
    <xf numFmtId="0" fontId="26" fillId="0" borderId="85" xfId="0" applyFont="1" applyBorder="1" applyAlignment="1">
      <alignment horizontal="center" vertical="center" wrapText="1"/>
    </xf>
    <xf numFmtId="0" fontId="26" fillId="0" borderId="86" xfId="0" applyFont="1" applyBorder="1" applyAlignment="1">
      <alignment horizontal="center" vertical="center" wrapText="1"/>
    </xf>
    <xf numFmtId="3" fontId="26" fillId="0" borderId="86" xfId="0" applyNumberFormat="1" applyFont="1" applyBorder="1" applyAlignment="1">
      <alignment horizontal="center" vertical="center" wrapText="1"/>
    </xf>
    <xf numFmtId="0" fontId="26" fillId="0" borderId="87" xfId="0" applyFont="1" applyBorder="1" applyAlignment="1">
      <alignment horizontal="center" vertical="center" wrapText="1"/>
    </xf>
    <xf numFmtId="0" fontId="26" fillId="0" borderId="88" xfId="0" applyFont="1" applyBorder="1" applyAlignment="1">
      <alignment horizontal="center" vertical="center" wrapText="1"/>
    </xf>
    <xf numFmtId="3" fontId="26" fillId="0" borderId="88" xfId="0" applyNumberFormat="1" applyFont="1" applyBorder="1" applyAlignment="1">
      <alignment horizontal="center" vertical="center" wrapText="1"/>
    </xf>
    <xf numFmtId="0" fontId="37" fillId="0" borderId="0" xfId="0" applyFont="1" applyAlignment="1">
      <alignment vertical="center"/>
    </xf>
    <xf numFmtId="0" fontId="38" fillId="0" borderId="88" xfId="0" applyFont="1" applyBorder="1" applyAlignment="1">
      <alignment horizontal="center" vertical="center" wrapText="1"/>
    </xf>
    <xf numFmtId="0" fontId="26" fillId="0" borderId="85" xfId="0" applyFont="1" applyBorder="1" applyAlignment="1">
      <alignment horizontal="left" vertical="center" wrapText="1" indent="3"/>
    </xf>
    <xf numFmtId="0" fontId="26" fillId="0" borderId="86" xfId="0" applyFont="1" applyBorder="1" applyAlignment="1">
      <alignment horizontal="left" vertical="center" wrapText="1" indent="3"/>
    </xf>
    <xf numFmtId="3" fontId="26" fillId="0" borderId="86" xfId="0" applyNumberFormat="1" applyFont="1" applyBorder="1" applyAlignment="1">
      <alignment horizontal="left" vertical="center" wrapText="1" indent="2"/>
    </xf>
    <xf numFmtId="3" fontId="26" fillId="0" borderId="86" xfId="0" applyNumberFormat="1" applyFont="1" applyBorder="1" applyAlignment="1">
      <alignment horizontal="right" vertical="center" wrapText="1"/>
    </xf>
    <xf numFmtId="0" fontId="26" fillId="0" borderId="87" xfId="0" applyFont="1" applyBorder="1" applyAlignment="1">
      <alignment horizontal="left" vertical="center" wrapText="1" indent="3"/>
    </xf>
    <xf numFmtId="0" fontId="26" fillId="0" borderId="88" xfId="0" applyFont="1" applyBorder="1" applyAlignment="1">
      <alignment horizontal="left" vertical="center" wrapText="1" indent="3"/>
    </xf>
    <xf numFmtId="3" fontId="26" fillId="0" borderId="88" xfId="0" applyNumberFormat="1" applyFont="1" applyBorder="1" applyAlignment="1">
      <alignment horizontal="left" vertical="center" wrapText="1" indent="2"/>
    </xf>
    <xf numFmtId="3" fontId="26" fillId="0" borderId="88" xfId="0" applyNumberFormat="1" applyFont="1" applyBorder="1" applyAlignment="1">
      <alignment horizontal="right" vertical="center" wrapText="1"/>
    </xf>
    <xf numFmtId="0" fontId="3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3" fontId="26" fillId="0" borderId="32" xfId="0" applyNumberFormat="1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3" fontId="26" fillId="0" borderId="2" xfId="0" applyNumberFormat="1" applyFont="1" applyBorder="1" applyAlignment="1">
      <alignment horizontal="center" vertical="center" wrapText="1"/>
    </xf>
    <xf numFmtId="3" fontId="26" fillId="0" borderId="39" xfId="0" applyNumberFormat="1" applyFont="1" applyBorder="1" applyAlignment="1">
      <alignment horizontal="center" vertical="center" wrapText="1"/>
    </xf>
    <xf numFmtId="3" fontId="26" fillId="0" borderId="57" xfId="0" applyNumberFormat="1" applyFont="1" applyBorder="1" applyAlignment="1">
      <alignment horizontal="center" vertical="center" wrapText="1"/>
    </xf>
    <xf numFmtId="3" fontId="26" fillId="0" borderId="37" xfId="0" applyNumberFormat="1" applyFont="1" applyBorder="1" applyAlignment="1">
      <alignment horizontal="center" vertical="center" wrapText="1"/>
    </xf>
    <xf numFmtId="3" fontId="0" fillId="0" borderId="57" xfId="0" applyNumberFormat="1" applyBorder="1" applyAlignment="1">
      <alignment horizontal="center" vertical="center" wrapText="1"/>
    </xf>
    <xf numFmtId="3" fontId="0" fillId="0" borderId="20" xfId="0" applyNumberForma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3" fontId="26" fillId="0" borderId="53" xfId="0" applyNumberFormat="1" applyFont="1" applyBorder="1" applyAlignment="1">
      <alignment horizontal="center" vertical="center" wrapText="1"/>
    </xf>
    <xf numFmtId="3" fontId="26" fillId="0" borderId="62" xfId="0" applyNumberFormat="1" applyFont="1" applyBorder="1" applyAlignment="1">
      <alignment horizontal="center" vertical="center" wrapText="1"/>
    </xf>
    <xf numFmtId="3" fontId="0" fillId="0" borderId="21" xfId="0" applyNumberFormat="1" applyBorder="1" applyAlignment="1">
      <alignment horizontal="center" vertical="center" wrapText="1"/>
    </xf>
    <xf numFmtId="0" fontId="0" fillId="0" borderId="84" xfId="0" applyBorder="1"/>
    <xf numFmtId="3" fontId="26" fillId="0" borderId="52" xfId="0" applyNumberFormat="1" applyFont="1" applyBorder="1" applyAlignment="1">
      <alignment horizontal="center" vertical="center" wrapText="1"/>
    </xf>
    <xf numFmtId="3" fontId="26" fillId="0" borderId="20" xfId="0" applyNumberFormat="1" applyFont="1" applyBorder="1" applyAlignment="1">
      <alignment horizontal="center" vertical="center" wrapText="1"/>
    </xf>
    <xf numFmtId="3" fontId="26" fillId="0" borderId="58" xfId="0" applyNumberFormat="1" applyFont="1" applyBorder="1" applyAlignment="1">
      <alignment horizontal="center" vertical="center" wrapText="1"/>
    </xf>
    <xf numFmtId="3" fontId="0" fillId="0" borderId="58" xfId="0" applyNumberFormat="1" applyBorder="1" applyAlignment="1">
      <alignment horizontal="center" vertical="center" wrapText="1"/>
    </xf>
    <xf numFmtId="3" fontId="0" fillId="0" borderId="50" xfId="0" applyNumberFormat="1" applyBorder="1" applyAlignment="1">
      <alignment horizontal="center" vertical="center" wrapText="1"/>
    </xf>
    <xf numFmtId="3" fontId="0" fillId="0" borderId="61" xfId="0" applyNumberFormat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3" fontId="26" fillId="0" borderId="0" xfId="0" applyNumberFormat="1" applyFont="1" applyAlignment="1">
      <alignment horizontal="center" vertical="center" wrapText="1"/>
    </xf>
    <xf numFmtId="2" fontId="4" fillId="5" borderId="26" xfId="0" applyNumberFormat="1" applyFont="1" applyFill="1" applyBorder="1" applyAlignment="1">
      <alignment horizontal="center" vertical="center"/>
    </xf>
    <xf numFmtId="2" fontId="5" fillId="5" borderId="26" xfId="0" applyNumberFormat="1" applyFont="1" applyFill="1" applyBorder="1" applyAlignment="1">
      <alignment horizontal="center" vertical="center"/>
    </xf>
    <xf numFmtId="42" fontId="5" fillId="5" borderId="79" xfId="2" applyFont="1" applyFill="1" applyBorder="1" applyAlignment="1">
      <alignment horizontal="center" vertical="center"/>
    </xf>
    <xf numFmtId="2" fontId="5" fillId="5" borderId="3" xfId="0" applyNumberFormat="1" applyFont="1" applyFill="1" applyBorder="1" applyAlignment="1">
      <alignment horizontal="center" vertical="center"/>
    </xf>
    <xf numFmtId="42" fontId="5" fillId="5" borderId="44" xfId="2" applyFont="1" applyFill="1" applyBorder="1" applyAlignment="1">
      <alignment horizontal="center" vertical="center"/>
    </xf>
    <xf numFmtId="0" fontId="2" fillId="2" borderId="4" xfId="1" applyFont="1" applyBorder="1" applyAlignment="1">
      <alignment horizontal="center" vertical="center"/>
    </xf>
    <xf numFmtId="0" fontId="2" fillId="2" borderId="5" xfId="1" applyFont="1" applyBorder="1" applyAlignment="1">
      <alignment horizontal="center" vertical="center" wrapText="1"/>
    </xf>
    <xf numFmtId="0" fontId="4" fillId="28" borderId="38" xfId="0" applyFont="1" applyFill="1" applyBorder="1" applyAlignment="1">
      <alignment horizontal="center" vertical="center"/>
    </xf>
    <xf numFmtId="4" fontId="4" fillId="0" borderId="52" xfId="0" applyNumberFormat="1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2" fontId="4" fillId="0" borderId="52" xfId="0" applyNumberFormat="1" applyFont="1" applyBorder="1" applyAlignment="1">
      <alignment horizontal="center" vertical="center"/>
    </xf>
    <xf numFmtId="2" fontId="4" fillId="3" borderId="52" xfId="0" applyNumberFormat="1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28" borderId="60" xfId="0" applyFont="1" applyFill="1" applyBorder="1" applyAlignment="1">
      <alignment horizontal="center" vertical="center"/>
    </xf>
    <xf numFmtId="0" fontId="4" fillId="3" borderId="53" xfId="0" applyFont="1" applyFill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3" fontId="5" fillId="0" borderId="54" xfId="0" applyNumberFormat="1" applyFont="1" applyBorder="1" applyAlignment="1">
      <alignment horizontal="center" vertical="center"/>
    </xf>
    <xf numFmtId="4" fontId="4" fillId="0" borderId="54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2" fontId="4" fillId="0" borderId="68" xfId="0" applyNumberFormat="1" applyFont="1" applyBorder="1" applyAlignment="1">
      <alignment horizontal="center" vertical="center"/>
    </xf>
    <xf numFmtId="2" fontId="4" fillId="3" borderId="68" xfId="0" applyNumberFormat="1" applyFont="1" applyFill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84" xfId="0" applyFont="1" applyBorder="1"/>
    <xf numFmtId="0" fontId="4" fillId="28" borderId="34" xfId="0" applyFont="1" applyFill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3" fontId="5" fillId="0" borderId="53" xfId="0" applyNumberFormat="1" applyFont="1" applyBorder="1" applyAlignment="1">
      <alignment horizontal="center" vertical="center"/>
    </xf>
    <xf numFmtId="4" fontId="4" fillId="0" borderId="68" xfId="0" applyNumberFormat="1" applyFont="1" applyBorder="1" applyAlignment="1">
      <alignment horizontal="center" vertical="center"/>
    </xf>
    <xf numFmtId="0" fontId="4" fillId="0" borderId="9" xfId="0" applyFont="1" applyBorder="1"/>
    <xf numFmtId="0" fontId="4" fillId="28" borderId="31" xfId="0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center" vertical="center"/>
    </xf>
    <xf numFmtId="3" fontId="5" fillId="0" borderId="52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4" xfId="0" applyFont="1" applyBorder="1"/>
    <xf numFmtId="0" fontId="13" fillId="8" borderId="3" xfId="9" applyFont="1" applyFill="1" applyBorder="1" applyAlignment="1">
      <alignment horizontal="center" vertical="center"/>
    </xf>
    <xf numFmtId="3" fontId="4" fillId="8" borderId="3" xfId="0" applyNumberFormat="1" applyFont="1" applyFill="1" applyBorder="1" applyAlignment="1">
      <alignment horizontal="center" vertical="center"/>
    </xf>
    <xf numFmtId="164" fontId="4" fillId="8" borderId="3" xfId="7" applyFill="1">
      <alignment horizontal="center" vertical="center"/>
    </xf>
    <xf numFmtId="4" fontId="4" fillId="8" borderId="3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horizontal="center" vertical="center"/>
    </xf>
    <xf numFmtId="170" fontId="4" fillId="8" borderId="3" xfId="0" applyNumberFormat="1" applyFont="1" applyFill="1" applyBorder="1" applyAlignment="1">
      <alignment horizontal="center" vertical="center"/>
    </xf>
    <xf numFmtId="0" fontId="39" fillId="3" borderId="0" xfId="11" applyFont="1" applyFill="1" applyAlignment="1" applyProtection="1">
      <alignment horizontal="left" vertical="center"/>
      <protection locked="0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9" fontId="20" fillId="3" borderId="0" xfId="19" applyFont="1" applyFill="1" applyAlignment="1">
      <alignment vertical="center"/>
    </xf>
    <xf numFmtId="168" fontId="19" fillId="26" borderId="21" xfId="14" applyNumberFormat="1" applyFont="1" applyFill="1" applyBorder="1" applyAlignment="1" applyProtection="1">
      <alignment horizontal="center" vertical="center"/>
    </xf>
    <xf numFmtId="0" fontId="20" fillId="0" borderId="2" xfId="15" applyFont="1" applyBorder="1" applyAlignment="1">
      <alignment vertical="center"/>
    </xf>
    <xf numFmtId="0" fontId="20" fillId="0" borderId="37" xfId="15" applyFont="1" applyBorder="1" applyAlignment="1">
      <alignment vertical="center"/>
    </xf>
    <xf numFmtId="168" fontId="20" fillId="0" borderId="2" xfId="15" applyNumberFormat="1" applyFont="1" applyBorder="1" applyAlignment="1">
      <alignment vertical="center"/>
    </xf>
    <xf numFmtId="2" fontId="4" fillId="0" borderId="3" xfId="11" applyNumberFormat="1" applyFont="1" applyBorder="1" applyAlignment="1">
      <alignment horizontal="center" vertical="center"/>
    </xf>
    <xf numFmtId="2" fontId="4" fillId="0" borderId="48" xfId="11" applyNumberFormat="1" applyFont="1" applyBorder="1" applyAlignment="1">
      <alignment horizontal="center" vertical="center"/>
    </xf>
    <xf numFmtId="0" fontId="2" fillId="20" borderId="38" xfId="12" applyFont="1" applyBorder="1" applyAlignment="1">
      <alignment horizontal="center" vertical="center"/>
    </xf>
    <xf numFmtId="0" fontId="2" fillId="20" borderId="34" xfId="12" applyFont="1" applyBorder="1" applyAlignment="1">
      <alignment horizontal="center" vertical="center"/>
    </xf>
    <xf numFmtId="2" fontId="4" fillId="0" borderId="53" xfId="11" applyNumberFormat="1" applyFont="1" applyBorder="1" applyAlignment="1">
      <alignment horizontal="center" vertical="center"/>
    </xf>
    <xf numFmtId="2" fontId="4" fillId="0" borderId="35" xfId="11" applyNumberFormat="1" applyFont="1" applyBorder="1" applyAlignment="1">
      <alignment horizontal="center" vertical="center"/>
    </xf>
    <xf numFmtId="4" fontId="2" fillId="0" borderId="0" xfId="12" applyNumberFormat="1" applyFont="1" applyFill="1" applyBorder="1" applyAlignment="1">
      <alignment horizontal="center" vertical="center"/>
    </xf>
    <xf numFmtId="0" fontId="2" fillId="20" borderId="4" xfId="12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40" fillId="15" borderId="2" xfId="0" applyFont="1" applyFill="1" applyBorder="1" applyAlignment="1">
      <alignment horizontal="center"/>
    </xf>
    <xf numFmtId="0" fontId="0" fillId="16" borderId="2" xfId="0" applyFill="1" applyBorder="1" applyAlignment="1">
      <alignment horizontal="center"/>
    </xf>
    <xf numFmtId="3" fontId="0" fillId="16" borderId="2" xfId="0" applyNumberFormat="1" applyFill="1" applyBorder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4" fillId="0" borderId="38" xfId="0" applyNumberFormat="1" applyFont="1" applyBorder="1" applyAlignment="1">
      <alignment horizontal="center" vertical="center"/>
    </xf>
    <xf numFmtId="42" fontId="4" fillId="0" borderId="39" xfId="2" applyFont="1" applyBorder="1" applyAlignment="1">
      <alignment horizontal="center" vertical="center"/>
    </xf>
    <xf numFmtId="0" fontId="42" fillId="0" borderId="0" xfId="3" applyFont="1" applyFill="1" applyBorder="1" applyAlignment="1">
      <alignment vertical="center" wrapText="1"/>
    </xf>
    <xf numFmtId="0" fontId="41" fillId="0" borderId="0" xfId="0" applyFont="1" applyAlignment="1">
      <alignment horizontal="center" vertical="center"/>
    </xf>
    <xf numFmtId="10" fontId="20" fillId="0" borderId="3" xfId="11" applyNumberFormat="1" applyFont="1" applyBorder="1" applyAlignment="1">
      <alignment vertical="center"/>
    </xf>
    <xf numFmtId="0" fontId="2" fillId="20" borderId="31" xfId="12" applyFont="1" applyBorder="1" applyAlignment="1">
      <alignment horizontal="center" vertical="center"/>
    </xf>
    <xf numFmtId="49" fontId="5" fillId="21" borderId="0" xfId="11" applyNumberFormat="1" applyFont="1" applyFill="1" applyAlignment="1">
      <alignment horizontal="center" vertical="center" wrapText="1"/>
    </xf>
    <xf numFmtId="49" fontId="4" fillId="3" borderId="0" xfId="11" applyNumberFormat="1" applyFont="1" applyFill="1" applyAlignment="1">
      <alignment horizontal="center" vertical="center" wrapText="1"/>
    </xf>
    <xf numFmtId="49" fontId="2" fillId="2" borderId="2" xfId="13" applyNumberFormat="1" applyFont="1" applyBorder="1" applyAlignment="1">
      <alignment horizontal="center" vertical="center"/>
    </xf>
    <xf numFmtId="49" fontId="4" fillId="0" borderId="0" xfId="11" applyNumberFormat="1" applyFont="1" applyAlignment="1">
      <alignment horizontal="center" vertical="center"/>
    </xf>
    <xf numFmtId="49" fontId="4" fillId="0" borderId="2" xfId="11" quotePrefix="1" applyNumberFormat="1" applyFont="1" applyBorder="1" applyAlignment="1">
      <alignment horizontal="center" vertical="center"/>
    </xf>
    <xf numFmtId="3" fontId="4" fillId="8" borderId="49" xfId="0" applyNumberFormat="1" applyFont="1" applyFill="1" applyBorder="1" applyAlignment="1">
      <alignment horizontal="center" vertical="center"/>
    </xf>
    <xf numFmtId="3" fontId="5" fillId="8" borderId="49" xfId="0" applyNumberFormat="1" applyFont="1" applyFill="1" applyBorder="1" applyAlignment="1">
      <alignment horizontal="center" vertical="center"/>
    </xf>
    <xf numFmtId="170" fontId="4" fillId="8" borderId="49" xfId="0" applyNumberFormat="1" applyFont="1" applyFill="1" applyBorder="1" applyAlignment="1">
      <alignment horizontal="center" vertical="center"/>
    </xf>
    <xf numFmtId="0" fontId="4" fillId="8" borderId="36" xfId="0" applyFont="1" applyFill="1" applyBorder="1" applyAlignment="1">
      <alignment horizontal="center" vertical="center"/>
    </xf>
    <xf numFmtId="2" fontId="4" fillId="5" borderId="36" xfId="0" applyNumberFormat="1" applyFont="1" applyFill="1" applyBorder="1" applyAlignment="1">
      <alignment horizontal="center" vertical="center"/>
    </xf>
    <xf numFmtId="2" fontId="5" fillId="5" borderId="36" xfId="0" applyNumberFormat="1" applyFont="1" applyFill="1" applyBorder="1" applyAlignment="1">
      <alignment horizontal="center" vertical="center"/>
    </xf>
    <xf numFmtId="42" fontId="5" fillId="5" borderId="58" xfId="2" applyFont="1" applyFill="1" applyBorder="1" applyAlignment="1">
      <alignment horizontal="center" vertical="center"/>
    </xf>
    <xf numFmtId="0" fontId="4" fillId="5" borderId="91" xfId="0" applyFont="1" applyFill="1" applyBorder="1" applyAlignment="1">
      <alignment horizontal="center" vertical="center"/>
    </xf>
    <xf numFmtId="170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2" fontId="5" fillId="0" borderId="0" xfId="2" applyFont="1" applyFill="1" applyBorder="1" applyAlignment="1">
      <alignment horizontal="center" vertical="center"/>
    </xf>
    <xf numFmtId="0" fontId="4" fillId="3" borderId="2" xfId="11" applyFont="1" applyFill="1" applyBorder="1" applyAlignment="1">
      <alignment horizontal="center" vertical="center"/>
    </xf>
    <xf numFmtId="2" fontId="4" fillId="3" borderId="2" xfId="11" applyNumberFormat="1" applyFont="1" applyFill="1" applyBorder="1" applyAlignment="1">
      <alignment horizontal="center" vertical="center"/>
    </xf>
    <xf numFmtId="49" fontId="4" fillId="0" borderId="2" xfId="11" applyNumberFormat="1" applyFont="1" applyBorder="1" applyAlignment="1">
      <alignment horizontal="center" vertical="center"/>
    </xf>
    <xf numFmtId="0" fontId="17" fillId="0" borderId="2" xfId="11" applyFont="1" applyBorder="1"/>
    <xf numFmtId="0" fontId="43" fillId="3" borderId="3" xfId="0" applyFont="1" applyFill="1" applyBorder="1" applyAlignment="1">
      <alignment horizontal="center"/>
    </xf>
    <xf numFmtId="0" fontId="43" fillId="3" borderId="2" xfId="0" applyFont="1" applyFill="1" applyBorder="1" applyAlignment="1">
      <alignment horizontal="center"/>
    </xf>
    <xf numFmtId="3" fontId="43" fillId="3" borderId="2" xfId="0" applyNumberFormat="1" applyFont="1" applyFill="1" applyBorder="1" applyAlignment="1">
      <alignment horizontal="center"/>
    </xf>
    <xf numFmtId="0" fontId="43" fillId="3" borderId="0" xfId="0" applyFont="1" applyFill="1" applyAlignment="1">
      <alignment horizontal="center"/>
    </xf>
    <xf numFmtId="0" fontId="0" fillId="0" borderId="44" xfId="0" applyBorder="1" applyAlignment="1">
      <alignment horizontal="center"/>
    </xf>
    <xf numFmtId="3" fontId="0" fillId="16" borderId="37" xfId="0" applyNumberFormat="1" applyFill="1" applyBorder="1" applyAlignment="1">
      <alignment horizontal="center"/>
    </xf>
    <xf numFmtId="3" fontId="0" fillId="0" borderId="37" xfId="0" applyNumberFormat="1" applyBorder="1" applyAlignment="1">
      <alignment horizontal="center"/>
    </xf>
    <xf numFmtId="0" fontId="44" fillId="3" borderId="0" xfId="0" applyFont="1" applyFill="1" applyAlignment="1">
      <alignment horizontal="center"/>
    </xf>
    <xf numFmtId="3" fontId="43" fillId="3" borderId="0" xfId="0" applyNumberFormat="1" applyFont="1" applyFill="1" applyAlignment="1">
      <alignment horizontal="center"/>
    </xf>
    <xf numFmtId="3" fontId="43" fillId="3" borderId="37" xfId="0" applyNumberFormat="1" applyFont="1" applyFill="1" applyBorder="1" applyAlignment="1">
      <alignment horizontal="center"/>
    </xf>
    <xf numFmtId="0" fontId="43" fillId="3" borderId="44" xfId="0" applyFont="1" applyFill="1" applyBorder="1" applyAlignment="1">
      <alignment horizontal="center"/>
    </xf>
    <xf numFmtId="0" fontId="43" fillId="3" borderId="92" xfId="0" applyFont="1" applyFill="1" applyBorder="1" applyAlignment="1">
      <alignment horizontal="center"/>
    </xf>
    <xf numFmtId="3" fontId="43" fillId="3" borderId="93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7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0" fillId="15" borderId="37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40" fillId="0" borderId="0" xfId="0" applyFont="1" applyAlignment="1">
      <alignment horizontal="center"/>
    </xf>
    <xf numFmtId="0" fontId="43" fillId="3" borderId="52" xfId="0" applyFont="1" applyFill="1" applyBorder="1" applyAlignment="1">
      <alignment horizontal="center"/>
    </xf>
    <xf numFmtId="3" fontId="43" fillId="3" borderId="94" xfId="0" applyNumberFormat="1" applyFont="1" applyFill="1" applyBorder="1" applyAlignment="1">
      <alignment horizontal="center"/>
    </xf>
    <xf numFmtId="1" fontId="5" fillId="16" borderId="46" xfId="0" applyNumberFormat="1" applyFont="1" applyFill="1" applyBorder="1" applyAlignment="1">
      <alignment horizontal="center" vertical="center"/>
    </xf>
    <xf numFmtId="0" fontId="4" fillId="3" borderId="2" xfId="11" applyFont="1" applyFill="1" applyBorder="1" applyAlignment="1">
      <alignment horizontal="left" vertical="center"/>
    </xf>
    <xf numFmtId="49" fontId="4" fillId="3" borderId="2" xfId="11" quotePrefix="1" applyNumberFormat="1" applyFont="1" applyFill="1" applyBorder="1" applyAlignment="1">
      <alignment horizontal="center" vertical="center"/>
    </xf>
    <xf numFmtId="0" fontId="13" fillId="3" borderId="2" xfId="9" applyFont="1" applyFill="1" applyBorder="1" applyAlignment="1">
      <alignment horizontal="center" vertical="center"/>
    </xf>
    <xf numFmtId="3" fontId="4" fillId="3" borderId="2" xfId="11" applyNumberFormat="1" applyFont="1" applyFill="1" applyBorder="1" applyAlignment="1">
      <alignment horizontal="center" vertical="center"/>
    </xf>
    <xf numFmtId="49" fontId="4" fillId="3" borderId="2" xfId="11" applyNumberFormat="1" applyFont="1" applyFill="1" applyBorder="1" applyAlignment="1">
      <alignment horizontal="center" vertical="center"/>
    </xf>
    <xf numFmtId="0" fontId="5" fillId="3" borderId="0" xfId="11" applyFont="1" applyFill="1" applyAlignment="1">
      <alignment horizontal="center" vertical="center" wrapText="1"/>
    </xf>
    <xf numFmtId="0" fontId="4" fillId="3" borderId="2" xfId="9" applyFont="1" applyFill="1" applyBorder="1" applyAlignment="1">
      <alignment horizontal="center" vertical="center"/>
    </xf>
    <xf numFmtId="0" fontId="4" fillId="3" borderId="37" xfId="1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3" fontId="0" fillId="3" borderId="2" xfId="0" applyNumberFormat="1" applyFill="1" applyBorder="1" applyAlignment="1">
      <alignment horizontal="center"/>
    </xf>
    <xf numFmtId="0" fontId="40" fillId="3" borderId="2" xfId="0" applyFont="1" applyFill="1" applyBorder="1" applyAlignment="1">
      <alignment horizontal="center"/>
    </xf>
    <xf numFmtId="0" fontId="43" fillId="3" borderId="37" xfId="0" applyFont="1" applyFill="1" applyBorder="1" applyAlignment="1">
      <alignment horizontal="center"/>
    </xf>
    <xf numFmtId="0" fontId="43" fillId="3" borderId="73" xfId="0" applyFont="1" applyFill="1" applyBorder="1" applyAlignment="1">
      <alignment horizontal="center"/>
    </xf>
    <xf numFmtId="0" fontId="43" fillId="3" borderId="80" xfId="0" applyFont="1" applyFill="1" applyBorder="1" applyAlignment="1">
      <alignment horizontal="center"/>
    </xf>
    <xf numFmtId="3" fontId="0" fillId="3" borderId="0" xfId="0" applyNumberFormat="1" applyFill="1" applyAlignment="1">
      <alignment horizontal="center"/>
    </xf>
    <xf numFmtId="0" fontId="40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0" fillId="3" borderId="52" xfId="0" applyFill="1" applyBorder="1" applyAlignment="1">
      <alignment horizontal="center"/>
    </xf>
    <xf numFmtId="3" fontId="4" fillId="3" borderId="2" xfId="0" applyNumberFormat="1" applyFont="1" applyFill="1" applyBorder="1" applyAlignment="1">
      <alignment horizontal="center"/>
    </xf>
    <xf numFmtId="0" fontId="4" fillId="3" borderId="73" xfId="0" applyFont="1" applyFill="1" applyBorder="1" applyAlignment="1">
      <alignment horizontal="center"/>
    </xf>
    <xf numFmtId="3" fontId="4" fillId="3" borderId="80" xfId="0" applyNumberFormat="1" applyFont="1" applyFill="1" applyBorder="1" applyAlignment="1">
      <alignment horizontal="center"/>
    </xf>
    <xf numFmtId="0" fontId="4" fillId="3" borderId="95" xfId="0" applyFont="1" applyFill="1" applyBorder="1" applyAlignment="1">
      <alignment horizontal="center"/>
    </xf>
    <xf numFmtId="0" fontId="4" fillId="3" borderId="96" xfId="0" applyFont="1" applyFill="1" applyBorder="1" applyAlignment="1">
      <alignment horizontal="center"/>
    </xf>
    <xf numFmtId="0" fontId="4" fillId="3" borderId="97" xfId="0" applyFont="1" applyFill="1" applyBorder="1" applyAlignment="1">
      <alignment horizontal="center"/>
    </xf>
    <xf numFmtId="0" fontId="4" fillId="3" borderId="98" xfId="0" applyFont="1" applyFill="1" applyBorder="1" applyAlignment="1">
      <alignment horizontal="center"/>
    </xf>
    <xf numFmtId="3" fontId="4" fillId="3" borderId="98" xfId="0" applyNumberFormat="1" applyFont="1" applyFill="1" applyBorder="1" applyAlignment="1">
      <alignment horizontal="center"/>
    </xf>
    <xf numFmtId="0" fontId="4" fillId="3" borderId="99" xfId="0" applyFont="1" applyFill="1" applyBorder="1" applyAlignment="1">
      <alignment horizontal="center"/>
    </xf>
    <xf numFmtId="3" fontId="4" fillId="3" borderId="100" xfId="0" applyNumberFormat="1" applyFont="1" applyFill="1" applyBorder="1" applyAlignment="1">
      <alignment horizontal="center"/>
    </xf>
    <xf numFmtId="3" fontId="43" fillId="3" borderId="80" xfId="0" applyNumberFormat="1" applyFont="1" applyFill="1" applyBorder="1" applyAlignment="1">
      <alignment horizontal="center"/>
    </xf>
    <xf numFmtId="0" fontId="43" fillId="3" borderId="96" xfId="0" applyFont="1" applyFill="1" applyBorder="1" applyAlignment="1">
      <alignment horizontal="center"/>
    </xf>
    <xf numFmtId="0" fontId="43" fillId="3" borderId="98" xfId="0" applyFont="1" applyFill="1" applyBorder="1" applyAlignment="1">
      <alignment horizontal="center"/>
    </xf>
    <xf numFmtId="3" fontId="43" fillId="3" borderId="98" xfId="0" applyNumberFormat="1" applyFont="1" applyFill="1" applyBorder="1" applyAlignment="1">
      <alignment horizontal="center"/>
    </xf>
    <xf numFmtId="3" fontId="43" fillId="3" borderId="100" xfId="0" applyNumberFormat="1" applyFont="1" applyFill="1" applyBorder="1" applyAlignment="1">
      <alignment horizontal="center"/>
    </xf>
    <xf numFmtId="0" fontId="43" fillId="3" borderId="101" xfId="0" applyFont="1" applyFill="1" applyBorder="1" applyAlignment="1">
      <alignment horizontal="center"/>
    </xf>
    <xf numFmtId="0" fontId="43" fillId="3" borderId="102" xfId="0" applyFont="1" applyFill="1" applyBorder="1" applyAlignment="1">
      <alignment horizontal="center"/>
    </xf>
    <xf numFmtId="0" fontId="43" fillId="3" borderId="103" xfId="0" applyFont="1" applyFill="1" applyBorder="1" applyAlignment="1">
      <alignment horizontal="center"/>
    </xf>
    <xf numFmtId="2" fontId="20" fillId="0" borderId="0" xfId="15" applyNumberFormat="1" applyFont="1" applyAlignment="1">
      <alignment vertical="center"/>
    </xf>
    <xf numFmtId="0" fontId="5" fillId="3" borderId="2" xfId="11" applyFont="1" applyFill="1" applyBorder="1" applyAlignment="1">
      <alignment horizontal="center" vertical="center"/>
    </xf>
    <xf numFmtId="0" fontId="19" fillId="0" borderId="0" xfId="11" applyFont="1"/>
    <xf numFmtId="0" fontId="45" fillId="3" borderId="2" xfId="0" applyFont="1" applyFill="1" applyBorder="1" applyAlignment="1">
      <alignment horizontal="center" vertical="center"/>
    </xf>
    <xf numFmtId="3" fontId="46" fillId="3" borderId="2" xfId="11" applyNumberFormat="1" applyFont="1" applyFill="1" applyBorder="1" applyAlignment="1">
      <alignment horizontal="center" vertical="center"/>
    </xf>
    <xf numFmtId="0" fontId="0" fillId="0" borderId="0" xfId="0" pivotButton="1"/>
    <xf numFmtId="3" fontId="0" fillId="0" borderId="0" xfId="0" applyNumberFormat="1"/>
    <xf numFmtId="0" fontId="0" fillId="0" borderId="38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15" borderId="74" xfId="0" applyFill="1" applyBorder="1" applyAlignment="1">
      <alignment horizontal="center" vertical="center" wrapText="1"/>
    </xf>
    <xf numFmtId="0" fontId="0" fillId="15" borderId="68" xfId="0" applyFill="1" applyBorder="1" applyAlignment="1">
      <alignment horizontal="center" vertical="center" wrapText="1"/>
    </xf>
    <xf numFmtId="42" fontId="22" fillId="0" borderId="43" xfId="17" applyFont="1" applyBorder="1" applyAlignment="1" applyProtection="1">
      <alignment horizontal="left" vertical="center"/>
    </xf>
    <xf numFmtId="42" fontId="20" fillId="4" borderId="2" xfId="17" applyFont="1" applyFill="1" applyBorder="1" applyAlignment="1" applyProtection="1">
      <alignment horizontal="left" vertical="center"/>
    </xf>
    <xf numFmtId="42" fontId="20" fillId="4" borderId="36" xfId="17" applyFont="1" applyFill="1" applyBorder="1" applyAlignment="1" applyProtection="1">
      <alignment horizontal="left" vertical="center"/>
    </xf>
    <xf numFmtId="0" fontId="19" fillId="3" borderId="38" xfId="11" applyFont="1" applyFill="1" applyBorder="1" applyAlignment="1" applyProtection="1">
      <alignment horizontal="left" vertical="center" wrapText="1"/>
      <protection locked="0"/>
    </xf>
    <xf numFmtId="2" fontId="20" fillId="3" borderId="2" xfId="11" applyNumberFormat="1" applyFont="1" applyFill="1" applyBorder="1" applyAlignment="1">
      <alignment horizontal="center" vertical="center"/>
    </xf>
    <xf numFmtId="171" fontId="20" fillId="3" borderId="2" xfId="11" applyNumberFormat="1" applyFont="1" applyFill="1" applyBorder="1" applyAlignment="1">
      <alignment horizontal="center" vertical="center"/>
    </xf>
    <xf numFmtId="168" fontId="20" fillId="3" borderId="39" xfId="14" applyNumberFormat="1" applyFont="1" applyFill="1" applyBorder="1" applyAlignment="1" applyProtection="1">
      <alignment horizontal="center" vertical="center"/>
    </xf>
    <xf numFmtId="0" fontId="19" fillId="3" borderId="38" xfId="11" applyFont="1" applyFill="1" applyBorder="1" applyAlignment="1" applyProtection="1">
      <alignment horizontal="left" vertical="center"/>
      <protection locked="0"/>
    </xf>
    <xf numFmtId="0" fontId="19" fillId="3" borderId="78" xfId="11" applyFont="1" applyFill="1" applyBorder="1" applyAlignment="1" applyProtection="1">
      <alignment horizontal="left" vertical="center"/>
      <protection locked="0"/>
    </xf>
    <xf numFmtId="2" fontId="20" fillId="3" borderId="26" xfId="11" applyNumberFormat="1" applyFont="1" applyFill="1" applyBorder="1" applyAlignment="1">
      <alignment horizontal="center" vertical="center"/>
    </xf>
    <xf numFmtId="171" fontId="20" fillId="3" borderId="26" xfId="11" applyNumberFormat="1" applyFont="1" applyFill="1" applyBorder="1" applyAlignment="1">
      <alignment horizontal="center" vertical="center"/>
    </xf>
    <xf numFmtId="168" fontId="20" fillId="3" borderId="71" xfId="14" applyNumberFormat="1" applyFont="1" applyFill="1" applyBorder="1" applyAlignment="1" applyProtection="1">
      <alignment horizontal="center" vertical="center"/>
    </xf>
    <xf numFmtId="166" fontId="19" fillId="4" borderId="43" xfId="11" applyNumberFormat="1" applyFont="1" applyFill="1" applyBorder="1" applyAlignment="1" applyProtection="1">
      <alignment horizontal="center" vertical="center"/>
      <protection locked="0"/>
    </xf>
    <xf numFmtId="42" fontId="20" fillId="4" borderId="36" xfId="17" applyFont="1" applyFill="1" applyBorder="1" applyAlignment="1" applyProtection="1">
      <alignment horizontal="left" vertical="center"/>
      <protection locked="0"/>
    </xf>
    <xf numFmtId="0" fontId="19" fillId="3" borderId="6" xfId="11" applyFont="1" applyFill="1" applyBorder="1" applyAlignment="1" applyProtection="1">
      <alignment horizontal="left" vertical="center" wrapText="1"/>
      <protection locked="0"/>
    </xf>
    <xf numFmtId="2" fontId="20" fillId="3" borderId="3" xfId="11" applyNumberFormat="1" applyFont="1" applyFill="1" applyBorder="1" applyAlignment="1">
      <alignment horizontal="center" vertical="center"/>
    </xf>
    <xf numFmtId="171" fontId="20" fillId="3" borderId="3" xfId="11" applyNumberFormat="1" applyFont="1" applyFill="1" applyBorder="1" applyAlignment="1">
      <alignment horizontal="center" vertical="center"/>
    </xf>
    <xf numFmtId="2" fontId="20" fillId="3" borderId="48" xfId="14" applyNumberFormat="1" applyFont="1" applyFill="1" applyBorder="1" applyAlignment="1" applyProtection="1">
      <alignment horizontal="center" vertical="center"/>
    </xf>
    <xf numFmtId="0" fontId="19" fillId="3" borderId="17" xfId="11" applyFont="1" applyFill="1" applyBorder="1" applyAlignment="1" applyProtection="1">
      <alignment horizontal="left" vertical="center"/>
      <protection locked="0"/>
    </xf>
    <xf numFmtId="2" fontId="20" fillId="3" borderId="39" xfId="14" applyNumberFormat="1" applyFont="1" applyFill="1" applyBorder="1" applyAlignment="1" applyProtection="1">
      <alignment horizontal="center" vertical="center"/>
    </xf>
    <xf numFmtId="0" fontId="19" fillId="3" borderId="70" xfId="11" applyFont="1" applyFill="1" applyBorder="1" applyAlignment="1" applyProtection="1">
      <alignment horizontal="left" vertical="center" wrapText="1"/>
      <protection locked="0"/>
    </xf>
    <xf numFmtId="2" fontId="20" fillId="3" borderId="71" xfId="14" applyNumberFormat="1" applyFont="1" applyFill="1" applyBorder="1" applyAlignment="1" applyProtection="1">
      <alignment horizontal="center" vertical="center"/>
    </xf>
    <xf numFmtId="0" fontId="19" fillId="15" borderId="10" xfId="11" applyFont="1" applyFill="1" applyBorder="1" applyAlignment="1" applyProtection="1">
      <alignment horizontal="center" vertical="center"/>
      <protection locked="0"/>
    </xf>
    <xf numFmtId="0" fontId="19" fillId="15" borderId="68" xfId="11" applyFont="1" applyFill="1" applyBorder="1" applyAlignment="1" applyProtection="1">
      <alignment horizontal="center" vertical="center"/>
      <protection locked="0"/>
    </xf>
    <xf numFmtId="0" fontId="19" fillId="15" borderId="69" xfId="11" applyFont="1" applyFill="1" applyBorder="1" applyAlignment="1" applyProtection="1">
      <alignment horizontal="center" vertical="center"/>
      <protection locked="0"/>
    </xf>
    <xf numFmtId="0" fontId="19" fillId="12" borderId="72" xfId="11" applyFont="1" applyFill="1" applyBorder="1" applyAlignment="1" applyProtection="1">
      <alignment horizontal="left" vertical="center"/>
      <protection locked="0"/>
    </xf>
    <xf numFmtId="168" fontId="19" fillId="12" borderId="54" xfId="11" applyNumberFormat="1" applyFont="1" applyFill="1" applyBorder="1" applyAlignment="1">
      <alignment horizontal="center" vertical="center"/>
    </xf>
    <xf numFmtId="172" fontId="19" fillId="12" borderId="54" xfId="11" applyNumberFormat="1" applyFont="1" applyFill="1" applyBorder="1" applyAlignment="1">
      <alignment horizontal="center" vertical="center"/>
    </xf>
    <xf numFmtId="2" fontId="19" fillId="12" borderId="21" xfId="14" applyNumberFormat="1" applyFont="1" applyFill="1" applyBorder="1" applyAlignment="1" applyProtection="1">
      <alignment horizontal="center" vertical="center"/>
    </xf>
    <xf numFmtId="0" fontId="19" fillId="12" borderId="60" xfId="11" applyFont="1" applyFill="1" applyBorder="1" applyAlignment="1" applyProtection="1">
      <alignment horizontal="left" vertical="center"/>
      <protection locked="0"/>
    </xf>
    <xf numFmtId="2" fontId="19" fillId="12" borderId="54" xfId="11" applyNumberFormat="1" applyFont="1" applyFill="1" applyBorder="1" applyAlignment="1">
      <alignment horizontal="center" vertical="center"/>
    </xf>
    <xf numFmtId="171" fontId="19" fillId="12" borderId="54" xfId="11" applyNumberFormat="1" applyFont="1" applyFill="1" applyBorder="1" applyAlignment="1">
      <alignment horizontal="center" vertical="center"/>
    </xf>
    <xf numFmtId="168" fontId="19" fillId="12" borderId="21" xfId="14" applyNumberFormat="1" applyFont="1" applyFill="1" applyBorder="1" applyAlignment="1" applyProtection="1">
      <alignment horizontal="center" vertical="center"/>
    </xf>
    <xf numFmtId="0" fontId="19" fillId="15" borderId="75" xfId="11" applyFont="1" applyFill="1" applyBorder="1" applyAlignment="1" applyProtection="1">
      <alignment horizontal="center" vertical="center"/>
      <protection locked="0"/>
    </xf>
    <xf numFmtId="0" fontId="19" fillId="15" borderId="76" xfId="11" applyFont="1" applyFill="1" applyBorder="1" applyAlignment="1" applyProtection="1">
      <alignment horizontal="center" vertical="center"/>
      <protection locked="0"/>
    </xf>
    <xf numFmtId="0" fontId="19" fillId="15" borderId="77" xfId="11" applyFont="1" applyFill="1" applyBorder="1" applyAlignment="1" applyProtection="1">
      <alignment horizontal="center" vertical="center"/>
      <protection locked="0"/>
    </xf>
    <xf numFmtId="49" fontId="46" fillId="3" borderId="2" xfId="11" quotePrefix="1" applyNumberFormat="1" applyFont="1" applyFill="1" applyBorder="1" applyAlignment="1">
      <alignment horizontal="center" vertical="center"/>
    </xf>
    <xf numFmtId="42" fontId="20" fillId="0" borderId="36" xfId="17" applyFont="1" applyFill="1" applyBorder="1" applyAlignment="1" applyProtection="1">
      <alignment horizontal="left" vertical="center"/>
    </xf>
    <xf numFmtId="0" fontId="0" fillId="0" borderId="26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44" xfId="0" applyBorder="1"/>
    <xf numFmtId="173" fontId="0" fillId="0" borderId="37" xfId="20" applyNumberFormat="1" applyFont="1" applyBorder="1"/>
    <xf numFmtId="173" fontId="0" fillId="0" borderId="79" xfId="20" applyNumberFormat="1" applyFont="1" applyBorder="1"/>
    <xf numFmtId="0" fontId="0" fillId="0" borderId="4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15" borderId="4" xfId="0" applyFill="1" applyBorder="1"/>
    <xf numFmtId="0" fontId="0" fillId="15" borderId="1" xfId="0" applyFill="1" applyBorder="1"/>
    <xf numFmtId="173" fontId="0" fillId="15" borderId="5" xfId="20" applyNumberFormat="1" applyFont="1" applyFill="1" applyBorder="1"/>
    <xf numFmtId="0" fontId="0" fillId="15" borderId="104" xfId="0" applyFill="1" applyBorder="1" applyAlignment="1">
      <alignment horizontal="center" vertical="center" wrapText="1"/>
    </xf>
    <xf numFmtId="0" fontId="0" fillId="15" borderId="43" xfId="0" applyFill="1" applyBorder="1" applyAlignment="1">
      <alignment horizontal="center" vertical="center"/>
    </xf>
    <xf numFmtId="0" fontId="5" fillId="3" borderId="0" xfId="11" applyFont="1" applyFill="1" applyAlignment="1">
      <alignment horizontal="center" vertical="center"/>
    </xf>
    <xf numFmtId="0" fontId="19" fillId="3" borderId="29" xfId="15" applyFont="1" applyFill="1" applyBorder="1" applyAlignment="1">
      <alignment horizontal="right" vertical="center" textRotation="90"/>
    </xf>
    <xf numFmtId="0" fontId="19" fillId="3" borderId="29" xfId="15" applyFont="1" applyFill="1" applyBorder="1" applyAlignment="1">
      <alignment horizontal="right" vertical="center" textRotation="90" wrapText="1"/>
    </xf>
    <xf numFmtId="4" fontId="19" fillId="3" borderId="13" xfId="18" applyNumberFormat="1" applyFont="1" applyFill="1" applyBorder="1" applyAlignment="1" applyProtection="1">
      <alignment horizontal="center" vertical="center" wrapText="1"/>
      <protection locked="0"/>
    </xf>
    <xf numFmtId="4" fontId="19" fillId="3" borderId="14" xfId="18" applyNumberFormat="1" applyFont="1" applyFill="1" applyBorder="1" applyAlignment="1" applyProtection="1">
      <alignment horizontal="center" vertical="center" wrapText="1"/>
      <protection locked="0"/>
    </xf>
    <xf numFmtId="0" fontId="18" fillId="3" borderId="0" xfId="11" applyFont="1" applyFill="1" applyAlignment="1" applyProtection="1">
      <alignment horizontal="center" vertical="center"/>
      <protection locked="0"/>
    </xf>
    <xf numFmtId="0" fontId="20" fillId="17" borderId="56" xfId="11" applyFont="1" applyFill="1" applyBorder="1" applyAlignment="1" applyProtection="1">
      <alignment horizontal="center" vertical="center"/>
      <protection locked="0"/>
    </xf>
    <xf numFmtId="0" fontId="20" fillId="17" borderId="51" xfId="11" applyFont="1" applyFill="1" applyBorder="1" applyAlignment="1" applyProtection="1">
      <alignment horizontal="center" vertical="center"/>
      <protection locked="0"/>
    </xf>
    <xf numFmtId="0" fontId="20" fillId="17" borderId="46" xfId="11" applyFont="1" applyFill="1" applyBorder="1" applyAlignment="1" applyProtection="1">
      <alignment horizontal="center" vertical="center"/>
      <protection locked="0"/>
    </xf>
    <xf numFmtId="0" fontId="7" fillId="11" borderId="28" xfId="8" applyBorder="1" applyAlignment="1">
      <alignment horizontal="center" vertical="center" wrapText="1"/>
    </xf>
    <xf numFmtId="0" fontId="7" fillId="11" borderId="30" xfId="8" applyBorder="1" applyAlignment="1">
      <alignment horizontal="center" vertical="center" wrapText="1"/>
    </xf>
    <xf numFmtId="0" fontId="7" fillId="11" borderId="11" xfId="8" applyBorder="1" applyAlignment="1">
      <alignment horizontal="center" vertical="center"/>
    </xf>
    <xf numFmtId="0" fontId="7" fillId="11" borderId="12" xfId="8" applyBorder="1" applyAlignment="1">
      <alignment horizontal="center" vertical="center"/>
    </xf>
    <xf numFmtId="0" fontId="6" fillId="29" borderId="10" xfId="0" applyFont="1" applyFill="1" applyBorder="1" applyAlignment="1">
      <alignment horizontal="center"/>
    </xf>
    <xf numFmtId="0" fontId="6" fillId="29" borderId="11" xfId="0" applyFont="1" applyFill="1" applyBorder="1" applyAlignment="1">
      <alignment horizontal="center"/>
    </xf>
    <xf numFmtId="0" fontId="6" fillId="29" borderId="12" xfId="0" applyFont="1" applyFill="1" applyBorder="1" applyAlignment="1">
      <alignment horizontal="center"/>
    </xf>
    <xf numFmtId="0" fontId="6" fillId="29" borderId="22" xfId="0" applyFont="1" applyFill="1" applyBorder="1" applyAlignment="1">
      <alignment horizontal="center"/>
    </xf>
    <xf numFmtId="0" fontId="6" fillId="30" borderId="10" xfId="0" applyFont="1" applyFill="1" applyBorder="1" applyAlignment="1">
      <alignment horizontal="center"/>
    </xf>
    <xf numFmtId="0" fontId="6" fillId="30" borderId="11" xfId="0" applyFont="1" applyFill="1" applyBorder="1" applyAlignment="1">
      <alignment horizontal="center"/>
    </xf>
    <xf numFmtId="0" fontId="6" fillId="30" borderId="9" xfId="0" applyFont="1" applyFill="1" applyBorder="1" applyAlignment="1">
      <alignment horizontal="center"/>
    </xf>
    <xf numFmtId="0" fontId="6" fillId="30" borderId="12" xfId="0" applyFont="1" applyFill="1" applyBorder="1" applyAlignment="1">
      <alignment horizontal="center"/>
    </xf>
    <xf numFmtId="0" fontId="2" fillId="30" borderId="10" xfId="0" applyFont="1" applyFill="1" applyBorder="1" applyAlignment="1">
      <alignment horizontal="center"/>
    </xf>
    <xf numFmtId="0" fontId="2" fillId="30" borderId="11" xfId="0" applyFont="1" applyFill="1" applyBorder="1" applyAlignment="1">
      <alignment horizontal="center"/>
    </xf>
    <xf numFmtId="0" fontId="2" fillId="30" borderId="9" xfId="0" applyFont="1" applyFill="1" applyBorder="1" applyAlignment="1">
      <alignment horizontal="center"/>
    </xf>
    <xf numFmtId="0" fontId="2" fillId="30" borderId="12" xfId="0" applyFont="1" applyFill="1" applyBorder="1" applyAlignment="1">
      <alignment horizontal="center"/>
    </xf>
    <xf numFmtId="0" fontId="6" fillId="31" borderId="10" xfId="0" applyFont="1" applyFill="1" applyBorder="1" applyAlignment="1">
      <alignment horizontal="center"/>
    </xf>
    <xf numFmtId="0" fontId="6" fillId="31" borderId="11" xfId="0" applyFont="1" applyFill="1" applyBorder="1" applyAlignment="1">
      <alignment horizontal="center"/>
    </xf>
    <xf numFmtId="0" fontId="6" fillId="31" borderId="25" xfId="0" applyFont="1" applyFill="1" applyBorder="1" applyAlignment="1">
      <alignment horizontal="center"/>
    </xf>
    <xf numFmtId="0" fontId="6" fillId="31" borderId="12" xfId="0" applyFont="1" applyFill="1" applyBorder="1" applyAlignment="1">
      <alignment horizontal="center"/>
    </xf>
    <xf numFmtId="4" fontId="2" fillId="15" borderId="28" xfId="1" applyNumberFormat="1" applyFont="1" applyFill="1" applyBorder="1" applyAlignment="1">
      <alignment horizontal="center" vertical="center" wrapText="1"/>
    </xf>
    <xf numFmtId="4" fontId="2" fillId="15" borderId="30" xfId="1" applyNumberFormat="1" applyFont="1" applyFill="1" applyBorder="1" applyAlignment="1">
      <alignment horizontal="center" vertical="center" wrapText="1"/>
    </xf>
    <xf numFmtId="0" fontId="5" fillId="15" borderId="10" xfId="0" applyFont="1" applyFill="1" applyBorder="1" applyAlignment="1">
      <alignment horizontal="center" vertical="center"/>
    </xf>
    <xf numFmtId="0" fontId="5" fillId="15" borderId="12" xfId="0" applyFont="1" applyFill="1" applyBorder="1" applyAlignment="1">
      <alignment horizontal="center" vertical="center"/>
    </xf>
    <xf numFmtId="0" fontId="5" fillId="15" borderId="40" xfId="0" applyFont="1" applyFill="1" applyBorder="1" applyAlignment="1">
      <alignment horizontal="center" vertical="center" wrapText="1"/>
    </xf>
    <xf numFmtId="0" fontId="5" fillId="15" borderId="4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15" borderId="10" xfId="0" applyFont="1" applyFill="1" applyBorder="1" applyAlignment="1">
      <alignment horizontal="center"/>
    </xf>
    <xf numFmtId="0" fontId="6" fillId="15" borderId="12" xfId="0" applyFont="1" applyFill="1" applyBorder="1" applyAlignment="1">
      <alignment horizontal="center"/>
    </xf>
    <xf numFmtId="0" fontId="2" fillId="15" borderId="9" xfId="1" applyFont="1" applyFill="1" applyBorder="1" applyAlignment="1">
      <alignment horizontal="center" vertical="center" wrapText="1"/>
    </xf>
    <xf numFmtId="0" fontId="2" fillId="15" borderId="1" xfId="1" applyFont="1" applyFill="1" applyBorder="1" applyAlignment="1">
      <alignment horizontal="center" vertical="center" wrapText="1"/>
    </xf>
    <xf numFmtId="0" fontId="2" fillId="15" borderId="22" xfId="1" applyFont="1" applyFill="1" applyBorder="1" applyAlignment="1">
      <alignment horizontal="center" vertical="center" wrapText="1"/>
    </xf>
    <xf numFmtId="0" fontId="2" fillId="15" borderId="4" xfId="1" applyFont="1" applyFill="1" applyBorder="1" applyAlignment="1">
      <alignment horizontal="center" vertical="center" wrapText="1"/>
    </xf>
    <xf numFmtId="0" fontId="2" fillId="15" borderId="10" xfId="3" applyFont="1" applyFill="1" applyBorder="1" applyAlignment="1">
      <alignment horizontal="center" vertical="center"/>
    </xf>
    <xf numFmtId="0" fontId="2" fillId="15" borderId="12" xfId="3" applyFont="1" applyFill="1" applyBorder="1" applyAlignment="1">
      <alignment horizontal="center" vertical="center"/>
    </xf>
    <xf numFmtId="3" fontId="2" fillId="15" borderId="9" xfId="1" applyNumberFormat="1" applyFont="1" applyFill="1" applyBorder="1" applyAlignment="1">
      <alignment horizontal="center" vertical="center" wrapText="1"/>
    </xf>
    <xf numFmtId="3" fontId="2" fillId="15" borderId="1" xfId="1" applyNumberFormat="1" applyFont="1" applyFill="1" applyBorder="1" applyAlignment="1">
      <alignment horizontal="center" vertical="center" wrapText="1"/>
    </xf>
    <xf numFmtId="0" fontId="2" fillId="15" borderId="9" xfId="1" applyFont="1" applyFill="1" applyBorder="1" applyAlignment="1">
      <alignment horizontal="center" vertical="center"/>
    </xf>
    <xf numFmtId="0" fontId="2" fillId="15" borderId="1" xfId="1" applyFont="1" applyFill="1" applyBorder="1" applyAlignment="1">
      <alignment horizontal="center" vertical="center"/>
    </xf>
    <xf numFmtId="0" fontId="2" fillId="15" borderId="22" xfId="1" applyFont="1" applyFill="1" applyBorder="1" applyAlignment="1">
      <alignment horizontal="center" vertical="center"/>
    </xf>
    <xf numFmtId="0" fontId="2" fillId="15" borderId="4" xfId="1" applyFont="1" applyFill="1" applyBorder="1" applyAlignment="1">
      <alignment horizontal="center" vertical="center"/>
    </xf>
    <xf numFmtId="0" fontId="2" fillId="17" borderId="6" xfId="3" applyFont="1" applyFill="1" applyBorder="1" applyAlignment="1">
      <alignment horizontal="center" vertical="center" wrapText="1"/>
    </xf>
    <xf numFmtId="0" fontId="2" fillId="17" borderId="7" xfId="3" applyFont="1" applyFill="1" applyBorder="1" applyAlignment="1">
      <alignment horizontal="center" vertical="center" wrapText="1"/>
    </xf>
    <xf numFmtId="0" fontId="2" fillId="17" borderId="8" xfId="3" applyFont="1" applyFill="1" applyBorder="1" applyAlignment="1">
      <alignment horizontal="center" vertical="center" wrapText="1"/>
    </xf>
    <xf numFmtId="0" fontId="2" fillId="3" borderId="4" xfId="4" applyFont="1" applyFill="1" applyBorder="1" applyAlignment="1">
      <alignment horizontal="center" vertical="center"/>
    </xf>
    <xf numFmtId="0" fontId="2" fillId="3" borderId="5" xfId="4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" fontId="2" fillId="15" borderId="9" xfId="1" applyNumberFormat="1" applyFont="1" applyFill="1" applyBorder="1" applyAlignment="1">
      <alignment horizontal="center" vertical="center" wrapText="1"/>
    </xf>
    <xf numFmtId="4" fontId="2" fillId="15" borderId="1" xfId="1" applyNumberFormat="1" applyFont="1" applyFill="1" applyBorder="1" applyAlignment="1">
      <alignment horizontal="center" vertical="center" wrapText="1"/>
    </xf>
    <xf numFmtId="0" fontId="8" fillId="6" borderId="6" xfId="3" applyFont="1" applyBorder="1" applyAlignment="1">
      <alignment horizontal="center" vertical="center"/>
    </xf>
    <xf numFmtId="0" fontId="8" fillId="6" borderId="8" xfId="3" applyFont="1" applyBorder="1" applyAlignment="1">
      <alignment horizontal="center" vertical="center"/>
    </xf>
    <xf numFmtId="0" fontId="42" fillId="0" borderId="0" xfId="3" applyFont="1" applyFill="1" applyBorder="1" applyAlignment="1">
      <alignment horizontal="center" vertical="center" wrapText="1"/>
    </xf>
    <xf numFmtId="0" fontId="42" fillId="0" borderId="0" xfId="4" applyFont="1" applyFill="1" applyBorder="1" applyAlignment="1">
      <alignment horizontal="center" vertical="center"/>
    </xf>
    <xf numFmtId="4" fontId="41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2" fillId="2" borderId="0" xfId="1" applyFont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2" fillId="2" borderId="0" xfId="1" applyFont="1" applyBorder="1" applyAlignment="1">
      <alignment horizontal="center" vertical="center" wrapText="1"/>
    </xf>
    <xf numFmtId="0" fontId="2" fillId="2" borderId="1" xfId="1" applyFont="1" applyBorder="1" applyAlignment="1">
      <alignment horizontal="center" vertical="center" wrapText="1"/>
    </xf>
    <xf numFmtId="3" fontId="2" fillId="2" borderId="0" xfId="1" applyNumberFormat="1" applyFont="1" applyBorder="1" applyAlignment="1">
      <alignment horizontal="center" vertical="center" wrapText="1"/>
    </xf>
    <xf numFmtId="3" fontId="2" fillId="2" borderId="1" xfId="1" applyNumberFormat="1" applyFont="1" applyBorder="1" applyAlignment="1">
      <alignment horizontal="center" vertical="center" wrapText="1"/>
    </xf>
    <xf numFmtId="0" fontId="2" fillId="2" borderId="19" xfId="1" applyFont="1" applyBorder="1" applyAlignment="1">
      <alignment horizontal="center" vertical="center" wrapText="1"/>
    </xf>
    <xf numFmtId="0" fontId="2" fillId="2" borderId="4" xfId="1" applyFont="1" applyBorder="1" applyAlignment="1">
      <alignment horizontal="center" vertical="center" wrapText="1"/>
    </xf>
    <xf numFmtId="4" fontId="2" fillId="2" borderId="0" xfId="1" applyNumberFormat="1" applyFont="1" applyBorder="1" applyAlignment="1">
      <alignment horizontal="center" vertical="center" wrapText="1"/>
    </xf>
    <xf numFmtId="4" fontId="2" fillId="2" borderId="1" xfId="1" applyNumberFormat="1" applyFont="1" applyBorder="1" applyAlignment="1">
      <alignment horizontal="center" vertical="center" wrapText="1"/>
    </xf>
    <xf numFmtId="0" fontId="2" fillId="2" borderId="24" xfId="1" applyFont="1" applyBorder="1" applyAlignment="1">
      <alignment horizontal="center" vertical="center" wrapText="1"/>
    </xf>
    <xf numFmtId="0" fontId="2" fillId="2" borderId="5" xfId="1" applyFont="1" applyBorder="1" applyAlignment="1">
      <alignment horizontal="center" vertical="center" wrapText="1"/>
    </xf>
    <xf numFmtId="0" fontId="8" fillId="6" borderId="28" xfId="3" applyFont="1" applyBorder="1" applyAlignment="1">
      <alignment horizontal="center" vertical="center" wrapText="1"/>
    </xf>
    <xf numFmtId="0" fontId="8" fillId="6" borderId="45" xfId="3" applyFont="1" applyBorder="1" applyAlignment="1">
      <alignment horizontal="center" vertical="center" wrapText="1"/>
    </xf>
    <xf numFmtId="0" fontId="8" fillId="6" borderId="6" xfId="3" applyFont="1" applyBorder="1" applyAlignment="1">
      <alignment horizontal="center" vertical="center" wrapText="1"/>
    </xf>
    <xf numFmtId="0" fontId="8" fillId="6" borderId="8" xfId="3" applyFont="1" applyBorder="1" applyAlignment="1">
      <alignment horizontal="center" vertical="center" wrapText="1"/>
    </xf>
    <xf numFmtId="0" fontId="2" fillId="7" borderId="4" xfId="4" applyFont="1" applyBorder="1" applyAlignment="1">
      <alignment horizontal="center" vertical="center"/>
    </xf>
    <xf numFmtId="0" fontId="2" fillId="7" borderId="5" xfId="4" applyFont="1" applyBorder="1" applyAlignment="1">
      <alignment horizontal="center" vertical="center"/>
    </xf>
    <xf numFmtId="0" fontId="14" fillId="11" borderId="7" xfId="8" applyFont="1" applyBorder="1" applyAlignment="1">
      <alignment horizontal="center" vertical="center"/>
    </xf>
    <xf numFmtId="0" fontId="14" fillId="11" borderId="8" xfId="8" applyFont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14" fillId="11" borderId="28" xfId="8" applyFont="1" applyBorder="1" applyAlignment="1">
      <alignment horizontal="center" vertical="center" wrapText="1"/>
    </xf>
    <xf numFmtId="0" fontId="14" fillId="11" borderId="30" xfId="8" applyFont="1" applyBorder="1" applyAlignment="1">
      <alignment horizontal="center" vertical="center" wrapText="1"/>
    </xf>
    <xf numFmtId="0" fontId="14" fillId="11" borderId="6" xfId="8" applyFont="1" applyBorder="1" applyAlignment="1">
      <alignment horizontal="center" vertical="center"/>
    </xf>
    <xf numFmtId="0" fontId="14" fillId="11" borderId="9" xfId="8" applyFont="1" applyBorder="1" applyAlignment="1">
      <alignment horizontal="center" vertical="center"/>
    </xf>
    <xf numFmtId="0" fontId="14" fillId="11" borderId="25" xfId="8" applyFont="1" applyBorder="1" applyAlignment="1">
      <alignment horizontal="center" vertical="center"/>
    </xf>
    <xf numFmtId="0" fontId="14" fillId="11" borderId="22" xfId="8" applyFont="1" applyBorder="1" applyAlignment="1">
      <alignment horizontal="center" vertical="center" wrapText="1"/>
    </xf>
    <xf numFmtId="0" fontId="14" fillId="11" borderId="4" xfId="8" applyFont="1" applyBorder="1" applyAlignment="1">
      <alignment horizontal="center" vertical="center" wrapText="1"/>
    </xf>
    <xf numFmtId="0" fontId="14" fillId="11" borderId="22" xfId="8" applyFont="1" applyBorder="1" applyAlignment="1">
      <alignment horizontal="center" vertical="center"/>
    </xf>
    <xf numFmtId="0" fontId="35" fillId="0" borderId="89" xfId="0" applyFont="1" applyBorder="1" applyAlignment="1">
      <alignment horizontal="center" vertical="center" wrapText="1"/>
    </xf>
    <xf numFmtId="0" fontId="35" fillId="0" borderId="90" xfId="0" applyFont="1" applyBorder="1" applyAlignment="1">
      <alignment horizontal="center" vertical="center" wrapText="1"/>
    </xf>
    <xf numFmtId="0" fontId="35" fillId="0" borderId="87" xfId="0" applyFont="1" applyBorder="1" applyAlignment="1">
      <alignment horizontal="center" vertical="center" wrapText="1"/>
    </xf>
    <xf numFmtId="0" fontId="36" fillId="0" borderId="89" xfId="0" applyFont="1" applyBorder="1" applyAlignment="1">
      <alignment horizontal="center" vertical="center" wrapText="1"/>
    </xf>
    <xf numFmtId="0" fontId="36" fillId="0" borderId="90" xfId="0" applyFont="1" applyBorder="1" applyAlignment="1">
      <alignment horizontal="center" vertical="center" wrapText="1"/>
    </xf>
    <xf numFmtId="0" fontId="36" fillId="0" borderId="87" xfId="0" applyFont="1" applyBorder="1" applyAlignment="1">
      <alignment horizontal="center" vertical="center" wrapText="1"/>
    </xf>
    <xf numFmtId="0" fontId="35" fillId="0" borderId="89" xfId="0" applyFont="1" applyBorder="1" applyAlignment="1">
      <alignment horizontal="left" vertical="center" wrapText="1"/>
    </xf>
    <xf numFmtId="0" fontId="35" fillId="0" borderId="90" xfId="0" applyFont="1" applyBorder="1" applyAlignment="1">
      <alignment horizontal="left" vertical="center" wrapText="1"/>
    </xf>
    <xf numFmtId="0" fontId="35" fillId="0" borderId="87" xfId="0" applyFont="1" applyBorder="1" applyAlignment="1">
      <alignment horizontal="left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6" fillId="18" borderId="22" xfId="5" applyFont="1" applyFill="1" applyBorder="1" applyAlignment="1">
      <alignment horizontal="left" vertical="center"/>
    </xf>
    <xf numFmtId="0" fontId="6" fillId="18" borderId="25" xfId="5" applyFont="1" applyFill="1" applyBorder="1" applyAlignment="1">
      <alignment horizontal="left" vertical="center"/>
    </xf>
    <xf numFmtId="0" fontId="6" fillId="18" borderId="10" xfId="5" applyFont="1" applyFill="1" applyBorder="1" applyAlignment="1">
      <alignment horizontal="left" vertical="center"/>
    </xf>
    <xf numFmtId="0" fontId="6" fillId="18" borderId="12" xfId="5" applyFont="1" applyFill="1" applyBorder="1" applyAlignment="1">
      <alignment horizontal="left" vertical="center"/>
    </xf>
    <xf numFmtId="0" fontId="6" fillId="18" borderId="10" xfId="0" applyFont="1" applyFill="1" applyBorder="1" applyAlignment="1">
      <alignment horizontal="left" vertical="center"/>
    </xf>
    <xf numFmtId="0" fontId="6" fillId="18" borderId="12" xfId="0" applyFont="1" applyFill="1" applyBorder="1" applyAlignment="1">
      <alignment horizontal="left" vertical="center"/>
    </xf>
    <xf numFmtId="0" fontId="6" fillId="10" borderId="10" xfId="6" applyFont="1" applyBorder="1" applyAlignment="1">
      <alignment horizontal="center" vertical="center"/>
    </xf>
    <xf numFmtId="0" fontId="6" fillId="10" borderId="11" xfId="6" applyFont="1" applyBorder="1" applyAlignment="1">
      <alignment horizontal="center" vertical="center"/>
    </xf>
    <xf numFmtId="0" fontId="6" fillId="10" borderId="12" xfId="6" applyFont="1" applyBorder="1" applyAlignment="1">
      <alignment horizontal="center" vertical="center"/>
    </xf>
    <xf numFmtId="0" fontId="6" fillId="9" borderId="10" xfId="5" applyFont="1" applyBorder="1" applyAlignment="1">
      <alignment horizontal="center" vertical="center"/>
    </xf>
    <xf numFmtId="0" fontId="6" fillId="9" borderId="11" xfId="5" applyFont="1" applyBorder="1" applyAlignment="1">
      <alignment horizontal="center" vertical="center"/>
    </xf>
    <xf numFmtId="0" fontId="6" fillId="9" borderId="12" xfId="5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3" borderId="0" xfId="6" applyFont="1" applyFill="1" applyBorder="1" applyAlignment="1">
      <alignment horizontal="center" vertical="center"/>
    </xf>
    <xf numFmtId="0" fontId="6" fillId="3" borderId="0" xfId="5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9" borderId="22" xfId="5" applyFont="1" applyBorder="1" applyAlignment="1">
      <alignment horizontal="center" vertical="center"/>
    </xf>
    <xf numFmtId="0" fontId="6" fillId="9" borderId="9" xfId="5" applyFont="1" applyBorder="1" applyAlignment="1">
      <alignment horizontal="center" vertical="center"/>
    </xf>
    <xf numFmtId="0" fontId="7" fillId="3" borderId="0" xfId="8" applyFill="1" applyBorder="1" applyAlignment="1">
      <alignment horizontal="center" vertical="center" wrapText="1"/>
    </xf>
    <xf numFmtId="0" fontId="7" fillId="3" borderId="0" xfId="8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6" fillId="14" borderId="12" xfId="0" applyFont="1" applyFill="1" applyBorder="1" applyAlignment="1">
      <alignment horizontal="center" vertical="center"/>
    </xf>
    <xf numFmtId="0" fontId="6" fillId="18" borderId="10" xfId="6" applyFont="1" applyFill="1" applyBorder="1" applyAlignment="1">
      <alignment horizontal="center" vertical="center"/>
    </xf>
    <xf numFmtId="0" fontId="6" fillId="18" borderId="12" xfId="6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7" fillId="11" borderId="6" xfId="8" applyBorder="1" applyAlignment="1">
      <alignment horizontal="center" vertical="center" wrapText="1"/>
    </xf>
    <xf numFmtId="0" fontId="7" fillId="11" borderId="33" xfId="8" applyBorder="1" applyAlignment="1">
      <alignment horizontal="center" vertical="center" wrapText="1"/>
    </xf>
    <xf numFmtId="0" fontId="7" fillId="11" borderId="31" xfId="8" applyBorder="1" applyAlignment="1">
      <alignment horizontal="center" vertical="center"/>
    </xf>
    <xf numFmtId="0" fontId="7" fillId="11" borderId="32" xfId="8" applyBorder="1" applyAlignment="1">
      <alignment horizontal="center" vertical="center"/>
    </xf>
    <xf numFmtId="0" fontId="8" fillId="6" borderId="7" xfId="3" applyFont="1" applyBorder="1" applyAlignment="1">
      <alignment horizontal="center" vertical="center" wrapText="1"/>
    </xf>
    <xf numFmtId="0" fontId="6" fillId="12" borderId="10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" fillId="2" borderId="9" xfId="1" applyFont="1" applyBorder="1" applyAlignment="1">
      <alignment horizontal="center" vertical="center" wrapText="1"/>
    </xf>
    <xf numFmtId="0" fontId="2" fillId="2" borderId="22" xfId="1" applyFont="1" applyBorder="1" applyAlignment="1">
      <alignment horizontal="center" vertical="center" wrapText="1"/>
    </xf>
    <xf numFmtId="4" fontId="2" fillId="2" borderId="19" xfId="1" applyNumberFormat="1" applyFont="1" applyBorder="1" applyAlignment="1">
      <alignment horizontal="center" vertical="center" wrapText="1"/>
    </xf>
    <xf numFmtId="4" fontId="2" fillId="2" borderId="4" xfId="1" applyNumberFormat="1" applyFont="1" applyBorder="1" applyAlignment="1">
      <alignment horizontal="center" vertical="center" wrapText="1"/>
    </xf>
    <xf numFmtId="0" fontId="2" fillId="2" borderId="25" xfId="1" applyFont="1" applyBorder="1" applyAlignment="1">
      <alignment horizontal="center" vertical="center" wrapText="1"/>
    </xf>
  </cellXfs>
  <cellStyles count="21">
    <cellStyle name="40% - Énfasis6" xfId="5" builtinId="51"/>
    <cellStyle name="60% - Énfasis1" xfId="1" builtinId="32"/>
    <cellStyle name="60% - Énfasis1 2" xfId="13" xr:uid="{00000000-0005-0000-0000-000002000000}"/>
    <cellStyle name="60% - Énfasis2" xfId="4" builtinId="36"/>
    <cellStyle name="60% - Énfasis3 2" xfId="12" xr:uid="{00000000-0005-0000-0000-000004000000}"/>
    <cellStyle name="60% - Énfasis6" xfId="6" builtinId="52"/>
    <cellStyle name="Énfasis2" xfId="3" builtinId="33"/>
    <cellStyle name="Énfasis3" xfId="10" builtinId="37"/>
    <cellStyle name="Énfasis6" xfId="8" builtinId="49"/>
    <cellStyle name="Excel Built-in Normal" xfId="9" xr:uid="{00000000-0005-0000-0000-000009000000}"/>
    <cellStyle name="F-" xfId="7" xr:uid="{00000000-0005-0000-0000-00000A000000}"/>
    <cellStyle name="Millares [0]" xfId="20" builtinId="6"/>
    <cellStyle name="Millares [0] 3" xfId="14" xr:uid="{00000000-0005-0000-0000-00000B000000}"/>
    <cellStyle name="Millares 3" xfId="18" xr:uid="{00000000-0005-0000-0000-00000C000000}"/>
    <cellStyle name="Moneda [0]" xfId="2" builtinId="7"/>
    <cellStyle name="Moneda [0] 2" xfId="17" xr:uid="{00000000-0005-0000-0000-00000E000000}"/>
    <cellStyle name="Normal" xfId="0" builtinId="0"/>
    <cellStyle name="Normal 2" xfId="11" xr:uid="{00000000-0005-0000-0000-000010000000}"/>
    <cellStyle name="Normal 2 2" xfId="15" xr:uid="{00000000-0005-0000-0000-000011000000}"/>
    <cellStyle name="Porcentaje" xfId="19" builtinId="5"/>
    <cellStyle name="Porcentaje 2" xfId="16" xr:uid="{00000000-0005-0000-0000-000012000000}"/>
  </cellStyles>
  <dxfs count="104">
    <dxf>
      <fill>
        <patternFill>
          <bgColor theme="9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b/>
        <i val="0"/>
        <color theme="9" tint="0.39994506668294322"/>
      </font>
    </dxf>
    <dxf>
      <fill>
        <patternFill>
          <bgColor rgb="FFFFC7CE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6699FF"/>
      <color rgb="FFD5ABFF"/>
      <color rgb="FFFF0000"/>
      <color rgb="FFFF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581025</xdr:colOff>
          <xdr:row>1</xdr:row>
          <xdr:rowOff>161925</xdr:rowOff>
        </xdr:from>
        <xdr:to>
          <xdr:col>10</xdr:col>
          <xdr:colOff>209550</xdr:colOff>
          <xdr:row>5</xdr:row>
          <xdr:rowOff>38100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0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971550</xdr:colOff>
          <xdr:row>1</xdr:row>
          <xdr:rowOff>38100</xdr:rowOff>
        </xdr:from>
        <xdr:to>
          <xdr:col>11</xdr:col>
          <xdr:colOff>809625</xdr:colOff>
          <xdr:row>5</xdr:row>
          <xdr:rowOff>85725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1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22</xdr:row>
      <xdr:rowOff>0</xdr:rowOff>
    </xdr:from>
    <xdr:to>
      <xdr:col>15</xdr:col>
      <xdr:colOff>0</xdr:colOff>
      <xdr:row>34</xdr:row>
      <xdr:rowOff>76200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pSpPr>
          <a:grpSpLocks/>
        </xdr:cNvGrpSpPr>
      </xdr:nvGrpSpPr>
      <xdr:grpSpPr bwMode="auto">
        <a:xfrm>
          <a:off x="10802471" y="4459941"/>
          <a:ext cx="762000" cy="2496671"/>
          <a:chOff x="0" y="0"/>
          <a:chExt cx="1206" cy="3899"/>
        </a:xfrm>
      </xdr:grpSpPr>
      <xdr:sp macro="" textlink="">
        <xdr:nvSpPr>
          <xdr:cNvPr id="3" name="Line 2">
            <a:extLst>
              <a:ext uri="{FF2B5EF4-FFF2-40B4-BE49-F238E27FC236}">
                <a16:creationId xmlns:a16="http://schemas.microsoft.com/office/drawing/2014/main" id="{00000000-0008-0000-0D00-000003000000}"/>
              </a:ext>
            </a:extLst>
          </xdr:cNvPr>
          <xdr:cNvSpPr>
            <a:spLocks noChangeShapeType="1"/>
          </xdr:cNvSpPr>
        </xdr:nvSpPr>
        <xdr:spPr bwMode="auto">
          <a:xfrm>
            <a:off x="1201" y="5"/>
            <a:ext cx="0" cy="3888"/>
          </a:xfrm>
          <a:prstGeom prst="line">
            <a:avLst/>
          </a:prstGeom>
          <a:noFill/>
          <a:ln w="6096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co Lavin" refreshedDate="46211.632126504628" createdVersion="8" refreshedVersion="8" minRefreshableVersion="3" recordCount="90" xr:uid="{DE2657F7-09A2-40BF-B148-5DA0D58FAB84}">
  <cacheSource type="worksheet">
    <worksheetSource ref="A8:V98" sheet="CUBICACION"/>
  </cacheSource>
  <cacheFields count="22">
    <cacheField name="UBICACIÓN" numFmtId="0">
      <sharedItems containsBlank="1"/>
    </cacheField>
    <cacheField name="PLANO" numFmtId="49">
      <sharedItems containsBlank="1"/>
    </cacheField>
    <cacheField name="DESCRIPCIÓN EN PLANO" numFmtId="0">
      <sharedItems containsBlank="1"/>
    </cacheField>
    <cacheField name="ESTRUCTURA" numFmtId="0">
      <sharedItems containsBlank="1" count="8">
        <s v="PILAR"/>
        <s v="PUNTAL"/>
        <s v="ARRIOSTRAMINETO VERTICAL"/>
        <m/>
        <s v="VIGA"/>
        <s v="COSTANERA"/>
        <s v="VIGA BAJO LOSA"/>
        <s v="LOSA"/>
      </sharedItems>
    </cacheField>
    <cacheField name="DIMENSIONES" numFmtId="0">
      <sharedItems containsBlank="1" count="12">
        <s v="MM 400X200X4"/>
        <s v="150X150X5"/>
        <s v="200X100X3"/>
        <s v="100X100X3"/>
        <s v="200X100X4"/>
        <m/>
        <s v=" M1 MM600X225X4"/>
        <s v="125X50X15X2"/>
        <s v="200X100X8,5X5,6"/>
        <s v="M1 MM400X200X4"/>
        <s v="240X120X9,8X6,2"/>
        <s v="-"/>
      </sharedItems>
    </cacheField>
    <cacheField name="PERFIL" numFmtId="0">
      <sharedItems containsBlank="1"/>
    </cacheField>
    <cacheField name="CANT." numFmtId="0">
      <sharedItems containsString="0" containsBlank="1" containsNumber="1" containsInteger="1" minValue="1" maxValue="28"/>
    </cacheField>
    <cacheField name="CANTIDAD ESTRUCTURAS" numFmtId="0">
      <sharedItems containsString="0" containsBlank="1" containsNumber="1" containsInteger="1" minValue="1" maxValue="7"/>
    </cacheField>
    <cacheField name="LARGO_x000a_[mm]" numFmtId="0">
      <sharedItems containsString="0" containsBlank="1" containsNumber="1" containsInteger="1" minValue="1377" maxValue="68200"/>
    </cacheField>
    <cacheField name="CARAS EXPTAS." numFmtId="0">
      <sharedItems containsSemiMixedTypes="0" containsString="0" containsNumber="1" containsInteger="1" minValue="1" maxValue="4" count="3">
        <n v="4"/>
        <n v="3"/>
        <n v="1"/>
      </sharedItems>
    </cacheField>
    <cacheField name="PERÍMETRO EXPUESTO_x000a_[mm]" numFmtId="0">
      <sharedItems containsString="0" containsBlank="1" containsNumber="1" containsInteger="1" minValue="400" maxValue="11640"/>
    </cacheField>
    <cacheField name="RESIST. AL FUEGO" numFmtId="0">
      <sharedItems containsBlank="1" containsMixedTypes="1" containsNumber="1" containsInteger="1" minValue="60" maxValue="60" count="3">
        <s v="F-60"/>
        <m/>
        <n v="60"/>
      </sharedItems>
    </cacheField>
    <cacheField name="MASIV. (M-1)" numFmtId="3">
      <sharedItems containsBlank="1" containsMixedTypes="1" containsNumber="1" containsInteger="1" minValue="200" maxValue="1057" count="9">
        <n v="236"/>
        <n v="200"/>
        <n v="333"/>
        <n v="250"/>
        <m/>
        <n v="1057"/>
        <n v="265"/>
        <n v="233"/>
        <s v="-"/>
      </sharedItems>
    </cacheField>
    <cacheField name="ÁREA EXPUESTA_x000a_[m2]" numFmtId="4">
      <sharedItems containsSemiMixedTypes="0" containsString="0" containsNumber="1" minValue="0" maxValue="849.77200000000005"/>
    </cacheField>
    <cacheField name="MATERIAL" numFmtId="0">
      <sharedItems containsBlank="1" count="3">
        <s v="Fire Tex 5090"/>
        <m/>
        <s v="Blaze Shield II"/>
      </sharedItems>
    </cacheField>
    <cacheField name="CERTIFICACION" numFmtId="0">
      <sharedItems/>
    </cacheField>
    <cacheField name="MICRAS" numFmtId="0">
      <sharedItems containsMixedTypes="1" containsNumber="1" containsInteger="1" minValue="1930" maxValue="2828"/>
    </cacheField>
    <cacheField name="FORMULA" numFmtId="2">
      <sharedItems containsMixedTypes="1" containsNumber="1" minValue="3.1121349371411613" maxValue="4.5601645607436296"/>
    </cacheField>
    <cacheField name="TINETAS" numFmtId="2">
      <sharedItems containsMixedTypes="1" containsNumber="1" minValue="0.19279369696969698" maxValue="89.054940000000002"/>
    </cacheField>
    <cacheField name="ESPESOR (mm)" numFmtId="0">
      <sharedItems containsMixedTypes="1" containsNumber="1" containsInteger="1" minValue="15" maxValue="54"/>
    </cacheField>
    <cacheField name="SACOS" numFmtId="2">
      <sharedItems containsMixedTypes="1" containsNumber="1" minValue="0.49568956105263157" maxValue="519.25541684210521"/>
    </cacheField>
    <cacheField name="ANOTACION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ELEVACION EJE A"/>
    <s v="107-B"/>
    <s v="PM1 "/>
    <x v="0"/>
    <x v="0"/>
    <s v="CJ"/>
    <n v="2"/>
    <n v="1"/>
    <n v="5000"/>
    <x v="0"/>
    <n v="1200"/>
    <x v="0"/>
    <x v="0"/>
    <n v="12"/>
    <x v="0"/>
    <s v="Software Idiem"/>
    <n v="2196"/>
    <n v="4.0077949008357026"/>
    <n v="2.9941651948051953"/>
    <s v=" "/>
    <s v=" "/>
    <s v="CERT."/>
  </r>
  <r>
    <s v="ELEVACION EJE A"/>
    <s v="107-B"/>
    <s v="PM1"/>
    <x v="0"/>
    <x v="0"/>
    <s v="CJ"/>
    <n v="10"/>
    <n v="1"/>
    <n v="6000"/>
    <x v="0"/>
    <n v="1200"/>
    <x v="0"/>
    <x v="0"/>
    <n v="72"/>
    <x v="0"/>
    <s v="Software Idiem"/>
    <n v="2196"/>
    <n v="4.0077949008357026"/>
    <n v="17.964991168831173"/>
    <s v=" "/>
    <s v=" "/>
    <s v="CERT."/>
  </r>
  <r>
    <s v="ELEVACION EJE A"/>
    <s v="107-B"/>
    <s v="PM3"/>
    <x v="0"/>
    <x v="1"/>
    <s v="CJ"/>
    <n v="4"/>
    <n v="1"/>
    <n v="4000"/>
    <x v="0"/>
    <n v="600"/>
    <x v="0"/>
    <x v="1"/>
    <n v="9.6"/>
    <x v="0"/>
    <s v="Software Idiem"/>
    <n v="1930"/>
    <n v="4.5601645607436296"/>
    <n v="2.105187186147186"/>
    <s v=" "/>
    <s v=" "/>
    <s v="CERT."/>
  </r>
  <r>
    <s v="ELEVACION EJE A"/>
    <s v="107-B"/>
    <s v="CJ200X100X3"/>
    <x v="0"/>
    <x v="2"/>
    <s v="CJ"/>
    <n v="2"/>
    <n v="1"/>
    <n v="6200"/>
    <x v="0"/>
    <n v="600"/>
    <x v="0"/>
    <x v="2"/>
    <n v="7.44"/>
    <x v="0"/>
    <s v="Software Idiem"/>
    <n v="2828"/>
    <n v="3.1121349371411613"/>
    <n v="2.3906418424242428"/>
    <s v=" "/>
    <s v=" "/>
    <s v="CERT."/>
  </r>
  <r>
    <s v="ELEVACION EJE A"/>
    <s v="107-B"/>
    <s v="PUNTAL. TIP"/>
    <x v="1"/>
    <x v="3"/>
    <s v="CJ"/>
    <n v="1"/>
    <n v="1"/>
    <n v="68200"/>
    <x v="0"/>
    <n v="400"/>
    <x v="0"/>
    <x v="2"/>
    <n v="27.28"/>
    <x v="0"/>
    <s v="Software Idiem"/>
    <n v="2828"/>
    <n v="3.1121349371411613"/>
    <n v="8.7656867555555564"/>
    <s v=" "/>
    <s v=" "/>
    <s v="CERT."/>
  </r>
  <r>
    <s v="ELEVACION EJE A"/>
    <s v="107-B"/>
    <s v="ARRIOSTRA"/>
    <x v="2"/>
    <x v="3"/>
    <s v="CJ"/>
    <n v="8"/>
    <n v="1"/>
    <n v="7500"/>
    <x v="0"/>
    <n v="400"/>
    <x v="0"/>
    <x v="2"/>
    <n v="24"/>
    <x v="0"/>
    <s v="Software Idiem"/>
    <n v="2828"/>
    <n v="3.1121349371411613"/>
    <n v="7.7117478787878788"/>
    <s v=" "/>
    <s v=" "/>
    <s v="CERT."/>
  </r>
  <r>
    <s v="ELEVACION EJE F"/>
    <s v="107-B"/>
    <s v="PM1"/>
    <x v="0"/>
    <x v="0"/>
    <s v="CJ"/>
    <n v="2"/>
    <n v="1"/>
    <n v="5000"/>
    <x v="0"/>
    <n v="1200"/>
    <x v="0"/>
    <x v="0"/>
    <n v="12"/>
    <x v="0"/>
    <s v="Software Idiem"/>
    <n v="2196"/>
    <n v="4.0077949008357026"/>
    <n v="2.9941651948051953"/>
    <s v=" "/>
    <s v=" "/>
    <s v="CERT."/>
  </r>
  <r>
    <s v="ELEVACION EJE F"/>
    <s v="107-B"/>
    <s v="PM1"/>
    <x v="0"/>
    <x v="0"/>
    <s v="CJ"/>
    <n v="10"/>
    <n v="1"/>
    <n v="6000"/>
    <x v="0"/>
    <n v="1200"/>
    <x v="0"/>
    <x v="0"/>
    <n v="72"/>
    <x v="0"/>
    <s v="Software Idiem"/>
    <n v="2196"/>
    <n v="4.0077949008357026"/>
    <n v="17.964991168831173"/>
    <s v=" "/>
    <s v=" "/>
    <s v="CERT."/>
  </r>
  <r>
    <s v="ELEVACION EJE F"/>
    <s v="107-B"/>
    <s v="PM3"/>
    <x v="0"/>
    <x v="1"/>
    <s v="CJ"/>
    <n v="2"/>
    <n v="1"/>
    <n v="4000"/>
    <x v="0"/>
    <n v="600"/>
    <x v="0"/>
    <x v="1"/>
    <n v="4.8"/>
    <x v="0"/>
    <s v="Software Idiem"/>
    <n v="1930"/>
    <n v="4.5601645607436296"/>
    <n v="1.052593593073593"/>
    <s v=" "/>
    <s v=" "/>
    <s v="CERT."/>
  </r>
  <r>
    <s v="ELEVACION EJE F"/>
    <s v="107-B"/>
    <s v="CJ200X100X3"/>
    <x v="0"/>
    <x v="2"/>
    <s v="CJ"/>
    <n v="1"/>
    <n v="1"/>
    <n v="6200"/>
    <x v="0"/>
    <n v="600"/>
    <x v="0"/>
    <x v="2"/>
    <n v="3.72"/>
    <x v="0"/>
    <s v="Software Idiem"/>
    <n v="2828"/>
    <n v="3.1121349371411613"/>
    <n v="1.1953209212121214"/>
    <s v=" "/>
    <s v=" "/>
    <s v="CERT."/>
  </r>
  <r>
    <s v="ELEVACION EJE F"/>
    <s v="107-B"/>
    <s v="PUNTAL. TIP"/>
    <x v="1"/>
    <x v="3"/>
    <s v="CJ"/>
    <n v="1"/>
    <n v="1"/>
    <n v="68200"/>
    <x v="0"/>
    <n v="400"/>
    <x v="0"/>
    <x v="2"/>
    <n v="27.28"/>
    <x v="0"/>
    <s v="Software Idiem"/>
    <n v="2828"/>
    <n v="3.1121349371411613"/>
    <n v="8.7656867555555564"/>
    <s v=" "/>
    <s v=" "/>
    <s v="CERT."/>
  </r>
  <r>
    <s v="ELEVACION EJE F"/>
    <s v="107-B"/>
    <s v="ARRIOSTRA"/>
    <x v="2"/>
    <x v="3"/>
    <s v="CJ"/>
    <n v="8"/>
    <n v="1"/>
    <n v="7500"/>
    <x v="0"/>
    <n v="400"/>
    <x v="0"/>
    <x v="2"/>
    <n v="24"/>
    <x v="0"/>
    <s v="Software Idiem"/>
    <n v="2828"/>
    <n v="3.1121349371411613"/>
    <n v="7.7117478787878788"/>
    <s v=" "/>
    <s v=" "/>
    <s v="CERT."/>
  </r>
  <r>
    <s v="ELEVACION EJE B"/>
    <s v="107-B"/>
    <s v="PM2"/>
    <x v="0"/>
    <x v="4"/>
    <s v="CJ"/>
    <n v="2"/>
    <n v="1"/>
    <n v="7500"/>
    <x v="0"/>
    <n v="600"/>
    <x v="0"/>
    <x v="3"/>
    <n v="9"/>
    <x v="0"/>
    <s v="Software Idiem"/>
    <n v="2262"/>
    <n v="3.8908565880792239"/>
    <n v="2.3131153246753247"/>
    <s v=" "/>
    <s v=" "/>
    <s v="CERT."/>
  </r>
  <r>
    <s v="ELEVACION EJE B"/>
    <s v="107-B"/>
    <s v="PM3"/>
    <x v="0"/>
    <x v="1"/>
    <s v="CJ"/>
    <n v="9"/>
    <n v="1"/>
    <n v="6400"/>
    <x v="0"/>
    <n v="600"/>
    <x v="0"/>
    <x v="1"/>
    <n v="34.56"/>
    <x v="0"/>
    <s v="Software Idiem"/>
    <n v="1930"/>
    <n v="4.5601645607436296"/>
    <n v="7.5786738701298697"/>
    <s v=" "/>
    <s v=" "/>
    <s v="CERT."/>
  </r>
  <r>
    <s v="ELEVACION EJE B"/>
    <s v="107-B"/>
    <s v="PM3"/>
    <x v="0"/>
    <x v="1"/>
    <s v="CJ"/>
    <n v="3"/>
    <n v="1"/>
    <n v="7500"/>
    <x v="0"/>
    <n v="600"/>
    <x v="0"/>
    <x v="1"/>
    <n v="13.5"/>
    <x v="0"/>
    <s v="Software Idiem"/>
    <n v="1930"/>
    <n v="4.5601645607436296"/>
    <n v="2.9604194805194801"/>
    <s v=" "/>
    <s v=" "/>
    <s v="CERT."/>
  </r>
  <r>
    <m/>
    <m/>
    <m/>
    <x v="3"/>
    <x v="5"/>
    <m/>
    <m/>
    <m/>
    <m/>
    <x v="0"/>
    <m/>
    <x v="1"/>
    <x v="4"/>
    <n v="0"/>
    <x v="1"/>
    <s v="Software Idiem"/>
    <s v=" "/>
    <s v=" "/>
    <s v=" "/>
    <s v=" "/>
    <s v=" "/>
    <s v="-"/>
  </r>
  <r>
    <m/>
    <m/>
    <m/>
    <x v="3"/>
    <x v="5"/>
    <m/>
    <m/>
    <m/>
    <m/>
    <x v="0"/>
    <m/>
    <x v="1"/>
    <x v="4"/>
    <n v="0"/>
    <x v="1"/>
    <s v="Software Idiem"/>
    <s v=" "/>
    <s v=" "/>
    <s v=" "/>
    <s v=" "/>
    <s v=" "/>
    <s v="-"/>
  </r>
  <r>
    <s v="ELEVACION EJE 10"/>
    <s v="106-B"/>
    <s v=" M1 MM600X225X4"/>
    <x v="4"/>
    <x v="6"/>
    <s v="CJ"/>
    <n v="2"/>
    <n v="1"/>
    <n v="15000"/>
    <x v="0"/>
    <n v="1650"/>
    <x v="0"/>
    <x v="3"/>
    <n v="49.5"/>
    <x v="0"/>
    <s v="Software Idiem"/>
    <n v="2262"/>
    <n v="3.8908565880792239"/>
    <n v="12.722134285714287"/>
    <s v=" "/>
    <s v=" "/>
    <s v="CERT."/>
  </r>
  <r>
    <s v="ELEVACION EJE 11"/>
    <s v="106-B"/>
    <s v=" M1 MM600X225X4"/>
    <x v="4"/>
    <x v="6"/>
    <s v="CJ"/>
    <n v="2"/>
    <n v="1"/>
    <n v="15000"/>
    <x v="0"/>
    <n v="1650"/>
    <x v="0"/>
    <x v="3"/>
    <n v="49.5"/>
    <x v="0"/>
    <s v="Software Idiem"/>
    <n v="2262"/>
    <n v="3.8908565880792239"/>
    <n v="12.722134285714287"/>
    <s v=" "/>
    <s v=" "/>
    <s v="CERT."/>
  </r>
  <r>
    <s v="ELEVACION EJE 02"/>
    <s v="106-B"/>
    <s v=" M1 MM600X225X4"/>
    <x v="4"/>
    <x v="6"/>
    <s v="CJ"/>
    <n v="2"/>
    <n v="1"/>
    <n v="15000"/>
    <x v="0"/>
    <n v="1650"/>
    <x v="0"/>
    <x v="3"/>
    <n v="49.5"/>
    <x v="0"/>
    <s v="Software Idiem"/>
    <n v="2262"/>
    <n v="3.8908565880792239"/>
    <n v="12.722134285714287"/>
    <s v=" "/>
    <s v=" "/>
    <s v="CERT."/>
  </r>
  <r>
    <s v="ELEVACION EJES 3, 4, 5, 6, 7,8 , 9"/>
    <s v="106-B"/>
    <s v=" M1 MM600X225X4"/>
    <x v="4"/>
    <x v="6"/>
    <s v="CJ"/>
    <n v="2"/>
    <n v="7"/>
    <n v="15000"/>
    <x v="0"/>
    <n v="1650"/>
    <x v="0"/>
    <x v="3"/>
    <n v="346.5"/>
    <x v="0"/>
    <s v="Software Idiem"/>
    <n v="2262"/>
    <n v="3.8908565880792239"/>
    <n v="89.054940000000002"/>
    <s v=" "/>
    <s v=" "/>
    <s v="CERT."/>
  </r>
  <r>
    <s v="ELEVACION EJE 12"/>
    <s v="106-B"/>
    <s v=" M1 MM600X225X4"/>
    <x v="4"/>
    <x v="6"/>
    <s v="CJ"/>
    <n v="2"/>
    <n v="7"/>
    <n v="15000"/>
    <x v="0"/>
    <n v="1650"/>
    <x v="0"/>
    <x v="3"/>
    <n v="346.5"/>
    <x v="0"/>
    <s v="Software Idiem"/>
    <n v="2262"/>
    <n v="3.8908565880792239"/>
    <n v="89.054940000000002"/>
    <s v=" "/>
    <s v=" "/>
    <s v="CERT."/>
  </r>
  <r>
    <s v="ELEVACION EJE 12"/>
    <s v="106-B"/>
    <s v="PM2"/>
    <x v="0"/>
    <x v="4"/>
    <s v="CJ"/>
    <n v="2"/>
    <n v="1"/>
    <n v="6200"/>
    <x v="0"/>
    <n v="600"/>
    <x v="0"/>
    <x v="3"/>
    <n v="7.44"/>
    <x v="0"/>
    <s v="Software Idiem"/>
    <n v="2262"/>
    <n v="3.8908565880792239"/>
    <n v="1.9121753350649351"/>
    <s v=" "/>
    <s v=" "/>
    <s v="CERT."/>
  </r>
  <r>
    <s v="ELEVACION EJE 12"/>
    <s v="106-B"/>
    <s v="PM2"/>
    <x v="0"/>
    <x v="4"/>
    <s v="CJ"/>
    <n v="1"/>
    <n v="1"/>
    <n v="7500"/>
    <x v="0"/>
    <n v="600"/>
    <x v="0"/>
    <x v="3"/>
    <n v="4.5"/>
    <x v="0"/>
    <s v="Software Idiem"/>
    <n v="2262"/>
    <n v="3.8908565880792239"/>
    <n v="1.1565576623376623"/>
    <s v=" "/>
    <s v=" "/>
    <s v="CERT."/>
  </r>
  <r>
    <s v="ELEVACION EJE 12"/>
    <s v="106-B"/>
    <s v="CJ200X100X3"/>
    <x v="0"/>
    <x v="2"/>
    <s v="CJ"/>
    <n v="1"/>
    <n v="1"/>
    <n v="15000"/>
    <x v="0"/>
    <n v="600"/>
    <x v="0"/>
    <x v="2"/>
    <n v="9"/>
    <x v="0"/>
    <s v="Software Idiem"/>
    <n v="2828"/>
    <n v="3.1121349371411613"/>
    <n v="2.8919054545454546"/>
    <s v=" "/>
    <s v=" "/>
    <s v="CERT."/>
  </r>
  <r>
    <s v="ELEVACION EJE 12"/>
    <s v="106-B"/>
    <s v="PM3"/>
    <x v="0"/>
    <x v="1"/>
    <s v="CJ"/>
    <n v="4"/>
    <n v="1"/>
    <n v="4000"/>
    <x v="0"/>
    <n v="600"/>
    <x v="0"/>
    <x v="1"/>
    <n v="9.6"/>
    <x v="0"/>
    <s v="Software Idiem"/>
    <n v="1930"/>
    <n v="4.5601645607436296"/>
    <n v="2.105187186147186"/>
    <s v=" "/>
    <s v=" "/>
    <s v="CERT."/>
  </r>
  <r>
    <s v="ELEVACION EJE 1"/>
    <s v="106-B"/>
    <s v="PM2"/>
    <x v="0"/>
    <x v="4"/>
    <s v="CJ"/>
    <n v="1"/>
    <n v="1"/>
    <n v="8000"/>
    <x v="0"/>
    <n v="600"/>
    <x v="0"/>
    <x v="3"/>
    <n v="4.8"/>
    <x v="0"/>
    <s v="Software Idiem"/>
    <n v="2262"/>
    <n v="3.8908565880792239"/>
    <n v="1.2336615064935064"/>
    <s v=" "/>
    <s v=" "/>
    <s v="CERT."/>
  </r>
  <r>
    <s v="ELEVACION EJE 1"/>
    <s v="106-B"/>
    <s v="PM2"/>
    <x v="0"/>
    <x v="4"/>
    <s v="CJ"/>
    <n v="1"/>
    <n v="1"/>
    <n v="7500"/>
    <x v="0"/>
    <n v="600"/>
    <x v="0"/>
    <x v="3"/>
    <n v="4.5"/>
    <x v="0"/>
    <s v="Software Idiem"/>
    <n v="2262"/>
    <n v="3.8908565880792239"/>
    <n v="1.1565576623376623"/>
    <s v=" "/>
    <s v=" "/>
    <s v="CERT."/>
  </r>
  <r>
    <s v="ELEVACION EJE 1"/>
    <s v="106-B"/>
    <s v="PM2"/>
    <x v="0"/>
    <x v="4"/>
    <s v="CJ"/>
    <n v="1"/>
    <n v="1"/>
    <n v="6500"/>
    <x v="0"/>
    <n v="600"/>
    <x v="0"/>
    <x v="3"/>
    <n v="3.9"/>
    <x v="0"/>
    <s v="Software Idiem"/>
    <n v="2262"/>
    <n v="3.8908565880792239"/>
    <n v="1.002349974025974"/>
    <s v=" "/>
    <s v=" "/>
    <s v="CERT."/>
  </r>
  <r>
    <s v="ELEVACION EJE 1"/>
    <s v="106-B"/>
    <s v="PM3"/>
    <x v="0"/>
    <x v="1"/>
    <s v="CJ"/>
    <n v="1"/>
    <n v="1"/>
    <n v="6000"/>
    <x v="0"/>
    <n v="600"/>
    <x v="0"/>
    <x v="1"/>
    <n v="3.6"/>
    <x v="0"/>
    <s v="Software Idiem"/>
    <n v="1930"/>
    <n v="4.5601645607436296"/>
    <n v="0.78944519480519471"/>
    <s v=" "/>
    <s v=" "/>
    <s v="CERT."/>
  </r>
  <r>
    <s v="ELEVACION EJE 1"/>
    <s v="106-B"/>
    <s v=" M1 MM600X225X4"/>
    <x v="4"/>
    <x v="6"/>
    <s v="CJ"/>
    <n v="2"/>
    <n v="1"/>
    <n v="15000"/>
    <x v="0"/>
    <n v="1650"/>
    <x v="0"/>
    <x v="3"/>
    <n v="49.5"/>
    <x v="0"/>
    <s v="Software Idiem"/>
    <n v="2262"/>
    <n v="3.8908565880792239"/>
    <n v="12.722134285714287"/>
    <s v=" "/>
    <s v=" "/>
    <s v="CERT."/>
  </r>
  <r>
    <s v="ELEVACION EJE 1"/>
    <s v="106-B"/>
    <s v="CJ200X100X3"/>
    <x v="4"/>
    <x v="2"/>
    <s v="CJ"/>
    <n v="2"/>
    <n v="1"/>
    <n v="11370"/>
    <x v="0"/>
    <n v="600"/>
    <x v="0"/>
    <x v="2"/>
    <n v="13.644"/>
    <x v="0"/>
    <s v="Software Idiem"/>
    <n v="2828"/>
    <n v="3.1121349371411613"/>
    <n v="4.3841286690909094"/>
    <s v=" "/>
    <s v=" "/>
    <s v="CERT."/>
  </r>
  <r>
    <s v="ELEVACION EJA 9A"/>
    <s v="106-B"/>
    <s v="PM3"/>
    <x v="0"/>
    <x v="1"/>
    <s v="CJ"/>
    <n v="1"/>
    <n v="1"/>
    <n v="8000"/>
    <x v="0"/>
    <n v="600"/>
    <x v="0"/>
    <x v="1"/>
    <n v="4.8"/>
    <x v="0"/>
    <s v="Software Idiem"/>
    <n v="1930"/>
    <n v="4.5601645607436296"/>
    <n v="1.052593593073593"/>
    <s v=" "/>
    <s v=" "/>
    <s v="CERT."/>
  </r>
  <r>
    <s v="ELEVACION EJA 9A"/>
    <s v="106-B"/>
    <s v="PM3"/>
    <x v="0"/>
    <x v="1"/>
    <s v="CJ"/>
    <n v="1"/>
    <n v="1"/>
    <n v="7500"/>
    <x v="0"/>
    <n v="600"/>
    <x v="0"/>
    <x v="1"/>
    <n v="4.5"/>
    <x v="0"/>
    <s v="Software Idiem"/>
    <n v="1930"/>
    <n v="4.5601645607436296"/>
    <n v="0.98680649350649341"/>
    <s v=" "/>
    <s v=" "/>
    <s v="CERT."/>
  </r>
  <r>
    <s v="ELEVACION EJA 9A"/>
    <s v="106-B"/>
    <s v="PM3"/>
    <x v="0"/>
    <x v="1"/>
    <s v="CJ"/>
    <n v="1"/>
    <n v="1"/>
    <n v="6500"/>
    <x v="0"/>
    <n v="600"/>
    <x v="0"/>
    <x v="1"/>
    <n v="3.9"/>
    <x v="0"/>
    <s v="Software Idiem"/>
    <n v="1930"/>
    <n v="4.5601645607436296"/>
    <n v="0.85523229437229431"/>
    <s v=" "/>
    <s v=" "/>
    <s v="CERT."/>
  </r>
  <r>
    <m/>
    <m/>
    <m/>
    <x v="3"/>
    <x v="5"/>
    <m/>
    <m/>
    <m/>
    <m/>
    <x v="0"/>
    <m/>
    <x v="1"/>
    <x v="4"/>
    <n v="0"/>
    <x v="1"/>
    <s v="Software Idiem"/>
    <s v=" "/>
    <s v=" "/>
    <s v=" "/>
    <s v=" "/>
    <s v=" "/>
    <s v="-"/>
  </r>
  <r>
    <m/>
    <m/>
    <m/>
    <x v="3"/>
    <x v="5"/>
    <m/>
    <m/>
    <m/>
    <m/>
    <x v="0"/>
    <m/>
    <x v="1"/>
    <x v="4"/>
    <n v="0"/>
    <x v="1"/>
    <s v="Software Idiem"/>
    <s v=" "/>
    <s v=" "/>
    <s v=" "/>
    <s v=" "/>
    <s v=" "/>
    <s v="-"/>
  </r>
  <r>
    <s v="PLANTA TECHUMBRE"/>
    <s v="104-B"/>
    <s v="COSTANERA TIP"/>
    <x v="5"/>
    <x v="7"/>
    <s v="C"/>
    <n v="28"/>
    <n v="1"/>
    <n v="68200"/>
    <x v="1"/>
    <n v="445"/>
    <x v="2"/>
    <x v="5"/>
    <n v="849.77200000000005"/>
    <x v="2"/>
    <s v="Software Idiem"/>
    <s v=" "/>
    <s v=" "/>
    <s v=" "/>
    <n v="54"/>
    <n v="519.25541684210521"/>
    <s v="NO CERT."/>
  </r>
  <r>
    <s v="ELEVACION EJE 1"/>
    <s v="211-B"/>
    <s v="VM3"/>
    <x v="4"/>
    <x v="3"/>
    <s v="CJ"/>
    <n v="1"/>
    <n v="1"/>
    <n v="29210"/>
    <x v="0"/>
    <n v="400"/>
    <x v="0"/>
    <x v="2"/>
    <n v="11.683999999999999"/>
    <x v="0"/>
    <s v="Software Idiem"/>
    <n v="2828"/>
    <n v="3.1121349371411613"/>
    <n v="3.7543359256565654"/>
    <s v=" "/>
    <s v=" "/>
    <s v="CERT."/>
  </r>
  <r>
    <s v="ELEVACION EJE 1"/>
    <s v="211-B"/>
    <s v="PM1"/>
    <x v="0"/>
    <x v="0"/>
    <s v="CJ"/>
    <n v="6"/>
    <n v="1"/>
    <n v="7000"/>
    <x v="0"/>
    <n v="1200"/>
    <x v="0"/>
    <x v="0"/>
    <n v="50.4"/>
    <x v="0"/>
    <s v="Software Idiem"/>
    <n v="2196"/>
    <n v="4.0077949008357026"/>
    <n v="12.575493818181821"/>
    <s v=" "/>
    <s v=" "/>
    <s v="CERT."/>
  </r>
  <r>
    <s v="ELEVACION EJE 1"/>
    <s v="211-B"/>
    <s v="PM3"/>
    <x v="0"/>
    <x v="1"/>
    <s v="CJ"/>
    <n v="2"/>
    <n v="1"/>
    <n v="4000"/>
    <x v="0"/>
    <n v="600"/>
    <x v="0"/>
    <x v="1"/>
    <n v="4.8"/>
    <x v="0"/>
    <s v="Software Idiem"/>
    <n v="1930"/>
    <n v="4.5601645607436296"/>
    <n v="1.052593593073593"/>
    <s v=" "/>
    <s v=" "/>
    <s v="CERT."/>
  </r>
  <r>
    <s v="ELEVACION EJE 1"/>
    <s v="211-B"/>
    <s v="VM2 IPE 200"/>
    <x v="6"/>
    <x v="8"/>
    <s v="CJ"/>
    <n v="1"/>
    <n v="1"/>
    <n v="29210"/>
    <x v="1"/>
    <n v="723"/>
    <x v="2"/>
    <x v="6"/>
    <n v="21.118829999999999"/>
    <x v="2"/>
    <s v="Software Idiem"/>
    <s v=" "/>
    <s v=" "/>
    <s v=" "/>
    <n v="35"/>
    <n v="8.3641681973684214"/>
    <s v="CERT."/>
  </r>
  <r>
    <s v="ELEVACION EJE 1"/>
    <s v="211-B"/>
    <s v="ARRIOSTRA"/>
    <x v="2"/>
    <x v="3"/>
    <s v="CJ"/>
    <n v="4"/>
    <n v="1"/>
    <n v="6700"/>
    <x v="0"/>
    <n v="400"/>
    <x v="0"/>
    <x v="2"/>
    <n v="10.72"/>
    <x v="0"/>
    <s v="Software Idiem"/>
    <n v="2828"/>
    <n v="3.1121349371411613"/>
    <n v="3.4445807191919195"/>
    <s v=" "/>
    <s v=" "/>
    <s v="CERT."/>
  </r>
  <r>
    <s v="ELEVACION EJE 1"/>
    <s v="211-B"/>
    <s v="CJ200X100X4"/>
    <x v="4"/>
    <x v="4"/>
    <s v="CJ"/>
    <n v="1"/>
    <n v="1"/>
    <n v="2000"/>
    <x v="0"/>
    <n v="600"/>
    <x v="0"/>
    <x v="3"/>
    <n v="1.2"/>
    <x v="0"/>
    <s v="Software Idiem"/>
    <n v="2262"/>
    <n v="3.8908565880792239"/>
    <n v="0.30841537662337659"/>
    <s v=" "/>
    <s v=" "/>
    <s v="CERT."/>
  </r>
  <r>
    <s v="ELEVACION EJE 1"/>
    <s v="211-B"/>
    <s v="CJ100X100X3"/>
    <x v="4"/>
    <x v="3"/>
    <s v="CJ"/>
    <n v="2"/>
    <n v="1"/>
    <n v="3400"/>
    <x v="0"/>
    <n v="400"/>
    <x v="0"/>
    <x v="2"/>
    <n v="2.72"/>
    <x v="0"/>
    <s v="Software Idiem"/>
    <n v="2828"/>
    <n v="3.1121349371411613"/>
    <n v="0.87399809292929298"/>
    <s v=" "/>
    <s v=" "/>
    <s v="CERT."/>
  </r>
  <r>
    <s v="ELEVACION EJE 1"/>
    <s v="211-B"/>
    <s v="CJ100X100X3"/>
    <x v="0"/>
    <x v="3"/>
    <s v="CJ"/>
    <n v="1"/>
    <n v="1"/>
    <n v="1500"/>
    <x v="0"/>
    <n v="400"/>
    <x v="0"/>
    <x v="2"/>
    <n v="0.6"/>
    <x v="0"/>
    <s v="Software Idiem"/>
    <n v="2828"/>
    <n v="3.1121349371411613"/>
    <n v="0.19279369696969698"/>
    <s v=" "/>
    <s v=" "/>
    <s v="CERT."/>
  </r>
  <r>
    <s v="ELEVACION EJE 1"/>
    <s v="211-B"/>
    <s v="CJ100X100X3"/>
    <x v="0"/>
    <x v="3"/>
    <s v="CJ"/>
    <n v="1"/>
    <n v="1"/>
    <n v="4000"/>
    <x v="0"/>
    <n v="400"/>
    <x v="0"/>
    <x v="2"/>
    <n v="1.6"/>
    <x v="0"/>
    <s v="Software Idiem"/>
    <n v="2828"/>
    <n v="3.1121349371411613"/>
    <n v="0.51411652525252527"/>
    <s v=" "/>
    <s v=" "/>
    <s v="CERT."/>
  </r>
  <r>
    <s v="ELEVACION EJE 1"/>
    <s v="211-B"/>
    <s v="ARRIOSTRA"/>
    <x v="2"/>
    <x v="3"/>
    <s v="CJ"/>
    <n v="4"/>
    <n v="1"/>
    <n v="7200"/>
    <x v="0"/>
    <n v="400"/>
    <x v="0"/>
    <x v="2"/>
    <n v="11.52"/>
    <x v="0"/>
    <s v="Software Idiem"/>
    <n v="2828"/>
    <n v="3.1121349371411613"/>
    <n v="3.7016389818181819"/>
    <s v=" "/>
    <s v=" "/>
    <s v="CERT."/>
  </r>
  <r>
    <s v="ELEVACION EJE 1"/>
    <s v="211-B"/>
    <s v="CJ100X100X3"/>
    <x v="0"/>
    <x v="3"/>
    <s v="CJ"/>
    <n v="1"/>
    <n v="1"/>
    <n v="3000"/>
    <x v="0"/>
    <n v="400"/>
    <x v="0"/>
    <x v="2"/>
    <n v="1.2"/>
    <x v="0"/>
    <s v="Software Idiem"/>
    <n v="2828"/>
    <n v="3.1121349371411613"/>
    <n v="0.38558739393939395"/>
    <s v=" "/>
    <s v=" "/>
    <s v="CERT."/>
  </r>
  <r>
    <s v="ELEVACION EJE 2"/>
    <s v="211-B"/>
    <s v="PM1"/>
    <x v="0"/>
    <x v="0"/>
    <s v="CJ"/>
    <n v="6"/>
    <n v="1"/>
    <n v="8000"/>
    <x v="0"/>
    <n v="1200"/>
    <x v="0"/>
    <x v="0"/>
    <n v="57.6"/>
    <x v="0"/>
    <s v="Software Idiem"/>
    <n v="2196"/>
    <n v="4.0077949008357026"/>
    <n v="14.371992935064938"/>
    <s v=" "/>
    <s v=" "/>
    <s v="CERT."/>
  </r>
  <r>
    <s v="ELEVACION EJE 2"/>
    <s v="211-B"/>
    <s v="VM3"/>
    <x v="4"/>
    <x v="3"/>
    <s v="CJ"/>
    <n v="1"/>
    <n v="1"/>
    <n v="29210"/>
    <x v="0"/>
    <n v="400"/>
    <x v="0"/>
    <x v="2"/>
    <n v="11.683999999999999"/>
    <x v="0"/>
    <s v="Software Idiem"/>
    <n v="2828"/>
    <n v="3.1121349371411613"/>
    <n v="3.7543359256565654"/>
    <s v=" "/>
    <s v=" "/>
    <s v="CERT."/>
  </r>
  <r>
    <s v="ELEVACION EJE 2"/>
    <s v="211-B"/>
    <s v="VM2 IPE 200"/>
    <x v="6"/>
    <x v="8"/>
    <s v="CJ"/>
    <n v="1"/>
    <n v="1"/>
    <n v="29210"/>
    <x v="1"/>
    <n v="723"/>
    <x v="2"/>
    <x v="6"/>
    <n v="21.118829999999999"/>
    <x v="2"/>
    <s v="Software Idiem"/>
    <s v=" "/>
    <s v=" "/>
    <s v=" "/>
    <n v="35"/>
    <n v="8.3641681973684214"/>
    <s v="CERT."/>
  </r>
  <r>
    <s v="ELEVACION EJE 2"/>
    <s v="211-B"/>
    <s v="PM3"/>
    <x v="0"/>
    <x v="1"/>
    <s v="CJ"/>
    <n v="2"/>
    <n v="1"/>
    <n v="4000"/>
    <x v="0"/>
    <n v="600"/>
    <x v="0"/>
    <x v="1"/>
    <n v="4.8"/>
    <x v="0"/>
    <s v="Software Idiem"/>
    <n v="1930"/>
    <n v="4.5601645607436296"/>
    <n v="1.052593593073593"/>
    <s v=" "/>
    <s v=" "/>
    <s v="CERT."/>
  </r>
  <r>
    <s v="ELEVACION EJE 2"/>
    <s v="211-B"/>
    <s v="ARRIOSTRA"/>
    <x v="2"/>
    <x v="3"/>
    <s v="CJ"/>
    <n v="4"/>
    <n v="1"/>
    <n v="7200"/>
    <x v="0"/>
    <n v="400"/>
    <x v="0"/>
    <x v="2"/>
    <n v="11.52"/>
    <x v="0"/>
    <s v="Software Idiem"/>
    <n v="2828"/>
    <n v="3.1121349371411613"/>
    <n v="3.7016389818181819"/>
    <s v=" "/>
    <s v=" "/>
    <s v="CERT."/>
  </r>
  <r>
    <s v="ELEVACION EJE 2"/>
    <s v="211-B"/>
    <s v="ARRIOSTRA"/>
    <x v="2"/>
    <x v="3"/>
    <s v="CJ"/>
    <n v="4"/>
    <n v="1"/>
    <n v="6700"/>
    <x v="0"/>
    <n v="400"/>
    <x v="0"/>
    <x v="2"/>
    <n v="10.72"/>
    <x v="0"/>
    <s v="Software Idiem"/>
    <n v="2828"/>
    <n v="3.1121349371411613"/>
    <n v="3.4445807191919195"/>
    <s v=" "/>
    <s v=" "/>
    <s v="CERT."/>
  </r>
  <r>
    <s v="ELEVACION EJE 2"/>
    <s v="211-B"/>
    <s v="ARRIOSTRA"/>
    <x v="2"/>
    <x v="3"/>
    <s v="CJ"/>
    <n v="2"/>
    <n v="1"/>
    <n v="5800"/>
    <x v="0"/>
    <n v="400"/>
    <x v="0"/>
    <x v="2"/>
    <n v="4.6399999999999997"/>
    <x v="0"/>
    <s v="Software Idiem"/>
    <n v="2828"/>
    <n v="3.1121349371411613"/>
    <n v="1.4909379232323232"/>
    <s v=" "/>
    <s v=" "/>
    <s v="CERT."/>
  </r>
  <r>
    <s v="ELEVACION EJE 2"/>
    <s v="211-B"/>
    <s v="ARRIOSTRA"/>
    <x v="2"/>
    <x v="3"/>
    <s v="CJ"/>
    <n v="2"/>
    <n v="1"/>
    <n v="5250"/>
    <x v="0"/>
    <n v="400"/>
    <x v="0"/>
    <x v="2"/>
    <n v="4.2"/>
    <x v="0"/>
    <s v="Software Idiem"/>
    <n v="2828"/>
    <n v="3.1121349371411613"/>
    <n v="1.349555878787879"/>
    <s v=" "/>
    <s v=" "/>
    <s v="CERT."/>
  </r>
  <r>
    <s v="ELEVACION EJE 3"/>
    <s v="212-B"/>
    <s v="PM1"/>
    <x v="0"/>
    <x v="0"/>
    <s v="CJ"/>
    <n v="6"/>
    <n v="1"/>
    <n v="7000"/>
    <x v="0"/>
    <n v="1200"/>
    <x v="0"/>
    <x v="0"/>
    <n v="50.4"/>
    <x v="0"/>
    <s v="Software Idiem"/>
    <n v="2196"/>
    <n v="4.0077949008357026"/>
    <n v="12.575493818181821"/>
    <s v=" "/>
    <s v=" "/>
    <s v="CERT."/>
  </r>
  <r>
    <s v="ELEVACION EJE 3"/>
    <s v="212-B"/>
    <s v="VM3"/>
    <x v="4"/>
    <x v="3"/>
    <s v="CJ"/>
    <n v="2"/>
    <n v="1"/>
    <n v="29210"/>
    <x v="0"/>
    <n v="400"/>
    <x v="0"/>
    <x v="2"/>
    <n v="23.367999999999999"/>
    <x v="0"/>
    <s v="Software Idiem"/>
    <n v="2828"/>
    <n v="3.1121349371411613"/>
    <n v="7.5086718513131308"/>
    <s v=" "/>
    <s v=" "/>
    <s v="CERT."/>
  </r>
  <r>
    <s v="ELEVACION EJE 3"/>
    <s v="212-B"/>
    <s v="CJ200X100X4"/>
    <x v="4"/>
    <x v="4"/>
    <s v="CJ"/>
    <n v="1"/>
    <n v="1"/>
    <n v="2000"/>
    <x v="0"/>
    <n v="600"/>
    <x v="0"/>
    <x v="3"/>
    <n v="1.2"/>
    <x v="0"/>
    <s v="Software Idiem"/>
    <n v="2262"/>
    <n v="3.8908565880792239"/>
    <n v="0.30841537662337659"/>
    <s v=" "/>
    <s v=" "/>
    <s v="CERT."/>
  </r>
  <r>
    <s v="ELEVACION EJE 3"/>
    <s v="212-B"/>
    <s v="ARRIOSTRA"/>
    <x v="2"/>
    <x v="3"/>
    <s v="CJ"/>
    <n v="8"/>
    <n v="1"/>
    <n v="6900"/>
    <x v="0"/>
    <n v="400"/>
    <x v="0"/>
    <x v="2"/>
    <n v="22.08"/>
    <x v="0"/>
    <s v="Software Idiem"/>
    <n v="2828"/>
    <n v="3.1121349371411613"/>
    <n v="7.0948080484848486"/>
    <s v=" "/>
    <s v=" "/>
    <s v="CERT."/>
  </r>
  <r>
    <s v="ELEVACION EJE 3"/>
    <s v="212-B"/>
    <s v="ARRIOSTRA"/>
    <x v="2"/>
    <x v="3"/>
    <s v="CJ"/>
    <n v="4"/>
    <n v="1"/>
    <n v="5800"/>
    <x v="0"/>
    <n v="400"/>
    <x v="0"/>
    <x v="2"/>
    <n v="9.2799999999999994"/>
    <x v="0"/>
    <s v="Software Idiem"/>
    <n v="2828"/>
    <n v="3.1121349371411613"/>
    <n v="2.9818758464646464"/>
    <s v=" "/>
    <s v=" "/>
    <s v="CERT."/>
  </r>
  <r>
    <s v="ELEVACION EJE A-F"/>
    <s v="208-B"/>
    <s v="M1 MM400X200X4"/>
    <x v="4"/>
    <x v="9"/>
    <s v="CJ"/>
    <n v="2"/>
    <n v="6"/>
    <n v="11700"/>
    <x v="0"/>
    <n v="1200"/>
    <x v="0"/>
    <x v="0"/>
    <n v="168.48"/>
    <x v="0"/>
    <s v="Software Idiem"/>
    <n v="2196"/>
    <n v="4.0077949008357026"/>
    <n v="42.038079335064943"/>
    <s v=" "/>
    <s v=" "/>
    <s v="CERT."/>
  </r>
  <r>
    <s v="ELEVACION A"/>
    <s v="208-B"/>
    <s v="PM2"/>
    <x v="0"/>
    <x v="4"/>
    <s v="CJ"/>
    <n v="3"/>
    <n v="1"/>
    <n v="7100"/>
    <x v="0"/>
    <n v="600"/>
    <x v="0"/>
    <x v="3"/>
    <n v="12.78"/>
    <x v="0"/>
    <s v="Software Idiem"/>
    <n v="2262"/>
    <n v="3.8908565880792239"/>
    <n v="3.284623761038961"/>
    <s v=" "/>
    <s v=" "/>
    <s v="CERT."/>
  </r>
  <r>
    <s v="ELEVACION A"/>
    <s v="208-B"/>
    <s v="PM3"/>
    <x v="0"/>
    <x v="1"/>
    <s v="CJ"/>
    <n v="1"/>
    <n v="1"/>
    <n v="7500"/>
    <x v="0"/>
    <n v="600"/>
    <x v="0"/>
    <x v="1"/>
    <n v="4.5"/>
    <x v="0"/>
    <s v="Software Idiem"/>
    <n v="1930"/>
    <n v="4.5601645607436296"/>
    <n v="0.98680649350649341"/>
    <s v=" "/>
    <s v=" "/>
    <s v="CERT."/>
  </r>
  <r>
    <s v="ELEVACION A"/>
    <s v="208-B"/>
    <s v="CJ100X100X3"/>
    <x v="4"/>
    <x v="3"/>
    <s v="CJ"/>
    <n v="1"/>
    <n v="1"/>
    <n v="4140"/>
    <x v="0"/>
    <n v="400"/>
    <x v="0"/>
    <x v="2"/>
    <n v="1.6559999999999999"/>
    <x v="0"/>
    <s v="Software Idiem"/>
    <n v="2828"/>
    <n v="3.1121349371411613"/>
    <n v="0.53211060363636364"/>
    <s v=" "/>
    <s v=" "/>
    <s v="CERT."/>
  </r>
  <r>
    <s v="ELEVACION A"/>
    <s v="208-B"/>
    <s v="CJ100X100X3"/>
    <x v="4"/>
    <x v="3"/>
    <s v="CJ"/>
    <n v="1"/>
    <n v="1"/>
    <n v="2000"/>
    <x v="0"/>
    <n v="400"/>
    <x v="0"/>
    <x v="2"/>
    <n v="0.8"/>
    <x v="0"/>
    <s v="Software Idiem"/>
    <n v="2828"/>
    <n v="3.1121349371411613"/>
    <n v="0.25705826262626263"/>
    <s v=" "/>
    <s v=" "/>
    <s v="CERT."/>
  </r>
  <r>
    <s v="ELEVACION A"/>
    <s v="208-B"/>
    <s v="CJ100X100X3"/>
    <x v="0"/>
    <x v="3"/>
    <s v="CJ"/>
    <n v="1"/>
    <n v="1"/>
    <n v="4000"/>
    <x v="0"/>
    <n v="400"/>
    <x v="0"/>
    <x v="2"/>
    <n v="1.6"/>
    <x v="0"/>
    <s v="Software Idiem"/>
    <n v="2828"/>
    <n v="3.1121349371411613"/>
    <n v="0.51411652525252527"/>
    <s v=" "/>
    <s v=" "/>
    <s v="CERT."/>
  </r>
  <r>
    <s v="ELEVACION A"/>
    <s v="208-B"/>
    <s v="CJ100X100X3"/>
    <x v="4"/>
    <x v="3"/>
    <s v="CJ"/>
    <n v="2"/>
    <n v="1"/>
    <n v="3500"/>
    <x v="0"/>
    <n v="400"/>
    <x v="0"/>
    <x v="2"/>
    <n v="2.8"/>
    <x v="0"/>
    <s v="Software Idiem"/>
    <n v="2828"/>
    <n v="3.1121349371411613"/>
    <n v="0.89970391919191917"/>
    <s v=" "/>
    <s v=" "/>
    <s v="CERT."/>
  </r>
  <r>
    <s v="ELEVACION B"/>
    <s v="208-B"/>
    <s v="PM3"/>
    <x v="0"/>
    <x v="1"/>
    <s v="CJ"/>
    <n v="1"/>
    <n v="1"/>
    <n v="4000"/>
    <x v="0"/>
    <n v="600"/>
    <x v="0"/>
    <x v="1"/>
    <n v="2.4"/>
    <x v="0"/>
    <s v="Software Idiem"/>
    <n v="1930"/>
    <n v="4.5601645607436296"/>
    <n v="0.52629679653679651"/>
    <s v=" "/>
    <s v=" "/>
    <s v="CERT."/>
  </r>
  <r>
    <s v="ELEVACION EJE C"/>
    <s v="209-B"/>
    <s v="PM3"/>
    <x v="0"/>
    <x v="1"/>
    <s v="CJ"/>
    <n v="1"/>
    <n v="1"/>
    <n v="4000"/>
    <x v="0"/>
    <n v="600"/>
    <x v="0"/>
    <x v="1"/>
    <n v="2.4"/>
    <x v="0"/>
    <s v="Software Idiem"/>
    <n v="1930"/>
    <n v="4.5601645607436296"/>
    <n v="0.52629679653679651"/>
    <s v=" "/>
    <s v=" "/>
    <s v="CERT."/>
  </r>
  <r>
    <s v="ELEVACION EJE C"/>
    <s v="209-B"/>
    <s v="VM1 IPE 240"/>
    <x v="6"/>
    <x v="10"/>
    <s v="IN"/>
    <n v="1"/>
    <n v="1"/>
    <n v="11650"/>
    <x v="1"/>
    <n v="867"/>
    <x v="2"/>
    <x v="7"/>
    <n v="10.10055"/>
    <x v="2"/>
    <s v="Software Idiem"/>
    <s v=" "/>
    <s v=" "/>
    <s v=" "/>
    <n v="21"/>
    <n v="2.400209644736842"/>
    <s v="CERT."/>
  </r>
  <r>
    <s v="ELEVACION EJE D"/>
    <s v="209-B"/>
    <s v="PM3"/>
    <x v="0"/>
    <x v="1"/>
    <s v="CJ"/>
    <n v="1"/>
    <n v="1"/>
    <n v="4000"/>
    <x v="0"/>
    <n v="600"/>
    <x v="0"/>
    <x v="1"/>
    <n v="2.4"/>
    <x v="0"/>
    <s v="Software Idiem"/>
    <n v="1930"/>
    <n v="4.5601645607436296"/>
    <n v="0.52629679653679651"/>
    <s v=" "/>
    <s v=" "/>
    <s v="CERT."/>
  </r>
  <r>
    <s v="ELEVACION EJE D"/>
    <s v="209-B"/>
    <s v="VM1 IPE 240"/>
    <x v="6"/>
    <x v="10"/>
    <s v="IN"/>
    <n v="1"/>
    <n v="1"/>
    <n v="11650"/>
    <x v="1"/>
    <n v="867"/>
    <x v="2"/>
    <x v="7"/>
    <n v="10.10055"/>
    <x v="2"/>
    <s v="Software Idiem"/>
    <s v=" "/>
    <s v=" "/>
    <s v=" "/>
    <n v="21"/>
    <n v="2.400209644736842"/>
    <s v="CERT."/>
  </r>
  <r>
    <s v="ELEVACION EJE D"/>
    <s v="209-B"/>
    <s v="ARRIOSTRA"/>
    <x v="2"/>
    <x v="3"/>
    <s v="CJ"/>
    <n v="2"/>
    <n v="1"/>
    <n v="7900"/>
    <x v="0"/>
    <n v="400"/>
    <x v="0"/>
    <x v="2"/>
    <n v="6.32"/>
    <x v="0"/>
    <s v="Software Idiem"/>
    <n v="2828"/>
    <n v="3.1121349371411613"/>
    <n v="2.0307602747474749"/>
    <s v=" "/>
    <s v=" "/>
    <s v="CERT."/>
  </r>
  <r>
    <s v="ELEVACION EJE E"/>
    <s v="210-B"/>
    <s v="PM3"/>
    <x v="0"/>
    <x v="1"/>
    <s v="CJ"/>
    <n v="1"/>
    <n v="1"/>
    <n v="4000"/>
    <x v="0"/>
    <n v="600"/>
    <x v="0"/>
    <x v="1"/>
    <n v="2.4"/>
    <x v="0"/>
    <s v="Software Idiem"/>
    <n v="1930"/>
    <n v="4.5601645607436296"/>
    <n v="0.52629679653679651"/>
    <s v=" "/>
    <s v=" "/>
    <s v="CERT."/>
  </r>
  <r>
    <s v="ELEVACION EJE E"/>
    <s v="210-B"/>
    <s v="VM1 IPE 240"/>
    <x v="6"/>
    <x v="10"/>
    <s v="IN"/>
    <n v="1"/>
    <n v="1"/>
    <n v="11650"/>
    <x v="1"/>
    <n v="867"/>
    <x v="2"/>
    <x v="7"/>
    <n v="10.10055"/>
    <x v="2"/>
    <s v="Software Idiem"/>
    <s v=" "/>
    <s v=" "/>
    <s v=" "/>
    <n v="21"/>
    <n v="2.400209644736842"/>
    <s v="CERT."/>
  </r>
  <r>
    <s v="ELEVACION EJE F"/>
    <s v="210-B"/>
    <s v="PM3"/>
    <x v="0"/>
    <x v="1"/>
    <s v="CJ"/>
    <n v="1"/>
    <n v="1"/>
    <n v="4000"/>
    <x v="0"/>
    <n v="600"/>
    <x v="0"/>
    <x v="1"/>
    <n v="2.4"/>
    <x v="0"/>
    <s v="Software Idiem"/>
    <n v="1930"/>
    <n v="4.5601645607436296"/>
    <n v="0.52629679653679651"/>
    <s v=" "/>
    <s v=" "/>
    <s v="CERT."/>
  </r>
  <r>
    <s v="ELEVACION EJE F"/>
    <s v="210-B"/>
    <s v="VM1 IPE 240"/>
    <x v="6"/>
    <x v="10"/>
    <s v="IN"/>
    <n v="1"/>
    <n v="1"/>
    <n v="11650"/>
    <x v="1"/>
    <n v="867"/>
    <x v="2"/>
    <x v="7"/>
    <n v="10.10055"/>
    <x v="2"/>
    <s v="Software Idiem"/>
    <s v=" "/>
    <s v=" "/>
    <s v=" "/>
    <n v="21"/>
    <n v="2.400209644736842"/>
    <s v="CERT."/>
  </r>
  <r>
    <s v="ELEVACION EJE F"/>
    <s v="210-B"/>
    <s v="ARRIOSTRA"/>
    <x v="2"/>
    <x v="3"/>
    <s v="CJ"/>
    <n v="2"/>
    <n v="1"/>
    <n v="7900"/>
    <x v="0"/>
    <n v="400"/>
    <x v="0"/>
    <x v="2"/>
    <n v="6.32"/>
    <x v="0"/>
    <s v="Software Idiem"/>
    <n v="2828"/>
    <n v="3.1121349371411613"/>
    <n v="2.0307602747474749"/>
    <s v=" "/>
    <s v=" "/>
    <s v="CERT."/>
  </r>
  <r>
    <s v="ELEVACION EJE F"/>
    <s v="210-B"/>
    <s v="ARRIOSTRA"/>
    <x v="2"/>
    <x v="3"/>
    <s v="CJ"/>
    <n v="2"/>
    <n v="1"/>
    <n v="6250"/>
    <x v="0"/>
    <n v="400"/>
    <x v="0"/>
    <x v="2"/>
    <n v="5"/>
    <x v="0"/>
    <s v="Software Idiem"/>
    <n v="2828"/>
    <n v="3.1121349371411613"/>
    <n v="1.6066141414141415"/>
    <s v=" "/>
    <s v=" "/>
    <s v="CERT."/>
  </r>
  <r>
    <s v="ELEVACION EJE F"/>
    <s v="210-B"/>
    <s v="CJ100X100X3"/>
    <x v="0"/>
    <x v="3"/>
    <s v="CJ"/>
    <n v="1"/>
    <n v="1"/>
    <n v="3000"/>
    <x v="0"/>
    <n v="400"/>
    <x v="0"/>
    <x v="2"/>
    <n v="1.2"/>
    <x v="0"/>
    <s v="Software Idiem"/>
    <n v="2828"/>
    <n v="3.1121349371411613"/>
    <n v="0.38558739393939395"/>
    <s v=" "/>
    <s v=" "/>
    <s v="CERT."/>
  </r>
  <r>
    <s v="ELEVACION EJE F"/>
    <s v="210-B"/>
    <s v="PM2"/>
    <x v="0"/>
    <x v="4"/>
    <s v="CJ"/>
    <n v="1"/>
    <n v="1"/>
    <n v="7100"/>
    <x v="0"/>
    <n v="600"/>
    <x v="0"/>
    <x v="3"/>
    <n v="4.26"/>
    <x v="0"/>
    <s v="Software Idiem"/>
    <n v="2262"/>
    <n v="3.8908565880792239"/>
    <n v="1.094874587012987"/>
    <s v=" "/>
    <s v=" "/>
    <s v="CERT."/>
  </r>
  <r>
    <s v="PLANTA TECHUMBRE"/>
    <s v="207-B"/>
    <s v="COSTANERA TIP"/>
    <x v="5"/>
    <x v="7"/>
    <s v="C"/>
    <n v="24"/>
    <n v="1"/>
    <n v="29210"/>
    <x v="1"/>
    <n v="445"/>
    <x v="2"/>
    <x v="5"/>
    <n v="311.96280000000002"/>
    <x v="2"/>
    <s v="Software Idiem"/>
    <s v=" "/>
    <s v=" "/>
    <s v=" "/>
    <n v="54"/>
    <n v="190.62568989473684"/>
    <s v="NO CERT."/>
  </r>
  <r>
    <s v="PLANTA TECHUMBRE"/>
    <s v="207-B"/>
    <s v="PUNTAL. TIP"/>
    <x v="1"/>
    <x v="3"/>
    <s v="CJ"/>
    <n v="2"/>
    <n v="1"/>
    <n v="29210"/>
    <x v="0"/>
    <n v="400"/>
    <x v="0"/>
    <x v="2"/>
    <n v="23.367999999999999"/>
    <x v="0"/>
    <s v="Software Idiem"/>
    <n v="2828"/>
    <n v="3.1121349371411613"/>
    <n v="7.5086718513131308"/>
    <s v=" "/>
    <s v=" "/>
    <s v="CERT."/>
  </r>
  <r>
    <s v="PLANTA CIELO PISO 1"/>
    <s v="205-B"/>
    <s v="-"/>
    <x v="7"/>
    <x v="11"/>
    <s v="-"/>
    <n v="1"/>
    <n v="1"/>
    <n v="27900"/>
    <x v="2"/>
    <n v="11640"/>
    <x v="2"/>
    <x v="8"/>
    <n v="324.75599999999997"/>
    <x v="2"/>
    <s v="Software Idiem"/>
    <s v=" "/>
    <s v=" "/>
    <s v=" "/>
    <n v="15"/>
    <n v="55.123057894736824"/>
    <s v="NO CERT."/>
  </r>
  <r>
    <s v="PLANTA CIELO PISO 1"/>
    <s v="205-B"/>
    <s v="-"/>
    <x v="7"/>
    <x v="11"/>
    <s v="-"/>
    <n v="1"/>
    <n v="1"/>
    <n v="2550"/>
    <x v="2"/>
    <n v="1500"/>
    <x v="2"/>
    <x v="8"/>
    <n v="3.8250000000000002"/>
    <x v="2"/>
    <s v="Software Idiem"/>
    <s v=" "/>
    <s v=" "/>
    <s v=" "/>
    <n v="15"/>
    <n v="0.64924342105263155"/>
    <s v="NO CERT."/>
  </r>
  <r>
    <s v="PLANTA CIELO PISO 1"/>
    <s v="205-B"/>
    <s v="VM2 IPE 200"/>
    <x v="6"/>
    <x v="8"/>
    <s v="IN"/>
    <n v="5"/>
    <n v="1"/>
    <n v="27900"/>
    <x v="1"/>
    <n v="723"/>
    <x v="2"/>
    <x v="6"/>
    <n v="100.85850000000001"/>
    <x v="2"/>
    <s v="Software Idiem"/>
    <s v=" "/>
    <s v=" "/>
    <s v=" "/>
    <n v="22"/>
    <n v="25.108458157894738"/>
    <s v="CERT."/>
  </r>
  <r>
    <s v="PLANTA CIELO PISO 1"/>
    <s v="205-B"/>
    <s v="VM2 IPE 200"/>
    <x v="6"/>
    <x v="8"/>
    <s v="IN"/>
    <n v="2"/>
    <n v="1"/>
    <n v="1377"/>
    <x v="1"/>
    <n v="723"/>
    <x v="2"/>
    <x v="6"/>
    <n v="1.991142"/>
    <x v="2"/>
    <s v="Software Idiem"/>
    <s v=" "/>
    <s v=" "/>
    <s v=" "/>
    <n v="22"/>
    <n v="0.49568956105263157"/>
    <s v="CERT."/>
  </r>
  <r>
    <s v="PLANTA CIELO PISO 1"/>
    <s v="205-B"/>
    <s v="VM1 IPE 240"/>
    <x v="6"/>
    <x v="10"/>
    <s v="IN"/>
    <n v="2"/>
    <n v="1"/>
    <n v="11650"/>
    <x v="1"/>
    <n v="867"/>
    <x v="2"/>
    <x v="7"/>
    <n v="20.2011"/>
    <x v="2"/>
    <s v="Software Idiem"/>
    <s v=" "/>
    <s v=" "/>
    <s v=" "/>
    <n v="21"/>
    <n v="4.8004192894736839"/>
    <s v="CERT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75AA2-3170-4549-ABF2-AD3F6C3718CA}" name="TablaDinámica2" cacheId="0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>
  <location ref="A3:G21" firstHeaderRow="1" firstDataRow="1" firstDataCol="6"/>
  <pivotFields count="2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2"/>
        <item x="5"/>
        <item x="7"/>
        <item x="0"/>
        <item x="1"/>
        <item x="4"/>
        <item x="6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11"/>
        <item x="6"/>
        <item x="3"/>
        <item x="7"/>
        <item x="1"/>
        <item x="2"/>
        <item x="4"/>
        <item x="8"/>
        <item x="10"/>
        <item x="9"/>
        <item x="0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1"/>
        <item x="7"/>
        <item x="0"/>
        <item x="3"/>
        <item x="6"/>
        <item x="2"/>
        <item x="5"/>
        <item x="8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3"/>
    <field x="4"/>
    <field x="11"/>
    <field x="12"/>
    <field x="9"/>
    <field x="14"/>
  </rowFields>
  <rowItems count="18">
    <i>
      <x/>
      <x v="2"/>
      <x v="1"/>
      <x v="5"/>
      <x v="2"/>
      <x v="1"/>
    </i>
    <i>
      <x v="1"/>
      <x v="3"/>
      <x/>
      <x v="6"/>
      <x v="1"/>
      <x/>
    </i>
    <i>
      <x v="2"/>
      <x/>
      <x/>
      <x v="7"/>
      <x/>
      <x/>
    </i>
    <i>
      <x v="3"/>
      <x v="2"/>
      <x v="1"/>
      <x v="5"/>
      <x v="2"/>
      <x v="1"/>
    </i>
    <i r="1">
      <x v="4"/>
      <x v="1"/>
      <x/>
      <x v="2"/>
      <x v="1"/>
    </i>
    <i r="1">
      <x v="5"/>
      <x v="1"/>
      <x v="5"/>
      <x v="2"/>
      <x v="1"/>
    </i>
    <i r="1">
      <x v="6"/>
      <x v="1"/>
      <x v="3"/>
      <x v="2"/>
      <x v="1"/>
    </i>
    <i r="1">
      <x v="10"/>
      <x v="1"/>
      <x v="2"/>
      <x v="2"/>
      <x v="1"/>
    </i>
    <i>
      <x v="4"/>
      <x v="2"/>
      <x v="1"/>
      <x v="5"/>
      <x v="2"/>
      <x v="1"/>
    </i>
    <i>
      <x v="5"/>
      <x v="1"/>
      <x v="1"/>
      <x v="3"/>
      <x v="2"/>
      <x v="1"/>
    </i>
    <i r="1">
      <x v="2"/>
      <x v="1"/>
      <x v="5"/>
      <x v="2"/>
      <x v="1"/>
    </i>
    <i r="1">
      <x v="5"/>
      <x v="1"/>
      <x v="5"/>
      <x v="2"/>
      <x v="1"/>
    </i>
    <i r="1">
      <x v="6"/>
      <x v="1"/>
      <x v="3"/>
      <x v="2"/>
      <x v="1"/>
    </i>
    <i r="1">
      <x v="9"/>
      <x v="1"/>
      <x v="2"/>
      <x v="2"/>
      <x v="1"/>
    </i>
    <i>
      <x v="6"/>
      <x v="7"/>
      <x/>
      <x v="4"/>
      <x v="1"/>
      <x/>
    </i>
    <i r="1">
      <x v="8"/>
      <x/>
      <x v="1"/>
      <x v="1"/>
      <x/>
    </i>
    <i>
      <x v="7"/>
      <x v="11"/>
      <x v="2"/>
      <x v="8"/>
      <x v="2"/>
      <x v="2"/>
    </i>
    <i t="grand">
      <x/>
    </i>
  </rowItems>
  <colItems count="1">
    <i/>
  </colItems>
  <dataFields count="1">
    <dataField name="Suma de ÁREA EXPUESTA_x000a_[m2]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A4D903-B0BD-411B-8697-CB17E3D4D897}">
  <we:reference id="wa104381100" version="1.1.0.1" store="en-US" storeType="OMEX"/>
  <we:alternateReferences>
    <we:reference id="wa104381100" version="1.1.0.1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_xldudf_INDICADORES_VALORUF</we:customFunctionIds>
        <we:customFunctionIds>_xldudf_INDICADORES_VALORUTM</we:customFunctionIds>
        <we:customFunctionIds>_xldudf_INDICADORES_VALORDOLAR</we:customFunctionIds>
        <we:customFunctionIds>_xldudf_INDICADORES_VALOREURO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B1:R115"/>
  <sheetViews>
    <sheetView showGridLines="0" topLeftCell="A15" zoomScale="85" zoomScaleNormal="85" workbookViewId="0">
      <selection activeCell="M23" sqref="M23:P27"/>
    </sheetView>
  </sheetViews>
  <sheetFormatPr baseColWidth="10" defaultColWidth="11.42578125" defaultRowHeight="14.25" x14ac:dyDescent="0.25"/>
  <cols>
    <col min="1" max="1" width="3.42578125" style="184" customWidth="1"/>
    <col min="2" max="2" width="24.85546875" style="184" bestFit="1" customWidth="1"/>
    <col min="3" max="3" width="54.85546875" style="184" customWidth="1"/>
    <col min="4" max="4" width="12" style="184" customWidth="1"/>
    <col min="5" max="5" width="11.5703125" style="184" customWidth="1"/>
    <col min="6" max="6" width="20.5703125" style="184" customWidth="1"/>
    <col min="7" max="7" width="15.42578125" style="181" customWidth="1"/>
    <col min="8" max="8" width="11.140625" style="182" customWidth="1"/>
    <col min="9" max="9" width="14.85546875" style="182" customWidth="1"/>
    <col min="10" max="10" width="13.28515625" style="181" bestFit="1" customWidth="1"/>
    <col min="11" max="11" width="17.85546875" style="520" bestFit="1" customWidth="1"/>
    <col min="12" max="12" width="17.140625" style="521" customWidth="1"/>
    <col min="13" max="13" width="33.85546875" style="184" customWidth="1"/>
    <col min="14" max="14" width="16.5703125" style="184" customWidth="1"/>
    <col min="15" max="15" width="10.5703125" style="184" bestFit="1" customWidth="1"/>
    <col min="16" max="16" width="17.85546875" style="184" customWidth="1"/>
    <col min="17" max="17" width="7.42578125" style="184" customWidth="1"/>
    <col min="18" max="18" width="8.7109375" style="184" customWidth="1"/>
    <col min="19" max="19" width="16.140625" style="184" customWidth="1"/>
    <col min="20" max="16384" width="11.42578125" style="184"/>
  </cols>
  <sheetData>
    <row r="1" spans="2:16" ht="15.75" thickBot="1" x14ac:dyDescent="0.3">
      <c r="B1" s="825" t="str" cm="1">
        <f t="array" aca="1" ref="B1" ca="1">+CELL("nombrearchivo")</f>
        <v>C:\Users\fcola\Desktop\APPACCURATEK\[excel de prueba.xlsx]CUBICACION</v>
      </c>
      <c r="C1" s="177"/>
      <c r="D1" s="178"/>
      <c r="E1" s="179"/>
      <c r="F1" s="180"/>
      <c r="K1" s="183"/>
      <c r="L1" s="184"/>
      <c r="M1" s="185"/>
    </row>
    <row r="2" spans="2:16" ht="15" x14ac:dyDescent="0.25">
      <c r="B2" s="187" t="s">
        <v>155</v>
      </c>
      <c r="C2" s="188"/>
      <c r="D2" s="189"/>
      <c r="E2" s="190"/>
      <c r="F2" s="191"/>
      <c r="K2" s="183"/>
      <c r="L2" s="184"/>
      <c r="M2" s="185"/>
    </row>
    <row r="3" spans="2:16" ht="15" x14ac:dyDescent="0.25">
      <c r="B3" s="192" t="s">
        <v>157</v>
      </c>
      <c r="C3" s="193" t="s">
        <v>548</v>
      </c>
      <c r="D3" s="178"/>
      <c r="E3" s="179"/>
      <c r="F3" s="194"/>
      <c r="K3" s="183"/>
      <c r="L3" s="184"/>
      <c r="M3" s="185"/>
    </row>
    <row r="4" spans="2:16" ht="15" x14ac:dyDescent="0.25">
      <c r="B4" s="192" t="s">
        <v>158</v>
      </c>
      <c r="C4" s="193" t="s">
        <v>379</v>
      </c>
      <c r="D4" s="178"/>
      <c r="E4" s="179"/>
      <c r="F4" s="194"/>
      <c r="K4" s="183"/>
      <c r="L4" s="184"/>
      <c r="M4" s="185"/>
    </row>
    <row r="5" spans="2:16" ht="15.75" thickBot="1" x14ac:dyDescent="0.3">
      <c r="B5" s="197" t="s">
        <v>159</v>
      </c>
      <c r="C5" s="198"/>
      <c r="D5" s="199"/>
      <c r="E5" s="200"/>
      <c r="F5" s="201"/>
      <c r="K5" s="183"/>
      <c r="L5" s="184"/>
      <c r="M5" s="185"/>
      <c r="O5" s="830" t="s">
        <v>527</v>
      </c>
    </row>
    <row r="6" spans="2:16" ht="15" x14ac:dyDescent="0.25">
      <c r="G6" s="185"/>
      <c r="H6" s="185"/>
      <c r="I6" s="185"/>
      <c r="J6" s="186"/>
      <c r="K6" s="202"/>
      <c r="L6" s="184"/>
      <c r="N6" s="831" t="s">
        <v>368</v>
      </c>
      <c r="O6" s="832" t="e">
        <f>+CUBICACION!Q4/E25</f>
        <v>#DIV/0!</v>
      </c>
    </row>
    <row r="7" spans="2:16" ht="15.75" thickBot="1" x14ac:dyDescent="0.3">
      <c r="B7" s="203" t="s">
        <v>160</v>
      </c>
      <c r="F7" s="203" t="s">
        <v>160</v>
      </c>
      <c r="G7" s="185"/>
      <c r="H7" s="185"/>
      <c r="I7" s="185"/>
      <c r="J7" s="186"/>
      <c r="K7" s="202"/>
      <c r="L7" s="184"/>
      <c r="N7" s="831" t="s">
        <v>370</v>
      </c>
      <c r="O7" s="832" t="e">
        <f>+CUBICACION!Q3/E26</f>
        <v>#DIV/0!</v>
      </c>
    </row>
    <row r="8" spans="2:16" ht="18" thickBot="1" x14ac:dyDescent="0.3">
      <c r="B8" s="205"/>
      <c r="C8" s="206"/>
      <c r="D8" s="207"/>
      <c r="F8" s="208"/>
      <c r="G8" s="209"/>
      <c r="H8" s="209"/>
      <c r="I8" s="210">
        <f>+I19/C9</f>
        <v>0.84988233762975895</v>
      </c>
      <c r="J8" s="211" t="s">
        <v>356</v>
      </c>
      <c r="K8" s="212"/>
      <c r="L8" s="213"/>
      <c r="N8" s="830" t="s">
        <v>60</v>
      </c>
      <c r="O8" s="832">
        <f>+CUBICACION!Q2/E27</f>
        <v>2.0607611202916161</v>
      </c>
    </row>
    <row r="9" spans="2:16" ht="18" thickBot="1" x14ac:dyDescent="0.3">
      <c r="B9" s="214" t="s">
        <v>163</v>
      </c>
      <c r="C9" s="522">
        <f>+SUM(CUBICACION!Q2:Q4)</f>
        <v>1696.006402</v>
      </c>
      <c r="D9" s="216" t="s">
        <v>357</v>
      </c>
      <c r="F9" s="217" t="s">
        <v>165</v>
      </c>
      <c r="G9" s="218">
        <v>40830</v>
      </c>
      <c r="H9" s="219" t="s">
        <v>166</v>
      </c>
      <c r="I9" s="523">
        <f>+G19/C9</f>
        <v>34700.695845423063</v>
      </c>
      <c r="J9" s="524" t="s">
        <v>358</v>
      </c>
      <c r="K9" s="222"/>
      <c r="L9" s="223"/>
    </row>
    <row r="10" spans="2:16" ht="3.75" customHeight="1" thickBot="1" x14ac:dyDescent="0.3">
      <c r="B10" s="214"/>
      <c r="C10" s="525"/>
      <c r="D10" s="216"/>
      <c r="F10" s="217"/>
      <c r="G10" s="225"/>
      <c r="H10" s="219"/>
      <c r="I10" s="225"/>
      <c r="J10" s="524"/>
      <c r="K10" s="222"/>
      <c r="L10" s="223"/>
    </row>
    <row r="11" spans="2:16" ht="17.25" thickBot="1" x14ac:dyDescent="0.3">
      <c r="B11" s="214" t="s">
        <v>359</v>
      </c>
      <c r="C11" s="522">
        <f>+CUBICACION!Q3</f>
        <v>0</v>
      </c>
      <c r="D11" s="216" t="s">
        <v>357</v>
      </c>
      <c r="F11" s="217" t="s">
        <v>169</v>
      </c>
      <c r="G11" s="218">
        <v>980</v>
      </c>
      <c r="H11" s="219" t="s">
        <v>166</v>
      </c>
      <c r="I11" s="225"/>
      <c r="J11" s="524"/>
      <c r="K11" s="964">
        <v>0.35</v>
      </c>
      <c r="L11" s="223" t="s">
        <v>170</v>
      </c>
    </row>
    <row r="12" spans="2:16" ht="15.75" thickBot="1" x14ac:dyDescent="0.3">
      <c r="B12" s="214"/>
      <c r="C12" s="525"/>
      <c r="D12" s="216"/>
      <c r="F12" s="217"/>
      <c r="G12" s="225"/>
      <c r="H12" s="225"/>
      <c r="I12" s="225"/>
      <c r="J12" s="524"/>
      <c r="K12" s="222"/>
      <c r="L12" s="223"/>
    </row>
    <row r="13" spans="2:16" ht="15.75" thickBot="1" x14ac:dyDescent="0.3">
      <c r="B13" s="214" t="s">
        <v>360</v>
      </c>
      <c r="C13" s="526">
        <v>45</v>
      </c>
      <c r="D13" s="216" t="s">
        <v>361</v>
      </c>
      <c r="F13" s="217" t="s">
        <v>173</v>
      </c>
      <c r="G13" s="228">
        <f>+I111</f>
        <v>38254191.5</v>
      </c>
      <c r="H13" s="219" t="s">
        <v>166</v>
      </c>
      <c r="I13" s="230">
        <f>+G13/G9</f>
        <v>936.91382561841783</v>
      </c>
      <c r="J13" s="524" t="s">
        <v>174</v>
      </c>
      <c r="K13" s="227">
        <v>0.35</v>
      </c>
      <c r="L13" s="223" t="s">
        <v>175</v>
      </c>
      <c r="N13" s="184">
        <v>346.6</v>
      </c>
      <c r="O13" s="184">
        <v>0.32800000000000001</v>
      </c>
      <c r="P13" s="941">
        <f>O13*N13</f>
        <v>113.68480000000001</v>
      </c>
    </row>
    <row r="14" spans="2:16" ht="3.75" customHeight="1" thickBot="1" x14ac:dyDescent="0.3">
      <c r="B14" s="214"/>
      <c r="C14" s="525"/>
      <c r="D14" s="216"/>
      <c r="F14" s="217"/>
      <c r="G14" s="231"/>
      <c r="H14" s="219"/>
      <c r="I14" s="232"/>
      <c r="J14" s="524"/>
      <c r="K14" s="222"/>
      <c r="L14" s="223"/>
      <c r="P14" s="941"/>
    </row>
    <row r="15" spans="2:16" ht="15.75" thickBot="1" x14ac:dyDescent="0.3">
      <c r="B15" s="214" t="s">
        <v>362</v>
      </c>
      <c r="C15" s="527">
        <v>35</v>
      </c>
      <c r="D15" s="216" t="s">
        <v>361</v>
      </c>
      <c r="F15" s="217" t="s">
        <v>177</v>
      </c>
      <c r="G15" s="234">
        <f>+K112</f>
        <v>0.35000000000000009</v>
      </c>
      <c r="H15" s="219" t="s">
        <v>178</v>
      </c>
      <c r="I15" s="234">
        <f>+G15</f>
        <v>0.35000000000000009</v>
      </c>
      <c r="J15" s="524" t="s">
        <v>178</v>
      </c>
      <c r="K15" s="227">
        <v>0.35</v>
      </c>
      <c r="L15" s="223" t="s">
        <v>179</v>
      </c>
      <c r="O15" s="184">
        <v>0.11799999999999999</v>
      </c>
      <c r="P15" s="941">
        <f>O15*N13</f>
        <v>40.898800000000001</v>
      </c>
    </row>
    <row r="16" spans="2:16" ht="3.75" customHeight="1" thickBot="1" x14ac:dyDescent="0.25">
      <c r="B16" s="214"/>
      <c r="C16" s="525"/>
      <c r="D16" s="216"/>
      <c r="F16" s="217"/>
      <c r="G16" s="528"/>
      <c r="H16" s="219"/>
      <c r="I16" s="528"/>
      <c r="J16" s="524"/>
      <c r="K16" s="222"/>
      <c r="L16" s="223"/>
      <c r="N16" s="204"/>
      <c r="O16" s="204"/>
      <c r="P16" s="941"/>
    </row>
    <row r="17" spans="2:18" ht="15.75" thickBot="1" x14ac:dyDescent="0.25">
      <c r="B17" s="214" t="s">
        <v>363</v>
      </c>
      <c r="C17" s="527"/>
      <c r="D17" s="216" t="s">
        <v>364</v>
      </c>
      <c r="F17" s="217" t="s">
        <v>177</v>
      </c>
      <c r="G17" s="228">
        <f>+G19-G13</f>
        <v>20598410.807692312</v>
      </c>
      <c r="H17" s="219" t="s">
        <v>166</v>
      </c>
      <c r="I17" s="230">
        <f>+G17/G9</f>
        <v>504.49205994837894</v>
      </c>
      <c r="J17" s="524" t="s">
        <v>174</v>
      </c>
      <c r="K17" s="227">
        <v>0.35</v>
      </c>
      <c r="L17" s="223" t="s">
        <v>182</v>
      </c>
      <c r="N17" s="204"/>
      <c r="O17" s="204">
        <v>8.6999999999999994E-2</v>
      </c>
      <c r="P17" s="941">
        <f>O17*N13</f>
        <v>30.154199999999999</v>
      </c>
    </row>
    <row r="18" spans="2:18" ht="3.75" customHeight="1" thickBot="1" x14ac:dyDescent="0.25">
      <c r="B18" s="214"/>
      <c r="C18" s="224"/>
      <c r="D18" s="216"/>
      <c r="F18" s="217"/>
      <c r="G18" s="231"/>
      <c r="H18" s="219"/>
      <c r="I18" s="232"/>
      <c r="J18" s="524"/>
      <c r="K18" s="222"/>
      <c r="L18" s="223"/>
      <c r="N18" s="204"/>
      <c r="O18" s="204"/>
      <c r="P18" s="941"/>
    </row>
    <row r="19" spans="2:18" ht="15.75" thickBot="1" x14ac:dyDescent="0.25">
      <c r="B19" s="214"/>
      <c r="C19" s="224"/>
      <c r="D19" s="216"/>
      <c r="E19" s="203"/>
      <c r="F19" s="217" t="s">
        <v>183</v>
      </c>
      <c r="G19" s="228">
        <f>+K111</f>
        <v>58852602.307692312</v>
      </c>
      <c r="H19" s="219" t="s">
        <v>166</v>
      </c>
      <c r="I19" s="230">
        <f>+G19/G9</f>
        <v>1441.4058855667968</v>
      </c>
      <c r="J19" s="524" t="s">
        <v>174</v>
      </c>
      <c r="K19" s="227">
        <v>0.35</v>
      </c>
      <c r="L19" s="223" t="s">
        <v>184</v>
      </c>
      <c r="N19" s="204"/>
      <c r="O19" s="184">
        <f>O13+O15+O17</f>
        <v>0.53300000000000003</v>
      </c>
      <c r="P19" s="941">
        <f>P13+P15+P17</f>
        <v>184.73780000000002</v>
      </c>
    </row>
    <row r="20" spans="2:18" ht="6" customHeight="1" thickBot="1" x14ac:dyDescent="0.3">
      <c r="B20" s="237"/>
      <c r="C20" s="238"/>
      <c r="D20" s="239"/>
      <c r="F20" s="240"/>
      <c r="G20" s="241"/>
      <c r="H20" s="242"/>
      <c r="I20" s="243"/>
      <c r="J20" s="244"/>
      <c r="K20" s="245"/>
      <c r="L20" s="246"/>
      <c r="O20" s="203"/>
      <c r="P20" s="941"/>
    </row>
    <row r="21" spans="2:18" ht="15.75" thickBot="1" x14ac:dyDescent="0.3">
      <c r="G21" s="185"/>
      <c r="H21" s="185"/>
      <c r="I21" s="185"/>
      <c r="J21" s="186"/>
      <c r="K21" s="202"/>
      <c r="L21" s="184"/>
      <c r="P21" s="941">
        <f>N13*O19</f>
        <v>184.73780000000002</v>
      </c>
    </row>
    <row r="22" spans="2:18" ht="39" customHeight="1" thickBot="1" x14ac:dyDescent="0.3">
      <c r="B22" s="247" t="s">
        <v>185</v>
      </c>
      <c r="C22" s="248" t="s">
        <v>186</v>
      </c>
      <c r="D22" s="248" t="s">
        <v>181</v>
      </c>
      <c r="E22" s="249" t="s">
        <v>187</v>
      </c>
      <c r="F22" s="250" t="s">
        <v>188</v>
      </c>
      <c r="G22" s="250" t="s">
        <v>189</v>
      </c>
      <c r="H22" s="251" t="s">
        <v>190</v>
      </c>
      <c r="I22" s="251" t="s">
        <v>191</v>
      </c>
      <c r="J22" s="251" t="s">
        <v>192</v>
      </c>
      <c r="K22" s="253" t="s">
        <v>194</v>
      </c>
      <c r="L22" s="183"/>
      <c r="M22" s="529" t="s">
        <v>195</v>
      </c>
    </row>
    <row r="23" spans="2:18" ht="18" thickBot="1" x14ac:dyDescent="0.25">
      <c r="B23" s="254"/>
      <c r="C23" s="255"/>
      <c r="D23" s="256"/>
      <c r="E23" s="257"/>
      <c r="F23" s="258"/>
      <c r="G23" s="259"/>
      <c r="H23" s="260"/>
      <c r="I23" s="260"/>
      <c r="J23" s="261"/>
      <c r="K23" s="263"/>
      <c r="L23" s="183"/>
      <c r="M23" s="985" t="s">
        <v>196</v>
      </c>
      <c r="N23" s="986" t="s">
        <v>365</v>
      </c>
      <c r="O23" s="986" t="s">
        <v>366</v>
      </c>
      <c r="P23" s="987" t="s">
        <v>367</v>
      </c>
      <c r="Q23" s="267" t="s">
        <v>178</v>
      </c>
      <c r="R23" s="204"/>
    </row>
    <row r="24" spans="2:18" ht="15.75" thickTop="1" x14ac:dyDescent="0.2">
      <c r="B24" s="533">
        <v>1</v>
      </c>
      <c r="C24" s="269" t="s">
        <v>198</v>
      </c>
      <c r="D24" s="270">
        <f>SUM(J25:J31)</f>
        <v>0.57511998391078267</v>
      </c>
      <c r="E24" s="534"/>
      <c r="F24" s="272"/>
      <c r="G24" s="273"/>
      <c r="H24" s="274"/>
      <c r="I24" s="274"/>
      <c r="J24" s="275"/>
      <c r="K24" s="277"/>
      <c r="L24" s="183"/>
      <c r="M24" s="955" t="s">
        <v>199</v>
      </c>
      <c r="N24" s="956">
        <f>+C9</f>
        <v>1696.006402</v>
      </c>
      <c r="O24" s="957">
        <f>+P24/N24</f>
        <v>0.48878431634368535</v>
      </c>
      <c r="P24" s="958">
        <f>+Q24*P27</f>
        <v>828.98132971608356</v>
      </c>
      <c r="Q24" s="282">
        <f>+D24</f>
        <v>0.57511998391078267</v>
      </c>
      <c r="R24" s="204"/>
    </row>
    <row r="25" spans="2:18" ht="15" x14ac:dyDescent="0.2">
      <c r="B25" s="539" t="s">
        <v>200</v>
      </c>
      <c r="C25" s="540" t="s">
        <v>368</v>
      </c>
      <c r="D25" s="285" t="s">
        <v>369</v>
      </c>
      <c r="E25" s="541">
        <f>+CUBICACION!R4</f>
        <v>0</v>
      </c>
      <c r="F25" s="542">
        <f>16.75*G11*1.5</f>
        <v>24622.5</v>
      </c>
      <c r="G25" s="287">
        <f t="shared" ref="G25:G31" si="0">+F25*E25</f>
        <v>0</v>
      </c>
      <c r="H25" s="543">
        <v>0.05</v>
      </c>
      <c r="I25" s="287">
        <f>+(G25*H25)+G25</f>
        <v>0</v>
      </c>
      <c r="J25" s="288">
        <f t="shared" ref="J25:J31" si="1">I25/$I$111</f>
        <v>0</v>
      </c>
      <c r="K25" s="356">
        <f t="shared" ref="K25:K31" si="2">+I25/(1-$K$11)</f>
        <v>0</v>
      </c>
      <c r="L25" s="291"/>
      <c r="M25" s="959" t="s">
        <v>202</v>
      </c>
      <c r="N25" s="956">
        <f>+N24</f>
        <v>1696.006402</v>
      </c>
      <c r="O25" s="957">
        <f>+P25/N25</f>
        <v>0.10262454476645426</v>
      </c>
      <c r="P25" s="958">
        <f>+Q25*P27</f>
        <v>174.05188492624202</v>
      </c>
      <c r="Q25" s="282">
        <f>+D33+D41</f>
        <v>0.12075147373066294</v>
      </c>
      <c r="R25" s="204"/>
    </row>
    <row r="26" spans="2:18" ht="15.75" thickBot="1" x14ac:dyDescent="0.25">
      <c r="B26" s="547" t="s">
        <v>203</v>
      </c>
      <c r="C26" s="489" t="s">
        <v>370</v>
      </c>
      <c r="D26" s="335" t="s">
        <v>369</v>
      </c>
      <c r="E26" s="548">
        <f>+CUBICACION!R3</f>
        <v>0</v>
      </c>
      <c r="F26" s="953">
        <v>26000</v>
      </c>
      <c r="G26" s="345">
        <f t="shared" si="0"/>
        <v>0</v>
      </c>
      <c r="H26" s="349">
        <v>0.05</v>
      </c>
      <c r="I26" s="345">
        <f t="shared" ref="I26:I31" si="3">+(G26*H26)+G26</f>
        <v>0</v>
      </c>
      <c r="J26" s="301">
        <f t="shared" si="1"/>
        <v>0</v>
      </c>
      <c r="K26" s="356">
        <f>+I26/(1-$K$11)</f>
        <v>0</v>
      </c>
      <c r="L26" s="183"/>
      <c r="M26" s="960" t="s">
        <v>204</v>
      </c>
      <c r="N26" s="961">
        <f>+N25</f>
        <v>1696.006402</v>
      </c>
      <c r="O26" s="962">
        <f>+P26/N26</f>
        <v>0.25847347651961933</v>
      </c>
      <c r="P26" s="963">
        <f>+Q26*P27</f>
        <v>438.37267092447109</v>
      </c>
      <c r="Q26" s="307">
        <f>+D48+D57+D66+D74+D81+D89+D96+D108</f>
        <v>0.30412854235855435</v>
      </c>
      <c r="R26" s="204"/>
    </row>
    <row r="27" spans="2:18" ht="16.5" thickTop="1" thickBot="1" x14ac:dyDescent="0.25">
      <c r="B27" s="547" t="s">
        <v>205</v>
      </c>
      <c r="C27" s="489" t="s">
        <v>60</v>
      </c>
      <c r="D27" s="335" t="s">
        <v>369</v>
      </c>
      <c r="E27" s="548">
        <f>+ROUNDUP(CUBICACION!R2,0)</f>
        <v>823</v>
      </c>
      <c r="F27" s="299">
        <v>25000</v>
      </c>
      <c r="G27" s="345">
        <f t="shared" si="0"/>
        <v>20575000</v>
      </c>
      <c r="H27" s="349">
        <v>0.03</v>
      </c>
      <c r="I27" s="345">
        <f t="shared" si="3"/>
        <v>21192250</v>
      </c>
      <c r="J27" s="301">
        <f t="shared" si="1"/>
        <v>0.55398504501134205</v>
      </c>
      <c r="K27" s="356">
        <f t="shared" si="2"/>
        <v>32603461.538461536</v>
      </c>
      <c r="L27" s="183"/>
      <c r="M27" s="981" t="s">
        <v>31</v>
      </c>
      <c r="N27" s="982">
        <f>+N26</f>
        <v>1696.006402</v>
      </c>
      <c r="O27" s="983">
        <f>+SUM(O24:O26)</f>
        <v>0.84988233762975884</v>
      </c>
      <c r="P27" s="984">
        <f>+I19</f>
        <v>1441.4058855667968</v>
      </c>
      <c r="Q27" s="181"/>
      <c r="R27" s="204"/>
    </row>
    <row r="28" spans="2:18" x14ac:dyDescent="0.25">
      <c r="B28" s="547" t="s">
        <v>371</v>
      </c>
      <c r="C28" s="489" t="s">
        <v>372</v>
      </c>
      <c r="D28" s="335" t="s">
        <v>373</v>
      </c>
      <c r="E28" s="548">
        <f>+ROUNDUP(E25/19,0)</f>
        <v>0</v>
      </c>
      <c r="F28" s="345">
        <f>21.5*G11*1.5</f>
        <v>31605</v>
      </c>
      <c r="G28" s="345">
        <f t="shared" si="0"/>
        <v>0</v>
      </c>
      <c r="H28" s="349">
        <v>0.05</v>
      </c>
      <c r="I28" s="345">
        <f t="shared" si="3"/>
        <v>0</v>
      </c>
      <c r="J28" s="301">
        <f t="shared" si="1"/>
        <v>0</v>
      </c>
      <c r="K28" s="356">
        <f t="shared" si="2"/>
        <v>0</v>
      </c>
      <c r="L28" s="183"/>
      <c r="M28" s="555"/>
      <c r="N28" s="556"/>
      <c r="O28" s="183"/>
      <c r="P28" s="183"/>
      <c r="R28" s="183"/>
    </row>
    <row r="29" spans="2:18" x14ac:dyDescent="0.25">
      <c r="B29" s="547" t="s">
        <v>374</v>
      </c>
      <c r="C29" s="489" t="s">
        <v>375</v>
      </c>
      <c r="D29" s="335" t="s">
        <v>11</v>
      </c>
      <c r="E29" s="548">
        <v>0</v>
      </c>
      <c r="F29" s="345">
        <f>32967/50</f>
        <v>659.34</v>
      </c>
      <c r="G29" s="345">
        <f t="shared" si="0"/>
        <v>0</v>
      </c>
      <c r="H29" s="349">
        <v>0.05</v>
      </c>
      <c r="I29" s="345">
        <f t="shared" si="3"/>
        <v>0</v>
      </c>
      <c r="J29" s="301">
        <f t="shared" si="1"/>
        <v>0</v>
      </c>
      <c r="K29" s="356">
        <f t="shared" si="2"/>
        <v>0</v>
      </c>
      <c r="L29" s="183"/>
      <c r="M29" s="555"/>
      <c r="N29" s="556"/>
      <c r="O29" s="183"/>
      <c r="P29" s="183"/>
      <c r="R29" s="183"/>
    </row>
    <row r="30" spans="2:18" x14ac:dyDescent="0.25">
      <c r="B30" s="547" t="s">
        <v>376</v>
      </c>
      <c r="C30" s="489" t="s">
        <v>377</v>
      </c>
      <c r="D30" s="335" t="s">
        <v>373</v>
      </c>
      <c r="E30" s="548">
        <f>ROUNDUP(+(E27/4)*2/19,0)</f>
        <v>22</v>
      </c>
      <c r="F30" s="345">
        <v>35000</v>
      </c>
      <c r="G30" s="345">
        <f t="shared" si="0"/>
        <v>770000</v>
      </c>
      <c r="H30" s="349">
        <v>0.05</v>
      </c>
      <c r="I30" s="345">
        <f t="shared" si="3"/>
        <v>808500</v>
      </c>
      <c r="J30" s="301">
        <f t="shared" si="1"/>
        <v>2.1134938899440601E-2</v>
      </c>
      <c r="K30" s="356">
        <f t="shared" si="2"/>
        <v>1243846.1538461538</v>
      </c>
      <c r="R30" s="183"/>
    </row>
    <row r="31" spans="2:18" ht="15" thickBot="1" x14ac:dyDescent="0.3">
      <c r="B31" s="557" t="s">
        <v>378</v>
      </c>
      <c r="C31" s="489" t="s">
        <v>628</v>
      </c>
      <c r="D31" s="335" t="s">
        <v>629</v>
      </c>
      <c r="E31" s="548">
        <v>0</v>
      </c>
      <c r="F31" s="954">
        <f>4500*G11</f>
        <v>4410000</v>
      </c>
      <c r="G31" s="352">
        <f t="shared" si="0"/>
        <v>0</v>
      </c>
      <c r="H31" s="353">
        <v>0.05</v>
      </c>
      <c r="I31" s="352">
        <f t="shared" si="3"/>
        <v>0</v>
      </c>
      <c r="J31" s="354">
        <f t="shared" si="1"/>
        <v>0</v>
      </c>
      <c r="K31" s="356">
        <f t="shared" si="2"/>
        <v>0</v>
      </c>
      <c r="Q31" s="183"/>
    </row>
    <row r="32" spans="2:18" ht="18" thickBot="1" x14ac:dyDescent="0.3">
      <c r="B32" s="558"/>
      <c r="C32" s="559"/>
      <c r="D32" s="509"/>
      <c r="E32" s="560"/>
      <c r="F32" s="258"/>
      <c r="G32" s="259"/>
      <c r="H32" s="561"/>
      <c r="I32" s="260"/>
      <c r="J32" s="442"/>
      <c r="K32" s="444"/>
      <c r="L32" s="1004" t="s">
        <v>387</v>
      </c>
      <c r="M32" s="530" t="s">
        <v>196</v>
      </c>
      <c r="N32" s="531" t="s">
        <v>365</v>
      </c>
      <c r="O32" s="531" t="s">
        <v>366</v>
      </c>
      <c r="P32" s="532" t="s">
        <v>367</v>
      </c>
      <c r="Q32" s="828">
        <f>+I27/($I$25+$I$26+$I$27)</f>
        <v>1</v>
      </c>
    </row>
    <row r="33" spans="2:17" s="183" customFormat="1" ht="15.75" thickTop="1" x14ac:dyDescent="0.25">
      <c r="B33" s="533">
        <v>2</v>
      </c>
      <c r="C33" s="269" t="s">
        <v>206</v>
      </c>
      <c r="D33" s="327">
        <f>SUM(J34:J37)</f>
        <v>4.7547730815327781E-2</v>
      </c>
      <c r="E33" s="328"/>
      <c r="F33" s="329"/>
      <c r="G33" s="329"/>
      <c r="H33" s="330"/>
      <c r="I33" s="329"/>
      <c r="J33" s="331"/>
      <c r="K33" s="333"/>
      <c r="L33" s="1004"/>
      <c r="M33" s="535" t="s">
        <v>199</v>
      </c>
      <c r="N33" s="536">
        <f>+N36</f>
        <v>1696.006402</v>
      </c>
      <c r="O33" s="537">
        <f>+P33/N33</f>
        <v>0.48878431634368535</v>
      </c>
      <c r="P33" s="538">
        <f>+Q32*P24</f>
        <v>828.98132971608356</v>
      </c>
      <c r="Q33" s="828">
        <f>+E27/($E$25+$E$26+$E$27)</f>
        <v>1</v>
      </c>
    </row>
    <row r="34" spans="2:17" s="183" customFormat="1" ht="15" x14ac:dyDescent="0.25">
      <c r="B34" s="539" t="s">
        <v>207</v>
      </c>
      <c r="C34" s="562" t="s">
        <v>380</v>
      </c>
      <c r="D34" s="285" t="s">
        <v>209</v>
      </c>
      <c r="E34" s="336">
        <v>1</v>
      </c>
      <c r="F34" s="337"/>
      <c r="G34" s="338"/>
      <c r="H34" s="339"/>
      <c r="I34" s="287">
        <f t="shared" ref="I34:I87" si="4">+(G34*H34)+G34</f>
        <v>0</v>
      </c>
      <c r="J34" s="288">
        <f>I34/$I$111</f>
        <v>0</v>
      </c>
      <c r="K34" s="290">
        <f>+I34/(1-$K$13)</f>
        <v>0</v>
      </c>
      <c r="L34" s="1004"/>
      <c r="M34" s="544" t="s">
        <v>202</v>
      </c>
      <c r="N34" s="545">
        <f>+N36</f>
        <v>1696.006402</v>
      </c>
      <c r="O34" s="294">
        <f>+P34/N34</f>
        <v>0.10262454476645426</v>
      </c>
      <c r="P34" s="546">
        <f>+Q33*P25</f>
        <v>174.05188492624202</v>
      </c>
      <c r="Q34" s="828"/>
    </row>
    <row r="35" spans="2:17" s="183" customFormat="1" ht="15" customHeight="1" thickBot="1" x14ac:dyDescent="0.3">
      <c r="B35" s="547" t="s">
        <v>210</v>
      </c>
      <c r="C35" s="308" t="s">
        <v>105</v>
      </c>
      <c r="D35" s="351" t="s">
        <v>209</v>
      </c>
      <c r="E35" s="563">
        <v>1</v>
      </c>
      <c r="F35" s="402"/>
      <c r="G35" s="402"/>
      <c r="H35" s="344"/>
      <c r="I35" s="345">
        <f t="shared" si="4"/>
        <v>0</v>
      </c>
      <c r="J35" s="301">
        <f>I35/$I$111</f>
        <v>0</v>
      </c>
      <c r="K35" s="290">
        <f>+I35/(1-$K$13)</f>
        <v>0</v>
      </c>
      <c r="L35" s="1004"/>
      <c r="M35" s="549" t="s">
        <v>204</v>
      </c>
      <c r="N35" s="550">
        <f>+N36</f>
        <v>1696.006402</v>
      </c>
      <c r="O35" s="305">
        <f>+P35/N35</f>
        <v>0.25847347651961933</v>
      </c>
      <c r="P35" s="551">
        <f>+Q33*P26</f>
        <v>438.37267092447109</v>
      </c>
      <c r="Q35" s="828"/>
    </row>
    <row r="36" spans="2:17" s="183" customFormat="1" ht="16.5" thickTop="1" thickBot="1" x14ac:dyDescent="0.3">
      <c r="B36" s="564" t="s">
        <v>211</v>
      </c>
      <c r="C36" s="407" t="s">
        <v>212</v>
      </c>
      <c r="D36" s="335" t="s">
        <v>209</v>
      </c>
      <c r="E36" s="565">
        <f>+ROUNDUP((($E$25/$C$15+$E$26/$C$15+$E$27/$C$13)/$E$41)+$E$34+$E$35,0)</f>
        <v>21</v>
      </c>
      <c r="F36" s="566">
        <f>75900</f>
        <v>75900</v>
      </c>
      <c r="G36" s="299">
        <f>+F36*E36</f>
        <v>1593900</v>
      </c>
      <c r="H36" s="344"/>
      <c r="I36" s="345">
        <f t="shared" si="4"/>
        <v>1593900</v>
      </c>
      <c r="J36" s="301">
        <f>I36/$I$111</f>
        <v>4.1666022401754328E-2</v>
      </c>
      <c r="K36" s="290">
        <f>+I36/(1-$K$13)</f>
        <v>2452153.846153846</v>
      </c>
      <c r="M36" s="552" t="s">
        <v>31</v>
      </c>
      <c r="N36" s="553">
        <f>+CUBICACION!Q2</f>
        <v>1696.006402</v>
      </c>
      <c r="O36" s="313">
        <f>+SUM(O33:O35)</f>
        <v>0.84988233762975884</v>
      </c>
      <c r="P36" s="829">
        <f>+SUM(P33:P35)</f>
        <v>1441.4058855667968</v>
      </c>
      <c r="Q36" s="828"/>
    </row>
    <row r="37" spans="2:17" s="183" customFormat="1" ht="15" thickBot="1" x14ac:dyDescent="0.3">
      <c r="B37" s="547" t="s">
        <v>213</v>
      </c>
      <c r="C37" s="562" t="s">
        <v>381</v>
      </c>
      <c r="D37" s="285" t="s">
        <v>209</v>
      </c>
      <c r="E37" s="567">
        <v>3</v>
      </c>
      <c r="F37" s="345">
        <v>75000</v>
      </c>
      <c r="G37" s="299">
        <f>+F37*E37</f>
        <v>225000</v>
      </c>
      <c r="H37" s="349"/>
      <c r="I37" s="345">
        <f t="shared" si="4"/>
        <v>225000</v>
      </c>
      <c r="J37" s="301">
        <f>I37/$I$111</f>
        <v>5.8817084135734509E-3</v>
      </c>
      <c r="K37" s="290">
        <f>+I37/(1-$K$13)</f>
        <v>346153.84615384613</v>
      </c>
      <c r="L37" s="1005" t="s">
        <v>379</v>
      </c>
      <c r="Q37" s="828"/>
    </row>
    <row r="38" spans="2:17" s="183" customFormat="1" ht="18" thickBot="1" x14ac:dyDescent="0.3">
      <c r="B38" s="568"/>
      <c r="C38" s="408"/>
      <c r="D38" s="376"/>
      <c r="E38" s="569"/>
      <c r="F38" s="570"/>
      <c r="G38" s="571"/>
      <c r="H38" s="322"/>
      <c r="I38" s="570"/>
      <c r="J38" s="324"/>
      <c r="K38" s="572"/>
      <c r="L38" s="1005"/>
      <c r="M38" s="530" t="s">
        <v>196</v>
      </c>
      <c r="N38" s="531" t="s">
        <v>365</v>
      </c>
      <c r="O38" s="531" t="s">
        <v>366</v>
      </c>
      <c r="P38" s="532" t="s">
        <v>367</v>
      </c>
      <c r="Q38" s="828">
        <f>+I26/($I$25+$I$26+$I$27)</f>
        <v>0</v>
      </c>
    </row>
    <row r="39" spans="2:17" ht="16.5" thickTop="1" thickBot="1" x14ac:dyDescent="0.3">
      <c r="B39" s="573"/>
      <c r="C39" s="574" t="s">
        <v>383</v>
      </c>
      <c r="D39" s="575" t="s">
        <v>209</v>
      </c>
      <c r="E39" s="576">
        <f>+ROUNDUP((($E$25/$C$15+$E$26/$C$15+$E$27/$C$13)/$E$41)+$E$34+$E$35,0)</f>
        <v>21</v>
      </c>
      <c r="F39" s="577"/>
      <c r="G39" s="577"/>
      <c r="H39" s="578"/>
      <c r="I39" s="577"/>
      <c r="J39" s="372"/>
      <c r="K39" s="572"/>
      <c r="L39" s="1005"/>
      <c r="M39" s="535" t="s">
        <v>199</v>
      </c>
      <c r="N39" s="536">
        <f>+N42</f>
        <v>0</v>
      </c>
      <c r="O39" s="537" t="e">
        <f>+P39/N39</f>
        <v>#DIV/0!</v>
      </c>
      <c r="P39" s="538">
        <f>+Q38*P24</f>
        <v>0</v>
      </c>
      <c r="Q39" s="828">
        <f>+E26/($E$25+$E$26+$E$27)</f>
        <v>0</v>
      </c>
    </row>
    <row r="40" spans="2:17" s="183" customFormat="1" ht="15.75" customHeight="1" thickBot="1" x14ac:dyDescent="0.3">
      <c r="B40" s="573"/>
      <c r="C40" s="408"/>
      <c r="D40" s="376"/>
      <c r="E40" s="579"/>
      <c r="F40" s="378"/>
      <c r="G40" s="378"/>
      <c r="H40" s="379"/>
      <c r="I40" s="380"/>
      <c r="J40" s="381"/>
      <c r="K40" s="383"/>
      <c r="L40" s="1005"/>
      <c r="M40" s="544" t="s">
        <v>202</v>
      </c>
      <c r="N40" s="545">
        <f>+N42</f>
        <v>0</v>
      </c>
      <c r="O40" s="294" t="e">
        <f>+P40/N40</f>
        <v>#DIV/0!</v>
      </c>
      <c r="P40" s="546">
        <f>+Q39*P25</f>
        <v>0</v>
      </c>
      <c r="Q40" s="828"/>
    </row>
    <row r="41" spans="2:17" s="183" customFormat="1" ht="17.25" customHeight="1" thickBot="1" x14ac:dyDescent="0.3">
      <c r="B41" s="533">
        <v>3</v>
      </c>
      <c r="C41" s="384" t="s">
        <v>217</v>
      </c>
      <c r="D41" s="410">
        <f>SUM(J42:J46)</f>
        <v>7.3203742915335171E-2</v>
      </c>
      <c r="E41" s="580">
        <v>1</v>
      </c>
      <c r="F41" s="581" t="s">
        <v>180</v>
      </c>
      <c r="G41" s="582"/>
      <c r="H41" s="583">
        <v>0.05</v>
      </c>
      <c r="I41" s="581" t="s">
        <v>384</v>
      </c>
      <c r="J41" s="390"/>
      <c r="K41" s="333"/>
      <c r="M41" s="549" t="s">
        <v>204</v>
      </c>
      <c r="N41" s="550">
        <f>+N42</f>
        <v>0</v>
      </c>
      <c r="O41" s="305" t="e">
        <f>+P41/N41</f>
        <v>#DIV/0!</v>
      </c>
      <c r="P41" s="551">
        <f>+Q39*P26</f>
        <v>0</v>
      </c>
      <c r="Q41" s="828"/>
    </row>
    <row r="42" spans="2:17" s="183" customFormat="1" ht="15.75" thickBot="1" x14ac:dyDescent="0.3">
      <c r="B42" s="539" t="s">
        <v>385</v>
      </c>
      <c r="C42" s="562" t="s">
        <v>386</v>
      </c>
      <c r="D42" s="285" t="s">
        <v>209</v>
      </c>
      <c r="E42" s="392">
        <f>ROUNDUP($E$36,0)</f>
        <v>21</v>
      </c>
      <c r="F42" s="287">
        <v>45000</v>
      </c>
      <c r="G42" s="394">
        <f>+F42*E42*$E$41</f>
        <v>945000</v>
      </c>
      <c r="H42" s="395">
        <f>+$H$41</f>
        <v>0.05</v>
      </c>
      <c r="I42" s="287">
        <f t="shared" si="4"/>
        <v>992250</v>
      </c>
      <c r="J42" s="288">
        <f>I42/$I$111</f>
        <v>2.5938334103858918E-2</v>
      </c>
      <c r="K42" s="356">
        <f>+I42/(1-$K$15)</f>
        <v>1526538.4615384615</v>
      </c>
      <c r="L42" s="1005" t="s">
        <v>382</v>
      </c>
      <c r="M42" s="552" t="s">
        <v>31</v>
      </c>
      <c r="N42" s="553">
        <f>+CUBICACION!Q3</f>
        <v>0</v>
      </c>
      <c r="O42" s="313" t="e">
        <f>+SUM(O39:O41)</f>
        <v>#DIV/0!</v>
      </c>
      <c r="P42" s="554">
        <f>+SUM(P39:P41)</f>
        <v>0</v>
      </c>
      <c r="Q42" s="828"/>
    </row>
    <row r="43" spans="2:17" s="183" customFormat="1" ht="15" thickBot="1" x14ac:dyDescent="0.3">
      <c r="B43" s="547" t="s">
        <v>388</v>
      </c>
      <c r="C43" s="296" t="s">
        <v>389</v>
      </c>
      <c r="D43" s="285" t="s">
        <v>209</v>
      </c>
      <c r="E43" s="392">
        <f>ROUNDUP($E$36,0)</f>
        <v>21</v>
      </c>
      <c r="F43" s="345">
        <v>42000</v>
      </c>
      <c r="G43" s="394">
        <f>+F43*E43*$E$41</f>
        <v>882000</v>
      </c>
      <c r="H43" s="395">
        <f>+$H$41</f>
        <v>0.05</v>
      </c>
      <c r="I43" s="345">
        <f t="shared" si="4"/>
        <v>926100</v>
      </c>
      <c r="J43" s="301">
        <f>I43/$I$111</f>
        <v>2.4209111830268325E-2</v>
      </c>
      <c r="K43" s="356">
        <f>+I43/(1-$K$15)</f>
        <v>1424769.2307692308</v>
      </c>
      <c r="L43" s="1005"/>
      <c r="M43" s="584"/>
      <c r="Q43" s="828"/>
    </row>
    <row r="44" spans="2:17" s="183" customFormat="1" ht="18" thickBot="1" x14ac:dyDescent="0.3">
      <c r="B44" s="547" t="s">
        <v>390</v>
      </c>
      <c r="C44" s="296" t="s">
        <v>391</v>
      </c>
      <c r="D44" s="285" t="s">
        <v>209</v>
      </c>
      <c r="E44" s="392">
        <f>ROUNDUP($E$36,0)</f>
        <v>21</v>
      </c>
      <c r="F44" s="345">
        <v>40000</v>
      </c>
      <c r="G44" s="394">
        <f>+F44*E44*$E$41</f>
        <v>840000</v>
      </c>
      <c r="H44" s="395">
        <f>+$H$41</f>
        <v>0.05</v>
      </c>
      <c r="I44" s="345">
        <f t="shared" si="4"/>
        <v>882000</v>
      </c>
      <c r="J44" s="301">
        <f>I44/$I$111</f>
        <v>2.3056296981207928E-2</v>
      </c>
      <c r="K44" s="356">
        <f>+I44/(1-$K$15)</f>
        <v>1356923.0769230768</v>
      </c>
      <c r="L44" s="1005"/>
      <c r="M44" s="530" t="s">
        <v>196</v>
      </c>
      <c r="N44" s="531" t="s">
        <v>365</v>
      </c>
      <c r="O44" s="531" t="s">
        <v>366</v>
      </c>
      <c r="P44" s="532" t="s">
        <v>367</v>
      </c>
      <c r="Q44" s="828">
        <f>+I25/($I$25+$I$26+$I$27)</f>
        <v>0</v>
      </c>
    </row>
    <row r="45" spans="2:17" s="183" customFormat="1" ht="15.75" thickTop="1" x14ac:dyDescent="0.25">
      <c r="B45" s="547" t="s">
        <v>392</v>
      </c>
      <c r="C45" s="296" t="s">
        <v>393</v>
      </c>
      <c r="D45" s="285" t="s">
        <v>209</v>
      </c>
      <c r="E45" s="392"/>
      <c r="F45" s="345">
        <f>33000</f>
        <v>33000</v>
      </c>
      <c r="G45" s="394">
        <f>+F45*E45*$E$41</f>
        <v>0</v>
      </c>
      <c r="H45" s="395">
        <f>+$H$41</f>
        <v>0.05</v>
      </c>
      <c r="I45" s="345">
        <f t="shared" si="4"/>
        <v>0</v>
      </c>
      <c r="J45" s="301">
        <f>I45/$I$111</f>
        <v>0</v>
      </c>
      <c r="K45" s="356">
        <f>+I45/(1-$K$15)</f>
        <v>0</v>
      </c>
      <c r="L45" s="1005"/>
      <c r="M45" s="535" t="s">
        <v>199</v>
      </c>
      <c r="N45" s="536">
        <f>+N48</f>
        <v>0</v>
      </c>
      <c r="O45" s="537" t="e">
        <f>+P45/N45</f>
        <v>#DIV/0!</v>
      </c>
      <c r="P45" s="538">
        <f>+Q44*P24</f>
        <v>0</v>
      </c>
      <c r="Q45" s="828">
        <f>+E25/($E$25+$E$26+$E$27)</f>
        <v>0</v>
      </c>
    </row>
    <row r="46" spans="2:17" ht="15" x14ac:dyDescent="0.25">
      <c r="B46" s="557" t="s">
        <v>394</v>
      </c>
      <c r="C46" s="308" t="s">
        <v>395</v>
      </c>
      <c r="D46" s="585" t="s">
        <v>209</v>
      </c>
      <c r="E46" s="392">
        <v>0</v>
      </c>
      <c r="F46" s="352">
        <v>40000</v>
      </c>
      <c r="G46" s="394">
        <f>+F46*E46*$E$41</f>
        <v>0</v>
      </c>
      <c r="H46" s="586">
        <f>+$H$41</f>
        <v>0.05</v>
      </c>
      <c r="I46" s="352">
        <f t="shared" si="4"/>
        <v>0</v>
      </c>
      <c r="J46" s="354">
        <f>I46/$I$111</f>
        <v>0</v>
      </c>
      <c r="K46" s="356">
        <f>+I46/(1-$K$15)</f>
        <v>0</v>
      </c>
      <c r="L46" s="183"/>
      <c r="M46" s="544" t="s">
        <v>202</v>
      </c>
      <c r="N46" s="545">
        <f>+N48</f>
        <v>0</v>
      </c>
      <c r="O46" s="294" t="e">
        <f>+P46/N46</f>
        <v>#DIV/0!</v>
      </c>
      <c r="P46" s="546">
        <f>+Q45*P25</f>
        <v>0</v>
      </c>
      <c r="Q46" s="183"/>
    </row>
    <row r="47" spans="2:17" ht="15.75" thickBot="1" x14ac:dyDescent="0.3">
      <c r="B47" s="568"/>
      <c r="C47" s="587"/>
      <c r="D47" s="359"/>
      <c r="E47" s="588"/>
      <c r="F47" s="589"/>
      <c r="G47" s="589"/>
      <c r="H47" s="440"/>
      <c r="I47" s="441"/>
      <c r="J47" s="442"/>
      <c r="K47" s="444"/>
      <c r="L47" s="183"/>
      <c r="M47" s="549" t="s">
        <v>204</v>
      </c>
      <c r="N47" s="550">
        <f>+N48</f>
        <v>0</v>
      </c>
      <c r="O47" s="305" t="e">
        <f>+P47/N47</f>
        <v>#DIV/0!</v>
      </c>
      <c r="P47" s="551">
        <f>+Q45*P26</f>
        <v>0</v>
      </c>
      <c r="Q47" s="183"/>
    </row>
    <row r="48" spans="2:17" ht="19.5" customHeight="1" thickTop="1" thickBot="1" x14ac:dyDescent="0.3">
      <c r="B48" s="533">
        <v>4</v>
      </c>
      <c r="C48" s="590" t="s">
        <v>239</v>
      </c>
      <c r="D48" s="410">
        <f>SUM(J49:J55)</f>
        <v>0.10456370513019468</v>
      </c>
      <c r="E48" s="423" t="s">
        <v>396</v>
      </c>
      <c r="F48" s="591">
        <v>200000</v>
      </c>
      <c r="G48" s="592"/>
      <c r="H48" s="414"/>
      <c r="I48" s="389"/>
      <c r="J48" s="331"/>
      <c r="K48" s="333"/>
      <c r="M48" s="552" t="s">
        <v>31</v>
      </c>
      <c r="N48" s="553">
        <f>+CUBICACION!Q4</f>
        <v>0</v>
      </c>
      <c r="O48" s="313" t="e">
        <f>+SUM(O45:O47)</f>
        <v>#DIV/0!</v>
      </c>
      <c r="P48" s="554">
        <f>+SUM(P45:P47)</f>
        <v>0</v>
      </c>
    </row>
    <row r="49" spans="2:18" s="183" customFormat="1" x14ac:dyDescent="0.25">
      <c r="B49" s="539" t="s">
        <v>241</v>
      </c>
      <c r="C49" s="562" t="s">
        <v>212</v>
      </c>
      <c r="D49" s="285" t="s">
        <v>209</v>
      </c>
      <c r="E49" s="392">
        <f>+IF($F$48&gt;0,ROUNDUP(E36/5,0),0)</f>
        <v>5</v>
      </c>
      <c r="F49" s="287">
        <f t="shared" ref="F49:F55" si="5">$F$48</f>
        <v>200000</v>
      </c>
      <c r="G49" s="287">
        <f t="shared" ref="G49:G55" si="6">+F49*E49</f>
        <v>1000000</v>
      </c>
      <c r="H49" s="395">
        <v>0</v>
      </c>
      <c r="I49" s="287">
        <f t="shared" ref="I49:I55" si="7">+(G49*H49)+G49</f>
        <v>1000000</v>
      </c>
      <c r="J49" s="288">
        <f t="shared" ref="J49:J55" si="8">I49/$I$111</f>
        <v>2.614092628254867E-2</v>
      </c>
      <c r="K49" s="290">
        <f t="shared" ref="K49:K55" si="9">+I49/(1-$K$19)</f>
        <v>1538461.5384615385</v>
      </c>
      <c r="M49" s="584"/>
    </row>
    <row r="50" spans="2:18" x14ac:dyDescent="0.25">
      <c r="B50" s="547" t="s">
        <v>255</v>
      </c>
      <c r="C50" s="407" t="s">
        <v>269</v>
      </c>
      <c r="D50" s="335" t="s">
        <v>209</v>
      </c>
      <c r="E50" s="392">
        <v>0</v>
      </c>
      <c r="F50" s="287">
        <f t="shared" si="5"/>
        <v>200000</v>
      </c>
      <c r="G50" s="345">
        <f t="shared" si="6"/>
        <v>0</v>
      </c>
      <c r="H50" s="397">
        <v>0</v>
      </c>
      <c r="I50" s="345">
        <f t="shared" si="7"/>
        <v>0</v>
      </c>
      <c r="J50" s="301">
        <f t="shared" si="8"/>
        <v>0</v>
      </c>
      <c r="K50" s="290">
        <f t="shared" si="9"/>
        <v>0</v>
      </c>
    </row>
    <row r="51" spans="2:18" s="183" customFormat="1" x14ac:dyDescent="0.25">
      <c r="B51" s="547" t="s">
        <v>243</v>
      </c>
      <c r="C51" s="296" t="s">
        <v>386</v>
      </c>
      <c r="D51" s="285" t="s">
        <v>209</v>
      </c>
      <c r="E51" s="392">
        <f>+IF($F$48&gt;0,ROUNDUP(E42/5,0),0)</f>
        <v>5</v>
      </c>
      <c r="F51" s="287">
        <f t="shared" si="5"/>
        <v>200000</v>
      </c>
      <c r="G51" s="345">
        <f t="shared" si="6"/>
        <v>1000000</v>
      </c>
      <c r="H51" s="397">
        <v>0</v>
      </c>
      <c r="I51" s="345">
        <f t="shared" si="7"/>
        <v>1000000</v>
      </c>
      <c r="J51" s="301">
        <f t="shared" si="8"/>
        <v>2.614092628254867E-2</v>
      </c>
      <c r="K51" s="290">
        <f t="shared" si="9"/>
        <v>1538461.5384615385</v>
      </c>
    </row>
    <row r="52" spans="2:18" s="183" customFormat="1" x14ac:dyDescent="0.25">
      <c r="B52" s="547" t="s">
        <v>244</v>
      </c>
      <c r="C52" s="296" t="s">
        <v>389</v>
      </c>
      <c r="D52" s="285" t="s">
        <v>209</v>
      </c>
      <c r="E52" s="392">
        <f>+IF($F$48&gt;0,ROUNDUP(E43/5,0),0)</f>
        <v>5</v>
      </c>
      <c r="F52" s="287">
        <f t="shared" si="5"/>
        <v>200000</v>
      </c>
      <c r="G52" s="345">
        <f t="shared" si="6"/>
        <v>1000000</v>
      </c>
      <c r="H52" s="397">
        <v>0</v>
      </c>
      <c r="I52" s="345">
        <f t="shared" si="7"/>
        <v>1000000</v>
      </c>
      <c r="J52" s="301">
        <f t="shared" si="8"/>
        <v>2.614092628254867E-2</v>
      </c>
      <c r="K52" s="290">
        <f t="shared" si="9"/>
        <v>1538461.5384615385</v>
      </c>
      <c r="M52" s="184"/>
      <c r="N52" s="184"/>
      <c r="O52" s="184"/>
      <c r="P52" s="184"/>
      <c r="Q52" s="184"/>
    </row>
    <row r="53" spans="2:18" s="183" customFormat="1" x14ac:dyDescent="0.25">
      <c r="B53" s="547" t="s">
        <v>397</v>
      </c>
      <c r="C53" s="296" t="s">
        <v>391</v>
      </c>
      <c r="D53" s="285" t="s">
        <v>209</v>
      </c>
      <c r="E53" s="392">
        <f>+IF($F$48&gt;0,ROUNDUP(E44/5,0),0)</f>
        <v>5</v>
      </c>
      <c r="F53" s="287">
        <f t="shared" si="5"/>
        <v>200000</v>
      </c>
      <c r="G53" s="345">
        <f t="shared" si="6"/>
        <v>1000000</v>
      </c>
      <c r="H53" s="397">
        <v>0</v>
      </c>
      <c r="I53" s="345">
        <f t="shared" si="7"/>
        <v>1000000</v>
      </c>
      <c r="J53" s="301">
        <f t="shared" si="8"/>
        <v>2.614092628254867E-2</v>
      </c>
      <c r="K53" s="290">
        <f t="shared" si="9"/>
        <v>1538461.5384615385</v>
      </c>
    </row>
    <row r="54" spans="2:18" s="183" customFormat="1" x14ac:dyDescent="0.25">
      <c r="B54" s="547" t="s">
        <v>245</v>
      </c>
      <c r="C54" s="296" t="s">
        <v>393</v>
      </c>
      <c r="D54" s="285" t="s">
        <v>209</v>
      </c>
      <c r="E54" s="392"/>
      <c r="F54" s="287">
        <f t="shared" si="5"/>
        <v>200000</v>
      </c>
      <c r="G54" s="345">
        <f t="shared" si="6"/>
        <v>0</v>
      </c>
      <c r="H54" s="397">
        <v>0</v>
      </c>
      <c r="I54" s="345">
        <f t="shared" si="7"/>
        <v>0</v>
      </c>
      <c r="J54" s="301">
        <f t="shared" si="8"/>
        <v>0</v>
      </c>
      <c r="K54" s="290">
        <f t="shared" si="9"/>
        <v>0</v>
      </c>
    </row>
    <row r="55" spans="2:18" x14ac:dyDescent="0.25">
      <c r="B55" s="557" t="s">
        <v>246</v>
      </c>
      <c r="C55" s="308" t="s">
        <v>395</v>
      </c>
      <c r="D55" s="585" t="s">
        <v>209</v>
      </c>
      <c r="E55" s="392"/>
      <c r="F55" s="593">
        <f t="shared" si="5"/>
        <v>200000</v>
      </c>
      <c r="G55" s="352">
        <f t="shared" si="6"/>
        <v>0</v>
      </c>
      <c r="H55" s="450">
        <v>0</v>
      </c>
      <c r="I55" s="352">
        <f t="shared" si="7"/>
        <v>0</v>
      </c>
      <c r="J55" s="354">
        <f t="shared" si="8"/>
        <v>0</v>
      </c>
      <c r="K55" s="290">
        <f t="shared" si="9"/>
        <v>0</v>
      </c>
      <c r="L55" s="183"/>
      <c r="M55" s="584"/>
      <c r="N55" s="183"/>
      <c r="O55" s="183"/>
      <c r="P55" s="183"/>
      <c r="Q55" s="183"/>
      <c r="R55" s="183"/>
    </row>
    <row r="56" spans="2:18" ht="15.75" thickBot="1" x14ac:dyDescent="0.3">
      <c r="B56" s="594"/>
      <c r="C56" s="595"/>
      <c r="D56" s="596"/>
      <c r="E56" s="597"/>
      <c r="F56" s="597"/>
      <c r="G56" s="597"/>
      <c r="H56" s="440"/>
      <c r="I56" s="441"/>
      <c r="J56" s="442"/>
      <c r="K56" s="444"/>
      <c r="L56" s="184"/>
      <c r="M56" s="584"/>
      <c r="N56" s="183"/>
      <c r="O56" s="183"/>
      <c r="P56" s="183"/>
      <c r="Q56" s="183"/>
    </row>
    <row r="57" spans="2:18" ht="31.5" customHeight="1" thickBot="1" x14ac:dyDescent="0.3">
      <c r="B57" s="533">
        <v>5</v>
      </c>
      <c r="C57" s="590" t="s">
        <v>398</v>
      </c>
      <c r="D57" s="410">
        <f>SUM(J58:J64)</f>
        <v>0</v>
      </c>
      <c r="E57" s="423" t="s">
        <v>396</v>
      </c>
      <c r="F57" s="591">
        <v>0</v>
      </c>
      <c r="G57" s="1006"/>
      <c r="H57" s="1007"/>
      <c r="I57" s="389"/>
      <c r="J57" s="331"/>
      <c r="K57" s="333"/>
      <c r="L57" s="184"/>
      <c r="M57" s="584"/>
      <c r="N57" s="183"/>
      <c r="O57" s="183"/>
      <c r="P57" s="183"/>
    </row>
    <row r="58" spans="2:18" x14ac:dyDescent="0.25">
      <c r="B58" s="539" t="s">
        <v>254</v>
      </c>
      <c r="C58" s="284" t="s">
        <v>267</v>
      </c>
      <c r="D58" s="598" t="s">
        <v>242</v>
      </c>
      <c r="E58" s="392">
        <f>E36</f>
        <v>21</v>
      </c>
      <c r="F58" s="287">
        <f>F57</f>
        <v>0</v>
      </c>
      <c r="G58" s="287">
        <f>+F58*E58</f>
        <v>0</v>
      </c>
      <c r="H58" s="395">
        <v>0</v>
      </c>
      <c r="I58" s="287">
        <f t="shared" si="4"/>
        <v>0</v>
      </c>
      <c r="J58" s="288">
        <f t="shared" ref="J58:J64" si="10">I58/$I$111</f>
        <v>0</v>
      </c>
      <c r="K58" s="290">
        <f t="shared" ref="K58:K64" si="11">+I58/(1-$K$19)</f>
        <v>0</v>
      </c>
      <c r="L58" s="184"/>
      <c r="M58" s="584"/>
    </row>
    <row r="59" spans="2:18" x14ac:dyDescent="0.25">
      <c r="B59" s="547" t="s">
        <v>255</v>
      </c>
      <c r="C59" s="407" t="s">
        <v>269</v>
      </c>
      <c r="D59" s="599" t="s">
        <v>242</v>
      </c>
      <c r="E59" s="392">
        <v>0</v>
      </c>
      <c r="F59" s="345">
        <f>F57</f>
        <v>0</v>
      </c>
      <c r="G59" s="345">
        <f t="shared" ref="G59:G64" si="12">+F59*E59</f>
        <v>0</v>
      </c>
      <c r="H59" s="397">
        <v>0</v>
      </c>
      <c r="I59" s="345">
        <f t="shared" si="4"/>
        <v>0</v>
      </c>
      <c r="J59" s="301">
        <f t="shared" si="10"/>
        <v>0</v>
      </c>
      <c r="K59" s="290">
        <f t="shared" si="11"/>
        <v>0</v>
      </c>
      <c r="L59" s="184"/>
      <c r="M59" s="584"/>
    </row>
    <row r="60" spans="2:18" x14ac:dyDescent="0.25">
      <c r="B60" s="547" t="s">
        <v>256</v>
      </c>
      <c r="C60" s="407" t="s">
        <v>215</v>
      </c>
      <c r="D60" s="599" t="s">
        <v>242</v>
      </c>
      <c r="E60" s="298"/>
      <c r="F60" s="345">
        <f>F57</f>
        <v>0</v>
      </c>
      <c r="G60" s="345">
        <f t="shared" si="12"/>
        <v>0</v>
      </c>
      <c r="H60" s="397">
        <v>0</v>
      </c>
      <c r="I60" s="345">
        <f t="shared" si="4"/>
        <v>0</v>
      </c>
      <c r="J60" s="301">
        <f t="shared" si="10"/>
        <v>0</v>
      </c>
      <c r="K60" s="290">
        <f t="shared" si="11"/>
        <v>0</v>
      </c>
      <c r="L60" s="184"/>
      <c r="M60" s="584"/>
    </row>
    <row r="61" spans="2:18" x14ac:dyDescent="0.25">
      <c r="B61" s="547" t="s">
        <v>257</v>
      </c>
      <c r="C61" s="417" t="s">
        <v>272</v>
      </c>
      <c r="D61" s="599" t="s">
        <v>242</v>
      </c>
      <c r="E61" s="392">
        <f>$E$39</f>
        <v>21</v>
      </c>
      <c r="F61" s="345">
        <f>+F57</f>
        <v>0</v>
      </c>
      <c r="G61" s="345">
        <f t="shared" si="12"/>
        <v>0</v>
      </c>
      <c r="H61" s="397">
        <v>0</v>
      </c>
      <c r="I61" s="345">
        <f t="shared" si="4"/>
        <v>0</v>
      </c>
      <c r="J61" s="301">
        <f t="shared" si="10"/>
        <v>0</v>
      </c>
      <c r="K61" s="290">
        <f t="shared" si="11"/>
        <v>0</v>
      </c>
      <c r="L61" s="184"/>
      <c r="M61" s="584"/>
    </row>
    <row r="62" spans="2:18" x14ac:dyDescent="0.25">
      <c r="B62" s="547" t="s">
        <v>258</v>
      </c>
      <c r="C62" s="417" t="s">
        <v>222</v>
      </c>
      <c r="D62" s="599" t="s">
        <v>242</v>
      </c>
      <c r="E62" s="392">
        <f>$E$39</f>
        <v>21</v>
      </c>
      <c r="F62" s="345">
        <f>+F57</f>
        <v>0</v>
      </c>
      <c r="G62" s="345">
        <f t="shared" si="12"/>
        <v>0</v>
      </c>
      <c r="H62" s="397">
        <v>0</v>
      </c>
      <c r="I62" s="345">
        <f t="shared" si="4"/>
        <v>0</v>
      </c>
      <c r="J62" s="301">
        <f t="shared" si="10"/>
        <v>0</v>
      </c>
      <c r="K62" s="290">
        <f t="shared" si="11"/>
        <v>0</v>
      </c>
      <c r="L62" s="184"/>
      <c r="M62" s="584"/>
    </row>
    <row r="63" spans="2:18" x14ac:dyDescent="0.25">
      <c r="B63" s="547" t="s">
        <v>259</v>
      </c>
      <c r="C63" s="417" t="s">
        <v>275</v>
      </c>
      <c r="D63" s="599" t="s">
        <v>242</v>
      </c>
      <c r="E63" s="392">
        <f>$E$39</f>
        <v>21</v>
      </c>
      <c r="F63" s="345">
        <f>+F57</f>
        <v>0</v>
      </c>
      <c r="G63" s="345">
        <f t="shared" si="12"/>
        <v>0</v>
      </c>
      <c r="H63" s="397">
        <v>0</v>
      </c>
      <c r="I63" s="345">
        <f t="shared" si="4"/>
        <v>0</v>
      </c>
      <c r="J63" s="301">
        <f t="shared" si="10"/>
        <v>0</v>
      </c>
      <c r="K63" s="290">
        <f t="shared" si="11"/>
        <v>0</v>
      </c>
      <c r="L63" s="184"/>
      <c r="M63" s="584"/>
    </row>
    <row r="64" spans="2:18" x14ac:dyDescent="0.25">
      <c r="B64" s="557" t="s">
        <v>260</v>
      </c>
      <c r="C64" s="427" t="s">
        <v>556</v>
      </c>
      <c r="D64" s="600" t="s">
        <v>242</v>
      </c>
      <c r="E64" s="392">
        <f>$E$39</f>
        <v>21</v>
      </c>
      <c r="F64" s="352">
        <f>+F57</f>
        <v>0</v>
      </c>
      <c r="G64" s="352">
        <f t="shared" si="12"/>
        <v>0</v>
      </c>
      <c r="H64" s="450">
        <v>0</v>
      </c>
      <c r="I64" s="352">
        <f t="shared" si="4"/>
        <v>0</v>
      </c>
      <c r="J64" s="354">
        <f t="shared" si="10"/>
        <v>0</v>
      </c>
      <c r="K64" s="290">
        <f t="shared" si="11"/>
        <v>0</v>
      </c>
      <c r="L64" s="184"/>
      <c r="M64" s="584"/>
    </row>
    <row r="65" spans="2:13" ht="15.75" thickBot="1" x14ac:dyDescent="0.3">
      <c r="B65" s="568"/>
      <c r="C65" s="256"/>
      <c r="D65" s="256"/>
      <c r="E65" s="601"/>
      <c r="F65" s="258"/>
      <c r="G65" s="439"/>
      <c r="H65" s="440"/>
      <c r="I65" s="441"/>
      <c r="J65" s="442"/>
      <c r="K65" s="444"/>
      <c r="L65" s="184"/>
      <c r="M65" s="584"/>
    </row>
    <row r="66" spans="2:13" ht="29.25" thickBot="1" x14ac:dyDescent="0.3">
      <c r="B66" s="533">
        <v>6</v>
      </c>
      <c r="C66" s="590" t="s">
        <v>265</v>
      </c>
      <c r="D66" s="410">
        <f>SUM(J67:J72)</f>
        <v>6.3130336972355039E-2</v>
      </c>
      <c r="E66" s="423" t="s">
        <v>396</v>
      </c>
      <c r="F66" s="591">
        <v>28000</v>
      </c>
      <c r="G66" s="592"/>
      <c r="H66" s="426"/>
      <c r="I66" s="389"/>
      <c r="J66" s="331"/>
      <c r="K66" s="333"/>
      <c r="L66" s="184"/>
      <c r="M66" s="584"/>
    </row>
    <row r="67" spans="2:13" x14ac:dyDescent="0.25">
      <c r="B67" s="539" t="s">
        <v>266</v>
      </c>
      <c r="C67" s="602" t="str">
        <f>+C58</f>
        <v xml:space="preserve">Supervisor </v>
      </c>
      <c r="D67" s="285" t="s">
        <v>238</v>
      </c>
      <c r="E67" s="392">
        <f>+IF($F$48&gt;0,E36,0)</f>
        <v>21</v>
      </c>
      <c r="F67" s="287">
        <f>$F$66+3000</f>
        <v>31000</v>
      </c>
      <c r="G67" s="287">
        <f t="shared" ref="G67:G72" si="13">+F67*E67</f>
        <v>651000</v>
      </c>
      <c r="H67" s="395">
        <v>0</v>
      </c>
      <c r="I67" s="287">
        <f t="shared" si="4"/>
        <v>651000</v>
      </c>
      <c r="J67" s="288">
        <f t="shared" ref="J67:J72" si="14">I67/$I$111</f>
        <v>1.7017743009939187E-2</v>
      </c>
      <c r="K67" s="290">
        <f t="shared" ref="K67:K72" si="15">+I67/(1-$K$19)</f>
        <v>1001538.4615384615</v>
      </c>
      <c r="L67" s="184"/>
      <c r="M67" s="584"/>
    </row>
    <row r="68" spans="2:13" x14ac:dyDescent="0.25">
      <c r="B68" s="547" t="s">
        <v>268</v>
      </c>
      <c r="C68" s="495" t="str">
        <f>+C59</f>
        <v>Prevencionista de Riesgo</v>
      </c>
      <c r="D68" s="335" t="s">
        <v>238</v>
      </c>
      <c r="E68" s="392">
        <v>0</v>
      </c>
      <c r="F68" s="345">
        <f>$F$66</f>
        <v>28000</v>
      </c>
      <c r="G68" s="345">
        <f t="shared" si="13"/>
        <v>0</v>
      </c>
      <c r="H68" s="397">
        <v>0</v>
      </c>
      <c r="I68" s="345">
        <f t="shared" si="4"/>
        <v>0</v>
      </c>
      <c r="J68" s="301">
        <f t="shared" si="14"/>
        <v>0</v>
      </c>
      <c r="K68" s="290">
        <f t="shared" si="15"/>
        <v>0</v>
      </c>
      <c r="L68" s="184"/>
      <c r="M68" s="584"/>
    </row>
    <row r="69" spans="2:13" x14ac:dyDescent="0.25">
      <c r="B69" s="547" t="s">
        <v>271</v>
      </c>
      <c r="C69" s="495" t="str">
        <f>+C61</f>
        <v xml:space="preserve">Aplicador </v>
      </c>
      <c r="D69" s="335" t="s">
        <v>238</v>
      </c>
      <c r="E69" s="392">
        <f>+IF($F$48&gt;0,E42*$E$41,0)</f>
        <v>21</v>
      </c>
      <c r="F69" s="345">
        <f>$F$66</f>
        <v>28000</v>
      </c>
      <c r="G69" s="345">
        <f t="shared" si="13"/>
        <v>588000</v>
      </c>
      <c r="H69" s="397">
        <v>0</v>
      </c>
      <c r="I69" s="345">
        <f t="shared" si="4"/>
        <v>588000</v>
      </c>
      <c r="J69" s="301">
        <f t="shared" si="14"/>
        <v>1.537086465413862E-2</v>
      </c>
      <c r="K69" s="290">
        <f t="shared" si="15"/>
        <v>904615.38461538462</v>
      </c>
      <c r="L69" s="184"/>
      <c r="M69" s="584"/>
    </row>
    <row r="70" spans="2:13" x14ac:dyDescent="0.25">
      <c r="B70" s="547" t="s">
        <v>273</v>
      </c>
      <c r="C70" s="495" t="str">
        <f>+C62</f>
        <v xml:space="preserve">Ayudante </v>
      </c>
      <c r="D70" s="335" t="s">
        <v>238</v>
      </c>
      <c r="E70" s="392">
        <f>+IF($F$48&gt;0,E44*$E$41,0)</f>
        <v>21</v>
      </c>
      <c r="F70" s="345">
        <f>$F$66</f>
        <v>28000</v>
      </c>
      <c r="G70" s="345">
        <f t="shared" si="13"/>
        <v>588000</v>
      </c>
      <c r="H70" s="397">
        <v>0</v>
      </c>
      <c r="I70" s="345">
        <f t="shared" si="4"/>
        <v>588000</v>
      </c>
      <c r="J70" s="301">
        <f t="shared" si="14"/>
        <v>1.537086465413862E-2</v>
      </c>
      <c r="K70" s="290">
        <f t="shared" si="15"/>
        <v>904615.38461538462</v>
      </c>
      <c r="L70" s="184"/>
      <c r="M70" s="584"/>
    </row>
    <row r="71" spans="2:13" x14ac:dyDescent="0.25">
      <c r="B71" s="547" t="s">
        <v>274</v>
      </c>
      <c r="C71" s="495" t="str">
        <f>+C63</f>
        <v xml:space="preserve">Maquinista </v>
      </c>
      <c r="D71" s="335" t="s">
        <v>238</v>
      </c>
      <c r="E71" s="392">
        <f>+IF($F$48&gt;0,E43*$E$41,0)</f>
        <v>21</v>
      </c>
      <c r="F71" s="345">
        <f>$F$66</f>
        <v>28000</v>
      </c>
      <c r="G71" s="345">
        <f t="shared" si="13"/>
        <v>588000</v>
      </c>
      <c r="H71" s="397">
        <v>0</v>
      </c>
      <c r="I71" s="345">
        <f t="shared" si="4"/>
        <v>588000</v>
      </c>
      <c r="J71" s="301">
        <f t="shared" si="14"/>
        <v>1.537086465413862E-2</v>
      </c>
      <c r="K71" s="290">
        <f t="shared" si="15"/>
        <v>904615.38461538462</v>
      </c>
      <c r="L71" s="184"/>
      <c r="M71" s="584"/>
    </row>
    <row r="72" spans="2:13" x14ac:dyDescent="0.25">
      <c r="B72" s="557" t="s">
        <v>276</v>
      </c>
      <c r="C72" s="603" t="s">
        <v>395</v>
      </c>
      <c r="D72" s="351" t="s">
        <v>238</v>
      </c>
      <c r="E72" s="392">
        <f>+IF($F$48&gt;0,E46*$E$41,0)</f>
        <v>0</v>
      </c>
      <c r="F72" s="352">
        <f>$F$66</f>
        <v>28000</v>
      </c>
      <c r="G72" s="352">
        <f t="shared" si="13"/>
        <v>0</v>
      </c>
      <c r="H72" s="450">
        <v>0</v>
      </c>
      <c r="I72" s="352">
        <f t="shared" si="4"/>
        <v>0</v>
      </c>
      <c r="J72" s="354">
        <f t="shared" si="14"/>
        <v>0</v>
      </c>
      <c r="K72" s="290">
        <f t="shared" si="15"/>
        <v>0</v>
      </c>
      <c r="L72" s="184"/>
      <c r="M72" s="584"/>
    </row>
    <row r="73" spans="2:13" x14ac:dyDescent="0.25">
      <c r="B73" s="604"/>
      <c r="C73" s="256"/>
      <c r="D73" s="256"/>
      <c r="E73" s="601"/>
      <c r="F73" s="258"/>
      <c r="G73" s="454"/>
      <c r="H73" s="440"/>
      <c r="I73" s="441"/>
      <c r="J73" s="442"/>
      <c r="K73" s="444"/>
      <c r="L73" s="184"/>
      <c r="M73" s="584"/>
    </row>
    <row r="74" spans="2:13" ht="15.75" customHeight="1" x14ac:dyDescent="0.25">
      <c r="B74" s="533">
        <v>7</v>
      </c>
      <c r="C74" s="269" t="s">
        <v>285</v>
      </c>
      <c r="D74" s="327">
        <f>SUM(J75:J79)</f>
        <v>0.1066549792327986</v>
      </c>
      <c r="E74" s="605"/>
      <c r="F74" s="272"/>
      <c r="G74" s="273"/>
      <c r="H74" s="426"/>
      <c r="I74" s="389"/>
      <c r="J74" s="331"/>
      <c r="K74" s="333"/>
      <c r="L74" s="457"/>
      <c r="M74" s="584"/>
    </row>
    <row r="75" spans="2:13" x14ac:dyDescent="0.25">
      <c r="B75" s="539" t="s">
        <v>286</v>
      </c>
      <c r="C75" s="284" t="s">
        <v>287</v>
      </c>
      <c r="D75" s="285" t="s">
        <v>288</v>
      </c>
      <c r="E75" s="478">
        <f>+E26/76+1</f>
        <v>1</v>
      </c>
      <c r="F75" s="394">
        <v>1200000</v>
      </c>
      <c r="G75" s="394">
        <f>+F75*E75</f>
        <v>1200000</v>
      </c>
      <c r="H75" s="395">
        <v>0</v>
      </c>
      <c r="I75" s="287">
        <f t="shared" si="4"/>
        <v>1200000</v>
      </c>
      <c r="J75" s="288">
        <f>I75/$I$111</f>
        <v>3.1369111539058407E-2</v>
      </c>
      <c r="K75" s="290">
        <f>+I75/(1-$K$19)</f>
        <v>1846153.846153846</v>
      </c>
      <c r="L75" s="184"/>
      <c r="M75" s="584"/>
    </row>
    <row r="76" spans="2:13" x14ac:dyDescent="0.25">
      <c r="B76" s="547" t="s">
        <v>289</v>
      </c>
      <c r="C76" s="407" t="s">
        <v>290</v>
      </c>
      <c r="D76" s="335" t="s">
        <v>288</v>
      </c>
      <c r="E76" s="471">
        <v>0</v>
      </c>
      <c r="F76" s="299">
        <v>300000</v>
      </c>
      <c r="G76" s="299">
        <f>+F76*E76</f>
        <v>0</v>
      </c>
      <c r="H76" s="397">
        <v>0</v>
      </c>
      <c r="I76" s="345">
        <f t="shared" si="4"/>
        <v>0</v>
      </c>
      <c r="J76" s="301">
        <f>I76/$I$111</f>
        <v>0</v>
      </c>
      <c r="K76" s="290">
        <f>+I76/(1-$K$19)</f>
        <v>0</v>
      </c>
      <c r="L76" s="184"/>
      <c r="M76" s="584"/>
    </row>
    <row r="77" spans="2:13" x14ac:dyDescent="0.25">
      <c r="B77" s="547" t="s">
        <v>291</v>
      </c>
      <c r="C77" s="296" t="s">
        <v>292</v>
      </c>
      <c r="D77" s="297" t="s">
        <v>288</v>
      </c>
      <c r="E77" s="471">
        <v>0</v>
      </c>
      <c r="F77" s="299">
        <v>150000</v>
      </c>
      <c r="G77" s="299">
        <f>+F77*E77</f>
        <v>0</v>
      </c>
      <c r="H77" s="397">
        <v>0</v>
      </c>
      <c r="I77" s="299">
        <f t="shared" si="4"/>
        <v>0</v>
      </c>
      <c r="J77" s="301">
        <f>I77/$I$111</f>
        <v>0</v>
      </c>
      <c r="K77" s="290">
        <f>+I77/(1-$K$19)</f>
        <v>0</v>
      </c>
      <c r="L77" s="184"/>
      <c r="M77" s="584"/>
    </row>
    <row r="78" spans="2:13" x14ac:dyDescent="0.25">
      <c r="B78" s="547" t="s">
        <v>293</v>
      </c>
      <c r="C78" s="407" t="s">
        <v>294</v>
      </c>
      <c r="D78" s="335" t="s">
        <v>295</v>
      </c>
      <c r="E78" s="471">
        <f>E39</f>
        <v>21</v>
      </c>
      <c r="F78" s="299">
        <v>80000</v>
      </c>
      <c r="G78" s="299">
        <f>+F78*E78</f>
        <v>1680000</v>
      </c>
      <c r="H78" s="397">
        <v>0</v>
      </c>
      <c r="I78" s="345">
        <f t="shared" si="4"/>
        <v>1680000</v>
      </c>
      <c r="J78" s="301">
        <f>I78/$I$111</f>
        <v>4.3916756154681769E-2</v>
      </c>
      <c r="K78" s="290">
        <f>+I78/(1-$K$19)</f>
        <v>2584615.3846153845</v>
      </c>
      <c r="L78" s="184"/>
      <c r="M78" s="584"/>
    </row>
    <row r="79" spans="2:13" x14ac:dyDescent="0.25">
      <c r="B79" s="557" t="s">
        <v>296</v>
      </c>
      <c r="C79" s="472" t="s">
        <v>297</v>
      </c>
      <c r="D79" s="351" t="s">
        <v>288</v>
      </c>
      <c r="E79" s="473">
        <v>1</v>
      </c>
      <c r="F79" s="394">
        <v>1200000</v>
      </c>
      <c r="G79" s="310">
        <f>+F79*E79</f>
        <v>1200000</v>
      </c>
      <c r="H79" s="450">
        <v>0</v>
      </c>
      <c r="I79" s="352">
        <f t="shared" si="4"/>
        <v>1200000</v>
      </c>
      <c r="J79" s="354">
        <f>I79/$I$111</f>
        <v>3.1369111539058407E-2</v>
      </c>
      <c r="K79" s="290">
        <f>+I79/(1-$K$19)</f>
        <v>1846153.846153846</v>
      </c>
      <c r="L79" s="184"/>
      <c r="M79" s="584"/>
    </row>
    <row r="80" spans="2:13" ht="15" x14ac:dyDescent="0.25">
      <c r="B80" s="568"/>
      <c r="C80" s="256"/>
      <c r="D80" s="256"/>
      <c r="E80" s="606"/>
      <c r="F80" s="607"/>
      <c r="G80" s="608"/>
      <c r="H80" s="440"/>
      <c r="I80" s="441"/>
      <c r="J80" s="442"/>
      <c r="K80" s="444"/>
      <c r="L80" s="184"/>
      <c r="M80" s="584"/>
    </row>
    <row r="81" spans="2:13" ht="15.75" customHeight="1" x14ac:dyDescent="0.25">
      <c r="B81" s="533">
        <v>8</v>
      </c>
      <c r="C81" s="269" t="s">
        <v>298</v>
      </c>
      <c r="D81" s="327">
        <f>SUM(J82:J87)</f>
        <v>5.3784955826343891E-3</v>
      </c>
      <c r="E81" s="609"/>
      <c r="F81" s="272"/>
      <c r="G81" s="273"/>
      <c r="H81" s="426"/>
      <c r="I81" s="389"/>
      <c r="J81" s="331"/>
      <c r="K81" s="333"/>
      <c r="L81" s="184"/>
      <c r="M81" s="584"/>
    </row>
    <row r="82" spans="2:13" x14ac:dyDescent="0.25">
      <c r="B82" s="539" t="s">
        <v>299</v>
      </c>
      <c r="C82" s="284" t="s">
        <v>300</v>
      </c>
      <c r="D82" s="610" t="s">
        <v>301</v>
      </c>
      <c r="E82" s="339">
        <v>0.01</v>
      </c>
      <c r="F82" s="394">
        <f>+G25+G26+G27</f>
        <v>20575000</v>
      </c>
      <c r="G82" s="287">
        <f>+F82*E82</f>
        <v>205750</v>
      </c>
      <c r="H82" s="395">
        <v>0</v>
      </c>
      <c r="I82" s="287">
        <f t="shared" si="4"/>
        <v>205750</v>
      </c>
      <c r="J82" s="288">
        <f t="shared" ref="J82:J87" si="16">I82/$I$111</f>
        <v>5.3784955826343891E-3</v>
      </c>
      <c r="K82" s="290">
        <f t="shared" ref="K82:K87" si="17">+I82/(1-$K$17)</f>
        <v>316538.4615384615</v>
      </c>
      <c r="L82" s="184"/>
      <c r="M82" s="584"/>
    </row>
    <row r="83" spans="2:13" x14ac:dyDescent="0.25">
      <c r="B83" s="547" t="s">
        <v>302</v>
      </c>
      <c r="C83" s="611" t="s">
        <v>399</v>
      </c>
      <c r="D83" s="612" t="s">
        <v>318</v>
      </c>
      <c r="E83" s="613">
        <v>0</v>
      </c>
      <c r="F83" s="299">
        <v>1200000</v>
      </c>
      <c r="G83" s="299">
        <f>+F83*E83</f>
        <v>0</v>
      </c>
      <c r="H83" s="397">
        <v>0</v>
      </c>
      <c r="I83" s="299">
        <f t="shared" si="4"/>
        <v>0</v>
      </c>
      <c r="J83" s="301">
        <f t="shared" si="16"/>
        <v>0</v>
      </c>
      <c r="K83" s="290">
        <f t="shared" si="17"/>
        <v>0</v>
      </c>
      <c r="L83" s="184"/>
      <c r="M83" s="584"/>
    </row>
    <row r="84" spans="2:13" x14ac:dyDescent="0.25">
      <c r="B84" s="547" t="s">
        <v>305</v>
      </c>
      <c r="C84" s="479" t="s">
        <v>306</v>
      </c>
      <c r="D84" s="335" t="s">
        <v>307</v>
      </c>
      <c r="E84" s="614">
        <v>0</v>
      </c>
      <c r="F84" s="345">
        <f>(8*8)*38*500</f>
        <v>1216000</v>
      </c>
      <c r="G84" s="345">
        <f>+F84*E84</f>
        <v>0</v>
      </c>
      <c r="H84" s="397">
        <v>0</v>
      </c>
      <c r="I84" s="345">
        <f t="shared" si="4"/>
        <v>0</v>
      </c>
      <c r="J84" s="301">
        <f t="shared" si="16"/>
        <v>0</v>
      </c>
      <c r="K84" s="290">
        <f t="shared" si="17"/>
        <v>0</v>
      </c>
      <c r="L84" s="184"/>
      <c r="M84" s="584"/>
    </row>
    <row r="85" spans="2:13" x14ac:dyDescent="0.25">
      <c r="B85" s="547" t="s">
        <v>308</v>
      </c>
      <c r="C85" s="479" t="s">
        <v>309</v>
      </c>
      <c r="D85" s="615" t="s">
        <v>310</v>
      </c>
      <c r="E85" s="616">
        <v>0</v>
      </c>
      <c r="F85" s="345">
        <v>3000000</v>
      </c>
      <c r="G85" s="345">
        <f>+F85*E85</f>
        <v>0</v>
      </c>
      <c r="H85" s="397">
        <v>0</v>
      </c>
      <c r="I85" s="345">
        <f t="shared" si="4"/>
        <v>0</v>
      </c>
      <c r="J85" s="301">
        <f t="shared" si="16"/>
        <v>0</v>
      </c>
      <c r="K85" s="290">
        <f t="shared" si="17"/>
        <v>0</v>
      </c>
      <c r="L85" s="184"/>
      <c r="M85" s="584"/>
    </row>
    <row r="86" spans="2:13" x14ac:dyDescent="0.25">
      <c r="B86" s="547" t="s">
        <v>311</v>
      </c>
      <c r="C86" s="479" t="s">
        <v>312</v>
      </c>
      <c r="D86" s="335" t="s">
        <v>304</v>
      </c>
      <c r="E86" s="614">
        <v>0</v>
      </c>
      <c r="F86" s="345">
        <v>1000000</v>
      </c>
      <c r="G86" s="345">
        <f>+F86*E86</f>
        <v>0</v>
      </c>
      <c r="H86" s="397">
        <v>0</v>
      </c>
      <c r="I86" s="345">
        <f t="shared" si="4"/>
        <v>0</v>
      </c>
      <c r="J86" s="301">
        <f t="shared" si="16"/>
        <v>0</v>
      </c>
      <c r="K86" s="290">
        <f t="shared" si="17"/>
        <v>0</v>
      </c>
      <c r="L86" s="184"/>
      <c r="M86" s="584"/>
    </row>
    <row r="87" spans="2:13" ht="15" x14ac:dyDescent="0.25">
      <c r="B87" s="557" t="s">
        <v>313</v>
      </c>
      <c r="C87" s="472" t="s">
        <v>314</v>
      </c>
      <c r="D87" s="617" t="s">
        <v>304</v>
      </c>
      <c r="E87" s="618"/>
      <c r="F87" s="483"/>
      <c r="G87" s="483"/>
      <c r="H87" s="450"/>
      <c r="I87" s="352">
        <f t="shared" si="4"/>
        <v>0</v>
      </c>
      <c r="J87" s="354">
        <f t="shared" si="16"/>
        <v>0</v>
      </c>
      <c r="K87" s="290">
        <f t="shared" si="17"/>
        <v>0</v>
      </c>
      <c r="L87" s="184"/>
      <c r="M87" s="584"/>
    </row>
    <row r="88" spans="2:13" ht="15" x14ac:dyDescent="0.25">
      <c r="B88" s="568"/>
      <c r="C88" s="256"/>
      <c r="D88" s="256"/>
      <c r="E88" s="601"/>
      <c r="F88" s="258"/>
      <c r="G88" s="439"/>
      <c r="H88" s="440"/>
      <c r="I88" s="441"/>
      <c r="J88" s="442"/>
      <c r="K88" s="444"/>
      <c r="L88" s="184"/>
      <c r="M88" s="584"/>
    </row>
    <row r="89" spans="2:13" ht="13.5" customHeight="1" x14ac:dyDescent="0.25">
      <c r="B89" s="533">
        <v>9</v>
      </c>
      <c r="C89" s="269" t="s">
        <v>315</v>
      </c>
      <c r="D89" s="327">
        <f>SUM(J90:J94)</f>
        <v>0</v>
      </c>
      <c r="E89" s="486"/>
      <c r="F89" s="487"/>
      <c r="G89" s="464"/>
      <c r="H89" s="426"/>
      <c r="I89" s="389"/>
      <c r="J89" s="331"/>
      <c r="K89" s="333"/>
      <c r="L89" s="184"/>
      <c r="M89" s="584"/>
    </row>
    <row r="90" spans="2:13" x14ac:dyDescent="0.25">
      <c r="B90" s="539" t="s">
        <v>316</v>
      </c>
      <c r="C90" s="284" t="s">
        <v>317</v>
      </c>
      <c r="D90" s="610" t="s">
        <v>318</v>
      </c>
      <c r="E90" s="619">
        <v>0</v>
      </c>
      <c r="F90" s="542">
        <v>250000</v>
      </c>
      <c r="G90" s="287">
        <f>+F90*E90</f>
        <v>0</v>
      </c>
      <c r="H90" s="395">
        <v>0</v>
      </c>
      <c r="I90" s="287">
        <f t="shared" ref="I90:I109" si="18">+(G90*H90)+G90</f>
        <v>0</v>
      </c>
      <c r="J90" s="288">
        <f t="shared" ref="J90:J106" si="19">I90/$I$111</f>
        <v>0</v>
      </c>
      <c r="K90" s="290">
        <f>+I90/(1-$K$19)</f>
        <v>0</v>
      </c>
      <c r="L90" s="457"/>
      <c r="M90" s="584"/>
    </row>
    <row r="91" spans="2:13" x14ac:dyDescent="0.25">
      <c r="B91" s="547" t="s">
        <v>319</v>
      </c>
      <c r="C91" s="479" t="s">
        <v>320</v>
      </c>
      <c r="D91" s="615" t="s">
        <v>318</v>
      </c>
      <c r="E91" s="616">
        <v>0</v>
      </c>
      <c r="F91" s="620">
        <v>132000</v>
      </c>
      <c r="G91" s="345">
        <f>+F91*E91</f>
        <v>0</v>
      </c>
      <c r="H91" s="397">
        <v>0</v>
      </c>
      <c r="I91" s="345">
        <f t="shared" si="18"/>
        <v>0</v>
      </c>
      <c r="J91" s="301">
        <f t="shared" si="19"/>
        <v>0</v>
      </c>
      <c r="K91" s="290">
        <f>+I91/(1-$K$19)</f>
        <v>0</v>
      </c>
      <c r="L91" s="184"/>
      <c r="M91" s="584"/>
    </row>
    <row r="92" spans="2:13" x14ac:dyDescent="0.25">
      <c r="B92" s="547" t="s">
        <v>321</v>
      </c>
      <c r="C92" s="489" t="s">
        <v>322</v>
      </c>
      <c r="D92" s="615" t="s">
        <v>318</v>
      </c>
      <c r="E92" s="616">
        <v>0</v>
      </c>
      <c r="F92" s="620">
        <v>132000</v>
      </c>
      <c r="G92" s="345">
        <f>+F92*E92</f>
        <v>0</v>
      </c>
      <c r="H92" s="397">
        <v>0</v>
      </c>
      <c r="I92" s="345">
        <f t="shared" si="18"/>
        <v>0</v>
      </c>
      <c r="J92" s="301">
        <f t="shared" si="19"/>
        <v>0</v>
      </c>
      <c r="K92" s="290">
        <f>+I92/(1-$K$19)</f>
        <v>0</v>
      </c>
      <c r="L92" s="184"/>
      <c r="M92" s="584"/>
    </row>
    <row r="93" spans="2:13" x14ac:dyDescent="0.25">
      <c r="B93" s="547" t="s">
        <v>323</v>
      </c>
      <c r="C93" s="489" t="s">
        <v>324</v>
      </c>
      <c r="D93" s="615" t="s">
        <v>318</v>
      </c>
      <c r="E93" s="616">
        <v>0</v>
      </c>
      <c r="F93" s="620">
        <v>156000</v>
      </c>
      <c r="G93" s="345">
        <f>+F93*E93</f>
        <v>0</v>
      </c>
      <c r="H93" s="397">
        <v>0</v>
      </c>
      <c r="I93" s="345">
        <f t="shared" si="18"/>
        <v>0</v>
      </c>
      <c r="J93" s="301">
        <f t="shared" si="19"/>
        <v>0</v>
      </c>
      <c r="K93" s="290">
        <f>+I93/(1-$K$19)</f>
        <v>0</v>
      </c>
      <c r="L93" s="184"/>
      <c r="M93" s="584"/>
    </row>
    <row r="94" spans="2:13" x14ac:dyDescent="0.25">
      <c r="B94" s="557" t="s">
        <v>325</v>
      </c>
      <c r="C94" s="472" t="s">
        <v>326</v>
      </c>
      <c r="D94" s="617" t="s">
        <v>318</v>
      </c>
      <c r="E94" s="621">
        <v>0</v>
      </c>
      <c r="F94" s="430">
        <v>150000</v>
      </c>
      <c r="G94" s="352">
        <f>+F94*E94</f>
        <v>0</v>
      </c>
      <c r="H94" s="450">
        <v>0</v>
      </c>
      <c r="I94" s="352">
        <f t="shared" si="18"/>
        <v>0</v>
      </c>
      <c r="J94" s="354">
        <f t="shared" si="19"/>
        <v>0</v>
      </c>
      <c r="K94" s="290">
        <f>+I94/(1-$K$19)</f>
        <v>0</v>
      </c>
      <c r="L94" s="184"/>
      <c r="M94" s="584"/>
    </row>
    <row r="95" spans="2:13" ht="15" x14ac:dyDescent="0.25">
      <c r="B95" s="558"/>
      <c r="C95" s="256"/>
      <c r="D95" s="622"/>
      <c r="E95" s="623"/>
      <c r="F95" s="258"/>
      <c r="G95" s="258"/>
      <c r="H95" s="440"/>
      <c r="I95" s="441"/>
      <c r="J95" s="442"/>
      <c r="K95" s="444"/>
      <c r="L95" s="184"/>
      <c r="M95" s="584"/>
    </row>
    <row r="96" spans="2:13" ht="15" x14ac:dyDescent="0.25">
      <c r="B96" s="533">
        <v>10</v>
      </c>
      <c r="C96" s="269" t="s">
        <v>327</v>
      </c>
      <c r="D96" s="327">
        <f>SUM(J97:J106)</f>
        <v>1.4704271033933626E-2</v>
      </c>
      <c r="E96" s="624"/>
      <c r="F96" s="272"/>
      <c r="G96" s="272"/>
      <c r="H96" s="426"/>
      <c r="I96" s="389"/>
      <c r="J96" s="331"/>
      <c r="K96" s="333"/>
      <c r="L96" s="184"/>
      <c r="M96" s="584"/>
    </row>
    <row r="97" spans="2:13" x14ac:dyDescent="0.25">
      <c r="B97" s="539" t="s">
        <v>328</v>
      </c>
      <c r="C97" s="284" t="s">
        <v>329</v>
      </c>
      <c r="D97" s="285" t="s">
        <v>330</v>
      </c>
      <c r="E97" s="625">
        <v>10</v>
      </c>
      <c r="F97" s="542">
        <v>1000</v>
      </c>
      <c r="G97" s="287">
        <f>+F97*E97</f>
        <v>10000</v>
      </c>
      <c r="H97" s="395">
        <v>0</v>
      </c>
      <c r="I97" s="287">
        <f t="shared" si="18"/>
        <v>10000</v>
      </c>
      <c r="J97" s="288">
        <f t="shared" si="19"/>
        <v>2.6140926282548673E-4</v>
      </c>
      <c r="K97" s="290">
        <f t="shared" ref="K97:K106" si="20">+I97/(1-$K$19)</f>
        <v>15384.615384615385</v>
      </c>
      <c r="L97" s="184"/>
      <c r="M97" s="584"/>
    </row>
    <row r="98" spans="2:13" x14ac:dyDescent="0.25">
      <c r="B98" s="547" t="s">
        <v>331</v>
      </c>
      <c r="C98" s="407" t="s">
        <v>332</v>
      </c>
      <c r="D98" s="335" t="s">
        <v>330</v>
      </c>
      <c r="E98" s="614">
        <v>10</v>
      </c>
      <c r="F98" s="620">
        <v>2000</v>
      </c>
      <c r="G98" s="345">
        <f t="shared" ref="G98:G104" si="21">+F98*E98</f>
        <v>20000</v>
      </c>
      <c r="H98" s="397">
        <v>0</v>
      </c>
      <c r="I98" s="345">
        <f t="shared" si="18"/>
        <v>20000</v>
      </c>
      <c r="J98" s="301">
        <f t="shared" si="19"/>
        <v>5.2281852565097347E-4</v>
      </c>
      <c r="K98" s="290">
        <f t="shared" si="20"/>
        <v>30769.23076923077</v>
      </c>
      <c r="L98" s="184"/>
      <c r="M98" s="584"/>
    </row>
    <row r="99" spans="2:13" x14ac:dyDescent="0.25">
      <c r="B99" s="547" t="s">
        <v>333</v>
      </c>
      <c r="C99" s="495" t="s">
        <v>334</v>
      </c>
      <c r="D99" s="335" t="s">
        <v>335</v>
      </c>
      <c r="E99" s="471">
        <f>(ROUNDUP(E36/5,0)*E41)</f>
        <v>5</v>
      </c>
      <c r="F99" s="620">
        <v>60000</v>
      </c>
      <c r="G99" s="345">
        <f t="shared" si="21"/>
        <v>300000</v>
      </c>
      <c r="H99" s="397">
        <v>0</v>
      </c>
      <c r="I99" s="345">
        <f t="shared" si="18"/>
        <v>300000</v>
      </c>
      <c r="J99" s="301">
        <f t="shared" si="19"/>
        <v>7.8422778847646018E-3</v>
      </c>
      <c r="K99" s="290">
        <f t="shared" si="20"/>
        <v>461538.4615384615</v>
      </c>
      <c r="L99" s="184"/>
      <c r="M99" s="584"/>
    </row>
    <row r="100" spans="2:13" x14ac:dyDescent="0.25">
      <c r="B100" s="547" t="s">
        <v>336</v>
      </c>
      <c r="C100" s="495" t="s">
        <v>337</v>
      </c>
      <c r="D100" s="335" t="s">
        <v>330</v>
      </c>
      <c r="E100" s="614">
        <v>0</v>
      </c>
      <c r="F100" s="620">
        <v>90000</v>
      </c>
      <c r="G100" s="345">
        <f t="shared" si="21"/>
        <v>0</v>
      </c>
      <c r="H100" s="397">
        <v>0</v>
      </c>
      <c r="I100" s="345">
        <f t="shared" si="18"/>
        <v>0</v>
      </c>
      <c r="J100" s="301">
        <f t="shared" si="19"/>
        <v>0</v>
      </c>
      <c r="K100" s="290">
        <f t="shared" si="20"/>
        <v>0</v>
      </c>
      <c r="L100" s="184"/>
      <c r="M100" s="584"/>
    </row>
    <row r="101" spans="2:13" x14ac:dyDescent="0.25">
      <c r="B101" s="547" t="s">
        <v>338</v>
      </c>
      <c r="C101" s="496" t="s">
        <v>339</v>
      </c>
      <c r="D101" s="335" t="s">
        <v>330</v>
      </c>
      <c r="E101" s="614">
        <v>0</v>
      </c>
      <c r="F101" s="620">
        <v>400000</v>
      </c>
      <c r="G101" s="345">
        <f t="shared" si="21"/>
        <v>0</v>
      </c>
      <c r="H101" s="397">
        <v>0</v>
      </c>
      <c r="I101" s="345">
        <f t="shared" si="18"/>
        <v>0</v>
      </c>
      <c r="J101" s="301">
        <f t="shared" si="19"/>
        <v>0</v>
      </c>
      <c r="K101" s="290">
        <f t="shared" si="20"/>
        <v>0</v>
      </c>
      <c r="L101" s="184"/>
      <c r="M101" s="584"/>
    </row>
    <row r="102" spans="2:13" x14ac:dyDescent="0.25">
      <c r="B102" s="547" t="s">
        <v>340</v>
      </c>
      <c r="C102" s="495" t="s">
        <v>341</v>
      </c>
      <c r="D102" s="335" t="s">
        <v>330</v>
      </c>
      <c r="E102" s="614">
        <v>5</v>
      </c>
      <c r="F102" s="620">
        <v>2500</v>
      </c>
      <c r="G102" s="345">
        <f t="shared" si="21"/>
        <v>12500</v>
      </c>
      <c r="H102" s="397">
        <v>0</v>
      </c>
      <c r="I102" s="345">
        <f t="shared" si="18"/>
        <v>12500</v>
      </c>
      <c r="J102" s="301">
        <f t="shared" si="19"/>
        <v>3.2676157853185839E-4</v>
      </c>
      <c r="K102" s="290">
        <f t="shared" si="20"/>
        <v>19230.76923076923</v>
      </c>
      <c r="L102" s="184"/>
      <c r="M102" s="584"/>
    </row>
    <row r="103" spans="2:13" x14ac:dyDescent="0.25">
      <c r="B103" s="547" t="s">
        <v>342</v>
      </c>
      <c r="C103" s="495" t="s">
        <v>400</v>
      </c>
      <c r="D103" s="335" t="s">
        <v>344</v>
      </c>
      <c r="E103" s="497">
        <v>0</v>
      </c>
      <c r="F103" s="402">
        <v>80000</v>
      </c>
      <c r="G103" s="345">
        <f t="shared" si="21"/>
        <v>0</v>
      </c>
      <c r="H103" s="397">
        <v>0</v>
      </c>
      <c r="I103" s="345">
        <f t="shared" si="18"/>
        <v>0</v>
      </c>
      <c r="J103" s="301">
        <f t="shared" si="19"/>
        <v>0</v>
      </c>
      <c r="K103" s="290">
        <f t="shared" si="20"/>
        <v>0</v>
      </c>
      <c r="L103" s="184"/>
      <c r="M103" s="584"/>
    </row>
    <row r="104" spans="2:13" x14ac:dyDescent="0.25">
      <c r="B104" s="547" t="s">
        <v>345</v>
      </c>
      <c r="C104" s="495" t="s">
        <v>346</v>
      </c>
      <c r="D104" s="335" t="s">
        <v>330</v>
      </c>
      <c r="E104" s="614">
        <v>0</v>
      </c>
      <c r="F104" s="620">
        <v>60000</v>
      </c>
      <c r="G104" s="345">
        <f t="shared" si="21"/>
        <v>0</v>
      </c>
      <c r="H104" s="397">
        <v>0</v>
      </c>
      <c r="I104" s="345">
        <f t="shared" si="18"/>
        <v>0</v>
      </c>
      <c r="J104" s="301">
        <f t="shared" si="19"/>
        <v>0</v>
      </c>
      <c r="K104" s="290">
        <f t="shared" si="20"/>
        <v>0</v>
      </c>
      <c r="L104" s="184"/>
      <c r="M104" s="584"/>
    </row>
    <row r="105" spans="2:13" x14ac:dyDescent="0.25">
      <c r="B105" s="547" t="s">
        <v>401</v>
      </c>
      <c r="C105" s="407" t="s">
        <v>348</v>
      </c>
      <c r="D105" s="615" t="s">
        <v>330</v>
      </c>
      <c r="E105" s="481">
        <v>3</v>
      </c>
      <c r="F105" s="620">
        <v>40000</v>
      </c>
      <c r="G105" s="345">
        <f>+F105*E105</f>
        <v>120000</v>
      </c>
      <c r="H105" s="397">
        <v>0</v>
      </c>
      <c r="I105" s="345">
        <f t="shared" si="18"/>
        <v>120000</v>
      </c>
      <c r="J105" s="301">
        <f t="shared" si="19"/>
        <v>3.1369111539058408E-3</v>
      </c>
      <c r="K105" s="290">
        <f t="shared" si="20"/>
        <v>184615.3846153846</v>
      </c>
      <c r="L105" s="184"/>
      <c r="M105" s="584"/>
    </row>
    <row r="106" spans="2:13" x14ac:dyDescent="0.25">
      <c r="B106" s="557" t="s">
        <v>402</v>
      </c>
      <c r="C106" s="498" t="s">
        <v>557</v>
      </c>
      <c r="D106" s="617" t="s">
        <v>310</v>
      </c>
      <c r="E106" s="621">
        <v>1</v>
      </c>
      <c r="F106" s="965">
        <v>100000</v>
      </c>
      <c r="G106" s="352">
        <f>+F106*E106</f>
        <v>100000</v>
      </c>
      <c r="H106" s="450">
        <v>0</v>
      </c>
      <c r="I106" s="352">
        <f t="shared" si="18"/>
        <v>100000</v>
      </c>
      <c r="J106" s="354">
        <f t="shared" si="19"/>
        <v>2.6140926282548671E-3</v>
      </c>
      <c r="K106" s="290">
        <f t="shared" si="20"/>
        <v>153846.15384615384</v>
      </c>
      <c r="L106" s="184"/>
      <c r="M106" s="584"/>
    </row>
    <row r="107" spans="2:13" x14ac:dyDescent="0.25">
      <c r="B107" s="568"/>
      <c r="C107" s="499"/>
      <c r="D107" s="622"/>
      <c r="E107" s="623"/>
      <c r="F107" s="258"/>
      <c r="G107" s="259"/>
      <c r="H107" s="440"/>
      <c r="I107" s="441"/>
      <c r="J107" s="442"/>
      <c r="K107" s="444"/>
      <c r="L107" s="184"/>
      <c r="M107" s="584"/>
    </row>
    <row r="108" spans="2:13" ht="15" x14ac:dyDescent="0.25">
      <c r="B108" s="533">
        <v>11</v>
      </c>
      <c r="C108" s="269" t="s">
        <v>350</v>
      </c>
      <c r="D108" s="327">
        <f>SUM(J109)</f>
        <v>9.6967544066380289E-3</v>
      </c>
      <c r="E108" s="609"/>
      <c r="F108" s="272"/>
      <c r="G108" s="273"/>
      <c r="H108" s="426"/>
      <c r="I108" s="389"/>
      <c r="J108" s="331"/>
      <c r="K108" s="333"/>
      <c r="L108" s="184"/>
      <c r="M108" s="584"/>
    </row>
    <row r="109" spans="2:13" ht="15.75" thickBot="1" x14ac:dyDescent="0.3">
      <c r="B109" s="626" t="s">
        <v>351</v>
      </c>
      <c r="C109" s="501" t="s">
        <v>352</v>
      </c>
      <c r="D109" s="627" t="s">
        <v>353</v>
      </c>
      <c r="E109" s="628">
        <v>0.01</v>
      </c>
      <c r="F109" s="629"/>
      <c r="G109" s="505">
        <f>(SUM(G25:G106))*E109</f>
        <v>370941.5</v>
      </c>
      <c r="H109" s="630">
        <v>0</v>
      </c>
      <c r="I109" s="505">
        <f t="shared" si="18"/>
        <v>370941.5</v>
      </c>
      <c r="J109" s="506">
        <f>I109/$I$111</f>
        <v>9.6967544066380289E-3</v>
      </c>
      <c r="K109" s="508">
        <f>+I109/(1-$K$19)</f>
        <v>570679.23076923075</v>
      </c>
      <c r="L109" s="184"/>
      <c r="M109" s="584"/>
    </row>
    <row r="110" spans="2:13" ht="15.75" thickBot="1" x14ac:dyDescent="0.3">
      <c r="B110" s="509"/>
      <c r="C110" s="509"/>
      <c r="D110" s="631"/>
      <c r="E110" s="379"/>
      <c r="F110" s="632"/>
      <c r="G110" s="178"/>
      <c r="H110" s="178"/>
      <c r="I110" s="178"/>
      <c r="J110" s="633"/>
      <c r="K110" s="634"/>
      <c r="L110" s="184"/>
      <c r="M110" s="584"/>
    </row>
    <row r="111" spans="2:13" ht="15.75" thickBot="1" x14ac:dyDescent="0.3">
      <c r="B111" s="509"/>
      <c r="C111" s="509"/>
      <c r="D111" s="631"/>
      <c r="E111" s="378"/>
      <c r="F111" s="632" t="s">
        <v>354</v>
      </c>
      <c r="G111" s="516">
        <f>SUM(G23:G109)</f>
        <v>37465091.5</v>
      </c>
      <c r="H111" s="178"/>
      <c r="I111" s="516">
        <f>SUM(I23:I109)</f>
        <v>38254191.5</v>
      </c>
      <c r="J111" s="517">
        <f>SUM(J23:J109)</f>
        <v>0.99999999999999989</v>
      </c>
      <c r="K111" s="952">
        <f>SUM(K25:K109)</f>
        <v>58852602.307692312</v>
      </c>
      <c r="L111" s="184"/>
      <c r="M111" s="584"/>
    </row>
    <row r="112" spans="2:13" ht="15.75" thickBot="1" x14ac:dyDescent="0.3">
      <c r="B112" s="509"/>
      <c r="C112" s="509"/>
      <c r="D112" s="631"/>
      <c r="E112" s="378"/>
      <c r="F112" s="632"/>
      <c r="G112" s="178"/>
      <c r="H112" s="178"/>
      <c r="I112" s="178"/>
      <c r="J112" s="633"/>
      <c r="K112" s="635">
        <f>1-(I111/K111)</f>
        <v>0.35000000000000009</v>
      </c>
      <c r="L112" s="184"/>
    </row>
    <row r="115" spans="2:2" ht="15" x14ac:dyDescent="0.25">
      <c r="B115" s="203" t="s">
        <v>355</v>
      </c>
    </row>
  </sheetData>
  <mergeCells count="4">
    <mergeCell ref="L32:L35"/>
    <mergeCell ref="L37:L40"/>
    <mergeCell ref="L42:L45"/>
    <mergeCell ref="G57:H57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shapeId="10241" r:id="rId4">
          <objectPr defaultSize="0" autoPict="0" r:id="rId5">
            <anchor moveWithCells="1" sizeWithCells="1">
              <from>
                <xdr:col>6</xdr:col>
                <xdr:colOff>581025</xdr:colOff>
                <xdr:row>1</xdr:row>
                <xdr:rowOff>161925</xdr:rowOff>
              </from>
              <to>
                <xdr:col>10</xdr:col>
                <xdr:colOff>209550</xdr:colOff>
                <xdr:row>5</xdr:row>
                <xdr:rowOff>38100</xdr:rowOff>
              </to>
            </anchor>
          </objectPr>
        </oleObject>
      </mc:Choice>
      <mc:Fallback>
        <oleObject shapeId="10241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B1:S232"/>
  <sheetViews>
    <sheetView showGridLines="0" zoomScale="85" zoomScaleNormal="85" workbookViewId="0">
      <selection activeCell="N23" sqref="N23:Q27"/>
    </sheetView>
  </sheetViews>
  <sheetFormatPr baseColWidth="10" defaultColWidth="11.42578125" defaultRowHeight="14.25" x14ac:dyDescent="0.25"/>
  <cols>
    <col min="1" max="1" width="3.42578125" style="184" customWidth="1"/>
    <col min="2" max="2" width="21.28515625" style="184" customWidth="1"/>
    <col min="3" max="3" width="56.42578125" style="184" customWidth="1"/>
    <col min="4" max="4" width="16.28515625" style="184" customWidth="1"/>
    <col min="5" max="5" width="13.85546875" style="184" bestFit="1" customWidth="1"/>
    <col min="6" max="6" width="21" style="184" customWidth="1"/>
    <col min="7" max="7" width="17.42578125" style="181" bestFit="1" customWidth="1"/>
    <col min="8" max="8" width="11.28515625" style="182" customWidth="1"/>
    <col min="9" max="9" width="17.42578125" style="182" bestFit="1" customWidth="1"/>
    <col min="10" max="10" width="14.5703125" style="181" customWidth="1"/>
    <col min="11" max="11" width="9.42578125" style="520" customWidth="1"/>
    <col min="12" max="12" width="16.5703125" style="521" customWidth="1"/>
    <col min="13" max="13" width="3.42578125" style="184" customWidth="1"/>
    <col min="14" max="14" width="37.28515625" style="184" customWidth="1"/>
    <col min="15" max="15" width="16.5703125" style="184" customWidth="1"/>
    <col min="16" max="16" width="9.140625" style="184" customWidth="1"/>
    <col min="17" max="17" width="18" style="184" customWidth="1"/>
    <col min="18" max="18" width="8.5703125" style="184" bestFit="1" customWidth="1"/>
    <col min="19" max="16384" width="11.42578125" style="184"/>
  </cols>
  <sheetData>
    <row r="1" spans="2:17" ht="15.75" thickBot="1" x14ac:dyDescent="0.3">
      <c r="B1" s="177"/>
      <c r="C1" s="177"/>
      <c r="D1" s="178"/>
      <c r="E1" s="179"/>
      <c r="F1" s="180"/>
      <c r="K1" s="183"/>
      <c r="L1" s="184"/>
      <c r="M1" s="185"/>
      <c r="N1" s="186"/>
    </row>
    <row r="2" spans="2:17" ht="15" x14ac:dyDescent="0.25">
      <c r="B2" s="187" t="s">
        <v>155</v>
      </c>
      <c r="C2" s="188" t="s">
        <v>490</v>
      </c>
      <c r="D2" s="189"/>
      <c r="E2" s="190"/>
      <c r="F2" s="191"/>
      <c r="K2" s="183"/>
      <c r="L2" s="184"/>
      <c r="M2" s="185"/>
      <c r="N2" s="186"/>
    </row>
    <row r="3" spans="2:17" ht="15" x14ac:dyDescent="0.25">
      <c r="B3" s="192" t="s">
        <v>157</v>
      </c>
      <c r="C3" s="193" t="s">
        <v>547</v>
      </c>
      <c r="D3" s="178"/>
      <c r="E3" s="179"/>
      <c r="F3" s="194"/>
      <c r="K3" s="183"/>
      <c r="L3" s="184"/>
      <c r="M3" s="185"/>
      <c r="N3" s="186"/>
    </row>
    <row r="4" spans="2:17" ht="15" x14ac:dyDescent="0.25">
      <c r="B4" s="192" t="s">
        <v>158</v>
      </c>
      <c r="C4" s="193" t="s">
        <v>541</v>
      </c>
      <c r="D4" s="178"/>
      <c r="E4" s="195"/>
      <c r="F4" s="196"/>
      <c r="K4" s="183"/>
      <c r="L4" s="184"/>
      <c r="M4" s="185"/>
      <c r="N4" s="186"/>
    </row>
    <row r="5" spans="2:17" ht="15.75" thickBot="1" x14ac:dyDescent="0.3">
      <c r="B5" s="197" t="s">
        <v>159</v>
      </c>
      <c r="C5" s="198"/>
      <c r="D5" s="199"/>
      <c r="E5" s="200"/>
      <c r="F5" s="201"/>
      <c r="K5" s="183"/>
      <c r="L5" s="184"/>
      <c r="M5" s="185"/>
      <c r="N5" s="186"/>
    </row>
    <row r="6" spans="2:17" ht="15" x14ac:dyDescent="0.25">
      <c r="C6" s="1008"/>
      <c r="D6" s="1008"/>
      <c r="E6" s="1008"/>
      <c r="G6" s="185"/>
      <c r="H6" s="185"/>
      <c r="I6" s="185"/>
      <c r="J6" s="186"/>
      <c r="K6" s="202"/>
      <c r="L6" s="184"/>
      <c r="N6" s="203" t="s">
        <v>544</v>
      </c>
    </row>
    <row r="7" spans="2:17" ht="15.75" thickBot="1" x14ac:dyDescent="0.3">
      <c r="B7" s="203" t="s">
        <v>160</v>
      </c>
      <c r="F7" s="203" t="s">
        <v>161</v>
      </c>
      <c r="G7" s="185"/>
      <c r="H7" s="185"/>
      <c r="I7" s="185"/>
      <c r="J7" s="186"/>
      <c r="K7" s="202"/>
      <c r="L7" s="184"/>
      <c r="N7" s="943" t="s">
        <v>545</v>
      </c>
    </row>
    <row r="8" spans="2:17" ht="15.75" thickBot="1" x14ac:dyDescent="0.3">
      <c r="B8" s="205"/>
      <c r="C8" s="206"/>
      <c r="D8" s="207"/>
      <c r="F8" s="208"/>
      <c r="G8" s="209"/>
      <c r="H8" s="209"/>
      <c r="I8" s="210">
        <f>+I19/C9</f>
        <v>2.3106811335736519</v>
      </c>
      <c r="J8" s="211" t="s">
        <v>162</v>
      </c>
      <c r="K8" s="212"/>
      <c r="L8" s="213"/>
      <c r="N8" s="943" t="s">
        <v>546</v>
      </c>
    </row>
    <row r="9" spans="2:17" ht="15.75" thickBot="1" x14ac:dyDescent="0.25">
      <c r="B9" s="214" t="s">
        <v>163</v>
      </c>
      <c r="C9" s="215">
        <f>+SUM(CUBICACION!U2:U6)</f>
        <v>1877.384</v>
      </c>
      <c r="D9" s="216" t="s">
        <v>164</v>
      </c>
      <c r="F9" s="217" t="s">
        <v>165</v>
      </c>
      <c r="G9" s="218">
        <v>40830</v>
      </c>
      <c r="H9" s="219" t="s">
        <v>166</v>
      </c>
      <c r="I9" s="220">
        <f>+G19/C9</f>
        <v>94345.110683812221</v>
      </c>
      <c r="J9" s="221" t="s">
        <v>167</v>
      </c>
      <c r="K9" s="222"/>
      <c r="L9" s="223"/>
      <c r="N9" s="204"/>
    </row>
    <row r="10" spans="2:17" ht="3.75" customHeight="1" thickBot="1" x14ac:dyDescent="0.25">
      <c r="B10" s="214"/>
      <c r="C10" s="224"/>
      <c r="D10" s="216"/>
      <c r="F10" s="217"/>
      <c r="G10" s="225"/>
      <c r="H10" s="219"/>
      <c r="I10" s="225"/>
      <c r="J10" s="221"/>
      <c r="K10" s="222"/>
      <c r="L10" s="223"/>
      <c r="N10" s="204"/>
    </row>
    <row r="11" spans="2:17" ht="15.75" thickBot="1" x14ac:dyDescent="0.25">
      <c r="B11" s="214" t="s">
        <v>168</v>
      </c>
      <c r="C11" s="226">
        <v>0</v>
      </c>
      <c r="D11" s="216" t="s">
        <v>164</v>
      </c>
      <c r="F11" s="217" t="s">
        <v>169</v>
      </c>
      <c r="G11" s="218">
        <v>919.07</v>
      </c>
      <c r="H11" s="219" t="s">
        <v>166</v>
      </c>
      <c r="I11" s="225"/>
      <c r="J11" s="221"/>
      <c r="K11" s="227">
        <v>0.15</v>
      </c>
      <c r="L11" s="223" t="s">
        <v>170</v>
      </c>
      <c r="N11" s="204"/>
    </row>
    <row r="12" spans="2:17" ht="15.75" thickBot="1" x14ac:dyDescent="0.25">
      <c r="B12" s="214"/>
      <c r="C12" s="224"/>
      <c r="D12" s="216"/>
      <c r="F12" s="217"/>
      <c r="G12" s="225"/>
      <c r="H12" s="225"/>
      <c r="I12" s="225"/>
      <c r="J12" s="221"/>
      <c r="K12" s="222"/>
      <c r="L12" s="223"/>
      <c r="N12" s="204"/>
    </row>
    <row r="13" spans="2:17" ht="15.75" thickBot="1" x14ac:dyDescent="0.3">
      <c r="B13" s="214" t="s">
        <v>171</v>
      </c>
      <c r="C13" s="226">
        <v>0</v>
      </c>
      <c r="D13" s="216" t="s">
        <v>172</v>
      </c>
      <c r="F13" s="217" t="s">
        <v>173</v>
      </c>
      <c r="G13" s="228">
        <f>+I139</f>
        <v>138569677.30000001</v>
      </c>
      <c r="H13" s="229" t="s">
        <v>166</v>
      </c>
      <c r="I13" s="230">
        <f>+G13/G9</f>
        <v>3393.8201640950283</v>
      </c>
      <c r="J13" s="221" t="s">
        <v>174</v>
      </c>
      <c r="K13" s="227">
        <v>0.35</v>
      </c>
      <c r="L13" s="223" t="s">
        <v>175</v>
      </c>
      <c r="O13" s="184">
        <v>703.2</v>
      </c>
      <c r="P13" s="184">
        <v>0.89800000000000002</v>
      </c>
      <c r="Q13" s="941">
        <f>P13*O13</f>
        <v>631.47360000000003</v>
      </c>
    </row>
    <row r="14" spans="2:17" ht="3.75" customHeight="1" thickBot="1" x14ac:dyDescent="0.3">
      <c r="B14" s="214"/>
      <c r="C14" s="224"/>
      <c r="D14" s="216"/>
      <c r="F14" s="217"/>
      <c r="G14" s="231"/>
      <c r="H14" s="229"/>
      <c r="I14" s="232"/>
      <c r="J14" s="221"/>
      <c r="K14" s="222"/>
      <c r="L14" s="223"/>
      <c r="Q14" s="941"/>
    </row>
    <row r="15" spans="2:17" ht="15.75" thickBot="1" x14ac:dyDescent="0.3">
      <c r="B15" s="214"/>
      <c r="C15" s="226">
        <v>5</v>
      </c>
      <c r="D15" s="216" t="s">
        <v>176</v>
      </c>
      <c r="F15" s="217" t="s">
        <v>177</v>
      </c>
      <c r="G15" s="233">
        <f>+L140</f>
        <v>0.2176597130694119</v>
      </c>
      <c r="H15" s="229" t="s">
        <v>178</v>
      </c>
      <c r="I15" s="234">
        <f>+G15</f>
        <v>0.2176597130694119</v>
      </c>
      <c r="J15" s="221" t="s">
        <v>178</v>
      </c>
      <c r="K15" s="227">
        <v>0.35</v>
      </c>
      <c r="L15" s="223" t="s">
        <v>179</v>
      </c>
      <c r="P15" s="184">
        <v>0.52</v>
      </c>
      <c r="Q15" s="941">
        <f>P15*O13</f>
        <v>365.66400000000004</v>
      </c>
    </row>
    <row r="16" spans="2:17" ht="3.75" customHeight="1" thickBot="1" x14ac:dyDescent="0.25">
      <c r="B16" s="214"/>
      <c r="C16" s="224"/>
      <c r="D16" s="216"/>
      <c r="F16" s="217"/>
      <c r="G16" s="235"/>
      <c r="H16" s="229"/>
      <c r="I16" s="235"/>
      <c r="J16" s="221"/>
      <c r="K16" s="222"/>
      <c r="L16" s="223"/>
      <c r="O16" s="204"/>
      <c r="P16" s="204"/>
      <c r="Q16" s="941"/>
    </row>
    <row r="17" spans="2:18" ht="15.75" thickBot="1" x14ac:dyDescent="0.25">
      <c r="B17" s="214" t="s">
        <v>180</v>
      </c>
      <c r="C17" s="236">
        <v>2</v>
      </c>
      <c r="D17" s="216" t="s">
        <v>181</v>
      </c>
      <c r="F17" s="217" t="s">
        <v>177</v>
      </c>
      <c r="G17" s="228">
        <f>+G19-G13</f>
        <v>38552323.976018101</v>
      </c>
      <c r="H17" s="229" t="s">
        <v>166</v>
      </c>
      <c r="I17" s="230">
        <f>+G17/G9</f>
        <v>944.21562517800885</v>
      </c>
      <c r="J17" s="221" t="s">
        <v>174</v>
      </c>
      <c r="K17" s="227">
        <v>0.35</v>
      </c>
      <c r="L17" s="223" t="s">
        <v>182</v>
      </c>
      <c r="O17" s="204"/>
      <c r="P17" s="204">
        <v>7.0999999999999994E-2</v>
      </c>
      <c r="Q17" s="941">
        <f>P17*O13</f>
        <v>49.927199999999999</v>
      </c>
    </row>
    <row r="18" spans="2:18" ht="3.75" customHeight="1" thickBot="1" x14ac:dyDescent="0.25">
      <c r="B18" s="214"/>
      <c r="C18" s="224"/>
      <c r="D18" s="216"/>
      <c r="F18" s="217"/>
      <c r="G18" s="231"/>
      <c r="H18" s="229"/>
      <c r="I18" s="232"/>
      <c r="J18" s="221"/>
      <c r="K18" s="222"/>
      <c r="L18" s="223"/>
      <c r="O18" s="204"/>
      <c r="P18" s="204"/>
      <c r="Q18" s="941"/>
    </row>
    <row r="19" spans="2:18" ht="15.75" thickBot="1" x14ac:dyDescent="0.25">
      <c r="B19" s="214"/>
      <c r="C19" s="224"/>
      <c r="D19" s="216"/>
      <c r="F19" s="217" t="s">
        <v>183</v>
      </c>
      <c r="G19" s="228">
        <f>+L139</f>
        <v>177122001.27601811</v>
      </c>
      <c r="H19" s="229" t="s">
        <v>166</v>
      </c>
      <c r="I19" s="230">
        <f>+G19/G9</f>
        <v>4338.0357892730372</v>
      </c>
      <c r="J19" s="221" t="s">
        <v>174</v>
      </c>
      <c r="K19" s="227">
        <v>0.35</v>
      </c>
      <c r="L19" s="223" t="s">
        <v>184</v>
      </c>
      <c r="O19" s="204"/>
      <c r="P19" s="184">
        <f>P13+P15+P17</f>
        <v>1.4890000000000001</v>
      </c>
      <c r="Q19" s="941">
        <f>Q13+Q15+Q17</f>
        <v>1047.0648000000001</v>
      </c>
    </row>
    <row r="20" spans="2:18" ht="6" customHeight="1" thickBot="1" x14ac:dyDescent="0.3">
      <c r="B20" s="237"/>
      <c r="C20" s="238"/>
      <c r="D20" s="239"/>
      <c r="F20" s="240"/>
      <c r="G20" s="241"/>
      <c r="H20" s="242"/>
      <c r="I20" s="243"/>
      <c r="J20" s="244"/>
      <c r="K20" s="245"/>
      <c r="L20" s="246"/>
      <c r="P20" s="203"/>
      <c r="Q20" s="941"/>
    </row>
    <row r="21" spans="2:18" ht="15.75" thickBot="1" x14ac:dyDescent="0.3">
      <c r="G21" s="185"/>
      <c r="H21" s="185"/>
      <c r="I21" s="185"/>
      <c r="J21" s="186"/>
      <c r="K21" s="202"/>
      <c r="L21" s="184"/>
      <c r="Q21" s="941">
        <f>O13*P19</f>
        <v>1047.0648000000001</v>
      </c>
    </row>
    <row r="22" spans="2:18" ht="30.75" thickBot="1" x14ac:dyDescent="0.3">
      <c r="B22" s="247" t="s">
        <v>185</v>
      </c>
      <c r="C22" s="248" t="s">
        <v>186</v>
      </c>
      <c r="D22" s="248" t="s">
        <v>181</v>
      </c>
      <c r="E22" s="249" t="s">
        <v>187</v>
      </c>
      <c r="F22" s="250" t="s">
        <v>188</v>
      </c>
      <c r="G22" s="250" t="s">
        <v>189</v>
      </c>
      <c r="H22" s="251" t="s">
        <v>190</v>
      </c>
      <c r="I22" s="251" t="s">
        <v>191</v>
      </c>
      <c r="J22" s="251" t="s">
        <v>192</v>
      </c>
      <c r="K22" s="252" t="s">
        <v>193</v>
      </c>
      <c r="L22" s="253" t="s">
        <v>194</v>
      </c>
      <c r="M22" s="183"/>
      <c r="N22" s="203" t="s">
        <v>526</v>
      </c>
    </row>
    <row r="23" spans="2:18" ht="15.75" thickBot="1" x14ac:dyDescent="0.3">
      <c r="B23" s="254"/>
      <c r="C23" s="255"/>
      <c r="D23" s="256"/>
      <c r="E23" s="257"/>
      <c r="F23" s="258"/>
      <c r="G23" s="259"/>
      <c r="H23" s="260"/>
      <c r="I23" s="260"/>
      <c r="J23" s="261"/>
      <c r="K23" s="262"/>
      <c r="L23" s="263"/>
      <c r="M23" s="183"/>
      <c r="N23" s="974" t="s">
        <v>196</v>
      </c>
      <c r="O23" s="975" t="s">
        <v>493</v>
      </c>
      <c r="P23" s="975" t="s">
        <v>492</v>
      </c>
      <c r="Q23" s="976" t="s">
        <v>197</v>
      </c>
      <c r="R23" s="267" t="s">
        <v>178</v>
      </c>
    </row>
    <row r="24" spans="2:18" ht="15" x14ac:dyDescent="0.25">
      <c r="B24" s="268">
        <v>1</v>
      </c>
      <c r="C24" s="269" t="s">
        <v>198</v>
      </c>
      <c r="D24" s="270">
        <f>SUM(J25:J29)</f>
        <v>0.71892784872639659</v>
      </c>
      <c r="E24" s="271"/>
      <c r="F24" s="272" t="s">
        <v>539</v>
      </c>
      <c r="G24" s="273"/>
      <c r="H24" s="274"/>
      <c r="I24" s="274"/>
      <c r="J24" s="275"/>
      <c r="K24" s="276"/>
      <c r="L24" s="277"/>
      <c r="M24" s="183"/>
      <c r="N24" s="966" t="s">
        <v>199</v>
      </c>
      <c r="O24" s="967">
        <f>+$C$9</f>
        <v>1877.384</v>
      </c>
      <c r="P24" s="968">
        <f>+Q24/O24</f>
        <v>1.661213016452777</v>
      </c>
      <c r="Q24" s="969">
        <f>+R24*Q27</f>
        <v>3118.7347376801804</v>
      </c>
      <c r="R24" s="282">
        <f>+D24</f>
        <v>0.71892784872639659</v>
      </c>
    </row>
    <row r="25" spans="2:18" ht="15" x14ac:dyDescent="0.25">
      <c r="B25" s="283" t="s">
        <v>200</v>
      </c>
      <c r="C25" s="284" t="s">
        <v>138</v>
      </c>
      <c r="D25" s="285" t="s">
        <v>201</v>
      </c>
      <c r="E25" s="286">
        <f>+CUBICACION!V2</f>
        <v>0</v>
      </c>
      <c r="F25" s="393">
        <v>115000</v>
      </c>
      <c r="G25" s="287">
        <f>+F25*E25</f>
        <v>0</v>
      </c>
      <c r="H25" s="856">
        <v>0.05</v>
      </c>
      <c r="I25" s="287">
        <f>+(G25*H25)+G25</f>
        <v>0</v>
      </c>
      <c r="J25" s="288">
        <f>I25/$I$139</f>
        <v>0</v>
      </c>
      <c r="K25" s="289">
        <f>$K$11</f>
        <v>0.15</v>
      </c>
      <c r="L25" s="290">
        <f>+I25/(1-K25)</f>
        <v>0</v>
      </c>
      <c r="M25" s="291"/>
      <c r="N25" s="970" t="s">
        <v>202</v>
      </c>
      <c r="O25" s="956">
        <f>$C$9</f>
        <v>1877.384</v>
      </c>
      <c r="P25" s="957">
        <f>+Q25/O25</f>
        <v>0.29574086000642025</v>
      </c>
      <c r="Q25" s="971">
        <f>+R25*Q27</f>
        <v>555.21915872229329</v>
      </c>
      <c r="R25" s="282">
        <f>+D31+F40</f>
        <v>0.12798860721601751</v>
      </c>
    </row>
    <row r="26" spans="2:18" s="183" customFormat="1" ht="15.75" thickBot="1" x14ac:dyDescent="0.3">
      <c r="B26" s="283" t="s">
        <v>203</v>
      </c>
      <c r="C26" s="296" t="s">
        <v>530</v>
      </c>
      <c r="D26" s="297" t="s">
        <v>201</v>
      </c>
      <c r="E26" s="298">
        <f>+CUBICACION!V3</f>
        <v>0</v>
      </c>
      <c r="F26" s="348">
        <v>163000</v>
      </c>
      <c r="G26" s="299">
        <f>F26*E26</f>
        <v>0</v>
      </c>
      <c r="H26" s="300">
        <v>0.05</v>
      </c>
      <c r="I26" s="299">
        <f>+(G26*H26)+G26</f>
        <v>0</v>
      </c>
      <c r="J26" s="301">
        <f>I26/$I$139</f>
        <v>0</v>
      </c>
      <c r="K26" s="289">
        <f>$K$11</f>
        <v>0.15</v>
      </c>
      <c r="L26" s="302">
        <f>+I26/(1-K26)</f>
        <v>0</v>
      </c>
      <c r="N26" s="972" t="s">
        <v>204</v>
      </c>
      <c r="O26" s="961">
        <f>$C$9</f>
        <v>1877.384</v>
      </c>
      <c r="P26" s="962">
        <f>+Q26/O26</f>
        <v>0.35372725711445446</v>
      </c>
      <c r="Q26" s="973">
        <f>+R26*Q27</f>
        <v>664.08189287056302</v>
      </c>
      <c r="R26" s="307">
        <f>+D65+D77+D89+D102+D109+D117+D124+D136</f>
        <v>0.15308354405758581</v>
      </c>
    </row>
    <row r="27" spans="2:18" s="183" customFormat="1" ht="16.5" thickTop="1" thickBot="1" x14ac:dyDescent="0.3">
      <c r="B27" s="283" t="s">
        <v>205</v>
      </c>
      <c r="C27" s="296" t="s">
        <v>529</v>
      </c>
      <c r="D27" s="297" t="s">
        <v>201</v>
      </c>
      <c r="E27" s="309">
        <f>+CUBICACION!V4</f>
        <v>496</v>
      </c>
      <c r="F27" s="954">
        <v>195000</v>
      </c>
      <c r="G27" s="299">
        <f>F27*E27</f>
        <v>96720000</v>
      </c>
      <c r="H27" s="300">
        <v>0.03</v>
      </c>
      <c r="I27" s="299">
        <f>+(G27*H27)+G27</f>
        <v>99621600</v>
      </c>
      <c r="J27" s="301">
        <f>I27/$I$139</f>
        <v>0.71892784872639659</v>
      </c>
      <c r="K27" s="289">
        <f>$K$11</f>
        <v>0.15</v>
      </c>
      <c r="L27" s="302">
        <f>+I27/(1-K27)</f>
        <v>117201882.35294119</v>
      </c>
      <c r="N27" s="977" t="s">
        <v>31</v>
      </c>
      <c r="O27" s="978">
        <f>+O26</f>
        <v>1877.384</v>
      </c>
      <c r="P27" s="979">
        <f>+SUM(P24:P26)</f>
        <v>2.3106811335736515</v>
      </c>
      <c r="Q27" s="980">
        <f>+I19</f>
        <v>4338.0357892730372</v>
      </c>
      <c r="R27" s="315"/>
    </row>
    <row r="28" spans="2:18" x14ac:dyDescent="0.25">
      <c r="B28" s="283" t="s">
        <v>371</v>
      </c>
      <c r="C28" s="296" t="s">
        <v>528</v>
      </c>
      <c r="D28" s="297" t="s">
        <v>201</v>
      </c>
      <c r="E28" s="309">
        <f>+CUBICACION!V5</f>
        <v>0</v>
      </c>
      <c r="F28" s="989">
        <v>195000</v>
      </c>
      <c r="G28" s="299">
        <f>F28*E28</f>
        <v>0</v>
      </c>
      <c r="H28" s="300">
        <v>0.03</v>
      </c>
      <c r="I28" s="299">
        <f>+(G28*H28)+G28</f>
        <v>0</v>
      </c>
      <c r="J28" s="301">
        <f>I28/$I$139</f>
        <v>0</v>
      </c>
      <c r="K28" s="289">
        <f>$K$11</f>
        <v>0.15</v>
      </c>
      <c r="L28" s="302">
        <f>+I28/(1-K28)</f>
        <v>0</v>
      </c>
      <c r="M28" s="183"/>
      <c r="N28" s="316"/>
      <c r="O28" s="183"/>
      <c r="P28" s="183"/>
      <c r="Q28" s="183"/>
    </row>
    <row r="29" spans="2:18" s="183" customFormat="1" x14ac:dyDescent="0.25">
      <c r="B29" s="283" t="s">
        <v>374</v>
      </c>
      <c r="C29" s="308" t="s">
        <v>538</v>
      </c>
      <c r="D29" s="297" t="s">
        <v>201</v>
      </c>
      <c r="E29" s="309"/>
      <c r="F29" s="310"/>
      <c r="G29" s="299">
        <f>F29*E29</f>
        <v>0</v>
      </c>
      <c r="H29" s="300">
        <v>0.05</v>
      </c>
      <c r="I29" s="299">
        <f>+(G29*H29)+G29</f>
        <v>0</v>
      </c>
      <c r="J29" s="301">
        <f>I29/$I$139</f>
        <v>0</v>
      </c>
      <c r="K29" s="289">
        <f>$K$11</f>
        <v>0.15</v>
      </c>
      <c r="L29" s="302">
        <f>+I29/(1-K29)</f>
        <v>0</v>
      </c>
    </row>
    <row r="30" spans="2:18" s="183" customFormat="1" ht="15.75" thickBot="1" x14ac:dyDescent="0.3">
      <c r="B30" s="317"/>
      <c r="C30" s="255"/>
      <c r="D30" s="318"/>
      <c r="E30" s="319"/>
      <c r="F30" s="320"/>
      <c r="G30" s="321"/>
      <c r="H30" s="322"/>
      <c r="I30" s="323"/>
      <c r="J30" s="324"/>
      <c r="K30" s="325"/>
      <c r="L30" s="326"/>
      <c r="N30" s="183" t="s">
        <v>138</v>
      </c>
    </row>
    <row r="31" spans="2:18" s="183" customFormat="1" ht="15.75" thickBot="1" x14ac:dyDescent="0.3">
      <c r="B31" s="268">
        <v>2</v>
      </c>
      <c r="C31" s="269" t="s">
        <v>206</v>
      </c>
      <c r="D31" s="327">
        <f>SUM(J32:J38)</f>
        <v>3.8860016887691778E-2</v>
      </c>
      <c r="E31" s="328"/>
      <c r="F31" s="329"/>
      <c r="G31" s="329"/>
      <c r="H31" s="330"/>
      <c r="I31" s="329"/>
      <c r="J31" s="331"/>
      <c r="K31" s="332"/>
      <c r="L31" s="333"/>
      <c r="M31" s="340"/>
      <c r="N31" s="264" t="s">
        <v>196</v>
      </c>
      <c r="O31" s="265" t="s">
        <v>493</v>
      </c>
      <c r="P31" s="265" t="s">
        <v>492</v>
      </c>
      <c r="Q31" s="266" t="s">
        <v>197</v>
      </c>
      <c r="R31" s="828" t="e">
        <f>+$E$25/($E$25+$E$26)</f>
        <v>#DIV/0!</v>
      </c>
    </row>
    <row r="32" spans="2:18" s="183" customFormat="1" ht="15" x14ac:dyDescent="0.25">
      <c r="B32" s="334" t="s">
        <v>207</v>
      </c>
      <c r="C32" s="296" t="s">
        <v>208</v>
      </c>
      <c r="D32" s="335" t="s">
        <v>209</v>
      </c>
      <c r="E32" s="336">
        <v>1</v>
      </c>
      <c r="F32" s="337"/>
      <c r="G32" s="338"/>
      <c r="H32" s="339">
        <v>0.05</v>
      </c>
      <c r="I32" s="287">
        <f t="shared" ref="I32:I115" si="0">+(G32*H32)+G32</f>
        <v>0</v>
      </c>
      <c r="J32" s="288">
        <f>I32/$I$139</f>
        <v>0</v>
      </c>
      <c r="K32" s="289">
        <f>+$K$13</f>
        <v>0.35</v>
      </c>
      <c r="L32" s="290">
        <f>+I32/(1-K32)</f>
        <v>0</v>
      </c>
      <c r="N32" s="278" t="s">
        <v>199</v>
      </c>
      <c r="O32" s="279">
        <f>+$O$35</f>
        <v>0</v>
      </c>
      <c r="P32" s="280" t="e">
        <f>+Q32/O32</f>
        <v>#DIV/0!</v>
      </c>
      <c r="Q32" s="281" t="e">
        <f>+Q24*$R$31</f>
        <v>#DIV/0!</v>
      </c>
    </row>
    <row r="33" spans="2:18" s="183" customFormat="1" ht="15" x14ac:dyDescent="0.25">
      <c r="B33" s="334" t="s">
        <v>210</v>
      </c>
      <c r="C33" s="296" t="s">
        <v>105</v>
      </c>
      <c r="D33" s="335" t="s">
        <v>209</v>
      </c>
      <c r="E33" s="341">
        <v>1</v>
      </c>
      <c r="F33" s="342"/>
      <c r="G33" s="343"/>
      <c r="H33" s="344">
        <v>0.05</v>
      </c>
      <c r="I33" s="345">
        <f t="shared" si="0"/>
        <v>0</v>
      </c>
      <c r="J33" s="301">
        <f>I33/$I$139</f>
        <v>0</v>
      </c>
      <c r="K33" s="346">
        <f t="shared" ref="K33:K63" si="1">+$K$13</f>
        <v>0.35</v>
      </c>
      <c r="L33" s="347">
        <f>+I33/(1-K33)</f>
        <v>0</v>
      </c>
      <c r="N33" s="292" t="s">
        <v>202</v>
      </c>
      <c r="O33" s="293">
        <f>$O$35</f>
        <v>0</v>
      </c>
      <c r="P33" s="294" t="e">
        <f>+Q33/O33</f>
        <v>#DIV/0!</v>
      </c>
      <c r="Q33" s="295" t="e">
        <f>+Q25*$R$31</f>
        <v>#DIV/0!</v>
      </c>
    </row>
    <row r="34" spans="2:18" s="183" customFormat="1" ht="15.75" thickBot="1" x14ac:dyDescent="0.3">
      <c r="B34" s="334" t="s">
        <v>211</v>
      </c>
      <c r="C34" s="296" t="s">
        <v>212</v>
      </c>
      <c r="D34" s="335" t="s">
        <v>209</v>
      </c>
      <c r="E34" s="298">
        <f>+ROUNDUP(E38,0)*1</f>
        <v>52</v>
      </c>
      <c r="F34" s="348">
        <f>74000*1.3</f>
        <v>96200</v>
      </c>
      <c r="G34" s="299">
        <f>+F34*E34</f>
        <v>5002400</v>
      </c>
      <c r="H34" s="349">
        <v>0.05</v>
      </c>
      <c r="I34" s="345">
        <f t="shared" si="0"/>
        <v>5252520</v>
      </c>
      <c r="J34" s="301">
        <f>I34/$I$139</f>
        <v>3.7905262553425891E-2</v>
      </c>
      <c r="K34" s="346">
        <f t="shared" si="1"/>
        <v>0.35</v>
      </c>
      <c r="L34" s="347">
        <f>+I34/(1-K34)</f>
        <v>8080800</v>
      </c>
      <c r="N34" s="303" t="s">
        <v>204</v>
      </c>
      <c r="O34" s="304">
        <f>$O$35</f>
        <v>0</v>
      </c>
      <c r="P34" s="305" t="e">
        <f>+Q34/O34</f>
        <v>#DIV/0!</v>
      </c>
      <c r="Q34" s="306" t="e">
        <f>+Q26*$R$31</f>
        <v>#DIV/0!</v>
      </c>
    </row>
    <row r="35" spans="2:18" s="183" customFormat="1" ht="16.5" thickTop="1" thickBot="1" x14ac:dyDescent="0.3">
      <c r="B35" s="334" t="s">
        <v>213</v>
      </c>
      <c r="C35" s="296" t="s">
        <v>630</v>
      </c>
      <c r="D35" s="335" t="s">
        <v>209</v>
      </c>
      <c r="E35" s="298">
        <v>3</v>
      </c>
      <c r="F35" s="345">
        <v>42000</v>
      </c>
      <c r="G35" s="299">
        <f>+F35*E35</f>
        <v>126000</v>
      </c>
      <c r="H35" s="349">
        <v>0.05</v>
      </c>
      <c r="I35" s="345">
        <f t="shared" si="0"/>
        <v>132300</v>
      </c>
      <c r="J35" s="301">
        <f>I35/$I$139</f>
        <v>9.5475433426588476E-4</v>
      </c>
      <c r="K35" s="346">
        <f t="shared" si="1"/>
        <v>0.35</v>
      </c>
      <c r="L35" s="347">
        <f>+I35/(1-K35)</f>
        <v>203538.46153846153</v>
      </c>
      <c r="N35" s="311" t="s">
        <v>31</v>
      </c>
      <c r="O35" s="312">
        <f>+CUBICACION!U2</f>
        <v>0</v>
      </c>
      <c r="P35" s="313" t="e">
        <f>+SUM(P32:P34)</f>
        <v>#DIV/0!</v>
      </c>
      <c r="Q35" s="314" t="e">
        <f>+SUM(Q32:Q34)</f>
        <v>#DIV/0!</v>
      </c>
    </row>
    <row r="36" spans="2:18" s="183" customFormat="1" x14ac:dyDescent="0.25">
      <c r="B36" s="350" t="s">
        <v>214</v>
      </c>
      <c r="C36" s="308" t="s">
        <v>215</v>
      </c>
      <c r="D36" s="351" t="s">
        <v>209</v>
      </c>
      <c r="E36" s="309">
        <v>0</v>
      </c>
      <c r="F36" s="352">
        <f>62500+26000</f>
        <v>88500</v>
      </c>
      <c r="G36" s="310">
        <f>+F36*E36</f>
        <v>0</v>
      </c>
      <c r="H36" s="353">
        <v>0.05</v>
      </c>
      <c r="I36" s="352">
        <f t="shared" si="0"/>
        <v>0</v>
      </c>
      <c r="J36" s="354">
        <f>I36/$I$139</f>
        <v>0</v>
      </c>
      <c r="K36" s="355">
        <f t="shared" si="1"/>
        <v>0.35</v>
      </c>
      <c r="L36" s="356">
        <f>+I36/(1-K36)</f>
        <v>0</v>
      </c>
    </row>
    <row r="37" spans="2:18" s="183" customFormat="1" ht="15.75" thickBot="1" x14ac:dyDescent="0.3">
      <c r="B37" s="357"/>
      <c r="C37" s="358"/>
      <c r="D37" s="359"/>
      <c r="E37" s="360"/>
      <c r="F37" s="361"/>
      <c r="G37" s="361"/>
      <c r="H37" s="362"/>
      <c r="I37" s="363"/>
      <c r="J37" s="324"/>
      <c r="K37" s="364"/>
      <c r="L37" s="326"/>
    </row>
    <row r="38" spans="2:18" s="183" customFormat="1" ht="15.75" thickBot="1" x14ac:dyDescent="0.3">
      <c r="B38" s="365"/>
      <c r="C38" s="366" t="s">
        <v>216</v>
      </c>
      <c r="D38" s="367" t="s">
        <v>209</v>
      </c>
      <c r="E38" s="368">
        <f>+ROUNDUP(($E$25+$E$26+$E$27+$E$28+$E$29)/($C$15*$C$17),0)+$E$32+$E$33</f>
        <v>52</v>
      </c>
      <c r="F38" s="369"/>
      <c r="G38" s="369"/>
      <c r="H38" s="370"/>
      <c r="I38" s="371"/>
      <c r="J38" s="372"/>
      <c r="K38" s="373"/>
      <c r="L38" s="374"/>
      <c r="N38" s="183" t="s">
        <v>139</v>
      </c>
    </row>
    <row r="39" spans="2:18" s="183" customFormat="1" ht="9.75" customHeight="1" thickBot="1" x14ac:dyDescent="0.3">
      <c r="B39" s="365"/>
      <c r="C39" s="375"/>
      <c r="D39" s="376"/>
      <c r="E39" s="377"/>
      <c r="F39" s="378"/>
      <c r="G39" s="378"/>
      <c r="H39" s="379"/>
      <c r="I39" s="380"/>
      <c r="J39" s="381"/>
      <c r="K39" s="382"/>
      <c r="L39" s="383"/>
      <c r="N39" s="264" t="s">
        <v>196</v>
      </c>
      <c r="O39" s="265" t="s">
        <v>493</v>
      </c>
      <c r="P39" s="265" t="s">
        <v>492</v>
      </c>
      <c r="Q39" s="266" t="s">
        <v>197</v>
      </c>
      <c r="R39" s="828" t="e">
        <f>+$E$26/($E$25+$E$26)</f>
        <v>#DIV/0!</v>
      </c>
    </row>
    <row r="40" spans="2:18" s="183" customFormat="1" ht="29.25" thickBot="1" x14ac:dyDescent="0.3">
      <c r="B40" s="268">
        <v>3</v>
      </c>
      <c r="C40" s="384" t="s">
        <v>217</v>
      </c>
      <c r="D40" s="385" t="s">
        <v>218</v>
      </c>
      <c r="E40" s="386"/>
      <c r="F40" s="387">
        <f>SUM(J41:J63)</f>
        <v>8.9128590328325735E-2</v>
      </c>
      <c r="G40" s="385" t="s">
        <v>219</v>
      </c>
      <c r="H40" s="388">
        <v>0.05</v>
      </c>
      <c r="I40" s="389"/>
      <c r="J40" s="390"/>
      <c r="K40" s="391"/>
      <c r="L40" s="333"/>
      <c r="N40" s="278" t="s">
        <v>199</v>
      </c>
      <c r="O40" s="279">
        <f>+$O$43</f>
        <v>0</v>
      </c>
      <c r="P40" s="280" t="e">
        <f>+Q40/O40</f>
        <v>#DIV/0!</v>
      </c>
      <c r="Q40" s="281" t="e">
        <f>+R39*Q24</f>
        <v>#DIV/0!</v>
      </c>
    </row>
    <row r="41" spans="2:18" s="183" customFormat="1" ht="15" x14ac:dyDescent="0.25">
      <c r="B41" s="1009" t="s">
        <v>220</v>
      </c>
      <c r="C41" s="296" t="s">
        <v>221</v>
      </c>
      <c r="D41" s="285" t="s">
        <v>209</v>
      </c>
      <c r="E41" s="392">
        <f>$E$38</f>
        <v>52</v>
      </c>
      <c r="F41" s="393">
        <f>45000*1.3*$C$17</f>
        <v>117000</v>
      </c>
      <c r="G41" s="394">
        <f>+F41*E41</f>
        <v>6084000</v>
      </c>
      <c r="H41" s="395">
        <f>+H40</f>
        <v>0.05</v>
      </c>
      <c r="I41" s="396">
        <f t="shared" si="0"/>
        <v>6388200</v>
      </c>
      <c r="J41" s="288">
        <f>I41/$I$139</f>
        <v>4.6100994997409869E-2</v>
      </c>
      <c r="K41" s="289">
        <f>+K15</f>
        <v>0.35</v>
      </c>
      <c r="L41" s="290">
        <f>+I41/(1-K41)</f>
        <v>9828000</v>
      </c>
      <c r="N41" s="292" t="s">
        <v>202</v>
      </c>
      <c r="O41" s="293">
        <f>+$O$43</f>
        <v>0</v>
      </c>
      <c r="P41" s="294" t="e">
        <f>+Q41/O41</f>
        <v>#DIV/0!</v>
      </c>
      <c r="Q41" s="295" t="e">
        <f>+R39*Q25</f>
        <v>#DIV/0!</v>
      </c>
    </row>
    <row r="42" spans="2:18" s="183" customFormat="1" ht="15.75" thickBot="1" x14ac:dyDescent="0.3">
      <c r="B42" s="1010"/>
      <c r="C42" s="296" t="s">
        <v>222</v>
      </c>
      <c r="D42" s="335" t="s">
        <v>209</v>
      </c>
      <c r="E42" s="392">
        <f>$E$38</f>
        <v>52</v>
      </c>
      <c r="F42" s="348">
        <f>42000*1.3*$C$17</f>
        <v>109200</v>
      </c>
      <c r="G42" s="299">
        <f>+F42*E42</f>
        <v>5678400</v>
      </c>
      <c r="H42" s="397">
        <f>+H40</f>
        <v>0.05</v>
      </c>
      <c r="I42" s="345">
        <f t="shared" si="0"/>
        <v>5962320</v>
      </c>
      <c r="J42" s="301">
        <f>I42/$I$139</f>
        <v>4.3027595330915873E-2</v>
      </c>
      <c r="K42" s="346">
        <f>+K15</f>
        <v>0.35</v>
      </c>
      <c r="L42" s="347">
        <f>+I42/(1-K42)</f>
        <v>9172800</v>
      </c>
      <c r="N42" s="303" t="s">
        <v>204</v>
      </c>
      <c r="O42" s="304">
        <f>+$O$43</f>
        <v>0</v>
      </c>
      <c r="P42" s="305" t="e">
        <f>+Q42/O42</f>
        <v>#DIV/0!</v>
      </c>
      <c r="Q42" s="306" t="e">
        <f>+R39*Q27</f>
        <v>#DIV/0!</v>
      </c>
    </row>
    <row r="43" spans="2:18" ht="16.5" thickTop="1" thickBot="1" x14ac:dyDescent="0.3">
      <c r="B43" s="1010"/>
      <c r="C43" s="296" t="s">
        <v>223</v>
      </c>
      <c r="D43" s="335" t="s">
        <v>209</v>
      </c>
      <c r="E43" s="336">
        <v>0</v>
      </c>
      <c r="F43" s="345">
        <f>33000</f>
        <v>33000</v>
      </c>
      <c r="G43" s="299">
        <f>+F43*E43</f>
        <v>0</v>
      </c>
      <c r="H43" s="397">
        <f>+H40</f>
        <v>0.05</v>
      </c>
      <c r="I43" s="345">
        <f t="shared" si="0"/>
        <v>0</v>
      </c>
      <c r="J43" s="301">
        <f>I43/$I$139</f>
        <v>0</v>
      </c>
      <c r="K43" s="346">
        <f>+K15</f>
        <v>0.35</v>
      </c>
      <c r="L43" s="347">
        <f>+I43/(1-K43)</f>
        <v>0</v>
      </c>
      <c r="M43" s="183"/>
      <c r="N43" s="311" t="s">
        <v>31</v>
      </c>
      <c r="O43" s="312">
        <f>CUBICACION!U3</f>
        <v>0</v>
      </c>
      <c r="P43" s="313" t="e">
        <f>+SUM(P40:P42)</f>
        <v>#DIV/0!</v>
      </c>
      <c r="Q43" s="314" t="e">
        <f>+SUM(Q40:Q42)</f>
        <v>#DIV/0!</v>
      </c>
    </row>
    <row r="44" spans="2:18" s="183" customFormat="1" x14ac:dyDescent="0.25">
      <c r="B44" s="1010"/>
      <c r="C44" s="296" t="s">
        <v>224</v>
      </c>
      <c r="D44" s="335" t="s">
        <v>209</v>
      </c>
      <c r="E44" s="336">
        <v>0</v>
      </c>
      <c r="F44" s="345">
        <f>28000</f>
        <v>28000</v>
      </c>
      <c r="G44" s="299">
        <f>+F44*E44</f>
        <v>0</v>
      </c>
      <c r="H44" s="397">
        <f>+H40</f>
        <v>0.05</v>
      </c>
      <c r="I44" s="345">
        <f t="shared" si="0"/>
        <v>0</v>
      </c>
      <c r="J44" s="301">
        <f>I44/$I$139</f>
        <v>0</v>
      </c>
      <c r="K44" s="346">
        <f>+K15</f>
        <v>0.35</v>
      </c>
      <c r="L44" s="347">
        <f>+I44/(1-K44)</f>
        <v>0</v>
      </c>
    </row>
    <row r="45" spans="2:18" s="183" customFormat="1" x14ac:dyDescent="0.25">
      <c r="B45" s="1011"/>
      <c r="C45" s="296" t="s">
        <v>225</v>
      </c>
      <c r="D45" s="335" t="s">
        <v>209</v>
      </c>
      <c r="E45" s="341">
        <v>0</v>
      </c>
      <c r="F45" s="299"/>
      <c r="G45" s="299">
        <f>+F45*E45</f>
        <v>0</v>
      </c>
      <c r="H45" s="397">
        <f>+H40</f>
        <v>0.05</v>
      </c>
      <c r="I45" s="345">
        <f t="shared" si="0"/>
        <v>0</v>
      </c>
      <c r="J45" s="301">
        <f>I45/$I$139</f>
        <v>0</v>
      </c>
      <c r="K45" s="346">
        <f>+K15</f>
        <v>0.35</v>
      </c>
      <c r="L45" s="347">
        <f>+I45/(1-K45)</f>
        <v>0</v>
      </c>
    </row>
    <row r="46" spans="2:18" s="183" customFormat="1" ht="15" x14ac:dyDescent="0.25">
      <c r="B46" s="334" t="s">
        <v>226</v>
      </c>
      <c r="C46" s="398" t="str">
        <f>"Instalación Pintura SUB-CONTRATO ("&amp;E46&amp;" personas)"</f>
        <v>Instalación Pintura SUB-CONTRATO (4 personas)</v>
      </c>
      <c r="D46" s="399" t="s">
        <v>227</v>
      </c>
      <c r="E46" s="298">
        <f>2*C17</f>
        <v>4</v>
      </c>
      <c r="F46" s="345"/>
      <c r="G46" s="299"/>
      <c r="H46" s="397"/>
      <c r="I46" s="345"/>
      <c r="J46" s="301"/>
      <c r="K46" s="346"/>
      <c r="L46" s="347"/>
    </row>
    <row r="47" spans="2:18" s="183" customFormat="1" ht="16.5" x14ac:dyDescent="0.25">
      <c r="B47" s="334" t="s">
        <v>228</v>
      </c>
      <c r="C47" s="400"/>
      <c r="D47" s="297" t="s">
        <v>229</v>
      </c>
      <c r="E47" s="401"/>
      <c r="F47" s="299"/>
      <c r="G47" s="299">
        <f>+F47*E47</f>
        <v>0</v>
      </c>
      <c r="H47" s="397">
        <v>0.05</v>
      </c>
      <c r="I47" s="299">
        <f t="shared" ref="I47:I63" si="2">+(G47*H47)+G47</f>
        <v>0</v>
      </c>
      <c r="J47" s="301">
        <f t="shared" ref="J47:J61" si="3">I47/$I$139</f>
        <v>0</v>
      </c>
      <c r="K47" s="346">
        <f t="shared" si="1"/>
        <v>0.35</v>
      </c>
      <c r="L47" s="302">
        <f t="shared" ref="L47:L63" si="4">+I47/(1-K47)</f>
        <v>0</v>
      </c>
    </row>
    <row r="48" spans="2:18" s="183" customFormat="1" ht="16.5" x14ac:dyDescent="0.25">
      <c r="B48" s="283" t="s">
        <v>230</v>
      </c>
      <c r="C48" s="400"/>
      <c r="D48" s="297" t="s">
        <v>229</v>
      </c>
      <c r="E48" s="401"/>
      <c r="F48" s="299"/>
      <c r="G48" s="299">
        <f>+F48*E48</f>
        <v>0</v>
      </c>
      <c r="H48" s="397">
        <v>0.05</v>
      </c>
      <c r="I48" s="299">
        <f t="shared" si="2"/>
        <v>0</v>
      </c>
      <c r="J48" s="301">
        <f t="shared" si="3"/>
        <v>0</v>
      </c>
      <c r="K48" s="346">
        <f t="shared" si="1"/>
        <v>0.35</v>
      </c>
      <c r="L48" s="302">
        <f t="shared" si="4"/>
        <v>0</v>
      </c>
    </row>
    <row r="49" spans="2:17" s="183" customFormat="1" ht="16.5" x14ac:dyDescent="0.25">
      <c r="B49" s="334" t="s">
        <v>231</v>
      </c>
      <c r="C49" s="400"/>
      <c r="D49" s="297" t="s">
        <v>229</v>
      </c>
      <c r="E49" s="401"/>
      <c r="F49" s="299"/>
      <c r="G49" s="299">
        <f t="shared" ref="G49:G61" si="5">+F49*E49</f>
        <v>0</v>
      </c>
      <c r="H49" s="397">
        <v>0.05</v>
      </c>
      <c r="I49" s="299">
        <f t="shared" si="2"/>
        <v>0</v>
      </c>
      <c r="J49" s="301">
        <f t="shared" si="3"/>
        <v>0</v>
      </c>
      <c r="K49" s="346">
        <f t="shared" si="1"/>
        <v>0.35</v>
      </c>
      <c r="L49" s="302">
        <f t="shared" si="4"/>
        <v>0</v>
      </c>
    </row>
    <row r="50" spans="2:17" s="183" customFormat="1" ht="16.5" x14ac:dyDescent="0.25">
      <c r="B50" s="334" t="s">
        <v>232</v>
      </c>
      <c r="C50" s="400"/>
      <c r="D50" s="297" t="s">
        <v>229</v>
      </c>
      <c r="E50" s="401"/>
      <c r="F50" s="299"/>
      <c r="G50" s="299">
        <f t="shared" si="5"/>
        <v>0</v>
      </c>
      <c r="H50" s="397">
        <v>0.05</v>
      </c>
      <c r="I50" s="299">
        <f t="shared" si="2"/>
        <v>0</v>
      </c>
      <c r="J50" s="301">
        <f t="shared" si="3"/>
        <v>0</v>
      </c>
      <c r="K50" s="346">
        <f t="shared" si="1"/>
        <v>0.35</v>
      </c>
      <c r="L50" s="302">
        <f t="shared" si="4"/>
        <v>0</v>
      </c>
    </row>
    <row r="51" spans="2:17" s="183" customFormat="1" ht="16.5" x14ac:dyDescent="0.25">
      <c r="B51" s="334" t="s">
        <v>233</v>
      </c>
      <c r="C51" s="400"/>
      <c r="D51" s="297" t="s">
        <v>229</v>
      </c>
      <c r="E51" s="401"/>
      <c r="F51" s="299"/>
      <c r="G51" s="299">
        <f t="shared" si="5"/>
        <v>0</v>
      </c>
      <c r="H51" s="397">
        <v>0.05</v>
      </c>
      <c r="I51" s="299">
        <f t="shared" si="2"/>
        <v>0</v>
      </c>
      <c r="J51" s="301">
        <f t="shared" si="3"/>
        <v>0</v>
      </c>
      <c r="K51" s="346">
        <f t="shared" si="1"/>
        <v>0.35</v>
      </c>
      <c r="L51" s="302">
        <f t="shared" si="4"/>
        <v>0</v>
      </c>
    </row>
    <row r="52" spans="2:17" s="183" customFormat="1" ht="16.5" x14ac:dyDescent="0.25">
      <c r="B52" s="334" t="s">
        <v>234</v>
      </c>
      <c r="C52" s="400"/>
      <c r="D52" s="297" t="s">
        <v>229</v>
      </c>
      <c r="E52" s="401"/>
      <c r="F52" s="299"/>
      <c r="G52" s="299">
        <f t="shared" si="5"/>
        <v>0</v>
      </c>
      <c r="H52" s="397">
        <v>0.05</v>
      </c>
      <c r="I52" s="299">
        <f t="shared" si="2"/>
        <v>0</v>
      </c>
      <c r="J52" s="301">
        <f t="shared" si="3"/>
        <v>0</v>
      </c>
      <c r="K52" s="346">
        <f t="shared" si="1"/>
        <v>0.35</v>
      </c>
      <c r="L52" s="302">
        <f t="shared" si="4"/>
        <v>0</v>
      </c>
    </row>
    <row r="53" spans="2:17" s="183" customFormat="1" ht="16.5" x14ac:dyDescent="0.25">
      <c r="B53" s="334" t="s">
        <v>235</v>
      </c>
      <c r="C53" s="400"/>
      <c r="D53" s="297" t="s">
        <v>229</v>
      </c>
      <c r="E53" s="401"/>
      <c r="F53" s="299"/>
      <c r="G53" s="299">
        <f t="shared" si="5"/>
        <v>0</v>
      </c>
      <c r="H53" s="397">
        <v>0.05</v>
      </c>
      <c r="I53" s="299">
        <f t="shared" si="2"/>
        <v>0</v>
      </c>
      <c r="J53" s="301">
        <f t="shared" si="3"/>
        <v>0</v>
      </c>
      <c r="K53" s="346">
        <f t="shared" si="1"/>
        <v>0.35</v>
      </c>
      <c r="L53" s="302">
        <f t="shared" si="4"/>
        <v>0</v>
      </c>
    </row>
    <row r="54" spans="2:17" s="183" customFormat="1" ht="16.5" x14ac:dyDescent="0.25">
      <c r="B54" s="334"/>
      <c r="C54" s="400"/>
      <c r="D54" s="297" t="s">
        <v>229</v>
      </c>
      <c r="E54" s="401"/>
      <c r="F54" s="299"/>
      <c r="G54" s="299">
        <f t="shared" si="5"/>
        <v>0</v>
      </c>
      <c r="H54" s="397">
        <v>0.05</v>
      </c>
      <c r="I54" s="299">
        <f t="shared" si="2"/>
        <v>0</v>
      </c>
      <c r="J54" s="301">
        <f t="shared" si="3"/>
        <v>0</v>
      </c>
      <c r="K54" s="346">
        <f t="shared" si="1"/>
        <v>0.35</v>
      </c>
      <c r="L54" s="302">
        <f t="shared" si="4"/>
        <v>0</v>
      </c>
    </row>
    <row r="55" spans="2:17" s="183" customFormat="1" ht="16.5" x14ac:dyDescent="0.25">
      <c r="B55" s="334"/>
      <c r="C55" s="400"/>
      <c r="D55" s="297" t="s">
        <v>229</v>
      </c>
      <c r="E55" s="401"/>
      <c r="F55" s="299"/>
      <c r="G55" s="299">
        <f t="shared" si="5"/>
        <v>0</v>
      </c>
      <c r="H55" s="397">
        <v>0.05</v>
      </c>
      <c r="I55" s="299">
        <f t="shared" si="2"/>
        <v>0</v>
      </c>
      <c r="J55" s="301">
        <f t="shared" si="3"/>
        <v>0</v>
      </c>
      <c r="K55" s="346">
        <f t="shared" si="1"/>
        <v>0.35</v>
      </c>
      <c r="L55" s="302">
        <f t="shared" si="4"/>
        <v>0</v>
      </c>
    </row>
    <row r="56" spans="2:17" s="183" customFormat="1" ht="16.5" x14ac:dyDescent="0.25">
      <c r="B56" s="334"/>
      <c r="C56" s="400"/>
      <c r="D56" s="297" t="s">
        <v>229</v>
      </c>
      <c r="E56" s="401"/>
      <c r="F56" s="299"/>
      <c r="G56" s="299">
        <f t="shared" si="5"/>
        <v>0</v>
      </c>
      <c r="H56" s="397">
        <v>0.05</v>
      </c>
      <c r="I56" s="299">
        <f t="shared" si="2"/>
        <v>0</v>
      </c>
      <c r="J56" s="301">
        <f t="shared" si="3"/>
        <v>0</v>
      </c>
      <c r="K56" s="346">
        <f t="shared" si="1"/>
        <v>0.35</v>
      </c>
      <c r="L56" s="302">
        <f t="shared" si="4"/>
        <v>0</v>
      </c>
    </row>
    <row r="57" spans="2:17" s="183" customFormat="1" ht="16.5" x14ac:dyDescent="0.25">
      <c r="B57" s="334"/>
      <c r="C57" s="400"/>
      <c r="D57" s="297" t="s">
        <v>229</v>
      </c>
      <c r="E57" s="401"/>
      <c r="F57" s="299"/>
      <c r="G57" s="299">
        <f t="shared" si="5"/>
        <v>0</v>
      </c>
      <c r="H57" s="397">
        <v>0.05</v>
      </c>
      <c r="I57" s="299">
        <f t="shared" si="2"/>
        <v>0</v>
      </c>
      <c r="J57" s="301">
        <f t="shared" si="3"/>
        <v>0</v>
      </c>
      <c r="K57" s="346">
        <f t="shared" si="1"/>
        <v>0.35</v>
      </c>
      <c r="L57" s="302">
        <f t="shared" si="4"/>
        <v>0</v>
      </c>
    </row>
    <row r="58" spans="2:17" s="183" customFormat="1" ht="16.5" x14ac:dyDescent="0.25">
      <c r="B58" s="334"/>
      <c r="C58" s="400"/>
      <c r="D58" s="297" t="s">
        <v>229</v>
      </c>
      <c r="E58" s="401"/>
      <c r="F58" s="299"/>
      <c r="G58" s="299">
        <f t="shared" si="5"/>
        <v>0</v>
      </c>
      <c r="H58" s="397">
        <v>0.05</v>
      </c>
      <c r="I58" s="299">
        <f t="shared" si="2"/>
        <v>0</v>
      </c>
      <c r="J58" s="301">
        <f t="shared" si="3"/>
        <v>0</v>
      </c>
      <c r="K58" s="346">
        <f t="shared" si="1"/>
        <v>0.35</v>
      </c>
      <c r="L58" s="302">
        <f t="shared" si="4"/>
        <v>0</v>
      </c>
    </row>
    <row r="59" spans="2:17" s="183" customFormat="1" ht="16.5" x14ac:dyDescent="0.25">
      <c r="B59" s="334"/>
      <c r="C59" s="400"/>
      <c r="D59" s="297" t="s">
        <v>229</v>
      </c>
      <c r="E59" s="401"/>
      <c r="F59" s="299"/>
      <c r="G59" s="299">
        <f t="shared" si="5"/>
        <v>0</v>
      </c>
      <c r="H59" s="397">
        <v>0.05</v>
      </c>
      <c r="I59" s="299">
        <f t="shared" si="2"/>
        <v>0</v>
      </c>
      <c r="J59" s="301">
        <f t="shared" si="3"/>
        <v>0</v>
      </c>
      <c r="K59" s="346">
        <f t="shared" si="1"/>
        <v>0.35</v>
      </c>
      <c r="L59" s="302">
        <f t="shared" si="4"/>
        <v>0</v>
      </c>
    </row>
    <row r="60" spans="2:17" s="183" customFormat="1" ht="16.5" x14ac:dyDescent="0.25">
      <c r="B60" s="334"/>
      <c r="C60" s="400"/>
      <c r="D60" s="297" t="s">
        <v>236</v>
      </c>
      <c r="E60" s="401"/>
      <c r="F60" s="299"/>
      <c r="G60" s="299">
        <f t="shared" si="5"/>
        <v>0</v>
      </c>
      <c r="H60" s="397">
        <v>0.05</v>
      </c>
      <c r="I60" s="299">
        <f t="shared" si="2"/>
        <v>0</v>
      </c>
      <c r="J60" s="301">
        <f t="shared" si="3"/>
        <v>0</v>
      </c>
      <c r="K60" s="346">
        <f t="shared" si="1"/>
        <v>0.35</v>
      </c>
      <c r="L60" s="302">
        <f t="shared" si="4"/>
        <v>0</v>
      </c>
    </row>
    <row r="61" spans="2:17" ht="16.5" x14ac:dyDescent="0.25">
      <c r="B61" s="334"/>
      <c r="C61" s="400"/>
      <c r="D61" s="297" t="s">
        <v>236</v>
      </c>
      <c r="E61" s="401"/>
      <c r="F61" s="299"/>
      <c r="G61" s="299">
        <f t="shared" si="5"/>
        <v>0</v>
      </c>
      <c r="H61" s="397">
        <v>0.05</v>
      </c>
      <c r="I61" s="299">
        <f t="shared" si="2"/>
        <v>0</v>
      </c>
      <c r="J61" s="301">
        <f t="shared" si="3"/>
        <v>0</v>
      </c>
      <c r="K61" s="346">
        <f t="shared" si="1"/>
        <v>0.35</v>
      </c>
      <c r="L61" s="302">
        <f t="shared" si="4"/>
        <v>0</v>
      </c>
      <c r="M61" s="183"/>
      <c r="N61" s="183"/>
      <c r="O61" s="183"/>
      <c r="P61" s="183"/>
      <c r="Q61" s="183"/>
    </row>
    <row r="62" spans="2:17" ht="15" x14ac:dyDescent="0.25">
      <c r="B62" s="334"/>
      <c r="C62" s="400"/>
      <c r="D62" s="297"/>
      <c r="E62" s="341"/>
      <c r="F62" s="402"/>
      <c r="G62" s="402"/>
      <c r="H62" s="403"/>
      <c r="I62" s="402"/>
      <c r="J62" s="404"/>
      <c r="K62" s="405"/>
      <c r="L62" s="406"/>
      <c r="M62" s="183"/>
      <c r="N62" s="183"/>
      <c r="O62" s="183"/>
      <c r="P62" s="183"/>
      <c r="Q62" s="183"/>
    </row>
    <row r="63" spans="2:17" ht="31.5" customHeight="1" x14ac:dyDescent="0.25">
      <c r="B63" s="334" t="s">
        <v>237</v>
      </c>
      <c r="C63" s="407" t="s">
        <v>225</v>
      </c>
      <c r="D63" s="335" t="s">
        <v>238</v>
      </c>
      <c r="E63" s="341"/>
      <c r="F63" s="299"/>
      <c r="G63" s="299"/>
      <c r="H63" s="397">
        <f>+H40</f>
        <v>0.05</v>
      </c>
      <c r="I63" s="345">
        <f t="shared" si="2"/>
        <v>0</v>
      </c>
      <c r="J63" s="301">
        <f>I63/$I$139</f>
        <v>0</v>
      </c>
      <c r="K63" s="346">
        <f t="shared" si="1"/>
        <v>0.35</v>
      </c>
      <c r="L63" s="347">
        <f t="shared" si="4"/>
        <v>0</v>
      </c>
    </row>
    <row r="64" spans="2:17" ht="15" thickBot="1" x14ac:dyDescent="0.3">
      <c r="B64" s="365"/>
      <c r="C64" s="408"/>
      <c r="D64" s="376"/>
      <c r="E64" s="377"/>
      <c r="F64" s="378"/>
      <c r="G64" s="378"/>
      <c r="H64" s="409"/>
      <c r="I64" s="380"/>
      <c r="J64" s="381"/>
      <c r="K64" s="382"/>
      <c r="L64" s="383"/>
    </row>
    <row r="65" spans="2:12" ht="29.25" thickBot="1" x14ac:dyDescent="0.3">
      <c r="B65" s="268">
        <v>4</v>
      </c>
      <c r="C65" s="269" t="s">
        <v>239</v>
      </c>
      <c r="D65" s="410">
        <f>SUM(J66:J75)</f>
        <v>4.7629467922561147E-2</v>
      </c>
      <c r="E65" s="411" t="s">
        <v>240</v>
      </c>
      <c r="F65" s="412">
        <v>200000</v>
      </c>
      <c r="G65" s="413"/>
      <c r="H65" s="414"/>
      <c r="I65" s="389"/>
      <c r="J65" s="331"/>
      <c r="K65" s="332"/>
      <c r="L65" s="333"/>
    </row>
    <row r="66" spans="2:12" x14ac:dyDescent="0.25">
      <c r="B66" s="283" t="s">
        <v>241</v>
      </c>
      <c r="C66" s="284" t="s">
        <v>221</v>
      </c>
      <c r="D66" s="415" t="s">
        <v>242</v>
      </c>
      <c r="E66" s="336">
        <f>+IF(F65&gt;0,ROUNDUP(E41/5,0),0)</f>
        <v>11</v>
      </c>
      <c r="F66" s="287">
        <f t="shared" ref="F66:F75" si="6">$F$65</f>
        <v>200000</v>
      </c>
      <c r="G66" s="287">
        <f>+F66*E66</f>
        <v>2200000</v>
      </c>
      <c r="H66" s="395">
        <v>0</v>
      </c>
      <c r="I66" s="287">
        <f t="shared" si="0"/>
        <v>2200000</v>
      </c>
      <c r="J66" s="288">
        <f t="shared" ref="J66:J75" si="7">I66/$I$139</f>
        <v>1.5876489307520381E-2</v>
      </c>
      <c r="K66" s="289">
        <f>+K19</f>
        <v>0.35</v>
      </c>
      <c r="L66" s="290">
        <f t="shared" ref="L66:L75" si="8">+I66/(1-K66)</f>
        <v>3384615.3846153845</v>
      </c>
    </row>
    <row r="67" spans="2:12" x14ac:dyDescent="0.25">
      <c r="B67" s="334" t="s">
        <v>243</v>
      </c>
      <c r="C67" s="407" t="s">
        <v>222</v>
      </c>
      <c r="D67" s="416" t="s">
        <v>242</v>
      </c>
      <c r="E67" s="336">
        <f>+IF(F65&gt;0,ROUNDUP(E42/5,0),0)</f>
        <v>11</v>
      </c>
      <c r="F67" s="287">
        <f t="shared" si="6"/>
        <v>200000</v>
      </c>
      <c r="G67" s="345">
        <f t="shared" ref="G67:G75" si="9">+F67*E67</f>
        <v>2200000</v>
      </c>
      <c r="H67" s="397">
        <v>0</v>
      </c>
      <c r="I67" s="345">
        <f t="shared" si="0"/>
        <v>2200000</v>
      </c>
      <c r="J67" s="301">
        <f t="shared" si="7"/>
        <v>1.5876489307520381E-2</v>
      </c>
      <c r="K67" s="346">
        <f>+K19</f>
        <v>0.35</v>
      </c>
      <c r="L67" s="347">
        <f t="shared" si="8"/>
        <v>3384615.3846153845</v>
      </c>
    </row>
    <row r="68" spans="2:12" x14ac:dyDescent="0.25">
      <c r="B68" s="334" t="s">
        <v>244</v>
      </c>
      <c r="C68" s="407" t="s">
        <v>223</v>
      </c>
      <c r="D68" s="416" t="s">
        <v>242</v>
      </c>
      <c r="E68" s="298"/>
      <c r="F68" s="287">
        <f t="shared" si="6"/>
        <v>200000</v>
      </c>
      <c r="G68" s="345">
        <f t="shared" si="9"/>
        <v>0</v>
      </c>
      <c r="H68" s="397">
        <v>0</v>
      </c>
      <c r="I68" s="345">
        <f t="shared" si="0"/>
        <v>0</v>
      </c>
      <c r="J68" s="301">
        <f t="shared" si="7"/>
        <v>0</v>
      </c>
      <c r="K68" s="346">
        <f>+K19</f>
        <v>0.35</v>
      </c>
      <c r="L68" s="347">
        <f t="shared" si="8"/>
        <v>0</v>
      </c>
    </row>
    <row r="69" spans="2:12" x14ac:dyDescent="0.25">
      <c r="B69" s="334" t="s">
        <v>245</v>
      </c>
      <c r="C69" s="417" t="s">
        <v>224</v>
      </c>
      <c r="D69" s="416" t="s">
        <v>242</v>
      </c>
      <c r="E69" s="298"/>
      <c r="F69" s="287">
        <f t="shared" si="6"/>
        <v>200000</v>
      </c>
      <c r="G69" s="345">
        <f t="shared" si="9"/>
        <v>0</v>
      </c>
      <c r="H69" s="397">
        <v>0</v>
      </c>
      <c r="I69" s="345">
        <f t="shared" si="0"/>
        <v>0</v>
      </c>
      <c r="J69" s="301">
        <f t="shared" si="7"/>
        <v>0</v>
      </c>
      <c r="K69" s="346">
        <f>+K19</f>
        <v>0.35</v>
      </c>
      <c r="L69" s="347">
        <f t="shared" si="8"/>
        <v>0</v>
      </c>
    </row>
    <row r="70" spans="2:12" x14ac:dyDescent="0.25">
      <c r="B70" s="334" t="s">
        <v>246</v>
      </c>
      <c r="C70" s="417" t="str">
        <f>$C$34</f>
        <v>Supervisión 100% tiempo efectivo</v>
      </c>
      <c r="D70" s="416" t="s">
        <v>242</v>
      </c>
      <c r="E70" s="298">
        <f>+IF(F65&gt;0,ROUNDUP(E34/5,0),0)</f>
        <v>11</v>
      </c>
      <c r="F70" s="287">
        <f t="shared" si="6"/>
        <v>200000</v>
      </c>
      <c r="G70" s="345">
        <f t="shared" si="9"/>
        <v>2200000</v>
      </c>
      <c r="H70" s="397">
        <v>0</v>
      </c>
      <c r="I70" s="345">
        <f t="shared" si="0"/>
        <v>2200000</v>
      </c>
      <c r="J70" s="301">
        <f t="shared" si="7"/>
        <v>1.5876489307520381E-2</v>
      </c>
      <c r="K70" s="346">
        <f>+K19</f>
        <v>0.35</v>
      </c>
      <c r="L70" s="347">
        <f t="shared" si="8"/>
        <v>3384615.3846153845</v>
      </c>
    </row>
    <row r="71" spans="2:12" x14ac:dyDescent="0.25">
      <c r="B71" s="334" t="s">
        <v>247</v>
      </c>
      <c r="C71" s="417" t="str">
        <f>$C$35</f>
        <v>Prevencionista 100% tiempo efectivo</v>
      </c>
      <c r="D71" s="416" t="s">
        <v>242</v>
      </c>
      <c r="E71" s="298">
        <v>0</v>
      </c>
      <c r="F71" s="287">
        <f t="shared" si="6"/>
        <v>200000</v>
      </c>
      <c r="G71" s="345">
        <f t="shared" si="9"/>
        <v>0</v>
      </c>
      <c r="H71" s="397">
        <v>0</v>
      </c>
      <c r="I71" s="345">
        <f t="shared" si="0"/>
        <v>0</v>
      </c>
      <c r="J71" s="301">
        <f t="shared" si="7"/>
        <v>0</v>
      </c>
      <c r="K71" s="346">
        <f>+K19</f>
        <v>0.35</v>
      </c>
      <c r="L71" s="347">
        <f t="shared" si="8"/>
        <v>0</v>
      </c>
    </row>
    <row r="72" spans="2:12" x14ac:dyDescent="0.25">
      <c r="B72" s="334" t="s">
        <v>248</v>
      </c>
      <c r="C72" s="417" t="s">
        <v>225</v>
      </c>
      <c r="D72" s="416" t="s">
        <v>242</v>
      </c>
      <c r="E72" s="298"/>
      <c r="F72" s="287">
        <f t="shared" si="6"/>
        <v>200000</v>
      </c>
      <c r="G72" s="345">
        <f t="shared" si="9"/>
        <v>0</v>
      </c>
      <c r="H72" s="397">
        <v>0</v>
      </c>
      <c r="I72" s="345">
        <f t="shared" si="0"/>
        <v>0</v>
      </c>
      <c r="J72" s="301">
        <f t="shared" si="7"/>
        <v>0</v>
      </c>
      <c r="K72" s="346">
        <f>+K19</f>
        <v>0.35</v>
      </c>
      <c r="L72" s="347">
        <f t="shared" si="8"/>
        <v>0</v>
      </c>
    </row>
    <row r="73" spans="2:12" x14ac:dyDescent="0.25">
      <c r="B73" s="334" t="s">
        <v>249</v>
      </c>
      <c r="C73" s="417"/>
      <c r="D73" s="416" t="s">
        <v>242</v>
      </c>
      <c r="E73" s="298"/>
      <c r="F73" s="287">
        <f t="shared" si="6"/>
        <v>200000</v>
      </c>
      <c r="G73" s="345">
        <f t="shared" si="9"/>
        <v>0</v>
      </c>
      <c r="H73" s="397">
        <v>0</v>
      </c>
      <c r="I73" s="345">
        <f t="shared" si="0"/>
        <v>0</v>
      </c>
      <c r="J73" s="301">
        <f t="shared" si="7"/>
        <v>0</v>
      </c>
      <c r="K73" s="346">
        <f>+K19</f>
        <v>0.35</v>
      </c>
      <c r="L73" s="347">
        <f t="shared" si="8"/>
        <v>0</v>
      </c>
    </row>
    <row r="74" spans="2:12" x14ac:dyDescent="0.25">
      <c r="B74" s="334" t="s">
        <v>250</v>
      </c>
      <c r="C74" s="417" t="str">
        <f>"Viaje Subcontrato ("&amp;$E$46&amp;" personas)"</f>
        <v>Viaje Subcontrato (4 personas)</v>
      </c>
      <c r="D74" s="416" t="s">
        <v>242</v>
      </c>
      <c r="E74" s="298"/>
      <c r="F74" s="287">
        <f t="shared" si="6"/>
        <v>200000</v>
      </c>
      <c r="G74" s="345">
        <f t="shared" si="9"/>
        <v>0</v>
      </c>
      <c r="H74" s="397">
        <v>0</v>
      </c>
      <c r="I74" s="345">
        <f t="shared" si="0"/>
        <v>0</v>
      </c>
      <c r="J74" s="301">
        <f t="shared" si="7"/>
        <v>0</v>
      </c>
      <c r="K74" s="346">
        <f>+K19</f>
        <v>0.35</v>
      </c>
      <c r="L74" s="347">
        <f t="shared" si="8"/>
        <v>0</v>
      </c>
    </row>
    <row r="75" spans="2:12" ht="31.5" customHeight="1" x14ac:dyDescent="0.25">
      <c r="B75" s="334" t="s">
        <v>251</v>
      </c>
      <c r="C75" s="417" t="s">
        <v>252</v>
      </c>
      <c r="D75" s="416" t="s">
        <v>242</v>
      </c>
      <c r="E75" s="418"/>
      <c r="F75" s="287">
        <f t="shared" si="6"/>
        <v>200000</v>
      </c>
      <c r="G75" s="345">
        <f t="shared" si="9"/>
        <v>0</v>
      </c>
      <c r="H75" s="397">
        <v>0</v>
      </c>
      <c r="I75" s="345">
        <f t="shared" si="0"/>
        <v>0</v>
      </c>
      <c r="J75" s="301">
        <f t="shared" si="7"/>
        <v>0</v>
      </c>
      <c r="K75" s="346">
        <f>+K19</f>
        <v>0.35</v>
      </c>
      <c r="L75" s="347">
        <f t="shared" si="8"/>
        <v>0</v>
      </c>
    </row>
    <row r="76" spans="2:12" ht="15" thickBot="1" x14ac:dyDescent="0.3">
      <c r="B76" s="365"/>
      <c r="C76" s="419"/>
      <c r="D76" s="420"/>
      <c r="E76" s="421"/>
      <c r="F76" s="422"/>
      <c r="G76" s="422"/>
      <c r="H76" s="409"/>
      <c r="I76" s="380"/>
      <c r="J76" s="381"/>
      <c r="K76" s="382"/>
      <c r="L76" s="383"/>
    </row>
    <row r="77" spans="2:12" ht="29.25" thickBot="1" x14ac:dyDescent="0.3">
      <c r="B77" s="268">
        <v>5</v>
      </c>
      <c r="C77" s="269" t="s">
        <v>253</v>
      </c>
      <c r="D77" s="410">
        <f>SUM(J78:J86)</f>
        <v>0</v>
      </c>
      <c r="E77" s="423" t="s">
        <v>240</v>
      </c>
      <c r="F77" s="424">
        <v>0</v>
      </c>
      <c r="G77" s="425"/>
      <c r="H77" s="426"/>
      <c r="I77" s="389"/>
      <c r="J77" s="331"/>
      <c r="K77" s="332"/>
      <c r="L77" s="333"/>
    </row>
    <row r="78" spans="2:12" x14ac:dyDescent="0.25">
      <c r="B78" s="283" t="s">
        <v>254</v>
      </c>
      <c r="C78" s="284" t="s">
        <v>221</v>
      </c>
      <c r="D78" s="415" t="s">
        <v>242</v>
      </c>
      <c r="E78" s="336">
        <f>+$E$38</f>
        <v>52</v>
      </c>
      <c r="F78" s="287">
        <f t="shared" ref="F78:F86" si="10">$F$77*ROUNDUP($E$34/5,0)</f>
        <v>0</v>
      </c>
      <c r="G78" s="287">
        <f t="shared" ref="G78:G86" si="11">+F78*E78</f>
        <v>0</v>
      </c>
      <c r="H78" s="395">
        <v>0</v>
      </c>
      <c r="I78" s="287">
        <f t="shared" si="0"/>
        <v>0</v>
      </c>
      <c r="J78" s="288">
        <f t="shared" ref="J78:J86" si="12">I78/$I$139</f>
        <v>0</v>
      </c>
      <c r="K78" s="289">
        <f>+K19</f>
        <v>0.35</v>
      </c>
      <c r="L78" s="290">
        <f t="shared" ref="L78:L86" si="13">+I78/(1-K78)</f>
        <v>0</v>
      </c>
    </row>
    <row r="79" spans="2:12" x14ac:dyDescent="0.25">
      <c r="B79" s="334" t="s">
        <v>255</v>
      </c>
      <c r="C79" s="407" t="s">
        <v>222</v>
      </c>
      <c r="D79" s="416" t="s">
        <v>242</v>
      </c>
      <c r="E79" s="336">
        <f>+$E$38</f>
        <v>52</v>
      </c>
      <c r="F79" s="345">
        <f t="shared" si="10"/>
        <v>0</v>
      </c>
      <c r="G79" s="345">
        <f t="shared" si="11"/>
        <v>0</v>
      </c>
      <c r="H79" s="397">
        <v>0</v>
      </c>
      <c r="I79" s="345">
        <f t="shared" si="0"/>
        <v>0</v>
      </c>
      <c r="J79" s="301">
        <f t="shared" si="12"/>
        <v>0</v>
      </c>
      <c r="K79" s="346">
        <f>+K19</f>
        <v>0.35</v>
      </c>
      <c r="L79" s="347">
        <f t="shared" si="13"/>
        <v>0</v>
      </c>
    </row>
    <row r="80" spans="2:12" x14ac:dyDescent="0.25">
      <c r="B80" s="334" t="s">
        <v>256</v>
      </c>
      <c r="C80" s="407" t="s">
        <v>223</v>
      </c>
      <c r="D80" s="416" t="s">
        <v>242</v>
      </c>
      <c r="E80" s="336"/>
      <c r="F80" s="345">
        <f t="shared" si="10"/>
        <v>0</v>
      </c>
      <c r="G80" s="345">
        <f t="shared" si="11"/>
        <v>0</v>
      </c>
      <c r="H80" s="397">
        <v>0</v>
      </c>
      <c r="I80" s="345">
        <f t="shared" si="0"/>
        <v>0</v>
      </c>
      <c r="J80" s="301">
        <f t="shared" si="12"/>
        <v>0</v>
      </c>
      <c r="K80" s="346">
        <f>+K19</f>
        <v>0.35</v>
      </c>
      <c r="L80" s="347">
        <f t="shared" si="13"/>
        <v>0</v>
      </c>
    </row>
    <row r="81" spans="2:12" x14ac:dyDescent="0.25">
      <c r="B81" s="334" t="s">
        <v>257</v>
      </c>
      <c r="C81" s="417" t="s">
        <v>224</v>
      </c>
      <c r="D81" s="416" t="s">
        <v>242</v>
      </c>
      <c r="E81" s="298"/>
      <c r="F81" s="345">
        <f t="shared" si="10"/>
        <v>0</v>
      </c>
      <c r="G81" s="345">
        <f t="shared" si="11"/>
        <v>0</v>
      </c>
      <c r="H81" s="397">
        <v>0</v>
      </c>
      <c r="I81" s="345">
        <f t="shared" si="0"/>
        <v>0</v>
      </c>
      <c r="J81" s="301">
        <f t="shared" si="12"/>
        <v>0</v>
      </c>
      <c r="K81" s="346">
        <f>+K19</f>
        <v>0.35</v>
      </c>
      <c r="L81" s="347">
        <f t="shared" si="13"/>
        <v>0</v>
      </c>
    </row>
    <row r="82" spans="2:12" x14ac:dyDescent="0.25">
      <c r="B82" s="334" t="s">
        <v>258</v>
      </c>
      <c r="C82" s="417" t="str">
        <f>$C$34</f>
        <v>Supervisión 100% tiempo efectivo</v>
      </c>
      <c r="D82" s="416" t="s">
        <v>242</v>
      </c>
      <c r="E82" s="336">
        <f>+$E$38</f>
        <v>52</v>
      </c>
      <c r="F82" s="345">
        <f t="shared" si="10"/>
        <v>0</v>
      </c>
      <c r="G82" s="345">
        <f t="shared" si="11"/>
        <v>0</v>
      </c>
      <c r="H82" s="397">
        <v>0</v>
      </c>
      <c r="I82" s="345">
        <f t="shared" si="0"/>
        <v>0</v>
      </c>
      <c r="J82" s="301">
        <f t="shared" si="12"/>
        <v>0</v>
      </c>
      <c r="K82" s="346">
        <f>+K19</f>
        <v>0.35</v>
      </c>
      <c r="L82" s="347">
        <f t="shared" si="13"/>
        <v>0</v>
      </c>
    </row>
    <row r="83" spans="2:12" x14ac:dyDescent="0.25">
      <c r="B83" s="334" t="s">
        <v>259</v>
      </c>
      <c r="C83" s="417" t="str">
        <f>$C$35</f>
        <v>Prevencionista 100% tiempo efectivo</v>
      </c>
      <c r="D83" s="416" t="s">
        <v>242</v>
      </c>
      <c r="E83" s="336">
        <v>0</v>
      </c>
      <c r="F83" s="345">
        <f t="shared" si="10"/>
        <v>0</v>
      </c>
      <c r="G83" s="345">
        <f t="shared" si="11"/>
        <v>0</v>
      </c>
      <c r="H83" s="397">
        <v>0</v>
      </c>
      <c r="I83" s="345">
        <f t="shared" si="0"/>
        <v>0</v>
      </c>
      <c r="J83" s="301">
        <f t="shared" si="12"/>
        <v>0</v>
      </c>
      <c r="K83" s="346">
        <f>+K20</f>
        <v>0</v>
      </c>
      <c r="L83" s="347">
        <f t="shared" si="13"/>
        <v>0</v>
      </c>
    </row>
    <row r="84" spans="2:12" x14ac:dyDescent="0.25">
      <c r="B84" s="334" t="s">
        <v>260</v>
      </c>
      <c r="C84" s="417" t="s">
        <v>225</v>
      </c>
      <c r="D84" s="416" t="s">
        <v>242</v>
      </c>
      <c r="E84" s="298"/>
      <c r="F84" s="345">
        <f t="shared" si="10"/>
        <v>0</v>
      </c>
      <c r="G84" s="345">
        <f t="shared" si="11"/>
        <v>0</v>
      </c>
      <c r="H84" s="397">
        <v>0</v>
      </c>
      <c r="I84" s="345">
        <f t="shared" si="0"/>
        <v>0</v>
      </c>
      <c r="J84" s="301">
        <f t="shared" si="12"/>
        <v>0</v>
      </c>
      <c r="K84" s="346">
        <f>+K19</f>
        <v>0.35</v>
      </c>
      <c r="L84" s="347">
        <f t="shared" si="13"/>
        <v>0</v>
      </c>
    </row>
    <row r="85" spans="2:12" x14ac:dyDescent="0.25">
      <c r="B85" s="334" t="s">
        <v>261</v>
      </c>
      <c r="C85" s="417" t="s">
        <v>262</v>
      </c>
      <c r="D85" s="416" t="s">
        <v>242</v>
      </c>
      <c r="E85" s="298"/>
      <c r="F85" s="345">
        <f t="shared" si="10"/>
        <v>0</v>
      </c>
      <c r="G85" s="345">
        <f>E85*F85</f>
        <v>0</v>
      </c>
      <c r="H85" s="397">
        <v>0</v>
      </c>
      <c r="I85" s="345">
        <f t="shared" si="0"/>
        <v>0</v>
      </c>
      <c r="J85" s="301">
        <f t="shared" si="12"/>
        <v>0</v>
      </c>
      <c r="K85" s="346">
        <f>+K19</f>
        <v>0.35</v>
      </c>
      <c r="L85" s="347">
        <f t="shared" si="13"/>
        <v>0</v>
      </c>
    </row>
    <row r="86" spans="2:12" x14ac:dyDescent="0.25">
      <c r="B86" s="334" t="s">
        <v>263</v>
      </c>
      <c r="C86" s="417" t="str">
        <f>"Viaje Subcontrato ("&amp;$E$46&amp;" personas)"</f>
        <v>Viaje Subcontrato (4 personas)</v>
      </c>
      <c r="D86" s="416" t="s">
        <v>242</v>
      </c>
      <c r="E86" s="298"/>
      <c r="F86" s="345">
        <f t="shared" si="10"/>
        <v>0</v>
      </c>
      <c r="G86" s="345">
        <f t="shared" si="11"/>
        <v>0</v>
      </c>
      <c r="H86" s="397">
        <v>0</v>
      </c>
      <c r="I86" s="345">
        <f t="shared" si="0"/>
        <v>0</v>
      </c>
      <c r="J86" s="301">
        <f t="shared" si="12"/>
        <v>0</v>
      </c>
      <c r="K86" s="346">
        <f>+K19</f>
        <v>0.35</v>
      </c>
      <c r="L86" s="347">
        <f t="shared" si="13"/>
        <v>0</v>
      </c>
    </row>
    <row r="87" spans="2:12" ht="15" x14ac:dyDescent="0.25">
      <c r="B87" s="350" t="s">
        <v>264</v>
      </c>
      <c r="C87" s="427" t="s">
        <v>252</v>
      </c>
      <c r="D87" s="428" t="s">
        <v>242</v>
      </c>
      <c r="E87" s="429"/>
      <c r="F87" s="430"/>
      <c r="G87" s="431"/>
      <c r="H87" s="432"/>
      <c r="I87" s="430"/>
      <c r="J87" s="433"/>
      <c r="K87" s="434"/>
      <c r="L87" s="435"/>
    </row>
    <row r="88" spans="2:12" ht="15.75" thickBot="1" x14ac:dyDescent="0.3">
      <c r="B88" s="357"/>
      <c r="C88" s="436"/>
      <c r="D88" s="437"/>
      <c r="E88" s="438"/>
      <c r="F88" s="258"/>
      <c r="G88" s="439"/>
      <c r="H88" s="440"/>
      <c r="I88" s="441"/>
      <c r="J88" s="442"/>
      <c r="K88" s="443"/>
      <c r="L88" s="444"/>
    </row>
    <row r="89" spans="2:12" ht="29.25" thickBot="1" x14ac:dyDescent="0.3">
      <c r="B89" s="268">
        <v>6</v>
      </c>
      <c r="C89" s="269" t="s">
        <v>265</v>
      </c>
      <c r="D89" s="410">
        <f>SUM(J90:J100)</f>
        <v>5.3662533859418896E-2</v>
      </c>
      <c r="E89" s="423" t="s">
        <v>240</v>
      </c>
      <c r="F89" s="424">
        <v>28000</v>
      </c>
      <c r="G89" s="425"/>
      <c r="H89" s="426"/>
      <c r="I89" s="389"/>
      <c r="J89" s="331"/>
      <c r="K89" s="332"/>
      <c r="L89" s="333"/>
    </row>
    <row r="90" spans="2:12" x14ac:dyDescent="0.25">
      <c r="B90" s="283" t="s">
        <v>266</v>
      </c>
      <c r="C90" s="284" t="s">
        <v>267</v>
      </c>
      <c r="D90" s="445" t="s">
        <v>238</v>
      </c>
      <c r="E90" s="286">
        <f>+IF($F$65&gt;0,E34,0)</f>
        <v>52</v>
      </c>
      <c r="F90" s="287">
        <f>$F$89+3000</f>
        <v>31000</v>
      </c>
      <c r="G90" s="287">
        <f>+F90*E90</f>
        <v>1612000</v>
      </c>
      <c r="H90" s="395">
        <v>0</v>
      </c>
      <c r="I90" s="287">
        <f t="shared" si="0"/>
        <v>1612000</v>
      </c>
      <c r="J90" s="288">
        <f t="shared" ref="J90:J100" si="14">I90/$I$139</f>
        <v>1.1633136710783117E-2</v>
      </c>
      <c r="K90" s="289">
        <f>+K19</f>
        <v>0.35</v>
      </c>
      <c r="L90" s="290">
        <f t="shared" ref="L90:L100" si="15">+I90/(1-K90)</f>
        <v>2480000</v>
      </c>
    </row>
    <row r="91" spans="2:12" x14ac:dyDescent="0.25">
      <c r="B91" s="334" t="s">
        <v>268</v>
      </c>
      <c r="C91" s="407" t="s">
        <v>269</v>
      </c>
      <c r="D91" s="446" t="s">
        <v>238</v>
      </c>
      <c r="E91" s="286">
        <v>0</v>
      </c>
      <c r="F91" s="287">
        <f t="shared" ref="F91:F100" si="16">$F$89</f>
        <v>28000</v>
      </c>
      <c r="G91" s="345">
        <f>+F91*E91</f>
        <v>0</v>
      </c>
      <c r="H91" s="397">
        <v>0</v>
      </c>
      <c r="I91" s="345">
        <f t="shared" si="0"/>
        <v>0</v>
      </c>
      <c r="J91" s="301">
        <f t="shared" si="14"/>
        <v>0</v>
      </c>
      <c r="K91" s="346">
        <f>+K19</f>
        <v>0.35</v>
      </c>
      <c r="L91" s="347">
        <f t="shared" si="15"/>
        <v>0</v>
      </c>
    </row>
    <row r="92" spans="2:12" x14ac:dyDescent="0.25">
      <c r="B92" s="334" t="s">
        <v>270</v>
      </c>
      <c r="C92" s="407" t="s">
        <v>215</v>
      </c>
      <c r="D92" s="446" t="s">
        <v>238</v>
      </c>
      <c r="E92" s="418"/>
      <c r="F92" s="287">
        <f t="shared" si="16"/>
        <v>28000</v>
      </c>
      <c r="G92" s="345">
        <f>+F92*E92</f>
        <v>0</v>
      </c>
      <c r="H92" s="397">
        <v>0</v>
      </c>
      <c r="I92" s="345">
        <f t="shared" si="0"/>
        <v>0</v>
      </c>
      <c r="J92" s="301">
        <f t="shared" si="14"/>
        <v>0</v>
      </c>
      <c r="K92" s="346">
        <f>+K19</f>
        <v>0.35</v>
      </c>
      <c r="L92" s="347">
        <f t="shared" si="15"/>
        <v>0</v>
      </c>
    </row>
    <row r="93" spans="2:12" x14ac:dyDescent="0.25">
      <c r="B93" s="334" t="s">
        <v>271</v>
      </c>
      <c r="C93" s="417" t="s">
        <v>272</v>
      </c>
      <c r="D93" s="446" t="s">
        <v>238</v>
      </c>
      <c r="E93" s="286">
        <f>+IF($F$65&gt;0,E41*$C$17,0)</f>
        <v>104</v>
      </c>
      <c r="F93" s="287">
        <f t="shared" si="16"/>
        <v>28000</v>
      </c>
      <c r="G93" s="345">
        <f t="shared" ref="G93:G100" si="17">+F93*E93</f>
        <v>2912000</v>
      </c>
      <c r="H93" s="397">
        <v>0</v>
      </c>
      <c r="I93" s="345">
        <f t="shared" si="0"/>
        <v>2912000</v>
      </c>
      <c r="J93" s="301">
        <f t="shared" si="14"/>
        <v>2.1014698574317887E-2</v>
      </c>
      <c r="K93" s="346">
        <f>+K19</f>
        <v>0.35</v>
      </c>
      <c r="L93" s="347">
        <f t="shared" si="15"/>
        <v>4480000</v>
      </c>
    </row>
    <row r="94" spans="2:12" x14ac:dyDescent="0.25">
      <c r="B94" s="334" t="s">
        <v>273</v>
      </c>
      <c r="C94" s="417" t="s">
        <v>222</v>
      </c>
      <c r="D94" s="446" t="s">
        <v>238</v>
      </c>
      <c r="E94" s="286">
        <f>+IF($F$65&gt;0,E42*$C$17,0)</f>
        <v>104</v>
      </c>
      <c r="F94" s="287">
        <f t="shared" si="16"/>
        <v>28000</v>
      </c>
      <c r="G94" s="345">
        <f t="shared" si="17"/>
        <v>2912000</v>
      </c>
      <c r="H94" s="397">
        <v>0</v>
      </c>
      <c r="I94" s="345">
        <f t="shared" si="0"/>
        <v>2912000</v>
      </c>
      <c r="J94" s="301">
        <f t="shared" si="14"/>
        <v>2.1014698574317887E-2</v>
      </c>
      <c r="K94" s="346">
        <f>+K19</f>
        <v>0.35</v>
      </c>
      <c r="L94" s="347">
        <f t="shared" si="15"/>
        <v>4480000</v>
      </c>
    </row>
    <row r="95" spans="2:12" x14ac:dyDescent="0.25">
      <c r="B95" s="334" t="s">
        <v>274</v>
      </c>
      <c r="C95" s="417" t="s">
        <v>275</v>
      </c>
      <c r="D95" s="446" t="s">
        <v>238</v>
      </c>
      <c r="E95" s="286">
        <f>+IF($F$65&gt;0,E43*$C$17,0)</f>
        <v>0</v>
      </c>
      <c r="F95" s="287">
        <f t="shared" si="16"/>
        <v>28000</v>
      </c>
      <c r="G95" s="345">
        <f t="shared" si="17"/>
        <v>0</v>
      </c>
      <c r="H95" s="397">
        <v>0</v>
      </c>
      <c r="I95" s="345">
        <f t="shared" si="0"/>
        <v>0</v>
      </c>
      <c r="J95" s="301">
        <f t="shared" si="14"/>
        <v>0</v>
      </c>
      <c r="K95" s="346">
        <f>+K19</f>
        <v>0.35</v>
      </c>
      <c r="L95" s="347">
        <f t="shared" si="15"/>
        <v>0</v>
      </c>
    </row>
    <row r="96" spans="2:12" x14ac:dyDescent="0.25">
      <c r="B96" s="334" t="s">
        <v>276</v>
      </c>
      <c r="C96" s="417" t="s">
        <v>277</v>
      </c>
      <c r="D96" s="446" t="s">
        <v>238</v>
      </c>
      <c r="E96" s="447"/>
      <c r="F96" s="287">
        <f t="shared" si="16"/>
        <v>28000</v>
      </c>
      <c r="G96" s="345">
        <f t="shared" si="17"/>
        <v>0</v>
      </c>
      <c r="H96" s="397">
        <v>0</v>
      </c>
      <c r="I96" s="345">
        <f t="shared" si="0"/>
        <v>0</v>
      </c>
      <c r="J96" s="301">
        <f t="shared" si="14"/>
        <v>0</v>
      </c>
      <c r="K96" s="346">
        <f>+K19</f>
        <v>0.35</v>
      </c>
      <c r="L96" s="347">
        <f t="shared" si="15"/>
        <v>0</v>
      </c>
    </row>
    <row r="97" spans="2:19" x14ac:dyDescent="0.25">
      <c r="B97" s="334" t="s">
        <v>278</v>
      </c>
      <c r="C97" s="417" t="s">
        <v>279</v>
      </c>
      <c r="D97" s="446" t="s">
        <v>238</v>
      </c>
      <c r="E97" s="447"/>
      <c r="F97" s="287">
        <f t="shared" si="16"/>
        <v>28000</v>
      </c>
      <c r="G97" s="345">
        <f t="shared" si="17"/>
        <v>0</v>
      </c>
      <c r="H97" s="397">
        <v>0</v>
      </c>
      <c r="I97" s="345">
        <f t="shared" si="0"/>
        <v>0</v>
      </c>
      <c r="J97" s="301">
        <f t="shared" si="14"/>
        <v>0</v>
      </c>
      <c r="K97" s="346">
        <f>+K19</f>
        <v>0.35</v>
      </c>
      <c r="L97" s="347">
        <f t="shared" si="15"/>
        <v>0</v>
      </c>
    </row>
    <row r="98" spans="2:19" x14ac:dyDescent="0.25">
      <c r="B98" s="334" t="s">
        <v>280</v>
      </c>
      <c r="C98" s="417" t="s">
        <v>281</v>
      </c>
      <c r="D98" s="446" t="s">
        <v>238</v>
      </c>
      <c r="E98" s="447"/>
      <c r="F98" s="287">
        <f t="shared" si="16"/>
        <v>28000</v>
      </c>
      <c r="G98" s="345">
        <f t="shared" si="17"/>
        <v>0</v>
      </c>
      <c r="H98" s="397">
        <v>0</v>
      </c>
      <c r="I98" s="345">
        <f t="shared" si="0"/>
        <v>0</v>
      </c>
      <c r="J98" s="301">
        <f t="shared" si="14"/>
        <v>0</v>
      </c>
      <c r="K98" s="346">
        <f>+K19</f>
        <v>0.35</v>
      </c>
      <c r="L98" s="347">
        <f t="shared" si="15"/>
        <v>0</v>
      </c>
    </row>
    <row r="99" spans="2:19" x14ac:dyDescent="0.25">
      <c r="B99" s="334" t="s">
        <v>282</v>
      </c>
      <c r="C99" s="417" t="s">
        <v>283</v>
      </c>
      <c r="D99" s="446" t="s">
        <v>238</v>
      </c>
      <c r="E99" s="447"/>
      <c r="F99" s="287">
        <f t="shared" si="16"/>
        <v>28000</v>
      </c>
      <c r="G99" s="345">
        <f t="shared" si="17"/>
        <v>0</v>
      </c>
      <c r="H99" s="397">
        <v>0</v>
      </c>
      <c r="I99" s="345">
        <f t="shared" si="0"/>
        <v>0</v>
      </c>
      <c r="J99" s="301">
        <f t="shared" si="14"/>
        <v>0</v>
      </c>
      <c r="K99" s="346">
        <f>+K19</f>
        <v>0.35</v>
      </c>
      <c r="L99" s="347">
        <f t="shared" si="15"/>
        <v>0</v>
      </c>
    </row>
    <row r="100" spans="2:19" ht="15.75" customHeight="1" x14ac:dyDescent="0.25">
      <c r="B100" s="350" t="s">
        <v>284</v>
      </c>
      <c r="C100" s="427" t="s">
        <v>252</v>
      </c>
      <c r="D100" s="448" t="s">
        <v>238</v>
      </c>
      <c r="E100" s="449"/>
      <c r="F100" s="287">
        <f t="shared" si="16"/>
        <v>28000</v>
      </c>
      <c r="G100" s="352">
        <f t="shared" si="17"/>
        <v>0</v>
      </c>
      <c r="H100" s="450">
        <v>0</v>
      </c>
      <c r="I100" s="352">
        <f t="shared" si="0"/>
        <v>0</v>
      </c>
      <c r="J100" s="354">
        <f t="shared" si="14"/>
        <v>0</v>
      </c>
      <c r="K100" s="355">
        <f>+K19</f>
        <v>0.35</v>
      </c>
      <c r="L100" s="356">
        <f t="shared" si="15"/>
        <v>0</v>
      </c>
      <c r="M100" s="457"/>
      <c r="S100" s="458"/>
    </row>
    <row r="101" spans="2:19" ht="15" x14ac:dyDescent="0.25">
      <c r="B101" s="451"/>
      <c r="C101" s="452"/>
      <c r="D101" s="453"/>
      <c r="E101" s="319"/>
      <c r="F101" s="320"/>
      <c r="G101" s="454"/>
      <c r="H101" s="455"/>
      <c r="I101" s="363"/>
      <c r="J101" s="324"/>
      <c r="K101" s="456"/>
      <c r="L101" s="326"/>
      <c r="N101" s="203"/>
    </row>
    <row r="102" spans="2:19" ht="15" x14ac:dyDescent="0.25">
      <c r="B102" s="459">
        <v>7</v>
      </c>
      <c r="C102" s="460" t="s">
        <v>285</v>
      </c>
      <c r="D102" s="461">
        <f>SUM(J103:J107)</f>
        <v>3.0923071219420381E-2</v>
      </c>
      <c r="E102" s="462"/>
      <c r="F102" s="463"/>
      <c r="G102" s="464"/>
      <c r="H102" s="465"/>
      <c r="I102" s="466"/>
      <c r="J102" s="467"/>
      <c r="K102" s="468"/>
      <c r="L102" s="469"/>
      <c r="N102" s="203"/>
    </row>
    <row r="103" spans="2:19" x14ac:dyDescent="0.25">
      <c r="B103" s="334" t="s">
        <v>286</v>
      </c>
      <c r="C103" s="407" t="s">
        <v>287</v>
      </c>
      <c r="D103" s="446" t="s">
        <v>288</v>
      </c>
      <c r="E103" s="470">
        <v>1</v>
      </c>
      <c r="F103" s="393">
        <v>50000</v>
      </c>
      <c r="G103" s="394">
        <f>+F103*E103</f>
        <v>50000</v>
      </c>
      <c r="H103" s="395">
        <v>0</v>
      </c>
      <c r="I103" s="287">
        <f t="shared" si="0"/>
        <v>50000</v>
      </c>
      <c r="J103" s="288">
        <f>I103/$I$139</f>
        <v>3.6082930244364506E-4</v>
      </c>
      <c r="K103" s="289">
        <f>+K19</f>
        <v>0.35</v>
      </c>
      <c r="L103" s="290">
        <f>+I103/(1-K103)</f>
        <v>76923.076923076922</v>
      </c>
    </row>
    <row r="104" spans="2:19" x14ac:dyDescent="0.25">
      <c r="B104" s="334" t="s">
        <v>289</v>
      </c>
      <c r="C104" s="407" t="s">
        <v>290</v>
      </c>
      <c r="D104" s="446" t="s">
        <v>288</v>
      </c>
      <c r="E104" s="471">
        <v>0</v>
      </c>
      <c r="F104" s="299">
        <v>300000</v>
      </c>
      <c r="G104" s="299">
        <f>+F104*E104</f>
        <v>0</v>
      </c>
      <c r="H104" s="397">
        <v>0</v>
      </c>
      <c r="I104" s="345">
        <f t="shared" si="0"/>
        <v>0</v>
      </c>
      <c r="J104" s="301">
        <f>I104/$I$139</f>
        <v>0</v>
      </c>
      <c r="K104" s="346">
        <f>+K19</f>
        <v>0.35</v>
      </c>
      <c r="L104" s="347">
        <f>+I104/(1-K104)</f>
        <v>0</v>
      </c>
    </row>
    <row r="105" spans="2:19" x14ac:dyDescent="0.25">
      <c r="B105" s="334" t="s">
        <v>291</v>
      </c>
      <c r="C105" s="407" t="s">
        <v>292</v>
      </c>
      <c r="D105" s="446" t="s">
        <v>288</v>
      </c>
      <c r="E105" s="471">
        <v>0</v>
      </c>
      <c r="F105" s="299">
        <v>480000</v>
      </c>
      <c r="G105" s="299">
        <f>+F105*E105</f>
        <v>0</v>
      </c>
      <c r="H105" s="397">
        <v>0</v>
      </c>
      <c r="I105" s="345">
        <f t="shared" si="0"/>
        <v>0</v>
      </c>
      <c r="J105" s="301">
        <f>I105/$I$139</f>
        <v>0</v>
      </c>
      <c r="K105" s="346">
        <f>+K19</f>
        <v>0.35</v>
      </c>
      <c r="L105" s="347">
        <f>+I105/(1-K105)</f>
        <v>0</v>
      </c>
    </row>
    <row r="106" spans="2:19" x14ac:dyDescent="0.25">
      <c r="B106" s="334" t="s">
        <v>293</v>
      </c>
      <c r="C106" s="407" t="s">
        <v>294</v>
      </c>
      <c r="D106" s="446" t="s">
        <v>295</v>
      </c>
      <c r="E106" s="471">
        <f>E38</f>
        <v>52</v>
      </c>
      <c r="F106" s="299">
        <v>80000</v>
      </c>
      <c r="G106" s="299">
        <f>+F106*E106</f>
        <v>4160000</v>
      </c>
      <c r="H106" s="397">
        <v>0</v>
      </c>
      <c r="I106" s="345">
        <f t="shared" si="0"/>
        <v>4160000</v>
      </c>
      <c r="J106" s="301">
        <f>I106/$I$139</f>
        <v>3.0020997963311268E-2</v>
      </c>
      <c r="K106" s="346">
        <f>+K19</f>
        <v>0.35</v>
      </c>
      <c r="L106" s="347">
        <f>+I106/(1-K106)</f>
        <v>6400000</v>
      </c>
    </row>
    <row r="107" spans="2:19" ht="15.75" customHeight="1" x14ac:dyDescent="0.25">
      <c r="B107" s="350" t="s">
        <v>296</v>
      </c>
      <c r="C107" s="472" t="s">
        <v>297</v>
      </c>
      <c r="D107" s="448" t="s">
        <v>288</v>
      </c>
      <c r="E107" s="473">
        <v>1</v>
      </c>
      <c r="F107" s="310">
        <v>75000</v>
      </c>
      <c r="G107" s="310">
        <f>+F107*E107</f>
        <v>75000</v>
      </c>
      <c r="H107" s="450">
        <v>0</v>
      </c>
      <c r="I107" s="352">
        <f t="shared" si="0"/>
        <v>75000</v>
      </c>
      <c r="J107" s="354">
        <f>I107/$I$139</f>
        <v>5.4124395366546762E-4</v>
      </c>
      <c r="K107" s="355">
        <f>+K19</f>
        <v>0.35</v>
      </c>
      <c r="L107" s="356">
        <f>+I107/(1-K107)</f>
        <v>115384.61538461538</v>
      </c>
    </row>
    <row r="108" spans="2:19" ht="15" x14ac:dyDescent="0.25">
      <c r="B108" s="357"/>
      <c r="C108" s="256"/>
      <c r="D108" s="437"/>
      <c r="E108" s="362"/>
      <c r="F108" s="474"/>
      <c r="G108" s="475"/>
      <c r="H108" s="455"/>
      <c r="I108" s="363"/>
      <c r="J108" s="324"/>
      <c r="K108" s="325"/>
      <c r="L108" s="326"/>
    </row>
    <row r="109" spans="2:19" ht="15" x14ac:dyDescent="0.25">
      <c r="B109" s="268">
        <v>8</v>
      </c>
      <c r="C109" s="269" t="s">
        <v>298</v>
      </c>
      <c r="D109" s="327">
        <f>SUM(J110:J115)</f>
        <v>0</v>
      </c>
      <c r="E109" s="476"/>
      <c r="F109" s="463"/>
      <c r="G109" s="464"/>
      <c r="H109" s="465"/>
      <c r="I109" s="466"/>
      <c r="J109" s="467"/>
      <c r="K109" s="468"/>
      <c r="L109" s="469"/>
    </row>
    <row r="110" spans="2:19" x14ac:dyDescent="0.25">
      <c r="B110" s="283" t="s">
        <v>299</v>
      </c>
      <c r="C110" s="284" t="s">
        <v>300</v>
      </c>
      <c r="D110" s="477" t="s">
        <v>301</v>
      </c>
      <c r="E110" s="478">
        <f>+E25+E26</f>
        <v>0</v>
      </c>
      <c r="F110" s="394">
        <v>360</v>
      </c>
      <c r="G110" s="287">
        <f>+F110*E110</f>
        <v>0</v>
      </c>
      <c r="H110" s="395">
        <v>0</v>
      </c>
      <c r="I110" s="287">
        <f t="shared" si="0"/>
        <v>0</v>
      </c>
      <c r="J110" s="288">
        <f t="shared" ref="J110:J115" si="18">I110/$I$139</f>
        <v>0</v>
      </c>
      <c r="K110" s="289">
        <f>+K17</f>
        <v>0.35</v>
      </c>
      <c r="L110" s="290">
        <f t="shared" ref="L110:L115" si="19">+I110/(1-K110)</f>
        <v>0</v>
      </c>
    </row>
    <row r="111" spans="2:19" x14ac:dyDescent="0.25">
      <c r="B111" s="334" t="s">
        <v>302</v>
      </c>
      <c r="C111" s="479" t="s">
        <v>303</v>
      </c>
      <c r="D111" s="480" t="s">
        <v>304</v>
      </c>
      <c r="E111" s="471">
        <v>0</v>
      </c>
      <c r="F111" s="345">
        <v>1200000</v>
      </c>
      <c r="G111" s="345">
        <f>+F111*E111</f>
        <v>0</v>
      </c>
      <c r="H111" s="397">
        <v>0</v>
      </c>
      <c r="I111" s="345">
        <f t="shared" si="0"/>
        <v>0</v>
      </c>
      <c r="J111" s="301">
        <f t="shared" si="18"/>
        <v>0</v>
      </c>
      <c r="K111" s="346">
        <f>+K17</f>
        <v>0.35</v>
      </c>
      <c r="L111" s="347">
        <f t="shared" si="19"/>
        <v>0</v>
      </c>
    </row>
    <row r="112" spans="2:19" x14ac:dyDescent="0.25">
      <c r="B112" s="334" t="s">
        <v>305</v>
      </c>
      <c r="C112" s="479" t="s">
        <v>306</v>
      </c>
      <c r="D112" s="446" t="s">
        <v>307</v>
      </c>
      <c r="E112" s="471">
        <v>0</v>
      </c>
      <c r="F112" s="345">
        <f>(8*8)*38*500</f>
        <v>1216000</v>
      </c>
      <c r="G112" s="345">
        <f>+F112*E112</f>
        <v>0</v>
      </c>
      <c r="H112" s="397">
        <v>0</v>
      </c>
      <c r="I112" s="345">
        <f t="shared" si="0"/>
        <v>0</v>
      </c>
      <c r="J112" s="301">
        <f t="shared" si="18"/>
        <v>0</v>
      </c>
      <c r="K112" s="346">
        <f>+K17</f>
        <v>0.35</v>
      </c>
      <c r="L112" s="347">
        <f t="shared" si="19"/>
        <v>0</v>
      </c>
    </row>
    <row r="113" spans="2:13" x14ac:dyDescent="0.25">
      <c r="B113" s="334" t="s">
        <v>308</v>
      </c>
      <c r="C113" s="479" t="s">
        <v>309</v>
      </c>
      <c r="D113" s="480" t="s">
        <v>310</v>
      </c>
      <c r="E113" s="481">
        <v>0</v>
      </c>
      <c r="F113" s="345">
        <v>3000000</v>
      </c>
      <c r="G113" s="345">
        <f>+F113*E113</f>
        <v>0</v>
      </c>
      <c r="H113" s="397">
        <v>0</v>
      </c>
      <c r="I113" s="345">
        <f t="shared" si="0"/>
        <v>0</v>
      </c>
      <c r="J113" s="301">
        <f t="shared" si="18"/>
        <v>0</v>
      </c>
      <c r="K113" s="346">
        <f>+K17</f>
        <v>0.35</v>
      </c>
      <c r="L113" s="347">
        <f t="shared" si="19"/>
        <v>0</v>
      </c>
    </row>
    <row r="114" spans="2:13" x14ac:dyDescent="0.25">
      <c r="B114" s="334" t="s">
        <v>311</v>
      </c>
      <c r="C114" s="479" t="s">
        <v>312</v>
      </c>
      <c r="D114" s="446" t="s">
        <v>304</v>
      </c>
      <c r="E114" s="471">
        <v>0</v>
      </c>
      <c r="F114" s="345">
        <v>1000000</v>
      </c>
      <c r="G114" s="345">
        <f>+F114*E114</f>
        <v>0</v>
      </c>
      <c r="H114" s="397">
        <v>0</v>
      </c>
      <c r="I114" s="345">
        <f t="shared" si="0"/>
        <v>0</v>
      </c>
      <c r="J114" s="301">
        <f t="shared" si="18"/>
        <v>0</v>
      </c>
      <c r="K114" s="346">
        <f>+K17</f>
        <v>0.35</v>
      </c>
      <c r="L114" s="347">
        <f t="shared" si="19"/>
        <v>0</v>
      </c>
    </row>
    <row r="115" spans="2:13" ht="13.5" customHeight="1" x14ac:dyDescent="0.25">
      <c r="B115" s="350" t="s">
        <v>313</v>
      </c>
      <c r="C115" s="472" t="s">
        <v>314</v>
      </c>
      <c r="D115" s="482" t="s">
        <v>304</v>
      </c>
      <c r="E115" s="473"/>
      <c r="F115" s="483"/>
      <c r="G115" s="483"/>
      <c r="H115" s="450"/>
      <c r="I115" s="352">
        <f t="shared" si="0"/>
        <v>0</v>
      </c>
      <c r="J115" s="354">
        <f t="shared" si="18"/>
        <v>0</v>
      </c>
      <c r="K115" s="355">
        <f>+K17</f>
        <v>0.35</v>
      </c>
      <c r="L115" s="356">
        <f t="shared" si="19"/>
        <v>0</v>
      </c>
    </row>
    <row r="116" spans="2:13" ht="15" x14ac:dyDescent="0.25">
      <c r="B116" s="357"/>
      <c r="C116" s="256"/>
      <c r="D116" s="437"/>
      <c r="E116" s="319"/>
      <c r="F116" s="320"/>
      <c r="G116" s="484"/>
      <c r="H116" s="455"/>
      <c r="I116" s="363"/>
      <c r="J116" s="324"/>
      <c r="K116" s="485"/>
      <c r="L116" s="326"/>
      <c r="M116" s="457"/>
    </row>
    <row r="117" spans="2:13" ht="15" x14ac:dyDescent="0.25">
      <c r="B117" s="268">
        <v>9</v>
      </c>
      <c r="C117" s="269" t="s">
        <v>315</v>
      </c>
      <c r="D117" s="327">
        <f>SUM(J118:J122)</f>
        <v>0</v>
      </c>
      <c r="E117" s="486"/>
      <c r="F117" s="487"/>
      <c r="G117" s="464"/>
      <c r="H117" s="465"/>
      <c r="I117" s="466"/>
      <c r="J117" s="467"/>
      <c r="K117" s="468"/>
      <c r="L117" s="469"/>
    </row>
    <row r="118" spans="2:13" x14ac:dyDescent="0.25">
      <c r="B118" s="283" t="s">
        <v>316</v>
      </c>
      <c r="C118" s="284" t="s">
        <v>317</v>
      </c>
      <c r="D118" s="477" t="s">
        <v>318</v>
      </c>
      <c r="E118" s="488">
        <v>0</v>
      </c>
      <c r="F118" s="287">
        <v>250000</v>
      </c>
      <c r="G118" s="287">
        <f>+F118*E118</f>
        <v>0</v>
      </c>
      <c r="H118" s="395">
        <v>0</v>
      </c>
      <c r="I118" s="287">
        <f t="shared" ref="I118:I134" si="20">+(G118*H118)+G118</f>
        <v>0</v>
      </c>
      <c r="J118" s="288">
        <f t="shared" ref="J118:J134" si="21">I118/$I$139</f>
        <v>0</v>
      </c>
      <c r="K118" s="289">
        <f>+K19</f>
        <v>0.35</v>
      </c>
      <c r="L118" s="290">
        <f>+I118/(1-K118)</f>
        <v>0</v>
      </c>
    </row>
    <row r="119" spans="2:13" x14ac:dyDescent="0.25">
      <c r="B119" s="334" t="s">
        <v>319</v>
      </c>
      <c r="C119" s="479" t="s">
        <v>320</v>
      </c>
      <c r="D119" s="480" t="s">
        <v>318</v>
      </c>
      <c r="E119" s="481">
        <v>0</v>
      </c>
      <c r="F119" s="345">
        <v>132000</v>
      </c>
      <c r="G119" s="345">
        <f>+F119*E119</f>
        <v>0</v>
      </c>
      <c r="H119" s="397">
        <v>0</v>
      </c>
      <c r="I119" s="345">
        <f t="shared" si="20"/>
        <v>0</v>
      </c>
      <c r="J119" s="301">
        <f t="shared" si="21"/>
        <v>0</v>
      </c>
      <c r="K119" s="346">
        <f>+K19</f>
        <v>0.35</v>
      </c>
      <c r="L119" s="347">
        <f>+I119/(1-K119)</f>
        <v>0</v>
      </c>
    </row>
    <row r="120" spans="2:13" x14ac:dyDescent="0.25">
      <c r="B120" s="334" t="s">
        <v>321</v>
      </c>
      <c r="C120" s="489" t="s">
        <v>322</v>
      </c>
      <c r="D120" s="480" t="s">
        <v>318</v>
      </c>
      <c r="E120" s="481">
        <v>0</v>
      </c>
      <c r="F120" s="345">
        <v>132000</v>
      </c>
      <c r="G120" s="345">
        <f>+F120*E120</f>
        <v>0</v>
      </c>
      <c r="H120" s="397">
        <v>0</v>
      </c>
      <c r="I120" s="345">
        <f t="shared" si="20"/>
        <v>0</v>
      </c>
      <c r="J120" s="301">
        <f t="shared" si="21"/>
        <v>0</v>
      </c>
      <c r="K120" s="346">
        <f>+K19</f>
        <v>0.35</v>
      </c>
      <c r="L120" s="347">
        <f>+I120/(1-K120)</f>
        <v>0</v>
      </c>
    </row>
    <row r="121" spans="2:13" x14ac:dyDescent="0.25">
      <c r="B121" s="334" t="s">
        <v>323</v>
      </c>
      <c r="C121" s="489" t="s">
        <v>324</v>
      </c>
      <c r="D121" s="480" t="s">
        <v>318</v>
      </c>
      <c r="E121" s="481">
        <v>0</v>
      </c>
      <c r="F121" s="345">
        <v>156000</v>
      </c>
      <c r="G121" s="345">
        <f>+F121*E121</f>
        <v>0</v>
      </c>
      <c r="H121" s="397">
        <v>0</v>
      </c>
      <c r="I121" s="345">
        <f t="shared" si="20"/>
        <v>0</v>
      </c>
      <c r="J121" s="301">
        <f t="shared" si="21"/>
        <v>0</v>
      </c>
      <c r="K121" s="346">
        <f>+K19</f>
        <v>0.35</v>
      </c>
      <c r="L121" s="347">
        <f>+I121/(1-K121)</f>
        <v>0</v>
      </c>
    </row>
    <row r="122" spans="2:13" x14ac:dyDescent="0.25">
      <c r="B122" s="350" t="s">
        <v>325</v>
      </c>
      <c r="C122" s="472" t="s">
        <v>326</v>
      </c>
      <c r="D122" s="482" t="s">
        <v>318</v>
      </c>
      <c r="E122" s="490">
        <v>0</v>
      </c>
      <c r="F122" s="352">
        <v>150000</v>
      </c>
      <c r="G122" s="352">
        <f>+F122*E122</f>
        <v>0</v>
      </c>
      <c r="H122" s="450">
        <v>0</v>
      </c>
      <c r="I122" s="352">
        <f t="shared" si="20"/>
        <v>0</v>
      </c>
      <c r="J122" s="354">
        <f t="shared" si="21"/>
        <v>0</v>
      </c>
      <c r="K122" s="355">
        <f>+K19</f>
        <v>0.35</v>
      </c>
      <c r="L122" s="356">
        <f>+I122/(1-K122)</f>
        <v>0</v>
      </c>
    </row>
    <row r="123" spans="2:13" ht="15" x14ac:dyDescent="0.25">
      <c r="B123" s="317"/>
      <c r="C123" s="256"/>
      <c r="D123" s="491"/>
      <c r="E123" s="492"/>
      <c r="F123" s="320"/>
      <c r="G123" s="320"/>
      <c r="H123" s="455"/>
      <c r="I123" s="363"/>
      <c r="J123" s="324"/>
      <c r="K123" s="364"/>
      <c r="L123" s="326"/>
    </row>
    <row r="124" spans="2:13" ht="15" x14ac:dyDescent="0.25">
      <c r="B124" s="268">
        <v>10</v>
      </c>
      <c r="C124" s="269" t="s">
        <v>327</v>
      </c>
      <c r="D124" s="327">
        <f>SUM(J125:J134)</f>
        <v>1.0758486481659722E-2</v>
      </c>
      <c r="E124" s="493"/>
      <c r="F124" s="463"/>
      <c r="G124" s="463"/>
      <c r="H124" s="465"/>
      <c r="I124" s="466"/>
      <c r="J124" s="467"/>
      <c r="K124" s="494"/>
      <c r="L124" s="469"/>
    </row>
    <row r="125" spans="2:13" x14ac:dyDescent="0.25">
      <c r="B125" s="283" t="s">
        <v>328</v>
      </c>
      <c r="C125" s="284" t="s">
        <v>329</v>
      </c>
      <c r="D125" s="445" t="s">
        <v>330</v>
      </c>
      <c r="E125" s="478">
        <v>10</v>
      </c>
      <c r="F125" s="287">
        <v>1000</v>
      </c>
      <c r="G125" s="287">
        <f>+F125*E125</f>
        <v>10000</v>
      </c>
      <c r="H125" s="395">
        <v>0</v>
      </c>
      <c r="I125" s="287">
        <f t="shared" si="20"/>
        <v>10000</v>
      </c>
      <c r="J125" s="288">
        <f t="shared" si="21"/>
        <v>7.2165860488729015E-5</v>
      </c>
      <c r="K125" s="289">
        <f>+K19</f>
        <v>0.35</v>
      </c>
      <c r="L125" s="290">
        <f t="shared" ref="L125:L134" si="22">+I125/(1-K125)</f>
        <v>15384.615384615385</v>
      </c>
    </row>
    <row r="126" spans="2:13" x14ac:dyDescent="0.25">
      <c r="B126" s="334" t="s">
        <v>331</v>
      </c>
      <c r="C126" s="407" t="s">
        <v>332</v>
      </c>
      <c r="D126" s="446" t="s">
        <v>330</v>
      </c>
      <c r="E126" s="471">
        <v>5</v>
      </c>
      <c r="F126" s="345">
        <v>2000</v>
      </c>
      <c r="G126" s="345">
        <f t="shared" ref="G126:G132" si="23">+F126*E126</f>
        <v>10000</v>
      </c>
      <c r="H126" s="397">
        <v>0</v>
      </c>
      <c r="I126" s="345">
        <f t="shared" si="20"/>
        <v>10000</v>
      </c>
      <c r="J126" s="301">
        <f t="shared" si="21"/>
        <v>7.2165860488729015E-5</v>
      </c>
      <c r="K126" s="346">
        <f>+K19</f>
        <v>0.35</v>
      </c>
      <c r="L126" s="347">
        <f t="shared" si="22"/>
        <v>15384.615384615385</v>
      </c>
    </row>
    <row r="127" spans="2:13" x14ac:dyDescent="0.25">
      <c r="B127" s="334" t="s">
        <v>333</v>
      </c>
      <c r="C127" s="495" t="s">
        <v>334</v>
      </c>
      <c r="D127" s="446" t="s">
        <v>335</v>
      </c>
      <c r="E127" s="471">
        <f>+ROUNDUP(E38/5,0)</f>
        <v>11</v>
      </c>
      <c r="F127" s="345">
        <v>60000</v>
      </c>
      <c r="G127" s="345">
        <f t="shared" si="23"/>
        <v>660000</v>
      </c>
      <c r="H127" s="397">
        <v>0</v>
      </c>
      <c r="I127" s="345">
        <f t="shared" si="20"/>
        <v>660000</v>
      </c>
      <c r="J127" s="301">
        <f t="shared" si="21"/>
        <v>4.7629467922561146E-3</v>
      </c>
      <c r="K127" s="346">
        <f>+K19</f>
        <v>0.35</v>
      </c>
      <c r="L127" s="347">
        <f t="shared" si="22"/>
        <v>1015384.6153846154</v>
      </c>
    </row>
    <row r="128" spans="2:13" x14ac:dyDescent="0.25">
      <c r="B128" s="334" t="s">
        <v>336</v>
      </c>
      <c r="C128" s="495" t="s">
        <v>337</v>
      </c>
      <c r="D128" s="446" t="s">
        <v>330</v>
      </c>
      <c r="E128" s="471">
        <v>0</v>
      </c>
      <c r="F128" s="345">
        <v>90000</v>
      </c>
      <c r="G128" s="345">
        <f t="shared" si="23"/>
        <v>0</v>
      </c>
      <c r="H128" s="397">
        <v>0</v>
      </c>
      <c r="I128" s="345">
        <f t="shared" si="20"/>
        <v>0</v>
      </c>
      <c r="J128" s="301">
        <f t="shared" si="21"/>
        <v>0</v>
      </c>
      <c r="K128" s="346">
        <f>+K19</f>
        <v>0.35</v>
      </c>
      <c r="L128" s="347">
        <f t="shared" si="22"/>
        <v>0</v>
      </c>
    </row>
    <row r="129" spans="2:12" x14ac:dyDescent="0.25">
      <c r="B129" s="334" t="s">
        <v>338</v>
      </c>
      <c r="C129" s="496" t="s">
        <v>339</v>
      </c>
      <c r="D129" s="446" t="s">
        <v>330</v>
      </c>
      <c r="E129" s="471">
        <v>0</v>
      </c>
      <c r="F129" s="345">
        <v>400000</v>
      </c>
      <c r="G129" s="345">
        <f t="shared" si="23"/>
        <v>0</v>
      </c>
      <c r="H129" s="397">
        <v>0</v>
      </c>
      <c r="I129" s="345">
        <f t="shared" si="20"/>
        <v>0</v>
      </c>
      <c r="J129" s="301">
        <f t="shared" si="21"/>
        <v>0</v>
      </c>
      <c r="K129" s="346">
        <f>+K19</f>
        <v>0.35</v>
      </c>
      <c r="L129" s="347">
        <f t="shared" si="22"/>
        <v>0</v>
      </c>
    </row>
    <row r="130" spans="2:12" x14ac:dyDescent="0.25">
      <c r="B130" s="334" t="s">
        <v>340</v>
      </c>
      <c r="C130" s="495" t="s">
        <v>341</v>
      </c>
      <c r="D130" s="446" t="s">
        <v>330</v>
      </c>
      <c r="E130" s="471">
        <f>3*C17*E38/5</f>
        <v>62.4</v>
      </c>
      <c r="F130" s="345">
        <v>4500</v>
      </c>
      <c r="G130" s="345">
        <f t="shared" si="23"/>
        <v>280800</v>
      </c>
      <c r="H130" s="397">
        <v>0</v>
      </c>
      <c r="I130" s="345">
        <f t="shared" si="20"/>
        <v>280800</v>
      </c>
      <c r="J130" s="301">
        <f t="shared" si="21"/>
        <v>2.0264173625235108E-3</v>
      </c>
      <c r="K130" s="346">
        <f>+K19</f>
        <v>0.35</v>
      </c>
      <c r="L130" s="347">
        <f t="shared" si="22"/>
        <v>432000</v>
      </c>
    </row>
    <row r="131" spans="2:12" x14ac:dyDescent="0.25">
      <c r="B131" s="334" t="s">
        <v>342</v>
      </c>
      <c r="C131" s="495" t="s">
        <v>343</v>
      </c>
      <c r="D131" s="446" t="s">
        <v>344</v>
      </c>
      <c r="E131" s="497">
        <v>1</v>
      </c>
      <c r="F131" s="345">
        <v>80000</v>
      </c>
      <c r="G131" s="345">
        <f t="shared" si="23"/>
        <v>80000</v>
      </c>
      <c r="H131" s="397">
        <v>0</v>
      </c>
      <c r="I131" s="345">
        <f t="shared" si="20"/>
        <v>80000</v>
      </c>
      <c r="J131" s="301">
        <f t="shared" si="21"/>
        <v>5.7732688390983212E-4</v>
      </c>
      <c r="K131" s="346">
        <f>+K19</f>
        <v>0.35</v>
      </c>
      <c r="L131" s="347">
        <f t="shared" si="22"/>
        <v>123076.92307692308</v>
      </c>
    </row>
    <row r="132" spans="2:12" x14ac:dyDescent="0.25">
      <c r="B132" s="334" t="s">
        <v>345</v>
      </c>
      <c r="C132" s="495" t="s">
        <v>346</v>
      </c>
      <c r="D132" s="446" t="s">
        <v>330</v>
      </c>
      <c r="E132" s="471">
        <v>0</v>
      </c>
      <c r="F132" s="345">
        <v>60000</v>
      </c>
      <c r="G132" s="345">
        <f t="shared" si="23"/>
        <v>0</v>
      </c>
      <c r="H132" s="397">
        <v>0</v>
      </c>
      <c r="I132" s="345">
        <f t="shared" si="20"/>
        <v>0</v>
      </c>
      <c r="J132" s="301">
        <f t="shared" si="21"/>
        <v>0</v>
      </c>
      <c r="K132" s="346">
        <f>+K19</f>
        <v>0.35</v>
      </c>
      <c r="L132" s="347">
        <f t="shared" si="22"/>
        <v>0</v>
      </c>
    </row>
    <row r="133" spans="2:12" x14ac:dyDescent="0.25">
      <c r="B133" s="334" t="s">
        <v>347</v>
      </c>
      <c r="C133" s="407" t="s">
        <v>348</v>
      </c>
      <c r="D133" s="480" t="s">
        <v>330</v>
      </c>
      <c r="E133" s="481">
        <f>1+2*C17</f>
        <v>5</v>
      </c>
      <c r="F133" s="345">
        <v>40000</v>
      </c>
      <c r="G133" s="345">
        <f>+F133*E133</f>
        <v>200000</v>
      </c>
      <c r="H133" s="397">
        <v>0</v>
      </c>
      <c r="I133" s="345">
        <f t="shared" si="20"/>
        <v>200000</v>
      </c>
      <c r="J133" s="301">
        <f t="shared" si="21"/>
        <v>1.4433172097745803E-3</v>
      </c>
      <c r="K133" s="346">
        <f>+K19</f>
        <v>0.35</v>
      </c>
      <c r="L133" s="347">
        <f t="shared" si="22"/>
        <v>307692.30769230769</v>
      </c>
    </row>
    <row r="134" spans="2:12" x14ac:dyDescent="0.25">
      <c r="B134" s="350" t="s">
        <v>349</v>
      </c>
      <c r="C134" s="498" t="s">
        <v>557</v>
      </c>
      <c r="D134" s="482" t="s">
        <v>310</v>
      </c>
      <c r="E134" s="490">
        <v>1</v>
      </c>
      <c r="F134" s="954">
        <v>250000</v>
      </c>
      <c r="G134" s="352">
        <f>+F134*E134</f>
        <v>250000</v>
      </c>
      <c r="H134" s="450">
        <v>0</v>
      </c>
      <c r="I134" s="352">
        <f t="shared" si="20"/>
        <v>250000</v>
      </c>
      <c r="J134" s="354">
        <f t="shared" si="21"/>
        <v>1.8041465122182253E-3</v>
      </c>
      <c r="K134" s="355">
        <f>+K19</f>
        <v>0.35</v>
      </c>
      <c r="L134" s="356">
        <f t="shared" si="22"/>
        <v>384615.38461538462</v>
      </c>
    </row>
    <row r="135" spans="2:12" x14ac:dyDescent="0.25">
      <c r="B135" s="357"/>
      <c r="C135" s="499"/>
      <c r="D135" s="491"/>
      <c r="E135" s="492"/>
      <c r="F135" s="320"/>
      <c r="G135" s="321"/>
      <c r="H135" s="455"/>
      <c r="I135" s="363"/>
      <c r="J135" s="324"/>
      <c r="K135" s="364"/>
      <c r="L135" s="326"/>
    </row>
    <row r="136" spans="2:12" ht="15" x14ac:dyDescent="0.25">
      <c r="B136" s="268">
        <v>11</v>
      </c>
      <c r="C136" s="269" t="s">
        <v>350</v>
      </c>
      <c r="D136" s="327">
        <f>SUM(J137)</f>
        <v>1.0109984574525671E-2</v>
      </c>
      <c r="E136" s="476"/>
      <c r="F136" s="463"/>
      <c r="G136" s="464"/>
      <c r="H136" s="465"/>
      <c r="I136" s="466"/>
      <c r="J136" s="467"/>
      <c r="K136" s="494"/>
      <c r="L136" s="469"/>
    </row>
    <row r="137" spans="2:12" ht="15.75" thickBot="1" x14ac:dyDescent="0.3">
      <c r="B137" s="500" t="s">
        <v>351</v>
      </c>
      <c r="C137" s="501" t="s">
        <v>352</v>
      </c>
      <c r="D137" s="502" t="s">
        <v>353</v>
      </c>
      <c r="E137" s="503">
        <v>0.01</v>
      </c>
      <c r="F137" s="504"/>
      <c r="G137" s="505">
        <f>(SUM(G25:G134))*E137</f>
        <v>1334226</v>
      </c>
      <c r="H137" s="503">
        <v>0.05</v>
      </c>
      <c r="I137" s="505">
        <f>+(G137*H137)+G137</f>
        <v>1400937.3</v>
      </c>
      <c r="J137" s="506">
        <f>I137/$I$139</f>
        <v>1.0109984574525671E-2</v>
      </c>
      <c r="K137" s="507">
        <f>+K19</f>
        <v>0.35</v>
      </c>
      <c r="L137" s="508">
        <f>+I137/(1-K137)</f>
        <v>2155288.153846154</v>
      </c>
    </row>
    <row r="138" spans="2:12" ht="15.75" thickBot="1" x14ac:dyDescent="0.3">
      <c r="B138" s="509"/>
      <c r="C138" s="509"/>
      <c r="D138" s="510"/>
      <c r="E138" s="370"/>
      <c r="F138" s="511"/>
      <c r="G138" s="512"/>
      <c r="H138" s="512"/>
      <c r="I138" s="512"/>
      <c r="J138" s="513"/>
      <c r="K138" s="514"/>
      <c r="L138" s="515"/>
    </row>
    <row r="139" spans="2:12" ht="15.75" thickBot="1" x14ac:dyDescent="0.3">
      <c r="B139" s="509"/>
      <c r="C139" s="509"/>
      <c r="D139" s="510"/>
      <c r="E139" s="370"/>
      <c r="F139" s="511" t="s">
        <v>354</v>
      </c>
      <c r="G139" s="516">
        <f>SUM(G23:G137)</f>
        <v>134756826</v>
      </c>
      <c r="H139" s="512"/>
      <c r="I139" s="516">
        <f>SUM(I25:I137)</f>
        <v>138569677.30000001</v>
      </c>
      <c r="J139" s="517">
        <f>SUM(J23:J137)</f>
        <v>1</v>
      </c>
      <c r="K139" s="514"/>
      <c r="L139" s="518">
        <f>SUM(L23:L137)</f>
        <v>177122001.27601811</v>
      </c>
    </row>
    <row r="140" spans="2:12" ht="15.75" thickBot="1" x14ac:dyDescent="0.3">
      <c r="B140" s="509"/>
      <c r="C140" s="509"/>
      <c r="D140" s="510"/>
      <c r="E140" s="369"/>
      <c r="F140" s="511"/>
      <c r="G140" s="512"/>
      <c r="H140" s="512"/>
      <c r="I140" s="512"/>
      <c r="J140" s="513"/>
      <c r="K140" s="514"/>
      <c r="L140" s="519">
        <f>1-(I139/L139)</f>
        <v>0.2176597130694119</v>
      </c>
    </row>
    <row r="141" spans="2:12" x14ac:dyDescent="0.25">
      <c r="D141" s="458"/>
    </row>
    <row r="142" spans="2:12" x14ac:dyDescent="0.25">
      <c r="D142" s="458"/>
    </row>
    <row r="143" spans="2:12" ht="15" x14ac:dyDescent="0.25">
      <c r="B143" s="203" t="s">
        <v>355</v>
      </c>
      <c r="D143" s="458"/>
    </row>
    <row r="144" spans="2:12" x14ac:dyDescent="0.25">
      <c r="D144" s="458"/>
    </row>
    <row r="145" spans="4:4" x14ac:dyDescent="0.25">
      <c r="D145" s="458"/>
    </row>
    <row r="146" spans="4:4" x14ac:dyDescent="0.25">
      <c r="D146" s="458"/>
    </row>
    <row r="147" spans="4:4" x14ac:dyDescent="0.25">
      <c r="D147" s="458"/>
    </row>
    <row r="148" spans="4:4" x14ac:dyDescent="0.25">
      <c r="D148" s="458"/>
    </row>
    <row r="149" spans="4:4" x14ac:dyDescent="0.25">
      <c r="D149" s="458"/>
    </row>
    <row r="150" spans="4:4" x14ac:dyDescent="0.25">
      <c r="D150" s="458"/>
    </row>
    <row r="151" spans="4:4" x14ac:dyDescent="0.25">
      <c r="D151" s="458"/>
    </row>
    <row r="152" spans="4:4" x14ac:dyDescent="0.25">
      <c r="D152" s="458"/>
    </row>
    <row r="153" spans="4:4" x14ac:dyDescent="0.25">
      <c r="D153" s="458"/>
    </row>
    <row r="154" spans="4:4" x14ac:dyDescent="0.25">
      <c r="D154" s="458"/>
    </row>
    <row r="155" spans="4:4" x14ac:dyDescent="0.25">
      <c r="D155" s="458"/>
    </row>
    <row r="156" spans="4:4" x14ac:dyDescent="0.25">
      <c r="D156" s="458"/>
    </row>
    <row r="157" spans="4:4" x14ac:dyDescent="0.25">
      <c r="D157" s="458"/>
    </row>
    <row r="158" spans="4:4" x14ac:dyDescent="0.25">
      <c r="D158" s="458"/>
    </row>
    <row r="159" spans="4:4" x14ac:dyDescent="0.25">
      <c r="D159" s="458"/>
    </row>
    <row r="160" spans="4:4" x14ac:dyDescent="0.25">
      <c r="D160" s="458"/>
    </row>
    <row r="161" spans="4:4" x14ac:dyDescent="0.25">
      <c r="D161" s="458"/>
    </row>
    <row r="162" spans="4:4" x14ac:dyDescent="0.25">
      <c r="D162" s="458"/>
    </row>
    <row r="163" spans="4:4" x14ac:dyDescent="0.25">
      <c r="D163" s="458"/>
    </row>
    <row r="164" spans="4:4" x14ac:dyDescent="0.25">
      <c r="D164" s="458"/>
    </row>
    <row r="165" spans="4:4" x14ac:dyDescent="0.25">
      <c r="D165" s="458"/>
    </row>
    <row r="166" spans="4:4" x14ac:dyDescent="0.25">
      <c r="D166" s="458"/>
    </row>
    <row r="167" spans="4:4" x14ac:dyDescent="0.25">
      <c r="D167" s="458"/>
    </row>
    <row r="168" spans="4:4" x14ac:dyDescent="0.25">
      <c r="D168" s="458"/>
    </row>
    <row r="169" spans="4:4" x14ac:dyDescent="0.25">
      <c r="D169" s="458"/>
    </row>
    <row r="170" spans="4:4" x14ac:dyDescent="0.25">
      <c r="D170" s="458"/>
    </row>
    <row r="171" spans="4:4" x14ac:dyDescent="0.25">
      <c r="D171" s="458"/>
    </row>
    <row r="172" spans="4:4" x14ac:dyDescent="0.25">
      <c r="D172" s="458"/>
    </row>
    <row r="173" spans="4:4" x14ac:dyDescent="0.25">
      <c r="D173" s="458"/>
    </row>
    <row r="174" spans="4:4" x14ac:dyDescent="0.25">
      <c r="D174" s="458"/>
    </row>
    <row r="175" spans="4:4" x14ac:dyDescent="0.25">
      <c r="D175" s="458"/>
    </row>
    <row r="176" spans="4:4" x14ac:dyDescent="0.25">
      <c r="D176" s="458"/>
    </row>
    <row r="177" spans="4:4" x14ac:dyDescent="0.25">
      <c r="D177" s="458"/>
    </row>
    <row r="178" spans="4:4" x14ac:dyDescent="0.25">
      <c r="D178" s="458"/>
    </row>
    <row r="179" spans="4:4" x14ac:dyDescent="0.25">
      <c r="D179" s="458"/>
    </row>
    <row r="180" spans="4:4" x14ac:dyDescent="0.25">
      <c r="D180" s="458"/>
    </row>
    <row r="181" spans="4:4" x14ac:dyDescent="0.25">
      <c r="D181" s="458"/>
    </row>
    <row r="182" spans="4:4" x14ac:dyDescent="0.25">
      <c r="D182" s="458"/>
    </row>
    <row r="183" spans="4:4" x14ac:dyDescent="0.25">
      <c r="D183" s="458"/>
    </row>
    <row r="184" spans="4:4" x14ac:dyDescent="0.25">
      <c r="D184" s="458"/>
    </row>
    <row r="185" spans="4:4" x14ac:dyDescent="0.25">
      <c r="D185" s="458"/>
    </row>
    <row r="186" spans="4:4" x14ac:dyDescent="0.25">
      <c r="D186" s="458"/>
    </row>
    <row r="187" spans="4:4" x14ac:dyDescent="0.25">
      <c r="D187" s="458"/>
    </row>
    <row r="188" spans="4:4" x14ac:dyDescent="0.25">
      <c r="D188" s="458"/>
    </row>
    <row r="189" spans="4:4" x14ac:dyDescent="0.25">
      <c r="D189" s="458"/>
    </row>
    <row r="190" spans="4:4" x14ac:dyDescent="0.25">
      <c r="D190" s="458"/>
    </row>
    <row r="191" spans="4:4" x14ac:dyDescent="0.25">
      <c r="D191" s="458"/>
    </row>
    <row r="192" spans="4:4" x14ac:dyDescent="0.25">
      <c r="D192" s="458"/>
    </row>
    <row r="193" spans="4:4" x14ac:dyDescent="0.25">
      <c r="D193" s="458"/>
    </row>
    <row r="194" spans="4:4" x14ac:dyDescent="0.25">
      <c r="D194" s="458"/>
    </row>
    <row r="195" spans="4:4" x14ac:dyDescent="0.25">
      <c r="D195" s="458"/>
    </row>
    <row r="196" spans="4:4" x14ac:dyDescent="0.25">
      <c r="D196" s="458"/>
    </row>
    <row r="197" spans="4:4" x14ac:dyDescent="0.25">
      <c r="D197" s="458"/>
    </row>
    <row r="198" spans="4:4" x14ac:dyDescent="0.25">
      <c r="D198" s="458"/>
    </row>
    <row r="199" spans="4:4" x14ac:dyDescent="0.25">
      <c r="D199" s="458"/>
    </row>
    <row r="200" spans="4:4" x14ac:dyDescent="0.25">
      <c r="D200" s="458"/>
    </row>
    <row r="201" spans="4:4" x14ac:dyDescent="0.25">
      <c r="D201" s="458"/>
    </row>
    <row r="202" spans="4:4" x14ac:dyDescent="0.25">
      <c r="D202" s="458"/>
    </row>
    <row r="203" spans="4:4" x14ac:dyDescent="0.25">
      <c r="D203" s="458"/>
    </row>
    <row r="204" spans="4:4" x14ac:dyDescent="0.25">
      <c r="D204" s="458"/>
    </row>
    <row r="205" spans="4:4" x14ac:dyDescent="0.25">
      <c r="D205" s="458"/>
    </row>
    <row r="206" spans="4:4" x14ac:dyDescent="0.25">
      <c r="D206" s="458"/>
    </row>
    <row r="207" spans="4:4" x14ac:dyDescent="0.25">
      <c r="D207" s="458"/>
    </row>
    <row r="208" spans="4:4" x14ac:dyDescent="0.25">
      <c r="D208" s="458"/>
    </row>
    <row r="209" spans="4:4" x14ac:dyDescent="0.25">
      <c r="D209" s="458"/>
    </row>
    <row r="210" spans="4:4" x14ac:dyDescent="0.25">
      <c r="D210" s="458"/>
    </row>
    <row r="211" spans="4:4" x14ac:dyDescent="0.25">
      <c r="D211" s="458"/>
    </row>
    <row r="212" spans="4:4" x14ac:dyDescent="0.25">
      <c r="D212" s="458"/>
    </row>
    <row r="213" spans="4:4" x14ac:dyDescent="0.25">
      <c r="D213" s="458"/>
    </row>
    <row r="214" spans="4:4" x14ac:dyDescent="0.25">
      <c r="D214" s="458"/>
    </row>
    <row r="215" spans="4:4" x14ac:dyDescent="0.25">
      <c r="D215" s="458"/>
    </row>
    <row r="216" spans="4:4" x14ac:dyDescent="0.25">
      <c r="D216" s="458"/>
    </row>
    <row r="217" spans="4:4" x14ac:dyDescent="0.25">
      <c r="D217" s="458"/>
    </row>
    <row r="218" spans="4:4" x14ac:dyDescent="0.25">
      <c r="D218" s="458"/>
    </row>
    <row r="219" spans="4:4" x14ac:dyDescent="0.25">
      <c r="D219" s="458"/>
    </row>
    <row r="220" spans="4:4" x14ac:dyDescent="0.25">
      <c r="D220" s="458"/>
    </row>
    <row r="221" spans="4:4" x14ac:dyDescent="0.25">
      <c r="D221" s="458"/>
    </row>
    <row r="222" spans="4:4" x14ac:dyDescent="0.25">
      <c r="D222" s="458"/>
    </row>
    <row r="223" spans="4:4" x14ac:dyDescent="0.25">
      <c r="D223" s="458"/>
    </row>
    <row r="224" spans="4:4" x14ac:dyDescent="0.25">
      <c r="D224" s="458"/>
    </row>
    <row r="225" spans="4:4" x14ac:dyDescent="0.25">
      <c r="D225" s="458"/>
    </row>
    <row r="226" spans="4:4" x14ac:dyDescent="0.25">
      <c r="D226" s="458"/>
    </row>
    <row r="227" spans="4:4" x14ac:dyDescent="0.25">
      <c r="D227" s="458"/>
    </row>
    <row r="228" spans="4:4" x14ac:dyDescent="0.25">
      <c r="D228" s="458"/>
    </row>
    <row r="229" spans="4:4" x14ac:dyDescent="0.25">
      <c r="D229" s="458"/>
    </row>
    <row r="230" spans="4:4" x14ac:dyDescent="0.25">
      <c r="D230" s="458"/>
    </row>
    <row r="231" spans="4:4" x14ac:dyDescent="0.25">
      <c r="D231" s="458"/>
    </row>
    <row r="232" spans="4:4" x14ac:dyDescent="0.25">
      <c r="D232" s="458"/>
    </row>
  </sheetData>
  <mergeCells count="2">
    <mergeCell ref="C6:E6"/>
    <mergeCell ref="B41:B45"/>
  </mergeCells>
  <phoneticPr fontId="10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shapeId="9217" r:id="rId4">
          <objectPr defaultSize="0" autoPict="0" r:id="rId5">
            <anchor moveWithCells="1" sizeWithCells="1">
              <from>
                <xdr:col>6</xdr:col>
                <xdr:colOff>971550</xdr:colOff>
                <xdr:row>1</xdr:row>
                <xdr:rowOff>38100</xdr:rowOff>
              </from>
              <to>
                <xdr:col>11</xdr:col>
                <xdr:colOff>809625</xdr:colOff>
                <xdr:row>5</xdr:row>
                <xdr:rowOff>85725</xdr:rowOff>
              </to>
            </anchor>
          </objectPr>
        </oleObject>
      </mc:Choice>
      <mc:Fallback>
        <oleObject shapeId="9217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8100C-C906-4E36-9FF0-A462B92ED201}">
  <dimension ref="A3:H41"/>
  <sheetViews>
    <sheetView topLeftCell="A4" zoomScale="70" zoomScaleNormal="70" workbookViewId="0">
      <selection activeCell="A24" sqref="A24:H41"/>
    </sheetView>
  </sheetViews>
  <sheetFormatPr baseColWidth="10" defaultRowHeight="15" x14ac:dyDescent="0.25"/>
  <cols>
    <col min="1" max="1" width="27.28515625" customWidth="1"/>
    <col min="2" max="2" width="23.42578125" customWidth="1"/>
    <col min="3" max="3" width="15.42578125" customWidth="1"/>
    <col min="4" max="4" width="7.140625" customWidth="1"/>
    <col min="5" max="5" width="11" customWidth="1"/>
    <col min="6" max="6" width="15.28515625" customWidth="1"/>
    <col min="7" max="7" width="17.28515625" customWidth="1"/>
    <col min="8" max="8" width="16.7109375" customWidth="1"/>
  </cols>
  <sheetData>
    <row r="3" spans="1:7" x14ac:dyDescent="0.25">
      <c r="A3" s="946" t="s">
        <v>4</v>
      </c>
      <c r="B3" s="946" t="s">
        <v>5</v>
      </c>
      <c r="C3" s="946" t="s">
        <v>0</v>
      </c>
      <c r="D3" s="946" t="s">
        <v>553</v>
      </c>
      <c r="E3" s="946" t="s">
        <v>148</v>
      </c>
      <c r="F3" s="946" t="s">
        <v>3</v>
      </c>
      <c r="G3" t="s">
        <v>552</v>
      </c>
    </row>
    <row r="4" spans="1:7" x14ac:dyDescent="0.25">
      <c r="A4" t="s">
        <v>578</v>
      </c>
      <c r="B4" t="s">
        <v>576</v>
      </c>
      <c r="C4" t="s">
        <v>156</v>
      </c>
      <c r="D4">
        <v>333</v>
      </c>
      <c r="E4">
        <v>4</v>
      </c>
      <c r="F4" t="s">
        <v>529</v>
      </c>
      <c r="G4">
        <v>150.31999999999996</v>
      </c>
    </row>
    <row r="5" spans="1:7" x14ac:dyDescent="0.25">
      <c r="A5" t="s">
        <v>597</v>
      </c>
      <c r="B5" t="s">
        <v>627</v>
      </c>
      <c r="C5">
        <v>60</v>
      </c>
      <c r="D5">
        <v>1057</v>
      </c>
      <c r="E5">
        <v>3</v>
      </c>
      <c r="F5" t="s">
        <v>60</v>
      </c>
      <c r="G5">
        <v>1161.7348000000002</v>
      </c>
    </row>
    <row r="6" spans="1:7" x14ac:dyDescent="0.25">
      <c r="A6" t="s">
        <v>618</v>
      </c>
      <c r="B6" t="s">
        <v>408</v>
      </c>
      <c r="C6">
        <v>60</v>
      </c>
      <c r="D6" t="s">
        <v>408</v>
      </c>
      <c r="E6">
        <v>1</v>
      </c>
      <c r="F6" t="s">
        <v>60</v>
      </c>
      <c r="G6">
        <v>328.58099999999996</v>
      </c>
    </row>
    <row r="7" spans="1:7" x14ac:dyDescent="0.25">
      <c r="A7" t="s">
        <v>550</v>
      </c>
      <c r="B7" t="s">
        <v>576</v>
      </c>
      <c r="C7" t="s">
        <v>156</v>
      </c>
      <c r="D7">
        <v>333</v>
      </c>
      <c r="E7">
        <v>4</v>
      </c>
      <c r="F7" t="s">
        <v>529</v>
      </c>
      <c r="G7">
        <v>6.2</v>
      </c>
    </row>
    <row r="8" spans="1:7" x14ac:dyDescent="0.25">
      <c r="A8" t="s">
        <v>550</v>
      </c>
      <c r="B8" t="s">
        <v>622</v>
      </c>
      <c r="C8" t="s">
        <v>156</v>
      </c>
      <c r="D8">
        <v>200</v>
      </c>
      <c r="E8">
        <v>4</v>
      </c>
      <c r="F8" t="s">
        <v>529</v>
      </c>
      <c r="G8">
        <v>114.96000000000002</v>
      </c>
    </row>
    <row r="9" spans="1:7" x14ac:dyDescent="0.25">
      <c r="A9" t="s">
        <v>550</v>
      </c>
      <c r="B9" t="s">
        <v>581</v>
      </c>
      <c r="C9" t="s">
        <v>156</v>
      </c>
      <c r="D9">
        <v>333</v>
      </c>
      <c r="E9">
        <v>4</v>
      </c>
      <c r="F9" t="s">
        <v>529</v>
      </c>
      <c r="G9">
        <v>20.16</v>
      </c>
    </row>
    <row r="10" spans="1:7" x14ac:dyDescent="0.25">
      <c r="A10" t="s">
        <v>550</v>
      </c>
      <c r="B10" t="s">
        <v>600</v>
      </c>
      <c r="C10" t="s">
        <v>156</v>
      </c>
      <c r="D10">
        <v>250</v>
      </c>
      <c r="E10">
        <v>4</v>
      </c>
      <c r="F10" t="s">
        <v>529</v>
      </c>
      <c r="G10">
        <v>51.18</v>
      </c>
    </row>
    <row r="11" spans="1:7" x14ac:dyDescent="0.25">
      <c r="A11" t="s">
        <v>550</v>
      </c>
      <c r="B11" t="s">
        <v>621</v>
      </c>
      <c r="C11" t="s">
        <v>156</v>
      </c>
      <c r="D11">
        <v>236</v>
      </c>
      <c r="E11">
        <v>4</v>
      </c>
      <c r="F11" t="s">
        <v>529</v>
      </c>
      <c r="G11">
        <v>326.39999999999998</v>
      </c>
    </row>
    <row r="12" spans="1:7" x14ac:dyDescent="0.25">
      <c r="A12" t="s">
        <v>575</v>
      </c>
      <c r="B12" t="s">
        <v>576</v>
      </c>
      <c r="C12" t="s">
        <v>156</v>
      </c>
      <c r="D12">
        <v>333</v>
      </c>
      <c r="E12">
        <v>4</v>
      </c>
      <c r="F12" t="s">
        <v>529</v>
      </c>
      <c r="G12">
        <v>77.927999999999997</v>
      </c>
    </row>
    <row r="13" spans="1:7" x14ac:dyDescent="0.25">
      <c r="A13" t="s">
        <v>549</v>
      </c>
      <c r="B13" t="s">
        <v>586</v>
      </c>
      <c r="C13" t="s">
        <v>156</v>
      </c>
      <c r="D13">
        <v>250</v>
      </c>
      <c r="E13">
        <v>4</v>
      </c>
      <c r="F13" t="s">
        <v>529</v>
      </c>
      <c r="G13">
        <v>891</v>
      </c>
    </row>
    <row r="14" spans="1:7" x14ac:dyDescent="0.25">
      <c r="A14" t="s">
        <v>549</v>
      </c>
      <c r="B14" t="s">
        <v>576</v>
      </c>
      <c r="C14" t="s">
        <v>156</v>
      </c>
      <c r="D14">
        <v>333</v>
      </c>
      <c r="E14">
        <v>4</v>
      </c>
      <c r="F14" t="s">
        <v>529</v>
      </c>
      <c r="G14">
        <v>54.711999999999996</v>
      </c>
    </row>
    <row r="15" spans="1:7" x14ac:dyDescent="0.25">
      <c r="A15" t="s">
        <v>549</v>
      </c>
      <c r="B15" t="s">
        <v>581</v>
      </c>
      <c r="C15" t="s">
        <v>156</v>
      </c>
      <c r="D15">
        <v>333</v>
      </c>
      <c r="E15">
        <v>4</v>
      </c>
      <c r="F15" t="s">
        <v>529</v>
      </c>
      <c r="G15">
        <v>13.644</v>
      </c>
    </row>
    <row r="16" spans="1:7" x14ac:dyDescent="0.25">
      <c r="A16" t="s">
        <v>549</v>
      </c>
      <c r="B16" t="s">
        <v>600</v>
      </c>
      <c r="C16" t="s">
        <v>156</v>
      </c>
      <c r="D16">
        <v>250</v>
      </c>
      <c r="E16">
        <v>4</v>
      </c>
      <c r="F16" t="s">
        <v>529</v>
      </c>
      <c r="G16">
        <v>2.4</v>
      </c>
    </row>
    <row r="17" spans="1:8" x14ac:dyDescent="0.25">
      <c r="A17" t="s">
        <v>549</v>
      </c>
      <c r="B17" t="s">
        <v>609</v>
      </c>
      <c r="C17" t="s">
        <v>156</v>
      </c>
      <c r="D17">
        <v>236</v>
      </c>
      <c r="E17">
        <v>4</v>
      </c>
      <c r="F17" t="s">
        <v>529</v>
      </c>
      <c r="G17">
        <v>168.48</v>
      </c>
    </row>
    <row r="18" spans="1:8" x14ac:dyDescent="0.25">
      <c r="A18" t="s">
        <v>602</v>
      </c>
      <c r="B18" t="s">
        <v>626</v>
      </c>
      <c r="C18">
        <v>60</v>
      </c>
      <c r="D18">
        <v>265</v>
      </c>
      <c r="E18">
        <v>3</v>
      </c>
      <c r="F18" t="s">
        <v>60</v>
      </c>
      <c r="G18">
        <v>145.08730199999999</v>
      </c>
    </row>
    <row r="19" spans="1:8" x14ac:dyDescent="0.25">
      <c r="A19" t="s">
        <v>602</v>
      </c>
      <c r="B19" t="s">
        <v>624</v>
      </c>
      <c r="C19">
        <v>60</v>
      </c>
      <c r="D19">
        <v>233</v>
      </c>
      <c r="E19">
        <v>3</v>
      </c>
      <c r="F19" t="s">
        <v>60</v>
      </c>
      <c r="G19">
        <v>60.603300000000004</v>
      </c>
    </row>
    <row r="20" spans="1:8" x14ac:dyDescent="0.25">
      <c r="A20" t="s">
        <v>631</v>
      </c>
      <c r="B20" t="s">
        <v>631</v>
      </c>
      <c r="C20" t="s">
        <v>631</v>
      </c>
      <c r="D20" t="s">
        <v>631</v>
      </c>
      <c r="E20">
        <v>4</v>
      </c>
      <c r="F20" t="s">
        <v>631</v>
      </c>
      <c r="G20">
        <v>0</v>
      </c>
    </row>
    <row r="21" spans="1:8" x14ac:dyDescent="0.25">
      <c r="A21" t="s">
        <v>551</v>
      </c>
      <c r="G21">
        <v>3573.390402</v>
      </c>
    </row>
    <row r="23" spans="1:8" ht="15.75" thickBot="1" x14ac:dyDescent="0.3"/>
    <row r="24" spans="1:8" ht="30" customHeight="1" thickBot="1" x14ac:dyDescent="0.3">
      <c r="A24" s="950" t="s">
        <v>4</v>
      </c>
      <c r="B24" s="951" t="s">
        <v>5</v>
      </c>
      <c r="C24" s="951" t="s">
        <v>0</v>
      </c>
      <c r="D24" s="951" t="s">
        <v>553</v>
      </c>
      <c r="E24" s="951" t="s">
        <v>148</v>
      </c>
      <c r="F24" s="951" t="s">
        <v>3</v>
      </c>
      <c r="G24" s="1001" t="s">
        <v>540</v>
      </c>
      <c r="H24" s="1002" t="s">
        <v>554</v>
      </c>
    </row>
    <row r="25" spans="1:8" x14ac:dyDescent="0.25">
      <c r="A25" s="949" t="s">
        <v>578</v>
      </c>
      <c r="B25" s="53" t="s">
        <v>576</v>
      </c>
      <c r="C25" s="53" t="s">
        <v>156</v>
      </c>
      <c r="D25" s="53">
        <v>333</v>
      </c>
      <c r="E25" s="53">
        <v>4</v>
      </c>
      <c r="F25" s="53" t="s">
        <v>529</v>
      </c>
      <c r="G25" s="992">
        <v>150.31999999999996</v>
      </c>
      <c r="H25" s="995" t="s">
        <v>555</v>
      </c>
    </row>
    <row r="26" spans="1:8" x14ac:dyDescent="0.25">
      <c r="A26" s="948" t="s">
        <v>597</v>
      </c>
      <c r="B26" s="55" t="s">
        <v>627</v>
      </c>
      <c r="C26" s="55" t="s">
        <v>156</v>
      </c>
      <c r="D26" s="55">
        <v>1057</v>
      </c>
      <c r="E26" s="55">
        <v>3</v>
      </c>
      <c r="F26" s="55" t="s">
        <v>60</v>
      </c>
      <c r="G26" s="993">
        <v>1161.7348000000002</v>
      </c>
      <c r="H26" s="996" t="s">
        <v>555</v>
      </c>
    </row>
    <row r="27" spans="1:8" x14ac:dyDescent="0.25">
      <c r="A27" s="948" t="s">
        <v>618</v>
      </c>
      <c r="B27" s="55" t="s">
        <v>408</v>
      </c>
      <c r="C27" s="55" t="s">
        <v>156</v>
      </c>
      <c r="D27" s="55" t="s">
        <v>408</v>
      </c>
      <c r="E27" s="55">
        <v>1</v>
      </c>
      <c r="F27" s="55" t="s">
        <v>60</v>
      </c>
      <c r="G27" s="993">
        <v>328.58099999999996</v>
      </c>
      <c r="H27" s="996" t="s">
        <v>555</v>
      </c>
    </row>
    <row r="28" spans="1:8" x14ac:dyDescent="0.25">
      <c r="A28" s="948" t="s">
        <v>550</v>
      </c>
      <c r="B28" s="55" t="s">
        <v>576</v>
      </c>
      <c r="C28" s="55" t="s">
        <v>156</v>
      </c>
      <c r="D28" s="55">
        <v>333</v>
      </c>
      <c r="E28" s="55">
        <v>4</v>
      </c>
      <c r="F28" s="55" t="s">
        <v>529</v>
      </c>
      <c r="G28" s="993">
        <v>6.2</v>
      </c>
      <c r="H28" s="996" t="s">
        <v>555</v>
      </c>
    </row>
    <row r="29" spans="1:8" x14ac:dyDescent="0.25">
      <c r="A29" s="948" t="s">
        <v>550</v>
      </c>
      <c r="B29" s="55" t="s">
        <v>622</v>
      </c>
      <c r="C29" s="55" t="s">
        <v>156</v>
      </c>
      <c r="D29" s="55">
        <v>200</v>
      </c>
      <c r="E29" s="55">
        <v>4</v>
      </c>
      <c r="F29" s="55" t="s">
        <v>529</v>
      </c>
      <c r="G29" s="993">
        <v>114.96000000000002</v>
      </c>
      <c r="H29" s="996" t="s">
        <v>555</v>
      </c>
    </row>
    <row r="30" spans="1:8" x14ac:dyDescent="0.25">
      <c r="A30" s="948" t="s">
        <v>550</v>
      </c>
      <c r="B30" s="55" t="s">
        <v>581</v>
      </c>
      <c r="C30" s="55" t="s">
        <v>156</v>
      </c>
      <c r="D30" s="55">
        <v>333</v>
      </c>
      <c r="E30" s="55">
        <v>4</v>
      </c>
      <c r="F30" s="55" t="s">
        <v>529</v>
      </c>
      <c r="G30" s="993">
        <v>20.16</v>
      </c>
      <c r="H30" s="996" t="s">
        <v>555</v>
      </c>
    </row>
    <row r="31" spans="1:8" x14ac:dyDescent="0.25">
      <c r="A31" s="948" t="s">
        <v>550</v>
      </c>
      <c r="B31" s="55" t="s">
        <v>600</v>
      </c>
      <c r="C31" s="55" t="s">
        <v>156</v>
      </c>
      <c r="D31" s="55">
        <v>250</v>
      </c>
      <c r="E31" s="55">
        <v>4</v>
      </c>
      <c r="F31" s="55" t="s">
        <v>529</v>
      </c>
      <c r="G31" s="993">
        <v>51.18</v>
      </c>
      <c r="H31" s="996" t="s">
        <v>555</v>
      </c>
    </row>
    <row r="32" spans="1:8" x14ac:dyDescent="0.25">
      <c r="A32" s="948" t="s">
        <v>550</v>
      </c>
      <c r="B32" s="55" t="s">
        <v>621</v>
      </c>
      <c r="C32" s="55" t="s">
        <v>156</v>
      </c>
      <c r="D32" s="55">
        <v>236</v>
      </c>
      <c r="E32" s="55">
        <v>4</v>
      </c>
      <c r="F32" s="55" t="s">
        <v>529</v>
      </c>
      <c r="G32" s="993">
        <v>326.39999999999998</v>
      </c>
      <c r="H32" s="996" t="s">
        <v>555</v>
      </c>
    </row>
    <row r="33" spans="1:8" x14ac:dyDescent="0.25">
      <c r="A33" s="948" t="s">
        <v>575</v>
      </c>
      <c r="B33" s="55" t="s">
        <v>576</v>
      </c>
      <c r="C33" s="55" t="s">
        <v>156</v>
      </c>
      <c r="D33" s="55">
        <v>333</v>
      </c>
      <c r="E33" s="55">
        <v>4</v>
      </c>
      <c r="F33" s="55" t="s">
        <v>529</v>
      </c>
      <c r="G33" s="993">
        <v>77.927999999999997</v>
      </c>
      <c r="H33" s="996" t="s">
        <v>555</v>
      </c>
    </row>
    <row r="34" spans="1:8" x14ac:dyDescent="0.25">
      <c r="A34" s="948" t="s">
        <v>549</v>
      </c>
      <c r="B34" s="55" t="s">
        <v>586</v>
      </c>
      <c r="C34" s="55" t="s">
        <v>156</v>
      </c>
      <c r="D34" s="55">
        <v>250</v>
      </c>
      <c r="E34" s="55">
        <v>4</v>
      </c>
      <c r="F34" s="55" t="s">
        <v>529</v>
      </c>
      <c r="G34" s="993">
        <v>891</v>
      </c>
      <c r="H34" s="996" t="s">
        <v>555</v>
      </c>
    </row>
    <row r="35" spans="1:8" x14ac:dyDescent="0.25">
      <c r="A35" s="948" t="s">
        <v>549</v>
      </c>
      <c r="B35" s="55" t="s">
        <v>576</v>
      </c>
      <c r="C35" s="55" t="s">
        <v>156</v>
      </c>
      <c r="D35" s="55">
        <v>333</v>
      </c>
      <c r="E35" s="55">
        <v>4</v>
      </c>
      <c r="F35" s="55" t="s">
        <v>529</v>
      </c>
      <c r="G35" s="993">
        <v>54.711999999999996</v>
      </c>
      <c r="H35" s="996" t="s">
        <v>555</v>
      </c>
    </row>
    <row r="36" spans="1:8" x14ac:dyDescent="0.25">
      <c r="A36" s="948" t="s">
        <v>549</v>
      </c>
      <c r="B36" s="55" t="s">
        <v>581</v>
      </c>
      <c r="C36" s="55" t="s">
        <v>156</v>
      </c>
      <c r="D36" s="55">
        <v>333</v>
      </c>
      <c r="E36" s="55">
        <v>4</v>
      </c>
      <c r="F36" s="55" t="s">
        <v>529</v>
      </c>
      <c r="G36" s="993">
        <v>13.644</v>
      </c>
      <c r="H36" s="996" t="s">
        <v>555</v>
      </c>
    </row>
    <row r="37" spans="1:8" x14ac:dyDescent="0.25">
      <c r="A37" s="948" t="s">
        <v>549</v>
      </c>
      <c r="B37" s="55" t="s">
        <v>600</v>
      </c>
      <c r="C37" s="55" t="s">
        <v>156</v>
      </c>
      <c r="D37" s="55">
        <v>250</v>
      </c>
      <c r="E37" s="55">
        <v>4</v>
      </c>
      <c r="F37" s="55" t="s">
        <v>529</v>
      </c>
      <c r="G37" s="993">
        <v>2.4</v>
      </c>
      <c r="H37" s="996" t="s">
        <v>555</v>
      </c>
    </row>
    <row r="38" spans="1:8" x14ac:dyDescent="0.25">
      <c r="A38" s="948" t="s">
        <v>549</v>
      </c>
      <c r="B38" s="55" t="s">
        <v>609</v>
      </c>
      <c r="C38" s="55" t="s">
        <v>156</v>
      </c>
      <c r="D38" s="55">
        <v>236</v>
      </c>
      <c r="E38" s="55">
        <v>4</v>
      </c>
      <c r="F38" s="55" t="s">
        <v>529</v>
      </c>
      <c r="G38" s="993">
        <v>168.48</v>
      </c>
      <c r="H38" s="996" t="s">
        <v>555</v>
      </c>
    </row>
    <row r="39" spans="1:8" x14ac:dyDescent="0.25">
      <c r="A39" s="948" t="s">
        <v>602</v>
      </c>
      <c r="B39" s="55" t="s">
        <v>626</v>
      </c>
      <c r="C39" s="55" t="s">
        <v>156</v>
      </c>
      <c r="D39" s="55">
        <v>265</v>
      </c>
      <c r="E39" s="55">
        <v>3</v>
      </c>
      <c r="F39" s="55" t="s">
        <v>60</v>
      </c>
      <c r="G39" s="993">
        <v>145.08730199999999</v>
      </c>
      <c r="H39" s="996" t="s">
        <v>555</v>
      </c>
    </row>
    <row r="40" spans="1:8" ht="15.75" thickBot="1" x14ac:dyDescent="0.3">
      <c r="A40" s="991" t="s">
        <v>602</v>
      </c>
      <c r="B40" s="990" t="s">
        <v>624</v>
      </c>
      <c r="C40" s="990" t="s">
        <v>156</v>
      </c>
      <c r="D40" s="990">
        <v>233</v>
      </c>
      <c r="E40" s="990">
        <v>3</v>
      </c>
      <c r="F40" s="990" t="s">
        <v>60</v>
      </c>
      <c r="G40" s="994">
        <v>60.603300000000004</v>
      </c>
      <c r="H40" s="997" t="s">
        <v>555</v>
      </c>
    </row>
    <row r="41" spans="1:8" ht="16.5" thickTop="1" thickBot="1" x14ac:dyDescent="0.3">
      <c r="A41" s="998" t="s">
        <v>551</v>
      </c>
      <c r="B41" s="999"/>
      <c r="C41" s="999"/>
      <c r="D41" s="999"/>
      <c r="E41" s="999"/>
      <c r="F41" s="999"/>
      <c r="G41" s="1000">
        <v>3573.390402</v>
      </c>
      <c r="H41" s="57"/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O1048576"/>
  <sheetViews>
    <sheetView showGridLines="0" tabSelected="1" zoomScale="55" zoomScaleNormal="55" workbookViewId="0">
      <pane ySplit="8" topLeftCell="A9" activePane="bottomLeft" state="frozen"/>
      <selection activeCell="D1" sqref="D1"/>
      <selection pane="bottomLeft" activeCell="A43" sqref="A43:A45"/>
    </sheetView>
  </sheetViews>
  <sheetFormatPr baseColWidth="10" defaultColWidth="9.140625" defaultRowHeight="15.75" x14ac:dyDescent="0.25"/>
  <cols>
    <col min="1" max="1" width="46.7109375" style="154" customWidth="1"/>
    <col min="2" max="2" width="35" style="861" customWidth="1"/>
    <col min="3" max="3" width="25.42578125" style="146" customWidth="1"/>
    <col min="4" max="4" width="21.7109375" style="146" bestFit="1" customWidth="1"/>
    <col min="5" max="5" width="28.7109375" style="146" customWidth="1"/>
    <col min="6" max="6" width="13.140625" style="146" bestFit="1" customWidth="1"/>
    <col min="7" max="7" width="10.7109375" style="146" bestFit="1" customWidth="1"/>
    <col min="8" max="8" width="16.7109375" style="146" customWidth="1"/>
    <col min="9" max="9" width="12.140625" style="158" customWidth="1"/>
    <col min="10" max="10" width="16.28515625" style="159" customWidth="1"/>
    <col min="11" max="11" width="20.7109375" style="146" customWidth="1"/>
    <col min="12" max="12" width="17.140625" style="146" customWidth="1"/>
    <col min="13" max="13" width="17.7109375" style="145" customWidth="1"/>
    <col min="14" max="14" width="14.140625" style="145" customWidth="1"/>
    <col min="15" max="16" width="16.42578125" style="146" customWidth="1"/>
    <col min="17" max="17" width="13.7109375" style="146" customWidth="1"/>
    <col min="18" max="18" width="15.28515625" style="146" customWidth="1"/>
    <col min="19" max="19" width="16.140625" style="146" customWidth="1"/>
    <col min="20" max="20" width="16" style="146" customWidth="1"/>
    <col min="21" max="21" width="16.5703125" style="146" customWidth="1"/>
    <col min="22" max="22" width="28.7109375" style="146" customWidth="1"/>
    <col min="23" max="23" width="3.85546875" style="146" customWidth="1"/>
    <col min="24" max="16384" width="9.140625" style="146"/>
  </cols>
  <sheetData>
    <row r="1" spans="1:41" ht="15.75" customHeight="1" thickBot="1" x14ac:dyDescent="0.3">
      <c r="A1" s="141"/>
      <c r="B1" s="858"/>
      <c r="C1" s="908"/>
      <c r="D1" s="142"/>
      <c r="E1" s="1003"/>
      <c r="F1" s="1003"/>
      <c r="G1" s="143"/>
      <c r="H1" s="1003"/>
      <c r="I1" s="1003"/>
      <c r="J1" s="144"/>
      <c r="K1" s="1003"/>
      <c r="L1" s="1003"/>
      <c r="P1" s="147" t="s">
        <v>135</v>
      </c>
      <c r="Q1" s="148" t="s">
        <v>11</v>
      </c>
      <c r="R1" s="149" t="s">
        <v>136</v>
      </c>
      <c r="T1" s="147" t="s">
        <v>135</v>
      </c>
      <c r="U1" s="148" t="s">
        <v>11</v>
      </c>
      <c r="V1" s="149" t="s">
        <v>137</v>
      </c>
    </row>
    <row r="2" spans="1:41" x14ac:dyDescent="0.25">
      <c r="A2" s="143"/>
      <c r="B2" s="859"/>
      <c r="C2" s="143"/>
      <c r="D2" s="143"/>
      <c r="E2" s="143"/>
      <c r="F2" s="143"/>
      <c r="G2" s="143"/>
      <c r="H2" s="143"/>
      <c r="I2" s="143"/>
      <c r="J2" s="144"/>
      <c r="K2" s="143"/>
      <c r="L2" s="143"/>
      <c r="P2" s="857" t="s">
        <v>60</v>
      </c>
      <c r="Q2" s="164">
        <f>+SUMIF($O$9:$O$1620,P2,$N$9:$N$1620)</f>
        <v>1696.006402</v>
      </c>
      <c r="R2" s="165">
        <f>+ROUNDUP(SUMIF($O$9:$O$1620,P2,$U$9:$U$1620),0)</f>
        <v>823</v>
      </c>
      <c r="T2" s="152" t="s">
        <v>138</v>
      </c>
      <c r="U2" s="833">
        <f>(SUMIF($O$9:$O$1620,T2,$N$9:$N$1620))</f>
        <v>0</v>
      </c>
      <c r="V2" s="834">
        <f>ROUNDUP(SUMIF($O$9:$O$1620,T2,$S$9:$S$1620),0)</f>
        <v>0</v>
      </c>
    </row>
    <row r="3" spans="1:41" x14ac:dyDescent="0.2">
      <c r="A3" s="143"/>
      <c r="B3" s="859"/>
      <c r="C3" s="143"/>
      <c r="D3" s="143"/>
      <c r="E3" s="143"/>
      <c r="F3" s="143"/>
      <c r="G3" s="143"/>
      <c r="H3" s="143"/>
      <c r="I3" s="150"/>
      <c r="J3" s="144"/>
      <c r="K3" s="151"/>
      <c r="L3" s="143"/>
      <c r="P3" s="835" t="s">
        <v>62</v>
      </c>
      <c r="Q3" s="164">
        <f>+SUMIF($O$9:$O$1620,P3,$N$9:$N$1620)</f>
        <v>0</v>
      </c>
      <c r="R3" s="165">
        <f>+ROUNDUP(SUMIF($O$9:$O$1620,P3,$U$9:$U$1620),0)</f>
        <v>0</v>
      </c>
      <c r="T3" s="152" t="s">
        <v>530</v>
      </c>
      <c r="U3" s="164">
        <f>(SUMIF($O$9:$O$1620,T3,$N$9:$N$1620))</f>
        <v>0</v>
      </c>
      <c r="V3" s="165">
        <f>ROUNDUP(SUMIF($O$9:$O$1620,T3,$S$9:$S$1620),0)</f>
        <v>0</v>
      </c>
    </row>
    <row r="4" spans="1:41" ht="16.5" thickBot="1" x14ac:dyDescent="0.3">
      <c r="A4" s="143"/>
      <c r="B4" s="859"/>
      <c r="C4" s="143"/>
      <c r="D4" s="143"/>
      <c r="E4" s="143"/>
      <c r="F4" s="143"/>
      <c r="G4" s="143"/>
      <c r="H4" s="143"/>
      <c r="I4" s="150"/>
      <c r="J4" s="144"/>
      <c r="K4" s="153"/>
      <c r="L4" s="143"/>
      <c r="P4" s="836" t="s">
        <v>61</v>
      </c>
      <c r="Q4" s="837">
        <f>+SUMIF($O$9:$O$1620,P4,$N$9:$N$1620)</f>
        <v>0</v>
      </c>
      <c r="R4" s="838">
        <f>+ROUNDUP(SUMIF($O$9:$O$1620,P4,$U$9:$U$1620),0)</f>
        <v>0</v>
      </c>
      <c r="T4" s="152" t="s">
        <v>529</v>
      </c>
      <c r="U4" s="164">
        <f>(SUMIF($O$9:$O$1620,T4,$N$9:$N$1620))</f>
        <v>1877.384</v>
      </c>
      <c r="V4" s="165">
        <f>ROUNDUP(SUMIF($O$9:$O$1620,T4,$S$9:$S$1620),0)</f>
        <v>496</v>
      </c>
    </row>
    <row r="5" spans="1:41" ht="16.5" thickBot="1" x14ac:dyDescent="0.3">
      <c r="D5" s="143"/>
      <c r="E5" s="143"/>
      <c r="F5" s="143"/>
      <c r="G5" s="143"/>
      <c r="H5" s="143"/>
      <c r="I5" s="150"/>
      <c r="J5" s="144"/>
      <c r="K5" s="153"/>
      <c r="L5" s="143"/>
      <c r="M5" s="155"/>
      <c r="N5" s="155"/>
      <c r="O5" s="155"/>
      <c r="P5" s="155"/>
      <c r="Q5" s="155"/>
      <c r="T5" s="840" t="s">
        <v>528</v>
      </c>
      <c r="U5" s="837">
        <f>(SUMIF($O$9:$O$1620,T5,$N$9:$N$1620))</f>
        <v>0</v>
      </c>
      <c r="V5" s="838">
        <f>ROUNDUP(SUMIF($O$9:$O$1620,T5,$S$9:$S$1620),0)</f>
        <v>0</v>
      </c>
    </row>
    <row r="6" spans="1:41" ht="16.5" customHeight="1" thickBot="1" x14ac:dyDescent="0.3">
      <c r="D6" s="143"/>
      <c r="E6" s="143"/>
      <c r="F6" s="143"/>
      <c r="G6" s="143"/>
      <c r="H6" s="143"/>
      <c r="I6" s="143"/>
      <c r="J6" s="144"/>
      <c r="K6" s="153"/>
      <c r="L6" s="143"/>
      <c r="N6" s="156" t="s">
        <v>142</v>
      </c>
      <c r="O6" s="157"/>
      <c r="P6" s="157"/>
      <c r="Q6" s="156" t="s">
        <v>143</v>
      </c>
      <c r="S6" s="171"/>
      <c r="T6" s="839"/>
      <c r="U6" s="171"/>
      <c r="V6" s="171"/>
    </row>
    <row r="7" spans="1:41" ht="16.5" thickBot="1" x14ac:dyDescent="0.25">
      <c r="N7" s="172">
        <f>SUM(N9:N1620)</f>
        <v>3573.3904020000004</v>
      </c>
      <c r="O7" s="144"/>
      <c r="P7" s="144"/>
      <c r="Q7" s="160">
        <f>MAX(Q9:Q1620)</f>
        <v>2828</v>
      </c>
      <c r="R7" s="144"/>
      <c r="S7" s="155"/>
      <c r="T7" s="155"/>
      <c r="U7" s="155"/>
    </row>
    <row r="8" spans="1:41" ht="54" customHeight="1" x14ac:dyDescent="0.25">
      <c r="A8" s="173" t="s">
        <v>144</v>
      </c>
      <c r="B8" s="860" t="s">
        <v>145</v>
      </c>
      <c r="C8" s="174" t="s">
        <v>146</v>
      </c>
      <c r="D8" s="173" t="s">
        <v>4</v>
      </c>
      <c r="E8" s="173" t="s">
        <v>5</v>
      </c>
      <c r="F8" s="173" t="s">
        <v>147</v>
      </c>
      <c r="G8" s="173" t="s">
        <v>6</v>
      </c>
      <c r="H8" s="174" t="s">
        <v>7</v>
      </c>
      <c r="I8" s="175" t="s">
        <v>8</v>
      </c>
      <c r="J8" s="174" t="s">
        <v>148</v>
      </c>
      <c r="K8" s="174" t="s">
        <v>9</v>
      </c>
      <c r="L8" s="174" t="s">
        <v>0</v>
      </c>
      <c r="M8" s="176" t="s">
        <v>1</v>
      </c>
      <c r="N8" s="176" t="s">
        <v>540</v>
      </c>
      <c r="O8" s="174" t="s">
        <v>3</v>
      </c>
      <c r="P8" s="636" t="s">
        <v>154</v>
      </c>
      <c r="Q8" s="638" t="s">
        <v>149</v>
      </c>
      <c r="R8" s="639" t="s">
        <v>151</v>
      </c>
      <c r="S8" s="640" t="s">
        <v>152</v>
      </c>
      <c r="T8" s="641" t="s">
        <v>58</v>
      </c>
      <c r="U8" s="640" t="s">
        <v>59</v>
      </c>
      <c r="V8" s="637" t="s">
        <v>153</v>
      </c>
    </row>
    <row r="9" spans="1:41" x14ac:dyDescent="0.25">
      <c r="A9" s="874" t="s">
        <v>579</v>
      </c>
      <c r="B9" s="904" t="s">
        <v>570</v>
      </c>
      <c r="C9" s="910" t="s">
        <v>620</v>
      </c>
      <c r="D9" s="944" t="s">
        <v>550</v>
      </c>
      <c r="E9" s="905" t="s">
        <v>621</v>
      </c>
      <c r="F9" s="909" t="s">
        <v>100</v>
      </c>
      <c r="G9" s="874">
        <v>2</v>
      </c>
      <c r="H9" s="874">
        <v>1</v>
      </c>
      <c r="I9" s="906">
        <v>5000</v>
      </c>
      <c r="J9" s="942">
        <v>4</v>
      </c>
      <c r="K9" s="874">
        <v>1200</v>
      </c>
      <c r="L9" s="161" t="s">
        <v>156</v>
      </c>
      <c r="M9" s="169">
        <v>236</v>
      </c>
      <c r="N9" s="163">
        <f>+IF(F9="","",(K9*I9*H9*G9)/1000000)</f>
        <v>12</v>
      </c>
      <c r="O9" s="41" t="s">
        <v>529</v>
      </c>
      <c r="P9" s="41" t="s">
        <v>115</v>
      </c>
      <c r="Q9" s="161">
        <f>+IF(OR(O9="Fire Control",O9="Fire Tex 5062",O9="Fire Tex 5090",O9="Fire Tex 5120"),'CALCULO PINTURA'!P10," ")</f>
        <v>2196</v>
      </c>
      <c r="R9" s="164">
        <f>+IF(OR(O9="Fire Control",O9="Fire Tex 5062",O9="Fire Tex 5090",O9="Fire Tex 5120"),'CALCULO PINTURA'!R10," ")</f>
        <v>4.0077949008357026</v>
      </c>
      <c r="S9" s="164">
        <f>+IF(OR(O9="Fire Control",O9="Fire Tex 5062",O9="Fire Tex 5090",O9="Fire Tex 5120"),'CALCULO PINTURA'!S10," ")</f>
        <v>2.9941651948051953</v>
      </c>
      <c r="T9" s="874" t="str">
        <f>+IF(OR(O9="Blaze Shield II",O9="Cafco 400",O9="Cafco 300"),'CALCULO MORTERO'!N10," ")</f>
        <v xml:space="preserve"> </v>
      </c>
      <c r="U9" s="875" t="str">
        <f>+IF(OR(O9="Blaze Shield II",O9="Cafco 400",O9="Cafco 300"),'CALCULO MORTERO'!O10," ")</f>
        <v xml:space="preserve"> </v>
      </c>
      <c r="V9" s="161" t="str" cm="1">
        <f t="array" ref="V9">_xlfn.IFS(O9="Blaze Shield II",'CALCULO MORTERO'!P10, O9="Cafco 400",'CALCULO MORTERO'!Q10,O9="Cafco 300",'CALCULO MORTERO'!S10, AND(OR(O9="Fire tex 5090", O9="Fire Tex 5062", O9="Fire Tex 5120", O9="Fire Control"),Q9&gt;0), "CERT.",TRUE,"-")</f>
        <v>CERT.</v>
      </c>
      <c r="AM9" s="642" t="s">
        <v>60</v>
      </c>
      <c r="AO9" s="146" t="s">
        <v>115</v>
      </c>
    </row>
    <row r="10" spans="1:41" x14ac:dyDescent="0.25">
      <c r="A10" s="874" t="s">
        <v>579</v>
      </c>
      <c r="B10" s="904" t="s">
        <v>570</v>
      </c>
      <c r="C10" s="910" t="s">
        <v>571</v>
      </c>
      <c r="D10" s="944" t="s">
        <v>550</v>
      </c>
      <c r="E10" s="905" t="s">
        <v>621</v>
      </c>
      <c r="F10" s="909" t="s">
        <v>100</v>
      </c>
      <c r="G10" s="874">
        <v>10</v>
      </c>
      <c r="H10" s="874">
        <v>1</v>
      </c>
      <c r="I10" s="906">
        <v>6000</v>
      </c>
      <c r="J10" s="942">
        <v>4</v>
      </c>
      <c r="K10" s="874">
        <v>1200</v>
      </c>
      <c r="L10" s="161" t="s">
        <v>156</v>
      </c>
      <c r="M10" s="169">
        <v>236</v>
      </c>
      <c r="N10" s="163">
        <f>+IF(F10="","",(K10*I10*H10*G10)/1000000)</f>
        <v>72</v>
      </c>
      <c r="O10" s="41" t="s">
        <v>529</v>
      </c>
      <c r="P10" s="41" t="s">
        <v>115</v>
      </c>
      <c r="Q10" s="161">
        <f>+IF(OR(O10="Fire Control",O10="Fire Tex 5062",O10="Fire Tex 5090",O10="Fire Tex 5120"),'CALCULO PINTURA'!P11," ")</f>
        <v>2196</v>
      </c>
      <c r="R10" s="164">
        <f>+IF(OR(O10="Fire Control",O10="Fire Tex 5062",O10="Fire Tex 5090",O10="Fire Tex 5120"),'CALCULO PINTURA'!R11," ")</f>
        <v>4.0077949008357026</v>
      </c>
      <c r="S10" s="164">
        <f>+IF(OR(O10="Fire Control",O10="Fire Tex 5062",O10="Fire Tex 5090",O10="Fire Tex 5120"),'CALCULO PINTURA'!S11," ")</f>
        <v>17.964991168831173</v>
      </c>
      <c r="T10" s="874" t="str">
        <f>+IF(OR(O10="Blaze Shield II",O10="Cafco 400",O10="Cafco 300"),'CALCULO MORTERO'!N11," ")</f>
        <v xml:space="preserve"> </v>
      </c>
      <c r="U10" s="875" t="str">
        <f>+IF(OR(O10="Blaze Shield II",O10="Cafco 400",O10="Cafco 300"),'CALCULO MORTERO'!O11," ")</f>
        <v xml:space="preserve"> </v>
      </c>
      <c r="V10" s="161" t="str" cm="1">
        <f t="array" ref="V10">_xlfn.IFS(O10="Blaze Shield II",'CALCULO MORTERO'!P11, O10="Cafco 400",'CALCULO MORTERO'!Q11,O10="Cafco 300",'CALCULO MORTERO'!S11, AND(OR(O10="Fire tex 5090", O10="Fire Tex 5062", O10="Fire Tex 5120", O10="Fire Control"),Q10&gt;0), "CERT.",TRUE,"-")</f>
        <v>CERT.</v>
      </c>
      <c r="AM10" s="642" t="s">
        <v>62</v>
      </c>
      <c r="AO10" s="146" t="s">
        <v>116</v>
      </c>
    </row>
    <row r="11" spans="1:41" x14ac:dyDescent="0.25">
      <c r="A11" s="874" t="s">
        <v>579</v>
      </c>
      <c r="B11" s="904" t="s">
        <v>570</v>
      </c>
      <c r="C11" s="910" t="s">
        <v>572</v>
      </c>
      <c r="D11" s="944" t="s">
        <v>550</v>
      </c>
      <c r="E11" s="905" t="s">
        <v>622</v>
      </c>
      <c r="F11" s="909" t="s">
        <v>100</v>
      </c>
      <c r="G11" s="874">
        <v>4</v>
      </c>
      <c r="H11" s="874">
        <v>1</v>
      </c>
      <c r="I11" s="906">
        <v>4000</v>
      </c>
      <c r="J11" s="942">
        <v>4</v>
      </c>
      <c r="K11" s="874">
        <v>600</v>
      </c>
      <c r="L11" s="161" t="s">
        <v>156</v>
      </c>
      <c r="M11" s="169">
        <v>200</v>
      </c>
      <c r="N11" s="163">
        <f t="shared" ref="N11:N42" si="0">+IF(F11="","",(K11*I11*H11*G11)/1000000)</f>
        <v>9.6</v>
      </c>
      <c r="O11" s="41" t="s">
        <v>529</v>
      </c>
      <c r="P11" s="41" t="s">
        <v>115</v>
      </c>
      <c r="Q11" s="161">
        <f>+IF(OR(O11="Fire Control",O11="Fire Tex 5062",O11="Fire Tex 5090",O11="Fire Tex 5120"),'CALCULO PINTURA'!P12," ")</f>
        <v>1930</v>
      </c>
      <c r="R11" s="164">
        <f>+IF(OR(O11="Fire Control",O11="Fire Tex 5062",O11="Fire Tex 5090",O11="Fire Tex 5120"),'CALCULO PINTURA'!R12," ")</f>
        <v>4.5601645607436296</v>
      </c>
      <c r="S11" s="164">
        <f>+IF(OR(O11="Fire Control",O11="Fire Tex 5062",O11="Fire Tex 5090",O11="Fire Tex 5120"),'CALCULO PINTURA'!S12," ")</f>
        <v>2.105187186147186</v>
      </c>
      <c r="T11" s="874" t="str">
        <f>+IF(OR(O11="Blaze Shield II",O11="Cafco 400",O11="Cafco 300"),'CALCULO MORTERO'!N12," ")</f>
        <v xml:space="preserve"> </v>
      </c>
      <c r="U11" s="875" t="str">
        <f>+IF(OR(O11="Blaze Shield II",O11="Cafco 400",O11="Cafco 300"),'CALCULO MORTERO'!O12," ")</f>
        <v xml:space="preserve"> </v>
      </c>
      <c r="V11" s="161" t="str" cm="1">
        <f t="array" ref="V11">_xlfn.IFS(O11="Blaze Shield II",'CALCULO MORTERO'!P12, O11="Cafco 400",'CALCULO MORTERO'!Q12,O11="Cafco 300",'CALCULO MORTERO'!S12, AND(OR(O11="Fire tex 5090", O11="Fire Tex 5062", O11="Fire Tex 5120", O11="Fire Control"),Q11&gt;0), "CERT.",TRUE,"-")</f>
        <v>CERT.</v>
      </c>
      <c r="AM11" s="642" t="s">
        <v>61</v>
      </c>
    </row>
    <row r="12" spans="1:41" x14ac:dyDescent="0.25">
      <c r="A12" s="874" t="s">
        <v>579</v>
      </c>
      <c r="B12" s="904" t="s">
        <v>570</v>
      </c>
      <c r="C12" s="910" t="s">
        <v>573</v>
      </c>
      <c r="D12" s="944" t="s">
        <v>550</v>
      </c>
      <c r="E12" s="905" t="s">
        <v>581</v>
      </c>
      <c r="F12" s="909" t="s">
        <v>100</v>
      </c>
      <c r="G12" s="874">
        <v>2</v>
      </c>
      <c r="H12" s="874">
        <v>1</v>
      </c>
      <c r="I12" s="906">
        <v>6200</v>
      </c>
      <c r="J12" s="942">
        <v>4</v>
      </c>
      <c r="K12" s="874">
        <v>600</v>
      </c>
      <c r="L12" s="161" t="s">
        <v>156</v>
      </c>
      <c r="M12" s="169">
        <v>333</v>
      </c>
      <c r="N12" s="163">
        <f t="shared" si="0"/>
        <v>7.44</v>
      </c>
      <c r="O12" s="41" t="s">
        <v>529</v>
      </c>
      <c r="P12" s="41" t="s">
        <v>115</v>
      </c>
      <c r="Q12" s="161">
        <f>+IF(OR(O12="Fire Control",O12="Fire Tex 5062",O12="Fire Tex 5090",O12="Fire Tex 5120"),'CALCULO PINTURA'!P13," ")</f>
        <v>2828</v>
      </c>
      <c r="R12" s="164">
        <f>+IF(OR(O12="Fire Control",O12="Fire Tex 5062",O12="Fire Tex 5090",O12="Fire Tex 5120"),'CALCULO PINTURA'!R13," ")</f>
        <v>3.1121349371411613</v>
      </c>
      <c r="S12" s="164">
        <f>+IF(OR(O12="Fire Control",O12="Fire Tex 5062",O12="Fire Tex 5090",O12="Fire Tex 5120"),'CALCULO PINTURA'!S13," ")</f>
        <v>2.3906418424242428</v>
      </c>
      <c r="T12" s="874" t="str">
        <f>+IF(OR(O12="Blaze Shield II",O12="Cafco 400",O12="Cafco 300"),'CALCULO MORTERO'!N13," ")</f>
        <v xml:space="preserve"> </v>
      </c>
      <c r="U12" s="875" t="str">
        <f>+IF(OR(O12="Blaze Shield II",O12="Cafco 400",O12="Cafco 300"),'CALCULO MORTERO'!O13," ")</f>
        <v xml:space="preserve"> </v>
      </c>
      <c r="V12" s="161" t="str" cm="1">
        <f t="array" ref="V12">_xlfn.IFS(O12="Blaze Shield II",'CALCULO MORTERO'!P13, O12="Cafco 400",'CALCULO MORTERO'!Q13,O12="Cafco 300",'CALCULO MORTERO'!S13, AND(OR(O12="Fire tex 5090", O12="Fire Tex 5062", O12="Fire Tex 5120", O12="Fire Control"),Q12&gt;0), "CERT.",TRUE,"-")</f>
        <v>CERT.</v>
      </c>
      <c r="AM12" s="642" t="s">
        <v>138</v>
      </c>
    </row>
    <row r="13" spans="1:41" x14ac:dyDescent="0.25">
      <c r="A13" s="874" t="s">
        <v>579</v>
      </c>
      <c r="B13" s="904" t="s">
        <v>570</v>
      </c>
      <c r="C13" s="910" t="s">
        <v>574</v>
      </c>
      <c r="D13" s="944" t="s">
        <v>575</v>
      </c>
      <c r="E13" s="905" t="s">
        <v>576</v>
      </c>
      <c r="F13" s="909" t="s">
        <v>100</v>
      </c>
      <c r="G13" s="874">
        <v>1</v>
      </c>
      <c r="H13" s="874">
        <v>1</v>
      </c>
      <c r="I13" s="906">
        <v>68200</v>
      </c>
      <c r="J13" s="942">
        <v>4</v>
      </c>
      <c r="K13" s="874">
        <v>400</v>
      </c>
      <c r="L13" s="161" t="s">
        <v>156</v>
      </c>
      <c r="M13" s="169">
        <v>333</v>
      </c>
      <c r="N13" s="163">
        <f t="shared" si="0"/>
        <v>27.28</v>
      </c>
      <c r="O13" s="41" t="s">
        <v>529</v>
      </c>
      <c r="P13" s="41" t="s">
        <v>115</v>
      </c>
      <c r="Q13" s="161">
        <f>+IF(OR(O13="Fire Control",O13="Fire Tex 5062",O13="Fire Tex 5090",O13="Fire Tex 5120"),'CALCULO PINTURA'!P14," ")</f>
        <v>2828</v>
      </c>
      <c r="R13" s="164">
        <f>+IF(OR(O13="Fire Control",O13="Fire Tex 5062",O13="Fire Tex 5090",O13="Fire Tex 5120"),'CALCULO PINTURA'!R14," ")</f>
        <v>3.1121349371411613</v>
      </c>
      <c r="S13" s="164">
        <f>+IF(OR(O13="Fire Control",O13="Fire Tex 5062",O13="Fire Tex 5090",O13="Fire Tex 5120"),'CALCULO PINTURA'!S14," ")</f>
        <v>8.7656867555555564</v>
      </c>
      <c r="T13" s="874" t="str">
        <f>+IF(OR(O13="Blaze Shield II",O13="Cafco 400",O13="Cafco 300"),'CALCULO MORTERO'!N14," ")</f>
        <v xml:space="preserve"> </v>
      </c>
      <c r="U13" s="875" t="str">
        <f>+IF(OR(O13="Blaze Shield II",O13="Cafco 400",O13="Cafco 300"),'CALCULO MORTERO'!O14," ")</f>
        <v xml:space="preserve"> </v>
      </c>
      <c r="V13" s="161" t="str" cm="1">
        <f t="array" ref="V13">_xlfn.IFS(O13="Blaze Shield II",'CALCULO MORTERO'!P14, O13="Cafco 400",'CALCULO MORTERO'!Q14,O13="Cafco 300",'CALCULO MORTERO'!S14, AND(OR(O13="Fire tex 5090", O13="Fire Tex 5062", O13="Fire Tex 5120", O13="Fire Control"),Q13&gt;0), "CERT.",TRUE,"-")</f>
        <v>CERT.</v>
      </c>
      <c r="AM13" s="642" t="s">
        <v>528</v>
      </c>
    </row>
    <row r="14" spans="1:41" x14ac:dyDescent="0.25">
      <c r="A14" s="874" t="s">
        <v>579</v>
      </c>
      <c r="B14" s="904" t="s">
        <v>570</v>
      </c>
      <c r="C14" s="910" t="s">
        <v>577</v>
      </c>
      <c r="D14" s="944" t="s">
        <v>578</v>
      </c>
      <c r="E14" s="905" t="s">
        <v>576</v>
      </c>
      <c r="F14" s="909" t="s">
        <v>100</v>
      </c>
      <c r="G14" s="874">
        <v>8</v>
      </c>
      <c r="H14" s="874">
        <v>1</v>
      </c>
      <c r="I14" s="906">
        <v>7500</v>
      </c>
      <c r="J14" s="942">
        <v>4</v>
      </c>
      <c r="K14" s="874">
        <v>400</v>
      </c>
      <c r="L14" s="161" t="s">
        <v>156</v>
      </c>
      <c r="M14" s="169">
        <v>333</v>
      </c>
      <c r="N14" s="163">
        <f t="shared" si="0"/>
        <v>24</v>
      </c>
      <c r="O14" s="41" t="s">
        <v>529</v>
      </c>
      <c r="P14" s="41" t="s">
        <v>115</v>
      </c>
      <c r="Q14" s="161">
        <f>+IF(OR(O14="Fire Control",O14="Fire Tex 5062",O14="Fire Tex 5090",O14="Fire Tex 5120"),'CALCULO PINTURA'!P15," ")</f>
        <v>2828</v>
      </c>
      <c r="R14" s="164">
        <f>+IF(OR(O14="Fire Control",O14="Fire Tex 5062",O14="Fire Tex 5090",O14="Fire Tex 5120"),'CALCULO PINTURA'!R15," ")</f>
        <v>3.1121349371411613</v>
      </c>
      <c r="S14" s="164">
        <f>+IF(OR(O14="Fire Control",O14="Fire Tex 5062",O14="Fire Tex 5090",O14="Fire Tex 5120"),'CALCULO PINTURA'!S15," ")</f>
        <v>7.7117478787878788</v>
      </c>
      <c r="T14" s="874" t="str">
        <f>+IF(OR(O14="Blaze Shield II",O14="Cafco 400",O14="Cafco 300"),'CALCULO MORTERO'!N15," ")</f>
        <v xml:space="preserve"> </v>
      </c>
      <c r="U14" s="875" t="str">
        <f>+IF(OR(O14="Blaze Shield II",O14="Cafco 400",O14="Cafco 300"),'CALCULO MORTERO'!O15," ")</f>
        <v xml:space="preserve"> </v>
      </c>
      <c r="V14" s="161" t="str" cm="1">
        <f t="array" ref="V14">_xlfn.IFS(O14="Blaze Shield II",'CALCULO MORTERO'!P15, O14="Cafco 400",'CALCULO MORTERO'!Q15,O14="Cafco 300",'CALCULO MORTERO'!S15, AND(OR(O14="Fire tex 5090", O14="Fire Tex 5062", O14="Fire Tex 5120", O14="Fire Control"),Q14&gt;0), "CERT.",TRUE,"-")</f>
        <v>CERT.</v>
      </c>
      <c r="AM14" s="642" t="s">
        <v>529</v>
      </c>
    </row>
    <row r="15" spans="1:41" x14ac:dyDescent="0.25">
      <c r="A15" s="874" t="s">
        <v>580</v>
      </c>
      <c r="B15" s="904" t="s">
        <v>570</v>
      </c>
      <c r="C15" s="910" t="s">
        <v>571</v>
      </c>
      <c r="D15" s="944" t="s">
        <v>550</v>
      </c>
      <c r="E15" s="905" t="s">
        <v>621</v>
      </c>
      <c r="F15" s="909" t="s">
        <v>100</v>
      </c>
      <c r="G15" s="874">
        <v>2</v>
      </c>
      <c r="H15" s="874">
        <v>1</v>
      </c>
      <c r="I15" s="906">
        <v>5000</v>
      </c>
      <c r="J15" s="942">
        <v>4</v>
      </c>
      <c r="K15" s="874">
        <v>1200</v>
      </c>
      <c r="L15" s="161" t="s">
        <v>156</v>
      </c>
      <c r="M15" s="169">
        <v>236</v>
      </c>
      <c r="N15" s="163">
        <f t="shared" si="0"/>
        <v>12</v>
      </c>
      <c r="O15" s="41" t="s">
        <v>529</v>
      </c>
      <c r="P15" s="41" t="s">
        <v>115</v>
      </c>
      <c r="Q15" s="161">
        <f>+IF(OR(O15="Fire Control",O15="Fire Tex 5062",O15="Fire Tex 5090",O15="Fire Tex 5120"),'CALCULO PINTURA'!P16," ")</f>
        <v>2196</v>
      </c>
      <c r="R15" s="164">
        <f>+IF(OR(O15="Fire Control",O15="Fire Tex 5062",O15="Fire Tex 5090",O15="Fire Tex 5120"),'CALCULO PINTURA'!R16," ")</f>
        <v>4.0077949008357026</v>
      </c>
      <c r="S15" s="164">
        <f>+IF(OR(O15="Fire Control",O15="Fire Tex 5062",O15="Fire Tex 5090",O15="Fire Tex 5120"),'CALCULO PINTURA'!S16," ")</f>
        <v>2.9941651948051953</v>
      </c>
      <c r="T15" s="874" t="str">
        <f>+IF(OR(O15="Blaze Shield II",O15="Cafco 400",O15="Cafco 300"),'CALCULO MORTERO'!N16," ")</f>
        <v xml:space="preserve"> </v>
      </c>
      <c r="U15" s="875" t="str">
        <f>+IF(OR(O15="Blaze Shield II",O15="Cafco 400",O15="Cafco 300"),'CALCULO MORTERO'!O16," ")</f>
        <v xml:space="preserve"> </v>
      </c>
      <c r="V15" s="161" t="str" cm="1">
        <f t="array" ref="V15">_xlfn.IFS(O15="Blaze Shield II",'CALCULO MORTERO'!P16, O15="Cafco 400",'CALCULO MORTERO'!Q16,O15="Cafco 300",'CALCULO MORTERO'!S16, AND(OR(O15="Fire tex 5090", O15="Fire Tex 5062", O15="Fire Tex 5120", O15="Fire Control"),Q15&gt;0), "CERT.",TRUE,"-")</f>
        <v>CERT.</v>
      </c>
      <c r="AM15" s="642" t="s">
        <v>530</v>
      </c>
    </row>
    <row r="16" spans="1:41" ht="15.75" customHeight="1" x14ac:dyDescent="0.25">
      <c r="A16" s="874" t="s">
        <v>580</v>
      </c>
      <c r="B16" s="904" t="s">
        <v>570</v>
      </c>
      <c r="C16" s="910" t="s">
        <v>571</v>
      </c>
      <c r="D16" s="944" t="s">
        <v>550</v>
      </c>
      <c r="E16" s="905" t="s">
        <v>621</v>
      </c>
      <c r="F16" s="909" t="s">
        <v>100</v>
      </c>
      <c r="G16" s="874">
        <v>10</v>
      </c>
      <c r="H16" s="874">
        <v>1</v>
      </c>
      <c r="I16" s="906">
        <v>6000</v>
      </c>
      <c r="J16" s="942">
        <v>4</v>
      </c>
      <c r="K16" s="874">
        <v>1200</v>
      </c>
      <c r="L16" s="161" t="s">
        <v>156</v>
      </c>
      <c r="M16" s="169">
        <v>236</v>
      </c>
      <c r="N16" s="163">
        <f t="shared" si="0"/>
        <v>72</v>
      </c>
      <c r="O16" s="41" t="s">
        <v>529</v>
      </c>
      <c r="P16" s="41" t="s">
        <v>115</v>
      </c>
      <c r="Q16" s="161">
        <f>+IF(OR(O16="Fire Control",O16="Fire Tex 5062",O16="Fire Tex 5090",O16="Fire Tex 5120"),'CALCULO PINTURA'!P17," ")</f>
        <v>2196</v>
      </c>
      <c r="R16" s="164">
        <f>+IF(OR(O16="Fire Control",O16="Fire Tex 5062",O16="Fire Tex 5090",O16="Fire Tex 5120"),'CALCULO PINTURA'!R17," ")</f>
        <v>4.0077949008357026</v>
      </c>
      <c r="S16" s="164">
        <f>+IF(OR(O16="Fire Control",O16="Fire Tex 5062",O16="Fire Tex 5090",O16="Fire Tex 5120"),'CALCULO PINTURA'!S17," ")</f>
        <v>17.964991168831173</v>
      </c>
      <c r="T16" s="874" t="str">
        <f>+IF(OR(O16="Blaze Shield II",O16="Cafco 400",O16="Cafco 300"),'CALCULO MORTERO'!N17," ")</f>
        <v xml:space="preserve"> </v>
      </c>
      <c r="U16" s="875" t="str">
        <f>+IF(OR(O16="Blaze Shield II",O16="Cafco 400",O16="Cafco 300"),'CALCULO MORTERO'!O17," ")</f>
        <v xml:space="preserve"> </v>
      </c>
      <c r="V16" s="161" t="str" cm="1">
        <f t="array" ref="V16">_xlfn.IFS(O16="Blaze Shield II",'CALCULO MORTERO'!P17, O16="Cafco 400",'CALCULO MORTERO'!Q17,O16="Cafco 300",'CALCULO MORTERO'!S17, AND(OR(O16="Fire tex 5090", O16="Fire Tex 5062", O16="Fire Tex 5120", O16="Fire Control"),Q16&gt;0), "CERT.",TRUE,"-")</f>
        <v>CERT.</v>
      </c>
    </row>
    <row r="17" spans="1:24" ht="15.75" customHeight="1" x14ac:dyDescent="0.25">
      <c r="A17" s="874" t="s">
        <v>580</v>
      </c>
      <c r="B17" s="904" t="s">
        <v>570</v>
      </c>
      <c r="C17" s="910" t="s">
        <v>572</v>
      </c>
      <c r="D17" s="944" t="s">
        <v>550</v>
      </c>
      <c r="E17" s="905" t="s">
        <v>622</v>
      </c>
      <c r="F17" s="909" t="s">
        <v>100</v>
      </c>
      <c r="G17" s="874">
        <v>2</v>
      </c>
      <c r="H17" s="874">
        <v>1</v>
      </c>
      <c r="I17" s="906">
        <v>4000</v>
      </c>
      <c r="J17" s="942">
        <v>4</v>
      </c>
      <c r="K17" s="874">
        <v>600</v>
      </c>
      <c r="L17" s="161" t="s">
        <v>156</v>
      </c>
      <c r="M17" s="169">
        <v>200</v>
      </c>
      <c r="N17" s="163">
        <f t="shared" si="0"/>
        <v>4.8</v>
      </c>
      <c r="O17" s="41" t="s">
        <v>529</v>
      </c>
      <c r="P17" s="41" t="s">
        <v>115</v>
      </c>
      <c r="Q17" s="161">
        <f>+IF(OR(O17="Fire Control",O17="Fire Tex 5062",O17="Fire Tex 5090",O17="Fire Tex 5120"),'CALCULO PINTURA'!P18," ")</f>
        <v>1930</v>
      </c>
      <c r="R17" s="164">
        <f>+IF(OR(O17="Fire Control",O17="Fire Tex 5062",O17="Fire Tex 5090",O17="Fire Tex 5120"),'CALCULO PINTURA'!R18," ")</f>
        <v>4.5601645607436296</v>
      </c>
      <c r="S17" s="164">
        <f>+IF(OR(O17="Fire Control",O17="Fire Tex 5062",O17="Fire Tex 5090",O17="Fire Tex 5120"),'CALCULO PINTURA'!S18," ")</f>
        <v>1.052593593073593</v>
      </c>
      <c r="T17" s="874" t="str">
        <f>+IF(OR(O17="Blaze Shield II",O17="Cafco 400",O17="Cafco 300"),'CALCULO MORTERO'!N18," ")</f>
        <v xml:space="preserve"> </v>
      </c>
      <c r="U17" s="875" t="str">
        <f>+IF(OR(O17="Blaze Shield II",O17="Cafco 400",O17="Cafco 300"),'CALCULO MORTERO'!O18," ")</f>
        <v xml:space="preserve"> </v>
      </c>
      <c r="V17" s="161" t="str" cm="1">
        <f t="array" ref="V17">_xlfn.IFS(O17="Blaze Shield II",'CALCULO MORTERO'!P18, O17="Cafco 400",'CALCULO MORTERO'!Q18,O17="Cafco 300",'CALCULO MORTERO'!S18, AND(OR(O17="Fire tex 5090", O17="Fire Tex 5062", O17="Fire Tex 5120", O17="Fire Control"),Q17&gt;0), "CERT.",TRUE,"-")</f>
        <v>CERT.</v>
      </c>
    </row>
    <row r="18" spans="1:24" x14ac:dyDescent="0.25">
      <c r="A18" s="874" t="s">
        <v>580</v>
      </c>
      <c r="B18" s="904" t="s">
        <v>570</v>
      </c>
      <c r="C18" s="910" t="s">
        <v>573</v>
      </c>
      <c r="D18" s="944" t="s">
        <v>550</v>
      </c>
      <c r="E18" s="905" t="s">
        <v>581</v>
      </c>
      <c r="F18" s="909" t="s">
        <v>100</v>
      </c>
      <c r="G18" s="874">
        <v>1</v>
      </c>
      <c r="H18" s="874">
        <v>1</v>
      </c>
      <c r="I18" s="906">
        <v>6200</v>
      </c>
      <c r="J18" s="942">
        <v>4</v>
      </c>
      <c r="K18" s="874">
        <v>600</v>
      </c>
      <c r="L18" s="161" t="s">
        <v>156</v>
      </c>
      <c r="M18" s="169">
        <v>333</v>
      </c>
      <c r="N18" s="163">
        <f t="shared" si="0"/>
        <v>3.72</v>
      </c>
      <c r="O18" s="41" t="s">
        <v>529</v>
      </c>
      <c r="P18" s="41" t="s">
        <v>115</v>
      </c>
      <c r="Q18" s="161">
        <f>+IF(OR(O18="Fire Control",O18="Fire Tex 5062",O18="Fire Tex 5090",O18="Fire Tex 5120"),'CALCULO PINTURA'!P19," ")</f>
        <v>2828</v>
      </c>
      <c r="R18" s="164">
        <f>+IF(OR(O18="Fire Control",O18="Fire Tex 5062",O18="Fire Tex 5090",O18="Fire Tex 5120"),'CALCULO PINTURA'!R19," ")</f>
        <v>3.1121349371411613</v>
      </c>
      <c r="S18" s="164">
        <f>+IF(OR(O18="Fire Control",O18="Fire Tex 5062",O18="Fire Tex 5090",O18="Fire Tex 5120"),'CALCULO PINTURA'!S19," ")</f>
        <v>1.1953209212121214</v>
      </c>
      <c r="T18" s="874" t="str">
        <f>+IF(OR(O18="Blaze Shield II",O18="Cafco 400",O18="Cafco 300"),'CALCULO MORTERO'!N19," ")</f>
        <v xml:space="preserve"> </v>
      </c>
      <c r="U18" s="875" t="str">
        <f>+IF(OR(O18="Blaze Shield II",O18="Cafco 400",O18="Cafco 300"),'CALCULO MORTERO'!O19," ")</f>
        <v xml:space="preserve"> </v>
      </c>
      <c r="V18" s="161" t="str" cm="1">
        <f t="array" ref="V18">_xlfn.IFS(O18="Blaze Shield II",'CALCULO MORTERO'!P19, O18="Cafco 400",'CALCULO MORTERO'!Q19,O18="Cafco 300",'CALCULO MORTERO'!S19, AND(OR(O18="Fire tex 5090", O18="Fire Tex 5062", O18="Fire Tex 5120", O18="Fire Control"),Q18&gt;0), "CERT.",TRUE,"-")</f>
        <v>CERT.</v>
      </c>
    </row>
    <row r="19" spans="1:24" x14ac:dyDescent="0.25">
      <c r="A19" s="874" t="s">
        <v>580</v>
      </c>
      <c r="B19" s="904" t="s">
        <v>570</v>
      </c>
      <c r="C19" s="910" t="s">
        <v>574</v>
      </c>
      <c r="D19" s="944" t="s">
        <v>575</v>
      </c>
      <c r="E19" s="905" t="s">
        <v>576</v>
      </c>
      <c r="F19" s="909" t="s">
        <v>100</v>
      </c>
      <c r="G19" s="874">
        <v>1</v>
      </c>
      <c r="H19" s="874">
        <v>1</v>
      </c>
      <c r="I19" s="906">
        <v>68200</v>
      </c>
      <c r="J19" s="942">
        <v>4</v>
      </c>
      <c r="K19" s="874">
        <v>400</v>
      </c>
      <c r="L19" s="161" t="s">
        <v>156</v>
      </c>
      <c r="M19" s="169">
        <v>333</v>
      </c>
      <c r="N19" s="163">
        <f t="shared" si="0"/>
        <v>27.28</v>
      </c>
      <c r="O19" s="41" t="s">
        <v>529</v>
      </c>
      <c r="P19" s="41" t="s">
        <v>115</v>
      </c>
      <c r="Q19" s="161">
        <f>+IF(OR(O19="Fire Control",O19="Fire Tex 5062",O19="Fire Tex 5090",O19="Fire Tex 5120"),'CALCULO PINTURA'!P20," ")</f>
        <v>2828</v>
      </c>
      <c r="R19" s="164">
        <f>+IF(OR(O19="Fire Control",O19="Fire Tex 5062",O19="Fire Tex 5090",O19="Fire Tex 5120"),'CALCULO PINTURA'!R20," ")</f>
        <v>3.1121349371411613</v>
      </c>
      <c r="S19" s="164">
        <f>+IF(OR(O19="Fire Control",O19="Fire Tex 5062",O19="Fire Tex 5090",O19="Fire Tex 5120"),'CALCULO PINTURA'!S20," ")</f>
        <v>8.7656867555555564</v>
      </c>
      <c r="T19" s="874" t="str">
        <f>+IF(OR(O19="Blaze Shield II",O19="Cafco 400",O19="Cafco 300"),'CALCULO MORTERO'!N20," ")</f>
        <v xml:space="preserve"> </v>
      </c>
      <c r="U19" s="875" t="str">
        <f>+IF(OR(O19="Blaze Shield II",O19="Cafco 400",O19="Cafco 300"),'CALCULO MORTERO'!O20," ")</f>
        <v xml:space="preserve"> </v>
      </c>
      <c r="V19" s="161" t="str" cm="1">
        <f t="array" ref="V19">_xlfn.IFS(O19="Blaze Shield II",'CALCULO MORTERO'!P20, O19="Cafco 400",'CALCULO MORTERO'!Q20,O19="Cafco 300",'CALCULO MORTERO'!S20, AND(OR(O19="Fire tex 5090", O19="Fire Tex 5062", O19="Fire Tex 5120", O19="Fire Control"),Q19&gt;0), "CERT.",TRUE,"-")</f>
        <v>CERT.</v>
      </c>
    </row>
    <row r="20" spans="1:24" x14ac:dyDescent="0.25">
      <c r="A20" s="874" t="s">
        <v>580</v>
      </c>
      <c r="B20" s="904" t="s">
        <v>570</v>
      </c>
      <c r="C20" s="910" t="s">
        <v>577</v>
      </c>
      <c r="D20" s="944" t="s">
        <v>578</v>
      </c>
      <c r="E20" s="905" t="s">
        <v>576</v>
      </c>
      <c r="F20" s="909" t="s">
        <v>100</v>
      </c>
      <c r="G20" s="874">
        <v>8</v>
      </c>
      <c r="H20" s="874">
        <v>1</v>
      </c>
      <c r="I20" s="906">
        <v>7500</v>
      </c>
      <c r="J20" s="942">
        <v>4</v>
      </c>
      <c r="K20" s="874">
        <v>400</v>
      </c>
      <c r="L20" s="161" t="s">
        <v>156</v>
      </c>
      <c r="M20" s="169">
        <v>333</v>
      </c>
      <c r="N20" s="163">
        <f t="shared" si="0"/>
        <v>24</v>
      </c>
      <c r="O20" s="41" t="s">
        <v>529</v>
      </c>
      <c r="P20" s="41" t="s">
        <v>115</v>
      </c>
      <c r="Q20" s="161">
        <f>+IF(OR(O20="Fire Control",O20="Fire Tex 5062",O20="Fire Tex 5090",O20="Fire Tex 5120"),'CALCULO PINTURA'!P21," ")</f>
        <v>2828</v>
      </c>
      <c r="R20" s="164">
        <f>+IF(OR(O20="Fire Control",O20="Fire Tex 5062",O20="Fire Tex 5090",O20="Fire Tex 5120"),'CALCULO PINTURA'!R21," ")</f>
        <v>3.1121349371411613</v>
      </c>
      <c r="S20" s="164">
        <f>+IF(OR(O20="Fire Control",O20="Fire Tex 5062",O20="Fire Tex 5090",O20="Fire Tex 5120"),'CALCULO PINTURA'!S21," ")</f>
        <v>7.7117478787878788</v>
      </c>
      <c r="T20" s="874" t="str">
        <f>+IF(OR(O20="Blaze Shield II",O20="Cafco 400",O20="Cafco 300"),'CALCULO MORTERO'!N21," ")</f>
        <v xml:space="preserve"> </v>
      </c>
      <c r="U20" s="875" t="str">
        <f>+IF(OR(O20="Blaze Shield II",O20="Cafco 400",O20="Cafco 300"),'CALCULO MORTERO'!O21," ")</f>
        <v xml:space="preserve"> </v>
      </c>
      <c r="V20" s="161" t="str" cm="1">
        <f t="array" ref="V20">_xlfn.IFS(O20="Blaze Shield II",'CALCULO MORTERO'!P21, O20="Cafco 400",'CALCULO MORTERO'!Q21,O20="Cafco 300",'CALCULO MORTERO'!S21, AND(OR(O20="Fire tex 5090", O20="Fire Tex 5062", O20="Fire Tex 5120", O20="Fire Control"),Q20&gt;0), "CERT.",TRUE,"-")</f>
        <v>CERT.</v>
      </c>
    </row>
    <row r="21" spans="1:24" x14ac:dyDescent="0.25">
      <c r="A21" s="874" t="s">
        <v>582</v>
      </c>
      <c r="B21" s="904" t="s">
        <v>570</v>
      </c>
      <c r="C21" s="910" t="s">
        <v>583</v>
      </c>
      <c r="D21" s="944" t="s">
        <v>550</v>
      </c>
      <c r="E21" s="905" t="s">
        <v>600</v>
      </c>
      <c r="F21" s="909" t="s">
        <v>100</v>
      </c>
      <c r="G21" s="874">
        <v>2</v>
      </c>
      <c r="H21" s="874">
        <v>1</v>
      </c>
      <c r="I21" s="906">
        <v>7500</v>
      </c>
      <c r="J21" s="942">
        <v>4</v>
      </c>
      <c r="K21" s="874">
        <v>600</v>
      </c>
      <c r="L21" s="161" t="s">
        <v>156</v>
      </c>
      <c r="M21" s="169">
        <v>250</v>
      </c>
      <c r="N21" s="163">
        <f t="shared" si="0"/>
        <v>9</v>
      </c>
      <c r="O21" s="41" t="s">
        <v>529</v>
      </c>
      <c r="P21" s="41" t="s">
        <v>115</v>
      </c>
      <c r="Q21" s="161">
        <f>+IF(OR(O21="Fire Control",O21="Fire Tex 5062",O21="Fire Tex 5090",O21="Fire Tex 5120"),'CALCULO PINTURA'!P22," ")</f>
        <v>2262</v>
      </c>
      <c r="R21" s="164">
        <f>+IF(OR(O21="Fire Control",O21="Fire Tex 5062",O21="Fire Tex 5090",O21="Fire Tex 5120"),'CALCULO PINTURA'!R22," ")</f>
        <v>3.8908565880792239</v>
      </c>
      <c r="S21" s="164">
        <f>+IF(OR(O21="Fire Control",O21="Fire Tex 5062",O21="Fire Tex 5090",O21="Fire Tex 5120"),'CALCULO PINTURA'!S22," ")</f>
        <v>2.3131153246753247</v>
      </c>
      <c r="T21" s="874" t="str">
        <f>+IF(OR(O21="Blaze Shield II",O21="Cafco 400",O21="Cafco 300"),'CALCULO MORTERO'!N22," ")</f>
        <v xml:space="preserve"> </v>
      </c>
      <c r="U21" s="875" t="str">
        <f>+IF(OR(O21="Blaze Shield II",O21="Cafco 400",O21="Cafco 300"),'CALCULO MORTERO'!O22," ")</f>
        <v xml:space="preserve"> </v>
      </c>
      <c r="V21" s="161" t="str" cm="1">
        <f t="array" ref="V21">_xlfn.IFS(O21="Blaze Shield II",'CALCULO MORTERO'!P22, O21="Cafco 400",'CALCULO MORTERO'!Q22,O21="Cafco 300",'CALCULO MORTERO'!S22, AND(OR(O21="Fire tex 5090", O21="Fire Tex 5062", O21="Fire Tex 5120", O21="Fire Control"),Q21&gt;0), "CERT.",TRUE,"-")</f>
        <v>CERT.</v>
      </c>
    </row>
    <row r="22" spans="1:24" ht="15.75" customHeight="1" x14ac:dyDescent="0.2">
      <c r="A22" s="874" t="s">
        <v>582</v>
      </c>
      <c r="B22" s="904" t="s">
        <v>570</v>
      </c>
      <c r="C22" s="910" t="s">
        <v>572</v>
      </c>
      <c r="D22" s="944" t="s">
        <v>550</v>
      </c>
      <c r="E22" s="905" t="s">
        <v>622</v>
      </c>
      <c r="F22" s="909" t="s">
        <v>100</v>
      </c>
      <c r="G22" s="874">
        <v>9</v>
      </c>
      <c r="H22" s="874">
        <v>1</v>
      </c>
      <c r="I22" s="906">
        <v>6400</v>
      </c>
      <c r="J22" s="942">
        <v>4</v>
      </c>
      <c r="K22" s="874">
        <v>600</v>
      </c>
      <c r="L22" s="161" t="s">
        <v>156</v>
      </c>
      <c r="M22" s="169">
        <v>200</v>
      </c>
      <c r="N22" s="163">
        <f t="shared" si="0"/>
        <v>34.56</v>
      </c>
      <c r="O22" s="41" t="s">
        <v>529</v>
      </c>
      <c r="P22" s="41" t="s">
        <v>115</v>
      </c>
      <c r="Q22" s="161">
        <f>+IF(OR(O22="Fire Control",O22="Fire Tex 5062",O22="Fire Tex 5090",O22="Fire Tex 5120"),'CALCULO PINTURA'!P23," ")</f>
        <v>1930</v>
      </c>
      <c r="R22" s="164">
        <f>+IF(OR(O22="Fire Control",O22="Fire Tex 5062",O22="Fire Tex 5090",O22="Fire Tex 5120"),'CALCULO PINTURA'!R23," ")</f>
        <v>4.5601645607436296</v>
      </c>
      <c r="S22" s="164">
        <f>+IF(OR(O22="Fire Control",O22="Fire Tex 5062",O22="Fire Tex 5090",O22="Fire Tex 5120"),'CALCULO PINTURA'!S23," ")</f>
        <v>7.5786738701298697</v>
      </c>
      <c r="T22" s="874" t="str">
        <f>+IF(OR(O22="Blaze Shield II",O22="Cafco 400",O22="Cafco 300"),'CALCULO MORTERO'!N23," ")</f>
        <v xml:space="preserve"> </v>
      </c>
      <c r="U22" s="875" t="str">
        <f>+IF(OR(O22="Blaze Shield II",O22="Cafco 400",O22="Cafco 300"),'CALCULO MORTERO'!O23," ")</f>
        <v xml:space="preserve"> </v>
      </c>
      <c r="V22" s="161" t="str" cm="1">
        <f t="array" ref="V22">_xlfn.IFS(O22="Blaze Shield II",'CALCULO MORTERO'!P23, O22="Cafco 400",'CALCULO MORTERO'!Q23,O22="Cafco 300",'CALCULO MORTERO'!S23, AND(OR(O22="Fire tex 5090", O22="Fire Tex 5062", O22="Fire Tex 5120", O22="Fire Control"),Q22&gt;0), "CERT.",TRUE,"-")</f>
        <v>CERT.</v>
      </c>
      <c r="W22" s="167"/>
      <c r="X22" s="167"/>
    </row>
    <row r="23" spans="1:24" ht="15.75" customHeight="1" x14ac:dyDescent="0.2">
      <c r="A23" s="874" t="s">
        <v>582</v>
      </c>
      <c r="B23" s="904" t="s">
        <v>570</v>
      </c>
      <c r="C23" s="910" t="s">
        <v>572</v>
      </c>
      <c r="D23" s="944" t="s">
        <v>550</v>
      </c>
      <c r="E23" s="905" t="s">
        <v>622</v>
      </c>
      <c r="F23" s="909" t="s">
        <v>100</v>
      </c>
      <c r="G23" s="874">
        <v>3</v>
      </c>
      <c r="H23" s="874">
        <v>1</v>
      </c>
      <c r="I23" s="906">
        <v>7500</v>
      </c>
      <c r="J23" s="942">
        <v>4</v>
      </c>
      <c r="K23" s="874">
        <v>600</v>
      </c>
      <c r="L23" s="161" t="s">
        <v>156</v>
      </c>
      <c r="M23" s="169">
        <v>200</v>
      </c>
      <c r="N23" s="163">
        <f t="shared" si="0"/>
        <v>13.5</v>
      </c>
      <c r="O23" s="41" t="s">
        <v>529</v>
      </c>
      <c r="P23" s="41" t="s">
        <v>115</v>
      </c>
      <c r="Q23" s="161">
        <f>+IF(OR(O23="Fire Control",O23="Fire Tex 5062",O23="Fire Tex 5090",O23="Fire Tex 5120"),'CALCULO PINTURA'!P24," ")</f>
        <v>1930</v>
      </c>
      <c r="R23" s="164">
        <f>+IF(OR(O23="Fire Control",O23="Fire Tex 5062",O23="Fire Tex 5090",O23="Fire Tex 5120"),'CALCULO PINTURA'!R24," ")</f>
        <v>4.5601645607436296</v>
      </c>
      <c r="S23" s="164">
        <f>+IF(OR(O23="Fire Control",O23="Fire Tex 5062",O23="Fire Tex 5090",O23="Fire Tex 5120"),'CALCULO PINTURA'!S24," ")</f>
        <v>2.9604194805194801</v>
      </c>
      <c r="T23" s="874" t="str">
        <f>+IF(OR(O23="Blaze Shield II",O23="Cafco 400",O23="Cafco 300"),'CALCULO MORTERO'!N24," ")</f>
        <v xml:space="preserve"> </v>
      </c>
      <c r="U23" s="875" t="str">
        <f>+IF(OR(O23="Blaze Shield II",O23="Cafco 400",O23="Cafco 300"),'CALCULO MORTERO'!O24," ")</f>
        <v xml:space="preserve"> </v>
      </c>
      <c r="V23" s="161" t="str" cm="1">
        <f t="array" ref="V23">_xlfn.IFS(O23="Blaze Shield II",'CALCULO MORTERO'!P24, O23="Cafco 400",'CALCULO MORTERO'!Q24,O23="Cafco 300",'CALCULO MORTERO'!S24, AND(OR(O23="Fire tex 5090", O23="Fire Tex 5062", O23="Fire Tex 5120", O23="Fire Control"),Q23&gt;0), "CERT.",TRUE,"-")</f>
        <v>CERT.</v>
      </c>
      <c r="W23" s="167"/>
      <c r="X23" s="167"/>
    </row>
    <row r="24" spans="1:24" x14ac:dyDescent="0.2">
      <c r="A24" s="874"/>
      <c r="B24" s="904"/>
      <c r="C24" s="910"/>
      <c r="D24" s="944"/>
      <c r="E24" s="905"/>
      <c r="F24" s="909"/>
      <c r="G24" s="874"/>
      <c r="H24" s="874"/>
      <c r="I24" s="906"/>
      <c r="J24" s="942">
        <v>4</v>
      </c>
      <c r="K24" s="874"/>
      <c r="L24" s="161"/>
      <c r="M24" s="169"/>
      <c r="N24" s="163">
        <v>0</v>
      </c>
      <c r="O24" s="41"/>
      <c r="P24" s="41" t="s">
        <v>115</v>
      </c>
      <c r="Q24" s="161" t="str">
        <f>+IF(OR(O24="Fire Control",O24="Fire Tex 5062",O24="Fire Tex 5090",O24="Fire Tex 5120"),'CALCULO PINTURA'!P25," ")</f>
        <v xml:space="preserve"> </v>
      </c>
      <c r="R24" s="164" t="str">
        <f>+IF(OR(O24="Fire Control",O24="Fire Tex 5062",O24="Fire Tex 5090",O24="Fire Tex 5120"),'CALCULO PINTURA'!R25," ")</f>
        <v xml:space="preserve"> </v>
      </c>
      <c r="S24" s="164" t="str">
        <f>+IF(OR(O24="Fire Control",O24="Fire Tex 5062",O24="Fire Tex 5090",O24="Fire Tex 5120"),'CALCULO PINTURA'!S25," ")</f>
        <v xml:space="preserve"> </v>
      </c>
      <c r="T24" s="874" t="str">
        <f>+IF(OR(O24="Blaze Shield II",O24="Cafco 400",O24="Cafco 300"),'CALCULO MORTERO'!N25," ")</f>
        <v xml:space="preserve"> </v>
      </c>
      <c r="U24" s="875" t="str">
        <f>+IF(OR(O24="Blaze Shield II",O24="Cafco 400",O24="Cafco 300"),'CALCULO MORTERO'!O25," ")</f>
        <v xml:space="preserve"> </v>
      </c>
      <c r="V24" s="161" t="str" cm="1">
        <f t="array" ref="V24">_xlfn.IFS(O24="Blaze Shield II",'CALCULO MORTERO'!P25, O24="Cafco 400",'CALCULO MORTERO'!Q25,O24="Cafco 300",'CALCULO MORTERO'!S25, AND(OR(O24="Fire tex 5090", O24="Fire Tex 5062", O24="Fire Tex 5120", O24="Fire Control"),Q24&gt;0), "CERT.",TRUE,"-")</f>
        <v>-</v>
      </c>
      <c r="W24" s="167"/>
      <c r="X24" s="167"/>
    </row>
    <row r="25" spans="1:24" x14ac:dyDescent="0.2">
      <c r="A25" s="874"/>
      <c r="B25" s="904"/>
      <c r="C25" s="910"/>
      <c r="D25" s="944"/>
      <c r="E25" s="905"/>
      <c r="F25" s="909"/>
      <c r="G25" s="874"/>
      <c r="H25" s="874"/>
      <c r="I25" s="906"/>
      <c r="J25" s="942">
        <v>4</v>
      </c>
      <c r="K25" s="874"/>
      <c r="L25" s="161"/>
      <c r="M25" s="169"/>
      <c r="N25" s="163">
        <v>0</v>
      </c>
      <c r="O25" s="41"/>
      <c r="P25" s="41" t="s">
        <v>115</v>
      </c>
      <c r="Q25" s="161" t="str">
        <f>+IF(OR(O25="Fire Control",O25="Fire Tex 5062",O25="Fire Tex 5090",O25="Fire Tex 5120"),'CALCULO PINTURA'!P26," ")</f>
        <v xml:space="preserve"> </v>
      </c>
      <c r="R25" s="164" t="str">
        <f>+IF(OR(O25="Fire Control",O25="Fire Tex 5062",O25="Fire Tex 5090",O25="Fire Tex 5120"),'CALCULO PINTURA'!R26," ")</f>
        <v xml:space="preserve"> </v>
      </c>
      <c r="S25" s="164" t="str">
        <f>+IF(OR(O25="Fire Control",O25="Fire Tex 5062",O25="Fire Tex 5090",O25="Fire Tex 5120"),'CALCULO PINTURA'!S26," ")</f>
        <v xml:space="preserve"> </v>
      </c>
      <c r="T25" s="874" t="str">
        <f>+IF(OR(O25="Blaze Shield II",O25="Cafco 400",O25="Cafco 300"),'CALCULO MORTERO'!N26," ")</f>
        <v xml:space="preserve"> </v>
      </c>
      <c r="U25" s="875" t="str">
        <f>+IF(OR(O25="Blaze Shield II",O25="Cafco 400",O25="Cafco 300"),'CALCULO MORTERO'!O26," ")</f>
        <v xml:space="preserve"> </v>
      </c>
      <c r="V25" s="161" t="str" cm="1">
        <f t="array" ref="V25">_xlfn.IFS(O25="Blaze Shield II",'CALCULO MORTERO'!P26, O25="Cafco 400",'CALCULO MORTERO'!Q26,O25="Cafco 300",'CALCULO MORTERO'!S26, AND(OR(O25="Fire tex 5090", O25="Fire Tex 5062", O25="Fire Tex 5120", O25="Fire Control"),Q25&gt;0), "CERT.",TRUE,"-")</f>
        <v>-</v>
      </c>
      <c r="W25" s="167"/>
      <c r="X25" s="167"/>
    </row>
    <row r="26" spans="1:24" x14ac:dyDescent="0.2">
      <c r="A26" s="874" t="s">
        <v>584</v>
      </c>
      <c r="B26" s="904" t="s">
        <v>585</v>
      </c>
      <c r="C26" s="910" t="s">
        <v>586</v>
      </c>
      <c r="D26" s="944" t="s">
        <v>549</v>
      </c>
      <c r="E26" s="910" t="s">
        <v>586</v>
      </c>
      <c r="F26" s="909" t="s">
        <v>100</v>
      </c>
      <c r="G26" s="874">
        <v>2</v>
      </c>
      <c r="H26" s="874">
        <v>1</v>
      </c>
      <c r="I26" s="906">
        <v>15000</v>
      </c>
      <c r="J26" s="942">
        <v>4</v>
      </c>
      <c r="K26" s="874">
        <v>1650</v>
      </c>
      <c r="L26" s="161" t="s">
        <v>156</v>
      </c>
      <c r="M26" s="169">
        <v>250</v>
      </c>
      <c r="N26" s="163">
        <f t="shared" si="0"/>
        <v>49.5</v>
      </c>
      <c r="O26" s="41" t="s">
        <v>529</v>
      </c>
      <c r="P26" s="41" t="s">
        <v>115</v>
      </c>
      <c r="Q26" s="161">
        <f>+IF(OR(O26="Fire Control",O26="Fire Tex 5062",O26="Fire Tex 5090",O26="Fire Tex 5120"),'CALCULO PINTURA'!P27," ")</f>
        <v>2262</v>
      </c>
      <c r="R26" s="164">
        <f>+IF(OR(O26="Fire Control",O26="Fire Tex 5062",O26="Fire Tex 5090",O26="Fire Tex 5120"),'CALCULO PINTURA'!R27," ")</f>
        <v>3.8908565880792239</v>
      </c>
      <c r="S26" s="164">
        <f>+IF(OR(O26="Fire Control",O26="Fire Tex 5062",O26="Fire Tex 5090",O26="Fire Tex 5120"),'CALCULO PINTURA'!S27," ")</f>
        <v>12.722134285714287</v>
      </c>
      <c r="T26" s="874" t="str">
        <f>+IF(OR(O26="Blaze Shield II",O26="Cafco 400",O26="Cafco 300"),'CALCULO MORTERO'!N27," ")</f>
        <v xml:space="preserve"> </v>
      </c>
      <c r="U26" s="875" t="str">
        <f>+IF(OR(O26="Blaze Shield II",O26="Cafco 400",O26="Cafco 300"),'CALCULO MORTERO'!O27," ")</f>
        <v xml:space="preserve"> </v>
      </c>
      <c r="V26" s="161" t="str" cm="1">
        <f t="array" ref="V26">_xlfn.IFS(O26="Blaze Shield II",'CALCULO MORTERO'!P27, O26="Cafco 400",'CALCULO MORTERO'!Q27,O26="Cafco 300",'CALCULO MORTERO'!S27, AND(OR(O26="Fire tex 5090", O26="Fire Tex 5062", O26="Fire Tex 5120", O26="Fire Control"),Q26&gt;0), "CERT.",TRUE,"-")</f>
        <v>CERT.</v>
      </c>
      <c r="W26" s="167"/>
      <c r="X26" s="167"/>
    </row>
    <row r="27" spans="1:24" x14ac:dyDescent="0.2">
      <c r="A27" s="874" t="s">
        <v>588</v>
      </c>
      <c r="B27" s="904" t="s">
        <v>585</v>
      </c>
      <c r="C27" s="910" t="s">
        <v>586</v>
      </c>
      <c r="D27" s="944" t="s">
        <v>549</v>
      </c>
      <c r="E27" s="910" t="s">
        <v>586</v>
      </c>
      <c r="F27" s="909" t="s">
        <v>100</v>
      </c>
      <c r="G27" s="874">
        <v>2</v>
      </c>
      <c r="H27" s="874">
        <v>1</v>
      </c>
      <c r="I27" s="906">
        <v>15000</v>
      </c>
      <c r="J27" s="942">
        <v>4</v>
      </c>
      <c r="K27" s="874">
        <v>1650</v>
      </c>
      <c r="L27" s="161" t="s">
        <v>156</v>
      </c>
      <c r="M27" s="169">
        <v>250</v>
      </c>
      <c r="N27" s="163">
        <f t="shared" si="0"/>
        <v>49.5</v>
      </c>
      <c r="O27" s="41" t="s">
        <v>529</v>
      </c>
      <c r="P27" s="41" t="s">
        <v>115</v>
      </c>
      <c r="Q27" s="161">
        <f>+IF(OR(O27="Fire Control",O27="Fire Tex 5062",O27="Fire Tex 5090",O27="Fire Tex 5120"),'CALCULO PINTURA'!P28," ")</f>
        <v>2262</v>
      </c>
      <c r="R27" s="164">
        <f>+IF(OR(O27="Fire Control",O27="Fire Tex 5062",O27="Fire Tex 5090",O27="Fire Tex 5120"),'CALCULO PINTURA'!R28," ")</f>
        <v>3.8908565880792239</v>
      </c>
      <c r="S27" s="164">
        <f>+IF(OR(O27="Fire Control",O27="Fire Tex 5062",O27="Fire Tex 5090",O27="Fire Tex 5120"),'CALCULO PINTURA'!S28," ")</f>
        <v>12.722134285714287</v>
      </c>
      <c r="T27" s="874" t="str">
        <f>+IF(OR(O27="Blaze Shield II",O27="Cafco 400",O27="Cafco 300"),'CALCULO MORTERO'!N28," ")</f>
        <v xml:space="preserve"> </v>
      </c>
      <c r="U27" s="875" t="str">
        <f>+IF(OR(O27="Blaze Shield II",O27="Cafco 400",O27="Cafco 300"),'CALCULO MORTERO'!O28," ")</f>
        <v xml:space="preserve"> </v>
      </c>
      <c r="V27" s="161" t="str" cm="1">
        <f t="array" ref="V27">_xlfn.IFS(O27="Blaze Shield II",'CALCULO MORTERO'!P28, O27="Cafco 400",'CALCULO MORTERO'!Q28,O27="Cafco 300",'CALCULO MORTERO'!S28, AND(OR(O27="Fire tex 5090", O27="Fire Tex 5062", O27="Fire Tex 5120", O27="Fire Control"),Q27&gt;0), "CERT.",TRUE,"-")</f>
        <v>CERT.</v>
      </c>
      <c r="W27" s="167"/>
      <c r="X27" s="167"/>
    </row>
    <row r="28" spans="1:24" x14ac:dyDescent="0.2">
      <c r="A28" s="874" t="s">
        <v>589</v>
      </c>
      <c r="B28" s="904" t="s">
        <v>585</v>
      </c>
      <c r="C28" s="910" t="s">
        <v>586</v>
      </c>
      <c r="D28" s="944" t="s">
        <v>549</v>
      </c>
      <c r="E28" s="910" t="s">
        <v>586</v>
      </c>
      <c r="F28" s="909" t="s">
        <v>100</v>
      </c>
      <c r="G28" s="874">
        <v>2</v>
      </c>
      <c r="H28" s="874">
        <v>1</v>
      </c>
      <c r="I28" s="906">
        <v>15000</v>
      </c>
      <c r="J28" s="942">
        <v>4</v>
      </c>
      <c r="K28" s="874">
        <v>1650</v>
      </c>
      <c r="L28" s="161" t="s">
        <v>156</v>
      </c>
      <c r="M28" s="169">
        <v>250</v>
      </c>
      <c r="N28" s="163">
        <f t="shared" si="0"/>
        <v>49.5</v>
      </c>
      <c r="O28" s="41" t="s">
        <v>529</v>
      </c>
      <c r="P28" s="41" t="s">
        <v>115</v>
      </c>
      <c r="Q28" s="161">
        <f>+IF(OR(O28="Fire Control",O28="Fire Tex 5062",O28="Fire Tex 5090",O28="Fire Tex 5120"),'CALCULO PINTURA'!P29," ")</f>
        <v>2262</v>
      </c>
      <c r="R28" s="164">
        <f>+IF(OR(O28="Fire Control",O28="Fire Tex 5062",O28="Fire Tex 5090",O28="Fire Tex 5120"),'CALCULO PINTURA'!R29," ")</f>
        <v>3.8908565880792239</v>
      </c>
      <c r="S28" s="164">
        <f>+IF(OR(O28="Fire Control",O28="Fire Tex 5062",O28="Fire Tex 5090",O28="Fire Tex 5120"),'CALCULO PINTURA'!S29," ")</f>
        <v>12.722134285714287</v>
      </c>
      <c r="T28" s="874" t="str">
        <f>+IF(OR(O28="Blaze Shield II",O28="Cafco 400",O28="Cafco 300"),'CALCULO MORTERO'!N29," ")</f>
        <v xml:space="preserve"> </v>
      </c>
      <c r="U28" s="875" t="str">
        <f>+IF(OR(O28="Blaze Shield II",O28="Cafco 400",O28="Cafco 300"),'CALCULO MORTERO'!O29," ")</f>
        <v xml:space="preserve"> </v>
      </c>
      <c r="V28" s="161" t="str" cm="1">
        <f t="array" ref="V28">_xlfn.IFS(O28="Blaze Shield II",'CALCULO MORTERO'!P29, O28="Cafco 400",'CALCULO MORTERO'!Q29,O28="Cafco 300",'CALCULO MORTERO'!S29, AND(OR(O28="Fire tex 5090", O28="Fire Tex 5062", O28="Fire Tex 5120", O28="Fire Control"),Q28&gt;0), "CERT.",TRUE,"-")</f>
        <v>CERT.</v>
      </c>
      <c r="W28" s="167"/>
      <c r="X28" s="167"/>
    </row>
    <row r="29" spans="1:24" x14ac:dyDescent="0.2">
      <c r="A29" s="874" t="s">
        <v>590</v>
      </c>
      <c r="B29" s="904" t="s">
        <v>585</v>
      </c>
      <c r="C29" s="910" t="s">
        <v>586</v>
      </c>
      <c r="D29" s="944" t="s">
        <v>549</v>
      </c>
      <c r="E29" s="910" t="s">
        <v>586</v>
      </c>
      <c r="F29" s="909" t="s">
        <v>100</v>
      </c>
      <c r="G29" s="874">
        <v>2</v>
      </c>
      <c r="H29" s="874">
        <v>7</v>
      </c>
      <c r="I29" s="906">
        <v>15000</v>
      </c>
      <c r="J29" s="942">
        <v>4</v>
      </c>
      <c r="K29" s="874">
        <v>1650</v>
      </c>
      <c r="L29" s="161" t="s">
        <v>156</v>
      </c>
      <c r="M29" s="169">
        <v>250</v>
      </c>
      <c r="N29" s="163">
        <f t="shared" si="0"/>
        <v>346.5</v>
      </c>
      <c r="O29" s="41" t="s">
        <v>529</v>
      </c>
      <c r="P29" s="41" t="s">
        <v>115</v>
      </c>
      <c r="Q29" s="161">
        <f>+IF(OR(O29="Fire Control",O29="Fire Tex 5062",O29="Fire Tex 5090",O29="Fire Tex 5120"),'CALCULO PINTURA'!P30," ")</f>
        <v>2262</v>
      </c>
      <c r="R29" s="164">
        <f>+IF(OR(O29="Fire Control",O29="Fire Tex 5062",O29="Fire Tex 5090",O29="Fire Tex 5120"),'CALCULO PINTURA'!R30," ")</f>
        <v>3.8908565880792239</v>
      </c>
      <c r="S29" s="164">
        <f>+IF(OR(O29="Fire Control",O29="Fire Tex 5062",O29="Fire Tex 5090",O29="Fire Tex 5120"),'CALCULO PINTURA'!S30," ")</f>
        <v>89.054940000000002</v>
      </c>
      <c r="T29" s="874" t="str">
        <f>+IF(OR(O29="Blaze Shield II",O29="Cafco 400",O29="Cafco 300"),'CALCULO MORTERO'!N30," ")</f>
        <v xml:space="preserve"> </v>
      </c>
      <c r="U29" s="875" t="str">
        <f>+IF(OR(O29="Blaze Shield II",O29="Cafco 400",O29="Cafco 300"),'CALCULO MORTERO'!O30," ")</f>
        <v xml:space="preserve"> </v>
      </c>
      <c r="V29" s="161" t="str" cm="1">
        <f t="array" ref="V29">_xlfn.IFS(O29="Blaze Shield II",'CALCULO MORTERO'!P30, O29="Cafco 400",'CALCULO MORTERO'!Q30,O29="Cafco 300",'CALCULO MORTERO'!S30, AND(OR(O29="Fire tex 5090", O29="Fire Tex 5062", O29="Fire Tex 5120", O29="Fire Control"),Q29&gt;0), "CERT.",TRUE,"-")</f>
        <v>CERT.</v>
      </c>
      <c r="W29" s="167"/>
      <c r="X29" s="167"/>
    </row>
    <row r="30" spans="1:24" x14ac:dyDescent="0.2">
      <c r="A30" s="874" t="s">
        <v>591</v>
      </c>
      <c r="B30" s="904" t="s">
        <v>585</v>
      </c>
      <c r="C30" s="910" t="s">
        <v>586</v>
      </c>
      <c r="D30" s="944" t="s">
        <v>549</v>
      </c>
      <c r="E30" s="910" t="s">
        <v>586</v>
      </c>
      <c r="F30" s="909" t="s">
        <v>100</v>
      </c>
      <c r="G30" s="874">
        <v>2</v>
      </c>
      <c r="H30" s="874">
        <v>7</v>
      </c>
      <c r="I30" s="906">
        <v>15000</v>
      </c>
      <c r="J30" s="942">
        <v>4</v>
      </c>
      <c r="K30" s="874">
        <v>1650</v>
      </c>
      <c r="L30" s="161" t="s">
        <v>156</v>
      </c>
      <c r="M30" s="169">
        <v>250</v>
      </c>
      <c r="N30" s="163">
        <f t="shared" si="0"/>
        <v>346.5</v>
      </c>
      <c r="O30" s="41" t="s">
        <v>529</v>
      </c>
      <c r="P30" s="41" t="s">
        <v>115</v>
      </c>
      <c r="Q30" s="161">
        <f>+IF(OR(O30="Fire Control",O30="Fire Tex 5062",O30="Fire Tex 5090",O30="Fire Tex 5120"),'CALCULO PINTURA'!P31," ")</f>
        <v>2262</v>
      </c>
      <c r="R30" s="164">
        <f>+IF(OR(O30="Fire Control",O30="Fire Tex 5062",O30="Fire Tex 5090",O30="Fire Tex 5120"),'CALCULO PINTURA'!R31," ")</f>
        <v>3.8908565880792239</v>
      </c>
      <c r="S30" s="164">
        <f>+IF(OR(O30="Fire Control",O30="Fire Tex 5062",O30="Fire Tex 5090",O30="Fire Tex 5120"),'CALCULO PINTURA'!S31," ")</f>
        <v>89.054940000000002</v>
      </c>
      <c r="T30" s="874" t="str">
        <f>+IF(OR(O30="Blaze Shield II",O30="Cafco 400",O30="Cafco 300"),'CALCULO MORTERO'!N31," ")</f>
        <v xml:space="preserve"> </v>
      </c>
      <c r="U30" s="875" t="str">
        <f>+IF(OR(O30="Blaze Shield II",O30="Cafco 400",O30="Cafco 300"),'CALCULO MORTERO'!O31," ")</f>
        <v xml:space="preserve"> </v>
      </c>
      <c r="V30" s="161" t="str" cm="1">
        <f t="array" ref="V30">_xlfn.IFS(O30="Blaze Shield II",'CALCULO MORTERO'!P31, O30="Cafco 400",'CALCULO MORTERO'!Q31,O30="Cafco 300",'CALCULO MORTERO'!S31, AND(OR(O30="Fire tex 5090", O30="Fire Tex 5062", O30="Fire Tex 5120", O30="Fire Control"),Q30&gt;0), "CERT.",TRUE,"-")</f>
        <v>CERT.</v>
      </c>
      <c r="W30" s="167"/>
      <c r="X30" s="167"/>
    </row>
    <row r="31" spans="1:24" x14ac:dyDescent="0.2">
      <c r="A31" s="874" t="s">
        <v>591</v>
      </c>
      <c r="B31" s="904" t="s">
        <v>585</v>
      </c>
      <c r="C31" s="910" t="s">
        <v>583</v>
      </c>
      <c r="D31" s="944" t="s">
        <v>550</v>
      </c>
      <c r="E31" s="905" t="s">
        <v>600</v>
      </c>
      <c r="F31" s="909" t="s">
        <v>100</v>
      </c>
      <c r="G31" s="874">
        <v>2</v>
      </c>
      <c r="H31" s="874">
        <v>1</v>
      </c>
      <c r="I31" s="906">
        <v>6200</v>
      </c>
      <c r="J31" s="942">
        <v>4</v>
      </c>
      <c r="K31" s="874">
        <v>600</v>
      </c>
      <c r="L31" s="161" t="s">
        <v>156</v>
      </c>
      <c r="M31" s="169">
        <v>250</v>
      </c>
      <c r="N31" s="163">
        <f t="shared" si="0"/>
        <v>7.44</v>
      </c>
      <c r="O31" s="41" t="s">
        <v>529</v>
      </c>
      <c r="P31" s="41" t="s">
        <v>115</v>
      </c>
      <c r="Q31" s="161">
        <f>+IF(OR(O31="Fire Control",O31="Fire Tex 5062",O31="Fire Tex 5090",O31="Fire Tex 5120"),'CALCULO PINTURA'!P32," ")</f>
        <v>2262</v>
      </c>
      <c r="R31" s="164">
        <f>+IF(OR(O31="Fire Control",O31="Fire Tex 5062",O31="Fire Tex 5090",O31="Fire Tex 5120"),'CALCULO PINTURA'!R32," ")</f>
        <v>3.8908565880792239</v>
      </c>
      <c r="S31" s="164">
        <f>+IF(OR(O31="Fire Control",O31="Fire Tex 5062",O31="Fire Tex 5090",O31="Fire Tex 5120"),'CALCULO PINTURA'!S32," ")</f>
        <v>1.9121753350649351</v>
      </c>
      <c r="T31" s="874" t="str">
        <f>+IF(OR(O31="Blaze Shield II",O31="Cafco 400",O31="Cafco 300"),'CALCULO MORTERO'!N32," ")</f>
        <v xml:space="preserve"> </v>
      </c>
      <c r="U31" s="875" t="str">
        <f>+IF(OR(O31="Blaze Shield II",O31="Cafco 400",O31="Cafco 300"),'CALCULO MORTERO'!O32," ")</f>
        <v xml:space="preserve"> </v>
      </c>
      <c r="V31" s="161" t="str" cm="1">
        <f t="array" ref="V31">_xlfn.IFS(O31="Blaze Shield II",'CALCULO MORTERO'!P32, O31="Cafco 400",'CALCULO MORTERO'!Q32,O31="Cafco 300",'CALCULO MORTERO'!S32, AND(OR(O31="Fire tex 5090", O31="Fire Tex 5062", O31="Fire Tex 5120", O31="Fire Control"),Q31&gt;0), "CERT.",TRUE,"-")</f>
        <v>CERT.</v>
      </c>
      <c r="W31" s="167"/>
      <c r="X31" s="167"/>
    </row>
    <row r="32" spans="1:24" x14ac:dyDescent="0.2">
      <c r="A32" s="874" t="s">
        <v>591</v>
      </c>
      <c r="B32" s="904" t="s">
        <v>585</v>
      </c>
      <c r="C32" s="910" t="s">
        <v>583</v>
      </c>
      <c r="D32" s="944" t="s">
        <v>550</v>
      </c>
      <c r="E32" s="905" t="s">
        <v>600</v>
      </c>
      <c r="F32" s="909" t="s">
        <v>100</v>
      </c>
      <c r="G32" s="874">
        <v>1</v>
      </c>
      <c r="H32" s="874">
        <v>1</v>
      </c>
      <c r="I32" s="906">
        <v>7500</v>
      </c>
      <c r="J32" s="942">
        <v>4</v>
      </c>
      <c r="K32" s="874">
        <v>600</v>
      </c>
      <c r="L32" s="161" t="s">
        <v>156</v>
      </c>
      <c r="M32" s="169">
        <v>250</v>
      </c>
      <c r="N32" s="163">
        <f t="shared" si="0"/>
        <v>4.5</v>
      </c>
      <c r="O32" s="41" t="s">
        <v>529</v>
      </c>
      <c r="P32" s="41" t="s">
        <v>115</v>
      </c>
      <c r="Q32" s="161">
        <f>+IF(OR(O32="Fire Control",O32="Fire Tex 5062",O32="Fire Tex 5090",O32="Fire Tex 5120"),'CALCULO PINTURA'!P33," ")</f>
        <v>2262</v>
      </c>
      <c r="R32" s="164">
        <f>+IF(OR(O32="Fire Control",O32="Fire Tex 5062",O32="Fire Tex 5090",O32="Fire Tex 5120"),'CALCULO PINTURA'!R33," ")</f>
        <v>3.8908565880792239</v>
      </c>
      <c r="S32" s="164">
        <f>+IF(OR(O32="Fire Control",O32="Fire Tex 5062",O32="Fire Tex 5090",O32="Fire Tex 5120"),'CALCULO PINTURA'!S33," ")</f>
        <v>1.1565576623376623</v>
      </c>
      <c r="T32" s="874" t="str">
        <f>+IF(OR(O32="Blaze Shield II",O32="Cafco 400",O32="Cafco 300"),'CALCULO MORTERO'!N33," ")</f>
        <v xml:space="preserve"> </v>
      </c>
      <c r="U32" s="875" t="str">
        <f>+IF(OR(O32="Blaze Shield II",O32="Cafco 400",O32="Cafco 300"),'CALCULO MORTERO'!O33," ")</f>
        <v xml:space="preserve"> </v>
      </c>
      <c r="V32" s="161" t="str" cm="1">
        <f t="array" ref="V32">_xlfn.IFS(O32="Blaze Shield II",'CALCULO MORTERO'!P33, O32="Cafco 400",'CALCULO MORTERO'!Q33,O32="Cafco 300",'CALCULO MORTERO'!S33, AND(OR(O32="Fire tex 5090", O32="Fire Tex 5062", O32="Fire Tex 5120", O32="Fire Control"),Q32&gt;0), "CERT.",TRUE,"-")</f>
        <v>CERT.</v>
      </c>
      <c r="W32" s="167"/>
      <c r="X32" s="167"/>
    </row>
    <row r="33" spans="1:24" x14ac:dyDescent="0.2">
      <c r="A33" s="874" t="s">
        <v>591</v>
      </c>
      <c r="B33" s="904" t="s">
        <v>585</v>
      </c>
      <c r="C33" s="910" t="s">
        <v>573</v>
      </c>
      <c r="D33" s="944" t="s">
        <v>550</v>
      </c>
      <c r="E33" s="905" t="s">
        <v>581</v>
      </c>
      <c r="F33" s="909" t="s">
        <v>100</v>
      </c>
      <c r="G33" s="874">
        <v>1</v>
      </c>
      <c r="H33" s="874">
        <v>1</v>
      </c>
      <c r="I33" s="906">
        <v>15000</v>
      </c>
      <c r="J33" s="942">
        <v>4</v>
      </c>
      <c r="K33" s="874">
        <v>600</v>
      </c>
      <c r="L33" s="161" t="s">
        <v>156</v>
      </c>
      <c r="M33" s="169">
        <v>333</v>
      </c>
      <c r="N33" s="163">
        <f t="shared" si="0"/>
        <v>9</v>
      </c>
      <c r="O33" s="41" t="s">
        <v>529</v>
      </c>
      <c r="P33" s="41" t="s">
        <v>115</v>
      </c>
      <c r="Q33" s="161">
        <f>+IF(OR(O33="Fire Control",O33="Fire Tex 5062",O33="Fire Tex 5090",O33="Fire Tex 5120"),'CALCULO PINTURA'!P34," ")</f>
        <v>2828</v>
      </c>
      <c r="R33" s="164">
        <f>+IF(OR(O33="Fire Control",O33="Fire Tex 5062",O33="Fire Tex 5090",O33="Fire Tex 5120"),'CALCULO PINTURA'!R34," ")</f>
        <v>3.1121349371411613</v>
      </c>
      <c r="S33" s="164">
        <f>+IF(OR(O33="Fire Control",O33="Fire Tex 5062",O33="Fire Tex 5090",O33="Fire Tex 5120"),'CALCULO PINTURA'!S34," ")</f>
        <v>2.8919054545454546</v>
      </c>
      <c r="T33" s="874" t="str">
        <f>+IF(OR(O33="Blaze Shield II",O33="Cafco 400",O33="Cafco 300"),'CALCULO MORTERO'!N34," ")</f>
        <v xml:space="preserve"> </v>
      </c>
      <c r="U33" s="875" t="str">
        <f>+IF(OR(O33="Blaze Shield II",O33="Cafco 400",O33="Cafco 300"),'CALCULO MORTERO'!O34," ")</f>
        <v xml:space="preserve"> </v>
      </c>
      <c r="V33" s="161" t="str" cm="1">
        <f t="array" ref="V33">_xlfn.IFS(O33="Blaze Shield II",'CALCULO MORTERO'!P34, O33="Cafco 400",'CALCULO MORTERO'!Q34,O33="Cafco 300",'CALCULO MORTERO'!S34, AND(OR(O33="Fire tex 5090", O33="Fire Tex 5062", O33="Fire Tex 5120", O33="Fire Control"),Q33&gt;0), "CERT.",TRUE,"-")</f>
        <v>CERT.</v>
      </c>
      <c r="W33" s="167"/>
      <c r="X33" s="167"/>
    </row>
    <row r="34" spans="1:24" x14ac:dyDescent="0.2">
      <c r="A34" s="874" t="s">
        <v>591</v>
      </c>
      <c r="B34" s="904" t="s">
        <v>585</v>
      </c>
      <c r="C34" s="910" t="s">
        <v>572</v>
      </c>
      <c r="D34" s="944" t="s">
        <v>550</v>
      </c>
      <c r="E34" s="905" t="s">
        <v>622</v>
      </c>
      <c r="F34" s="909" t="s">
        <v>100</v>
      </c>
      <c r="G34" s="874">
        <v>4</v>
      </c>
      <c r="H34" s="874">
        <v>1</v>
      </c>
      <c r="I34" s="906">
        <v>4000</v>
      </c>
      <c r="J34" s="942">
        <v>4</v>
      </c>
      <c r="K34" s="874">
        <v>600</v>
      </c>
      <c r="L34" s="161" t="s">
        <v>156</v>
      </c>
      <c r="M34" s="169">
        <v>200</v>
      </c>
      <c r="N34" s="163">
        <f t="shared" si="0"/>
        <v>9.6</v>
      </c>
      <c r="O34" s="41" t="s">
        <v>529</v>
      </c>
      <c r="P34" s="41" t="s">
        <v>115</v>
      </c>
      <c r="Q34" s="161">
        <f>+IF(OR(O34="Fire Control",O34="Fire Tex 5062",O34="Fire Tex 5090",O34="Fire Tex 5120"),'CALCULO PINTURA'!P35," ")</f>
        <v>1930</v>
      </c>
      <c r="R34" s="164">
        <f>+IF(OR(O34="Fire Control",O34="Fire Tex 5062",O34="Fire Tex 5090",O34="Fire Tex 5120"),'CALCULO PINTURA'!R35," ")</f>
        <v>4.5601645607436296</v>
      </c>
      <c r="S34" s="164">
        <f>+IF(OR(O34="Fire Control",O34="Fire Tex 5062",O34="Fire Tex 5090",O34="Fire Tex 5120"),'CALCULO PINTURA'!S35," ")</f>
        <v>2.105187186147186</v>
      </c>
      <c r="T34" s="874" t="str">
        <f>+IF(OR(O34="Blaze Shield II",O34="Cafco 400",O34="Cafco 300"),'CALCULO MORTERO'!N35," ")</f>
        <v xml:space="preserve"> </v>
      </c>
      <c r="U34" s="875" t="str">
        <f>+IF(OR(O34="Blaze Shield II",O34="Cafco 400",O34="Cafco 300"),'CALCULO MORTERO'!O35," ")</f>
        <v xml:space="preserve"> </v>
      </c>
      <c r="V34" s="161" t="str" cm="1">
        <f t="array" ref="V34">_xlfn.IFS(O34="Blaze Shield II",'CALCULO MORTERO'!P35, O34="Cafco 400",'CALCULO MORTERO'!Q35,O34="Cafco 300",'CALCULO MORTERO'!S35, AND(OR(O34="Fire tex 5090", O34="Fire Tex 5062", O34="Fire Tex 5120", O34="Fire Control"),Q34&gt;0), "CERT.",TRUE,"-")</f>
        <v>CERT.</v>
      </c>
      <c r="W34" s="167"/>
      <c r="X34" s="167"/>
    </row>
    <row r="35" spans="1:24" x14ac:dyDescent="0.2">
      <c r="A35" s="874" t="s">
        <v>592</v>
      </c>
      <c r="B35" s="904" t="s">
        <v>585</v>
      </c>
      <c r="C35" s="910" t="s">
        <v>583</v>
      </c>
      <c r="D35" s="944" t="s">
        <v>550</v>
      </c>
      <c r="E35" s="905" t="s">
        <v>600</v>
      </c>
      <c r="F35" s="909" t="s">
        <v>100</v>
      </c>
      <c r="G35" s="874">
        <v>1</v>
      </c>
      <c r="H35" s="874">
        <v>1</v>
      </c>
      <c r="I35" s="906">
        <v>8000</v>
      </c>
      <c r="J35" s="942">
        <v>4</v>
      </c>
      <c r="K35" s="874">
        <v>600</v>
      </c>
      <c r="L35" s="161" t="s">
        <v>156</v>
      </c>
      <c r="M35" s="169">
        <v>250</v>
      </c>
      <c r="N35" s="163">
        <f t="shared" si="0"/>
        <v>4.8</v>
      </c>
      <c r="O35" s="41" t="s">
        <v>529</v>
      </c>
      <c r="P35" s="41" t="s">
        <v>115</v>
      </c>
      <c r="Q35" s="161">
        <f>+IF(OR(O35="Fire Control",O35="Fire Tex 5062",O35="Fire Tex 5090",O35="Fire Tex 5120"),'CALCULO PINTURA'!P36," ")</f>
        <v>2262</v>
      </c>
      <c r="R35" s="164">
        <f>+IF(OR(O35="Fire Control",O35="Fire Tex 5062",O35="Fire Tex 5090",O35="Fire Tex 5120"),'CALCULO PINTURA'!R36," ")</f>
        <v>3.8908565880792239</v>
      </c>
      <c r="S35" s="164">
        <f>+IF(OR(O35="Fire Control",O35="Fire Tex 5062",O35="Fire Tex 5090",O35="Fire Tex 5120"),'CALCULO PINTURA'!S36," ")</f>
        <v>1.2336615064935064</v>
      </c>
      <c r="T35" s="874" t="str">
        <f>+IF(OR(O35="Blaze Shield II",O35="Cafco 400",O35="Cafco 300"),'CALCULO MORTERO'!N36," ")</f>
        <v xml:space="preserve"> </v>
      </c>
      <c r="U35" s="875" t="str">
        <f>+IF(OR(O35="Blaze Shield II",O35="Cafco 400",O35="Cafco 300"),'CALCULO MORTERO'!O36," ")</f>
        <v xml:space="preserve"> </v>
      </c>
      <c r="V35" s="161" t="str" cm="1">
        <f t="array" ref="V35">_xlfn.IFS(O35="Blaze Shield II",'CALCULO MORTERO'!P36, O35="Cafco 400",'CALCULO MORTERO'!Q36,O35="Cafco 300",'CALCULO MORTERO'!S36, AND(OR(O35="Fire tex 5090", O35="Fire Tex 5062", O35="Fire Tex 5120", O35="Fire Control"),Q35&gt;0), "CERT.",TRUE,"-")</f>
        <v>CERT.</v>
      </c>
      <c r="W35" s="167"/>
      <c r="X35" s="167"/>
    </row>
    <row r="36" spans="1:24" x14ac:dyDescent="0.2">
      <c r="A36" s="874" t="s">
        <v>592</v>
      </c>
      <c r="B36" s="904" t="s">
        <v>585</v>
      </c>
      <c r="C36" s="910" t="s">
        <v>583</v>
      </c>
      <c r="D36" s="944" t="s">
        <v>550</v>
      </c>
      <c r="E36" s="905" t="s">
        <v>600</v>
      </c>
      <c r="F36" s="909" t="s">
        <v>100</v>
      </c>
      <c r="G36" s="874">
        <v>1</v>
      </c>
      <c r="H36" s="874">
        <v>1</v>
      </c>
      <c r="I36" s="906">
        <v>7500</v>
      </c>
      <c r="J36" s="942">
        <v>4</v>
      </c>
      <c r="K36" s="874">
        <v>600</v>
      </c>
      <c r="L36" s="161" t="s">
        <v>156</v>
      </c>
      <c r="M36" s="169">
        <v>250</v>
      </c>
      <c r="N36" s="163">
        <f t="shared" si="0"/>
        <v>4.5</v>
      </c>
      <c r="O36" s="41" t="s">
        <v>529</v>
      </c>
      <c r="P36" s="41" t="s">
        <v>115</v>
      </c>
      <c r="Q36" s="161">
        <f>+IF(OR(O36="Fire Control",O36="Fire Tex 5062",O36="Fire Tex 5090",O36="Fire Tex 5120"),'CALCULO PINTURA'!P37," ")</f>
        <v>2262</v>
      </c>
      <c r="R36" s="164">
        <f>+IF(OR(O36="Fire Control",O36="Fire Tex 5062",O36="Fire Tex 5090",O36="Fire Tex 5120"),'CALCULO PINTURA'!R37," ")</f>
        <v>3.8908565880792239</v>
      </c>
      <c r="S36" s="164">
        <f>+IF(OR(O36="Fire Control",O36="Fire Tex 5062",O36="Fire Tex 5090",O36="Fire Tex 5120"),'CALCULO PINTURA'!S37," ")</f>
        <v>1.1565576623376623</v>
      </c>
      <c r="T36" s="874" t="str">
        <f>+IF(OR(O36="Blaze Shield II",O36="Cafco 400",O36="Cafco 300"),'CALCULO MORTERO'!N37," ")</f>
        <v xml:space="preserve"> </v>
      </c>
      <c r="U36" s="875" t="str">
        <f>+IF(OR(O36="Blaze Shield II",O36="Cafco 400",O36="Cafco 300"),'CALCULO MORTERO'!O37," ")</f>
        <v xml:space="preserve"> </v>
      </c>
      <c r="V36" s="161" t="str" cm="1">
        <f t="array" ref="V36">_xlfn.IFS(O36="Blaze Shield II",'CALCULO MORTERO'!P37, O36="Cafco 400",'CALCULO MORTERO'!Q37,O36="Cafco 300",'CALCULO MORTERO'!S37, AND(OR(O36="Fire tex 5090", O36="Fire Tex 5062", O36="Fire Tex 5120", O36="Fire Control"),Q36&gt;0), "CERT.",TRUE,"-")</f>
        <v>CERT.</v>
      </c>
      <c r="W36" s="167"/>
      <c r="X36" s="167"/>
    </row>
    <row r="37" spans="1:24" x14ac:dyDescent="0.2">
      <c r="A37" s="874" t="s">
        <v>592</v>
      </c>
      <c r="B37" s="904" t="s">
        <v>585</v>
      </c>
      <c r="C37" s="910" t="s">
        <v>583</v>
      </c>
      <c r="D37" s="944" t="s">
        <v>550</v>
      </c>
      <c r="E37" s="905" t="s">
        <v>600</v>
      </c>
      <c r="F37" s="909" t="s">
        <v>100</v>
      </c>
      <c r="G37" s="874">
        <v>1</v>
      </c>
      <c r="H37" s="874">
        <v>1</v>
      </c>
      <c r="I37" s="906">
        <v>6500</v>
      </c>
      <c r="J37" s="942">
        <v>4</v>
      </c>
      <c r="K37" s="874">
        <v>600</v>
      </c>
      <c r="L37" s="161" t="s">
        <v>156</v>
      </c>
      <c r="M37" s="169">
        <v>250</v>
      </c>
      <c r="N37" s="163">
        <f t="shared" si="0"/>
        <v>3.9</v>
      </c>
      <c r="O37" s="41" t="s">
        <v>529</v>
      </c>
      <c r="P37" s="41" t="s">
        <v>115</v>
      </c>
      <c r="Q37" s="161">
        <f>+IF(OR(O37="Fire Control",O37="Fire Tex 5062",O37="Fire Tex 5090",O37="Fire Tex 5120"),'CALCULO PINTURA'!P38," ")</f>
        <v>2262</v>
      </c>
      <c r="R37" s="164">
        <f>+IF(OR(O37="Fire Control",O37="Fire Tex 5062",O37="Fire Tex 5090",O37="Fire Tex 5120"),'CALCULO PINTURA'!R38," ")</f>
        <v>3.8908565880792239</v>
      </c>
      <c r="S37" s="164">
        <f>+IF(OR(O37="Fire Control",O37="Fire Tex 5062",O37="Fire Tex 5090",O37="Fire Tex 5120"),'CALCULO PINTURA'!S38," ")</f>
        <v>1.002349974025974</v>
      </c>
      <c r="T37" s="874" t="str">
        <f>+IF(OR(O37="Blaze Shield II",O37="Cafco 400",O37="Cafco 300"),'CALCULO MORTERO'!N38," ")</f>
        <v xml:space="preserve"> </v>
      </c>
      <c r="U37" s="875" t="str">
        <f>+IF(OR(O37="Blaze Shield II",O37="Cafco 400",O37="Cafco 300"),'CALCULO MORTERO'!O38," ")</f>
        <v xml:space="preserve"> </v>
      </c>
      <c r="V37" s="161" t="str" cm="1">
        <f t="array" ref="V37">_xlfn.IFS(O37="Blaze Shield II",'CALCULO MORTERO'!P38, O37="Cafco 400",'CALCULO MORTERO'!Q38,O37="Cafco 300",'CALCULO MORTERO'!S38, AND(OR(O37="Fire tex 5090", O37="Fire Tex 5062", O37="Fire Tex 5120", O37="Fire Control"),Q37&gt;0), "CERT.",TRUE,"-")</f>
        <v>CERT.</v>
      </c>
      <c r="W37" s="167"/>
      <c r="X37" s="167"/>
    </row>
    <row r="38" spans="1:24" x14ac:dyDescent="0.2">
      <c r="A38" s="874" t="s">
        <v>592</v>
      </c>
      <c r="B38" s="904" t="s">
        <v>585</v>
      </c>
      <c r="C38" s="910" t="s">
        <v>572</v>
      </c>
      <c r="D38" s="944" t="s">
        <v>550</v>
      </c>
      <c r="E38" s="905" t="s">
        <v>622</v>
      </c>
      <c r="F38" s="909" t="s">
        <v>100</v>
      </c>
      <c r="G38" s="874">
        <v>1</v>
      </c>
      <c r="H38" s="874">
        <v>1</v>
      </c>
      <c r="I38" s="906">
        <v>6000</v>
      </c>
      <c r="J38" s="942">
        <v>4</v>
      </c>
      <c r="K38" s="874">
        <v>600</v>
      </c>
      <c r="L38" s="161" t="s">
        <v>156</v>
      </c>
      <c r="M38" s="169">
        <v>200</v>
      </c>
      <c r="N38" s="163">
        <f t="shared" si="0"/>
        <v>3.6</v>
      </c>
      <c r="O38" s="41" t="s">
        <v>529</v>
      </c>
      <c r="P38" s="41" t="s">
        <v>115</v>
      </c>
      <c r="Q38" s="161">
        <f>+IF(OR(O38="Fire Control",O38="Fire Tex 5062",O38="Fire Tex 5090",O38="Fire Tex 5120"),'CALCULO PINTURA'!P39," ")</f>
        <v>1930</v>
      </c>
      <c r="R38" s="164">
        <f>+IF(OR(O38="Fire Control",O38="Fire Tex 5062",O38="Fire Tex 5090",O38="Fire Tex 5120"),'CALCULO PINTURA'!R39," ")</f>
        <v>4.5601645607436296</v>
      </c>
      <c r="S38" s="164">
        <f>+IF(OR(O38="Fire Control",O38="Fire Tex 5062",O38="Fire Tex 5090",O38="Fire Tex 5120"),'CALCULO PINTURA'!S39," ")</f>
        <v>0.78944519480519471</v>
      </c>
      <c r="T38" s="874" t="str">
        <f>+IF(OR(O38="Blaze Shield II",O38="Cafco 400",O38="Cafco 300"),'CALCULO MORTERO'!N39," ")</f>
        <v xml:space="preserve"> </v>
      </c>
      <c r="U38" s="875" t="str">
        <f>+IF(OR(O38="Blaze Shield II",O38="Cafco 400",O38="Cafco 300"),'CALCULO MORTERO'!O39," ")</f>
        <v xml:space="preserve"> </v>
      </c>
      <c r="V38" s="161" t="str" cm="1">
        <f t="array" ref="V38">_xlfn.IFS(O38="Blaze Shield II",'CALCULO MORTERO'!P39, O38="Cafco 400",'CALCULO MORTERO'!Q39,O38="Cafco 300",'CALCULO MORTERO'!S39, AND(OR(O38="Fire tex 5090", O38="Fire Tex 5062", O38="Fire Tex 5120", O38="Fire Control"),Q38&gt;0), "CERT.",TRUE,"-")</f>
        <v>CERT.</v>
      </c>
      <c r="W38" s="167"/>
      <c r="X38" s="167"/>
    </row>
    <row r="39" spans="1:24" x14ac:dyDescent="0.2">
      <c r="A39" s="874" t="s">
        <v>592</v>
      </c>
      <c r="B39" s="904" t="s">
        <v>585</v>
      </c>
      <c r="C39" s="910" t="s">
        <v>586</v>
      </c>
      <c r="D39" s="944" t="s">
        <v>549</v>
      </c>
      <c r="E39" s="910" t="s">
        <v>586</v>
      </c>
      <c r="F39" s="909" t="s">
        <v>100</v>
      </c>
      <c r="G39" s="874">
        <v>2</v>
      </c>
      <c r="H39" s="874">
        <v>1</v>
      </c>
      <c r="I39" s="906">
        <v>15000</v>
      </c>
      <c r="J39" s="942">
        <v>4</v>
      </c>
      <c r="K39" s="874">
        <v>1650</v>
      </c>
      <c r="L39" s="161" t="s">
        <v>156</v>
      </c>
      <c r="M39" s="169">
        <v>250</v>
      </c>
      <c r="N39" s="163">
        <f t="shared" si="0"/>
        <v>49.5</v>
      </c>
      <c r="O39" s="41" t="s">
        <v>529</v>
      </c>
      <c r="P39" s="41" t="s">
        <v>115</v>
      </c>
      <c r="Q39" s="161">
        <f>+IF(OR(O39="Fire Control",O39="Fire Tex 5062",O39="Fire Tex 5090",O39="Fire Tex 5120"),'CALCULO PINTURA'!P40," ")</f>
        <v>2262</v>
      </c>
      <c r="R39" s="164">
        <f>+IF(OR(O39="Fire Control",O39="Fire Tex 5062",O39="Fire Tex 5090",O39="Fire Tex 5120"),'CALCULO PINTURA'!R40," ")</f>
        <v>3.8908565880792239</v>
      </c>
      <c r="S39" s="164">
        <f>+IF(OR(O39="Fire Control",O39="Fire Tex 5062",O39="Fire Tex 5090",O39="Fire Tex 5120"),'CALCULO PINTURA'!S40," ")</f>
        <v>12.722134285714287</v>
      </c>
      <c r="T39" s="874" t="str">
        <f>+IF(OR(O39="Blaze Shield II",O39="Cafco 400",O39="Cafco 300"),'CALCULO MORTERO'!N40," ")</f>
        <v xml:space="preserve"> </v>
      </c>
      <c r="U39" s="875" t="str">
        <f>+IF(OR(O39="Blaze Shield II",O39="Cafco 400",O39="Cafco 300"),'CALCULO MORTERO'!O40," ")</f>
        <v xml:space="preserve"> </v>
      </c>
      <c r="V39" s="161" t="str" cm="1">
        <f t="array" ref="V39">_xlfn.IFS(O39="Blaze Shield II",'CALCULO MORTERO'!P40, O39="Cafco 400",'CALCULO MORTERO'!Q40,O39="Cafco 300",'CALCULO MORTERO'!S40, AND(OR(O39="Fire tex 5090", O39="Fire Tex 5062", O39="Fire Tex 5120", O39="Fire Control"),Q39&gt;0), "CERT.",TRUE,"-")</f>
        <v>CERT.</v>
      </c>
      <c r="W39" s="167"/>
      <c r="X39" s="167"/>
    </row>
    <row r="40" spans="1:24" x14ac:dyDescent="0.2">
      <c r="A40" s="874" t="s">
        <v>592</v>
      </c>
      <c r="B40" s="904" t="s">
        <v>585</v>
      </c>
      <c r="C40" s="910" t="s">
        <v>573</v>
      </c>
      <c r="D40" s="944" t="s">
        <v>549</v>
      </c>
      <c r="E40" s="905" t="s">
        <v>581</v>
      </c>
      <c r="F40" s="909" t="s">
        <v>100</v>
      </c>
      <c r="G40" s="874">
        <v>2</v>
      </c>
      <c r="H40" s="874">
        <v>1</v>
      </c>
      <c r="I40" s="906">
        <v>11370</v>
      </c>
      <c r="J40" s="942">
        <v>4</v>
      </c>
      <c r="K40" s="874">
        <v>600</v>
      </c>
      <c r="L40" s="161" t="s">
        <v>156</v>
      </c>
      <c r="M40" s="169">
        <v>333</v>
      </c>
      <c r="N40" s="163">
        <f t="shared" si="0"/>
        <v>13.644</v>
      </c>
      <c r="O40" s="41" t="s">
        <v>529</v>
      </c>
      <c r="P40" s="41" t="s">
        <v>115</v>
      </c>
      <c r="Q40" s="161">
        <f>+IF(OR(O40="Fire Control",O40="Fire Tex 5062",O40="Fire Tex 5090",O40="Fire Tex 5120"),'CALCULO PINTURA'!P41," ")</f>
        <v>2828</v>
      </c>
      <c r="R40" s="164">
        <f>+IF(OR(O40="Fire Control",O40="Fire Tex 5062",O40="Fire Tex 5090",O40="Fire Tex 5120"),'CALCULO PINTURA'!R41," ")</f>
        <v>3.1121349371411613</v>
      </c>
      <c r="S40" s="164">
        <f>+IF(OR(O40="Fire Control",O40="Fire Tex 5062",O40="Fire Tex 5090",O40="Fire Tex 5120"),'CALCULO PINTURA'!S41," ")</f>
        <v>4.3841286690909094</v>
      </c>
      <c r="T40" s="874" t="str">
        <f>+IF(OR(O40="Blaze Shield II",O40="Cafco 400",O40="Cafco 300"),'CALCULO MORTERO'!N41," ")</f>
        <v xml:space="preserve"> </v>
      </c>
      <c r="U40" s="875" t="str">
        <f>+IF(OR(O40="Blaze Shield II",O40="Cafco 400",O40="Cafco 300"),'CALCULO MORTERO'!O41," ")</f>
        <v xml:space="preserve"> </v>
      </c>
      <c r="V40" s="161" t="str" cm="1">
        <f t="array" ref="V40">_xlfn.IFS(O40="Blaze Shield II",'CALCULO MORTERO'!P41, O40="Cafco 400",'CALCULO MORTERO'!Q41,O40="Cafco 300",'CALCULO MORTERO'!S41, AND(OR(O40="Fire tex 5090", O40="Fire Tex 5062", O40="Fire Tex 5120", O40="Fire Control"),Q40&gt;0), "CERT.",TRUE,"-")</f>
        <v>CERT.</v>
      </c>
      <c r="W40" s="167"/>
      <c r="X40" s="167"/>
    </row>
    <row r="41" spans="1:24" x14ac:dyDescent="0.2">
      <c r="A41" s="874" t="s">
        <v>593</v>
      </c>
      <c r="B41" s="904" t="s">
        <v>585</v>
      </c>
      <c r="C41" s="910" t="s">
        <v>572</v>
      </c>
      <c r="D41" s="944" t="s">
        <v>550</v>
      </c>
      <c r="E41" s="905" t="s">
        <v>622</v>
      </c>
      <c r="F41" s="909" t="s">
        <v>100</v>
      </c>
      <c r="G41" s="874">
        <v>1</v>
      </c>
      <c r="H41" s="874">
        <v>1</v>
      </c>
      <c r="I41" s="906">
        <v>8000</v>
      </c>
      <c r="J41" s="942">
        <v>4</v>
      </c>
      <c r="K41" s="874">
        <v>600</v>
      </c>
      <c r="L41" s="161" t="s">
        <v>156</v>
      </c>
      <c r="M41" s="169">
        <v>200</v>
      </c>
      <c r="N41" s="163">
        <f t="shared" si="0"/>
        <v>4.8</v>
      </c>
      <c r="O41" s="41" t="s">
        <v>529</v>
      </c>
      <c r="P41" s="41" t="s">
        <v>115</v>
      </c>
      <c r="Q41" s="161">
        <f>+IF(OR(O41="Fire Control",O41="Fire Tex 5062",O41="Fire Tex 5090",O41="Fire Tex 5120"),'CALCULO PINTURA'!P42," ")</f>
        <v>1930</v>
      </c>
      <c r="R41" s="164">
        <f>+IF(OR(O41="Fire Control",O41="Fire Tex 5062",O41="Fire Tex 5090",O41="Fire Tex 5120"),'CALCULO PINTURA'!R42," ")</f>
        <v>4.5601645607436296</v>
      </c>
      <c r="S41" s="164">
        <f>+IF(OR(O41="Fire Control",O41="Fire Tex 5062",O41="Fire Tex 5090",O41="Fire Tex 5120"),'CALCULO PINTURA'!S42," ")</f>
        <v>1.052593593073593</v>
      </c>
      <c r="T41" s="874" t="str">
        <f>+IF(OR(O41="Blaze Shield II",O41="Cafco 400",O41="Cafco 300"),'CALCULO MORTERO'!N42," ")</f>
        <v xml:space="preserve"> </v>
      </c>
      <c r="U41" s="875" t="str">
        <f>+IF(OR(O41="Blaze Shield II",O41="Cafco 400",O41="Cafco 300"),'CALCULO MORTERO'!O42," ")</f>
        <v xml:space="preserve"> </v>
      </c>
      <c r="V41" s="161" t="str" cm="1">
        <f t="array" ref="V41">_xlfn.IFS(O41="Blaze Shield II",'CALCULO MORTERO'!P42, O41="Cafco 400",'CALCULO MORTERO'!Q42,O41="Cafco 300",'CALCULO MORTERO'!S42, AND(OR(O41="Fire tex 5090", O41="Fire Tex 5062", O41="Fire Tex 5120", O41="Fire Control"),Q41&gt;0), "CERT.",TRUE,"-")</f>
        <v>CERT.</v>
      </c>
      <c r="W41" s="167"/>
      <c r="X41" s="167"/>
    </row>
    <row r="42" spans="1:24" x14ac:dyDescent="0.2">
      <c r="A42" s="874" t="s">
        <v>593</v>
      </c>
      <c r="B42" s="904" t="s">
        <v>585</v>
      </c>
      <c r="C42" s="910" t="s">
        <v>572</v>
      </c>
      <c r="D42" s="944" t="s">
        <v>550</v>
      </c>
      <c r="E42" s="905" t="s">
        <v>622</v>
      </c>
      <c r="F42" s="909" t="s">
        <v>100</v>
      </c>
      <c r="G42" s="874">
        <v>1</v>
      </c>
      <c r="H42" s="874">
        <v>1</v>
      </c>
      <c r="I42" s="906">
        <v>7500</v>
      </c>
      <c r="J42" s="942">
        <v>4</v>
      </c>
      <c r="K42" s="874">
        <v>600</v>
      </c>
      <c r="L42" s="161" t="s">
        <v>156</v>
      </c>
      <c r="M42" s="169">
        <v>200</v>
      </c>
      <c r="N42" s="163">
        <f t="shared" si="0"/>
        <v>4.5</v>
      </c>
      <c r="O42" s="41" t="s">
        <v>529</v>
      </c>
      <c r="P42" s="41" t="s">
        <v>115</v>
      </c>
      <c r="Q42" s="161">
        <f>+IF(OR(O42="Fire Control",O42="Fire Tex 5062",O42="Fire Tex 5090",O42="Fire Tex 5120"),'CALCULO PINTURA'!P43," ")</f>
        <v>1930</v>
      </c>
      <c r="R42" s="164">
        <f>+IF(OR(O42="Fire Control",O42="Fire Tex 5062",O42="Fire Tex 5090",O42="Fire Tex 5120"),'CALCULO PINTURA'!R43," ")</f>
        <v>4.5601645607436296</v>
      </c>
      <c r="S42" s="164">
        <f>+IF(OR(O42="Fire Control",O42="Fire Tex 5062",O42="Fire Tex 5090",O42="Fire Tex 5120"),'CALCULO PINTURA'!S43," ")</f>
        <v>0.98680649350649341</v>
      </c>
      <c r="T42" s="874" t="str">
        <f>+IF(OR(O42="Blaze Shield II",O42="Cafco 400",O42="Cafco 300"),'CALCULO MORTERO'!N43," ")</f>
        <v xml:space="preserve"> </v>
      </c>
      <c r="U42" s="875" t="str">
        <f>+IF(OR(O42="Blaze Shield II",O42="Cafco 400",O42="Cafco 300"),'CALCULO MORTERO'!O43," ")</f>
        <v xml:space="preserve"> </v>
      </c>
      <c r="V42" s="161" t="str" cm="1">
        <f t="array" ref="V42">_xlfn.IFS(O42="Blaze Shield II",'CALCULO MORTERO'!P43, O42="Cafco 400",'CALCULO MORTERO'!Q43,O42="Cafco 300",'CALCULO MORTERO'!S43, AND(OR(O42="Fire tex 5090", O42="Fire Tex 5062", O42="Fire Tex 5120", O42="Fire Control"),Q42&gt;0), "CERT.",TRUE,"-")</f>
        <v>CERT.</v>
      </c>
      <c r="W42" s="167"/>
      <c r="X42" s="167"/>
    </row>
    <row r="43" spans="1:24" x14ac:dyDescent="0.2">
      <c r="A43" s="874" t="s">
        <v>593</v>
      </c>
      <c r="B43" s="904" t="s">
        <v>585</v>
      </c>
      <c r="C43" s="910" t="s">
        <v>572</v>
      </c>
      <c r="D43" s="944" t="s">
        <v>550</v>
      </c>
      <c r="E43" s="905" t="s">
        <v>622</v>
      </c>
      <c r="F43" s="909" t="s">
        <v>100</v>
      </c>
      <c r="G43" s="874">
        <v>1</v>
      </c>
      <c r="H43" s="874">
        <v>1</v>
      </c>
      <c r="I43" s="906">
        <v>6500</v>
      </c>
      <c r="J43" s="942">
        <v>4</v>
      </c>
      <c r="K43" s="874">
        <v>600</v>
      </c>
      <c r="L43" s="161" t="s">
        <v>156</v>
      </c>
      <c r="M43" s="169">
        <v>200</v>
      </c>
      <c r="N43" s="163">
        <f t="shared" ref="N43:N74" si="1">+IF(F43="","",(K43*I43*H43*G43)/1000000)</f>
        <v>3.9</v>
      </c>
      <c r="O43" s="41" t="s">
        <v>529</v>
      </c>
      <c r="P43" s="41" t="s">
        <v>115</v>
      </c>
      <c r="Q43" s="161">
        <f>+IF(OR(O43="Fire Control",O43="Fire Tex 5062",O43="Fire Tex 5090",O43="Fire Tex 5120"),'CALCULO PINTURA'!P44," ")</f>
        <v>1930</v>
      </c>
      <c r="R43" s="164">
        <f>+IF(OR(O43="Fire Control",O43="Fire Tex 5062",O43="Fire Tex 5090",O43="Fire Tex 5120"),'CALCULO PINTURA'!R44," ")</f>
        <v>4.5601645607436296</v>
      </c>
      <c r="S43" s="164">
        <f>+IF(OR(O43="Fire Control",O43="Fire Tex 5062",O43="Fire Tex 5090",O43="Fire Tex 5120"),'CALCULO PINTURA'!S44," ")</f>
        <v>0.85523229437229431</v>
      </c>
      <c r="T43" s="874" t="str">
        <f>+IF(OR(O43="Blaze Shield II",O43="Cafco 400",O43="Cafco 300"),'CALCULO MORTERO'!N44," ")</f>
        <v xml:space="preserve"> </v>
      </c>
      <c r="U43" s="875" t="str">
        <f>+IF(OR(O43="Blaze Shield II",O43="Cafco 400",O43="Cafco 300"),'CALCULO MORTERO'!O44," ")</f>
        <v xml:space="preserve"> </v>
      </c>
      <c r="V43" s="161" t="str" cm="1">
        <f t="array" ref="V43">_xlfn.IFS(O43="Blaze Shield II",'CALCULO MORTERO'!P44, O43="Cafco 400",'CALCULO MORTERO'!Q44,O43="Cafco 300",'CALCULO MORTERO'!S44, AND(OR(O43="Fire tex 5090", O43="Fire Tex 5062", O43="Fire Tex 5120", O43="Fire Control"),Q43&gt;0), "CERT.",TRUE,"-")</f>
        <v>CERT.</v>
      </c>
      <c r="W43" s="167"/>
      <c r="X43" s="167"/>
    </row>
    <row r="44" spans="1:24" x14ac:dyDescent="0.2">
      <c r="A44" s="874"/>
      <c r="B44" s="904"/>
      <c r="C44" s="910"/>
      <c r="D44" s="944"/>
      <c r="E44" s="905"/>
      <c r="F44" s="909"/>
      <c r="G44" s="874"/>
      <c r="H44" s="874"/>
      <c r="I44" s="906"/>
      <c r="J44" s="942">
        <v>4</v>
      </c>
      <c r="K44" s="874"/>
      <c r="L44" s="161"/>
      <c r="M44" s="169"/>
      <c r="N44" s="163">
        <v>0</v>
      </c>
      <c r="O44" s="41"/>
      <c r="P44" s="41" t="s">
        <v>115</v>
      </c>
      <c r="Q44" s="161" t="str">
        <f>+IF(OR(O44="Fire Control",O44="Fire Tex 5062",O44="Fire Tex 5090",O44="Fire Tex 5120"),'CALCULO PINTURA'!P45," ")</f>
        <v xml:space="preserve"> </v>
      </c>
      <c r="R44" s="164" t="str">
        <f>+IF(OR(O44="Fire Control",O44="Fire Tex 5062",O44="Fire Tex 5090",O44="Fire Tex 5120"),'CALCULO PINTURA'!R45," ")</f>
        <v xml:space="preserve"> </v>
      </c>
      <c r="S44" s="164" t="str">
        <f>+IF(OR(O44="Fire Control",O44="Fire Tex 5062",O44="Fire Tex 5090",O44="Fire Tex 5120"),'CALCULO PINTURA'!S45," ")</f>
        <v xml:space="preserve"> </v>
      </c>
      <c r="T44" s="874" t="str">
        <f>+IF(OR(O44="Blaze Shield II",O44="Cafco 400",O44="Cafco 300"),'CALCULO MORTERO'!N45," ")</f>
        <v xml:space="preserve"> </v>
      </c>
      <c r="U44" s="875" t="str">
        <f>+IF(OR(O44="Blaze Shield II",O44="Cafco 400",O44="Cafco 300"),'CALCULO MORTERO'!O45," ")</f>
        <v xml:space="preserve"> </v>
      </c>
      <c r="V44" s="161" t="str" cm="1">
        <f t="array" ref="V44">_xlfn.IFS(O44="Blaze Shield II",'CALCULO MORTERO'!P45, O44="Cafco 400",'CALCULO MORTERO'!Q45,O44="Cafco 300",'CALCULO MORTERO'!S45, AND(OR(O44="Fire tex 5090", O44="Fire Tex 5062", O44="Fire Tex 5120", O44="Fire Control"),Q44&gt;0), "CERT.",TRUE,"-")</f>
        <v>-</v>
      </c>
      <c r="W44" s="167"/>
      <c r="X44" s="167"/>
    </row>
    <row r="45" spans="1:24" x14ac:dyDescent="0.2">
      <c r="A45" s="874"/>
      <c r="B45" s="904"/>
      <c r="C45" s="910"/>
      <c r="D45" s="944"/>
      <c r="E45" s="905"/>
      <c r="F45" s="909"/>
      <c r="G45" s="874"/>
      <c r="H45" s="874"/>
      <c r="I45" s="906"/>
      <c r="J45" s="942">
        <v>4</v>
      </c>
      <c r="K45" s="874"/>
      <c r="L45" s="161"/>
      <c r="M45" s="169"/>
      <c r="N45" s="163">
        <v>0</v>
      </c>
      <c r="O45" s="41"/>
      <c r="P45" s="41" t="s">
        <v>115</v>
      </c>
      <c r="Q45" s="161" t="str">
        <f>+IF(OR(O45="Fire Control",O45="Fire Tex 5062",O45="Fire Tex 5090",O45="Fire Tex 5120"),'CALCULO PINTURA'!P46," ")</f>
        <v xml:space="preserve"> </v>
      </c>
      <c r="R45" s="164" t="str">
        <f>+IF(OR(O45="Fire Control",O45="Fire Tex 5062",O45="Fire Tex 5090",O45="Fire Tex 5120"),'CALCULO PINTURA'!R46," ")</f>
        <v xml:space="preserve"> </v>
      </c>
      <c r="S45" s="164" t="str">
        <f>+IF(OR(O45="Fire Control",O45="Fire Tex 5062",O45="Fire Tex 5090",O45="Fire Tex 5120"),'CALCULO PINTURA'!S46," ")</f>
        <v xml:space="preserve"> </v>
      </c>
      <c r="T45" s="874" t="str">
        <f>+IF(OR(O45="Blaze Shield II",O45="Cafco 400",O45="Cafco 300"),'CALCULO MORTERO'!N46," ")</f>
        <v xml:space="preserve"> </v>
      </c>
      <c r="U45" s="875" t="str">
        <f>+IF(OR(O45="Blaze Shield II",O45="Cafco 400",O45="Cafco 300"),'CALCULO MORTERO'!O46," ")</f>
        <v xml:space="preserve"> </v>
      </c>
      <c r="V45" s="161" t="str" cm="1">
        <f t="array" ref="V45">_xlfn.IFS(O45="Blaze Shield II",'CALCULO MORTERO'!P46, O45="Cafco 400",'CALCULO MORTERO'!Q46,O45="Cafco 300",'CALCULO MORTERO'!S46, AND(OR(O45="Fire tex 5090", O45="Fire Tex 5062", O45="Fire Tex 5120", O45="Fire Control"),Q45&gt;0), "CERT.",TRUE,"-")</f>
        <v>-</v>
      </c>
      <c r="W45" s="167"/>
      <c r="X45" s="167"/>
    </row>
    <row r="46" spans="1:24" x14ac:dyDescent="0.2">
      <c r="A46" s="874" t="s">
        <v>594</v>
      </c>
      <c r="B46" s="904" t="s">
        <v>595</v>
      </c>
      <c r="C46" s="910" t="s">
        <v>596</v>
      </c>
      <c r="D46" s="944" t="s">
        <v>597</v>
      </c>
      <c r="E46" s="905" t="s">
        <v>627</v>
      </c>
      <c r="F46" s="909" t="s">
        <v>525</v>
      </c>
      <c r="G46" s="874">
        <v>28</v>
      </c>
      <c r="H46" s="874">
        <v>1</v>
      </c>
      <c r="I46" s="906">
        <v>68200</v>
      </c>
      <c r="J46" s="942">
        <v>3</v>
      </c>
      <c r="K46" s="874">
        <v>445</v>
      </c>
      <c r="L46" s="161">
        <v>60</v>
      </c>
      <c r="M46" s="169">
        <v>1057</v>
      </c>
      <c r="N46" s="163">
        <f t="shared" si="1"/>
        <v>849.77200000000005</v>
      </c>
      <c r="O46" s="41" t="s">
        <v>60</v>
      </c>
      <c r="P46" s="41" t="s">
        <v>115</v>
      </c>
      <c r="Q46" s="161" t="str">
        <f>+IF(OR(O46="Fire Control",O46="Fire Tex 5062",O46="Fire Tex 5090",O46="Fire Tex 5120"),'CALCULO PINTURA'!P47," ")</f>
        <v xml:space="preserve"> </v>
      </c>
      <c r="R46" s="164" t="str">
        <f>+IF(OR(O46="Fire Control",O46="Fire Tex 5062",O46="Fire Tex 5090",O46="Fire Tex 5120"),'CALCULO PINTURA'!R47," ")</f>
        <v xml:space="preserve"> </v>
      </c>
      <c r="S46" s="164" t="str">
        <f>+IF(OR(O46="Fire Control",O46="Fire Tex 5062",O46="Fire Tex 5090",O46="Fire Tex 5120"),'CALCULO PINTURA'!S47," ")</f>
        <v xml:space="preserve"> </v>
      </c>
      <c r="T46" s="874">
        <f>+IF(OR(O46="Blaze Shield II",O46="Cafco 400",O46="Cafco 300"),'CALCULO MORTERO'!N47," ")</f>
        <v>54</v>
      </c>
      <c r="U46" s="875">
        <f>+IF(OR(O46="Blaze Shield II",O46="Cafco 400",O46="Cafco 300"),'CALCULO MORTERO'!O47," ")</f>
        <v>519.25541684210521</v>
      </c>
      <c r="V46" s="161" t="str" cm="1">
        <f t="array" ref="V46">_xlfn.IFS(O46="Blaze Shield II",'CALCULO MORTERO'!P47, O46="Cafco 400",'CALCULO MORTERO'!Q47,O46="Cafco 300",'CALCULO MORTERO'!S47, AND(OR(O46="Fire tex 5090", O46="Fire Tex 5062", O46="Fire Tex 5120", O46="Fire Control"),Q46&gt;0), "CERT.",TRUE,"-")</f>
        <v>NO CERT.</v>
      </c>
      <c r="W46" s="167"/>
      <c r="X46" s="167"/>
    </row>
    <row r="47" spans="1:24" x14ac:dyDescent="0.2">
      <c r="A47" s="874" t="s">
        <v>592</v>
      </c>
      <c r="B47" s="904" t="s">
        <v>598</v>
      </c>
      <c r="C47" s="910" t="s">
        <v>601</v>
      </c>
      <c r="D47" s="944" t="s">
        <v>549</v>
      </c>
      <c r="E47" s="905" t="s">
        <v>576</v>
      </c>
      <c r="F47" s="909" t="s">
        <v>100</v>
      </c>
      <c r="G47" s="874">
        <v>1</v>
      </c>
      <c r="H47" s="874">
        <v>1</v>
      </c>
      <c r="I47" s="906">
        <v>29210</v>
      </c>
      <c r="J47" s="942">
        <v>4</v>
      </c>
      <c r="K47" s="874">
        <v>400</v>
      </c>
      <c r="L47" s="161" t="s">
        <v>156</v>
      </c>
      <c r="M47" s="169">
        <v>333</v>
      </c>
      <c r="N47" s="163">
        <f t="shared" si="1"/>
        <v>11.683999999999999</v>
      </c>
      <c r="O47" s="41" t="s">
        <v>529</v>
      </c>
      <c r="P47" s="41" t="s">
        <v>115</v>
      </c>
      <c r="Q47" s="161">
        <f>+IF(OR(O47="Fire Control",O47="Fire Tex 5062",O47="Fire Tex 5090",O47="Fire Tex 5120"),'CALCULO PINTURA'!P48," ")</f>
        <v>2828</v>
      </c>
      <c r="R47" s="164">
        <f>+IF(OR(O47="Fire Control",O47="Fire Tex 5062",O47="Fire Tex 5090",O47="Fire Tex 5120"),'CALCULO PINTURA'!R48," ")</f>
        <v>3.1121349371411613</v>
      </c>
      <c r="S47" s="164">
        <f>+IF(OR(O47="Fire Control",O47="Fire Tex 5062",O47="Fire Tex 5090",O47="Fire Tex 5120"),'CALCULO PINTURA'!S48," ")</f>
        <v>3.7543359256565654</v>
      </c>
      <c r="T47" s="874" t="str">
        <f>+IF(OR(O47="Blaze Shield II",O47="Cafco 400",O47="Cafco 300"),'CALCULO MORTERO'!N48," ")</f>
        <v xml:space="preserve"> </v>
      </c>
      <c r="U47" s="875" t="str">
        <f>+IF(OR(O47="Blaze Shield II",O47="Cafco 400",O47="Cafco 300"),'CALCULO MORTERO'!O48," ")</f>
        <v xml:space="preserve"> </v>
      </c>
      <c r="V47" s="161" t="str" cm="1">
        <f t="array" ref="V47">_xlfn.IFS(O47="Blaze Shield II",'CALCULO MORTERO'!P48, O47="Cafco 400",'CALCULO MORTERO'!Q48,O47="Cafco 300",'CALCULO MORTERO'!S48, AND(OR(O47="Fire tex 5090", O47="Fire Tex 5062", O47="Fire Tex 5120", O47="Fire Control"),Q47&gt;0), "CERT.",TRUE,"-")</f>
        <v>CERT.</v>
      </c>
      <c r="W47" s="167"/>
      <c r="X47" s="167"/>
    </row>
    <row r="48" spans="1:24" x14ac:dyDescent="0.2">
      <c r="A48" s="874" t="s">
        <v>592</v>
      </c>
      <c r="B48" s="904" t="s">
        <v>598</v>
      </c>
      <c r="C48" s="910" t="s">
        <v>571</v>
      </c>
      <c r="D48" s="944" t="s">
        <v>550</v>
      </c>
      <c r="E48" s="905" t="s">
        <v>621</v>
      </c>
      <c r="F48" s="909" t="s">
        <v>100</v>
      </c>
      <c r="G48" s="874">
        <v>6</v>
      </c>
      <c r="H48" s="874">
        <v>1</v>
      </c>
      <c r="I48" s="906">
        <v>7000</v>
      </c>
      <c r="J48" s="942">
        <v>4</v>
      </c>
      <c r="K48" s="874">
        <v>1200</v>
      </c>
      <c r="L48" s="161" t="s">
        <v>156</v>
      </c>
      <c r="M48" s="169">
        <v>236</v>
      </c>
      <c r="N48" s="163">
        <f t="shared" si="1"/>
        <v>50.4</v>
      </c>
      <c r="O48" s="41" t="s">
        <v>529</v>
      </c>
      <c r="P48" s="41" t="s">
        <v>115</v>
      </c>
      <c r="Q48" s="161">
        <f>+IF(OR(O48="Fire Control",O48="Fire Tex 5062",O48="Fire Tex 5090",O48="Fire Tex 5120"),'CALCULO PINTURA'!P49," ")</f>
        <v>2196</v>
      </c>
      <c r="R48" s="164">
        <f>+IF(OR(O48="Fire Control",O48="Fire Tex 5062",O48="Fire Tex 5090",O48="Fire Tex 5120"),'CALCULO PINTURA'!R49," ")</f>
        <v>4.0077949008357026</v>
      </c>
      <c r="S48" s="164">
        <f>+IF(OR(O48="Fire Control",O48="Fire Tex 5062",O48="Fire Tex 5090",O48="Fire Tex 5120"),'CALCULO PINTURA'!S49," ")</f>
        <v>12.575493818181821</v>
      </c>
      <c r="T48" s="874" t="str">
        <f>+IF(OR(O48="Blaze Shield II",O48="Cafco 400",O48="Cafco 300"),'CALCULO MORTERO'!N49," ")</f>
        <v xml:space="preserve"> </v>
      </c>
      <c r="U48" s="875" t="str">
        <f>+IF(OR(O48="Blaze Shield II",O48="Cafco 400",O48="Cafco 300"),'CALCULO MORTERO'!O49," ")</f>
        <v xml:space="preserve"> </v>
      </c>
      <c r="V48" s="161" t="str" cm="1">
        <f t="array" ref="V48">_xlfn.IFS(O48="Blaze Shield II",'CALCULO MORTERO'!P49, O48="Cafco 400",'CALCULO MORTERO'!Q49,O48="Cafco 300",'CALCULO MORTERO'!S49, AND(OR(O48="Fire tex 5090", O48="Fire Tex 5062", O48="Fire Tex 5120", O48="Fire Control"),Q48&gt;0), "CERT.",TRUE,"-")</f>
        <v>CERT.</v>
      </c>
      <c r="W48" s="167"/>
      <c r="X48" s="167"/>
    </row>
    <row r="49" spans="1:24" x14ac:dyDescent="0.2">
      <c r="A49" s="874" t="s">
        <v>592</v>
      </c>
      <c r="B49" s="904" t="s">
        <v>598</v>
      </c>
      <c r="C49" s="910" t="s">
        <v>572</v>
      </c>
      <c r="D49" s="944" t="s">
        <v>550</v>
      </c>
      <c r="E49" s="905" t="s">
        <v>622</v>
      </c>
      <c r="F49" s="909" t="s">
        <v>100</v>
      </c>
      <c r="G49" s="874">
        <v>2</v>
      </c>
      <c r="H49" s="874">
        <v>1</v>
      </c>
      <c r="I49" s="906">
        <v>4000</v>
      </c>
      <c r="J49" s="942">
        <v>4</v>
      </c>
      <c r="K49" s="874">
        <v>600</v>
      </c>
      <c r="L49" s="161" t="s">
        <v>156</v>
      </c>
      <c r="M49" s="169">
        <v>200</v>
      </c>
      <c r="N49" s="163">
        <f t="shared" si="1"/>
        <v>4.8</v>
      </c>
      <c r="O49" s="41" t="s">
        <v>529</v>
      </c>
      <c r="P49" s="41" t="s">
        <v>115</v>
      </c>
      <c r="Q49" s="161">
        <f>+IF(OR(O49="Fire Control",O49="Fire Tex 5062",O49="Fire Tex 5090",O49="Fire Tex 5120"),'CALCULO PINTURA'!P50," ")</f>
        <v>1930</v>
      </c>
      <c r="R49" s="164">
        <f>+IF(OR(O49="Fire Control",O49="Fire Tex 5062",O49="Fire Tex 5090",O49="Fire Tex 5120"),'CALCULO PINTURA'!R50," ")</f>
        <v>4.5601645607436296</v>
      </c>
      <c r="S49" s="164">
        <f>+IF(OR(O49="Fire Control",O49="Fire Tex 5062",O49="Fire Tex 5090",O49="Fire Tex 5120"),'CALCULO PINTURA'!S50," ")</f>
        <v>1.052593593073593</v>
      </c>
      <c r="T49" s="874" t="str">
        <f>+IF(OR(O49="Blaze Shield II",O49="Cafco 400",O49="Cafco 300"),'CALCULO MORTERO'!N50," ")</f>
        <v xml:space="preserve"> </v>
      </c>
      <c r="U49" s="875" t="str">
        <f>+IF(OR(O49="Blaze Shield II",O49="Cafco 400",O49="Cafco 300"),'CALCULO MORTERO'!O50," ")</f>
        <v xml:space="preserve"> </v>
      </c>
      <c r="V49" s="161" t="str" cm="1">
        <f t="array" ref="V49">_xlfn.IFS(O49="Blaze Shield II",'CALCULO MORTERO'!P50, O49="Cafco 400",'CALCULO MORTERO'!Q50,O49="Cafco 300",'CALCULO MORTERO'!S50, AND(OR(O49="Fire tex 5090", O49="Fire Tex 5062", O49="Fire Tex 5120", O49="Fire Control"),Q49&gt;0), "CERT.",TRUE,"-")</f>
        <v>CERT.</v>
      </c>
      <c r="W49" s="167"/>
      <c r="X49" s="167"/>
    </row>
    <row r="50" spans="1:24" x14ac:dyDescent="0.2">
      <c r="A50" s="874" t="s">
        <v>592</v>
      </c>
      <c r="B50" s="904" t="s">
        <v>598</v>
      </c>
      <c r="C50" s="910" t="s">
        <v>625</v>
      </c>
      <c r="D50" s="944" t="s">
        <v>602</v>
      </c>
      <c r="E50" s="905" t="s">
        <v>626</v>
      </c>
      <c r="F50" s="909" t="s">
        <v>100</v>
      </c>
      <c r="G50" s="874">
        <v>1</v>
      </c>
      <c r="H50" s="874">
        <v>1</v>
      </c>
      <c r="I50" s="906">
        <v>29210</v>
      </c>
      <c r="J50" s="942">
        <v>3</v>
      </c>
      <c r="K50" s="874">
        <v>723</v>
      </c>
      <c r="L50" s="161">
        <v>60</v>
      </c>
      <c r="M50" s="169">
        <v>265</v>
      </c>
      <c r="N50" s="163">
        <f>+IF(F50="","",(K50*I50*H50*G50)/1000000)</f>
        <v>21.118829999999999</v>
      </c>
      <c r="O50" s="41" t="s">
        <v>60</v>
      </c>
      <c r="P50" s="41" t="s">
        <v>115</v>
      </c>
      <c r="Q50" s="161" t="str">
        <f>+IF(OR(O50="Fire Control",O50="Fire Tex 5062",O50="Fire Tex 5090",O50="Fire Tex 5120"),'CALCULO PINTURA'!P51," ")</f>
        <v xml:space="preserve"> </v>
      </c>
      <c r="R50" s="164" t="str">
        <f>+IF(OR(O50="Fire Control",O50="Fire Tex 5062",O50="Fire Tex 5090",O50="Fire Tex 5120"),'CALCULO PINTURA'!R51," ")</f>
        <v xml:space="preserve"> </v>
      </c>
      <c r="S50" s="164" t="str">
        <f>+IF(OR(O50="Fire Control",O50="Fire Tex 5062",O50="Fire Tex 5090",O50="Fire Tex 5120"),'CALCULO PINTURA'!S51," ")</f>
        <v xml:space="preserve"> </v>
      </c>
      <c r="T50" s="874">
        <f>+IF(OR(O50="Blaze Shield II",O50="Cafco 400",O50="Cafco 300"),'CALCULO MORTERO'!N51," ")</f>
        <v>35</v>
      </c>
      <c r="U50" s="875">
        <f>+IF(OR(O50="Blaze Shield II",O50="Cafco 400",O50="Cafco 300"),'CALCULO MORTERO'!O51," ")</f>
        <v>8.3641681973684214</v>
      </c>
      <c r="V50" s="161" t="str" cm="1">
        <f t="array" ref="V50">_xlfn.IFS(O50="Blaze Shield II",'CALCULO MORTERO'!P51, O50="Cafco 400",'CALCULO MORTERO'!Q51,O50="Cafco 300",'CALCULO MORTERO'!S51, AND(OR(O50="Fire tex 5090", O50="Fire Tex 5062", O50="Fire Tex 5120", O50="Fire Control"),Q50&gt;0), "CERT.",TRUE,"-")</f>
        <v>CERT.</v>
      </c>
      <c r="W50" s="167"/>
      <c r="X50" s="167"/>
    </row>
    <row r="51" spans="1:24" x14ac:dyDescent="0.2">
      <c r="A51" s="874" t="s">
        <v>592</v>
      </c>
      <c r="B51" s="904" t="s">
        <v>598</v>
      </c>
      <c r="C51" s="910" t="s">
        <v>577</v>
      </c>
      <c r="D51" s="944" t="s">
        <v>578</v>
      </c>
      <c r="E51" s="905" t="s">
        <v>576</v>
      </c>
      <c r="F51" s="909" t="s">
        <v>100</v>
      </c>
      <c r="G51" s="874">
        <v>4</v>
      </c>
      <c r="H51" s="874">
        <v>1</v>
      </c>
      <c r="I51" s="906">
        <v>6700</v>
      </c>
      <c r="J51" s="942">
        <v>4</v>
      </c>
      <c r="K51" s="874">
        <v>400</v>
      </c>
      <c r="L51" s="161" t="s">
        <v>156</v>
      </c>
      <c r="M51" s="169">
        <v>333</v>
      </c>
      <c r="N51" s="163">
        <f t="shared" ref="N51:N54" si="2">+IF(F51="","",(K51*I51*H51*G51)/1000000)</f>
        <v>10.72</v>
      </c>
      <c r="O51" s="41" t="s">
        <v>529</v>
      </c>
      <c r="P51" s="41" t="s">
        <v>115</v>
      </c>
      <c r="Q51" s="161">
        <f>+IF(OR(O51="Fire Control",O51="Fire Tex 5062",O51="Fire Tex 5090",O51="Fire Tex 5120"),'CALCULO PINTURA'!P52," ")</f>
        <v>2828</v>
      </c>
      <c r="R51" s="164">
        <f>+IF(OR(O51="Fire Control",O51="Fire Tex 5062",O51="Fire Tex 5090",O51="Fire Tex 5120"),'CALCULO PINTURA'!R52," ")</f>
        <v>3.1121349371411613</v>
      </c>
      <c r="S51" s="164">
        <f>+IF(OR(O51="Fire Control",O51="Fire Tex 5062",O51="Fire Tex 5090",O51="Fire Tex 5120"),'CALCULO PINTURA'!S52," ")</f>
        <v>3.4445807191919195</v>
      </c>
      <c r="T51" s="874" t="str">
        <f>+IF(OR(O51="Blaze Shield II",O51="Cafco 400",O51="Cafco 300"),'CALCULO MORTERO'!N52," ")</f>
        <v xml:space="preserve"> </v>
      </c>
      <c r="U51" s="875" t="str">
        <f>+IF(OR(O51="Blaze Shield II",O51="Cafco 400",O51="Cafco 300"),'CALCULO MORTERO'!O52," ")</f>
        <v xml:space="preserve"> </v>
      </c>
      <c r="V51" s="161" t="str" cm="1">
        <f t="array" ref="V51">_xlfn.IFS(O51="Blaze Shield II",'CALCULO MORTERO'!P52, O51="Cafco 400",'CALCULO MORTERO'!Q52,O51="Cafco 300",'CALCULO MORTERO'!S52, AND(OR(O51="Fire tex 5090", O51="Fire Tex 5062", O51="Fire Tex 5120", O51="Fire Control"),Q51&gt;0), "CERT.",TRUE,"-")</f>
        <v>CERT.</v>
      </c>
      <c r="W51" s="167"/>
      <c r="X51" s="167"/>
    </row>
    <row r="52" spans="1:24" x14ac:dyDescent="0.2">
      <c r="A52" s="874" t="s">
        <v>592</v>
      </c>
      <c r="B52" s="904" t="s">
        <v>598</v>
      </c>
      <c r="C52" s="910" t="s">
        <v>599</v>
      </c>
      <c r="D52" s="944" t="s">
        <v>549</v>
      </c>
      <c r="E52" s="905" t="s">
        <v>600</v>
      </c>
      <c r="F52" s="909" t="s">
        <v>100</v>
      </c>
      <c r="G52" s="874">
        <v>1</v>
      </c>
      <c r="H52" s="874">
        <v>1</v>
      </c>
      <c r="I52" s="906">
        <v>2000</v>
      </c>
      <c r="J52" s="942">
        <v>4</v>
      </c>
      <c r="K52" s="874">
        <v>600</v>
      </c>
      <c r="L52" s="161" t="s">
        <v>156</v>
      </c>
      <c r="M52" s="169">
        <v>250</v>
      </c>
      <c r="N52" s="163">
        <f t="shared" si="2"/>
        <v>1.2</v>
      </c>
      <c r="O52" s="41" t="s">
        <v>529</v>
      </c>
      <c r="P52" s="41" t="s">
        <v>115</v>
      </c>
      <c r="Q52" s="161">
        <f>+IF(OR(O52="Fire Control",O52="Fire Tex 5062",O52="Fire Tex 5090",O52="Fire Tex 5120"),'CALCULO PINTURA'!P53," ")</f>
        <v>2262</v>
      </c>
      <c r="R52" s="164">
        <f>+IF(OR(O52="Fire Control",O52="Fire Tex 5062",O52="Fire Tex 5090",O52="Fire Tex 5120"),'CALCULO PINTURA'!R53," ")</f>
        <v>3.8908565880792239</v>
      </c>
      <c r="S52" s="164">
        <f>+IF(OR(O52="Fire Control",O52="Fire Tex 5062",O52="Fire Tex 5090",O52="Fire Tex 5120"),'CALCULO PINTURA'!S53," ")</f>
        <v>0.30841537662337659</v>
      </c>
      <c r="T52" s="874" t="str">
        <f>+IF(OR(O52="Blaze Shield II",O52="Cafco 400",O52="Cafco 300"),'CALCULO MORTERO'!N53," ")</f>
        <v xml:space="preserve"> </v>
      </c>
      <c r="U52" s="875" t="str">
        <f>+IF(OR(O52="Blaze Shield II",O52="Cafco 400",O52="Cafco 300"),'CALCULO MORTERO'!O53," ")</f>
        <v xml:space="preserve"> </v>
      </c>
      <c r="V52" s="161" t="str" cm="1">
        <f t="array" ref="V52">_xlfn.IFS(O52="Blaze Shield II",'CALCULO MORTERO'!P53, O52="Cafco 400",'CALCULO MORTERO'!Q53,O52="Cafco 300",'CALCULO MORTERO'!S53, AND(OR(O52="Fire tex 5090", O52="Fire Tex 5062", O52="Fire Tex 5120", O52="Fire Control"),Q52&gt;0), "CERT.",TRUE,"-")</f>
        <v>CERT.</v>
      </c>
      <c r="W52" s="167"/>
      <c r="X52" s="167"/>
    </row>
    <row r="53" spans="1:24" x14ac:dyDescent="0.2">
      <c r="A53" s="874" t="s">
        <v>592</v>
      </c>
      <c r="B53" s="904" t="s">
        <v>598</v>
      </c>
      <c r="C53" s="910" t="s">
        <v>603</v>
      </c>
      <c r="D53" s="944" t="s">
        <v>549</v>
      </c>
      <c r="E53" s="161" t="s">
        <v>576</v>
      </c>
      <c r="F53" s="909" t="s">
        <v>100</v>
      </c>
      <c r="G53" s="874">
        <v>2</v>
      </c>
      <c r="H53" s="874">
        <v>1</v>
      </c>
      <c r="I53" s="905">
        <v>3400</v>
      </c>
      <c r="J53" s="942">
        <v>4</v>
      </c>
      <c r="K53" s="874">
        <v>400</v>
      </c>
      <c r="L53" s="161" t="s">
        <v>156</v>
      </c>
      <c r="M53" s="169">
        <v>333</v>
      </c>
      <c r="N53" s="163">
        <f t="shared" si="2"/>
        <v>2.72</v>
      </c>
      <c r="O53" s="41" t="s">
        <v>529</v>
      </c>
      <c r="P53" s="41" t="s">
        <v>115</v>
      </c>
      <c r="Q53" s="161">
        <f>+IF(OR(O53="Fire Control",O53="Fire Tex 5062",O53="Fire Tex 5090",O53="Fire Tex 5120"),'CALCULO PINTURA'!P54," ")</f>
        <v>2828</v>
      </c>
      <c r="R53" s="164">
        <f>+IF(OR(O53="Fire Control",O53="Fire Tex 5062",O53="Fire Tex 5090",O53="Fire Tex 5120"),'CALCULO PINTURA'!R54," ")</f>
        <v>3.1121349371411613</v>
      </c>
      <c r="S53" s="164">
        <f>+IF(OR(O53="Fire Control",O53="Fire Tex 5062",O53="Fire Tex 5090",O53="Fire Tex 5120"),'CALCULO PINTURA'!S54," ")</f>
        <v>0.87399809292929298</v>
      </c>
      <c r="T53" s="874" t="str">
        <f>+IF(OR(O53="Blaze Shield II",O53="Cafco 400",O53="Cafco 300"),'CALCULO MORTERO'!N54," ")</f>
        <v xml:space="preserve"> </v>
      </c>
      <c r="U53" s="875" t="str">
        <f>+IF(OR(O53="Blaze Shield II",O53="Cafco 400",O53="Cafco 300"),'CALCULO MORTERO'!O54," ")</f>
        <v xml:space="preserve"> </v>
      </c>
      <c r="V53" s="161" t="str" cm="1">
        <f t="array" ref="V53">_xlfn.IFS(O53="Blaze Shield II",'CALCULO MORTERO'!P54, O53="Cafco 400",'CALCULO MORTERO'!Q54,O53="Cafco 300",'CALCULO MORTERO'!S54, AND(OR(O53="Fire tex 5090", O53="Fire Tex 5062", O53="Fire Tex 5120", O53="Fire Control"),Q53&gt;0), "CERT.",TRUE,"-")</f>
        <v>CERT.</v>
      </c>
      <c r="W53" s="167"/>
      <c r="X53" s="167"/>
    </row>
    <row r="54" spans="1:24" x14ac:dyDescent="0.2">
      <c r="A54" s="874" t="s">
        <v>592</v>
      </c>
      <c r="B54" s="904" t="s">
        <v>598</v>
      </c>
      <c r="C54" s="910" t="s">
        <v>603</v>
      </c>
      <c r="D54" s="944" t="s">
        <v>550</v>
      </c>
      <c r="E54" s="161" t="s">
        <v>576</v>
      </c>
      <c r="F54" s="909" t="s">
        <v>100</v>
      </c>
      <c r="G54" s="874">
        <v>1</v>
      </c>
      <c r="H54" s="874">
        <v>1</v>
      </c>
      <c r="I54" s="906">
        <v>1500</v>
      </c>
      <c r="J54" s="942">
        <v>4</v>
      </c>
      <c r="K54" s="874">
        <v>400</v>
      </c>
      <c r="L54" s="161" t="s">
        <v>156</v>
      </c>
      <c r="M54" s="169">
        <v>333</v>
      </c>
      <c r="N54" s="163">
        <f t="shared" si="2"/>
        <v>0.6</v>
      </c>
      <c r="O54" s="41" t="s">
        <v>529</v>
      </c>
      <c r="P54" s="41" t="s">
        <v>115</v>
      </c>
      <c r="Q54" s="161">
        <f>+IF(OR(O54="Fire Control",O54="Fire Tex 5062",O54="Fire Tex 5090",O54="Fire Tex 5120"),'CALCULO PINTURA'!P55," ")</f>
        <v>2828</v>
      </c>
      <c r="R54" s="164">
        <f>+IF(OR(O54="Fire Control",O54="Fire Tex 5062",O54="Fire Tex 5090",O54="Fire Tex 5120"),'CALCULO PINTURA'!R55," ")</f>
        <v>3.1121349371411613</v>
      </c>
      <c r="S54" s="164">
        <f>+IF(OR(O54="Fire Control",O54="Fire Tex 5062",O54="Fire Tex 5090",O54="Fire Tex 5120"),'CALCULO PINTURA'!S55," ")</f>
        <v>0.19279369696969698</v>
      </c>
      <c r="T54" s="874" t="str">
        <f>+IF(OR(O54="Blaze Shield II",O54="Cafco 400",O54="Cafco 300"),'CALCULO MORTERO'!N55," ")</f>
        <v xml:space="preserve"> </v>
      </c>
      <c r="U54" s="875" t="str">
        <f>+IF(OR(O54="Blaze Shield II",O54="Cafco 400",O54="Cafco 300"),'CALCULO MORTERO'!O55," ")</f>
        <v xml:space="preserve"> </v>
      </c>
      <c r="V54" s="161" t="str" cm="1">
        <f t="array" ref="V54">_xlfn.IFS(O54="Blaze Shield II",'CALCULO MORTERO'!P55, O54="Cafco 400",'CALCULO MORTERO'!Q55,O54="Cafco 300",'CALCULO MORTERO'!S55, AND(OR(O54="Fire tex 5090", O54="Fire Tex 5062", O54="Fire Tex 5120", O54="Fire Control"),Q54&gt;0), "CERT.",TRUE,"-")</f>
        <v>CERT.</v>
      </c>
      <c r="W54" s="167"/>
      <c r="X54" s="167"/>
    </row>
    <row r="55" spans="1:24" x14ac:dyDescent="0.2">
      <c r="A55" s="874" t="s">
        <v>592</v>
      </c>
      <c r="B55" s="904" t="s">
        <v>598</v>
      </c>
      <c r="C55" s="910" t="s">
        <v>603</v>
      </c>
      <c r="D55" s="944" t="s">
        <v>550</v>
      </c>
      <c r="E55" s="161" t="s">
        <v>576</v>
      </c>
      <c r="F55" s="909" t="s">
        <v>100</v>
      </c>
      <c r="G55" s="874">
        <v>1</v>
      </c>
      <c r="H55" s="874">
        <v>1</v>
      </c>
      <c r="I55" s="906">
        <v>4000</v>
      </c>
      <c r="J55" s="942">
        <v>4</v>
      </c>
      <c r="K55" s="874">
        <v>400</v>
      </c>
      <c r="L55" s="161" t="s">
        <v>156</v>
      </c>
      <c r="M55" s="169">
        <v>333</v>
      </c>
      <c r="N55" s="163">
        <f t="shared" si="1"/>
        <v>1.6</v>
      </c>
      <c r="O55" s="41" t="s">
        <v>529</v>
      </c>
      <c r="P55" s="41" t="s">
        <v>115</v>
      </c>
      <c r="Q55" s="161">
        <f>+IF(OR(O55="Fire Control",O55="Fire Tex 5062",O55="Fire Tex 5090",O55="Fire Tex 5120"),'CALCULO PINTURA'!P56," ")</f>
        <v>2828</v>
      </c>
      <c r="R55" s="164">
        <f>+IF(OR(O55="Fire Control",O55="Fire Tex 5062",O55="Fire Tex 5090",O55="Fire Tex 5120"),'CALCULO PINTURA'!R56," ")</f>
        <v>3.1121349371411613</v>
      </c>
      <c r="S55" s="164">
        <f>+IF(OR(O55="Fire Control",O55="Fire Tex 5062",O55="Fire Tex 5090",O55="Fire Tex 5120"),'CALCULO PINTURA'!S56," ")</f>
        <v>0.51411652525252527</v>
      </c>
      <c r="T55" s="874" t="str">
        <f>+IF(OR(O55="Blaze Shield II",O55="Cafco 400",O55="Cafco 300"),'CALCULO MORTERO'!N56," ")</f>
        <v xml:space="preserve"> </v>
      </c>
      <c r="U55" s="875" t="str">
        <f>+IF(OR(O55="Blaze Shield II",O55="Cafco 400",O55="Cafco 300"),'CALCULO MORTERO'!O56," ")</f>
        <v xml:space="preserve"> </v>
      </c>
      <c r="V55" s="161" t="str" cm="1">
        <f t="array" ref="V55">_xlfn.IFS(O55="Blaze Shield II",'CALCULO MORTERO'!P56, O55="Cafco 400",'CALCULO MORTERO'!Q56,O55="Cafco 300",'CALCULO MORTERO'!S56, AND(OR(O55="Fire tex 5090", O55="Fire Tex 5062", O55="Fire Tex 5120", O55="Fire Control"),Q55&gt;0), "CERT.",TRUE,"-")</f>
        <v>CERT.</v>
      </c>
      <c r="W55" s="167"/>
      <c r="X55" s="167"/>
    </row>
    <row r="56" spans="1:24" x14ac:dyDescent="0.2">
      <c r="A56" s="874" t="s">
        <v>592</v>
      </c>
      <c r="B56" s="904" t="s">
        <v>598</v>
      </c>
      <c r="C56" s="910" t="s">
        <v>577</v>
      </c>
      <c r="D56" s="944" t="s">
        <v>578</v>
      </c>
      <c r="E56" s="905" t="s">
        <v>576</v>
      </c>
      <c r="F56" s="909" t="s">
        <v>100</v>
      </c>
      <c r="G56" s="874">
        <v>4</v>
      </c>
      <c r="H56" s="874">
        <v>1</v>
      </c>
      <c r="I56" s="906">
        <v>7200</v>
      </c>
      <c r="J56" s="942">
        <v>4</v>
      </c>
      <c r="K56" s="874">
        <v>400</v>
      </c>
      <c r="L56" s="161" t="s">
        <v>156</v>
      </c>
      <c r="M56" s="169">
        <v>333</v>
      </c>
      <c r="N56" s="163">
        <f t="shared" si="1"/>
        <v>11.52</v>
      </c>
      <c r="O56" s="41" t="s">
        <v>529</v>
      </c>
      <c r="P56" s="41" t="s">
        <v>115</v>
      </c>
      <c r="Q56" s="161">
        <f>+IF(OR(O56="Fire Control",O56="Fire Tex 5062",O56="Fire Tex 5090",O56="Fire Tex 5120"),'CALCULO PINTURA'!P57," ")</f>
        <v>2828</v>
      </c>
      <c r="R56" s="164">
        <f>+IF(OR(O56="Fire Control",O56="Fire Tex 5062",O56="Fire Tex 5090",O56="Fire Tex 5120"),'CALCULO PINTURA'!R57," ")</f>
        <v>3.1121349371411613</v>
      </c>
      <c r="S56" s="164">
        <f>+IF(OR(O56="Fire Control",O56="Fire Tex 5062",O56="Fire Tex 5090",O56="Fire Tex 5120"),'CALCULO PINTURA'!S57," ")</f>
        <v>3.7016389818181819</v>
      </c>
      <c r="T56" s="874" t="str">
        <f>+IF(OR(O56="Blaze Shield II",O56="Cafco 400",O56="Cafco 300"),'CALCULO MORTERO'!N57," ")</f>
        <v xml:space="preserve"> </v>
      </c>
      <c r="U56" s="875" t="str">
        <f>+IF(OR(O56="Blaze Shield II",O56="Cafco 400",O56="Cafco 300"),'CALCULO MORTERO'!O57," ")</f>
        <v xml:space="preserve"> </v>
      </c>
      <c r="V56" s="161" t="str" cm="1">
        <f t="array" ref="V56">_xlfn.IFS(O56="Blaze Shield II",'CALCULO MORTERO'!P57, O56="Cafco 400",'CALCULO MORTERO'!Q57,O56="Cafco 300",'CALCULO MORTERO'!S57, AND(OR(O56="Fire tex 5090", O56="Fire Tex 5062", O56="Fire Tex 5120", O56="Fire Control"),Q56&gt;0), "CERT.",TRUE,"-")</f>
        <v>CERT.</v>
      </c>
      <c r="W56" s="167"/>
      <c r="X56" s="167"/>
    </row>
    <row r="57" spans="1:24" x14ac:dyDescent="0.2">
      <c r="A57" s="874" t="s">
        <v>592</v>
      </c>
      <c r="B57" s="904" t="s">
        <v>598</v>
      </c>
      <c r="C57" s="910" t="s">
        <v>603</v>
      </c>
      <c r="D57" s="944" t="s">
        <v>550</v>
      </c>
      <c r="E57" s="161" t="s">
        <v>576</v>
      </c>
      <c r="F57" s="909" t="s">
        <v>100</v>
      </c>
      <c r="G57" s="874">
        <v>1</v>
      </c>
      <c r="H57" s="874">
        <v>1</v>
      </c>
      <c r="I57" s="906">
        <v>3000</v>
      </c>
      <c r="J57" s="942">
        <v>4</v>
      </c>
      <c r="K57" s="874">
        <v>400</v>
      </c>
      <c r="L57" s="161" t="s">
        <v>156</v>
      </c>
      <c r="M57" s="169">
        <v>333</v>
      </c>
      <c r="N57" s="163">
        <f t="shared" si="1"/>
        <v>1.2</v>
      </c>
      <c r="O57" s="41" t="s">
        <v>529</v>
      </c>
      <c r="P57" s="41" t="s">
        <v>115</v>
      </c>
      <c r="Q57" s="161">
        <f>+IF(OR(O57="Fire Control",O57="Fire Tex 5062",O57="Fire Tex 5090",O57="Fire Tex 5120"),'CALCULO PINTURA'!P58," ")</f>
        <v>2828</v>
      </c>
      <c r="R57" s="164">
        <f>+IF(OR(O57="Fire Control",O57="Fire Tex 5062",O57="Fire Tex 5090",O57="Fire Tex 5120"),'CALCULO PINTURA'!R58," ")</f>
        <v>3.1121349371411613</v>
      </c>
      <c r="S57" s="164">
        <f>+IF(OR(O57="Fire Control",O57="Fire Tex 5062",O57="Fire Tex 5090",O57="Fire Tex 5120"),'CALCULO PINTURA'!S58," ")</f>
        <v>0.38558739393939395</v>
      </c>
      <c r="T57" s="874" t="str">
        <f>+IF(OR(O57="Blaze Shield II",O57="Cafco 400",O57="Cafco 300"),'CALCULO MORTERO'!N58," ")</f>
        <v xml:space="preserve"> </v>
      </c>
      <c r="U57" s="875" t="str">
        <f>+IF(OR(O57="Blaze Shield II",O57="Cafco 400",O57="Cafco 300"),'CALCULO MORTERO'!O58," ")</f>
        <v xml:space="preserve"> </v>
      </c>
      <c r="V57" s="161" t="str" cm="1">
        <f t="array" ref="V57">_xlfn.IFS(O57="Blaze Shield II",'CALCULO MORTERO'!P58, O57="Cafco 400",'CALCULO MORTERO'!Q58,O57="Cafco 300",'CALCULO MORTERO'!S58, AND(OR(O57="Fire tex 5090", O57="Fire Tex 5062", O57="Fire Tex 5120", O57="Fire Control"),Q57&gt;0), "CERT.",TRUE,"-")</f>
        <v>CERT.</v>
      </c>
      <c r="W57" s="167"/>
      <c r="X57" s="167"/>
    </row>
    <row r="58" spans="1:24" x14ac:dyDescent="0.2">
      <c r="A58" s="874" t="s">
        <v>604</v>
      </c>
      <c r="B58" s="904" t="s">
        <v>598</v>
      </c>
      <c r="C58" s="910" t="s">
        <v>571</v>
      </c>
      <c r="D58" s="944" t="s">
        <v>550</v>
      </c>
      <c r="E58" s="905" t="s">
        <v>621</v>
      </c>
      <c r="F58" s="909" t="s">
        <v>100</v>
      </c>
      <c r="G58" s="874">
        <v>6</v>
      </c>
      <c r="H58" s="874">
        <v>1</v>
      </c>
      <c r="I58" s="906">
        <v>8000</v>
      </c>
      <c r="J58" s="942">
        <v>4</v>
      </c>
      <c r="K58" s="874">
        <v>1200</v>
      </c>
      <c r="L58" s="161" t="s">
        <v>156</v>
      </c>
      <c r="M58" s="169">
        <v>236</v>
      </c>
      <c r="N58" s="163">
        <f t="shared" si="1"/>
        <v>57.6</v>
      </c>
      <c r="O58" s="41" t="s">
        <v>529</v>
      </c>
      <c r="P58" s="41" t="s">
        <v>115</v>
      </c>
      <c r="Q58" s="161">
        <f>+IF(OR(O58="Fire Control",O58="Fire Tex 5062",O58="Fire Tex 5090",O58="Fire Tex 5120"),'CALCULO PINTURA'!P59," ")</f>
        <v>2196</v>
      </c>
      <c r="R58" s="164">
        <f>+IF(OR(O58="Fire Control",O58="Fire Tex 5062",O58="Fire Tex 5090",O58="Fire Tex 5120"),'CALCULO PINTURA'!R59," ")</f>
        <v>4.0077949008357026</v>
      </c>
      <c r="S58" s="164">
        <f>+IF(OR(O58="Fire Control",O58="Fire Tex 5062",O58="Fire Tex 5090",O58="Fire Tex 5120"),'CALCULO PINTURA'!S59," ")</f>
        <v>14.371992935064938</v>
      </c>
      <c r="T58" s="874" t="str">
        <f>+IF(OR(O58="Blaze Shield II",O58="Cafco 400",O58="Cafco 300"),'CALCULO MORTERO'!N59," ")</f>
        <v xml:space="preserve"> </v>
      </c>
      <c r="U58" s="875" t="str">
        <f>+IF(OR(O58="Blaze Shield II",O58="Cafco 400",O58="Cafco 300"),'CALCULO MORTERO'!O59," ")</f>
        <v xml:space="preserve"> </v>
      </c>
      <c r="V58" s="161" t="str" cm="1">
        <f t="array" ref="V58">_xlfn.IFS(O58="Blaze Shield II",'CALCULO MORTERO'!P59, O58="Cafco 400",'CALCULO MORTERO'!Q59,O58="Cafco 300",'CALCULO MORTERO'!S59, AND(OR(O58="Fire tex 5090", O58="Fire Tex 5062", O58="Fire Tex 5120", O58="Fire Control"),Q58&gt;0), "CERT.",TRUE,"-")</f>
        <v>CERT.</v>
      </c>
      <c r="W58" s="167"/>
      <c r="X58" s="167"/>
    </row>
    <row r="59" spans="1:24" x14ac:dyDescent="0.2">
      <c r="A59" s="874" t="s">
        <v>604</v>
      </c>
      <c r="B59" s="904" t="s">
        <v>598</v>
      </c>
      <c r="C59" s="910" t="s">
        <v>601</v>
      </c>
      <c r="D59" s="944" t="s">
        <v>549</v>
      </c>
      <c r="E59" s="905" t="s">
        <v>576</v>
      </c>
      <c r="F59" s="909" t="s">
        <v>100</v>
      </c>
      <c r="G59" s="874">
        <v>1</v>
      </c>
      <c r="H59" s="874">
        <v>1</v>
      </c>
      <c r="I59" s="906">
        <v>29210</v>
      </c>
      <c r="J59" s="942">
        <v>4</v>
      </c>
      <c r="K59" s="874">
        <v>400</v>
      </c>
      <c r="L59" s="161" t="s">
        <v>156</v>
      </c>
      <c r="M59" s="169">
        <v>333</v>
      </c>
      <c r="N59" s="163">
        <f t="shared" si="1"/>
        <v>11.683999999999999</v>
      </c>
      <c r="O59" s="41" t="s">
        <v>529</v>
      </c>
      <c r="P59" s="41" t="s">
        <v>115</v>
      </c>
      <c r="Q59" s="161">
        <f>+IF(OR(O59="Fire Control",O59="Fire Tex 5062",O59="Fire Tex 5090",O59="Fire Tex 5120"),'CALCULO PINTURA'!P60," ")</f>
        <v>2828</v>
      </c>
      <c r="R59" s="164">
        <f>+IF(OR(O59="Fire Control",O59="Fire Tex 5062",O59="Fire Tex 5090",O59="Fire Tex 5120"),'CALCULO PINTURA'!R60," ")</f>
        <v>3.1121349371411613</v>
      </c>
      <c r="S59" s="164">
        <f>+IF(OR(O59="Fire Control",O59="Fire Tex 5062",O59="Fire Tex 5090",O59="Fire Tex 5120"),'CALCULO PINTURA'!S60," ")</f>
        <v>3.7543359256565654</v>
      </c>
      <c r="T59" s="874" t="str">
        <f>+IF(OR(O59="Blaze Shield II",O59="Cafco 400",O59="Cafco 300"),'CALCULO MORTERO'!N60," ")</f>
        <v xml:space="preserve"> </v>
      </c>
      <c r="U59" s="875" t="str">
        <f>+IF(OR(O59="Blaze Shield II",O59="Cafco 400",O59="Cafco 300"),'CALCULO MORTERO'!O60," ")</f>
        <v xml:space="preserve"> </v>
      </c>
      <c r="V59" s="161" t="str" cm="1">
        <f t="array" ref="V59">_xlfn.IFS(O59="Blaze Shield II",'CALCULO MORTERO'!P60, O59="Cafco 400",'CALCULO MORTERO'!Q60,O59="Cafco 300",'CALCULO MORTERO'!S60, AND(OR(O59="Fire tex 5090", O59="Fire Tex 5062", O59="Fire Tex 5120", O59="Fire Control"),Q59&gt;0), "CERT.",TRUE,"-")</f>
        <v>CERT.</v>
      </c>
      <c r="W59" s="167"/>
      <c r="X59" s="167"/>
    </row>
    <row r="60" spans="1:24" x14ac:dyDescent="0.2">
      <c r="A60" s="874" t="s">
        <v>604</v>
      </c>
      <c r="B60" s="904" t="s">
        <v>598</v>
      </c>
      <c r="C60" s="910" t="s">
        <v>625</v>
      </c>
      <c r="D60" s="944" t="s">
        <v>602</v>
      </c>
      <c r="E60" s="905" t="s">
        <v>626</v>
      </c>
      <c r="F60" s="909" t="s">
        <v>100</v>
      </c>
      <c r="G60" s="874">
        <v>1</v>
      </c>
      <c r="H60" s="874">
        <v>1</v>
      </c>
      <c r="I60" s="906">
        <v>29210</v>
      </c>
      <c r="J60" s="942">
        <v>3</v>
      </c>
      <c r="K60" s="874">
        <v>723</v>
      </c>
      <c r="L60" s="161">
        <v>60</v>
      </c>
      <c r="M60" s="169">
        <v>265</v>
      </c>
      <c r="N60" s="163">
        <f t="shared" si="1"/>
        <v>21.118829999999999</v>
      </c>
      <c r="O60" s="41" t="s">
        <v>60</v>
      </c>
      <c r="P60" s="41" t="s">
        <v>115</v>
      </c>
      <c r="Q60" s="161" t="str">
        <f>+IF(OR(O60="Fire Control",O60="Fire Tex 5062",O60="Fire Tex 5090",O60="Fire Tex 5120"),'CALCULO PINTURA'!P61," ")</f>
        <v xml:space="preserve"> </v>
      </c>
      <c r="R60" s="164" t="str">
        <f>+IF(OR(O60="Fire Control",O60="Fire Tex 5062",O60="Fire Tex 5090",O60="Fire Tex 5120"),'CALCULO PINTURA'!R61," ")</f>
        <v xml:space="preserve"> </v>
      </c>
      <c r="S60" s="164" t="str">
        <f>+IF(OR(O60="Fire Control",O60="Fire Tex 5062",O60="Fire Tex 5090",O60="Fire Tex 5120"),'CALCULO PINTURA'!S61," ")</f>
        <v xml:space="preserve"> </v>
      </c>
      <c r="T60" s="874">
        <f>+IF(OR(O60="Blaze Shield II",O60="Cafco 400",O60="Cafco 300"),'CALCULO MORTERO'!N61," ")</f>
        <v>35</v>
      </c>
      <c r="U60" s="875">
        <f>+IF(OR(O60="Blaze Shield II",O60="Cafco 400",O60="Cafco 300"),'CALCULO MORTERO'!O61," ")</f>
        <v>8.3641681973684214</v>
      </c>
      <c r="V60" s="161" t="str" cm="1">
        <f t="array" ref="V60">_xlfn.IFS(O60="Blaze Shield II",'CALCULO MORTERO'!P61, O60="Cafco 400",'CALCULO MORTERO'!Q61,O60="Cafco 300",'CALCULO MORTERO'!S61, AND(OR(O60="Fire tex 5090", O60="Fire Tex 5062", O60="Fire Tex 5120", O60="Fire Control"),Q60&gt;0), "CERT.",TRUE,"-")</f>
        <v>CERT.</v>
      </c>
      <c r="W60" s="167"/>
      <c r="X60" s="167"/>
    </row>
    <row r="61" spans="1:24" x14ac:dyDescent="0.2">
      <c r="A61" s="874" t="s">
        <v>604</v>
      </c>
      <c r="B61" s="904" t="s">
        <v>598</v>
      </c>
      <c r="C61" s="910" t="s">
        <v>572</v>
      </c>
      <c r="D61" s="944" t="s">
        <v>550</v>
      </c>
      <c r="E61" s="905" t="s">
        <v>622</v>
      </c>
      <c r="F61" s="909" t="s">
        <v>100</v>
      </c>
      <c r="G61" s="874">
        <v>2</v>
      </c>
      <c r="H61" s="874">
        <v>1</v>
      </c>
      <c r="I61" s="906">
        <v>4000</v>
      </c>
      <c r="J61" s="942">
        <v>4</v>
      </c>
      <c r="K61" s="874">
        <v>600</v>
      </c>
      <c r="L61" s="161" t="s">
        <v>156</v>
      </c>
      <c r="M61" s="169">
        <v>200</v>
      </c>
      <c r="N61" s="163">
        <f t="shared" si="1"/>
        <v>4.8</v>
      </c>
      <c r="O61" s="41" t="s">
        <v>529</v>
      </c>
      <c r="P61" s="41" t="s">
        <v>115</v>
      </c>
      <c r="Q61" s="161">
        <f>+IF(OR(O61="Fire Control",O61="Fire Tex 5062",O61="Fire Tex 5090",O61="Fire Tex 5120"),'CALCULO PINTURA'!P62," ")</f>
        <v>1930</v>
      </c>
      <c r="R61" s="164">
        <f>+IF(OR(O61="Fire Control",O61="Fire Tex 5062",O61="Fire Tex 5090",O61="Fire Tex 5120"),'CALCULO PINTURA'!R62," ")</f>
        <v>4.5601645607436296</v>
      </c>
      <c r="S61" s="164">
        <f>+IF(OR(O61="Fire Control",O61="Fire Tex 5062",O61="Fire Tex 5090",O61="Fire Tex 5120"),'CALCULO PINTURA'!S62," ")</f>
        <v>1.052593593073593</v>
      </c>
      <c r="T61" s="874" t="str">
        <f>+IF(OR(O61="Blaze Shield II",O61="Cafco 400",O61="Cafco 300"),'CALCULO MORTERO'!N62," ")</f>
        <v xml:space="preserve"> </v>
      </c>
      <c r="U61" s="875" t="str">
        <f>+IF(OR(O61="Blaze Shield II",O61="Cafco 400",O61="Cafco 300"),'CALCULO MORTERO'!O62," ")</f>
        <v xml:space="preserve"> </v>
      </c>
      <c r="V61" s="161" t="str" cm="1">
        <f t="array" ref="V61">_xlfn.IFS(O61="Blaze Shield II",'CALCULO MORTERO'!P62, O61="Cafco 400",'CALCULO MORTERO'!Q62,O61="Cafco 300",'CALCULO MORTERO'!S62, AND(OR(O61="Fire tex 5090", O61="Fire Tex 5062", O61="Fire Tex 5120", O61="Fire Control"),Q61&gt;0), "CERT.",TRUE,"-")</f>
        <v>CERT.</v>
      </c>
      <c r="W61" s="167"/>
      <c r="X61" s="167"/>
    </row>
    <row r="62" spans="1:24" x14ac:dyDescent="0.2">
      <c r="A62" s="874" t="s">
        <v>604</v>
      </c>
      <c r="B62" s="904" t="s">
        <v>598</v>
      </c>
      <c r="C62" s="910" t="s">
        <v>577</v>
      </c>
      <c r="D62" s="944" t="s">
        <v>578</v>
      </c>
      <c r="E62" s="905" t="s">
        <v>576</v>
      </c>
      <c r="F62" s="909" t="s">
        <v>100</v>
      </c>
      <c r="G62" s="874">
        <v>4</v>
      </c>
      <c r="H62" s="874">
        <v>1</v>
      </c>
      <c r="I62" s="906">
        <v>7200</v>
      </c>
      <c r="J62" s="942">
        <v>4</v>
      </c>
      <c r="K62" s="874">
        <v>400</v>
      </c>
      <c r="L62" s="161" t="s">
        <v>156</v>
      </c>
      <c r="M62" s="169">
        <v>333</v>
      </c>
      <c r="N62" s="163">
        <f t="shared" si="1"/>
        <v>11.52</v>
      </c>
      <c r="O62" s="41" t="s">
        <v>529</v>
      </c>
      <c r="P62" s="41" t="s">
        <v>115</v>
      </c>
      <c r="Q62" s="161">
        <f>+IF(OR(O62="Fire Control",O62="Fire Tex 5062",O62="Fire Tex 5090",O62="Fire Tex 5120"),'CALCULO PINTURA'!P63," ")</f>
        <v>2828</v>
      </c>
      <c r="R62" s="164">
        <f>+IF(OR(O62="Fire Control",O62="Fire Tex 5062",O62="Fire Tex 5090",O62="Fire Tex 5120"),'CALCULO PINTURA'!R63," ")</f>
        <v>3.1121349371411613</v>
      </c>
      <c r="S62" s="164">
        <f>+IF(OR(O62="Fire Control",O62="Fire Tex 5062",O62="Fire Tex 5090",O62="Fire Tex 5120"),'CALCULO PINTURA'!S63," ")</f>
        <v>3.7016389818181819</v>
      </c>
      <c r="T62" s="874" t="str">
        <f>+IF(OR(O62="Blaze Shield II",O62="Cafco 400",O62="Cafco 300"),'CALCULO MORTERO'!N63," ")</f>
        <v xml:space="preserve"> </v>
      </c>
      <c r="U62" s="875" t="str">
        <f>+IF(OR(O62="Blaze Shield II",O62="Cafco 400",O62="Cafco 300"),'CALCULO MORTERO'!O63," ")</f>
        <v xml:space="preserve"> </v>
      </c>
      <c r="V62" s="161" t="str" cm="1">
        <f t="array" ref="V62">_xlfn.IFS(O62="Blaze Shield II",'CALCULO MORTERO'!P63, O62="Cafco 400",'CALCULO MORTERO'!Q63,O62="Cafco 300",'CALCULO MORTERO'!S63, AND(OR(O62="Fire tex 5090", O62="Fire Tex 5062", O62="Fire Tex 5120", O62="Fire Control"),Q62&gt;0), "CERT.",TRUE,"-")</f>
        <v>CERT.</v>
      </c>
      <c r="W62" s="167"/>
      <c r="X62" s="167"/>
    </row>
    <row r="63" spans="1:24" x14ac:dyDescent="0.2">
      <c r="A63" s="874" t="s">
        <v>604</v>
      </c>
      <c r="B63" s="904" t="s">
        <v>598</v>
      </c>
      <c r="C63" s="910" t="s">
        <v>577</v>
      </c>
      <c r="D63" s="944" t="s">
        <v>578</v>
      </c>
      <c r="E63" s="905" t="s">
        <v>576</v>
      </c>
      <c r="F63" s="909" t="s">
        <v>100</v>
      </c>
      <c r="G63" s="874">
        <v>4</v>
      </c>
      <c r="H63" s="874">
        <v>1</v>
      </c>
      <c r="I63" s="906">
        <v>6700</v>
      </c>
      <c r="J63" s="942">
        <v>4</v>
      </c>
      <c r="K63" s="874">
        <v>400</v>
      </c>
      <c r="L63" s="161" t="s">
        <v>156</v>
      </c>
      <c r="M63" s="169">
        <v>333</v>
      </c>
      <c r="N63" s="163">
        <f t="shared" si="1"/>
        <v>10.72</v>
      </c>
      <c r="O63" s="41" t="s">
        <v>529</v>
      </c>
      <c r="P63" s="41" t="s">
        <v>115</v>
      </c>
      <c r="Q63" s="161">
        <f>+IF(OR(O63="Fire Control",O63="Fire Tex 5062",O63="Fire Tex 5090",O63="Fire Tex 5120"),'CALCULO PINTURA'!P64," ")</f>
        <v>2828</v>
      </c>
      <c r="R63" s="164">
        <f>+IF(OR(O63="Fire Control",O63="Fire Tex 5062",O63="Fire Tex 5090",O63="Fire Tex 5120"),'CALCULO PINTURA'!R64," ")</f>
        <v>3.1121349371411613</v>
      </c>
      <c r="S63" s="164">
        <f>+IF(OR(O63="Fire Control",O63="Fire Tex 5062",O63="Fire Tex 5090",O63="Fire Tex 5120"),'CALCULO PINTURA'!S64," ")</f>
        <v>3.4445807191919195</v>
      </c>
      <c r="T63" s="874" t="str">
        <f>+IF(OR(O63="Blaze Shield II",O63="Cafco 400",O63="Cafco 300"),'CALCULO MORTERO'!N64," ")</f>
        <v xml:space="preserve"> </v>
      </c>
      <c r="U63" s="875" t="str">
        <f>+IF(OR(O63="Blaze Shield II",O63="Cafco 400",O63="Cafco 300"),'CALCULO MORTERO'!O64," ")</f>
        <v xml:space="preserve"> </v>
      </c>
      <c r="V63" s="161" t="str" cm="1">
        <f t="array" ref="V63">_xlfn.IFS(O63="Blaze Shield II",'CALCULO MORTERO'!P64, O63="Cafco 400",'CALCULO MORTERO'!Q64,O63="Cafco 300",'CALCULO MORTERO'!S64, AND(OR(O63="Fire tex 5090", O63="Fire Tex 5062", O63="Fire Tex 5120", O63="Fire Control"),Q63&gt;0), "CERT.",TRUE,"-")</f>
        <v>CERT.</v>
      </c>
      <c r="W63" s="167"/>
      <c r="X63" s="167"/>
    </row>
    <row r="64" spans="1:24" x14ac:dyDescent="0.2">
      <c r="A64" s="874" t="s">
        <v>604</v>
      </c>
      <c r="B64" s="904" t="s">
        <v>598</v>
      </c>
      <c r="C64" s="910" t="s">
        <v>577</v>
      </c>
      <c r="D64" s="944" t="s">
        <v>578</v>
      </c>
      <c r="E64" s="905" t="s">
        <v>576</v>
      </c>
      <c r="F64" s="909" t="s">
        <v>100</v>
      </c>
      <c r="G64" s="874">
        <v>2</v>
      </c>
      <c r="H64" s="874">
        <v>1</v>
      </c>
      <c r="I64" s="906">
        <v>5800</v>
      </c>
      <c r="J64" s="942">
        <v>4</v>
      </c>
      <c r="K64" s="874">
        <v>400</v>
      </c>
      <c r="L64" s="161" t="s">
        <v>156</v>
      </c>
      <c r="M64" s="169">
        <v>333</v>
      </c>
      <c r="N64" s="163">
        <f t="shared" si="1"/>
        <v>4.6399999999999997</v>
      </c>
      <c r="O64" s="41" t="s">
        <v>529</v>
      </c>
      <c r="P64" s="41" t="s">
        <v>115</v>
      </c>
      <c r="Q64" s="161">
        <f>+IF(OR(O64="Fire Control",O64="Fire Tex 5062",O64="Fire Tex 5090",O64="Fire Tex 5120"),'CALCULO PINTURA'!P65," ")</f>
        <v>2828</v>
      </c>
      <c r="R64" s="164">
        <f>+IF(OR(O64="Fire Control",O64="Fire Tex 5062",O64="Fire Tex 5090",O64="Fire Tex 5120"),'CALCULO PINTURA'!R65," ")</f>
        <v>3.1121349371411613</v>
      </c>
      <c r="S64" s="164">
        <f>+IF(OR(O64="Fire Control",O64="Fire Tex 5062",O64="Fire Tex 5090",O64="Fire Tex 5120"),'CALCULO PINTURA'!S65," ")</f>
        <v>1.4909379232323232</v>
      </c>
      <c r="T64" s="874" t="str">
        <f>+IF(OR(O64="Blaze Shield II",O64="Cafco 400",O64="Cafco 300"),'CALCULO MORTERO'!N65," ")</f>
        <v xml:space="preserve"> </v>
      </c>
      <c r="U64" s="875" t="str">
        <f>+IF(OR(O64="Blaze Shield II",O64="Cafco 400",O64="Cafco 300"),'CALCULO MORTERO'!O65," ")</f>
        <v xml:space="preserve"> </v>
      </c>
      <c r="V64" s="161" t="str" cm="1">
        <f t="array" ref="V64">_xlfn.IFS(O64="Blaze Shield II",'CALCULO MORTERO'!P65, O64="Cafco 400",'CALCULO MORTERO'!Q65,O64="Cafco 300",'CALCULO MORTERO'!S65, AND(OR(O64="Fire tex 5090", O64="Fire Tex 5062", O64="Fire Tex 5120", O64="Fire Control"),Q64&gt;0), "CERT.",TRUE,"-")</f>
        <v>CERT.</v>
      </c>
      <c r="W64" s="167"/>
      <c r="X64" s="167"/>
    </row>
    <row r="65" spans="1:24" x14ac:dyDescent="0.2">
      <c r="A65" s="874" t="s">
        <v>604</v>
      </c>
      <c r="B65" s="904" t="s">
        <v>598</v>
      </c>
      <c r="C65" s="910" t="s">
        <v>577</v>
      </c>
      <c r="D65" s="944" t="s">
        <v>578</v>
      </c>
      <c r="E65" s="905" t="s">
        <v>576</v>
      </c>
      <c r="F65" s="909" t="s">
        <v>100</v>
      </c>
      <c r="G65" s="874">
        <v>2</v>
      </c>
      <c r="H65" s="874">
        <v>1</v>
      </c>
      <c r="I65" s="906">
        <v>5250</v>
      </c>
      <c r="J65" s="942">
        <v>4</v>
      </c>
      <c r="K65" s="874">
        <v>400</v>
      </c>
      <c r="L65" s="161" t="s">
        <v>156</v>
      </c>
      <c r="M65" s="169">
        <v>333</v>
      </c>
      <c r="N65" s="163">
        <f t="shared" si="1"/>
        <v>4.2</v>
      </c>
      <c r="O65" s="41" t="s">
        <v>529</v>
      </c>
      <c r="P65" s="41" t="s">
        <v>115</v>
      </c>
      <c r="Q65" s="161">
        <f>+IF(OR(O65="Fire Control",O65="Fire Tex 5062",O65="Fire Tex 5090",O65="Fire Tex 5120"),'CALCULO PINTURA'!P66," ")</f>
        <v>2828</v>
      </c>
      <c r="R65" s="164">
        <f>+IF(OR(O65="Fire Control",O65="Fire Tex 5062",O65="Fire Tex 5090",O65="Fire Tex 5120"),'CALCULO PINTURA'!R66," ")</f>
        <v>3.1121349371411613</v>
      </c>
      <c r="S65" s="164">
        <f>+IF(OR(O65="Fire Control",O65="Fire Tex 5062",O65="Fire Tex 5090",O65="Fire Tex 5120"),'CALCULO PINTURA'!S66," ")</f>
        <v>1.349555878787879</v>
      </c>
      <c r="T65" s="874" t="str">
        <f>+IF(OR(O65="Blaze Shield II",O65="Cafco 400",O65="Cafco 300"),'CALCULO MORTERO'!N66," ")</f>
        <v xml:space="preserve"> </v>
      </c>
      <c r="U65" s="875" t="str">
        <f>+IF(OR(O65="Blaze Shield II",O65="Cafco 400",O65="Cafco 300"),'CALCULO MORTERO'!O66," ")</f>
        <v xml:space="preserve"> </v>
      </c>
      <c r="V65" s="161" t="str" cm="1">
        <f t="array" ref="V65">_xlfn.IFS(O65="Blaze Shield II",'CALCULO MORTERO'!P66, O65="Cafco 400",'CALCULO MORTERO'!Q66,O65="Cafco 300",'CALCULO MORTERO'!S66, AND(OR(O65="Fire tex 5090", O65="Fire Tex 5062", O65="Fire Tex 5120", O65="Fire Control"),Q65&gt;0), "CERT.",TRUE,"-")</f>
        <v>CERT.</v>
      </c>
      <c r="W65" s="167"/>
      <c r="X65" s="167"/>
    </row>
    <row r="66" spans="1:24" x14ac:dyDescent="0.2">
      <c r="A66" s="874" t="s">
        <v>605</v>
      </c>
      <c r="B66" s="904" t="s">
        <v>606</v>
      </c>
      <c r="C66" s="910" t="s">
        <v>571</v>
      </c>
      <c r="D66" s="944" t="s">
        <v>550</v>
      </c>
      <c r="E66" s="905" t="s">
        <v>621</v>
      </c>
      <c r="F66" s="909" t="s">
        <v>100</v>
      </c>
      <c r="G66" s="874">
        <v>6</v>
      </c>
      <c r="H66" s="874">
        <v>1</v>
      </c>
      <c r="I66" s="906">
        <v>7000</v>
      </c>
      <c r="J66" s="942">
        <v>4</v>
      </c>
      <c r="K66" s="874">
        <v>1200</v>
      </c>
      <c r="L66" s="161" t="s">
        <v>156</v>
      </c>
      <c r="M66" s="169">
        <v>236</v>
      </c>
      <c r="N66" s="163">
        <f t="shared" si="1"/>
        <v>50.4</v>
      </c>
      <c r="O66" s="41" t="s">
        <v>529</v>
      </c>
      <c r="P66" s="41" t="s">
        <v>115</v>
      </c>
      <c r="Q66" s="161">
        <f>+IF(OR(O66="Fire Control",O66="Fire Tex 5062",O66="Fire Tex 5090",O66="Fire Tex 5120"),'CALCULO PINTURA'!P67," ")</f>
        <v>2196</v>
      </c>
      <c r="R66" s="164">
        <f>+IF(OR(O66="Fire Control",O66="Fire Tex 5062",O66="Fire Tex 5090",O66="Fire Tex 5120"),'CALCULO PINTURA'!R67," ")</f>
        <v>4.0077949008357026</v>
      </c>
      <c r="S66" s="164">
        <f>+IF(OR(O66="Fire Control",O66="Fire Tex 5062",O66="Fire Tex 5090",O66="Fire Tex 5120"),'CALCULO PINTURA'!S67," ")</f>
        <v>12.575493818181821</v>
      </c>
      <c r="T66" s="874" t="str">
        <f>+IF(OR(O66="Blaze Shield II",O66="Cafco 400",O66="Cafco 300"),'CALCULO MORTERO'!N67," ")</f>
        <v xml:space="preserve"> </v>
      </c>
      <c r="U66" s="875" t="str">
        <f>+IF(OR(O66="Blaze Shield II",O66="Cafco 400",O66="Cafco 300"),'CALCULO MORTERO'!O67," ")</f>
        <v xml:space="preserve"> </v>
      </c>
      <c r="V66" s="161" t="str" cm="1">
        <f t="array" ref="V66">_xlfn.IFS(O66="Blaze Shield II",'CALCULO MORTERO'!P67, O66="Cafco 400",'CALCULO MORTERO'!Q67,O66="Cafco 300",'CALCULO MORTERO'!S67, AND(OR(O66="Fire tex 5090", O66="Fire Tex 5062", O66="Fire Tex 5120", O66="Fire Control"),Q66&gt;0), "CERT.",TRUE,"-")</f>
        <v>CERT.</v>
      </c>
      <c r="W66" s="167"/>
      <c r="X66" s="167"/>
    </row>
    <row r="67" spans="1:24" x14ac:dyDescent="0.2">
      <c r="A67" s="874" t="s">
        <v>605</v>
      </c>
      <c r="B67" s="904" t="s">
        <v>606</v>
      </c>
      <c r="C67" s="910" t="s">
        <v>601</v>
      </c>
      <c r="D67" s="944" t="s">
        <v>549</v>
      </c>
      <c r="E67" s="905" t="s">
        <v>576</v>
      </c>
      <c r="F67" s="909" t="s">
        <v>100</v>
      </c>
      <c r="G67" s="874">
        <v>2</v>
      </c>
      <c r="H67" s="874">
        <v>1</v>
      </c>
      <c r="I67" s="906">
        <v>29210</v>
      </c>
      <c r="J67" s="942">
        <v>4</v>
      </c>
      <c r="K67" s="874">
        <v>400</v>
      </c>
      <c r="L67" s="161" t="s">
        <v>156</v>
      </c>
      <c r="M67" s="169">
        <v>333</v>
      </c>
      <c r="N67" s="163">
        <f t="shared" si="1"/>
        <v>23.367999999999999</v>
      </c>
      <c r="O67" s="41" t="s">
        <v>529</v>
      </c>
      <c r="P67" s="41" t="s">
        <v>115</v>
      </c>
      <c r="Q67" s="161">
        <f>+IF(OR(O67="Fire Control",O67="Fire Tex 5062",O67="Fire Tex 5090",O67="Fire Tex 5120"),'CALCULO PINTURA'!P68," ")</f>
        <v>2828</v>
      </c>
      <c r="R67" s="164">
        <f>+IF(OR(O67="Fire Control",O67="Fire Tex 5062",O67="Fire Tex 5090",O67="Fire Tex 5120"),'CALCULO PINTURA'!R68," ")</f>
        <v>3.1121349371411613</v>
      </c>
      <c r="S67" s="164">
        <f>+IF(OR(O67="Fire Control",O67="Fire Tex 5062",O67="Fire Tex 5090",O67="Fire Tex 5120"),'CALCULO PINTURA'!S68," ")</f>
        <v>7.5086718513131308</v>
      </c>
      <c r="T67" s="874" t="str">
        <f>+IF(OR(O67="Blaze Shield II",O67="Cafco 400",O67="Cafco 300"),'CALCULO MORTERO'!N68," ")</f>
        <v xml:space="preserve"> </v>
      </c>
      <c r="U67" s="875" t="str">
        <f>+IF(OR(O67="Blaze Shield II",O67="Cafco 400",O67="Cafco 300"),'CALCULO MORTERO'!O68," ")</f>
        <v xml:space="preserve"> </v>
      </c>
      <c r="V67" s="161" t="str" cm="1">
        <f t="array" ref="V67">_xlfn.IFS(O67="Blaze Shield II",'CALCULO MORTERO'!P68, O67="Cafco 400",'CALCULO MORTERO'!Q68,O67="Cafco 300",'CALCULO MORTERO'!S68, AND(OR(O67="Fire tex 5090", O67="Fire Tex 5062", O67="Fire Tex 5120", O67="Fire Control"),Q67&gt;0), "CERT.",TRUE,"-")</f>
        <v>CERT.</v>
      </c>
      <c r="W67" s="167"/>
      <c r="X67" s="167"/>
    </row>
    <row r="68" spans="1:24" x14ac:dyDescent="0.2">
      <c r="A68" s="874" t="s">
        <v>605</v>
      </c>
      <c r="B68" s="904" t="s">
        <v>606</v>
      </c>
      <c r="C68" s="910" t="s">
        <v>599</v>
      </c>
      <c r="D68" s="944" t="s">
        <v>549</v>
      </c>
      <c r="E68" s="905" t="s">
        <v>600</v>
      </c>
      <c r="F68" s="909" t="s">
        <v>100</v>
      </c>
      <c r="G68" s="874">
        <v>1</v>
      </c>
      <c r="H68" s="874">
        <v>1</v>
      </c>
      <c r="I68" s="906">
        <v>2000</v>
      </c>
      <c r="J68" s="942">
        <v>4</v>
      </c>
      <c r="K68" s="874">
        <v>600</v>
      </c>
      <c r="L68" s="161" t="s">
        <v>156</v>
      </c>
      <c r="M68" s="169">
        <v>250</v>
      </c>
      <c r="N68" s="163">
        <f t="shared" si="1"/>
        <v>1.2</v>
      </c>
      <c r="O68" s="41" t="s">
        <v>529</v>
      </c>
      <c r="P68" s="41" t="s">
        <v>115</v>
      </c>
      <c r="Q68" s="161">
        <f>+IF(OR(O68="Fire Control",O68="Fire Tex 5062",O68="Fire Tex 5090",O68="Fire Tex 5120"),'CALCULO PINTURA'!P69," ")</f>
        <v>2262</v>
      </c>
      <c r="R68" s="164">
        <f>+IF(OR(O68="Fire Control",O68="Fire Tex 5062",O68="Fire Tex 5090",O68="Fire Tex 5120"),'CALCULO PINTURA'!R69," ")</f>
        <v>3.8908565880792239</v>
      </c>
      <c r="S68" s="164">
        <f>+IF(OR(O68="Fire Control",O68="Fire Tex 5062",O68="Fire Tex 5090",O68="Fire Tex 5120"),'CALCULO PINTURA'!S69," ")</f>
        <v>0.30841537662337659</v>
      </c>
      <c r="T68" s="874" t="str">
        <f>+IF(OR(O68="Blaze Shield II",O68="Cafco 400",O68="Cafco 300"),'CALCULO MORTERO'!N69," ")</f>
        <v xml:space="preserve"> </v>
      </c>
      <c r="U68" s="875" t="str">
        <f>+IF(OR(O68="Blaze Shield II",O68="Cafco 400",O68="Cafco 300"),'CALCULO MORTERO'!O69," ")</f>
        <v xml:space="preserve"> </v>
      </c>
      <c r="V68" s="161" t="str" cm="1">
        <f t="array" ref="V68">_xlfn.IFS(O68="Blaze Shield II",'CALCULO MORTERO'!P69, O68="Cafco 400",'CALCULO MORTERO'!Q69,O68="Cafco 300",'CALCULO MORTERO'!S69, AND(OR(O68="Fire tex 5090", O68="Fire Tex 5062", O68="Fire Tex 5120", O68="Fire Control"),Q68&gt;0), "CERT.",TRUE,"-")</f>
        <v>CERT.</v>
      </c>
      <c r="W68" s="167"/>
      <c r="X68" s="167"/>
    </row>
    <row r="69" spans="1:24" x14ac:dyDescent="0.2">
      <c r="A69" s="874" t="s">
        <v>605</v>
      </c>
      <c r="B69" s="904" t="s">
        <v>606</v>
      </c>
      <c r="C69" s="910" t="s">
        <v>577</v>
      </c>
      <c r="D69" s="944" t="s">
        <v>578</v>
      </c>
      <c r="E69" s="905" t="s">
        <v>576</v>
      </c>
      <c r="F69" s="909" t="s">
        <v>100</v>
      </c>
      <c r="G69" s="874">
        <v>8</v>
      </c>
      <c r="H69" s="874">
        <v>1</v>
      </c>
      <c r="I69" s="906">
        <v>6900</v>
      </c>
      <c r="J69" s="942">
        <v>4</v>
      </c>
      <c r="K69" s="874">
        <v>400</v>
      </c>
      <c r="L69" s="161" t="s">
        <v>156</v>
      </c>
      <c r="M69" s="169">
        <v>333</v>
      </c>
      <c r="N69" s="163">
        <f t="shared" si="1"/>
        <v>22.08</v>
      </c>
      <c r="O69" s="41" t="s">
        <v>529</v>
      </c>
      <c r="P69" s="41" t="s">
        <v>115</v>
      </c>
      <c r="Q69" s="161">
        <f>+IF(OR(O69="Fire Control",O69="Fire Tex 5062",O69="Fire Tex 5090",O69="Fire Tex 5120"),'CALCULO PINTURA'!P70," ")</f>
        <v>2828</v>
      </c>
      <c r="R69" s="164">
        <f>+IF(OR(O69="Fire Control",O69="Fire Tex 5062",O69="Fire Tex 5090",O69="Fire Tex 5120"),'CALCULO PINTURA'!R70," ")</f>
        <v>3.1121349371411613</v>
      </c>
      <c r="S69" s="164">
        <f>+IF(OR(O69="Fire Control",O69="Fire Tex 5062",O69="Fire Tex 5090",O69="Fire Tex 5120"),'CALCULO PINTURA'!S70," ")</f>
        <v>7.0948080484848486</v>
      </c>
      <c r="T69" s="874" t="str">
        <f>+IF(OR(O69="Blaze Shield II",O69="Cafco 400",O69="Cafco 300"),'CALCULO MORTERO'!N70," ")</f>
        <v xml:space="preserve"> </v>
      </c>
      <c r="U69" s="875" t="str">
        <f>+IF(OR(O69="Blaze Shield II",O69="Cafco 400",O69="Cafco 300"),'CALCULO MORTERO'!O70," ")</f>
        <v xml:space="preserve"> </v>
      </c>
      <c r="V69" s="161" t="str" cm="1">
        <f t="array" ref="V69">_xlfn.IFS(O69="Blaze Shield II",'CALCULO MORTERO'!P70, O69="Cafco 400",'CALCULO MORTERO'!Q70,O69="Cafco 300",'CALCULO MORTERO'!S70, AND(OR(O69="Fire tex 5090", O69="Fire Tex 5062", O69="Fire Tex 5120", O69="Fire Control"),Q69&gt;0), "CERT.",TRUE,"-")</f>
        <v>CERT.</v>
      </c>
      <c r="W69" s="167"/>
      <c r="X69" s="167"/>
    </row>
    <row r="70" spans="1:24" x14ac:dyDescent="0.2">
      <c r="A70" s="874" t="s">
        <v>605</v>
      </c>
      <c r="B70" s="904" t="s">
        <v>606</v>
      </c>
      <c r="C70" s="910" t="s">
        <v>577</v>
      </c>
      <c r="D70" s="944" t="s">
        <v>578</v>
      </c>
      <c r="E70" s="905" t="s">
        <v>576</v>
      </c>
      <c r="F70" s="909" t="s">
        <v>100</v>
      </c>
      <c r="G70" s="874">
        <v>4</v>
      </c>
      <c r="H70" s="874">
        <v>1</v>
      </c>
      <c r="I70" s="906">
        <v>5800</v>
      </c>
      <c r="J70" s="942">
        <v>4</v>
      </c>
      <c r="K70" s="874">
        <v>400</v>
      </c>
      <c r="L70" s="161" t="s">
        <v>156</v>
      </c>
      <c r="M70" s="169">
        <v>333</v>
      </c>
      <c r="N70" s="163">
        <f t="shared" si="1"/>
        <v>9.2799999999999994</v>
      </c>
      <c r="O70" s="41" t="s">
        <v>529</v>
      </c>
      <c r="P70" s="41" t="s">
        <v>115</v>
      </c>
      <c r="Q70" s="161">
        <f>+IF(OR(O70="Fire Control",O70="Fire Tex 5062",O70="Fire Tex 5090",O70="Fire Tex 5120"),'CALCULO PINTURA'!P71," ")</f>
        <v>2828</v>
      </c>
      <c r="R70" s="164">
        <f>+IF(OR(O70="Fire Control",O70="Fire Tex 5062",O70="Fire Tex 5090",O70="Fire Tex 5120"),'CALCULO PINTURA'!R71," ")</f>
        <v>3.1121349371411613</v>
      </c>
      <c r="S70" s="164">
        <f>+IF(OR(O70="Fire Control",O70="Fire Tex 5062",O70="Fire Tex 5090",O70="Fire Tex 5120"),'CALCULO PINTURA'!S71," ")</f>
        <v>2.9818758464646464</v>
      </c>
      <c r="T70" s="874" t="str">
        <f>+IF(OR(O70="Blaze Shield II",O70="Cafco 400",O70="Cafco 300"),'CALCULO MORTERO'!N71," ")</f>
        <v xml:space="preserve"> </v>
      </c>
      <c r="U70" s="875" t="str">
        <f>+IF(OR(O70="Blaze Shield II",O70="Cafco 400",O70="Cafco 300"),'CALCULO MORTERO'!O71," ")</f>
        <v xml:space="preserve"> </v>
      </c>
      <c r="V70" s="161" t="str" cm="1">
        <f t="array" ref="V70">_xlfn.IFS(O70="Blaze Shield II",'CALCULO MORTERO'!P71, O70="Cafco 400",'CALCULO MORTERO'!Q71,O70="Cafco 300",'CALCULO MORTERO'!S71, AND(OR(O70="Fire tex 5090", O70="Fire Tex 5062", O70="Fire Tex 5120", O70="Fire Control"),Q70&gt;0), "CERT.",TRUE,"-")</f>
        <v>CERT.</v>
      </c>
      <c r="W70" s="167"/>
      <c r="X70" s="167"/>
    </row>
    <row r="71" spans="1:24" x14ac:dyDescent="0.2">
      <c r="A71" s="874" t="s">
        <v>608</v>
      </c>
      <c r="B71" s="904" t="s">
        <v>607</v>
      </c>
      <c r="C71" s="910" t="s">
        <v>609</v>
      </c>
      <c r="D71" s="944" t="s">
        <v>549</v>
      </c>
      <c r="E71" s="910" t="s">
        <v>609</v>
      </c>
      <c r="F71" s="909" t="s">
        <v>100</v>
      </c>
      <c r="G71" s="874">
        <v>2</v>
      </c>
      <c r="H71" s="874">
        <v>6</v>
      </c>
      <c r="I71" s="906">
        <v>11700</v>
      </c>
      <c r="J71" s="942">
        <v>4</v>
      </c>
      <c r="K71" s="874">
        <v>1200</v>
      </c>
      <c r="L71" s="161" t="s">
        <v>156</v>
      </c>
      <c r="M71" s="169">
        <v>236</v>
      </c>
      <c r="N71" s="163">
        <f t="shared" si="1"/>
        <v>168.48</v>
      </c>
      <c r="O71" s="41" t="s">
        <v>529</v>
      </c>
      <c r="P71" s="41" t="s">
        <v>115</v>
      </c>
      <c r="Q71" s="161">
        <f>+IF(OR(O71="Fire Control",O71="Fire Tex 5062",O71="Fire Tex 5090",O71="Fire Tex 5120"),'CALCULO PINTURA'!P72," ")</f>
        <v>2196</v>
      </c>
      <c r="R71" s="164">
        <f>+IF(OR(O71="Fire Control",O71="Fire Tex 5062",O71="Fire Tex 5090",O71="Fire Tex 5120"),'CALCULO PINTURA'!R72," ")</f>
        <v>4.0077949008357026</v>
      </c>
      <c r="S71" s="164">
        <f>+IF(OR(O71="Fire Control",O71="Fire Tex 5062",O71="Fire Tex 5090",O71="Fire Tex 5120"),'CALCULO PINTURA'!S72," ")</f>
        <v>42.038079335064943</v>
      </c>
      <c r="T71" s="874" t="str">
        <f>+IF(OR(O71="Blaze Shield II",O71="Cafco 400",O71="Cafco 300"),'CALCULO MORTERO'!N72," ")</f>
        <v xml:space="preserve"> </v>
      </c>
      <c r="U71" s="875" t="str">
        <f>+IF(OR(O71="Blaze Shield II",O71="Cafco 400",O71="Cafco 300"),'CALCULO MORTERO'!O72," ")</f>
        <v xml:space="preserve"> </v>
      </c>
      <c r="V71" s="161" t="str" cm="1">
        <f t="array" ref="V71">_xlfn.IFS(O71="Blaze Shield II",'CALCULO MORTERO'!P72, O71="Cafco 400",'CALCULO MORTERO'!Q72,O71="Cafco 300",'CALCULO MORTERO'!S72, AND(OR(O71="Fire tex 5090", O71="Fire Tex 5062", O71="Fire Tex 5120", O71="Fire Control"),Q71&gt;0), "CERT.",TRUE,"-")</f>
        <v>CERT.</v>
      </c>
      <c r="W71" s="167"/>
      <c r="X71" s="167"/>
    </row>
    <row r="72" spans="1:24" x14ac:dyDescent="0.2">
      <c r="A72" s="874" t="s">
        <v>610</v>
      </c>
      <c r="B72" s="904" t="s">
        <v>607</v>
      </c>
      <c r="C72" s="910" t="s">
        <v>583</v>
      </c>
      <c r="D72" s="944" t="s">
        <v>550</v>
      </c>
      <c r="E72" s="905" t="s">
        <v>600</v>
      </c>
      <c r="F72" s="909" t="s">
        <v>100</v>
      </c>
      <c r="G72" s="874">
        <v>3</v>
      </c>
      <c r="H72" s="874">
        <v>1</v>
      </c>
      <c r="I72" s="945">
        <v>7100</v>
      </c>
      <c r="J72" s="942">
        <v>4</v>
      </c>
      <c r="K72" s="874">
        <v>600</v>
      </c>
      <c r="L72" s="161" t="s">
        <v>156</v>
      </c>
      <c r="M72" s="169">
        <v>250</v>
      </c>
      <c r="N72" s="163">
        <f t="shared" si="1"/>
        <v>12.78</v>
      </c>
      <c r="O72" s="41" t="s">
        <v>529</v>
      </c>
      <c r="P72" s="41" t="s">
        <v>115</v>
      </c>
      <c r="Q72" s="161">
        <f>+IF(OR(O72="Fire Control",O72="Fire Tex 5062",O72="Fire Tex 5090",O72="Fire Tex 5120"),'CALCULO PINTURA'!P73," ")</f>
        <v>2262</v>
      </c>
      <c r="R72" s="164">
        <f>+IF(OR(O72="Fire Control",O72="Fire Tex 5062",O72="Fire Tex 5090",O72="Fire Tex 5120"),'CALCULO PINTURA'!R73," ")</f>
        <v>3.8908565880792239</v>
      </c>
      <c r="S72" s="164">
        <f>+IF(OR(O72="Fire Control",O72="Fire Tex 5062",O72="Fire Tex 5090",O72="Fire Tex 5120"),'CALCULO PINTURA'!S73," ")</f>
        <v>3.284623761038961</v>
      </c>
      <c r="T72" s="874" t="str">
        <f>+IF(OR(O72="Blaze Shield II",O72="Cafco 400",O72="Cafco 300"),'CALCULO MORTERO'!N73," ")</f>
        <v xml:space="preserve"> </v>
      </c>
      <c r="U72" s="875" t="str">
        <f>+IF(OR(O72="Blaze Shield II",O72="Cafco 400",O72="Cafco 300"),'CALCULO MORTERO'!O73," ")</f>
        <v xml:space="preserve"> </v>
      </c>
      <c r="V72" s="161" t="str" cm="1">
        <f t="array" ref="V72">_xlfn.IFS(O72="Blaze Shield II",'CALCULO MORTERO'!P73, O72="Cafco 400",'CALCULO MORTERO'!Q73,O72="Cafco 300",'CALCULO MORTERO'!S73, AND(OR(O72="Fire tex 5090", O72="Fire Tex 5062", O72="Fire Tex 5120", O72="Fire Control"),Q72&gt;0), "CERT.",TRUE,"-")</f>
        <v>CERT.</v>
      </c>
      <c r="W72" s="167"/>
      <c r="X72" s="167"/>
    </row>
    <row r="73" spans="1:24" x14ac:dyDescent="0.2">
      <c r="A73" s="874" t="s">
        <v>610</v>
      </c>
      <c r="B73" s="904" t="s">
        <v>607</v>
      </c>
      <c r="C73" s="910" t="s">
        <v>572</v>
      </c>
      <c r="D73" s="944" t="s">
        <v>550</v>
      </c>
      <c r="E73" s="905" t="s">
        <v>622</v>
      </c>
      <c r="F73" s="909" t="s">
        <v>100</v>
      </c>
      <c r="G73" s="874">
        <v>1</v>
      </c>
      <c r="H73" s="874">
        <v>1</v>
      </c>
      <c r="I73" s="906">
        <v>7500</v>
      </c>
      <c r="J73" s="942">
        <v>4</v>
      </c>
      <c r="K73" s="874">
        <v>600</v>
      </c>
      <c r="L73" s="161" t="s">
        <v>156</v>
      </c>
      <c r="M73" s="169">
        <v>200</v>
      </c>
      <c r="N73" s="163">
        <f t="shared" si="1"/>
        <v>4.5</v>
      </c>
      <c r="O73" s="41" t="s">
        <v>529</v>
      </c>
      <c r="P73" s="41" t="s">
        <v>115</v>
      </c>
      <c r="Q73" s="161">
        <f>+IF(OR(O73="Fire Control",O73="Fire Tex 5062",O73="Fire Tex 5090",O73="Fire Tex 5120"),'CALCULO PINTURA'!P74," ")</f>
        <v>1930</v>
      </c>
      <c r="R73" s="164">
        <f>+IF(OR(O73="Fire Control",O73="Fire Tex 5062",O73="Fire Tex 5090",O73="Fire Tex 5120"),'CALCULO PINTURA'!R74," ")</f>
        <v>4.5601645607436296</v>
      </c>
      <c r="S73" s="164">
        <f>+IF(OR(O73="Fire Control",O73="Fire Tex 5062",O73="Fire Tex 5090",O73="Fire Tex 5120"),'CALCULO PINTURA'!S74," ")</f>
        <v>0.98680649350649341</v>
      </c>
      <c r="T73" s="874" t="str">
        <f>+IF(OR(O73="Blaze Shield II",O73="Cafco 400",O73="Cafco 300"),'CALCULO MORTERO'!N74," ")</f>
        <v xml:space="preserve"> </v>
      </c>
      <c r="U73" s="875" t="str">
        <f>+IF(OR(O73="Blaze Shield II",O73="Cafco 400",O73="Cafco 300"),'CALCULO MORTERO'!O74," ")</f>
        <v xml:space="preserve"> </v>
      </c>
      <c r="V73" s="161" t="str" cm="1">
        <f t="array" ref="V73">_xlfn.IFS(O73="Blaze Shield II",'CALCULO MORTERO'!P74, O73="Cafco 400",'CALCULO MORTERO'!Q74,O73="Cafco 300",'CALCULO MORTERO'!S74, AND(OR(O73="Fire tex 5090", O73="Fire Tex 5062", O73="Fire Tex 5120", O73="Fire Control"),Q73&gt;0), "CERT.",TRUE,"-")</f>
        <v>CERT.</v>
      </c>
      <c r="W73" s="167"/>
      <c r="X73" s="167"/>
    </row>
    <row r="74" spans="1:24" x14ac:dyDescent="0.2">
      <c r="A74" s="874" t="s">
        <v>610</v>
      </c>
      <c r="B74" s="904" t="s">
        <v>607</v>
      </c>
      <c r="C74" s="910" t="s">
        <v>603</v>
      </c>
      <c r="D74" s="944" t="s">
        <v>549</v>
      </c>
      <c r="E74" s="905" t="s">
        <v>576</v>
      </c>
      <c r="F74" s="909" t="s">
        <v>100</v>
      </c>
      <c r="G74" s="874">
        <v>1</v>
      </c>
      <c r="H74" s="874">
        <v>1</v>
      </c>
      <c r="I74" s="906">
        <v>4140</v>
      </c>
      <c r="J74" s="942">
        <v>4</v>
      </c>
      <c r="K74" s="874">
        <v>400</v>
      </c>
      <c r="L74" s="161" t="s">
        <v>156</v>
      </c>
      <c r="M74" s="169">
        <v>333</v>
      </c>
      <c r="N74" s="163">
        <f t="shared" si="1"/>
        <v>1.6559999999999999</v>
      </c>
      <c r="O74" s="41" t="s">
        <v>529</v>
      </c>
      <c r="P74" s="41" t="s">
        <v>115</v>
      </c>
      <c r="Q74" s="161">
        <f>+IF(OR(O74="Fire Control",O74="Fire Tex 5062",O74="Fire Tex 5090",O74="Fire Tex 5120"),'CALCULO PINTURA'!P75," ")</f>
        <v>2828</v>
      </c>
      <c r="R74" s="164">
        <f>+IF(OR(O74="Fire Control",O74="Fire Tex 5062",O74="Fire Tex 5090",O74="Fire Tex 5120"),'CALCULO PINTURA'!R75," ")</f>
        <v>3.1121349371411613</v>
      </c>
      <c r="S74" s="164">
        <f>+IF(OR(O74="Fire Control",O74="Fire Tex 5062",O74="Fire Tex 5090",O74="Fire Tex 5120"),'CALCULO PINTURA'!S75," ")</f>
        <v>0.53211060363636364</v>
      </c>
      <c r="T74" s="874" t="str">
        <f>+IF(OR(O74="Blaze Shield II",O74="Cafco 400",O74="Cafco 300"),'CALCULO MORTERO'!N75," ")</f>
        <v xml:space="preserve"> </v>
      </c>
      <c r="U74" s="875" t="str">
        <f>+IF(OR(O74="Blaze Shield II",O74="Cafco 400",O74="Cafco 300"),'CALCULO MORTERO'!O75," ")</f>
        <v xml:space="preserve"> </v>
      </c>
      <c r="V74" s="161" t="str" cm="1">
        <f t="array" ref="V74">_xlfn.IFS(O74="Blaze Shield II",'CALCULO MORTERO'!P75, O74="Cafco 400",'CALCULO MORTERO'!Q75,O74="Cafco 300",'CALCULO MORTERO'!S75, AND(OR(O74="Fire tex 5090", O74="Fire Tex 5062", O74="Fire Tex 5120", O74="Fire Control"),Q74&gt;0), "CERT.",TRUE,"-")</f>
        <v>CERT.</v>
      </c>
      <c r="W74" s="167"/>
      <c r="X74" s="167"/>
    </row>
    <row r="75" spans="1:24" x14ac:dyDescent="0.2">
      <c r="A75" s="874" t="s">
        <v>610</v>
      </c>
      <c r="B75" s="904" t="s">
        <v>607</v>
      </c>
      <c r="C75" s="910" t="s">
        <v>603</v>
      </c>
      <c r="D75" s="944" t="s">
        <v>549</v>
      </c>
      <c r="E75" s="905" t="s">
        <v>576</v>
      </c>
      <c r="F75" s="909" t="s">
        <v>100</v>
      </c>
      <c r="G75" s="874">
        <v>1</v>
      </c>
      <c r="H75" s="874">
        <v>1</v>
      </c>
      <c r="I75" s="906">
        <v>2000</v>
      </c>
      <c r="J75" s="942">
        <v>4</v>
      </c>
      <c r="K75" s="874">
        <v>400</v>
      </c>
      <c r="L75" s="161" t="s">
        <v>156</v>
      </c>
      <c r="M75" s="169">
        <v>333</v>
      </c>
      <c r="N75" s="163">
        <f t="shared" ref="N75:N106" si="3">+IF(F75="","",(K75*I75*H75*G75)/1000000)</f>
        <v>0.8</v>
      </c>
      <c r="O75" s="41" t="s">
        <v>529</v>
      </c>
      <c r="P75" s="41" t="s">
        <v>115</v>
      </c>
      <c r="Q75" s="161">
        <f>+IF(OR(O75="Fire Control",O75="Fire Tex 5062",O75="Fire Tex 5090",O75="Fire Tex 5120"),'CALCULO PINTURA'!P76," ")</f>
        <v>2828</v>
      </c>
      <c r="R75" s="164">
        <f>+IF(OR(O75="Fire Control",O75="Fire Tex 5062",O75="Fire Tex 5090",O75="Fire Tex 5120"),'CALCULO PINTURA'!R76," ")</f>
        <v>3.1121349371411613</v>
      </c>
      <c r="S75" s="164">
        <f>+IF(OR(O75="Fire Control",O75="Fire Tex 5062",O75="Fire Tex 5090",O75="Fire Tex 5120"),'CALCULO PINTURA'!S76," ")</f>
        <v>0.25705826262626263</v>
      </c>
      <c r="T75" s="874" t="str">
        <f>+IF(OR(O75="Blaze Shield II",O75="Cafco 400",O75="Cafco 300"),'CALCULO MORTERO'!N76," ")</f>
        <v xml:space="preserve"> </v>
      </c>
      <c r="U75" s="875" t="str">
        <f>+IF(OR(O75="Blaze Shield II",O75="Cafco 400",O75="Cafco 300"),'CALCULO MORTERO'!O76," ")</f>
        <v xml:space="preserve"> </v>
      </c>
      <c r="V75" s="161" t="str" cm="1">
        <f t="array" ref="V75">_xlfn.IFS(O75="Blaze Shield II",'CALCULO MORTERO'!P76, O75="Cafco 400",'CALCULO MORTERO'!Q76,O75="Cafco 300",'CALCULO MORTERO'!S76, AND(OR(O75="Fire tex 5090", O75="Fire Tex 5062", O75="Fire Tex 5120", O75="Fire Control"),Q75&gt;0), "CERT.",TRUE,"-")</f>
        <v>CERT.</v>
      </c>
      <c r="W75" s="167"/>
      <c r="X75" s="167"/>
    </row>
    <row r="76" spans="1:24" x14ac:dyDescent="0.2">
      <c r="A76" s="874" t="s">
        <v>610</v>
      </c>
      <c r="B76" s="904" t="s">
        <v>607</v>
      </c>
      <c r="C76" s="910" t="s">
        <v>603</v>
      </c>
      <c r="D76" s="944" t="s">
        <v>550</v>
      </c>
      <c r="E76" s="905" t="s">
        <v>576</v>
      </c>
      <c r="F76" s="909" t="s">
        <v>100</v>
      </c>
      <c r="G76" s="874">
        <v>1</v>
      </c>
      <c r="H76" s="874">
        <v>1</v>
      </c>
      <c r="I76" s="906">
        <v>4000</v>
      </c>
      <c r="J76" s="942">
        <v>4</v>
      </c>
      <c r="K76" s="874">
        <v>400</v>
      </c>
      <c r="L76" s="161" t="s">
        <v>156</v>
      </c>
      <c r="M76" s="169">
        <v>333</v>
      </c>
      <c r="N76" s="163">
        <f t="shared" si="3"/>
        <v>1.6</v>
      </c>
      <c r="O76" s="41" t="s">
        <v>529</v>
      </c>
      <c r="P76" s="41" t="s">
        <v>115</v>
      </c>
      <c r="Q76" s="161">
        <f>+IF(OR(O76="Fire Control",O76="Fire Tex 5062",O76="Fire Tex 5090",O76="Fire Tex 5120"),'CALCULO PINTURA'!P77," ")</f>
        <v>2828</v>
      </c>
      <c r="R76" s="164">
        <f>+IF(OR(O76="Fire Control",O76="Fire Tex 5062",O76="Fire Tex 5090",O76="Fire Tex 5120"),'CALCULO PINTURA'!R77," ")</f>
        <v>3.1121349371411613</v>
      </c>
      <c r="S76" s="164">
        <f>+IF(OR(O76="Fire Control",O76="Fire Tex 5062",O76="Fire Tex 5090",O76="Fire Tex 5120"),'CALCULO PINTURA'!S77," ")</f>
        <v>0.51411652525252527</v>
      </c>
      <c r="T76" s="874" t="str">
        <f>+IF(OR(O76="Blaze Shield II",O76="Cafco 400",O76="Cafco 300"),'CALCULO MORTERO'!N77," ")</f>
        <v xml:space="preserve"> </v>
      </c>
      <c r="U76" s="875" t="str">
        <f>+IF(OR(O76="Blaze Shield II",O76="Cafco 400",O76="Cafco 300"),'CALCULO MORTERO'!O77," ")</f>
        <v xml:space="preserve"> </v>
      </c>
      <c r="V76" s="161" t="str" cm="1">
        <f t="array" ref="V76">_xlfn.IFS(O76="Blaze Shield II",'CALCULO MORTERO'!P77, O76="Cafco 400",'CALCULO MORTERO'!Q77,O76="Cafco 300",'CALCULO MORTERO'!S77, AND(OR(O76="Fire tex 5090", O76="Fire Tex 5062", O76="Fire Tex 5120", O76="Fire Control"),Q76&gt;0), "CERT.",TRUE,"-")</f>
        <v>CERT.</v>
      </c>
      <c r="W76" s="167"/>
      <c r="X76" s="167"/>
    </row>
    <row r="77" spans="1:24" x14ac:dyDescent="0.2">
      <c r="A77" s="874" t="s">
        <v>610</v>
      </c>
      <c r="B77" s="904" t="s">
        <v>607</v>
      </c>
      <c r="C77" s="910" t="s">
        <v>603</v>
      </c>
      <c r="D77" s="944" t="s">
        <v>549</v>
      </c>
      <c r="E77" s="905" t="s">
        <v>576</v>
      </c>
      <c r="F77" s="909" t="s">
        <v>100</v>
      </c>
      <c r="G77" s="874">
        <v>2</v>
      </c>
      <c r="H77" s="874">
        <v>1</v>
      </c>
      <c r="I77" s="906">
        <v>3500</v>
      </c>
      <c r="J77" s="942">
        <v>4</v>
      </c>
      <c r="K77" s="874">
        <v>400</v>
      </c>
      <c r="L77" s="161" t="s">
        <v>156</v>
      </c>
      <c r="M77" s="169">
        <v>333</v>
      </c>
      <c r="N77" s="163">
        <f t="shared" si="3"/>
        <v>2.8</v>
      </c>
      <c r="O77" s="41" t="s">
        <v>529</v>
      </c>
      <c r="P77" s="41" t="s">
        <v>115</v>
      </c>
      <c r="Q77" s="161">
        <f>+IF(OR(O77="Fire Control",O77="Fire Tex 5062",O77="Fire Tex 5090",O77="Fire Tex 5120"),'CALCULO PINTURA'!P78," ")</f>
        <v>2828</v>
      </c>
      <c r="R77" s="164">
        <f>+IF(OR(O77="Fire Control",O77="Fire Tex 5062",O77="Fire Tex 5090",O77="Fire Tex 5120"),'CALCULO PINTURA'!R78," ")</f>
        <v>3.1121349371411613</v>
      </c>
      <c r="S77" s="164">
        <f>+IF(OR(O77="Fire Control",O77="Fire Tex 5062",O77="Fire Tex 5090",O77="Fire Tex 5120"),'CALCULO PINTURA'!S78," ")</f>
        <v>0.89970391919191917</v>
      </c>
      <c r="T77" s="874" t="str">
        <f>+IF(OR(O77="Blaze Shield II",O77="Cafco 400",O77="Cafco 300"),'CALCULO MORTERO'!N78," ")</f>
        <v xml:space="preserve"> </v>
      </c>
      <c r="U77" s="875" t="str">
        <f>+IF(OR(O77="Blaze Shield II",O77="Cafco 400",O77="Cafco 300"),'CALCULO MORTERO'!O78," ")</f>
        <v xml:space="preserve"> </v>
      </c>
      <c r="V77" s="161" t="str" cm="1">
        <f t="array" ref="V77">_xlfn.IFS(O77="Blaze Shield II",'CALCULO MORTERO'!P78, O77="Cafco 400",'CALCULO MORTERO'!Q78,O77="Cafco 300",'CALCULO MORTERO'!S78, AND(OR(O77="Fire tex 5090", O77="Fire Tex 5062", O77="Fire Tex 5120", O77="Fire Control"),Q77&gt;0), "CERT.",TRUE,"-")</f>
        <v>CERT.</v>
      </c>
      <c r="W77" s="167"/>
      <c r="X77" s="167"/>
    </row>
    <row r="78" spans="1:24" x14ac:dyDescent="0.2">
      <c r="A78" s="874" t="s">
        <v>611</v>
      </c>
      <c r="B78" s="904" t="s">
        <v>607</v>
      </c>
      <c r="C78" s="910" t="s">
        <v>572</v>
      </c>
      <c r="D78" s="944" t="s">
        <v>550</v>
      </c>
      <c r="E78" s="905" t="s">
        <v>622</v>
      </c>
      <c r="F78" s="909" t="s">
        <v>100</v>
      </c>
      <c r="G78" s="874">
        <v>1</v>
      </c>
      <c r="H78" s="874">
        <v>1</v>
      </c>
      <c r="I78" s="906">
        <v>4000</v>
      </c>
      <c r="J78" s="942">
        <v>4</v>
      </c>
      <c r="K78" s="874">
        <v>600</v>
      </c>
      <c r="L78" s="161" t="s">
        <v>156</v>
      </c>
      <c r="M78" s="169">
        <v>200</v>
      </c>
      <c r="N78" s="163">
        <f t="shared" si="3"/>
        <v>2.4</v>
      </c>
      <c r="O78" s="41" t="s">
        <v>529</v>
      </c>
      <c r="P78" s="41" t="s">
        <v>115</v>
      </c>
      <c r="Q78" s="161">
        <f>+IF(OR(O78="Fire Control",O78="Fire Tex 5062",O78="Fire Tex 5090",O78="Fire Tex 5120"),'CALCULO PINTURA'!P79," ")</f>
        <v>1930</v>
      </c>
      <c r="R78" s="164">
        <f>+IF(OR(O78="Fire Control",O78="Fire Tex 5062",O78="Fire Tex 5090",O78="Fire Tex 5120"),'CALCULO PINTURA'!R79," ")</f>
        <v>4.5601645607436296</v>
      </c>
      <c r="S78" s="164">
        <f>+IF(OR(O78="Fire Control",O78="Fire Tex 5062",O78="Fire Tex 5090",O78="Fire Tex 5120"),'CALCULO PINTURA'!S79," ")</f>
        <v>0.52629679653679651</v>
      </c>
      <c r="T78" s="874" t="str">
        <f>+IF(OR(O78="Blaze Shield II",O78="Cafco 400",O78="Cafco 300"),'CALCULO MORTERO'!N79," ")</f>
        <v xml:space="preserve"> </v>
      </c>
      <c r="U78" s="875" t="str">
        <f>+IF(OR(O78="Blaze Shield II",O78="Cafco 400",O78="Cafco 300"),'CALCULO MORTERO'!O79," ")</f>
        <v xml:space="preserve"> </v>
      </c>
      <c r="V78" s="161" t="str" cm="1">
        <f t="array" ref="V78">_xlfn.IFS(O78="Blaze Shield II",'CALCULO MORTERO'!P79, O78="Cafco 400",'CALCULO MORTERO'!Q79,O78="Cafco 300",'CALCULO MORTERO'!S79, AND(OR(O78="Fire tex 5090", O78="Fire Tex 5062", O78="Fire Tex 5120", O78="Fire Control"),Q78&gt;0), "CERT.",TRUE,"-")</f>
        <v>CERT.</v>
      </c>
      <c r="W78" s="167"/>
      <c r="X78" s="167"/>
    </row>
    <row r="79" spans="1:24" x14ac:dyDescent="0.2">
      <c r="A79" s="874" t="s">
        <v>587</v>
      </c>
      <c r="B79" s="904" t="s">
        <v>612</v>
      </c>
      <c r="C79" s="910" t="s">
        <v>572</v>
      </c>
      <c r="D79" s="944" t="s">
        <v>550</v>
      </c>
      <c r="E79" s="905" t="s">
        <v>622</v>
      </c>
      <c r="F79" s="909" t="s">
        <v>100</v>
      </c>
      <c r="G79" s="874">
        <v>1</v>
      </c>
      <c r="H79" s="874">
        <v>1</v>
      </c>
      <c r="I79" s="906">
        <v>4000</v>
      </c>
      <c r="J79" s="942">
        <v>4</v>
      </c>
      <c r="K79" s="874">
        <v>600</v>
      </c>
      <c r="L79" s="161" t="s">
        <v>156</v>
      </c>
      <c r="M79" s="169">
        <v>200</v>
      </c>
      <c r="N79" s="163">
        <f t="shared" si="3"/>
        <v>2.4</v>
      </c>
      <c r="O79" s="41" t="s">
        <v>529</v>
      </c>
      <c r="P79" s="41" t="s">
        <v>115</v>
      </c>
      <c r="Q79" s="161">
        <f>+IF(OR(O79="Fire Control",O79="Fire Tex 5062",O79="Fire Tex 5090",O79="Fire Tex 5120"),'CALCULO PINTURA'!P80," ")</f>
        <v>1930</v>
      </c>
      <c r="R79" s="164">
        <f>+IF(OR(O79="Fire Control",O79="Fire Tex 5062",O79="Fire Tex 5090",O79="Fire Tex 5120"),'CALCULO PINTURA'!R80," ")</f>
        <v>4.5601645607436296</v>
      </c>
      <c r="S79" s="164">
        <f>+IF(OR(O79="Fire Control",O79="Fire Tex 5062",O79="Fire Tex 5090",O79="Fire Tex 5120"),'CALCULO PINTURA'!S80," ")</f>
        <v>0.52629679653679651</v>
      </c>
      <c r="T79" s="874" t="str">
        <f>+IF(OR(O79="Blaze Shield II",O79="Cafco 400",O79="Cafco 300"),'CALCULO MORTERO'!N80," ")</f>
        <v xml:space="preserve"> </v>
      </c>
      <c r="U79" s="875" t="str">
        <f>+IF(OR(O79="Blaze Shield II",O79="Cafco 400",O79="Cafco 300"),'CALCULO MORTERO'!O80," ")</f>
        <v xml:space="preserve"> </v>
      </c>
      <c r="V79" s="161" t="str" cm="1">
        <f t="array" ref="V79">_xlfn.IFS(O79="Blaze Shield II",'CALCULO MORTERO'!P80, O79="Cafco 400",'CALCULO MORTERO'!Q80,O79="Cafco 300",'CALCULO MORTERO'!S80, AND(OR(O79="Fire tex 5090", O79="Fire Tex 5062", O79="Fire Tex 5120", O79="Fire Control"),Q79&gt;0), "CERT.",TRUE,"-")</f>
        <v>CERT.</v>
      </c>
      <c r="W79" s="167"/>
      <c r="X79" s="167"/>
    </row>
    <row r="80" spans="1:24" x14ac:dyDescent="0.2">
      <c r="A80" s="874" t="s">
        <v>587</v>
      </c>
      <c r="B80" s="904" t="s">
        <v>612</v>
      </c>
      <c r="C80" s="910" t="s">
        <v>623</v>
      </c>
      <c r="D80" s="944" t="s">
        <v>602</v>
      </c>
      <c r="E80" s="905" t="s">
        <v>624</v>
      </c>
      <c r="F80" s="909" t="s">
        <v>19</v>
      </c>
      <c r="G80" s="874">
        <v>1</v>
      </c>
      <c r="H80" s="874">
        <v>1</v>
      </c>
      <c r="I80" s="906">
        <v>11650</v>
      </c>
      <c r="J80" s="942">
        <v>3</v>
      </c>
      <c r="K80" s="874">
        <v>867</v>
      </c>
      <c r="L80" s="161">
        <v>60</v>
      </c>
      <c r="M80" s="169">
        <v>233</v>
      </c>
      <c r="N80" s="163">
        <f t="shared" si="3"/>
        <v>10.10055</v>
      </c>
      <c r="O80" s="41" t="s">
        <v>60</v>
      </c>
      <c r="P80" s="41" t="s">
        <v>115</v>
      </c>
      <c r="Q80" s="161" t="str">
        <f>+IF(OR(O80="Fire Control",O80="Fire Tex 5062",O80="Fire Tex 5090",O80="Fire Tex 5120"),'CALCULO PINTURA'!P81," ")</f>
        <v xml:space="preserve"> </v>
      </c>
      <c r="R80" s="164" t="str">
        <f>+IF(OR(O80="Fire Control",O80="Fire Tex 5062",O80="Fire Tex 5090",O80="Fire Tex 5120"),'CALCULO PINTURA'!R81," ")</f>
        <v xml:space="preserve"> </v>
      </c>
      <c r="S80" s="164" t="str">
        <f>+IF(OR(O80="Fire Control",O80="Fire Tex 5062",O80="Fire Tex 5090",O80="Fire Tex 5120"),'CALCULO PINTURA'!S81," ")</f>
        <v xml:space="preserve"> </v>
      </c>
      <c r="T80" s="874">
        <f>+IF(OR(O80="Blaze Shield II",O80="Cafco 400",O80="Cafco 300"),'CALCULO MORTERO'!N81," ")</f>
        <v>21</v>
      </c>
      <c r="U80" s="875">
        <f>+IF(OR(O80="Blaze Shield II",O80="Cafco 400",O80="Cafco 300"),'CALCULO MORTERO'!O81," ")</f>
        <v>2.400209644736842</v>
      </c>
      <c r="V80" s="161" t="str" cm="1">
        <f t="array" ref="V80">_xlfn.IFS(O80="Blaze Shield II",'CALCULO MORTERO'!P81, O80="Cafco 400",'CALCULO MORTERO'!Q81,O80="Cafco 300",'CALCULO MORTERO'!S81, AND(OR(O80="Fire tex 5090", O80="Fire Tex 5062", O80="Fire Tex 5120", O80="Fire Control"),Q80&gt;0), "CERT.",TRUE,"-")</f>
        <v>CERT.</v>
      </c>
      <c r="W80" s="167"/>
      <c r="X80" s="167"/>
    </row>
    <row r="81" spans="1:24" x14ac:dyDescent="0.2">
      <c r="A81" s="874" t="s">
        <v>613</v>
      </c>
      <c r="B81" s="904" t="s">
        <v>612</v>
      </c>
      <c r="C81" s="910" t="s">
        <v>572</v>
      </c>
      <c r="D81" s="944" t="s">
        <v>550</v>
      </c>
      <c r="E81" s="905" t="s">
        <v>622</v>
      </c>
      <c r="F81" s="909" t="s">
        <v>100</v>
      </c>
      <c r="G81" s="874">
        <v>1</v>
      </c>
      <c r="H81" s="874">
        <v>1</v>
      </c>
      <c r="I81" s="906">
        <v>4000</v>
      </c>
      <c r="J81" s="942">
        <v>4</v>
      </c>
      <c r="K81" s="874">
        <v>600</v>
      </c>
      <c r="L81" s="161" t="s">
        <v>156</v>
      </c>
      <c r="M81" s="169">
        <v>200</v>
      </c>
      <c r="N81" s="163">
        <f t="shared" si="3"/>
        <v>2.4</v>
      </c>
      <c r="O81" s="41" t="s">
        <v>529</v>
      </c>
      <c r="P81" s="41" t="s">
        <v>115</v>
      </c>
      <c r="Q81" s="161">
        <f>+IF(OR(O81="Fire Control",O81="Fire Tex 5062",O81="Fire Tex 5090",O81="Fire Tex 5120"),'CALCULO PINTURA'!P82," ")</f>
        <v>1930</v>
      </c>
      <c r="R81" s="164">
        <f>+IF(OR(O81="Fire Control",O81="Fire Tex 5062",O81="Fire Tex 5090",O81="Fire Tex 5120"),'CALCULO PINTURA'!R82," ")</f>
        <v>4.5601645607436296</v>
      </c>
      <c r="S81" s="164">
        <f>+IF(OR(O81="Fire Control",O81="Fire Tex 5062",O81="Fire Tex 5090",O81="Fire Tex 5120"),'CALCULO PINTURA'!S82," ")</f>
        <v>0.52629679653679651</v>
      </c>
      <c r="T81" s="874" t="str">
        <f>+IF(OR(O81="Blaze Shield II",O81="Cafco 400",O81="Cafco 300"),'CALCULO MORTERO'!N82," ")</f>
        <v xml:space="preserve"> </v>
      </c>
      <c r="U81" s="875" t="str">
        <f>+IF(OR(O81="Blaze Shield II",O81="Cafco 400",O81="Cafco 300"),'CALCULO MORTERO'!O82," ")</f>
        <v xml:space="preserve"> </v>
      </c>
      <c r="V81" s="161" t="str" cm="1">
        <f t="array" ref="V81">_xlfn.IFS(O81="Blaze Shield II",'CALCULO MORTERO'!P82, O81="Cafco 400",'CALCULO MORTERO'!Q82,O81="Cafco 300",'CALCULO MORTERO'!S82, AND(OR(O81="Fire tex 5090", O81="Fire Tex 5062", O81="Fire Tex 5120", O81="Fire Control"),Q81&gt;0), "CERT.",TRUE,"-")</f>
        <v>CERT.</v>
      </c>
      <c r="W81" s="167"/>
      <c r="X81" s="167"/>
    </row>
    <row r="82" spans="1:24" x14ac:dyDescent="0.2">
      <c r="A82" s="874" t="s">
        <v>613</v>
      </c>
      <c r="B82" s="904" t="s">
        <v>612</v>
      </c>
      <c r="C82" s="910" t="s">
        <v>623</v>
      </c>
      <c r="D82" s="944" t="s">
        <v>602</v>
      </c>
      <c r="E82" s="905" t="s">
        <v>624</v>
      </c>
      <c r="F82" s="909" t="s">
        <v>19</v>
      </c>
      <c r="G82" s="874">
        <v>1</v>
      </c>
      <c r="H82" s="874">
        <v>1</v>
      </c>
      <c r="I82" s="906">
        <v>11650</v>
      </c>
      <c r="J82" s="942">
        <v>3</v>
      </c>
      <c r="K82" s="874">
        <v>867</v>
      </c>
      <c r="L82" s="161">
        <v>60</v>
      </c>
      <c r="M82" s="169">
        <v>233</v>
      </c>
      <c r="N82" s="163">
        <f t="shared" si="3"/>
        <v>10.10055</v>
      </c>
      <c r="O82" s="41" t="s">
        <v>60</v>
      </c>
      <c r="P82" s="41" t="s">
        <v>115</v>
      </c>
      <c r="Q82" s="161" t="str">
        <f>+IF(OR(O82="Fire Control",O82="Fire Tex 5062",O82="Fire Tex 5090",O82="Fire Tex 5120"),'CALCULO PINTURA'!P83," ")</f>
        <v xml:space="preserve"> </v>
      </c>
      <c r="R82" s="164" t="str">
        <f>+IF(OR(O82="Fire Control",O82="Fire Tex 5062",O82="Fire Tex 5090",O82="Fire Tex 5120"),'CALCULO PINTURA'!R83," ")</f>
        <v xml:space="preserve"> </v>
      </c>
      <c r="S82" s="164" t="str">
        <f>+IF(OR(O82="Fire Control",O82="Fire Tex 5062",O82="Fire Tex 5090",O82="Fire Tex 5120"),'CALCULO PINTURA'!S83," ")</f>
        <v xml:space="preserve"> </v>
      </c>
      <c r="T82" s="874">
        <f>+IF(OR(O82="Blaze Shield II",O82="Cafco 400",O82="Cafco 300"),'CALCULO MORTERO'!N83," ")</f>
        <v>21</v>
      </c>
      <c r="U82" s="875">
        <f>+IF(OR(O82="Blaze Shield II",O82="Cafco 400",O82="Cafco 300"),'CALCULO MORTERO'!O83," ")</f>
        <v>2.400209644736842</v>
      </c>
      <c r="V82" s="161" t="str" cm="1">
        <f t="array" ref="V82">_xlfn.IFS(O82="Blaze Shield II",'CALCULO MORTERO'!P83, O82="Cafco 400",'CALCULO MORTERO'!Q83,O82="Cafco 300",'CALCULO MORTERO'!S83, AND(OR(O82="Fire tex 5090", O82="Fire Tex 5062", O82="Fire Tex 5120", O82="Fire Control"),Q82&gt;0), "CERT.",TRUE,"-")</f>
        <v>CERT.</v>
      </c>
      <c r="W82" s="167"/>
      <c r="X82" s="167"/>
    </row>
    <row r="83" spans="1:24" x14ac:dyDescent="0.2">
      <c r="A83" s="874" t="s">
        <v>613</v>
      </c>
      <c r="B83" s="904" t="s">
        <v>612</v>
      </c>
      <c r="C83" s="910" t="s">
        <v>577</v>
      </c>
      <c r="D83" s="944" t="s">
        <v>578</v>
      </c>
      <c r="E83" s="905" t="s">
        <v>576</v>
      </c>
      <c r="F83" s="909" t="s">
        <v>100</v>
      </c>
      <c r="G83" s="874">
        <v>2</v>
      </c>
      <c r="H83" s="874">
        <v>1</v>
      </c>
      <c r="I83" s="906">
        <v>7900</v>
      </c>
      <c r="J83" s="942">
        <v>4</v>
      </c>
      <c r="K83" s="874">
        <v>400</v>
      </c>
      <c r="L83" s="161" t="s">
        <v>156</v>
      </c>
      <c r="M83" s="169">
        <v>333</v>
      </c>
      <c r="N83" s="163">
        <f t="shared" si="3"/>
        <v>6.32</v>
      </c>
      <c r="O83" s="41" t="s">
        <v>529</v>
      </c>
      <c r="P83" s="41" t="s">
        <v>115</v>
      </c>
      <c r="Q83" s="161">
        <f>+IF(OR(O83="Fire Control",O83="Fire Tex 5062",O83="Fire Tex 5090",O83="Fire Tex 5120"),'CALCULO PINTURA'!P84," ")</f>
        <v>2828</v>
      </c>
      <c r="R83" s="164">
        <f>+IF(OR(O83="Fire Control",O83="Fire Tex 5062",O83="Fire Tex 5090",O83="Fire Tex 5120"),'CALCULO PINTURA'!R84," ")</f>
        <v>3.1121349371411613</v>
      </c>
      <c r="S83" s="164">
        <f>+IF(OR(O83="Fire Control",O83="Fire Tex 5062",O83="Fire Tex 5090",O83="Fire Tex 5120"),'CALCULO PINTURA'!S84," ")</f>
        <v>2.0307602747474749</v>
      </c>
      <c r="T83" s="874" t="str">
        <f>+IF(OR(O83="Blaze Shield II",O83="Cafco 400",O83="Cafco 300"),'CALCULO MORTERO'!N84," ")</f>
        <v xml:space="preserve"> </v>
      </c>
      <c r="U83" s="875" t="str">
        <f>+IF(OR(O83="Blaze Shield II",O83="Cafco 400",O83="Cafco 300"),'CALCULO MORTERO'!O84," ")</f>
        <v xml:space="preserve"> </v>
      </c>
      <c r="V83" s="161" t="str" cm="1">
        <f t="array" ref="V83">_xlfn.IFS(O83="Blaze Shield II",'CALCULO MORTERO'!P84, O83="Cafco 400",'CALCULO MORTERO'!Q84,O83="Cafco 300",'CALCULO MORTERO'!S84, AND(OR(O83="Fire tex 5090", O83="Fire Tex 5062", O83="Fire Tex 5120", O83="Fire Control"),Q83&gt;0), "CERT.",TRUE,"-")</f>
        <v>CERT.</v>
      </c>
      <c r="W83" s="167"/>
      <c r="X83" s="167"/>
    </row>
    <row r="84" spans="1:24" x14ac:dyDescent="0.2">
      <c r="A84" s="874" t="s">
        <v>614</v>
      </c>
      <c r="B84" s="904" t="s">
        <v>615</v>
      </c>
      <c r="C84" s="910" t="s">
        <v>572</v>
      </c>
      <c r="D84" s="944" t="s">
        <v>550</v>
      </c>
      <c r="E84" s="905" t="s">
        <v>622</v>
      </c>
      <c r="F84" s="909" t="s">
        <v>100</v>
      </c>
      <c r="G84" s="874">
        <v>1</v>
      </c>
      <c r="H84" s="874">
        <v>1</v>
      </c>
      <c r="I84" s="906">
        <v>4000</v>
      </c>
      <c r="J84" s="942">
        <v>4</v>
      </c>
      <c r="K84" s="874">
        <v>600</v>
      </c>
      <c r="L84" s="161" t="s">
        <v>156</v>
      </c>
      <c r="M84" s="169">
        <v>200</v>
      </c>
      <c r="N84" s="163">
        <f t="shared" si="3"/>
        <v>2.4</v>
      </c>
      <c r="O84" s="41" t="s">
        <v>529</v>
      </c>
      <c r="P84" s="41" t="s">
        <v>115</v>
      </c>
      <c r="Q84" s="161">
        <f>+IF(OR(O84="Fire Control",O84="Fire Tex 5062",O84="Fire Tex 5090",O84="Fire Tex 5120"),'CALCULO PINTURA'!P85," ")</f>
        <v>1930</v>
      </c>
      <c r="R84" s="164">
        <f>+IF(OR(O84="Fire Control",O84="Fire Tex 5062",O84="Fire Tex 5090",O84="Fire Tex 5120"),'CALCULO PINTURA'!R85," ")</f>
        <v>4.5601645607436296</v>
      </c>
      <c r="S84" s="164">
        <f>+IF(OR(O84="Fire Control",O84="Fire Tex 5062",O84="Fire Tex 5090",O84="Fire Tex 5120"),'CALCULO PINTURA'!S85," ")</f>
        <v>0.52629679653679651</v>
      </c>
      <c r="T84" s="874" t="str">
        <f>+IF(OR(O84="Blaze Shield II",O84="Cafco 400",O84="Cafco 300"),'CALCULO MORTERO'!N85," ")</f>
        <v xml:space="preserve"> </v>
      </c>
      <c r="U84" s="875" t="str">
        <f>+IF(OR(O84="Blaze Shield II",O84="Cafco 400",O84="Cafco 300"),'CALCULO MORTERO'!O85," ")</f>
        <v xml:space="preserve"> </v>
      </c>
      <c r="V84" s="161" t="str" cm="1">
        <f t="array" ref="V84">_xlfn.IFS(O84="Blaze Shield II",'CALCULO MORTERO'!P85, O84="Cafco 400",'CALCULO MORTERO'!Q85,O84="Cafco 300",'CALCULO MORTERO'!S85, AND(OR(O84="Fire tex 5090", O84="Fire Tex 5062", O84="Fire Tex 5120", O84="Fire Control"),Q84&gt;0), "CERT.",TRUE,"-")</f>
        <v>CERT.</v>
      </c>
      <c r="W84" s="167"/>
      <c r="X84" s="167"/>
    </row>
    <row r="85" spans="1:24" x14ac:dyDescent="0.2">
      <c r="A85" s="874" t="s">
        <v>614</v>
      </c>
      <c r="B85" s="904" t="s">
        <v>615</v>
      </c>
      <c r="C85" s="910" t="s">
        <v>623</v>
      </c>
      <c r="D85" s="944" t="s">
        <v>602</v>
      </c>
      <c r="E85" s="905" t="s">
        <v>624</v>
      </c>
      <c r="F85" s="909" t="s">
        <v>19</v>
      </c>
      <c r="G85" s="874">
        <v>1</v>
      </c>
      <c r="H85" s="874">
        <v>1</v>
      </c>
      <c r="I85" s="906">
        <v>11650</v>
      </c>
      <c r="J85" s="942">
        <v>3</v>
      </c>
      <c r="K85" s="874">
        <v>867</v>
      </c>
      <c r="L85" s="161">
        <v>60</v>
      </c>
      <c r="M85" s="169">
        <v>233</v>
      </c>
      <c r="N85" s="163">
        <f t="shared" si="3"/>
        <v>10.10055</v>
      </c>
      <c r="O85" s="41" t="s">
        <v>60</v>
      </c>
      <c r="P85" s="41" t="s">
        <v>115</v>
      </c>
      <c r="Q85" s="161" t="str">
        <f>+IF(OR(O85="Fire Control",O85="Fire Tex 5062",O85="Fire Tex 5090",O85="Fire Tex 5120"),'CALCULO PINTURA'!P86," ")</f>
        <v xml:space="preserve"> </v>
      </c>
      <c r="R85" s="164" t="str">
        <f>+IF(OR(O85="Fire Control",O85="Fire Tex 5062",O85="Fire Tex 5090",O85="Fire Tex 5120"),'CALCULO PINTURA'!R86," ")</f>
        <v xml:space="preserve"> </v>
      </c>
      <c r="S85" s="164" t="str">
        <f>+IF(OR(O85="Fire Control",O85="Fire Tex 5062",O85="Fire Tex 5090",O85="Fire Tex 5120"),'CALCULO PINTURA'!S86," ")</f>
        <v xml:space="preserve"> </v>
      </c>
      <c r="T85" s="874">
        <f>+IF(OR(O85="Blaze Shield II",O85="Cafco 400",O85="Cafco 300"),'CALCULO MORTERO'!N86," ")</f>
        <v>21</v>
      </c>
      <c r="U85" s="875">
        <f>+IF(OR(O85="Blaze Shield II",O85="Cafco 400",O85="Cafco 300"),'CALCULO MORTERO'!O86," ")</f>
        <v>2.400209644736842</v>
      </c>
      <c r="V85" s="161" t="str" cm="1">
        <f t="array" ref="V85">_xlfn.IFS(O85="Blaze Shield II",'CALCULO MORTERO'!P86, O85="Cafco 400",'CALCULO MORTERO'!Q86,O85="Cafco 300",'CALCULO MORTERO'!S86, AND(OR(O85="Fire tex 5090", O85="Fire Tex 5062", O85="Fire Tex 5120", O85="Fire Control"),Q85&gt;0), "CERT.",TRUE,"-")</f>
        <v>CERT.</v>
      </c>
      <c r="W85" s="167"/>
      <c r="X85" s="167"/>
    </row>
    <row r="86" spans="1:24" x14ac:dyDescent="0.2">
      <c r="A86" s="874" t="s">
        <v>580</v>
      </c>
      <c r="B86" s="904" t="s">
        <v>615</v>
      </c>
      <c r="C86" s="910" t="s">
        <v>572</v>
      </c>
      <c r="D86" s="944" t="s">
        <v>550</v>
      </c>
      <c r="E86" s="905" t="s">
        <v>622</v>
      </c>
      <c r="F86" s="909" t="s">
        <v>100</v>
      </c>
      <c r="G86" s="874">
        <v>1</v>
      </c>
      <c r="H86" s="874">
        <v>1</v>
      </c>
      <c r="I86" s="906">
        <v>4000</v>
      </c>
      <c r="J86" s="942">
        <v>4</v>
      </c>
      <c r="K86" s="874">
        <v>600</v>
      </c>
      <c r="L86" s="161" t="s">
        <v>156</v>
      </c>
      <c r="M86" s="169">
        <v>200</v>
      </c>
      <c r="N86" s="163">
        <f t="shared" si="3"/>
        <v>2.4</v>
      </c>
      <c r="O86" s="41" t="s">
        <v>529</v>
      </c>
      <c r="P86" s="41" t="s">
        <v>115</v>
      </c>
      <c r="Q86" s="161">
        <f>+IF(OR(O86="Fire Control",O86="Fire Tex 5062",O86="Fire Tex 5090",O86="Fire Tex 5120"),'CALCULO PINTURA'!P87," ")</f>
        <v>1930</v>
      </c>
      <c r="R86" s="164">
        <f>+IF(OR(O86="Fire Control",O86="Fire Tex 5062",O86="Fire Tex 5090",O86="Fire Tex 5120"),'CALCULO PINTURA'!R87," ")</f>
        <v>4.5601645607436296</v>
      </c>
      <c r="S86" s="164">
        <f>+IF(OR(O86="Fire Control",O86="Fire Tex 5062",O86="Fire Tex 5090",O86="Fire Tex 5120"),'CALCULO PINTURA'!S87," ")</f>
        <v>0.52629679653679651</v>
      </c>
      <c r="T86" s="874" t="str">
        <f>+IF(OR(O86="Blaze Shield II",O86="Cafco 400",O86="Cafco 300"),'CALCULO MORTERO'!N87," ")</f>
        <v xml:space="preserve"> </v>
      </c>
      <c r="U86" s="875" t="str">
        <f>+IF(OR(O86="Blaze Shield II",O86="Cafco 400",O86="Cafco 300"),'CALCULO MORTERO'!O87," ")</f>
        <v xml:space="preserve"> </v>
      </c>
      <c r="V86" s="161" t="str" cm="1">
        <f t="array" ref="V86">_xlfn.IFS(O86="Blaze Shield II",'CALCULO MORTERO'!P87, O86="Cafco 400",'CALCULO MORTERO'!Q87,O86="Cafco 300",'CALCULO MORTERO'!S87, AND(OR(O86="Fire tex 5090", O86="Fire Tex 5062", O86="Fire Tex 5120", O86="Fire Control"),Q86&gt;0), "CERT.",TRUE,"-")</f>
        <v>CERT.</v>
      </c>
      <c r="W86" s="167"/>
      <c r="X86" s="167"/>
    </row>
    <row r="87" spans="1:24" x14ac:dyDescent="0.2">
      <c r="A87" s="874" t="s">
        <v>580</v>
      </c>
      <c r="B87" s="904" t="s">
        <v>615</v>
      </c>
      <c r="C87" s="910" t="s">
        <v>623</v>
      </c>
      <c r="D87" s="944" t="s">
        <v>602</v>
      </c>
      <c r="E87" s="905" t="s">
        <v>624</v>
      </c>
      <c r="F87" s="909" t="s">
        <v>19</v>
      </c>
      <c r="G87" s="874">
        <v>1</v>
      </c>
      <c r="H87" s="874">
        <v>1</v>
      </c>
      <c r="I87" s="906">
        <v>11650</v>
      </c>
      <c r="J87" s="942">
        <v>3</v>
      </c>
      <c r="K87" s="874">
        <v>867</v>
      </c>
      <c r="L87" s="161">
        <v>60</v>
      </c>
      <c r="M87" s="169">
        <v>233</v>
      </c>
      <c r="N87" s="163">
        <f t="shared" si="3"/>
        <v>10.10055</v>
      </c>
      <c r="O87" s="41" t="s">
        <v>60</v>
      </c>
      <c r="P87" s="41" t="s">
        <v>115</v>
      </c>
      <c r="Q87" s="161" t="str">
        <f>+IF(OR(O87="Fire Control",O87="Fire Tex 5062",O87="Fire Tex 5090",O87="Fire Tex 5120"),'CALCULO PINTURA'!P88," ")</f>
        <v xml:space="preserve"> </v>
      </c>
      <c r="R87" s="164" t="str">
        <f>+IF(OR(O87="Fire Control",O87="Fire Tex 5062",O87="Fire Tex 5090",O87="Fire Tex 5120"),'CALCULO PINTURA'!R88," ")</f>
        <v xml:space="preserve"> </v>
      </c>
      <c r="S87" s="164" t="str">
        <f>+IF(OR(O87="Fire Control",O87="Fire Tex 5062",O87="Fire Tex 5090",O87="Fire Tex 5120"),'CALCULO PINTURA'!S88," ")</f>
        <v xml:space="preserve"> </v>
      </c>
      <c r="T87" s="874">
        <f>+IF(OR(O87="Blaze Shield II",O87="Cafco 400",O87="Cafco 300"),'CALCULO MORTERO'!N88," ")</f>
        <v>21</v>
      </c>
      <c r="U87" s="875">
        <f>+IF(OR(O87="Blaze Shield II",O87="Cafco 400",O87="Cafco 300"),'CALCULO MORTERO'!O88," ")</f>
        <v>2.400209644736842</v>
      </c>
      <c r="V87" s="161" t="str" cm="1">
        <f t="array" ref="V87">_xlfn.IFS(O87="Blaze Shield II",'CALCULO MORTERO'!P88, O87="Cafco 400",'CALCULO MORTERO'!Q88,O87="Cafco 300",'CALCULO MORTERO'!S88, AND(OR(O87="Fire tex 5090", O87="Fire Tex 5062", O87="Fire Tex 5120", O87="Fire Control"),Q87&gt;0), "CERT.",TRUE,"-")</f>
        <v>CERT.</v>
      </c>
      <c r="W87" s="167"/>
      <c r="X87" s="167"/>
    </row>
    <row r="88" spans="1:24" x14ac:dyDescent="0.2">
      <c r="A88" s="874" t="s">
        <v>580</v>
      </c>
      <c r="B88" s="904" t="s">
        <v>615</v>
      </c>
      <c r="C88" s="910" t="s">
        <v>577</v>
      </c>
      <c r="D88" s="944" t="s">
        <v>578</v>
      </c>
      <c r="E88" s="905" t="s">
        <v>576</v>
      </c>
      <c r="F88" s="909" t="s">
        <v>100</v>
      </c>
      <c r="G88" s="874">
        <v>2</v>
      </c>
      <c r="H88" s="874">
        <v>1</v>
      </c>
      <c r="I88" s="906">
        <v>7900</v>
      </c>
      <c r="J88" s="942">
        <v>4</v>
      </c>
      <c r="K88" s="874">
        <v>400</v>
      </c>
      <c r="L88" s="161" t="s">
        <v>156</v>
      </c>
      <c r="M88" s="169">
        <v>333</v>
      </c>
      <c r="N88" s="163">
        <f t="shared" si="3"/>
        <v>6.32</v>
      </c>
      <c r="O88" s="41" t="s">
        <v>529</v>
      </c>
      <c r="P88" s="41" t="s">
        <v>115</v>
      </c>
      <c r="Q88" s="161">
        <f>+IF(OR(O88="Fire Control",O88="Fire Tex 5062",O88="Fire Tex 5090",O88="Fire Tex 5120"),'CALCULO PINTURA'!P89," ")</f>
        <v>2828</v>
      </c>
      <c r="R88" s="164">
        <f>+IF(OR(O88="Fire Control",O88="Fire Tex 5062",O88="Fire Tex 5090",O88="Fire Tex 5120"),'CALCULO PINTURA'!R89," ")</f>
        <v>3.1121349371411613</v>
      </c>
      <c r="S88" s="164">
        <f>+IF(OR(O88="Fire Control",O88="Fire Tex 5062",O88="Fire Tex 5090",O88="Fire Tex 5120"),'CALCULO PINTURA'!S89," ")</f>
        <v>2.0307602747474749</v>
      </c>
      <c r="T88" s="874" t="str">
        <f>+IF(OR(O88="Blaze Shield II",O88="Cafco 400",O88="Cafco 300"),'CALCULO MORTERO'!N89," ")</f>
        <v xml:space="preserve"> </v>
      </c>
      <c r="U88" s="875" t="str">
        <f>+IF(OR(O88="Blaze Shield II",O88="Cafco 400",O88="Cafco 300"),'CALCULO MORTERO'!O89," ")</f>
        <v xml:space="preserve"> </v>
      </c>
      <c r="V88" s="161" t="str" cm="1">
        <f t="array" ref="V88">_xlfn.IFS(O88="Blaze Shield II",'CALCULO MORTERO'!P89, O88="Cafco 400",'CALCULO MORTERO'!Q89,O88="Cafco 300",'CALCULO MORTERO'!S89, AND(OR(O88="Fire tex 5090", O88="Fire Tex 5062", O88="Fire Tex 5120", O88="Fire Control"),Q88&gt;0), "CERT.",TRUE,"-")</f>
        <v>CERT.</v>
      </c>
      <c r="W88" s="167"/>
      <c r="X88" s="167"/>
    </row>
    <row r="89" spans="1:24" x14ac:dyDescent="0.2">
      <c r="A89" s="874" t="s">
        <v>580</v>
      </c>
      <c r="B89" s="904" t="s">
        <v>615</v>
      </c>
      <c r="C89" s="910" t="s">
        <v>577</v>
      </c>
      <c r="D89" s="944" t="s">
        <v>578</v>
      </c>
      <c r="E89" s="905" t="s">
        <v>576</v>
      </c>
      <c r="F89" s="909" t="s">
        <v>100</v>
      </c>
      <c r="G89" s="874">
        <v>2</v>
      </c>
      <c r="H89" s="874">
        <v>1</v>
      </c>
      <c r="I89" s="906">
        <v>6250</v>
      </c>
      <c r="J89" s="942">
        <v>4</v>
      </c>
      <c r="K89" s="874">
        <v>400</v>
      </c>
      <c r="L89" s="161" t="s">
        <v>156</v>
      </c>
      <c r="M89" s="169">
        <v>333</v>
      </c>
      <c r="N89" s="163">
        <f t="shared" si="3"/>
        <v>5</v>
      </c>
      <c r="O89" s="41" t="s">
        <v>529</v>
      </c>
      <c r="P89" s="41" t="s">
        <v>115</v>
      </c>
      <c r="Q89" s="161">
        <f>+IF(OR(O89="Fire Control",O89="Fire Tex 5062",O89="Fire Tex 5090",O89="Fire Tex 5120"),'CALCULO PINTURA'!P90," ")</f>
        <v>2828</v>
      </c>
      <c r="R89" s="164">
        <f>+IF(OR(O89="Fire Control",O89="Fire Tex 5062",O89="Fire Tex 5090",O89="Fire Tex 5120"),'CALCULO PINTURA'!R90," ")</f>
        <v>3.1121349371411613</v>
      </c>
      <c r="S89" s="164">
        <f>+IF(OR(O89="Fire Control",O89="Fire Tex 5062",O89="Fire Tex 5090",O89="Fire Tex 5120"),'CALCULO PINTURA'!S90," ")</f>
        <v>1.6066141414141415</v>
      </c>
      <c r="T89" s="874" t="str">
        <f>+IF(OR(O89="Blaze Shield II",O89="Cafco 400",O89="Cafco 300"),'CALCULO MORTERO'!N90," ")</f>
        <v xml:space="preserve"> </v>
      </c>
      <c r="U89" s="875" t="str">
        <f>+IF(OR(O89="Blaze Shield II",O89="Cafco 400",O89="Cafco 300"),'CALCULO MORTERO'!O90," ")</f>
        <v xml:space="preserve"> </v>
      </c>
      <c r="V89" s="161" t="str" cm="1">
        <f t="array" ref="V89">_xlfn.IFS(O89="Blaze Shield II",'CALCULO MORTERO'!P90, O89="Cafco 400",'CALCULO MORTERO'!Q90,O89="Cafco 300",'CALCULO MORTERO'!S90, AND(OR(O89="Fire tex 5090", O89="Fire Tex 5062", O89="Fire Tex 5120", O89="Fire Control"),Q89&gt;0), "CERT.",TRUE,"-")</f>
        <v>CERT.</v>
      </c>
      <c r="W89" s="167"/>
      <c r="X89" s="167"/>
    </row>
    <row r="90" spans="1:24" x14ac:dyDescent="0.2">
      <c r="A90" s="874" t="s">
        <v>580</v>
      </c>
      <c r="B90" s="904" t="s">
        <v>615</v>
      </c>
      <c r="C90" s="910" t="s">
        <v>603</v>
      </c>
      <c r="D90" s="944" t="s">
        <v>550</v>
      </c>
      <c r="E90" s="905" t="s">
        <v>576</v>
      </c>
      <c r="F90" s="909" t="s">
        <v>100</v>
      </c>
      <c r="G90" s="874">
        <v>1</v>
      </c>
      <c r="H90" s="874">
        <v>1</v>
      </c>
      <c r="I90" s="906">
        <v>3000</v>
      </c>
      <c r="J90" s="942">
        <v>4</v>
      </c>
      <c r="K90" s="874">
        <v>400</v>
      </c>
      <c r="L90" s="161" t="s">
        <v>156</v>
      </c>
      <c r="M90" s="169">
        <v>333</v>
      </c>
      <c r="N90" s="163">
        <f t="shared" si="3"/>
        <v>1.2</v>
      </c>
      <c r="O90" s="41" t="s">
        <v>529</v>
      </c>
      <c r="P90" s="41" t="s">
        <v>115</v>
      </c>
      <c r="Q90" s="161">
        <f>+IF(OR(O90="Fire Control",O90="Fire Tex 5062",O90="Fire Tex 5090",O90="Fire Tex 5120"),'CALCULO PINTURA'!P91," ")</f>
        <v>2828</v>
      </c>
      <c r="R90" s="164">
        <f>+IF(OR(O90="Fire Control",O90="Fire Tex 5062",O90="Fire Tex 5090",O90="Fire Tex 5120"),'CALCULO PINTURA'!R91," ")</f>
        <v>3.1121349371411613</v>
      </c>
      <c r="S90" s="164">
        <f>+IF(OR(O90="Fire Control",O90="Fire Tex 5062",O90="Fire Tex 5090",O90="Fire Tex 5120"),'CALCULO PINTURA'!S91," ")</f>
        <v>0.38558739393939395</v>
      </c>
      <c r="T90" s="874" t="str">
        <f>+IF(OR(O90="Blaze Shield II",O90="Cafco 400",O90="Cafco 300"),'CALCULO MORTERO'!N91," ")</f>
        <v xml:space="preserve"> </v>
      </c>
      <c r="U90" s="875" t="str">
        <f>+IF(OR(O90="Blaze Shield II",O90="Cafco 400",O90="Cafco 300"),'CALCULO MORTERO'!O91," ")</f>
        <v xml:space="preserve"> </v>
      </c>
      <c r="V90" s="161" t="str" cm="1">
        <f t="array" ref="V90">_xlfn.IFS(O90="Blaze Shield II",'CALCULO MORTERO'!P91, O90="Cafco 400",'CALCULO MORTERO'!Q91,O90="Cafco 300",'CALCULO MORTERO'!S91, AND(OR(O90="Fire tex 5090", O90="Fire Tex 5062", O90="Fire Tex 5120", O90="Fire Control"),Q90&gt;0), "CERT.",TRUE,"-")</f>
        <v>CERT.</v>
      </c>
      <c r="W90" s="167"/>
      <c r="X90" s="167"/>
    </row>
    <row r="91" spans="1:24" x14ac:dyDescent="0.2">
      <c r="A91" s="874" t="s">
        <v>580</v>
      </c>
      <c r="B91" s="904" t="s">
        <v>615</v>
      </c>
      <c r="C91" s="910" t="s">
        <v>583</v>
      </c>
      <c r="D91" s="944" t="s">
        <v>550</v>
      </c>
      <c r="E91" s="905" t="s">
        <v>600</v>
      </c>
      <c r="F91" s="909" t="s">
        <v>100</v>
      </c>
      <c r="G91" s="874">
        <v>1</v>
      </c>
      <c r="H91" s="874">
        <v>1</v>
      </c>
      <c r="I91" s="906">
        <v>7100</v>
      </c>
      <c r="J91" s="942">
        <v>4</v>
      </c>
      <c r="K91" s="874">
        <v>600</v>
      </c>
      <c r="L91" s="161" t="s">
        <v>156</v>
      </c>
      <c r="M91" s="169">
        <v>250</v>
      </c>
      <c r="N91" s="163">
        <f t="shared" si="3"/>
        <v>4.26</v>
      </c>
      <c r="O91" s="41" t="s">
        <v>529</v>
      </c>
      <c r="P91" s="41" t="s">
        <v>115</v>
      </c>
      <c r="Q91" s="161">
        <f>+IF(OR(O91="Fire Control",O91="Fire Tex 5062",O91="Fire Tex 5090",O91="Fire Tex 5120"),'CALCULO PINTURA'!P92," ")</f>
        <v>2262</v>
      </c>
      <c r="R91" s="164">
        <f>+IF(OR(O91="Fire Control",O91="Fire Tex 5062",O91="Fire Tex 5090",O91="Fire Tex 5120"),'CALCULO PINTURA'!R92," ")</f>
        <v>3.8908565880792239</v>
      </c>
      <c r="S91" s="164">
        <f>+IF(OR(O91="Fire Control",O91="Fire Tex 5062",O91="Fire Tex 5090",O91="Fire Tex 5120"),'CALCULO PINTURA'!S92," ")</f>
        <v>1.094874587012987</v>
      </c>
      <c r="T91" s="874" t="str">
        <f>+IF(OR(O91="Blaze Shield II",O91="Cafco 400",O91="Cafco 300"),'CALCULO MORTERO'!N92," ")</f>
        <v xml:space="preserve"> </v>
      </c>
      <c r="U91" s="875" t="str">
        <f>+IF(OR(O91="Blaze Shield II",O91="Cafco 400",O91="Cafco 300"),'CALCULO MORTERO'!O92," ")</f>
        <v xml:space="preserve"> </v>
      </c>
      <c r="V91" s="161" t="str" cm="1">
        <f t="array" ref="V91">_xlfn.IFS(O91="Blaze Shield II",'CALCULO MORTERO'!P92, O91="Cafco 400",'CALCULO MORTERO'!Q92,O91="Cafco 300",'CALCULO MORTERO'!S92, AND(OR(O91="Fire tex 5090", O91="Fire Tex 5062", O91="Fire Tex 5120", O91="Fire Control"),Q91&gt;0), "CERT.",TRUE,"-")</f>
        <v>CERT.</v>
      </c>
      <c r="W91" s="167"/>
      <c r="X91" s="167"/>
    </row>
    <row r="92" spans="1:24" x14ac:dyDescent="0.2">
      <c r="A92" s="874" t="s">
        <v>594</v>
      </c>
      <c r="B92" s="988" t="s">
        <v>616</v>
      </c>
      <c r="C92" s="910" t="s">
        <v>596</v>
      </c>
      <c r="D92" s="944" t="s">
        <v>597</v>
      </c>
      <c r="E92" s="905" t="s">
        <v>627</v>
      </c>
      <c r="F92" s="909" t="s">
        <v>525</v>
      </c>
      <c r="G92" s="874">
        <v>24</v>
      </c>
      <c r="H92" s="874">
        <v>1</v>
      </c>
      <c r="I92" s="906">
        <v>29210</v>
      </c>
      <c r="J92" s="942">
        <v>3</v>
      </c>
      <c r="K92" s="874">
        <v>445</v>
      </c>
      <c r="L92" s="161">
        <v>60</v>
      </c>
      <c r="M92" s="169">
        <v>1057</v>
      </c>
      <c r="N92" s="163">
        <f t="shared" si="3"/>
        <v>311.96280000000002</v>
      </c>
      <c r="O92" s="41" t="s">
        <v>60</v>
      </c>
      <c r="P92" s="41" t="s">
        <v>115</v>
      </c>
      <c r="Q92" s="161" t="str">
        <f>+IF(OR(O92="Fire Control",O92="Fire Tex 5062",O92="Fire Tex 5090",O92="Fire Tex 5120"),'CALCULO PINTURA'!P93," ")</f>
        <v xml:space="preserve"> </v>
      </c>
      <c r="R92" s="164" t="str">
        <f>+IF(OR(O92="Fire Control",O92="Fire Tex 5062",O92="Fire Tex 5090",O92="Fire Tex 5120"),'CALCULO PINTURA'!R93," ")</f>
        <v xml:space="preserve"> </v>
      </c>
      <c r="S92" s="164" t="str">
        <f>+IF(OR(O92="Fire Control",O92="Fire Tex 5062",O92="Fire Tex 5090",O92="Fire Tex 5120"),'CALCULO PINTURA'!S93," ")</f>
        <v xml:space="preserve"> </v>
      </c>
      <c r="T92" s="874">
        <f>+IF(OR(O92="Blaze Shield II",O92="Cafco 400",O92="Cafco 300"),'CALCULO MORTERO'!N93," ")</f>
        <v>54</v>
      </c>
      <c r="U92" s="875">
        <f>+IF(OR(O92="Blaze Shield II",O92="Cafco 400",O92="Cafco 300"),'CALCULO MORTERO'!O93," ")</f>
        <v>190.62568989473684</v>
      </c>
      <c r="V92" s="161" t="str" cm="1">
        <f t="array" ref="V92">_xlfn.IFS(O92="Blaze Shield II",'CALCULO MORTERO'!P93, O92="Cafco 400",'CALCULO MORTERO'!Q93,O92="Cafco 300",'CALCULO MORTERO'!S93, AND(OR(O92="Fire tex 5090", O92="Fire Tex 5062", O92="Fire Tex 5120", O92="Fire Control"),Q92&gt;0), "CERT.",TRUE,"-")</f>
        <v>NO CERT.</v>
      </c>
      <c r="W92" s="167"/>
      <c r="X92" s="167"/>
    </row>
    <row r="93" spans="1:24" x14ac:dyDescent="0.2">
      <c r="A93" s="874" t="s">
        <v>594</v>
      </c>
      <c r="B93" s="988" t="s">
        <v>616</v>
      </c>
      <c r="C93" s="910" t="s">
        <v>574</v>
      </c>
      <c r="D93" s="944" t="s">
        <v>575</v>
      </c>
      <c r="E93" s="905" t="s">
        <v>576</v>
      </c>
      <c r="F93" s="909" t="s">
        <v>100</v>
      </c>
      <c r="G93" s="874">
        <v>2</v>
      </c>
      <c r="H93" s="874">
        <v>1</v>
      </c>
      <c r="I93" s="906">
        <v>29210</v>
      </c>
      <c r="J93" s="942">
        <v>4</v>
      </c>
      <c r="K93" s="874">
        <v>400</v>
      </c>
      <c r="L93" s="161" t="s">
        <v>156</v>
      </c>
      <c r="M93" s="169">
        <v>333</v>
      </c>
      <c r="N93" s="163">
        <f t="shared" si="3"/>
        <v>23.367999999999999</v>
      </c>
      <c r="O93" s="41" t="s">
        <v>529</v>
      </c>
      <c r="P93" s="41" t="s">
        <v>115</v>
      </c>
      <c r="Q93" s="161">
        <f>+IF(OR(O93="Fire Control",O93="Fire Tex 5062",O93="Fire Tex 5090",O93="Fire Tex 5120"),'CALCULO PINTURA'!P94," ")</f>
        <v>2828</v>
      </c>
      <c r="R93" s="164">
        <f>+IF(OR(O93="Fire Control",O93="Fire Tex 5062",O93="Fire Tex 5090",O93="Fire Tex 5120"),'CALCULO PINTURA'!R94," ")</f>
        <v>3.1121349371411613</v>
      </c>
      <c r="S93" s="164">
        <f>+IF(OR(O93="Fire Control",O93="Fire Tex 5062",O93="Fire Tex 5090",O93="Fire Tex 5120"),'CALCULO PINTURA'!S94," ")</f>
        <v>7.5086718513131308</v>
      </c>
      <c r="T93" s="874" t="str">
        <f>+IF(OR(O93="Blaze Shield II",O93="Cafco 400",O93="Cafco 300"),'CALCULO MORTERO'!N94," ")</f>
        <v xml:space="preserve"> </v>
      </c>
      <c r="U93" s="875" t="str">
        <f>+IF(OR(O93="Blaze Shield II",O93="Cafco 400",O93="Cafco 300"),'CALCULO MORTERO'!O94," ")</f>
        <v xml:space="preserve"> </v>
      </c>
      <c r="V93" s="161" t="str" cm="1">
        <f t="array" ref="V93">_xlfn.IFS(O93="Blaze Shield II",'CALCULO MORTERO'!P94, O93="Cafco 400",'CALCULO MORTERO'!Q94,O93="Cafco 300",'CALCULO MORTERO'!S94, AND(OR(O93="Fire tex 5090", O93="Fire Tex 5062", O93="Fire Tex 5120", O93="Fire Control"),Q93&gt;0), "CERT.",TRUE,"-")</f>
        <v>CERT.</v>
      </c>
      <c r="W93" s="167"/>
      <c r="X93" s="167"/>
    </row>
    <row r="94" spans="1:24" x14ac:dyDescent="0.2">
      <c r="A94" s="874" t="s">
        <v>617</v>
      </c>
      <c r="B94" s="904" t="s">
        <v>619</v>
      </c>
      <c r="C94" s="910" t="s">
        <v>408</v>
      </c>
      <c r="D94" s="944" t="s">
        <v>618</v>
      </c>
      <c r="E94" s="905" t="s">
        <v>408</v>
      </c>
      <c r="F94" s="909" t="s">
        <v>408</v>
      </c>
      <c r="G94" s="874">
        <v>1</v>
      </c>
      <c r="H94" s="874">
        <v>1</v>
      </c>
      <c r="I94" s="906">
        <v>27900</v>
      </c>
      <c r="J94" s="942">
        <v>1</v>
      </c>
      <c r="K94" s="874">
        <v>11640</v>
      </c>
      <c r="L94" s="161">
        <v>60</v>
      </c>
      <c r="M94" s="169" t="s">
        <v>408</v>
      </c>
      <c r="N94" s="163">
        <f>(K94*I94*H94*G94)/1000000</f>
        <v>324.75599999999997</v>
      </c>
      <c r="O94" s="41" t="s">
        <v>60</v>
      </c>
      <c r="P94" s="41" t="s">
        <v>115</v>
      </c>
      <c r="Q94" s="161" t="str">
        <f>+IF(OR(O94="Fire Control",O94="Fire Tex 5062",O94="Fire Tex 5090",O94="Fire Tex 5120"),'CALCULO PINTURA'!P95," ")</f>
        <v xml:space="preserve"> </v>
      </c>
      <c r="R94" s="164" t="str">
        <f>+IF(OR(O94="Fire Control",O94="Fire Tex 5062",O94="Fire Tex 5090",O94="Fire Tex 5120"),'CALCULO PINTURA'!R95," ")</f>
        <v xml:space="preserve"> </v>
      </c>
      <c r="S94" s="164" t="str">
        <f>+IF(OR(O94="Fire Control",O94="Fire Tex 5062",O94="Fire Tex 5090",O94="Fire Tex 5120"),'CALCULO PINTURA'!S95," ")</f>
        <v xml:space="preserve"> </v>
      </c>
      <c r="T94" s="874">
        <f>+IF(OR(O94="Blaze Shield II",O94="Cafco 400",O94="Cafco 300"),'CALCULO MORTERO'!N95," ")</f>
        <v>15</v>
      </c>
      <c r="U94" s="875">
        <f>+IF(OR(O94="Blaze Shield II",O94="Cafco 400",O94="Cafco 300"),'CALCULO MORTERO'!O95," ")</f>
        <v>55.123057894736824</v>
      </c>
      <c r="V94" s="161" t="str" cm="1">
        <f t="array" ref="V94">_xlfn.IFS(O94="Blaze Shield II",'CALCULO MORTERO'!P95, O94="Cafco 400",'CALCULO MORTERO'!Q95,O94="Cafco 300",'CALCULO MORTERO'!S95, AND(OR(O94="Fire tex 5090", O94="Fire Tex 5062", O94="Fire Tex 5120", O94="Fire Control"),Q94&gt;0), "CERT.",TRUE,"-")</f>
        <v>NO CERT.</v>
      </c>
      <c r="W94" s="167"/>
      <c r="X94" s="167"/>
    </row>
    <row r="95" spans="1:24" x14ac:dyDescent="0.2">
      <c r="A95" s="874" t="s">
        <v>617</v>
      </c>
      <c r="B95" s="904" t="s">
        <v>619</v>
      </c>
      <c r="C95" s="910" t="s">
        <v>408</v>
      </c>
      <c r="D95" s="944" t="s">
        <v>618</v>
      </c>
      <c r="E95" s="905" t="s">
        <v>408</v>
      </c>
      <c r="F95" s="909" t="s">
        <v>408</v>
      </c>
      <c r="G95" s="874">
        <v>1</v>
      </c>
      <c r="H95" s="874">
        <v>1</v>
      </c>
      <c r="I95" s="906">
        <v>2550</v>
      </c>
      <c r="J95" s="942">
        <v>1</v>
      </c>
      <c r="K95" s="874">
        <v>1500</v>
      </c>
      <c r="L95" s="161">
        <v>60</v>
      </c>
      <c r="M95" s="169" t="s">
        <v>408</v>
      </c>
      <c r="N95" s="163">
        <f>(K95*I95*H95*G95)/1000000</f>
        <v>3.8250000000000002</v>
      </c>
      <c r="O95" s="41" t="s">
        <v>60</v>
      </c>
      <c r="P95" s="41" t="s">
        <v>115</v>
      </c>
      <c r="Q95" s="161" t="str">
        <f>+IF(OR(O95="Fire Control",O95="Fire Tex 5062",O95="Fire Tex 5090",O95="Fire Tex 5120"),'CALCULO PINTURA'!P96," ")</f>
        <v xml:space="preserve"> </v>
      </c>
      <c r="R95" s="164" t="str">
        <f>+IF(OR(O95="Fire Control",O95="Fire Tex 5062",O95="Fire Tex 5090",O95="Fire Tex 5120"),'CALCULO PINTURA'!R96," ")</f>
        <v xml:space="preserve"> </v>
      </c>
      <c r="S95" s="164" t="str">
        <f>+IF(OR(O95="Fire Control",O95="Fire Tex 5062",O95="Fire Tex 5090",O95="Fire Tex 5120"),'CALCULO PINTURA'!S96," ")</f>
        <v xml:space="preserve"> </v>
      </c>
      <c r="T95" s="874">
        <f>+IF(OR(O95="Blaze Shield II",O95="Cafco 400",O95="Cafco 300"),'CALCULO MORTERO'!N96," ")</f>
        <v>15</v>
      </c>
      <c r="U95" s="875">
        <f>+IF(OR(O95="Blaze Shield II",O95="Cafco 400",O95="Cafco 300"),'CALCULO MORTERO'!O96," ")</f>
        <v>0.64924342105263155</v>
      </c>
      <c r="V95" s="161" t="str" cm="1">
        <f t="array" ref="V95">_xlfn.IFS(O95="Blaze Shield II",'CALCULO MORTERO'!P96, O95="Cafco 400",'CALCULO MORTERO'!Q96,O95="Cafco 300",'CALCULO MORTERO'!S96, AND(OR(O95="Fire tex 5090", O95="Fire Tex 5062", O95="Fire Tex 5120", O95="Fire Control"),Q95&gt;0), "CERT.",TRUE,"-")</f>
        <v>NO CERT.</v>
      </c>
      <c r="W95" s="167"/>
      <c r="X95" s="167"/>
    </row>
    <row r="96" spans="1:24" x14ac:dyDescent="0.2">
      <c r="A96" s="874" t="s">
        <v>617</v>
      </c>
      <c r="B96" s="904" t="s">
        <v>619</v>
      </c>
      <c r="C96" s="910" t="s">
        <v>625</v>
      </c>
      <c r="D96" s="944" t="s">
        <v>602</v>
      </c>
      <c r="E96" s="905" t="s">
        <v>626</v>
      </c>
      <c r="F96" s="909" t="s">
        <v>19</v>
      </c>
      <c r="G96" s="874">
        <v>5</v>
      </c>
      <c r="H96" s="874">
        <v>1</v>
      </c>
      <c r="I96" s="906">
        <v>27900</v>
      </c>
      <c r="J96" s="942">
        <v>3</v>
      </c>
      <c r="K96" s="874">
        <v>723</v>
      </c>
      <c r="L96" s="161">
        <v>60</v>
      </c>
      <c r="M96" s="169">
        <v>265</v>
      </c>
      <c r="N96" s="163">
        <f t="shared" si="3"/>
        <v>100.85850000000001</v>
      </c>
      <c r="O96" s="41" t="s">
        <v>60</v>
      </c>
      <c r="P96" s="41" t="s">
        <v>115</v>
      </c>
      <c r="Q96" s="161" t="str">
        <f>+IF(OR(O96="Fire Control",O96="Fire Tex 5062",O96="Fire Tex 5090",O96="Fire Tex 5120"),'CALCULO PINTURA'!P97," ")</f>
        <v xml:space="preserve"> </v>
      </c>
      <c r="R96" s="164" t="str">
        <f>+IF(OR(O96="Fire Control",O96="Fire Tex 5062",O96="Fire Tex 5090",O96="Fire Tex 5120"),'CALCULO PINTURA'!R97," ")</f>
        <v xml:space="preserve"> </v>
      </c>
      <c r="S96" s="164" t="str">
        <f>+IF(OR(O96="Fire Control",O96="Fire Tex 5062",O96="Fire Tex 5090",O96="Fire Tex 5120"),'CALCULO PINTURA'!S97," ")</f>
        <v xml:space="preserve"> </v>
      </c>
      <c r="T96" s="874">
        <f>+IF(OR(O96="Blaze Shield II",O96="Cafco 400",O96="Cafco 300"),'CALCULO MORTERO'!N97," ")</f>
        <v>22</v>
      </c>
      <c r="U96" s="875">
        <f>+IF(OR(O96="Blaze Shield II",O96="Cafco 400",O96="Cafco 300"),'CALCULO MORTERO'!O97," ")</f>
        <v>25.108458157894738</v>
      </c>
      <c r="V96" s="161" t="str" cm="1">
        <f t="array" ref="V96">_xlfn.IFS(O96="Blaze Shield II",'CALCULO MORTERO'!P97, O96="Cafco 400",'CALCULO MORTERO'!Q97,O96="Cafco 300",'CALCULO MORTERO'!S97, AND(OR(O96="Fire tex 5090", O96="Fire Tex 5062", O96="Fire Tex 5120", O96="Fire Control"),Q96&gt;0), "CERT.",TRUE,"-")</f>
        <v>CERT.</v>
      </c>
      <c r="W96" s="167"/>
      <c r="X96" s="167"/>
    </row>
    <row r="97" spans="1:24" x14ac:dyDescent="0.2">
      <c r="A97" s="874" t="s">
        <v>617</v>
      </c>
      <c r="B97" s="904" t="s">
        <v>619</v>
      </c>
      <c r="C97" s="910" t="s">
        <v>625</v>
      </c>
      <c r="D97" s="944" t="s">
        <v>602</v>
      </c>
      <c r="E97" s="905" t="s">
        <v>626</v>
      </c>
      <c r="F97" s="909" t="s">
        <v>19</v>
      </c>
      <c r="G97" s="874">
        <v>2</v>
      </c>
      <c r="H97" s="874">
        <v>1</v>
      </c>
      <c r="I97" s="906">
        <v>1377</v>
      </c>
      <c r="J97" s="942">
        <v>3</v>
      </c>
      <c r="K97" s="874">
        <v>723</v>
      </c>
      <c r="L97" s="161">
        <v>60</v>
      </c>
      <c r="M97" s="169">
        <v>265</v>
      </c>
      <c r="N97" s="163">
        <f t="shared" si="3"/>
        <v>1.991142</v>
      </c>
      <c r="O97" s="41" t="s">
        <v>60</v>
      </c>
      <c r="P97" s="41" t="s">
        <v>115</v>
      </c>
      <c r="Q97" s="161" t="str">
        <f>+IF(OR(O97="Fire Control",O97="Fire Tex 5062",O97="Fire Tex 5090",O97="Fire Tex 5120"),'CALCULO PINTURA'!P98," ")</f>
        <v xml:space="preserve"> </v>
      </c>
      <c r="R97" s="164" t="str">
        <f>+IF(OR(O97="Fire Control",O97="Fire Tex 5062",O97="Fire Tex 5090",O97="Fire Tex 5120"),'CALCULO PINTURA'!R98," ")</f>
        <v xml:space="preserve"> </v>
      </c>
      <c r="S97" s="164" t="str">
        <f>+IF(OR(O97="Fire Control",O97="Fire Tex 5062",O97="Fire Tex 5090",O97="Fire Tex 5120"),'CALCULO PINTURA'!S98," ")</f>
        <v xml:space="preserve"> </v>
      </c>
      <c r="T97" s="874">
        <f>+IF(OR(O97="Blaze Shield II",O97="Cafco 400",O97="Cafco 300"),'CALCULO MORTERO'!N98," ")</f>
        <v>22</v>
      </c>
      <c r="U97" s="875">
        <f>+IF(OR(O97="Blaze Shield II",O97="Cafco 400",O97="Cafco 300"),'CALCULO MORTERO'!O98," ")</f>
        <v>0.49568956105263157</v>
      </c>
      <c r="V97" s="161" t="str" cm="1">
        <f t="array" ref="V97">_xlfn.IFS(O97="Blaze Shield II",'CALCULO MORTERO'!P98, O97="Cafco 400",'CALCULO MORTERO'!Q98,O97="Cafco 300",'CALCULO MORTERO'!S98, AND(OR(O97="Fire tex 5090", O97="Fire Tex 5062", O97="Fire Tex 5120", O97="Fire Control"),Q97&gt;0), "CERT.",TRUE,"-")</f>
        <v>CERT.</v>
      </c>
      <c r="W97" s="167"/>
      <c r="X97" s="167"/>
    </row>
    <row r="98" spans="1:24" x14ac:dyDescent="0.2">
      <c r="A98" s="874" t="s">
        <v>617</v>
      </c>
      <c r="B98" s="904" t="s">
        <v>619</v>
      </c>
      <c r="C98" s="910" t="s">
        <v>623</v>
      </c>
      <c r="D98" s="944" t="s">
        <v>602</v>
      </c>
      <c r="E98" s="905" t="s">
        <v>624</v>
      </c>
      <c r="F98" s="909" t="s">
        <v>19</v>
      </c>
      <c r="G98" s="874">
        <v>2</v>
      </c>
      <c r="H98" s="874">
        <v>1</v>
      </c>
      <c r="I98" s="906">
        <v>11650</v>
      </c>
      <c r="J98" s="942">
        <v>3</v>
      </c>
      <c r="K98" s="874">
        <v>867</v>
      </c>
      <c r="L98" s="161">
        <v>60</v>
      </c>
      <c r="M98" s="169">
        <v>233</v>
      </c>
      <c r="N98" s="163">
        <f t="shared" si="3"/>
        <v>20.2011</v>
      </c>
      <c r="O98" s="41" t="s">
        <v>60</v>
      </c>
      <c r="P98" s="41" t="s">
        <v>115</v>
      </c>
      <c r="Q98" s="161" t="str">
        <f>+IF(OR(O98="Fire Control",O98="Fire Tex 5062",O98="Fire Tex 5090",O98="Fire Tex 5120"),'CALCULO PINTURA'!P99," ")</f>
        <v xml:space="preserve"> </v>
      </c>
      <c r="R98" s="164" t="str">
        <f>+IF(OR(O98="Fire Control",O98="Fire Tex 5062",O98="Fire Tex 5090",O98="Fire Tex 5120"),'CALCULO PINTURA'!R99," ")</f>
        <v xml:space="preserve"> </v>
      </c>
      <c r="S98" s="164" t="str">
        <f>+IF(OR(O98="Fire Control",O98="Fire Tex 5062",O98="Fire Tex 5090",O98="Fire Tex 5120"),'CALCULO PINTURA'!S99," ")</f>
        <v xml:space="preserve"> </v>
      </c>
      <c r="T98" s="874">
        <f>+IF(OR(O98="Blaze Shield II",O98="Cafco 400",O98="Cafco 300"),'CALCULO MORTERO'!N99," ")</f>
        <v>21</v>
      </c>
      <c r="U98" s="875">
        <f>+IF(OR(O98="Blaze Shield II",O98="Cafco 400",O98="Cafco 300"),'CALCULO MORTERO'!O99," ")</f>
        <v>4.8004192894736839</v>
      </c>
      <c r="V98" s="161" t="str" cm="1">
        <f t="array" ref="V98">_xlfn.IFS(O98="Blaze Shield II",'CALCULO MORTERO'!P99, O98="Cafco 400",'CALCULO MORTERO'!Q99,O98="Cafco 300",'CALCULO MORTERO'!S99, AND(OR(O98="Fire tex 5090", O98="Fire Tex 5062", O98="Fire Tex 5120", O98="Fire Control"),Q98&gt;0), "CERT.",TRUE,"-")</f>
        <v>CERT.</v>
      </c>
      <c r="W98" s="167"/>
      <c r="X98" s="167"/>
    </row>
    <row r="99" spans="1:24" x14ac:dyDescent="0.2">
      <c r="A99" s="874"/>
      <c r="B99" s="904"/>
      <c r="C99" s="910"/>
      <c r="D99" s="944"/>
      <c r="E99" s="905"/>
      <c r="F99" s="909"/>
      <c r="G99" s="874"/>
      <c r="H99" s="874"/>
      <c r="I99" s="906"/>
      <c r="J99" s="942">
        <v>3</v>
      </c>
      <c r="K99" s="874"/>
      <c r="L99" s="161"/>
      <c r="M99" s="169"/>
      <c r="N99" s="163" t="str">
        <f t="shared" si="3"/>
        <v/>
      </c>
      <c r="O99" s="41"/>
      <c r="P99" s="41" t="s">
        <v>115</v>
      </c>
      <c r="Q99" s="161" t="str">
        <f>+IF(OR(O99="Fire Control",O99="Fire Tex 5062",O99="Fire Tex 5090",O99="Fire Tex 5120"),'CALCULO PINTURA'!P100," ")</f>
        <v xml:space="preserve"> </v>
      </c>
      <c r="R99" s="164" t="str">
        <f>+IF(OR(O99="Fire Control",O99="Fire Tex 5062",O99="Fire Tex 5090",O99="Fire Tex 5120"),'CALCULO PINTURA'!R100," ")</f>
        <v xml:space="preserve"> </v>
      </c>
      <c r="S99" s="164" t="str">
        <f>+IF(OR(O99="Fire Control",O99="Fire Tex 5062",O99="Fire Tex 5090",O99="Fire Tex 5120"),'CALCULO PINTURA'!S100," ")</f>
        <v xml:space="preserve"> </v>
      </c>
      <c r="T99" s="874" t="str">
        <f>+IF(OR(O99="Blaze Shield II",O99="Cafco 400",O99="Cafco 300"),'CALCULO MORTERO'!N100," ")</f>
        <v xml:space="preserve"> </v>
      </c>
      <c r="U99" s="875" t="str">
        <f>+IF(OR(O99="Blaze Shield II",O99="Cafco 400",O99="Cafco 300"),'CALCULO MORTERO'!O100," ")</f>
        <v xml:space="preserve"> </v>
      </c>
      <c r="V99" s="161" t="str" cm="1">
        <f t="array" ref="V99">_xlfn.IFS(O99="Blaze Shield II",'CALCULO MORTERO'!P100, O99="Cafco 400",'CALCULO MORTERO'!Q100,O99="Cafco 300",'CALCULO MORTERO'!S100, AND(OR(O99="Fire tex 5090", O99="Fire Tex 5062", O99="Fire Tex 5120", O99="Fire Control"),Q99&gt;0), "CERT.",TRUE,"-")</f>
        <v>-</v>
      </c>
      <c r="W99" s="167"/>
      <c r="X99" s="167"/>
    </row>
    <row r="100" spans="1:24" x14ac:dyDescent="0.2">
      <c r="A100" s="874"/>
      <c r="B100" s="904"/>
      <c r="C100" s="910"/>
      <c r="D100" s="944"/>
      <c r="E100" s="905"/>
      <c r="F100" s="909"/>
      <c r="G100" s="874"/>
      <c r="H100" s="874"/>
      <c r="I100" s="906"/>
      <c r="J100" s="942">
        <v>4</v>
      </c>
      <c r="K100" s="874"/>
      <c r="L100" s="161"/>
      <c r="M100" s="169"/>
      <c r="N100" s="163" t="str">
        <f t="shared" si="3"/>
        <v/>
      </c>
      <c r="O100" s="41"/>
      <c r="P100" s="41" t="s">
        <v>115</v>
      </c>
      <c r="Q100" s="161" t="str">
        <f>+IF(OR(O100="Fire Control",O100="Fire Tex 5062",O100="Fire Tex 5090",O100="Fire Tex 5120"),'CALCULO PINTURA'!P101," ")</f>
        <v xml:space="preserve"> </v>
      </c>
      <c r="R100" s="164" t="str">
        <f>+IF(OR(O100="Fire Control",O100="Fire Tex 5062",O100="Fire Tex 5090",O100="Fire Tex 5120"),'CALCULO PINTURA'!R101," ")</f>
        <v xml:space="preserve"> </v>
      </c>
      <c r="S100" s="164" t="str">
        <f>+IF(OR(O100="Fire Control",O100="Fire Tex 5062",O100="Fire Tex 5090",O100="Fire Tex 5120"),'CALCULO PINTURA'!S101," ")</f>
        <v xml:space="preserve"> </v>
      </c>
      <c r="T100" s="874" t="str">
        <f>+IF(OR(O100="Blaze Shield II",O100="Cafco 400",O100="Cafco 300"),'CALCULO MORTERO'!N101," ")</f>
        <v xml:space="preserve"> </v>
      </c>
      <c r="U100" s="875" t="str">
        <f>+IF(OR(O100="Blaze Shield II",O100="Cafco 400",O100="Cafco 300"),'CALCULO MORTERO'!O101," ")</f>
        <v xml:space="preserve"> </v>
      </c>
      <c r="V100" s="161" t="str" cm="1">
        <f t="array" ref="V100">_xlfn.IFS(O100="Blaze Shield II",'CALCULO MORTERO'!P101, O100="Cafco 400",'CALCULO MORTERO'!Q101,O100="Cafco 300",'CALCULO MORTERO'!S101, AND(OR(O100="Fire tex 5090", O100="Fire Tex 5062", O100="Fire Tex 5120", O100="Fire Control"),Q100&gt;0), "CERT.",TRUE,"-")</f>
        <v>-</v>
      </c>
      <c r="W100" s="167"/>
      <c r="X100" s="167"/>
    </row>
    <row r="101" spans="1:24" x14ac:dyDescent="0.2">
      <c r="A101" s="874"/>
      <c r="B101" s="904"/>
      <c r="C101" s="910"/>
      <c r="D101" s="944"/>
      <c r="E101" s="905"/>
      <c r="F101" s="909"/>
      <c r="G101" s="874"/>
      <c r="H101" s="874"/>
      <c r="I101" s="906"/>
      <c r="J101" s="942">
        <v>4</v>
      </c>
      <c r="K101" s="874"/>
      <c r="L101" s="161"/>
      <c r="M101" s="169"/>
      <c r="N101" s="163" t="str">
        <f t="shared" si="3"/>
        <v/>
      </c>
      <c r="O101" s="41"/>
      <c r="P101" s="41" t="s">
        <v>115</v>
      </c>
      <c r="Q101" s="161" t="str">
        <f>+IF(OR(O101="Fire Control",O101="Fire Tex 5062",O101="Fire Tex 5090",O101="Fire Tex 5120"),'CALCULO PINTURA'!P102," ")</f>
        <v xml:space="preserve"> </v>
      </c>
      <c r="R101" s="164" t="str">
        <f>+IF(OR(O101="Fire Control",O101="Fire Tex 5062",O101="Fire Tex 5090",O101="Fire Tex 5120"),'CALCULO PINTURA'!R102," ")</f>
        <v xml:space="preserve"> </v>
      </c>
      <c r="S101" s="164" t="str">
        <f>+IF(OR(O101="Fire Control",O101="Fire Tex 5062",O101="Fire Tex 5090",O101="Fire Tex 5120"),'CALCULO PINTURA'!S102," ")</f>
        <v xml:space="preserve"> </v>
      </c>
      <c r="T101" s="874" t="str">
        <f>+IF(OR(O101="Blaze Shield II",O101="Cafco 400",O101="Cafco 300"),'CALCULO MORTERO'!N102," ")</f>
        <v xml:space="preserve"> </v>
      </c>
      <c r="U101" s="875" t="str">
        <f>+IF(OR(O101="Blaze Shield II",O101="Cafco 400",O101="Cafco 300"),'CALCULO MORTERO'!O102," ")</f>
        <v xml:space="preserve"> </v>
      </c>
      <c r="V101" s="161" t="str" cm="1">
        <f t="array" ref="V101">_xlfn.IFS(O101="Blaze Shield II",'CALCULO MORTERO'!P102, O101="Cafco 400",'CALCULO MORTERO'!Q102,O101="Cafco 300",'CALCULO MORTERO'!S102, AND(OR(O101="Fire tex 5090", O101="Fire Tex 5062", O101="Fire Tex 5120", O101="Fire Control"),Q101&gt;0), "CERT.",TRUE,"-")</f>
        <v>-</v>
      </c>
      <c r="W101" s="167"/>
      <c r="X101" s="167"/>
    </row>
    <row r="102" spans="1:24" x14ac:dyDescent="0.2">
      <c r="A102" s="874"/>
      <c r="B102" s="904"/>
      <c r="C102" s="910"/>
      <c r="D102" s="944"/>
      <c r="E102" s="905"/>
      <c r="F102" s="909"/>
      <c r="G102" s="874"/>
      <c r="H102" s="874"/>
      <c r="I102" s="906"/>
      <c r="J102" s="942">
        <v>4</v>
      </c>
      <c r="K102" s="874"/>
      <c r="L102" s="161"/>
      <c r="M102" s="169"/>
      <c r="N102" s="163" t="str">
        <f t="shared" si="3"/>
        <v/>
      </c>
      <c r="O102" s="41"/>
      <c r="P102" s="41" t="s">
        <v>115</v>
      </c>
      <c r="Q102" s="161" t="str">
        <f>+IF(OR(O102="Fire Control",O102="Fire Tex 5062",O102="Fire Tex 5090",O102="Fire Tex 5120"),'CALCULO PINTURA'!P103," ")</f>
        <v xml:space="preserve"> </v>
      </c>
      <c r="R102" s="164" t="str">
        <f>+IF(OR(O102="Fire Control",O102="Fire Tex 5062",O102="Fire Tex 5090",O102="Fire Tex 5120"),'CALCULO PINTURA'!R103," ")</f>
        <v xml:space="preserve"> </v>
      </c>
      <c r="S102" s="164" t="str">
        <f>+IF(OR(O102="Fire Control",O102="Fire Tex 5062",O102="Fire Tex 5090",O102="Fire Tex 5120"),'CALCULO PINTURA'!S103," ")</f>
        <v xml:space="preserve"> </v>
      </c>
      <c r="T102" s="874" t="str">
        <f>+IF(OR(O102="Blaze Shield II",O102="Cafco 400",O102="Cafco 300"),'CALCULO MORTERO'!N103," ")</f>
        <v xml:space="preserve"> </v>
      </c>
      <c r="U102" s="875" t="str">
        <f>+IF(OR(O102="Blaze Shield II",O102="Cafco 400",O102="Cafco 300"),'CALCULO MORTERO'!O103," ")</f>
        <v xml:space="preserve"> </v>
      </c>
      <c r="V102" s="161" t="str" cm="1">
        <f t="array" ref="V102">_xlfn.IFS(O102="Blaze Shield II",'CALCULO MORTERO'!P103, O102="Cafco 400",'CALCULO MORTERO'!Q103,O102="Cafco 300",'CALCULO MORTERO'!S103, AND(OR(O102="Fire tex 5090", O102="Fire Tex 5062", O102="Fire Tex 5120", O102="Fire Control"),Q102&gt;0), "CERT.",TRUE,"-")</f>
        <v>-</v>
      </c>
      <c r="W102" s="167"/>
      <c r="X102" s="167"/>
    </row>
    <row r="103" spans="1:24" x14ac:dyDescent="0.2">
      <c r="A103" s="874"/>
      <c r="B103" s="904"/>
      <c r="C103" s="910"/>
      <c r="D103" s="944"/>
      <c r="E103" s="905"/>
      <c r="F103" s="909"/>
      <c r="G103" s="874"/>
      <c r="H103" s="874"/>
      <c r="I103" s="906"/>
      <c r="J103" s="942">
        <v>4</v>
      </c>
      <c r="K103" s="874"/>
      <c r="L103" s="161"/>
      <c r="M103" s="169"/>
      <c r="N103" s="163" t="str">
        <f t="shared" si="3"/>
        <v/>
      </c>
      <c r="O103" s="41"/>
      <c r="P103" s="41" t="s">
        <v>115</v>
      </c>
      <c r="Q103" s="161" t="str">
        <f>+IF(OR(O103="Fire Control",O103="Fire Tex 5062",O103="Fire Tex 5090",O103="Fire Tex 5120"),'CALCULO PINTURA'!P104," ")</f>
        <v xml:space="preserve"> </v>
      </c>
      <c r="R103" s="164" t="str">
        <f>+IF(OR(O103="Fire Control",O103="Fire Tex 5062",O103="Fire Tex 5090",O103="Fire Tex 5120"),'CALCULO PINTURA'!R104," ")</f>
        <v xml:space="preserve"> </v>
      </c>
      <c r="S103" s="164" t="str">
        <f>+IF(OR(O103="Fire Control",O103="Fire Tex 5062",O103="Fire Tex 5090",O103="Fire Tex 5120"),'CALCULO PINTURA'!S104," ")</f>
        <v xml:space="preserve"> </v>
      </c>
      <c r="T103" s="874" t="str">
        <f>+IF(OR(O103="Blaze Shield II",O103="Cafco 400",O103="Cafco 300"),'CALCULO MORTERO'!N104," ")</f>
        <v xml:space="preserve"> </v>
      </c>
      <c r="U103" s="875" t="str">
        <f>+IF(OR(O103="Blaze Shield II",O103="Cafco 400",O103="Cafco 300"),'CALCULO MORTERO'!O104," ")</f>
        <v xml:space="preserve"> </v>
      </c>
      <c r="V103" s="161" t="str" cm="1">
        <f t="array" ref="V103">_xlfn.IFS(O103="Blaze Shield II",'CALCULO MORTERO'!P104, O103="Cafco 400",'CALCULO MORTERO'!Q104,O103="Cafco 300",'CALCULO MORTERO'!S104, AND(OR(O103="Fire tex 5090", O103="Fire Tex 5062", O103="Fire Tex 5120", O103="Fire Control"),Q103&gt;0), "CERT.",TRUE,"-")</f>
        <v>-</v>
      </c>
      <c r="W103" s="167"/>
      <c r="X103" s="167"/>
    </row>
    <row r="104" spans="1:24" x14ac:dyDescent="0.2">
      <c r="A104" s="874"/>
      <c r="B104" s="904"/>
      <c r="C104" s="910"/>
      <c r="D104" s="944"/>
      <c r="E104" s="905"/>
      <c r="F104" s="909"/>
      <c r="G104" s="874"/>
      <c r="H104" s="874"/>
      <c r="I104" s="906"/>
      <c r="J104" s="942">
        <v>4</v>
      </c>
      <c r="K104" s="874"/>
      <c r="L104" s="161"/>
      <c r="M104" s="169"/>
      <c r="N104" s="163" t="str">
        <f t="shared" si="3"/>
        <v/>
      </c>
      <c r="O104" s="41"/>
      <c r="P104" s="41" t="s">
        <v>115</v>
      </c>
      <c r="Q104" s="161" t="str">
        <f>+IF(OR(O104="Fire Control",O104="Fire Tex 5062",O104="Fire Tex 5090",O104="Fire Tex 5120"),'CALCULO PINTURA'!P105," ")</f>
        <v xml:space="preserve"> </v>
      </c>
      <c r="R104" s="164" t="str">
        <f>+IF(OR(O104="Fire Control",O104="Fire Tex 5062",O104="Fire Tex 5090",O104="Fire Tex 5120"),'CALCULO PINTURA'!R105," ")</f>
        <v xml:space="preserve"> </v>
      </c>
      <c r="S104" s="164" t="str">
        <f>+IF(OR(O104="Fire Control",O104="Fire Tex 5062",O104="Fire Tex 5090",O104="Fire Tex 5120"),'CALCULO PINTURA'!S105," ")</f>
        <v xml:space="preserve"> </v>
      </c>
      <c r="T104" s="874" t="str">
        <f>+IF(OR(O104="Blaze Shield II",O104="Cafco 400",O104="Cafco 300"),'CALCULO MORTERO'!N105," ")</f>
        <v xml:space="preserve"> </v>
      </c>
      <c r="U104" s="875" t="str">
        <f>+IF(OR(O104="Blaze Shield II",O104="Cafco 400",O104="Cafco 300"),'CALCULO MORTERO'!O105," ")</f>
        <v xml:space="preserve"> </v>
      </c>
      <c r="V104" s="161" t="str" cm="1">
        <f t="array" ref="V104">_xlfn.IFS(O104="Blaze Shield II",'CALCULO MORTERO'!P105, O104="Cafco 400",'CALCULO MORTERO'!Q105,O104="Cafco 300",'CALCULO MORTERO'!S105, AND(OR(O104="Fire tex 5090", O104="Fire Tex 5062", O104="Fire Tex 5120", O104="Fire Control"),Q104&gt;0), "CERT.",TRUE,"-")</f>
        <v>-</v>
      </c>
      <c r="W104" s="167"/>
      <c r="X104" s="167"/>
    </row>
    <row r="105" spans="1:24" x14ac:dyDescent="0.2">
      <c r="A105" s="874"/>
      <c r="B105" s="904"/>
      <c r="C105" s="910"/>
      <c r="D105" s="944"/>
      <c r="E105" s="905"/>
      <c r="F105" s="909"/>
      <c r="G105" s="874"/>
      <c r="H105" s="874"/>
      <c r="I105" s="906"/>
      <c r="J105" s="942">
        <v>4</v>
      </c>
      <c r="K105" s="874"/>
      <c r="L105" s="161"/>
      <c r="M105" s="169"/>
      <c r="N105" s="163" t="str">
        <f t="shared" si="3"/>
        <v/>
      </c>
      <c r="O105" s="41"/>
      <c r="P105" s="41" t="s">
        <v>115</v>
      </c>
      <c r="Q105" s="161" t="str">
        <f>+IF(OR(O105="Fire Control",O105="Fire Tex 5062",O105="Fire Tex 5090",O105="Fire Tex 5120"),'CALCULO PINTURA'!P106," ")</f>
        <v xml:space="preserve"> </v>
      </c>
      <c r="R105" s="164" t="str">
        <f>+IF(OR(O105="Fire Control",O105="Fire Tex 5062",O105="Fire Tex 5090",O105="Fire Tex 5120"),'CALCULO PINTURA'!R106," ")</f>
        <v xml:space="preserve"> </v>
      </c>
      <c r="S105" s="164" t="str">
        <f>+IF(OR(O105="Fire Control",O105="Fire Tex 5062",O105="Fire Tex 5090",O105="Fire Tex 5120"),'CALCULO PINTURA'!S106," ")</f>
        <v xml:space="preserve"> </v>
      </c>
      <c r="T105" s="874" t="str">
        <f>+IF(OR(O105="Blaze Shield II",O105="Cafco 400",O105="Cafco 300"),'CALCULO MORTERO'!N106," ")</f>
        <v xml:space="preserve"> </v>
      </c>
      <c r="U105" s="875" t="str">
        <f>+IF(OR(O105="Blaze Shield II",O105="Cafco 400",O105="Cafco 300"),'CALCULO MORTERO'!O106," ")</f>
        <v xml:space="preserve"> </v>
      </c>
      <c r="V105" s="161" t="str" cm="1">
        <f t="array" ref="V105">_xlfn.IFS(O105="Blaze Shield II",'CALCULO MORTERO'!P106, O105="Cafco 400",'CALCULO MORTERO'!Q106,O105="Cafco 300",'CALCULO MORTERO'!S106, AND(OR(O105="Fire tex 5090", O105="Fire Tex 5062", O105="Fire Tex 5120", O105="Fire Control"),Q105&gt;0), "CERT.",TRUE,"-")</f>
        <v>-</v>
      </c>
      <c r="W105" s="167"/>
      <c r="X105" s="167"/>
    </row>
    <row r="106" spans="1:24" x14ac:dyDescent="0.2">
      <c r="A106" s="874"/>
      <c r="B106" s="904"/>
      <c r="C106" s="910"/>
      <c r="D106" s="944"/>
      <c r="E106" s="905"/>
      <c r="F106" s="909"/>
      <c r="G106" s="874"/>
      <c r="H106" s="874"/>
      <c r="I106" s="906"/>
      <c r="J106" s="942">
        <v>4</v>
      </c>
      <c r="K106" s="874"/>
      <c r="L106" s="161"/>
      <c r="M106" s="169"/>
      <c r="N106" s="163" t="str">
        <f t="shared" si="3"/>
        <v/>
      </c>
      <c r="O106" s="41"/>
      <c r="P106" s="41" t="s">
        <v>115</v>
      </c>
      <c r="Q106" s="161" t="str">
        <f>+IF(OR(O106="Fire Control",O106="Fire Tex 5062",O106="Fire Tex 5090",O106="Fire Tex 5120"),'CALCULO PINTURA'!P107," ")</f>
        <v xml:space="preserve"> </v>
      </c>
      <c r="R106" s="164" t="str">
        <f>+IF(OR(O106="Fire Control",O106="Fire Tex 5062",O106="Fire Tex 5090",O106="Fire Tex 5120"),'CALCULO PINTURA'!R107," ")</f>
        <v xml:space="preserve"> </v>
      </c>
      <c r="S106" s="164" t="str">
        <f>+IF(OR(O106="Fire Control",O106="Fire Tex 5062",O106="Fire Tex 5090",O106="Fire Tex 5120"),'CALCULO PINTURA'!S107," ")</f>
        <v xml:space="preserve"> </v>
      </c>
      <c r="T106" s="874" t="str">
        <f>+IF(OR(O106="Blaze Shield II",O106="Cafco 400",O106="Cafco 300"),'CALCULO MORTERO'!N107," ")</f>
        <v xml:space="preserve"> </v>
      </c>
      <c r="U106" s="875" t="str">
        <f>+IF(OR(O106="Blaze Shield II",O106="Cafco 400",O106="Cafco 300"),'CALCULO MORTERO'!O107," ")</f>
        <v xml:space="preserve"> </v>
      </c>
      <c r="V106" s="161" t="str" cm="1">
        <f t="array" ref="V106">_xlfn.IFS(O106="Blaze Shield II",'CALCULO MORTERO'!P107, O106="Cafco 400",'CALCULO MORTERO'!Q107,O106="Cafco 300",'CALCULO MORTERO'!S107, AND(OR(O106="Fire tex 5090", O106="Fire Tex 5062", O106="Fire Tex 5120", O106="Fire Control"),Q106&gt;0), "CERT.",TRUE,"-")</f>
        <v>-</v>
      </c>
      <c r="W106" s="167"/>
      <c r="X106" s="167"/>
    </row>
    <row r="107" spans="1:24" x14ac:dyDescent="0.2">
      <c r="A107" s="874"/>
      <c r="B107" s="904"/>
      <c r="C107" s="910"/>
      <c r="D107" s="944"/>
      <c r="E107" s="905"/>
      <c r="F107" s="909"/>
      <c r="G107" s="874"/>
      <c r="H107" s="874"/>
      <c r="I107" s="906"/>
      <c r="J107" s="942">
        <v>4</v>
      </c>
      <c r="K107" s="874"/>
      <c r="L107" s="161"/>
      <c r="M107" s="169"/>
      <c r="N107" s="163" t="str">
        <f t="shared" ref="N107:N118" si="4">+IF(F107="","",(K107*I107*H107*G107)/1000000)</f>
        <v/>
      </c>
      <c r="O107" s="41"/>
      <c r="P107" s="41" t="s">
        <v>115</v>
      </c>
      <c r="Q107" s="161" t="str">
        <f>+IF(OR(O107="Fire Control",O107="Fire Tex 5062",O107="Fire Tex 5090",O107="Fire Tex 5120"),'CALCULO PINTURA'!P108," ")</f>
        <v xml:space="preserve"> </v>
      </c>
      <c r="R107" s="164" t="str">
        <f>+IF(OR(O107="Fire Control",O107="Fire Tex 5062",O107="Fire Tex 5090",O107="Fire Tex 5120"),'CALCULO PINTURA'!R108," ")</f>
        <v xml:space="preserve"> </v>
      </c>
      <c r="S107" s="164" t="str">
        <f>+IF(OR(O107="Fire Control",O107="Fire Tex 5062",O107="Fire Tex 5090",O107="Fire Tex 5120"),'CALCULO PINTURA'!S108," ")</f>
        <v xml:space="preserve"> </v>
      </c>
      <c r="T107" s="874" t="str">
        <f>+IF(OR(O107="Blaze Shield II",O107="Cafco 400",O107="Cafco 300"),'CALCULO MORTERO'!N108," ")</f>
        <v xml:space="preserve"> </v>
      </c>
      <c r="U107" s="875" t="str">
        <f>+IF(OR(O107="Blaze Shield II",O107="Cafco 400",O107="Cafco 300"),'CALCULO MORTERO'!O108," ")</f>
        <v xml:space="preserve"> </v>
      </c>
      <c r="V107" s="161" t="str" cm="1">
        <f t="array" ref="V107">_xlfn.IFS(O107="Blaze Shield II",'CALCULO MORTERO'!P108, O107="Cafco 400",'CALCULO MORTERO'!Q108,O107="Cafco 300",'CALCULO MORTERO'!S108, AND(OR(O107="Fire tex 5090", O107="Fire Tex 5062", O107="Fire Tex 5120", O107="Fire Control"),Q107&gt;0), "CERT.",TRUE,"-")</f>
        <v>-</v>
      </c>
      <c r="W107" s="167"/>
      <c r="X107" s="167"/>
    </row>
    <row r="108" spans="1:24" x14ac:dyDescent="0.2">
      <c r="A108" s="874"/>
      <c r="B108" s="904"/>
      <c r="C108" s="910"/>
      <c r="D108" s="944"/>
      <c r="E108" s="905"/>
      <c r="F108" s="909"/>
      <c r="G108" s="874"/>
      <c r="H108" s="874"/>
      <c r="I108" s="906"/>
      <c r="J108" s="942">
        <v>4</v>
      </c>
      <c r="K108" s="874"/>
      <c r="L108" s="161"/>
      <c r="M108" s="169"/>
      <c r="N108" s="163" t="str">
        <f t="shared" si="4"/>
        <v/>
      </c>
      <c r="O108" s="41"/>
      <c r="P108" s="41" t="s">
        <v>115</v>
      </c>
      <c r="Q108" s="161" t="str">
        <f>+IF(OR(O108="Fire Control",O108="Fire Tex 5062",O108="Fire Tex 5090",O108="Fire Tex 5120"),'CALCULO PINTURA'!P109," ")</f>
        <v xml:space="preserve"> </v>
      </c>
      <c r="R108" s="164" t="str">
        <f>+IF(OR(O108="Fire Control",O108="Fire Tex 5062",O108="Fire Tex 5090",O108="Fire Tex 5120"),'CALCULO PINTURA'!R109," ")</f>
        <v xml:space="preserve"> </v>
      </c>
      <c r="S108" s="164" t="str">
        <f>+IF(OR(O108="Fire Control",O108="Fire Tex 5062",O108="Fire Tex 5090",O108="Fire Tex 5120"),'CALCULO PINTURA'!S109," ")</f>
        <v xml:space="preserve"> </v>
      </c>
      <c r="T108" s="874" t="str">
        <f>+IF(OR(O108="Blaze Shield II",O108="Cafco 400",O108="Cafco 300"),'CALCULO MORTERO'!N109," ")</f>
        <v xml:space="preserve"> </v>
      </c>
      <c r="U108" s="875" t="str">
        <f>+IF(OR(O108="Blaze Shield II",O108="Cafco 400",O108="Cafco 300"),'CALCULO MORTERO'!O109," ")</f>
        <v xml:space="preserve"> </v>
      </c>
      <c r="V108" s="161" t="str" cm="1">
        <f t="array" ref="V108">_xlfn.IFS(O108="Blaze Shield II",'CALCULO MORTERO'!P109, O108="Cafco 400",'CALCULO MORTERO'!Q109,O108="Cafco 300",'CALCULO MORTERO'!S109, AND(OR(O108="Fire tex 5090", O108="Fire Tex 5062", O108="Fire Tex 5120", O108="Fire Control"),Q108&gt;0), "CERT.",TRUE,"-")</f>
        <v>-</v>
      </c>
      <c r="W108" s="167"/>
      <c r="X108" s="167"/>
    </row>
    <row r="109" spans="1:24" x14ac:dyDescent="0.2">
      <c r="A109" s="874"/>
      <c r="B109" s="904"/>
      <c r="C109" s="910"/>
      <c r="D109" s="944"/>
      <c r="E109" s="905"/>
      <c r="F109" s="909"/>
      <c r="G109" s="874"/>
      <c r="H109" s="874"/>
      <c r="I109" s="906"/>
      <c r="J109" s="942">
        <v>4</v>
      </c>
      <c r="K109" s="874"/>
      <c r="L109" s="161"/>
      <c r="M109" s="169"/>
      <c r="N109" s="163" t="str">
        <f t="shared" si="4"/>
        <v/>
      </c>
      <c r="O109" s="41"/>
      <c r="P109" s="41" t="s">
        <v>115</v>
      </c>
      <c r="Q109" s="161" t="str">
        <f>+IF(OR(O109="Fire Control",O109="Fire Tex 5062",O109="Fire Tex 5090",O109="Fire Tex 5120"),'CALCULO PINTURA'!P110," ")</f>
        <v xml:space="preserve"> </v>
      </c>
      <c r="R109" s="164" t="str">
        <f>+IF(OR(O109="Fire Control",O109="Fire Tex 5062",O109="Fire Tex 5090",O109="Fire Tex 5120"),'CALCULO PINTURA'!R110," ")</f>
        <v xml:space="preserve"> </v>
      </c>
      <c r="S109" s="164" t="str">
        <f>+IF(OR(O109="Fire Control",O109="Fire Tex 5062",O109="Fire Tex 5090",O109="Fire Tex 5120"),'CALCULO PINTURA'!S110," ")</f>
        <v xml:space="preserve"> </v>
      </c>
      <c r="T109" s="874" t="str">
        <f>+IF(OR(O109="Blaze Shield II",O109="Cafco 400",O109="Cafco 300"),'CALCULO MORTERO'!N110," ")</f>
        <v xml:space="preserve"> </v>
      </c>
      <c r="U109" s="875" t="str">
        <f>+IF(OR(O109="Blaze Shield II",O109="Cafco 400",O109="Cafco 300"),'CALCULO MORTERO'!O110," ")</f>
        <v xml:space="preserve"> </v>
      </c>
      <c r="V109" s="161" t="str" cm="1">
        <f t="array" ref="V109">_xlfn.IFS(O109="Blaze Shield II",'CALCULO MORTERO'!P110, O109="Cafco 400",'CALCULO MORTERO'!Q110,O109="Cafco 300",'CALCULO MORTERO'!S110, AND(OR(O109="Fire tex 5090", O109="Fire Tex 5062", O109="Fire Tex 5120", O109="Fire Control"),Q109&gt;0), "CERT.",TRUE,"-")</f>
        <v>-</v>
      </c>
      <c r="W109" s="167"/>
      <c r="X109" s="167"/>
    </row>
    <row r="110" spans="1:24" x14ac:dyDescent="0.2">
      <c r="A110" s="874"/>
      <c r="B110" s="904"/>
      <c r="C110" s="910"/>
      <c r="D110" s="944"/>
      <c r="E110" s="905"/>
      <c r="F110" s="909"/>
      <c r="G110" s="874"/>
      <c r="H110" s="874"/>
      <c r="I110" s="906"/>
      <c r="J110" s="942">
        <v>4</v>
      </c>
      <c r="K110" s="874"/>
      <c r="L110" s="161"/>
      <c r="M110" s="169"/>
      <c r="N110" s="163" t="str">
        <f t="shared" si="4"/>
        <v/>
      </c>
      <c r="O110" s="41"/>
      <c r="P110" s="41" t="s">
        <v>115</v>
      </c>
      <c r="Q110" s="161" t="str">
        <f>+IF(OR(O110="Fire Control",O110="Fire Tex 5062",O110="Fire Tex 5090",O110="Fire Tex 5120"),'CALCULO PINTURA'!P111," ")</f>
        <v xml:space="preserve"> </v>
      </c>
      <c r="R110" s="164" t="str">
        <f>+IF(OR(O110="Fire Control",O110="Fire Tex 5062",O110="Fire Tex 5090",O110="Fire Tex 5120"),'CALCULO PINTURA'!R111," ")</f>
        <v xml:space="preserve"> </v>
      </c>
      <c r="S110" s="164" t="str">
        <f>+IF(OR(O110="Fire Control",O110="Fire Tex 5062",O110="Fire Tex 5090",O110="Fire Tex 5120"),'CALCULO PINTURA'!S111," ")</f>
        <v xml:space="preserve"> </v>
      </c>
      <c r="T110" s="874" t="str">
        <f>+IF(OR(O110="Blaze Shield II",O110="Cafco 400",O110="Cafco 300"),'CALCULO MORTERO'!N111," ")</f>
        <v xml:space="preserve"> </v>
      </c>
      <c r="U110" s="875" t="str">
        <f>+IF(OR(O110="Blaze Shield II",O110="Cafco 400",O110="Cafco 300"),'CALCULO MORTERO'!O111," ")</f>
        <v xml:space="preserve"> </v>
      </c>
      <c r="V110" s="161" t="str" cm="1">
        <f t="array" ref="V110">_xlfn.IFS(O110="Blaze Shield II",'CALCULO MORTERO'!P111, O110="Cafco 400",'CALCULO MORTERO'!Q111,O110="Cafco 300",'CALCULO MORTERO'!S111, AND(OR(O110="Fire tex 5090", O110="Fire Tex 5062", O110="Fire Tex 5120", O110="Fire Control"),Q110&gt;0), "CERT.",TRUE,"-")</f>
        <v>-</v>
      </c>
      <c r="W110" s="167"/>
      <c r="X110" s="167"/>
    </row>
    <row r="111" spans="1:24" x14ac:dyDescent="0.2">
      <c r="A111" s="874"/>
      <c r="B111" s="904"/>
      <c r="C111" s="910"/>
      <c r="D111" s="944"/>
      <c r="E111" s="905"/>
      <c r="F111" s="909"/>
      <c r="G111" s="874"/>
      <c r="H111" s="874"/>
      <c r="I111" s="906"/>
      <c r="J111" s="942">
        <v>4</v>
      </c>
      <c r="K111" s="874"/>
      <c r="L111" s="161"/>
      <c r="M111" s="169"/>
      <c r="N111" s="163" t="str">
        <f t="shared" si="4"/>
        <v/>
      </c>
      <c r="O111" s="41"/>
      <c r="P111" s="41" t="s">
        <v>115</v>
      </c>
      <c r="Q111" s="161" t="str">
        <f>+IF(OR(O111="Fire Control",O111="Fire Tex 5062",O111="Fire Tex 5090",O111="Fire Tex 5120"),'CALCULO PINTURA'!P112," ")</f>
        <v xml:space="preserve"> </v>
      </c>
      <c r="R111" s="164" t="str">
        <f>+IF(OR(O111="Fire Control",O111="Fire Tex 5062",O111="Fire Tex 5090",O111="Fire Tex 5120"),'CALCULO PINTURA'!R112," ")</f>
        <v xml:space="preserve"> </v>
      </c>
      <c r="S111" s="164" t="str">
        <f>+IF(OR(O111="Fire Control",O111="Fire Tex 5062",O111="Fire Tex 5090",O111="Fire Tex 5120"),'CALCULO PINTURA'!S112," ")</f>
        <v xml:space="preserve"> </v>
      </c>
      <c r="T111" s="874" t="str">
        <f>+IF(OR(O111="Blaze Shield II",O111="Cafco 400",O111="Cafco 300"),'CALCULO MORTERO'!N112," ")</f>
        <v xml:space="preserve"> </v>
      </c>
      <c r="U111" s="875" t="str">
        <f>+IF(OR(O111="Blaze Shield II",O111="Cafco 400",O111="Cafco 300"),'CALCULO MORTERO'!O112," ")</f>
        <v xml:space="preserve"> </v>
      </c>
      <c r="V111" s="161" t="str" cm="1">
        <f t="array" ref="V111">_xlfn.IFS(O111="Blaze Shield II",'CALCULO MORTERO'!P112, O111="Cafco 400",'CALCULO MORTERO'!Q112,O111="Cafco 300",'CALCULO MORTERO'!S112, AND(OR(O111="Fire tex 5090", O111="Fire Tex 5062", O111="Fire Tex 5120", O111="Fire Control"),Q111&gt;0), "CERT.",TRUE,"-")</f>
        <v>-</v>
      </c>
      <c r="W111" s="167"/>
      <c r="X111" s="167"/>
    </row>
    <row r="112" spans="1:24" x14ac:dyDescent="0.2">
      <c r="A112" s="874"/>
      <c r="B112" s="904"/>
      <c r="C112" s="910"/>
      <c r="D112" s="944"/>
      <c r="E112" s="905"/>
      <c r="F112" s="909"/>
      <c r="G112" s="874"/>
      <c r="H112" s="874"/>
      <c r="I112" s="906"/>
      <c r="J112" s="942">
        <v>4</v>
      </c>
      <c r="K112" s="874"/>
      <c r="L112" s="161"/>
      <c r="M112" s="169"/>
      <c r="N112" s="163" t="str">
        <f t="shared" si="4"/>
        <v/>
      </c>
      <c r="O112" s="41"/>
      <c r="P112" s="41" t="s">
        <v>115</v>
      </c>
      <c r="Q112" s="161" t="str">
        <f>+IF(OR(O112="Fire Control",O112="Fire Tex 5062",O112="Fire Tex 5090",O112="Fire Tex 5120"),'CALCULO PINTURA'!P113," ")</f>
        <v xml:space="preserve"> </v>
      </c>
      <c r="R112" s="164" t="str">
        <f>+IF(OR(O112="Fire Control",O112="Fire Tex 5062",O112="Fire Tex 5090",O112="Fire Tex 5120"),'CALCULO PINTURA'!R113," ")</f>
        <v xml:space="preserve"> </v>
      </c>
      <c r="S112" s="164" t="str">
        <f>+IF(OR(O112="Fire Control",O112="Fire Tex 5062",O112="Fire Tex 5090",O112="Fire Tex 5120"),'CALCULO PINTURA'!S113," ")</f>
        <v xml:space="preserve"> </v>
      </c>
      <c r="T112" s="874" t="str">
        <f>+IF(OR(O112="Blaze Shield II",O112="Cafco 400",O112="Cafco 300"),'CALCULO MORTERO'!N113," ")</f>
        <v xml:space="preserve"> </v>
      </c>
      <c r="U112" s="875" t="str">
        <f>+IF(OR(O112="Blaze Shield II",O112="Cafco 400",O112="Cafco 300"),'CALCULO MORTERO'!O113," ")</f>
        <v xml:space="preserve"> </v>
      </c>
      <c r="V112" s="161" t="str" cm="1">
        <f t="array" ref="V112">_xlfn.IFS(O112="Blaze Shield II",'CALCULO MORTERO'!P113, O112="Cafco 400",'CALCULO MORTERO'!Q113,O112="Cafco 300",'CALCULO MORTERO'!S113, AND(OR(O112="Fire tex 5090", O112="Fire Tex 5062", O112="Fire Tex 5120", O112="Fire Control"),Q112&gt;0), "CERT.",TRUE,"-")</f>
        <v>-</v>
      </c>
      <c r="W112" s="167"/>
      <c r="X112" s="167"/>
    </row>
    <row r="113" spans="1:24" x14ac:dyDescent="0.2">
      <c r="A113" s="874"/>
      <c r="B113" s="904"/>
      <c r="C113" s="910"/>
      <c r="D113" s="944"/>
      <c r="E113" s="905"/>
      <c r="F113" s="909"/>
      <c r="G113" s="874"/>
      <c r="H113" s="874"/>
      <c r="I113" s="906"/>
      <c r="J113" s="942">
        <v>4</v>
      </c>
      <c r="K113" s="874"/>
      <c r="L113" s="161"/>
      <c r="M113" s="169"/>
      <c r="N113" s="163" t="str">
        <f t="shared" si="4"/>
        <v/>
      </c>
      <c r="O113" s="41"/>
      <c r="P113" s="41" t="s">
        <v>115</v>
      </c>
      <c r="Q113" s="161" t="str">
        <f>+IF(OR(O113="Fire Control",O113="Fire Tex 5062",O113="Fire Tex 5090",O113="Fire Tex 5120"),'CALCULO PINTURA'!P114," ")</f>
        <v xml:space="preserve"> </v>
      </c>
      <c r="R113" s="164" t="str">
        <f>+IF(OR(O113="Fire Control",O113="Fire Tex 5062",O113="Fire Tex 5090",O113="Fire Tex 5120"),'CALCULO PINTURA'!R114," ")</f>
        <v xml:space="preserve"> </v>
      </c>
      <c r="S113" s="164" t="str">
        <f>+IF(OR(O113="Fire Control",O113="Fire Tex 5062",O113="Fire Tex 5090",O113="Fire Tex 5120"),'CALCULO PINTURA'!S114," ")</f>
        <v xml:space="preserve"> </v>
      </c>
      <c r="T113" s="874" t="str">
        <f>+IF(OR(O113="Blaze Shield II",O113="Cafco 400",O113="Cafco 300"),'CALCULO MORTERO'!N114," ")</f>
        <v xml:space="preserve"> </v>
      </c>
      <c r="U113" s="875" t="str">
        <f>+IF(OR(O113="Blaze Shield II",O113="Cafco 400",O113="Cafco 300"),'CALCULO MORTERO'!O114," ")</f>
        <v xml:space="preserve"> </v>
      </c>
      <c r="V113" s="161" t="str" cm="1">
        <f t="array" ref="V113">_xlfn.IFS(O113="Blaze Shield II",'CALCULO MORTERO'!P114, O113="Cafco 400",'CALCULO MORTERO'!Q114,O113="Cafco 300",'CALCULO MORTERO'!S114, AND(OR(O113="Fire tex 5090", O113="Fire Tex 5062", O113="Fire Tex 5120", O113="Fire Control"),Q113&gt;0), "CERT.",TRUE,"-")</f>
        <v>-</v>
      </c>
      <c r="W113" s="167"/>
      <c r="X113" s="167"/>
    </row>
    <row r="114" spans="1:24" x14ac:dyDescent="0.2">
      <c r="A114" s="874"/>
      <c r="B114" s="904"/>
      <c r="C114" s="910"/>
      <c r="D114" s="944"/>
      <c r="E114" s="905"/>
      <c r="F114" s="909"/>
      <c r="G114" s="874"/>
      <c r="H114" s="874"/>
      <c r="I114" s="906"/>
      <c r="J114" s="942">
        <v>4</v>
      </c>
      <c r="K114" s="161"/>
      <c r="L114" s="161"/>
      <c r="M114" s="169"/>
      <c r="N114" s="163" t="str">
        <f t="shared" si="4"/>
        <v/>
      </c>
      <c r="O114" s="41"/>
      <c r="P114" s="41" t="s">
        <v>115</v>
      </c>
      <c r="Q114" s="161" t="str">
        <f>+IF(OR(O114="Fire Control",O114="Fire Tex 5062",O114="Fire Tex 5090",O114="Fire Tex 5120"),'CALCULO PINTURA'!P115," ")</f>
        <v xml:space="preserve"> </v>
      </c>
      <c r="R114" s="164" t="str">
        <f>+IF(OR(O114="Fire Control",O114="Fire Tex 5062",O114="Fire Tex 5090",O114="Fire Tex 5120"),'CALCULO PINTURA'!R115," ")</f>
        <v xml:space="preserve"> </v>
      </c>
      <c r="S114" s="164" t="str">
        <f>+IF(OR(O114="Fire Control",O114="Fire Tex 5062",O114="Fire Tex 5090",O114="Fire Tex 5120"),'CALCULO PINTURA'!S115," ")</f>
        <v xml:space="preserve"> </v>
      </c>
      <c r="T114" s="874" t="str">
        <f>+IF(OR(O114="Blaze Shield II",O114="Cafco 400",O114="Cafco 300"),'CALCULO MORTERO'!N115," ")</f>
        <v xml:space="preserve"> </v>
      </c>
      <c r="U114" s="875" t="str">
        <f>+IF(OR(O114="Blaze Shield II",O114="Cafco 400",O114="Cafco 300"),'CALCULO MORTERO'!O115," ")</f>
        <v xml:space="preserve"> </v>
      </c>
      <c r="V114" s="161" t="str" cm="1">
        <f t="array" ref="V114">_xlfn.IFS(O114="Blaze Shield II",'CALCULO MORTERO'!P115, O114="Cafco 400",'CALCULO MORTERO'!Q115,O114="Cafco 300",'CALCULO MORTERO'!S115, AND(OR(O114="Fire tex 5090", O114="Fire Tex 5062", O114="Fire Tex 5120", O114="Fire Control"),Q114&gt;0), "CERT.",TRUE,"-")</f>
        <v>-</v>
      </c>
      <c r="W114" s="167"/>
      <c r="X114" s="167"/>
    </row>
    <row r="115" spans="1:24" x14ac:dyDescent="0.2">
      <c r="A115" s="874"/>
      <c r="B115" s="904"/>
      <c r="C115" s="910"/>
      <c r="D115" s="944"/>
      <c r="E115" s="905"/>
      <c r="F115" s="909"/>
      <c r="G115" s="874"/>
      <c r="H115" s="874"/>
      <c r="I115" s="906"/>
      <c r="J115" s="942">
        <v>4</v>
      </c>
      <c r="K115" s="161"/>
      <c r="L115" s="161"/>
      <c r="M115" s="169"/>
      <c r="N115" s="163" t="str">
        <f t="shared" si="4"/>
        <v/>
      </c>
      <c r="O115" s="41"/>
      <c r="P115" s="41" t="s">
        <v>115</v>
      </c>
      <c r="Q115" s="161" t="str">
        <f>+IF(OR(O115="Fire Control",O115="Fire Tex 5062",O115="Fire Tex 5090",O115="Fire Tex 5120"),'CALCULO PINTURA'!P116," ")</f>
        <v xml:space="preserve"> </v>
      </c>
      <c r="R115" s="164" t="str">
        <f>+IF(OR(O115="Fire Control",O115="Fire Tex 5062",O115="Fire Tex 5090",O115="Fire Tex 5120"),'CALCULO PINTURA'!R116," ")</f>
        <v xml:space="preserve"> </v>
      </c>
      <c r="S115" s="164" t="str">
        <f>+IF(OR(O115="Fire Control",O115="Fire Tex 5062",O115="Fire Tex 5090",O115="Fire Tex 5120"),'CALCULO PINTURA'!S116," ")</f>
        <v xml:space="preserve"> </v>
      </c>
      <c r="T115" s="874" t="str">
        <f>+IF(OR(O115="Blaze Shield II",O115="Cafco 400",O115="Cafco 300"),'CALCULO MORTERO'!N116," ")</f>
        <v xml:space="preserve"> </v>
      </c>
      <c r="U115" s="875" t="str">
        <f>+IF(OR(O115="Blaze Shield II",O115="Cafco 400",O115="Cafco 300"),'CALCULO MORTERO'!O116," ")</f>
        <v xml:space="preserve"> </v>
      </c>
      <c r="V115" s="161" t="str" cm="1">
        <f t="array" ref="V115">_xlfn.IFS(O115="Blaze Shield II",'CALCULO MORTERO'!P116, O115="Cafco 400",'CALCULO MORTERO'!Q116,O115="Cafco 300",'CALCULO MORTERO'!S116, AND(OR(O115="Fire tex 5090", O115="Fire Tex 5062", O115="Fire Tex 5120", O115="Fire Control"),Q115&gt;0), "CERT.",TRUE,"-")</f>
        <v>-</v>
      </c>
      <c r="W115" s="167"/>
      <c r="X115" s="167"/>
    </row>
    <row r="116" spans="1:24" x14ac:dyDescent="0.2">
      <c r="A116" s="874"/>
      <c r="B116" s="904"/>
      <c r="C116" s="910"/>
      <c r="D116" s="944"/>
      <c r="E116" s="905"/>
      <c r="F116" s="909"/>
      <c r="G116" s="874"/>
      <c r="H116" s="874"/>
      <c r="I116" s="906"/>
      <c r="J116" s="942">
        <v>4</v>
      </c>
      <c r="K116" s="161"/>
      <c r="L116" s="161"/>
      <c r="M116" s="169"/>
      <c r="N116" s="163" t="str">
        <f t="shared" si="4"/>
        <v/>
      </c>
      <c r="O116" s="41"/>
      <c r="P116" s="41" t="s">
        <v>115</v>
      </c>
      <c r="Q116" s="161" t="str">
        <f>+IF(OR(O116="Fire Control",O116="Fire Tex 5062",O116="Fire Tex 5090",O116="Fire Tex 5120"),'CALCULO PINTURA'!P117," ")</f>
        <v xml:space="preserve"> </v>
      </c>
      <c r="R116" s="164" t="str">
        <f>+IF(OR(O116="Fire Control",O116="Fire Tex 5062",O116="Fire Tex 5090",O116="Fire Tex 5120"),'CALCULO PINTURA'!R117," ")</f>
        <v xml:space="preserve"> </v>
      </c>
      <c r="S116" s="164" t="str">
        <f>+IF(OR(O116="Fire Control",O116="Fire Tex 5062",O116="Fire Tex 5090",O116="Fire Tex 5120"),'CALCULO PINTURA'!S117," ")</f>
        <v xml:space="preserve"> </v>
      </c>
      <c r="T116" s="874" t="str">
        <f>+IF(OR(O116="Blaze Shield II",O116="Cafco 400",O116="Cafco 300"),'CALCULO MORTERO'!N117," ")</f>
        <v xml:space="preserve"> </v>
      </c>
      <c r="U116" s="875" t="str">
        <f>+IF(OR(O116="Blaze Shield II",O116="Cafco 400",O116="Cafco 300"),'CALCULO MORTERO'!O117," ")</f>
        <v xml:space="preserve"> </v>
      </c>
      <c r="V116" s="161" t="str" cm="1">
        <f t="array" ref="V116">_xlfn.IFS(O116="Blaze Shield II",'CALCULO MORTERO'!P117, O116="Cafco 400",'CALCULO MORTERO'!Q117,O116="Cafco 300",'CALCULO MORTERO'!S117, AND(OR(O116="Fire tex 5090", O116="Fire Tex 5062", O116="Fire Tex 5120", O116="Fire Control"),Q116&gt;0), "CERT.",TRUE,"-")</f>
        <v>-</v>
      </c>
      <c r="W116" s="167"/>
      <c r="X116" s="167"/>
    </row>
    <row r="117" spans="1:24" x14ac:dyDescent="0.2">
      <c r="A117" s="874"/>
      <c r="B117" s="904"/>
      <c r="C117" s="910"/>
      <c r="D117" s="944"/>
      <c r="E117" s="905"/>
      <c r="F117" s="909"/>
      <c r="G117" s="874"/>
      <c r="H117" s="874"/>
      <c r="I117" s="906"/>
      <c r="J117" s="942">
        <v>4</v>
      </c>
      <c r="K117" s="161"/>
      <c r="L117" s="161"/>
      <c r="M117" s="169"/>
      <c r="N117" s="163" t="str">
        <f t="shared" si="4"/>
        <v/>
      </c>
      <c r="O117" s="41"/>
      <c r="P117" s="41" t="s">
        <v>115</v>
      </c>
      <c r="Q117" s="161" t="str">
        <f>+IF(OR(O117="Fire Control",O117="Fire Tex 5062",O117="Fire Tex 5090",O117="Fire Tex 5120"),'CALCULO PINTURA'!P118," ")</f>
        <v xml:space="preserve"> </v>
      </c>
      <c r="R117" s="164" t="str">
        <f>+IF(OR(O117="Fire Control",O117="Fire Tex 5062",O117="Fire Tex 5090",O117="Fire Tex 5120"),'CALCULO PINTURA'!R118," ")</f>
        <v xml:space="preserve"> </v>
      </c>
      <c r="S117" s="164" t="str">
        <f>+IF(OR(O117="Fire Control",O117="Fire Tex 5062",O117="Fire Tex 5090",O117="Fire Tex 5120"),'CALCULO PINTURA'!S118," ")</f>
        <v xml:space="preserve"> </v>
      </c>
      <c r="T117" s="874" t="str">
        <f>+IF(OR(O117="Blaze Shield II",O117="Cafco 400",O117="Cafco 300"),'CALCULO MORTERO'!N118," ")</f>
        <v xml:space="preserve"> </v>
      </c>
      <c r="U117" s="875" t="str">
        <f>+IF(OR(O117="Blaze Shield II",O117="Cafco 400",O117="Cafco 300"),'CALCULO MORTERO'!O118," ")</f>
        <v xml:space="preserve"> </v>
      </c>
      <c r="V117" s="161" t="str" cm="1">
        <f t="array" ref="V117">_xlfn.IFS(O117="Blaze Shield II",'CALCULO MORTERO'!P118, O117="Cafco 400",'CALCULO MORTERO'!Q118,O117="Cafco 300",'CALCULO MORTERO'!S118, AND(OR(O117="Fire tex 5090", O117="Fire Tex 5062", O117="Fire Tex 5120", O117="Fire Control"),Q117&gt;0), "CERT.",TRUE,"-")</f>
        <v>-</v>
      </c>
      <c r="W117" s="167"/>
      <c r="X117" s="167"/>
    </row>
    <row r="118" spans="1:24" x14ac:dyDescent="0.2">
      <c r="A118" s="874"/>
      <c r="B118" s="904"/>
      <c r="C118" s="910"/>
      <c r="D118" s="944"/>
      <c r="E118" s="905"/>
      <c r="F118" s="909"/>
      <c r="G118" s="874"/>
      <c r="H118" s="874"/>
      <c r="I118" s="906"/>
      <c r="J118" s="942">
        <v>4</v>
      </c>
      <c r="K118" s="161"/>
      <c r="L118" s="161"/>
      <c r="M118" s="169"/>
      <c r="N118" s="163" t="str">
        <f t="shared" si="4"/>
        <v/>
      </c>
      <c r="O118" s="41"/>
      <c r="P118" s="41" t="s">
        <v>115</v>
      </c>
      <c r="Q118" s="161" t="str">
        <f>+IF(OR(O118="Fire Control",O118="Fire Tex 5062",O118="Fire Tex 5090",O118="Fire Tex 5120"),'CALCULO PINTURA'!P119," ")</f>
        <v xml:space="preserve"> </v>
      </c>
      <c r="R118" s="164" t="str">
        <f>+IF(OR(O118="Fire Control",O118="Fire Tex 5062",O118="Fire Tex 5090",O118="Fire Tex 5120"),'CALCULO PINTURA'!R119," ")</f>
        <v xml:space="preserve"> </v>
      </c>
      <c r="S118" s="164" t="str">
        <f>+IF(OR(O118="Fire Control",O118="Fire Tex 5062",O118="Fire Tex 5090",O118="Fire Tex 5120"),'CALCULO PINTURA'!S119," ")</f>
        <v xml:space="preserve"> </v>
      </c>
      <c r="T118" s="874" t="str">
        <f>+IF(OR(O118="Blaze Shield II",O118="Cafco 400",O118="Cafco 300"),'CALCULO MORTERO'!N118," ")</f>
        <v xml:space="preserve"> </v>
      </c>
      <c r="U118" s="875" t="str">
        <f>+IF(OR(O118="Blaze Shield II",O118="Cafco 400",O118="Cafco 300"),'CALCULO MORTERO'!O118," ")</f>
        <v xml:space="preserve"> </v>
      </c>
      <c r="V118" s="161" t="str" cm="1">
        <f t="array" ref="V118">_xlfn.IFS(O118="Blaze Shield II",'CALCULO MORTERO'!P119, O118="Cafco 400",'CALCULO MORTERO'!Q119,O118="Cafco 300",'CALCULO MORTERO'!S119, AND(OR(O118="Fire tex 5090", O118="Fire Tex 5062", O118="Fire Tex 5120", O118="Fire Control"),Q118&gt;0), "CERT.",TRUE,"-")</f>
        <v>-</v>
      </c>
      <c r="W118" s="167"/>
      <c r="X118" s="167"/>
    </row>
    <row r="119" spans="1:24" x14ac:dyDescent="0.2">
      <c r="A119" s="874"/>
      <c r="B119" s="904"/>
      <c r="C119" s="910"/>
      <c r="D119" s="944"/>
      <c r="E119" s="905"/>
      <c r="F119" s="909"/>
      <c r="G119" s="874"/>
      <c r="H119" s="874"/>
      <c r="I119" s="906"/>
      <c r="J119" s="942">
        <v>4</v>
      </c>
      <c r="K119" s="161"/>
      <c r="L119" s="161"/>
      <c r="M119" s="169"/>
      <c r="N119" s="163" t="str">
        <f t="shared" ref="N119:N131" si="5">+IF(F119="","",(K119*I119*H119*G119)/1000000)</f>
        <v/>
      </c>
      <c r="O119" s="41"/>
      <c r="P119" s="41" t="s">
        <v>115</v>
      </c>
      <c r="Q119" s="161"/>
      <c r="R119" s="164"/>
      <c r="S119" s="164"/>
      <c r="T119" s="874" t="str">
        <f>+IF(OR(O119="Blaze Shield II",O119="Cafco 400",O119="Cafco 300"),'CALCULO MORTERO'!N124," ")</f>
        <v xml:space="preserve"> </v>
      </c>
      <c r="U119" s="875" t="str">
        <f>+IF(OR(O119="Blaze Shield II",O119="Cafco 400",O119="Cafco 300"),'CALCULO MORTERO'!O124," ")</f>
        <v xml:space="preserve"> </v>
      </c>
      <c r="V119" s="161" t="str" cm="1">
        <f t="array" ref="V119">_xlfn.IFS(O119="Blaze Shield II",'CALCULO MORTERO'!P120, O119="Cafco 400",'CALCULO MORTERO'!Q120,O119="Cafco 300",'CALCULO MORTERO'!S120, AND(OR(O119="Fire tex 5090", O119="Fire Tex 5062", O119="Fire Tex 5120", O119="Fire Control"),Q119&gt;0), "CERT.",TRUE,"-")</f>
        <v>-</v>
      </c>
      <c r="W119" s="167"/>
      <c r="X119" s="167"/>
    </row>
    <row r="120" spans="1:24" x14ac:dyDescent="0.2">
      <c r="A120" s="874"/>
      <c r="B120" s="904"/>
      <c r="C120" s="910"/>
      <c r="D120" s="944"/>
      <c r="E120" s="905"/>
      <c r="F120" s="909"/>
      <c r="G120" s="874"/>
      <c r="H120" s="874"/>
      <c r="I120" s="906"/>
      <c r="J120" s="942">
        <v>4</v>
      </c>
      <c r="K120" s="161"/>
      <c r="L120" s="161"/>
      <c r="M120" s="169"/>
      <c r="N120" s="163" t="str">
        <f t="shared" si="5"/>
        <v/>
      </c>
      <c r="O120" s="41"/>
      <c r="P120" s="41" t="s">
        <v>115</v>
      </c>
      <c r="Q120" s="161"/>
      <c r="R120" s="164"/>
      <c r="S120" s="164"/>
      <c r="T120" s="874" t="str">
        <f>+IF(OR(O120="Blaze Shield II",O120="Cafco 400",O120="Cafco 300"),'CALCULO MORTERO'!N126," ")</f>
        <v xml:space="preserve"> </v>
      </c>
      <c r="U120" s="875" t="str">
        <f>+IF(OR(O120="Blaze Shield II",O120="Cafco 400",O120="Cafco 300"),'CALCULO MORTERO'!O126," ")</f>
        <v xml:space="preserve"> </v>
      </c>
      <c r="V120" s="161" t="str" cm="1">
        <f t="array" ref="V120">_xlfn.IFS(O120="Blaze Shield II",'CALCULO MORTERO'!P121, O120="Cafco 400",'CALCULO MORTERO'!Q121,O120="Cafco 300",'CALCULO MORTERO'!S121, AND(OR(O120="Fire tex 5090", O120="Fire Tex 5062", O120="Fire Tex 5120", O120="Fire Control"),Q120&gt;0), "CERT.",TRUE,"-")</f>
        <v>-</v>
      </c>
      <c r="W120" s="167"/>
      <c r="X120" s="167"/>
    </row>
    <row r="121" spans="1:24" x14ac:dyDescent="0.2">
      <c r="A121" s="903"/>
      <c r="B121" s="904"/>
      <c r="C121" s="874"/>
      <c r="D121" s="874"/>
      <c r="E121" s="905"/>
      <c r="F121" s="905"/>
      <c r="G121" s="874"/>
      <c r="H121" s="874"/>
      <c r="I121" s="906"/>
      <c r="J121" s="942">
        <v>4</v>
      </c>
      <c r="K121" s="161"/>
      <c r="L121" s="161"/>
      <c r="M121" s="169"/>
      <c r="N121" s="163" t="str">
        <f t="shared" si="5"/>
        <v/>
      </c>
      <c r="O121" s="41"/>
      <c r="P121" s="41" t="s">
        <v>115</v>
      </c>
      <c r="Q121" s="161"/>
      <c r="R121" s="164"/>
      <c r="S121" s="164"/>
      <c r="T121" s="874" t="str">
        <f>+IF(OR(O121="Blaze Shield II",O121="Cafco 400",O121="Cafco 300"),'CALCULO MORTERO'!N127," ")</f>
        <v xml:space="preserve"> </v>
      </c>
      <c r="U121" s="875" t="str">
        <f>+IF(OR(O121="Blaze Shield II",O121="Cafco 400",O121="Cafco 300"),'CALCULO MORTERO'!O127," ")</f>
        <v xml:space="preserve"> </v>
      </c>
      <c r="V121" s="161" t="str" cm="1">
        <f t="array" ref="V121">_xlfn.IFS(O121="Blaze Shield II",'CALCULO MORTERO'!P122, O121="Cafco 400",'CALCULO MORTERO'!Q122,O121="Cafco 300",'CALCULO MORTERO'!S122, AND(OR(O121="Fire tex 5090", O121="Fire Tex 5062", O121="Fire Tex 5120", O121="Fire Control"),Q121&gt;0), "CERT.",TRUE,"-")</f>
        <v>-</v>
      </c>
      <c r="W121" s="167"/>
      <c r="X121" s="167"/>
    </row>
    <row r="122" spans="1:24" x14ac:dyDescent="0.2">
      <c r="A122" s="903"/>
      <c r="B122" s="904"/>
      <c r="C122" s="874"/>
      <c r="D122" s="874"/>
      <c r="E122" s="905"/>
      <c r="F122" s="905"/>
      <c r="G122" s="874"/>
      <c r="H122" s="874"/>
      <c r="I122" s="906"/>
      <c r="J122" s="942">
        <v>4</v>
      </c>
      <c r="K122" s="161"/>
      <c r="L122" s="161"/>
      <c r="M122" s="169"/>
      <c r="N122" s="163" t="str">
        <f t="shared" si="5"/>
        <v/>
      </c>
      <c r="O122" s="41"/>
      <c r="P122" s="41" t="s">
        <v>115</v>
      </c>
      <c r="Q122" s="161"/>
      <c r="R122" s="164"/>
      <c r="S122" s="164"/>
      <c r="T122" s="874" t="str">
        <f>+IF(OR(O122="Blaze Shield II",O122="Cafco 400",O122="Cafco 300"),'CALCULO MORTERO'!N128," ")</f>
        <v xml:space="preserve"> </v>
      </c>
      <c r="U122" s="875" t="str">
        <f>+IF(OR(O122="Blaze Shield II",O122="Cafco 400",O122="Cafco 300"),'CALCULO MORTERO'!O128," ")</f>
        <v xml:space="preserve"> </v>
      </c>
      <c r="V122" s="161" t="str" cm="1">
        <f t="array" ref="V122">_xlfn.IFS(O122="Blaze Shield II",'CALCULO MORTERO'!P123, O122="Cafco 400",'CALCULO MORTERO'!Q123,O122="Cafco 300",'CALCULO MORTERO'!S123, AND(OR(O122="Fire tex 5090", O122="Fire Tex 5062", O122="Fire Tex 5120", O122="Fire Control"),Q122&gt;0), "CERT.",TRUE,"-")</f>
        <v>-</v>
      </c>
      <c r="W122" s="167"/>
      <c r="X122" s="167"/>
    </row>
    <row r="123" spans="1:24" x14ac:dyDescent="0.2">
      <c r="A123" s="903"/>
      <c r="B123" s="904"/>
      <c r="C123" s="874"/>
      <c r="D123" s="874"/>
      <c r="E123" s="905"/>
      <c r="F123" s="905"/>
      <c r="G123" s="874"/>
      <c r="H123" s="874"/>
      <c r="I123" s="906"/>
      <c r="J123" s="942">
        <v>4</v>
      </c>
      <c r="K123" s="161"/>
      <c r="L123" s="161"/>
      <c r="M123" s="169"/>
      <c r="N123" s="163" t="str">
        <f t="shared" si="5"/>
        <v/>
      </c>
      <c r="O123" s="41"/>
      <c r="P123" s="41" t="s">
        <v>115</v>
      </c>
      <c r="Q123" s="161"/>
      <c r="R123" s="164"/>
      <c r="S123" s="164"/>
      <c r="T123" s="874" t="str">
        <f>+IF(OR(O123="Blaze Shield II",O123="Cafco 400",O123="Cafco 300"),'CALCULO MORTERO'!N125," ")</f>
        <v xml:space="preserve"> </v>
      </c>
      <c r="U123" s="875" t="str">
        <f>+IF(OR(O123="Blaze Shield II",O123="Cafco 400",O123="Cafco 300"),'CALCULO MORTERO'!O125," ")</f>
        <v xml:space="preserve"> </v>
      </c>
      <c r="V123" s="161" t="str" cm="1">
        <f t="array" ref="V123">_xlfn.IFS(O123="Blaze Shield II",'CALCULO MORTERO'!P124, O123="Cafco 400",'CALCULO MORTERO'!Q124,O123="Cafco 300",'CALCULO MORTERO'!S124, AND(OR(O123="Fire tex 5090", O123="Fire Tex 5062", O123="Fire Tex 5120", O123="Fire Control"),Q123&gt;0), "CERT.",TRUE,"-")</f>
        <v>-</v>
      </c>
      <c r="W123" s="167"/>
      <c r="X123" s="167"/>
    </row>
    <row r="124" spans="1:24" x14ac:dyDescent="0.2">
      <c r="A124" s="903"/>
      <c r="B124" s="904"/>
      <c r="C124" s="874"/>
      <c r="D124" s="874"/>
      <c r="E124" s="905"/>
      <c r="F124" s="905"/>
      <c r="G124" s="874"/>
      <c r="H124" s="874"/>
      <c r="I124" s="906"/>
      <c r="J124" s="942">
        <v>4</v>
      </c>
      <c r="K124" s="161"/>
      <c r="L124" s="161"/>
      <c r="M124" s="169"/>
      <c r="N124" s="163" t="str">
        <f t="shared" si="5"/>
        <v/>
      </c>
      <c r="O124" s="41"/>
      <c r="P124" s="41" t="s">
        <v>115</v>
      </c>
      <c r="Q124" s="161"/>
      <c r="R124" s="164"/>
      <c r="S124" s="164"/>
      <c r="T124" s="874" t="str">
        <f>+IF(OR(O124="Blaze Shield II",O124="Cafco 400",O124="Cafco 300"),'CALCULO MORTERO'!N130," ")</f>
        <v xml:space="preserve"> </v>
      </c>
      <c r="U124" s="875" t="str">
        <f>+IF(OR(O124="Blaze Shield II",O124="Cafco 400",O124="Cafco 300"),'CALCULO MORTERO'!O130," ")</f>
        <v xml:space="preserve"> </v>
      </c>
      <c r="V124" s="161" t="str" cm="1">
        <f t="array" ref="V124">_xlfn.IFS(O124="Blaze Shield II",'CALCULO MORTERO'!P125, O124="Cafco 400",'CALCULO MORTERO'!Q125,O124="Cafco 300",'CALCULO MORTERO'!S125, AND(OR(O124="Fire tex 5090", O124="Fire Tex 5062", O124="Fire Tex 5120", O124="Fire Control"),Q124&gt;0), "CERT.",TRUE,"-")</f>
        <v>-</v>
      </c>
      <c r="W124" s="167"/>
      <c r="X124" s="167"/>
    </row>
    <row r="125" spans="1:24" x14ac:dyDescent="0.2">
      <c r="A125" s="903"/>
      <c r="B125" s="904"/>
      <c r="C125" s="874"/>
      <c r="D125" s="874"/>
      <c r="E125" s="905"/>
      <c r="F125" s="905"/>
      <c r="G125" s="874"/>
      <c r="H125" s="874"/>
      <c r="I125" s="906"/>
      <c r="J125" s="942">
        <v>4</v>
      </c>
      <c r="K125" s="161"/>
      <c r="L125" s="161"/>
      <c r="M125" s="169"/>
      <c r="N125" s="163" t="str">
        <f t="shared" si="5"/>
        <v/>
      </c>
      <c r="O125" s="41"/>
      <c r="P125" s="41" t="s">
        <v>115</v>
      </c>
      <c r="Q125" s="161"/>
      <c r="R125" s="164"/>
      <c r="S125" s="164"/>
      <c r="T125" s="874" t="str">
        <f>+IF(OR(O125="Blaze Shield II",O125="Cafco 400",O125="Cafco 300"),'CALCULO MORTERO'!N131," ")</f>
        <v xml:space="preserve"> </v>
      </c>
      <c r="U125" s="875" t="str">
        <f>+IF(OR(O125="Blaze Shield II",O125="Cafco 400",O125="Cafco 300"),'CALCULO MORTERO'!O131," ")</f>
        <v xml:space="preserve"> </v>
      </c>
      <c r="V125" s="161" t="str" cm="1">
        <f t="array" ref="V125">_xlfn.IFS(O125="Blaze Shield II",'CALCULO MORTERO'!P126, O125="Cafco 400",'CALCULO MORTERO'!Q126,O125="Cafco 300",'CALCULO MORTERO'!S126, AND(OR(O125="Fire tex 5090", O125="Fire Tex 5062", O125="Fire Tex 5120", O125="Fire Control"),Q125&gt;0), "CERT.",TRUE,"-")</f>
        <v>-</v>
      </c>
      <c r="W125" s="167"/>
      <c r="X125" s="167"/>
    </row>
    <row r="126" spans="1:24" x14ac:dyDescent="0.2">
      <c r="A126" s="903"/>
      <c r="B126" s="904"/>
      <c r="C126" s="874"/>
      <c r="D126" s="874"/>
      <c r="E126" s="905"/>
      <c r="F126" s="905"/>
      <c r="G126" s="874"/>
      <c r="H126" s="874"/>
      <c r="I126" s="906"/>
      <c r="J126" s="942">
        <v>4</v>
      </c>
      <c r="K126" s="161"/>
      <c r="L126" s="161"/>
      <c r="M126" s="169"/>
      <c r="N126" s="163" t="str">
        <f t="shared" si="5"/>
        <v/>
      </c>
      <c r="O126" s="41"/>
      <c r="P126" s="41" t="s">
        <v>115</v>
      </c>
      <c r="Q126" s="161"/>
      <c r="R126" s="164"/>
      <c r="S126" s="164"/>
      <c r="T126" s="874" t="str">
        <f>+IF(OR(O126="Blaze Shield II",O126="Cafco 400",O126="Cafco 300"),'CALCULO MORTERO'!N132," ")</f>
        <v xml:space="preserve"> </v>
      </c>
      <c r="U126" s="875" t="str">
        <f>+IF(OR(O126="Blaze Shield II",O126="Cafco 400",O126="Cafco 300"),'CALCULO MORTERO'!O132," ")</f>
        <v xml:space="preserve"> </v>
      </c>
      <c r="V126" s="161" t="str" cm="1">
        <f t="array" ref="V126">_xlfn.IFS(O126="Blaze Shield II",'CALCULO MORTERO'!P127, O126="Cafco 400",'CALCULO MORTERO'!Q127,O126="Cafco 300",'CALCULO MORTERO'!S127, AND(OR(O126="Fire tex 5090", O126="Fire Tex 5062", O126="Fire Tex 5120", O126="Fire Control"),Q126&gt;0), "CERT.",TRUE,"-")</f>
        <v>-</v>
      </c>
      <c r="W126" s="167"/>
      <c r="X126" s="167"/>
    </row>
    <row r="127" spans="1:24" x14ac:dyDescent="0.2">
      <c r="A127" s="903"/>
      <c r="B127" s="904"/>
      <c r="C127" s="874"/>
      <c r="D127" s="874"/>
      <c r="E127" s="905"/>
      <c r="F127" s="905"/>
      <c r="G127" s="874"/>
      <c r="H127" s="874"/>
      <c r="I127" s="906"/>
      <c r="J127" s="942">
        <v>4</v>
      </c>
      <c r="K127" s="161"/>
      <c r="L127" s="161"/>
      <c r="M127" s="169"/>
      <c r="N127" s="163" t="str">
        <f t="shared" si="5"/>
        <v/>
      </c>
      <c r="O127" s="41"/>
      <c r="P127" s="41" t="s">
        <v>115</v>
      </c>
      <c r="Q127" s="161"/>
      <c r="R127" s="164"/>
      <c r="S127" s="164"/>
      <c r="T127" s="874" t="str">
        <f>+IF(OR(O127="Blaze Shield II",O127="Cafco 400",O127="Cafco 300"),'CALCULO MORTERO'!N133," ")</f>
        <v xml:space="preserve"> </v>
      </c>
      <c r="U127" s="875" t="str">
        <f>+IF(OR(O127="Blaze Shield II",O127="Cafco 400",O127="Cafco 300"),'CALCULO MORTERO'!O133," ")</f>
        <v xml:space="preserve"> </v>
      </c>
      <c r="V127" s="161" t="str" cm="1">
        <f t="array" ref="V127">_xlfn.IFS(O127="Blaze Shield II",'CALCULO MORTERO'!P128, O127="Cafco 400",'CALCULO MORTERO'!Q128,O127="Cafco 300",'CALCULO MORTERO'!S128, AND(OR(O127="Fire tex 5090", O127="Fire Tex 5062", O127="Fire Tex 5120", O127="Fire Control"),Q127&gt;0), "CERT.",TRUE,"-")</f>
        <v>-</v>
      </c>
      <c r="W127" s="167"/>
      <c r="X127" s="167"/>
    </row>
    <row r="128" spans="1:24" x14ac:dyDescent="0.2">
      <c r="A128" s="903"/>
      <c r="B128" s="904"/>
      <c r="C128" s="874"/>
      <c r="D128" s="874"/>
      <c r="E128" s="905"/>
      <c r="F128" s="905"/>
      <c r="G128" s="874"/>
      <c r="H128" s="874"/>
      <c r="I128" s="906"/>
      <c r="J128" s="942">
        <v>4</v>
      </c>
      <c r="K128" s="161"/>
      <c r="L128" s="161"/>
      <c r="M128" s="169"/>
      <c r="N128" s="163" t="str">
        <f t="shared" si="5"/>
        <v/>
      </c>
      <c r="O128" s="41"/>
      <c r="P128" s="41" t="s">
        <v>115</v>
      </c>
      <c r="Q128" s="161"/>
      <c r="R128" s="164"/>
      <c r="S128" s="164"/>
      <c r="T128" s="874" t="str">
        <f>+IF(OR(O128="Blaze Shield II",O128="Cafco 400",O128="Cafco 300"),'CALCULO MORTERO'!N134," ")</f>
        <v xml:space="preserve"> </v>
      </c>
      <c r="U128" s="875" t="str">
        <f>+IF(OR(O128="Blaze Shield II",O128="Cafco 400",O128="Cafco 300"),'CALCULO MORTERO'!O134," ")</f>
        <v xml:space="preserve"> </v>
      </c>
      <c r="V128" s="161" t="str" cm="1">
        <f t="array" ref="V128">_xlfn.IFS(O128="Blaze Shield II",'CALCULO MORTERO'!P129, O128="Cafco 400",'CALCULO MORTERO'!Q129,O128="Cafco 300",'CALCULO MORTERO'!S129, AND(OR(O128="Fire tex 5090", O128="Fire Tex 5062", O128="Fire Tex 5120", O128="Fire Control"),Q128&gt;0), "CERT.",TRUE,"-")</f>
        <v>-</v>
      </c>
      <c r="W128" s="167"/>
      <c r="X128" s="167"/>
    </row>
    <row r="129" spans="1:24" x14ac:dyDescent="0.2">
      <c r="A129" s="903"/>
      <c r="B129" s="904"/>
      <c r="C129" s="874"/>
      <c r="D129" s="874"/>
      <c r="E129" s="905"/>
      <c r="F129" s="905"/>
      <c r="G129" s="874"/>
      <c r="H129" s="874"/>
      <c r="I129" s="906"/>
      <c r="J129" s="942">
        <v>4</v>
      </c>
      <c r="K129" s="161"/>
      <c r="L129" s="161"/>
      <c r="M129" s="169"/>
      <c r="N129" s="163" t="str">
        <f t="shared" si="5"/>
        <v/>
      </c>
      <c r="O129" s="41"/>
      <c r="P129" s="41" t="s">
        <v>115</v>
      </c>
      <c r="Q129" s="161"/>
      <c r="R129" s="164"/>
      <c r="S129" s="164"/>
      <c r="T129" s="874" t="str">
        <f>+IF(OR(O129="Blaze Shield II",O129="Cafco 400",O129="Cafco 300"),'CALCULO MORTERO'!N135," ")</f>
        <v xml:space="preserve"> </v>
      </c>
      <c r="U129" s="875" t="str">
        <f>+IF(OR(O129="Blaze Shield II",O129="Cafco 400",O129="Cafco 300"),'CALCULO MORTERO'!O135," ")</f>
        <v xml:space="preserve"> </v>
      </c>
      <c r="V129" s="161" t="str" cm="1">
        <f t="array" ref="V129">_xlfn.IFS(O129="Blaze Shield II",'CALCULO MORTERO'!P130, O129="Cafco 400",'CALCULO MORTERO'!Q130,O129="Cafco 300",'CALCULO MORTERO'!S130, AND(OR(O129="Fire tex 5090", O129="Fire Tex 5062", O129="Fire Tex 5120", O129="Fire Control"),Q129&gt;0), "CERT.",TRUE,"-")</f>
        <v>-</v>
      </c>
      <c r="W129" s="167"/>
      <c r="X129" s="167"/>
    </row>
    <row r="130" spans="1:24" x14ac:dyDescent="0.2">
      <c r="A130" s="903"/>
      <c r="B130" s="904"/>
      <c r="C130" s="874"/>
      <c r="D130" s="874"/>
      <c r="E130" s="905"/>
      <c r="F130" s="905"/>
      <c r="G130" s="874"/>
      <c r="H130" s="874"/>
      <c r="I130" s="906"/>
      <c r="J130" s="942">
        <v>4</v>
      </c>
      <c r="K130" s="161"/>
      <c r="L130" s="161"/>
      <c r="M130" s="169"/>
      <c r="N130" s="163" t="str">
        <f t="shared" si="5"/>
        <v/>
      </c>
      <c r="O130" s="41"/>
      <c r="P130" s="41" t="s">
        <v>115</v>
      </c>
      <c r="Q130" s="161"/>
      <c r="R130" s="164"/>
      <c r="S130" s="164"/>
      <c r="T130" s="874" t="str">
        <f>+IF(OR(O130="Blaze Shield II",O130="Cafco 400",O130="Cafco 300"),'CALCULO MORTERO'!N136," ")</f>
        <v xml:space="preserve"> </v>
      </c>
      <c r="U130" s="875" t="str">
        <f>+IF(OR(O130="Blaze Shield II",O130="Cafco 400",O130="Cafco 300"),'CALCULO MORTERO'!O136," ")</f>
        <v xml:space="preserve"> </v>
      </c>
      <c r="V130" s="161" t="str" cm="1">
        <f t="array" ref="V130">_xlfn.IFS(O130="Blaze Shield II",'CALCULO MORTERO'!P131, O130="Cafco 400",'CALCULO MORTERO'!Q131,O130="Cafco 300",'CALCULO MORTERO'!S131, AND(OR(O130="Fire tex 5090", O130="Fire Tex 5062", O130="Fire Tex 5120", O130="Fire Control"),Q130&gt;0), "CERT.",TRUE,"-")</f>
        <v>-</v>
      </c>
      <c r="W130" s="167"/>
      <c r="X130" s="167"/>
    </row>
    <row r="131" spans="1:24" x14ac:dyDescent="0.2">
      <c r="A131" s="903"/>
      <c r="B131" s="904"/>
      <c r="C131" s="874"/>
      <c r="D131" s="874"/>
      <c r="E131" s="905"/>
      <c r="F131" s="905"/>
      <c r="G131" s="874"/>
      <c r="H131" s="874"/>
      <c r="I131" s="906"/>
      <c r="J131" s="942">
        <v>4</v>
      </c>
      <c r="K131" s="161"/>
      <c r="L131" s="161"/>
      <c r="M131" s="169"/>
      <c r="N131" s="163" t="str">
        <f t="shared" si="5"/>
        <v/>
      </c>
      <c r="O131" s="41"/>
      <c r="P131" s="41" t="s">
        <v>115</v>
      </c>
      <c r="Q131" s="161"/>
      <c r="R131" s="164"/>
      <c r="S131" s="164"/>
      <c r="T131" s="874" t="str">
        <f>+IF(OR(O131="Blaze Shield II",O131="Cafco 400",O131="Cafco 300"),'CALCULO MORTERO'!N137," ")</f>
        <v xml:space="preserve"> </v>
      </c>
      <c r="U131" s="875" t="str">
        <f>+IF(OR(O131="Blaze Shield II",O131="Cafco 400",O131="Cafco 300"),'CALCULO MORTERO'!O137," ")</f>
        <v xml:space="preserve"> </v>
      </c>
      <c r="V131" s="161" t="str" cm="1">
        <f t="array" ref="V131">_xlfn.IFS(O131="Blaze Shield II",'CALCULO MORTERO'!P132, O131="Cafco 400",'CALCULO MORTERO'!Q132,O131="Cafco 300",'CALCULO MORTERO'!S132, AND(OR(O131="Fire tex 5090", O131="Fire Tex 5062", O131="Fire Tex 5120", O131="Fire Control"),Q131&gt;0), "CERT.",TRUE,"-")</f>
        <v>-</v>
      </c>
      <c r="W131" s="167"/>
      <c r="X131" s="167"/>
    </row>
    <row r="132" spans="1:24" x14ac:dyDescent="0.2">
      <c r="A132" s="903"/>
      <c r="B132" s="907"/>
      <c r="C132" s="874"/>
      <c r="D132" s="874"/>
      <c r="E132" s="905"/>
      <c r="F132" s="905"/>
      <c r="G132" s="874"/>
      <c r="H132" s="874"/>
      <c r="I132" s="906"/>
      <c r="J132" s="162"/>
      <c r="K132" s="161"/>
      <c r="L132" s="161"/>
      <c r="M132" s="169"/>
      <c r="N132" s="163" t="str">
        <f t="shared" ref="N132:N195" si="6">+IF(F132="","",(K132*I132*H132*G132)/1000000)</f>
        <v/>
      </c>
      <c r="O132" s="41"/>
      <c r="P132" s="41"/>
      <c r="Q132" s="161"/>
      <c r="R132" s="164"/>
      <c r="S132" s="164"/>
      <c r="T132" s="874" t="str">
        <f>+IF(OR(O132="Blaze Shield II",O132="Cafco 400",O132="Cafco 300"),'CALCULO MORTERO'!N382," ")</f>
        <v xml:space="preserve"> </v>
      </c>
      <c r="U132" s="875" t="str">
        <f>+IF(OR(O132="Blaze Shield II",O132="Cafco 400",O132="Cafco 300"),'CALCULO MORTERO'!O382," ")</f>
        <v xml:space="preserve"> </v>
      </c>
      <c r="V132" s="161" t="str" cm="1">
        <f t="array" ref="V132">_xlfn.IFS(O132="Blaze Shield II",'CALCULO MORTERO'!P133, O132="Cafco 400",'CALCULO MORTERO'!Q133,O132="Cafco 300",'CALCULO MORTERO'!S133, AND(OR(O132="Fire tex 5090", O132="Fire Tex 5062", O132="Fire Tex 5120", O132="Fire Control"),Q132&gt;0), "CERT.",TRUE,"-")</f>
        <v>-</v>
      </c>
      <c r="W132" s="167"/>
      <c r="X132" s="167"/>
    </row>
    <row r="133" spans="1:24" x14ac:dyDescent="0.2">
      <c r="A133" s="903"/>
      <c r="B133" s="907"/>
      <c r="C133" s="874"/>
      <c r="D133" s="874"/>
      <c r="E133" s="905"/>
      <c r="F133" s="905"/>
      <c r="G133" s="874"/>
      <c r="H133" s="874"/>
      <c r="I133" s="906"/>
      <c r="J133" s="162"/>
      <c r="K133" s="161"/>
      <c r="L133" s="161"/>
      <c r="M133" s="169"/>
      <c r="N133" s="163" t="str">
        <f t="shared" si="6"/>
        <v/>
      </c>
      <c r="O133" s="41"/>
      <c r="P133" s="41"/>
      <c r="Q133" s="161"/>
      <c r="R133" s="164"/>
      <c r="S133" s="164"/>
      <c r="T133" s="874" t="str">
        <f>+IF(OR(O133="Blaze Shield II",O133="Cafco 400",O133="Cafco 300"),'CALCULO MORTERO'!N383," ")</f>
        <v xml:space="preserve"> </v>
      </c>
      <c r="U133" s="875" t="str">
        <f>+IF(OR(O133="Blaze Shield II",O133="Cafco 400",O133="Cafco 300"),'CALCULO MORTERO'!O383," ")</f>
        <v xml:space="preserve"> </v>
      </c>
      <c r="V133" s="161" t="str" cm="1">
        <f t="array" ref="V133">_xlfn.IFS(O133="Blaze Shield II",'CALCULO MORTERO'!P134, O133="Cafco 400",'CALCULO MORTERO'!Q134,O133="Cafco 300",'CALCULO MORTERO'!S134, AND(OR(O133="Fire tex 5090", O133="Fire Tex 5062", O133="Fire Tex 5120", O133="Fire Control"),Q133&gt;0), "CERT.",TRUE,"-")</f>
        <v>-</v>
      </c>
      <c r="W133" s="167"/>
      <c r="X133" s="167"/>
    </row>
    <row r="134" spans="1:24" x14ac:dyDescent="0.2">
      <c r="A134" s="903"/>
      <c r="B134" s="907"/>
      <c r="C134" s="874"/>
      <c r="D134" s="874"/>
      <c r="E134" s="905"/>
      <c r="F134" s="905"/>
      <c r="G134" s="874"/>
      <c r="H134" s="874"/>
      <c r="I134" s="906"/>
      <c r="J134" s="162"/>
      <c r="K134" s="161"/>
      <c r="L134" s="161"/>
      <c r="M134" s="169"/>
      <c r="N134" s="163" t="str">
        <f t="shared" si="6"/>
        <v/>
      </c>
      <c r="O134" s="41"/>
      <c r="P134" s="41"/>
      <c r="Q134" s="161"/>
      <c r="R134" s="164"/>
      <c r="S134" s="164"/>
      <c r="T134" s="874" t="str">
        <f>+IF(OR(O134="Blaze Shield II",O134="Cafco 400",O134="Cafco 300"),'CALCULO MORTERO'!N384," ")</f>
        <v xml:space="preserve"> </v>
      </c>
      <c r="U134" s="875" t="str">
        <f>+IF(OR(O134="Blaze Shield II",O134="Cafco 400",O134="Cafco 300"),'CALCULO MORTERO'!O384," ")</f>
        <v xml:space="preserve"> </v>
      </c>
      <c r="V134" s="161" t="str" cm="1">
        <f t="array" ref="V134">_xlfn.IFS(O134="Blaze Shield II",'CALCULO MORTERO'!P135, O134="Cafco 400",'CALCULO MORTERO'!Q135,O134="Cafco 300",'CALCULO MORTERO'!S135, AND(OR(O134="Fire tex 5090", O134="Fire Tex 5062", O134="Fire Tex 5120", O134="Fire Control"),Q134&gt;0), "CERT.",TRUE,"-")</f>
        <v>-</v>
      </c>
      <c r="W134" s="167"/>
      <c r="X134" s="167"/>
    </row>
    <row r="135" spans="1:24" x14ac:dyDescent="0.2">
      <c r="A135" s="903"/>
      <c r="B135" s="907"/>
      <c r="C135" s="874"/>
      <c r="D135" s="874"/>
      <c r="E135" s="905"/>
      <c r="F135" s="905"/>
      <c r="G135" s="874"/>
      <c r="H135" s="874"/>
      <c r="I135" s="906"/>
      <c r="J135" s="162"/>
      <c r="K135" s="161"/>
      <c r="L135" s="161"/>
      <c r="M135" s="169"/>
      <c r="N135" s="163" t="str">
        <f t="shared" si="6"/>
        <v/>
      </c>
      <c r="O135" s="41"/>
      <c r="P135" s="41"/>
      <c r="Q135" s="161"/>
      <c r="R135" s="164"/>
      <c r="S135" s="164"/>
      <c r="T135" s="874" t="str">
        <f>+IF(OR(O135="Blaze Shield II",O135="Cafco 400",O135="Cafco 300"),'CALCULO MORTERO'!N385," ")</f>
        <v xml:space="preserve"> </v>
      </c>
      <c r="U135" s="875" t="str">
        <f>+IF(OR(O135="Blaze Shield II",O135="Cafco 400",O135="Cafco 300"),'CALCULO MORTERO'!O385," ")</f>
        <v xml:space="preserve"> </v>
      </c>
      <c r="V135" s="161" t="str" cm="1">
        <f t="array" ref="V135">_xlfn.IFS(O135="Blaze Shield II",'CALCULO MORTERO'!P136, O135="Cafco 400",'CALCULO MORTERO'!Q136,O135="Cafco 300",'CALCULO MORTERO'!S136, AND(OR(O135="Fire tex 5090", O135="Fire Tex 5062", O135="Fire Tex 5120", O135="Fire Control"),Q135&gt;0), "CERT.",TRUE,"-")</f>
        <v>-</v>
      </c>
      <c r="W135" s="167"/>
      <c r="X135" s="167"/>
    </row>
    <row r="136" spans="1:24" x14ac:dyDescent="0.2">
      <c r="A136" s="903"/>
      <c r="B136" s="907"/>
      <c r="C136" s="874"/>
      <c r="D136" s="874"/>
      <c r="E136" s="874"/>
      <c r="F136" s="905"/>
      <c r="G136" s="874"/>
      <c r="H136" s="874"/>
      <c r="I136" s="906"/>
      <c r="J136" s="162"/>
      <c r="K136" s="161"/>
      <c r="L136" s="161"/>
      <c r="M136" s="169"/>
      <c r="N136" s="163" t="str">
        <f t="shared" si="6"/>
        <v/>
      </c>
      <c r="O136" s="41"/>
      <c r="P136" s="41"/>
      <c r="Q136" s="161"/>
      <c r="R136" s="164"/>
      <c r="S136" s="164"/>
      <c r="T136" s="874" t="str">
        <f>+IF(OR(O136="Blaze Shield II",O136="Cafco 400",O136="Cafco 300"),'CALCULO MORTERO'!N386," ")</f>
        <v xml:space="preserve"> </v>
      </c>
      <c r="U136" s="875" t="str">
        <f>+IF(OR(O136="Blaze Shield II",O136="Cafco 400",O136="Cafco 300"),'CALCULO MORTERO'!O386," ")</f>
        <v xml:space="preserve"> </v>
      </c>
      <c r="V136" s="161" t="str" cm="1">
        <f t="array" ref="V136">_xlfn.IFS(O136="Blaze Shield II",'CALCULO MORTERO'!P137, O136="Cafco 400",'CALCULO MORTERO'!Q137,O136="Cafco 300",'CALCULO MORTERO'!S137, AND(OR(O136="Fire tex 5090", O136="Fire Tex 5062", O136="Fire Tex 5120", O136="Fire Control"),Q136&gt;0), "CERT.",TRUE,"-")</f>
        <v>-</v>
      </c>
      <c r="W136" s="167"/>
      <c r="X136" s="167"/>
    </row>
    <row r="137" spans="1:24" x14ac:dyDescent="0.2">
      <c r="A137" s="903"/>
      <c r="B137" s="907"/>
      <c r="C137" s="874"/>
      <c r="D137" s="874"/>
      <c r="E137" s="874"/>
      <c r="F137" s="905"/>
      <c r="G137" s="874"/>
      <c r="H137" s="874"/>
      <c r="I137" s="906"/>
      <c r="J137" s="162"/>
      <c r="K137" s="161"/>
      <c r="L137" s="161"/>
      <c r="M137" s="169"/>
      <c r="N137" s="163" t="str">
        <f t="shared" si="6"/>
        <v/>
      </c>
      <c r="O137" s="41"/>
      <c r="P137" s="41"/>
      <c r="Q137" s="161"/>
      <c r="R137" s="164"/>
      <c r="S137" s="164"/>
      <c r="T137" s="874" t="str">
        <f>+IF(OR(O137="Blaze Shield II",O137="Cafco 400",O137="Cafco 300"),'CALCULO MORTERO'!N387," ")</f>
        <v xml:space="preserve"> </v>
      </c>
      <c r="U137" s="875" t="str">
        <f>+IF(OR(O137="Blaze Shield II",O137="Cafco 400",O137="Cafco 300"),'CALCULO MORTERO'!O387," ")</f>
        <v xml:space="preserve"> </v>
      </c>
      <c r="V137" s="161" t="str" cm="1">
        <f t="array" ref="V137">_xlfn.IFS(O137="Blaze Shield II",'CALCULO MORTERO'!P138, O137="Cafco 400",'CALCULO MORTERO'!Q138,O137="Cafco 300",'CALCULO MORTERO'!S138, AND(OR(O137="Fire tex 5090", O137="Fire Tex 5062", O137="Fire Tex 5120", O137="Fire Control"),Q137&gt;0), "CERT.",TRUE,"-")</f>
        <v>-</v>
      </c>
      <c r="W137" s="167"/>
      <c r="X137" s="167"/>
    </row>
    <row r="138" spans="1:24" x14ac:dyDescent="0.2">
      <c r="A138" s="903"/>
      <c r="B138" s="907"/>
      <c r="C138" s="874"/>
      <c r="D138" s="874"/>
      <c r="E138" s="874"/>
      <c r="F138" s="905"/>
      <c r="G138" s="874"/>
      <c r="H138" s="874"/>
      <c r="I138" s="906"/>
      <c r="J138" s="162"/>
      <c r="K138" s="161"/>
      <c r="L138" s="161"/>
      <c r="M138" s="169"/>
      <c r="N138" s="163" t="str">
        <f t="shared" si="6"/>
        <v/>
      </c>
      <c r="O138" s="41"/>
      <c r="P138" s="41"/>
      <c r="Q138" s="161"/>
      <c r="R138" s="164"/>
      <c r="S138" s="164"/>
      <c r="T138" s="874" t="str">
        <f>+IF(OR(O138="Blaze Shield II",O138="Cafco 400",O138="Cafco 300"),'CALCULO MORTERO'!N388," ")</f>
        <v xml:space="preserve"> </v>
      </c>
      <c r="U138" s="875" t="str">
        <f>+IF(OR(O138="Blaze Shield II",O138="Cafco 400",O138="Cafco 300"),'CALCULO MORTERO'!O388," ")</f>
        <v xml:space="preserve"> </v>
      </c>
      <c r="V138" s="161" t="str" cm="1">
        <f t="array" ref="V138">_xlfn.IFS(O138="Blaze Shield II",'CALCULO MORTERO'!P139, O138="Cafco 400",'CALCULO MORTERO'!Q139,O138="Cafco 300",'CALCULO MORTERO'!S139, AND(OR(O138="Fire tex 5090", O138="Fire Tex 5062", O138="Fire Tex 5120", O138="Fire Control"),Q138&gt;0), "CERT.",TRUE,"-")</f>
        <v>-</v>
      </c>
      <c r="W138" s="167"/>
      <c r="X138" s="167"/>
    </row>
    <row r="139" spans="1:24" x14ac:dyDescent="0.2">
      <c r="A139" s="903"/>
      <c r="B139" s="907"/>
      <c r="C139" s="874"/>
      <c r="D139" s="874"/>
      <c r="E139" s="874"/>
      <c r="F139" s="905"/>
      <c r="G139" s="874"/>
      <c r="H139" s="874"/>
      <c r="I139" s="906"/>
      <c r="J139" s="162"/>
      <c r="K139" s="161"/>
      <c r="L139" s="161"/>
      <c r="M139" s="169"/>
      <c r="N139" s="163" t="str">
        <f t="shared" si="6"/>
        <v/>
      </c>
      <c r="O139" s="41"/>
      <c r="P139" s="41"/>
      <c r="Q139" s="161"/>
      <c r="R139" s="164"/>
      <c r="S139" s="164"/>
      <c r="T139" s="874" t="str">
        <f>+IF(OR(O139="Blaze Shield II",O139="Cafco 400",O139="Cafco 300"),'CALCULO MORTERO'!N389," ")</f>
        <v xml:space="preserve"> </v>
      </c>
      <c r="U139" s="875" t="str">
        <f>+IF(OR(O139="Blaze Shield II",O139="Cafco 400",O139="Cafco 300"),'CALCULO MORTERO'!O389," ")</f>
        <v xml:space="preserve"> </v>
      </c>
      <c r="V139" s="161" t="str" cm="1">
        <f t="array" ref="V139">_xlfn.IFS(O139="Blaze Shield II",'CALCULO MORTERO'!P140, O139="Cafco 400",'CALCULO MORTERO'!Q140,O139="Cafco 300",'CALCULO MORTERO'!S140, AND(OR(O139="Fire tex 5090", O139="Fire Tex 5062", O139="Fire Tex 5120", O139="Fire Control"),Q139&gt;0), "CERT.",TRUE,"-")</f>
        <v>-</v>
      </c>
      <c r="W139" s="167"/>
      <c r="X139" s="167"/>
    </row>
    <row r="140" spans="1:24" x14ac:dyDescent="0.2">
      <c r="A140" s="903"/>
      <c r="B140" s="907"/>
      <c r="C140" s="874"/>
      <c r="D140" s="874"/>
      <c r="E140" s="874"/>
      <c r="F140" s="905"/>
      <c r="G140" s="874"/>
      <c r="H140" s="874"/>
      <c r="I140" s="906"/>
      <c r="J140" s="162"/>
      <c r="K140" s="161"/>
      <c r="L140" s="161"/>
      <c r="M140" s="169"/>
      <c r="N140" s="163" t="str">
        <f t="shared" si="6"/>
        <v/>
      </c>
      <c r="O140" s="41"/>
      <c r="P140" s="41"/>
      <c r="Q140" s="161"/>
      <c r="R140" s="164"/>
      <c r="S140" s="164"/>
      <c r="T140" s="874" t="str">
        <f>+IF(OR(O140="Blaze Shield II",O140="Cafco 400",O140="Cafco 300"),'CALCULO MORTERO'!N396," ")</f>
        <v xml:space="preserve"> </v>
      </c>
      <c r="U140" s="875" t="str">
        <f>+IF(OR(O140="Blaze Shield II",O140="Cafco 400",O140="Cafco 300"),'CALCULO MORTERO'!O396," ")</f>
        <v xml:space="preserve"> </v>
      </c>
      <c r="V140" s="161" t="str" cm="1">
        <f t="array" ref="V140">_xlfn.IFS(O140="Blaze Shield II",'CALCULO MORTERO'!P141, O140="Cafco 400",'CALCULO MORTERO'!Q141,O140="Cafco 300",'CALCULO MORTERO'!S141, AND(OR(O140="Fire tex 5090", O140="Fire Tex 5062", O140="Fire Tex 5120", O140="Fire Control"),Q140&gt;0), "CERT.",TRUE,"-")</f>
        <v>-</v>
      </c>
      <c r="W140" s="167"/>
      <c r="X140" s="167"/>
    </row>
    <row r="141" spans="1:24" x14ac:dyDescent="0.2">
      <c r="A141" s="903"/>
      <c r="B141" s="907"/>
      <c r="C141" s="874"/>
      <c r="D141" s="874"/>
      <c r="E141" s="874"/>
      <c r="F141" s="905"/>
      <c r="G141" s="874"/>
      <c r="H141" s="874"/>
      <c r="I141" s="906"/>
      <c r="J141" s="162"/>
      <c r="K141" s="161"/>
      <c r="L141" s="161"/>
      <c r="M141" s="169"/>
      <c r="N141" s="163" t="str">
        <f t="shared" si="6"/>
        <v/>
      </c>
      <c r="O141" s="41"/>
      <c r="P141" s="41"/>
      <c r="Q141" s="161"/>
      <c r="R141" s="164"/>
      <c r="S141" s="164"/>
      <c r="T141" s="874" t="str">
        <f>+IF(OR(O141="Blaze Shield II",O141="Cafco 400",O141="Cafco 300"),'CALCULO MORTERO'!N397," ")</f>
        <v xml:space="preserve"> </v>
      </c>
      <c r="U141" s="875" t="str">
        <f>+IF(OR(O141="Blaze Shield II",O141="Cafco 400",O141="Cafco 300"),'CALCULO MORTERO'!O397," ")</f>
        <v xml:space="preserve"> </v>
      </c>
      <c r="V141" s="161" t="str" cm="1">
        <f t="array" ref="V141">_xlfn.IFS(O141="Blaze Shield II",'CALCULO MORTERO'!P142, O141="Cafco 400",'CALCULO MORTERO'!Q142,O141="Cafco 300",'CALCULO MORTERO'!S142, AND(OR(O141="Fire tex 5090", O141="Fire Tex 5062", O141="Fire Tex 5120", O141="Fire Control"),Q141&gt;0), "CERT.",TRUE,"-")</f>
        <v>-</v>
      </c>
      <c r="W141" s="167"/>
      <c r="X141" s="167"/>
    </row>
    <row r="142" spans="1:24" x14ac:dyDescent="0.2">
      <c r="A142" s="903"/>
      <c r="B142" s="907"/>
      <c r="C142" s="874"/>
      <c r="D142" s="874"/>
      <c r="E142" s="874"/>
      <c r="F142" s="905"/>
      <c r="G142" s="874"/>
      <c r="H142" s="874"/>
      <c r="I142" s="906"/>
      <c r="J142" s="162"/>
      <c r="K142" s="161"/>
      <c r="L142" s="161"/>
      <c r="M142" s="169"/>
      <c r="N142" s="163" t="str">
        <f t="shared" si="6"/>
        <v/>
      </c>
      <c r="O142" s="41"/>
      <c r="P142" s="41"/>
      <c r="Q142" s="161"/>
      <c r="R142" s="164"/>
      <c r="S142" s="164"/>
      <c r="T142" s="874" t="str">
        <f>+IF(OR(O142="Blaze Shield II",O142="Cafco 400",O142="Cafco 300"),'CALCULO MORTERO'!N398," ")</f>
        <v xml:space="preserve"> </v>
      </c>
      <c r="U142" s="875" t="str">
        <f>+IF(OR(O142="Blaze Shield II",O142="Cafco 400",O142="Cafco 300"),'CALCULO MORTERO'!O398," ")</f>
        <v xml:space="preserve"> </v>
      </c>
      <c r="V142" s="161" t="str" cm="1">
        <f t="array" ref="V142">_xlfn.IFS(O142="Blaze Shield II",'CALCULO MORTERO'!P143, O142="Cafco 400",'CALCULO MORTERO'!Q143,O142="Cafco 300",'CALCULO MORTERO'!S143, AND(OR(O142="Fire tex 5090", O142="Fire Tex 5062", O142="Fire Tex 5120", O142="Fire Control"),Q142&gt;0), "CERT.",TRUE,"-")</f>
        <v>-</v>
      </c>
      <c r="W142" s="167"/>
      <c r="X142" s="167"/>
    </row>
    <row r="143" spans="1:24" x14ac:dyDescent="0.2">
      <c r="A143" s="903"/>
      <c r="B143" s="907"/>
      <c r="C143" s="874"/>
      <c r="D143" s="874"/>
      <c r="E143" s="874"/>
      <c r="F143" s="905"/>
      <c r="G143" s="874"/>
      <c r="H143" s="874"/>
      <c r="I143" s="906"/>
      <c r="J143" s="162"/>
      <c r="K143" s="161"/>
      <c r="L143" s="161"/>
      <c r="M143" s="169"/>
      <c r="N143" s="163" t="str">
        <f t="shared" si="6"/>
        <v/>
      </c>
      <c r="O143" s="41"/>
      <c r="P143" s="41"/>
      <c r="Q143" s="161"/>
      <c r="R143" s="164"/>
      <c r="S143" s="164"/>
      <c r="T143" s="874" t="str">
        <f>+IF(OR(O143="Blaze Shield II",O143="Cafco 400",O143="Cafco 300"),'CALCULO MORTERO'!N399," ")</f>
        <v xml:space="preserve"> </v>
      </c>
      <c r="U143" s="875" t="str">
        <f>+IF(OR(O143="Blaze Shield II",O143="Cafco 400",O143="Cafco 300"),'CALCULO MORTERO'!O399," ")</f>
        <v xml:space="preserve"> </v>
      </c>
      <c r="V143" s="161" t="str" cm="1">
        <f t="array" ref="V143">_xlfn.IFS(O143="Blaze Shield II",'CALCULO MORTERO'!P144, O143="Cafco 400",'CALCULO MORTERO'!Q144,O143="Cafco 300",'CALCULO MORTERO'!S144, AND(OR(O143="Fire tex 5090", O143="Fire Tex 5062", O143="Fire Tex 5120", O143="Fire Control"),Q143&gt;0), "CERT.",TRUE,"-")</f>
        <v>-</v>
      </c>
      <c r="W143" s="167"/>
      <c r="X143" s="167"/>
    </row>
    <row r="144" spans="1:24" x14ac:dyDescent="0.2">
      <c r="A144" s="903"/>
      <c r="B144" s="907"/>
      <c r="C144" s="874"/>
      <c r="D144" s="874"/>
      <c r="E144" s="874"/>
      <c r="F144" s="905"/>
      <c r="G144" s="874"/>
      <c r="H144" s="874"/>
      <c r="I144" s="906"/>
      <c r="J144" s="162"/>
      <c r="K144" s="161"/>
      <c r="L144" s="161"/>
      <c r="M144" s="169"/>
      <c r="N144" s="163" t="str">
        <f t="shared" si="6"/>
        <v/>
      </c>
      <c r="O144" s="41"/>
      <c r="P144" s="41"/>
      <c r="Q144" s="161"/>
      <c r="R144" s="164"/>
      <c r="S144" s="164"/>
      <c r="T144" s="874" t="str">
        <f>+IF(OR(O144="Blaze Shield II",O144="Cafco 400",O144="Cafco 300"),'CALCULO MORTERO'!N403," ")</f>
        <v xml:space="preserve"> </v>
      </c>
      <c r="U144" s="875" t="str">
        <f>+IF(OR(O144="Blaze Shield II",O144="Cafco 400",O144="Cafco 300"),'CALCULO MORTERO'!O403," ")</f>
        <v xml:space="preserve"> </v>
      </c>
      <c r="V144" s="161" t="str" cm="1">
        <f t="array" ref="V144">_xlfn.IFS(O144="Blaze Shield II",'CALCULO MORTERO'!P145, O144="Cafco 400",'CALCULO MORTERO'!Q145,O144="Cafco 300",'CALCULO MORTERO'!S145, AND(OR(O144="Fire tex 5090", O144="Fire Tex 5062", O144="Fire Tex 5120", O144="Fire Control"),Q144&gt;0), "CERT.",TRUE,"-")</f>
        <v>-</v>
      </c>
      <c r="W144" s="167"/>
      <c r="X144" s="167"/>
    </row>
    <row r="145" spans="1:24" x14ac:dyDescent="0.2">
      <c r="A145" s="903"/>
      <c r="B145" s="907"/>
      <c r="C145" s="874"/>
      <c r="D145" s="874"/>
      <c r="E145" s="874"/>
      <c r="F145" s="905"/>
      <c r="G145" s="874"/>
      <c r="H145" s="874"/>
      <c r="I145" s="906"/>
      <c r="J145" s="162"/>
      <c r="K145" s="161"/>
      <c r="L145" s="161"/>
      <c r="M145" s="169"/>
      <c r="N145" s="163" t="str">
        <f t="shared" si="6"/>
        <v/>
      </c>
      <c r="O145" s="41"/>
      <c r="P145" s="41"/>
      <c r="Q145" s="161"/>
      <c r="R145" s="164"/>
      <c r="S145" s="164"/>
      <c r="T145" s="874" t="str">
        <f>+IF(OR(O145="Blaze Shield II",O145="Cafco 400",O145="Cafco 300"),'CALCULO MORTERO'!N404," ")</f>
        <v xml:space="preserve"> </v>
      </c>
      <c r="U145" s="875" t="str">
        <f>+IF(OR(O145="Blaze Shield II",O145="Cafco 400",O145="Cafco 300"),'CALCULO MORTERO'!O404," ")</f>
        <v xml:space="preserve"> </v>
      </c>
      <c r="V145" s="161" t="str" cm="1">
        <f t="array" ref="V145">_xlfn.IFS(O145="Blaze Shield II",'CALCULO MORTERO'!P146, O145="Cafco 400",'CALCULO MORTERO'!Q146,O145="Cafco 300",'CALCULO MORTERO'!S146, AND(OR(O145="Fire tex 5090", O145="Fire Tex 5062", O145="Fire Tex 5120", O145="Fire Control"),Q145&gt;0), "CERT.",TRUE,"-")</f>
        <v>-</v>
      </c>
      <c r="W145" s="167"/>
      <c r="X145" s="167"/>
    </row>
    <row r="146" spans="1:24" x14ac:dyDescent="0.2">
      <c r="A146" s="903"/>
      <c r="B146" s="907"/>
      <c r="C146" s="874"/>
      <c r="D146" s="874"/>
      <c r="E146" s="874"/>
      <c r="F146" s="905"/>
      <c r="G146" s="874"/>
      <c r="H146" s="874"/>
      <c r="I146" s="906"/>
      <c r="J146" s="162"/>
      <c r="K146" s="161"/>
      <c r="L146" s="161"/>
      <c r="M146" s="169"/>
      <c r="N146" s="163" t="str">
        <f t="shared" si="6"/>
        <v/>
      </c>
      <c r="O146" s="41"/>
      <c r="P146" s="41"/>
      <c r="Q146" s="161"/>
      <c r="R146" s="164"/>
      <c r="S146" s="164"/>
      <c r="T146" s="874" t="str">
        <f>+IF(OR(O146="Blaze Shield II",O146="Cafco 400",O146="Cafco 300"),'CALCULO MORTERO'!N405," ")</f>
        <v xml:space="preserve"> </v>
      </c>
      <c r="U146" s="875" t="str">
        <f>+IF(OR(O146="Blaze Shield II",O146="Cafco 400",O146="Cafco 300"),'CALCULO MORTERO'!O405," ")</f>
        <v xml:space="preserve"> </v>
      </c>
      <c r="V146" s="161" t="str" cm="1">
        <f t="array" ref="V146">_xlfn.IFS(O146="Blaze Shield II",'CALCULO MORTERO'!P147, O146="Cafco 400",'CALCULO MORTERO'!Q147,O146="Cafco 300",'CALCULO MORTERO'!S147, AND(OR(O146="Fire tex 5090", O146="Fire Tex 5062", O146="Fire Tex 5120", O146="Fire Control"),Q146&gt;0), "CERT.",TRUE,"-")</f>
        <v>-</v>
      </c>
      <c r="W146" s="167"/>
      <c r="X146" s="167"/>
    </row>
    <row r="147" spans="1:24" x14ac:dyDescent="0.2">
      <c r="A147" s="903"/>
      <c r="B147" s="907"/>
      <c r="C147" s="874"/>
      <c r="D147" s="874"/>
      <c r="E147" s="874"/>
      <c r="F147" s="905"/>
      <c r="G147" s="874"/>
      <c r="H147" s="874"/>
      <c r="I147" s="906"/>
      <c r="J147" s="162"/>
      <c r="K147" s="161"/>
      <c r="L147" s="161"/>
      <c r="M147" s="169"/>
      <c r="N147" s="163" t="str">
        <f t="shared" si="6"/>
        <v/>
      </c>
      <c r="O147" s="41"/>
      <c r="P147" s="41"/>
      <c r="Q147" s="161"/>
      <c r="R147" s="164"/>
      <c r="S147" s="164"/>
      <c r="T147" s="874" t="str">
        <f>+IF(OR(O147="Blaze Shield II",O147="Cafco 400",O147="Cafco 300"),'CALCULO MORTERO'!N427," ")</f>
        <v xml:space="preserve"> </v>
      </c>
      <c r="U147" s="875" t="str">
        <f>+IF(OR(O147="Blaze Shield II",O147="Cafco 400",O147="Cafco 300"),'CALCULO MORTERO'!O427," ")</f>
        <v xml:space="preserve"> </v>
      </c>
      <c r="V147" s="161" t="str" cm="1">
        <f t="array" ref="V147">_xlfn.IFS(O147="Blaze Shield II",'CALCULO MORTERO'!P148, O147="Cafco 400",'CALCULO MORTERO'!Q148,O147="Cafco 300",'CALCULO MORTERO'!S148, AND(OR(O147="Fire tex 5090", O147="Fire Tex 5062", O147="Fire Tex 5120", O147="Fire Control"),Q147&gt;0), "CERT.",TRUE,"-")</f>
        <v>-</v>
      </c>
      <c r="W147" s="167"/>
      <c r="X147" s="167"/>
    </row>
    <row r="148" spans="1:24" x14ac:dyDescent="0.2">
      <c r="A148" s="903"/>
      <c r="B148" s="904"/>
      <c r="C148" s="874"/>
      <c r="D148" s="874"/>
      <c r="E148" s="905"/>
      <c r="F148" s="905"/>
      <c r="G148" s="874"/>
      <c r="H148" s="874"/>
      <c r="I148" s="906"/>
      <c r="J148" s="162"/>
      <c r="K148" s="161"/>
      <c r="L148" s="161"/>
      <c r="M148" s="169"/>
      <c r="N148" s="163" t="str">
        <f t="shared" si="6"/>
        <v/>
      </c>
      <c r="O148" s="41"/>
      <c r="P148" s="41"/>
      <c r="Q148" s="161"/>
      <c r="R148" s="164"/>
      <c r="S148" s="164"/>
      <c r="T148" s="874" t="str">
        <f>+IF(OR(O148="Blaze Shield II",O148="Cafco 400",O148="Cafco 300"),'CALCULO MORTERO'!N154," ")</f>
        <v xml:space="preserve"> </v>
      </c>
      <c r="U148" s="875" t="str">
        <f>+IF(OR(O148="Blaze Shield II",O148="Cafco 400",O148="Cafco 300"),'CALCULO MORTERO'!O154," ")</f>
        <v xml:space="preserve"> </v>
      </c>
      <c r="V148" s="161" t="str" cm="1">
        <f t="array" ref="V148">_xlfn.IFS(O148="Blaze Shield II",'CALCULO MORTERO'!P149, O148="Cafco 400",'CALCULO MORTERO'!Q149,O148="Cafco 300",'CALCULO MORTERO'!S149, AND(OR(O148="Fire tex 5090", O148="Fire Tex 5062", O148="Fire Tex 5120", O148="Fire Control"),Q148&gt;0), "CERT.",TRUE,"-")</f>
        <v>-</v>
      </c>
      <c r="W148" s="167"/>
      <c r="X148" s="167"/>
    </row>
    <row r="149" spans="1:24" x14ac:dyDescent="0.2">
      <c r="A149" s="903"/>
      <c r="B149" s="904"/>
      <c r="C149" s="874"/>
      <c r="D149" s="874"/>
      <c r="E149" s="905"/>
      <c r="F149" s="905"/>
      <c r="G149" s="874"/>
      <c r="H149" s="874"/>
      <c r="I149" s="906"/>
      <c r="J149" s="162"/>
      <c r="K149" s="161"/>
      <c r="L149" s="161"/>
      <c r="M149" s="169"/>
      <c r="N149" s="163" t="str">
        <f t="shared" si="6"/>
        <v/>
      </c>
      <c r="O149" s="41"/>
      <c r="P149" s="41"/>
      <c r="Q149" s="161"/>
      <c r="R149" s="164"/>
      <c r="S149" s="164"/>
      <c r="T149" s="874" t="str">
        <f>+IF(OR(O149="Blaze Shield II",O149="Cafco 400",O149="Cafco 300"),'CALCULO MORTERO'!N155," ")</f>
        <v xml:space="preserve"> </v>
      </c>
      <c r="U149" s="875" t="str">
        <f>+IF(OR(O149="Blaze Shield II",O149="Cafco 400",O149="Cafco 300"),'CALCULO MORTERO'!O155," ")</f>
        <v xml:space="preserve"> </v>
      </c>
      <c r="V149" s="161" t="str" cm="1">
        <f t="array" ref="V149">_xlfn.IFS(O149="Blaze Shield II",'CALCULO MORTERO'!P150, O149="Cafco 400",'CALCULO MORTERO'!Q150,O149="Cafco 300",'CALCULO MORTERO'!S150, AND(OR(O149="Fire tex 5090", O149="Fire Tex 5062", O149="Fire Tex 5120", O149="Fire Control"),Q149&gt;0), "CERT.",TRUE,"-")</f>
        <v>-</v>
      </c>
      <c r="W149" s="167"/>
      <c r="X149" s="167"/>
    </row>
    <row r="150" spans="1:24" x14ac:dyDescent="0.2">
      <c r="A150" s="903"/>
      <c r="B150" s="904"/>
      <c r="C150" s="874"/>
      <c r="D150" s="874"/>
      <c r="E150" s="905"/>
      <c r="F150" s="905"/>
      <c r="G150" s="874"/>
      <c r="H150" s="874"/>
      <c r="I150" s="906"/>
      <c r="J150" s="162"/>
      <c r="K150" s="161"/>
      <c r="L150" s="161"/>
      <c r="M150" s="169"/>
      <c r="N150" s="163" t="str">
        <f t="shared" si="6"/>
        <v/>
      </c>
      <c r="O150" s="41"/>
      <c r="P150" s="41"/>
      <c r="Q150" s="161"/>
      <c r="R150" s="164"/>
      <c r="S150" s="164"/>
      <c r="T150" s="874" t="str">
        <f>+IF(OR(O150="Blaze Shield II",O150="Cafco 400",O150="Cafco 300"),'CALCULO MORTERO'!N156," ")</f>
        <v xml:space="preserve"> </v>
      </c>
      <c r="U150" s="875" t="str">
        <f>+IF(OR(O150="Blaze Shield II",O150="Cafco 400",O150="Cafco 300"),'CALCULO MORTERO'!O156," ")</f>
        <v xml:space="preserve"> </v>
      </c>
      <c r="V150" s="161" t="str" cm="1">
        <f t="array" ref="V150">_xlfn.IFS(O150="Blaze Shield II",'CALCULO MORTERO'!P151, O150="Cafco 400",'CALCULO MORTERO'!Q151,O150="Cafco 300",'CALCULO MORTERO'!S151, AND(OR(O150="Fire tex 5090", O150="Fire Tex 5062", O150="Fire Tex 5120", O150="Fire Control"),Q150&gt;0), "CERT.",TRUE,"-")</f>
        <v>-</v>
      </c>
      <c r="W150" s="167"/>
      <c r="X150" s="167"/>
    </row>
    <row r="151" spans="1:24" x14ac:dyDescent="0.2">
      <c r="A151" s="903"/>
      <c r="B151" s="904"/>
      <c r="C151" s="874"/>
      <c r="D151" s="874"/>
      <c r="E151" s="905"/>
      <c r="F151" s="905"/>
      <c r="G151" s="874"/>
      <c r="H151" s="874"/>
      <c r="I151" s="906"/>
      <c r="J151" s="162"/>
      <c r="K151" s="161"/>
      <c r="L151" s="161"/>
      <c r="M151" s="169"/>
      <c r="N151" s="163" t="str">
        <f t="shared" si="6"/>
        <v/>
      </c>
      <c r="O151" s="41"/>
      <c r="P151" s="41"/>
      <c r="Q151" s="161"/>
      <c r="R151" s="164"/>
      <c r="S151" s="164"/>
      <c r="T151" s="874" t="str">
        <f>+IF(OR(O151="Blaze Shield II",O151="Cafco 400",O151="Cafco 300"),'CALCULO MORTERO'!N157," ")</f>
        <v xml:space="preserve"> </v>
      </c>
      <c r="U151" s="875" t="str">
        <f>+IF(OR(O151="Blaze Shield II",O151="Cafco 400",O151="Cafco 300"),'CALCULO MORTERO'!O157," ")</f>
        <v xml:space="preserve"> </v>
      </c>
      <c r="V151" s="161" t="str" cm="1">
        <f t="array" ref="V151">_xlfn.IFS(O151="Blaze Shield II",'CALCULO MORTERO'!P152, O151="Cafco 400",'CALCULO MORTERO'!Q152,O151="Cafco 300",'CALCULO MORTERO'!S152, AND(OR(O151="Fire tex 5090", O151="Fire Tex 5062", O151="Fire Tex 5120", O151="Fire Control"),Q151&gt;0), "CERT.",TRUE,"-")</f>
        <v>-</v>
      </c>
      <c r="W151" s="167"/>
      <c r="X151" s="167"/>
    </row>
    <row r="152" spans="1:24" x14ac:dyDescent="0.2">
      <c r="A152" s="903"/>
      <c r="B152" s="904"/>
      <c r="C152" s="874"/>
      <c r="D152" s="874"/>
      <c r="E152" s="905"/>
      <c r="F152" s="905"/>
      <c r="G152" s="874"/>
      <c r="H152" s="874"/>
      <c r="I152" s="906"/>
      <c r="J152" s="162"/>
      <c r="K152" s="161"/>
      <c r="L152" s="161"/>
      <c r="M152" s="169"/>
      <c r="N152" s="163" t="str">
        <f t="shared" si="6"/>
        <v/>
      </c>
      <c r="O152" s="41"/>
      <c r="P152" s="41"/>
      <c r="Q152" s="161"/>
      <c r="R152" s="164"/>
      <c r="S152" s="164"/>
      <c r="T152" s="874" t="str">
        <f>+IF(OR(O152="Blaze Shield II",O152="Cafco 400",O152="Cafco 300"),'CALCULO MORTERO'!N158," ")</f>
        <v xml:space="preserve"> </v>
      </c>
      <c r="U152" s="875" t="str">
        <f>+IF(OR(O152="Blaze Shield II",O152="Cafco 400",O152="Cafco 300"),'CALCULO MORTERO'!O158," ")</f>
        <v xml:space="preserve"> </v>
      </c>
      <c r="V152" s="161" t="str" cm="1">
        <f t="array" ref="V152">_xlfn.IFS(O152="Blaze Shield II",'CALCULO MORTERO'!P153, O152="Cafco 400",'CALCULO MORTERO'!Q153,O152="Cafco 300",'CALCULO MORTERO'!S153, AND(OR(O152="Fire tex 5090", O152="Fire Tex 5062", O152="Fire Tex 5120", O152="Fire Control"),Q152&gt;0), "CERT.",TRUE,"-")</f>
        <v>-</v>
      </c>
      <c r="W152" s="167"/>
      <c r="X152" s="167"/>
    </row>
    <row r="153" spans="1:24" x14ac:dyDescent="0.2">
      <c r="A153" s="903"/>
      <c r="B153" s="904"/>
      <c r="C153" s="874"/>
      <c r="D153" s="874"/>
      <c r="E153" s="905"/>
      <c r="F153" s="905"/>
      <c r="G153" s="874"/>
      <c r="H153" s="874"/>
      <c r="I153" s="906"/>
      <c r="J153" s="162"/>
      <c r="K153" s="161"/>
      <c r="L153" s="161"/>
      <c r="M153" s="169"/>
      <c r="N153" s="163" t="str">
        <f t="shared" si="6"/>
        <v/>
      </c>
      <c r="O153" s="41"/>
      <c r="P153" s="41"/>
      <c r="Q153" s="161" t="str">
        <f>+IF(OR(O153="Fire Control",O153="Fire Tex 5062",O153="Fire Tex 5090",O153="Fire Tex 5120"),'CALCULO PINTURA'!P154," ")</f>
        <v xml:space="preserve"> </v>
      </c>
      <c r="R153" s="164" t="str">
        <f>+IF(OR(O153="Fire Control",O153="Fire Tex 5062",O153="Fire Tex 5090",O153="Fire Tex 5120"),'CALCULO PINTURA'!R154," ")</f>
        <v xml:space="preserve"> </v>
      </c>
      <c r="S153" s="164" t="str">
        <f>+IF(OR(O153="Fire Control",O153="Fire Tex 5062",O153="Fire Tex 5090",O153="Fire Tex 5120"),'CALCULO PINTURA'!S154," ")</f>
        <v xml:space="preserve"> </v>
      </c>
      <c r="T153" s="874" t="str">
        <f>+IF(OR(O153="Blaze Shield II",O153="Cafco 400",O153="Cafco 300"),'CALCULO MORTERO'!N159," ")</f>
        <v xml:space="preserve"> </v>
      </c>
      <c r="U153" s="875" t="str">
        <f>+IF(OR(O153="Blaze Shield II",O153="Cafco 400",O153="Cafco 300"),'CALCULO MORTERO'!O159," ")</f>
        <v xml:space="preserve"> </v>
      </c>
      <c r="V153" s="161" t="str" cm="1">
        <f t="array" ref="V153">_xlfn.IFS(O153="Blaze Shield II",'CALCULO MORTERO'!P154, O153="Cafco 400",'CALCULO MORTERO'!Q154,O153="Cafco 300",'CALCULO MORTERO'!S154, AND(OR(O153="Fire tex 5090", O153="Fire Tex 5062", O153="Fire Tex 5120", O153="Fire Control"),Q153&gt;0), "CERT.",TRUE,"-")</f>
        <v>-</v>
      </c>
      <c r="W153" s="167"/>
      <c r="X153" s="167"/>
    </row>
    <row r="154" spans="1:24" x14ac:dyDescent="0.2">
      <c r="A154" s="903"/>
      <c r="B154" s="904"/>
      <c r="C154" s="874"/>
      <c r="D154" s="874"/>
      <c r="E154" s="905"/>
      <c r="F154" s="905"/>
      <c r="G154" s="874"/>
      <c r="H154" s="874"/>
      <c r="I154" s="906"/>
      <c r="J154" s="162"/>
      <c r="K154" s="161"/>
      <c r="L154" s="161"/>
      <c r="M154" s="169"/>
      <c r="N154" s="163" t="str">
        <f t="shared" si="6"/>
        <v/>
      </c>
      <c r="O154" s="41"/>
      <c r="P154" s="41"/>
      <c r="Q154" s="161" t="str">
        <f>+IF(OR(O154="Fire Control",O154="Fire Tex 5062",O154="Fire Tex 5090",O154="Fire Tex 5120"),'CALCULO PINTURA'!P155," ")</f>
        <v xml:space="preserve"> </v>
      </c>
      <c r="R154" s="164" t="str">
        <f>+IF(OR(O154="Fire Control",O154="Fire Tex 5062",O154="Fire Tex 5090",O154="Fire Tex 5120"),'CALCULO PINTURA'!R155," ")</f>
        <v xml:space="preserve"> </v>
      </c>
      <c r="S154" s="164" t="str">
        <f>+IF(OR(O154="Fire Control",O154="Fire Tex 5062",O154="Fire Tex 5090",O154="Fire Tex 5120"),'CALCULO PINTURA'!S155," ")</f>
        <v xml:space="preserve"> </v>
      </c>
      <c r="T154" s="874" t="str">
        <f>+IF(OR(O154="Blaze Shield II",O154="Cafco 400",O154="Cafco 300"),'CALCULO MORTERO'!N160," ")</f>
        <v xml:space="preserve"> </v>
      </c>
      <c r="U154" s="875" t="str">
        <f>+IF(OR(O154="Blaze Shield II",O154="Cafco 400",O154="Cafco 300"),'CALCULO MORTERO'!O160," ")</f>
        <v xml:space="preserve"> </v>
      </c>
      <c r="V154" s="161" t="str" cm="1">
        <f t="array" ref="V154">_xlfn.IFS(O154="Blaze Shield II",'CALCULO MORTERO'!P155, O154="Cafco 400",'CALCULO MORTERO'!Q155,O154="Cafco 300",'CALCULO MORTERO'!S155, AND(OR(O154="Fire tex 5090", O154="Fire Tex 5062", O154="Fire Tex 5120", O154="Fire Control"),Q154&gt;0), "CERT.",TRUE,"-")</f>
        <v>-</v>
      </c>
      <c r="W154" s="167"/>
      <c r="X154" s="167"/>
    </row>
    <row r="155" spans="1:24" x14ac:dyDescent="0.2">
      <c r="A155" s="903"/>
      <c r="B155" s="904"/>
      <c r="C155" s="874"/>
      <c r="D155" s="874"/>
      <c r="E155" s="905"/>
      <c r="F155" s="905"/>
      <c r="G155" s="874"/>
      <c r="H155" s="874"/>
      <c r="I155" s="906"/>
      <c r="J155" s="162"/>
      <c r="K155" s="161"/>
      <c r="L155" s="161"/>
      <c r="M155" s="169"/>
      <c r="N155" s="163" t="str">
        <f t="shared" si="6"/>
        <v/>
      </c>
      <c r="O155" s="41"/>
      <c r="P155" s="41"/>
      <c r="Q155" s="161" t="str">
        <f>+IF(OR(O155="Fire Control",O155="Fire Tex 5062",O155="Fire Tex 5090",O155="Fire Tex 5120"),'CALCULO PINTURA'!P156," ")</f>
        <v xml:space="preserve"> </v>
      </c>
      <c r="R155" s="164" t="str">
        <f>+IF(OR(O155="Fire Control",O155="Fire Tex 5062",O155="Fire Tex 5090",O155="Fire Tex 5120"),'CALCULO PINTURA'!R156," ")</f>
        <v xml:space="preserve"> </v>
      </c>
      <c r="S155" s="164" t="str">
        <f>+IF(OR(O155="Fire Control",O155="Fire Tex 5062",O155="Fire Tex 5090",O155="Fire Tex 5120"),'CALCULO PINTURA'!S156," ")</f>
        <v xml:space="preserve"> </v>
      </c>
      <c r="T155" s="874" t="str">
        <f>+IF(OR(O155="Blaze Shield II",O155="Cafco 400",O155="Cafco 300"),'CALCULO MORTERO'!N161," ")</f>
        <v xml:space="preserve"> </v>
      </c>
      <c r="U155" s="875" t="str">
        <f>+IF(OR(O155="Blaze Shield II",O155="Cafco 400",O155="Cafco 300"),'CALCULO MORTERO'!O161," ")</f>
        <v xml:space="preserve"> </v>
      </c>
      <c r="V155" s="161" t="str" cm="1">
        <f t="array" ref="V155">_xlfn.IFS(O155="Blaze Shield II",'CALCULO MORTERO'!P156, O155="Cafco 400",'CALCULO MORTERO'!Q156,O155="Cafco 300",'CALCULO MORTERO'!S156, AND(OR(O155="Fire tex 5090", O155="Fire Tex 5062", O155="Fire Tex 5120", O155="Fire Control"),Q155&gt;0), "CERT.",TRUE,"-")</f>
        <v>-</v>
      </c>
      <c r="W155" s="167"/>
      <c r="X155" s="167"/>
    </row>
    <row r="156" spans="1:24" x14ac:dyDescent="0.2">
      <c r="A156" s="903"/>
      <c r="B156" s="904"/>
      <c r="C156" s="874"/>
      <c r="D156" s="874"/>
      <c r="E156" s="905"/>
      <c r="F156" s="905"/>
      <c r="G156" s="874"/>
      <c r="H156" s="874"/>
      <c r="I156" s="906"/>
      <c r="J156" s="162"/>
      <c r="K156" s="161"/>
      <c r="L156" s="161"/>
      <c r="M156" s="169"/>
      <c r="N156" s="163" t="str">
        <f t="shared" si="6"/>
        <v/>
      </c>
      <c r="O156" s="41"/>
      <c r="P156" s="41"/>
      <c r="Q156" s="161" t="str">
        <f>+IF(OR(O156="Fire Control",O156="Fire Tex 5062",O156="Fire Tex 5090",O156="Fire Tex 5120"),'CALCULO PINTURA'!P157," ")</f>
        <v xml:space="preserve"> </v>
      </c>
      <c r="R156" s="164" t="str">
        <f>+IF(OR(O156="Fire Control",O156="Fire Tex 5062",O156="Fire Tex 5090",O156="Fire Tex 5120"),'CALCULO PINTURA'!R157," ")</f>
        <v xml:space="preserve"> </v>
      </c>
      <c r="S156" s="164" t="str">
        <f>+IF(OR(O156="Fire Control",O156="Fire Tex 5062",O156="Fire Tex 5090",O156="Fire Tex 5120"),'CALCULO PINTURA'!S157," ")</f>
        <v xml:space="preserve"> </v>
      </c>
      <c r="T156" s="874" t="str">
        <f>+IF(OR(O156="Blaze Shield II",O156="Cafco 400",O156="Cafco 300"),'CALCULO MORTERO'!N162," ")</f>
        <v xml:space="preserve"> </v>
      </c>
      <c r="U156" s="875" t="str">
        <f>+IF(OR(O156="Blaze Shield II",O156="Cafco 400",O156="Cafco 300"),'CALCULO MORTERO'!O162," ")</f>
        <v xml:space="preserve"> </v>
      </c>
      <c r="V156" s="161" t="str" cm="1">
        <f t="array" ref="V156">_xlfn.IFS(O156="Blaze Shield II",'CALCULO MORTERO'!P157, O156="Cafco 400",'CALCULO MORTERO'!Q157,O156="Cafco 300",'CALCULO MORTERO'!S157, AND(OR(O156="Fire tex 5090", O156="Fire Tex 5062", O156="Fire Tex 5120", O156="Fire Control"),Q156&gt;0), "CERT.",TRUE,"-")</f>
        <v>-</v>
      </c>
      <c r="W156" s="167"/>
      <c r="X156" s="167"/>
    </row>
    <row r="157" spans="1:24" x14ac:dyDescent="0.2">
      <c r="A157" s="903"/>
      <c r="B157" s="904"/>
      <c r="C157" s="874"/>
      <c r="D157" s="874"/>
      <c r="E157" s="905"/>
      <c r="F157" s="905"/>
      <c r="G157" s="874"/>
      <c r="H157" s="874"/>
      <c r="I157" s="906"/>
      <c r="J157" s="162"/>
      <c r="K157" s="161"/>
      <c r="L157" s="161"/>
      <c r="M157" s="169"/>
      <c r="N157" s="163" t="str">
        <f t="shared" si="6"/>
        <v/>
      </c>
      <c r="O157" s="41"/>
      <c r="P157" s="41"/>
      <c r="Q157" s="161" t="str">
        <f>+IF(OR(O157="Fire Control",O157="Fire Tex 5062",O157="Fire Tex 5090",O157="Fire Tex 5120"),'CALCULO PINTURA'!P158," ")</f>
        <v xml:space="preserve"> </v>
      </c>
      <c r="R157" s="164" t="str">
        <f>+IF(OR(O157="Fire Control",O157="Fire Tex 5062",O157="Fire Tex 5090",O157="Fire Tex 5120"),'CALCULO PINTURA'!R158," ")</f>
        <v xml:space="preserve"> </v>
      </c>
      <c r="S157" s="164" t="str">
        <f>+IF(OR(O157="Fire Control",O157="Fire Tex 5062",O157="Fire Tex 5090",O157="Fire Tex 5120"),'CALCULO PINTURA'!S158," ")</f>
        <v xml:space="preserve"> </v>
      </c>
      <c r="T157" s="874" t="str">
        <f>+IF(OR(O157="Blaze Shield II",O157="Cafco 400",O157="Cafco 300"),'CALCULO MORTERO'!N163," ")</f>
        <v xml:space="preserve"> </v>
      </c>
      <c r="U157" s="875" t="str">
        <f>+IF(OR(O157="Blaze Shield II",O157="Cafco 400",O157="Cafco 300"),'CALCULO MORTERO'!O163," ")</f>
        <v xml:space="preserve"> </v>
      </c>
      <c r="V157" s="161" t="str" cm="1">
        <f t="array" ref="V157">_xlfn.IFS(O157="Blaze Shield II",'CALCULO MORTERO'!P158, O157="Cafco 400",'CALCULO MORTERO'!Q158,O157="Cafco 300",'CALCULO MORTERO'!S158, AND(OR(O157="Fire tex 5090", O157="Fire Tex 5062", O157="Fire Tex 5120", O157="Fire Control"),Q157&gt;0), "CERT.",TRUE,"-")</f>
        <v>-</v>
      </c>
      <c r="W157" s="167"/>
      <c r="X157" s="167"/>
    </row>
    <row r="158" spans="1:24" x14ac:dyDescent="0.2">
      <c r="A158" s="903"/>
      <c r="B158" s="907"/>
      <c r="C158" s="874"/>
      <c r="D158" s="874"/>
      <c r="E158" s="874"/>
      <c r="F158" s="905"/>
      <c r="G158" s="874"/>
      <c r="H158" s="874"/>
      <c r="I158" s="906"/>
      <c r="J158" s="162"/>
      <c r="K158" s="161"/>
      <c r="L158" s="161"/>
      <c r="M158" s="169"/>
      <c r="N158" s="163" t="str">
        <f t="shared" si="6"/>
        <v/>
      </c>
      <c r="O158" s="41"/>
      <c r="P158" s="41"/>
      <c r="Q158" s="161" t="str">
        <f>+IF(OR(O158="Fire Control",O158="Fire Tex 5062",O158="Fire Tex 5090",O158="Fire Tex 5120"),'CALCULO PINTURA'!P423," ")</f>
        <v xml:space="preserve"> </v>
      </c>
      <c r="R158" s="164" t="str">
        <f>+IF(OR(O158="Fire Control",O158="Fire Tex 5062",O158="Fire Tex 5090",O158="Fire Tex 5120"),'CALCULO PINTURA'!R423," ")</f>
        <v xml:space="preserve"> </v>
      </c>
      <c r="S158" s="164" t="str">
        <f>+IF(OR(O158="Fire Control",O158="Fire Tex 5062",O158="Fire Tex 5090",O158="Fire Tex 5120"),'CALCULO PINTURA'!S423," ")</f>
        <v xml:space="preserve"> </v>
      </c>
      <c r="T158" s="874" t="str">
        <f>+IF(OR(O158="Blaze Shield II",O158="Cafco 400",O158="Cafco 300"),'CALCULO MORTERO'!N428," ")</f>
        <v xml:space="preserve"> </v>
      </c>
      <c r="U158" s="875" t="str">
        <f>+IF(OR(O158="Blaze Shield II",O158="Cafco 400",O158="Cafco 300"),'CALCULO MORTERO'!O428," ")</f>
        <v xml:space="preserve"> </v>
      </c>
      <c r="V158" s="161" t="str" cm="1">
        <f t="array" ref="V158">_xlfn.IFS(O158="Blaze Shield II",'CALCULO MORTERO'!P159, O158="Cafco 400",'CALCULO MORTERO'!Q159,O158="Cafco 300",'CALCULO MORTERO'!S159, AND(OR(O158="Fire tex 5090", O158="Fire Tex 5062", O158="Fire Tex 5120", O158="Fire Control"),Q158&gt;0), "CERT.",TRUE,"-")</f>
        <v>-</v>
      </c>
      <c r="W158" s="167"/>
      <c r="X158" s="167"/>
    </row>
    <row r="159" spans="1:24" x14ac:dyDescent="0.2">
      <c r="A159" s="903"/>
      <c r="B159" s="907"/>
      <c r="C159" s="874"/>
      <c r="D159" s="874"/>
      <c r="E159" s="874"/>
      <c r="F159" s="905"/>
      <c r="G159" s="874"/>
      <c r="H159" s="874"/>
      <c r="I159" s="906"/>
      <c r="J159" s="162"/>
      <c r="K159" s="161"/>
      <c r="L159" s="161"/>
      <c r="M159" s="169"/>
      <c r="N159" s="163" t="str">
        <f t="shared" si="6"/>
        <v/>
      </c>
      <c r="O159" s="41"/>
      <c r="P159" s="41"/>
      <c r="Q159" s="161" t="str">
        <f>+IF(OR(O159="Fire Control",O159="Fire Tex 5062",O159="Fire Tex 5090",O159="Fire Tex 5120"),'CALCULO PINTURA'!P424," ")</f>
        <v xml:space="preserve"> </v>
      </c>
      <c r="R159" s="164" t="str">
        <f>+IF(OR(O159="Fire Control",O159="Fire Tex 5062",O159="Fire Tex 5090",O159="Fire Tex 5120"),'CALCULO PINTURA'!R424," ")</f>
        <v xml:space="preserve"> </v>
      </c>
      <c r="S159" s="164" t="str">
        <f>+IF(OR(O159="Fire Control",O159="Fire Tex 5062",O159="Fire Tex 5090",O159="Fire Tex 5120"),'CALCULO PINTURA'!S424," ")</f>
        <v xml:space="preserve"> </v>
      </c>
      <c r="T159" s="874" t="str">
        <f>+IF(OR(O159="Blaze Shield II",O159="Cafco 400",O159="Cafco 300"),'CALCULO MORTERO'!N429," ")</f>
        <v xml:space="preserve"> </v>
      </c>
      <c r="U159" s="875" t="str">
        <f>+IF(OR(O159="Blaze Shield II",O159="Cafco 400",O159="Cafco 300"),'CALCULO MORTERO'!O429," ")</f>
        <v xml:space="preserve"> </v>
      </c>
      <c r="V159" s="161" t="str" cm="1">
        <f t="array" ref="V159">_xlfn.IFS(O159="Blaze Shield II",'CALCULO MORTERO'!P160, O159="Cafco 400",'CALCULO MORTERO'!Q160,O159="Cafco 300",'CALCULO MORTERO'!S160, AND(OR(O159="Fire tex 5090", O159="Fire Tex 5062", O159="Fire Tex 5120", O159="Fire Control"),Q159&gt;0), "CERT.",TRUE,"-")</f>
        <v>-</v>
      </c>
      <c r="W159" s="167"/>
      <c r="X159" s="167"/>
    </row>
    <row r="160" spans="1:24" x14ac:dyDescent="0.2">
      <c r="A160" s="903"/>
      <c r="B160" s="907"/>
      <c r="C160" s="874"/>
      <c r="D160" s="874"/>
      <c r="E160" s="874"/>
      <c r="F160" s="905"/>
      <c r="G160" s="874"/>
      <c r="H160" s="874"/>
      <c r="I160" s="906"/>
      <c r="J160" s="162"/>
      <c r="K160" s="161"/>
      <c r="L160" s="161"/>
      <c r="M160" s="169"/>
      <c r="N160" s="163" t="str">
        <f t="shared" si="6"/>
        <v/>
      </c>
      <c r="O160" s="41"/>
      <c r="P160" s="41"/>
      <c r="Q160" s="161" t="str">
        <f>+IF(OR(O160="Fire Control",O160="Fire Tex 5062",O160="Fire Tex 5090",O160="Fire Tex 5120"),'CALCULO PINTURA'!P425," ")</f>
        <v xml:space="preserve"> </v>
      </c>
      <c r="R160" s="164" t="str">
        <f>+IF(OR(O160="Fire Control",O160="Fire Tex 5062",O160="Fire Tex 5090",O160="Fire Tex 5120"),'CALCULO PINTURA'!R425," ")</f>
        <v xml:space="preserve"> </v>
      </c>
      <c r="S160" s="164" t="str">
        <f>+IF(OR(O160="Fire Control",O160="Fire Tex 5062",O160="Fire Tex 5090",O160="Fire Tex 5120"),'CALCULO PINTURA'!S425," ")</f>
        <v xml:space="preserve"> </v>
      </c>
      <c r="T160" s="874" t="str">
        <f>+IF(OR(O160="Blaze Shield II",O160="Cafco 400",O160="Cafco 300"),'CALCULO MORTERO'!N430," ")</f>
        <v xml:space="preserve"> </v>
      </c>
      <c r="U160" s="875" t="str">
        <f>+IF(OR(O160="Blaze Shield II",O160="Cafco 400",O160="Cafco 300"),'CALCULO MORTERO'!O430," ")</f>
        <v xml:space="preserve"> </v>
      </c>
      <c r="V160" s="161" t="str" cm="1">
        <f t="array" ref="V160">_xlfn.IFS(O160="Blaze Shield II",'CALCULO MORTERO'!P161, O160="Cafco 400",'CALCULO MORTERO'!Q161,O160="Cafco 300",'CALCULO MORTERO'!S161, AND(OR(O160="Fire tex 5090", O160="Fire Tex 5062", O160="Fire Tex 5120", O160="Fire Control"),Q160&gt;0), "CERT.",TRUE,"-")</f>
        <v>-</v>
      </c>
      <c r="W160" s="167"/>
      <c r="X160" s="167"/>
    </row>
    <row r="161" spans="1:24" x14ac:dyDescent="0.2">
      <c r="A161" s="903"/>
      <c r="B161" s="907"/>
      <c r="C161" s="874"/>
      <c r="D161" s="874"/>
      <c r="E161" s="874"/>
      <c r="F161" s="905"/>
      <c r="G161" s="874"/>
      <c r="H161" s="874"/>
      <c r="I161" s="906"/>
      <c r="J161" s="162"/>
      <c r="K161" s="161"/>
      <c r="L161" s="161"/>
      <c r="M161" s="169"/>
      <c r="N161" s="163" t="str">
        <f t="shared" si="6"/>
        <v/>
      </c>
      <c r="O161" s="41"/>
      <c r="P161" s="41"/>
      <c r="Q161" s="161" t="str">
        <f>+IF(OR(O161="Fire Control",O161="Fire Tex 5062",O161="Fire Tex 5090",O161="Fire Tex 5120"),'CALCULO PINTURA'!P426," ")</f>
        <v xml:space="preserve"> </v>
      </c>
      <c r="R161" s="164" t="str">
        <f>+IF(OR(O161="Fire Control",O161="Fire Tex 5062",O161="Fire Tex 5090",O161="Fire Tex 5120"),'CALCULO PINTURA'!R426," ")</f>
        <v xml:space="preserve"> </v>
      </c>
      <c r="S161" s="164" t="str">
        <f>+IF(OR(O161="Fire Control",O161="Fire Tex 5062",O161="Fire Tex 5090",O161="Fire Tex 5120"),'CALCULO PINTURA'!S426," ")</f>
        <v xml:space="preserve"> </v>
      </c>
      <c r="T161" s="874" t="str">
        <f>+IF(OR(O161="Blaze Shield II",O161="Cafco 400",O161="Cafco 300"),'CALCULO MORTERO'!N431," ")</f>
        <v xml:space="preserve"> </v>
      </c>
      <c r="U161" s="875" t="str">
        <f>+IF(OR(O161="Blaze Shield II",O161="Cafco 400",O161="Cafco 300"),'CALCULO MORTERO'!O431," ")</f>
        <v xml:space="preserve"> </v>
      </c>
      <c r="V161" s="161" t="str" cm="1">
        <f t="array" ref="V161">_xlfn.IFS(O161="Blaze Shield II",'CALCULO MORTERO'!P162, O161="Cafco 400",'CALCULO MORTERO'!Q162,O161="Cafco 300",'CALCULO MORTERO'!S162, AND(OR(O161="Fire tex 5090", O161="Fire Tex 5062", O161="Fire Tex 5120", O161="Fire Control"),Q161&gt;0), "CERT.",TRUE,"-")</f>
        <v>-</v>
      </c>
      <c r="W161" s="167"/>
      <c r="X161" s="167"/>
    </row>
    <row r="162" spans="1:24" x14ac:dyDescent="0.2">
      <c r="A162" s="903"/>
      <c r="B162" s="907"/>
      <c r="C162" s="874"/>
      <c r="D162" s="874"/>
      <c r="E162" s="874"/>
      <c r="F162" s="905"/>
      <c r="G162" s="874"/>
      <c r="H162" s="874"/>
      <c r="I162" s="906"/>
      <c r="J162" s="162"/>
      <c r="K162" s="161"/>
      <c r="L162" s="161"/>
      <c r="M162" s="169"/>
      <c r="N162" s="163" t="str">
        <f t="shared" si="6"/>
        <v/>
      </c>
      <c r="O162" s="41"/>
      <c r="P162" s="41"/>
      <c r="Q162" s="161" t="str">
        <f>+IF(OR(O162="Fire Control",O162="Fire Tex 5062",O162="Fire Tex 5090",O162="Fire Tex 5120"),'CALCULO PINTURA'!P427," ")</f>
        <v xml:space="preserve"> </v>
      </c>
      <c r="R162" s="164" t="str">
        <f>+IF(OR(O162="Fire Control",O162="Fire Tex 5062",O162="Fire Tex 5090",O162="Fire Tex 5120"),'CALCULO PINTURA'!R427," ")</f>
        <v xml:space="preserve"> </v>
      </c>
      <c r="S162" s="164" t="str">
        <f>+IF(OR(O162="Fire Control",O162="Fire Tex 5062",O162="Fire Tex 5090",O162="Fire Tex 5120"),'CALCULO PINTURA'!S427," ")</f>
        <v xml:space="preserve"> </v>
      </c>
      <c r="T162" s="874" t="str">
        <f>+IF(OR(O162="Blaze Shield II",O162="Cafco 400",O162="Cafco 300"),'CALCULO MORTERO'!N432," ")</f>
        <v xml:space="preserve"> </v>
      </c>
      <c r="U162" s="875" t="str">
        <f>+IF(OR(O162="Blaze Shield II",O162="Cafco 400",O162="Cafco 300"),'CALCULO MORTERO'!O432," ")</f>
        <v xml:space="preserve"> </v>
      </c>
      <c r="V162" s="161" t="str" cm="1">
        <f t="array" ref="V162">_xlfn.IFS(O162="Blaze Shield II",'CALCULO MORTERO'!P163, O162="Cafco 400",'CALCULO MORTERO'!Q163,O162="Cafco 300",'CALCULO MORTERO'!S163, AND(OR(O162="Fire tex 5090", O162="Fire Tex 5062", O162="Fire Tex 5120", O162="Fire Control"),Q162&gt;0), "CERT.",TRUE,"-")</f>
        <v>-</v>
      </c>
      <c r="W162" s="167"/>
      <c r="X162" s="167"/>
    </row>
    <row r="163" spans="1:24" x14ac:dyDescent="0.2">
      <c r="A163" s="903"/>
      <c r="B163" s="907"/>
      <c r="C163" s="874"/>
      <c r="D163" s="874"/>
      <c r="E163" s="874"/>
      <c r="F163" s="905"/>
      <c r="G163" s="874"/>
      <c r="H163" s="874"/>
      <c r="I163" s="906"/>
      <c r="J163" s="162"/>
      <c r="K163" s="161"/>
      <c r="L163" s="161"/>
      <c r="M163" s="169"/>
      <c r="N163" s="163" t="str">
        <f t="shared" si="6"/>
        <v/>
      </c>
      <c r="O163" s="41"/>
      <c r="P163" s="41"/>
      <c r="Q163" s="161" t="str">
        <f>+IF(OR(O163="Fire Control",O163="Fire Tex 5062",O163="Fire Tex 5090",O163="Fire Tex 5120"),'CALCULO PINTURA'!P429," ")</f>
        <v xml:space="preserve"> </v>
      </c>
      <c r="R163" s="164" t="str">
        <f>+IF(OR(O163="Fire Control",O163="Fire Tex 5062",O163="Fire Tex 5090",O163="Fire Tex 5120"),'CALCULO PINTURA'!R429," ")</f>
        <v xml:space="preserve"> </v>
      </c>
      <c r="S163" s="164" t="str">
        <f>+IF(OR(O163="Fire Control",O163="Fire Tex 5062",O163="Fire Tex 5090",O163="Fire Tex 5120"),'CALCULO PINTURA'!S429," ")</f>
        <v xml:space="preserve"> </v>
      </c>
      <c r="T163" s="874" t="str">
        <f>+IF(OR(O163="Blaze Shield II",O163="Cafco 400",O163="Cafco 300"),'CALCULO MORTERO'!N434," ")</f>
        <v xml:space="preserve"> </v>
      </c>
      <c r="U163" s="875" t="str">
        <f>+IF(OR(O163="Blaze Shield II",O163="Cafco 400",O163="Cafco 300"),'CALCULO MORTERO'!O434," ")</f>
        <v xml:space="preserve"> </v>
      </c>
      <c r="V163" s="161" t="str" cm="1">
        <f t="array" ref="V163">_xlfn.IFS(O163="Blaze Shield II",'CALCULO MORTERO'!P164, O163="Cafco 400",'CALCULO MORTERO'!Q164,O163="Cafco 300",'CALCULO MORTERO'!S164, AND(OR(O163="Fire tex 5090", O163="Fire Tex 5062", O163="Fire Tex 5120", O163="Fire Control"),Q163&gt;0), "CERT.",TRUE,"-")</f>
        <v>-</v>
      </c>
      <c r="W163" s="167"/>
      <c r="X163" s="167"/>
    </row>
    <row r="164" spans="1:24" x14ac:dyDescent="0.2">
      <c r="A164" s="903"/>
      <c r="B164" s="907"/>
      <c r="C164" s="874"/>
      <c r="D164" s="874"/>
      <c r="E164" s="874"/>
      <c r="F164" s="905"/>
      <c r="G164" s="874"/>
      <c r="H164" s="874"/>
      <c r="I164" s="906"/>
      <c r="J164" s="162"/>
      <c r="K164" s="161"/>
      <c r="L164" s="161"/>
      <c r="M164" s="169"/>
      <c r="N164" s="163" t="str">
        <f t="shared" si="6"/>
        <v/>
      </c>
      <c r="O164" s="41"/>
      <c r="P164" s="41"/>
      <c r="Q164" s="161" t="str">
        <f>+IF(OR(O164="Fire Control",O164="Fire Tex 5062",O164="Fire Tex 5090",O164="Fire Tex 5120"),'CALCULO PINTURA'!P430," ")</f>
        <v xml:space="preserve"> </v>
      </c>
      <c r="R164" s="164" t="str">
        <f>+IF(OR(O164="Fire Control",O164="Fire Tex 5062",O164="Fire Tex 5090",O164="Fire Tex 5120"),'CALCULO PINTURA'!R430," ")</f>
        <v xml:space="preserve"> </v>
      </c>
      <c r="S164" s="164" t="str">
        <f>+IF(OR(O164="Fire Control",O164="Fire Tex 5062",O164="Fire Tex 5090",O164="Fire Tex 5120"),'CALCULO PINTURA'!S430," ")</f>
        <v xml:space="preserve"> </v>
      </c>
      <c r="T164" s="874" t="str">
        <f>+IF(OR(O164="Blaze Shield II",O164="Cafco 400",O164="Cafco 300"),'CALCULO MORTERO'!N435," ")</f>
        <v xml:space="preserve"> </v>
      </c>
      <c r="U164" s="875" t="str">
        <f>+IF(OR(O164="Blaze Shield II",O164="Cafco 400",O164="Cafco 300"),'CALCULO MORTERO'!O435," ")</f>
        <v xml:space="preserve"> </v>
      </c>
      <c r="V164" s="161" t="str" cm="1">
        <f t="array" ref="V164">_xlfn.IFS(O164="Blaze Shield II",'CALCULO MORTERO'!P165, O164="Cafco 400",'CALCULO MORTERO'!Q165,O164="Cafco 300",'CALCULO MORTERO'!S165, AND(OR(O164="Fire tex 5090", O164="Fire Tex 5062", O164="Fire Tex 5120", O164="Fire Control"),Q164&gt;0), "CERT.",TRUE,"-")</f>
        <v>-</v>
      </c>
      <c r="W164" s="167"/>
      <c r="X164" s="167"/>
    </row>
    <row r="165" spans="1:24" x14ac:dyDescent="0.2">
      <c r="A165" s="903"/>
      <c r="B165" s="907"/>
      <c r="C165" s="874"/>
      <c r="D165" s="874"/>
      <c r="E165" s="874"/>
      <c r="F165" s="905"/>
      <c r="G165" s="874"/>
      <c r="H165" s="874"/>
      <c r="I165" s="906"/>
      <c r="J165" s="162"/>
      <c r="K165" s="161"/>
      <c r="L165" s="161"/>
      <c r="M165" s="169"/>
      <c r="N165" s="163" t="str">
        <f t="shared" si="6"/>
        <v/>
      </c>
      <c r="O165" s="41"/>
      <c r="P165" s="41"/>
      <c r="Q165" s="161" t="str">
        <f>+IF(OR(O165="Fire Control",O165="Fire Tex 5062",O165="Fire Tex 5090",O165="Fire Tex 5120"),'CALCULO PINTURA'!P431," ")</f>
        <v xml:space="preserve"> </v>
      </c>
      <c r="R165" s="164" t="str">
        <f>+IF(OR(O165="Fire Control",O165="Fire Tex 5062",O165="Fire Tex 5090",O165="Fire Tex 5120"),'CALCULO PINTURA'!R431," ")</f>
        <v xml:space="preserve"> </v>
      </c>
      <c r="S165" s="164" t="str">
        <f>+IF(OR(O165="Fire Control",O165="Fire Tex 5062",O165="Fire Tex 5090",O165="Fire Tex 5120"),'CALCULO PINTURA'!S431," ")</f>
        <v xml:space="preserve"> </v>
      </c>
      <c r="T165" s="874" t="str">
        <f>+IF(OR(O165="Blaze Shield II",O165="Cafco 400",O165="Cafco 300"),'CALCULO MORTERO'!N436," ")</f>
        <v xml:space="preserve"> </v>
      </c>
      <c r="U165" s="875" t="str">
        <f>+IF(OR(O165="Blaze Shield II",O165="Cafco 400",O165="Cafco 300"),'CALCULO MORTERO'!O436," ")</f>
        <v xml:space="preserve"> </v>
      </c>
      <c r="V165" s="161" t="str" cm="1">
        <f t="array" ref="V165">_xlfn.IFS(O165="Blaze Shield II",'CALCULO MORTERO'!P166, O165="Cafco 400",'CALCULO MORTERO'!Q166,O165="Cafco 300",'CALCULO MORTERO'!S166, AND(OR(O165="Fire tex 5090", O165="Fire Tex 5062", O165="Fire Tex 5120", O165="Fire Control"),Q165&gt;0), "CERT.",TRUE,"-")</f>
        <v>-</v>
      </c>
      <c r="W165" s="167"/>
      <c r="X165" s="167"/>
    </row>
    <row r="166" spans="1:24" x14ac:dyDescent="0.2">
      <c r="A166" s="903"/>
      <c r="B166" s="907"/>
      <c r="C166" s="874"/>
      <c r="D166" s="874"/>
      <c r="E166" s="874"/>
      <c r="F166" s="905"/>
      <c r="G166" s="874"/>
      <c r="H166" s="874"/>
      <c r="I166" s="906"/>
      <c r="J166" s="162"/>
      <c r="K166" s="161"/>
      <c r="L166" s="161"/>
      <c r="M166" s="169"/>
      <c r="N166" s="163" t="str">
        <f t="shared" si="6"/>
        <v/>
      </c>
      <c r="O166" s="41"/>
      <c r="P166" s="41"/>
      <c r="Q166" s="161" t="str">
        <f>+IF(OR(O166="Fire Control",O166="Fire Tex 5062",O166="Fire Tex 5090",O166="Fire Tex 5120"),'CALCULO PINTURA'!P432," ")</f>
        <v xml:space="preserve"> </v>
      </c>
      <c r="R166" s="164" t="str">
        <f>+IF(OR(O166="Fire Control",O166="Fire Tex 5062",O166="Fire Tex 5090",O166="Fire Tex 5120"),'CALCULO PINTURA'!R432," ")</f>
        <v xml:space="preserve"> </v>
      </c>
      <c r="S166" s="164" t="str">
        <f>+IF(OR(O166="Fire Control",O166="Fire Tex 5062",O166="Fire Tex 5090",O166="Fire Tex 5120"),'CALCULO PINTURA'!S432," ")</f>
        <v xml:space="preserve"> </v>
      </c>
      <c r="T166" s="874" t="str">
        <f>+IF(OR(O166="Blaze Shield II",O166="Cafco 400",O166="Cafco 300"),'CALCULO MORTERO'!N437," ")</f>
        <v xml:space="preserve"> </v>
      </c>
      <c r="U166" s="875" t="str">
        <f>+IF(OR(O166="Blaze Shield II",O166="Cafco 400",O166="Cafco 300"),'CALCULO MORTERO'!O437," ")</f>
        <v xml:space="preserve"> </v>
      </c>
      <c r="V166" s="161" t="str" cm="1">
        <f t="array" ref="V166">_xlfn.IFS(O166="Blaze Shield II",'CALCULO MORTERO'!P167, O166="Cafco 400",'CALCULO MORTERO'!Q167,O166="Cafco 300",'CALCULO MORTERO'!S167, AND(OR(O166="Fire tex 5090", O166="Fire Tex 5062", O166="Fire Tex 5120", O166="Fire Control"),Q166&gt;0), "CERT.",TRUE,"-")</f>
        <v>-</v>
      </c>
      <c r="W166" s="167"/>
      <c r="X166" s="167"/>
    </row>
    <row r="167" spans="1:24" x14ac:dyDescent="0.2">
      <c r="A167" s="903"/>
      <c r="B167" s="907"/>
      <c r="C167" s="874"/>
      <c r="D167" s="874"/>
      <c r="E167" s="874"/>
      <c r="F167" s="905"/>
      <c r="G167" s="874"/>
      <c r="H167" s="874"/>
      <c r="I167" s="906"/>
      <c r="J167" s="162"/>
      <c r="K167" s="161"/>
      <c r="L167" s="161"/>
      <c r="M167" s="169"/>
      <c r="N167" s="163" t="str">
        <f t="shared" si="6"/>
        <v/>
      </c>
      <c r="O167" s="41"/>
      <c r="P167" s="41"/>
      <c r="Q167" s="161" t="str">
        <f>+IF(OR(O167="Fire Control",O167="Fire Tex 5062",O167="Fire Tex 5090",O167="Fire Tex 5120"),'CALCULO PINTURA'!P433," ")</f>
        <v xml:space="preserve"> </v>
      </c>
      <c r="R167" s="164" t="str">
        <f>+IF(OR(O167="Fire Control",O167="Fire Tex 5062",O167="Fire Tex 5090",O167="Fire Tex 5120"),'CALCULO PINTURA'!R433," ")</f>
        <v xml:space="preserve"> </v>
      </c>
      <c r="S167" s="164" t="str">
        <f>+IF(OR(O167="Fire Control",O167="Fire Tex 5062",O167="Fire Tex 5090",O167="Fire Tex 5120"),'CALCULO PINTURA'!S433," ")</f>
        <v xml:space="preserve"> </v>
      </c>
      <c r="T167" s="874" t="str">
        <f>+IF(OR(O167="Blaze Shield II",O167="Cafco 400",O167="Cafco 300"),'CALCULO MORTERO'!N438," ")</f>
        <v xml:space="preserve"> </v>
      </c>
      <c r="U167" s="875" t="str">
        <f>+IF(OR(O167="Blaze Shield II",O167="Cafco 400",O167="Cafco 300"),'CALCULO MORTERO'!O438," ")</f>
        <v xml:space="preserve"> </v>
      </c>
      <c r="V167" s="161" t="str" cm="1">
        <f t="array" ref="V167">_xlfn.IFS(O167="Blaze Shield II",'CALCULO MORTERO'!P168, O167="Cafco 400",'CALCULO MORTERO'!Q168,O167="Cafco 300",'CALCULO MORTERO'!S168, AND(OR(O167="Fire tex 5090", O167="Fire Tex 5062", O167="Fire Tex 5120", O167="Fire Control"),Q167&gt;0), "CERT.",TRUE,"-")</f>
        <v>-</v>
      </c>
      <c r="W167" s="167"/>
      <c r="X167" s="167"/>
    </row>
    <row r="168" spans="1:24" x14ac:dyDescent="0.2">
      <c r="A168" s="903"/>
      <c r="B168" s="904"/>
      <c r="C168" s="874"/>
      <c r="D168" s="874"/>
      <c r="E168" s="905"/>
      <c r="F168" s="905"/>
      <c r="G168" s="874"/>
      <c r="H168" s="874"/>
      <c r="I168" s="906"/>
      <c r="J168" s="162"/>
      <c r="K168" s="161"/>
      <c r="L168" s="161"/>
      <c r="M168" s="169"/>
      <c r="N168" s="163" t="str">
        <f t="shared" si="6"/>
        <v/>
      </c>
      <c r="O168" s="41"/>
      <c r="P168" s="41"/>
      <c r="Q168" s="161" t="str">
        <f>+IF(OR(O168="Fire Control",O168="Fire Tex 5062",O168="Fire Tex 5090",O168="Fire Tex 5120"),'CALCULO PINTURA'!P169," ")</f>
        <v xml:space="preserve"> </v>
      </c>
      <c r="R168" s="164" t="str">
        <f>+IF(OR(O168="Fire Control",O168="Fire Tex 5062",O168="Fire Tex 5090",O168="Fire Tex 5120"),'CALCULO PINTURA'!R169," ")</f>
        <v xml:space="preserve"> </v>
      </c>
      <c r="S168" s="164" t="str">
        <f>+IF(OR(O168="Fire Control",O168="Fire Tex 5062",O168="Fire Tex 5090",O168="Fire Tex 5120"),'CALCULO PINTURA'!S169," ")</f>
        <v xml:space="preserve"> </v>
      </c>
      <c r="T168" s="874" t="str">
        <f>+IF(OR(O168="Blaze Shield II",O168="Cafco 400",O168="Cafco 300"),'CALCULO MORTERO'!N174," ")</f>
        <v xml:space="preserve"> </v>
      </c>
      <c r="U168" s="875" t="str">
        <f>+IF(OR(O168="Blaze Shield II",O168="Cafco 400",O168="Cafco 300"),'CALCULO MORTERO'!O174," ")</f>
        <v xml:space="preserve"> </v>
      </c>
      <c r="V168" s="161" t="str" cm="1">
        <f t="array" ref="V168">_xlfn.IFS(O168="Blaze Shield II",'CALCULO MORTERO'!P169, O168="Cafco 400",'CALCULO MORTERO'!Q169,O168="Cafco 300",'CALCULO MORTERO'!S169, AND(OR(O168="Fire tex 5090", O168="Fire Tex 5062", O168="Fire Tex 5120", O168="Fire Control"),Q168&gt;0), "CERT.",TRUE,"-")</f>
        <v>-</v>
      </c>
      <c r="W168" s="167"/>
      <c r="X168" s="167"/>
    </row>
    <row r="169" spans="1:24" x14ac:dyDescent="0.2">
      <c r="A169" s="903"/>
      <c r="B169" s="904"/>
      <c r="C169" s="874"/>
      <c r="D169" s="874"/>
      <c r="E169" s="905"/>
      <c r="F169" s="905"/>
      <c r="G169" s="874"/>
      <c r="H169" s="874"/>
      <c r="I169" s="906"/>
      <c r="J169" s="162"/>
      <c r="K169" s="161"/>
      <c r="L169" s="161"/>
      <c r="M169" s="169"/>
      <c r="N169" s="163" t="str">
        <f t="shared" si="6"/>
        <v/>
      </c>
      <c r="O169" s="41"/>
      <c r="P169" s="41"/>
      <c r="Q169" s="161" t="str">
        <f>+IF(OR(O169="Fire Control",O169="Fire Tex 5062",O169="Fire Tex 5090",O169="Fire Tex 5120"),'CALCULO PINTURA'!P170," ")</f>
        <v xml:space="preserve"> </v>
      </c>
      <c r="R169" s="164" t="str">
        <f>+IF(OR(O169="Fire Control",O169="Fire Tex 5062",O169="Fire Tex 5090",O169="Fire Tex 5120"),'CALCULO PINTURA'!R170," ")</f>
        <v xml:space="preserve"> </v>
      </c>
      <c r="S169" s="164" t="str">
        <f>+IF(OR(O169="Fire Control",O169="Fire Tex 5062",O169="Fire Tex 5090",O169="Fire Tex 5120"),'CALCULO PINTURA'!S170," ")</f>
        <v xml:space="preserve"> </v>
      </c>
      <c r="T169" s="874" t="str">
        <f>+IF(OR(O169="Blaze Shield II",O169="Cafco 400",O169="Cafco 300"),'CALCULO MORTERO'!N175," ")</f>
        <v xml:space="preserve"> </v>
      </c>
      <c r="U169" s="875" t="str">
        <f>+IF(OR(O169="Blaze Shield II",O169="Cafco 400",O169="Cafco 300"),'CALCULO MORTERO'!O175," ")</f>
        <v xml:space="preserve"> </v>
      </c>
      <c r="V169" s="161" t="str" cm="1">
        <f t="array" ref="V169">_xlfn.IFS(O169="Blaze Shield II",'CALCULO MORTERO'!P170, O169="Cafco 400",'CALCULO MORTERO'!Q170,O169="Cafco 300",'CALCULO MORTERO'!S170, AND(OR(O169="Fire tex 5090", O169="Fire Tex 5062", O169="Fire Tex 5120", O169="Fire Control"),Q169&gt;0), "CERT.",TRUE,"-")</f>
        <v>-</v>
      </c>
      <c r="W169" s="167"/>
      <c r="X169" s="167"/>
    </row>
    <row r="170" spans="1:24" x14ac:dyDescent="0.2">
      <c r="A170" s="903"/>
      <c r="B170" s="904"/>
      <c r="C170" s="874"/>
      <c r="D170" s="874"/>
      <c r="E170" s="905"/>
      <c r="F170" s="905"/>
      <c r="G170" s="874"/>
      <c r="H170" s="874"/>
      <c r="I170" s="906"/>
      <c r="J170" s="162"/>
      <c r="K170" s="161"/>
      <c r="L170" s="161"/>
      <c r="M170" s="169"/>
      <c r="N170" s="163" t="str">
        <f t="shared" si="6"/>
        <v/>
      </c>
      <c r="O170" s="41"/>
      <c r="P170" s="41"/>
      <c r="Q170" s="161" t="str">
        <f>+IF(OR(O170="Fire Control",O170="Fire Tex 5062",O170="Fire Tex 5090",O170="Fire Tex 5120"),'CALCULO PINTURA'!P171," ")</f>
        <v xml:space="preserve"> </v>
      </c>
      <c r="R170" s="164" t="str">
        <f>+IF(OR(O170="Fire Control",O170="Fire Tex 5062",O170="Fire Tex 5090",O170="Fire Tex 5120"),'CALCULO PINTURA'!R171," ")</f>
        <v xml:space="preserve"> </v>
      </c>
      <c r="S170" s="164" t="str">
        <f>+IF(OR(O170="Fire Control",O170="Fire Tex 5062",O170="Fire Tex 5090",O170="Fire Tex 5120"),'CALCULO PINTURA'!S171," ")</f>
        <v xml:space="preserve"> </v>
      </c>
      <c r="T170" s="874" t="str">
        <f>+IF(OR(O170="Blaze Shield II",O170="Cafco 400",O170="Cafco 300"),'CALCULO MORTERO'!N176," ")</f>
        <v xml:space="preserve"> </v>
      </c>
      <c r="U170" s="875" t="str">
        <f>+IF(OR(O170="Blaze Shield II",O170="Cafco 400",O170="Cafco 300"),'CALCULO MORTERO'!O176," ")</f>
        <v xml:space="preserve"> </v>
      </c>
      <c r="V170" s="161" t="str" cm="1">
        <f t="array" ref="V170">_xlfn.IFS(O170="Blaze Shield II",'CALCULO MORTERO'!P171, O170="Cafco 400",'CALCULO MORTERO'!Q171,O170="Cafco 300",'CALCULO MORTERO'!S171, AND(OR(O170="Fire tex 5090", O170="Fire Tex 5062", O170="Fire Tex 5120", O170="Fire Control"),Q170&gt;0), "CERT.",TRUE,"-")</f>
        <v>-</v>
      </c>
      <c r="W170" s="167"/>
      <c r="X170" s="167"/>
    </row>
    <row r="171" spans="1:24" x14ac:dyDescent="0.2">
      <c r="A171" s="903"/>
      <c r="B171" s="904"/>
      <c r="C171" s="874"/>
      <c r="D171" s="874"/>
      <c r="E171" s="905"/>
      <c r="F171" s="905"/>
      <c r="G171" s="874"/>
      <c r="H171" s="874"/>
      <c r="I171" s="906"/>
      <c r="J171" s="162"/>
      <c r="K171" s="161"/>
      <c r="L171" s="161"/>
      <c r="M171" s="169"/>
      <c r="N171" s="163" t="str">
        <f t="shared" si="6"/>
        <v/>
      </c>
      <c r="O171" s="41"/>
      <c r="P171" s="41"/>
      <c r="Q171" s="161" t="str">
        <f>+IF(OR(O171="Fire Control",O171="Fire Tex 5062",O171="Fire Tex 5090",O171="Fire Tex 5120"),'CALCULO PINTURA'!P172," ")</f>
        <v xml:space="preserve"> </v>
      </c>
      <c r="R171" s="164" t="str">
        <f>+IF(OR(O171="Fire Control",O171="Fire Tex 5062",O171="Fire Tex 5090",O171="Fire Tex 5120"),'CALCULO PINTURA'!R172," ")</f>
        <v xml:space="preserve"> </v>
      </c>
      <c r="S171" s="164" t="str">
        <f>+IF(OR(O171="Fire Control",O171="Fire Tex 5062",O171="Fire Tex 5090",O171="Fire Tex 5120"),'CALCULO PINTURA'!S172," ")</f>
        <v xml:space="preserve"> </v>
      </c>
      <c r="T171" s="874" t="str">
        <f>+IF(OR(O171="Blaze Shield II",O171="Cafco 400",O171="Cafco 300"),'CALCULO MORTERO'!N177," ")</f>
        <v xml:space="preserve"> </v>
      </c>
      <c r="U171" s="875" t="str">
        <f>+IF(OR(O171="Blaze Shield II",O171="Cafco 400",O171="Cafco 300"),'CALCULO MORTERO'!O177," ")</f>
        <v xml:space="preserve"> </v>
      </c>
      <c r="V171" s="161" t="str" cm="1">
        <f t="array" ref="V171">_xlfn.IFS(O171="Blaze Shield II",'CALCULO MORTERO'!P172, O171="Cafco 400",'CALCULO MORTERO'!Q172,O171="Cafco 300",'CALCULO MORTERO'!S172, AND(OR(O171="Fire tex 5090", O171="Fire Tex 5062", O171="Fire Tex 5120", O171="Fire Control"),Q171&gt;0), "CERT.",TRUE,"-")</f>
        <v>-</v>
      </c>
      <c r="W171" s="167"/>
      <c r="X171" s="167"/>
    </row>
    <row r="172" spans="1:24" x14ac:dyDescent="0.2">
      <c r="A172" s="903"/>
      <c r="B172" s="904"/>
      <c r="C172" s="874"/>
      <c r="D172" s="874"/>
      <c r="E172" s="905"/>
      <c r="F172" s="905"/>
      <c r="G172" s="874"/>
      <c r="H172" s="874"/>
      <c r="I172" s="906"/>
      <c r="J172" s="162"/>
      <c r="K172" s="161"/>
      <c r="L172" s="161"/>
      <c r="M172" s="169"/>
      <c r="N172" s="163" t="str">
        <f t="shared" si="6"/>
        <v/>
      </c>
      <c r="O172" s="41"/>
      <c r="P172" s="41"/>
      <c r="Q172" s="161" t="str">
        <f>+IF(OR(O172="Fire Control",O172="Fire Tex 5062",O172="Fire Tex 5090",O172="Fire Tex 5120"),'CALCULO PINTURA'!P173," ")</f>
        <v xml:space="preserve"> </v>
      </c>
      <c r="R172" s="164" t="str">
        <f>+IF(OR(O172="Fire Control",O172="Fire Tex 5062",O172="Fire Tex 5090",O172="Fire Tex 5120"),'CALCULO PINTURA'!R173," ")</f>
        <v xml:space="preserve"> </v>
      </c>
      <c r="S172" s="164" t="str">
        <f>+IF(OR(O172="Fire Control",O172="Fire Tex 5062",O172="Fire Tex 5090",O172="Fire Tex 5120"),'CALCULO PINTURA'!S173," ")</f>
        <v xml:space="preserve"> </v>
      </c>
      <c r="T172" s="874" t="str">
        <f>+IF(OR(O172="Blaze Shield II",O172="Cafco 400",O172="Cafco 300"),'CALCULO MORTERO'!N178," ")</f>
        <v xml:space="preserve"> </v>
      </c>
      <c r="U172" s="875" t="str">
        <f>+IF(OR(O172="Blaze Shield II",O172="Cafco 400",O172="Cafco 300"),'CALCULO MORTERO'!O178," ")</f>
        <v xml:space="preserve"> </v>
      </c>
      <c r="V172" s="161" t="str" cm="1">
        <f t="array" ref="V172">_xlfn.IFS(O172="Blaze Shield II",'CALCULO MORTERO'!P173, O172="Cafco 400",'CALCULO MORTERO'!Q173,O172="Cafco 300",'CALCULO MORTERO'!S173, AND(OR(O172="Fire tex 5090", O172="Fire Tex 5062", O172="Fire Tex 5120", O172="Fire Control"),Q172&gt;0), "CERT.",TRUE,"-")</f>
        <v>-</v>
      </c>
      <c r="W172" s="167"/>
      <c r="X172" s="167"/>
    </row>
    <row r="173" spans="1:24" x14ac:dyDescent="0.2">
      <c r="A173" s="903"/>
      <c r="B173" s="904"/>
      <c r="C173" s="874"/>
      <c r="D173" s="874"/>
      <c r="E173" s="905"/>
      <c r="F173" s="905"/>
      <c r="G173" s="874"/>
      <c r="H173" s="874"/>
      <c r="I173" s="906"/>
      <c r="J173" s="162"/>
      <c r="K173" s="161"/>
      <c r="L173" s="161"/>
      <c r="M173" s="169"/>
      <c r="N173" s="163" t="str">
        <f t="shared" si="6"/>
        <v/>
      </c>
      <c r="O173" s="41"/>
      <c r="P173" s="41"/>
      <c r="Q173" s="161" t="str">
        <f>+IF(OR(O173="Fire Control",O173="Fire Tex 5062",O173="Fire Tex 5090",O173="Fire Tex 5120"),'CALCULO PINTURA'!P174," ")</f>
        <v xml:space="preserve"> </v>
      </c>
      <c r="R173" s="164" t="str">
        <f>+IF(OR(O173="Fire Control",O173="Fire Tex 5062",O173="Fire Tex 5090",O173="Fire Tex 5120"),'CALCULO PINTURA'!R174," ")</f>
        <v xml:space="preserve"> </v>
      </c>
      <c r="S173" s="164" t="str">
        <f>+IF(OR(O173="Fire Control",O173="Fire Tex 5062",O173="Fire Tex 5090",O173="Fire Tex 5120"),'CALCULO PINTURA'!S174," ")</f>
        <v xml:space="preserve"> </v>
      </c>
      <c r="T173" s="874" t="str">
        <f>+IF(OR(O173="Blaze Shield II",O173="Cafco 400",O173="Cafco 300"),'CALCULO MORTERO'!N179," ")</f>
        <v xml:space="preserve"> </v>
      </c>
      <c r="U173" s="875" t="str">
        <f>+IF(OR(O173="Blaze Shield II",O173="Cafco 400",O173="Cafco 300"),'CALCULO MORTERO'!O179," ")</f>
        <v xml:space="preserve"> </v>
      </c>
      <c r="V173" s="161" t="str" cm="1">
        <f t="array" ref="V173">_xlfn.IFS(O173="Blaze Shield II",'CALCULO MORTERO'!P174, O173="Cafco 400",'CALCULO MORTERO'!Q174,O173="Cafco 300",'CALCULO MORTERO'!S174, AND(OR(O173="Fire tex 5090", O173="Fire Tex 5062", O173="Fire Tex 5120", O173="Fire Control"),Q173&gt;0), "CERT.",TRUE,"-")</f>
        <v>-</v>
      </c>
      <c r="W173" s="167"/>
      <c r="X173" s="167"/>
    </row>
    <row r="174" spans="1:24" x14ac:dyDescent="0.2">
      <c r="A174" s="903"/>
      <c r="B174" s="904"/>
      <c r="C174" s="874"/>
      <c r="D174" s="874"/>
      <c r="E174" s="905"/>
      <c r="F174" s="905"/>
      <c r="G174" s="874"/>
      <c r="H174" s="874"/>
      <c r="I174" s="906"/>
      <c r="J174" s="162"/>
      <c r="K174" s="161"/>
      <c r="L174" s="161"/>
      <c r="M174" s="169"/>
      <c r="N174" s="163" t="str">
        <f t="shared" si="6"/>
        <v/>
      </c>
      <c r="O174" s="41"/>
      <c r="P174" s="41"/>
      <c r="Q174" s="161" t="str">
        <f>+IF(OR(O174="Fire Control",O174="Fire Tex 5062",O174="Fire Tex 5090",O174="Fire Tex 5120"),'CALCULO PINTURA'!P175," ")</f>
        <v xml:space="preserve"> </v>
      </c>
      <c r="R174" s="164" t="str">
        <f>+IF(OR(O174="Fire Control",O174="Fire Tex 5062",O174="Fire Tex 5090",O174="Fire Tex 5120"),'CALCULO PINTURA'!R175," ")</f>
        <v xml:space="preserve"> </v>
      </c>
      <c r="S174" s="164" t="str">
        <f>+IF(OR(O174="Fire Control",O174="Fire Tex 5062",O174="Fire Tex 5090",O174="Fire Tex 5120"),'CALCULO PINTURA'!S175," ")</f>
        <v xml:space="preserve"> </v>
      </c>
      <c r="T174" s="874" t="str">
        <f>+IF(OR(O174="Blaze Shield II",O174="Cafco 400",O174="Cafco 300"),'CALCULO MORTERO'!N180," ")</f>
        <v xml:space="preserve"> </v>
      </c>
      <c r="U174" s="875" t="str">
        <f>+IF(OR(O174="Blaze Shield II",O174="Cafco 400",O174="Cafco 300"),'CALCULO MORTERO'!O180," ")</f>
        <v xml:space="preserve"> </v>
      </c>
      <c r="V174" s="161" t="str" cm="1">
        <f t="array" ref="V174">_xlfn.IFS(O174="Blaze Shield II",'CALCULO MORTERO'!P175, O174="Cafco 400",'CALCULO MORTERO'!Q175,O174="Cafco 300",'CALCULO MORTERO'!S175, AND(OR(O174="Fire tex 5090", O174="Fire Tex 5062", O174="Fire Tex 5120", O174="Fire Control"),Q174&gt;0), "CERT.",TRUE,"-")</f>
        <v>-</v>
      </c>
      <c r="W174" s="167"/>
      <c r="X174" s="167"/>
    </row>
    <row r="175" spans="1:24" x14ac:dyDescent="0.2">
      <c r="A175" s="903"/>
      <c r="B175" s="904"/>
      <c r="C175" s="874"/>
      <c r="D175" s="874"/>
      <c r="E175" s="905"/>
      <c r="F175" s="905"/>
      <c r="G175" s="874"/>
      <c r="H175" s="874"/>
      <c r="I175" s="906"/>
      <c r="J175" s="162"/>
      <c r="K175" s="161"/>
      <c r="L175" s="161"/>
      <c r="M175" s="169"/>
      <c r="N175" s="163" t="str">
        <f t="shared" si="6"/>
        <v/>
      </c>
      <c r="O175" s="41"/>
      <c r="P175" s="41"/>
      <c r="Q175" s="161" t="str">
        <f>+IF(OR(O175="Fire Control",O175="Fire Tex 5062",O175="Fire Tex 5090",O175="Fire Tex 5120"),'CALCULO PINTURA'!P176," ")</f>
        <v xml:space="preserve"> </v>
      </c>
      <c r="R175" s="164" t="str">
        <f>+IF(OR(O175="Fire Control",O175="Fire Tex 5062",O175="Fire Tex 5090",O175="Fire Tex 5120"),'CALCULO PINTURA'!R176," ")</f>
        <v xml:space="preserve"> </v>
      </c>
      <c r="S175" s="164" t="str">
        <f>+IF(OR(O175="Fire Control",O175="Fire Tex 5062",O175="Fire Tex 5090",O175="Fire Tex 5120"),'CALCULO PINTURA'!S176," ")</f>
        <v xml:space="preserve"> </v>
      </c>
      <c r="T175" s="874" t="str">
        <f>+IF(OR(O175="Blaze Shield II",O175="Cafco 400",O175="Cafco 300"),'CALCULO MORTERO'!N181," ")</f>
        <v xml:space="preserve"> </v>
      </c>
      <c r="U175" s="875" t="str">
        <f>+IF(OR(O175="Blaze Shield II",O175="Cafco 400",O175="Cafco 300"),'CALCULO MORTERO'!O181," ")</f>
        <v xml:space="preserve"> </v>
      </c>
      <c r="V175" s="161" t="str" cm="1">
        <f t="array" ref="V175">_xlfn.IFS(O175="Blaze Shield II",'CALCULO MORTERO'!P176, O175="Cafco 400",'CALCULO MORTERO'!Q176,O175="Cafco 300",'CALCULO MORTERO'!S176, AND(OR(O175="Fire tex 5090", O175="Fire Tex 5062", O175="Fire Tex 5120", O175="Fire Control"),Q175&gt;0), "CERT.",TRUE,"-")</f>
        <v>-</v>
      </c>
      <c r="W175" s="167"/>
      <c r="X175" s="167"/>
    </row>
    <row r="176" spans="1:24" x14ac:dyDescent="0.2">
      <c r="A176" s="903"/>
      <c r="B176" s="904"/>
      <c r="C176" s="874"/>
      <c r="D176" s="874"/>
      <c r="E176" s="905"/>
      <c r="F176" s="905"/>
      <c r="G176" s="874"/>
      <c r="H176" s="874"/>
      <c r="I176" s="906"/>
      <c r="J176" s="162"/>
      <c r="K176" s="161"/>
      <c r="L176" s="161"/>
      <c r="M176" s="169"/>
      <c r="N176" s="163" t="str">
        <f t="shared" si="6"/>
        <v/>
      </c>
      <c r="O176" s="41"/>
      <c r="P176" s="41"/>
      <c r="Q176" s="161" t="str">
        <f>+IF(OR(O176="Fire Control",O176="Fire Tex 5062",O176="Fire Tex 5090",O176="Fire Tex 5120"),'CALCULO PINTURA'!P177," ")</f>
        <v xml:space="preserve"> </v>
      </c>
      <c r="R176" s="164" t="str">
        <f>+IF(OR(O176="Fire Control",O176="Fire Tex 5062",O176="Fire Tex 5090",O176="Fire Tex 5120"),'CALCULO PINTURA'!R177," ")</f>
        <v xml:space="preserve"> </v>
      </c>
      <c r="S176" s="164" t="str">
        <f>+IF(OR(O176="Fire Control",O176="Fire Tex 5062",O176="Fire Tex 5090",O176="Fire Tex 5120"),'CALCULO PINTURA'!S177," ")</f>
        <v xml:space="preserve"> </v>
      </c>
      <c r="T176" s="874" t="str">
        <f>+IF(OR(O176="Blaze Shield II",O176="Cafco 400",O176="Cafco 300"),'CALCULO MORTERO'!N182," ")</f>
        <v xml:space="preserve"> </v>
      </c>
      <c r="U176" s="875" t="str">
        <f>+IF(OR(O176="Blaze Shield II",O176="Cafco 400",O176="Cafco 300"),'CALCULO MORTERO'!O182," ")</f>
        <v xml:space="preserve"> </v>
      </c>
      <c r="V176" s="161" t="str" cm="1">
        <f t="array" ref="V176">_xlfn.IFS(O176="Blaze Shield II",'CALCULO MORTERO'!P177, O176="Cafco 400",'CALCULO MORTERO'!Q177,O176="Cafco 300",'CALCULO MORTERO'!S177, AND(OR(O176="Fire tex 5090", O176="Fire Tex 5062", O176="Fire Tex 5120", O176="Fire Control"),Q176&gt;0), "CERT.",TRUE,"-")</f>
        <v>-</v>
      </c>
      <c r="W176" s="167"/>
      <c r="X176" s="167"/>
    </row>
    <row r="177" spans="1:24" x14ac:dyDescent="0.2">
      <c r="A177" s="903"/>
      <c r="B177" s="904"/>
      <c r="C177" s="874"/>
      <c r="D177" s="874"/>
      <c r="E177" s="905"/>
      <c r="F177" s="905"/>
      <c r="G177" s="874"/>
      <c r="H177" s="874"/>
      <c r="I177" s="906"/>
      <c r="J177" s="162"/>
      <c r="K177" s="161"/>
      <c r="L177" s="161"/>
      <c r="M177" s="169"/>
      <c r="N177" s="163" t="str">
        <f t="shared" si="6"/>
        <v/>
      </c>
      <c r="O177" s="41"/>
      <c r="P177" s="41"/>
      <c r="Q177" s="161" t="str">
        <f>+IF(OR(O177="Fire Control",O177="Fire Tex 5062",O177="Fire Tex 5090",O177="Fire Tex 5120"),'CALCULO PINTURA'!P178," ")</f>
        <v xml:space="preserve"> </v>
      </c>
      <c r="R177" s="164" t="str">
        <f>+IF(OR(O177="Fire Control",O177="Fire Tex 5062",O177="Fire Tex 5090",O177="Fire Tex 5120"),'CALCULO PINTURA'!R178," ")</f>
        <v xml:space="preserve"> </v>
      </c>
      <c r="S177" s="164" t="str">
        <f>+IF(OR(O177="Fire Control",O177="Fire Tex 5062",O177="Fire Tex 5090",O177="Fire Tex 5120"),'CALCULO PINTURA'!S178," ")</f>
        <v xml:space="preserve"> </v>
      </c>
      <c r="T177" s="874" t="str">
        <f>+IF(OR(O177="Blaze Shield II",O177="Cafco 400",O177="Cafco 300"),'CALCULO MORTERO'!N183," ")</f>
        <v xml:space="preserve"> </v>
      </c>
      <c r="U177" s="875" t="str">
        <f>+IF(OR(O177="Blaze Shield II",O177="Cafco 400",O177="Cafco 300"),'CALCULO MORTERO'!O183," ")</f>
        <v xml:space="preserve"> </v>
      </c>
      <c r="V177" s="161" t="str" cm="1">
        <f t="array" ref="V177">_xlfn.IFS(O177="Blaze Shield II",'CALCULO MORTERO'!P178, O177="Cafco 400",'CALCULO MORTERO'!Q178,O177="Cafco 300",'CALCULO MORTERO'!S178, AND(OR(O177="Fire tex 5090", O177="Fire Tex 5062", O177="Fire Tex 5120", O177="Fire Control"),Q177&gt;0), "CERT.",TRUE,"-")</f>
        <v>-</v>
      </c>
      <c r="W177" s="167"/>
      <c r="X177" s="167"/>
    </row>
    <row r="178" spans="1:24" x14ac:dyDescent="0.2">
      <c r="A178" s="903"/>
      <c r="B178" s="907"/>
      <c r="C178" s="874"/>
      <c r="D178" s="874"/>
      <c r="E178" s="874"/>
      <c r="F178" s="905"/>
      <c r="G178" s="874"/>
      <c r="H178" s="874"/>
      <c r="I178" s="906"/>
      <c r="J178" s="162"/>
      <c r="K178" s="161"/>
      <c r="L178" s="161"/>
      <c r="M178" s="169"/>
      <c r="N178" s="163" t="str">
        <f t="shared" si="6"/>
        <v/>
      </c>
      <c r="O178" s="41"/>
      <c r="P178" s="41"/>
      <c r="Q178" s="161" t="str">
        <f>+IF(OR(O178="Fire Control",O178="Fire Tex 5062",O178="Fire Tex 5090",O178="Fire Tex 5120"),'CALCULO PINTURA'!P434," ")</f>
        <v xml:space="preserve"> </v>
      </c>
      <c r="R178" s="164" t="str">
        <f>+IF(OR(O178="Fire Control",O178="Fire Tex 5062",O178="Fire Tex 5090",O178="Fire Tex 5120"),'CALCULO PINTURA'!R434," ")</f>
        <v xml:space="preserve"> </v>
      </c>
      <c r="S178" s="164" t="str">
        <f>+IF(OR(O178="Fire Control",O178="Fire Tex 5062",O178="Fire Tex 5090",O178="Fire Tex 5120"),'CALCULO PINTURA'!S434," ")</f>
        <v xml:space="preserve"> </v>
      </c>
      <c r="T178" s="874" t="str">
        <f>+IF(OR(O178="Blaze Shield II",O178="Cafco 400",O178="Cafco 300"),'CALCULO MORTERO'!N439," ")</f>
        <v xml:space="preserve"> </v>
      </c>
      <c r="U178" s="875" t="str">
        <f>+IF(OR(O178="Blaze Shield II",O178="Cafco 400",O178="Cafco 300"),'CALCULO MORTERO'!O439," ")</f>
        <v xml:space="preserve"> </v>
      </c>
      <c r="V178" s="161" t="str" cm="1">
        <f t="array" ref="V178">_xlfn.IFS(O178="Blaze Shield II",'CALCULO MORTERO'!P179, O178="Cafco 400",'CALCULO MORTERO'!Q179,O178="Cafco 300",'CALCULO MORTERO'!S179, AND(OR(O178="Fire tex 5090", O178="Fire Tex 5062", O178="Fire Tex 5120", O178="Fire Control"),Q178&gt;0), "CERT.",TRUE,"-")</f>
        <v>-</v>
      </c>
      <c r="W178" s="167"/>
      <c r="X178" s="167"/>
    </row>
    <row r="179" spans="1:24" x14ac:dyDescent="0.2">
      <c r="A179" s="903"/>
      <c r="B179" s="907"/>
      <c r="C179" s="874"/>
      <c r="D179" s="874"/>
      <c r="E179" s="874"/>
      <c r="F179" s="905"/>
      <c r="G179" s="874"/>
      <c r="H179" s="874"/>
      <c r="I179" s="906"/>
      <c r="J179" s="162"/>
      <c r="K179" s="161"/>
      <c r="L179" s="161"/>
      <c r="M179" s="169"/>
      <c r="N179" s="163" t="str">
        <f t="shared" si="6"/>
        <v/>
      </c>
      <c r="O179" s="41"/>
      <c r="P179" s="41"/>
      <c r="Q179" s="161" t="str">
        <f>+IF(OR(O179="Fire Control",O179="Fire Tex 5062",O179="Fire Tex 5090",O179="Fire Tex 5120"),'CALCULO PINTURA'!P523," ")</f>
        <v xml:space="preserve"> </v>
      </c>
      <c r="R179" s="164" t="str">
        <f>+IF(OR(O179="Fire Control",O179="Fire Tex 5062",O179="Fire Tex 5090",O179="Fire Tex 5120"),'CALCULO PINTURA'!R523," ")</f>
        <v xml:space="preserve"> </v>
      </c>
      <c r="S179" s="164" t="str">
        <f>+IF(OR(O179="Fire Control",O179="Fire Tex 5062",O179="Fire Tex 5090",O179="Fire Tex 5120"),'CALCULO PINTURA'!S523," ")</f>
        <v xml:space="preserve"> </v>
      </c>
      <c r="T179" s="874" t="str">
        <f>+IF(OR(O179="Blaze Shield II",O179="Cafco 400",O179="Cafco 300"),'CALCULO MORTERO'!N528," ")</f>
        <v xml:space="preserve"> </v>
      </c>
      <c r="U179" s="875" t="str">
        <f>+IF(OR(O179="Blaze Shield II",O179="Cafco 400",O179="Cafco 300"),'CALCULO MORTERO'!O528," ")</f>
        <v xml:space="preserve"> </v>
      </c>
      <c r="V179" s="161" t="str" cm="1">
        <f t="array" ref="V179">_xlfn.IFS(O179="Blaze Shield II",'CALCULO MORTERO'!P180, O179="Cafco 400",'CALCULO MORTERO'!Q180,O179="Cafco 300",'CALCULO MORTERO'!S180, AND(OR(O179="Fire tex 5090", O179="Fire Tex 5062", O179="Fire Tex 5120", O179="Fire Control"),Q179&gt;0), "CERT.",TRUE,"-")</f>
        <v>-</v>
      </c>
      <c r="W179" s="167"/>
      <c r="X179" s="167"/>
    </row>
    <row r="180" spans="1:24" x14ac:dyDescent="0.2">
      <c r="A180" s="903"/>
      <c r="B180" s="907"/>
      <c r="C180" s="874"/>
      <c r="D180" s="874"/>
      <c r="E180" s="874"/>
      <c r="F180" s="905"/>
      <c r="G180" s="874"/>
      <c r="H180" s="874"/>
      <c r="I180" s="906"/>
      <c r="J180" s="162"/>
      <c r="K180" s="161"/>
      <c r="L180" s="161"/>
      <c r="M180" s="169"/>
      <c r="N180" s="163" t="str">
        <f t="shared" si="6"/>
        <v/>
      </c>
      <c r="O180" s="41"/>
      <c r="P180" s="41"/>
      <c r="Q180" s="161" t="str">
        <f>+IF(OR(O180="Fire Control",O180="Fire Tex 5062",O180="Fire Tex 5090",O180="Fire Tex 5120"),'CALCULO PINTURA'!P525," ")</f>
        <v xml:space="preserve"> </v>
      </c>
      <c r="R180" s="164" t="str">
        <f>+IF(OR(O180="Fire Control",O180="Fire Tex 5062",O180="Fire Tex 5090",O180="Fire Tex 5120"),'CALCULO PINTURA'!R525," ")</f>
        <v xml:space="preserve"> </v>
      </c>
      <c r="S180" s="164" t="str">
        <f>+IF(OR(O180="Fire Control",O180="Fire Tex 5062",O180="Fire Tex 5090",O180="Fire Tex 5120"),'CALCULO PINTURA'!S525," ")</f>
        <v xml:space="preserve"> </v>
      </c>
      <c r="T180" s="874" t="str">
        <f>+IF(OR(O180="Blaze Shield II",O180="Cafco 400",O180="Cafco 300"),'CALCULO MORTERO'!N530," ")</f>
        <v xml:space="preserve"> </v>
      </c>
      <c r="U180" s="875" t="str">
        <f>+IF(OR(O180="Blaze Shield II",O180="Cafco 400",O180="Cafco 300"),'CALCULO MORTERO'!O530," ")</f>
        <v xml:space="preserve"> </v>
      </c>
      <c r="V180" s="161" t="str" cm="1">
        <f t="array" ref="V180">_xlfn.IFS(O180="Blaze Shield II",'CALCULO MORTERO'!P181, O180="Cafco 400",'CALCULO MORTERO'!Q181,O180="Cafco 300",'CALCULO MORTERO'!S181, AND(OR(O180="Fire tex 5090", O180="Fire Tex 5062", O180="Fire Tex 5120", O180="Fire Control"),Q180&gt;0), "CERT.",TRUE,"-")</f>
        <v>-</v>
      </c>
      <c r="W180" s="167"/>
      <c r="X180" s="167"/>
    </row>
    <row r="181" spans="1:24" x14ac:dyDescent="0.2">
      <c r="A181" s="903"/>
      <c r="B181" s="907"/>
      <c r="C181" s="874"/>
      <c r="D181" s="874"/>
      <c r="E181" s="874"/>
      <c r="F181" s="905"/>
      <c r="G181" s="874"/>
      <c r="H181" s="874"/>
      <c r="I181" s="906"/>
      <c r="J181" s="162"/>
      <c r="K181" s="161"/>
      <c r="L181" s="161"/>
      <c r="M181" s="169"/>
      <c r="N181" s="163" t="str">
        <f t="shared" si="6"/>
        <v/>
      </c>
      <c r="O181" s="41"/>
      <c r="P181" s="41"/>
      <c r="Q181" s="161" t="str">
        <f>+IF(OR(O181="Fire Control",O181="Fire Tex 5062",O181="Fire Tex 5090",O181="Fire Tex 5120"),'CALCULO PINTURA'!P527," ")</f>
        <v xml:space="preserve"> </v>
      </c>
      <c r="R181" s="164" t="str">
        <f>+IF(OR(O181="Fire Control",O181="Fire Tex 5062",O181="Fire Tex 5090",O181="Fire Tex 5120"),'CALCULO PINTURA'!R527," ")</f>
        <v xml:space="preserve"> </v>
      </c>
      <c r="S181" s="164" t="str">
        <f>+IF(OR(O181="Fire Control",O181="Fire Tex 5062",O181="Fire Tex 5090",O181="Fire Tex 5120"),'CALCULO PINTURA'!S527," ")</f>
        <v xml:space="preserve"> </v>
      </c>
      <c r="T181" s="874" t="str">
        <f>+IF(OR(O181="Blaze Shield II",O181="Cafco 400",O181="Cafco 300"),'CALCULO MORTERO'!N532," ")</f>
        <v xml:space="preserve"> </v>
      </c>
      <c r="U181" s="875" t="str">
        <f>+IF(OR(O181="Blaze Shield II",O181="Cafco 400",O181="Cafco 300"),'CALCULO MORTERO'!O532," ")</f>
        <v xml:space="preserve"> </v>
      </c>
      <c r="V181" s="161" t="str" cm="1">
        <f t="array" ref="V181">_xlfn.IFS(O181="Blaze Shield II",'CALCULO MORTERO'!P182, O181="Cafco 400",'CALCULO MORTERO'!Q182,O181="Cafco 300",'CALCULO MORTERO'!S182, AND(OR(O181="Fire tex 5090", O181="Fire Tex 5062", O181="Fire Tex 5120", O181="Fire Control"),Q181&gt;0), "CERT.",TRUE,"-")</f>
        <v>-</v>
      </c>
      <c r="W181" s="167"/>
      <c r="X181" s="167"/>
    </row>
    <row r="182" spans="1:24" x14ac:dyDescent="0.2">
      <c r="A182" s="903"/>
      <c r="B182" s="904"/>
      <c r="C182" s="874"/>
      <c r="D182" s="874"/>
      <c r="E182" s="905"/>
      <c r="F182" s="905"/>
      <c r="G182" s="874"/>
      <c r="H182" s="874"/>
      <c r="I182" s="906"/>
      <c r="J182" s="162"/>
      <c r="K182" s="161"/>
      <c r="L182" s="161"/>
      <c r="M182" s="169"/>
      <c r="N182" s="163" t="str">
        <f t="shared" si="6"/>
        <v/>
      </c>
      <c r="O182" s="41"/>
      <c r="P182" s="41"/>
      <c r="Q182" s="161" t="str">
        <f>+IF(OR(O182="Fire Control",O182="Fire Tex 5062",O182="Fire Tex 5090",O182="Fire Tex 5120"),'CALCULO PINTURA'!P183," ")</f>
        <v xml:space="preserve"> </v>
      </c>
      <c r="R182" s="164" t="str">
        <f>+IF(OR(O182="Fire Control",O182="Fire Tex 5062",O182="Fire Tex 5090",O182="Fire Tex 5120"),'CALCULO PINTURA'!R183," ")</f>
        <v xml:space="preserve"> </v>
      </c>
      <c r="S182" s="164" t="str">
        <f>+IF(OR(O182="Fire Control",O182="Fire Tex 5062",O182="Fire Tex 5090",O182="Fire Tex 5120"),'CALCULO PINTURA'!S183," ")</f>
        <v xml:space="preserve"> </v>
      </c>
      <c r="T182" s="874" t="str">
        <f>+IF(OR(O182="Blaze Shield II",O182="Cafco 400",O182="Cafco 300"),'CALCULO MORTERO'!N188," ")</f>
        <v xml:space="preserve"> </v>
      </c>
      <c r="U182" s="875" t="str">
        <f>+IF(OR(O182="Blaze Shield II",O182="Cafco 400",O182="Cafco 300"),'CALCULO MORTERO'!O188," ")</f>
        <v xml:space="preserve"> </v>
      </c>
      <c r="V182" s="161" t="str" cm="1">
        <f t="array" ref="V182">_xlfn.IFS(O182="Blaze Shield II",'CALCULO MORTERO'!P183, O182="Cafco 400",'CALCULO MORTERO'!Q183,O182="Cafco 300",'CALCULO MORTERO'!S183, AND(OR(O182="Fire tex 5090", O182="Fire Tex 5062", O182="Fire Tex 5120", O182="Fire Control"),Q182&gt;0), "CERT.",TRUE,"-")</f>
        <v>-</v>
      </c>
      <c r="W182" s="167"/>
      <c r="X182" s="167"/>
    </row>
    <row r="183" spans="1:24" x14ac:dyDescent="0.2">
      <c r="A183" s="903"/>
      <c r="B183" s="904"/>
      <c r="C183" s="874"/>
      <c r="D183" s="874"/>
      <c r="E183" s="905"/>
      <c r="F183" s="905"/>
      <c r="G183" s="874"/>
      <c r="H183" s="874"/>
      <c r="I183" s="906"/>
      <c r="J183" s="162"/>
      <c r="K183" s="161"/>
      <c r="L183" s="161"/>
      <c r="M183" s="169"/>
      <c r="N183" s="163" t="str">
        <f t="shared" si="6"/>
        <v/>
      </c>
      <c r="O183" s="41"/>
      <c r="P183" s="41"/>
      <c r="Q183" s="161" t="str">
        <f>+IF(OR(O183="Fire Control",O183="Fire Tex 5062",O183="Fire Tex 5090",O183="Fire Tex 5120"),'CALCULO PINTURA'!P184," ")</f>
        <v xml:space="preserve"> </v>
      </c>
      <c r="R183" s="164" t="str">
        <f>+IF(OR(O183="Fire Control",O183="Fire Tex 5062",O183="Fire Tex 5090",O183="Fire Tex 5120"),'CALCULO PINTURA'!R184," ")</f>
        <v xml:space="preserve"> </v>
      </c>
      <c r="S183" s="164" t="str">
        <f>+IF(OR(O183="Fire Control",O183="Fire Tex 5062",O183="Fire Tex 5090",O183="Fire Tex 5120"),'CALCULO PINTURA'!S184," ")</f>
        <v xml:space="preserve"> </v>
      </c>
      <c r="T183" s="874" t="str">
        <f>+IF(OR(O183="Blaze Shield II",O183="Cafco 400",O183="Cafco 300"),'CALCULO MORTERO'!N189," ")</f>
        <v xml:space="preserve"> </v>
      </c>
      <c r="U183" s="875" t="str">
        <f>+IF(OR(O183="Blaze Shield II",O183="Cafco 400",O183="Cafco 300"),'CALCULO MORTERO'!O189," ")</f>
        <v xml:space="preserve"> </v>
      </c>
      <c r="V183" s="161" t="str" cm="1">
        <f t="array" ref="V183">_xlfn.IFS(O183="Blaze Shield II",'CALCULO MORTERO'!P184, O183="Cafco 400",'CALCULO MORTERO'!Q184,O183="Cafco 300",'CALCULO MORTERO'!S184, AND(OR(O183="Fire tex 5090", O183="Fire Tex 5062", O183="Fire Tex 5120", O183="Fire Control"),Q183&gt;0), "CERT.",TRUE,"-")</f>
        <v>-</v>
      </c>
      <c r="W183" s="167"/>
      <c r="X183" s="167"/>
    </row>
    <row r="184" spans="1:24" x14ac:dyDescent="0.2">
      <c r="A184" s="903"/>
      <c r="B184" s="904"/>
      <c r="C184" s="874"/>
      <c r="D184" s="874"/>
      <c r="E184" s="905"/>
      <c r="F184" s="905"/>
      <c r="G184" s="874"/>
      <c r="H184" s="874"/>
      <c r="I184" s="906"/>
      <c r="J184" s="162"/>
      <c r="K184" s="161"/>
      <c r="L184" s="161"/>
      <c r="M184" s="169"/>
      <c r="N184" s="163" t="str">
        <f t="shared" si="6"/>
        <v/>
      </c>
      <c r="O184" s="41"/>
      <c r="P184" s="41"/>
      <c r="Q184" s="161" t="str">
        <f>+IF(OR(O184="Fire Control",O184="Fire Tex 5062",O184="Fire Tex 5090",O184="Fire Tex 5120"),'CALCULO PINTURA'!P185," ")</f>
        <v xml:space="preserve"> </v>
      </c>
      <c r="R184" s="164" t="str">
        <f>+IF(OR(O184="Fire Control",O184="Fire Tex 5062",O184="Fire Tex 5090",O184="Fire Tex 5120"),'CALCULO PINTURA'!R185," ")</f>
        <v xml:space="preserve"> </v>
      </c>
      <c r="S184" s="164" t="str">
        <f>+IF(OR(O184="Fire Control",O184="Fire Tex 5062",O184="Fire Tex 5090",O184="Fire Tex 5120"),'CALCULO PINTURA'!S185," ")</f>
        <v xml:space="preserve"> </v>
      </c>
      <c r="T184" s="874" t="str">
        <f>+IF(OR(O184="Blaze Shield II",O184="Cafco 400",O184="Cafco 300"),'CALCULO MORTERO'!N190," ")</f>
        <v xml:space="preserve"> </v>
      </c>
      <c r="U184" s="875" t="str">
        <f>+IF(OR(O184="Blaze Shield II",O184="Cafco 400",O184="Cafco 300"),'CALCULO MORTERO'!O190," ")</f>
        <v xml:space="preserve"> </v>
      </c>
      <c r="V184" s="161" t="str" cm="1">
        <f t="array" ref="V184">_xlfn.IFS(O184="Blaze Shield II",'CALCULO MORTERO'!P185, O184="Cafco 400",'CALCULO MORTERO'!Q185,O184="Cafco 300",'CALCULO MORTERO'!S185, AND(OR(O184="Fire tex 5090", O184="Fire Tex 5062", O184="Fire Tex 5120", O184="Fire Control"),Q184&gt;0), "CERT.",TRUE,"-")</f>
        <v>-</v>
      </c>
      <c r="W184" s="167"/>
      <c r="X184" s="167"/>
    </row>
    <row r="185" spans="1:24" x14ac:dyDescent="0.2">
      <c r="A185" s="903"/>
      <c r="B185" s="904"/>
      <c r="C185" s="874"/>
      <c r="D185" s="874"/>
      <c r="E185" s="905"/>
      <c r="F185" s="905"/>
      <c r="G185" s="874"/>
      <c r="H185" s="874"/>
      <c r="I185" s="906"/>
      <c r="J185" s="162"/>
      <c r="K185" s="161"/>
      <c r="L185" s="161"/>
      <c r="M185" s="169"/>
      <c r="N185" s="163" t="str">
        <f t="shared" si="6"/>
        <v/>
      </c>
      <c r="O185" s="41"/>
      <c r="P185" s="41"/>
      <c r="Q185" s="161" t="str">
        <f>+IF(OR(O185="Fire Control",O185="Fire Tex 5062",O185="Fire Tex 5090",O185="Fire Tex 5120"),'CALCULO PINTURA'!P186," ")</f>
        <v xml:space="preserve"> </v>
      </c>
      <c r="R185" s="164" t="str">
        <f>+IF(OR(O185="Fire Control",O185="Fire Tex 5062",O185="Fire Tex 5090",O185="Fire Tex 5120"),'CALCULO PINTURA'!R186," ")</f>
        <v xml:space="preserve"> </v>
      </c>
      <c r="S185" s="164" t="str">
        <f>+IF(OR(O185="Fire Control",O185="Fire Tex 5062",O185="Fire Tex 5090",O185="Fire Tex 5120"),'CALCULO PINTURA'!S186," ")</f>
        <v xml:space="preserve"> </v>
      </c>
      <c r="T185" s="874" t="str">
        <f>+IF(OR(O185="Blaze Shield II",O185="Cafco 400",O185="Cafco 300"),'CALCULO MORTERO'!N191," ")</f>
        <v xml:space="preserve"> </v>
      </c>
      <c r="U185" s="875" t="str">
        <f>+IF(OR(O185="Blaze Shield II",O185="Cafco 400",O185="Cafco 300"),'CALCULO MORTERO'!O191," ")</f>
        <v xml:space="preserve"> </v>
      </c>
      <c r="V185" s="161" t="str" cm="1">
        <f t="array" ref="V185">_xlfn.IFS(O185="Blaze Shield II",'CALCULO MORTERO'!P186, O185="Cafco 400",'CALCULO MORTERO'!Q186,O185="Cafco 300",'CALCULO MORTERO'!S186, AND(OR(O185="Fire tex 5090", O185="Fire Tex 5062", O185="Fire Tex 5120", O185="Fire Control"),Q185&gt;0), "CERT.",TRUE,"-")</f>
        <v>-</v>
      </c>
      <c r="W185" s="167"/>
      <c r="X185" s="167"/>
    </row>
    <row r="186" spans="1:24" x14ac:dyDescent="0.2">
      <c r="A186" s="903"/>
      <c r="B186" s="904"/>
      <c r="C186" s="874"/>
      <c r="D186" s="874"/>
      <c r="E186" s="905"/>
      <c r="F186" s="905"/>
      <c r="G186" s="874"/>
      <c r="H186" s="874"/>
      <c r="I186" s="906"/>
      <c r="J186" s="162"/>
      <c r="K186" s="161"/>
      <c r="L186" s="161"/>
      <c r="M186" s="169"/>
      <c r="N186" s="163" t="str">
        <f t="shared" si="6"/>
        <v/>
      </c>
      <c r="O186" s="41"/>
      <c r="P186" s="41"/>
      <c r="Q186" s="161" t="str">
        <f>+IF(OR(O186="Fire Control",O186="Fire Tex 5062",O186="Fire Tex 5090",O186="Fire Tex 5120"),'CALCULO PINTURA'!P187," ")</f>
        <v xml:space="preserve"> </v>
      </c>
      <c r="R186" s="164" t="str">
        <f>+IF(OR(O186="Fire Control",O186="Fire Tex 5062",O186="Fire Tex 5090",O186="Fire Tex 5120"),'CALCULO PINTURA'!R187," ")</f>
        <v xml:space="preserve"> </v>
      </c>
      <c r="S186" s="164" t="str">
        <f>+IF(OR(O186="Fire Control",O186="Fire Tex 5062",O186="Fire Tex 5090",O186="Fire Tex 5120"),'CALCULO PINTURA'!S187," ")</f>
        <v xml:space="preserve"> </v>
      </c>
      <c r="T186" s="874" t="str">
        <f>+IF(OR(O186="Blaze Shield II",O186="Cafco 400",O186="Cafco 300"),'CALCULO MORTERO'!N192," ")</f>
        <v xml:space="preserve"> </v>
      </c>
      <c r="U186" s="875" t="str">
        <f>+IF(OR(O186="Blaze Shield II",O186="Cafco 400",O186="Cafco 300"),'CALCULO MORTERO'!O192," ")</f>
        <v xml:space="preserve"> </v>
      </c>
      <c r="V186" s="161" t="str" cm="1">
        <f t="array" ref="V186">_xlfn.IFS(O186="Blaze Shield II",'CALCULO MORTERO'!P187, O186="Cafco 400",'CALCULO MORTERO'!Q187,O186="Cafco 300",'CALCULO MORTERO'!S187, AND(OR(O186="Fire tex 5090", O186="Fire Tex 5062", O186="Fire Tex 5120", O186="Fire Control"),Q186&gt;0), "CERT.",TRUE,"-")</f>
        <v>-</v>
      </c>
      <c r="W186" s="167"/>
      <c r="X186" s="167"/>
    </row>
    <row r="187" spans="1:24" x14ac:dyDescent="0.2">
      <c r="A187" s="903"/>
      <c r="B187" s="907"/>
      <c r="C187" s="874"/>
      <c r="D187" s="874"/>
      <c r="E187" s="874"/>
      <c r="F187" s="905"/>
      <c r="G187" s="874"/>
      <c r="H187" s="874"/>
      <c r="I187" s="906"/>
      <c r="J187" s="162"/>
      <c r="K187" s="161"/>
      <c r="L187" s="161"/>
      <c r="M187" s="169"/>
      <c r="N187" s="163" t="str">
        <f t="shared" si="6"/>
        <v/>
      </c>
      <c r="O187" s="41"/>
      <c r="P187" s="41"/>
      <c r="Q187" s="161" t="str">
        <f>+IF(OR(O187="Fire Control",O187="Fire Tex 5062",O187="Fire Tex 5090",O187="Fire Tex 5120"),'CALCULO PINTURA'!P529," ")</f>
        <v xml:space="preserve"> </v>
      </c>
      <c r="R187" s="164" t="str">
        <f>+IF(OR(O187="Fire Control",O187="Fire Tex 5062",O187="Fire Tex 5090",O187="Fire Tex 5120"),'CALCULO PINTURA'!R529," ")</f>
        <v xml:space="preserve"> </v>
      </c>
      <c r="S187" s="164" t="str">
        <f>+IF(OR(O187="Fire Control",O187="Fire Tex 5062",O187="Fire Tex 5090",O187="Fire Tex 5120"),'CALCULO PINTURA'!S529," ")</f>
        <v xml:space="preserve"> </v>
      </c>
      <c r="T187" s="874" t="str">
        <f>+IF(OR(O187="Blaze Shield II",O187="Cafco 400",O187="Cafco 300"),'CALCULO MORTERO'!N534," ")</f>
        <v xml:space="preserve"> </v>
      </c>
      <c r="U187" s="875" t="str">
        <f>+IF(OR(O187="Blaze Shield II",O187="Cafco 400",O187="Cafco 300"),'CALCULO MORTERO'!O534," ")</f>
        <v xml:space="preserve"> </v>
      </c>
      <c r="V187" s="161" t="str" cm="1">
        <f t="array" ref="V187">_xlfn.IFS(O187="Blaze Shield II",'CALCULO MORTERO'!P188, O187="Cafco 400",'CALCULO MORTERO'!Q188,O187="Cafco 300",'CALCULO MORTERO'!S188, AND(OR(O187="Fire tex 5090", O187="Fire Tex 5062", O187="Fire Tex 5120", O187="Fire Control"),Q187&gt;0), "CERT.",TRUE,"-")</f>
        <v>-</v>
      </c>
      <c r="W187" s="167"/>
      <c r="X187" s="167"/>
    </row>
    <row r="188" spans="1:24" x14ac:dyDescent="0.2">
      <c r="A188" s="903"/>
      <c r="B188" s="907"/>
      <c r="C188" s="874"/>
      <c r="D188" s="874"/>
      <c r="E188" s="874"/>
      <c r="F188" s="905"/>
      <c r="G188" s="874"/>
      <c r="H188" s="874"/>
      <c r="I188" s="906"/>
      <c r="J188" s="162"/>
      <c r="K188" s="161"/>
      <c r="L188" s="161"/>
      <c r="M188" s="169"/>
      <c r="N188" s="163" t="str">
        <f t="shared" si="6"/>
        <v/>
      </c>
      <c r="O188" s="41"/>
      <c r="P188" s="41"/>
      <c r="Q188" s="161" t="str">
        <f>+IF(OR(O188="Fire Control",O188="Fire Tex 5062",O188="Fire Tex 5090",O188="Fire Tex 5120"),'CALCULO PINTURA'!P531," ")</f>
        <v xml:space="preserve"> </v>
      </c>
      <c r="R188" s="164" t="str">
        <f>+IF(OR(O188="Fire Control",O188="Fire Tex 5062",O188="Fire Tex 5090",O188="Fire Tex 5120"),'CALCULO PINTURA'!R531," ")</f>
        <v xml:space="preserve"> </v>
      </c>
      <c r="S188" s="164" t="str">
        <f>+IF(OR(O188="Fire Control",O188="Fire Tex 5062",O188="Fire Tex 5090",O188="Fire Tex 5120"),'CALCULO PINTURA'!S531," ")</f>
        <v xml:space="preserve"> </v>
      </c>
      <c r="T188" s="874" t="str">
        <f>+IF(OR(O188="Blaze Shield II",O188="Cafco 400",O188="Cafco 300"),'CALCULO MORTERO'!N536," ")</f>
        <v xml:space="preserve"> </v>
      </c>
      <c r="U188" s="875" t="str">
        <f>+IF(OR(O188="Blaze Shield II",O188="Cafco 400",O188="Cafco 300"),'CALCULO MORTERO'!O536," ")</f>
        <v xml:space="preserve"> </v>
      </c>
      <c r="V188" s="161" t="str" cm="1">
        <f t="array" ref="V188">_xlfn.IFS(O188="Blaze Shield II",'CALCULO MORTERO'!P189, O188="Cafco 400",'CALCULO MORTERO'!Q189,O188="Cafco 300",'CALCULO MORTERO'!S189, AND(OR(O188="Fire tex 5090", O188="Fire Tex 5062", O188="Fire Tex 5120", O188="Fire Control"),Q188&gt;0), "CERT.",TRUE,"-")</f>
        <v>-</v>
      </c>
      <c r="W188" s="167"/>
      <c r="X188" s="167"/>
    </row>
    <row r="189" spans="1:24" x14ac:dyDescent="0.2">
      <c r="A189" s="903"/>
      <c r="B189" s="907"/>
      <c r="C189" s="874"/>
      <c r="D189" s="874"/>
      <c r="E189" s="874"/>
      <c r="F189" s="905"/>
      <c r="G189" s="874"/>
      <c r="H189" s="874"/>
      <c r="I189" s="906"/>
      <c r="J189" s="162"/>
      <c r="K189" s="161"/>
      <c r="L189" s="161"/>
      <c r="M189" s="169"/>
      <c r="N189" s="163" t="str">
        <f t="shared" si="6"/>
        <v/>
      </c>
      <c r="O189" s="41"/>
      <c r="P189" s="41"/>
      <c r="Q189" s="161" t="str">
        <f>+IF(OR(O189="Fire Control",O189="Fire Tex 5062",O189="Fire Tex 5090",O189="Fire Tex 5120"),'CALCULO PINTURA'!P533," ")</f>
        <v xml:space="preserve"> </v>
      </c>
      <c r="R189" s="164" t="str">
        <f>+IF(OR(O189="Fire Control",O189="Fire Tex 5062",O189="Fire Tex 5090",O189="Fire Tex 5120"),'CALCULO PINTURA'!R533," ")</f>
        <v xml:space="preserve"> </v>
      </c>
      <c r="S189" s="164" t="str">
        <f>+IF(OR(O189="Fire Control",O189="Fire Tex 5062",O189="Fire Tex 5090",O189="Fire Tex 5120"),'CALCULO PINTURA'!S533," ")</f>
        <v xml:space="preserve"> </v>
      </c>
      <c r="T189" s="874" t="str">
        <f>+IF(OR(O189="Blaze Shield II",O189="Cafco 400",O189="Cafco 300"),'CALCULO MORTERO'!N538," ")</f>
        <v xml:space="preserve"> </v>
      </c>
      <c r="U189" s="875" t="str">
        <f>+IF(OR(O189="Blaze Shield II",O189="Cafco 400",O189="Cafco 300"),'CALCULO MORTERO'!O538," ")</f>
        <v xml:space="preserve"> </v>
      </c>
      <c r="V189" s="161" t="str" cm="1">
        <f t="array" ref="V189">_xlfn.IFS(O189="Blaze Shield II",'CALCULO MORTERO'!P190, O189="Cafco 400",'CALCULO MORTERO'!Q190,O189="Cafco 300",'CALCULO MORTERO'!S190, AND(OR(O189="Fire tex 5090", O189="Fire Tex 5062", O189="Fire Tex 5120", O189="Fire Control"),Q189&gt;0), "CERT.",TRUE,"-")</f>
        <v>-</v>
      </c>
      <c r="W189" s="167"/>
      <c r="X189" s="167"/>
    </row>
    <row r="190" spans="1:24" x14ac:dyDescent="0.2">
      <c r="A190" s="903"/>
      <c r="B190" s="907"/>
      <c r="C190" s="874"/>
      <c r="D190" s="874"/>
      <c r="E190" s="874"/>
      <c r="F190" s="905"/>
      <c r="G190" s="874"/>
      <c r="H190" s="874"/>
      <c r="I190" s="906"/>
      <c r="J190" s="162"/>
      <c r="K190" s="161"/>
      <c r="L190" s="161"/>
      <c r="M190" s="169"/>
      <c r="N190" s="163" t="str">
        <f t="shared" si="6"/>
        <v/>
      </c>
      <c r="O190" s="41"/>
      <c r="P190" s="41"/>
      <c r="Q190" s="161" t="str">
        <f>+IF(OR(O190="Fire Control",O190="Fire Tex 5062",O190="Fire Tex 5090",O190="Fire Tex 5120"),'CALCULO PINTURA'!P535," ")</f>
        <v xml:space="preserve"> </v>
      </c>
      <c r="R190" s="164" t="str">
        <f>+IF(OR(O190="Fire Control",O190="Fire Tex 5062",O190="Fire Tex 5090",O190="Fire Tex 5120"),'CALCULO PINTURA'!R535," ")</f>
        <v xml:space="preserve"> </v>
      </c>
      <c r="S190" s="164" t="str">
        <f>+IF(OR(O190="Fire Control",O190="Fire Tex 5062",O190="Fire Tex 5090",O190="Fire Tex 5120"),'CALCULO PINTURA'!S535," ")</f>
        <v xml:space="preserve"> </v>
      </c>
      <c r="T190" s="874" t="str">
        <f>+IF(OR(O190="Blaze Shield II",O190="Cafco 400",O190="Cafco 300"),'CALCULO MORTERO'!N540," ")</f>
        <v xml:space="preserve"> </v>
      </c>
      <c r="U190" s="875" t="str">
        <f>+IF(OR(O190="Blaze Shield II",O190="Cafco 400",O190="Cafco 300"),'CALCULO MORTERO'!O540," ")</f>
        <v xml:space="preserve"> </v>
      </c>
      <c r="V190" s="161" t="str" cm="1">
        <f t="array" ref="V190">_xlfn.IFS(O190="Blaze Shield II",'CALCULO MORTERO'!P191, O190="Cafco 400",'CALCULO MORTERO'!Q191,O190="Cafco 300",'CALCULO MORTERO'!S191, AND(OR(O190="Fire tex 5090", O190="Fire Tex 5062", O190="Fire Tex 5120", O190="Fire Control"),Q190&gt;0), "CERT.",TRUE,"-")</f>
        <v>-</v>
      </c>
      <c r="W190" s="167"/>
      <c r="X190" s="167"/>
    </row>
    <row r="191" spans="1:24" x14ac:dyDescent="0.2">
      <c r="A191" s="903"/>
      <c r="B191" s="904"/>
      <c r="C191" s="874"/>
      <c r="D191" s="874"/>
      <c r="E191" s="905"/>
      <c r="F191" s="905"/>
      <c r="G191" s="874"/>
      <c r="H191" s="874"/>
      <c r="I191" s="906"/>
      <c r="J191" s="162"/>
      <c r="K191" s="161"/>
      <c r="L191" s="161"/>
      <c r="M191" s="169"/>
      <c r="N191" s="163" t="str">
        <f t="shared" si="6"/>
        <v/>
      </c>
      <c r="O191" s="41"/>
      <c r="P191" s="41"/>
      <c r="Q191" s="161" t="str">
        <f>+IF(OR(O191="Fire Control",O191="Fire Tex 5062",O191="Fire Tex 5090",O191="Fire Tex 5120"),'CALCULO PINTURA'!P192," ")</f>
        <v xml:space="preserve"> </v>
      </c>
      <c r="R191" s="164" t="str">
        <f>+IF(OR(O191="Fire Control",O191="Fire Tex 5062",O191="Fire Tex 5090",O191="Fire Tex 5120"),'CALCULO PINTURA'!R192," ")</f>
        <v xml:space="preserve"> </v>
      </c>
      <c r="S191" s="164" t="str">
        <f>+IF(OR(O191="Fire Control",O191="Fire Tex 5062",O191="Fire Tex 5090",O191="Fire Tex 5120"),'CALCULO PINTURA'!S192," ")</f>
        <v xml:space="preserve"> </v>
      </c>
      <c r="T191" s="874" t="str">
        <f>+IF(OR(O191="Blaze Shield II",O191="Cafco 400",O191="Cafco 300"),'CALCULO MORTERO'!N197," ")</f>
        <v xml:space="preserve"> </v>
      </c>
      <c r="U191" s="875" t="str">
        <f>+IF(OR(O191="Blaze Shield II",O191="Cafco 400",O191="Cafco 300"),'CALCULO MORTERO'!O197," ")</f>
        <v xml:space="preserve"> </v>
      </c>
      <c r="V191" s="161" t="str" cm="1">
        <f t="array" ref="V191">_xlfn.IFS(O191="Blaze Shield II",'CALCULO MORTERO'!P192, O191="Cafco 400",'CALCULO MORTERO'!Q192,O191="Cafco 300",'CALCULO MORTERO'!S192, AND(OR(O191="Fire tex 5090", O191="Fire Tex 5062", O191="Fire Tex 5120", O191="Fire Control"),Q191&gt;0), "CERT.",TRUE,"-")</f>
        <v>-</v>
      </c>
      <c r="W191" s="167"/>
      <c r="X191" s="167"/>
    </row>
    <row r="192" spans="1:24" x14ac:dyDescent="0.2">
      <c r="A192" s="903"/>
      <c r="B192" s="904"/>
      <c r="C192" s="874"/>
      <c r="D192" s="874"/>
      <c r="E192" s="905"/>
      <c r="F192" s="905"/>
      <c r="G192" s="874"/>
      <c r="H192" s="874"/>
      <c r="I192" s="906"/>
      <c r="J192" s="162"/>
      <c r="K192" s="161"/>
      <c r="L192" s="161"/>
      <c r="M192" s="169"/>
      <c r="N192" s="163" t="str">
        <f t="shared" si="6"/>
        <v/>
      </c>
      <c r="O192" s="41"/>
      <c r="P192" s="41"/>
      <c r="Q192" s="161" t="str">
        <f>+IF(OR(O192="Fire Control",O192="Fire Tex 5062",O192="Fire Tex 5090",O192="Fire Tex 5120"),'CALCULO PINTURA'!P193," ")</f>
        <v xml:space="preserve"> </v>
      </c>
      <c r="R192" s="164" t="str">
        <f>+IF(OR(O192="Fire Control",O192="Fire Tex 5062",O192="Fire Tex 5090",O192="Fire Tex 5120"),'CALCULO PINTURA'!R193," ")</f>
        <v xml:space="preserve"> </v>
      </c>
      <c r="S192" s="164" t="str">
        <f>+IF(OR(O192="Fire Control",O192="Fire Tex 5062",O192="Fire Tex 5090",O192="Fire Tex 5120"),'CALCULO PINTURA'!S193," ")</f>
        <v xml:space="preserve"> </v>
      </c>
      <c r="T192" s="874" t="str">
        <f>+IF(OR(O192="Blaze Shield II",O192="Cafco 400",O192="Cafco 300"),'CALCULO MORTERO'!N198," ")</f>
        <v xml:space="preserve"> </v>
      </c>
      <c r="U192" s="875" t="str">
        <f>+IF(OR(O192="Blaze Shield II",O192="Cafco 400",O192="Cafco 300"),'CALCULO MORTERO'!O198," ")</f>
        <v xml:space="preserve"> </v>
      </c>
      <c r="V192" s="161" t="str" cm="1">
        <f t="array" ref="V192">_xlfn.IFS(O192="Blaze Shield II",'CALCULO MORTERO'!P193, O192="Cafco 400",'CALCULO MORTERO'!Q193,O192="Cafco 300",'CALCULO MORTERO'!S193, AND(OR(O192="Fire tex 5090", O192="Fire Tex 5062", O192="Fire Tex 5120", O192="Fire Control"),Q192&gt;0), "CERT.",TRUE,"-")</f>
        <v>-</v>
      </c>
      <c r="W192" s="167"/>
      <c r="X192" s="167"/>
    </row>
    <row r="193" spans="1:24" x14ac:dyDescent="0.2">
      <c r="A193" s="903"/>
      <c r="B193" s="904"/>
      <c r="C193" s="874"/>
      <c r="D193" s="874"/>
      <c r="E193" s="905"/>
      <c r="F193" s="905"/>
      <c r="G193" s="874"/>
      <c r="H193" s="874"/>
      <c r="I193" s="906"/>
      <c r="J193" s="162"/>
      <c r="K193" s="161"/>
      <c r="L193" s="161"/>
      <c r="M193" s="169"/>
      <c r="N193" s="163" t="str">
        <f t="shared" si="6"/>
        <v/>
      </c>
      <c r="O193" s="41"/>
      <c r="P193" s="41"/>
      <c r="Q193" s="161" t="str">
        <f>+IF(OR(O193="Fire Control",O193="Fire Tex 5062",O193="Fire Tex 5090",O193="Fire Tex 5120"),'CALCULO PINTURA'!P194," ")</f>
        <v xml:space="preserve"> </v>
      </c>
      <c r="R193" s="164" t="str">
        <f>+IF(OR(O193="Fire Control",O193="Fire Tex 5062",O193="Fire Tex 5090",O193="Fire Tex 5120"),'CALCULO PINTURA'!R194," ")</f>
        <v xml:space="preserve"> </v>
      </c>
      <c r="S193" s="164" t="str">
        <f>+IF(OR(O193="Fire Control",O193="Fire Tex 5062",O193="Fire Tex 5090",O193="Fire Tex 5120"),'CALCULO PINTURA'!S194," ")</f>
        <v xml:space="preserve"> </v>
      </c>
      <c r="T193" s="874" t="str">
        <f>+IF(OR(O193="Blaze Shield II",O193="Cafco 400",O193="Cafco 300"),'CALCULO MORTERO'!N199," ")</f>
        <v xml:space="preserve"> </v>
      </c>
      <c r="U193" s="875" t="str">
        <f>+IF(OR(O193="Blaze Shield II",O193="Cafco 400",O193="Cafco 300"),'CALCULO MORTERO'!O199," ")</f>
        <v xml:space="preserve"> </v>
      </c>
      <c r="V193" s="161" t="str" cm="1">
        <f t="array" ref="V193">_xlfn.IFS(O193="Blaze Shield II",'CALCULO MORTERO'!P194, O193="Cafco 400",'CALCULO MORTERO'!Q194,O193="Cafco 300",'CALCULO MORTERO'!S194, AND(OR(O193="Fire tex 5090", O193="Fire Tex 5062", O193="Fire Tex 5120", O193="Fire Control"),Q193&gt;0), "CERT.",TRUE,"-")</f>
        <v>-</v>
      </c>
      <c r="W193" s="167"/>
      <c r="X193" s="167"/>
    </row>
    <row r="194" spans="1:24" x14ac:dyDescent="0.2">
      <c r="A194" s="903"/>
      <c r="B194" s="904"/>
      <c r="C194" s="874"/>
      <c r="D194" s="874"/>
      <c r="E194" s="905"/>
      <c r="F194" s="905"/>
      <c r="G194" s="874"/>
      <c r="H194" s="874"/>
      <c r="I194" s="906"/>
      <c r="J194" s="162"/>
      <c r="K194" s="161"/>
      <c r="L194" s="161"/>
      <c r="M194" s="169"/>
      <c r="N194" s="163" t="str">
        <f t="shared" si="6"/>
        <v/>
      </c>
      <c r="O194" s="41"/>
      <c r="P194" s="41"/>
      <c r="Q194" s="161" t="str">
        <f>+IF(OR(O194="Fire Control",O194="Fire Tex 5062",O194="Fire Tex 5090",O194="Fire Tex 5120"),'CALCULO PINTURA'!P195," ")</f>
        <v xml:space="preserve"> </v>
      </c>
      <c r="R194" s="164" t="str">
        <f>+IF(OR(O194="Fire Control",O194="Fire Tex 5062",O194="Fire Tex 5090",O194="Fire Tex 5120"),'CALCULO PINTURA'!R195," ")</f>
        <v xml:space="preserve"> </v>
      </c>
      <c r="S194" s="164" t="str">
        <f>+IF(OR(O194="Fire Control",O194="Fire Tex 5062",O194="Fire Tex 5090",O194="Fire Tex 5120"),'CALCULO PINTURA'!S195," ")</f>
        <v xml:space="preserve"> </v>
      </c>
      <c r="T194" s="874" t="str">
        <f>+IF(OR(O194="Blaze Shield II",O194="Cafco 400",O194="Cafco 300"),'CALCULO MORTERO'!N200," ")</f>
        <v xml:space="preserve"> </v>
      </c>
      <c r="U194" s="875" t="str">
        <f>+IF(OR(O194="Blaze Shield II",O194="Cafco 400",O194="Cafco 300"),'CALCULO MORTERO'!O200," ")</f>
        <v xml:space="preserve"> </v>
      </c>
      <c r="V194" s="161" t="str" cm="1">
        <f t="array" ref="V194">_xlfn.IFS(O194="Blaze Shield II",'CALCULO MORTERO'!P195, O194="Cafco 400",'CALCULO MORTERO'!Q195,O194="Cafco 300",'CALCULO MORTERO'!S195, AND(OR(O194="Fire tex 5090", O194="Fire Tex 5062", O194="Fire Tex 5120", O194="Fire Control"),Q194&gt;0), "CERT.",TRUE,"-")</f>
        <v>-</v>
      </c>
      <c r="W194" s="167"/>
      <c r="X194" s="167"/>
    </row>
    <row r="195" spans="1:24" x14ac:dyDescent="0.2">
      <c r="A195" s="903"/>
      <c r="B195" s="904"/>
      <c r="C195" s="874"/>
      <c r="D195" s="874"/>
      <c r="E195" s="905"/>
      <c r="F195" s="905"/>
      <c r="G195" s="874"/>
      <c r="H195" s="874"/>
      <c r="I195" s="906"/>
      <c r="J195" s="162"/>
      <c r="K195" s="161"/>
      <c r="L195" s="161"/>
      <c r="M195" s="169"/>
      <c r="N195" s="163" t="str">
        <f t="shared" si="6"/>
        <v/>
      </c>
      <c r="O195" s="41"/>
      <c r="P195" s="41"/>
      <c r="Q195" s="161" t="str">
        <f>+IF(OR(O195="Fire Control",O195="Fire Tex 5062",O195="Fire Tex 5090",O195="Fire Tex 5120"),'CALCULO PINTURA'!P196," ")</f>
        <v xml:space="preserve"> </v>
      </c>
      <c r="R195" s="164" t="str">
        <f>+IF(OR(O195="Fire Control",O195="Fire Tex 5062",O195="Fire Tex 5090",O195="Fire Tex 5120"),'CALCULO PINTURA'!R196," ")</f>
        <v xml:space="preserve"> </v>
      </c>
      <c r="S195" s="164" t="str">
        <f>+IF(OR(O195="Fire Control",O195="Fire Tex 5062",O195="Fire Tex 5090",O195="Fire Tex 5120"),'CALCULO PINTURA'!S196," ")</f>
        <v xml:space="preserve"> </v>
      </c>
      <c r="T195" s="874" t="str">
        <f>+IF(OR(O195="Blaze Shield II",O195="Cafco 400",O195="Cafco 300"),'CALCULO MORTERO'!N201," ")</f>
        <v xml:space="preserve"> </v>
      </c>
      <c r="U195" s="875" t="str">
        <f>+IF(OR(O195="Blaze Shield II",O195="Cafco 400",O195="Cafco 300"),'CALCULO MORTERO'!O201," ")</f>
        <v xml:space="preserve"> </v>
      </c>
      <c r="V195" s="161" t="str" cm="1">
        <f t="array" ref="V195">_xlfn.IFS(O195="Blaze Shield II",'CALCULO MORTERO'!P196, O195="Cafco 400",'CALCULO MORTERO'!Q196,O195="Cafco 300",'CALCULO MORTERO'!S196, AND(OR(O195="Fire tex 5090", O195="Fire Tex 5062", O195="Fire Tex 5120", O195="Fire Control"),Q195&gt;0), "CERT.",TRUE,"-")</f>
        <v>-</v>
      </c>
      <c r="W195" s="167"/>
      <c r="X195" s="167"/>
    </row>
    <row r="196" spans="1:24" x14ac:dyDescent="0.2">
      <c r="A196" s="903"/>
      <c r="B196" s="904"/>
      <c r="C196" s="874"/>
      <c r="D196" s="874"/>
      <c r="E196" s="905"/>
      <c r="F196" s="905"/>
      <c r="G196" s="874"/>
      <c r="H196" s="874"/>
      <c r="I196" s="906"/>
      <c r="J196" s="162"/>
      <c r="K196" s="161"/>
      <c r="L196" s="161"/>
      <c r="M196" s="169"/>
      <c r="N196" s="163" t="str">
        <f t="shared" ref="N196:N259" si="7">+IF(F196="","",(K196*I196*H196*G196)/1000000)</f>
        <v/>
      </c>
      <c r="O196" s="41"/>
      <c r="P196" s="41"/>
      <c r="Q196" s="161" t="str">
        <f>+IF(OR(O196="Fire Control",O196="Fire Tex 5062",O196="Fire Tex 5090",O196="Fire Tex 5120"),'CALCULO PINTURA'!P197," ")</f>
        <v xml:space="preserve"> </v>
      </c>
      <c r="R196" s="164" t="str">
        <f>+IF(OR(O196="Fire Control",O196="Fire Tex 5062",O196="Fire Tex 5090",O196="Fire Tex 5120"),'CALCULO PINTURA'!R197," ")</f>
        <v xml:space="preserve"> </v>
      </c>
      <c r="S196" s="164" t="str">
        <f>+IF(OR(O196="Fire Control",O196="Fire Tex 5062",O196="Fire Tex 5090",O196="Fire Tex 5120"),'CALCULO PINTURA'!S197," ")</f>
        <v xml:space="preserve"> </v>
      </c>
      <c r="T196" s="874" t="str">
        <f>+IF(OR(O196="Blaze Shield II",O196="Cafco 400",O196="Cafco 300"),'CALCULO MORTERO'!N202," ")</f>
        <v xml:space="preserve"> </v>
      </c>
      <c r="U196" s="875" t="str">
        <f>+IF(OR(O196="Blaze Shield II",O196="Cafco 400",O196="Cafco 300"),'CALCULO MORTERO'!O202," ")</f>
        <v xml:space="preserve"> </v>
      </c>
      <c r="V196" s="161" t="str" cm="1">
        <f t="array" ref="V196">_xlfn.IFS(O196="Blaze Shield II",'CALCULO MORTERO'!P197, O196="Cafco 400",'CALCULO MORTERO'!Q197,O196="Cafco 300",'CALCULO MORTERO'!S197, AND(OR(O196="Fire tex 5090", O196="Fire Tex 5062", O196="Fire Tex 5120", O196="Fire Control"),Q196&gt;0), "CERT.",TRUE,"-")</f>
        <v>-</v>
      </c>
      <c r="W196" s="167"/>
      <c r="X196" s="167"/>
    </row>
    <row r="197" spans="1:24" x14ac:dyDescent="0.2">
      <c r="A197" s="903"/>
      <c r="B197" s="904"/>
      <c r="C197" s="874"/>
      <c r="D197" s="874"/>
      <c r="E197" s="905"/>
      <c r="F197" s="905"/>
      <c r="G197" s="874"/>
      <c r="H197" s="874"/>
      <c r="I197" s="906"/>
      <c r="J197" s="162"/>
      <c r="K197" s="161"/>
      <c r="L197" s="161"/>
      <c r="M197" s="169"/>
      <c r="N197" s="163" t="str">
        <f t="shared" si="7"/>
        <v/>
      </c>
      <c r="O197" s="41"/>
      <c r="P197" s="41"/>
      <c r="Q197" s="161" t="str">
        <f>+IF(OR(O197="Fire Control",O197="Fire Tex 5062",O197="Fire Tex 5090",O197="Fire Tex 5120"),'CALCULO PINTURA'!P198," ")</f>
        <v xml:space="preserve"> </v>
      </c>
      <c r="R197" s="164" t="str">
        <f>+IF(OR(O197="Fire Control",O197="Fire Tex 5062",O197="Fire Tex 5090",O197="Fire Tex 5120"),'CALCULO PINTURA'!R198," ")</f>
        <v xml:space="preserve"> </v>
      </c>
      <c r="S197" s="164" t="str">
        <f>+IF(OR(O197="Fire Control",O197="Fire Tex 5062",O197="Fire Tex 5090",O197="Fire Tex 5120"),'CALCULO PINTURA'!S198," ")</f>
        <v xml:space="preserve"> </v>
      </c>
      <c r="T197" s="874" t="str">
        <f>+IF(OR(O197="Blaze Shield II",O197="Cafco 400",O197="Cafco 300"),'CALCULO MORTERO'!N203," ")</f>
        <v xml:space="preserve"> </v>
      </c>
      <c r="U197" s="875" t="str">
        <f>+IF(OR(O197="Blaze Shield II",O197="Cafco 400",O197="Cafco 300"),'CALCULO MORTERO'!O203," ")</f>
        <v xml:space="preserve"> </v>
      </c>
      <c r="V197" s="161" t="str" cm="1">
        <f t="array" ref="V197">_xlfn.IFS(O197="Blaze Shield II",'CALCULO MORTERO'!P198, O197="Cafco 400",'CALCULO MORTERO'!Q198,O197="Cafco 300",'CALCULO MORTERO'!S198, AND(OR(O197="Fire tex 5090", O197="Fire Tex 5062", O197="Fire Tex 5120", O197="Fire Control"),Q197&gt;0), "CERT.",TRUE,"-")</f>
        <v>-</v>
      </c>
      <c r="W197" s="167"/>
      <c r="X197" s="167"/>
    </row>
    <row r="198" spans="1:24" x14ac:dyDescent="0.2">
      <c r="A198" s="903"/>
      <c r="B198" s="904"/>
      <c r="C198" s="874"/>
      <c r="D198" s="874"/>
      <c r="E198" s="905"/>
      <c r="F198" s="905"/>
      <c r="G198" s="874"/>
      <c r="H198" s="874"/>
      <c r="I198" s="906"/>
      <c r="J198" s="162"/>
      <c r="K198" s="161"/>
      <c r="L198" s="161"/>
      <c r="M198" s="169"/>
      <c r="N198" s="163" t="str">
        <f t="shared" si="7"/>
        <v/>
      </c>
      <c r="O198" s="41"/>
      <c r="P198" s="41"/>
      <c r="Q198" s="161" t="str">
        <f>+IF(OR(O198="Fire Control",O198="Fire Tex 5062",O198="Fire Tex 5090",O198="Fire Tex 5120"),'CALCULO PINTURA'!P199," ")</f>
        <v xml:space="preserve"> </v>
      </c>
      <c r="R198" s="164" t="str">
        <f>+IF(OR(O198="Fire Control",O198="Fire Tex 5062",O198="Fire Tex 5090",O198="Fire Tex 5120"),'CALCULO PINTURA'!R199," ")</f>
        <v xml:space="preserve"> </v>
      </c>
      <c r="S198" s="164" t="str">
        <f>+IF(OR(O198="Fire Control",O198="Fire Tex 5062",O198="Fire Tex 5090",O198="Fire Tex 5120"),'CALCULO PINTURA'!S199," ")</f>
        <v xml:space="preserve"> </v>
      </c>
      <c r="T198" s="874" t="str">
        <f>+IF(OR(O198="Blaze Shield II",O198="Cafco 400",O198="Cafco 300"),'CALCULO MORTERO'!N204," ")</f>
        <v xml:space="preserve"> </v>
      </c>
      <c r="U198" s="875" t="str">
        <f>+IF(OR(O198="Blaze Shield II",O198="Cafco 400",O198="Cafco 300"),'CALCULO MORTERO'!O204," ")</f>
        <v xml:space="preserve"> </v>
      </c>
      <c r="V198" s="161" t="str" cm="1">
        <f t="array" ref="V198">_xlfn.IFS(O198="Blaze Shield II",'CALCULO MORTERO'!P199, O198="Cafco 400",'CALCULO MORTERO'!Q199,O198="Cafco 300",'CALCULO MORTERO'!S199, AND(OR(O198="Fire tex 5090", O198="Fire Tex 5062", O198="Fire Tex 5120", O198="Fire Control"),Q198&gt;0), "CERT.",TRUE,"-")</f>
        <v>-</v>
      </c>
      <c r="W198" s="167"/>
      <c r="X198" s="167"/>
    </row>
    <row r="199" spans="1:24" x14ac:dyDescent="0.2">
      <c r="A199" s="903"/>
      <c r="B199" s="904"/>
      <c r="C199" s="874"/>
      <c r="D199" s="874"/>
      <c r="E199" s="905"/>
      <c r="F199" s="905"/>
      <c r="G199" s="874"/>
      <c r="H199" s="874"/>
      <c r="I199" s="906"/>
      <c r="J199" s="162"/>
      <c r="K199" s="161"/>
      <c r="L199" s="161"/>
      <c r="M199" s="169"/>
      <c r="N199" s="163" t="str">
        <f t="shared" si="7"/>
        <v/>
      </c>
      <c r="O199" s="41"/>
      <c r="P199" s="41"/>
      <c r="Q199" s="161" t="str">
        <f>+IF(OR(O199="Fire Control",O199="Fire Tex 5062",O199="Fire Tex 5090",O199="Fire Tex 5120"),'CALCULO PINTURA'!P200," ")</f>
        <v xml:space="preserve"> </v>
      </c>
      <c r="R199" s="164" t="str">
        <f>+IF(OR(O199="Fire Control",O199="Fire Tex 5062",O199="Fire Tex 5090",O199="Fire Tex 5120"),'CALCULO PINTURA'!R200," ")</f>
        <v xml:space="preserve"> </v>
      </c>
      <c r="S199" s="164" t="str">
        <f>+IF(OR(O199="Fire Control",O199="Fire Tex 5062",O199="Fire Tex 5090",O199="Fire Tex 5120"),'CALCULO PINTURA'!S200," ")</f>
        <v xml:space="preserve"> </v>
      </c>
      <c r="T199" s="874" t="str">
        <f>+IF(OR(O199="Blaze Shield II",O199="Cafco 400",O199="Cafco 300"),'CALCULO MORTERO'!N205," ")</f>
        <v xml:space="preserve"> </v>
      </c>
      <c r="U199" s="875" t="str">
        <f>+IF(OR(O199="Blaze Shield II",O199="Cafco 400",O199="Cafco 300"),'CALCULO MORTERO'!O205," ")</f>
        <v xml:space="preserve"> </v>
      </c>
      <c r="V199" s="161" t="str" cm="1">
        <f t="array" ref="V199">_xlfn.IFS(O199="Blaze Shield II",'CALCULO MORTERO'!P200, O199="Cafco 400",'CALCULO MORTERO'!Q200,O199="Cafco 300",'CALCULO MORTERO'!S200, AND(OR(O199="Fire tex 5090", O199="Fire Tex 5062", O199="Fire Tex 5120", O199="Fire Control"),Q199&gt;0), "CERT.",TRUE,"-")</f>
        <v>-</v>
      </c>
      <c r="W199" s="167"/>
      <c r="X199" s="167"/>
    </row>
    <row r="200" spans="1:24" x14ac:dyDescent="0.2">
      <c r="A200" s="903"/>
      <c r="B200" s="907"/>
      <c r="C200" s="874"/>
      <c r="D200" s="874"/>
      <c r="E200" s="874"/>
      <c r="F200" s="905"/>
      <c r="G200" s="874"/>
      <c r="H200" s="874"/>
      <c r="I200" s="906"/>
      <c r="J200" s="162"/>
      <c r="K200" s="161"/>
      <c r="L200" s="161"/>
      <c r="M200" s="169"/>
      <c r="N200" s="163" t="str">
        <f t="shared" si="7"/>
        <v/>
      </c>
      <c r="O200" s="41"/>
      <c r="P200" s="41"/>
      <c r="Q200" s="161" t="str">
        <f>+IF(OR(O200="Fire Control",O200="Fire Tex 5062",O200="Fire Tex 5090",O200="Fire Tex 5120"),'CALCULO PINTURA'!P537," ")</f>
        <v xml:space="preserve"> </v>
      </c>
      <c r="R200" s="164" t="str">
        <f>+IF(OR(O200="Fire Control",O200="Fire Tex 5062",O200="Fire Tex 5090",O200="Fire Tex 5120"),'CALCULO PINTURA'!R537," ")</f>
        <v xml:space="preserve"> </v>
      </c>
      <c r="S200" s="164" t="str">
        <f>+IF(OR(O200="Fire Control",O200="Fire Tex 5062",O200="Fire Tex 5090",O200="Fire Tex 5120"),'CALCULO PINTURA'!S537," ")</f>
        <v xml:space="preserve"> </v>
      </c>
      <c r="T200" s="874" t="str">
        <f>+IF(OR(O200="Blaze Shield II",O200="Cafco 400",O200="Cafco 300"),'CALCULO MORTERO'!N542," ")</f>
        <v xml:space="preserve"> </v>
      </c>
      <c r="U200" s="875" t="str">
        <f>+IF(OR(O200="Blaze Shield II",O200="Cafco 400",O200="Cafco 300"),'CALCULO MORTERO'!O542," ")</f>
        <v xml:space="preserve"> </v>
      </c>
      <c r="V200" s="161" t="str" cm="1">
        <f t="array" ref="V200">_xlfn.IFS(O200="Blaze Shield II",'CALCULO MORTERO'!P201, O200="Cafco 400",'CALCULO MORTERO'!Q201,O200="Cafco 300",'CALCULO MORTERO'!S201, AND(OR(O200="Fire tex 5090", O200="Fire Tex 5062", O200="Fire Tex 5120", O200="Fire Control"),Q200&gt;0), "CERT.",TRUE,"-")</f>
        <v>-</v>
      </c>
      <c r="W200" s="167"/>
      <c r="X200" s="167"/>
    </row>
    <row r="201" spans="1:24" x14ac:dyDescent="0.2">
      <c r="A201" s="903"/>
      <c r="B201" s="904"/>
      <c r="C201" s="874"/>
      <c r="D201" s="874"/>
      <c r="E201" s="905"/>
      <c r="F201" s="905"/>
      <c r="G201" s="874"/>
      <c r="H201" s="874"/>
      <c r="I201" s="906"/>
      <c r="J201" s="162"/>
      <c r="K201" s="161"/>
      <c r="L201" s="161"/>
      <c r="M201" s="169"/>
      <c r="N201" s="163" t="str">
        <f t="shared" si="7"/>
        <v/>
      </c>
      <c r="O201" s="41"/>
      <c r="P201" s="41"/>
      <c r="Q201" s="161" t="str">
        <f>+IF(OR(O201="Fire Control",O201="Fire Tex 5062",O201="Fire Tex 5090",O201="Fire Tex 5120"),'CALCULO PINTURA'!P202," ")</f>
        <v xml:space="preserve"> </v>
      </c>
      <c r="R201" s="164" t="str">
        <f>+IF(OR(O201="Fire Control",O201="Fire Tex 5062",O201="Fire Tex 5090",O201="Fire Tex 5120"),'CALCULO PINTURA'!R202," ")</f>
        <v xml:space="preserve"> </v>
      </c>
      <c r="S201" s="164" t="str">
        <f>+IF(OR(O201="Fire Control",O201="Fire Tex 5062",O201="Fire Tex 5090",O201="Fire Tex 5120"),'CALCULO PINTURA'!S202," ")</f>
        <v xml:space="preserve"> </v>
      </c>
      <c r="T201" s="874" t="str">
        <f>+IF(OR(O201="Blaze Shield II",O201="Cafco 400",O201="Cafco 300"),'CALCULO MORTERO'!N207," ")</f>
        <v xml:space="preserve"> </v>
      </c>
      <c r="U201" s="875" t="str">
        <f>+IF(OR(O201="Blaze Shield II",O201="Cafco 400",O201="Cafco 300"),'CALCULO MORTERO'!O207," ")</f>
        <v xml:space="preserve"> </v>
      </c>
      <c r="V201" s="161" t="str" cm="1">
        <f t="array" ref="V201">_xlfn.IFS(O201="Blaze Shield II",'CALCULO MORTERO'!P202, O201="Cafco 400",'CALCULO MORTERO'!Q202,O201="Cafco 300",'CALCULO MORTERO'!S202, AND(OR(O201="Fire tex 5090", O201="Fire Tex 5062", O201="Fire Tex 5120", O201="Fire Control"),Q201&gt;0), "CERT.",TRUE,"-")</f>
        <v>-</v>
      </c>
      <c r="W201" s="167"/>
      <c r="X201" s="167"/>
    </row>
    <row r="202" spans="1:24" x14ac:dyDescent="0.2">
      <c r="A202" s="903"/>
      <c r="B202" s="904"/>
      <c r="C202" s="874"/>
      <c r="D202" s="874"/>
      <c r="E202" s="905"/>
      <c r="F202" s="905"/>
      <c r="G202" s="874"/>
      <c r="H202" s="874"/>
      <c r="I202" s="906"/>
      <c r="J202" s="162"/>
      <c r="K202" s="161"/>
      <c r="L202" s="161"/>
      <c r="M202" s="169"/>
      <c r="N202" s="163" t="str">
        <f t="shared" si="7"/>
        <v/>
      </c>
      <c r="O202" s="41"/>
      <c r="P202" s="41"/>
      <c r="Q202" s="161" t="str">
        <f>+IF(OR(O202="Fire Control",O202="Fire Tex 5062",O202="Fire Tex 5090",O202="Fire Tex 5120"),'CALCULO PINTURA'!P203," ")</f>
        <v xml:space="preserve"> </v>
      </c>
      <c r="R202" s="164" t="str">
        <f>+IF(OR(O202="Fire Control",O202="Fire Tex 5062",O202="Fire Tex 5090",O202="Fire Tex 5120"),'CALCULO PINTURA'!R203," ")</f>
        <v xml:space="preserve"> </v>
      </c>
      <c r="S202" s="164" t="str">
        <f>+IF(OR(O202="Fire Control",O202="Fire Tex 5062",O202="Fire Tex 5090",O202="Fire Tex 5120"),'CALCULO PINTURA'!S203," ")</f>
        <v xml:space="preserve"> </v>
      </c>
      <c r="T202" s="874" t="str">
        <f>+IF(OR(O202="Blaze Shield II",O202="Cafco 400",O202="Cafco 300"),'CALCULO MORTERO'!N208," ")</f>
        <v xml:space="preserve"> </v>
      </c>
      <c r="U202" s="875" t="str">
        <f>+IF(OR(O202="Blaze Shield II",O202="Cafco 400",O202="Cafco 300"),'CALCULO MORTERO'!O208," ")</f>
        <v xml:space="preserve"> </v>
      </c>
      <c r="V202" s="161" t="str" cm="1">
        <f t="array" ref="V202">_xlfn.IFS(O202="Blaze Shield II",'CALCULO MORTERO'!P203, O202="Cafco 400",'CALCULO MORTERO'!Q203,O202="Cafco 300",'CALCULO MORTERO'!S203, AND(OR(O202="Fire tex 5090", O202="Fire Tex 5062", O202="Fire Tex 5120", O202="Fire Control"),Q202&gt;0), "CERT.",TRUE,"-")</f>
        <v>-</v>
      </c>
      <c r="W202" s="167"/>
      <c r="X202" s="167"/>
    </row>
    <row r="203" spans="1:24" x14ac:dyDescent="0.2">
      <c r="A203" s="903"/>
      <c r="B203" s="904"/>
      <c r="C203" s="874"/>
      <c r="D203" s="874"/>
      <c r="E203" s="905"/>
      <c r="F203" s="905"/>
      <c r="G203" s="874"/>
      <c r="H203" s="874"/>
      <c r="I203" s="906"/>
      <c r="J203" s="162"/>
      <c r="K203" s="161"/>
      <c r="L203" s="161"/>
      <c r="M203" s="169"/>
      <c r="N203" s="163" t="str">
        <f t="shared" si="7"/>
        <v/>
      </c>
      <c r="O203" s="41"/>
      <c r="P203" s="41"/>
      <c r="Q203" s="161" t="str">
        <f>+IF(OR(O203="Fire Control",O203="Fire Tex 5062",O203="Fire Tex 5090",O203="Fire Tex 5120"),'CALCULO PINTURA'!P204," ")</f>
        <v xml:space="preserve"> </v>
      </c>
      <c r="R203" s="164" t="str">
        <f>+IF(OR(O203="Fire Control",O203="Fire Tex 5062",O203="Fire Tex 5090",O203="Fire Tex 5120"),'CALCULO PINTURA'!R204," ")</f>
        <v xml:space="preserve"> </v>
      </c>
      <c r="S203" s="164" t="str">
        <f>+IF(OR(O203="Fire Control",O203="Fire Tex 5062",O203="Fire Tex 5090",O203="Fire Tex 5120"),'CALCULO PINTURA'!S204," ")</f>
        <v xml:space="preserve"> </v>
      </c>
      <c r="T203" s="874" t="str">
        <f>+IF(OR(O203="Blaze Shield II",O203="Cafco 400",O203="Cafco 300"),'CALCULO MORTERO'!N209," ")</f>
        <v xml:space="preserve"> </v>
      </c>
      <c r="U203" s="875" t="str">
        <f>+IF(OR(O203="Blaze Shield II",O203="Cafco 400",O203="Cafco 300"),'CALCULO MORTERO'!O209," ")</f>
        <v xml:space="preserve"> </v>
      </c>
      <c r="V203" s="161" t="str" cm="1">
        <f t="array" ref="V203">_xlfn.IFS(O203="Blaze Shield II",'CALCULO MORTERO'!P204, O203="Cafco 400",'CALCULO MORTERO'!Q204,O203="Cafco 300",'CALCULO MORTERO'!S204, AND(OR(O203="Fire tex 5090", O203="Fire Tex 5062", O203="Fire Tex 5120", O203="Fire Control"),Q203&gt;0), "CERT.",TRUE,"-")</f>
        <v>-</v>
      </c>
      <c r="W203" s="167"/>
      <c r="X203" s="167"/>
    </row>
    <row r="204" spans="1:24" x14ac:dyDescent="0.2">
      <c r="A204" s="903"/>
      <c r="B204" s="904"/>
      <c r="C204" s="874"/>
      <c r="D204" s="874"/>
      <c r="E204" s="905"/>
      <c r="F204" s="905"/>
      <c r="G204" s="874"/>
      <c r="H204" s="874"/>
      <c r="I204" s="906"/>
      <c r="J204" s="162"/>
      <c r="K204" s="161"/>
      <c r="L204" s="161"/>
      <c r="M204" s="169"/>
      <c r="N204" s="163" t="str">
        <f t="shared" si="7"/>
        <v/>
      </c>
      <c r="O204" s="41"/>
      <c r="P204" s="41"/>
      <c r="Q204" s="161" t="str">
        <f>+IF(OR(O204="Fire Control",O204="Fire Tex 5062",O204="Fire Tex 5090",O204="Fire Tex 5120"),'CALCULO PINTURA'!P205," ")</f>
        <v xml:space="preserve"> </v>
      </c>
      <c r="R204" s="164" t="str">
        <f>+IF(OR(O204="Fire Control",O204="Fire Tex 5062",O204="Fire Tex 5090",O204="Fire Tex 5120"),'CALCULO PINTURA'!R205," ")</f>
        <v xml:space="preserve"> </v>
      </c>
      <c r="S204" s="164" t="str">
        <f>+IF(OR(O204="Fire Control",O204="Fire Tex 5062",O204="Fire Tex 5090",O204="Fire Tex 5120"),'CALCULO PINTURA'!S205," ")</f>
        <v xml:space="preserve"> </v>
      </c>
      <c r="T204" s="874" t="str">
        <f>+IF(OR(O204="Blaze Shield II",O204="Cafco 400",O204="Cafco 300"),'CALCULO MORTERO'!N210," ")</f>
        <v xml:space="preserve"> </v>
      </c>
      <c r="U204" s="875" t="str">
        <f>+IF(OR(O204="Blaze Shield II",O204="Cafco 400",O204="Cafco 300"),'CALCULO MORTERO'!O210," ")</f>
        <v xml:space="preserve"> </v>
      </c>
      <c r="V204" s="161" t="str" cm="1">
        <f t="array" ref="V204">_xlfn.IFS(O204="Blaze Shield II",'CALCULO MORTERO'!P205, O204="Cafco 400",'CALCULO MORTERO'!Q205,O204="Cafco 300",'CALCULO MORTERO'!S205, AND(OR(O204="Fire tex 5090", O204="Fire Tex 5062", O204="Fire Tex 5120", O204="Fire Control"),Q204&gt;0), "CERT.",TRUE,"-")</f>
        <v>-</v>
      </c>
      <c r="W204" s="167"/>
      <c r="X204" s="167"/>
    </row>
    <row r="205" spans="1:24" x14ac:dyDescent="0.2">
      <c r="A205" s="903"/>
      <c r="B205" s="904"/>
      <c r="C205" s="874"/>
      <c r="D205" s="874"/>
      <c r="E205" s="905"/>
      <c r="F205" s="905"/>
      <c r="G205" s="874"/>
      <c r="H205" s="874"/>
      <c r="I205" s="906"/>
      <c r="J205" s="162"/>
      <c r="K205" s="161"/>
      <c r="L205" s="161"/>
      <c r="M205" s="169"/>
      <c r="N205" s="163" t="str">
        <f t="shared" si="7"/>
        <v/>
      </c>
      <c r="O205" s="41"/>
      <c r="P205" s="41"/>
      <c r="Q205" s="161" t="str">
        <f>+IF(OR(O205="Fire Control",O205="Fire Tex 5062",O205="Fire Tex 5090",O205="Fire Tex 5120"),'CALCULO PINTURA'!P206," ")</f>
        <v xml:space="preserve"> </v>
      </c>
      <c r="R205" s="164" t="str">
        <f>+IF(OR(O205="Fire Control",O205="Fire Tex 5062",O205="Fire Tex 5090",O205="Fire Tex 5120"),'CALCULO PINTURA'!R206," ")</f>
        <v xml:space="preserve"> </v>
      </c>
      <c r="S205" s="164" t="str">
        <f>+IF(OR(O205="Fire Control",O205="Fire Tex 5062",O205="Fire Tex 5090",O205="Fire Tex 5120"),'CALCULO PINTURA'!S206," ")</f>
        <v xml:space="preserve"> </v>
      </c>
      <c r="T205" s="874" t="str">
        <f>+IF(OR(O205="Blaze Shield II",O205="Cafco 400",O205="Cafco 300"),'CALCULO MORTERO'!N211," ")</f>
        <v xml:space="preserve"> </v>
      </c>
      <c r="U205" s="875" t="str">
        <f>+IF(OR(O205="Blaze Shield II",O205="Cafco 400",O205="Cafco 300"),'CALCULO MORTERO'!O211," ")</f>
        <v xml:space="preserve"> </v>
      </c>
      <c r="V205" s="161" t="str" cm="1">
        <f t="array" ref="V205">_xlfn.IFS(O205="Blaze Shield II",'CALCULO MORTERO'!P206, O205="Cafco 400",'CALCULO MORTERO'!Q206,O205="Cafco 300",'CALCULO MORTERO'!S206, AND(OR(O205="Fire tex 5090", O205="Fire Tex 5062", O205="Fire Tex 5120", O205="Fire Control"),Q205&gt;0), "CERT.",TRUE,"-")</f>
        <v>-</v>
      </c>
      <c r="W205" s="167"/>
      <c r="X205" s="167"/>
    </row>
    <row r="206" spans="1:24" x14ac:dyDescent="0.2">
      <c r="A206" s="903"/>
      <c r="B206" s="904"/>
      <c r="C206" s="874"/>
      <c r="D206" s="874"/>
      <c r="E206" s="905"/>
      <c r="F206" s="905"/>
      <c r="G206" s="874"/>
      <c r="H206" s="874"/>
      <c r="I206" s="906"/>
      <c r="J206" s="162"/>
      <c r="K206" s="161"/>
      <c r="L206" s="161"/>
      <c r="M206" s="169"/>
      <c r="N206" s="163" t="str">
        <f t="shared" si="7"/>
        <v/>
      </c>
      <c r="O206" s="41"/>
      <c r="P206" s="41"/>
      <c r="Q206" s="161" t="str">
        <f>+IF(OR(O206="Fire Control",O206="Fire Tex 5062",O206="Fire Tex 5090",O206="Fire Tex 5120"),'CALCULO PINTURA'!P207," ")</f>
        <v xml:space="preserve"> </v>
      </c>
      <c r="R206" s="164" t="str">
        <f>+IF(OR(O206="Fire Control",O206="Fire Tex 5062",O206="Fire Tex 5090",O206="Fire Tex 5120"),'CALCULO PINTURA'!R207," ")</f>
        <v xml:space="preserve"> </v>
      </c>
      <c r="S206" s="164" t="str">
        <f>+IF(OR(O206="Fire Control",O206="Fire Tex 5062",O206="Fire Tex 5090",O206="Fire Tex 5120"),'CALCULO PINTURA'!S207," ")</f>
        <v xml:space="preserve"> </v>
      </c>
      <c r="T206" s="874" t="str">
        <f>+IF(OR(O206="Blaze Shield II",O206="Cafco 400",O206="Cafco 300"),'CALCULO MORTERO'!N212," ")</f>
        <v xml:space="preserve"> </v>
      </c>
      <c r="U206" s="875" t="str">
        <f>+IF(OR(O206="Blaze Shield II",O206="Cafco 400",O206="Cafco 300"),'CALCULO MORTERO'!O212," ")</f>
        <v xml:space="preserve"> </v>
      </c>
      <c r="V206" s="161" t="str" cm="1">
        <f t="array" ref="V206">_xlfn.IFS(O206="Blaze Shield II",'CALCULO MORTERO'!P207, O206="Cafco 400",'CALCULO MORTERO'!Q207,O206="Cafco 300",'CALCULO MORTERO'!S207, AND(OR(O206="Fire tex 5090", O206="Fire Tex 5062", O206="Fire Tex 5120", O206="Fire Control"),Q206&gt;0), "CERT.",TRUE,"-")</f>
        <v>-</v>
      </c>
      <c r="W206" s="167"/>
      <c r="X206" s="167"/>
    </row>
    <row r="207" spans="1:24" x14ac:dyDescent="0.2">
      <c r="A207" s="903"/>
      <c r="B207" s="904"/>
      <c r="C207" s="874"/>
      <c r="D207" s="874"/>
      <c r="E207" s="905"/>
      <c r="F207" s="905"/>
      <c r="G207" s="874"/>
      <c r="H207" s="874"/>
      <c r="I207" s="906"/>
      <c r="J207" s="162"/>
      <c r="K207" s="161"/>
      <c r="L207" s="161"/>
      <c r="M207" s="169"/>
      <c r="N207" s="163" t="str">
        <f t="shared" si="7"/>
        <v/>
      </c>
      <c r="O207" s="41"/>
      <c r="P207" s="41"/>
      <c r="Q207" s="161" t="str">
        <f>+IF(OR(O207="Fire Control",O207="Fire Tex 5062",O207="Fire Tex 5090",O207="Fire Tex 5120"),'CALCULO PINTURA'!P208," ")</f>
        <v xml:space="preserve"> </v>
      </c>
      <c r="R207" s="164" t="str">
        <f>+IF(OR(O207="Fire Control",O207="Fire Tex 5062",O207="Fire Tex 5090",O207="Fire Tex 5120"),'CALCULO PINTURA'!R208," ")</f>
        <v xml:space="preserve"> </v>
      </c>
      <c r="S207" s="164" t="str">
        <f>+IF(OR(O207="Fire Control",O207="Fire Tex 5062",O207="Fire Tex 5090",O207="Fire Tex 5120"),'CALCULO PINTURA'!S208," ")</f>
        <v xml:space="preserve"> </v>
      </c>
      <c r="T207" s="874" t="str">
        <f>+IF(OR(O207="Blaze Shield II",O207="Cafco 400",O207="Cafco 300"),'CALCULO MORTERO'!N213," ")</f>
        <v xml:space="preserve"> </v>
      </c>
      <c r="U207" s="875" t="str">
        <f>+IF(OR(O207="Blaze Shield II",O207="Cafco 400",O207="Cafco 300"),'CALCULO MORTERO'!O213," ")</f>
        <v xml:space="preserve"> </v>
      </c>
      <c r="V207" s="161" t="str" cm="1">
        <f t="array" ref="V207">_xlfn.IFS(O207="Blaze Shield II",'CALCULO MORTERO'!P208, O207="Cafco 400",'CALCULO MORTERO'!Q208,O207="Cafco 300",'CALCULO MORTERO'!S208, AND(OR(O207="Fire tex 5090", O207="Fire Tex 5062", O207="Fire Tex 5120", O207="Fire Control"),Q207&gt;0), "CERT.",TRUE,"-")</f>
        <v>-</v>
      </c>
      <c r="W207" s="167"/>
      <c r="X207" s="167"/>
    </row>
    <row r="208" spans="1:24" x14ac:dyDescent="0.2">
      <c r="A208" s="903"/>
      <c r="B208" s="904"/>
      <c r="C208" s="874"/>
      <c r="D208" s="874"/>
      <c r="E208" s="905"/>
      <c r="F208" s="905"/>
      <c r="G208" s="874"/>
      <c r="H208" s="874"/>
      <c r="I208" s="906"/>
      <c r="J208" s="162"/>
      <c r="K208" s="161"/>
      <c r="L208" s="161"/>
      <c r="M208" s="169"/>
      <c r="N208" s="163" t="str">
        <f t="shared" si="7"/>
        <v/>
      </c>
      <c r="O208" s="41"/>
      <c r="P208" s="41"/>
      <c r="Q208" s="161" t="str">
        <f>+IF(OR(O208="Fire Control",O208="Fire Tex 5062",O208="Fire Tex 5090",O208="Fire Tex 5120"),'CALCULO PINTURA'!P209," ")</f>
        <v xml:space="preserve"> </v>
      </c>
      <c r="R208" s="164" t="str">
        <f>+IF(OR(O208="Fire Control",O208="Fire Tex 5062",O208="Fire Tex 5090",O208="Fire Tex 5120"),'CALCULO PINTURA'!R209," ")</f>
        <v xml:space="preserve"> </v>
      </c>
      <c r="S208" s="164" t="str">
        <f>+IF(OR(O208="Fire Control",O208="Fire Tex 5062",O208="Fire Tex 5090",O208="Fire Tex 5120"),'CALCULO PINTURA'!S209," ")</f>
        <v xml:space="preserve"> </v>
      </c>
      <c r="T208" s="874" t="str">
        <f>+IF(OR(O208="Blaze Shield II",O208="Cafco 400",O208="Cafco 300"),'CALCULO MORTERO'!N214," ")</f>
        <v xml:space="preserve"> </v>
      </c>
      <c r="U208" s="875" t="str">
        <f>+IF(OR(O208="Blaze Shield II",O208="Cafco 400",O208="Cafco 300"),'CALCULO MORTERO'!O214," ")</f>
        <v xml:space="preserve"> </v>
      </c>
      <c r="V208" s="161" t="str" cm="1">
        <f t="array" ref="V208">_xlfn.IFS(O208="Blaze Shield II",'CALCULO MORTERO'!P209, O208="Cafco 400",'CALCULO MORTERO'!Q209,O208="Cafco 300",'CALCULO MORTERO'!S209, AND(OR(O208="Fire tex 5090", O208="Fire Tex 5062", O208="Fire Tex 5120", O208="Fire Control"),Q208&gt;0), "CERT.",TRUE,"-")</f>
        <v>-</v>
      </c>
      <c r="W208" s="167"/>
      <c r="X208" s="167"/>
    </row>
    <row r="209" spans="1:24" x14ac:dyDescent="0.2">
      <c r="A209" s="903"/>
      <c r="B209" s="904"/>
      <c r="C209" s="874"/>
      <c r="D209" s="874"/>
      <c r="E209" s="905"/>
      <c r="F209" s="905"/>
      <c r="G209" s="874"/>
      <c r="H209" s="874"/>
      <c r="I209" s="906"/>
      <c r="J209" s="162"/>
      <c r="K209" s="161"/>
      <c r="L209" s="161"/>
      <c r="M209" s="169"/>
      <c r="N209" s="163" t="str">
        <f t="shared" si="7"/>
        <v/>
      </c>
      <c r="O209" s="41"/>
      <c r="P209" s="41"/>
      <c r="Q209" s="161" t="str">
        <f>+IF(OR(O209="Fire Control",O209="Fire Tex 5062",O209="Fire Tex 5090",O209="Fire Tex 5120"),'CALCULO PINTURA'!P210," ")</f>
        <v xml:space="preserve"> </v>
      </c>
      <c r="R209" s="164" t="str">
        <f>+IF(OR(O209="Fire Control",O209="Fire Tex 5062",O209="Fire Tex 5090",O209="Fire Tex 5120"),'CALCULO PINTURA'!R210," ")</f>
        <v xml:space="preserve"> </v>
      </c>
      <c r="S209" s="164" t="str">
        <f>+IF(OR(O209="Fire Control",O209="Fire Tex 5062",O209="Fire Tex 5090",O209="Fire Tex 5120"),'CALCULO PINTURA'!S210," ")</f>
        <v xml:space="preserve"> </v>
      </c>
      <c r="T209" s="874" t="str">
        <f>+IF(OR(O209="Blaze Shield II",O209="Cafco 400",O209="Cafco 300"),'CALCULO MORTERO'!N215," ")</f>
        <v xml:space="preserve"> </v>
      </c>
      <c r="U209" s="875" t="str">
        <f>+IF(OR(O209="Blaze Shield II",O209="Cafco 400",O209="Cafco 300"),'CALCULO MORTERO'!O215," ")</f>
        <v xml:space="preserve"> </v>
      </c>
      <c r="V209" s="161" t="str" cm="1">
        <f t="array" ref="V209">_xlfn.IFS(O209="Blaze Shield II",'CALCULO MORTERO'!P210, O209="Cafco 400",'CALCULO MORTERO'!Q210,O209="Cafco 300",'CALCULO MORTERO'!S210, AND(OR(O209="Fire tex 5090", O209="Fire Tex 5062", O209="Fire Tex 5120", O209="Fire Control"),Q209&gt;0), "CERT.",TRUE,"-")</f>
        <v>-</v>
      </c>
      <c r="W209" s="167"/>
      <c r="X209" s="167"/>
    </row>
    <row r="210" spans="1:24" x14ac:dyDescent="0.2">
      <c r="A210" s="903"/>
      <c r="B210" s="904"/>
      <c r="C210" s="874"/>
      <c r="D210" s="874"/>
      <c r="E210" s="905"/>
      <c r="F210" s="905"/>
      <c r="G210" s="874"/>
      <c r="H210" s="874"/>
      <c r="I210" s="906"/>
      <c r="J210" s="162"/>
      <c r="K210" s="161"/>
      <c r="L210" s="161"/>
      <c r="M210" s="169"/>
      <c r="N210" s="163" t="str">
        <f t="shared" si="7"/>
        <v/>
      </c>
      <c r="O210" s="41"/>
      <c r="P210" s="41"/>
      <c r="Q210" s="161" t="str">
        <f>+IF(OR(O210="Fire Control",O210="Fire Tex 5062",O210="Fire Tex 5090",O210="Fire Tex 5120"),'CALCULO PINTURA'!P211," ")</f>
        <v xml:space="preserve"> </v>
      </c>
      <c r="R210" s="164" t="str">
        <f>+IF(OR(O210="Fire Control",O210="Fire Tex 5062",O210="Fire Tex 5090",O210="Fire Tex 5120"),'CALCULO PINTURA'!R211," ")</f>
        <v xml:space="preserve"> </v>
      </c>
      <c r="S210" s="164" t="str">
        <f>+IF(OR(O210="Fire Control",O210="Fire Tex 5062",O210="Fire Tex 5090",O210="Fire Tex 5120"),'CALCULO PINTURA'!S211," ")</f>
        <v xml:space="preserve"> </v>
      </c>
      <c r="T210" s="874" t="str">
        <f>+IF(OR(O210="Blaze Shield II",O210="Cafco 400",O210="Cafco 300"),'CALCULO MORTERO'!N216," ")</f>
        <v xml:space="preserve"> </v>
      </c>
      <c r="U210" s="875" t="str">
        <f>+IF(OR(O210="Blaze Shield II",O210="Cafco 400",O210="Cafco 300"),'CALCULO MORTERO'!O216," ")</f>
        <v xml:space="preserve"> </v>
      </c>
      <c r="V210" s="161" t="str" cm="1">
        <f t="array" ref="V210">_xlfn.IFS(O210="Blaze Shield II",'CALCULO MORTERO'!P211, O210="Cafco 400",'CALCULO MORTERO'!Q211,O210="Cafco 300",'CALCULO MORTERO'!S211, AND(OR(O210="Fire tex 5090", O210="Fire Tex 5062", O210="Fire Tex 5120", O210="Fire Control"),Q210&gt;0), "CERT.",TRUE,"-")</f>
        <v>-</v>
      </c>
      <c r="W210" s="167"/>
      <c r="X210" s="167"/>
    </row>
    <row r="211" spans="1:24" x14ac:dyDescent="0.2">
      <c r="A211" s="903"/>
      <c r="B211" s="904"/>
      <c r="C211" s="874"/>
      <c r="D211" s="874"/>
      <c r="E211" s="905"/>
      <c r="F211" s="905"/>
      <c r="G211" s="874"/>
      <c r="H211" s="874"/>
      <c r="I211" s="906"/>
      <c r="J211" s="162"/>
      <c r="K211" s="161"/>
      <c r="L211" s="161"/>
      <c r="M211" s="169"/>
      <c r="N211" s="163" t="str">
        <f t="shared" si="7"/>
        <v/>
      </c>
      <c r="O211" s="41"/>
      <c r="P211" s="41"/>
      <c r="Q211" s="161" t="str">
        <f>+IF(OR(O211="Fire Control",O211="Fire Tex 5062",O211="Fire Tex 5090",O211="Fire Tex 5120"),'CALCULO PINTURA'!P212," ")</f>
        <v xml:space="preserve"> </v>
      </c>
      <c r="R211" s="164" t="str">
        <f>+IF(OR(O211="Fire Control",O211="Fire Tex 5062",O211="Fire Tex 5090",O211="Fire Tex 5120"),'CALCULO PINTURA'!R212," ")</f>
        <v xml:space="preserve"> </v>
      </c>
      <c r="S211" s="164" t="str">
        <f>+IF(OR(O211="Fire Control",O211="Fire Tex 5062",O211="Fire Tex 5090",O211="Fire Tex 5120"),'CALCULO PINTURA'!S212," ")</f>
        <v xml:space="preserve"> </v>
      </c>
      <c r="T211" s="874" t="str">
        <f>+IF(OR(O211="Blaze Shield II",O211="Cafco 400",O211="Cafco 300"),'CALCULO MORTERO'!N217," ")</f>
        <v xml:space="preserve"> </v>
      </c>
      <c r="U211" s="875" t="str">
        <f>+IF(OR(O211="Blaze Shield II",O211="Cafco 400",O211="Cafco 300"),'CALCULO MORTERO'!O217," ")</f>
        <v xml:space="preserve"> </v>
      </c>
      <c r="V211" s="161" t="str" cm="1">
        <f t="array" ref="V211">_xlfn.IFS(O211="Blaze Shield II",'CALCULO MORTERO'!P212, O211="Cafco 400",'CALCULO MORTERO'!Q212,O211="Cafco 300",'CALCULO MORTERO'!S212, AND(OR(O211="Fire tex 5090", O211="Fire Tex 5062", O211="Fire Tex 5120", O211="Fire Control"),Q211&gt;0), "CERT.",TRUE,"-")</f>
        <v>-</v>
      </c>
      <c r="W211" s="167"/>
      <c r="X211" s="167"/>
    </row>
    <row r="212" spans="1:24" x14ac:dyDescent="0.2">
      <c r="A212" s="903"/>
      <c r="B212" s="904"/>
      <c r="C212" s="874"/>
      <c r="D212" s="874"/>
      <c r="E212" s="905"/>
      <c r="F212" s="905"/>
      <c r="G212" s="874"/>
      <c r="H212" s="874"/>
      <c r="I212" s="906"/>
      <c r="J212" s="162"/>
      <c r="K212" s="161"/>
      <c r="L212" s="161"/>
      <c r="M212" s="169"/>
      <c r="N212" s="163" t="str">
        <f t="shared" si="7"/>
        <v/>
      </c>
      <c r="O212" s="41"/>
      <c r="P212" s="41"/>
      <c r="Q212" s="161" t="str">
        <f>+IF(OR(O212="Fire Control",O212="Fire Tex 5062",O212="Fire Tex 5090",O212="Fire Tex 5120"),'CALCULO PINTURA'!P213," ")</f>
        <v xml:space="preserve"> </v>
      </c>
      <c r="R212" s="164" t="str">
        <f>+IF(OR(O212="Fire Control",O212="Fire Tex 5062",O212="Fire Tex 5090",O212="Fire Tex 5120"),'CALCULO PINTURA'!R213," ")</f>
        <v xml:space="preserve"> </v>
      </c>
      <c r="S212" s="164" t="str">
        <f>+IF(OR(O212="Fire Control",O212="Fire Tex 5062",O212="Fire Tex 5090",O212="Fire Tex 5120"),'CALCULO PINTURA'!S213," ")</f>
        <v xml:space="preserve"> </v>
      </c>
      <c r="T212" s="874" t="str">
        <f>+IF(OR(O212="Blaze Shield II",O212="Cafco 400",O212="Cafco 300"),'CALCULO MORTERO'!N218," ")</f>
        <v xml:space="preserve"> </v>
      </c>
      <c r="U212" s="875" t="str">
        <f>+IF(OR(O212="Blaze Shield II",O212="Cafco 400",O212="Cafco 300"),'CALCULO MORTERO'!O218," ")</f>
        <v xml:space="preserve"> </v>
      </c>
      <c r="V212" s="161" t="str" cm="1">
        <f t="array" ref="V212">_xlfn.IFS(O212="Blaze Shield II",'CALCULO MORTERO'!P213, O212="Cafco 400",'CALCULO MORTERO'!Q213,O212="Cafco 300",'CALCULO MORTERO'!S213, AND(OR(O212="Fire tex 5090", O212="Fire Tex 5062", O212="Fire Tex 5120", O212="Fire Control"),Q212&gt;0), "CERT.",TRUE,"-")</f>
        <v>-</v>
      </c>
      <c r="W212" s="167"/>
      <c r="X212" s="167"/>
    </row>
    <row r="213" spans="1:24" x14ac:dyDescent="0.2">
      <c r="A213" s="903"/>
      <c r="B213" s="904"/>
      <c r="C213" s="874"/>
      <c r="D213" s="874"/>
      <c r="E213" s="905"/>
      <c r="F213" s="905"/>
      <c r="G213" s="874"/>
      <c r="H213" s="874"/>
      <c r="I213" s="906"/>
      <c r="J213" s="162"/>
      <c r="K213" s="161"/>
      <c r="L213" s="161"/>
      <c r="M213" s="169"/>
      <c r="N213" s="163" t="str">
        <f t="shared" si="7"/>
        <v/>
      </c>
      <c r="O213" s="41"/>
      <c r="P213" s="41"/>
      <c r="Q213" s="161" t="str">
        <f>+IF(OR(O213="Fire Control",O213="Fire Tex 5062",O213="Fire Tex 5090",O213="Fire Tex 5120"),'CALCULO PINTURA'!P214," ")</f>
        <v xml:space="preserve"> </v>
      </c>
      <c r="R213" s="164" t="str">
        <f>+IF(OR(O213="Fire Control",O213="Fire Tex 5062",O213="Fire Tex 5090",O213="Fire Tex 5120"),'CALCULO PINTURA'!R214," ")</f>
        <v xml:space="preserve"> </v>
      </c>
      <c r="S213" s="164" t="str">
        <f>+IF(OR(O213="Fire Control",O213="Fire Tex 5062",O213="Fire Tex 5090",O213="Fire Tex 5120"),'CALCULO PINTURA'!S214," ")</f>
        <v xml:space="preserve"> </v>
      </c>
      <c r="T213" s="874" t="str">
        <f>+IF(OR(O213="Blaze Shield II",O213="Cafco 400",O213="Cafco 300"),'CALCULO MORTERO'!N219," ")</f>
        <v xml:space="preserve"> </v>
      </c>
      <c r="U213" s="875" t="str">
        <f>+IF(OR(O213="Blaze Shield II",O213="Cafco 400",O213="Cafco 300"),'CALCULO MORTERO'!O219," ")</f>
        <v xml:space="preserve"> </v>
      </c>
      <c r="V213" s="161" t="str" cm="1">
        <f t="array" ref="V213">_xlfn.IFS(O213="Blaze Shield II",'CALCULO MORTERO'!P214, O213="Cafco 400",'CALCULO MORTERO'!Q214,O213="Cafco 300",'CALCULO MORTERO'!S214, AND(OR(O213="Fire tex 5090", O213="Fire Tex 5062", O213="Fire Tex 5120", O213="Fire Control"),Q213&gt;0), "CERT.",TRUE,"-")</f>
        <v>-</v>
      </c>
      <c r="W213" s="167"/>
      <c r="X213" s="167"/>
    </row>
    <row r="214" spans="1:24" x14ac:dyDescent="0.2">
      <c r="A214" s="903"/>
      <c r="B214" s="904"/>
      <c r="C214" s="874"/>
      <c r="D214" s="874"/>
      <c r="E214" s="905"/>
      <c r="F214" s="905"/>
      <c r="G214" s="874"/>
      <c r="H214" s="874"/>
      <c r="I214" s="906"/>
      <c r="J214" s="162"/>
      <c r="K214" s="161"/>
      <c r="L214" s="161"/>
      <c r="M214" s="169"/>
      <c r="N214" s="163" t="str">
        <f t="shared" si="7"/>
        <v/>
      </c>
      <c r="O214" s="41"/>
      <c r="P214" s="41"/>
      <c r="Q214" s="161" t="str">
        <f>+IF(OR(O214="Fire Control",O214="Fire Tex 5062",O214="Fire Tex 5090",O214="Fire Tex 5120"),'CALCULO PINTURA'!P215," ")</f>
        <v xml:space="preserve"> </v>
      </c>
      <c r="R214" s="164" t="str">
        <f>+IF(OR(O214="Fire Control",O214="Fire Tex 5062",O214="Fire Tex 5090",O214="Fire Tex 5120"),'CALCULO PINTURA'!R215," ")</f>
        <v xml:space="preserve"> </v>
      </c>
      <c r="S214" s="164" t="str">
        <f>+IF(OR(O214="Fire Control",O214="Fire Tex 5062",O214="Fire Tex 5090",O214="Fire Tex 5120"),'CALCULO PINTURA'!S215," ")</f>
        <v xml:space="preserve"> </v>
      </c>
      <c r="T214" s="874" t="str">
        <f>+IF(OR(O214="Blaze Shield II",O214="Cafco 400",O214="Cafco 300"),'CALCULO MORTERO'!N220," ")</f>
        <v xml:space="preserve"> </v>
      </c>
      <c r="U214" s="875" t="str">
        <f>+IF(OR(O214="Blaze Shield II",O214="Cafco 400",O214="Cafco 300"),'CALCULO MORTERO'!O220," ")</f>
        <v xml:space="preserve"> </v>
      </c>
      <c r="V214" s="161" t="str" cm="1">
        <f t="array" ref="V214">_xlfn.IFS(O214="Blaze Shield II",'CALCULO MORTERO'!P215, O214="Cafco 400",'CALCULO MORTERO'!Q215,O214="Cafco 300",'CALCULO MORTERO'!S215, AND(OR(O214="Fire tex 5090", O214="Fire Tex 5062", O214="Fire Tex 5120", O214="Fire Control"),Q214&gt;0), "CERT.",TRUE,"-")</f>
        <v>-</v>
      </c>
      <c r="W214" s="167"/>
      <c r="X214" s="167"/>
    </row>
    <row r="215" spans="1:24" x14ac:dyDescent="0.2">
      <c r="A215" s="903"/>
      <c r="B215" s="907"/>
      <c r="C215" s="874"/>
      <c r="D215" s="874"/>
      <c r="E215" s="874"/>
      <c r="F215" s="905"/>
      <c r="G215" s="874"/>
      <c r="H215" s="874"/>
      <c r="I215" s="906"/>
      <c r="J215" s="162"/>
      <c r="K215" s="161"/>
      <c r="L215" s="161"/>
      <c r="M215" s="169"/>
      <c r="N215" s="163" t="str">
        <f t="shared" si="7"/>
        <v/>
      </c>
      <c r="O215" s="41"/>
      <c r="P215" s="41"/>
      <c r="Q215" s="161" t="str">
        <f>+IF(OR(O215="Fire Control",O215="Fire Tex 5062",O215="Fire Tex 5090",O215="Fire Tex 5120"),'CALCULO PINTURA'!P538," ")</f>
        <v xml:space="preserve"> </v>
      </c>
      <c r="R215" s="164" t="str">
        <f>+IF(OR(O215="Fire Control",O215="Fire Tex 5062",O215="Fire Tex 5090",O215="Fire Tex 5120"),'CALCULO PINTURA'!R538," ")</f>
        <v xml:space="preserve"> </v>
      </c>
      <c r="S215" s="164" t="str">
        <f>+IF(OR(O215="Fire Control",O215="Fire Tex 5062",O215="Fire Tex 5090",O215="Fire Tex 5120"),'CALCULO PINTURA'!S538," ")</f>
        <v xml:space="preserve"> </v>
      </c>
      <c r="T215" s="874" t="str">
        <f>+IF(OR(O215="Blaze Shield II",O215="Cafco 400",O215="Cafco 300"),'CALCULO MORTERO'!N543," ")</f>
        <v xml:space="preserve"> </v>
      </c>
      <c r="U215" s="875" t="str">
        <f>+IF(OR(O215="Blaze Shield II",O215="Cafco 400",O215="Cafco 300"),'CALCULO MORTERO'!O543," ")</f>
        <v xml:space="preserve"> </v>
      </c>
      <c r="V215" s="161" t="str" cm="1">
        <f t="array" ref="V215">_xlfn.IFS(O215="Blaze Shield II",'CALCULO MORTERO'!P216, O215="Cafco 400",'CALCULO MORTERO'!Q216,O215="Cafco 300",'CALCULO MORTERO'!S216, AND(OR(O215="Fire tex 5090", O215="Fire Tex 5062", O215="Fire Tex 5120", O215="Fire Control"),Q215&gt;0), "CERT.",TRUE,"-")</f>
        <v>-</v>
      </c>
      <c r="W215" s="167"/>
      <c r="X215" s="167"/>
    </row>
    <row r="216" spans="1:24" x14ac:dyDescent="0.2">
      <c r="A216" s="903"/>
      <c r="B216" s="907"/>
      <c r="C216" s="874"/>
      <c r="D216" s="874"/>
      <c r="E216" s="874"/>
      <c r="F216" s="905"/>
      <c r="G216" s="874"/>
      <c r="H216" s="874"/>
      <c r="I216" s="906"/>
      <c r="J216" s="162"/>
      <c r="K216" s="161"/>
      <c r="L216" s="161"/>
      <c r="M216" s="169"/>
      <c r="N216" s="163" t="str">
        <f t="shared" si="7"/>
        <v/>
      </c>
      <c r="O216" s="41"/>
      <c r="P216" s="41"/>
      <c r="Q216" s="161" t="str">
        <f>+IF(OR(O216="Fire Control",O216="Fire Tex 5062",O216="Fire Tex 5090",O216="Fire Tex 5120"),'CALCULO PINTURA'!P593," ")</f>
        <v xml:space="preserve"> </v>
      </c>
      <c r="R216" s="164" t="str">
        <f>+IF(OR(O216="Fire Control",O216="Fire Tex 5062",O216="Fire Tex 5090",O216="Fire Tex 5120"),'CALCULO PINTURA'!R593," ")</f>
        <v xml:space="preserve"> </v>
      </c>
      <c r="S216" s="164" t="str">
        <f>+IF(OR(O216="Fire Control",O216="Fire Tex 5062",O216="Fire Tex 5090",O216="Fire Tex 5120"),'CALCULO PINTURA'!S593," ")</f>
        <v xml:space="preserve"> </v>
      </c>
      <c r="T216" s="874" t="str">
        <f>+IF(OR(O216="Blaze Shield II",O216="Cafco 400",O216="Cafco 300"),'CALCULO MORTERO'!N598," ")</f>
        <v xml:space="preserve"> </v>
      </c>
      <c r="U216" s="875" t="str">
        <f>+IF(OR(O216="Blaze Shield II",O216="Cafco 400",O216="Cafco 300"),'CALCULO MORTERO'!O598," ")</f>
        <v xml:space="preserve"> </v>
      </c>
      <c r="V216" s="161" t="str" cm="1">
        <f t="array" ref="V216">_xlfn.IFS(O216="Blaze Shield II",'CALCULO MORTERO'!P217, O216="Cafco 400",'CALCULO MORTERO'!Q217,O216="Cafco 300",'CALCULO MORTERO'!S217, AND(OR(O216="Fire tex 5090", O216="Fire Tex 5062", O216="Fire Tex 5120", O216="Fire Control"),Q216&gt;0), "CERT.",TRUE,"-")</f>
        <v>-</v>
      </c>
      <c r="W216" s="167"/>
      <c r="X216" s="167"/>
    </row>
    <row r="217" spans="1:24" x14ac:dyDescent="0.2">
      <c r="A217" s="903"/>
      <c r="B217" s="907"/>
      <c r="C217" s="874"/>
      <c r="D217" s="874"/>
      <c r="E217" s="874"/>
      <c r="F217" s="905"/>
      <c r="G217" s="874"/>
      <c r="H217" s="874"/>
      <c r="I217" s="906"/>
      <c r="J217" s="162"/>
      <c r="K217" s="161"/>
      <c r="L217" s="161"/>
      <c r="M217" s="169"/>
      <c r="N217" s="163" t="str">
        <f t="shared" si="7"/>
        <v/>
      </c>
      <c r="O217" s="41"/>
      <c r="P217" s="41"/>
      <c r="Q217" s="161" t="str">
        <f>+IF(OR(O217="Fire Control",O217="Fire Tex 5062",O217="Fire Tex 5090",O217="Fire Tex 5120"),'CALCULO PINTURA'!P594," ")</f>
        <v xml:space="preserve"> </v>
      </c>
      <c r="R217" s="164" t="str">
        <f>+IF(OR(O217="Fire Control",O217="Fire Tex 5062",O217="Fire Tex 5090",O217="Fire Tex 5120"),'CALCULO PINTURA'!R594," ")</f>
        <v xml:space="preserve"> </v>
      </c>
      <c r="S217" s="164" t="str">
        <f>+IF(OR(O217="Fire Control",O217="Fire Tex 5062",O217="Fire Tex 5090",O217="Fire Tex 5120"),'CALCULO PINTURA'!S594," ")</f>
        <v xml:space="preserve"> </v>
      </c>
      <c r="T217" s="874" t="str">
        <f>+IF(OR(O217="Blaze Shield II",O217="Cafco 400",O217="Cafco 300"),'CALCULO MORTERO'!N599," ")</f>
        <v xml:space="preserve"> </v>
      </c>
      <c r="U217" s="875" t="str">
        <f>+IF(OR(O217="Blaze Shield II",O217="Cafco 400",O217="Cafco 300"),'CALCULO MORTERO'!O599," ")</f>
        <v xml:space="preserve"> </v>
      </c>
      <c r="V217" s="161" t="str" cm="1">
        <f t="array" ref="V217">_xlfn.IFS(O217="Blaze Shield II",'CALCULO MORTERO'!P218, O217="Cafco 400",'CALCULO MORTERO'!Q218,O217="Cafco 300",'CALCULO MORTERO'!S218, AND(OR(O217="Fire tex 5090", O217="Fire Tex 5062", O217="Fire Tex 5120", O217="Fire Control"),Q217&gt;0), "CERT.",TRUE,"-")</f>
        <v>-</v>
      </c>
      <c r="W217" s="167"/>
      <c r="X217" s="167"/>
    </row>
    <row r="218" spans="1:24" x14ac:dyDescent="0.2">
      <c r="A218" s="903"/>
      <c r="B218" s="907"/>
      <c r="C218" s="874"/>
      <c r="D218" s="874"/>
      <c r="E218" s="874"/>
      <c r="F218" s="905"/>
      <c r="G218" s="874"/>
      <c r="H218" s="874"/>
      <c r="I218" s="906"/>
      <c r="J218" s="162"/>
      <c r="K218" s="161"/>
      <c r="L218" s="161"/>
      <c r="M218" s="169"/>
      <c r="N218" s="163" t="str">
        <f t="shared" si="7"/>
        <v/>
      </c>
      <c r="O218" s="41"/>
      <c r="P218" s="41"/>
      <c r="Q218" s="161" t="str">
        <f>+IF(OR(O218="Fire Control",O218="Fire Tex 5062",O218="Fire Tex 5090",O218="Fire Tex 5120"),'CALCULO PINTURA'!P597," ")</f>
        <v xml:space="preserve"> </v>
      </c>
      <c r="R218" s="164" t="str">
        <f>+IF(OR(O218="Fire Control",O218="Fire Tex 5062",O218="Fire Tex 5090",O218="Fire Tex 5120"),'CALCULO PINTURA'!R597," ")</f>
        <v xml:space="preserve"> </v>
      </c>
      <c r="S218" s="164" t="str">
        <f>+IF(OR(O218="Fire Control",O218="Fire Tex 5062",O218="Fire Tex 5090",O218="Fire Tex 5120"),'CALCULO PINTURA'!S597," ")</f>
        <v xml:space="preserve"> </v>
      </c>
      <c r="T218" s="874" t="str">
        <f>+IF(OR(O218="Blaze Shield II",O218="Cafco 400",O218="Cafco 300"),'CALCULO MORTERO'!N602," ")</f>
        <v xml:space="preserve"> </v>
      </c>
      <c r="U218" s="875" t="str">
        <f>+IF(OR(O218="Blaze Shield II",O218="Cafco 400",O218="Cafco 300"),'CALCULO MORTERO'!O602," ")</f>
        <v xml:space="preserve"> </v>
      </c>
      <c r="V218" s="161" t="str" cm="1">
        <f t="array" ref="V218">_xlfn.IFS(O218="Blaze Shield II",'CALCULO MORTERO'!P219, O218="Cafco 400",'CALCULO MORTERO'!Q219,O218="Cafco 300",'CALCULO MORTERO'!S219, AND(OR(O218="Fire tex 5090", O218="Fire Tex 5062", O218="Fire Tex 5120", O218="Fire Control"),Q218&gt;0), "CERT.",TRUE,"-")</f>
        <v>-</v>
      </c>
      <c r="W218" s="167"/>
      <c r="X218" s="167"/>
    </row>
    <row r="219" spans="1:24" x14ac:dyDescent="0.2">
      <c r="A219" s="903"/>
      <c r="B219" s="907"/>
      <c r="C219" s="874"/>
      <c r="D219" s="874"/>
      <c r="E219" s="874"/>
      <c r="F219" s="905"/>
      <c r="G219" s="874"/>
      <c r="H219" s="874"/>
      <c r="I219" s="906"/>
      <c r="J219" s="162"/>
      <c r="K219" s="161"/>
      <c r="L219" s="161"/>
      <c r="M219" s="169"/>
      <c r="N219" s="163" t="str">
        <f t="shared" si="7"/>
        <v/>
      </c>
      <c r="O219" s="41"/>
      <c r="P219" s="41"/>
      <c r="Q219" s="161" t="str">
        <f>+IF(OR(O219="Fire Control",O219="Fire Tex 5062",O219="Fire Tex 5090",O219="Fire Tex 5120"),'CALCULO PINTURA'!P598," ")</f>
        <v xml:space="preserve"> </v>
      </c>
      <c r="R219" s="164" t="str">
        <f>+IF(OR(O219="Fire Control",O219="Fire Tex 5062",O219="Fire Tex 5090",O219="Fire Tex 5120"),'CALCULO PINTURA'!R598," ")</f>
        <v xml:space="preserve"> </v>
      </c>
      <c r="S219" s="164" t="str">
        <f>+IF(OR(O219="Fire Control",O219="Fire Tex 5062",O219="Fire Tex 5090",O219="Fire Tex 5120"),'CALCULO PINTURA'!S598," ")</f>
        <v xml:space="preserve"> </v>
      </c>
      <c r="T219" s="874" t="str">
        <f>+IF(OR(O219="Blaze Shield II",O219="Cafco 400",O219="Cafco 300"),'CALCULO MORTERO'!N603," ")</f>
        <v xml:space="preserve"> </v>
      </c>
      <c r="U219" s="875" t="str">
        <f>+IF(OR(O219="Blaze Shield II",O219="Cafco 400",O219="Cafco 300"),'CALCULO MORTERO'!O603," ")</f>
        <v xml:space="preserve"> </v>
      </c>
      <c r="V219" s="161" t="str" cm="1">
        <f t="array" ref="V219">_xlfn.IFS(O219="Blaze Shield II",'CALCULO MORTERO'!P220, O219="Cafco 400",'CALCULO MORTERO'!Q220,O219="Cafco 300",'CALCULO MORTERO'!S220, AND(OR(O219="Fire tex 5090", O219="Fire Tex 5062", O219="Fire Tex 5120", O219="Fire Control"),Q219&gt;0), "CERT.",TRUE,"-")</f>
        <v>-</v>
      </c>
      <c r="W219" s="167"/>
      <c r="X219" s="167"/>
    </row>
    <row r="220" spans="1:24" x14ac:dyDescent="0.2">
      <c r="A220" s="903"/>
      <c r="B220" s="907"/>
      <c r="C220" s="874"/>
      <c r="D220" s="874"/>
      <c r="E220" s="874"/>
      <c r="F220" s="905"/>
      <c r="G220" s="874"/>
      <c r="H220" s="874"/>
      <c r="I220" s="906"/>
      <c r="J220" s="162"/>
      <c r="K220" s="161"/>
      <c r="L220" s="161"/>
      <c r="M220" s="169"/>
      <c r="N220" s="163" t="str">
        <f t="shared" si="7"/>
        <v/>
      </c>
      <c r="O220" s="41"/>
      <c r="P220" s="41"/>
      <c r="Q220" s="161" t="str">
        <f>+IF(OR(O220="Fire Control",O220="Fire Tex 5062",O220="Fire Tex 5090",O220="Fire Tex 5120"),'CALCULO PINTURA'!P601," ")</f>
        <v xml:space="preserve"> </v>
      </c>
      <c r="R220" s="164" t="str">
        <f>+IF(OR(O220="Fire Control",O220="Fire Tex 5062",O220="Fire Tex 5090",O220="Fire Tex 5120"),'CALCULO PINTURA'!R601," ")</f>
        <v xml:space="preserve"> </v>
      </c>
      <c r="S220" s="164" t="str">
        <f>+IF(OR(O220="Fire Control",O220="Fire Tex 5062",O220="Fire Tex 5090",O220="Fire Tex 5120"),'CALCULO PINTURA'!S601," ")</f>
        <v xml:space="preserve"> </v>
      </c>
      <c r="T220" s="874" t="str">
        <f>+IF(OR(O220="Blaze Shield II",O220="Cafco 400",O220="Cafco 300"),'CALCULO MORTERO'!N606," ")</f>
        <v xml:space="preserve"> </v>
      </c>
      <c r="U220" s="875" t="str">
        <f>+IF(OR(O220="Blaze Shield II",O220="Cafco 400",O220="Cafco 300"),'CALCULO MORTERO'!O606," ")</f>
        <v xml:space="preserve"> </v>
      </c>
      <c r="V220" s="161" t="str" cm="1">
        <f t="array" ref="V220">_xlfn.IFS(O220="Blaze Shield II",'CALCULO MORTERO'!P221, O220="Cafco 400",'CALCULO MORTERO'!Q221,O220="Cafco 300",'CALCULO MORTERO'!S221, AND(OR(O220="Fire tex 5090", O220="Fire Tex 5062", O220="Fire Tex 5120", O220="Fire Control"),Q220&gt;0), "CERT.",TRUE,"-")</f>
        <v>-</v>
      </c>
      <c r="W220" s="167"/>
      <c r="X220" s="167"/>
    </row>
    <row r="221" spans="1:24" x14ac:dyDescent="0.2">
      <c r="A221" s="903"/>
      <c r="B221" s="907"/>
      <c r="C221" s="874"/>
      <c r="D221" s="874"/>
      <c r="E221" s="874"/>
      <c r="F221" s="905"/>
      <c r="G221" s="874"/>
      <c r="H221" s="874"/>
      <c r="I221" s="906"/>
      <c r="J221" s="162"/>
      <c r="K221" s="161"/>
      <c r="L221" s="161"/>
      <c r="M221" s="169"/>
      <c r="N221" s="163" t="str">
        <f t="shared" si="7"/>
        <v/>
      </c>
      <c r="O221" s="41"/>
      <c r="P221" s="41"/>
      <c r="Q221" s="161" t="str">
        <f>+IF(OR(O221="Fire Control",O221="Fire Tex 5062",O221="Fire Tex 5090",O221="Fire Tex 5120"),'CALCULO PINTURA'!P602," ")</f>
        <v xml:space="preserve"> </v>
      </c>
      <c r="R221" s="164" t="str">
        <f>+IF(OR(O221="Fire Control",O221="Fire Tex 5062",O221="Fire Tex 5090",O221="Fire Tex 5120"),'CALCULO PINTURA'!R602," ")</f>
        <v xml:space="preserve"> </v>
      </c>
      <c r="S221" s="164" t="str">
        <f>+IF(OR(O221="Fire Control",O221="Fire Tex 5062",O221="Fire Tex 5090",O221="Fire Tex 5120"),'CALCULO PINTURA'!S602," ")</f>
        <v xml:space="preserve"> </v>
      </c>
      <c r="T221" s="874" t="str">
        <f>+IF(OR(O221="Blaze Shield II",O221="Cafco 400",O221="Cafco 300"),'CALCULO MORTERO'!N607," ")</f>
        <v xml:space="preserve"> </v>
      </c>
      <c r="U221" s="875" t="str">
        <f>+IF(OR(O221="Blaze Shield II",O221="Cafco 400",O221="Cafco 300"),'CALCULO MORTERO'!O607," ")</f>
        <v xml:space="preserve"> </v>
      </c>
      <c r="V221" s="161" t="str" cm="1">
        <f t="array" ref="V221">_xlfn.IFS(O221="Blaze Shield II",'CALCULO MORTERO'!P222, O221="Cafco 400",'CALCULO MORTERO'!Q222,O221="Cafco 300",'CALCULO MORTERO'!S222, AND(OR(O221="Fire tex 5090", O221="Fire Tex 5062", O221="Fire Tex 5120", O221="Fire Control"),Q221&gt;0), "CERT.",TRUE,"-")</f>
        <v>-</v>
      </c>
      <c r="W221" s="167"/>
      <c r="X221" s="167"/>
    </row>
    <row r="222" spans="1:24" x14ac:dyDescent="0.2">
      <c r="A222" s="903"/>
      <c r="B222" s="907"/>
      <c r="C222" s="874"/>
      <c r="D222" s="874"/>
      <c r="E222" s="874"/>
      <c r="F222" s="905"/>
      <c r="G222" s="874"/>
      <c r="H222" s="874"/>
      <c r="I222" s="906"/>
      <c r="J222" s="162"/>
      <c r="K222" s="161"/>
      <c r="L222" s="161"/>
      <c r="M222" s="169"/>
      <c r="N222" s="163" t="str">
        <f t="shared" si="7"/>
        <v/>
      </c>
      <c r="O222" s="41"/>
      <c r="P222" s="41"/>
      <c r="Q222" s="161" t="str">
        <f>+IF(OR(O222="Fire Control",O222="Fire Tex 5062",O222="Fire Tex 5090",O222="Fire Tex 5120"),'CALCULO PINTURA'!P604," ")</f>
        <v xml:space="preserve"> </v>
      </c>
      <c r="R222" s="164" t="str">
        <f>+IF(OR(O222="Fire Control",O222="Fire Tex 5062",O222="Fire Tex 5090",O222="Fire Tex 5120"),'CALCULO PINTURA'!R604," ")</f>
        <v xml:space="preserve"> </v>
      </c>
      <c r="S222" s="164" t="str">
        <f>+IF(OR(O222="Fire Control",O222="Fire Tex 5062",O222="Fire Tex 5090",O222="Fire Tex 5120"),'CALCULO PINTURA'!S604," ")</f>
        <v xml:space="preserve"> </v>
      </c>
      <c r="T222" s="874" t="str">
        <f>+IF(OR(O222="Blaze Shield II",O222="Cafco 400",O222="Cafco 300"),'CALCULO MORTERO'!N609," ")</f>
        <v xml:space="preserve"> </v>
      </c>
      <c r="U222" s="875" t="str">
        <f>+IF(OR(O222="Blaze Shield II",O222="Cafco 400",O222="Cafco 300"),'CALCULO MORTERO'!O609," ")</f>
        <v xml:space="preserve"> </v>
      </c>
      <c r="V222" s="161" t="str" cm="1">
        <f t="array" ref="V222">_xlfn.IFS(O222="Blaze Shield II",'CALCULO MORTERO'!P223, O222="Cafco 400",'CALCULO MORTERO'!Q223,O222="Cafco 300",'CALCULO MORTERO'!S223, AND(OR(O222="Fire tex 5090", O222="Fire Tex 5062", O222="Fire Tex 5120", O222="Fire Control"),Q222&gt;0), "CERT.",TRUE,"-")</f>
        <v>-</v>
      </c>
      <c r="W222" s="167"/>
      <c r="X222" s="167"/>
    </row>
    <row r="223" spans="1:24" x14ac:dyDescent="0.2">
      <c r="A223" s="903"/>
      <c r="B223" s="904"/>
      <c r="C223" s="874"/>
      <c r="D223" s="874"/>
      <c r="E223" s="905"/>
      <c r="F223" s="905"/>
      <c r="G223" s="874"/>
      <c r="H223" s="874"/>
      <c r="I223" s="906"/>
      <c r="J223" s="162"/>
      <c r="K223" s="161"/>
      <c r="L223" s="161"/>
      <c r="M223" s="169"/>
      <c r="N223" s="163" t="str">
        <f t="shared" si="7"/>
        <v/>
      </c>
      <c r="O223" s="41"/>
      <c r="P223" s="41"/>
      <c r="Q223" s="161" t="str">
        <f>+IF(OR(O223="Fire Control",O223="Fire Tex 5062",O223="Fire Tex 5090",O223="Fire Tex 5120"),'CALCULO PINTURA'!P224," ")</f>
        <v xml:space="preserve"> </v>
      </c>
      <c r="R223" s="164" t="str">
        <f>+IF(OR(O223="Fire Control",O223="Fire Tex 5062",O223="Fire Tex 5090",O223="Fire Tex 5120"),'CALCULO PINTURA'!R224," ")</f>
        <v xml:space="preserve"> </v>
      </c>
      <c r="S223" s="164" t="str">
        <f>+IF(OR(O223="Fire Control",O223="Fire Tex 5062",O223="Fire Tex 5090",O223="Fire Tex 5120"),'CALCULO PINTURA'!S224," ")</f>
        <v xml:space="preserve"> </v>
      </c>
      <c r="T223" s="874" t="str">
        <f>+IF(OR(O223="Blaze Shield II",O223="Cafco 400",O223="Cafco 300"),'CALCULO MORTERO'!N229," ")</f>
        <v xml:space="preserve"> </v>
      </c>
      <c r="U223" s="875" t="str">
        <f>+IF(OR(O223="Blaze Shield II",O223="Cafco 400",O223="Cafco 300"),'CALCULO MORTERO'!O229," ")</f>
        <v xml:space="preserve"> </v>
      </c>
      <c r="V223" s="161" t="str" cm="1">
        <f t="array" ref="V223">_xlfn.IFS(O223="Blaze Shield II",'CALCULO MORTERO'!P224, O223="Cafco 400",'CALCULO MORTERO'!Q224,O223="Cafco 300",'CALCULO MORTERO'!S224, AND(OR(O223="Fire tex 5090", O223="Fire Tex 5062", O223="Fire Tex 5120", O223="Fire Control"),Q223&gt;0), "CERT.",TRUE,"-")</f>
        <v>-</v>
      </c>
      <c r="W223" s="167"/>
      <c r="X223" s="167"/>
    </row>
    <row r="224" spans="1:24" x14ac:dyDescent="0.2">
      <c r="A224" s="903"/>
      <c r="B224" s="904"/>
      <c r="C224" s="874"/>
      <c r="D224" s="874"/>
      <c r="E224" s="905"/>
      <c r="F224" s="905"/>
      <c r="G224" s="874"/>
      <c r="H224" s="874"/>
      <c r="I224" s="906"/>
      <c r="J224" s="162"/>
      <c r="K224" s="161"/>
      <c r="L224" s="161"/>
      <c r="M224" s="169"/>
      <c r="N224" s="163" t="str">
        <f t="shared" si="7"/>
        <v/>
      </c>
      <c r="O224" s="41"/>
      <c r="P224" s="41"/>
      <c r="Q224" s="161" t="str">
        <f>+IF(OR(O224="Fire Control",O224="Fire Tex 5062",O224="Fire Tex 5090",O224="Fire Tex 5120"),'CALCULO PINTURA'!P225," ")</f>
        <v xml:space="preserve"> </v>
      </c>
      <c r="R224" s="164" t="str">
        <f>+IF(OR(O224="Fire Control",O224="Fire Tex 5062",O224="Fire Tex 5090",O224="Fire Tex 5120"),'CALCULO PINTURA'!R225," ")</f>
        <v xml:space="preserve"> </v>
      </c>
      <c r="S224" s="164" t="str">
        <f>+IF(OR(O224="Fire Control",O224="Fire Tex 5062",O224="Fire Tex 5090",O224="Fire Tex 5120"),'CALCULO PINTURA'!S225," ")</f>
        <v xml:space="preserve"> </v>
      </c>
      <c r="T224" s="874" t="str">
        <f>+IF(OR(O224="Blaze Shield II",O224="Cafco 400",O224="Cafco 300"),'CALCULO MORTERO'!N230," ")</f>
        <v xml:space="preserve"> </v>
      </c>
      <c r="U224" s="875" t="str">
        <f>+IF(OR(O224="Blaze Shield II",O224="Cafco 400",O224="Cafco 300"),'CALCULO MORTERO'!O230," ")</f>
        <v xml:space="preserve"> </v>
      </c>
      <c r="V224" s="161" t="str" cm="1">
        <f t="array" ref="V224">_xlfn.IFS(O224="Blaze Shield II",'CALCULO MORTERO'!P225, O224="Cafco 400",'CALCULO MORTERO'!Q225,O224="Cafco 300",'CALCULO MORTERO'!S225, AND(OR(O224="Fire tex 5090", O224="Fire Tex 5062", O224="Fire Tex 5120", O224="Fire Control"),Q224&gt;0), "CERT.",TRUE,"-")</f>
        <v>-</v>
      </c>
      <c r="W224" s="167"/>
      <c r="X224" s="167"/>
    </row>
    <row r="225" spans="1:24" x14ac:dyDescent="0.2">
      <c r="A225" s="903"/>
      <c r="B225" s="904"/>
      <c r="C225" s="874"/>
      <c r="D225" s="874"/>
      <c r="E225" s="905"/>
      <c r="F225" s="905"/>
      <c r="G225" s="874"/>
      <c r="H225" s="874"/>
      <c r="I225" s="906"/>
      <c r="J225" s="162"/>
      <c r="K225" s="161"/>
      <c r="L225" s="161"/>
      <c r="M225" s="169"/>
      <c r="N225" s="163" t="str">
        <f t="shared" si="7"/>
        <v/>
      </c>
      <c r="O225" s="41"/>
      <c r="P225" s="41"/>
      <c r="Q225" s="161" t="str">
        <f>+IF(OR(O225="Fire Control",O225="Fire Tex 5062",O225="Fire Tex 5090",O225="Fire Tex 5120"),'CALCULO PINTURA'!P226," ")</f>
        <v xml:space="preserve"> </v>
      </c>
      <c r="R225" s="164" t="str">
        <f>+IF(OR(O225="Fire Control",O225="Fire Tex 5062",O225="Fire Tex 5090",O225="Fire Tex 5120"),'CALCULO PINTURA'!R226," ")</f>
        <v xml:space="preserve"> </v>
      </c>
      <c r="S225" s="164" t="str">
        <f>+IF(OR(O225="Fire Control",O225="Fire Tex 5062",O225="Fire Tex 5090",O225="Fire Tex 5120"),'CALCULO PINTURA'!S226," ")</f>
        <v xml:space="preserve"> </v>
      </c>
      <c r="T225" s="874" t="str">
        <f>+IF(OR(O225="Blaze Shield II",O225="Cafco 400",O225="Cafco 300"),'CALCULO MORTERO'!N231," ")</f>
        <v xml:space="preserve"> </v>
      </c>
      <c r="U225" s="875" t="str">
        <f>+IF(OR(O225="Blaze Shield II",O225="Cafco 400",O225="Cafco 300"),'CALCULO MORTERO'!O231," ")</f>
        <v xml:space="preserve"> </v>
      </c>
      <c r="V225" s="161" t="str" cm="1">
        <f t="array" ref="V225">_xlfn.IFS(O225="Blaze Shield II",'CALCULO MORTERO'!P226, O225="Cafco 400",'CALCULO MORTERO'!Q226,O225="Cafco 300",'CALCULO MORTERO'!S226, AND(OR(O225="Fire tex 5090", O225="Fire Tex 5062", O225="Fire Tex 5120", O225="Fire Control"),Q225&gt;0), "CERT.",TRUE,"-")</f>
        <v>-</v>
      </c>
      <c r="W225" s="167"/>
      <c r="X225" s="167"/>
    </row>
    <row r="226" spans="1:24" x14ac:dyDescent="0.2">
      <c r="A226" s="903"/>
      <c r="B226" s="904"/>
      <c r="C226" s="874"/>
      <c r="D226" s="874"/>
      <c r="E226" s="905"/>
      <c r="F226" s="905"/>
      <c r="G226" s="874"/>
      <c r="H226" s="874"/>
      <c r="I226" s="906"/>
      <c r="J226" s="162"/>
      <c r="K226" s="161"/>
      <c r="L226" s="161"/>
      <c r="M226" s="169"/>
      <c r="N226" s="163" t="str">
        <f t="shared" si="7"/>
        <v/>
      </c>
      <c r="O226" s="41"/>
      <c r="P226" s="41"/>
      <c r="Q226" s="161" t="str">
        <f>+IF(OR(O226="Fire Control",O226="Fire Tex 5062",O226="Fire Tex 5090",O226="Fire Tex 5120"),'CALCULO PINTURA'!P227," ")</f>
        <v xml:space="preserve"> </v>
      </c>
      <c r="R226" s="164" t="str">
        <f>+IF(OR(O226="Fire Control",O226="Fire Tex 5062",O226="Fire Tex 5090",O226="Fire Tex 5120"),'CALCULO PINTURA'!R227," ")</f>
        <v xml:space="preserve"> </v>
      </c>
      <c r="S226" s="164" t="str">
        <f>+IF(OR(O226="Fire Control",O226="Fire Tex 5062",O226="Fire Tex 5090",O226="Fire Tex 5120"),'CALCULO PINTURA'!S227," ")</f>
        <v xml:space="preserve"> </v>
      </c>
      <c r="T226" s="874" t="str">
        <f>+IF(OR(O226="Blaze Shield II",O226="Cafco 400",O226="Cafco 300"),'CALCULO MORTERO'!N232," ")</f>
        <v xml:space="preserve"> </v>
      </c>
      <c r="U226" s="875" t="str">
        <f>+IF(OR(O226="Blaze Shield II",O226="Cafco 400",O226="Cafco 300"),'CALCULO MORTERO'!O232," ")</f>
        <v xml:space="preserve"> </v>
      </c>
      <c r="V226" s="161" t="str" cm="1">
        <f t="array" ref="V226">_xlfn.IFS(O226="Blaze Shield II",'CALCULO MORTERO'!P227, O226="Cafco 400",'CALCULO MORTERO'!Q227,O226="Cafco 300",'CALCULO MORTERO'!S227, AND(OR(O226="Fire tex 5090", O226="Fire Tex 5062", O226="Fire Tex 5120", O226="Fire Control"),Q226&gt;0), "CERT.",TRUE,"-")</f>
        <v>-</v>
      </c>
      <c r="W226" s="167"/>
      <c r="X226" s="167"/>
    </row>
    <row r="227" spans="1:24" x14ac:dyDescent="0.2">
      <c r="A227" s="903"/>
      <c r="B227" s="904"/>
      <c r="C227" s="874"/>
      <c r="D227" s="874"/>
      <c r="E227" s="905"/>
      <c r="F227" s="905"/>
      <c r="G227" s="874"/>
      <c r="H227" s="874"/>
      <c r="I227" s="906"/>
      <c r="J227" s="162"/>
      <c r="K227" s="161"/>
      <c r="L227" s="161"/>
      <c r="M227" s="169"/>
      <c r="N227" s="163" t="str">
        <f t="shared" si="7"/>
        <v/>
      </c>
      <c r="O227" s="41"/>
      <c r="P227" s="41"/>
      <c r="Q227" s="161" t="str">
        <f>+IF(OR(O227="Fire Control",O227="Fire Tex 5062",O227="Fire Tex 5090",O227="Fire Tex 5120"),'CALCULO PINTURA'!P228," ")</f>
        <v xml:space="preserve"> </v>
      </c>
      <c r="R227" s="164" t="str">
        <f>+IF(OR(O227="Fire Control",O227="Fire Tex 5062",O227="Fire Tex 5090",O227="Fire Tex 5120"),'CALCULO PINTURA'!R228," ")</f>
        <v xml:space="preserve"> </v>
      </c>
      <c r="S227" s="164" t="str">
        <f>+IF(OR(O227="Fire Control",O227="Fire Tex 5062",O227="Fire Tex 5090",O227="Fire Tex 5120"),'CALCULO PINTURA'!S228," ")</f>
        <v xml:space="preserve"> </v>
      </c>
      <c r="T227" s="874" t="str">
        <f>+IF(OR(O227="Blaze Shield II",O227="Cafco 400",O227="Cafco 300"),'CALCULO MORTERO'!N233," ")</f>
        <v xml:space="preserve"> </v>
      </c>
      <c r="U227" s="875" t="str">
        <f>+IF(OR(O227="Blaze Shield II",O227="Cafco 400",O227="Cafco 300"),'CALCULO MORTERO'!O233," ")</f>
        <v xml:space="preserve"> </v>
      </c>
      <c r="V227" s="161" t="str" cm="1">
        <f t="array" ref="V227">_xlfn.IFS(O227="Blaze Shield II",'CALCULO MORTERO'!P228, O227="Cafco 400",'CALCULO MORTERO'!Q228,O227="Cafco 300",'CALCULO MORTERO'!S228, AND(OR(O227="Fire tex 5090", O227="Fire Tex 5062", O227="Fire Tex 5120", O227="Fire Control"),Q227&gt;0), "CERT.",TRUE,"-")</f>
        <v>-</v>
      </c>
      <c r="W227" s="167"/>
      <c r="X227" s="167"/>
    </row>
    <row r="228" spans="1:24" x14ac:dyDescent="0.2">
      <c r="A228" s="903"/>
      <c r="B228" s="904"/>
      <c r="C228" s="874"/>
      <c r="D228" s="874"/>
      <c r="E228" s="905"/>
      <c r="F228" s="905"/>
      <c r="G228" s="874"/>
      <c r="H228" s="874"/>
      <c r="I228" s="906"/>
      <c r="J228" s="162"/>
      <c r="K228" s="161"/>
      <c r="L228" s="161"/>
      <c r="M228" s="169"/>
      <c r="N228" s="163" t="str">
        <f t="shared" si="7"/>
        <v/>
      </c>
      <c r="O228" s="41"/>
      <c r="P228" s="41"/>
      <c r="Q228" s="161" t="str">
        <f>+IF(OR(O228="Fire Control",O228="Fire Tex 5062",O228="Fire Tex 5090",O228="Fire Tex 5120"),'CALCULO PINTURA'!P229," ")</f>
        <v xml:space="preserve"> </v>
      </c>
      <c r="R228" s="164" t="str">
        <f>+IF(OR(O228="Fire Control",O228="Fire Tex 5062",O228="Fire Tex 5090",O228="Fire Tex 5120"),'CALCULO PINTURA'!R229," ")</f>
        <v xml:space="preserve"> </v>
      </c>
      <c r="S228" s="164" t="str">
        <f>+IF(OR(O228="Fire Control",O228="Fire Tex 5062",O228="Fire Tex 5090",O228="Fire Tex 5120"),'CALCULO PINTURA'!S229," ")</f>
        <v xml:space="preserve"> </v>
      </c>
      <c r="T228" s="874" t="str">
        <f>+IF(OR(O228="Blaze Shield II",O228="Cafco 400",O228="Cafco 300"),'CALCULO MORTERO'!N234," ")</f>
        <v xml:space="preserve"> </v>
      </c>
      <c r="U228" s="875" t="str">
        <f>+IF(OR(O228="Blaze Shield II",O228="Cafco 400",O228="Cafco 300"),'CALCULO MORTERO'!O234," ")</f>
        <v xml:space="preserve"> </v>
      </c>
      <c r="V228" s="161" t="str" cm="1">
        <f t="array" ref="V228">_xlfn.IFS(O228="Blaze Shield II",'CALCULO MORTERO'!P229, O228="Cafco 400",'CALCULO MORTERO'!Q229,O228="Cafco 300",'CALCULO MORTERO'!S229, AND(OR(O228="Fire tex 5090", O228="Fire Tex 5062", O228="Fire Tex 5120", O228="Fire Control"),Q228&gt;0), "CERT.",TRUE,"-")</f>
        <v>-</v>
      </c>
      <c r="W228" s="167"/>
      <c r="X228" s="167"/>
    </row>
    <row r="229" spans="1:24" x14ac:dyDescent="0.2">
      <c r="A229" s="903"/>
      <c r="B229" s="907"/>
      <c r="C229" s="874"/>
      <c r="D229" s="874"/>
      <c r="E229" s="874"/>
      <c r="F229" s="905"/>
      <c r="G229" s="874"/>
      <c r="H229" s="874"/>
      <c r="I229" s="906"/>
      <c r="J229" s="162"/>
      <c r="K229" s="161"/>
      <c r="L229" s="161"/>
      <c r="M229" s="169"/>
      <c r="N229" s="163" t="str">
        <f t="shared" si="7"/>
        <v/>
      </c>
      <c r="O229" s="41"/>
      <c r="P229" s="41"/>
      <c r="Q229" s="161" t="str">
        <f>+IF(OR(O229="Fire Control",O229="Fire Tex 5062",O229="Fire Tex 5090",O229="Fire Tex 5120"),'CALCULO PINTURA'!P605," ")</f>
        <v xml:space="preserve"> </v>
      </c>
      <c r="R229" s="164" t="str">
        <f>+IF(OR(O229="Fire Control",O229="Fire Tex 5062",O229="Fire Tex 5090",O229="Fire Tex 5120"),'CALCULO PINTURA'!R605," ")</f>
        <v xml:space="preserve"> </v>
      </c>
      <c r="S229" s="164" t="str">
        <f>+IF(OR(O229="Fire Control",O229="Fire Tex 5062",O229="Fire Tex 5090",O229="Fire Tex 5120"),'CALCULO PINTURA'!S605," ")</f>
        <v xml:space="preserve"> </v>
      </c>
      <c r="T229" s="874" t="str">
        <f>+IF(OR(O229="Blaze Shield II",O229="Cafco 400",O229="Cafco 300"),'CALCULO MORTERO'!N610," ")</f>
        <v xml:space="preserve"> </v>
      </c>
      <c r="U229" s="875" t="str">
        <f>+IF(OR(O229="Blaze Shield II",O229="Cafco 400",O229="Cafco 300"),'CALCULO MORTERO'!O610," ")</f>
        <v xml:space="preserve"> </v>
      </c>
      <c r="V229" s="161" t="str" cm="1">
        <f t="array" ref="V229">_xlfn.IFS(O229="Blaze Shield II",'CALCULO MORTERO'!P230, O229="Cafco 400",'CALCULO MORTERO'!Q230,O229="Cafco 300",'CALCULO MORTERO'!S230, AND(OR(O229="Fire tex 5090", O229="Fire Tex 5062", O229="Fire Tex 5120", O229="Fire Control"),Q229&gt;0), "CERT.",TRUE,"-")</f>
        <v>-</v>
      </c>
      <c r="W229" s="167"/>
      <c r="X229" s="167"/>
    </row>
    <row r="230" spans="1:24" x14ac:dyDescent="0.2">
      <c r="A230" s="903"/>
      <c r="B230" s="907"/>
      <c r="C230" s="874"/>
      <c r="D230" s="874"/>
      <c r="E230" s="874"/>
      <c r="F230" s="905"/>
      <c r="G230" s="874"/>
      <c r="H230" s="874"/>
      <c r="I230" s="906"/>
      <c r="J230" s="162"/>
      <c r="K230" s="161"/>
      <c r="L230" s="161"/>
      <c r="M230" s="169"/>
      <c r="N230" s="163" t="str">
        <f t="shared" si="7"/>
        <v/>
      </c>
      <c r="O230" s="41"/>
      <c r="P230" s="41"/>
      <c r="Q230" s="161" t="str">
        <f>+IF(OR(O230="Fire Control",O230="Fire Tex 5062",O230="Fire Tex 5090",O230="Fire Tex 5120"),'CALCULO PINTURA'!P935," ")</f>
        <v xml:space="preserve"> </v>
      </c>
      <c r="R230" s="164" t="str">
        <f>+IF(OR(O230="Fire Control",O230="Fire Tex 5062",O230="Fire Tex 5090",O230="Fire Tex 5120"),'CALCULO PINTURA'!R935," ")</f>
        <v xml:space="preserve"> </v>
      </c>
      <c r="S230" s="164" t="str">
        <f>+IF(OR(O230="Fire Control",O230="Fire Tex 5062",O230="Fire Tex 5090",O230="Fire Tex 5120"),'CALCULO PINTURA'!S935," ")</f>
        <v xml:space="preserve"> </v>
      </c>
      <c r="T230" s="874" t="str">
        <f>+IF(OR(O230="Blaze Shield II",O230="Cafco 400",O230="Cafco 300"),'CALCULO MORTERO'!N940," ")</f>
        <v xml:space="preserve"> </v>
      </c>
      <c r="U230" s="875" t="str">
        <f>+IF(OR(O230="Blaze Shield II",O230="Cafco 400",O230="Cafco 300"),'CALCULO MORTERO'!O940," ")</f>
        <v xml:space="preserve"> </v>
      </c>
      <c r="V230" s="161" t="str" cm="1">
        <f t="array" ref="V230">_xlfn.IFS(O230="Blaze Shield II",'CALCULO MORTERO'!P231, O230="Cafco 400",'CALCULO MORTERO'!Q231,O230="Cafco 300",'CALCULO MORTERO'!S231, AND(OR(O230="Fire tex 5090", O230="Fire Tex 5062", O230="Fire Tex 5120", O230="Fire Control"),Q230&gt;0), "CERT.",TRUE,"-")</f>
        <v>-</v>
      </c>
      <c r="W230" s="167"/>
      <c r="X230" s="167"/>
    </row>
    <row r="231" spans="1:24" x14ac:dyDescent="0.2">
      <c r="A231" s="903"/>
      <c r="B231" s="907"/>
      <c r="C231" s="874"/>
      <c r="D231" s="874"/>
      <c r="E231" s="874"/>
      <c r="F231" s="905"/>
      <c r="G231" s="874"/>
      <c r="H231" s="874"/>
      <c r="I231" s="906"/>
      <c r="J231" s="162"/>
      <c r="K231" s="161"/>
      <c r="L231" s="161"/>
      <c r="M231" s="169"/>
      <c r="N231" s="163" t="str">
        <f t="shared" si="7"/>
        <v/>
      </c>
      <c r="O231" s="41"/>
      <c r="P231" s="41"/>
      <c r="Q231" s="161" t="str">
        <f>+IF(OR(O231="Fire Control",O231="Fire Tex 5062",O231="Fire Tex 5090",O231="Fire Tex 5120"),'CALCULO PINTURA'!P936," ")</f>
        <v xml:space="preserve"> </v>
      </c>
      <c r="R231" s="164" t="str">
        <f>+IF(OR(O231="Fire Control",O231="Fire Tex 5062",O231="Fire Tex 5090",O231="Fire Tex 5120"),'CALCULO PINTURA'!R936," ")</f>
        <v xml:space="preserve"> </v>
      </c>
      <c r="S231" s="164" t="str">
        <f>+IF(OR(O231="Fire Control",O231="Fire Tex 5062",O231="Fire Tex 5090",O231="Fire Tex 5120"),'CALCULO PINTURA'!S936," ")</f>
        <v xml:space="preserve"> </v>
      </c>
      <c r="T231" s="874" t="str">
        <f>+IF(OR(O231="Blaze Shield II",O231="Cafco 400",O231="Cafco 300"),'CALCULO MORTERO'!N941," ")</f>
        <v xml:space="preserve"> </v>
      </c>
      <c r="U231" s="875" t="str">
        <f>+IF(OR(O231="Blaze Shield II",O231="Cafco 400",O231="Cafco 300"),'CALCULO MORTERO'!O941," ")</f>
        <v xml:space="preserve"> </v>
      </c>
      <c r="V231" s="161" t="str" cm="1">
        <f t="array" ref="V231">_xlfn.IFS(O231="Blaze Shield II",'CALCULO MORTERO'!P232, O231="Cafco 400",'CALCULO MORTERO'!Q232,O231="Cafco 300",'CALCULO MORTERO'!S232, AND(OR(O231="Fire tex 5090", O231="Fire Tex 5062", O231="Fire Tex 5120", O231="Fire Control"),Q231&gt;0), "CERT.",TRUE,"-")</f>
        <v>-</v>
      </c>
      <c r="W231" s="167"/>
      <c r="X231" s="167"/>
    </row>
    <row r="232" spans="1:24" x14ac:dyDescent="0.2">
      <c r="A232" s="903"/>
      <c r="B232" s="907"/>
      <c r="C232" s="874"/>
      <c r="D232" s="874"/>
      <c r="E232" s="874"/>
      <c r="F232" s="905"/>
      <c r="G232" s="874"/>
      <c r="H232" s="874"/>
      <c r="I232" s="906"/>
      <c r="J232" s="162"/>
      <c r="K232" s="161"/>
      <c r="L232" s="161"/>
      <c r="M232" s="169"/>
      <c r="N232" s="163" t="str">
        <f t="shared" si="7"/>
        <v/>
      </c>
      <c r="O232" s="41"/>
      <c r="P232" s="41"/>
      <c r="Q232" s="161" t="str">
        <f>+IF(OR(O232="Fire Control",O232="Fire Tex 5062",O232="Fire Tex 5090",O232="Fire Tex 5120"),'CALCULO PINTURA'!P937," ")</f>
        <v xml:space="preserve"> </v>
      </c>
      <c r="R232" s="164" t="str">
        <f>+IF(OR(O232="Fire Control",O232="Fire Tex 5062",O232="Fire Tex 5090",O232="Fire Tex 5120"),'CALCULO PINTURA'!R937," ")</f>
        <v xml:space="preserve"> </v>
      </c>
      <c r="S232" s="164" t="str">
        <f>+IF(OR(O232="Fire Control",O232="Fire Tex 5062",O232="Fire Tex 5090",O232="Fire Tex 5120"),'CALCULO PINTURA'!S937," ")</f>
        <v xml:space="preserve"> </v>
      </c>
      <c r="T232" s="874" t="str">
        <f>+IF(OR(O232="Blaze Shield II",O232="Cafco 400",O232="Cafco 300"),'CALCULO MORTERO'!N942," ")</f>
        <v xml:space="preserve"> </v>
      </c>
      <c r="U232" s="875" t="str">
        <f>+IF(OR(O232="Blaze Shield II",O232="Cafco 400",O232="Cafco 300"),'CALCULO MORTERO'!O942," ")</f>
        <v xml:space="preserve"> </v>
      </c>
      <c r="V232" s="161" t="str" cm="1">
        <f t="array" ref="V232">_xlfn.IFS(O232="Blaze Shield II",'CALCULO MORTERO'!P233, O232="Cafco 400",'CALCULO MORTERO'!Q233,O232="Cafco 300",'CALCULO MORTERO'!S233, AND(OR(O232="Fire tex 5090", O232="Fire Tex 5062", O232="Fire Tex 5120", O232="Fire Control"),Q232&gt;0), "CERT.",TRUE,"-")</f>
        <v>-</v>
      </c>
      <c r="W232" s="167"/>
      <c r="X232" s="167"/>
    </row>
    <row r="233" spans="1:24" x14ac:dyDescent="0.2">
      <c r="A233" s="903"/>
      <c r="B233" s="907"/>
      <c r="C233" s="874"/>
      <c r="D233" s="874"/>
      <c r="E233" s="874"/>
      <c r="F233" s="905"/>
      <c r="G233" s="874"/>
      <c r="H233" s="874"/>
      <c r="I233" s="906"/>
      <c r="J233" s="162"/>
      <c r="K233" s="161"/>
      <c r="L233" s="161"/>
      <c r="M233" s="169"/>
      <c r="N233" s="163" t="str">
        <f t="shared" si="7"/>
        <v/>
      </c>
      <c r="O233" s="41"/>
      <c r="P233" s="41"/>
      <c r="Q233" s="161" t="str">
        <f>+IF(OR(O233="Fire Control",O233="Fire Tex 5062",O233="Fire Tex 5090",O233="Fire Tex 5120"),'CALCULO PINTURA'!P938," ")</f>
        <v xml:space="preserve"> </v>
      </c>
      <c r="R233" s="164" t="str">
        <f>+IF(OR(O233="Fire Control",O233="Fire Tex 5062",O233="Fire Tex 5090",O233="Fire Tex 5120"),'CALCULO PINTURA'!R938," ")</f>
        <v xml:space="preserve"> </v>
      </c>
      <c r="S233" s="164" t="str">
        <f>+IF(OR(O233="Fire Control",O233="Fire Tex 5062",O233="Fire Tex 5090",O233="Fire Tex 5120"),'CALCULO PINTURA'!S938," ")</f>
        <v xml:space="preserve"> </v>
      </c>
      <c r="T233" s="874" t="str">
        <f>+IF(OR(O233="Blaze Shield II",O233="Cafco 400",O233="Cafco 300"),'CALCULO MORTERO'!N943," ")</f>
        <v xml:space="preserve"> </v>
      </c>
      <c r="U233" s="875" t="str">
        <f>+IF(OR(O233="Blaze Shield II",O233="Cafco 400",O233="Cafco 300"),'CALCULO MORTERO'!O943," ")</f>
        <v xml:space="preserve"> </v>
      </c>
      <c r="V233" s="161" t="str" cm="1">
        <f t="array" ref="V233">_xlfn.IFS(O233="Blaze Shield II",'CALCULO MORTERO'!P234, O233="Cafco 400",'CALCULO MORTERO'!Q234,O233="Cafco 300",'CALCULO MORTERO'!S234, AND(OR(O233="Fire tex 5090", O233="Fire Tex 5062", O233="Fire Tex 5120", O233="Fire Control"),Q233&gt;0), "CERT.",TRUE,"-")</f>
        <v>-</v>
      </c>
      <c r="W233" s="167"/>
      <c r="X233" s="167"/>
    </row>
    <row r="234" spans="1:24" x14ac:dyDescent="0.2">
      <c r="A234" s="903"/>
      <c r="B234" s="904"/>
      <c r="C234" s="874"/>
      <c r="D234" s="874"/>
      <c r="E234" s="905"/>
      <c r="F234" s="905"/>
      <c r="G234" s="874"/>
      <c r="H234" s="874"/>
      <c r="I234" s="906"/>
      <c r="J234" s="162"/>
      <c r="K234" s="161"/>
      <c r="L234" s="161"/>
      <c r="M234" s="169"/>
      <c r="N234" s="163" t="str">
        <f t="shared" si="7"/>
        <v/>
      </c>
      <c r="O234" s="41"/>
      <c r="P234" s="41"/>
      <c r="Q234" s="161" t="str">
        <f>+IF(OR(O234="Fire Control",O234="Fire Tex 5062",O234="Fire Tex 5090",O234="Fire Tex 5120"),'CALCULO PINTURA'!P235," ")</f>
        <v xml:space="preserve"> </v>
      </c>
      <c r="R234" s="164" t="str">
        <f>+IF(OR(O234="Fire Control",O234="Fire Tex 5062",O234="Fire Tex 5090",O234="Fire Tex 5120"),'CALCULO PINTURA'!R235," ")</f>
        <v xml:space="preserve"> </v>
      </c>
      <c r="S234" s="164" t="str">
        <f>+IF(OR(O234="Fire Control",O234="Fire Tex 5062",O234="Fire Tex 5090",O234="Fire Tex 5120"),'CALCULO PINTURA'!S235," ")</f>
        <v xml:space="preserve"> </v>
      </c>
      <c r="T234" s="874" t="str">
        <f>+IF(OR(O234="Blaze Shield II",O234="Cafco 400",O234="Cafco 300"),'CALCULO MORTERO'!N240," ")</f>
        <v xml:space="preserve"> </v>
      </c>
      <c r="U234" s="875" t="str">
        <f>+IF(OR(O234="Blaze Shield II",O234="Cafco 400",O234="Cafco 300"),'CALCULO MORTERO'!O240," ")</f>
        <v xml:space="preserve"> </v>
      </c>
      <c r="V234" s="161" t="str" cm="1">
        <f t="array" ref="V234">_xlfn.IFS(O234="Blaze Shield II",'CALCULO MORTERO'!P235, O234="Cafco 400",'CALCULO MORTERO'!Q235,O234="Cafco 300",'CALCULO MORTERO'!S235, AND(OR(O234="Fire tex 5090", O234="Fire Tex 5062", O234="Fire Tex 5120", O234="Fire Control"),Q234&gt;0), "CERT.",TRUE,"-")</f>
        <v>-</v>
      </c>
      <c r="W234" s="167"/>
      <c r="X234" s="167"/>
    </row>
    <row r="235" spans="1:24" x14ac:dyDescent="0.2">
      <c r="A235" s="903"/>
      <c r="B235" s="904"/>
      <c r="C235" s="874"/>
      <c r="D235" s="874"/>
      <c r="E235" s="905"/>
      <c r="F235" s="905"/>
      <c r="G235" s="874"/>
      <c r="H235" s="874"/>
      <c r="I235" s="906"/>
      <c r="J235" s="162"/>
      <c r="K235" s="161"/>
      <c r="L235" s="161"/>
      <c r="M235" s="169"/>
      <c r="N235" s="163" t="str">
        <f t="shared" si="7"/>
        <v/>
      </c>
      <c r="O235" s="41"/>
      <c r="P235" s="41"/>
      <c r="Q235" s="161" t="str">
        <f>+IF(OR(O235="Fire Control",O235="Fire Tex 5062",O235="Fire Tex 5090",O235="Fire Tex 5120"),'CALCULO PINTURA'!P236," ")</f>
        <v xml:space="preserve"> </v>
      </c>
      <c r="R235" s="164" t="str">
        <f>+IF(OR(O235="Fire Control",O235="Fire Tex 5062",O235="Fire Tex 5090",O235="Fire Tex 5120"),'CALCULO PINTURA'!R236," ")</f>
        <v xml:space="preserve"> </v>
      </c>
      <c r="S235" s="164" t="str">
        <f>+IF(OR(O235="Fire Control",O235="Fire Tex 5062",O235="Fire Tex 5090",O235="Fire Tex 5120"),'CALCULO PINTURA'!S236," ")</f>
        <v xml:space="preserve"> </v>
      </c>
      <c r="T235" s="874" t="str">
        <f>+IF(OR(O235="Blaze Shield II",O235="Cafco 400",O235="Cafco 300"),'CALCULO MORTERO'!N241," ")</f>
        <v xml:space="preserve"> </v>
      </c>
      <c r="U235" s="875" t="str">
        <f>+IF(OR(O235="Blaze Shield II",O235="Cafco 400",O235="Cafco 300"),'CALCULO MORTERO'!O241," ")</f>
        <v xml:space="preserve"> </v>
      </c>
      <c r="V235" s="161" t="str" cm="1">
        <f t="array" ref="V235">_xlfn.IFS(O235="Blaze Shield II",'CALCULO MORTERO'!P236, O235="Cafco 400",'CALCULO MORTERO'!Q236,O235="Cafco 300",'CALCULO MORTERO'!S236, AND(OR(O235="Fire tex 5090", O235="Fire Tex 5062", O235="Fire Tex 5120", O235="Fire Control"),Q235&gt;0), "CERT.",TRUE,"-")</f>
        <v>-</v>
      </c>
      <c r="W235" s="167"/>
      <c r="X235" s="167"/>
    </row>
    <row r="236" spans="1:24" x14ac:dyDescent="0.2">
      <c r="A236" s="903"/>
      <c r="B236" s="907"/>
      <c r="C236" s="874"/>
      <c r="D236" s="874"/>
      <c r="E236" s="874"/>
      <c r="F236" s="905"/>
      <c r="G236" s="874"/>
      <c r="H236" s="874"/>
      <c r="I236" s="906"/>
      <c r="J236" s="162"/>
      <c r="K236" s="161"/>
      <c r="L236" s="161"/>
      <c r="M236" s="169"/>
      <c r="N236" s="163" t="str">
        <f t="shared" si="7"/>
        <v/>
      </c>
      <c r="O236" s="41"/>
      <c r="P236" s="41"/>
      <c r="Q236" s="161" t="str">
        <f>+IF(OR(O236="Fire Control",O236="Fire Tex 5062",O236="Fire Tex 5090",O236="Fire Tex 5120"),'CALCULO PINTURA'!P939," ")</f>
        <v xml:space="preserve"> </v>
      </c>
      <c r="R236" s="164" t="str">
        <f>+IF(OR(O236="Fire Control",O236="Fire Tex 5062",O236="Fire Tex 5090",O236="Fire Tex 5120"),'CALCULO PINTURA'!R939," ")</f>
        <v xml:space="preserve"> </v>
      </c>
      <c r="S236" s="164" t="str">
        <f>+IF(OR(O236="Fire Control",O236="Fire Tex 5062",O236="Fire Tex 5090",O236="Fire Tex 5120"),'CALCULO PINTURA'!S939," ")</f>
        <v xml:space="preserve"> </v>
      </c>
      <c r="T236" s="874" t="str">
        <f>+IF(OR(O236="Blaze Shield II",O236="Cafco 400",O236="Cafco 300"),'CALCULO MORTERO'!N944," ")</f>
        <v xml:space="preserve"> </v>
      </c>
      <c r="U236" s="875" t="str">
        <f>+IF(OR(O236="Blaze Shield II",O236="Cafco 400",O236="Cafco 300"),'CALCULO MORTERO'!O944," ")</f>
        <v xml:space="preserve"> </v>
      </c>
      <c r="V236" s="161" t="str" cm="1">
        <f t="array" ref="V236">_xlfn.IFS(O236="Blaze Shield II",'CALCULO MORTERO'!P237, O236="Cafco 400",'CALCULO MORTERO'!Q237,O236="Cafco 300",'CALCULO MORTERO'!S237, AND(OR(O236="Fire tex 5090", O236="Fire Tex 5062", O236="Fire Tex 5120", O236="Fire Control"),Q236&gt;0), "CERT.",TRUE,"-")</f>
        <v>-</v>
      </c>
      <c r="W236" s="167"/>
      <c r="X236" s="167"/>
    </row>
    <row r="237" spans="1:24" x14ac:dyDescent="0.2">
      <c r="A237" s="903"/>
      <c r="B237" s="907"/>
      <c r="C237" s="874"/>
      <c r="D237" s="874"/>
      <c r="E237" s="874"/>
      <c r="F237" s="905"/>
      <c r="G237" s="874"/>
      <c r="H237" s="874"/>
      <c r="I237" s="906"/>
      <c r="J237" s="162"/>
      <c r="K237" s="161"/>
      <c r="L237" s="161"/>
      <c r="M237" s="169"/>
      <c r="N237" s="163" t="str">
        <f t="shared" si="7"/>
        <v/>
      </c>
      <c r="O237" s="41"/>
      <c r="P237" s="41"/>
      <c r="Q237" s="161" t="str">
        <f>+IF(OR(O237="Fire Control",O237="Fire Tex 5062",O237="Fire Tex 5090",O237="Fire Tex 5120"),'CALCULO PINTURA'!P940," ")</f>
        <v xml:space="preserve"> </v>
      </c>
      <c r="R237" s="164" t="str">
        <f>+IF(OR(O237="Fire Control",O237="Fire Tex 5062",O237="Fire Tex 5090",O237="Fire Tex 5120"),'CALCULO PINTURA'!R940," ")</f>
        <v xml:space="preserve"> </v>
      </c>
      <c r="S237" s="164" t="str">
        <f>+IF(OR(O237="Fire Control",O237="Fire Tex 5062",O237="Fire Tex 5090",O237="Fire Tex 5120"),'CALCULO PINTURA'!S940," ")</f>
        <v xml:space="preserve"> </v>
      </c>
      <c r="T237" s="874" t="str">
        <f>+IF(OR(O237="Blaze Shield II",O237="Cafco 400",O237="Cafco 300"),'CALCULO MORTERO'!N945," ")</f>
        <v xml:space="preserve"> </v>
      </c>
      <c r="U237" s="875" t="str">
        <f>+IF(OR(O237="Blaze Shield II",O237="Cafco 400",O237="Cafco 300"),'CALCULO MORTERO'!O945," ")</f>
        <v xml:space="preserve"> </v>
      </c>
      <c r="V237" s="161" t="str" cm="1">
        <f t="array" ref="V237">_xlfn.IFS(O237="Blaze Shield II",'CALCULO MORTERO'!P238, O237="Cafco 400",'CALCULO MORTERO'!Q238,O237="Cafco 300",'CALCULO MORTERO'!S238, AND(OR(O237="Fire tex 5090", O237="Fire Tex 5062", O237="Fire Tex 5120", O237="Fire Control"),Q237&gt;0), "CERT.",TRUE,"-")</f>
        <v>-</v>
      </c>
      <c r="W237" s="167"/>
      <c r="X237" s="167"/>
    </row>
    <row r="238" spans="1:24" x14ac:dyDescent="0.2">
      <c r="A238" s="903"/>
      <c r="B238" s="907"/>
      <c r="C238" s="874"/>
      <c r="D238" s="874"/>
      <c r="E238" s="874"/>
      <c r="F238" s="905"/>
      <c r="G238" s="874"/>
      <c r="H238" s="874"/>
      <c r="I238" s="906"/>
      <c r="J238" s="162"/>
      <c r="K238" s="161"/>
      <c r="L238" s="161"/>
      <c r="M238" s="169"/>
      <c r="N238" s="163" t="str">
        <f t="shared" si="7"/>
        <v/>
      </c>
      <c r="O238" s="41"/>
      <c r="P238" s="41"/>
      <c r="Q238" s="161" t="str">
        <f>+IF(OR(O238="Fire Control",O238="Fire Tex 5062",O238="Fire Tex 5090",O238="Fire Tex 5120"),'CALCULO PINTURA'!P941," ")</f>
        <v xml:space="preserve"> </v>
      </c>
      <c r="R238" s="164" t="str">
        <f>+IF(OR(O238="Fire Control",O238="Fire Tex 5062",O238="Fire Tex 5090",O238="Fire Tex 5120"),'CALCULO PINTURA'!R941," ")</f>
        <v xml:space="preserve"> </v>
      </c>
      <c r="S238" s="164" t="str">
        <f>+IF(OR(O238="Fire Control",O238="Fire Tex 5062",O238="Fire Tex 5090",O238="Fire Tex 5120"),'CALCULO PINTURA'!S941," ")</f>
        <v xml:space="preserve"> </v>
      </c>
      <c r="T238" s="874" t="str">
        <f>+IF(OR(O238="Blaze Shield II",O238="Cafco 400",O238="Cafco 300"),'CALCULO MORTERO'!N946," ")</f>
        <v xml:space="preserve"> </v>
      </c>
      <c r="U238" s="875" t="str">
        <f>+IF(OR(O238="Blaze Shield II",O238="Cafco 400",O238="Cafco 300"),'CALCULO MORTERO'!O946," ")</f>
        <v xml:space="preserve"> </v>
      </c>
      <c r="V238" s="161" t="str" cm="1">
        <f t="array" ref="V238">_xlfn.IFS(O238="Blaze Shield II",'CALCULO MORTERO'!P239, O238="Cafco 400",'CALCULO MORTERO'!Q239,O238="Cafco 300",'CALCULO MORTERO'!S239, AND(OR(O238="Fire tex 5090", O238="Fire Tex 5062", O238="Fire Tex 5120", O238="Fire Control"),Q238&gt;0), "CERT.",TRUE,"-")</f>
        <v>-</v>
      </c>
      <c r="W238" s="167"/>
      <c r="X238" s="167"/>
    </row>
    <row r="239" spans="1:24" x14ac:dyDescent="0.2">
      <c r="A239" s="903"/>
      <c r="B239" s="907"/>
      <c r="C239" s="874"/>
      <c r="D239" s="874"/>
      <c r="E239" s="874"/>
      <c r="F239" s="905"/>
      <c r="G239" s="874"/>
      <c r="H239" s="874"/>
      <c r="I239" s="906"/>
      <c r="J239" s="162"/>
      <c r="K239" s="161"/>
      <c r="L239" s="161"/>
      <c r="M239" s="169"/>
      <c r="N239" s="163" t="str">
        <f t="shared" si="7"/>
        <v/>
      </c>
      <c r="O239" s="41"/>
      <c r="P239" s="41"/>
      <c r="Q239" s="161" t="str">
        <f>+IF(OR(O239="Fire Control",O239="Fire Tex 5062",O239="Fire Tex 5090",O239="Fire Tex 5120"),'CALCULO PINTURA'!P942," ")</f>
        <v xml:space="preserve"> </v>
      </c>
      <c r="R239" s="164" t="str">
        <f>+IF(OR(O239="Fire Control",O239="Fire Tex 5062",O239="Fire Tex 5090",O239="Fire Tex 5120"),'CALCULO PINTURA'!R942," ")</f>
        <v xml:space="preserve"> </v>
      </c>
      <c r="S239" s="164" t="str">
        <f>+IF(OR(O239="Fire Control",O239="Fire Tex 5062",O239="Fire Tex 5090",O239="Fire Tex 5120"),'CALCULO PINTURA'!S942," ")</f>
        <v xml:space="preserve"> </v>
      </c>
      <c r="T239" s="874" t="str">
        <f>+IF(OR(O239="Blaze Shield II",O239="Cafco 400",O239="Cafco 300"),'CALCULO MORTERO'!N947," ")</f>
        <v xml:space="preserve"> </v>
      </c>
      <c r="U239" s="875" t="str">
        <f>+IF(OR(O239="Blaze Shield II",O239="Cafco 400",O239="Cafco 300"),'CALCULO MORTERO'!O947," ")</f>
        <v xml:space="preserve"> </v>
      </c>
      <c r="V239" s="161" t="str" cm="1">
        <f t="array" ref="V239">_xlfn.IFS(O239="Blaze Shield II",'CALCULO MORTERO'!P240, O239="Cafco 400",'CALCULO MORTERO'!Q240,O239="Cafco 300",'CALCULO MORTERO'!S240, AND(OR(O239="Fire tex 5090", O239="Fire Tex 5062", O239="Fire Tex 5120", O239="Fire Control"),Q239&gt;0), "CERT.",TRUE,"-")</f>
        <v>-</v>
      </c>
      <c r="W239" s="167"/>
      <c r="X239" s="167"/>
    </row>
    <row r="240" spans="1:24" x14ac:dyDescent="0.2">
      <c r="A240" s="903"/>
      <c r="B240" s="907"/>
      <c r="C240" s="874"/>
      <c r="D240" s="874"/>
      <c r="E240" s="874"/>
      <c r="F240" s="905"/>
      <c r="G240" s="874"/>
      <c r="H240" s="874"/>
      <c r="I240" s="906"/>
      <c r="J240" s="162"/>
      <c r="K240" s="161"/>
      <c r="L240" s="161"/>
      <c r="M240" s="169"/>
      <c r="N240" s="163" t="str">
        <f t="shared" si="7"/>
        <v/>
      </c>
      <c r="O240" s="41"/>
      <c r="P240" s="41"/>
      <c r="Q240" s="161" t="str">
        <f>+IF(OR(O240="Fire Control",O240="Fire Tex 5062",O240="Fire Tex 5090",O240="Fire Tex 5120"),'CALCULO PINTURA'!P943," ")</f>
        <v xml:space="preserve"> </v>
      </c>
      <c r="R240" s="164" t="str">
        <f>+IF(OR(O240="Fire Control",O240="Fire Tex 5062",O240="Fire Tex 5090",O240="Fire Tex 5120"),'CALCULO PINTURA'!R943," ")</f>
        <v xml:space="preserve"> </v>
      </c>
      <c r="S240" s="164" t="str">
        <f>+IF(OR(O240="Fire Control",O240="Fire Tex 5062",O240="Fire Tex 5090",O240="Fire Tex 5120"),'CALCULO PINTURA'!S943," ")</f>
        <v xml:space="preserve"> </v>
      </c>
      <c r="T240" s="874" t="str">
        <f>+IF(OR(O240="Blaze Shield II",O240="Cafco 400",O240="Cafco 300"),'CALCULO MORTERO'!N948," ")</f>
        <v xml:space="preserve"> </v>
      </c>
      <c r="U240" s="875" t="str">
        <f>+IF(OR(O240="Blaze Shield II",O240="Cafco 400",O240="Cafco 300"),'CALCULO MORTERO'!O948," ")</f>
        <v xml:space="preserve"> </v>
      </c>
      <c r="V240" s="161" t="str" cm="1">
        <f t="array" ref="V240">_xlfn.IFS(O240="Blaze Shield II",'CALCULO MORTERO'!P241, O240="Cafco 400",'CALCULO MORTERO'!Q241,O240="Cafco 300",'CALCULO MORTERO'!S241, AND(OR(O240="Fire tex 5090", O240="Fire Tex 5062", O240="Fire Tex 5120", O240="Fire Control"),Q240&gt;0), "CERT.",TRUE,"-")</f>
        <v>-</v>
      </c>
      <c r="W240" s="167"/>
      <c r="X240" s="167"/>
    </row>
    <row r="241" spans="1:24" x14ac:dyDescent="0.2">
      <c r="A241" s="903"/>
      <c r="B241" s="907"/>
      <c r="C241" s="874"/>
      <c r="D241" s="874"/>
      <c r="E241" s="874"/>
      <c r="F241" s="905"/>
      <c r="G241" s="874"/>
      <c r="H241" s="874"/>
      <c r="I241" s="906"/>
      <c r="J241" s="162"/>
      <c r="K241" s="161"/>
      <c r="L241" s="161"/>
      <c r="M241" s="169"/>
      <c r="N241" s="163" t="str">
        <f t="shared" si="7"/>
        <v/>
      </c>
      <c r="O241" s="41"/>
      <c r="P241" s="41"/>
      <c r="Q241" s="161" t="str">
        <f>+IF(OR(O241="Fire Control",O241="Fire Tex 5062",O241="Fire Tex 5090",O241="Fire Tex 5120"),'CALCULO PINTURA'!P944," ")</f>
        <v xml:space="preserve"> </v>
      </c>
      <c r="R241" s="164" t="str">
        <f>+IF(OR(O241="Fire Control",O241="Fire Tex 5062",O241="Fire Tex 5090",O241="Fire Tex 5120"),'CALCULO PINTURA'!R944," ")</f>
        <v xml:space="preserve"> </v>
      </c>
      <c r="S241" s="164" t="str">
        <f>+IF(OR(O241="Fire Control",O241="Fire Tex 5062",O241="Fire Tex 5090",O241="Fire Tex 5120"),'CALCULO PINTURA'!S944," ")</f>
        <v xml:space="preserve"> </v>
      </c>
      <c r="T241" s="874" t="str">
        <f>+IF(OR(O241="Blaze Shield II",O241="Cafco 400",O241="Cafco 300"),'CALCULO MORTERO'!N949," ")</f>
        <v xml:space="preserve"> </v>
      </c>
      <c r="U241" s="875" t="str">
        <f>+IF(OR(O241="Blaze Shield II",O241="Cafco 400",O241="Cafco 300"),'CALCULO MORTERO'!O949," ")</f>
        <v xml:space="preserve"> </v>
      </c>
      <c r="V241" s="161" t="str" cm="1">
        <f t="array" ref="V241">_xlfn.IFS(O241="Blaze Shield II",'CALCULO MORTERO'!P242, O241="Cafco 400",'CALCULO MORTERO'!Q242,O241="Cafco 300",'CALCULO MORTERO'!S242, AND(OR(O241="Fire tex 5090", O241="Fire Tex 5062", O241="Fire Tex 5120", O241="Fire Control"),Q241&gt;0), "CERT.",TRUE,"-")</f>
        <v>-</v>
      </c>
      <c r="W241" s="167"/>
      <c r="X241" s="167"/>
    </row>
    <row r="242" spans="1:24" x14ac:dyDescent="0.2">
      <c r="A242" s="903"/>
      <c r="B242" s="907"/>
      <c r="C242" s="874"/>
      <c r="D242" s="874"/>
      <c r="E242" s="874"/>
      <c r="F242" s="905"/>
      <c r="G242" s="874"/>
      <c r="H242" s="874"/>
      <c r="I242" s="906"/>
      <c r="J242" s="162"/>
      <c r="K242" s="161"/>
      <c r="L242" s="161"/>
      <c r="M242" s="169"/>
      <c r="N242" s="163" t="str">
        <f t="shared" si="7"/>
        <v/>
      </c>
      <c r="O242" s="41"/>
      <c r="P242" s="41"/>
      <c r="Q242" s="161" t="str">
        <f>+IF(OR(O242="Fire Control",O242="Fire Tex 5062",O242="Fire Tex 5090",O242="Fire Tex 5120"),'CALCULO PINTURA'!P980," ")</f>
        <v xml:space="preserve"> </v>
      </c>
      <c r="R242" s="164" t="str">
        <f>+IF(OR(O242="Fire Control",O242="Fire Tex 5062",O242="Fire Tex 5090",O242="Fire Tex 5120"),'CALCULO PINTURA'!R980," ")</f>
        <v xml:space="preserve"> </v>
      </c>
      <c r="S242" s="164" t="str">
        <f>+IF(OR(O242="Fire Control",O242="Fire Tex 5062",O242="Fire Tex 5090",O242="Fire Tex 5120"),'CALCULO PINTURA'!S980," ")</f>
        <v xml:space="preserve"> </v>
      </c>
      <c r="T242" s="874" t="str">
        <f>+IF(OR(O242="Blaze Shield II",O242="Cafco 400",O242="Cafco 300"),'CALCULO MORTERO'!N985," ")</f>
        <v xml:space="preserve"> </v>
      </c>
      <c r="U242" s="875" t="str">
        <f>+IF(OR(O242="Blaze Shield II",O242="Cafco 400",O242="Cafco 300"),'CALCULO MORTERO'!O985," ")</f>
        <v xml:space="preserve"> </v>
      </c>
      <c r="V242" s="161" t="str" cm="1">
        <f t="array" ref="V242">_xlfn.IFS(O242="Blaze Shield II",'CALCULO MORTERO'!P243, O242="Cafco 400",'CALCULO MORTERO'!Q243,O242="Cafco 300",'CALCULO MORTERO'!S243, AND(OR(O242="Fire tex 5090", O242="Fire Tex 5062", O242="Fire Tex 5120", O242="Fire Control"),Q242&gt;0), "CERT.",TRUE,"-")</f>
        <v>-</v>
      </c>
      <c r="W242" s="167"/>
      <c r="X242" s="167"/>
    </row>
    <row r="243" spans="1:24" x14ac:dyDescent="0.2">
      <c r="A243" s="903"/>
      <c r="B243" s="907"/>
      <c r="C243" s="874"/>
      <c r="D243" s="874"/>
      <c r="E243" s="874"/>
      <c r="F243" s="905"/>
      <c r="G243" s="874"/>
      <c r="H243" s="874"/>
      <c r="I243" s="906"/>
      <c r="J243" s="162"/>
      <c r="K243" s="161"/>
      <c r="L243" s="161"/>
      <c r="M243" s="169"/>
      <c r="N243" s="163" t="str">
        <f t="shared" si="7"/>
        <v/>
      </c>
      <c r="O243" s="41"/>
      <c r="P243" s="41"/>
      <c r="Q243" s="161" t="str">
        <f>+IF(OR(O243="Fire Control",O243="Fire Tex 5062",O243="Fire Tex 5090",O243="Fire Tex 5120"),'CALCULO PINTURA'!P981," ")</f>
        <v xml:space="preserve"> </v>
      </c>
      <c r="R243" s="164" t="str">
        <f>+IF(OR(O243="Fire Control",O243="Fire Tex 5062",O243="Fire Tex 5090",O243="Fire Tex 5120"),'CALCULO PINTURA'!R981," ")</f>
        <v xml:space="preserve"> </v>
      </c>
      <c r="S243" s="164" t="str">
        <f>+IF(OR(O243="Fire Control",O243="Fire Tex 5062",O243="Fire Tex 5090",O243="Fire Tex 5120"),'CALCULO PINTURA'!S981," ")</f>
        <v xml:space="preserve"> </v>
      </c>
      <c r="T243" s="874" t="str">
        <f>+IF(OR(O243="Blaze Shield II",O243="Cafco 400",O243="Cafco 300"),'CALCULO MORTERO'!N986," ")</f>
        <v xml:space="preserve"> </v>
      </c>
      <c r="U243" s="875" t="str">
        <f>+IF(OR(O243="Blaze Shield II",O243="Cafco 400",O243="Cafco 300"),'CALCULO MORTERO'!O986," ")</f>
        <v xml:space="preserve"> </v>
      </c>
      <c r="V243" s="161" t="str" cm="1">
        <f t="array" ref="V243">_xlfn.IFS(O243="Blaze Shield II",'CALCULO MORTERO'!P244, O243="Cafco 400",'CALCULO MORTERO'!Q244,O243="Cafco 300",'CALCULO MORTERO'!S244, AND(OR(O243="Fire tex 5090", O243="Fire Tex 5062", O243="Fire Tex 5120", O243="Fire Control"),Q243&gt;0), "CERT.",TRUE,"-")</f>
        <v>-</v>
      </c>
      <c r="W243" s="167"/>
      <c r="X243" s="167"/>
    </row>
    <row r="244" spans="1:24" x14ac:dyDescent="0.2">
      <c r="A244" s="903"/>
      <c r="B244" s="904"/>
      <c r="C244" s="874"/>
      <c r="D244" s="874"/>
      <c r="E244" s="905"/>
      <c r="F244" s="905"/>
      <c r="G244" s="874"/>
      <c r="H244" s="874"/>
      <c r="I244" s="906"/>
      <c r="J244" s="162"/>
      <c r="K244" s="161"/>
      <c r="L244" s="161"/>
      <c r="M244" s="169"/>
      <c r="N244" s="163" t="str">
        <f t="shared" si="7"/>
        <v/>
      </c>
      <c r="O244" s="41"/>
      <c r="P244" s="41"/>
      <c r="Q244" s="161" t="str">
        <f>+IF(OR(O244="Fire Control",O244="Fire Tex 5062",O244="Fire Tex 5090",O244="Fire Tex 5120"),'CALCULO PINTURA'!P245," ")</f>
        <v xml:space="preserve"> </v>
      </c>
      <c r="R244" s="164" t="str">
        <f>+IF(OR(O244="Fire Control",O244="Fire Tex 5062",O244="Fire Tex 5090",O244="Fire Tex 5120"),'CALCULO PINTURA'!R245," ")</f>
        <v xml:space="preserve"> </v>
      </c>
      <c r="S244" s="164" t="str">
        <f>+IF(OR(O244="Fire Control",O244="Fire Tex 5062",O244="Fire Tex 5090",O244="Fire Tex 5120"),'CALCULO PINTURA'!S245," ")</f>
        <v xml:space="preserve"> </v>
      </c>
      <c r="T244" s="874" t="str">
        <f>+IF(OR(O244="Blaze Shield II",O244="Cafco 400",O244="Cafco 300"),'CALCULO MORTERO'!N250," ")</f>
        <v xml:space="preserve"> </v>
      </c>
      <c r="U244" s="875" t="str">
        <f>+IF(OR(O244="Blaze Shield II",O244="Cafco 400",O244="Cafco 300"),'CALCULO MORTERO'!O250," ")</f>
        <v xml:space="preserve"> </v>
      </c>
      <c r="V244" s="161" t="str" cm="1">
        <f t="array" ref="V244">_xlfn.IFS(O244="Blaze Shield II",'CALCULO MORTERO'!P245, O244="Cafco 400",'CALCULO MORTERO'!Q245,O244="Cafco 300",'CALCULO MORTERO'!S245, AND(OR(O244="Fire tex 5090", O244="Fire Tex 5062", O244="Fire Tex 5120", O244="Fire Control"),Q244&gt;0), "CERT.",TRUE,"-")</f>
        <v>-</v>
      </c>
      <c r="W244" s="167"/>
      <c r="X244" s="167"/>
    </row>
    <row r="245" spans="1:24" x14ac:dyDescent="0.2">
      <c r="A245" s="903"/>
      <c r="B245" s="904"/>
      <c r="C245" s="874"/>
      <c r="D245" s="874"/>
      <c r="E245" s="905"/>
      <c r="F245" s="905"/>
      <c r="G245" s="874"/>
      <c r="H245" s="874"/>
      <c r="I245" s="906"/>
      <c r="J245" s="162"/>
      <c r="K245" s="161"/>
      <c r="L245" s="161"/>
      <c r="M245" s="169"/>
      <c r="N245" s="163" t="str">
        <f t="shared" si="7"/>
        <v/>
      </c>
      <c r="O245" s="41"/>
      <c r="P245" s="41"/>
      <c r="Q245" s="161" t="str">
        <f>+IF(OR(O245="Fire Control",O245="Fire Tex 5062",O245="Fire Tex 5090",O245="Fire Tex 5120"),'CALCULO PINTURA'!P246," ")</f>
        <v xml:space="preserve"> </v>
      </c>
      <c r="R245" s="164" t="str">
        <f>+IF(OR(O245="Fire Control",O245="Fire Tex 5062",O245="Fire Tex 5090",O245="Fire Tex 5120"),'CALCULO PINTURA'!R246," ")</f>
        <v xml:space="preserve"> </v>
      </c>
      <c r="S245" s="164" t="str">
        <f>+IF(OR(O245="Fire Control",O245="Fire Tex 5062",O245="Fire Tex 5090",O245="Fire Tex 5120"),'CALCULO PINTURA'!S246," ")</f>
        <v xml:space="preserve"> </v>
      </c>
      <c r="T245" s="874" t="str">
        <f>+IF(OR(O245="Blaze Shield II",O245="Cafco 400",O245="Cafco 300"),'CALCULO MORTERO'!N251," ")</f>
        <v xml:space="preserve"> </v>
      </c>
      <c r="U245" s="875" t="str">
        <f>+IF(OR(O245="Blaze Shield II",O245="Cafco 400",O245="Cafco 300"),'CALCULO MORTERO'!O251," ")</f>
        <v xml:space="preserve"> </v>
      </c>
      <c r="V245" s="161" t="str" cm="1">
        <f t="array" ref="V245">_xlfn.IFS(O245="Blaze Shield II",'CALCULO MORTERO'!P246, O245="Cafco 400",'CALCULO MORTERO'!Q246,O245="Cafco 300",'CALCULO MORTERO'!S246, AND(OR(O245="Fire tex 5090", O245="Fire Tex 5062", O245="Fire Tex 5120", O245="Fire Control"),Q245&gt;0), "CERT.",TRUE,"-")</f>
        <v>-</v>
      </c>
      <c r="W245" s="167"/>
      <c r="X245" s="167"/>
    </row>
    <row r="246" spans="1:24" x14ac:dyDescent="0.2">
      <c r="A246" s="903"/>
      <c r="B246" s="904"/>
      <c r="C246" s="874"/>
      <c r="D246" s="874"/>
      <c r="E246" s="905"/>
      <c r="F246" s="905"/>
      <c r="G246" s="874"/>
      <c r="H246" s="874"/>
      <c r="I246" s="906"/>
      <c r="J246" s="162"/>
      <c r="K246" s="161"/>
      <c r="L246" s="161"/>
      <c r="M246" s="169"/>
      <c r="N246" s="163" t="str">
        <f t="shared" si="7"/>
        <v/>
      </c>
      <c r="O246" s="41"/>
      <c r="P246" s="41"/>
      <c r="Q246" s="161" t="str">
        <f>+IF(OR(O246="Fire Control",O246="Fire Tex 5062",O246="Fire Tex 5090",O246="Fire Tex 5120"),'CALCULO PINTURA'!P247," ")</f>
        <v xml:space="preserve"> </v>
      </c>
      <c r="R246" s="164" t="str">
        <f>+IF(OR(O246="Fire Control",O246="Fire Tex 5062",O246="Fire Tex 5090",O246="Fire Tex 5120"),'CALCULO PINTURA'!R247," ")</f>
        <v xml:space="preserve"> </v>
      </c>
      <c r="S246" s="164" t="str">
        <f>+IF(OR(O246="Fire Control",O246="Fire Tex 5062",O246="Fire Tex 5090",O246="Fire Tex 5120"),'CALCULO PINTURA'!S247," ")</f>
        <v xml:space="preserve"> </v>
      </c>
      <c r="T246" s="874" t="str">
        <f>+IF(OR(O246="Blaze Shield II",O246="Cafco 400",O246="Cafco 300"),'CALCULO MORTERO'!N252," ")</f>
        <v xml:space="preserve"> </v>
      </c>
      <c r="U246" s="875" t="str">
        <f>+IF(OR(O246="Blaze Shield II",O246="Cafco 400",O246="Cafco 300"),'CALCULO MORTERO'!O252," ")</f>
        <v xml:space="preserve"> </v>
      </c>
      <c r="V246" s="161" t="str" cm="1">
        <f t="array" ref="V246">_xlfn.IFS(O246="Blaze Shield II",'CALCULO MORTERO'!P247, O246="Cafco 400",'CALCULO MORTERO'!Q247,O246="Cafco 300",'CALCULO MORTERO'!S247, AND(OR(O246="Fire tex 5090", O246="Fire Tex 5062", O246="Fire Tex 5120", O246="Fire Control"),Q246&gt;0), "CERT.",TRUE,"-")</f>
        <v>-</v>
      </c>
      <c r="W246" s="167"/>
      <c r="X246" s="167"/>
    </row>
    <row r="247" spans="1:24" x14ac:dyDescent="0.2">
      <c r="A247" s="903"/>
      <c r="B247" s="904"/>
      <c r="C247" s="874"/>
      <c r="D247" s="874"/>
      <c r="E247" s="905"/>
      <c r="F247" s="905"/>
      <c r="G247" s="874"/>
      <c r="H247" s="874"/>
      <c r="I247" s="906"/>
      <c r="J247" s="162"/>
      <c r="K247" s="161"/>
      <c r="L247" s="161"/>
      <c r="M247" s="169"/>
      <c r="N247" s="163" t="str">
        <f t="shared" si="7"/>
        <v/>
      </c>
      <c r="O247" s="41"/>
      <c r="P247" s="41"/>
      <c r="Q247" s="161" t="str">
        <f>+IF(OR(O247="Fire Control",O247="Fire Tex 5062",O247="Fire Tex 5090",O247="Fire Tex 5120"),'CALCULO PINTURA'!P248," ")</f>
        <v xml:space="preserve"> </v>
      </c>
      <c r="R247" s="164" t="str">
        <f>+IF(OR(O247="Fire Control",O247="Fire Tex 5062",O247="Fire Tex 5090",O247="Fire Tex 5120"),'CALCULO PINTURA'!R248," ")</f>
        <v xml:space="preserve"> </v>
      </c>
      <c r="S247" s="164" t="str">
        <f>+IF(OR(O247="Fire Control",O247="Fire Tex 5062",O247="Fire Tex 5090",O247="Fire Tex 5120"),'CALCULO PINTURA'!S248," ")</f>
        <v xml:space="preserve"> </v>
      </c>
      <c r="T247" s="874" t="str">
        <f>+IF(OR(O247="Blaze Shield II",O247="Cafco 400",O247="Cafco 300"),'CALCULO MORTERO'!N253," ")</f>
        <v xml:space="preserve"> </v>
      </c>
      <c r="U247" s="875" t="str">
        <f>+IF(OR(O247="Blaze Shield II",O247="Cafco 400",O247="Cafco 300"),'CALCULO MORTERO'!O253," ")</f>
        <v xml:space="preserve"> </v>
      </c>
      <c r="V247" s="161" t="str" cm="1">
        <f t="array" ref="V247">_xlfn.IFS(O247="Blaze Shield II",'CALCULO MORTERO'!P248, O247="Cafco 400",'CALCULO MORTERO'!Q248,O247="Cafco 300",'CALCULO MORTERO'!S248, AND(OR(O247="Fire tex 5090", O247="Fire Tex 5062", O247="Fire Tex 5120", O247="Fire Control"),Q247&gt;0), "CERT.",TRUE,"-")</f>
        <v>-</v>
      </c>
      <c r="W247" s="167"/>
      <c r="X247" s="167"/>
    </row>
    <row r="248" spans="1:24" x14ac:dyDescent="0.2">
      <c r="A248" s="903"/>
      <c r="B248" s="904"/>
      <c r="C248" s="874"/>
      <c r="D248" s="874"/>
      <c r="E248" s="905"/>
      <c r="F248" s="905"/>
      <c r="G248" s="874"/>
      <c r="H248" s="874"/>
      <c r="I248" s="906"/>
      <c r="J248" s="162"/>
      <c r="K248" s="161"/>
      <c r="L248" s="161"/>
      <c r="M248" s="169"/>
      <c r="N248" s="163" t="str">
        <f t="shared" si="7"/>
        <v/>
      </c>
      <c r="O248" s="41"/>
      <c r="P248" s="41"/>
      <c r="Q248" s="161" t="str">
        <f>+IF(OR(O248="Fire Control",O248="Fire Tex 5062",O248="Fire Tex 5090",O248="Fire Tex 5120"),'CALCULO PINTURA'!P249," ")</f>
        <v xml:space="preserve"> </v>
      </c>
      <c r="R248" s="164" t="str">
        <f>+IF(OR(O248="Fire Control",O248="Fire Tex 5062",O248="Fire Tex 5090",O248="Fire Tex 5120"),'CALCULO PINTURA'!R249," ")</f>
        <v xml:space="preserve"> </v>
      </c>
      <c r="S248" s="164" t="str">
        <f>+IF(OR(O248="Fire Control",O248="Fire Tex 5062",O248="Fire Tex 5090",O248="Fire Tex 5120"),'CALCULO PINTURA'!S249," ")</f>
        <v xml:space="preserve"> </v>
      </c>
      <c r="T248" s="874" t="str">
        <f>+IF(OR(O248="Blaze Shield II",O248="Cafco 400",O248="Cafco 300"),'CALCULO MORTERO'!N254," ")</f>
        <v xml:space="preserve"> </v>
      </c>
      <c r="U248" s="875" t="str">
        <f>+IF(OR(O248="Blaze Shield II",O248="Cafco 400",O248="Cafco 300"),'CALCULO MORTERO'!O254," ")</f>
        <v xml:space="preserve"> </v>
      </c>
      <c r="V248" s="161" t="str" cm="1">
        <f t="array" ref="V248">_xlfn.IFS(O248="Blaze Shield II",'CALCULO MORTERO'!P249, O248="Cafco 400",'CALCULO MORTERO'!Q249,O248="Cafco 300",'CALCULO MORTERO'!S249, AND(OR(O248="Fire tex 5090", O248="Fire Tex 5062", O248="Fire Tex 5120", O248="Fire Control"),Q248&gt;0), "CERT.",TRUE,"-")</f>
        <v>-</v>
      </c>
      <c r="W248" s="167"/>
      <c r="X248" s="167"/>
    </row>
    <row r="249" spans="1:24" x14ac:dyDescent="0.2">
      <c r="A249" s="903"/>
      <c r="B249" s="904"/>
      <c r="C249" s="874"/>
      <c r="D249" s="874"/>
      <c r="E249" s="905"/>
      <c r="F249" s="905"/>
      <c r="G249" s="874"/>
      <c r="H249" s="874"/>
      <c r="I249" s="906"/>
      <c r="J249" s="162"/>
      <c r="K249" s="161"/>
      <c r="L249" s="161"/>
      <c r="M249" s="169"/>
      <c r="N249" s="163" t="str">
        <f t="shared" si="7"/>
        <v/>
      </c>
      <c r="O249" s="41"/>
      <c r="P249" s="41"/>
      <c r="Q249" s="161" t="str">
        <f>+IF(OR(O249="Fire Control",O249="Fire Tex 5062",O249="Fire Tex 5090",O249="Fire Tex 5120"),'CALCULO PINTURA'!P250," ")</f>
        <v xml:space="preserve"> </v>
      </c>
      <c r="R249" s="164" t="str">
        <f>+IF(OR(O249="Fire Control",O249="Fire Tex 5062",O249="Fire Tex 5090",O249="Fire Tex 5120"),'CALCULO PINTURA'!R250," ")</f>
        <v xml:space="preserve"> </v>
      </c>
      <c r="S249" s="164" t="str">
        <f>+IF(OR(O249="Fire Control",O249="Fire Tex 5062",O249="Fire Tex 5090",O249="Fire Tex 5120"),'CALCULO PINTURA'!S250," ")</f>
        <v xml:space="preserve"> </v>
      </c>
      <c r="T249" s="874" t="str">
        <f>+IF(OR(O249="Blaze Shield II",O249="Cafco 400",O249="Cafco 300"),'CALCULO MORTERO'!N255," ")</f>
        <v xml:space="preserve"> </v>
      </c>
      <c r="U249" s="875" t="str">
        <f>+IF(OR(O249="Blaze Shield II",O249="Cafco 400",O249="Cafco 300"),'CALCULO MORTERO'!O255," ")</f>
        <v xml:space="preserve"> </v>
      </c>
      <c r="V249" s="161" t="str" cm="1">
        <f t="array" ref="V249">_xlfn.IFS(O249="Blaze Shield II",'CALCULO MORTERO'!P250, O249="Cafco 400",'CALCULO MORTERO'!Q250,O249="Cafco 300",'CALCULO MORTERO'!S250, AND(OR(O249="Fire tex 5090", O249="Fire Tex 5062", O249="Fire Tex 5120", O249="Fire Control"),Q249&gt;0), "CERT.",TRUE,"-")</f>
        <v>-</v>
      </c>
      <c r="W249" s="167"/>
      <c r="X249" s="167"/>
    </row>
    <row r="250" spans="1:24" x14ac:dyDescent="0.2">
      <c r="A250" s="903"/>
      <c r="B250" s="904"/>
      <c r="C250" s="874"/>
      <c r="D250" s="874"/>
      <c r="E250" s="905"/>
      <c r="F250" s="905"/>
      <c r="G250" s="874"/>
      <c r="H250" s="874"/>
      <c r="I250" s="906"/>
      <c r="J250" s="162"/>
      <c r="K250" s="161"/>
      <c r="L250" s="161"/>
      <c r="M250" s="169"/>
      <c r="N250" s="163" t="str">
        <f t="shared" si="7"/>
        <v/>
      </c>
      <c r="O250" s="41"/>
      <c r="P250" s="41"/>
      <c r="Q250" s="161" t="str">
        <f>+IF(OR(O250="Fire Control",O250="Fire Tex 5062",O250="Fire Tex 5090",O250="Fire Tex 5120"),'CALCULO PINTURA'!P251," ")</f>
        <v xml:space="preserve"> </v>
      </c>
      <c r="R250" s="164" t="str">
        <f>+IF(OR(O250="Fire Control",O250="Fire Tex 5062",O250="Fire Tex 5090",O250="Fire Tex 5120"),'CALCULO PINTURA'!R251," ")</f>
        <v xml:space="preserve"> </v>
      </c>
      <c r="S250" s="164" t="str">
        <f>+IF(OR(O250="Fire Control",O250="Fire Tex 5062",O250="Fire Tex 5090",O250="Fire Tex 5120"),'CALCULO PINTURA'!S251," ")</f>
        <v xml:space="preserve"> </v>
      </c>
      <c r="T250" s="874" t="str">
        <f>+IF(OR(O250="Blaze Shield II",O250="Cafco 400",O250="Cafco 300"),'CALCULO MORTERO'!N256," ")</f>
        <v xml:space="preserve"> </v>
      </c>
      <c r="U250" s="875" t="str">
        <f>+IF(OR(O250="Blaze Shield II",O250="Cafco 400",O250="Cafco 300"),'CALCULO MORTERO'!O256," ")</f>
        <v xml:space="preserve"> </v>
      </c>
      <c r="V250" s="161" t="str" cm="1">
        <f t="array" ref="V250">_xlfn.IFS(O250="Blaze Shield II",'CALCULO MORTERO'!P251, O250="Cafco 400",'CALCULO MORTERO'!Q251,O250="Cafco 300",'CALCULO MORTERO'!S251, AND(OR(O250="Fire tex 5090", O250="Fire Tex 5062", O250="Fire Tex 5120", O250="Fire Control"),Q250&gt;0), "CERT.",TRUE,"-")</f>
        <v>-</v>
      </c>
      <c r="W250" s="167"/>
      <c r="X250" s="167"/>
    </row>
    <row r="251" spans="1:24" x14ac:dyDescent="0.2">
      <c r="A251" s="903"/>
      <c r="B251" s="904"/>
      <c r="C251" s="874"/>
      <c r="D251" s="874"/>
      <c r="E251" s="905"/>
      <c r="F251" s="905"/>
      <c r="G251" s="874"/>
      <c r="H251" s="874"/>
      <c r="I251" s="906"/>
      <c r="J251" s="162"/>
      <c r="K251" s="161"/>
      <c r="L251" s="161"/>
      <c r="M251" s="169"/>
      <c r="N251" s="163" t="str">
        <f t="shared" si="7"/>
        <v/>
      </c>
      <c r="O251" s="41"/>
      <c r="P251" s="41"/>
      <c r="Q251" s="161" t="str">
        <f>+IF(OR(O251="Fire Control",O251="Fire Tex 5062",O251="Fire Tex 5090",O251="Fire Tex 5120"),'CALCULO PINTURA'!P252," ")</f>
        <v xml:space="preserve"> </v>
      </c>
      <c r="R251" s="164" t="str">
        <f>+IF(OR(O251="Fire Control",O251="Fire Tex 5062",O251="Fire Tex 5090",O251="Fire Tex 5120"),'CALCULO PINTURA'!R252," ")</f>
        <v xml:space="preserve"> </v>
      </c>
      <c r="S251" s="164" t="str">
        <f>+IF(OR(O251="Fire Control",O251="Fire Tex 5062",O251="Fire Tex 5090",O251="Fire Tex 5120"),'CALCULO PINTURA'!S252," ")</f>
        <v xml:space="preserve"> </v>
      </c>
      <c r="T251" s="874" t="str">
        <f>+IF(OR(O251="Blaze Shield II",O251="Cafco 400",O251="Cafco 300"),'CALCULO MORTERO'!N257," ")</f>
        <v xml:space="preserve"> </v>
      </c>
      <c r="U251" s="875" t="str">
        <f>+IF(OR(O251="Blaze Shield II",O251="Cafco 400",O251="Cafco 300"),'CALCULO MORTERO'!O257," ")</f>
        <v xml:space="preserve"> </v>
      </c>
      <c r="V251" s="161" t="str" cm="1">
        <f t="array" ref="V251">_xlfn.IFS(O251="Blaze Shield II",'CALCULO MORTERO'!P252, O251="Cafco 400",'CALCULO MORTERO'!Q252,O251="Cafco 300",'CALCULO MORTERO'!S252, AND(OR(O251="Fire tex 5090", O251="Fire Tex 5062", O251="Fire Tex 5120", O251="Fire Control"),Q251&gt;0), "CERT.",TRUE,"-")</f>
        <v>-</v>
      </c>
      <c r="W251" s="167"/>
      <c r="X251" s="167"/>
    </row>
    <row r="252" spans="1:24" x14ac:dyDescent="0.2">
      <c r="A252" s="903"/>
      <c r="B252" s="904"/>
      <c r="C252" s="874"/>
      <c r="D252" s="874"/>
      <c r="E252" s="905"/>
      <c r="F252" s="905"/>
      <c r="G252" s="874"/>
      <c r="H252" s="874"/>
      <c r="I252" s="906"/>
      <c r="J252" s="162"/>
      <c r="K252" s="161"/>
      <c r="L252" s="161"/>
      <c r="M252" s="169"/>
      <c r="N252" s="163" t="str">
        <f t="shared" si="7"/>
        <v/>
      </c>
      <c r="O252" s="41"/>
      <c r="P252" s="41"/>
      <c r="Q252" s="161" t="str">
        <f>+IF(OR(O252="Fire Control",O252="Fire Tex 5062",O252="Fire Tex 5090",O252="Fire Tex 5120"),'CALCULO PINTURA'!P253," ")</f>
        <v xml:space="preserve"> </v>
      </c>
      <c r="R252" s="164" t="str">
        <f>+IF(OR(O252="Fire Control",O252="Fire Tex 5062",O252="Fire Tex 5090",O252="Fire Tex 5120"),'CALCULO PINTURA'!R253," ")</f>
        <v xml:space="preserve"> </v>
      </c>
      <c r="S252" s="164" t="str">
        <f>+IF(OR(O252="Fire Control",O252="Fire Tex 5062",O252="Fire Tex 5090",O252="Fire Tex 5120"),'CALCULO PINTURA'!S253," ")</f>
        <v xml:space="preserve"> </v>
      </c>
      <c r="T252" s="874" t="str">
        <f>+IF(OR(O252="Blaze Shield II",O252="Cafco 400",O252="Cafco 300"),'CALCULO MORTERO'!N258," ")</f>
        <v xml:space="preserve"> </v>
      </c>
      <c r="U252" s="875" t="str">
        <f>+IF(OR(O252="Blaze Shield II",O252="Cafco 400",O252="Cafco 300"),'CALCULO MORTERO'!O258," ")</f>
        <v xml:space="preserve"> </v>
      </c>
      <c r="V252" s="161" t="str" cm="1">
        <f t="array" ref="V252">_xlfn.IFS(O252="Blaze Shield II",'CALCULO MORTERO'!P253, O252="Cafco 400",'CALCULO MORTERO'!Q253,O252="Cafco 300",'CALCULO MORTERO'!S253, AND(OR(O252="Fire tex 5090", O252="Fire Tex 5062", O252="Fire Tex 5120", O252="Fire Control"),Q252&gt;0), "CERT.",TRUE,"-")</f>
        <v>-</v>
      </c>
      <c r="W252" s="167"/>
      <c r="X252" s="167"/>
    </row>
    <row r="253" spans="1:24" x14ac:dyDescent="0.2">
      <c r="A253" s="903"/>
      <c r="B253" s="904"/>
      <c r="C253" s="874"/>
      <c r="D253" s="874"/>
      <c r="E253" s="905"/>
      <c r="F253" s="905"/>
      <c r="G253" s="874"/>
      <c r="H253" s="874"/>
      <c r="I253" s="906"/>
      <c r="J253" s="162"/>
      <c r="K253" s="161"/>
      <c r="L253" s="161"/>
      <c r="M253" s="169"/>
      <c r="N253" s="163" t="str">
        <f t="shared" si="7"/>
        <v/>
      </c>
      <c r="O253" s="41"/>
      <c r="P253" s="41"/>
      <c r="Q253" s="161" t="str">
        <f>+IF(OR(O253="Fire Control",O253="Fire Tex 5062",O253="Fire Tex 5090",O253="Fire Tex 5120"),'CALCULO PINTURA'!P254," ")</f>
        <v xml:space="preserve"> </v>
      </c>
      <c r="R253" s="164" t="str">
        <f>+IF(OR(O253="Fire Control",O253="Fire Tex 5062",O253="Fire Tex 5090",O253="Fire Tex 5120"),'CALCULO PINTURA'!R254," ")</f>
        <v xml:space="preserve"> </v>
      </c>
      <c r="S253" s="164" t="str">
        <f>+IF(OR(O253="Fire Control",O253="Fire Tex 5062",O253="Fire Tex 5090",O253="Fire Tex 5120"),'CALCULO PINTURA'!S254," ")</f>
        <v xml:space="preserve"> </v>
      </c>
      <c r="T253" s="874" t="str">
        <f>+IF(OR(O253="Blaze Shield II",O253="Cafco 400",O253="Cafco 300"),'CALCULO MORTERO'!N259," ")</f>
        <v xml:space="preserve"> </v>
      </c>
      <c r="U253" s="875" t="str">
        <f>+IF(OR(O253="Blaze Shield II",O253="Cafco 400",O253="Cafco 300"),'CALCULO MORTERO'!O259," ")</f>
        <v xml:space="preserve"> </v>
      </c>
      <c r="V253" s="161" t="str" cm="1">
        <f t="array" ref="V253">_xlfn.IFS(O253="Blaze Shield II",'CALCULO MORTERO'!P254, O253="Cafco 400",'CALCULO MORTERO'!Q254,O253="Cafco 300",'CALCULO MORTERO'!S254, AND(OR(O253="Fire tex 5090", O253="Fire Tex 5062", O253="Fire Tex 5120", O253="Fire Control"),Q253&gt;0), "CERT.",TRUE,"-")</f>
        <v>-</v>
      </c>
      <c r="W253" s="167"/>
      <c r="X253" s="167"/>
    </row>
    <row r="254" spans="1:24" x14ac:dyDescent="0.2">
      <c r="A254" s="903"/>
      <c r="B254" s="907"/>
      <c r="C254" s="874"/>
      <c r="D254" s="874"/>
      <c r="E254" s="874"/>
      <c r="F254" s="905"/>
      <c r="G254" s="874"/>
      <c r="H254" s="874"/>
      <c r="I254" s="906"/>
      <c r="J254" s="162"/>
      <c r="K254" s="161"/>
      <c r="L254" s="161"/>
      <c r="M254" s="169"/>
      <c r="N254" s="163" t="str">
        <f t="shared" si="7"/>
        <v/>
      </c>
      <c r="O254" s="41"/>
      <c r="P254" s="41"/>
      <c r="Q254" s="161" t="str">
        <f>+IF(OR(O254="Fire Control",O254="Fire Tex 5062",O254="Fire Tex 5090",O254="Fire Tex 5120"),'CALCULO PINTURA'!P982," ")</f>
        <v xml:space="preserve"> </v>
      </c>
      <c r="R254" s="164" t="str">
        <f>+IF(OR(O254="Fire Control",O254="Fire Tex 5062",O254="Fire Tex 5090",O254="Fire Tex 5120"),'CALCULO PINTURA'!R982," ")</f>
        <v xml:space="preserve"> </v>
      </c>
      <c r="S254" s="164" t="str">
        <f>+IF(OR(O254="Fire Control",O254="Fire Tex 5062",O254="Fire Tex 5090",O254="Fire Tex 5120"),'CALCULO PINTURA'!S982," ")</f>
        <v xml:space="preserve"> </v>
      </c>
      <c r="T254" s="874" t="str">
        <f>+IF(OR(O254="Blaze Shield II",O254="Cafco 400",O254="Cafco 300"),'CALCULO MORTERO'!N987," ")</f>
        <v xml:space="preserve"> </v>
      </c>
      <c r="U254" s="875" t="str">
        <f>+IF(OR(O254="Blaze Shield II",O254="Cafco 400",O254="Cafco 300"),'CALCULO MORTERO'!O987," ")</f>
        <v xml:space="preserve"> </v>
      </c>
      <c r="V254" s="161" t="str" cm="1">
        <f t="array" ref="V254">_xlfn.IFS(O254="Blaze Shield II",'CALCULO MORTERO'!P255, O254="Cafco 400",'CALCULO MORTERO'!Q255,O254="Cafco 300",'CALCULO MORTERO'!S255, AND(OR(O254="Fire tex 5090", O254="Fire Tex 5062", O254="Fire Tex 5120", O254="Fire Control"),Q254&gt;0), "CERT.",TRUE,"-")</f>
        <v>-</v>
      </c>
      <c r="W254" s="167"/>
      <c r="X254" s="167"/>
    </row>
    <row r="255" spans="1:24" x14ac:dyDescent="0.2">
      <c r="A255" s="903"/>
      <c r="B255" s="904"/>
      <c r="C255" s="874"/>
      <c r="D255" s="874"/>
      <c r="E255" s="905"/>
      <c r="F255" s="905"/>
      <c r="G255" s="874"/>
      <c r="H255" s="874"/>
      <c r="I255" s="906"/>
      <c r="J255" s="162"/>
      <c r="K255" s="161"/>
      <c r="L255" s="161"/>
      <c r="M255" s="169"/>
      <c r="N255" s="163" t="str">
        <f t="shared" si="7"/>
        <v/>
      </c>
      <c r="O255" s="41"/>
      <c r="P255" s="41"/>
      <c r="Q255" s="161" t="str">
        <f>+IF(OR(O255="Fire Control",O255="Fire Tex 5062",O255="Fire Tex 5090",O255="Fire Tex 5120"),'CALCULO PINTURA'!P256," ")</f>
        <v xml:space="preserve"> </v>
      </c>
      <c r="R255" s="164" t="str">
        <f>+IF(OR(O255="Fire Control",O255="Fire Tex 5062",O255="Fire Tex 5090",O255="Fire Tex 5120"),'CALCULO PINTURA'!R256," ")</f>
        <v xml:space="preserve"> </v>
      </c>
      <c r="S255" s="164" t="str">
        <f>+IF(OR(O255="Fire Control",O255="Fire Tex 5062",O255="Fire Tex 5090",O255="Fire Tex 5120"),'CALCULO PINTURA'!S256," ")</f>
        <v xml:space="preserve"> </v>
      </c>
      <c r="T255" s="874" t="str">
        <f>+IF(OR(O255="Blaze Shield II",O255="Cafco 400",O255="Cafco 300"),'CALCULO MORTERO'!N261," ")</f>
        <v xml:space="preserve"> </v>
      </c>
      <c r="U255" s="875" t="str">
        <f>+IF(OR(O255="Blaze Shield II",O255="Cafco 400",O255="Cafco 300"),'CALCULO MORTERO'!O261," ")</f>
        <v xml:space="preserve"> </v>
      </c>
      <c r="V255" s="161" t="str" cm="1">
        <f t="array" ref="V255">_xlfn.IFS(O255="Blaze Shield II",'CALCULO MORTERO'!P256, O255="Cafco 400",'CALCULO MORTERO'!Q256,O255="Cafco 300",'CALCULO MORTERO'!S256, AND(OR(O255="Fire tex 5090", O255="Fire Tex 5062", O255="Fire Tex 5120", O255="Fire Control"),Q255&gt;0), "CERT.",TRUE,"-")</f>
        <v>-</v>
      </c>
      <c r="W255" s="167"/>
      <c r="X255" s="167"/>
    </row>
    <row r="256" spans="1:24" x14ac:dyDescent="0.2">
      <c r="A256" s="903"/>
      <c r="B256" s="904"/>
      <c r="C256" s="874"/>
      <c r="D256" s="874"/>
      <c r="E256" s="905"/>
      <c r="F256" s="905"/>
      <c r="G256" s="874"/>
      <c r="H256" s="874"/>
      <c r="I256" s="906"/>
      <c r="J256" s="162"/>
      <c r="K256" s="161"/>
      <c r="L256" s="161"/>
      <c r="M256" s="169"/>
      <c r="N256" s="163" t="str">
        <f t="shared" si="7"/>
        <v/>
      </c>
      <c r="O256" s="41"/>
      <c r="P256" s="41"/>
      <c r="Q256" s="161" t="str">
        <f>+IF(OR(O256="Fire Control",O256="Fire Tex 5062",O256="Fire Tex 5090",O256="Fire Tex 5120"),'CALCULO PINTURA'!P257," ")</f>
        <v xml:space="preserve"> </v>
      </c>
      <c r="R256" s="164" t="str">
        <f>+IF(OR(O256="Fire Control",O256="Fire Tex 5062",O256="Fire Tex 5090",O256="Fire Tex 5120"),'CALCULO PINTURA'!R257," ")</f>
        <v xml:space="preserve"> </v>
      </c>
      <c r="S256" s="164" t="str">
        <f>+IF(OR(O256="Fire Control",O256="Fire Tex 5062",O256="Fire Tex 5090",O256="Fire Tex 5120"),'CALCULO PINTURA'!S257," ")</f>
        <v xml:space="preserve"> </v>
      </c>
      <c r="T256" s="874" t="str">
        <f>+IF(OR(O256="Blaze Shield II",O256="Cafco 400",O256="Cafco 300"),'CALCULO MORTERO'!N262," ")</f>
        <v xml:space="preserve"> </v>
      </c>
      <c r="U256" s="875" t="str">
        <f>+IF(OR(O256="Blaze Shield II",O256="Cafco 400",O256="Cafco 300"),'CALCULO MORTERO'!O262," ")</f>
        <v xml:space="preserve"> </v>
      </c>
      <c r="V256" s="161" t="str" cm="1">
        <f t="array" ref="V256">_xlfn.IFS(O256="Blaze Shield II",'CALCULO MORTERO'!P257, O256="Cafco 400",'CALCULO MORTERO'!Q257,O256="Cafco 300",'CALCULO MORTERO'!S257, AND(OR(O256="Fire tex 5090", O256="Fire Tex 5062", O256="Fire Tex 5120", O256="Fire Control"),Q256&gt;0), "CERT.",TRUE,"-")</f>
        <v>-</v>
      </c>
      <c r="W256" s="167"/>
      <c r="X256" s="167"/>
    </row>
    <row r="257" spans="1:24" x14ac:dyDescent="0.2">
      <c r="A257" s="903"/>
      <c r="B257" s="904"/>
      <c r="C257" s="874"/>
      <c r="D257" s="874"/>
      <c r="E257" s="905"/>
      <c r="F257" s="905"/>
      <c r="G257" s="874"/>
      <c r="H257" s="874"/>
      <c r="I257" s="906"/>
      <c r="J257" s="162"/>
      <c r="K257" s="161"/>
      <c r="L257" s="161"/>
      <c r="M257" s="169"/>
      <c r="N257" s="163" t="str">
        <f t="shared" si="7"/>
        <v/>
      </c>
      <c r="O257" s="41"/>
      <c r="P257" s="41"/>
      <c r="Q257" s="161" t="str">
        <f>+IF(OR(O257="Fire Control",O257="Fire Tex 5062",O257="Fire Tex 5090",O257="Fire Tex 5120"),'CALCULO PINTURA'!P258," ")</f>
        <v xml:space="preserve"> </v>
      </c>
      <c r="R257" s="164" t="str">
        <f>+IF(OR(O257="Fire Control",O257="Fire Tex 5062",O257="Fire Tex 5090",O257="Fire Tex 5120"),'CALCULO PINTURA'!R258," ")</f>
        <v xml:space="preserve"> </v>
      </c>
      <c r="S257" s="164" t="str">
        <f>+IF(OR(O257="Fire Control",O257="Fire Tex 5062",O257="Fire Tex 5090",O257="Fire Tex 5120"),'CALCULO PINTURA'!S258," ")</f>
        <v xml:space="preserve"> </v>
      </c>
      <c r="T257" s="874" t="str">
        <f>+IF(OR(O257="Blaze Shield II",O257="Cafco 400",O257="Cafco 300"),'CALCULO MORTERO'!N263," ")</f>
        <v xml:space="preserve"> </v>
      </c>
      <c r="U257" s="875" t="str">
        <f>+IF(OR(O257="Blaze Shield II",O257="Cafco 400",O257="Cafco 300"),'CALCULO MORTERO'!O263," ")</f>
        <v xml:space="preserve"> </v>
      </c>
      <c r="V257" s="161" t="str" cm="1">
        <f t="array" ref="V257">_xlfn.IFS(O257="Blaze Shield II",'CALCULO MORTERO'!P258, O257="Cafco 400",'CALCULO MORTERO'!Q258,O257="Cafco 300",'CALCULO MORTERO'!S258, AND(OR(O257="Fire tex 5090", O257="Fire Tex 5062", O257="Fire Tex 5120", O257="Fire Control"),Q257&gt;0), "CERT.",TRUE,"-")</f>
        <v>-</v>
      </c>
      <c r="W257" s="167"/>
      <c r="X257" s="167"/>
    </row>
    <row r="258" spans="1:24" x14ac:dyDescent="0.2">
      <c r="A258" s="903"/>
      <c r="B258" s="904"/>
      <c r="C258" s="874"/>
      <c r="D258" s="874"/>
      <c r="E258" s="905"/>
      <c r="F258" s="905"/>
      <c r="G258" s="874"/>
      <c r="H258" s="874"/>
      <c r="I258" s="906"/>
      <c r="J258" s="162"/>
      <c r="K258" s="161"/>
      <c r="L258" s="161"/>
      <c r="M258" s="169"/>
      <c r="N258" s="163" t="str">
        <f t="shared" si="7"/>
        <v/>
      </c>
      <c r="O258" s="41"/>
      <c r="P258" s="41"/>
      <c r="Q258" s="161" t="str">
        <f>+IF(OR(O258="Fire Control",O258="Fire Tex 5062",O258="Fire Tex 5090",O258="Fire Tex 5120"),'CALCULO PINTURA'!P259," ")</f>
        <v xml:space="preserve"> </v>
      </c>
      <c r="R258" s="164" t="str">
        <f>+IF(OR(O258="Fire Control",O258="Fire Tex 5062",O258="Fire Tex 5090",O258="Fire Tex 5120"),'CALCULO PINTURA'!R259," ")</f>
        <v xml:space="preserve"> </v>
      </c>
      <c r="S258" s="164" t="str">
        <f>+IF(OR(O258="Fire Control",O258="Fire Tex 5062",O258="Fire Tex 5090",O258="Fire Tex 5120"),'CALCULO PINTURA'!S259," ")</f>
        <v xml:space="preserve"> </v>
      </c>
      <c r="T258" s="874" t="str">
        <f>+IF(OR(O258="Blaze Shield II",O258="Cafco 400",O258="Cafco 300"),'CALCULO MORTERO'!N264," ")</f>
        <v xml:space="preserve"> </v>
      </c>
      <c r="U258" s="875" t="str">
        <f>+IF(OR(O258="Blaze Shield II",O258="Cafco 400",O258="Cafco 300"),'CALCULO MORTERO'!O264," ")</f>
        <v xml:space="preserve"> </v>
      </c>
      <c r="V258" s="161" t="str" cm="1">
        <f t="array" ref="V258">_xlfn.IFS(O258="Blaze Shield II",'CALCULO MORTERO'!P259, O258="Cafco 400",'CALCULO MORTERO'!Q259,O258="Cafco 300",'CALCULO MORTERO'!S259, AND(OR(O258="Fire tex 5090", O258="Fire Tex 5062", O258="Fire Tex 5120", O258="Fire Control"),Q258&gt;0), "CERT.",TRUE,"-")</f>
        <v>-</v>
      </c>
      <c r="W258" s="167"/>
      <c r="X258" s="167"/>
    </row>
    <row r="259" spans="1:24" x14ac:dyDescent="0.2">
      <c r="A259" s="903"/>
      <c r="B259" s="904"/>
      <c r="C259" s="874"/>
      <c r="D259" s="874"/>
      <c r="E259" s="905"/>
      <c r="F259" s="905"/>
      <c r="G259" s="874"/>
      <c r="H259" s="874"/>
      <c r="I259" s="906"/>
      <c r="J259" s="162"/>
      <c r="K259" s="161"/>
      <c r="L259" s="161"/>
      <c r="M259" s="169"/>
      <c r="N259" s="163" t="str">
        <f t="shared" si="7"/>
        <v/>
      </c>
      <c r="O259" s="41"/>
      <c r="P259" s="41"/>
      <c r="Q259" s="161" t="str">
        <f>+IF(OR(O259="Fire Control",O259="Fire Tex 5062",O259="Fire Tex 5090",O259="Fire Tex 5120"),'CALCULO PINTURA'!P260," ")</f>
        <v xml:space="preserve"> </v>
      </c>
      <c r="R259" s="164" t="str">
        <f>+IF(OR(O259="Fire Control",O259="Fire Tex 5062",O259="Fire Tex 5090",O259="Fire Tex 5120"),'CALCULO PINTURA'!R260," ")</f>
        <v xml:space="preserve"> </v>
      </c>
      <c r="S259" s="164" t="str">
        <f>+IF(OR(O259="Fire Control",O259="Fire Tex 5062",O259="Fire Tex 5090",O259="Fire Tex 5120"),'CALCULO PINTURA'!S260," ")</f>
        <v xml:space="preserve"> </v>
      </c>
      <c r="T259" s="874" t="str">
        <f>+IF(OR(O259="Blaze Shield II",O259="Cafco 400",O259="Cafco 300"),'CALCULO MORTERO'!N265," ")</f>
        <v xml:space="preserve"> </v>
      </c>
      <c r="U259" s="875" t="str">
        <f>+IF(OR(O259="Blaze Shield II",O259="Cafco 400",O259="Cafco 300"),'CALCULO MORTERO'!O265," ")</f>
        <v xml:space="preserve"> </v>
      </c>
      <c r="V259" s="161" t="str" cm="1">
        <f t="array" ref="V259">_xlfn.IFS(O259="Blaze Shield II",'CALCULO MORTERO'!P260, O259="Cafco 400",'CALCULO MORTERO'!Q260,O259="Cafco 300",'CALCULO MORTERO'!S260, AND(OR(O259="Fire tex 5090", O259="Fire Tex 5062", O259="Fire Tex 5120", O259="Fire Control"),Q259&gt;0), "CERT.",TRUE,"-")</f>
        <v>-</v>
      </c>
      <c r="W259" s="167"/>
      <c r="X259" s="167"/>
    </row>
    <row r="260" spans="1:24" x14ac:dyDescent="0.2">
      <c r="A260" s="903"/>
      <c r="B260" s="904"/>
      <c r="C260" s="874"/>
      <c r="D260" s="874"/>
      <c r="E260" s="905"/>
      <c r="F260" s="905"/>
      <c r="G260" s="874"/>
      <c r="H260" s="874"/>
      <c r="I260" s="906"/>
      <c r="J260" s="162"/>
      <c r="K260" s="161"/>
      <c r="L260" s="161"/>
      <c r="M260" s="169"/>
      <c r="N260" s="163" t="str">
        <f t="shared" ref="N260:N323" si="8">+IF(F260="","",(K260*I260*H260*G260)/1000000)</f>
        <v/>
      </c>
      <c r="O260" s="41"/>
      <c r="P260" s="41"/>
      <c r="Q260" s="161" t="str">
        <f>+IF(OR(O260="Fire Control",O260="Fire Tex 5062",O260="Fire Tex 5090",O260="Fire Tex 5120"),'CALCULO PINTURA'!P261," ")</f>
        <v xml:space="preserve"> </v>
      </c>
      <c r="R260" s="164" t="str">
        <f>+IF(OR(O260="Fire Control",O260="Fire Tex 5062",O260="Fire Tex 5090",O260="Fire Tex 5120"),'CALCULO PINTURA'!R261," ")</f>
        <v xml:space="preserve"> </v>
      </c>
      <c r="S260" s="164" t="str">
        <f>+IF(OR(O260="Fire Control",O260="Fire Tex 5062",O260="Fire Tex 5090",O260="Fire Tex 5120"),'CALCULO PINTURA'!S261," ")</f>
        <v xml:space="preserve"> </v>
      </c>
      <c r="T260" s="874" t="str">
        <f>+IF(OR(O260="Blaze Shield II",O260="Cafco 400",O260="Cafco 300"),'CALCULO MORTERO'!N266," ")</f>
        <v xml:space="preserve"> </v>
      </c>
      <c r="U260" s="875" t="str">
        <f>+IF(OR(O260="Blaze Shield II",O260="Cafco 400",O260="Cafco 300"),'CALCULO MORTERO'!O266," ")</f>
        <v xml:space="preserve"> </v>
      </c>
      <c r="V260" s="161" t="str" cm="1">
        <f t="array" ref="V260">_xlfn.IFS(O260="Blaze Shield II",'CALCULO MORTERO'!P261, O260="Cafco 400",'CALCULO MORTERO'!Q261,O260="Cafco 300",'CALCULO MORTERO'!S261, AND(OR(O260="Fire tex 5090", O260="Fire Tex 5062", O260="Fire Tex 5120", O260="Fire Control"),Q260&gt;0), "CERT.",TRUE,"-")</f>
        <v>-</v>
      </c>
      <c r="W260" s="167"/>
      <c r="X260" s="167"/>
    </row>
    <row r="261" spans="1:24" x14ac:dyDescent="0.2">
      <c r="A261" s="903"/>
      <c r="B261" s="904"/>
      <c r="C261" s="874"/>
      <c r="D261" s="874"/>
      <c r="E261" s="905"/>
      <c r="F261" s="905"/>
      <c r="G261" s="874"/>
      <c r="H261" s="874"/>
      <c r="I261" s="906"/>
      <c r="J261" s="162"/>
      <c r="K261" s="161"/>
      <c r="L261" s="161"/>
      <c r="M261" s="169"/>
      <c r="N261" s="163" t="str">
        <f t="shared" si="8"/>
        <v/>
      </c>
      <c r="O261" s="41"/>
      <c r="P261" s="41"/>
      <c r="Q261" s="161" t="str">
        <f>+IF(OR(O261="Fire Control",O261="Fire Tex 5062",O261="Fire Tex 5090",O261="Fire Tex 5120"),'CALCULO PINTURA'!P262," ")</f>
        <v xml:space="preserve"> </v>
      </c>
      <c r="R261" s="164" t="str">
        <f>+IF(OR(O261="Fire Control",O261="Fire Tex 5062",O261="Fire Tex 5090",O261="Fire Tex 5120"),'CALCULO PINTURA'!R262," ")</f>
        <v xml:space="preserve"> </v>
      </c>
      <c r="S261" s="164" t="str">
        <f>+IF(OR(O261="Fire Control",O261="Fire Tex 5062",O261="Fire Tex 5090",O261="Fire Tex 5120"),'CALCULO PINTURA'!S262," ")</f>
        <v xml:space="preserve"> </v>
      </c>
      <c r="T261" s="874" t="str">
        <f>+IF(OR(O261="Blaze Shield II",O261="Cafco 400",O261="Cafco 300"),'CALCULO MORTERO'!N267," ")</f>
        <v xml:space="preserve"> </v>
      </c>
      <c r="U261" s="875" t="str">
        <f>+IF(OR(O261="Blaze Shield II",O261="Cafco 400",O261="Cafco 300"),'CALCULO MORTERO'!O267," ")</f>
        <v xml:space="preserve"> </v>
      </c>
      <c r="V261" s="161" t="str" cm="1">
        <f t="array" ref="V261">_xlfn.IFS(O261="Blaze Shield II",'CALCULO MORTERO'!P262, O261="Cafco 400",'CALCULO MORTERO'!Q262,O261="Cafco 300",'CALCULO MORTERO'!S262, AND(OR(O261="Fire tex 5090", O261="Fire Tex 5062", O261="Fire Tex 5120", O261="Fire Control"),Q261&gt;0), "CERT.",TRUE,"-")</f>
        <v>-</v>
      </c>
      <c r="W261" s="167"/>
      <c r="X261" s="167"/>
    </row>
    <row r="262" spans="1:24" x14ac:dyDescent="0.2">
      <c r="A262" s="903"/>
      <c r="B262" s="904"/>
      <c r="C262" s="874"/>
      <c r="D262" s="874"/>
      <c r="E262" s="905"/>
      <c r="F262" s="905"/>
      <c r="G262" s="874"/>
      <c r="H262" s="874"/>
      <c r="I262" s="906"/>
      <c r="J262" s="162"/>
      <c r="K262" s="161"/>
      <c r="L262" s="161"/>
      <c r="M262" s="169"/>
      <c r="N262" s="163" t="str">
        <f t="shared" si="8"/>
        <v/>
      </c>
      <c r="O262" s="41"/>
      <c r="P262" s="41"/>
      <c r="Q262" s="161" t="str">
        <f>+IF(OR(O262="Fire Control",O262="Fire Tex 5062",O262="Fire Tex 5090",O262="Fire Tex 5120"),'CALCULO PINTURA'!P263," ")</f>
        <v xml:space="preserve"> </v>
      </c>
      <c r="R262" s="164" t="str">
        <f>+IF(OR(O262="Fire Control",O262="Fire Tex 5062",O262="Fire Tex 5090",O262="Fire Tex 5120"),'CALCULO PINTURA'!R263," ")</f>
        <v xml:space="preserve"> </v>
      </c>
      <c r="S262" s="164" t="str">
        <f>+IF(OR(O262="Fire Control",O262="Fire Tex 5062",O262="Fire Tex 5090",O262="Fire Tex 5120"),'CALCULO PINTURA'!S263," ")</f>
        <v xml:space="preserve"> </v>
      </c>
      <c r="T262" s="874" t="str">
        <f>+IF(OR(O262="Blaze Shield II",O262="Cafco 400",O262="Cafco 300"),'CALCULO MORTERO'!N268," ")</f>
        <v xml:space="preserve"> </v>
      </c>
      <c r="U262" s="875" t="str">
        <f>+IF(OR(O262="Blaze Shield II",O262="Cafco 400",O262="Cafco 300"),'CALCULO MORTERO'!O268," ")</f>
        <v xml:space="preserve"> </v>
      </c>
      <c r="V262" s="161" t="str" cm="1">
        <f t="array" ref="V262">_xlfn.IFS(O262="Blaze Shield II",'CALCULO MORTERO'!P263, O262="Cafco 400",'CALCULO MORTERO'!Q263,O262="Cafco 300",'CALCULO MORTERO'!S263, AND(OR(O262="Fire tex 5090", O262="Fire Tex 5062", O262="Fire Tex 5120", O262="Fire Control"),Q262&gt;0), "CERT.",TRUE,"-")</f>
        <v>-</v>
      </c>
      <c r="W262" s="167"/>
      <c r="X262" s="167"/>
    </row>
    <row r="263" spans="1:24" x14ac:dyDescent="0.2">
      <c r="A263" s="903"/>
      <c r="B263" s="904"/>
      <c r="C263" s="874"/>
      <c r="D263" s="874"/>
      <c r="E263" s="905"/>
      <c r="F263" s="905"/>
      <c r="G263" s="874"/>
      <c r="H263" s="874"/>
      <c r="I263" s="906"/>
      <c r="J263" s="162"/>
      <c r="K263" s="161"/>
      <c r="L263" s="161"/>
      <c r="M263" s="169"/>
      <c r="N263" s="163" t="str">
        <f t="shared" si="8"/>
        <v/>
      </c>
      <c r="O263" s="41"/>
      <c r="P263" s="41"/>
      <c r="Q263" s="161" t="str">
        <f>+IF(OR(O263="Fire Control",O263="Fire Tex 5062",O263="Fire Tex 5090",O263="Fire Tex 5120"),'CALCULO PINTURA'!P264," ")</f>
        <v xml:space="preserve"> </v>
      </c>
      <c r="R263" s="164" t="str">
        <f>+IF(OR(O263="Fire Control",O263="Fire Tex 5062",O263="Fire Tex 5090",O263="Fire Tex 5120"),'CALCULO PINTURA'!R264," ")</f>
        <v xml:space="preserve"> </v>
      </c>
      <c r="S263" s="164" t="str">
        <f>+IF(OR(O263="Fire Control",O263="Fire Tex 5062",O263="Fire Tex 5090",O263="Fire Tex 5120"),'CALCULO PINTURA'!S264," ")</f>
        <v xml:space="preserve"> </v>
      </c>
      <c r="T263" s="874" t="str">
        <f>+IF(OR(O263="Blaze Shield II",O263="Cafco 400",O263="Cafco 300"),'CALCULO MORTERO'!N269," ")</f>
        <v xml:space="preserve"> </v>
      </c>
      <c r="U263" s="875" t="str">
        <f>+IF(OR(O263="Blaze Shield II",O263="Cafco 400",O263="Cafco 300"),'CALCULO MORTERO'!O269," ")</f>
        <v xml:space="preserve"> </v>
      </c>
      <c r="V263" s="161" t="str" cm="1">
        <f t="array" ref="V263">_xlfn.IFS(O263="Blaze Shield II",'CALCULO MORTERO'!P264, O263="Cafco 400",'CALCULO MORTERO'!Q264,O263="Cafco 300",'CALCULO MORTERO'!S264, AND(OR(O263="Fire tex 5090", O263="Fire Tex 5062", O263="Fire Tex 5120", O263="Fire Control"),Q263&gt;0), "CERT.",TRUE,"-")</f>
        <v>-</v>
      </c>
      <c r="W263" s="167"/>
      <c r="X263" s="167"/>
    </row>
    <row r="264" spans="1:24" x14ac:dyDescent="0.2">
      <c r="A264" s="903"/>
      <c r="B264" s="904"/>
      <c r="C264" s="874"/>
      <c r="D264" s="874"/>
      <c r="E264" s="905"/>
      <c r="F264" s="905"/>
      <c r="G264" s="874"/>
      <c r="H264" s="874"/>
      <c r="I264" s="906"/>
      <c r="J264" s="162"/>
      <c r="K264" s="161"/>
      <c r="L264" s="161"/>
      <c r="M264" s="169"/>
      <c r="N264" s="163" t="str">
        <f t="shared" si="8"/>
        <v/>
      </c>
      <c r="O264" s="41"/>
      <c r="P264" s="41"/>
      <c r="Q264" s="161" t="str">
        <f>+IF(OR(O264="Fire Control",O264="Fire Tex 5062",O264="Fire Tex 5090",O264="Fire Tex 5120"),'CALCULO PINTURA'!P265," ")</f>
        <v xml:space="preserve"> </v>
      </c>
      <c r="R264" s="164" t="str">
        <f>+IF(OR(O264="Fire Control",O264="Fire Tex 5062",O264="Fire Tex 5090",O264="Fire Tex 5120"),'CALCULO PINTURA'!R265," ")</f>
        <v xml:space="preserve"> </v>
      </c>
      <c r="S264" s="164" t="str">
        <f>+IF(OR(O264="Fire Control",O264="Fire Tex 5062",O264="Fire Tex 5090",O264="Fire Tex 5120"),'CALCULO PINTURA'!S265," ")</f>
        <v xml:space="preserve"> </v>
      </c>
      <c r="T264" s="874" t="str">
        <f>+IF(OR(O264="Blaze Shield II",O264="Cafco 400",O264="Cafco 300"),'CALCULO MORTERO'!N270," ")</f>
        <v xml:space="preserve"> </v>
      </c>
      <c r="U264" s="875" t="str">
        <f>+IF(OR(O264="Blaze Shield II",O264="Cafco 400",O264="Cafco 300"),'CALCULO MORTERO'!O270," ")</f>
        <v xml:space="preserve"> </v>
      </c>
      <c r="V264" s="161" t="str" cm="1">
        <f t="array" ref="V264">_xlfn.IFS(O264="Blaze Shield II",'CALCULO MORTERO'!P265, O264="Cafco 400",'CALCULO MORTERO'!Q265,O264="Cafco 300",'CALCULO MORTERO'!S265, AND(OR(O264="Fire tex 5090", O264="Fire Tex 5062", O264="Fire Tex 5120", O264="Fire Control"),Q264&gt;0), "CERT.",TRUE,"-")</f>
        <v>-</v>
      </c>
      <c r="W264" s="167"/>
      <c r="X264" s="167"/>
    </row>
    <row r="265" spans="1:24" x14ac:dyDescent="0.2">
      <c r="A265" s="903"/>
      <c r="B265" s="904"/>
      <c r="C265" s="874"/>
      <c r="D265" s="874"/>
      <c r="E265" s="905"/>
      <c r="F265" s="905"/>
      <c r="G265" s="874"/>
      <c r="H265" s="874"/>
      <c r="I265" s="906"/>
      <c r="J265" s="162"/>
      <c r="K265" s="161"/>
      <c r="L265" s="161"/>
      <c r="M265" s="169"/>
      <c r="N265" s="163" t="str">
        <f t="shared" si="8"/>
        <v/>
      </c>
      <c r="O265" s="41"/>
      <c r="P265" s="41"/>
      <c r="Q265" s="161" t="str">
        <f>+IF(OR(O265="Fire Control",O265="Fire Tex 5062",O265="Fire Tex 5090",O265="Fire Tex 5120"),'CALCULO PINTURA'!P266," ")</f>
        <v xml:space="preserve"> </v>
      </c>
      <c r="R265" s="164" t="str">
        <f>+IF(OR(O265="Fire Control",O265="Fire Tex 5062",O265="Fire Tex 5090",O265="Fire Tex 5120"),'CALCULO PINTURA'!R266," ")</f>
        <v xml:space="preserve"> </v>
      </c>
      <c r="S265" s="164" t="str">
        <f>+IF(OR(O265="Fire Control",O265="Fire Tex 5062",O265="Fire Tex 5090",O265="Fire Tex 5120"),'CALCULO PINTURA'!S266," ")</f>
        <v xml:space="preserve"> </v>
      </c>
      <c r="T265" s="874" t="str">
        <f>+IF(OR(O265="Blaze Shield II",O265="Cafco 400",O265="Cafco 300"),'CALCULO MORTERO'!N271," ")</f>
        <v xml:space="preserve"> </v>
      </c>
      <c r="U265" s="875" t="str">
        <f>+IF(OR(O265="Blaze Shield II",O265="Cafco 400",O265="Cafco 300"),'CALCULO MORTERO'!O271," ")</f>
        <v xml:space="preserve"> </v>
      </c>
      <c r="V265" s="161" t="str" cm="1">
        <f t="array" ref="V265">_xlfn.IFS(O265="Blaze Shield II",'CALCULO MORTERO'!P266, O265="Cafco 400",'CALCULO MORTERO'!Q266,O265="Cafco 300",'CALCULO MORTERO'!S266, AND(OR(O265="Fire tex 5090", O265="Fire Tex 5062", O265="Fire Tex 5120", O265="Fire Control"),Q265&gt;0), "CERT.",TRUE,"-")</f>
        <v>-</v>
      </c>
      <c r="W265" s="167"/>
      <c r="X265" s="167"/>
    </row>
    <row r="266" spans="1:24" x14ac:dyDescent="0.2">
      <c r="A266" s="903"/>
      <c r="B266" s="904"/>
      <c r="C266" s="874"/>
      <c r="D266" s="874"/>
      <c r="E266" s="905"/>
      <c r="F266" s="905"/>
      <c r="G266" s="874"/>
      <c r="H266" s="874"/>
      <c r="I266" s="906"/>
      <c r="J266" s="162"/>
      <c r="K266" s="161"/>
      <c r="L266" s="161"/>
      <c r="M266" s="169"/>
      <c r="N266" s="163" t="str">
        <f t="shared" si="8"/>
        <v/>
      </c>
      <c r="O266" s="41"/>
      <c r="P266" s="41"/>
      <c r="Q266" s="161" t="str">
        <f>+IF(OR(O266="Fire Control",O266="Fire Tex 5062",O266="Fire Tex 5090",O266="Fire Tex 5120"),'CALCULO PINTURA'!P267," ")</f>
        <v xml:space="preserve"> </v>
      </c>
      <c r="R266" s="164" t="str">
        <f>+IF(OR(O266="Fire Control",O266="Fire Tex 5062",O266="Fire Tex 5090",O266="Fire Tex 5120"),'CALCULO PINTURA'!R267," ")</f>
        <v xml:space="preserve"> </v>
      </c>
      <c r="S266" s="164" t="str">
        <f>+IF(OR(O266="Fire Control",O266="Fire Tex 5062",O266="Fire Tex 5090",O266="Fire Tex 5120"),'CALCULO PINTURA'!S267," ")</f>
        <v xml:space="preserve"> </v>
      </c>
      <c r="T266" s="874" t="str">
        <f>+IF(OR(O266="Blaze Shield II",O266="Cafco 400",O266="Cafco 300"),'CALCULO MORTERO'!N272," ")</f>
        <v xml:space="preserve"> </v>
      </c>
      <c r="U266" s="875" t="str">
        <f>+IF(OR(O266="Blaze Shield II",O266="Cafco 400",O266="Cafco 300"),'CALCULO MORTERO'!O272," ")</f>
        <v xml:space="preserve"> </v>
      </c>
      <c r="V266" s="161" t="str" cm="1">
        <f t="array" ref="V266">_xlfn.IFS(O266="Blaze Shield II",'CALCULO MORTERO'!P267, O266="Cafco 400",'CALCULO MORTERO'!Q267,O266="Cafco 300",'CALCULO MORTERO'!S267, AND(OR(O266="Fire tex 5090", O266="Fire Tex 5062", O266="Fire Tex 5120", O266="Fire Control"),Q266&gt;0), "CERT.",TRUE,"-")</f>
        <v>-</v>
      </c>
      <c r="W266" s="167"/>
      <c r="X266" s="167"/>
    </row>
    <row r="267" spans="1:24" x14ac:dyDescent="0.2">
      <c r="A267" s="903"/>
      <c r="B267" s="904"/>
      <c r="C267" s="874"/>
      <c r="D267" s="874"/>
      <c r="E267" s="905"/>
      <c r="F267" s="905"/>
      <c r="G267" s="874"/>
      <c r="H267" s="874"/>
      <c r="I267" s="906"/>
      <c r="J267" s="162"/>
      <c r="K267" s="161"/>
      <c r="L267" s="161"/>
      <c r="M267" s="169"/>
      <c r="N267" s="163" t="str">
        <f t="shared" si="8"/>
        <v/>
      </c>
      <c r="O267" s="41"/>
      <c r="P267" s="41"/>
      <c r="Q267" s="161" t="str">
        <f>+IF(OR(O267="Fire Control",O267="Fire Tex 5062",O267="Fire Tex 5090",O267="Fire Tex 5120"),'CALCULO PINTURA'!P268," ")</f>
        <v xml:space="preserve"> </v>
      </c>
      <c r="R267" s="164" t="str">
        <f>+IF(OR(O267="Fire Control",O267="Fire Tex 5062",O267="Fire Tex 5090",O267="Fire Tex 5120"),'CALCULO PINTURA'!R268," ")</f>
        <v xml:space="preserve"> </v>
      </c>
      <c r="S267" s="164" t="str">
        <f>+IF(OR(O267="Fire Control",O267="Fire Tex 5062",O267="Fire Tex 5090",O267="Fire Tex 5120"),'CALCULO PINTURA'!S268," ")</f>
        <v xml:space="preserve"> </v>
      </c>
      <c r="T267" s="874" t="str">
        <f>+IF(OR(O267="Blaze Shield II",O267="Cafco 400",O267="Cafco 300"),'CALCULO MORTERO'!N273," ")</f>
        <v xml:space="preserve"> </v>
      </c>
      <c r="U267" s="875" t="str">
        <f>+IF(OR(O267="Blaze Shield II",O267="Cafco 400",O267="Cafco 300"),'CALCULO MORTERO'!O273," ")</f>
        <v xml:space="preserve"> </v>
      </c>
      <c r="V267" s="161" t="str" cm="1">
        <f t="array" ref="V267">_xlfn.IFS(O267="Blaze Shield II",'CALCULO MORTERO'!P268, O267="Cafco 400",'CALCULO MORTERO'!Q268,O267="Cafco 300",'CALCULO MORTERO'!S268, AND(OR(O267="Fire tex 5090", O267="Fire Tex 5062", O267="Fire Tex 5120", O267="Fire Control"),Q267&gt;0), "CERT.",TRUE,"-")</f>
        <v>-</v>
      </c>
      <c r="W267" s="167"/>
      <c r="X267" s="167"/>
    </row>
    <row r="268" spans="1:24" x14ac:dyDescent="0.2">
      <c r="A268" s="903"/>
      <c r="B268" s="904"/>
      <c r="C268" s="874"/>
      <c r="D268" s="874"/>
      <c r="E268" s="905"/>
      <c r="F268" s="905"/>
      <c r="G268" s="874"/>
      <c r="H268" s="874"/>
      <c r="I268" s="906"/>
      <c r="J268" s="162"/>
      <c r="K268" s="161"/>
      <c r="L268" s="161"/>
      <c r="M268" s="169"/>
      <c r="N268" s="163" t="str">
        <f t="shared" si="8"/>
        <v/>
      </c>
      <c r="O268" s="41"/>
      <c r="P268" s="41"/>
      <c r="Q268" s="161" t="str">
        <f>+IF(OR(O268="Fire Control",O268="Fire Tex 5062",O268="Fire Tex 5090",O268="Fire Tex 5120"),'CALCULO PINTURA'!P269," ")</f>
        <v xml:space="preserve"> </v>
      </c>
      <c r="R268" s="164" t="str">
        <f>+IF(OR(O268="Fire Control",O268="Fire Tex 5062",O268="Fire Tex 5090",O268="Fire Tex 5120"),'CALCULO PINTURA'!R269," ")</f>
        <v xml:space="preserve"> </v>
      </c>
      <c r="S268" s="164" t="str">
        <f>+IF(OR(O268="Fire Control",O268="Fire Tex 5062",O268="Fire Tex 5090",O268="Fire Tex 5120"),'CALCULO PINTURA'!S269," ")</f>
        <v xml:space="preserve"> </v>
      </c>
      <c r="T268" s="874" t="str">
        <f>+IF(OR(O268="Blaze Shield II",O268="Cafco 400",O268="Cafco 300"),'CALCULO MORTERO'!N274," ")</f>
        <v xml:space="preserve"> </v>
      </c>
      <c r="U268" s="875" t="str">
        <f>+IF(OR(O268="Blaze Shield II",O268="Cafco 400",O268="Cafco 300"),'CALCULO MORTERO'!O274," ")</f>
        <v xml:space="preserve"> </v>
      </c>
      <c r="V268" s="161" t="str" cm="1">
        <f t="array" ref="V268">_xlfn.IFS(O268="Blaze Shield II",'CALCULO MORTERO'!P269, O268="Cafco 400",'CALCULO MORTERO'!Q269,O268="Cafco 300",'CALCULO MORTERO'!S269, AND(OR(O268="Fire tex 5090", O268="Fire Tex 5062", O268="Fire Tex 5120", O268="Fire Control"),Q268&gt;0), "CERT.",TRUE,"-")</f>
        <v>-</v>
      </c>
      <c r="W268" s="167"/>
      <c r="X268" s="167"/>
    </row>
    <row r="269" spans="1:24" x14ac:dyDescent="0.2">
      <c r="A269" s="903"/>
      <c r="B269" s="904"/>
      <c r="C269" s="874"/>
      <c r="D269" s="874"/>
      <c r="E269" s="905"/>
      <c r="F269" s="905"/>
      <c r="G269" s="874"/>
      <c r="H269" s="874"/>
      <c r="I269" s="906"/>
      <c r="J269" s="162"/>
      <c r="K269" s="161"/>
      <c r="L269" s="161"/>
      <c r="M269" s="169"/>
      <c r="N269" s="163" t="str">
        <f t="shared" si="8"/>
        <v/>
      </c>
      <c r="O269" s="41"/>
      <c r="P269" s="41"/>
      <c r="Q269" s="161" t="str">
        <f>+IF(OR(O269="Fire Control",O269="Fire Tex 5062",O269="Fire Tex 5090",O269="Fire Tex 5120"),'CALCULO PINTURA'!P270," ")</f>
        <v xml:space="preserve"> </v>
      </c>
      <c r="R269" s="164" t="str">
        <f>+IF(OR(O269="Fire Control",O269="Fire Tex 5062",O269="Fire Tex 5090",O269="Fire Tex 5120"),'CALCULO PINTURA'!R270," ")</f>
        <v xml:space="preserve"> </v>
      </c>
      <c r="S269" s="164" t="str">
        <f>+IF(OR(O269="Fire Control",O269="Fire Tex 5062",O269="Fire Tex 5090",O269="Fire Tex 5120"),'CALCULO PINTURA'!S270," ")</f>
        <v xml:space="preserve"> </v>
      </c>
      <c r="T269" s="874" t="str">
        <f>+IF(OR(O269="Blaze Shield II",O269="Cafco 400",O269="Cafco 300"),'CALCULO MORTERO'!N275," ")</f>
        <v xml:space="preserve"> </v>
      </c>
      <c r="U269" s="875" t="str">
        <f>+IF(OR(O269="Blaze Shield II",O269="Cafco 400",O269="Cafco 300"),'CALCULO MORTERO'!O275," ")</f>
        <v xml:space="preserve"> </v>
      </c>
      <c r="V269" s="161" t="str" cm="1">
        <f t="array" ref="V269">_xlfn.IFS(O269="Blaze Shield II",'CALCULO MORTERO'!P270, O269="Cafco 400",'CALCULO MORTERO'!Q270,O269="Cafco 300",'CALCULO MORTERO'!S270, AND(OR(O269="Fire tex 5090", O269="Fire Tex 5062", O269="Fire Tex 5120", O269="Fire Control"),Q269&gt;0), "CERT.",TRUE,"-")</f>
        <v>-</v>
      </c>
      <c r="W269" s="167"/>
      <c r="X269" s="167"/>
    </row>
    <row r="270" spans="1:24" x14ac:dyDescent="0.2">
      <c r="A270" s="903"/>
      <c r="B270" s="904"/>
      <c r="C270" s="874"/>
      <c r="D270" s="874"/>
      <c r="E270" s="905"/>
      <c r="F270" s="905"/>
      <c r="G270" s="874"/>
      <c r="H270" s="874"/>
      <c r="I270" s="906"/>
      <c r="J270" s="162"/>
      <c r="K270" s="161"/>
      <c r="L270" s="161"/>
      <c r="M270" s="169"/>
      <c r="N270" s="163" t="str">
        <f t="shared" si="8"/>
        <v/>
      </c>
      <c r="O270" s="41"/>
      <c r="P270" s="41"/>
      <c r="Q270" s="161" t="str">
        <f>+IF(OR(O270="Fire Control",O270="Fire Tex 5062",O270="Fire Tex 5090",O270="Fire Tex 5120"),'CALCULO PINTURA'!P271," ")</f>
        <v xml:space="preserve"> </v>
      </c>
      <c r="R270" s="164" t="str">
        <f>+IF(OR(O270="Fire Control",O270="Fire Tex 5062",O270="Fire Tex 5090",O270="Fire Tex 5120"),'CALCULO PINTURA'!R271," ")</f>
        <v xml:space="preserve"> </v>
      </c>
      <c r="S270" s="164" t="str">
        <f>+IF(OR(O270="Fire Control",O270="Fire Tex 5062",O270="Fire Tex 5090",O270="Fire Tex 5120"),'CALCULO PINTURA'!S271," ")</f>
        <v xml:space="preserve"> </v>
      </c>
      <c r="T270" s="874" t="str">
        <f>+IF(OR(O270="Blaze Shield II",O270="Cafco 400",O270="Cafco 300"),'CALCULO MORTERO'!N276," ")</f>
        <v xml:space="preserve"> </v>
      </c>
      <c r="U270" s="875" t="str">
        <f>+IF(OR(O270="Blaze Shield II",O270="Cafco 400",O270="Cafco 300"),'CALCULO MORTERO'!O276," ")</f>
        <v xml:space="preserve"> </v>
      </c>
      <c r="V270" s="161" t="str" cm="1">
        <f t="array" ref="V270">_xlfn.IFS(O270="Blaze Shield II",'CALCULO MORTERO'!P271, O270="Cafco 400",'CALCULO MORTERO'!Q271,O270="Cafco 300",'CALCULO MORTERO'!S271, AND(OR(O270="Fire tex 5090", O270="Fire Tex 5062", O270="Fire Tex 5120", O270="Fire Control"),Q270&gt;0), "CERT.",TRUE,"-")</f>
        <v>-</v>
      </c>
      <c r="W270" s="167"/>
      <c r="X270" s="167"/>
    </row>
    <row r="271" spans="1:24" x14ac:dyDescent="0.2">
      <c r="A271" s="903"/>
      <c r="B271" s="904"/>
      <c r="C271" s="874"/>
      <c r="D271" s="874"/>
      <c r="E271" s="905"/>
      <c r="F271" s="905"/>
      <c r="G271" s="874"/>
      <c r="H271" s="874"/>
      <c r="I271" s="906"/>
      <c r="J271" s="162"/>
      <c r="K271" s="161"/>
      <c r="L271" s="161"/>
      <c r="M271" s="169"/>
      <c r="N271" s="163" t="str">
        <f t="shared" si="8"/>
        <v/>
      </c>
      <c r="O271" s="41"/>
      <c r="P271" s="41"/>
      <c r="Q271" s="161" t="str">
        <f>+IF(OR(O271="Fire Control",O271="Fire Tex 5062",O271="Fire Tex 5090",O271="Fire Tex 5120"),'CALCULO PINTURA'!P272," ")</f>
        <v xml:space="preserve"> </v>
      </c>
      <c r="R271" s="164" t="str">
        <f>+IF(OR(O271="Fire Control",O271="Fire Tex 5062",O271="Fire Tex 5090",O271="Fire Tex 5120"),'CALCULO PINTURA'!R272," ")</f>
        <v xml:space="preserve"> </v>
      </c>
      <c r="S271" s="164" t="str">
        <f>+IF(OR(O271="Fire Control",O271="Fire Tex 5062",O271="Fire Tex 5090",O271="Fire Tex 5120"),'CALCULO PINTURA'!S272," ")</f>
        <v xml:space="preserve"> </v>
      </c>
      <c r="T271" s="874" t="str">
        <f>+IF(OR(O271="Blaze Shield II",O271="Cafco 400",O271="Cafco 300"),'CALCULO MORTERO'!N277," ")</f>
        <v xml:space="preserve"> </v>
      </c>
      <c r="U271" s="875" t="str">
        <f>+IF(OR(O271="Blaze Shield II",O271="Cafco 400",O271="Cafco 300"),'CALCULO MORTERO'!O277," ")</f>
        <v xml:space="preserve"> </v>
      </c>
      <c r="V271" s="161" t="str" cm="1">
        <f t="array" ref="V271">_xlfn.IFS(O271="Blaze Shield II",'CALCULO MORTERO'!P272, O271="Cafco 400",'CALCULO MORTERO'!Q272,O271="Cafco 300",'CALCULO MORTERO'!S272, AND(OR(O271="Fire tex 5090", O271="Fire Tex 5062", O271="Fire Tex 5120", O271="Fire Control"),Q271&gt;0), "CERT.",TRUE,"-")</f>
        <v>-</v>
      </c>
      <c r="W271" s="167"/>
      <c r="X271" s="167"/>
    </row>
    <row r="272" spans="1:24" x14ac:dyDescent="0.2">
      <c r="A272" s="903"/>
      <c r="B272" s="907"/>
      <c r="C272" s="874"/>
      <c r="D272" s="874"/>
      <c r="E272" s="874"/>
      <c r="F272" s="905"/>
      <c r="G272" s="874"/>
      <c r="H272" s="874"/>
      <c r="I272" s="906"/>
      <c r="J272" s="162"/>
      <c r="K272" s="161"/>
      <c r="L272" s="161"/>
      <c r="M272" s="169"/>
      <c r="N272" s="163" t="str">
        <f t="shared" si="8"/>
        <v/>
      </c>
      <c r="O272" s="41"/>
      <c r="P272" s="41"/>
      <c r="Q272" s="161" t="str">
        <f>+IF(OR(O272="Fire Control",O272="Fire Tex 5062",O272="Fire Tex 5090",O272="Fire Tex 5120"),'CALCULO PINTURA'!P983," ")</f>
        <v xml:space="preserve"> </v>
      </c>
      <c r="R272" s="164" t="str">
        <f>+IF(OR(O272="Fire Control",O272="Fire Tex 5062",O272="Fire Tex 5090",O272="Fire Tex 5120"),'CALCULO PINTURA'!R983," ")</f>
        <v xml:space="preserve"> </v>
      </c>
      <c r="S272" s="164" t="str">
        <f>+IF(OR(O272="Fire Control",O272="Fire Tex 5062",O272="Fire Tex 5090",O272="Fire Tex 5120"),'CALCULO PINTURA'!S983," ")</f>
        <v xml:space="preserve"> </v>
      </c>
      <c r="T272" s="874" t="str">
        <f>+IF(OR(O272="Blaze Shield II",O272="Cafco 400",O272="Cafco 300"),'CALCULO MORTERO'!N988," ")</f>
        <v xml:space="preserve"> </v>
      </c>
      <c r="U272" s="875" t="str">
        <f>+IF(OR(O272="Blaze Shield II",O272="Cafco 400",O272="Cafco 300"),'CALCULO MORTERO'!O988," ")</f>
        <v xml:space="preserve"> </v>
      </c>
      <c r="V272" s="161" t="str" cm="1">
        <f t="array" ref="V272">_xlfn.IFS(O272="Blaze Shield II",'CALCULO MORTERO'!P273, O272="Cafco 400",'CALCULO MORTERO'!Q273,O272="Cafco 300",'CALCULO MORTERO'!S273, AND(OR(O272="Fire tex 5090", O272="Fire Tex 5062", O272="Fire Tex 5120", O272="Fire Control"),Q272&gt;0), "CERT.",TRUE,"-")</f>
        <v>-</v>
      </c>
      <c r="W272" s="167"/>
      <c r="X272" s="167"/>
    </row>
    <row r="273" spans="1:24" x14ac:dyDescent="0.2">
      <c r="A273" s="903"/>
      <c r="B273" s="907"/>
      <c r="C273" s="874"/>
      <c r="D273" s="874"/>
      <c r="E273" s="874"/>
      <c r="F273" s="905"/>
      <c r="G273" s="874"/>
      <c r="H273" s="874"/>
      <c r="I273" s="906"/>
      <c r="J273" s="162"/>
      <c r="K273" s="161"/>
      <c r="L273" s="161"/>
      <c r="M273" s="169"/>
      <c r="N273" s="163" t="str">
        <f t="shared" si="8"/>
        <v/>
      </c>
      <c r="O273" s="41"/>
      <c r="P273" s="41"/>
      <c r="Q273" s="161" t="str">
        <f>+IF(OR(O273="Fire Control",O273="Fire Tex 5062",O273="Fire Tex 5090",O273="Fire Tex 5120"),'CALCULO PINTURA'!P984," ")</f>
        <v xml:space="preserve"> </v>
      </c>
      <c r="R273" s="164" t="str">
        <f>+IF(OR(O273="Fire Control",O273="Fire Tex 5062",O273="Fire Tex 5090",O273="Fire Tex 5120"),'CALCULO PINTURA'!R984," ")</f>
        <v xml:space="preserve"> </v>
      </c>
      <c r="S273" s="164" t="str">
        <f>+IF(OR(O273="Fire Control",O273="Fire Tex 5062",O273="Fire Tex 5090",O273="Fire Tex 5120"),'CALCULO PINTURA'!S984," ")</f>
        <v xml:space="preserve"> </v>
      </c>
      <c r="T273" s="874" t="str">
        <f>+IF(OR(O273="Blaze Shield II",O273="Cafco 400",O273="Cafco 300"),'CALCULO MORTERO'!N989," ")</f>
        <v xml:space="preserve"> </v>
      </c>
      <c r="U273" s="875" t="str">
        <f>+IF(OR(O273="Blaze Shield II",O273="Cafco 400",O273="Cafco 300"),'CALCULO MORTERO'!O989," ")</f>
        <v xml:space="preserve"> </v>
      </c>
      <c r="V273" s="161" t="str" cm="1">
        <f t="array" ref="V273">_xlfn.IFS(O273="Blaze Shield II",'CALCULO MORTERO'!P274, O273="Cafco 400",'CALCULO MORTERO'!Q274,O273="Cafco 300",'CALCULO MORTERO'!S274, AND(OR(O273="Fire tex 5090", O273="Fire Tex 5062", O273="Fire Tex 5120", O273="Fire Control"),Q273&gt;0), "CERT.",TRUE,"-")</f>
        <v>-</v>
      </c>
      <c r="W273" s="167"/>
      <c r="X273" s="167"/>
    </row>
    <row r="274" spans="1:24" x14ac:dyDescent="0.2">
      <c r="A274" s="903"/>
      <c r="B274" s="907"/>
      <c r="C274" s="874"/>
      <c r="D274" s="874"/>
      <c r="E274" s="874"/>
      <c r="F274" s="905"/>
      <c r="G274" s="874"/>
      <c r="H274" s="874"/>
      <c r="I274" s="906"/>
      <c r="J274" s="162"/>
      <c r="K274" s="161"/>
      <c r="L274" s="161"/>
      <c r="M274" s="169"/>
      <c r="N274" s="163" t="str">
        <f t="shared" si="8"/>
        <v/>
      </c>
      <c r="O274" s="41"/>
      <c r="P274" s="41"/>
      <c r="Q274" s="161" t="str">
        <f>+IF(OR(O274="Fire Control",O274="Fire Tex 5062",O274="Fire Tex 5090",O274="Fire Tex 5120"),'CALCULO PINTURA'!P985," ")</f>
        <v xml:space="preserve"> </v>
      </c>
      <c r="R274" s="164" t="str">
        <f>+IF(OR(O274="Fire Control",O274="Fire Tex 5062",O274="Fire Tex 5090",O274="Fire Tex 5120"),'CALCULO PINTURA'!R985," ")</f>
        <v xml:space="preserve"> </v>
      </c>
      <c r="S274" s="164" t="str">
        <f>+IF(OR(O274="Fire Control",O274="Fire Tex 5062",O274="Fire Tex 5090",O274="Fire Tex 5120"),'CALCULO PINTURA'!S985," ")</f>
        <v xml:space="preserve"> </v>
      </c>
      <c r="T274" s="874" t="str">
        <f>+IF(OR(O274="Blaze Shield II",O274="Cafco 400",O274="Cafco 300"),'CALCULO MORTERO'!N990," ")</f>
        <v xml:space="preserve"> </v>
      </c>
      <c r="U274" s="875" t="str">
        <f>+IF(OR(O274="Blaze Shield II",O274="Cafco 400",O274="Cafco 300"),'CALCULO MORTERO'!O990," ")</f>
        <v xml:space="preserve"> </v>
      </c>
      <c r="V274" s="161" t="str" cm="1">
        <f t="array" ref="V274">_xlfn.IFS(O274="Blaze Shield II",'CALCULO MORTERO'!P275, O274="Cafco 400",'CALCULO MORTERO'!Q275,O274="Cafco 300",'CALCULO MORTERO'!S275, AND(OR(O274="Fire tex 5090", O274="Fire Tex 5062", O274="Fire Tex 5120", O274="Fire Control"),Q274&gt;0), "CERT.",TRUE,"-")</f>
        <v>-</v>
      </c>
      <c r="W274" s="167"/>
      <c r="X274" s="167"/>
    </row>
    <row r="275" spans="1:24" x14ac:dyDescent="0.2">
      <c r="A275" s="903"/>
      <c r="B275" s="907"/>
      <c r="C275" s="874"/>
      <c r="D275" s="874"/>
      <c r="E275" s="874"/>
      <c r="F275" s="905"/>
      <c r="G275" s="874"/>
      <c r="H275" s="874"/>
      <c r="I275" s="906"/>
      <c r="J275" s="162"/>
      <c r="K275" s="161"/>
      <c r="L275" s="161"/>
      <c r="M275" s="169"/>
      <c r="N275" s="163" t="str">
        <f t="shared" si="8"/>
        <v/>
      </c>
      <c r="O275" s="41"/>
      <c r="P275" s="41"/>
      <c r="Q275" s="161" t="str">
        <f>+IF(OR(O275="Fire Control",O275="Fire Tex 5062",O275="Fire Tex 5090",O275="Fire Tex 5120"),'CALCULO PINTURA'!P986," ")</f>
        <v xml:space="preserve"> </v>
      </c>
      <c r="R275" s="164" t="str">
        <f>+IF(OR(O275="Fire Control",O275="Fire Tex 5062",O275="Fire Tex 5090",O275="Fire Tex 5120"),'CALCULO PINTURA'!R986," ")</f>
        <v xml:space="preserve"> </v>
      </c>
      <c r="S275" s="164" t="str">
        <f>+IF(OR(O275="Fire Control",O275="Fire Tex 5062",O275="Fire Tex 5090",O275="Fire Tex 5120"),'CALCULO PINTURA'!S986," ")</f>
        <v xml:space="preserve"> </v>
      </c>
      <c r="T275" s="874" t="str">
        <f>+IF(OR(O275="Blaze Shield II",O275="Cafco 400",O275="Cafco 300"),'CALCULO MORTERO'!N991," ")</f>
        <v xml:space="preserve"> </v>
      </c>
      <c r="U275" s="875" t="str">
        <f>+IF(OR(O275="Blaze Shield II",O275="Cafco 400",O275="Cafco 300"),'CALCULO MORTERO'!O991," ")</f>
        <v xml:space="preserve"> </v>
      </c>
      <c r="V275" s="161" t="str" cm="1">
        <f t="array" ref="V275">_xlfn.IFS(O275="Blaze Shield II",'CALCULO MORTERO'!P276, O275="Cafco 400",'CALCULO MORTERO'!Q276,O275="Cafco 300",'CALCULO MORTERO'!S276, AND(OR(O275="Fire tex 5090", O275="Fire Tex 5062", O275="Fire Tex 5120", O275="Fire Control"),Q275&gt;0), "CERT.",TRUE,"-")</f>
        <v>-</v>
      </c>
      <c r="W275" s="167"/>
      <c r="X275" s="167"/>
    </row>
    <row r="276" spans="1:24" x14ac:dyDescent="0.2">
      <c r="A276" s="903"/>
      <c r="B276" s="907"/>
      <c r="C276" s="874"/>
      <c r="D276" s="874"/>
      <c r="E276" s="874"/>
      <c r="F276" s="905"/>
      <c r="G276" s="874"/>
      <c r="H276" s="874"/>
      <c r="I276" s="906"/>
      <c r="J276" s="162"/>
      <c r="K276" s="161"/>
      <c r="L276" s="161"/>
      <c r="M276" s="169"/>
      <c r="N276" s="163" t="str">
        <f t="shared" si="8"/>
        <v/>
      </c>
      <c r="O276" s="41"/>
      <c r="P276" s="41"/>
      <c r="Q276" s="161" t="str">
        <f>+IF(OR(O276="Fire Control",O276="Fire Tex 5062",O276="Fire Tex 5090",O276="Fire Tex 5120"),'CALCULO PINTURA'!P987," ")</f>
        <v xml:space="preserve"> </v>
      </c>
      <c r="R276" s="164" t="str">
        <f>+IF(OR(O276="Fire Control",O276="Fire Tex 5062",O276="Fire Tex 5090",O276="Fire Tex 5120"),'CALCULO PINTURA'!R987," ")</f>
        <v xml:space="preserve"> </v>
      </c>
      <c r="S276" s="164" t="str">
        <f>+IF(OR(O276="Fire Control",O276="Fire Tex 5062",O276="Fire Tex 5090",O276="Fire Tex 5120"),'CALCULO PINTURA'!S987," ")</f>
        <v xml:space="preserve"> </v>
      </c>
      <c r="T276" s="874" t="str">
        <f>+IF(OR(O276="Blaze Shield II",O276="Cafco 400",O276="Cafco 300"),'CALCULO MORTERO'!N992," ")</f>
        <v xml:space="preserve"> </v>
      </c>
      <c r="U276" s="875" t="str">
        <f>+IF(OR(O276="Blaze Shield II",O276="Cafco 400",O276="Cafco 300"),'CALCULO MORTERO'!O992," ")</f>
        <v xml:space="preserve"> </v>
      </c>
      <c r="V276" s="161" t="str" cm="1">
        <f t="array" ref="V276">_xlfn.IFS(O276="Blaze Shield II",'CALCULO MORTERO'!P277, O276="Cafco 400",'CALCULO MORTERO'!Q277,O276="Cafco 300",'CALCULO MORTERO'!S277, AND(OR(O276="Fire tex 5090", O276="Fire Tex 5062", O276="Fire Tex 5120", O276="Fire Control"),Q276&gt;0), "CERT.",TRUE,"-")</f>
        <v>-</v>
      </c>
      <c r="W276" s="167"/>
      <c r="X276" s="167"/>
    </row>
    <row r="277" spans="1:24" x14ac:dyDescent="0.2">
      <c r="A277" s="903"/>
      <c r="B277" s="907"/>
      <c r="C277" s="874"/>
      <c r="D277" s="874"/>
      <c r="E277" s="874"/>
      <c r="F277" s="905"/>
      <c r="G277" s="874"/>
      <c r="H277" s="874"/>
      <c r="I277" s="906"/>
      <c r="J277" s="162"/>
      <c r="K277" s="161"/>
      <c r="L277" s="161"/>
      <c r="M277" s="169"/>
      <c r="N277" s="163" t="str">
        <f t="shared" si="8"/>
        <v/>
      </c>
      <c r="O277" s="41"/>
      <c r="P277" s="41"/>
      <c r="Q277" s="161" t="str">
        <f>+IF(OR(O277="Fire Control",O277="Fire Tex 5062",O277="Fire Tex 5090",O277="Fire Tex 5120"),'CALCULO PINTURA'!P988," ")</f>
        <v xml:space="preserve"> </v>
      </c>
      <c r="R277" s="164" t="str">
        <f>+IF(OR(O277="Fire Control",O277="Fire Tex 5062",O277="Fire Tex 5090",O277="Fire Tex 5120"),'CALCULO PINTURA'!R988," ")</f>
        <v xml:space="preserve"> </v>
      </c>
      <c r="S277" s="164" t="str">
        <f>+IF(OR(O277="Fire Control",O277="Fire Tex 5062",O277="Fire Tex 5090",O277="Fire Tex 5120"),'CALCULO PINTURA'!S988," ")</f>
        <v xml:space="preserve"> </v>
      </c>
      <c r="T277" s="874" t="str">
        <f>+IF(OR(O277="Blaze Shield II",O277="Cafco 400",O277="Cafco 300"),'CALCULO MORTERO'!N993," ")</f>
        <v xml:space="preserve"> </v>
      </c>
      <c r="U277" s="875" t="str">
        <f>+IF(OR(O277="Blaze Shield II",O277="Cafco 400",O277="Cafco 300"),'CALCULO MORTERO'!O993," ")</f>
        <v xml:space="preserve"> </v>
      </c>
      <c r="V277" s="161" t="str" cm="1">
        <f t="array" ref="V277">_xlfn.IFS(O277="Blaze Shield II",'CALCULO MORTERO'!P278, O277="Cafco 400",'CALCULO MORTERO'!Q278,O277="Cafco 300",'CALCULO MORTERO'!S278, AND(OR(O277="Fire tex 5090", O277="Fire Tex 5062", O277="Fire Tex 5120", O277="Fire Control"),Q277&gt;0), "CERT.",TRUE,"-")</f>
        <v>-</v>
      </c>
      <c r="W277" s="167"/>
      <c r="X277" s="167"/>
    </row>
    <row r="278" spans="1:24" x14ac:dyDescent="0.2">
      <c r="A278" s="903"/>
      <c r="B278" s="907"/>
      <c r="C278" s="874"/>
      <c r="D278" s="874"/>
      <c r="E278" s="874"/>
      <c r="F278" s="905"/>
      <c r="G278" s="874"/>
      <c r="H278" s="874"/>
      <c r="I278" s="906"/>
      <c r="J278" s="162"/>
      <c r="K278" s="161"/>
      <c r="L278" s="161"/>
      <c r="M278" s="169"/>
      <c r="N278" s="163" t="str">
        <f t="shared" si="8"/>
        <v/>
      </c>
      <c r="O278" s="41"/>
      <c r="P278" s="41"/>
      <c r="Q278" s="161" t="str">
        <f>+IF(OR(O278="Fire Control",O278="Fire Tex 5062",O278="Fire Tex 5090",O278="Fire Tex 5120"),'CALCULO PINTURA'!P989," ")</f>
        <v xml:space="preserve"> </v>
      </c>
      <c r="R278" s="164" t="str">
        <f>+IF(OR(O278="Fire Control",O278="Fire Tex 5062",O278="Fire Tex 5090",O278="Fire Tex 5120"),'CALCULO PINTURA'!R989," ")</f>
        <v xml:space="preserve"> </v>
      </c>
      <c r="S278" s="164" t="str">
        <f>+IF(OR(O278="Fire Control",O278="Fire Tex 5062",O278="Fire Tex 5090",O278="Fire Tex 5120"),'CALCULO PINTURA'!S989," ")</f>
        <v xml:space="preserve"> </v>
      </c>
      <c r="T278" s="874" t="str">
        <f>+IF(OR(O278="Blaze Shield II",O278="Cafco 400",O278="Cafco 300"),'CALCULO MORTERO'!N994," ")</f>
        <v xml:space="preserve"> </v>
      </c>
      <c r="U278" s="875" t="str">
        <f>+IF(OR(O278="Blaze Shield II",O278="Cafco 400",O278="Cafco 300"),'CALCULO MORTERO'!O994," ")</f>
        <v xml:space="preserve"> </v>
      </c>
      <c r="V278" s="161" t="str" cm="1">
        <f t="array" ref="V278">_xlfn.IFS(O278="Blaze Shield II",'CALCULO MORTERO'!P279, O278="Cafco 400",'CALCULO MORTERO'!Q279,O278="Cafco 300",'CALCULO MORTERO'!S279, AND(OR(O278="Fire tex 5090", O278="Fire Tex 5062", O278="Fire Tex 5120", O278="Fire Control"),Q278&gt;0), "CERT.",TRUE,"-")</f>
        <v>-</v>
      </c>
      <c r="W278" s="167"/>
      <c r="X278" s="167"/>
    </row>
    <row r="279" spans="1:24" x14ac:dyDescent="0.2">
      <c r="A279" s="903"/>
      <c r="B279" s="907"/>
      <c r="C279" s="874"/>
      <c r="D279" s="874"/>
      <c r="E279" s="874"/>
      <c r="F279" s="905"/>
      <c r="G279" s="874"/>
      <c r="H279" s="874"/>
      <c r="I279" s="906"/>
      <c r="J279" s="162"/>
      <c r="K279" s="161"/>
      <c r="L279" s="161"/>
      <c r="M279" s="169"/>
      <c r="N279" s="163" t="str">
        <f t="shared" si="8"/>
        <v/>
      </c>
      <c r="O279" s="41"/>
      <c r="P279" s="41"/>
      <c r="Q279" s="161" t="str">
        <f>+IF(OR(O279="Fire Control",O279="Fire Tex 5062",O279="Fire Tex 5090",O279="Fire Tex 5120"),'CALCULO PINTURA'!P990," ")</f>
        <v xml:space="preserve"> </v>
      </c>
      <c r="R279" s="164" t="str">
        <f>+IF(OR(O279="Fire Control",O279="Fire Tex 5062",O279="Fire Tex 5090",O279="Fire Tex 5120"),'CALCULO PINTURA'!R990," ")</f>
        <v xml:space="preserve"> </v>
      </c>
      <c r="S279" s="164" t="str">
        <f>+IF(OR(O279="Fire Control",O279="Fire Tex 5062",O279="Fire Tex 5090",O279="Fire Tex 5120"),'CALCULO PINTURA'!S990," ")</f>
        <v xml:space="preserve"> </v>
      </c>
      <c r="T279" s="874" t="str">
        <f>+IF(OR(O279="Blaze Shield II",O279="Cafco 400",O279="Cafco 300"),'CALCULO MORTERO'!N995," ")</f>
        <v xml:space="preserve"> </v>
      </c>
      <c r="U279" s="875" t="str">
        <f>+IF(OR(O279="Blaze Shield II",O279="Cafco 400",O279="Cafco 300"),'CALCULO MORTERO'!O995," ")</f>
        <v xml:space="preserve"> </v>
      </c>
      <c r="V279" s="161" t="str" cm="1">
        <f t="array" ref="V279">_xlfn.IFS(O279="Blaze Shield II",'CALCULO MORTERO'!P280, O279="Cafco 400",'CALCULO MORTERO'!Q280,O279="Cafco 300",'CALCULO MORTERO'!S280, AND(OR(O279="Fire tex 5090", O279="Fire Tex 5062", O279="Fire Tex 5120", O279="Fire Control"),Q279&gt;0), "CERT.",TRUE,"-")</f>
        <v>-</v>
      </c>
      <c r="W279" s="167"/>
      <c r="X279" s="167"/>
    </row>
    <row r="280" spans="1:24" x14ac:dyDescent="0.2">
      <c r="A280" s="903"/>
      <c r="B280" s="907"/>
      <c r="C280" s="874"/>
      <c r="D280" s="874"/>
      <c r="E280" s="874"/>
      <c r="F280" s="905"/>
      <c r="G280" s="874"/>
      <c r="H280" s="874"/>
      <c r="I280" s="906"/>
      <c r="J280" s="162"/>
      <c r="K280" s="161"/>
      <c r="L280" s="161"/>
      <c r="M280" s="169"/>
      <c r="N280" s="163" t="str">
        <f t="shared" si="8"/>
        <v/>
      </c>
      <c r="O280" s="41"/>
      <c r="P280" s="41"/>
      <c r="Q280" s="161" t="str">
        <f>+IF(OR(O280="Fire Control",O280="Fire Tex 5062",O280="Fire Tex 5090",O280="Fire Tex 5120"),'CALCULO PINTURA'!P1053," ")</f>
        <v xml:space="preserve"> </v>
      </c>
      <c r="R280" s="164" t="str">
        <f>+IF(OR(O280="Fire Control",O280="Fire Tex 5062",O280="Fire Tex 5090",O280="Fire Tex 5120"),'CALCULO PINTURA'!R1053," ")</f>
        <v xml:space="preserve"> </v>
      </c>
      <c r="S280" s="164" t="str">
        <f>+IF(OR(O280="Fire Control",O280="Fire Tex 5062",O280="Fire Tex 5090",O280="Fire Tex 5120"),'CALCULO PINTURA'!S1053," ")</f>
        <v xml:space="preserve"> </v>
      </c>
      <c r="T280" s="874" t="str">
        <f>+IF(OR(O280="Blaze Shield II",O280="Cafco 400",O280="Cafco 300"),'CALCULO MORTERO'!N996," ")</f>
        <v xml:space="preserve"> </v>
      </c>
      <c r="U280" s="875" t="str">
        <f>+IF(OR(O280="Blaze Shield II",O280="Cafco 400",O280="Cafco 300"),'CALCULO MORTERO'!O996," ")</f>
        <v xml:space="preserve"> </v>
      </c>
      <c r="V280" s="161" t="str" cm="1">
        <f t="array" ref="V280">_xlfn.IFS(O280="Blaze Shield II",'CALCULO MORTERO'!P281, O280="Cafco 400",'CALCULO MORTERO'!Q281,O280="Cafco 300",'CALCULO MORTERO'!S281, AND(OR(O280="Fire tex 5090", O280="Fire Tex 5062", O280="Fire Tex 5120", O280="Fire Control"),Q280&gt;0), "CERT.",TRUE,"-")</f>
        <v>-</v>
      </c>
      <c r="W280" s="167"/>
      <c r="X280" s="167"/>
    </row>
    <row r="281" spans="1:24" x14ac:dyDescent="0.2">
      <c r="A281" s="903"/>
      <c r="B281" s="907"/>
      <c r="C281" s="874"/>
      <c r="D281" s="874"/>
      <c r="E281" s="874"/>
      <c r="F281" s="905"/>
      <c r="G281" s="874"/>
      <c r="H281" s="874"/>
      <c r="I281" s="906"/>
      <c r="J281" s="162"/>
      <c r="K281" s="161"/>
      <c r="L281" s="161"/>
      <c r="M281" s="169"/>
      <c r="N281" s="163" t="str">
        <f t="shared" si="8"/>
        <v/>
      </c>
      <c r="O281" s="41"/>
      <c r="P281" s="41"/>
      <c r="Q281" s="161" t="str">
        <f>+IF(OR(O281="Fire Control",O281="Fire Tex 5062",O281="Fire Tex 5090",O281="Fire Tex 5120"),'CALCULO PINTURA'!P1054," ")</f>
        <v xml:space="preserve"> </v>
      </c>
      <c r="R281" s="164" t="str">
        <f>+IF(OR(O281="Fire Control",O281="Fire Tex 5062",O281="Fire Tex 5090",O281="Fire Tex 5120"),'CALCULO PINTURA'!R1054," ")</f>
        <v xml:space="preserve"> </v>
      </c>
      <c r="S281" s="164" t="str">
        <f>+IF(OR(O281="Fire Control",O281="Fire Tex 5062",O281="Fire Tex 5090",O281="Fire Tex 5120"),'CALCULO PINTURA'!S1054," ")</f>
        <v xml:space="preserve"> </v>
      </c>
      <c r="T281" s="874" t="str">
        <f>+IF(OR(O281="Blaze Shield II",O281="Cafco 400",O281="Cafco 300"),'CALCULO MORTERO'!N997," ")</f>
        <v xml:space="preserve"> </v>
      </c>
      <c r="U281" s="875" t="str">
        <f>+IF(OR(O281="Blaze Shield II",O281="Cafco 400",O281="Cafco 300"),'CALCULO MORTERO'!O997," ")</f>
        <v xml:space="preserve"> </v>
      </c>
      <c r="V281" s="161" t="str" cm="1">
        <f t="array" ref="V281">_xlfn.IFS(O281="Blaze Shield II",'CALCULO MORTERO'!P282, O281="Cafco 400",'CALCULO MORTERO'!Q282,O281="Cafco 300",'CALCULO MORTERO'!S282, AND(OR(O281="Fire tex 5090", O281="Fire Tex 5062", O281="Fire Tex 5120", O281="Fire Control"),Q281&gt;0), "CERT.",TRUE,"-")</f>
        <v>-</v>
      </c>
      <c r="W281" s="167"/>
      <c r="X281" s="167"/>
    </row>
    <row r="282" spans="1:24" x14ac:dyDescent="0.2">
      <c r="A282" s="903"/>
      <c r="B282" s="907"/>
      <c r="C282" s="874"/>
      <c r="D282" s="874"/>
      <c r="E282" s="874"/>
      <c r="F282" s="905"/>
      <c r="G282" s="874"/>
      <c r="H282" s="874"/>
      <c r="I282" s="906"/>
      <c r="J282" s="162"/>
      <c r="K282" s="161"/>
      <c r="L282" s="161"/>
      <c r="M282" s="169"/>
      <c r="N282" s="163" t="str">
        <f t="shared" si="8"/>
        <v/>
      </c>
      <c r="O282" s="41"/>
      <c r="P282" s="41"/>
      <c r="Q282" s="161" t="str">
        <f>+IF(OR(O282="Fire Control",O282="Fire Tex 5062",O282="Fire Tex 5090",O282="Fire Tex 5120"),'CALCULO PINTURA'!P1056," ")</f>
        <v xml:space="preserve"> </v>
      </c>
      <c r="R282" s="164" t="str">
        <f>+IF(OR(O282="Fire Control",O282="Fire Tex 5062",O282="Fire Tex 5090",O282="Fire Tex 5120"),'CALCULO PINTURA'!R1056," ")</f>
        <v xml:space="preserve"> </v>
      </c>
      <c r="S282" s="164" t="str">
        <f>+IF(OR(O282="Fire Control",O282="Fire Tex 5062",O282="Fire Tex 5090",O282="Fire Tex 5120"),'CALCULO PINTURA'!S1056," ")</f>
        <v xml:space="preserve"> </v>
      </c>
      <c r="T282" s="874" t="str">
        <f>+IF(OR(O282="Blaze Shield II",O282="Cafco 400",O282="Cafco 300"),'CALCULO MORTERO'!N998," ")</f>
        <v xml:space="preserve"> </v>
      </c>
      <c r="U282" s="875" t="str">
        <f>+IF(OR(O282="Blaze Shield II",O282="Cafco 400",O282="Cafco 300"),'CALCULO MORTERO'!O998," ")</f>
        <v xml:space="preserve"> </v>
      </c>
      <c r="V282" s="161" t="str" cm="1">
        <f t="array" ref="V282">_xlfn.IFS(O282="Blaze Shield II",'CALCULO MORTERO'!P283, O282="Cafco 400",'CALCULO MORTERO'!Q283,O282="Cafco 300",'CALCULO MORTERO'!S283, AND(OR(O282="Fire tex 5090", O282="Fire Tex 5062", O282="Fire Tex 5120", O282="Fire Control"),Q282&gt;0), "CERT.",TRUE,"-")</f>
        <v>-</v>
      </c>
      <c r="W282" s="167"/>
      <c r="X282" s="167"/>
    </row>
    <row r="283" spans="1:24" x14ac:dyDescent="0.2">
      <c r="A283" s="903"/>
      <c r="B283" s="907"/>
      <c r="C283" s="874"/>
      <c r="D283" s="874"/>
      <c r="E283" s="874"/>
      <c r="F283" s="905"/>
      <c r="G283" s="874"/>
      <c r="H283" s="874"/>
      <c r="I283" s="906"/>
      <c r="J283" s="162"/>
      <c r="K283" s="161"/>
      <c r="L283" s="161"/>
      <c r="M283" s="169"/>
      <c r="N283" s="163" t="str">
        <f t="shared" si="8"/>
        <v/>
      </c>
      <c r="O283" s="41"/>
      <c r="P283" s="41"/>
      <c r="Q283" s="161" t="str">
        <f>+IF(OR(O283="Fire Control",O283="Fire Tex 5062",O283="Fire Tex 5090",O283="Fire Tex 5120"),'CALCULO PINTURA'!P1057," ")</f>
        <v xml:space="preserve"> </v>
      </c>
      <c r="R283" s="164" t="str">
        <f>+IF(OR(O283="Fire Control",O283="Fire Tex 5062",O283="Fire Tex 5090",O283="Fire Tex 5120"),'CALCULO PINTURA'!R1057," ")</f>
        <v xml:space="preserve"> </v>
      </c>
      <c r="S283" s="164" t="str">
        <f>+IF(OR(O283="Fire Control",O283="Fire Tex 5062",O283="Fire Tex 5090",O283="Fire Tex 5120"),'CALCULO PINTURA'!S1057," ")</f>
        <v xml:space="preserve"> </v>
      </c>
      <c r="T283" s="874" t="str">
        <f>+IF(OR(O283="Blaze Shield II",O283="Cafco 400",O283="Cafco 300"),'CALCULO MORTERO'!N999," ")</f>
        <v xml:space="preserve"> </v>
      </c>
      <c r="U283" s="875" t="str">
        <f>+IF(OR(O283="Blaze Shield II",O283="Cafco 400",O283="Cafco 300"),'CALCULO MORTERO'!O999," ")</f>
        <v xml:space="preserve"> </v>
      </c>
      <c r="V283" s="161" t="str" cm="1">
        <f t="array" ref="V283">_xlfn.IFS(O283="Blaze Shield II",'CALCULO MORTERO'!P284, O283="Cafco 400",'CALCULO MORTERO'!Q284,O283="Cafco 300",'CALCULO MORTERO'!S284, AND(OR(O283="Fire tex 5090", O283="Fire Tex 5062", O283="Fire Tex 5120", O283="Fire Control"),Q283&gt;0), "CERT.",TRUE,"-")</f>
        <v>-</v>
      </c>
      <c r="W283" s="167"/>
      <c r="X283" s="167"/>
    </row>
    <row r="284" spans="1:24" x14ac:dyDescent="0.2">
      <c r="A284" s="903"/>
      <c r="B284" s="907"/>
      <c r="C284" s="874"/>
      <c r="D284" s="874"/>
      <c r="E284" s="874"/>
      <c r="F284" s="905"/>
      <c r="G284" s="874"/>
      <c r="H284" s="874"/>
      <c r="I284" s="906"/>
      <c r="J284" s="162"/>
      <c r="K284" s="161"/>
      <c r="L284" s="161"/>
      <c r="M284" s="169"/>
      <c r="N284" s="163" t="str">
        <f t="shared" si="8"/>
        <v/>
      </c>
      <c r="O284" s="41"/>
      <c r="P284" s="41"/>
      <c r="Q284" s="161" t="str">
        <f>+IF(OR(O284="Fire Control",O284="Fire Tex 5062",O284="Fire Tex 5090",O284="Fire Tex 5120"),'CALCULO PINTURA'!P606," ")</f>
        <v xml:space="preserve"> </v>
      </c>
      <c r="R284" s="164" t="str">
        <f>+IF(OR(O284="Fire Control",O284="Fire Tex 5062",O284="Fire Tex 5090",O284="Fire Tex 5120"),'CALCULO PINTURA'!R606," ")</f>
        <v xml:space="preserve"> </v>
      </c>
      <c r="S284" s="164" t="str">
        <f>+IF(OR(O284="Fire Control",O284="Fire Tex 5062",O284="Fire Tex 5090",O284="Fire Tex 5120"),'CALCULO PINTURA'!S606," ")</f>
        <v xml:space="preserve"> </v>
      </c>
      <c r="T284" s="874" t="str">
        <f>+IF(OR(O284="Blaze Shield II",O284="Cafco 400",O284="Cafco 300"),'CALCULO MORTERO'!N1000," ")</f>
        <v xml:space="preserve"> </v>
      </c>
      <c r="U284" s="875" t="str">
        <f>+IF(OR(O284="Blaze Shield II",O284="Cafco 400",O284="Cafco 300"),'CALCULO MORTERO'!O1000," ")</f>
        <v xml:space="preserve"> </v>
      </c>
      <c r="V284" s="161" t="str" cm="1">
        <f t="array" ref="V284">_xlfn.IFS(O284="Blaze Shield II",'CALCULO MORTERO'!P285, O284="Cafco 400",'CALCULO MORTERO'!Q285,O284="Cafco 300",'CALCULO MORTERO'!S285, AND(OR(O284="Fire tex 5090", O284="Fire Tex 5062", O284="Fire Tex 5120", O284="Fire Control"),Q284&gt;0), "CERT.",TRUE,"-")</f>
        <v>-</v>
      </c>
      <c r="W284" s="167"/>
      <c r="X284" s="167"/>
    </row>
    <row r="285" spans="1:24" x14ac:dyDescent="0.2">
      <c r="A285" s="903"/>
      <c r="B285" s="907"/>
      <c r="C285" s="874"/>
      <c r="D285" s="874"/>
      <c r="E285" s="874"/>
      <c r="F285" s="905"/>
      <c r="G285" s="874"/>
      <c r="H285" s="874"/>
      <c r="I285" s="906"/>
      <c r="J285" s="162"/>
      <c r="K285" s="161"/>
      <c r="L285" s="161"/>
      <c r="M285" s="169"/>
      <c r="N285" s="163" t="str">
        <f t="shared" si="8"/>
        <v/>
      </c>
      <c r="O285" s="41"/>
      <c r="P285" s="41"/>
      <c r="Q285" s="161" t="str">
        <f>+IF(OR(O285="Fire Control",O285="Fire Tex 5062",O285="Fire Tex 5090",O285="Fire Tex 5120"),'CALCULO PINTURA'!P607," ")</f>
        <v xml:space="preserve"> </v>
      </c>
      <c r="R285" s="164" t="str">
        <f>+IF(OR(O285="Fire Control",O285="Fire Tex 5062",O285="Fire Tex 5090",O285="Fire Tex 5120"),'CALCULO PINTURA'!R607," ")</f>
        <v xml:space="preserve"> </v>
      </c>
      <c r="S285" s="164" t="str">
        <f>+IF(OR(O285="Fire Control",O285="Fire Tex 5062",O285="Fire Tex 5090",O285="Fire Tex 5120"),'CALCULO PINTURA'!S607," ")</f>
        <v xml:space="preserve"> </v>
      </c>
      <c r="T285" s="874" t="str">
        <f>+IF(OR(O285="Blaze Shield II",O285="Cafco 400",O285="Cafco 300"),'CALCULO MORTERO'!N612," ")</f>
        <v xml:space="preserve"> </v>
      </c>
      <c r="U285" s="875" t="str">
        <f>+IF(OR(O285="Blaze Shield II",O285="Cafco 400",O285="Cafco 300"),'CALCULO MORTERO'!O1001," ")</f>
        <v xml:space="preserve"> </v>
      </c>
      <c r="V285" s="161" t="str" cm="1">
        <f t="array" ref="V285">_xlfn.IFS(O285="Blaze Shield II",'CALCULO MORTERO'!P286, O285="Cafco 400",'CALCULO MORTERO'!Q286,O285="Cafco 300",'CALCULO MORTERO'!S286, AND(OR(O285="Fire tex 5090", O285="Fire Tex 5062", O285="Fire Tex 5120", O285="Fire Control"),Q285&gt;0), "CERT.",TRUE,"-")</f>
        <v>-</v>
      </c>
      <c r="W285" s="167"/>
      <c r="X285" s="167"/>
    </row>
    <row r="286" spans="1:24" x14ac:dyDescent="0.2">
      <c r="A286" s="903"/>
      <c r="B286" s="907"/>
      <c r="C286" s="874"/>
      <c r="D286" s="874"/>
      <c r="E286" s="874"/>
      <c r="F286" s="905"/>
      <c r="G286" s="874"/>
      <c r="H286" s="874"/>
      <c r="I286" s="906"/>
      <c r="J286" s="162"/>
      <c r="K286" s="161"/>
      <c r="L286" s="161"/>
      <c r="M286" s="169"/>
      <c r="N286" s="163" t="str">
        <f t="shared" si="8"/>
        <v/>
      </c>
      <c r="O286" s="41"/>
      <c r="P286" s="41"/>
      <c r="Q286" s="161" t="str">
        <f>+IF(OR(O286="Fire Control",O286="Fire Tex 5062",O286="Fire Tex 5090",O286="Fire Tex 5120"),'CALCULO PINTURA'!P608," ")</f>
        <v xml:space="preserve"> </v>
      </c>
      <c r="R286" s="164" t="str">
        <f>+IF(OR(O286="Fire Control",O286="Fire Tex 5062",O286="Fire Tex 5090",O286="Fire Tex 5120"),'CALCULO PINTURA'!R608," ")</f>
        <v xml:space="preserve"> </v>
      </c>
      <c r="S286" s="164" t="str">
        <f>+IF(OR(O286="Fire Control",O286="Fire Tex 5062",O286="Fire Tex 5090",O286="Fire Tex 5120"),'CALCULO PINTURA'!S608," ")</f>
        <v xml:space="preserve"> </v>
      </c>
      <c r="T286" s="874" t="str">
        <f>+IF(OR(O286="Blaze Shield II",O286="Cafco 400",O286="Cafco 300"),'CALCULO MORTERO'!N613," ")</f>
        <v xml:space="preserve"> </v>
      </c>
      <c r="U286" s="875" t="str">
        <f>+IF(OR(O286="Blaze Shield II",O286="Cafco 400",O286="Cafco 300"),'CALCULO MORTERO'!O1002," ")</f>
        <v xml:space="preserve"> </v>
      </c>
      <c r="V286" s="161" t="str" cm="1">
        <f t="array" ref="V286">_xlfn.IFS(O286="Blaze Shield II",'CALCULO MORTERO'!P287, O286="Cafco 400",'CALCULO MORTERO'!Q287,O286="Cafco 300",'CALCULO MORTERO'!S287, AND(OR(O286="Fire tex 5090", O286="Fire Tex 5062", O286="Fire Tex 5120", O286="Fire Control"),Q286&gt;0), "CERT.",TRUE,"-")</f>
        <v>-</v>
      </c>
      <c r="W286" s="167"/>
      <c r="X286" s="167"/>
    </row>
    <row r="287" spans="1:24" x14ac:dyDescent="0.2">
      <c r="A287" s="903"/>
      <c r="B287" s="907"/>
      <c r="C287" s="874"/>
      <c r="D287" s="874"/>
      <c r="E287" s="874"/>
      <c r="F287" s="905"/>
      <c r="G287" s="874"/>
      <c r="H287" s="874"/>
      <c r="I287" s="906"/>
      <c r="J287" s="162"/>
      <c r="K287" s="161"/>
      <c r="L287" s="161"/>
      <c r="M287" s="169"/>
      <c r="N287" s="163" t="str">
        <f t="shared" si="8"/>
        <v/>
      </c>
      <c r="O287" s="41"/>
      <c r="P287" s="41"/>
      <c r="Q287" s="161" t="str">
        <f>+IF(OR(O287="Fire Control",O287="Fire Tex 5062",O287="Fire Tex 5090",O287="Fire Tex 5120"),'CALCULO PINTURA'!P609," ")</f>
        <v xml:space="preserve"> </v>
      </c>
      <c r="R287" s="164" t="str">
        <f>+IF(OR(O287="Fire Control",O287="Fire Tex 5062",O287="Fire Tex 5090",O287="Fire Tex 5120"),'CALCULO PINTURA'!R609," ")</f>
        <v xml:space="preserve"> </v>
      </c>
      <c r="S287" s="164" t="str">
        <f>+IF(OR(O287="Fire Control",O287="Fire Tex 5062",O287="Fire Tex 5090",O287="Fire Tex 5120"),'CALCULO PINTURA'!S609," ")</f>
        <v xml:space="preserve"> </v>
      </c>
      <c r="T287" s="874" t="str">
        <f>+IF(OR(O287="Blaze Shield II",O287="Cafco 400",O287="Cafco 300"),'CALCULO MORTERO'!N614," ")</f>
        <v xml:space="preserve"> </v>
      </c>
      <c r="U287" s="875" t="str">
        <f>+IF(OR(O287="Blaze Shield II",O287="Cafco 400",O287="Cafco 300"),'CALCULO MORTERO'!O614," ")</f>
        <v xml:space="preserve"> </v>
      </c>
      <c r="V287" s="161" t="str" cm="1">
        <f t="array" ref="V287">_xlfn.IFS(O287="Blaze Shield II",'CALCULO MORTERO'!P288, O287="Cafco 400",'CALCULO MORTERO'!Q288,O287="Cafco 300",'CALCULO MORTERO'!S288, AND(OR(O287="Fire tex 5090", O287="Fire Tex 5062", O287="Fire Tex 5120", O287="Fire Control"),Q287&gt;0), "CERT.",TRUE,"-")</f>
        <v>-</v>
      </c>
      <c r="W287" s="167"/>
      <c r="X287" s="167"/>
    </row>
    <row r="288" spans="1:24" x14ac:dyDescent="0.2">
      <c r="A288" s="903"/>
      <c r="B288" s="907"/>
      <c r="C288" s="874"/>
      <c r="D288" s="874"/>
      <c r="E288" s="874"/>
      <c r="F288" s="905"/>
      <c r="G288" s="874"/>
      <c r="H288" s="874"/>
      <c r="I288" s="906"/>
      <c r="J288" s="162"/>
      <c r="K288" s="161"/>
      <c r="L288" s="161"/>
      <c r="M288" s="169"/>
      <c r="N288" s="163" t="str">
        <f t="shared" si="8"/>
        <v/>
      </c>
      <c r="O288" s="41"/>
      <c r="P288" s="41"/>
      <c r="Q288" s="161" t="str">
        <f>+IF(OR(O288="Fire Control",O288="Fire Tex 5062",O288="Fire Tex 5090",O288="Fire Tex 5120"),'CALCULO PINTURA'!P610," ")</f>
        <v xml:space="preserve"> </v>
      </c>
      <c r="R288" s="164" t="str">
        <f>+IF(OR(O288="Fire Control",O288="Fire Tex 5062",O288="Fire Tex 5090",O288="Fire Tex 5120"),'CALCULO PINTURA'!R610," ")</f>
        <v xml:space="preserve"> </v>
      </c>
      <c r="S288" s="164" t="str">
        <f>+IF(OR(O288="Fire Control",O288="Fire Tex 5062",O288="Fire Tex 5090",O288="Fire Tex 5120"),'CALCULO PINTURA'!S610," ")</f>
        <v xml:space="preserve"> </v>
      </c>
      <c r="T288" s="874" t="str">
        <f>+IF(OR(O288="Blaze Shield II",O288="Cafco 400",O288="Cafco 300"),'CALCULO MORTERO'!N615," ")</f>
        <v xml:space="preserve"> </v>
      </c>
      <c r="U288" s="875" t="str">
        <f>+IF(OR(O288="Blaze Shield II",O288="Cafco 400",O288="Cafco 300"),'CALCULO MORTERO'!O615," ")</f>
        <v xml:space="preserve"> </v>
      </c>
      <c r="V288" s="161" t="str" cm="1">
        <f t="array" ref="V288">_xlfn.IFS(O288="Blaze Shield II",'CALCULO MORTERO'!P289, O288="Cafco 400",'CALCULO MORTERO'!Q289,O288="Cafco 300",'CALCULO MORTERO'!S289, AND(OR(O288="Fire tex 5090", O288="Fire Tex 5062", O288="Fire Tex 5120", O288="Fire Control"),Q288&gt;0), "CERT.",TRUE,"-")</f>
        <v>-</v>
      </c>
      <c r="W288" s="167"/>
      <c r="X288" s="167"/>
    </row>
    <row r="289" spans="1:24" x14ac:dyDescent="0.2">
      <c r="A289" s="903"/>
      <c r="B289" s="907"/>
      <c r="C289" s="874"/>
      <c r="D289" s="874"/>
      <c r="E289" s="874"/>
      <c r="F289" s="905"/>
      <c r="G289" s="874"/>
      <c r="H289" s="874"/>
      <c r="I289" s="906"/>
      <c r="J289" s="162"/>
      <c r="K289" s="161"/>
      <c r="L289" s="161"/>
      <c r="M289" s="169"/>
      <c r="N289" s="163" t="str">
        <f t="shared" si="8"/>
        <v/>
      </c>
      <c r="O289" s="41"/>
      <c r="P289" s="41"/>
      <c r="Q289" s="161" t="str">
        <f>+IF(OR(O289="Fire Control",O289="Fire Tex 5062",O289="Fire Tex 5090",O289="Fire Tex 5120"),'CALCULO PINTURA'!P611," ")</f>
        <v xml:space="preserve"> </v>
      </c>
      <c r="R289" s="164" t="str">
        <f>+IF(OR(O289="Fire Control",O289="Fire Tex 5062",O289="Fire Tex 5090",O289="Fire Tex 5120"),'CALCULO PINTURA'!R611," ")</f>
        <v xml:space="preserve"> </v>
      </c>
      <c r="S289" s="164" t="str">
        <f>+IF(OR(O289="Fire Control",O289="Fire Tex 5062",O289="Fire Tex 5090",O289="Fire Tex 5120"),'CALCULO PINTURA'!S611," ")</f>
        <v xml:space="preserve"> </v>
      </c>
      <c r="T289" s="874" t="str">
        <f>+IF(OR(O289="Blaze Shield II",O289="Cafco 400",O289="Cafco 300"),'CALCULO MORTERO'!N616," ")</f>
        <v xml:space="preserve"> </v>
      </c>
      <c r="U289" s="875" t="str">
        <f>+IF(OR(O289="Blaze Shield II",O289="Cafco 400",O289="Cafco 300"),'CALCULO MORTERO'!O616," ")</f>
        <v xml:space="preserve"> </v>
      </c>
      <c r="V289" s="161" t="str" cm="1">
        <f t="array" ref="V289">_xlfn.IFS(O289="Blaze Shield II",'CALCULO MORTERO'!P290, O289="Cafco 400",'CALCULO MORTERO'!Q290,O289="Cafco 300",'CALCULO MORTERO'!S290, AND(OR(O289="Fire tex 5090", O289="Fire Tex 5062", O289="Fire Tex 5120", O289="Fire Control"),Q289&gt;0), "CERT.",TRUE,"-")</f>
        <v>-</v>
      </c>
      <c r="W289" s="167"/>
      <c r="X289" s="167"/>
    </row>
    <row r="290" spans="1:24" x14ac:dyDescent="0.2">
      <c r="A290" s="903"/>
      <c r="B290" s="907"/>
      <c r="C290" s="874"/>
      <c r="D290" s="874"/>
      <c r="E290" s="874"/>
      <c r="F290" s="905"/>
      <c r="G290" s="874"/>
      <c r="H290" s="874"/>
      <c r="I290" s="906"/>
      <c r="J290" s="162"/>
      <c r="K290" s="161"/>
      <c r="L290" s="161"/>
      <c r="M290" s="169"/>
      <c r="N290" s="163" t="str">
        <f t="shared" si="8"/>
        <v/>
      </c>
      <c r="O290" s="41"/>
      <c r="P290" s="41"/>
      <c r="Q290" s="161" t="str">
        <f>+IF(OR(O290="Fire Control",O290="Fire Tex 5062",O290="Fire Tex 5090",O290="Fire Tex 5120"),'CALCULO PINTURA'!P612," ")</f>
        <v xml:space="preserve"> </v>
      </c>
      <c r="R290" s="164" t="str">
        <f>+IF(OR(O290="Fire Control",O290="Fire Tex 5062",O290="Fire Tex 5090",O290="Fire Tex 5120"),'CALCULO PINTURA'!R612," ")</f>
        <v xml:space="preserve"> </v>
      </c>
      <c r="S290" s="164" t="str">
        <f>+IF(OR(O290="Fire Control",O290="Fire Tex 5062",O290="Fire Tex 5090",O290="Fire Tex 5120"),'CALCULO PINTURA'!S612," ")</f>
        <v xml:space="preserve"> </v>
      </c>
      <c r="T290" s="874" t="str">
        <f>+IF(OR(O290="Blaze Shield II",O290="Cafco 400",O290="Cafco 300"),'CALCULO MORTERO'!N617," ")</f>
        <v xml:space="preserve"> </v>
      </c>
      <c r="U290" s="875" t="str">
        <f>+IF(OR(O290="Blaze Shield II",O290="Cafco 400",O290="Cafco 300"),'CALCULO MORTERO'!O617," ")</f>
        <v xml:space="preserve"> </v>
      </c>
      <c r="V290" s="161" t="str" cm="1">
        <f t="array" ref="V290">_xlfn.IFS(O290="Blaze Shield II",'CALCULO MORTERO'!P291, O290="Cafco 400",'CALCULO MORTERO'!Q291,O290="Cafco 300",'CALCULO MORTERO'!S291, AND(OR(O290="Fire tex 5090", O290="Fire Tex 5062", O290="Fire Tex 5120", O290="Fire Control"),Q290&gt;0), "CERT.",TRUE,"-")</f>
        <v>-</v>
      </c>
      <c r="W290" s="167"/>
      <c r="X290" s="167"/>
    </row>
    <row r="291" spans="1:24" x14ac:dyDescent="0.2">
      <c r="A291" s="903"/>
      <c r="B291" s="907"/>
      <c r="C291" s="874"/>
      <c r="D291" s="874"/>
      <c r="E291" s="874"/>
      <c r="F291" s="905"/>
      <c r="G291" s="874"/>
      <c r="H291" s="874"/>
      <c r="I291" s="906"/>
      <c r="J291" s="162"/>
      <c r="K291" s="161"/>
      <c r="L291" s="161"/>
      <c r="M291" s="169"/>
      <c r="N291" s="163" t="str">
        <f t="shared" si="8"/>
        <v/>
      </c>
      <c r="O291" s="41"/>
      <c r="P291" s="41"/>
      <c r="Q291" s="161" t="str">
        <f>+IF(OR(O291="Fire Control",O291="Fire Tex 5062",O291="Fire Tex 5090",O291="Fire Tex 5120"),'CALCULO PINTURA'!P613," ")</f>
        <v xml:space="preserve"> </v>
      </c>
      <c r="R291" s="164" t="str">
        <f>+IF(OR(O291="Fire Control",O291="Fire Tex 5062",O291="Fire Tex 5090",O291="Fire Tex 5120"),'CALCULO PINTURA'!R613," ")</f>
        <v xml:space="preserve"> </v>
      </c>
      <c r="S291" s="164" t="str">
        <f>+IF(OR(O291="Fire Control",O291="Fire Tex 5062",O291="Fire Tex 5090",O291="Fire Tex 5120"),'CALCULO PINTURA'!S613," ")</f>
        <v xml:space="preserve"> </v>
      </c>
      <c r="T291" s="874" t="str">
        <f>+IF(OR(O291="Blaze Shield II",O291="Cafco 400",O291="Cafco 300"),'CALCULO MORTERO'!N618," ")</f>
        <v xml:space="preserve"> </v>
      </c>
      <c r="U291" s="875" t="str">
        <f>+IF(OR(O291="Blaze Shield II",O291="Cafco 400",O291="Cafco 300"),'CALCULO MORTERO'!O618," ")</f>
        <v xml:space="preserve"> </v>
      </c>
      <c r="V291" s="161" t="str" cm="1">
        <f t="array" ref="V291">_xlfn.IFS(O291="Blaze Shield II",'CALCULO MORTERO'!P292, O291="Cafco 400",'CALCULO MORTERO'!Q292,O291="Cafco 300",'CALCULO MORTERO'!S292, AND(OR(O291="Fire tex 5090", O291="Fire Tex 5062", O291="Fire Tex 5120", O291="Fire Control"),Q291&gt;0), "CERT.",TRUE,"-")</f>
        <v>-</v>
      </c>
      <c r="W291" s="167"/>
      <c r="X291" s="167"/>
    </row>
    <row r="292" spans="1:24" x14ac:dyDescent="0.2">
      <c r="A292" s="903"/>
      <c r="B292" s="907"/>
      <c r="C292" s="874"/>
      <c r="D292" s="874"/>
      <c r="E292" s="874"/>
      <c r="F292" s="905"/>
      <c r="G292" s="874"/>
      <c r="H292" s="874"/>
      <c r="I292" s="906"/>
      <c r="J292" s="162"/>
      <c r="K292" s="161"/>
      <c r="L292" s="161"/>
      <c r="M292" s="169"/>
      <c r="N292" s="163" t="str">
        <f t="shared" si="8"/>
        <v/>
      </c>
      <c r="O292" s="41"/>
      <c r="P292" s="41"/>
      <c r="Q292" s="161" t="str">
        <f>+IF(OR(O292="Fire Control",O292="Fire Tex 5062",O292="Fire Tex 5090",O292="Fire Tex 5120"),'CALCULO PINTURA'!P540," ")</f>
        <v xml:space="preserve"> </v>
      </c>
      <c r="R292" s="164" t="str">
        <f>+IF(OR(O292="Fire Control",O292="Fire Tex 5062",O292="Fire Tex 5090",O292="Fire Tex 5120"),'CALCULO PINTURA'!R540," ")</f>
        <v xml:space="preserve"> </v>
      </c>
      <c r="S292" s="164" t="str">
        <f>+IF(OR(O292="Fire Control",O292="Fire Tex 5062",O292="Fire Tex 5090",O292="Fire Tex 5120"),'CALCULO PINTURA'!S540," ")</f>
        <v xml:space="preserve"> </v>
      </c>
      <c r="T292" s="874" t="str">
        <f>+IF(OR(O292="Blaze Shield II",O292="Cafco 400",O292="Cafco 300"),'CALCULO MORTERO'!N545," ")</f>
        <v xml:space="preserve"> </v>
      </c>
      <c r="U292" s="875" t="str">
        <f>+IF(OR(O292="Blaze Shield II",O292="Cafco 400",O292="Cafco 300"),'CALCULO MORTERO'!O545," ")</f>
        <v xml:space="preserve"> </v>
      </c>
      <c r="V292" s="161" t="str" cm="1">
        <f t="array" ref="V292">_xlfn.IFS(O292="Blaze Shield II",'CALCULO MORTERO'!P293, O292="Cafco 400",'CALCULO MORTERO'!Q293,O292="Cafco 300",'CALCULO MORTERO'!S293, AND(OR(O292="Fire tex 5090", O292="Fire Tex 5062", O292="Fire Tex 5120", O292="Fire Control"),Q292&gt;0), "CERT.",TRUE,"-")</f>
        <v>-</v>
      </c>
      <c r="W292" s="167"/>
      <c r="X292" s="167"/>
    </row>
    <row r="293" spans="1:24" x14ac:dyDescent="0.2">
      <c r="A293" s="903"/>
      <c r="B293" s="904"/>
      <c r="C293" s="874"/>
      <c r="D293" s="874"/>
      <c r="E293" s="905"/>
      <c r="F293" s="905"/>
      <c r="G293" s="874"/>
      <c r="H293" s="874"/>
      <c r="I293" s="906"/>
      <c r="J293" s="162"/>
      <c r="K293" s="161"/>
      <c r="L293" s="161"/>
      <c r="M293" s="169"/>
      <c r="N293" s="163" t="str">
        <f t="shared" si="8"/>
        <v/>
      </c>
      <c r="O293" s="41"/>
      <c r="P293" s="41"/>
      <c r="Q293" s="161" t="str">
        <f>+IF(OR(O293="Fire Control",O293="Fire Tex 5062",O293="Fire Tex 5090",O293="Fire Tex 5120"),'CALCULO PINTURA'!P294," ")</f>
        <v xml:space="preserve"> </v>
      </c>
      <c r="R293" s="164" t="str">
        <f>+IF(OR(O293="Fire Control",O293="Fire Tex 5062",O293="Fire Tex 5090",O293="Fire Tex 5120"),'CALCULO PINTURA'!R294," ")</f>
        <v xml:space="preserve"> </v>
      </c>
      <c r="S293" s="164" t="str">
        <f>+IF(OR(O293="Fire Control",O293="Fire Tex 5062",O293="Fire Tex 5090",O293="Fire Tex 5120"),'CALCULO PINTURA'!S294," ")</f>
        <v xml:space="preserve"> </v>
      </c>
      <c r="T293" s="874" t="str">
        <f>+IF(OR(O293="Blaze Shield II",O293="Cafco 400",O293="Cafco 300"),'CALCULO MORTERO'!N299," ")</f>
        <v xml:space="preserve"> </v>
      </c>
      <c r="U293" s="875" t="str">
        <f>+IF(OR(O293="Blaze Shield II",O293="Cafco 400",O293="Cafco 300"),'CALCULO MORTERO'!O299," ")</f>
        <v xml:space="preserve"> </v>
      </c>
      <c r="V293" s="161" t="str" cm="1">
        <f t="array" ref="V293">_xlfn.IFS(O293="Blaze Shield II",'CALCULO MORTERO'!P294, O293="Cafco 400",'CALCULO MORTERO'!Q294,O293="Cafco 300",'CALCULO MORTERO'!S294, AND(OR(O293="Fire tex 5090", O293="Fire Tex 5062", O293="Fire Tex 5120", O293="Fire Control"),Q293&gt;0), "CERT.",TRUE,"-")</f>
        <v>-</v>
      </c>
      <c r="W293" s="167"/>
      <c r="X293" s="167"/>
    </row>
    <row r="294" spans="1:24" x14ac:dyDescent="0.2">
      <c r="A294" s="903"/>
      <c r="B294" s="904"/>
      <c r="C294" s="874"/>
      <c r="D294" s="874"/>
      <c r="E294" s="905"/>
      <c r="F294" s="905"/>
      <c r="G294" s="874"/>
      <c r="H294" s="874"/>
      <c r="I294" s="906"/>
      <c r="J294" s="162"/>
      <c r="K294" s="161"/>
      <c r="L294" s="161"/>
      <c r="M294" s="169"/>
      <c r="N294" s="163" t="str">
        <f t="shared" si="8"/>
        <v/>
      </c>
      <c r="O294" s="41"/>
      <c r="P294" s="41"/>
      <c r="Q294" s="161" t="str">
        <f>+IF(OR(O294="Fire Control",O294="Fire Tex 5062",O294="Fire Tex 5090",O294="Fire Tex 5120"),'CALCULO PINTURA'!P295," ")</f>
        <v xml:space="preserve"> </v>
      </c>
      <c r="R294" s="164" t="str">
        <f>+IF(OR(O294="Fire Control",O294="Fire Tex 5062",O294="Fire Tex 5090",O294="Fire Tex 5120"),'CALCULO PINTURA'!R295," ")</f>
        <v xml:space="preserve"> </v>
      </c>
      <c r="S294" s="164" t="str">
        <f>+IF(OR(O294="Fire Control",O294="Fire Tex 5062",O294="Fire Tex 5090",O294="Fire Tex 5120"),'CALCULO PINTURA'!S295," ")</f>
        <v xml:space="preserve"> </v>
      </c>
      <c r="T294" s="874" t="str">
        <f>+IF(OR(O294="Blaze Shield II",O294="Cafco 400",O294="Cafco 300"),'CALCULO MORTERO'!N300," ")</f>
        <v xml:space="preserve"> </v>
      </c>
      <c r="U294" s="875" t="str">
        <f>+IF(OR(O294="Blaze Shield II",O294="Cafco 400",O294="Cafco 300"),'CALCULO MORTERO'!O300," ")</f>
        <v xml:space="preserve"> </v>
      </c>
      <c r="V294" s="161" t="str" cm="1">
        <f t="array" ref="V294">_xlfn.IFS(O294="Blaze Shield II",'CALCULO MORTERO'!P295, O294="Cafco 400",'CALCULO MORTERO'!Q295,O294="Cafco 300",'CALCULO MORTERO'!S295, AND(OR(O294="Fire tex 5090", O294="Fire Tex 5062", O294="Fire Tex 5120", O294="Fire Control"),Q294&gt;0), "CERT.",TRUE,"-")</f>
        <v>-</v>
      </c>
      <c r="W294" s="167"/>
      <c r="X294" s="167"/>
    </row>
    <row r="295" spans="1:24" x14ac:dyDescent="0.2">
      <c r="A295" s="903"/>
      <c r="B295" s="904"/>
      <c r="C295" s="874"/>
      <c r="D295" s="874"/>
      <c r="E295" s="905"/>
      <c r="F295" s="905"/>
      <c r="G295" s="874"/>
      <c r="H295" s="874"/>
      <c r="I295" s="906"/>
      <c r="J295" s="162"/>
      <c r="K295" s="161"/>
      <c r="L295" s="161"/>
      <c r="M295" s="169"/>
      <c r="N295" s="163" t="str">
        <f t="shared" si="8"/>
        <v/>
      </c>
      <c r="O295" s="41"/>
      <c r="P295" s="41"/>
      <c r="Q295" s="161" t="str">
        <f>+IF(OR(O295="Fire Control",O295="Fire Tex 5062",O295="Fire Tex 5090",O295="Fire Tex 5120"),'CALCULO PINTURA'!P296," ")</f>
        <v xml:space="preserve"> </v>
      </c>
      <c r="R295" s="164" t="str">
        <f>+IF(OR(O295="Fire Control",O295="Fire Tex 5062",O295="Fire Tex 5090",O295="Fire Tex 5120"),'CALCULO PINTURA'!R296," ")</f>
        <v xml:space="preserve"> </v>
      </c>
      <c r="S295" s="164" t="str">
        <f>+IF(OR(O295="Fire Control",O295="Fire Tex 5062",O295="Fire Tex 5090",O295="Fire Tex 5120"),'CALCULO PINTURA'!S296," ")</f>
        <v xml:space="preserve"> </v>
      </c>
      <c r="T295" s="874" t="str">
        <f>+IF(OR(O295="Blaze Shield II",O295="Cafco 400",O295="Cafco 300"),'CALCULO MORTERO'!N301," ")</f>
        <v xml:space="preserve"> </v>
      </c>
      <c r="U295" s="875" t="str">
        <f>+IF(OR(O295="Blaze Shield II",O295="Cafco 400",O295="Cafco 300"),'CALCULO MORTERO'!O301," ")</f>
        <v xml:space="preserve"> </v>
      </c>
      <c r="V295" s="161" t="str" cm="1">
        <f t="array" ref="V295">_xlfn.IFS(O295="Blaze Shield II",'CALCULO MORTERO'!P296, O295="Cafco 400",'CALCULO MORTERO'!Q296,O295="Cafco 300",'CALCULO MORTERO'!S296, AND(OR(O295="Fire tex 5090", O295="Fire Tex 5062", O295="Fire Tex 5120", O295="Fire Control"),Q295&gt;0), "CERT.",TRUE,"-")</f>
        <v>-</v>
      </c>
      <c r="W295" s="167"/>
      <c r="X295" s="167"/>
    </row>
    <row r="296" spans="1:24" x14ac:dyDescent="0.2">
      <c r="A296" s="903"/>
      <c r="B296" s="907"/>
      <c r="C296" s="874"/>
      <c r="D296" s="874"/>
      <c r="E296" s="874"/>
      <c r="F296" s="905"/>
      <c r="G296" s="874"/>
      <c r="H296" s="874"/>
      <c r="I296" s="906"/>
      <c r="J296" s="162"/>
      <c r="K296" s="161"/>
      <c r="L296" s="161"/>
      <c r="M296" s="169"/>
      <c r="N296" s="163" t="str">
        <f t="shared" si="8"/>
        <v/>
      </c>
      <c r="O296" s="41"/>
      <c r="P296" s="41"/>
      <c r="Q296" s="161" t="str">
        <f>+IF(OR(O296="Fire Control",O296="Fire Tex 5062",O296="Fire Tex 5090",O296="Fire Tex 5120"),'CALCULO PINTURA'!P542," ")</f>
        <v xml:space="preserve"> </v>
      </c>
      <c r="R296" s="164" t="str">
        <f>+IF(OR(O296="Fire Control",O296="Fire Tex 5062",O296="Fire Tex 5090",O296="Fire Tex 5120"),'CALCULO PINTURA'!R542," ")</f>
        <v xml:space="preserve"> </v>
      </c>
      <c r="S296" s="164" t="str">
        <f>+IF(OR(O296="Fire Control",O296="Fire Tex 5062",O296="Fire Tex 5090",O296="Fire Tex 5120"),'CALCULO PINTURA'!S542," ")</f>
        <v xml:space="preserve"> </v>
      </c>
      <c r="T296" s="874" t="str">
        <f>+IF(OR(O296="Blaze Shield II",O296="Cafco 400",O296="Cafco 300"),'CALCULO MORTERO'!N547," ")</f>
        <v xml:space="preserve"> </v>
      </c>
      <c r="U296" s="875" t="str">
        <f>+IF(OR(O296="Blaze Shield II",O296="Cafco 400",O296="Cafco 300"),'CALCULO MORTERO'!O547," ")</f>
        <v xml:space="preserve"> </v>
      </c>
      <c r="V296" s="161" t="str" cm="1">
        <f t="array" ref="V296">_xlfn.IFS(O296="Blaze Shield II",'CALCULO MORTERO'!P297, O296="Cafco 400",'CALCULO MORTERO'!Q297,O296="Cafco 300",'CALCULO MORTERO'!S297, AND(OR(O296="Fire tex 5090", O296="Fire Tex 5062", O296="Fire Tex 5120", O296="Fire Control"),Q296&gt;0), "CERT.",TRUE,"-")</f>
        <v>-</v>
      </c>
      <c r="W296" s="167"/>
      <c r="X296" s="167"/>
    </row>
    <row r="297" spans="1:24" x14ac:dyDescent="0.2">
      <c r="A297" s="903"/>
      <c r="B297" s="904"/>
      <c r="C297" s="874"/>
      <c r="D297" s="874"/>
      <c r="E297" s="905"/>
      <c r="F297" s="905"/>
      <c r="G297" s="874"/>
      <c r="H297" s="874"/>
      <c r="I297" s="906"/>
      <c r="J297" s="162"/>
      <c r="K297" s="161"/>
      <c r="L297" s="161"/>
      <c r="M297" s="169"/>
      <c r="N297" s="163" t="str">
        <f t="shared" si="8"/>
        <v/>
      </c>
      <c r="O297" s="41"/>
      <c r="P297" s="41"/>
      <c r="Q297" s="161" t="str">
        <f>+IF(OR(O297="Fire Control",O297="Fire Tex 5062",O297="Fire Tex 5090",O297="Fire Tex 5120"),'CALCULO PINTURA'!P80," ")</f>
        <v xml:space="preserve"> </v>
      </c>
      <c r="R297" s="164" t="str">
        <f>+IF(OR(O297="Fire Control",O297="Fire Tex 5062",O297="Fire Tex 5090",O297="Fire Tex 5120"),'CALCULO PINTURA'!R80," ")</f>
        <v xml:space="preserve"> </v>
      </c>
      <c r="S297" s="164" t="str">
        <f>+IF(OR(O297="Fire Control",O297="Fire Tex 5062",O297="Fire Tex 5090",O297="Fire Tex 5120"),'CALCULO PINTURA'!S80," ")</f>
        <v xml:space="preserve"> </v>
      </c>
      <c r="T297" s="874" t="str">
        <f>+IF(OR(O297="Blaze Shield II",O297="Cafco 400",O297="Cafco 300"),'CALCULO MORTERO'!N80," ")</f>
        <v xml:space="preserve"> </v>
      </c>
      <c r="U297" s="875" t="str">
        <f>+IF(OR(O297="Blaze Shield II",O297="Cafco 400",O297="Cafco 300"),'CALCULO MORTERO'!O80," ")</f>
        <v xml:space="preserve"> </v>
      </c>
      <c r="V297" s="161" t="str" cm="1">
        <f t="array" ref="V297">_xlfn.IFS(O297="Blaze Shield II",'CALCULO MORTERO'!P298, O297="Cafco 400",'CALCULO MORTERO'!Q298,O297="Cafco 300",'CALCULO MORTERO'!S298, AND(OR(O297="Fire tex 5090", O297="Fire Tex 5062", O297="Fire Tex 5120", O297="Fire Control"),Q297&gt;0), "CERT.",TRUE,"-")</f>
        <v>-</v>
      </c>
      <c r="W297" s="167"/>
      <c r="X297" s="167"/>
    </row>
    <row r="298" spans="1:24" x14ac:dyDescent="0.2">
      <c r="A298" s="903"/>
      <c r="B298" s="904"/>
      <c r="C298" s="874"/>
      <c r="D298" s="874"/>
      <c r="E298" s="905"/>
      <c r="F298" s="905"/>
      <c r="G298" s="874"/>
      <c r="H298" s="874"/>
      <c r="I298" s="906"/>
      <c r="J298" s="162"/>
      <c r="K298" s="161"/>
      <c r="L298" s="161"/>
      <c r="M298" s="169"/>
      <c r="N298" s="163" t="str">
        <f t="shared" si="8"/>
        <v/>
      </c>
      <c r="O298" s="41"/>
      <c r="P298" s="41"/>
      <c r="Q298" s="161" t="str">
        <f>+IF(OR(O298="Fire Control",O298="Fire Tex 5062",O298="Fire Tex 5090",O298="Fire Tex 5120"),'CALCULO PINTURA'!P81," ")</f>
        <v xml:space="preserve"> </v>
      </c>
      <c r="R298" s="164" t="str">
        <f>+IF(OR(O298="Fire Control",O298="Fire Tex 5062",O298="Fire Tex 5090",O298="Fire Tex 5120"),'CALCULO PINTURA'!R81," ")</f>
        <v xml:space="preserve"> </v>
      </c>
      <c r="S298" s="164" t="str">
        <f>+IF(OR(O298="Fire Control",O298="Fire Tex 5062",O298="Fire Tex 5090",O298="Fire Tex 5120"),'CALCULO PINTURA'!S81," ")</f>
        <v xml:space="preserve"> </v>
      </c>
      <c r="T298" s="874" t="str">
        <f>+IF(OR(O298="Blaze Shield II",O298="Cafco 400",O298="Cafco 300"),'CALCULO MORTERO'!N81," ")</f>
        <v xml:space="preserve"> </v>
      </c>
      <c r="U298" s="875" t="str">
        <f>+IF(OR(O298="Blaze Shield II",O298="Cafco 400",O298="Cafco 300"),'CALCULO MORTERO'!O81," ")</f>
        <v xml:space="preserve"> </v>
      </c>
      <c r="V298" s="161" t="str" cm="1">
        <f t="array" ref="V298">_xlfn.IFS(O298="Blaze Shield II",'CALCULO MORTERO'!P299, O298="Cafco 400",'CALCULO MORTERO'!Q299,O298="Cafco 300",'CALCULO MORTERO'!S299, AND(OR(O298="Fire tex 5090", O298="Fire Tex 5062", O298="Fire Tex 5120", O298="Fire Control"),Q298&gt;0), "CERT.",TRUE,"-")</f>
        <v>-</v>
      </c>
      <c r="W298" s="167"/>
      <c r="X298" s="167"/>
    </row>
    <row r="299" spans="1:24" x14ac:dyDescent="0.2">
      <c r="A299" s="903"/>
      <c r="B299" s="904"/>
      <c r="C299" s="874"/>
      <c r="D299" s="874"/>
      <c r="E299" s="905"/>
      <c r="F299" s="905"/>
      <c r="G299" s="874"/>
      <c r="H299" s="874"/>
      <c r="I299" s="906"/>
      <c r="J299" s="162"/>
      <c r="K299" s="161"/>
      <c r="L299" s="161"/>
      <c r="M299" s="169"/>
      <c r="N299" s="163" t="str">
        <f t="shared" si="8"/>
        <v/>
      </c>
      <c r="O299" s="41"/>
      <c r="P299" s="41"/>
      <c r="Q299" s="161" t="str">
        <f>+IF(OR(O299="Fire Control",O299="Fire Tex 5062",O299="Fire Tex 5090",O299="Fire Tex 5120"),'CALCULO PINTURA'!P84," ")</f>
        <v xml:space="preserve"> </v>
      </c>
      <c r="R299" s="164" t="str">
        <f>+IF(OR(O299="Fire Control",O299="Fire Tex 5062",O299="Fire Tex 5090",O299="Fire Tex 5120"),'CALCULO PINTURA'!R84," ")</f>
        <v xml:space="preserve"> </v>
      </c>
      <c r="S299" s="164" t="str">
        <f>+IF(OR(O299="Fire Control",O299="Fire Tex 5062",O299="Fire Tex 5090",O299="Fire Tex 5120"),'CALCULO PINTURA'!S84," ")</f>
        <v xml:space="preserve"> </v>
      </c>
      <c r="T299" s="874" t="str">
        <f>+IF(OR(O299="Blaze Shield II",O299="Cafco 400",O299="Cafco 300"),'CALCULO MORTERO'!N84," ")</f>
        <v xml:space="preserve"> </v>
      </c>
      <c r="U299" s="875" t="str">
        <f>+IF(OR(O299="Blaze Shield II",O299="Cafco 400",O299="Cafco 300"),'CALCULO MORTERO'!O84," ")</f>
        <v xml:space="preserve"> </v>
      </c>
      <c r="V299" s="161" t="str" cm="1">
        <f t="array" ref="V299">_xlfn.IFS(O299="Blaze Shield II",'CALCULO MORTERO'!P300, O299="Cafco 400",'CALCULO MORTERO'!Q300,O299="Cafco 300",'CALCULO MORTERO'!S300, AND(OR(O299="Fire tex 5090", O299="Fire Tex 5062", O299="Fire Tex 5120", O299="Fire Control"),Q299&gt;0), "CERT.",TRUE,"-")</f>
        <v>-</v>
      </c>
      <c r="W299" s="167"/>
      <c r="X299" s="167"/>
    </row>
    <row r="300" spans="1:24" x14ac:dyDescent="0.2">
      <c r="A300" s="903"/>
      <c r="B300" s="904"/>
      <c r="C300" s="874"/>
      <c r="D300" s="874"/>
      <c r="E300" s="905"/>
      <c r="F300" s="905"/>
      <c r="G300" s="874"/>
      <c r="H300" s="874"/>
      <c r="I300" s="906"/>
      <c r="J300" s="162"/>
      <c r="K300" s="161"/>
      <c r="L300" s="161"/>
      <c r="M300" s="169"/>
      <c r="N300" s="163" t="str">
        <f t="shared" si="8"/>
        <v/>
      </c>
      <c r="O300" s="41"/>
      <c r="P300" s="41"/>
      <c r="Q300" s="161" t="str">
        <f>+IF(OR(O300="Fire Control",O300="Fire Tex 5062",O300="Fire Tex 5090",O300="Fire Tex 5120"),'CALCULO PINTURA'!P230," ")</f>
        <v xml:space="preserve"> </v>
      </c>
      <c r="R300" s="164" t="str">
        <f>+IF(OR(O300="Fire Control",O300="Fire Tex 5062",O300="Fire Tex 5090",O300="Fire Tex 5120"),'CALCULO PINTURA'!R230," ")</f>
        <v xml:space="preserve"> </v>
      </c>
      <c r="S300" s="164" t="str">
        <f>+IF(OR(O300="Fire Control",O300="Fire Tex 5062",O300="Fire Tex 5090",O300="Fire Tex 5120"),'CALCULO PINTURA'!S230," ")</f>
        <v xml:space="preserve"> </v>
      </c>
      <c r="T300" s="874" t="str">
        <f>+IF(OR(O300="Blaze Shield II",O300="Cafco 400",O300="Cafco 300"),'CALCULO MORTERO'!N235," ")</f>
        <v xml:space="preserve"> </v>
      </c>
      <c r="U300" s="875" t="str">
        <f>+IF(OR(O300="Blaze Shield II",O300="Cafco 400",O300="Cafco 300"),'CALCULO MORTERO'!O235," ")</f>
        <v xml:space="preserve"> </v>
      </c>
      <c r="V300" s="161" t="str" cm="1">
        <f t="array" ref="V300">_xlfn.IFS(O300="Blaze Shield II",'CALCULO MORTERO'!P301, O300="Cafco 400",'CALCULO MORTERO'!Q301,O300="Cafco 300",'CALCULO MORTERO'!S301, AND(OR(O300="Fire tex 5090", O300="Fire Tex 5062", O300="Fire Tex 5120", O300="Fire Control"),Q300&gt;0), "CERT.",TRUE,"-")</f>
        <v>-</v>
      </c>
      <c r="W300" s="167"/>
      <c r="X300" s="167"/>
    </row>
    <row r="301" spans="1:24" x14ac:dyDescent="0.2">
      <c r="A301" s="903"/>
      <c r="B301" s="904"/>
      <c r="C301" s="874"/>
      <c r="D301" s="874"/>
      <c r="E301" s="905"/>
      <c r="F301" s="905"/>
      <c r="G301" s="874"/>
      <c r="H301" s="874"/>
      <c r="I301" s="906"/>
      <c r="J301" s="162"/>
      <c r="K301" s="161"/>
      <c r="L301" s="161"/>
      <c r="M301" s="169"/>
      <c r="N301" s="163" t="str">
        <f t="shared" si="8"/>
        <v/>
      </c>
      <c r="O301" s="41"/>
      <c r="P301" s="41"/>
      <c r="Q301" s="161" t="str">
        <f>+IF(OR(O301="Fire Control",O301="Fire Tex 5062",O301="Fire Tex 5090",O301="Fire Tex 5120"),'CALCULO PINTURA'!P302," ")</f>
        <v xml:space="preserve"> </v>
      </c>
      <c r="R301" s="164" t="str">
        <f>+IF(OR(O301="Fire Control",O301="Fire Tex 5062",O301="Fire Tex 5090",O301="Fire Tex 5120"),'CALCULO PINTURA'!R302," ")</f>
        <v xml:space="preserve"> </v>
      </c>
      <c r="S301" s="164" t="str">
        <f>+IF(OR(O301="Fire Control",O301="Fire Tex 5062",O301="Fire Tex 5090",O301="Fire Tex 5120"),'CALCULO PINTURA'!S302," ")</f>
        <v xml:space="preserve"> </v>
      </c>
      <c r="T301" s="874" t="str">
        <f>+IF(OR(O301="Blaze Shield II",O301="Cafco 400",O301="Cafco 300"),'CALCULO MORTERO'!N307," ")</f>
        <v xml:space="preserve"> </v>
      </c>
      <c r="U301" s="875" t="str">
        <f>+IF(OR(O301="Blaze Shield II",O301="Cafco 400",O301="Cafco 300"),'CALCULO MORTERO'!O307," ")</f>
        <v xml:space="preserve"> </v>
      </c>
      <c r="V301" s="161" t="str" cm="1">
        <f t="array" ref="V301">_xlfn.IFS(O301="Blaze Shield II",'CALCULO MORTERO'!P302, O301="Cafco 400",'CALCULO MORTERO'!Q302,O301="Cafco 300",'CALCULO MORTERO'!S302, AND(OR(O301="Fire tex 5090", O301="Fire Tex 5062", O301="Fire Tex 5120", O301="Fire Control"),Q301&gt;0), "CERT.",TRUE,"-")</f>
        <v>-</v>
      </c>
      <c r="W301" s="167"/>
      <c r="X301" s="167"/>
    </row>
    <row r="302" spans="1:24" x14ac:dyDescent="0.2">
      <c r="A302" s="903"/>
      <c r="B302" s="904"/>
      <c r="C302" s="874"/>
      <c r="D302" s="874"/>
      <c r="E302" s="905"/>
      <c r="F302" s="905"/>
      <c r="G302" s="874"/>
      <c r="H302" s="874"/>
      <c r="I302" s="906"/>
      <c r="J302" s="162"/>
      <c r="K302" s="161"/>
      <c r="L302" s="161"/>
      <c r="M302" s="169"/>
      <c r="N302" s="163" t="str">
        <f t="shared" si="8"/>
        <v/>
      </c>
      <c r="O302" s="41"/>
      <c r="P302" s="41"/>
      <c r="Q302" s="161" t="str">
        <f>+IF(OR(O302="Fire Control",O302="Fire Tex 5062",O302="Fire Tex 5090",O302="Fire Tex 5120"),'CALCULO PINTURA'!P303," ")</f>
        <v xml:space="preserve"> </v>
      </c>
      <c r="R302" s="164" t="str">
        <f>+IF(OR(O302="Fire Control",O302="Fire Tex 5062",O302="Fire Tex 5090",O302="Fire Tex 5120"),'CALCULO PINTURA'!R303," ")</f>
        <v xml:space="preserve"> </v>
      </c>
      <c r="S302" s="164" t="str">
        <f>+IF(OR(O302="Fire Control",O302="Fire Tex 5062",O302="Fire Tex 5090",O302="Fire Tex 5120"),'CALCULO PINTURA'!S303," ")</f>
        <v xml:space="preserve"> </v>
      </c>
      <c r="T302" s="874" t="str">
        <f>+IF(OR(O302="Blaze Shield II",O302="Cafco 400",O302="Cafco 300"),'CALCULO MORTERO'!N308," ")</f>
        <v xml:space="preserve"> </v>
      </c>
      <c r="U302" s="875" t="str">
        <f>+IF(OR(O302="Blaze Shield II",O302="Cafco 400",O302="Cafco 300"),'CALCULO MORTERO'!O308," ")</f>
        <v xml:space="preserve"> </v>
      </c>
      <c r="V302" s="161" t="str" cm="1">
        <f t="array" ref="V302">_xlfn.IFS(O302="Blaze Shield II",'CALCULO MORTERO'!P303, O302="Cafco 400",'CALCULO MORTERO'!Q303,O302="Cafco 300",'CALCULO MORTERO'!S303, AND(OR(O302="Fire tex 5090", O302="Fire Tex 5062", O302="Fire Tex 5120", O302="Fire Control"),Q302&gt;0), "CERT.",TRUE,"-")</f>
        <v>-</v>
      </c>
      <c r="W302" s="167"/>
      <c r="X302" s="167"/>
    </row>
    <row r="303" spans="1:24" x14ac:dyDescent="0.2">
      <c r="A303" s="903"/>
      <c r="B303" s="904"/>
      <c r="C303" s="874"/>
      <c r="D303" s="874"/>
      <c r="E303" s="905"/>
      <c r="F303" s="905"/>
      <c r="G303" s="874"/>
      <c r="H303" s="874"/>
      <c r="I303" s="906"/>
      <c r="J303" s="162"/>
      <c r="K303" s="161"/>
      <c r="L303" s="161"/>
      <c r="M303" s="169"/>
      <c r="N303" s="163" t="str">
        <f t="shared" si="8"/>
        <v/>
      </c>
      <c r="O303" s="41"/>
      <c r="P303" s="41"/>
      <c r="Q303" s="161" t="str">
        <f>+IF(OR(O303="Fire Control",O303="Fire Tex 5062",O303="Fire Tex 5090",O303="Fire Tex 5120"),'CALCULO PINTURA'!P304," ")</f>
        <v xml:space="preserve"> </v>
      </c>
      <c r="R303" s="164" t="str">
        <f>+IF(OR(O303="Fire Control",O303="Fire Tex 5062",O303="Fire Tex 5090",O303="Fire Tex 5120"),'CALCULO PINTURA'!R304," ")</f>
        <v xml:space="preserve"> </v>
      </c>
      <c r="S303" s="164" t="str">
        <f>+IF(OR(O303="Fire Control",O303="Fire Tex 5062",O303="Fire Tex 5090",O303="Fire Tex 5120"),'CALCULO PINTURA'!S304," ")</f>
        <v xml:space="preserve"> </v>
      </c>
      <c r="T303" s="874" t="str">
        <f>+IF(OR(O303="Blaze Shield II",O303="Cafco 400",O303="Cafco 300"),'CALCULO MORTERO'!N309," ")</f>
        <v xml:space="preserve"> </v>
      </c>
      <c r="U303" s="875" t="str">
        <f>+IF(OR(O303="Blaze Shield II",O303="Cafco 400",O303="Cafco 300"),'CALCULO MORTERO'!O309," ")</f>
        <v xml:space="preserve"> </v>
      </c>
      <c r="V303" s="161" t="str" cm="1">
        <f t="array" ref="V303">_xlfn.IFS(O303="Blaze Shield II",'CALCULO MORTERO'!P304, O303="Cafco 400",'CALCULO MORTERO'!Q304,O303="Cafco 300",'CALCULO MORTERO'!S304, AND(OR(O303="Fire tex 5090", O303="Fire Tex 5062", O303="Fire Tex 5120", O303="Fire Control"),Q303&gt;0), "CERT.",TRUE,"-")</f>
        <v>-</v>
      </c>
      <c r="W303" s="167"/>
      <c r="X303" s="167"/>
    </row>
    <row r="304" spans="1:24" x14ac:dyDescent="0.2">
      <c r="A304" s="903"/>
      <c r="B304" s="904"/>
      <c r="C304" s="874"/>
      <c r="D304" s="874"/>
      <c r="E304" s="905"/>
      <c r="F304" s="905"/>
      <c r="G304" s="874"/>
      <c r="H304" s="874"/>
      <c r="I304" s="906"/>
      <c r="J304" s="162"/>
      <c r="K304" s="161"/>
      <c r="L304" s="161"/>
      <c r="M304" s="169"/>
      <c r="N304" s="163" t="str">
        <f t="shared" si="8"/>
        <v/>
      </c>
      <c r="O304" s="41"/>
      <c r="P304" s="41"/>
      <c r="Q304" s="161" t="str">
        <f>+IF(OR(O304="Fire Control",O304="Fire Tex 5062",O304="Fire Tex 5090",O304="Fire Tex 5120"),'CALCULO PINTURA'!P305," ")</f>
        <v xml:space="preserve"> </v>
      </c>
      <c r="R304" s="164" t="str">
        <f>+IF(OR(O304="Fire Control",O304="Fire Tex 5062",O304="Fire Tex 5090",O304="Fire Tex 5120"),'CALCULO PINTURA'!R305," ")</f>
        <v xml:space="preserve"> </v>
      </c>
      <c r="S304" s="164" t="str">
        <f>+IF(OR(O304="Fire Control",O304="Fire Tex 5062",O304="Fire Tex 5090",O304="Fire Tex 5120"),'CALCULO PINTURA'!S305," ")</f>
        <v xml:space="preserve"> </v>
      </c>
      <c r="T304" s="874" t="str">
        <f>+IF(OR(O304="Blaze Shield II",O304="Cafco 400",O304="Cafco 300"),'CALCULO MORTERO'!N310," ")</f>
        <v xml:space="preserve"> </v>
      </c>
      <c r="U304" s="875" t="str">
        <f>+IF(OR(O304="Blaze Shield II",O304="Cafco 400",O304="Cafco 300"),'CALCULO MORTERO'!O310," ")</f>
        <v xml:space="preserve"> </v>
      </c>
      <c r="V304" s="161" t="str" cm="1">
        <f t="array" ref="V304">_xlfn.IFS(O304="Blaze Shield II",'CALCULO MORTERO'!P305, O304="Cafco 400",'CALCULO MORTERO'!Q305,O304="Cafco 300",'CALCULO MORTERO'!S305, AND(OR(O304="Fire tex 5090", O304="Fire Tex 5062", O304="Fire Tex 5120", O304="Fire Control"),Q304&gt;0), "CERT.",TRUE,"-")</f>
        <v>-</v>
      </c>
      <c r="W304" s="167"/>
      <c r="X304" s="167"/>
    </row>
    <row r="305" spans="1:24" x14ac:dyDescent="0.2">
      <c r="A305" s="903"/>
      <c r="B305" s="904"/>
      <c r="C305" s="874"/>
      <c r="D305" s="874"/>
      <c r="E305" s="905"/>
      <c r="F305" s="905"/>
      <c r="G305" s="874"/>
      <c r="H305" s="874"/>
      <c r="I305" s="906"/>
      <c r="J305" s="162"/>
      <c r="K305" s="161"/>
      <c r="L305" s="161"/>
      <c r="M305" s="169"/>
      <c r="N305" s="163" t="str">
        <f t="shared" si="8"/>
        <v/>
      </c>
      <c r="O305" s="41"/>
      <c r="P305" s="41"/>
      <c r="Q305" s="161" t="str">
        <f>+IF(OR(O305="Fire Control",O305="Fire Tex 5062",O305="Fire Tex 5090",O305="Fire Tex 5120"),'CALCULO PINTURA'!P306," ")</f>
        <v xml:space="preserve"> </v>
      </c>
      <c r="R305" s="164" t="str">
        <f>+IF(OR(O305="Fire Control",O305="Fire Tex 5062",O305="Fire Tex 5090",O305="Fire Tex 5120"),'CALCULO PINTURA'!R306," ")</f>
        <v xml:space="preserve"> </v>
      </c>
      <c r="S305" s="164" t="str">
        <f>+IF(OR(O305="Fire Control",O305="Fire Tex 5062",O305="Fire Tex 5090",O305="Fire Tex 5120"),'CALCULO PINTURA'!S306," ")</f>
        <v xml:space="preserve"> </v>
      </c>
      <c r="T305" s="874" t="str">
        <f>+IF(OR(O305="Blaze Shield II",O305="Cafco 400",O305="Cafco 300"),'CALCULO MORTERO'!N311," ")</f>
        <v xml:space="preserve"> </v>
      </c>
      <c r="U305" s="875" t="str">
        <f>+IF(OR(O305="Blaze Shield II",O305="Cafco 400",O305="Cafco 300"),'CALCULO MORTERO'!O311," ")</f>
        <v xml:space="preserve"> </v>
      </c>
      <c r="V305" s="161" t="str" cm="1">
        <f t="array" ref="V305">_xlfn.IFS(O305="Blaze Shield II",'CALCULO MORTERO'!P306, O305="Cafco 400",'CALCULO MORTERO'!Q306,O305="Cafco 300",'CALCULO MORTERO'!S306, AND(OR(O305="Fire tex 5090", O305="Fire Tex 5062", O305="Fire Tex 5120", O305="Fire Control"),Q305&gt;0), "CERT.",TRUE,"-")</f>
        <v>-</v>
      </c>
      <c r="W305" s="167"/>
      <c r="X305" s="167"/>
    </row>
    <row r="306" spans="1:24" x14ac:dyDescent="0.2">
      <c r="A306" s="903"/>
      <c r="B306" s="904"/>
      <c r="C306" s="874"/>
      <c r="D306" s="874"/>
      <c r="E306" s="905"/>
      <c r="F306" s="905"/>
      <c r="G306" s="874"/>
      <c r="H306" s="874"/>
      <c r="I306" s="906"/>
      <c r="J306" s="162"/>
      <c r="K306" s="161"/>
      <c r="L306" s="161"/>
      <c r="M306" s="169"/>
      <c r="N306" s="163" t="str">
        <f t="shared" si="8"/>
        <v/>
      </c>
      <c r="O306" s="41"/>
      <c r="P306" s="41"/>
      <c r="Q306" s="161" t="str">
        <f>+IF(OR(O306="Fire Control",O306="Fire Tex 5062",O306="Fire Tex 5090",O306="Fire Tex 5120"),'CALCULO PINTURA'!P307," ")</f>
        <v xml:space="preserve"> </v>
      </c>
      <c r="R306" s="164" t="str">
        <f>+IF(OR(O306="Fire Control",O306="Fire Tex 5062",O306="Fire Tex 5090",O306="Fire Tex 5120"),'CALCULO PINTURA'!R307," ")</f>
        <v xml:space="preserve"> </v>
      </c>
      <c r="S306" s="164" t="str">
        <f>+IF(OR(O306="Fire Control",O306="Fire Tex 5062",O306="Fire Tex 5090",O306="Fire Tex 5120"),'CALCULO PINTURA'!S307," ")</f>
        <v xml:space="preserve"> </v>
      </c>
      <c r="T306" s="874" t="str">
        <f>+IF(OR(O306="Blaze Shield II",O306="Cafco 400",O306="Cafco 300"),'CALCULO MORTERO'!N312," ")</f>
        <v xml:space="preserve"> </v>
      </c>
      <c r="U306" s="875" t="str">
        <f>+IF(OR(O306="Blaze Shield II",O306="Cafco 400",O306="Cafco 300"),'CALCULO MORTERO'!O312," ")</f>
        <v xml:space="preserve"> </v>
      </c>
      <c r="V306" s="161" t="str" cm="1">
        <f t="array" ref="V306">_xlfn.IFS(O306="Blaze Shield II",'CALCULO MORTERO'!P307, O306="Cafco 400",'CALCULO MORTERO'!Q307,O306="Cafco 300",'CALCULO MORTERO'!S307, AND(OR(O306="Fire tex 5090", O306="Fire Tex 5062", O306="Fire Tex 5120", O306="Fire Control"),Q306&gt;0), "CERT.",TRUE,"-")</f>
        <v>-</v>
      </c>
      <c r="W306" s="167"/>
      <c r="X306" s="167"/>
    </row>
    <row r="307" spans="1:24" x14ac:dyDescent="0.2">
      <c r="A307" s="903"/>
      <c r="B307" s="904"/>
      <c r="C307" s="874"/>
      <c r="D307" s="874"/>
      <c r="E307" s="905"/>
      <c r="F307" s="905"/>
      <c r="G307" s="874"/>
      <c r="H307" s="874"/>
      <c r="I307" s="906"/>
      <c r="J307" s="162"/>
      <c r="K307" s="161"/>
      <c r="L307" s="161"/>
      <c r="M307" s="169"/>
      <c r="N307" s="163" t="str">
        <f t="shared" si="8"/>
        <v/>
      </c>
      <c r="O307" s="41"/>
      <c r="P307" s="41"/>
      <c r="Q307" s="161" t="str">
        <f>+IF(OR(O307="Fire Control",O307="Fire Tex 5062",O307="Fire Tex 5090",O307="Fire Tex 5120"),'CALCULO PINTURA'!P308," ")</f>
        <v xml:space="preserve"> </v>
      </c>
      <c r="R307" s="164" t="str">
        <f>+IF(OR(O307="Fire Control",O307="Fire Tex 5062",O307="Fire Tex 5090",O307="Fire Tex 5120"),'CALCULO PINTURA'!R308," ")</f>
        <v xml:space="preserve"> </v>
      </c>
      <c r="S307" s="164" t="str">
        <f>+IF(OR(O307="Fire Control",O307="Fire Tex 5062",O307="Fire Tex 5090",O307="Fire Tex 5120"),'CALCULO PINTURA'!S308," ")</f>
        <v xml:space="preserve"> </v>
      </c>
      <c r="T307" s="874" t="str">
        <f>+IF(OR(O307="Blaze Shield II",O307="Cafco 400",O307="Cafco 300"),'CALCULO MORTERO'!N313," ")</f>
        <v xml:space="preserve"> </v>
      </c>
      <c r="U307" s="875" t="str">
        <f>+IF(OR(O307="Blaze Shield II",O307="Cafco 400",O307="Cafco 300"),'CALCULO MORTERO'!O313," ")</f>
        <v xml:space="preserve"> </v>
      </c>
      <c r="V307" s="161" t="str" cm="1">
        <f t="array" ref="V307">_xlfn.IFS(O307="Blaze Shield II",'CALCULO MORTERO'!P308, O307="Cafco 400",'CALCULO MORTERO'!Q308,O307="Cafco 300",'CALCULO MORTERO'!S308, AND(OR(O307="Fire tex 5090", O307="Fire Tex 5062", O307="Fire Tex 5120", O307="Fire Control"),Q307&gt;0), "CERT.",TRUE,"-")</f>
        <v>-</v>
      </c>
      <c r="W307" s="167"/>
      <c r="X307" s="167"/>
    </row>
    <row r="308" spans="1:24" x14ac:dyDescent="0.2">
      <c r="A308" s="903"/>
      <c r="B308" s="904"/>
      <c r="C308" s="874"/>
      <c r="D308" s="874"/>
      <c r="E308" s="905"/>
      <c r="F308" s="905"/>
      <c r="G308" s="874"/>
      <c r="H308" s="874"/>
      <c r="I308" s="906"/>
      <c r="J308" s="162"/>
      <c r="K308" s="161"/>
      <c r="L308" s="161"/>
      <c r="M308" s="169"/>
      <c r="N308" s="163" t="str">
        <f t="shared" si="8"/>
        <v/>
      </c>
      <c r="O308" s="41"/>
      <c r="P308" s="41"/>
      <c r="Q308" s="161" t="str">
        <f>+IF(OR(O308="Fire Control",O308="Fire Tex 5062",O308="Fire Tex 5090",O308="Fire Tex 5120"),'CALCULO PINTURA'!P309," ")</f>
        <v xml:space="preserve"> </v>
      </c>
      <c r="R308" s="164" t="str">
        <f>+IF(OR(O308="Fire Control",O308="Fire Tex 5062",O308="Fire Tex 5090",O308="Fire Tex 5120"),'CALCULO PINTURA'!R309," ")</f>
        <v xml:space="preserve"> </v>
      </c>
      <c r="S308" s="164" t="str">
        <f>+IF(OR(O308="Fire Control",O308="Fire Tex 5062",O308="Fire Tex 5090",O308="Fire Tex 5120"),'CALCULO PINTURA'!S309," ")</f>
        <v xml:space="preserve"> </v>
      </c>
      <c r="T308" s="874" t="str">
        <f>+IF(OR(O308="Blaze Shield II",O308="Cafco 400",O308="Cafco 300"),'CALCULO MORTERO'!N314," ")</f>
        <v xml:space="preserve"> </v>
      </c>
      <c r="U308" s="875" t="str">
        <f>+IF(OR(O308="Blaze Shield II",O308="Cafco 400",O308="Cafco 300"),'CALCULO MORTERO'!O314," ")</f>
        <v xml:space="preserve"> </v>
      </c>
      <c r="V308" s="161" t="str" cm="1">
        <f t="array" ref="V308">_xlfn.IFS(O308="Blaze Shield II",'CALCULO MORTERO'!P309, O308="Cafco 400",'CALCULO MORTERO'!Q309,O308="Cafco 300",'CALCULO MORTERO'!S309, AND(OR(O308="Fire tex 5090", O308="Fire Tex 5062", O308="Fire Tex 5120", O308="Fire Control"),Q308&gt;0), "CERT.",TRUE,"-")</f>
        <v>-</v>
      </c>
      <c r="W308" s="167"/>
      <c r="X308" s="167"/>
    </row>
    <row r="309" spans="1:24" x14ac:dyDescent="0.2">
      <c r="A309" s="903"/>
      <c r="B309" s="904"/>
      <c r="C309" s="874"/>
      <c r="D309" s="874"/>
      <c r="E309" s="905"/>
      <c r="F309" s="905"/>
      <c r="G309" s="874"/>
      <c r="H309" s="874"/>
      <c r="I309" s="906"/>
      <c r="J309" s="162"/>
      <c r="K309" s="161"/>
      <c r="L309" s="161"/>
      <c r="M309" s="169"/>
      <c r="N309" s="163" t="str">
        <f t="shared" si="8"/>
        <v/>
      </c>
      <c r="O309" s="41"/>
      <c r="P309" s="41"/>
      <c r="Q309" s="161" t="str">
        <f>+IF(OR(O309="Fire Control",O309="Fire Tex 5062",O309="Fire Tex 5090",O309="Fire Tex 5120"),'CALCULO PINTURA'!P310," ")</f>
        <v xml:space="preserve"> </v>
      </c>
      <c r="R309" s="164" t="str">
        <f>+IF(OR(O309="Fire Control",O309="Fire Tex 5062",O309="Fire Tex 5090",O309="Fire Tex 5120"),'CALCULO PINTURA'!R310," ")</f>
        <v xml:space="preserve"> </v>
      </c>
      <c r="S309" s="164" t="str">
        <f>+IF(OR(O309="Fire Control",O309="Fire Tex 5062",O309="Fire Tex 5090",O309="Fire Tex 5120"),'CALCULO PINTURA'!S310," ")</f>
        <v xml:space="preserve"> </v>
      </c>
      <c r="T309" s="874" t="str">
        <f>+IF(OR(O309="Blaze Shield II",O309="Cafco 400",O309="Cafco 300"),'CALCULO MORTERO'!N315," ")</f>
        <v xml:space="preserve"> </v>
      </c>
      <c r="U309" s="875" t="str">
        <f>+IF(OR(O309="Blaze Shield II",O309="Cafco 400",O309="Cafco 300"),'CALCULO MORTERO'!O315," ")</f>
        <v xml:space="preserve"> </v>
      </c>
      <c r="V309" s="161" t="str" cm="1">
        <f t="array" ref="V309">_xlfn.IFS(O309="Blaze Shield II",'CALCULO MORTERO'!P310, O309="Cafco 400",'CALCULO MORTERO'!Q310,O309="Cafco 300",'CALCULO MORTERO'!S310, AND(OR(O309="Fire tex 5090", O309="Fire Tex 5062", O309="Fire Tex 5120", O309="Fire Control"),Q309&gt;0), "CERT.",TRUE,"-")</f>
        <v>-</v>
      </c>
      <c r="W309" s="167"/>
      <c r="X309" s="167"/>
    </row>
    <row r="310" spans="1:24" x14ac:dyDescent="0.2">
      <c r="A310" s="903"/>
      <c r="B310" s="907"/>
      <c r="C310" s="874"/>
      <c r="D310" s="874"/>
      <c r="E310" s="874"/>
      <c r="F310" s="905"/>
      <c r="G310" s="874"/>
      <c r="H310" s="874"/>
      <c r="I310" s="906"/>
      <c r="J310" s="162"/>
      <c r="K310" s="161"/>
      <c r="L310" s="161"/>
      <c r="M310" s="169"/>
      <c r="N310" s="163" t="str">
        <f t="shared" si="8"/>
        <v/>
      </c>
      <c r="O310" s="41"/>
      <c r="P310" s="41"/>
      <c r="Q310" s="161" t="str">
        <f>+IF(OR(O310="Fire Control",O310="Fire Tex 5062",O310="Fire Tex 5090",O310="Fire Tex 5120"),'CALCULO PINTURA'!P927," ")</f>
        <v xml:space="preserve"> </v>
      </c>
      <c r="R310" s="164" t="str">
        <f>+IF(OR(O310="Fire Control",O310="Fire Tex 5062",O310="Fire Tex 5090",O310="Fire Tex 5120"),'CALCULO PINTURA'!R927," ")</f>
        <v xml:space="preserve"> </v>
      </c>
      <c r="S310" s="164" t="str">
        <f>+IF(OR(O310="Fire Control",O310="Fire Tex 5062",O310="Fire Tex 5090",O310="Fire Tex 5120"),'CALCULO PINTURA'!S927," ")</f>
        <v xml:space="preserve"> </v>
      </c>
      <c r="T310" s="874" t="str">
        <f>+IF(OR(O310="Blaze Shield II",O310="Cafco 400",O310="Cafco 300"),'CALCULO MORTERO'!N932," ")</f>
        <v xml:space="preserve"> </v>
      </c>
      <c r="U310" s="875" t="str">
        <f>+IF(OR(O310="Blaze Shield II",O310="Cafco 400",O310="Cafco 300"),'CALCULO MORTERO'!O932," ")</f>
        <v xml:space="preserve"> </v>
      </c>
      <c r="V310" s="161" t="str" cm="1">
        <f t="array" ref="V310">_xlfn.IFS(O310="Blaze Shield II",'CALCULO MORTERO'!P311, O310="Cafco 400",'CALCULO MORTERO'!Q311,O310="Cafco 300",'CALCULO MORTERO'!S311, AND(OR(O310="Fire tex 5090", O310="Fire Tex 5062", O310="Fire Tex 5120", O310="Fire Control"),Q310&gt;0), "CERT.",TRUE,"-")</f>
        <v>-</v>
      </c>
      <c r="W310" s="167"/>
      <c r="X310" s="167"/>
    </row>
    <row r="311" spans="1:24" x14ac:dyDescent="0.2">
      <c r="A311" s="903"/>
      <c r="B311" s="907"/>
      <c r="C311" s="874"/>
      <c r="D311" s="874"/>
      <c r="E311" s="874"/>
      <c r="F311" s="905"/>
      <c r="G311" s="874"/>
      <c r="H311" s="874"/>
      <c r="I311" s="906"/>
      <c r="J311" s="162"/>
      <c r="K311" s="161"/>
      <c r="L311" s="161"/>
      <c r="M311" s="169"/>
      <c r="N311" s="163" t="str">
        <f t="shared" si="8"/>
        <v/>
      </c>
      <c r="O311" s="41"/>
      <c r="P311" s="41"/>
      <c r="Q311" s="161" t="str">
        <f>+IF(OR(O311="Fire Control",O311="Fire Tex 5062",O311="Fire Tex 5090",O311="Fire Tex 5120"),'CALCULO PINTURA'!P312," ")</f>
        <v xml:space="preserve"> </v>
      </c>
      <c r="R311" s="164" t="str">
        <f>+IF(OR(O311="Fire Control",O311="Fire Tex 5062",O311="Fire Tex 5090",O311="Fire Tex 5120"),'CALCULO PINTURA'!R312," ")</f>
        <v xml:space="preserve"> </v>
      </c>
      <c r="S311" s="164" t="str">
        <f>+IF(OR(O311="Fire Control",O311="Fire Tex 5062",O311="Fire Tex 5090",O311="Fire Tex 5120"),'CALCULO PINTURA'!S312," ")</f>
        <v xml:space="preserve"> </v>
      </c>
      <c r="T311" s="874" t="str">
        <f>+IF(OR(O311="Blaze Shield II",O311="Cafco 400",O311="Cafco 300"),'CALCULO MORTERO'!N317," ")</f>
        <v xml:space="preserve"> </v>
      </c>
      <c r="U311" s="875" t="str">
        <f>+IF(OR(O311="Blaze Shield II",O311="Cafco 400",O311="Cafco 300"),'CALCULO MORTERO'!O317," ")</f>
        <v xml:space="preserve"> </v>
      </c>
      <c r="V311" s="161" t="str" cm="1">
        <f t="array" ref="V311">_xlfn.IFS(O311="Blaze Shield II",'CALCULO MORTERO'!P312, O311="Cafco 400",'CALCULO MORTERO'!Q312,O311="Cafco 300",'CALCULO MORTERO'!S312, AND(OR(O311="Fire tex 5090", O311="Fire Tex 5062", O311="Fire Tex 5120", O311="Fire Control"),Q311&gt;0), "CERT.",TRUE,"-")</f>
        <v>-</v>
      </c>
      <c r="W311" s="167"/>
      <c r="X311" s="167"/>
    </row>
    <row r="312" spans="1:24" x14ac:dyDescent="0.2">
      <c r="A312" s="903"/>
      <c r="B312" s="907"/>
      <c r="C312" s="874"/>
      <c r="D312" s="874"/>
      <c r="E312" s="874"/>
      <c r="F312" s="905"/>
      <c r="G312" s="874"/>
      <c r="H312" s="874"/>
      <c r="I312" s="906"/>
      <c r="J312" s="162"/>
      <c r="K312" s="161"/>
      <c r="L312" s="161"/>
      <c r="M312" s="169"/>
      <c r="N312" s="163" t="str">
        <f t="shared" si="8"/>
        <v/>
      </c>
      <c r="O312" s="41"/>
      <c r="P312" s="41"/>
      <c r="Q312" s="161" t="str">
        <f>+IF(OR(O312="Fire Control",O312="Fire Tex 5062",O312="Fire Tex 5090",O312="Fire Tex 5120"),'CALCULO PINTURA'!P313," ")</f>
        <v xml:space="preserve"> </v>
      </c>
      <c r="R312" s="164" t="str">
        <f>+IF(OR(O312="Fire Control",O312="Fire Tex 5062",O312="Fire Tex 5090",O312="Fire Tex 5120"),'CALCULO PINTURA'!R313," ")</f>
        <v xml:space="preserve"> </v>
      </c>
      <c r="S312" s="164" t="str">
        <f>+IF(OR(O312="Fire Control",O312="Fire Tex 5062",O312="Fire Tex 5090",O312="Fire Tex 5120"),'CALCULO PINTURA'!S313," ")</f>
        <v xml:space="preserve"> </v>
      </c>
      <c r="T312" s="874" t="str">
        <f>+IF(OR(O312="Blaze Shield II",O312="Cafco 400",O312="Cafco 300"),'CALCULO MORTERO'!N318," ")</f>
        <v xml:space="preserve"> </v>
      </c>
      <c r="U312" s="875" t="str">
        <f>+IF(OR(O312="Blaze Shield II",O312="Cafco 400",O312="Cafco 300"),'CALCULO MORTERO'!O318," ")</f>
        <v xml:space="preserve"> </v>
      </c>
      <c r="V312" s="161" t="str" cm="1">
        <f t="array" ref="V312">_xlfn.IFS(O312="Blaze Shield II",'CALCULO MORTERO'!P313, O312="Cafco 400",'CALCULO MORTERO'!Q313,O312="Cafco 300",'CALCULO MORTERO'!S313, AND(OR(O312="Fire tex 5090", O312="Fire Tex 5062", O312="Fire Tex 5120", O312="Fire Control"),Q312&gt;0), "CERT.",TRUE,"-")</f>
        <v>-</v>
      </c>
      <c r="W312" s="167"/>
      <c r="X312" s="167"/>
    </row>
    <row r="313" spans="1:24" x14ac:dyDescent="0.2">
      <c r="A313" s="903"/>
      <c r="B313" s="907"/>
      <c r="C313" s="874"/>
      <c r="D313" s="874"/>
      <c r="E313" s="874"/>
      <c r="F313" s="905"/>
      <c r="G313" s="874"/>
      <c r="H313" s="874"/>
      <c r="I313" s="906"/>
      <c r="J313" s="162"/>
      <c r="K313" s="161"/>
      <c r="L313" s="161"/>
      <c r="M313" s="169"/>
      <c r="N313" s="163" t="str">
        <f t="shared" si="8"/>
        <v/>
      </c>
      <c r="O313" s="41"/>
      <c r="P313" s="41"/>
      <c r="Q313" s="161" t="str">
        <f>+IF(OR(O313="Fire Control",O313="Fire Tex 5062",O313="Fire Tex 5090",O313="Fire Tex 5120"),'CALCULO PINTURA'!P314," ")</f>
        <v xml:space="preserve"> </v>
      </c>
      <c r="R313" s="164" t="str">
        <f>+IF(OR(O313="Fire Control",O313="Fire Tex 5062",O313="Fire Tex 5090",O313="Fire Tex 5120"),'CALCULO PINTURA'!R314," ")</f>
        <v xml:space="preserve"> </v>
      </c>
      <c r="S313" s="164" t="str">
        <f>+IF(OR(O313="Fire Control",O313="Fire Tex 5062",O313="Fire Tex 5090",O313="Fire Tex 5120"),'CALCULO PINTURA'!S314," ")</f>
        <v xml:space="preserve"> </v>
      </c>
      <c r="T313" s="874" t="str">
        <f>+IF(OR(O313="Blaze Shield II",O313="Cafco 400",O313="Cafco 300"),'CALCULO MORTERO'!N319," ")</f>
        <v xml:space="preserve"> </v>
      </c>
      <c r="U313" s="875" t="str">
        <f>+IF(OR(O313="Blaze Shield II",O313="Cafco 400",O313="Cafco 300"),'CALCULO MORTERO'!O319," ")</f>
        <v xml:space="preserve"> </v>
      </c>
      <c r="V313" s="161" t="str" cm="1">
        <f t="array" ref="V313">_xlfn.IFS(O313="Blaze Shield II",'CALCULO MORTERO'!P314, O313="Cafco 400",'CALCULO MORTERO'!Q314,O313="Cafco 300",'CALCULO MORTERO'!S314, AND(OR(O313="Fire tex 5090", O313="Fire Tex 5062", O313="Fire Tex 5120", O313="Fire Control"),Q313&gt;0), "CERT.",TRUE,"-")</f>
        <v>-</v>
      </c>
      <c r="W313" s="167"/>
      <c r="X313" s="167"/>
    </row>
    <row r="314" spans="1:24" x14ac:dyDescent="0.2">
      <c r="A314" s="903"/>
      <c r="B314" s="907"/>
      <c r="C314" s="874"/>
      <c r="D314" s="874"/>
      <c r="E314" s="874"/>
      <c r="F314" s="905"/>
      <c r="G314" s="874"/>
      <c r="H314" s="874"/>
      <c r="I314" s="906"/>
      <c r="J314" s="162"/>
      <c r="K314" s="161"/>
      <c r="L314" s="161"/>
      <c r="M314" s="169"/>
      <c r="N314" s="163" t="str">
        <f t="shared" si="8"/>
        <v/>
      </c>
      <c r="O314" s="41"/>
      <c r="P314" s="41"/>
      <c r="Q314" s="161" t="str">
        <f>+IF(OR(O314="Fire Control",O314="Fire Tex 5062",O314="Fire Tex 5090",O314="Fire Tex 5120"),'CALCULO PINTURA'!P315," ")</f>
        <v xml:space="preserve"> </v>
      </c>
      <c r="R314" s="164" t="str">
        <f>+IF(OR(O314="Fire Control",O314="Fire Tex 5062",O314="Fire Tex 5090",O314="Fire Tex 5120"),'CALCULO PINTURA'!R315," ")</f>
        <v xml:space="preserve"> </v>
      </c>
      <c r="S314" s="164" t="str">
        <f>+IF(OR(O314="Fire Control",O314="Fire Tex 5062",O314="Fire Tex 5090",O314="Fire Tex 5120"),'CALCULO PINTURA'!S315," ")</f>
        <v xml:space="preserve"> </v>
      </c>
      <c r="T314" s="874" t="str">
        <f>+IF(OR(O314="Blaze Shield II",O314="Cafco 400",O314="Cafco 300"),'CALCULO MORTERO'!N320," ")</f>
        <v xml:space="preserve"> </v>
      </c>
      <c r="U314" s="875" t="str">
        <f>+IF(OR(O314="Blaze Shield II",O314="Cafco 400",O314="Cafco 300"),'CALCULO MORTERO'!O320," ")</f>
        <v xml:space="preserve"> </v>
      </c>
      <c r="V314" s="161" t="str" cm="1">
        <f t="array" ref="V314">_xlfn.IFS(O314="Blaze Shield II",'CALCULO MORTERO'!P315, O314="Cafco 400",'CALCULO MORTERO'!Q315,O314="Cafco 300",'CALCULO MORTERO'!S315, AND(OR(O314="Fire tex 5090", O314="Fire Tex 5062", O314="Fire Tex 5120", O314="Fire Control"),Q314&gt;0), "CERT.",TRUE,"-")</f>
        <v>-</v>
      </c>
      <c r="W314" s="167"/>
      <c r="X314" s="167"/>
    </row>
    <row r="315" spans="1:24" x14ac:dyDescent="0.2">
      <c r="A315" s="903"/>
      <c r="B315" s="907"/>
      <c r="C315" s="874"/>
      <c r="D315" s="874"/>
      <c r="E315" s="874"/>
      <c r="F315" s="905"/>
      <c r="G315" s="874"/>
      <c r="H315" s="874"/>
      <c r="I315" s="906"/>
      <c r="J315" s="162"/>
      <c r="K315" s="161"/>
      <c r="L315" s="161"/>
      <c r="M315" s="169"/>
      <c r="N315" s="163" t="str">
        <f t="shared" si="8"/>
        <v/>
      </c>
      <c r="O315" s="41"/>
      <c r="P315" s="41"/>
      <c r="Q315" s="161" t="str">
        <f>+IF(OR(O315="Fire Control",O315="Fire Tex 5062",O315="Fire Tex 5090",O315="Fire Tex 5120"),'CALCULO PINTURA'!P316," ")</f>
        <v xml:space="preserve"> </v>
      </c>
      <c r="R315" s="164" t="str">
        <f>+IF(OR(O315="Fire Control",O315="Fire Tex 5062",O315="Fire Tex 5090",O315="Fire Tex 5120"),'CALCULO PINTURA'!R316," ")</f>
        <v xml:space="preserve"> </v>
      </c>
      <c r="S315" s="164" t="str">
        <f>+IF(OR(O315="Fire Control",O315="Fire Tex 5062",O315="Fire Tex 5090",O315="Fire Tex 5120"),'CALCULO PINTURA'!S316," ")</f>
        <v xml:space="preserve"> </v>
      </c>
      <c r="T315" s="874" t="str">
        <f>+IF(OR(O315="Blaze Shield II",O315="Cafco 400",O315="Cafco 300"),'CALCULO MORTERO'!N321," ")</f>
        <v xml:space="preserve"> </v>
      </c>
      <c r="U315" s="875" t="str">
        <f>+IF(OR(O315="Blaze Shield II",O315="Cafco 400",O315="Cafco 300"),'CALCULO MORTERO'!O321," ")</f>
        <v xml:space="preserve"> </v>
      </c>
      <c r="V315" s="161" t="str" cm="1">
        <f t="array" ref="V315">_xlfn.IFS(O315="Blaze Shield II",'CALCULO MORTERO'!P316, O315="Cafco 400",'CALCULO MORTERO'!Q316,O315="Cafco 300",'CALCULO MORTERO'!S316, AND(OR(O315="Fire tex 5090", O315="Fire Tex 5062", O315="Fire Tex 5120", O315="Fire Control"),Q315&gt;0), "CERT.",TRUE,"-")</f>
        <v>-</v>
      </c>
      <c r="W315" s="167"/>
      <c r="X315" s="167"/>
    </row>
    <row r="316" spans="1:24" x14ac:dyDescent="0.2">
      <c r="A316" s="903"/>
      <c r="B316" s="907"/>
      <c r="C316" s="874"/>
      <c r="D316" s="874"/>
      <c r="E316" s="874"/>
      <c r="F316" s="905"/>
      <c r="G316" s="874"/>
      <c r="H316" s="874"/>
      <c r="I316" s="906"/>
      <c r="J316" s="162"/>
      <c r="K316" s="161"/>
      <c r="L316" s="161"/>
      <c r="M316" s="169"/>
      <c r="N316" s="163" t="str">
        <f t="shared" si="8"/>
        <v/>
      </c>
      <c r="O316" s="41"/>
      <c r="P316" s="41"/>
      <c r="Q316" s="161" t="str">
        <f>+IF(OR(O316="Fire Control",O316="Fire Tex 5062",O316="Fire Tex 5090",O316="Fire Tex 5120"),'CALCULO PINTURA'!P317," ")</f>
        <v xml:space="preserve"> </v>
      </c>
      <c r="R316" s="164" t="str">
        <f>+IF(OR(O316="Fire Control",O316="Fire Tex 5062",O316="Fire Tex 5090",O316="Fire Tex 5120"),'CALCULO PINTURA'!R317," ")</f>
        <v xml:space="preserve"> </v>
      </c>
      <c r="S316" s="164" t="str">
        <f>+IF(OR(O316="Fire Control",O316="Fire Tex 5062",O316="Fire Tex 5090",O316="Fire Tex 5120"),'CALCULO PINTURA'!S317," ")</f>
        <v xml:space="preserve"> </v>
      </c>
      <c r="T316" s="874" t="str">
        <f>+IF(OR(O316="Blaze Shield II",O316="Cafco 400",O316="Cafco 300"),'CALCULO MORTERO'!N322," ")</f>
        <v xml:space="preserve"> </v>
      </c>
      <c r="U316" s="875" t="str">
        <f>+IF(OR(O316="Blaze Shield II",O316="Cafco 400",O316="Cafco 300"),'CALCULO MORTERO'!O322," ")</f>
        <v xml:space="preserve"> </v>
      </c>
      <c r="V316" s="161" t="str" cm="1">
        <f t="array" ref="V316">_xlfn.IFS(O316="Blaze Shield II",'CALCULO MORTERO'!P317, O316="Cafco 400",'CALCULO MORTERO'!Q317,O316="Cafco 300",'CALCULO MORTERO'!S317, AND(OR(O316="Fire tex 5090", O316="Fire Tex 5062", O316="Fire Tex 5120", O316="Fire Control"),Q316&gt;0), "CERT.",TRUE,"-")</f>
        <v>-</v>
      </c>
      <c r="W316" s="167"/>
      <c r="X316" s="167"/>
    </row>
    <row r="317" spans="1:24" x14ac:dyDescent="0.2">
      <c r="A317" s="903"/>
      <c r="B317" s="907"/>
      <c r="C317" s="874"/>
      <c r="D317" s="874"/>
      <c r="E317" s="874"/>
      <c r="F317" s="905"/>
      <c r="G317" s="874"/>
      <c r="H317" s="874"/>
      <c r="I317" s="906"/>
      <c r="J317" s="162"/>
      <c r="K317" s="161"/>
      <c r="L317" s="161"/>
      <c r="M317" s="169"/>
      <c r="N317" s="163" t="str">
        <f t="shared" si="8"/>
        <v/>
      </c>
      <c r="O317" s="41"/>
      <c r="P317" s="41"/>
      <c r="Q317" s="161" t="str">
        <f>+IF(OR(O317="Fire Control",O317="Fire Tex 5062",O317="Fire Tex 5090",O317="Fire Tex 5120"),'CALCULO PINTURA'!P318," ")</f>
        <v xml:space="preserve"> </v>
      </c>
      <c r="R317" s="164" t="str">
        <f>+IF(OR(O317="Fire Control",O317="Fire Tex 5062",O317="Fire Tex 5090",O317="Fire Tex 5120"),'CALCULO PINTURA'!R318," ")</f>
        <v xml:space="preserve"> </v>
      </c>
      <c r="S317" s="164" t="str">
        <f>+IF(OR(O317="Fire Control",O317="Fire Tex 5062",O317="Fire Tex 5090",O317="Fire Tex 5120"),'CALCULO PINTURA'!S318," ")</f>
        <v xml:space="preserve"> </v>
      </c>
      <c r="T317" s="874" t="str">
        <f>+IF(OR(O317="Blaze Shield II",O317="Cafco 400",O317="Cafco 300"),'CALCULO MORTERO'!N323," ")</f>
        <v xml:space="preserve"> </v>
      </c>
      <c r="U317" s="875" t="str">
        <f>+IF(OR(O317="Blaze Shield II",O317="Cafco 400",O317="Cafco 300"),'CALCULO MORTERO'!O323," ")</f>
        <v xml:space="preserve"> </v>
      </c>
      <c r="V317" s="161" t="str" cm="1">
        <f t="array" ref="V317">_xlfn.IFS(O317="Blaze Shield II",'CALCULO MORTERO'!P318, O317="Cafco 400",'CALCULO MORTERO'!Q318,O317="Cafco 300",'CALCULO MORTERO'!S318, AND(OR(O317="Fire tex 5090", O317="Fire Tex 5062", O317="Fire Tex 5120", O317="Fire Control"),Q317&gt;0), "CERT.",TRUE,"-")</f>
        <v>-</v>
      </c>
      <c r="W317" s="167"/>
      <c r="X317" s="167"/>
    </row>
    <row r="318" spans="1:24" x14ac:dyDescent="0.2">
      <c r="A318" s="903"/>
      <c r="B318" s="907"/>
      <c r="C318" s="874"/>
      <c r="D318" s="874"/>
      <c r="E318" s="874"/>
      <c r="F318" s="905"/>
      <c r="G318" s="874"/>
      <c r="H318" s="874"/>
      <c r="I318" s="906"/>
      <c r="J318" s="162"/>
      <c r="K318" s="161"/>
      <c r="L318" s="161"/>
      <c r="M318" s="169"/>
      <c r="N318" s="163" t="str">
        <f t="shared" si="8"/>
        <v/>
      </c>
      <c r="O318" s="41"/>
      <c r="P318" s="41"/>
      <c r="Q318" s="161" t="str">
        <f>+IF(OR(O318="Fire Control",O318="Fire Tex 5062",O318="Fire Tex 5090",O318="Fire Tex 5120"),'CALCULO PINTURA'!P319," ")</f>
        <v xml:space="preserve"> </v>
      </c>
      <c r="R318" s="164" t="str">
        <f>+IF(OR(O318="Fire Control",O318="Fire Tex 5062",O318="Fire Tex 5090",O318="Fire Tex 5120"),'CALCULO PINTURA'!R319," ")</f>
        <v xml:space="preserve"> </v>
      </c>
      <c r="S318" s="164" t="str">
        <f>+IF(OR(O318="Fire Control",O318="Fire Tex 5062",O318="Fire Tex 5090",O318="Fire Tex 5120"),'CALCULO PINTURA'!S319," ")</f>
        <v xml:space="preserve"> </v>
      </c>
      <c r="T318" s="874" t="str">
        <f>+IF(OR(O318="Blaze Shield II",O318="Cafco 400",O318="Cafco 300"),'CALCULO MORTERO'!N324," ")</f>
        <v xml:space="preserve"> </v>
      </c>
      <c r="U318" s="875" t="str">
        <f>+IF(OR(O318="Blaze Shield II",O318="Cafco 400",O318="Cafco 300"),'CALCULO MORTERO'!O324," ")</f>
        <v xml:space="preserve"> </v>
      </c>
      <c r="V318" s="161" t="str" cm="1">
        <f t="array" ref="V318">_xlfn.IFS(O318="Blaze Shield II",'CALCULO MORTERO'!P319, O318="Cafco 400",'CALCULO MORTERO'!Q319,O318="Cafco 300",'CALCULO MORTERO'!S319, AND(OR(O318="Fire tex 5090", O318="Fire Tex 5062", O318="Fire Tex 5120", O318="Fire Control"),Q318&gt;0), "CERT.",TRUE,"-")</f>
        <v>-</v>
      </c>
      <c r="W318" s="167"/>
      <c r="X318" s="167"/>
    </row>
    <row r="319" spans="1:24" x14ac:dyDescent="0.2">
      <c r="A319" s="903"/>
      <c r="B319" s="907"/>
      <c r="C319" s="874"/>
      <c r="D319" s="874"/>
      <c r="E319" s="874"/>
      <c r="F319" s="905"/>
      <c r="G319" s="874"/>
      <c r="H319" s="874"/>
      <c r="I319" s="906"/>
      <c r="J319" s="162"/>
      <c r="K319" s="161"/>
      <c r="L319" s="161"/>
      <c r="M319" s="169"/>
      <c r="N319" s="163" t="str">
        <f t="shared" si="8"/>
        <v/>
      </c>
      <c r="O319" s="41"/>
      <c r="P319" s="41"/>
      <c r="Q319" s="161" t="str">
        <f>+IF(OR(O319="Fire Control",O319="Fire Tex 5062",O319="Fire Tex 5090",O319="Fire Tex 5120"),'CALCULO PINTURA'!P320," ")</f>
        <v xml:space="preserve"> </v>
      </c>
      <c r="R319" s="164" t="str">
        <f>+IF(OR(O319="Fire Control",O319="Fire Tex 5062",O319="Fire Tex 5090",O319="Fire Tex 5120"),'CALCULO PINTURA'!R320," ")</f>
        <v xml:space="preserve"> </v>
      </c>
      <c r="S319" s="164" t="str">
        <f>+IF(OR(O319="Fire Control",O319="Fire Tex 5062",O319="Fire Tex 5090",O319="Fire Tex 5120"),'CALCULO PINTURA'!S320," ")</f>
        <v xml:space="preserve"> </v>
      </c>
      <c r="T319" s="874" t="str">
        <f>+IF(OR(O319="Blaze Shield II",O319="Cafco 400",O319="Cafco 300"),'CALCULO MORTERO'!N325," ")</f>
        <v xml:space="preserve"> </v>
      </c>
      <c r="U319" s="875" t="str">
        <f>+IF(OR(O319="Blaze Shield II",O319="Cafco 400",O319="Cafco 300"),'CALCULO MORTERO'!O325," ")</f>
        <v xml:space="preserve"> </v>
      </c>
      <c r="V319" s="161" t="str" cm="1">
        <f t="array" ref="V319">_xlfn.IFS(O319="Blaze Shield II",'CALCULO MORTERO'!P320, O319="Cafco 400",'CALCULO MORTERO'!Q320,O319="Cafco 300",'CALCULO MORTERO'!S320, AND(OR(O319="Fire tex 5090", O319="Fire Tex 5062", O319="Fire Tex 5120", O319="Fire Control"),Q319&gt;0), "CERT.",TRUE,"-")</f>
        <v>-</v>
      </c>
      <c r="W319" s="167"/>
      <c r="X319" s="167"/>
    </row>
    <row r="320" spans="1:24" x14ac:dyDescent="0.2">
      <c r="A320" s="903"/>
      <c r="B320" s="907"/>
      <c r="C320" s="874"/>
      <c r="D320" s="874"/>
      <c r="E320" s="874"/>
      <c r="F320" s="905"/>
      <c r="G320" s="874"/>
      <c r="H320" s="874"/>
      <c r="I320" s="906"/>
      <c r="J320" s="162"/>
      <c r="K320" s="161"/>
      <c r="L320" s="161"/>
      <c r="M320" s="169"/>
      <c r="N320" s="163" t="str">
        <f t="shared" si="8"/>
        <v/>
      </c>
      <c r="O320" s="41"/>
      <c r="P320" s="41"/>
      <c r="Q320" s="161" t="str">
        <f>+IF(OR(O320="Fire Control",O320="Fire Tex 5062",O320="Fire Tex 5090",O320="Fire Tex 5120"),'CALCULO PINTURA'!P321," ")</f>
        <v xml:space="preserve"> </v>
      </c>
      <c r="R320" s="164" t="str">
        <f>+IF(OR(O320="Fire Control",O320="Fire Tex 5062",O320="Fire Tex 5090",O320="Fire Tex 5120"),'CALCULO PINTURA'!R321," ")</f>
        <v xml:space="preserve"> </v>
      </c>
      <c r="S320" s="164" t="str">
        <f>+IF(OR(O320="Fire Control",O320="Fire Tex 5062",O320="Fire Tex 5090",O320="Fire Tex 5120"),'CALCULO PINTURA'!S321," ")</f>
        <v xml:space="preserve"> </v>
      </c>
      <c r="T320" s="874" t="str">
        <f>+IF(OR(O320="Blaze Shield II",O320="Cafco 400",O320="Cafco 300"),'CALCULO MORTERO'!N326," ")</f>
        <v xml:space="preserve"> </v>
      </c>
      <c r="U320" s="875" t="str">
        <f>+IF(OR(O320="Blaze Shield II",O320="Cafco 400",O320="Cafco 300"),'CALCULO MORTERO'!O326," ")</f>
        <v xml:space="preserve"> </v>
      </c>
      <c r="V320" s="161" t="str" cm="1">
        <f t="array" ref="V320">_xlfn.IFS(O320="Blaze Shield II",'CALCULO MORTERO'!P321, O320="Cafco 400",'CALCULO MORTERO'!Q321,O320="Cafco 300",'CALCULO MORTERO'!S321, AND(OR(O320="Fire tex 5090", O320="Fire Tex 5062", O320="Fire Tex 5120", O320="Fire Control"),Q320&gt;0), "CERT.",TRUE,"-")</f>
        <v>-</v>
      </c>
      <c r="W320" s="167"/>
      <c r="X320" s="167"/>
    </row>
    <row r="321" spans="1:24" x14ac:dyDescent="0.2">
      <c r="A321" s="903"/>
      <c r="B321" s="907"/>
      <c r="C321" s="874"/>
      <c r="D321" s="874"/>
      <c r="E321" s="874"/>
      <c r="F321" s="905"/>
      <c r="G321" s="874"/>
      <c r="H321" s="874"/>
      <c r="I321" s="906"/>
      <c r="J321" s="162"/>
      <c r="K321" s="161"/>
      <c r="L321" s="161"/>
      <c r="M321" s="169"/>
      <c r="N321" s="163" t="str">
        <f t="shared" si="8"/>
        <v/>
      </c>
      <c r="O321" s="41"/>
      <c r="P321" s="41"/>
      <c r="Q321" s="161" t="str">
        <f>+IF(OR(O321="Fire Control",O321="Fire Tex 5062",O321="Fire Tex 5090",O321="Fire Tex 5120"),'CALCULO PINTURA'!P322," ")</f>
        <v xml:space="preserve"> </v>
      </c>
      <c r="R321" s="164" t="str">
        <f>+IF(OR(O321="Fire Control",O321="Fire Tex 5062",O321="Fire Tex 5090",O321="Fire Tex 5120"),'CALCULO PINTURA'!R322," ")</f>
        <v xml:space="preserve"> </v>
      </c>
      <c r="S321" s="164" t="str">
        <f>+IF(OR(O321="Fire Control",O321="Fire Tex 5062",O321="Fire Tex 5090",O321="Fire Tex 5120"),'CALCULO PINTURA'!S322," ")</f>
        <v xml:space="preserve"> </v>
      </c>
      <c r="T321" s="874" t="str">
        <f>+IF(OR(O321="Blaze Shield II",O321="Cafco 400",O321="Cafco 300"),'CALCULO MORTERO'!N327," ")</f>
        <v xml:space="preserve"> </v>
      </c>
      <c r="U321" s="875" t="str">
        <f>+IF(OR(O321="Blaze Shield II",O321="Cafco 400",O321="Cafco 300"),'CALCULO MORTERO'!O327," ")</f>
        <v xml:space="preserve"> </v>
      </c>
      <c r="V321" s="161" t="str" cm="1">
        <f t="array" ref="V321">_xlfn.IFS(O321="Blaze Shield II",'CALCULO MORTERO'!P322, O321="Cafco 400",'CALCULO MORTERO'!Q322,O321="Cafco 300",'CALCULO MORTERO'!S322, AND(OR(O321="Fire tex 5090", O321="Fire Tex 5062", O321="Fire Tex 5120", O321="Fire Control"),Q321&gt;0), "CERT.",TRUE,"-")</f>
        <v>-</v>
      </c>
      <c r="W321" s="167"/>
      <c r="X321" s="167"/>
    </row>
    <row r="322" spans="1:24" x14ac:dyDescent="0.2">
      <c r="A322" s="903"/>
      <c r="B322" s="907"/>
      <c r="C322" s="874"/>
      <c r="D322" s="874"/>
      <c r="E322" s="874"/>
      <c r="F322" s="905"/>
      <c r="G322" s="874"/>
      <c r="H322" s="874"/>
      <c r="I322" s="906"/>
      <c r="J322" s="162"/>
      <c r="K322" s="161"/>
      <c r="L322" s="161"/>
      <c r="M322" s="169"/>
      <c r="N322" s="163" t="str">
        <f t="shared" si="8"/>
        <v/>
      </c>
      <c r="O322" s="41"/>
      <c r="P322" s="41"/>
      <c r="Q322" s="161" t="str">
        <f>+IF(OR(O322="Fire Control",O322="Fire Tex 5062",O322="Fire Tex 5090",O322="Fire Tex 5120"),'CALCULO PINTURA'!P323," ")</f>
        <v xml:space="preserve"> </v>
      </c>
      <c r="R322" s="164" t="str">
        <f>+IF(OR(O322="Fire Control",O322="Fire Tex 5062",O322="Fire Tex 5090",O322="Fire Tex 5120"),'CALCULO PINTURA'!R323," ")</f>
        <v xml:space="preserve"> </v>
      </c>
      <c r="S322" s="164" t="str">
        <f>+IF(OR(O322="Fire Control",O322="Fire Tex 5062",O322="Fire Tex 5090",O322="Fire Tex 5120"),'CALCULO PINTURA'!S323," ")</f>
        <v xml:space="preserve"> </v>
      </c>
      <c r="T322" s="874" t="str">
        <f>+IF(OR(O322="Blaze Shield II",O322="Cafco 400",O322="Cafco 300"),'CALCULO MORTERO'!N328," ")</f>
        <v xml:space="preserve"> </v>
      </c>
      <c r="U322" s="875" t="str">
        <f>+IF(OR(O322="Blaze Shield II",O322="Cafco 400",O322="Cafco 300"),'CALCULO MORTERO'!O328," ")</f>
        <v xml:space="preserve"> </v>
      </c>
      <c r="V322" s="161" t="str" cm="1">
        <f t="array" ref="V322">_xlfn.IFS(O322="Blaze Shield II",'CALCULO MORTERO'!P323, O322="Cafco 400",'CALCULO MORTERO'!Q323,O322="Cafco 300",'CALCULO MORTERO'!S323, AND(OR(O322="Fire tex 5090", O322="Fire Tex 5062", O322="Fire Tex 5120", O322="Fire Control"),Q322&gt;0), "CERT.",TRUE,"-")</f>
        <v>-</v>
      </c>
      <c r="W322" s="167"/>
      <c r="X322" s="167"/>
    </row>
    <row r="323" spans="1:24" x14ac:dyDescent="0.2">
      <c r="A323" s="903"/>
      <c r="B323" s="907"/>
      <c r="C323" s="874"/>
      <c r="D323" s="874"/>
      <c r="E323" s="874"/>
      <c r="F323" s="905"/>
      <c r="G323" s="874"/>
      <c r="H323" s="874"/>
      <c r="I323" s="906"/>
      <c r="J323" s="162"/>
      <c r="K323" s="161"/>
      <c r="L323" s="161"/>
      <c r="M323" s="169"/>
      <c r="N323" s="163" t="str">
        <f t="shared" si="8"/>
        <v/>
      </c>
      <c r="O323" s="41"/>
      <c r="P323" s="41"/>
      <c r="Q323" s="161" t="str">
        <f>+IF(OR(O323="Fire Control",O323="Fire Tex 5062",O323="Fire Tex 5090",O323="Fire Tex 5120"),'CALCULO PINTURA'!P324," ")</f>
        <v xml:space="preserve"> </v>
      </c>
      <c r="R323" s="164" t="str">
        <f>+IF(OR(O323="Fire Control",O323="Fire Tex 5062",O323="Fire Tex 5090",O323="Fire Tex 5120"),'CALCULO PINTURA'!R324," ")</f>
        <v xml:space="preserve"> </v>
      </c>
      <c r="S323" s="164" t="str">
        <f>+IF(OR(O323="Fire Control",O323="Fire Tex 5062",O323="Fire Tex 5090",O323="Fire Tex 5120"),'CALCULO PINTURA'!S324," ")</f>
        <v xml:space="preserve"> </v>
      </c>
      <c r="T323" s="874" t="str">
        <f>+IF(OR(O323="Blaze Shield II",O323="Cafco 400",O323="Cafco 300"),'CALCULO MORTERO'!N329," ")</f>
        <v xml:space="preserve"> </v>
      </c>
      <c r="U323" s="875" t="str">
        <f>+IF(OR(O323="Blaze Shield II",O323="Cafco 400",O323="Cafco 300"),'CALCULO MORTERO'!O329," ")</f>
        <v xml:space="preserve"> </v>
      </c>
      <c r="V323" s="161" t="str" cm="1">
        <f t="array" ref="V323">_xlfn.IFS(O323="Blaze Shield II",'CALCULO MORTERO'!P324, O323="Cafco 400",'CALCULO MORTERO'!Q324,O323="Cafco 300",'CALCULO MORTERO'!S324, AND(OR(O323="Fire tex 5090", O323="Fire Tex 5062", O323="Fire Tex 5120", O323="Fire Control"),Q323&gt;0), "CERT.",TRUE,"-")</f>
        <v>-</v>
      </c>
      <c r="W323" s="167"/>
      <c r="X323" s="167"/>
    </row>
    <row r="324" spans="1:24" x14ac:dyDescent="0.2">
      <c r="A324" s="903"/>
      <c r="B324" s="907"/>
      <c r="C324" s="874"/>
      <c r="D324" s="874"/>
      <c r="E324" s="874"/>
      <c r="F324" s="905"/>
      <c r="G324" s="874"/>
      <c r="H324" s="874"/>
      <c r="I324" s="906"/>
      <c r="J324" s="162"/>
      <c r="K324" s="161"/>
      <c r="L324" s="161"/>
      <c r="M324" s="169"/>
      <c r="N324" s="163" t="str">
        <f t="shared" ref="N324:N387" si="9">+IF(F324="","",(K324*I324*H324*G324)/1000000)</f>
        <v/>
      </c>
      <c r="O324" s="41"/>
      <c r="P324" s="41"/>
      <c r="Q324" s="161" t="str">
        <f>+IF(OR(O324="Fire Control",O324="Fire Tex 5062",O324="Fire Tex 5090",O324="Fire Tex 5120"),'CALCULO PINTURA'!P325," ")</f>
        <v xml:space="preserve"> </v>
      </c>
      <c r="R324" s="164" t="str">
        <f>+IF(OR(O324="Fire Control",O324="Fire Tex 5062",O324="Fire Tex 5090",O324="Fire Tex 5120"),'CALCULO PINTURA'!R325," ")</f>
        <v xml:space="preserve"> </v>
      </c>
      <c r="S324" s="164" t="str">
        <f>+IF(OR(O324="Fire Control",O324="Fire Tex 5062",O324="Fire Tex 5090",O324="Fire Tex 5120"),'CALCULO PINTURA'!S325," ")</f>
        <v xml:space="preserve"> </v>
      </c>
      <c r="T324" s="874" t="str">
        <f>+IF(OR(O324="Blaze Shield II",O324="Cafco 400",O324="Cafco 300"),'CALCULO MORTERO'!N330," ")</f>
        <v xml:space="preserve"> </v>
      </c>
      <c r="U324" s="875" t="str">
        <f>+IF(OR(O324="Blaze Shield II",O324="Cafco 400",O324="Cafco 300"),'CALCULO MORTERO'!O330," ")</f>
        <v xml:space="preserve"> </v>
      </c>
      <c r="V324" s="161" t="str" cm="1">
        <f t="array" ref="V324">_xlfn.IFS(O324="Blaze Shield II",'CALCULO MORTERO'!P325, O324="Cafco 400",'CALCULO MORTERO'!Q325,O324="Cafco 300",'CALCULO MORTERO'!S325, AND(OR(O324="Fire tex 5090", O324="Fire Tex 5062", O324="Fire Tex 5120", O324="Fire Control"),Q324&gt;0), "CERT.",TRUE,"-")</f>
        <v>-</v>
      </c>
      <c r="W324" s="167"/>
      <c r="X324" s="167"/>
    </row>
    <row r="325" spans="1:24" x14ac:dyDescent="0.2">
      <c r="A325" s="903"/>
      <c r="B325" s="907"/>
      <c r="C325" s="874"/>
      <c r="D325" s="874"/>
      <c r="E325" s="874"/>
      <c r="F325" s="905"/>
      <c r="G325" s="874"/>
      <c r="H325" s="874"/>
      <c r="I325" s="906"/>
      <c r="J325" s="162"/>
      <c r="K325" s="161"/>
      <c r="L325" s="161"/>
      <c r="M325" s="169"/>
      <c r="N325" s="163" t="str">
        <f t="shared" si="9"/>
        <v/>
      </c>
      <c r="O325" s="41"/>
      <c r="P325" s="41"/>
      <c r="Q325" s="161" t="str">
        <f>+IF(OR(O325="Fire Control",O325="Fire Tex 5062",O325="Fire Tex 5090",O325="Fire Tex 5120"),'CALCULO PINTURA'!P326," ")</f>
        <v xml:space="preserve"> </v>
      </c>
      <c r="R325" s="164" t="str">
        <f>+IF(OR(O325="Fire Control",O325="Fire Tex 5062",O325="Fire Tex 5090",O325="Fire Tex 5120"),'CALCULO PINTURA'!R326," ")</f>
        <v xml:space="preserve"> </v>
      </c>
      <c r="S325" s="164" t="str">
        <f>+IF(OR(O325="Fire Control",O325="Fire Tex 5062",O325="Fire Tex 5090",O325="Fire Tex 5120"),'CALCULO PINTURA'!S326," ")</f>
        <v xml:space="preserve"> </v>
      </c>
      <c r="T325" s="874" t="str">
        <f>+IF(OR(O325="Blaze Shield II",O325="Cafco 400",O325="Cafco 300"),'CALCULO MORTERO'!N331," ")</f>
        <v xml:space="preserve"> </v>
      </c>
      <c r="U325" s="875" t="str">
        <f>+IF(OR(O325="Blaze Shield II",O325="Cafco 400",O325="Cafco 300"),'CALCULO MORTERO'!O331," ")</f>
        <v xml:space="preserve"> </v>
      </c>
      <c r="V325" s="161" t="str" cm="1">
        <f t="array" ref="V325">_xlfn.IFS(O325="Blaze Shield II",'CALCULO MORTERO'!P326, O325="Cafco 400",'CALCULO MORTERO'!Q326,O325="Cafco 300",'CALCULO MORTERO'!S326, AND(OR(O325="Fire tex 5090", O325="Fire Tex 5062", O325="Fire Tex 5120", O325="Fire Control"),Q325&gt;0), "CERT.",TRUE,"-")</f>
        <v>-</v>
      </c>
      <c r="W325" s="167"/>
      <c r="X325" s="167"/>
    </row>
    <row r="326" spans="1:24" x14ac:dyDescent="0.2">
      <c r="A326" s="903"/>
      <c r="B326" s="907"/>
      <c r="C326" s="874"/>
      <c r="D326" s="874"/>
      <c r="E326" s="874"/>
      <c r="F326" s="905"/>
      <c r="G326" s="874"/>
      <c r="H326" s="874"/>
      <c r="I326" s="906"/>
      <c r="J326" s="162"/>
      <c r="K326" s="161"/>
      <c r="L326" s="161"/>
      <c r="M326" s="169"/>
      <c r="N326" s="163" t="str">
        <f t="shared" si="9"/>
        <v/>
      </c>
      <c r="O326" s="41"/>
      <c r="P326" s="41"/>
      <c r="Q326" s="161" t="str">
        <f>+IF(OR(O326="Fire Control",O326="Fire Tex 5062",O326="Fire Tex 5090",O326="Fire Tex 5120"),'CALCULO PINTURA'!P327," ")</f>
        <v xml:space="preserve"> </v>
      </c>
      <c r="R326" s="164" t="str">
        <f>+IF(OR(O326="Fire Control",O326="Fire Tex 5062",O326="Fire Tex 5090",O326="Fire Tex 5120"),'CALCULO PINTURA'!R327," ")</f>
        <v xml:space="preserve"> </v>
      </c>
      <c r="S326" s="164" t="str">
        <f>+IF(OR(O326="Fire Control",O326="Fire Tex 5062",O326="Fire Tex 5090",O326="Fire Tex 5120"),'CALCULO PINTURA'!S327," ")</f>
        <v xml:space="preserve"> </v>
      </c>
      <c r="T326" s="874" t="str">
        <f>+IF(OR(O326="Blaze Shield II",O326="Cafco 400",O326="Cafco 300"),'CALCULO MORTERO'!N332," ")</f>
        <v xml:space="preserve"> </v>
      </c>
      <c r="U326" s="875" t="str">
        <f>+IF(OR(O326="Blaze Shield II",O326="Cafco 400",O326="Cafco 300"),'CALCULO MORTERO'!O332," ")</f>
        <v xml:space="preserve"> </v>
      </c>
      <c r="V326" s="161" t="str" cm="1">
        <f t="array" ref="V326">_xlfn.IFS(O326="Blaze Shield II",'CALCULO MORTERO'!P327, O326="Cafco 400",'CALCULO MORTERO'!Q327,O326="Cafco 300",'CALCULO MORTERO'!S327, AND(OR(O326="Fire tex 5090", O326="Fire Tex 5062", O326="Fire Tex 5120", O326="Fire Control"),Q326&gt;0), "CERT.",TRUE,"-")</f>
        <v>-</v>
      </c>
      <c r="W326" s="167"/>
      <c r="X326" s="167"/>
    </row>
    <row r="327" spans="1:24" x14ac:dyDescent="0.2">
      <c r="A327" s="903"/>
      <c r="B327" s="907"/>
      <c r="C327" s="874"/>
      <c r="D327" s="874"/>
      <c r="E327" s="874"/>
      <c r="F327" s="905"/>
      <c r="G327" s="874"/>
      <c r="H327" s="874"/>
      <c r="I327" s="906"/>
      <c r="J327" s="162"/>
      <c r="K327" s="161"/>
      <c r="L327" s="161"/>
      <c r="M327" s="169"/>
      <c r="N327" s="163" t="str">
        <f t="shared" si="9"/>
        <v/>
      </c>
      <c r="O327" s="41"/>
      <c r="P327" s="41"/>
      <c r="Q327" s="161" t="str">
        <f>+IF(OR(O327="Fire Control",O327="Fire Tex 5062",O327="Fire Tex 5090",O327="Fire Tex 5120"),'CALCULO PINTURA'!P328," ")</f>
        <v xml:space="preserve"> </v>
      </c>
      <c r="R327" s="164" t="str">
        <f>+IF(OR(O327="Fire Control",O327="Fire Tex 5062",O327="Fire Tex 5090",O327="Fire Tex 5120"),'CALCULO PINTURA'!R328," ")</f>
        <v xml:space="preserve"> </v>
      </c>
      <c r="S327" s="164" t="str">
        <f>+IF(OR(O327="Fire Control",O327="Fire Tex 5062",O327="Fire Tex 5090",O327="Fire Tex 5120"),'CALCULO PINTURA'!S328," ")</f>
        <v xml:space="preserve"> </v>
      </c>
      <c r="T327" s="874" t="str">
        <f>+IF(OR(O327="Blaze Shield II",O327="Cafco 400",O327="Cafco 300"),'CALCULO MORTERO'!N333," ")</f>
        <v xml:space="preserve"> </v>
      </c>
      <c r="U327" s="875" t="str">
        <f>+IF(OR(O327="Blaze Shield II",O327="Cafco 400",O327="Cafco 300"),'CALCULO MORTERO'!O333," ")</f>
        <v xml:space="preserve"> </v>
      </c>
      <c r="V327" s="161" t="str" cm="1">
        <f t="array" ref="V327">_xlfn.IFS(O327="Blaze Shield II",'CALCULO MORTERO'!P328, O327="Cafco 400",'CALCULO MORTERO'!Q328,O327="Cafco 300",'CALCULO MORTERO'!S328, AND(OR(O327="Fire tex 5090", O327="Fire Tex 5062", O327="Fire Tex 5120", O327="Fire Control"),Q327&gt;0), "CERT.",TRUE,"-")</f>
        <v>-</v>
      </c>
      <c r="W327" s="167"/>
      <c r="X327" s="167"/>
    </row>
    <row r="328" spans="1:24" x14ac:dyDescent="0.2">
      <c r="A328" s="903"/>
      <c r="B328" s="907"/>
      <c r="C328" s="874"/>
      <c r="D328" s="874"/>
      <c r="E328" s="874"/>
      <c r="F328" s="905"/>
      <c r="G328" s="874"/>
      <c r="H328" s="874"/>
      <c r="I328" s="906"/>
      <c r="J328" s="162"/>
      <c r="K328" s="161"/>
      <c r="L328" s="161"/>
      <c r="M328" s="169"/>
      <c r="N328" s="163" t="str">
        <f t="shared" si="9"/>
        <v/>
      </c>
      <c r="O328" s="41"/>
      <c r="P328" s="41"/>
      <c r="Q328" s="161" t="str">
        <f>+IF(OR(O328="Fire Control",O328="Fire Tex 5062",O328="Fire Tex 5090",O328="Fire Tex 5120"),'CALCULO PINTURA'!P329," ")</f>
        <v xml:space="preserve"> </v>
      </c>
      <c r="R328" s="164" t="str">
        <f>+IF(OR(O328="Fire Control",O328="Fire Tex 5062",O328="Fire Tex 5090",O328="Fire Tex 5120"),'CALCULO PINTURA'!R329," ")</f>
        <v xml:space="preserve"> </v>
      </c>
      <c r="S328" s="164" t="str">
        <f>+IF(OR(O328="Fire Control",O328="Fire Tex 5062",O328="Fire Tex 5090",O328="Fire Tex 5120"),'CALCULO PINTURA'!S329," ")</f>
        <v xml:space="preserve"> </v>
      </c>
      <c r="T328" s="874" t="str">
        <f>+IF(OR(O328="Blaze Shield II",O328="Cafco 400",O328="Cafco 300"),'CALCULO MORTERO'!N334," ")</f>
        <v xml:space="preserve"> </v>
      </c>
      <c r="U328" s="875" t="str">
        <f>+IF(OR(O328="Blaze Shield II",O328="Cafco 400",O328="Cafco 300"),'CALCULO MORTERO'!O334," ")</f>
        <v xml:space="preserve"> </v>
      </c>
      <c r="V328" s="161" t="str" cm="1">
        <f t="array" ref="V328">_xlfn.IFS(O328="Blaze Shield II",'CALCULO MORTERO'!P329, O328="Cafco 400",'CALCULO MORTERO'!Q329,O328="Cafco 300",'CALCULO MORTERO'!S329, AND(OR(O328="Fire tex 5090", O328="Fire Tex 5062", O328="Fire Tex 5120", O328="Fire Control"),Q328&gt;0), "CERT.",TRUE,"-")</f>
        <v>-</v>
      </c>
      <c r="W328" s="167"/>
      <c r="X328" s="167"/>
    </row>
    <row r="329" spans="1:24" x14ac:dyDescent="0.2">
      <c r="A329" s="903"/>
      <c r="B329" s="907"/>
      <c r="C329" s="874"/>
      <c r="D329" s="874"/>
      <c r="E329" s="874"/>
      <c r="F329" s="905"/>
      <c r="G329" s="874"/>
      <c r="H329" s="874"/>
      <c r="I329" s="906"/>
      <c r="J329" s="162"/>
      <c r="K329" s="161"/>
      <c r="L329" s="161"/>
      <c r="M329" s="169"/>
      <c r="N329" s="163" t="str">
        <f t="shared" si="9"/>
        <v/>
      </c>
      <c r="O329" s="41"/>
      <c r="P329" s="41"/>
      <c r="Q329" s="161" t="str">
        <f>+IF(OR(O329="Fire Control",O329="Fire Tex 5062",O329="Fire Tex 5090",O329="Fire Tex 5120"),'CALCULO PINTURA'!P330," ")</f>
        <v xml:space="preserve"> </v>
      </c>
      <c r="R329" s="164" t="str">
        <f>+IF(OR(O329="Fire Control",O329="Fire Tex 5062",O329="Fire Tex 5090",O329="Fire Tex 5120"),'CALCULO PINTURA'!R330," ")</f>
        <v xml:space="preserve"> </v>
      </c>
      <c r="S329" s="164" t="str">
        <f>+IF(OR(O329="Fire Control",O329="Fire Tex 5062",O329="Fire Tex 5090",O329="Fire Tex 5120"),'CALCULO PINTURA'!S330," ")</f>
        <v xml:space="preserve"> </v>
      </c>
      <c r="T329" s="874" t="str">
        <f>+IF(OR(O329="Blaze Shield II",O329="Cafco 400",O329="Cafco 300"),'CALCULO MORTERO'!N335," ")</f>
        <v xml:space="preserve"> </v>
      </c>
      <c r="U329" s="875" t="str">
        <f>+IF(OR(O329="Blaze Shield II",O329="Cafco 400",O329="Cafco 300"),'CALCULO MORTERO'!O335," ")</f>
        <v xml:space="preserve"> </v>
      </c>
      <c r="V329" s="161" t="str" cm="1">
        <f t="array" ref="V329">_xlfn.IFS(O329="Blaze Shield II",'CALCULO MORTERO'!P330, O329="Cafco 400",'CALCULO MORTERO'!Q330,O329="Cafco 300",'CALCULO MORTERO'!S330, AND(OR(O329="Fire tex 5090", O329="Fire Tex 5062", O329="Fire Tex 5120", O329="Fire Control"),Q329&gt;0), "CERT.",TRUE,"-")</f>
        <v>-</v>
      </c>
      <c r="W329" s="167"/>
      <c r="X329" s="167"/>
    </row>
    <row r="330" spans="1:24" x14ac:dyDescent="0.2">
      <c r="A330" s="903"/>
      <c r="B330" s="907"/>
      <c r="C330" s="874"/>
      <c r="D330" s="874"/>
      <c r="E330" s="874"/>
      <c r="F330" s="905"/>
      <c r="G330" s="874"/>
      <c r="H330" s="874"/>
      <c r="I330" s="906"/>
      <c r="J330" s="162"/>
      <c r="K330" s="161"/>
      <c r="L330" s="161"/>
      <c r="M330" s="169"/>
      <c r="N330" s="163" t="str">
        <f t="shared" si="9"/>
        <v/>
      </c>
      <c r="O330" s="41"/>
      <c r="P330" s="41"/>
      <c r="Q330" s="161" t="str">
        <f>+IF(OR(O330="Fire Control",O330="Fire Tex 5062",O330="Fire Tex 5090",O330="Fire Tex 5120"),'CALCULO PINTURA'!P331," ")</f>
        <v xml:space="preserve"> </v>
      </c>
      <c r="R330" s="164" t="str">
        <f>+IF(OR(O330="Fire Control",O330="Fire Tex 5062",O330="Fire Tex 5090",O330="Fire Tex 5120"),'CALCULO PINTURA'!R331," ")</f>
        <v xml:space="preserve"> </v>
      </c>
      <c r="S330" s="164" t="str">
        <f>+IF(OR(O330="Fire Control",O330="Fire Tex 5062",O330="Fire Tex 5090",O330="Fire Tex 5120"),'CALCULO PINTURA'!S331," ")</f>
        <v xml:space="preserve"> </v>
      </c>
      <c r="T330" s="874" t="str">
        <f>+IF(OR(O330="Blaze Shield II",O330="Cafco 400",O330="Cafco 300"),'CALCULO MORTERO'!N336," ")</f>
        <v xml:space="preserve"> </v>
      </c>
      <c r="U330" s="875" t="str">
        <f>+IF(OR(O330="Blaze Shield II",O330="Cafco 400",O330="Cafco 300"),'CALCULO MORTERO'!O336," ")</f>
        <v xml:space="preserve"> </v>
      </c>
      <c r="V330" s="161" t="str" cm="1">
        <f t="array" ref="V330">_xlfn.IFS(O330="Blaze Shield II",'CALCULO MORTERO'!P331, O330="Cafco 400",'CALCULO MORTERO'!Q331,O330="Cafco 300",'CALCULO MORTERO'!S331, AND(OR(O330="Fire tex 5090", O330="Fire Tex 5062", O330="Fire Tex 5120", O330="Fire Control"),Q330&gt;0), "CERT.",TRUE,"-")</f>
        <v>-</v>
      </c>
      <c r="W330" s="167"/>
      <c r="X330" s="167"/>
    </row>
    <row r="331" spans="1:24" x14ac:dyDescent="0.2">
      <c r="A331" s="903"/>
      <c r="B331" s="907"/>
      <c r="C331" s="874"/>
      <c r="D331" s="874"/>
      <c r="E331" s="874"/>
      <c r="F331" s="905"/>
      <c r="G331" s="874"/>
      <c r="H331" s="874"/>
      <c r="I331" s="906"/>
      <c r="J331" s="162"/>
      <c r="K331" s="161"/>
      <c r="L331" s="161"/>
      <c r="M331" s="169"/>
      <c r="N331" s="163" t="str">
        <f t="shared" si="9"/>
        <v/>
      </c>
      <c r="O331" s="41"/>
      <c r="P331" s="41"/>
      <c r="Q331" s="161" t="str">
        <f>+IF(OR(O331="Fire Control",O331="Fire Tex 5062",O331="Fire Tex 5090",O331="Fire Tex 5120"),'CALCULO PINTURA'!P332," ")</f>
        <v xml:space="preserve"> </v>
      </c>
      <c r="R331" s="164" t="str">
        <f>+IF(OR(O331="Fire Control",O331="Fire Tex 5062",O331="Fire Tex 5090",O331="Fire Tex 5120"),'CALCULO PINTURA'!R332," ")</f>
        <v xml:space="preserve"> </v>
      </c>
      <c r="S331" s="164" t="str">
        <f>+IF(OR(O331="Fire Control",O331="Fire Tex 5062",O331="Fire Tex 5090",O331="Fire Tex 5120"),'CALCULO PINTURA'!S332," ")</f>
        <v xml:space="preserve"> </v>
      </c>
      <c r="T331" s="874" t="str">
        <f>+IF(OR(O331="Blaze Shield II",O331="Cafco 400",O331="Cafco 300"),'CALCULO MORTERO'!N337," ")</f>
        <v xml:space="preserve"> </v>
      </c>
      <c r="U331" s="875" t="str">
        <f>+IF(OR(O331="Blaze Shield II",O331="Cafco 400",O331="Cafco 300"),'CALCULO MORTERO'!O337," ")</f>
        <v xml:space="preserve"> </v>
      </c>
      <c r="V331" s="161" t="str" cm="1">
        <f t="array" ref="V331">_xlfn.IFS(O331="Blaze Shield II",'CALCULO MORTERO'!P332, O331="Cafco 400",'CALCULO MORTERO'!Q332,O331="Cafco 300",'CALCULO MORTERO'!S332, AND(OR(O331="Fire tex 5090", O331="Fire Tex 5062", O331="Fire Tex 5120", O331="Fire Control"),Q331&gt;0), "CERT.",TRUE,"-")</f>
        <v>-</v>
      </c>
      <c r="W331" s="167"/>
      <c r="X331" s="167"/>
    </row>
    <row r="332" spans="1:24" x14ac:dyDescent="0.2">
      <c r="A332" s="903"/>
      <c r="B332" s="907"/>
      <c r="C332" s="874"/>
      <c r="D332" s="874"/>
      <c r="E332" s="874"/>
      <c r="F332" s="905"/>
      <c r="G332" s="874"/>
      <c r="H332" s="874"/>
      <c r="I332" s="906"/>
      <c r="J332" s="162"/>
      <c r="K332" s="161"/>
      <c r="L332" s="161"/>
      <c r="M332" s="169"/>
      <c r="N332" s="163" t="str">
        <f t="shared" si="9"/>
        <v/>
      </c>
      <c r="O332" s="41"/>
      <c r="P332" s="41"/>
      <c r="Q332" s="161" t="str">
        <f>+IF(OR(O332="Fire Control",O332="Fire Tex 5062",O332="Fire Tex 5090",O332="Fire Tex 5120"),'CALCULO PINTURA'!P333," ")</f>
        <v xml:space="preserve"> </v>
      </c>
      <c r="R332" s="164" t="str">
        <f>+IF(OR(O332="Fire Control",O332="Fire Tex 5062",O332="Fire Tex 5090",O332="Fire Tex 5120"),'CALCULO PINTURA'!R333," ")</f>
        <v xml:space="preserve"> </v>
      </c>
      <c r="S332" s="164" t="str">
        <f>+IF(OR(O332="Fire Control",O332="Fire Tex 5062",O332="Fire Tex 5090",O332="Fire Tex 5120"),'CALCULO PINTURA'!S333," ")</f>
        <v xml:space="preserve"> </v>
      </c>
      <c r="T332" s="874" t="str">
        <f>+IF(OR(O332="Blaze Shield II",O332="Cafco 400",O332="Cafco 300"),'CALCULO MORTERO'!N338," ")</f>
        <v xml:space="preserve"> </v>
      </c>
      <c r="U332" s="875" t="str">
        <f>+IF(OR(O332="Blaze Shield II",O332="Cafco 400",O332="Cafco 300"),'CALCULO MORTERO'!O338," ")</f>
        <v xml:space="preserve"> </v>
      </c>
      <c r="V332" s="161" t="str" cm="1">
        <f t="array" ref="V332">_xlfn.IFS(O332="Blaze Shield II",'CALCULO MORTERO'!P333, O332="Cafco 400",'CALCULO MORTERO'!Q333,O332="Cafco 300",'CALCULO MORTERO'!S333, AND(OR(O332="Fire tex 5090", O332="Fire Tex 5062", O332="Fire Tex 5120", O332="Fire Control"),Q332&gt;0), "CERT.",TRUE,"-")</f>
        <v>-</v>
      </c>
      <c r="W332" s="167"/>
      <c r="X332" s="167"/>
    </row>
    <row r="333" spans="1:24" x14ac:dyDescent="0.2">
      <c r="A333" s="903"/>
      <c r="B333" s="907"/>
      <c r="C333" s="874"/>
      <c r="D333" s="874"/>
      <c r="E333" s="874"/>
      <c r="F333" s="905"/>
      <c r="G333" s="874"/>
      <c r="H333" s="874"/>
      <c r="I333" s="906"/>
      <c r="J333" s="162"/>
      <c r="K333" s="161"/>
      <c r="L333" s="161"/>
      <c r="M333" s="169"/>
      <c r="N333" s="163" t="str">
        <f t="shared" si="9"/>
        <v/>
      </c>
      <c r="O333" s="41"/>
      <c r="P333" s="41"/>
      <c r="Q333" s="161" t="str">
        <f>+IF(OR(O333="Fire Control",O333="Fire Tex 5062",O333="Fire Tex 5090",O333="Fire Tex 5120"),'CALCULO PINTURA'!P334," ")</f>
        <v xml:space="preserve"> </v>
      </c>
      <c r="R333" s="164" t="str">
        <f>+IF(OR(O333="Fire Control",O333="Fire Tex 5062",O333="Fire Tex 5090",O333="Fire Tex 5120"),'CALCULO PINTURA'!R334," ")</f>
        <v xml:space="preserve"> </v>
      </c>
      <c r="S333" s="164" t="str">
        <f>+IF(OR(O333="Fire Control",O333="Fire Tex 5062",O333="Fire Tex 5090",O333="Fire Tex 5120"),'CALCULO PINTURA'!S334," ")</f>
        <v xml:space="preserve"> </v>
      </c>
      <c r="T333" s="874" t="str">
        <f>+IF(OR(O333="Blaze Shield II",O333="Cafco 400",O333="Cafco 300"),'CALCULO MORTERO'!N339," ")</f>
        <v xml:space="preserve"> </v>
      </c>
      <c r="U333" s="875" t="str">
        <f>+IF(OR(O333="Blaze Shield II",O333="Cafco 400",O333="Cafco 300"),'CALCULO MORTERO'!O339," ")</f>
        <v xml:space="preserve"> </v>
      </c>
      <c r="V333" s="161" t="str" cm="1">
        <f t="array" ref="V333">_xlfn.IFS(O333="Blaze Shield II",'CALCULO MORTERO'!P334, O333="Cafco 400",'CALCULO MORTERO'!Q334,O333="Cafco 300",'CALCULO MORTERO'!S334, AND(OR(O333="Fire tex 5090", O333="Fire Tex 5062", O333="Fire Tex 5120", O333="Fire Control"),Q333&gt;0), "CERT.",TRUE,"-")</f>
        <v>-</v>
      </c>
      <c r="W333" s="167"/>
      <c r="X333" s="167"/>
    </row>
    <row r="334" spans="1:24" x14ac:dyDescent="0.2">
      <c r="A334" s="903"/>
      <c r="B334" s="907"/>
      <c r="C334" s="874"/>
      <c r="D334" s="874"/>
      <c r="E334" s="874"/>
      <c r="F334" s="905"/>
      <c r="G334" s="874"/>
      <c r="H334" s="874"/>
      <c r="I334" s="906"/>
      <c r="J334" s="162"/>
      <c r="K334" s="161"/>
      <c r="L334" s="161"/>
      <c r="M334" s="877"/>
      <c r="N334" s="163" t="str">
        <f t="shared" si="9"/>
        <v/>
      </c>
      <c r="O334" s="41"/>
      <c r="P334" s="41"/>
      <c r="Q334" s="161" t="str">
        <f>+IF(OR(O334="Fire Control",O334="Fire Tex 5062",O334="Fire Tex 5090",O334="Fire Tex 5120"),'CALCULO PINTURA'!P335," ")</f>
        <v xml:space="preserve"> </v>
      </c>
      <c r="R334" s="164" t="str">
        <f>+IF(OR(O334="Fire Control",O334="Fire Tex 5062",O334="Fire Tex 5090",O334="Fire Tex 5120"),'CALCULO PINTURA'!R335," ")</f>
        <v xml:space="preserve"> </v>
      </c>
      <c r="S334" s="164" t="str">
        <f>+IF(OR(O334="Fire Control",O334="Fire Tex 5062",O334="Fire Tex 5090",O334="Fire Tex 5120"),'CALCULO PINTURA'!S335," ")</f>
        <v xml:space="preserve"> </v>
      </c>
      <c r="T334" s="874" t="str">
        <f>+IF(OR(O334="Blaze Shield II",O334="Cafco 400",O334="Cafco 300"),'CALCULO MORTERO'!N340," ")</f>
        <v xml:space="preserve"> </v>
      </c>
      <c r="U334" s="875" t="str">
        <f>+IF(OR(O334="Blaze Shield II",O334="Cafco 400",O334="Cafco 300"),'CALCULO MORTERO'!O340," ")</f>
        <v xml:space="preserve"> </v>
      </c>
      <c r="V334" s="161" t="str" cm="1">
        <f t="array" ref="V334">_xlfn.IFS(O334="Blaze Shield II",'CALCULO MORTERO'!P335, O334="Cafco 400",'CALCULO MORTERO'!Q335,O334="Cafco 300",'CALCULO MORTERO'!S335, AND(OR(O334="Fire tex 5090", O334="Fire Tex 5062", O334="Fire Tex 5120", O334="Fire Control"),Q334&gt;0), "CERT.",TRUE,"-")</f>
        <v>-</v>
      </c>
      <c r="W334" s="167"/>
      <c r="X334" s="167"/>
    </row>
    <row r="335" spans="1:24" x14ac:dyDescent="0.2">
      <c r="A335" s="903"/>
      <c r="B335" s="907"/>
      <c r="C335" s="874"/>
      <c r="D335" s="874"/>
      <c r="E335" s="874"/>
      <c r="F335" s="874"/>
      <c r="G335" s="874"/>
      <c r="H335" s="874"/>
      <c r="I335" s="906"/>
      <c r="J335" s="162"/>
      <c r="K335" s="161"/>
      <c r="L335" s="161"/>
      <c r="M335" s="877"/>
      <c r="N335" s="163" t="str">
        <f t="shared" si="9"/>
        <v/>
      </c>
      <c r="O335" s="41"/>
      <c r="P335" s="41"/>
      <c r="Q335" s="161" t="str">
        <f>+IF(OR(O335="Fire Control",O335="Fire Tex 5062",O335="Fire Tex 5090",O335="Fire Tex 5120"),'CALCULO PINTURA'!P336," ")</f>
        <v xml:space="preserve"> </v>
      </c>
      <c r="R335" s="164" t="str">
        <f>+IF(OR(O335="Fire Control",O335="Fire Tex 5062",O335="Fire Tex 5090",O335="Fire Tex 5120"),'CALCULO PINTURA'!R336," ")</f>
        <v xml:space="preserve"> </v>
      </c>
      <c r="S335" s="164" t="str">
        <f>+IF(OR(O335="Fire Control",O335="Fire Tex 5062",O335="Fire Tex 5090",O335="Fire Tex 5120"),'CALCULO PINTURA'!S336," ")</f>
        <v xml:space="preserve"> </v>
      </c>
      <c r="T335" s="874" t="str">
        <f>+IF(OR(O335="Blaze Shield II",O335="Cafco 400",O335="Cafco 300"),'CALCULO MORTERO'!N341," ")</f>
        <v xml:space="preserve"> </v>
      </c>
      <c r="U335" s="875" t="str">
        <f>+IF(OR(O335="Blaze Shield II",O335="Cafco 400",O335="Cafco 300"),'CALCULO MORTERO'!O341," ")</f>
        <v xml:space="preserve"> </v>
      </c>
      <c r="V335" s="161" t="str" cm="1">
        <f t="array" ref="V335">_xlfn.IFS(O335="Blaze Shield II",'CALCULO MORTERO'!P336, O335="Cafco 400",'CALCULO MORTERO'!Q336,O335="Cafco 300",'CALCULO MORTERO'!S336, AND(OR(O335="Fire tex 5090", O335="Fire Tex 5062", O335="Fire Tex 5120", O335="Fire Control"),Q335&gt;0), "CERT.",TRUE,"-")</f>
        <v>-</v>
      </c>
      <c r="W335" s="167"/>
      <c r="X335" s="167"/>
    </row>
    <row r="336" spans="1:24" x14ac:dyDescent="0.2">
      <c r="A336" s="903"/>
      <c r="B336" s="907"/>
      <c r="C336" s="874"/>
      <c r="D336" s="874"/>
      <c r="E336" s="874"/>
      <c r="F336" s="874"/>
      <c r="G336" s="874"/>
      <c r="H336" s="874"/>
      <c r="I336" s="906"/>
      <c r="J336" s="162"/>
      <c r="K336" s="161"/>
      <c r="L336" s="161"/>
      <c r="M336" s="877"/>
      <c r="N336" s="163" t="str">
        <f t="shared" si="9"/>
        <v/>
      </c>
      <c r="O336" s="41"/>
      <c r="P336" s="41"/>
      <c r="Q336" s="161" t="str">
        <f>+IF(OR(O336="Fire Control",O336="Fire Tex 5062",O336="Fire Tex 5090",O336="Fire Tex 5120"),'CALCULO PINTURA'!P337," ")</f>
        <v xml:space="preserve"> </v>
      </c>
      <c r="R336" s="164" t="str">
        <f>+IF(OR(O336="Fire Control",O336="Fire Tex 5062",O336="Fire Tex 5090",O336="Fire Tex 5120"),'CALCULO PINTURA'!R337," ")</f>
        <v xml:space="preserve"> </v>
      </c>
      <c r="S336" s="164" t="str">
        <f>+IF(OR(O336="Fire Control",O336="Fire Tex 5062",O336="Fire Tex 5090",O336="Fire Tex 5120"),'CALCULO PINTURA'!S337," ")</f>
        <v xml:space="preserve"> </v>
      </c>
      <c r="T336" s="874" t="str">
        <f>+IF(OR(O336="Blaze Shield II",O336="Cafco 400",O336="Cafco 300"),'CALCULO MORTERO'!N342," ")</f>
        <v xml:space="preserve"> </v>
      </c>
      <c r="U336" s="875" t="str">
        <f>+IF(OR(O336="Blaze Shield II",O336="Cafco 400",O336="Cafco 300"),'CALCULO MORTERO'!O342," ")</f>
        <v xml:space="preserve"> </v>
      </c>
      <c r="V336" s="161" t="str" cm="1">
        <f t="array" ref="V336">_xlfn.IFS(O336="Blaze Shield II",'CALCULO MORTERO'!P337, O336="Cafco 400",'CALCULO MORTERO'!Q337,O336="Cafco 300",'CALCULO MORTERO'!S337, AND(OR(O336="Fire tex 5090", O336="Fire Tex 5062", O336="Fire Tex 5120", O336="Fire Control"),Q336&gt;0), "CERT.",TRUE,"-")</f>
        <v>-</v>
      </c>
      <c r="W336" s="167"/>
      <c r="X336" s="167"/>
    </row>
    <row r="337" spans="1:24" x14ac:dyDescent="0.2">
      <c r="A337" s="903"/>
      <c r="B337" s="907"/>
      <c r="C337" s="874"/>
      <c r="D337" s="874"/>
      <c r="E337" s="874"/>
      <c r="F337" s="874"/>
      <c r="G337" s="874"/>
      <c r="H337" s="874"/>
      <c r="I337" s="906"/>
      <c r="J337" s="162"/>
      <c r="K337" s="161"/>
      <c r="L337" s="161"/>
      <c r="M337" s="877"/>
      <c r="N337" s="163" t="str">
        <f t="shared" si="9"/>
        <v/>
      </c>
      <c r="O337" s="41"/>
      <c r="P337" s="41"/>
      <c r="Q337" s="161" t="str">
        <f>+IF(OR(O337="Fire Control",O337="Fire Tex 5062",O337="Fire Tex 5090",O337="Fire Tex 5120"),'CALCULO PINTURA'!P338," ")</f>
        <v xml:space="preserve"> </v>
      </c>
      <c r="R337" s="164" t="str">
        <f>+IF(OR(O337="Fire Control",O337="Fire Tex 5062",O337="Fire Tex 5090",O337="Fire Tex 5120"),'CALCULO PINTURA'!R338," ")</f>
        <v xml:space="preserve"> </v>
      </c>
      <c r="S337" s="164" t="str">
        <f>+IF(OR(O337="Fire Control",O337="Fire Tex 5062",O337="Fire Tex 5090",O337="Fire Tex 5120"),'CALCULO PINTURA'!S338," ")</f>
        <v xml:space="preserve"> </v>
      </c>
      <c r="T337" s="874" t="str">
        <f>+IF(OR(O337="Blaze Shield II",O337="Cafco 400",O337="Cafco 300"),'CALCULO MORTERO'!N343," ")</f>
        <v xml:space="preserve"> </v>
      </c>
      <c r="U337" s="875" t="str">
        <f>+IF(OR(O337="Blaze Shield II",O337="Cafco 400",O337="Cafco 300"),'CALCULO MORTERO'!O343," ")</f>
        <v xml:space="preserve"> </v>
      </c>
      <c r="V337" s="161" t="str" cm="1">
        <f t="array" ref="V337">_xlfn.IFS(O337="Blaze Shield II",'CALCULO MORTERO'!P338, O337="Cafco 400",'CALCULO MORTERO'!Q338,O337="Cafco 300",'CALCULO MORTERO'!S338, AND(OR(O337="Fire tex 5090", O337="Fire Tex 5062", O337="Fire Tex 5120", O337="Fire Control"),Q337&gt;0), "CERT.",TRUE,"-")</f>
        <v>-</v>
      </c>
      <c r="W337" s="167"/>
      <c r="X337" s="167"/>
    </row>
    <row r="338" spans="1:24" x14ac:dyDescent="0.2">
      <c r="A338" s="903"/>
      <c r="B338" s="907"/>
      <c r="C338" s="874"/>
      <c r="D338" s="874"/>
      <c r="E338" s="874"/>
      <c r="F338" s="874"/>
      <c r="G338" s="874"/>
      <c r="H338" s="874"/>
      <c r="I338" s="906"/>
      <c r="J338" s="162"/>
      <c r="K338" s="161"/>
      <c r="L338" s="161"/>
      <c r="M338" s="877"/>
      <c r="N338" s="163" t="str">
        <f t="shared" si="9"/>
        <v/>
      </c>
      <c r="O338" s="41"/>
      <c r="P338" s="41"/>
      <c r="Q338" s="161" t="str">
        <f>+IF(OR(O338="Fire Control",O338="Fire Tex 5062",O338="Fire Tex 5090",O338="Fire Tex 5120"),'CALCULO PINTURA'!P339," ")</f>
        <v xml:space="preserve"> </v>
      </c>
      <c r="R338" s="164" t="str">
        <f>+IF(OR(O338="Fire Control",O338="Fire Tex 5062",O338="Fire Tex 5090",O338="Fire Tex 5120"),'CALCULO PINTURA'!R339," ")</f>
        <v xml:space="preserve"> </v>
      </c>
      <c r="S338" s="164" t="str">
        <f>+IF(OR(O338="Fire Control",O338="Fire Tex 5062",O338="Fire Tex 5090",O338="Fire Tex 5120"),'CALCULO PINTURA'!S339," ")</f>
        <v xml:space="preserve"> </v>
      </c>
      <c r="T338" s="874" t="str">
        <f>+IF(OR(O338="Blaze Shield II",O338="Cafco 400",O338="Cafco 300"),'CALCULO MORTERO'!N344," ")</f>
        <v xml:space="preserve"> </v>
      </c>
      <c r="U338" s="875" t="str">
        <f>+IF(OR(O338="Blaze Shield II",O338="Cafco 400",O338="Cafco 300"),'CALCULO MORTERO'!O344," ")</f>
        <v xml:space="preserve"> </v>
      </c>
      <c r="V338" s="161" t="str" cm="1">
        <f t="array" ref="V338">_xlfn.IFS(O338="Blaze Shield II",'CALCULO MORTERO'!P339, O338="Cafco 400",'CALCULO MORTERO'!Q339,O338="Cafco 300",'CALCULO MORTERO'!S339, AND(OR(O338="Fire tex 5090", O338="Fire Tex 5062", O338="Fire Tex 5120", O338="Fire Control"),Q338&gt;0), "CERT.",TRUE,"-")</f>
        <v>-</v>
      </c>
      <c r="W338" s="167"/>
      <c r="X338" s="167"/>
    </row>
    <row r="339" spans="1:24" x14ac:dyDescent="0.2">
      <c r="A339" s="903"/>
      <c r="B339" s="907"/>
      <c r="C339" s="874"/>
      <c r="D339" s="874"/>
      <c r="E339" s="874"/>
      <c r="F339" s="905"/>
      <c r="G339" s="874"/>
      <c r="H339" s="874"/>
      <c r="I339" s="906"/>
      <c r="J339" s="162"/>
      <c r="K339" s="161"/>
      <c r="L339" s="161"/>
      <c r="M339" s="877"/>
      <c r="N339" s="163" t="str">
        <f t="shared" si="9"/>
        <v/>
      </c>
      <c r="O339" s="41"/>
      <c r="P339" s="41"/>
      <c r="Q339" s="161" t="str">
        <f>+IF(OR(O339="Fire Control",O339="Fire Tex 5062",O339="Fire Tex 5090",O339="Fire Tex 5120"),'CALCULO PINTURA'!P340," ")</f>
        <v xml:space="preserve"> </v>
      </c>
      <c r="R339" s="164" t="str">
        <f>+IF(OR(O339="Fire Control",O339="Fire Tex 5062",O339="Fire Tex 5090",O339="Fire Tex 5120"),'CALCULO PINTURA'!R340," ")</f>
        <v xml:space="preserve"> </v>
      </c>
      <c r="S339" s="164" t="str">
        <f>+IF(OR(O339="Fire Control",O339="Fire Tex 5062",O339="Fire Tex 5090",O339="Fire Tex 5120"),'CALCULO PINTURA'!S340," ")</f>
        <v xml:space="preserve"> </v>
      </c>
      <c r="T339" s="874" t="str">
        <f>+IF(OR(O339="Blaze Shield II",O339="Cafco 400",O339="Cafco 300"),'CALCULO MORTERO'!N345," ")</f>
        <v xml:space="preserve"> </v>
      </c>
      <c r="U339" s="875" t="str">
        <f>+IF(OR(O339="Blaze Shield II",O339="Cafco 400",O339="Cafco 300"),'CALCULO MORTERO'!O345," ")</f>
        <v xml:space="preserve"> </v>
      </c>
      <c r="V339" s="161" t="str" cm="1">
        <f t="array" ref="V339">_xlfn.IFS(O339="Blaze Shield II",'CALCULO MORTERO'!P340, O339="Cafco 400",'CALCULO MORTERO'!Q340,O339="Cafco 300",'CALCULO MORTERO'!S340, AND(OR(O339="Fire tex 5090", O339="Fire Tex 5062", O339="Fire Tex 5120", O339="Fire Control"),Q339&gt;0), "CERT.",TRUE,"-")</f>
        <v>-</v>
      </c>
      <c r="W339" s="167"/>
      <c r="X339" s="167"/>
    </row>
    <row r="340" spans="1:24" x14ac:dyDescent="0.2">
      <c r="A340" s="903"/>
      <c r="B340" s="907"/>
      <c r="C340" s="874"/>
      <c r="D340" s="874"/>
      <c r="E340" s="874"/>
      <c r="F340" s="874"/>
      <c r="G340" s="874"/>
      <c r="H340" s="874"/>
      <c r="I340" s="906"/>
      <c r="J340" s="162"/>
      <c r="K340" s="161"/>
      <c r="L340" s="161"/>
      <c r="M340" s="877"/>
      <c r="N340" s="163" t="str">
        <f t="shared" si="9"/>
        <v/>
      </c>
      <c r="O340" s="41"/>
      <c r="P340" s="41"/>
      <c r="Q340" s="161" t="str">
        <f>+IF(OR(O340="Fire Control",O340="Fire Tex 5062",O340="Fire Tex 5090",O340="Fire Tex 5120"),'CALCULO PINTURA'!P341," ")</f>
        <v xml:space="preserve"> </v>
      </c>
      <c r="R340" s="164" t="str">
        <f>+IF(OR(O340="Fire Control",O340="Fire Tex 5062",O340="Fire Tex 5090",O340="Fire Tex 5120"),'CALCULO PINTURA'!R341," ")</f>
        <v xml:space="preserve"> </v>
      </c>
      <c r="S340" s="164" t="str">
        <f>+IF(OR(O340="Fire Control",O340="Fire Tex 5062",O340="Fire Tex 5090",O340="Fire Tex 5120"),'CALCULO PINTURA'!S341," ")</f>
        <v xml:space="preserve"> </v>
      </c>
      <c r="T340" s="874" t="str">
        <f>+IF(OR(O340="Blaze Shield II",O340="Cafco 400",O340="Cafco 300"),'CALCULO MORTERO'!N346," ")</f>
        <v xml:space="preserve"> </v>
      </c>
      <c r="U340" s="875" t="str">
        <f>+IF(OR(O340="Blaze Shield II",O340="Cafco 400",O340="Cafco 300"),'CALCULO MORTERO'!O346," ")</f>
        <v xml:space="preserve"> </v>
      </c>
      <c r="V340" s="161" t="str" cm="1">
        <f t="array" ref="V340">_xlfn.IFS(O340="Blaze Shield II",'CALCULO MORTERO'!P341, O340="Cafco 400",'CALCULO MORTERO'!Q341,O340="Cafco 300",'CALCULO MORTERO'!S341, AND(OR(O340="Fire tex 5090", O340="Fire Tex 5062", O340="Fire Tex 5120", O340="Fire Control"),Q340&gt;0), "CERT.",TRUE,"-")</f>
        <v>-</v>
      </c>
      <c r="W340" s="167"/>
      <c r="X340" s="167"/>
    </row>
    <row r="341" spans="1:24" x14ac:dyDescent="0.2">
      <c r="A341" s="903"/>
      <c r="B341" s="907"/>
      <c r="C341" s="874"/>
      <c r="D341" s="874"/>
      <c r="E341" s="874"/>
      <c r="F341" s="874"/>
      <c r="G341" s="874"/>
      <c r="H341" s="874"/>
      <c r="I341" s="906"/>
      <c r="J341" s="162"/>
      <c r="K341" s="161"/>
      <c r="L341" s="161"/>
      <c r="M341" s="169"/>
      <c r="N341" s="163" t="str">
        <f t="shared" si="9"/>
        <v/>
      </c>
      <c r="O341" s="41"/>
      <c r="P341" s="41"/>
      <c r="Q341" s="161" t="str">
        <f>+IF(OR(O341="Fire Control",O341="Fire Tex 5062",O341="Fire Tex 5090",O341="Fire Tex 5120"),'CALCULO PINTURA'!P342," ")</f>
        <v xml:space="preserve"> </v>
      </c>
      <c r="R341" s="164" t="str">
        <f>+IF(OR(O341="Fire Control",O341="Fire Tex 5062",O341="Fire Tex 5090",O341="Fire Tex 5120"),'CALCULO PINTURA'!R342," ")</f>
        <v xml:space="preserve"> </v>
      </c>
      <c r="S341" s="164" t="str">
        <f>+IF(OR(O341="Fire Control",O341="Fire Tex 5062",O341="Fire Tex 5090",O341="Fire Tex 5120"),'CALCULO PINTURA'!S342," ")</f>
        <v xml:space="preserve"> </v>
      </c>
      <c r="T341" s="874" t="str">
        <f>+IF(OR(O341="Blaze Shield II",O341="Cafco 400",O341="Cafco 300"),'CALCULO MORTERO'!N347," ")</f>
        <v xml:space="preserve"> </v>
      </c>
      <c r="U341" s="875" t="str">
        <f>+IF(OR(O341="Blaze Shield II",O341="Cafco 400",O341="Cafco 300"),'CALCULO MORTERO'!O347," ")</f>
        <v xml:space="preserve"> </v>
      </c>
      <c r="V341" s="161" t="str" cm="1">
        <f t="array" ref="V341">_xlfn.IFS(O341="Blaze Shield II",'CALCULO MORTERO'!P342, O341="Cafco 400",'CALCULO MORTERO'!Q342,O341="Cafco 300",'CALCULO MORTERO'!S342, AND(OR(O341="Fire tex 5090", O341="Fire Tex 5062", O341="Fire Tex 5120", O341="Fire Control"),Q341&gt;0), "CERT.",TRUE,"-")</f>
        <v>-</v>
      </c>
      <c r="W341" s="167"/>
      <c r="X341" s="167"/>
    </row>
    <row r="342" spans="1:24" x14ac:dyDescent="0.2">
      <c r="A342" s="903"/>
      <c r="B342" s="907"/>
      <c r="C342" s="874"/>
      <c r="D342" s="874"/>
      <c r="E342" s="874"/>
      <c r="F342" s="874"/>
      <c r="G342" s="874"/>
      <c r="H342" s="874"/>
      <c r="I342" s="906"/>
      <c r="J342" s="162"/>
      <c r="K342" s="161"/>
      <c r="L342" s="161"/>
      <c r="M342" s="169"/>
      <c r="N342" s="163" t="str">
        <f t="shared" si="9"/>
        <v/>
      </c>
      <c r="O342" s="41"/>
      <c r="P342" s="41"/>
      <c r="Q342" s="161" t="str">
        <f>+IF(OR(O342="Fire Control",O342="Fire Tex 5062",O342="Fire Tex 5090",O342="Fire Tex 5120"),'CALCULO PINTURA'!P343," ")</f>
        <v xml:space="preserve"> </v>
      </c>
      <c r="R342" s="164" t="str">
        <f>+IF(OR(O342="Fire Control",O342="Fire Tex 5062",O342="Fire Tex 5090",O342="Fire Tex 5120"),'CALCULO PINTURA'!R343," ")</f>
        <v xml:space="preserve"> </v>
      </c>
      <c r="S342" s="164" t="str">
        <f>+IF(OR(O342="Fire Control",O342="Fire Tex 5062",O342="Fire Tex 5090",O342="Fire Tex 5120"),'CALCULO PINTURA'!S343," ")</f>
        <v xml:space="preserve"> </v>
      </c>
      <c r="T342" s="874" t="str">
        <f>+IF(OR(O342="Blaze Shield II",O342="Cafco 400",O342="Cafco 300"),'CALCULO MORTERO'!N348," ")</f>
        <v xml:space="preserve"> </v>
      </c>
      <c r="U342" s="875" t="str">
        <f>+IF(OR(O342="Blaze Shield II",O342="Cafco 400",O342="Cafco 300"),'CALCULO MORTERO'!O348," ")</f>
        <v xml:space="preserve"> </v>
      </c>
      <c r="V342" s="161" t="str" cm="1">
        <f t="array" ref="V342">_xlfn.IFS(O342="Blaze Shield II",'CALCULO MORTERO'!P343, O342="Cafco 400",'CALCULO MORTERO'!Q343,O342="Cafco 300",'CALCULO MORTERO'!S343, AND(OR(O342="Fire tex 5090", O342="Fire Tex 5062", O342="Fire Tex 5120", O342="Fire Control"),Q342&gt;0), "CERT.",TRUE,"-")</f>
        <v>-</v>
      </c>
      <c r="W342" s="167"/>
      <c r="X342" s="167"/>
    </row>
    <row r="343" spans="1:24" x14ac:dyDescent="0.2">
      <c r="A343" s="903"/>
      <c r="B343" s="907"/>
      <c r="C343" s="874"/>
      <c r="D343" s="874"/>
      <c r="E343" s="874"/>
      <c r="F343" s="874"/>
      <c r="G343" s="874"/>
      <c r="H343" s="874"/>
      <c r="I343" s="906"/>
      <c r="J343" s="162"/>
      <c r="K343" s="161"/>
      <c r="L343" s="161"/>
      <c r="M343" s="877"/>
      <c r="N343" s="163" t="str">
        <f t="shared" si="9"/>
        <v/>
      </c>
      <c r="O343" s="41"/>
      <c r="P343" s="41"/>
      <c r="Q343" s="161" t="str">
        <f>+IF(OR(O343="Fire Control",O343="Fire Tex 5062",O343="Fire Tex 5090",O343="Fire Tex 5120"),'CALCULO PINTURA'!P344," ")</f>
        <v xml:space="preserve"> </v>
      </c>
      <c r="R343" s="164" t="str">
        <f>+IF(OR(O343="Fire Control",O343="Fire Tex 5062",O343="Fire Tex 5090",O343="Fire Tex 5120"),'CALCULO PINTURA'!R344," ")</f>
        <v xml:space="preserve"> </v>
      </c>
      <c r="S343" s="164" t="str">
        <f>+IF(OR(O343="Fire Control",O343="Fire Tex 5062",O343="Fire Tex 5090",O343="Fire Tex 5120"),'CALCULO PINTURA'!S344," ")</f>
        <v xml:space="preserve"> </v>
      </c>
      <c r="T343" s="874" t="str">
        <f>+IF(OR(O343="Blaze Shield II",O343="Cafco 400",O343="Cafco 300"),'CALCULO MORTERO'!N349," ")</f>
        <v xml:space="preserve"> </v>
      </c>
      <c r="U343" s="875" t="str">
        <f>+IF(OR(O343="Blaze Shield II",O343="Cafco 400",O343="Cafco 300"),'CALCULO MORTERO'!O349," ")</f>
        <v xml:space="preserve"> </v>
      </c>
      <c r="V343" s="161" t="str" cm="1">
        <f t="array" ref="V343">_xlfn.IFS(O343="Blaze Shield II",'CALCULO MORTERO'!P344, O343="Cafco 400",'CALCULO MORTERO'!Q344,O343="Cafco 300",'CALCULO MORTERO'!S344, AND(OR(O343="Fire tex 5090", O343="Fire Tex 5062", O343="Fire Tex 5120", O343="Fire Control"),Q343&gt;0), "CERT.",TRUE,"-")</f>
        <v>-</v>
      </c>
      <c r="W343" s="167"/>
      <c r="X343" s="167"/>
    </row>
    <row r="344" spans="1:24" x14ac:dyDescent="0.2">
      <c r="A344" s="903"/>
      <c r="B344" s="907"/>
      <c r="C344" s="874"/>
      <c r="D344" s="874"/>
      <c r="E344" s="874"/>
      <c r="F344" s="905"/>
      <c r="G344" s="874"/>
      <c r="H344" s="874"/>
      <c r="I344" s="906"/>
      <c r="J344" s="162"/>
      <c r="K344" s="161"/>
      <c r="L344" s="161"/>
      <c r="M344" s="877"/>
      <c r="N344" s="163" t="str">
        <f t="shared" si="9"/>
        <v/>
      </c>
      <c r="O344" s="41"/>
      <c r="P344" s="41"/>
      <c r="Q344" s="161" t="str">
        <f>+IF(OR(O344="Fire Control",O344="Fire Tex 5062",O344="Fire Tex 5090",O344="Fire Tex 5120"),'CALCULO PINTURA'!P345," ")</f>
        <v xml:space="preserve"> </v>
      </c>
      <c r="R344" s="164" t="str">
        <f>+IF(OR(O344="Fire Control",O344="Fire Tex 5062",O344="Fire Tex 5090",O344="Fire Tex 5120"),'CALCULO PINTURA'!R345," ")</f>
        <v xml:space="preserve"> </v>
      </c>
      <c r="S344" s="164" t="str">
        <f>+IF(OR(O344="Fire Control",O344="Fire Tex 5062",O344="Fire Tex 5090",O344="Fire Tex 5120"),'CALCULO PINTURA'!S345," ")</f>
        <v xml:space="preserve"> </v>
      </c>
      <c r="T344" s="874" t="str">
        <f>+IF(OR(O344="Blaze Shield II",O344="Cafco 400",O344="Cafco 300"),'CALCULO MORTERO'!N350," ")</f>
        <v xml:space="preserve"> </v>
      </c>
      <c r="U344" s="875" t="str">
        <f>+IF(OR(O344="Blaze Shield II",O344="Cafco 400",O344="Cafco 300"),'CALCULO MORTERO'!O350," ")</f>
        <v xml:space="preserve"> </v>
      </c>
      <c r="V344" s="161" t="str" cm="1">
        <f t="array" ref="V344">_xlfn.IFS(O344="Blaze Shield II",'CALCULO MORTERO'!P345, O344="Cafco 400",'CALCULO MORTERO'!Q345,O344="Cafco 300",'CALCULO MORTERO'!S345, AND(OR(O344="Fire tex 5090", O344="Fire Tex 5062", O344="Fire Tex 5120", O344="Fire Control"),Q344&gt;0), "CERT.",TRUE,"-")</f>
        <v>-</v>
      </c>
      <c r="W344" s="167"/>
      <c r="X344" s="167"/>
    </row>
    <row r="345" spans="1:24" x14ac:dyDescent="0.2">
      <c r="A345" s="903"/>
      <c r="B345" s="907"/>
      <c r="C345" s="874"/>
      <c r="D345" s="874"/>
      <c r="E345" s="874"/>
      <c r="F345" s="874"/>
      <c r="G345" s="874"/>
      <c r="H345" s="874"/>
      <c r="I345" s="906"/>
      <c r="J345" s="162"/>
      <c r="K345" s="161"/>
      <c r="L345" s="161"/>
      <c r="M345" s="169"/>
      <c r="N345" s="163" t="str">
        <f t="shared" si="9"/>
        <v/>
      </c>
      <c r="O345" s="41"/>
      <c r="P345" s="41"/>
      <c r="Q345" s="161" t="str">
        <f>+IF(OR(O345="Fire Control",O345="Fire Tex 5062",O345="Fire Tex 5090",O345="Fire Tex 5120"),'CALCULO PINTURA'!P346," ")</f>
        <v xml:space="preserve"> </v>
      </c>
      <c r="R345" s="164" t="str">
        <f>+IF(OR(O345="Fire Control",O345="Fire Tex 5062",O345="Fire Tex 5090",O345="Fire Tex 5120"),'CALCULO PINTURA'!R346," ")</f>
        <v xml:space="preserve"> </v>
      </c>
      <c r="S345" s="164" t="str">
        <f>+IF(OR(O345="Fire Control",O345="Fire Tex 5062",O345="Fire Tex 5090",O345="Fire Tex 5120"),'CALCULO PINTURA'!S346," ")</f>
        <v xml:space="preserve"> </v>
      </c>
      <c r="T345" s="874" t="str">
        <f>+IF(OR(O345="Blaze Shield II",O345="Cafco 400",O345="Cafco 300"),'CALCULO MORTERO'!N351," ")</f>
        <v xml:space="preserve"> </v>
      </c>
      <c r="U345" s="875" t="str">
        <f>+IF(OR(O345="Blaze Shield II",O345="Cafco 400",O345="Cafco 300"),'CALCULO MORTERO'!O351," ")</f>
        <v xml:space="preserve"> </v>
      </c>
      <c r="V345" s="161" t="str" cm="1">
        <f t="array" ref="V345">_xlfn.IFS(O345="Blaze Shield II",'CALCULO MORTERO'!P346, O345="Cafco 400",'CALCULO MORTERO'!Q346,O345="Cafco 300",'CALCULO MORTERO'!S346, AND(OR(O345="Fire tex 5090", O345="Fire Tex 5062", O345="Fire Tex 5120", O345="Fire Control"),Q345&gt;0), "CERT.",TRUE,"-")</f>
        <v>-</v>
      </c>
      <c r="W345" s="167"/>
      <c r="X345" s="167"/>
    </row>
    <row r="346" spans="1:24" x14ac:dyDescent="0.2">
      <c r="A346" s="903"/>
      <c r="B346" s="907"/>
      <c r="C346" s="874"/>
      <c r="D346" s="874"/>
      <c r="E346" s="874"/>
      <c r="F346" s="905"/>
      <c r="G346" s="874"/>
      <c r="H346" s="874"/>
      <c r="I346" s="906"/>
      <c r="J346" s="162"/>
      <c r="K346" s="161"/>
      <c r="L346" s="161"/>
      <c r="M346" s="877"/>
      <c r="N346" s="163" t="str">
        <f t="shared" si="9"/>
        <v/>
      </c>
      <c r="O346" s="41"/>
      <c r="P346" s="41"/>
      <c r="Q346" s="161" t="str">
        <f>+IF(OR(O346="Fire Control",O346="Fire Tex 5062",O346="Fire Tex 5090",O346="Fire Tex 5120"),'CALCULO PINTURA'!P347," ")</f>
        <v xml:space="preserve"> </v>
      </c>
      <c r="R346" s="164" t="str">
        <f>+IF(OR(O346="Fire Control",O346="Fire Tex 5062",O346="Fire Tex 5090",O346="Fire Tex 5120"),'CALCULO PINTURA'!R347," ")</f>
        <v xml:space="preserve"> </v>
      </c>
      <c r="S346" s="164" t="str">
        <f>+IF(OR(O346="Fire Control",O346="Fire Tex 5062",O346="Fire Tex 5090",O346="Fire Tex 5120"),'CALCULO PINTURA'!S347," ")</f>
        <v xml:space="preserve"> </v>
      </c>
      <c r="T346" s="874" t="str">
        <f>+IF(OR(O346="Blaze Shield II",O346="Cafco 400",O346="Cafco 300"),'CALCULO MORTERO'!N352," ")</f>
        <v xml:space="preserve"> </v>
      </c>
      <c r="U346" s="875" t="str">
        <f>+IF(OR(O346="Blaze Shield II",O346="Cafco 400",O346="Cafco 300"),'CALCULO MORTERO'!O352," ")</f>
        <v xml:space="preserve"> </v>
      </c>
      <c r="V346" s="161" t="str" cm="1">
        <f t="array" ref="V346">_xlfn.IFS(O346="Blaze Shield II",'CALCULO MORTERO'!P347, O346="Cafco 400",'CALCULO MORTERO'!Q347,O346="Cafco 300",'CALCULO MORTERO'!S347, AND(OR(O346="Fire tex 5090", O346="Fire Tex 5062", O346="Fire Tex 5120", O346="Fire Control"),Q346&gt;0), "CERT.",TRUE,"-")</f>
        <v>-</v>
      </c>
      <c r="W346" s="167"/>
      <c r="X346" s="167"/>
    </row>
    <row r="347" spans="1:24" x14ac:dyDescent="0.2">
      <c r="A347" s="903"/>
      <c r="B347" s="907"/>
      <c r="C347" s="874"/>
      <c r="D347" s="874"/>
      <c r="E347" s="874"/>
      <c r="F347" s="905"/>
      <c r="G347" s="874"/>
      <c r="H347" s="874"/>
      <c r="I347" s="906"/>
      <c r="J347" s="162"/>
      <c r="K347" s="161"/>
      <c r="L347" s="161"/>
      <c r="M347" s="877"/>
      <c r="N347" s="163" t="str">
        <f t="shared" si="9"/>
        <v/>
      </c>
      <c r="O347" s="41"/>
      <c r="P347" s="41"/>
      <c r="Q347" s="161" t="str">
        <f>+IF(OR(O347="Fire Control",O347="Fire Tex 5062",O347="Fire Tex 5090",O347="Fire Tex 5120"),'CALCULO PINTURA'!P348," ")</f>
        <v xml:space="preserve"> </v>
      </c>
      <c r="R347" s="164" t="str">
        <f>+IF(OR(O347="Fire Control",O347="Fire Tex 5062",O347="Fire Tex 5090",O347="Fire Tex 5120"),'CALCULO PINTURA'!R348," ")</f>
        <v xml:space="preserve"> </v>
      </c>
      <c r="S347" s="164" t="str">
        <f>+IF(OR(O347="Fire Control",O347="Fire Tex 5062",O347="Fire Tex 5090",O347="Fire Tex 5120"),'CALCULO PINTURA'!S348," ")</f>
        <v xml:space="preserve"> </v>
      </c>
      <c r="T347" s="874" t="str">
        <f>+IF(OR(O347="Blaze Shield II",O347="Cafco 400",O347="Cafco 300"),'CALCULO MORTERO'!N353," ")</f>
        <v xml:space="preserve"> </v>
      </c>
      <c r="U347" s="875" t="str">
        <f>+IF(OR(O347="Blaze Shield II",O347="Cafco 400",O347="Cafco 300"),'CALCULO MORTERO'!O353," ")</f>
        <v xml:space="preserve"> </v>
      </c>
      <c r="V347" s="161" t="str" cm="1">
        <f t="array" ref="V347">_xlfn.IFS(O347="Blaze Shield II",'CALCULO MORTERO'!P348, O347="Cafco 400",'CALCULO MORTERO'!Q348,O347="Cafco 300",'CALCULO MORTERO'!S348, AND(OR(O347="Fire tex 5090", O347="Fire Tex 5062", O347="Fire Tex 5120", O347="Fire Control"),Q347&gt;0), "CERT.",TRUE,"-")</f>
        <v>-</v>
      </c>
      <c r="W347" s="167"/>
      <c r="X347" s="167"/>
    </row>
    <row r="348" spans="1:24" x14ac:dyDescent="0.2">
      <c r="A348" s="903"/>
      <c r="B348" s="907"/>
      <c r="C348" s="874"/>
      <c r="D348" s="874"/>
      <c r="E348" s="874"/>
      <c r="F348" s="905"/>
      <c r="G348" s="874"/>
      <c r="H348" s="874"/>
      <c r="I348" s="906"/>
      <c r="J348" s="162"/>
      <c r="K348" s="161"/>
      <c r="L348" s="161"/>
      <c r="M348" s="169"/>
      <c r="N348" s="163" t="str">
        <f t="shared" si="9"/>
        <v/>
      </c>
      <c r="O348" s="41"/>
      <c r="P348" s="41"/>
      <c r="Q348" s="161" t="str">
        <f>+IF(OR(O348="Fire Control",O348="Fire Tex 5062",O348="Fire Tex 5090",O348="Fire Tex 5120"),'CALCULO PINTURA'!P349," ")</f>
        <v xml:space="preserve"> </v>
      </c>
      <c r="R348" s="164" t="str">
        <f>+IF(OR(O348="Fire Control",O348="Fire Tex 5062",O348="Fire Tex 5090",O348="Fire Tex 5120"),'CALCULO PINTURA'!R349," ")</f>
        <v xml:space="preserve"> </v>
      </c>
      <c r="S348" s="164" t="str">
        <f>+IF(OR(O348="Fire Control",O348="Fire Tex 5062",O348="Fire Tex 5090",O348="Fire Tex 5120"),'CALCULO PINTURA'!S349," ")</f>
        <v xml:space="preserve"> </v>
      </c>
      <c r="T348" s="874" t="str">
        <f>+IF(OR(O348="Blaze Shield II",O348="Cafco 400",O348="Cafco 300"),'CALCULO MORTERO'!N354," ")</f>
        <v xml:space="preserve"> </v>
      </c>
      <c r="U348" s="875" t="str">
        <f>+IF(OR(O348="Blaze Shield II",O348="Cafco 400",O348="Cafco 300"),'CALCULO MORTERO'!O354," ")</f>
        <v xml:space="preserve"> </v>
      </c>
      <c r="V348" s="161" t="str" cm="1">
        <f t="array" ref="V348">_xlfn.IFS(O348="Blaze Shield II",'CALCULO MORTERO'!P349, O348="Cafco 400",'CALCULO MORTERO'!Q349,O348="Cafco 300",'CALCULO MORTERO'!S349, AND(OR(O348="Fire tex 5090", O348="Fire Tex 5062", O348="Fire Tex 5120", O348="Fire Control"),Q348&gt;0), "CERT.",TRUE,"-")</f>
        <v>-</v>
      </c>
      <c r="W348" s="167"/>
      <c r="X348" s="167"/>
    </row>
    <row r="349" spans="1:24" x14ac:dyDescent="0.2">
      <c r="A349" s="903"/>
      <c r="B349" s="907"/>
      <c r="C349" s="874"/>
      <c r="D349" s="874"/>
      <c r="E349" s="874"/>
      <c r="F349" s="905"/>
      <c r="G349" s="874"/>
      <c r="H349" s="874"/>
      <c r="I349" s="906"/>
      <c r="J349" s="162"/>
      <c r="K349" s="161"/>
      <c r="L349" s="161"/>
      <c r="M349" s="169"/>
      <c r="N349" s="163" t="str">
        <f t="shared" si="9"/>
        <v/>
      </c>
      <c r="O349" s="41"/>
      <c r="P349" s="41"/>
      <c r="Q349" s="161" t="str">
        <f>+IF(OR(O349="Fire Control",O349="Fire Tex 5062",O349="Fire Tex 5090",O349="Fire Tex 5120"),'CALCULO PINTURA'!P350," ")</f>
        <v xml:space="preserve"> </v>
      </c>
      <c r="R349" s="164" t="str">
        <f>+IF(OR(O349="Fire Control",O349="Fire Tex 5062",O349="Fire Tex 5090",O349="Fire Tex 5120"),'CALCULO PINTURA'!R350," ")</f>
        <v xml:space="preserve"> </v>
      </c>
      <c r="S349" s="164" t="str">
        <f>+IF(OR(O349="Fire Control",O349="Fire Tex 5062",O349="Fire Tex 5090",O349="Fire Tex 5120"),'CALCULO PINTURA'!S350," ")</f>
        <v xml:space="preserve"> </v>
      </c>
      <c r="T349" s="874" t="str">
        <f>+IF(OR(O349="Blaze Shield II",O349="Cafco 400",O349="Cafco 300"),'CALCULO MORTERO'!N355," ")</f>
        <v xml:space="preserve"> </v>
      </c>
      <c r="U349" s="875" t="str">
        <f>+IF(OR(O349="Blaze Shield II",O349="Cafco 400",O349="Cafco 300"),'CALCULO MORTERO'!O355," ")</f>
        <v xml:space="preserve"> </v>
      </c>
      <c r="V349" s="161" t="str" cm="1">
        <f t="array" ref="V349">_xlfn.IFS(O349="Blaze Shield II",'CALCULO MORTERO'!P350, O349="Cafco 400",'CALCULO MORTERO'!Q350,O349="Cafco 300",'CALCULO MORTERO'!S350, AND(OR(O349="Fire tex 5090", O349="Fire Tex 5062", O349="Fire Tex 5120", O349="Fire Control"),Q349&gt;0), "CERT.",TRUE,"-")</f>
        <v>-</v>
      </c>
      <c r="W349" s="167"/>
      <c r="X349" s="167"/>
    </row>
    <row r="350" spans="1:24" x14ac:dyDescent="0.2">
      <c r="A350" s="903"/>
      <c r="B350" s="907"/>
      <c r="C350" s="874"/>
      <c r="D350" s="874"/>
      <c r="E350" s="874"/>
      <c r="F350" s="905"/>
      <c r="G350" s="874"/>
      <c r="H350" s="874"/>
      <c r="I350" s="906"/>
      <c r="J350" s="162"/>
      <c r="K350" s="161"/>
      <c r="L350" s="161"/>
      <c r="M350" s="169"/>
      <c r="N350" s="163" t="str">
        <f t="shared" si="9"/>
        <v/>
      </c>
      <c r="O350" s="41"/>
      <c r="P350" s="41"/>
      <c r="Q350" s="161" t="str">
        <f>+IF(OR(O350="Fire Control",O350="Fire Tex 5062",O350="Fire Tex 5090",O350="Fire Tex 5120"),'CALCULO PINTURA'!P351," ")</f>
        <v xml:space="preserve"> </v>
      </c>
      <c r="R350" s="164" t="str">
        <f>+IF(OR(O350="Fire Control",O350="Fire Tex 5062",O350="Fire Tex 5090",O350="Fire Tex 5120"),'CALCULO PINTURA'!R351," ")</f>
        <v xml:space="preserve"> </v>
      </c>
      <c r="S350" s="164" t="str">
        <f>+IF(OR(O350="Fire Control",O350="Fire Tex 5062",O350="Fire Tex 5090",O350="Fire Tex 5120"),'CALCULO PINTURA'!S351," ")</f>
        <v xml:space="preserve"> </v>
      </c>
      <c r="T350" s="874" t="str">
        <f>+IF(OR(O350="Blaze Shield II",O350="Cafco 400",O350="Cafco 300"),'CALCULO MORTERO'!N356," ")</f>
        <v xml:space="preserve"> </v>
      </c>
      <c r="U350" s="875" t="str">
        <f>+IF(OR(O350="Blaze Shield II",O350="Cafco 400",O350="Cafco 300"),'CALCULO MORTERO'!O356," ")</f>
        <v xml:space="preserve"> </v>
      </c>
      <c r="V350" s="161" t="str" cm="1">
        <f t="array" ref="V350">_xlfn.IFS(O350="Blaze Shield II",'CALCULO MORTERO'!P351, O350="Cafco 400",'CALCULO MORTERO'!Q351,O350="Cafco 300",'CALCULO MORTERO'!S351, AND(OR(O350="Fire tex 5090", O350="Fire Tex 5062", O350="Fire Tex 5120", O350="Fire Control"),Q350&gt;0), "CERT.",TRUE,"-")</f>
        <v>-</v>
      </c>
      <c r="W350" s="167"/>
      <c r="X350" s="167"/>
    </row>
    <row r="351" spans="1:24" x14ac:dyDescent="0.2">
      <c r="A351" s="903"/>
      <c r="B351" s="907"/>
      <c r="C351" s="874"/>
      <c r="D351" s="874"/>
      <c r="E351" s="874"/>
      <c r="F351" s="905"/>
      <c r="G351" s="874"/>
      <c r="H351" s="874"/>
      <c r="I351" s="906"/>
      <c r="J351" s="162"/>
      <c r="K351" s="161"/>
      <c r="L351" s="161"/>
      <c r="M351" s="169"/>
      <c r="N351" s="163" t="str">
        <f t="shared" si="9"/>
        <v/>
      </c>
      <c r="O351" s="41"/>
      <c r="P351" s="41"/>
      <c r="Q351" s="161" t="str">
        <f>+IF(OR(O351="Fire Control",O351="Fire Tex 5062",O351="Fire Tex 5090",O351="Fire Tex 5120"),'CALCULO PINTURA'!P352," ")</f>
        <v xml:space="preserve"> </v>
      </c>
      <c r="R351" s="164" t="str">
        <f>+IF(OR(O351="Fire Control",O351="Fire Tex 5062",O351="Fire Tex 5090",O351="Fire Tex 5120"),'CALCULO PINTURA'!R352," ")</f>
        <v xml:space="preserve"> </v>
      </c>
      <c r="S351" s="164" t="str">
        <f>+IF(OR(O351="Fire Control",O351="Fire Tex 5062",O351="Fire Tex 5090",O351="Fire Tex 5120"),'CALCULO PINTURA'!S352," ")</f>
        <v xml:space="preserve"> </v>
      </c>
      <c r="T351" s="874" t="str">
        <f>+IF(OR(O351="Blaze Shield II",O351="Cafco 400",O351="Cafco 300"),'CALCULO MORTERO'!N357," ")</f>
        <v xml:space="preserve"> </v>
      </c>
      <c r="U351" s="875" t="str">
        <f>+IF(OR(O351="Blaze Shield II",O351="Cafco 400",O351="Cafco 300"),'CALCULO MORTERO'!O357," ")</f>
        <v xml:space="preserve"> </v>
      </c>
      <c r="V351" s="161" t="str" cm="1">
        <f t="array" ref="V351">_xlfn.IFS(O351="Blaze Shield II",'CALCULO MORTERO'!P352, O351="Cafco 400",'CALCULO MORTERO'!Q352,O351="Cafco 300",'CALCULO MORTERO'!S352, AND(OR(O351="Fire tex 5090", O351="Fire Tex 5062", O351="Fire Tex 5120", O351="Fire Control"),Q351&gt;0), "CERT.",TRUE,"-")</f>
        <v>-</v>
      </c>
      <c r="W351" s="167"/>
      <c r="X351" s="167"/>
    </row>
    <row r="352" spans="1:24" x14ac:dyDescent="0.2">
      <c r="A352" s="903"/>
      <c r="B352" s="907"/>
      <c r="C352" s="874"/>
      <c r="D352" s="874"/>
      <c r="E352" s="874"/>
      <c r="F352" s="905"/>
      <c r="G352" s="874"/>
      <c r="H352" s="874"/>
      <c r="I352" s="906"/>
      <c r="J352" s="162"/>
      <c r="K352" s="161"/>
      <c r="L352" s="161"/>
      <c r="M352" s="169"/>
      <c r="N352" s="163" t="str">
        <f t="shared" si="9"/>
        <v/>
      </c>
      <c r="O352" s="41"/>
      <c r="P352" s="41"/>
      <c r="Q352" s="161" t="str">
        <f>+IF(OR(O352="Fire Control",O352="Fire Tex 5062",O352="Fire Tex 5090",O352="Fire Tex 5120"),'CALCULO PINTURA'!P353," ")</f>
        <v xml:space="preserve"> </v>
      </c>
      <c r="R352" s="164" t="str">
        <f>+IF(OR(O352="Fire Control",O352="Fire Tex 5062",O352="Fire Tex 5090",O352="Fire Tex 5120"),'CALCULO PINTURA'!R353," ")</f>
        <v xml:space="preserve"> </v>
      </c>
      <c r="S352" s="164" t="str">
        <f>+IF(OR(O352="Fire Control",O352="Fire Tex 5062",O352="Fire Tex 5090",O352="Fire Tex 5120"),'CALCULO PINTURA'!S353," ")</f>
        <v xml:space="preserve"> </v>
      </c>
      <c r="T352" s="874" t="str">
        <f>+IF(OR(O352="Blaze Shield II",O352="Cafco 400",O352="Cafco 300"),'CALCULO MORTERO'!N358," ")</f>
        <v xml:space="preserve"> </v>
      </c>
      <c r="U352" s="875" t="str">
        <f>+IF(OR(O352="Blaze Shield II",O352="Cafco 400",O352="Cafco 300"),'CALCULO MORTERO'!O358," ")</f>
        <v xml:space="preserve"> </v>
      </c>
      <c r="V352" s="161" t="str" cm="1">
        <f t="array" ref="V352">_xlfn.IFS(O352="Blaze Shield II",'CALCULO MORTERO'!P353, O352="Cafco 400",'CALCULO MORTERO'!Q353,O352="Cafco 300",'CALCULO MORTERO'!S353, AND(OR(O352="Fire tex 5090", O352="Fire Tex 5062", O352="Fire Tex 5120", O352="Fire Control"),Q352&gt;0), "CERT.",TRUE,"-")</f>
        <v>-</v>
      </c>
      <c r="W352" s="167"/>
      <c r="X352" s="167"/>
    </row>
    <row r="353" spans="1:24" x14ac:dyDescent="0.2">
      <c r="A353" s="903"/>
      <c r="B353" s="907"/>
      <c r="C353" s="874"/>
      <c r="D353" s="874"/>
      <c r="E353" s="874"/>
      <c r="F353" s="905"/>
      <c r="G353" s="874"/>
      <c r="H353" s="874"/>
      <c r="I353" s="906"/>
      <c r="J353" s="162"/>
      <c r="K353" s="161"/>
      <c r="L353" s="161"/>
      <c r="M353" s="169"/>
      <c r="N353" s="163" t="str">
        <f t="shared" si="9"/>
        <v/>
      </c>
      <c r="O353" s="41"/>
      <c r="P353" s="41"/>
      <c r="Q353" s="161" t="str">
        <f>+IF(OR(O353="Fire Control",O353="Fire Tex 5062",O353="Fire Tex 5090",O353="Fire Tex 5120"),'CALCULO PINTURA'!P354," ")</f>
        <v xml:space="preserve"> </v>
      </c>
      <c r="R353" s="164" t="str">
        <f>+IF(OR(O353="Fire Control",O353="Fire Tex 5062",O353="Fire Tex 5090",O353="Fire Tex 5120"),'CALCULO PINTURA'!R354," ")</f>
        <v xml:space="preserve"> </v>
      </c>
      <c r="S353" s="164" t="str">
        <f>+IF(OR(O353="Fire Control",O353="Fire Tex 5062",O353="Fire Tex 5090",O353="Fire Tex 5120"),'CALCULO PINTURA'!S354," ")</f>
        <v xml:space="preserve"> </v>
      </c>
      <c r="T353" s="874" t="str">
        <f>+IF(OR(O353="Blaze Shield II",O353="Cafco 400",O353="Cafco 300"),'CALCULO MORTERO'!N359," ")</f>
        <v xml:space="preserve"> </v>
      </c>
      <c r="U353" s="875" t="str">
        <f>+IF(OR(O353="Blaze Shield II",O353="Cafco 400",O353="Cafco 300"),'CALCULO MORTERO'!O359," ")</f>
        <v xml:space="preserve"> </v>
      </c>
      <c r="V353" s="161" t="str" cm="1">
        <f t="array" ref="V353">_xlfn.IFS(O353="Blaze Shield II",'CALCULO MORTERO'!P354, O353="Cafco 400",'CALCULO MORTERO'!Q354,O353="Cafco 300",'CALCULO MORTERO'!S354, AND(OR(O353="Fire tex 5090", O353="Fire Tex 5062", O353="Fire Tex 5120", O353="Fire Control"),Q353&gt;0), "CERT.",TRUE,"-")</f>
        <v>-</v>
      </c>
      <c r="W353" s="167"/>
      <c r="X353" s="167"/>
    </row>
    <row r="354" spans="1:24" x14ac:dyDescent="0.2">
      <c r="A354" s="903"/>
      <c r="B354" s="907"/>
      <c r="C354" s="874"/>
      <c r="D354" s="874"/>
      <c r="E354" s="874"/>
      <c r="F354" s="905"/>
      <c r="G354" s="874"/>
      <c r="H354" s="874"/>
      <c r="I354" s="906"/>
      <c r="J354" s="162"/>
      <c r="K354" s="161"/>
      <c r="L354" s="161"/>
      <c r="M354" s="169"/>
      <c r="N354" s="163" t="str">
        <f t="shared" si="9"/>
        <v/>
      </c>
      <c r="O354" s="41"/>
      <c r="P354" s="41"/>
      <c r="Q354" s="161" t="str">
        <f>+IF(OR(O354="Fire Control",O354="Fire Tex 5062",O354="Fire Tex 5090",O354="Fire Tex 5120"),'CALCULO PINTURA'!P355," ")</f>
        <v xml:space="preserve"> </v>
      </c>
      <c r="R354" s="164" t="str">
        <f>+IF(OR(O354="Fire Control",O354="Fire Tex 5062",O354="Fire Tex 5090",O354="Fire Tex 5120"),'CALCULO PINTURA'!R355," ")</f>
        <v xml:space="preserve"> </v>
      </c>
      <c r="S354" s="164" t="str">
        <f>+IF(OR(O354="Fire Control",O354="Fire Tex 5062",O354="Fire Tex 5090",O354="Fire Tex 5120"),'CALCULO PINTURA'!S355," ")</f>
        <v xml:space="preserve"> </v>
      </c>
      <c r="T354" s="874" t="str">
        <f>+IF(OR(O354="Blaze Shield II",O354="Cafco 400",O354="Cafco 300"),'CALCULO MORTERO'!N360," ")</f>
        <v xml:space="preserve"> </v>
      </c>
      <c r="U354" s="875" t="str">
        <f>+IF(OR(O354="Blaze Shield II",O354="Cafco 400",O354="Cafco 300"),'CALCULO MORTERO'!O360," ")</f>
        <v xml:space="preserve"> </v>
      </c>
      <c r="V354" s="161" t="str" cm="1">
        <f t="array" ref="V354">_xlfn.IFS(O354="Blaze Shield II",'CALCULO MORTERO'!P355, O354="Cafco 400",'CALCULO MORTERO'!Q355,O354="Cafco 300",'CALCULO MORTERO'!S355, AND(OR(O354="Fire tex 5090", O354="Fire Tex 5062", O354="Fire Tex 5120", O354="Fire Control"),Q354&gt;0), "CERT.",TRUE,"-")</f>
        <v>-</v>
      </c>
      <c r="W354" s="167"/>
      <c r="X354" s="167"/>
    </row>
    <row r="355" spans="1:24" x14ac:dyDescent="0.2">
      <c r="A355" s="903"/>
      <c r="B355" s="907"/>
      <c r="C355" s="874"/>
      <c r="D355" s="874"/>
      <c r="E355" s="874"/>
      <c r="F355" s="905"/>
      <c r="G355" s="874"/>
      <c r="H355" s="874"/>
      <c r="I355" s="906"/>
      <c r="J355" s="162"/>
      <c r="K355" s="161"/>
      <c r="L355" s="161"/>
      <c r="M355" s="169"/>
      <c r="N355" s="163" t="str">
        <f t="shared" si="9"/>
        <v/>
      </c>
      <c r="O355" s="41"/>
      <c r="P355" s="41"/>
      <c r="Q355" s="161" t="str">
        <f>+IF(OR(O355="Fire Control",O355="Fire Tex 5062",O355="Fire Tex 5090",O355="Fire Tex 5120"),'CALCULO PINTURA'!P356," ")</f>
        <v xml:space="preserve"> </v>
      </c>
      <c r="R355" s="164" t="str">
        <f>+IF(OR(O355="Fire Control",O355="Fire Tex 5062",O355="Fire Tex 5090",O355="Fire Tex 5120"),'CALCULO PINTURA'!R356," ")</f>
        <v xml:space="preserve"> </v>
      </c>
      <c r="S355" s="164" t="str">
        <f>+IF(OR(O355="Fire Control",O355="Fire Tex 5062",O355="Fire Tex 5090",O355="Fire Tex 5120"),'CALCULO PINTURA'!S356," ")</f>
        <v xml:space="preserve"> </v>
      </c>
      <c r="T355" s="874" t="str">
        <f>+IF(OR(O355="Blaze Shield II",O355="Cafco 400",O355="Cafco 300"),'CALCULO MORTERO'!N361," ")</f>
        <v xml:space="preserve"> </v>
      </c>
      <c r="U355" s="875" t="str">
        <f>+IF(OR(O355="Blaze Shield II",O355="Cafco 400",O355="Cafco 300"),'CALCULO MORTERO'!O361," ")</f>
        <v xml:space="preserve"> </v>
      </c>
      <c r="V355" s="161" t="str" cm="1">
        <f t="array" ref="V355">_xlfn.IFS(O355="Blaze Shield II",'CALCULO MORTERO'!P356, O355="Cafco 400",'CALCULO MORTERO'!Q356,O355="Cafco 300",'CALCULO MORTERO'!S356, AND(OR(O355="Fire tex 5090", O355="Fire Tex 5062", O355="Fire Tex 5120", O355="Fire Control"),Q355&gt;0), "CERT.",TRUE,"-")</f>
        <v>-</v>
      </c>
      <c r="W355" s="167"/>
      <c r="X355" s="167"/>
    </row>
    <row r="356" spans="1:24" x14ac:dyDescent="0.2">
      <c r="A356" s="903"/>
      <c r="B356" s="907"/>
      <c r="C356" s="874"/>
      <c r="D356" s="874"/>
      <c r="E356" s="874"/>
      <c r="F356" s="905"/>
      <c r="G356" s="874"/>
      <c r="H356" s="874"/>
      <c r="I356" s="906"/>
      <c r="J356" s="162"/>
      <c r="K356" s="161"/>
      <c r="L356" s="161"/>
      <c r="M356" s="169"/>
      <c r="N356" s="163" t="str">
        <f t="shared" si="9"/>
        <v/>
      </c>
      <c r="O356" s="41"/>
      <c r="P356" s="41"/>
      <c r="Q356" s="161" t="str">
        <f>+IF(OR(O356="Fire Control",O356="Fire Tex 5062",O356="Fire Tex 5090",O356="Fire Tex 5120"),'CALCULO PINTURA'!P357," ")</f>
        <v xml:space="preserve"> </v>
      </c>
      <c r="R356" s="164" t="str">
        <f>+IF(OR(O356="Fire Control",O356="Fire Tex 5062",O356="Fire Tex 5090",O356="Fire Tex 5120"),'CALCULO PINTURA'!R357," ")</f>
        <v xml:space="preserve"> </v>
      </c>
      <c r="S356" s="164" t="str">
        <f>+IF(OR(O356="Fire Control",O356="Fire Tex 5062",O356="Fire Tex 5090",O356="Fire Tex 5120"),'CALCULO PINTURA'!S357," ")</f>
        <v xml:space="preserve"> </v>
      </c>
      <c r="T356" s="874" t="str">
        <f>+IF(OR(O356="Blaze Shield II",O356="Cafco 400",O356="Cafco 300"),'CALCULO MORTERO'!N362," ")</f>
        <v xml:space="preserve"> </v>
      </c>
      <c r="U356" s="875" t="str">
        <f>+IF(OR(O356="Blaze Shield II",O356="Cafco 400",O356="Cafco 300"),'CALCULO MORTERO'!O362," ")</f>
        <v xml:space="preserve"> </v>
      </c>
      <c r="V356" s="161" t="str" cm="1">
        <f t="array" ref="V356">_xlfn.IFS(O356="Blaze Shield II",'CALCULO MORTERO'!P357, O356="Cafco 400",'CALCULO MORTERO'!Q357,O356="Cafco 300",'CALCULO MORTERO'!S357, AND(OR(O356="Fire tex 5090", O356="Fire Tex 5062", O356="Fire Tex 5120", O356="Fire Control"),Q356&gt;0), "CERT.",TRUE,"-")</f>
        <v>-</v>
      </c>
      <c r="W356" s="167"/>
      <c r="X356" s="167"/>
    </row>
    <row r="357" spans="1:24" x14ac:dyDescent="0.2">
      <c r="A357" s="903"/>
      <c r="B357" s="907"/>
      <c r="C357" s="874"/>
      <c r="D357" s="874"/>
      <c r="E357" s="874"/>
      <c r="F357" s="905"/>
      <c r="G357" s="874"/>
      <c r="H357" s="874"/>
      <c r="I357" s="906"/>
      <c r="J357" s="162"/>
      <c r="K357" s="161"/>
      <c r="L357" s="161"/>
      <c r="M357" s="169"/>
      <c r="N357" s="163" t="str">
        <f t="shared" si="9"/>
        <v/>
      </c>
      <c r="O357" s="41"/>
      <c r="P357" s="41"/>
      <c r="Q357" s="161" t="str">
        <f>+IF(OR(O357="Fire Control",O357="Fire Tex 5062",O357="Fire Tex 5090",O357="Fire Tex 5120"),'CALCULO PINTURA'!P358," ")</f>
        <v xml:space="preserve"> </v>
      </c>
      <c r="R357" s="164" t="str">
        <f>+IF(OR(O357="Fire Control",O357="Fire Tex 5062",O357="Fire Tex 5090",O357="Fire Tex 5120"),'CALCULO PINTURA'!R358," ")</f>
        <v xml:space="preserve"> </v>
      </c>
      <c r="S357" s="164" t="str">
        <f>+IF(OR(O357="Fire Control",O357="Fire Tex 5062",O357="Fire Tex 5090",O357="Fire Tex 5120"),'CALCULO PINTURA'!S358," ")</f>
        <v xml:space="preserve"> </v>
      </c>
      <c r="T357" s="874" t="str">
        <f>+IF(OR(O357="Blaze Shield II",O357="Cafco 400",O357="Cafco 300"),'CALCULO MORTERO'!N363," ")</f>
        <v xml:space="preserve"> </v>
      </c>
      <c r="U357" s="875" t="str">
        <f>+IF(OR(O357="Blaze Shield II",O357="Cafco 400",O357="Cafco 300"),'CALCULO MORTERO'!O363," ")</f>
        <v xml:space="preserve"> </v>
      </c>
      <c r="V357" s="161" t="str" cm="1">
        <f t="array" ref="V357">_xlfn.IFS(O357="Blaze Shield II",'CALCULO MORTERO'!P358, O357="Cafco 400",'CALCULO MORTERO'!Q358,O357="Cafco 300",'CALCULO MORTERO'!S358, AND(OR(O357="Fire tex 5090", O357="Fire Tex 5062", O357="Fire Tex 5120", O357="Fire Control"),Q357&gt;0), "CERT.",TRUE,"-")</f>
        <v>-</v>
      </c>
      <c r="W357" s="167"/>
      <c r="X357" s="167"/>
    </row>
    <row r="358" spans="1:24" x14ac:dyDescent="0.2">
      <c r="A358" s="903"/>
      <c r="B358" s="907"/>
      <c r="C358" s="874"/>
      <c r="D358" s="874"/>
      <c r="E358" s="874"/>
      <c r="F358" s="905"/>
      <c r="G358" s="874"/>
      <c r="H358" s="874"/>
      <c r="I358" s="906"/>
      <c r="J358" s="162"/>
      <c r="K358" s="161"/>
      <c r="L358" s="161"/>
      <c r="M358" s="169"/>
      <c r="N358" s="163" t="str">
        <f t="shared" si="9"/>
        <v/>
      </c>
      <c r="O358" s="41"/>
      <c r="P358" s="41"/>
      <c r="Q358" s="161" t="str">
        <f>+IF(OR(O358="Fire Control",O358="Fire Tex 5062",O358="Fire Tex 5090",O358="Fire Tex 5120"),'CALCULO PINTURA'!P359," ")</f>
        <v xml:space="preserve"> </v>
      </c>
      <c r="R358" s="164" t="str">
        <f>+IF(OR(O358="Fire Control",O358="Fire Tex 5062",O358="Fire Tex 5090",O358="Fire Tex 5120"),'CALCULO PINTURA'!R359," ")</f>
        <v xml:space="preserve"> </v>
      </c>
      <c r="S358" s="164" t="str">
        <f>+IF(OR(O358="Fire Control",O358="Fire Tex 5062",O358="Fire Tex 5090",O358="Fire Tex 5120"),'CALCULO PINTURA'!S359," ")</f>
        <v xml:space="preserve"> </v>
      </c>
      <c r="T358" s="874" t="str">
        <f>+IF(OR(O358="Blaze Shield II",O358="Cafco 400",O358="Cafco 300"),'CALCULO MORTERO'!N364," ")</f>
        <v xml:space="preserve"> </v>
      </c>
      <c r="U358" s="875" t="str">
        <f>+IF(OR(O358="Blaze Shield II",O358="Cafco 400",O358="Cafco 300"),'CALCULO MORTERO'!O364," ")</f>
        <v xml:space="preserve"> </v>
      </c>
      <c r="V358" s="161" t="str" cm="1">
        <f t="array" ref="V358">_xlfn.IFS(O358="Blaze Shield II",'CALCULO MORTERO'!P359, O358="Cafco 400",'CALCULO MORTERO'!Q359,O358="Cafco 300",'CALCULO MORTERO'!S359, AND(OR(O358="Fire tex 5090", O358="Fire Tex 5062", O358="Fire Tex 5120", O358="Fire Control"),Q358&gt;0), "CERT.",TRUE,"-")</f>
        <v>-</v>
      </c>
      <c r="W358" s="167"/>
      <c r="X358" s="167"/>
    </row>
    <row r="359" spans="1:24" x14ac:dyDescent="0.2">
      <c r="A359" s="903"/>
      <c r="B359" s="907"/>
      <c r="C359" s="874"/>
      <c r="D359" s="874"/>
      <c r="E359" s="874"/>
      <c r="F359" s="905"/>
      <c r="G359" s="874"/>
      <c r="H359" s="874"/>
      <c r="I359" s="906"/>
      <c r="J359" s="162"/>
      <c r="K359" s="161"/>
      <c r="L359" s="161"/>
      <c r="M359" s="169"/>
      <c r="N359" s="163" t="str">
        <f t="shared" si="9"/>
        <v/>
      </c>
      <c r="O359" s="41"/>
      <c r="P359" s="41"/>
      <c r="Q359" s="161" t="str">
        <f>+IF(OR(O359="Fire Control",O359="Fire Tex 5062",O359="Fire Tex 5090",O359="Fire Tex 5120"),'CALCULO PINTURA'!P360," ")</f>
        <v xml:space="preserve"> </v>
      </c>
      <c r="R359" s="164" t="str">
        <f>+IF(OR(O359="Fire Control",O359="Fire Tex 5062",O359="Fire Tex 5090",O359="Fire Tex 5120"),'CALCULO PINTURA'!R360," ")</f>
        <v xml:space="preserve"> </v>
      </c>
      <c r="S359" s="164" t="str">
        <f>+IF(OR(O359="Fire Control",O359="Fire Tex 5062",O359="Fire Tex 5090",O359="Fire Tex 5120"),'CALCULO PINTURA'!S360," ")</f>
        <v xml:space="preserve"> </v>
      </c>
      <c r="T359" s="874" t="str">
        <f>+IF(OR(O359="Blaze Shield II",O359="Cafco 400",O359="Cafco 300"),'CALCULO MORTERO'!N365," ")</f>
        <v xml:space="preserve"> </v>
      </c>
      <c r="U359" s="875" t="str">
        <f>+IF(OR(O359="Blaze Shield II",O359="Cafco 400",O359="Cafco 300"),'CALCULO MORTERO'!O365," ")</f>
        <v xml:space="preserve"> </v>
      </c>
      <c r="V359" s="161" t="str" cm="1">
        <f t="array" ref="V359">_xlfn.IFS(O359="Blaze Shield II",'CALCULO MORTERO'!P360, O359="Cafco 400",'CALCULO MORTERO'!Q360,O359="Cafco 300",'CALCULO MORTERO'!S360, AND(OR(O359="Fire tex 5090", O359="Fire Tex 5062", O359="Fire Tex 5120", O359="Fire Control"),Q359&gt;0), "CERT.",TRUE,"-")</f>
        <v>-</v>
      </c>
      <c r="W359" s="167"/>
      <c r="X359" s="167"/>
    </row>
    <row r="360" spans="1:24" x14ac:dyDescent="0.2">
      <c r="A360" s="903"/>
      <c r="B360" s="907"/>
      <c r="C360" s="874"/>
      <c r="D360" s="874"/>
      <c r="E360" s="874"/>
      <c r="F360" s="905"/>
      <c r="G360" s="874"/>
      <c r="H360" s="874"/>
      <c r="I360" s="906"/>
      <c r="J360" s="162"/>
      <c r="K360" s="161"/>
      <c r="L360" s="161"/>
      <c r="M360" s="169"/>
      <c r="N360" s="163" t="str">
        <f t="shared" si="9"/>
        <v/>
      </c>
      <c r="O360" s="41"/>
      <c r="P360" s="41"/>
      <c r="Q360" s="161" t="str">
        <f>+IF(OR(O360="Fire Control",O360="Fire Tex 5062",O360="Fire Tex 5090",O360="Fire Tex 5120"),'CALCULO PINTURA'!P361," ")</f>
        <v xml:space="preserve"> </v>
      </c>
      <c r="R360" s="164" t="str">
        <f>+IF(OR(O360="Fire Control",O360="Fire Tex 5062",O360="Fire Tex 5090",O360="Fire Tex 5120"),'CALCULO PINTURA'!R361," ")</f>
        <v xml:space="preserve"> </v>
      </c>
      <c r="S360" s="164" t="str">
        <f>+IF(OR(O360="Fire Control",O360="Fire Tex 5062",O360="Fire Tex 5090",O360="Fire Tex 5120"),'CALCULO PINTURA'!S361," ")</f>
        <v xml:space="preserve"> </v>
      </c>
      <c r="T360" s="874" t="str">
        <f>+IF(OR(O360="Blaze Shield II",O360="Cafco 400",O360="Cafco 300"),'CALCULO MORTERO'!N366," ")</f>
        <v xml:space="preserve"> </v>
      </c>
      <c r="U360" s="875" t="str">
        <f>+IF(OR(O360="Blaze Shield II",O360="Cafco 400",O360="Cafco 300"),'CALCULO MORTERO'!O366," ")</f>
        <v xml:space="preserve"> </v>
      </c>
      <c r="V360" s="161" t="str" cm="1">
        <f t="array" ref="V360">_xlfn.IFS(O360="Blaze Shield II",'CALCULO MORTERO'!P361, O360="Cafco 400",'CALCULO MORTERO'!Q361,O360="Cafco 300",'CALCULO MORTERO'!S361, AND(OR(O360="Fire tex 5090", O360="Fire Tex 5062", O360="Fire Tex 5120", O360="Fire Control"),Q360&gt;0), "CERT.",TRUE,"-")</f>
        <v>-</v>
      </c>
      <c r="W360" s="167"/>
      <c r="X360" s="167"/>
    </row>
    <row r="361" spans="1:24" x14ac:dyDescent="0.2">
      <c r="A361" s="903"/>
      <c r="B361" s="907"/>
      <c r="C361" s="874"/>
      <c r="D361" s="874"/>
      <c r="E361" s="874"/>
      <c r="F361" s="905"/>
      <c r="G361" s="874"/>
      <c r="H361" s="874"/>
      <c r="I361" s="906"/>
      <c r="J361" s="162"/>
      <c r="K361" s="161"/>
      <c r="L361" s="161"/>
      <c r="M361" s="169"/>
      <c r="N361" s="163" t="str">
        <f t="shared" si="9"/>
        <v/>
      </c>
      <c r="O361" s="41"/>
      <c r="P361" s="41"/>
      <c r="Q361" s="161" t="str">
        <f>+IF(OR(O361="Fire Control",O361="Fire Tex 5062",O361="Fire Tex 5090",O361="Fire Tex 5120"),'CALCULO PINTURA'!P362," ")</f>
        <v xml:space="preserve"> </v>
      </c>
      <c r="R361" s="164" t="str">
        <f>+IF(OR(O361="Fire Control",O361="Fire Tex 5062",O361="Fire Tex 5090",O361="Fire Tex 5120"),'CALCULO PINTURA'!R362," ")</f>
        <v xml:space="preserve"> </v>
      </c>
      <c r="S361" s="164" t="str">
        <f>+IF(OR(O361="Fire Control",O361="Fire Tex 5062",O361="Fire Tex 5090",O361="Fire Tex 5120"),'CALCULO PINTURA'!S362," ")</f>
        <v xml:space="preserve"> </v>
      </c>
      <c r="T361" s="874" t="str">
        <f>+IF(OR(O361="Blaze Shield II",O361="Cafco 400",O361="Cafco 300"),'CALCULO MORTERO'!N367," ")</f>
        <v xml:space="preserve"> </v>
      </c>
      <c r="U361" s="875" t="str">
        <f>+IF(OR(O361="Blaze Shield II",O361="Cafco 400",O361="Cafco 300"),'CALCULO MORTERO'!O367," ")</f>
        <v xml:space="preserve"> </v>
      </c>
      <c r="V361" s="161" t="str" cm="1">
        <f t="array" ref="V361">_xlfn.IFS(O361="Blaze Shield II",'CALCULO MORTERO'!P362, O361="Cafco 400",'CALCULO MORTERO'!Q362,O361="Cafco 300",'CALCULO MORTERO'!S362, AND(OR(O361="Fire tex 5090", O361="Fire Tex 5062", O361="Fire Tex 5120", O361="Fire Control"),Q361&gt;0), "CERT.",TRUE,"-")</f>
        <v>-</v>
      </c>
      <c r="W361" s="167"/>
      <c r="X361" s="167"/>
    </row>
    <row r="362" spans="1:24" x14ac:dyDescent="0.2">
      <c r="A362" s="903"/>
      <c r="B362" s="907"/>
      <c r="C362" s="874"/>
      <c r="D362" s="874"/>
      <c r="E362" s="874"/>
      <c r="F362" s="905"/>
      <c r="G362" s="874"/>
      <c r="H362" s="874"/>
      <c r="I362" s="906"/>
      <c r="J362" s="162"/>
      <c r="K362" s="161"/>
      <c r="L362" s="161"/>
      <c r="M362" s="169"/>
      <c r="N362" s="163" t="str">
        <f t="shared" si="9"/>
        <v/>
      </c>
      <c r="O362" s="41"/>
      <c r="P362" s="41"/>
      <c r="Q362" s="161" t="str">
        <f>+IF(OR(O362="Fire Control",O362="Fire Tex 5062",O362="Fire Tex 5090",O362="Fire Tex 5120"),'CALCULO PINTURA'!P363," ")</f>
        <v xml:space="preserve"> </v>
      </c>
      <c r="R362" s="164" t="str">
        <f>+IF(OR(O362="Fire Control",O362="Fire Tex 5062",O362="Fire Tex 5090",O362="Fire Tex 5120"),'CALCULO PINTURA'!R363," ")</f>
        <v xml:space="preserve"> </v>
      </c>
      <c r="S362" s="164" t="str">
        <f>+IF(OR(O362="Fire Control",O362="Fire Tex 5062",O362="Fire Tex 5090",O362="Fire Tex 5120"),'CALCULO PINTURA'!S363," ")</f>
        <v xml:space="preserve"> </v>
      </c>
      <c r="T362" s="874" t="str">
        <f>+IF(OR(O362="Blaze Shield II",O362="Cafco 400",O362="Cafco 300"),'CALCULO MORTERO'!N368," ")</f>
        <v xml:space="preserve"> </v>
      </c>
      <c r="U362" s="875" t="str">
        <f>+IF(OR(O362="Blaze Shield II",O362="Cafco 400",O362="Cafco 300"),'CALCULO MORTERO'!O368," ")</f>
        <v xml:space="preserve"> </v>
      </c>
      <c r="V362" s="161" t="str" cm="1">
        <f t="array" ref="V362">_xlfn.IFS(O362="Blaze Shield II",'CALCULO MORTERO'!P363, O362="Cafco 400",'CALCULO MORTERO'!Q363,O362="Cafco 300",'CALCULO MORTERO'!S363, AND(OR(O362="Fire tex 5090", O362="Fire Tex 5062", O362="Fire Tex 5120", O362="Fire Control"),Q362&gt;0), "CERT.",TRUE,"-")</f>
        <v>-</v>
      </c>
      <c r="W362" s="167"/>
      <c r="X362" s="167"/>
    </row>
    <row r="363" spans="1:24" x14ac:dyDescent="0.2">
      <c r="A363" s="903"/>
      <c r="B363" s="907"/>
      <c r="C363" s="874"/>
      <c r="D363" s="874"/>
      <c r="E363" s="874"/>
      <c r="F363" s="905"/>
      <c r="G363" s="874"/>
      <c r="H363" s="874"/>
      <c r="I363" s="906"/>
      <c r="J363" s="162"/>
      <c r="K363" s="161"/>
      <c r="L363" s="161"/>
      <c r="M363" s="169"/>
      <c r="N363" s="163" t="str">
        <f t="shared" si="9"/>
        <v/>
      </c>
      <c r="O363" s="41"/>
      <c r="P363" s="41"/>
      <c r="Q363" s="161" t="str">
        <f>+IF(OR(O363="Fire Control",O363="Fire Tex 5062",O363="Fire Tex 5090",O363="Fire Tex 5120"),'CALCULO PINTURA'!P364," ")</f>
        <v xml:space="preserve"> </v>
      </c>
      <c r="R363" s="164" t="str">
        <f>+IF(OR(O363="Fire Control",O363="Fire Tex 5062",O363="Fire Tex 5090",O363="Fire Tex 5120"),'CALCULO PINTURA'!R364," ")</f>
        <v xml:space="preserve"> </v>
      </c>
      <c r="S363" s="164" t="str">
        <f>+IF(OR(O363="Fire Control",O363="Fire Tex 5062",O363="Fire Tex 5090",O363="Fire Tex 5120"),'CALCULO PINTURA'!S364," ")</f>
        <v xml:space="preserve"> </v>
      </c>
      <c r="T363" s="874" t="str">
        <f>+IF(OR(O363="Blaze Shield II",O363="Cafco 400",O363="Cafco 300"),'CALCULO MORTERO'!N369," ")</f>
        <v xml:space="preserve"> </v>
      </c>
      <c r="U363" s="875" t="str">
        <f>+IF(OR(O363="Blaze Shield II",O363="Cafco 400",O363="Cafco 300"),'CALCULO MORTERO'!O369," ")</f>
        <v xml:space="preserve"> </v>
      </c>
      <c r="V363" s="161" t="str" cm="1">
        <f t="array" ref="V363">_xlfn.IFS(O363="Blaze Shield II",'CALCULO MORTERO'!P364, O363="Cafco 400",'CALCULO MORTERO'!Q364,O363="Cafco 300",'CALCULO MORTERO'!S364, AND(OR(O363="Fire tex 5090", O363="Fire Tex 5062", O363="Fire Tex 5120", O363="Fire Control"),Q363&gt;0), "CERT.",TRUE,"-")</f>
        <v>-</v>
      </c>
      <c r="W363" s="167"/>
      <c r="X363" s="167"/>
    </row>
    <row r="364" spans="1:24" x14ac:dyDescent="0.2">
      <c r="A364" s="903"/>
      <c r="B364" s="907"/>
      <c r="C364" s="874"/>
      <c r="D364" s="874"/>
      <c r="E364" s="874"/>
      <c r="F364" s="905"/>
      <c r="G364" s="874"/>
      <c r="H364" s="874"/>
      <c r="I364" s="906"/>
      <c r="J364" s="162"/>
      <c r="K364" s="161"/>
      <c r="L364" s="161"/>
      <c r="M364" s="169"/>
      <c r="N364" s="163" t="str">
        <f t="shared" si="9"/>
        <v/>
      </c>
      <c r="O364" s="41"/>
      <c r="P364" s="41"/>
      <c r="Q364" s="161" t="str">
        <f>+IF(OR(O364="Fire Control",O364="Fire Tex 5062",O364="Fire Tex 5090",O364="Fire Tex 5120"),'CALCULO PINTURA'!P365," ")</f>
        <v xml:space="preserve"> </v>
      </c>
      <c r="R364" s="164" t="str">
        <f>+IF(OR(O364="Fire Control",O364="Fire Tex 5062",O364="Fire Tex 5090",O364="Fire Tex 5120"),'CALCULO PINTURA'!R365," ")</f>
        <v xml:space="preserve"> </v>
      </c>
      <c r="S364" s="164" t="str">
        <f>+IF(OR(O364="Fire Control",O364="Fire Tex 5062",O364="Fire Tex 5090",O364="Fire Tex 5120"),'CALCULO PINTURA'!S365," ")</f>
        <v xml:space="preserve"> </v>
      </c>
      <c r="T364" s="874" t="str">
        <f>+IF(OR(O364="Blaze Shield II",O364="Cafco 400",O364="Cafco 300"),'CALCULO MORTERO'!N370," ")</f>
        <v xml:space="preserve"> </v>
      </c>
      <c r="U364" s="875" t="str">
        <f>+IF(OR(O364="Blaze Shield II",O364="Cafco 400",O364="Cafco 300"),'CALCULO MORTERO'!O370," ")</f>
        <v xml:space="preserve"> </v>
      </c>
      <c r="V364" s="161" t="str" cm="1">
        <f t="array" ref="V364">_xlfn.IFS(O364="Blaze Shield II",'CALCULO MORTERO'!P365, O364="Cafco 400",'CALCULO MORTERO'!Q365,O364="Cafco 300",'CALCULO MORTERO'!S365, AND(OR(O364="Fire tex 5090", O364="Fire Tex 5062", O364="Fire Tex 5120", O364="Fire Control"),Q364&gt;0), "CERT.",TRUE,"-")</f>
        <v>-</v>
      </c>
      <c r="W364" s="167"/>
      <c r="X364" s="167"/>
    </row>
    <row r="365" spans="1:24" x14ac:dyDescent="0.2">
      <c r="A365" s="903"/>
      <c r="B365" s="907"/>
      <c r="C365" s="874"/>
      <c r="D365" s="874"/>
      <c r="E365" s="874"/>
      <c r="F365" s="905"/>
      <c r="G365" s="874"/>
      <c r="H365" s="874"/>
      <c r="I365" s="906"/>
      <c r="J365" s="162"/>
      <c r="K365" s="161"/>
      <c r="L365" s="161"/>
      <c r="M365" s="169"/>
      <c r="N365" s="163" t="str">
        <f t="shared" si="9"/>
        <v/>
      </c>
      <c r="O365" s="41"/>
      <c r="P365" s="41"/>
      <c r="Q365" s="161" t="str">
        <f>+IF(OR(O365="Fire Control",O365="Fire Tex 5062",O365="Fire Tex 5090",O365="Fire Tex 5120"),'CALCULO PINTURA'!P366," ")</f>
        <v xml:space="preserve"> </v>
      </c>
      <c r="R365" s="164" t="str">
        <f>+IF(OR(O365="Fire Control",O365="Fire Tex 5062",O365="Fire Tex 5090",O365="Fire Tex 5120"),'CALCULO PINTURA'!R366," ")</f>
        <v xml:space="preserve"> </v>
      </c>
      <c r="S365" s="164" t="str">
        <f>+IF(OR(O365="Fire Control",O365="Fire Tex 5062",O365="Fire Tex 5090",O365="Fire Tex 5120"),'CALCULO PINTURA'!S366," ")</f>
        <v xml:space="preserve"> </v>
      </c>
      <c r="T365" s="874" t="str">
        <f>+IF(OR(O365="Blaze Shield II",O365="Cafco 400",O365="Cafco 300"),'CALCULO MORTERO'!N371," ")</f>
        <v xml:space="preserve"> </v>
      </c>
      <c r="U365" s="875" t="str">
        <f>+IF(OR(O365="Blaze Shield II",O365="Cafco 400",O365="Cafco 300"),'CALCULO MORTERO'!O371," ")</f>
        <v xml:space="preserve"> </v>
      </c>
      <c r="V365" s="161" t="str" cm="1">
        <f t="array" ref="V365">_xlfn.IFS(O365="Blaze Shield II",'CALCULO MORTERO'!P366, O365="Cafco 400",'CALCULO MORTERO'!Q366,O365="Cafco 300",'CALCULO MORTERO'!S366, AND(OR(O365="Fire tex 5090", O365="Fire Tex 5062", O365="Fire Tex 5120", O365="Fire Control"),Q365&gt;0), "CERT.",TRUE,"-")</f>
        <v>-</v>
      </c>
      <c r="W365" s="167"/>
      <c r="X365" s="167"/>
    </row>
    <row r="366" spans="1:24" x14ac:dyDescent="0.2">
      <c r="A366" s="903"/>
      <c r="B366" s="907"/>
      <c r="C366" s="874"/>
      <c r="D366" s="874"/>
      <c r="E366" s="874"/>
      <c r="F366" s="905"/>
      <c r="G366" s="874"/>
      <c r="H366" s="874"/>
      <c r="I366" s="906"/>
      <c r="J366" s="162"/>
      <c r="K366" s="161"/>
      <c r="L366" s="161"/>
      <c r="M366" s="169"/>
      <c r="N366" s="163" t="str">
        <f t="shared" si="9"/>
        <v/>
      </c>
      <c r="O366" s="41"/>
      <c r="P366" s="41"/>
      <c r="Q366" s="161" t="str">
        <f>+IF(OR(O366="Fire Control",O366="Fire Tex 5062",O366="Fire Tex 5090",O366="Fire Tex 5120"),'CALCULO PINTURA'!P367," ")</f>
        <v xml:space="preserve"> </v>
      </c>
      <c r="R366" s="164" t="str">
        <f>+IF(OR(O366="Fire Control",O366="Fire Tex 5062",O366="Fire Tex 5090",O366="Fire Tex 5120"),'CALCULO PINTURA'!R367," ")</f>
        <v xml:space="preserve"> </v>
      </c>
      <c r="S366" s="164" t="str">
        <f>+IF(OR(O366="Fire Control",O366="Fire Tex 5062",O366="Fire Tex 5090",O366="Fire Tex 5120"),'CALCULO PINTURA'!S367," ")</f>
        <v xml:space="preserve"> </v>
      </c>
      <c r="T366" s="874" t="str">
        <f>+IF(OR(O366="Blaze Shield II",O366="Cafco 400",O366="Cafco 300"),'CALCULO MORTERO'!N372," ")</f>
        <v xml:space="preserve"> </v>
      </c>
      <c r="U366" s="875" t="str">
        <f>+IF(OR(O366="Blaze Shield II",O366="Cafco 400",O366="Cafco 300"),'CALCULO MORTERO'!O372," ")</f>
        <v xml:space="preserve"> </v>
      </c>
      <c r="V366" s="161" t="str" cm="1">
        <f t="array" ref="V366">_xlfn.IFS(O366="Blaze Shield II",'CALCULO MORTERO'!P367, O366="Cafco 400",'CALCULO MORTERO'!Q367,O366="Cafco 300",'CALCULO MORTERO'!S367, AND(OR(O366="Fire tex 5090", O366="Fire Tex 5062", O366="Fire Tex 5120", O366="Fire Control"),Q366&gt;0), "CERT.",TRUE,"-")</f>
        <v>-</v>
      </c>
      <c r="W366" s="167"/>
      <c r="X366" s="167"/>
    </row>
    <row r="367" spans="1:24" x14ac:dyDescent="0.2">
      <c r="A367" s="903"/>
      <c r="B367" s="907"/>
      <c r="C367" s="874"/>
      <c r="D367" s="874"/>
      <c r="E367" s="874"/>
      <c r="F367" s="905"/>
      <c r="G367" s="874"/>
      <c r="H367" s="874"/>
      <c r="I367" s="906"/>
      <c r="J367" s="162"/>
      <c r="K367" s="161"/>
      <c r="L367" s="161"/>
      <c r="M367" s="169"/>
      <c r="N367" s="163" t="str">
        <f t="shared" si="9"/>
        <v/>
      </c>
      <c r="O367" s="41"/>
      <c r="P367" s="41"/>
      <c r="Q367" s="161" t="str">
        <f>+IF(OR(O367="Fire Control",O367="Fire Tex 5062",O367="Fire Tex 5090",O367="Fire Tex 5120"),'CALCULO PINTURA'!P368," ")</f>
        <v xml:space="preserve"> </v>
      </c>
      <c r="R367" s="164" t="str">
        <f>+IF(OR(O367="Fire Control",O367="Fire Tex 5062",O367="Fire Tex 5090",O367="Fire Tex 5120"),'CALCULO PINTURA'!R368," ")</f>
        <v xml:space="preserve"> </v>
      </c>
      <c r="S367" s="164" t="str">
        <f>+IF(OR(O367="Fire Control",O367="Fire Tex 5062",O367="Fire Tex 5090",O367="Fire Tex 5120"),'CALCULO PINTURA'!S368," ")</f>
        <v xml:space="preserve"> </v>
      </c>
      <c r="T367" s="874" t="str">
        <f>+IF(OR(O367="Blaze Shield II",O367="Cafco 400",O367="Cafco 300"),'CALCULO MORTERO'!N373," ")</f>
        <v xml:space="preserve"> </v>
      </c>
      <c r="U367" s="875" t="str">
        <f>+IF(OR(O367="Blaze Shield II",O367="Cafco 400",O367="Cafco 300"),'CALCULO MORTERO'!O373," ")</f>
        <v xml:space="preserve"> </v>
      </c>
      <c r="V367" s="161" t="str" cm="1">
        <f t="array" ref="V367">_xlfn.IFS(O367="Blaze Shield II",'CALCULO MORTERO'!P368, O367="Cafco 400",'CALCULO MORTERO'!Q368,O367="Cafco 300",'CALCULO MORTERO'!S368, AND(OR(O367="Fire tex 5090", O367="Fire Tex 5062", O367="Fire Tex 5120", O367="Fire Control"),Q367&gt;0), "CERT.",TRUE,"-")</f>
        <v>-</v>
      </c>
      <c r="W367" s="167"/>
      <c r="X367" s="167"/>
    </row>
    <row r="368" spans="1:24" x14ac:dyDescent="0.2">
      <c r="A368" s="903"/>
      <c r="B368" s="907"/>
      <c r="C368" s="874"/>
      <c r="D368" s="874"/>
      <c r="E368" s="874"/>
      <c r="F368" s="905"/>
      <c r="G368" s="874"/>
      <c r="H368" s="874"/>
      <c r="I368" s="906"/>
      <c r="J368" s="162"/>
      <c r="K368" s="161"/>
      <c r="L368" s="161"/>
      <c r="M368" s="169"/>
      <c r="N368" s="163" t="str">
        <f t="shared" si="9"/>
        <v/>
      </c>
      <c r="O368" s="41"/>
      <c r="P368" s="41"/>
      <c r="Q368" s="161" t="str">
        <f>+IF(OR(O368="Fire Control",O368="Fire Tex 5062",O368="Fire Tex 5090",O368="Fire Tex 5120"),'CALCULO PINTURA'!P369," ")</f>
        <v xml:space="preserve"> </v>
      </c>
      <c r="R368" s="164" t="str">
        <f>+IF(OR(O368="Fire Control",O368="Fire Tex 5062",O368="Fire Tex 5090",O368="Fire Tex 5120"),'CALCULO PINTURA'!R369," ")</f>
        <v xml:space="preserve"> </v>
      </c>
      <c r="S368" s="164" t="str">
        <f>+IF(OR(O368="Fire Control",O368="Fire Tex 5062",O368="Fire Tex 5090",O368="Fire Tex 5120"),'CALCULO PINTURA'!S369," ")</f>
        <v xml:space="preserve"> </v>
      </c>
      <c r="T368" s="874" t="str">
        <f>+IF(OR(O368="Blaze Shield II",O368="Cafco 400",O368="Cafco 300"),'CALCULO MORTERO'!N374," ")</f>
        <v xml:space="preserve"> </v>
      </c>
      <c r="U368" s="875" t="str">
        <f>+IF(OR(O368="Blaze Shield II",O368="Cafco 400",O368="Cafco 300"),'CALCULO MORTERO'!O374," ")</f>
        <v xml:space="preserve"> </v>
      </c>
      <c r="V368" s="161" t="str" cm="1">
        <f t="array" ref="V368">_xlfn.IFS(O368="Blaze Shield II",'CALCULO MORTERO'!P369, O368="Cafco 400",'CALCULO MORTERO'!Q369,O368="Cafco 300",'CALCULO MORTERO'!S369, AND(OR(O368="Fire tex 5090", O368="Fire Tex 5062", O368="Fire Tex 5120", O368="Fire Control"),Q368&gt;0), "CERT.",TRUE,"-")</f>
        <v>-</v>
      </c>
      <c r="W368" s="167"/>
      <c r="X368" s="167"/>
    </row>
    <row r="369" spans="1:24" x14ac:dyDescent="0.2">
      <c r="A369" s="903"/>
      <c r="B369" s="907"/>
      <c r="C369" s="874"/>
      <c r="D369" s="874"/>
      <c r="E369" s="874"/>
      <c r="F369" s="905"/>
      <c r="G369" s="874"/>
      <c r="H369" s="874"/>
      <c r="I369" s="906"/>
      <c r="J369" s="162"/>
      <c r="K369" s="161"/>
      <c r="L369" s="161"/>
      <c r="M369" s="169"/>
      <c r="N369" s="163" t="str">
        <f t="shared" si="9"/>
        <v/>
      </c>
      <c r="O369" s="41"/>
      <c r="P369" s="41"/>
      <c r="Q369" s="161" t="str">
        <f>+IF(OR(O369="Fire Control",O369="Fire Tex 5062",O369="Fire Tex 5090",O369="Fire Tex 5120"),'CALCULO PINTURA'!P370," ")</f>
        <v xml:space="preserve"> </v>
      </c>
      <c r="R369" s="164" t="str">
        <f>+IF(OR(O369="Fire Control",O369="Fire Tex 5062",O369="Fire Tex 5090",O369="Fire Tex 5120"),'CALCULO PINTURA'!R370," ")</f>
        <v xml:space="preserve"> </v>
      </c>
      <c r="S369" s="164" t="str">
        <f>+IF(OR(O369="Fire Control",O369="Fire Tex 5062",O369="Fire Tex 5090",O369="Fire Tex 5120"),'CALCULO PINTURA'!S370," ")</f>
        <v xml:space="preserve"> </v>
      </c>
      <c r="T369" s="874" t="str">
        <f>+IF(OR(O369="Blaze Shield II",O369="Cafco 400",O369="Cafco 300"),'CALCULO MORTERO'!N375," ")</f>
        <v xml:space="preserve"> </v>
      </c>
      <c r="U369" s="875" t="str">
        <f>+IF(OR(O369="Blaze Shield II",O369="Cafco 400",O369="Cafco 300"),'CALCULO MORTERO'!O375," ")</f>
        <v xml:space="preserve"> </v>
      </c>
      <c r="V369" s="161" t="str" cm="1">
        <f t="array" ref="V369">_xlfn.IFS(O369="Blaze Shield II",'CALCULO MORTERO'!P370, O369="Cafco 400",'CALCULO MORTERO'!Q370,O369="Cafco 300",'CALCULO MORTERO'!S370, AND(OR(O369="Fire tex 5090", O369="Fire Tex 5062", O369="Fire Tex 5120", O369="Fire Control"),Q369&gt;0), "CERT.",TRUE,"-")</f>
        <v>-</v>
      </c>
      <c r="W369" s="167"/>
      <c r="X369" s="167"/>
    </row>
    <row r="370" spans="1:24" x14ac:dyDescent="0.2">
      <c r="A370" s="903"/>
      <c r="B370" s="907"/>
      <c r="C370" s="874"/>
      <c r="D370" s="874"/>
      <c r="E370" s="874"/>
      <c r="F370" s="905"/>
      <c r="G370" s="874"/>
      <c r="H370" s="874"/>
      <c r="I370" s="906"/>
      <c r="J370" s="162"/>
      <c r="K370" s="161"/>
      <c r="L370" s="161"/>
      <c r="M370" s="169"/>
      <c r="N370" s="163" t="str">
        <f t="shared" si="9"/>
        <v/>
      </c>
      <c r="O370" s="41"/>
      <c r="P370" s="41"/>
      <c r="Q370" s="161" t="str">
        <f>+IF(OR(O370="Fire Control",O370="Fire Tex 5062",O370="Fire Tex 5090",O370="Fire Tex 5120"),'CALCULO PINTURA'!P371," ")</f>
        <v xml:space="preserve"> </v>
      </c>
      <c r="R370" s="164" t="str">
        <f>+IF(OR(O370="Fire Control",O370="Fire Tex 5062",O370="Fire Tex 5090",O370="Fire Tex 5120"),'CALCULO PINTURA'!R371," ")</f>
        <v xml:space="preserve"> </v>
      </c>
      <c r="S370" s="164" t="str">
        <f>+IF(OR(O370="Fire Control",O370="Fire Tex 5062",O370="Fire Tex 5090",O370="Fire Tex 5120"),'CALCULO PINTURA'!S371," ")</f>
        <v xml:space="preserve"> </v>
      </c>
      <c r="T370" s="874" t="str">
        <f>+IF(OR(O370="Blaze Shield II",O370="Cafco 400",O370="Cafco 300"),'CALCULO MORTERO'!N376," ")</f>
        <v xml:space="preserve"> </v>
      </c>
      <c r="U370" s="875" t="str">
        <f>+IF(OR(O370="Blaze Shield II",O370="Cafco 400",O370="Cafco 300"),'CALCULO MORTERO'!O376," ")</f>
        <v xml:space="preserve"> </v>
      </c>
      <c r="V370" s="161" t="str" cm="1">
        <f t="array" ref="V370">_xlfn.IFS(O370="Blaze Shield II",'CALCULO MORTERO'!P371, O370="Cafco 400",'CALCULO MORTERO'!Q371,O370="Cafco 300",'CALCULO MORTERO'!S371, AND(OR(O370="Fire tex 5090", O370="Fire Tex 5062", O370="Fire Tex 5120", O370="Fire Control"),Q370&gt;0), "CERT.",TRUE,"-")</f>
        <v>-</v>
      </c>
      <c r="W370" s="167"/>
      <c r="X370" s="167"/>
    </row>
    <row r="371" spans="1:24" x14ac:dyDescent="0.2">
      <c r="A371" s="903"/>
      <c r="B371" s="907"/>
      <c r="C371" s="874"/>
      <c r="D371" s="874"/>
      <c r="E371" s="874"/>
      <c r="F371" s="905"/>
      <c r="G371" s="874"/>
      <c r="H371" s="874"/>
      <c r="I371" s="906"/>
      <c r="J371" s="162"/>
      <c r="K371" s="161"/>
      <c r="L371" s="161"/>
      <c r="M371" s="169"/>
      <c r="N371" s="163" t="str">
        <f t="shared" si="9"/>
        <v/>
      </c>
      <c r="O371" s="41"/>
      <c r="P371" s="41"/>
      <c r="Q371" s="161" t="str">
        <f>+IF(OR(O371="Fire Control",O371="Fire Tex 5062",O371="Fire Tex 5090",O371="Fire Tex 5120"),'CALCULO PINTURA'!P372," ")</f>
        <v xml:space="preserve"> </v>
      </c>
      <c r="R371" s="164" t="str">
        <f>+IF(OR(O371="Fire Control",O371="Fire Tex 5062",O371="Fire Tex 5090",O371="Fire Tex 5120"),'CALCULO PINTURA'!R372," ")</f>
        <v xml:space="preserve"> </v>
      </c>
      <c r="S371" s="164" t="str">
        <f>+IF(OR(O371="Fire Control",O371="Fire Tex 5062",O371="Fire Tex 5090",O371="Fire Tex 5120"),'CALCULO PINTURA'!S372," ")</f>
        <v xml:space="preserve"> </v>
      </c>
      <c r="T371" s="874" t="str">
        <f>+IF(OR(O371="Blaze Shield II",O371="Cafco 400",O371="Cafco 300"),'CALCULO MORTERO'!N377," ")</f>
        <v xml:space="preserve"> </v>
      </c>
      <c r="U371" s="875" t="str">
        <f>+IF(OR(O371="Blaze Shield II",O371="Cafco 400",O371="Cafco 300"),'CALCULO MORTERO'!O377," ")</f>
        <v xml:space="preserve"> </v>
      </c>
      <c r="V371" s="161" t="str" cm="1">
        <f t="array" ref="V371">_xlfn.IFS(O371="Blaze Shield II",'CALCULO MORTERO'!P372, O371="Cafco 400",'CALCULO MORTERO'!Q372,O371="Cafco 300",'CALCULO MORTERO'!S372, AND(OR(O371="Fire tex 5090", O371="Fire Tex 5062", O371="Fire Tex 5120", O371="Fire Control"),Q371&gt;0), "CERT.",TRUE,"-")</f>
        <v>-</v>
      </c>
      <c r="W371" s="167"/>
      <c r="X371" s="167"/>
    </row>
    <row r="372" spans="1:24" x14ac:dyDescent="0.2">
      <c r="A372" s="903"/>
      <c r="B372" s="907"/>
      <c r="C372" s="874"/>
      <c r="D372" s="874"/>
      <c r="E372" s="874"/>
      <c r="F372" s="905"/>
      <c r="G372" s="874"/>
      <c r="H372" s="874"/>
      <c r="I372" s="906"/>
      <c r="J372" s="162"/>
      <c r="K372" s="161"/>
      <c r="L372" s="161"/>
      <c r="M372" s="169"/>
      <c r="N372" s="163" t="str">
        <f t="shared" si="9"/>
        <v/>
      </c>
      <c r="O372" s="41"/>
      <c r="P372" s="41"/>
      <c r="Q372" s="161" t="str">
        <f>+IF(OR(O372="Fire Control",O372="Fire Tex 5062",O372="Fire Tex 5090",O372="Fire Tex 5120"),'CALCULO PINTURA'!P373," ")</f>
        <v xml:space="preserve"> </v>
      </c>
      <c r="R372" s="164" t="str">
        <f>+IF(OR(O372="Fire Control",O372="Fire Tex 5062",O372="Fire Tex 5090",O372="Fire Tex 5120"),'CALCULO PINTURA'!R373," ")</f>
        <v xml:space="preserve"> </v>
      </c>
      <c r="S372" s="164" t="str">
        <f>+IF(OR(O372="Fire Control",O372="Fire Tex 5062",O372="Fire Tex 5090",O372="Fire Tex 5120"),'CALCULO PINTURA'!S373," ")</f>
        <v xml:space="preserve"> </v>
      </c>
      <c r="T372" s="874" t="str">
        <f>+IF(OR(O372="Blaze Shield II",O372="Cafco 400",O372="Cafco 300"),'CALCULO MORTERO'!N378," ")</f>
        <v xml:space="preserve"> </v>
      </c>
      <c r="U372" s="875" t="str">
        <f>+IF(OR(O372="Blaze Shield II",O372="Cafco 400",O372="Cafco 300"),'CALCULO MORTERO'!O378," ")</f>
        <v xml:space="preserve"> </v>
      </c>
      <c r="V372" s="161" t="str" cm="1">
        <f t="array" ref="V372">_xlfn.IFS(O372="Blaze Shield II",'CALCULO MORTERO'!P373, O372="Cafco 400",'CALCULO MORTERO'!Q373,O372="Cafco 300",'CALCULO MORTERO'!S373, AND(OR(O372="Fire tex 5090", O372="Fire Tex 5062", O372="Fire Tex 5120", O372="Fire Control"),Q372&gt;0), "CERT.",TRUE,"-")</f>
        <v>-</v>
      </c>
      <c r="W372" s="167"/>
      <c r="X372" s="167"/>
    </row>
    <row r="373" spans="1:24" x14ac:dyDescent="0.2">
      <c r="A373" s="903"/>
      <c r="B373" s="907"/>
      <c r="C373" s="874"/>
      <c r="D373" s="874"/>
      <c r="E373" s="874"/>
      <c r="F373" s="905"/>
      <c r="G373" s="874"/>
      <c r="H373" s="874"/>
      <c r="I373" s="906"/>
      <c r="J373" s="162"/>
      <c r="K373" s="161"/>
      <c r="L373" s="161"/>
      <c r="M373" s="169"/>
      <c r="N373" s="163" t="str">
        <f t="shared" si="9"/>
        <v/>
      </c>
      <c r="O373" s="41"/>
      <c r="P373" s="41"/>
      <c r="Q373" s="161" t="str">
        <f>+IF(OR(O373="Fire Control",O373="Fire Tex 5062",O373="Fire Tex 5090",O373="Fire Tex 5120"),'CALCULO PINTURA'!P374," ")</f>
        <v xml:space="preserve"> </v>
      </c>
      <c r="R373" s="164" t="str">
        <f>+IF(OR(O373="Fire Control",O373="Fire Tex 5062",O373="Fire Tex 5090",O373="Fire Tex 5120"),'CALCULO PINTURA'!R374," ")</f>
        <v xml:space="preserve"> </v>
      </c>
      <c r="S373" s="164" t="str">
        <f>+IF(OR(O373="Fire Control",O373="Fire Tex 5062",O373="Fire Tex 5090",O373="Fire Tex 5120"),'CALCULO PINTURA'!S374," ")</f>
        <v xml:space="preserve"> </v>
      </c>
      <c r="T373" s="874" t="str">
        <f>+IF(OR(O373="Blaze Shield II",O373="Cafco 400",O373="Cafco 300"),'CALCULO MORTERO'!N379," ")</f>
        <v xml:space="preserve"> </v>
      </c>
      <c r="U373" s="875" t="str">
        <f>+IF(OR(O373="Blaze Shield II",O373="Cafco 400",O373="Cafco 300"),'CALCULO MORTERO'!O379," ")</f>
        <v xml:space="preserve"> </v>
      </c>
      <c r="V373" s="161" t="str" cm="1">
        <f t="array" ref="V373">_xlfn.IFS(O373="Blaze Shield II",'CALCULO MORTERO'!P374, O373="Cafco 400",'CALCULO MORTERO'!Q374,O373="Cafco 300",'CALCULO MORTERO'!S374, AND(OR(O373="Fire tex 5090", O373="Fire Tex 5062", O373="Fire Tex 5120", O373="Fire Control"),Q373&gt;0), "CERT.",TRUE,"-")</f>
        <v>-</v>
      </c>
      <c r="W373" s="167"/>
      <c r="X373" s="167"/>
    </row>
    <row r="374" spans="1:24" x14ac:dyDescent="0.2">
      <c r="A374" s="903"/>
      <c r="B374" s="907"/>
      <c r="C374" s="874"/>
      <c r="D374" s="874"/>
      <c r="E374" s="874"/>
      <c r="F374" s="905"/>
      <c r="G374" s="874"/>
      <c r="H374" s="874"/>
      <c r="I374" s="906"/>
      <c r="J374" s="162"/>
      <c r="K374" s="161"/>
      <c r="L374" s="161"/>
      <c r="M374" s="169"/>
      <c r="N374" s="163" t="str">
        <f t="shared" si="9"/>
        <v/>
      </c>
      <c r="O374" s="41"/>
      <c r="P374" s="41"/>
      <c r="Q374" s="161" t="str">
        <f>+IF(OR(O374="Fire Control",O374="Fire Tex 5062",O374="Fire Tex 5090",O374="Fire Tex 5120"),'CALCULO PINTURA'!P375," ")</f>
        <v xml:space="preserve"> </v>
      </c>
      <c r="R374" s="164" t="str">
        <f>+IF(OR(O374="Fire Control",O374="Fire Tex 5062",O374="Fire Tex 5090",O374="Fire Tex 5120"),'CALCULO PINTURA'!R375," ")</f>
        <v xml:space="preserve"> </v>
      </c>
      <c r="S374" s="164" t="str">
        <f>+IF(OR(O374="Fire Control",O374="Fire Tex 5062",O374="Fire Tex 5090",O374="Fire Tex 5120"),'CALCULO PINTURA'!S375," ")</f>
        <v xml:space="preserve"> </v>
      </c>
      <c r="T374" s="874" t="str">
        <f>+IF(OR(O374="Blaze Shield II",O374="Cafco 400",O374="Cafco 300"),'CALCULO MORTERO'!N380," ")</f>
        <v xml:space="preserve"> </v>
      </c>
      <c r="U374" s="875" t="str">
        <f>+IF(OR(O374="Blaze Shield II",O374="Cafco 400",O374="Cafco 300"),'CALCULO MORTERO'!O380," ")</f>
        <v xml:space="preserve"> </v>
      </c>
      <c r="V374" s="161" t="str" cm="1">
        <f t="array" ref="V374">_xlfn.IFS(O374="Blaze Shield II",'CALCULO MORTERO'!P375, O374="Cafco 400",'CALCULO MORTERO'!Q375,O374="Cafco 300",'CALCULO MORTERO'!S375, AND(OR(O374="Fire tex 5090", O374="Fire Tex 5062", O374="Fire Tex 5120", O374="Fire Control"),Q374&gt;0), "CERT.",TRUE,"-")</f>
        <v>-</v>
      </c>
      <c r="W374" s="167"/>
      <c r="X374" s="167"/>
    </row>
    <row r="375" spans="1:24" x14ac:dyDescent="0.2">
      <c r="A375" s="903"/>
      <c r="B375" s="907"/>
      <c r="C375" s="874"/>
      <c r="D375" s="874"/>
      <c r="E375" s="874"/>
      <c r="F375" s="905"/>
      <c r="G375" s="874"/>
      <c r="H375" s="874"/>
      <c r="I375" s="906"/>
      <c r="J375" s="162"/>
      <c r="K375" s="161"/>
      <c r="L375" s="161"/>
      <c r="M375" s="169"/>
      <c r="N375" s="163" t="str">
        <f t="shared" si="9"/>
        <v/>
      </c>
      <c r="O375" s="41"/>
      <c r="P375" s="41"/>
      <c r="Q375" s="161" t="str">
        <f>+IF(OR(O375="Fire Control",O375="Fire Tex 5062",O375="Fire Tex 5090",O375="Fire Tex 5120"),'CALCULO PINTURA'!P376," ")</f>
        <v xml:space="preserve"> </v>
      </c>
      <c r="R375" s="164" t="str">
        <f>+IF(OR(O375="Fire Control",O375="Fire Tex 5062",O375="Fire Tex 5090",O375="Fire Tex 5120"),'CALCULO PINTURA'!R376," ")</f>
        <v xml:space="preserve"> </v>
      </c>
      <c r="S375" s="164" t="str">
        <f>+IF(OR(O375="Fire Control",O375="Fire Tex 5062",O375="Fire Tex 5090",O375="Fire Tex 5120"),'CALCULO PINTURA'!S376," ")</f>
        <v xml:space="preserve"> </v>
      </c>
      <c r="T375" s="874" t="str">
        <f>+IF(OR(O375="Blaze Shield II",O375="Cafco 400",O375="Cafco 300"),'CALCULO MORTERO'!N381," ")</f>
        <v xml:space="preserve"> </v>
      </c>
      <c r="U375" s="875" t="str">
        <f>+IF(OR(O375="Blaze Shield II",O375="Cafco 400",O375="Cafco 300"),'CALCULO MORTERO'!O381," ")</f>
        <v xml:space="preserve"> </v>
      </c>
      <c r="V375" s="161" t="str" cm="1">
        <f t="array" ref="V375">_xlfn.IFS(O375="Blaze Shield II",'CALCULO MORTERO'!P376, O375="Cafco 400",'CALCULO MORTERO'!Q376,O375="Cafco 300",'CALCULO MORTERO'!S376, AND(OR(O375="Fire tex 5090", O375="Fire Tex 5062", O375="Fire Tex 5120", O375="Fire Control"),Q375&gt;0), "CERT.",TRUE,"-")</f>
        <v>-</v>
      </c>
      <c r="W375" s="167"/>
      <c r="X375" s="167"/>
    </row>
    <row r="376" spans="1:24" x14ac:dyDescent="0.2">
      <c r="A376" s="903"/>
      <c r="B376" s="907"/>
      <c r="C376" s="874"/>
      <c r="D376" s="874"/>
      <c r="E376" s="874"/>
      <c r="F376" s="905"/>
      <c r="G376" s="874"/>
      <c r="H376" s="874"/>
      <c r="I376" s="906"/>
      <c r="J376" s="162"/>
      <c r="K376" s="161"/>
      <c r="L376" s="161"/>
      <c r="M376" s="169"/>
      <c r="N376" s="163" t="str">
        <f t="shared" si="9"/>
        <v/>
      </c>
      <c r="O376" s="41"/>
      <c r="P376" s="41"/>
      <c r="Q376" s="161" t="str">
        <f>+IF(OR(O376="Fire Control",O376="Fire Tex 5062",O376="Fire Tex 5090",O376="Fire Tex 5120"),'CALCULO PINTURA'!P928," ")</f>
        <v xml:space="preserve"> </v>
      </c>
      <c r="R376" s="164" t="str">
        <f>+IF(OR(O376="Fire Control",O376="Fire Tex 5062",O376="Fire Tex 5090",O376="Fire Tex 5120"),'CALCULO PINTURA'!R928," ")</f>
        <v xml:space="preserve"> </v>
      </c>
      <c r="S376" s="164" t="str">
        <f>+IF(OR(O376="Fire Control",O376="Fire Tex 5062",O376="Fire Tex 5090",O376="Fire Tex 5120"),'CALCULO PINTURA'!S928," ")</f>
        <v xml:space="preserve"> </v>
      </c>
      <c r="T376" s="874" t="str">
        <f>+IF(OR(O376="Blaze Shield II",O376="Cafco 400",O376="Cafco 300"),'CALCULO MORTERO'!N933," ")</f>
        <v xml:space="preserve"> </v>
      </c>
      <c r="U376" s="875" t="str">
        <f>+IF(OR(O376="Blaze Shield II",O376="Cafco 400",O376="Cafco 300"),'CALCULO MORTERO'!O933," ")</f>
        <v xml:space="preserve"> </v>
      </c>
      <c r="V376" s="161" t="str" cm="1">
        <f t="array" ref="V376">_xlfn.IFS(O376="Blaze Shield II",'CALCULO MORTERO'!P377, O376="Cafco 400",'CALCULO MORTERO'!Q377,O376="Cafco 300",'CALCULO MORTERO'!S377, AND(OR(O376="Fire tex 5090", O376="Fire Tex 5062", O376="Fire Tex 5120", O376="Fire Control"),Q376&gt;0), "CERT.",TRUE,"-")</f>
        <v>-</v>
      </c>
      <c r="W376" s="167"/>
      <c r="X376" s="167"/>
    </row>
    <row r="377" spans="1:24" x14ac:dyDescent="0.2">
      <c r="A377" s="903"/>
      <c r="B377" s="907"/>
      <c r="C377" s="874"/>
      <c r="D377" s="874"/>
      <c r="E377" s="874"/>
      <c r="F377" s="905"/>
      <c r="G377" s="874"/>
      <c r="H377" s="874"/>
      <c r="I377" s="906"/>
      <c r="J377" s="162"/>
      <c r="K377" s="161"/>
      <c r="L377" s="161"/>
      <c r="M377" s="169"/>
      <c r="N377" s="163" t="str">
        <f t="shared" si="9"/>
        <v/>
      </c>
      <c r="O377" s="41"/>
      <c r="P377" s="41"/>
      <c r="Q377" s="161" t="str">
        <f>+IF(OR(O377="Fire Control",O377="Fire Tex 5062",O377="Fire Tex 5090",O377="Fire Tex 5120"),'CALCULO PINTURA'!P929," ")</f>
        <v xml:space="preserve"> </v>
      </c>
      <c r="R377" s="164" t="str">
        <f>+IF(OR(O377="Fire Control",O377="Fire Tex 5062",O377="Fire Tex 5090",O377="Fire Tex 5120"),'CALCULO PINTURA'!R929," ")</f>
        <v xml:space="preserve"> </v>
      </c>
      <c r="S377" s="164" t="str">
        <f>+IF(OR(O377="Fire Control",O377="Fire Tex 5062",O377="Fire Tex 5090",O377="Fire Tex 5120"),'CALCULO PINTURA'!S929," ")</f>
        <v xml:space="preserve"> </v>
      </c>
      <c r="T377" s="874" t="str">
        <f>+IF(OR(O377="Blaze Shield II",O377="Cafco 400",O377="Cafco 300"),'CALCULO MORTERO'!N934," ")</f>
        <v xml:space="preserve"> </v>
      </c>
      <c r="U377" s="875" t="str">
        <f>+IF(OR(O377="Blaze Shield II",O377="Cafco 400",O377="Cafco 300"),'CALCULO MORTERO'!O934," ")</f>
        <v xml:space="preserve"> </v>
      </c>
      <c r="V377" s="161" t="str" cm="1">
        <f t="array" ref="V377">_xlfn.IFS(O377="Blaze Shield II",'CALCULO MORTERO'!P378, O377="Cafco 400",'CALCULO MORTERO'!Q378,O377="Cafco 300",'CALCULO MORTERO'!S378, AND(OR(O377="Fire tex 5090", O377="Fire Tex 5062", O377="Fire Tex 5120", O377="Fire Control"),Q377&gt;0), "CERT.",TRUE,"-")</f>
        <v>-</v>
      </c>
      <c r="W377" s="167"/>
      <c r="X377" s="167"/>
    </row>
    <row r="378" spans="1:24" x14ac:dyDescent="0.2">
      <c r="A378" s="903"/>
      <c r="B378" s="907"/>
      <c r="C378" s="874"/>
      <c r="D378" s="874"/>
      <c r="E378" s="874"/>
      <c r="F378" s="905"/>
      <c r="G378" s="874"/>
      <c r="H378" s="874"/>
      <c r="I378" s="906"/>
      <c r="J378" s="162"/>
      <c r="K378" s="161"/>
      <c r="L378" s="161"/>
      <c r="M378" s="169"/>
      <c r="N378" s="163" t="str">
        <f t="shared" si="9"/>
        <v/>
      </c>
      <c r="O378" s="41"/>
      <c r="P378" s="41"/>
      <c r="Q378" s="161" t="str">
        <f>+IF(OR(O378="Fire Control",O378="Fire Tex 5062",O378="Fire Tex 5090",O378="Fire Tex 5120"),'CALCULO PINTURA'!P930," ")</f>
        <v xml:space="preserve"> </v>
      </c>
      <c r="R378" s="164" t="str">
        <f>+IF(OR(O378="Fire Control",O378="Fire Tex 5062",O378="Fire Tex 5090",O378="Fire Tex 5120"),'CALCULO PINTURA'!R930," ")</f>
        <v xml:space="preserve"> </v>
      </c>
      <c r="S378" s="164" t="str">
        <f>+IF(OR(O378="Fire Control",O378="Fire Tex 5062",O378="Fire Tex 5090",O378="Fire Tex 5120"),'CALCULO PINTURA'!S930," ")</f>
        <v xml:space="preserve"> </v>
      </c>
      <c r="T378" s="874" t="str">
        <f>+IF(OR(O378="Blaze Shield II",O378="Cafco 400",O378="Cafco 300"),'CALCULO MORTERO'!N935," ")</f>
        <v xml:space="preserve"> </v>
      </c>
      <c r="U378" s="875" t="str">
        <f>+IF(OR(O378="Blaze Shield II",O378="Cafco 400",O378="Cafco 300"),'CALCULO MORTERO'!O935," ")</f>
        <v xml:space="preserve"> </v>
      </c>
      <c r="V378" s="161" t="str" cm="1">
        <f t="array" ref="V378">_xlfn.IFS(O378="Blaze Shield II",'CALCULO MORTERO'!P379, O378="Cafco 400",'CALCULO MORTERO'!Q379,O378="Cafco 300",'CALCULO MORTERO'!S379, AND(OR(O378="Fire tex 5090", O378="Fire Tex 5062", O378="Fire Tex 5120", O378="Fire Control"),Q378&gt;0), "CERT.",TRUE,"-")</f>
        <v>-</v>
      </c>
      <c r="W378" s="167"/>
      <c r="X378" s="167"/>
    </row>
    <row r="379" spans="1:24" x14ac:dyDescent="0.2">
      <c r="A379" s="903"/>
      <c r="B379" s="907"/>
      <c r="C379" s="874"/>
      <c r="D379" s="874"/>
      <c r="E379" s="874"/>
      <c r="F379" s="905"/>
      <c r="G379" s="874"/>
      <c r="H379" s="874"/>
      <c r="I379" s="906"/>
      <c r="J379" s="162"/>
      <c r="K379" s="161"/>
      <c r="L379" s="161"/>
      <c r="M379" s="169"/>
      <c r="N379" s="163" t="str">
        <f t="shared" si="9"/>
        <v/>
      </c>
      <c r="O379" s="41"/>
      <c r="P379" s="41"/>
      <c r="Q379" s="161" t="str">
        <f>+IF(OR(O379="Fire Control",O379="Fire Tex 5062",O379="Fire Tex 5090",O379="Fire Tex 5120"),'CALCULO PINTURA'!P931," ")</f>
        <v xml:space="preserve"> </v>
      </c>
      <c r="R379" s="164" t="str">
        <f>+IF(OR(O379="Fire Control",O379="Fire Tex 5062",O379="Fire Tex 5090",O379="Fire Tex 5120"),'CALCULO PINTURA'!R931," ")</f>
        <v xml:space="preserve"> </v>
      </c>
      <c r="S379" s="164" t="str">
        <f>+IF(OR(O379="Fire Control",O379="Fire Tex 5062",O379="Fire Tex 5090",O379="Fire Tex 5120"),'CALCULO PINTURA'!S931," ")</f>
        <v xml:space="preserve"> </v>
      </c>
      <c r="T379" s="874" t="str">
        <f>+IF(OR(O379="Blaze Shield II",O379="Cafco 400",O379="Cafco 300"),'CALCULO MORTERO'!N936," ")</f>
        <v xml:space="preserve"> </v>
      </c>
      <c r="U379" s="875" t="str">
        <f>+IF(OR(O379="Blaze Shield II",O379="Cafco 400",O379="Cafco 300"),'CALCULO MORTERO'!O936," ")</f>
        <v xml:space="preserve"> </v>
      </c>
      <c r="V379" s="161" t="str" cm="1">
        <f t="array" ref="V379">_xlfn.IFS(O379="Blaze Shield II",'CALCULO MORTERO'!P380, O379="Cafco 400",'CALCULO MORTERO'!Q380,O379="Cafco 300",'CALCULO MORTERO'!S380, AND(OR(O379="Fire tex 5090", O379="Fire Tex 5062", O379="Fire Tex 5120", O379="Fire Control"),Q379&gt;0), "CERT.",TRUE,"-")</f>
        <v>-</v>
      </c>
      <c r="W379" s="167"/>
      <c r="X379" s="167"/>
    </row>
    <row r="380" spans="1:24" x14ac:dyDescent="0.2">
      <c r="A380" s="903"/>
      <c r="B380" s="907"/>
      <c r="C380" s="874"/>
      <c r="D380" s="874"/>
      <c r="E380" s="874"/>
      <c r="F380" s="905"/>
      <c r="G380" s="874"/>
      <c r="H380" s="874"/>
      <c r="I380" s="906"/>
      <c r="J380" s="162"/>
      <c r="K380" s="161"/>
      <c r="L380" s="161"/>
      <c r="M380" s="169"/>
      <c r="N380" s="163" t="str">
        <f t="shared" si="9"/>
        <v/>
      </c>
      <c r="O380" s="41"/>
      <c r="P380" s="41"/>
      <c r="Q380" s="161" t="str">
        <f>+IF(OR(O380="Fire Control",O380="Fire Tex 5062",O380="Fire Tex 5090",O380="Fire Tex 5120"),'CALCULO PINTURA'!P932," ")</f>
        <v xml:space="preserve"> </v>
      </c>
      <c r="R380" s="164" t="str">
        <f>+IF(OR(O380="Fire Control",O380="Fire Tex 5062",O380="Fire Tex 5090",O380="Fire Tex 5120"),'CALCULO PINTURA'!R932," ")</f>
        <v xml:space="preserve"> </v>
      </c>
      <c r="S380" s="164" t="str">
        <f>+IF(OR(O380="Fire Control",O380="Fire Tex 5062",O380="Fire Tex 5090",O380="Fire Tex 5120"),'CALCULO PINTURA'!S932," ")</f>
        <v xml:space="preserve"> </v>
      </c>
      <c r="T380" s="874" t="str">
        <f>+IF(OR(O380="Blaze Shield II",O380="Cafco 400",O380="Cafco 300"),'CALCULO MORTERO'!N937," ")</f>
        <v xml:space="preserve"> </v>
      </c>
      <c r="U380" s="875" t="str">
        <f>+IF(OR(O380="Blaze Shield II",O380="Cafco 400",O380="Cafco 300"),'CALCULO MORTERO'!O937," ")</f>
        <v xml:space="preserve"> </v>
      </c>
      <c r="V380" s="161" t="str" cm="1">
        <f t="array" ref="V380">_xlfn.IFS(O380="Blaze Shield II",'CALCULO MORTERO'!P381, O380="Cafco 400",'CALCULO MORTERO'!Q381,O380="Cafco 300",'CALCULO MORTERO'!S381, AND(OR(O380="Fire tex 5090", O380="Fire Tex 5062", O380="Fire Tex 5120", O380="Fire Control"),Q380&gt;0), "CERT.",TRUE,"-")</f>
        <v>-</v>
      </c>
      <c r="W380" s="167"/>
      <c r="X380" s="167"/>
    </row>
    <row r="381" spans="1:24" x14ac:dyDescent="0.2">
      <c r="A381" s="903"/>
      <c r="B381" s="907"/>
      <c r="C381" s="874"/>
      <c r="D381" s="874"/>
      <c r="E381" s="874"/>
      <c r="F381" s="905"/>
      <c r="G381" s="874"/>
      <c r="H381" s="874"/>
      <c r="I381" s="906"/>
      <c r="J381" s="162"/>
      <c r="K381" s="161"/>
      <c r="L381" s="161"/>
      <c r="M381" s="169"/>
      <c r="N381" s="163" t="str">
        <f t="shared" si="9"/>
        <v/>
      </c>
      <c r="O381" s="41"/>
      <c r="P381" s="41"/>
      <c r="Q381" s="161" t="str">
        <f>+IF(OR(O381="Fire Control",O381="Fire Tex 5062",O381="Fire Tex 5090",O381="Fire Tex 5120"),'CALCULO PINTURA'!P933," ")</f>
        <v xml:space="preserve"> </v>
      </c>
      <c r="R381" s="164" t="str">
        <f>+IF(OR(O381="Fire Control",O381="Fire Tex 5062",O381="Fire Tex 5090",O381="Fire Tex 5120"),'CALCULO PINTURA'!R933," ")</f>
        <v xml:space="preserve"> </v>
      </c>
      <c r="S381" s="164" t="str">
        <f>+IF(OR(O381="Fire Control",O381="Fire Tex 5062",O381="Fire Tex 5090",O381="Fire Tex 5120"),'CALCULO PINTURA'!S933," ")</f>
        <v xml:space="preserve"> </v>
      </c>
      <c r="T381" s="874" t="str">
        <f>+IF(OR(O381="Blaze Shield II",O381="Cafco 400",O381="Cafco 300"),'CALCULO MORTERO'!N938," ")</f>
        <v xml:space="preserve"> </v>
      </c>
      <c r="U381" s="875" t="str">
        <f>+IF(OR(O381="Blaze Shield II",O381="Cafco 400",O381="Cafco 300"),'CALCULO MORTERO'!O938," ")</f>
        <v xml:space="preserve"> </v>
      </c>
      <c r="V381" s="161" t="str" cm="1">
        <f t="array" ref="V381">_xlfn.IFS(O381="Blaze Shield II",'CALCULO MORTERO'!P382, O381="Cafco 400",'CALCULO MORTERO'!Q382,O381="Cafco 300",'CALCULO MORTERO'!S382, AND(OR(O381="Fire tex 5090", O381="Fire Tex 5062", O381="Fire Tex 5120", O381="Fire Control"),Q381&gt;0), "CERT.",TRUE,"-")</f>
        <v>-</v>
      </c>
      <c r="W381" s="167"/>
      <c r="X381" s="167"/>
    </row>
    <row r="382" spans="1:24" x14ac:dyDescent="0.2">
      <c r="A382" s="903"/>
      <c r="B382" s="907"/>
      <c r="C382" s="874"/>
      <c r="D382" s="874"/>
      <c r="E382" s="874"/>
      <c r="F382" s="905"/>
      <c r="G382" s="874"/>
      <c r="H382" s="874"/>
      <c r="I382" s="906"/>
      <c r="J382" s="162"/>
      <c r="K382" s="161"/>
      <c r="L382" s="161"/>
      <c r="M382" s="169"/>
      <c r="N382" s="163" t="str">
        <f t="shared" si="9"/>
        <v/>
      </c>
      <c r="O382" s="41"/>
      <c r="P382" s="41"/>
      <c r="Q382" s="161" t="str">
        <f>+IF(OR(O382="Fire Control",O382="Fire Tex 5062",O382="Fire Tex 5090",O382="Fire Tex 5120"),'CALCULO PINTURA'!P934," ")</f>
        <v xml:space="preserve"> </v>
      </c>
      <c r="R382" s="164" t="str">
        <f>+IF(OR(O382="Fire Control",O382="Fire Tex 5062",O382="Fire Tex 5090",O382="Fire Tex 5120"),'CALCULO PINTURA'!R934," ")</f>
        <v xml:space="preserve"> </v>
      </c>
      <c r="S382" s="164" t="str">
        <f>+IF(OR(O382="Fire Control",O382="Fire Tex 5062",O382="Fire Tex 5090",O382="Fire Tex 5120"),'CALCULO PINTURA'!S934," ")</f>
        <v xml:space="preserve"> </v>
      </c>
      <c r="T382" s="874" t="str">
        <f>+IF(OR(O382="Blaze Shield II",O382="Cafco 400",O382="Cafco 300"),'CALCULO MORTERO'!N939," ")</f>
        <v xml:space="preserve"> </v>
      </c>
      <c r="U382" s="875" t="str">
        <f>+IF(OR(O382="Blaze Shield II",O382="Cafco 400",O382="Cafco 300"),'CALCULO MORTERO'!O939," ")</f>
        <v xml:space="preserve"> </v>
      </c>
      <c r="V382" s="161" t="str" cm="1">
        <f t="array" ref="V382">_xlfn.IFS(O382="Blaze Shield II",'CALCULO MORTERO'!P383, O382="Cafco 400",'CALCULO MORTERO'!Q383,O382="Cafco 300",'CALCULO MORTERO'!S383, AND(OR(O382="Fire tex 5090", O382="Fire Tex 5062", O382="Fire Tex 5120", O382="Fire Control"),Q382&gt;0), "CERT.",TRUE,"-")</f>
        <v>-</v>
      </c>
      <c r="W382" s="167"/>
      <c r="X382" s="167"/>
    </row>
    <row r="383" spans="1:24" x14ac:dyDescent="0.2">
      <c r="A383" s="903"/>
      <c r="B383" s="907"/>
      <c r="C383" s="874"/>
      <c r="D383" s="874"/>
      <c r="E383" s="874"/>
      <c r="F383" s="905"/>
      <c r="G383" s="874"/>
      <c r="H383" s="874"/>
      <c r="I383" s="906"/>
      <c r="J383" s="162"/>
      <c r="K383" s="161"/>
      <c r="L383" s="161"/>
      <c r="M383" s="169"/>
      <c r="N383" s="163" t="str">
        <f t="shared" si="9"/>
        <v/>
      </c>
      <c r="O383" s="41"/>
      <c r="P383" s="41"/>
      <c r="Q383" s="161" t="str">
        <f>+IF(OR(O383="Fire Control",O383="Fire Tex 5062",O383="Fire Tex 5090",O383="Fire Tex 5120"),'CALCULO PINTURA'!P960," ")</f>
        <v xml:space="preserve"> </v>
      </c>
      <c r="R383" s="164" t="str">
        <f>+IF(OR(O383="Fire Control",O383="Fire Tex 5062",O383="Fire Tex 5090",O383="Fire Tex 5120"),'CALCULO PINTURA'!R960," ")</f>
        <v xml:space="preserve"> </v>
      </c>
      <c r="S383" s="164" t="str">
        <f>+IF(OR(O383="Fire Control",O383="Fire Tex 5062",O383="Fire Tex 5090",O383="Fire Tex 5120"),'CALCULO PINTURA'!S960," ")</f>
        <v xml:space="preserve"> </v>
      </c>
      <c r="T383" s="874" t="str">
        <f>+IF(OR(O383="Blaze Shield II",O383="Cafco 400",O383="Cafco 300"),'CALCULO MORTERO'!N965," ")</f>
        <v xml:space="preserve"> </v>
      </c>
      <c r="U383" s="875" t="str">
        <f>+IF(OR(O383="Blaze Shield II",O383="Cafco 400",O383="Cafco 300"),'CALCULO MORTERO'!O965," ")</f>
        <v xml:space="preserve"> </v>
      </c>
      <c r="V383" s="161" t="str" cm="1">
        <f t="array" ref="V383">_xlfn.IFS(O383="Blaze Shield II",'CALCULO MORTERO'!P384, O383="Cafco 400",'CALCULO MORTERO'!Q384,O383="Cafco 300",'CALCULO MORTERO'!S384, AND(OR(O383="Fire tex 5090", O383="Fire Tex 5062", O383="Fire Tex 5120", O383="Fire Control"),Q383&gt;0), "CERT.",TRUE,"-")</f>
        <v>-</v>
      </c>
      <c r="W383" s="167"/>
      <c r="X383" s="167"/>
    </row>
    <row r="384" spans="1:24" x14ac:dyDescent="0.2">
      <c r="A384" s="903"/>
      <c r="B384" s="907"/>
      <c r="C384" s="874"/>
      <c r="D384" s="874"/>
      <c r="E384" s="874"/>
      <c r="F384" s="905"/>
      <c r="G384" s="874"/>
      <c r="H384" s="874"/>
      <c r="I384" s="906"/>
      <c r="J384" s="162"/>
      <c r="K384" s="161"/>
      <c r="L384" s="161"/>
      <c r="M384" s="169"/>
      <c r="N384" s="163" t="str">
        <f t="shared" si="9"/>
        <v/>
      </c>
      <c r="O384" s="41"/>
      <c r="P384" s="41"/>
      <c r="Q384" s="161" t="str">
        <f>+IF(OR(O384="Fire Control",O384="Fire Tex 5062",O384="Fire Tex 5090",O384="Fire Tex 5120"),'CALCULO PINTURA'!P385," ")</f>
        <v xml:space="preserve"> </v>
      </c>
      <c r="R384" s="164" t="str">
        <f>+IF(OR(O384="Fire Control",O384="Fire Tex 5062",O384="Fire Tex 5090",O384="Fire Tex 5120"),'CALCULO PINTURA'!R385," ")</f>
        <v xml:space="preserve"> </v>
      </c>
      <c r="S384" s="164" t="str">
        <f>+IF(OR(O384="Fire Control",O384="Fire Tex 5062",O384="Fire Tex 5090",O384="Fire Tex 5120"),'CALCULO PINTURA'!S385," ")</f>
        <v xml:space="preserve"> </v>
      </c>
      <c r="T384" s="874" t="str">
        <f>+IF(OR(O384="Blaze Shield II",O384="Cafco 400",O384="Cafco 300"),'CALCULO MORTERO'!N390," ")</f>
        <v xml:space="preserve"> </v>
      </c>
      <c r="U384" s="875" t="str">
        <f>+IF(OR(O384="Blaze Shield II",O384="Cafco 400",O384="Cafco 300"),'CALCULO MORTERO'!O390," ")</f>
        <v xml:space="preserve"> </v>
      </c>
      <c r="V384" s="161" t="str" cm="1">
        <f t="array" ref="V384">_xlfn.IFS(O384="Blaze Shield II",'CALCULO MORTERO'!P385, O384="Cafco 400",'CALCULO MORTERO'!Q385,O384="Cafco 300",'CALCULO MORTERO'!S385, AND(OR(O384="Fire tex 5090", O384="Fire Tex 5062", O384="Fire Tex 5120", O384="Fire Control"),Q384&gt;0), "CERT.",TRUE,"-")</f>
        <v>-</v>
      </c>
      <c r="W384" s="167"/>
      <c r="X384" s="167"/>
    </row>
    <row r="385" spans="1:24" x14ac:dyDescent="0.2">
      <c r="A385" s="903"/>
      <c r="B385" s="907"/>
      <c r="C385" s="874"/>
      <c r="D385" s="874"/>
      <c r="E385" s="874"/>
      <c r="F385" s="905"/>
      <c r="G385" s="874"/>
      <c r="H385" s="874"/>
      <c r="I385" s="906"/>
      <c r="J385" s="162"/>
      <c r="K385" s="161"/>
      <c r="L385" s="161"/>
      <c r="M385" s="169"/>
      <c r="N385" s="163" t="str">
        <f t="shared" si="9"/>
        <v/>
      </c>
      <c r="O385" s="41"/>
      <c r="P385" s="41"/>
      <c r="Q385" s="161" t="str">
        <f>+IF(OR(O385="Fire Control",O385="Fire Tex 5062",O385="Fire Tex 5090",O385="Fire Tex 5120"),'CALCULO PINTURA'!P386," ")</f>
        <v xml:space="preserve"> </v>
      </c>
      <c r="R385" s="164" t="str">
        <f>+IF(OR(O385="Fire Control",O385="Fire Tex 5062",O385="Fire Tex 5090",O385="Fire Tex 5120"),'CALCULO PINTURA'!R386," ")</f>
        <v xml:space="preserve"> </v>
      </c>
      <c r="S385" s="164" t="str">
        <f>+IF(OR(O385="Fire Control",O385="Fire Tex 5062",O385="Fire Tex 5090",O385="Fire Tex 5120"),'CALCULO PINTURA'!S386," ")</f>
        <v xml:space="preserve"> </v>
      </c>
      <c r="T385" s="874" t="str">
        <f>+IF(OR(O385="Blaze Shield II",O385="Cafco 400",O385="Cafco 300"),'CALCULO MORTERO'!N391," ")</f>
        <v xml:space="preserve"> </v>
      </c>
      <c r="U385" s="875" t="str">
        <f>+IF(OR(O385="Blaze Shield II",O385="Cafco 400",O385="Cafco 300"),'CALCULO MORTERO'!O391," ")</f>
        <v xml:space="preserve"> </v>
      </c>
      <c r="V385" s="161" t="str" cm="1">
        <f t="array" ref="V385">_xlfn.IFS(O385="Blaze Shield II",'CALCULO MORTERO'!P386, O385="Cafco 400",'CALCULO MORTERO'!Q386,O385="Cafco 300",'CALCULO MORTERO'!S386, AND(OR(O385="Fire tex 5090", O385="Fire Tex 5062", O385="Fire Tex 5120", O385="Fire Control"),Q385&gt;0), "CERT.",TRUE,"-")</f>
        <v>-</v>
      </c>
      <c r="W385" s="167"/>
      <c r="X385" s="167"/>
    </row>
    <row r="386" spans="1:24" x14ac:dyDescent="0.2">
      <c r="A386" s="903"/>
      <c r="B386" s="907"/>
      <c r="C386" s="874"/>
      <c r="D386" s="874"/>
      <c r="E386" s="874"/>
      <c r="F386" s="905"/>
      <c r="G386" s="874"/>
      <c r="H386" s="874"/>
      <c r="I386" s="906"/>
      <c r="J386" s="162"/>
      <c r="K386" s="161"/>
      <c r="L386" s="161"/>
      <c r="M386" s="169"/>
      <c r="N386" s="163" t="str">
        <f t="shared" si="9"/>
        <v/>
      </c>
      <c r="O386" s="41"/>
      <c r="P386" s="41"/>
      <c r="Q386" s="161" t="str">
        <f>+IF(OR(O386="Fire Control",O386="Fire Tex 5062",O386="Fire Tex 5090",O386="Fire Tex 5120"),'CALCULO PINTURA'!P387," ")</f>
        <v xml:space="preserve"> </v>
      </c>
      <c r="R386" s="164" t="str">
        <f>+IF(OR(O386="Fire Control",O386="Fire Tex 5062",O386="Fire Tex 5090",O386="Fire Tex 5120"),'CALCULO PINTURA'!R387," ")</f>
        <v xml:space="preserve"> </v>
      </c>
      <c r="S386" s="164" t="str">
        <f>+IF(OR(O386="Fire Control",O386="Fire Tex 5062",O386="Fire Tex 5090",O386="Fire Tex 5120"),'CALCULO PINTURA'!S387," ")</f>
        <v xml:space="preserve"> </v>
      </c>
      <c r="T386" s="874" t="str">
        <f>+IF(OR(O386="Blaze Shield II",O386="Cafco 400",O386="Cafco 300"),'CALCULO MORTERO'!N392," ")</f>
        <v xml:space="preserve"> </v>
      </c>
      <c r="U386" s="875" t="str">
        <f>+IF(OR(O386="Blaze Shield II",O386="Cafco 400",O386="Cafco 300"),'CALCULO MORTERO'!O392," ")</f>
        <v xml:space="preserve"> </v>
      </c>
      <c r="V386" s="161" t="str" cm="1">
        <f t="array" ref="V386">_xlfn.IFS(O386="Blaze Shield II",'CALCULO MORTERO'!P387, O386="Cafco 400",'CALCULO MORTERO'!Q387,O386="Cafco 300",'CALCULO MORTERO'!S387, AND(OR(O386="Fire tex 5090", O386="Fire Tex 5062", O386="Fire Tex 5120", O386="Fire Control"),Q386&gt;0), "CERT.",TRUE,"-")</f>
        <v>-</v>
      </c>
      <c r="W386" s="167"/>
      <c r="X386" s="167"/>
    </row>
    <row r="387" spans="1:24" x14ac:dyDescent="0.2">
      <c r="A387" s="903"/>
      <c r="B387" s="907"/>
      <c r="C387" s="874"/>
      <c r="D387" s="874"/>
      <c r="E387" s="874"/>
      <c r="F387" s="905"/>
      <c r="G387" s="874"/>
      <c r="H387" s="874"/>
      <c r="I387" s="906"/>
      <c r="J387" s="162"/>
      <c r="K387" s="161"/>
      <c r="L387" s="161"/>
      <c r="M387" s="169"/>
      <c r="N387" s="163" t="str">
        <f t="shared" si="9"/>
        <v/>
      </c>
      <c r="O387" s="41"/>
      <c r="P387" s="41"/>
      <c r="Q387" s="161" t="str">
        <f>+IF(OR(O387="Fire Control",O387="Fire Tex 5062",O387="Fire Tex 5090",O387="Fire Tex 5120"),'CALCULO PINTURA'!P388," ")</f>
        <v xml:space="preserve"> </v>
      </c>
      <c r="R387" s="164" t="str">
        <f>+IF(OR(O387="Fire Control",O387="Fire Tex 5062",O387="Fire Tex 5090",O387="Fire Tex 5120"),'CALCULO PINTURA'!R388," ")</f>
        <v xml:space="preserve"> </v>
      </c>
      <c r="S387" s="164" t="str">
        <f>+IF(OR(O387="Fire Control",O387="Fire Tex 5062",O387="Fire Tex 5090",O387="Fire Tex 5120"),'CALCULO PINTURA'!S388," ")</f>
        <v xml:space="preserve"> </v>
      </c>
      <c r="T387" s="874" t="str">
        <f>+IF(OR(O387="Blaze Shield II",O387="Cafco 400",O387="Cafco 300"),'CALCULO MORTERO'!N393," ")</f>
        <v xml:space="preserve"> </v>
      </c>
      <c r="U387" s="875" t="str">
        <f>+IF(OR(O387="Blaze Shield II",O387="Cafco 400",O387="Cafco 300"),'CALCULO MORTERO'!O393," ")</f>
        <v xml:space="preserve"> </v>
      </c>
      <c r="V387" s="161" t="str" cm="1">
        <f t="array" ref="V387">_xlfn.IFS(O387="Blaze Shield II",'CALCULO MORTERO'!P388, O387="Cafco 400",'CALCULO MORTERO'!Q388,O387="Cafco 300",'CALCULO MORTERO'!S388, AND(OR(O387="Fire tex 5090", O387="Fire Tex 5062", O387="Fire Tex 5120", O387="Fire Control"),Q387&gt;0), "CERT.",TRUE,"-")</f>
        <v>-</v>
      </c>
      <c r="W387" s="167"/>
      <c r="X387" s="167"/>
    </row>
    <row r="388" spans="1:24" x14ac:dyDescent="0.2">
      <c r="A388" s="903"/>
      <c r="B388" s="907"/>
      <c r="C388" s="874"/>
      <c r="D388" s="874"/>
      <c r="E388" s="874"/>
      <c r="F388" s="905"/>
      <c r="G388" s="874"/>
      <c r="H388" s="874"/>
      <c r="I388" s="906"/>
      <c r="J388" s="162"/>
      <c r="K388" s="161"/>
      <c r="L388" s="161"/>
      <c r="M388" s="169"/>
      <c r="N388" s="163" t="str">
        <f t="shared" ref="N388:N451" si="10">+IF(F388="","",(K388*I388*H388*G388)/1000000)</f>
        <v/>
      </c>
      <c r="O388" s="41"/>
      <c r="P388" s="41"/>
      <c r="Q388" s="161" t="str">
        <f>+IF(OR(O388="Fire Control",O388="Fire Tex 5062",O388="Fire Tex 5090",O388="Fire Tex 5120"),'CALCULO PINTURA'!P389," ")</f>
        <v xml:space="preserve"> </v>
      </c>
      <c r="R388" s="164" t="str">
        <f>+IF(OR(O388="Fire Control",O388="Fire Tex 5062",O388="Fire Tex 5090",O388="Fire Tex 5120"),'CALCULO PINTURA'!R389," ")</f>
        <v xml:space="preserve"> </v>
      </c>
      <c r="S388" s="164" t="str">
        <f>+IF(OR(O388="Fire Control",O388="Fire Tex 5062",O388="Fire Tex 5090",O388="Fire Tex 5120"),'CALCULO PINTURA'!S389," ")</f>
        <v xml:space="preserve"> </v>
      </c>
      <c r="T388" s="874" t="str">
        <f>+IF(OR(O388="Blaze Shield II",O388="Cafco 400",O388="Cafco 300"),'CALCULO MORTERO'!N394," ")</f>
        <v xml:space="preserve"> </v>
      </c>
      <c r="U388" s="875" t="str">
        <f>+IF(OR(O388="Blaze Shield II",O388="Cafco 400",O388="Cafco 300"),'CALCULO MORTERO'!O394," ")</f>
        <v xml:space="preserve"> </v>
      </c>
      <c r="V388" s="161" t="str" cm="1">
        <f t="array" ref="V388">_xlfn.IFS(O388="Blaze Shield II",'CALCULO MORTERO'!P389, O388="Cafco 400",'CALCULO MORTERO'!Q389,O388="Cafco 300",'CALCULO MORTERO'!S389, AND(OR(O388="Fire tex 5090", O388="Fire Tex 5062", O388="Fire Tex 5120", O388="Fire Control"),Q388&gt;0), "CERT.",TRUE,"-")</f>
        <v>-</v>
      </c>
      <c r="W388" s="167"/>
      <c r="X388" s="167"/>
    </row>
    <row r="389" spans="1:24" x14ac:dyDescent="0.2">
      <c r="A389" s="903"/>
      <c r="B389" s="907"/>
      <c r="C389" s="874"/>
      <c r="D389" s="874"/>
      <c r="E389" s="874"/>
      <c r="F389" s="905"/>
      <c r="G389" s="874"/>
      <c r="H389" s="874"/>
      <c r="I389" s="906"/>
      <c r="J389" s="162"/>
      <c r="K389" s="161"/>
      <c r="L389" s="161"/>
      <c r="M389" s="169"/>
      <c r="N389" s="163" t="str">
        <f t="shared" si="10"/>
        <v/>
      </c>
      <c r="O389" s="41"/>
      <c r="P389" s="41"/>
      <c r="Q389" s="161" t="str">
        <f>+IF(OR(O389="Fire Control",O389="Fire Tex 5062",O389="Fire Tex 5090",O389="Fire Tex 5120"),'CALCULO PINTURA'!P390," ")</f>
        <v xml:space="preserve"> </v>
      </c>
      <c r="R389" s="164" t="str">
        <f>+IF(OR(O389="Fire Control",O389="Fire Tex 5062",O389="Fire Tex 5090",O389="Fire Tex 5120"),'CALCULO PINTURA'!R390," ")</f>
        <v xml:space="preserve"> </v>
      </c>
      <c r="S389" s="164" t="str">
        <f>+IF(OR(O389="Fire Control",O389="Fire Tex 5062",O389="Fire Tex 5090",O389="Fire Tex 5120"),'CALCULO PINTURA'!S390," ")</f>
        <v xml:space="preserve"> </v>
      </c>
      <c r="T389" s="874" t="str">
        <f>+IF(OR(O389="Blaze Shield II",O389="Cafco 400",O389="Cafco 300"),'CALCULO MORTERO'!N395," ")</f>
        <v xml:space="preserve"> </v>
      </c>
      <c r="U389" s="875" t="str">
        <f>+IF(OR(O389="Blaze Shield II",O389="Cafco 400",O389="Cafco 300"),'CALCULO MORTERO'!O395," ")</f>
        <v xml:space="preserve"> </v>
      </c>
      <c r="V389" s="161" t="str" cm="1">
        <f t="array" ref="V389">_xlfn.IFS(O389="Blaze Shield II",'CALCULO MORTERO'!P390, O389="Cafco 400",'CALCULO MORTERO'!Q390,O389="Cafco 300",'CALCULO MORTERO'!S390, AND(OR(O389="Fire tex 5090", O389="Fire Tex 5062", O389="Fire Tex 5120", O389="Fire Control"),Q389&gt;0), "CERT.",TRUE,"-")</f>
        <v>-</v>
      </c>
      <c r="W389" s="167"/>
      <c r="X389" s="167"/>
    </row>
    <row r="390" spans="1:24" x14ac:dyDescent="0.2">
      <c r="A390" s="903"/>
      <c r="B390" s="907"/>
      <c r="C390" s="874"/>
      <c r="D390" s="874"/>
      <c r="E390" s="874"/>
      <c r="F390" s="905"/>
      <c r="G390" s="874"/>
      <c r="H390" s="874"/>
      <c r="I390" s="906"/>
      <c r="J390" s="162"/>
      <c r="K390" s="161"/>
      <c r="L390" s="161"/>
      <c r="M390" s="169"/>
      <c r="N390" s="163" t="str">
        <f t="shared" si="10"/>
        <v/>
      </c>
      <c r="O390" s="41"/>
      <c r="P390" s="41"/>
      <c r="Q390" s="161" t="str">
        <f>+IF(OR(O390="Fire Control",O390="Fire Tex 5062",O390="Fire Tex 5090",O390="Fire Tex 5120"),'CALCULO PINTURA'!P966," ")</f>
        <v xml:space="preserve"> </v>
      </c>
      <c r="R390" s="164" t="str">
        <f>+IF(OR(O390="Fire Control",O390="Fire Tex 5062",O390="Fire Tex 5090",O390="Fire Tex 5120"),'CALCULO PINTURA'!R966," ")</f>
        <v xml:space="preserve"> </v>
      </c>
      <c r="S390" s="164" t="str">
        <f>+IF(OR(O390="Fire Control",O390="Fire Tex 5062",O390="Fire Tex 5090",O390="Fire Tex 5120"),'CALCULO PINTURA'!S966," ")</f>
        <v xml:space="preserve"> </v>
      </c>
      <c r="T390" s="874" t="str">
        <f>+IF(OR(O390="Blaze Shield II",O390="Cafco 400",O390="Cafco 300"),'CALCULO MORTERO'!N971," ")</f>
        <v xml:space="preserve"> </v>
      </c>
      <c r="U390" s="875" t="str">
        <f>+IF(OR(O390="Blaze Shield II",O390="Cafco 400",O390="Cafco 300"),'CALCULO MORTERO'!O971," ")</f>
        <v xml:space="preserve"> </v>
      </c>
      <c r="V390" s="161" t="str" cm="1">
        <f t="array" ref="V390">_xlfn.IFS(O390="Blaze Shield II",'CALCULO MORTERO'!P391, O390="Cafco 400",'CALCULO MORTERO'!Q391,O390="Cafco 300",'CALCULO MORTERO'!S391, AND(OR(O390="Fire tex 5090", O390="Fire Tex 5062", O390="Fire Tex 5120", O390="Fire Control"),Q390&gt;0), "CERT.",TRUE,"-")</f>
        <v>-</v>
      </c>
      <c r="W390" s="167"/>
      <c r="X390" s="167"/>
    </row>
    <row r="391" spans="1:24" x14ac:dyDescent="0.2">
      <c r="A391" s="903"/>
      <c r="B391" s="907"/>
      <c r="C391" s="874"/>
      <c r="D391" s="874"/>
      <c r="E391" s="874"/>
      <c r="F391" s="905"/>
      <c r="G391" s="874"/>
      <c r="H391" s="874"/>
      <c r="I391" s="906"/>
      <c r="J391" s="162"/>
      <c r="K391" s="161"/>
      <c r="L391" s="161"/>
      <c r="M391" s="169"/>
      <c r="N391" s="163" t="str">
        <f t="shared" si="10"/>
        <v/>
      </c>
      <c r="O391" s="41"/>
      <c r="P391" s="41"/>
      <c r="Q391" s="161" t="str">
        <f>+IF(OR(O391="Fire Control",O391="Fire Tex 5062",O391="Fire Tex 5090",O391="Fire Tex 5120"),'CALCULO PINTURA'!P967," ")</f>
        <v xml:space="preserve"> </v>
      </c>
      <c r="R391" s="164" t="str">
        <f>+IF(OR(O391="Fire Control",O391="Fire Tex 5062",O391="Fire Tex 5090",O391="Fire Tex 5120"),'CALCULO PINTURA'!R967," ")</f>
        <v xml:space="preserve"> </v>
      </c>
      <c r="S391" s="164" t="str">
        <f>+IF(OR(O391="Fire Control",O391="Fire Tex 5062",O391="Fire Tex 5090",O391="Fire Tex 5120"),'CALCULO PINTURA'!S967," ")</f>
        <v xml:space="preserve"> </v>
      </c>
      <c r="T391" s="874" t="str">
        <f>+IF(OR(O391="Blaze Shield II",O391="Cafco 400",O391="Cafco 300"),'CALCULO MORTERO'!N972," ")</f>
        <v xml:space="preserve"> </v>
      </c>
      <c r="U391" s="875" t="str">
        <f>+IF(OR(O391="Blaze Shield II",O391="Cafco 400",O391="Cafco 300"),'CALCULO MORTERO'!O972," ")</f>
        <v xml:space="preserve"> </v>
      </c>
      <c r="V391" s="161" t="str" cm="1">
        <f t="array" ref="V391">_xlfn.IFS(O391="Blaze Shield II",'CALCULO MORTERO'!P392, O391="Cafco 400",'CALCULO MORTERO'!Q392,O391="Cafco 300",'CALCULO MORTERO'!S392, AND(OR(O391="Fire tex 5090", O391="Fire Tex 5062", O391="Fire Tex 5120", O391="Fire Control"),Q391&gt;0), "CERT.",TRUE,"-")</f>
        <v>-</v>
      </c>
      <c r="W391" s="167"/>
      <c r="X391" s="167"/>
    </row>
    <row r="392" spans="1:24" x14ac:dyDescent="0.2">
      <c r="A392" s="903"/>
      <c r="B392" s="907"/>
      <c r="C392" s="874"/>
      <c r="D392" s="874"/>
      <c r="E392" s="874"/>
      <c r="F392" s="905"/>
      <c r="G392" s="874"/>
      <c r="H392" s="874"/>
      <c r="I392" s="906"/>
      <c r="J392" s="162"/>
      <c r="K392" s="161"/>
      <c r="L392" s="161"/>
      <c r="M392" s="169"/>
      <c r="N392" s="163" t="str">
        <f t="shared" si="10"/>
        <v/>
      </c>
      <c r="O392" s="41"/>
      <c r="P392" s="41"/>
      <c r="Q392" s="161" t="str">
        <f>+IF(OR(O392="Fire Control",O392="Fire Tex 5062",O392="Fire Tex 5090",O392="Fire Tex 5120"),'CALCULO PINTURA'!P972," ")</f>
        <v xml:space="preserve"> </v>
      </c>
      <c r="R392" s="164" t="str">
        <f>+IF(OR(O392="Fire Control",O392="Fire Tex 5062",O392="Fire Tex 5090",O392="Fire Tex 5120"),'CALCULO PINTURA'!R972," ")</f>
        <v xml:space="preserve"> </v>
      </c>
      <c r="S392" s="164" t="str">
        <f>+IF(OR(O392="Fire Control",O392="Fire Tex 5062",O392="Fire Tex 5090",O392="Fire Tex 5120"),'CALCULO PINTURA'!S972," ")</f>
        <v xml:space="preserve"> </v>
      </c>
      <c r="T392" s="874" t="str">
        <f>+IF(OR(O392="Blaze Shield II",O392="Cafco 400",O392="Cafco 300"),'CALCULO MORTERO'!N977," ")</f>
        <v xml:space="preserve"> </v>
      </c>
      <c r="U392" s="875" t="str">
        <f>+IF(OR(O392="Blaze Shield II",O392="Cafco 400",O392="Cafco 300"),'CALCULO MORTERO'!O977," ")</f>
        <v xml:space="preserve"> </v>
      </c>
      <c r="V392" s="161" t="str" cm="1">
        <f t="array" ref="V392">_xlfn.IFS(O392="Blaze Shield II",'CALCULO MORTERO'!P393, O392="Cafco 400",'CALCULO MORTERO'!Q393,O392="Cafco 300",'CALCULO MORTERO'!S393, AND(OR(O392="Fire tex 5090", O392="Fire Tex 5062", O392="Fire Tex 5120", O392="Fire Control"),Q392&gt;0), "CERT.",TRUE,"-")</f>
        <v>-</v>
      </c>
      <c r="W392" s="167"/>
      <c r="X392" s="167"/>
    </row>
    <row r="393" spans="1:24" x14ac:dyDescent="0.2">
      <c r="A393" s="903"/>
      <c r="B393" s="907"/>
      <c r="C393" s="874"/>
      <c r="D393" s="874"/>
      <c r="E393" s="874"/>
      <c r="F393" s="905"/>
      <c r="G393" s="874"/>
      <c r="H393" s="874"/>
      <c r="I393" s="906"/>
      <c r="J393" s="162"/>
      <c r="K393" s="161"/>
      <c r="L393" s="161"/>
      <c r="M393" s="169"/>
      <c r="N393" s="163" t="str">
        <f t="shared" si="10"/>
        <v/>
      </c>
      <c r="O393" s="41"/>
      <c r="P393" s="41"/>
      <c r="Q393" s="161" t="str">
        <f>+IF(OR(O393="Fire Control",O393="Fire Tex 5062",O393="Fire Tex 5090",O393="Fire Tex 5120"),'CALCULO PINTURA'!P973," ")</f>
        <v xml:space="preserve"> </v>
      </c>
      <c r="R393" s="164" t="str">
        <f>+IF(OR(O393="Fire Control",O393="Fire Tex 5062",O393="Fire Tex 5090",O393="Fire Tex 5120"),'CALCULO PINTURA'!R973," ")</f>
        <v xml:space="preserve"> </v>
      </c>
      <c r="S393" s="164" t="str">
        <f>+IF(OR(O393="Fire Control",O393="Fire Tex 5062",O393="Fire Tex 5090",O393="Fire Tex 5120"),'CALCULO PINTURA'!S973," ")</f>
        <v xml:space="preserve"> </v>
      </c>
      <c r="T393" s="874" t="str">
        <f>+IF(OR(O393="Blaze Shield II",O393="Cafco 400",O393="Cafco 300"),'CALCULO MORTERO'!N978," ")</f>
        <v xml:space="preserve"> </v>
      </c>
      <c r="U393" s="875" t="str">
        <f>+IF(OR(O393="Blaze Shield II",O393="Cafco 400",O393="Cafco 300"),'CALCULO MORTERO'!O978," ")</f>
        <v xml:space="preserve"> </v>
      </c>
      <c r="V393" s="161" t="str" cm="1">
        <f t="array" ref="V393">_xlfn.IFS(O393="Blaze Shield II",'CALCULO MORTERO'!P394, O393="Cafco 400",'CALCULO MORTERO'!Q394,O393="Cafco 300",'CALCULO MORTERO'!S394, AND(OR(O393="Fire tex 5090", O393="Fire Tex 5062", O393="Fire Tex 5120", O393="Fire Control"),Q393&gt;0), "CERT.",TRUE,"-")</f>
        <v>-</v>
      </c>
      <c r="W393" s="167"/>
      <c r="X393" s="167"/>
    </row>
    <row r="394" spans="1:24" x14ac:dyDescent="0.2">
      <c r="A394" s="903"/>
      <c r="B394" s="907"/>
      <c r="C394" s="874"/>
      <c r="D394" s="874"/>
      <c r="E394" s="874"/>
      <c r="F394" s="905"/>
      <c r="G394" s="874"/>
      <c r="H394" s="874"/>
      <c r="I394" s="906"/>
      <c r="J394" s="162"/>
      <c r="K394" s="161"/>
      <c r="L394" s="161"/>
      <c r="M394" s="169"/>
      <c r="N394" s="163" t="str">
        <f t="shared" si="10"/>
        <v/>
      </c>
      <c r="O394" s="41"/>
      <c r="P394" s="41"/>
      <c r="Q394" s="161" t="str">
        <f>+IF(OR(O394="Fire Control",O394="Fire Tex 5062",O394="Fire Tex 5090",O394="Fire Tex 5120"),'CALCULO PINTURA'!P395," ")</f>
        <v xml:space="preserve"> </v>
      </c>
      <c r="R394" s="164" t="str">
        <f>+IF(OR(O394="Fire Control",O394="Fire Tex 5062",O394="Fire Tex 5090",O394="Fire Tex 5120"),'CALCULO PINTURA'!R395," ")</f>
        <v xml:space="preserve"> </v>
      </c>
      <c r="S394" s="164" t="str">
        <f>+IF(OR(O394="Fire Control",O394="Fire Tex 5062",O394="Fire Tex 5090",O394="Fire Tex 5120"),'CALCULO PINTURA'!S395," ")</f>
        <v xml:space="preserve"> </v>
      </c>
      <c r="T394" s="874" t="str">
        <f>+IF(OR(O394="Blaze Shield II",O394="Cafco 400",O394="Cafco 300"),'CALCULO MORTERO'!N400," ")</f>
        <v xml:space="preserve"> </v>
      </c>
      <c r="U394" s="875" t="str">
        <f>+IF(OR(O394="Blaze Shield II",O394="Cafco 400",O394="Cafco 300"),'CALCULO MORTERO'!O400," ")</f>
        <v xml:space="preserve"> </v>
      </c>
      <c r="V394" s="161" t="str" cm="1">
        <f t="array" ref="V394">_xlfn.IFS(O394="Blaze Shield II",'CALCULO MORTERO'!P395, O394="Cafco 400",'CALCULO MORTERO'!Q395,O394="Cafco 300",'CALCULO MORTERO'!S395, AND(OR(O394="Fire tex 5090", O394="Fire Tex 5062", O394="Fire Tex 5120", O394="Fire Control"),Q394&gt;0), "CERT.",TRUE,"-")</f>
        <v>-</v>
      </c>
      <c r="W394" s="167"/>
      <c r="X394" s="167"/>
    </row>
    <row r="395" spans="1:24" x14ac:dyDescent="0.2">
      <c r="A395" s="903"/>
      <c r="B395" s="907"/>
      <c r="C395" s="874"/>
      <c r="D395" s="874"/>
      <c r="E395" s="874"/>
      <c r="F395" s="905"/>
      <c r="G395" s="874"/>
      <c r="H395" s="874"/>
      <c r="I395" s="906"/>
      <c r="J395" s="162"/>
      <c r="K395" s="161"/>
      <c r="L395" s="161"/>
      <c r="M395" s="169"/>
      <c r="N395" s="163" t="str">
        <f t="shared" si="10"/>
        <v/>
      </c>
      <c r="O395" s="41"/>
      <c r="P395" s="41"/>
      <c r="Q395" s="161" t="str">
        <f>+IF(OR(O395="Fire Control",O395="Fire Tex 5062",O395="Fire Tex 5090",O395="Fire Tex 5120"),'CALCULO PINTURA'!P396," ")</f>
        <v xml:space="preserve"> </v>
      </c>
      <c r="R395" s="164" t="str">
        <f>+IF(OR(O395="Fire Control",O395="Fire Tex 5062",O395="Fire Tex 5090",O395="Fire Tex 5120"),'CALCULO PINTURA'!R396," ")</f>
        <v xml:space="preserve"> </v>
      </c>
      <c r="S395" s="164" t="str">
        <f>+IF(OR(O395="Fire Control",O395="Fire Tex 5062",O395="Fire Tex 5090",O395="Fire Tex 5120"),'CALCULO PINTURA'!S396," ")</f>
        <v xml:space="preserve"> </v>
      </c>
      <c r="T395" s="874" t="str">
        <f>+IF(OR(O395="Blaze Shield II",O395="Cafco 400",O395="Cafco 300"),'CALCULO MORTERO'!N401," ")</f>
        <v xml:space="preserve"> </v>
      </c>
      <c r="U395" s="875" t="str">
        <f>+IF(OR(O395="Blaze Shield II",O395="Cafco 400",O395="Cafco 300"),'CALCULO MORTERO'!O401," ")</f>
        <v xml:space="preserve"> </v>
      </c>
      <c r="V395" s="161" t="str" cm="1">
        <f t="array" ref="V395">_xlfn.IFS(O395="Blaze Shield II",'CALCULO MORTERO'!P396, O395="Cafco 400",'CALCULO MORTERO'!Q396,O395="Cafco 300",'CALCULO MORTERO'!S396, AND(OR(O395="Fire tex 5090", O395="Fire Tex 5062", O395="Fire Tex 5120", O395="Fire Control"),Q395&gt;0), "CERT.",TRUE,"-")</f>
        <v>-</v>
      </c>
      <c r="W395" s="167"/>
      <c r="X395" s="167"/>
    </row>
    <row r="396" spans="1:24" x14ac:dyDescent="0.2">
      <c r="A396" s="903"/>
      <c r="B396" s="907"/>
      <c r="C396" s="874"/>
      <c r="D396" s="874"/>
      <c r="E396" s="874"/>
      <c r="F396" s="905"/>
      <c r="G396" s="874"/>
      <c r="H396" s="874"/>
      <c r="I396" s="906"/>
      <c r="J396" s="162"/>
      <c r="K396" s="161"/>
      <c r="L396" s="161"/>
      <c r="M396" s="169"/>
      <c r="N396" s="163" t="str">
        <f t="shared" si="10"/>
        <v/>
      </c>
      <c r="O396" s="41"/>
      <c r="P396" s="41"/>
      <c r="Q396" s="161" t="str">
        <f>+IF(OR(O396="Fire Control",O396="Fire Tex 5062",O396="Fire Tex 5090",O396="Fire Tex 5120"),'CALCULO PINTURA'!P397," ")</f>
        <v xml:space="preserve"> </v>
      </c>
      <c r="R396" s="164" t="str">
        <f>+IF(OR(O396="Fire Control",O396="Fire Tex 5062",O396="Fire Tex 5090",O396="Fire Tex 5120"),'CALCULO PINTURA'!R397," ")</f>
        <v xml:space="preserve"> </v>
      </c>
      <c r="S396" s="164" t="str">
        <f>+IF(OR(O396="Fire Control",O396="Fire Tex 5062",O396="Fire Tex 5090",O396="Fire Tex 5120"),'CALCULO PINTURA'!S397," ")</f>
        <v xml:space="preserve"> </v>
      </c>
      <c r="T396" s="874" t="str">
        <f>+IF(OR(O396="Blaze Shield II",O396="Cafco 400",O396="Cafco 300"),'CALCULO MORTERO'!N402," ")</f>
        <v xml:space="preserve"> </v>
      </c>
      <c r="U396" s="875" t="str">
        <f>+IF(OR(O396="Blaze Shield II",O396="Cafco 400",O396="Cafco 300"),'CALCULO MORTERO'!O402," ")</f>
        <v xml:space="preserve"> </v>
      </c>
      <c r="V396" s="161" t="str" cm="1">
        <f t="array" ref="V396">_xlfn.IFS(O396="Blaze Shield II",'CALCULO MORTERO'!P397, O396="Cafco 400",'CALCULO MORTERO'!Q397,O396="Cafco 300",'CALCULO MORTERO'!S397, AND(OR(O396="Fire tex 5090", O396="Fire Tex 5062", O396="Fire Tex 5120", O396="Fire Control"),Q396&gt;0), "CERT.",TRUE,"-")</f>
        <v>-</v>
      </c>
      <c r="W396" s="167"/>
      <c r="X396" s="167"/>
    </row>
    <row r="397" spans="1:24" x14ac:dyDescent="0.2">
      <c r="A397" s="903"/>
      <c r="B397" s="907"/>
      <c r="C397" s="874"/>
      <c r="D397" s="874"/>
      <c r="E397" s="874"/>
      <c r="F397" s="905"/>
      <c r="G397" s="874"/>
      <c r="H397" s="874"/>
      <c r="I397" s="906"/>
      <c r="J397" s="162"/>
      <c r="K397" s="161"/>
      <c r="L397" s="161"/>
      <c r="M397" s="169"/>
      <c r="N397" s="163" t="str">
        <f t="shared" si="10"/>
        <v/>
      </c>
      <c r="O397" s="41"/>
      <c r="P397" s="41"/>
      <c r="Q397" s="161" t="str">
        <f>+IF(OR(O397="Fire Control",O397="Fire Tex 5062",O397="Fire Tex 5090",O397="Fire Tex 5120"),'CALCULO PINTURA'!P974," ")</f>
        <v xml:space="preserve"> </v>
      </c>
      <c r="R397" s="164" t="str">
        <f>+IF(OR(O397="Fire Control",O397="Fire Tex 5062",O397="Fire Tex 5090",O397="Fire Tex 5120"),'CALCULO PINTURA'!R974," ")</f>
        <v xml:space="preserve"> </v>
      </c>
      <c r="S397" s="164" t="str">
        <f>+IF(OR(O397="Fire Control",O397="Fire Tex 5062",O397="Fire Tex 5090",O397="Fire Tex 5120"),'CALCULO PINTURA'!S974," ")</f>
        <v xml:space="preserve"> </v>
      </c>
      <c r="T397" s="874" t="str">
        <f>+IF(OR(O397="Blaze Shield II",O397="Cafco 400",O397="Cafco 300"),'CALCULO MORTERO'!N979," ")</f>
        <v xml:space="preserve"> </v>
      </c>
      <c r="U397" s="875" t="str">
        <f>+IF(OR(O397="Blaze Shield II",O397="Cafco 400",O397="Cafco 300"),'CALCULO MORTERO'!O979," ")</f>
        <v xml:space="preserve"> </v>
      </c>
      <c r="V397" s="161" t="str" cm="1">
        <f t="array" ref="V397">_xlfn.IFS(O397="Blaze Shield II",'CALCULO MORTERO'!P398, O397="Cafco 400",'CALCULO MORTERO'!Q398,O397="Cafco 300",'CALCULO MORTERO'!S398, AND(OR(O397="Fire tex 5090", O397="Fire Tex 5062", O397="Fire Tex 5120", O397="Fire Control"),Q397&gt;0), "CERT.",TRUE,"-")</f>
        <v>-</v>
      </c>
      <c r="W397" s="167"/>
      <c r="X397" s="167"/>
    </row>
    <row r="398" spans="1:24" x14ac:dyDescent="0.2">
      <c r="A398" s="903"/>
      <c r="B398" s="907"/>
      <c r="C398" s="874"/>
      <c r="D398" s="874"/>
      <c r="E398" s="874"/>
      <c r="F398" s="905"/>
      <c r="G398" s="874"/>
      <c r="H398" s="874"/>
      <c r="I398" s="906"/>
      <c r="J398" s="162"/>
      <c r="K398" s="161"/>
      <c r="L398" s="161"/>
      <c r="M398" s="169"/>
      <c r="N398" s="163" t="str">
        <f t="shared" si="10"/>
        <v/>
      </c>
      <c r="O398" s="41"/>
      <c r="P398" s="41"/>
      <c r="Q398" s="161" t="str">
        <f>+IF(OR(O398="Fire Control",O398="Fire Tex 5062",O398="Fire Tex 5090",O398="Fire Tex 5120"),'CALCULO PINTURA'!P975," ")</f>
        <v xml:space="preserve"> </v>
      </c>
      <c r="R398" s="164" t="str">
        <f>+IF(OR(O398="Fire Control",O398="Fire Tex 5062",O398="Fire Tex 5090",O398="Fire Tex 5120"),'CALCULO PINTURA'!R975," ")</f>
        <v xml:space="preserve"> </v>
      </c>
      <c r="S398" s="164" t="str">
        <f>+IF(OR(O398="Fire Control",O398="Fire Tex 5062",O398="Fire Tex 5090",O398="Fire Tex 5120"),'CALCULO PINTURA'!S975," ")</f>
        <v xml:space="preserve"> </v>
      </c>
      <c r="T398" s="874" t="str">
        <f>+IF(OR(O398="Blaze Shield II",O398="Cafco 400",O398="Cafco 300"),'CALCULO MORTERO'!N980," ")</f>
        <v xml:space="preserve"> </v>
      </c>
      <c r="U398" s="875" t="str">
        <f>+IF(OR(O398="Blaze Shield II",O398="Cafco 400",O398="Cafco 300"),'CALCULO MORTERO'!O980," ")</f>
        <v xml:space="preserve"> </v>
      </c>
      <c r="V398" s="161" t="str" cm="1">
        <f t="array" ref="V398">_xlfn.IFS(O398="Blaze Shield II",'CALCULO MORTERO'!P399, O398="Cafco 400",'CALCULO MORTERO'!Q399,O398="Cafco 300",'CALCULO MORTERO'!S399, AND(OR(O398="Fire tex 5090", O398="Fire Tex 5062", O398="Fire Tex 5120", O398="Fire Control"),Q398&gt;0), "CERT.",TRUE,"-")</f>
        <v>-</v>
      </c>
      <c r="W398" s="167"/>
      <c r="X398" s="167"/>
    </row>
    <row r="399" spans="1:24" x14ac:dyDescent="0.2">
      <c r="A399" s="903"/>
      <c r="B399" s="907"/>
      <c r="C399" s="874"/>
      <c r="D399" s="874"/>
      <c r="E399" s="874"/>
      <c r="F399" s="905"/>
      <c r="G399" s="874"/>
      <c r="H399" s="874"/>
      <c r="I399" s="906"/>
      <c r="J399" s="162"/>
      <c r="K399" s="161"/>
      <c r="L399" s="161"/>
      <c r="M399" s="169"/>
      <c r="N399" s="163" t="str">
        <f t="shared" si="10"/>
        <v/>
      </c>
      <c r="O399" s="41"/>
      <c r="P399" s="41"/>
      <c r="Q399" s="161" t="str">
        <f>+IF(OR(O399="Fire Control",O399="Fire Tex 5062",O399="Fire Tex 5090",O399="Fire Tex 5120"),'CALCULO PINTURA'!P976," ")</f>
        <v xml:space="preserve"> </v>
      </c>
      <c r="R399" s="164" t="str">
        <f>+IF(OR(O399="Fire Control",O399="Fire Tex 5062",O399="Fire Tex 5090",O399="Fire Tex 5120"),'CALCULO PINTURA'!R976," ")</f>
        <v xml:space="preserve"> </v>
      </c>
      <c r="S399" s="164" t="str">
        <f>+IF(OR(O399="Fire Control",O399="Fire Tex 5062",O399="Fire Tex 5090",O399="Fire Tex 5120"),'CALCULO PINTURA'!S976," ")</f>
        <v xml:space="preserve"> </v>
      </c>
      <c r="T399" s="874" t="str">
        <f>+IF(OR(O399="Blaze Shield II",O399="Cafco 400",O399="Cafco 300"),'CALCULO MORTERO'!N981," ")</f>
        <v xml:space="preserve"> </v>
      </c>
      <c r="U399" s="875" t="str">
        <f>+IF(OR(O399="Blaze Shield II",O399="Cafco 400",O399="Cafco 300"),'CALCULO MORTERO'!O981," ")</f>
        <v xml:space="preserve"> </v>
      </c>
      <c r="V399" s="161" t="str" cm="1">
        <f t="array" ref="V399">_xlfn.IFS(O399="Blaze Shield II",'CALCULO MORTERO'!P400, O399="Cafco 400",'CALCULO MORTERO'!Q400,O399="Cafco 300",'CALCULO MORTERO'!S400, AND(OR(O399="Fire tex 5090", O399="Fire Tex 5062", O399="Fire Tex 5120", O399="Fire Control"),Q399&gt;0), "CERT.",TRUE,"-")</f>
        <v>-</v>
      </c>
      <c r="W399" s="167"/>
      <c r="X399" s="167"/>
    </row>
    <row r="400" spans="1:24" x14ac:dyDescent="0.2">
      <c r="A400" s="903"/>
      <c r="B400" s="907"/>
      <c r="C400" s="874"/>
      <c r="D400" s="874"/>
      <c r="E400" s="874"/>
      <c r="F400" s="905"/>
      <c r="G400" s="874"/>
      <c r="H400" s="874"/>
      <c r="I400" s="906"/>
      <c r="J400" s="162"/>
      <c r="K400" s="161"/>
      <c r="L400" s="161"/>
      <c r="M400" s="169"/>
      <c r="N400" s="163" t="str">
        <f t="shared" si="10"/>
        <v/>
      </c>
      <c r="O400" s="41"/>
      <c r="P400" s="41"/>
      <c r="Q400" s="161" t="str">
        <f>+IF(OR(O400="Fire Control",O400="Fire Tex 5062",O400="Fire Tex 5090",O400="Fire Tex 5120"),'CALCULO PINTURA'!P401," ")</f>
        <v xml:space="preserve"> </v>
      </c>
      <c r="R400" s="164" t="str">
        <f>+IF(OR(O400="Fire Control",O400="Fire Tex 5062",O400="Fire Tex 5090",O400="Fire Tex 5120"),'CALCULO PINTURA'!R401," ")</f>
        <v xml:space="preserve"> </v>
      </c>
      <c r="S400" s="164" t="str">
        <f>+IF(OR(O400="Fire Control",O400="Fire Tex 5062",O400="Fire Tex 5090",O400="Fire Tex 5120"),'CALCULO PINTURA'!S401," ")</f>
        <v xml:space="preserve"> </v>
      </c>
      <c r="T400" s="874" t="str">
        <f>+IF(OR(O400="Blaze Shield II",O400="Cafco 400",O400="Cafco 300"),'CALCULO MORTERO'!N406," ")</f>
        <v xml:space="preserve"> </v>
      </c>
      <c r="U400" s="875" t="str">
        <f>+IF(OR(O400="Blaze Shield II",O400="Cafco 400",O400="Cafco 300"),'CALCULO MORTERO'!O406," ")</f>
        <v xml:space="preserve"> </v>
      </c>
      <c r="V400" s="161" t="str" cm="1">
        <f t="array" ref="V400">_xlfn.IFS(O400="Blaze Shield II",'CALCULO MORTERO'!P401, O400="Cafco 400",'CALCULO MORTERO'!Q401,O400="Cafco 300",'CALCULO MORTERO'!S401, AND(OR(O400="Fire tex 5090", O400="Fire Tex 5062", O400="Fire Tex 5120", O400="Fire Control"),Q400&gt;0), "CERT.",TRUE,"-")</f>
        <v>-</v>
      </c>
      <c r="W400" s="167"/>
      <c r="X400" s="167"/>
    </row>
    <row r="401" spans="1:24" x14ac:dyDescent="0.2">
      <c r="A401" s="903"/>
      <c r="B401" s="907"/>
      <c r="C401" s="874"/>
      <c r="D401" s="874"/>
      <c r="E401" s="874"/>
      <c r="F401" s="905"/>
      <c r="G401" s="874"/>
      <c r="H401" s="874"/>
      <c r="I401" s="906"/>
      <c r="J401" s="162"/>
      <c r="K401" s="161"/>
      <c r="L401" s="161"/>
      <c r="M401" s="169"/>
      <c r="N401" s="163" t="str">
        <f t="shared" si="10"/>
        <v/>
      </c>
      <c r="O401" s="41"/>
      <c r="P401" s="41"/>
      <c r="Q401" s="161" t="str">
        <f>+IF(OR(O401="Fire Control",O401="Fire Tex 5062",O401="Fire Tex 5090",O401="Fire Tex 5120"),'CALCULO PINTURA'!P402," ")</f>
        <v xml:space="preserve"> </v>
      </c>
      <c r="R401" s="164" t="str">
        <f>+IF(OR(O401="Fire Control",O401="Fire Tex 5062",O401="Fire Tex 5090",O401="Fire Tex 5120"),'CALCULO PINTURA'!R402," ")</f>
        <v xml:space="preserve"> </v>
      </c>
      <c r="S401" s="164" t="str">
        <f>+IF(OR(O401="Fire Control",O401="Fire Tex 5062",O401="Fire Tex 5090",O401="Fire Tex 5120"),'CALCULO PINTURA'!S402," ")</f>
        <v xml:space="preserve"> </v>
      </c>
      <c r="T401" s="874" t="str">
        <f>+IF(OR(O401="Blaze Shield II",O401="Cafco 400",O401="Cafco 300"),'CALCULO MORTERO'!N407," ")</f>
        <v xml:space="preserve"> </v>
      </c>
      <c r="U401" s="875" t="str">
        <f>+IF(OR(O401="Blaze Shield II",O401="Cafco 400",O401="Cafco 300"),'CALCULO MORTERO'!O407," ")</f>
        <v xml:space="preserve"> </v>
      </c>
      <c r="V401" s="161" t="str" cm="1">
        <f t="array" ref="V401">_xlfn.IFS(O401="Blaze Shield II",'CALCULO MORTERO'!P402, O401="Cafco 400",'CALCULO MORTERO'!Q402,O401="Cafco 300",'CALCULO MORTERO'!S402, AND(OR(O401="Fire tex 5090", O401="Fire Tex 5062", O401="Fire Tex 5120", O401="Fire Control"),Q401&gt;0), "CERT.",TRUE,"-")</f>
        <v>-</v>
      </c>
      <c r="W401" s="167"/>
      <c r="X401" s="167"/>
    </row>
    <row r="402" spans="1:24" x14ac:dyDescent="0.2">
      <c r="A402" s="903"/>
      <c r="B402" s="907"/>
      <c r="C402" s="874"/>
      <c r="D402" s="874"/>
      <c r="E402" s="874"/>
      <c r="F402" s="905"/>
      <c r="G402" s="874"/>
      <c r="H402" s="874"/>
      <c r="I402" s="906"/>
      <c r="J402" s="162"/>
      <c r="K402" s="161"/>
      <c r="L402" s="161"/>
      <c r="M402" s="169"/>
      <c r="N402" s="163" t="str">
        <f t="shared" si="10"/>
        <v/>
      </c>
      <c r="O402" s="41"/>
      <c r="P402" s="41"/>
      <c r="Q402" s="161" t="str">
        <f>+IF(OR(O402="Fire Control",O402="Fire Tex 5062",O402="Fire Tex 5090",O402="Fire Tex 5120"),'CALCULO PINTURA'!P403," ")</f>
        <v xml:space="preserve"> </v>
      </c>
      <c r="R402" s="164" t="str">
        <f>+IF(OR(O402="Fire Control",O402="Fire Tex 5062",O402="Fire Tex 5090",O402="Fire Tex 5120"),'CALCULO PINTURA'!R403," ")</f>
        <v xml:space="preserve"> </v>
      </c>
      <c r="S402" s="164" t="str">
        <f>+IF(OR(O402="Fire Control",O402="Fire Tex 5062",O402="Fire Tex 5090",O402="Fire Tex 5120"),'CALCULO PINTURA'!S403," ")</f>
        <v xml:space="preserve"> </v>
      </c>
      <c r="T402" s="874" t="str">
        <f>+IF(OR(O402="Blaze Shield II",O402="Cafco 400",O402="Cafco 300"),'CALCULO MORTERO'!N408," ")</f>
        <v xml:space="preserve"> </v>
      </c>
      <c r="U402" s="875" t="str">
        <f>+IF(OR(O402="Blaze Shield II",O402="Cafco 400",O402="Cafco 300"),'CALCULO MORTERO'!O408," ")</f>
        <v xml:space="preserve"> </v>
      </c>
      <c r="V402" s="161" t="str" cm="1">
        <f t="array" ref="V402">_xlfn.IFS(O402="Blaze Shield II",'CALCULO MORTERO'!P403, O402="Cafco 400",'CALCULO MORTERO'!Q403,O402="Cafco 300",'CALCULO MORTERO'!S403, AND(OR(O402="Fire tex 5090", O402="Fire Tex 5062", O402="Fire Tex 5120", O402="Fire Control"),Q402&gt;0), "CERT.",TRUE,"-")</f>
        <v>-</v>
      </c>
      <c r="W402" s="167"/>
      <c r="X402" s="167"/>
    </row>
    <row r="403" spans="1:24" x14ac:dyDescent="0.2">
      <c r="A403" s="903"/>
      <c r="B403" s="907"/>
      <c r="C403" s="874"/>
      <c r="D403" s="874"/>
      <c r="E403" s="874"/>
      <c r="F403" s="905"/>
      <c r="G403" s="874"/>
      <c r="H403" s="874"/>
      <c r="I403" s="906"/>
      <c r="J403" s="162"/>
      <c r="K403" s="161"/>
      <c r="L403" s="161"/>
      <c r="M403" s="169"/>
      <c r="N403" s="163" t="str">
        <f t="shared" si="10"/>
        <v/>
      </c>
      <c r="O403" s="41"/>
      <c r="P403" s="41"/>
      <c r="Q403" s="161" t="str">
        <f>+IF(OR(O403="Fire Control",O403="Fire Tex 5062",O403="Fire Tex 5090",O403="Fire Tex 5120"),'CALCULO PINTURA'!P404," ")</f>
        <v xml:space="preserve"> </v>
      </c>
      <c r="R403" s="164" t="str">
        <f>+IF(OR(O403="Fire Control",O403="Fire Tex 5062",O403="Fire Tex 5090",O403="Fire Tex 5120"),'CALCULO PINTURA'!R404," ")</f>
        <v xml:space="preserve"> </v>
      </c>
      <c r="S403" s="164" t="str">
        <f>+IF(OR(O403="Fire Control",O403="Fire Tex 5062",O403="Fire Tex 5090",O403="Fire Tex 5120"),'CALCULO PINTURA'!S404," ")</f>
        <v xml:space="preserve"> </v>
      </c>
      <c r="T403" s="874" t="str">
        <f>+IF(OR(O403="Blaze Shield II",O403="Cafco 400",O403="Cafco 300"),'CALCULO MORTERO'!N409," ")</f>
        <v xml:space="preserve"> </v>
      </c>
      <c r="U403" s="875" t="str">
        <f>+IF(OR(O403="Blaze Shield II",O403="Cafco 400",O403="Cafco 300"),'CALCULO MORTERO'!O409," ")</f>
        <v xml:space="preserve"> </v>
      </c>
      <c r="V403" s="161" t="str" cm="1">
        <f t="array" ref="V403">_xlfn.IFS(O403="Blaze Shield II",'CALCULO MORTERO'!P404, O403="Cafco 400",'CALCULO MORTERO'!Q404,O403="Cafco 300",'CALCULO MORTERO'!S404, AND(OR(O403="Fire tex 5090", O403="Fire Tex 5062", O403="Fire Tex 5120", O403="Fire Control"),Q403&gt;0), "CERT.",TRUE,"-")</f>
        <v>-</v>
      </c>
      <c r="W403" s="167"/>
      <c r="X403" s="167"/>
    </row>
    <row r="404" spans="1:24" x14ac:dyDescent="0.2">
      <c r="A404" s="903"/>
      <c r="B404" s="907"/>
      <c r="C404" s="874"/>
      <c r="D404" s="874"/>
      <c r="E404" s="874"/>
      <c r="F404" s="905"/>
      <c r="G404" s="874"/>
      <c r="H404" s="874"/>
      <c r="I404" s="906"/>
      <c r="J404" s="162"/>
      <c r="K404" s="161"/>
      <c r="L404" s="161"/>
      <c r="M404" s="169"/>
      <c r="N404" s="163" t="str">
        <f t="shared" si="10"/>
        <v/>
      </c>
      <c r="O404" s="41"/>
      <c r="P404" s="41"/>
      <c r="Q404" s="161" t="str">
        <f>+IF(OR(O404="Fire Control",O404="Fire Tex 5062",O404="Fire Tex 5090",O404="Fire Tex 5120"),'CALCULO PINTURA'!P405," ")</f>
        <v xml:space="preserve"> </v>
      </c>
      <c r="R404" s="164" t="str">
        <f>+IF(OR(O404="Fire Control",O404="Fire Tex 5062",O404="Fire Tex 5090",O404="Fire Tex 5120"),'CALCULO PINTURA'!R405," ")</f>
        <v xml:space="preserve"> </v>
      </c>
      <c r="S404" s="164" t="str">
        <f>+IF(OR(O404="Fire Control",O404="Fire Tex 5062",O404="Fire Tex 5090",O404="Fire Tex 5120"),'CALCULO PINTURA'!S405," ")</f>
        <v xml:space="preserve"> </v>
      </c>
      <c r="T404" s="874" t="str">
        <f>+IF(OR(O404="Blaze Shield II",O404="Cafco 400",O404="Cafco 300"),'CALCULO MORTERO'!N410," ")</f>
        <v xml:space="preserve"> </v>
      </c>
      <c r="U404" s="875" t="str">
        <f>+IF(OR(O404="Blaze Shield II",O404="Cafco 400",O404="Cafco 300"),'CALCULO MORTERO'!O410," ")</f>
        <v xml:space="preserve"> </v>
      </c>
      <c r="V404" s="161" t="str" cm="1">
        <f t="array" ref="V404">_xlfn.IFS(O404="Blaze Shield II",'CALCULO MORTERO'!P405, O404="Cafco 400",'CALCULO MORTERO'!Q405,O404="Cafco 300",'CALCULO MORTERO'!S405, AND(OR(O404="Fire tex 5090", O404="Fire Tex 5062", O404="Fire Tex 5120", O404="Fire Control"),Q404&gt;0), "CERT.",TRUE,"-")</f>
        <v>-</v>
      </c>
      <c r="W404" s="167"/>
      <c r="X404" s="167"/>
    </row>
    <row r="405" spans="1:24" x14ac:dyDescent="0.2">
      <c r="A405" s="903"/>
      <c r="B405" s="907"/>
      <c r="C405" s="874"/>
      <c r="D405" s="874"/>
      <c r="E405" s="874"/>
      <c r="F405" s="905"/>
      <c r="G405" s="874"/>
      <c r="H405" s="874"/>
      <c r="I405" s="906"/>
      <c r="J405" s="162"/>
      <c r="K405" s="161"/>
      <c r="L405" s="161"/>
      <c r="M405" s="169"/>
      <c r="N405" s="163" t="str">
        <f t="shared" si="10"/>
        <v/>
      </c>
      <c r="O405" s="41"/>
      <c r="P405" s="41"/>
      <c r="Q405" s="161" t="str">
        <f>+IF(OR(O405="Fire Control",O405="Fire Tex 5062",O405="Fire Tex 5090",O405="Fire Tex 5120"),'CALCULO PINTURA'!P406," ")</f>
        <v xml:space="preserve"> </v>
      </c>
      <c r="R405" s="164" t="str">
        <f>+IF(OR(O405="Fire Control",O405="Fire Tex 5062",O405="Fire Tex 5090",O405="Fire Tex 5120"),'CALCULO PINTURA'!R406," ")</f>
        <v xml:space="preserve"> </v>
      </c>
      <c r="S405" s="164" t="str">
        <f>+IF(OR(O405="Fire Control",O405="Fire Tex 5062",O405="Fire Tex 5090",O405="Fire Tex 5120"),'CALCULO PINTURA'!S406," ")</f>
        <v xml:space="preserve"> </v>
      </c>
      <c r="T405" s="874" t="str">
        <f>+IF(OR(O405="Blaze Shield II",O405="Cafco 400",O405="Cafco 300"),'CALCULO MORTERO'!N411," ")</f>
        <v xml:space="preserve"> </v>
      </c>
      <c r="U405" s="875" t="str">
        <f>+IF(OR(O405="Blaze Shield II",O405="Cafco 400",O405="Cafco 300"),'CALCULO MORTERO'!O411," ")</f>
        <v xml:space="preserve"> </v>
      </c>
      <c r="V405" s="161" t="str" cm="1">
        <f t="array" ref="V405">_xlfn.IFS(O405="Blaze Shield II",'CALCULO MORTERO'!P406, O405="Cafco 400",'CALCULO MORTERO'!Q406,O405="Cafco 300",'CALCULO MORTERO'!S406, AND(OR(O405="Fire tex 5090", O405="Fire Tex 5062", O405="Fire Tex 5120", O405="Fire Control"),Q405&gt;0), "CERT.",TRUE,"-")</f>
        <v>-</v>
      </c>
      <c r="W405" s="167"/>
      <c r="X405" s="167"/>
    </row>
    <row r="406" spans="1:24" x14ac:dyDescent="0.2">
      <c r="A406" s="903"/>
      <c r="B406" s="907"/>
      <c r="C406" s="874"/>
      <c r="D406" s="874"/>
      <c r="E406" s="874"/>
      <c r="F406" s="905"/>
      <c r="G406" s="874"/>
      <c r="H406" s="874"/>
      <c r="I406" s="906"/>
      <c r="J406" s="162"/>
      <c r="K406" s="161"/>
      <c r="L406" s="161"/>
      <c r="M406" s="169"/>
      <c r="N406" s="163" t="str">
        <f t="shared" si="10"/>
        <v/>
      </c>
      <c r="O406" s="41"/>
      <c r="P406" s="41"/>
      <c r="Q406" s="161" t="str">
        <f>+IF(OR(O406="Fire Control",O406="Fire Tex 5062",O406="Fire Tex 5090",O406="Fire Tex 5120"),'CALCULO PINTURA'!P407," ")</f>
        <v xml:space="preserve"> </v>
      </c>
      <c r="R406" s="164" t="str">
        <f>+IF(OR(O406="Fire Control",O406="Fire Tex 5062",O406="Fire Tex 5090",O406="Fire Tex 5120"),'CALCULO PINTURA'!R407," ")</f>
        <v xml:space="preserve"> </v>
      </c>
      <c r="S406" s="164" t="str">
        <f>+IF(OR(O406="Fire Control",O406="Fire Tex 5062",O406="Fire Tex 5090",O406="Fire Tex 5120"),'CALCULO PINTURA'!S407," ")</f>
        <v xml:space="preserve"> </v>
      </c>
      <c r="T406" s="874" t="str">
        <f>+IF(OR(O406="Blaze Shield II",O406="Cafco 400",O406="Cafco 300"),'CALCULO MORTERO'!N412," ")</f>
        <v xml:space="preserve"> </v>
      </c>
      <c r="U406" s="875" t="str">
        <f>+IF(OR(O406="Blaze Shield II",O406="Cafco 400",O406="Cafco 300"),'CALCULO MORTERO'!O412," ")</f>
        <v xml:space="preserve"> </v>
      </c>
      <c r="V406" s="161" t="str" cm="1">
        <f t="array" ref="V406">_xlfn.IFS(O406="Blaze Shield II",'CALCULO MORTERO'!P407, O406="Cafco 400",'CALCULO MORTERO'!Q407,O406="Cafco 300",'CALCULO MORTERO'!S407, AND(OR(O406="Fire tex 5090", O406="Fire Tex 5062", O406="Fire Tex 5120", O406="Fire Control"),Q406&gt;0), "CERT.",TRUE,"-")</f>
        <v>-</v>
      </c>
      <c r="W406" s="167"/>
      <c r="X406" s="167"/>
    </row>
    <row r="407" spans="1:24" x14ac:dyDescent="0.2">
      <c r="A407" s="903"/>
      <c r="B407" s="907"/>
      <c r="C407" s="874"/>
      <c r="D407" s="874"/>
      <c r="E407" s="874"/>
      <c r="F407" s="905"/>
      <c r="G407" s="874"/>
      <c r="H407" s="874"/>
      <c r="I407" s="906"/>
      <c r="J407" s="162"/>
      <c r="K407" s="161"/>
      <c r="L407" s="161"/>
      <c r="M407" s="169"/>
      <c r="N407" s="163" t="str">
        <f t="shared" si="10"/>
        <v/>
      </c>
      <c r="O407" s="41"/>
      <c r="P407" s="41"/>
      <c r="Q407" s="161" t="str">
        <f>+IF(OR(O407="Fire Control",O407="Fire Tex 5062",O407="Fire Tex 5090",O407="Fire Tex 5120"),'CALCULO PINTURA'!P408," ")</f>
        <v xml:space="preserve"> </v>
      </c>
      <c r="R407" s="164" t="str">
        <f>+IF(OR(O407="Fire Control",O407="Fire Tex 5062",O407="Fire Tex 5090",O407="Fire Tex 5120"),'CALCULO PINTURA'!R408," ")</f>
        <v xml:space="preserve"> </v>
      </c>
      <c r="S407" s="164" t="str">
        <f>+IF(OR(O407="Fire Control",O407="Fire Tex 5062",O407="Fire Tex 5090",O407="Fire Tex 5120"),'CALCULO PINTURA'!S408," ")</f>
        <v xml:space="preserve"> </v>
      </c>
      <c r="T407" s="874" t="str">
        <f>+IF(OR(O407="Blaze Shield II",O407="Cafco 400",O407="Cafco 300"),'CALCULO MORTERO'!N413," ")</f>
        <v xml:space="preserve"> </v>
      </c>
      <c r="U407" s="875" t="str">
        <f>+IF(OR(O407="Blaze Shield II",O407="Cafco 400",O407="Cafco 300"),'CALCULO MORTERO'!O413," ")</f>
        <v xml:space="preserve"> </v>
      </c>
      <c r="V407" s="161" t="str" cm="1">
        <f t="array" ref="V407">_xlfn.IFS(O407="Blaze Shield II",'CALCULO MORTERO'!P408, O407="Cafco 400",'CALCULO MORTERO'!Q408,O407="Cafco 300",'CALCULO MORTERO'!S408, AND(OR(O407="Fire tex 5090", O407="Fire Tex 5062", O407="Fire Tex 5120", O407="Fire Control"),Q407&gt;0), "CERT.",TRUE,"-")</f>
        <v>-</v>
      </c>
      <c r="W407" s="167"/>
      <c r="X407" s="167"/>
    </row>
    <row r="408" spans="1:24" x14ac:dyDescent="0.2">
      <c r="A408" s="903"/>
      <c r="B408" s="907"/>
      <c r="C408" s="874"/>
      <c r="D408" s="874"/>
      <c r="E408" s="874"/>
      <c r="F408" s="905"/>
      <c r="G408" s="874"/>
      <c r="H408" s="874"/>
      <c r="I408" s="906"/>
      <c r="J408" s="162"/>
      <c r="K408" s="161"/>
      <c r="L408" s="161"/>
      <c r="M408" s="169"/>
      <c r="N408" s="163" t="str">
        <f t="shared" si="10"/>
        <v/>
      </c>
      <c r="O408" s="41"/>
      <c r="P408" s="41"/>
      <c r="Q408" s="161" t="str">
        <f>+IF(OR(O408="Fire Control",O408="Fire Tex 5062",O408="Fire Tex 5090",O408="Fire Tex 5120"),'CALCULO PINTURA'!P409," ")</f>
        <v xml:space="preserve"> </v>
      </c>
      <c r="R408" s="164" t="str">
        <f>+IF(OR(O408="Fire Control",O408="Fire Tex 5062",O408="Fire Tex 5090",O408="Fire Tex 5120"),'CALCULO PINTURA'!R409," ")</f>
        <v xml:space="preserve"> </v>
      </c>
      <c r="S408" s="164" t="str">
        <f>+IF(OR(O408="Fire Control",O408="Fire Tex 5062",O408="Fire Tex 5090",O408="Fire Tex 5120"),'CALCULO PINTURA'!S409," ")</f>
        <v xml:space="preserve"> </v>
      </c>
      <c r="T408" s="874" t="str">
        <f>+IF(OR(O408="Blaze Shield II",O408="Cafco 400",O408="Cafco 300"),'CALCULO MORTERO'!N414," ")</f>
        <v xml:space="preserve"> </v>
      </c>
      <c r="U408" s="875" t="str">
        <f>+IF(OR(O408="Blaze Shield II",O408="Cafco 400",O408="Cafco 300"),'CALCULO MORTERO'!O414," ")</f>
        <v xml:space="preserve"> </v>
      </c>
      <c r="V408" s="161" t="str" cm="1">
        <f t="array" ref="V408">_xlfn.IFS(O408="Blaze Shield II",'CALCULO MORTERO'!P409, O408="Cafco 400",'CALCULO MORTERO'!Q409,O408="Cafco 300",'CALCULO MORTERO'!S409, AND(OR(O408="Fire tex 5090", O408="Fire Tex 5062", O408="Fire Tex 5120", O408="Fire Control"),Q408&gt;0), "CERT.",TRUE,"-")</f>
        <v>-</v>
      </c>
      <c r="W408" s="167"/>
      <c r="X408" s="167"/>
    </row>
    <row r="409" spans="1:24" x14ac:dyDescent="0.2">
      <c r="A409" s="903"/>
      <c r="B409" s="907"/>
      <c r="C409" s="874"/>
      <c r="D409" s="874"/>
      <c r="E409" s="874"/>
      <c r="F409" s="905"/>
      <c r="G409" s="874"/>
      <c r="H409" s="874"/>
      <c r="I409" s="906"/>
      <c r="J409" s="162"/>
      <c r="K409" s="161"/>
      <c r="L409" s="161"/>
      <c r="M409" s="169"/>
      <c r="N409" s="163" t="str">
        <f t="shared" si="10"/>
        <v/>
      </c>
      <c r="O409" s="41"/>
      <c r="P409" s="41"/>
      <c r="Q409" s="161" t="str">
        <f>+IF(OR(O409="Fire Control",O409="Fire Tex 5062",O409="Fire Tex 5090",O409="Fire Tex 5120"),'CALCULO PINTURA'!P410," ")</f>
        <v xml:space="preserve"> </v>
      </c>
      <c r="R409" s="164" t="str">
        <f>+IF(OR(O409="Fire Control",O409="Fire Tex 5062",O409="Fire Tex 5090",O409="Fire Tex 5120"),'CALCULO PINTURA'!R410," ")</f>
        <v xml:space="preserve"> </v>
      </c>
      <c r="S409" s="164" t="str">
        <f>+IF(OR(O409="Fire Control",O409="Fire Tex 5062",O409="Fire Tex 5090",O409="Fire Tex 5120"),'CALCULO PINTURA'!S410," ")</f>
        <v xml:space="preserve"> </v>
      </c>
      <c r="T409" s="874" t="str">
        <f>+IF(OR(O409="Blaze Shield II",O409="Cafco 400",O409="Cafco 300"),'CALCULO MORTERO'!N415," ")</f>
        <v xml:space="preserve"> </v>
      </c>
      <c r="U409" s="875" t="str">
        <f>+IF(OR(O409="Blaze Shield II",O409="Cafco 400",O409="Cafco 300"),'CALCULO MORTERO'!O415," ")</f>
        <v xml:space="preserve"> </v>
      </c>
      <c r="V409" s="161" t="str" cm="1">
        <f t="array" ref="V409">_xlfn.IFS(O409="Blaze Shield II",'CALCULO MORTERO'!P410, O409="Cafco 400",'CALCULO MORTERO'!Q410,O409="Cafco 300",'CALCULO MORTERO'!S410, AND(OR(O409="Fire tex 5090", O409="Fire Tex 5062", O409="Fire Tex 5120", O409="Fire Control"),Q409&gt;0), "CERT.",TRUE,"-")</f>
        <v>-</v>
      </c>
      <c r="W409" s="167"/>
      <c r="X409" s="167"/>
    </row>
    <row r="410" spans="1:24" x14ac:dyDescent="0.2">
      <c r="A410" s="903"/>
      <c r="B410" s="907"/>
      <c r="C410" s="874"/>
      <c r="D410" s="874"/>
      <c r="E410" s="874"/>
      <c r="F410" s="905"/>
      <c r="G410" s="874"/>
      <c r="H410" s="874"/>
      <c r="I410" s="906"/>
      <c r="J410" s="162"/>
      <c r="K410" s="161"/>
      <c r="L410" s="161"/>
      <c r="M410" s="169"/>
      <c r="N410" s="163" t="str">
        <f t="shared" si="10"/>
        <v/>
      </c>
      <c r="O410" s="41"/>
      <c r="P410" s="41"/>
      <c r="Q410" s="161" t="str">
        <f>+IF(OR(O410="Fire Control",O410="Fire Tex 5062",O410="Fire Tex 5090",O410="Fire Tex 5120"),'CALCULO PINTURA'!P411," ")</f>
        <v xml:space="preserve"> </v>
      </c>
      <c r="R410" s="164" t="str">
        <f>+IF(OR(O410="Fire Control",O410="Fire Tex 5062",O410="Fire Tex 5090",O410="Fire Tex 5120"),'CALCULO PINTURA'!R411," ")</f>
        <v xml:space="preserve"> </v>
      </c>
      <c r="S410" s="164" t="str">
        <f>+IF(OR(O410="Fire Control",O410="Fire Tex 5062",O410="Fire Tex 5090",O410="Fire Tex 5120"),'CALCULO PINTURA'!S411," ")</f>
        <v xml:space="preserve"> </v>
      </c>
      <c r="T410" s="874" t="str">
        <f>+IF(OR(O410="Blaze Shield II",O410="Cafco 400",O410="Cafco 300"),'CALCULO MORTERO'!N416," ")</f>
        <v xml:space="preserve"> </v>
      </c>
      <c r="U410" s="875" t="str">
        <f>+IF(OR(O410="Blaze Shield II",O410="Cafco 400",O410="Cafco 300"),'CALCULO MORTERO'!O416," ")</f>
        <v xml:space="preserve"> </v>
      </c>
      <c r="V410" s="161" t="str" cm="1">
        <f t="array" ref="V410">_xlfn.IFS(O410="Blaze Shield II",'CALCULO MORTERO'!P411, O410="Cafco 400",'CALCULO MORTERO'!Q411,O410="Cafco 300",'CALCULO MORTERO'!S411, AND(OR(O410="Fire tex 5090", O410="Fire Tex 5062", O410="Fire Tex 5120", O410="Fire Control"),Q410&gt;0), "CERT.",TRUE,"-")</f>
        <v>-</v>
      </c>
      <c r="W410" s="167"/>
      <c r="X410" s="167"/>
    </row>
    <row r="411" spans="1:24" x14ac:dyDescent="0.2">
      <c r="A411" s="903"/>
      <c r="B411" s="907"/>
      <c r="C411" s="874"/>
      <c r="D411" s="874"/>
      <c r="E411" s="874"/>
      <c r="F411" s="905"/>
      <c r="G411" s="874"/>
      <c r="H411" s="874"/>
      <c r="I411" s="906"/>
      <c r="J411" s="162"/>
      <c r="K411" s="161"/>
      <c r="L411" s="161"/>
      <c r="M411" s="169"/>
      <c r="N411" s="163" t="str">
        <f t="shared" si="10"/>
        <v/>
      </c>
      <c r="O411" s="41"/>
      <c r="P411" s="41"/>
      <c r="Q411" s="161" t="str">
        <f>+IF(OR(O411="Fire Control",O411="Fire Tex 5062",O411="Fire Tex 5090",O411="Fire Tex 5120"),'CALCULO PINTURA'!P412," ")</f>
        <v xml:space="preserve"> </v>
      </c>
      <c r="R411" s="164" t="str">
        <f>+IF(OR(O411="Fire Control",O411="Fire Tex 5062",O411="Fire Tex 5090",O411="Fire Tex 5120"),'CALCULO PINTURA'!R412," ")</f>
        <v xml:space="preserve"> </v>
      </c>
      <c r="S411" s="164" t="str">
        <f>+IF(OR(O411="Fire Control",O411="Fire Tex 5062",O411="Fire Tex 5090",O411="Fire Tex 5120"),'CALCULO PINTURA'!S412," ")</f>
        <v xml:space="preserve"> </v>
      </c>
      <c r="T411" s="874" t="str">
        <f>+IF(OR(O411="Blaze Shield II",O411="Cafco 400",O411="Cafco 300"),'CALCULO MORTERO'!N417," ")</f>
        <v xml:space="preserve"> </v>
      </c>
      <c r="U411" s="875" t="str">
        <f>+IF(OR(O411="Blaze Shield II",O411="Cafco 400",O411="Cafco 300"),'CALCULO MORTERO'!O417," ")</f>
        <v xml:space="preserve"> </v>
      </c>
      <c r="V411" s="161" t="str" cm="1">
        <f t="array" ref="V411">_xlfn.IFS(O411="Blaze Shield II",'CALCULO MORTERO'!P412, O411="Cafco 400",'CALCULO MORTERO'!Q412,O411="Cafco 300",'CALCULO MORTERO'!S412, AND(OR(O411="Fire tex 5090", O411="Fire Tex 5062", O411="Fire Tex 5120", O411="Fire Control"),Q411&gt;0), "CERT.",TRUE,"-")</f>
        <v>-</v>
      </c>
      <c r="W411" s="167"/>
      <c r="X411" s="167"/>
    </row>
    <row r="412" spans="1:24" x14ac:dyDescent="0.2">
      <c r="A412" s="903"/>
      <c r="B412" s="907"/>
      <c r="C412" s="874"/>
      <c r="D412" s="874"/>
      <c r="E412" s="874"/>
      <c r="F412" s="905"/>
      <c r="G412" s="874"/>
      <c r="H412" s="874"/>
      <c r="I412" s="906"/>
      <c r="J412" s="162"/>
      <c r="K412" s="161"/>
      <c r="L412" s="161"/>
      <c r="M412" s="169"/>
      <c r="N412" s="163" t="str">
        <f t="shared" si="10"/>
        <v/>
      </c>
      <c r="O412" s="41"/>
      <c r="P412" s="41"/>
      <c r="Q412" s="161" t="str">
        <f>+IF(OR(O412="Fire Control",O412="Fire Tex 5062",O412="Fire Tex 5090",O412="Fire Tex 5120"),'CALCULO PINTURA'!P413," ")</f>
        <v xml:space="preserve"> </v>
      </c>
      <c r="R412" s="164" t="str">
        <f>+IF(OR(O412="Fire Control",O412="Fire Tex 5062",O412="Fire Tex 5090",O412="Fire Tex 5120"),'CALCULO PINTURA'!R413," ")</f>
        <v xml:space="preserve"> </v>
      </c>
      <c r="S412" s="164" t="str">
        <f>+IF(OR(O412="Fire Control",O412="Fire Tex 5062",O412="Fire Tex 5090",O412="Fire Tex 5120"),'CALCULO PINTURA'!S413," ")</f>
        <v xml:space="preserve"> </v>
      </c>
      <c r="T412" s="874" t="str">
        <f>+IF(OR(O412="Blaze Shield II",O412="Cafco 400",O412="Cafco 300"),'CALCULO MORTERO'!N418," ")</f>
        <v xml:space="preserve"> </v>
      </c>
      <c r="U412" s="875" t="str">
        <f>+IF(OR(O412="Blaze Shield II",O412="Cafco 400",O412="Cafco 300"),'CALCULO MORTERO'!O418," ")</f>
        <v xml:space="preserve"> </v>
      </c>
      <c r="V412" s="161" t="str" cm="1">
        <f t="array" ref="V412">_xlfn.IFS(O412="Blaze Shield II",'CALCULO MORTERO'!P413, O412="Cafco 400",'CALCULO MORTERO'!Q413,O412="Cafco 300",'CALCULO MORTERO'!S413, AND(OR(O412="Fire tex 5090", O412="Fire Tex 5062", O412="Fire Tex 5120", O412="Fire Control"),Q412&gt;0), "CERT.",TRUE,"-")</f>
        <v>-</v>
      </c>
      <c r="W412" s="167"/>
      <c r="X412" s="167"/>
    </row>
    <row r="413" spans="1:24" x14ac:dyDescent="0.2">
      <c r="A413" s="903"/>
      <c r="B413" s="907"/>
      <c r="C413" s="874"/>
      <c r="D413" s="874"/>
      <c r="E413" s="874"/>
      <c r="F413" s="905"/>
      <c r="G413" s="874"/>
      <c r="H413" s="874"/>
      <c r="I413" s="906"/>
      <c r="J413" s="162"/>
      <c r="K413" s="161"/>
      <c r="L413" s="161"/>
      <c r="M413" s="169"/>
      <c r="N413" s="163" t="str">
        <f t="shared" si="10"/>
        <v/>
      </c>
      <c r="O413" s="41"/>
      <c r="P413" s="41"/>
      <c r="Q413" s="161" t="str">
        <f>+IF(OR(O413="Fire Control",O413="Fire Tex 5062",O413="Fire Tex 5090",O413="Fire Tex 5120"),'CALCULO PINTURA'!P414," ")</f>
        <v xml:space="preserve"> </v>
      </c>
      <c r="R413" s="164" t="str">
        <f>+IF(OR(O413="Fire Control",O413="Fire Tex 5062",O413="Fire Tex 5090",O413="Fire Tex 5120"),'CALCULO PINTURA'!R414," ")</f>
        <v xml:space="preserve"> </v>
      </c>
      <c r="S413" s="164" t="str">
        <f>+IF(OR(O413="Fire Control",O413="Fire Tex 5062",O413="Fire Tex 5090",O413="Fire Tex 5120"),'CALCULO PINTURA'!S414," ")</f>
        <v xml:space="preserve"> </v>
      </c>
      <c r="T413" s="874" t="str">
        <f>+IF(OR(O413="Blaze Shield II",O413="Cafco 400",O413="Cafco 300"),'CALCULO MORTERO'!N419," ")</f>
        <v xml:space="preserve"> </v>
      </c>
      <c r="U413" s="875" t="str">
        <f>+IF(OR(O413="Blaze Shield II",O413="Cafco 400",O413="Cafco 300"),'CALCULO MORTERO'!O419," ")</f>
        <v xml:space="preserve"> </v>
      </c>
      <c r="V413" s="161" t="str" cm="1">
        <f t="array" ref="V413">_xlfn.IFS(O413="Blaze Shield II",'CALCULO MORTERO'!P414, O413="Cafco 400",'CALCULO MORTERO'!Q414,O413="Cafco 300",'CALCULO MORTERO'!S414, AND(OR(O413="Fire tex 5090", O413="Fire Tex 5062", O413="Fire Tex 5120", O413="Fire Control"),Q413&gt;0), "CERT.",TRUE,"-")</f>
        <v>-</v>
      </c>
      <c r="W413" s="167"/>
      <c r="X413" s="167"/>
    </row>
    <row r="414" spans="1:24" x14ac:dyDescent="0.2">
      <c r="A414" s="903"/>
      <c r="B414" s="907"/>
      <c r="C414" s="874"/>
      <c r="D414" s="874"/>
      <c r="E414" s="874"/>
      <c r="F414" s="905"/>
      <c r="G414" s="874"/>
      <c r="H414" s="874"/>
      <c r="I414" s="906"/>
      <c r="J414" s="162"/>
      <c r="K414" s="161"/>
      <c r="L414" s="161"/>
      <c r="M414" s="169"/>
      <c r="N414" s="163" t="str">
        <f t="shared" si="10"/>
        <v/>
      </c>
      <c r="O414" s="41"/>
      <c r="P414" s="41"/>
      <c r="Q414" s="161" t="str">
        <f>+IF(OR(O414="Fire Control",O414="Fire Tex 5062",O414="Fire Tex 5090",O414="Fire Tex 5120"),'CALCULO PINTURA'!P415," ")</f>
        <v xml:space="preserve"> </v>
      </c>
      <c r="R414" s="164" t="str">
        <f>+IF(OR(O414="Fire Control",O414="Fire Tex 5062",O414="Fire Tex 5090",O414="Fire Tex 5120"),'CALCULO PINTURA'!R415," ")</f>
        <v xml:space="preserve"> </v>
      </c>
      <c r="S414" s="164" t="str">
        <f>+IF(OR(O414="Fire Control",O414="Fire Tex 5062",O414="Fire Tex 5090",O414="Fire Tex 5120"),'CALCULO PINTURA'!S415," ")</f>
        <v xml:space="preserve"> </v>
      </c>
      <c r="T414" s="874" t="str">
        <f>+IF(OR(O414="Blaze Shield II",O414="Cafco 400",O414="Cafco 300"),'CALCULO MORTERO'!N420," ")</f>
        <v xml:space="preserve"> </v>
      </c>
      <c r="U414" s="875" t="str">
        <f>+IF(OR(O414="Blaze Shield II",O414="Cafco 400",O414="Cafco 300"),'CALCULO MORTERO'!O420," ")</f>
        <v xml:space="preserve"> </v>
      </c>
      <c r="V414" s="161" t="str" cm="1">
        <f t="array" ref="V414">_xlfn.IFS(O414="Blaze Shield II",'CALCULO MORTERO'!P415, O414="Cafco 400",'CALCULO MORTERO'!Q415,O414="Cafco 300",'CALCULO MORTERO'!S415, AND(OR(O414="Fire tex 5090", O414="Fire Tex 5062", O414="Fire Tex 5120", O414="Fire Control"),Q414&gt;0), "CERT.",TRUE,"-")</f>
        <v>-</v>
      </c>
      <c r="W414" s="167"/>
      <c r="X414" s="167"/>
    </row>
    <row r="415" spans="1:24" x14ac:dyDescent="0.2">
      <c r="A415" s="903"/>
      <c r="B415" s="907"/>
      <c r="C415" s="874"/>
      <c r="D415" s="874"/>
      <c r="E415" s="874"/>
      <c r="F415" s="905"/>
      <c r="G415" s="874"/>
      <c r="H415" s="874"/>
      <c r="I415" s="906"/>
      <c r="J415" s="162"/>
      <c r="K415" s="161"/>
      <c r="L415" s="161"/>
      <c r="M415" s="169"/>
      <c r="N415" s="163" t="str">
        <f t="shared" si="10"/>
        <v/>
      </c>
      <c r="O415" s="41"/>
      <c r="P415" s="41"/>
      <c r="Q415" s="161" t="str">
        <f>+IF(OR(O415="Fire Control",O415="Fire Tex 5062",O415="Fire Tex 5090",O415="Fire Tex 5120"),'CALCULO PINTURA'!P416," ")</f>
        <v xml:space="preserve"> </v>
      </c>
      <c r="R415" s="164" t="str">
        <f>+IF(OR(O415="Fire Control",O415="Fire Tex 5062",O415="Fire Tex 5090",O415="Fire Tex 5120"),'CALCULO PINTURA'!R416," ")</f>
        <v xml:space="preserve"> </v>
      </c>
      <c r="S415" s="164" t="str">
        <f>+IF(OR(O415="Fire Control",O415="Fire Tex 5062",O415="Fire Tex 5090",O415="Fire Tex 5120"),'CALCULO PINTURA'!S416," ")</f>
        <v xml:space="preserve"> </v>
      </c>
      <c r="T415" s="874" t="str">
        <f>+IF(OR(O415="Blaze Shield II",O415="Cafco 400",O415="Cafco 300"),'CALCULO MORTERO'!N421," ")</f>
        <v xml:space="preserve"> </v>
      </c>
      <c r="U415" s="875" t="str">
        <f>+IF(OR(O415="Blaze Shield II",O415="Cafco 400",O415="Cafco 300"),'CALCULO MORTERO'!O421," ")</f>
        <v xml:space="preserve"> </v>
      </c>
      <c r="V415" s="161" t="str" cm="1">
        <f t="array" ref="V415">_xlfn.IFS(O415="Blaze Shield II",'CALCULO MORTERO'!P416, O415="Cafco 400",'CALCULO MORTERO'!Q416,O415="Cafco 300",'CALCULO MORTERO'!S416, AND(OR(O415="Fire tex 5090", O415="Fire Tex 5062", O415="Fire Tex 5120", O415="Fire Control"),Q415&gt;0), "CERT.",TRUE,"-")</f>
        <v>-</v>
      </c>
      <c r="W415" s="167"/>
      <c r="X415" s="167"/>
    </row>
    <row r="416" spans="1:24" x14ac:dyDescent="0.2">
      <c r="A416" s="903"/>
      <c r="B416" s="907"/>
      <c r="C416" s="874"/>
      <c r="D416" s="874"/>
      <c r="E416" s="874"/>
      <c r="F416" s="905"/>
      <c r="G416" s="874"/>
      <c r="H416" s="874"/>
      <c r="I416" s="906"/>
      <c r="J416" s="162"/>
      <c r="K416" s="161"/>
      <c r="L416" s="161"/>
      <c r="M416" s="169"/>
      <c r="N416" s="163" t="str">
        <f t="shared" si="10"/>
        <v/>
      </c>
      <c r="O416" s="41"/>
      <c r="P416" s="41"/>
      <c r="Q416" s="161" t="str">
        <f>+IF(OR(O416="Fire Control",O416="Fire Tex 5062",O416="Fire Tex 5090",O416="Fire Tex 5120"),'CALCULO PINTURA'!P417," ")</f>
        <v xml:space="preserve"> </v>
      </c>
      <c r="R416" s="164" t="str">
        <f>+IF(OR(O416="Fire Control",O416="Fire Tex 5062",O416="Fire Tex 5090",O416="Fire Tex 5120"),'CALCULO PINTURA'!R417," ")</f>
        <v xml:space="preserve"> </v>
      </c>
      <c r="S416" s="164" t="str">
        <f>+IF(OR(O416="Fire Control",O416="Fire Tex 5062",O416="Fire Tex 5090",O416="Fire Tex 5120"),'CALCULO PINTURA'!S417," ")</f>
        <v xml:space="preserve"> </v>
      </c>
      <c r="T416" s="874" t="str">
        <f>+IF(OR(O416="Blaze Shield II",O416="Cafco 400",O416="Cafco 300"),'CALCULO MORTERO'!N422," ")</f>
        <v xml:space="preserve"> </v>
      </c>
      <c r="U416" s="875" t="str">
        <f>+IF(OR(O416="Blaze Shield II",O416="Cafco 400",O416="Cafco 300"),'CALCULO MORTERO'!O422," ")</f>
        <v xml:space="preserve"> </v>
      </c>
      <c r="V416" s="161" t="str" cm="1">
        <f t="array" ref="V416">_xlfn.IFS(O416="Blaze Shield II",'CALCULO MORTERO'!P417, O416="Cafco 400",'CALCULO MORTERO'!Q417,O416="Cafco 300",'CALCULO MORTERO'!S417, AND(OR(O416="Fire tex 5090", O416="Fire Tex 5062", O416="Fire Tex 5120", O416="Fire Control"),Q416&gt;0), "CERT.",TRUE,"-")</f>
        <v>-</v>
      </c>
      <c r="W416" s="167"/>
      <c r="X416" s="167"/>
    </row>
    <row r="417" spans="1:24" x14ac:dyDescent="0.2">
      <c r="A417" s="903"/>
      <c r="B417" s="907"/>
      <c r="C417" s="874"/>
      <c r="D417" s="874"/>
      <c r="E417" s="874"/>
      <c r="F417" s="905"/>
      <c r="G417" s="874"/>
      <c r="H417" s="874"/>
      <c r="I417" s="906"/>
      <c r="J417" s="162"/>
      <c r="K417" s="161"/>
      <c r="L417" s="161"/>
      <c r="M417" s="169"/>
      <c r="N417" s="163" t="str">
        <f t="shared" si="10"/>
        <v/>
      </c>
      <c r="O417" s="41"/>
      <c r="P417" s="41"/>
      <c r="Q417" s="161" t="str">
        <f>+IF(OR(O417="Fire Control",O417="Fire Tex 5062",O417="Fire Tex 5090",O417="Fire Tex 5120"),'CALCULO PINTURA'!P418," ")</f>
        <v xml:space="preserve"> </v>
      </c>
      <c r="R417" s="164" t="str">
        <f>+IF(OR(O417="Fire Control",O417="Fire Tex 5062",O417="Fire Tex 5090",O417="Fire Tex 5120"),'CALCULO PINTURA'!R418," ")</f>
        <v xml:space="preserve"> </v>
      </c>
      <c r="S417" s="164" t="str">
        <f>+IF(OR(O417="Fire Control",O417="Fire Tex 5062",O417="Fire Tex 5090",O417="Fire Tex 5120"),'CALCULO PINTURA'!S418," ")</f>
        <v xml:space="preserve"> </v>
      </c>
      <c r="T417" s="874" t="str">
        <f>+IF(OR(O417="Blaze Shield II",O417="Cafco 400",O417="Cafco 300"),'CALCULO MORTERO'!N423," ")</f>
        <v xml:space="preserve"> </v>
      </c>
      <c r="U417" s="875" t="str">
        <f>+IF(OR(O417="Blaze Shield II",O417="Cafco 400",O417="Cafco 300"),'CALCULO MORTERO'!O423," ")</f>
        <v xml:space="preserve"> </v>
      </c>
      <c r="V417" s="161" t="str" cm="1">
        <f t="array" ref="V417">_xlfn.IFS(O417="Blaze Shield II",'CALCULO MORTERO'!P418, O417="Cafco 400",'CALCULO MORTERO'!Q418,O417="Cafco 300",'CALCULO MORTERO'!S418, AND(OR(O417="Fire tex 5090", O417="Fire Tex 5062", O417="Fire Tex 5120", O417="Fire Control"),Q417&gt;0), "CERT.",TRUE,"-")</f>
        <v>-</v>
      </c>
      <c r="W417" s="167"/>
      <c r="X417" s="167"/>
    </row>
    <row r="418" spans="1:24" x14ac:dyDescent="0.2">
      <c r="A418" s="903"/>
      <c r="B418" s="907"/>
      <c r="C418" s="874"/>
      <c r="D418" s="874"/>
      <c r="E418" s="874"/>
      <c r="F418" s="905"/>
      <c r="G418" s="874"/>
      <c r="H418" s="874"/>
      <c r="I418" s="906"/>
      <c r="J418" s="162"/>
      <c r="K418" s="161"/>
      <c r="L418" s="161"/>
      <c r="M418" s="169"/>
      <c r="N418" s="163" t="str">
        <f t="shared" si="10"/>
        <v/>
      </c>
      <c r="O418" s="41"/>
      <c r="P418" s="41"/>
      <c r="Q418" s="161" t="str">
        <f>+IF(OR(O418="Fire Control",O418="Fire Tex 5062",O418="Fire Tex 5090",O418="Fire Tex 5120"),'CALCULO PINTURA'!P419," ")</f>
        <v xml:space="preserve"> </v>
      </c>
      <c r="R418" s="164" t="str">
        <f>+IF(OR(O418="Fire Control",O418="Fire Tex 5062",O418="Fire Tex 5090",O418="Fire Tex 5120"),'CALCULO PINTURA'!R419," ")</f>
        <v xml:space="preserve"> </v>
      </c>
      <c r="S418" s="164" t="str">
        <f>+IF(OR(O418="Fire Control",O418="Fire Tex 5062",O418="Fire Tex 5090",O418="Fire Tex 5120"),'CALCULO PINTURA'!S419," ")</f>
        <v xml:space="preserve"> </v>
      </c>
      <c r="T418" s="874" t="str">
        <f>+IF(OR(O418="Blaze Shield II",O418="Cafco 400",O418="Cafco 300"),'CALCULO MORTERO'!N424," ")</f>
        <v xml:space="preserve"> </v>
      </c>
      <c r="U418" s="875" t="str">
        <f>+IF(OR(O418="Blaze Shield II",O418="Cafco 400",O418="Cafco 300"),'CALCULO MORTERO'!O424," ")</f>
        <v xml:space="preserve"> </v>
      </c>
      <c r="V418" s="161" t="str" cm="1">
        <f t="array" ref="V418">_xlfn.IFS(O418="Blaze Shield II",'CALCULO MORTERO'!P419, O418="Cafco 400",'CALCULO MORTERO'!Q419,O418="Cafco 300",'CALCULO MORTERO'!S419, AND(OR(O418="Fire tex 5090", O418="Fire Tex 5062", O418="Fire Tex 5120", O418="Fire Control"),Q418&gt;0), "CERT.",TRUE,"-")</f>
        <v>-</v>
      </c>
      <c r="W418" s="167"/>
      <c r="X418" s="167"/>
    </row>
    <row r="419" spans="1:24" x14ac:dyDescent="0.2">
      <c r="A419" s="903"/>
      <c r="B419" s="907"/>
      <c r="C419" s="874"/>
      <c r="D419" s="874"/>
      <c r="E419" s="874"/>
      <c r="F419" s="905"/>
      <c r="G419" s="874"/>
      <c r="H419" s="874"/>
      <c r="I419" s="906"/>
      <c r="J419" s="162"/>
      <c r="K419" s="161"/>
      <c r="L419" s="161"/>
      <c r="M419" s="169"/>
      <c r="N419" s="163" t="str">
        <f t="shared" si="10"/>
        <v/>
      </c>
      <c r="O419" s="41"/>
      <c r="P419" s="41"/>
      <c r="Q419" s="161" t="str">
        <f>+IF(OR(O419="Fire Control",O419="Fire Tex 5062",O419="Fire Tex 5090",O419="Fire Tex 5120"),'CALCULO PINTURA'!P420," ")</f>
        <v xml:space="preserve"> </v>
      </c>
      <c r="R419" s="164" t="str">
        <f>+IF(OR(O419="Fire Control",O419="Fire Tex 5062",O419="Fire Tex 5090",O419="Fire Tex 5120"),'CALCULO PINTURA'!R420," ")</f>
        <v xml:space="preserve"> </v>
      </c>
      <c r="S419" s="164" t="str">
        <f>+IF(OR(O419="Fire Control",O419="Fire Tex 5062",O419="Fire Tex 5090",O419="Fire Tex 5120"),'CALCULO PINTURA'!S420," ")</f>
        <v xml:space="preserve"> </v>
      </c>
      <c r="T419" s="874" t="str">
        <f>+IF(OR(O419="Blaze Shield II",O419="Cafco 400",O419="Cafco 300"),'CALCULO MORTERO'!N425," ")</f>
        <v xml:space="preserve"> </v>
      </c>
      <c r="U419" s="875" t="str">
        <f>+IF(OR(O419="Blaze Shield II",O419="Cafco 400",O419="Cafco 300"),'CALCULO MORTERO'!O425," ")</f>
        <v xml:space="preserve"> </v>
      </c>
      <c r="V419" s="161" t="str" cm="1">
        <f t="array" ref="V419">_xlfn.IFS(O419="Blaze Shield II",'CALCULO MORTERO'!P420, O419="Cafco 400",'CALCULO MORTERO'!Q420,O419="Cafco 300",'CALCULO MORTERO'!S420, AND(OR(O419="Fire tex 5090", O419="Fire Tex 5062", O419="Fire Tex 5120", O419="Fire Control"),Q419&gt;0), "CERT.",TRUE,"-")</f>
        <v>-</v>
      </c>
      <c r="W419" s="167"/>
      <c r="X419" s="167"/>
    </row>
    <row r="420" spans="1:24" x14ac:dyDescent="0.2">
      <c r="A420" s="903"/>
      <c r="B420" s="907"/>
      <c r="C420" s="874"/>
      <c r="D420" s="874"/>
      <c r="E420" s="874"/>
      <c r="F420" s="905"/>
      <c r="G420" s="874"/>
      <c r="H420" s="874"/>
      <c r="I420" s="906"/>
      <c r="J420" s="162"/>
      <c r="K420" s="161"/>
      <c r="L420" s="161"/>
      <c r="M420" s="169"/>
      <c r="N420" s="163" t="str">
        <f t="shared" si="10"/>
        <v/>
      </c>
      <c r="O420" s="41"/>
      <c r="P420" s="41"/>
      <c r="Q420" s="161" t="str">
        <f>+IF(OR(O420="Fire Control",O420="Fire Tex 5062",O420="Fire Tex 5090",O420="Fire Tex 5120"),'CALCULO PINTURA'!P421," ")</f>
        <v xml:space="preserve"> </v>
      </c>
      <c r="R420" s="164" t="str">
        <f>+IF(OR(O420="Fire Control",O420="Fire Tex 5062",O420="Fire Tex 5090",O420="Fire Tex 5120"),'CALCULO PINTURA'!R421," ")</f>
        <v xml:space="preserve"> </v>
      </c>
      <c r="S420" s="164" t="str">
        <f>+IF(OR(O420="Fire Control",O420="Fire Tex 5062",O420="Fire Tex 5090",O420="Fire Tex 5120"),'CALCULO PINTURA'!S421," ")</f>
        <v xml:space="preserve"> </v>
      </c>
      <c r="T420" s="874" t="str">
        <f>+IF(OR(O420="Blaze Shield II",O420="Cafco 400",O420="Cafco 300"),'CALCULO MORTERO'!N426," ")</f>
        <v xml:space="preserve"> </v>
      </c>
      <c r="U420" s="875" t="str">
        <f>+IF(OR(O420="Blaze Shield II",O420="Cafco 400",O420="Cafco 300"),'CALCULO MORTERO'!O426," ")</f>
        <v xml:space="preserve"> </v>
      </c>
      <c r="V420" s="161" t="str" cm="1">
        <f t="array" ref="V420">_xlfn.IFS(O420="Blaze Shield II",'CALCULO MORTERO'!P421, O420="Cafco 400",'CALCULO MORTERO'!Q421,O420="Cafco 300",'CALCULO MORTERO'!S421, AND(OR(O420="Fire tex 5090", O420="Fire Tex 5062", O420="Fire Tex 5120", O420="Fire Control"),Q420&gt;0), "CERT.",TRUE,"-")</f>
        <v>-</v>
      </c>
      <c r="W420" s="167"/>
      <c r="X420" s="167"/>
    </row>
    <row r="421" spans="1:24" x14ac:dyDescent="0.2">
      <c r="A421" s="903"/>
      <c r="B421" s="907"/>
      <c r="C421" s="874"/>
      <c r="D421" s="874"/>
      <c r="E421" s="874"/>
      <c r="F421" s="905"/>
      <c r="G421" s="874"/>
      <c r="H421" s="874"/>
      <c r="I421" s="906"/>
      <c r="J421" s="162"/>
      <c r="K421" s="161"/>
      <c r="L421" s="161"/>
      <c r="M421" s="169"/>
      <c r="N421" s="163" t="str">
        <f t="shared" si="10"/>
        <v/>
      </c>
      <c r="O421" s="41"/>
      <c r="P421" s="41"/>
      <c r="Q421" s="161" t="str">
        <f>+IF(OR(O421="Fire Control",O421="Fire Tex 5062",O421="Fire Tex 5090",O421="Fire Tex 5120"),'CALCULO PINTURA'!P977," ")</f>
        <v xml:space="preserve"> </v>
      </c>
      <c r="R421" s="164" t="str">
        <f>+IF(OR(O421="Fire Control",O421="Fire Tex 5062",O421="Fire Tex 5090",O421="Fire Tex 5120"),'CALCULO PINTURA'!R977," ")</f>
        <v xml:space="preserve"> </v>
      </c>
      <c r="S421" s="164" t="str">
        <f>+IF(OR(O421="Fire Control",O421="Fire Tex 5062",O421="Fire Tex 5090",O421="Fire Tex 5120"),'CALCULO PINTURA'!S977," ")</f>
        <v xml:space="preserve"> </v>
      </c>
      <c r="T421" s="874" t="str">
        <f>+IF(OR(O421="Blaze Shield II",O421="Cafco 400",O421="Cafco 300"),'CALCULO MORTERO'!N982," ")</f>
        <v xml:space="preserve"> </v>
      </c>
      <c r="U421" s="875" t="str">
        <f>+IF(OR(O421="Blaze Shield II",O421="Cafco 400",O421="Cafco 300"),'CALCULO MORTERO'!O982," ")</f>
        <v xml:space="preserve"> </v>
      </c>
      <c r="V421" s="161" t="str" cm="1">
        <f t="array" ref="V421">_xlfn.IFS(O421="Blaze Shield II",'CALCULO MORTERO'!P422, O421="Cafco 400",'CALCULO MORTERO'!Q422,O421="Cafco 300",'CALCULO MORTERO'!S422, AND(OR(O421="Fire tex 5090", O421="Fire Tex 5062", O421="Fire Tex 5120", O421="Fire Control"),Q421&gt;0), "CERT.",TRUE,"-")</f>
        <v>-</v>
      </c>
      <c r="W421" s="167"/>
      <c r="X421" s="167"/>
    </row>
    <row r="422" spans="1:24" x14ac:dyDescent="0.2">
      <c r="A422" s="903"/>
      <c r="B422" s="907"/>
      <c r="C422" s="874"/>
      <c r="D422" s="874"/>
      <c r="E422" s="874"/>
      <c r="F422" s="905"/>
      <c r="G422" s="874"/>
      <c r="H422" s="874"/>
      <c r="I422" s="906"/>
      <c r="J422" s="162"/>
      <c r="K422" s="161"/>
      <c r="L422" s="161"/>
      <c r="M422" s="169"/>
      <c r="N422" s="163" t="str">
        <f t="shared" si="10"/>
        <v/>
      </c>
      <c r="O422" s="41"/>
      <c r="P422" s="41"/>
      <c r="Q422" s="161" t="str">
        <f>+IF(OR(O422="Fire Control",O422="Fire Tex 5062",O422="Fire Tex 5090",O422="Fire Tex 5120"),'CALCULO PINTURA'!P978," ")</f>
        <v xml:space="preserve"> </v>
      </c>
      <c r="R422" s="164" t="str">
        <f>+IF(OR(O422="Fire Control",O422="Fire Tex 5062",O422="Fire Tex 5090",O422="Fire Tex 5120"),'CALCULO PINTURA'!R978," ")</f>
        <v xml:space="preserve"> </v>
      </c>
      <c r="S422" s="164" t="str">
        <f>+IF(OR(O422="Fire Control",O422="Fire Tex 5062",O422="Fire Tex 5090",O422="Fire Tex 5120"),'CALCULO PINTURA'!S978," ")</f>
        <v xml:space="preserve"> </v>
      </c>
      <c r="T422" s="874" t="str">
        <f>+IF(OR(O422="Blaze Shield II",O422="Cafco 400",O422="Cafco 300"),'CALCULO MORTERO'!N983," ")</f>
        <v xml:space="preserve"> </v>
      </c>
      <c r="U422" s="875" t="str">
        <f>+IF(OR(O422="Blaze Shield II",O422="Cafco 400",O422="Cafco 300"),'CALCULO MORTERO'!O983," ")</f>
        <v xml:space="preserve"> </v>
      </c>
      <c r="V422" s="161" t="str" cm="1">
        <f t="array" ref="V422">_xlfn.IFS(O422="Blaze Shield II",'CALCULO MORTERO'!P423, O422="Cafco 400",'CALCULO MORTERO'!Q423,O422="Cafco 300",'CALCULO MORTERO'!S423, AND(OR(O422="Fire tex 5090", O422="Fire Tex 5062", O422="Fire Tex 5120", O422="Fire Control"),Q422&gt;0), "CERT.",TRUE,"-")</f>
        <v>-</v>
      </c>
      <c r="W422" s="167"/>
      <c r="X422" s="167"/>
    </row>
    <row r="423" spans="1:24" x14ac:dyDescent="0.2">
      <c r="A423" s="903"/>
      <c r="B423" s="907"/>
      <c r="C423" s="874"/>
      <c r="D423" s="874"/>
      <c r="E423" s="874"/>
      <c r="F423" s="874"/>
      <c r="G423" s="874"/>
      <c r="H423" s="874"/>
      <c r="I423" s="906"/>
      <c r="J423" s="162"/>
      <c r="K423" s="161"/>
      <c r="L423" s="161"/>
      <c r="M423" s="163"/>
      <c r="N423" s="163" t="str">
        <f t="shared" si="10"/>
        <v/>
      </c>
      <c r="O423" s="41"/>
      <c r="P423" s="41"/>
      <c r="Q423" s="161" t="str">
        <f>+IF(OR(O423="Fire Control",O423="Fire Tex 5062",O423="Fire Tex 5090",O423="Fire Tex 5120"),'CALCULO PINTURA'!P1026," ")</f>
        <v xml:space="preserve"> </v>
      </c>
      <c r="R423" s="164" t="str">
        <f>+IF(OR(O423="Fire Control",O423="Fire Tex 5062",O423="Fire Tex 5090",O423="Fire Tex 5120"),'CALCULO PINTURA'!R1026," ")</f>
        <v xml:space="preserve"> </v>
      </c>
      <c r="S423" s="164" t="str">
        <f>+IF(OR(O423="Fire Control",O423="Fire Tex 5062",O423="Fire Tex 5090",O423="Fire Tex 5120"),'CALCULO PINTURA'!S1026," ")</f>
        <v xml:space="preserve"> </v>
      </c>
      <c r="T423" s="874" t="str">
        <f>+IF(OR(O423="Blaze Shield II",O423="Cafco 400",O423="Cafco 300"),'CALCULO MORTERO'!N1031," ")</f>
        <v xml:space="preserve"> </v>
      </c>
      <c r="U423" s="875" t="str">
        <f>+IF(OR(O423="Blaze Shield II",O423="Cafco 400",O423="Cafco 300"),'CALCULO MORTERO'!O1031," ")</f>
        <v xml:space="preserve"> </v>
      </c>
      <c r="V423" s="161" t="str" cm="1">
        <f t="array" ref="V423">_xlfn.IFS(O423="Blaze Shield II",'CALCULO MORTERO'!P424, O423="Cafco 400",'CALCULO MORTERO'!Q424,O423="Cafco 300",'CALCULO MORTERO'!S424, AND(OR(O423="Fire tex 5090", O423="Fire Tex 5062", O423="Fire Tex 5120", O423="Fire Control"),Q423&gt;0), "CERT.",TRUE,"-")</f>
        <v>-</v>
      </c>
      <c r="W423" s="167"/>
      <c r="X423" s="167"/>
    </row>
    <row r="424" spans="1:24" x14ac:dyDescent="0.2">
      <c r="A424" s="903"/>
      <c r="B424" s="904"/>
      <c r="C424" s="874"/>
      <c r="D424" s="874"/>
      <c r="E424" s="905"/>
      <c r="F424" s="905"/>
      <c r="G424" s="874"/>
      <c r="H424" s="874"/>
      <c r="I424" s="906"/>
      <c r="J424" s="162"/>
      <c r="K424" s="161"/>
      <c r="L424" s="161"/>
      <c r="M424" s="169"/>
      <c r="N424" s="163" t="str">
        <f t="shared" si="10"/>
        <v/>
      </c>
      <c r="O424" s="41"/>
      <c r="P424" s="41"/>
      <c r="Q424" s="161" t="str">
        <f>+IF(OR(O424="Fire Control",O424="Fire Tex 5062",O424="Fire Tex 5090",O424="Fire Tex 5120"),'CALCULO PINTURA'!P14," ")</f>
        <v xml:space="preserve"> </v>
      </c>
      <c r="R424" s="164" t="str">
        <f>+IF(OR(O424="Fire Control",O424="Fire Tex 5062",O424="Fire Tex 5090",O424="Fire Tex 5120"),'CALCULO PINTURA'!R14," ")</f>
        <v xml:space="preserve"> </v>
      </c>
      <c r="S424" s="164" t="str">
        <f>+IF(OR(O424="Fire Control",O424="Fire Tex 5062",O424="Fire Tex 5090",O424="Fire Tex 5120"),'CALCULO PINTURA'!S14," ")</f>
        <v xml:space="preserve"> </v>
      </c>
      <c r="T424" s="874" t="str">
        <f>+IF(OR(O424="Blaze Shield II",O424="Cafco 400",O424="Cafco 300"),'CALCULO MORTERO'!N14," ")</f>
        <v xml:space="preserve"> </v>
      </c>
      <c r="U424" s="875" t="str">
        <f>+IF(OR(O424="Blaze Shield II",O424="Cafco 400",O424="Cafco 300"),'CALCULO MORTERO'!O14," ")</f>
        <v xml:space="preserve"> </v>
      </c>
      <c r="V424" s="161" t="str" cm="1">
        <f t="array" ref="V424">_xlfn.IFS(O424="Blaze Shield II",'CALCULO MORTERO'!P425, O424="Cafco 400",'CALCULO MORTERO'!Q425,O424="Cafco 300",'CALCULO MORTERO'!S425, AND(OR(O424="Fire tex 5090", O424="Fire Tex 5062", O424="Fire Tex 5120", O424="Fire Control"),Q424&gt;0), "CERT.",TRUE,"-")</f>
        <v>-</v>
      </c>
      <c r="W424" s="167"/>
      <c r="X424" s="167"/>
    </row>
    <row r="425" spans="1:24" x14ac:dyDescent="0.2">
      <c r="A425" s="903"/>
      <c r="B425" s="904"/>
      <c r="C425" s="874"/>
      <c r="D425" s="874"/>
      <c r="E425" s="905"/>
      <c r="F425" s="905"/>
      <c r="G425" s="874"/>
      <c r="H425" s="874"/>
      <c r="I425" s="906"/>
      <c r="J425" s="162"/>
      <c r="K425" s="161"/>
      <c r="L425" s="161"/>
      <c r="M425" s="169"/>
      <c r="N425" s="163" t="str">
        <f t="shared" si="10"/>
        <v/>
      </c>
      <c r="O425" s="41"/>
      <c r="P425" s="41"/>
      <c r="Q425" s="161" t="str">
        <f>+IF(OR(O425="Fire Control",O425="Fire Tex 5062",O425="Fire Tex 5090",O425="Fire Tex 5120"),'CALCULO PINTURA'!P42," ")</f>
        <v xml:space="preserve"> </v>
      </c>
      <c r="R425" s="164" t="str">
        <f>+IF(OR(O425="Fire Control",O425="Fire Tex 5062",O425="Fire Tex 5090",O425="Fire Tex 5120"),'CALCULO PINTURA'!R42," ")</f>
        <v xml:space="preserve"> </v>
      </c>
      <c r="S425" s="164" t="str">
        <f>+IF(OR(O425="Fire Control",O425="Fire Tex 5062",O425="Fire Tex 5090",O425="Fire Tex 5120"),'CALCULO PINTURA'!S42," ")</f>
        <v xml:space="preserve"> </v>
      </c>
      <c r="T425" s="874" t="str">
        <f>+IF(OR(O425="Blaze Shield II",O425="Cafco 400",O425="Cafco 300"),'CALCULO MORTERO'!N42," ")</f>
        <v xml:space="preserve"> </v>
      </c>
      <c r="U425" s="875" t="str">
        <f>+IF(OR(O425="Blaze Shield II",O425="Cafco 400",O425="Cafco 300"),'CALCULO MORTERO'!O42," ")</f>
        <v xml:space="preserve"> </v>
      </c>
      <c r="V425" s="161" t="str" cm="1">
        <f t="array" ref="V425">_xlfn.IFS(O425="Blaze Shield II",'CALCULO MORTERO'!P426, O425="Cafco 400",'CALCULO MORTERO'!Q426,O425="Cafco 300",'CALCULO MORTERO'!S426, AND(OR(O425="Fire tex 5090", O425="Fire Tex 5062", O425="Fire Tex 5120", O425="Fire Control"),Q425&gt;0), "CERT.",TRUE,"-")</f>
        <v>-</v>
      </c>
      <c r="W425" s="167"/>
      <c r="X425" s="167"/>
    </row>
    <row r="426" spans="1:24" x14ac:dyDescent="0.2">
      <c r="A426" s="903"/>
      <c r="B426" s="904"/>
      <c r="C426" s="874"/>
      <c r="D426" s="874"/>
      <c r="E426" s="905"/>
      <c r="F426" s="905"/>
      <c r="G426" s="874"/>
      <c r="H426" s="874"/>
      <c r="I426" s="906"/>
      <c r="J426" s="162"/>
      <c r="K426" s="161"/>
      <c r="L426" s="161"/>
      <c r="M426" s="169"/>
      <c r="N426" s="163" t="str">
        <f t="shared" si="10"/>
        <v/>
      </c>
      <c r="O426" s="41"/>
      <c r="P426" s="41"/>
      <c r="Q426" s="161" t="str">
        <f>+IF(OR(O426="Fire Control",O426="Fire Tex 5062",O426="Fire Tex 5090",O426="Fire Tex 5120"),'CALCULO PINTURA'!P64," ")</f>
        <v xml:space="preserve"> </v>
      </c>
      <c r="R426" s="164" t="str">
        <f>+IF(OR(O426="Fire Control",O426="Fire Tex 5062",O426="Fire Tex 5090",O426="Fire Tex 5120"),'CALCULO PINTURA'!R64," ")</f>
        <v xml:space="preserve"> </v>
      </c>
      <c r="S426" s="164" t="str">
        <f>+IF(OR(O426="Fire Control",O426="Fire Tex 5062",O426="Fire Tex 5090",O426="Fire Tex 5120"),'CALCULO PINTURA'!S64," ")</f>
        <v xml:space="preserve"> </v>
      </c>
      <c r="T426" s="874" t="str">
        <f>+IF(OR(O426="Blaze Shield II",O426="Cafco 400",O426="Cafco 300"),'CALCULO MORTERO'!N64," ")</f>
        <v xml:space="preserve"> </v>
      </c>
      <c r="U426" s="875" t="str">
        <f>+IF(OR(O426="Blaze Shield II",O426="Cafco 400",O426="Cafco 300"),'CALCULO MORTERO'!O64," ")</f>
        <v xml:space="preserve"> </v>
      </c>
      <c r="V426" s="161" t="str" cm="1">
        <f t="array" ref="V426">_xlfn.IFS(O426="Blaze Shield II",'CALCULO MORTERO'!P427, O426="Cafco 400",'CALCULO MORTERO'!Q427,O426="Cafco 300",'CALCULO MORTERO'!S427, AND(OR(O426="Fire tex 5090", O426="Fire Tex 5062", O426="Fire Tex 5120", O426="Fire Control"),Q426&gt;0), "CERT.",TRUE,"-")</f>
        <v>-</v>
      </c>
      <c r="W426" s="167"/>
      <c r="X426" s="167"/>
    </row>
    <row r="427" spans="1:24" x14ac:dyDescent="0.2">
      <c r="A427" s="903"/>
      <c r="B427" s="907"/>
      <c r="C427" s="874"/>
      <c r="D427" s="874"/>
      <c r="E427" s="874"/>
      <c r="F427" s="905"/>
      <c r="G427" s="874"/>
      <c r="H427" s="874"/>
      <c r="I427" s="906"/>
      <c r="J427" s="162"/>
      <c r="K427" s="161"/>
      <c r="L427" s="161"/>
      <c r="M427" s="169"/>
      <c r="N427" s="163" t="str">
        <f t="shared" si="10"/>
        <v/>
      </c>
      <c r="O427" s="41"/>
      <c r="P427" s="41"/>
      <c r="Q427" s="161" t="str">
        <f>+IF(OR(O427="Fire Control",O427="Fire Tex 5062",O427="Fire Tex 5090",O427="Fire Tex 5120"),'CALCULO PINTURA'!P428," ")</f>
        <v xml:space="preserve"> </v>
      </c>
      <c r="R427" s="164" t="str">
        <f>+IF(OR(O427="Fire Control",O427="Fire Tex 5062",O427="Fire Tex 5090",O427="Fire Tex 5120"),'CALCULO PINTURA'!R428," ")</f>
        <v xml:space="preserve"> </v>
      </c>
      <c r="S427" s="164" t="str">
        <f>+IF(OR(O427="Fire Control",O427="Fire Tex 5062",O427="Fire Tex 5090",O427="Fire Tex 5120"),'CALCULO PINTURA'!S428," ")</f>
        <v xml:space="preserve"> </v>
      </c>
      <c r="T427" s="874" t="str">
        <f>+IF(OR(O427="Blaze Shield II",O427="Cafco 400",O427="Cafco 300"),'CALCULO MORTERO'!N433," ")</f>
        <v xml:space="preserve"> </v>
      </c>
      <c r="U427" s="875" t="str">
        <f>+IF(OR(O427="Blaze Shield II",O427="Cafco 400",O427="Cafco 300"),'CALCULO MORTERO'!O433," ")</f>
        <v xml:space="preserve"> </v>
      </c>
      <c r="V427" s="161" t="str" cm="1">
        <f t="array" ref="V427">_xlfn.IFS(O427="Blaze Shield II",'CALCULO MORTERO'!P428, O427="Cafco 400",'CALCULO MORTERO'!Q428,O427="Cafco 300",'CALCULO MORTERO'!S428, AND(OR(O427="Fire tex 5090", O427="Fire Tex 5062", O427="Fire Tex 5120", O427="Fire Control"),Q427&gt;0), "CERT.",TRUE,"-")</f>
        <v>-</v>
      </c>
      <c r="W427" s="167"/>
      <c r="X427" s="167"/>
    </row>
    <row r="428" spans="1:24" x14ac:dyDescent="0.2">
      <c r="A428" s="903"/>
      <c r="B428" s="904"/>
      <c r="C428" s="874"/>
      <c r="D428" s="874"/>
      <c r="E428" s="905"/>
      <c r="F428" s="905"/>
      <c r="G428" s="874"/>
      <c r="H428" s="874"/>
      <c r="I428" s="906"/>
      <c r="J428" s="162"/>
      <c r="K428" s="161"/>
      <c r="L428" s="161"/>
      <c r="M428" s="169"/>
      <c r="N428" s="163" t="str">
        <f t="shared" si="10"/>
        <v/>
      </c>
      <c r="O428" s="41"/>
      <c r="P428" s="41"/>
      <c r="Q428" s="161" t="str">
        <f>+IF(OR(O428="Fire Control",O428="Fire Tex 5062",O428="Fire Tex 5090",O428="Fire Tex 5120"),'CALCULO PINTURA'!P67," ")</f>
        <v xml:space="preserve"> </v>
      </c>
      <c r="R428" s="164" t="str">
        <f>+IF(OR(O428="Fire Control",O428="Fire Tex 5062",O428="Fire Tex 5090",O428="Fire Tex 5120"),'CALCULO PINTURA'!R67," ")</f>
        <v xml:space="preserve"> </v>
      </c>
      <c r="S428" s="164" t="str">
        <f>+IF(OR(O428="Fire Control",O428="Fire Tex 5062",O428="Fire Tex 5090",O428="Fire Tex 5120"),'CALCULO PINTURA'!S67," ")</f>
        <v xml:space="preserve"> </v>
      </c>
      <c r="T428" s="874" t="str">
        <f>+IF(OR(O428="Blaze Shield II",O428="Cafco 400",O428="Cafco 300"),'CALCULO MORTERO'!N67," ")</f>
        <v xml:space="preserve"> </v>
      </c>
      <c r="U428" s="875" t="str">
        <f>+IF(OR(O428="Blaze Shield II",O428="Cafco 400",O428="Cafco 300"),'CALCULO MORTERO'!O67," ")</f>
        <v xml:space="preserve"> </v>
      </c>
      <c r="V428" s="161" t="str" cm="1">
        <f t="array" ref="V428">_xlfn.IFS(O428="Blaze Shield II",'CALCULO MORTERO'!P429, O428="Cafco 400",'CALCULO MORTERO'!Q429,O428="Cafco 300",'CALCULO MORTERO'!S429, AND(OR(O428="Fire tex 5090", O428="Fire Tex 5062", O428="Fire Tex 5120", O428="Fire Control"),Q428&gt;0), "CERT.",TRUE,"-")</f>
        <v>-</v>
      </c>
      <c r="W428" s="167"/>
      <c r="X428" s="167"/>
    </row>
    <row r="429" spans="1:24" x14ac:dyDescent="0.2">
      <c r="A429" s="903"/>
      <c r="B429" s="904"/>
      <c r="C429" s="874"/>
      <c r="D429" s="874"/>
      <c r="E429" s="905"/>
      <c r="F429" s="905"/>
      <c r="G429" s="874"/>
      <c r="H429" s="874"/>
      <c r="I429" s="906"/>
      <c r="J429" s="162"/>
      <c r="K429" s="161"/>
      <c r="L429" s="161"/>
      <c r="M429" s="169"/>
      <c r="N429" s="163" t="str">
        <f t="shared" si="10"/>
        <v/>
      </c>
      <c r="O429" s="41"/>
      <c r="P429" s="41"/>
      <c r="Q429" s="161" t="str">
        <f>+IF(OR(O429="Fire Control",O429="Fire Tex 5062",O429="Fire Tex 5090",O429="Fire Tex 5120"),'CALCULO PINTURA'!P70," ")</f>
        <v xml:space="preserve"> </v>
      </c>
      <c r="R429" s="164" t="str">
        <f>+IF(OR(O429="Fire Control",O429="Fire Tex 5062",O429="Fire Tex 5090",O429="Fire Tex 5120"),'CALCULO PINTURA'!R70," ")</f>
        <v xml:space="preserve"> </v>
      </c>
      <c r="S429" s="164" t="str">
        <f>+IF(OR(O429="Fire Control",O429="Fire Tex 5062",O429="Fire Tex 5090",O429="Fire Tex 5120"),'CALCULO PINTURA'!S70," ")</f>
        <v xml:space="preserve"> </v>
      </c>
      <c r="T429" s="874" t="str">
        <f>+IF(OR(O429="Blaze Shield II",O429="Cafco 400",O429="Cafco 300"),'CALCULO MORTERO'!N70," ")</f>
        <v xml:space="preserve"> </v>
      </c>
      <c r="U429" s="875" t="str">
        <f>+IF(OR(O429="Blaze Shield II",O429="Cafco 400",O429="Cafco 300"),'CALCULO MORTERO'!O70," ")</f>
        <v xml:space="preserve"> </v>
      </c>
      <c r="V429" s="161" t="str" cm="1">
        <f t="array" ref="V429">_xlfn.IFS(O429="Blaze Shield II",'CALCULO MORTERO'!P430, O429="Cafco 400",'CALCULO MORTERO'!Q430,O429="Cafco 300",'CALCULO MORTERO'!S430, AND(OR(O429="Fire tex 5090", O429="Fire Tex 5062", O429="Fire Tex 5120", O429="Fire Control"),Q429&gt;0), "CERT.",TRUE,"-")</f>
        <v>-</v>
      </c>
      <c r="W429" s="167"/>
      <c r="X429" s="167"/>
    </row>
    <row r="430" spans="1:24" x14ac:dyDescent="0.2">
      <c r="A430" s="903"/>
      <c r="B430" s="904"/>
      <c r="C430" s="874"/>
      <c r="D430" s="874"/>
      <c r="E430" s="905"/>
      <c r="F430" s="905"/>
      <c r="G430" s="874"/>
      <c r="H430" s="874"/>
      <c r="I430" s="906"/>
      <c r="J430" s="162"/>
      <c r="K430" s="161"/>
      <c r="L430" s="161"/>
      <c r="M430" s="169"/>
      <c r="N430" s="163" t="str">
        <f t="shared" si="10"/>
        <v/>
      </c>
      <c r="O430" s="41"/>
      <c r="P430" s="41"/>
      <c r="Q430" s="161" t="str">
        <f>+IF(OR(O430="Fire Control",O430="Fire Tex 5062",O430="Fire Tex 5090",O430="Fire Tex 5120"),'CALCULO PINTURA'!P71," ")</f>
        <v xml:space="preserve"> </v>
      </c>
      <c r="R430" s="164" t="str">
        <f>+IF(OR(O430="Fire Control",O430="Fire Tex 5062",O430="Fire Tex 5090",O430="Fire Tex 5120"),'CALCULO PINTURA'!R71," ")</f>
        <v xml:space="preserve"> </v>
      </c>
      <c r="S430" s="164" t="str">
        <f>+IF(OR(O430="Fire Control",O430="Fire Tex 5062",O430="Fire Tex 5090",O430="Fire Tex 5120"),'CALCULO PINTURA'!S71," ")</f>
        <v xml:space="preserve"> </v>
      </c>
      <c r="T430" s="874" t="str">
        <f>+IF(OR(O430="Blaze Shield II",O430="Cafco 400",O430="Cafco 300"),'CALCULO MORTERO'!N71," ")</f>
        <v xml:space="preserve"> </v>
      </c>
      <c r="U430" s="875" t="str">
        <f>+IF(OR(O430="Blaze Shield II",O430="Cafco 400",O430="Cafco 300"),'CALCULO MORTERO'!O71," ")</f>
        <v xml:space="preserve"> </v>
      </c>
      <c r="V430" s="161" t="str" cm="1">
        <f t="array" ref="V430">_xlfn.IFS(O430="Blaze Shield II",'CALCULO MORTERO'!P431, O430="Cafco 400",'CALCULO MORTERO'!Q431,O430="Cafco 300",'CALCULO MORTERO'!S431, AND(OR(O430="Fire tex 5090", O430="Fire Tex 5062", O430="Fire Tex 5120", O430="Fire Control"),Q430&gt;0), "CERT.",TRUE,"-")</f>
        <v>-</v>
      </c>
      <c r="W430" s="167"/>
      <c r="X430" s="167"/>
    </row>
    <row r="431" spans="1:24" x14ac:dyDescent="0.2">
      <c r="A431" s="903"/>
      <c r="B431" s="904"/>
      <c r="C431" s="874"/>
      <c r="D431" s="874"/>
      <c r="E431" s="905"/>
      <c r="F431" s="905"/>
      <c r="G431" s="874"/>
      <c r="H431" s="874"/>
      <c r="I431" s="906"/>
      <c r="J431" s="162"/>
      <c r="K431" s="161"/>
      <c r="L431" s="161"/>
      <c r="M431" s="169"/>
      <c r="N431" s="163" t="str">
        <f t="shared" si="10"/>
        <v/>
      </c>
      <c r="O431" s="41"/>
      <c r="P431" s="41"/>
      <c r="Q431" s="161" t="str">
        <f>+IF(OR(O431="Fire Control",O431="Fire Tex 5062",O431="Fire Tex 5090",O431="Fire Tex 5120"),'CALCULO PINTURA'!P83," ")</f>
        <v xml:space="preserve"> </v>
      </c>
      <c r="R431" s="164" t="str">
        <f>+IF(OR(O431="Fire Control",O431="Fire Tex 5062",O431="Fire Tex 5090",O431="Fire Tex 5120"),'CALCULO PINTURA'!R83," ")</f>
        <v xml:space="preserve"> </v>
      </c>
      <c r="S431" s="164" t="str">
        <f>+IF(OR(O431="Fire Control",O431="Fire Tex 5062",O431="Fire Tex 5090",O431="Fire Tex 5120"),'CALCULO PINTURA'!S83," ")</f>
        <v xml:space="preserve"> </v>
      </c>
      <c r="T431" s="874" t="str">
        <f>+IF(OR(O431="Blaze Shield II",O431="Cafco 400",O431="Cafco 300"),'CALCULO MORTERO'!N83," ")</f>
        <v xml:space="preserve"> </v>
      </c>
      <c r="U431" s="875" t="str">
        <f>+IF(OR(O431="Blaze Shield II",O431="Cafco 400",O431="Cafco 300"),'CALCULO MORTERO'!O83," ")</f>
        <v xml:space="preserve"> </v>
      </c>
      <c r="V431" s="161" t="str" cm="1">
        <f t="array" ref="V431">_xlfn.IFS(O431="Blaze Shield II",'CALCULO MORTERO'!P432, O431="Cafco 400",'CALCULO MORTERO'!Q432,O431="Cafco 300",'CALCULO MORTERO'!S432, AND(OR(O431="Fire tex 5090", O431="Fire Tex 5062", O431="Fire Tex 5120", O431="Fire Control"),Q431&gt;0), "CERT.",TRUE,"-")</f>
        <v>-</v>
      </c>
      <c r="W431" s="167"/>
      <c r="X431" s="167"/>
    </row>
    <row r="432" spans="1:24" x14ac:dyDescent="0.2">
      <c r="A432" s="903"/>
      <c r="B432" s="904"/>
      <c r="C432" s="874"/>
      <c r="D432" s="874"/>
      <c r="E432" s="905"/>
      <c r="F432" s="905"/>
      <c r="G432" s="874"/>
      <c r="H432" s="874"/>
      <c r="I432" s="906"/>
      <c r="J432" s="162"/>
      <c r="K432" s="161"/>
      <c r="L432" s="161"/>
      <c r="M432" s="169"/>
      <c r="N432" s="163" t="str">
        <f t="shared" si="10"/>
        <v/>
      </c>
      <c r="O432" s="41"/>
      <c r="P432" s="41"/>
      <c r="Q432" s="161" t="str">
        <f>+IF(OR(O432="Fire Control",O432="Fire Tex 5062",O432="Fire Tex 5090",O432="Fire Tex 5120"),'CALCULO PINTURA'!P87," ")</f>
        <v xml:space="preserve"> </v>
      </c>
      <c r="R432" s="164" t="str">
        <f>+IF(OR(O432="Fire Control",O432="Fire Tex 5062",O432="Fire Tex 5090",O432="Fire Tex 5120"),'CALCULO PINTURA'!R87," ")</f>
        <v xml:space="preserve"> </v>
      </c>
      <c r="S432" s="164" t="str">
        <f>+IF(OR(O432="Fire Control",O432="Fire Tex 5062",O432="Fire Tex 5090",O432="Fire Tex 5120"),'CALCULO PINTURA'!S87," ")</f>
        <v xml:space="preserve"> </v>
      </c>
      <c r="T432" s="874" t="str">
        <f>+IF(OR(O432="Blaze Shield II",O432="Cafco 400",O432="Cafco 300"),'CALCULO MORTERO'!N87," ")</f>
        <v xml:space="preserve"> </v>
      </c>
      <c r="U432" s="875" t="str">
        <f>+IF(OR(O432="Blaze Shield II",O432="Cafco 400",O432="Cafco 300"),'CALCULO MORTERO'!O87," ")</f>
        <v xml:space="preserve"> </v>
      </c>
      <c r="V432" s="161" t="str" cm="1">
        <f t="array" ref="V432">_xlfn.IFS(O432="Blaze Shield II",'CALCULO MORTERO'!P433, O432="Cafco 400",'CALCULO MORTERO'!Q433,O432="Cafco 300",'CALCULO MORTERO'!S433, AND(OR(O432="Fire tex 5090", O432="Fire Tex 5062", O432="Fire Tex 5120", O432="Fire Control"),Q432&gt;0), "CERT.",TRUE,"-")</f>
        <v>-</v>
      </c>
      <c r="W432" s="167"/>
      <c r="X432" s="167"/>
    </row>
    <row r="433" spans="1:24" x14ac:dyDescent="0.2">
      <c r="A433" s="903"/>
      <c r="B433" s="904"/>
      <c r="C433" s="874"/>
      <c r="D433" s="874"/>
      <c r="E433" s="905"/>
      <c r="F433" s="905"/>
      <c r="G433" s="874"/>
      <c r="H433" s="874"/>
      <c r="I433" s="906"/>
      <c r="J433" s="162"/>
      <c r="K433" s="161"/>
      <c r="L433" s="161"/>
      <c r="M433" s="169"/>
      <c r="N433" s="163" t="str">
        <f t="shared" si="10"/>
        <v/>
      </c>
      <c r="O433" s="41"/>
      <c r="P433" s="41"/>
      <c r="Q433" s="161" t="str">
        <f>+IF(OR(O433="Fire Control",O433="Fire Tex 5062",O433="Fire Tex 5090",O433="Fire Tex 5120"),'CALCULO PINTURA'!P88," ")</f>
        <v xml:space="preserve"> </v>
      </c>
      <c r="R433" s="164" t="str">
        <f>+IF(OR(O433="Fire Control",O433="Fire Tex 5062",O433="Fire Tex 5090",O433="Fire Tex 5120"),'CALCULO PINTURA'!R88," ")</f>
        <v xml:space="preserve"> </v>
      </c>
      <c r="S433" s="164" t="str">
        <f>+IF(OR(O433="Fire Control",O433="Fire Tex 5062",O433="Fire Tex 5090",O433="Fire Tex 5120"),'CALCULO PINTURA'!S88," ")</f>
        <v xml:space="preserve"> </v>
      </c>
      <c r="T433" s="874" t="str">
        <f>+IF(OR(O433="Blaze Shield II",O433="Cafco 400",O433="Cafco 300"),'CALCULO MORTERO'!N88," ")</f>
        <v xml:space="preserve"> </v>
      </c>
      <c r="U433" s="875" t="str">
        <f>+IF(OR(O433="Blaze Shield II",O433="Cafco 400",O433="Cafco 300"),'CALCULO MORTERO'!O88," ")</f>
        <v xml:space="preserve"> </v>
      </c>
      <c r="V433" s="161" t="str" cm="1">
        <f t="array" ref="V433">_xlfn.IFS(O433="Blaze Shield II",'CALCULO MORTERO'!P434, O433="Cafco 400",'CALCULO MORTERO'!Q434,O433="Cafco 300",'CALCULO MORTERO'!S434, AND(OR(O433="Fire tex 5090", O433="Fire Tex 5062", O433="Fire Tex 5120", O433="Fire Control"),Q433&gt;0), "CERT.",TRUE,"-")</f>
        <v>-</v>
      </c>
      <c r="W433" s="167"/>
      <c r="X433" s="167"/>
    </row>
    <row r="434" spans="1:24" x14ac:dyDescent="0.2">
      <c r="A434" s="903"/>
      <c r="B434" s="907"/>
      <c r="C434" s="874"/>
      <c r="D434" s="874"/>
      <c r="E434" s="874"/>
      <c r="F434" s="905"/>
      <c r="G434" s="874"/>
      <c r="H434" s="874"/>
      <c r="I434" s="906"/>
      <c r="J434" s="162"/>
      <c r="K434" s="161"/>
      <c r="L434" s="161"/>
      <c r="M434" s="169"/>
      <c r="N434" s="163" t="str">
        <f t="shared" si="10"/>
        <v/>
      </c>
      <c r="O434" s="41"/>
      <c r="P434" s="41"/>
      <c r="Q434" s="161" t="str">
        <f>+IF(OR(O434="Fire Control",O434="Fire Tex 5062",O434="Fire Tex 5090",O434="Fire Tex 5120"),'CALCULO PINTURA'!P435," ")</f>
        <v xml:space="preserve"> </v>
      </c>
      <c r="R434" s="164" t="str">
        <f>+IF(OR(O434="Fire Control",O434="Fire Tex 5062",O434="Fire Tex 5090",O434="Fire Tex 5120"),'CALCULO PINTURA'!R435," ")</f>
        <v xml:space="preserve"> </v>
      </c>
      <c r="S434" s="164" t="str">
        <f>+IF(OR(O434="Fire Control",O434="Fire Tex 5062",O434="Fire Tex 5090",O434="Fire Tex 5120"),'CALCULO PINTURA'!S435," ")</f>
        <v xml:space="preserve"> </v>
      </c>
      <c r="T434" s="874" t="str">
        <f>+IF(OR(O434="Blaze Shield II",O434="Cafco 400",O434="Cafco 300"),'CALCULO MORTERO'!N440," ")</f>
        <v xml:space="preserve"> </v>
      </c>
      <c r="U434" s="875" t="str">
        <f>+IF(OR(O434="Blaze Shield II",O434="Cafco 400",O434="Cafco 300"),'CALCULO MORTERO'!O440," ")</f>
        <v xml:space="preserve"> </v>
      </c>
      <c r="V434" s="161" t="str" cm="1">
        <f t="array" ref="V434">_xlfn.IFS(O434="Blaze Shield II",'CALCULO MORTERO'!P435, O434="Cafco 400",'CALCULO MORTERO'!Q435,O434="Cafco 300",'CALCULO MORTERO'!S435, AND(OR(O434="Fire tex 5090", O434="Fire Tex 5062", O434="Fire Tex 5120", O434="Fire Control"),Q434&gt;0), "CERT.",TRUE,"-")</f>
        <v>-</v>
      </c>
      <c r="W434" s="167"/>
      <c r="X434" s="167"/>
    </row>
    <row r="435" spans="1:24" x14ac:dyDescent="0.2">
      <c r="A435" s="903"/>
      <c r="B435" s="907"/>
      <c r="C435" s="874"/>
      <c r="D435" s="874"/>
      <c r="E435" s="874"/>
      <c r="F435" s="905"/>
      <c r="G435" s="874"/>
      <c r="H435" s="874"/>
      <c r="I435" s="906"/>
      <c r="J435" s="162"/>
      <c r="K435" s="161"/>
      <c r="L435" s="161"/>
      <c r="M435" s="169"/>
      <c r="N435" s="163" t="str">
        <f t="shared" si="10"/>
        <v/>
      </c>
      <c r="O435" s="41"/>
      <c r="P435" s="41"/>
      <c r="Q435" s="161" t="str">
        <f>+IF(OR(O435="Fire Control",O435="Fire Tex 5062",O435="Fire Tex 5090",O435="Fire Tex 5120"),'CALCULO PINTURA'!P436," ")</f>
        <v xml:space="preserve"> </v>
      </c>
      <c r="R435" s="164" t="str">
        <f>+IF(OR(O435="Fire Control",O435="Fire Tex 5062",O435="Fire Tex 5090",O435="Fire Tex 5120"),'CALCULO PINTURA'!R436," ")</f>
        <v xml:space="preserve"> </v>
      </c>
      <c r="S435" s="164" t="str">
        <f>+IF(OR(O435="Fire Control",O435="Fire Tex 5062",O435="Fire Tex 5090",O435="Fire Tex 5120"),'CALCULO PINTURA'!S436," ")</f>
        <v xml:space="preserve"> </v>
      </c>
      <c r="T435" s="874" t="str">
        <f>+IF(OR(O435="Blaze Shield II",O435="Cafco 400",O435="Cafco 300"),'CALCULO MORTERO'!N441," ")</f>
        <v xml:space="preserve"> </v>
      </c>
      <c r="U435" s="875" t="str">
        <f>+IF(OR(O435="Blaze Shield II",O435="Cafco 400",O435="Cafco 300"),'CALCULO MORTERO'!O441," ")</f>
        <v xml:space="preserve"> </v>
      </c>
      <c r="V435" s="161" t="str" cm="1">
        <f t="array" ref="V435">_xlfn.IFS(O435="Blaze Shield II",'CALCULO MORTERO'!P436, O435="Cafco 400",'CALCULO MORTERO'!Q436,O435="Cafco 300",'CALCULO MORTERO'!S436, AND(OR(O435="Fire tex 5090", O435="Fire Tex 5062", O435="Fire Tex 5120", O435="Fire Control"),Q435&gt;0), "CERT.",TRUE,"-")</f>
        <v>-</v>
      </c>
      <c r="W435" s="167"/>
      <c r="X435" s="167"/>
    </row>
    <row r="436" spans="1:24" x14ac:dyDescent="0.2">
      <c r="A436" s="903"/>
      <c r="B436" s="907"/>
      <c r="C436" s="874"/>
      <c r="D436" s="874"/>
      <c r="E436" s="874"/>
      <c r="F436" s="905"/>
      <c r="G436" s="874"/>
      <c r="H436" s="874"/>
      <c r="I436" s="906"/>
      <c r="J436" s="162"/>
      <c r="K436" s="161"/>
      <c r="L436" s="161"/>
      <c r="M436" s="169"/>
      <c r="N436" s="163" t="str">
        <f t="shared" si="10"/>
        <v/>
      </c>
      <c r="O436" s="41"/>
      <c r="P436" s="41"/>
      <c r="Q436" s="161" t="str">
        <f>+IF(OR(O436="Fire Control",O436="Fire Tex 5062",O436="Fire Tex 5090",O436="Fire Tex 5120"),'CALCULO PINTURA'!P437," ")</f>
        <v xml:space="preserve"> </v>
      </c>
      <c r="R436" s="164" t="str">
        <f>+IF(OR(O436="Fire Control",O436="Fire Tex 5062",O436="Fire Tex 5090",O436="Fire Tex 5120"),'CALCULO PINTURA'!R437," ")</f>
        <v xml:space="preserve"> </v>
      </c>
      <c r="S436" s="164" t="str">
        <f>+IF(OR(O436="Fire Control",O436="Fire Tex 5062",O436="Fire Tex 5090",O436="Fire Tex 5120"),'CALCULO PINTURA'!S437," ")</f>
        <v xml:space="preserve"> </v>
      </c>
      <c r="T436" s="874" t="str">
        <f>+IF(OR(O436="Blaze Shield II",O436="Cafco 400",O436="Cafco 300"),'CALCULO MORTERO'!N442," ")</f>
        <v xml:space="preserve"> </v>
      </c>
      <c r="U436" s="875" t="str">
        <f>+IF(OR(O436="Blaze Shield II",O436="Cafco 400",O436="Cafco 300"),'CALCULO MORTERO'!O442," ")</f>
        <v xml:space="preserve"> </v>
      </c>
      <c r="V436" s="161" t="str" cm="1">
        <f t="array" ref="V436">_xlfn.IFS(O436="Blaze Shield II",'CALCULO MORTERO'!P437, O436="Cafco 400",'CALCULO MORTERO'!Q437,O436="Cafco 300",'CALCULO MORTERO'!S437, AND(OR(O436="Fire tex 5090", O436="Fire Tex 5062", O436="Fire Tex 5120", O436="Fire Control"),Q436&gt;0), "CERT.",TRUE,"-")</f>
        <v>-</v>
      </c>
      <c r="W436" s="167"/>
      <c r="X436" s="167"/>
    </row>
    <row r="437" spans="1:24" x14ac:dyDescent="0.2">
      <c r="A437" s="903"/>
      <c r="B437" s="907"/>
      <c r="C437" s="874"/>
      <c r="D437" s="874"/>
      <c r="E437" s="874"/>
      <c r="F437" s="905"/>
      <c r="G437" s="874"/>
      <c r="H437" s="874"/>
      <c r="I437" s="906"/>
      <c r="J437" s="162"/>
      <c r="K437" s="161"/>
      <c r="L437" s="161"/>
      <c r="M437" s="169"/>
      <c r="N437" s="163" t="str">
        <f t="shared" si="10"/>
        <v/>
      </c>
      <c r="O437" s="41"/>
      <c r="P437" s="41"/>
      <c r="Q437" s="161" t="str">
        <f>+IF(OR(O437="Fire Control",O437="Fire Tex 5062",O437="Fire Tex 5090",O437="Fire Tex 5120"),'CALCULO PINTURA'!P438," ")</f>
        <v xml:space="preserve"> </v>
      </c>
      <c r="R437" s="164" t="str">
        <f>+IF(OR(O437="Fire Control",O437="Fire Tex 5062",O437="Fire Tex 5090",O437="Fire Tex 5120"),'CALCULO PINTURA'!R438," ")</f>
        <v xml:space="preserve"> </v>
      </c>
      <c r="S437" s="164" t="str">
        <f>+IF(OR(O437="Fire Control",O437="Fire Tex 5062",O437="Fire Tex 5090",O437="Fire Tex 5120"),'CALCULO PINTURA'!S438," ")</f>
        <v xml:space="preserve"> </v>
      </c>
      <c r="T437" s="874" t="str">
        <f>+IF(OR(O437="Blaze Shield II",O437="Cafco 400",O437="Cafco 300"),'CALCULO MORTERO'!N443," ")</f>
        <v xml:space="preserve"> </v>
      </c>
      <c r="U437" s="875" t="str">
        <f>+IF(OR(O437="Blaze Shield II",O437="Cafco 400",O437="Cafco 300"),'CALCULO MORTERO'!O443," ")</f>
        <v xml:space="preserve"> </v>
      </c>
      <c r="V437" s="161" t="str" cm="1">
        <f t="array" ref="V437">_xlfn.IFS(O437="Blaze Shield II",'CALCULO MORTERO'!P438, O437="Cafco 400",'CALCULO MORTERO'!Q438,O437="Cafco 300",'CALCULO MORTERO'!S438, AND(OR(O437="Fire tex 5090", O437="Fire Tex 5062", O437="Fire Tex 5120", O437="Fire Control"),Q437&gt;0), "CERT.",TRUE,"-")</f>
        <v>-</v>
      </c>
      <c r="W437" s="167"/>
      <c r="X437" s="167"/>
    </row>
    <row r="438" spans="1:24" x14ac:dyDescent="0.2">
      <c r="A438" s="903"/>
      <c r="B438" s="907"/>
      <c r="C438" s="874"/>
      <c r="D438" s="874"/>
      <c r="E438" s="874"/>
      <c r="F438" s="905"/>
      <c r="G438" s="874"/>
      <c r="H438" s="874"/>
      <c r="I438" s="906"/>
      <c r="J438" s="162"/>
      <c r="K438" s="161"/>
      <c r="L438" s="161"/>
      <c r="M438" s="169"/>
      <c r="N438" s="163" t="str">
        <f t="shared" si="10"/>
        <v/>
      </c>
      <c r="O438" s="41"/>
      <c r="P438" s="41"/>
      <c r="Q438" s="161" t="str">
        <f>+IF(OR(O438="Fire Control",O438="Fire Tex 5062",O438="Fire Tex 5090",O438="Fire Tex 5120"),'CALCULO PINTURA'!P439," ")</f>
        <v xml:space="preserve"> </v>
      </c>
      <c r="R438" s="164" t="str">
        <f>+IF(OR(O438="Fire Control",O438="Fire Tex 5062",O438="Fire Tex 5090",O438="Fire Tex 5120"),'CALCULO PINTURA'!R439," ")</f>
        <v xml:space="preserve"> </v>
      </c>
      <c r="S438" s="164" t="str">
        <f>+IF(OR(O438="Fire Control",O438="Fire Tex 5062",O438="Fire Tex 5090",O438="Fire Tex 5120"),'CALCULO PINTURA'!S439," ")</f>
        <v xml:space="preserve"> </v>
      </c>
      <c r="T438" s="874" t="str">
        <f>+IF(OR(O438="Blaze Shield II",O438="Cafco 400",O438="Cafco 300"),'CALCULO MORTERO'!N444," ")</f>
        <v xml:space="preserve"> </v>
      </c>
      <c r="U438" s="875" t="str">
        <f>+IF(OR(O438="Blaze Shield II",O438="Cafco 400",O438="Cafco 300"),'CALCULO MORTERO'!O444," ")</f>
        <v xml:space="preserve"> </v>
      </c>
      <c r="V438" s="161" t="str" cm="1">
        <f t="array" ref="V438">_xlfn.IFS(O438="Blaze Shield II",'CALCULO MORTERO'!P439, O438="Cafco 400",'CALCULO MORTERO'!Q439,O438="Cafco 300",'CALCULO MORTERO'!S439, AND(OR(O438="Fire tex 5090", O438="Fire Tex 5062", O438="Fire Tex 5120", O438="Fire Control"),Q438&gt;0), "CERT.",TRUE,"-")</f>
        <v>-</v>
      </c>
      <c r="W438" s="167"/>
      <c r="X438" s="167"/>
    </row>
    <row r="439" spans="1:24" x14ac:dyDescent="0.2">
      <c r="A439" s="903"/>
      <c r="B439" s="907"/>
      <c r="C439" s="874"/>
      <c r="D439" s="874"/>
      <c r="E439" s="874"/>
      <c r="F439" s="905"/>
      <c r="G439" s="874"/>
      <c r="H439" s="874"/>
      <c r="I439" s="906"/>
      <c r="J439" s="162"/>
      <c r="K439" s="161"/>
      <c r="L439" s="161"/>
      <c r="M439" s="169"/>
      <c r="N439" s="163" t="str">
        <f t="shared" si="10"/>
        <v/>
      </c>
      <c r="O439" s="41"/>
      <c r="P439" s="41"/>
      <c r="Q439" s="161" t="str">
        <f>+IF(OR(O439="Fire Control",O439="Fire Tex 5062",O439="Fire Tex 5090",O439="Fire Tex 5120"),'CALCULO PINTURA'!P440," ")</f>
        <v xml:space="preserve"> </v>
      </c>
      <c r="R439" s="164" t="str">
        <f>+IF(OR(O439="Fire Control",O439="Fire Tex 5062",O439="Fire Tex 5090",O439="Fire Tex 5120"),'CALCULO PINTURA'!R440," ")</f>
        <v xml:space="preserve"> </v>
      </c>
      <c r="S439" s="164" t="str">
        <f>+IF(OR(O439="Fire Control",O439="Fire Tex 5062",O439="Fire Tex 5090",O439="Fire Tex 5120"),'CALCULO PINTURA'!S440," ")</f>
        <v xml:space="preserve"> </v>
      </c>
      <c r="T439" s="874" t="str">
        <f>+IF(OR(O439="Blaze Shield II",O439="Cafco 400",O439="Cafco 300"),'CALCULO MORTERO'!N445," ")</f>
        <v xml:space="preserve"> </v>
      </c>
      <c r="U439" s="875" t="str">
        <f>+IF(OR(O439="Blaze Shield II",O439="Cafco 400",O439="Cafco 300"),'CALCULO MORTERO'!O445," ")</f>
        <v xml:space="preserve"> </v>
      </c>
      <c r="V439" s="161" t="str" cm="1">
        <f t="array" ref="V439">_xlfn.IFS(O439="Blaze Shield II",'CALCULO MORTERO'!P440, O439="Cafco 400",'CALCULO MORTERO'!Q440,O439="Cafco 300",'CALCULO MORTERO'!S440, AND(OR(O439="Fire tex 5090", O439="Fire Tex 5062", O439="Fire Tex 5120", O439="Fire Control"),Q439&gt;0), "CERT.",TRUE,"-")</f>
        <v>-</v>
      </c>
      <c r="W439" s="167"/>
      <c r="X439" s="167"/>
    </row>
    <row r="440" spans="1:24" x14ac:dyDescent="0.2">
      <c r="A440" s="903"/>
      <c r="B440" s="907"/>
      <c r="C440" s="874"/>
      <c r="D440" s="874"/>
      <c r="E440" s="874"/>
      <c r="F440" s="905"/>
      <c r="G440" s="874"/>
      <c r="H440" s="874"/>
      <c r="I440" s="906"/>
      <c r="J440" s="162"/>
      <c r="K440" s="161"/>
      <c r="L440" s="161"/>
      <c r="M440" s="169"/>
      <c r="N440" s="163" t="str">
        <f t="shared" si="10"/>
        <v/>
      </c>
      <c r="O440" s="41"/>
      <c r="P440" s="41"/>
      <c r="Q440" s="161" t="str">
        <f>+IF(OR(O440="Fire Control",O440="Fire Tex 5062",O440="Fire Tex 5090",O440="Fire Tex 5120"),'CALCULO PINTURA'!P441," ")</f>
        <v xml:space="preserve"> </v>
      </c>
      <c r="R440" s="164" t="str">
        <f>+IF(OR(O440="Fire Control",O440="Fire Tex 5062",O440="Fire Tex 5090",O440="Fire Tex 5120"),'CALCULO PINTURA'!R441," ")</f>
        <v xml:space="preserve"> </v>
      </c>
      <c r="S440" s="164" t="str">
        <f>+IF(OR(O440="Fire Control",O440="Fire Tex 5062",O440="Fire Tex 5090",O440="Fire Tex 5120"),'CALCULO PINTURA'!S441," ")</f>
        <v xml:space="preserve"> </v>
      </c>
      <c r="T440" s="874" t="str">
        <f>+IF(OR(O440="Blaze Shield II",O440="Cafco 400",O440="Cafco 300"),'CALCULO MORTERO'!N446," ")</f>
        <v xml:space="preserve"> </v>
      </c>
      <c r="U440" s="875" t="str">
        <f>+IF(OR(O440="Blaze Shield II",O440="Cafco 400",O440="Cafco 300"),'CALCULO MORTERO'!O446," ")</f>
        <v xml:space="preserve"> </v>
      </c>
      <c r="V440" s="161" t="str" cm="1">
        <f t="array" ref="V440">_xlfn.IFS(O440="Blaze Shield II",'CALCULO MORTERO'!P441, O440="Cafco 400",'CALCULO MORTERO'!Q441,O440="Cafco 300",'CALCULO MORTERO'!S441, AND(OR(O440="Fire tex 5090", O440="Fire Tex 5062", O440="Fire Tex 5120", O440="Fire Control"),Q440&gt;0), "CERT.",TRUE,"-")</f>
        <v>-</v>
      </c>
      <c r="W440" s="167"/>
      <c r="X440" s="167"/>
    </row>
    <row r="441" spans="1:24" x14ac:dyDescent="0.2">
      <c r="A441" s="903"/>
      <c r="B441" s="907"/>
      <c r="C441" s="874"/>
      <c r="D441" s="874"/>
      <c r="E441" s="874"/>
      <c r="F441" s="905"/>
      <c r="G441" s="874"/>
      <c r="H441" s="874"/>
      <c r="I441" s="906"/>
      <c r="J441" s="162"/>
      <c r="K441" s="161"/>
      <c r="L441" s="161"/>
      <c r="M441" s="169"/>
      <c r="N441" s="163" t="str">
        <f t="shared" si="10"/>
        <v/>
      </c>
      <c r="O441" s="41"/>
      <c r="P441" s="41"/>
      <c r="Q441" s="161" t="str">
        <f>+IF(OR(O441="Fire Control",O441="Fire Tex 5062",O441="Fire Tex 5090",O441="Fire Tex 5120"),'CALCULO PINTURA'!P442," ")</f>
        <v xml:space="preserve"> </v>
      </c>
      <c r="R441" s="164" t="str">
        <f>+IF(OR(O441="Fire Control",O441="Fire Tex 5062",O441="Fire Tex 5090",O441="Fire Tex 5120"),'CALCULO PINTURA'!R442," ")</f>
        <v xml:space="preserve"> </v>
      </c>
      <c r="S441" s="164" t="str">
        <f>+IF(OR(O441="Fire Control",O441="Fire Tex 5062",O441="Fire Tex 5090",O441="Fire Tex 5120"),'CALCULO PINTURA'!S442," ")</f>
        <v xml:space="preserve"> </v>
      </c>
      <c r="T441" s="874" t="str">
        <f>+IF(OR(O441="Blaze Shield II",O441="Cafco 400",O441="Cafco 300"),'CALCULO MORTERO'!N447," ")</f>
        <v xml:space="preserve"> </v>
      </c>
      <c r="U441" s="875" t="str">
        <f>+IF(OR(O441="Blaze Shield II",O441="Cafco 400",O441="Cafco 300"),'CALCULO MORTERO'!O447," ")</f>
        <v xml:space="preserve"> </v>
      </c>
      <c r="V441" s="161" t="str" cm="1">
        <f t="array" ref="V441">_xlfn.IFS(O441="Blaze Shield II",'CALCULO MORTERO'!P442, O441="Cafco 400",'CALCULO MORTERO'!Q442,O441="Cafco 300",'CALCULO MORTERO'!S442, AND(OR(O441="Fire tex 5090", O441="Fire Tex 5062", O441="Fire Tex 5120", O441="Fire Control"),Q441&gt;0), "CERT.",TRUE,"-")</f>
        <v>-</v>
      </c>
      <c r="W441" s="167"/>
      <c r="X441" s="167"/>
    </row>
    <row r="442" spans="1:24" x14ac:dyDescent="0.2">
      <c r="A442" s="903"/>
      <c r="B442" s="907"/>
      <c r="C442" s="874"/>
      <c r="D442" s="874"/>
      <c r="E442" s="874"/>
      <c r="F442" s="905"/>
      <c r="G442" s="874"/>
      <c r="H442" s="874"/>
      <c r="I442" s="906"/>
      <c r="J442" s="162"/>
      <c r="K442" s="161"/>
      <c r="L442" s="161"/>
      <c r="M442" s="169"/>
      <c r="N442" s="163" t="str">
        <f t="shared" si="10"/>
        <v/>
      </c>
      <c r="O442" s="41"/>
      <c r="P442" s="41"/>
      <c r="Q442" s="161" t="str">
        <f>+IF(OR(O442="Fire Control",O442="Fire Tex 5062",O442="Fire Tex 5090",O442="Fire Tex 5120"),'CALCULO PINTURA'!P443," ")</f>
        <v xml:space="preserve"> </v>
      </c>
      <c r="R442" s="164" t="str">
        <f>+IF(OR(O442="Fire Control",O442="Fire Tex 5062",O442="Fire Tex 5090",O442="Fire Tex 5120"),'CALCULO PINTURA'!R443," ")</f>
        <v xml:space="preserve"> </v>
      </c>
      <c r="S442" s="164" t="str">
        <f>+IF(OR(O442="Fire Control",O442="Fire Tex 5062",O442="Fire Tex 5090",O442="Fire Tex 5120"),'CALCULO PINTURA'!S443," ")</f>
        <v xml:space="preserve"> </v>
      </c>
      <c r="T442" s="874" t="str">
        <f>+IF(OR(O442="Blaze Shield II",O442="Cafco 400",O442="Cafco 300"),'CALCULO MORTERO'!N448," ")</f>
        <v xml:space="preserve"> </v>
      </c>
      <c r="U442" s="875" t="str">
        <f>+IF(OR(O442="Blaze Shield II",O442="Cafco 400",O442="Cafco 300"),'CALCULO MORTERO'!O448," ")</f>
        <v xml:space="preserve"> </v>
      </c>
      <c r="V442" s="161" t="str" cm="1">
        <f t="array" ref="V442">_xlfn.IFS(O442="Blaze Shield II",'CALCULO MORTERO'!P443, O442="Cafco 400",'CALCULO MORTERO'!Q443,O442="Cafco 300",'CALCULO MORTERO'!S443, AND(OR(O442="Fire tex 5090", O442="Fire Tex 5062", O442="Fire Tex 5120", O442="Fire Control"),Q442&gt;0), "CERT.",TRUE,"-")</f>
        <v>-</v>
      </c>
      <c r="W442" s="167"/>
      <c r="X442" s="167"/>
    </row>
    <row r="443" spans="1:24" x14ac:dyDescent="0.2">
      <c r="A443" s="903"/>
      <c r="B443" s="907"/>
      <c r="C443" s="874"/>
      <c r="D443" s="874"/>
      <c r="E443" s="874"/>
      <c r="F443" s="905"/>
      <c r="G443" s="874"/>
      <c r="H443" s="874"/>
      <c r="I443" s="906"/>
      <c r="J443" s="162"/>
      <c r="K443" s="161"/>
      <c r="L443" s="161"/>
      <c r="M443" s="169"/>
      <c r="N443" s="163" t="str">
        <f t="shared" si="10"/>
        <v/>
      </c>
      <c r="O443" s="41"/>
      <c r="P443" s="41"/>
      <c r="Q443" s="161" t="str">
        <f>+IF(OR(O443="Fire Control",O443="Fire Tex 5062",O443="Fire Tex 5090",O443="Fire Tex 5120"),'CALCULO PINTURA'!P444," ")</f>
        <v xml:space="preserve"> </v>
      </c>
      <c r="R443" s="164" t="str">
        <f>+IF(OR(O443="Fire Control",O443="Fire Tex 5062",O443="Fire Tex 5090",O443="Fire Tex 5120"),'CALCULO PINTURA'!R444," ")</f>
        <v xml:space="preserve"> </v>
      </c>
      <c r="S443" s="164" t="str">
        <f>+IF(OR(O443="Fire Control",O443="Fire Tex 5062",O443="Fire Tex 5090",O443="Fire Tex 5120"),'CALCULO PINTURA'!S444," ")</f>
        <v xml:space="preserve"> </v>
      </c>
      <c r="T443" s="874" t="str">
        <f>+IF(OR(O443="Blaze Shield II",O443="Cafco 400",O443="Cafco 300"),'CALCULO MORTERO'!N449," ")</f>
        <v xml:space="preserve"> </v>
      </c>
      <c r="U443" s="875" t="str">
        <f>+IF(OR(O443="Blaze Shield II",O443="Cafco 400",O443="Cafco 300"),'CALCULO MORTERO'!O449," ")</f>
        <v xml:space="preserve"> </v>
      </c>
      <c r="V443" s="161" t="str" cm="1">
        <f t="array" ref="V443">_xlfn.IFS(O443="Blaze Shield II",'CALCULO MORTERO'!P444, O443="Cafco 400",'CALCULO MORTERO'!Q444,O443="Cafco 300",'CALCULO MORTERO'!S444, AND(OR(O443="Fire tex 5090", O443="Fire Tex 5062", O443="Fire Tex 5120", O443="Fire Control"),Q443&gt;0), "CERT.",TRUE,"-")</f>
        <v>-</v>
      </c>
      <c r="W443" s="167"/>
      <c r="X443" s="167"/>
    </row>
    <row r="444" spans="1:24" x14ac:dyDescent="0.2">
      <c r="A444" s="903"/>
      <c r="B444" s="907"/>
      <c r="C444" s="874"/>
      <c r="D444" s="874"/>
      <c r="E444" s="874"/>
      <c r="F444" s="905"/>
      <c r="G444" s="874"/>
      <c r="H444" s="874"/>
      <c r="I444" s="906"/>
      <c r="J444" s="162"/>
      <c r="K444" s="161"/>
      <c r="L444" s="161"/>
      <c r="M444" s="169"/>
      <c r="N444" s="163" t="str">
        <f t="shared" si="10"/>
        <v/>
      </c>
      <c r="O444" s="41"/>
      <c r="P444" s="41"/>
      <c r="Q444" s="161" t="str">
        <f>+IF(OR(O444="Fire Control",O444="Fire Tex 5062",O444="Fire Tex 5090",O444="Fire Tex 5120"),'CALCULO PINTURA'!P445," ")</f>
        <v xml:space="preserve"> </v>
      </c>
      <c r="R444" s="164" t="str">
        <f>+IF(OR(O444="Fire Control",O444="Fire Tex 5062",O444="Fire Tex 5090",O444="Fire Tex 5120"),'CALCULO PINTURA'!R445," ")</f>
        <v xml:space="preserve"> </v>
      </c>
      <c r="S444" s="164" t="str">
        <f>+IF(OR(O444="Fire Control",O444="Fire Tex 5062",O444="Fire Tex 5090",O444="Fire Tex 5120"),'CALCULO PINTURA'!S445," ")</f>
        <v xml:space="preserve"> </v>
      </c>
      <c r="T444" s="874" t="str">
        <f>+IF(OR(O444="Blaze Shield II",O444="Cafco 400",O444="Cafco 300"),'CALCULO MORTERO'!N450," ")</f>
        <v xml:space="preserve"> </v>
      </c>
      <c r="U444" s="875" t="str">
        <f>+IF(OR(O444="Blaze Shield II",O444="Cafco 400",O444="Cafco 300"),'CALCULO MORTERO'!O450," ")</f>
        <v xml:space="preserve"> </v>
      </c>
      <c r="V444" s="161" t="str" cm="1">
        <f t="array" ref="V444">_xlfn.IFS(O444="Blaze Shield II",'CALCULO MORTERO'!P445, O444="Cafco 400",'CALCULO MORTERO'!Q445,O444="Cafco 300",'CALCULO MORTERO'!S445, AND(OR(O444="Fire tex 5090", O444="Fire Tex 5062", O444="Fire Tex 5120", O444="Fire Control"),Q444&gt;0), "CERT.",TRUE,"-")</f>
        <v>-</v>
      </c>
      <c r="W444" s="167"/>
      <c r="X444" s="167"/>
    </row>
    <row r="445" spans="1:24" x14ac:dyDescent="0.2">
      <c r="A445" s="903"/>
      <c r="B445" s="907"/>
      <c r="C445" s="874"/>
      <c r="D445" s="874"/>
      <c r="E445" s="874"/>
      <c r="F445" s="905"/>
      <c r="G445" s="874"/>
      <c r="H445" s="874"/>
      <c r="I445" s="906"/>
      <c r="J445" s="162"/>
      <c r="K445" s="161"/>
      <c r="L445" s="161"/>
      <c r="M445" s="169"/>
      <c r="N445" s="163" t="str">
        <f t="shared" si="10"/>
        <v/>
      </c>
      <c r="O445" s="41"/>
      <c r="P445" s="41"/>
      <c r="Q445" s="161" t="str">
        <f>+IF(OR(O445="Fire Control",O445="Fire Tex 5062",O445="Fire Tex 5090",O445="Fire Tex 5120"),'CALCULO PINTURA'!P446," ")</f>
        <v xml:space="preserve"> </v>
      </c>
      <c r="R445" s="164" t="str">
        <f>+IF(OR(O445="Fire Control",O445="Fire Tex 5062",O445="Fire Tex 5090",O445="Fire Tex 5120"),'CALCULO PINTURA'!R446," ")</f>
        <v xml:space="preserve"> </v>
      </c>
      <c r="S445" s="164" t="str">
        <f>+IF(OR(O445="Fire Control",O445="Fire Tex 5062",O445="Fire Tex 5090",O445="Fire Tex 5120"),'CALCULO PINTURA'!S446," ")</f>
        <v xml:space="preserve"> </v>
      </c>
      <c r="T445" s="874" t="str">
        <f>+IF(OR(O445="Blaze Shield II",O445="Cafco 400",O445="Cafco 300"),'CALCULO MORTERO'!N451," ")</f>
        <v xml:space="preserve"> </v>
      </c>
      <c r="U445" s="875" t="str">
        <f>+IF(OR(O445="Blaze Shield II",O445="Cafco 400",O445="Cafco 300"),'CALCULO MORTERO'!O451," ")</f>
        <v xml:space="preserve"> </v>
      </c>
      <c r="V445" s="161" t="str" cm="1">
        <f t="array" ref="V445">_xlfn.IFS(O445="Blaze Shield II",'CALCULO MORTERO'!P446, O445="Cafco 400",'CALCULO MORTERO'!Q446,O445="Cafco 300",'CALCULO MORTERO'!S446, AND(OR(O445="Fire tex 5090", O445="Fire Tex 5062", O445="Fire Tex 5120", O445="Fire Control"),Q445&gt;0), "CERT.",TRUE,"-")</f>
        <v>-</v>
      </c>
      <c r="W445" s="167"/>
      <c r="X445" s="167"/>
    </row>
    <row r="446" spans="1:24" x14ac:dyDescent="0.2">
      <c r="A446" s="903"/>
      <c r="B446" s="907"/>
      <c r="C446" s="874"/>
      <c r="D446" s="874"/>
      <c r="E446" s="874"/>
      <c r="F446" s="905"/>
      <c r="G446" s="874"/>
      <c r="H446" s="874"/>
      <c r="I446" s="906"/>
      <c r="J446" s="162"/>
      <c r="K446" s="161"/>
      <c r="L446" s="161"/>
      <c r="M446" s="169"/>
      <c r="N446" s="163" t="str">
        <f t="shared" si="10"/>
        <v/>
      </c>
      <c r="O446" s="41"/>
      <c r="P446" s="41"/>
      <c r="Q446" s="161" t="str">
        <f>+IF(OR(O446="Fire Control",O446="Fire Tex 5062",O446="Fire Tex 5090",O446="Fire Tex 5120"),'CALCULO PINTURA'!P447," ")</f>
        <v xml:space="preserve"> </v>
      </c>
      <c r="R446" s="164" t="str">
        <f>+IF(OR(O446="Fire Control",O446="Fire Tex 5062",O446="Fire Tex 5090",O446="Fire Tex 5120"),'CALCULO PINTURA'!R447," ")</f>
        <v xml:space="preserve"> </v>
      </c>
      <c r="S446" s="164" t="str">
        <f>+IF(OR(O446="Fire Control",O446="Fire Tex 5062",O446="Fire Tex 5090",O446="Fire Tex 5120"),'CALCULO PINTURA'!S447," ")</f>
        <v xml:space="preserve"> </v>
      </c>
      <c r="T446" s="874" t="str">
        <f>+IF(OR(O446="Blaze Shield II",O446="Cafco 400",O446="Cafco 300"),'CALCULO MORTERO'!N452," ")</f>
        <v xml:space="preserve"> </v>
      </c>
      <c r="U446" s="875" t="str">
        <f>+IF(OR(O446="Blaze Shield II",O446="Cafco 400",O446="Cafco 300"),'CALCULO MORTERO'!O452," ")</f>
        <v xml:space="preserve"> </v>
      </c>
      <c r="V446" s="161" t="str" cm="1">
        <f t="array" ref="V446">_xlfn.IFS(O446="Blaze Shield II",'CALCULO MORTERO'!P447, O446="Cafco 400",'CALCULO MORTERO'!Q447,O446="Cafco 300",'CALCULO MORTERO'!S447, AND(OR(O446="Fire tex 5090", O446="Fire Tex 5062", O446="Fire Tex 5120", O446="Fire Control"),Q446&gt;0), "CERT.",TRUE,"-")</f>
        <v>-</v>
      </c>
      <c r="W446" s="167"/>
      <c r="X446" s="167"/>
    </row>
    <row r="447" spans="1:24" x14ac:dyDescent="0.2">
      <c r="A447" s="903"/>
      <c r="B447" s="907"/>
      <c r="C447" s="874"/>
      <c r="D447" s="874"/>
      <c r="E447" s="874"/>
      <c r="F447" s="905"/>
      <c r="G447" s="874"/>
      <c r="H447" s="874"/>
      <c r="I447" s="906"/>
      <c r="J447" s="162"/>
      <c r="K447" s="161"/>
      <c r="L447" s="161"/>
      <c r="M447" s="169"/>
      <c r="N447" s="163" t="str">
        <f t="shared" si="10"/>
        <v/>
      </c>
      <c r="O447" s="41"/>
      <c r="P447" s="41"/>
      <c r="Q447" s="161" t="str">
        <f>+IF(OR(O447="Fire Control",O447="Fire Tex 5062",O447="Fire Tex 5090",O447="Fire Tex 5120"),'CALCULO PINTURA'!P448," ")</f>
        <v xml:space="preserve"> </v>
      </c>
      <c r="R447" s="164" t="str">
        <f>+IF(OR(O447="Fire Control",O447="Fire Tex 5062",O447="Fire Tex 5090",O447="Fire Tex 5120"),'CALCULO PINTURA'!R448," ")</f>
        <v xml:space="preserve"> </v>
      </c>
      <c r="S447" s="164" t="str">
        <f>+IF(OR(O447="Fire Control",O447="Fire Tex 5062",O447="Fire Tex 5090",O447="Fire Tex 5120"),'CALCULO PINTURA'!S448," ")</f>
        <v xml:space="preserve"> </v>
      </c>
      <c r="T447" s="874" t="str">
        <f>+IF(OR(O447="Blaze Shield II",O447="Cafco 400",O447="Cafco 300"),'CALCULO MORTERO'!N453," ")</f>
        <v xml:space="preserve"> </v>
      </c>
      <c r="U447" s="875" t="str">
        <f>+IF(OR(O447="Blaze Shield II",O447="Cafco 400",O447="Cafco 300"),'CALCULO MORTERO'!O453," ")</f>
        <v xml:space="preserve"> </v>
      </c>
      <c r="V447" s="161" t="str" cm="1">
        <f t="array" ref="V447">_xlfn.IFS(O447="Blaze Shield II",'CALCULO MORTERO'!P448, O447="Cafco 400",'CALCULO MORTERO'!Q448,O447="Cafco 300",'CALCULO MORTERO'!S448, AND(OR(O447="Fire tex 5090", O447="Fire Tex 5062", O447="Fire Tex 5120", O447="Fire Control"),Q447&gt;0), "CERT.",TRUE,"-")</f>
        <v>-</v>
      </c>
      <c r="W447" s="167"/>
      <c r="X447" s="167"/>
    </row>
    <row r="448" spans="1:24" x14ac:dyDescent="0.2">
      <c r="A448" s="903"/>
      <c r="B448" s="907"/>
      <c r="C448" s="874"/>
      <c r="D448" s="874"/>
      <c r="E448" s="874"/>
      <c r="F448" s="905"/>
      <c r="G448" s="874"/>
      <c r="H448" s="874"/>
      <c r="I448" s="906"/>
      <c r="J448" s="162"/>
      <c r="K448" s="161"/>
      <c r="L448" s="161"/>
      <c r="M448" s="169"/>
      <c r="N448" s="163" t="str">
        <f t="shared" si="10"/>
        <v/>
      </c>
      <c r="O448" s="41"/>
      <c r="P448" s="41"/>
      <c r="Q448" s="161" t="str">
        <f>+IF(OR(O448="Fire Control",O448="Fire Tex 5062",O448="Fire Tex 5090",O448="Fire Tex 5120"),'CALCULO PINTURA'!P449," ")</f>
        <v xml:space="preserve"> </v>
      </c>
      <c r="R448" s="164" t="str">
        <f>+IF(OR(O448="Fire Control",O448="Fire Tex 5062",O448="Fire Tex 5090",O448="Fire Tex 5120"),'CALCULO PINTURA'!R449," ")</f>
        <v xml:space="preserve"> </v>
      </c>
      <c r="S448" s="164" t="str">
        <f>+IF(OR(O448="Fire Control",O448="Fire Tex 5062",O448="Fire Tex 5090",O448="Fire Tex 5120"),'CALCULO PINTURA'!S449," ")</f>
        <v xml:space="preserve"> </v>
      </c>
      <c r="T448" s="874" t="str">
        <f>+IF(OR(O448="Blaze Shield II",O448="Cafco 400",O448="Cafco 300"),'CALCULO MORTERO'!N454," ")</f>
        <v xml:space="preserve"> </v>
      </c>
      <c r="U448" s="875" t="str">
        <f>+IF(OR(O448="Blaze Shield II",O448="Cafco 400",O448="Cafco 300"),'CALCULO MORTERO'!O454," ")</f>
        <v xml:space="preserve"> </v>
      </c>
      <c r="V448" s="161" t="str" cm="1">
        <f t="array" ref="V448">_xlfn.IFS(O448="Blaze Shield II",'CALCULO MORTERO'!P449, O448="Cafco 400",'CALCULO MORTERO'!Q449,O448="Cafco 300",'CALCULO MORTERO'!S449, AND(OR(O448="Fire tex 5090", O448="Fire Tex 5062", O448="Fire Tex 5120", O448="Fire Control"),Q448&gt;0), "CERT.",TRUE,"-")</f>
        <v>-</v>
      </c>
      <c r="W448" s="167"/>
      <c r="X448" s="167"/>
    </row>
    <row r="449" spans="1:24" x14ac:dyDescent="0.2">
      <c r="A449" s="903"/>
      <c r="B449" s="907"/>
      <c r="C449" s="874"/>
      <c r="D449" s="874"/>
      <c r="E449" s="874"/>
      <c r="F449" s="905"/>
      <c r="G449" s="874"/>
      <c r="H449" s="874"/>
      <c r="I449" s="906"/>
      <c r="J449" s="162"/>
      <c r="K449" s="161"/>
      <c r="L449" s="161"/>
      <c r="M449" s="169"/>
      <c r="N449" s="163" t="str">
        <f t="shared" si="10"/>
        <v/>
      </c>
      <c r="O449" s="41"/>
      <c r="P449" s="41"/>
      <c r="Q449" s="161" t="str">
        <f>+IF(OR(O449="Fire Control",O449="Fire Tex 5062",O449="Fire Tex 5090",O449="Fire Tex 5120"),'CALCULO PINTURA'!P450," ")</f>
        <v xml:space="preserve"> </v>
      </c>
      <c r="R449" s="164" t="str">
        <f>+IF(OR(O449="Fire Control",O449="Fire Tex 5062",O449="Fire Tex 5090",O449="Fire Tex 5120"),'CALCULO PINTURA'!R450," ")</f>
        <v xml:space="preserve"> </v>
      </c>
      <c r="S449" s="164" t="str">
        <f>+IF(OR(O449="Fire Control",O449="Fire Tex 5062",O449="Fire Tex 5090",O449="Fire Tex 5120"),'CALCULO PINTURA'!S450," ")</f>
        <v xml:space="preserve"> </v>
      </c>
      <c r="T449" s="874" t="str">
        <f>+IF(OR(O449="Blaze Shield II",O449="Cafco 400",O449="Cafco 300"),'CALCULO MORTERO'!N455," ")</f>
        <v xml:space="preserve"> </v>
      </c>
      <c r="U449" s="875" t="str">
        <f>+IF(OR(O449="Blaze Shield II",O449="Cafco 400",O449="Cafco 300"),'CALCULO MORTERO'!O455," ")</f>
        <v xml:space="preserve"> </v>
      </c>
      <c r="V449" s="161" t="str" cm="1">
        <f t="array" ref="V449">_xlfn.IFS(O449="Blaze Shield II",'CALCULO MORTERO'!P450, O449="Cafco 400",'CALCULO MORTERO'!Q450,O449="Cafco 300",'CALCULO MORTERO'!S450, AND(OR(O449="Fire tex 5090", O449="Fire Tex 5062", O449="Fire Tex 5120", O449="Fire Control"),Q449&gt;0), "CERT.",TRUE,"-")</f>
        <v>-</v>
      </c>
      <c r="W449" s="167"/>
      <c r="X449" s="167"/>
    </row>
    <row r="450" spans="1:24" x14ac:dyDescent="0.2">
      <c r="A450" s="903"/>
      <c r="B450" s="907"/>
      <c r="C450" s="874"/>
      <c r="D450" s="874"/>
      <c r="E450" s="874"/>
      <c r="F450" s="905"/>
      <c r="G450" s="874"/>
      <c r="H450" s="874"/>
      <c r="I450" s="906"/>
      <c r="J450" s="162"/>
      <c r="K450" s="161"/>
      <c r="L450" s="161"/>
      <c r="M450" s="169"/>
      <c r="N450" s="163" t="str">
        <f t="shared" si="10"/>
        <v/>
      </c>
      <c r="O450" s="41"/>
      <c r="P450" s="41"/>
      <c r="Q450" s="161" t="str">
        <f>+IF(OR(O450="Fire Control",O450="Fire Tex 5062",O450="Fire Tex 5090",O450="Fire Tex 5120"),'CALCULO PINTURA'!P451," ")</f>
        <v xml:space="preserve"> </v>
      </c>
      <c r="R450" s="164" t="str">
        <f>+IF(OR(O450="Fire Control",O450="Fire Tex 5062",O450="Fire Tex 5090",O450="Fire Tex 5120"),'CALCULO PINTURA'!R451," ")</f>
        <v xml:space="preserve"> </v>
      </c>
      <c r="S450" s="164" t="str">
        <f>+IF(OR(O450="Fire Control",O450="Fire Tex 5062",O450="Fire Tex 5090",O450="Fire Tex 5120"),'CALCULO PINTURA'!S451," ")</f>
        <v xml:space="preserve"> </v>
      </c>
      <c r="T450" s="874" t="str">
        <f>+IF(OR(O450="Blaze Shield II",O450="Cafco 400",O450="Cafco 300"),'CALCULO MORTERO'!N456," ")</f>
        <v xml:space="preserve"> </v>
      </c>
      <c r="U450" s="875" t="str">
        <f>+IF(OR(O450="Blaze Shield II",O450="Cafco 400",O450="Cafco 300"),'CALCULO MORTERO'!O456," ")</f>
        <v xml:space="preserve"> </v>
      </c>
      <c r="V450" s="161" t="str" cm="1">
        <f t="array" ref="V450">_xlfn.IFS(O450="Blaze Shield II",'CALCULO MORTERO'!P451, O450="Cafco 400",'CALCULO MORTERO'!Q451,O450="Cafco 300",'CALCULO MORTERO'!S451, AND(OR(O450="Fire tex 5090", O450="Fire Tex 5062", O450="Fire Tex 5120", O450="Fire Control"),Q450&gt;0), "CERT.",TRUE,"-")</f>
        <v>-</v>
      </c>
      <c r="W450" s="167"/>
      <c r="X450" s="167"/>
    </row>
    <row r="451" spans="1:24" x14ac:dyDescent="0.2">
      <c r="A451" s="903"/>
      <c r="B451" s="907"/>
      <c r="C451" s="874"/>
      <c r="D451" s="874"/>
      <c r="E451" s="874"/>
      <c r="F451" s="905"/>
      <c r="G451" s="874"/>
      <c r="H451" s="874"/>
      <c r="I451" s="906"/>
      <c r="J451" s="162"/>
      <c r="K451" s="161"/>
      <c r="L451" s="161"/>
      <c r="M451" s="169"/>
      <c r="N451" s="163" t="str">
        <f t="shared" si="10"/>
        <v/>
      </c>
      <c r="O451" s="41"/>
      <c r="P451" s="41"/>
      <c r="Q451" s="161" t="str">
        <f>+IF(OR(O451="Fire Control",O451="Fire Tex 5062",O451="Fire Tex 5090",O451="Fire Tex 5120"),'CALCULO PINTURA'!P452," ")</f>
        <v xml:space="preserve"> </v>
      </c>
      <c r="R451" s="164" t="str">
        <f>+IF(OR(O451="Fire Control",O451="Fire Tex 5062",O451="Fire Tex 5090",O451="Fire Tex 5120"),'CALCULO PINTURA'!R452," ")</f>
        <v xml:space="preserve"> </v>
      </c>
      <c r="S451" s="164" t="str">
        <f>+IF(OR(O451="Fire Control",O451="Fire Tex 5062",O451="Fire Tex 5090",O451="Fire Tex 5120"),'CALCULO PINTURA'!S452," ")</f>
        <v xml:space="preserve"> </v>
      </c>
      <c r="T451" s="874" t="str">
        <f>+IF(OR(O451="Blaze Shield II",O451="Cafco 400",O451="Cafco 300"),'CALCULO MORTERO'!N457," ")</f>
        <v xml:space="preserve"> </v>
      </c>
      <c r="U451" s="875" t="str">
        <f>+IF(OR(O451="Blaze Shield II",O451="Cafco 400",O451="Cafco 300"),'CALCULO MORTERO'!O457," ")</f>
        <v xml:space="preserve"> </v>
      </c>
      <c r="V451" s="161" t="str" cm="1">
        <f t="array" ref="V451">_xlfn.IFS(O451="Blaze Shield II",'CALCULO MORTERO'!P452, O451="Cafco 400",'CALCULO MORTERO'!Q452,O451="Cafco 300",'CALCULO MORTERO'!S452, AND(OR(O451="Fire tex 5090", O451="Fire Tex 5062", O451="Fire Tex 5120", O451="Fire Control"),Q451&gt;0), "CERT.",TRUE,"-")</f>
        <v>-</v>
      </c>
      <c r="W451" s="167"/>
      <c r="X451" s="167"/>
    </row>
    <row r="452" spans="1:24" x14ac:dyDescent="0.2">
      <c r="A452" s="903"/>
      <c r="B452" s="907"/>
      <c r="C452" s="874"/>
      <c r="D452" s="874"/>
      <c r="E452" s="874"/>
      <c r="F452" s="905"/>
      <c r="G452" s="874"/>
      <c r="H452" s="874"/>
      <c r="I452" s="906"/>
      <c r="J452" s="162"/>
      <c r="K452" s="161"/>
      <c r="L452" s="161"/>
      <c r="M452" s="169"/>
      <c r="N452" s="163" t="str">
        <f t="shared" ref="N452:N515" si="11">+IF(F452="","",(K452*I452*H452*G452)/1000000)</f>
        <v/>
      </c>
      <c r="O452" s="41"/>
      <c r="P452" s="41"/>
      <c r="Q452" s="161" t="str">
        <f>+IF(OR(O452="Fire Control",O452="Fire Tex 5062",O452="Fire Tex 5090",O452="Fire Tex 5120"),'CALCULO PINTURA'!P453," ")</f>
        <v xml:space="preserve"> </v>
      </c>
      <c r="R452" s="164" t="str">
        <f>+IF(OR(O452="Fire Control",O452="Fire Tex 5062",O452="Fire Tex 5090",O452="Fire Tex 5120"),'CALCULO PINTURA'!R453," ")</f>
        <v xml:space="preserve"> </v>
      </c>
      <c r="S452" s="164" t="str">
        <f>+IF(OR(O452="Fire Control",O452="Fire Tex 5062",O452="Fire Tex 5090",O452="Fire Tex 5120"),'CALCULO PINTURA'!S453," ")</f>
        <v xml:space="preserve"> </v>
      </c>
      <c r="T452" s="874" t="str">
        <f>+IF(OR(O452="Blaze Shield II",O452="Cafco 400",O452="Cafco 300"),'CALCULO MORTERO'!N458," ")</f>
        <v xml:space="preserve"> </v>
      </c>
      <c r="U452" s="875" t="str">
        <f>+IF(OR(O452="Blaze Shield II",O452="Cafco 400",O452="Cafco 300"),'CALCULO MORTERO'!O458," ")</f>
        <v xml:space="preserve"> </v>
      </c>
      <c r="V452" s="161" t="str" cm="1">
        <f t="array" ref="V452">_xlfn.IFS(O452="Blaze Shield II",'CALCULO MORTERO'!P453, O452="Cafco 400",'CALCULO MORTERO'!Q453,O452="Cafco 300",'CALCULO MORTERO'!S453, AND(OR(O452="Fire tex 5090", O452="Fire Tex 5062", O452="Fire Tex 5120", O452="Fire Control"),Q452&gt;0), "CERT.",TRUE,"-")</f>
        <v>-</v>
      </c>
      <c r="W452" s="167"/>
      <c r="X452" s="167"/>
    </row>
    <row r="453" spans="1:24" x14ac:dyDescent="0.2">
      <c r="A453" s="903"/>
      <c r="B453" s="907"/>
      <c r="C453" s="874"/>
      <c r="D453" s="874"/>
      <c r="E453" s="874"/>
      <c r="F453" s="905"/>
      <c r="G453" s="874"/>
      <c r="H453" s="874"/>
      <c r="I453" s="906"/>
      <c r="J453" s="162"/>
      <c r="K453" s="161"/>
      <c r="L453" s="161"/>
      <c r="M453" s="169"/>
      <c r="N453" s="163" t="str">
        <f t="shared" si="11"/>
        <v/>
      </c>
      <c r="O453" s="41"/>
      <c r="P453" s="41"/>
      <c r="Q453" s="161" t="str">
        <f>+IF(OR(O453="Fire Control",O453="Fire Tex 5062",O453="Fire Tex 5090",O453="Fire Tex 5120"),'CALCULO PINTURA'!P454," ")</f>
        <v xml:space="preserve"> </v>
      </c>
      <c r="R453" s="164" t="str">
        <f>+IF(OR(O453="Fire Control",O453="Fire Tex 5062",O453="Fire Tex 5090",O453="Fire Tex 5120"),'CALCULO PINTURA'!R454," ")</f>
        <v xml:space="preserve"> </v>
      </c>
      <c r="S453" s="164" t="str">
        <f>+IF(OR(O453="Fire Control",O453="Fire Tex 5062",O453="Fire Tex 5090",O453="Fire Tex 5120"),'CALCULO PINTURA'!S454," ")</f>
        <v xml:space="preserve"> </v>
      </c>
      <c r="T453" s="874" t="str">
        <f>+IF(OR(O453="Blaze Shield II",O453="Cafco 400",O453="Cafco 300"),'CALCULO MORTERO'!N459," ")</f>
        <v xml:space="preserve"> </v>
      </c>
      <c r="U453" s="875" t="str">
        <f>+IF(OR(O453="Blaze Shield II",O453="Cafco 400",O453="Cafco 300"),'CALCULO MORTERO'!O459," ")</f>
        <v xml:space="preserve"> </v>
      </c>
      <c r="V453" s="161" t="str" cm="1">
        <f t="array" ref="V453">_xlfn.IFS(O453="Blaze Shield II",'CALCULO MORTERO'!P454, O453="Cafco 400",'CALCULO MORTERO'!Q454,O453="Cafco 300",'CALCULO MORTERO'!S454, AND(OR(O453="Fire tex 5090", O453="Fire Tex 5062", O453="Fire Tex 5120", O453="Fire Control"),Q453&gt;0), "CERT.",TRUE,"-")</f>
        <v>-</v>
      </c>
      <c r="W453" s="167"/>
      <c r="X453" s="167"/>
    </row>
    <row r="454" spans="1:24" x14ac:dyDescent="0.2">
      <c r="A454" s="903"/>
      <c r="B454" s="907"/>
      <c r="C454" s="874"/>
      <c r="D454" s="874"/>
      <c r="E454" s="874"/>
      <c r="F454" s="905"/>
      <c r="G454" s="874"/>
      <c r="H454" s="874"/>
      <c r="I454" s="906"/>
      <c r="J454" s="162"/>
      <c r="K454" s="161"/>
      <c r="L454" s="161"/>
      <c r="M454" s="169"/>
      <c r="N454" s="163" t="str">
        <f t="shared" si="11"/>
        <v/>
      </c>
      <c r="O454" s="41"/>
      <c r="P454" s="41"/>
      <c r="Q454" s="161" t="str">
        <f>+IF(OR(O454="Fire Control",O454="Fire Tex 5062",O454="Fire Tex 5090",O454="Fire Tex 5120"),'CALCULO PINTURA'!P455," ")</f>
        <v xml:space="preserve"> </v>
      </c>
      <c r="R454" s="164" t="str">
        <f>+IF(OR(O454="Fire Control",O454="Fire Tex 5062",O454="Fire Tex 5090",O454="Fire Tex 5120"),'CALCULO PINTURA'!R455," ")</f>
        <v xml:space="preserve"> </v>
      </c>
      <c r="S454" s="164" t="str">
        <f>+IF(OR(O454="Fire Control",O454="Fire Tex 5062",O454="Fire Tex 5090",O454="Fire Tex 5120"),'CALCULO PINTURA'!S455," ")</f>
        <v xml:space="preserve"> </v>
      </c>
      <c r="T454" s="874" t="str">
        <f>+IF(OR(O454="Blaze Shield II",O454="Cafco 400",O454="Cafco 300"),'CALCULO MORTERO'!N460," ")</f>
        <v xml:space="preserve"> </v>
      </c>
      <c r="U454" s="875" t="str">
        <f>+IF(OR(O454="Blaze Shield II",O454="Cafco 400",O454="Cafco 300"),'CALCULO MORTERO'!O460," ")</f>
        <v xml:space="preserve"> </v>
      </c>
      <c r="V454" s="161" t="str" cm="1">
        <f t="array" ref="V454">_xlfn.IFS(O454="Blaze Shield II",'CALCULO MORTERO'!P455, O454="Cafco 400",'CALCULO MORTERO'!Q455,O454="Cafco 300",'CALCULO MORTERO'!S455, AND(OR(O454="Fire tex 5090", O454="Fire Tex 5062", O454="Fire Tex 5120", O454="Fire Control"),Q454&gt;0), "CERT.",TRUE,"-")</f>
        <v>-</v>
      </c>
      <c r="W454" s="167"/>
      <c r="X454" s="167"/>
    </row>
    <row r="455" spans="1:24" x14ac:dyDescent="0.2">
      <c r="A455" s="903"/>
      <c r="B455" s="907"/>
      <c r="C455" s="874"/>
      <c r="D455" s="874"/>
      <c r="E455" s="874"/>
      <c r="F455" s="905"/>
      <c r="G455" s="874"/>
      <c r="H455" s="874"/>
      <c r="I455" s="906"/>
      <c r="J455" s="162"/>
      <c r="K455" s="161"/>
      <c r="L455" s="161"/>
      <c r="M455" s="169"/>
      <c r="N455" s="163" t="str">
        <f t="shared" si="11"/>
        <v/>
      </c>
      <c r="O455" s="41"/>
      <c r="P455" s="41"/>
      <c r="Q455" s="161" t="str">
        <f>+IF(OR(O455="Fire Control",O455="Fire Tex 5062",O455="Fire Tex 5090",O455="Fire Tex 5120"),'CALCULO PINTURA'!P456," ")</f>
        <v xml:space="preserve"> </v>
      </c>
      <c r="R455" s="164" t="str">
        <f>+IF(OR(O455="Fire Control",O455="Fire Tex 5062",O455="Fire Tex 5090",O455="Fire Tex 5120"),'CALCULO PINTURA'!R456," ")</f>
        <v xml:space="preserve"> </v>
      </c>
      <c r="S455" s="164" t="str">
        <f>+IF(OR(O455="Fire Control",O455="Fire Tex 5062",O455="Fire Tex 5090",O455="Fire Tex 5120"),'CALCULO PINTURA'!S456," ")</f>
        <v xml:space="preserve"> </v>
      </c>
      <c r="T455" s="874" t="str">
        <f>+IF(OR(O455="Blaze Shield II",O455="Cafco 400",O455="Cafco 300"),'CALCULO MORTERO'!N461," ")</f>
        <v xml:space="preserve"> </v>
      </c>
      <c r="U455" s="875" t="str">
        <f>+IF(OR(O455="Blaze Shield II",O455="Cafco 400",O455="Cafco 300"),'CALCULO MORTERO'!O461," ")</f>
        <v xml:space="preserve"> </v>
      </c>
      <c r="V455" s="161" t="str" cm="1">
        <f t="array" ref="V455">_xlfn.IFS(O455="Blaze Shield II",'CALCULO MORTERO'!P456, O455="Cafco 400",'CALCULO MORTERO'!Q456,O455="Cafco 300",'CALCULO MORTERO'!S456, AND(OR(O455="Fire tex 5090", O455="Fire Tex 5062", O455="Fire Tex 5120", O455="Fire Control"),Q455&gt;0), "CERT.",TRUE,"-")</f>
        <v>-</v>
      </c>
      <c r="W455" s="167"/>
      <c r="X455" s="167"/>
    </row>
    <row r="456" spans="1:24" x14ac:dyDescent="0.2">
      <c r="A456" s="903"/>
      <c r="B456" s="907"/>
      <c r="C456" s="874"/>
      <c r="D456" s="874"/>
      <c r="E456" s="874"/>
      <c r="F456" s="905"/>
      <c r="G456" s="874"/>
      <c r="H456" s="874"/>
      <c r="I456" s="906"/>
      <c r="J456" s="162"/>
      <c r="K456" s="161"/>
      <c r="L456" s="161"/>
      <c r="M456" s="169"/>
      <c r="N456" s="163" t="str">
        <f t="shared" si="11"/>
        <v/>
      </c>
      <c r="O456" s="41"/>
      <c r="P456" s="41"/>
      <c r="Q456" s="161" t="str">
        <f>+IF(OR(O456="Fire Control",O456="Fire Tex 5062",O456="Fire Tex 5090",O456="Fire Tex 5120"),'CALCULO PINTURA'!P457," ")</f>
        <v xml:space="preserve"> </v>
      </c>
      <c r="R456" s="164" t="str">
        <f>+IF(OR(O456="Fire Control",O456="Fire Tex 5062",O456="Fire Tex 5090",O456="Fire Tex 5120"),'CALCULO PINTURA'!R457," ")</f>
        <v xml:space="preserve"> </v>
      </c>
      <c r="S456" s="164" t="str">
        <f>+IF(OR(O456="Fire Control",O456="Fire Tex 5062",O456="Fire Tex 5090",O456="Fire Tex 5120"),'CALCULO PINTURA'!S457," ")</f>
        <v xml:space="preserve"> </v>
      </c>
      <c r="T456" s="874" t="str">
        <f>+IF(OR(O456="Blaze Shield II",O456="Cafco 400",O456="Cafco 300"),'CALCULO MORTERO'!N462," ")</f>
        <v xml:space="preserve"> </v>
      </c>
      <c r="U456" s="875" t="str">
        <f>+IF(OR(O456="Blaze Shield II",O456="Cafco 400",O456="Cafco 300"),'CALCULO MORTERO'!O462," ")</f>
        <v xml:space="preserve"> </v>
      </c>
      <c r="V456" s="161" t="str" cm="1">
        <f t="array" ref="V456">_xlfn.IFS(O456="Blaze Shield II",'CALCULO MORTERO'!P457, O456="Cafco 400",'CALCULO MORTERO'!Q457,O456="Cafco 300",'CALCULO MORTERO'!S457, AND(OR(O456="Fire tex 5090", O456="Fire Tex 5062", O456="Fire Tex 5120", O456="Fire Control"),Q456&gt;0), "CERT.",TRUE,"-")</f>
        <v>-</v>
      </c>
      <c r="W456" s="167"/>
      <c r="X456" s="167"/>
    </row>
    <row r="457" spans="1:24" x14ac:dyDescent="0.2">
      <c r="A457" s="903"/>
      <c r="B457" s="907"/>
      <c r="C457" s="874"/>
      <c r="D457" s="874"/>
      <c r="E457" s="874"/>
      <c r="F457" s="905"/>
      <c r="G457" s="874"/>
      <c r="H457" s="874"/>
      <c r="I457" s="906"/>
      <c r="J457" s="162"/>
      <c r="K457" s="161"/>
      <c r="L457" s="161"/>
      <c r="M457" s="169"/>
      <c r="N457" s="163" t="str">
        <f t="shared" si="11"/>
        <v/>
      </c>
      <c r="O457" s="41"/>
      <c r="P457" s="41"/>
      <c r="Q457" s="161" t="str">
        <f>+IF(OR(O457="Fire Control",O457="Fire Tex 5062",O457="Fire Tex 5090",O457="Fire Tex 5120"),'CALCULO PINTURA'!P458," ")</f>
        <v xml:space="preserve"> </v>
      </c>
      <c r="R457" s="164" t="str">
        <f>+IF(OR(O457="Fire Control",O457="Fire Tex 5062",O457="Fire Tex 5090",O457="Fire Tex 5120"),'CALCULO PINTURA'!R458," ")</f>
        <v xml:space="preserve"> </v>
      </c>
      <c r="S457" s="164" t="str">
        <f>+IF(OR(O457="Fire Control",O457="Fire Tex 5062",O457="Fire Tex 5090",O457="Fire Tex 5120"),'CALCULO PINTURA'!S458," ")</f>
        <v xml:space="preserve"> </v>
      </c>
      <c r="T457" s="874" t="str">
        <f>+IF(OR(O457="Blaze Shield II",O457="Cafco 400",O457="Cafco 300"),'CALCULO MORTERO'!N463," ")</f>
        <v xml:space="preserve"> </v>
      </c>
      <c r="U457" s="875" t="str">
        <f>+IF(OR(O457="Blaze Shield II",O457="Cafco 400",O457="Cafco 300"),'CALCULO MORTERO'!O463," ")</f>
        <v xml:space="preserve"> </v>
      </c>
      <c r="V457" s="161" t="str" cm="1">
        <f t="array" ref="V457">_xlfn.IFS(O457="Blaze Shield II",'CALCULO MORTERO'!P458, O457="Cafco 400",'CALCULO MORTERO'!Q458,O457="Cafco 300",'CALCULO MORTERO'!S458, AND(OR(O457="Fire tex 5090", O457="Fire Tex 5062", O457="Fire Tex 5120", O457="Fire Control"),Q457&gt;0), "CERT.",TRUE,"-")</f>
        <v>-</v>
      </c>
      <c r="W457" s="167"/>
      <c r="X457" s="167"/>
    </row>
    <row r="458" spans="1:24" x14ac:dyDescent="0.2">
      <c r="A458" s="903"/>
      <c r="B458" s="907"/>
      <c r="C458" s="874"/>
      <c r="D458" s="874"/>
      <c r="E458" s="874"/>
      <c r="F458" s="905"/>
      <c r="G458" s="874"/>
      <c r="H458" s="874"/>
      <c r="I458" s="906"/>
      <c r="J458" s="162"/>
      <c r="K458" s="161"/>
      <c r="L458" s="161"/>
      <c r="M458" s="169"/>
      <c r="N458" s="163" t="str">
        <f t="shared" si="11"/>
        <v/>
      </c>
      <c r="O458" s="41"/>
      <c r="P458" s="41"/>
      <c r="Q458" s="161" t="str">
        <f>+IF(OR(O458="Fire Control",O458="Fire Tex 5062",O458="Fire Tex 5090",O458="Fire Tex 5120"),'CALCULO PINTURA'!P459," ")</f>
        <v xml:space="preserve"> </v>
      </c>
      <c r="R458" s="164" t="str">
        <f>+IF(OR(O458="Fire Control",O458="Fire Tex 5062",O458="Fire Tex 5090",O458="Fire Tex 5120"),'CALCULO PINTURA'!R459," ")</f>
        <v xml:space="preserve"> </v>
      </c>
      <c r="S458" s="164" t="str">
        <f>+IF(OR(O458="Fire Control",O458="Fire Tex 5062",O458="Fire Tex 5090",O458="Fire Tex 5120"),'CALCULO PINTURA'!S459," ")</f>
        <v xml:space="preserve"> </v>
      </c>
      <c r="T458" s="874" t="str">
        <f>+IF(OR(O458="Blaze Shield II",O458="Cafco 400",O458="Cafco 300"),'CALCULO MORTERO'!N464," ")</f>
        <v xml:space="preserve"> </v>
      </c>
      <c r="U458" s="875" t="str">
        <f>+IF(OR(O458="Blaze Shield II",O458="Cafco 400",O458="Cafco 300"),'CALCULO MORTERO'!O464," ")</f>
        <v xml:space="preserve"> </v>
      </c>
      <c r="V458" s="161" t="str" cm="1">
        <f t="array" ref="V458">_xlfn.IFS(O458="Blaze Shield II",'CALCULO MORTERO'!P459, O458="Cafco 400",'CALCULO MORTERO'!Q459,O458="Cafco 300",'CALCULO MORTERO'!S459, AND(OR(O458="Fire tex 5090", O458="Fire Tex 5062", O458="Fire Tex 5120", O458="Fire Control"),Q458&gt;0), "CERT.",TRUE,"-")</f>
        <v>-</v>
      </c>
      <c r="W458" s="167"/>
      <c r="X458" s="167"/>
    </row>
    <row r="459" spans="1:24" x14ac:dyDescent="0.2">
      <c r="A459" s="903"/>
      <c r="B459" s="907"/>
      <c r="C459" s="874"/>
      <c r="D459" s="874"/>
      <c r="E459" s="874"/>
      <c r="F459" s="905"/>
      <c r="G459" s="874"/>
      <c r="H459" s="874"/>
      <c r="I459" s="906"/>
      <c r="J459" s="162"/>
      <c r="K459" s="161"/>
      <c r="L459" s="161"/>
      <c r="M459" s="169"/>
      <c r="N459" s="163" t="str">
        <f t="shared" si="11"/>
        <v/>
      </c>
      <c r="O459" s="41"/>
      <c r="P459" s="41"/>
      <c r="Q459" s="161" t="str">
        <f>+IF(OR(O459="Fire Control",O459="Fire Tex 5062",O459="Fire Tex 5090",O459="Fire Tex 5120"),'CALCULO PINTURA'!P460," ")</f>
        <v xml:space="preserve"> </v>
      </c>
      <c r="R459" s="164" t="str">
        <f>+IF(OR(O459="Fire Control",O459="Fire Tex 5062",O459="Fire Tex 5090",O459="Fire Tex 5120"),'CALCULO PINTURA'!R460," ")</f>
        <v xml:space="preserve"> </v>
      </c>
      <c r="S459" s="164" t="str">
        <f>+IF(OR(O459="Fire Control",O459="Fire Tex 5062",O459="Fire Tex 5090",O459="Fire Tex 5120"),'CALCULO PINTURA'!S460," ")</f>
        <v xml:space="preserve"> </v>
      </c>
      <c r="T459" s="874" t="str">
        <f>+IF(OR(O459="Blaze Shield II",O459="Cafco 400",O459="Cafco 300"),'CALCULO MORTERO'!N465," ")</f>
        <v xml:space="preserve"> </v>
      </c>
      <c r="U459" s="875" t="str">
        <f>+IF(OR(O459="Blaze Shield II",O459="Cafco 400",O459="Cafco 300"),'CALCULO MORTERO'!O465," ")</f>
        <v xml:space="preserve"> </v>
      </c>
      <c r="V459" s="161" t="str" cm="1">
        <f t="array" ref="V459">_xlfn.IFS(O459="Blaze Shield II",'CALCULO MORTERO'!P460, O459="Cafco 400",'CALCULO MORTERO'!Q460,O459="Cafco 300",'CALCULO MORTERO'!S460, AND(OR(O459="Fire tex 5090", O459="Fire Tex 5062", O459="Fire Tex 5120", O459="Fire Control"),Q459&gt;0), "CERT.",TRUE,"-")</f>
        <v>-</v>
      </c>
      <c r="W459" s="167"/>
      <c r="X459" s="167"/>
    </row>
    <row r="460" spans="1:24" x14ac:dyDescent="0.2">
      <c r="A460" s="903"/>
      <c r="B460" s="907"/>
      <c r="C460" s="874"/>
      <c r="D460" s="874"/>
      <c r="E460" s="874"/>
      <c r="F460" s="905"/>
      <c r="G460" s="874"/>
      <c r="H460" s="874"/>
      <c r="I460" s="906"/>
      <c r="J460" s="162"/>
      <c r="K460" s="161"/>
      <c r="L460" s="161"/>
      <c r="M460" s="169"/>
      <c r="N460" s="163" t="str">
        <f t="shared" si="11"/>
        <v/>
      </c>
      <c r="O460" s="41"/>
      <c r="P460" s="41"/>
      <c r="Q460" s="161" t="str">
        <f>+IF(OR(O460="Fire Control",O460="Fire Tex 5062",O460="Fire Tex 5090",O460="Fire Tex 5120"),'CALCULO PINTURA'!P461," ")</f>
        <v xml:space="preserve"> </v>
      </c>
      <c r="R460" s="164" t="str">
        <f>+IF(OR(O460="Fire Control",O460="Fire Tex 5062",O460="Fire Tex 5090",O460="Fire Tex 5120"),'CALCULO PINTURA'!R461," ")</f>
        <v xml:space="preserve"> </v>
      </c>
      <c r="S460" s="164" t="str">
        <f>+IF(OR(O460="Fire Control",O460="Fire Tex 5062",O460="Fire Tex 5090",O460="Fire Tex 5120"),'CALCULO PINTURA'!S461," ")</f>
        <v xml:space="preserve"> </v>
      </c>
      <c r="T460" s="874" t="str">
        <f>+IF(OR(O460="Blaze Shield II",O460="Cafco 400",O460="Cafco 300"),'CALCULO MORTERO'!N466," ")</f>
        <v xml:space="preserve"> </v>
      </c>
      <c r="U460" s="875" t="str">
        <f>+IF(OR(O460="Blaze Shield II",O460="Cafco 400",O460="Cafco 300"),'CALCULO MORTERO'!O466," ")</f>
        <v xml:space="preserve"> </v>
      </c>
      <c r="V460" s="161" t="str" cm="1">
        <f t="array" ref="V460">_xlfn.IFS(O460="Blaze Shield II",'CALCULO MORTERO'!P461, O460="Cafco 400",'CALCULO MORTERO'!Q461,O460="Cafco 300",'CALCULO MORTERO'!S461, AND(OR(O460="Fire tex 5090", O460="Fire Tex 5062", O460="Fire Tex 5120", O460="Fire Control"),Q460&gt;0), "CERT.",TRUE,"-")</f>
        <v>-</v>
      </c>
      <c r="W460" s="167"/>
      <c r="X460" s="167"/>
    </row>
    <row r="461" spans="1:24" x14ac:dyDescent="0.2">
      <c r="A461" s="903"/>
      <c r="B461" s="907"/>
      <c r="C461" s="874"/>
      <c r="D461" s="874"/>
      <c r="E461" s="874"/>
      <c r="F461" s="905"/>
      <c r="G461" s="874"/>
      <c r="H461" s="874"/>
      <c r="I461" s="906"/>
      <c r="J461" s="162"/>
      <c r="K461" s="161"/>
      <c r="L461" s="161"/>
      <c r="M461" s="169"/>
      <c r="N461" s="163" t="str">
        <f t="shared" si="11"/>
        <v/>
      </c>
      <c r="O461" s="41"/>
      <c r="P461" s="41"/>
      <c r="Q461" s="161" t="str">
        <f>+IF(OR(O461="Fire Control",O461="Fire Tex 5062",O461="Fire Tex 5090",O461="Fire Tex 5120"),'CALCULO PINTURA'!P462," ")</f>
        <v xml:space="preserve"> </v>
      </c>
      <c r="R461" s="164" t="str">
        <f>+IF(OR(O461="Fire Control",O461="Fire Tex 5062",O461="Fire Tex 5090",O461="Fire Tex 5120"),'CALCULO PINTURA'!R462," ")</f>
        <v xml:space="preserve"> </v>
      </c>
      <c r="S461" s="164" t="str">
        <f>+IF(OR(O461="Fire Control",O461="Fire Tex 5062",O461="Fire Tex 5090",O461="Fire Tex 5120"),'CALCULO PINTURA'!S462," ")</f>
        <v xml:space="preserve"> </v>
      </c>
      <c r="T461" s="874" t="str">
        <f>+IF(OR(O461="Blaze Shield II",O461="Cafco 400",O461="Cafco 300"),'CALCULO MORTERO'!N467," ")</f>
        <v xml:space="preserve"> </v>
      </c>
      <c r="U461" s="875" t="str">
        <f>+IF(OR(O461="Blaze Shield II",O461="Cafco 400",O461="Cafco 300"),'CALCULO MORTERO'!O467," ")</f>
        <v xml:space="preserve"> </v>
      </c>
      <c r="V461" s="161" t="str" cm="1">
        <f t="array" ref="V461">_xlfn.IFS(O461="Blaze Shield II",'CALCULO MORTERO'!P462, O461="Cafco 400",'CALCULO MORTERO'!Q462,O461="Cafco 300",'CALCULO MORTERO'!S462, AND(OR(O461="Fire tex 5090", O461="Fire Tex 5062", O461="Fire Tex 5120", O461="Fire Control"),Q461&gt;0), "CERT.",TRUE,"-")</f>
        <v>-</v>
      </c>
      <c r="W461" s="167"/>
      <c r="X461" s="167"/>
    </row>
    <row r="462" spans="1:24" x14ac:dyDescent="0.2">
      <c r="A462" s="903"/>
      <c r="B462" s="907"/>
      <c r="C462" s="874"/>
      <c r="D462" s="874"/>
      <c r="E462" s="874"/>
      <c r="F462" s="905"/>
      <c r="G462" s="874"/>
      <c r="H462" s="874"/>
      <c r="I462" s="906"/>
      <c r="J462" s="162"/>
      <c r="K462" s="161"/>
      <c r="L462" s="161"/>
      <c r="M462" s="169"/>
      <c r="N462" s="163" t="str">
        <f t="shared" si="11"/>
        <v/>
      </c>
      <c r="O462" s="41"/>
      <c r="P462" s="41"/>
      <c r="Q462" s="161" t="str">
        <f>+IF(OR(O462="Fire Control",O462="Fire Tex 5062",O462="Fire Tex 5090",O462="Fire Tex 5120"),'CALCULO PINTURA'!P463," ")</f>
        <v xml:space="preserve"> </v>
      </c>
      <c r="R462" s="164" t="str">
        <f>+IF(OR(O462="Fire Control",O462="Fire Tex 5062",O462="Fire Tex 5090",O462="Fire Tex 5120"),'CALCULO PINTURA'!R463," ")</f>
        <v xml:space="preserve"> </v>
      </c>
      <c r="S462" s="164" t="str">
        <f>+IF(OR(O462="Fire Control",O462="Fire Tex 5062",O462="Fire Tex 5090",O462="Fire Tex 5120"),'CALCULO PINTURA'!S463," ")</f>
        <v xml:space="preserve"> </v>
      </c>
      <c r="T462" s="874" t="str">
        <f>+IF(OR(O462="Blaze Shield II",O462="Cafco 400",O462="Cafco 300"),'CALCULO MORTERO'!N468," ")</f>
        <v xml:space="preserve"> </v>
      </c>
      <c r="U462" s="875" t="str">
        <f>+IF(OR(O462="Blaze Shield II",O462="Cafco 400",O462="Cafco 300"),'CALCULO MORTERO'!O468," ")</f>
        <v xml:space="preserve"> </v>
      </c>
      <c r="V462" s="161" t="str" cm="1">
        <f t="array" ref="V462">_xlfn.IFS(O462="Blaze Shield II",'CALCULO MORTERO'!P463, O462="Cafco 400",'CALCULO MORTERO'!Q463,O462="Cafco 300",'CALCULO MORTERO'!S463, AND(OR(O462="Fire tex 5090", O462="Fire Tex 5062", O462="Fire Tex 5120", O462="Fire Control"),Q462&gt;0), "CERT.",TRUE,"-")</f>
        <v>-</v>
      </c>
      <c r="W462" s="167"/>
      <c r="X462" s="167"/>
    </row>
    <row r="463" spans="1:24" x14ac:dyDescent="0.2">
      <c r="A463" s="903"/>
      <c r="B463" s="907"/>
      <c r="C463" s="874"/>
      <c r="D463" s="874"/>
      <c r="E463" s="874"/>
      <c r="F463" s="905"/>
      <c r="G463" s="874"/>
      <c r="H463" s="874"/>
      <c r="I463" s="906"/>
      <c r="J463" s="162"/>
      <c r="K463" s="161"/>
      <c r="L463" s="161"/>
      <c r="M463" s="169"/>
      <c r="N463" s="163" t="str">
        <f t="shared" si="11"/>
        <v/>
      </c>
      <c r="O463" s="41"/>
      <c r="P463" s="41"/>
      <c r="Q463" s="161" t="str">
        <f>+IF(OR(O463="Fire Control",O463="Fire Tex 5062",O463="Fire Tex 5090",O463="Fire Tex 5120"),'CALCULO PINTURA'!P464," ")</f>
        <v xml:space="preserve"> </v>
      </c>
      <c r="R463" s="164" t="str">
        <f>+IF(OR(O463="Fire Control",O463="Fire Tex 5062",O463="Fire Tex 5090",O463="Fire Tex 5120"),'CALCULO PINTURA'!R464," ")</f>
        <v xml:space="preserve"> </v>
      </c>
      <c r="S463" s="164" t="str">
        <f>+IF(OR(O463="Fire Control",O463="Fire Tex 5062",O463="Fire Tex 5090",O463="Fire Tex 5120"),'CALCULO PINTURA'!S464," ")</f>
        <v xml:space="preserve"> </v>
      </c>
      <c r="T463" s="874" t="str">
        <f>+IF(OR(O463="Blaze Shield II",O463="Cafco 400",O463="Cafco 300"),'CALCULO MORTERO'!N469," ")</f>
        <v xml:space="preserve"> </v>
      </c>
      <c r="U463" s="875" t="str">
        <f>+IF(OR(O463="Blaze Shield II",O463="Cafco 400",O463="Cafco 300"),'CALCULO MORTERO'!O469," ")</f>
        <v xml:space="preserve"> </v>
      </c>
      <c r="V463" s="161" t="str" cm="1">
        <f t="array" ref="V463">_xlfn.IFS(O463="Blaze Shield II",'CALCULO MORTERO'!P464, O463="Cafco 400",'CALCULO MORTERO'!Q464,O463="Cafco 300",'CALCULO MORTERO'!S464, AND(OR(O463="Fire tex 5090", O463="Fire Tex 5062", O463="Fire Tex 5120", O463="Fire Control"),Q463&gt;0), "CERT.",TRUE,"-")</f>
        <v>-</v>
      </c>
      <c r="W463" s="167"/>
      <c r="X463" s="167"/>
    </row>
    <row r="464" spans="1:24" x14ac:dyDescent="0.2">
      <c r="A464" s="903"/>
      <c r="B464" s="907"/>
      <c r="C464" s="874"/>
      <c r="D464" s="874"/>
      <c r="E464" s="874"/>
      <c r="F464" s="905"/>
      <c r="G464" s="874"/>
      <c r="H464" s="874"/>
      <c r="I464" s="906"/>
      <c r="J464" s="162"/>
      <c r="K464" s="161"/>
      <c r="L464" s="161"/>
      <c r="M464" s="169"/>
      <c r="N464" s="163" t="str">
        <f t="shared" si="11"/>
        <v/>
      </c>
      <c r="O464" s="41"/>
      <c r="P464" s="41"/>
      <c r="Q464" s="161" t="str">
        <f>+IF(OR(O464="Fire Control",O464="Fire Tex 5062",O464="Fire Tex 5090",O464="Fire Tex 5120"),'CALCULO PINTURA'!P465," ")</f>
        <v xml:space="preserve"> </v>
      </c>
      <c r="R464" s="164" t="str">
        <f>+IF(OR(O464="Fire Control",O464="Fire Tex 5062",O464="Fire Tex 5090",O464="Fire Tex 5120"),'CALCULO PINTURA'!R465," ")</f>
        <v xml:space="preserve"> </v>
      </c>
      <c r="S464" s="164" t="str">
        <f>+IF(OR(O464="Fire Control",O464="Fire Tex 5062",O464="Fire Tex 5090",O464="Fire Tex 5120"),'CALCULO PINTURA'!S465," ")</f>
        <v xml:space="preserve"> </v>
      </c>
      <c r="T464" s="874" t="str">
        <f>+IF(OR(O464="Blaze Shield II",O464="Cafco 400",O464="Cafco 300"),'CALCULO MORTERO'!N470," ")</f>
        <v xml:space="preserve"> </v>
      </c>
      <c r="U464" s="875" t="str">
        <f>+IF(OR(O464="Blaze Shield II",O464="Cafco 400",O464="Cafco 300"),'CALCULO MORTERO'!O470," ")</f>
        <v xml:space="preserve"> </v>
      </c>
      <c r="V464" s="161" t="str" cm="1">
        <f t="array" ref="V464">_xlfn.IFS(O464="Blaze Shield II",'CALCULO MORTERO'!P465, O464="Cafco 400",'CALCULO MORTERO'!Q465,O464="Cafco 300",'CALCULO MORTERO'!S465, AND(OR(O464="Fire tex 5090", O464="Fire Tex 5062", O464="Fire Tex 5120", O464="Fire Control"),Q464&gt;0), "CERT.",TRUE,"-")</f>
        <v>-</v>
      </c>
      <c r="W464" s="167"/>
      <c r="X464" s="167"/>
    </row>
    <row r="465" spans="1:24" x14ac:dyDescent="0.2">
      <c r="A465" s="903"/>
      <c r="B465" s="907"/>
      <c r="C465" s="874"/>
      <c r="D465" s="874"/>
      <c r="E465" s="874"/>
      <c r="F465" s="905"/>
      <c r="G465" s="874"/>
      <c r="H465" s="874"/>
      <c r="I465" s="906"/>
      <c r="J465" s="162"/>
      <c r="K465" s="161"/>
      <c r="L465" s="161"/>
      <c r="M465" s="169"/>
      <c r="N465" s="163" t="str">
        <f t="shared" si="11"/>
        <v/>
      </c>
      <c r="O465" s="41"/>
      <c r="P465" s="41"/>
      <c r="Q465" s="161" t="str">
        <f>+IF(OR(O465="Fire Control",O465="Fire Tex 5062",O465="Fire Tex 5090",O465="Fire Tex 5120"),'CALCULO PINTURA'!P466," ")</f>
        <v xml:space="preserve"> </v>
      </c>
      <c r="R465" s="164" t="str">
        <f>+IF(OR(O465="Fire Control",O465="Fire Tex 5062",O465="Fire Tex 5090",O465="Fire Tex 5120"),'CALCULO PINTURA'!R466," ")</f>
        <v xml:space="preserve"> </v>
      </c>
      <c r="S465" s="164" t="str">
        <f>+IF(OR(O465="Fire Control",O465="Fire Tex 5062",O465="Fire Tex 5090",O465="Fire Tex 5120"),'CALCULO PINTURA'!S466," ")</f>
        <v xml:space="preserve"> </v>
      </c>
      <c r="T465" s="874" t="str">
        <f>+IF(OR(O465="Blaze Shield II",O465="Cafco 400",O465="Cafco 300"),'CALCULO MORTERO'!N471," ")</f>
        <v xml:space="preserve"> </v>
      </c>
      <c r="U465" s="875" t="str">
        <f>+IF(OR(O465="Blaze Shield II",O465="Cafco 400",O465="Cafco 300"),'CALCULO MORTERO'!O471," ")</f>
        <v xml:space="preserve"> </v>
      </c>
      <c r="V465" s="161" t="str" cm="1">
        <f t="array" ref="V465">_xlfn.IFS(O465="Blaze Shield II",'CALCULO MORTERO'!P466, O465="Cafco 400",'CALCULO MORTERO'!Q466,O465="Cafco 300",'CALCULO MORTERO'!S466, AND(OR(O465="Fire tex 5090", O465="Fire Tex 5062", O465="Fire Tex 5120", O465="Fire Control"),Q465&gt;0), "CERT.",TRUE,"-")</f>
        <v>-</v>
      </c>
      <c r="W465" s="167"/>
      <c r="X465" s="167"/>
    </row>
    <row r="466" spans="1:24" x14ac:dyDescent="0.2">
      <c r="A466" s="903"/>
      <c r="B466" s="907"/>
      <c r="C466" s="874"/>
      <c r="D466" s="874"/>
      <c r="E466" s="874"/>
      <c r="F466" s="905"/>
      <c r="G466" s="874"/>
      <c r="H466" s="874"/>
      <c r="I466" s="906"/>
      <c r="J466" s="162"/>
      <c r="K466" s="161"/>
      <c r="L466" s="161"/>
      <c r="M466" s="169"/>
      <c r="N466" s="163" t="str">
        <f t="shared" si="11"/>
        <v/>
      </c>
      <c r="O466" s="41"/>
      <c r="P466" s="41"/>
      <c r="Q466" s="161" t="str">
        <f>+IF(OR(O466="Fire Control",O466="Fire Tex 5062",O466="Fire Tex 5090",O466="Fire Tex 5120"),'CALCULO PINTURA'!P467," ")</f>
        <v xml:space="preserve"> </v>
      </c>
      <c r="R466" s="164" t="str">
        <f>+IF(OR(O466="Fire Control",O466="Fire Tex 5062",O466="Fire Tex 5090",O466="Fire Tex 5120"),'CALCULO PINTURA'!R467," ")</f>
        <v xml:space="preserve"> </v>
      </c>
      <c r="S466" s="164" t="str">
        <f>+IF(OR(O466="Fire Control",O466="Fire Tex 5062",O466="Fire Tex 5090",O466="Fire Tex 5120"),'CALCULO PINTURA'!S467," ")</f>
        <v xml:space="preserve"> </v>
      </c>
      <c r="T466" s="874" t="str">
        <f>+IF(OR(O466="Blaze Shield II",O466="Cafco 400",O466="Cafco 300"),'CALCULO MORTERO'!N472," ")</f>
        <v xml:space="preserve"> </v>
      </c>
      <c r="U466" s="875" t="str">
        <f>+IF(OR(O466="Blaze Shield II",O466="Cafco 400",O466="Cafco 300"),'CALCULO MORTERO'!O472," ")</f>
        <v xml:space="preserve"> </v>
      </c>
      <c r="V466" s="161" t="str" cm="1">
        <f t="array" ref="V466">_xlfn.IFS(O466="Blaze Shield II",'CALCULO MORTERO'!P467, O466="Cafco 400",'CALCULO MORTERO'!Q467,O466="Cafco 300",'CALCULO MORTERO'!S467, AND(OR(O466="Fire tex 5090", O466="Fire Tex 5062", O466="Fire Tex 5120", O466="Fire Control"),Q466&gt;0), "CERT.",TRUE,"-")</f>
        <v>-</v>
      </c>
      <c r="W466" s="167"/>
      <c r="X466" s="167"/>
    </row>
    <row r="467" spans="1:24" x14ac:dyDescent="0.2">
      <c r="A467" s="903"/>
      <c r="B467" s="907"/>
      <c r="C467" s="874"/>
      <c r="D467" s="874"/>
      <c r="E467" s="874"/>
      <c r="F467" s="905"/>
      <c r="G467" s="874"/>
      <c r="H467" s="874"/>
      <c r="I467" s="906"/>
      <c r="J467" s="162"/>
      <c r="K467" s="161"/>
      <c r="L467" s="161"/>
      <c r="M467" s="169"/>
      <c r="N467" s="163" t="str">
        <f t="shared" si="11"/>
        <v/>
      </c>
      <c r="O467" s="41"/>
      <c r="P467" s="41"/>
      <c r="Q467" s="161" t="str">
        <f>+IF(OR(O467="Fire Control",O467="Fire Tex 5062",O467="Fire Tex 5090",O467="Fire Tex 5120"),'CALCULO PINTURA'!P468," ")</f>
        <v xml:space="preserve"> </v>
      </c>
      <c r="R467" s="164" t="str">
        <f>+IF(OR(O467="Fire Control",O467="Fire Tex 5062",O467="Fire Tex 5090",O467="Fire Tex 5120"),'CALCULO PINTURA'!R468," ")</f>
        <v xml:space="preserve"> </v>
      </c>
      <c r="S467" s="164" t="str">
        <f>+IF(OR(O467="Fire Control",O467="Fire Tex 5062",O467="Fire Tex 5090",O467="Fire Tex 5120"),'CALCULO PINTURA'!S468," ")</f>
        <v xml:space="preserve"> </v>
      </c>
      <c r="T467" s="874" t="str">
        <f>+IF(OR(O467="Blaze Shield II",O467="Cafco 400",O467="Cafco 300"),'CALCULO MORTERO'!N473," ")</f>
        <v xml:space="preserve"> </v>
      </c>
      <c r="U467" s="875" t="str">
        <f>+IF(OR(O467="Blaze Shield II",O467="Cafco 400",O467="Cafco 300"),'CALCULO MORTERO'!O473," ")</f>
        <v xml:space="preserve"> </v>
      </c>
      <c r="V467" s="161" t="str" cm="1">
        <f t="array" ref="V467">_xlfn.IFS(O467="Blaze Shield II",'CALCULO MORTERO'!P468, O467="Cafco 400",'CALCULO MORTERO'!Q468,O467="Cafco 300",'CALCULO MORTERO'!S468, AND(OR(O467="Fire tex 5090", O467="Fire Tex 5062", O467="Fire Tex 5120", O467="Fire Control"),Q467&gt;0), "CERT.",TRUE,"-")</f>
        <v>-</v>
      </c>
      <c r="W467" s="167"/>
      <c r="X467" s="167"/>
    </row>
    <row r="468" spans="1:24" x14ac:dyDescent="0.2">
      <c r="A468" s="903"/>
      <c r="B468" s="907"/>
      <c r="C468" s="874"/>
      <c r="D468" s="874"/>
      <c r="E468" s="874"/>
      <c r="F468" s="905"/>
      <c r="G468" s="874"/>
      <c r="H468" s="874"/>
      <c r="I468" s="906"/>
      <c r="J468" s="162"/>
      <c r="K468" s="161"/>
      <c r="L468" s="161"/>
      <c r="M468" s="169"/>
      <c r="N468" s="163" t="str">
        <f t="shared" si="11"/>
        <v/>
      </c>
      <c r="O468" s="41"/>
      <c r="P468" s="41"/>
      <c r="Q468" s="161" t="str">
        <f>+IF(OR(O468="Fire Control",O468="Fire Tex 5062",O468="Fire Tex 5090",O468="Fire Tex 5120"),'CALCULO PINTURA'!P469," ")</f>
        <v xml:space="preserve"> </v>
      </c>
      <c r="R468" s="164" t="str">
        <f>+IF(OR(O468="Fire Control",O468="Fire Tex 5062",O468="Fire Tex 5090",O468="Fire Tex 5120"),'CALCULO PINTURA'!R469," ")</f>
        <v xml:space="preserve"> </v>
      </c>
      <c r="S468" s="164" t="str">
        <f>+IF(OR(O468="Fire Control",O468="Fire Tex 5062",O468="Fire Tex 5090",O468="Fire Tex 5120"),'CALCULO PINTURA'!S469," ")</f>
        <v xml:space="preserve"> </v>
      </c>
      <c r="T468" s="874" t="str">
        <f>+IF(OR(O468="Blaze Shield II",O468="Cafco 400",O468="Cafco 300"),'CALCULO MORTERO'!N474," ")</f>
        <v xml:space="preserve"> </v>
      </c>
      <c r="U468" s="875" t="str">
        <f>+IF(OR(O468="Blaze Shield II",O468="Cafco 400",O468="Cafco 300"),'CALCULO MORTERO'!O474," ")</f>
        <v xml:space="preserve"> </v>
      </c>
      <c r="V468" s="161" t="str" cm="1">
        <f t="array" ref="V468">_xlfn.IFS(O468="Blaze Shield II",'CALCULO MORTERO'!P469, O468="Cafco 400",'CALCULO MORTERO'!Q469,O468="Cafco 300",'CALCULO MORTERO'!S469, AND(OR(O468="Fire tex 5090", O468="Fire Tex 5062", O468="Fire Tex 5120", O468="Fire Control"),Q468&gt;0), "CERT.",TRUE,"-")</f>
        <v>-</v>
      </c>
      <c r="W468" s="167"/>
      <c r="X468" s="167"/>
    </row>
    <row r="469" spans="1:24" x14ac:dyDescent="0.2">
      <c r="A469" s="903"/>
      <c r="B469" s="907"/>
      <c r="C469" s="874"/>
      <c r="D469" s="874"/>
      <c r="E469" s="874"/>
      <c r="F469" s="905"/>
      <c r="G469" s="874"/>
      <c r="H469" s="874"/>
      <c r="I469" s="906"/>
      <c r="J469" s="162"/>
      <c r="K469" s="161"/>
      <c r="L469" s="161"/>
      <c r="M469" s="169"/>
      <c r="N469" s="163" t="str">
        <f t="shared" si="11"/>
        <v/>
      </c>
      <c r="O469" s="41"/>
      <c r="P469" s="41"/>
      <c r="Q469" s="161" t="str">
        <f>+IF(OR(O469="Fire Control",O469="Fire Tex 5062",O469="Fire Tex 5090",O469="Fire Tex 5120"),'CALCULO PINTURA'!P470," ")</f>
        <v xml:space="preserve"> </v>
      </c>
      <c r="R469" s="164" t="str">
        <f>+IF(OR(O469="Fire Control",O469="Fire Tex 5062",O469="Fire Tex 5090",O469="Fire Tex 5120"),'CALCULO PINTURA'!R470," ")</f>
        <v xml:space="preserve"> </v>
      </c>
      <c r="S469" s="164" t="str">
        <f>+IF(OR(O469="Fire Control",O469="Fire Tex 5062",O469="Fire Tex 5090",O469="Fire Tex 5120"),'CALCULO PINTURA'!S470," ")</f>
        <v xml:space="preserve"> </v>
      </c>
      <c r="T469" s="874" t="str">
        <f>+IF(OR(O469="Blaze Shield II",O469="Cafco 400",O469="Cafco 300"),'CALCULO MORTERO'!N475," ")</f>
        <v xml:space="preserve"> </v>
      </c>
      <c r="U469" s="875" t="str">
        <f>+IF(OR(O469="Blaze Shield II",O469="Cafco 400",O469="Cafco 300"),'CALCULO MORTERO'!O475," ")</f>
        <v xml:space="preserve"> </v>
      </c>
      <c r="V469" s="161" t="str" cm="1">
        <f t="array" ref="V469">_xlfn.IFS(O469="Blaze Shield II",'CALCULO MORTERO'!P470, O469="Cafco 400",'CALCULO MORTERO'!Q470,O469="Cafco 300",'CALCULO MORTERO'!S470, AND(OR(O469="Fire tex 5090", O469="Fire Tex 5062", O469="Fire Tex 5120", O469="Fire Control"),Q469&gt;0), "CERT.",TRUE,"-")</f>
        <v>-</v>
      </c>
      <c r="W469" s="167"/>
      <c r="X469" s="167"/>
    </row>
    <row r="470" spans="1:24" x14ac:dyDescent="0.2">
      <c r="A470" s="903"/>
      <c r="B470" s="907"/>
      <c r="C470" s="874"/>
      <c r="D470" s="874"/>
      <c r="E470" s="874"/>
      <c r="F470" s="874"/>
      <c r="G470" s="874"/>
      <c r="H470" s="874"/>
      <c r="I470" s="906"/>
      <c r="J470" s="162"/>
      <c r="K470" s="161"/>
      <c r="L470" s="161"/>
      <c r="M470" s="163"/>
      <c r="N470" s="163" t="str">
        <f t="shared" si="11"/>
        <v/>
      </c>
      <c r="O470" s="41"/>
      <c r="P470" s="41"/>
      <c r="Q470" s="161" t="str">
        <f>+IF(OR(O470="Fire Control",O470="Fire Tex 5062",O470="Fire Tex 5090",O470="Fire Tex 5120"),'CALCULO PINTURA'!P471," ")</f>
        <v xml:space="preserve"> </v>
      </c>
      <c r="R470" s="164" t="str">
        <f>+IF(OR(O470="Fire Control",O470="Fire Tex 5062",O470="Fire Tex 5090",O470="Fire Tex 5120"),'CALCULO PINTURA'!R471," ")</f>
        <v xml:space="preserve"> </v>
      </c>
      <c r="S470" s="164" t="str">
        <f>+IF(OR(O470="Fire Control",O470="Fire Tex 5062",O470="Fire Tex 5090",O470="Fire Tex 5120"),'CALCULO PINTURA'!S471," ")</f>
        <v xml:space="preserve"> </v>
      </c>
      <c r="T470" s="874" t="str">
        <f>+IF(OR(O470="Blaze Shield II",O470="Cafco 400",O470="Cafco 300"),'CALCULO MORTERO'!N476," ")</f>
        <v xml:space="preserve"> </v>
      </c>
      <c r="U470" s="875" t="str">
        <f>+IF(OR(O470="Blaze Shield II",O470="Cafco 400",O470="Cafco 300"),'CALCULO MORTERO'!O476," ")</f>
        <v xml:space="preserve"> </v>
      </c>
      <c r="V470" s="161" t="str" cm="1">
        <f t="array" ref="V470">_xlfn.IFS(O470="Blaze Shield II",'CALCULO MORTERO'!P471, O470="Cafco 400",'CALCULO MORTERO'!Q471,O470="Cafco 300",'CALCULO MORTERO'!S471, AND(OR(O470="Fire tex 5090", O470="Fire Tex 5062", O470="Fire Tex 5120", O470="Fire Control"),Q470&gt;0), "CERT.",TRUE,"-")</f>
        <v>-</v>
      </c>
      <c r="W470" s="167"/>
      <c r="X470" s="167"/>
    </row>
    <row r="471" spans="1:24" x14ac:dyDescent="0.2">
      <c r="A471" s="903"/>
      <c r="B471" s="907"/>
      <c r="C471" s="874"/>
      <c r="D471" s="874"/>
      <c r="E471" s="874"/>
      <c r="F471" s="874"/>
      <c r="G471" s="874"/>
      <c r="H471" s="874"/>
      <c r="I471" s="906"/>
      <c r="J471" s="162"/>
      <c r="K471" s="161"/>
      <c r="L471" s="161"/>
      <c r="M471" s="163"/>
      <c r="N471" s="163" t="str">
        <f t="shared" si="11"/>
        <v/>
      </c>
      <c r="O471" s="41"/>
      <c r="P471" s="41"/>
      <c r="Q471" s="161" t="str">
        <f>+IF(OR(O471="Fire Control",O471="Fire Tex 5062",O471="Fire Tex 5090",O471="Fire Tex 5120"),'CALCULO PINTURA'!P472," ")</f>
        <v xml:space="preserve"> </v>
      </c>
      <c r="R471" s="164" t="str">
        <f>+IF(OR(O471="Fire Control",O471="Fire Tex 5062",O471="Fire Tex 5090",O471="Fire Tex 5120"),'CALCULO PINTURA'!R472," ")</f>
        <v xml:space="preserve"> </v>
      </c>
      <c r="S471" s="164" t="str">
        <f>+IF(OR(O471="Fire Control",O471="Fire Tex 5062",O471="Fire Tex 5090",O471="Fire Tex 5120"),'CALCULO PINTURA'!S472," ")</f>
        <v xml:space="preserve"> </v>
      </c>
      <c r="T471" s="874" t="str">
        <f>+IF(OR(O471="Blaze Shield II",O471="Cafco 400",O471="Cafco 300"),'CALCULO MORTERO'!N477," ")</f>
        <v xml:space="preserve"> </v>
      </c>
      <c r="U471" s="875" t="str">
        <f>+IF(OR(O471="Blaze Shield II",O471="Cafco 400",O471="Cafco 300"),'CALCULO MORTERO'!O477," ")</f>
        <v xml:space="preserve"> </v>
      </c>
      <c r="V471" s="161" t="str" cm="1">
        <f t="array" ref="V471">_xlfn.IFS(O471="Blaze Shield II",'CALCULO MORTERO'!P472, O471="Cafco 400",'CALCULO MORTERO'!Q472,O471="Cafco 300",'CALCULO MORTERO'!S472, AND(OR(O471="Fire tex 5090", O471="Fire Tex 5062", O471="Fire Tex 5120", O471="Fire Control"),Q471&gt;0), "CERT.",TRUE,"-")</f>
        <v>-</v>
      </c>
      <c r="W471" s="167"/>
      <c r="X471" s="167"/>
    </row>
    <row r="472" spans="1:24" x14ac:dyDescent="0.2">
      <c r="A472" s="903"/>
      <c r="B472" s="907"/>
      <c r="C472" s="874"/>
      <c r="D472" s="874"/>
      <c r="E472" s="874"/>
      <c r="F472" s="874"/>
      <c r="G472" s="874"/>
      <c r="H472" s="874"/>
      <c r="I472" s="906"/>
      <c r="J472" s="162"/>
      <c r="K472" s="161"/>
      <c r="L472" s="161"/>
      <c r="M472" s="163"/>
      <c r="N472" s="163" t="str">
        <f t="shared" si="11"/>
        <v/>
      </c>
      <c r="O472" s="41"/>
      <c r="P472" s="41"/>
      <c r="Q472" s="161" t="str">
        <f>+IF(OR(O472="Fire Control",O472="Fire Tex 5062",O472="Fire Tex 5090",O472="Fire Tex 5120"),'CALCULO PINTURA'!P473," ")</f>
        <v xml:space="preserve"> </v>
      </c>
      <c r="R472" s="164" t="str">
        <f>+IF(OR(O472="Fire Control",O472="Fire Tex 5062",O472="Fire Tex 5090",O472="Fire Tex 5120"),'CALCULO PINTURA'!R473," ")</f>
        <v xml:space="preserve"> </v>
      </c>
      <c r="S472" s="164" t="str">
        <f>+IF(OR(O472="Fire Control",O472="Fire Tex 5062",O472="Fire Tex 5090",O472="Fire Tex 5120"),'CALCULO PINTURA'!S473," ")</f>
        <v xml:space="preserve"> </v>
      </c>
      <c r="T472" s="874" t="str">
        <f>+IF(OR(O472="Blaze Shield II",O472="Cafco 400",O472="Cafco 300"),'CALCULO MORTERO'!N478," ")</f>
        <v xml:space="preserve"> </v>
      </c>
      <c r="U472" s="875" t="str">
        <f>+IF(OR(O472="Blaze Shield II",O472="Cafco 400",O472="Cafco 300"),'CALCULO MORTERO'!O478," ")</f>
        <v xml:space="preserve"> </v>
      </c>
      <c r="V472" s="161" t="str" cm="1">
        <f t="array" ref="V472">_xlfn.IFS(O472="Blaze Shield II",'CALCULO MORTERO'!P473, O472="Cafco 400",'CALCULO MORTERO'!Q473,O472="Cafco 300",'CALCULO MORTERO'!S473, AND(OR(O472="Fire tex 5090", O472="Fire Tex 5062", O472="Fire Tex 5120", O472="Fire Control"),Q472&gt;0), "CERT.",TRUE,"-")</f>
        <v>-</v>
      </c>
      <c r="W472" s="167"/>
      <c r="X472" s="167"/>
    </row>
    <row r="473" spans="1:24" x14ac:dyDescent="0.2">
      <c r="A473" s="903"/>
      <c r="B473" s="907"/>
      <c r="C473" s="874"/>
      <c r="D473" s="874"/>
      <c r="E473" s="874"/>
      <c r="F473" s="874"/>
      <c r="G473" s="874"/>
      <c r="H473" s="874"/>
      <c r="I473" s="906"/>
      <c r="J473" s="162"/>
      <c r="K473" s="161"/>
      <c r="L473" s="161"/>
      <c r="M473" s="163"/>
      <c r="N473" s="163" t="str">
        <f t="shared" si="11"/>
        <v/>
      </c>
      <c r="O473" s="41"/>
      <c r="P473" s="41"/>
      <c r="Q473" s="161" t="str">
        <f>+IF(OR(O473="Fire Control",O473="Fire Tex 5062",O473="Fire Tex 5090",O473="Fire Tex 5120"),'CALCULO PINTURA'!P474," ")</f>
        <v xml:space="preserve"> </v>
      </c>
      <c r="R473" s="164" t="str">
        <f>+IF(OR(O473="Fire Control",O473="Fire Tex 5062",O473="Fire Tex 5090",O473="Fire Tex 5120"),'CALCULO PINTURA'!R474," ")</f>
        <v xml:space="preserve"> </v>
      </c>
      <c r="S473" s="164" t="str">
        <f>+IF(OR(O473="Fire Control",O473="Fire Tex 5062",O473="Fire Tex 5090",O473="Fire Tex 5120"),'CALCULO PINTURA'!S474," ")</f>
        <v xml:space="preserve"> </v>
      </c>
      <c r="T473" s="874" t="str">
        <f>+IF(OR(O473="Blaze Shield II",O473="Cafco 400",O473="Cafco 300"),'CALCULO MORTERO'!N479," ")</f>
        <v xml:space="preserve"> </v>
      </c>
      <c r="U473" s="875" t="str">
        <f>+IF(OR(O473="Blaze Shield II",O473="Cafco 400",O473="Cafco 300"),'CALCULO MORTERO'!O479," ")</f>
        <v xml:space="preserve"> </v>
      </c>
      <c r="V473" s="161" t="str" cm="1">
        <f t="array" ref="V473">_xlfn.IFS(O473="Blaze Shield II",'CALCULO MORTERO'!P474, O473="Cafco 400",'CALCULO MORTERO'!Q474,O473="Cafco 300",'CALCULO MORTERO'!S474, AND(OR(O473="Fire tex 5090", O473="Fire Tex 5062", O473="Fire Tex 5120", O473="Fire Control"),Q473&gt;0), "CERT.",TRUE,"-")</f>
        <v>-</v>
      </c>
      <c r="W473" s="167"/>
      <c r="X473" s="167"/>
    </row>
    <row r="474" spans="1:24" x14ac:dyDescent="0.2">
      <c r="A474" s="903"/>
      <c r="B474" s="907"/>
      <c r="C474" s="874"/>
      <c r="D474" s="874"/>
      <c r="E474" s="874"/>
      <c r="F474" s="905"/>
      <c r="G474" s="874"/>
      <c r="H474" s="874"/>
      <c r="I474" s="906"/>
      <c r="J474" s="162"/>
      <c r="K474" s="161"/>
      <c r="L474" s="161"/>
      <c r="M474" s="169"/>
      <c r="N474" s="163" t="str">
        <f t="shared" si="11"/>
        <v/>
      </c>
      <c r="O474" s="41"/>
      <c r="P474" s="41"/>
      <c r="Q474" s="161" t="str">
        <f>+IF(OR(O474="Fire Control",O474="Fire Tex 5062",O474="Fire Tex 5090",O474="Fire Tex 5120"),'CALCULO PINTURA'!P475," ")</f>
        <v xml:space="preserve"> </v>
      </c>
      <c r="R474" s="164" t="str">
        <f>+IF(OR(O474="Fire Control",O474="Fire Tex 5062",O474="Fire Tex 5090",O474="Fire Tex 5120"),'CALCULO PINTURA'!R475," ")</f>
        <v xml:space="preserve"> </v>
      </c>
      <c r="S474" s="164" t="str">
        <f>+IF(OR(O474="Fire Control",O474="Fire Tex 5062",O474="Fire Tex 5090",O474="Fire Tex 5120"),'CALCULO PINTURA'!S475," ")</f>
        <v xml:space="preserve"> </v>
      </c>
      <c r="T474" s="874" t="str">
        <f>+IF(OR(O474="Blaze Shield II",O474="Cafco 400",O474="Cafco 300"),'CALCULO MORTERO'!N480," ")</f>
        <v xml:space="preserve"> </v>
      </c>
      <c r="U474" s="875" t="str">
        <f>+IF(OR(O474="Blaze Shield II",O474="Cafco 400",O474="Cafco 300"),'CALCULO MORTERO'!O480," ")</f>
        <v xml:space="preserve"> </v>
      </c>
      <c r="V474" s="161" t="str" cm="1">
        <f t="array" ref="V474">_xlfn.IFS(O474="Blaze Shield II",'CALCULO MORTERO'!P475, O474="Cafco 400",'CALCULO MORTERO'!Q475,O474="Cafco 300",'CALCULO MORTERO'!S475, AND(OR(O474="Fire tex 5090", O474="Fire Tex 5062", O474="Fire Tex 5120", O474="Fire Control"),Q474&gt;0), "CERT.",TRUE,"-")</f>
        <v>-</v>
      </c>
      <c r="W474" s="167"/>
      <c r="X474" s="167"/>
    </row>
    <row r="475" spans="1:24" x14ac:dyDescent="0.2">
      <c r="A475" s="903"/>
      <c r="B475" s="907"/>
      <c r="C475" s="874"/>
      <c r="D475" s="874"/>
      <c r="E475" s="874"/>
      <c r="F475" s="905"/>
      <c r="G475" s="874"/>
      <c r="H475" s="874"/>
      <c r="I475" s="906"/>
      <c r="J475" s="162"/>
      <c r="K475" s="161"/>
      <c r="L475" s="161"/>
      <c r="M475" s="169"/>
      <c r="N475" s="163" t="str">
        <f t="shared" si="11"/>
        <v/>
      </c>
      <c r="O475" s="41"/>
      <c r="P475" s="41"/>
      <c r="Q475" s="161" t="str">
        <f>+IF(OR(O475="Fire Control",O475="Fire Tex 5062",O475="Fire Tex 5090",O475="Fire Tex 5120"),'CALCULO PINTURA'!P476," ")</f>
        <v xml:space="preserve"> </v>
      </c>
      <c r="R475" s="164" t="str">
        <f>+IF(OR(O475="Fire Control",O475="Fire Tex 5062",O475="Fire Tex 5090",O475="Fire Tex 5120"),'CALCULO PINTURA'!R476," ")</f>
        <v xml:space="preserve"> </v>
      </c>
      <c r="S475" s="164" t="str">
        <f>+IF(OR(O475="Fire Control",O475="Fire Tex 5062",O475="Fire Tex 5090",O475="Fire Tex 5120"),'CALCULO PINTURA'!S476," ")</f>
        <v xml:space="preserve"> </v>
      </c>
      <c r="T475" s="874" t="str">
        <f>+IF(OR(O475="Blaze Shield II",O475="Cafco 400",O475="Cafco 300"),'CALCULO MORTERO'!N481," ")</f>
        <v xml:space="preserve"> </v>
      </c>
      <c r="U475" s="875" t="str">
        <f>+IF(OR(O475="Blaze Shield II",O475="Cafco 400",O475="Cafco 300"),'CALCULO MORTERO'!O481," ")</f>
        <v xml:space="preserve"> </v>
      </c>
      <c r="V475" s="161" t="str" cm="1">
        <f t="array" ref="V475">_xlfn.IFS(O475="Blaze Shield II",'CALCULO MORTERO'!P476, O475="Cafco 400",'CALCULO MORTERO'!Q476,O475="Cafco 300",'CALCULO MORTERO'!S476, AND(OR(O475="Fire tex 5090", O475="Fire Tex 5062", O475="Fire Tex 5120", O475="Fire Control"),Q475&gt;0), "CERT.",TRUE,"-")</f>
        <v>-</v>
      </c>
      <c r="W475" s="167"/>
      <c r="X475" s="167"/>
    </row>
    <row r="476" spans="1:24" x14ac:dyDescent="0.2">
      <c r="A476" s="903"/>
      <c r="B476" s="907"/>
      <c r="C476" s="874"/>
      <c r="D476" s="874"/>
      <c r="E476" s="874"/>
      <c r="F476" s="905"/>
      <c r="G476" s="874"/>
      <c r="H476" s="874"/>
      <c r="I476" s="906"/>
      <c r="J476" s="162"/>
      <c r="K476" s="161"/>
      <c r="L476" s="161"/>
      <c r="M476" s="169"/>
      <c r="N476" s="163" t="str">
        <f t="shared" si="11"/>
        <v/>
      </c>
      <c r="O476" s="41"/>
      <c r="P476" s="41"/>
      <c r="Q476" s="161" t="str">
        <f>+IF(OR(O476="Fire Control",O476="Fire Tex 5062",O476="Fire Tex 5090",O476="Fire Tex 5120"),'CALCULO PINTURA'!P477," ")</f>
        <v xml:space="preserve"> </v>
      </c>
      <c r="R476" s="164" t="str">
        <f>+IF(OR(O476="Fire Control",O476="Fire Tex 5062",O476="Fire Tex 5090",O476="Fire Tex 5120"),'CALCULO PINTURA'!R477," ")</f>
        <v xml:space="preserve"> </v>
      </c>
      <c r="S476" s="164" t="str">
        <f>+IF(OR(O476="Fire Control",O476="Fire Tex 5062",O476="Fire Tex 5090",O476="Fire Tex 5120"),'CALCULO PINTURA'!S477," ")</f>
        <v xml:space="preserve"> </v>
      </c>
      <c r="T476" s="874" t="str">
        <f>+IF(OR(O476="Blaze Shield II",O476="Cafco 400",O476="Cafco 300"),'CALCULO MORTERO'!N482," ")</f>
        <v xml:space="preserve"> </v>
      </c>
      <c r="U476" s="875" t="str">
        <f>+IF(OR(O476="Blaze Shield II",O476="Cafco 400",O476="Cafco 300"),'CALCULO MORTERO'!O482," ")</f>
        <v xml:space="preserve"> </v>
      </c>
      <c r="V476" s="161" t="str" cm="1">
        <f t="array" ref="V476">_xlfn.IFS(O476="Blaze Shield II",'CALCULO MORTERO'!P477, O476="Cafco 400",'CALCULO MORTERO'!Q477,O476="Cafco 300",'CALCULO MORTERO'!S477, AND(OR(O476="Fire tex 5090", O476="Fire Tex 5062", O476="Fire Tex 5120", O476="Fire Control"),Q476&gt;0), "CERT.",TRUE,"-")</f>
        <v>-</v>
      </c>
      <c r="W476" s="167"/>
      <c r="X476" s="167"/>
    </row>
    <row r="477" spans="1:24" x14ac:dyDescent="0.25">
      <c r="A477" s="903"/>
      <c r="B477" s="907"/>
      <c r="C477" s="874"/>
      <c r="D477" s="874"/>
      <c r="E477" s="874"/>
      <c r="F477" s="905"/>
      <c r="G477" s="874"/>
      <c r="H477" s="874"/>
      <c r="I477" s="906"/>
      <c r="J477" s="162"/>
      <c r="K477" s="161"/>
      <c r="L477" s="161"/>
      <c r="M477" s="169"/>
      <c r="N477" s="163" t="str">
        <f t="shared" si="11"/>
        <v/>
      </c>
      <c r="O477" s="41"/>
      <c r="P477" s="41"/>
      <c r="Q477" s="161" t="str">
        <f>+IF(OR(O477="Fire Control",O477="Fire Tex 5062",O477="Fire Tex 5090",O477="Fire Tex 5120"),'CALCULO PINTURA'!P478," ")</f>
        <v xml:space="preserve"> </v>
      </c>
      <c r="R477" s="164" t="str">
        <f>+IF(OR(O477="Fire Control",O477="Fire Tex 5062",O477="Fire Tex 5090",O477="Fire Tex 5120"),'CALCULO PINTURA'!R478," ")</f>
        <v xml:space="preserve"> </v>
      </c>
      <c r="S477" s="164" t="str">
        <f>+IF(OR(O477="Fire Control",O477="Fire Tex 5062",O477="Fire Tex 5090",O477="Fire Tex 5120"),'CALCULO PINTURA'!S478," ")</f>
        <v xml:space="preserve"> </v>
      </c>
      <c r="T477" s="874" t="str">
        <f>+IF(OR(O477="Blaze Shield II",O477="Cafco 400",O477="Cafco 300"),'CALCULO MORTERO'!N483," ")</f>
        <v xml:space="preserve"> </v>
      </c>
      <c r="U477" s="875" t="str">
        <f>+IF(OR(O477="Blaze Shield II",O477="Cafco 400",O477="Cafco 300"),'CALCULO MORTERO'!O483," ")</f>
        <v xml:space="preserve"> </v>
      </c>
      <c r="V477" s="161" t="str" cm="1">
        <f t="array" ref="V477">_xlfn.IFS(O477="Blaze Shield II",'CALCULO MORTERO'!P478, O477="Cafco 400",'CALCULO MORTERO'!Q478,O477="Cafco 300",'CALCULO MORTERO'!S478, AND(OR(O477="Fire tex 5090", O477="Fire Tex 5062", O477="Fire Tex 5120", O477="Fire Control"),Q477&gt;0), "CERT.",TRUE,"-")</f>
        <v>-</v>
      </c>
    </row>
    <row r="478" spans="1:24" x14ac:dyDescent="0.25">
      <c r="A478" s="903"/>
      <c r="B478" s="907"/>
      <c r="C478" s="874"/>
      <c r="D478" s="874"/>
      <c r="E478" s="874"/>
      <c r="F478" s="905"/>
      <c r="G478" s="874"/>
      <c r="H478" s="874"/>
      <c r="I478" s="906"/>
      <c r="J478" s="162"/>
      <c r="K478" s="161"/>
      <c r="L478" s="161"/>
      <c r="M478" s="169"/>
      <c r="N478" s="163" t="str">
        <f t="shared" si="11"/>
        <v/>
      </c>
      <c r="O478" s="41"/>
      <c r="P478" s="41"/>
      <c r="Q478" s="161" t="str">
        <f>+IF(OR(O478="Fire Control",O478="Fire Tex 5062",O478="Fire Tex 5090",O478="Fire Tex 5120"),'CALCULO PINTURA'!P479," ")</f>
        <v xml:space="preserve"> </v>
      </c>
      <c r="R478" s="164" t="str">
        <f>+IF(OR(O478="Fire Control",O478="Fire Tex 5062",O478="Fire Tex 5090",O478="Fire Tex 5120"),'CALCULO PINTURA'!R479," ")</f>
        <v xml:space="preserve"> </v>
      </c>
      <c r="S478" s="164" t="str">
        <f>+IF(OR(O478="Fire Control",O478="Fire Tex 5062",O478="Fire Tex 5090",O478="Fire Tex 5120"),'CALCULO PINTURA'!S479," ")</f>
        <v xml:space="preserve"> </v>
      </c>
      <c r="T478" s="874" t="str">
        <f>+IF(OR(O478="Blaze Shield II",O478="Cafco 400",O478="Cafco 300"),'CALCULO MORTERO'!N484," ")</f>
        <v xml:space="preserve"> </v>
      </c>
      <c r="U478" s="875" t="str">
        <f>+IF(OR(O478="Blaze Shield II",O478="Cafco 400",O478="Cafco 300"),'CALCULO MORTERO'!O484," ")</f>
        <v xml:space="preserve"> </v>
      </c>
      <c r="V478" s="161" t="str" cm="1">
        <f t="array" ref="V478">_xlfn.IFS(O478="Blaze Shield II",'CALCULO MORTERO'!P479, O478="Cafco 400",'CALCULO MORTERO'!Q479,O478="Cafco 300",'CALCULO MORTERO'!S479, AND(OR(O478="Fire tex 5090", O478="Fire Tex 5062", O478="Fire Tex 5120", O478="Fire Control"),Q478&gt;0), "CERT.",TRUE,"-")</f>
        <v>-</v>
      </c>
    </row>
    <row r="479" spans="1:24" x14ac:dyDescent="0.25">
      <c r="A479" s="903"/>
      <c r="B479" s="907"/>
      <c r="C479" s="874"/>
      <c r="D479" s="874"/>
      <c r="E479" s="874"/>
      <c r="F479" s="905"/>
      <c r="G479" s="874"/>
      <c r="H479" s="874"/>
      <c r="I479" s="906"/>
      <c r="J479" s="162"/>
      <c r="K479" s="161"/>
      <c r="L479" s="161"/>
      <c r="M479" s="169"/>
      <c r="N479" s="163" t="str">
        <f t="shared" si="11"/>
        <v/>
      </c>
      <c r="O479" s="41"/>
      <c r="P479" s="41"/>
      <c r="Q479" s="161" t="str">
        <f>+IF(OR(O479="Fire Control",O479="Fire Tex 5062",O479="Fire Tex 5090",O479="Fire Tex 5120"),'CALCULO PINTURA'!P480," ")</f>
        <v xml:space="preserve"> </v>
      </c>
      <c r="R479" s="164" t="str">
        <f>+IF(OR(O479="Fire Control",O479="Fire Tex 5062",O479="Fire Tex 5090",O479="Fire Tex 5120"),'CALCULO PINTURA'!R480," ")</f>
        <v xml:space="preserve"> </v>
      </c>
      <c r="S479" s="164" t="str">
        <f>+IF(OR(O479="Fire Control",O479="Fire Tex 5062",O479="Fire Tex 5090",O479="Fire Tex 5120"),'CALCULO PINTURA'!S480," ")</f>
        <v xml:space="preserve"> </v>
      </c>
      <c r="T479" s="874" t="str">
        <f>+IF(OR(O479="Blaze Shield II",O479="Cafco 400",O479="Cafco 300"),'CALCULO MORTERO'!N485," ")</f>
        <v xml:space="preserve"> </v>
      </c>
      <c r="U479" s="875" t="str">
        <f>+IF(OR(O479="Blaze Shield II",O479="Cafco 400",O479="Cafco 300"),'CALCULO MORTERO'!O485," ")</f>
        <v xml:space="preserve"> </v>
      </c>
      <c r="V479" s="161" t="str" cm="1">
        <f t="array" ref="V479">_xlfn.IFS(O479="Blaze Shield II",'CALCULO MORTERO'!P480, O479="Cafco 400",'CALCULO MORTERO'!Q480,O479="Cafco 300",'CALCULO MORTERO'!S480, AND(OR(O479="Fire tex 5090", O479="Fire Tex 5062", O479="Fire Tex 5120", O479="Fire Control"),Q479&gt;0), "CERT.",TRUE,"-")</f>
        <v>-</v>
      </c>
    </row>
    <row r="480" spans="1:24" x14ac:dyDescent="0.25">
      <c r="A480" s="903"/>
      <c r="B480" s="907"/>
      <c r="C480" s="874"/>
      <c r="D480" s="874"/>
      <c r="E480" s="874"/>
      <c r="F480" s="905"/>
      <c r="G480" s="874"/>
      <c r="H480" s="874"/>
      <c r="I480" s="906"/>
      <c r="J480" s="162"/>
      <c r="K480" s="161"/>
      <c r="L480" s="161"/>
      <c r="M480" s="169"/>
      <c r="N480" s="163" t="str">
        <f t="shared" si="11"/>
        <v/>
      </c>
      <c r="O480" s="41"/>
      <c r="P480" s="41"/>
      <c r="Q480" s="161" t="str">
        <f>+IF(OR(O480="Fire Control",O480="Fire Tex 5062",O480="Fire Tex 5090",O480="Fire Tex 5120"),'CALCULO PINTURA'!P481," ")</f>
        <v xml:space="preserve"> </v>
      </c>
      <c r="R480" s="164" t="str">
        <f>+IF(OR(O480="Fire Control",O480="Fire Tex 5062",O480="Fire Tex 5090",O480="Fire Tex 5120"),'CALCULO PINTURA'!R481," ")</f>
        <v xml:space="preserve"> </v>
      </c>
      <c r="S480" s="164" t="str">
        <f>+IF(OR(O480="Fire Control",O480="Fire Tex 5062",O480="Fire Tex 5090",O480="Fire Tex 5120"),'CALCULO PINTURA'!S481," ")</f>
        <v xml:space="preserve"> </v>
      </c>
      <c r="T480" s="874" t="str">
        <f>+IF(OR(O480="Blaze Shield II",O480="Cafco 400",O480="Cafco 300"),'CALCULO MORTERO'!N486," ")</f>
        <v xml:space="preserve"> </v>
      </c>
      <c r="U480" s="875" t="str">
        <f>+IF(OR(O480="Blaze Shield II",O480="Cafco 400",O480="Cafco 300"),'CALCULO MORTERO'!O486," ")</f>
        <v xml:space="preserve"> </v>
      </c>
      <c r="V480" s="161" t="str" cm="1">
        <f t="array" ref="V480">_xlfn.IFS(O480="Blaze Shield II",'CALCULO MORTERO'!P481, O480="Cafco 400",'CALCULO MORTERO'!Q481,O480="Cafco 300",'CALCULO MORTERO'!S481, AND(OR(O480="Fire tex 5090", O480="Fire Tex 5062", O480="Fire Tex 5120", O480="Fire Control"),Q480&gt;0), "CERT.",TRUE,"-")</f>
        <v>-</v>
      </c>
    </row>
    <row r="481" spans="1:22" x14ac:dyDescent="0.25">
      <c r="A481" s="903"/>
      <c r="B481" s="907"/>
      <c r="C481" s="874"/>
      <c r="D481" s="874"/>
      <c r="E481" s="874"/>
      <c r="F481" s="905"/>
      <c r="G481" s="874"/>
      <c r="H481" s="874"/>
      <c r="I481" s="906"/>
      <c r="J481" s="162"/>
      <c r="K481" s="161"/>
      <c r="L481" s="161"/>
      <c r="M481" s="169"/>
      <c r="N481" s="163" t="str">
        <f t="shared" si="11"/>
        <v/>
      </c>
      <c r="O481" s="41"/>
      <c r="P481" s="41"/>
      <c r="Q481" s="161" t="str">
        <f>+IF(OR(O481="Fire Control",O481="Fire Tex 5062",O481="Fire Tex 5090",O481="Fire Tex 5120"),'CALCULO PINTURA'!P482," ")</f>
        <v xml:space="preserve"> </v>
      </c>
      <c r="R481" s="164" t="str">
        <f>+IF(OR(O481="Fire Control",O481="Fire Tex 5062",O481="Fire Tex 5090",O481="Fire Tex 5120"),'CALCULO PINTURA'!R482," ")</f>
        <v xml:space="preserve"> </v>
      </c>
      <c r="S481" s="164" t="str">
        <f>+IF(OR(O481="Fire Control",O481="Fire Tex 5062",O481="Fire Tex 5090",O481="Fire Tex 5120"),'CALCULO PINTURA'!S482," ")</f>
        <v xml:space="preserve"> </v>
      </c>
      <c r="T481" s="874" t="str">
        <f>+IF(OR(O481="Blaze Shield II",O481="Cafco 400",O481="Cafco 300"),'CALCULO MORTERO'!N487," ")</f>
        <v xml:space="preserve"> </v>
      </c>
      <c r="U481" s="875" t="str">
        <f>+IF(OR(O481="Blaze Shield II",O481="Cafco 400",O481="Cafco 300"),'CALCULO MORTERO'!O487," ")</f>
        <v xml:space="preserve"> </v>
      </c>
      <c r="V481" s="161" t="str" cm="1">
        <f t="array" ref="V481">_xlfn.IFS(O481="Blaze Shield II",'CALCULO MORTERO'!P482, O481="Cafco 400",'CALCULO MORTERO'!Q482,O481="Cafco 300",'CALCULO MORTERO'!S482, AND(OR(O481="Fire tex 5090", O481="Fire Tex 5062", O481="Fire Tex 5120", O481="Fire Control"),Q481&gt;0), "CERT.",TRUE,"-")</f>
        <v>-</v>
      </c>
    </row>
    <row r="482" spans="1:22" x14ac:dyDescent="0.25">
      <c r="A482" s="903"/>
      <c r="B482" s="907"/>
      <c r="C482" s="874"/>
      <c r="D482" s="874"/>
      <c r="E482" s="874"/>
      <c r="F482" s="905"/>
      <c r="G482" s="874"/>
      <c r="H482" s="874"/>
      <c r="I482" s="906"/>
      <c r="J482" s="162"/>
      <c r="K482" s="161"/>
      <c r="L482" s="161"/>
      <c r="M482" s="169"/>
      <c r="N482" s="163" t="str">
        <f t="shared" si="11"/>
        <v/>
      </c>
      <c r="O482" s="41"/>
      <c r="P482" s="41"/>
      <c r="Q482" s="161" t="str">
        <f>+IF(OR(O482="Fire Control",O482="Fire Tex 5062",O482="Fire Tex 5090",O482="Fire Tex 5120"),'CALCULO PINTURA'!P483," ")</f>
        <v xml:space="preserve"> </v>
      </c>
      <c r="R482" s="164" t="str">
        <f>+IF(OR(O482="Fire Control",O482="Fire Tex 5062",O482="Fire Tex 5090",O482="Fire Tex 5120"),'CALCULO PINTURA'!R483," ")</f>
        <v xml:space="preserve"> </v>
      </c>
      <c r="S482" s="164" t="str">
        <f>+IF(OR(O482="Fire Control",O482="Fire Tex 5062",O482="Fire Tex 5090",O482="Fire Tex 5120"),'CALCULO PINTURA'!S483," ")</f>
        <v xml:space="preserve"> </v>
      </c>
      <c r="T482" s="874" t="str">
        <f>+IF(OR(O482="Blaze Shield II",O482="Cafco 400",O482="Cafco 300"),'CALCULO MORTERO'!N488," ")</f>
        <v xml:space="preserve"> </v>
      </c>
      <c r="U482" s="875" t="str">
        <f>+IF(OR(O482="Blaze Shield II",O482="Cafco 400",O482="Cafco 300"),'CALCULO MORTERO'!O488," ")</f>
        <v xml:space="preserve"> </v>
      </c>
      <c r="V482" s="161" t="str" cm="1">
        <f t="array" ref="V482">_xlfn.IFS(O482="Blaze Shield II",'CALCULO MORTERO'!P483, O482="Cafco 400",'CALCULO MORTERO'!Q483,O482="Cafco 300",'CALCULO MORTERO'!S483, AND(OR(O482="Fire tex 5090", O482="Fire Tex 5062", O482="Fire Tex 5120", O482="Fire Control"),Q482&gt;0), "CERT.",TRUE,"-")</f>
        <v>-</v>
      </c>
    </row>
    <row r="483" spans="1:22" x14ac:dyDescent="0.25">
      <c r="A483" s="903"/>
      <c r="B483" s="907"/>
      <c r="C483" s="874"/>
      <c r="D483" s="874"/>
      <c r="E483" s="874"/>
      <c r="F483" s="905"/>
      <c r="G483" s="874"/>
      <c r="H483" s="874"/>
      <c r="I483" s="906"/>
      <c r="J483" s="162"/>
      <c r="K483" s="161"/>
      <c r="L483" s="161"/>
      <c r="M483" s="169"/>
      <c r="N483" s="163" t="str">
        <f t="shared" si="11"/>
        <v/>
      </c>
      <c r="O483" s="41"/>
      <c r="P483" s="41"/>
      <c r="Q483" s="161" t="str">
        <f>+IF(OR(O483="Fire Control",O483="Fire Tex 5062",O483="Fire Tex 5090",O483="Fire Tex 5120"),'CALCULO PINTURA'!P484," ")</f>
        <v xml:space="preserve"> </v>
      </c>
      <c r="R483" s="164" t="str">
        <f>+IF(OR(O483="Fire Control",O483="Fire Tex 5062",O483="Fire Tex 5090",O483="Fire Tex 5120"),'CALCULO PINTURA'!R484," ")</f>
        <v xml:space="preserve"> </v>
      </c>
      <c r="S483" s="164" t="str">
        <f>+IF(OR(O483="Fire Control",O483="Fire Tex 5062",O483="Fire Tex 5090",O483="Fire Tex 5120"),'CALCULO PINTURA'!S484," ")</f>
        <v xml:space="preserve"> </v>
      </c>
      <c r="T483" s="874" t="str">
        <f>+IF(OR(O483="Blaze Shield II",O483="Cafco 400",O483="Cafco 300"),'CALCULO MORTERO'!N489," ")</f>
        <v xml:space="preserve"> </v>
      </c>
      <c r="U483" s="875" t="str">
        <f>+IF(OR(O483="Blaze Shield II",O483="Cafco 400",O483="Cafco 300"),'CALCULO MORTERO'!O489," ")</f>
        <v xml:space="preserve"> </v>
      </c>
      <c r="V483" s="161" t="str" cm="1">
        <f t="array" ref="V483">_xlfn.IFS(O483="Blaze Shield II",'CALCULO MORTERO'!P484, O483="Cafco 400",'CALCULO MORTERO'!Q484,O483="Cafco 300",'CALCULO MORTERO'!S484, AND(OR(O483="Fire tex 5090", O483="Fire Tex 5062", O483="Fire Tex 5120", O483="Fire Control"),Q483&gt;0), "CERT.",TRUE,"-")</f>
        <v>-</v>
      </c>
    </row>
    <row r="484" spans="1:22" x14ac:dyDescent="0.25">
      <c r="A484" s="903"/>
      <c r="B484" s="907"/>
      <c r="C484" s="874"/>
      <c r="D484" s="874"/>
      <c r="E484" s="874"/>
      <c r="F484" s="874"/>
      <c r="G484" s="874"/>
      <c r="H484" s="874"/>
      <c r="I484" s="906"/>
      <c r="J484" s="162"/>
      <c r="K484" s="161"/>
      <c r="L484" s="161"/>
      <c r="M484" s="169"/>
      <c r="N484" s="163" t="str">
        <f t="shared" si="11"/>
        <v/>
      </c>
      <c r="O484" s="41"/>
      <c r="P484" s="41"/>
      <c r="Q484" s="161" t="str">
        <f>+IF(OR(O484="Fire Control",O484="Fire Tex 5062",O484="Fire Tex 5090",O484="Fire Tex 5120"),'CALCULO PINTURA'!P485," ")</f>
        <v xml:space="preserve"> </v>
      </c>
      <c r="R484" s="164" t="str">
        <f>+IF(OR(O484="Fire Control",O484="Fire Tex 5062",O484="Fire Tex 5090",O484="Fire Tex 5120"),'CALCULO PINTURA'!R485," ")</f>
        <v xml:space="preserve"> </v>
      </c>
      <c r="S484" s="164" t="str">
        <f>+IF(OR(O484="Fire Control",O484="Fire Tex 5062",O484="Fire Tex 5090",O484="Fire Tex 5120"),'CALCULO PINTURA'!S485," ")</f>
        <v xml:space="preserve"> </v>
      </c>
      <c r="T484" s="874" t="str">
        <f>+IF(OR(O484="Blaze Shield II",O484="Cafco 400",O484="Cafco 300"),'CALCULO MORTERO'!N490," ")</f>
        <v xml:space="preserve"> </v>
      </c>
      <c r="U484" s="875" t="str">
        <f>+IF(OR(O484="Blaze Shield II",O484="Cafco 400",O484="Cafco 300"),'CALCULO MORTERO'!O490," ")</f>
        <v xml:space="preserve"> </v>
      </c>
      <c r="V484" s="161" t="str" cm="1">
        <f t="array" ref="V484">_xlfn.IFS(O484="Blaze Shield II",'CALCULO MORTERO'!P485, O484="Cafco 400",'CALCULO MORTERO'!Q485,O484="Cafco 300",'CALCULO MORTERO'!S485, AND(OR(O484="Fire tex 5090", O484="Fire Tex 5062", O484="Fire Tex 5120", O484="Fire Control"),Q484&gt;0), "CERT.",TRUE,"-")</f>
        <v>-</v>
      </c>
    </row>
    <row r="485" spans="1:22" x14ac:dyDescent="0.25">
      <c r="A485" s="903"/>
      <c r="B485" s="907"/>
      <c r="C485" s="874"/>
      <c r="D485" s="874"/>
      <c r="E485" s="874"/>
      <c r="F485" s="905"/>
      <c r="G485" s="874"/>
      <c r="H485" s="874"/>
      <c r="I485" s="906"/>
      <c r="J485" s="162"/>
      <c r="K485" s="161"/>
      <c r="L485" s="161"/>
      <c r="M485" s="169"/>
      <c r="N485" s="163" t="str">
        <f t="shared" si="11"/>
        <v/>
      </c>
      <c r="O485" s="41"/>
      <c r="P485" s="41"/>
      <c r="Q485" s="161" t="str">
        <f>+IF(OR(O485="Fire Control",O485="Fire Tex 5062",O485="Fire Tex 5090",O485="Fire Tex 5120"),'CALCULO PINTURA'!P486," ")</f>
        <v xml:space="preserve"> </v>
      </c>
      <c r="R485" s="164" t="str">
        <f>+IF(OR(O485="Fire Control",O485="Fire Tex 5062",O485="Fire Tex 5090",O485="Fire Tex 5120"),'CALCULO PINTURA'!R486," ")</f>
        <v xml:space="preserve"> </v>
      </c>
      <c r="S485" s="164" t="str">
        <f>+IF(OR(O485="Fire Control",O485="Fire Tex 5062",O485="Fire Tex 5090",O485="Fire Tex 5120"),'CALCULO PINTURA'!S486," ")</f>
        <v xml:space="preserve"> </v>
      </c>
      <c r="T485" s="874" t="str">
        <f>+IF(OR(O485="Blaze Shield II",O485="Cafco 400",O485="Cafco 300"),'CALCULO MORTERO'!N491," ")</f>
        <v xml:space="preserve"> </v>
      </c>
      <c r="U485" s="875" t="str">
        <f>+IF(OR(O485="Blaze Shield II",O485="Cafco 400",O485="Cafco 300"),'CALCULO MORTERO'!O491," ")</f>
        <v xml:space="preserve"> </v>
      </c>
      <c r="V485" s="161" t="str" cm="1">
        <f t="array" ref="V485">_xlfn.IFS(O485="Blaze Shield II",'CALCULO MORTERO'!P486, O485="Cafco 400",'CALCULO MORTERO'!Q486,O485="Cafco 300",'CALCULO MORTERO'!S486, AND(OR(O485="Fire tex 5090", O485="Fire Tex 5062", O485="Fire Tex 5120", O485="Fire Control"),Q485&gt;0), "CERT.",TRUE,"-")</f>
        <v>-</v>
      </c>
    </row>
    <row r="486" spans="1:22" x14ac:dyDescent="0.25">
      <c r="A486" s="903"/>
      <c r="B486" s="907"/>
      <c r="C486" s="874"/>
      <c r="D486" s="874"/>
      <c r="E486" s="874"/>
      <c r="F486" s="905"/>
      <c r="G486" s="874"/>
      <c r="H486" s="874"/>
      <c r="I486" s="906"/>
      <c r="J486" s="162"/>
      <c r="K486" s="161"/>
      <c r="L486" s="161"/>
      <c r="M486" s="169"/>
      <c r="N486" s="163" t="str">
        <f t="shared" si="11"/>
        <v/>
      </c>
      <c r="O486" s="41"/>
      <c r="P486" s="41"/>
      <c r="Q486" s="161" t="str">
        <f>+IF(OR(O486="Fire Control",O486="Fire Tex 5062",O486="Fire Tex 5090",O486="Fire Tex 5120"),'CALCULO PINTURA'!P487," ")</f>
        <v xml:space="preserve"> </v>
      </c>
      <c r="R486" s="164" t="str">
        <f>+IF(OR(O486="Fire Control",O486="Fire Tex 5062",O486="Fire Tex 5090",O486="Fire Tex 5120"),'CALCULO PINTURA'!R487," ")</f>
        <v xml:space="preserve"> </v>
      </c>
      <c r="S486" s="164" t="str">
        <f>+IF(OR(O486="Fire Control",O486="Fire Tex 5062",O486="Fire Tex 5090",O486="Fire Tex 5120"),'CALCULO PINTURA'!S487," ")</f>
        <v xml:space="preserve"> </v>
      </c>
      <c r="T486" s="874" t="str">
        <f>+IF(OR(O486="Blaze Shield II",O486="Cafco 400",O486="Cafco 300"),'CALCULO MORTERO'!N492," ")</f>
        <v xml:space="preserve"> </v>
      </c>
      <c r="U486" s="875" t="str">
        <f>+IF(OR(O486="Blaze Shield II",O486="Cafco 400",O486="Cafco 300"),'CALCULO MORTERO'!O492," ")</f>
        <v xml:space="preserve"> </v>
      </c>
      <c r="V486" s="161" t="str" cm="1">
        <f t="array" ref="V486">_xlfn.IFS(O486="Blaze Shield II",'CALCULO MORTERO'!P487, O486="Cafco 400",'CALCULO MORTERO'!Q487,O486="Cafco 300",'CALCULO MORTERO'!S487, AND(OR(O486="Fire tex 5090", O486="Fire Tex 5062", O486="Fire Tex 5120", O486="Fire Control"),Q486&gt;0), "CERT.",TRUE,"-")</f>
        <v>-</v>
      </c>
    </row>
    <row r="487" spans="1:22" x14ac:dyDescent="0.25">
      <c r="A487" s="903"/>
      <c r="B487" s="907"/>
      <c r="C487" s="874"/>
      <c r="D487" s="874"/>
      <c r="E487" s="874"/>
      <c r="F487" s="905"/>
      <c r="G487" s="874"/>
      <c r="H487" s="874"/>
      <c r="I487" s="906"/>
      <c r="J487" s="162"/>
      <c r="K487" s="161"/>
      <c r="L487" s="161"/>
      <c r="M487" s="169"/>
      <c r="N487" s="163" t="str">
        <f t="shared" si="11"/>
        <v/>
      </c>
      <c r="O487" s="41"/>
      <c r="P487" s="41"/>
      <c r="Q487" s="161" t="str">
        <f>+IF(OR(O487="Fire Control",O487="Fire Tex 5062",O487="Fire Tex 5090",O487="Fire Tex 5120"),'CALCULO PINTURA'!P488," ")</f>
        <v xml:space="preserve"> </v>
      </c>
      <c r="R487" s="164" t="str">
        <f>+IF(OR(O487="Fire Control",O487="Fire Tex 5062",O487="Fire Tex 5090",O487="Fire Tex 5120"),'CALCULO PINTURA'!R488," ")</f>
        <v xml:space="preserve"> </v>
      </c>
      <c r="S487" s="164" t="str">
        <f>+IF(OR(O487="Fire Control",O487="Fire Tex 5062",O487="Fire Tex 5090",O487="Fire Tex 5120"),'CALCULO PINTURA'!S488," ")</f>
        <v xml:space="preserve"> </v>
      </c>
      <c r="T487" s="874" t="str">
        <f>+IF(OR(O487="Blaze Shield II",O487="Cafco 400",O487="Cafco 300"),'CALCULO MORTERO'!N493," ")</f>
        <v xml:space="preserve"> </v>
      </c>
      <c r="U487" s="875" t="str">
        <f>+IF(OR(O487="Blaze Shield II",O487="Cafco 400",O487="Cafco 300"),'CALCULO MORTERO'!O493," ")</f>
        <v xml:space="preserve"> </v>
      </c>
      <c r="V487" s="161" t="str" cm="1">
        <f t="array" ref="V487">_xlfn.IFS(O487="Blaze Shield II",'CALCULO MORTERO'!P488, O487="Cafco 400",'CALCULO MORTERO'!Q488,O487="Cafco 300",'CALCULO MORTERO'!S488, AND(OR(O487="Fire tex 5090", O487="Fire Tex 5062", O487="Fire Tex 5120", O487="Fire Control"),Q487&gt;0), "CERT.",TRUE,"-")</f>
        <v>-</v>
      </c>
    </row>
    <row r="488" spans="1:22" x14ac:dyDescent="0.25">
      <c r="A488" s="903"/>
      <c r="B488" s="907"/>
      <c r="C488" s="874"/>
      <c r="D488" s="874"/>
      <c r="E488" s="874"/>
      <c r="F488" s="874"/>
      <c r="G488" s="874"/>
      <c r="H488" s="874"/>
      <c r="I488" s="906"/>
      <c r="J488" s="162"/>
      <c r="K488" s="161"/>
      <c r="L488" s="161"/>
      <c r="M488" s="169"/>
      <c r="N488" s="163" t="str">
        <f t="shared" si="11"/>
        <v/>
      </c>
      <c r="O488" s="41"/>
      <c r="P488" s="41"/>
      <c r="Q488" s="161" t="str">
        <f>+IF(OR(O488="Fire Control",O488="Fire Tex 5062",O488="Fire Tex 5090",O488="Fire Tex 5120"),'CALCULO PINTURA'!P489," ")</f>
        <v xml:space="preserve"> </v>
      </c>
      <c r="R488" s="164" t="str">
        <f>+IF(OR(O488="Fire Control",O488="Fire Tex 5062",O488="Fire Tex 5090",O488="Fire Tex 5120"),'CALCULO PINTURA'!R489," ")</f>
        <v xml:space="preserve"> </v>
      </c>
      <c r="S488" s="164" t="str">
        <f>+IF(OR(O488="Fire Control",O488="Fire Tex 5062",O488="Fire Tex 5090",O488="Fire Tex 5120"),'CALCULO PINTURA'!S489," ")</f>
        <v xml:space="preserve"> </v>
      </c>
      <c r="T488" s="874" t="str">
        <f>+IF(OR(O488="Blaze Shield II",O488="Cafco 400",O488="Cafco 300"),'CALCULO MORTERO'!N494," ")</f>
        <v xml:space="preserve"> </v>
      </c>
      <c r="U488" s="875" t="str">
        <f>+IF(OR(O488="Blaze Shield II",O488="Cafco 400",O488="Cafco 300"),'CALCULO MORTERO'!O494," ")</f>
        <v xml:space="preserve"> </v>
      </c>
      <c r="V488" s="161" t="str" cm="1">
        <f t="array" ref="V488">_xlfn.IFS(O488="Blaze Shield II",'CALCULO MORTERO'!P489, O488="Cafco 400",'CALCULO MORTERO'!Q489,O488="Cafco 300",'CALCULO MORTERO'!S489, AND(OR(O488="Fire tex 5090", O488="Fire Tex 5062", O488="Fire Tex 5120", O488="Fire Control"),Q488&gt;0), "CERT.",TRUE,"-")</f>
        <v>-</v>
      </c>
    </row>
    <row r="489" spans="1:22" x14ac:dyDescent="0.25">
      <c r="A489" s="903"/>
      <c r="B489" s="907"/>
      <c r="C489" s="874"/>
      <c r="D489" s="874"/>
      <c r="E489" s="874"/>
      <c r="F489" s="905"/>
      <c r="G489" s="874"/>
      <c r="H489" s="874"/>
      <c r="I489" s="906"/>
      <c r="J489" s="162"/>
      <c r="K489" s="161"/>
      <c r="L489" s="161"/>
      <c r="M489" s="169"/>
      <c r="N489" s="163" t="str">
        <f t="shared" si="11"/>
        <v/>
      </c>
      <c r="O489" s="41"/>
      <c r="P489" s="41"/>
      <c r="Q489" s="161" t="str">
        <f>+IF(OR(O489="Fire Control",O489="Fire Tex 5062",O489="Fire Tex 5090",O489="Fire Tex 5120"),'CALCULO PINTURA'!P490," ")</f>
        <v xml:space="preserve"> </v>
      </c>
      <c r="R489" s="164" t="str">
        <f>+IF(OR(O489="Fire Control",O489="Fire Tex 5062",O489="Fire Tex 5090",O489="Fire Tex 5120"),'CALCULO PINTURA'!R490," ")</f>
        <v xml:space="preserve"> </v>
      </c>
      <c r="S489" s="164" t="str">
        <f>+IF(OR(O489="Fire Control",O489="Fire Tex 5062",O489="Fire Tex 5090",O489="Fire Tex 5120"),'CALCULO PINTURA'!S490," ")</f>
        <v xml:space="preserve"> </v>
      </c>
      <c r="T489" s="874" t="str">
        <f>+IF(OR(O489="Blaze Shield II",O489="Cafco 400",O489="Cafco 300"),'CALCULO MORTERO'!N495," ")</f>
        <v xml:space="preserve"> </v>
      </c>
      <c r="U489" s="875" t="str">
        <f>+IF(OR(O489="Blaze Shield II",O489="Cafco 400",O489="Cafco 300"),'CALCULO MORTERO'!O495," ")</f>
        <v xml:space="preserve"> </v>
      </c>
      <c r="V489" s="161" t="str" cm="1">
        <f t="array" ref="V489">_xlfn.IFS(O489="Blaze Shield II",'CALCULO MORTERO'!P490, O489="Cafco 400",'CALCULO MORTERO'!Q490,O489="Cafco 300",'CALCULO MORTERO'!S490, AND(OR(O489="Fire tex 5090", O489="Fire Tex 5062", O489="Fire Tex 5120", O489="Fire Control"),Q489&gt;0), "CERT.",TRUE,"-")</f>
        <v>-</v>
      </c>
    </row>
    <row r="490" spans="1:22" x14ac:dyDescent="0.25">
      <c r="A490" s="903"/>
      <c r="B490" s="907"/>
      <c r="C490" s="874"/>
      <c r="D490" s="874"/>
      <c r="E490" s="874"/>
      <c r="F490" s="905"/>
      <c r="G490" s="874"/>
      <c r="H490" s="874"/>
      <c r="I490" s="906"/>
      <c r="J490" s="162"/>
      <c r="K490" s="161"/>
      <c r="L490" s="161"/>
      <c r="M490" s="169"/>
      <c r="N490" s="163" t="str">
        <f t="shared" si="11"/>
        <v/>
      </c>
      <c r="O490" s="41"/>
      <c r="P490" s="41"/>
      <c r="Q490" s="161" t="str">
        <f>+IF(OR(O490="Fire Control",O490="Fire Tex 5062",O490="Fire Tex 5090",O490="Fire Tex 5120"),'CALCULO PINTURA'!P491," ")</f>
        <v xml:space="preserve"> </v>
      </c>
      <c r="R490" s="164" t="str">
        <f>+IF(OR(O490="Fire Control",O490="Fire Tex 5062",O490="Fire Tex 5090",O490="Fire Tex 5120"),'CALCULO PINTURA'!R491," ")</f>
        <v xml:space="preserve"> </v>
      </c>
      <c r="S490" s="164" t="str">
        <f>+IF(OR(O490="Fire Control",O490="Fire Tex 5062",O490="Fire Tex 5090",O490="Fire Tex 5120"),'CALCULO PINTURA'!S491," ")</f>
        <v xml:space="preserve"> </v>
      </c>
      <c r="T490" s="874" t="str">
        <f>+IF(OR(O490="Blaze Shield II",O490="Cafco 400",O490="Cafco 300"),'CALCULO MORTERO'!N496," ")</f>
        <v xml:space="preserve"> </v>
      </c>
      <c r="U490" s="875" t="str">
        <f>+IF(OR(O490="Blaze Shield II",O490="Cafco 400",O490="Cafco 300"),'CALCULO MORTERO'!O496," ")</f>
        <v xml:space="preserve"> </v>
      </c>
      <c r="V490" s="161" t="str" cm="1">
        <f t="array" ref="V490">_xlfn.IFS(O490="Blaze Shield II",'CALCULO MORTERO'!P491, O490="Cafco 400",'CALCULO MORTERO'!Q491,O490="Cafco 300",'CALCULO MORTERO'!S491, AND(OR(O490="Fire tex 5090", O490="Fire Tex 5062", O490="Fire Tex 5120", O490="Fire Control"),Q490&gt;0), "CERT.",TRUE,"-")</f>
        <v>-</v>
      </c>
    </row>
    <row r="491" spans="1:22" x14ac:dyDescent="0.25">
      <c r="A491" s="903"/>
      <c r="B491" s="907"/>
      <c r="C491" s="874"/>
      <c r="D491" s="874"/>
      <c r="E491" s="874"/>
      <c r="F491" s="905"/>
      <c r="G491" s="874"/>
      <c r="H491" s="874"/>
      <c r="I491" s="906"/>
      <c r="J491" s="162"/>
      <c r="K491" s="161"/>
      <c r="L491" s="161"/>
      <c r="M491" s="169"/>
      <c r="N491" s="163" t="str">
        <f t="shared" si="11"/>
        <v/>
      </c>
      <c r="O491" s="41"/>
      <c r="P491" s="41"/>
      <c r="Q491" s="161" t="str">
        <f>+IF(OR(O491="Fire Control",O491="Fire Tex 5062",O491="Fire Tex 5090",O491="Fire Tex 5120"),'CALCULO PINTURA'!P492," ")</f>
        <v xml:space="preserve"> </v>
      </c>
      <c r="R491" s="164" t="str">
        <f>+IF(OR(O491="Fire Control",O491="Fire Tex 5062",O491="Fire Tex 5090",O491="Fire Tex 5120"),'CALCULO PINTURA'!R492," ")</f>
        <v xml:space="preserve"> </v>
      </c>
      <c r="S491" s="164" t="str">
        <f>+IF(OR(O491="Fire Control",O491="Fire Tex 5062",O491="Fire Tex 5090",O491="Fire Tex 5120"),'CALCULO PINTURA'!S492," ")</f>
        <v xml:space="preserve"> </v>
      </c>
      <c r="T491" s="874" t="str">
        <f>+IF(OR(O491="Blaze Shield II",O491="Cafco 400",O491="Cafco 300"),'CALCULO MORTERO'!N497," ")</f>
        <v xml:space="preserve"> </v>
      </c>
      <c r="U491" s="875" t="str">
        <f>+IF(OR(O491="Blaze Shield II",O491="Cafco 400",O491="Cafco 300"),'CALCULO MORTERO'!O497," ")</f>
        <v xml:space="preserve"> </v>
      </c>
      <c r="V491" s="161" t="str" cm="1">
        <f t="array" ref="V491">_xlfn.IFS(O491="Blaze Shield II",'CALCULO MORTERO'!P492, O491="Cafco 400",'CALCULO MORTERO'!Q492,O491="Cafco 300",'CALCULO MORTERO'!S492, AND(OR(O491="Fire tex 5090", O491="Fire Tex 5062", O491="Fire Tex 5120", O491="Fire Control"),Q491&gt;0), "CERT.",TRUE,"-")</f>
        <v>-</v>
      </c>
    </row>
    <row r="492" spans="1:22" x14ac:dyDescent="0.25">
      <c r="A492" s="903"/>
      <c r="B492" s="907"/>
      <c r="C492" s="874"/>
      <c r="D492" s="874"/>
      <c r="E492" s="874"/>
      <c r="F492" s="905"/>
      <c r="G492" s="874"/>
      <c r="H492" s="874"/>
      <c r="I492" s="906"/>
      <c r="J492" s="162"/>
      <c r="K492" s="161"/>
      <c r="L492" s="161"/>
      <c r="M492" s="169"/>
      <c r="N492" s="163" t="str">
        <f t="shared" si="11"/>
        <v/>
      </c>
      <c r="O492" s="41"/>
      <c r="P492" s="41"/>
      <c r="Q492" s="161" t="str">
        <f>+IF(OR(O492="Fire Control",O492="Fire Tex 5062",O492="Fire Tex 5090",O492="Fire Tex 5120"),'CALCULO PINTURA'!P493," ")</f>
        <v xml:space="preserve"> </v>
      </c>
      <c r="R492" s="164" t="str">
        <f>+IF(OR(O492="Fire Control",O492="Fire Tex 5062",O492="Fire Tex 5090",O492="Fire Tex 5120"),'CALCULO PINTURA'!R493," ")</f>
        <v xml:space="preserve"> </v>
      </c>
      <c r="S492" s="164" t="str">
        <f>+IF(OR(O492="Fire Control",O492="Fire Tex 5062",O492="Fire Tex 5090",O492="Fire Tex 5120"),'CALCULO PINTURA'!S493," ")</f>
        <v xml:space="preserve"> </v>
      </c>
      <c r="T492" s="874" t="str">
        <f>+IF(OR(O492="Blaze Shield II",O492="Cafco 400",O492="Cafco 300"),'CALCULO MORTERO'!N498," ")</f>
        <v xml:space="preserve"> </v>
      </c>
      <c r="U492" s="875" t="str">
        <f>+IF(OR(O492="Blaze Shield II",O492="Cafco 400",O492="Cafco 300"),'CALCULO MORTERO'!O498," ")</f>
        <v xml:space="preserve"> </v>
      </c>
      <c r="V492" s="161" t="str" cm="1">
        <f t="array" ref="V492">_xlfn.IFS(O492="Blaze Shield II",'CALCULO MORTERO'!P493, O492="Cafco 400",'CALCULO MORTERO'!Q493,O492="Cafco 300",'CALCULO MORTERO'!S493, AND(OR(O492="Fire tex 5090", O492="Fire Tex 5062", O492="Fire Tex 5120", O492="Fire Control"),Q492&gt;0), "CERT.",TRUE,"-")</f>
        <v>-</v>
      </c>
    </row>
    <row r="493" spans="1:22" x14ac:dyDescent="0.25">
      <c r="A493" s="903"/>
      <c r="B493" s="907"/>
      <c r="C493" s="874"/>
      <c r="D493" s="874"/>
      <c r="E493" s="874"/>
      <c r="F493" s="874"/>
      <c r="G493" s="874"/>
      <c r="H493" s="874"/>
      <c r="I493" s="906"/>
      <c r="J493" s="162"/>
      <c r="K493" s="161"/>
      <c r="L493" s="161"/>
      <c r="M493" s="169"/>
      <c r="N493" s="163" t="str">
        <f t="shared" si="11"/>
        <v/>
      </c>
      <c r="O493" s="41"/>
      <c r="P493" s="41"/>
      <c r="Q493" s="161" t="str">
        <f>+IF(OR(O493="Fire Control",O493="Fire Tex 5062",O493="Fire Tex 5090",O493="Fire Tex 5120"),'CALCULO PINTURA'!P494," ")</f>
        <v xml:space="preserve"> </v>
      </c>
      <c r="R493" s="164" t="str">
        <f>+IF(OR(O493="Fire Control",O493="Fire Tex 5062",O493="Fire Tex 5090",O493="Fire Tex 5120"),'CALCULO PINTURA'!R494," ")</f>
        <v xml:space="preserve"> </v>
      </c>
      <c r="S493" s="164" t="str">
        <f>+IF(OR(O493="Fire Control",O493="Fire Tex 5062",O493="Fire Tex 5090",O493="Fire Tex 5120"),'CALCULO PINTURA'!S494," ")</f>
        <v xml:space="preserve"> </v>
      </c>
      <c r="T493" s="874" t="str">
        <f>+IF(OR(O493="Blaze Shield II",O493="Cafco 400",O493="Cafco 300"),'CALCULO MORTERO'!N499," ")</f>
        <v xml:space="preserve"> </v>
      </c>
      <c r="U493" s="875" t="str">
        <f>+IF(OR(O493="Blaze Shield II",O493="Cafco 400",O493="Cafco 300"),'CALCULO MORTERO'!O499," ")</f>
        <v xml:space="preserve"> </v>
      </c>
      <c r="V493" s="161" t="str" cm="1">
        <f t="array" ref="V493">_xlfn.IFS(O493="Blaze Shield II",'CALCULO MORTERO'!P494, O493="Cafco 400",'CALCULO MORTERO'!Q494,O493="Cafco 300",'CALCULO MORTERO'!S494, AND(OR(O493="Fire tex 5090", O493="Fire Tex 5062", O493="Fire Tex 5120", O493="Fire Control"),Q493&gt;0), "CERT.",TRUE,"-")</f>
        <v>-</v>
      </c>
    </row>
    <row r="494" spans="1:22" x14ac:dyDescent="0.25">
      <c r="A494" s="903"/>
      <c r="B494" s="907"/>
      <c r="C494" s="874"/>
      <c r="D494" s="874"/>
      <c r="E494" s="874"/>
      <c r="F494" s="905"/>
      <c r="G494" s="874"/>
      <c r="H494" s="874"/>
      <c r="I494" s="906"/>
      <c r="J494" s="162"/>
      <c r="K494" s="161"/>
      <c r="L494" s="161"/>
      <c r="M494" s="169"/>
      <c r="N494" s="163" t="str">
        <f t="shared" si="11"/>
        <v/>
      </c>
      <c r="O494" s="41"/>
      <c r="P494" s="41"/>
      <c r="Q494" s="161" t="str">
        <f>+IF(OR(O494="Fire Control",O494="Fire Tex 5062",O494="Fire Tex 5090",O494="Fire Tex 5120"),'CALCULO PINTURA'!P495," ")</f>
        <v xml:space="preserve"> </v>
      </c>
      <c r="R494" s="164" t="str">
        <f>+IF(OR(O494="Fire Control",O494="Fire Tex 5062",O494="Fire Tex 5090",O494="Fire Tex 5120"),'CALCULO PINTURA'!R495," ")</f>
        <v xml:space="preserve"> </v>
      </c>
      <c r="S494" s="164" t="str">
        <f>+IF(OR(O494="Fire Control",O494="Fire Tex 5062",O494="Fire Tex 5090",O494="Fire Tex 5120"),'CALCULO PINTURA'!S495," ")</f>
        <v xml:space="preserve"> </v>
      </c>
      <c r="T494" s="874" t="str">
        <f>+IF(OR(O494="Blaze Shield II",O494="Cafco 400",O494="Cafco 300"),'CALCULO MORTERO'!N500," ")</f>
        <v xml:space="preserve"> </v>
      </c>
      <c r="U494" s="875" t="str">
        <f>+IF(OR(O494="Blaze Shield II",O494="Cafco 400",O494="Cafco 300"),'CALCULO MORTERO'!O500," ")</f>
        <v xml:space="preserve"> </v>
      </c>
      <c r="V494" s="161" t="str" cm="1">
        <f t="array" ref="V494">_xlfn.IFS(O494="Blaze Shield II",'CALCULO MORTERO'!P495, O494="Cafco 400",'CALCULO MORTERO'!Q495,O494="Cafco 300",'CALCULO MORTERO'!S495, AND(OR(O494="Fire tex 5090", O494="Fire Tex 5062", O494="Fire Tex 5120", O494="Fire Control"),Q494&gt;0), "CERT.",TRUE,"-")</f>
        <v>-</v>
      </c>
    </row>
    <row r="495" spans="1:22" x14ac:dyDescent="0.25">
      <c r="A495" s="903"/>
      <c r="B495" s="907"/>
      <c r="C495" s="874"/>
      <c r="D495" s="874"/>
      <c r="E495" s="874"/>
      <c r="F495" s="905"/>
      <c r="G495" s="874"/>
      <c r="H495" s="874"/>
      <c r="I495" s="906"/>
      <c r="J495" s="162"/>
      <c r="K495" s="161"/>
      <c r="L495" s="161"/>
      <c r="M495" s="169"/>
      <c r="N495" s="163" t="str">
        <f t="shared" si="11"/>
        <v/>
      </c>
      <c r="O495" s="41"/>
      <c r="P495" s="41"/>
      <c r="Q495" s="161" t="str">
        <f>+IF(OR(O495="Fire Control",O495="Fire Tex 5062",O495="Fire Tex 5090",O495="Fire Tex 5120"),'CALCULO PINTURA'!P496," ")</f>
        <v xml:space="preserve"> </v>
      </c>
      <c r="R495" s="164" t="str">
        <f>+IF(OR(O495="Fire Control",O495="Fire Tex 5062",O495="Fire Tex 5090",O495="Fire Tex 5120"),'CALCULO PINTURA'!R496," ")</f>
        <v xml:space="preserve"> </v>
      </c>
      <c r="S495" s="164" t="str">
        <f>+IF(OR(O495="Fire Control",O495="Fire Tex 5062",O495="Fire Tex 5090",O495="Fire Tex 5120"),'CALCULO PINTURA'!S496," ")</f>
        <v xml:space="preserve"> </v>
      </c>
      <c r="T495" s="874" t="str">
        <f>+IF(OR(O495="Blaze Shield II",O495="Cafco 400",O495="Cafco 300"),'CALCULO MORTERO'!N501," ")</f>
        <v xml:space="preserve"> </v>
      </c>
      <c r="U495" s="875" t="str">
        <f>+IF(OR(O495="Blaze Shield II",O495="Cafco 400",O495="Cafco 300"),'CALCULO MORTERO'!O501," ")</f>
        <v xml:space="preserve"> </v>
      </c>
      <c r="V495" s="161" t="str" cm="1">
        <f t="array" ref="V495">_xlfn.IFS(O495="Blaze Shield II",'CALCULO MORTERO'!P496, O495="Cafco 400",'CALCULO MORTERO'!Q496,O495="Cafco 300",'CALCULO MORTERO'!S496, AND(OR(O495="Fire tex 5090", O495="Fire Tex 5062", O495="Fire Tex 5120", O495="Fire Control"),Q495&gt;0), "CERT.",TRUE,"-")</f>
        <v>-</v>
      </c>
    </row>
    <row r="496" spans="1:22" x14ac:dyDescent="0.25">
      <c r="A496" s="903"/>
      <c r="B496" s="907"/>
      <c r="C496" s="874"/>
      <c r="D496" s="874"/>
      <c r="E496" s="874"/>
      <c r="F496" s="905"/>
      <c r="G496" s="874"/>
      <c r="H496" s="874"/>
      <c r="I496" s="906"/>
      <c r="J496" s="162"/>
      <c r="K496" s="161"/>
      <c r="L496" s="161"/>
      <c r="M496" s="169"/>
      <c r="N496" s="163" t="str">
        <f t="shared" si="11"/>
        <v/>
      </c>
      <c r="O496" s="41"/>
      <c r="P496" s="41"/>
      <c r="Q496" s="161" t="str">
        <f>+IF(OR(O496="Fire Control",O496="Fire Tex 5062",O496="Fire Tex 5090",O496="Fire Tex 5120"),'CALCULO PINTURA'!P497," ")</f>
        <v xml:space="preserve"> </v>
      </c>
      <c r="R496" s="164" t="str">
        <f>+IF(OR(O496="Fire Control",O496="Fire Tex 5062",O496="Fire Tex 5090",O496="Fire Tex 5120"),'CALCULO PINTURA'!R497," ")</f>
        <v xml:space="preserve"> </v>
      </c>
      <c r="S496" s="164" t="str">
        <f>+IF(OR(O496="Fire Control",O496="Fire Tex 5062",O496="Fire Tex 5090",O496="Fire Tex 5120"),'CALCULO PINTURA'!S497," ")</f>
        <v xml:space="preserve"> </v>
      </c>
      <c r="T496" s="874" t="str">
        <f>+IF(OR(O496="Blaze Shield II",O496="Cafco 400",O496="Cafco 300"),'CALCULO MORTERO'!N502," ")</f>
        <v xml:space="preserve"> </v>
      </c>
      <c r="U496" s="875" t="str">
        <f>+IF(OR(O496="Blaze Shield II",O496="Cafco 400",O496="Cafco 300"),'CALCULO MORTERO'!O502," ")</f>
        <v xml:space="preserve"> </v>
      </c>
      <c r="V496" s="161" t="str" cm="1">
        <f t="array" ref="V496">_xlfn.IFS(O496="Blaze Shield II",'CALCULO MORTERO'!P497, O496="Cafco 400",'CALCULO MORTERO'!Q497,O496="Cafco 300",'CALCULO MORTERO'!S497, AND(OR(O496="Fire tex 5090", O496="Fire Tex 5062", O496="Fire Tex 5120", O496="Fire Control"),Q496&gt;0), "CERT.",TRUE,"-")</f>
        <v>-</v>
      </c>
    </row>
    <row r="497" spans="1:22" x14ac:dyDescent="0.25">
      <c r="A497" s="903"/>
      <c r="B497" s="907"/>
      <c r="C497" s="874"/>
      <c r="D497" s="874"/>
      <c r="E497" s="874"/>
      <c r="F497" s="905"/>
      <c r="G497" s="874"/>
      <c r="H497" s="874"/>
      <c r="I497" s="906"/>
      <c r="J497" s="162"/>
      <c r="K497" s="161"/>
      <c r="L497" s="161"/>
      <c r="M497" s="169"/>
      <c r="N497" s="163" t="str">
        <f t="shared" si="11"/>
        <v/>
      </c>
      <c r="O497" s="41"/>
      <c r="P497" s="41"/>
      <c r="Q497" s="161" t="str">
        <f>+IF(OR(O497="Fire Control",O497="Fire Tex 5062",O497="Fire Tex 5090",O497="Fire Tex 5120"),'CALCULO PINTURA'!P498," ")</f>
        <v xml:space="preserve"> </v>
      </c>
      <c r="R497" s="164" t="str">
        <f>+IF(OR(O497="Fire Control",O497="Fire Tex 5062",O497="Fire Tex 5090",O497="Fire Tex 5120"),'CALCULO PINTURA'!R498," ")</f>
        <v xml:space="preserve"> </v>
      </c>
      <c r="S497" s="164" t="str">
        <f>+IF(OR(O497="Fire Control",O497="Fire Tex 5062",O497="Fire Tex 5090",O497="Fire Tex 5120"),'CALCULO PINTURA'!S498," ")</f>
        <v xml:space="preserve"> </v>
      </c>
      <c r="T497" s="874" t="str">
        <f>+IF(OR(O497="Blaze Shield II",O497="Cafco 400",O497="Cafco 300"),'CALCULO MORTERO'!N503," ")</f>
        <v xml:space="preserve"> </v>
      </c>
      <c r="U497" s="875" t="str">
        <f>+IF(OR(O497="Blaze Shield II",O497="Cafco 400",O497="Cafco 300"),'CALCULO MORTERO'!O503," ")</f>
        <v xml:space="preserve"> </v>
      </c>
      <c r="V497" s="161" t="str" cm="1">
        <f t="array" ref="V497">_xlfn.IFS(O497="Blaze Shield II",'CALCULO MORTERO'!P498, O497="Cafco 400",'CALCULO MORTERO'!Q498,O497="Cafco 300",'CALCULO MORTERO'!S498, AND(OR(O497="Fire tex 5090", O497="Fire Tex 5062", O497="Fire Tex 5120", O497="Fire Control"),Q497&gt;0), "CERT.",TRUE,"-")</f>
        <v>-</v>
      </c>
    </row>
    <row r="498" spans="1:22" x14ac:dyDescent="0.25">
      <c r="A498" s="903"/>
      <c r="B498" s="907"/>
      <c r="C498" s="874"/>
      <c r="D498" s="874"/>
      <c r="E498" s="874"/>
      <c r="F498" s="874"/>
      <c r="G498" s="874"/>
      <c r="H498" s="874"/>
      <c r="I498" s="906"/>
      <c r="J498" s="162"/>
      <c r="K498" s="161"/>
      <c r="L498" s="161"/>
      <c r="M498" s="169"/>
      <c r="N498" s="163" t="str">
        <f t="shared" si="11"/>
        <v/>
      </c>
      <c r="O498" s="41"/>
      <c r="P498" s="41"/>
      <c r="Q498" s="161" t="str">
        <f>+IF(OR(O498="Fire Control",O498="Fire Tex 5062",O498="Fire Tex 5090",O498="Fire Tex 5120"),'CALCULO PINTURA'!P499," ")</f>
        <v xml:space="preserve"> </v>
      </c>
      <c r="R498" s="164" t="str">
        <f>+IF(OR(O498="Fire Control",O498="Fire Tex 5062",O498="Fire Tex 5090",O498="Fire Tex 5120"),'CALCULO PINTURA'!R499," ")</f>
        <v xml:space="preserve"> </v>
      </c>
      <c r="S498" s="164" t="str">
        <f>+IF(OR(O498="Fire Control",O498="Fire Tex 5062",O498="Fire Tex 5090",O498="Fire Tex 5120"),'CALCULO PINTURA'!S499," ")</f>
        <v xml:space="preserve"> </v>
      </c>
      <c r="T498" s="874" t="str">
        <f>+IF(OR(O498="Blaze Shield II",O498="Cafco 400",O498="Cafco 300"),'CALCULO MORTERO'!N504," ")</f>
        <v xml:space="preserve"> </v>
      </c>
      <c r="U498" s="875" t="str">
        <f>+IF(OR(O498="Blaze Shield II",O498="Cafco 400",O498="Cafco 300"),'CALCULO MORTERO'!O504," ")</f>
        <v xml:space="preserve"> </v>
      </c>
      <c r="V498" s="161" t="str" cm="1">
        <f t="array" ref="V498">_xlfn.IFS(O498="Blaze Shield II",'CALCULO MORTERO'!P499, O498="Cafco 400",'CALCULO MORTERO'!Q499,O498="Cafco 300",'CALCULO MORTERO'!S499, AND(OR(O498="Fire tex 5090", O498="Fire Tex 5062", O498="Fire Tex 5120", O498="Fire Control"),Q498&gt;0), "CERT.",TRUE,"-")</f>
        <v>-</v>
      </c>
    </row>
    <row r="499" spans="1:22" x14ac:dyDescent="0.25">
      <c r="A499" s="903"/>
      <c r="B499" s="907"/>
      <c r="C499" s="874"/>
      <c r="D499" s="874"/>
      <c r="E499" s="874"/>
      <c r="F499" s="905"/>
      <c r="G499" s="874"/>
      <c r="H499" s="874"/>
      <c r="I499" s="906"/>
      <c r="J499" s="162"/>
      <c r="K499" s="161"/>
      <c r="L499" s="161"/>
      <c r="M499" s="169"/>
      <c r="N499" s="163" t="str">
        <f t="shared" si="11"/>
        <v/>
      </c>
      <c r="O499" s="41"/>
      <c r="P499" s="41"/>
      <c r="Q499" s="161" t="str">
        <f>+IF(OR(O499="Fire Control",O499="Fire Tex 5062",O499="Fire Tex 5090",O499="Fire Tex 5120"),'CALCULO PINTURA'!P500," ")</f>
        <v xml:space="preserve"> </v>
      </c>
      <c r="R499" s="164" t="str">
        <f>+IF(OR(O499="Fire Control",O499="Fire Tex 5062",O499="Fire Tex 5090",O499="Fire Tex 5120"),'CALCULO PINTURA'!R500," ")</f>
        <v xml:space="preserve"> </v>
      </c>
      <c r="S499" s="164" t="str">
        <f>+IF(OR(O499="Fire Control",O499="Fire Tex 5062",O499="Fire Tex 5090",O499="Fire Tex 5120"),'CALCULO PINTURA'!S500," ")</f>
        <v xml:space="preserve"> </v>
      </c>
      <c r="T499" s="874" t="str">
        <f>+IF(OR(O499="Blaze Shield II",O499="Cafco 400",O499="Cafco 300"),'CALCULO MORTERO'!N505," ")</f>
        <v xml:space="preserve"> </v>
      </c>
      <c r="U499" s="875" t="str">
        <f>+IF(OR(O499="Blaze Shield II",O499="Cafco 400",O499="Cafco 300"),'CALCULO MORTERO'!O505," ")</f>
        <v xml:space="preserve"> </v>
      </c>
      <c r="V499" s="161" t="str" cm="1">
        <f t="array" ref="V499">_xlfn.IFS(O499="Blaze Shield II",'CALCULO MORTERO'!P500, O499="Cafco 400",'CALCULO MORTERO'!Q500,O499="Cafco 300",'CALCULO MORTERO'!S500, AND(OR(O499="Fire tex 5090", O499="Fire Tex 5062", O499="Fire Tex 5120", O499="Fire Control"),Q499&gt;0), "CERT.",TRUE,"-")</f>
        <v>-</v>
      </c>
    </row>
    <row r="500" spans="1:22" x14ac:dyDescent="0.25">
      <c r="A500" s="903"/>
      <c r="B500" s="907"/>
      <c r="C500" s="874"/>
      <c r="D500" s="874"/>
      <c r="E500" s="874"/>
      <c r="F500" s="905"/>
      <c r="G500" s="874"/>
      <c r="H500" s="874"/>
      <c r="I500" s="906"/>
      <c r="J500" s="162"/>
      <c r="K500" s="161"/>
      <c r="L500" s="161"/>
      <c r="M500" s="169"/>
      <c r="N500" s="163" t="str">
        <f t="shared" si="11"/>
        <v/>
      </c>
      <c r="O500" s="41"/>
      <c r="P500" s="41"/>
      <c r="Q500" s="161" t="str">
        <f>+IF(OR(O500="Fire Control",O500="Fire Tex 5062",O500="Fire Tex 5090",O500="Fire Tex 5120"),'CALCULO PINTURA'!P501," ")</f>
        <v xml:space="preserve"> </v>
      </c>
      <c r="R500" s="164" t="str">
        <f>+IF(OR(O500="Fire Control",O500="Fire Tex 5062",O500="Fire Tex 5090",O500="Fire Tex 5120"),'CALCULO PINTURA'!R501," ")</f>
        <v xml:space="preserve"> </v>
      </c>
      <c r="S500" s="164" t="str">
        <f>+IF(OR(O500="Fire Control",O500="Fire Tex 5062",O500="Fire Tex 5090",O500="Fire Tex 5120"),'CALCULO PINTURA'!S501," ")</f>
        <v xml:space="preserve"> </v>
      </c>
      <c r="T500" s="874" t="str">
        <f>+IF(OR(O500="Blaze Shield II",O500="Cafco 400",O500="Cafco 300"),'CALCULO MORTERO'!N506," ")</f>
        <v xml:space="preserve"> </v>
      </c>
      <c r="U500" s="875" t="str">
        <f>+IF(OR(O500="Blaze Shield II",O500="Cafco 400",O500="Cafco 300"),'CALCULO MORTERO'!O506," ")</f>
        <v xml:space="preserve"> </v>
      </c>
      <c r="V500" s="161" t="str" cm="1">
        <f t="array" ref="V500">_xlfn.IFS(O500="Blaze Shield II",'CALCULO MORTERO'!P501, O500="Cafco 400",'CALCULO MORTERO'!Q501,O500="Cafco 300",'CALCULO MORTERO'!S501, AND(OR(O500="Fire tex 5090", O500="Fire Tex 5062", O500="Fire Tex 5120", O500="Fire Control"),Q500&gt;0), "CERT.",TRUE,"-")</f>
        <v>-</v>
      </c>
    </row>
    <row r="501" spans="1:22" x14ac:dyDescent="0.25">
      <c r="A501" s="903"/>
      <c r="B501" s="907"/>
      <c r="C501" s="874"/>
      <c r="D501" s="874"/>
      <c r="E501" s="874"/>
      <c r="F501" s="905"/>
      <c r="G501" s="874"/>
      <c r="H501" s="874"/>
      <c r="I501" s="906"/>
      <c r="J501" s="162"/>
      <c r="K501" s="161"/>
      <c r="L501" s="161"/>
      <c r="M501" s="169"/>
      <c r="N501" s="163" t="str">
        <f t="shared" si="11"/>
        <v/>
      </c>
      <c r="O501" s="41"/>
      <c r="P501" s="41"/>
      <c r="Q501" s="161" t="str">
        <f>+IF(OR(O501="Fire Control",O501="Fire Tex 5062",O501="Fire Tex 5090",O501="Fire Tex 5120"),'CALCULO PINTURA'!P502," ")</f>
        <v xml:space="preserve"> </v>
      </c>
      <c r="R501" s="164" t="str">
        <f>+IF(OR(O501="Fire Control",O501="Fire Tex 5062",O501="Fire Tex 5090",O501="Fire Tex 5120"),'CALCULO PINTURA'!R502," ")</f>
        <v xml:space="preserve"> </v>
      </c>
      <c r="S501" s="164" t="str">
        <f>+IF(OR(O501="Fire Control",O501="Fire Tex 5062",O501="Fire Tex 5090",O501="Fire Tex 5120"),'CALCULO PINTURA'!S502," ")</f>
        <v xml:space="preserve"> </v>
      </c>
      <c r="T501" s="874" t="str">
        <f>+IF(OR(O501="Blaze Shield II",O501="Cafco 400",O501="Cafco 300"),'CALCULO MORTERO'!N507," ")</f>
        <v xml:space="preserve"> </v>
      </c>
      <c r="U501" s="875" t="str">
        <f>+IF(OR(O501="Blaze Shield II",O501="Cafco 400",O501="Cafco 300"),'CALCULO MORTERO'!O507," ")</f>
        <v xml:space="preserve"> </v>
      </c>
      <c r="V501" s="161" t="str" cm="1">
        <f t="array" ref="V501">_xlfn.IFS(O501="Blaze Shield II",'CALCULO MORTERO'!P502, O501="Cafco 400",'CALCULO MORTERO'!Q502,O501="Cafco 300",'CALCULO MORTERO'!S502, AND(OR(O501="Fire tex 5090", O501="Fire Tex 5062", O501="Fire Tex 5120", O501="Fire Control"),Q501&gt;0), "CERT.",TRUE,"-")</f>
        <v>-</v>
      </c>
    </row>
    <row r="502" spans="1:22" x14ac:dyDescent="0.25">
      <c r="A502" s="903"/>
      <c r="B502" s="907"/>
      <c r="C502" s="874"/>
      <c r="D502" s="874"/>
      <c r="E502" s="874"/>
      <c r="F502" s="874"/>
      <c r="G502" s="874"/>
      <c r="H502" s="874"/>
      <c r="I502" s="906"/>
      <c r="J502" s="162"/>
      <c r="K502" s="161"/>
      <c r="L502" s="161"/>
      <c r="M502" s="169"/>
      <c r="N502" s="163" t="str">
        <f t="shared" si="11"/>
        <v/>
      </c>
      <c r="O502" s="41"/>
      <c r="P502" s="41"/>
      <c r="Q502" s="161" t="str">
        <f>+IF(OR(O502="Fire Control",O502="Fire Tex 5062",O502="Fire Tex 5090",O502="Fire Tex 5120"),'CALCULO PINTURA'!P503," ")</f>
        <v xml:space="preserve"> </v>
      </c>
      <c r="R502" s="164" t="str">
        <f>+IF(OR(O502="Fire Control",O502="Fire Tex 5062",O502="Fire Tex 5090",O502="Fire Tex 5120"),'CALCULO PINTURA'!R503," ")</f>
        <v xml:space="preserve"> </v>
      </c>
      <c r="S502" s="164" t="str">
        <f>+IF(OR(O502="Fire Control",O502="Fire Tex 5062",O502="Fire Tex 5090",O502="Fire Tex 5120"),'CALCULO PINTURA'!S503," ")</f>
        <v xml:space="preserve"> </v>
      </c>
      <c r="T502" s="874" t="str">
        <f>+IF(OR(O502="Blaze Shield II",O502="Cafco 400",O502="Cafco 300"),'CALCULO MORTERO'!N508," ")</f>
        <v xml:space="preserve"> </v>
      </c>
      <c r="U502" s="875" t="str">
        <f>+IF(OR(O502="Blaze Shield II",O502="Cafco 400",O502="Cafco 300"),'CALCULO MORTERO'!O508," ")</f>
        <v xml:space="preserve"> </v>
      </c>
      <c r="V502" s="161" t="str" cm="1">
        <f t="array" ref="V502">_xlfn.IFS(O502="Blaze Shield II",'CALCULO MORTERO'!P503, O502="Cafco 400",'CALCULO MORTERO'!Q503,O502="Cafco 300",'CALCULO MORTERO'!S503, AND(OR(O502="Fire tex 5090", O502="Fire Tex 5062", O502="Fire Tex 5120", O502="Fire Control"),Q502&gt;0), "CERT.",TRUE,"-")</f>
        <v>-</v>
      </c>
    </row>
    <row r="503" spans="1:22" x14ac:dyDescent="0.25">
      <c r="A503" s="903"/>
      <c r="B503" s="907"/>
      <c r="C503" s="874"/>
      <c r="D503" s="874"/>
      <c r="E503" s="874"/>
      <c r="F503" s="905"/>
      <c r="G503" s="874"/>
      <c r="H503" s="874"/>
      <c r="I503" s="906"/>
      <c r="J503" s="162"/>
      <c r="K503" s="161"/>
      <c r="L503" s="161"/>
      <c r="M503" s="169"/>
      <c r="N503" s="163" t="str">
        <f t="shared" si="11"/>
        <v/>
      </c>
      <c r="O503" s="41"/>
      <c r="P503" s="41"/>
      <c r="Q503" s="161" t="str">
        <f>+IF(OR(O503="Fire Control",O503="Fire Tex 5062",O503="Fire Tex 5090",O503="Fire Tex 5120"),'CALCULO PINTURA'!P504," ")</f>
        <v xml:space="preserve"> </v>
      </c>
      <c r="R503" s="164" t="str">
        <f>+IF(OR(O503="Fire Control",O503="Fire Tex 5062",O503="Fire Tex 5090",O503="Fire Tex 5120"),'CALCULO PINTURA'!R504," ")</f>
        <v xml:space="preserve"> </v>
      </c>
      <c r="S503" s="164" t="str">
        <f>+IF(OR(O503="Fire Control",O503="Fire Tex 5062",O503="Fire Tex 5090",O503="Fire Tex 5120"),'CALCULO PINTURA'!S504," ")</f>
        <v xml:space="preserve"> </v>
      </c>
      <c r="T503" s="874" t="str">
        <f>+IF(OR(O503="Blaze Shield II",O503="Cafco 400",O503="Cafco 300"),'CALCULO MORTERO'!N509," ")</f>
        <v xml:space="preserve"> </v>
      </c>
      <c r="U503" s="875" t="str">
        <f>+IF(OR(O503="Blaze Shield II",O503="Cafco 400",O503="Cafco 300"),'CALCULO MORTERO'!O509," ")</f>
        <v xml:space="preserve"> </v>
      </c>
      <c r="V503" s="161" t="str" cm="1">
        <f t="array" ref="V503">_xlfn.IFS(O503="Blaze Shield II",'CALCULO MORTERO'!P504, O503="Cafco 400",'CALCULO MORTERO'!Q504,O503="Cafco 300",'CALCULO MORTERO'!S504, AND(OR(O503="Fire tex 5090", O503="Fire Tex 5062", O503="Fire Tex 5120", O503="Fire Control"),Q503&gt;0), "CERT.",TRUE,"-")</f>
        <v>-</v>
      </c>
    </row>
    <row r="504" spans="1:22" x14ac:dyDescent="0.25">
      <c r="A504" s="903"/>
      <c r="B504" s="907"/>
      <c r="C504" s="874"/>
      <c r="D504" s="874"/>
      <c r="E504" s="874"/>
      <c r="F504" s="905"/>
      <c r="G504" s="874"/>
      <c r="H504" s="874"/>
      <c r="I504" s="906"/>
      <c r="J504" s="162"/>
      <c r="K504" s="161"/>
      <c r="L504" s="161"/>
      <c r="M504" s="169"/>
      <c r="N504" s="163" t="str">
        <f t="shared" si="11"/>
        <v/>
      </c>
      <c r="O504" s="41"/>
      <c r="P504" s="41"/>
      <c r="Q504" s="161" t="str">
        <f>+IF(OR(O504="Fire Control",O504="Fire Tex 5062",O504="Fire Tex 5090",O504="Fire Tex 5120"),'CALCULO PINTURA'!P505," ")</f>
        <v xml:space="preserve"> </v>
      </c>
      <c r="R504" s="164" t="str">
        <f>+IF(OR(O504="Fire Control",O504="Fire Tex 5062",O504="Fire Tex 5090",O504="Fire Tex 5120"),'CALCULO PINTURA'!R505," ")</f>
        <v xml:space="preserve"> </v>
      </c>
      <c r="S504" s="164" t="str">
        <f>+IF(OR(O504="Fire Control",O504="Fire Tex 5062",O504="Fire Tex 5090",O504="Fire Tex 5120"),'CALCULO PINTURA'!S505," ")</f>
        <v xml:space="preserve"> </v>
      </c>
      <c r="T504" s="874" t="str">
        <f>+IF(OR(O504="Blaze Shield II",O504="Cafco 400",O504="Cafco 300"),'CALCULO MORTERO'!N510," ")</f>
        <v xml:space="preserve"> </v>
      </c>
      <c r="U504" s="875" t="str">
        <f>+IF(OR(O504="Blaze Shield II",O504="Cafco 400",O504="Cafco 300"),'CALCULO MORTERO'!O510," ")</f>
        <v xml:space="preserve"> </v>
      </c>
      <c r="V504" s="161" t="str" cm="1">
        <f t="array" ref="V504">_xlfn.IFS(O504="Blaze Shield II",'CALCULO MORTERO'!P505, O504="Cafco 400",'CALCULO MORTERO'!Q505,O504="Cafco 300",'CALCULO MORTERO'!S505, AND(OR(O504="Fire tex 5090", O504="Fire Tex 5062", O504="Fire Tex 5120", O504="Fire Control"),Q504&gt;0), "CERT.",TRUE,"-")</f>
        <v>-</v>
      </c>
    </row>
    <row r="505" spans="1:22" x14ac:dyDescent="0.25">
      <c r="A505" s="903"/>
      <c r="B505" s="907"/>
      <c r="C505" s="874"/>
      <c r="D505" s="874"/>
      <c r="E505" s="874"/>
      <c r="F505" s="905"/>
      <c r="G505" s="874"/>
      <c r="H505" s="874"/>
      <c r="I505" s="906"/>
      <c r="J505" s="162"/>
      <c r="K505" s="161"/>
      <c r="L505" s="161"/>
      <c r="M505" s="169"/>
      <c r="N505" s="163" t="str">
        <f t="shared" si="11"/>
        <v/>
      </c>
      <c r="O505" s="41"/>
      <c r="P505" s="41"/>
      <c r="Q505" s="161" t="str">
        <f>+IF(OR(O505="Fire Control",O505="Fire Tex 5062",O505="Fire Tex 5090",O505="Fire Tex 5120"),'CALCULO PINTURA'!P506," ")</f>
        <v xml:space="preserve"> </v>
      </c>
      <c r="R505" s="164" t="str">
        <f>+IF(OR(O505="Fire Control",O505="Fire Tex 5062",O505="Fire Tex 5090",O505="Fire Tex 5120"),'CALCULO PINTURA'!R506," ")</f>
        <v xml:space="preserve"> </v>
      </c>
      <c r="S505" s="164" t="str">
        <f>+IF(OR(O505="Fire Control",O505="Fire Tex 5062",O505="Fire Tex 5090",O505="Fire Tex 5120"),'CALCULO PINTURA'!S506," ")</f>
        <v xml:space="preserve"> </v>
      </c>
      <c r="T505" s="874" t="str">
        <f>+IF(OR(O505="Blaze Shield II",O505="Cafco 400",O505="Cafco 300"),'CALCULO MORTERO'!N511," ")</f>
        <v xml:space="preserve"> </v>
      </c>
      <c r="U505" s="875" t="str">
        <f>+IF(OR(O505="Blaze Shield II",O505="Cafco 400",O505="Cafco 300"),'CALCULO MORTERO'!O511," ")</f>
        <v xml:space="preserve"> </v>
      </c>
      <c r="V505" s="161" t="str" cm="1">
        <f t="array" ref="V505">_xlfn.IFS(O505="Blaze Shield II",'CALCULO MORTERO'!P506, O505="Cafco 400",'CALCULO MORTERO'!Q506,O505="Cafco 300",'CALCULO MORTERO'!S506, AND(OR(O505="Fire tex 5090", O505="Fire Tex 5062", O505="Fire Tex 5120", O505="Fire Control"),Q505&gt;0), "CERT.",TRUE,"-")</f>
        <v>-</v>
      </c>
    </row>
    <row r="506" spans="1:22" x14ac:dyDescent="0.25">
      <c r="A506" s="903"/>
      <c r="B506" s="907"/>
      <c r="C506" s="874"/>
      <c r="D506" s="874"/>
      <c r="E506" s="874"/>
      <c r="F506" s="905"/>
      <c r="G506" s="874"/>
      <c r="H506" s="874"/>
      <c r="I506" s="906"/>
      <c r="J506" s="162"/>
      <c r="K506" s="161"/>
      <c r="L506" s="161"/>
      <c r="M506" s="169"/>
      <c r="N506" s="163" t="str">
        <f t="shared" si="11"/>
        <v/>
      </c>
      <c r="O506" s="41"/>
      <c r="P506" s="41"/>
      <c r="Q506" s="161" t="str">
        <f>+IF(OR(O506="Fire Control",O506="Fire Tex 5062",O506="Fire Tex 5090",O506="Fire Tex 5120"),'CALCULO PINTURA'!P507," ")</f>
        <v xml:space="preserve"> </v>
      </c>
      <c r="R506" s="164" t="str">
        <f>+IF(OR(O506="Fire Control",O506="Fire Tex 5062",O506="Fire Tex 5090",O506="Fire Tex 5120"),'CALCULO PINTURA'!R507," ")</f>
        <v xml:space="preserve"> </v>
      </c>
      <c r="S506" s="164" t="str">
        <f>+IF(OR(O506="Fire Control",O506="Fire Tex 5062",O506="Fire Tex 5090",O506="Fire Tex 5120"),'CALCULO PINTURA'!S507," ")</f>
        <v xml:space="preserve"> </v>
      </c>
      <c r="T506" s="874" t="str">
        <f>+IF(OR(O506="Blaze Shield II",O506="Cafco 400",O506="Cafco 300"),'CALCULO MORTERO'!N512," ")</f>
        <v xml:space="preserve"> </v>
      </c>
      <c r="U506" s="875" t="str">
        <f>+IF(OR(O506="Blaze Shield II",O506="Cafco 400",O506="Cafco 300"),'CALCULO MORTERO'!O512," ")</f>
        <v xml:space="preserve"> </v>
      </c>
      <c r="V506" s="161" t="str" cm="1">
        <f t="array" ref="V506">_xlfn.IFS(O506="Blaze Shield II",'CALCULO MORTERO'!P507, O506="Cafco 400",'CALCULO MORTERO'!Q507,O506="Cafco 300",'CALCULO MORTERO'!S507, AND(OR(O506="Fire tex 5090", O506="Fire Tex 5062", O506="Fire Tex 5120", O506="Fire Control"),Q506&gt;0), "CERT.",TRUE,"-")</f>
        <v>-</v>
      </c>
    </row>
    <row r="507" spans="1:22" x14ac:dyDescent="0.25">
      <c r="A507" s="903"/>
      <c r="B507" s="907"/>
      <c r="C507" s="874"/>
      <c r="D507" s="874"/>
      <c r="E507" s="874"/>
      <c r="F507" s="874"/>
      <c r="G507" s="874"/>
      <c r="H507" s="874"/>
      <c r="I507" s="906"/>
      <c r="J507" s="162"/>
      <c r="K507" s="161"/>
      <c r="L507" s="161"/>
      <c r="M507" s="169"/>
      <c r="N507" s="163" t="str">
        <f t="shared" si="11"/>
        <v/>
      </c>
      <c r="O507" s="41"/>
      <c r="P507" s="41"/>
      <c r="Q507" s="161" t="str">
        <f>+IF(OR(O507="Fire Control",O507="Fire Tex 5062",O507="Fire Tex 5090",O507="Fire Tex 5120"),'CALCULO PINTURA'!P508," ")</f>
        <v xml:space="preserve"> </v>
      </c>
      <c r="R507" s="164" t="str">
        <f>+IF(OR(O507="Fire Control",O507="Fire Tex 5062",O507="Fire Tex 5090",O507="Fire Tex 5120"),'CALCULO PINTURA'!R508," ")</f>
        <v xml:space="preserve"> </v>
      </c>
      <c r="S507" s="164" t="str">
        <f>+IF(OR(O507="Fire Control",O507="Fire Tex 5062",O507="Fire Tex 5090",O507="Fire Tex 5120"),'CALCULO PINTURA'!S508," ")</f>
        <v xml:space="preserve"> </v>
      </c>
      <c r="T507" s="874" t="str">
        <f>+IF(OR(O507="Blaze Shield II",O507="Cafco 400",O507="Cafco 300"),'CALCULO MORTERO'!N513," ")</f>
        <v xml:space="preserve"> </v>
      </c>
      <c r="U507" s="875" t="str">
        <f>+IF(OR(O507="Blaze Shield II",O507="Cafco 400",O507="Cafco 300"),'CALCULO MORTERO'!O513," ")</f>
        <v xml:space="preserve"> </v>
      </c>
      <c r="V507" s="161" t="str" cm="1">
        <f t="array" ref="V507">_xlfn.IFS(O507="Blaze Shield II",'CALCULO MORTERO'!P508, O507="Cafco 400",'CALCULO MORTERO'!Q508,O507="Cafco 300",'CALCULO MORTERO'!S508, AND(OR(O507="Fire tex 5090", O507="Fire Tex 5062", O507="Fire Tex 5120", O507="Fire Control"),Q507&gt;0), "CERT.",TRUE,"-")</f>
        <v>-</v>
      </c>
    </row>
    <row r="508" spans="1:22" x14ac:dyDescent="0.25">
      <c r="A508" s="903"/>
      <c r="B508" s="907"/>
      <c r="C508" s="874"/>
      <c r="D508" s="874"/>
      <c r="E508" s="874"/>
      <c r="F508" s="905"/>
      <c r="G508" s="874"/>
      <c r="H508" s="874"/>
      <c r="I508" s="906"/>
      <c r="J508" s="162"/>
      <c r="K508" s="161"/>
      <c r="L508" s="161"/>
      <c r="M508" s="169"/>
      <c r="N508" s="163" t="str">
        <f t="shared" si="11"/>
        <v/>
      </c>
      <c r="O508" s="41"/>
      <c r="P508" s="41"/>
      <c r="Q508" s="161" t="str">
        <f>+IF(OR(O508="Fire Control",O508="Fire Tex 5062",O508="Fire Tex 5090",O508="Fire Tex 5120"),'CALCULO PINTURA'!P509," ")</f>
        <v xml:space="preserve"> </v>
      </c>
      <c r="R508" s="164" t="str">
        <f>+IF(OR(O508="Fire Control",O508="Fire Tex 5062",O508="Fire Tex 5090",O508="Fire Tex 5120"),'CALCULO PINTURA'!R509," ")</f>
        <v xml:space="preserve"> </v>
      </c>
      <c r="S508" s="164" t="str">
        <f>+IF(OR(O508="Fire Control",O508="Fire Tex 5062",O508="Fire Tex 5090",O508="Fire Tex 5120"),'CALCULO PINTURA'!S509," ")</f>
        <v xml:space="preserve"> </v>
      </c>
      <c r="T508" s="874" t="str">
        <f>+IF(OR(O508="Blaze Shield II",O508="Cafco 400",O508="Cafco 300"),'CALCULO MORTERO'!N514," ")</f>
        <v xml:space="preserve"> </v>
      </c>
      <c r="U508" s="875" t="str">
        <f>+IF(OR(O508="Blaze Shield II",O508="Cafco 400",O508="Cafco 300"),'CALCULO MORTERO'!O514," ")</f>
        <v xml:space="preserve"> </v>
      </c>
      <c r="V508" s="161" t="str" cm="1">
        <f t="array" ref="V508">_xlfn.IFS(O508="Blaze Shield II",'CALCULO MORTERO'!P509, O508="Cafco 400",'CALCULO MORTERO'!Q509,O508="Cafco 300",'CALCULO MORTERO'!S509, AND(OR(O508="Fire tex 5090", O508="Fire Tex 5062", O508="Fire Tex 5120", O508="Fire Control"),Q508&gt;0), "CERT.",TRUE,"-")</f>
        <v>-</v>
      </c>
    </row>
    <row r="509" spans="1:22" x14ac:dyDescent="0.25">
      <c r="A509" s="903"/>
      <c r="B509" s="907"/>
      <c r="C509" s="874"/>
      <c r="D509" s="874"/>
      <c r="E509" s="874"/>
      <c r="F509" s="874"/>
      <c r="G509" s="874"/>
      <c r="H509" s="874"/>
      <c r="I509" s="906"/>
      <c r="J509" s="162"/>
      <c r="K509" s="161"/>
      <c r="L509" s="161"/>
      <c r="M509" s="166"/>
      <c r="N509" s="163" t="str">
        <f t="shared" si="11"/>
        <v/>
      </c>
      <c r="O509" s="41"/>
      <c r="P509" s="41"/>
      <c r="Q509" s="161" t="str">
        <f>+IF(OR(O509="Fire Control",O509="Fire Tex 5062",O509="Fire Tex 5090",O509="Fire Tex 5120"),'CALCULO PINTURA'!P510," ")</f>
        <v xml:space="preserve"> </v>
      </c>
      <c r="R509" s="164" t="str">
        <f>+IF(OR(O509="Fire Control",O509="Fire Tex 5062",O509="Fire Tex 5090",O509="Fire Tex 5120"),'CALCULO PINTURA'!R510," ")</f>
        <v xml:space="preserve"> </v>
      </c>
      <c r="S509" s="164" t="str">
        <f>+IF(OR(O509="Fire Control",O509="Fire Tex 5062",O509="Fire Tex 5090",O509="Fire Tex 5120"),'CALCULO PINTURA'!S510," ")</f>
        <v xml:space="preserve"> </v>
      </c>
      <c r="T509" s="874" t="str">
        <f>+IF(OR(O509="Blaze Shield II",O509="Cafco 400",O509="Cafco 300"),'CALCULO MORTERO'!N515," ")</f>
        <v xml:space="preserve"> </v>
      </c>
      <c r="U509" s="875" t="str">
        <f>+IF(OR(O509="Blaze Shield II",O509="Cafco 400",O509="Cafco 300"),'CALCULO MORTERO'!O515," ")</f>
        <v xml:space="preserve"> </v>
      </c>
      <c r="V509" s="161" t="str" cm="1">
        <f t="array" ref="V509">_xlfn.IFS(O509="Blaze Shield II",'CALCULO MORTERO'!P510, O509="Cafco 400",'CALCULO MORTERO'!Q510,O509="Cafco 300",'CALCULO MORTERO'!S510, AND(OR(O509="Fire tex 5090", O509="Fire Tex 5062", O509="Fire Tex 5120", O509="Fire Control"),Q509&gt;0), "CERT.",TRUE,"-")</f>
        <v>-</v>
      </c>
    </row>
    <row r="510" spans="1:22" x14ac:dyDescent="0.25">
      <c r="A510" s="903"/>
      <c r="B510" s="907"/>
      <c r="C510" s="874"/>
      <c r="D510" s="874"/>
      <c r="E510" s="874"/>
      <c r="F510" s="874"/>
      <c r="G510" s="874"/>
      <c r="H510" s="874"/>
      <c r="I510" s="906"/>
      <c r="J510" s="162"/>
      <c r="K510" s="161"/>
      <c r="L510" s="161"/>
      <c r="M510" s="166"/>
      <c r="N510" s="163" t="str">
        <f t="shared" si="11"/>
        <v/>
      </c>
      <c r="O510" s="41"/>
      <c r="P510" s="41"/>
      <c r="Q510" s="161" t="str">
        <f>+IF(OR(O510="Fire Control",O510="Fire Tex 5062",O510="Fire Tex 5090",O510="Fire Tex 5120"),'CALCULO PINTURA'!P511," ")</f>
        <v xml:space="preserve"> </v>
      </c>
      <c r="R510" s="164" t="str">
        <f>+IF(OR(O510="Fire Control",O510="Fire Tex 5062",O510="Fire Tex 5090",O510="Fire Tex 5120"),'CALCULO PINTURA'!R511," ")</f>
        <v xml:space="preserve"> </v>
      </c>
      <c r="S510" s="164" t="str">
        <f>+IF(OR(O510="Fire Control",O510="Fire Tex 5062",O510="Fire Tex 5090",O510="Fire Tex 5120"),'CALCULO PINTURA'!S511," ")</f>
        <v xml:space="preserve"> </v>
      </c>
      <c r="T510" s="874" t="str">
        <f>+IF(OR(O510="Blaze Shield II",O510="Cafco 400",O510="Cafco 300"),'CALCULO MORTERO'!N516," ")</f>
        <v xml:space="preserve"> </v>
      </c>
      <c r="U510" s="875" t="str">
        <f>+IF(OR(O510="Blaze Shield II",O510="Cafco 400",O510="Cafco 300"),'CALCULO MORTERO'!O516," ")</f>
        <v xml:space="preserve"> </v>
      </c>
      <c r="V510" s="161" t="str" cm="1">
        <f t="array" ref="V510">_xlfn.IFS(O510="Blaze Shield II",'CALCULO MORTERO'!P511, O510="Cafco 400",'CALCULO MORTERO'!Q511,O510="Cafco 300",'CALCULO MORTERO'!S511, AND(OR(O510="Fire tex 5090", O510="Fire Tex 5062", O510="Fire Tex 5120", O510="Fire Control"),Q510&gt;0), "CERT.",TRUE,"-")</f>
        <v>-</v>
      </c>
    </row>
    <row r="511" spans="1:22" x14ac:dyDescent="0.25">
      <c r="A511" s="903"/>
      <c r="B511" s="907"/>
      <c r="C511" s="874"/>
      <c r="D511" s="874"/>
      <c r="E511" s="874"/>
      <c r="F511" s="874"/>
      <c r="G511" s="874"/>
      <c r="H511" s="874"/>
      <c r="I511" s="906"/>
      <c r="J511" s="162"/>
      <c r="K511" s="161"/>
      <c r="L511" s="161"/>
      <c r="M511" s="166"/>
      <c r="N511" s="163" t="str">
        <f t="shared" si="11"/>
        <v/>
      </c>
      <c r="O511" s="41"/>
      <c r="P511" s="41"/>
      <c r="Q511" s="161" t="str">
        <f>+IF(OR(O511="Fire Control",O511="Fire Tex 5062",O511="Fire Tex 5090",O511="Fire Tex 5120"),'CALCULO PINTURA'!P512," ")</f>
        <v xml:space="preserve"> </v>
      </c>
      <c r="R511" s="164" t="str">
        <f>+IF(OR(O511="Fire Control",O511="Fire Tex 5062",O511="Fire Tex 5090",O511="Fire Tex 5120"),'CALCULO PINTURA'!R512," ")</f>
        <v xml:space="preserve"> </v>
      </c>
      <c r="S511" s="164" t="str">
        <f>+IF(OR(O511="Fire Control",O511="Fire Tex 5062",O511="Fire Tex 5090",O511="Fire Tex 5120"),'CALCULO PINTURA'!S512," ")</f>
        <v xml:space="preserve"> </v>
      </c>
      <c r="T511" s="874" t="str">
        <f>+IF(OR(O511="Blaze Shield II",O511="Cafco 400",O511="Cafco 300"),'CALCULO MORTERO'!N517," ")</f>
        <v xml:space="preserve"> </v>
      </c>
      <c r="U511" s="875" t="str">
        <f>+IF(OR(O511="Blaze Shield II",O511="Cafco 400",O511="Cafco 300"),'CALCULO MORTERO'!O517," ")</f>
        <v xml:space="preserve"> </v>
      </c>
      <c r="V511" s="161" t="str" cm="1">
        <f t="array" ref="V511">_xlfn.IFS(O511="Blaze Shield II",'CALCULO MORTERO'!P512, O511="Cafco 400",'CALCULO MORTERO'!Q512,O511="Cafco 300",'CALCULO MORTERO'!S512, AND(OR(O511="Fire tex 5090", O511="Fire Tex 5062", O511="Fire Tex 5120", O511="Fire Control"),Q511&gt;0), "CERT.",TRUE,"-")</f>
        <v>-</v>
      </c>
    </row>
    <row r="512" spans="1:22" x14ac:dyDescent="0.25">
      <c r="A512" s="903"/>
      <c r="B512" s="907"/>
      <c r="C512" s="874"/>
      <c r="D512" s="874"/>
      <c r="E512" s="874"/>
      <c r="F512" s="874"/>
      <c r="G512" s="874"/>
      <c r="H512" s="874"/>
      <c r="I512" s="906"/>
      <c r="J512" s="162"/>
      <c r="K512" s="161"/>
      <c r="L512" s="161"/>
      <c r="M512" s="166"/>
      <c r="N512" s="163" t="str">
        <f t="shared" si="11"/>
        <v/>
      </c>
      <c r="O512" s="41"/>
      <c r="P512" s="41"/>
      <c r="Q512" s="161" t="str">
        <f>+IF(OR(O512="Fire Control",O512="Fire Tex 5062",O512="Fire Tex 5090",O512="Fire Tex 5120"),'CALCULO PINTURA'!P513," ")</f>
        <v xml:space="preserve"> </v>
      </c>
      <c r="R512" s="164" t="str">
        <f>+IF(OR(O512="Fire Control",O512="Fire Tex 5062",O512="Fire Tex 5090",O512="Fire Tex 5120"),'CALCULO PINTURA'!R513," ")</f>
        <v xml:space="preserve"> </v>
      </c>
      <c r="S512" s="164" t="str">
        <f>+IF(OR(O512="Fire Control",O512="Fire Tex 5062",O512="Fire Tex 5090",O512="Fire Tex 5120"),'CALCULO PINTURA'!S513," ")</f>
        <v xml:space="preserve"> </v>
      </c>
      <c r="T512" s="874" t="str">
        <f>+IF(OR(O512="Blaze Shield II",O512="Cafco 400",O512="Cafco 300"),'CALCULO MORTERO'!N518," ")</f>
        <v xml:space="preserve"> </v>
      </c>
      <c r="U512" s="875" t="str">
        <f>+IF(OR(O512="Blaze Shield II",O512="Cafco 400",O512="Cafco 300"),'CALCULO MORTERO'!O518," ")</f>
        <v xml:space="preserve"> </v>
      </c>
      <c r="V512" s="161" t="str" cm="1">
        <f t="array" ref="V512">_xlfn.IFS(O512="Blaze Shield II",'CALCULO MORTERO'!P513, O512="Cafco 400",'CALCULO MORTERO'!Q513,O512="Cafco 300",'CALCULO MORTERO'!S513, AND(OR(O512="Fire tex 5090", O512="Fire Tex 5062", O512="Fire Tex 5120", O512="Fire Control"),Q512&gt;0), "CERT.",TRUE,"-")</f>
        <v>-</v>
      </c>
    </row>
    <row r="513" spans="1:22" x14ac:dyDescent="0.25">
      <c r="A513" s="903"/>
      <c r="B513" s="907"/>
      <c r="C513" s="874"/>
      <c r="D513" s="874"/>
      <c r="E513" s="874"/>
      <c r="F513" s="874"/>
      <c r="G513" s="874"/>
      <c r="H513" s="874"/>
      <c r="I513" s="906"/>
      <c r="J513" s="162"/>
      <c r="K513" s="161"/>
      <c r="L513" s="161"/>
      <c r="M513" s="166"/>
      <c r="N513" s="163" t="str">
        <f t="shared" si="11"/>
        <v/>
      </c>
      <c r="O513" s="41"/>
      <c r="P513" s="41"/>
      <c r="Q513" s="161" t="str">
        <f>+IF(OR(O513="Fire Control",O513="Fire Tex 5062",O513="Fire Tex 5090",O513="Fire Tex 5120"),'CALCULO PINTURA'!P514," ")</f>
        <v xml:space="preserve"> </v>
      </c>
      <c r="R513" s="164" t="str">
        <f>+IF(OR(O513="Fire Control",O513="Fire Tex 5062",O513="Fire Tex 5090",O513="Fire Tex 5120"),'CALCULO PINTURA'!R514," ")</f>
        <v xml:space="preserve"> </v>
      </c>
      <c r="S513" s="164" t="str">
        <f>+IF(OR(O513="Fire Control",O513="Fire Tex 5062",O513="Fire Tex 5090",O513="Fire Tex 5120"),'CALCULO PINTURA'!S514," ")</f>
        <v xml:space="preserve"> </v>
      </c>
      <c r="T513" s="874" t="str">
        <f>+IF(OR(O513="Blaze Shield II",O513="Cafco 400",O513="Cafco 300"),'CALCULO MORTERO'!N519," ")</f>
        <v xml:space="preserve"> </v>
      </c>
      <c r="U513" s="875" t="str">
        <f>+IF(OR(O513="Blaze Shield II",O513="Cafco 400",O513="Cafco 300"),'CALCULO MORTERO'!O519," ")</f>
        <v xml:space="preserve"> </v>
      </c>
      <c r="V513" s="161" t="str" cm="1">
        <f t="array" ref="V513">_xlfn.IFS(O513="Blaze Shield II",'CALCULO MORTERO'!P514, O513="Cafco 400",'CALCULO MORTERO'!Q514,O513="Cafco 300",'CALCULO MORTERO'!S514, AND(OR(O513="Fire tex 5090", O513="Fire Tex 5062", O513="Fire Tex 5120", O513="Fire Control"),Q513&gt;0), "CERT.",TRUE,"-")</f>
        <v>-</v>
      </c>
    </row>
    <row r="514" spans="1:22" x14ac:dyDescent="0.25">
      <c r="A514" s="903"/>
      <c r="B514" s="907"/>
      <c r="C514" s="874"/>
      <c r="D514" s="874"/>
      <c r="E514" s="874"/>
      <c r="F514" s="874"/>
      <c r="G514" s="874"/>
      <c r="H514" s="874"/>
      <c r="I514" s="906"/>
      <c r="J514" s="162"/>
      <c r="K514" s="161"/>
      <c r="L514" s="161"/>
      <c r="M514" s="166"/>
      <c r="N514" s="163" t="str">
        <f t="shared" si="11"/>
        <v/>
      </c>
      <c r="O514" s="41"/>
      <c r="P514" s="41"/>
      <c r="Q514" s="161" t="str">
        <f>+IF(OR(O514="Fire Control",O514="Fire Tex 5062",O514="Fire Tex 5090",O514="Fire Tex 5120"),'CALCULO PINTURA'!P515," ")</f>
        <v xml:space="preserve"> </v>
      </c>
      <c r="R514" s="164" t="str">
        <f>+IF(OR(O514="Fire Control",O514="Fire Tex 5062",O514="Fire Tex 5090",O514="Fire Tex 5120"),'CALCULO PINTURA'!R515," ")</f>
        <v xml:space="preserve"> </v>
      </c>
      <c r="S514" s="164" t="str">
        <f>+IF(OR(O514="Fire Control",O514="Fire Tex 5062",O514="Fire Tex 5090",O514="Fire Tex 5120"),'CALCULO PINTURA'!S515," ")</f>
        <v xml:space="preserve"> </v>
      </c>
      <c r="T514" s="874" t="str">
        <f>+IF(OR(O514="Blaze Shield II",O514="Cafco 400",O514="Cafco 300"),'CALCULO MORTERO'!N520," ")</f>
        <v xml:space="preserve"> </v>
      </c>
      <c r="U514" s="875" t="str">
        <f>+IF(OR(O514="Blaze Shield II",O514="Cafco 400",O514="Cafco 300"),'CALCULO MORTERO'!O520," ")</f>
        <v xml:space="preserve"> </v>
      </c>
      <c r="V514" s="161" t="str" cm="1">
        <f t="array" ref="V514">_xlfn.IFS(O514="Blaze Shield II",'CALCULO MORTERO'!P515, O514="Cafco 400",'CALCULO MORTERO'!Q515,O514="Cafco 300",'CALCULO MORTERO'!S515, AND(OR(O514="Fire tex 5090", O514="Fire Tex 5062", O514="Fire Tex 5120", O514="Fire Control"),Q514&gt;0), "CERT.",TRUE,"-")</f>
        <v>-</v>
      </c>
    </row>
    <row r="515" spans="1:22" x14ac:dyDescent="0.25">
      <c r="A515" s="903"/>
      <c r="B515" s="907"/>
      <c r="C515" s="874"/>
      <c r="D515" s="874"/>
      <c r="E515" s="874"/>
      <c r="F515" s="874"/>
      <c r="G515" s="874"/>
      <c r="H515" s="874"/>
      <c r="I515" s="906"/>
      <c r="J515" s="162"/>
      <c r="K515" s="161"/>
      <c r="L515" s="161"/>
      <c r="M515" s="166"/>
      <c r="N515" s="163" t="str">
        <f t="shared" si="11"/>
        <v/>
      </c>
      <c r="O515" s="41"/>
      <c r="P515" s="41"/>
      <c r="Q515" s="161" t="str">
        <f>+IF(OR(O515="Fire Control",O515="Fire Tex 5062",O515="Fire Tex 5090",O515="Fire Tex 5120"),'CALCULO PINTURA'!P516," ")</f>
        <v xml:space="preserve"> </v>
      </c>
      <c r="R515" s="164" t="str">
        <f>+IF(OR(O515="Fire Control",O515="Fire Tex 5062",O515="Fire Tex 5090",O515="Fire Tex 5120"),'CALCULO PINTURA'!R516," ")</f>
        <v xml:space="preserve"> </v>
      </c>
      <c r="S515" s="164" t="str">
        <f>+IF(OR(O515="Fire Control",O515="Fire Tex 5062",O515="Fire Tex 5090",O515="Fire Tex 5120"),'CALCULO PINTURA'!S516," ")</f>
        <v xml:space="preserve"> </v>
      </c>
      <c r="T515" s="874" t="str">
        <f>+IF(OR(O515="Blaze Shield II",O515="Cafco 400",O515="Cafco 300"),'CALCULO MORTERO'!N521," ")</f>
        <v xml:space="preserve"> </v>
      </c>
      <c r="U515" s="875" t="str">
        <f>+IF(OR(O515="Blaze Shield II",O515="Cafco 400",O515="Cafco 300"),'CALCULO MORTERO'!O521," ")</f>
        <v xml:space="preserve"> </v>
      </c>
      <c r="V515" s="161" t="str" cm="1">
        <f t="array" ref="V515">_xlfn.IFS(O515="Blaze Shield II",'CALCULO MORTERO'!P516, O515="Cafco 400",'CALCULO MORTERO'!Q516,O515="Cafco 300",'CALCULO MORTERO'!S516, AND(OR(O515="Fire tex 5090", O515="Fire Tex 5062", O515="Fire Tex 5120", O515="Fire Control"),Q515&gt;0), "CERT.",TRUE,"-")</f>
        <v>-</v>
      </c>
    </row>
    <row r="516" spans="1:22" x14ac:dyDescent="0.25">
      <c r="A516" s="903"/>
      <c r="B516" s="907"/>
      <c r="C516" s="874"/>
      <c r="D516" s="874"/>
      <c r="E516" s="874"/>
      <c r="F516" s="874"/>
      <c r="G516" s="874"/>
      <c r="H516" s="874"/>
      <c r="I516" s="906"/>
      <c r="J516" s="162"/>
      <c r="K516" s="161"/>
      <c r="L516" s="161"/>
      <c r="M516" s="166"/>
      <c r="N516" s="163" t="str">
        <f t="shared" ref="N516:N579" si="12">+IF(F516="","",(K516*I516*H516*G516)/1000000)</f>
        <v/>
      </c>
      <c r="O516" s="41"/>
      <c r="P516" s="41"/>
      <c r="Q516" s="161" t="str">
        <f>+IF(OR(O516="Fire Control",O516="Fire Tex 5062",O516="Fire Tex 5090",O516="Fire Tex 5120"),'CALCULO PINTURA'!P517," ")</f>
        <v xml:space="preserve"> </v>
      </c>
      <c r="R516" s="164" t="str">
        <f>+IF(OR(O516="Fire Control",O516="Fire Tex 5062",O516="Fire Tex 5090",O516="Fire Tex 5120"),'CALCULO PINTURA'!R517," ")</f>
        <v xml:space="preserve"> </v>
      </c>
      <c r="S516" s="164" t="str">
        <f>+IF(OR(O516="Fire Control",O516="Fire Tex 5062",O516="Fire Tex 5090",O516="Fire Tex 5120"),'CALCULO PINTURA'!S517," ")</f>
        <v xml:space="preserve"> </v>
      </c>
      <c r="T516" s="874" t="str">
        <f>+IF(OR(O516="Blaze Shield II",O516="Cafco 400",O516="Cafco 300"),'CALCULO MORTERO'!N522," ")</f>
        <v xml:space="preserve"> </v>
      </c>
      <c r="U516" s="875" t="str">
        <f>+IF(OR(O516="Blaze Shield II",O516="Cafco 400",O516="Cafco 300"),'CALCULO MORTERO'!O522," ")</f>
        <v xml:space="preserve"> </v>
      </c>
      <c r="V516" s="161" t="str" cm="1">
        <f t="array" ref="V516">_xlfn.IFS(O516="Blaze Shield II",'CALCULO MORTERO'!P517, O516="Cafco 400",'CALCULO MORTERO'!Q517,O516="Cafco 300",'CALCULO MORTERO'!S517, AND(OR(O516="Fire tex 5090", O516="Fire Tex 5062", O516="Fire Tex 5120", O516="Fire Control"),Q516&gt;0), "CERT.",TRUE,"-")</f>
        <v>-</v>
      </c>
    </row>
    <row r="517" spans="1:22" x14ac:dyDescent="0.25">
      <c r="A517" s="903"/>
      <c r="B517" s="907"/>
      <c r="C517" s="874"/>
      <c r="D517" s="874"/>
      <c r="E517" s="874"/>
      <c r="F517" s="874"/>
      <c r="G517" s="874"/>
      <c r="H517" s="874"/>
      <c r="I517" s="906"/>
      <c r="J517" s="162"/>
      <c r="K517" s="161"/>
      <c r="L517" s="161"/>
      <c r="M517" s="166"/>
      <c r="N517" s="163" t="str">
        <f t="shared" si="12"/>
        <v/>
      </c>
      <c r="O517" s="41"/>
      <c r="P517" s="41"/>
      <c r="Q517" s="161" t="str">
        <f>+IF(OR(O517="Fire Control",O517="Fire Tex 5062",O517="Fire Tex 5090",O517="Fire Tex 5120"),'CALCULO PINTURA'!P518," ")</f>
        <v xml:space="preserve"> </v>
      </c>
      <c r="R517" s="164" t="str">
        <f>+IF(OR(O517="Fire Control",O517="Fire Tex 5062",O517="Fire Tex 5090",O517="Fire Tex 5120"),'CALCULO PINTURA'!R518," ")</f>
        <v xml:space="preserve"> </v>
      </c>
      <c r="S517" s="164" t="str">
        <f>+IF(OR(O517="Fire Control",O517="Fire Tex 5062",O517="Fire Tex 5090",O517="Fire Tex 5120"),'CALCULO PINTURA'!S518," ")</f>
        <v xml:space="preserve"> </v>
      </c>
      <c r="T517" s="874" t="str">
        <f>+IF(OR(O517="Blaze Shield II",O517="Cafco 400",O517="Cafco 300"),'CALCULO MORTERO'!N523," ")</f>
        <v xml:space="preserve"> </v>
      </c>
      <c r="U517" s="875" t="str">
        <f>+IF(OR(O517="Blaze Shield II",O517="Cafco 400",O517="Cafco 300"),'CALCULO MORTERO'!O523," ")</f>
        <v xml:space="preserve"> </v>
      </c>
      <c r="V517" s="161" t="str" cm="1">
        <f t="array" ref="V517">_xlfn.IFS(O517="Blaze Shield II",'CALCULO MORTERO'!P518, O517="Cafco 400",'CALCULO MORTERO'!Q518,O517="Cafco 300",'CALCULO MORTERO'!S518, AND(OR(O517="Fire tex 5090", O517="Fire Tex 5062", O517="Fire Tex 5120", O517="Fire Control"),Q517&gt;0), "CERT.",TRUE,"-")</f>
        <v>-</v>
      </c>
    </row>
    <row r="518" spans="1:22" x14ac:dyDescent="0.25">
      <c r="A518" s="903"/>
      <c r="B518" s="907"/>
      <c r="C518" s="874"/>
      <c r="D518" s="874"/>
      <c r="E518" s="874"/>
      <c r="F518" s="874"/>
      <c r="G518" s="874"/>
      <c r="H518" s="874"/>
      <c r="I518" s="906"/>
      <c r="J518" s="162"/>
      <c r="K518" s="161"/>
      <c r="L518" s="161"/>
      <c r="M518" s="166"/>
      <c r="N518" s="163" t="str">
        <f t="shared" si="12"/>
        <v/>
      </c>
      <c r="O518" s="41"/>
      <c r="P518" s="41"/>
      <c r="Q518" s="161" t="str">
        <f>+IF(OR(O518="Fire Control",O518="Fire Tex 5062",O518="Fire Tex 5090",O518="Fire Tex 5120"),'CALCULO PINTURA'!P519," ")</f>
        <v xml:space="preserve"> </v>
      </c>
      <c r="R518" s="164" t="str">
        <f>+IF(OR(O518="Fire Control",O518="Fire Tex 5062",O518="Fire Tex 5090",O518="Fire Tex 5120"),'CALCULO PINTURA'!R519," ")</f>
        <v xml:space="preserve"> </v>
      </c>
      <c r="S518" s="164" t="str">
        <f>+IF(OR(O518="Fire Control",O518="Fire Tex 5062",O518="Fire Tex 5090",O518="Fire Tex 5120"),'CALCULO PINTURA'!S519," ")</f>
        <v xml:space="preserve"> </v>
      </c>
      <c r="T518" s="874" t="str">
        <f>+IF(OR(O518="Blaze Shield II",O518="Cafco 400",O518="Cafco 300"),'CALCULO MORTERO'!N524," ")</f>
        <v xml:space="preserve"> </v>
      </c>
      <c r="U518" s="875" t="str">
        <f>+IF(OR(O518="Blaze Shield II",O518="Cafco 400",O518="Cafco 300"),'CALCULO MORTERO'!O524," ")</f>
        <v xml:space="preserve"> </v>
      </c>
      <c r="V518" s="161" t="str" cm="1">
        <f t="array" ref="V518">_xlfn.IFS(O518="Blaze Shield II",'CALCULO MORTERO'!P519, O518="Cafco 400",'CALCULO MORTERO'!Q519,O518="Cafco 300",'CALCULO MORTERO'!S519, AND(OR(O518="Fire tex 5090", O518="Fire Tex 5062", O518="Fire Tex 5120", O518="Fire Control"),Q518&gt;0), "CERT.",TRUE,"-")</f>
        <v>-</v>
      </c>
    </row>
    <row r="519" spans="1:22" x14ac:dyDescent="0.25">
      <c r="A519" s="903"/>
      <c r="B519" s="907"/>
      <c r="C519" s="874"/>
      <c r="D519" s="874"/>
      <c r="E519" s="874"/>
      <c r="F519" s="874"/>
      <c r="G519" s="874"/>
      <c r="H519" s="874"/>
      <c r="I519" s="906"/>
      <c r="J519" s="162"/>
      <c r="K519" s="161"/>
      <c r="L519" s="161"/>
      <c r="M519" s="166"/>
      <c r="N519" s="163" t="str">
        <f t="shared" si="12"/>
        <v/>
      </c>
      <c r="O519" s="41"/>
      <c r="P519" s="41"/>
      <c r="Q519" s="161" t="str">
        <f>+IF(OR(O519="Fire Control",O519="Fire Tex 5062",O519="Fire Tex 5090",O519="Fire Tex 5120"),'CALCULO PINTURA'!P520," ")</f>
        <v xml:space="preserve"> </v>
      </c>
      <c r="R519" s="164" t="str">
        <f>+IF(OR(O519="Fire Control",O519="Fire Tex 5062",O519="Fire Tex 5090",O519="Fire Tex 5120"),'CALCULO PINTURA'!R520," ")</f>
        <v xml:space="preserve"> </v>
      </c>
      <c r="S519" s="164" t="str">
        <f>+IF(OR(O519="Fire Control",O519="Fire Tex 5062",O519="Fire Tex 5090",O519="Fire Tex 5120"),'CALCULO PINTURA'!S520," ")</f>
        <v xml:space="preserve"> </v>
      </c>
      <c r="T519" s="874" t="str">
        <f>+IF(OR(O519="Blaze Shield II",O519="Cafco 400",O519="Cafco 300"),'CALCULO MORTERO'!N525," ")</f>
        <v xml:space="preserve"> </v>
      </c>
      <c r="U519" s="875" t="str">
        <f>+IF(OR(O519="Blaze Shield II",O519="Cafco 400",O519="Cafco 300"),'CALCULO MORTERO'!O525," ")</f>
        <v xml:space="preserve"> </v>
      </c>
      <c r="V519" s="161" t="str" cm="1">
        <f t="array" ref="V519">_xlfn.IFS(O519="Blaze Shield II",'CALCULO MORTERO'!P520, O519="Cafco 400",'CALCULO MORTERO'!Q520,O519="Cafco 300",'CALCULO MORTERO'!S520, AND(OR(O519="Fire tex 5090", O519="Fire Tex 5062", O519="Fire Tex 5120", O519="Fire Control"),Q519&gt;0), "CERT.",TRUE,"-")</f>
        <v>-</v>
      </c>
    </row>
    <row r="520" spans="1:22" x14ac:dyDescent="0.25">
      <c r="A520" s="903"/>
      <c r="B520" s="907"/>
      <c r="C520" s="874"/>
      <c r="D520" s="874"/>
      <c r="E520" s="874"/>
      <c r="F520" s="905"/>
      <c r="G520" s="874"/>
      <c r="H520" s="874"/>
      <c r="I520" s="906"/>
      <c r="J520" s="162"/>
      <c r="K520" s="161"/>
      <c r="L520" s="161"/>
      <c r="M520" s="169"/>
      <c r="N520" s="163" t="str">
        <f t="shared" si="12"/>
        <v/>
      </c>
      <c r="O520" s="41"/>
      <c r="P520" s="41"/>
      <c r="Q520" s="161" t="str">
        <f>+IF(OR(O520="Fire Control",O520="Fire Tex 5062",O520="Fire Tex 5090",O520="Fire Tex 5120"),'CALCULO PINTURA'!P521," ")</f>
        <v xml:space="preserve"> </v>
      </c>
      <c r="R520" s="164" t="str">
        <f>+IF(OR(O520="Fire Control",O520="Fire Tex 5062",O520="Fire Tex 5090",O520="Fire Tex 5120"),'CALCULO PINTURA'!R521," ")</f>
        <v xml:space="preserve"> </v>
      </c>
      <c r="S520" s="164" t="str">
        <f>+IF(OR(O520="Fire Control",O520="Fire Tex 5062",O520="Fire Tex 5090",O520="Fire Tex 5120"),'CALCULO PINTURA'!S521," ")</f>
        <v xml:space="preserve"> </v>
      </c>
      <c r="T520" s="874" t="str">
        <f>+IF(OR(O520="Blaze Shield II",O520="Cafco 400",O520="Cafco 300"),'CALCULO MORTERO'!N526," ")</f>
        <v xml:space="preserve"> </v>
      </c>
      <c r="U520" s="875" t="str">
        <f>+IF(OR(O520="Blaze Shield II",O520="Cafco 400",O520="Cafco 300"),'CALCULO MORTERO'!O526," ")</f>
        <v xml:space="preserve"> </v>
      </c>
      <c r="V520" s="161" t="str" cm="1">
        <f t="array" ref="V520">_xlfn.IFS(O520="Blaze Shield II",'CALCULO MORTERO'!P521, O520="Cafco 400",'CALCULO MORTERO'!Q521,O520="Cafco 300",'CALCULO MORTERO'!S521, AND(OR(O520="Fire tex 5090", O520="Fire Tex 5062", O520="Fire Tex 5120", O520="Fire Control"),Q520&gt;0), "CERT.",TRUE,"-")</f>
        <v>-</v>
      </c>
    </row>
    <row r="521" spans="1:22" x14ac:dyDescent="0.25">
      <c r="A521" s="903"/>
      <c r="B521" s="907"/>
      <c r="C521" s="874"/>
      <c r="D521" s="874"/>
      <c r="E521" s="874"/>
      <c r="F521" s="874"/>
      <c r="G521" s="874"/>
      <c r="H521" s="874"/>
      <c r="I521" s="906"/>
      <c r="J521" s="162"/>
      <c r="K521" s="161"/>
      <c r="L521" s="161"/>
      <c r="M521" s="163"/>
      <c r="N521" s="163" t="str">
        <f t="shared" si="12"/>
        <v/>
      </c>
      <c r="O521" s="41"/>
      <c r="P521" s="41"/>
      <c r="Q521" s="161" t="str">
        <f>+IF(OR(O521="Fire Control",O521="Fire Tex 5062",O521="Fire Tex 5090",O521="Fire Tex 5120"),'CALCULO PINTURA'!P522," ")</f>
        <v xml:space="preserve"> </v>
      </c>
      <c r="R521" s="164" t="str">
        <f>+IF(OR(O521="Fire Control",O521="Fire Tex 5062",O521="Fire Tex 5090",O521="Fire Tex 5120"),'CALCULO PINTURA'!R522," ")</f>
        <v xml:space="preserve"> </v>
      </c>
      <c r="S521" s="164" t="str">
        <f>+IF(OR(O521="Fire Control",O521="Fire Tex 5062",O521="Fire Tex 5090",O521="Fire Tex 5120"),'CALCULO PINTURA'!S522," ")</f>
        <v xml:space="preserve"> </v>
      </c>
      <c r="T521" s="874" t="str">
        <f>+IF(OR(O521="Blaze Shield II",O521="Cafco 400",O521="Cafco 300"),'CALCULO MORTERO'!N527," ")</f>
        <v xml:space="preserve"> </v>
      </c>
      <c r="U521" s="875" t="str">
        <f>+IF(OR(O521="Blaze Shield II",O521="Cafco 400",O521="Cafco 300"),'CALCULO MORTERO'!O527," ")</f>
        <v xml:space="preserve"> </v>
      </c>
      <c r="V521" s="161" t="str" cm="1">
        <f t="array" ref="V521">_xlfn.IFS(O521="Blaze Shield II",'CALCULO MORTERO'!P522, O521="Cafco 400",'CALCULO MORTERO'!Q522,O521="Cafco 300",'CALCULO MORTERO'!S522, AND(OR(O521="Fire tex 5090", O521="Fire Tex 5062", O521="Fire Tex 5120", O521="Fire Control"),Q521&gt;0), "CERT.",TRUE,"-")</f>
        <v>-</v>
      </c>
    </row>
    <row r="522" spans="1:22" x14ac:dyDescent="0.25">
      <c r="A522" s="903"/>
      <c r="B522" s="904"/>
      <c r="C522" s="874"/>
      <c r="D522" s="874"/>
      <c r="E522" s="905"/>
      <c r="F522" s="905"/>
      <c r="G522" s="874"/>
      <c r="H522" s="874"/>
      <c r="I522" s="906"/>
      <c r="J522" s="162"/>
      <c r="K522" s="161"/>
      <c r="L522" s="161"/>
      <c r="M522" s="169"/>
      <c r="N522" s="163" t="str">
        <f t="shared" si="12"/>
        <v/>
      </c>
      <c r="O522" s="41"/>
      <c r="P522" s="41"/>
      <c r="Q522" s="161" t="str">
        <f>+IF(OR(O522="Fire Control",O522="Fire Tex 5062",O522="Fire Tex 5090",O522="Fire Tex 5120"),'CALCULO PINTURA'!P159," ")</f>
        <v xml:space="preserve"> </v>
      </c>
      <c r="R522" s="164" t="str">
        <f>+IF(OR(O522="Fire Control",O522="Fire Tex 5062",O522="Fire Tex 5090",O522="Fire Tex 5120"),'CALCULO PINTURA'!R159," ")</f>
        <v xml:space="preserve"> </v>
      </c>
      <c r="S522" s="164" t="str">
        <f>+IF(OR(O522="Fire Control",O522="Fire Tex 5062",O522="Fire Tex 5090",O522="Fire Tex 5120"),'CALCULO PINTURA'!S159," ")</f>
        <v xml:space="preserve"> </v>
      </c>
      <c r="T522" s="874" t="str">
        <f>+IF(OR(O522="Blaze Shield II",O522="Cafco 400",O522="Cafco 300"),'CALCULO MORTERO'!N164," ")</f>
        <v xml:space="preserve"> </v>
      </c>
      <c r="U522" s="875" t="str">
        <f>+IF(OR(O522="Blaze Shield II",O522="Cafco 400",O522="Cafco 300"),'CALCULO MORTERO'!O164," ")</f>
        <v xml:space="preserve"> </v>
      </c>
      <c r="V522" s="161" t="str" cm="1">
        <f t="array" ref="V522">_xlfn.IFS(O522="Blaze Shield II",'CALCULO MORTERO'!P523, O522="Cafco 400",'CALCULO MORTERO'!Q523,O522="Cafco 300",'CALCULO MORTERO'!S523, AND(OR(O522="Fire tex 5090", O522="Fire Tex 5062", O522="Fire Tex 5120", O522="Fire Control"),Q522&gt;0), "CERT.",TRUE,"-")</f>
        <v>-</v>
      </c>
    </row>
    <row r="523" spans="1:22" x14ac:dyDescent="0.25">
      <c r="A523" s="903"/>
      <c r="B523" s="904"/>
      <c r="C523" s="874"/>
      <c r="D523" s="874"/>
      <c r="E523" s="905"/>
      <c r="F523" s="905"/>
      <c r="G523" s="874"/>
      <c r="H523" s="874"/>
      <c r="I523" s="906"/>
      <c r="J523" s="162"/>
      <c r="K523" s="161"/>
      <c r="L523" s="161"/>
      <c r="M523" s="169"/>
      <c r="N523" s="163" t="str">
        <f t="shared" si="12"/>
        <v/>
      </c>
      <c r="O523" s="41"/>
      <c r="P523" s="41"/>
      <c r="Q523" s="161" t="str">
        <f>+IF(OR(O523="Fire Control",O523="Fire Tex 5062",O523="Fire Tex 5090",O523="Fire Tex 5120"),'CALCULO PINTURA'!P162," ")</f>
        <v xml:space="preserve"> </v>
      </c>
      <c r="R523" s="164" t="str">
        <f>+IF(OR(O523="Fire Control",O523="Fire Tex 5062",O523="Fire Tex 5090",O523="Fire Tex 5120"),'CALCULO PINTURA'!R162," ")</f>
        <v xml:space="preserve"> </v>
      </c>
      <c r="S523" s="164" t="str">
        <f>+IF(OR(O523="Fire Control",O523="Fire Tex 5062",O523="Fire Tex 5090",O523="Fire Tex 5120"),'CALCULO PINTURA'!S162," ")</f>
        <v xml:space="preserve"> </v>
      </c>
      <c r="T523" s="874" t="str">
        <f>+IF(OR(O523="Blaze Shield II",O523="Cafco 400",O523="Cafco 300"),'CALCULO MORTERO'!N167," ")</f>
        <v xml:space="preserve"> </v>
      </c>
      <c r="U523" s="875" t="str">
        <f>+IF(OR(O523="Blaze Shield II",O523="Cafco 400",O523="Cafco 300"),'CALCULO MORTERO'!O167," ")</f>
        <v xml:space="preserve"> </v>
      </c>
      <c r="V523" s="161" t="str" cm="1">
        <f t="array" ref="V523">_xlfn.IFS(O523="Blaze Shield II",'CALCULO MORTERO'!P524, O523="Cafco 400",'CALCULO MORTERO'!Q524,O523="Cafco 300",'CALCULO MORTERO'!S524, AND(OR(O523="Fire tex 5090", O523="Fire Tex 5062", O523="Fire Tex 5120", O523="Fire Control"),Q523&gt;0), "CERT.",TRUE,"-")</f>
        <v>-</v>
      </c>
    </row>
    <row r="524" spans="1:22" x14ac:dyDescent="0.25">
      <c r="A524" s="903"/>
      <c r="B524" s="904"/>
      <c r="C524" s="874"/>
      <c r="D524" s="874"/>
      <c r="E524" s="905"/>
      <c r="F524" s="905"/>
      <c r="G524" s="874"/>
      <c r="H524" s="874"/>
      <c r="I524" s="906"/>
      <c r="J524" s="162"/>
      <c r="K524" s="161"/>
      <c r="L524" s="161"/>
      <c r="M524" s="169"/>
      <c r="N524" s="163" t="str">
        <f t="shared" si="12"/>
        <v/>
      </c>
      <c r="O524" s="41"/>
      <c r="P524" s="41"/>
      <c r="Q524" s="161" t="str">
        <f>+IF(OR(O524="Fire Control",O524="Fire Tex 5062",O524="Fire Tex 5090",O524="Fire Tex 5120"),'CALCULO PINTURA'!P165," ")</f>
        <v xml:space="preserve"> </v>
      </c>
      <c r="R524" s="164" t="str">
        <f>+IF(OR(O524="Fire Control",O524="Fire Tex 5062",O524="Fire Tex 5090",O524="Fire Tex 5120"),'CALCULO PINTURA'!R165," ")</f>
        <v xml:space="preserve"> </v>
      </c>
      <c r="S524" s="164" t="str">
        <f>+IF(OR(O524="Fire Control",O524="Fire Tex 5062",O524="Fire Tex 5090",O524="Fire Tex 5120"),'CALCULO PINTURA'!S165," ")</f>
        <v xml:space="preserve"> </v>
      </c>
      <c r="T524" s="874" t="str">
        <f>+IF(OR(O524="Blaze Shield II",O524="Cafco 400",O524="Cafco 300"),'CALCULO MORTERO'!N170," ")</f>
        <v xml:space="preserve"> </v>
      </c>
      <c r="U524" s="875" t="str">
        <f>+IF(OR(O524="Blaze Shield II",O524="Cafco 400",O524="Cafco 300"),'CALCULO MORTERO'!O170," ")</f>
        <v xml:space="preserve"> </v>
      </c>
      <c r="V524" s="161" t="str" cm="1">
        <f t="array" ref="V524">_xlfn.IFS(O524="Blaze Shield II",'CALCULO MORTERO'!P525, O524="Cafco 400",'CALCULO MORTERO'!Q525,O524="Cafco 300",'CALCULO MORTERO'!S525, AND(OR(O524="Fire tex 5090", O524="Fire Tex 5062", O524="Fire Tex 5120", O524="Fire Control"),Q524&gt;0), "CERT.",TRUE,"-")</f>
        <v>-</v>
      </c>
    </row>
    <row r="525" spans="1:22" x14ac:dyDescent="0.25">
      <c r="A525" s="903"/>
      <c r="B525" s="904"/>
      <c r="C525" s="874"/>
      <c r="D525" s="874"/>
      <c r="E525" s="905"/>
      <c r="F525" s="905"/>
      <c r="G525" s="874"/>
      <c r="H525" s="874"/>
      <c r="I525" s="906"/>
      <c r="J525" s="162"/>
      <c r="K525" s="161"/>
      <c r="L525" s="161"/>
      <c r="M525" s="169"/>
      <c r="N525" s="163" t="str">
        <f t="shared" si="12"/>
        <v/>
      </c>
      <c r="O525" s="41"/>
      <c r="P525" s="41"/>
      <c r="Q525" s="161" t="str">
        <f>+IF(OR(O525="Fire Control",O525="Fire Tex 5062",O525="Fire Tex 5090",O525="Fire Tex 5120"),'CALCULO PINTURA'!P179," ")</f>
        <v xml:space="preserve"> </v>
      </c>
      <c r="R525" s="164" t="str">
        <f>+IF(OR(O525="Fire Control",O525="Fire Tex 5062",O525="Fire Tex 5090",O525="Fire Tex 5120"),'CALCULO PINTURA'!R179," ")</f>
        <v xml:space="preserve"> </v>
      </c>
      <c r="S525" s="164" t="str">
        <f>+IF(OR(O525="Fire Control",O525="Fire Tex 5062",O525="Fire Tex 5090",O525="Fire Tex 5120"),'CALCULO PINTURA'!S179," ")</f>
        <v xml:space="preserve"> </v>
      </c>
      <c r="T525" s="874" t="str">
        <f>+IF(OR(O525="Blaze Shield II",O525="Cafco 400",O525="Cafco 300"),'CALCULO MORTERO'!N184," ")</f>
        <v xml:space="preserve"> </v>
      </c>
      <c r="U525" s="875" t="str">
        <f>+IF(OR(O525="Blaze Shield II",O525="Cafco 400",O525="Cafco 300"),'CALCULO MORTERO'!O184," ")</f>
        <v xml:space="preserve"> </v>
      </c>
      <c r="V525" s="161" t="str" cm="1">
        <f t="array" ref="V525">_xlfn.IFS(O525="Blaze Shield II",'CALCULO MORTERO'!P526, O525="Cafco 400",'CALCULO MORTERO'!Q526,O525="Cafco 300",'CALCULO MORTERO'!S526, AND(OR(O525="Fire tex 5090", O525="Fire Tex 5062", O525="Fire Tex 5120", O525="Fire Control"),Q525&gt;0), "CERT.",TRUE,"-")</f>
        <v>-</v>
      </c>
    </row>
    <row r="526" spans="1:22" x14ac:dyDescent="0.25">
      <c r="A526" s="903"/>
      <c r="B526" s="904"/>
      <c r="C526" s="874"/>
      <c r="D526" s="874"/>
      <c r="E526" s="905"/>
      <c r="F526" s="905"/>
      <c r="G526" s="874"/>
      <c r="H526" s="874"/>
      <c r="I526" s="906"/>
      <c r="J526" s="162"/>
      <c r="K526" s="161"/>
      <c r="L526" s="161"/>
      <c r="M526" s="169"/>
      <c r="N526" s="163" t="str">
        <f t="shared" si="12"/>
        <v/>
      </c>
      <c r="O526" s="41"/>
      <c r="P526" s="41"/>
      <c r="Q526" s="161" t="str">
        <f>+IF(OR(O526="Fire Control",O526="Fire Tex 5062",O526="Fire Tex 5090",O526="Fire Tex 5120"),'CALCULO PINTURA'!P180," ")</f>
        <v xml:space="preserve"> </v>
      </c>
      <c r="R526" s="164" t="str">
        <f>+IF(OR(O526="Fire Control",O526="Fire Tex 5062",O526="Fire Tex 5090",O526="Fire Tex 5120"),'CALCULO PINTURA'!R180," ")</f>
        <v xml:space="preserve"> </v>
      </c>
      <c r="S526" s="164" t="str">
        <f>+IF(OR(O526="Fire Control",O526="Fire Tex 5062",O526="Fire Tex 5090",O526="Fire Tex 5120"),'CALCULO PINTURA'!S180," ")</f>
        <v xml:space="preserve"> </v>
      </c>
      <c r="T526" s="874" t="str">
        <f>+IF(OR(O526="Blaze Shield II",O526="Cafco 400",O526="Cafco 300"),'CALCULO MORTERO'!N185," ")</f>
        <v xml:space="preserve"> </v>
      </c>
      <c r="U526" s="875" t="str">
        <f>+IF(OR(O526="Blaze Shield II",O526="Cafco 400",O526="Cafco 300"),'CALCULO MORTERO'!O185," ")</f>
        <v xml:space="preserve"> </v>
      </c>
      <c r="V526" s="161" t="str" cm="1">
        <f t="array" ref="V526">_xlfn.IFS(O526="Blaze Shield II",'CALCULO MORTERO'!P527, O526="Cafco 400",'CALCULO MORTERO'!Q527,O526="Cafco 300",'CALCULO MORTERO'!S527, AND(OR(O526="Fire tex 5090", O526="Fire Tex 5062", O526="Fire Tex 5120", O526="Fire Control"),Q526&gt;0), "CERT.",TRUE,"-")</f>
        <v>-</v>
      </c>
    </row>
    <row r="527" spans="1:22" x14ac:dyDescent="0.25">
      <c r="A527" s="903"/>
      <c r="B527" s="904"/>
      <c r="C527" s="874"/>
      <c r="D527" s="874"/>
      <c r="E527" s="905"/>
      <c r="F527" s="905"/>
      <c r="G527" s="874"/>
      <c r="H527" s="874"/>
      <c r="I527" s="906"/>
      <c r="J527" s="162"/>
      <c r="K527" s="161"/>
      <c r="L527" s="161"/>
      <c r="M527" s="169"/>
      <c r="N527" s="163" t="str">
        <f t="shared" si="12"/>
        <v/>
      </c>
      <c r="O527" s="41"/>
      <c r="P527" s="41"/>
      <c r="Q527" s="161" t="str">
        <f>+IF(OR(O527="Fire Control",O527="Fire Tex 5062",O527="Fire Tex 5090",O527="Fire Tex 5120"),'CALCULO PINTURA'!P181," ")</f>
        <v xml:space="preserve"> </v>
      </c>
      <c r="R527" s="164" t="str">
        <f>+IF(OR(O527="Fire Control",O527="Fire Tex 5062",O527="Fire Tex 5090",O527="Fire Tex 5120"),'CALCULO PINTURA'!R181," ")</f>
        <v xml:space="preserve"> </v>
      </c>
      <c r="S527" s="164" t="str">
        <f>+IF(OR(O527="Fire Control",O527="Fire Tex 5062",O527="Fire Tex 5090",O527="Fire Tex 5120"),'CALCULO PINTURA'!S181," ")</f>
        <v xml:space="preserve"> </v>
      </c>
      <c r="T527" s="874" t="str">
        <f>+IF(OR(O527="Blaze Shield II",O527="Cafco 400",O527="Cafco 300"),'CALCULO MORTERO'!N186," ")</f>
        <v xml:space="preserve"> </v>
      </c>
      <c r="U527" s="875" t="str">
        <f>+IF(OR(O527="Blaze Shield II",O527="Cafco 400",O527="Cafco 300"),'CALCULO MORTERO'!O186," ")</f>
        <v xml:space="preserve"> </v>
      </c>
      <c r="V527" s="161" t="str" cm="1">
        <f t="array" ref="V527">_xlfn.IFS(O527="Blaze Shield II",'CALCULO MORTERO'!P528, O527="Cafco 400",'CALCULO MORTERO'!Q528,O527="Cafco 300",'CALCULO MORTERO'!S528, AND(OR(O527="Fire tex 5090", O527="Fire Tex 5062", O527="Fire Tex 5120", O527="Fire Control"),Q527&gt;0), "CERT.",TRUE,"-")</f>
        <v>-</v>
      </c>
    </row>
    <row r="528" spans="1:22" x14ac:dyDescent="0.25">
      <c r="A528" s="903"/>
      <c r="B528" s="904"/>
      <c r="C528" s="874"/>
      <c r="D528" s="874"/>
      <c r="E528" s="905"/>
      <c r="F528" s="905"/>
      <c r="G528" s="874"/>
      <c r="H528" s="874"/>
      <c r="I528" s="906"/>
      <c r="J528" s="162"/>
      <c r="K528" s="161"/>
      <c r="L528" s="161"/>
      <c r="M528" s="169"/>
      <c r="N528" s="163" t="str">
        <f t="shared" si="12"/>
        <v/>
      </c>
      <c r="O528" s="41"/>
      <c r="P528" s="41"/>
      <c r="Q528" s="161" t="str">
        <f>+IF(OR(O528="Fire Control",O528="Fire Tex 5062",O528="Fire Tex 5090",O528="Fire Tex 5120"),'CALCULO PINTURA'!P182," ")</f>
        <v xml:space="preserve"> </v>
      </c>
      <c r="R528" s="164" t="str">
        <f>+IF(OR(O528="Fire Control",O528="Fire Tex 5062",O528="Fire Tex 5090",O528="Fire Tex 5120"),'CALCULO PINTURA'!R182," ")</f>
        <v xml:space="preserve"> </v>
      </c>
      <c r="S528" s="164" t="str">
        <f>+IF(OR(O528="Fire Control",O528="Fire Tex 5062",O528="Fire Tex 5090",O528="Fire Tex 5120"),'CALCULO PINTURA'!S182," ")</f>
        <v xml:space="preserve"> </v>
      </c>
      <c r="T528" s="874" t="str">
        <f>+IF(OR(O528="Blaze Shield II",O528="Cafco 400",O528="Cafco 300"),'CALCULO MORTERO'!N187," ")</f>
        <v xml:space="preserve"> </v>
      </c>
      <c r="U528" s="875" t="str">
        <f>+IF(OR(O528="Blaze Shield II",O528="Cafco 400",O528="Cafco 300"),'CALCULO MORTERO'!O187," ")</f>
        <v xml:space="preserve"> </v>
      </c>
      <c r="V528" s="161" t="str" cm="1">
        <f t="array" ref="V528">_xlfn.IFS(O528="Blaze Shield II",'CALCULO MORTERO'!P529, O528="Cafco 400",'CALCULO MORTERO'!Q529,O528="Cafco 300",'CALCULO MORTERO'!S529, AND(OR(O528="Fire tex 5090", O528="Fire Tex 5062", O528="Fire Tex 5120", O528="Fire Control"),Q528&gt;0), "CERT.",TRUE,"-")</f>
        <v>-</v>
      </c>
    </row>
    <row r="529" spans="1:22" x14ac:dyDescent="0.25">
      <c r="A529" s="903"/>
      <c r="B529" s="904"/>
      <c r="C529" s="874"/>
      <c r="D529" s="874"/>
      <c r="E529" s="905"/>
      <c r="F529" s="905"/>
      <c r="G529" s="874"/>
      <c r="H529" s="874"/>
      <c r="I529" s="906"/>
      <c r="J529" s="162"/>
      <c r="K529" s="161"/>
      <c r="L529" s="161"/>
      <c r="M529" s="169"/>
      <c r="N529" s="163" t="str">
        <f t="shared" si="12"/>
        <v/>
      </c>
      <c r="O529" s="41"/>
      <c r="P529" s="41"/>
      <c r="Q529" s="161" t="str">
        <f>+IF(OR(O529="Fire Control",O529="Fire Tex 5062",O529="Fire Tex 5090",O529="Fire Tex 5120"),'CALCULO PINTURA'!P188," ")</f>
        <v xml:space="preserve"> </v>
      </c>
      <c r="R529" s="164" t="str">
        <f>+IF(OR(O529="Fire Control",O529="Fire Tex 5062",O529="Fire Tex 5090",O529="Fire Tex 5120"),'CALCULO PINTURA'!R188," ")</f>
        <v xml:space="preserve"> </v>
      </c>
      <c r="S529" s="164" t="str">
        <f>+IF(OR(O529="Fire Control",O529="Fire Tex 5062",O529="Fire Tex 5090",O529="Fire Tex 5120"),'CALCULO PINTURA'!S188," ")</f>
        <v xml:space="preserve"> </v>
      </c>
      <c r="T529" s="874" t="str">
        <f>+IF(OR(O529="Blaze Shield II",O529="Cafco 400",O529="Cafco 300"),'CALCULO MORTERO'!N193," ")</f>
        <v xml:space="preserve"> </v>
      </c>
      <c r="U529" s="875" t="str">
        <f>+IF(OR(O529="Blaze Shield II",O529="Cafco 400",O529="Cafco 300"),'CALCULO MORTERO'!O193," ")</f>
        <v xml:space="preserve"> </v>
      </c>
      <c r="V529" s="161" t="str" cm="1">
        <f t="array" ref="V529">_xlfn.IFS(O529="Blaze Shield II",'CALCULO MORTERO'!P530, O529="Cafco 400",'CALCULO MORTERO'!Q530,O529="Cafco 300",'CALCULO MORTERO'!S530, AND(OR(O529="Fire tex 5090", O529="Fire Tex 5062", O529="Fire Tex 5120", O529="Fire Control"),Q529&gt;0), "CERT.",TRUE,"-")</f>
        <v>-</v>
      </c>
    </row>
    <row r="530" spans="1:22" x14ac:dyDescent="0.25">
      <c r="A530" s="903"/>
      <c r="B530" s="904"/>
      <c r="C530" s="874"/>
      <c r="D530" s="874"/>
      <c r="E530" s="905"/>
      <c r="F530" s="905"/>
      <c r="G530" s="874"/>
      <c r="H530" s="874"/>
      <c r="I530" s="906"/>
      <c r="J530" s="162"/>
      <c r="K530" s="161"/>
      <c r="L530" s="161"/>
      <c r="M530" s="169"/>
      <c r="N530" s="163" t="str">
        <f t="shared" si="12"/>
        <v/>
      </c>
      <c r="O530" s="41"/>
      <c r="P530" s="41"/>
      <c r="Q530" s="161" t="str">
        <f>+IF(OR(O530="Fire Control",O530="Fire Tex 5062",O530="Fire Tex 5090",O530="Fire Tex 5120"),'CALCULO PINTURA'!P189," ")</f>
        <v xml:space="preserve"> </v>
      </c>
      <c r="R530" s="164" t="str">
        <f>+IF(OR(O530="Fire Control",O530="Fire Tex 5062",O530="Fire Tex 5090",O530="Fire Tex 5120"),'CALCULO PINTURA'!R189," ")</f>
        <v xml:space="preserve"> </v>
      </c>
      <c r="S530" s="164" t="str">
        <f>+IF(OR(O530="Fire Control",O530="Fire Tex 5062",O530="Fire Tex 5090",O530="Fire Tex 5120"),'CALCULO PINTURA'!S189," ")</f>
        <v xml:space="preserve"> </v>
      </c>
      <c r="T530" s="874" t="str">
        <f>+IF(OR(O530="Blaze Shield II",O530="Cafco 400",O530="Cafco 300"),'CALCULO MORTERO'!N194," ")</f>
        <v xml:space="preserve"> </v>
      </c>
      <c r="U530" s="875" t="str">
        <f>+IF(OR(O530="Blaze Shield II",O530="Cafco 400",O530="Cafco 300"),'CALCULO MORTERO'!O194," ")</f>
        <v xml:space="preserve"> </v>
      </c>
      <c r="V530" s="161" t="str" cm="1">
        <f t="array" ref="V530">_xlfn.IFS(O530="Blaze Shield II",'CALCULO MORTERO'!P531, O530="Cafco 400",'CALCULO MORTERO'!Q531,O530="Cafco 300",'CALCULO MORTERO'!S531, AND(OR(O530="Fire tex 5090", O530="Fire Tex 5062", O530="Fire Tex 5120", O530="Fire Control"),Q530&gt;0), "CERT.",TRUE,"-")</f>
        <v>-</v>
      </c>
    </row>
    <row r="531" spans="1:22" x14ac:dyDescent="0.25">
      <c r="A531" s="903"/>
      <c r="B531" s="904"/>
      <c r="C531" s="874"/>
      <c r="D531" s="874"/>
      <c r="E531" s="905"/>
      <c r="F531" s="905"/>
      <c r="G531" s="874"/>
      <c r="H531" s="874"/>
      <c r="I531" s="906"/>
      <c r="J531" s="162"/>
      <c r="K531" s="161"/>
      <c r="L531" s="161"/>
      <c r="M531" s="169"/>
      <c r="N531" s="163" t="str">
        <f t="shared" si="12"/>
        <v/>
      </c>
      <c r="O531" s="41"/>
      <c r="P531" s="41"/>
      <c r="Q531" s="161" t="str">
        <f>+IF(OR(O531="Fire Control",O531="Fire Tex 5062",O531="Fire Tex 5090",O531="Fire Tex 5120"),'CALCULO PINTURA'!P190," ")</f>
        <v xml:space="preserve"> </v>
      </c>
      <c r="R531" s="164" t="str">
        <f>+IF(OR(O531="Fire Control",O531="Fire Tex 5062",O531="Fire Tex 5090",O531="Fire Tex 5120"),'CALCULO PINTURA'!R190," ")</f>
        <v xml:space="preserve"> </v>
      </c>
      <c r="S531" s="164" t="str">
        <f>+IF(OR(O531="Fire Control",O531="Fire Tex 5062",O531="Fire Tex 5090",O531="Fire Tex 5120"),'CALCULO PINTURA'!S190," ")</f>
        <v xml:space="preserve"> </v>
      </c>
      <c r="T531" s="874" t="str">
        <f>+IF(OR(O531="Blaze Shield II",O531="Cafco 400",O531="Cafco 300"),'CALCULO MORTERO'!N195," ")</f>
        <v xml:space="preserve"> </v>
      </c>
      <c r="U531" s="875" t="str">
        <f>+IF(OR(O531="Blaze Shield II",O531="Cafco 400",O531="Cafco 300"),'CALCULO MORTERO'!O195," ")</f>
        <v xml:space="preserve"> </v>
      </c>
      <c r="V531" s="161" t="str" cm="1">
        <f t="array" ref="V531">_xlfn.IFS(O531="Blaze Shield II",'CALCULO MORTERO'!P532, O531="Cafco 400",'CALCULO MORTERO'!Q532,O531="Cafco 300",'CALCULO MORTERO'!S532, AND(OR(O531="Fire tex 5090", O531="Fire Tex 5062", O531="Fire Tex 5120", O531="Fire Control"),Q531&gt;0), "CERT.",TRUE,"-")</f>
        <v>-</v>
      </c>
    </row>
    <row r="532" spans="1:22" x14ac:dyDescent="0.25">
      <c r="A532" s="903"/>
      <c r="B532" s="904"/>
      <c r="C532" s="874"/>
      <c r="D532" s="874"/>
      <c r="E532" s="905"/>
      <c r="F532" s="905"/>
      <c r="G532" s="874"/>
      <c r="H532" s="874"/>
      <c r="I532" s="906"/>
      <c r="J532" s="162"/>
      <c r="K532" s="161"/>
      <c r="L532" s="161"/>
      <c r="M532" s="169"/>
      <c r="N532" s="163" t="str">
        <f t="shared" si="12"/>
        <v/>
      </c>
      <c r="O532" s="41"/>
      <c r="P532" s="41"/>
      <c r="Q532" s="161" t="str">
        <f>+IF(OR(O532="Fire Control",O532="Fire Tex 5062",O532="Fire Tex 5090",O532="Fire Tex 5120"),'CALCULO PINTURA'!P191," ")</f>
        <v xml:space="preserve"> </v>
      </c>
      <c r="R532" s="164" t="str">
        <f>+IF(OR(O532="Fire Control",O532="Fire Tex 5062",O532="Fire Tex 5090",O532="Fire Tex 5120"),'CALCULO PINTURA'!R191," ")</f>
        <v xml:space="preserve"> </v>
      </c>
      <c r="S532" s="164" t="str">
        <f>+IF(OR(O532="Fire Control",O532="Fire Tex 5062",O532="Fire Tex 5090",O532="Fire Tex 5120"),'CALCULO PINTURA'!S191," ")</f>
        <v xml:space="preserve"> </v>
      </c>
      <c r="T532" s="874" t="str">
        <f>+IF(OR(O532="Blaze Shield II",O532="Cafco 400",O532="Cafco 300"),'CALCULO MORTERO'!N196," ")</f>
        <v xml:space="preserve"> </v>
      </c>
      <c r="U532" s="875" t="str">
        <f>+IF(OR(O532="Blaze Shield II",O532="Cafco 400",O532="Cafco 300"),'CALCULO MORTERO'!O196," ")</f>
        <v xml:space="preserve"> </v>
      </c>
      <c r="V532" s="161" t="str" cm="1">
        <f t="array" ref="V532">_xlfn.IFS(O532="Blaze Shield II",'CALCULO MORTERO'!P533, O532="Cafco 400",'CALCULO MORTERO'!Q533,O532="Cafco 300",'CALCULO MORTERO'!S533, AND(OR(O532="Fire tex 5090", O532="Fire Tex 5062", O532="Fire Tex 5120", O532="Fire Control"),Q532&gt;0), "CERT.",TRUE,"-")</f>
        <v>-</v>
      </c>
    </row>
    <row r="533" spans="1:22" x14ac:dyDescent="0.25">
      <c r="A533" s="903"/>
      <c r="B533" s="904"/>
      <c r="C533" s="874"/>
      <c r="D533" s="874"/>
      <c r="E533" s="905"/>
      <c r="F533" s="905"/>
      <c r="G533" s="874"/>
      <c r="H533" s="874"/>
      <c r="I533" s="906"/>
      <c r="J533" s="162"/>
      <c r="K533" s="161"/>
      <c r="L533" s="161"/>
      <c r="M533" s="169"/>
      <c r="N533" s="163" t="str">
        <f t="shared" si="12"/>
        <v/>
      </c>
      <c r="O533" s="41"/>
      <c r="P533" s="41"/>
      <c r="Q533" s="161" t="str">
        <f>+IF(OR(O533="Fire Control",O533="Fire Tex 5062",O533="Fire Tex 5090",O533="Fire Tex 5120"),'CALCULO PINTURA'!P216," ")</f>
        <v xml:space="preserve"> </v>
      </c>
      <c r="R533" s="164" t="str">
        <f>+IF(OR(O533="Fire Control",O533="Fire Tex 5062",O533="Fire Tex 5090",O533="Fire Tex 5120"),'CALCULO PINTURA'!R216," ")</f>
        <v xml:space="preserve"> </v>
      </c>
      <c r="S533" s="164" t="str">
        <f>+IF(OR(O533="Fire Control",O533="Fire Tex 5062",O533="Fire Tex 5090",O533="Fire Tex 5120"),'CALCULO PINTURA'!S216," ")</f>
        <v xml:space="preserve"> </v>
      </c>
      <c r="T533" s="874" t="str">
        <f>+IF(OR(O533="Blaze Shield II",O533="Cafco 400",O533="Cafco 300"),'CALCULO MORTERO'!N221," ")</f>
        <v xml:space="preserve"> </v>
      </c>
      <c r="U533" s="875" t="str">
        <f>+IF(OR(O533="Blaze Shield II",O533="Cafco 400",O533="Cafco 300"),'CALCULO MORTERO'!O221," ")</f>
        <v xml:space="preserve"> </v>
      </c>
      <c r="V533" s="161" t="str" cm="1">
        <f t="array" ref="V533">_xlfn.IFS(O533="Blaze Shield II",'CALCULO MORTERO'!P534, O533="Cafco 400",'CALCULO MORTERO'!Q534,O533="Cafco 300",'CALCULO MORTERO'!S534, AND(OR(O533="Fire tex 5090", O533="Fire Tex 5062", O533="Fire Tex 5120", O533="Fire Control"),Q533&gt;0), "CERT.",TRUE,"-")</f>
        <v>-</v>
      </c>
    </row>
    <row r="534" spans="1:22" x14ac:dyDescent="0.25">
      <c r="A534" s="903"/>
      <c r="B534" s="904"/>
      <c r="C534" s="874"/>
      <c r="D534" s="874"/>
      <c r="E534" s="905"/>
      <c r="F534" s="905"/>
      <c r="G534" s="874"/>
      <c r="H534" s="874"/>
      <c r="I534" s="906"/>
      <c r="J534" s="162"/>
      <c r="K534" s="161"/>
      <c r="L534" s="161"/>
      <c r="M534" s="169"/>
      <c r="N534" s="163" t="str">
        <f t="shared" si="12"/>
        <v/>
      </c>
      <c r="O534" s="41"/>
      <c r="P534" s="41"/>
      <c r="Q534" s="161" t="str">
        <f>+IF(OR(O534="Fire Control",O534="Fire Tex 5062",O534="Fire Tex 5090",O534="Fire Tex 5120"),'CALCULO PINTURA'!P217," ")</f>
        <v xml:space="preserve"> </v>
      </c>
      <c r="R534" s="164" t="str">
        <f>+IF(OR(O534="Fire Control",O534="Fire Tex 5062",O534="Fire Tex 5090",O534="Fire Tex 5120"),'CALCULO PINTURA'!R217," ")</f>
        <v xml:space="preserve"> </v>
      </c>
      <c r="S534" s="164" t="str">
        <f>+IF(OR(O534="Fire Control",O534="Fire Tex 5062",O534="Fire Tex 5090",O534="Fire Tex 5120"),'CALCULO PINTURA'!S217," ")</f>
        <v xml:space="preserve"> </v>
      </c>
      <c r="T534" s="874" t="str">
        <f>+IF(OR(O534="Blaze Shield II",O534="Cafco 400",O534="Cafco 300"),'CALCULO MORTERO'!N222," ")</f>
        <v xml:space="preserve"> </v>
      </c>
      <c r="U534" s="875" t="str">
        <f>+IF(OR(O534="Blaze Shield II",O534="Cafco 400",O534="Cafco 300"),'CALCULO MORTERO'!O222," ")</f>
        <v xml:space="preserve"> </v>
      </c>
      <c r="V534" s="161" t="str" cm="1">
        <f t="array" ref="V534">_xlfn.IFS(O534="Blaze Shield II",'CALCULO MORTERO'!P535, O534="Cafco 400",'CALCULO MORTERO'!Q535,O534="Cafco 300",'CALCULO MORTERO'!S535, AND(OR(O534="Fire tex 5090", O534="Fire Tex 5062", O534="Fire Tex 5120", O534="Fire Control"),Q534&gt;0), "CERT.",TRUE,"-")</f>
        <v>-</v>
      </c>
    </row>
    <row r="535" spans="1:22" x14ac:dyDescent="0.25">
      <c r="A535" s="903"/>
      <c r="B535" s="904"/>
      <c r="C535" s="874"/>
      <c r="D535" s="874"/>
      <c r="E535" s="905"/>
      <c r="F535" s="905"/>
      <c r="G535" s="874"/>
      <c r="H535" s="874"/>
      <c r="I535" s="906"/>
      <c r="J535" s="162"/>
      <c r="K535" s="161"/>
      <c r="L535" s="161"/>
      <c r="M535" s="169"/>
      <c r="N535" s="163" t="str">
        <f t="shared" si="12"/>
        <v/>
      </c>
      <c r="O535" s="41"/>
      <c r="P535" s="41"/>
      <c r="Q535" s="161" t="str">
        <f>+IF(OR(O535="Fire Control",O535="Fire Tex 5062",O535="Fire Tex 5090",O535="Fire Tex 5120"),'CALCULO PINTURA'!P218," ")</f>
        <v xml:space="preserve"> </v>
      </c>
      <c r="R535" s="164" t="str">
        <f>+IF(OR(O535="Fire Control",O535="Fire Tex 5062",O535="Fire Tex 5090",O535="Fire Tex 5120"),'CALCULO PINTURA'!R218," ")</f>
        <v xml:space="preserve"> </v>
      </c>
      <c r="S535" s="164" t="str">
        <f>+IF(OR(O535="Fire Control",O535="Fire Tex 5062",O535="Fire Tex 5090",O535="Fire Tex 5120"),'CALCULO PINTURA'!S218," ")</f>
        <v xml:space="preserve"> </v>
      </c>
      <c r="T535" s="874" t="str">
        <f>+IF(OR(O535="Blaze Shield II",O535="Cafco 400",O535="Cafco 300"),'CALCULO MORTERO'!N223," ")</f>
        <v xml:space="preserve"> </v>
      </c>
      <c r="U535" s="875" t="str">
        <f>+IF(OR(O535="Blaze Shield II",O535="Cafco 400",O535="Cafco 300"),'CALCULO MORTERO'!O223," ")</f>
        <v xml:space="preserve"> </v>
      </c>
      <c r="V535" s="161" t="str" cm="1">
        <f t="array" ref="V535">_xlfn.IFS(O535="Blaze Shield II",'CALCULO MORTERO'!P536, O535="Cafco 400",'CALCULO MORTERO'!Q536,O535="Cafco 300",'CALCULO MORTERO'!S536, AND(OR(O535="Fire tex 5090", O535="Fire Tex 5062", O535="Fire Tex 5120", O535="Fire Control"),Q535&gt;0), "CERT.",TRUE,"-")</f>
        <v>-</v>
      </c>
    </row>
    <row r="536" spans="1:22" x14ac:dyDescent="0.25">
      <c r="A536" s="903"/>
      <c r="B536" s="904"/>
      <c r="C536" s="874"/>
      <c r="D536" s="874"/>
      <c r="E536" s="905"/>
      <c r="F536" s="905"/>
      <c r="G536" s="874"/>
      <c r="H536" s="874"/>
      <c r="I536" s="906"/>
      <c r="J536" s="162"/>
      <c r="K536" s="161"/>
      <c r="L536" s="161"/>
      <c r="M536" s="169"/>
      <c r="N536" s="163" t="str">
        <f t="shared" si="12"/>
        <v/>
      </c>
      <c r="O536" s="41"/>
      <c r="P536" s="41"/>
      <c r="Q536" s="161" t="str">
        <f>+IF(OR(O536="Fire Control",O536="Fire Tex 5062",O536="Fire Tex 5090",O536="Fire Tex 5120"),'CALCULO PINTURA'!P219," ")</f>
        <v xml:space="preserve"> </v>
      </c>
      <c r="R536" s="164" t="str">
        <f>+IF(OR(O536="Fire Control",O536="Fire Tex 5062",O536="Fire Tex 5090",O536="Fire Tex 5120"),'CALCULO PINTURA'!R219," ")</f>
        <v xml:space="preserve"> </v>
      </c>
      <c r="S536" s="164" t="str">
        <f>+IF(OR(O536="Fire Control",O536="Fire Tex 5062",O536="Fire Tex 5090",O536="Fire Tex 5120"),'CALCULO PINTURA'!S219," ")</f>
        <v xml:space="preserve"> </v>
      </c>
      <c r="T536" s="874" t="str">
        <f>+IF(OR(O536="Blaze Shield II",O536="Cafco 400",O536="Cafco 300"),'CALCULO MORTERO'!N224," ")</f>
        <v xml:space="preserve"> </v>
      </c>
      <c r="U536" s="875" t="str">
        <f>+IF(OR(O536="Blaze Shield II",O536="Cafco 400",O536="Cafco 300"),'CALCULO MORTERO'!O224," ")</f>
        <v xml:space="preserve"> </v>
      </c>
      <c r="V536" s="161" t="str" cm="1">
        <f t="array" ref="V536">_xlfn.IFS(O536="Blaze Shield II",'CALCULO MORTERO'!P537, O536="Cafco 400",'CALCULO MORTERO'!Q537,O536="Cafco 300",'CALCULO MORTERO'!S537, AND(OR(O536="Fire tex 5090", O536="Fire Tex 5062", O536="Fire Tex 5120", O536="Fire Control"),Q536&gt;0), "CERT.",TRUE,"-")</f>
        <v>-</v>
      </c>
    </row>
    <row r="537" spans="1:22" x14ac:dyDescent="0.25">
      <c r="A537" s="903"/>
      <c r="B537" s="904"/>
      <c r="C537" s="874"/>
      <c r="D537" s="874"/>
      <c r="E537" s="905"/>
      <c r="F537" s="905"/>
      <c r="G537" s="874"/>
      <c r="H537" s="874"/>
      <c r="I537" s="906"/>
      <c r="J537" s="162"/>
      <c r="K537" s="161"/>
      <c r="L537" s="161"/>
      <c r="M537" s="169"/>
      <c r="N537" s="163" t="str">
        <f t="shared" si="12"/>
        <v/>
      </c>
      <c r="O537" s="41"/>
      <c r="P537" s="41"/>
      <c r="Q537" s="161" t="str">
        <f>+IF(OR(O537="Fire Control",O537="Fire Tex 5062",O537="Fire Tex 5090",O537="Fire Tex 5120"),'CALCULO PINTURA'!P220," ")</f>
        <v xml:space="preserve"> </v>
      </c>
      <c r="R537" s="164" t="str">
        <f>+IF(OR(O537="Fire Control",O537="Fire Tex 5062",O537="Fire Tex 5090",O537="Fire Tex 5120"),'CALCULO PINTURA'!R220," ")</f>
        <v xml:space="preserve"> </v>
      </c>
      <c r="S537" s="164" t="str">
        <f>+IF(OR(O537="Fire Control",O537="Fire Tex 5062",O537="Fire Tex 5090",O537="Fire Tex 5120"),'CALCULO PINTURA'!S220," ")</f>
        <v xml:space="preserve"> </v>
      </c>
      <c r="T537" s="874" t="str">
        <f>+IF(OR(O537="Blaze Shield II",O537="Cafco 400",O537="Cafco 300"),'CALCULO MORTERO'!N225," ")</f>
        <v xml:space="preserve"> </v>
      </c>
      <c r="U537" s="875" t="str">
        <f>+IF(OR(O537="Blaze Shield II",O537="Cafco 400",O537="Cafco 300"),'CALCULO MORTERO'!O225," ")</f>
        <v xml:space="preserve"> </v>
      </c>
      <c r="V537" s="161" t="str" cm="1">
        <f t="array" ref="V537">_xlfn.IFS(O537="Blaze Shield II",'CALCULO MORTERO'!P538, O537="Cafco 400",'CALCULO MORTERO'!Q538,O537="Cafco 300",'CALCULO MORTERO'!S538, AND(OR(O537="Fire tex 5090", O537="Fire Tex 5062", O537="Fire Tex 5120", O537="Fire Control"),Q537&gt;0), "CERT.",TRUE,"-")</f>
        <v>-</v>
      </c>
    </row>
    <row r="538" spans="1:22" x14ac:dyDescent="0.25">
      <c r="A538" s="903"/>
      <c r="B538" s="904"/>
      <c r="C538" s="874"/>
      <c r="D538" s="874"/>
      <c r="E538" s="905"/>
      <c r="F538" s="905"/>
      <c r="G538" s="874"/>
      <c r="H538" s="874"/>
      <c r="I538" s="906"/>
      <c r="J538" s="162"/>
      <c r="K538" s="161"/>
      <c r="L538" s="161"/>
      <c r="M538" s="169"/>
      <c r="N538" s="163" t="str">
        <f t="shared" si="12"/>
        <v/>
      </c>
      <c r="O538" s="41"/>
      <c r="P538" s="41"/>
      <c r="Q538" s="161" t="str">
        <f>+IF(OR(O538="Fire Control",O538="Fire Tex 5062",O538="Fire Tex 5090",O538="Fire Tex 5120"),'CALCULO PINTURA'!P221," ")</f>
        <v xml:space="preserve"> </v>
      </c>
      <c r="R538" s="164" t="str">
        <f>+IF(OR(O538="Fire Control",O538="Fire Tex 5062",O538="Fire Tex 5090",O538="Fire Tex 5120"),'CALCULO PINTURA'!R221," ")</f>
        <v xml:space="preserve"> </v>
      </c>
      <c r="S538" s="164" t="str">
        <f>+IF(OR(O538="Fire Control",O538="Fire Tex 5062",O538="Fire Tex 5090",O538="Fire Tex 5120"),'CALCULO PINTURA'!S221," ")</f>
        <v xml:space="preserve"> </v>
      </c>
      <c r="T538" s="874" t="str">
        <f>+IF(OR(O538="Blaze Shield II",O538="Cafco 400",O538="Cafco 300"),'CALCULO MORTERO'!N226," ")</f>
        <v xml:space="preserve"> </v>
      </c>
      <c r="U538" s="875" t="str">
        <f>+IF(OR(O538="Blaze Shield II",O538="Cafco 400",O538="Cafco 300"),'CALCULO MORTERO'!O226," ")</f>
        <v xml:space="preserve"> </v>
      </c>
      <c r="V538" s="161" t="str" cm="1">
        <f t="array" ref="V538">_xlfn.IFS(O538="Blaze Shield II",'CALCULO MORTERO'!P539, O538="Cafco 400",'CALCULO MORTERO'!Q539,O538="Cafco 300",'CALCULO MORTERO'!S539, AND(OR(O538="Fire tex 5090", O538="Fire Tex 5062", O538="Fire Tex 5120", O538="Fire Control"),Q538&gt;0), "CERT.",TRUE,"-")</f>
        <v>-</v>
      </c>
    </row>
    <row r="539" spans="1:22" x14ac:dyDescent="0.25">
      <c r="A539" s="903"/>
      <c r="B539" s="904"/>
      <c r="C539" s="874"/>
      <c r="D539" s="874"/>
      <c r="E539" s="905"/>
      <c r="F539" s="905"/>
      <c r="G539" s="874"/>
      <c r="H539" s="874"/>
      <c r="I539" s="906"/>
      <c r="J539" s="162"/>
      <c r="K539" s="161"/>
      <c r="L539" s="161"/>
      <c r="M539" s="169"/>
      <c r="N539" s="163" t="str">
        <f t="shared" si="12"/>
        <v/>
      </c>
      <c r="O539" s="41"/>
      <c r="P539" s="41"/>
      <c r="Q539" s="161" t="str">
        <f>+IF(OR(O539="Fire Control",O539="Fire Tex 5062",O539="Fire Tex 5090",O539="Fire Tex 5120"),'CALCULO PINTURA'!P222," ")</f>
        <v xml:space="preserve"> </v>
      </c>
      <c r="R539" s="164" t="str">
        <f>+IF(OR(O539="Fire Control",O539="Fire Tex 5062",O539="Fire Tex 5090",O539="Fire Tex 5120"),'CALCULO PINTURA'!R222," ")</f>
        <v xml:space="preserve"> </v>
      </c>
      <c r="S539" s="164" t="str">
        <f>+IF(OR(O539="Fire Control",O539="Fire Tex 5062",O539="Fire Tex 5090",O539="Fire Tex 5120"),'CALCULO PINTURA'!S222," ")</f>
        <v xml:space="preserve"> </v>
      </c>
      <c r="T539" s="874" t="str">
        <f>+IF(OR(O539="Blaze Shield II",O539="Cafco 400",O539="Cafco 300"),'CALCULO MORTERO'!N227," ")</f>
        <v xml:space="preserve"> </v>
      </c>
      <c r="U539" s="875" t="str">
        <f>+IF(OR(O539="Blaze Shield II",O539="Cafco 400",O539="Cafco 300"),'CALCULO MORTERO'!O227," ")</f>
        <v xml:space="preserve"> </v>
      </c>
      <c r="V539" s="161" t="str" cm="1">
        <f t="array" ref="V539">_xlfn.IFS(O539="Blaze Shield II",'CALCULO MORTERO'!P540, O539="Cafco 400",'CALCULO MORTERO'!Q540,O539="Cafco 300",'CALCULO MORTERO'!S540, AND(OR(O539="Fire tex 5090", O539="Fire Tex 5062", O539="Fire Tex 5120", O539="Fire Control"),Q539&gt;0), "CERT.",TRUE,"-")</f>
        <v>-</v>
      </c>
    </row>
    <row r="540" spans="1:22" x14ac:dyDescent="0.25">
      <c r="A540" s="903"/>
      <c r="B540" s="904"/>
      <c r="C540" s="874"/>
      <c r="D540" s="874"/>
      <c r="E540" s="905"/>
      <c r="F540" s="905"/>
      <c r="G540" s="874"/>
      <c r="H540" s="874"/>
      <c r="I540" s="906"/>
      <c r="J540" s="162"/>
      <c r="K540" s="161"/>
      <c r="L540" s="161"/>
      <c r="M540" s="169"/>
      <c r="N540" s="163" t="str">
        <f t="shared" si="12"/>
        <v/>
      </c>
      <c r="O540" s="41"/>
      <c r="P540" s="41"/>
      <c r="Q540" s="161" t="str">
        <f>+IF(OR(O540="Fire Control",O540="Fire Tex 5062",O540="Fire Tex 5090",O540="Fire Tex 5120"),'CALCULO PINTURA'!P223," ")</f>
        <v xml:space="preserve"> </v>
      </c>
      <c r="R540" s="164" t="str">
        <f>+IF(OR(O540="Fire Control",O540="Fire Tex 5062",O540="Fire Tex 5090",O540="Fire Tex 5120"),'CALCULO PINTURA'!R223," ")</f>
        <v xml:space="preserve"> </v>
      </c>
      <c r="S540" s="164" t="str">
        <f>+IF(OR(O540="Fire Control",O540="Fire Tex 5062",O540="Fire Tex 5090",O540="Fire Tex 5120"),'CALCULO PINTURA'!S223," ")</f>
        <v xml:space="preserve"> </v>
      </c>
      <c r="T540" s="874" t="str">
        <f>+IF(OR(O540="Blaze Shield II",O540="Cafco 400",O540="Cafco 300"),'CALCULO MORTERO'!N228," ")</f>
        <v xml:space="preserve"> </v>
      </c>
      <c r="U540" s="875" t="str">
        <f>+IF(OR(O540="Blaze Shield II",O540="Cafco 400",O540="Cafco 300"),'CALCULO MORTERO'!O228," ")</f>
        <v xml:space="preserve"> </v>
      </c>
      <c r="V540" s="161" t="str" cm="1">
        <f t="array" ref="V540">_xlfn.IFS(O540="Blaze Shield II",'CALCULO MORTERO'!P541, O540="Cafco 400",'CALCULO MORTERO'!Q541,O540="Cafco 300",'CALCULO MORTERO'!S541, AND(OR(O540="Fire tex 5090", O540="Fire Tex 5062", O540="Fire Tex 5120", O540="Fire Control"),Q540&gt;0), "CERT.",TRUE,"-")</f>
        <v>-</v>
      </c>
    </row>
    <row r="541" spans="1:22" x14ac:dyDescent="0.25">
      <c r="A541" s="903"/>
      <c r="B541" s="904"/>
      <c r="C541" s="874"/>
      <c r="D541" s="874"/>
      <c r="E541" s="905"/>
      <c r="F541" s="905"/>
      <c r="G541" s="874"/>
      <c r="H541" s="874"/>
      <c r="I541" s="906"/>
      <c r="J541" s="162"/>
      <c r="K541" s="161"/>
      <c r="L541" s="161"/>
      <c r="M541" s="169"/>
      <c r="N541" s="163" t="str">
        <f t="shared" si="12"/>
        <v/>
      </c>
      <c r="O541" s="41"/>
      <c r="P541" s="41"/>
      <c r="Q541" s="161" t="str">
        <f>+IF(OR(O541="Fire Control",O541="Fire Tex 5062",O541="Fire Tex 5090",O541="Fire Tex 5120"),'CALCULO PINTURA'!P231," ")</f>
        <v xml:space="preserve"> </v>
      </c>
      <c r="R541" s="164" t="str">
        <f>+IF(OR(O541="Fire Control",O541="Fire Tex 5062",O541="Fire Tex 5090",O541="Fire Tex 5120"),'CALCULO PINTURA'!R231," ")</f>
        <v xml:space="preserve"> </v>
      </c>
      <c r="S541" s="164" t="str">
        <f>+IF(OR(O541="Fire Control",O541="Fire Tex 5062",O541="Fire Tex 5090",O541="Fire Tex 5120"),'CALCULO PINTURA'!S231," ")</f>
        <v xml:space="preserve"> </v>
      </c>
      <c r="T541" s="874" t="str">
        <f>+IF(OR(O541="Blaze Shield II",O541="Cafco 400",O541="Cafco 300"),'CALCULO MORTERO'!N236," ")</f>
        <v xml:space="preserve"> </v>
      </c>
      <c r="U541" s="875" t="str">
        <f>+IF(OR(O541="Blaze Shield II",O541="Cafco 400",O541="Cafco 300"),'CALCULO MORTERO'!O236," ")</f>
        <v xml:space="preserve"> </v>
      </c>
      <c r="V541" s="161" t="str" cm="1">
        <f t="array" ref="V541">_xlfn.IFS(O541="Blaze Shield II",'CALCULO MORTERO'!P542, O541="Cafco 400",'CALCULO MORTERO'!Q542,O541="Cafco 300",'CALCULO MORTERO'!S542, AND(OR(O541="Fire tex 5090", O541="Fire Tex 5062", O541="Fire Tex 5120", O541="Fire Control"),Q541&gt;0), "CERT.",TRUE,"-")</f>
        <v>-</v>
      </c>
    </row>
    <row r="542" spans="1:22" x14ac:dyDescent="0.25">
      <c r="A542" s="903"/>
      <c r="B542" s="904"/>
      <c r="C542" s="874"/>
      <c r="D542" s="874"/>
      <c r="E542" s="905"/>
      <c r="F542" s="905"/>
      <c r="G542" s="874"/>
      <c r="H542" s="874"/>
      <c r="I542" s="906"/>
      <c r="J542" s="162"/>
      <c r="K542" s="161"/>
      <c r="L542" s="161"/>
      <c r="M542" s="169"/>
      <c r="N542" s="163" t="str">
        <f t="shared" si="12"/>
        <v/>
      </c>
      <c r="O542" s="41"/>
      <c r="P542" s="41"/>
      <c r="Q542" s="161" t="str">
        <f>+IF(OR(O542="Fire Control",O542="Fire Tex 5062",O542="Fire Tex 5090",O542="Fire Tex 5120"),'CALCULO PINTURA'!P232," ")</f>
        <v xml:space="preserve"> </v>
      </c>
      <c r="R542" s="164" t="str">
        <f>+IF(OR(O542="Fire Control",O542="Fire Tex 5062",O542="Fire Tex 5090",O542="Fire Tex 5120"),'CALCULO PINTURA'!R232," ")</f>
        <v xml:space="preserve"> </v>
      </c>
      <c r="S542" s="164" t="str">
        <f>+IF(OR(O542="Fire Control",O542="Fire Tex 5062",O542="Fire Tex 5090",O542="Fire Tex 5120"),'CALCULO PINTURA'!S232," ")</f>
        <v xml:space="preserve"> </v>
      </c>
      <c r="T542" s="874" t="str">
        <f>+IF(OR(O542="Blaze Shield II",O542="Cafco 400",O542="Cafco 300"),'CALCULO MORTERO'!N237," ")</f>
        <v xml:space="preserve"> </v>
      </c>
      <c r="U542" s="875" t="str">
        <f>+IF(OR(O542="Blaze Shield II",O542="Cafco 400",O542="Cafco 300"),'CALCULO MORTERO'!O237," ")</f>
        <v xml:space="preserve"> </v>
      </c>
      <c r="V542" s="161" t="str" cm="1">
        <f t="array" ref="V542">_xlfn.IFS(O542="Blaze Shield II",'CALCULO MORTERO'!P543, O542="Cafco 400",'CALCULO MORTERO'!Q543,O542="Cafco 300",'CALCULO MORTERO'!S543, AND(OR(O542="Fire tex 5090", O542="Fire Tex 5062", O542="Fire Tex 5120", O542="Fire Control"),Q542&gt;0), "CERT.",TRUE,"-")</f>
        <v>-</v>
      </c>
    </row>
    <row r="543" spans="1:22" x14ac:dyDescent="0.25">
      <c r="A543" s="903"/>
      <c r="B543" s="907"/>
      <c r="C543" s="874"/>
      <c r="D543" s="874"/>
      <c r="E543" s="874"/>
      <c r="F543" s="874"/>
      <c r="G543" s="874"/>
      <c r="H543" s="874"/>
      <c r="I543" s="906"/>
      <c r="J543" s="162"/>
      <c r="K543" s="161"/>
      <c r="L543" s="161"/>
      <c r="M543" s="169"/>
      <c r="N543" s="163" t="str">
        <f t="shared" si="12"/>
        <v/>
      </c>
      <c r="O543" s="41"/>
      <c r="P543" s="41"/>
      <c r="Q543" s="161" t="str">
        <f>+IF(OR(O543="Fire Control",O543="Fire Tex 5062",O543="Fire Tex 5090",O543="Fire Tex 5120"),'CALCULO PINTURA'!P544," ")</f>
        <v xml:space="preserve"> </v>
      </c>
      <c r="R543" s="164" t="str">
        <f>+IF(OR(O543="Fire Control",O543="Fire Tex 5062",O543="Fire Tex 5090",O543="Fire Tex 5120"),'CALCULO PINTURA'!R544," ")</f>
        <v xml:space="preserve"> </v>
      </c>
      <c r="S543" s="164" t="str">
        <f>+IF(OR(O543="Fire Control",O543="Fire Tex 5062",O543="Fire Tex 5090",O543="Fire Tex 5120"),'CALCULO PINTURA'!S544," ")</f>
        <v xml:space="preserve"> </v>
      </c>
      <c r="T543" s="874" t="str">
        <f>+IF(OR(O543="Blaze Shield II",O543="Cafco 400",O543="Cafco 300"),'CALCULO MORTERO'!N549," ")</f>
        <v xml:space="preserve"> </v>
      </c>
      <c r="U543" s="875" t="str">
        <f>+IF(OR(O543="Blaze Shield II",O543="Cafco 400",O543="Cafco 300"),'CALCULO MORTERO'!O549," ")</f>
        <v xml:space="preserve"> </v>
      </c>
      <c r="V543" s="161" t="str" cm="1">
        <f t="array" ref="V543">_xlfn.IFS(O543="Blaze Shield II",'CALCULO MORTERO'!P544, O543="Cafco 400",'CALCULO MORTERO'!Q544,O543="Cafco 300",'CALCULO MORTERO'!S544, AND(OR(O543="Fire tex 5090", O543="Fire Tex 5062", O543="Fire Tex 5120", O543="Fire Control"),Q543&gt;0), "CERT.",TRUE,"-")</f>
        <v>-</v>
      </c>
    </row>
    <row r="544" spans="1:22" x14ac:dyDescent="0.25">
      <c r="A544" s="903"/>
      <c r="B544" s="907"/>
      <c r="C544" s="874"/>
      <c r="D544" s="874"/>
      <c r="E544" s="874"/>
      <c r="F544" s="874"/>
      <c r="G544" s="874"/>
      <c r="H544" s="874"/>
      <c r="I544" s="906"/>
      <c r="J544" s="162"/>
      <c r="K544" s="161"/>
      <c r="L544" s="161"/>
      <c r="M544" s="163"/>
      <c r="N544" s="163" t="str">
        <f t="shared" si="12"/>
        <v/>
      </c>
      <c r="O544" s="41"/>
      <c r="P544" s="41"/>
      <c r="Q544" s="161" t="str">
        <f>+IF(OR(O544="Fire Control",O544="Fire Tex 5062",O544="Fire Tex 5090",O544="Fire Tex 5120"),'CALCULO PINTURA'!P545," ")</f>
        <v xml:space="preserve"> </v>
      </c>
      <c r="R544" s="164" t="str">
        <f>+IF(OR(O544="Fire Control",O544="Fire Tex 5062",O544="Fire Tex 5090",O544="Fire Tex 5120"),'CALCULO PINTURA'!R545," ")</f>
        <v xml:space="preserve"> </v>
      </c>
      <c r="S544" s="164" t="str">
        <f>+IF(OR(O544="Fire Control",O544="Fire Tex 5062",O544="Fire Tex 5090",O544="Fire Tex 5120"),'CALCULO PINTURA'!S545," ")</f>
        <v xml:space="preserve"> </v>
      </c>
      <c r="T544" s="874" t="str">
        <f>+IF(OR(O544="Blaze Shield II",O544="Cafco 400",O544="Cafco 300"),'CALCULO MORTERO'!N550," ")</f>
        <v xml:space="preserve"> </v>
      </c>
      <c r="U544" s="875" t="str">
        <f>+IF(OR(O544="Blaze Shield II",O544="Cafco 400",O544="Cafco 300"),'CALCULO MORTERO'!O550," ")</f>
        <v xml:space="preserve"> </v>
      </c>
      <c r="V544" s="161" t="str" cm="1">
        <f t="array" ref="V544">_xlfn.IFS(O544="Blaze Shield II",'CALCULO MORTERO'!P545, O544="Cafco 400",'CALCULO MORTERO'!Q545,O544="Cafco 300",'CALCULO MORTERO'!S545, AND(OR(O544="Fire tex 5090", O544="Fire Tex 5062", O544="Fire Tex 5120", O544="Fire Control"),Q544&gt;0), "CERT.",TRUE,"-")</f>
        <v>-</v>
      </c>
    </row>
    <row r="545" spans="1:22" x14ac:dyDescent="0.25">
      <c r="A545" s="903"/>
      <c r="B545" s="907"/>
      <c r="C545" s="874"/>
      <c r="D545" s="874"/>
      <c r="E545" s="874"/>
      <c r="F545" s="905"/>
      <c r="G545" s="874"/>
      <c r="H545" s="874"/>
      <c r="I545" s="906"/>
      <c r="J545" s="162"/>
      <c r="K545" s="161"/>
      <c r="L545" s="161"/>
      <c r="M545" s="169"/>
      <c r="N545" s="163" t="str">
        <f t="shared" si="12"/>
        <v/>
      </c>
      <c r="O545" s="41"/>
      <c r="P545" s="41"/>
      <c r="Q545" s="161" t="str">
        <f>+IF(OR(O545="Fire Control",O545="Fire Tex 5062",O545="Fire Tex 5090",O545="Fire Tex 5120"),'CALCULO PINTURA'!P546," ")</f>
        <v xml:space="preserve"> </v>
      </c>
      <c r="R545" s="164" t="str">
        <f>+IF(OR(O545="Fire Control",O545="Fire Tex 5062",O545="Fire Tex 5090",O545="Fire Tex 5120"),'CALCULO PINTURA'!R546," ")</f>
        <v xml:space="preserve"> </v>
      </c>
      <c r="S545" s="164" t="str">
        <f>+IF(OR(O545="Fire Control",O545="Fire Tex 5062",O545="Fire Tex 5090",O545="Fire Tex 5120"),'CALCULO PINTURA'!S546," ")</f>
        <v xml:space="preserve"> </v>
      </c>
      <c r="T545" s="874" t="str">
        <f>+IF(OR(O545="Blaze Shield II",O545="Cafco 400",O545="Cafco 300"),'CALCULO MORTERO'!N551," ")</f>
        <v xml:space="preserve"> </v>
      </c>
      <c r="U545" s="875" t="str">
        <f>+IF(OR(O545="Blaze Shield II",O545="Cafco 400",O545="Cafco 300"),'CALCULO MORTERO'!O551," ")</f>
        <v xml:space="preserve"> </v>
      </c>
      <c r="V545" s="161" t="str" cm="1">
        <f t="array" ref="V545">_xlfn.IFS(O545="Blaze Shield II",'CALCULO MORTERO'!P546, O545="Cafco 400",'CALCULO MORTERO'!Q546,O545="Cafco 300",'CALCULO MORTERO'!S546, AND(OR(O545="Fire tex 5090", O545="Fire Tex 5062", O545="Fire Tex 5120", O545="Fire Control"),Q545&gt;0), "CERT.",TRUE,"-")</f>
        <v>-</v>
      </c>
    </row>
    <row r="546" spans="1:22" x14ac:dyDescent="0.25">
      <c r="A546" s="903"/>
      <c r="B546" s="907"/>
      <c r="C546" s="874"/>
      <c r="D546" s="874"/>
      <c r="E546" s="874"/>
      <c r="F546" s="905"/>
      <c r="G546" s="874"/>
      <c r="H546" s="874"/>
      <c r="I546" s="906"/>
      <c r="J546" s="162"/>
      <c r="K546" s="161"/>
      <c r="L546" s="161"/>
      <c r="M546" s="169"/>
      <c r="N546" s="163" t="str">
        <f t="shared" si="12"/>
        <v/>
      </c>
      <c r="O546" s="41"/>
      <c r="P546" s="41"/>
      <c r="Q546" s="161" t="str">
        <f>+IF(OR(O546="Fire Control",O546="Fire Tex 5062",O546="Fire Tex 5090",O546="Fire Tex 5120"),'CALCULO PINTURA'!P547," ")</f>
        <v xml:space="preserve"> </v>
      </c>
      <c r="R546" s="164" t="str">
        <f>+IF(OR(O546="Fire Control",O546="Fire Tex 5062",O546="Fire Tex 5090",O546="Fire Tex 5120"),'CALCULO PINTURA'!R547," ")</f>
        <v xml:space="preserve"> </v>
      </c>
      <c r="S546" s="164" t="str">
        <f>+IF(OR(O546="Fire Control",O546="Fire Tex 5062",O546="Fire Tex 5090",O546="Fire Tex 5120"),'CALCULO PINTURA'!S547," ")</f>
        <v xml:space="preserve"> </v>
      </c>
      <c r="T546" s="874" t="str">
        <f>+IF(OR(O546="Blaze Shield II",O546="Cafco 400",O546="Cafco 300"),'CALCULO MORTERO'!N552," ")</f>
        <v xml:space="preserve"> </v>
      </c>
      <c r="U546" s="875" t="str">
        <f>+IF(OR(O546="Blaze Shield II",O546="Cafco 400",O546="Cafco 300"),'CALCULO MORTERO'!O552," ")</f>
        <v xml:space="preserve"> </v>
      </c>
      <c r="V546" s="161" t="str" cm="1">
        <f t="array" ref="V546">_xlfn.IFS(O546="Blaze Shield II",'CALCULO MORTERO'!P547, O546="Cafco 400",'CALCULO MORTERO'!Q547,O546="Cafco 300",'CALCULO MORTERO'!S547, AND(OR(O546="Fire tex 5090", O546="Fire Tex 5062", O546="Fire Tex 5120", O546="Fire Control"),Q546&gt;0), "CERT.",TRUE,"-")</f>
        <v>-</v>
      </c>
    </row>
    <row r="547" spans="1:22" x14ac:dyDescent="0.25">
      <c r="A547" s="903"/>
      <c r="B547" s="907"/>
      <c r="C547" s="874"/>
      <c r="D547" s="874"/>
      <c r="E547" s="874"/>
      <c r="F547" s="905"/>
      <c r="G547" s="874"/>
      <c r="H547" s="874"/>
      <c r="I547" s="906"/>
      <c r="J547" s="162"/>
      <c r="K547" s="161"/>
      <c r="L547" s="161"/>
      <c r="M547" s="169"/>
      <c r="N547" s="163" t="str">
        <f t="shared" si="12"/>
        <v/>
      </c>
      <c r="O547" s="41"/>
      <c r="P547" s="41"/>
      <c r="Q547" s="161" t="str">
        <f>+IF(OR(O547="Fire Control",O547="Fire Tex 5062",O547="Fire Tex 5090",O547="Fire Tex 5120"),'CALCULO PINTURA'!P548," ")</f>
        <v xml:space="preserve"> </v>
      </c>
      <c r="R547" s="164" t="str">
        <f>+IF(OR(O547="Fire Control",O547="Fire Tex 5062",O547="Fire Tex 5090",O547="Fire Tex 5120"),'CALCULO PINTURA'!R548," ")</f>
        <v xml:space="preserve"> </v>
      </c>
      <c r="S547" s="164" t="str">
        <f>+IF(OR(O547="Fire Control",O547="Fire Tex 5062",O547="Fire Tex 5090",O547="Fire Tex 5120"),'CALCULO PINTURA'!S548," ")</f>
        <v xml:space="preserve"> </v>
      </c>
      <c r="T547" s="874" t="str">
        <f>+IF(OR(O547="Blaze Shield II",O547="Cafco 400",O547="Cafco 300"),'CALCULO MORTERO'!N553," ")</f>
        <v xml:space="preserve"> </v>
      </c>
      <c r="U547" s="875" t="str">
        <f>+IF(OR(O547="Blaze Shield II",O547="Cafco 400",O547="Cafco 300"),'CALCULO MORTERO'!O553," ")</f>
        <v xml:space="preserve"> </v>
      </c>
      <c r="V547" s="161" t="str" cm="1">
        <f t="array" ref="V547">_xlfn.IFS(O547="Blaze Shield II",'CALCULO MORTERO'!P548, O547="Cafco 400",'CALCULO MORTERO'!Q548,O547="Cafco 300",'CALCULO MORTERO'!S548, AND(OR(O547="Fire tex 5090", O547="Fire Tex 5062", O547="Fire Tex 5120", O547="Fire Control"),Q547&gt;0), "CERT.",TRUE,"-")</f>
        <v>-</v>
      </c>
    </row>
    <row r="548" spans="1:22" x14ac:dyDescent="0.25">
      <c r="A548" s="903"/>
      <c r="B548" s="907"/>
      <c r="C548" s="874"/>
      <c r="D548" s="874"/>
      <c r="E548" s="874"/>
      <c r="F548" s="905"/>
      <c r="G548" s="874"/>
      <c r="H548" s="874"/>
      <c r="I548" s="906"/>
      <c r="J548" s="162"/>
      <c r="K548" s="161"/>
      <c r="L548" s="161"/>
      <c r="M548" s="169"/>
      <c r="N548" s="163" t="str">
        <f t="shared" si="12"/>
        <v/>
      </c>
      <c r="O548" s="41"/>
      <c r="P548" s="41"/>
      <c r="Q548" s="161" t="str">
        <f>+IF(OR(O548="Fire Control",O548="Fire Tex 5062",O548="Fire Tex 5090",O548="Fire Tex 5120"),'CALCULO PINTURA'!P549," ")</f>
        <v xml:space="preserve"> </v>
      </c>
      <c r="R548" s="164" t="str">
        <f>+IF(OR(O548="Fire Control",O548="Fire Tex 5062",O548="Fire Tex 5090",O548="Fire Tex 5120"),'CALCULO PINTURA'!R549," ")</f>
        <v xml:space="preserve"> </v>
      </c>
      <c r="S548" s="164" t="str">
        <f>+IF(OR(O548="Fire Control",O548="Fire Tex 5062",O548="Fire Tex 5090",O548="Fire Tex 5120"),'CALCULO PINTURA'!S549," ")</f>
        <v xml:space="preserve"> </v>
      </c>
      <c r="T548" s="874" t="str">
        <f>+IF(OR(O548="Blaze Shield II",O548="Cafco 400",O548="Cafco 300"),'CALCULO MORTERO'!N554," ")</f>
        <v xml:space="preserve"> </v>
      </c>
      <c r="U548" s="875" t="str">
        <f>+IF(OR(O548="Blaze Shield II",O548="Cafco 400",O548="Cafco 300"),'CALCULO MORTERO'!O554," ")</f>
        <v xml:space="preserve"> </v>
      </c>
      <c r="V548" s="161" t="str" cm="1">
        <f t="array" ref="V548">_xlfn.IFS(O548="Blaze Shield II",'CALCULO MORTERO'!P549, O548="Cafco 400",'CALCULO MORTERO'!Q549,O548="Cafco 300",'CALCULO MORTERO'!S549, AND(OR(O548="Fire tex 5090", O548="Fire Tex 5062", O548="Fire Tex 5120", O548="Fire Control"),Q548&gt;0), "CERT.",TRUE,"-")</f>
        <v>-</v>
      </c>
    </row>
    <row r="549" spans="1:22" x14ac:dyDescent="0.25">
      <c r="A549" s="903"/>
      <c r="B549" s="907"/>
      <c r="C549" s="874"/>
      <c r="D549" s="874"/>
      <c r="E549" s="874"/>
      <c r="F549" s="905"/>
      <c r="G549" s="874"/>
      <c r="H549" s="874"/>
      <c r="I549" s="906"/>
      <c r="J549" s="162"/>
      <c r="K549" s="161"/>
      <c r="L549" s="161"/>
      <c r="M549" s="169"/>
      <c r="N549" s="163" t="str">
        <f t="shared" si="12"/>
        <v/>
      </c>
      <c r="O549" s="41"/>
      <c r="P549" s="41"/>
      <c r="Q549" s="161" t="str">
        <f>+IF(OR(O549="Fire Control",O549="Fire Tex 5062",O549="Fire Tex 5090",O549="Fire Tex 5120"),'CALCULO PINTURA'!P550," ")</f>
        <v xml:space="preserve"> </v>
      </c>
      <c r="R549" s="164" t="str">
        <f>+IF(OR(O549="Fire Control",O549="Fire Tex 5062",O549="Fire Tex 5090",O549="Fire Tex 5120"),'CALCULO PINTURA'!R550," ")</f>
        <v xml:space="preserve"> </v>
      </c>
      <c r="S549" s="164" t="str">
        <f>+IF(OR(O549="Fire Control",O549="Fire Tex 5062",O549="Fire Tex 5090",O549="Fire Tex 5120"),'CALCULO PINTURA'!S550," ")</f>
        <v xml:space="preserve"> </v>
      </c>
      <c r="T549" s="874" t="str">
        <f>+IF(OR(O549="Blaze Shield II",O549="Cafco 400",O549="Cafco 300"),'CALCULO MORTERO'!N555," ")</f>
        <v xml:space="preserve"> </v>
      </c>
      <c r="U549" s="875" t="str">
        <f>+IF(OR(O549="Blaze Shield II",O549="Cafco 400",O549="Cafco 300"),'CALCULO MORTERO'!O555," ")</f>
        <v xml:space="preserve"> </v>
      </c>
      <c r="V549" s="161" t="str" cm="1">
        <f t="array" ref="V549">_xlfn.IFS(O549="Blaze Shield II",'CALCULO MORTERO'!P550, O549="Cafco 400",'CALCULO MORTERO'!Q550,O549="Cafco 300",'CALCULO MORTERO'!S550, AND(OR(O549="Fire tex 5090", O549="Fire Tex 5062", O549="Fire Tex 5120", O549="Fire Control"),Q549&gt;0), "CERT.",TRUE,"-")</f>
        <v>-</v>
      </c>
    </row>
    <row r="550" spans="1:22" x14ac:dyDescent="0.25">
      <c r="A550" s="903"/>
      <c r="B550" s="907"/>
      <c r="C550" s="874"/>
      <c r="D550" s="874"/>
      <c r="E550" s="874"/>
      <c r="F550" s="905"/>
      <c r="G550" s="874"/>
      <c r="H550" s="874"/>
      <c r="I550" s="906"/>
      <c r="J550" s="162"/>
      <c r="K550" s="161"/>
      <c r="L550" s="161"/>
      <c r="M550" s="169"/>
      <c r="N550" s="163" t="str">
        <f t="shared" si="12"/>
        <v/>
      </c>
      <c r="O550" s="41"/>
      <c r="P550" s="41"/>
      <c r="Q550" s="161" t="str">
        <f>+IF(OR(O550="Fire Control",O550="Fire Tex 5062",O550="Fire Tex 5090",O550="Fire Tex 5120"),'CALCULO PINTURA'!P551," ")</f>
        <v xml:space="preserve"> </v>
      </c>
      <c r="R550" s="164" t="str">
        <f>+IF(OR(O550="Fire Control",O550="Fire Tex 5062",O550="Fire Tex 5090",O550="Fire Tex 5120"),'CALCULO PINTURA'!R551," ")</f>
        <v xml:space="preserve"> </v>
      </c>
      <c r="S550" s="164" t="str">
        <f>+IF(OR(O550="Fire Control",O550="Fire Tex 5062",O550="Fire Tex 5090",O550="Fire Tex 5120"),'CALCULO PINTURA'!S551," ")</f>
        <v xml:space="preserve"> </v>
      </c>
      <c r="T550" s="874" t="str">
        <f>+IF(OR(O550="Blaze Shield II",O550="Cafco 400",O550="Cafco 300"),'CALCULO MORTERO'!N556," ")</f>
        <v xml:space="preserve"> </v>
      </c>
      <c r="U550" s="875" t="str">
        <f>+IF(OR(O550="Blaze Shield II",O550="Cafco 400",O550="Cafco 300"),'CALCULO MORTERO'!O556," ")</f>
        <v xml:space="preserve"> </v>
      </c>
      <c r="V550" s="161" t="str" cm="1">
        <f t="array" ref="V550">_xlfn.IFS(O550="Blaze Shield II",'CALCULO MORTERO'!P551, O550="Cafco 400",'CALCULO MORTERO'!Q551,O550="Cafco 300",'CALCULO MORTERO'!S551, AND(OR(O550="Fire tex 5090", O550="Fire Tex 5062", O550="Fire Tex 5120", O550="Fire Control"),Q550&gt;0), "CERT.",TRUE,"-")</f>
        <v>-</v>
      </c>
    </row>
    <row r="551" spans="1:22" x14ac:dyDescent="0.25">
      <c r="A551" s="903"/>
      <c r="B551" s="907"/>
      <c r="C551" s="874"/>
      <c r="D551" s="874"/>
      <c r="E551" s="874"/>
      <c r="F551" s="905"/>
      <c r="G551" s="874"/>
      <c r="H551" s="874"/>
      <c r="I551" s="906"/>
      <c r="J551" s="162"/>
      <c r="K551" s="161"/>
      <c r="L551" s="161"/>
      <c r="M551" s="169"/>
      <c r="N551" s="163" t="str">
        <f t="shared" si="12"/>
        <v/>
      </c>
      <c r="O551" s="41"/>
      <c r="P551" s="41"/>
      <c r="Q551" s="161" t="str">
        <f>+IF(OR(O551="Fire Control",O551="Fire Tex 5062",O551="Fire Tex 5090",O551="Fire Tex 5120"),'CALCULO PINTURA'!P552," ")</f>
        <v xml:space="preserve"> </v>
      </c>
      <c r="R551" s="164" t="str">
        <f>+IF(OR(O551="Fire Control",O551="Fire Tex 5062",O551="Fire Tex 5090",O551="Fire Tex 5120"),'CALCULO PINTURA'!R552," ")</f>
        <v xml:space="preserve"> </v>
      </c>
      <c r="S551" s="164" t="str">
        <f>+IF(OR(O551="Fire Control",O551="Fire Tex 5062",O551="Fire Tex 5090",O551="Fire Tex 5120"),'CALCULO PINTURA'!S552," ")</f>
        <v xml:space="preserve"> </v>
      </c>
      <c r="T551" s="874" t="str">
        <f>+IF(OR(O551="Blaze Shield II",O551="Cafco 400",O551="Cafco 300"),'CALCULO MORTERO'!N557," ")</f>
        <v xml:space="preserve"> </v>
      </c>
      <c r="U551" s="875" t="str">
        <f>+IF(OR(O551="Blaze Shield II",O551="Cafco 400",O551="Cafco 300"),'CALCULO MORTERO'!O557," ")</f>
        <v xml:space="preserve"> </v>
      </c>
      <c r="V551" s="161" t="str" cm="1">
        <f t="array" ref="V551">_xlfn.IFS(O551="Blaze Shield II",'CALCULO MORTERO'!P552, O551="Cafco 400",'CALCULO MORTERO'!Q552,O551="Cafco 300",'CALCULO MORTERO'!S552, AND(OR(O551="Fire tex 5090", O551="Fire Tex 5062", O551="Fire Tex 5120", O551="Fire Control"),Q551&gt;0), "CERT.",TRUE,"-")</f>
        <v>-</v>
      </c>
    </row>
    <row r="552" spans="1:22" x14ac:dyDescent="0.25">
      <c r="A552" s="903"/>
      <c r="B552" s="907"/>
      <c r="C552" s="874"/>
      <c r="D552" s="874"/>
      <c r="E552" s="874"/>
      <c r="F552" s="905"/>
      <c r="G552" s="874"/>
      <c r="H552" s="874"/>
      <c r="I552" s="906"/>
      <c r="J552" s="162"/>
      <c r="K552" s="161"/>
      <c r="L552" s="161"/>
      <c r="M552" s="169"/>
      <c r="N552" s="163" t="str">
        <f t="shared" si="12"/>
        <v/>
      </c>
      <c r="O552" s="41"/>
      <c r="P552" s="41"/>
      <c r="Q552" s="161" t="str">
        <f>+IF(OR(O552="Fire Control",O552="Fire Tex 5062",O552="Fire Tex 5090",O552="Fire Tex 5120"),'CALCULO PINTURA'!P553," ")</f>
        <v xml:space="preserve"> </v>
      </c>
      <c r="R552" s="164" t="str">
        <f>+IF(OR(O552="Fire Control",O552="Fire Tex 5062",O552="Fire Tex 5090",O552="Fire Tex 5120"),'CALCULO PINTURA'!R553," ")</f>
        <v xml:space="preserve"> </v>
      </c>
      <c r="S552" s="164" t="str">
        <f>+IF(OR(O552="Fire Control",O552="Fire Tex 5062",O552="Fire Tex 5090",O552="Fire Tex 5120"),'CALCULO PINTURA'!S553," ")</f>
        <v xml:space="preserve"> </v>
      </c>
      <c r="T552" s="874" t="str">
        <f>+IF(OR(O552="Blaze Shield II",O552="Cafco 400",O552="Cafco 300"),'CALCULO MORTERO'!N558," ")</f>
        <v xml:space="preserve"> </v>
      </c>
      <c r="U552" s="875" t="str">
        <f>+IF(OR(O552="Blaze Shield II",O552="Cafco 400",O552="Cafco 300"),'CALCULO MORTERO'!O558," ")</f>
        <v xml:space="preserve"> </v>
      </c>
      <c r="V552" s="161" t="str" cm="1">
        <f t="array" ref="V552">_xlfn.IFS(O552="Blaze Shield II",'CALCULO MORTERO'!P553, O552="Cafco 400",'CALCULO MORTERO'!Q553,O552="Cafco 300",'CALCULO MORTERO'!S553, AND(OR(O552="Fire tex 5090", O552="Fire Tex 5062", O552="Fire Tex 5120", O552="Fire Control"),Q552&gt;0), "CERT.",TRUE,"-")</f>
        <v>-</v>
      </c>
    </row>
    <row r="553" spans="1:22" x14ac:dyDescent="0.25">
      <c r="A553" s="903"/>
      <c r="B553" s="907"/>
      <c r="C553" s="874"/>
      <c r="D553" s="874"/>
      <c r="E553" s="874"/>
      <c r="F553" s="905"/>
      <c r="G553" s="874"/>
      <c r="H553" s="874"/>
      <c r="I553" s="906"/>
      <c r="J553" s="162"/>
      <c r="K553" s="161"/>
      <c r="L553" s="161"/>
      <c r="M553" s="169"/>
      <c r="N553" s="163" t="str">
        <f t="shared" si="12"/>
        <v/>
      </c>
      <c r="O553" s="41"/>
      <c r="P553" s="41"/>
      <c r="Q553" s="161" t="str">
        <f>+IF(OR(O553="Fire Control",O553="Fire Tex 5062",O553="Fire Tex 5090",O553="Fire Tex 5120"),'CALCULO PINTURA'!P554," ")</f>
        <v xml:space="preserve"> </v>
      </c>
      <c r="R553" s="164" t="str">
        <f>+IF(OR(O553="Fire Control",O553="Fire Tex 5062",O553="Fire Tex 5090",O553="Fire Tex 5120"),'CALCULO PINTURA'!R554," ")</f>
        <v xml:space="preserve"> </v>
      </c>
      <c r="S553" s="164" t="str">
        <f>+IF(OR(O553="Fire Control",O553="Fire Tex 5062",O553="Fire Tex 5090",O553="Fire Tex 5120"),'CALCULO PINTURA'!S554," ")</f>
        <v xml:space="preserve"> </v>
      </c>
      <c r="T553" s="874" t="str">
        <f>+IF(OR(O553="Blaze Shield II",O553="Cafco 400",O553="Cafco 300"),'CALCULO MORTERO'!N559," ")</f>
        <v xml:space="preserve"> </v>
      </c>
      <c r="U553" s="875" t="str">
        <f>+IF(OR(O553="Blaze Shield II",O553="Cafco 400",O553="Cafco 300"),'CALCULO MORTERO'!O559," ")</f>
        <v xml:space="preserve"> </v>
      </c>
      <c r="V553" s="161" t="str" cm="1">
        <f t="array" ref="V553">_xlfn.IFS(O553="Blaze Shield II",'CALCULO MORTERO'!P554, O553="Cafco 400",'CALCULO MORTERO'!Q554,O553="Cafco 300",'CALCULO MORTERO'!S554, AND(OR(O553="Fire tex 5090", O553="Fire Tex 5062", O553="Fire Tex 5120", O553="Fire Control"),Q553&gt;0), "CERT.",TRUE,"-")</f>
        <v>-</v>
      </c>
    </row>
    <row r="554" spans="1:22" x14ac:dyDescent="0.25">
      <c r="A554" s="903"/>
      <c r="B554" s="907"/>
      <c r="C554" s="874"/>
      <c r="D554" s="874"/>
      <c r="E554" s="874"/>
      <c r="F554" s="905"/>
      <c r="G554" s="874"/>
      <c r="H554" s="874"/>
      <c r="I554" s="906"/>
      <c r="J554" s="162"/>
      <c r="K554" s="161"/>
      <c r="L554" s="161"/>
      <c r="M554" s="169"/>
      <c r="N554" s="163" t="str">
        <f t="shared" si="12"/>
        <v/>
      </c>
      <c r="O554" s="41"/>
      <c r="P554" s="41"/>
      <c r="Q554" s="161" t="str">
        <f>+IF(OR(O554="Fire Control",O554="Fire Tex 5062",O554="Fire Tex 5090",O554="Fire Tex 5120"),'CALCULO PINTURA'!P555," ")</f>
        <v xml:space="preserve"> </v>
      </c>
      <c r="R554" s="164" t="str">
        <f>+IF(OR(O554="Fire Control",O554="Fire Tex 5062",O554="Fire Tex 5090",O554="Fire Tex 5120"),'CALCULO PINTURA'!R555," ")</f>
        <v xml:space="preserve"> </v>
      </c>
      <c r="S554" s="164" t="str">
        <f>+IF(OR(O554="Fire Control",O554="Fire Tex 5062",O554="Fire Tex 5090",O554="Fire Tex 5120"),'CALCULO PINTURA'!S555," ")</f>
        <v xml:space="preserve"> </v>
      </c>
      <c r="T554" s="874" t="str">
        <f>+IF(OR(O554="Blaze Shield II",O554="Cafco 400",O554="Cafco 300"),'CALCULO MORTERO'!N560," ")</f>
        <v xml:space="preserve"> </v>
      </c>
      <c r="U554" s="875" t="str">
        <f>+IF(OR(O554="Blaze Shield II",O554="Cafco 400",O554="Cafco 300"),'CALCULO MORTERO'!O560," ")</f>
        <v xml:space="preserve"> </v>
      </c>
      <c r="V554" s="161" t="str" cm="1">
        <f t="array" ref="V554">_xlfn.IFS(O554="Blaze Shield II",'CALCULO MORTERO'!P555, O554="Cafco 400",'CALCULO MORTERO'!Q555,O554="Cafco 300",'CALCULO MORTERO'!S555, AND(OR(O554="Fire tex 5090", O554="Fire Tex 5062", O554="Fire Tex 5120", O554="Fire Control"),Q554&gt;0), "CERT.",TRUE,"-")</f>
        <v>-</v>
      </c>
    </row>
    <row r="555" spans="1:22" x14ac:dyDescent="0.25">
      <c r="A555" s="903"/>
      <c r="B555" s="907"/>
      <c r="C555" s="874"/>
      <c r="D555" s="874"/>
      <c r="E555" s="874"/>
      <c r="F555" s="905"/>
      <c r="G555" s="874"/>
      <c r="H555" s="874"/>
      <c r="I555" s="906"/>
      <c r="J555" s="162"/>
      <c r="K555" s="161"/>
      <c r="L555" s="161"/>
      <c r="M555" s="169"/>
      <c r="N555" s="163" t="str">
        <f t="shared" si="12"/>
        <v/>
      </c>
      <c r="O555" s="41"/>
      <c r="P555" s="41"/>
      <c r="Q555" s="161" t="str">
        <f>+IF(OR(O555="Fire Control",O555="Fire Tex 5062",O555="Fire Tex 5090",O555="Fire Tex 5120"),'CALCULO PINTURA'!P556," ")</f>
        <v xml:space="preserve"> </v>
      </c>
      <c r="R555" s="164" t="str">
        <f>+IF(OR(O555="Fire Control",O555="Fire Tex 5062",O555="Fire Tex 5090",O555="Fire Tex 5120"),'CALCULO PINTURA'!R556," ")</f>
        <v xml:space="preserve"> </v>
      </c>
      <c r="S555" s="164" t="str">
        <f>+IF(OR(O555="Fire Control",O555="Fire Tex 5062",O555="Fire Tex 5090",O555="Fire Tex 5120"),'CALCULO PINTURA'!S556," ")</f>
        <v xml:space="preserve"> </v>
      </c>
      <c r="T555" s="874" t="str">
        <f>+IF(OR(O555="Blaze Shield II",O555="Cafco 400",O555="Cafco 300"),'CALCULO MORTERO'!N561," ")</f>
        <v xml:space="preserve"> </v>
      </c>
      <c r="U555" s="875" t="str">
        <f>+IF(OR(O555="Blaze Shield II",O555="Cafco 400",O555="Cafco 300"),'CALCULO MORTERO'!O561," ")</f>
        <v xml:space="preserve"> </v>
      </c>
      <c r="V555" s="161" t="str" cm="1">
        <f t="array" ref="V555">_xlfn.IFS(O555="Blaze Shield II",'CALCULO MORTERO'!P556, O555="Cafco 400",'CALCULO MORTERO'!Q556,O555="Cafco 300",'CALCULO MORTERO'!S556, AND(OR(O555="Fire tex 5090", O555="Fire Tex 5062", O555="Fire Tex 5120", O555="Fire Control"),Q555&gt;0), "CERT.",TRUE,"-")</f>
        <v>-</v>
      </c>
    </row>
    <row r="556" spans="1:22" x14ac:dyDescent="0.25">
      <c r="A556" s="903"/>
      <c r="B556" s="907"/>
      <c r="C556" s="874"/>
      <c r="D556" s="874"/>
      <c r="E556" s="874"/>
      <c r="F556" s="905"/>
      <c r="G556" s="874"/>
      <c r="H556" s="874"/>
      <c r="I556" s="906"/>
      <c r="J556" s="162"/>
      <c r="K556" s="161"/>
      <c r="L556" s="161"/>
      <c r="M556" s="169"/>
      <c r="N556" s="163" t="str">
        <f t="shared" si="12"/>
        <v/>
      </c>
      <c r="O556" s="41"/>
      <c r="P556" s="41"/>
      <c r="Q556" s="161" t="str">
        <f>+IF(OR(O556="Fire Control",O556="Fire Tex 5062",O556="Fire Tex 5090",O556="Fire Tex 5120"),'CALCULO PINTURA'!P557," ")</f>
        <v xml:space="preserve"> </v>
      </c>
      <c r="R556" s="164" t="str">
        <f>+IF(OR(O556="Fire Control",O556="Fire Tex 5062",O556="Fire Tex 5090",O556="Fire Tex 5120"),'CALCULO PINTURA'!R557," ")</f>
        <v xml:space="preserve"> </v>
      </c>
      <c r="S556" s="164" t="str">
        <f>+IF(OR(O556="Fire Control",O556="Fire Tex 5062",O556="Fire Tex 5090",O556="Fire Tex 5120"),'CALCULO PINTURA'!S557," ")</f>
        <v xml:space="preserve"> </v>
      </c>
      <c r="T556" s="874" t="str">
        <f>+IF(OR(O556="Blaze Shield II",O556="Cafco 400",O556="Cafco 300"),'CALCULO MORTERO'!N562," ")</f>
        <v xml:space="preserve"> </v>
      </c>
      <c r="U556" s="875" t="str">
        <f>+IF(OR(O556="Blaze Shield II",O556="Cafco 400",O556="Cafco 300"),'CALCULO MORTERO'!O562," ")</f>
        <v xml:space="preserve"> </v>
      </c>
      <c r="V556" s="161" t="str" cm="1">
        <f t="array" ref="V556">_xlfn.IFS(O556="Blaze Shield II",'CALCULO MORTERO'!P557, O556="Cafco 400",'CALCULO MORTERO'!Q557,O556="Cafco 300",'CALCULO MORTERO'!S557, AND(OR(O556="Fire tex 5090", O556="Fire Tex 5062", O556="Fire Tex 5120", O556="Fire Control"),Q556&gt;0), "CERT.",TRUE,"-")</f>
        <v>-</v>
      </c>
    </row>
    <row r="557" spans="1:22" x14ac:dyDescent="0.25">
      <c r="A557" s="903"/>
      <c r="B557" s="907"/>
      <c r="C557" s="874"/>
      <c r="D557" s="874"/>
      <c r="E557" s="874"/>
      <c r="F557" s="905"/>
      <c r="G557" s="874"/>
      <c r="H557" s="874"/>
      <c r="I557" s="906"/>
      <c r="J557" s="162"/>
      <c r="K557" s="161"/>
      <c r="L557" s="161"/>
      <c r="M557" s="169"/>
      <c r="N557" s="163" t="str">
        <f t="shared" si="12"/>
        <v/>
      </c>
      <c r="O557" s="41"/>
      <c r="P557" s="41"/>
      <c r="Q557" s="161" t="str">
        <f>+IF(OR(O557="Fire Control",O557="Fire Tex 5062",O557="Fire Tex 5090",O557="Fire Tex 5120"),'CALCULO PINTURA'!P558," ")</f>
        <v xml:space="preserve"> </v>
      </c>
      <c r="R557" s="164" t="str">
        <f>+IF(OR(O557="Fire Control",O557="Fire Tex 5062",O557="Fire Tex 5090",O557="Fire Tex 5120"),'CALCULO PINTURA'!R558," ")</f>
        <v xml:space="preserve"> </v>
      </c>
      <c r="S557" s="164" t="str">
        <f>+IF(OR(O557="Fire Control",O557="Fire Tex 5062",O557="Fire Tex 5090",O557="Fire Tex 5120"),'CALCULO PINTURA'!S558," ")</f>
        <v xml:space="preserve"> </v>
      </c>
      <c r="T557" s="874" t="str">
        <f>+IF(OR(O557="Blaze Shield II",O557="Cafco 400",O557="Cafco 300"),'CALCULO MORTERO'!N563," ")</f>
        <v xml:space="preserve"> </v>
      </c>
      <c r="U557" s="875" t="str">
        <f>+IF(OR(O557="Blaze Shield II",O557="Cafco 400",O557="Cafco 300"),'CALCULO MORTERO'!O563," ")</f>
        <v xml:space="preserve"> </v>
      </c>
      <c r="V557" s="161" t="str" cm="1">
        <f t="array" ref="V557">_xlfn.IFS(O557="Blaze Shield II",'CALCULO MORTERO'!P558, O557="Cafco 400",'CALCULO MORTERO'!Q558,O557="Cafco 300",'CALCULO MORTERO'!S558, AND(OR(O557="Fire tex 5090", O557="Fire Tex 5062", O557="Fire Tex 5120", O557="Fire Control"),Q557&gt;0), "CERT.",TRUE,"-")</f>
        <v>-</v>
      </c>
    </row>
    <row r="558" spans="1:22" x14ac:dyDescent="0.25">
      <c r="A558" s="903"/>
      <c r="B558" s="907"/>
      <c r="C558" s="874"/>
      <c r="D558" s="874"/>
      <c r="E558" s="874"/>
      <c r="F558" s="905"/>
      <c r="G558" s="874"/>
      <c r="H558" s="874"/>
      <c r="I558" s="906"/>
      <c r="J558" s="162"/>
      <c r="K558" s="161"/>
      <c r="L558" s="161"/>
      <c r="M558" s="169"/>
      <c r="N558" s="163" t="str">
        <f t="shared" si="12"/>
        <v/>
      </c>
      <c r="O558" s="41"/>
      <c r="P558" s="41"/>
      <c r="Q558" s="161" t="str">
        <f>+IF(OR(O558="Fire Control",O558="Fire Tex 5062",O558="Fire Tex 5090",O558="Fire Tex 5120"),'CALCULO PINTURA'!P559," ")</f>
        <v xml:space="preserve"> </v>
      </c>
      <c r="R558" s="164" t="str">
        <f>+IF(OR(O558="Fire Control",O558="Fire Tex 5062",O558="Fire Tex 5090",O558="Fire Tex 5120"),'CALCULO PINTURA'!R559," ")</f>
        <v xml:space="preserve"> </v>
      </c>
      <c r="S558" s="164" t="str">
        <f>+IF(OR(O558="Fire Control",O558="Fire Tex 5062",O558="Fire Tex 5090",O558="Fire Tex 5120"),'CALCULO PINTURA'!S559," ")</f>
        <v xml:space="preserve"> </v>
      </c>
      <c r="T558" s="874" t="str">
        <f>+IF(OR(O558="Blaze Shield II",O558="Cafco 400",O558="Cafco 300"),'CALCULO MORTERO'!N564," ")</f>
        <v xml:space="preserve"> </v>
      </c>
      <c r="U558" s="875" t="str">
        <f>+IF(OR(O558="Blaze Shield II",O558="Cafco 400",O558="Cafco 300"),'CALCULO MORTERO'!O564," ")</f>
        <v xml:space="preserve"> </v>
      </c>
      <c r="V558" s="161" t="str" cm="1">
        <f t="array" ref="V558">_xlfn.IFS(O558="Blaze Shield II",'CALCULO MORTERO'!P559, O558="Cafco 400",'CALCULO MORTERO'!Q559,O558="Cafco 300",'CALCULO MORTERO'!S559, AND(OR(O558="Fire tex 5090", O558="Fire Tex 5062", O558="Fire Tex 5120", O558="Fire Control"),Q558&gt;0), "CERT.",TRUE,"-")</f>
        <v>-</v>
      </c>
    </row>
    <row r="559" spans="1:22" x14ac:dyDescent="0.25">
      <c r="A559" s="903"/>
      <c r="B559" s="907"/>
      <c r="C559" s="874"/>
      <c r="D559" s="874"/>
      <c r="E559" s="874"/>
      <c r="F559" s="905"/>
      <c r="G559" s="874"/>
      <c r="H559" s="874"/>
      <c r="I559" s="906"/>
      <c r="J559" s="162"/>
      <c r="K559" s="161"/>
      <c r="L559" s="161"/>
      <c r="M559" s="169"/>
      <c r="N559" s="163" t="str">
        <f t="shared" si="12"/>
        <v/>
      </c>
      <c r="O559" s="41"/>
      <c r="P559" s="41"/>
      <c r="Q559" s="161" t="str">
        <f>+IF(OR(O559="Fire Control",O559="Fire Tex 5062",O559="Fire Tex 5090",O559="Fire Tex 5120"),'CALCULO PINTURA'!P560," ")</f>
        <v xml:space="preserve"> </v>
      </c>
      <c r="R559" s="164" t="str">
        <f>+IF(OR(O559="Fire Control",O559="Fire Tex 5062",O559="Fire Tex 5090",O559="Fire Tex 5120"),'CALCULO PINTURA'!R560," ")</f>
        <v xml:space="preserve"> </v>
      </c>
      <c r="S559" s="164" t="str">
        <f>+IF(OR(O559="Fire Control",O559="Fire Tex 5062",O559="Fire Tex 5090",O559="Fire Tex 5120"),'CALCULO PINTURA'!S560," ")</f>
        <v xml:space="preserve"> </v>
      </c>
      <c r="T559" s="874" t="str">
        <f>+IF(OR(O559="Blaze Shield II",O559="Cafco 400",O559="Cafco 300"),'CALCULO MORTERO'!N565," ")</f>
        <v xml:space="preserve"> </v>
      </c>
      <c r="U559" s="875" t="str">
        <f>+IF(OR(O559="Blaze Shield II",O559="Cafco 400",O559="Cafco 300"),'CALCULO MORTERO'!O565," ")</f>
        <v xml:space="preserve"> </v>
      </c>
      <c r="V559" s="161" t="str" cm="1">
        <f t="array" ref="V559">_xlfn.IFS(O559="Blaze Shield II",'CALCULO MORTERO'!P560, O559="Cafco 400",'CALCULO MORTERO'!Q560,O559="Cafco 300",'CALCULO MORTERO'!S560, AND(OR(O559="Fire tex 5090", O559="Fire Tex 5062", O559="Fire Tex 5120", O559="Fire Control"),Q559&gt;0), "CERT.",TRUE,"-")</f>
        <v>-</v>
      </c>
    </row>
    <row r="560" spans="1:22" x14ac:dyDescent="0.25">
      <c r="A560" s="903"/>
      <c r="B560" s="907"/>
      <c r="C560" s="874"/>
      <c r="D560" s="874"/>
      <c r="E560" s="874"/>
      <c r="F560" s="905"/>
      <c r="G560" s="874"/>
      <c r="H560" s="874"/>
      <c r="I560" s="906"/>
      <c r="J560" s="162"/>
      <c r="K560" s="161"/>
      <c r="L560" s="161"/>
      <c r="M560" s="169"/>
      <c r="N560" s="163" t="str">
        <f t="shared" si="12"/>
        <v/>
      </c>
      <c r="O560" s="41"/>
      <c r="P560" s="41"/>
      <c r="Q560" s="161" t="str">
        <f>+IF(OR(O560="Fire Control",O560="Fire Tex 5062",O560="Fire Tex 5090",O560="Fire Tex 5120"),'CALCULO PINTURA'!P561," ")</f>
        <v xml:space="preserve"> </v>
      </c>
      <c r="R560" s="164" t="str">
        <f>+IF(OR(O560="Fire Control",O560="Fire Tex 5062",O560="Fire Tex 5090",O560="Fire Tex 5120"),'CALCULO PINTURA'!R561," ")</f>
        <v xml:space="preserve"> </v>
      </c>
      <c r="S560" s="164" t="str">
        <f>+IF(OR(O560="Fire Control",O560="Fire Tex 5062",O560="Fire Tex 5090",O560="Fire Tex 5120"),'CALCULO PINTURA'!S561," ")</f>
        <v xml:space="preserve"> </v>
      </c>
      <c r="T560" s="874" t="str">
        <f>+IF(OR(O560="Blaze Shield II",O560="Cafco 400",O560="Cafco 300"),'CALCULO MORTERO'!N566," ")</f>
        <v xml:space="preserve"> </v>
      </c>
      <c r="U560" s="875" t="str">
        <f>+IF(OR(O560="Blaze Shield II",O560="Cafco 400",O560="Cafco 300"),'CALCULO MORTERO'!O566," ")</f>
        <v xml:space="preserve"> </v>
      </c>
      <c r="V560" s="161" t="str" cm="1">
        <f t="array" ref="V560">_xlfn.IFS(O560="Blaze Shield II",'CALCULO MORTERO'!P561, O560="Cafco 400",'CALCULO MORTERO'!Q561,O560="Cafco 300",'CALCULO MORTERO'!S561, AND(OR(O560="Fire tex 5090", O560="Fire Tex 5062", O560="Fire Tex 5120", O560="Fire Control"),Q560&gt;0), "CERT.",TRUE,"-")</f>
        <v>-</v>
      </c>
    </row>
    <row r="561" spans="1:22" x14ac:dyDescent="0.25">
      <c r="A561" s="903"/>
      <c r="B561" s="907"/>
      <c r="C561" s="874"/>
      <c r="D561" s="874"/>
      <c r="E561" s="874"/>
      <c r="F561" s="905"/>
      <c r="G561" s="874"/>
      <c r="H561" s="874"/>
      <c r="I561" s="906"/>
      <c r="J561" s="162"/>
      <c r="K561" s="161"/>
      <c r="L561" s="161"/>
      <c r="M561" s="169"/>
      <c r="N561" s="163" t="str">
        <f t="shared" si="12"/>
        <v/>
      </c>
      <c r="O561" s="41"/>
      <c r="P561" s="41"/>
      <c r="Q561" s="161" t="str">
        <f>+IF(OR(O561="Fire Control",O561="Fire Tex 5062",O561="Fire Tex 5090",O561="Fire Tex 5120"),'CALCULO PINTURA'!P562," ")</f>
        <v xml:space="preserve"> </v>
      </c>
      <c r="R561" s="164" t="str">
        <f>+IF(OR(O561="Fire Control",O561="Fire Tex 5062",O561="Fire Tex 5090",O561="Fire Tex 5120"),'CALCULO PINTURA'!R562," ")</f>
        <v xml:space="preserve"> </v>
      </c>
      <c r="S561" s="164" t="str">
        <f>+IF(OR(O561="Fire Control",O561="Fire Tex 5062",O561="Fire Tex 5090",O561="Fire Tex 5120"),'CALCULO PINTURA'!S562," ")</f>
        <v xml:space="preserve"> </v>
      </c>
      <c r="T561" s="874" t="str">
        <f>+IF(OR(O561="Blaze Shield II",O561="Cafco 400",O561="Cafco 300"),'CALCULO MORTERO'!N567," ")</f>
        <v xml:space="preserve"> </v>
      </c>
      <c r="U561" s="875" t="str">
        <f>+IF(OR(O561="Blaze Shield II",O561="Cafco 400",O561="Cafco 300"),'CALCULO MORTERO'!O567," ")</f>
        <v xml:space="preserve"> </v>
      </c>
      <c r="V561" s="161" t="str" cm="1">
        <f t="array" ref="V561">_xlfn.IFS(O561="Blaze Shield II",'CALCULO MORTERO'!P562, O561="Cafco 400",'CALCULO MORTERO'!Q562,O561="Cafco 300",'CALCULO MORTERO'!S562, AND(OR(O561="Fire tex 5090", O561="Fire Tex 5062", O561="Fire Tex 5120", O561="Fire Control"),Q561&gt;0), "CERT.",TRUE,"-")</f>
        <v>-</v>
      </c>
    </row>
    <row r="562" spans="1:22" x14ac:dyDescent="0.25">
      <c r="A562" s="903"/>
      <c r="B562" s="907"/>
      <c r="C562" s="874"/>
      <c r="D562" s="874"/>
      <c r="E562" s="874"/>
      <c r="F562" s="905"/>
      <c r="G562" s="874"/>
      <c r="H562" s="874"/>
      <c r="I562" s="906"/>
      <c r="J562" s="162"/>
      <c r="K562" s="161"/>
      <c r="L562" s="161"/>
      <c r="M562" s="169"/>
      <c r="N562" s="163" t="str">
        <f t="shared" si="12"/>
        <v/>
      </c>
      <c r="O562" s="41"/>
      <c r="P562" s="41"/>
      <c r="Q562" s="161" t="str">
        <f>+IF(OR(O562="Fire Control",O562="Fire Tex 5062",O562="Fire Tex 5090",O562="Fire Tex 5120"),'CALCULO PINTURA'!P563," ")</f>
        <v xml:space="preserve"> </v>
      </c>
      <c r="R562" s="164" t="str">
        <f>+IF(OR(O562="Fire Control",O562="Fire Tex 5062",O562="Fire Tex 5090",O562="Fire Tex 5120"),'CALCULO PINTURA'!R563," ")</f>
        <v xml:space="preserve"> </v>
      </c>
      <c r="S562" s="164" t="str">
        <f>+IF(OR(O562="Fire Control",O562="Fire Tex 5062",O562="Fire Tex 5090",O562="Fire Tex 5120"),'CALCULO PINTURA'!S563," ")</f>
        <v xml:space="preserve"> </v>
      </c>
      <c r="T562" s="874" t="str">
        <f>+IF(OR(O562="Blaze Shield II",O562="Cafco 400",O562="Cafco 300"),'CALCULO MORTERO'!N568," ")</f>
        <v xml:space="preserve"> </v>
      </c>
      <c r="U562" s="875" t="str">
        <f>+IF(OR(O562="Blaze Shield II",O562="Cafco 400",O562="Cafco 300"),'CALCULO MORTERO'!O568," ")</f>
        <v xml:space="preserve"> </v>
      </c>
      <c r="V562" s="161" t="str" cm="1">
        <f t="array" ref="V562">_xlfn.IFS(O562="Blaze Shield II",'CALCULO MORTERO'!P563, O562="Cafco 400",'CALCULO MORTERO'!Q563,O562="Cafco 300",'CALCULO MORTERO'!S563, AND(OR(O562="Fire tex 5090", O562="Fire Tex 5062", O562="Fire Tex 5120", O562="Fire Control"),Q562&gt;0), "CERT.",TRUE,"-")</f>
        <v>-</v>
      </c>
    </row>
    <row r="563" spans="1:22" x14ac:dyDescent="0.25">
      <c r="A563" s="903"/>
      <c r="B563" s="907"/>
      <c r="C563" s="874"/>
      <c r="D563" s="874"/>
      <c r="E563" s="874"/>
      <c r="F563" s="905"/>
      <c r="G563" s="874"/>
      <c r="H563" s="874"/>
      <c r="I563" s="906"/>
      <c r="J563" s="162"/>
      <c r="K563" s="161"/>
      <c r="L563" s="161"/>
      <c r="M563" s="169"/>
      <c r="N563" s="163" t="str">
        <f t="shared" si="12"/>
        <v/>
      </c>
      <c r="O563" s="41"/>
      <c r="P563" s="41"/>
      <c r="Q563" s="161" t="str">
        <f>+IF(OR(O563="Fire Control",O563="Fire Tex 5062",O563="Fire Tex 5090",O563="Fire Tex 5120"),'CALCULO PINTURA'!P564," ")</f>
        <v xml:space="preserve"> </v>
      </c>
      <c r="R563" s="164" t="str">
        <f>+IF(OR(O563="Fire Control",O563="Fire Tex 5062",O563="Fire Tex 5090",O563="Fire Tex 5120"),'CALCULO PINTURA'!R564," ")</f>
        <v xml:space="preserve"> </v>
      </c>
      <c r="S563" s="164" t="str">
        <f>+IF(OR(O563="Fire Control",O563="Fire Tex 5062",O563="Fire Tex 5090",O563="Fire Tex 5120"),'CALCULO PINTURA'!S564," ")</f>
        <v xml:space="preserve"> </v>
      </c>
      <c r="T563" s="874" t="str">
        <f>+IF(OR(O563="Blaze Shield II",O563="Cafco 400",O563="Cafco 300"),'CALCULO MORTERO'!N569," ")</f>
        <v xml:space="preserve"> </v>
      </c>
      <c r="U563" s="875" t="str">
        <f>+IF(OR(O563="Blaze Shield II",O563="Cafco 400",O563="Cafco 300"),'CALCULO MORTERO'!O569," ")</f>
        <v xml:space="preserve"> </v>
      </c>
      <c r="V563" s="161" t="str" cm="1">
        <f t="array" ref="V563">_xlfn.IFS(O563="Blaze Shield II",'CALCULO MORTERO'!P564, O563="Cafco 400",'CALCULO MORTERO'!Q564,O563="Cafco 300",'CALCULO MORTERO'!S564, AND(OR(O563="Fire tex 5090", O563="Fire Tex 5062", O563="Fire Tex 5120", O563="Fire Control"),Q563&gt;0), "CERT.",TRUE,"-")</f>
        <v>-</v>
      </c>
    </row>
    <row r="564" spans="1:22" x14ac:dyDescent="0.25">
      <c r="A564" s="903"/>
      <c r="B564" s="907"/>
      <c r="C564" s="874"/>
      <c r="D564" s="874"/>
      <c r="E564" s="874"/>
      <c r="F564" s="905"/>
      <c r="G564" s="874"/>
      <c r="H564" s="874"/>
      <c r="I564" s="906"/>
      <c r="J564" s="162"/>
      <c r="K564" s="161"/>
      <c r="L564" s="161"/>
      <c r="M564" s="169"/>
      <c r="N564" s="163" t="str">
        <f t="shared" si="12"/>
        <v/>
      </c>
      <c r="O564" s="41"/>
      <c r="P564" s="41"/>
      <c r="Q564" s="161" t="str">
        <f>+IF(OR(O564="Fire Control",O564="Fire Tex 5062",O564="Fire Tex 5090",O564="Fire Tex 5120"),'CALCULO PINTURA'!P565," ")</f>
        <v xml:space="preserve"> </v>
      </c>
      <c r="R564" s="164" t="str">
        <f>+IF(OR(O564="Fire Control",O564="Fire Tex 5062",O564="Fire Tex 5090",O564="Fire Tex 5120"),'CALCULO PINTURA'!R565," ")</f>
        <v xml:space="preserve"> </v>
      </c>
      <c r="S564" s="164" t="str">
        <f>+IF(OR(O564="Fire Control",O564="Fire Tex 5062",O564="Fire Tex 5090",O564="Fire Tex 5120"),'CALCULO PINTURA'!S565," ")</f>
        <v xml:space="preserve"> </v>
      </c>
      <c r="T564" s="874" t="str">
        <f>+IF(OR(O564="Blaze Shield II",O564="Cafco 400",O564="Cafco 300"),'CALCULO MORTERO'!N570," ")</f>
        <v xml:space="preserve"> </v>
      </c>
      <c r="U564" s="875" t="str">
        <f>+IF(OR(O564="Blaze Shield II",O564="Cafco 400",O564="Cafco 300"),'CALCULO MORTERO'!O570," ")</f>
        <v xml:space="preserve"> </v>
      </c>
      <c r="V564" s="161" t="str" cm="1">
        <f t="array" ref="V564">_xlfn.IFS(O564="Blaze Shield II",'CALCULO MORTERO'!P565, O564="Cafco 400",'CALCULO MORTERO'!Q565,O564="Cafco 300",'CALCULO MORTERO'!S565, AND(OR(O564="Fire tex 5090", O564="Fire Tex 5062", O564="Fire Tex 5120", O564="Fire Control"),Q564&gt;0), "CERT.",TRUE,"-")</f>
        <v>-</v>
      </c>
    </row>
    <row r="565" spans="1:22" x14ac:dyDescent="0.25">
      <c r="A565" s="903"/>
      <c r="B565" s="907"/>
      <c r="C565" s="874"/>
      <c r="D565" s="874"/>
      <c r="E565" s="874"/>
      <c r="F565" s="905"/>
      <c r="G565" s="874"/>
      <c r="H565" s="874"/>
      <c r="I565" s="906"/>
      <c r="J565" s="162"/>
      <c r="K565" s="161"/>
      <c r="L565" s="161"/>
      <c r="M565" s="169"/>
      <c r="N565" s="163" t="str">
        <f t="shared" si="12"/>
        <v/>
      </c>
      <c r="O565" s="41"/>
      <c r="P565" s="41"/>
      <c r="Q565" s="161" t="str">
        <f>+IF(OR(O565="Fire Control",O565="Fire Tex 5062",O565="Fire Tex 5090",O565="Fire Tex 5120"),'CALCULO PINTURA'!P566," ")</f>
        <v xml:space="preserve"> </v>
      </c>
      <c r="R565" s="164" t="str">
        <f>+IF(OR(O565="Fire Control",O565="Fire Tex 5062",O565="Fire Tex 5090",O565="Fire Tex 5120"),'CALCULO PINTURA'!R566," ")</f>
        <v xml:space="preserve"> </v>
      </c>
      <c r="S565" s="164" t="str">
        <f>+IF(OR(O565="Fire Control",O565="Fire Tex 5062",O565="Fire Tex 5090",O565="Fire Tex 5120"),'CALCULO PINTURA'!S566," ")</f>
        <v xml:space="preserve"> </v>
      </c>
      <c r="T565" s="874" t="str">
        <f>+IF(OR(O565="Blaze Shield II",O565="Cafco 400",O565="Cafco 300"),'CALCULO MORTERO'!N571," ")</f>
        <v xml:space="preserve"> </v>
      </c>
      <c r="U565" s="875" t="str">
        <f>+IF(OR(O565="Blaze Shield II",O565="Cafco 400",O565="Cafco 300"),'CALCULO MORTERO'!O571," ")</f>
        <v xml:space="preserve"> </v>
      </c>
      <c r="V565" s="161" t="str" cm="1">
        <f t="array" ref="V565">_xlfn.IFS(O565="Blaze Shield II",'CALCULO MORTERO'!P566, O565="Cafco 400",'CALCULO MORTERO'!Q566,O565="Cafco 300",'CALCULO MORTERO'!S566, AND(OR(O565="Fire tex 5090", O565="Fire Tex 5062", O565="Fire Tex 5120", O565="Fire Control"),Q565&gt;0), "CERT.",TRUE,"-")</f>
        <v>-</v>
      </c>
    </row>
    <row r="566" spans="1:22" x14ac:dyDescent="0.25">
      <c r="A566" s="903"/>
      <c r="B566" s="907"/>
      <c r="C566" s="874"/>
      <c r="D566" s="874"/>
      <c r="E566" s="874"/>
      <c r="F566" s="905"/>
      <c r="G566" s="874"/>
      <c r="H566" s="874"/>
      <c r="I566" s="906"/>
      <c r="J566" s="162"/>
      <c r="K566" s="161"/>
      <c r="L566" s="161"/>
      <c r="M566" s="169"/>
      <c r="N566" s="163" t="str">
        <f t="shared" si="12"/>
        <v/>
      </c>
      <c r="O566" s="41"/>
      <c r="P566" s="41"/>
      <c r="Q566" s="161" t="str">
        <f>+IF(OR(O566="Fire Control",O566="Fire Tex 5062",O566="Fire Tex 5090",O566="Fire Tex 5120"),'CALCULO PINTURA'!P567," ")</f>
        <v xml:space="preserve"> </v>
      </c>
      <c r="R566" s="164" t="str">
        <f>+IF(OR(O566="Fire Control",O566="Fire Tex 5062",O566="Fire Tex 5090",O566="Fire Tex 5120"),'CALCULO PINTURA'!R567," ")</f>
        <v xml:space="preserve"> </v>
      </c>
      <c r="S566" s="164" t="str">
        <f>+IF(OR(O566="Fire Control",O566="Fire Tex 5062",O566="Fire Tex 5090",O566="Fire Tex 5120"),'CALCULO PINTURA'!S567," ")</f>
        <v xml:space="preserve"> </v>
      </c>
      <c r="T566" s="874" t="str">
        <f>+IF(OR(O566="Blaze Shield II",O566="Cafco 400",O566="Cafco 300"),'CALCULO MORTERO'!N572," ")</f>
        <v xml:space="preserve"> </v>
      </c>
      <c r="U566" s="875" t="str">
        <f>+IF(OR(O566="Blaze Shield II",O566="Cafco 400",O566="Cafco 300"),'CALCULO MORTERO'!O572," ")</f>
        <v xml:space="preserve"> </v>
      </c>
      <c r="V566" s="161" t="str" cm="1">
        <f t="array" ref="V566">_xlfn.IFS(O566="Blaze Shield II",'CALCULO MORTERO'!P567, O566="Cafco 400",'CALCULO MORTERO'!Q567,O566="Cafco 300",'CALCULO MORTERO'!S567, AND(OR(O566="Fire tex 5090", O566="Fire Tex 5062", O566="Fire Tex 5120", O566="Fire Control"),Q566&gt;0), "CERT.",TRUE,"-")</f>
        <v>-</v>
      </c>
    </row>
    <row r="567" spans="1:22" x14ac:dyDescent="0.25">
      <c r="A567" s="903"/>
      <c r="B567" s="907"/>
      <c r="C567" s="874"/>
      <c r="D567" s="874"/>
      <c r="E567" s="874"/>
      <c r="F567" s="905"/>
      <c r="G567" s="874"/>
      <c r="H567" s="874"/>
      <c r="I567" s="906"/>
      <c r="J567" s="162"/>
      <c r="K567" s="161"/>
      <c r="L567" s="161"/>
      <c r="M567" s="169"/>
      <c r="N567" s="163" t="str">
        <f t="shared" si="12"/>
        <v/>
      </c>
      <c r="O567" s="41"/>
      <c r="P567" s="41"/>
      <c r="Q567" s="161" t="str">
        <f>+IF(OR(O567="Fire Control",O567="Fire Tex 5062",O567="Fire Tex 5090",O567="Fire Tex 5120"),'CALCULO PINTURA'!P568," ")</f>
        <v xml:space="preserve"> </v>
      </c>
      <c r="R567" s="164" t="str">
        <f>+IF(OR(O567="Fire Control",O567="Fire Tex 5062",O567="Fire Tex 5090",O567="Fire Tex 5120"),'CALCULO PINTURA'!R568," ")</f>
        <v xml:space="preserve"> </v>
      </c>
      <c r="S567" s="164" t="str">
        <f>+IF(OR(O567="Fire Control",O567="Fire Tex 5062",O567="Fire Tex 5090",O567="Fire Tex 5120"),'CALCULO PINTURA'!S568," ")</f>
        <v xml:space="preserve"> </v>
      </c>
      <c r="T567" s="874" t="str">
        <f>+IF(OR(O567="Blaze Shield II",O567="Cafco 400",O567="Cafco 300"),'CALCULO MORTERO'!N573," ")</f>
        <v xml:space="preserve"> </v>
      </c>
      <c r="U567" s="875" t="str">
        <f>+IF(OR(O567="Blaze Shield II",O567="Cafco 400",O567="Cafco 300"),'CALCULO MORTERO'!O573," ")</f>
        <v xml:space="preserve"> </v>
      </c>
      <c r="V567" s="161" t="str" cm="1">
        <f t="array" ref="V567">_xlfn.IFS(O567="Blaze Shield II",'CALCULO MORTERO'!P568, O567="Cafco 400",'CALCULO MORTERO'!Q568,O567="Cafco 300",'CALCULO MORTERO'!S568, AND(OR(O567="Fire tex 5090", O567="Fire Tex 5062", O567="Fire Tex 5120", O567="Fire Control"),Q567&gt;0), "CERT.",TRUE,"-")</f>
        <v>-</v>
      </c>
    </row>
    <row r="568" spans="1:22" x14ac:dyDescent="0.25">
      <c r="A568" s="903"/>
      <c r="B568" s="907"/>
      <c r="C568" s="874"/>
      <c r="D568" s="874"/>
      <c r="E568" s="874"/>
      <c r="F568" s="905"/>
      <c r="G568" s="874"/>
      <c r="H568" s="874"/>
      <c r="I568" s="906"/>
      <c r="J568" s="162"/>
      <c r="K568" s="161"/>
      <c r="L568" s="161"/>
      <c r="M568" s="169"/>
      <c r="N568" s="163" t="str">
        <f t="shared" si="12"/>
        <v/>
      </c>
      <c r="O568" s="41"/>
      <c r="P568" s="41"/>
      <c r="Q568" s="161" t="str">
        <f>+IF(OR(O568="Fire Control",O568="Fire Tex 5062",O568="Fire Tex 5090",O568="Fire Tex 5120"),'CALCULO PINTURA'!P569," ")</f>
        <v xml:space="preserve"> </v>
      </c>
      <c r="R568" s="164" t="str">
        <f>+IF(OR(O568="Fire Control",O568="Fire Tex 5062",O568="Fire Tex 5090",O568="Fire Tex 5120"),'CALCULO PINTURA'!R569," ")</f>
        <v xml:space="preserve"> </v>
      </c>
      <c r="S568" s="164" t="str">
        <f>+IF(OR(O568="Fire Control",O568="Fire Tex 5062",O568="Fire Tex 5090",O568="Fire Tex 5120"),'CALCULO PINTURA'!S569," ")</f>
        <v xml:space="preserve"> </v>
      </c>
      <c r="T568" s="874" t="str">
        <f>+IF(OR(O568="Blaze Shield II",O568="Cafco 400",O568="Cafco 300"),'CALCULO MORTERO'!N574," ")</f>
        <v xml:space="preserve"> </v>
      </c>
      <c r="U568" s="875" t="str">
        <f>+IF(OR(O568="Blaze Shield II",O568="Cafco 400",O568="Cafco 300"),'CALCULO MORTERO'!O574," ")</f>
        <v xml:space="preserve"> </v>
      </c>
      <c r="V568" s="161" t="str" cm="1">
        <f t="array" ref="V568">_xlfn.IFS(O568="Blaze Shield II",'CALCULO MORTERO'!P569, O568="Cafco 400",'CALCULO MORTERO'!Q569,O568="Cafco 300",'CALCULO MORTERO'!S569, AND(OR(O568="Fire tex 5090", O568="Fire Tex 5062", O568="Fire Tex 5120", O568="Fire Control"),Q568&gt;0), "CERT.",TRUE,"-")</f>
        <v>-</v>
      </c>
    </row>
    <row r="569" spans="1:22" x14ac:dyDescent="0.25">
      <c r="A569" s="903"/>
      <c r="B569" s="907"/>
      <c r="C569" s="874"/>
      <c r="D569" s="874"/>
      <c r="E569" s="874"/>
      <c r="F569" s="905"/>
      <c r="G569" s="874"/>
      <c r="H569" s="874"/>
      <c r="I569" s="906"/>
      <c r="J569" s="162"/>
      <c r="K569" s="161"/>
      <c r="L569" s="161"/>
      <c r="M569" s="169"/>
      <c r="N569" s="163" t="str">
        <f t="shared" si="12"/>
        <v/>
      </c>
      <c r="O569" s="41"/>
      <c r="P569" s="41"/>
      <c r="Q569" s="161" t="str">
        <f>+IF(OR(O569="Fire Control",O569="Fire Tex 5062",O569="Fire Tex 5090",O569="Fire Tex 5120"),'CALCULO PINTURA'!P570," ")</f>
        <v xml:space="preserve"> </v>
      </c>
      <c r="R569" s="164" t="str">
        <f>+IF(OR(O569="Fire Control",O569="Fire Tex 5062",O569="Fire Tex 5090",O569="Fire Tex 5120"),'CALCULO PINTURA'!R570," ")</f>
        <v xml:space="preserve"> </v>
      </c>
      <c r="S569" s="164" t="str">
        <f>+IF(OR(O569="Fire Control",O569="Fire Tex 5062",O569="Fire Tex 5090",O569="Fire Tex 5120"),'CALCULO PINTURA'!S570," ")</f>
        <v xml:space="preserve"> </v>
      </c>
      <c r="T569" s="874" t="str">
        <f>+IF(OR(O569="Blaze Shield II",O569="Cafco 400",O569="Cafco 300"),'CALCULO MORTERO'!N575," ")</f>
        <v xml:space="preserve"> </v>
      </c>
      <c r="U569" s="875" t="str">
        <f>+IF(OR(O569="Blaze Shield II",O569="Cafco 400",O569="Cafco 300"),'CALCULO MORTERO'!O575," ")</f>
        <v xml:space="preserve"> </v>
      </c>
      <c r="V569" s="161" t="str" cm="1">
        <f t="array" ref="V569">_xlfn.IFS(O569="Blaze Shield II",'CALCULO MORTERO'!P570, O569="Cafco 400",'CALCULO MORTERO'!Q570,O569="Cafco 300",'CALCULO MORTERO'!S570, AND(OR(O569="Fire tex 5090", O569="Fire Tex 5062", O569="Fire Tex 5120", O569="Fire Control"),Q569&gt;0), "CERT.",TRUE,"-")</f>
        <v>-</v>
      </c>
    </row>
    <row r="570" spans="1:22" x14ac:dyDescent="0.25">
      <c r="A570" s="903"/>
      <c r="B570" s="907"/>
      <c r="C570" s="874"/>
      <c r="D570" s="874"/>
      <c r="E570" s="874"/>
      <c r="F570" s="905"/>
      <c r="G570" s="874"/>
      <c r="H570" s="874"/>
      <c r="I570" s="906"/>
      <c r="J570" s="162"/>
      <c r="K570" s="161"/>
      <c r="L570" s="161"/>
      <c r="M570" s="169"/>
      <c r="N570" s="163" t="str">
        <f t="shared" si="12"/>
        <v/>
      </c>
      <c r="O570" s="41"/>
      <c r="P570" s="41"/>
      <c r="Q570" s="161" t="str">
        <f>+IF(OR(O570="Fire Control",O570="Fire Tex 5062",O570="Fire Tex 5090",O570="Fire Tex 5120"),'CALCULO PINTURA'!P571," ")</f>
        <v xml:space="preserve"> </v>
      </c>
      <c r="R570" s="164" t="str">
        <f>+IF(OR(O570="Fire Control",O570="Fire Tex 5062",O570="Fire Tex 5090",O570="Fire Tex 5120"),'CALCULO PINTURA'!R571," ")</f>
        <v xml:space="preserve"> </v>
      </c>
      <c r="S570" s="164" t="str">
        <f>+IF(OR(O570="Fire Control",O570="Fire Tex 5062",O570="Fire Tex 5090",O570="Fire Tex 5120"),'CALCULO PINTURA'!S571," ")</f>
        <v xml:space="preserve"> </v>
      </c>
      <c r="T570" s="874" t="str">
        <f>+IF(OR(O570="Blaze Shield II",O570="Cafco 400",O570="Cafco 300"),'CALCULO MORTERO'!N576," ")</f>
        <v xml:space="preserve"> </v>
      </c>
      <c r="U570" s="875" t="str">
        <f>+IF(OR(O570="Blaze Shield II",O570="Cafco 400",O570="Cafco 300"),'CALCULO MORTERO'!O576," ")</f>
        <v xml:space="preserve"> </v>
      </c>
      <c r="V570" s="161" t="str" cm="1">
        <f t="array" ref="V570">_xlfn.IFS(O570="Blaze Shield II",'CALCULO MORTERO'!P571, O570="Cafco 400",'CALCULO MORTERO'!Q571,O570="Cafco 300",'CALCULO MORTERO'!S571, AND(OR(O570="Fire tex 5090", O570="Fire Tex 5062", O570="Fire Tex 5120", O570="Fire Control"),Q570&gt;0), "CERT.",TRUE,"-")</f>
        <v>-</v>
      </c>
    </row>
    <row r="571" spans="1:22" x14ac:dyDescent="0.25">
      <c r="A571" s="903"/>
      <c r="B571" s="907"/>
      <c r="C571" s="874"/>
      <c r="D571" s="874"/>
      <c r="E571" s="874"/>
      <c r="F571" s="905"/>
      <c r="G571" s="874"/>
      <c r="H571" s="874"/>
      <c r="I571" s="906"/>
      <c r="J571" s="162"/>
      <c r="K571" s="161"/>
      <c r="L571" s="161"/>
      <c r="M571" s="169"/>
      <c r="N571" s="163" t="str">
        <f t="shared" si="12"/>
        <v/>
      </c>
      <c r="O571" s="41"/>
      <c r="P571" s="41"/>
      <c r="Q571" s="161" t="str">
        <f>+IF(OR(O571="Fire Control",O571="Fire Tex 5062",O571="Fire Tex 5090",O571="Fire Tex 5120"),'CALCULO PINTURA'!P572," ")</f>
        <v xml:space="preserve"> </v>
      </c>
      <c r="R571" s="164" t="str">
        <f>+IF(OR(O571="Fire Control",O571="Fire Tex 5062",O571="Fire Tex 5090",O571="Fire Tex 5120"),'CALCULO PINTURA'!R572," ")</f>
        <v xml:space="preserve"> </v>
      </c>
      <c r="S571" s="164" t="str">
        <f>+IF(OR(O571="Fire Control",O571="Fire Tex 5062",O571="Fire Tex 5090",O571="Fire Tex 5120"),'CALCULO PINTURA'!S572," ")</f>
        <v xml:space="preserve"> </v>
      </c>
      <c r="T571" s="874" t="str">
        <f>+IF(OR(O571="Blaze Shield II",O571="Cafco 400",O571="Cafco 300"),'CALCULO MORTERO'!N577," ")</f>
        <v xml:space="preserve"> </v>
      </c>
      <c r="U571" s="875" t="str">
        <f>+IF(OR(O571="Blaze Shield II",O571="Cafco 400",O571="Cafco 300"),'CALCULO MORTERO'!O577," ")</f>
        <v xml:space="preserve"> </v>
      </c>
      <c r="V571" s="161" t="str" cm="1">
        <f t="array" ref="V571">_xlfn.IFS(O571="Blaze Shield II",'CALCULO MORTERO'!P572, O571="Cafco 400",'CALCULO MORTERO'!Q572,O571="Cafco 300",'CALCULO MORTERO'!S572, AND(OR(O571="Fire tex 5090", O571="Fire Tex 5062", O571="Fire Tex 5120", O571="Fire Control"),Q571&gt;0), "CERT.",TRUE,"-")</f>
        <v>-</v>
      </c>
    </row>
    <row r="572" spans="1:22" x14ac:dyDescent="0.25">
      <c r="A572" s="903"/>
      <c r="B572" s="907"/>
      <c r="C572" s="874"/>
      <c r="D572" s="874"/>
      <c r="E572" s="874"/>
      <c r="F572" s="905"/>
      <c r="G572" s="874"/>
      <c r="H572" s="874"/>
      <c r="I572" s="906"/>
      <c r="J572" s="162"/>
      <c r="K572" s="161"/>
      <c r="L572" s="161"/>
      <c r="M572" s="169"/>
      <c r="N572" s="163" t="str">
        <f t="shared" si="12"/>
        <v/>
      </c>
      <c r="O572" s="41"/>
      <c r="P572" s="41"/>
      <c r="Q572" s="161" t="str">
        <f>+IF(OR(O572="Fire Control",O572="Fire Tex 5062",O572="Fire Tex 5090",O572="Fire Tex 5120"),'CALCULO PINTURA'!P573," ")</f>
        <v xml:space="preserve"> </v>
      </c>
      <c r="R572" s="164" t="str">
        <f>+IF(OR(O572="Fire Control",O572="Fire Tex 5062",O572="Fire Tex 5090",O572="Fire Tex 5120"),'CALCULO PINTURA'!R573," ")</f>
        <v xml:space="preserve"> </v>
      </c>
      <c r="S572" s="164" t="str">
        <f>+IF(OR(O572="Fire Control",O572="Fire Tex 5062",O572="Fire Tex 5090",O572="Fire Tex 5120"),'CALCULO PINTURA'!S573," ")</f>
        <v xml:space="preserve"> </v>
      </c>
      <c r="T572" s="874" t="str">
        <f>+IF(OR(O572="Blaze Shield II",O572="Cafco 400",O572="Cafco 300"),'CALCULO MORTERO'!N578," ")</f>
        <v xml:space="preserve"> </v>
      </c>
      <c r="U572" s="875" t="str">
        <f>+IF(OR(O572="Blaze Shield II",O572="Cafco 400",O572="Cafco 300"),'CALCULO MORTERO'!O578," ")</f>
        <v xml:space="preserve"> </v>
      </c>
      <c r="V572" s="161" t="str" cm="1">
        <f t="array" ref="V572">_xlfn.IFS(O572="Blaze Shield II",'CALCULO MORTERO'!P573, O572="Cafco 400",'CALCULO MORTERO'!Q573,O572="Cafco 300",'CALCULO MORTERO'!S573, AND(OR(O572="Fire tex 5090", O572="Fire Tex 5062", O572="Fire Tex 5120", O572="Fire Control"),Q572&gt;0), "CERT.",TRUE,"-")</f>
        <v>-</v>
      </c>
    </row>
    <row r="573" spans="1:22" x14ac:dyDescent="0.25">
      <c r="A573" s="903"/>
      <c r="B573" s="907"/>
      <c r="C573" s="874"/>
      <c r="D573" s="874"/>
      <c r="E573" s="874"/>
      <c r="F573" s="905"/>
      <c r="G573" s="874"/>
      <c r="H573" s="874"/>
      <c r="I573" s="906"/>
      <c r="J573" s="162"/>
      <c r="K573" s="161"/>
      <c r="L573" s="161"/>
      <c r="M573" s="169"/>
      <c r="N573" s="163" t="str">
        <f t="shared" si="12"/>
        <v/>
      </c>
      <c r="O573" s="41"/>
      <c r="P573" s="41"/>
      <c r="Q573" s="161" t="str">
        <f>+IF(OR(O573="Fire Control",O573="Fire Tex 5062",O573="Fire Tex 5090",O573="Fire Tex 5120"),'CALCULO PINTURA'!P574," ")</f>
        <v xml:space="preserve"> </v>
      </c>
      <c r="R573" s="164" t="str">
        <f>+IF(OR(O573="Fire Control",O573="Fire Tex 5062",O573="Fire Tex 5090",O573="Fire Tex 5120"),'CALCULO PINTURA'!R574," ")</f>
        <v xml:space="preserve"> </v>
      </c>
      <c r="S573" s="164" t="str">
        <f>+IF(OR(O573="Fire Control",O573="Fire Tex 5062",O573="Fire Tex 5090",O573="Fire Tex 5120"),'CALCULO PINTURA'!S574," ")</f>
        <v xml:space="preserve"> </v>
      </c>
      <c r="T573" s="874" t="str">
        <f>+IF(OR(O573="Blaze Shield II",O573="Cafco 400",O573="Cafco 300"),'CALCULO MORTERO'!N579," ")</f>
        <v xml:space="preserve"> </v>
      </c>
      <c r="U573" s="875" t="str">
        <f>+IF(OR(O573="Blaze Shield II",O573="Cafco 400",O573="Cafco 300"),'CALCULO MORTERO'!O579," ")</f>
        <v xml:space="preserve"> </v>
      </c>
      <c r="V573" s="161" t="str" cm="1">
        <f t="array" ref="V573">_xlfn.IFS(O573="Blaze Shield II",'CALCULO MORTERO'!P574, O573="Cafco 400",'CALCULO MORTERO'!Q574,O573="Cafco 300",'CALCULO MORTERO'!S574, AND(OR(O573="Fire tex 5090", O573="Fire Tex 5062", O573="Fire Tex 5120", O573="Fire Control"),Q573&gt;0), "CERT.",TRUE,"-")</f>
        <v>-</v>
      </c>
    </row>
    <row r="574" spans="1:22" x14ac:dyDescent="0.25">
      <c r="A574" s="903"/>
      <c r="B574" s="907"/>
      <c r="C574" s="874"/>
      <c r="D574" s="874"/>
      <c r="E574" s="874"/>
      <c r="F574" s="905"/>
      <c r="G574" s="874"/>
      <c r="H574" s="874"/>
      <c r="I574" s="906"/>
      <c r="J574" s="162"/>
      <c r="K574" s="161"/>
      <c r="L574" s="161"/>
      <c r="M574" s="169"/>
      <c r="N574" s="163" t="str">
        <f t="shared" si="12"/>
        <v/>
      </c>
      <c r="O574" s="41"/>
      <c r="P574" s="41"/>
      <c r="Q574" s="161" t="str">
        <f>+IF(OR(O574="Fire Control",O574="Fire Tex 5062",O574="Fire Tex 5090",O574="Fire Tex 5120"),'CALCULO PINTURA'!P575," ")</f>
        <v xml:space="preserve"> </v>
      </c>
      <c r="R574" s="164" t="str">
        <f>+IF(OR(O574="Fire Control",O574="Fire Tex 5062",O574="Fire Tex 5090",O574="Fire Tex 5120"),'CALCULO PINTURA'!R575," ")</f>
        <v xml:space="preserve"> </v>
      </c>
      <c r="S574" s="164" t="str">
        <f>+IF(OR(O574="Fire Control",O574="Fire Tex 5062",O574="Fire Tex 5090",O574="Fire Tex 5120"),'CALCULO PINTURA'!S575," ")</f>
        <v xml:space="preserve"> </v>
      </c>
      <c r="T574" s="874" t="str">
        <f>+IF(OR(O574="Blaze Shield II",O574="Cafco 400",O574="Cafco 300"),'CALCULO MORTERO'!N580," ")</f>
        <v xml:space="preserve"> </v>
      </c>
      <c r="U574" s="875" t="str">
        <f>+IF(OR(O574="Blaze Shield II",O574="Cafco 400",O574="Cafco 300"),'CALCULO MORTERO'!O580," ")</f>
        <v xml:space="preserve"> </v>
      </c>
      <c r="V574" s="161" t="str" cm="1">
        <f t="array" ref="V574">_xlfn.IFS(O574="Blaze Shield II",'CALCULO MORTERO'!P575, O574="Cafco 400",'CALCULO MORTERO'!Q575,O574="Cafco 300",'CALCULO MORTERO'!S575, AND(OR(O574="Fire tex 5090", O574="Fire Tex 5062", O574="Fire Tex 5120", O574="Fire Control"),Q574&gt;0), "CERT.",TRUE,"-")</f>
        <v>-</v>
      </c>
    </row>
    <row r="575" spans="1:22" x14ac:dyDescent="0.25">
      <c r="A575" s="903"/>
      <c r="B575" s="907"/>
      <c r="C575" s="874"/>
      <c r="D575" s="874"/>
      <c r="E575" s="874"/>
      <c r="F575" s="905"/>
      <c r="G575" s="874"/>
      <c r="H575" s="874"/>
      <c r="I575" s="906"/>
      <c r="J575" s="162"/>
      <c r="K575" s="161"/>
      <c r="L575" s="161"/>
      <c r="M575" s="169"/>
      <c r="N575" s="163" t="str">
        <f t="shared" si="12"/>
        <v/>
      </c>
      <c r="O575" s="41"/>
      <c r="P575" s="41"/>
      <c r="Q575" s="161" t="str">
        <f>+IF(OR(O575="Fire Control",O575="Fire Tex 5062",O575="Fire Tex 5090",O575="Fire Tex 5120"),'CALCULO PINTURA'!P576," ")</f>
        <v xml:space="preserve"> </v>
      </c>
      <c r="R575" s="164" t="str">
        <f>+IF(OR(O575="Fire Control",O575="Fire Tex 5062",O575="Fire Tex 5090",O575="Fire Tex 5120"),'CALCULO PINTURA'!R576," ")</f>
        <v xml:space="preserve"> </v>
      </c>
      <c r="S575" s="164" t="str">
        <f>+IF(OR(O575="Fire Control",O575="Fire Tex 5062",O575="Fire Tex 5090",O575="Fire Tex 5120"),'CALCULO PINTURA'!S576," ")</f>
        <v xml:space="preserve"> </v>
      </c>
      <c r="T575" s="874" t="str">
        <f>+IF(OR(O575="Blaze Shield II",O575="Cafco 400",O575="Cafco 300"),'CALCULO MORTERO'!N581," ")</f>
        <v xml:space="preserve"> </v>
      </c>
      <c r="U575" s="875" t="str">
        <f>+IF(OR(O575="Blaze Shield II",O575="Cafco 400",O575="Cafco 300"),'CALCULO MORTERO'!O581," ")</f>
        <v xml:space="preserve"> </v>
      </c>
      <c r="V575" s="161" t="str" cm="1">
        <f t="array" ref="V575">_xlfn.IFS(O575="Blaze Shield II",'CALCULO MORTERO'!P576, O575="Cafco 400",'CALCULO MORTERO'!Q576,O575="Cafco 300",'CALCULO MORTERO'!S576, AND(OR(O575="Fire tex 5090", O575="Fire Tex 5062", O575="Fire Tex 5120", O575="Fire Control"),Q575&gt;0), "CERT.",TRUE,"-")</f>
        <v>-</v>
      </c>
    </row>
    <row r="576" spans="1:22" x14ac:dyDescent="0.25">
      <c r="A576" s="903"/>
      <c r="B576" s="907"/>
      <c r="C576" s="874"/>
      <c r="D576" s="874"/>
      <c r="E576" s="874"/>
      <c r="F576" s="905"/>
      <c r="G576" s="874"/>
      <c r="H576" s="874"/>
      <c r="I576" s="906"/>
      <c r="J576" s="162"/>
      <c r="K576" s="161"/>
      <c r="L576" s="161"/>
      <c r="M576" s="169"/>
      <c r="N576" s="163" t="str">
        <f t="shared" si="12"/>
        <v/>
      </c>
      <c r="O576" s="41"/>
      <c r="P576" s="41"/>
      <c r="Q576" s="161" t="str">
        <f>+IF(OR(O576="Fire Control",O576="Fire Tex 5062",O576="Fire Tex 5090",O576="Fire Tex 5120"),'CALCULO PINTURA'!P577," ")</f>
        <v xml:space="preserve"> </v>
      </c>
      <c r="R576" s="164" t="str">
        <f>+IF(OR(O576="Fire Control",O576="Fire Tex 5062",O576="Fire Tex 5090",O576="Fire Tex 5120"),'CALCULO PINTURA'!R577," ")</f>
        <v xml:space="preserve"> </v>
      </c>
      <c r="S576" s="164" t="str">
        <f>+IF(OR(O576="Fire Control",O576="Fire Tex 5062",O576="Fire Tex 5090",O576="Fire Tex 5120"),'CALCULO PINTURA'!S577," ")</f>
        <v xml:space="preserve"> </v>
      </c>
      <c r="T576" s="874" t="str">
        <f>+IF(OR(O576="Blaze Shield II",O576="Cafco 400",O576="Cafco 300"),'CALCULO MORTERO'!N582," ")</f>
        <v xml:space="preserve"> </v>
      </c>
      <c r="U576" s="875" t="str">
        <f>+IF(OR(O576="Blaze Shield II",O576="Cafco 400",O576="Cafco 300"),'CALCULO MORTERO'!O582," ")</f>
        <v xml:space="preserve"> </v>
      </c>
      <c r="V576" s="161" t="str" cm="1">
        <f t="array" ref="V576">_xlfn.IFS(O576="Blaze Shield II",'CALCULO MORTERO'!P577, O576="Cafco 400",'CALCULO MORTERO'!Q577,O576="Cafco 300",'CALCULO MORTERO'!S577, AND(OR(O576="Fire tex 5090", O576="Fire Tex 5062", O576="Fire Tex 5120", O576="Fire Control"),Q576&gt;0), "CERT.",TRUE,"-")</f>
        <v>-</v>
      </c>
    </row>
    <row r="577" spans="1:22" x14ac:dyDescent="0.25">
      <c r="A577" s="903"/>
      <c r="B577" s="907"/>
      <c r="C577" s="874"/>
      <c r="D577" s="874"/>
      <c r="E577" s="874"/>
      <c r="F577" s="874"/>
      <c r="G577" s="874"/>
      <c r="H577" s="874"/>
      <c r="I577" s="906"/>
      <c r="J577" s="162"/>
      <c r="K577" s="161"/>
      <c r="L577" s="161"/>
      <c r="M577" s="163"/>
      <c r="N577" s="163" t="str">
        <f t="shared" si="12"/>
        <v/>
      </c>
      <c r="O577" s="41"/>
      <c r="P577" s="41"/>
      <c r="Q577" s="161" t="str">
        <f>+IF(OR(O577="Fire Control",O577="Fire Tex 5062",O577="Fire Tex 5090",O577="Fire Tex 5120"),'CALCULO PINTURA'!P578," ")</f>
        <v xml:space="preserve"> </v>
      </c>
      <c r="R577" s="164" t="str">
        <f>+IF(OR(O577="Fire Control",O577="Fire Tex 5062",O577="Fire Tex 5090",O577="Fire Tex 5120"),'CALCULO PINTURA'!R578," ")</f>
        <v xml:space="preserve"> </v>
      </c>
      <c r="S577" s="164" t="str">
        <f>+IF(OR(O577="Fire Control",O577="Fire Tex 5062",O577="Fire Tex 5090",O577="Fire Tex 5120"),'CALCULO PINTURA'!S578," ")</f>
        <v xml:space="preserve"> </v>
      </c>
      <c r="T577" s="874" t="str">
        <f>+IF(OR(O577="Blaze Shield II",O577="Cafco 400",O577="Cafco 300"),'CALCULO MORTERO'!N583," ")</f>
        <v xml:space="preserve"> </v>
      </c>
      <c r="U577" s="875" t="str">
        <f>+IF(OR(O577="Blaze Shield II",O577="Cafco 400",O577="Cafco 300"),'CALCULO MORTERO'!O583," ")</f>
        <v xml:space="preserve"> </v>
      </c>
      <c r="V577" s="161" t="str" cm="1">
        <f t="array" ref="V577">_xlfn.IFS(O577="Blaze Shield II",'CALCULO MORTERO'!P578, O577="Cafco 400",'CALCULO MORTERO'!Q578,O577="Cafco 300",'CALCULO MORTERO'!S578, AND(OR(O577="Fire tex 5090", O577="Fire Tex 5062", O577="Fire Tex 5120", O577="Fire Control"),Q577&gt;0), "CERT.",TRUE,"-")</f>
        <v>-</v>
      </c>
    </row>
    <row r="578" spans="1:22" x14ac:dyDescent="0.25">
      <c r="A578" s="903"/>
      <c r="B578" s="907"/>
      <c r="C578" s="874"/>
      <c r="D578" s="874"/>
      <c r="E578" s="874"/>
      <c r="F578" s="874"/>
      <c r="G578" s="874"/>
      <c r="H578" s="874"/>
      <c r="I578" s="906"/>
      <c r="J578" s="162"/>
      <c r="K578" s="161"/>
      <c r="L578" s="161"/>
      <c r="M578" s="163"/>
      <c r="N578" s="163" t="str">
        <f t="shared" si="12"/>
        <v/>
      </c>
      <c r="O578" s="41"/>
      <c r="P578" s="41"/>
      <c r="Q578" s="161" t="str">
        <f>+IF(OR(O578="Fire Control",O578="Fire Tex 5062",O578="Fire Tex 5090",O578="Fire Tex 5120"),'CALCULO PINTURA'!P579," ")</f>
        <v xml:space="preserve"> </v>
      </c>
      <c r="R578" s="164" t="str">
        <f>+IF(OR(O578="Fire Control",O578="Fire Tex 5062",O578="Fire Tex 5090",O578="Fire Tex 5120"),'CALCULO PINTURA'!R579," ")</f>
        <v xml:space="preserve"> </v>
      </c>
      <c r="S578" s="164" t="str">
        <f>+IF(OR(O578="Fire Control",O578="Fire Tex 5062",O578="Fire Tex 5090",O578="Fire Tex 5120"),'CALCULO PINTURA'!S579," ")</f>
        <v xml:space="preserve"> </v>
      </c>
      <c r="T578" s="874" t="str">
        <f>+IF(OR(O578="Blaze Shield II",O578="Cafco 400",O578="Cafco 300"),'CALCULO MORTERO'!N584," ")</f>
        <v xml:space="preserve"> </v>
      </c>
      <c r="U578" s="875" t="str">
        <f>+IF(OR(O578="Blaze Shield II",O578="Cafco 400",O578="Cafco 300"),'CALCULO MORTERO'!O584," ")</f>
        <v xml:space="preserve"> </v>
      </c>
      <c r="V578" s="161" t="str" cm="1">
        <f t="array" ref="V578">_xlfn.IFS(O578="Blaze Shield II",'CALCULO MORTERO'!P579, O578="Cafco 400",'CALCULO MORTERO'!Q579,O578="Cafco 300",'CALCULO MORTERO'!S579, AND(OR(O578="Fire tex 5090", O578="Fire Tex 5062", O578="Fire Tex 5120", O578="Fire Control"),Q578&gt;0), "CERT.",TRUE,"-")</f>
        <v>-</v>
      </c>
    </row>
    <row r="579" spans="1:22" x14ac:dyDescent="0.25">
      <c r="A579" s="903"/>
      <c r="B579" s="907"/>
      <c r="C579" s="874"/>
      <c r="D579" s="874"/>
      <c r="E579" s="874"/>
      <c r="F579" s="905"/>
      <c r="G579" s="874"/>
      <c r="H579" s="874"/>
      <c r="I579" s="906"/>
      <c r="J579" s="162"/>
      <c r="K579" s="161"/>
      <c r="L579" s="161"/>
      <c r="M579" s="169"/>
      <c r="N579" s="163" t="str">
        <f t="shared" si="12"/>
        <v/>
      </c>
      <c r="O579" s="41"/>
      <c r="P579" s="41"/>
      <c r="Q579" s="161" t="str">
        <f>+IF(OR(O579="Fire Control",O579="Fire Tex 5062",O579="Fire Tex 5090",O579="Fire Tex 5120"),'CALCULO PINTURA'!P580," ")</f>
        <v xml:space="preserve"> </v>
      </c>
      <c r="R579" s="164" t="str">
        <f>+IF(OR(O579="Fire Control",O579="Fire Tex 5062",O579="Fire Tex 5090",O579="Fire Tex 5120"),'CALCULO PINTURA'!R580," ")</f>
        <v xml:space="preserve"> </v>
      </c>
      <c r="S579" s="164" t="str">
        <f>+IF(OR(O579="Fire Control",O579="Fire Tex 5062",O579="Fire Tex 5090",O579="Fire Tex 5120"),'CALCULO PINTURA'!S580," ")</f>
        <v xml:space="preserve"> </v>
      </c>
      <c r="T579" s="874" t="str">
        <f>+IF(OR(O579="Blaze Shield II",O579="Cafco 400",O579="Cafco 300"),'CALCULO MORTERO'!N585," ")</f>
        <v xml:space="preserve"> </v>
      </c>
      <c r="U579" s="875" t="str">
        <f>+IF(OR(O579="Blaze Shield II",O579="Cafco 400",O579="Cafco 300"),'CALCULO MORTERO'!O585," ")</f>
        <v xml:space="preserve"> </v>
      </c>
      <c r="V579" s="161" t="str" cm="1">
        <f t="array" ref="V579">_xlfn.IFS(O579="Blaze Shield II",'CALCULO MORTERO'!P580, O579="Cafco 400",'CALCULO MORTERO'!Q580,O579="Cafco 300",'CALCULO MORTERO'!S580, AND(OR(O579="Fire tex 5090", O579="Fire Tex 5062", O579="Fire Tex 5120", O579="Fire Control"),Q579&gt;0), "CERT.",TRUE,"-")</f>
        <v>-</v>
      </c>
    </row>
    <row r="580" spans="1:22" x14ac:dyDescent="0.25">
      <c r="A580" s="903"/>
      <c r="B580" s="907"/>
      <c r="C580" s="874"/>
      <c r="D580" s="874"/>
      <c r="E580" s="874"/>
      <c r="F580" s="905"/>
      <c r="G580" s="874"/>
      <c r="H580" s="874"/>
      <c r="I580" s="906"/>
      <c r="J580" s="162"/>
      <c r="K580" s="161"/>
      <c r="L580" s="161"/>
      <c r="M580" s="169"/>
      <c r="N580" s="163" t="str">
        <f t="shared" ref="N580:N643" si="13">+IF(F580="","",(K580*I580*H580*G580)/1000000)</f>
        <v/>
      </c>
      <c r="O580" s="41"/>
      <c r="P580" s="41"/>
      <c r="Q580" s="161" t="str">
        <f>+IF(OR(O580="Fire Control",O580="Fire Tex 5062",O580="Fire Tex 5090",O580="Fire Tex 5120"),'CALCULO PINTURA'!P581," ")</f>
        <v xml:space="preserve"> </v>
      </c>
      <c r="R580" s="164" t="str">
        <f>+IF(OR(O580="Fire Control",O580="Fire Tex 5062",O580="Fire Tex 5090",O580="Fire Tex 5120"),'CALCULO PINTURA'!R581," ")</f>
        <v xml:space="preserve"> </v>
      </c>
      <c r="S580" s="164" t="str">
        <f>+IF(OR(O580="Fire Control",O580="Fire Tex 5062",O580="Fire Tex 5090",O580="Fire Tex 5120"),'CALCULO PINTURA'!S581," ")</f>
        <v xml:space="preserve"> </v>
      </c>
      <c r="T580" s="874" t="str">
        <f>+IF(OR(O580="Blaze Shield II",O580="Cafco 400",O580="Cafco 300"),'CALCULO MORTERO'!N586," ")</f>
        <v xml:space="preserve"> </v>
      </c>
      <c r="U580" s="875" t="str">
        <f>+IF(OR(O580="Blaze Shield II",O580="Cafco 400",O580="Cafco 300"),'CALCULO MORTERO'!O586," ")</f>
        <v xml:space="preserve"> </v>
      </c>
      <c r="V580" s="161" t="str" cm="1">
        <f t="array" ref="V580">_xlfn.IFS(O580="Blaze Shield II",'CALCULO MORTERO'!P581, O580="Cafco 400",'CALCULO MORTERO'!Q581,O580="Cafco 300",'CALCULO MORTERO'!S581, AND(OR(O580="Fire tex 5090", O580="Fire Tex 5062", O580="Fire Tex 5120", O580="Fire Control"),Q580&gt;0), "CERT.",TRUE,"-")</f>
        <v>-</v>
      </c>
    </row>
    <row r="581" spans="1:22" x14ac:dyDescent="0.25">
      <c r="A581" s="903"/>
      <c r="B581" s="907"/>
      <c r="C581" s="874"/>
      <c r="D581" s="874"/>
      <c r="E581" s="874"/>
      <c r="F581" s="905"/>
      <c r="G581" s="874"/>
      <c r="H581" s="874"/>
      <c r="I581" s="906"/>
      <c r="J581" s="162"/>
      <c r="K581" s="161"/>
      <c r="L581" s="161"/>
      <c r="M581" s="169"/>
      <c r="N581" s="163" t="str">
        <f t="shared" si="13"/>
        <v/>
      </c>
      <c r="O581" s="41"/>
      <c r="P581" s="41"/>
      <c r="Q581" s="161" t="str">
        <f>+IF(OR(O581="Fire Control",O581="Fire Tex 5062",O581="Fire Tex 5090",O581="Fire Tex 5120"),'CALCULO PINTURA'!P582," ")</f>
        <v xml:space="preserve"> </v>
      </c>
      <c r="R581" s="164" t="str">
        <f>+IF(OR(O581="Fire Control",O581="Fire Tex 5062",O581="Fire Tex 5090",O581="Fire Tex 5120"),'CALCULO PINTURA'!R582," ")</f>
        <v xml:space="preserve"> </v>
      </c>
      <c r="S581" s="164" t="str">
        <f>+IF(OR(O581="Fire Control",O581="Fire Tex 5062",O581="Fire Tex 5090",O581="Fire Tex 5120"),'CALCULO PINTURA'!S582," ")</f>
        <v xml:space="preserve"> </v>
      </c>
      <c r="T581" s="874" t="str">
        <f>+IF(OR(O581="Blaze Shield II",O581="Cafco 400",O581="Cafco 300"),'CALCULO MORTERO'!N587," ")</f>
        <v xml:space="preserve"> </v>
      </c>
      <c r="U581" s="875" t="str">
        <f>+IF(OR(O581="Blaze Shield II",O581="Cafco 400",O581="Cafco 300"),'CALCULO MORTERO'!O587," ")</f>
        <v xml:space="preserve"> </v>
      </c>
      <c r="V581" s="161" t="str" cm="1">
        <f t="array" ref="V581">_xlfn.IFS(O581="Blaze Shield II",'CALCULO MORTERO'!P582, O581="Cafco 400",'CALCULO MORTERO'!Q582,O581="Cafco 300",'CALCULO MORTERO'!S582, AND(OR(O581="Fire tex 5090", O581="Fire Tex 5062", O581="Fire Tex 5120", O581="Fire Control"),Q581&gt;0), "CERT.",TRUE,"-")</f>
        <v>-</v>
      </c>
    </row>
    <row r="582" spans="1:22" x14ac:dyDescent="0.25">
      <c r="A582" s="903"/>
      <c r="B582" s="907"/>
      <c r="C582" s="874"/>
      <c r="D582" s="874"/>
      <c r="E582" s="874"/>
      <c r="F582" s="905"/>
      <c r="G582" s="874"/>
      <c r="H582" s="874"/>
      <c r="I582" s="906"/>
      <c r="J582" s="162"/>
      <c r="K582" s="161"/>
      <c r="L582" s="161"/>
      <c r="M582" s="169"/>
      <c r="N582" s="163" t="str">
        <f t="shared" si="13"/>
        <v/>
      </c>
      <c r="O582" s="41"/>
      <c r="P582" s="41"/>
      <c r="Q582" s="161" t="str">
        <f>+IF(OR(O582="Fire Control",O582="Fire Tex 5062",O582="Fire Tex 5090",O582="Fire Tex 5120"),'CALCULO PINTURA'!P583," ")</f>
        <v xml:space="preserve"> </v>
      </c>
      <c r="R582" s="164" t="str">
        <f>+IF(OR(O582="Fire Control",O582="Fire Tex 5062",O582="Fire Tex 5090",O582="Fire Tex 5120"),'CALCULO PINTURA'!R583," ")</f>
        <v xml:space="preserve"> </v>
      </c>
      <c r="S582" s="164" t="str">
        <f>+IF(OR(O582="Fire Control",O582="Fire Tex 5062",O582="Fire Tex 5090",O582="Fire Tex 5120"),'CALCULO PINTURA'!S583," ")</f>
        <v xml:space="preserve"> </v>
      </c>
      <c r="T582" s="874" t="str">
        <f>+IF(OR(O582="Blaze Shield II",O582="Cafco 400",O582="Cafco 300"),'CALCULO MORTERO'!N588," ")</f>
        <v xml:space="preserve"> </v>
      </c>
      <c r="U582" s="875" t="str">
        <f>+IF(OR(O582="Blaze Shield II",O582="Cafco 400",O582="Cafco 300"),'CALCULO MORTERO'!O588," ")</f>
        <v xml:space="preserve"> </v>
      </c>
      <c r="V582" s="161" t="str" cm="1">
        <f t="array" ref="V582">_xlfn.IFS(O582="Blaze Shield II",'CALCULO MORTERO'!P583, O582="Cafco 400",'CALCULO MORTERO'!Q583,O582="Cafco 300",'CALCULO MORTERO'!S583, AND(OR(O582="Fire tex 5090", O582="Fire Tex 5062", O582="Fire Tex 5120", O582="Fire Control"),Q582&gt;0), "CERT.",TRUE,"-")</f>
        <v>-</v>
      </c>
    </row>
    <row r="583" spans="1:22" x14ac:dyDescent="0.25">
      <c r="A583" s="903"/>
      <c r="B583" s="907"/>
      <c r="C583" s="874"/>
      <c r="D583" s="874"/>
      <c r="E583" s="874"/>
      <c r="F583" s="905"/>
      <c r="G583" s="874"/>
      <c r="H583" s="874"/>
      <c r="I583" s="906"/>
      <c r="J583" s="162"/>
      <c r="K583" s="161"/>
      <c r="L583" s="161"/>
      <c r="M583" s="169"/>
      <c r="N583" s="163" t="str">
        <f t="shared" si="13"/>
        <v/>
      </c>
      <c r="O583" s="41"/>
      <c r="P583" s="41"/>
      <c r="Q583" s="161" t="str">
        <f>+IF(OR(O583="Fire Control",O583="Fire Tex 5062",O583="Fire Tex 5090",O583="Fire Tex 5120"),'CALCULO PINTURA'!P584," ")</f>
        <v xml:space="preserve"> </v>
      </c>
      <c r="R583" s="164" t="str">
        <f>+IF(OR(O583="Fire Control",O583="Fire Tex 5062",O583="Fire Tex 5090",O583="Fire Tex 5120"),'CALCULO PINTURA'!R584," ")</f>
        <v xml:space="preserve"> </v>
      </c>
      <c r="S583" s="164" t="str">
        <f>+IF(OR(O583="Fire Control",O583="Fire Tex 5062",O583="Fire Tex 5090",O583="Fire Tex 5120"),'CALCULO PINTURA'!S584," ")</f>
        <v xml:space="preserve"> </v>
      </c>
      <c r="T583" s="874" t="str">
        <f>+IF(OR(O583="Blaze Shield II",O583="Cafco 400",O583="Cafco 300"),'CALCULO MORTERO'!N589," ")</f>
        <v xml:space="preserve"> </v>
      </c>
      <c r="U583" s="875" t="str">
        <f>+IF(OR(O583="Blaze Shield II",O583="Cafco 400",O583="Cafco 300"),'CALCULO MORTERO'!O589," ")</f>
        <v xml:space="preserve"> </v>
      </c>
      <c r="V583" s="161" t="str" cm="1">
        <f t="array" ref="V583">_xlfn.IFS(O583="Blaze Shield II",'CALCULO MORTERO'!P584, O583="Cafco 400",'CALCULO MORTERO'!Q584,O583="Cafco 300",'CALCULO MORTERO'!S584, AND(OR(O583="Fire tex 5090", O583="Fire Tex 5062", O583="Fire Tex 5120", O583="Fire Control"),Q583&gt;0), "CERT.",TRUE,"-")</f>
        <v>-</v>
      </c>
    </row>
    <row r="584" spans="1:22" x14ac:dyDescent="0.25">
      <c r="A584" s="903"/>
      <c r="B584" s="907"/>
      <c r="C584" s="874"/>
      <c r="D584" s="874"/>
      <c r="E584" s="874"/>
      <c r="F584" s="905"/>
      <c r="G584" s="874"/>
      <c r="H584" s="874"/>
      <c r="I584" s="906"/>
      <c r="J584" s="162"/>
      <c r="K584" s="161"/>
      <c r="L584" s="161"/>
      <c r="M584" s="169"/>
      <c r="N584" s="163" t="str">
        <f t="shared" si="13"/>
        <v/>
      </c>
      <c r="O584" s="41"/>
      <c r="P584" s="41"/>
      <c r="Q584" s="161" t="str">
        <f>+IF(OR(O584="Fire Control",O584="Fire Tex 5062",O584="Fire Tex 5090",O584="Fire Tex 5120"),'CALCULO PINTURA'!P585," ")</f>
        <v xml:space="preserve"> </v>
      </c>
      <c r="R584" s="164" t="str">
        <f>+IF(OR(O584="Fire Control",O584="Fire Tex 5062",O584="Fire Tex 5090",O584="Fire Tex 5120"),'CALCULO PINTURA'!R585," ")</f>
        <v xml:space="preserve"> </v>
      </c>
      <c r="S584" s="164" t="str">
        <f>+IF(OR(O584="Fire Control",O584="Fire Tex 5062",O584="Fire Tex 5090",O584="Fire Tex 5120"),'CALCULO PINTURA'!S585," ")</f>
        <v xml:space="preserve"> </v>
      </c>
      <c r="T584" s="874" t="str">
        <f>+IF(OR(O584="Blaze Shield II",O584="Cafco 400",O584="Cafco 300"),'CALCULO MORTERO'!N590," ")</f>
        <v xml:space="preserve"> </v>
      </c>
      <c r="U584" s="875" t="str">
        <f>+IF(OR(O584="Blaze Shield II",O584="Cafco 400",O584="Cafco 300"),'CALCULO MORTERO'!O590," ")</f>
        <v xml:space="preserve"> </v>
      </c>
      <c r="V584" s="161" t="str" cm="1">
        <f t="array" ref="V584">_xlfn.IFS(O584="Blaze Shield II",'CALCULO MORTERO'!P585, O584="Cafco 400",'CALCULO MORTERO'!Q585,O584="Cafco 300",'CALCULO MORTERO'!S585, AND(OR(O584="Fire tex 5090", O584="Fire Tex 5062", O584="Fire Tex 5120", O584="Fire Control"),Q584&gt;0), "CERT.",TRUE,"-")</f>
        <v>-</v>
      </c>
    </row>
    <row r="585" spans="1:22" x14ac:dyDescent="0.25">
      <c r="A585" s="903"/>
      <c r="B585" s="907"/>
      <c r="C585" s="874"/>
      <c r="D585" s="874"/>
      <c r="E585" s="874"/>
      <c r="F585" s="905"/>
      <c r="G585" s="874"/>
      <c r="H585" s="874"/>
      <c r="I585" s="906"/>
      <c r="J585" s="162"/>
      <c r="K585" s="161"/>
      <c r="L585" s="161"/>
      <c r="M585" s="169"/>
      <c r="N585" s="163" t="str">
        <f t="shared" si="13"/>
        <v/>
      </c>
      <c r="O585" s="41"/>
      <c r="P585" s="41"/>
      <c r="Q585" s="161" t="str">
        <f>+IF(OR(O585="Fire Control",O585="Fire Tex 5062",O585="Fire Tex 5090",O585="Fire Tex 5120"),'CALCULO PINTURA'!P586," ")</f>
        <v xml:space="preserve"> </v>
      </c>
      <c r="R585" s="164" t="str">
        <f>+IF(OR(O585="Fire Control",O585="Fire Tex 5062",O585="Fire Tex 5090",O585="Fire Tex 5120"),'CALCULO PINTURA'!R586," ")</f>
        <v xml:space="preserve"> </v>
      </c>
      <c r="S585" s="164" t="str">
        <f>+IF(OR(O585="Fire Control",O585="Fire Tex 5062",O585="Fire Tex 5090",O585="Fire Tex 5120"),'CALCULO PINTURA'!S586," ")</f>
        <v xml:space="preserve"> </v>
      </c>
      <c r="T585" s="874" t="str">
        <f>+IF(OR(O585="Blaze Shield II",O585="Cafco 400",O585="Cafco 300"),'CALCULO MORTERO'!N591," ")</f>
        <v xml:space="preserve"> </v>
      </c>
      <c r="U585" s="875" t="str">
        <f>+IF(OR(O585="Blaze Shield II",O585="Cafco 400",O585="Cafco 300"),'CALCULO MORTERO'!O591," ")</f>
        <v xml:space="preserve"> </v>
      </c>
      <c r="V585" s="161" t="str" cm="1">
        <f t="array" ref="V585">_xlfn.IFS(O585="Blaze Shield II",'CALCULO MORTERO'!P586, O585="Cafco 400",'CALCULO MORTERO'!Q586,O585="Cafco 300",'CALCULO MORTERO'!S586, AND(OR(O585="Fire tex 5090", O585="Fire Tex 5062", O585="Fire Tex 5120", O585="Fire Control"),Q585&gt;0), "CERT.",TRUE,"-")</f>
        <v>-</v>
      </c>
    </row>
    <row r="586" spans="1:22" x14ac:dyDescent="0.25">
      <c r="A586" s="903"/>
      <c r="B586" s="907"/>
      <c r="C586" s="874"/>
      <c r="D586" s="874"/>
      <c r="E586" s="874"/>
      <c r="F586" s="905"/>
      <c r="G586" s="874"/>
      <c r="H586" s="874"/>
      <c r="I586" s="906"/>
      <c r="J586" s="162"/>
      <c r="K586" s="161"/>
      <c r="L586" s="161"/>
      <c r="M586" s="169"/>
      <c r="N586" s="163" t="str">
        <f t="shared" si="13"/>
        <v/>
      </c>
      <c r="O586" s="41"/>
      <c r="P586" s="41"/>
      <c r="Q586" s="161" t="str">
        <f>+IF(OR(O586="Fire Control",O586="Fire Tex 5062",O586="Fire Tex 5090",O586="Fire Tex 5120"),'CALCULO PINTURA'!P587," ")</f>
        <v xml:space="preserve"> </v>
      </c>
      <c r="R586" s="164" t="str">
        <f>+IF(OR(O586="Fire Control",O586="Fire Tex 5062",O586="Fire Tex 5090",O586="Fire Tex 5120"),'CALCULO PINTURA'!R587," ")</f>
        <v xml:space="preserve"> </v>
      </c>
      <c r="S586" s="164" t="str">
        <f>+IF(OR(O586="Fire Control",O586="Fire Tex 5062",O586="Fire Tex 5090",O586="Fire Tex 5120"),'CALCULO PINTURA'!S587," ")</f>
        <v xml:space="preserve"> </v>
      </c>
      <c r="T586" s="874" t="str">
        <f>+IF(OR(O586="Blaze Shield II",O586="Cafco 400",O586="Cafco 300"),'CALCULO MORTERO'!N592," ")</f>
        <v xml:space="preserve"> </v>
      </c>
      <c r="U586" s="875" t="str">
        <f>+IF(OR(O586="Blaze Shield II",O586="Cafco 400",O586="Cafco 300"),'CALCULO MORTERO'!O592," ")</f>
        <v xml:space="preserve"> </v>
      </c>
      <c r="V586" s="161" t="str" cm="1">
        <f t="array" ref="V586">_xlfn.IFS(O586="Blaze Shield II",'CALCULO MORTERO'!P587, O586="Cafco 400",'CALCULO MORTERO'!Q587,O586="Cafco 300",'CALCULO MORTERO'!S587, AND(OR(O586="Fire tex 5090", O586="Fire Tex 5062", O586="Fire Tex 5120", O586="Fire Control"),Q586&gt;0), "CERT.",TRUE,"-")</f>
        <v>-</v>
      </c>
    </row>
    <row r="587" spans="1:22" x14ac:dyDescent="0.25">
      <c r="A587" s="903"/>
      <c r="B587" s="907"/>
      <c r="C587" s="874"/>
      <c r="D587" s="874"/>
      <c r="E587" s="874"/>
      <c r="F587" s="905"/>
      <c r="G587" s="874"/>
      <c r="H587" s="874"/>
      <c r="I587" s="906"/>
      <c r="J587" s="162"/>
      <c r="K587" s="161"/>
      <c r="L587" s="161"/>
      <c r="M587" s="169"/>
      <c r="N587" s="163" t="str">
        <f t="shared" si="13"/>
        <v/>
      </c>
      <c r="O587" s="41"/>
      <c r="P587" s="41"/>
      <c r="Q587" s="161" t="str">
        <f>+IF(OR(O587="Fire Control",O587="Fire Tex 5062",O587="Fire Tex 5090",O587="Fire Tex 5120"),'CALCULO PINTURA'!P588," ")</f>
        <v xml:space="preserve"> </v>
      </c>
      <c r="R587" s="164" t="str">
        <f>+IF(OR(O587="Fire Control",O587="Fire Tex 5062",O587="Fire Tex 5090",O587="Fire Tex 5120"),'CALCULO PINTURA'!R588," ")</f>
        <v xml:space="preserve"> </v>
      </c>
      <c r="S587" s="164" t="str">
        <f>+IF(OR(O587="Fire Control",O587="Fire Tex 5062",O587="Fire Tex 5090",O587="Fire Tex 5120"),'CALCULO PINTURA'!S588," ")</f>
        <v xml:space="preserve"> </v>
      </c>
      <c r="T587" s="874" t="str">
        <f>+IF(OR(O587="Blaze Shield II",O587="Cafco 400",O587="Cafco 300"),'CALCULO MORTERO'!N593," ")</f>
        <v xml:space="preserve"> </v>
      </c>
      <c r="U587" s="875" t="str">
        <f>+IF(OR(O587="Blaze Shield II",O587="Cafco 400",O587="Cafco 300"),'CALCULO MORTERO'!O593," ")</f>
        <v xml:space="preserve"> </v>
      </c>
      <c r="V587" s="161" t="str" cm="1">
        <f t="array" ref="V587">_xlfn.IFS(O587="Blaze Shield II",'CALCULO MORTERO'!P588, O587="Cafco 400",'CALCULO MORTERO'!Q588,O587="Cafco 300",'CALCULO MORTERO'!S588, AND(OR(O587="Fire tex 5090", O587="Fire Tex 5062", O587="Fire Tex 5120", O587="Fire Control"),Q587&gt;0), "CERT.",TRUE,"-")</f>
        <v>-</v>
      </c>
    </row>
    <row r="588" spans="1:22" x14ac:dyDescent="0.25">
      <c r="A588" s="903"/>
      <c r="B588" s="907"/>
      <c r="C588" s="874"/>
      <c r="D588" s="874"/>
      <c r="E588" s="874"/>
      <c r="F588" s="905"/>
      <c r="G588" s="874"/>
      <c r="H588" s="874"/>
      <c r="I588" s="906"/>
      <c r="J588" s="162"/>
      <c r="K588" s="161"/>
      <c r="L588" s="161"/>
      <c r="M588" s="169"/>
      <c r="N588" s="163" t="str">
        <f t="shared" si="13"/>
        <v/>
      </c>
      <c r="O588" s="41"/>
      <c r="P588" s="41"/>
      <c r="Q588" s="161" t="str">
        <f>+IF(OR(O588="Fire Control",O588="Fire Tex 5062",O588="Fire Tex 5090",O588="Fire Tex 5120"),'CALCULO PINTURA'!P589," ")</f>
        <v xml:space="preserve"> </v>
      </c>
      <c r="R588" s="164" t="str">
        <f>+IF(OR(O588="Fire Control",O588="Fire Tex 5062",O588="Fire Tex 5090",O588="Fire Tex 5120"),'CALCULO PINTURA'!R589," ")</f>
        <v xml:space="preserve"> </v>
      </c>
      <c r="S588" s="164" t="str">
        <f>+IF(OR(O588="Fire Control",O588="Fire Tex 5062",O588="Fire Tex 5090",O588="Fire Tex 5120"),'CALCULO PINTURA'!S589," ")</f>
        <v xml:space="preserve"> </v>
      </c>
      <c r="T588" s="874" t="str">
        <f>+IF(OR(O588="Blaze Shield II",O588="Cafco 400",O588="Cafco 300"),'CALCULO MORTERO'!N594," ")</f>
        <v xml:space="preserve"> </v>
      </c>
      <c r="U588" s="875" t="str">
        <f>+IF(OR(O588="Blaze Shield II",O588="Cafco 400",O588="Cafco 300"),'CALCULO MORTERO'!O594," ")</f>
        <v xml:space="preserve"> </v>
      </c>
      <c r="V588" s="161" t="str" cm="1">
        <f t="array" ref="V588">_xlfn.IFS(O588="Blaze Shield II",'CALCULO MORTERO'!P589, O588="Cafco 400",'CALCULO MORTERO'!Q589,O588="Cafco 300",'CALCULO MORTERO'!S589, AND(OR(O588="Fire tex 5090", O588="Fire Tex 5062", O588="Fire Tex 5120", O588="Fire Control"),Q588&gt;0), "CERT.",TRUE,"-")</f>
        <v>-</v>
      </c>
    </row>
    <row r="589" spans="1:22" x14ac:dyDescent="0.25">
      <c r="A589" s="903"/>
      <c r="B589" s="907"/>
      <c r="C589" s="874"/>
      <c r="D589" s="874"/>
      <c r="E589" s="874"/>
      <c r="F589" s="874"/>
      <c r="G589" s="874"/>
      <c r="H589" s="874"/>
      <c r="I589" s="906"/>
      <c r="J589" s="162"/>
      <c r="K589" s="161"/>
      <c r="L589" s="161"/>
      <c r="M589" s="163"/>
      <c r="N589" s="163" t="str">
        <f t="shared" si="13"/>
        <v/>
      </c>
      <c r="O589" s="41"/>
      <c r="P589" s="41"/>
      <c r="Q589" s="161" t="str">
        <f>+IF(OR(O589="Fire Control",O589="Fire Tex 5062",O589="Fire Tex 5090",O589="Fire Tex 5120"),'CALCULO PINTURA'!P590," ")</f>
        <v xml:space="preserve"> </v>
      </c>
      <c r="R589" s="164" t="str">
        <f>+IF(OR(O589="Fire Control",O589="Fire Tex 5062",O589="Fire Tex 5090",O589="Fire Tex 5120"),'CALCULO PINTURA'!R590," ")</f>
        <v xml:space="preserve"> </v>
      </c>
      <c r="S589" s="164" t="str">
        <f>+IF(OR(O589="Fire Control",O589="Fire Tex 5062",O589="Fire Tex 5090",O589="Fire Tex 5120"),'CALCULO PINTURA'!S590," ")</f>
        <v xml:space="preserve"> </v>
      </c>
      <c r="T589" s="874" t="str">
        <f>+IF(OR(O589="Blaze Shield II",O589="Cafco 400",O589="Cafco 300"),'CALCULO MORTERO'!N595," ")</f>
        <v xml:space="preserve"> </v>
      </c>
      <c r="U589" s="875" t="str">
        <f>+IF(OR(O589="Blaze Shield II",O589="Cafco 400",O589="Cafco 300"),'CALCULO MORTERO'!O595," ")</f>
        <v xml:space="preserve"> </v>
      </c>
      <c r="V589" s="161" t="str" cm="1">
        <f t="array" ref="V589">_xlfn.IFS(O589="Blaze Shield II",'CALCULO MORTERO'!P590, O589="Cafco 400",'CALCULO MORTERO'!Q590,O589="Cafco 300",'CALCULO MORTERO'!S590, AND(OR(O589="Fire tex 5090", O589="Fire Tex 5062", O589="Fire Tex 5120", O589="Fire Control"),Q589&gt;0), "CERT.",TRUE,"-")</f>
        <v>-</v>
      </c>
    </row>
    <row r="590" spans="1:22" x14ac:dyDescent="0.25">
      <c r="A590" s="903"/>
      <c r="B590" s="907"/>
      <c r="C590" s="874"/>
      <c r="D590" s="874"/>
      <c r="E590" s="874"/>
      <c r="F590" s="874"/>
      <c r="G590" s="874"/>
      <c r="H590" s="874"/>
      <c r="I590" s="906"/>
      <c r="J590" s="162"/>
      <c r="K590" s="161"/>
      <c r="L590" s="161"/>
      <c r="M590" s="163"/>
      <c r="N590" s="163" t="str">
        <f t="shared" si="13"/>
        <v/>
      </c>
      <c r="O590" s="41"/>
      <c r="P590" s="41"/>
      <c r="Q590" s="161" t="str">
        <f>+IF(OR(O590="Fire Control",O590="Fire Tex 5062",O590="Fire Tex 5090",O590="Fire Tex 5120"),'CALCULO PINTURA'!P591," ")</f>
        <v xml:space="preserve"> </v>
      </c>
      <c r="R590" s="164" t="str">
        <f>+IF(OR(O590="Fire Control",O590="Fire Tex 5062",O590="Fire Tex 5090",O590="Fire Tex 5120"),'CALCULO PINTURA'!R591," ")</f>
        <v xml:space="preserve"> </v>
      </c>
      <c r="S590" s="164" t="str">
        <f>+IF(OR(O590="Fire Control",O590="Fire Tex 5062",O590="Fire Tex 5090",O590="Fire Tex 5120"),'CALCULO PINTURA'!S591," ")</f>
        <v xml:space="preserve"> </v>
      </c>
      <c r="T590" s="874" t="str">
        <f>+IF(OR(O590="Blaze Shield II",O590="Cafco 400",O590="Cafco 300"),'CALCULO MORTERO'!N596," ")</f>
        <v xml:space="preserve"> </v>
      </c>
      <c r="U590" s="875" t="str">
        <f>+IF(OR(O590="Blaze Shield II",O590="Cafco 400",O590="Cafco 300"),'CALCULO MORTERO'!O596," ")</f>
        <v xml:space="preserve"> </v>
      </c>
      <c r="V590" s="161" t="str" cm="1">
        <f t="array" ref="V590">_xlfn.IFS(O590="Blaze Shield II",'CALCULO MORTERO'!P591, O590="Cafco 400",'CALCULO MORTERO'!Q591,O590="Cafco 300",'CALCULO MORTERO'!S591, AND(OR(O590="Fire tex 5090", O590="Fire Tex 5062", O590="Fire Tex 5120", O590="Fire Control"),Q590&gt;0), "CERT.",TRUE,"-")</f>
        <v>-</v>
      </c>
    </row>
    <row r="591" spans="1:22" x14ac:dyDescent="0.25">
      <c r="A591" s="903"/>
      <c r="B591" s="907"/>
      <c r="C591" s="874"/>
      <c r="D591" s="874"/>
      <c r="E591" s="874"/>
      <c r="F591" s="905"/>
      <c r="G591" s="874"/>
      <c r="H591" s="874"/>
      <c r="I591" s="906"/>
      <c r="J591" s="162"/>
      <c r="K591" s="161"/>
      <c r="L591" s="161"/>
      <c r="M591" s="169"/>
      <c r="N591" s="163" t="str">
        <f t="shared" si="13"/>
        <v/>
      </c>
      <c r="O591" s="41"/>
      <c r="P591" s="41"/>
      <c r="Q591" s="161" t="str">
        <f>+IF(OR(O591="Fire Control",O591="Fire Tex 5062",O591="Fire Tex 5090",O591="Fire Tex 5120"),'CALCULO PINTURA'!P592," ")</f>
        <v xml:space="preserve"> </v>
      </c>
      <c r="R591" s="164" t="str">
        <f>+IF(OR(O591="Fire Control",O591="Fire Tex 5062",O591="Fire Tex 5090",O591="Fire Tex 5120"),'CALCULO PINTURA'!R592," ")</f>
        <v xml:space="preserve"> </v>
      </c>
      <c r="S591" s="164" t="str">
        <f>+IF(OR(O591="Fire Control",O591="Fire Tex 5062",O591="Fire Tex 5090",O591="Fire Tex 5120"),'CALCULO PINTURA'!S592," ")</f>
        <v xml:space="preserve"> </v>
      </c>
      <c r="T591" s="874" t="str">
        <f>+IF(OR(O591="Blaze Shield II",O591="Cafco 400",O591="Cafco 300"),'CALCULO MORTERO'!N597," ")</f>
        <v xml:space="preserve"> </v>
      </c>
      <c r="U591" s="875" t="str">
        <f>+IF(OR(O591="Blaze Shield II",O591="Cafco 400",O591="Cafco 300"),'CALCULO MORTERO'!O597," ")</f>
        <v xml:space="preserve"> </v>
      </c>
      <c r="V591" s="161" t="str" cm="1">
        <f t="array" ref="V591">_xlfn.IFS(O591="Blaze Shield II",'CALCULO MORTERO'!P592, O591="Cafco 400",'CALCULO MORTERO'!Q592,O591="Cafco 300",'CALCULO MORTERO'!S592, AND(OR(O591="Fire tex 5090", O591="Fire Tex 5062", O591="Fire Tex 5120", O591="Fire Control"),Q591&gt;0), "CERT.",TRUE,"-")</f>
        <v>-</v>
      </c>
    </row>
    <row r="592" spans="1:22" x14ac:dyDescent="0.25">
      <c r="A592" s="903"/>
      <c r="B592" s="904"/>
      <c r="C592" s="874"/>
      <c r="D592" s="874"/>
      <c r="E592" s="905"/>
      <c r="F592" s="905"/>
      <c r="G592" s="874"/>
      <c r="H592" s="874"/>
      <c r="I592" s="906"/>
      <c r="J592" s="162"/>
      <c r="K592" s="161"/>
      <c r="L592" s="161"/>
      <c r="M592" s="169"/>
      <c r="N592" s="163" t="str">
        <f t="shared" si="13"/>
        <v/>
      </c>
      <c r="O592" s="41"/>
      <c r="P592" s="41"/>
      <c r="Q592" s="161" t="str">
        <f>+IF(OR(O592="Fire Control",O592="Fire Tex 5062",O592="Fire Tex 5090",O592="Fire Tex 5120"),'CALCULO PINTURA'!P233," ")</f>
        <v xml:space="preserve"> </v>
      </c>
      <c r="R592" s="164" t="str">
        <f>+IF(OR(O592="Fire Control",O592="Fire Tex 5062",O592="Fire Tex 5090",O592="Fire Tex 5120"),'CALCULO PINTURA'!R233," ")</f>
        <v xml:space="preserve"> </v>
      </c>
      <c r="S592" s="164" t="str">
        <f>+IF(OR(O592="Fire Control",O592="Fire Tex 5062",O592="Fire Tex 5090",O592="Fire Tex 5120"),'CALCULO PINTURA'!S233," ")</f>
        <v xml:space="preserve"> </v>
      </c>
      <c r="T592" s="874" t="str">
        <f>+IF(OR(O592="Blaze Shield II",O592="Cafco 400",O592="Cafco 300"),'CALCULO MORTERO'!N238," ")</f>
        <v xml:space="preserve"> </v>
      </c>
      <c r="U592" s="875" t="str">
        <f>+IF(OR(O592="Blaze Shield II",O592="Cafco 400",O592="Cafco 300"),'CALCULO MORTERO'!O238," ")</f>
        <v xml:space="preserve"> </v>
      </c>
      <c r="V592" s="161" t="str" cm="1">
        <f t="array" ref="V592">_xlfn.IFS(O592="Blaze Shield II",'CALCULO MORTERO'!P593, O592="Cafco 400",'CALCULO MORTERO'!Q593,O592="Cafco 300",'CALCULO MORTERO'!S593, AND(OR(O592="Fire tex 5090", O592="Fire Tex 5062", O592="Fire Tex 5120", O592="Fire Control"),Q592&gt;0), "CERT.",TRUE,"-")</f>
        <v>-</v>
      </c>
    </row>
    <row r="593" spans="1:22" x14ac:dyDescent="0.25">
      <c r="A593" s="903"/>
      <c r="B593" s="904"/>
      <c r="C593" s="874"/>
      <c r="D593" s="874"/>
      <c r="E593" s="905"/>
      <c r="F593" s="905"/>
      <c r="G593" s="874"/>
      <c r="H593" s="874"/>
      <c r="I593" s="906"/>
      <c r="J593" s="162"/>
      <c r="K593" s="161"/>
      <c r="L593" s="161"/>
      <c r="M593" s="169"/>
      <c r="N593" s="163" t="str">
        <f t="shared" si="13"/>
        <v/>
      </c>
      <c r="O593" s="41"/>
      <c r="P593" s="41"/>
      <c r="Q593" s="161" t="str">
        <f>+IF(OR(O593="Fire Control",O593="Fire Tex 5062",O593="Fire Tex 5090",O593="Fire Tex 5120"),'CALCULO PINTURA'!P234," ")</f>
        <v xml:space="preserve"> </v>
      </c>
      <c r="R593" s="164" t="str">
        <f>+IF(OR(O593="Fire Control",O593="Fire Tex 5062",O593="Fire Tex 5090",O593="Fire Tex 5120"),'CALCULO PINTURA'!R234," ")</f>
        <v xml:space="preserve"> </v>
      </c>
      <c r="S593" s="164" t="str">
        <f>+IF(OR(O593="Fire Control",O593="Fire Tex 5062",O593="Fire Tex 5090",O593="Fire Tex 5120"),'CALCULO PINTURA'!S234," ")</f>
        <v xml:space="preserve"> </v>
      </c>
      <c r="T593" s="874" t="str">
        <f>+IF(OR(O593="Blaze Shield II",O593="Cafco 400",O593="Cafco 300"),'CALCULO MORTERO'!N239," ")</f>
        <v xml:space="preserve"> </v>
      </c>
      <c r="U593" s="875" t="str">
        <f>+IF(OR(O593="Blaze Shield II",O593="Cafco 400",O593="Cafco 300"),'CALCULO MORTERO'!O239," ")</f>
        <v xml:space="preserve"> </v>
      </c>
      <c r="V593" s="161" t="str" cm="1">
        <f t="array" ref="V593">_xlfn.IFS(O593="Blaze Shield II",'CALCULO MORTERO'!P594, O593="Cafco 400",'CALCULO MORTERO'!Q594,O593="Cafco 300",'CALCULO MORTERO'!S594, AND(OR(O593="Fire tex 5090", O593="Fire Tex 5062", O593="Fire Tex 5120", O593="Fire Control"),Q593&gt;0), "CERT.",TRUE,"-")</f>
        <v>-</v>
      </c>
    </row>
    <row r="594" spans="1:22" x14ac:dyDescent="0.25">
      <c r="A594" s="903"/>
      <c r="B594" s="907"/>
      <c r="C594" s="874"/>
      <c r="D594" s="874"/>
      <c r="E594" s="874"/>
      <c r="F594" s="905"/>
      <c r="G594" s="874"/>
      <c r="H594" s="874"/>
      <c r="I594" s="906"/>
      <c r="J594" s="162"/>
      <c r="K594" s="161"/>
      <c r="L594" s="161"/>
      <c r="M594" s="169"/>
      <c r="N594" s="163" t="str">
        <f t="shared" si="13"/>
        <v/>
      </c>
      <c r="O594" s="41"/>
      <c r="P594" s="41"/>
      <c r="Q594" s="161" t="str">
        <f>+IF(OR(O594="Fire Control",O594="Fire Tex 5062",O594="Fire Tex 5090",O594="Fire Tex 5120"),'CALCULO PINTURA'!P595," ")</f>
        <v xml:space="preserve"> </v>
      </c>
      <c r="R594" s="164" t="str">
        <f>+IF(OR(O594="Fire Control",O594="Fire Tex 5062",O594="Fire Tex 5090",O594="Fire Tex 5120"),'CALCULO PINTURA'!R595," ")</f>
        <v xml:space="preserve"> </v>
      </c>
      <c r="S594" s="164" t="str">
        <f>+IF(OR(O594="Fire Control",O594="Fire Tex 5062",O594="Fire Tex 5090",O594="Fire Tex 5120"),'CALCULO PINTURA'!S595," ")</f>
        <v xml:space="preserve"> </v>
      </c>
      <c r="T594" s="874" t="str">
        <f>+IF(OR(O594="Blaze Shield II",O594="Cafco 400",O594="Cafco 300"),'CALCULO MORTERO'!N600," ")</f>
        <v xml:space="preserve"> </v>
      </c>
      <c r="U594" s="875" t="str">
        <f>+IF(OR(O594="Blaze Shield II",O594="Cafco 400",O594="Cafco 300"),'CALCULO MORTERO'!O600," ")</f>
        <v xml:space="preserve"> </v>
      </c>
      <c r="V594" s="161" t="str" cm="1">
        <f t="array" ref="V594">_xlfn.IFS(O594="Blaze Shield II",'CALCULO MORTERO'!P595, O594="Cafco 400",'CALCULO MORTERO'!Q595,O594="Cafco 300",'CALCULO MORTERO'!S595, AND(OR(O594="Fire tex 5090", O594="Fire Tex 5062", O594="Fire Tex 5120", O594="Fire Control"),Q594&gt;0), "CERT.",TRUE,"-")</f>
        <v>-</v>
      </c>
    </row>
    <row r="595" spans="1:22" x14ac:dyDescent="0.25">
      <c r="A595" s="903"/>
      <c r="B595" s="907"/>
      <c r="C595" s="874"/>
      <c r="D595" s="874"/>
      <c r="E595" s="874"/>
      <c r="F595" s="905"/>
      <c r="G595" s="874"/>
      <c r="H595" s="874"/>
      <c r="I595" s="906"/>
      <c r="J595" s="162"/>
      <c r="K595" s="161"/>
      <c r="L595" s="161"/>
      <c r="M595" s="169"/>
      <c r="N595" s="163" t="str">
        <f t="shared" si="13"/>
        <v/>
      </c>
      <c r="O595" s="41"/>
      <c r="P595" s="41"/>
      <c r="Q595" s="161" t="str">
        <f>+IF(OR(O595="Fire Control",O595="Fire Tex 5062",O595="Fire Tex 5090",O595="Fire Tex 5120"),'CALCULO PINTURA'!P596," ")</f>
        <v xml:space="preserve"> </v>
      </c>
      <c r="R595" s="164" t="str">
        <f>+IF(OR(O595="Fire Control",O595="Fire Tex 5062",O595="Fire Tex 5090",O595="Fire Tex 5120"),'CALCULO PINTURA'!R596," ")</f>
        <v xml:space="preserve"> </v>
      </c>
      <c r="S595" s="164" t="str">
        <f>+IF(OR(O595="Fire Control",O595="Fire Tex 5062",O595="Fire Tex 5090",O595="Fire Tex 5120"),'CALCULO PINTURA'!S596," ")</f>
        <v xml:space="preserve"> </v>
      </c>
      <c r="T595" s="874" t="str">
        <f>+IF(OR(O595="Blaze Shield II",O595="Cafco 400",O595="Cafco 300"),'CALCULO MORTERO'!N601," ")</f>
        <v xml:space="preserve"> </v>
      </c>
      <c r="U595" s="875" t="str">
        <f>+IF(OR(O595="Blaze Shield II",O595="Cafco 400",O595="Cafco 300"),'CALCULO MORTERO'!O601," ")</f>
        <v xml:space="preserve"> </v>
      </c>
      <c r="V595" s="161" t="str" cm="1">
        <f t="array" ref="V595">_xlfn.IFS(O595="Blaze Shield II",'CALCULO MORTERO'!P596, O595="Cafco 400",'CALCULO MORTERO'!Q596,O595="Cafco 300",'CALCULO MORTERO'!S596, AND(OR(O595="Fire tex 5090", O595="Fire Tex 5062", O595="Fire Tex 5120", O595="Fire Control"),Q595&gt;0), "CERT.",TRUE,"-")</f>
        <v>-</v>
      </c>
    </row>
    <row r="596" spans="1:22" x14ac:dyDescent="0.25">
      <c r="A596" s="903"/>
      <c r="B596" s="904"/>
      <c r="C596" s="874"/>
      <c r="D596" s="874"/>
      <c r="E596" s="905"/>
      <c r="F596" s="905"/>
      <c r="G596" s="874"/>
      <c r="H596" s="874"/>
      <c r="I596" s="906"/>
      <c r="J596" s="162"/>
      <c r="K596" s="161"/>
      <c r="L596" s="161"/>
      <c r="M596" s="169"/>
      <c r="N596" s="163" t="str">
        <f t="shared" si="13"/>
        <v/>
      </c>
      <c r="O596" s="41"/>
      <c r="P596" s="41"/>
      <c r="Q596" s="161" t="str">
        <f>+IF(OR(O596="Fire Control",O596="Fire Tex 5062",O596="Fire Tex 5090",O596="Fire Tex 5120"),'CALCULO PINTURA'!P237," ")</f>
        <v xml:space="preserve"> </v>
      </c>
      <c r="R596" s="164" t="str">
        <f>+IF(OR(O596="Fire Control",O596="Fire Tex 5062",O596="Fire Tex 5090",O596="Fire Tex 5120"),'CALCULO PINTURA'!R237," ")</f>
        <v xml:space="preserve"> </v>
      </c>
      <c r="S596" s="164" t="str">
        <f>+IF(OR(O596="Fire Control",O596="Fire Tex 5062",O596="Fire Tex 5090",O596="Fire Tex 5120"),'CALCULO PINTURA'!S237," ")</f>
        <v xml:space="preserve"> </v>
      </c>
      <c r="T596" s="874" t="str">
        <f>+IF(OR(O596="Blaze Shield II",O596="Cafco 400",O596="Cafco 300"),'CALCULO MORTERO'!N242," ")</f>
        <v xml:space="preserve"> </v>
      </c>
      <c r="U596" s="875" t="str">
        <f>+IF(OR(O596="Blaze Shield II",O596="Cafco 400",O596="Cafco 300"),'CALCULO MORTERO'!O242," ")</f>
        <v xml:space="preserve"> </v>
      </c>
      <c r="V596" s="161" t="str" cm="1">
        <f t="array" ref="V596">_xlfn.IFS(O596="Blaze Shield II",'CALCULO MORTERO'!P597, O596="Cafco 400",'CALCULO MORTERO'!Q597,O596="Cafco 300",'CALCULO MORTERO'!S597, AND(OR(O596="Fire tex 5090", O596="Fire Tex 5062", O596="Fire Tex 5120", O596="Fire Control"),Q596&gt;0), "CERT.",TRUE,"-")</f>
        <v>-</v>
      </c>
    </row>
    <row r="597" spans="1:22" x14ac:dyDescent="0.25">
      <c r="A597" s="903"/>
      <c r="B597" s="904"/>
      <c r="C597" s="874"/>
      <c r="D597" s="874"/>
      <c r="E597" s="905"/>
      <c r="F597" s="905"/>
      <c r="G597" s="874"/>
      <c r="H597" s="874"/>
      <c r="I597" s="906"/>
      <c r="J597" s="162"/>
      <c r="K597" s="161"/>
      <c r="L597" s="161"/>
      <c r="M597" s="169"/>
      <c r="N597" s="163" t="str">
        <f t="shared" si="13"/>
        <v/>
      </c>
      <c r="O597" s="41"/>
      <c r="P597" s="41"/>
      <c r="Q597" s="161" t="str">
        <f>+IF(OR(O597="Fire Control",O597="Fire Tex 5062",O597="Fire Tex 5090",O597="Fire Tex 5120"),'CALCULO PINTURA'!P238," ")</f>
        <v xml:space="preserve"> </v>
      </c>
      <c r="R597" s="164" t="str">
        <f>+IF(OR(O597="Fire Control",O597="Fire Tex 5062",O597="Fire Tex 5090",O597="Fire Tex 5120"),'CALCULO PINTURA'!R238," ")</f>
        <v xml:space="preserve"> </v>
      </c>
      <c r="S597" s="164" t="str">
        <f>+IF(OR(O597="Fire Control",O597="Fire Tex 5062",O597="Fire Tex 5090",O597="Fire Tex 5120"),'CALCULO PINTURA'!S238," ")</f>
        <v xml:space="preserve"> </v>
      </c>
      <c r="T597" s="874" t="str">
        <f>+IF(OR(O597="Blaze Shield II",O597="Cafco 400",O597="Cafco 300"),'CALCULO MORTERO'!N243," ")</f>
        <v xml:space="preserve"> </v>
      </c>
      <c r="U597" s="875" t="str">
        <f>+IF(OR(O597="Blaze Shield II",O597="Cafco 400",O597="Cafco 300"),'CALCULO MORTERO'!O243," ")</f>
        <v xml:space="preserve"> </v>
      </c>
      <c r="V597" s="161" t="str" cm="1">
        <f t="array" ref="V597">_xlfn.IFS(O597="Blaze Shield II",'CALCULO MORTERO'!P598, O597="Cafco 400",'CALCULO MORTERO'!Q598,O597="Cafco 300",'CALCULO MORTERO'!S598, AND(OR(O597="Fire tex 5090", O597="Fire Tex 5062", O597="Fire Tex 5120", O597="Fire Control"),Q597&gt;0), "CERT.",TRUE,"-")</f>
        <v>-</v>
      </c>
    </row>
    <row r="598" spans="1:22" x14ac:dyDescent="0.25">
      <c r="A598" s="903"/>
      <c r="B598" s="907"/>
      <c r="C598" s="874"/>
      <c r="D598" s="874"/>
      <c r="E598" s="874"/>
      <c r="F598" s="905"/>
      <c r="G598" s="874"/>
      <c r="H598" s="874"/>
      <c r="I598" s="906"/>
      <c r="J598" s="162"/>
      <c r="K598" s="161"/>
      <c r="L598" s="161"/>
      <c r="M598" s="169"/>
      <c r="N598" s="163" t="str">
        <f t="shared" si="13"/>
        <v/>
      </c>
      <c r="O598" s="41"/>
      <c r="P598" s="41"/>
      <c r="Q598" s="161" t="str">
        <f>+IF(OR(O598="Fire Control",O598="Fire Tex 5062",O598="Fire Tex 5090",O598="Fire Tex 5120"),'CALCULO PINTURA'!P599," ")</f>
        <v xml:space="preserve"> </v>
      </c>
      <c r="R598" s="164" t="str">
        <f>+IF(OR(O598="Fire Control",O598="Fire Tex 5062",O598="Fire Tex 5090",O598="Fire Tex 5120"),'CALCULO PINTURA'!R599," ")</f>
        <v xml:space="preserve"> </v>
      </c>
      <c r="S598" s="164" t="str">
        <f>+IF(OR(O598="Fire Control",O598="Fire Tex 5062",O598="Fire Tex 5090",O598="Fire Tex 5120"),'CALCULO PINTURA'!S599," ")</f>
        <v xml:space="preserve"> </v>
      </c>
      <c r="T598" s="874" t="str">
        <f>+IF(OR(O598="Blaze Shield II",O598="Cafco 400",O598="Cafco 300"),'CALCULO MORTERO'!N604," ")</f>
        <v xml:space="preserve"> </v>
      </c>
      <c r="U598" s="875" t="str">
        <f>+IF(OR(O598="Blaze Shield II",O598="Cafco 400",O598="Cafco 300"),'CALCULO MORTERO'!O604," ")</f>
        <v xml:space="preserve"> </v>
      </c>
      <c r="V598" s="161" t="str" cm="1">
        <f t="array" ref="V598">_xlfn.IFS(O598="Blaze Shield II",'CALCULO MORTERO'!P599, O598="Cafco 400",'CALCULO MORTERO'!Q599,O598="Cafco 300",'CALCULO MORTERO'!S599, AND(OR(O598="Fire tex 5090", O598="Fire Tex 5062", O598="Fire Tex 5120", O598="Fire Control"),Q598&gt;0), "CERT.",TRUE,"-")</f>
        <v>-</v>
      </c>
    </row>
    <row r="599" spans="1:22" x14ac:dyDescent="0.25">
      <c r="A599" s="903"/>
      <c r="B599" s="907"/>
      <c r="C599" s="874"/>
      <c r="D599" s="874"/>
      <c r="E599" s="874"/>
      <c r="F599" s="905"/>
      <c r="G599" s="874"/>
      <c r="H599" s="874"/>
      <c r="I599" s="906"/>
      <c r="J599" s="162"/>
      <c r="K599" s="161"/>
      <c r="L599" s="161"/>
      <c r="M599" s="169"/>
      <c r="N599" s="163" t="str">
        <f t="shared" si="13"/>
        <v/>
      </c>
      <c r="O599" s="41"/>
      <c r="P599" s="41"/>
      <c r="Q599" s="161" t="str">
        <f>+IF(OR(O599="Fire Control",O599="Fire Tex 5062",O599="Fire Tex 5090",O599="Fire Tex 5120"),'CALCULO PINTURA'!P600," ")</f>
        <v xml:space="preserve"> </v>
      </c>
      <c r="R599" s="164" t="str">
        <f>+IF(OR(O599="Fire Control",O599="Fire Tex 5062",O599="Fire Tex 5090",O599="Fire Tex 5120"),'CALCULO PINTURA'!R600," ")</f>
        <v xml:space="preserve"> </v>
      </c>
      <c r="S599" s="164" t="str">
        <f>+IF(OR(O599="Fire Control",O599="Fire Tex 5062",O599="Fire Tex 5090",O599="Fire Tex 5120"),'CALCULO PINTURA'!S600," ")</f>
        <v xml:space="preserve"> </v>
      </c>
      <c r="T599" s="874" t="str">
        <f>+IF(OR(O599="Blaze Shield II",O599="Cafco 400",O599="Cafco 300"),'CALCULO MORTERO'!N605," ")</f>
        <v xml:space="preserve"> </v>
      </c>
      <c r="U599" s="875" t="str">
        <f>+IF(OR(O599="Blaze Shield II",O599="Cafco 400",O599="Cafco 300"),'CALCULO MORTERO'!O605," ")</f>
        <v xml:space="preserve"> </v>
      </c>
      <c r="V599" s="161" t="str" cm="1">
        <f t="array" ref="V599">_xlfn.IFS(O599="Blaze Shield II",'CALCULO MORTERO'!P600, O599="Cafco 400",'CALCULO MORTERO'!Q600,O599="Cafco 300",'CALCULO MORTERO'!S600, AND(OR(O599="Fire tex 5090", O599="Fire Tex 5062", O599="Fire Tex 5120", O599="Fire Control"),Q599&gt;0), "CERT.",TRUE,"-")</f>
        <v>-</v>
      </c>
    </row>
    <row r="600" spans="1:22" x14ac:dyDescent="0.25">
      <c r="A600" s="903"/>
      <c r="B600" s="904"/>
      <c r="C600" s="874"/>
      <c r="D600" s="874"/>
      <c r="E600" s="905"/>
      <c r="F600" s="905"/>
      <c r="G600" s="874"/>
      <c r="H600" s="874"/>
      <c r="I600" s="906"/>
      <c r="J600" s="162"/>
      <c r="K600" s="161"/>
      <c r="L600" s="161"/>
      <c r="M600" s="169"/>
      <c r="N600" s="163" t="str">
        <f t="shared" si="13"/>
        <v/>
      </c>
      <c r="O600" s="41"/>
      <c r="P600" s="41"/>
      <c r="Q600" s="161" t="str">
        <f>+IF(OR(O600="Fire Control",O600="Fire Tex 5062",O600="Fire Tex 5090",O600="Fire Tex 5120"),'CALCULO PINTURA'!P239," ")</f>
        <v xml:space="preserve"> </v>
      </c>
      <c r="R600" s="164" t="str">
        <f>+IF(OR(O600="Fire Control",O600="Fire Tex 5062",O600="Fire Tex 5090",O600="Fire Tex 5120"),'CALCULO PINTURA'!R239," ")</f>
        <v xml:space="preserve"> </v>
      </c>
      <c r="S600" s="164" t="str">
        <f>+IF(OR(O600="Fire Control",O600="Fire Tex 5062",O600="Fire Tex 5090",O600="Fire Tex 5120"),'CALCULO PINTURA'!S239," ")</f>
        <v xml:space="preserve"> </v>
      </c>
      <c r="T600" s="874" t="str">
        <f>+IF(OR(O600="Blaze Shield II",O600="Cafco 400",O600="Cafco 300"),'CALCULO MORTERO'!N244," ")</f>
        <v xml:space="preserve"> </v>
      </c>
      <c r="U600" s="875" t="str">
        <f>+IF(OR(O600="Blaze Shield II",O600="Cafco 400",O600="Cafco 300"),'CALCULO MORTERO'!O244," ")</f>
        <v xml:space="preserve"> </v>
      </c>
      <c r="V600" s="161" t="str" cm="1">
        <f t="array" ref="V600">_xlfn.IFS(O600="Blaze Shield II",'CALCULO MORTERO'!P601, O600="Cafco 400",'CALCULO MORTERO'!Q601,O600="Cafco 300",'CALCULO MORTERO'!S601, AND(OR(O600="Fire tex 5090", O600="Fire Tex 5062", O600="Fire Tex 5120", O600="Fire Control"),Q600&gt;0), "CERT.",TRUE,"-")</f>
        <v>-</v>
      </c>
    </row>
    <row r="601" spans="1:22" x14ac:dyDescent="0.25">
      <c r="A601" s="903"/>
      <c r="B601" s="904"/>
      <c r="C601" s="874"/>
      <c r="D601" s="874"/>
      <c r="E601" s="905"/>
      <c r="F601" s="905"/>
      <c r="G601" s="874"/>
      <c r="H601" s="874"/>
      <c r="I601" s="906"/>
      <c r="J601" s="162"/>
      <c r="K601" s="161"/>
      <c r="L601" s="161"/>
      <c r="M601" s="169"/>
      <c r="N601" s="163" t="str">
        <f t="shared" si="13"/>
        <v/>
      </c>
      <c r="O601" s="41"/>
      <c r="P601" s="41"/>
      <c r="Q601" s="161" t="str">
        <f>+IF(OR(O601="Fire Control",O601="Fire Tex 5062",O601="Fire Tex 5090",O601="Fire Tex 5120"),'CALCULO PINTURA'!P240," ")</f>
        <v xml:space="preserve"> </v>
      </c>
      <c r="R601" s="164" t="str">
        <f>+IF(OR(O601="Fire Control",O601="Fire Tex 5062",O601="Fire Tex 5090",O601="Fire Tex 5120"),'CALCULO PINTURA'!R240," ")</f>
        <v xml:space="preserve"> </v>
      </c>
      <c r="S601" s="164" t="str">
        <f>+IF(OR(O601="Fire Control",O601="Fire Tex 5062",O601="Fire Tex 5090",O601="Fire Tex 5120"),'CALCULO PINTURA'!S240," ")</f>
        <v xml:space="preserve"> </v>
      </c>
      <c r="T601" s="874" t="str">
        <f>+IF(OR(O601="Blaze Shield II",O601="Cafco 400",O601="Cafco 300"),'CALCULO MORTERO'!N245," ")</f>
        <v xml:space="preserve"> </v>
      </c>
      <c r="U601" s="875" t="str">
        <f>+IF(OR(O601="Blaze Shield II",O601="Cafco 400",O601="Cafco 300"),'CALCULO MORTERO'!O245," ")</f>
        <v xml:space="preserve"> </v>
      </c>
      <c r="V601" s="161" t="str" cm="1">
        <f t="array" ref="V601">_xlfn.IFS(O601="Blaze Shield II",'CALCULO MORTERO'!P602, O601="Cafco 400",'CALCULO MORTERO'!Q602,O601="Cafco 300",'CALCULO MORTERO'!S602, AND(OR(O601="Fire tex 5090", O601="Fire Tex 5062", O601="Fire Tex 5120", O601="Fire Control"),Q601&gt;0), "CERT.",TRUE,"-")</f>
        <v>-</v>
      </c>
    </row>
    <row r="602" spans="1:22" x14ac:dyDescent="0.25">
      <c r="A602" s="903"/>
      <c r="B602" s="907"/>
      <c r="C602" s="874"/>
      <c r="D602" s="874"/>
      <c r="E602" s="874"/>
      <c r="F602" s="905"/>
      <c r="G602" s="874"/>
      <c r="H602" s="874"/>
      <c r="I602" s="906"/>
      <c r="J602" s="162"/>
      <c r="K602" s="161"/>
      <c r="L602" s="161"/>
      <c r="M602" s="169"/>
      <c r="N602" s="163" t="str">
        <f t="shared" si="13"/>
        <v/>
      </c>
      <c r="O602" s="41"/>
      <c r="P602" s="41"/>
      <c r="Q602" s="161" t="str">
        <f>+IF(OR(O602="Fire Control",O602="Fire Tex 5062",O602="Fire Tex 5090",O602="Fire Tex 5120"),'CALCULO PINTURA'!P603," ")</f>
        <v xml:space="preserve"> </v>
      </c>
      <c r="R602" s="164" t="str">
        <f>+IF(OR(O602="Fire Control",O602="Fire Tex 5062",O602="Fire Tex 5090",O602="Fire Tex 5120"),'CALCULO PINTURA'!R603," ")</f>
        <v xml:space="preserve"> </v>
      </c>
      <c r="S602" s="164" t="str">
        <f>+IF(OR(O602="Fire Control",O602="Fire Tex 5062",O602="Fire Tex 5090",O602="Fire Tex 5120"),'CALCULO PINTURA'!S603," ")</f>
        <v xml:space="preserve"> </v>
      </c>
      <c r="T602" s="874" t="str">
        <f>+IF(OR(O602="Blaze Shield II",O602="Cafco 400",O602="Cafco 300"),'CALCULO MORTERO'!N608," ")</f>
        <v xml:space="preserve"> </v>
      </c>
      <c r="U602" s="875" t="str">
        <f>+IF(OR(O602="Blaze Shield II",O602="Cafco 400",O602="Cafco 300"),'CALCULO MORTERO'!O608," ")</f>
        <v xml:space="preserve"> </v>
      </c>
      <c r="V602" s="161" t="str" cm="1">
        <f t="array" ref="V602">_xlfn.IFS(O602="Blaze Shield II",'CALCULO MORTERO'!P603, O602="Cafco 400",'CALCULO MORTERO'!Q603,O602="Cafco 300",'CALCULO MORTERO'!S603, AND(OR(O602="Fire tex 5090", O602="Fire Tex 5062", O602="Fire Tex 5120", O602="Fire Control"),Q602&gt;0), "CERT.",TRUE,"-")</f>
        <v>-</v>
      </c>
    </row>
    <row r="603" spans="1:22" x14ac:dyDescent="0.25">
      <c r="A603" s="903"/>
      <c r="B603" s="904"/>
      <c r="C603" s="874"/>
      <c r="D603" s="874"/>
      <c r="E603" s="905"/>
      <c r="F603" s="905"/>
      <c r="G603" s="874"/>
      <c r="H603" s="874"/>
      <c r="I603" s="906"/>
      <c r="J603" s="162"/>
      <c r="K603" s="161"/>
      <c r="L603" s="161"/>
      <c r="M603" s="169"/>
      <c r="N603" s="163" t="str">
        <f t="shared" si="13"/>
        <v/>
      </c>
      <c r="O603" s="41"/>
      <c r="P603" s="41"/>
      <c r="Q603" s="161" t="str">
        <f>+IF(OR(O603="Fire Control",O603="Fire Tex 5062",O603="Fire Tex 5090",O603="Fire Tex 5120"),'CALCULO PINTURA'!P241," ")</f>
        <v xml:space="preserve"> </v>
      </c>
      <c r="R603" s="164" t="str">
        <f>+IF(OR(O603="Fire Control",O603="Fire Tex 5062",O603="Fire Tex 5090",O603="Fire Tex 5120"),'CALCULO PINTURA'!R241," ")</f>
        <v xml:space="preserve"> </v>
      </c>
      <c r="S603" s="164" t="str">
        <f>+IF(OR(O603="Fire Control",O603="Fire Tex 5062",O603="Fire Tex 5090",O603="Fire Tex 5120"),'CALCULO PINTURA'!S241," ")</f>
        <v xml:space="preserve"> </v>
      </c>
      <c r="T603" s="874" t="str">
        <f>+IF(OR(O603="Blaze Shield II",O603="Cafco 400",O603="Cafco 300"),'CALCULO MORTERO'!N246," ")</f>
        <v xml:space="preserve"> </v>
      </c>
      <c r="U603" s="875" t="str">
        <f>+IF(OR(O603="Blaze Shield II",O603="Cafco 400",O603="Cafco 300"),'CALCULO MORTERO'!O246," ")</f>
        <v xml:space="preserve"> </v>
      </c>
      <c r="V603" s="161" t="str" cm="1">
        <f t="array" ref="V603">_xlfn.IFS(O603="Blaze Shield II",'CALCULO MORTERO'!P604, O603="Cafco 400",'CALCULO MORTERO'!Q604,O603="Cafco 300",'CALCULO MORTERO'!S604, AND(OR(O603="Fire tex 5090", O603="Fire Tex 5062", O603="Fire Tex 5120", O603="Fire Control"),Q603&gt;0), "CERT.",TRUE,"-")</f>
        <v>-</v>
      </c>
    </row>
    <row r="604" spans="1:22" x14ac:dyDescent="0.25">
      <c r="A604" s="903"/>
      <c r="B604" s="904"/>
      <c r="C604" s="874"/>
      <c r="D604" s="874"/>
      <c r="E604" s="905"/>
      <c r="F604" s="905"/>
      <c r="G604" s="874"/>
      <c r="H604" s="874"/>
      <c r="I604" s="906"/>
      <c r="J604" s="162"/>
      <c r="K604" s="161"/>
      <c r="L604" s="161"/>
      <c r="M604" s="169"/>
      <c r="N604" s="163" t="str">
        <f t="shared" si="13"/>
        <v/>
      </c>
      <c r="O604" s="41"/>
      <c r="P604" s="41"/>
      <c r="Q604" s="161" t="str">
        <f>+IF(OR(O604="Fire Control",O604="Fire Tex 5062",O604="Fire Tex 5090",O604="Fire Tex 5120"),'CALCULO PINTURA'!P242," ")</f>
        <v xml:space="preserve"> </v>
      </c>
      <c r="R604" s="164" t="str">
        <f>+IF(OR(O604="Fire Control",O604="Fire Tex 5062",O604="Fire Tex 5090",O604="Fire Tex 5120"),'CALCULO PINTURA'!R242," ")</f>
        <v xml:space="preserve"> </v>
      </c>
      <c r="S604" s="164" t="str">
        <f>+IF(OR(O604="Fire Control",O604="Fire Tex 5062",O604="Fire Tex 5090",O604="Fire Tex 5120"),'CALCULO PINTURA'!S242," ")</f>
        <v xml:space="preserve"> </v>
      </c>
      <c r="T604" s="874" t="str">
        <f>+IF(OR(O604="Blaze Shield II",O604="Cafco 400",O604="Cafco 300"),'CALCULO MORTERO'!N247," ")</f>
        <v xml:space="preserve"> </v>
      </c>
      <c r="U604" s="875" t="str">
        <f>+IF(OR(O604="Blaze Shield II",O604="Cafco 400",O604="Cafco 300"),'CALCULO MORTERO'!O247," ")</f>
        <v xml:space="preserve"> </v>
      </c>
      <c r="V604" s="161" t="str" cm="1">
        <f t="array" ref="V604">_xlfn.IFS(O604="Blaze Shield II",'CALCULO MORTERO'!P605, O604="Cafco 400",'CALCULO MORTERO'!Q605,O604="Cafco 300",'CALCULO MORTERO'!S605, AND(OR(O604="Fire tex 5090", O604="Fire Tex 5062", O604="Fire Tex 5120", O604="Fire Control"),Q604&gt;0), "CERT.",TRUE,"-")</f>
        <v>-</v>
      </c>
    </row>
    <row r="605" spans="1:22" x14ac:dyDescent="0.25">
      <c r="A605" s="903"/>
      <c r="B605" s="904"/>
      <c r="C605" s="874"/>
      <c r="D605" s="874"/>
      <c r="E605" s="905"/>
      <c r="F605" s="905"/>
      <c r="G605" s="874"/>
      <c r="H605" s="874"/>
      <c r="I605" s="906"/>
      <c r="J605" s="162"/>
      <c r="K605" s="161"/>
      <c r="L605" s="161"/>
      <c r="M605" s="169"/>
      <c r="N605" s="163" t="str">
        <f t="shared" si="13"/>
        <v/>
      </c>
      <c r="O605" s="41"/>
      <c r="P605" s="41"/>
      <c r="Q605" s="161" t="str">
        <f>+IF(OR(O605="Fire Control",O605="Fire Tex 5062",O605="Fire Tex 5090",O605="Fire Tex 5120"),'CALCULO PINTURA'!P243," ")</f>
        <v xml:space="preserve"> </v>
      </c>
      <c r="R605" s="164" t="str">
        <f>+IF(OR(O605="Fire Control",O605="Fire Tex 5062",O605="Fire Tex 5090",O605="Fire Tex 5120"),'CALCULO PINTURA'!R243," ")</f>
        <v xml:space="preserve"> </v>
      </c>
      <c r="S605" s="164" t="str">
        <f>+IF(OR(O605="Fire Control",O605="Fire Tex 5062",O605="Fire Tex 5090",O605="Fire Tex 5120"),'CALCULO PINTURA'!S243," ")</f>
        <v xml:space="preserve"> </v>
      </c>
      <c r="T605" s="874" t="str">
        <f>+IF(OR(O605="Blaze Shield II",O605="Cafco 400",O605="Cafco 300"),'CALCULO MORTERO'!N248," ")</f>
        <v xml:space="preserve"> </v>
      </c>
      <c r="U605" s="875" t="str">
        <f>+IF(OR(O605="Blaze Shield II",O605="Cafco 400",O605="Cafco 300"),'CALCULO MORTERO'!O248," ")</f>
        <v xml:space="preserve"> </v>
      </c>
      <c r="V605" s="161" t="str" cm="1">
        <f t="array" ref="V605">_xlfn.IFS(O605="Blaze Shield II",'CALCULO MORTERO'!P606, O605="Cafco 400",'CALCULO MORTERO'!Q606,O605="Cafco 300",'CALCULO MORTERO'!S606, AND(OR(O605="Fire tex 5090", O605="Fire Tex 5062", O605="Fire Tex 5120", O605="Fire Control"),Q605&gt;0), "CERT.",TRUE,"-")</f>
        <v>-</v>
      </c>
    </row>
    <row r="606" spans="1:22" x14ac:dyDescent="0.25">
      <c r="A606" s="903"/>
      <c r="B606" s="904"/>
      <c r="C606" s="874"/>
      <c r="D606" s="874"/>
      <c r="E606" s="905"/>
      <c r="F606" s="905"/>
      <c r="G606" s="874"/>
      <c r="H606" s="874"/>
      <c r="I606" s="906"/>
      <c r="J606" s="162"/>
      <c r="K606" s="161"/>
      <c r="L606" s="161"/>
      <c r="M606" s="169"/>
      <c r="N606" s="163" t="str">
        <f t="shared" si="13"/>
        <v/>
      </c>
      <c r="O606" s="41"/>
      <c r="P606" s="41"/>
      <c r="Q606" s="161" t="str">
        <f>+IF(OR(O606="Fire Control",O606="Fire Tex 5062",O606="Fire Tex 5090",O606="Fire Tex 5120"),'CALCULO PINTURA'!P244," ")</f>
        <v xml:space="preserve"> </v>
      </c>
      <c r="R606" s="164" t="str">
        <f>+IF(OR(O606="Fire Control",O606="Fire Tex 5062",O606="Fire Tex 5090",O606="Fire Tex 5120"),'CALCULO PINTURA'!R244," ")</f>
        <v xml:space="preserve"> </v>
      </c>
      <c r="S606" s="164" t="str">
        <f>+IF(OR(O606="Fire Control",O606="Fire Tex 5062",O606="Fire Tex 5090",O606="Fire Tex 5120"),'CALCULO PINTURA'!S244," ")</f>
        <v xml:space="preserve"> </v>
      </c>
      <c r="T606" s="874" t="str">
        <f>+IF(OR(O606="Blaze Shield II",O606="Cafco 400",O606="Cafco 300"),'CALCULO MORTERO'!N249," ")</f>
        <v xml:space="preserve"> </v>
      </c>
      <c r="U606" s="875" t="str">
        <f>+IF(OR(O606="Blaze Shield II",O606="Cafco 400",O606="Cafco 300"),'CALCULO MORTERO'!O249," ")</f>
        <v xml:space="preserve"> </v>
      </c>
      <c r="V606" s="161" t="str" cm="1">
        <f t="array" ref="V606">_xlfn.IFS(O606="Blaze Shield II",'CALCULO MORTERO'!P607, O606="Cafco 400",'CALCULO MORTERO'!Q607,O606="Cafco 300",'CALCULO MORTERO'!S607, AND(OR(O606="Fire tex 5090", O606="Fire Tex 5062", O606="Fire Tex 5120", O606="Fire Control"),Q606&gt;0), "CERT.",TRUE,"-")</f>
        <v>-</v>
      </c>
    </row>
    <row r="607" spans="1:22" x14ac:dyDescent="0.25">
      <c r="A607" s="903"/>
      <c r="B607" s="904"/>
      <c r="C607" s="874"/>
      <c r="D607" s="874"/>
      <c r="E607" s="905"/>
      <c r="F607" s="905"/>
      <c r="G607" s="874"/>
      <c r="H607" s="874"/>
      <c r="I607" s="906"/>
      <c r="J607" s="162"/>
      <c r="K607" s="161"/>
      <c r="L607" s="161"/>
      <c r="M607" s="169"/>
      <c r="N607" s="163" t="str">
        <f t="shared" si="13"/>
        <v/>
      </c>
      <c r="O607" s="41"/>
      <c r="P607" s="41"/>
      <c r="Q607" s="161" t="str">
        <f>+IF(OR(O607="Fire Control",O607="Fire Tex 5062",O607="Fire Tex 5090",O607="Fire Tex 5120"),'CALCULO PINTURA'!P273," ")</f>
        <v xml:space="preserve"> </v>
      </c>
      <c r="R607" s="164" t="str">
        <f>+IF(OR(O607="Fire Control",O607="Fire Tex 5062",O607="Fire Tex 5090",O607="Fire Tex 5120"),'CALCULO PINTURA'!R273," ")</f>
        <v xml:space="preserve"> </v>
      </c>
      <c r="S607" s="164" t="str">
        <f>+IF(OR(O607="Fire Control",O607="Fire Tex 5062",O607="Fire Tex 5090",O607="Fire Tex 5120"),'CALCULO PINTURA'!S273," ")</f>
        <v xml:space="preserve"> </v>
      </c>
      <c r="T607" s="874" t="str">
        <f>+IF(OR(O607="Blaze Shield II",O607="Cafco 400",O607="Cafco 300"),'CALCULO MORTERO'!N278," ")</f>
        <v xml:space="preserve"> </v>
      </c>
      <c r="U607" s="875" t="str">
        <f>+IF(OR(O607="Blaze Shield II",O607="Cafco 400",O607="Cafco 300"),'CALCULO MORTERO'!O278," ")</f>
        <v xml:space="preserve"> </v>
      </c>
      <c r="V607" s="161" t="str" cm="1">
        <f t="array" ref="V607">_xlfn.IFS(O607="Blaze Shield II",'CALCULO MORTERO'!P608, O607="Cafco 400",'CALCULO MORTERO'!Q608,O607="Cafco 300",'CALCULO MORTERO'!S608, AND(OR(O607="Fire tex 5090", O607="Fire Tex 5062", O607="Fire Tex 5120", O607="Fire Control"),Q607&gt;0), "CERT.",TRUE,"-")</f>
        <v>-</v>
      </c>
    </row>
    <row r="608" spans="1:22" x14ac:dyDescent="0.25">
      <c r="A608" s="903"/>
      <c r="B608" s="904"/>
      <c r="C608" s="874"/>
      <c r="D608" s="874"/>
      <c r="E608" s="905"/>
      <c r="F608" s="905"/>
      <c r="G608" s="874"/>
      <c r="H608" s="874"/>
      <c r="I608" s="906"/>
      <c r="J608" s="162"/>
      <c r="K608" s="161"/>
      <c r="L608" s="161"/>
      <c r="M608" s="169"/>
      <c r="N608" s="163" t="str">
        <f t="shared" si="13"/>
        <v/>
      </c>
      <c r="O608" s="41"/>
      <c r="P608" s="41"/>
      <c r="Q608" s="161" t="str">
        <f>+IF(OR(O608="Fire Control",O608="Fire Tex 5062",O608="Fire Tex 5090",O608="Fire Tex 5120"),'CALCULO PINTURA'!P274," ")</f>
        <v xml:space="preserve"> </v>
      </c>
      <c r="R608" s="164" t="str">
        <f>+IF(OR(O608="Fire Control",O608="Fire Tex 5062",O608="Fire Tex 5090",O608="Fire Tex 5120"),'CALCULO PINTURA'!R274," ")</f>
        <v xml:space="preserve"> </v>
      </c>
      <c r="S608" s="164" t="str">
        <f>+IF(OR(O608="Fire Control",O608="Fire Tex 5062",O608="Fire Tex 5090",O608="Fire Tex 5120"),'CALCULO PINTURA'!S274," ")</f>
        <v xml:space="preserve"> </v>
      </c>
      <c r="T608" s="874" t="str">
        <f>+IF(OR(O608="Blaze Shield II",O608="Cafco 400",O608="Cafco 300"),'CALCULO MORTERO'!N279," ")</f>
        <v xml:space="preserve"> </v>
      </c>
      <c r="U608" s="875" t="str">
        <f>+IF(OR(O608="Blaze Shield II",O608="Cafco 400",O608="Cafco 300"),'CALCULO MORTERO'!O279," ")</f>
        <v xml:space="preserve"> </v>
      </c>
      <c r="V608" s="161" t="str" cm="1">
        <f t="array" ref="V608">_xlfn.IFS(O608="Blaze Shield II",'CALCULO MORTERO'!P609, O608="Cafco 400",'CALCULO MORTERO'!Q609,O608="Cafco 300",'CALCULO MORTERO'!S609, AND(OR(O608="Fire tex 5090", O608="Fire Tex 5062", O608="Fire Tex 5120", O608="Fire Control"),Q608&gt;0), "CERT.",TRUE,"-")</f>
        <v>-</v>
      </c>
    </row>
    <row r="609" spans="1:22" x14ac:dyDescent="0.25">
      <c r="A609" s="903"/>
      <c r="B609" s="904"/>
      <c r="C609" s="874"/>
      <c r="D609" s="874"/>
      <c r="E609" s="905"/>
      <c r="F609" s="905"/>
      <c r="G609" s="874"/>
      <c r="H609" s="874"/>
      <c r="I609" s="906"/>
      <c r="J609" s="162"/>
      <c r="K609" s="161"/>
      <c r="L609" s="161"/>
      <c r="M609" s="169"/>
      <c r="N609" s="163" t="str">
        <f t="shared" si="13"/>
        <v/>
      </c>
      <c r="O609" s="41"/>
      <c r="P609" s="41"/>
      <c r="Q609" s="161" t="str">
        <f>+IF(OR(O609="Fire Control",O609="Fire Tex 5062",O609="Fire Tex 5090",O609="Fire Tex 5120"),'CALCULO PINTURA'!P275," ")</f>
        <v xml:space="preserve"> </v>
      </c>
      <c r="R609" s="164" t="str">
        <f>+IF(OR(O609="Fire Control",O609="Fire Tex 5062",O609="Fire Tex 5090",O609="Fire Tex 5120"),'CALCULO PINTURA'!R275," ")</f>
        <v xml:space="preserve"> </v>
      </c>
      <c r="S609" s="164" t="str">
        <f>+IF(OR(O609="Fire Control",O609="Fire Tex 5062",O609="Fire Tex 5090",O609="Fire Tex 5120"),'CALCULO PINTURA'!S275," ")</f>
        <v xml:space="preserve"> </v>
      </c>
      <c r="T609" s="874" t="str">
        <f>+IF(OR(O609="Blaze Shield II",O609="Cafco 400",O609="Cafco 300"),'CALCULO MORTERO'!N280," ")</f>
        <v xml:space="preserve"> </v>
      </c>
      <c r="U609" s="875" t="str">
        <f>+IF(OR(O609="Blaze Shield II",O609="Cafco 400",O609="Cafco 300"),'CALCULO MORTERO'!O280," ")</f>
        <v xml:space="preserve"> </v>
      </c>
      <c r="V609" s="161" t="str" cm="1">
        <f t="array" ref="V609">_xlfn.IFS(O609="Blaze Shield II",'CALCULO MORTERO'!P610, O609="Cafco 400",'CALCULO MORTERO'!Q610,O609="Cafco 300",'CALCULO MORTERO'!S610, AND(OR(O609="Fire tex 5090", O609="Fire Tex 5062", O609="Fire Tex 5120", O609="Fire Control"),Q609&gt;0), "CERT.",TRUE,"-")</f>
        <v>-</v>
      </c>
    </row>
    <row r="610" spans="1:22" x14ac:dyDescent="0.25">
      <c r="A610" s="903"/>
      <c r="B610" s="904"/>
      <c r="C610" s="874"/>
      <c r="D610" s="874"/>
      <c r="E610" s="905"/>
      <c r="F610" s="905"/>
      <c r="G610" s="874"/>
      <c r="H610" s="874"/>
      <c r="I610" s="906"/>
      <c r="J610" s="162"/>
      <c r="K610" s="161"/>
      <c r="L610" s="161"/>
      <c r="M610" s="169"/>
      <c r="N610" s="163" t="str">
        <f t="shared" si="13"/>
        <v/>
      </c>
      <c r="O610" s="41"/>
      <c r="P610" s="41"/>
      <c r="Q610" s="161" t="str">
        <f>+IF(OR(O610="Fire Control",O610="Fire Tex 5062",O610="Fire Tex 5090",O610="Fire Tex 5120"),'CALCULO PINTURA'!P276," ")</f>
        <v xml:space="preserve"> </v>
      </c>
      <c r="R610" s="164" t="str">
        <f>+IF(OR(O610="Fire Control",O610="Fire Tex 5062",O610="Fire Tex 5090",O610="Fire Tex 5120"),'CALCULO PINTURA'!R276," ")</f>
        <v xml:space="preserve"> </v>
      </c>
      <c r="S610" s="164" t="str">
        <f>+IF(OR(O610="Fire Control",O610="Fire Tex 5062",O610="Fire Tex 5090",O610="Fire Tex 5120"),'CALCULO PINTURA'!S276," ")</f>
        <v xml:space="preserve"> </v>
      </c>
      <c r="T610" s="874" t="str">
        <f>+IF(OR(O610="Blaze Shield II",O610="Cafco 400",O610="Cafco 300"),'CALCULO MORTERO'!N281," ")</f>
        <v xml:space="preserve"> </v>
      </c>
      <c r="U610" s="875" t="str">
        <f>+IF(OR(O610="Blaze Shield II",O610="Cafco 400",O610="Cafco 300"),'CALCULO MORTERO'!O281," ")</f>
        <v xml:space="preserve"> </v>
      </c>
      <c r="V610" s="161" t="str" cm="1">
        <f t="array" ref="V610">_xlfn.IFS(O610="Blaze Shield II",'CALCULO MORTERO'!P611, O610="Cafco 400",'CALCULO MORTERO'!Q611,O610="Cafco 300",'CALCULO MORTERO'!S611, AND(OR(O610="Fire tex 5090", O610="Fire Tex 5062", O610="Fire Tex 5120", O610="Fire Control"),Q610&gt;0), "CERT.",TRUE,"-")</f>
        <v>-</v>
      </c>
    </row>
    <row r="611" spans="1:22" x14ac:dyDescent="0.25">
      <c r="A611" s="903"/>
      <c r="B611" s="904"/>
      <c r="C611" s="874"/>
      <c r="D611" s="874"/>
      <c r="E611" s="905"/>
      <c r="F611" s="905"/>
      <c r="G611" s="874"/>
      <c r="H611" s="874"/>
      <c r="I611" s="906"/>
      <c r="J611" s="162"/>
      <c r="K611" s="161"/>
      <c r="L611" s="161"/>
      <c r="M611" s="169"/>
      <c r="N611" s="163" t="str">
        <f t="shared" si="13"/>
        <v/>
      </c>
      <c r="O611" s="41"/>
      <c r="P611" s="41"/>
      <c r="Q611" s="161" t="str">
        <f>+IF(OR(O611="Fire Control",O611="Fire Tex 5062",O611="Fire Tex 5090",O611="Fire Tex 5120"),'CALCULO PINTURA'!P277," ")</f>
        <v xml:space="preserve"> </v>
      </c>
      <c r="R611" s="164" t="str">
        <f>+IF(OR(O611="Fire Control",O611="Fire Tex 5062",O611="Fire Tex 5090",O611="Fire Tex 5120"),'CALCULO PINTURA'!R277," ")</f>
        <v xml:space="preserve"> </v>
      </c>
      <c r="S611" s="164" t="str">
        <f>+IF(OR(O611="Fire Control",O611="Fire Tex 5062",O611="Fire Tex 5090",O611="Fire Tex 5120"),'CALCULO PINTURA'!S277," ")</f>
        <v xml:space="preserve"> </v>
      </c>
      <c r="T611" s="874" t="str">
        <f>+IF(OR(O611="Blaze Shield II",O611="Cafco 400",O611="Cafco 300"),'CALCULO MORTERO'!N282," ")</f>
        <v xml:space="preserve"> </v>
      </c>
      <c r="U611" s="875" t="str">
        <f>+IF(OR(O611="Blaze Shield II",O611="Cafco 400",O611="Cafco 300"),'CALCULO MORTERO'!O282," ")</f>
        <v xml:space="preserve"> </v>
      </c>
      <c r="V611" s="161" t="str" cm="1">
        <f t="array" ref="V611">_xlfn.IFS(O611="Blaze Shield II",'CALCULO MORTERO'!P612, O611="Cafco 400",'CALCULO MORTERO'!Q612,O611="Cafco 300",'CALCULO MORTERO'!S612, AND(OR(O611="Fire tex 5090", O611="Fire Tex 5062", O611="Fire Tex 5120", O611="Fire Control"),Q611&gt;0), "CERT.",TRUE,"-")</f>
        <v>-</v>
      </c>
    </row>
    <row r="612" spans="1:22" x14ac:dyDescent="0.25">
      <c r="A612" s="903"/>
      <c r="B612" s="904"/>
      <c r="C612" s="874"/>
      <c r="D612" s="874"/>
      <c r="E612" s="905"/>
      <c r="F612" s="905"/>
      <c r="G612" s="874"/>
      <c r="H612" s="874"/>
      <c r="I612" s="906"/>
      <c r="J612" s="162"/>
      <c r="K612" s="161"/>
      <c r="L612" s="161"/>
      <c r="M612" s="169"/>
      <c r="N612" s="163" t="str">
        <f t="shared" si="13"/>
        <v/>
      </c>
      <c r="O612" s="41"/>
      <c r="P612" s="41"/>
      <c r="Q612" s="161" t="str">
        <f>+IF(OR(O612="Fire Control",O612="Fire Tex 5062",O612="Fire Tex 5090",O612="Fire Tex 5120"),'CALCULO PINTURA'!P278," ")</f>
        <v xml:space="preserve"> </v>
      </c>
      <c r="R612" s="164" t="str">
        <f>+IF(OR(O612="Fire Control",O612="Fire Tex 5062",O612="Fire Tex 5090",O612="Fire Tex 5120"),'CALCULO PINTURA'!R278," ")</f>
        <v xml:space="preserve"> </v>
      </c>
      <c r="S612" s="164" t="str">
        <f>+IF(OR(O612="Fire Control",O612="Fire Tex 5062",O612="Fire Tex 5090",O612="Fire Tex 5120"),'CALCULO PINTURA'!S278," ")</f>
        <v xml:space="preserve"> </v>
      </c>
      <c r="T612" s="874" t="str">
        <f>+IF(OR(O612="Blaze Shield II",O612="Cafco 400",O612="Cafco 300"),'CALCULO MORTERO'!N283," ")</f>
        <v xml:space="preserve"> </v>
      </c>
      <c r="U612" s="875" t="str">
        <f>+IF(OR(O612="Blaze Shield II",O612="Cafco 400",O612="Cafco 300"),'CALCULO MORTERO'!O283," ")</f>
        <v xml:space="preserve"> </v>
      </c>
      <c r="V612" s="161" t="str" cm="1">
        <f t="array" ref="V612">_xlfn.IFS(O612="Blaze Shield II",'CALCULO MORTERO'!P613, O612="Cafco 400",'CALCULO MORTERO'!Q613,O612="Cafco 300",'CALCULO MORTERO'!S613, AND(OR(O612="Fire tex 5090", O612="Fire Tex 5062", O612="Fire Tex 5120", O612="Fire Control"),Q612&gt;0), "CERT.",TRUE,"-")</f>
        <v>-</v>
      </c>
    </row>
    <row r="613" spans="1:22" x14ac:dyDescent="0.25">
      <c r="A613" s="903"/>
      <c r="B613" s="907"/>
      <c r="C613" s="874"/>
      <c r="D613" s="874"/>
      <c r="E613" s="874"/>
      <c r="F613" s="874"/>
      <c r="G613" s="874"/>
      <c r="H613" s="874"/>
      <c r="I613" s="906"/>
      <c r="J613" s="162"/>
      <c r="K613" s="161"/>
      <c r="L613" s="161"/>
      <c r="M613" s="169"/>
      <c r="N613" s="163" t="str">
        <f t="shared" si="13"/>
        <v/>
      </c>
      <c r="O613" s="41"/>
      <c r="P613" s="41"/>
      <c r="Q613" s="161" t="str">
        <f>+IF(OR(O613="Fire Control",O613="Fire Tex 5062",O613="Fire Tex 5090",O613="Fire Tex 5120"),'CALCULO PINTURA'!P614," ")</f>
        <v xml:space="preserve"> </v>
      </c>
      <c r="R613" s="164" t="str">
        <f>+IF(OR(O613="Fire Control",O613="Fire Tex 5062",O613="Fire Tex 5090",O613="Fire Tex 5120"),'CALCULO PINTURA'!R614," ")</f>
        <v xml:space="preserve"> </v>
      </c>
      <c r="S613" s="164" t="str">
        <f>+IF(OR(O613="Fire Control",O613="Fire Tex 5062",O613="Fire Tex 5090",O613="Fire Tex 5120"),'CALCULO PINTURA'!S614," ")</f>
        <v xml:space="preserve"> </v>
      </c>
      <c r="T613" s="874" t="str">
        <f>+IF(OR(O613="Blaze Shield II",O613="Cafco 400",O613="Cafco 300"),'CALCULO MORTERO'!N619," ")</f>
        <v xml:space="preserve"> </v>
      </c>
      <c r="U613" s="875" t="str">
        <f>+IF(OR(O613="Blaze Shield II",O613="Cafco 400",O613="Cafco 300"),'CALCULO MORTERO'!O619," ")</f>
        <v xml:space="preserve"> </v>
      </c>
      <c r="V613" s="161" t="str" cm="1">
        <f t="array" ref="V613">_xlfn.IFS(O613="Blaze Shield II",'CALCULO MORTERO'!P614, O613="Cafco 400",'CALCULO MORTERO'!Q614,O613="Cafco 300",'CALCULO MORTERO'!S614, AND(OR(O613="Fire tex 5090", O613="Fire Tex 5062", O613="Fire Tex 5120", O613="Fire Control"),Q613&gt;0), "CERT.",TRUE,"-")</f>
        <v>-</v>
      </c>
    </row>
    <row r="614" spans="1:22" x14ac:dyDescent="0.25">
      <c r="A614" s="903"/>
      <c r="B614" s="907"/>
      <c r="C614" s="874"/>
      <c r="D614" s="874"/>
      <c r="E614" s="874"/>
      <c r="F614" s="874"/>
      <c r="G614" s="874"/>
      <c r="H614" s="874"/>
      <c r="I614" s="906"/>
      <c r="J614" s="162"/>
      <c r="K614" s="161"/>
      <c r="L614" s="161"/>
      <c r="M614" s="169"/>
      <c r="N614" s="163" t="str">
        <f t="shared" si="13"/>
        <v/>
      </c>
      <c r="O614" s="41"/>
      <c r="P614" s="41"/>
      <c r="Q614" s="161" t="str">
        <f>+IF(OR(O614="Fire Control",O614="Fire Tex 5062",O614="Fire Tex 5090",O614="Fire Tex 5120"),'CALCULO PINTURA'!P615," ")</f>
        <v xml:space="preserve"> </v>
      </c>
      <c r="R614" s="164" t="str">
        <f>+IF(OR(O614="Fire Control",O614="Fire Tex 5062",O614="Fire Tex 5090",O614="Fire Tex 5120"),'CALCULO PINTURA'!R615," ")</f>
        <v xml:space="preserve"> </v>
      </c>
      <c r="S614" s="164" t="str">
        <f>+IF(OR(O614="Fire Control",O614="Fire Tex 5062",O614="Fire Tex 5090",O614="Fire Tex 5120"),'CALCULO PINTURA'!S615," ")</f>
        <v xml:space="preserve"> </v>
      </c>
      <c r="T614" s="874" t="str">
        <f>+IF(OR(O614="Blaze Shield II",O614="Cafco 400",O614="Cafco 300"),'CALCULO MORTERO'!N620," ")</f>
        <v xml:space="preserve"> </v>
      </c>
      <c r="U614" s="875" t="str">
        <f>+IF(OR(O614="Blaze Shield II",O614="Cafco 400",O614="Cafco 300"),'CALCULO MORTERO'!O620," ")</f>
        <v xml:space="preserve"> </v>
      </c>
      <c r="V614" s="161" t="str" cm="1">
        <f t="array" ref="V614">_xlfn.IFS(O614="Blaze Shield II",'CALCULO MORTERO'!P615, O614="Cafco 400",'CALCULO MORTERO'!Q615,O614="Cafco 300",'CALCULO MORTERO'!S615, AND(OR(O614="Fire tex 5090", O614="Fire Tex 5062", O614="Fire Tex 5120", O614="Fire Control"),Q614&gt;0), "CERT.",TRUE,"-")</f>
        <v>-</v>
      </c>
    </row>
    <row r="615" spans="1:22" x14ac:dyDescent="0.25">
      <c r="A615" s="903"/>
      <c r="B615" s="907"/>
      <c r="C615" s="874"/>
      <c r="D615" s="874"/>
      <c r="E615" s="874"/>
      <c r="F615" s="874"/>
      <c r="G615" s="874"/>
      <c r="H615" s="874"/>
      <c r="I615" s="906"/>
      <c r="J615" s="162"/>
      <c r="K615" s="161"/>
      <c r="L615" s="161"/>
      <c r="M615" s="169"/>
      <c r="N615" s="163" t="str">
        <f t="shared" si="13"/>
        <v/>
      </c>
      <c r="O615" s="41"/>
      <c r="P615" s="41"/>
      <c r="Q615" s="161" t="str">
        <f>+IF(OR(O615="Fire Control",O615="Fire Tex 5062",O615="Fire Tex 5090",O615="Fire Tex 5120"),'CALCULO PINTURA'!P616," ")</f>
        <v xml:space="preserve"> </v>
      </c>
      <c r="R615" s="164" t="str">
        <f>+IF(OR(O615="Fire Control",O615="Fire Tex 5062",O615="Fire Tex 5090",O615="Fire Tex 5120"),'CALCULO PINTURA'!R616," ")</f>
        <v xml:space="preserve"> </v>
      </c>
      <c r="S615" s="164" t="str">
        <f>+IF(OR(O615="Fire Control",O615="Fire Tex 5062",O615="Fire Tex 5090",O615="Fire Tex 5120"),'CALCULO PINTURA'!S616," ")</f>
        <v xml:space="preserve"> </v>
      </c>
      <c r="T615" s="874" t="str">
        <f>+IF(OR(O615="Blaze Shield II",O615="Cafco 400",O615="Cafco 300"),'CALCULO MORTERO'!N621," ")</f>
        <v xml:space="preserve"> </v>
      </c>
      <c r="U615" s="875" t="str">
        <f>+IF(OR(O615="Blaze Shield II",O615="Cafco 400",O615="Cafco 300"),'CALCULO MORTERO'!O621," ")</f>
        <v xml:space="preserve"> </v>
      </c>
      <c r="V615" s="161" t="str" cm="1">
        <f t="array" ref="V615">_xlfn.IFS(O615="Blaze Shield II",'CALCULO MORTERO'!P616, O615="Cafco 400",'CALCULO MORTERO'!Q616,O615="Cafco 300",'CALCULO MORTERO'!S616, AND(OR(O615="Fire tex 5090", O615="Fire Tex 5062", O615="Fire Tex 5120", O615="Fire Control"),Q615&gt;0), "CERT.",TRUE,"-")</f>
        <v>-</v>
      </c>
    </row>
    <row r="616" spans="1:22" x14ac:dyDescent="0.25">
      <c r="A616" s="903"/>
      <c r="B616" s="907"/>
      <c r="C616" s="874"/>
      <c r="D616" s="874"/>
      <c r="E616" s="874"/>
      <c r="F616" s="874"/>
      <c r="G616" s="874"/>
      <c r="H616" s="874"/>
      <c r="I616" s="906"/>
      <c r="J616" s="162"/>
      <c r="K616" s="161"/>
      <c r="L616" s="161"/>
      <c r="M616" s="169"/>
      <c r="N616" s="163" t="str">
        <f t="shared" si="13"/>
        <v/>
      </c>
      <c r="O616" s="41"/>
      <c r="P616" s="41"/>
      <c r="Q616" s="161" t="str">
        <f>+IF(OR(O616="Fire Control",O616="Fire Tex 5062",O616="Fire Tex 5090",O616="Fire Tex 5120"),'CALCULO PINTURA'!P617," ")</f>
        <v xml:space="preserve"> </v>
      </c>
      <c r="R616" s="164" t="str">
        <f>+IF(OR(O616="Fire Control",O616="Fire Tex 5062",O616="Fire Tex 5090",O616="Fire Tex 5120"),'CALCULO PINTURA'!R617," ")</f>
        <v xml:space="preserve"> </v>
      </c>
      <c r="S616" s="164" t="str">
        <f>+IF(OR(O616="Fire Control",O616="Fire Tex 5062",O616="Fire Tex 5090",O616="Fire Tex 5120"),'CALCULO PINTURA'!S617," ")</f>
        <v xml:space="preserve"> </v>
      </c>
      <c r="T616" s="874" t="str">
        <f>+IF(OR(O616="Blaze Shield II",O616="Cafco 400",O616="Cafco 300"),'CALCULO MORTERO'!N622," ")</f>
        <v xml:space="preserve"> </v>
      </c>
      <c r="U616" s="875" t="str">
        <f>+IF(OR(O616="Blaze Shield II",O616="Cafco 400",O616="Cafco 300"),'CALCULO MORTERO'!O622," ")</f>
        <v xml:space="preserve"> </v>
      </c>
      <c r="V616" s="161" t="str" cm="1">
        <f t="array" ref="V616">_xlfn.IFS(O616="Blaze Shield II",'CALCULO MORTERO'!P617, O616="Cafco 400",'CALCULO MORTERO'!Q617,O616="Cafco 300",'CALCULO MORTERO'!S617, AND(OR(O616="Fire tex 5090", O616="Fire Tex 5062", O616="Fire Tex 5120", O616="Fire Control"),Q616&gt;0), "CERT.",TRUE,"-")</f>
        <v>-</v>
      </c>
    </row>
    <row r="617" spans="1:22" x14ac:dyDescent="0.25">
      <c r="A617" s="903"/>
      <c r="B617" s="907"/>
      <c r="C617" s="874"/>
      <c r="D617" s="874"/>
      <c r="E617" s="874"/>
      <c r="F617" s="874"/>
      <c r="G617" s="874"/>
      <c r="H617" s="874"/>
      <c r="I617" s="906"/>
      <c r="J617" s="162"/>
      <c r="K617" s="161"/>
      <c r="L617" s="161"/>
      <c r="M617" s="169"/>
      <c r="N617" s="163" t="str">
        <f t="shared" si="13"/>
        <v/>
      </c>
      <c r="O617" s="41"/>
      <c r="P617" s="41"/>
      <c r="Q617" s="161" t="str">
        <f>+IF(OR(O617="Fire Control",O617="Fire Tex 5062",O617="Fire Tex 5090",O617="Fire Tex 5120"),'CALCULO PINTURA'!P618," ")</f>
        <v xml:space="preserve"> </v>
      </c>
      <c r="R617" s="164" t="str">
        <f>+IF(OR(O617="Fire Control",O617="Fire Tex 5062",O617="Fire Tex 5090",O617="Fire Tex 5120"),'CALCULO PINTURA'!R618," ")</f>
        <v xml:space="preserve"> </v>
      </c>
      <c r="S617" s="164" t="str">
        <f>+IF(OR(O617="Fire Control",O617="Fire Tex 5062",O617="Fire Tex 5090",O617="Fire Tex 5120"),'CALCULO PINTURA'!S618," ")</f>
        <v xml:space="preserve"> </v>
      </c>
      <c r="T617" s="874" t="str">
        <f>+IF(OR(O617="Blaze Shield II",O617="Cafco 400",O617="Cafco 300"),'CALCULO MORTERO'!N623," ")</f>
        <v xml:space="preserve"> </v>
      </c>
      <c r="U617" s="875" t="str">
        <f>+IF(OR(O617="Blaze Shield II",O617="Cafco 400",O617="Cafco 300"),'CALCULO MORTERO'!O623," ")</f>
        <v xml:space="preserve"> </v>
      </c>
      <c r="V617" s="161" t="str" cm="1">
        <f t="array" ref="V617">_xlfn.IFS(O617="Blaze Shield II",'CALCULO MORTERO'!P618, O617="Cafco 400",'CALCULO MORTERO'!Q618,O617="Cafco 300",'CALCULO MORTERO'!S618, AND(OR(O617="Fire tex 5090", O617="Fire Tex 5062", O617="Fire Tex 5120", O617="Fire Control"),Q617&gt;0), "CERT.",TRUE,"-")</f>
        <v>-</v>
      </c>
    </row>
    <row r="618" spans="1:22" x14ac:dyDescent="0.25">
      <c r="A618" s="903"/>
      <c r="B618" s="907"/>
      <c r="C618" s="874"/>
      <c r="D618" s="874"/>
      <c r="E618" s="874"/>
      <c r="F618" s="874"/>
      <c r="G618" s="874"/>
      <c r="H618" s="874"/>
      <c r="I618" s="906"/>
      <c r="J618" s="162"/>
      <c r="K618" s="161"/>
      <c r="L618" s="161"/>
      <c r="M618" s="169"/>
      <c r="N618" s="163" t="str">
        <f t="shared" si="13"/>
        <v/>
      </c>
      <c r="O618" s="41"/>
      <c r="P618" s="41"/>
      <c r="Q618" s="161" t="str">
        <f>+IF(OR(O618="Fire Control",O618="Fire Tex 5062",O618="Fire Tex 5090",O618="Fire Tex 5120"),'CALCULO PINTURA'!P619," ")</f>
        <v xml:space="preserve"> </v>
      </c>
      <c r="R618" s="164" t="str">
        <f>+IF(OR(O618="Fire Control",O618="Fire Tex 5062",O618="Fire Tex 5090",O618="Fire Tex 5120"),'CALCULO PINTURA'!R619," ")</f>
        <v xml:space="preserve"> </v>
      </c>
      <c r="S618" s="164" t="str">
        <f>+IF(OR(O618="Fire Control",O618="Fire Tex 5062",O618="Fire Tex 5090",O618="Fire Tex 5120"),'CALCULO PINTURA'!S619," ")</f>
        <v xml:space="preserve"> </v>
      </c>
      <c r="T618" s="874" t="str">
        <f>+IF(OR(O618="Blaze Shield II",O618="Cafco 400",O618="Cafco 300"),'CALCULO MORTERO'!N624," ")</f>
        <v xml:space="preserve"> </v>
      </c>
      <c r="U618" s="875" t="str">
        <f>+IF(OR(O618="Blaze Shield II",O618="Cafco 400",O618="Cafco 300"),'CALCULO MORTERO'!O624," ")</f>
        <v xml:space="preserve"> </v>
      </c>
      <c r="V618" s="161" t="str" cm="1">
        <f t="array" ref="V618">_xlfn.IFS(O618="Blaze Shield II",'CALCULO MORTERO'!P619, O618="Cafco 400",'CALCULO MORTERO'!Q619,O618="Cafco 300",'CALCULO MORTERO'!S619, AND(OR(O618="Fire tex 5090", O618="Fire Tex 5062", O618="Fire Tex 5120", O618="Fire Control"),Q618&gt;0), "CERT.",TRUE,"-")</f>
        <v>-</v>
      </c>
    </row>
    <row r="619" spans="1:22" x14ac:dyDescent="0.25">
      <c r="A619" s="903"/>
      <c r="B619" s="907"/>
      <c r="C619" s="874"/>
      <c r="D619" s="874"/>
      <c r="E619" s="874"/>
      <c r="F619" s="874"/>
      <c r="G619" s="874"/>
      <c r="H619" s="874"/>
      <c r="I619" s="906"/>
      <c r="J619" s="162"/>
      <c r="K619" s="161"/>
      <c r="L619" s="161"/>
      <c r="M619" s="169"/>
      <c r="N619" s="163" t="str">
        <f t="shared" si="13"/>
        <v/>
      </c>
      <c r="O619" s="41"/>
      <c r="P619" s="41"/>
      <c r="Q619" s="161" t="str">
        <f>+IF(OR(O619="Fire Control",O619="Fire Tex 5062",O619="Fire Tex 5090",O619="Fire Tex 5120"),'CALCULO PINTURA'!P620," ")</f>
        <v xml:space="preserve"> </v>
      </c>
      <c r="R619" s="164" t="str">
        <f>+IF(OR(O619="Fire Control",O619="Fire Tex 5062",O619="Fire Tex 5090",O619="Fire Tex 5120"),'CALCULO PINTURA'!R620," ")</f>
        <v xml:space="preserve"> </v>
      </c>
      <c r="S619" s="164" t="str">
        <f>+IF(OR(O619="Fire Control",O619="Fire Tex 5062",O619="Fire Tex 5090",O619="Fire Tex 5120"),'CALCULO PINTURA'!S620," ")</f>
        <v xml:space="preserve"> </v>
      </c>
      <c r="T619" s="874" t="str">
        <f>+IF(OR(O619="Blaze Shield II",O619="Cafco 400",O619="Cafco 300"),'CALCULO MORTERO'!N625," ")</f>
        <v xml:space="preserve"> </v>
      </c>
      <c r="U619" s="875" t="str">
        <f>+IF(OR(O619="Blaze Shield II",O619="Cafco 400",O619="Cafco 300"),'CALCULO MORTERO'!O625," ")</f>
        <v xml:space="preserve"> </v>
      </c>
      <c r="V619" s="161" t="str" cm="1">
        <f t="array" ref="V619">_xlfn.IFS(O619="Blaze Shield II",'CALCULO MORTERO'!P620, O619="Cafco 400",'CALCULO MORTERO'!Q620,O619="Cafco 300",'CALCULO MORTERO'!S620, AND(OR(O619="Fire tex 5090", O619="Fire Tex 5062", O619="Fire Tex 5120", O619="Fire Control"),Q619&gt;0), "CERT.",TRUE,"-")</f>
        <v>-</v>
      </c>
    </row>
    <row r="620" spans="1:22" x14ac:dyDescent="0.25">
      <c r="A620" s="903"/>
      <c r="B620" s="907"/>
      <c r="C620" s="874"/>
      <c r="D620" s="874"/>
      <c r="E620" s="874"/>
      <c r="F620" s="905"/>
      <c r="G620" s="874"/>
      <c r="H620" s="874"/>
      <c r="I620" s="906"/>
      <c r="J620" s="162"/>
      <c r="K620" s="161"/>
      <c r="L620" s="161"/>
      <c r="M620" s="169"/>
      <c r="N620" s="163" t="str">
        <f t="shared" si="13"/>
        <v/>
      </c>
      <c r="O620" s="41"/>
      <c r="P620" s="41"/>
      <c r="Q620" s="161" t="str">
        <f>+IF(OR(O620="Fire Control",O620="Fire Tex 5062",O620="Fire Tex 5090",O620="Fire Tex 5120"),'CALCULO PINTURA'!P621," ")</f>
        <v xml:space="preserve"> </v>
      </c>
      <c r="R620" s="164" t="str">
        <f>+IF(OR(O620="Fire Control",O620="Fire Tex 5062",O620="Fire Tex 5090",O620="Fire Tex 5120"),'CALCULO PINTURA'!R621," ")</f>
        <v xml:space="preserve"> </v>
      </c>
      <c r="S620" s="164" t="str">
        <f>+IF(OR(O620="Fire Control",O620="Fire Tex 5062",O620="Fire Tex 5090",O620="Fire Tex 5120"),'CALCULO PINTURA'!S621," ")</f>
        <v xml:space="preserve"> </v>
      </c>
      <c r="T620" s="874" t="str">
        <f>+IF(OR(O620="Blaze Shield II",O620="Cafco 400",O620="Cafco 300"),'CALCULO MORTERO'!N626," ")</f>
        <v xml:space="preserve"> </v>
      </c>
      <c r="U620" s="875" t="str">
        <f>+IF(OR(O620="Blaze Shield II",O620="Cafco 400",O620="Cafco 300"),'CALCULO MORTERO'!O626," ")</f>
        <v xml:space="preserve"> </v>
      </c>
      <c r="V620" s="161" t="str" cm="1">
        <f t="array" ref="V620">_xlfn.IFS(O620="Blaze Shield II",'CALCULO MORTERO'!P621, O620="Cafco 400",'CALCULO MORTERO'!Q621,O620="Cafco 300",'CALCULO MORTERO'!S621, AND(OR(O620="Fire tex 5090", O620="Fire Tex 5062", O620="Fire Tex 5120", O620="Fire Control"),Q620&gt;0), "CERT.",TRUE,"-")</f>
        <v>-</v>
      </c>
    </row>
    <row r="621" spans="1:22" x14ac:dyDescent="0.25">
      <c r="A621" s="903"/>
      <c r="B621" s="907"/>
      <c r="C621" s="874"/>
      <c r="D621" s="874"/>
      <c r="E621" s="874"/>
      <c r="F621" s="905"/>
      <c r="G621" s="874"/>
      <c r="H621" s="874"/>
      <c r="I621" s="906"/>
      <c r="J621" s="162"/>
      <c r="K621" s="161"/>
      <c r="L621" s="161"/>
      <c r="M621" s="169"/>
      <c r="N621" s="163" t="str">
        <f t="shared" si="13"/>
        <v/>
      </c>
      <c r="O621" s="41"/>
      <c r="P621" s="41"/>
      <c r="Q621" s="161" t="str">
        <f>+IF(OR(O621="Fire Control",O621="Fire Tex 5062",O621="Fire Tex 5090",O621="Fire Tex 5120"),'CALCULO PINTURA'!P622," ")</f>
        <v xml:space="preserve"> </v>
      </c>
      <c r="R621" s="164" t="str">
        <f>+IF(OR(O621="Fire Control",O621="Fire Tex 5062",O621="Fire Tex 5090",O621="Fire Tex 5120"),'CALCULO PINTURA'!R622," ")</f>
        <v xml:space="preserve"> </v>
      </c>
      <c r="S621" s="164" t="str">
        <f>+IF(OR(O621="Fire Control",O621="Fire Tex 5062",O621="Fire Tex 5090",O621="Fire Tex 5120"),'CALCULO PINTURA'!S622," ")</f>
        <v xml:space="preserve"> </v>
      </c>
      <c r="T621" s="874" t="str">
        <f>+IF(OR(O621="Blaze Shield II",O621="Cafco 400",O621="Cafco 300"),'CALCULO MORTERO'!N627," ")</f>
        <v xml:space="preserve"> </v>
      </c>
      <c r="U621" s="875" t="str">
        <f>+IF(OR(O621="Blaze Shield II",O621="Cafco 400",O621="Cafco 300"),'CALCULO MORTERO'!O627," ")</f>
        <v xml:space="preserve"> </v>
      </c>
      <c r="V621" s="161" t="str" cm="1">
        <f t="array" ref="V621">_xlfn.IFS(O621="Blaze Shield II",'CALCULO MORTERO'!P622, O621="Cafco 400",'CALCULO MORTERO'!Q622,O621="Cafco 300",'CALCULO MORTERO'!S622, AND(OR(O621="Fire tex 5090", O621="Fire Tex 5062", O621="Fire Tex 5120", O621="Fire Control"),Q621&gt;0), "CERT.",TRUE,"-")</f>
        <v>-</v>
      </c>
    </row>
    <row r="622" spans="1:22" x14ac:dyDescent="0.25">
      <c r="A622" s="903"/>
      <c r="B622" s="907"/>
      <c r="C622" s="874"/>
      <c r="D622" s="874"/>
      <c r="E622" s="874"/>
      <c r="F622" s="874"/>
      <c r="G622" s="874"/>
      <c r="H622" s="874"/>
      <c r="I622" s="906"/>
      <c r="J622" s="162"/>
      <c r="K622" s="161"/>
      <c r="L622" s="161"/>
      <c r="M622" s="169"/>
      <c r="N622" s="163" t="str">
        <f t="shared" si="13"/>
        <v/>
      </c>
      <c r="O622" s="41"/>
      <c r="P622" s="41"/>
      <c r="Q622" s="161" t="str">
        <f>+IF(OR(O622="Fire Control",O622="Fire Tex 5062",O622="Fire Tex 5090",O622="Fire Tex 5120"),'CALCULO PINTURA'!P623," ")</f>
        <v xml:space="preserve"> </v>
      </c>
      <c r="R622" s="164" t="str">
        <f>+IF(OR(O622="Fire Control",O622="Fire Tex 5062",O622="Fire Tex 5090",O622="Fire Tex 5120"),'CALCULO PINTURA'!R623," ")</f>
        <v xml:space="preserve"> </v>
      </c>
      <c r="S622" s="164" t="str">
        <f>+IF(OR(O622="Fire Control",O622="Fire Tex 5062",O622="Fire Tex 5090",O622="Fire Tex 5120"),'CALCULO PINTURA'!S623," ")</f>
        <v xml:space="preserve"> </v>
      </c>
      <c r="T622" s="874" t="str">
        <f>+IF(OR(O622="Blaze Shield II",O622="Cafco 400",O622="Cafco 300"),'CALCULO MORTERO'!N628," ")</f>
        <v xml:space="preserve"> </v>
      </c>
      <c r="U622" s="875" t="str">
        <f>+IF(OR(O622="Blaze Shield II",O622="Cafco 400",O622="Cafco 300"),'CALCULO MORTERO'!O628," ")</f>
        <v xml:space="preserve"> </v>
      </c>
      <c r="V622" s="161" t="str" cm="1">
        <f t="array" ref="V622">_xlfn.IFS(O622="Blaze Shield II",'CALCULO MORTERO'!P623, O622="Cafco 400",'CALCULO MORTERO'!Q623,O622="Cafco 300",'CALCULO MORTERO'!S623, AND(OR(O622="Fire tex 5090", O622="Fire Tex 5062", O622="Fire Tex 5120", O622="Fire Control"),Q622&gt;0), "CERT.",TRUE,"-")</f>
        <v>-</v>
      </c>
    </row>
    <row r="623" spans="1:22" x14ac:dyDescent="0.25">
      <c r="A623" s="903"/>
      <c r="B623" s="907"/>
      <c r="C623" s="874"/>
      <c r="D623" s="874"/>
      <c r="E623" s="874"/>
      <c r="F623" s="874"/>
      <c r="G623" s="874"/>
      <c r="H623" s="874"/>
      <c r="I623" s="906"/>
      <c r="J623" s="162"/>
      <c r="K623" s="161"/>
      <c r="L623" s="161"/>
      <c r="M623" s="163"/>
      <c r="N623" s="163" t="str">
        <f t="shared" si="13"/>
        <v/>
      </c>
      <c r="O623" s="41"/>
      <c r="P623" s="41"/>
      <c r="Q623" s="161" t="str">
        <f>+IF(OR(O623="Fire Control",O623="Fire Tex 5062",O623="Fire Tex 5090",O623="Fire Tex 5120"),'CALCULO PINTURA'!P624," ")</f>
        <v xml:space="preserve"> </v>
      </c>
      <c r="R623" s="164" t="str">
        <f>+IF(OR(O623="Fire Control",O623="Fire Tex 5062",O623="Fire Tex 5090",O623="Fire Tex 5120"),'CALCULO PINTURA'!R624," ")</f>
        <v xml:space="preserve"> </v>
      </c>
      <c r="S623" s="164" t="str">
        <f>+IF(OR(O623="Fire Control",O623="Fire Tex 5062",O623="Fire Tex 5090",O623="Fire Tex 5120"),'CALCULO PINTURA'!S624," ")</f>
        <v xml:space="preserve"> </v>
      </c>
      <c r="T623" s="874" t="str">
        <f>+IF(OR(O623="Blaze Shield II",O623="Cafco 400",O623="Cafco 300"),'CALCULO MORTERO'!N629," ")</f>
        <v xml:space="preserve"> </v>
      </c>
      <c r="U623" s="875" t="str">
        <f>+IF(OR(O623="Blaze Shield II",O623="Cafco 400",O623="Cafco 300"),'CALCULO MORTERO'!O629," ")</f>
        <v xml:space="preserve"> </v>
      </c>
      <c r="V623" s="161" t="str" cm="1">
        <f t="array" ref="V623">_xlfn.IFS(O623="Blaze Shield II",'CALCULO MORTERO'!P624, O623="Cafco 400",'CALCULO MORTERO'!Q624,O623="Cafco 300",'CALCULO MORTERO'!S624, AND(OR(O623="Fire tex 5090", O623="Fire Tex 5062", O623="Fire Tex 5120", O623="Fire Control"),Q623&gt;0), "CERT.",TRUE,"-")</f>
        <v>-</v>
      </c>
    </row>
    <row r="624" spans="1:22" x14ac:dyDescent="0.25">
      <c r="A624" s="903"/>
      <c r="B624" s="907"/>
      <c r="C624" s="874"/>
      <c r="D624" s="874"/>
      <c r="E624" s="874"/>
      <c r="F624" s="874"/>
      <c r="G624" s="874"/>
      <c r="H624" s="874"/>
      <c r="I624" s="906"/>
      <c r="J624" s="162"/>
      <c r="K624" s="161"/>
      <c r="L624" s="161"/>
      <c r="M624" s="163"/>
      <c r="N624" s="163" t="str">
        <f t="shared" si="13"/>
        <v/>
      </c>
      <c r="O624" s="41"/>
      <c r="P624" s="41"/>
      <c r="Q624" s="161" t="str">
        <f>+IF(OR(O624="Fire Control",O624="Fire Tex 5062",O624="Fire Tex 5090",O624="Fire Tex 5120"),'CALCULO PINTURA'!P625," ")</f>
        <v xml:space="preserve"> </v>
      </c>
      <c r="R624" s="164" t="str">
        <f>+IF(OR(O624="Fire Control",O624="Fire Tex 5062",O624="Fire Tex 5090",O624="Fire Tex 5120"),'CALCULO PINTURA'!R625," ")</f>
        <v xml:space="preserve"> </v>
      </c>
      <c r="S624" s="164" t="str">
        <f>+IF(OR(O624="Fire Control",O624="Fire Tex 5062",O624="Fire Tex 5090",O624="Fire Tex 5120"),'CALCULO PINTURA'!S625," ")</f>
        <v xml:space="preserve"> </v>
      </c>
      <c r="T624" s="874" t="str">
        <f>+IF(OR(O624="Blaze Shield II",O624="Cafco 400",O624="Cafco 300"),'CALCULO MORTERO'!N630," ")</f>
        <v xml:space="preserve"> </v>
      </c>
      <c r="U624" s="875" t="str">
        <f>+IF(OR(O624="Blaze Shield II",O624="Cafco 400",O624="Cafco 300"),'CALCULO MORTERO'!O630," ")</f>
        <v xml:space="preserve"> </v>
      </c>
      <c r="V624" s="161" t="str" cm="1">
        <f t="array" ref="V624">_xlfn.IFS(O624="Blaze Shield II",'CALCULO MORTERO'!P625, O624="Cafco 400",'CALCULO MORTERO'!Q625,O624="Cafco 300",'CALCULO MORTERO'!S625, AND(OR(O624="Fire tex 5090", O624="Fire Tex 5062", O624="Fire Tex 5120", O624="Fire Control"),Q624&gt;0), "CERT.",TRUE,"-")</f>
        <v>-</v>
      </c>
    </row>
    <row r="625" spans="1:22" x14ac:dyDescent="0.25">
      <c r="A625" s="903"/>
      <c r="B625" s="907"/>
      <c r="C625" s="874"/>
      <c r="D625" s="874"/>
      <c r="E625" s="874"/>
      <c r="F625" s="874"/>
      <c r="G625" s="874"/>
      <c r="H625" s="874"/>
      <c r="I625" s="906"/>
      <c r="J625" s="162"/>
      <c r="K625" s="161"/>
      <c r="L625" s="161"/>
      <c r="M625" s="163"/>
      <c r="N625" s="163" t="str">
        <f t="shared" si="13"/>
        <v/>
      </c>
      <c r="O625" s="41"/>
      <c r="P625" s="41"/>
      <c r="Q625" s="161" t="str">
        <f>+IF(OR(O625="Fire Control",O625="Fire Tex 5062",O625="Fire Tex 5090",O625="Fire Tex 5120"),'CALCULO PINTURA'!P626," ")</f>
        <v xml:space="preserve"> </v>
      </c>
      <c r="R625" s="164" t="str">
        <f>+IF(OR(O625="Fire Control",O625="Fire Tex 5062",O625="Fire Tex 5090",O625="Fire Tex 5120"),'CALCULO PINTURA'!R626," ")</f>
        <v xml:space="preserve"> </v>
      </c>
      <c r="S625" s="164" t="str">
        <f>+IF(OR(O625="Fire Control",O625="Fire Tex 5062",O625="Fire Tex 5090",O625="Fire Tex 5120"),'CALCULO PINTURA'!S626," ")</f>
        <v xml:space="preserve"> </v>
      </c>
      <c r="T625" s="874" t="str">
        <f>+IF(OR(O625="Blaze Shield II",O625="Cafco 400",O625="Cafco 300"),'CALCULO MORTERO'!N631," ")</f>
        <v xml:space="preserve"> </v>
      </c>
      <c r="U625" s="875" t="str">
        <f>+IF(OR(O625="Blaze Shield II",O625="Cafco 400",O625="Cafco 300"),'CALCULO MORTERO'!O631," ")</f>
        <v xml:space="preserve"> </v>
      </c>
      <c r="V625" s="161" t="str" cm="1">
        <f t="array" ref="V625">_xlfn.IFS(O625="Blaze Shield II",'CALCULO MORTERO'!P626, O625="Cafco 400",'CALCULO MORTERO'!Q626,O625="Cafco 300",'CALCULO MORTERO'!S626, AND(OR(O625="Fire tex 5090", O625="Fire Tex 5062", O625="Fire Tex 5120", O625="Fire Control"),Q625&gt;0), "CERT.",TRUE,"-")</f>
        <v>-</v>
      </c>
    </row>
    <row r="626" spans="1:22" x14ac:dyDescent="0.25">
      <c r="A626" s="903"/>
      <c r="B626" s="907"/>
      <c r="C626" s="874"/>
      <c r="D626" s="874"/>
      <c r="E626" s="874"/>
      <c r="F626" s="874"/>
      <c r="G626" s="874"/>
      <c r="H626" s="874"/>
      <c r="I626" s="906"/>
      <c r="J626" s="162"/>
      <c r="K626" s="161"/>
      <c r="L626" s="161"/>
      <c r="M626" s="163"/>
      <c r="N626" s="163" t="str">
        <f t="shared" si="13"/>
        <v/>
      </c>
      <c r="O626" s="41"/>
      <c r="P626" s="41"/>
      <c r="Q626" s="161" t="str">
        <f>+IF(OR(O626="Fire Control",O626="Fire Tex 5062",O626="Fire Tex 5090",O626="Fire Tex 5120"),'CALCULO PINTURA'!P627," ")</f>
        <v xml:space="preserve"> </v>
      </c>
      <c r="R626" s="164" t="str">
        <f>+IF(OR(O626="Fire Control",O626="Fire Tex 5062",O626="Fire Tex 5090",O626="Fire Tex 5120"),'CALCULO PINTURA'!R627," ")</f>
        <v xml:space="preserve"> </v>
      </c>
      <c r="S626" s="164" t="str">
        <f>+IF(OR(O626="Fire Control",O626="Fire Tex 5062",O626="Fire Tex 5090",O626="Fire Tex 5120"),'CALCULO PINTURA'!S627," ")</f>
        <v xml:space="preserve"> </v>
      </c>
      <c r="T626" s="874" t="str">
        <f>+IF(OR(O626="Blaze Shield II",O626="Cafco 400",O626="Cafco 300"),'CALCULO MORTERO'!N632," ")</f>
        <v xml:space="preserve"> </v>
      </c>
      <c r="U626" s="875" t="str">
        <f>+IF(OR(O626="Blaze Shield II",O626="Cafco 400",O626="Cafco 300"),'CALCULO MORTERO'!O632," ")</f>
        <v xml:space="preserve"> </v>
      </c>
      <c r="V626" s="161" t="str" cm="1">
        <f t="array" ref="V626">_xlfn.IFS(O626="Blaze Shield II",'CALCULO MORTERO'!P627, O626="Cafco 400",'CALCULO MORTERO'!Q627,O626="Cafco 300",'CALCULO MORTERO'!S627, AND(OR(O626="Fire tex 5090", O626="Fire Tex 5062", O626="Fire Tex 5120", O626="Fire Control"),Q626&gt;0), "CERT.",TRUE,"-")</f>
        <v>-</v>
      </c>
    </row>
    <row r="627" spans="1:22" x14ac:dyDescent="0.25">
      <c r="A627" s="903"/>
      <c r="B627" s="907"/>
      <c r="C627" s="874"/>
      <c r="D627" s="874"/>
      <c r="E627" s="874"/>
      <c r="F627" s="905"/>
      <c r="G627" s="874"/>
      <c r="H627" s="874"/>
      <c r="I627" s="906"/>
      <c r="J627" s="162"/>
      <c r="K627" s="161"/>
      <c r="L627" s="161"/>
      <c r="M627" s="169"/>
      <c r="N627" s="163" t="str">
        <f t="shared" si="13"/>
        <v/>
      </c>
      <c r="O627" s="41"/>
      <c r="P627" s="41"/>
      <c r="Q627" s="161" t="str">
        <f>+IF(OR(O627="Fire Control",O627="Fire Tex 5062",O627="Fire Tex 5090",O627="Fire Tex 5120"),'CALCULO PINTURA'!P628," ")</f>
        <v xml:space="preserve"> </v>
      </c>
      <c r="R627" s="164" t="str">
        <f>+IF(OR(O627="Fire Control",O627="Fire Tex 5062",O627="Fire Tex 5090",O627="Fire Tex 5120"),'CALCULO PINTURA'!R628," ")</f>
        <v xml:space="preserve"> </v>
      </c>
      <c r="S627" s="164" t="str">
        <f>+IF(OR(O627="Fire Control",O627="Fire Tex 5062",O627="Fire Tex 5090",O627="Fire Tex 5120"),'CALCULO PINTURA'!S628," ")</f>
        <v xml:space="preserve"> </v>
      </c>
      <c r="T627" s="874" t="str">
        <f>+IF(OR(O627="Blaze Shield II",O627="Cafco 400",O627="Cafco 300"),'CALCULO MORTERO'!N633," ")</f>
        <v xml:space="preserve"> </v>
      </c>
      <c r="U627" s="875" t="str">
        <f>+IF(OR(O627="Blaze Shield II",O627="Cafco 400",O627="Cafco 300"),'CALCULO MORTERO'!O633," ")</f>
        <v xml:space="preserve"> </v>
      </c>
      <c r="V627" s="161" t="str" cm="1">
        <f t="array" ref="V627">_xlfn.IFS(O627="Blaze Shield II",'CALCULO MORTERO'!P628, O627="Cafco 400",'CALCULO MORTERO'!Q628,O627="Cafco 300",'CALCULO MORTERO'!S628, AND(OR(O627="Fire tex 5090", O627="Fire Tex 5062", O627="Fire Tex 5120", O627="Fire Control"),Q627&gt;0), "CERT.",TRUE,"-")</f>
        <v>-</v>
      </c>
    </row>
    <row r="628" spans="1:22" x14ac:dyDescent="0.25">
      <c r="A628" s="903"/>
      <c r="B628" s="907"/>
      <c r="C628" s="874"/>
      <c r="D628" s="874"/>
      <c r="E628" s="874"/>
      <c r="F628" s="905"/>
      <c r="G628" s="874"/>
      <c r="H628" s="874"/>
      <c r="I628" s="906"/>
      <c r="J628" s="162"/>
      <c r="K628" s="161"/>
      <c r="L628" s="161"/>
      <c r="M628" s="169"/>
      <c r="N628" s="163" t="str">
        <f t="shared" si="13"/>
        <v/>
      </c>
      <c r="O628" s="41"/>
      <c r="P628" s="41"/>
      <c r="Q628" s="161" t="str">
        <f>+IF(OR(O628="Fire Control",O628="Fire Tex 5062",O628="Fire Tex 5090",O628="Fire Tex 5120"),'CALCULO PINTURA'!P629," ")</f>
        <v xml:space="preserve"> </v>
      </c>
      <c r="R628" s="164" t="str">
        <f>+IF(OR(O628="Fire Control",O628="Fire Tex 5062",O628="Fire Tex 5090",O628="Fire Tex 5120"),'CALCULO PINTURA'!R629," ")</f>
        <v xml:space="preserve"> </v>
      </c>
      <c r="S628" s="164" t="str">
        <f>+IF(OR(O628="Fire Control",O628="Fire Tex 5062",O628="Fire Tex 5090",O628="Fire Tex 5120"),'CALCULO PINTURA'!S629," ")</f>
        <v xml:space="preserve"> </v>
      </c>
      <c r="T628" s="874" t="str">
        <f>+IF(OR(O628="Blaze Shield II",O628="Cafco 400",O628="Cafco 300"),'CALCULO MORTERO'!N634," ")</f>
        <v xml:space="preserve"> </v>
      </c>
      <c r="U628" s="875" t="str">
        <f>+IF(OR(O628="Blaze Shield II",O628="Cafco 400",O628="Cafco 300"),'CALCULO MORTERO'!O634," ")</f>
        <v xml:space="preserve"> </v>
      </c>
      <c r="V628" s="161" t="str" cm="1">
        <f t="array" ref="V628">_xlfn.IFS(O628="Blaze Shield II",'CALCULO MORTERO'!P629, O628="Cafco 400",'CALCULO MORTERO'!Q629,O628="Cafco 300",'CALCULO MORTERO'!S629, AND(OR(O628="Fire tex 5090", O628="Fire Tex 5062", O628="Fire Tex 5120", O628="Fire Control"),Q628&gt;0), "CERT.",TRUE,"-")</f>
        <v>-</v>
      </c>
    </row>
    <row r="629" spans="1:22" x14ac:dyDescent="0.25">
      <c r="A629" s="903"/>
      <c r="B629" s="907"/>
      <c r="C629" s="874"/>
      <c r="D629" s="874"/>
      <c r="E629" s="874"/>
      <c r="F629" s="905"/>
      <c r="G629" s="874"/>
      <c r="H629" s="874"/>
      <c r="I629" s="906"/>
      <c r="J629" s="162"/>
      <c r="K629" s="161"/>
      <c r="L629" s="161"/>
      <c r="M629" s="169"/>
      <c r="N629" s="163" t="str">
        <f t="shared" si="13"/>
        <v/>
      </c>
      <c r="O629" s="41"/>
      <c r="P629" s="41"/>
      <c r="Q629" s="161" t="str">
        <f>+IF(OR(O629="Fire Control",O629="Fire Tex 5062",O629="Fire Tex 5090",O629="Fire Tex 5120"),'CALCULO PINTURA'!P630," ")</f>
        <v xml:space="preserve"> </v>
      </c>
      <c r="R629" s="164" t="str">
        <f>+IF(OR(O629="Fire Control",O629="Fire Tex 5062",O629="Fire Tex 5090",O629="Fire Tex 5120"),'CALCULO PINTURA'!R630," ")</f>
        <v xml:space="preserve"> </v>
      </c>
      <c r="S629" s="164" t="str">
        <f>+IF(OR(O629="Fire Control",O629="Fire Tex 5062",O629="Fire Tex 5090",O629="Fire Tex 5120"),'CALCULO PINTURA'!S630," ")</f>
        <v xml:space="preserve"> </v>
      </c>
      <c r="T629" s="874" t="str">
        <f>+IF(OR(O629="Blaze Shield II",O629="Cafco 400",O629="Cafco 300"),'CALCULO MORTERO'!N635," ")</f>
        <v xml:space="preserve"> </v>
      </c>
      <c r="U629" s="875" t="str">
        <f>+IF(OR(O629="Blaze Shield II",O629="Cafco 400",O629="Cafco 300"),'CALCULO MORTERO'!O635," ")</f>
        <v xml:space="preserve"> </v>
      </c>
      <c r="V629" s="161" t="str" cm="1">
        <f t="array" ref="V629">_xlfn.IFS(O629="Blaze Shield II",'CALCULO MORTERO'!P630, O629="Cafco 400",'CALCULO MORTERO'!Q630,O629="Cafco 300",'CALCULO MORTERO'!S630, AND(OR(O629="Fire tex 5090", O629="Fire Tex 5062", O629="Fire Tex 5120", O629="Fire Control"),Q629&gt;0), "CERT.",TRUE,"-")</f>
        <v>-</v>
      </c>
    </row>
    <row r="630" spans="1:22" x14ac:dyDescent="0.25">
      <c r="A630" s="903"/>
      <c r="B630" s="907"/>
      <c r="C630" s="874"/>
      <c r="D630" s="874"/>
      <c r="E630" s="874"/>
      <c r="F630" s="905"/>
      <c r="G630" s="874"/>
      <c r="H630" s="874"/>
      <c r="I630" s="906"/>
      <c r="J630" s="162"/>
      <c r="K630" s="161"/>
      <c r="L630" s="161"/>
      <c r="M630" s="169"/>
      <c r="N630" s="163" t="str">
        <f t="shared" si="13"/>
        <v/>
      </c>
      <c r="O630" s="41"/>
      <c r="P630" s="41"/>
      <c r="Q630" s="161" t="str">
        <f>+IF(OR(O630="Fire Control",O630="Fire Tex 5062",O630="Fire Tex 5090",O630="Fire Tex 5120"),'CALCULO PINTURA'!P631," ")</f>
        <v xml:space="preserve"> </v>
      </c>
      <c r="R630" s="164" t="str">
        <f>+IF(OR(O630="Fire Control",O630="Fire Tex 5062",O630="Fire Tex 5090",O630="Fire Tex 5120"),'CALCULO PINTURA'!R631," ")</f>
        <v xml:space="preserve"> </v>
      </c>
      <c r="S630" s="164" t="str">
        <f>+IF(OR(O630="Fire Control",O630="Fire Tex 5062",O630="Fire Tex 5090",O630="Fire Tex 5120"),'CALCULO PINTURA'!S631," ")</f>
        <v xml:space="preserve"> </v>
      </c>
      <c r="T630" s="874" t="str">
        <f>+IF(OR(O630="Blaze Shield II",O630="Cafco 400",O630="Cafco 300"),'CALCULO MORTERO'!N636," ")</f>
        <v xml:space="preserve"> </v>
      </c>
      <c r="U630" s="875" t="str">
        <f>+IF(OR(O630="Blaze Shield II",O630="Cafco 400",O630="Cafco 300"),'CALCULO MORTERO'!O636," ")</f>
        <v xml:space="preserve"> </v>
      </c>
      <c r="V630" s="161" t="str" cm="1">
        <f t="array" ref="V630">_xlfn.IFS(O630="Blaze Shield II",'CALCULO MORTERO'!P631, O630="Cafco 400",'CALCULO MORTERO'!Q631,O630="Cafco 300",'CALCULO MORTERO'!S631, AND(OR(O630="Fire tex 5090", O630="Fire Tex 5062", O630="Fire Tex 5120", O630="Fire Control"),Q630&gt;0), "CERT.",TRUE,"-")</f>
        <v>-</v>
      </c>
    </row>
    <row r="631" spans="1:22" x14ac:dyDescent="0.25">
      <c r="A631" s="903"/>
      <c r="B631" s="907"/>
      <c r="C631" s="874"/>
      <c r="D631" s="874"/>
      <c r="E631" s="874"/>
      <c r="F631" s="905"/>
      <c r="G631" s="874"/>
      <c r="H631" s="874"/>
      <c r="I631" s="906"/>
      <c r="J631" s="162"/>
      <c r="K631" s="161"/>
      <c r="L631" s="161"/>
      <c r="M631" s="169"/>
      <c r="N631" s="163" t="str">
        <f t="shared" si="13"/>
        <v/>
      </c>
      <c r="O631" s="41"/>
      <c r="P631" s="41"/>
      <c r="Q631" s="161" t="str">
        <f>+IF(OR(O631="Fire Control",O631="Fire Tex 5062",O631="Fire Tex 5090",O631="Fire Tex 5120"),'CALCULO PINTURA'!P632," ")</f>
        <v xml:space="preserve"> </v>
      </c>
      <c r="R631" s="164" t="str">
        <f>+IF(OR(O631="Fire Control",O631="Fire Tex 5062",O631="Fire Tex 5090",O631="Fire Tex 5120"),'CALCULO PINTURA'!R632," ")</f>
        <v xml:space="preserve"> </v>
      </c>
      <c r="S631" s="164" t="str">
        <f>+IF(OR(O631="Fire Control",O631="Fire Tex 5062",O631="Fire Tex 5090",O631="Fire Tex 5120"),'CALCULO PINTURA'!S632," ")</f>
        <v xml:space="preserve"> </v>
      </c>
      <c r="T631" s="874" t="str">
        <f>+IF(OR(O631="Blaze Shield II",O631="Cafco 400",O631="Cafco 300"),'CALCULO MORTERO'!N637," ")</f>
        <v xml:space="preserve"> </v>
      </c>
      <c r="U631" s="875" t="str">
        <f>+IF(OR(O631="Blaze Shield II",O631="Cafco 400",O631="Cafco 300"),'CALCULO MORTERO'!O637," ")</f>
        <v xml:space="preserve"> </v>
      </c>
      <c r="V631" s="161" t="str" cm="1">
        <f t="array" ref="V631">_xlfn.IFS(O631="Blaze Shield II",'CALCULO MORTERO'!P632, O631="Cafco 400",'CALCULO MORTERO'!Q632,O631="Cafco 300",'CALCULO MORTERO'!S632, AND(OR(O631="Fire tex 5090", O631="Fire Tex 5062", O631="Fire Tex 5120", O631="Fire Control"),Q631&gt;0), "CERT.",TRUE,"-")</f>
        <v>-</v>
      </c>
    </row>
    <row r="632" spans="1:22" x14ac:dyDescent="0.25">
      <c r="A632" s="903"/>
      <c r="B632" s="907"/>
      <c r="C632" s="874"/>
      <c r="D632" s="874"/>
      <c r="E632" s="874"/>
      <c r="F632" s="905"/>
      <c r="G632" s="874"/>
      <c r="H632" s="874"/>
      <c r="I632" s="906"/>
      <c r="J632" s="162"/>
      <c r="K632" s="161"/>
      <c r="L632" s="161"/>
      <c r="M632" s="169"/>
      <c r="N632" s="163" t="str">
        <f t="shared" si="13"/>
        <v/>
      </c>
      <c r="O632" s="41"/>
      <c r="P632" s="41"/>
      <c r="Q632" s="161" t="str">
        <f>+IF(OR(O632="Fire Control",O632="Fire Tex 5062",O632="Fire Tex 5090",O632="Fire Tex 5120"),'CALCULO PINTURA'!P633," ")</f>
        <v xml:space="preserve"> </v>
      </c>
      <c r="R632" s="164" t="str">
        <f>+IF(OR(O632="Fire Control",O632="Fire Tex 5062",O632="Fire Tex 5090",O632="Fire Tex 5120"),'CALCULO PINTURA'!R633," ")</f>
        <v xml:space="preserve"> </v>
      </c>
      <c r="S632" s="164" t="str">
        <f>+IF(OR(O632="Fire Control",O632="Fire Tex 5062",O632="Fire Tex 5090",O632="Fire Tex 5120"),'CALCULO PINTURA'!S633," ")</f>
        <v xml:space="preserve"> </v>
      </c>
      <c r="T632" s="874" t="str">
        <f>+IF(OR(O632="Blaze Shield II",O632="Cafco 400",O632="Cafco 300"),'CALCULO MORTERO'!N638," ")</f>
        <v xml:space="preserve"> </v>
      </c>
      <c r="U632" s="875" t="str">
        <f>+IF(OR(O632="Blaze Shield II",O632="Cafco 400",O632="Cafco 300"),'CALCULO MORTERO'!O638," ")</f>
        <v xml:space="preserve"> </v>
      </c>
      <c r="V632" s="161" t="str" cm="1">
        <f t="array" ref="V632">_xlfn.IFS(O632="Blaze Shield II",'CALCULO MORTERO'!P633, O632="Cafco 400",'CALCULO MORTERO'!Q633,O632="Cafco 300",'CALCULO MORTERO'!S633, AND(OR(O632="Fire tex 5090", O632="Fire Tex 5062", O632="Fire Tex 5120", O632="Fire Control"),Q632&gt;0), "CERT.",TRUE,"-")</f>
        <v>-</v>
      </c>
    </row>
    <row r="633" spans="1:22" x14ac:dyDescent="0.25">
      <c r="A633" s="903"/>
      <c r="B633" s="907"/>
      <c r="C633" s="874"/>
      <c r="D633" s="874"/>
      <c r="E633" s="874"/>
      <c r="F633" s="905"/>
      <c r="G633" s="874"/>
      <c r="H633" s="874"/>
      <c r="I633" s="906"/>
      <c r="J633" s="162"/>
      <c r="K633" s="161"/>
      <c r="L633" s="161"/>
      <c r="M633" s="169"/>
      <c r="N633" s="163" t="str">
        <f t="shared" si="13"/>
        <v/>
      </c>
      <c r="O633" s="41"/>
      <c r="P633" s="41"/>
      <c r="Q633" s="161" t="str">
        <f>+IF(OR(O633="Fire Control",O633="Fire Tex 5062",O633="Fire Tex 5090",O633="Fire Tex 5120"),'CALCULO PINTURA'!P634," ")</f>
        <v xml:space="preserve"> </v>
      </c>
      <c r="R633" s="164" t="str">
        <f>+IF(OR(O633="Fire Control",O633="Fire Tex 5062",O633="Fire Tex 5090",O633="Fire Tex 5120"),'CALCULO PINTURA'!R634," ")</f>
        <v xml:space="preserve"> </v>
      </c>
      <c r="S633" s="164" t="str">
        <f>+IF(OR(O633="Fire Control",O633="Fire Tex 5062",O633="Fire Tex 5090",O633="Fire Tex 5120"),'CALCULO PINTURA'!S634," ")</f>
        <v xml:space="preserve"> </v>
      </c>
      <c r="T633" s="874" t="str">
        <f>+IF(OR(O633="Blaze Shield II",O633="Cafco 400",O633="Cafco 300"),'CALCULO MORTERO'!N639," ")</f>
        <v xml:space="preserve"> </v>
      </c>
      <c r="U633" s="875" t="str">
        <f>+IF(OR(O633="Blaze Shield II",O633="Cafco 400",O633="Cafco 300"),'CALCULO MORTERO'!O639," ")</f>
        <v xml:space="preserve"> </v>
      </c>
      <c r="V633" s="161" t="str" cm="1">
        <f t="array" ref="V633">_xlfn.IFS(O633="Blaze Shield II",'CALCULO MORTERO'!P634, O633="Cafco 400",'CALCULO MORTERO'!Q634,O633="Cafco 300",'CALCULO MORTERO'!S634, AND(OR(O633="Fire tex 5090", O633="Fire Tex 5062", O633="Fire Tex 5120", O633="Fire Control"),Q633&gt;0), "CERT.",TRUE,"-")</f>
        <v>-</v>
      </c>
    </row>
    <row r="634" spans="1:22" x14ac:dyDescent="0.25">
      <c r="A634" s="903"/>
      <c r="B634" s="907"/>
      <c r="C634" s="874"/>
      <c r="D634" s="874"/>
      <c r="E634" s="874"/>
      <c r="F634" s="905"/>
      <c r="G634" s="874"/>
      <c r="H634" s="874"/>
      <c r="I634" s="906"/>
      <c r="J634" s="162"/>
      <c r="K634" s="161"/>
      <c r="L634" s="161"/>
      <c r="M634" s="169"/>
      <c r="N634" s="163" t="str">
        <f t="shared" si="13"/>
        <v/>
      </c>
      <c r="O634" s="41"/>
      <c r="P634" s="41"/>
      <c r="Q634" s="161" t="str">
        <f>+IF(OR(O634="Fire Control",O634="Fire Tex 5062",O634="Fire Tex 5090",O634="Fire Tex 5120"),'CALCULO PINTURA'!P635," ")</f>
        <v xml:space="preserve"> </v>
      </c>
      <c r="R634" s="164" t="str">
        <f>+IF(OR(O634="Fire Control",O634="Fire Tex 5062",O634="Fire Tex 5090",O634="Fire Tex 5120"),'CALCULO PINTURA'!R635," ")</f>
        <v xml:space="preserve"> </v>
      </c>
      <c r="S634" s="164" t="str">
        <f>+IF(OR(O634="Fire Control",O634="Fire Tex 5062",O634="Fire Tex 5090",O634="Fire Tex 5120"),'CALCULO PINTURA'!S635," ")</f>
        <v xml:space="preserve"> </v>
      </c>
      <c r="T634" s="874" t="str">
        <f>+IF(OR(O634="Blaze Shield II",O634="Cafco 400",O634="Cafco 300"),'CALCULO MORTERO'!N640," ")</f>
        <v xml:space="preserve"> </v>
      </c>
      <c r="U634" s="875" t="str">
        <f>+IF(OR(O634="Blaze Shield II",O634="Cafco 400",O634="Cafco 300"),'CALCULO MORTERO'!O640," ")</f>
        <v xml:space="preserve"> </v>
      </c>
      <c r="V634" s="161" t="str" cm="1">
        <f t="array" ref="V634">_xlfn.IFS(O634="Blaze Shield II",'CALCULO MORTERO'!P635, O634="Cafco 400",'CALCULO MORTERO'!Q635,O634="Cafco 300",'CALCULO MORTERO'!S635, AND(OR(O634="Fire tex 5090", O634="Fire Tex 5062", O634="Fire Tex 5120", O634="Fire Control"),Q634&gt;0), "CERT.",TRUE,"-")</f>
        <v>-</v>
      </c>
    </row>
    <row r="635" spans="1:22" x14ac:dyDescent="0.25">
      <c r="A635" s="903"/>
      <c r="B635" s="907"/>
      <c r="C635" s="874"/>
      <c r="D635" s="874"/>
      <c r="E635" s="874"/>
      <c r="F635" s="905"/>
      <c r="G635" s="874"/>
      <c r="H635" s="874"/>
      <c r="I635" s="906"/>
      <c r="J635" s="162"/>
      <c r="K635" s="161"/>
      <c r="L635" s="161"/>
      <c r="M635" s="169"/>
      <c r="N635" s="163" t="str">
        <f t="shared" si="13"/>
        <v/>
      </c>
      <c r="O635" s="41"/>
      <c r="P635" s="41"/>
      <c r="Q635" s="161" t="str">
        <f>+IF(OR(O635="Fire Control",O635="Fire Tex 5062",O635="Fire Tex 5090",O635="Fire Tex 5120"),'CALCULO PINTURA'!P636," ")</f>
        <v xml:space="preserve"> </v>
      </c>
      <c r="R635" s="164" t="str">
        <f>+IF(OR(O635="Fire Control",O635="Fire Tex 5062",O635="Fire Tex 5090",O635="Fire Tex 5120"),'CALCULO PINTURA'!R636," ")</f>
        <v xml:space="preserve"> </v>
      </c>
      <c r="S635" s="164" t="str">
        <f>+IF(OR(O635="Fire Control",O635="Fire Tex 5062",O635="Fire Tex 5090",O635="Fire Tex 5120"),'CALCULO PINTURA'!S636," ")</f>
        <v xml:space="preserve"> </v>
      </c>
      <c r="T635" s="874" t="str">
        <f>+IF(OR(O635="Blaze Shield II",O635="Cafco 400",O635="Cafco 300"),'CALCULO MORTERO'!N641," ")</f>
        <v xml:space="preserve"> </v>
      </c>
      <c r="U635" s="875" t="str">
        <f>+IF(OR(O635="Blaze Shield II",O635="Cafco 400",O635="Cafco 300"),'CALCULO MORTERO'!O641," ")</f>
        <v xml:space="preserve"> </v>
      </c>
      <c r="V635" s="161" t="str" cm="1">
        <f t="array" ref="V635">_xlfn.IFS(O635="Blaze Shield II",'CALCULO MORTERO'!P636, O635="Cafco 400",'CALCULO MORTERO'!Q636,O635="Cafco 300",'CALCULO MORTERO'!S636, AND(OR(O635="Fire tex 5090", O635="Fire Tex 5062", O635="Fire Tex 5120", O635="Fire Control"),Q635&gt;0), "CERT.",TRUE,"-")</f>
        <v>-</v>
      </c>
    </row>
    <row r="636" spans="1:22" x14ac:dyDescent="0.25">
      <c r="A636" s="903"/>
      <c r="B636" s="907"/>
      <c r="C636" s="874"/>
      <c r="D636" s="874"/>
      <c r="E636" s="874"/>
      <c r="F636" s="905"/>
      <c r="G636" s="874"/>
      <c r="H636" s="874"/>
      <c r="I636" s="906"/>
      <c r="J636" s="162"/>
      <c r="K636" s="161"/>
      <c r="L636" s="161"/>
      <c r="M636" s="169"/>
      <c r="N636" s="163" t="str">
        <f t="shared" si="13"/>
        <v/>
      </c>
      <c r="O636" s="41"/>
      <c r="P636" s="41"/>
      <c r="Q636" s="161" t="str">
        <f>+IF(OR(O636="Fire Control",O636="Fire Tex 5062",O636="Fire Tex 5090",O636="Fire Tex 5120"),'CALCULO PINTURA'!P637," ")</f>
        <v xml:space="preserve"> </v>
      </c>
      <c r="R636" s="164" t="str">
        <f>+IF(OR(O636="Fire Control",O636="Fire Tex 5062",O636="Fire Tex 5090",O636="Fire Tex 5120"),'CALCULO PINTURA'!R637," ")</f>
        <v xml:space="preserve"> </v>
      </c>
      <c r="S636" s="164" t="str">
        <f>+IF(OR(O636="Fire Control",O636="Fire Tex 5062",O636="Fire Tex 5090",O636="Fire Tex 5120"),'CALCULO PINTURA'!S637," ")</f>
        <v xml:space="preserve"> </v>
      </c>
      <c r="T636" s="874" t="str">
        <f>+IF(OR(O636="Blaze Shield II",O636="Cafco 400",O636="Cafco 300"),'CALCULO MORTERO'!N642," ")</f>
        <v xml:space="preserve"> </v>
      </c>
      <c r="U636" s="875" t="str">
        <f>+IF(OR(O636="Blaze Shield II",O636="Cafco 400",O636="Cafco 300"),'CALCULO MORTERO'!O642," ")</f>
        <v xml:space="preserve"> </v>
      </c>
      <c r="V636" s="161" t="str" cm="1">
        <f t="array" ref="V636">_xlfn.IFS(O636="Blaze Shield II",'CALCULO MORTERO'!P637, O636="Cafco 400",'CALCULO MORTERO'!Q637,O636="Cafco 300",'CALCULO MORTERO'!S637, AND(OR(O636="Fire tex 5090", O636="Fire Tex 5062", O636="Fire Tex 5120", O636="Fire Control"),Q636&gt;0), "CERT.",TRUE,"-")</f>
        <v>-</v>
      </c>
    </row>
    <row r="637" spans="1:22" x14ac:dyDescent="0.25">
      <c r="A637" s="903"/>
      <c r="B637" s="907"/>
      <c r="C637" s="874"/>
      <c r="D637" s="874"/>
      <c r="E637" s="874"/>
      <c r="F637" s="905"/>
      <c r="G637" s="874"/>
      <c r="H637" s="874"/>
      <c r="I637" s="906"/>
      <c r="J637" s="162"/>
      <c r="K637" s="161"/>
      <c r="L637" s="161"/>
      <c r="M637" s="169"/>
      <c r="N637" s="163" t="str">
        <f t="shared" si="13"/>
        <v/>
      </c>
      <c r="O637" s="41"/>
      <c r="P637" s="41"/>
      <c r="Q637" s="161" t="str">
        <f>+IF(OR(O637="Fire Control",O637="Fire Tex 5062",O637="Fire Tex 5090",O637="Fire Tex 5120"),'CALCULO PINTURA'!P638," ")</f>
        <v xml:space="preserve"> </v>
      </c>
      <c r="R637" s="164" t="str">
        <f>+IF(OR(O637="Fire Control",O637="Fire Tex 5062",O637="Fire Tex 5090",O637="Fire Tex 5120"),'CALCULO PINTURA'!R638," ")</f>
        <v xml:space="preserve"> </v>
      </c>
      <c r="S637" s="164" t="str">
        <f>+IF(OR(O637="Fire Control",O637="Fire Tex 5062",O637="Fire Tex 5090",O637="Fire Tex 5120"),'CALCULO PINTURA'!S638," ")</f>
        <v xml:space="preserve"> </v>
      </c>
      <c r="T637" s="874" t="str">
        <f>+IF(OR(O637="Blaze Shield II",O637="Cafco 400",O637="Cafco 300"),'CALCULO MORTERO'!N643," ")</f>
        <v xml:space="preserve"> </v>
      </c>
      <c r="U637" s="875" t="str">
        <f>+IF(OR(O637="Blaze Shield II",O637="Cafco 400",O637="Cafco 300"),'CALCULO MORTERO'!O643," ")</f>
        <v xml:space="preserve"> </v>
      </c>
      <c r="V637" s="161" t="str" cm="1">
        <f t="array" ref="V637">_xlfn.IFS(O637="Blaze Shield II",'CALCULO MORTERO'!P638, O637="Cafco 400",'CALCULO MORTERO'!Q638,O637="Cafco 300",'CALCULO MORTERO'!S638, AND(OR(O637="Fire tex 5090", O637="Fire Tex 5062", O637="Fire Tex 5120", O637="Fire Control"),Q637&gt;0), "CERT.",TRUE,"-")</f>
        <v>-</v>
      </c>
    </row>
    <row r="638" spans="1:22" x14ac:dyDescent="0.25">
      <c r="A638" s="903"/>
      <c r="B638" s="907"/>
      <c r="C638" s="874"/>
      <c r="D638" s="874"/>
      <c r="E638" s="874"/>
      <c r="F638" s="905"/>
      <c r="G638" s="874"/>
      <c r="H638" s="874"/>
      <c r="I638" s="906"/>
      <c r="J638" s="162"/>
      <c r="K638" s="161"/>
      <c r="L638" s="161"/>
      <c r="M638" s="169"/>
      <c r="N638" s="163" t="str">
        <f t="shared" si="13"/>
        <v/>
      </c>
      <c r="O638" s="41"/>
      <c r="P638" s="41"/>
      <c r="Q638" s="161" t="str">
        <f>+IF(OR(O638="Fire Control",O638="Fire Tex 5062",O638="Fire Tex 5090",O638="Fire Tex 5120"),'CALCULO PINTURA'!P639," ")</f>
        <v xml:space="preserve"> </v>
      </c>
      <c r="R638" s="164" t="str">
        <f>+IF(OR(O638="Fire Control",O638="Fire Tex 5062",O638="Fire Tex 5090",O638="Fire Tex 5120"),'CALCULO PINTURA'!R639," ")</f>
        <v xml:space="preserve"> </v>
      </c>
      <c r="S638" s="164" t="str">
        <f>+IF(OR(O638="Fire Control",O638="Fire Tex 5062",O638="Fire Tex 5090",O638="Fire Tex 5120"),'CALCULO PINTURA'!S639," ")</f>
        <v xml:space="preserve"> </v>
      </c>
      <c r="T638" s="874" t="str">
        <f>+IF(OR(O638="Blaze Shield II",O638="Cafco 400",O638="Cafco 300"),'CALCULO MORTERO'!N644," ")</f>
        <v xml:space="preserve"> </v>
      </c>
      <c r="U638" s="875" t="str">
        <f>+IF(OR(O638="Blaze Shield II",O638="Cafco 400",O638="Cafco 300"),'CALCULO MORTERO'!O644," ")</f>
        <v xml:space="preserve"> </v>
      </c>
      <c r="V638" s="161" t="str" cm="1">
        <f t="array" ref="V638">_xlfn.IFS(O638="Blaze Shield II",'CALCULO MORTERO'!P639, O638="Cafco 400",'CALCULO MORTERO'!Q639,O638="Cafco 300",'CALCULO MORTERO'!S639, AND(OR(O638="Fire tex 5090", O638="Fire Tex 5062", O638="Fire Tex 5120", O638="Fire Control"),Q638&gt;0), "CERT.",TRUE,"-")</f>
        <v>-</v>
      </c>
    </row>
    <row r="639" spans="1:22" x14ac:dyDescent="0.25">
      <c r="A639" s="903"/>
      <c r="B639" s="907"/>
      <c r="C639" s="874"/>
      <c r="D639" s="874"/>
      <c r="E639" s="874"/>
      <c r="F639" s="874"/>
      <c r="G639" s="874"/>
      <c r="H639" s="874"/>
      <c r="I639" s="906"/>
      <c r="J639" s="162"/>
      <c r="K639" s="161"/>
      <c r="L639" s="161"/>
      <c r="M639" s="163"/>
      <c r="N639" s="163" t="str">
        <f t="shared" si="13"/>
        <v/>
      </c>
      <c r="O639" s="41"/>
      <c r="P639" s="41"/>
      <c r="Q639" s="161" t="str">
        <f>+IF(OR(O639="Fire Control",O639="Fire Tex 5062",O639="Fire Tex 5090",O639="Fire Tex 5120"),'CALCULO PINTURA'!P640," ")</f>
        <v xml:space="preserve"> </v>
      </c>
      <c r="R639" s="164" t="str">
        <f>+IF(OR(O639="Fire Control",O639="Fire Tex 5062",O639="Fire Tex 5090",O639="Fire Tex 5120"),'CALCULO PINTURA'!R640," ")</f>
        <v xml:space="preserve"> </v>
      </c>
      <c r="S639" s="164" t="str">
        <f>+IF(OR(O639="Fire Control",O639="Fire Tex 5062",O639="Fire Tex 5090",O639="Fire Tex 5120"),'CALCULO PINTURA'!S640," ")</f>
        <v xml:space="preserve"> </v>
      </c>
      <c r="T639" s="874" t="str">
        <f>+IF(OR(O639="Blaze Shield II",O639="Cafco 400",O639="Cafco 300"),'CALCULO MORTERO'!N645," ")</f>
        <v xml:space="preserve"> </v>
      </c>
      <c r="U639" s="875" t="str">
        <f>+IF(OR(O639="Blaze Shield II",O639="Cafco 400",O639="Cafco 300"),'CALCULO MORTERO'!O645," ")</f>
        <v xml:space="preserve"> </v>
      </c>
      <c r="V639" s="161" t="str" cm="1">
        <f t="array" ref="V639">_xlfn.IFS(O639="Blaze Shield II",'CALCULO MORTERO'!P640, O639="Cafco 400",'CALCULO MORTERO'!Q640,O639="Cafco 300",'CALCULO MORTERO'!S640, AND(OR(O639="Fire tex 5090", O639="Fire Tex 5062", O639="Fire Tex 5120", O639="Fire Control"),Q639&gt;0), "CERT.",TRUE,"-")</f>
        <v>-</v>
      </c>
    </row>
    <row r="640" spans="1:22" x14ac:dyDescent="0.25">
      <c r="A640" s="903"/>
      <c r="B640" s="907"/>
      <c r="C640" s="874"/>
      <c r="D640" s="874"/>
      <c r="E640" s="874"/>
      <c r="F640" s="874"/>
      <c r="G640" s="874"/>
      <c r="H640" s="874"/>
      <c r="I640" s="906"/>
      <c r="J640" s="162"/>
      <c r="K640" s="161"/>
      <c r="L640" s="161"/>
      <c r="M640" s="163"/>
      <c r="N640" s="163" t="str">
        <f t="shared" si="13"/>
        <v/>
      </c>
      <c r="O640" s="41"/>
      <c r="P640" s="41"/>
      <c r="Q640" s="161" t="str">
        <f>+IF(OR(O640="Fire Control",O640="Fire Tex 5062",O640="Fire Tex 5090",O640="Fire Tex 5120"),'CALCULO PINTURA'!P641," ")</f>
        <v xml:space="preserve"> </v>
      </c>
      <c r="R640" s="164" t="str">
        <f>+IF(OR(O640="Fire Control",O640="Fire Tex 5062",O640="Fire Tex 5090",O640="Fire Tex 5120"),'CALCULO PINTURA'!R641," ")</f>
        <v xml:space="preserve"> </v>
      </c>
      <c r="S640" s="164" t="str">
        <f>+IF(OR(O640="Fire Control",O640="Fire Tex 5062",O640="Fire Tex 5090",O640="Fire Tex 5120"),'CALCULO PINTURA'!S641," ")</f>
        <v xml:space="preserve"> </v>
      </c>
      <c r="T640" s="874" t="str">
        <f>+IF(OR(O640="Blaze Shield II",O640="Cafco 400",O640="Cafco 300"),'CALCULO MORTERO'!N646," ")</f>
        <v xml:space="preserve"> </v>
      </c>
      <c r="U640" s="875" t="str">
        <f>+IF(OR(O640="Blaze Shield II",O640="Cafco 400",O640="Cafco 300"),'CALCULO MORTERO'!O646," ")</f>
        <v xml:space="preserve"> </v>
      </c>
      <c r="V640" s="161" t="str" cm="1">
        <f t="array" ref="V640">_xlfn.IFS(O640="Blaze Shield II",'CALCULO MORTERO'!P641, O640="Cafco 400",'CALCULO MORTERO'!Q641,O640="Cafco 300",'CALCULO MORTERO'!S641, AND(OR(O640="Fire tex 5090", O640="Fire Tex 5062", O640="Fire Tex 5120", O640="Fire Control"),Q640&gt;0), "CERT.",TRUE,"-")</f>
        <v>-</v>
      </c>
    </row>
    <row r="641" spans="1:22" x14ac:dyDescent="0.25">
      <c r="A641" s="903"/>
      <c r="B641" s="907"/>
      <c r="C641" s="874"/>
      <c r="D641" s="874"/>
      <c r="E641" s="874"/>
      <c r="F641" s="874"/>
      <c r="G641" s="874"/>
      <c r="H641" s="874"/>
      <c r="I641" s="906"/>
      <c r="J641" s="162"/>
      <c r="K641" s="161"/>
      <c r="L641" s="161"/>
      <c r="M641" s="169"/>
      <c r="N641" s="163" t="str">
        <f t="shared" si="13"/>
        <v/>
      </c>
      <c r="O641" s="41"/>
      <c r="P641" s="41"/>
      <c r="Q641" s="161" t="str">
        <f>+IF(OR(O641="Fire Control",O641="Fire Tex 5062",O641="Fire Tex 5090",O641="Fire Tex 5120"),'CALCULO PINTURA'!P642," ")</f>
        <v xml:space="preserve"> </v>
      </c>
      <c r="R641" s="164" t="str">
        <f>+IF(OR(O641="Fire Control",O641="Fire Tex 5062",O641="Fire Tex 5090",O641="Fire Tex 5120"),'CALCULO PINTURA'!R642," ")</f>
        <v xml:space="preserve"> </v>
      </c>
      <c r="S641" s="164" t="str">
        <f>+IF(OR(O641="Fire Control",O641="Fire Tex 5062",O641="Fire Tex 5090",O641="Fire Tex 5120"),'CALCULO PINTURA'!S642," ")</f>
        <v xml:space="preserve"> </v>
      </c>
      <c r="T641" s="874" t="str">
        <f>+IF(OR(O641="Blaze Shield II",O641="Cafco 400",O641="Cafco 300"),'CALCULO MORTERO'!N647," ")</f>
        <v xml:space="preserve"> </v>
      </c>
      <c r="U641" s="875" t="str">
        <f>+IF(OR(O641="Blaze Shield II",O641="Cafco 400",O641="Cafco 300"),'CALCULO MORTERO'!O647," ")</f>
        <v xml:space="preserve"> </v>
      </c>
      <c r="V641" s="161" t="str" cm="1">
        <f t="array" ref="V641">_xlfn.IFS(O641="Blaze Shield II",'CALCULO MORTERO'!P642, O641="Cafco 400",'CALCULO MORTERO'!Q642,O641="Cafco 300",'CALCULO MORTERO'!S642, AND(OR(O641="Fire tex 5090", O641="Fire Tex 5062", O641="Fire Tex 5120", O641="Fire Control"),Q641&gt;0), "CERT.",TRUE,"-")</f>
        <v>-</v>
      </c>
    </row>
    <row r="642" spans="1:22" x14ac:dyDescent="0.25">
      <c r="A642" s="903"/>
      <c r="B642" s="907"/>
      <c r="C642" s="874"/>
      <c r="D642" s="874"/>
      <c r="E642" s="874"/>
      <c r="F642" s="874"/>
      <c r="G642" s="874"/>
      <c r="H642" s="874"/>
      <c r="I642" s="906"/>
      <c r="J642" s="162"/>
      <c r="K642" s="161"/>
      <c r="L642" s="161"/>
      <c r="M642" s="163"/>
      <c r="N642" s="163" t="str">
        <f t="shared" si="13"/>
        <v/>
      </c>
      <c r="O642" s="41"/>
      <c r="P642" s="41"/>
      <c r="Q642" s="161" t="str">
        <f>+IF(OR(O642="Fire Control",O642="Fire Tex 5062",O642="Fire Tex 5090",O642="Fire Tex 5120"),'CALCULO PINTURA'!P643," ")</f>
        <v xml:space="preserve"> </v>
      </c>
      <c r="R642" s="164" t="str">
        <f>+IF(OR(O642="Fire Control",O642="Fire Tex 5062",O642="Fire Tex 5090",O642="Fire Tex 5120"),'CALCULO PINTURA'!R643," ")</f>
        <v xml:space="preserve"> </v>
      </c>
      <c r="S642" s="164" t="str">
        <f>+IF(OR(O642="Fire Control",O642="Fire Tex 5062",O642="Fire Tex 5090",O642="Fire Tex 5120"),'CALCULO PINTURA'!S643," ")</f>
        <v xml:space="preserve"> </v>
      </c>
      <c r="T642" s="874" t="str">
        <f>+IF(OR(O642="Blaze Shield II",O642="Cafco 400",O642="Cafco 300"),'CALCULO MORTERO'!N648," ")</f>
        <v xml:space="preserve"> </v>
      </c>
      <c r="U642" s="875" t="str">
        <f>+IF(OR(O642="Blaze Shield II",O642="Cafco 400",O642="Cafco 300"),'CALCULO MORTERO'!O648," ")</f>
        <v xml:space="preserve"> </v>
      </c>
      <c r="V642" s="161" t="str" cm="1">
        <f t="array" ref="V642">_xlfn.IFS(O642="Blaze Shield II",'CALCULO MORTERO'!P643, O642="Cafco 400",'CALCULO MORTERO'!Q643,O642="Cafco 300",'CALCULO MORTERO'!S643, AND(OR(O642="Fire tex 5090", O642="Fire Tex 5062", O642="Fire Tex 5120", O642="Fire Control"),Q642&gt;0), "CERT.",TRUE,"-")</f>
        <v>-</v>
      </c>
    </row>
    <row r="643" spans="1:22" x14ac:dyDescent="0.25">
      <c r="A643" s="903"/>
      <c r="B643" s="907"/>
      <c r="C643" s="874"/>
      <c r="D643" s="874"/>
      <c r="E643" s="874"/>
      <c r="F643" s="905"/>
      <c r="G643" s="874"/>
      <c r="H643" s="874"/>
      <c r="I643" s="906"/>
      <c r="J643" s="162"/>
      <c r="K643" s="161"/>
      <c r="L643" s="161"/>
      <c r="M643" s="169"/>
      <c r="N643" s="163" t="str">
        <f t="shared" si="13"/>
        <v/>
      </c>
      <c r="O643" s="41"/>
      <c r="P643" s="41"/>
      <c r="Q643" s="161" t="str">
        <f>+IF(OR(O643="Fire Control",O643="Fire Tex 5062",O643="Fire Tex 5090",O643="Fire Tex 5120"),'CALCULO PINTURA'!P644," ")</f>
        <v xml:space="preserve"> </v>
      </c>
      <c r="R643" s="164" t="str">
        <f>+IF(OR(O643="Fire Control",O643="Fire Tex 5062",O643="Fire Tex 5090",O643="Fire Tex 5120"),'CALCULO PINTURA'!R644," ")</f>
        <v xml:space="preserve"> </v>
      </c>
      <c r="S643" s="164" t="str">
        <f>+IF(OR(O643="Fire Control",O643="Fire Tex 5062",O643="Fire Tex 5090",O643="Fire Tex 5120"),'CALCULO PINTURA'!S644," ")</f>
        <v xml:space="preserve"> </v>
      </c>
      <c r="T643" s="874" t="str">
        <f>+IF(OR(O643="Blaze Shield II",O643="Cafco 400",O643="Cafco 300"),'CALCULO MORTERO'!N649," ")</f>
        <v xml:space="preserve"> </v>
      </c>
      <c r="U643" s="875" t="str">
        <f>+IF(OR(O643="Blaze Shield II",O643="Cafco 400",O643="Cafco 300"),'CALCULO MORTERO'!O649," ")</f>
        <v xml:space="preserve"> </v>
      </c>
      <c r="V643" s="161" t="str" cm="1">
        <f t="array" ref="V643">_xlfn.IFS(O643="Blaze Shield II",'CALCULO MORTERO'!P644, O643="Cafco 400",'CALCULO MORTERO'!Q644,O643="Cafco 300",'CALCULO MORTERO'!S644, AND(OR(O643="Fire tex 5090", O643="Fire Tex 5062", O643="Fire Tex 5120", O643="Fire Control"),Q643&gt;0), "CERT.",TRUE,"-")</f>
        <v>-</v>
      </c>
    </row>
    <row r="644" spans="1:22" x14ac:dyDescent="0.25">
      <c r="A644" s="903"/>
      <c r="B644" s="907"/>
      <c r="C644" s="874"/>
      <c r="D644" s="874"/>
      <c r="E644" s="874"/>
      <c r="F644" s="874"/>
      <c r="G644" s="874"/>
      <c r="H644" s="874"/>
      <c r="I644" s="906"/>
      <c r="J644" s="162"/>
      <c r="K644" s="161"/>
      <c r="L644" s="161"/>
      <c r="M644" s="163"/>
      <c r="N644" s="163" t="str">
        <f t="shared" ref="N644:N707" si="14">+IF(F644="","",(K644*I644*H644*G644)/1000000)</f>
        <v/>
      </c>
      <c r="O644" s="41"/>
      <c r="P644" s="41"/>
      <c r="Q644" s="161" t="str">
        <f>+IF(OR(O644="Fire Control",O644="Fire Tex 5062",O644="Fire Tex 5090",O644="Fire Tex 5120"),'CALCULO PINTURA'!P645," ")</f>
        <v xml:space="preserve"> </v>
      </c>
      <c r="R644" s="164" t="str">
        <f>+IF(OR(O644="Fire Control",O644="Fire Tex 5062",O644="Fire Tex 5090",O644="Fire Tex 5120"),'CALCULO PINTURA'!R645," ")</f>
        <v xml:space="preserve"> </v>
      </c>
      <c r="S644" s="164" t="str">
        <f>+IF(OR(O644="Fire Control",O644="Fire Tex 5062",O644="Fire Tex 5090",O644="Fire Tex 5120"),'CALCULO PINTURA'!S645," ")</f>
        <v xml:space="preserve"> </v>
      </c>
      <c r="T644" s="874" t="str">
        <f>+IF(OR(O644="Blaze Shield II",O644="Cafco 400",O644="Cafco 300"),'CALCULO MORTERO'!N650," ")</f>
        <v xml:space="preserve"> </v>
      </c>
      <c r="U644" s="875" t="str">
        <f>+IF(OR(O644="Blaze Shield II",O644="Cafco 400",O644="Cafco 300"),'CALCULO MORTERO'!O650," ")</f>
        <v xml:space="preserve"> </v>
      </c>
      <c r="V644" s="161" t="str" cm="1">
        <f t="array" ref="V644">_xlfn.IFS(O644="Blaze Shield II",'CALCULO MORTERO'!P645, O644="Cafco 400",'CALCULO MORTERO'!Q645,O644="Cafco 300",'CALCULO MORTERO'!S645, AND(OR(O644="Fire tex 5090", O644="Fire Tex 5062", O644="Fire Tex 5120", O644="Fire Control"),Q644&gt;0), "CERT.",TRUE,"-")</f>
        <v>-</v>
      </c>
    </row>
    <row r="645" spans="1:22" x14ac:dyDescent="0.25">
      <c r="A645" s="903"/>
      <c r="B645" s="907"/>
      <c r="C645" s="874"/>
      <c r="D645" s="874"/>
      <c r="E645" s="874"/>
      <c r="F645" s="905"/>
      <c r="G645" s="874"/>
      <c r="H645" s="874"/>
      <c r="I645" s="906"/>
      <c r="J645" s="162"/>
      <c r="K645" s="161"/>
      <c r="L645" s="161"/>
      <c r="M645" s="169"/>
      <c r="N645" s="163" t="str">
        <f t="shared" si="14"/>
        <v/>
      </c>
      <c r="O645" s="41"/>
      <c r="P645" s="41"/>
      <c r="Q645" s="161" t="str">
        <f>+IF(OR(O645="Fire Control",O645="Fire Tex 5062",O645="Fire Tex 5090",O645="Fire Tex 5120"),'CALCULO PINTURA'!P646," ")</f>
        <v xml:space="preserve"> </v>
      </c>
      <c r="R645" s="164" t="str">
        <f>+IF(OR(O645="Fire Control",O645="Fire Tex 5062",O645="Fire Tex 5090",O645="Fire Tex 5120"),'CALCULO PINTURA'!R646," ")</f>
        <v xml:space="preserve"> </v>
      </c>
      <c r="S645" s="164" t="str">
        <f>+IF(OR(O645="Fire Control",O645="Fire Tex 5062",O645="Fire Tex 5090",O645="Fire Tex 5120"),'CALCULO PINTURA'!S646," ")</f>
        <v xml:space="preserve"> </v>
      </c>
      <c r="T645" s="874" t="str">
        <f>+IF(OR(O645="Blaze Shield II",O645="Cafco 400",O645="Cafco 300"),'CALCULO MORTERO'!N651," ")</f>
        <v xml:space="preserve"> </v>
      </c>
      <c r="U645" s="875" t="str">
        <f>+IF(OR(O645="Blaze Shield II",O645="Cafco 400",O645="Cafco 300"),'CALCULO MORTERO'!O651," ")</f>
        <v xml:space="preserve"> </v>
      </c>
      <c r="V645" s="161" t="str" cm="1">
        <f t="array" ref="V645">_xlfn.IFS(O645="Blaze Shield II",'CALCULO MORTERO'!P646, O645="Cafco 400",'CALCULO MORTERO'!Q646,O645="Cafco 300",'CALCULO MORTERO'!S646, AND(OR(O645="Fire tex 5090", O645="Fire Tex 5062", O645="Fire Tex 5120", O645="Fire Control"),Q645&gt;0), "CERT.",TRUE,"-")</f>
        <v>-</v>
      </c>
    </row>
    <row r="646" spans="1:22" x14ac:dyDescent="0.25">
      <c r="A646" s="903"/>
      <c r="B646" s="907"/>
      <c r="C646" s="874"/>
      <c r="D646" s="874"/>
      <c r="E646" s="874"/>
      <c r="F646" s="905"/>
      <c r="G646" s="874"/>
      <c r="H646" s="874"/>
      <c r="I646" s="906"/>
      <c r="J646" s="162"/>
      <c r="K646" s="161"/>
      <c r="L646" s="161"/>
      <c r="M646" s="169"/>
      <c r="N646" s="163" t="str">
        <f t="shared" si="14"/>
        <v/>
      </c>
      <c r="O646" s="41"/>
      <c r="P646" s="41"/>
      <c r="Q646" s="161" t="str">
        <f>+IF(OR(O646="Fire Control",O646="Fire Tex 5062",O646="Fire Tex 5090",O646="Fire Tex 5120"),'CALCULO PINTURA'!P647," ")</f>
        <v xml:space="preserve"> </v>
      </c>
      <c r="R646" s="164" t="str">
        <f>+IF(OR(O646="Fire Control",O646="Fire Tex 5062",O646="Fire Tex 5090",O646="Fire Tex 5120"),'CALCULO PINTURA'!R647," ")</f>
        <v xml:space="preserve"> </v>
      </c>
      <c r="S646" s="164" t="str">
        <f>+IF(OR(O646="Fire Control",O646="Fire Tex 5062",O646="Fire Tex 5090",O646="Fire Tex 5120"),'CALCULO PINTURA'!S647," ")</f>
        <v xml:space="preserve"> </v>
      </c>
      <c r="T646" s="874" t="str">
        <f>+IF(OR(O646="Blaze Shield II",O646="Cafco 400",O646="Cafco 300"),'CALCULO MORTERO'!N652," ")</f>
        <v xml:space="preserve"> </v>
      </c>
      <c r="U646" s="875" t="str">
        <f>+IF(OR(O646="Blaze Shield II",O646="Cafco 400",O646="Cafco 300"),'CALCULO MORTERO'!O652," ")</f>
        <v xml:space="preserve"> </v>
      </c>
      <c r="V646" s="161" t="str" cm="1">
        <f t="array" ref="V646">_xlfn.IFS(O646="Blaze Shield II",'CALCULO MORTERO'!P647, O646="Cafco 400",'CALCULO MORTERO'!Q647,O646="Cafco 300",'CALCULO MORTERO'!S647, AND(OR(O646="Fire tex 5090", O646="Fire Tex 5062", O646="Fire Tex 5120", O646="Fire Control"),Q646&gt;0), "CERT.",TRUE,"-")</f>
        <v>-</v>
      </c>
    </row>
    <row r="647" spans="1:22" x14ac:dyDescent="0.25">
      <c r="A647" s="903"/>
      <c r="B647" s="907"/>
      <c r="C647" s="874"/>
      <c r="D647" s="874"/>
      <c r="E647" s="874"/>
      <c r="F647" s="905"/>
      <c r="G647" s="874"/>
      <c r="H647" s="874"/>
      <c r="I647" s="906"/>
      <c r="J647" s="162"/>
      <c r="K647" s="161"/>
      <c r="L647" s="161"/>
      <c r="M647" s="169"/>
      <c r="N647" s="163" t="str">
        <f t="shared" si="14"/>
        <v/>
      </c>
      <c r="O647" s="41"/>
      <c r="P647" s="41"/>
      <c r="Q647" s="161" t="str">
        <f>+IF(OR(O647="Fire Control",O647="Fire Tex 5062",O647="Fire Tex 5090",O647="Fire Tex 5120"),'CALCULO PINTURA'!P648," ")</f>
        <v xml:space="preserve"> </v>
      </c>
      <c r="R647" s="164" t="str">
        <f>+IF(OR(O647="Fire Control",O647="Fire Tex 5062",O647="Fire Tex 5090",O647="Fire Tex 5120"),'CALCULO PINTURA'!R648," ")</f>
        <v xml:space="preserve"> </v>
      </c>
      <c r="S647" s="164" t="str">
        <f>+IF(OR(O647="Fire Control",O647="Fire Tex 5062",O647="Fire Tex 5090",O647="Fire Tex 5120"),'CALCULO PINTURA'!S648," ")</f>
        <v xml:space="preserve"> </v>
      </c>
      <c r="T647" s="874" t="str">
        <f>+IF(OR(O647="Blaze Shield II",O647="Cafco 400",O647="Cafco 300"),'CALCULO MORTERO'!N653," ")</f>
        <v xml:space="preserve"> </v>
      </c>
      <c r="U647" s="875" t="str">
        <f>+IF(OR(O647="Blaze Shield II",O647="Cafco 400",O647="Cafco 300"),'CALCULO MORTERO'!O653," ")</f>
        <v xml:space="preserve"> </v>
      </c>
      <c r="V647" s="161" t="str" cm="1">
        <f t="array" ref="V647">_xlfn.IFS(O647="Blaze Shield II",'CALCULO MORTERO'!P648, O647="Cafco 400",'CALCULO MORTERO'!Q648,O647="Cafco 300",'CALCULO MORTERO'!S648, AND(OR(O647="Fire tex 5090", O647="Fire Tex 5062", O647="Fire Tex 5120", O647="Fire Control"),Q647&gt;0), "CERT.",TRUE,"-")</f>
        <v>-</v>
      </c>
    </row>
    <row r="648" spans="1:22" x14ac:dyDescent="0.25">
      <c r="A648" s="903"/>
      <c r="B648" s="907"/>
      <c r="C648" s="874"/>
      <c r="D648" s="874"/>
      <c r="E648" s="874"/>
      <c r="F648" s="905"/>
      <c r="G648" s="874"/>
      <c r="H648" s="874"/>
      <c r="I648" s="906"/>
      <c r="J648" s="162"/>
      <c r="K648" s="161"/>
      <c r="L648" s="161"/>
      <c r="M648" s="169"/>
      <c r="N648" s="163" t="str">
        <f t="shared" si="14"/>
        <v/>
      </c>
      <c r="O648" s="41"/>
      <c r="P648" s="41"/>
      <c r="Q648" s="161" t="str">
        <f>+IF(OR(O648="Fire Control",O648="Fire Tex 5062",O648="Fire Tex 5090",O648="Fire Tex 5120"),'CALCULO PINTURA'!P649," ")</f>
        <v xml:space="preserve"> </v>
      </c>
      <c r="R648" s="164" t="str">
        <f>+IF(OR(O648="Fire Control",O648="Fire Tex 5062",O648="Fire Tex 5090",O648="Fire Tex 5120"),'CALCULO PINTURA'!R649," ")</f>
        <v xml:space="preserve"> </v>
      </c>
      <c r="S648" s="164" t="str">
        <f>+IF(OR(O648="Fire Control",O648="Fire Tex 5062",O648="Fire Tex 5090",O648="Fire Tex 5120"),'CALCULO PINTURA'!S649," ")</f>
        <v xml:space="preserve"> </v>
      </c>
      <c r="T648" s="874" t="str">
        <f>+IF(OR(O648="Blaze Shield II",O648="Cafco 400",O648="Cafco 300"),'CALCULO MORTERO'!N654," ")</f>
        <v xml:space="preserve"> </v>
      </c>
      <c r="U648" s="875" t="str">
        <f>+IF(OR(O648="Blaze Shield II",O648="Cafco 400",O648="Cafco 300"),'CALCULO MORTERO'!O654," ")</f>
        <v xml:space="preserve"> </v>
      </c>
      <c r="V648" s="161" t="str" cm="1">
        <f t="array" ref="V648">_xlfn.IFS(O648="Blaze Shield II",'CALCULO MORTERO'!P649, O648="Cafco 400",'CALCULO MORTERO'!Q649,O648="Cafco 300",'CALCULO MORTERO'!S649, AND(OR(O648="Fire tex 5090", O648="Fire Tex 5062", O648="Fire Tex 5120", O648="Fire Control"),Q648&gt;0), "CERT.",TRUE,"-")</f>
        <v>-</v>
      </c>
    </row>
    <row r="649" spans="1:22" x14ac:dyDescent="0.25">
      <c r="A649" s="903"/>
      <c r="B649" s="907"/>
      <c r="C649" s="874"/>
      <c r="D649" s="874"/>
      <c r="E649" s="874"/>
      <c r="F649" s="905"/>
      <c r="G649" s="874"/>
      <c r="H649" s="874"/>
      <c r="I649" s="906"/>
      <c r="J649" s="162"/>
      <c r="K649" s="161"/>
      <c r="L649" s="161"/>
      <c r="M649" s="169"/>
      <c r="N649" s="163" t="str">
        <f t="shared" si="14"/>
        <v/>
      </c>
      <c r="O649" s="41"/>
      <c r="P649" s="41"/>
      <c r="Q649" s="161" t="str">
        <f>+IF(OR(O649="Fire Control",O649="Fire Tex 5062",O649="Fire Tex 5090",O649="Fire Tex 5120"),'CALCULO PINTURA'!P650," ")</f>
        <v xml:space="preserve"> </v>
      </c>
      <c r="R649" s="164" t="str">
        <f>+IF(OR(O649="Fire Control",O649="Fire Tex 5062",O649="Fire Tex 5090",O649="Fire Tex 5120"),'CALCULO PINTURA'!R650," ")</f>
        <v xml:space="preserve"> </v>
      </c>
      <c r="S649" s="164" t="str">
        <f>+IF(OR(O649="Fire Control",O649="Fire Tex 5062",O649="Fire Tex 5090",O649="Fire Tex 5120"),'CALCULO PINTURA'!S650," ")</f>
        <v xml:space="preserve"> </v>
      </c>
      <c r="T649" s="874" t="str">
        <f>+IF(OR(O649="Blaze Shield II",O649="Cafco 400",O649="Cafco 300"),'CALCULO MORTERO'!N655," ")</f>
        <v xml:space="preserve"> </v>
      </c>
      <c r="U649" s="875" t="str">
        <f>+IF(OR(O649="Blaze Shield II",O649="Cafco 400",O649="Cafco 300"),'CALCULO MORTERO'!O655," ")</f>
        <v xml:space="preserve"> </v>
      </c>
      <c r="V649" s="161" t="str" cm="1">
        <f t="array" ref="V649">_xlfn.IFS(O649="Blaze Shield II",'CALCULO MORTERO'!P650, O649="Cafco 400",'CALCULO MORTERO'!Q650,O649="Cafco 300",'CALCULO MORTERO'!S650, AND(OR(O649="Fire tex 5090", O649="Fire Tex 5062", O649="Fire Tex 5120", O649="Fire Control"),Q649&gt;0), "CERT.",TRUE,"-")</f>
        <v>-</v>
      </c>
    </row>
    <row r="650" spans="1:22" x14ac:dyDescent="0.25">
      <c r="A650" s="903"/>
      <c r="B650" s="907"/>
      <c r="C650" s="874"/>
      <c r="D650" s="874"/>
      <c r="E650" s="874"/>
      <c r="F650" s="905"/>
      <c r="G650" s="874"/>
      <c r="H650" s="874"/>
      <c r="I650" s="906"/>
      <c r="J650" s="162"/>
      <c r="K650" s="161"/>
      <c r="L650" s="161"/>
      <c r="M650" s="169"/>
      <c r="N650" s="163" t="str">
        <f t="shared" si="14"/>
        <v/>
      </c>
      <c r="O650" s="41"/>
      <c r="P650" s="41"/>
      <c r="Q650" s="161" t="str">
        <f>+IF(OR(O650="Fire Control",O650="Fire Tex 5062",O650="Fire Tex 5090",O650="Fire Tex 5120"),'CALCULO PINTURA'!P651," ")</f>
        <v xml:space="preserve"> </v>
      </c>
      <c r="R650" s="164" t="str">
        <f>+IF(OR(O650="Fire Control",O650="Fire Tex 5062",O650="Fire Tex 5090",O650="Fire Tex 5120"),'CALCULO PINTURA'!R651," ")</f>
        <v xml:space="preserve"> </v>
      </c>
      <c r="S650" s="164" t="str">
        <f>+IF(OR(O650="Fire Control",O650="Fire Tex 5062",O650="Fire Tex 5090",O650="Fire Tex 5120"),'CALCULO PINTURA'!S651," ")</f>
        <v xml:space="preserve"> </v>
      </c>
      <c r="T650" s="874" t="str">
        <f>+IF(OR(O650="Blaze Shield II",O650="Cafco 400",O650="Cafco 300"),'CALCULO MORTERO'!N656," ")</f>
        <v xml:space="preserve"> </v>
      </c>
      <c r="U650" s="875" t="str">
        <f>+IF(OR(O650="Blaze Shield II",O650="Cafco 400",O650="Cafco 300"),'CALCULO MORTERO'!O656," ")</f>
        <v xml:space="preserve"> </v>
      </c>
      <c r="V650" s="161" t="str" cm="1">
        <f t="array" ref="V650">_xlfn.IFS(O650="Blaze Shield II",'CALCULO MORTERO'!P651, O650="Cafco 400",'CALCULO MORTERO'!Q651,O650="Cafco 300",'CALCULO MORTERO'!S651, AND(OR(O650="Fire tex 5090", O650="Fire Tex 5062", O650="Fire Tex 5120", O650="Fire Control"),Q650&gt;0), "CERT.",TRUE,"-")</f>
        <v>-</v>
      </c>
    </row>
    <row r="651" spans="1:22" x14ac:dyDescent="0.25">
      <c r="A651" s="903"/>
      <c r="B651" s="907"/>
      <c r="C651" s="874"/>
      <c r="D651" s="874"/>
      <c r="E651" s="874"/>
      <c r="F651" s="905"/>
      <c r="G651" s="874"/>
      <c r="H651" s="874"/>
      <c r="I651" s="906"/>
      <c r="J651" s="162"/>
      <c r="K651" s="161"/>
      <c r="L651" s="161"/>
      <c r="M651" s="169"/>
      <c r="N651" s="163" t="str">
        <f t="shared" si="14"/>
        <v/>
      </c>
      <c r="O651" s="41"/>
      <c r="P651" s="41"/>
      <c r="Q651" s="161" t="str">
        <f>+IF(OR(O651="Fire Control",O651="Fire Tex 5062",O651="Fire Tex 5090",O651="Fire Tex 5120"),'CALCULO PINTURA'!P652," ")</f>
        <v xml:space="preserve"> </v>
      </c>
      <c r="R651" s="164" t="str">
        <f>+IF(OR(O651="Fire Control",O651="Fire Tex 5062",O651="Fire Tex 5090",O651="Fire Tex 5120"),'CALCULO PINTURA'!R652," ")</f>
        <v xml:space="preserve"> </v>
      </c>
      <c r="S651" s="164" t="str">
        <f>+IF(OR(O651="Fire Control",O651="Fire Tex 5062",O651="Fire Tex 5090",O651="Fire Tex 5120"),'CALCULO PINTURA'!S652," ")</f>
        <v xml:space="preserve"> </v>
      </c>
      <c r="T651" s="874" t="str">
        <f>+IF(OR(O651="Blaze Shield II",O651="Cafco 400",O651="Cafco 300"),'CALCULO MORTERO'!N657," ")</f>
        <v xml:space="preserve"> </v>
      </c>
      <c r="U651" s="875" t="str">
        <f>+IF(OR(O651="Blaze Shield II",O651="Cafco 400",O651="Cafco 300"),'CALCULO MORTERO'!O657," ")</f>
        <v xml:space="preserve"> </v>
      </c>
      <c r="V651" s="161" t="str" cm="1">
        <f t="array" ref="V651">_xlfn.IFS(O651="Blaze Shield II",'CALCULO MORTERO'!P652, O651="Cafco 400",'CALCULO MORTERO'!Q652,O651="Cafco 300",'CALCULO MORTERO'!S652, AND(OR(O651="Fire tex 5090", O651="Fire Tex 5062", O651="Fire Tex 5120", O651="Fire Control"),Q651&gt;0), "CERT.",TRUE,"-")</f>
        <v>-</v>
      </c>
    </row>
    <row r="652" spans="1:22" x14ac:dyDescent="0.25">
      <c r="A652" s="903"/>
      <c r="B652" s="907"/>
      <c r="C652" s="874"/>
      <c r="D652" s="874"/>
      <c r="E652" s="874"/>
      <c r="F652" s="905"/>
      <c r="G652" s="874"/>
      <c r="H652" s="874"/>
      <c r="I652" s="906"/>
      <c r="J652" s="162"/>
      <c r="K652" s="161"/>
      <c r="L652" s="161"/>
      <c r="M652" s="169"/>
      <c r="N652" s="163" t="str">
        <f t="shared" si="14"/>
        <v/>
      </c>
      <c r="O652" s="41"/>
      <c r="P652" s="41"/>
      <c r="Q652" s="161" t="str">
        <f>+IF(OR(O652="Fire Control",O652="Fire Tex 5062",O652="Fire Tex 5090",O652="Fire Tex 5120"),'CALCULO PINTURA'!P653," ")</f>
        <v xml:space="preserve"> </v>
      </c>
      <c r="R652" s="164" t="str">
        <f>+IF(OR(O652="Fire Control",O652="Fire Tex 5062",O652="Fire Tex 5090",O652="Fire Tex 5120"),'CALCULO PINTURA'!R653," ")</f>
        <v xml:space="preserve"> </v>
      </c>
      <c r="S652" s="164" t="str">
        <f>+IF(OR(O652="Fire Control",O652="Fire Tex 5062",O652="Fire Tex 5090",O652="Fire Tex 5120"),'CALCULO PINTURA'!S653," ")</f>
        <v xml:space="preserve"> </v>
      </c>
      <c r="T652" s="874" t="str">
        <f>+IF(OR(O652="Blaze Shield II",O652="Cafco 400",O652="Cafco 300"),'CALCULO MORTERO'!N658," ")</f>
        <v xml:space="preserve"> </v>
      </c>
      <c r="U652" s="875" t="str">
        <f>+IF(OR(O652="Blaze Shield II",O652="Cafco 400",O652="Cafco 300"),'CALCULO MORTERO'!O658," ")</f>
        <v xml:space="preserve"> </v>
      </c>
      <c r="V652" s="161" t="str" cm="1">
        <f t="array" ref="V652">_xlfn.IFS(O652="Blaze Shield II",'CALCULO MORTERO'!P653, O652="Cafco 400",'CALCULO MORTERO'!Q653,O652="Cafco 300",'CALCULO MORTERO'!S653, AND(OR(O652="Fire tex 5090", O652="Fire Tex 5062", O652="Fire Tex 5120", O652="Fire Control"),Q652&gt;0), "CERT.",TRUE,"-")</f>
        <v>-</v>
      </c>
    </row>
    <row r="653" spans="1:22" x14ac:dyDescent="0.25">
      <c r="A653" s="903"/>
      <c r="B653" s="907"/>
      <c r="C653" s="874"/>
      <c r="D653" s="874"/>
      <c r="E653" s="874"/>
      <c r="F653" s="905"/>
      <c r="G653" s="874"/>
      <c r="H653" s="874"/>
      <c r="I653" s="906"/>
      <c r="J653" s="162"/>
      <c r="K653" s="161"/>
      <c r="L653" s="161"/>
      <c r="M653" s="169"/>
      <c r="N653" s="163" t="str">
        <f t="shared" si="14"/>
        <v/>
      </c>
      <c r="O653" s="41"/>
      <c r="P653" s="41"/>
      <c r="Q653" s="161" t="str">
        <f>+IF(OR(O653="Fire Control",O653="Fire Tex 5062",O653="Fire Tex 5090",O653="Fire Tex 5120"),'CALCULO PINTURA'!P654," ")</f>
        <v xml:space="preserve"> </v>
      </c>
      <c r="R653" s="164" t="str">
        <f>+IF(OR(O653="Fire Control",O653="Fire Tex 5062",O653="Fire Tex 5090",O653="Fire Tex 5120"),'CALCULO PINTURA'!R654," ")</f>
        <v xml:space="preserve"> </v>
      </c>
      <c r="S653" s="164" t="str">
        <f>+IF(OR(O653="Fire Control",O653="Fire Tex 5062",O653="Fire Tex 5090",O653="Fire Tex 5120"),'CALCULO PINTURA'!S654," ")</f>
        <v xml:space="preserve"> </v>
      </c>
      <c r="T653" s="874" t="str">
        <f>+IF(OR(O653="Blaze Shield II",O653="Cafco 400",O653="Cafco 300"),'CALCULO MORTERO'!N659," ")</f>
        <v xml:space="preserve"> </v>
      </c>
      <c r="U653" s="875" t="str">
        <f>+IF(OR(O653="Blaze Shield II",O653="Cafco 400",O653="Cafco 300"),'CALCULO MORTERO'!O659," ")</f>
        <v xml:space="preserve"> </v>
      </c>
      <c r="V653" s="161" t="str" cm="1">
        <f t="array" ref="V653">_xlfn.IFS(O653="Blaze Shield II",'CALCULO MORTERO'!P654, O653="Cafco 400",'CALCULO MORTERO'!Q654,O653="Cafco 300",'CALCULO MORTERO'!S654, AND(OR(O653="Fire tex 5090", O653="Fire Tex 5062", O653="Fire Tex 5120", O653="Fire Control"),Q653&gt;0), "CERT.",TRUE,"-")</f>
        <v>-</v>
      </c>
    </row>
    <row r="654" spans="1:22" x14ac:dyDescent="0.25">
      <c r="A654" s="903"/>
      <c r="B654" s="907"/>
      <c r="C654" s="874"/>
      <c r="D654" s="874"/>
      <c r="E654" s="874"/>
      <c r="F654" s="905"/>
      <c r="G654" s="874"/>
      <c r="H654" s="874"/>
      <c r="I654" s="906"/>
      <c r="J654" s="162"/>
      <c r="K654" s="161"/>
      <c r="L654" s="161"/>
      <c r="M654" s="169"/>
      <c r="N654" s="163" t="str">
        <f t="shared" si="14"/>
        <v/>
      </c>
      <c r="O654" s="41"/>
      <c r="P654" s="41"/>
      <c r="Q654" s="161" t="str">
        <f>+IF(OR(O654="Fire Control",O654="Fire Tex 5062",O654="Fire Tex 5090",O654="Fire Tex 5120"),'CALCULO PINTURA'!P655," ")</f>
        <v xml:space="preserve"> </v>
      </c>
      <c r="R654" s="164" t="str">
        <f>+IF(OR(O654="Fire Control",O654="Fire Tex 5062",O654="Fire Tex 5090",O654="Fire Tex 5120"),'CALCULO PINTURA'!R655," ")</f>
        <v xml:space="preserve"> </v>
      </c>
      <c r="S654" s="164" t="str">
        <f>+IF(OR(O654="Fire Control",O654="Fire Tex 5062",O654="Fire Tex 5090",O654="Fire Tex 5120"),'CALCULO PINTURA'!S655," ")</f>
        <v xml:space="preserve"> </v>
      </c>
      <c r="T654" s="874" t="str">
        <f>+IF(OR(O654="Blaze Shield II",O654="Cafco 400",O654="Cafco 300"),'CALCULO MORTERO'!N660," ")</f>
        <v xml:space="preserve"> </v>
      </c>
      <c r="U654" s="875" t="str">
        <f>+IF(OR(O654="Blaze Shield II",O654="Cafco 400",O654="Cafco 300"),'CALCULO MORTERO'!O660," ")</f>
        <v xml:space="preserve"> </v>
      </c>
      <c r="V654" s="161" t="str" cm="1">
        <f t="array" ref="V654">_xlfn.IFS(O654="Blaze Shield II",'CALCULO MORTERO'!P655, O654="Cafco 400",'CALCULO MORTERO'!Q655,O654="Cafco 300",'CALCULO MORTERO'!S655, AND(OR(O654="Fire tex 5090", O654="Fire Tex 5062", O654="Fire Tex 5120", O654="Fire Control"),Q654&gt;0), "CERT.",TRUE,"-")</f>
        <v>-</v>
      </c>
    </row>
    <row r="655" spans="1:22" x14ac:dyDescent="0.25">
      <c r="A655" s="903"/>
      <c r="B655" s="907"/>
      <c r="C655" s="874"/>
      <c r="D655" s="874"/>
      <c r="E655" s="874"/>
      <c r="F655" s="905"/>
      <c r="G655" s="874"/>
      <c r="H655" s="874"/>
      <c r="I655" s="906"/>
      <c r="J655" s="162"/>
      <c r="K655" s="161"/>
      <c r="L655" s="161"/>
      <c r="M655" s="169"/>
      <c r="N655" s="163" t="str">
        <f t="shared" si="14"/>
        <v/>
      </c>
      <c r="O655" s="41"/>
      <c r="P655" s="41"/>
      <c r="Q655" s="161" t="str">
        <f>+IF(OR(O655="Fire Control",O655="Fire Tex 5062",O655="Fire Tex 5090",O655="Fire Tex 5120"),'CALCULO PINTURA'!P656," ")</f>
        <v xml:space="preserve"> </v>
      </c>
      <c r="R655" s="164" t="str">
        <f>+IF(OR(O655="Fire Control",O655="Fire Tex 5062",O655="Fire Tex 5090",O655="Fire Tex 5120"),'CALCULO PINTURA'!R656," ")</f>
        <v xml:space="preserve"> </v>
      </c>
      <c r="S655" s="164" t="str">
        <f>+IF(OR(O655="Fire Control",O655="Fire Tex 5062",O655="Fire Tex 5090",O655="Fire Tex 5120"),'CALCULO PINTURA'!S656," ")</f>
        <v xml:space="preserve"> </v>
      </c>
      <c r="T655" s="874" t="str">
        <f>+IF(OR(O655="Blaze Shield II",O655="Cafco 400",O655="Cafco 300"),'CALCULO MORTERO'!N661," ")</f>
        <v xml:space="preserve"> </v>
      </c>
      <c r="U655" s="875" t="str">
        <f>+IF(OR(O655="Blaze Shield II",O655="Cafco 400",O655="Cafco 300"),'CALCULO MORTERO'!O661," ")</f>
        <v xml:space="preserve"> </v>
      </c>
      <c r="V655" s="161" t="str" cm="1">
        <f t="array" ref="V655">_xlfn.IFS(O655="Blaze Shield II",'CALCULO MORTERO'!P656, O655="Cafco 400",'CALCULO MORTERO'!Q656,O655="Cafco 300",'CALCULO MORTERO'!S656, AND(OR(O655="Fire tex 5090", O655="Fire Tex 5062", O655="Fire Tex 5120", O655="Fire Control"),Q655&gt;0), "CERT.",TRUE,"-")</f>
        <v>-</v>
      </c>
    </row>
    <row r="656" spans="1:22" x14ac:dyDescent="0.25">
      <c r="A656" s="903"/>
      <c r="B656" s="907"/>
      <c r="C656" s="874"/>
      <c r="D656" s="874"/>
      <c r="E656" s="874"/>
      <c r="F656" s="905"/>
      <c r="G656" s="874"/>
      <c r="H656" s="874"/>
      <c r="I656" s="906"/>
      <c r="J656" s="162"/>
      <c r="K656" s="161"/>
      <c r="L656" s="161"/>
      <c r="M656" s="169"/>
      <c r="N656" s="163" t="str">
        <f t="shared" si="14"/>
        <v/>
      </c>
      <c r="O656" s="41"/>
      <c r="P656" s="41"/>
      <c r="Q656" s="161" t="str">
        <f>+IF(OR(O656="Fire Control",O656="Fire Tex 5062",O656="Fire Tex 5090",O656="Fire Tex 5120"),'CALCULO PINTURA'!P657," ")</f>
        <v xml:space="preserve"> </v>
      </c>
      <c r="R656" s="164" t="str">
        <f>+IF(OR(O656="Fire Control",O656="Fire Tex 5062",O656="Fire Tex 5090",O656="Fire Tex 5120"),'CALCULO PINTURA'!R657," ")</f>
        <v xml:space="preserve"> </v>
      </c>
      <c r="S656" s="164" t="str">
        <f>+IF(OR(O656="Fire Control",O656="Fire Tex 5062",O656="Fire Tex 5090",O656="Fire Tex 5120"),'CALCULO PINTURA'!S657," ")</f>
        <v xml:space="preserve"> </v>
      </c>
      <c r="T656" s="874" t="str">
        <f>+IF(OR(O656="Blaze Shield II",O656="Cafco 400",O656="Cafco 300"),'CALCULO MORTERO'!N662," ")</f>
        <v xml:space="preserve"> </v>
      </c>
      <c r="U656" s="875" t="str">
        <f>+IF(OR(O656="Blaze Shield II",O656="Cafco 400",O656="Cafco 300"),'CALCULO MORTERO'!O662," ")</f>
        <v xml:space="preserve"> </v>
      </c>
      <c r="V656" s="161" t="str" cm="1">
        <f t="array" ref="V656">_xlfn.IFS(O656="Blaze Shield II",'CALCULO MORTERO'!P657, O656="Cafco 400",'CALCULO MORTERO'!Q657,O656="Cafco 300",'CALCULO MORTERO'!S657, AND(OR(O656="Fire tex 5090", O656="Fire Tex 5062", O656="Fire Tex 5120", O656="Fire Control"),Q656&gt;0), "CERT.",TRUE,"-")</f>
        <v>-</v>
      </c>
    </row>
    <row r="657" spans="1:22" x14ac:dyDescent="0.25">
      <c r="A657" s="903"/>
      <c r="B657" s="907"/>
      <c r="C657" s="874"/>
      <c r="D657" s="874"/>
      <c r="E657" s="874"/>
      <c r="F657" s="905"/>
      <c r="G657" s="874"/>
      <c r="H657" s="874"/>
      <c r="I657" s="906"/>
      <c r="J657" s="162"/>
      <c r="K657" s="161"/>
      <c r="L657" s="161"/>
      <c r="M657" s="169"/>
      <c r="N657" s="163" t="str">
        <f t="shared" si="14"/>
        <v/>
      </c>
      <c r="O657" s="41"/>
      <c r="P657" s="41"/>
      <c r="Q657" s="161" t="str">
        <f>+IF(OR(O657="Fire Control",O657="Fire Tex 5062",O657="Fire Tex 5090",O657="Fire Tex 5120"),'CALCULO PINTURA'!P658," ")</f>
        <v xml:space="preserve"> </v>
      </c>
      <c r="R657" s="164" t="str">
        <f>+IF(OR(O657="Fire Control",O657="Fire Tex 5062",O657="Fire Tex 5090",O657="Fire Tex 5120"),'CALCULO PINTURA'!R658," ")</f>
        <v xml:space="preserve"> </v>
      </c>
      <c r="S657" s="164" t="str">
        <f>+IF(OR(O657="Fire Control",O657="Fire Tex 5062",O657="Fire Tex 5090",O657="Fire Tex 5120"),'CALCULO PINTURA'!S658," ")</f>
        <v xml:space="preserve"> </v>
      </c>
      <c r="T657" s="874" t="str">
        <f>+IF(OR(O657="Blaze Shield II",O657="Cafco 400",O657="Cafco 300"),'CALCULO MORTERO'!N663," ")</f>
        <v xml:space="preserve"> </v>
      </c>
      <c r="U657" s="875" t="str">
        <f>+IF(OR(O657="Blaze Shield II",O657="Cafco 400",O657="Cafco 300"),'CALCULO MORTERO'!O663," ")</f>
        <v xml:space="preserve"> </v>
      </c>
      <c r="V657" s="161" t="str" cm="1">
        <f t="array" ref="V657">_xlfn.IFS(O657="Blaze Shield II",'CALCULO MORTERO'!P658, O657="Cafco 400",'CALCULO MORTERO'!Q658,O657="Cafco 300",'CALCULO MORTERO'!S658, AND(OR(O657="Fire tex 5090", O657="Fire Tex 5062", O657="Fire Tex 5120", O657="Fire Control"),Q657&gt;0), "CERT.",TRUE,"-")</f>
        <v>-</v>
      </c>
    </row>
    <row r="658" spans="1:22" x14ac:dyDescent="0.25">
      <c r="A658" s="903"/>
      <c r="B658" s="907"/>
      <c r="C658" s="874"/>
      <c r="D658" s="874"/>
      <c r="E658" s="874"/>
      <c r="F658" s="905"/>
      <c r="G658" s="874"/>
      <c r="H658" s="874"/>
      <c r="I658" s="906"/>
      <c r="J658" s="162"/>
      <c r="K658" s="161"/>
      <c r="L658" s="161"/>
      <c r="M658" s="169"/>
      <c r="N658" s="163" t="str">
        <f t="shared" si="14"/>
        <v/>
      </c>
      <c r="O658" s="41"/>
      <c r="P658" s="41"/>
      <c r="Q658" s="161" t="str">
        <f>+IF(OR(O658="Fire Control",O658="Fire Tex 5062",O658="Fire Tex 5090",O658="Fire Tex 5120"),'CALCULO PINTURA'!P659," ")</f>
        <v xml:space="preserve"> </v>
      </c>
      <c r="R658" s="164" t="str">
        <f>+IF(OR(O658="Fire Control",O658="Fire Tex 5062",O658="Fire Tex 5090",O658="Fire Tex 5120"),'CALCULO PINTURA'!R659," ")</f>
        <v xml:space="preserve"> </v>
      </c>
      <c r="S658" s="164" t="str">
        <f>+IF(OR(O658="Fire Control",O658="Fire Tex 5062",O658="Fire Tex 5090",O658="Fire Tex 5120"),'CALCULO PINTURA'!S659," ")</f>
        <v xml:space="preserve"> </v>
      </c>
      <c r="T658" s="874" t="str">
        <f>+IF(OR(O658="Blaze Shield II",O658="Cafco 400",O658="Cafco 300"),'CALCULO MORTERO'!N664," ")</f>
        <v xml:space="preserve"> </v>
      </c>
      <c r="U658" s="875" t="str">
        <f>+IF(OR(O658="Blaze Shield II",O658="Cafco 400",O658="Cafco 300"),'CALCULO MORTERO'!O664," ")</f>
        <v xml:space="preserve"> </v>
      </c>
      <c r="V658" s="161" t="str" cm="1">
        <f t="array" ref="V658">_xlfn.IFS(O658="Blaze Shield II",'CALCULO MORTERO'!P659, O658="Cafco 400",'CALCULO MORTERO'!Q659,O658="Cafco 300",'CALCULO MORTERO'!S659, AND(OR(O658="Fire tex 5090", O658="Fire Tex 5062", O658="Fire Tex 5120", O658="Fire Control"),Q658&gt;0), "CERT.",TRUE,"-")</f>
        <v>-</v>
      </c>
    </row>
    <row r="659" spans="1:22" x14ac:dyDescent="0.25">
      <c r="A659" s="903"/>
      <c r="B659" s="907"/>
      <c r="C659" s="874"/>
      <c r="D659" s="874"/>
      <c r="E659" s="874"/>
      <c r="F659" s="905"/>
      <c r="G659" s="874"/>
      <c r="H659" s="874"/>
      <c r="I659" s="906"/>
      <c r="J659" s="162"/>
      <c r="K659" s="161"/>
      <c r="L659" s="161"/>
      <c r="M659" s="169"/>
      <c r="N659" s="163" t="str">
        <f t="shared" si="14"/>
        <v/>
      </c>
      <c r="O659" s="41"/>
      <c r="P659" s="41"/>
      <c r="Q659" s="161" t="str">
        <f>+IF(OR(O659="Fire Control",O659="Fire Tex 5062",O659="Fire Tex 5090",O659="Fire Tex 5120"),'CALCULO PINTURA'!P660," ")</f>
        <v xml:space="preserve"> </v>
      </c>
      <c r="R659" s="164" t="str">
        <f>+IF(OR(O659="Fire Control",O659="Fire Tex 5062",O659="Fire Tex 5090",O659="Fire Tex 5120"),'CALCULO PINTURA'!R660," ")</f>
        <v xml:space="preserve"> </v>
      </c>
      <c r="S659" s="164" t="str">
        <f>+IF(OR(O659="Fire Control",O659="Fire Tex 5062",O659="Fire Tex 5090",O659="Fire Tex 5120"),'CALCULO PINTURA'!S660," ")</f>
        <v xml:space="preserve"> </v>
      </c>
      <c r="T659" s="874" t="str">
        <f>+IF(OR(O659="Blaze Shield II",O659="Cafco 400",O659="Cafco 300"),'CALCULO MORTERO'!N665," ")</f>
        <v xml:space="preserve"> </v>
      </c>
      <c r="U659" s="875" t="str">
        <f>+IF(OR(O659="Blaze Shield II",O659="Cafco 400",O659="Cafco 300"),'CALCULO MORTERO'!O665," ")</f>
        <v xml:space="preserve"> </v>
      </c>
      <c r="V659" s="161" t="str" cm="1">
        <f t="array" ref="V659">_xlfn.IFS(O659="Blaze Shield II",'CALCULO MORTERO'!P660, O659="Cafco 400",'CALCULO MORTERO'!Q660,O659="Cafco 300",'CALCULO MORTERO'!S660, AND(OR(O659="Fire tex 5090", O659="Fire Tex 5062", O659="Fire Tex 5120", O659="Fire Control"),Q659&gt;0), "CERT.",TRUE,"-")</f>
        <v>-</v>
      </c>
    </row>
    <row r="660" spans="1:22" x14ac:dyDescent="0.25">
      <c r="A660" s="903"/>
      <c r="B660" s="907"/>
      <c r="C660" s="874"/>
      <c r="D660" s="874"/>
      <c r="E660" s="874"/>
      <c r="F660" s="905"/>
      <c r="G660" s="874"/>
      <c r="H660" s="874"/>
      <c r="I660" s="906"/>
      <c r="J660" s="162"/>
      <c r="K660" s="161"/>
      <c r="L660" s="161"/>
      <c r="M660" s="169"/>
      <c r="N660" s="163" t="str">
        <f t="shared" si="14"/>
        <v/>
      </c>
      <c r="O660" s="41"/>
      <c r="P660" s="41"/>
      <c r="Q660" s="161" t="str">
        <f>+IF(OR(O660="Fire Control",O660="Fire Tex 5062",O660="Fire Tex 5090",O660="Fire Tex 5120"),'CALCULO PINTURA'!P661," ")</f>
        <v xml:space="preserve"> </v>
      </c>
      <c r="R660" s="164" t="str">
        <f>+IF(OR(O660="Fire Control",O660="Fire Tex 5062",O660="Fire Tex 5090",O660="Fire Tex 5120"),'CALCULO PINTURA'!R661," ")</f>
        <v xml:space="preserve"> </v>
      </c>
      <c r="S660" s="164" t="str">
        <f>+IF(OR(O660="Fire Control",O660="Fire Tex 5062",O660="Fire Tex 5090",O660="Fire Tex 5120"),'CALCULO PINTURA'!S661," ")</f>
        <v xml:space="preserve"> </v>
      </c>
      <c r="T660" s="874" t="str">
        <f>+IF(OR(O660="Blaze Shield II",O660="Cafco 400",O660="Cafco 300"),'CALCULO MORTERO'!N666," ")</f>
        <v xml:space="preserve"> </v>
      </c>
      <c r="U660" s="875" t="str">
        <f>+IF(OR(O660="Blaze Shield II",O660="Cafco 400",O660="Cafco 300"),'CALCULO MORTERO'!O666," ")</f>
        <v xml:space="preserve"> </v>
      </c>
      <c r="V660" s="161" t="str" cm="1">
        <f t="array" ref="V660">_xlfn.IFS(O660="Blaze Shield II",'CALCULO MORTERO'!P661, O660="Cafco 400",'CALCULO MORTERO'!Q661,O660="Cafco 300",'CALCULO MORTERO'!S661, AND(OR(O660="Fire tex 5090", O660="Fire Tex 5062", O660="Fire Tex 5120", O660="Fire Control"),Q660&gt;0), "CERT.",TRUE,"-")</f>
        <v>-</v>
      </c>
    </row>
    <row r="661" spans="1:22" x14ac:dyDescent="0.25">
      <c r="A661" s="903"/>
      <c r="B661" s="907"/>
      <c r="C661" s="874"/>
      <c r="D661" s="874"/>
      <c r="E661" s="874"/>
      <c r="F661" s="905"/>
      <c r="G661" s="874"/>
      <c r="H661" s="874"/>
      <c r="I661" s="906"/>
      <c r="J661" s="162"/>
      <c r="K661" s="161"/>
      <c r="L661" s="161"/>
      <c r="M661" s="169"/>
      <c r="N661" s="163" t="str">
        <f t="shared" si="14"/>
        <v/>
      </c>
      <c r="O661" s="41"/>
      <c r="P661" s="41"/>
      <c r="Q661" s="161" t="str">
        <f>+IF(OR(O661="Fire Control",O661="Fire Tex 5062",O661="Fire Tex 5090",O661="Fire Tex 5120"),'CALCULO PINTURA'!P662," ")</f>
        <v xml:space="preserve"> </v>
      </c>
      <c r="R661" s="164" t="str">
        <f>+IF(OR(O661="Fire Control",O661="Fire Tex 5062",O661="Fire Tex 5090",O661="Fire Tex 5120"),'CALCULO PINTURA'!R662," ")</f>
        <v xml:space="preserve"> </v>
      </c>
      <c r="S661" s="164" t="str">
        <f>+IF(OR(O661="Fire Control",O661="Fire Tex 5062",O661="Fire Tex 5090",O661="Fire Tex 5120"),'CALCULO PINTURA'!S662," ")</f>
        <v xml:space="preserve"> </v>
      </c>
      <c r="T661" s="874" t="str">
        <f>+IF(OR(O661="Blaze Shield II",O661="Cafco 400",O661="Cafco 300"),'CALCULO MORTERO'!N667," ")</f>
        <v xml:space="preserve"> </v>
      </c>
      <c r="U661" s="875" t="str">
        <f>+IF(OR(O661="Blaze Shield II",O661="Cafco 400",O661="Cafco 300"),'CALCULO MORTERO'!O667," ")</f>
        <v xml:space="preserve"> </v>
      </c>
      <c r="V661" s="161" t="str" cm="1">
        <f t="array" ref="V661">_xlfn.IFS(O661="Blaze Shield II",'CALCULO MORTERO'!P662, O661="Cafco 400",'CALCULO MORTERO'!Q662,O661="Cafco 300",'CALCULO MORTERO'!S662, AND(OR(O661="Fire tex 5090", O661="Fire Tex 5062", O661="Fire Tex 5120", O661="Fire Control"),Q661&gt;0), "CERT.",TRUE,"-")</f>
        <v>-</v>
      </c>
    </row>
    <row r="662" spans="1:22" x14ac:dyDescent="0.25">
      <c r="A662" s="903"/>
      <c r="B662" s="907"/>
      <c r="C662" s="874"/>
      <c r="D662" s="874"/>
      <c r="E662" s="874"/>
      <c r="F662" s="905"/>
      <c r="G662" s="874"/>
      <c r="H662" s="874"/>
      <c r="I662" s="906"/>
      <c r="J662" s="162"/>
      <c r="K662" s="161"/>
      <c r="L662" s="161"/>
      <c r="M662" s="169"/>
      <c r="N662" s="163" t="str">
        <f t="shared" si="14"/>
        <v/>
      </c>
      <c r="O662" s="41"/>
      <c r="P662" s="41"/>
      <c r="Q662" s="161" t="str">
        <f>+IF(OR(O662="Fire Control",O662="Fire Tex 5062",O662="Fire Tex 5090",O662="Fire Tex 5120"),'CALCULO PINTURA'!P663," ")</f>
        <v xml:space="preserve"> </v>
      </c>
      <c r="R662" s="164" t="str">
        <f>+IF(OR(O662="Fire Control",O662="Fire Tex 5062",O662="Fire Tex 5090",O662="Fire Tex 5120"),'CALCULO PINTURA'!R663," ")</f>
        <v xml:space="preserve"> </v>
      </c>
      <c r="S662" s="164" t="str">
        <f>+IF(OR(O662="Fire Control",O662="Fire Tex 5062",O662="Fire Tex 5090",O662="Fire Tex 5120"),'CALCULO PINTURA'!S663," ")</f>
        <v xml:space="preserve"> </v>
      </c>
      <c r="T662" s="874" t="str">
        <f>+IF(OR(O662="Blaze Shield II",O662="Cafco 400",O662="Cafco 300"),'CALCULO MORTERO'!N668," ")</f>
        <v xml:space="preserve"> </v>
      </c>
      <c r="U662" s="875" t="str">
        <f>+IF(OR(O662="Blaze Shield II",O662="Cafco 400",O662="Cafco 300"),'CALCULO MORTERO'!O668," ")</f>
        <v xml:space="preserve"> </v>
      </c>
      <c r="V662" s="161" t="str" cm="1">
        <f t="array" ref="V662">_xlfn.IFS(O662="Blaze Shield II",'CALCULO MORTERO'!P663, O662="Cafco 400",'CALCULO MORTERO'!Q663,O662="Cafco 300",'CALCULO MORTERO'!S663, AND(OR(O662="Fire tex 5090", O662="Fire Tex 5062", O662="Fire Tex 5120", O662="Fire Control"),Q662&gt;0), "CERT.",TRUE,"-")</f>
        <v>-</v>
      </c>
    </row>
    <row r="663" spans="1:22" x14ac:dyDescent="0.25">
      <c r="A663" s="903"/>
      <c r="B663" s="907"/>
      <c r="C663" s="874"/>
      <c r="D663" s="874"/>
      <c r="E663" s="874"/>
      <c r="F663" s="905"/>
      <c r="G663" s="874"/>
      <c r="H663" s="874"/>
      <c r="I663" s="906"/>
      <c r="J663" s="162"/>
      <c r="K663" s="161"/>
      <c r="L663" s="161"/>
      <c r="M663" s="169"/>
      <c r="N663" s="163" t="str">
        <f t="shared" si="14"/>
        <v/>
      </c>
      <c r="O663" s="41"/>
      <c r="P663" s="41"/>
      <c r="Q663" s="161" t="str">
        <f>+IF(OR(O663="Fire Control",O663="Fire Tex 5062",O663="Fire Tex 5090",O663="Fire Tex 5120"),'CALCULO PINTURA'!P664," ")</f>
        <v xml:space="preserve"> </v>
      </c>
      <c r="R663" s="164" t="str">
        <f>+IF(OR(O663="Fire Control",O663="Fire Tex 5062",O663="Fire Tex 5090",O663="Fire Tex 5120"),'CALCULO PINTURA'!R664," ")</f>
        <v xml:space="preserve"> </v>
      </c>
      <c r="S663" s="164" t="str">
        <f>+IF(OR(O663="Fire Control",O663="Fire Tex 5062",O663="Fire Tex 5090",O663="Fire Tex 5120"),'CALCULO PINTURA'!S664," ")</f>
        <v xml:space="preserve"> </v>
      </c>
      <c r="T663" s="874" t="str">
        <f>+IF(OR(O663="Blaze Shield II",O663="Cafco 400",O663="Cafco 300"),'CALCULO MORTERO'!N669," ")</f>
        <v xml:space="preserve"> </v>
      </c>
      <c r="U663" s="875" t="str">
        <f>+IF(OR(O663="Blaze Shield II",O663="Cafco 400",O663="Cafco 300"),'CALCULO MORTERO'!O669," ")</f>
        <v xml:space="preserve"> </v>
      </c>
      <c r="V663" s="161" t="str" cm="1">
        <f t="array" ref="V663">_xlfn.IFS(O663="Blaze Shield II",'CALCULO MORTERO'!P664, O663="Cafco 400",'CALCULO MORTERO'!Q664,O663="Cafco 300",'CALCULO MORTERO'!S664, AND(OR(O663="Fire tex 5090", O663="Fire Tex 5062", O663="Fire Tex 5120", O663="Fire Control"),Q663&gt;0), "CERT.",TRUE,"-")</f>
        <v>-</v>
      </c>
    </row>
    <row r="664" spans="1:22" x14ac:dyDescent="0.25">
      <c r="A664" s="903"/>
      <c r="B664" s="907"/>
      <c r="C664" s="874"/>
      <c r="D664" s="874"/>
      <c r="E664" s="874"/>
      <c r="F664" s="905"/>
      <c r="G664" s="874"/>
      <c r="H664" s="874"/>
      <c r="I664" s="906"/>
      <c r="J664" s="162"/>
      <c r="K664" s="161"/>
      <c r="L664" s="161"/>
      <c r="M664" s="169"/>
      <c r="N664" s="163" t="str">
        <f t="shared" si="14"/>
        <v/>
      </c>
      <c r="O664" s="41"/>
      <c r="P664" s="41"/>
      <c r="Q664" s="161" t="str">
        <f>+IF(OR(O664="Fire Control",O664="Fire Tex 5062",O664="Fire Tex 5090",O664="Fire Tex 5120"),'CALCULO PINTURA'!P665," ")</f>
        <v xml:space="preserve"> </v>
      </c>
      <c r="R664" s="164" t="str">
        <f>+IF(OR(O664="Fire Control",O664="Fire Tex 5062",O664="Fire Tex 5090",O664="Fire Tex 5120"),'CALCULO PINTURA'!R665," ")</f>
        <v xml:space="preserve"> </v>
      </c>
      <c r="S664" s="164" t="str">
        <f>+IF(OR(O664="Fire Control",O664="Fire Tex 5062",O664="Fire Tex 5090",O664="Fire Tex 5120"),'CALCULO PINTURA'!S665," ")</f>
        <v xml:space="preserve"> </v>
      </c>
      <c r="T664" s="874" t="str">
        <f>+IF(OR(O664="Blaze Shield II",O664="Cafco 400",O664="Cafco 300"),'CALCULO MORTERO'!N670," ")</f>
        <v xml:space="preserve"> </v>
      </c>
      <c r="U664" s="875" t="str">
        <f>+IF(OR(O664="Blaze Shield II",O664="Cafco 400",O664="Cafco 300"),'CALCULO MORTERO'!O670," ")</f>
        <v xml:space="preserve"> </v>
      </c>
      <c r="V664" s="161" t="str" cm="1">
        <f t="array" ref="V664">_xlfn.IFS(O664="Blaze Shield II",'CALCULO MORTERO'!P665, O664="Cafco 400",'CALCULO MORTERO'!Q665,O664="Cafco 300",'CALCULO MORTERO'!S665, AND(OR(O664="Fire tex 5090", O664="Fire Tex 5062", O664="Fire Tex 5120", O664="Fire Control"),Q664&gt;0), "CERT.",TRUE,"-")</f>
        <v>-</v>
      </c>
    </row>
    <row r="665" spans="1:22" x14ac:dyDescent="0.25">
      <c r="A665" s="903"/>
      <c r="B665" s="907"/>
      <c r="C665" s="874"/>
      <c r="D665" s="874"/>
      <c r="E665" s="874"/>
      <c r="F665" s="905"/>
      <c r="G665" s="874"/>
      <c r="H665" s="874"/>
      <c r="I665" s="906"/>
      <c r="J665" s="162"/>
      <c r="K665" s="161"/>
      <c r="L665" s="161"/>
      <c r="M665" s="169"/>
      <c r="N665" s="163" t="str">
        <f t="shared" si="14"/>
        <v/>
      </c>
      <c r="O665" s="41"/>
      <c r="P665" s="41"/>
      <c r="Q665" s="161" t="str">
        <f>+IF(OR(O665="Fire Control",O665="Fire Tex 5062",O665="Fire Tex 5090",O665="Fire Tex 5120"),'CALCULO PINTURA'!P666," ")</f>
        <v xml:space="preserve"> </v>
      </c>
      <c r="R665" s="164" t="str">
        <f>+IF(OR(O665="Fire Control",O665="Fire Tex 5062",O665="Fire Tex 5090",O665="Fire Tex 5120"),'CALCULO PINTURA'!R666," ")</f>
        <v xml:space="preserve"> </v>
      </c>
      <c r="S665" s="164" t="str">
        <f>+IF(OR(O665="Fire Control",O665="Fire Tex 5062",O665="Fire Tex 5090",O665="Fire Tex 5120"),'CALCULO PINTURA'!S666," ")</f>
        <v xml:space="preserve"> </v>
      </c>
      <c r="T665" s="874" t="str">
        <f>+IF(OR(O665="Blaze Shield II",O665="Cafco 400",O665="Cafco 300"),'CALCULO MORTERO'!N671," ")</f>
        <v xml:space="preserve"> </v>
      </c>
      <c r="U665" s="875" t="str">
        <f>+IF(OR(O665="Blaze Shield II",O665="Cafco 400",O665="Cafco 300"),'CALCULO MORTERO'!O671," ")</f>
        <v xml:space="preserve"> </v>
      </c>
      <c r="V665" s="161" t="str" cm="1">
        <f t="array" ref="V665">_xlfn.IFS(O665="Blaze Shield II",'CALCULO MORTERO'!P666, O665="Cafco 400",'CALCULO MORTERO'!Q666,O665="Cafco 300",'CALCULO MORTERO'!S666, AND(OR(O665="Fire tex 5090", O665="Fire Tex 5062", O665="Fire Tex 5120", O665="Fire Control"),Q665&gt;0), "CERT.",TRUE,"-")</f>
        <v>-</v>
      </c>
    </row>
    <row r="666" spans="1:22" x14ac:dyDescent="0.25">
      <c r="A666" s="903"/>
      <c r="B666" s="907"/>
      <c r="C666" s="874"/>
      <c r="D666" s="874"/>
      <c r="E666" s="874"/>
      <c r="F666" s="905"/>
      <c r="G666" s="874"/>
      <c r="H666" s="874"/>
      <c r="I666" s="906"/>
      <c r="J666" s="162"/>
      <c r="K666" s="161"/>
      <c r="L666" s="161"/>
      <c r="M666" s="169"/>
      <c r="N666" s="163" t="str">
        <f t="shared" si="14"/>
        <v/>
      </c>
      <c r="O666" s="41"/>
      <c r="P666" s="41"/>
      <c r="Q666" s="161" t="str">
        <f>+IF(OR(O666="Fire Control",O666="Fire Tex 5062",O666="Fire Tex 5090",O666="Fire Tex 5120"),'CALCULO PINTURA'!P667," ")</f>
        <v xml:space="preserve"> </v>
      </c>
      <c r="R666" s="164" t="str">
        <f>+IF(OR(O666="Fire Control",O666="Fire Tex 5062",O666="Fire Tex 5090",O666="Fire Tex 5120"),'CALCULO PINTURA'!R667," ")</f>
        <v xml:space="preserve"> </v>
      </c>
      <c r="S666" s="164" t="str">
        <f>+IF(OR(O666="Fire Control",O666="Fire Tex 5062",O666="Fire Tex 5090",O666="Fire Tex 5120"),'CALCULO PINTURA'!S667," ")</f>
        <v xml:space="preserve"> </v>
      </c>
      <c r="T666" s="874" t="str">
        <f>+IF(OR(O666="Blaze Shield II",O666="Cafco 400",O666="Cafco 300"),'CALCULO MORTERO'!N672," ")</f>
        <v xml:space="preserve"> </v>
      </c>
      <c r="U666" s="875" t="str">
        <f>+IF(OR(O666="Blaze Shield II",O666="Cafco 400",O666="Cafco 300"),'CALCULO MORTERO'!O672," ")</f>
        <v xml:space="preserve"> </v>
      </c>
      <c r="V666" s="161" t="str" cm="1">
        <f t="array" ref="V666">_xlfn.IFS(O666="Blaze Shield II",'CALCULO MORTERO'!P667, O666="Cafco 400",'CALCULO MORTERO'!Q667,O666="Cafco 300",'CALCULO MORTERO'!S667, AND(OR(O666="Fire tex 5090", O666="Fire Tex 5062", O666="Fire Tex 5120", O666="Fire Control"),Q666&gt;0), "CERT.",TRUE,"-")</f>
        <v>-</v>
      </c>
    </row>
    <row r="667" spans="1:22" x14ac:dyDescent="0.25">
      <c r="A667" s="903"/>
      <c r="B667" s="907"/>
      <c r="C667" s="874"/>
      <c r="D667" s="874"/>
      <c r="E667" s="874"/>
      <c r="F667" s="905"/>
      <c r="G667" s="874"/>
      <c r="H667" s="874"/>
      <c r="I667" s="906"/>
      <c r="J667" s="162"/>
      <c r="K667" s="161"/>
      <c r="L667" s="161"/>
      <c r="M667" s="169"/>
      <c r="N667" s="163" t="str">
        <f t="shared" si="14"/>
        <v/>
      </c>
      <c r="O667" s="41"/>
      <c r="P667" s="41"/>
      <c r="Q667" s="161" t="str">
        <f>+IF(OR(O667="Fire Control",O667="Fire Tex 5062",O667="Fire Tex 5090",O667="Fire Tex 5120"),'CALCULO PINTURA'!P668," ")</f>
        <v xml:space="preserve"> </v>
      </c>
      <c r="R667" s="164" t="str">
        <f>+IF(OR(O667="Fire Control",O667="Fire Tex 5062",O667="Fire Tex 5090",O667="Fire Tex 5120"),'CALCULO PINTURA'!R668," ")</f>
        <v xml:space="preserve"> </v>
      </c>
      <c r="S667" s="164" t="str">
        <f>+IF(OR(O667="Fire Control",O667="Fire Tex 5062",O667="Fire Tex 5090",O667="Fire Tex 5120"),'CALCULO PINTURA'!S668," ")</f>
        <v xml:space="preserve"> </v>
      </c>
      <c r="T667" s="874" t="str">
        <f>+IF(OR(O667="Blaze Shield II",O667="Cafco 400",O667="Cafco 300"),'CALCULO MORTERO'!N673," ")</f>
        <v xml:space="preserve"> </v>
      </c>
      <c r="U667" s="875" t="str">
        <f>+IF(OR(O667="Blaze Shield II",O667="Cafco 400",O667="Cafco 300"),'CALCULO MORTERO'!O673," ")</f>
        <v xml:space="preserve"> </v>
      </c>
      <c r="V667" s="161" t="str" cm="1">
        <f t="array" ref="V667">_xlfn.IFS(O667="Blaze Shield II",'CALCULO MORTERO'!P668, O667="Cafco 400",'CALCULO MORTERO'!Q668,O667="Cafco 300",'CALCULO MORTERO'!S668, AND(OR(O667="Fire tex 5090", O667="Fire Tex 5062", O667="Fire Tex 5120", O667="Fire Control"),Q667&gt;0), "CERT.",TRUE,"-")</f>
        <v>-</v>
      </c>
    </row>
    <row r="668" spans="1:22" x14ac:dyDescent="0.25">
      <c r="A668" s="903"/>
      <c r="B668" s="907"/>
      <c r="C668" s="874"/>
      <c r="D668" s="874"/>
      <c r="E668" s="874"/>
      <c r="F668" s="905"/>
      <c r="G668" s="874"/>
      <c r="H668" s="874"/>
      <c r="I668" s="906"/>
      <c r="J668" s="162"/>
      <c r="K668" s="161"/>
      <c r="L668" s="161"/>
      <c r="M668" s="169"/>
      <c r="N668" s="163" t="str">
        <f t="shared" si="14"/>
        <v/>
      </c>
      <c r="O668" s="41"/>
      <c r="P668" s="41"/>
      <c r="Q668" s="161" t="str">
        <f>+IF(OR(O668="Fire Control",O668="Fire Tex 5062",O668="Fire Tex 5090",O668="Fire Tex 5120"),'CALCULO PINTURA'!P669," ")</f>
        <v xml:space="preserve"> </v>
      </c>
      <c r="R668" s="164" t="str">
        <f>+IF(OR(O668="Fire Control",O668="Fire Tex 5062",O668="Fire Tex 5090",O668="Fire Tex 5120"),'CALCULO PINTURA'!R669," ")</f>
        <v xml:space="preserve"> </v>
      </c>
      <c r="S668" s="164" t="str">
        <f>+IF(OR(O668="Fire Control",O668="Fire Tex 5062",O668="Fire Tex 5090",O668="Fire Tex 5120"),'CALCULO PINTURA'!S669," ")</f>
        <v xml:space="preserve"> </v>
      </c>
      <c r="T668" s="874" t="str">
        <f>+IF(OR(O668="Blaze Shield II",O668="Cafco 400",O668="Cafco 300"),'CALCULO MORTERO'!N674," ")</f>
        <v xml:space="preserve"> </v>
      </c>
      <c r="U668" s="875" t="str">
        <f>+IF(OR(O668="Blaze Shield II",O668="Cafco 400",O668="Cafco 300"),'CALCULO MORTERO'!O674," ")</f>
        <v xml:space="preserve"> </v>
      </c>
      <c r="V668" s="161" t="str" cm="1">
        <f t="array" ref="V668">_xlfn.IFS(O668="Blaze Shield II",'CALCULO MORTERO'!P669, O668="Cafco 400",'CALCULO MORTERO'!Q669,O668="Cafco 300",'CALCULO MORTERO'!S669, AND(OR(O668="Fire tex 5090", O668="Fire Tex 5062", O668="Fire Tex 5120", O668="Fire Control"),Q668&gt;0), "CERT.",TRUE,"-")</f>
        <v>-</v>
      </c>
    </row>
    <row r="669" spans="1:22" x14ac:dyDescent="0.25">
      <c r="A669" s="903"/>
      <c r="B669" s="907"/>
      <c r="C669" s="874"/>
      <c r="D669" s="874"/>
      <c r="E669" s="874"/>
      <c r="F669" s="905"/>
      <c r="G669" s="874"/>
      <c r="H669" s="874"/>
      <c r="I669" s="906"/>
      <c r="J669" s="162"/>
      <c r="K669" s="161"/>
      <c r="L669" s="161"/>
      <c r="M669" s="169"/>
      <c r="N669" s="163" t="str">
        <f t="shared" si="14"/>
        <v/>
      </c>
      <c r="O669" s="41"/>
      <c r="P669" s="41"/>
      <c r="Q669" s="161" t="str">
        <f>+IF(OR(O669="Fire Control",O669="Fire Tex 5062",O669="Fire Tex 5090",O669="Fire Tex 5120"),'CALCULO PINTURA'!P670," ")</f>
        <v xml:space="preserve"> </v>
      </c>
      <c r="R669" s="164" t="str">
        <f>+IF(OR(O669="Fire Control",O669="Fire Tex 5062",O669="Fire Tex 5090",O669="Fire Tex 5120"),'CALCULO PINTURA'!R670," ")</f>
        <v xml:space="preserve"> </v>
      </c>
      <c r="S669" s="164" t="str">
        <f>+IF(OR(O669="Fire Control",O669="Fire Tex 5062",O669="Fire Tex 5090",O669="Fire Tex 5120"),'CALCULO PINTURA'!S670," ")</f>
        <v xml:space="preserve"> </v>
      </c>
      <c r="T669" s="874" t="str">
        <f>+IF(OR(O669="Blaze Shield II",O669="Cafco 400",O669="Cafco 300"),'CALCULO MORTERO'!N675," ")</f>
        <v xml:space="preserve"> </v>
      </c>
      <c r="U669" s="875" t="str">
        <f>+IF(OR(O669="Blaze Shield II",O669="Cafco 400",O669="Cafco 300"),'CALCULO MORTERO'!O675," ")</f>
        <v xml:space="preserve"> </v>
      </c>
      <c r="V669" s="161" t="str" cm="1">
        <f t="array" ref="V669">_xlfn.IFS(O669="Blaze Shield II",'CALCULO MORTERO'!P670, O669="Cafco 400",'CALCULO MORTERO'!Q670,O669="Cafco 300",'CALCULO MORTERO'!S670, AND(OR(O669="Fire tex 5090", O669="Fire Tex 5062", O669="Fire Tex 5120", O669="Fire Control"),Q669&gt;0), "CERT.",TRUE,"-")</f>
        <v>-</v>
      </c>
    </row>
    <row r="670" spans="1:22" x14ac:dyDescent="0.25">
      <c r="A670" s="903"/>
      <c r="B670" s="907"/>
      <c r="C670" s="874"/>
      <c r="D670" s="874"/>
      <c r="E670" s="874"/>
      <c r="F670" s="905"/>
      <c r="G670" s="874"/>
      <c r="H670" s="874"/>
      <c r="I670" s="906"/>
      <c r="J670" s="162"/>
      <c r="K670" s="161"/>
      <c r="L670" s="161"/>
      <c r="M670" s="169"/>
      <c r="N670" s="163" t="str">
        <f t="shared" si="14"/>
        <v/>
      </c>
      <c r="O670" s="41"/>
      <c r="P670" s="41"/>
      <c r="Q670" s="161" t="str">
        <f>+IF(OR(O670="Fire Control",O670="Fire Tex 5062",O670="Fire Tex 5090",O670="Fire Tex 5120"),'CALCULO PINTURA'!P671," ")</f>
        <v xml:space="preserve"> </v>
      </c>
      <c r="R670" s="164" t="str">
        <f>+IF(OR(O670="Fire Control",O670="Fire Tex 5062",O670="Fire Tex 5090",O670="Fire Tex 5120"),'CALCULO PINTURA'!R671," ")</f>
        <v xml:space="preserve"> </v>
      </c>
      <c r="S670" s="164" t="str">
        <f>+IF(OR(O670="Fire Control",O670="Fire Tex 5062",O670="Fire Tex 5090",O670="Fire Tex 5120"),'CALCULO PINTURA'!S671," ")</f>
        <v xml:space="preserve"> </v>
      </c>
      <c r="T670" s="874" t="str">
        <f>+IF(OR(O670="Blaze Shield II",O670="Cafco 400",O670="Cafco 300"),'CALCULO MORTERO'!N676," ")</f>
        <v xml:space="preserve"> </v>
      </c>
      <c r="U670" s="875" t="str">
        <f>+IF(OR(O670="Blaze Shield II",O670="Cafco 400",O670="Cafco 300"),'CALCULO MORTERO'!O676," ")</f>
        <v xml:space="preserve"> </v>
      </c>
      <c r="V670" s="161" t="str" cm="1">
        <f t="array" ref="V670">_xlfn.IFS(O670="Blaze Shield II",'CALCULO MORTERO'!P671, O670="Cafco 400",'CALCULO MORTERO'!Q671,O670="Cafco 300",'CALCULO MORTERO'!S671, AND(OR(O670="Fire tex 5090", O670="Fire Tex 5062", O670="Fire Tex 5120", O670="Fire Control"),Q670&gt;0), "CERT.",TRUE,"-")</f>
        <v>-</v>
      </c>
    </row>
    <row r="671" spans="1:22" x14ac:dyDescent="0.25">
      <c r="A671" s="903"/>
      <c r="B671" s="907"/>
      <c r="C671" s="874"/>
      <c r="D671" s="874"/>
      <c r="E671" s="874"/>
      <c r="F671" s="905"/>
      <c r="G671" s="874"/>
      <c r="H671" s="874"/>
      <c r="I671" s="906"/>
      <c r="J671" s="162"/>
      <c r="K671" s="161"/>
      <c r="L671" s="161"/>
      <c r="M671" s="169"/>
      <c r="N671" s="163" t="str">
        <f t="shared" si="14"/>
        <v/>
      </c>
      <c r="O671" s="41"/>
      <c r="P671" s="41"/>
      <c r="Q671" s="161" t="str">
        <f>+IF(OR(O671="Fire Control",O671="Fire Tex 5062",O671="Fire Tex 5090",O671="Fire Tex 5120"),'CALCULO PINTURA'!P672," ")</f>
        <v xml:space="preserve"> </v>
      </c>
      <c r="R671" s="164" t="str">
        <f>+IF(OR(O671="Fire Control",O671="Fire Tex 5062",O671="Fire Tex 5090",O671="Fire Tex 5120"),'CALCULO PINTURA'!R672," ")</f>
        <v xml:space="preserve"> </v>
      </c>
      <c r="S671" s="164" t="str">
        <f>+IF(OR(O671="Fire Control",O671="Fire Tex 5062",O671="Fire Tex 5090",O671="Fire Tex 5120"),'CALCULO PINTURA'!S672," ")</f>
        <v xml:space="preserve"> </v>
      </c>
      <c r="T671" s="874" t="str">
        <f>+IF(OR(O671="Blaze Shield II",O671="Cafco 400",O671="Cafco 300"),'CALCULO MORTERO'!N677," ")</f>
        <v xml:space="preserve"> </v>
      </c>
      <c r="U671" s="875" t="str">
        <f>+IF(OR(O671="Blaze Shield II",O671="Cafco 400",O671="Cafco 300"),'CALCULO MORTERO'!O677," ")</f>
        <v xml:space="preserve"> </v>
      </c>
      <c r="V671" s="161" t="str" cm="1">
        <f t="array" ref="V671">_xlfn.IFS(O671="Blaze Shield II",'CALCULO MORTERO'!P672, O671="Cafco 400",'CALCULO MORTERO'!Q672,O671="Cafco 300",'CALCULO MORTERO'!S672, AND(OR(O671="Fire tex 5090", O671="Fire Tex 5062", O671="Fire Tex 5120", O671="Fire Control"),Q671&gt;0), "CERT.",TRUE,"-")</f>
        <v>-</v>
      </c>
    </row>
    <row r="672" spans="1:22" x14ac:dyDescent="0.25">
      <c r="A672" s="903"/>
      <c r="B672" s="907"/>
      <c r="C672" s="874"/>
      <c r="D672" s="874"/>
      <c r="E672" s="874"/>
      <c r="F672" s="905"/>
      <c r="G672" s="874"/>
      <c r="H672" s="874"/>
      <c r="I672" s="906"/>
      <c r="J672" s="162"/>
      <c r="K672" s="161"/>
      <c r="L672" s="161"/>
      <c r="M672" s="169"/>
      <c r="N672" s="163" t="str">
        <f t="shared" si="14"/>
        <v/>
      </c>
      <c r="O672" s="41"/>
      <c r="P672" s="41"/>
      <c r="Q672" s="161" t="str">
        <f>+IF(OR(O672="Fire Control",O672="Fire Tex 5062",O672="Fire Tex 5090",O672="Fire Tex 5120"),'CALCULO PINTURA'!P673," ")</f>
        <v xml:space="preserve"> </v>
      </c>
      <c r="R672" s="164" t="str">
        <f>+IF(OR(O672="Fire Control",O672="Fire Tex 5062",O672="Fire Tex 5090",O672="Fire Tex 5120"),'CALCULO PINTURA'!R673," ")</f>
        <v xml:space="preserve"> </v>
      </c>
      <c r="S672" s="164" t="str">
        <f>+IF(OR(O672="Fire Control",O672="Fire Tex 5062",O672="Fire Tex 5090",O672="Fire Tex 5120"),'CALCULO PINTURA'!S673," ")</f>
        <v xml:space="preserve"> </v>
      </c>
      <c r="T672" s="874" t="str">
        <f>+IF(OR(O672="Blaze Shield II",O672="Cafco 400",O672="Cafco 300"),'CALCULO MORTERO'!N678," ")</f>
        <v xml:space="preserve"> </v>
      </c>
      <c r="U672" s="875" t="str">
        <f>+IF(OR(O672="Blaze Shield II",O672="Cafco 400",O672="Cafco 300"),'CALCULO MORTERO'!O678," ")</f>
        <v xml:space="preserve"> </v>
      </c>
      <c r="V672" s="161" t="str" cm="1">
        <f t="array" ref="V672">_xlfn.IFS(O672="Blaze Shield II",'CALCULO MORTERO'!P673, O672="Cafco 400",'CALCULO MORTERO'!Q673,O672="Cafco 300",'CALCULO MORTERO'!S673, AND(OR(O672="Fire tex 5090", O672="Fire Tex 5062", O672="Fire Tex 5120", O672="Fire Control"),Q672&gt;0), "CERT.",TRUE,"-")</f>
        <v>-</v>
      </c>
    </row>
    <row r="673" spans="1:22" x14ac:dyDescent="0.25">
      <c r="A673" s="903"/>
      <c r="B673" s="907"/>
      <c r="C673" s="874"/>
      <c r="D673" s="874"/>
      <c r="E673" s="874"/>
      <c r="F673" s="905"/>
      <c r="G673" s="874"/>
      <c r="H673" s="874"/>
      <c r="I673" s="906"/>
      <c r="J673" s="162"/>
      <c r="K673" s="161"/>
      <c r="L673" s="161"/>
      <c r="M673" s="169"/>
      <c r="N673" s="163" t="str">
        <f t="shared" si="14"/>
        <v/>
      </c>
      <c r="O673" s="41"/>
      <c r="P673" s="41"/>
      <c r="Q673" s="161" t="str">
        <f>+IF(OR(O673="Fire Control",O673="Fire Tex 5062",O673="Fire Tex 5090",O673="Fire Tex 5120"),'CALCULO PINTURA'!P674," ")</f>
        <v xml:space="preserve"> </v>
      </c>
      <c r="R673" s="164" t="str">
        <f>+IF(OR(O673="Fire Control",O673="Fire Tex 5062",O673="Fire Tex 5090",O673="Fire Tex 5120"),'CALCULO PINTURA'!R674," ")</f>
        <v xml:space="preserve"> </v>
      </c>
      <c r="S673" s="164" t="str">
        <f>+IF(OR(O673="Fire Control",O673="Fire Tex 5062",O673="Fire Tex 5090",O673="Fire Tex 5120"),'CALCULO PINTURA'!S674," ")</f>
        <v xml:space="preserve"> </v>
      </c>
      <c r="T673" s="874" t="str">
        <f>+IF(OR(O673="Blaze Shield II",O673="Cafco 400",O673="Cafco 300"),'CALCULO MORTERO'!N679," ")</f>
        <v xml:space="preserve"> </v>
      </c>
      <c r="U673" s="875" t="str">
        <f>+IF(OR(O673="Blaze Shield II",O673="Cafco 400",O673="Cafco 300"),'CALCULO MORTERO'!O679," ")</f>
        <v xml:space="preserve"> </v>
      </c>
      <c r="V673" s="161" t="str" cm="1">
        <f t="array" ref="V673">_xlfn.IFS(O673="Blaze Shield II",'CALCULO MORTERO'!P674, O673="Cafco 400",'CALCULO MORTERO'!Q674,O673="Cafco 300",'CALCULO MORTERO'!S674, AND(OR(O673="Fire tex 5090", O673="Fire Tex 5062", O673="Fire Tex 5120", O673="Fire Control"),Q673&gt;0), "CERT.",TRUE,"-")</f>
        <v>-</v>
      </c>
    </row>
    <row r="674" spans="1:22" x14ac:dyDescent="0.25">
      <c r="A674" s="903"/>
      <c r="B674" s="907"/>
      <c r="C674" s="874"/>
      <c r="D674" s="874"/>
      <c r="E674" s="874"/>
      <c r="F674" s="905"/>
      <c r="G674" s="874"/>
      <c r="H674" s="874"/>
      <c r="I674" s="906"/>
      <c r="J674" s="162"/>
      <c r="K674" s="161"/>
      <c r="L674" s="161"/>
      <c r="M674" s="169"/>
      <c r="N674" s="163" t="str">
        <f t="shared" si="14"/>
        <v/>
      </c>
      <c r="O674" s="41"/>
      <c r="P674" s="41"/>
      <c r="Q674" s="161" t="str">
        <f>+IF(OR(O674="Fire Control",O674="Fire Tex 5062",O674="Fire Tex 5090",O674="Fire Tex 5120"),'CALCULO PINTURA'!P675," ")</f>
        <v xml:space="preserve"> </v>
      </c>
      <c r="R674" s="164" t="str">
        <f>+IF(OR(O674="Fire Control",O674="Fire Tex 5062",O674="Fire Tex 5090",O674="Fire Tex 5120"),'CALCULO PINTURA'!R675," ")</f>
        <v xml:space="preserve"> </v>
      </c>
      <c r="S674" s="164" t="str">
        <f>+IF(OR(O674="Fire Control",O674="Fire Tex 5062",O674="Fire Tex 5090",O674="Fire Tex 5120"),'CALCULO PINTURA'!S675," ")</f>
        <v xml:space="preserve"> </v>
      </c>
      <c r="T674" s="874" t="str">
        <f>+IF(OR(O674="Blaze Shield II",O674="Cafco 400",O674="Cafco 300"),'CALCULO MORTERO'!N680," ")</f>
        <v xml:space="preserve"> </v>
      </c>
      <c r="U674" s="875" t="str">
        <f>+IF(OR(O674="Blaze Shield II",O674="Cafco 400",O674="Cafco 300"),'CALCULO MORTERO'!O680," ")</f>
        <v xml:space="preserve"> </v>
      </c>
      <c r="V674" s="161" t="str" cm="1">
        <f t="array" ref="V674">_xlfn.IFS(O674="Blaze Shield II",'CALCULO MORTERO'!P675, O674="Cafco 400",'CALCULO MORTERO'!Q675,O674="Cafco 300",'CALCULO MORTERO'!S675, AND(OR(O674="Fire tex 5090", O674="Fire Tex 5062", O674="Fire Tex 5120", O674="Fire Control"),Q674&gt;0), "CERT.",TRUE,"-")</f>
        <v>-</v>
      </c>
    </row>
    <row r="675" spans="1:22" x14ac:dyDescent="0.25">
      <c r="A675" s="903"/>
      <c r="B675" s="907"/>
      <c r="C675" s="874"/>
      <c r="D675" s="874"/>
      <c r="E675" s="874"/>
      <c r="F675" s="905"/>
      <c r="G675" s="874"/>
      <c r="H675" s="874"/>
      <c r="I675" s="906"/>
      <c r="J675" s="162"/>
      <c r="K675" s="161"/>
      <c r="L675" s="161"/>
      <c r="M675" s="169"/>
      <c r="N675" s="163" t="str">
        <f t="shared" si="14"/>
        <v/>
      </c>
      <c r="O675" s="41"/>
      <c r="P675" s="41"/>
      <c r="Q675" s="161" t="str">
        <f>+IF(OR(O675="Fire Control",O675="Fire Tex 5062",O675="Fire Tex 5090",O675="Fire Tex 5120"),'CALCULO PINTURA'!P676," ")</f>
        <v xml:space="preserve"> </v>
      </c>
      <c r="R675" s="164" t="str">
        <f>+IF(OR(O675="Fire Control",O675="Fire Tex 5062",O675="Fire Tex 5090",O675="Fire Tex 5120"),'CALCULO PINTURA'!R676," ")</f>
        <v xml:space="preserve"> </v>
      </c>
      <c r="S675" s="164" t="str">
        <f>+IF(OR(O675="Fire Control",O675="Fire Tex 5062",O675="Fire Tex 5090",O675="Fire Tex 5120"),'CALCULO PINTURA'!S676," ")</f>
        <v xml:space="preserve"> </v>
      </c>
      <c r="T675" s="874" t="str">
        <f>+IF(OR(O675="Blaze Shield II",O675="Cafco 400",O675="Cafco 300"),'CALCULO MORTERO'!N681," ")</f>
        <v xml:space="preserve"> </v>
      </c>
      <c r="U675" s="875" t="str">
        <f>+IF(OR(O675="Blaze Shield II",O675="Cafco 400",O675="Cafco 300"),'CALCULO MORTERO'!O681," ")</f>
        <v xml:space="preserve"> </v>
      </c>
      <c r="V675" s="161" t="str" cm="1">
        <f t="array" ref="V675">_xlfn.IFS(O675="Blaze Shield II",'CALCULO MORTERO'!P676, O675="Cafco 400",'CALCULO MORTERO'!Q676,O675="Cafco 300",'CALCULO MORTERO'!S676, AND(OR(O675="Fire tex 5090", O675="Fire Tex 5062", O675="Fire Tex 5120", O675="Fire Control"),Q675&gt;0), "CERT.",TRUE,"-")</f>
        <v>-</v>
      </c>
    </row>
    <row r="676" spans="1:22" x14ac:dyDescent="0.25">
      <c r="A676" s="903"/>
      <c r="B676" s="907"/>
      <c r="C676" s="874"/>
      <c r="D676" s="874"/>
      <c r="E676" s="874"/>
      <c r="F676" s="905"/>
      <c r="G676" s="874"/>
      <c r="H676" s="874"/>
      <c r="I676" s="906"/>
      <c r="J676" s="162"/>
      <c r="K676" s="161"/>
      <c r="L676" s="161"/>
      <c r="M676" s="169"/>
      <c r="N676" s="163" t="str">
        <f t="shared" si="14"/>
        <v/>
      </c>
      <c r="O676" s="41"/>
      <c r="P676" s="41"/>
      <c r="Q676" s="161" t="str">
        <f>+IF(OR(O676="Fire Control",O676="Fire Tex 5062",O676="Fire Tex 5090",O676="Fire Tex 5120"),'CALCULO PINTURA'!P677," ")</f>
        <v xml:space="preserve"> </v>
      </c>
      <c r="R676" s="164" t="str">
        <f>+IF(OR(O676="Fire Control",O676="Fire Tex 5062",O676="Fire Tex 5090",O676="Fire Tex 5120"),'CALCULO PINTURA'!R677," ")</f>
        <v xml:space="preserve"> </v>
      </c>
      <c r="S676" s="164" t="str">
        <f>+IF(OR(O676="Fire Control",O676="Fire Tex 5062",O676="Fire Tex 5090",O676="Fire Tex 5120"),'CALCULO PINTURA'!S677," ")</f>
        <v xml:space="preserve"> </v>
      </c>
      <c r="T676" s="874" t="str">
        <f>+IF(OR(O676="Blaze Shield II",O676="Cafco 400",O676="Cafco 300"),'CALCULO MORTERO'!N682," ")</f>
        <v xml:space="preserve"> </v>
      </c>
      <c r="U676" s="875" t="str">
        <f>+IF(OR(O676="Blaze Shield II",O676="Cafco 400",O676="Cafco 300"),'CALCULO MORTERO'!O682," ")</f>
        <v xml:space="preserve"> </v>
      </c>
      <c r="V676" s="161" t="str" cm="1">
        <f t="array" ref="V676">_xlfn.IFS(O676="Blaze Shield II",'CALCULO MORTERO'!P677, O676="Cafco 400",'CALCULO MORTERO'!Q677,O676="Cafco 300",'CALCULO MORTERO'!S677, AND(OR(O676="Fire tex 5090", O676="Fire Tex 5062", O676="Fire Tex 5120", O676="Fire Control"),Q676&gt;0), "CERT.",TRUE,"-")</f>
        <v>-</v>
      </c>
    </row>
    <row r="677" spans="1:22" x14ac:dyDescent="0.25">
      <c r="A677" s="903"/>
      <c r="B677" s="907"/>
      <c r="C677" s="874"/>
      <c r="D677" s="874"/>
      <c r="E677" s="874"/>
      <c r="F677" s="905"/>
      <c r="G677" s="874"/>
      <c r="H677" s="874"/>
      <c r="I677" s="906"/>
      <c r="J677" s="162"/>
      <c r="K677" s="161"/>
      <c r="L677" s="161"/>
      <c r="M677" s="169"/>
      <c r="N677" s="163" t="str">
        <f t="shared" si="14"/>
        <v/>
      </c>
      <c r="O677" s="41"/>
      <c r="P677" s="41"/>
      <c r="Q677" s="161" t="str">
        <f>+IF(OR(O677="Fire Control",O677="Fire Tex 5062",O677="Fire Tex 5090",O677="Fire Tex 5120"),'CALCULO PINTURA'!P678," ")</f>
        <v xml:space="preserve"> </v>
      </c>
      <c r="R677" s="164" t="str">
        <f>+IF(OR(O677="Fire Control",O677="Fire Tex 5062",O677="Fire Tex 5090",O677="Fire Tex 5120"),'CALCULO PINTURA'!R678," ")</f>
        <v xml:space="preserve"> </v>
      </c>
      <c r="S677" s="164" t="str">
        <f>+IF(OR(O677="Fire Control",O677="Fire Tex 5062",O677="Fire Tex 5090",O677="Fire Tex 5120"),'CALCULO PINTURA'!S678," ")</f>
        <v xml:space="preserve"> </v>
      </c>
      <c r="T677" s="874" t="str">
        <f>+IF(OR(O677="Blaze Shield II",O677="Cafco 400",O677="Cafco 300"),'CALCULO MORTERO'!N683," ")</f>
        <v xml:space="preserve"> </v>
      </c>
      <c r="U677" s="875" t="str">
        <f>+IF(OR(O677="Blaze Shield II",O677="Cafco 400",O677="Cafco 300"),'CALCULO MORTERO'!O683," ")</f>
        <v xml:space="preserve"> </v>
      </c>
      <c r="V677" s="161" t="str" cm="1">
        <f t="array" ref="V677">_xlfn.IFS(O677="Blaze Shield II",'CALCULO MORTERO'!P678, O677="Cafco 400",'CALCULO MORTERO'!Q678,O677="Cafco 300",'CALCULO MORTERO'!S678, AND(OR(O677="Fire tex 5090", O677="Fire Tex 5062", O677="Fire Tex 5120", O677="Fire Control"),Q677&gt;0), "CERT.",TRUE,"-")</f>
        <v>-</v>
      </c>
    </row>
    <row r="678" spans="1:22" x14ac:dyDescent="0.25">
      <c r="A678" s="903"/>
      <c r="B678" s="907"/>
      <c r="C678" s="874"/>
      <c r="D678" s="874"/>
      <c r="E678" s="874"/>
      <c r="F678" s="905"/>
      <c r="G678" s="874"/>
      <c r="H678" s="874"/>
      <c r="I678" s="906"/>
      <c r="J678" s="162"/>
      <c r="K678" s="161"/>
      <c r="L678" s="161"/>
      <c r="M678" s="169"/>
      <c r="N678" s="163" t="str">
        <f t="shared" si="14"/>
        <v/>
      </c>
      <c r="O678" s="41"/>
      <c r="P678" s="41"/>
      <c r="Q678" s="161" t="str">
        <f>+IF(OR(O678="Fire Control",O678="Fire Tex 5062",O678="Fire Tex 5090",O678="Fire Tex 5120"),'CALCULO PINTURA'!P679," ")</f>
        <v xml:space="preserve"> </v>
      </c>
      <c r="R678" s="164" t="str">
        <f>+IF(OR(O678="Fire Control",O678="Fire Tex 5062",O678="Fire Tex 5090",O678="Fire Tex 5120"),'CALCULO PINTURA'!R679," ")</f>
        <v xml:space="preserve"> </v>
      </c>
      <c r="S678" s="164" t="str">
        <f>+IF(OR(O678="Fire Control",O678="Fire Tex 5062",O678="Fire Tex 5090",O678="Fire Tex 5120"),'CALCULO PINTURA'!S679," ")</f>
        <v xml:space="preserve"> </v>
      </c>
      <c r="T678" s="874" t="str">
        <f>+IF(OR(O678="Blaze Shield II",O678="Cafco 400",O678="Cafco 300"),'CALCULO MORTERO'!N684," ")</f>
        <v xml:space="preserve"> </v>
      </c>
      <c r="U678" s="875" t="str">
        <f>+IF(OR(O678="Blaze Shield II",O678="Cafco 400",O678="Cafco 300"),'CALCULO MORTERO'!O684," ")</f>
        <v xml:space="preserve"> </v>
      </c>
      <c r="V678" s="161" t="str" cm="1">
        <f t="array" ref="V678">_xlfn.IFS(O678="Blaze Shield II",'CALCULO MORTERO'!P679, O678="Cafco 400",'CALCULO MORTERO'!Q679,O678="Cafco 300",'CALCULO MORTERO'!S679, AND(OR(O678="Fire tex 5090", O678="Fire Tex 5062", O678="Fire Tex 5120", O678="Fire Control"),Q678&gt;0), "CERT.",TRUE,"-")</f>
        <v>-</v>
      </c>
    </row>
    <row r="679" spans="1:22" x14ac:dyDescent="0.25">
      <c r="A679" s="903"/>
      <c r="B679" s="907"/>
      <c r="C679" s="874"/>
      <c r="D679" s="874"/>
      <c r="E679" s="874"/>
      <c r="F679" s="905"/>
      <c r="G679" s="874"/>
      <c r="H679" s="874"/>
      <c r="I679" s="906"/>
      <c r="J679" s="162"/>
      <c r="K679" s="161"/>
      <c r="L679" s="161"/>
      <c r="M679" s="169"/>
      <c r="N679" s="163" t="str">
        <f t="shared" si="14"/>
        <v/>
      </c>
      <c r="O679" s="41"/>
      <c r="P679" s="41"/>
      <c r="Q679" s="161" t="str">
        <f>+IF(OR(O679="Fire Control",O679="Fire Tex 5062",O679="Fire Tex 5090",O679="Fire Tex 5120"),'CALCULO PINTURA'!P680," ")</f>
        <v xml:space="preserve"> </v>
      </c>
      <c r="R679" s="164" t="str">
        <f>+IF(OR(O679="Fire Control",O679="Fire Tex 5062",O679="Fire Tex 5090",O679="Fire Tex 5120"),'CALCULO PINTURA'!R680," ")</f>
        <v xml:space="preserve"> </v>
      </c>
      <c r="S679" s="164" t="str">
        <f>+IF(OR(O679="Fire Control",O679="Fire Tex 5062",O679="Fire Tex 5090",O679="Fire Tex 5120"),'CALCULO PINTURA'!S680," ")</f>
        <v xml:space="preserve"> </v>
      </c>
      <c r="T679" s="874" t="str">
        <f>+IF(OR(O679="Blaze Shield II",O679="Cafco 400",O679="Cafco 300"),'CALCULO MORTERO'!N685," ")</f>
        <v xml:space="preserve"> </v>
      </c>
      <c r="U679" s="875" t="str">
        <f>+IF(OR(O679="Blaze Shield II",O679="Cafco 400",O679="Cafco 300"),'CALCULO MORTERO'!O685," ")</f>
        <v xml:space="preserve"> </v>
      </c>
      <c r="V679" s="161" t="str" cm="1">
        <f t="array" ref="V679">_xlfn.IFS(O679="Blaze Shield II",'CALCULO MORTERO'!P680, O679="Cafco 400",'CALCULO MORTERO'!Q680,O679="Cafco 300",'CALCULO MORTERO'!S680, AND(OR(O679="Fire tex 5090", O679="Fire Tex 5062", O679="Fire Tex 5120", O679="Fire Control"),Q679&gt;0), "CERT.",TRUE,"-")</f>
        <v>-</v>
      </c>
    </row>
    <row r="680" spans="1:22" x14ac:dyDescent="0.25">
      <c r="A680" s="903"/>
      <c r="B680" s="907"/>
      <c r="C680" s="874"/>
      <c r="D680" s="874"/>
      <c r="E680" s="874"/>
      <c r="F680" s="905"/>
      <c r="G680" s="874"/>
      <c r="H680" s="874"/>
      <c r="I680" s="906"/>
      <c r="J680" s="162"/>
      <c r="K680" s="161"/>
      <c r="L680" s="161"/>
      <c r="M680" s="169"/>
      <c r="N680" s="163" t="str">
        <f t="shared" si="14"/>
        <v/>
      </c>
      <c r="O680" s="41"/>
      <c r="P680" s="41"/>
      <c r="Q680" s="161" t="str">
        <f>+IF(OR(O680="Fire Control",O680="Fire Tex 5062",O680="Fire Tex 5090",O680="Fire Tex 5120"),'CALCULO PINTURA'!P681," ")</f>
        <v xml:space="preserve"> </v>
      </c>
      <c r="R680" s="164" t="str">
        <f>+IF(OR(O680="Fire Control",O680="Fire Tex 5062",O680="Fire Tex 5090",O680="Fire Tex 5120"),'CALCULO PINTURA'!R681," ")</f>
        <v xml:space="preserve"> </v>
      </c>
      <c r="S680" s="164" t="str">
        <f>+IF(OR(O680="Fire Control",O680="Fire Tex 5062",O680="Fire Tex 5090",O680="Fire Tex 5120"),'CALCULO PINTURA'!S681," ")</f>
        <v xml:space="preserve"> </v>
      </c>
      <c r="T680" s="874" t="str">
        <f>+IF(OR(O680="Blaze Shield II",O680="Cafco 400",O680="Cafco 300"),'CALCULO MORTERO'!N686," ")</f>
        <v xml:space="preserve"> </v>
      </c>
      <c r="U680" s="875" t="str">
        <f>+IF(OR(O680="Blaze Shield II",O680="Cafco 400",O680="Cafco 300"),'CALCULO MORTERO'!O686," ")</f>
        <v xml:space="preserve"> </v>
      </c>
      <c r="V680" s="161" t="str" cm="1">
        <f t="array" ref="V680">_xlfn.IFS(O680="Blaze Shield II",'CALCULO MORTERO'!P681, O680="Cafco 400",'CALCULO MORTERO'!Q681,O680="Cafco 300",'CALCULO MORTERO'!S681, AND(OR(O680="Fire tex 5090", O680="Fire Tex 5062", O680="Fire Tex 5120", O680="Fire Control"),Q680&gt;0), "CERT.",TRUE,"-")</f>
        <v>-</v>
      </c>
    </row>
    <row r="681" spans="1:22" x14ac:dyDescent="0.25">
      <c r="A681" s="903"/>
      <c r="B681" s="907"/>
      <c r="C681" s="874"/>
      <c r="D681" s="874"/>
      <c r="E681" s="874"/>
      <c r="F681" s="905"/>
      <c r="G681" s="874"/>
      <c r="H681" s="874"/>
      <c r="I681" s="906"/>
      <c r="J681" s="162"/>
      <c r="K681" s="161"/>
      <c r="L681" s="161"/>
      <c r="M681" s="169"/>
      <c r="N681" s="163" t="str">
        <f t="shared" si="14"/>
        <v/>
      </c>
      <c r="O681" s="41"/>
      <c r="P681" s="41"/>
      <c r="Q681" s="161" t="str">
        <f>+IF(OR(O681="Fire Control",O681="Fire Tex 5062",O681="Fire Tex 5090",O681="Fire Tex 5120"),'CALCULO PINTURA'!P682," ")</f>
        <v xml:space="preserve"> </v>
      </c>
      <c r="R681" s="164" t="str">
        <f>+IF(OR(O681="Fire Control",O681="Fire Tex 5062",O681="Fire Tex 5090",O681="Fire Tex 5120"),'CALCULO PINTURA'!R682," ")</f>
        <v xml:space="preserve"> </v>
      </c>
      <c r="S681" s="164" t="str">
        <f>+IF(OR(O681="Fire Control",O681="Fire Tex 5062",O681="Fire Tex 5090",O681="Fire Tex 5120"),'CALCULO PINTURA'!S682," ")</f>
        <v xml:space="preserve"> </v>
      </c>
      <c r="T681" s="874" t="str">
        <f>+IF(OR(O681="Blaze Shield II",O681="Cafco 400",O681="Cafco 300"),'CALCULO MORTERO'!N687," ")</f>
        <v xml:space="preserve"> </v>
      </c>
      <c r="U681" s="875" t="str">
        <f>+IF(OR(O681="Blaze Shield II",O681="Cafco 400",O681="Cafco 300"),'CALCULO MORTERO'!O687," ")</f>
        <v xml:space="preserve"> </v>
      </c>
      <c r="V681" s="161" t="str" cm="1">
        <f t="array" ref="V681">_xlfn.IFS(O681="Blaze Shield II",'CALCULO MORTERO'!P682, O681="Cafco 400",'CALCULO MORTERO'!Q682,O681="Cafco 300",'CALCULO MORTERO'!S682, AND(OR(O681="Fire tex 5090", O681="Fire Tex 5062", O681="Fire Tex 5120", O681="Fire Control"),Q681&gt;0), "CERT.",TRUE,"-")</f>
        <v>-</v>
      </c>
    </row>
    <row r="682" spans="1:22" x14ac:dyDescent="0.25">
      <c r="A682" s="903"/>
      <c r="B682" s="907"/>
      <c r="C682" s="874"/>
      <c r="D682" s="874"/>
      <c r="E682" s="874"/>
      <c r="F682" s="905"/>
      <c r="G682" s="874"/>
      <c r="H682" s="874"/>
      <c r="I682" s="906"/>
      <c r="J682" s="162"/>
      <c r="K682" s="161"/>
      <c r="L682" s="161"/>
      <c r="M682" s="169"/>
      <c r="N682" s="163" t="str">
        <f t="shared" si="14"/>
        <v/>
      </c>
      <c r="O682" s="41"/>
      <c r="P682" s="41"/>
      <c r="Q682" s="161" t="str">
        <f>+IF(OR(O682="Fire Control",O682="Fire Tex 5062",O682="Fire Tex 5090",O682="Fire Tex 5120"),'CALCULO PINTURA'!P683," ")</f>
        <v xml:space="preserve"> </v>
      </c>
      <c r="R682" s="164" t="str">
        <f>+IF(OR(O682="Fire Control",O682="Fire Tex 5062",O682="Fire Tex 5090",O682="Fire Tex 5120"),'CALCULO PINTURA'!R683," ")</f>
        <v xml:space="preserve"> </v>
      </c>
      <c r="S682" s="164" t="str">
        <f>+IF(OR(O682="Fire Control",O682="Fire Tex 5062",O682="Fire Tex 5090",O682="Fire Tex 5120"),'CALCULO PINTURA'!S683," ")</f>
        <v xml:space="preserve"> </v>
      </c>
      <c r="T682" s="874" t="str">
        <f>+IF(OR(O682="Blaze Shield II",O682="Cafco 400",O682="Cafco 300"),'CALCULO MORTERO'!N688," ")</f>
        <v xml:space="preserve"> </v>
      </c>
      <c r="U682" s="875" t="str">
        <f>+IF(OR(O682="Blaze Shield II",O682="Cafco 400",O682="Cafco 300"),'CALCULO MORTERO'!O688," ")</f>
        <v xml:space="preserve"> </v>
      </c>
      <c r="V682" s="161" t="str" cm="1">
        <f t="array" ref="V682">_xlfn.IFS(O682="Blaze Shield II",'CALCULO MORTERO'!P683, O682="Cafco 400",'CALCULO MORTERO'!Q683,O682="Cafco 300",'CALCULO MORTERO'!S683, AND(OR(O682="Fire tex 5090", O682="Fire Tex 5062", O682="Fire Tex 5120", O682="Fire Control"),Q682&gt;0), "CERT.",TRUE,"-")</f>
        <v>-</v>
      </c>
    </row>
    <row r="683" spans="1:22" x14ac:dyDescent="0.25">
      <c r="A683" s="903"/>
      <c r="B683" s="907"/>
      <c r="C683" s="874"/>
      <c r="D683" s="874"/>
      <c r="E683" s="874"/>
      <c r="F683" s="905"/>
      <c r="G683" s="874"/>
      <c r="H683" s="874"/>
      <c r="I683" s="906"/>
      <c r="J683" s="162"/>
      <c r="K683" s="161"/>
      <c r="L683" s="161"/>
      <c r="M683" s="169"/>
      <c r="N683" s="163" t="str">
        <f t="shared" si="14"/>
        <v/>
      </c>
      <c r="O683" s="41"/>
      <c r="P683" s="41"/>
      <c r="Q683" s="161" t="str">
        <f>+IF(OR(O683="Fire Control",O683="Fire Tex 5062",O683="Fire Tex 5090",O683="Fire Tex 5120"),'CALCULO PINTURA'!P684," ")</f>
        <v xml:space="preserve"> </v>
      </c>
      <c r="R683" s="164" t="str">
        <f>+IF(OR(O683="Fire Control",O683="Fire Tex 5062",O683="Fire Tex 5090",O683="Fire Tex 5120"),'CALCULO PINTURA'!R684," ")</f>
        <v xml:space="preserve"> </v>
      </c>
      <c r="S683" s="164" t="str">
        <f>+IF(OR(O683="Fire Control",O683="Fire Tex 5062",O683="Fire Tex 5090",O683="Fire Tex 5120"),'CALCULO PINTURA'!S684," ")</f>
        <v xml:space="preserve"> </v>
      </c>
      <c r="T683" s="874" t="str">
        <f>+IF(OR(O683="Blaze Shield II",O683="Cafco 400",O683="Cafco 300"),'CALCULO MORTERO'!N689," ")</f>
        <v xml:space="preserve"> </v>
      </c>
      <c r="U683" s="875" t="str">
        <f>+IF(OR(O683="Blaze Shield II",O683="Cafco 400",O683="Cafco 300"),'CALCULO MORTERO'!O689," ")</f>
        <v xml:space="preserve"> </v>
      </c>
      <c r="V683" s="161" t="str" cm="1">
        <f t="array" ref="V683">_xlfn.IFS(O683="Blaze Shield II",'CALCULO MORTERO'!P684, O683="Cafco 400",'CALCULO MORTERO'!Q684,O683="Cafco 300",'CALCULO MORTERO'!S684, AND(OR(O683="Fire tex 5090", O683="Fire Tex 5062", O683="Fire Tex 5120", O683="Fire Control"),Q683&gt;0), "CERT.",TRUE,"-")</f>
        <v>-</v>
      </c>
    </row>
    <row r="684" spans="1:22" x14ac:dyDescent="0.25">
      <c r="A684" s="903"/>
      <c r="B684" s="907"/>
      <c r="C684" s="874"/>
      <c r="D684" s="874"/>
      <c r="E684" s="874"/>
      <c r="F684" s="905"/>
      <c r="G684" s="874"/>
      <c r="H684" s="874"/>
      <c r="I684" s="906"/>
      <c r="J684" s="162"/>
      <c r="K684" s="161"/>
      <c r="L684" s="161"/>
      <c r="M684" s="169"/>
      <c r="N684" s="163" t="str">
        <f t="shared" si="14"/>
        <v/>
      </c>
      <c r="O684" s="41"/>
      <c r="P684" s="41"/>
      <c r="Q684" s="161" t="str">
        <f>+IF(OR(O684="Fire Control",O684="Fire Tex 5062",O684="Fire Tex 5090",O684="Fire Tex 5120"),'CALCULO PINTURA'!P685," ")</f>
        <v xml:space="preserve"> </v>
      </c>
      <c r="R684" s="164" t="str">
        <f>+IF(OR(O684="Fire Control",O684="Fire Tex 5062",O684="Fire Tex 5090",O684="Fire Tex 5120"),'CALCULO PINTURA'!R685," ")</f>
        <v xml:space="preserve"> </v>
      </c>
      <c r="S684" s="164" t="str">
        <f>+IF(OR(O684="Fire Control",O684="Fire Tex 5062",O684="Fire Tex 5090",O684="Fire Tex 5120"),'CALCULO PINTURA'!S685," ")</f>
        <v xml:space="preserve"> </v>
      </c>
      <c r="T684" s="874" t="str">
        <f>+IF(OR(O684="Blaze Shield II",O684="Cafco 400",O684="Cafco 300"),'CALCULO MORTERO'!N690," ")</f>
        <v xml:space="preserve"> </v>
      </c>
      <c r="U684" s="875" t="str">
        <f>+IF(OR(O684="Blaze Shield II",O684="Cafco 400",O684="Cafco 300"),'CALCULO MORTERO'!O690," ")</f>
        <v xml:space="preserve"> </v>
      </c>
      <c r="V684" s="161" t="str" cm="1">
        <f t="array" ref="V684">_xlfn.IFS(O684="Blaze Shield II",'CALCULO MORTERO'!P685, O684="Cafco 400",'CALCULO MORTERO'!Q685,O684="Cafco 300",'CALCULO MORTERO'!S685, AND(OR(O684="Fire tex 5090", O684="Fire Tex 5062", O684="Fire Tex 5120", O684="Fire Control"),Q684&gt;0), "CERT.",TRUE,"-")</f>
        <v>-</v>
      </c>
    </row>
    <row r="685" spans="1:22" x14ac:dyDescent="0.25">
      <c r="A685" s="903"/>
      <c r="B685" s="907"/>
      <c r="C685" s="874"/>
      <c r="D685" s="874"/>
      <c r="E685" s="874"/>
      <c r="F685" s="905"/>
      <c r="G685" s="874"/>
      <c r="H685" s="874"/>
      <c r="I685" s="906"/>
      <c r="J685" s="162"/>
      <c r="K685" s="161"/>
      <c r="L685" s="161"/>
      <c r="M685" s="169"/>
      <c r="N685" s="163" t="str">
        <f t="shared" si="14"/>
        <v/>
      </c>
      <c r="O685" s="41"/>
      <c r="P685" s="41"/>
      <c r="Q685" s="161" t="str">
        <f>+IF(OR(O685="Fire Control",O685="Fire Tex 5062",O685="Fire Tex 5090",O685="Fire Tex 5120"),'CALCULO PINTURA'!P686," ")</f>
        <v xml:space="preserve"> </v>
      </c>
      <c r="R685" s="164" t="str">
        <f>+IF(OR(O685="Fire Control",O685="Fire Tex 5062",O685="Fire Tex 5090",O685="Fire Tex 5120"),'CALCULO PINTURA'!R686," ")</f>
        <v xml:space="preserve"> </v>
      </c>
      <c r="S685" s="164" t="str">
        <f>+IF(OR(O685="Fire Control",O685="Fire Tex 5062",O685="Fire Tex 5090",O685="Fire Tex 5120"),'CALCULO PINTURA'!S686," ")</f>
        <v xml:space="preserve"> </v>
      </c>
      <c r="T685" s="874" t="str">
        <f>+IF(OR(O685="Blaze Shield II",O685="Cafco 400",O685="Cafco 300"),'CALCULO MORTERO'!N691," ")</f>
        <v xml:space="preserve"> </v>
      </c>
      <c r="U685" s="875" t="str">
        <f>+IF(OR(O685="Blaze Shield II",O685="Cafco 400",O685="Cafco 300"),'CALCULO MORTERO'!O691," ")</f>
        <v xml:space="preserve"> </v>
      </c>
      <c r="V685" s="161" t="str" cm="1">
        <f t="array" ref="V685">_xlfn.IFS(O685="Blaze Shield II",'CALCULO MORTERO'!P686, O685="Cafco 400",'CALCULO MORTERO'!Q686,O685="Cafco 300",'CALCULO MORTERO'!S686, AND(OR(O685="Fire tex 5090", O685="Fire Tex 5062", O685="Fire Tex 5120", O685="Fire Control"),Q685&gt;0), "CERT.",TRUE,"-")</f>
        <v>-</v>
      </c>
    </row>
    <row r="686" spans="1:22" x14ac:dyDescent="0.25">
      <c r="A686" s="903"/>
      <c r="B686" s="907"/>
      <c r="C686" s="874"/>
      <c r="D686" s="874"/>
      <c r="E686" s="874"/>
      <c r="F686" s="905"/>
      <c r="G686" s="874"/>
      <c r="H686" s="874"/>
      <c r="I686" s="906"/>
      <c r="J686" s="162"/>
      <c r="K686" s="161"/>
      <c r="L686" s="161"/>
      <c r="M686" s="169"/>
      <c r="N686" s="163" t="str">
        <f t="shared" si="14"/>
        <v/>
      </c>
      <c r="O686" s="41"/>
      <c r="P686" s="41"/>
      <c r="Q686" s="161" t="str">
        <f>+IF(OR(O686="Fire Control",O686="Fire Tex 5062",O686="Fire Tex 5090",O686="Fire Tex 5120"),'CALCULO PINTURA'!P687," ")</f>
        <v xml:space="preserve"> </v>
      </c>
      <c r="R686" s="164" t="str">
        <f>+IF(OR(O686="Fire Control",O686="Fire Tex 5062",O686="Fire Tex 5090",O686="Fire Tex 5120"),'CALCULO PINTURA'!R687," ")</f>
        <v xml:space="preserve"> </v>
      </c>
      <c r="S686" s="164" t="str">
        <f>+IF(OR(O686="Fire Control",O686="Fire Tex 5062",O686="Fire Tex 5090",O686="Fire Tex 5120"),'CALCULO PINTURA'!S687," ")</f>
        <v xml:space="preserve"> </v>
      </c>
      <c r="T686" s="874" t="str">
        <f>+IF(OR(O686="Blaze Shield II",O686="Cafco 400",O686="Cafco 300"),'CALCULO MORTERO'!N692," ")</f>
        <v xml:space="preserve"> </v>
      </c>
      <c r="U686" s="875" t="str">
        <f>+IF(OR(O686="Blaze Shield II",O686="Cafco 400",O686="Cafco 300"),'CALCULO MORTERO'!O692," ")</f>
        <v xml:space="preserve"> </v>
      </c>
      <c r="V686" s="161" t="str" cm="1">
        <f t="array" ref="V686">_xlfn.IFS(O686="Blaze Shield II",'CALCULO MORTERO'!P687, O686="Cafco 400",'CALCULO MORTERO'!Q687,O686="Cafco 300",'CALCULO MORTERO'!S687, AND(OR(O686="Fire tex 5090", O686="Fire Tex 5062", O686="Fire Tex 5120", O686="Fire Control"),Q686&gt;0), "CERT.",TRUE,"-")</f>
        <v>-</v>
      </c>
    </row>
    <row r="687" spans="1:22" x14ac:dyDescent="0.25">
      <c r="A687" s="903"/>
      <c r="B687" s="907"/>
      <c r="C687" s="874"/>
      <c r="D687" s="874"/>
      <c r="E687" s="874"/>
      <c r="F687" s="874"/>
      <c r="G687" s="874"/>
      <c r="H687" s="874"/>
      <c r="I687" s="906"/>
      <c r="J687" s="162"/>
      <c r="K687" s="161"/>
      <c r="L687" s="161"/>
      <c r="M687" s="163"/>
      <c r="N687" s="163" t="str">
        <f t="shared" si="14"/>
        <v/>
      </c>
      <c r="O687" s="41"/>
      <c r="P687" s="41"/>
      <c r="Q687" s="161" t="str">
        <f>+IF(OR(O687="Fire Control",O687="Fire Tex 5062",O687="Fire Tex 5090",O687="Fire Tex 5120"),'CALCULO PINTURA'!P688," ")</f>
        <v xml:space="preserve"> </v>
      </c>
      <c r="R687" s="164" t="str">
        <f>+IF(OR(O687="Fire Control",O687="Fire Tex 5062",O687="Fire Tex 5090",O687="Fire Tex 5120"),'CALCULO PINTURA'!R688," ")</f>
        <v xml:space="preserve"> </v>
      </c>
      <c r="S687" s="164" t="str">
        <f>+IF(OR(O687="Fire Control",O687="Fire Tex 5062",O687="Fire Tex 5090",O687="Fire Tex 5120"),'CALCULO PINTURA'!S688," ")</f>
        <v xml:space="preserve"> </v>
      </c>
      <c r="T687" s="874" t="str">
        <f>+IF(OR(O687="Blaze Shield II",O687="Cafco 400",O687="Cafco 300"),'CALCULO MORTERO'!N693," ")</f>
        <v xml:space="preserve"> </v>
      </c>
      <c r="U687" s="875" t="str">
        <f>+IF(OR(O687="Blaze Shield II",O687="Cafco 400",O687="Cafco 300"),'CALCULO MORTERO'!O693," ")</f>
        <v xml:space="preserve"> </v>
      </c>
      <c r="V687" s="161" t="str" cm="1">
        <f t="array" ref="V687">_xlfn.IFS(O687="Blaze Shield II",'CALCULO MORTERO'!P688, O687="Cafco 400",'CALCULO MORTERO'!Q688,O687="Cafco 300",'CALCULO MORTERO'!S688, AND(OR(O687="Fire tex 5090", O687="Fire Tex 5062", O687="Fire Tex 5120", O687="Fire Control"),Q687&gt;0), "CERT.",TRUE,"-")</f>
        <v>-</v>
      </c>
    </row>
    <row r="688" spans="1:22" x14ac:dyDescent="0.25">
      <c r="A688" s="903"/>
      <c r="B688" s="907"/>
      <c r="C688" s="874"/>
      <c r="D688" s="874"/>
      <c r="E688" s="874"/>
      <c r="F688" s="874"/>
      <c r="G688" s="874"/>
      <c r="H688" s="874"/>
      <c r="I688" s="906"/>
      <c r="J688" s="162"/>
      <c r="K688" s="161"/>
      <c r="L688" s="161"/>
      <c r="M688" s="163"/>
      <c r="N688" s="163" t="str">
        <f t="shared" si="14"/>
        <v/>
      </c>
      <c r="O688" s="41"/>
      <c r="P688" s="41"/>
      <c r="Q688" s="161" t="str">
        <f>+IF(OR(O688="Fire Control",O688="Fire Tex 5062",O688="Fire Tex 5090",O688="Fire Tex 5120"),'CALCULO PINTURA'!P689," ")</f>
        <v xml:space="preserve"> </v>
      </c>
      <c r="R688" s="164" t="str">
        <f>+IF(OR(O688="Fire Control",O688="Fire Tex 5062",O688="Fire Tex 5090",O688="Fire Tex 5120"),'CALCULO PINTURA'!R689," ")</f>
        <v xml:space="preserve"> </v>
      </c>
      <c r="S688" s="164" t="str">
        <f>+IF(OR(O688="Fire Control",O688="Fire Tex 5062",O688="Fire Tex 5090",O688="Fire Tex 5120"),'CALCULO PINTURA'!S689," ")</f>
        <v xml:space="preserve"> </v>
      </c>
      <c r="T688" s="874" t="str">
        <f>+IF(OR(O688="Blaze Shield II",O688="Cafco 400",O688="Cafco 300"),'CALCULO MORTERO'!N694," ")</f>
        <v xml:space="preserve"> </v>
      </c>
      <c r="U688" s="875" t="str">
        <f>+IF(OR(O688="Blaze Shield II",O688="Cafco 400",O688="Cafco 300"),'CALCULO MORTERO'!O694," ")</f>
        <v xml:space="preserve"> </v>
      </c>
      <c r="V688" s="161" t="str" cm="1">
        <f t="array" ref="V688">_xlfn.IFS(O688="Blaze Shield II",'CALCULO MORTERO'!P689, O688="Cafco 400",'CALCULO MORTERO'!Q689,O688="Cafco 300",'CALCULO MORTERO'!S689, AND(OR(O688="Fire tex 5090", O688="Fire Tex 5062", O688="Fire Tex 5120", O688="Fire Control"),Q688&gt;0), "CERT.",TRUE,"-")</f>
        <v>-</v>
      </c>
    </row>
    <row r="689" spans="1:22" x14ac:dyDescent="0.25">
      <c r="A689" s="903"/>
      <c r="B689" s="907"/>
      <c r="C689" s="874"/>
      <c r="D689" s="874"/>
      <c r="E689" s="874"/>
      <c r="F689" s="874"/>
      <c r="G689" s="874"/>
      <c r="H689" s="874"/>
      <c r="I689" s="906"/>
      <c r="J689" s="162"/>
      <c r="K689" s="161"/>
      <c r="L689" s="161"/>
      <c r="M689" s="163"/>
      <c r="N689" s="163" t="str">
        <f t="shared" si="14"/>
        <v/>
      </c>
      <c r="O689" s="41"/>
      <c r="P689" s="41"/>
      <c r="Q689" s="161" t="str">
        <f>+IF(OR(O689="Fire Control",O689="Fire Tex 5062",O689="Fire Tex 5090",O689="Fire Tex 5120"),'CALCULO PINTURA'!P690," ")</f>
        <v xml:space="preserve"> </v>
      </c>
      <c r="R689" s="164" t="str">
        <f>+IF(OR(O689="Fire Control",O689="Fire Tex 5062",O689="Fire Tex 5090",O689="Fire Tex 5120"),'CALCULO PINTURA'!R690," ")</f>
        <v xml:space="preserve"> </v>
      </c>
      <c r="S689" s="164" t="str">
        <f>+IF(OR(O689="Fire Control",O689="Fire Tex 5062",O689="Fire Tex 5090",O689="Fire Tex 5120"),'CALCULO PINTURA'!S690," ")</f>
        <v xml:space="preserve"> </v>
      </c>
      <c r="T689" s="874" t="str">
        <f>+IF(OR(O689="Blaze Shield II",O689="Cafco 400",O689="Cafco 300"),'CALCULO MORTERO'!N695," ")</f>
        <v xml:space="preserve"> </v>
      </c>
      <c r="U689" s="875" t="str">
        <f>+IF(OR(O689="Blaze Shield II",O689="Cafco 400",O689="Cafco 300"),'CALCULO MORTERO'!O695," ")</f>
        <v xml:space="preserve"> </v>
      </c>
      <c r="V689" s="161" t="str" cm="1">
        <f t="array" ref="V689">_xlfn.IFS(O689="Blaze Shield II",'CALCULO MORTERO'!P690, O689="Cafco 400",'CALCULO MORTERO'!Q690,O689="Cafco 300",'CALCULO MORTERO'!S690, AND(OR(O689="Fire tex 5090", O689="Fire Tex 5062", O689="Fire Tex 5120", O689="Fire Control"),Q689&gt;0), "CERT.",TRUE,"-")</f>
        <v>-</v>
      </c>
    </row>
    <row r="690" spans="1:22" x14ac:dyDescent="0.25">
      <c r="A690" s="903"/>
      <c r="B690" s="907"/>
      <c r="C690" s="874"/>
      <c r="D690" s="874"/>
      <c r="E690" s="874"/>
      <c r="F690" s="874"/>
      <c r="G690" s="874"/>
      <c r="H690" s="874"/>
      <c r="I690" s="906"/>
      <c r="J690" s="162"/>
      <c r="K690" s="161"/>
      <c r="L690" s="161"/>
      <c r="M690" s="163"/>
      <c r="N690" s="163" t="str">
        <f t="shared" si="14"/>
        <v/>
      </c>
      <c r="O690" s="41"/>
      <c r="P690" s="41"/>
      <c r="Q690" s="161" t="str">
        <f>+IF(OR(O690="Fire Control",O690="Fire Tex 5062",O690="Fire Tex 5090",O690="Fire Tex 5120"),'CALCULO PINTURA'!P691," ")</f>
        <v xml:space="preserve"> </v>
      </c>
      <c r="R690" s="164" t="str">
        <f>+IF(OR(O690="Fire Control",O690="Fire Tex 5062",O690="Fire Tex 5090",O690="Fire Tex 5120"),'CALCULO PINTURA'!R691," ")</f>
        <v xml:space="preserve"> </v>
      </c>
      <c r="S690" s="164" t="str">
        <f>+IF(OR(O690="Fire Control",O690="Fire Tex 5062",O690="Fire Tex 5090",O690="Fire Tex 5120"),'CALCULO PINTURA'!S691," ")</f>
        <v xml:space="preserve"> </v>
      </c>
      <c r="T690" s="874" t="str">
        <f>+IF(OR(O690="Blaze Shield II",O690="Cafco 400",O690="Cafco 300"),'CALCULO MORTERO'!N696," ")</f>
        <v xml:space="preserve"> </v>
      </c>
      <c r="U690" s="875" t="str">
        <f>+IF(OR(O690="Blaze Shield II",O690="Cafco 400",O690="Cafco 300"),'CALCULO MORTERO'!O696," ")</f>
        <v xml:space="preserve"> </v>
      </c>
      <c r="V690" s="161" t="str" cm="1">
        <f t="array" ref="V690">_xlfn.IFS(O690="Blaze Shield II",'CALCULO MORTERO'!P691, O690="Cafco 400",'CALCULO MORTERO'!Q691,O690="Cafco 300",'CALCULO MORTERO'!S691, AND(OR(O690="Fire tex 5090", O690="Fire Tex 5062", O690="Fire Tex 5120", O690="Fire Control"),Q690&gt;0), "CERT.",TRUE,"-")</f>
        <v>-</v>
      </c>
    </row>
    <row r="691" spans="1:22" x14ac:dyDescent="0.25">
      <c r="A691" s="903"/>
      <c r="B691" s="907"/>
      <c r="C691" s="874"/>
      <c r="D691" s="874"/>
      <c r="E691" s="874"/>
      <c r="F691" s="874"/>
      <c r="G691" s="874"/>
      <c r="H691" s="874"/>
      <c r="I691" s="906"/>
      <c r="J691" s="162"/>
      <c r="K691" s="161"/>
      <c r="L691" s="161"/>
      <c r="M691" s="163"/>
      <c r="N691" s="163" t="str">
        <f t="shared" si="14"/>
        <v/>
      </c>
      <c r="O691" s="41"/>
      <c r="P691" s="41"/>
      <c r="Q691" s="161" t="str">
        <f>+IF(OR(O691="Fire Control",O691="Fire Tex 5062",O691="Fire Tex 5090",O691="Fire Tex 5120"),'CALCULO PINTURA'!P692," ")</f>
        <v xml:space="preserve"> </v>
      </c>
      <c r="R691" s="164" t="str">
        <f>+IF(OR(O691="Fire Control",O691="Fire Tex 5062",O691="Fire Tex 5090",O691="Fire Tex 5120"),'CALCULO PINTURA'!R692," ")</f>
        <v xml:space="preserve"> </v>
      </c>
      <c r="S691" s="164" t="str">
        <f>+IF(OR(O691="Fire Control",O691="Fire Tex 5062",O691="Fire Tex 5090",O691="Fire Tex 5120"),'CALCULO PINTURA'!S692," ")</f>
        <v xml:space="preserve"> </v>
      </c>
      <c r="T691" s="874" t="str">
        <f>+IF(OR(O691="Blaze Shield II",O691="Cafco 400",O691="Cafco 300"),'CALCULO MORTERO'!N697," ")</f>
        <v xml:space="preserve"> </v>
      </c>
      <c r="U691" s="875" t="str">
        <f>+IF(OR(O691="Blaze Shield II",O691="Cafco 400",O691="Cafco 300"),'CALCULO MORTERO'!O697," ")</f>
        <v xml:space="preserve"> </v>
      </c>
      <c r="V691" s="161" t="str" cm="1">
        <f t="array" ref="V691">_xlfn.IFS(O691="Blaze Shield II",'CALCULO MORTERO'!P692, O691="Cafco 400",'CALCULO MORTERO'!Q692,O691="Cafco 300",'CALCULO MORTERO'!S692, AND(OR(O691="Fire tex 5090", O691="Fire Tex 5062", O691="Fire Tex 5120", O691="Fire Control"),Q691&gt;0), "CERT.",TRUE,"-")</f>
        <v>-</v>
      </c>
    </row>
    <row r="692" spans="1:22" x14ac:dyDescent="0.25">
      <c r="A692" s="903"/>
      <c r="B692" s="907"/>
      <c r="C692" s="874"/>
      <c r="D692" s="874"/>
      <c r="E692" s="874"/>
      <c r="F692" s="874"/>
      <c r="G692" s="874"/>
      <c r="H692" s="874"/>
      <c r="I692" s="906"/>
      <c r="J692" s="162"/>
      <c r="K692" s="161"/>
      <c r="L692" s="161"/>
      <c r="M692" s="163"/>
      <c r="N692" s="163" t="str">
        <f t="shared" si="14"/>
        <v/>
      </c>
      <c r="O692" s="41"/>
      <c r="P692" s="41"/>
      <c r="Q692" s="161" t="str">
        <f>+IF(OR(O692="Fire Control",O692="Fire Tex 5062",O692="Fire Tex 5090",O692="Fire Tex 5120"),'CALCULO PINTURA'!P693," ")</f>
        <v xml:space="preserve"> </v>
      </c>
      <c r="R692" s="164" t="str">
        <f>+IF(OR(O692="Fire Control",O692="Fire Tex 5062",O692="Fire Tex 5090",O692="Fire Tex 5120"),'CALCULO PINTURA'!R693," ")</f>
        <v xml:space="preserve"> </v>
      </c>
      <c r="S692" s="164" t="str">
        <f>+IF(OR(O692="Fire Control",O692="Fire Tex 5062",O692="Fire Tex 5090",O692="Fire Tex 5120"),'CALCULO PINTURA'!S693," ")</f>
        <v xml:space="preserve"> </v>
      </c>
      <c r="T692" s="874" t="str">
        <f>+IF(OR(O692="Blaze Shield II",O692="Cafco 400",O692="Cafco 300"),'CALCULO MORTERO'!N698," ")</f>
        <v xml:space="preserve"> </v>
      </c>
      <c r="U692" s="875" t="str">
        <f>+IF(OR(O692="Blaze Shield II",O692="Cafco 400",O692="Cafco 300"),'CALCULO MORTERO'!O698," ")</f>
        <v xml:space="preserve"> </v>
      </c>
      <c r="V692" s="161" t="str" cm="1">
        <f t="array" ref="V692">_xlfn.IFS(O692="Blaze Shield II",'CALCULO MORTERO'!P693, O692="Cafco 400",'CALCULO MORTERO'!Q693,O692="Cafco 300",'CALCULO MORTERO'!S693, AND(OR(O692="Fire tex 5090", O692="Fire Tex 5062", O692="Fire Tex 5120", O692="Fire Control"),Q692&gt;0), "CERT.",TRUE,"-")</f>
        <v>-</v>
      </c>
    </row>
    <row r="693" spans="1:22" x14ac:dyDescent="0.25">
      <c r="A693" s="903"/>
      <c r="B693" s="907"/>
      <c r="C693" s="874"/>
      <c r="D693" s="874"/>
      <c r="E693" s="874"/>
      <c r="F693" s="905"/>
      <c r="G693" s="874"/>
      <c r="H693" s="874"/>
      <c r="I693" s="906"/>
      <c r="J693" s="162"/>
      <c r="K693" s="161"/>
      <c r="L693" s="161"/>
      <c r="M693" s="169"/>
      <c r="N693" s="163" t="str">
        <f t="shared" si="14"/>
        <v/>
      </c>
      <c r="O693" s="41"/>
      <c r="P693" s="41"/>
      <c r="Q693" s="161" t="str">
        <f>+IF(OR(O693="Fire Control",O693="Fire Tex 5062",O693="Fire Tex 5090",O693="Fire Tex 5120"),'CALCULO PINTURA'!P694," ")</f>
        <v xml:space="preserve"> </v>
      </c>
      <c r="R693" s="164" t="str">
        <f>+IF(OR(O693="Fire Control",O693="Fire Tex 5062",O693="Fire Tex 5090",O693="Fire Tex 5120"),'CALCULO PINTURA'!R694," ")</f>
        <v xml:space="preserve"> </v>
      </c>
      <c r="S693" s="164" t="str">
        <f>+IF(OR(O693="Fire Control",O693="Fire Tex 5062",O693="Fire Tex 5090",O693="Fire Tex 5120"),'CALCULO PINTURA'!S694," ")</f>
        <v xml:space="preserve"> </v>
      </c>
      <c r="T693" s="874" t="str">
        <f>+IF(OR(O693="Blaze Shield II",O693="Cafco 400",O693="Cafco 300"),'CALCULO MORTERO'!N699," ")</f>
        <v xml:space="preserve"> </v>
      </c>
      <c r="U693" s="875" t="str">
        <f>+IF(OR(O693="Blaze Shield II",O693="Cafco 400",O693="Cafco 300"),'CALCULO MORTERO'!O699," ")</f>
        <v xml:space="preserve"> </v>
      </c>
      <c r="V693" s="161" t="str" cm="1">
        <f t="array" ref="V693">_xlfn.IFS(O693="Blaze Shield II",'CALCULO MORTERO'!P694, O693="Cafco 400",'CALCULO MORTERO'!Q694,O693="Cafco 300",'CALCULO MORTERO'!S694, AND(OR(O693="Fire tex 5090", O693="Fire Tex 5062", O693="Fire Tex 5120", O693="Fire Control"),Q693&gt;0), "CERT.",TRUE,"-")</f>
        <v>-</v>
      </c>
    </row>
    <row r="694" spans="1:22" x14ac:dyDescent="0.25">
      <c r="A694" s="903"/>
      <c r="B694" s="907"/>
      <c r="C694" s="874"/>
      <c r="D694" s="874"/>
      <c r="E694" s="874"/>
      <c r="F694" s="905"/>
      <c r="G694" s="874"/>
      <c r="H694" s="874"/>
      <c r="I694" s="906"/>
      <c r="J694" s="162"/>
      <c r="K694" s="161"/>
      <c r="L694" s="161"/>
      <c r="M694" s="169"/>
      <c r="N694" s="163" t="str">
        <f t="shared" si="14"/>
        <v/>
      </c>
      <c r="O694" s="41"/>
      <c r="P694" s="41"/>
      <c r="Q694" s="161" t="str">
        <f>+IF(OR(O694="Fire Control",O694="Fire Tex 5062",O694="Fire Tex 5090",O694="Fire Tex 5120"),'CALCULO PINTURA'!P695," ")</f>
        <v xml:space="preserve"> </v>
      </c>
      <c r="R694" s="164" t="str">
        <f>+IF(OR(O694="Fire Control",O694="Fire Tex 5062",O694="Fire Tex 5090",O694="Fire Tex 5120"),'CALCULO PINTURA'!R695," ")</f>
        <v xml:space="preserve"> </v>
      </c>
      <c r="S694" s="164" t="str">
        <f>+IF(OR(O694="Fire Control",O694="Fire Tex 5062",O694="Fire Tex 5090",O694="Fire Tex 5120"),'CALCULO PINTURA'!S695," ")</f>
        <v xml:space="preserve"> </v>
      </c>
      <c r="T694" s="874" t="str">
        <f>+IF(OR(O694="Blaze Shield II",O694="Cafco 400",O694="Cafco 300"),'CALCULO MORTERO'!N700," ")</f>
        <v xml:space="preserve"> </v>
      </c>
      <c r="U694" s="875" t="str">
        <f>+IF(OR(O694="Blaze Shield II",O694="Cafco 400",O694="Cafco 300"),'CALCULO MORTERO'!O700," ")</f>
        <v xml:space="preserve"> </v>
      </c>
      <c r="V694" s="161" t="str" cm="1">
        <f t="array" ref="V694">_xlfn.IFS(O694="Blaze Shield II",'CALCULO MORTERO'!P695, O694="Cafco 400",'CALCULO MORTERO'!Q695,O694="Cafco 300",'CALCULO MORTERO'!S695, AND(OR(O694="Fire tex 5090", O694="Fire Tex 5062", O694="Fire Tex 5120", O694="Fire Control"),Q694&gt;0), "CERT.",TRUE,"-")</f>
        <v>-</v>
      </c>
    </row>
    <row r="695" spans="1:22" x14ac:dyDescent="0.25">
      <c r="A695" s="903"/>
      <c r="B695" s="907"/>
      <c r="C695" s="874"/>
      <c r="D695" s="874"/>
      <c r="E695" s="874"/>
      <c r="F695" s="905"/>
      <c r="G695" s="874"/>
      <c r="H695" s="874"/>
      <c r="I695" s="906"/>
      <c r="J695" s="162"/>
      <c r="K695" s="161"/>
      <c r="L695" s="161"/>
      <c r="M695" s="169"/>
      <c r="N695" s="163" t="str">
        <f t="shared" si="14"/>
        <v/>
      </c>
      <c r="O695" s="41"/>
      <c r="P695" s="41"/>
      <c r="Q695" s="161" t="str">
        <f>+IF(OR(O695="Fire Control",O695="Fire Tex 5062",O695="Fire Tex 5090",O695="Fire Tex 5120"),'CALCULO PINTURA'!P696," ")</f>
        <v xml:space="preserve"> </v>
      </c>
      <c r="R695" s="164" t="str">
        <f>+IF(OR(O695="Fire Control",O695="Fire Tex 5062",O695="Fire Tex 5090",O695="Fire Tex 5120"),'CALCULO PINTURA'!R696," ")</f>
        <v xml:space="preserve"> </v>
      </c>
      <c r="S695" s="164" t="str">
        <f>+IF(OR(O695="Fire Control",O695="Fire Tex 5062",O695="Fire Tex 5090",O695="Fire Tex 5120"),'CALCULO PINTURA'!S696," ")</f>
        <v xml:space="preserve"> </v>
      </c>
      <c r="T695" s="874" t="str">
        <f>+IF(OR(O695="Blaze Shield II",O695="Cafco 400",O695="Cafco 300"),'CALCULO MORTERO'!N701," ")</f>
        <v xml:space="preserve"> </v>
      </c>
      <c r="U695" s="875" t="str">
        <f>+IF(OR(O695="Blaze Shield II",O695="Cafco 400",O695="Cafco 300"),'CALCULO MORTERO'!O701," ")</f>
        <v xml:space="preserve"> </v>
      </c>
      <c r="V695" s="161" t="str" cm="1">
        <f t="array" ref="V695">_xlfn.IFS(O695="Blaze Shield II",'CALCULO MORTERO'!P696, O695="Cafco 400",'CALCULO MORTERO'!Q696,O695="Cafco 300",'CALCULO MORTERO'!S696, AND(OR(O695="Fire tex 5090", O695="Fire Tex 5062", O695="Fire Tex 5120", O695="Fire Control"),Q695&gt;0), "CERT.",TRUE,"-")</f>
        <v>-</v>
      </c>
    </row>
    <row r="696" spans="1:22" x14ac:dyDescent="0.25">
      <c r="A696" s="903"/>
      <c r="B696" s="907"/>
      <c r="C696" s="874"/>
      <c r="D696" s="874"/>
      <c r="E696" s="874"/>
      <c r="F696" s="905"/>
      <c r="G696" s="874"/>
      <c r="H696" s="874"/>
      <c r="I696" s="906"/>
      <c r="J696" s="162"/>
      <c r="K696" s="161"/>
      <c r="L696" s="161"/>
      <c r="M696" s="169"/>
      <c r="N696" s="163" t="str">
        <f t="shared" si="14"/>
        <v/>
      </c>
      <c r="O696" s="41"/>
      <c r="P696" s="41"/>
      <c r="Q696" s="161" t="str">
        <f>+IF(OR(O696="Fire Control",O696="Fire Tex 5062",O696="Fire Tex 5090",O696="Fire Tex 5120"),'CALCULO PINTURA'!P697," ")</f>
        <v xml:space="preserve"> </v>
      </c>
      <c r="R696" s="164" t="str">
        <f>+IF(OR(O696="Fire Control",O696="Fire Tex 5062",O696="Fire Tex 5090",O696="Fire Tex 5120"),'CALCULO PINTURA'!R697," ")</f>
        <v xml:space="preserve"> </v>
      </c>
      <c r="S696" s="164" t="str">
        <f>+IF(OR(O696="Fire Control",O696="Fire Tex 5062",O696="Fire Tex 5090",O696="Fire Tex 5120"),'CALCULO PINTURA'!S697," ")</f>
        <v xml:space="preserve"> </v>
      </c>
      <c r="T696" s="874" t="str">
        <f>+IF(OR(O696="Blaze Shield II",O696="Cafco 400",O696="Cafco 300"),'CALCULO MORTERO'!N702," ")</f>
        <v xml:space="preserve"> </v>
      </c>
      <c r="U696" s="875" t="str">
        <f>+IF(OR(O696="Blaze Shield II",O696="Cafco 400",O696="Cafco 300"),'CALCULO MORTERO'!O702," ")</f>
        <v xml:space="preserve"> </v>
      </c>
      <c r="V696" s="161" t="str" cm="1">
        <f t="array" ref="V696">_xlfn.IFS(O696="Blaze Shield II",'CALCULO MORTERO'!P697, O696="Cafco 400",'CALCULO MORTERO'!Q697,O696="Cafco 300",'CALCULO MORTERO'!S697, AND(OR(O696="Fire tex 5090", O696="Fire Tex 5062", O696="Fire Tex 5120", O696="Fire Control"),Q696&gt;0), "CERT.",TRUE,"-")</f>
        <v>-</v>
      </c>
    </row>
    <row r="697" spans="1:22" x14ac:dyDescent="0.25">
      <c r="A697" s="903"/>
      <c r="B697" s="907"/>
      <c r="C697" s="874"/>
      <c r="D697" s="874"/>
      <c r="E697" s="874"/>
      <c r="F697" s="905"/>
      <c r="G697" s="874"/>
      <c r="H697" s="874"/>
      <c r="I697" s="906"/>
      <c r="J697" s="162"/>
      <c r="K697" s="161"/>
      <c r="L697" s="161"/>
      <c r="M697" s="169"/>
      <c r="N697" s="163" t="str">
        <f t="shared" si="14"/>
        <v/>
      </c>
      <c r="O697" s="41"/>
      <c r="P697" s="41"/>
      <c r="Q697" s="161" t="str">
        <f>+IF(OR(O697="Fire Control",O697="Fire Tex 5062",O697="Fire Tex 5090",O697="Fire Tex 5120"),'CALCULO PINTURA'!P698," ")</f>
        <v xml:space="preserve"> </v>
      </c>
      <c r="R697" s="164" t="str">
        <f>+IF(OR(O697="Fire Control",O697="Fire Tex 5062",O697="Fire Tex 5090",O697="Fire Tex 5120"),'CALCULO PINTURA'!R698," ")</f>
        <v xml:space="preserve"> </v>
      </c>
      <c r="S697" s="164" t="str">
        <f>+IF(OR(O697="Fire Control",O697="Fire Tex 5062",O697="Fire Tex 5090",O697="Fire Tex 5120"),'CALCULO PINTURA'!S698," ")</f>
        <v xml:space="preserve"> </v>
      </c>
      <c r="T697" s="874" t="str">
        <f>+IF(OR(O697="Blaze Shield II",O697="Cafco 400",O697="Cafco 300"),'CALCULO MORTERO'!N703," ")</f>
        <v xml:space="preserve"> </v>
      </c>
      <c r="U697" s="875" t="str">
        <f>+IF(OR(O697="Blaze Shield II",O697="Cafco 400",O697="Cafco 300"),'CALCULO MORTERO'!O703," ")</f>
        <v xml:space="preserve"> </v>
      </c>
      <c r="V697" s="161" t="str" cm="1">
        <f t="array" ref="V697">_xlfn.IFS(O697="Blaze Shield II",'CALCULO MORTERO'!P698, O697="Cafco 400",'CALCULO MORTERO'!Q698,O697="Cafco 300",'CALCULO MORTERO'!S698, AND(OR(O697="Fire tex 5090", O697="Fire Tex 5062", O697="Fire Tex 5120", O697="Fire Control"),Q697&gt;0), "CERT.",TRUE,"-")</f>
        <v>-</v>
      </c>
    </row>
    <row r="698" spans="1:22" x14ac:dyDescent="0.25">
      <c r="A698" s="903"/>
      <c r="B698" s="907"/>
      <c r="C698" s="874"/>
      <c r="D698" s="874"/>
      <c r="E698" s="874"/>
      <c r="F698" s="905"/>
      <c r="G698" s="874"/>
      <c r="H698" s="874"/>
      <c r="I698" s="906"/>
      <c r="J698" s="162"/>
      <c r="K698" s="161"/>
      <c r="L698" s="161"/>
      <c r="M698" s="169"/>
      <c r="N698" s="163" t="str">
        <f t="shared" si="14"/>
        <v/>
      </c>
      <c r="O698" s="41"/>
      <c r="P698" s="41"/>
      <c r="Q698" s="161" t="str">
        <f>+IF(OR(O698="Fire Control",O698="Fire Tex 5062",O698="Fire Tex 5090",O698="Fire Tex 5120"),'CALCULO PINTURA'!P699," ")</f>
        <v xml:space="preserve"> </v>
      </c>
      <c r="R698" s="164" t="str">
        <f>+IF(OR(O698="Fire Control",O698="Fire Tex 5062",O698="Fire Tex 5090",O698="Fire Tex 5120"),'CALCULO PINTURA'!R699," ")</f>
        <v xml:space="preserve"> </v>
      </c>
      <c r="S698" s="164" t="str">
        <f>+IF(OR(O698="Fire Control",O698="Fire Tex 5062",O698="Fire Tex 5090",O698="Fire Tex 5120"),'CALCULO PINTURA'!S699," ")</f>
        <v xml:space="preserve"> </v>
      </c>
      <c r="T698" s="874" t="str">
        <f>+IF(OR(O698="Blaze Shield II",O698="Cafco 400",O698="Cafco 300"),'CALCULO MORTERO'!N704," ")</f>
        <v xml:space="preserve"> </v>
      </c>
      <c r="U698" s="875" t="str">
        <f>+IF(OR(O698="Blaze Shield II",O698="Cafco 400",O698="Cafco 300"),'CALCULO MORTERO'!O704," ")</f>
        <v xml:space="preserve"> </v>
      </c>
      <c r="V698" s="161" t="str" cm="1">
        <f t="array" ref="V698">_xlfn.IFS(O698="Blaze Shield II",'CALCULO MORTERO'!P699, O698="Cafco 400",'CALCULO MORTERO'!Q699,O698="Cafco 300",'CALCULO MORTERO'!S699, AND(OR(O698="Fire tex 5090", O698="Fire Tex 5062", O698="Fire Tex 5120", O698="Fire Control"),Q698&gt;0), "CERT.",TRUE,"-")</f>
        <v>-</v>
      </c>
    </row>
    <row r="699" spans="1:22" x14ac:dyDescent="0.25">
      <c r="A699" s="903"/>
      <c r="B699" s="907"/>
      <c r="C699" s="874"/>
      <c r="D699" s="874"/>
      <c r="E699" s="874"/>
      <c r="F699" s="905"/>
      <c r="G699" s="874"/>
      <c r="H699" s="874"/>
      <c r="I699" s="906"/>
      <c r="J699" s="162"/>
      <c r="K699" s="161"/>
      <c r="L699" s="161"/>
      <c r="M699" s="169"/>
      <c r="N699" s="163" t="str">
        <f t="shared" si="14"/>
        <v/>
      </c>
      <c r="O699" s="41"/>
      <c r="P699" s="41"/>
      <c r="Q699" s="161" t="str">
        <f>+IF(OR(O699="Fire Control",O699="Fire Tex 5062",O699="Fire Tex 5090",O699="Fire Tex 5120"),'CALCULO PINTURA'!P700," ")</f>
        <v xml:space="preserve"> </v>
      </c>
      <c r="R699" s="164" t="str">
        <f>+IF(OR(O699="Fire Control",O699="Fire Tex 5062",O699="Fire Tex 5090",O699="Fire Tex 5120"),'CALCULO PINTURA'!R700," ")</f>
        <v xml:space="preserve"> </v>
      </c>
      <c r="S699" s="164" t="str">
        <f>+IF(OR(O699="Fire Control",O699="Fire Tex 5062",O699="Fire Tex 5090",O699="Fire Tex 5120"),'CALCULO PINTURA'!S700," ")</f>
        <v xml:space="preserve"> </v>
      </c>
      <c r="T699" s="874" t="str">
        <f>+IF(OR(O699="Blaze Shield II",O699="Cafco 400",O699="Cafco 300"),'CALCULO MORTERO'!N705," ")</f>
        <v xml:space="preserve"> </v>
      </c>
      <c r="U699" s="875" t="str">
        <f>+IF(OR(O699="Blaze Shield II",O699="Cafco 400",O699="Cafco 300"),'CALCULO MORTERO'!O705," ")</f>
        <v xml:space="preserve"> </v>
      </c>
      <c r="V699" s="161" t="str" cm="1">
        <f t="array" ref="V699">_xlfn.IFS(O699="Blaze Shield II",'CALCULO MORTERO'!P700, O699="Cafco 400",'CALCULO MORTERO'!Q700,O699="Cafco 300",'CALCULO MORTERO'!S700, AND(OR(O699="Fire tex 5090", O699="Fire Tex 5062", O699="Fire Tex 5120", O699="Fire Control"),Q699&gt;0), "CERT.",TRUE,"-")</f>
        <v>-</v>
      </c>
    </row>
    <row r="700" spans="1:22" x14ac:dyDescent="0.25">
      <c r="A700" s="903"/>
      <c r="B700" s="907"/>
      <c r="C700" s="874"/>
      <c r="D700" s="874"/>
      <c r="E700" s="874"/>
      <c r="F700" s="905"/>
      <c r="G700" s="874"/>
      <c r="H700" s="874"/>
      <c r="I700" s="906"/>
      <c r="J700" s="162"/>
      <c r="K700" s="161"/>
      <c r="L700" s="161"/>
      <c r="M700" s="169"/>
      <c r="N700" s="163" t="str">
        <f t="shared" si="14"/>
        <v/>
      </c>
      <c r="O700" s="41"/>
      <c r="P700" s="41"/>
      <c r="Q700" s="161" t="str">
        <f>+IF(OR(O700="Fire Control",O700="Fire Tex 5062",O700="Fire Tex 5090",O700="Fire Tex 5120"),'CALCULO PINTURA'!P701," ")</f>
        <v xml:space="preserve"> </v>
      </c>
      <c r="R700" s="164" t="str">
        <f>+IF(OR(O700="Fire Control",O700="Fire Tex 5062",O700="Fire Tex 5090",O700="Fire Tex 5120"),'CALCULO PINTURA'!R701," ")</f>
        <v xml:space="preserve"> </v>
      </c>
      <c r="S700" s="164" t="str">
        <f>+IF(OR(O700="Fire Control",O700="Fire Tex 5062",O700="Fire Tex 5090",O700="Fire Tex 5120"),'CALCULO PINTURA'!S701," ")</f>
        <v xml:space="preserve"> </v>
      </c>
      <c r="T700" s="874" t="str">
        <f>+IF(OR(O700="Blaze Shield II",O700="Cafco 400",O700="Cafco 300"),'CALCULO MORTERO'!N706," ")</f>
        <v xml:space="preserve"> </v>
      </c>
      <c r="U700" s="875" t="str">
        <f>+IF(OR(O700="Blaze Shield II",O700="Cafco 400",O700="Cafco 300"),'CALCULO MORTERO'!O706," ")</f>
        <v xml:space="preserve"> </v>
      </c>
      <c r="V700" s="161" t="str" cm="1">
        <f t="array" ref="V700">_xlfn.IFS(O700="Blaze Shield II",'CALCULO MORTERO'!P701, O700="Cafco 400",'CALCULO MORTERO'!Q701,O700="Cafco 300",'CALCULO MORTERO'!S701, AND(OR(O700="Fire tex 5090", O700="Fire Tex 5062", O700="Fire Tex 5120", O700="Fire Control"),Q700&gt;0), "CERT.",TRUE,"-")</f>
        <v>-</v>
      </c>
    </row>
    <row r="701" spans="1:22" x14ac:dyDescent="0.25">
      <c r="A701" s="903"/>
      <c r="B701" s="907"/>
      <c r="C701" s="874"/>
      <c r="D701" s="874"/>
      <c r="E701" s="874"/>
      <c r="F701" s="905"/>
      <c r="G701" s="874"/>
      <c r="H701" s="874"/>
      <c r="I701" s="906"/>
      <c r="J701" s="162"/>
      <c r="K701" s="161"/>
      <c r="L701" s="161"/>
      <c r="M701" s="169"/>
      <c r="N701" s="163" t="str">
        <f t="shared" si="14"/>
        <v/>
      </c>
      <c r="O701" s="41"/>
      <c r="P701" s="41"/>
      <c r="Q701" s="161" t="str">
        <f>+IF(OR(O701="Fire Control",O701="Fire Tex 5062",O701="Fire Tex 5090",O701="Fire Tex 5120"),'CALCULO PINTURA'!P702," ")</f>
        <v xml:space="preserve"> </v>
      </c>
      <c r="R701" s="164" t="str">
        <f>+IF(OR(O701="Fire Control",O701="Fire Tex 5062",O701="Fire Tex 5090",O701="Fire Tex 5120"),'CALCULO PINTURA'!R702," ")</f>
        <v xml:space="preserve"> </v>
      </c>
      <c r="S701" s="164" t="str">
        <f>+IF(OR(O701="Fire Control",O701="Fire Tex 5062",O701="Fire Tex 5090",O701="Fire Tex 5120"),'CALCULO PINTURA'!S702," ")</f>
        <v xml:space="preserve"> </v>
      </c>
      <c r="T701" s="874" t="str">
        <f>+IF(OR(O701="Blaze Shield II",O701="Cafco 400",O701="Cafco 300"),'CALCULO MORTERO'!N707," ")</f>
        <v xml:space="preserve"> </v>
      </c>
      <c r="U701" s="875" t="str">
        <f>+IF(OR(O701="Blaze Shield II",O701="Cafco 400",O701="Cafco 300"),'CALCULO MORTERO'!O707," ")</f>
        <v xml:space="preserve"> </v>
      </c>
      <c r="V701" s="161" t="str" cm="1">
        <f t="array" ref="V701">_xlfn.IFS(O701="Blaze Shield II",'CALCULO MORTERO'!P702, O701="Cafco 400",'CALCULO MORTERO'!Q702,O701="Cafco 300",'CALCULO MORTERO'!S702, AND(OR(O701="Fire tex 5090", O701="Fire Tex 5062", O701="Fire Tex 5120", O701="Fire Control"),Q701&gt;0), "CERT.",TRUE,"-")</f>
        <v>-</v>
      </c>
    </row>
    <row r="702" spans="1:22" x14ac:dyDescent="0.25">
      <c r="A702" s="903"/>
      <c r="B702" s="907"/>
      <c r="C702" s="874"/>
      <c r="D702" s="874"/>
      <c r="E702" s="874"/>
      <c r="F702" s="905"/>
      <c r="G702" s="874"/>
      <c r="H702" s="874"/>
      <c r="I702" s="906"/>
      <c r="J702" s="162"/>
      <c r="K702" s="161"/>
      <c r="L702" s="161"/>
      <c r="M702" s="169"/>
      <c r="N702" s="163" t="str">
        <f t="shared" si="14"/>
        <v/>
      </c>
      <c r="O702" s="41"/>
      <c r="P702" s="41"/>
      <c r="Q702" s="161" t="str">
        <f>+IF(OR(O702="Fire Control",O702="Fire Tex 5062",O702="Fire Tex 5090",O702="Fire Tex 5120"),'CALCULO PINTURA'!P703," ")</f>
        <v xml:space="preserve"> </v>
      </c>
      <c r="R702" s="164" t="str">
        <f>+IF(OR(O702="Fire Control",O702="Fire Tex 5062",O702="Fire Tex 5090",O702="Fire Tex 5120"),'CALCULO PINTURA'!R703," ")</f>
        <v xml:space="preserve"> </v>
      </c>
      <c r="S702" s="164" t="str">
        <f>+IF(OR(O702="Fire Control",O702="Fire Tex 5062",O702="Fire Tex 5090",O702="Fire Tex 5120"),'CALCULO PINTURA'!S703," ")</f>
        <v xml:space="preserve"> </v>
      </c>
      <c r="T702" s="874" t="str">
        <f>+IF(OR(O702="Blaze Shield II",O702="Cafco 400",O702="Cafco 300"),'CALCULO MORTERO'!N708," ")</f>
        <v xml:space="preserve"> </v>
      </c>
      <c r="U702" s="875" t="str">
        <f>+IF(OR(O702="Blaze Shield II",O702="Cafco 400",O702="Cafco 300"),'CALCULO MORTERO'!O708," ")</f>
        <v xml:space="preserve"> </v>
      </c>
      <c r="V702" s="161" t="str" cm="1">
        <f t="array" ref="V702">_xlfn.IFS(O702="Blaze Shield II",'CALCULO MORTERO'!P703, O702="Cafco 400",'CALCULO MORTERO'!Q703,O702="Cafco 300",'CALCULO MORTERO'!S703, AND(OR(O702="Fire tex 5090", O702="Fire Tex 5062", O702="Fire Tex 5120", O702="Fire Control"),Q702&gt;0), "CERT.",TRUE,"-")</f>
        <v>-</v>
      </c>
    </row>
    <row r="703" spans="1:22" x14ac:dyDescent="0.25">
      <c r="A703" s="903"/>
      <c r="B703" s="907"/>
      <c r="C703" s="874"/>
      <c r="D703" s="874"/>
      <c r="E703" s="874"/>
      <c r="F703" s="905"/>
      <c r="G703" s="874"/>
      <c r="H703" s="874"/>
      <c r="I703" s="906"/>
      <c r="J703" s="162"/>
      <c r="K703" s="161"/>
      <c r="L703" s="161"/>
      <c r="M703" s="169"/>
      <c r="N703" s="163" t="str">
        <f t="shared" si="14"/>
        <v/>
      </c>
      <c r="O703" s="41"/>
      <c r="P703" s="41"/>
      <c r="Q703" s="161" t="str">
        <f>+IF(OR(O703="Fire Control",O703="Fire Tex 5062",O703="Fire Tex 5090",O703="Fire Tex 5120"),'CALCULO PINTURA'!P704," ")</f>
        <v xml:space="preserve"> </v>
      </c>
      <c r="R703" s="164" t="str">
        <f>+IF(OR(O703="Fire Control",O703="Fire Tex 5062",O703="Fire Tex 5090",O703="Fire Tex 5120"),'CALCULO PINTURA'!R704," ")</f>
        <v xml:space="preserve"> </v>
      </c>
      <c r="S703" s="164" t="str">
        <f>+IF(OR(O703="Fire Control",O703="Fire Tex 5062",O703="Fire Tex 5090",O703="Fire Tex 5120"),'CALCULO PINTURA'!S704," ")</f>
        <v xml:space="preserve"> </v>
      </c>
      <c r="T703" s="874" t="str">
        <f>+IF(OR(O703="Blaze Shield II",O703="Cafco 400",O703="Cafco 300"),'CALCULO MORTERO'!N709," ")</f>
        <v xml:space="preserve"> </v>
      </c>
      <c r="U703" s="875" t="str">
        <f>+IF(OR(O703="Blaze Shield II",O703="Cafco 400",O703="Cafco 300"),'CALCULO MORTERO'!O709," ")</f>
        <v xml:space="preserve"> </v>
      </c>
      <c r="V703" s="161" t="str" cm="1">
        <f t="array" ref="V703">_xlfn.IFS(O703="Blaze Shield II",'CALCULO MORTERO'!P704, O703="Cafco 400",'CALCULO MORTERO'!Q704,O703="Cafco 300",'CALCULO MORTERO'!S704, AND(OR(O703="Fire tex 5090", O703="Fire Tex 5062", O703="Fire Tex 5120", O703="Fire Control"),Q703&gt;0), "CERT.",TRUE,"-")</f>
        <v>-</v>
      </c>
    </row>
    <row r="704" spans="1:22" x14ac:dyDescent="0.25">
      <c r="A704" s="903"/>
      <c r="B704" s="907"/>
      <c r="C704" s="874"/>
      <c r="D704" s="874"/>
      <c r="E704" s="874"/>
      <c r="F704" s="905"/>
      <c r="G704" s="874"/>
      <c r="H704" s="874"/>
      <c r="I704" s="906"/>
      <c r="J704" s="162"/>
      <c r="K704" s="161"/>
      <c r="L704" s="161"/>
      <c r="M704" s="169"/>
      <c r="N704" s="163" t="str">
        <f t="shared" si="14"/>
        <v/>
      </c>
      <c r="O704" s="41"/>
      <c r="P704" s="41"/>
      <c r="Q704" s="161" t="str">
        <f>+IF(OR(O704="Fire Control",O704="Fire Tex 5062",O704="Fire Tex 5090",O704="Fire Tex 5120"),'CALCULO PINTURA'!P705," ")</f>
        <v xml:space="preserve"> </v>
      </c>
      <c r="R704" s="164" t="str">
        <f>+IF(OR(O704="Fire Control",O704="Fire Tex 5062",O704="Fire Tex 5090",O704="Fire Tex 5120"),'CALCULO PINTURA'!R705," ")</f>
        <v xml:space="preserve"> </v>
      </c>
      <c r="S704" s="164" t="str">
        <f>+IF(OR(O704="Fire Control",O704="Fire Tex 5062",O704="Fire Tex 5090",O704="Fire Tex 5120"),'CALCULO PINTURA'!S705," ")</f>
        <v xml:space="preserve"> </v>
      </c>
      <c r="T704" s="874" t="str">
        <f>+IF(OR(O704="Blaze Shield II",O704="Cafco 400",O704="Cafco 300"),'CALCULO MORTERO'!N710," ")</f>
        <v xml:space="preserve"> </v>
      </c>
      <c r="U704" s="875" t="str">
        <f>+IF(OR(O704="Blaze Shield II",O704="Cafco 400",O704="Cafco 300"),'CALCULO MORTERO'!O710," ")</f>
        <v xml:space="preserve"> </v>
      </c>
      <c r="V704" s="161" t="str" cm="1">
        <f t="array" ref="V704">_xlfn.IFS(O704="Blaze Shield II",'CALCULO MORTERO'!P705, O704="Cafco 400",'CALCULO MORTERO'!Q705,O704="Cafco 300",'CALCULO MORTERO'!S705, AND(OR(O704="Fire tex 5090", O704="Fire Tex 5062", O704="Fire Tex 5120", O704="Fire Control"),Q704&gt;0), "CERT.",TRUE,"-")</f>
        <v>-</v>
      </c>
    </row>
    <row r="705" spans="1:22" x14ac:dyDescent="0.25">
      <c r="A705" s="903"/>
      <c r="B705" s="907"/>
      <c r="C705" s="874"/>
      <c r="D705" s="874"/>
      <c r="E705" s="874"/>
      <c r="F705" s="905"/>
      <c r="G705" s="874"/>
      <c r="H705" s="874"/>
      <c r="I705" s="906"/>
      <c r="J705" s="162"/>
      <c r="K705" s="161"/>
      <c r="L705" s="161"/>
      <c r="M705" s="169"/>
      <c r="N705" s="163" t="str">
        <f t="shared" si="14"/>
        <v/>
      </c>
      <c r="O705" s="41"/>
      <c r="P705" s="41"/>
      <c r="Q705" s="161" t="str">
        <f>+IF(OR(O705="Fire Control",O705="Fire Tex 5062",O705="Fire Tex 5090",O705="Fire Tex 5120"),'CALCULO PINTURA'!P706," ")</f>
        <v xml:space="preserve"> </v>
      </c>
      <c r="R705" s="164" t="str">
        <f>+IF(OR(O705="Fire Control",O705="Fire Tex 5062",O705="Fire Tex 5090",O705="Fire Tex 5120"),'CALCULO PINTURA'!R706," ")</f>
        <v xml:space="preserve"> </v>
      </c>
      <c r="S705" s="164" t="str">
        <f>+IF(OR(O705="Fire Control",O705="Fire Tex 5062",O705="Fire Tex 5090",O705="Fire Tex 5120"),'CALCULO PINTURA'!S706," ")</f>
        <v xml:space="preserve"> </v>
      </c>
      <c r="T705" s="874" t="str">
        <f>+IF(OR(O705="Blaze Shield II",O705="Cafco 400",O705="Cafco 300"),'CALCULO MORTERO'!N711," ")</f>
        <v xml:space="preserve"> </v>
      </c>
      <c r="U705" s="875" t="str">
        <f>+IF(OR(O705="Blaze Shield II",O705="Cafco 400",O705="Cafco 300"),'CALCULO MORTERO'!O711," ")</f>
        <v xml:space="preserve"> </v>
      </c>
      <c r="V705" s="161" t="str" cm="1">
        <f t="array" ref="V705">_xlfn.IFS(O705="Blaze Shield II",'CALCULO MORTERO'!P706, O705="Cafco 400",'CALCULO MORTERO'!Q706,O705="Cafco 300",'CALCULO MORTERO'!S706, AND(OR(O705="Fire tex 5090", O705="Fire Tex 5062", O705="Fire Tex 5120", O705="Fire Control"),Q705&gt;0), "CERT.",TRUE,"-")</f>
        <v>-</v>
      </c>
    </row>
    <row r="706" spans="1:22" x14ac:dyDescent="0.25">
      <c r="A706" s="903"/>
      <c r="B706" s="907"/>
      <c r="C706" s="874"/>
      <c r="D706" s="874"/>
      <c r="E706" s="874"/>
      <c r="F706" s="905"/>
      <c r="G706" s="874"/>
      <c r="H706" s="874"/>
      <c r="I706" s="906"/>
      <c r="J706" s="162"/>
      <c r="K706" s="161"/>
      <c r="L706" s="161"/>
      <c r="M706" s="169"/>
      <c r="N706" s="163" t="str">
        <f t="shared" si="14"/>
        <v/>
      </c>
      <c r="O706" s="41"/>
      <c r="P706" s="41"/>
      <c r="Q706" s="161" t="str">
        <f>+IF(OR(O706="Fire Control",O706="Fire Tex 5062",O706="Fire Tex 5090",O706="Fire Tex 5120"),'CALCULO PINTURA'!P707," ")</f>
        <v xml:space="preserve"> </v>
      </c>
      <c r="R706" s="164" t="str">
        <f>+IF(OR(O706="Fire Control",O706="Fire Tex 5062",O706="Fire Tex 5090",O706="Fire Tex 5120"),'CALCULO PINTURA'!R707," ")</f>
        <v xml:space="preserve"> </v>
      </c>
      <c r="S706" s="164" t="str">
        <f>+IF(OR(O706="Fire Control",O706="Fire Tex 5062",O706="Fire Tex 5090",O706="Fire Tex 5120"),'CALCULO PINTURA'!S707," ")</f>
        <v xml:space="preserve"> </v>
      </c>
      <c r="T706" s="874" t="str">
        <f>+IF(OR(O706="Blaze Shield II",O706="Cafco 400",O706="Cafco 300"),'CALCULO MORTERO'!N712," ")</f>
        <v xml:space="preserve"> </v>
      </c>
      <c r="U706" s="875" t="str">
        <f>+IF(OR(O706="Blaze Shield II",O706="Cafco 400",O706="Cafco 300"),'CALCULO MORTERO'!O712," ")</f>
        <v xml:space="preserve"> </v>
      </c>
      <c r="V706" s="161" t="str" cm="1">
        <f t="array" ref="V706">_xlfn.IFS(O706="Blaze Shield II",'CALCULO MORTERO'!P707, O706="Cafco 400",'CALCULO MORTERO'!Q707,O706="Cafco 300",'CALCULO MORTERO'!S707, AND(OR(O706="Fire tex 5090", O706="Fire Tex 5062", O706="Fire Tex 5120", O706="Fire Control"),Q706&gt;0), "CERT.",TRUE,"-")</f>
        <v>-</v>
      </c>
    </row>
    <row r="707" spans="1:22" x14ac:dyDescent="0.25">
      <c r="A707" s="903"/>
      <c r="B707" s="907"/>
      <c r="C707" s="874"/>
      <c r="D707" s="874"/>
      <c r="E707" s="874"/>
      <c r="F707" s="905"/>
      <c r="G707" s="874"/>
      <c r="H707" s="874"/>
      <c r="I707" s="906"/>
      <c r="J707" s="162"/>
      <c r="K707" s="161"/>
      <c r="L707" s="161"/>
      <c r="M707" s="169"/>
      <c r="N707" s="163" t="str">
        <f t="shared" si="14"/>
        <v/>
      </c>
      <c r="O707" s="41"/>
      <c r="P707" s="41"/>
      <c r="Q707" s="161" t="str">
        <f>+IF(OR(O707="Fire Control",O707="Fire Tex 5062",O707="Fire Tex 5090",O707="Fire Tex 5120"),'CALCULO PINTURA'!P708," ")</f>
        <v xml:space="preserve"> </v>
      </c>
      <c r="R707" s="164" t="str">
        <f>+IF(OR(O707="Fire Control",O707="Fire Tex 5062",O707="Fire Tex 5090",O707="Fire Tex 5120"),'CALCULO PINTURA'!R708," ")</f>
        <v xml:space="preserve"> </v>
      </c>
      <c r="S707" s="164" t="str">
        <f>+IF(OR(O707="Fire Control",O707="Fire Tex 5062",O707="Fire Tex 5090",O707="Fire Tex 5120"),'CALCULO PINTURA'!S708," ")</f>
        <v xml:space="preserve"> </v>
      </c>
      <c r="T707" s="874" t="str">
        <f>+IF(OR(O707="Blaze Shield II",O707="Cafco 400",O707="Cafco 300"),'CALCULO MORTERO'!N713," ")</f>
        <v xml:space="preserve"> </v>
      </c>
      <c r="U707" s="875" t="str">
        <f>+IF(OR(O707="Blaze Shield II",O707="Cafco 400",O707="Cafco 300"),'CALCULO MORTERO'!O713," ")</f>
        <v xml:space="preserve"> </v>
      </c>
      <c r="V707" s="161" t="str" cm="1">
        <f t="array" ref="V707">_xlfn.IFS(O707="Blaze Shield II",'CALCULO MORTERO'!P708, O707="Cafco 400",'CALCULO MORTERO'!Q708,O707="Cafco 300",'CALCULO MORTERO'!S708, AND(OR(O707="Fire tex 5090", O707="Fire Tex 5062", O707="Fire Tex 5120", O707="Fire Control"),Q707&gt;0), "CERT.",TRUE,"-")</f>
        <v>-</v>
      </c>
    </row>
    <row r="708" spans="1:22" x14ac:dyDescent="0.25">
      <c r="A708" s="903"/>
      <c r="B708" s="907"/>
      <c r="C708" s="874"/>
      <c r="D708" s="874"/>
      <c r="E708" s="874"/>
      <c r="F708" s="905"/>
      <c r="G708" s="874"/>
      <c r="H708" s="874"/>
      <c r="I708" s="906"/>
      <c r="J708" s="162"/>
      <c r="K708" s="161"/>
      <c r="L708" s="161"/>
      <c r="M708" s="169"/>
      <c r="N708" s="163" t="str">
        <f t="shared" ref="N708:N771" si="15">+IF(F708="","",(K708*I708*H708*G708)/1000000)</f>
        <v/>
      </c>
      <c r="O708" s="41"/>
      <c r="P708" s="41"/>
      <c r="Q708" s="161" t="str">
        <f>+IF(OR(O708="Fire Control",O708="Fire Tex 5062",O708="Fire Tex 5090",O708="Fire Tex 5120"),'CALCULO PINTURA'!P709," ")</f>
        <v xml:space="preserve"> </v>
      </c>
      <c r="R708" s="164" t="str">
        <f>+IF(OR(O708="Fire Control",O708="Fire Tex 5062",O708="Fire Tex 5090",O708="Fire Tex 5120"),'CALCULO PINTURA'!R709," ")</f>
        <v xml:space="preserve"> </v>
      </c>
      <c r="S708" s="164" t="str">
        <f>+IF(OR(O708="Fire Control",O708="Fire Tex 5062",O708="Fire Tex 5090",O708="Fire Tex 5120"),'CALCULO PINTURA'!S709," ")</f>
        <v xml:space="preserve"> </v>
      </c>
      <c r="T708" s="874" t="str">
        <f>+IF(OR(O708="Blaze Shield II",O708="Cafco 400",O708="Cafco 300"),'CALCULO MORTERO'!N714," ")</f>
        <v xml:space="preserve"> </v>
      </c>
      <c r="U708" s="875" t="str">
        <f>+IF(OR(O708="Blaze Shield II",O708="Cafco 400",O708="Cafco 300"),'CALCULO MORTERO'!O714," ")</f>
        <v xml:space="preserve"> </v>
      </c>
      <c r="V708" s="161" t="str" cm="1">
        <f t="array" ref="V708">_xlfn.IFS(O708="Blaze Shield II",'CALCULO MORTERO'!P709, O708="Cafco 400",'CALCULO MORTERO'!Q709,O708="Cafco 300",'CALCULO MORTERO'!S709, AND(OR(O708="Fire tex 5090", O708="Fire Tex 5062", O708="Fire Tex 5120", O708="Fire Control"),Q708&gt;0), "CERT.",TRUE,"-")</f>
        <v>-</v>
      </c>
    </row>
    <row r="709" spans="1:22" x14ac:dyDescent="0.25">
      <c r="A709" s="903"/>
      <c r="B709" s="907"/>
      <c r="C709" s="874"/>
      <c r="D709" s="874"/>
      <c r="E709" s="874"/>
      <c r="F709" s="905"/>
      <c r="G709" s="874"/>
      <c r="H709" s="874"/>
      <c r="I709" s="906"/>
      <c r="J709" s="162"/>
      <c r="K709" s="161"/>
      <c r="L709" s="161"/>
      <c r="M709" s="169"/>
      <c r="N709" s="163" t="str">
        <f t="shared" si="15"/>
        <v/>
      </c>
      <c r="O709" s="41"/>
      <c r="P709" s="41"/>
      <c r="Q709" s="161" t="str">
        <f>+IF(OR(O709="Fire Control",O709="Fire Tex 5062",O709="Fire Tex 5090",O709="Fire Tex 5120"),'CALCULO PINTURA'!P710," ")</f>
        <v xml:space="preserve"> </v>
      </c>
      <c r="R709" s="164" t="str">
        <f>+IF(OR(O709="Fire Control",O709="Fire Tex 5062",O709="Fire Tex 5090",O709="Fire Tex 5120"),'CALCULO PINTURA'!R710," ")</f>
        <v xml:space="preserve"> </v>
      </c>
      <c r="S709" s="164" t="str">
        <f>+IF(OR(O709="Fire Control",O709="Fire Tex 5062",O709="Fire Tex 5090",O709="Fire Tex 5120"),'CALCULO PINTURA'!S710," ")</f>
        <v xml:space="preserve"> </v>
      </c>
      <c r="T709" s="874" t="str">
        <f>+IF(OR(O709="Blaze Shield II",O709="Cafco 400",O709="Cafco 300"),'CALCULO MORTERO'!N715," ")</f>
        <v xml:space="preserve"> </v>
      </c>
      <c r="U709" s="875" t="str">
        <f>+IF(OR(O709="Blaze Shield II",O709="Cafco 400",O709="Cafco 300"),'CALCULO MORTERO'!O715," ")</f>
        <v xml:space="preserve"> </v>
      </c>
      <c r="V709" s="161" t="str" cm="1">
        <f t="array" ref="V709">_xlfn.IFS(O709="Blaze Shield II",'CALCULO MORTERO'!P710, O709="Cafco 400",'CALCULO MORTERO'!Q710,O709="Cafco 300",'CALCULO MORTERO'!S710, AND(OR(O709="Fire tex 5090", O709="Fire Tex 5062", O709="Fire Tex 5120", O709="Fire Control"),Q709&gt;0), "CERT.",TRUE,"-")</f>
        <v>-</v>
      </c>
    </row>
    <row r="710" spans="1:22" x14ac:dyDescent="0.25">
      <c r="A710" s="903"/>
      <c r="B710" s="907"/>
      <c r="C710" s="874"/>
      <c r="D710" s="874"/>
      <c r="E710" s="874"/>
      <c r="F710" s="905"/>
      <c r="G710" s="874"/>
      <c r="H710" s="874"/>
      <c r="I710" s="906"/>
      <c r="J710" s="162"/>
      <c r="K710" s="161"/>
      <c r="L710" s="161"/>
      <c r="M710" s="169"/>
      <c r="N710" s="163" t="str">
        <f t="shared" si="15"/>
        <v/>
      </c>
      <c r="O710" s="41"/>
      <c r="P710" s="41"/>
      <c r="Q710" s="161" t="str">
        <f>+IF(OR(O710="Fire Control",O710="Fire Tex 5062",O710="Fire Tex 5090",O710="Fire Tex 5120"),'CALCULO PINTURA'!P711," ")</f>
        <v xml:space="preserve"> </v>
      </c>
      <c r="R710" s="164" t="str">
        <f>+IF(OR(O710="Fire Control",O710="Fire Tex 5062",O710="Fire Tex 5090",O710="Fire Tex 5120"),'CALCULO PINTURA'!R711," ")</f>
        <v xml:space="preserve"> </v>
      </c>
      <c r="S710" s="164" t="str">
        <f>+IF(OR(O710="Fire Control",O710="Fire Tex 5062",O710="Fire Tex 5090",O710="Fire Tex 5120"),'CALCULO PINTURA'!S711," ")</f>
        <v xml:space="preserve"> </v>
      </c>
      <c r="T710" s="874" t="str">
        <f>+IF(OR(O710="Blaze Shield II",O710="Cafco 400",O710="Cafco 300"),'CALCULO MORTERO'!N716," ")</f>
        <v xml:space="preserve"> </v>
      </c>
      <c r="U710" s="875" t="str">
        <f>+IF(OR(O710="Blaze Shield II",O710="Cafco 400",O710="Cafco 300"),'CALCULO MORTERO'!O716," ")</f>
        <v xml:space="preserve"> </v>
      </c>
      <c r="V710" s="161" t="str" cm="1">
        <f t="array" ref="V710">_xlfn.IFS(O710="Blaze Shield II",'CALCULO MORTERO'!P711, O710="Cafco 400",'CALCULO MORTERO'!Q711,O710="Cafco 300",'CALCULO MORTERO'!S711, AND(OR(O710="Fire tex 5090", O710="Fire Tex 5062", O710="Fire Tex 5120", O710="Fire Control"),Q710&gt;0), "CERT.",TRUE,"-")</f>
        <v>-</v>
      </c>
    </row>
    <row r="711" spans="1:22" x14ac:dyDescent="0.25">
      <c r="A711" s="903"/>
      <c r="B711" s="907"/>
      <c r="C711" s="874"/>
      <c r="D711" s="874"/>
      <c r="E711" s="874"/>
      <c r="F711" s="905"/>
      <c r="G711" s="874"/>
      <c r="H711" s="874"/>
      <c r="I711" s="906"/>
      <c r="J711" s="162"/>
      <c r="K711" s="161"/>
      <c r="L711" s="161"/>
      <c r="M711" s="169"/>
      <c r="N711" s="163" t="str">
        <f t="shared" si="15"/>
        <v/>
      </c>
      <c r="O711" s="41"/>
      <c r="P711" s="41"/>
      <c r="Q711" s="161" t="str">
        <f>+IF(OR(O711="Fire Control",O711="Fire Tex 5062",O711="Fire Tex 5090",O711="Fire Tex 5120"),'CALCULO PINTURA'!P712," ")</f>
        <v xml:space="preserve"> </v>
      </c>
      <c r="R711" s="164" t="str">
        <f>+IF(OR(O711="Fire Control",O711="Fire Tex 5062",O711="Fire Tex 5090",O711="Fire Tex 5120"),'CALCULO PINTURA'!R712," ")</f>
        <v xml:space="preserve"> </v>
      </c>
      <c r="S711" s="164" t="str">
        <f>+IF(OR(O711="Fire Control",O711="Fire Tex 5062",O711="Fire Tex 5090",O711="Fire Tex 5120"),'CALCULO PINTURA'!S712," ")</f>
        <v xml:space="preserve"> </v>
      </c>
      <c r="T711" s="874" t="str">
        <f>+IF(OR(O711="Blaze Shield II",O711="Cafco 400",O711="Cafco 300"),'CALCULO MORTERO'!N717," ")</f>
        <v xml:space="preserve"> </v>
      </c>
      <c r="U711" s="875" t="str">
        <f>+IF(OR(O711="Blaze Shield II",O711="Cafco 400",O711="Cafco 300"),'CALCULO MORTERO'!O717," ")</f>
        <v xml:space="preserve"> </v>
      </c>
      <c r="V711" s="161" t="str" cm="1">
        <f t="array" ref="V711">_xlfn.IFS(O711="Blaze Shield II",'CALCULO MORTERO'!P712, O711="Cafco 400",'CALCULO MORTERO'!Q712,O711="Cafco 300",'CALCULO MORTERO'!S712, AND(OR(O711="Fire tex 5090", O711="Fire Tex 5062", O711="Fire Tex 5120", O711="Fire Control"),Q711&gt;0), "CERT.",TRUE,"-")</f>
        <v>-</v>
      </c>
    </row>
    <row r="712" spans="1:22" x14ac:dyDescent="0.25">
      <c r="A712" s="903"/>
      <c r="B712" s="907"/>
      <c r="C712" s="874"/>
      <c r="D712" s="874"/>
      <c r="E712" s="874"/>
      <c r="F712" s="905"/>
      <c r="G712" s="874"/>
      <c r="H712" s="874"/>
      <c r="I712" s="906"/>
      <c r="J712" s="162"/>
      <c r="K712" s="161"/>
      <c r="L712" s="161"/>
      <c r="M712" s="169"/>
      <c r="N712" s="163" t="str">
        <f t="shared" si="15"/>
        <v/>
      </c>
      <c r="O712" s="41"/>
      <c r="P712" s="41"/>
      <c r="Q712" s="161" t="str">
        <f>+IF(OR(O712="Fire Control",O712="Fire Tex 5062",O712="Fire Tex 5090",O712="Fire Tex 5120"),'CALCULO PINTURA'!P713," ")</f>
        <v xml:space="preserve"> </v>
      </c>
      <c r="R712" s="164" t="str">
        <f>+IF(OR(O712="Fire Control",O712="Fire Tex 5062",O712="Fire Tex 5090",O712="Fire Tex 5120"),'CALCULO PINTURA'!R713," ")</f>
        <v xml:space="preserve"> </v>
      </c>
      <c r="S712" s="164" t="str">
        <f>+IF(OR(O712="Fire Control",O712="Fire Tex 5062",O712="Fire Tex 5090",O712="Fire Tex 5120"),'CALCULO PINTURA'!S713," ")</f>
        <v xml:space="preserve"> </v>
      </c>
      <c r="T712" s="874" t="str">
        <f>+IF(OR(O712="Blaze Shield II",O712="Cafco 400",O712="Cafco 300"),'CALCULO MORTERO'!N718," ")</f>
        <v xml:space="preserve"> </v>
      </c>
      <c r="U712" s="875" t="str">
        <f>+IF(OR(O712="Blaze Shield II",O712="Cafco 400",O712="Cafco 300"),'CALCULO MORTERO'!O718," ")</f>
        <v xml:space="preserve"> </v>
      </c>
      <c r="V712" s="161" t="str" cm="1">
        <f t="array" ref="V712">_xlfn.IFS(O712="Blaze Shield II",'CALCULO MORTERO'!P713, O712="Cafco 400",'CALCULO MORTERO'!Q713,O712="Cafco 300",'CALCULO MORTERO'!S713, AND(OR(O712="Fire tex 5090", O712="Fire Tex 5062", O712="Fire Tex 5120", O712="Fire Control"),Q712&gt;0), "CERT.",TRUE,"-")</f>
        <v>-</v>
      </c>
    </row>
    <row r="713" spans="1:22" x14ac:dyDescent="0.25">
      <c r="A713" s="903"/>
      <c r="B713" s="907"/>
      <c r="C713" s="874"/>
      <c r="D713" s="874"/>
      <c r="E713" s="874"/>
      <c r="F713" s="905"/>
      <c r="G713" s="874"/>
      <c r="H713" s="874"/>
      <c r="I713" s="906"/>
      <c r="J713" s="162"/>
      <c r="K713" s="161"/>
      <c r="L713" s="161"/>
      <c r="M713" s="169"/>
      <c r="N713" s="163" t="str">
        <f t="shared" si="15"/>
        <v/>
      </c>
      <c r="O713" s="41"/>
      <c r="P713" s="41"/>
      <c r="Q713" s="161" t="str">
        <f>+IF(OR(O713="Fire Control",O713="Fire Tex 5062",O713="Fire Tex 5090",O713="Fire Tex 5120"),'CALCULO PINTURA'!P714," ")</f>
        <v xml:space="preserve"> </v>
      </c>
      <c r="R713" s="164" t="str">
        <f>+IF(OR(O713="Fire Control",O713="Fire Tex 5062",O713="Fire Tex 5090",O713="Fire Tex 5120"),'CALCULO PINTURA'!R714," ")</f>
        <v xml:space="preserve"> </v>
      </c>
      <c r="S713" s="164" t="str">
        <f>+IF(OR(O713="Fire Control",O713="Fire Tex 5062",O713="Fire Tex 5090",O713="Fire Tex 5120"),'CALCULO PINTURA'!S714," ")</f>
        <v xml:space="preserve"> </v>
      </c>
      <c r="T713" s="874" t="str">
        <f>+IF(OR(O713="Blaze Shield II",O713="Cafco 400",O713="Cafco 300"),'CALCULO MORTERO'!N719," ")</f>
        <v xml:space="preserve"> </v>
      </c>
      <c r="U713" s="875" t="str">
        <f>+IF(OR(O713="Blaze Shield II",O713="Cafco 400",O713="Cafco 300"),'CALCULO MORTERO'!O719," ")</f>
        <v xml:space="preserve"> </v>
      </c>
      <c r="V713" s="161" t="str" cm="1">
        <f t="array" ref="V713">_xlfn.IFS(O713="Blaze Shield II",'CALCULO MORTERO'!P714, O713="Cafco 400",'CALCULO MORTERO'!Q714,O713="Cafco 300",'CALCULO MORTERO'!S714, AND(OR(O713="Fire tex 5090", O713="Fire Tex 5062", O713="Fire Tex 5120", O713="Fire Control"),Q713&gt;0), "CERT.",TRUE,"-")</f>
        <v>-</v>
      </c>
    </row>
    <row r="714" spans="1:22" x14ac:dyDescent="0.25">
      <c r="A714" s="903"/>
      <c r="B714" s="907"/>
      <c r="C714" s="874"/>
      <c r="D714" s="874"/>
      <c r="E714" s="874"/>
      <c r="F714" s="905"/>
      <c r="G714" s="874"/>
      <c r="H714" s="874"/>
      <c r="I714" s="906"/>
      <c r="J714" s="162"/>
      <c r="K714" s="161"/>
      <c r="L714" s="161"/>
      <c r="M714" s="169"/>
      <c r="N714" s="163" t="str">
        <f t="shared" si="15"/>
        <v/>
      </c>
      <c r="O714" s="41"/>
      <c r="P714" s="41"/>
      <c r="Q714" s="161" t="str">
        <f>+IF(OR(O714="Fire Control",O714="Fire Tex 5062",O714="Fire Tex 5090",O714="Fire Tex 5120"),'CALCULO PINTURA'!P715," ")</f>
        <v xml:space="preserve"> </v>
      </c>
      <c r="R714" s="164" t="str">
        <f>+IF(OR(O714="Fire Control",O714="Fire Tex 5062",O714="Fire Tex 5090",O714="Fire Tex 5120"),'CALCULO PINTURA'!R715," ")</f>
        <v xml:space="preserve"> </v>
      </c>
      <c r="S714" s="164" t="str">
        <f>+IF(OR(O714="Fire Control",O714="Fire Tex 5062",O714="Fire Tex 5090",O714="Fire Tex 5120"),'CALCULO PINTURA'!S715," ")</f>
        <v xml:space="preserve"> </v>
      </c>
      <c r="T714" s="874" t="str">
        <f>+IF(OR(O714="Blaze Shield II",O714="Cafco 400",O714="Cafco 300"),'CALCULO MORTERO'!N720," ")</f>
        <v xml:space="preserve"> </v>
      </c>
      <c r="U714" s="875" t="str">
        <f>+IF(OR(O714="Blaze Shield II",O714="Cafco 400",O714="Cafco 300"),'CALCULO MORTERO'!O720," ")</f>
        <v xml:space="preserve"> </v>
      </c>
      <c r="V714" s="161" t="str" cm="1">
        <f t="array" ref="V714">_xlfn.IFS(O714="Blaze Shield II",'CALCULO MORTERO'!P715, O714="Cafco 400",'CALCULO MORTERO'!Q715,O714="Cafco 300",'CALCULO MORTERO'!S715, AND(OR(O714="Fire tex 5090", O714="Fire Tex 5062", O714="Fire Tex 5120", O714="Fire Control"),Q714&gt;0), "CERT.",TRUE,"-")</f>
        <v>-</v>
      </c>
    </row>
    <row r="715" spans="1:22" x14ac:dyDescent="0.25">
      <c r="A715" s="903"/>
      <c r="B715" s="907"/>
      <c r="C715" s="874"/>
      <c r="D715" s="874"/>
      <c r="E715" s="874"/>
      <c r="F715" s="905"/>
      <c r="G715" s="874"/>
      <c r="H715" s="874"/>
      <c r="I715" s="906"/>
      <c r="J715" s="162"/>
      <c r="K715" s="161"/>
      <c r="L715" s="161"/>
      <c r="M715" s="169"/>
      <c r="N715" s="163" t="str">
        <f t="shared" si="15"/>
        <v/>
      </c>
      <c r="O715" s="41"/>
      <c r="P715" s="41"/>
      <c r="Q715" s="161" t="str">
        <f>+IF(OR(O715="Fire Control",O715="Fire Tex 5062",O715="Fire Tex 5090",O715="Fire Tex 5120"),'CALCULO PINTURA'!P716," ")</f>
        <v xml:space="preserve"> </v>
      </c>
      <c r="R715" s="164" t="str">
        <f>+IF(OR(O715="Fire Control",O715="Fire Tex 5062",O715="Fire Tex 5090",O715="Fire Tex 5120"),'CALCULO PINTURA'!R716," ")</f>
        <v xml:space="preserve"> </v>
      </c>
      <c r="S715" s="164" t="str">
        <f>+IF(OR(O715="Fire Control",O715="Fire Tex 5062",O715="Fire Tex 5090",O715="Fire Tex 5120"),'CALCULO PINTURA'!S716," ")</f>
        <v xml:space="preserve"> </v>
      </c>
      <c r="T715" s="874" t="str">
        <f>+IF(OR(O715="Blaze Shield II",O715="Cafco 400",O715="Cafco 300"),'CALCULO MORTERO'!N721," ")</f>
        <v xml:space="preserve"> </v>
      </c>
      <c r="U715" s="875" t="str">
        <f>+IF(OR(O715="Blaze Shield II",O715="Cafco 400",O715="Cafco 300"),'CALCULO MORTERO'!O721," ")</f>
        <v xml:space="preserve"> </v>
      </c>
      <c r="V715" s="161" t="str" cm="1">
        <f t="array" ref="V715">_xlfn.IFS(O715="Blaze Shield II",'CALCULO MORTERO'!P716, O715="Cafco 400",'CALCULO MORTERO'!Q716,O715="Cafco 300",'CALCULO MORTERO'!S716, AND(OR(O715="Fire tex 5090", O715="Fire Tex 5062", O715="Fire Tex 5120", O715="Fire Control"),Q715&gt;0), "CERT.",TRUE,"-")</f>
        <v>-</v>
      </c>
    </row>
    <row r="716" spans="1:22" x14ac:dyDescent="0.25">
      <c r="A716" s="903"/>
      <c r="B716" s="907"/>
      <c r="C716" s="874"/>
      <c r="D716" s="874"/>
      <c r="E716" s="874"/>
      <c r="F716" s="905"/>
      <c r="G716" s="874"/>
      <c r="H716" s="874"/>
      <c r="I716" s="906"/>
      <c r="J716" s="162"/>
      <c r="K716" s="161"/>
      <c r="L716" s="161"/>
      <c r="M716" s="169"/>
      <c r="N716" s="163" t="str">
        <f t="shared" si="15"/>
        <v/>
      </c>
      <c r="O716" s="41"/>
      <c r="P716" s="41"/>
      <c r="Q716" s="161" t="str">
        <f>+IF(OR(O716="Fire Control",O716="Fire Tex 5062",O716="Fire Tex 5090",O716="Fire Tex 5120"),'CALCULO PINTURA'!P717," ")</f>
        <v xml:space="preserve"> </v>
      </c>
      <c r="R716" s="164" t="str">
        <f>+IF(OR(O716="Fire Control",O716="Fire Tex 5062",O716="Fire Tex 5090",O716="Fire Tex 5120"),'CALCULO PINTURA'!R717," ")</f>
        <v xml:space="preserve"> </v>
      </c>
      <c r="S716" s="164" t="str">
        <f>+IF(OR(O716="Fire Control",O716="Fire Tex 5062",O716="Fire Tex 5090",O716="Fire Tex 5120"),'CALCULO PINTURA'!S717," ")</f>
        <v xml:space="preserve"> </v>
      </c>
      <c r="T716" s="874" t="str">
        <f>+IF(OR(O716="Blaze Shield II",O716="Cafco 400",O716="Cafco 300"),'CALCULO MORTERO'!N722," ")</f>
        <v xml:space="preserve"> </v>
      </c>
      <c r="U716" s="875" t="str">
        <f>+IF(OR(O716="Blaze Shield II",O716="Cafco 400",O716="Cafco 300"),'CALCULO MORTERO'!O722," ")</f>
        <v xml:space="preserve"> </v>
      </c>
      <c r="V716" s="161" t="str" cm="1">
        <f t="array" ref="V716">_xlfn.IFS(O716="Blaze Shield II",'CALCULO MORTERO'!P717, O716="Cafco 400",'CALCULO MORTERO'!Q717,O716="Cafco 300",'CALCULO MORTERO'!S717, AND(OR(O716="Fire tex 5090", O716="Fire Tex 5062", O716="Fire Tex 5120", O716="Fire Control"),Q716&gt;0), "CERT.",TRUE,"-")</f>
        <v>-</v>
      </c>
    </row>
    <row r="717" spans="1:22" x14ac:dyDescent="0.25">
      <c r="A717" s="903"/>
      <c r="B717" s="907"/>
      <c r="C717" s="874"/>
      <c r="D717" s="874"/>
      <c r="E717" s="874"/>
      <c r="F717" s="905"/>
      <c r="G717" s="874"/>
      <c r="H717" s="874"/>
      <c r="I717" s="906"/>
      <c r="J717" s="162"/>
      <c r="K717" s="161"/>
      <c r="L717" s="161"/>
      <c r="M717" s="169"/>
      <c r="N717" s="163" t="str">
        <f t="shared" si="15"/>
        <v/>
      </c>
      <c r="O717" s="41"/>
      <c r="P717" s="41"/>
      <c r="Q717" s="161" t="str">
        <f>+IF(OR(O717="Fire Control",O717="Fire Tex 5062",O717="Fire Tex 5090",O717="Fire Tex 5120"),'CALCULO PINTURA'!P718," ")</f>
        <v xml:space="preserve"> </v>
      </c>
      <c r="R717" s="164" t="str">
        <f>+IF(OR(O717="Fire Control",O717="Fire Tex 5062",O717="Fire Tex 5090",O717="Fire Tex 5120"),'CALCULO PINTURA'!R718," ")</f>
        <v xml:space="preserve"> </v>
      </c>
      <c r="S717" s="164" t="str">
        <f>+IF(OR(O717="Fire Control",O717="Fire Tex 5062",O717="Fire Tex 5090",O717="Fire Tex 5120"),'CALCULO PINTURA'!S718," ")</f>
        <v xml:space="preserve"> </v>
      </c>
      <c r="T717" s="874" t="str">
        <f>+IF(OR(O717="Blaze Shield II",O717="Cafco 400",O717="Cafco 300"),'CALCULO MORTERO'!N723," ")</f>
        <v xml:space="preserve"> </v>
      </c>
      <c r="U717" s="875" t="str">
        <f>+IF(OR(O717="Blaze Shield II",O717="Cafco 400",O717="Cafco 300"),'CALCULO MORTERO'!O723," ")</f>
        <v xml:space="preserve"> </v>
      </c>
      <c r="V717" s="161" t="str" cm="1">
        <f t="array" ref="V717">_xlfn.IFS(O717="Blaze Shield II",'CALCULO MORTERO'!P718, O717="Cafco 400",'CALCULO MORTERO'!Q718,O717="Cafco 300",'CALCULO MORTERO'!S718, AND(OR(O717="Fire tex 5090", O717="Fire Tex 5062", O717="Fire Tex 5120", O717="Fire Control"),Q717&gt;0), "CERT.",TRUE,"-")</f>
        <v>-</v>
      </c>
    </row>
    <row r="718" spans="1:22" x14ac:dyDescent="0.25">
      <c r="A718" s="903"/>
      <c r="B718" s="907"/>
      <c r="C718" s="874"/>
      <c r="D718" s="874"/>
      <c r="E718" s="874"/>
      <c r="F718" s="905"/>
      <c r="G718" s="874"/>
      <c r="H718" s="874"/>
      <c r="I718" s="906"/>
      <c r="J718" s="162"/>
      <c r="K718" s="161"/>
      <c r="L718" s="161"/>
      <c r="M718" s="169"/>
      <c r="N718" s="163" t="str">
        <f t="shared" si="15"/>
        <v/>
      </c>
      <c r="O718" s="41"/>
      <c r="P718" s="41"/>
      <c r="Q718" s="161" t="str">
        <f>+IF(OR(O718="Fire Control",O718="Fire Tex 5062",O718="Fire Tex 5090",O718="Fire Tex 5120"),'CALCULO PINTURA'!P719," ")</f>
        <v xml:space="preserve"> </v>
      </c>
      <c r="R718" s="164" t="str">
        <f>+IF(OR(O718="Fire Control",O718="Fire Tex 5062",O718="Fire Tex 5090",O718="Fire Tex 5120"),'CALCULO PINTURA'!R719," ")</f>
        <v xml:space="preserve"> </v>
      </c>
      <c r="S718" s="164" t="str">
        <f>+IF(OR(O718="Fire Control",O718="Fire Tex 5062",O718="Fire Tex 5090",O718="Fire Tex 5120"),'CALCULO PINTURA'!S719," ")</f>
        <v xml:space="preserve"> </v>
      </c>
      <c r="T718" s="874" t="str">
        <f>+IF(OR(O718="Blaze Shield II",O718="Cafco 400",O718="Cafco 300"),'CALCULO MORTERO'!N724," ")</f>
        <v xml:space="preserve"> </v>
      </c>
      <c r="U718" s="875" t="str">
        <f>+IF(OR(O718="Blaze Shield II",O718="Cafco 400",O718="Cafco 300"),'CALCULO MORTERO'!O724," ")</f>
        <v xml:space="preserve"> </v>
      </c>
      <c r="V718" s="161" t="str" cm="1">
        <f t="array" ref="V718">_xlfn.IFS(O718="Blaze Shield II",'CALCULO MORTERO'!P719, O718="Cafco 400",'CALCULO MORTERO'!Q719,O718="Cafco 300",'CALCULO MORTERO'!S719, AND(OR(O718="Fire tex 5090", O718="Fire Tex 5062", O718="Fire Tex 5120", O718="Fire Control"),Q718&gt;0), "CERT.",TRUE,"-")</f>
        <v>-</v>
      </c>
    </row>
    <row r="719" spans="1:22" x14ac:dyDescent="0.25">
      <c r="A719" s="903"/>
      <c r="B719" s="907"/>
      <c r="C719" s="874"/>
      <c r="D719" s="874"/>
      <c r="E719" s="874"/>
      <c r="F719" s="905"/>
      <c r="G719" s="874"/>
      <c r="H719" s="874"/>
      <c r="I719" s="906"/>
      <c r="J719" s="162"/>
      <c r="K719" s="161"/>
      <c r="L719" s="161"/>
      <c r="M719" s="169"/>
      <c r="N719" s="163" t="str">
        <f t="shared" si="15"/>
        <v/>
      </c>
      <c r="O719" s="41"/>
      <c r="P719" s="41"/>
      <c r="Q719" s="161" t="str">
        <f>+IF(OR(O719="Fire Control",O719="Fire Tex 5062",O719="Fire Tex 5090",O719="Fire Tex 5120"),'CALCULO PINTURA'!P720," ")</f>
        <v xml:space="preserve"> </v>
      </c>
      <c r="R719" s="164" t="str">
        <f>+IF(OR(O719="Fire Control",O719="Fire Tex 5062",O719="Fire Tex 5090",O719="Fire Tex 5120"),'CALCULO PINTURA'!R720," ")</f>
        <v xml:space="preserve"> </v>
      </c>
      <c r="S719" s="164" t="str">
        <f>+IF(OR(O719="Fire Control",O719="Fire Tex 5062",O719="Fire Tex 5090",O719="Fire Tex 5120"),'CALCULO PINTURA'!S720," ")</f>
        <v xml:space="preserve"> </v>
      </c>
      <c r="T719" s="874" t="str">
        <f>+IF(OR(O719="Blaze Shield II",O719="Cafco 400",O719="Cafco 300"),'CALCULO MORTERO'!N725," ")</f>
        <v xml:space="preserve"> </v>
      </c>
      <c r="U719" s="875" t="str">
        <f>+IF(OR(O719="Blaze Shield II",O719="Cafco 400",O719="Cafco 300"),'CALCULO MORTERO'!O725," ")</f>
        <v xml:space="preserve"> </v>
      </c>
      <c r="V719" s="161" t="str" cm="1">
        <f t="array" ref="V719">_xlfn.IFS(O719="Blaze Shield II",'CALCULO MORTERO'!P720, O719="Cafco 400",'CALCULO MORTERO'!Q720,O719="Cafco 300",'CALCULO MORTERO'!S720, AND(OR(O719="Fire tex 5090", O719="Fire Tex 5062", O719="Fire Tex 5120", O719="Fire Control"),Q719&gt;0), "CERT.",TRUE,"-")</f>
        <v>-</v>
      </c>
    </row>
    <row r="720" spans="1:22" x14ac:dyDescent="0.25">
      <c r="A720" s="903"/>
      <c r="B720" s="907"/>
      <c r="C720" s="874"/>
      <c r="D720" s="874"/>
      <c r="E720" s="874"/>
      <c r="F720" s="905"/>
      <c r="G720" s="874"/>
      <c r="H720" s="874"/>
      <c r="I720" s="906"/>
      <c r="J720" s="162"/>
      <c r="K720" s="161"/>
      <c r="L720" s="161"/>
      <c r="M720" s="169"/>
      <c r="N720" s="163" t="str">
        <f t="shared" si="15"/>
        <v/>
      </c>
      <c r="O720" s="41"/>
      <c r="P720" s="41"/>
      <c r="Q720" s="161" t="str">
        <f>+IF(OR(O720="Fire Control",O720="Fire Tex 5062",O720="Fire Tex 5090",O720="Fire Tex 5120"),'CALCULO PINTURA'!P721," ")</f>
        <v xml:space="preserve"> </v>
      </c>
      <c r="R720" s="164" t="str">
        <f>+IF(OR(O720="Fire Control",O720="Fire Tex 5062",O720="Fire Tex 5090",O720="Fire Tex 5120"),'CALCULO PINTURA'!R721," ")</f>
        <v xml:space="preserve"> </v>
      </c>
      <c r="S720" s="164" t="str">
        <f>+IF(OR(O720="Fire Control",O720="Fire Tex 5062",O720="Fire Tex 5090",O720="Fire Tex 5120"),'CALCULO PINTURA'!S721," ")</f>
        <v xml:space="preserve"> </v>
      </c>
      <c r="T720" s="874" t="str">
        <f>+IF(OR(O720="Blaze Shield II",O720="Cafco 400",O720="Cafco 300"),'CALCULO MORTERO'!N726," ")</f>
        <v xml:space="preserve"> </v>
      </c>
      <c r="U720" s="875" t="str">
        <f>+IF(OR(O720="Blaze Shield II",O720="Cafco 400",O720="Cafco 300"),'CALCULO MORTERO'!O726," ")</f>
        <v xml:space="preserve"> </v>
      </c>
      <c r="V720" s="161" t="str" cm="1">
        <f t="array" ref="V720">_xlfn.IFS(O720="Blaze Shield II",'CALCULO MORTERO'!P721, O720="Cafco 400",'CALCULO MORTERO'!Q721,O720="Cafco 300",'CALCULO MORTERO'!S721, AND(OR(O720="Fire tex 5090", O720="Fire Tex 5062", O720="Fire Tex 5120", O720="Fire Control"),Q720&gt;0), "CERT.",TRUE,"-")</f>
        <v>-</v>
      </c>
    </row>
    <row r="721" spans="1:22" x14ac:dyDescent="0.25">
      <c r="A721" s="903"/>
      <c r="B721" s="907"/>
      <c r="C721" s="874"/>
      <c r="D721" s="874"/>
      <c r="E721" s="874"/>
      <c r="F721" s="905"/>
      <c r="G721" s="874"/>
      <c r="H721" s="874"/>
      <c r="I721" s="906"/>
      <c r="J721" s="162"/>
      <c r="K721" s="161"/>
      <c r="L721" s="161"/>
      <c r="M721" s="169"/>
      <c r="N721" s="163" t="str">
        <f t="shared" si="15"/>
        <v/>
      </c>
      <c r="O721" s="41"/>
      <c r="P721" s="41"/>
      <c r="Q721" s="161" t="str">
        <f>+IF(OR(O721="Fire Control",O721="Fire Tex 5062",O721="Fire Tex 5090",O721="Fire Tex 5120"),'CALCULO PINTURA'!P722," ")</f>
        <v xml:space="preserve"> </v>
      </c>
      <c r="R721" s="164" t="str">
        <f>+IF(OR(O721="Fire Control",O721="Fire Tex 5062",O721="Fire Tex 5090",O721="Fire Tex 5120"),'CALCULO PINTURA'!R722," ")</f>
        <v xml:space="preserve"> </v>
      </c>
      <c r="S721" s="164" t="str">
        <f>+IF(OR(O721="Fire Control",O721="Fire Tex 5062",O721="Fire Tex 5090",O721="Fire Tex 5120"),'CALCULO PINTURA'!S722," ")</f>
        <v xml:space="preserve"> </v>
      </c>
      <c r="T721" s="874" t="str">
        <f>+IF(OR(O721="Blaze Shield II",O721="Cafco 400",O721="Cafco 300"),'CALCULO MORTERO'!N727," ")</f>
        <v xml:space="preserve"> </v>
      </c>
      <c r="U721" s="875" t="str">
        <f>+IF(OR(O721="Blaze Shield II",O721="Cafco 400",O721="Cafco 300"),'CALCULO MORTERO'!O727," ")</f>
        <v xml:space="preserve"> </v>
      </c>
      <c r="V721" s="161" t="str" cm="1">
        <f t="array" ref="V721">_xlfn.IFS(O721="Blaze Shield II",'CALCULO MORTERO'!P722, O721="Cafco 400",'CALCULO MORTERO'!Q722,O721="Cafco 300",'CALCULO MORTERO'!S722, AND(OR(O721="Fire tex 5090", O721="Fire Tex 5062", O721="Fire Tex 5120", O721="Fire Control"),Q721&gt;0), "CERT.",TRUE,"-")</f>
        <v>-</v>
      </c>
    </row>
    <row r="722" spans="1:22" x14ac:dyDescent="0.25">
      <c r="A722" s="903"/>
      <c r="B722" s="907"/>
      <c r="C722" s="874"/>
      <c r="D722" s="874"/>
      <c r="E722" s="874"/>
      <c r="F722" s="905"/>
      <c r="G722" s="874"/>
      <c r="H722" s="874"/>
      <c r="I722" s="906"/>
      <c r="J722" s="162"/>
      <c r="K722" s="161"/>
      <c r="L722" s="161"/>
      <c r="M722" s="169"/>
      <c r="N722" s="163" t="str">
        <f t="shared" si="15"/>
        <v/>
      </c>
      <c r="O722" s="41"/>
      <c r="P722" s="41"/>
      <c r="Q722" s="161" t="str">
        <f>+IF(OR(O722="Fire Control",O722="Fire Tex 5062",O722="Fire Tex 5090",O722="Fire Tex 5120"),'CALCULO PINTURA'!P723," ")</f>
        <v xml:space="preserve"> </v>
      </c>
      <c r="R722" s="164" t="str">
        <f>+IF(OR(O722="Fire Control",O722="Fire Tex 5062",O722="Fire Tex 5090",O722="Fire Tex 5120"),'CALCULO PINTURA'!R723," ")</f>
        <v xml:space="preserve"> </v>
      </c>
      <c r="S722" s="164" t="str">
        <f>+IF(OR(O722="Fire Control",O722="Fire Tex 5062",O722="Fire Tex 5090",O722="Fire Tex 5120"),'CALCULO PINTURA'!S723," ")</f>
        <v xml:space="preserve"> </v>
      </c>
      <c r="T722" s="874" t="str">
        <f>+IF(OR(O722="Blaze Shield II",O722="Cafco 400",O722="Cafco 300"),'CALCULO MORTERO'!N728," ")</f>
        <v xml:space="preserve"> </v>
      </c>
      <c r="U722" s="875" t="str">
        <f>+IF(OR(O722="Blaze Shield II",O722="Cafco 400",O722="Cafco 300"),'CALCULO MORTERO'!O728," ")</f>
        <v xml:space="preserve"> </v>
      </c>
      <c r="V722" s="161" t="str" cm="1">
        <f t="array" ref="V722">_xlfn.IFS(O722="Blaze Shield II",'CALCULO MORTERO'!P723, O722="Cafco 400",'CALCULO MORTERO'!Q723,O722="Cafco 300",'CALCULO MORTERO'!S723, AND(OR(O722="Fire tex 5090", O722="Fire Tex 5062", O722="Fire Tex 5120", O722="Fire Control"),Q722&gt;0), "CERT.",TRUE,"-")</f>
        <v>-</v>
      </c>
    </row>
    <row r="723" spans="1:22" x14ac:dyDescent="0.25">
      <c r="A723" s="903"/>
      <c r="B723" s="907"/>
      <c r="C723" s="874"/>
      <c r="D723" s="874"/>
      <c r="E723" s="874"/>
      <c r="F723" s="905"/>
      <c r="G723" s="874"/>
      <c r="H723" s="874"/>
      <c r="I723" s="906"/>
      <c r="J723" s="162"/>
      <c r="K723" s="161"/>
      <c r="L723" s="161"/>
      <c r="M723" s="169"/>
      <c r="N723" s="163" t="str">
        <f t="shared" si="15"/>
        <v/>
      </c>
      <c r="O723" s="41"/>
      <c r="P723" s="41"/>
      <c r="Q723" s="161" t="str">
        <f>+IF(OR(O723="Fire Control",O723="Fire Tex 5062",O723="Fire Tex 5090",O723="Fire Tex 5120"),'CALCULO PINTURA'!P724," ")</f>
        <v xml:space="preserve"> </v>
      </c>
      <c r="R723" s="164" t="str">
        <f>+IF(OR(O723="Fire Control",O723="Fire Tex 5062",O723="Fire Tex 5090",O723="Fire Tex 5120"),'CALCULO PINTURA'!R724," ")</f>
        <v xml:space="preserve"> </v>
      </c>
      <c r="S723" s="164" t="str">
        <f>+IF(OR(O723="Fire Control",O723="Fire Tex 5062",O723="Fire Tex 5090",O723="Fire Tex 5120"),'CALCULO PINTURA'!S724," ")</f>
        <v xml:space="preserve"> </v>
      </c>
      <c r="T723" s="874" t="str">
        <f>+IF(OR(O723="Blaze Shield II",O723="Cafco 400",O723="Cafco 300"),'CALCULO MORTERO'!N729," ")</f>
        <v xml:space="preserve"> </v>
      </c>
      <c r="U723" s="875" t="str">
        <f>+IF(OR(O723="Blaze Shield II",O723="Cafco 400",O723="Cafco 300"),'CALCULO MORTERO'!O729," ")</f>
        <v xml:space="preserve"> </v>
      </c>
      <c r="V723" s="161" t="str" cm="1">
        <f t="array" ref="V723">_xlfn.IFS(O723="Blaze Shield II",'CALCULO MORTERO'!P724, O723="Cafco 400",'CALCULO MORTERO'!Q724,O723="Cafco 300",'CALCULO MORTERO'!S724, AND(OR(O723="Fire tex 5090", O723="Fire Tex 5062", O723="Fire Tex 5120", O723="Fire Control"),Q723&gt;0), "CERT.",TRUE,"-")</f>
        <v>-</v>
      </c>
    </row>
    <row r="724" spans="1:22" x14ac:dyDescent="0.25">
      <c r="A724" s="903"/>
      <c r="B724" s="907"/>
      <c r="C724" s="874"/>
      <c r="D724" s="874"/>
      <c r="E724" s="874"/>
      <c r="F724" s="905"/>
      <c r="G724" s="874"/>
      <c r="H724" s="874"/>
      <c r="I724" s="906"/>
      <c r="J724" s="162"/>
      <c r="K724" s="161"/>
      <c r="L724" s="161"/>
      <c r="M724" s="169"/>
      <c r="N724" s="163" t="str">
        <f t="shared" si="15"/>
        <v/>
      </c>
      <c r="O724" s="41"/>
      <c r="P724" s="41"/>
      <c r="Q724" s="161" t="str">
        <f>+IF(OR(O724="Fire Control",O724="Fire Tex 5062",O724="Fire Tex 5090",O724="Fire Tex 5120"),'CALCULO PINTURA'!P725," ")</f>
        <v xml:space="preserve"> </v>
      </c>
      <c r="R724" s="164" t="str">
        <f>+IF(OR(O724="Fire Control",O724="Fire Tex 5062",O724="Fire Tex 5090",O724="Fire Tex 5120"),'CALCULO PINTURA'!R725," ")</f>
        <v xml:space="preserve"> </v>
      </c>
      <c r="S724" s="164" t="str">
        <f>+IF(OR(O724="Fire Control",O724="Fire Tex 5062",O724="Fire Tex 5090",O724="Fire Tex 5120"),'CALCULO PINTURA'!S725," ")</f>
        <v xml:space="preserve"> </v>
      </c>
      <c r="T724" s="874" t="str">
        <f>+IF(OR(O724="Blaze Shield II",O724="Cafco 400",O724="Cafco 300"),'CALCULO MORTERO'!N730," ")</f>
        <v xml:space="preserve"> </v>
      </c>
      <c r="U724" s="875" t="str">
        <f>+IF(OR(O724="Blaze Shield II",O724="Cafco 400",O724="Cafco 300"),'CALCULO MORTERO'!O730," ")</f>
        <v xml:space="preserve"> </v>
      </c>
      <c r="V724" s="161" t="str" cm="1">
        <f t="array" ref="V724">_xlfn.IFS(O724="Blaze Shield II",'CALCULO MORTERO'!P725, O724="Cafco 400",'CALCULO MORTERO'!Q725,O724="Cafco 300",'CALCULO MORTERO'!S725, AND(OR(O724="Fire tex 5090", O724="Fire Tex 5062", O724="Fire Tex 5120", O724="Fire Control"),Q724&gt;0), "CERT.",TRUE,"-")</f>
        <v>-</v>
      </c>
    </row>
    <row r="725" spans="1:22" x14ac:dyDescent="0.25">
      <c r="A725" s="903"/>
      <c r="B725" s="907"/>
      <c r="C725" s="874"/>
      <c r="D725" s="874"/>
      <c r="E725" s="874"/>
      <c r="F725" s="905"/>
      <c r="G725" s="874"/>
      <c r="H725" s="874"/>
      <c r="I725" s="906"/>
      <c r="J725" s="162"/>
      <c r="K725" s="161"/>
      <c r="L725" s="161"/>
      <c r="M725" s="169"/>
      <c r="N725" s="163" t="str">
        <f t="shared" si="15"/>
        <v/>
      </c>
      <c r="O725" s="41"/>
      <c r="P725" s="41"/>
      <c r="Q725" s="161" t="str">
        <f>+IF(OR(O725="Fire Control",O725="Fire Tex 5062",O725="Fire Tex 5090",O725="Fire Tex 5120"),'CALCULO PINTURA'!P726," ")</f>
        <v xml:space="preserve"> </v>
      </c>
      <c r="R725" s="164" t="str">
        <f>+IF(OR(O725="Fire Control",O725="Fire Tex 5062",O725="Fire Tex 5090",O725="Fire Tex 5120"),'CALCULO PINTURA'!R726," ")</f>
        <v xml:space="preserve"> </v>
      </c>
      <c r="S725" s="164" t="str">
        <f>+IF(OR(O725="Fire Control",O725="Fire Tex 5062",O725="Fire Tex 5090",O725="Fire Tex 5120"),'CALCULO PINTURA'!S726," ")</f>
        <v xml:space="preserve"> </v>
      </c>
      <c r="T725" s="874" t="str">
        <f>+IF(OR(O725="Blaze Shield II",O725="Cafco 400",O725="Cafco 300"),'CALCULO MORTERO'!N731," ")</f>
        <v xml:space="preserve"> </v>
      </c>
      <c r="U725" s="875" t="str">
        <f>+IF(OR(O725="Blaze Shield II",O725="Cafco 400",O725="Cafco 300"),'CALCULO MORTERO'!O731," ")</f>
        <v xml:space="preserve"> </v>
      </c>
      <c r="V725" s="161" t="str" cm="1">
        <f t="array" ref="V725">_xlfn.IFS(O725="Blaze Shield II",'CALCULO MORTERO'!P726, O725="Cafco 400",'CALCULO MORTERO'!Q726,O725="Cafco 300",'CALCULO MORTERO'!S726, AND(OR(O725="Fire tex 5090", O725="Fire Tex 5062", O725="Fire Tex 5120", O725="Fire Control"),Q725&gt;0), "CERT.",TRUE,"-")</f>
        <v>-</v>
      </c>
    </row>
    <row r="726" spans="1:22" x14ac:dyDescent="0.25">
      <c r="A726" s="903"/>
      <c r="B726" s="907"/>
      <c r="C726" s="874"/>
      <c r="D726" s="874"/>
      <c r="E726" s="874"/>
      <c r="F726" s="905"/>
      <c r="G726" s="874"/>
      <c r="H726" s="874"/>
      <c r="I726" s="906"/>
      <c r="J726" s="162"/>
      <c r="K726" s="161"/>
      <c r="L726" s="161"/>
      <c r="M726" s="169"/>
      <c r="N726" s="163" t="str">
        <f t="shared" si="15"/>
        <v/>
      </c>
      <c r="O726" s="41"/>
      <c r="P726" s="41"/>
      <c r="Q726" s="161" t="str">
        <f>+IF(OR(O726="Fire Control",O726="Fire Tex 5062",O726="Fire Tex 5090",O726="Fire Tex 5120"),'CALCULO PINTURA'!P727," ")</f>
        <v xml:space="preserve"> </v>
      </c>
      <c r="R726" s="164" t="str">
        <f>+IF(OR(O726="Fire Control",O726="Fire Tex 5062",O726="Fire Tex 5090",O726="Fire Tex 5120"),'CALCULO PINTURA'!R727," ")</f>
        <v xml:space="preserve"> </v>
      </c>
      <c r="S726" s="164" t="str">
        <f>+IF(OR(O726="Fire Control",O726="Fire Tex 5062",O726="Fire Tex 5090",O726="Fire Tex 5120"),'CALCULO PINTURA'!S727," ")</f>
        <v xml:space="preserve"> </v>
      </c>
      <c r="T726" s="874" t="str">
        <f>+IF(OR(O726="Blaze Shield II",O726="Cafco 400",O726="Cafco 300"),'CALCULO MORTERO'!N732," ")</f>
        <v xml:space="preserve"> </v>
      </c>
      <c r="U726" s="875" t="str">
        <f>+IF(OR(O726="Blaze Shield II",O726="Cafco 400",O726="Cafco 300"),'CALCULO MORTERO'!O732," ")</f>
        <v xml:space="preserve"> </v>
      </c>
      <c r="V726" s="161" t="str" cm="1">
        <f t="array" ref="V726">_xlfn.IFS(O726="Blaze Shield II",'CALCULO MORTERO'!P727, O726="Cafco 400",'CALCULO MORTERO'!Q727,O726="Cafco 300",'CALCULO MORTERO'!S727, AND(OR(O726="Fire tex 5090", O726="Fire Tex 5062", O726="Fire Tex 5120", O726="Fire Control"),Q726&gt;0), "CERT.",TRUE,"-")</f>
        <v>-</v>
      </c>
    </row>
    <row r="727" spans="1:22" x14ac:dyDescent="0.25">
      <c r="A727" s="903"/>
      <c r="B727" s="907"/>
      <c r="C727" s="874"/>
      <c r="D727" s="874"/>
      <c r="E727" s="874"/>
      <c r="F727" s="905"/>
      <c r="G727" s="874"/>
      <c r="H727" s="874"/>
      <c r="I727" s="906"/>
      <c r="J727" s="162"/>
      <c r="K727" s="161"/>
      <c r="L727" s="161"/>
      <c r="M727" s="169"/>
      <c r="N727" s="163" t="str">
        <f t="shared" si="15"/>
        <v/>
      </c>
      <c r="O727" s="41"/>
      <c r="P727" s="41"/>
      <c r="Q727" s="161" t="str">
        <f>+IF(OR(O727="Fire Control",O727="Fire Tex 5062",O727="Fire Tex 5090",O727="Fire Tex 5120"),'CALCULO PINTURA'!P728," ")</f>
        <v xml:space="preserve"> </v>
      </c>
      <c r="R727" s="164" t="str">
        <f>+IF(OR(O727="Fire Control",O727="Fire Tex 5062",O727="Fire Tex 5090",O727="Fire Tex 5120"),'CALCULO PINTURA'!R728," ")</f>
        <v xml:space="preserve"> </v>
      </c>
      <c r="S727" s="164" t="str">
        <f>+IF(OR(O727="Fire Control",O727="Fire Tex 5062",O727="Fire Tex 5090",O727="Fire Tex 5120"),'CALCULO PINTURA'!S728," ")</f>
        <v xml:space="preserve"> </v>
      </c>
      <c r="T727" s="874" t="str">
        <f>+IF(OR(O727="Blaze Shield II",O727="Cafco 400",O727="Cafco 300"),'CALCULO MORTERO'!N733," ")</f>
        <v xml:space="preserve"> </v>
      </c>
      <c r="U727" s="875" t="str">
        <f>+IF(OR(O727="Blaze Shield II",O727="Cafco 400",O727="Cafco 300"),'CALCULO MORTERO'!O733," ")</f>
        <v xml:space="preserve"> </v>
      </c>
      <c r="V727" s="161" t="str" cm="1">
        <f t="array" ref="V727">_xlfn.IFS(O727="Blaze Shield II",'CALCULO MORTERO'!P728, O727="Cafco 400",'CALCULO MORTERO'!Q728,O727="Cafco 300",'CALCULO MORTERO'!S728, AND(OR(O727="Fire tex 5090", O727="Fire Tex 5062", O727="Fire Tex 5120", O727="Fire Control"),Q727&gt;0), "CERT.",TRUE,"-")</f>
        <v>-</v>
      </c>
    </row>
    <row r="728" spans="1:22" x14ac:dyDescent="0.25">
      <c r="A728" s="903"/>
      <c r="B728" s="907"/>
      <c r="C728" s="874"/>
      <c r="D728" s="874"/>
      <c r="E728" s="874"/>
      <c r="F728" s="905"/>
      <c r="G728" s="874"/>
      <c r="H728" s="874"/>
      <c r="I728" s="906"/>
      <c r="J728" s="162"/>
      <c r="K728" s="161"/>
      <c r="L728" s="161"/>
      <c r="M728" s="169"/>
      <c r="N728" s="163" t="str">
        <f t="shared" si="15"/>
        <v/>
      </c>
      <c r="O728" s="41"/>
      <c r="P728" s="41"/>
      <c r="Q728" s="161" t="str">
        <f>+IF(OR(O728="Fire Control",O728="Fire Tex 5062",O728="Fire Tex 5090",O728="Fire Tex 5120"),'CALCULO PINTURA'!P729," ")</f>
        <v xml:space="preserve"> </v>
      </c>
      <c r="R728" s="164" t="str">
        <f>+IF(OR(O728="Fire Control",O728="Fire Tex 5062",O728="Fire Tex 5090",O728="Fire Tex 5120"),'CALCULO PINTURA'!R729," ")</f>
        <v xml:space="preserve"> </v>
      </c>
      <c r="S728" s="164" t="str">
        <f>+IF(OR(O728="Fire Control",O728="Fire Tex 5062",O728="Fire Tex 5090",O728="Fire Tex 5120"),'CALCULO PINTURA'!S729," ")</f>
        <v xml:space="preserve"> </v>
      </c>
      <c r="T728" s="874" t="str">
        <f>+IF(OR(O728="Blaze Shield II",O728="Cafco 400",O728="Cafco 300"),'CALCULO MORTERO'!N734," ")</f>
        <v xml:space="preserve"> </v>
      </c>
      <c r="U728" s="875" t="str">
        <f>+IF(OR(O728="Blaze Shield II",O728="Cafco 400",O728="Cafco 300"),'CALCULO MORTERO'!O734," ")</f>
        <v xml:space="preserve"> </v>
      </c>
      <c r="V728" s="161" t="str" cm="1">
        <f t="array" ref="V728">_xlfn.IFS(O728="Blaze Shield II",'CALCULO MORTERO'!P729, O728="Cafco 400",'CALCULO MORTERO'!Q729,O728="Cafco 300",'CALCULO MORTERO'!S729, AND(OR(O728="Fire tex 5090", O728="Fire Tex 5062", O728="Fire Tex 5120", O728="Fire Control"),Q728&gt;0), "CERT.",TRUE,"-")</f>
        <v>-</v>
      </c>
    </row>
    <row r="729" spans="1:22" x14ac:dyDescent="0.25">
      <c r="A729" s="903"/>
      <c r="B729" s="907"/>
      <c r="C729" s="874"/>
      <c r="D729" s="874"/>
      <c r="E729" s="874"/>
      <c r="F729" s="905"/>
      <c r="G729" s="874"/>
      <c r="H729" s="874"/>
      <c r="I729" s="906"/>
      <c r="J729" s="162"/>
      <c r="K729" s="161"/>
      <c r="L729" s="161"/>
      <c r="M729" s="169"/>
      <c r="N729" s="163" t="str">
        <f t="shared" si="15"/>
        <v/>
      </c>
      <c r="O729" s="41"/>
      <c r="P729" s="41"/>
      <c r="Q729" s="161" t="str">
        <f>+IF(OR(O729="Fire Control",O729="Fire Tex 5062",O729="Fire Tex 5090",O729="Fire Tex 5120"),'CALCULO PINTURA'!P730," ")</f>
        <v xml:space="preserve"> </v>
      </c>
      <c r="R729" s="164" t="str">
        <f>+IF(OR(O729="Fire Control",O729="Fire Tex 5062",O729="Fire Tex 5090",O729="Fire Tex 5120"),'CALCULO PINTURA'!R730," ")</f>
        <v xml:space="preserve"> </v>
      </c>
      <c r="S729" s="164" t="str">
        <f>+IF(OR(O729="Fire Control",O729="Fire Tex 5062",O729="Fire Tex 5090",O729="Fire Tex 5120"),'CALCULO PINTURA'!S730," ")</f>
        <v xml:space="preserve"> </v>
      </c>
      <c r="T729" s="874" t="str">
        <f>+IF(OR(O729="Blaze Shield II",O729="Cafco 400",O729="Cafco 300"),'CALCULO MORTERO'!N735," ")</f>
        <v xml:space="preserve"> </v>
      </c>
      <c r="U729" s="875" t="str">
        <f>+IF(OR(O729="Blaze Shield II",O729="Cafco 400",O729="Cafco 300"),'CALCULO MORTERO'!O735," ")</f>
        <v xml:space="preserve"> </v>
      </c>
      <c r="V729" s="161" t="str" cm="1">
        <f t="array" ref="V729">_xlfn.IFS(O729="Blaze Shield II",'CALCULO MORTERO'!P730, O729="Cafco 400",'CALCULO MORTERO'!Q730,O729="Cafco 300",'CALCULO MORTERO'!S730, AND(OR(O729="Fire tex 5090", O729="Fire Tex 5062", O729="Fire Tex 5120", O729="Fire Control"),Q729&gt;0), "CERT.",TRUE,"-")</f>
        <v>-</v>
      </c>
    </row>
    <row r="730" spans="1:22" x14ac:dyDescent="0.25">
      <c r="A730" s="903"/>
      <c r="B730" s="907"/>
      <c r="C730" s="874"/>
      <c r="D730" s="874"/>
      <c r="E730" s="874"/>
      <c r="F730" s="905"/>
      <c r="G730" s="874"/>
      <c r="H730" s="874"/>
      <c r="I730" s="906"/>
      <c r="J730" s="162"/>
      <c r="K730" s="161"/>
      <c r="L730" s="161"/>
      <c r="M730" s="169"/>
      <c r="N730" s="163" t="str">
        <f t="shared" si="15"/>
        <v/>
      </c>
      <c r="O730" s="41"/>
      <c r="P730" s="41"/>
      <c r="Q730" s="161" t="str">
        <f>+IF(OR(O730="Fire Control",O730="Fire Tex 5062",O730="Fire Tex 5090",O730="Fire Tex 5120"),'CALCULO PINTURA'!P731," ")</f>
        <v xml:space="preserve"> </v>
      </c>
      <c r="R730" s="164" t="str">
        <f>+IF(OR(O730="Fire Control",O730="Fire Tex 5062",O730="Fire Tex 5090",O730="Fire Tex 5120"),'CALCULO PINTURA'!R731," ")</f>
        <v xml:space="preserve"> </v>
      </c>
      <c r="S730" s="164" t="str">
        <f>+IF(OR(O730="Fire Control",O730="Fire Tex 5062",O730="Fire Tex 5090",O730="Fire Tex 5120"),'CALCULO PINTURA'!S731," ")</f>
        <v xml:space="preserve"> </v>
      </c>
      <c r="T730" s="874" t="str">
        <f>+IF(OR(O730="Blaze Shield II",O730="Cafco 400",O730="Cafco 300"),'CALCULO MORTERO'!N736," ")</f>
        <v xml:space="preserve"> </v>
      </c>
      <c r="U730" s="875" t="str">
        <f>+IF(OR(O730="Blaze Shield II",O730="Cafco 400",O730="Cafco 300"),'CALCULO MORTERO'!O736," ")</f>
        <v xml:space="preserve"> </v>
      </c>
      <c r="V730" s="161" t="str" cm="1">
        <f t="array" ref="V730">_xlfn.IFS(O730="Blaze Shield II",'CALCULO MORTERO'!P731, O730="Cafco 400",'CALCULO MORTERO'!Q731,O730="Cafco 300",'CALCULO MORTERO'!S731, AND(OR(O730="Fire tex 5090", O730="Fire Tex 5062", O730="Fire Tex 5120", O730="Fire Control"),Q730&gt;0), "CERT.",TRUE,"-")</f>
        <v>-</v>
      </c>
    </row>
    <row r="731" spans="1:22" x14ac:dyDescent="0.25">
      <c r="A731" s="903"/>
      <c r="B731" s="907"/>
      <c r="C731" s="874"/>
      <c r="D731" s="874"/>
      <c r="E731" s="874"/>
      <c r="F731" s="905"/>
      <c r="G731" s="874"/>
      <c r="H731" s="874"/>
      <c r="I731" s="906"/>
      <c r="J731" s="162"/>
      <c r="K731" s="161"/>
      <c r="L731" s="161"/>
      <c r="M731" s="169"/>
      <c r="N731" s="163" t="str">
        <f t="shared" si="15"/>
        <v/>
      </c>
      <c r="O731" s="41"/>
      <c r="P731" s="41"/>
      <c r="Q731" s="161" t="str">
        <f>+IF(OR(O731="Fire Control",O731="Fire Tex 5062",O731="Fire Tex 5090",O731="Fire Tex 5120"),'CALCULO PINTURA'!P732," ")</f>
        <v xml:space="preserve"> </v>
      </c>
      <c r="R731" s="164" t="str">
        <f>+IF(OR(O731="Fire Control",O731="Fire Tex 5062",O731="Fire Tex 5090",O731="Fire Tex 5120"),'CALCULO PINTURA'!R732," ")</f>
        <v xml:space="preserve"> </v>
      </c>
      <c r="S731" s="164" t="str">
        <f>+IF(OR(O731="Fire Control",O731="Fire Tex 5062",O731="Fire Tex 5090",O731="Fire Tex 5120"),'CALCULO PINTURA'!S732," ")</f>
        <v xml:space="preserve"> </v>
      </c>
      <c r="T731" s="874" t="str">
        <f>+IF(OR(O731="Blaze Shield II",O731="Cafco 400",O731="Cafco 300"),'CALCULO MORTERO'!N737," ")</f>
        <v xml:space="preserve"> </v>
      </c>
      <c r="U731" s="875" t="str">
        <f>+IF(OR(O731="Blaze Shield II",O731="Cafco 400",O731="Cafco 300"),'CALCULO MORTERO'!O737," ")</f>
        <v xml:space="preserve"> </v>
      </c>
      <c r="V731" s="161" t="str" cm="1">
        <f t="array" ref="V731">_xlfn.IFS(O731="Blaze Shield II",'CALCULO MORTERO'!P732, O731="Cafco 400",'CALCULO MORTERO'!Q732,O731="Cafco 300",'CALCULO MORTERO'!S732, AND(OR(O731="Fire tex 5090", O731="Fire Tex 5062", O731="Fire Tex 5120", O731="Fire Control"),Q731&gt;0), "CERT.",TRUE,"-")</f>
        <v>-</v>
      </c>
    </row>
    <row r="732" spans="1:22" x14ac:dyDescent="0.25">
      <c r="A732" s="903"/>
      <c r="B732" s="907"/>
      <c r="C732" s="874"/>
      <c r="D732" s="874"/>
      <c r="E732" s="874"/>
      <c r="F732" s="905"/>
      <c r="G732" s="874"/>
      <c r="H732" s="874"/>
      <c r="I732" s="906"/>
      <c r="J732" s="162"/>
      <c r="K732" s="161"/>
      <c r="L732" s="161"/>
      <c r="M732" s="169"/>
      <c r="N732" s="163" t="str">
        <f t="shared" si="15"/>
        <v/>
      </c>
      <c r="O732" s="41"/>
      <c r="P732" s="41"/>
      <c r="Q732" s="161" t="str">
        <f>+IF(OR(O732="Fire Control",O732="Fire Tex 5062",O732="Fire Tex 5090",O732="Fire Tex 5120"),'CALCULO PINTURA'!P733," ")</f>
        <v xml:space="preserve"> </v>
      </c>
      <c r="R732" s="164" t="str">
        <f>+IF(OR(O732="Fire Control",O732="Fire Tex 5062",O732="Fire Tex 5090",O732="Fire Tex 5120"),'CALCULO PINTURA'!R733," ")</f>
        <v xml:space="preserve"> </v>
      </c>
      <c r="S732" s="164" t="str">
        <f>+IF(OR(O732="Fire Control",O732="Fire Tex 5062",O732="Fire Tex 5090",O732="Fire Tex 5120"),'CALCULO PINTURA'!S733," ")</f>
        <v xml:space="preserve"> </v>
      </c>
      <c r="T732" s="874" t="str">
        <f>+IF(OR(O732="Blaze Shield II",O732="Cafco 400",O732="Cafco 300"),'CALCULO MORTERO'!N738," ")</f>
        <v xml:space="preserve"> </v>
      </c>
      <c r="U732" s="875" t="str">
        <f>+IF(OR(O732="Blaze Shield II",O732="Cafco 400",O732="Cafco 300"),'CALCULO MORTERO'!O738," ")</f>
        <v xml:space="preserve"> </v>
      </c>
      <c r="V732" s="161" t="str" cm="1">
        <f t="array" ref="V732">_xlfn.IFS(O732="Blaze Shield II",'CALCULO MORTERO'!P733, O732="Cafco 400",'CALCULO MORTERO'!Q733,O732="Cafco 300",'CALCULO MORTERO'!S733, AND(OR(O732="Fire tex 5090", O732="Fire Tex 5062", O732="Fire Tex 5120", O732="Fire Control"),Q732&gt;0), "CERT.",TRUE,"-")</f>
        <v>-</v>
      </c>
    </row>
    <row r="733" spans="1:22" x14ac:dyDescent="0.25">
      <c r="A733" s="903"/>
      <c r="B733" s="907"/>
      <c r="C733" s="874"/>
      <c r="D733" s="874"/>
      <c r="E733" s="874"/>
      <c r="F733" s="905"/>
      <c r="G733" s="874"/>
      <c r="H733" s="874"/>
      <c r="I733" s="906"/>
      <c r="J733" s="162"/>
      <c r="K733" s="161"/>
      <c r="L733" s="161"/>
      <c r="M733" s="169"/>
      <c r="N733" s="163" t="str">
        <f t="shared" si="15"/>
        <v/>
      </c>
      <c r="O733" s="41"/>
      <c r="P733" s="41"/>
      <c r="Q733" s="161" t="str">
        <f>+IF(OR(O733="Fire Control",O733="Fire Tex 5062",O733="Fire Tex 5090",O733="Fire Tex 5120"),'CALCULO PINTURA'!P734," ")</f>
        <v xml:space="preserve"> </v>
      </c>
      <c r="R733" s="164" t="str">
        <f>+IF(OR(O733="Fire Control",O733="Fire Tex 5062",O733="Fire Tex 5090",O733="Fire Tex 5120"),'CALCULO PINTURA'!R734," ")</f>
        <v xml:space="preserve"> </v>
      </c>
      <c r="S733" s="164" t="str">
        <f>+IF(OR(O733="Fire Control",O733="Fire Tex 5062",O733="Fire Tex 5090",O733="Fire Tex 5120"),'CALCULO PINTURA'!S734," ")</f>
        <v xml:space="preserve"> </v>
      </c>
      <c r="T733" s="874" t="str">
        <f>+IF(OR(O733="Blaze Shield II",O733="Cafco 400",O733="Cafco 300"),'CALCULO MORTERO'!N739," ")</f>
        <v xml:space="preserve"> </v>
      </c>
      <c r="U733" s="875" t="str">
        <f>+IF(OR(O733="Blaze Shield II",O733="Cafco 400",O733="Cafco 300"),'CALCULO MORTERO'!O739," ")</f>
        <v xml:space="preserve"> </v>
      </c>
      <c r="V733" s="161" t="str" cm="1">
        <f t="array" ref="V733">_xlfn.IFS(O733="Blaze Shield II",'CALCULO MORTERO'!P734, O733="Cafco 400",'CALCULO MORTERO'!Q734,O733="Cafco 300",'CALCULO MORTERO'!S734, AND(OR(O733="Fire tex 5090", O733="Fire Tex 5062", O733="Fire Tex 5120", O733="Fire Control"),Q733&gt;0), "CERT.",TRUE,"-")</f>
        <v>-</v>
      </c>
    </row>
    <row r="734" spans="1:22" x14ac:dyDescent="0.25">
      <c r="A734" s="903"/>
      <c r="B734" s="907"/>
      <c r="C734" s="874"/>
      <c r="D734" s="874"/>
      <c r="E734" s="874"/>
      <c r="F734" s="874"/>
      <c r="G734" s="874"/>
      <c r="H734" s="874"/>
      <c r="I734" s="906"/>
      <c r="J734" s="162"/>
      <c r="K734" s="161"/>
      <c r="L734" s="161"/>
      <c r="M734" s="163"/>
      <c r="N734" s="163" t="str">
        <f t="shared" si="15"/>
        <v/>
      </c>
      <c r="O734" s="41"/>
      <c r="P734" s="41"/>
      <c r="Q734" s="161" t="str">
        <f>+IF(OR(O734="Fire Control",O734="Fire Tex 5062",O734="Fire Tex 5090",O734="Fire Tex 5120"),'CALCULO PINTURA'!P735," ")</f>
        <v xml:space="preserve"> </v>
      </c>
      <c r="R734" s="164" t="str">
        <f>+IF(OR(O734="Fire Control",O734="Fire Tex 5062",O734="Fire Tex 5090",O734="Fire Tex 5120"),'CALCULO PINTURA'!R735," ")</f>
        <v xml:space="preserve"> </v>
      </c>
      <c r="S734" s="164" t="str">
        <f>+IF(OR(O734="Fire Control",O734="Fire Tex 5062",O734="Fire Tex 5090",O734="Fire Tex 5120"),'CALCULO PINTURA'!S735," ")</f>
        <v xml:space="preserve"> </v>
      </c>
      <c r="T734" s="874" t="str">
        <f>+IF(OR(O734="Blaze Shield II",O734="Cafco 400",O734="Cafco 300"),'CALCULO MORTERO'!N740," ")</f>
        <v xml:space="preserve"> </v>
      </c>
      <c r="U734" s="875" t="str">
        <f>+IF(OR(O734="Blaze Shield II",O734="Cafco 400",O734="Cafco 300"),'CALCULO MORTERO'!O740," ")</f>
        <v xml:space="preserve"> </v>
      </c>
      <c r="V734" s="161" t="str" cm="1">
        <f t="array" ref="V734">_xlfn.IFS(O734="Blaze Shield II",'CALCULO MORTERO'!P735, O734="Cafco 400",'CALCULO MORTERO'!Q735,O734="Cafco 300",'CALCULO MORTERO'!S735, AND(OR(O734="Fire tex 5090", O734="Fire Tex 5062", O734="Fire Tex 5120", O734="Fire Control"),Q734&gt;0), "CERT.",TRUE,"-")</f>
        <v>-</v>
      </c>
    </row>
    <row r="735" spans="1:22" x14ac:dyDescent="0.25">
      <c r="A735" s="903"/>
      <c r="B735" s="907"/>
      <c r="C735" s="874"/>
      <c r="D735" s="874"/>
      <c r="E735" s="874"/>
      <c r="F735" s="874"/>
      <c r="G735" s="874"/>
      <c r="H735" s="874"/>
      <c r="I735" s="906"/>
      <c r="J735" s="162"/>
      <c r="K735" s="161"/>
      <c r="L735" s="161"/>
      <c r="M735" s="163"/>
      <c r="N735" s="163" t="str">
        <f t="shared" si="15"/>
        <v/>
      </c>
      <c r="O735" s="41"/>
      <c r="P735" s="41"/>
      <c r="Q735" s="161" t="str">
        <f>+IF(OR(O735="Fire Control",O735="Fire Tex 5062",O735="Fire Tex 5090",O735="Fire Tex 5120"),'CALCULO PINTURA'!P736," ")</f>
        <v xml:space="preserve"> </v>
      </c>
      <c r="R735" s="164" t="str">
        <f>+IF(OR(O735="Fire Control",O735="Fire Tex 5062",O735="Fire Tex 5090",O735="Fire Tex 5120"),'CALCULO PINTURA'!R736," ")</f>
        <v xml:space="preserve"> </v>
      </c>
      <c r="S735" s="164" t="str">
        <f>+IF(OR(O735="Fire Control",O735="Fire Tex 5062",O735="Fire Tex 5090",O735="Fire Tex 5120"),'CALCULO PINTURA'!S736," ")</f>
        <v xml:space="preserve"> </v>
      </c>
      <c r="T735" s="874" t="str">
        <f>+IF(OR(O735="Blaze Shield II",O735="Cafco 400",O735="Cafco 300"),'CALCULO MORTERO'!N741," ")</f>
        <v xml:space="preserve"> </v>
      </c>
      <c r="U735" s="875" t="str">
        <f>+IF(OR(O735="Blaze Shield II",O735="Cafco 400",O735="Cafco 300"),'CALCULO MORTERO'!O741," ")</f>
        <v xml:space="preserve"> </v>
      </c>
      <c r="V735" s="161" t="str" cm="1">
        <f t="array" ref="V735">_xlfn.IFS(O735="Blaze Shield II",'CALCULO MORTERO'!P736, O735="Cafco 400",'CALCULO MORTERO'!Q736,O735="Cafco 300",'CALCULO MORTERO'!S736, AND(OR(O735="Fire tex 5090", O735="Fire Tex 5062", O735="Fire Tex 5120", O735="Fire Control"),Q735&gt;0), "CERT.",TRUE,"-")</f>
        <v>-</v>
      </c>
    </row>
    <row r="736" spans="1:22" x14ac:dyDescent="0.25">
      <c r="A736" s="903"/>
      <c r="B736" s="907"/>
      <c r="C736" s="874"/>
      <c r="D736" s="874"/>
      <c r="E736" s="874"/>
      <c r="F736" s="905"/>
      <c r="G736" s="874"/>
      <c r="H736" s="874"/>
      <c r="I736" s="906"/>
      <c r="J736" s="162"/>
      <c r="K736" s="161"/>
      <c r="L736" s="161"/>
      <c r="M736" s="169"/>
      <c r="N736" s="163" t="str">
        <f t="shared" si="15"/>
        <v/>
      </c>
      <c r="O736" s="41"/>
      <c r="P736" s="41"/>
      <c r="Q736" s="161" t="str">
        <f>+IF(OR(O736="Fire Control",O736="Fire Tex 5062",O736="Fire Tex 5090",O736="Fire Tex 5120"),'CALCULO PINTURA'!P737," ")</f>
        <v xml:space="preserve"> </v>
      </c>
      <c r="R736" s="164" t="str">
        <f>+IF(OR(O736="Fire Control",O736="Fire Tex 5062",O736="Fire Tex 5090",O736="Fire Tex 5120"),'CALCULO PINTURA'!R737," ")</f>
        <v xml:space="preserve"> </v>
      </c>
      <c r="S736" s="164" t="str">
        <f>+IF(OR(O736="Fire Control",O736="Fire Tex 5062",O736="Fire Tex 5090",O736="Fire Tex 5120"),'CALCULO PINTURA'!S737," ")</f>
        <v xml:space="preserve"> </v>
      </c>
      <c r="T736" s="874" t="str">
        <f>+IF(OR(O736="Blaze Shield II",O736="Cafco 400",O736="Cafco 300"),'CALCULO MORTERO'!N742," ")</f>
        <v xml:space="preserve"> </v>
      </c>
      <c r="U736" s="875" t="str">
        <f>+IF(OR(O736="Blaze Shield II",O736="Cafco 400",O736="Cafco 300"),'CALCULO MORTERO'!O742," ")</f>
        <v xml:space="preserve"> </v>
      </c>
      <c r="V736" s="161" t="str" cm="1">
        <f t="array" ref="V736">_xlfn.IFS(O736="Blaze Shield II",'CALCULO MORTERO'!P737, O736="Cafco 400",'CALCULO MORTERO'!Q737,O736="Cafco 300",'CALCULO MORTERO'!S737, AND(OR(O736="Fire tex 5090", O736="Fire Tex 5062", O736="Fire Tex 5120", O736="Fire Control"),Q736&gt;0), "CERT.",TRUE,"-")</f>
        <v>-</v>
      </c>
    </row>
    <row r="737" spans="1:22" x14ac:dyDescent="0.25">
      <c r="A737" s="903"/>
      <c r="B737" s="907"/>
      <c r="C737" s="874"/>
      <c r="D737" s="874"/>
      <c r="E737" s="874"/>
      <c r="F737" s="905"/>
      <c r="G737" s="874"/>
      <c r="H737" s="874"/>
      <c r="I737" s="906"/>
      <c r="J737" s="162"/>
      <c r="K737" s="161"/>
      <c r="L737" s="161"/>
      <c r="M737" s="169"/>
      <c r="N737" s="163" t="str">
        <f t="shared" si="15"/>
        <v/>
      </c>
      <c r="O737" s="41"/>
      <c r="P737" s="41"/>
      <c r="Q737" s="161" t="str">
        <f>+IF(OR(O737="Fire Control",O737="Fire Tex 5062",O737="Fire Tex 5090",O737="Fire Tex 5120"),'CALCULO PINTURA'!P738," ")</f>
        <v xml:space="preserve"> </v>
      </c>
      <c r="R737" s="164" t="str">
        <f>+IF(OR(O737="Fire Control",O737="Fire Tex 5062",O737="Fire Tex 5090",O737="Fire Tex 5120"),'CALCULO PINTURA'!R738," ")</f>
        <v xml:space="preserve"> </v>
      </c>
      <c r="S737" s="164" t="str">
        <f>+IF(OR(O737="Fire Control",O737="Fire Tex 5062",O737="Fire Tex 5090",O737="Fire Tex 5120"),'CALCULO PINTURA'!S738," ")</f>
        <v xml:space="preserve"> </v>
      </c>
      <c r="T737" s="874" t="str">
        <f>+IF(OR(O737="Blaze Shield II",O737="Cafco 400",O737="Cafco 300"),'CALCULO MORTERO'!N743," ")</f>
        <v xml:space="preserve"> </v>
      </c>
      <c r="U737" s="875" t="str">
        <f>+IF(OR(O737="Blaze Shield II",O737="Cafco 400",O737="Cafco 300"),'CALCULO MORTERO'!O743," ")</f>
        <v xml:space="preserve"> </v>
      </c>
      <c r="V737" s="161" t="str" cm="1">
        <f t="array" ref="V737">_xlfn.IFS(O737="Blaze Shield II",'CALCULO MORTERO'!P738, O737="Cafco 400",'CALCULO MORTERO'!Q738,O737="Cafco 300",'CALCULO MORTERO'!S738, AND(OR(O737="Fire tex 5090", O737="Fire Tex 5062", O737="Fire Tex 5120", O737="Fire Control"),Q737&gt;0), "CERT.",TRUE,"-")</f>
        <v>-</v>
      </c>
    </row>
    <row r="738" spans="1:22" x14ac:dyDescent="0.25">
      <c r="A738" s="903"/>
      <c r="B738" s="907"/>
      <c r="C738" s="874"/>
      <c r="D738" s="874"/>
      <c r="E738" s="874"/>
      <c r="F738" s="905"/>
      <c r="G738" s="874"/>
      <c r="H738" s="874"/>
      <c r="I738" s="906"/>
      <c r="J738" s="162"/>
      <c r="K738" s="161"/>
      <c r="L738" s="161"/>
      <c r="M738" s="169"/>
      <c r="N738" s="163" t="str">
        <f t="shared" si="15"/>
        <v/>
      </c>
      <c r="O738" s="41"/>
      <c r="P738" s="41"/>
      <c r="Q738" s="161" t="str">
        <f>+IF(OR(O738="Fire Control",O738="Fire Tex 5062",O738="Fire Tex 5090",O738="Fire Tex 5120"),'CALCULO PINTURA'!P739," ")</f>
        <v xml:space="preserve"> </v>
      </c>
      <c r="R738" s="164" t="str">
        <f>+IF(OR(O738="Fire Control",O738="Fire Tex 5062",O738="Fire Tex 5090",O738="Fire Tex 5120"),'CALCULO PINTURA'!R739," ")</f>
        <v xml:space="preserve"> </v>
      </c>
      <c r="S738" s="164" t="str">
        <f>+IF(OR(O738="Fire Control",O738="Fire Tex 5062",O738="Fire Tex 5090",O738="Fire Tex 5120"),'CALCULO PINTURA'!S739," ")</f>
        <v xml:space="preserve"> </v>
      </c>
      <c r="T738" s="874" t="str">
        <f>+IF(OR(O738="Blaze Shield II",O738="Cafco 400",O738="Cafco 300"),'CALCULO MORTERO'!N744," ")</f>
        <v xml:space="preserve"> </v>
      </c>
      <c r="U738" s="875" t="str">
        <f>+IF(OR(O738="Blaze Shield II",O738="Cafco 400",O738="Cafco 300"),'CALCULO MORTERO'!O744," ")</f>
        <v xml:space="preserve"> </v>
      </c>
      <c r="V738" s="161" t="str" cm="1">
        <f t="array" ref="V738">_xlfn.IFS(O738="Blaze Shield II",'CALCULO MORTERO'!P739, O738="Cafco 400",'CALCULO MORTERO'!Q739,O738="Cafco 300",'CALCULO MORTERO'!S739, AND(OR(O738="Fire tex 5090", O738="Fire Tex 5062", O738="Fire Tex 5120", O738="Fire Control"),Q738&gt;0), "CERT.",TRUE,"-")</f>
        <v>-</v>
      </c>
    </row>
    <row r="739" spans="1:22" x14ac:dyDescent="0.25">
      <c r="A739" s="903"/>
      <c r="B739" s="907"/>
      <c r="C739" s="874"/>
      <c r="D739" s="874"/>
      <c r="E739" s="874"/>
      <c r="F739" s="905"/>
      <c r="G739" s="874"/>
      <c r="H739" s="874"/>
      <c r="I739" s="906"/>
      <c r="J739" s="162"/>
      <c r="K739" s="161"/>
      <c r="L739" s="161"/>
      <c r="M739" s="169"/>
      <c r="N739" s="163" t="str">
        <f t="shared" si="15"/>
        <v/>
      </c>
      <c r="O739" s="41"/>
      <c r="P739" s="41"/>
      <c r="Q739" s="161" t="str">
        <f>+IF(OR(O739="Fire Control",O739="Fire Tex 5062",O739="Fire Tex 5090",O739="Fire Tex 5120"),'CALCULO PINTURA'!P740," ")</f>
        <v xml:space="preserve"> </v>
      </c>
      <c r="R739" s="164" t="str">
        <f>+IF(OR(O739="Fire Control",O739="Fire Tex 5062",O739="Fire Tex 5090",O739="Fire Tex 5120"),'CALCULO PINTURA'!R740," ")</f>
        <v xml:space="preserve"> </v>
      </c>
      <c r="S739" s="164" t="str">
        <f>+IF(OR(O739="Fire Control",O739="Fire Tex 5062",O739="Fire Tex 5090",O739="Fire Tex 5120"),'CALCULO PINTURA'!S740," ")</f>
        <v xml:space="preserve"> </v>
      </c>
      <c r="T739" s="874" t="str">
        <f>+IF(OR(O739="Blaze Shield II",O739="Cafco 400",O739="Cafco 300"),'CALCULO MORTERO'!N745," ")</f>
        <v xml:space="preserve"> </v>
      </c>
      <c r="U739" s="875" t="str">
        <f>+IF(OR(O739="Blaze Shield II",O739="Cafco 400",O739="Cafco 300"),'CALCULO MORTERO'!O745," ")</f>
        <v xml:space="preserve"> </v>
      </c>
      <c r="V739" s="161" t="str" cm="1">
        <f t="array" ref="V739">_xlfn.IFS(O739="Blaze Shield II",'CALCULO MORTERO'!P740, O739="Cafco 400",'CALCULO MORTERO'!Q740,O739="Cafco 300",'CALCULO MORTERO'!S740, AND(OR(O739="Fire tex 5090", O739="Fire Tex 5062", O739="Fire Tex 5120", O739="Fire Control"),Q739&gt;0), "CERT.",TRUE,"-")</f>
        <v>-</v>
      </c>
    </row>
    <row r="740" spans="1:22" x14ac:dyDescent="0.25">
      <c r="A740" s="903"/>
      <c r="B740" s="907"/>
      <c r="C740" s="874"/>
      <c r="D740" s="874"/>
      <c r="E740" s="874"/>
      <c r="F740" s="905"/>
      <c r="G740" s="874"/>
      <c r="H740" s="874"/>
      <c r="I740" s="906"/>
      <c r="J740" s="162"/>
      <c r="K740" s="161"/>
      <c r="L740" s="161"/>
      <c r="M740" s="169"/>
      <c r="N740" s="163" t="str">
        <f t="shared" si="15"/>
        <v/>
      </c>
      <c r="O740" s="41"/>
      <c r="P740" s="41"/>
      <c r="Q740" s="161" t="str">
        <f>+IF(OR(O740="Fire Control",O740="Fire Tex 5062",O740="Fire Tex 5090",O740="Fire Tex 5120"),'CALCULO PINTURA'!P741," ")</f>
        <v xml:space="preserve"> </v>
      </c>
      <c r="R740" s="164" t="str">
        <f>+IF(OR(O740="Fire Control",O740="Fire Tex 5062",O740="Fire Tex 5090",O740="Fire Tex 5120"),'CALCULO PINTURA'!R741," ")</f>
        <v xml:space="preserve"> </v>
      </c>
      <c r="S740" s="164" t="str">
        <f>+IF(OR(O740="Fire Control",O740="Fire Tex 5062",O740="Fire Tex 5090",O740="Fire Tex 5120"),'CALCULO PINTURA'!S741," ")</f>
        <v xml:space="preserve"> </v>
      </c>
      <c r="T740" s="874" t="str">
        <f>+IF(OR(O740="Blaze Shield II",O740="Cafco 400",O740="Cafco 300"),'CALCULO MORTERO'!N746," ")</f>
        <v xml:space="preserve"> </v>
      </c>
      <c r="U740" s="875" t="str">
        <f>+IF(OR(O740="Blaze Shield II",O740="Cafco 400",O740="Cafco 300"),'CALCULO MORTERO'!O746," ")</f>
        <v xml:space="preserve"> </v>
      </c>
      <c r="V740" s="161" t="str" cm="1">
        <f t="array" ref="V740">_xlfn.IFS(O740="Blaze Shield II",'CALCULO MORTERO'!P741, O740="Cafco 400",'CALCULO MORTERO'!Q741,O740="Cafco 300",'CALCULO MORTERO'!S741, AND(OR(O740="Fire tex 5090", O740="Fire Tex 5062", O740="Fire Tex 5120", O740="Fire Control"),Q740&gt;0), "CERT.",TRUE,"-")</f>
        <v>-</v>
      </c>
    </row>
    <row r="741" spans="1:22" x14ac:dyDescent="0.25">
      <c r="A741" s="903"/>
      <c r="B741" s="907"/>
      <c r="C741" s="874"/>
      <c r="D741" s="874"/>
      <c r="E741" s="874"/>
      <c r="F741" s="905"/>
      <c r="G741" s="874"/>
      <c r="H741" s="874"/>
      <c r="I741" s="906"/>
      <c r="J741" s="162"/>
      <c r="K741" s="161"/>
      <c r="L741" s="161"/>
      <c r="M741" s="169"/>
      <c r="N741" s="163" t="str">
        <f t="shared" si="15"/>
        <v/>
      </c>
      <c r="O741" s="41"/>
      <c r="P741" s="41"/>
      <c r="Q741" s="161" t="str">
        <f>+IF(OR(O741="Fire Control",O741="Fire Tex 5062",O741="Fire Tex 5090",O741="Fire Tex 5120"),'CALCULO PINTURA'!P742," ")</f>
        <v xml:space="preserve"> </v>
      </c>
      <c r="R741" s="164" t="str">
        <f>+IF(OR(O741="Fire Control",O741="Fire Tex 5062",O741="Fire Tex 5090",O741="Fire Tex 5120"),'CALCULO PINTURA'!R742," ")</f>
        <v xml:space="preserve"> </v>
      </c>
      <c r="S741" s="164" t="str">
        <f>+IF(OR(O741="Fire Control",O741="Fire Tex 5062",O741="Fire Tex 5090",O741="Fire Tex 5120"),'CALCULO PINTURA'!S742," ")</f>
        <v xml:space="preserve"> </v>
      </c>
      <c r="T741" s="874" t="str">
        <f>+IF(OR(O741="Blaze Shield II",O741="Cafco 400",O741="Cafco 300"),'CALCULO MORTERO'!N747," ")</f>
        <v xml:space="preserve"> </v>
      </c>
      <c r="U741" s="875" t="str">
        <f>+IF(OR(O741="Blaze Shield II",O741="Cafco 400",O741="Cafco 300"),'CALCULO MORTERO'!O747," ")</f>
        <v xml:space="preserve"> </v>
      </c>
      <c r="V741" s="161" t="str" cm="1">
        <f t="array" ref="V741">_xlfn.IFS(O741="Blaze Shield II",'CALCULO MORTERO'!P742, O741="Cafco 400",'CALCULO MORTERO'!Q742,O741="Cafco 300",'CALCULO MORTERO'!S742, AND(OR(O741="Fire tex 5090", O741="Fire Tex 5062", O741="Fire Tex 5120", O741="Fire Control"),Q741&gt;0), "CERT.",TRUE,"-")</f>
        <v>-</v>
      </c>
    </row>
    <row r="742" spans="1:22" x14ac:dyDescent="0.25">
      <c r="A742" s="903"/>
      <c r="B742" s="907"/>
      <c r="C742" s="874"/>
      <c r="D742" s="874"/>
      <c r="E742" s="874"/>
      <c r="F742" s="905"/>
      <c r="G742" s="874"/>
      <c r="H742" s="874"/>
      <c r="I742" s="906"/>
      <c r="J742" s="162"/>
      <c r="K742" s="161"/>
      <c r="L742" s="161"/>
      <c r="M742" s="169"/>
      <c r="N742" s="163" t="str">
        <f t="shared" si="15"/>
        <v/>
      </c>
      <c r="O742" s="41"/>
      <c r="P742" s="41"/>
      <c r="Q742" s="161" t="str">
        <f>+IF(OR(O742="Fire Control",O742="Fire Tex 5062",O742="Fire Tex 5090",O742="Fire Tex 5120"),'CALCULO PINTURA'!P743," ")</f>
        <v xml:space="preserve"> </v>
      </c>
      <c r="R742" s="164" t="str">
        <f>+IF(OR(O742="Fire Control",O742="Fire Tex 5062",O742="Fire Tex 5090",O742="Fire Tex 5120"),'CALCULO PINTURA'!R743," ")</f>
        <v xml:space="preserve"> </v>
      </c>
      <c r="S742" s="164" t="str">
        <f>+IF(OR(O742="Fire Control",O742="Fire Tex 5062",O742="Fire Tex 5090",O742="Fire Tex 5120"),'CALCULO PINTURA'!S743," ")</f>
        <v xml:space="preserve"> </v>
      </c>
      <c r="T742" s="874" t="str">
        <f>+IF(OR(O742="Blaze Shield II",O742="Cafco 400",O742="Cafco 300"),'CALCULO MORTERO'!N748," ")</f>
        <v xml:space="preserve"> </v>
      </c>
      <c r="U742" s="875" t="str">
        <f>+IF(OR(O742="Blaze Shield II",O742="Cafco 400",O742="Cafco 300"),'CALCULO MORTERO'!O748," ")</f>
        <v xml:space="preserve"> </v>
      </c>
      <c r="V742" s="161" t="str" cm="1">
        <f t="array" ref="V742">_xlfn.IFS(O742="Blaze Shield II",'CALCULO MORTERO'!P743, O742="Cafco 400",'CALCULO MORTERO'!Q743,O742="Cafco 300",'CALCULO MORTERO'!S743, AND(OR(O742="Fire tex 5090", O742="Fire Tex 5062", O742="Fire Tex 5120", O742="Fire Control"),Q742&gt;0), "CERT.",TRUE,"-")</f>
        <v>-</v>
      </c>
    </row>
    <row r="743" spans="1:22" x14ac:dyDescent="0.25">
      <c r="A743" s="903"/>
      <c r="B743" s="907"/>
      <c r="C743" s="874"/>
      <c r="D743" s="874"/>
      <c r="E743" s="874"/>
      <c r="F743" s="905"/>
      <c r="G743" s="874"/>
      <c r="H743" s="874"/>
      <c r="I743" s="906"/>
      <c r="J743" s="162"/>
      <c r="K743" s="161"/>
      <c r="L743" s="161"/>
      <c r="M743" s="169"/>
      <c r="N743" s="163" t="str">
        <f t="shared" si="15"/>
        <v/>
      </c>
      <c r="O743" s="41"/>
      <c r="P743" s="41"/>
      <c r="Q743" s="161" t="str">
        <f>+IF(OR(O743="Fire Control",O743="Fire Tex 5062",O743="Fire Tex 5090",O743="Fire Tex 5120"),'CALCULO PINTURA'!P744," ")</f>
        <v xml:space="preserve"> </v>
      </c>
      <c r="R743" s="164" t="str">
        <f>+IF(OR(O743="Fire Control",O743="Fire Tex 5062",O743="Fire Tex 5090",O743="Fire Tex 5120"),'CALCULO PINTURA'!R744," ")</f>
        <v xml:space="preserve"> </v>
      </c>
      <c r="S743" s="164" t="str">
        <f>+IF(OR(O743="Fire Control",O743="Fire Tex 5062",O743="Fire Tex 5090",O743="Fire Tex 5120"),'CALCULO PINTURA'!S744," ")</f>
        <v xml:space="preserve"> </v>
      </c>
      <c r="T743" s="874" t="str">
        <f>+IF(OR(O743="Blaze Shield II",O743="Cafco 400",O743="Cafco 300"),'CALCULO MORTERO'!N749," ")</f>
        <v xml:space="preserve"> </v>
      </c>
      <c r="U743" s="875" t="str">
        <f>+IF(OR(O743="Blaze Shield II",O743="Cafco 400",O743="Cafco 300"),'CALCULO MORTERO'!O749," ")</f>
        <v xml:space="preserve"> </v>
      </c>
      <c r="V743" s="161" t="str" cm="1">
        <f t="array" ref="V743">_xlfn.IFS(O743="Blaze Shield II",'CALCULO MORTERO'!P744, O743="Cafco 400",'CALCULO MORTERO'!Q744,O743="Cafco 300",'CALCULO MORTERO'!S744, AND(OR(O743="Fire tex 5090", O743="Fire Tex 5062", O743="Fire Tex 5120", O743="Fire Control"),Q743&gt;0), "CERT.",TRUE,"-")</f>
        <v>-</v>
      </c>
    </row>
    <row r="744" spans="1:22" x14ac:dyDescent="0.25">
      <c r="A744" s="903"/>
      <c r="B744" s="907"/>
      <c r="C744" s="874"/>
      <c r="D744" s="874"/>
      <c r="E744" s="874"/>
      <c r="F744" s="905"/>
      <c r="G744" s="874"/>
      <c r="H744" s="874"/>
      <c r="I744" s="906"/>
      <c r="J744" s="162"/>
      <c r="K744" s="161"/>
      <c r="L744" s="161"/>
      <c r="M744" s="169"/>
      <c r="N744" s="163" t="str">
        <f t="shared" si="15"/>
        <v/>
      </c>
      <c r="O744" s="41"/>
      <c r="P744" s="41"/>
      <c r="Q744" s="161" t="str">
        <f>+IF(OR(O744="Fire Control",O744="Fire Tex 5062",O744="Fire Tex 5090",O744="Fire Tex 5120"),'CALCULO PINTURA'!P745," ")</f>
        <v xml:space="preserve"> </v>
      </c>
      <c r="R744" s="164" t="str">
        <f>+IF(OR(O744="Fire Control",O744="Fire Tex 5062",O744="Fire Tex 5090",O744="Fire Tex 5120"),'CALCULO PINTURA'!R745," ")</f>
        <v xml:space="preserve"> </v>
      </c>
      <c r="S744" s="164" t="str">
        <f>+IF(OR(O744="Fire Control",O744="Fire Tex 5062",O744="Fire Tex 5090",O744="Fire Tex 5120"),'CALCULO PINTURA'!S745," ")</f>
        <v xml:space="preserve"> </v>
      </c>
      <c r="T744" s="874" t="str">
        <f>+IF(OR(O744="Blaze Shield II",O744="Cafco 400",O744="Cafco 300"),'CALCULO MORTERO'!N750," ")</f>
        <v xml:space="preserve"> </v>
      </c>
      <c r="U744" s="875" t="str">
        <f>+IF(OR(O744="Blaze Shield II",O744="Cafco 400",O744="Cafco 300"),'CALCULO MORTERO'!O750," ")</f>
        <v xml:space="preserve"> </v>
      </c>
      <c r="V744" s="161" t="str" cm="1">
        <f t="array" ref="V744">_xlfn.IFS(O744="Blaze Shield II",'CALCULO MORTERO'!P745, O744="Cafco 400",'CALCULO MORTERO'!Q745,O744="Cafco 300",'CALCULO MORTERO'!S745, AND(OR(O744="Fire tex 5090", O744="Fire Tex 5062", O744="Fire Tex 5120", O744="Fire Control"),Q744&gt;0), "CERT.",TRUE,"-")</f>
        <v>-</v>
      </c>
    </row>
    <row r="745" spans="1:22" x14ac:dyDescent="0.25">
      <c r="A745" s="903"/>
      <c r="B745" s="907"/>
      <c r="C745" s="874"/>
      <c r="D745" s="874"/>
      <c r="E745" s="874"/>
      <c r="F745" s="905"/>
      <c r="G745" s="874"/>
      <c r="H745" s="874"/>
      <c r="I745" s="906"/>
      <c r="J745" s="162"/>
      <c r="K745" s="161"/>
      <c r="L745" s="161"/>
      <c r="M745" s="169"/>
      <c r="N745" s="163" t="str">
        <f t="shared" si="15"/>
        <v/>
      </c>
      <c r="O745" s="41"/>
      <c r="P745" s="41"/>
      <c r="Q745" s="161" t="str">
        <f>+IF(OR(O745="Fire Control",O745="Fire Tex 5062",O745="Fire Tex 5090",O745="Fire Tex 5120"),'CALCULO PINTURA'!P746," ")</f>
        <v xml:space="preserve"> </v>
      </c>
      <c r="R745" s="164" t="str">
        <f>+IF(OR(O745="Fire Control",O745="Fire Tex 5062",O745="Fire Tex 5090",O745="Fire Tex 5120"),'CALCULO PINTURA'!R746," ")</f>
        <v xml:space="preserve"> </v>
      </c>
      <c r="S745" s="164" t="str">
        <f>+IF(OR(O745="Fire Control",O745="Fire Tex 5062",O745="Fire Tex 5090",O745="Fire Tex 5120"),'CALCULO PINTURA'!S746," ")</f>
        <v xml:space="preserve"> </v>
      </c>
      <c r="T745" s="874" t="str">
        <f>+IF(OR(O745="Blaze Shield II",O745="Cafco 400",O745="Cafco 300"),'CALCULO MORTERO'!N751," ")</f>
        <v xml:space="preserve"> </v>
      </c>
      <c r="U745" s="875" t="str">
        <f>+IF(OR(O745="Blaze Shield II",O745="Cafco 400",O745="Cafco 300"),'CALCULO MORTERO'!O751," ")</f>
        <v xml:space="preserve"> </v>
      </c>
      <c r="V745" s="161" t="str" cm="1">
        <f t="array" ref="V745">_xlfn.IFS(O745="Blaze Shield II",'CALCULO MORTERO'!P746, O745="Cafco 400",'CALCULO MORTERO'!Q746,O745="Cafco 300",'CALCULO MORTERO'!S746, AND(OR(O745="Fire tex 5090", O745="Fire Tex 5062", O745="Fire Tex 5120", O745="Fire Control"),Q745&gt;0), "CERT.",TRUE,"-")</f>
        <v>-</v>
      </c>
    </row>
    <row r="746" spans="1:22" x14ac:dyDescent="0.25">
      <c r="A746" s="903"/>
      <c r="B746" s="907"/>
      <c r="C746" s="874"/>
      <c r="D746" s="874"/>
      <c r="E746" s="874"/>
      <c r="F746" s="905"/>
      <c r="G746" s="874"/>
      <c r="H746" s="874"/>
      <c r="I746" s="906"/>
      <c r="J746" s="162"/>
      <c r="K746" s="161"/>
      <c r="L746" s="161"/>
      <c r="M746" s="169"/>
      <c r="N746" s="163" t="str">
        <f t="shared" si="15"/>
        <v/>
      </c>
      <c r="O746" s="41"/>
      <c r="P746" s="41"/>
      <c r="Q746" s="161" t="str">
        <f>+IF(OR(O746="Fire Control",O746="Fire Tex 5062",O746="Fire Tex 5090",O746="Fire Tex 5120"),'CALCULO PINTURA'!P747," ")</f>
        <v xml:space="preserve"> </v>
      </c>
      <c r="R746" s="164" t="str">
        <f>+IF(OR(O746="Fire Control",O746="Fire Tex 5062",O746="Fire Tex 5090",O746="Fire Tex 5120"),'CALCULO PINTURA'!R747," ")</f>
        <v xml:space="preserve"> </v>
      </c>
      <c r="S746" s="164" t="str">
        <f>+IF(OR(O746="Fire Control",O746="Fire Tex 5062",O746="Fire Tex 5090",O746="Fire Tex 5120"),'CALCULO PINTURA'!S747," ")</f>
        <v xml:space="preserve"> </v>
      </c>
      <c r="T746" s="874" t="str">
        <f>+IF(OR(O746="Blaze Shield II",O746="Cafco 400",O746="Cafco 300"),'CALCULO MORTERO'!N752," ")</f>
        <v xml:space="preserve"> </v>
      </c>
      <c r="U746" s="875" t="str">
        <f>+IF(OR(O746="Blaze Shield II",O746="Cafco 400",O746="Cafco 300"),'CALCULO MORTERO'!O752," ")</f>
        <v xml:space="preserve"> </v>
      </c>
      <c r="V746" s="161" t="str" cm="1">
        <f t="array" ref="V746">_xlfn.IFS(O746="Blaze Shield II",'CALCULO MORTERO'!P747, O746="Cafco 400",'CALCULO MORTERO'!Q747,O746="Cafco 300",'CALCULO MORTERO'!S747, AND(OR(O746="Fire tex 5090", O746="Fire Tex 5062", O746="Fire Tex 5120", O746="Fire Control"),Q746&gt;0), "CERT.",TRUE,"-")</f>
        <v>-</v>
      </c>
    </row>
    <row r="747" spans="1:22" x14ac:dyDescent="0.25">
      <c r="A747" s="903"/>
      <c r="B747" s="907"/>
      <c r="C747" s="874"/>
      <c r="D747" s="874"/>
      <c r="E747" s="874"/>
      <c r="F747" s="905"/>
      <c r="G747" s="874"/>
      <c r="H747" s="874"/>
      <c r="I747" s="906"/>
      <c r="J747" s="162"/>
      <c r="K747" s="161"/>
      <c r="L747" s="161"/>
      <c r="M747" s="169"/>
      <c r="N747" s="163" t="str">
        <f t="shared" si="15"/>
        <v/>
      </c>
      <c r="O747" s="41"/>
      <c r="P747" s="41"/>
      <c r="Q747" s="161" t="str">
        <f>+IF(OR(O747="Fire Control",O747="Fire Tex 5062",O747="Fire Tex 5090",O747="Fire Tex 5120"),'CALCULO PINTURA'!P748," ")</f>
        <v xml:space="preserve"> </v>
      </c>
      <c r="R747" s="164" t="str">
        <f>+IF(OR(O747="Fire Control",O747="Fire Tex 5062",O747="Fire Tex 5090",O747="Fire Tex 5120"),'CALCULO PINTURA'!R748," ")</f>
        <v xml:space="preserve"> </v>
      </c>
      <c r="S747" s="164" t="str">
        <f>+IF(OR(O747="Fire Control",O747="Fire Tex 5062",O747="Fire Tex 5090",O747="Fire Tex 5120"),'CALCULO PINTURA'!S748," ")</f>
        <v xml:space="preserve"> </v>
      </c>
      <c r="T747" s="874" t="str">
        <f>+IF(OR(O747="Blaze Shield II",O747="Cafco 400",O747="Cafco 300"),'CALCULO MORTERO'!N753," ")</f>
        <v xml:space="preserve"> </v>
      </c>
      <c r="U747" s="875" t="str">
        <f>+IF(OR(O747="Blaze Shield II",O747="Cafco 400",O747="Cafco 300"),'CALCULO MORTERO'!O753," ")</f>
        <v xml:space="preserve"> </v>
      </c>
      <c r="V747" s="161" t="str" cm="1">
        <f t="array" ref="V747">_xlfn.IFS(O747="Blaze Shield II",'CALCULO MORTERO'!P748, O747="Cafco 400",'CALCULO MORTERO'!Q748,O747="Cafco 300",'CALCULO MORTERO'!S748, AND(OR(O747="Fire tex 5090", O747="Fire Tex 5062", O747="Fire Tex 5120", O747="Fire Control"),Q747&gt;0), "CERT.",TRUE,"-")</f>
        <v>-</v>
      </c>
    </row>
    <row r="748" spans="1:22" x14ac:dyDescent="0.25">
      <c r="A748" s="903"/>
      <c r="B748" s="907"/>
      <c r="C748" s="874"/>
      <c r="D748" s="874"/>
      <c r="E748" s="874"/>
      <c r="F748" s="905"/>
      <c r="G748" s="874"/>
      <c r="H748" s="874"/>
      <c r="I748" s="906"/>
      <c r="J748" s="162"/>
      <c r="K748" s="161"/>
      <c r="L748" s="161"/>
      <c r="M748" s="169"/>
      <c r="N748" s="163" t="str">
        <f t="shared" si="15"/>
        <v/>
      </c>
      <c r="O748" s="41"/>
      <c r="P748" s="41"/>
      <c r="Q748" s="161" t="str">
        <f>+IF(OR(O748="Fire Control",O748="Fire Tex 5062",O748="Fire Tex 5090",O748="Fire Tex 5120"),'CALCULO PINTURA'!P749," ")</f>
        <v xml:space="preserve"> </v>
      </c>
      <c r="R748" s="164" t="str">
        <f>+IF(OR(O748="Fire Control",O748="Fire Tex 5062",O748="Fire Tex 5090",O748="Fire Tex 5120"),'CALCULO PINTURA'!R749," ")</f>
        <v xml:space="preserve"> </v>
      </c>
      <c r="S748" s="164" t="str">
        <f>+IF(OR(O748="Fire Control",O748="Fire Tex 5062",O748="Fire Tex 5090",O748="Fire Tex 5120"),'CALCULO PINTURA'!S749," ")</f>
        <v xml:space="preserve"> </v>
      </c>
      <c r="T748" s="874" t="str">
        <f>+IF(OR(O748="Blaze Shield II",O748="Cafco 400",O748="Cafco 300"),'CALCULO MORTERO'!N754," ")</f>
        <v xml:space="preserve"> </v>
      </c>
      <c r="U748" s="875" t="str">
        <f>+IF(OR(O748="Blaze Shield II",O748="Cafco 400",O748="Cafco 300"),'CALCULO MORTERO'!O754," ")</f>
        <v xml:space="preserve"> </v>
      </c>
      <c r="V748" s="161" t="str" cm="1">
        <f t="array" ref="V748">_xlfn.IFS(O748="Blaze Shield II",'CALCULO MORTERO'!P749, O748="Cafco 400",'CALCULO MORTERO'!Q749,O748="Cafco 300",'CALCULO MORTERO'!S749, AND(OR(O748="Fire tex 5090", O748="Fire Tex 5062", O748="Fire Tex 5120", O748="Fire Control"),Q748&gt;0), "CERT.",TRUE,"-")</f>
        <v>-</v>
      </c>
    </row>
    <row r="749" spans="1:22" x14ac:dyDescent="0.25">
      <c r="A749" s="903"/>
      <c r="B749" s="907"/>
      <c r="C749" s="874"/>
      <c r="D749" s="874"/>
      <c r="E749" s="874"/>
      <c r="F749" s="905"/>
      <c r="G749" s="874"/>
      <c r="H749" s="874"/>
      <c r="I749" s="906"/>
      <c r="J749" s="162"/>
      <c r="K749" s="161"/>
      <c r="L749" s="161"/>
      <c r="M749" s="169"/>
      <c r="N749" s="163" t="str">
        <f t="shared" si="15"/>
        <v/>
      </c>
      <c r="O749" s="41"/>
      <c r="P749" s="41"/>
      <c r="Q749" s="161" t="str">
        <f>+IF(OR(O749="Fire Control",O749="Fire Tex 5062",O749="Fire Tex 5090",O749="Fire Tex 5120"),'CALCULO PINTURA'!P750," ")</f>
        <v xml:space="preserve"> </v>
      </c>
      <c r="R749" s="164" t="str">
        <f>+IF(OR(O749="Fire Control",O749="Fire Tex 5062",O749="Fire Tex 5090",O749="Fire Tex 5120"),'CALCULO PINTURA'!R750," ")</f>
        <v xml:space="preserve"> </v>
      </c>
      <c r="S749" s="164" t="str">
        <f>+IF(OR(O749="Fire Control",O749="Fire Tex 5062",O749="Fire Tex 5090",O749="Fire Tex 5120"),'CALCULO PINTURA'!S750," ")</f>
        <v xml:space="preserve"> </v>
      </c>
      <c r="T749" s="874" t="str">
        <f>+IF(OR(O749="Blaze Shield II",O749="Cafco 400",O749="Cafco 300"),'CALCULO MORTERO'!N755," ")</f>
        <v xml:space="preserve"> </v>
      </c>
      <c r="U749" s="875" t="str">
        <f>+IF(OR(O749="Blaze Shield II",O749="Cafco 400",O749="Cafco 300"),'CALCULO MORTERO'!O755," ")</f>
        <v xml:space="preserve"> </v>
      </c>
      <c r="V749" s="161" t="str" cm="1">
        <f t="array" ref="V749">_xlfn.IFS(O749="Blaze Shield II",'CALCULO MORTERO'!P750, O749="Cafco 400",'CALCULO MORTERO'!Q750,O749="Cafco 300",'CALCULO MORTERO'!S750, AND(OR(O749="Fire tex 5090", O749="Fire Tex 5062", O749="Fire Tex 5120", O749="Fire Control"),Q749&gt;0), "CERT.",TRUE,"-")</f>
        <v>-</v>
      </c>
    </row>
    <row r="750" spans="1:22" x14ac:dyDescent="0.25">
      <c r="A750" s="903"/>
      <c r="B750" s="907"/>
      <c r="C750" s="874"/>
      <c r="D750" s="874"/>
      <c r="E750" s="874"/>
      <c r="F750" s="905"/>
      <c r="G750" s="874"/>
      <c r="H750" s="874"/>
      <c r="I750" s="906"/>
      <c r="J750" s="162"/>
      <c r="K750" s="161"/>
      <c r="L750" s="161"/>
      <c r="M750" s="169"/>
      <c r="N750" s="163" t="str">
        <f t="shared" si="15"/>
        <v/>
      </c>
      <c r="O750" s="41"/>
      <c r="P750" s="41"/>
      <c r="Q750" s="161" t="str">
        <f>+IF(OR(O750="Fire Control",O750="Fire Tex 5062",O750="Fire Tex 5090",O750="Fire Tex 5120"),'CALCULO PINTURA'!P751," ")</f>
        <v xml:space="preserve"> </v>
      </c>
      <c r="R750" s="164" t="str">
        <f>+IF(OR(O750="Fire Control",O750="Fire Tex 5062",O750="Fire Tex 5090",O750="Fire Tex 5120"),'CALCULO PINTURA'!R751," ")</f>
        <v xml:space="preserve"> </v>
      </c>
      <c r="S750" s="164" t="str">
        <f>+IF(OR(O750="Fire Control",O750="Fire Tex 5062",O750="Fire Tex 5090",O750="Fire Tex 5120"),'CALCULO PINTURA'!S751," ")</f>
        <v xml:space="preserve"> </v>
      </c>
      <c r="T750" s="874" t="str">
        <f>+IF(OR(O750="Blaze Shield II",O750="Cafco 400",O750="Cafco 300"),'CALCULO MORTERO'!N756," ")</f>
        <v xml:space="preserve"> </v>
      </c>
      <c r="U750" s="875" t="str">
        <f>+IF(OR(O750="Blaze Shield II",O750="Cafco 400",O750="Cafco 300"),'CALCULO MORTERO'!O756," ")</f>
        <v xml:space="preserve"> </v>
      </c>
      <c r="V750" s="161" t="str" cm="1">
        <f t="array" ref="V750">_xlfn.IFS(O750="Blaze Shield II",'CALCULO MORTERO'!P751, O750="Cafco 400",'CALCULO MORTERO'!Q751,O750="Cafco 300",'CALCULO MORTERO'!S751, AND(OR(O750="Fire tex 5090", O750="Fire Tex 5062", O750="Fire Tex 5120", O750="Fire Control"),Q750&gt;0), "CERT.",TRUE,"-")</f>
        <v>-</v>
      </c>
    </row>
    <row r="751" spans="1:22" x14ac:dyDescent="0.25">
      <c r="A751" s="903"/>
      <c r="B751" s="907"/>
      <c r="C751" s="874"/>
      <c r="D751" s="874"/>
      <c r="E751" s="874"/>
      <c r="F751" s="905"/>
      <c r="G751" s="874"/>
      <c r="H751" s="874"/>
      <c r="I751" s="906"/>
      <c r="J751" s="162"/>
      <c r="K751" s="161"/>
      <c r="L751" s="161"/>
      <c r="M751" s="163"/>
      <c r="N751" s="163" t="str">
        <f t="shared" si="15"/>
        <v/>
      </c>
      <c r="O751" s="41"/>
      <c r="P751" s="41"/>
      <c r="Q751" s="161" t="str">
        <f>+IF(OR(O751="Fire Control",O751="Fire Tex 5062",O751="Fire Tex 5090",O751="Fire Tex 5120"),'CALCULO PINTURA'!P752," ")</f>
        <v xml:space="preserve"> </v>
      </c>
      <c r="R751" s="164" t="str">
        <f>+IF(OR(O751="Fire Control",O751="Fire Tex 5062",O751="Fire Tex 5090",O751="Fire Tex 5120"),'CALCULO PINTURA'!R752," ")</f>
        <v xml:space="preserve"> </v>
      </c>
      <c r="S751" s="164" t="str">
        <f>+IF(OR(O751="Fire Control",O751="Fire Tex 5062",O751="Fire Tex 5090",O751="Fire Tex 5120"),'CALCULO PINTURA'!S752," ")</f>
        <v xml:space="preserve"> </v>
      </c>
      <c r="T751" s="874" t="str">
        <f>+IF(OR(O751="Blaze Shield II",O751="Cafco 400",O751="Cafco 300"),'CALCULO MORTERO'!N757," ")</f>
        <v xml:space="preserve"> </v>
      </c>
      <c r="U751" s="875" t="str">
        <f>+IF(OR(O751="Blaze Shield II",O751="Cafco 400",O751="Cafco 300"),'CALCULO MORTERO'!O757," ")</f>
        <v xml:space="preserve"> </v>
      </c>
      <c r="V751" s="161" t="str" cm="1">
        <f t="array" ref="V751">_xlfn.IFS(O751="Blaze Shield II",'CALCULO MORTERO'!P752, O751="Cafco 400",'CALCULO MORTERO'!Q752,O751="Cafco 300",'CALCULO MORTERO'!S752, AND(OR(O751="Fire tex 5090", O751="Fire Tex 5062", O751="Fire Tex 5120", O751="Fire Control"),Q751&gt;0), "CERT.",TRUE,"-")</f>
        <v>-</v>
      </c>
    </row>
    <row r="752" spans="1:22" x14ac:dyDescent="0.25">
      <c r="A752" s="903"/>
      <c r="B752" s="907"/>
      <c r="C752" s="874"/>
      <c r="D752" s="874"/>
      <c r="E752" s="874"/>
      <c r="F752" s="905"/>
      <c r="G752" s="874"/>
      <c r="H752" s="874"/>
      <c r="I752" s="906"/>
      <c r="J752" s="162"/>
      <c r="K752" s="161"/>
      <c r="L752" s="161"/>
      <c r="M752" s="163"/>
      <c r="N752" s="163" t="str">
        <f t="shared" si="15"/>
        <v/>
      </c>
      <c r="O752" s="41"/>
      <c r="P752" s="41"/>
      <c r="Q752" s="161" t="str">
        <f>+IF(OR(O752="Fire Control",O752="Fire Tex 5062",O752="Fire Tex 5090",O752="Fire Tex 5120"),'CALCULO PINTURA'!P753," ")</f>
        <v xml:space="preserve"> </v>
      </c>
      <c r="R752" s="164" t="str">
        <f>+IF(OR(O752="Fire Control",O752="Fire Tex 5062",O752="Fire Tex 5090",O752="Fire Tex 5120"),'CALCULO PINTURA'!R753," ")</f>
        <v xml:space="preserve"> </v>
      </c>
      <c r="S752" s="164" t="str">
        <f>+IF(OR(O752="Fire Control",O752="Fire Tex 5062",O752="Fire Tex 5090",O752="Fire Tex 5120"),'CALCULO PINTURA'!S753," ")</f>
        <v xml:space="preserve"> </v>
      </c>
      <c r="T752" s="874" t="str">
        <f>+IF(OR(O752="Blaze Shield II",O752="Cafco 400",O752="Cafco 300"),'CALCULO MORTERO'!N758," ")</f>
        <v xml:space="preserve"> </v>
      </c>
      <c r="U752" s="875" t="str">
        <f>+IF(OR(O752="Blaze Shield II",O752="Cafco 400",O752="Cafco 300"),'CALCULO MORTERO'!O758," ")</f>
        <v xml:space="preserve"> </v>
      </c>
      <c r="V752" s="161" t="str" cm="1">
        <f t="array" ref="V752">_xlfn.IFS(O752="Blaze Shield II",'CALCULO MORTERO'!P753, O752="Cafco 400",'CALCULO MORTERO'!Q753,O752="Cafco 300",'CALCULO MORTERO'!S753, AND(OR(O752="Fire tex 5090", O752="Fire Tex 5062", O752="Fire Tex 5120", O752="Fire Control"),Q752&gt;0), "CERT.",TRUE,"-")</f>
        <v>-</v>
      </c>
    </row>
    <row r="753" spans="1:22" x14ac:dyDescent="0.25">
      <c r="A753" s="903"/>
      <c r="B753" s="907"/>
      <c r="C753" s="874"/>
      <c r="D753" s="874"/>
      <c r="E753" s="874"/>
      <c r="F753" s="905"/>
      <c r="G753" s="874"/>
      <c r="H753" s="874"/>
      <c r="I753" s="906"/>
      <c r="J753" s="162"/>
      <c r="K753" s="161"/>
      <c r="L753" s="161"/>
      <c r="M753" s="163"/>
      <c r="N753" s="163" t="str">
        <f t="shared" si="15"/>
        <v/>
      </c>
      <c r="O753" s="41"/>
      <c r="P753" s="41"/>
      <c r="Q753" s="161" t="str">
        <f>+IF(OR(O753="Fire Control",O753="Fire Tex 5062",O753="Fire Tex 5090",O753="Fire Tex 5120"),'CALCULO PINTURA'!P754," ")</f>
        <v xml:space="preserve"> </v>
      </c>
      <c r="R753" s="164" t="str">
        <f>+IF(OR(O753="Fire Control",O753="Fire Tex 5062",O753="Fire Tex 5090",O753="Fire Tex 5120"),'CALCULO PINTURA'!R754," ")</f>
        <v xml:space="preserve"> </v>
      </c>
      <c r="S753" s="164" t="str">
        <f>+IF(OR(O753="Fire Control",O753="Fire Tex 5062",O753="Fire Tex 5090",O753="Fire Tex 5120"),'CALCULO PINTURA'!S754," ")</f>
        <v xml:space="preserve"> </v>
      </c>
      <c r="T753" s="874" t="str">
        <f>+IF(OR(O753="Blaze Shield II",O753="Cafco 400",O753="Cafco 300"),'CALCULO MORTERO'!N759," ")</f>
        <v xml:space="preserve"> </v>
      </c>
      <c r="U753" s="875" t="str">
        <f>+IF(OR(O753="Blaze Shield II",O753="Cafco 400",O753="Cafco 300"),'CALCULO MORTERO'!O759," ")</f>
        <v xml:space="preserve"> </v>
      </c>
      <c r="V753" s="161" t="str" cm="1">
        <f t="array" ref="V753">_xlfn.IFS(O753="Blaze Shield II",'CALCULO MORTERO'!P754, O753="Cafco 400",'CALCULO MORTERO'!Q754,O753="Cafco 300",'CALCULO MORTERO'!S754, AND(OR(O753="Fire tex 5090", O753="Fire Tex 5062", O753="Fire Tex 5120", O753="Fire Control"),Q753&gt;0), "CERT.",TRUE,"-")</f>
        <v>-</v>
      </c>
    </row>
    <row r="754" spans="1:22" x14ac:dyDescent="0.25">
      <c r="A754" s="903"/>
      <c r="B754" s="907"/>
      <c r="C754" s="874"/>
      <c r="D754" s="874"/>
      <c r="E754" s="874"/>
      <c r="F754" s="905"/>
      <c r="G754" s="874"/>
      <c r="H754" s="874"/>
      <c r="I754" s="906"/>
      <c r="J754" s="162"/>
      <c r="K754" s="161"/>
      <c r="L754" s="161"/>
      <c r="M754" s="163"/>
      <c r="N754" s="163" t="str">
        <f t="shared" si="15"/>
        <v/>
      </c>
      <c r="O754" s="41"/>
      <c r="P754" s="41"/>
      <c r="Q754" s="161" t="str">
        <f>+IF(OR(O754="Fire Control",O754="Fire Tex 5062",O754="Fire Tex 5090",O754="Fire Tex 5120"),'CALCULO PINTURA'!P755," ")</f>
        <v xml:space="preserve"> </v>
      </c>
      <c r="R754" s="164" t="str">
        <f>+IF(OR(O754="Fire Control",O754="Fire Tex 5062",O754="Fire Tex 5090",O754="Fire Tex 5120"),'CALCULO PINTURA'!R755," ")</f>
        <v xml:space="preserve"> </v>
      </c>
      <c r="S754" s="164" t="str">
        <f>+IF(OR(O754="Fire Control",O754="Fire Tex 5062",O754="Fire Tex 5090",O754="Fire Tex 5120"),'CALCULO PINTURA'!S755," ")</f>
        <v xml:space="preserve"> </v>
      </c>
      <c r="T754" s="874" t="str">
        <f>+IF(OR(O754="Blaze Shield II",O754="Cafco 400",O754="Cafco 300"),'CALCULO MORTERO'!N760," ")</f>
        <v xml:space="preserve"> </v>
      </c>
      <c r="U754" s="875" t="str">
        <f>+IF(OR(O754="Blaze Shield II",O754="Cafco 400",O754="Cafco 300"),'CALCULO MORTERO'!O760," ")</f>
        <v xml:space="preserve"> </v>
      </c>
      <c r="V754" s="161" t="str" cm="1">
        <f t="array" ref="V754">_xlfn.IFS(O754="Blaze Shield II",'CALCULO MORTERO'!P755, O754="Cafco 400",'CALCULO MORTERO'!Q755,O754="Cafco 300",'CALCULO MORTERO'!S755, AND(OR(O754="Fire tex 5090", O754="Fire Tex 5062", O754="Fire Tex 5120", O754="Fire Control"),Q754&gt;0), "CERT.",TRUE,"-")</f>
        <v>-</v>
      </c>
    </row>
    <row r="755" spans="1:22" x14ac:dyDescent="0.25">
      <c r="A755" s="903"/>
      <c r="B755" s="907"/>
      <c r="C755" s="874"/>
      <c r="D755" s="874"/>
      <c r="E755" s="874"/>
      <c r="F755" s="905"/>
      <c r="G755" s="874"/>
      <c r="H755" s="874"/>
      <c r="I755" s="906"/>
      <c r="J755" s="162"/>
      <c r="K755" s="161"/>
      <c r="L755" s="161"/>
      <c r="M755" s="163"/>
      <c r="N755" s="163" t="str">
        <f t="shared" si="15"/>
        <v/>
      </c>
      <c r="O755" s="41"/>
      <c r="P755" s="41"/>
      <c r="Q755" s="161" t="str">
        <f>+IF(OR(O755="Fire Control",O755="Fire Tex 5062",O755="Fire Tex 5090",O755="Fire Tex 5120"),'CALCULO PINTURA'!P756," ")</f>
        <v xml:space="preserve"> </v>
      </c>
      <c r="R755" s="164" t="str">
        <f>+IF(OR(O755="Fire Control",O755="Fire Tex 5062",O755="Fire Tex 5090",O755="Fire Tex 5120"),'CALCULO PINTURA'!R756," ")</f>
        <v xml:space="preserve"> </v>
      </c>
      <c r="S755" s="164" t="str">
        <f>+IF(OR(O755="Fire Control",O755="Fire Tex 5062",O755="Fire Tex 5090",O755="Fire Tex 5120"),'CALCULO PINTURA'!S756," ")</f>
        <v xml:space="preserve"> </v>
      </c>
      <c r="T755" s="874" t="str">
        <f>+IF(OR(O755="Blaze Shield II",O755="Cafco 400",O755="Cafco 300"),'CALCULO MORTERO'!N761," ")</f>
        <v xml:space="preserve"> </v>
      </c>
      <c r="U755" s="875" t="str">
        <f>+IF(OR(O755="Blaze Shield II",O755="Cafco 400",O755="Cafco 300"),'CALCULO MORTERO'!O761," ")</f>
        <v xml:space="preserve"> </v>
      </c>
      <c r="V755" s="161" t="str" cm="1">
        <f t="array" ref="V755">_xlfn.IFS(O755="Blaze Shield II",'CALCULO MORTERO'!P756, O755="Cafco 400",'CALCULO MORTERO'!Q756,O755="Cafco 300",'CALCULO MORTERO'!S756, AND(OR(O755="Fire tex 5090", O755="Fire Tex 5062", O755="Fire Tex 5120", O755="Fire Control"),Q755&gt;0), "CERT.",TRUE,"-")</f>
        <v>-</v>
      </c>
    </row>
    <row r="756" spans="1:22" x14ac:dyDescent="0.25">
      <c r="A756" s="903"/>
      <c r="B756" s="907"/>
      <c r="C756" s="874"/>
      <c r="D756" s="874"/>
      <c r="E756" s="874"/>
      <c r="F756" s="905"/>
      <c r="G756" s="874"/>
      <c r="H756" s="874"/>
      <c r="I756" s="906"/>
      <c r="J756" s="162"/>
      <c r="K756" s="161"/>
      <c r="L756" s="161"/>
      <c r="M756" s="163"/>
      <c r="N756" s="163" t="str">
        <f t="shared" si="15"/>
        <v/>
      </c>
      <c r="O756" s="41"/>
      <c r="P756" s="41"/>
      <c r="Q756" s="161" t="str">
        <f>+IF(OR(O756="Fire Control",O756="Fire Tex 5062",O756="Fire Tex 5090",O756="Fire Tex 5120"),'CALCULO PINTURA'!P757," ")</f>
        <v xml:space="preserve"> </v>
      </c>
      <c r="R756" s="164" t="str">
        <f>+IF(OR(O756="Fire Control",O756="Fire Tex 5062",O756="Fire Tex 5090",O756="Fire Tex 5120"),'CALCULO PINTURA'!R757," ")</f>
        <v xml:space="preserve"> </v>
      </c>
      <c r="S756" s="164" t="str">
        <f>+IF(OR(O756="Fire Control",O756="Fire Tex 5062",O756="Fire Tex 5090",O756="Fire Tex 5120"),'CALCULO PINTURA'!S757," ")</f>
        <v xml:space="preserve"> </v>
      </c>
      <c r="T756" s="874" t="str">
        <f>+IF(OR(O756="Blaze Shield II",O756="Cafco 400",O756="Cafco 300"),'CALCULO MORTERO'!N762," ")</f>
        <v xml:space="preserve"> </v>
      </c>
      <c r="U756" s="875" t="str">
        <f>+IF(OR(O756="Blaze Shield II",O756="Cafco 400",O756="Cafco 300"),'CALCULO MORTERO'!O762," ")</f>
        <v xml:space="preserve"> </v>
      </c>
      <c r="V756" s="161" t="str" cm="1">
        <f t="array" ref="V756">_xlfn.IFS(O756="Blaze Shield II",'CALCULO MORTERO'!P757, O756="Cafco 400",'CALCULO MORTERO'!Q757,O756="Cafco 300",'CALCULO MORTERO'!S757, AND(OR(O756="Fire tex 5090", O756="Fire Tex 5062", O756="Fire Tex 5120", O756="Fire Control"),Q756&gt;0), "CERT.",TRUE,"-")</f>
        <v>-</v>
      </c>
    </row>
    <row r="757" spans="1:22" x14ac:dyDescent="0.25">
      <c r="A757" s="903"/>
      <c r="B757" s="907"/>
      <c r="C757" s="874"/>
      <c r="D757" s="874"/>
      <c r="E757" s="874"/>
      <c r="F757" s="905"/>
      <c r="G757" s="874"/>
      <c r="H757" s="874"/>
      <c r="I757" s="906"/>
      <c r="J757" s="162"/>
      <c r="K757" s="161"/>
      <c r="L757" s="161"/>
      <c r="M757" s="163"/>
      <c r="N757" s="163" t="str">
        <f t="shared" si="15"/>
        <v/>
      </c>
      <c r="O757" s="41"/>
      <c r="P757" s="41"/>
      <c r="Q757" s="161" t="str">
        <f>+IF(OR(O757="Fire Control",O757="Fire Tex 5062",O757="Fire Tex 5090",O757="Fire Tex 5120"),'CALCULO PINTURA'!P758," ")</f>
        <v xml:space="preserve"> </v>
      </c>
      <c r="R757" s="164" t="str">
        <f>+IF(OR(O757="Fire Control",O757="Fire Tex 5062",O757="Fire Tex 5090",O757="Fire Tex 5120"),'CALCULO PINTURA'!R758," ")</f>
        <v xml:space="preserve"> </v>
      </c>
      <c r="S757" s="164" t="str">
        <f>+IF(OR(O757="Fire Control",O757="Fire Tex 5062",O757="Fire Tex 5090",O757="Fire Tex 5120"),'CALCULO PINTURA'!S758," ")</f>
        <v xml:space="preserve"> </v>
      </c>
      <c r="T757" s="874" t="str">
        <f>+IF(OR(O757="Blaze Shield II",O757="Cafco 400",O757="Cafco 300"),'CALCULO MORTERO'!N763," ")</f>
        <v xml:space="preserve"> </v>
      </c>
      <c r="U757" s="875" t="str">
        <f>+IF(OR(O757="Blaze Shield II",O757="Cafco 400",O757="Cafco 300"),'CALCULO MORTERO'!O763," ")</f>
        <v xml:space="preserve"> </v>
      </c>
      <c r="V757" s="161" t="str" cm="1">
        <f t="array" ref="V757">_xlfn.IFS(O757="Blaze Shield II",'CALCULO MORTERO'!P758, O757="Cafco 400",'CALCULO MORTERO'!Q758,O757="Cafco 300",'CALCULO MORTERO'!S758, AND(OR(O757="Fire tex 5090", O757="Fire Tex 5062", O757="Fire Tex 5120", O757="Fire Control"),Q757&gt;0), "CERT.",TRUE,"-")</f>
        <v>-</v>
      </c>
    </row>
    <row r="758" spans="1:22" x14ac:dyDescent="0.25">
      <c r="A758" s="903"/>
      <c r="B758" s="907"/>
      <c r="C758" s="874"/>
      <c r="D758" s="874"/>
      <c r="E758" s="874"/>
      <c r="F758" s="905"/>
      <c r="G758" s="874"/>
      <c r="H758" s="874"/>
      <c r="I758" s="906"/>
      <c r="J758" s="162"/>
      <c r="K758" s="161"/>
      <c r="L758" s="161"/>
      <c r="M758" s="163"/>
      <c r="N758" s="163" t="str">
        <f t="shared" si="15"/>
        <v/>
      </c>
      <c r="O758" s="41"/>
      <c r="P758" s="41"/>
      <c r="Q758" s="161" t="str">
        <f>+IF(OR(O758="Fire Control",O758="Fire Tex 5062",O758="Fire Tex 5090",O758="Fire Tex 5120"),'CALCULO PINTURA'!P759," ")</f>
        <v xml:space="preserve"> </v>
      </c>
      <c r="R758" s="164" t="str">
        <f>+IF(OR(O758="Fire Control",O758="Fire Tex 5062",O758="Fire Tex 5090",O758="Fire Tex 5120"),'CALCULO PINTURA'!R759," ")</f>
        <v xml:space="preserve"> </v>
      </c>
      <c r="S758" s="164" t="str">
        <f>+IF(OR(O758="Fire Control",O758="Fire Tex 5062",O758="Fire Tex 5090",O758="Fire Tex 5120"),'CALCULO PINTURA'!S759," ")</f>
        <v xml:space="preserve"> </v>
      </c>
      <c r="T758" s="874" t="str">
        <f>+IF(OR(O758="Blaze Shield II",O758="Cafco 400",O758="Cafco 300"),'CALCULO MORTERO'!N764," ")</f>
        <v xml:space="preserve"> </v>
      </c>
      <c r="U758" s="875" t="str">
        <f>+IF(OR(O758="Blaze Shield II",O758="Cafco 400",O758="Cafco 300"),'CALCULO MORTERO'!O764," ")</f>
        <v xml:space="preserve"> </v>
      </c>
      <c r="V758" s="161" t="str" cm="1">
        <f t="array" ref="V758">_xlfn.IFS(O758="Blaze Shield II",'CALCULO MORTERO'!P759, O758="Cafco 400",'CALCULO MORTERO'!Q759,O758="Cafco 300",'CALCULO MORTERO'!S759, AND(OR(O758="Fire tex 5090", O758="Fire Tex 5062", O758="Fire Tex 5120", O758="Fire Control"),Q758&gt;0), "CERT.",TRUE,"-")</f>
        <v>-</v>
      </c>
    </row>
    <row r="759" spans="1:22" x14ac:dyDescent="0.25">
      <c r="A759" s="903"/>
      <c r="B759" s="907"/>
      <c r="C759" s="874"/>
      <c r="D759" s="874"/>
      <c r="E759" s="874"/>
      <c r="F759" s="905"/>
      <c r="G759" s="874"/>
      <c r="H759" s="874"/>
      <c r="I759" s="906"/>
      <c r="J759" s="162"/>
      <c r="K759" s="161"/>
      <c r="L759" s="161"/>
      <c r="M759" s="163"/>
      <c r="N759" s="163" t="str">
        <f t="shared" si="15"/>
        <v/>
      </c>
      <c r="O759" s="41"/>
      <c r="P759" s="41"/>
      <c r="Q759" s="161" t="str">
        <f>+IF(OR(O759="Fire Control",O759="Fire Tex 5062",O759="Fire Tex 5090",O759="Fire Tex 5120"),'CALCULO PINTURA'!P760," ")</f>
        <v xml:space="preserve"> </v>
      </c>
      <c r="R759" s="164" t="str">
        <f>+IF(OR(O759="Fire Control",O759="Fire Tex 5062",O759="Fire Tex 5090",O759="Fire Tex 5120"),'CALCULO PINTURA'!R760," ")</f>
        <v xml:space="preserve"> </v>
      </c>
      <c r="S759" s="164" t="str">
        <f>+IF(OR(O759="Fire Control",O759="Fire Tex 5062",O759="Fire Tex 5090",O759="Fire Tex 5120"),'CALCULO PINTURA'!S760," ")</f>
        <v xml:space="preserve"> </v>
      </c>
      <c r="T759" s="874" t="str">
        <f>+IF(OR(O759="Blaze Shield II",O759="Cafco 400",O759="Cafco 300"),'CALCULO MORTERO'!N765," ")</f>
        <v xml:space="preserve"> </v>
      </c>
      <c r="U759" s="875" t="str">
        <f>+IF(OR(O759="Blaze Shield II",O759="Cafco 400",O759="Cafco 300"),'CALCULO MORTERO'!O765," ")</f>
        <v xml:space="preserve"> </v>
      </c>
      <c r="V759" s="161" t="str" cm="1">
        <f t="array" ref="V759">_xlfn.IFS(O759="Blaze Shield II",'CALCULO MORTERO'!P760, O759="Cafco 400",'CALCULO MORTERO'!Q760,O759="Cafco 300",'CALCULO MORTERO'!S760, AND(OR(O759="Fire tex 5090", O759="Fire Tex 5062", O759="Fire Tex 5120", O759="Fire Control"),Q759&gt;0), "CERT.",TRUE,"-")</f>
        <v>-</v>
      </c>
    </row>
    <row r="760" spans="1:22" x14ac:dyDescent="0.25">
      <c r="A760" s="903"/>
      <c r="B760" s="907"/>
      <c r="C760" s="874"/>
      <c r="D760" s="874"/>
      <c r="E760" s="874"/>
      <c r="F760" s="905"/>
      <c r="G760" s="874"/>
      <c r="H760" s="874"/>
      <c r="I760" s="906"/>
      <c r="J760" s="162"/>
      <c r="K760" s="161"/>
      <c r="L760" s="161"/>
      <c r="M760" s="163"/>
      <c r="N760" s="163" t="str">
        <f t="shared" si="15"/>
        <v/>
      </c>
      <c r="O760" s="41"/>
      <c r="P760" s="41"/>
      <c r="Q760" s="161" t="str">
        <f>+IF(OR(O760="Fire Control",O760="Fire Tex 5062",O760="Fire Tex 5090",O760="Fire Tex 5120"),'CALCULO PINTURA'!P761," ")</f>
        <v xml:space="preserve"> </v>
      </c>
      <c r="R760" s="164" t="str">
        <f>+IF(OR(O760="Fire Control",O760="Fire Tex 5062",O760="Fire Tex 5090",O760="Fire Tex 5120"),'CALCULO PINTURA'!R761," ")</f>
        <v xml:space="preserve"> </v>
      </c>
      <c r="S760" s="164" t="str">
        <f>+IF(OR(O760="Fire Control",O760="Fire Tex 5062",O760="Fire Tex 5090",O760="Fire Tex 5120"),'CALCULO PINTURA'!S761," ")</f>
        <v xml:space="preserve"> </v>
      </c>
      <c r="T760" s="874" t="str">
        <f>+IF(OR(O760="Blaze Shield II",O760="Cafco 400",O760="Cafco 300"),'CALCULO MORTERO'!N766," ")</f>
        <v xml:space="preserve"> </v>
      </c>
      <c r="U760" s="875" t="str">
        <f>+IF(OR(O760="Blaze Shield II",O760="Cafco 400",O760="Cafco 300"),'CALCULO MORTERO'!O766," ")</f>
        <v xml:space="preserve"> </v>
      </c>
      <c r="V760" s="161" t="str" cm="1">
        <f t="array" ref="V760">_xlfn.IFS(O760="Blaze Shield II",'CALCULO MORTERO'!P761, O760="Cafco 400",'CALCULO MORTERO'!Q761,O760="Cafco 300",'CALCULO MORTERO'!S761, AND(OR(O760="Fire tex 5090", O760="Fire Tex 5062", O760="Fire Tex 5120", O760="Fire Control"),Q760&gt;0), "CERT.",TRUE,"-")</f>
        <v>-</v>
      </c>
    </row>
    <row r="761" spans="1:22" x14ac:dyDescent="0.25">
      <c r="A761" s="903"/>
      <c r="B761" s="907"/>
      <c r="C761" s="874"/>
      <c r="D761" s="874"/>
      <c r="E761" s="874"/>
      <c r="F761" s="905"/>
      <c r="G761" s="874"/>
      <c r="H761" s="874"/>
      <c r="I761" s="906"/>
      <c r="J761" s="162"/>
      <c r="K761" s="161"/>
      <c r="L761" s="161"/>
      <c r="M761" s="163"/>
      <c r="N761" s="163" t="str">
        <f t="shared" si="15"/>
        <v/>
      </c>
      <c r="O761" s="41"/>
      <c r="P761" s="41"/>
      <c r="Q761" s="161" t="str">
        <f>+IF(OR(O761="Fire Control",O761="Fire Tex 5062",O761="Fire Tex 5090",O761="Fire Tex 5120"),'CALCULO PINTURA'!P762," ")</f>
        <v xml:space="preserve"> </v>
      </c>
      <c r="R761" s="164" t="str">
        <f>+IF(OR(O761="Fire Control",O761="Fire Tex 5062",O761="Fire Tex 5090",O761="Fire Tex 5120"),'CALCULO PINTURA'!R762," ")</f>
        <v xml:space="preserve"> </v>
      </c>
      <c r="S761" s="164" t="str">
        <f>+IF(OR(O761="Fire Control",O761="Fire Tex 5062",O761="Fire Tex 5090",O761="Fire Tex 5120"),'CALCULO PINTURA'!S762," ")</f>
        <v xml:space="preserve"> </v>
      </c>
      <c r="T761" s="874" t="str">
        <f>+IF(OR(O761="Blaze Shield II",O761="Cafco 400",O761="Cafco 300"),'CALCULO MORTERO'!N767," ")</f>
        <v xml:space="preserve"> </v>
      </c>
      <c r="U761" s="875" t="str">
        <f>+IF(OR(O761="Blaze Shield II",O761="Cafco 400",O761="Cafco 300"),'CALCULO MORTERO'!O767," ")</f>
        <v xml:space="preserve"> </v>
      </c>
      <c r="V761" s="161" t="str" cm="1">
        <f t="array" ref="V761">_xlfn.IFS(O761="Blaze Shield II",'CALCULO MORTERO'!P762, O761="Cafco 400",'CALCULO MORTERO'!Q762,O761="Cafco 300",'CALCULO MORTERO'!S762, AND(OR(O761="Fire tex 5090", O761="Fire Tex 5062", O761="Fire Tex 5120", O761="Fire Control"),Q761&gt;0), "CERT.",TRUE,"-")</f>
        <v>-</v>
      </c>
    </row>
    <row r="762" spans="1:22" x14ac:dyDescent="0.25">
      <c r="A762" s="903"/>
      <c r="B762" s="907"/>
      <c r="C762" s="874"/>
      <c r="D762" s="874"/>
      <c r="E762" s="874"/>
      <c r="F762" s="905"/>
      <c r="G762" s="874"/>
      <c r="H762" s="874"/>
      <c r="I762" s="906"/>
      <c r="J762" s="162"/>
      <c r="K762" s="161"/>
      <c r="L762" s="161"/>
      <c r="M762" s="163"/>
      <c r="N762" s="163" t="str">
        <f t="shared" si="15"/>
        <v/>
      </c>
      <c r="O762" s="41"/>
      <c r="P762" s="41"/>
      <c r="Q762" s="161" t="str">
        <f>+IF(OR(O762="Fire Control",O762="Fire Tex 5062",O762="Fire Tex 5090",O762="Fire Tex 5120"),'CALCULO PINTURA'!P763," ")</f>
        <v xml:space="preserve"> </v>
      </c>
      <c r="R762" s="164" t="str">
        <f>+IF(OR(O762="Fire Control",O762="Fire Tex 5062",O762="Fire Tex 5090",O762="Fire Tex 5120"),'CALCULO PINTURA'!R763," ")</f>
        <v xml:space="preserve"> </v>
      </c>
      <c r="S762" s="164" t="str">
        <f>+IF(OR(O762="Fire Control",O762="Fire Tex 5062",O762="Fire Tex 5090",O762="Fire Tex 5120"),'CALCULO PINTURA'!S763," ")</f>
        <v xml:space="preserve"> </v>
      </c>
      <c r="T762" s="874" t="str">
        <f>+IF(OR(O762="Blaze Shield II",O762="Cafco 400",O762="Cafco 300"),'CALCULO MORTERO'!N768," ")</f>
        <v xml:space="preserve"> </v>
      </c>
      <c r="U762" s="875" t="str">
        <f>+IF(OR(O762="Blaze Shield II",O762="Cafco 400",O762="Cafco 300"),'CALCULO MORTERO'!O768," ")</f>
        <v xml:space="preserve"> </v>
      </c>
      <c r="V762" s="161" t="str" cm="1">
        <f t="array" ref="V762">_xlfn.IFS(O762="Blaze Shield II",'CALCULO MORTERO'!P763, O762="Cafco 400",'CALCULO MORTERO'!Q763,O762="Cafco 300",'CALCULO MORTERO'!S763, AND(OR(O762="Fire tex 5090", O762="Fire Tex 5062", O762="Fire Tex 5120", O762="Fire Control"),Q762&gt;0), "CERT.",TRUE,"-")</f>
        <v>-</v>
      </c>
    </row>
    <row r="763" spans="1:22" x14ac:dyDescent="0.25">
      <c r="A763" s="903"/>
      <c r="B763" s="907"/>
      <c r="C763" s="874"/>
      <c r="D763" s="874"/>
      <c r="E763" s="874"/>
      <c r="F763" s="905"/>
      <c r="G763" s="874"/>
      <c r="H763" s="874"/>
      <c r="I763" s="906"/>
      <c r="J763" s="162"/>
      <c r="K763" s="161"/>
      <c r="L763" s="161"/>
      <c r="M763" s="169"/>
      <c r="N763" s="163" t="str">
        <f t="shared" si="15"/>
        <v/>
      </c>
      <c r="O763" s="41"/>
      <c r="P763" s="41"/>
      <c r="Q763" s="161" t="str">
        <f>+IF(OR(O763="Fire Control",O763="Fire Tex 5062",O763="Fire Tex 5090",O763="Fire Tex 5120"),'CALCULO PINTURA'!P764," ")</f>
        <v xml:space="preserve"> </v>
      </c>
      <c r="R763" s="164" t="str">
        <f>+IF(OR(O763="Fire Control",O763="Fire Tex 5062",O763="Fire Tex 5090",O763="Fire Tex 5120"),'CALCULO PINTURA'!R764," ")</f>
        <v xml:space="preserve"> </v>
      </c>
      <c r="S763" s="164" t="str">
        <f>+IF(OR(O763="Fire Control",O763="Fire Tex 5062",O763="Fire Tex 5090",O763="Fire Tex 5120"),'CALCULO PINTURA'!S764," ")</f>
        <v xml:space="preserve"> </v>
      </c>
      <c r="T763" s="874" t="str">
        <f>+IF(OR(O763="Blaze Shield II",O763="Cafco 400",O763="Cafco 300"),'CALCULO MORTERO'!N769," ")</f>
        <v xml:space="preserve"> </v>
      </c>
      <c r="U763" s="875" t="str">
        <f>+IF(OR(O763="Blaze Shield II",O763="Cafco 400",O763="Cafco 300"),'CALCULO MORTERO'!O769," ")</f>
        <v xml:space="preserve"> </v>
      </c>
      <c r="V763" s="161" t="str" cm="1">
        <f t="array" ref="V763">_xlfn.IFS(O763="Blaze Shield II",'CALCULO MORTERO'!P764, O763="Cafco 400",'CALCULO MORTERO'!Q764,O763="Cafco 300",'CALCULO MORTERO'!S764, AND(OR(O763="Fire tex 5090", O763="Fire Tex 5062", O763="Fire Tex 5120", O763="Fire Control"),Q763&gt;0), "CERT.",TRUE,"-")</f>
        <v>-</v>
      </c>
    </row>
    <row r="764" spans="1:22" x14ac:dyDescent="0.25">
      <c r="A764" s="903"/>
      <c r="B764" s="907"/>
      <c r="C764" s="874"/>
      <c r="D764" s="874"/>
      <c r="E764" s="874"/>
      <c r="F764" s="905"/>
      <c r="G764" s="874"/>
      <c r="H764" s="874"/>
      <c r="I764" s="906"/>
      <c r="J764" s="162"/>
      <c r="K764" s="161"/>
      <c r="L764" s="161"/>
      <c r="M764" s="169"/>
      <c r="N764" s="163" t="str">
        <f t="shared" si="15"/>
        <v/>
      </c>
      <c r="O764" s="41"/>
      <c r="P764" s="41"/>
      <c r="Q764" s="161" t="str">
        <f>+IF(OR(O764="Fire Control",O764="Fire Tex 5062",O764="Fire Tex 5090",O764="Fire Tex 5120"),'CALCULO PINTURA'!P765," ")</f>
        <v xml:space="preserve"> </v>
      </c>
      <c r="R764" s="164" t="str">
        <f>+IF(OR(O764="Fire Control",O764="Fire Tex 5062",O764="Fire Tex 5090",O764="Fire Tex 5120"),'CALCULO PINTURA'!R765," ")</f>
        <v xml:space="preserve"> </v>
      </c>
      <c r="S764" s="164" t="str">
        <f>+IF(OR(O764="Fire Control",O764="Fire Tex 5062",O764="Fire Tex 5090",O764="Fire Tex 5120"),'CALCULO PINTURA'!S765," ")</f>
        <v xml:space="preserve"> </v>
      </c>
      <c r="T764" s="874" t="str">
        <f>+IF(OR(O764="Blaze Shield II",O764="Cafco 400",O764="Cafco 300"),'CALCULO MORTERO'!N770," ")</f>
        <v xml:space="preserve"> </v>
      </c>
      <c r="U764" s="875" t="str">
        <f>+IF(OR(O764="Blaze Shield II",O764="Cafco 400",O764="Cafco 300"),'CALCULO MORTERO'!O770," ")</f>
        <v xml:space="preserve"> </v>
      </c>
      <c r="V764" s="161" t="str" cm="1">
        <f t="array" ref="V764">_xlfn.IFS(O764="Blaze Shield II",'CALCULO MORTERO'!P765, O764="Cafco 400",'CALCULO MORTERO'!Q765,O764="Cafco 300",'CALCULO MORTERO'!S765, AND(OR(O764="Fire tex 5090", O764="Fire Tex 5062", O764="Fire Tex 5120", O764="Fire Control"),Q764&gt;0), "CERT.",TRUE,"-")</f>
        <v>-</v>
      </c>
    </row>
    <row r="765" spans="1:22" x14ac:dyDescent="0.25">
      <c r="A765" s="903"/>
      <c r="B765" s="907"/>
      <c r="C765" s="874"/>
      <c r="D765" s="874"/>
      <c r="E765" s="874"/>
      <c r="F765" s="905"/>
      <c r="G765" s="874"/>
      <c r="H765" s="874"/>
      <c r="I765" s="906"/>
      <c r="J765" s="162"/>
      <c r="K765" s="161"/>
      <c r="L765" s="161"/>
      <c r="M765" s="169"/>
      <c r="N765" s="163" t="str">
        <f t="shared" si="15"/>
        <v/>
      </c>
      <c r="O765" s="41"/>
      <c r="P765" s="41"/>
      <c r="Q765" s="161" t="str">
        <f>+IF(OR(O765="Fire Control",O765="Fire Tex 5062",O765="Fire Tex 5090",O765="Fire Tex 5120"),'CALCULO PINTURA'!P766," ")</f>
        <v xml:space="preserve"> </v>
      </c>
      <c r="R765" s="164" t="str">
        <f>+IF(OR(O765="Fire Control",O765="Fire Tex 5062",O765="Fire Tex 5090",O765="Fire Tex 5120"),'CALCULO PINTURA'!R766," ")</f>
        <v xml:space="preserve"> </v>
      </c>
      <c r="S765" s="164" t="str">
        <f>+IF(OR(O765="Fire Control",O765="Fire Tex 5062",O765="Fire Tex 5090",O765="Fire Tex 5120"),'CALCULO PINTURA'!S766," ")</f>
        <v xml:space="preserve"> </v>
      </c>
      <c r="T765" s="874" t="str">
        <f>+IF(OR(O765="Blaze Shield II",O765="Cafco 400",O765="Cafco 300"),'CALCULO MORTERO'!N771," ")</f>
        <v xml:space="preserve"> </v>
      </c>
      <c r="U765" s="875" t="str">
        <f>+IF(OR(O765="Blaze Shield II",O765="Cafco 400",O765="Cafco 300"),'CALCULO MORTERO'!O771," ")</f>
        <v xml:space="preserve"> </v>
      </c>
      <c r="V765" s="161" t="str" cm="1">
        <f t="array" ref="V765">_xlfn.IFS(O765="Blaze Shield II",'CALCULO MORTERO'!P766, O765="Cafco 400",'CALCULO MORTERO'!Q766,O765="Cafco 300",'CALCULO MORTERO'!S766, AND(OR(O765="Fire tex 5090", O765="Fire Tex 5062", O765="Fire Tex 5120", O765="Fire Control"),Q765&gt;0), "CERT.",TRUE,"-")</f>
        <v>-</v>
      </c>
    </row>
    <row r="766" spans="1:22" x14ac:dyDescent="0.25">
      <c r="A766" s="903"/>
      <c r="B766" s="907"/>
      <c r="C766" s="874"/>
      <c r="D766" s="874"/>
      <c r="E766" s="874"/>
      <c r="F766" s="905"/>
      <c r="G766" s="874"/>
      <c r="H766" s="874"/>
      <c r="I766" s="906"/>
      <c r="J766" s="162"/>
      <c r="K766" s="161"/>
      <c r="L766" s="161"/>
      <c r="M766" s="169"/>
      <c r="N766" s="163" t="str">
        <f t="shared" si="15"/>
        <v/>
      </c>
      <c r="O766" s="41"/>
      <c r="P766" s="41"/>
      <c r="Q766" s="161" t="str">
        <f>+IF(OR(O766="Fire Control",O766="Fire Tex 5062",O766="Fire Tex 5090",O766="Fire Tex 5120"),'CALCULO PINTURA'!P767," ")</f>
        <v xml:space="preserve"> </v>
      </c>
      <c r="R766" s="164" t="str">
        <f>+IF(OR(O766="Fire Control",O766="Fire Tex 5062",O766="Fire Tex 5090",O766="Fire Tex 5120"),'CALCULO PINTURA'!R767," ")</f>
        <v xml:space="preserve"> </v>
      </c>
      <c r="S766" s="164" t="str">
        <f>+IF(OR(O766="Fire Control",O766="Fire Tex 5062",O766="Fire Tex 5090",O766="Fire Tex 5120"),'CALCULO PINTURA'!S767," ")</f>
        <v xml:space="preserve"> </v>
      </c>
      <c r="T766" s="874" t="str">
        <f>+IF(OR(O766="Blaze Shield II",O766="Cafco 400",O766="Cafco 300"),'CALCULO MORTERO'!N772," ")</f>
        <v xml:space="preserve"> </v>
      </c>
      <c r="U766" s="875" t="str">
        <f>+IF(OR(O766="Blaze Shield II",O766="Cafco 400",O766="Cafco 300"),'CALCULO MORTERO'!O772," ")</f>
        <v xml:space="preserve"> </v>
      </c>
      <c r="V766" s="161" t="str" cm="1">
        <f t="array" ref="V766">_xlfn.IFS(O766="Blaze Shield II",'CALCULO MORTERO'!P767, O766="Cafco 400",'CALCULO MORTERO'!Q767,O766="Cafco 300",'CALCULO MORTERO'!S767, AND(OR(O766="Fire tex 5090", O766="Fire Tex 5062", O766="Fire Tex 5120", O766="Fire Control"),Q766&gt;0), "CERT.",TRUE,"-")</f>
        <v>-</v>
      </c>
    </row>
    <row r="767" spans="1:22" x14ac:dyDescent="0.25">
      <c r="A767" s="903"/>
      <c r="B767" s="907"/>
      <c r="C767" s="874"/>
      <c r="D767" s="874"/>
      <c r="E767" s="874"/>
      <c r="F767" s="905"/>
      <c r="G767" s="874"/>
      <c r="H767" s="874"/>
      <c r="I767" s="906"/>
      <c r="J767" s="162"/>
      <c r="K767" s="161"/>
      <c r="L767" s="161"/>
      <c r="M767" s="169"/>
      <c r="N767" s="163" t="str">
        <f t="shared" si="15"/>
        <v/>
      </c>
      <c r="O767" s="41"/>
      <c r="P767" s="41"/>
      <c r="Q767" s="161" t="str">
        <f>+IF(OR(O767="Fire Control",O767="Fire Tex 5062",O767="Fire Tex 5090",O767="Fire Tex 5120"),'CALCULO PINTURA'!P768," ")</f>
        <v xml:space="preserve"> </v>
      </c>
      <c r="R767" s="164" t="str">
        <f>+IF(OR(O767="Fire Control",O767="Fire Tex 5062",O767="Fire Tex 5090",O767="Fire Tex 5120"),'CALCULO PINTURA'!R768," ")</f>
        <v xml:space="preserve"> </v>
      </c>
      <c r="S767" s="164" t="str">
        <f>+IF(OR(O767="Fire Control",O767="Fire Tex 5062",O767="Fire Tex 5090",O767="Fire Tex 5120"),'CALCULO PINTURA'!S768," ")</f>
        <v xml:space="preserve"> </v>
      </c>
      <c r="T767" s="874" t="str">
        <f>+IF(OR(O767="Blaze Shield II",O767="Cafco 400",O767="Cafco 300"),'CALCULO MORTERO'!N773," ")</f>
        <v xml:space="preserve"> </v>
      </c>
      <c r="U767" s="875" t="str">
        <f>+IF(OR(O767="Blaze Shield II",O767="Cafco 400",O767="Cafco 300"),'CALCULO MORTERO'!O773," ")</f>
        <v xml:space="preserve"> </v>
      </c>
      <c r="V767" s="161" t="str" cm="1">
        <f t="array" ref="V767">_xlfn.IFS(O767="Blaze Shield II",'CALCULO MORTERO'!P768, O767="Cafco 400",'CALCULO MORTERO'!Q768,O767="Cafco 300",'CALCULO MORTERO'!S768, AND(OR(O767="Fire tex 5090", O767="Fire Tex 5062", O767="Fire Tex 5120", O767="Fire Control"),Q767&gt;0), "CERT.",TRUE,"-")</f>
        <v>-</v>
      </c>
    </row>
    <row r="768" spans="1:22" x14ac:dyDescent="0.25">
      <c r="A768" s="903"/>
      <c r="B768" s="907"/>
      <c r="C768" s="874"/>
      <c r="D768" s="874"/>
      <c r="E768" s="874"/>
      <c r="F768" s="905"/>
      <c r="G768" s="874"/>
      <c r="H768" s="874"/>
      <c r="I768" s="906"/>
      <c r="J768" s="162"/>
      <c r="K768" s="161"/>
      <c r="L768" s="161"/>
      <c r="M768" s="169"/>
      <c r="N768" s="163" t="str">
        <f t="shared" si="15"/>
        <v/>
      </c>
      <c r="O768" s="41"/>
      <c r="P768" s="41"/>
      <c r="Q768" s="161" t="str">
        <f>+IF(OR(O768="Fire Control",O768="Fire Tex 5062",O768="Fire Tex 5090",O768="Fire Tex 5120"),'CALCULO PINTURA'!P769," ")</f>
        <v xml:space="preserve"> </v>
      </c>
      <c r="R768" s="164" t="str">
        <f>+IF(OR(O768="Fire Control",O768="Fire Tex 5062",O768="Fire Tex 5090",O768="Fire Tex 5120"),'CALCULO PINTURA'!R769," ")</f>
        <v xml:space="preserve"> </v>
      </c>
      <c r="S768" s="164" t="str">
        <f>+IF(OR(O768="Fire Control",O768="Fire Tex 5062",O768="Fire Tex 5090",O768="Fire Tex 5120"),'CALCULO PINTURA'!S769," ")</f>
        <v xml:space="preserve"> </v>
      </c>
      <c r="T768" s="874" t="str">
        <f>+IF(OR(O768="Blaze Shield II",O768="Cafco 400",O768="Cafco 300"),'CALCULO MORTERO'!N774," ")</f>
        <v xml:space="preserve"> </v>
      </c>
      <c r="U768" s="875" t="str">
        <f>+IF(OR(O768="Blaze Shield II",O768="Cafco 400",O768="Cafco 300"),'CALCULO MORTERO'!O774," ")</f>
        <v xml:space="preserve"> </v>
      </c>
      <c r="V768" s="161" t="str" cm="1">
        <f t="array" ref="V768">_xlfn.IFS(O768="Blaze Shield II",'CALCULO MORTERO'!P769, O768="Cafco 400",'CALCULO MORTERO'!Q769,O768="Cafco 300",'CALCULO MORTERO'!S769, AND(OR(O768="Fire tex 5090", O768="Fire Tex 5062", O768="Fire Tex 5120", O768="Fire Control"),Q768&gt;0), "CERT.",TRUE,"-")</f>
        <v>-</v>
      </c>
    </row>
    <row r="769" spans="1:22" x14ac:dyDescent="0.25">
      <c r="A769" s="903"/>
      <c r="B769" s="907"/>
      <c r="C769" s="874"/>
      <c r="D769" s="874"/>
      <c r="E769" s="874"/>
      <c r="F769" s="905"/>
      <c r="G769" s="874"/>
      <c r="H769" s="874"/>
      <c r="I769" s="906"/>
      <c r="J769" s="162"/>
      <c r="K769" s="161"/>
      <c r="L769" s="161"/>
      <c r="M769" s="169"/>
      <c r="N769" s="163" t="str">
        <f t="shared" si="15"/>
        <v/>
      </c>
      <c r="O769" s="41"/>
      <c r="P769" s="41"/>
      <c r="Q769" s="161" t="str">
        <f>+IF(OR(O769="Fire Control",O769="Fire Tex 5062",O769="Fire Tex 5090",O769="Fire Tex 5120"),'CALCULO PINTURA'!P770," ")</f>
        <v xml:space="preserve"> </v>
      </c>
      <c r="R769" s="164" t="str">
        <f>+IF(OR(O769="Fire Control",O769="Fire Tex 5062",O769="Fire Tex 5090",O769="Fire Tex 5120"),'CALCULO PINTURA'!R770," ")</f>
        <v xml:space="preserve"> </v>
      </c>
      <c r="S769" s="164" t="str">
        <f>+IF(OR(O769="Fire Control",O769="Fire Tex 5062",O769="Fire Tex 5090",O769="Fire Tex 5120"),'CALCULO PINTURA'!S770," ")</f>
        <v xml:space="preserve"> </v>
      </c>
      <c r="T769" s="874" t="str">
        <f>+IF(OR(O769="Blaze Shield II",O769="Cafco 400",O769="Cafco 300"),'CALCULO MORTERO'!N775," ")</f>
        <v xml:space="preserve"> </v>
      </c>
      <c r="U769" s="875" t="str">
        <f>+IF(OR(O769="Blaze Shield II",O769="Cafco 400",O769="Cafco 300"),'CALCULO MORTERO'!O775," ")</f>
        <v xml:space="preserve"> </v>
      </c>
      <c r="V769" s="161" t="str" cm="1">
        <f t="array" ref="V769">_xlfn.IFS(O769="Blaze Shield II",'CALCULO MORTERO'!P770, O769="Cafco 400",'CALCULO MORTERO'!Q770,O769="Cafco 300",'CALCULO MORTERO'!S770, AND(OR(O769="Fire tex 5090", O769="Fire Tex 5062", O769="Fire Tex 5120", O769="Fire Control"),Q769&gt;0), "CERT.",TRUE,"-")</f>
        <v>-</v>
      </c>
    </row>
    <row r="770" spans="1:22" x14ac:dyDescent="0.25">
      <c r="A770" s="903"/>
      <c r="B770" s="907"/>
      <c r="C770" s="874"/>
      <c r="D770" s="874"/>
      <c r="E770" s="874"/>
      <c r="F770" s="905"/>
      <c r="G770" s="874"/>
      <c r="H770" s="874"/>
      <c r="I770" s="906"/>
      <c r="J770" s="162"/>
      <c r="K770" s="161"/>
      <c r="L770" s="161"/>
      <c r="M770" s="169"/>
      <c r="N770" s="163" t="str">
        <f t="shared" si="15"/>
        <v/>
      </c>
      <c r="O770" s="41"/>
      <c r="P770" s="41"/>
      <c r="Q770" s="161" t="str">
        <f>+IF(OR(O770="Fire Control",O770="Fire Tex 5062",O770="Fire Tex 5090",O770="Fire Tex 5120"),'CALCULO PINTURA'!P771," ")</f>
        <v xml:space="preserve"> </v>
      </c>
      <c r="R770" s="164" t="str">
        <f>+IF(OR(O770="Fire Control",O770="Fire Tex 5062",O770="Fire Tex 5090",O770="Fire Tex 5120"),'CALCULO PINTURA'!R771," ")</f>
        <v xml:space="preserve"> </v>
      </c>
      <c r="S770" s="164" t="str">
        <f>+IF(OR(O770="Fire Control",O770="Fire Tex 5062",O770="Fire Tex 5090",O770="Fire Tex 5120"),'CALCULO PINTURA'!S771," ")</f>
        <v xml:space="preserve"> </v>
      </c>
      <c r="T770" s="874" t="str">
        <f>+IF(OR(O770="Blaze Shield II",O770="Cafco 400",O770="Cafco 300"),'CALCULO MORTERO'!N776," ")</f>
        <v xml:space="preserve"> </v>
      </c>
      <c r="U770" s="875" t="str">
        <f>+IF(OR(O770="Blaze Shield II",O770="Cafco 400",O770="Cafco 300"),'CALCULO MORTERO'!O776," ")</f>
        <v xml:space="preserve"> </v>
      </c>
      <c r="V770" s="161" t="str" cm="1">
        <f t="array" ref="V770">_xlfn.IFS(O770="Blaze Shield II",'CALCULO MORTERO'!P771, O770="Cafco 400",'CALCULO MORTERO'!Q771,O770="Cafco 300",'CALCULO MORTERO'!S771, AND(OR(O770="Fire tex 5090", O770="Fire Tex 5062", O770="Fire Tex 5120", O770="Fire Control"),Q770&gt;0), "CERT.",TRUE,"-")</f>
        <v>-</v>
      </c>
    </row>
    <row r="771" spans="1:22" x14ac:dyDescent="0.25">
      <c r="A771" s="903"/>
      <c r="B771" s="907"/>
      <c r="C771" s="874"/>
      <c r="D771" s="874"/>
      <c r="E771" s="874"/>
      <c r="F771" s="905"/>
      <c r="G771" s="874"/>
      <c r="H771" s="874"/>
      <c r="I771" s="906"/>
      <c r="J771" s="162"/>
      <c r="K771" s="161"/>
      <c r="L771" s="161"/>
      <c r="M771" s="163"/>
      <c r="N771" s="163" t="str">
        <f t="shared" si="15"/>
        <v/>
      </c>
      <c r="O771" s="41"/>
      <c r="P771" s="41"/>
      <c r="Q771" s="161" t="str">
        <f>+IF(OR(O771="Fire Control",O771="Fire Tex 5062",O771="Fire Tex 5090",O771="Fire Tex 5120"),'CALCULO PINTURA'!P772," ")</f>
        <v xml:space="preserve"> </v>
      </c>
      <c r="R771" s="164" t="str">
        <f>+IF(OR(O771="Fire Control",O771="Fire Tex 5062",O771="Fire Tex 5090",O771="Fire Tex 5120"),'CALCULO PINTURA'!R772," ")</f>
        <v xml:space="preserve"> </v>
      </c>
      <c r="S771" s="164" t="str">
        <f>+IF(OR(O771="Fire Control",O771="Fire Tex 5062",O771="Fire Tex 5090",O771="Fire Tex 5120"),'CALCULO PINTURA'!S772," ")</f>
        <v xml:space="preserve"> </v>
      </c>
      <c r="T771" s="874" t="str">
        <f>+IF(OR(O771="Blaze Shield II",O771="Cafco 400",O771="Cafco 300"),'CALCULO MORTERO'!N777," ")</f>
        <v xml:space="preserve"> </v>
      </c>
      <c r="U771" s="875" t="str">
        <f>+IF(OR(O771="Blaze Shield II",O771="Cafco 400",O771="Cafco 300"),'CALCULO MORTERO'!O777," ")</f>
        <v xml:space="preserve"> </v>
      </c>
      <c r="V771" s="161" t="str" cm="1">
        <f t="array" ref="V771">_xlfn.IFS(O771="Blaze Shield II",'CALCULO MORTERO'!P772, O771="Cafco 400",'CALCULO MORTERO'!Q772,O771="Cafco 300",'CALCULO MORTERO'!S772, AND(OR(O771="Fire tex 5090", O771="Fire Tex 5062", O771="Fire Tex 5120", O771="Fire Control"),Q771&gt;0), "CERT.",TRUE,"-")</f>
        <v>-</v>
      </c>
    </row>
    <row r="772" spans="1:22" x14ac:dyDescent="0.25">
      <c r="A772" s="903"/>
      <c r="B772" s="907"/>
      <c r="C772" s="874"/>
      <c r="D772" s="874"/>
      <c r="E772" s="874"/>
      <c r="F772" s="905"/>
      <c r="G772" s="874"/>
      <c r="H772" s="874"/>
      <c r="I772" s="906"/>
      <c r="J772" s="162"/>
      <c r="K772" s="161"/>
      <c r="L772" s="161"/>
      <c r="M772" s="169"/>
      <c r="N772" s="163" t="str">
        <f t="shared" ref="N772:N835" si="16">+IF(F772="","",(K772*I772*H772*G772)/1000000)</f>
        <v/>
      </c>
      <c r="O772" s="41"/>
      <c r="P772" s="41"/>
      <c r="Q772" s="161" t="str">
        <f>+IF(OR(O772="Fire Control",O772="Fire Tex 5062",O772="Fire Tex 5090",O772="Fire Tex 5120"),'CALCULO PINTURA'!P773," ")</f>
        <v xml:space="preserve"> </v>
      </c>
      <c r="R772" s="164" t="str">
        <f>+IF(OR(O772="Fire Control",O772="Fire Tex 5062",O772="Fire Tex 5090",O772="Fire Tex 5120"),'CALCULO PINTURA'!R773," ")</f>
        <v xml:space="preserve"> </v>
      </c>
      <c r="S772" s="164" t="str">
        <f>+IF(OR(O772="Fire Control",O772="Fire Tex 5062",O772="Fire Tex 5090",O772="Fire Tex 5120"),'CALCULO PINTURA'!S773," ")</f>
        <v xml:space="preserve"> </v>
      </c>
      <c r="T772" s="874" t="str">
        <f>+IF(OR(O772="Blaze Shield II",O772="Cafco 400",O772="Cafco 300"),'CALCULO MORTERO'!N778," ")</f>
        <v xml:space="preserve"> </v>
      </c>
      <c r="U772" s="875" t="str">
        <f>+IF(OR(O772="Blaze Shield II",O772="Cafco 400",O772="Cafco 300"),'CALCULO MORTERO'!O778," ")</f>
        <v xml:space="preserve"> </v>
      </c>
      <c r="V772" s="161" t="str" cm="1">
        <f t="array" ref="V772">_xlfn.IFS(O772="Blaze Shield II",'CALCULO MORTERO'!P773, O772="Cafco 400",'CALCULO MORTERO'!Q773,O772="Cafco 300",'CALCULO MORTERO'!S773, AND(OR(O772="Fire tex 5090", O772="Fire Tex 5062", O772="Fire Tex 5120", O772="Fire Control"),Q772&gt;0), "CERT.",TRUE,"-")</f>
        <v>-</v>
      </c>
    </row>
    <row r="773" spans="1:22" x14ac:dyDescent="0.25">
      <c r="A773" s="903"/>
      <c r="B773" s="907"/>
      <c r="C773" s="874"/>
      <c r="D773" s="874"/>
      <c r="E773" s="874"/>
      <c r="F773" s="905"/>
      <c r="G773" s="874"/>
      <c r="H773" s="874"/>
      <c r="I773" s="906"/>
      <c r="J773" s="162"/>
      <c r="K773" s="161"/>
      <c r="L773" s="161"/>
      <c r="M773" s="169"/>
      <c r="N773" s="163" t="str">
        <f t="shared" si="16"/>
        <v/>
      </c>
      <c r="O773" s="41"/>
      <c r="P773" s="41"/>
      <c r="Q773" s="161" t="str">
        <f>+IF(OR(O773="Fire Control",O773="Fire Tex 5062",O773="Fire Tex 5090",O773="Fire Tex 5120"),'CALCULO PINTURA'!P774," ")</f>
        <v xml:space="preserve"> </v>
      </c>
      <c r="R773" s="164" t="str">
        <f>+IF(OR(O773="Fire Control",O773="Fire Tex 5062",O773="Fire Tex 5090",O773="Fire Tex 5120"),'CALCULO PINTURA'!R774," ")</f>
        <v xml:space="preserve"> </v>
      </c>
      <c r="S773" s="164" t="str">
        <f>+IF(OR(O773="Fire Control",O773="Fire Tex 5062",O773="Fire Tex 5090",O773="Fire Tex 5120"),'CALCULO PINTURA'!S774," ")</f>
        <v xml:space="preserve"> </v>
      </c>
      <c r="T773" s="874" t="str">
        <f>+IF(OR(O773="Blaze Shield II",O773="Cafco 400",O773="Cafco 300"),'CALCULO MORTERO'!N779," ")</f>
        <v xml:space="preserve"> </v>
      </c>
      <c r="U773" s="875" t="str">
        <f>+IF(OR(O773="Blaze Shield II",O773="Cafco 400",O773="Cafco 300"),'CALCULO MORTERO'!O779," ")</f>
        <v xml:space="preserve"> </v>
      </c>
      <c r="V773" s="161" t="str" cm="1">
        <f t="array" ref="V773">_xlfn.IFS(O773="Blaze Shield II",'CALCULO MORTERO'!P774, O773="Cafco 400",'CALCULO MORTERO'!Q774,O773="Cafco 300",'CALCULO MORTERO'!S774, AND(OR(O773="Fire tex 5090", O773="Fire Tex 5062", O773="Fire Tex 5120", O773="Fire Control"),Q773&gt;0), "CERT.",TRUE,"-")</f>
        <v>-</v>
      </c>
    </row>
    <row r="774" spans="1:22" x14ac:dyDescent="0.25">
      <c r="A774" s="903"/>
      <c r="B774" s="907"/>
      <c r="C774" s="874"/>
      <c r="D774" s="874"/>
      <c r="E774" s="874"/>
      <c r="F774" s="905"/>
      <c r="G774" s="874"/>
      <c r="H774" s="874"/>
      <c r="I774" s="906"/>
      <c r="J774" s="162"/>
      <c r="K774" s="161"/>
      <c r="L774" s="161"/>
      <c r="M774" s="169"/>
      <c r="N774" s="163" t="str">
        <f t="shared" si="16"/>
        <v/>
      </c>
      <c r="O774" s="41"/>
      <c r="P774" s="41"/>
      <c r="Q774" s="161" t="str">
        <f>+IF(OR(O774="Fire Control",O774="Fire Tex 5062",O774="Fire Tex 5090",O774="Fire Tex 5120"),'CALCULO PINTURA'!P775," ")</f>
        <v xml:space="preserve"> </v>
      </c>
      <c r="R774" s="164" t="str">
        <f>+IF(OR(O774="Fire Control",O774="Fire Tex 5062",O774="Fire Tex 5090",O774="Fire Tex 5120"),'CALCULO PINTURA'!R775," ")</f>
        <v xml:space="preserve"> </v>
      </c>
      <c r="S774" s="164" t="str">
        <f>+IF(OR(O774="Fire Control",O774="Fire Tex 5062",O774="Fire Tex 5090",O774="Fire Tex 5120"),'CALCULO PINTURA'!S775," ")</f>
        <v xml:space="preserve"> </v>
      </c>
      <c r="T774" s="874" t="str">
        <f>+IF(OR(O774="Blaze Shield II",O774="Cafco 400",O774="Cafco 300"),'CALCULO MORTERO'!N780," ")</f>
        <v xml:space="preserve"> </v>
      </c>
      <c r="U774" s="875" t="str">
        <f>+IF(OR(O774="Blaze Shield II",O774="Cafco 400",O774="Cafco 300"),'CALCULO MORTERO'!O780," ")</f>
        <v xml:space="preserve"> </v>
      </c>
      <c r="V774" s="161" t="str" cm="1">
        <f t="array" ref="V774">_xlfn.IFS(O774="Blaze Shield II",'CALCULO MORTERO'!P775, O774="Cafco 400",'CALCULO MORTERO'!Q775,O774="Cafco 300",'CALCULO MORTERO'!S775, AND(OR(O774="Fire tex 5090", O774="Fire Tex 5062", O774="Fire Tex 5120", O774="Fire Control"),Q774&gt;0), "CERT.",TRUE,"-")</f>
        <v>-</v>
      </c>
    </row>
    <row r="775" spans="1:22" x14ac:dyDescent="0.25">
      <c r="A775" s="903"/>
      <c r="B775" s="907"/>
      <c r="C775" s="874"/>
      <c r="D775" s="874"/>
      <c r="E775" s="874"/>
      <c r="F775" s="905"/>
      <c r="G775" s="874"/>
      <c r="H775" s="874"/>
      <c r="I775" s="906"/>
      <c r="J775" s="162"/>
      <c r="K775" s="161"/>
      <c r="L775" s="161"/>
      <c r="M775" s="169"/>
      <c r="N775" s="163" t="str">
        <f t="shared" si="16"/>
        <v/>
      </c>
      <c r="O775" s="41"/>
      <c r="P775" s="41"/>
      <c r="Q775" s="161" t="str">
        <f>+IF(OR(O775="Fire Control",O775="Fire Tex 5062",O775="Fire Tex 5090",O775="Fire Tex 5120"),'CALCULO PINTURA'!P776," ")</f>
        <v xml:space="preserve"> </v>
      </c>
      <c r="R775" s="164" t="str">
        <f>+IF(OR(O775="Fire Control",O775="Fire Tex 5062",O775="Fire Tex 5090",O775="Fire Tex 5120"),'CALCULO PINTURA'!R776," ")</f>
        <v xml:space="preserve"> </v>
      </c>
      <c r="S775" s="164" t="str">
        <f>+IF(OR(O775="Fire Control",O775="Fire Tex 5062",O775="Fire Tex 5090",O775="Fire Tex 5120"),'CALCULO PINTURA'!S776," ")</f>
        <v xml:space="preserve"> </v>
      </c>
      <c r="T775" s="874" t="str">
        <f>+IF(OR(O775="Blaze Shield II",O775="Cafco 400",O775="Cafco 300"),'CALCULO MORTERO'!N781," ")</f>
        <v xml:space="preserve"> </v>
      </c>
      <c r="U775" s="875" t="str">
        <f>+IF(OR(O775="Blaze Shield II",O775="Cafco 400",O775="Cafco 300"),'CALCULO MORTERO'!O781," ")</f>
        <v xml:space="preserve"> </v>
      </c>
      <c r="V775" s="161" t="str" cm="1">
        <f t="array" ref="V775">_xlfn.IFS(O775="Blaze Shield II",'CALCULO MORTERO'!P776, O775="Cafco 400",'CALCULO MORTERO'!Q776,O775="Cafco 300",'CALCULO MORTERO'!S776, AND(OR(O775="Fire tex 5090", O775="Fire Tex 5062", O775="Fire Tex 5120", O775="Fire Control"),Q775&gt;0), "CERT.",TRUE,"-")</f>
        <v>-</v>
      </c>
    </row>
    <row r="776" spans="1:22" x14ac:dyDescent="0.25">
      <c r="A776" s="903"/>
      <c r="B776" s="907"/>
      <c r="C776" s="874"/>
      <c r="D776" s="874"/>
      <c r="E776" s="874"/>
      <c r="F776" s="905"/>
      <c r="G776" s="874"/>
      <c r="H776" s="874"/>
      <c r="I776" s="906"/>
      <c r="J776" s="162"/>
      <c r="K776" s="161"/>
      <c r="L776" s="161"/>
      <c r="M776" s="169"/>
      <c r="N776" s="163" t="str">
        <f t="shared" si="16"/>
        <v/>
      </c>
      <c r="O776" s="41"/>
      <c r="P776" s="41"/>
      <c r="Q776" s="161" t="str">
        <f>+IF(OR(O776="Fire Control",O776="Fire Tex 5062",O776="Fire Tex 5090",O776="Fire Tex 5120"),'CALCULO PINTURA'!P777," ")</f>
        <v xml:space="preserve"> </v>
      </c>
      <c r="R776" s="164" t="str">
        <f>+IF(OR(O776="Fire Control",O776="Fire Tex 5062",O776="Fire Tex 5090",O776="Fire Tex 5120"),'CALCULO PINTURA'!R777," ")</f>
        <v xml:space="preserve"> </v>
      </c>
      <c r="S776" s="164" t="str">
        <f>+IF(OR(O776="Fire Control",O776="Fire Tex 5062",O776="Fire Tex 5090",O776="Fire Tex 5120"),'CALCULO PINTURA'!S777," ")</f>
        <v xml:space="preserve"> </v>
      </c>
      <c r="T776" s="874" t="str">
        <f>+IF(OR(O776="Blaze Shield II",O776="Cafco 400",O776="Cafco 300"),'CALCULO MORTERO'!N782," ")</f>
        <v xml:space="preserve"> </v>
      </c>
      <c r="U776" s="875" t="str">
        <f>+IF(OR(O776="Blaze Shield II",O776="Cafco 400",O776="Cafco 300"),'CALCULO MORTERO'!O782," ")</f>
        <v xml:space="preserve"> </v>
      </c>
      <c r="V776" s="161" t="str" cm="1">
        <f t="array" ref="V776">_xlfn.IFS(O776="Blaze Shield II",'CALCULO MORTERO'!P777, O776="Cafco 400",'CALCULO MORTERO'!Q777,O776="Cafco 300",'CALCULO MORTERO'!S777, AND(OR(O776="Fire tex 5090", O776="Fire Tex 5062", O776="Fire Tex 5120", O776="Fire Control"),Q776&gt;0), "CERT.",TRUE,"-")</f>
        <v>-</v>
      </c>
    </row>
    <row r="777" spans="1:22" x14ac:dyDescent="0.25">
      <c r="A777" s="903"/>
      <c r="B777" s="907"/>
      <c r="C777" s="874"/>
      <c r="D777" s="874"/>
      <c r="E777" s="874"/>
      <c r="F777" s="905"/>
      <c r="G777" s="874"/>
      <c r="H777" s="874"/>
      <c r="I777" s="906"/>
      <c r="J777" s="162"/>
      <c r="K777" s="161"/>
      <c r="L777" s="161"/>
      <c r="M777" s="169"/>
      <c r="N777" s="163" t="str">
        <f t="shared" si="16"/>
        <v/>
      </c>
      <c r="O777" s="41"/>
      <c r="P777" s="41"/>
      <c r="Q777" s="161" t="str">
        <f>+IF(OR(O777="Fire Control",O777="Fire Tex 5062",O777="Fire Tex 5090",O777="Fire Tex 5120"),'CALCULO PINTURA'!P778," ")</f>
        <v xml:space="preserve"> </v>
      </c>
      <c r="R777" s="164" t="str">
        <f>+IF(OR(O777="Fire Control",O777="Fire Tex 5062",O777="Fire Tex 5090",O777="Fire Tex 5120"),'CALCULO PINTURA'!R778," ")</f>
        <v xml:space="preserve"> </v>
      </c>
      <c r="S777" s="164" t="str">
        <f>+IF(OR(O777="Fire Control",O777="Fire Tex 5062",O777="Fire Tex 5090",O777="Fire Tex 5120"),'CALCULO PINTURA'!S778," ")</f>
        <v xml:space="preserve"> </v>
      </c>
      <c r="T777" s="874" t="str">
        <f>+IF(OR(O777="Blaze Shield II",O777="Cafco 400",O777="Cafco 300"),'CALCULO MORTERO'!N783," ")</f>
        <v xml:space="preserve"> </v>
      </c>
      <c r="U777" s="875" t="str">
        <f>+IF(OR(O777="Blaze Shield II",O777="Cafco 400",O777="Cafco 300"),'CALCULO MORTERO'!O783," ")</f>
        <v xml:space="preserve"> </v>
      </c>
      <c r="V777" s="161" t="str" cm="1">
        <f t="array" ref="V777">_xlfn.IFS(O777="Blaze Shield II",'CALCULO MORTERO'!P778, O777="Cafco 400",'CALCULO MORTERO'!Q778,O777="Cafco 300",'CALCULO MORTERO'!S778, AND(OR(O777="Fire tex 5090", O777="Fire Tex 5062", O777="Fire Tex 5120", O777="Fire Control"),Q777&gt;0), "CERT.",TRUE,"-")</f>
        <v>-</v>
      </c>
    </row>
    <row r="778" spans="1:22" x14ac:dyDescent="0.25">
      <c r="A778" s="903"/>
      <c r="B778" s="907"/>
      <c r="C778" s="874"/>
      <c r="D778" s="874"/>
      <c r="E778" s="874"/>
      <c r="F778" s="905"/>
      <c r="G778" s="874"/>
      <c r="H778" s="874"/>
      <c r="I778" s="906"/>
      <c r="J778" s="162"/>
      <c r="K778" s="161"/>
      <c r="L778" s="161"/>
      <c r="M778" s="169"/>
      <c r="N778" s="163" t="str">
        <f t="shared" si="16"/>
        <v/>
      </c>
      <c r="O778" s="41"/>
      <c r="P778" s="41"/>
      <c r="Q778" s="161" t="str">
        <f>+IF(OR(O778="Fire Control",O778="Fire Tex 5062",O778="Fire Tex 5090",O778="Fire Tex 5120"),'CALCULO PINTURA'!P779," ")</f>
        <v xml:space="preserve"> </v>
      </c>
      <c r="R778" s="164" t="str">
        <f>+IF(OR(O778="Fire Control",O778="Fire Tex 5062",O778="Fire Tex 5090",O778="Fire Tex 5120"),'CALCULO PINTURA'!R779," ")</f>
        <v xml:space="preserve"> </v>
      </c>
      <c r="S778" s="164" t="str">
        <f>+IF(OR(O778="Fire Control",O778="Fire Tex 5062",O778="Fire Tex 5090",O778="Fire Tex 5120"),'CALCULO PINTURA'!S779," ")</f>
        <v xml:space="preserve"> </v>
      </c>
      <c r="T778" s="874" t="str">
        <f>+IF(OR(O778="Blaze Shield II",O778="Cafco 400",O778="Cafco 300"),'CALCULO MORTERO'!N784," ")</f>
        <v xml:space="preserve"> </v>
      </c>
      <c r="U778" s="875" t="str">
        <f>+IF(OR(O778="Blaze Shield II",O778="Cafco 400",O778="Cafco 300"),'CALCULO MORTERO'!O784," ")</f>
        <v xml:space="preserve"> </v>
      </c>
      <c r="V778" s="161" t="str" cm="1">
        <f t="array" ref="V778">_xlfn.IFS(O778="Blaze Shield II",'CALCULO MORTERO'!P779, O778="Cafco 400",'CALCULO MORTERO'!Q779,O778="Cafco 300",'CALCULO MORTERO'!S779, AND(OR(O778="Fire tex 5090", O778="Fire Tex 5062", O778="Fire Tex 5120", O778="Fire Control"),Q778&gt;0), "CERT.",TRUE,"-")</f>
        <v>-</v>
      </c>
    </row>
    <row r="779" spans="1:22" x14ac:dyDescent="0.25">
      <c r="A779" s="903"/>
      <c r="B779" s="907"/>
      <c r="C779" s="874"/>
      <c r="D779" s="874"/>
      <c r="E779" s="874"/>
      <c r="F779" s="905"/>
      <c r="G779" s="874"/>
      <c r="H779" s="874"/>
      <c r="I779" s="906"/>
      <c r="J779" s="162"/>
      <c r="K779" s="161"/>
      <c r="L779" s="161"/>
      <c r="M779" s="163"/>
      <c r="N779" s="163" t="str">
        <f t="shared" si="16"/>
        <v/>
      </c>
      <c r="O779" s="41"/>
      <c r="P779" s="41"/>
      <c r="Q779" s="161" t="str">
        <f>+IF(OR(O779="Fire Control",O779="Fire Tex 5062",O779="Fire Tex 5090",O779="Fire Tex 5120"),'CALCULO PINTURA'!P780," ")</f>
        <v xml:space="preserve"> </v>
      </c>
      <c r="R779" s="164" t="str">
        <f>+IF(OR(O779="Fire Control",O779="Fire Tex 5062",O779="Fire Tex 5090",O779="Fire Tex 5120"),'CALCULO PINTURA'!R780," ")</f>
        <v xml:space="preserve"> </v>
      </c>
      <c r="S779" s="164" t="str">
        <f>+IF(OR(O779="Fire Control",O779="Fire Tex 5062",O779="Fire Tex 5090",O779="Fire Tex 5120"),'CALCULO PINTURA'!S780," ")</f>
        <v xml:space="preserve"> </v>
      </c>
      <c r="T779" s="874" t="str">
        <f>+IF(OR(O779="Blaze Shield II",O779="Cafco 400",O779="Cafco 300"),'CALCULO MORTERO'!N785," ")</f>
        <v xml:space="preserve"> </v>
      </c>
      <c r="U779" s="875" t="str">
        <f>+IF(OR(O779="Blaze Shield II",O779="Cafco 400",O779="Cafco 300"),'CALCULO MORTERO'!O785," ")</f>
        <v xml:space="preserve"> </v>
      </c>
      <c r="V779" s="161" t="str" cm="1">
        <f t="array" ref="V779">_xlfn.IFS(O779="Blaze Shield II",'CALCULO MORTERO'!P780, O779="Cafco 400",'CALCULO MORTERO'!Q780,O779="Cafco 300",'CALCULO MORTERO'!S780, AND(OR(O779="Fire tex 5090", O779="Fire Tex 5062", O779="Fire Tex 5120", O779="Fire Control"),Q779&gt;0), "CERT.",TRUE,"-")</f>
        <v>-</v>
      </c>
    </row>
    <row r="780" spans="1:22" x14ac:dyDescent="0.25">
      <c r="A780" s="903"/>
      <c r="B780" s="907"/>
      <c r="C780" s="874"/>
      <c r="D780" s="874"/>
      <c r="E780" s="874"/>
      <c r="F780" s="905"/>
      <c r="G780" s="874"/>
      <c r="H780" s="874"/>
      <c r="I780" s="906"/>
      <c r="J780" s="162"/>
      <c r="K780" s="161"/>
      <c r="L780" s="161"/>
      <c r="M780" s="163"/>
      <c r="N780" s="163" t="str">
        <f t="shared" si="16"/>
        <v/>
      </c>
      <c r="O780" s="41"/>
      <c r="P780" s="41"/>
      <c r="Q780" s="161" t="str">
        <f>+IF(OR(O780="Fire Control",O780="Fire Tex 5062",O780="Fire Tex 5090",O780="Fire Tex 5120"),'CALCULO PINTURA'!P781," ")</f>
        <v xml:space="preserve"> </v>
      </c>
      <c r="R780" s="164" t="str">
        <f>+IF(OR(O780="Fire Control",O780="Fire Tex 5062",O780="Fire Tex 5090",O780="Fire Tex 5120"),'CALCULO PINTURA'!R781," ")</f>
        <v xml:space="preserve"> </v>
      </c>
      <c r="S780" s="164" t="str">
        <f>+IF(OR(O780="Fire Control",O780="Fire Tex 5062",O780="Fire Tex 5090",O780="Fire Tex 5120"),'CALCULO PINTURA'!S781," ")</f>
        <v xml:space="preserve"> </v>
      </c>
      <c r="T780" s="874" t="str">
        <f>+IF(OR(O780="Blaze Shield II",O780="Cafco 400",O780="Cafco 300"),'CALCULO MORTERO'!N786," ")</f>
        <v xml:space="preserve"> </v>
      </c>
      <c r="U780" s="875" t="str">
        <f>+IF(OR(O780="Blaze Shield II",O780="Cafco 400",O780="Cafco 300"),'CALCULO MORTERO'!O786," ")</f>
        <v xml:space="preserve"> </v>
      </c>
      <c r="V780" s="161" t="str" cm="1">
        <f t="array" ref="V780">_xlfn.IFS(O780="Blaze Shield II",'CALCULO MORTERO'!P781, O780="Cafco 400",'CALCULO MORTERO'!Q781,O780="Cafco 300",'CALCULO MORTERO'!S781, AND(OR(O780="Fire tex 5090", O780="Fire Tex 5062", O780="Fire Tex 5120", O780="Fire Control"),Q780&gt;0), "CERT.",TRUE,"-")</f>
        <v>-</v>
      </c>
    </row>
    <row r="781" spans="1:22" x14ac:dyDescent="0.25">
      <c r="A781" s="903"/>
      <c r="B781" s="907"/>
      <c r="C781" s="874"/>
      <c r="D781" s="874"/>
      <c r="E781" s="874"/>
      <c r="F781" s="905"/>
      <c r="G781" s="874"/>
      <c r="H781" s="874"/>
      <c r="I781" s="906"/>
      <c r="J781" s="162"/>
      <c r="K781" s="161"/>
      <c r="L781" s="161"/>
      <c r="M781" s="163"/>
      <c r="N781" s="163" t="str">
        <f t="shared" si="16"/>
        <v/>
      </c>
      <c r="O781" s="41"/>
      <c r="P781" s="41"/>
      <c r="Q781" s="161" t="str">
        <f>+IF(OR(O781="Fire Control",O781="Fire Tex 5062",O781="Fire Tex 5090",O781="Fire Tex 5120"),'CALCULO PINTURA'!P782," ")</f>
        <v xml:space="preserve"> </v>
      </c>
      <c r="R781" s="164" t="str">
        <f>+IF(OR(O781="Fire Control",O781="Fire Tex 5062",O781="Fire Tex 5090",O781="Fire Tex 5120"),'CALCULO PINTURA'!R782," ")</f>
        <v xml:space="preserve"> </v>
      </c>
      <c r="S781" s="164" t="str">
        <f>+IF(OR(O781="Fire Control",O781="Fire Tex 5062",O781="Fire Tex 5090",O781="Fire Tex 5120"),'CALCULO PINTURA'!S782," ")</f>
        <v xml:space="preserve"> </v>
      </c>
      <c r="T781" s="874" t="str">
        <f>+IF(OR(O781="Blaze Shield II",O781="Cafco 400",O781="Cafco 300"),'CALCULO MORTERO'!N787," ")</f>
        <v xml:space="preserve"> </v>
      </c>
      <c r="U781" s="875" t="str">
        <f>+IF(OR(O781="Blaze Shield II",O781="Cafco 400",O781="Cafco 300"),'CALCULO MORTERO'!O787," ")</f>
        <v xml:space="preserve"> </v>
      </c>
      <c r="V781" s="161" t="str" cm="1">
        <f t="array" ref="V781">_xlfn.IFS(O781="Blaze Shield II",'CALCULO MORTERO'!P782, O781="Cafco 400",'CALCULO MORTERO'!Q782,O781="Cafco 300",'CALCULO MORTERO'!S782, AND(OR(O781="Fire tex 5090", O781="Fire Tex 5062", O781="Fire Tex 5120", O781="Fire Control"),Q781&gt;0), "CERT.",TRUE,"-")</f>
        <v>-</v>
      </c>
    </row>
    <row r="782" spans="1:22" x14ac:dyDescent="0.25">
      <c r="A782" s="903"/>
      <c r="B782" s="907"/>
      <c r="C782" s="874"/>
      <c r="D782" s="874"/>
      <c r="E782" s="874"/>
      <c r="F782" s="905"/>
      <c r="G782" s="874"/>
      <c r="H782" s="874"/>
      <c r="I782" s="906"/>
      <c r="J782" s="162"/>
      <c r="K782" s="161"/>
      <c r="L782" s="161"/>
      <c r="M782" s="169"/>
      <c r="N782" s="163" t="str">
        <f t="shared" si="16"/>
        <v/>
      </c>
      <c r="O782" s="41"/>
      <c r="P782" s="41"/>
      <c r="Q782" s="161" t="str">
        <f>+IF(OR(O782="Fire Control",O782="Fire Tex 5062",O782="Fire Tex 5090",O782="Fire Tex 5120"),'CALCULO PINTURA'!P783," ")</f>
        <v xml:space="preserve"> </v>
      </c>
      <c r="R782" s="164" t="str">
        <f>+IF(OR(O782="Fire Control",O782="Fire Tex 5062",O782="Fire Tex 5090",O782="Fire Tex 5120"),'CALCULO PINTURA'!R783," ")</f>
        <v xml:space="preserve"> </v>
      </c>
      <c r="S782" s="164" t="str">
        <f>+IF(OR(O782="Fire Control",O782="Fire Tex 5062",O782="Fire Tex 5090",O782="Fire Tex 5120"),'CALCULO PINTURA'!S783," ")</f>
        <v xml:space="preserve"> </v>
      </c>
      <c r="T782" s="874" t="str">
        <f>+IF(OR(O782="Blaze Shield II",O782="Cafco 400",O782="Cafco 300"),'CALCULO MORTERO'!N788," ")</f>
        <v xml:space="preserve"> </v>
      </c>
      <c r="U782" s="875" t="str">
        <f>+IF(OR(O782="Blaze Shield II",O782="Cafco 400",O782="Cafco 300"),'CALCULO MORTERO'!O788," ")</f>
        <v xml:space="preserve"> </v>
      </c>
      <c r="V782" s="161" t="str" cm="1">
        <f t="array" ref="V782">_xlfn.IFS(O782="Blaze Shield II",'CALCULO MORTERO'!P783, O782="Cafco 400",'CALCULO MORTERO'!Q783,O782="Cafco 300",'CALCULO MORTERO'!S783, AND(OR(O782="Fire tex 5090", O782="Fire Tex 5062", O782="Fire Tex 5120", O782="Fire Control"),Q782&gt;0), "CERT.",TRUE,"-")</f>
        <v>-</v>
      </c>
    </row>
    <row r="783" spans="1:22" x14ac:dyDescent="0.25">
      <c r="A783" s="903"/>
      <c r="B783" s="907"/>
      <c r="C783" s="874"/>
      <c r="D783" s="874"/>
      <c r="E783" s="874"/>
      <c r="F783" s="905"/>
      <c r="G783" s="874"/>
      <c r="H783" s="874"/>
      <c r="I783" s="906"/>
      <c r="J783" s="162"/>
      <c r="K783" s="161"/>
      <c r="L783" s="161"/>
      <c r="M783" s="169"/>
      <c r="N783" s="163" t="str">
        <f t="shared" si="16"/>
        <v/>
      </c>
      <c r="O783" s="41"/>
      <c r="P783" s="41"/>
      <c r="Q783" s="161" t="str">
        <f>+IF(OR(O783="Fire Control",O783="Fire Tex 5062",O783="Fire Tex 5090",O783="Fire Tex 5120"),'CALCULO PINTURA'!P784," ")</f>
        <v xml:space="preserve"> </v>
      </c>
      <c r="R783" s="164" t="str">
        <f>+IF(OR(O783="Fire Control",O783="Fire Tex 5062",O783="Fire Tex 5090",O783="Fire Tex 5120"),'CALCULO PINTURA'!R784," ")</f>
        <v xml:space="preserve"> </v>
      </c>
      <c r="S783" s="164" t="str">
        <f>+IF(OR(O783="Fire Control",O783="Fire Tex 5062",O783="Fire Tex 5090",O783="Fire Tex 5120"),'CALCULO PINTURA'!S784," ")</f>
        <v xml:space="preserve"> </v>
      </c>
      <c r="T783" s="874" t="str">
        <f>+IF(OR(O783="Blaze Shield II",O783="Cafco 400",O783="Cafco 300"),'CALCULO MORTERO'!N789," ")</f>
        <v xml:space="preserve"> </v>
      </c>
      <c r="U783" s="875" t="str">
        <f>+IF(OR(O783="Blaze Shield II",O783="Cafco 400",O783="Cafco 300"),'CALCULO MORTERO'!O789," ")</f>
        <v xml:space="preserve"> </v>
      </c>
      <c r="V783" s="161" t="str" cm="1">
        <f t="array" ref="V783">_xlfn.IFS(O783="Blaze Shield II",'CALCULO MORTERO'!P784, O783="Cafco 400",'CALCULO MORTERO'!Q784,O783="Cafco 300",'CALCULO MORTERO'!S784, AND(OR(O783="Fire tex 5090", O783="Fire Tex 5062", O783="Fire Tex 5120", O783="Fire Control"),Q783&gt;0), "CERT.",TRUE,"-")</f>
        <v>-</v>
      </c>
    </row>
    <row r="784" spans="1:22" x14ac:dyDescent="0.25">
      <c r="A784" s="903"/>
      <c r="B784" s="907"/>
      <c r="C784" s="874"/>
      <c r="D784" s="874"/>
      <c r="E784" s="874"/>
      <c r="F784" s="905"/>
      <c r="G784" s="874"/>
      <c r="H784" s="874"/>
      <c r="I784" s="906"/>
      <c r="J784" s="162"/>
      <c r="K784" s="161"/>
      <c r="L784" s="161"/>
      <c r="M784" s="169"/>
      <c r="N784" s="163" t="str">
        <f t="shared" si="16"/>
        <v/>
      </c>
      <c r="O784" s="41"/>
      <c r="P784" s="41"/>
      <c r="Q784" s="161" t="str">
        <f>+IF(OR(O784="Fire Control",O784="Fire Tex 5062",O784="Fire Tex 5090",O784="Fire Tex 5120"),'CALCULO PINTURA'!P785," ")</f>
        <v xml:space="preserve"> </v>
      </c>
      <c r="R784" s="164" t="str">
        <f>+IF(OR(O784="Fire Control",O784="Fire Tex 5062",O784="Fire Tex 5090",O784="Fire Tex 5120"),'CALCULO PINTURA'!R785," ")</f>
        <v xml:space="preserve"> </v>
      </c>
      <c r="S784" s="164" t="str">
        <f>+IF(OR(O784="Fire Control",O784="Fire Tex 5062",O784="Fire Tex 5090",O784="Fire Tex 5120"),'CALCULO PINTURA'!S785," ")</f>
        <v xml:space="preserve"> </v>
      </c>
      <c r="T784" s="874" t="str">
        <f>+IF(OR(O784="Blaze Shield II",O784="Cafco 400",O784="Cafco 300"),'CALCULO MORTERO'!N790," ")</f>
        <v xml:space="preserve"> </v>
      </c>
      <c r="U784" s="875" t="str">
        <f>+IF(OR(O784="Blaze Shield II",O784="Cafco 400",O784="Cafco 300"),'CALCULO MORTERO'!O790," ")</f>
        <v xml:space="preserve"> </v>
      </c>
      <c r="V784" s="161" t="str" cm="1">
        <f t="array" ref="V784">_xlfn.IFS(O784="Blaze Shield II",'CALCULO MORTERO'!P785, O784="Cafco 400",'CALCULO MORTERO'!Q785,O784="Cafco 300",'CALCULO MORTERO'!S785, AND(OR(O784="Fire tex 5090", O784="Fire Tex 5062", O784="Fire Tex 5120", O784="Fire Control"),Q784&gt;0), "CERT.",TRUE,"-")</f>
        <v>-</v>
      </c>
    </row>
    <row r="785" spans="1:22" x14ac:dyDescent="0.25">
      <c r="A785" s="903"/>
      <c r="B785" s="907"/>
      <c r="C785" s="874"/>
      <c r="D785" s="874"/>
      <c r="E785" s="874"/>
      <c r="F785" s="905"/>
      <c r="G785" s="874"/>
      <c r="H785" s="874"/>
      <c r="I785" s="906"/>
      <c r="J785" s="162"/>
      <c r="K785" s="161"/>
      <c r="L785" s="161"/>
      <c r="M785" s="169"/>
      <c r="N785" s="163" t="str">
        <f t="shared" si="16"/>
        <v/>
      </c>
      <c r="O785" s="41"/>
      <c r="P785" s="41"/>
      <c r="Q785" s="161" t="str">
        <f>+IF(OR(O785="Fire Control",O785="Fire Tex 5062",O785="Fire Tex 5090",O785="Fire Tex 5120"),'CALCULO PINTURA'!P786," ")</f>
        <v xml:space="preserve"> </v>
      </c>
      <c r="R785" s="164" t="str">
        <f>+IF(OR(O785="Fire Control",O785="Fire Tex 5062",O785="Fire Tex 5090",O785="Fire Tex 5120"),'CALCULO PINTURA'!R786," ")</f>
        <v xml:space="preserve"> </v>
      </c>
      <c r="S785" s="164" t="str">
        <f>+IF(OR(O785="Fire Control",O785="Fire Tex 5062",O785="Fire Tex 5090",O785="Fire Tex 5120"),'CALCULO PINTURA'!S786," ")</f>
        <v xml:space="preserve"> </v>
      </c>
      <c r="T785" s="874" t="str">
        <f>+IF(OR(O785="Blaze Shield II",O785="Cafco 400",O785="Cafco 300"),'CALCULO MORTERO'!N791," ")</f>
        <v xml:space="preserve"> </v>
      </c>
      <c r="U785" s="875" t="str">
        <f>+IF(OR(O785="Blaze Shield II",O785="Cafco 400",O785="Cafco 300"),'CALCULO MORTERO'!O791," ")</f>
        <v xml:space="preserve"> </v>
      </c>
      <c r="V785" s="161" t="str" cm="1">
        <f t="array" ref="V785">_xlfn.IFS(O785="Blaze Shield II",'CALCULO MORTERO'!P786, O785="Cafco 400",'CALCULO MORTERO'!Q786,O785="Cafco 300",'CALCULO MORTERO'!S786, AND(OR(O785="Fire tex 5090", O785="Fire Tex 5062", O785="Fire Tex 5120", O785="Fire Control"),Q785&gt;0), "CERT.",TRUE,"-")</f>
        <v>-</v>
      </c>
    </row>
    <row r="786" spans="1:22" x14ac:dyDescent="0.25">
      <c r="A786" s="903"/>
      <c r="B786" s="907"/>
      <c r="C786" s="874"/>
      <c r="D786" s="874"/>
      <c r="E786" s="874"/>
      <c r="F786" s="905"/>
      <c r="G786" s="874"/>
      <c r="H786" s="874"/>
      <c r="I786" s="906"/>
      <c r="J786" s="162"/>
      <c r="K786" s="161"/>
      <c r="L786" s="161"/>
      <c r="M786" s="169"/>
      <c r="N786" s="163" t="str">
        <f t="shared" si="16"/>
        <v/>
      </c>
      <c r="O786" s="41"/>
      <c r="P786" s="41"/>
      <c r="Q786" s="161" t="str">
        <f>+IF(OR(O786="Fire Control",O786="Fire Tex 5062",O786="Fire Tex 5090",O786="Fire Tex 5120"),'CALCULO PINTURA'!P787," ")</f>
        <v xml:space="preserve"> </v>
      </c>
      <c r="R786" s="164" t="str">
        <f>+IF(OR(O786="Fire Control",O786="Fire Tex 5062",O786="Fire Tex 5090",O786="Fire Tex 5120"),'CALCULO PINTURA'!R787," ")</f>
        <v xml:space="preserve"> </v>
      </c>
      <c r="S786" s="164" t="str">
        <f>+IF(OR(O786="Fire Control",O786="Fire Tex 5062",O786="Fire Tex 5090",O786="Fire Tex 5120"),'CALCULO PINTURA'!S787," ")</f>
        <v xml:space="preserve"> </v>
      </c>
      <c r="T786" s="874" t="str">
        <f>+IF(OR(O786="Blaze Shield II",O786="Cafco 400",O786="Cafco 300"),'CALCULO MORTERO'!N792," ")</f>
        <v xml:space="preserve"> </v>
      </c>
      <c r="U786" s="875" t="str">
        <f>+IF(OR(O786="Blaze Shield II",O786="Cafco 400",O786="Cafco 300"),'CALCULO MORTERO'!O792," ")</f>
        <v xml:space="preserve"> </v>
      </c>
      <c r="V786" s="161" t="str" cm="1">
        <f t="array" ref="V786">_xlfn.IFS(O786="Blaze Shield II",'CALCULO MORTERO'!P787, O786="Cafco 400",'CALCULO MORTERO'!Q787,O786="Cafco 300",'CALCULO MORTERO'!S787, AND(OR(O786="Fire tex 5090", O786="Fire Tex 5062", O786="Fire Tex 5120", O786="Fire Control"),Q786&gt;0), "CERT.",TRUE,"-")</f>
        <v>-</v>
      </c>
    </row>
    <row r="787" spans="1:22" x14ac:dyDescent="0.25">
      <c r="A787" s="903"/>
      <c r="B787" s="907"/>
      <c r="C787" s="874"/>
      <c r="D787" s="874"/>
      <c r="E787" s="874"/>
      <c r="F787" s="905"/>
      <c r="G787" s="874"/>
      <c r="H787" s="874"/>
      <c r="I787" s="906"/>
      <c r="J787" s="162"/>
      <c r="K787" s="161"/>
      <c r="L787" s="161"/>
      <c r="M787" s="169"/>
      <c r="N787" s="163" t="str">
        <f t="shared" si="16"/>
        <v/>
      </c>
      <c r="O787" s="41"/>
      <c r="P787" s="41"/>
      <c r="Q787" s="161" t="str">
        <f>+IF(OR(O787="Fire Control",O787="Fire Tex 5062",O787="Fire Tex 5090",O787="Fire Tex 5120"),'CALCULO PINTURA'!P788," ")</f>
        <v xml:space="preserve"> </v>
      </c>
      <c r="R787" s="164" t="str">
        <f>+IF(OR(O787="Fire Control",O787="Fire Tex 5062",O787="Fire Tex 5090",O787="Fire Tex 5120"),'CALCULO PINTURA'!R788," ")</f>
        <v xml:space="preserve"> </v>
      </c>
      <c r="S787" s="164" t="str">
        <f>+IF(OR(O787="Fire Control",O787="Fire Tex 5062",O787="Fire Tex 5090",O787="Fire Tex 5120"),'CALCULO PINTURA'!S788," ")</f>
        <v xml:space="preserve"> </v>
      </c>
      <c r="T787" s="874" t="str">
        <f>+IF(OR(O787="Blaze Shield II",O787="Cafco 400",O787="Cafco 300"),'CALCULO MORTERO'!N793," ")</f>
        <v xml:space="preserve"> </v>
      </c>
      <c r="U787" s="875" t="str">
        <f>+IF(OR(O787="Blaze Shield II",O787="Cafco 400",O787="Cafco 300"),'CALCULO MORTERO'!O793," ")</f>
        <v xml:space="preserve"> </v>
      </c>
      <c r="V787" s="161" t="str" cm="1">
        <f t="array" ref="V787">_xlfn.IFS(O787="Blaze Shield II",'CALCULO MORTERO'!P788, O787="Cafco 400",'CALCULO MORTERO'!Q788,O787="Cafco 300",'CALCULO MORTERO'!S788, AND(OR(O787="Fire tex 5090", O787="Fire Tex 5062", O787="Fire Tex 5120", O787="Fire Control"),Q787&gt;0), "CERT.",TRUE,"-")</f>
        <v>-</v>
      </c>
    </row>
    <row r="788" spans="1:22" x14ac:dyDescent="0.25">
      <c r="A788" s="903"/>
      <c r="B788" s="907"/>
      <c r="C788" s="874"/>
      <c r="D788" s="874"/>
      <c r="E788" s="874"/>
      <c r="F788" s="905"/>
      <c r="G788" s="874"/>
      <c r="H788" s="874"/>
      <c r="I788" s="906"/>
      <c r="J788" s="162"/>
      <c r="K788" s="161"/>
      <c r="L788" s="161"/>
      <c r="M788" s="169"/>
      <c r="N788" s="163" t="str">
        <f t="shared" si="16"/>
        <v/>
      </c>
      <c r="O788" s="41"/>
      <c r="P788" s="41"/>
      <c r="Q788" s="161" t="str">
        <f>+IF(OR(O788="Fire Control",O788="Fire Tex 5062",O788="Fire Tex 5090",O788="Fire Tex 5120"),'CALCULO PINTURA'!P789," ")</f>
        <v xml:space="preserve"> </v>
      </c>
      <c r="R788" s="164" t="str">
        <f>+IF(OR(O788="Fire Control",O788="Fire Tex 5062",O788="Fire Tex 5090",O788="Fire Tex 5120"),'CALCULO PINTURA'!R789," ")</f>
        <v xml:space="preserve"> </v>
      </c>
      <c r="S788" s="164" t="str">
        <f>+IF(OR(O788="Fire Control",O788="Fire Tex 5062",O788="Fire Tex 5090",O788="Fire Tex 5120"),'CALCULO PINTURA'!S789," ")</f>
        <v xml:space="preserve"> </v>
      </c>
      <c r="T788" s="874" t="str">
        <f>+IF(OR(O788="Blaze Shield II",O788="Cafco 400",O788="Cafco 300"),'CALCULO MORTERO'!N794," ")</f>
        <v xml:space="preserve"> </v>
      </c>
      <c r="U788" s="875" t="str">
        <f>+IF(OR(O788="Blaze Shield II",O788="Cafco 400",O788="Cafco 300"),'CALCULO MORTERO'!O794," ")</f>
        <v xml:space="preserve"> </v>
      </c>
      <c r="V788" s="161" t="str" cm="1">
        <f t="array" ref="V788">_xlfn.IFS(O788="Blaze Shield II",'CALCULO MORTERO'!P789, O788="Cafco 400",'CALCULO MORTERO'!Q789,O788="Cafco 300",'CALCULO MORTERO'!S789, AND(OR(O788="Fire tex 5090", O788="Fire Tex 5062", O788="Fire Tex 5120", O788="Fire Control"),Q788&gt;0), "CERT.",TRUE,"-")</f>
        <v>-</v>
      </c>
    </row>
    <row r="789" spans="1:22" x14ac:dyDescent="0.25">
      <c r="A789" s="903"/>
      <c r="B789" s="907"/>
      <c r="C789" s="874"/>
      <c r="D789" s="874"/>
      <c r="E789" s="874"/>
      <c r="F789" s="905"/>
      <c r="G789" s="874"/>
      <c r="H789" s="874"/>
      <c r="I789" s="906"/>
      <c r="J789" s="162"/>
      <c r="K789" s="161"/>
      <c r="L789" s="161"/>
      <c r="M789" s="169"/>
      <c r="N789" s="163" t="str">
        <f t="shared" si="16"/>
        <v/>
      </c>
      <c r="O789" s="41"/>
      <c r="P789" s="41"/>
      <c r="Q789" s="161" t="str">
        <f>+IF(OR(O789="Fire Control",O789="Fire Tex 5062",O789="Fire Tex 5090",O789="Fire Tex 5120"),'CALCULO PINTURA'!P790," ")</f>
        <v xml:space="preserve"> </v>
      </c>
      <c r="R789" s="164" t="str">
        <f>+IF(OR(O789="Fire Control",O789="Fire Tex 5062",O789="Fire Tex 5090",O789="Fire Tex 5120"),'CALCULO PINTURA'!R790," ")</f>
        <v xml:space="preserve"> </v>
      </c>
      <c r="S789" s="164" t="str">
        <f>+IF(OR(O789="Fire Control",O789="Fire Tex 5062",O789="Fire Tex 5090",O789="Fire Tex 5120"),'CALCULO PINTURA'!S790," ")</f>
        <v xml:space="preserve"> </v>
      </c>
      <c r="T789" s="874" t="str">
        <f>+IF(OR(O789="Blaze Shield II",O789="Cafco 400",O789="Cafco 300"),'CALCULO MORTERO'!N795," ")</f>
        <v xml:space="preserve"> </v>
      </c>
      <c r="U789" s="875" t="str">
        <f>+IF(OR(O789="Blaze Shield II",O789="Cafco 400",O789="Cafco 300"),'CALCULO MORTERO'!O795," ")</f>
        <v xml:space="preserve"> </v>
      </c>
      <c r="V789" s="161" t="str" cm="1">
        <f t="array" ref="V789">_xlfn.IFS(O789="Blaze Shield II",'CALCULO MORTERO'!P790, O789="Cafco 400",'CALCULO MORTERO'!Q790,O789="Cafco 300",'CALCULO MORTERO'!S790, AND(OR(O789="Fire tex 5090", O789="Fire Tex 5062", O789="Fire Tex 5120", O789="Fire Control"),Q789&gt;0), "CERT.",TRUE,"-")</f>
        <v>-</v>
      </c>
    </row>
    <row r="790" spans="1:22" x14ac:dyDescent="0.25">
      <c r="A790" s="903"/>
      <c r="B790" s="907"/>
      <c r="C790" s="874"/>
      <c r="D790" s="874"/>
      <c r="E790" s="874"/>
      <c r="F790" s="905"/>
      <c r="G790" s="874"/>
      <c r="H790" s="874"/>
      <c r="I790" s="906"/>
      <c r="J790" s="162"/>
      <c r="K790" s="161"/>
      <c r="L790" s="161"/>
      <c r="M790" s="169"/>
      <c r="N790" s="163" t="str">
        <f t="shared" si="16"/>
        <v/>
      </c>
      <c r="O790" s="41"/>
      <c r="P790" s="41"/>
      <c r="Q790" s="161" t="str">
        <f>+IF(OR(O790="Fire Control",O790="Fire Tex 5062",O790="Fire Tex 5090",O790="Fire Tex 5120"),'CALCULO PINTURA'!P791," ")</f>
        <v xml:space="preserve"> </v>
      </c>
      <c r="R790" s="164" t="str">
        <f>+IF(OR(O790="Fire Control",O790="Fire Tex 5062",O790="Fire Tex 5090",O790="Fire Tex 5120"),'CALCULO PINTURA'!R791," ")</f>
        <v xml:space="preserve"> </v>
      </c>
      <c r="S790" s="164" t="str">
        <f>+IF(OR(O790="Fire Control",O790="Fire Tex 5062",O790="Fire Tex 5090",O790="Fire Tex 5120"),'CALCULO PINTURA'!S791," ")</f>
        <v xml:space="preserve"> </v>
      </c>
      <c r="T790" s="874" t="str">
        <f>+IF(OR(O790="Blaze Shield II",O790="Cafco 400",O790="Cafco 300"),'CALCULO MORTERO'!N796," ")</f>
        <v xml:space="preserve"> </v>
      </c>
      <c r="U790" s="875" t="str">
        <f>+IF(OR(O790="Blaze Shield II",O790="Cafco 400",O790="Cafco 300"),'CALCULO MORTERO'!O796," ")</f>
        <v xml:space="preserve"> </v>
      </c>
      <c r="V790" s="161" t="str" cm="1">
        <f t="array" ref="V790">_xlfn.IFS(O790="Blaze Shield II",'CALCULO MORTERO'!P791, O790="Cafco 400",'CALCULO MORTERO'!Q791,O790="Cafco 300",'CALCULO MORTERO'!S791, AND(OR(O790="Fire tex 5090", O790="Fire Tex 5062", O790="Fire Tex 5120", O790="Fire Control"),Q790&gt;0), "CERT.",TRUE,"-")</f>
        <v>-</v>
      </c>
    </row>
    <row r="791" spans="1:22" x14ac:dyDescent="0.25">
      <c r="A791" s="903"/>
      <c r="B791" s="907"/>
      <c r="C791" s="874"/>
      <c r="D791" s="874"/>
      <c r="E791" s="874"/>
      <c r="F791" s="905"/>
      <c r="G791" s="874"/>
      <c r="H791" s="874"/>
      <c r="I791" s="906"/>
      <c r="J791" s="162"/>
      <c r="K791" s="161"/>
      <c r="L791" s="161"/>
      <c r="M791" s="169"/>
      <c r="N791" s="163" t="str">
        <f t="shared" si="16"/>
        <v/>
      </c>
      <c r="O791" s="41"/>
      <c r="P791" s="41"/>
      <c r="Q791" s="161" t="str">
        <f>+IF(OR(O791="Fire Control",O791="Fire Tex 5062",O791="Fire Tex 5090",O791="Fire Tex 5120"),'CALCULO PINTURA'!P792," ")</f>
        <v xml:space="preserve"> </v>
      </c>
      <c r="R791" s="164" t="str">
        <f>+IF(OR(O791="Fire Control",O791="Fire Tex 5062",O791="Fire Tex 5090",O791="Fire Tex 5120"),'CALCULO PINTURA'!R792," ")</f>
        <v xml:space="preserve"> </v>
      </c>
      <c r="S791" s="164" t="str">
        <f>+IF(OR(O791="Fire Control",O791="Fire Tex 5062",O791="Fire Tex 5090",O791="Fire Tex 5120"),'CALCULO PINTURA'!S792," ")</f>
        <v xml:space="preserve"> </v>
      </c>
      <c r="T791" s="874" t="str">
        <f>+IF(OR(O791="Blaze Shield II",O791="Cafco 400",O791="Cafco 300"),'CALCULO MORTERO'!N797," ")</f>
        <v xml:space="preserve"> </v>
      </c>
      <c r="U791" s="875" t="str">
        <f>+IF(OR(O791="Blaze Shield II",O791="Cafco 400",O791="Cafco 300"),'CALCULO MORTERO'!O797," ")</f>
        <v xml:space="preserve"> </v>
      </c>
      <c r="V791" s="161" t="str" cm="1">
        <f t="array" ref="V791">_xlfn.IFS(O791="Blaze Shield II",'CALCULO MORTERO'!P792, O791="Cafco 400",'CALCULO MORTERO'!Q792,O791="Cafco 300",'CALCULO MORTERO'!S792, AND(OR(O791="Fire tex 5090", O791="Fire Tex 5062", O791="Fire Tex 5120", O791="Fire Control"),Q791&gt;0), "CERT.",TRUE,"-")</f>
        <v>-</v>
      </c>
    </row>
    <row r="792" spans="1:22" x14ac:dyDescent="0.25">
      <c r="A792" s="903"/>
      <c r="B792" s="907"/>
      <c r="C792" s="874"/>
      <c r="D792" s="874"/>
      <c r="E792" s="874"/>
      <c r="F792" s="905"/>
      <c r="G792" s="874"/>
      <c r="H792" s="874"/>
      <c r="I792" s="906"/>
      <c r="J792" s="162"/>
      <c r="K792" s="161"/>
      <c r="L792" s="161"/>
      <c r="M792" s="169"/>
      <c r="N792" s="163" t="str">
        <f t="shared" si="16"/>
        <v/>
      </c>
      <c r="O792" s="41"/>
      <c r="P792" s="41"/>
      <c r="Q792" s="161" t="str">
        <f>+IF(OR(O792="Fire Control",O792="Fire Tex 5062",O792="Fire Tex 5090",O792="Fire Tex 5120"),'CALCULO PINTURA'!P793," ")</f>
        <v xml:space="preserve"> </v>
      </c>
      <c r="R792" s="164" t="str">
        <f>+IF(OR(O792="Fire Control",O792="Fire Tex 5062",O792="Fire Tex 5090",O792="Fire Tex 5120"),'CALCULO PINTURA'!R793," ")</f>
        <v xml:space="preserve"> </v>
      </c>
      <c r="S792" s="164" t="str">
        <f>+IF(OR(O792="Fire Control",O792="Fire Tex 5062",O792="Fire Tex 5090",O792="Fire Tex 5120"),'CALCULO PINTURA'!S793," ")</f>
        <v xml:space="preserve"> </v>
      </c>
      <c r="T792" s="874" t="str">
        <f>+IF(OR(O792="Blaze Shield II",O792="Cafco 400",O792="Cafco 300"),'CALCULO MORTERO'!N798," ")</f>
        <v xml:space="preserve"> </v>
      </c>
      <c r="U792" s="875" t="str">
        <f>+IF(OR(O792="Blaze Shield II",O792="Cafco 400",O792="Cafco 300"),'CALCULO MORTERO'!O798," ")</f>
        <v xml:space="preserve"> </v>
      </c>
      <c r="V792" s="161" t="str" cm="1">
        <f t="array" ref="V792">_xlfn.IFS(O792="Blaze Shield II",'CALCULO MORTERO'!P793, O792="Cafco 400",'CALCULO MORTERO'!Q793,O792="Cafco 300",'CALCULO MORTERO'!S793, AND(OR(O792="Fire tex 5090", O792="Fire Tex 5062", O792="Fire Tex 5120", O792="Fire Control"),Q792&gt;0), "CERT.",TRUE,"-")</f>
        <v>-</v>
      </c>
    </row>
    <row r="793" spans="1:22" x14ac:dyDescent="0.25">
      <c r="A793" s="903"/>
      <c r="B793" s="907"/>
      <c r="C793" s="874"/>
      <c r="D793" s="874"/>
      <c r="E793" s="874"/>
      <c r="F793" s="905"/>
      <c r="G793" s="874"/>
      <c r="H793" s="874"/>
      <c r="I793" s="906"/>
      <c r="J793" s="162"/>
      <c r="K793" s="161"/>
      <c r="L793" s="161"/>
      <c r="M793" s="169"/>
      <c r="N793" s="163" t="str">
        <f t="shared" si="16"/>
        <v/>
      </c>
      <c r="O793" s="41"/>
      <c r="P793" s="41"/>
      <c r="Q793" s="161" t="str">
        <f>+IF(OR(O793="Fire Control",O793="Fire Tex 5062",O793="Fire Tex 5090",O793="Fire Tex 5120"),'CALCULO PINTURA'!P794," ")</f>
        <v xml:space="preserve"> </v>
      </c>
      <c r="R793" s="164" t="str">
        <f>+IF(OR(O793="Fire Control",O793="Fire Tex 5062",O793="Fire Tex 5090",O793="Fire Tex 5120"),'CALCULO PINTURA'!R794," ")</f>
        <v xml:space="preserve"> </v>
      </c>
      <c r="S793" s="164" t="str">
        <f>+IF(OR(O793="Fire Control",O793="Fire Tex 5062",O793="Fire Tex 5090",O793="Fire Tex 5120"),'CALCULO PINTURA'!S794," ")</f>
        <v xml:space="preserve"> </v>
      </c>
      <c r="T793" s="874" t="str">
        <f>+IF(OR(O793="Blaze Shield II",O793="Cafco 400",O793="Cafco 300"),'CALCULO MORTERO'!N799," ")</f>
        <v xml:space="preserve"> </v>
      </c>
      <c r="U793" s="875" t="str">
        <f>+IF(OR(O793="Blaze Shield II",O793="Cafco 400",O793="Cafco 300"),'CALCULO MORTERO'!O799," ")</f>
        <v xml:space="preserve"> </v>
      </c>
      <c r="V793" s="161" t="str" cm="1">
        <f t="array" ref="V793">_xlfn.IFS(O793="Blaze Shield II",'CALCULO MORTERO'!P794, O793="Cafco 400",'CALCULO MORTERO'!Q794,O793="Cafco 300",'CALCULO MORTERO'!S794, AND(OR(O793="Fire tex 5090", O793="Fire Tex 5062", O793="Fire Tex 5120", O793="Fire Control"),Q793&gt;0), "CERT.",TRUE,"-")</f>
        <v>-</v>
      </c>
    </row>
    <row r="794" spans="1:22" x14ac:dyDescent="0.25">
      <c r="A794" s="903"/>
      <c r="B794" s="907"/>
      <c r="C794" s="874"/>
      <c r="D794" s="874"/>
      <c r="E794" s="874"/>
      <c r="F794" s="905"/>
      <c r="G794" s="874"/>
      <c r="H794" s="874"/>
      <c r="I794" s="906"/>
      <c r="J794" s="162"/>
      <c r="K794" s="161"/>
      <c r="L794" s="161"/>
      <c r="M794" s="169"/>
      <c r="N794" s="163" t="str">
        <f t="shared" si="16"/>
        <v/>
      </c>
      <c r="O794" s="41"/>
      <c r="P794" s="41"/>
      <c r="Q794" s="161" t="str">
        <f>+IF(OR(O794="Fire Control",O794="Fire Tex 5062",O794="Fire Tex 5090",O794="Fire Tex 5120"),'CALCULO PINTURA'!P795," ")</f>
        <v xml:space="preserve"> </v>
      </c>
      <c r="R794" s="164" t="str">
        <f>+IF(OR(O794="Fire Control",O794="Fire Tex 5062",O794="Fire Tex 5090",O794="Fire Tex 5120"),'CALCULO PINTURA'!R795," ")</f>
        <v xml:space="preserve"> </v>
      </c>
      <c r="S794" s="164" t="str">
        <f>+IF(OR(O794="Fire Control",O794="Fire Tex 5062",O794="Fire Tex 5090",O794="Fire Tex 5120"),'CALCULO PINTURA'!S795," ")</f>
        <v xml:space="preserve"> </v>
      </c>
      <c r="T794" s="874" t="str">
        <f>+IF(OR(O794="Blaze Shield II",O794="Cafco 400",O794="Cafco 300"),'CALCULO MORTERO'!N800," ")</f>
        <v xml:space="preserve"> </v>
      </c>
      <c r="U794" s="875" t="str">
        <f>+IF(OR(O794="Blaze Shield II",O794="Cafco 400",O794="Cafco 300"),'CALCULO MORTERO'!O800," ")</f>
        <v xml:space="preserve"> </v>
      </c>
      <c r="V794" s="161" t="str" cm="1">
        <f t="array" ref="V794">_xlfn.IFS(O794="Blaze Shield II",'CALCULO MORTERO'!P795, O794="Cafco 400",'CALCULO MORTERO'!Q795,O794="Cafco 300",'CALCULO MORTERO'!S795, AND(OR(O794="Fire tex 5090", O794="Fire Tex 5062", O794="Fire Tex 5120", O794="Fire Control"),Q794&gt;0), "CERT.",TRUE,"-")</f>
        <v>-</v>
      </c>
    </row>
    <row r="795" spans="1:22" x14ac:dyDescent="0.25">
      <c r="A795" s="903"/>
      <c r="B795" s="907"/>
      <c r="C795" s="874"/>
      <c r="D795" s="874"/>
      <c r="E795" s="874"/>
      <c r="F795" s="905"/>
      <c r="G795" s="874"/>
      <c r="H795" s="874"/>
      <c r="I795" s="906"/>
      <c r="J795" s="162"/>
      <c r="K795" s="161"/>
      <c r="L795" s="161"/>
      <c r="M795" s="169"/>
      <c r="N795" s="163" t="str">
        <f t="shared" si="16"/>
        <v/>
      </c>
      <c r="O795" s="41"/>
      <c r="P795" s="41"/>
      <c r="Q795" s="161" t="str">
        <f>+IF(OR(O795="Fire Control",O795="Fire Tex 5062",O795="Fire Tex 5090",O795="Fire Tex 5120"),'CALCULO PINTURA'!P796," ")</f>
        <v xml:space="preserve"> </v>
      </c>
      <c r="R795" s="164" t="str">
        <f>+IF(OR(O795="Fire Control",O795="Fire Tex 5062",O795="Fire Tex 5090",O795="Fire Tex 5120"),'CALCULO PINTURA'!R796," ")</f>
        <v xml:space="preserve"> </v>
      </c>
      <c r="S795" s="164" t="str">
        <f>+IF(OR(O795="Fire Control",O795="Fire Tex 5062",O795="Fire Tex 5090",O795="Fire Tex 5120"),'CALCULO PINTURA'!S796," ")</f>
        <v xml:space="preserve"> </v>
      </c>
      <c r="T795" s="874" t="str">
        <f>+IF(OR(O795="Blaze Shield II",O795="Cafco 400",O795="Cafco 300"),'CALCULO MORTERO'!N801," ")</f>
        <v xml:space="preserve"> </v>
      </c>
      <c r="U795" s="875" t="str">
        <f>+IF(OR(O795="Blaze Shield II",O795="Cafco 400",O795="Cafco 300"),'CALCULO MORTERO'!O801," ")</f>
        <v xml:space="preserve"> </v>
      </c>
      <c r="V795" s="161" t="str" cm="1">
        <f t="array" ref="V795">_xlfn.IFS(O795="Blaze Shield II",'CALCULO MORTERO'!P796, O795="Cafco 400",'CALCULO MORTERO'!Q796,O795="Cafco 300",'CALCULO MORTERO'!S796, AND(OR(O795="Fire tex 5090", O795="Fire Tex 5062", O795="Fire Tex 5120", O795="Fire Control"),Q795&gt;0), "CERT.",TRUE,"-")</f>
        <v>-</v>
      </c>
    </row>
    <row r="796" spans="1:22" x14ac:dyDescent="0.25">
      <c r="A796" s="903"/>
      <c r="B796" s="907"/>
      <c r="C796" s="874"/>
      <c r="D796" s="874"/>
      <c r="E796" s="874"/>
      <c r="F796" s="905"/>
      <c r="G796" s="874"/>
      <c r="H796" s="874"/>
      <c r="I796" s="906"/>
      <c r="J796" s="162"/>
      <c r="K796" s="161"/>
      <c r="L796" s="161"/>
      <c r="M796" s="169"/>
      <c r="N796" s="163" t="str">
        <f t="shared" si="16"/>
        <v/>
      </c>
      <c r="O796" s="41"/>
      <c r="P796" s="41"/>
      <c r="Q796" s="161" t="str">
        <f>+IF(OR(O796="Fire Control",O796="Fire Tex 5062",O796="Fire Tex 5090",O796="Fire Tex 5120"),'CALCULO PINTURA'!P797," ")</f>
        <v xml:space="preserve"> </v>
      </c>
      <c r="R796" s="164" t="str">
        <f>+IF(OR(O796="Fire Control",O796="Fire Tex 5062",O796="Fire Tex 5090",O796="Fire Tex 5120"),'CALCULO PINTURA'!R797," ")</f>
        <v xml:space="preserve"> </v>
      </c>
      <c r="S796" s="164" t="str">
        <f>+IF(OR(O796="Fire Control",O796="Fire Tex 5062",O796="Fire Tex 5090",O796="Fire Tex 5120"),'CALCULO PINTURA'!S797," ")</f>
        <v xml:space="preserve"> </v>
      </c>
      <c r="T796" s="874" t="str">
        <f>+IF(OR(O796="Blaze Shield II",O796="Cafco 400",O796="Cafco 300"),'CALCULO MORTERO'!N802," ")</f>
        <v xml:space="preserve"> </v>
      </c>
      <c r="U796" s="875" t="str">
        <f>+IF(OR(O796="Blaze Shield II",O796="Cafco 400",O796="Cafco 300"),'CALCULO MORTERO'!O802," ")</f>
        <v xml:space="preserve"> </v>
      </c>
      <c r="V796" s="161" t="str" cm="1">
        <f t="array" ref="V796">_xlfn.IFS(O796="Blaze Shield II",'CALCULO MORTERO'!P797, O796="Cafco 400",'CALCULO MORTERO'!Q797,O796="Cafco 300",'CALCULO MORTERO'!S797, AND(OR(O796="Fire tex 5090", O796="Fire Tex 5062", O796="Fire Tex 5120", O796="Fire Control"),Q796&gt;0), "CERT.",TRUE,"-")</f>
        <v>-</v>
      </c>
    </row>
    <row r="797" spans="1:22" x14ac:dyDescent="0.25">
      <c r="A797" s="903"/>
      <c r="B797" s="907"/>
      <c r="C797" s="874"/>
      <c r="D797" s="874"/>
      <c r="E797" s="874"/>
      <c r="F797" s="905"/>
      <c r="G797" s="874"/>
      <c r="H797" s="874"/>
      <c r="I797" s="906"/>
      <c r="J797" s="162"/>
      <c r="K797" s="161"/>
      <c r="L797" s="161"/>
      <c r="M797" s="169"/>
      <c r="N797" s="163" t="str">
        <f t="shared" si="16"/>
        <v/>
      </c>
      <c r="O797" s="41"/>
      <c r="P797" s="41"/>
      <c r="Q797" s="161" t="str">
        <f>+IF(OR(O797="Fire Control",O797="Fire Tex 5062",O797="Fire Tex 5090",O797="Fire Tex 5120"),'CALCULO PINTURA'!P798," ")</f>
        <v xml:space="preserve"> </v>
      </c>
      <c r="R797" s="164" t="str">
        <f>+IF(OR(O797="Fire Control",O797="Fire Tex 5062",O797="Fire Tex 5090",O797="Fire Tex 5120"),'CALCULO PINTURA'!R798," ")</f>
        <v xml:space="preserve"> </v>
      </c>
      <c r="S797" s="164" t="str">
        <f>+IF(OR(O797="Fire Control",O797="Fire Tex 5062",O797="Fire Tex 5090",O797="Fire Tex 5120"),'CALCULO PINTURA'!S798," ")</f>
        <v xml:space="preserve"> </v>
      </c>
      <c r="T797" s="874" t="str">
        <f>+IF(OR(O797="Blaze Shield II",O797="Cafco 400",O797="Cafco 300"),'CALCULO MORTERO'!N803," ")</f>
        <v xml:space="preserve"> </v>
      </c>
      <c r="U797" s="875" t="str">
        <f>+IF(OR(O797="Blaze Shield II",O797="Cafco 400",O797="Cafco 300"),'CALCULO MORTERO'!O803," ")</f>
        <v xml:space="preserve"> </v>
      </c>
      <c r="V797" s="161" t="str" cm="1">
        <f t="array" ref="V797">_xlfn.IFS(O797="Blaze Shield II",'CALCULO MORTERO'!P798, O797="Cafco 400",'CALCULO MORTERO'!Q798,O797="Cafco 300",'CALCULO MORTERO'!S798, AND(OR(O797="Fire tex 5090", O797="Fire Tex 5062", O797="Fire Tex 5120", O797="Fire Control"),Q797&gt;0), "CERT.",TRUE,"-")</f>
        <v>-</v>
      </c>
    </row>
    <row r="798" spans="1:22" x14ac:dyDescent="0.25">
      <c r="A798" s="903"/>
      <c r="B798" s="907"/>
      <c r="C798" s="874"/>
      <c r="D798" s="874"/>
      <c r="E798" s="874"/>
      <c r="F798" s="905"/>
      <c r="G798" s="874"/>
      <c r="H798" s="874"/>
      <c r="I798" s="906"/>
      <c r="J798" s="162"/>
      <c r="K798" s="161"/>
      <c r="L798" s="161"/>
      <c r="M798" s="169"/>
      <c r="N798" s="163" t="str">
        <f t="shared" si="16"/>
        <v/>
      </c>
      <c r="O798" s="41"/>
      <c r="P798" s="41"/>
      <c r="Q798" s="161" t="str">
        <f>+IF(OR(O798="Fire Control",O798="Fire Tex 5062",O798="Fire Tex 5090",O798="Fire Tex 5120"),'CALCULO PINTURA'!P799," ")</f>
        <v xml:space="preserve"> </v>
      </c>
      <c r="R798" s="164" t="str">
        <f>+IF(OR(O798="Fire Control",O798="Fire Tex 5062",O798="Fire Tex 5090",O798="Fire Tex 5120"),'CALCULO PINTURA'!R799," ")</f>
        <v xml:space="preserve"> </v>
      </c>
      <c r="S798" s="164" t="str">
        <f>+IF(OR(O798="Fire Control",O798="Fire Tex 5062",O798="Fire Tex 5090",O798="Fire Tex 5120"),'CALCULO PINTURA'!S799," ")</f>
        <v xml:space="preserve"> </v>
      </c>
      <c r="T798" s="874" t="str">
        <f>+IF(OR(O798="Blaze Shield II",O798="Cafco 400",O798="Cafco 300"),'CALCULO MORTERO'!N804," ")</f>
        <v xml:space="preserve"> </v>
      </c>
      <c r="U798" s="875" t="str">
        <f>+IF(OR(O798="Blaze Shield II",O798="Cafco 400",O798="Cafco 300"),'CALCULO MORTERO'!O804," ")</f>
        <v xml:space="preserve"> </v>
      </c>
      <c r="V798" s="161" t="str" cm="1">
        <f t="array" ref="V798">_xlfn.IFS(O798="Blaze Shield II",'CALCULO MORTERO'!P799, O798="Cafco 400",'CALCULO MORTERO'!Q799,O798="Cafco 300",'CALCULO MORTERO'!S799, AND(OR(O798="Fire tex 5090", O798="Fire Tex 5062", O798="Fire Tex 5120", O798="Fire Control"),Q798&gt;0), "CERT.",TRUE,"-")</f>
        <v>-</v>
      </c>
    </row>
    <row r="799" spans="1:22" x14ac:dyDescent="0.25">
      <c r="A799" s="903"/>
      <c r="B799" s="907"/>
      <c r="C799" s="874"/>
      <c r="D799" s="874"/>
      <c r="E799" s="874"/>
      <c r="F799" s="905"/>
      <c r="G799" s="874"/>
      <c r="H799" s="874"/>
      <c r="I799" s="906"/>
      <c r="J799" s="162"/>
      <c r="K799" s="161"/>
      <c r="L799" s="161"/>
      <c r="M799" s="169"/>
      <c r="N799" s="163" t="str">
        <f t="shared" si="16"/>
        <v/>
      </c>
      <c r="O799" s="41"/>
      <c r="P799" s="41"/>
      <c r="Q799" s="161" t="str">
        <f>+IF(OR(O799="Fire Control",O799="Fire Tex 5062",O799="Fire Tex 5090",O799="Fire Tex 5120"),'CALCULO PINTURA'!P800," ")</f>
        <v xml:space="preserve"> </v>
      </c>
      <c r="R799" s="164" t="str">
        <f>+IF(OR(O799="Fire Control",O799="Fire Tex 5062",O799="Fire Tex 5090",O799="Fire Tex 5120"),'CALCULO PINTURA'!R800," ")</f>
        <v xml:space="preserve"> </v>
      </c>
      <c r="S799" s="164" t="str">
        <f>+IF(OR(O799="Fire Control",O799="Fire Tex 5062",O799="Fire Tex 5090",O799="Fire Tex 5120"),'CALCULO PINTURA'!S800," ")</f>
        <v xml:space="preserve"> </v>
      </c>
      <c r="T799" s="874" t="str">
        <f>+IF(OR(O799="Blaze Shield II",O799="Cafco 400",O799="Cafco 300"),'CALCULO MORTERO'!N805," ")</f>
        <v xml:space="preserve"> </v>
      </c>
      <c r="U799" s="875" t="str">
        <f>+IF(OR(O799="Blaze Shield II",O799="Cafco 400",O799="Cafco 300"),'CALCULO MORTERO'!O805," ")</f>
        <v xml:space="preserve"> </v>
      </c>
      <c r="V799" s="161" t="str" cm="1">
        <f t="array" ref="V799">_xlfn.IFS(O799="Blaze Shield II",'CALCULO MORTERO'!P800, O799="Cafco 400",'CALCULO MORTERO'!Q800,O799="Cafco 300",'CALCULO MORTERO'!S800, AND(OR(O799="Fire tex 5090", O799="Fire Tex 5062", O799="Fire Tex 5120", O799="Fire Control"),Q799&gt;0), "CERT.",TRUE,"-")</f>
        <v>-</v>
      </c>
    </row>
    <row r="800" spans="1:22" x14ac:dyDescent="0.25">
      <c r="A800" s="903"/>
      <c r="B800" s="907"/>
      <c r="C800" s="874"/>
      <c r="D800" s="874"/>
      <c r="E800" s="874"/>
      <c r="F800" s="905"/>
      <c r="G800" s="874"/>
      <c r="H800" s="874"/>
      <c r="I800" s="906"/>
      <c r="J800" s="162"/>
      <c r="K800" s="161"/>
      <c r="L800" s="161"/>
      <c r="M800" s="169"/>
      <c r="N800" s="163" t="str">
        <f t="shared" si="16"/>
        <v/>
      </c>
      <c r="O800" s="41"/>
      <c r="P800" s="41"/>
      <c r="Q800" s="161" t="str">
        <f>+IF(OR(O800="Fire Control",O800="Fire Tex 5062",O800="Fire Tex 5090",O800="Fire Tex 5120"),'CALCULO PINTURA'!P801," ")</f>
        <v xml:space="preserve"> </v>
      </c>
      <c r="R800" s="164" t="str">
        <f>+IF(OR(O800="Fire Control",O800="Fire Tex 5062",O800="Fire Tex 5090",O800="Fire Tex 5120"),'CALCULO PINTURA'!R801," ")</f>
        <v xml:space="preserve"> </v>
      </c>
      <c r="S800" s="164" t="str">
        <f>+IF(OR(O800="Fire Control",O800="Fire Tex 5062",O800="Fire Tex 5090",O800="Fire Tex 5120"),'CALCULO PINTURA'!S801," ")</f>
        <v xml:space="preserve"> </v>
      </c>
      <c r="T800" s="874" t="str">
        <f>+IF(OR(O800="Blaze Shield II",O800="Cafco 400",O800="Cafco 300"),'CALCULO MORTERO'!N806," ")</f>
        <v xml:space="preserve"> </v>
      </c>
      <c r="U800" s="875" t="str">
        <f>+IF(OR(O800="Blaze Shield II",O800="Cafco 400",O800="Cafco 300"),'CALCULO MORTERO'!O806," ")</f>
        <v xml:space="preserve"> </v>
      </c>
      <c r="V800" s="161" t="str" cm="1">
        <f t="array" ref="V800">_xlfn.IFS(O800="Blaze Shield II",'CALCULO MORTERO'!P801, O800="Cafco 400",'CALCULO MORTERO'!Q801,O800="Cafco 300",'CALCULO MORTERO'!S801, AND(OR(O800="Fire tex 5090", O800="Fire Tex 5062", O800="Fire Tex 5120", O800="Fire Control"),Q800&gt;0), "CERT.",TRUE,"-")</f>
        <v>-</v>
      </c>
    </row>
    <row r="801" spans="1:22" x14ac:dyDescent="0.25">
      <c r="A801" s="903"/>
      <c r="B801" s="907"/>
      <c r="C801" s="874"/>
      <c r="D801" s="874"/>
      <c r="E801" s="874"/>
      <c r="F801" s="905"/>
      <c r="G801" s="874"/>
      <c r="H801" s="874"/>
      <c r="I801" s="906"/>
      <c r="J801" s="162"/>
      <c r="K801" s="161"/>
      <c r="L801" s="161"/>
      <c r="M801" s="169"/>
      <c r="N801" s="163" t="str">
        <f t="shared" si="16"/>
        <v/>
      </c>
      <c r="O801" s="41"/>
      <c r="P801" s="41"/>
      <c r="Q801" s="161" t="str">
        <f>+IF(OR(O801="Fire Control",O801="Fire Tex 5062",O801="Fire Tex 5090",O801="Fire Tex 5120"),'CALCULO PINTURA'!P802," ")</f>
        <v xml:space="preserve"> </v>
      </c>
      <c r="R801" s="164" t="str">
        <f>+IF(OR(O801="Fire Control",O801="Fire Tex 5062",O801="Fire Tex 5090",O801="Fire Tex 5120"),'CALCULO PINTURA'!R802," ")</f>
        <v xml:space="preserve"> </v>
      </c>
      <c r="S801" s="164" t="str">
        <f>+IF(OR(O801="Fire Control",O801="Fire Tex 5062",O801="Fire Tex 5090",O801="Fire Tex 5120"),'CALCULO PINTURA'!S802," ")</f>
        <v xml:space="preserve"> </v>
      </c>
      <c r="T801" s="874" t="str">
        <f>+IF(OR(O801="Blaze Shield II",O801="Cafco 400",O801="Cafco 300"),'CALCULO MORTERO'!N807," ")</f>
        <v xml:space="preserve"> </v>
      </c>
      <c r="U801" s="875" t="str">
        <f>+IF(OR(O801="Blaze Shield II",O801="Cafco 400",O801="Cafco 300"),'CALCULO MORTERO'!O807," ")</f>
        <v xml:space="preserve"> </v>
      </c>
      <c r="V801" s="161" t="str" cm="1">
        <f t="array" ref="V801">_xlfn.IFS(O801="Blaze Shield II",'CALCULO MORTERO'!P802, O801="Cafco 400",'CALCULO MORTERO'!Q802,O801="Cafco 300",'CALCULO MORTERO'!S802, AND(OR(O801="Fire tex 5090", O801="Fire Tex 5062", O801="Fire Tex 5120", O801="Fire Control"),Q801&gt;0), "CERT.",TRUE,"-")</f>
        <v>-</v>
      </c>
    </row>
    <row r="802" spans="1:22" x14ac:dyDescent="0.25">
      <c r="A802" s="903"/>
      <c r="B802" s="907"/>
      <c r="C802" s="874"/>
      <c r="D802" s="874"/>
      <c r="E802" s="874"/>
      <c r="F802" s="905"/>
      <c r="G802" s="874"/>
      <c r="H802" s="874"/>
      <c r="I802" s="906"/>
      <c r="J802" s="162"/>
      <c r="K802" s="161"/>
      <c r="L802" s="161"/>
      <c r="M802" s="163"/>
      <c r="N802" s="163" t="str">
        <f t="shared" si="16"/>
        <v/>
      </c>
      <c r="O802" s="41"/>
      <c r="P802" s="41"/>
      <c r="Q802" s="161" t="str">
        <f>+IF(OR(O802="Fire Control",O802="Fire Tex 5062",O802="Fire Tex 5090",O802="Fire Tex 5120"),'CALCULO PINTURA'!P803," ")</f>
        <v xml:space="preserve"> </v>
      </c>
      <c r="R802" s="164" t="str">
        <f>+IF(OR(O802="Fire Control",O802="Fire Tex 5062",O802="Fire Tex 5090",O802="Fire Tex 5120"),'CALCULO PINTURA'!R803," ")</f>
        <v xml:space="preserve"> </v>
      </c>
      <c r="S802" s="164" t="str">
        <f>+IF(OR(O802="Fire Control",O802="Fire Tex 5062",O802="Fire Tex 5090",O802="Fire Tex 5120"),'CALCULO PINTURA'!S803," ")</f>
        <v xml:space="preserve"> </v>
      </c>
      <c r="T802" s="874" t="str">
        <f>+IF(OR(O802="Blaze Shield II",O802="Cafco 400",O802="Cafco 300"),'CALCULO MORTERO'!N808," ")</f>
        <v xml:space="preserve"> </v>
      </c>
      <c r="U802" s="875" t="str">
        <f>+IF(OR(O802="Blaze Shield II",O802="Cafco 400",O802="Cafco 300"),'CALCULO MORTERO'!O808," ")</f>
        <v xml:space="preserve"> </v>
      </c>
      <c r="V802" s="161" t="str" cm="1">
        <f t="array" ref="V802">_xlfn.IFS(O802="Blaze Shield II",'CALCULO MORTERO'!P803, O802="Cafco 400",'CALCULO MORTERO'!Q803,O802="Cafco 300",'CALCULO MORTERO'!S803, AND(OR(O802="Fire tex 5090", O802="Fire Tex 5062", O802="Fire Tex 5120", O802="Fire Control"),Q802&gt;0), "CERT.",TRUE,"-")</f>
        <v>-</v>
      </c>
    </row>
    <row r="803" spans="1:22" x14ac:dyDescent="0.25">
      <c r="A803" s="903"/>
      <c r="B803" s="907"/>
      <c r="C803" s="874"/>
      <c r="D803" s="874"/>
      <c r="E803" s="874"/>
      <c r="F803" s="905"/>
      <c r="G803" s="874"/>
      <c r="H803" s="874"/>
      <c r="I803" s="906"/>
      <c r="J803" s="162"/>
      <c r="K803" s="161"/>
      <c r="L803" s="161"/>
      <c r="M803" s="163"/>
      <c r="N803" s="163" t="str">
        <f t="shared" si="16"/>
        <v/>
      </c>
      <c r="O803" s="41"/>
      <c r="P803" s="41"/>
      <c r="Q803" s="161" t="str">
        <f>+IF(OR(O803="Fire Control",O803="Fire Tex 5062",O803="Fire Tex 5090",O803="Fire Tex 5120"),'CALCULO PINTURA'!P804," ")</f>
        <v xml:space="preserve"> </v>
      </c>
      <c r="R803" s="164" t="str">
        <f>+IF(OR(O803="Fire Control",O803="Fire Tex 5062",O803="Fire Tex 5090",O803="Fire Tex 5120"),'CALCULO PINTURA'!R804," ")</f>
        <v xml:space="preserve"> </v>
      </c>
      <c r="S803" s="164" t="str">
        <f>+IF(OR(O803="Fire Control",O803="Fire Tex 5062",O803="Fire Tex 5090",O803="Fire Tex 5120"),'CALCULO PINTURA'!S804," ")</f>
        <v xml:space="preserve"> </v>
      </c>
      <c r="T803" s="874" t="str">
        <f>+IF(OR(O803="Blaze Shield II",O803="Cafco 400",O803="Cafco 300"),'CALCULO MORTERO'!N809," ")</f>
        <v xml:space="preserve"> </v>
      </c>
      <c r="U803" s="875" t="str">
        <f>+IF(OR(O803="Blaze Shield II",O803="Cafco 400",O803="Cafco 300"),'CALCULO MORTERO'!O809," ")</f>
        <v xml:space="preserve"> </v>
      </c>
      <c r="V803" s="161" t="str" cm="1">
        <f t="array" ref="V803">_xlfn.IFS(O803="Blaze Shield II",'CALCULO MORTERO'!P804, O803="Cafco 400",'CALCULO MORTERO'!Q804,O803="Cafco 300",'CALCULO MORTERO'!S804, AND(OR(O803="Fire tex 5090", O803="Fire Tex 5062", O803="Fire Tex 5120", O803="Fire Control"),Q803&gt;0), "CERT.",TRUE,"-")</f>
        <v>-</v>
      </c>
    </row>
    <row r="804" spans="1:22" x14ac:dyDescent="0.25">
      <c r="A804" s="903"/>
      <c r="B804" s="907"/>
      <c r="C804" s="874"/>
      <c r="D804" s="874"/>
      <c r="E804" s="874"/>
      <c r="F804" s="905"/>
      <c r="G804" s="874"/>
      <c r="H804" s="874"/>
      <c r="I804" s="906"/>
      <c r="J804" s="162"/>
      <c r="K804" s="161"/>
      <c r="L804" s="161"/>
      <c r="M804" s="163"/>
      <c r="N804" s="163" t="str">
        <f t="shared" si="16"/>
        <v/>
      </c>
      <c r="O804" s="41"/>
      <c r="P804" s="41"/>
      <c r="Q804" s="161" t="str">
        <f>+IF(OR(O804="Fire Control",O804="Fire Tex 5062",O804="Fire Tex 5090",O804="Fire Tex 5120"),'CALCULO PINTURA'!P805," ")</f>
        <v xml:space="preserve"> </v>
      </c>
      <c r="R804" s="164" t="str">
        <f>+IF(OR(O804="Fire Control",O804="Fire Tex 5062",O804="Fire Tex 5090",O804="Fire Tex 5120"),'CALCULO PINTURA'!R805," ")</f>
        <v xml:space="preserve"> </v>
      </c>
      <c r="S804" s="164" t="str">
        <f>+IF(OR(O804="Fire Control",O804="Fire Tex 5062",O804="Fire Tex 5090",O804="Fire Tex 5120"),'CALCULO PINTURA'!S805," ")</f>
        <v xml:space="preserve"> </v>
      </c>
      <c r="T804" s="874" t="str">
        <f>+IF(OR(O804="Blaze Shield II",O804="Cafco 400",O804="Cafco 300"),'CALCULO MORTERO'!N810," ")</f>
        <v xml:space="preserve"> </v>
      </c>
      <c r="U804" s="875" t="str">
        <f>+IF(OR(O804="Blaze Shield II",O804="Cafco 400",O804="Cafco 300"),'CALCULO MORTERO'!O810," ")</f>
        <v xml:space="preserve"> </v>
      </c>
      <c r="V804" s="161" t="str" cm="1">
        <f t="array" ref="V804">_xlfn.IFS(O804="Blaze Shield II",'CALCULO MORTERO'!P805, O804="Cafco 400",'CALCULO MORTERO'!Q805,O804="Cafco 300",'CALCULO MORTERO'!S805, AND(OR(O804="Fire tex 5090", O804="Fire Tex 5062", O804="Fire Tex 5120", O804="Fire Control"),Q804&gt;0), "CERT.",TRUE,"-")</f>
        <v>-</v>
      </c>
    </row>
    <row r="805" spans="1:22" x14ac:dyDescent="0.25">
      <c r="A805" s="903"/>
      <c r="B805" s="907"/>
      <c r="C805" s="874"/>
      <c r="D805" s="874"/>
      <c r="E805" s="874"/>
      <c r="F805" s="905"/>
      <c r="G805" s="874"/>
      <c r="H805" s="874"/>
      <c r="I805" s="906"/>
      <c r="J805" s="162"/>
      <c r="K805" s="161"/>
      <c r="L805" s="161"/>
      <c r="M805" s="163"/>
      <c r="N805" s="163" t="str">
        <f t="shared" si="16"/>
        <v/>
      </c>
      <c r="O805" s="41"/>
      <c r="P805" s="41"/>
      <c r="Q805" s="161" t="str">
        <f>+IF(OR(O805="Fire Control",O805="Fire Tex 5062",O805="Fire Tex 5090",O805="Fire Tex 5120"),'CALCULO PINTURA'!P806," ")</f>
        <v xml:space="preserve"> </v>
      </c>
      <c r="R805" s="164" t="str">
        <f>+IF(OR(O805="Fire Control",O805="Fire Tex 5062",O805="Fire Tex 5090",O805="Fire Tex 5120"),'CALCULO PINTURA'!R806," ")</f>
        <v xml:space="preserve"> </v>
      </c>
      <c r="S805" s="164" t="str">
        <f>+IF(OR(O805="Fire Control",O805="Fire Tex 5062",O805="Fire Tex 5090",O805="Fire Tex 5120"),'CALCULO PINTURA'!S806," ")</f>
        <v xml:space="preserve"> </v>
      </c>
      <c r="T805" s="874" t="str">
        <f>+IF(OR(O805="Blaze Shield II",O805="Cafco 400",O805="Cafco 300"),'CALCULO MORTERO'!N811," ")</f>
        <v xml:space="preserve"> </v>
      </c>
      <c r="U805" s="875" t="str">
        <f>+IF(OR(O805="Blaze Shield II",O805="Cafco 400",O805="Cafco 300"),'CALCULO MORTERO'!O811," ")</f>
        <v xml:space="preserve"> </v>
      </c>
      <c r="V805" s="161" t="str" cm="1">
        <f t="array" ref="V805">_xlfn.IFS(O805="Blaze Shield II",'CALCULO MORTERO'!P806, O805="Cafco 400",'CALCULO MORTERO'!Q806,O805="Cafco 300",'CALCULO MORTERO'!S806, AND(OR(O805="Fire tex 5090", O805="Fire Tex 5062", O805="Fire Tex 5120", O805="Fire Control"),Q805&gt;0), "CERT.",TRUE,"-")</f>
        <v>-</v>
      </c>
    </row>
    <row r="806" spans="1:22" x14ac:dyDescent="0.25">
      <c r="A806" s="903"/>
      <c r="B806" s="907"/>
      <c r="C806" s="874"/>
      <c r="D806" s="874"/>
      <c r="E806" s="874"/>
      <c r="F806" s="905"/>
      <c r="G806" s="874"/>
      <c r="H806" s="874"/>
      <c r="I806" s="906"/>
      <c r="J806" s="162"/>
      <c r="K806" s="161"/>
      <c r="L806" s="161"/>
      <c r="M806" s="163"/>
      <c r="N806" s="163" t="str">
        <f t="shared" si="16"/>
        <v/>
      </c>
      <c r="O806" s="41"/>
      <c r="P806" s="41"/>
      <c r="Q806" s="161" t="str">
        <f>+IF(OR(O806="Fire Control",O806="Fire Tex 5062",O806="Fire Tex 5090",O806="Fire Tex 5120"),'CALCULO PINTURA'!P807," ")</f>
        <v xml:space="preserve"> </v>
      </c>
      <c r="R806" s="164" t="str">
        <f>+IF(OR(O806="Fire Control",O806="Fire Tex 5062",O806="Fire Tex 5090",O806="Fire Tex 5120"),'CALCULO PINTURA'!R807," ")</f>
        <v xml:space="preserve"> </v>
      </c>
      <c r="S806" s="164" t="str">
        <f>+IF(OR(O806="Fire Control",O806="Fire Tex 5062",O806="Fire Tex 5090",O806="Fire Tex 5120"),'CALCULO PINTURA'!S807," ")</f>
        <v xml:space="preserve"> </v>
      </c>
      <c r="T806" s="874" t="str">
        <f>+IF(OR(O806="Blaze Shield II",O806="Cafco 400",O806="Cafco 300"),'CALCULO MORTERO'!N812," ")</f>
        <v xml:space="preserve"> </v>
      </c>
      <c r="U806" s="875" t="str">
        <f>+IF(OR(O806="Blaze Shield II",O806="Cafco 400",O806="Cafco 300"),'CALCULO MORTERO'!O812," ")</f>
        <v xml:space="preserve"> </v>
      </c>
      <c r="V806" s="161" t="str" cm="1">
        <f t="array" ref="V806">_xlfn.IFS(O806="Blaze Shield II",'CALCULO MORTERO'!P807, O806="Cafco 400",'CALCULO MORTERO'!Q807,O806="Cafco 300",'CALCULO MORTERO'!S807, AND(OR(O806="Fire tex 5090", O806="Fire Tex 5062", O806="Fire Tex 5120", O806="Fire Control"),Q806&gt;0), "CERT.",TRUE,"-")</f>
        <v>-</v>
      </c>
    </row>
    <row r="807" spans="1:22" x14ac:dyDescent="0.25">
      <c r="A807" s="903"/>
      <c r="B807" s="907"/>
      <c r="C807" s="874"/>
      <c r="D807" s="874"/>
      <c r="E807" s="874"/>
      <c r="F807" s="905"/>
      <c r="G807" s="874"/>
      <c r="H807" s="874"/>
      <c r="I807" s="906"/>
      <c r="J807" s="162"/>
      <c r="K807" s="161"/>
      <c r="L807" s="161"/>
      <c r="M807" s="163"/>
      <c r="N807" s="163" t="str">
        <f t="shared" si="16"/>
        <v/>
      </c>
      <c r="O807" s="41"/>
      <c r="P807" s="41"/>
      <c r="Q807" s="161" t="str">
        <f>+IF(OR(O807="Fire Control",O807="Fire Tex 5062",O807="Fire Tex 5090",O807="Fire Tex 5120"),'CALCULO PINTURA'!P808," ")</f>
        <v xml:space="preserve"> </v>
      </c>
      <c r="R807" s="164" t="str">
        <f>+IF(OR(O807="Fire Control",O807="Fire Tex 5062",O807="Fire Tex 5090",O807="Fire Tex 5120"),'CALCULO PINTURA'!R808," ")</f>
        <v xml:space="preserve"> </v>
      </c>
      <c r="S807" s="164" t="str">
        <f>+IF(OR(O807="Fire Control",O807="Fire Tex 5062",O807="Fire Tex 5090",O807="Fire Tex 5120"),'CALCULO PINTURA'!S808," ")</f>
        <v xml:space="preserve"> </v>
      </c>
      <c r="T807" s="874" t="str">
        <f>+IF(OR(O807="Blaze Shield II",O807="Cafco 400",O807="Cafco 300"),'CALCULO MORTERO'!N813," ")</f>
        <v xml:space="preserve"> </v>
      </c>
      <c r="U807" s="875" t="str">
        <f>+IF(OR(O807="Blaze Shield II",O807="Cafco 400",O807="Cafco 300"),'CALCULO MORTERO'!O813," ")</f>
        <v xml:space="preserve"> </v>
      </c>
      <c r="V807" s="161" t="str" cm="1">
        <f t="array" ref="V807">_xlfn.IFS(O807="Blaze Shield II",'CALCULO MORTERO'!P808, O807="Cafco 400",'CALCULO MORTERO'!Q808,O807="Cafco 300",'CALCULO MORTERO'!S808, AND(OR(O807="Fire tex 5090", O807="Fire Tex 5062", O807="Fire Tex 5120", O807="Fire Control"),Q807&gt;0), "CERT.",TRUE,"-")</f>
        <v>-</v>
      </c>
    </row>
    <row r="808" spans="1:22" x14ac:dyDescent="0.25">
      <c r="A808" s="903"/>
      <c r="B808" s="907"/>
      <c r="C808" s="874"/>
      <c r="D808" s="874"/>
      <c r="E808" s="874"/>
      <c r="F808" s="905"/>
      <c r="G808" s="874"/>
      <c r="H808" s="874"/>
      <c r="I808" s="906"/>
      <c r="J808" s="162"/>
      <c r="K808" s="161"/>
      <c r="L808" s="161"/>
      <c r="M808" s="163"/>
      <c r="N808" s="163" t="str">
        <f t="shared" si="16"/>
        <v/>
      </c>
      <c r="O808" s="41"/>
      <c r="P808" s="41"/>
      <c r="Q808" s="161" t="str">
        <f>+IF(OR(O808="Fire Control",O808="Fire Tex 5062",O808="Fire Tex 5090",O808="Fire Tex 5120"),'CALCULO PINTURA'!P809," ")</f>
        <v xml:space="preserve"> </v>
      </c>
      <c r="R808" s="164" t="str">
        <f>+IF(OR(O808="Fire Control",O808="Fire Tex 5062",O808="Fire Tex 5090",O808="Fire Tex 5120"),'CALCULO PINTURA'!R809," ")</f>
        <v xml:space="preserve"> </v>
      </c>
      <c r="S808" s="164" t="str">
        <f>+IF(OR(O808="Fire Control",O808="Fire Tex 5062",O808="Fire Tex 5090",O808="Fire Tex 5120"),'CALCULO PINTURA'!S809," ")</f>
        <v xml:space="preserve"> </v>
      </c>
      <c r="T808" s="874" t="str">
        <f>+IF(OR(O808="Blaze Shield II",O808="Cafco 400",O808="Cafco 300"),'CALCULO MORTERO'!N814," ")</f>
        <v xml:space="preserve"> </v>
      </c>
      <c r="U808" s="875" t="str">
        <f>+IF(OR(O808="Blaze Shield II",O808="Cafco 400",O808="Cafco 300"),'CALCULO MORTERO'!O814," ")</f>
        <v xml:space="preserve"> </v>
      </c>
      <c r="V808" s="161" t="str" cm="1">
        <f t="array" ref="V808">_xlfn.IFS(O808="Blaze Shield II",'CALCULO MORTERO'!P809, O808="Cafco 400",'CALCULO MORTERO'!Q809,O808="Cafco 300",'CALCULO MORTERO'!S809, AND(OR(O808="Fire tex 5090", O808="Fire Tex 5062", O808="Fire Tex 5120", O808="Fire Control"),Q808&gt;0), "CERT.",TRUE,"-")</f>
        <v>-</v>
      </c>
    </row>
    <row r="809" spans="1:22" x14ac:dyDescent="0.25">
      <c r="A809" s="903"/>
      <c r="B809" s="907"/>
      <c r="C809" s="874"/>
      <c r="D809" s="874"/>
      <c r="E809" s="874"/>
      <c r="F809" s="905"/>
      <c r="G809" s="874"/>
      <c r="H809" s="874"/>
      <c r="I809" s="906"/>
      <c r="J809" s="162"/>
      <c r="K809" s="161"/>
      <c r="L809" s="161"/>
      <c r="M809" s="163"/>
      <c r="N809" s="163" t="str">
        <f t="shared" si="16"/>
        <v/>
      </c>
      <c r="O809" s="41"/>
      <c r="P809" s="41"/>
      <c r="Q809" s="161" t="str">
        <f>+IF(OR(O809="Fire Control",O809="Fire Tex 5062",O809="Fire Tex 5090",O809="Fire Tex 5120"),'CALCULO PINTURA'!P810," ")</f>
        <v xml:space="preserve"> </v>
      </c>
      <c r="R809" s="164" t="str">
        <f>+IF(OR(O809="Fire Control",O809="Fire Tex 5062",O809="Fire Tex 5090",O809="Fire Tex 5120"),'CALCULO PINTURA'!R810," ")</f>
        <v xml:space="preserve"> </v>
      </c>
      <c r="S809" s="164" t="str">
        <f>+IF(OR(O809="Fire Control",O809="Fire Tex 5062",O809="Fire Tex 5090",O809="Fire Tex 5120"),'CALCULO PINTURA'!S810," ")</f>
        <v xml:space="preserve"> </v>
      </c>
      <c r="T809" s="874" t="str">
        <f>+IF(OR(O809="Blaze Shield II",O809="Cafco 400",O809="Cafco 300"),'CALCULO MORTERO'!N815," ")</f>
        <v xml:space="preserve"> </v>
      </c>
      <c r="U809" s="875" t="str">
        <f>+IF(OR(O809="Blaze Shield II",O809="Cafco 400",O809="Cafco 300"),'CALCULO MORTERO'!O815," ")</f>
        <v xml:space="preserve"> </v>
      </c>
      <c r="V809" s="161" t="str" cm="1">
        <f t="array" ref="V809">_xlfn.IFS(O809="Blaze Shield II",'CALCULO MORTERO'!P810, O809="Cafco 400",'CALCULO MORTERO'!Q810,O809="Cafco 300",'CALCULO MORTERO'!S810, AND(OR(O809="Fire tex 5090", O809="Fire Tex 5062", O809="Fire Tex 5120", O809="Fire Control"),Q809&gt;0), "CERT.",TRUE,"-")</f>
        <v>-</v>
      </c>
    </row>
    <row r="810" spans="1:22" x14ac:dyDescent="0.25">
      <c r="A810" s="903"/>
      <c r="B810" s="907"/>
      <c r="C810" s="874"/>
      <c r="D810" s="874"/>
      <c r="E810" s="874"/>
      <c r="F810" s="905"/>
      <c r="G810" s="874"/>
      <c r="H810" s="874"/>
      <c r="I810" s="906"/>
      <c r="J810" s="162"/>
      <c r="K810" s="161"/>
      <c r="L810" s="161"/>
      <c r="M810" s="163"/>
      <c r="N810" s="163" t="str">
        <f t="shared" si="16"/>
        <v/>
      </c>
      <c r="O810" s="41"/>
      <c r="P810" s="41"/>
      <c r="Q810" s="161" t="str">
        <f>+IF(OR(O810="Fire Control",O810="Fire Tex 5062",O810="Fire Tex 5090",O810="Fire Tex 5120"),'CALCULO PINTURA'!P811," ")</f>
        <v xml:space="preserve"> </v>
      </c>
      <c r="R810" s="164" t="str">
        <f>+IF(OR(O810="Fire Control",O810="Fire Tex 5062",O810="Fire Tex 5090",O810="Fire Tex 5120"),'CALCULO PINTURA'!R811," ")</f>
        <v xml:space="preserve"> </v>
      </c>
      <c r="S810" s="164" t="str">
        <f>+IF(OR(O810="Fire Control",O810="Fire Tex 5062",O810="Fire Tex 5090",O810="Fire Tex 5120"),'CALCULO PINTURA'!S811," ")</f>
        <v xml:space="preserve"> </v>
      </c>
      <c r="T810" s="874" t="str">
        <f>+IF(OR(O810="Blaze Shield II",O810="Cafco 400",O810="Cafco 300"),'CALCULO MORTERO'!N816," ")</f>
        <v xml:space="preserve"> </v>
      </c>
      <c r="U810" s="875" t="str">
        <f>+IF(OR(O810="Blaze Shield II",O810="Cafco 400",O810="Cafco 300"),'CALCULO MORTERO'!O816," ")</f>
        <v xml:space="preserve"> </v>
      </c>
      <c r="V810" s="161" t="str" cm="1">
        <f t="array" ref="V810">_xlfn.IFS(O810="Blaze Shield II",'CALCULO MORTERO'!P811, O810="Cafco 400",'CALCULO MORTERO'!Q811,O810="Cafco 300",'CALCULO MORTERO'!S811, AND(OR(O810="Fire tex 5090", O810="Fire Tex 5062", O810="Fire Tex 5120", O810="Fire Control"),Q810&gt;0), "CERT.",TRUE,"-")</f>
        <v>-</v>
      </c>
    </row>
    <row r="811" spans="1:22" x14ac:dyDescent="0.25">
      <c r="A811" s="903"/>
      <c r="B811" s="907"/>
      <c r="C811" s="874"/>
      <c r="D811" s="874"/>
      <c r="E811" s="874"/>
      <c r="F811" s="905"/>
      <c r="G811" s="874"/>
      <c r="H811" s="874"/>
      <c r="I811" s="906"/>
      <c r="J811" s="162"/>
      <c r="K811" s="161"/>
      <c r="L811" s="161"/>
      <c r="M811" s="163"/>
      <c r="N811" s="163" t="str">
        <f t="shared" si="16"/>
        <v/>
      </c>
      <c r="O811" s="41"/>
      <c r="P811" s="41"/>
      <c r="Q811" s="161" t="str">
        <f>+IF(OR(O811="Fire Control",O811="Fire Tex 5062",O811="Fire Tex 5090",O811="Fire Tex 5120"),'CALCULO PINTURA'!P812," ")</f>
        <v xml:space="preserve"> </v>
      </c>
      <c r="R811" s="164" t="str">
        <f>+IF(OR(O811="Fire Control",O811="Fire Tex 5062",O811="Fire Tex 5090",O811="Fire Tex 5120"),'CALCULO PINTURA'!R812," ")</f>
        <v xml:space="preserve"> </v>
      </c>
      <c r="S811" s="164" t="str">
        <f>+IF(OR(O811="Fire Control",O811="Fire Tex 5062",O811="Fire Tex 5090",O811="Fire Tex 5120"),'CALCULO PINTURA'!S812," ")</f>
        <v xml:space="preserve"> </v>
      </c>
      <c r="T811" s="874" t="str">
        <f>+IF(OR(O811="Blaze Shield II",O811="Cafco 400",O811="Cafco 300"),'CALCULO MORTERO'!N817," ")</f>
        <v xml:space="preserve"> </v>
      </c>
      <c r="U811" s="875" t="str">
        <f>+IF(OR(O811="Blaze Shield II",O811="Cafco 400",O811="Cafco 300"),'CALCULO MORTERO'!O817," ")</f>
        <v xml:space="preserve"> </v>
      </c>
      <c r="V811" s="161" t="str" cm="1">
        <f t="array" ref="V811">_xlfn.IFS(O811="Blaze Shield II",'CALCULO MORTERO'!P812, O811="Cafco 400",'CALCULO MORTERO'!Q812,O811="Cafco 300",'CALCULO MORTERO'!S812, AND(OR(O811="Fire tex 5090", O811="Fire Tex 5062", O811="Fire Tex 5120", O811="Fire Control"),Q811&gt;0), "CERT.",TRUE,"-")</f>
        <v>-</v>
      </c>
    </row>
    <row r="812" spans="1:22" x14ac:dyDescent="0.25">
      <c r="A812" s="903"/>
      <c r="B812" s="907"/>
      <c r="C812" s="874"/>
      <c r="D812" s="874"/>
      <c r="E812" s="874"/>
      <c r="F812" s="905"/>
      <c r="G812" s="874"/>
      <c r="H812" s="874"/>
      <c r="I812" s="906"/>
      <c r="J812" s="162"/>
      <c r="K812" s="161"/>
      <c r="L812" s="161"/>
      <c r="M812" s="163"/>
      <c r="N812" s="163" t="str">
        <f t="shared" si="16"/>
        <v/>
      </c>
      <c r="O812" s="41"/>
      <c r="P812" s="41"/>
      <c r="Q812" s="161" t="str">
        <f>+IF(OR(O812="Fire Control",O812="Fire Tex 5062",O812="Fire Tex 5090",O812="Fire Tex 5120"),'CALCULO PINTURA'!P813," ")</f>
        <v xml:space="preserve"> </v>
      </c>
      <c r="R812" s="164" t="str">
        <f>+IF(OR(O812="Fire Control",O812="Fire Tex 5062",O812="Fire Tex 5090",O812="Fire Tex 5120"),'CALCULO PINTURA'!R813," ")</f>
        <v xml:space="preserve"> </v>
      </c>
      <c r="S812" s="164" t="str">
        <f>+IF(OR(O812="Fire Control",O812="Fire Tex 5062",O812="Fire Tex 5090",O812="Fire Tex 5120"),'CALCULO PINTURA'!S813," ")</f>
        <v xml:space="preserve"> </v>
      </c>
      <c r="T812" s="874" t="str">
        <f>+IF(OR(O812="Blaze Shield II",O812="Cafco 400",O812="Cafco 300"),'CALCULO MORTERO'!N818," ")</f>
        <v xml:space="preserve"> </v>
      </c>
      <c r="U812" s="875" t="str">
        <f>+IF(OR(O812="Blaze Shield II",O812="Cafco 400",O812="Cafco 300"),'CALCULO MORTERO'!O818," ")</f>
        <v xml:space="preserve"> </v>
      </c>
      <c r="V812" s="161" t="str" cm="1">
        <f t="array" ref="V812">_xlfn.IFS(O812="Blaze Shield II",'CALCULO MORTERO'!P813, O812="Cafco 400",'CALCULO MORTERO'!Q813,O812="Cafco 300",'CALCULO MORTERO'!S813, AND(OR(O812="Fire tex 5090", O812="Fire Tex 5062", O812="Fire Tex 5120", O812="Fire Control"),Q812&gt;0), "CERT.",TRUE,"-")</f>
        <v>-</v>
      </c>
    </row>
    <row r="813" spans="1:22" x14ac:dyDescent="0.25">
      <c r="A813" s="903"/>
      <c r="B813" s="907"/>
      <c r="C813" s="874"/>
      <c r="D813" s="874"/>
      <c r="E813" s="874"/>
      <c r="F813" s="905"/>
      <c r="G813" s="874"/>
      <c r="H813" s="874"/>
      <c r="I813" s="906"/>
      <c r="J813" s="162"/>
      <c r="K813" s="161"/>
      <c r="L813" s="161"/>
      <c r="M813" s="163"/>
      <c r="N813" s="163" t="str">
        <f t="shared" si="16"/>
        <v/>
      </c>
      <c r="O813" s="41"/>
      <c r="P813" s="41"/>
      <c r="Q813" s="161" t="str">
        <f>+IF(OR(O813="Fire Control",O813="Fire Tex 5062",O813="Fire Tex 5090",O813="Fire Tex 5120"),'CALCULO PINTURA'!P814," ")</f>
        <v xml:space="preserve"> </v>
      </c>
      <c r="R813" s="164" t="str">
        <f>+IF(OR(O813="Fire Control",O813="Fire Tex 5062",O813="Fire Tex 5090",O813="Fire Tex 5120"),'CALCULO PINTURA'!R814," ")</f>
        <v xml:space="preserve"> </v>
      </c>
      <c r="S813" s="164" t="str">
        <f>+IF(OR(O813="Fire Control",O813="Fire Tex 5062",O813="Fire Tex 5090",O813="Fire Tex 5120"),'CALCULO PINTURA'!S814," ")</f>
        <v xml:space="preserve"> </v>
      </c>
      <c r="T813" s="874" t="str">
        <f>+IF(OR(O813="Blaze Shield II",O813="Cafco 400",O813="Cafco 300"),'CALCULO MORTERO'!N819," ")</f>
        <v xml:space="preserve"> </v>
      </c>
      <c r="U813" s="875" t="str">
        <f>+IF(OR(O813="Blaze Shield II",O813="Cafco 400",O813="Cafco 300"),'CALCULO MORTERO'!O819," ")</f>
        <v xml:space="preserve"> </v>
      </c>
      <c r="V813" s="161" t="str" cm="1">
        <f t="array" ref="V813">_xlfn.IFS(O813="Blaze Shield II",'CALCULO MORTERO'!P814, O813="Cafco 400",'CALCULO MORTERO'!Q814,O813="Cafco 300",'CALCULO MORTERO'!S814, AND(OR(O813="Fire tex 5090", O813="Fire Tex 5062", O813="Fire Tex 5120", O813="Fire Control"),Q813&gt;0), "CERT.",TRUE,"-")</f>
        <v>-</v>
      </c>
    </row>
    <row r="814" spans="1:22" x14ac:dyDescent="0.25">
      <c r="A814" s="903"/>
      <c r="B814" s="907"/>
      <c r="C814" s="874"/>
      <c r="D814" s="874"/>
      <c r="E814" s="874"/>
      <c r="F814" s="905"/>
      <c r="G814" s="874"/>
      <c r="H814" s="874"/>
      <c r="I814" s="906"/>
      <c r="J814" s="162"/>
      <c r="K814" s="161"/>
      <c r="L814" s="161"/>
      <c r="M814" s="163"/>
      <c r="N814" s="163" t="str">
        <f t="shared" si="16"/>
        <v/>
      </c>
      <c r="O814" s="41"/>
      <c r="P814" s="41"/>
      <c r="Q814" s="161" t="str">
        <f>+IF(OR(O814="Fire Control",O814="Fire Tex 5062",O814="Fire Tex 5090",O814="Fire Tex 5120"),'CALCULO PINTURA'!P815," ")</f>
        <v xml:space="preserve"> </v>
      </c>
      <c r="R814" s="164" t="str">
        <f>+IF(OR(O814="Fire Control",O814="Fire Tex 5062",O814="Fire Tex 5090",O814="Fire Tex 5120"),'CALCULO PINTURA'!R815," ")</f>
        <v xml:space="preserve"> </v>
      </c>
      <c r="S814" s="164" t="str">
        <f>+IF(OR(O814="Fire Control",O814="Fire Tex 5062",O814="Fire Tex 5090",O814="Fire Tex 5120"),'CALCULO PINTURA'!S815," ")</f>
        <v xml:space="preserve"> </v>
      </c>
      <c r="T814" s="874" t="str">
        <f>+IF(OR(O814="Blaze Shield II",O814="Cafco 400",O814="Cafco 300"),'CALCULO MORTERO'!N820," ")</f>
        <v xml:space="preserve"> </v>
      </c>
      <c r="U814" s="875" t="str">
        <f>+IF(OR(O814="Blaze Shield II",O814="Cafco 400",O814="Cafco 300"),'CALCULO MORTERO'!O820," ")</f>
        <v xml:space="preserve"> </v>
      </c>
      <c r="V814" s="161" t="str" cm="1">
        <f t="array" ref="V814">_xlfn.IFS(O814="Blaze Shield II",'CALCULO MORTERO'!P815, O814="Cafco 400",'CALCULO MORTERO'!Q815,O814="Cafco 300",'CALCULO MORTERO'!S815, AND(OR(O814="Fire tex 5090", O814="Fire Tex 5062", O814="Fire Tex 5120", O814="Fire Control"),Q814&gt;0), "CERT.",TRUE,"-")</f>
        <v>-</v>
      </c>
    </row>
    <row r="815" spans="1:22" x14ac:dyDescent="0.25">
      <c r="A815" s="903"/>
      <c r="B815" s="907"/>
      <c r="C815" s="874"/>
      <c r="D815" s="874"/>
      <c r="E815" s="874"/>
      <c r="F815" s="905"/>
      <c r="G815" s="874"/>
      <c r="H815" s="874"/>
      <c r="I815" s="906"/>
      <c r="J815" s="162"/>
      <c r="K815" s="161"/>
      <c r="L815" s="161"/>
      <c r="M815" s="163"/>
      <c r="N815" s="163" t="str">
        <f t="shared" si="16"/>
        <v/>
      </c>
      <c r="O815" s="41"/>
      <c r="P815" s="41"/>
      <c r="Q815" s="161" t="str">
        <f>+IF(OR(O815="Fire Control",O815="Fire Tex 5062",O815="Fire Tex 5090",O815="Fire Tex 5120"),'CALCULO PINTURA'!P816," ")</f>
        <v xml:space="preserve"> </v>
      </c>
      <c r="R815" s="164" t="str">
        <f>+IF(OR(O815="Fire Control",O815="Fire Tex 5062",O815="Fire Tex 5090",O815="Fire Tex 5120"),'CALCULO PINTURA'!R816," ")</f>
        <v xml:space="preserve"> </v>
      </c>
      <c r="S815" s="164" t="str">
        <f>+IF(OR(O815="Fire Control",O815="Fire Tex 5062",O815="Fire Tex 5090",O815="Fire Tex 5120"),'CALCULO PINTURA'!S816," ")</f>
        <v xml:space="preserve"> </v>
      </c>
      <c r="T815" s="874" t="str">
        <f>+IF(OR(O815="Blaze Shield II",O815="Cafco 400",O815="Cafco 300"),'CALCULO MORTERO'!N821," ")</f>
        <v xml:space="preserve"> </v>
      </c>
      <c r="U815" s="875" t="str">
        <f>+IF(OR(O815="Blaze Shield II",O815="Cafco 400",O815="Cafco 300"),'CALCULO MORTERO'!O821," ")</f>
        <v xml:space="preserve"> </v>
      </c>
      <c r="V815" s="161" t="str" cm="1">
        <f t="array" ref="V815">_xlfn.IFS(O815="Blaze Shield II",'CALCULO MORTERO'!P816, O815="Cafco 400",'CALCULO MORTERO'!Q816,O815="Cafco 300",'CALCULO MORTERO'!S816, AND(OR(O815="Fire tex 5090", O815="Fire Tex 5062", O815="Fire Tex 5120", O815="Fire Control"),Q815&gt;0), "CERT.",TRUE,"-")</f>
        <v>-</v>
      </c>
    </row>
    <row r="816" spans="1:22" x14ac:dyDescent="0.25">
      <c r="A816" s="903"/>
      <c r="B816" s="907"/>
      <c r="C816" s="874"/>
      <c r="D816" s="874"/>
      <c r="E816" s="874"/>
      <c r="F816" s="905"/>
      <c r="G816" s="874"/>
      <c r="H816" s="874"/>
      <c r="I816" s="906"/>
      <c r="J816" s="162"/>
      <c r="K816" s="161"/>
      <c r="L816" s="161"/>
      <c r="M816" s="163"/>
      <c r="N816" s="163" t="str">
        <f t="shared" si="16"/>
        <v/>
      </c>
      <c r="O816" s="41"/>
      <c r="P816" s="41"/>
      <c r="Q816" s="161" t="str">
        <f>+IF(OR(O816="Fire Control",O816="Fire Tex 5062",O816="Fire Tex 5090",O816="Fire Tex 5120"),'CALCULO PINTURA'!P817," ")</f>
        <v xml:space="preserve"> </v>
      </c>
      <c r="R816" s="164" t="str">
        <f>+IF(OR(O816="Fire Control",O816="Fire Tex 5062",O816="Fire Tex 5090",O816="Fire Tex 5120"),'CALCULO PINTURA'!R817," ")</f>
        <v xml:space="preserve"> </v>
      </c>
      <c r="S816" s="164" t="str">
        <f>+IF(OR(O816="Fire Control",O816="Fire Tex 5062",O816="Fire Tex 5090",O816="Fire Tex 5120"),'CALCULO PINTURA'!S817," ")</f>
        <v xml:space="preserve"> </v>
      </c>
      <c r="T816" s="874" t="str">
        <f>+IF(OR(O816="Blaze Shield II",O816="Cafco 400",O816="Cafco 300"),'CALCULO MORTERO'!N822," ")</f>
        <v xml:space="preserve"> </v>
      </c>
      <c r="U816" s="875" t="str">
        <f>+IF(OR(O816="Blaze Shield II",O816="Cafco 400",O816="Cafco 300"),'CALCULO MORTERO'!O822," ")</f>
        <v xml:space="preserve"> </v>
      </c>
      <c r="V816" s="161" t="str" cm="1">
        <f t="array" ref="V816">_xlfn.IFS(O816="Blaze Shield II",'CALCULO MORTERO'!P817, O816="Cafco 400",'CALCULO MORTERO'!Q817,O816="Cafco 300",'CALCULO MORTERO'!S817, AND(OR(O816="Fire tex 5090", O816="Fire Tex 5062", O816="Fire Tex 5120", O816="Fire Control"),Q816&gt;0), "CERT.",TRUE,"-")</f>
        <v>-</v>
      </c>
    </row>
    <row r="817" spans="1:22" x14ac:dyDescent="0.25">
      <c r="A817" s="903"/>
      <c r="B817" s="907"/>
      <c r="C817" s="874"/>
      <c r="D817" s="874"/>
      <c r="E817" s="874"/>
      <c r="F817" s="905"/>
      <c r="G817" s="874"/>
      <c r="H817" s="874"/>
      <c r="I817" s="906"/>
      <c r="J817" s="162"/>
      <c r="K817" s="161"/>
      <c r="L817" s="161"/>
      <c r="M817" s="163"/>
      <c r="N817" s="163" t="str">
        <f t="shared" si="16"/>
        <v/>
      </c>
      <c r="O817" s="41"/>
      <c r="P817" s="41"/>
      <c r="Q817" s="161" t="str">
        <f>+IF(OR(O817="Fire Control",O817="Fire Tex 5062",O817="Fire Tex 5090",O817="Fire Tex 5120"),'CALCULO PINTURA'!P818," ")</f>
        <v xml:space="preserve"> </v>
      </c>
      <c r="R817" s="164" t="str">
        <f>+IF(OR(O817="Fire Control",O817="Fire Tex 5062",O817="Fire Tex 5090",O817="Fire Tex 5120"),'CALCULO PINTURA'!R818," ")</f>
        <v xml:space="preserve"> </v>
      </c>
      <c r="S817" s="164" t="str">
        <f>+IF(OR(O817="Fire Control",O817="Fire Tex 5062",O817="Fire Tex 5090",O817="Fire Tex 5120"),'CALCULO PINTURA'!S818," ")</f>
        <v xml:space="preserve"> </v>
      </c>
      <c r="T817" s="874" t="str">
        <f>+IF(OR(O817="Blaze Shield II",O817="Cafco 400",O817="Cafco 300"),'CALCULO MORTERO'!N823," ")</f>
        <v xml:space="preserve"> </v>
      </c>
      <c r="U817" s="875" t="str">
        <f>+IF(OR(O817="Blaze Shield II",O817="Cafco 400",O817="Cafco 300"),'CALCULO MORTERO'!O823," ")</f>
        <v xml:space="preserve"> </v>
      </c>
      <c r="V817" s="161" t="str" cm="1">
        <f t="array" ref="V817">_xlfn.IFS(O817="Blaze Shield II",'CALCULO MORTERO'!P818, O817="Cafco 400",'CALCULO MORTERO'!Q818,O817="Cafco 300",'CALCULO MORTERO'!S818, AND(OR(O817="Fire tex 5090", O817="Fire Tex 5062", O817="Fire Tex 5120", O817="Fire Control"),Q817&gt;0), "CERT.",TRUE,"-")</f>
        <v>-</v>
      </c>
    </row>
    <row r="818" spans="1:22" x14ac:dyDescent="0.25">
      <c r="A818" s="903"/>
      <c r="B818" s="907"/>
      <c r="C818" s="874"/>
      <c r="D818" s="874"/>
      <c r="E818" s="874"/>
      <c r="F818" s="905"/>
      <c r="G818" s="874"/>
      <c r="H818" s="874"/>
      <c r="I818" s="906"/>
      <c r="J818" s="162"/>
      <c r="K818" s="161"/>
      <c r="L818" s="161"/>
      <c r="M818" s="163"/>
      <c r="N818" s="163" t="str">
        <f t="shared" si="16"/>
        <v/>
      </c>
      <c r="O818" s="41"/>
      <c r="P818" s="41"/>
      <c r="Q818" s="161" t="str">
        <f>+IF(OR(O818="Fire Control",O818="Fire Tex 5062",O818="Fire Tex 5090",O818="Fire Tex 5120"),'CALCULO PINTURA'!P819," ")</f>
        <v xml:space="preserve"> </v>
      </c>
      <c r="R818" s="164" t="str">
        <f>+IF(OR(O818="Fire Control",O818="Fire Tex 5062",O818="Fire Tex 5090",O818="Fire Tex 5120"),'CALCULO PINTURA'!R819," ")</f>
        <v xml:space="preserve"> </v>
      </c>
      <c r="S818" s="164" t="str">
        <f>+IF(OR(O818="Fire Control",O818="Fire Tex 5062",O818="Fire Tex 5090",O818="Fire Tex 5120"),'CALCULO PINTURA'!S819," ")</f>
        <v xml:space="preserve"> </v>
      </c>
      <c r="T818" s="874" t="str">
        <f>+IF(OR(O818="Blaze Shield II",O818="Cafco 400",O818="Cafco 300"),'CALCULO MORTERO'!N824," ")</f>
        <v xml:space="preserve"> </v>
      </c>
      <c r="U818" s="875" t="str">
        <f>+IF(OR(O818="Blaze Shield II",O818="Cafco 400",O818="Cafco 300"),'CALCULO MORTERO'!O824," ")</f>
        <v xml:space="preserve"> </v>
      </c>
      <c r="V818" s="161" t="str" cm="1">
        <f t="array" ref="V818">_xlfn.IFS(O818="Blaze Shield II",'CALCULO MORTERO'!P819, O818="Cafco 400",'CALCULO MORTERO'!Q819,O818="Cafco 300",'CALCULO MORTERO'!S819, AND(OR(O818="Fire tex 5090", O818="Fire Tex 5062", O818="Fire Tex 5120", O818="Fire Control"),Q818&gt;0), "CERT.",TRUE,"-")</f>
        <v>-</v>
      </c>
    </row>
    <row r="819" spans="1:22" x14ac:dyDescent="0.25">
      <c r="A819" s="903"/>
      <c r="B819" s="907"/>
      <c r="C819" s="874"/>
      <c r="D819" s="874"/>
      <c r="E819" s="874"/>
      <c r="F819" s="905"/>
      <c r="G819" s="874"/>
      <c r="H819" s="874"/>
      <c r="I819" s="906"/>
      <c r="J819" s="162"/>
      <c r="K819" s="161"/>
      <c r="L819" s="161"/>
      <c r="M819" s="163"/>
      <c r="N819" s="163" t="str">
        <f t="shared" si="16"/>
        <v/>
      </c>
      <c r="O819" s="41"/>
      <c r="P819" s="41"/>
      <c r="Q819" s="161" t="str">
        <f>+IF(OR(O819="Fire Control",O819="Fire Tex 5062",O819="Fire Tex 5090",O819="Fire Tex 5120"),'CALCULO PINTURA'!P820," ")</f>
        <v xml:space="preserve"> </v>
      </c>
      <c r="R819" s="164" t="str">
        <f>+IF(OR(O819="Fire Control",O819="Fire Tex 5062",O819="Fire Tex 5090",O819="Fire Tex 5120"),'CALCULO PINTURA'!R820," ")</f>
        <v xml:space="preserve"> </v>
      </c>
      <c r="S819" s="164" t="str">
        <f>+IF(OR(O819="Fire Control",O819="Fire Tex 5062",O819="Fire Tex 5090",O819="Fire Tex 5120"),'CALCULO PINTURA'!S820," ")</f>
        <v xml:space="preserve"> </v>
      </c>
      <c r="T819" s="874" t="str">
        <f>+IF(OR(O819="Blaze Shield II",O819="Cafco 400",O819="Cafco 300"),'CALCULO MORTERO'!N825," ")</f>
        <v xml:space="preserve"> </v>
      </c>
      <c r="U819" s="875" t="str">
        <f>+IF(OR(O819="Blaze Shield II",O819="Cafco 400",O819="Cafco 300"),'CALCULO MORTERO'!O825," ")</f>
        <v xml:space="preserve"> </v>
      </c>
      <c r="V819" s="161" t="str" cm="1">
        <f t="array" ref="V819">_xlfn.IFS(O819="Blaze Shield II",'CALCULO MORTERO'!P820, O819="Cafco 400",'CALCULO MORTERO'!Q820,O819="Cafco 300",'CALCULO MORTERO'!S820, AND(OR(O819="Fire tex 5090", O819="Fire Tex 5062", O819="Fire Tex 5120", O819="Fire Control"),Q819&gt;0), "CERT.",TRUE,"-")</f>
        <v>-</v>
      </c>
    </row>
    <row r="820" spans="1:22" x14ac:dyDescent="0.25">
      <c r="A820" s="903"/>
      <c r="B820" s="907"/>
      <c r="C820" s="874"/>
      <c r="D820" s="874"/>
      <c r="E820" s="874"/>
      <c r="F820" s="905"/>
      <c r="G820" s="874"/>
      <c r="H820" s="874"/>
      <c r="I820" s="906"/>
      <c r="J820" s="162"/>
      <c r="K820" s="161"/>
      <c r="L820" s="161"/>
      <c r="M820" s="163"/>
      <c r="N820" s="163" t="str">
        <f t="shared" si="16"/>
        <v/>
      </c>
      <c r="O820" s="41"/>
      <c r="P820" s="41"/>
      <c r="Q820" s="161" t="str">
        <f>+IF(OR(O820="Fire Control",O820="Fire Tex 5062",O820="Fire Tex 5090",O820="Fire Tex 5120"),'CALCULO PINTURA'!P821," ")</f>
        <v xml:space="preserve"> </v>
      </c>
      <c r="R820" s="164" t="str">
        <f>+IF(OR(O820="Fire Control",O820="Fire Tex 5062",O820="Fire Tex 5090",O820="Fire Tex 5120"),'CALCULO PINTURA'!R821," ")</f>
        <v xml:space="preserve"> </v>
      </c>
      <c r="S820" s="164" t="str">
        <f>+IF(OR(O820="Fire Control",O820="Fire Tex 5062",O820="Fire Tex 5090",O820="Fire Tex 5120"),'CALCULO PINTURA'!S821," ")</f>
        <v xml:space="preserve"> </v>
      </c>
      <c r="T820" s="874" t="str">
        <f>+IF(OR(O820="Blaze Shield II",O820="Cafco 400",O820="Cafco 300"),'CALCULO MORTERO'!N826," ")</f>
        <v xml:space="preserve"> </v>
      </c>
      <c r="U820" s="875" t="str">
        <f>+IF(OR(O820="Blaze Shield II",O820="Cafco 400",O820="Cafco 300"),'CALCULO MORTERO'!O826," ")</f>
        <v xml:space="preserve"> </v>
      </c>
      <c r="V820" s="161" t="str" cm="1">
        <f t="array" ref="V820">_xlfn.IFS(O820="Blaze Shield II",'CALCULO MORTERO'!P821, O820="Cafco 400",'CALCULO MORTERO'!Q821,O820="Cafco 300",'CALCULO MORTERO'!S821, AND(OR(O820="Fire tex 5090", O820="Fire Tex 5062", O820="Fire Tex 5120", O820="Fire Control"),Q820&gt;0), "CERT.",TRUE,"-")</f>
        <v>-</v>
      </c>
    </row>
    <row r="821" spans="1:22" x14ac:dyDescent="0.25">
      <c r="A821" s="903"/>
      <c r="B821" s="907"/>
      <c r="C821" s="874"/>
      <c r="D821" s="874"/>
      <c r="E821" s="874"/>
      <c r="F821" s="905"/>
      <c r="G821" s="874"/>
      <c r="H821" s="874"/>
      <c r="I821" s="906"/>
      <c r="J821" s="162"/>
      <c r="K821" s="161"/>
      <c r="L821" s="161"/>
      <c r="M821" s="163"/>
      <c r="N821" s="163" t="str">
        <f t="shared" si="16"/>
        <v/>
      </c>
      <c r="O821" s="41"/>
      <c r="P821" s="41"/>
      <c r="Q821" s="161" t="str">
        <f>+IF(OR(O821="Fire Control",O821="Fire Tex 5062",O821="Fire Tex 5090",O821="Fire Tex 5120"),'CALCULO PINTURA'!P822," ")</f>
        <v xml:space="preserve"> </v>
      </c>
      <c r="R821" s="164" t="str">
        <f>+IF(OR(O821="Fire Control",O821="Fire Tex 5062",O821="Fire Tex 5090",O821="Fire Tex 5120"),'CALCULO PINTURA'!R822," ")</f>
        <v xml:space="preserve"> </v>
      </c>
      <c r="S821" s="164" t="str">
        <f>+IF(OR(O821="Fire Control",O821="Fire Tex 5062",O821="Fire Tex 5090",O821="Fire Tex 5120"),'CALCULO PINTURA'!S822," ")</f>
        <v xml:space="preserve"> </v>
      </c>
      <c r="T821" s="874" t="str">
        <f>+IF(OR(O821="Blaze Shield II",O821="Cafco 400",O821="Cafco 300"),'CALCULO MORTERO'!N827," ")</f>
        <v xml:space="preserve"> </v>
      </c>
      <c r="U821" s="875" t="str">
        <f>+IF(OR(O821="Blaze Shield II",O821="Cafco 400",O821="Cafco 300"),'CALCULO MORTERO'!O827," ")</f>
        <v xml:space="preserve"> </v>
      </c>
      <c r="V821" s="161" t="str" cm="1">
        <f t="array" ref="V821">_xlfn.IFS(O821="Blaze Shield II",'CALCULO MORTERO'!P822, O821="Cafco 400",'CALCULO MORTERO'!Q822,O821="Cafco 300",'CALCULO MORTERO'!S822, AND(OR(O821="Fire tex 5090", O821="Fire Tex 5062", O821="Fire Tex 5120", O821="Fire Control"),Q821&gt;0), "CERT.",TRUE,"-")</f>
        <v>-</v>
      </c>
    </row>
    <row r="822" spans="1:22" x14ac:dyDescent="0.25">
      <c r="A822" s="903"/>
      <c r="B822" s="907"/>
      <c r="C822" s="874"/>
      <c r="D822" s="874"/>
      <c r="E822" s="874"/>
      <c r="F822" s="905"/>
      <c r="G822" s="874"/>
      <c r="H822" s="874"/>
      <c r="I822" s="906"/>
      <c r="J822" s="162"/>
      <c r="K822" s="161"/>
      <c r="L822" s="161"/>
      <c r="M822" s="163"/>
      <c r="N822" s="163" t="str">
        <f t="shared" si="16"/>
        <v/>
      </c>
      <c r="O822" s="41"/>
      <c r="P822" s="41"/>
      <c r="Q822" s="161" t="str">
        <f>+IF(OR(O822="Fire Control",O822="Fire Tex 5062",O822="Fire Tex 5090",O822="Fire Tex 5120"),'CALCULO PINTURA'!P823," ")</f>
        <v xml:space="preserve"> </v>
      </c>
      <c r="R822" s="164" t="str">
        <f>+IF(OR(O822="Fire Control",O822="Fire Tex 5062",O822="Fire Tex 5090",O822="Fire Tex 5120"),'CALCULO PINTURA'!R823," ")</f>
        <v xml:space="preserve"> </v>
      </c>
      <c r="S822" s="164" t="str">
        <f>+IF(OR(O822="Fire Control",O822="Fire Tex 5062",O822="Fire Tex 5090",O822="Fire Tex 5120"),'CALCULO PINTURA'!S823," ")</f>
        <v xml:space="preserve"> </v>
      </c>
      <c r="T822" s="874" t="str">
        <f>+IF(OR(O822="Blaze Shield II",O822="Cafco 400",O822="Cafco 300"),'CALCULO MORTERO'!N828," ")</f>
        <v xml:space="preserve"> </v>
      </c>
      <c r="U822" s="875" t="str">
        <f>+IF(OR(O822="Blaze Shield II",O822="Cafco 400",O822="Cafco 300"),'CALCULO MORTERO'!O828," ")</f>
        <v xml:space="preserve"> </v>
      </c>
      <c r="V822" s="161" t="str" cm="1">
        <f t="array" ref="V822">_xlfn.IFS(O822="Blaze Shield II",'CALCULO MORTERO'!P823, O822="Cafco 400",'CALCULO MORTERO'!Q823,O822="Cafco 300",'CALCULO MORTERO'!S823, AND(OR(O822="Fire tex 5090", O822="Fire Tex 5062", O822="Fire Tex 5120", O822="Fire Control"),Q822&gt;0), "CERT.",TRUE,"-")</f>
        <v>-</v>
      </c>
    </row>
    <row r="823" spans="1:22" x14ac:dyDescent="0.25">
      <c r="A823" s="903"/>
      <c r="B823" s="907"/>
      <c r="C823" s="874"/>
      <c r="D823" s="874"/>
      <c r="E823" s="874"/>
      <c r="F823" s="905"/>
      <c r="G823" s="874"/>
      <c r="H823" s="874"/>
      <c r="I823" s="906"/>
      <c r="J823" s="162"/>
      <c r="K823" s="161"/>
      <c r="L823" s="161"/>
      <c r="M823" s="163"/>
      <c r="N823" s="163" t="str">
        <f t="shared" si="16"/>
        <v/>
      </c>
      <c r="O823" s="41"/>
      <c r="P823" s="41"/>
      <c r="Q823" s="161" t="str">
        <f>+IF(OR(O823="Fire Control",O823="Fire Tex 5062",O823="Fire Tex 5090",O823="Fire Tex 5120"),'CALCULO PINTURA'!P824," ")</f>
        <v xml:space="preserve"> </v>
      </c>
      <c r="R823" s="164" t="str">
        <f>+IF(OR(O823="Fire Control",O823="Fire Tex 5062",O823="Fire Tex 5090",O823="Fire Tex 5120"),'CALCULO PINTURA'!R824," ")</f>
        <v xml:space="preserve"> </v>
      </c>
      <c r="S823" s="164" t="str">
        <f>+IF(OR(O823="Fire Control",O823="Fire Tex 5062",O823="Fire Tex 5090",O823="Fire Tex 5120"),'CALCULO PINTURA'!S824," ")</f>
        <v xml:space="preserve"> </v>
      </c>
      <c r="T823" s="874" t="str">
        <f>+IF(OR(O823="Blaze Shield II",O823="Cafco 400",O823="Cafco 300"),'CALCULO MORTERO'!N829," ")</f>
        <v xml:space="preserve"> </v>
      </c>
      <c r="U823" s="875" t="str">
        <f>+IF(OR(O823="Blaze Shield II",O823="Cafco 400",O823="Cafco 300"),'CALCULO MORTERO'!O829," ")</f>
        <v xml:space="preserve"> </v>
      </c>
      <c r="V823" s="161" t="str" cm="1">
        <f t="array" ref="V823">_xlfn.IFS(O823="Blaze Shield II",'CALCULO MORTERO'!P824, O823="Cafco 400",'CALCULO MORTERO'!Q824,O823="Cafco 300",'CALCULO MORTERO'!S824, AND(OR(O823="Fire tex 5090", O823="Fire Tex 5062", O823="Fire Tex 5120", O823="Fire Control"),Q823&gt;0), "CERT.",TRUE,"-")</f>
        <v>-</v>
      </c>
    </row>
    <row r="824" spans="1:22" x14ac:dyDescent="0.25">
      <c r="A824" s="903"/>
      <c r="B824" s="907"/>
      <c r="C824" s="874"/>
      <c r="D824" s="874"/>
      <c r="E824" s="874"/>
      <c r="F824" s="905"/>
      <c r="G824" s="874"/>
      <c r="H824" s="874"/>
      <c r="I824" s="906"/>
      <c r="J824" s="162"/>
      <c r="K824" s="161"/>
      <c r="L824" s="161"/>
      <c r="M824" s="163"/>
      <c r="N824" s="163" t="str">
        <f t="shared" si="16"/>
        <v/>
      </c>
      <c r="O824" s="41"/>
      <c r="P824" s="41"/>
      <c r="Q824" s="161" t="str">
        <f>+IF(OR(O824="Fire Control",O824="Fire Tex 5062",O824="Fire Tex 5090",O824="Fire Tex 5120"),'CALCULO PINTURA'!P825," ")</f>
        <v xml:space="preserve"> </v>
      </c>
      <c r="R824" s="164" t="str">
        <f>+IF(OR(O824="Fire Control",O824="Fire Tex 5062",O824="Fire Tex 5090",O824="Fire Tex 5120"),'CALCULO PINTURA'!R825," ")</f>
        <v xml:space="preserve"> </v>
      </c>
      <c r="S824" s="164" t="str">
        <f>+IF(OR(O824="Fire Control",O824="Fire Tex 5062",O824="Fire Tex 5090",O824="Fire Tex 5120"),'CALCULO PINTURA'!S825," ")</f>
        <v xml:space="preserve"> </v>
      </c>
      <c r="T824" s="874" t="str">
        <f>+IF(OR(O824="Blaze Shield II",O824="Cafco 400",O824="Cafco 300"),'CALCULO MORTERO'!N830," ")</f>
        <v xml:space="preserve"> </v>
      </c>
      <c r="U824" s="875" t="str">
        <f>+IF(OR(O824="Blaze Shield II",O824="Cafco 400",O824="Cafco 300"),'CALCULO MORTERO'!O830," ")</f>
        <v xml:space="preserve"> </v>
      </c>
      <c r="V824" s="161" t="str" cm="1">
        <f t="array" ref="V824">_xlfn.IFS(O824="Blaze Shield II",'CALCULO MORTERO'!P825, O824="Cafco 400",'CALCULO MORTERO'!Q825,O824="Cafco 300",'CALCULO MORTERO'!S825, AND(OR(O824="Fire tex 5090", O824="Fire Tex 5062", O824="Fire Tex 5120", O824="Fire Control"),Q824&gt;0), "CERT.",TRUE,"-")</f>
        <v>-</v>
      </c>
    </row>
    <row r="825" spans="1:22" x14ac:dyDescent="0.25">
      <c r="A825" s="903"/>
      <c r="B825" s="907"/>
      <c r="C825" s="874"/>
      <c r="D825" s="874"/>
      <c r="E825" s="874"/>
      <c r="F825" s="905"/>
      <c r="G825" s="874"/>
      <c r="H825" s="874"/>
      <c r="I825" s="906"/>
      <c r="J825" s="162"/>
      <c r="K825" s="161"/>
      <c r="L825" s="161"/>
      <c r="M825" s="163"/>
      <c r="N825" s="163" t="str">
        <f t="shared" si="16"/>
        <v/>
      </c>
      <c r="O825" s="41"/>
      <c r="P825" s="41"/>
      <c r="Q825" s="161" t="str">
        <f>+IF(OR(O825="Fire Control",O825="Fire Tex 5062",O825="Fire Tex 5090",O825="Fire Tex 5120"),'CALCULO PINTURA'!P826," ")</f>
        <v xml:space="preserve"> </v>
      </c>
      <c r="R825" s="164" t="str">
        <f>+IF(OR(O825="Fire Control",O825="Fire Tex 5062",O825="Fire Tex 5090",O825="Fire Tex 5120"),'CALCULO PINTURA'!R826," ")</f>
        <v xml:space="preserve"> </v>
      </c>
      <c r="S825" s="164" t="str">
        <f>+IF(OR(O825="Fire Control",O825="Fire Tex 5062",O825="Fire Tex 5090",O825="Fire Tex 5120"),'CALCULO PINTURA'!S826," ")</f>
        <v xml:space="preserve"> </v>
      </c>
      <c r="T825" s="874" t="str">
        <f>+IF(OR(O825="Blaze Shield II",O825="Cafco 400",O825="Cafco 300"),'CALCULO MORTERO'!N831," ")</f>
        <v xml:space="preserve"> </v>
      </c>
      <c r="U825" s="875" t="str">
        <f>+IF(OR(O825="Blaze Shield II",O825="Cafco 400",O825="Cafco 300"),'CALCULO MORTERO'!O831," ")</f>
        <v xml:space="preserve"> </v>
      </c>
      <c r="V825" s="161" t="str" cm="1">
        <f t="array" ref="V825">_xlfn.IFS(O825="Blaze Shield II",'CALCULO MORTERO'!P826, O825="Cafco 400",'CALCULO MORTERO'!Q826,O825="Cafco 300",'CALCULO MORTERO'!S826, AND(OR(O825="Fire tex 5090", O825="Fire Tex 5062", O825="Fire Tex 5120", O825="Fire Control"),Q825&gt;0), "CERT.",TRUE,"-")</f>
        <v>-</v>
      </c>
    </row>
    <row r="826" spans="1:22" x14ac:dyDescent="0.25">
      <c r="A826" s="903"/>
      <c r="B826" s="907"/>
      <c r="C826" s="874"/>
      <c r="D826" s="874"/>
      <c r="E826" s="874"/>
      <c r="F826" s="905"/>
      <c r="G826" s="874"/>
      <c r="H826" s="874"/>
      <c r="I826" s="906"/>
      <c r="J826" s="162"/>
      <c r="K826" s="161"/>
      <c r="L826" s="161"/>
      <c r="M826" s="163"/>
      <c r="N826" s="163" t="str">
        <f t="shared" si="16"/>
        <v/>
      </c>
      <c r="O826" s="41"/>
      <c r="P826" s="41"/>
      <c r="Q826" s="161" t="str">
        <f>+IF(OR(O826="Fire Control",O826="Fire Tex 5062",O826="Fire Tex 5090",O826="Fire Tex 5120"),'CALCULO PINTURA'!P827," ")</f>
        <v xml:space="preserve"> </v>
      </c>
      <c r="R826" s="164" t="str">
        <f>+IF(OR(O826="Fire Control",O826="Fire Tex 5062",O826="Fire Tex 5090",O826="Fire Tex 5120"),'CALCULO PINTURA'!R827," ")</f>
        <v xml:space="preserve"> </v>
      </c>
      <c r="S826" s="164" t="str">
        <f>+IF(OR(O826="Fire Control",O826="Fire Tex 5062",O826="Fire Tex 5090",O826="Fire Tex 5120"),'CALCULO PINTURA'!S827," ")</f>
        <v xml:space="preserve"> </v>
      </c>
      <c r="T826" s="874" t="str">
        <f>+IF(OR(O826="Blaze Shield II",O826="Cafco 400",O826="Cafco 300"),'CALCULO MORTERO'!N832," ")</f>
        <v xml:space="preserve"> </v>
      </c>
      <c r="U826" s="875" t="str">
        <f>+IF(OR(O826="Blaze Shield II",O826="Cafco 400",O826="Cafco 300"),'CALCULO MORTERO'!O832," ")</f>
        <v xml:space="preserve"> </v>
      </c>
      <c r="V826" s="161" t="str" cm="1">
        <f t="array" ref="V826">_xlfn.IFS(O826="Blaze Shield II",'CALCULO MORTERO'!P827, O826="Cafco 400",'CALCULO MORTERO'!Q827,O826="Cafco 300",'CALCULO MORTERO'!S827, AND(OR(O826="Fire tex 5090", O826="Fire Tex 5062", O826="Fire Tex 5120", O826="Fire Control"),Q826&gt;0), "CERT.",TRUE,"-")</f>
        <v>-</v>
      </c>
    </row>
    <row r="827" spans="1:22" x14ac:dyDescent="0.25">
      <c r="A827" s="903"/>
      <c r="B827" s="907"/>
      <c r="C827" s="874"/>
      <c r="D827" s="874"/>
      <c r="E827" s="874"/>
      <c r="F827" s="905"/>
      <c r="G827" s="874"/>
      <c r="H827" s="874"/>
      <c r="I827" s="906"/>
      <c r="J827" s="162"/>
      <c r="K827" s="161"/>
      <c r="L827" s="161"/>
      <c r="M827" s="163"/>
      <c r="N827" s="163" t="str">
        <f t="shared" si="16"/>
        <v/>
      </c>
      <c r="O827" s="41"/>
      <c r="P827" s="41"/>
      <c r="Q827" s="161" t="str">
        <f>+IF(OR(O827="Fire Control",O827="Fire Tex 5062",O827="Fire Tex 5090",O827="Fire Tex 5120"),'CALCULO PINTURA'!P828," ")</f>
        <v xml:space="preserve"> </v>
      </c>
      <c r="R827" s="164" t="str">
        <f>+IF(OR(O827="Fire Control",O827="Fire Tex 5062",O827="Fire Tex 5090",O827="Fire Tex 5120"),'CALCULO PINTURA'!R828," ")</f>
        <v xml:space="preserve"> </v>
      </c>
      <c r="S827" s="164" t="str">
        <f>+IF(OR(O827="Fire Control",O827="Fire Tex 5062",O827="Fire Tex 5090",O827="Fire Tex 5120"),'CALCULO PINTURA'!S828," ")</f>
        <v xml:space="preserve"> </v>
      </c>
      <c r="T827" s="874" t="str">
        <f>+IF(OR(O827="Blaze Shield II",O827="Cafco 400",O827="Cafco 300"),'CALCULO MORTERO'!N833," ")</f>
        <v xml:space="preserve"> </v>
      </c>
      <c r="U827" s="875" t="str">
        <f>+IF(OR(O827="Blaze Shield II",O827="Cafco 400",O827="Cafco 300"),'CALCULO MORTERO'!O833," ")</f>
        <v xml:space="preserve"> </v>
      </c>
      <c r="V827" s="161" t="str" cm="1">
        <f t="array" ref="V827">_xlfn.IFS(O827="Blaze Shield II",'CALCULO MORTERO'!P828, O827="Cafco 400",'CALCULO MORTERO'!Q828,O827="Cafco 300",'CALCULO MORTERO'!S828, AND(OR(O827="Fire tex 5090", O827="Fire Tex 5062", O827="Fire Tex 5120", O827="Fire Control"),Q827&gt;0), "CERT.",TRUE,"-")</f>
        <v>-</v>
      </c>
    </row>
    <row r="828" spans="1:22" x14ac:dyDescent="0.25">
      <c r="A828" s="903"/>
      <c r="B828" s="907"/>
      <c r="C828" s="874"/>
      <c r="D828" s="874"/>
      <c r="E828" s="874"/>
      <c r="F828" s="905"/>
      <c r="G828" s="874"/>
      <c r="H828" s="874"/>
      <c r="I828" s="906"/>
      <c r="J828" s="162"/>
      <c r="K828" s="161"/>
      <c r="L828" s="161"/>
      <c r="M828" s="163"/>
      <c r="N828" s="163" t="str">
        <f t="shared" si="16"/>
        <v/>
      </c>
      <c r="O828" s="41"/>
      <c r="P828" s="41"/>
      <c r="Q828" s="161" t="str">
        <f>+IF(OR(O828="Fire Control",O828="Fire Tex 5062",O828="Fire Tex 5090",O828="Fire Tex 5120"),'CALCULO PINTURA'!P829," ")</f>
        <v xml:space="preserve"> </v>
      </c>
      <c r="R828" s="164" t="str">
        <f>+IF(OR(O828="Fire Control",O828="Fire Tex 5062",O828="Fire Tex 5090",O828="Fire Tex 5120"),'CALCULO PINTURA'!R829," ")</f>
        <v xml:space="preserve"> </v>
      </c>
      <c r="S828" s="164" t="str">
        <f>+IF(OR(O828="Fire Control",O828="Fire Tex 5062",O828="Fire Tex 5090",O828="Fire Tex 5120"),'CALCULO PINTURA'!S829," ")</f>
        <v xml:space="preserve"> </v>
      </c>
      <c r="T828" s="874" t="str">
        <f>+IF(OR(O828="Blaze Shield II",O828="Cafco 400",O828="Cafco 300"),'CALCULO MORTERO'!N834," ")</f>
        <v xml:space="preserve"> </v>
      </c>
      <c r="U828" s="875" t="str">
        <f>+IF(OR(O828="Blaze Shield II",O828="Cafco 400",O828="Cafco 300"),'CALCULO MORTERO'!O834," ")</f>
        <v xml:space="preserve"> </v>
      </c>
      <c r="V828" s="161" t="str" cm="1">
        <f t="array" ref="V828">_xlfn.IFS(O828="Blaze Shield II",'CALCULO MORTERO'!P829, O828="Cafco 400",'CALCULO MORTERO'!Q829,O828="Cafco 300",'CALCULO MORTERO'!S829, AND(OR(O828="Fire tex 5090", O828="Fire Tex 5062", O828="Fire Tex 5120", O828="Fire Control"),Q828&gt;0), "CERT.",TRUE,"-")</f>
        <v>-</v>
      </c>
    </row>
    <row r="829" spans="1:22" x14ac:dyDescent="0.25">
      <c r="A829" s="903"/>
      <c r="B829" s="907"/>
      <c r="C829" s="874"/>
      <c r="D829" s="874"/>
      <c r="E829" s="874"/>
      <c r="F829" s="905"/>
      <c r="G829" s="874"/>
      <c r="H829" s="874"/>
      <c r="I829" s="906"/>
      <c r="J829" s="162"/>
      <c r="K829" s="161"/>
      <c r="L829" s="161"/>
      <c r="M829" s="163"/>
      <c r="N829" s="163" t="str">
        <f t="shared" si="16"/>
        <v/>
      </c>
      <c r="O829" s="41"/>
      <c r="P829" s="41"/>
      <c r="Q829" s="161" t="str">
        <f>+IF(OR(O829="Fire Control",O829="Fire Tex 5062",O829="Fire Tex 5090",O829="Fire Tex 5120"),'CALCULO PINTURA'!P830," ")</f>
        <v xml:space="preserve"> </v>
      </c>
      <c r="R829" s="164" t="str">
        <f>+IF(OR(O829="Fire Control",O829="Fire Tex 5062",O829="Fire Tex 5090",O829="Fire Tex 5120"),'CALCULO PINTURA'!R830," ")</f>
        <v xml:space="preserve"> </v>
      </c>
      <c r="S829" s="164" t="str">
        <f>+IF(OR(O829="Fire Control",O829="Fire Tex 5062",O829="Fire Tex 5090",O829="Fire Tex 5120"),'CALCULO PINTURA'!S830," ")</f>
        <v xml:space="preserve"> </v>
      </c>
      <c r="T829" s="874" t="str">
        <f>+IF(OR(O829="Blaze Shield II",O829="Cafco 400",O829="Cafco 300"),'CALCULO MORTERO'!N835," ")</f>
        <v xml:space="preserve"> </v>
      </c>
      <c r="U829" s="875" t="str">
        <f>+IF(OR(O829="Blaze Shield II",O829="Cafco 400",O829="Cafco 300"),'CALCULO MORTERO'!O835," ")</f>
        <v xml:space="preserve"> </v>
      </c>
      <c r="V829" s="161" t="str" cm="1">
        <f t="array" ref="V829">_xlfn.IFS(O829="Blaze Shield II",'CALCULO MORTERO'!P830, O829="Cafco 400",'CALCULO MORTERO'!Q830,O829="Cafco 300",'CALCULO MORTERO'!S830, AND(OR(O829="Fire tex 5090", O829="Fire Tex 5062", O829="Fire Tex 5120", O829="Fire Control"),Q829&gt;0), "CERT.",TRUE,"-")</f>
        <v>-</v>
      </c>
    </row>
    <row r="830" spans="1:22" x14ac:dyDescent="0.25">
      <c r="A830" s="903"/>
      <c r="B830" s="907"/>
      <c r="C830" s="874"/>
      <c r="D830" s="874"/>
      <c r="E830" s="874"/>
      <c r="F830" s="905"/>
      <c r="G830" s="874"/>
      <c r="H830" s="874"/>
      <c r="I830" s="906"/>
      <c r="J830" s="162"/>
      <c r="K830" s="161"/>
      <c r="L830" s="161"/>
      <c r="M830" s="163"/>
      <c r="N830" s="163" t="str">
        <f t="shared" si="16"/>
        <v/>
      </c>
      <c r="O830" s="41"/>
      <c r="P830" s="41"/>
      <c r="Q830" s="161" t="str">
        <f>+IF(OR(O830="Fire Control",O830="Fire Tex 5062",O830="Fire Tex 5090",O830="Fire Tex 5120"),'CALCULO PINTURA'!P831," ")</f>
        <v xml:space="preserve"> </v>
      </c>
      <c r="R830" s="164" t="str">
        <f>+IF(OR(O830="Fire Control",O830="Fire Tex 5062",O830="Fire Tex 5090",O830="Fire Tex 5120"),'CALCULO PINTURA'!R831," ")</f>
        <v xml:space="preserve"> </v>
      </c>
      <c r="S830" s="164" t="str">
        <f>+IF(OR(O830="Fire Control",O830="Fire Tex 5062",O830="Fire Tex 5090",O830="Fire Tex 5120"),'CALCULO PINTURA'!S831," ")</f>
        <v xml:space="preserve"> </v>
      </c>
      <c r="T830" s="874" t="str">
        <f>+IF(OR(O830="Blaze Shield II",O830="Cafco 400",O830="Cafco 300"),'CALCULO MORTERO'!N836," ")</f>
        <v xml:space="preserve"> </v>
      </c>
      <c r="U830" s="875" t="str">
        <f>+IF(OR(O830="Blaze Shield II",O830="Cafco 400",O830="Cafco 300"),'CALCULO MORTERO'!O836," ")</f>
        <v xml:space="preserve"> </v>
      </c>
      <c r="V830" s="161" t="str" cm="1">
        <f t="array" ref="V830">_xlfn.IFS(O830="Blaze Shield II",'CALCULO MORTERO'!P831, O830="Cafco 400",'CALCULO MORTERO'!Q831,O830="Cafco 300",'CALCULO MORTERO'!S831, AND(OR(O830="Fire tex 5090", O830="Fire Tex 5062", O830="Fire Tex 5120", O830="Fire Control"),Q830&gt;0), "CERT.",TRUE,"-")</f>
        <v>-</v>
      </c>
    </row>
    <row r="831" spans="1:22" x14ac:dyDescent="0.25">
      <c r="A831" s="903"/>
      <c r="B831" s="907"/>
      <c r="C831" s="874"/>
      <c r="D831" s="874"/>
      <c r="E831" s="874"/>
      <c r="F831" s="905"/>
      <c r="G831" s="874"/>
      <c r="H831" s="874"/>
      <c r="I831" s="906"/>
      <c r="J831" s="162"/>
      <c r="K831" s="161"/>
      <c r="L831" s="161"/>
      <c r="M831" s="163"/>
      <c r="N831" s="163" t="str">
        <f t="shared" si="16"/>
        <v/>
      </c>
      <c r="O831" s="41"/>
      <c r="P831" s="41"/>
      <c r="Q831" s="161" t="str">
        <f>+IF(OR(O831="Fire Control",O831="Fire Tex 5062",O831="Fire Tex 5090",O831="Fire Tex 5120"),'CALCULO PINTURA'!P832," ")</f>
        <v xml:space="preserve"> </v>
      </c>
      <c r="R831" s="164" t="str">
        <f>+IF(OR(O831="Fire Control",O831="Fire Tex 5062",O831="Fire Tex 5090",O831="Fire Tex 5120"),'CALCULO PINTURA'!R832," ")</f>
        <v xml:space="preserve"> </v>
      </c>
      <c r="S831" s="164" t="str">
        <f>+IF(OR(O831="Fire Control",O831="Fire Tex 5062",O831="Fire Tex 5090",O831="Fire Tex 5120"),'CALCULO PINTURA'!S832," ")</f>
        <v xml:space="preserve"> </v>
      </c>
      <c r="T831" s="874" t="str">
        <f>+IF(OR(O831="Blaze Shield II",O831="Cafco 400",O831="Cafco 300"),'CALCULO MORTERO'!N837," ")</f>
        <v xml:space="preserve"> </v>
      </c>
      <c r="U831" s="875" t="str">
        <f>+IF(OR(O831="Blaze Shield II",O831="Cafco 400",O831="Cafco 300"),'CALCULO MORTERO'!O837," ")</f>
        <v xml:space="preserve"> </v>
      </c>
      <c r="V831" s="161" t="str" cm="1">
        <f t="array" ref="V831">_xlfn.IFS(O831="Blaze Shield II",'CALCULO MORTERO'!P832, O831="Cafco 400",'CALCULO MORTERO'!Q832,O831="Cafco 300",'CALCULO MORTERO'!S832, AND(OR(O831="Fire tex 5090", O831="Fire Tex 5062", O831="Fire Tex 5120", O831="Fire Control"),Q831&gt;0), "CERT.",TRUE,"-")</f>
        <v>-</v>
      </c>
    </row>
    <row r="832" spans="1:22" x14ac:dyDescent="0.25">
      <c r="A832" s="903"/>
      <c r="B832" s="907"/>
      <c r="C832" s="874"/>
      <c r="D832" s="874"/>
      <c r="E832" s="874"/>
      <c r="F832" s="905"/>
      <c r="G832" s="874"/>
      <c r="H832" s="874"/>
      <c r="I832" s="906"/>
      <c r="J832" s="162"/>
      <c r="K832" s="161"/>
      <c r="L832" s="161"/>
      <c r="M832" s="163"/>
      <c r="N832" s="163" t="str">
        <f t="shared" si="16"/>
        <v/>
      </c>
      <c r="O832" s="41"/>
      <c r="P832" s="41"/>
      <c r="Q832" s="161" t="str">
        <f>+IF(OR(O832="Fire Control",O832="Fire Tex 5062",O832="Fire Tex 5090",O832="Fire Tex 5120"),'CALCULO PINTURA'!P833," ")</f>
        <v xml:space="preserve"> </v>
      </c>
      <c r="R832" s="164" t="str">
        <f>+IF(OR(O832="Fire Control",O832="Fire Tex 5062",O832="Fire Tex 5090",O832="Fire Tex 5120"),'CALCULO PINTURA'!R833," ")</f>
        <v xml:space="preserve"> </v>
      </c>
      <c r="S832" s="164" t="str">
        <f>+IF(OR(O832="Fire Control",O832="Fire Tex 5062",O832="Fire Tex 5090",O832="Fire Tex 5120"),'CALCULO PINTURA'!S833," ")</f>
        <v xml:space="preserve"> </v>
      </c>
      <c r="T832" s="874" t="str">
        <f>+IF(OR(O832="Blaze Shield II",O832="Cafco 400",O832="Cafco 300"),'CALCULO MORTERO'!N838," ")</f>
        <v xml:space="preserve"> </v>
      </c>
      <c r="U832" s="875" t="str">
        <f>+IF(OR(O832="Blaze Shield II",O832="Cafco 400",O832="Cafco 300"),'CALCULO MORTERO'!O838," ")</f>
        <v xml:space="preserve"> </v>
      </c>
      <c r="V832" s="161" t="str" cm="1">
        <f t="array" ref="V832">_xlfn.IFS(O832="Blaze Shield II",'CALCULO MORTERO'!P833, O832="Cafco 400",'CALCULO MORTERO'!Q833,O832="Cafco 300",'CALCULO MORTERO'!S833, AND(OR(O832="Fire tex 5090", O832="Fire Tex 5062", O832="Fire Tex 5120", O832="Fire Control"),Q832&gt;0), "CERT.",TRUE,"-")</f>
        <v>-</v>
      </c>
    </row>
    <row r="833" spans="1:22" x14ac:dyDescent="0.25">
      <c r="A833" s="903"/>
      <c r="B833" s="907"/>
      <c r="C833" s="874"/>
      <c r="D833" s="874"/>
      <c r="E833" s="874"/>
      <c r="F833" s="905"/>
      <c r="G833" s="874"/>
      <c r="H833" s="874"/>
      <c r="I833" s="906"/>
      <c r="J833" s="162"/>
      <c r="K833" s="161"/>
      <c r="L833" s="161"/>
      <c r="M833" s="163"/>
      <c r="N833" s="163" t="str">
        <f t="shared" si="16"/>
        <v/>
      </c>
      <c r="O833" s="41"/>
      <c r="P833" s="41"/>
      <c r="Q833" s="161" t="str">
        <f>+IF(OR(O833="Fire Control",O833="Fire Tex 5062",O833="Fire Tex 5090",O833="Fire Tex 5120"),'CALCULO PINTURA'!P834," ")</f>
        <v xml:space="preserve"> </v>
      </c>
      <c r="R833" s="164" t="str">
        <f>+IF(OR(O833="Fire Control",O833="Fire Tex 5062",O833="Fire Tex 5090",O833="Fire Tex 5120"),'CALCULO PINTURA'!R834," ")</f>
        <v xml:space="preserve"> </v>
      </c>
      <c r="S833" s="164" t="str">
        <f>+IF(OR(O833="Fire Control",O833="Fire Tex 5062",O833="Fire Tex 5090",O833="Fire Tex 5120"),'CALCULO PINTURA'!S834," ")</f>
        <v xml:space="preserve"> </v>
      </c>
      <c r="T833" s="874" t="str">
        <f>+IF(OR(O833="Blaze Shield II",O833="Cafco 400",O833="Cafco 300"),'CALCULO MORTERO'!N839," ")</f>
        <v xml:space="preserve"> </v>
      </c>
      <c r="U833" s="875" t="str">
        <f>+IF(OR(O833="Blaze Shield II",O833="Cafco 400",O833="Cafco 300"),'CALCULO MORTERO'!O839," ")</f>
        <v xml:space="preserve"> </v>
      </c>
      <c r="V833" s="161" t="str" cm="1">
        <f t="array" ref="V833">_xlfn.IFS(O833="Blaze Shield II",'CALCULO MORTERO'!P834, O833="Cafco 400",'CALCULO MORTERO'!Q834,O833="Cafco 300",'CALCULO MORTERO'!S834, AND(OR(O833="Fire tex 5090", O833="Fire Tex 5062", O833="Fire Tex 5120", O833="Fire Control"),Q833&gt;0), "CERT.",TRUE,"-")</f>
        <v>-</v>
      </c>
    </row>
    <row r="834" spans="1:22" x14ac:dyDescent="0.25">
      <c r="A834" s="168"/>
      <c r="B834" s="876"/>
      <c r="C834" s="161"/>
      <c r="D834" s="161"/>
      <c r="E834" s="161"/>
      <c r="F834" s="41"/>
      <c r="G834" s="161"/>
      <c r="H834" s="161"/>
      <c r="I834" s="166"/>
      <c r="J834" s="162"/>
      <c r="K834" s="161"/>
      <c r="L834" s="161"/>
      <c r="M834" s="163"/>
      <c r="N834" s="163" t="str">
        <f t="shared" si="16"/>
        <v/>
      </c>
      <c r="O834" s="41"/>
      <c r="P834" s="41"/>
      <c r="Q834" s="161" t="str">
        <f>+IF(OR(O834="Fire Control",O834="Fire Tex 5062",O834="Fire Tex 5090",O834="Fire Tex 5120"),'CALCULO PINTURA'!P835," ")</f>
        <v xml:space="preserve"> </v>
      </c>
      <c r="R834" s="164" t="str">
        <f>+IF(OR(O834="Fire Control",O834="Fire Tex 5062",O834="Fire Tex 5090",O834="Fire Tex 5120"),'CALCULO PINTURA'!R835," ")</f>
        <v xml:space="preserve"> </v>
      </c>
      <c r="S834" s="164" t="str">
        <f>+IF(OR(O834="Fire Control",O834="Fire Tex 5062",O834="Fire Tex 5090",O834="Fire Tex 5120"),'CALCULO PINTURA'!S835," ")</f>
        <v xml:space="preserve"> </v>
      </c>
      <c r="T834" s="874" t="str">
        <f>+IF(OR(O834="Blaze Shield II",O834="Cafco 400",O834="Cafco 300"),'CALCULO MORTERO'!N840," ")</f>
        <v xml:space="preserve"> </v>
      </c>
      <c r="U834" s="875" t="str">
        <f>+IF(OR(O834="Blaze Shield II",O834="Cafco 400",O834="Cafco 300"),'CALCULO MORTERO'!O840," ")</f>
        <v xml:space="preserve"> </v>
      </c>
      <c r="V834" s="161" t="str" cm="1">
        <f t="array" ref="V834">_xlfn.IFS(O834="Blaze Shield II",'CALCULO MORTERO'!P835, O834="Cafco 400",'CALCULO MORTERO'!Q835,O834="Cafco 300",'CALCULO MORTERO'!S835, AND(OR(O834="Fire tex 5090", O834="Fire Tex 5062", O834="Fire Tex 5120", O834="Fire Control"),Q834&gt;0), "CERT.",TRUE,"-")</f>
        <v>-</v>
      </c>
    </row>
    <row r="835" spans="1:22" x14ac:dyDescent="0.25">
      <c r="A835" s="168"/>
      <c r="B835" s="876"/>
      <c r="C835" s="161"/>
      <c r="D835" s="161"/>
      <c r="E835" s="161"/>
      <c r="F835" s="41"/>
      <c r="G835" s="161"/>
      <c r="H835" s="161"/>
      <c r="I835" s="166"/>
      <c r="J835" s="162"/>
      <c r="K835" s="161"/>
      <c r="L835" s="161"/>
      <c r="M835" s="163"/>
      <c r="N835" s="163" t="str">
        <f t="shared" si="16"/>
        <v/>
      </c>
      <c r="O835" s="41"/>
      <c r="P835" s="41"/>
      <c r="Q835" s="161" t="str">
        <f>+IF(OR(O835="Fire Control",O835="Fire Tex 5062",O835="Fire Tex 5090",O835="Fire Tex 5120"),'CALCULO PINTURA'!P836," ")</f>
        <v xml:space="preserve"> </v>
      </c>
      <c r="R835" s="164" t="str">
        <f>+IF(OR(O835="Fire Control",O835="Fire Tex 5062",O835="Fire Tex 5090",O835="Fire Tex 5120"),'CALCULO PINTURA'!R836," ")</f>
        <v xml:space="preserve"> </v>
      </c>
      <c r="S835" s="164" t="str">
        <f>+IF(OR(O835="Fire Control",O835="Fire Tex 5062",O835="Fire Tex 5090",O835="Fire Tex 5120"),'CALCULO PINTURA'!S836," ")</f>
        <v xml:space="preserve"> </v>
      </c>
      <c r="T835" s="874" t="str">
        <f>+IF(OR(O835="Blaze Shield II",O835="Cafco 400",O835="Cafco 300"),'CALCULO MORTERO'!N841," ")</f>
        <v xml:space="preserve"> </v>
      </c>
      <c r="U835" s="875" t="str">
        <f>+IF(OR(O835="Blaze Shield II",O835="Cafco 400",O835="Cafco 300"),'CALCULO MORTERO'!O841," ")</f>
        <v xml:space="preserve"> </v>
      </c>
      <c r="V835" s="161" t="str" cm="1">
        <f t="array" ref="V835">_xlfn.IFS(O835="Blaze Shield II",'CALCULO MORTERO'!P836, O835="Cafco 400",'CALCULO MORTERO'!Q836,O835="Cafco 300",'CALCULO MORTERO'!S836, AND(OR(O835="Fire tex 5090", O835="Fire Tex 5062", O835="Fire Tex 5120", O835="Fire Control"),Q835&gt;0), "CERT.",TRUE,"-")</f>
        <v>-</v>
      </c>
    </row>
    <row r="836" spans="1:22" x14ac:dyDescent="0.25">
      <c r="A836" s="168"/>
      <c r="B836" s="876"/>
      <c r="C836" s="161"/>
      <c r="D836" s="161"/>
      <c r="E836" s="161"/>
      <c r="F836" s="41"/>
      <c r="G836" s="161"/>
      <c r="H836" s="161"/>
      <c r="I836" s="166"/>
      <c r="J836" s="162"/>
      <c r="K836" s="161"/>
      <c r="L836" s="161"/>
      <c r="M836" s="163"/>
      <c r="N836" s="163" t="str">
        <f t="shared" ref="N836:N899" si="17">+IF(F836="","",(K836*I836*H836*G836)/1000000)</f>
        <v/>
      </c>
      <c r="O836" s="41"/>
      <c r="P836" s="41"/>
      <c r="Q836" s="161" t="str">
        <f>+IF(OR(O836="Fire Control",O836="Fire Tex 5062",O836="Fire Tex 5090",O836="Fire Tex 5120"),'CALCULO PINTURA'!P837," ")</f>
        <v xml:space="preserve"> </v>
      </c>
      <c r="R836" s="164" t="str">
        <f>+IF(OR(O836="Fire Control",O836="Fire Tex 5062",O836="Fire Tex 5090",O836="Fire Tex 5120"),'CALCULO PINTURA'!R837," ")</f>
        <v xml:space="preserve"> </v>
      </c>
      <c r="S836" s="164" t="str">
        <f>+IF(OR(O836="Fire Control",O836="Fire Tex 5062",O836="Fire Tex 5090",O836="Fire Tex 5120"),'CALCULO PINTURA'!S837," ")</f>
        <v xml:space="preserve"> </v>
      </c>
      <c r="T836" s="874" t="str">
        <f>+IF(OR(O836="Blaze Shield II",O836="Cafco 400",O836="Cafco 300"),'CALCULO MORTERO'!N842," ")</f>
        <v xml:space="preserve"> </v>
      </c>
      <c r="U836" s="875" t="str">
        <f>+IF(OR(O836="Blaze Shield II",O836="Cafco 400",O836="Cafco 300"),'CALCULO MORTERO'!O842," ")</f>
        <v xml:space="preserve"> </v>
      </c>
      <c r="V836" s="161" t="str" cm="1">
        <f t="array" ref="V836">_xlfn.IFS(O836="Blaze Shield II",'CALCULO MORTERO'!P837, O836="Cafco 400",'CALCULO MORTERO'!Q837,O836="Cafco 300",'CALCULO MORTERO'!S837, AND(OR(O836="Fire tex 5090", O836="Fire Tex 5062", O836="Fire Tex 5120", O836="Fire Control"),Q836&gt;0), "CERT.",TRUE,"-")</f>
        <v>-</v>
      </c>
    </row>
    <row r="837" spans="1:22" x14ac:dyDescent="0.25">
      <c r="A837" s="168"/>
      <c r="B837" s="876"/>
      <c r="C837" s="161"/>
      <c r="D837" s="161"/>
      <c r="E837" s="161"/>
      <c r="F837" s="41"/>
      <c r="G837" s="161"/>
      <c r="H837" s="161"/>
      <c r="I837" s="166"/>
      <c r="J837" s="162"/>
      <c r="K837" s="161"/>
      <c r="L837" s="161"/>
      <c r="M837" s="163"/>
      <c r="N837" s="163" t="str">
        <f t="shared" si="17"/>
        <v/>
      </c>
      <c r="O837" s="41"/>
      <c r="P837" s="41"/>
      <c r="Q837" s="161" t="str">
        <f>+IF(OR(O837="Fire Control",O837="Fire Tex 5062",O837="Fire Tex 5090",O837="Fire Tex 5120"),'CALCULO PINTURA'!P838," ")</f>
        <v xml:space="preserve"> </v>
      </c>
      <c r="R837" s="164" t="str">
        <f>+IF(OR(O837="Fire Control",O837="Fire Tex 5062",O837="Fire Tex 5090",O837="Fire Tex 5120"),'CALCULO PINTURA'!R838," ")</f>
        <v xml:space="preserve"> </v>
      </c>
      <c r="S837" s="164" t="str">
        <f>+IF(OR(O837="Fire Control",O837="Fire Tex 5062",O837="Fire Tex 5090",O837="Fire Tex 5120"),'CALCULO PINTURA'!S838," ")</f>
        <v xml:space="preserve"> </v>
      </c>
      <c r="T837" s="874" t="str">
        <f>+IF(OR(O837="Blaze Shield II",O837="Cafco 400",O837="Cafco 300"),'CALCULO MORTERO'!N843," ")</f>
        <v xml:space="preserve"> </v>
      </c>
      <c r="U837" s="875" t="str">
        <f>+IF(OR(O837="Blaze Shield II",O837="Cafco 400",O837="Cafco 300"),'CALCULO MORTERO'!O843," ")</f>
        <v xml:space="preserve"> </v>
      </c>
      <c r="V837" s="161" t="str" cm="1">
        <f t="array" ref="V837">_xlfn.IFS(O837="Blaze Shield II",'CALCULO MORTERO'!P838, O837="Cafco 400",'CALCULO MORTERO'!Q838,O837="Cafco 300",'CALCULO MORTERO'!S838, AND(OR(O837="Fire tex 5090", O837="Fire Tex 5062", O837="Fire Tex 5120", O837="Fire Control"),Q837&gt;0), "CERT.",TRUE,"-")</f>
        <v>-</v>
      </c>
    </row>
    <row r="838" spans="1:22" x14ac:dyDescent="0.25">
      <c r="A838" s="168"/>
      <c r="B838" s="876"/>
      <c r="C838" s="161"/>
      <c r="D838" s="161"/>
      <c r="E838" s="161"/>
      <c r="F838" s="41"/>
      <c r="G838" s="161"/>
      <c r="H838" s="161"/>
      <c r="I838" s="166"/>
      <c r="J838" s="162"/>
      <c r="K838" s="161"/>
      <c r="L838" s="161"/>
      <c r="M838" s="163"/>
      <c r="N838" s="163" t="str">
        <f t="shared" si="17"/>
        <v/>
      </c>
      <c r="O838" s="41"/>
      <c r="P838" s="41"/>
      <c r="Q838" s="161" t="str">
        <f>+IF(OR(O838="Fire Control",O838="Fire Tex 5062",O838="Fire Tex 5090",O838="Fire Tex 5120"),'CALCULO PINTURA'!P839," ")</f>
        <v xml:space="preserve"> </v>
      </c>
      <c r="R838" s="164" t="str">
        <f>+IF(OR(O838="Fire Control",O838="Fire Tex 5062",O838="Fire Tex 5090",O838="Fire Tex 5120"),'CALCULO PINTURA'!R839," ")</f>
        <v xml:space="preserve"> </v>
      </c>
      <c r="S838" s="164" t="str">
        <f>+IF(OR(O838="Fire Control",O838="Fire Tex 5062",O838="Fire Tex 5090",O838="Fire Tex 5120"),'CALCULO PINTURA'!S839," ")</f>
        <v xml:space="preserve"> </v>
      </c>
      <c r="T838" s="874" t="str">
        <f>+IF(OR(O838="Blaze Shield II",O838="Cafco 400",O838="Cafco 300"),'CALCULO MORTERO'!N844," ")</f>
        <v xml:space="preserve"> </v>
      </c>
      <c r="U838" s="875" t="str">
        <f>+IF(OR(O838="Blaze Shield II",O838="Cafco 400",O838="Cafco 300"),'CALCULO MORTERO'!O844," ")</f>
        <v xml:space="preserve"> </v>
      </c>
      <c r="V838" s="161" t="str" cm="1">
        <f t="array" ref="V838">_xlfn.IFS(O838="Blaze Shield II",'CALCULO MORTERO'!P839, O838="Cafco 400",'CALCULO MORTERO'!Q839,O838="Cafco 300",'CALCULO MORTERO'!S839, AND(OR(O838="Fire tex 5090", O838="Fire Tex 5062", O838="Fire Tex 5120", O838="Fire Control"),Q838&gt;0), "CERT.",TRUE,"-")</f>
        <v>-</v>
      </c>
    </row>
    <row r="839" spans="1:22" x14ac:dyDescent="0.25">
      <c r="A839" s="168"/>
      <c r="B839" s="876"/>
      <c r="C839" s="161"/>
      <c r="D839" s="161"/>
      <c r="E839" s="161"/>
      <c r="F839" s="41"/>
      <c r="G839" s="161"/>
      <c r="H839" s="161"/>
      <c r="I839" s="166"/>
      <c r="J839" s="162"/>
      <c r="K839" s="161"/>
      <c r="L839" s="161"/>
      <c r="M839" s="163"/>
      <c r="N839" s="163" t="str">
        <f t="shared" si="17"/>
        <v/>
      </c>
      <c r="O839" s="41"/>
      <c r="P839" s="41"/>
      <c r="Q839" s="161" t="str">
        <f>+IF(OR(O839="Fire Control",O839="Fire Tex 5062",O839="Fire Tex 5090",O839="Fire Tex 5120"),'CALCULO PINTURA'!P840," ")</f>
        <v xml:space="preserve"> </v>
      </c>
      <c r="R839" s="164" t="str">
        <f>+IF(OR(O839="Fire Control",O839="Fire Tex 5062",O839="Fire Tex 5090",O839="Fire Tex 5120"),'CALCULO PINTURA'!R840," ")</f>
        <v xml:space="preserve"> </v>
      </c>
      <c r="S839" s="164" t="str">
        <f>+IF(OR(O839="Fire Control",O839="Fire Tex 5062",O839="Fire Tex 5090",O839="Fire Tex 5120"),'CALCULO PINTURA'!S840," ")</f>
        <v xml:space="preserve"> </v>
      </c>
      <c r="T839" s="874" t="str">
        <f>+IF(OR(O839="Blaze Shield II",O839="Cafco 400",O839="Cafco 300"),'CALCULO MORTERO'!N845," ")</f>
        <v xml:space="preserve"> </v>
      </c>
      <c r="U839" s="875" t="str">
        <f>+IF(OR(O839="Blaze Shield II",O839="Cafco 400",O839="Cafco 300"),'CALCULO MORTERO'!O845," ")</f>
        <v xml:space="preserve"> </v>
      </c>
      <c r="V839" s="161" t="str" cm="1">
        <f t="array" ref="V839">_xlfn.IFS(O839="Blaze Shield II",'CALCULO MORTERO'!P840, O839="Cafco 400",'CALCULO MORTERO'!Q840,O839="Cafco 300",'CALCULO MORTERO'!S840, AND(OR(O839="Fire tex 5090", O839="Fire Tex 5062", O839="Fire Tex 5120", O839="Fire Control"),Q839&gt;0), "CERT.",TRUE,"-")</f>
        <v>-</v>
      </c>
    </row>
    <row r="840" spans="1:22" x14ac:dyDescent="0.25">
      <c r="A840" s="168"/>
      <c r="B840" s="876"/>
      <c r="C840" s="161"/>
      <c r="D840" s="161"/>
      <c r="E840" s="161"/>
      <c r="F840" s="41"/>
      <c r="G840" s="161"/>
      <c r="H840" s="161"/>
      <c r="I840" s="166"/>
      <c r="J840" s="162"/>
      <c r="K840" s="161"/>
      <c r="L840" s="161"/>
      <c r="M840" s="163"/>
      <c r="N840" s="163" t="str">
        <f t="shared" si="17"/>
        <v/>
      </c>
      <c r="O840" s="41"/>
      <c r="P840" s="41"/>
      <c r="Q840" s="161" t="str">
        <f>+IF(OR(O840="Fire Control",O840="Fire Tex 5062",O840="Fire Tex 5090",O840="Fire Tex 5120"),'CALCULO PINTURA'!P841," ")</f>
        <v xml:space="preserve"> </v>
      </c>
      <c r="R840" s="164" t="str">
        <f>+IF(OR(O840="Fire Control",O840="Fire Tex 5062",O840="Fire Tex 5090",O840="Fire Tex 5120"),'CALCULO PINTURA'!R841," ")</f>
        <v xml:space="preserve"> </v>
      </c>
      <c r="S840" s="164" t="str">
        <f>+IF(OR(O840="Fire Control",O840="Fire Tex 5062",O840="Fire Tex 5090",O840="Fire Tex 5120"),'CALCULO PINTURA'!S841," ")</f>
        <v xml:space="preserve"> </v>
      </c>
      <c r="T840" s="874" t="str">
        <f>+IF(OR(O840="Blaze Shield II",O840="Cafco 400",O840="Cafco 300"),'CALCULO MORTERO'!N846," ")</f>
        <v xml:space="preserve"> </v>
      </c>
      <c r="U840" s="875" t="str">
        <f>+IF(OR(O840="Blaze Shield II",O840="Cafco 400",O840="Cafco 300"),'CALCULO MORTERO'!O846," ")</f>
        <v xml:space="preserve"> </v>
      </c>
      <c r="V840" s="161" t="str" cm="1">
        <f t="array" ref="V840">_xlfn.IFS(O840="Blaze Shield II",'CALCULO MORTERO'!P841, O840="Cafco 400",'CALCULO MORTERO'!Q841,O840="Cafco 300",'CALCULO MORTERO'!S841, AND(OR(O840="Fire tex 5090", O840="Fire Tex 5062", O840="Fire Tex 5120", O840="Fire Control"),Q840&gt;0), "CERT.",TRUE,"-")</f>
        <v>-</v>
      </c>
    </row>
    <row r="841" spans="1:22" x14ac:dyDescent="0.25">
      <c r="A841" s="168"/>
      <c r="B841" s="876"/>
      <c r="C841" s="161"/>
      <c r="D841" s="161"/>
      <c r="E841" s="161"/>
      <c r="F841" s="41"/>
      <c r="G841" s="161"/>
      <c r="H841" s="161"/>
      <c r="I841" s="166"/>
      <c r="J841" s="162"/>
      <c r="K841" s="161"/>
      <c r="L841" s="161"/>
      <c r="M841" s="163"/>
      <c r="N841" s="163" t="str">
        <f t="shared" si="17"/>
        <v/>
      </c>
      <c r="O841" s="41"/>
      <c r="P841" s="41"/>
      <c r="Q841" s="161" t="str">
        <f>+IF(OR(O841="Fire Control",O841="Fire Tex 5062",O841="Fire Tex 5090",O841="Fire Tex 5120"),'CALCULO PINTURA'!P842," ")</f>
        <v xml:space="preserve"> </v>
      </c>
      <c r="R841" s="164" t="str">
        <f>+IF(OR(O841="Fire Control",O841="Fire Tex 5062",O841="Fire Tex 5090",O841="Fire Tex 5120"),'CALCULO PINTURA'!R842," ")</f>
        <v xml:space="preserve"> </v>
      </c>
      <c r="S841" s="164" t="str">
        <f>+IF(OR(O841="Fire Control",O841="Fire Tex 5062",O841="Fire Tex 5090",O841="Fire Tex 5120"),'CALCULO PINTURA'!S842," ")</f>
        <v xml:space="preserve"> </v>
      </c>
      <c r="T841" s="874" t="str">
        <f>+IF(OR(O841="Blaze Shield II",O841="Cafco 400",O841="Cafco 300"),'CALCULO MORTERO'!N847," ")</f>
        <v xml:space="preserve"> </v>
      </c>
      <c r="U841" s="875" t="str">
        <f>+IF(OR(O841="Blaze Shield II",O841="Cafco 400",O841="Cafco 300"),'CALCULO MORTERO'!O847," ")</f>
        <v xml:space="preserve"> </v>
      </c>
      <c r="V841" s="161" t="str" cm="1">
        <f t="array" ref="V841">_xlfn.IFS(O841="Blaze Shield II",'CALCULO MORTERO'!P842, O841="Cafco 400",'CALCULO MORTERO'!Q842,O841="Cafco 300",'CALCULO MORTERO'!S842, AND(OR(O841="Fire tex 5090", O841="Fire Tex 5062", O841="Fire Tex 5120", O841="Fire Control"),Q841&gt;0), "CERT.",TRUE,"-")</f>
        <v>-</v>
      </c>
    </row>
    <row r="842" spans="1:22" x14ac:dyDescent="0.25">
      <c r="A842" s="168"/>
      <c r="B842" s="876"/>
      <c r="C842" s="161"/>
      <c r="D842" s="161"/>
      <c r="E842" s="161"/>
      <c r="F842" s="41"/>
      <c r="G842" s="161"/>
      <c r="H842" s="161"/>
      <c r="I842" s="166"/>
      <c r="J842" s="162"/>
      <c r="K842" s="161"/>
      <c r="L842" s="161"/>
      <c r="M842" s="163"/>
      <c r="N842" s="163" t="str">
        <f t="shared" si="17"/>
        <v/>
      </c>
      <c r="O842" s="41"/>
      <c r="P842" s="41"/>
      <c r="Q842" s="161" t="str">
        <f>+IF(OR(O842="Fire Control",O842="Fire Tex 5062",O842="Fire Tex 5090",O842="Fire Tex 5120"),'CALCULO PINTURA'!P843," ")</f>
        <v xml:space="preserve"> </v>
      </c>
      <c r="R842" s="164" t="str">
        <f>+IF(OR(O842="Fire Control",O842="Fire Tex 5062",O842="Fire Tex 5090",O842="Fire Tex 5120"),'CALCULO PINTURA'!R843," ")</f>
        <v xml:space="preserve"> </v>
      </c>
      <c r="S842" s="164" t="str">
        <f>+IF(OR(O842="Fire Control",O842="Fire Tex 5062",O842="Fire Tex 5090",O842="Fire Tex 5120"),'CALCULO PINTURA'!S843," ")</f>
        <v xml:space="preserve"> </v>
      </c>
      <c r="T842" s="874" t="str">
        <f>+IF(OR(O842="Blaze Shield II",O842="Cafco 400",O842="Cafco 300"),'CALCULO MORTERO'!N848," ")</f>
        <v xml:space="preserve"> </v>
      </c>
      <c r="U842" s="875" t="str">
        <f>+IF(OR(O842="Blaze Shield II",O842="Cafco 400",O842="Cafco 300"),'CALCULO MORTERO'!O848," ")</f>
        <v xml:space="preserve"> </v>
      </c>
      <c r="V842" s="161" t="str" cm="1">
        <f t="array" ref="V842">_xlfn.IFS(O842="Blaze Shield II",'CALCULO MORTERO'!P843, O842="Cafco 400",'CALCULO MORTERO'!Q843,O842="Cafco 300",'CALCULO MORTERO'!S843, AND(OR(O842="Fire tex 5090", O842="Fire Tex 5062", O842="Fire Tex 5120", O842="Fire Control"),Q842&gt;0), "CERT.",TRUE,"-")</f>
        <v>-</v>
      </c>
    </row>
    <row r="843" spans="1:22" x14ac:dyDescent="0.25">
      <c r="A843" s="168"/>
      <c r="B843" s="876"/>
      <c r="C843" s="161"/>
      <c r="D843" s="161"/>
      <c r="E843" s="161"/>
      <c r="F843" s="41"/>
      <c r="G843" s="161"/>
      <c r="H843" s="161"/>
      <c r="I843" s="166"/>
      <c r="J843" s="162"/>
      <c r="K843" s="161"/>
      <c r="L843" s="161"/>
      <c r="M843" s="163"/>
      <c r="N843" s="163" t="str">
        <f t="shared" si="17"/>
        <v/>
      </c>
      <c r="O843" s="41"/>
      <c r="P843" s="41"/>
      <c r="Q843" s="161" t="str">
        <f>+IF(OR(O843="Fire Control",O843="Fire Tex 5062",O843="Fire Tex 5090",O843="Fire Tex 5120"),'CALCULO PINTURA'!P844," ")</f>
        <v xml:space="preserve"> </v>
      </c>
      <c r="R843" s="164" t="str">
        <f>+IF(OR(O843="Fire Control",O843="Fire Tex 5062",O843="Fire Tex 5090",O843="Fire Tex 5120"),'CALCULO PINTURA'!R844," ")</f>
        <v xml:space="preserve"> </v>
      </c>
      <c r="S843" s="164" t="str">
        <f>+IF(OR(O843="Fire Control",O843="Fire Tex 5062",O843="Fire Tex 5090",O843="Fire Tex 5120"),'CALCULO PINTURA'!S844," ")</f>
        <v xml:space="preserve"> </v>
      </c>
      <c r="T843" s="874" t="str">
        <f>+IF(OR(O843="Blaze Shield II",O843="Cafco 400",O843="Cafco 300"),'CALCULO MORTERO'!N849," ")</f>
        <v xml:space="preserve"> </v>
      </c>
      <c r="U843" s="875" t="str">
        <f>+IF(OR(O843="Blaze Shield II",O843="Cafco 400",O843="Cafco 300"),'CALCULO MORTERO'!O849," ")</f>
        <v xml:space="preserve"> </v>
      </c>
      <c r="V843" s="161" t="str" cm="1">
        <f t="array" ref="V843">_xlfn.IFS(O843="Blaze Shield II",'CALCULO MORTERO'!P844, O843="Cafco 400",'CALCULO MORTERO'!Q844,O843="Cafco 300",'CALCULO MORTERO'!S844, AND(OR(O843="Fire tex 5090", O843="Fire Tex 5062", O843="Fire Tex 5120", O843="Fire Control"),Q843&gt;0), "CERT.",TRUE,"-")</f>
        <v>-</v>
      </c>
    </row>
    <row r="844" spans="1:22" x14ac:dyDescent="0.25">
      <c r="A844" s="168"/>
      <c r="B844" s="876"/>
      <c r="C844" s="161"/>
      <c r="D844" s="161"/>
      <c r="E844" s="161"/>
      <c r="F844" s="41"/>
      <c r="G844" s="161"/>
      <c r="H844" s="161"/>
      <c r="I844" s="166"/>
      <c r="J844" s="162"/>
      <c r="K844" s="161"/>
      <c r="L844" s="161"/>
      <c r="M844" s="163"/>
      <c r="N844" s="163" t="str">
        <f t="shared" si="17"/>
        <v/>
      </c>
      <c r="O844" s="41"/>
      <c r="P844" s="41"/>
      <c r="Q844" s="161" t="str">
        <f>+IF(OR(O844="Fire Control",O844="Fire Tex 5062",O844="Fire Tex 5090",O844="Fire Tex 5120"),'CALCULO PINTURA'!P845," ")</f>
        <v xml:space="preserve"> </v>
      </c>
      <c r="R844" s="164" t="str">
        <f>+IF(OR(O844="Fire Control",O844="Fire Tex 5062",O844="Fire Tex 5090",O844="Fire Tex 5120"),'CALCULO PINTURA'!R845," ")</f>
        <v xml:space="preserve"> </v>
      </c>
      <c r="S844" s="164" t="str">
        <f>+IF(OR(O844="Fire Control",O844="Fire Tex 5062",O844="Fire Tex 5090",O844="Fire Tex 5120"),'CALCULO PINTURA'!S845," ")</f>
        <v xml:space="preserve"> </v>
      </c>
      <c r="T844" s="874" t="str">
        <f>+IF(OR(O844="Blaze Shield II",O844="Cafco 400",O844="Cafco 300"),'CALCULO MORTERO'!N850," ")</f>
        <v xml:space="preserve"> </v>
      </c>
      <c r="U844" s="875" t="str">
        <f>+IF(OR(O844="Blaze Shield II",O844="Cafco 400",O844="Cafco 300"),'CALCULO MORTERO'!O850," ")</f>
        <v xml:space="preserve"> </v>
      </c>
      <c r="V844" s="161" t="str" cm="1">
        <f t="array" ref="V844">_xlfn.IFS(O844="Blaze Shield II",'CALCULO MORTERO'!P845, O844="Cafco 400",'CALCULO MORTERO'!Q845,O844="Cafco 300",'CALCULO MORTERO'!S845, AND(OR(O844="Fire tex 5090", O844="Fire Tex 5062", O844="Fire Tex 5120", O844="Fire Control"),Q844&gt;0), "CERT.",TRUE,"-")</f>
        <v>-</v>
      </c>
    </row>
    <row r="845" spans="1:22" x14ac:dyDescent="0.25">
      <c r="A845" s="168"/>
      <c r="B845" s="876"/>
      <c r="C845" s="161"/>
      <c r="D845" s="161"/>
      <c r="E845" s="161"/>
      <c r="F845" s="41"/>
      <c r="G845" s="161"/>
      <c r="H845" s="161"/>
      <c r="I845" s="166"/>
      <c r="J845" s="162"/>
      <c r="K845" s="161"/>
      <c r="L845" s="161"/>
      <c r="M845" s="163"/>
      <c r="N845" s="163" t="str">
        <f t="shared" si="17"/>
        <v/>
      </c>
      <c r="O845" s="41"/>
      <c r="P845" s="41"/>
      <c r="Q845" s="161" t="str">
        <f>+IF(OR(O845="Fire Control",O845="Fire Tex 5062",O845="Fire Tex 5090",O845="Fire Tex 5120"),'CALCULO PINTURA'!P846," ")</f>
        <v xml:space="preserve"> </v>
      </c>
      <c r="R845" s="164" t="str">
        <f>+IF(OR(O845="Fire Control",O845="Fire Tex 5062",O845="Fire Tex 5090",O845="Fire Tex 5120"),'CALCULO PINTURA'!R846," ")</f>
        <v xml:space="preserve"> </v>
      </c>
      <c r="S845" s="164" t="str">
        <f>+IF(OR(O845="Fire Control",O845="Fire Tex 5062",O845="Fire Tex 5090",O845="Fire Tex 5120"),'CALCULO PINTURA'!S846," ")</f>
        <v xml:space="preserve"> </v>
      </c>
      <c r="T845" s="874" t="str">
        <f>+IF(OR(O845="Blaze Shield II",O845="Cafco 400",O845="Cafco 300"),'CALCULO MORTERO'!N851," ")</f>
        <v xml:space="preserve"> </v>
      </c>
      <c r="U845" s="875" t="str">
        <f>+IF(OR(O845="Blaze Shield II",O845="Cafco 400",O845="Cafco 300"),'CALCULO MORTERO'!O851," ")</f>
        <v xml:space="preserve"> </v>
      </c>
      <c r="V845" s="161" t="str" cm="1">
        <f t="array" ref="V845">_xlfn.IFS(O845="Blaze Shield II",'CALCULO MORTERO'!P846, O845="Cafco 400",'CALCULO MORTERO'!Q846,O845="Cafco 300",'CALCULO MORTERO'!S846, AND(OR(O845="Fire tex 5090", O845="Fire Tex 5062", O845="Fire Tex 5120", O845="Fire Control"),Q845&gt;0), "CERT.",TRUE,"-")</f>
        <v>-</v>
      </c>
    </row>
    <row r="846" spans="1:22" x14ac:dyDescent="0.25">
      <c r="A846" s="168"/>
      <c r="B846" s="876"/>
      <c r="C846" s="161"/>
      <c r="D846" s="161"/>
      <c r="E846" s="161"/>
      <c r="F846" s="41"/>
      <c r="G846" s="161"/>
      <c r="H846" s="161"/>
      <c r="I846" s="166"/>
      <c r="J846" s="162"/>
      <c r="K846" s="161"/>
      <c r="L846" s="161"/>
      <c r="M846" s="163"/>
      <c r="N846" s="163" t="str">
        <f t="shared" si="17"/>
        <v/>
      </c>
      <c r="O846" s="41"/>
      <c r="P846" s="41"/>
      <c r="Q846" s="161" t="str">
        <f>+IF(OR(O846="Fire Control",O846="Fire Tex 5062",O846="Fire Tex 5090",O846="Fire Tex 5120"),'CALCULO PINTURA'!P847," ")</f>
        <v xml:space="preserve"> </v>
      </c>
      <c r="R846" s="164" t="str">
        <f>+IF(OR(O846="Fire Control",O846="Fire Tex 5062",O846="Fire Tex 5090",O846="Fire Tex 5120"),'CALCULO PINTURA'!R847," ")</f>
        <v xml:space="preserve"> </v>
      </c>
      <c r="S846" s="164" t="str">
        <f>+IF(OR(O846="Fire Control",O846="Fire Tex 5062",O846="Fire Tex 5090",O846="Fire Tex 5120"),'CALCULO PINTURA'!S847," ")</f>
        <v xml:space="preserve"> </v>
      </c>
      <c r="T846" s="874" t="str">
        <f>+IF(OR(O846="Blaze Shield II",O846="Cafco 400",O846="Cafco 300"),'CALCULO MORTERO'!N852," ")</f>
        <v xml:space="preserve"> </v>
      </c>
      <c r="U846" s="875" t="str">
        <f>+IF(OR(O846="Blaze Shield II",O846="Cafco 400",O846="Cafco 300"),'CALCULO MORTERO'!O852," ")</f>
        <v xml:space="preserve"> </v>
      </c>
      <c r="V846" s="161" t="str" cm="1">
        <f t="array" ref="V846">_xlfn.IFS(O846="Blaze Shield II",'CALCULO MORTERO'!P847, O846="Cafco 400",'CALCULO MORTERO'!Q847,O846="Cafco 300",'CALCULO MORTERO'!S847, AND(OR(O846="Fire tex 5090", O846="Fire Tex 5062", O846="Fire Tex 5120", O846="Fire Control"),Q846&gt;0), "CERT.",TRUE,"-")</f>
        <v>-</v>
      </c>
    </row>
    <row r="847" spans="1:22" x14ac:dyDescent="0.25">
      <c r="A847" s="168"/>
      <c r="B847" s="876"/>
      <c r="C847" s="161"/>
      <c r="D847" s="161"/>
      <c r="E847" s="161"/>
      <c r="F847" s="41"/>
      <c r="G847" s="161"/>
      <c r="H847" s="161"/>
      <c r="I847" s="166"/>
      <c r="J847" s="162"/>
      <c r="K847" s="161"/>
      <c r="L847" s="161"/>
      <c r="M847" s="163"/>
      <c r="N847" s="163" t="str">
        <f t="shared" si="17"/>
        <v/>
      </c>
      <c r="O847" s="41"/>
      <c r="P847" s="41"/>
      <c r="Q847" s="161" t="str">
        <f>+IF(OR(O847="Fire Control",O847="Fire Tex 5062",O847="Fire Tex 5090",O847="Fire Tex 5120"),'CALCULO PINTURA'!P848," ")</f>
        <v xml:space="preserve"> </v>
      </c>
      <c r="R847" s="164" t="str">
        <f>+IF(OR(O847="Fire Control",O847="Fire Tex 5062",O847="Fire Tex 5090",O847="Fire Tex 5120"),'CALCULO PINTURA'!R848," ")</f>
        <v xml:space="preserve"> </v>
      </c>
      <c r="S847" s="164" t="str">
        <f>+IF(OR(O847="Fire Control",O847="Fire Tex 5062",O847="Fire Tex 5090",O847="Fire Tex 5120"),'CALCULO PINTURA'!S848," ")</f>
        <v xml:space="preserve"> </v>
      </c>
      <c r="T847" s="874" t="str">
        <f>+IF(OR(O847="Blaze Shield II",O847="Cafco 400",O847="Cafco 300"),'CALCULO MORTERO'!N853," ")</f>
        <v xml:space="preserve"> </v>
      </c>
      <c r="U847" s="875" t="str">
        <f>+IF(OR(O847="Blaze Shield II",O847="Cafco 400",O847="Cafco 300"),'CALCULO MORTERO'!O853," ")</f>
        <v xml:space="preserve"> </v>
      </c>
      <c r="V847" s="161" t="str" cm="1">
        <f t="array" ref="V847">_xlfn.IFS(O847="Blaze Shield II",'CALCULO MORTERO'!P848, O847="Cafco 400",'CALCULO MORTERO'!Q848,O847="Cafco 300",'CALCULO MORTERO'!S848, AND(OR(O847="Fire tex 5090", O847="Fire Tex 5062", O847="Fire Tex 5120", O847="Fire Control"),Q847&gt;0), "CERT.",TRUE,"-")</f>
        <v>-</v>
      </c>
    </row>
    <row r="848" spans="1:22" x14ac:dyDescent="0.25">
      <c r="A848" s="168"/>
      <c r="B848" s="876"/>
      <c r="C848" s="161"/>
      <c r="D848" s="161"/>
      <c r="E848" s="161"/>
      <c r="F848" s="41"/>
      <c r="G848" s="161"/>
      <c r="H848" s="161"/>
      <c r="I848" s="166"/>
      <c r="J848" s="162"/>
      <c r="K848" s="161"/>
      <c r="L848" s="161"/>
      <c r="M848" s="163"/>
      <c r="N848" s="163" t="str">
        <f t="shared" si="17"/>
        <v/>
      </c>
      <c r="O848" s="41"/>
      <c r="P848" s="41"/>
      <c r="Q848" s="161" t="str">
        <f>+IF(OR(O848="Fire Control",O848="Fire Tex 5062",O848="Fire Tex 5090",O848="Fire Tex 5120"),'CALCULO PINTURA'!P849," ")</f>
        <v xml:space="preserve"> </v>
      </c>
      <c r="R848" s="164" t="str">
        <f>+IF(OR(O848="Fire Control",O848="Fire Tex 5062",O848="Fire Tex 5090",O848="Fire Tex 5120"),'CALCULO PINTURA'!R849," ")</f>
        <v xml:space="preserve"> </v>
      </c>
      <c r="S848" s="164" t="str">
        <f>+IF(OR(O848="Fire Control",O848="Fire Tex 5062",O848="Fire Tex 5090",O848="Fire Tex 5120"),'CALCULO PINTURA'!S849," ")</f>
        <v xml:space="preserve"> </v>
      </c>
      <c r="T848" s="874" t="str">
        <f>+IF(OR(O848="Blaze Shield II",O848="Cafco 400",O848="Cafco 300"),'CALCULO MORTERO'!N854," ")</f>
        <v xml:space="preserve"> </v>
      </c>
      <c r="U848" s="875" t="str">
        <f>+IF(OR(O848="Blaze Shield II",O848="Cafco 400",O848="Cafco 300"),'CALCULO MORTERO'!O854," ")</f>
        <v xml:space="preserve"> </v>
      </c>
      <c r="V848" s="161" t="str" cm="1">
        <f t="array" ref="V848">_xlfn.IFS(O848="Blaze Shield II",'CALCULO MORTERO'!P849, O848="Cafco 400",'CALCULO MORTERO'!Q849,O848="Cafco 300",'CALCULO MORTERO'!S849, AND(OR(O848="Fire tex 5090", O848="Fire Tex 5062", O848="Fire Tex 5120", O848="Fire Control"),Q848&gt;0), "CERT.",TRUE,"-")</f>
        <v>-</v>
      </c>
    </row>
    <row r="849" spans="1:22" x14ac:dyDescent="0.25">
      <c r="A849" s="168"/>
      <c r="B849" s="876"/>
      <c r="C849" s="161"/>
      <c r="D849" s="161"/>
      <c r="E849" s="161"/>
      <c r="F849" s="41"/>
      <c r="G849" s="161"/>
      <c r="H849" s="161"/>
      <c r="I849" s="166"/>
      <c r="J849" s="162"/>
      <c r="K849" s="161"/>
      <c r="L849" s="161"/>
      <c r="M849" s="163"/>
      <c r="N849" s="163" t="str">
        <f t="shared" si="17"/>
        <v/>
      </c>
      <c r="O849" s="41"/>
      <c r="P849" s="41"/>
      <c r="Q849" s="161" t="str">
        <f>+IF(OR(O849="Fire Control",O849="Fire Tex 5062",O849="Fire Tex 5090",O849="Fire Tex 5120"),'CALCULO PINTURA'!P850," ")</f>
        <v xml:space="preserve"> </v>
      </c>
      <c r="R849" s="164" t="str">
        <f>+IF(OR(O849="Fire Control",O849="Fire Tex 5062",O849="Fire Tex 5090",O849="Fire Tex 5120"),'CALCULO PINTURA'!R850," ")</f>
        <v xml:space="preserve"> </v>
      </c>
      <c r="S849" s="164" t="str">
        <f>+IF(OR(O849="Fire Control",O849="Fire Tex 5062",O849="Fire Tex 5090",O849="Fire Tex 5120"),'CALCULO PINTURA'!S850," ")</f>
        <v xml:space="preserve"> </v>
      </c>
      <c r="T849" s="874" t="str">
        <f>+IF(OR(O849="Blaze Shield II",O849="Cafco 400",O849="Cafco 300"),'CALCULO MORTERO'!N855," ")</f>
        <v xml:space="preserve"> </v>
      </c>
      <c r="U849" s="875" t="str">
        <f>+IF(OR(O849="Blaze Shield II",O849="Cafco 400",O849="Cafco 300"),'CALCULO MORTERO'!O855," ")</f>
        <v xml:space="preserve"> </v>
      </c>
      <c r="V849" s="161" t="str" cm="1">
        <f t="array" ref="V849">_xlfn.IFS(O849="Blaze Shield II",'CALCULO MORTERO'!P850, O849="Cafco 400",'CALCULO MORTERO'!Q850,O849="Cafco 300",'CALCULO MORTERO'!S850, AND(OR(O849="Fire tex 5090", O849="Fire Tex 5062", O849="Fire Tex 5120", O849="Fire Control"),Q849&gt;0), "CERT.",TRUE,"-")</f>
        <v>-</v>
      </c>
    </row>
    <row r="850" spans="1:22" x14ac:dyDescent="0.25">
      <c r="A850" s="168"/>
      <c r="B850" s="876"/>
      <c r="C850" s="161"/>
      <c r="D850" s="161"/>
      <c r="E850" s="161"/>
      <c r="F850" s="41"/>
      <c r="G850" s="161"/>
      <c r="H850" s="161"/>
      <c r="I850" s="166"/>
      <c r="J850" s="162"/>
      <c r="K850" s="161"/>
      <c r="L850" s="161"/>
      <c r="M850" s="163"/>
      <c r="N850" s="163" t="str">
        <f t="shared" si="17"/>
        <v/>
      </c>
      <c r="O850" s="41"/>
      <c r="P850" s="41"/>
      <c r="Q850" s="161" t="str">
        <f>+IF(OR(O850="Fire Control",O850="Fire Tex 5062",O850="Fire Tex 5090",O850="Fire Tex 5120"),'CALCULO PINTURA'!P851," ")</f>
        <v xml:space="preserve"> </v>
      </c>
      <c r="R850" s="164" t="str">
        <f>+IF(OR(O850="Fire Control",O850="Fire Tex 5062",O850="Fire Tex 5090",O850="Fire Tex 5120"),'CALCULO PINTURA'!R851," ")</f>
        <v xml:space="preserve"> </v>
      </c>
      <c r="S850" s="164" t="str">
        <f>+IF(OR(O850="Fire Control",O850="Fire Tex 5062",O850="Fire Tex 5090",O850="Fire Tex 5120"),'CALCULO PINTURA'!S851," ")</f>
        <v xml:space="preserve"> </v>
      </c>
      <c r="T850" s="874" t="str">
        <f>+IF(OR(O850="Blaze Shield II",O850="Cafco 400",O850="Cafco 300"),'CALCULO MORTERO'!N856," ")</f>
        <v xml:space="preserve"> </v>
      </c>
      <c r="U850" s="875" t="str">
        <f>+IF(OR(O850="Blaze Shield II",O850="Cafco 400",O850="Cafco 300"),'CALCULO MORTERO'!O856," ")</f>
        <v xml:space="preserve"> </v>
      </c>
      <c r="V850" s="161" t="str" cm="1">
        <f t="array" ref="V850">_xlfn.IFS(O850="Blaze Shield II",'CALCULO MORTERO'!P851, O850="Cafco 400",'CALCULO MORTERO'!Q851,O850="Cafco 300",'CALCULO MORTERO'!S851, AND(OR(O850="Fire tex 5090", O850="Fire Tex 5062", O850="Fire Tex 5120", O850="Fire Control"),Q850&gt;0), "CERT.",TRUE,"-")</f>
        <v>-</v>
      </c>
    </row>
    <row r="851" spans="1:22" x14ac:dyDescent="0.25">
      <c r="A851" s="168"/>
      <c r="B851" s="876"/>
      <c r="C851" s="161"/>
      <c r="D851" s="161"/>
      <c r="E851" s="161"/>
      <c r="F851" s="41"/>
      <c r="G851" s="161"/>
      <c r="H851" s="161"/>
      <c r="I851" s="166"/>
      <c r="J851" s="162"/>
      <c r="K851" s="161"/>
      <c r="L851" s="161"/>
      <c r="M851" s="163"/>
      <c r="N851" s="163" t="str">
        <f t="shared" si="17"/>
        <v/>
      </c>
      <c r="O851" s="41"/>
      <c r="P851" s="41"/>
      <c r="Q851" s="161" t="str">
        <f>+IF(OR(O851="Fire Control",O851="Fire Tex 5062",O851="Fire Tex 5090",O851="Fire Tex 5120"),'CALCULO PINTURA'!P852," ")</f>
        <v xml:space="preserve"> </v>
      </c>
      <c r="R851" s="164" t="str">
        <f>+IF(OR(O851="Fire Control",O851="Fire Tex 5062",O851="Fire Tex 5090",O851="Fire Tex 5120"),'CALCULO PINTURA'!R852," ")</f>
        <v xml:space="preserve"> </v>
      </c>
      <c r="S851" s="164" t="str">
        <f>+IF(OR(O851="Fire Control",O851="Fire Tex 5062",O851="Fire Tex 5090",O851="Fire Tex 5120"),'CALCULO PINTURA'!S852," ")</f>
        <v xml:space="preserve"> </v>
      </c>
      <c r="T851" s="874" t="str">
        <f>+IF(OR(O851="Blaze Shield II",O851="Cafco 400",O851="Cafco 300"),'CALCULO MORTERO'!N857," ")</f>
        <v xml:space="preserve"> </v>
      </c>
      <c r="U851" s="875" t="str">
        <f>+IF(OR(O851="Blaze Shield II",O851="Cafco 400",O851="Cafco 300"),'CALCULO MORTERO'!O857," ")</f>
        <v xml:space="preserve"> </v>
      </c>
      <c r="V851" s="161" t="str" cm="1">
        <f t="array" ref="V851">_xlfn.IFS(O851="Blaze Shield II",'CALCULO MORTERO'!P852, O851="Cafco 400",'CALCULO MORTERO'!Q852,O851="Cafco 300",'CALCULO MORTERO'!S852, AND(OR(O851="Fire tex 5090", O851="Fire Tex 5062", O851="Fire Tex 5120", O851="Fire Control"),Q851&gt;0), "CERT.",TRUE,"-")</f>
        <v>-</v>
      </c>
    </row>
    <row r="852" spans="1:22" x14ac:dyDescent="0.25">
      <c r="A852" s="168"/>
      <c r="B852" s="876"/>
      <c r="C852" s="161"/>
      <c r="D852" s="161"/>
      <c r="E852" s="161"/>
      <c r="F852" s="41"/>
      <c r="G852" s="161"/>
      <c r="H852" s="161"/>
      <c r="I852" s="166"/>
      <c r="J852" s="162"/>
      <c r="K852" s="161"/>
      <c r="L852" s="161"/>
      <c r="M852" s="163"/>
      <c r="N852" s="163" t="str">
        <f t="shared" si="17"/>
        <v/>
      </c>
      <c r="O852" s="41"/>
      <c r="P852" s="41"/>
      <c r="Q852" s="161" t="str">
        <f>+IF(OR(O852="Fire Control",O852="Fire Tex 5062",O852="Fire Tex 5090",O852="Fire Tex 5120"),'CALCULO PINTURA'!P853," ")</f>
        <v xml:space="preserve"> </v>
      </c>
      <c r="R852" s="164" t="str">
        <f>+IF(OR(O852="Fire Control",O852="Fire Tex 5062",O852="Fire Tex 5090",O852="Fire Tex 5120"),'CALCULO PINTURA'!R853," ")</f>
        <v xml:space="preserve"> </v>
      </c>
      <c r="S852" s="164" t="str">
        <f>+IF(OR(O852="Fire Control",O852="Fire Tex 5062",O852="Fire Tex 5090",O852="Fire Tex 5120"),'CALCULO PINTURA'!S853," ")</f>
        <v xml:space="preserve"> </v>
      </c>
      <c r="T852" s="874" t="str">
        <f>+IF(OR(O852="Blaze Shield II",O852="Cafco 400",O852="Cafco 300"),'CALCULO MORTERO'!N858," ")</f>
        <v xml:space="preserve"> </v>
      </c>
      <c r="U852" s="875" t="str">
        <f>+IF(OR(O852="Blaze Shield II",O852="Cafco 400",O852="Cafco 300"),'CALCULO MORTERO'!O858," ")</f>
        <v xml:space="preserve"> </v>
      </c>
      <c r="V852" s="161" t="str" cm="1">
        <f t="array" ref="V852">_xlfn.IFS(O852="Blaze Shield II",'CALCULO MORTERO'!P853, O852="Cafco 400",'CALCULO MORTERO'!Q853,O852="Cafco 300",'CALCULO MORTERO'!S853, AND(OR(O852="Fire tex 5090", O852="Fire Tex 5062", O852="Fire Tex 5120", O852="Fire Control"),Q852&gt;0), "CERT.",TRUE,"-")</f>
        <v>-</v>
      </c>
    </row>
    <row r="853" spans="1:22" x14ac:dyDescent="0.25">
      <c r="A853" s="168"/>
      <c r="B853" s="876"/>
      <c r="C853" s="161"/>
      <c r="D853" s="161"/>
      <c r="E853" s="161"/>
      <c r="F853" s="41"/>
      <c r="G853" s="161"/>
      <c r="H853" s="161"/>
      <c r="I853" s="166"/>
      <c r="J853" s="162"/>
      <c r="K853" s="161"/>
      <c r="L853" s="161"/>
      <c r="M853" s="163"/>
      <c r="N853" s="163" t="str">
        <f t="shared" si="17"/>
        <v/>
      </c>
      <c r="O853" s="41"/>
      <c r="P853" s="41"/>
      <c r="Q853" s="161" t="str">
        <f>+IF(OR(O853="Fire Control",O853="Fire Tex 5062",O853="Fire Tex 5090",O853="Fire Tex 5120"),'CALCULO PINTURA'!P854," ")</f>
        <v xml:space="preserve"> </v>
      </c>
      <c r="R853" s="164" t="str">
        <f>+IF(OR(O853="Fire Control",O853="Fire Tex 5062",O853="Fire Tex 5090",O853="Fire Tex 5120"),'CALCULO PINTURA'!R854," ")</f>
        <v xml:space="preserve"> </v>
      </c>
      <c r="S853" s="164" t="str">
        <f>+IF(OR(O853="Fire Control",O853="Fire Tex 5062",O853="Fire Tex 5090",O853="Fire Tex 5120"),'CALCULO PINTURA'!S854," ")</f>
        <v xml:space="preserve"> </v>
      </c>
      <c r="T853" s="874" t="str">
        <f>+IF(OR(O853="Blaze Shield II",O853="Cafco 400",O853="Cafco 300"),'CALCULO MORTERO'!N859," ")</f>
        <v xml:space="preserve"> </v>
      </c>
      <c r="U853" s="875" t="str">
        <f>+IF(OR(O853="Blaze Shield II",O853="Cafco 400",O853="Cafco 300"),'CALCULO MORTERO'!O859," ")</f>
        <v xml:space="preserve"> </v>
      </c>
      <c r="V853" s="161" t="str" cm="1">
        <f t="array" ref="V853">_xlfn.IFS(O853="Blaze Shield II",'CALCULO MORTERO'!P854, O853="Cafco 400",'CALCULO MORTERO'!Q854,O853="Cafco 300",'CALCULO MORTERO'!S854, AND(OR(O853="Fire tex 5090", O853="Fire Tex 5062", O853="Fire Tex 5120", O853="Fire Control"),Q853&gt;0), "CERT.",TRUE,"-")</f>
        <v>-</v>
      </c>
    </row>
    <row r="854" spans="1:22" x14ac:dyDescent="0.25">
      <c r="A854" s="168"/>
      <c r="B854" s="876"/>
      <c r="C854" s="161"/>
      <c r="D854" s="161"/>
      <c r="E854" s="161"/>
      <c r="F854" s="41"/>
      <c r="G854" s="161"/>
      <c r="H854" s="161"/>
      <c r="I854" s="166"/>
      <c r="J854" s="162"/>
      <c r="K854" s="161"/>
      <c r="L854" s="161"/>
      <c r="M854" s="163"/>
      <c r="N854" s="163" t="str">
        <f t="shared" si="17"/>
        <v/>
      </c>
      <c r="O854" s="41"/>
      <c r="P854" s="41"/>
      <c r="Q854" s="161" t="str">
        <f>+IF(OR(O854="Fire Control",O854="Fire Tex 5062",O854="Fire Tex 5090",O854="Fire Tex 5120"),'CALCULO PINTURA'!P855," ")</f>
        <v xml:space="preserve"> </v>
      </c>
      <c r="R854" s="164" t="str">
        <f>+IF(OR(O854="Fire Control",O854="Fire Tex 5062",O854="Fire Tex 5090",O854="Fire Tex 5120"),'CALCULO PINTURA'!R855," ")</f>
        <v xml:space="preserve"> </v>
      </c>
      <c r="S854" s="164" t="str">
        <f>+IF(OR(O854="Fire Control",O854="Fire Tex 5062",O854="Fire Tex 5090",O854="Fire Tex 5120"),'CALCULO PINTURA'!S855," ")</f>
        <v xml:space="preserve"> </v>
      </c>
      <c r="T854" s="874" t="str">
        <f>+IF(OR(O854="Blaze Shield II",O854="Cafco 400",O854="Cafco 300"),'CALCULO MORTERO'!N860," ")</f>
        <v xml:space="preserve"> </v>
      </c>
      <c r="U854" s="875" t="str">
        <f>+IF(OR(O854="Blaze Shield II",O854="Cafco 400",O854="Cafco 300"),'CALCULO MORTERO'!O860," ")</f>
        <v xml:space="preserve"> </v>
      </c>
      <c r="V854" s="161" t="str" cm="1">
        <f t="array" ref="V854">_xlfn.IFS(O854="Blaze Shield II",'CALCULO MORTERO'!P855, O854="Cafco 400",'CALCULO MORTERO'!Q855,O854="Cafco 300",'CALCULO MORTERO'!S855, AND(OR(O854="Fire tex 5090", O854="Fire Tex 5062", O854="Fire Tex 5120", O854="Fire Control"),Q854&gt;0), "CERT.",TRUE,"-")</f>
        <v>-</v>
      </c>
    </row>
    <row r="855" spans="1:22" x14ac:dyDescent="0.25">
      <c r="A855" s="168"/>
      <c r="B855" s="876"/>
      <c r="C855" s="161"/>
      <c r="D855" s="161"/>
      <c r="E855" s="161"/>
      <c r="F855" s="41"/>
      <c r="G855" s="161"/>
      <c r="H855" s="161"/>
      <c r="I855" s="166"/>
      <c r="J855" s="162"/>
      <c r="K855" s="161"/>
      <c r="L855" s="161"/>
      <c r="M855" s="163"/>
      <c r="N855" s="163" t="str">
        <f t="shared" si="17"/>
        <v/>
      </c>
      <c r="O855" s="41"/>
      <c r="P855" s="41"/>
      <c r="Q855" s="161" t="str">
        <f>+IF(OR(O855="Fire Control",O855="Fire Tex 5062",O855="Fire Tex 5090",O855="Fire Tex 5120"),'CALCULO PINTURA'!P856," ")</f>
        <v xml:space="preserve"> </v>
      </c>
      <c r="R855" s="164" t="str">
        <f>+IF(OR(O855="Fire Control",O855="Fire Tex 5062",O855="Fire Tex 5090",O855="Fire Tex 5120"),'CALCULO PINTURA'!R856," ")</f>
        <v xml:space="preserve"> </v>
      </c>
      <c r="S855" s="164" t="str">
        <f>+IF(OR(O855="Fire Control",O855="Fire Tex 5062",O855="Fire Tex 5090",O855="Fire Tex 5120"),'CALCULO PINTURA'!S856," ")</f>
        <v xml:space="preserve"> </v>
      </c>
      <c r="T855" s="874" t="str">
        <f>+IF(OR(O855="Blaze Shield II",O855="Cafco 400",O855="Cafco 300"),'CALCULO MORTERO'!N861," ")</f>
        <v xml:space="preserve"> </v>
      </c>
      <c r="U855" s="875" t="str">
        <f>+IF(OR(O855="Blaze Shield II",O855="Cafco 400",O855="Cafco 300"),'CALCULO MORTERO'!O861," ")</f>
        <v xml:space="preserve"> </v>
      </c>
      <c r="V855" s="161" t="str" cm="1">
        <f t="array" ref="V855">_xlfn.IFS(O855="Blaze Shield II",'CALCULO MORTERO'!P856, O855="Cafco 400",'CALCULO MORTERO'!Q856,O855="Cafco 300",'CALCULO MORTERO'!S856, AND(OR(O855="Fire tex 5090", O855="Fire Tex 5062", O855="Fire Tex 5120", O855="Fire Control"),Q855&gt;0), "CERT.",TRUE,"-")</f>
        <v>-</v>
      </c>
    </row>
    <row r="856" spans="1:22" x14ac:dyDescent="0.25">
      <c r="A856" s="168"/>
      <c r="B856" s="876"/>
      <c r="C856" s="161"/>
      <c r="D856" s="161"/>
      <c r="E856" s="161"/>
      <c r="F856" s="41"/>
      <c r="G856" s="161"/>
      <c r="H856" s="161"/>
      <c r="I856" s="166"/>
      <c r="J856" s="162"/>
      <c r="K856" s="161"/>
      <c r="L856" s="161"/>
      <c r="M856" s="163"/>
      <c r="N856" s="163" t="str">
        <f t="shared" si="17"/>
        <v/>
      </c>
      <c r="O856" s="41"/>
      <c r="P856" s="41"/>
      <c r="Q856" s="161" t="str">
        <f>+IF(OR(O856="Fire Control",O856="Fire Tex 5062",O856="Fire Tex 5090",O856="Fire Tex 5120"),'CALCULO PINTURA'!P857," ")</f>
        <v xml:space="preserve"> </v>
      </c>
      <c r="R856" s="164" t="str">
        <f>+IF(OR(O856="Fire Control",O856="Fire Tex 5062",O856="Fire Tex 5090",O856="Fire Tex 5120"),'CALCULO PINTURA'!R857," ")</f>
        <v xml:space="preserve"> </v>
      </c>
      <c r="S856" s="164" t="str">
        <f>+IF(OR(O856="Fire Control",O856="Fire Tex 5062",O856="Fire Tex 5090",O856="Fire Tex 5120"),'CALCULO PINTURA'!S857," ")</f>
        <v xml:space="preserve"> </v>
      </c>
      <c r="T856" s="874" t="str">
        <f>+IF(OR(O856="Blaze Shield II",O856="Cafco 400",O856="Cafco 300"),'CALCULO MORTERO'!N862," ")</f>
        <v xml:space="preserve"> </v>
      </c>
      <c r="U856" s="875" t="str">
        <f>+IF(OR(O856="Blaze Shield II",O856="Cafco 400",O856="Cafco 300"),'CALCULO MORTERO'!O862," ")</f>
        <v xml:space="preserve"> </v>
      </c>
      <c r="V856" s="161" t="str" cm="1">
        <f t="array" ref="V856">_xlfn.IFS(O856="Blaze Shield II",'CALCULO MORTERO'!P857, O856="Cafco 400",'CALCULO MORTERO'!Q857,O856="Cafco 300",'CALCULO MORTERO'!S857, AND(OR(O856="Fire tex 5090", O856="Fire Tex 5062", O856="Fire Tex 5120", O856="Fire Control"),Q856&gt;0), "CERT.",TRUE,"-")</f>
        <v>-</v>
      </c>
    </row>
    <row r="857" spans="1:22" x14ac:dyDescent="0.25">
      <c r="A857" s="168"/>
      <c r="B857" s="876"/>
      <c r="C857" s="161"/>
      <c r="D857" s="161"/>
      <c r="E857" s="161"/>
      <c r="F857" s="41"/>
      <c r="G857" s="161"/>
      <c r="H857" s="161"/>
      <c r="I857" s="166"/>
      <c r="J857" s="162"/>
      <c r="K857" s="161"/>
      <c r="L857" s="161"/>
      <c r="M857" s="163"/>
      <c r="N857" s="163" t="str">
        <f t="shared" si="17"/>
        <v/>
      </c>
      <c r="O857" s="41"/>
      <c r="P857" s="41"/>
      <c r="Q857" s="161" t="str">
        <f>+IF(OR(O857="Fire Control",O857="Fire Tex 5062",O857="Fire Tex 5090",O857="Fire Tex 5120"),'CALCULO PINTURA'!P858," ")</f>
        <v xml:space="preserve"> </v>
      </c>
      <c r="R857" s="164" t="str">
        <f>+IF(OR(O857="Fire Control",O857="Fire Tex 5062",O857="Fire Tex 5090",O857="Fire Tex 5120"),'CALCULO PINTURA'!R858," ")</f>
        <v xml:space="preserve"> </v>
      </c>
      <c r="S857" s="164" t="str">
        <f>+IF(OR(O857="Fire Control",O857="Fire Tex 5062",O857="Fire Tex 5090",O857="Fire Tex 5120"),'CALCULO PINTURA'!S858," ")</f>
        <v xml:space="preserve"> </v>
      </c>
      <c r="T857" s="874" t="str">
        <f>+IF(OR(O857="Blaze Shield II",O857="Cafco 400",O857="Cafco 300"),'CALCULO MORTERO'!N863," ")</f>
        <v xml:space="preserve"> </v>
      </c>
      <c r="U857" s="875" t="str">
        <f>+IF(OR(O857="Blaze Shield II",O857="Cafco 400",O857="Cafco 300"),'CALCULO MORTERO'!O863," ")</f>
        <v xml:space="preserve"> </v>
      </c>
      <c r="V857" s="161" t="str" cm="1">
        <f t="array" ref="V857">_xlfn.IFS(O857="Blaze Shield II",'CALCULO MORTERO'!P858, O857="Cafco 400",'CALCULO MORTERO'!Q858,O857="Cafco 300",'CALCULO MORTERO'!S858, AND(OR(O857="Fire tex 5090", O857="Fire Tex 5062", O857="Fire Tex 5120", O857="Fire Control"),Q857&gt;0), "CERT.",TRUE,"-")</f>
        <v>-</v>
      </c>
    </row>
    <row r="858" spans="1:22" x14ac:dyDescent="0.25">
      <c r="A858" s="168"/>
      <c r="B858" s="876"/>
      <c r="C858" s="161"/>
      <c r="D858" s="161"/>
      <c r="E858" s="161"/>
      <c r="F858" s="41"/>
      <c r="G858" s="161"/>
      <c r="H858" s="161"/>
      <c r="I858" s="166"/>
      <c r="J858" s="162"/>
      <c r="K858" s="161"/>
      <c r="L858" s="161"/>
      <c r="M858" s="163"/>
      <c r="N858" s="163" t="str">
        <f t="shared" si="17"/>
        <v/>
      </c>
      <c r="O858" s="41"/>
      <c r="P858" s="41"/>
      <c r="Q858" s="161" t="str">
        <f>+IF(OR(O858="Fire Control",O858="Fire Tex 5062",O858="Fire Tex 5090",O858="Fire Tex 5120"),'CALCULO PINTURA'!P859," ")</f>
        <v xml:space="preserve"> </v>
      </c>
      <c r="R858" s="164" t="str">
        <f>+IF(OR(O858="Fire Control",O858="Fire Tex 5062",O858="Fire Tex 5090",O858="Fire Tex 5120"),'CALCULO PINTURA'!R859," ")</f>
        <v xml:space="preserve"> </v>
      </c>
      <c r="S858" s="164" t="str">
        <f>+IF(OR(O858="Fire Control",O858="Fire Tex 5062",O858="Fire Tex 5090",O858="Fire Tex 5120"),'CALCULO PINTURA'!S859," ")</f>
        <v xml:space="preserve"> </v>
      </c>
      <c r="T858" s="874" t="str">
        <f>+IF(OR(O858="Blaze Shield II",O858="Cafco 400",O858="Cafco 300"),'CALCULO MORTERO'!N864," ")</f>
        <v xml:space="preserve"> </v>
      </c>
      <c r="U858" s="875" t="str">
        <f>+IF(OR(O858="Blaze Shield II",O858="Cafco 400",O858="Cafco 300"),'CALCULO MORTERO'!O864," ")</f>
        <v xml:space="preserve"> </v>
      </c>
      <c r="V858" s="161" t="str" cm="1">
        <f t="array" ref="V858">_xlfn.IFS(O858="Blaze Shield II",'CALCULO MORTERO'!P859, O858="Cafco 400",'CALCULO MORTERO'!Q859,O858="Cafco 300",'CALCULO MORTERO'!S859, AND(OR(O858="Fire tex 5090", O858="Fire Tex 5062", O858="Fire Tex 5120", O858="Fire Control"),Q858&gt;0), "CERT.",TRUE,"-")</f>
        <v>-</v>
      </c>
    </row>
    <row r="859" spans="1:22" x14ac:dyDescent="0.25">
      <c r="A859" s="168"/>
      <c r="B859" s="876"/>
      <c r="C859" s="161"/>
      <c r="D859" s="161"/>
      <c r="E859" s="161"/>
      <c r="F859" s="41"/>
      <c r="G859" s="161"/>
      <c r="H859" s="161"/>
      <c r="I859" s="166"/>
      <c r="J859" s="162"/>
      <c r="K859" s="161"/>
      <c r="L859" s="161"/>
      <c r="M859" s="163"/>
      <c r="N859" s="163" t="str">
        <f t="shared" si="17"/>
        <v/>
      </c>
      <c r="O859" s="41"/>
      <c r="P859" s="41"/>
      <c r="Q859" s="161" t="str">
        <f>+IF(OR(O859="Fire Control",O859="Fire Tex 5062",O859="Fire Tex 5090",O859="Fire Tex 5120"),'CALCULO PINTURA'!P860," ")</f>
        <v xml:space="preserve"> </v>
      </c>
      <c r="R859" s="164" t="str">
        <f>+IF(OR(O859="Fire Control",O859="Fire Tex 5062",O859="Fire Tex 5090",O859="Fire Tex 5120"),'CALCULO PINTURA'!R860," ")</f>
        <v xml:space="preserve"> </v>
      </c>
      <c r="S859" s="164" t="str">
        <f>+IF(OR(O859="Fire Control",O859="Fire Tex 5062",O859="Fire Tex 5090",O859="Fire Tex 5120"),'CALCULO PINTURA'!S860," ")</f>
        <v xml:space="preserve"> </v>
      </c>
      <c r="T859" s="874" t="str">
        <f>+IF(OR(O859="Blaze Shield II",O859="Cafco 400",O859="Cafco 300"),'CALCULO MORTERO'!N865," ")</f>
        <v xml:space="preserve"> </v>
      </c>
      <c r="U859" s="875" t="str">
        <f>+IF(OR(O859="Blaze Shield II",O859="Cafco 400",O859="Cafco 300"),'CALCULO MORTERO'!O865," ")</f>
        <v xml:space="preserve"> </v>
      </c>
      <c r="V859" s="161" t="str" cm="1">
        <f t="array" ref="V859">_xlfn.IFS(O859="Blaze Shield II",'CALCULO MORTERO'!P860, O859="Cafco 400",'CALCULO MORTERO'!Q860,O859="Cafco 300",'CALCULO MORTERO'!S860, AND(OR(O859="Fire tex 5090", O859="Fire Tex 5062", O859="Fire Tex 5120", O859="Fire Control"),Q859&gt;0), "CERT.",TRUE,"-")</f>
        <v>-</v>
      </c>
    </row>
    <row r="860" spans="1:22" x14ac:dyDescent="0.25">
      <c r="A860" s="168"/>
      <c r="B860" s="876"/>
      <c r="C860" s="161"/>
      <c r="D860" s="161"/>
      <c r="E860" s="161"/>
      <c r="F860" s="41"/>
      <c r="G860" s="161"/>
      <c r="H860" s="161"/>
      <c r="I860" s="166"/>
      <c r="J860" s="162"/>
      <c r="K860" s="161"/>
      <c r="L860" s="161"/>
      <c r="M860" s="163"/>
      <c r="N860" s="163" t="str">
        <f t="shared" si="17"/>
        <v/>
      </c>
      <c r="O860" s="41"/>
      <c r="P860" s="41"/>
      <c r="Q860" s="161" t="str">
        <f>+IF(OR(O860="Fire Control",O860="Fire Tex 5062",O860="Fire Tex 5090",O860="Fire Tex 5120"),'CALCULO PINTURA'!P861," ")</f>
        <v xml:space="preserve"> </v>
      </c>
      <c r="R860" s="164" t="str">
        <f>+IF(OR(O860="Fire Control",O860="Fire Tex 5062",O860="Fire Tex 5090",O860="Fire Tex 5120"),'CALCULO PINTURA'!R861," ")</f>
        <v xml:space="preserve"> </v>
      </c>
      <c r="S860" s="164" t="str">
        <f>+IF(OR(O860="Fire Control",O860="Fire Tex 5062",O860="Fire Tex 5090",O860="Fire Tex 5120"),'CALCULO PINTURA'!S861," ")</f>
        <v xml:space="preserve"> </v>
      </c>
      <c r="T860" s="874" t="str">
        <f>+IF(OR(O860="Blaze Shield II",O860="Cafco 400",O860="Cafco 300"),'CALCULO MORTERO'!N866," ")</f>
        <v xml:space="preserve"> </v>
      </c>
      <c r="U860" s="875" t="str">
        <f>+IF(OR(O860="Blaze Shield II",O860="Cafco 400",O860="Cafco 300"),'CALCULO MORTERO'!O866," ")</f>
        <v xml:space="preserve"> </v>
      </c>
      <c r="V860" s="161" t="str" cm="1">
        <f t="array" ref="V860">_xlfn.IFS(O860="Blaze Shield II",'CALCULO MORTERO'!P861, O860="Cafco 400",'CALCULO MORTERO'!Q861,O860="Cafco 300",'CALCULO MORTERO'!S861, AND(OR(O860="Fire tex 5090", O860="Fire Tex 5062", O860="Fire Tex 5120", O860="Fire Control"),Q860&gt;0), "CERT.",TRUE,"-")</f>
        <v>-</v>
      </c>
    </row>
    <row r="861" spans="1:22" x14ac:dyDescent="0.25">
      <c r="A861" s="168"/>
      <c r="B861" s="876"/>
      <c r="C861" s="161"/>
      <c r="D861" s="161"/>
      <c r="E861" s="161"/>
      <c r="F861" s="41"/>
      <c r="G861" s="161"/>
      <c r="H861" s="161"/>
      <c r="I861" s="166"/>
      <c r="J861" s="162"/>
      <c r="K861" s="161"/>
      <c r="L861" s="161"/>
      <c r="M861" s="163"/>
      <c r="N861" s="163" t="str">
        <f t="shared" si="17"/>
        <v/>
      </c>
      <c r="O861" s="41"/>
      <c r="P861" s="41"/>
      <c r="Q861" s="161" t="str">
        <f>+IF(OR(O861="Fire Control",O861="Fire Tex 5062",O861="Fire Tex 5090",O861="Fire Tex 5120"),'CALCULO PINTURA'!P862," ")</f>
        <v xml:space="preserve"> </v>
      </c>
      <c r="R861" s="164" t="str">
        <f>+IF(OR(O861="Fire Control",O861="Fire Tex 5062",O861="Fire Tex 5090",O861="Fire Tex 5120"),'CALCULO PINTURA'!R862," ")</f>
        <v xml:space="preserve"> </v>
      </c>
      <c r="S861" s="164" t="str">
        <f>+IF(OR(O861="Fire Control",O861="Fire Tex 5062",O861="Fire Tex 5090",O861="Fire Tex 5120"),'CALCULO PINTURA'!S862," ")</f>
        <v xml:space="preserve"> </v>
      </c>
      <c r="T861" s="874" t="str">
        <f>+IF(OR(O861="Blaze Shield II",O861="Cafco 400",O861="Cafco 300"),'CALCULO MORTERO'!N867," ")</f>
        <v xml:space="preserve"> </v>
      </c>
      <c r="U861" s="875" t="str">
        <f>+IF(OR(O861="Blaze Shield II",O861="Cafco 400",O861="Cafco 300"),'CALCULO MORTERO'!O867," ")</f>
        <v xml:space="preserve"> </v>
      </c>
      <c r="V861" s="161" t="str" cm="1">
        <f t="array" ref="V861">_xlfn.IFS(O861="Blaze Shield II",'CALCULO MORTERO'!P862, O861="Cafco 400",'CALCULO MORTERO'!Q862,O861="Cafco 300",'CALCULO MORTERO'!S862, AND(OR(O861="Fire tex 5090", O861="Fire Tex 5062", O861="Fire Tex 5120", O861="Fire Control"),Q861&gt;0), "CERT.",TRUE,"-")</f>
        <v>-</v>
      </c>
    </row>
    <row r="862" spans="1:22" x14ac:dyDescent="0.25">
      <c r="A862" s="168"/>
      <c r="B862" s="876"/>
      <c r="C862" s="161"/>
      <c r="D862" s="161"/>
      <c r="E862" s="161"/>
      <c r="F862" s="41"/>
      <c r="G862" s="161"/>
      <c r="H862" s="161"/>
      <c r="I862" s="166"/>
      <c r="J862" s="162"/>
      <c r="K862" s="161"/>
      <c r="L862" s="161"/>
      <c r="M862" s="163"/>
      <c r="N862" s="163" t="str">
        <f t="shared" si="17"/>
        <v/>
      </c>
      <c r="O862" s="41"/>
      <c r="P862" s="41"/>
      <c r="Q862" s="161" t="str">
        <f>+IF(OR(O862="Fire Control",O862="Fire Tex 5062",O862="Fire Tex 5090",O862="Fire Tex 5120"),'CALCULO PINTURA'!P863," ")</f>
        <v xml:space="preserve"> </v>
      </c>
      <c r="R862" s="164" t="str">
        <f>+IF(OR(O862="Fire Control",O862="Fire Tex 5062",O862="Fire Tex 5090",O862="Fire Tex 5120"),'CALCULO PINTURA'!R863," ")</f>
        <v xml:space="preserve"> </v>
      </c>
      <c r="S862" s="164" t="str">
        <f>+IF(OR(O862="Fire Control",O862="Fire Tex 5062",O862="Fire Tex 5090",O862="Fire Tex 5120"),'CALCULO PINTURA'!S863," ")</f>
        <v xml:space="preserve"> </v>
      </c>
      <c r="T862" s="874" t="str">
        <f>+IF(OR(O862="Blaze Shield II",O862="Cafco 400",O862="Cafco 300"),'CALCULO MORTERO'!N868," ")</f>
        <v xml:space="preserve"> </v>
      </c>
      <c r="U862" s="875" t="str">
        <f>+IF(OR(O862="Blaze Shield II",O862="Cafco 400",O862="Cafco 300"),'CALCULO MORTERO'!O868," ")</f>
        <v xml:space="preserve"> </v>
      </c>
      <c r="V862" s="161" t="str" cm="1">
        <f t="array" ref="V862">_xlfn.IFS(O862="Blaze Shield II",'CALCULO MORTERO'!P863, O862="Cafco 400",'CALCULO MORTERO'!Q863,O862="Cafco 300",'CALCULO MORTERO'!S863, AND(OR(O862="Fire tex 5090", O862="Fire Tex 5062", O862="Fire Tex 5120", O862="Fire Control"),Q862&gt;0), "CERT.",TRUE,"-")</f>
        <v>-</v>
      </c>
    </row>
    <row r="863" spans="1:22" x14ac:dyDescent="0.25">
      <c r="A863" s="168"/>
      <c r="B863" s="876"/>
      <c r="C863" s="161"/>
      <c r="D863" s="161"/>
      <c r="E863" s="161"/>
      <c r="F863" s="41"/>
      <c r="G863" s="161"/>
      <c r="H863" s="161"/>
      <c r="I863" s="166"/>
      <c r="J863" s="162"/>
      <c r="K863" s="161"/>
      <c r="L863" s="161"/>
      <c r="M863" s="163"/>
      <c r="N863" s="163" t="str">
        <f t="shared" si="17"/>
        <v/>
      </c>
      <c r="O863" s="41"/>
      <c r="P863" s="41"/>
      <c r="Q863" s="161" t="str">
        <f>+IF(OR(O863="Fire Control",O863="Fire Tex 5062",O863="Fire Tex 5090",O863="Fire Tex 5120"),'CALCULO PINTURA'!P864," ")</f>
        <v xml:space="preserve"> </v>
      </c>
      <c r="R863" s="164" t="str">
        <f>+IF(OR(O863="Fire Control",O863="Fire Tex 5062",O863="Fire Tex 5090",O863="Fire Tex 5120"),'CALCULO PINTURA'!R864," ")</f>
        <v xml:space="preserve"> </v>
      </c>
      <c r="S863" s="164" t="str">
        <f>+IF(OR(O863="Fire Control",O863="Fire Tex 5062",O863="Fire Tex 5090",O863="Fire Tex 5120"),'CALCULO PINTURA'!S864," ")</f>
        <v xml:space="preserve"> </v>
      </c>
      <c r="T863" s="874" t="str">
        <f>+IF(OR(O863="Blaze Shield II",O863="Cafco 400",O863="Cafco 300"),'CALCULO MORTERO'!N869," ")</f>
        <v xml:space="preserve"> </v>
      </c>
      <c r="U863" s="875" t="str">
        <f>+IF(OR(O863="Blaze Shield II",O863="Cafco 400",O863="Cafco 300"),'CALCULO MORTERO'!O869," ")</f>
        <v xml:space="preserve"> </v>
      </c>
      <c r="V863" s="161" t="str" cm="1">
        <f t="array" ref="V863">_xlfn.IFS(O863="Blaze Shield II",'CALCULO MORTERO'!P864, O863="Cafco 400",'CALCULO MORTERO'!Q864,O863="Cafco 300",'CALCULO MORTERO'!S864, AND(OR(O863="Fire tex 5090", O863="Fire Tex 5062", O863="Fire Tex 5120", O863="Fire Control"),Q863&gt;0), "CERT.",TRUE,"-")</f>
        <v>-</v>
      </c>
    </row>
    <row r="864" spans="1:22" x14ac:dyDescent="0.25">
      <c r="A864" s="168"/>
      <c r="B864" s="876"/>
      <c r="C864" s="161"/>
      <c r="D864" s="161"/>
      <c r="E864" s="161"/>
      <c r="F864" s="41"/>
      <c r="G864" s="161"/>
      <c r="H864" s="161"/>
      <c r="I864" s="166"/>
      <c r="J864" s="162"/>
      <c r="K864" s="161"/>
      <c r="L864" s="161"/>
      <c r="M864" s="163"/>
      <c r="N864" s="163" t="str">
        <f t="shared" si="17"/>
        <v/>
      </c>
      <c r="O864" s="41"/>
      <c r="P864" s="41"/>
      <c r="Q864" s="161" t="str">
        <f>+IF(OR(O864="Fire Control",O864="Fire Tex 5062",O864="Fire Tex 5090",O864="Fire Tex 5120"),'CALCULO PINTURA'!P865," ")</f>
        <v xml:space="preserve"> </v>
      </c>
      <c r="R864" s="164" t="str">
        <f>+IF(OR(O864="Fire Control",O864="Fire Tex 5062",O864="Fire Tex 5090",O864="Fire Tex 5120"),'CALCULO PINTURA'!R865," ")</f>
        <v xml:space="preserve"> </v>
      </c>
      <c r="S864" s="164" t="str">
        <f>+IF(OR(O864="Fire Control",O864="Fire Tex 5062",O864="Fire Tex 5090",O864="Fire Tex 5120"),'CALCULO PINTURA'!S865," ")</f>
        <v xml:space="preserve"> </v>
      </c>
      <c r="T864" s="874" t="str">
        <f>+IF(OR(O864="Blaze Shield II",O864="Cafco 400",O864="Cafco 300"),'CALCULO MORTERO'!N870," ")</f>
        <v xml:space="preserve"> </v>
      </c>
      <c r="U864" s="875" t="str">
        <f>+IF(OR(O864="Blaze Shield II",O864="Cafco 400",O864="Cafco 300"),'CALCULO MORTERO'!O870," ")</f>
        <v xml:space="preserve"> </v>
      </c>
      <c r="V864" s="161" t="str" cm="1">
        <f t="array" ref="V864">_xlfn.IFS(O864="Blaze Shield II",'CALCULO MORTERO'!P865, O864="Cafco 400",'CALCULO MORTERO'!Q865,O864="Cafco 300",'CALCULO MORTERO'!S865, AND(OR(O864="Fire tex 5090", O864="Fire Tex 5062", O864="Fire Tex 5120", O864="Fire Control"),Q864&gt;0), "CERT.",TRUE,"-")</f>
        <v>-</v>
      </c>
    </row>
    <row r="865" spans="1:22" x14ac:dyDescent="0.25">
      <c r="A865" s="168"/>
      <c r="B865" s="876"/>
      <c r="C865" s="161"/>
      <c r="D865" s="161"/>
      <c r="E865" s="161"/>
      <c r="F865" s="41"/>
      <c r="G865" s="161"/>
      <c r="H865" s="161"/>
      <c r="I865" s="166"/>
      <c r="J865" s="162"/>
      <c r="K865" s="161"/>
      <c r="L865" s="161"/>
      <c r="M865" s="163"/>
      <c r="N865" s="163" t="str">
        <f t="shared" si="17"/>
        <v/>
      </c>
      <c r="O865" s="41"/>
      <c r="P865" s="41"/>
      <c r="Q865" s="161" t="str">
        <f>+IF(OR(O865="Fire Control",O865="Fire Tex 5062",O865="Fire Tex 5090",O865="Fire Tex 5120"),'CALCULO PINTURA'!P866," ")</f>
        <v xml:space="preserve"> </v>
      </c>
      <c r="R865" s="164" t="str">
        <f>+IF(OR(O865="Fire Control",O865="Fire Tex 5062",O865="Fire Tex 5090",O865="Fire Tex 5120"),'CALCULO PINTURA'!R866," ")</f>
        <v xml:space="preserve"> </v>
      </c>
      <c r="S865" s="164" t="str">
        <f>+IF(OR(O865="Fire Control",O865="Fire Tex 5062",O865="Fire Tex 5090",O865="Fire Tex 5120"),'CALCULO PINTURA'!S866," ")</f>
        <v xml:space="preserve"> </v>
      </c>
      <c r="T865" s="874" t="str">
        <f>+IF(OR(O865="Blaze Shield II",O865="Cafco 400",O865="Cafco 300"),'CALCULO MORTERO'!N871," ")</f>
        <v xml:space="preserve"> </v>
      </c>
      <c r="U865" s="875" t="str">
        <f>+IF(OR(O865="Blaze Shield II",O865="Cafco 400",O865="Cafco 300"),'CALCULO MORTERO'!O871," ")</f>
        <v xml:space="preserve"> </v>
      </c>
      <c r="V865" s="161" t="str" cm="1">
        <f t="array" ref="V865">_xlfn.IFS(O865="Blaze Shield II",'CALCULO MORTERO'!P866, O865="Cafco 400",'CALCULO MORTERO'!Q866,O865="Cafco 300",'CALCULO MORTERO'!S866, AND(OR(O865="Fire tex 5090", O865="Fire Tex 5062", O865="Fire Tex 5120", O865="Fire Control"),Q865&gt;0), "CERT.",TRUE,"-")</f>
        <v>-</v>
      </c>
    </row>
    <row r="866" spans="1:22" x14ac:dyDescent="0.25">
      <c r="A866" s="168"/>
      <c r="B866" s="876"/>
      <c r="C866" s="161"/>
      <c r="D866" s="161"/>
      <c r="E866" s="161"/>
      <c r="F866" s="41"/>
      <c r="G866" s="161"/>
      <c r="H866" s="161"/>
      <c r="I866" s="166"/>
      <c r="J866" s="162"/>
      <c r="K866" s="161"/>
      <c r="L866" s="161"/>
      <c r="M866" s="163"/>
      <c r="N866" s="163" t="str">
        <f t="shared" si="17"/>
        <v/>
      </c>
      <c r="O866" s="41"/>
      <c r="P866" s="41"/>
      <c r="Q866" s="161" t="str">
        <f>+IF(OR(O866="Fire Control",O866="Fire Tex 5062",O866="Fire Tex 5090",O866="Fire Tex 5120"),'CALCULO PINTURA'!P867," ")</f>
        <v xml:space="preserve"> </v>
      </c>
      <c r="R866" s="164" t="str">
        <f>+IF(OR(O866="Fire Control",O866="Fire Tex 5062",O866="Fire Tex 5090",O866="Fire Tex 5120"),'CALCULO PINTURA'!R867," ")</f>
        <v xml:space="preserve"> </v>
      </c>
      <c r="S866" s="164" t="str">
        <f>+IF(OR(O866="Fire Control",O866="Fire Tex 5062",O866="Fire Tex 5090",O866="Fire Tex 5120"),'CALCULO PINTURA'!S867," ")</f>
        <v xml:space="preserve"> </v>
      </c>
      <c r="T866" s="874" t="str">
        <f>+IF(OR(O866="Blaze Shield II",O866="Cafco 400",O866="Cafco 300"),'CALCULO MORTERO'!N872," ")</f>
        <v xml:space="preserve"> </v>
      </c>
      <c r="U866" s="875" t="str">
        <f>+IF(OR(O866="Blaze Shield II",O866="Cafco 400",O866="Cafco 300"),'CALCULO MORTERO'!O872," ")</f>
        <v xml:space="preserve"> </v>
      </c>
      <c r="V866" s="161" t="str" cm="1">
        <f t="array" ref="V866">_xlfn.IFS(O866="Blaze Shield II",'CALCULO MORTERO'!P867, O866="Cafco 400",'CALCULO MORTERO'!Q867,O866="Cafco 300",'CALCULO MORTERO'!S867, AND(OR(O866="Fire tex 5090", O866="Fire Tex 5062", O866="Fire Tex 5120", O866="Fire Control"),Q866&gt;0), "CERT.",TRUE,"-")</f>
        <v>-</v>
      </c>
    </row>
    <row r="867" spans="1:22" x14ac:dyDescent="0.25">
      <c r="A867" s="168"/>
      <c r="B867" s="876"/>
      <c r="C867" s="161"/>
      <c r="D867" s="161"/>
      <c r="E867" s="161"/>
      <c r="F867" s="41"/>
      <c r="G867" s="161"/>
      <c r="H867" s="161"/>
      <c r="I867" s="166"/>
      <c r="J867" s="162"/>
      <c r="K867" s="161"/>
      <c r="L867" s="161"/>
      <c r="M867" s="163"/>
      <c r="N867" s="163" t="str">
        <f t="shared" si="17"/>
        <v/>
      </c>
      <c r="O867" s="41"/>
      <c r="P867" s="41"/>
      <c r="Q867" s="161" t="str">
        <f>+IF(OR(O867="Fire Control",O867="Fire Tex 5062",O867="Fire Tex 5090",O867="Fire Tex 5120"),'CALCULO PINTURA'!P868," ")</f>
        <v xml:space="preserve"> </v>
      </c>
      <c r="R867" s="164" t="str">
        <f>+IF(OR(O867="Fire Control",O867="Fire Tex 5062",O867="Fire Tex 5090",O867="Fire Tex 5120"),'CALCULO PINTURA'!R868," ")</f>
        <v xml:space="preserve"> </v>
      </c>
      <c r="S867" s="164" t="str">
        <f>+IF(OR(O867="Fire Control",O867="Fire Tex 5062",O867="Fire Tex 5090",O867="Fire Tex 5120"),'CALCULO PINTURA'!S868," ")</f>
        <v xml:space="preserve"> </v>
      </c>
      <c r="T867" s="874" t="str">
        <f>+IF(OR(O867="Blaze Shield II",O867="Cafco 400",O867="Cafco 300"),'CALCULO MORTERO'!N873," ")</f>
        <v xml:space="preserve"> </v>
      </c>
      <c r="U867" s="875" t="str">
        <f>+IF(OR(O867="Blaze Shield II",O867="Cafco 400",O867="Cafco 300"),'CALCULO MORTERO'!O873," ")</f>
        <v xml:space="preserve"> </v>
      </c>
      <c r="V867" s="161" t="str" cm="1">
        <f t="array" ref="V867">_xlfn.IFS(O867="Blaze Shield II",'CALCULO MORTERO'!P868, O867="Cafco 400",'CALCULO MORTERO'!Q868,O867="Cafco 300",'CALCULO MORTERO'!S868, AND(OR(O867="Fire tex 5090", O867="Fire Tex 5062", O867="Fire Tex 5120", O867="Fire Control"),Q867&gt;0), "CERT.",TRUE,"-")</f>
        <v>-</v>
      </c>
    </row>
    <row r="868" spans="1:22" x14ac:dyDescent="0.25">
      <c r="A868" s="168"/>
      <c r="B868" s="876"/>
      <c r="C868" s="161"/>
      <c r="D868" s="161"/>
      <c r="E868" s="161"/>
      <c r="F868" s="41"/>
      <c r="G868" s="161"/>
      <c r="H868" s="161"/>
      <c r="I868" s="166"/>
      <c r="J868" s="162"/>
      <c r="K868" s="161"/>
      <c r="L868" s="161"/>
      <c r="M868" s="163"/>
      <c r="N868" s="163" t="str">
        <f t="shared" si="17"/>
        <v/>
      </c>
      <c r="O868" s="41"/>
      <c r="P868" s="41"/>
      <c r="Q868" s="161" t="str">
        <f>+IF(OR(O868="Fire Control",O868="Fire Tex 5062",O868="Fire Tex 5090",O868="Fire Tex 5120"),'CALCULO PINTURA'!P869," ")</f>
        <v xml:space="preserve"> </v>
      </c>
      <c r="R868" s="164" t="str">
        <f>+IF(OR(O868="Fire Control",O868="Fire Tex 5062",O868="Fire Tex 5090",O868="Fire Tex 5120"),'CALCULO PINTURA'!R869," ")</f>
        <v xml:space="preserve"> </v>
      </c>
      <c r="S868" s="164" t="str">
        <f>+IF(OR(O868="Fire Control",O868="Fire Tex 5062",O868="Fire Tex 5090",O868="Fire Tex 5120"),'CALCULO PINTURA'!S869," ")</f>
        <v xml:space="preserve"> </v>
      </c>
      <c r="T868" s="874" t="str">
        <f>+IF(OR(O868="Blaze Shield II",O868="Cafco 400",O868="Cafco 300"),'CALCULO MORTERO'!N874," ")</f>
        <v xml:space="preserve"> </v>
      </c>
      <c r="U868" s="875" t="str">
        <f>+IF(OR(O868="Blaze Shield II",O868="Cafco 400",O868="Cafco 300"),'CALCULO MORTERO'!O874," ")</f>
        <v xml:space="preserve"> </v>
      </c>
      <c r="V868" s="161" t="str" cm="1">
        <f t="array" ref="V868">_xlfn.IFS(O868="Blaze Shield II",'CALCULO MORTERO'!P869, O868="Cafco 400",'CALCULO MORTERO'!Q869,O868="Cafco 300",'CALCULO MORTERO'!S869, AND(OR(O868="Fire tex 5090", O868="Fire Tex 5062", O868="Fire Tex 5120", O868="Fire Control"),Q868&gt;0), "CERT.",TRUE,"-")</f>
        <v>-</v>
      </c>
    </row>
    <row r="869" spans="1:22" x14ac:dyDescent="0.25">
      <c r="A869" s="168"/>
      <c r="B869" s="876"/>
      <c r="C869" s="161"/>
      <c r="D869" s="161"/>
      <c r="E869" s="161"/>
      <c r="F869" s="41"/>
      <c r="G869" s="161"/>
      <c r="H869" s="161"/>
      <c r="I869" s="166"/>
      <c r="J869" s="162"/>
      <c r="K869" s="161"/>
      <c r="L869" s="161"/>
      <c r="M869" s="163"/>
      <c r="N869" s="163" t="str">
        <f t="shared" si="17"/>
        <v/>
      </c>
      <c r="O869" s="41"/>
      <c r="P869" s="41"/>
      <c r="Q869" s="161" t="str">
        <f>+IF(OR(O869="Fire Control",O869="Fire Tex 5062",O869="Fire Tex 5090",O869="Fire Tex 5120"),'CALCULO PINTURA'!P870," ")</f>
        <v xml:space="preserve"> </v>
      </c>
      <c r="R869" s="164" t="str">
        <f>+IF(OR(O869="Fire Control",O869="Fire Tex 5062",O869="Fire Tex 5090",O869="Fire Tex 5120"),'CALCULO PINTURA'!R870," ")</f>
        <v xml:space="preserve"> </v>
      </c>
      <c r="S869" s="164" t="str">
        <f>+IF(OR(O869="Fire Control",O869="Fire Tex 5062",O869="Fire Tex 5090",O869="Fire Tex 5120"),'CALCULO PINTURA'!S870," ")</f>
        <v xml:space="preserve"> </v>
      </c>
      <c r="T869" s="874" t="str">
        <f>+IF(OR(O869="Blaze Shield II",O869="Cafco 400",O869="Cafco 300"),'CALCULO MORTERO'!N875," ")</f>
        <v xml:space="preserve"> </v>
      </c>
      <c r="U869" s="875" t="str">
        <f>+IF(OR(O869="Blaze Shield II",O869="Cafco 400",O869="Cafco 300"),'CALCULO MORTERO'!O875," ")</f>
        <v xml:space="preserve"> </v>
      </c>
      <c r="V869" s="161" t="str" cm="1">
        <f t="array" ref="V869">_xlfn.IFS(O869="Blaze Shield II",'CALCULO MORTERO'!P870, O869="Cafco 400",'CALCULO MORTERO'!Q870,O869="Cafco 300",'CALCULO MORTERO'!S870, AND(OR(O869="Fire tex 5090", O869="Fire Tex 5062", O869="Fire Tex 5120", O869="Fire Control"),Q869&gt;0), "CERT.",TRUE,"-")</f>
        <v>-</v>
      </c>
    </row>
    <row r="870" spans="1:22" x14ac:dyDescent="0.25">
      <c r="A870" s="168"/>
      <c r="B870" s="876"/>
      <c r="C870" s="161"/>
      <c r="D870" s="161"/>
      <c r="E870" s="161"/>
      <c r="F870" s="41"/>
      <c r="G870" s="161"/>
      <c r="H870" s="161"/>
      <c r="I870" s="166"/>
      <c r="J870" s="162"/>
      <c r="K870" s="161"/>
      <c r="L870" s="161"/>
      <c r="M870" s="163"/>
      <c r="N870" s="163" t="str">
        <f t="shared" si="17"/>
        <v/>
      </c>
      <c r="O870" s="41"/>
      <c r="P870" s="41"/>
      <c r="Q870" s="161" t="str">
        <f>+IF(OR(O870="Fire Control",O870="Fire Tex 5062",O870="Fire Tex 5090",O870="Fire Tex 5120"),'CALCULO PINTURA'!P871," ")</f>
        <v xml:space="preserve"> </v>
      </c>
      <c r="R870" s="164" t="str">
        <f>+IF(OR(O870="Fire Control",O870="Fire Tex 5062",O870="Fire Tex 5090",O870="Fire Tex 5120"),'CALCULO PINTURA'!R871," ")</f>
        <v xml:space="preserve"> </v>
      </c>
      <c r="S870" s="164" t="str">
        <f>+IF(OR(O870="Fire Control",O870="Fire Tex 5062",O870="Fire Tex 5090",O870="Fire Tex 5120"),'CALCULO PINTURA'!S871," ")</f>
        <v xml:space="preserve"> </v>
      </c>
      <c r="T870" s="874" t="str">
        <f>+IF(OR(O870="Blaze Shield II",O870="Cafco 400",O870="Cafco 300"),'CALCULO MORTERO'!N876," ")</f>
        <v xml:space="preserve"> </v>
      </c>
      <c r="U870" s="875" t="str">
        <f>+IF(OR(O870="Blaze Shield II",O870="Cafco 400",O870="Cafco 300"),'CALCULO MORTERO'!O876," ")</f>
        <v xml:space="preserve"> </v>
      </c>
      <c r="V870" s="161" t="str" cm="1">
        <f t="array" ref="V870">_xlfn.IFS(O870="Blaze Shield II",'CALCULO MORTERO'!P871, O870="Cafco 400",'CALCULO MORTERO'!Q871,O870="Cafco 300",'CALCULO MORTERO'!S871, AND(OR(O870="Fire tex 5090", O870="Fire Tex 5062", O870="Fire Tex 5120", O870="Fire Control"),Q870&gt;0), "CERT.",TRUE,"-")</f>
        <v>-</v>
      </c>
    </row>
    <row r="871" spans="1:22" x14ac:dyDescent="0.25">
      <c r="A871" s="168"/>
      <c r="B871" s="876"/>
      <c r="C871" s="161"/>
      <c r="D871" s="161"/>
      <c r="E871" s="161"/>
      <c r="F871" s="41"/>
      <c r="G871" s="161"/>
      <c r="H871" s="161"/>
      <c r="I871" s="166"/>
      <c r="J871" s="162"/>
      <c r="K871" s="161"/>
      <c r="L871" s="161"/>
      <c r="M871" s="163"/>
      <c r="N871" s="163" t="str">
        <f t="shared" si="17"/>
        <v/>
      </c>
      <c r="O871" s="41"/>
      <c r="P871" s="41"/>
      <c r="Q871" s="161" t="str">
        <f>+IF(OR(O871="Fire Control",O871="Fire Tex 5062",O871="Fire Tex 5090",O871="Fire Tex 5120"),'CALCULO PINTURA'!P872," ")</f>
        <v xml:space="preserve"> </v>
      </c>
      <c r="R871" s="164" t="str">
        <f>+IF(OR(O871="Fire Control",O871="Fire Tex 5062",O871="Fire Tex 5090",O871="Fire Tex 5120"),'CALCULO PINTURA'!R872," ")</f>
        <v xml:space="preserve"> </v>
      </c>
      <c r="S871" s="164" t="str">
        <f>+IF(OR(O871="Fire Control",O871="Fire Tex 5062",O871="Fire Tex 5090",O871="Fire Tex 5120"),'CALCULO PINTURA'!S872," ")</f>
        <v xml:space="preserve"> </v>
      </c>
      <c r="T871" s="874" t="str">
        <f>+IF(OR(O871="Blaze Shield II",O871="Cafco 400",O871="Cafco 300"),'CALCULO MORTERO'!N877," ")</f>
        <v xml:space="preserve"> </v>
      </c>
      <c r="U871" s="875" t="str">
        <f>+IF(OR(O871="Blaze Shield II",O871="Cafco 400",O871="Cafco 300"),'CALCULO MORTERO'!O877," ")</f>
        <v xml:space="preserve"> </v>
      </c>
      <c r="V871" s="161" t="str" cm="1">
        <f t="array" ref="V871">_xlfn.IFS(O871="Blaze Shield II",'CALCULO MORTERO'!P872, O871="Cafco 400",'CALCULO MORTERO'!Q872,O871="Cafco 300",'CALCULO MORTERO'!S872, AND(OR(O871="Fire tex 5090", O871="Fire Tex 5062", O871="Fire Tex 5120", O871="Fire Control"),Q871&gt;0), "CERT.",TRUE,"-")</f>
        <v>-</v>
      </c>
    </row>
    <row r="872" spans="1:22" x14ac:dyDescent="0.25">
      <c r="A872" s="168"/>
      <c r="B872" s="876"/>
      <c r="C872" s="161"/>
      <c r="D872" s="161"/>
      <c r="E872" s="161"/>
      <c r="F872" s="41"/>
      <c r="G872" s="161"/>
      <c r="H872" s="161"/>
      <c r="I872" s="166"/>
      <c r="J872" s="162"/>
      <c r="K872" s="161"/>
      <c r="L872" s="161"/>
      <c r="M872" s="163"/>
      <c r="N872" s="163" t="str">
        <f t="shared" si="17"/>
        <v/>
      </c>
      <c r="O872" s="41"/>
      <c r="P872" s="41"/>
      <c r="Q872" s="161" t="str">
        <f>+IF(OR(O872="Fire Control",O872="Fire Tex 5062",O872="Fire Tex 5090",O872="Fire Tex 5120"),'CALCULO PINTURA'!P873," ")</f>
        <v xml:space="preserve"> </v>
      </c>
      <c r="R872" s="164" t="str">
        <f>+IF(OR(O872="Fire Control",O872="Fire Tex 5062",O872="Fire Tex 5090",O872="Fire Tex 5120"),'CALCULO PINTURA'!R873," ")</f>
        <v xml:space="preserve"> </v>
      </c>
      <c r="S872" s="164" t="str">
        <f>+IF(OR(O872="Fire Control",O872="Fire Tex 5062",O872="Fire Tex 5090",O872="Fire Tex 5120"),'CALCULO PINTURA'!S873," ")</f>
        <v xml:space="preserve"> </v>
      </c>
      <c r="T872" s="874" t="str">
        <f>+IF(OR(O872="Blaze Shield II",O872="Cafco 400",O872="Cafco 300"),'CALCULO MORTERO'!N878," ")</f>
        <v xml:space="preserve"> </v>
      </c>
      <c r="U872" s="875" t="str">
        <f>+IF(OR(O872="Blaze Shield II",O872="Cafco 400",O872="Cafco 300"),'CALCULO MORTERO'!O878," ")</f>
        <v xml:space="preserve"> </v>
      </c>
      <c r="V872" s="161" t="str" cm="1">
        <f t="array" ref="V872">_xlfn.IFS(O872="Blaze Shield II",'CALCULO MORTERO'!P873, O872="Cafco 400",'CALCULO MORTERO'!Q873,O872="Cafco 300",'CALCULO MORTERO'!S873, AND(OR(O872="Fire tex 5090", O872="Fire Tex 5062", O872="Fire Tex 5120", O872="Fire Control"),Q872&gt;0), "CERT.",TRUE,"-")</f>
        <v>-</v>
      </c>
    </row>
    <row r="873" spans="1:22" x14ac:dyDescent="0.25">
      <c r="A873" s="168"/>
      <c r="B873" s="876"/>
      <c r="C873" s="161"/>
      <c r="D873" s="161"/>
      <c r="E873" s="161"/>
      <c r="F873" s="41"/>
      <c r="G873" s="161"/>
      <c r="H873" s="161"/>
      <c r="I873" s="166"/>
      <c r="J873" s="162"/>
      <c r="K873" s="161"/>
      <c r="L873" s="161"/>
      <c r="M873" s="163"/>
      <c r="N873" s="163" t="str">
        <f t="shared" si="17"/>
        <v/>
      </c>
      <c r="O873" s="41"/>
      <c r="P873" s="41"/>
      <c r="Q873" s="161" t="str">
        <f>+IF(OR(O873="Fire Control",O873="Fire Tex 5062",O873="Fire Tex 5090",O873="Fire Tex 5120"),'CALCULO PINTURA'!P874," ")</f>
        <v xml:space="preserve"> </v>
      </c>
      <c r="R873" s="164" t="str">
        <f>+IF(OR(O873="Fire Control",O873="Fire Tex 5062",O873="Fire Tex 5090",O873="Fire Tex 5120"),'CALCULO PINTURA'!R874," ")</f>
        <v xml:space="preserve"> </v>
      </c>
      <c r="S873" s="164" t="str">
        <f>+IF(OR(O873="Fire Control",O873="Fire Tex 5062",O873="Fire Tex 5090",O873="Fire Tex 5120"),'CALCULO PINTURA'!S874," ")</f>
        <v xml:space="preserve"> </v>
      </c>
      <c r="T873" s="874" t="str">
        <f>+IF(OR(O873="Blaze Shield II",O873="Cafco 400",O873="Cafco 300"),'CALCULO MORTERO'!N879," ")</f>
        <v xml:space="preserve"> </v>
      </c>
      <c r="U873" s="875" t="str">
        <f>+IF(OR(O873="Blaze Shield II",O873="Cafco 400",O873="Cafco 300"),'CALCULO MORTERO'!O879," ")</f>
        <v xml:space="preserve"> </v>
      </c>
      <c r="V873" s="161" t="str" cm="1">
        <f t="array" ref="V873">_xlfn.IFS(O873="Blaze Shield II",'CALCULO MORTERO'!P874, O873="Cafco 400",'CALCULO MORTERO'!Q874,O873="Cafco 300",'CALCULO MORTERO'!S874, AND(OR(O873="Fire tex 5090", O873="Fire Tex 5062", O873="Fire Tex 5120", O873="Fire Control"),Q873&gt;0), "CERT.",TRUE,"-")</f>
        <v>-</v>
      </c>
    </row>
    <row r="874" spans="1:22" x14ac:dyDescent="0.25">
      <c r="A874" s="168"/>
      <c r="B874" s="876"/>
      <c r="C874" s="161"/>
      <c r="D874" s="161"/>
      <c r="E874" s="161"/>
      <c r="F874" s="41"/>
      <c r="G874" s="161"/>
      <c r="H874" s="161"/>
      <c r="I874" s="166"/>
      <c r="J874" s="162"/>
      <c r="K874" s="161"/>
      <c r="L874" s="161"/>
      <c r="M874" s="169"/>
      <c r="N874" s="163" t="str">
        <f t="shared" si="17"/>
        <v/>
      </c>
      <c r="O874" s="41"/>
      <c r="P874" s="41"/>
      <c r="Q874" s="161" t="str">
        <f>+IF(OR(O874="Fire Control",O874="Fire Tex 5062",O874="Fire Tex 5090",O874="Fire Tex 5120"),'CALCULO PINTURA'!P875," ")</f>
        <v xml:space="preserve"> </v>
      </c>
      <c r="R874" s="164" t="str">
        <f>+IF(OR(O874="Fire Control",O874="Fire Tex 5062",O874="Fire Tex 5090",O874="Fire Tex 5120"),'CALCULO PINTURA'!R875," ")</f>
        <v xml:space="preserve"> </v>
      </c>
      <c r="S874" s="164" t="str">
        <f>+IF(OR(O874="Fire Control",O874="Fire Tex 5062",O874="Fire Tex 5090",O874="Fire Tex 5120"),'CALCULO PINTURA'!S875," ")</f>
        <v xml:space="preserve"> </v>
      </c>
      <c r="T874" s="874" t="str">
        <f>+IF(OR(O874="Blaze Shield II",O874="Cafco 400",O874="Cafco 300"),'CALCULO MORTERO'!N880," ")</f>
        <v xml:space="preserve"> </v>
      </c>
      <c r="U874" s="875" t="str">
        <f>+IF(OR(O874="Blaze Shield II",O874="Cafco 400",O874="Cafco 300"),'CALCULO MORTERO'!O880," ")</f>
        <v xml:space="preserve"> </v>
      </c>
      <c r="V874" s="161" t="str" cm="1">
        <f t="array" ref="V874">_xlfn.IFS(O874="Blaze Shield II",'CALCULO MORTERO'!P875, O874="Cafco 400",'CALCULO MORTERO'!Q875,O874="Cafco 300",'CALCULO MORTERO'!S875, AND(OR(O874="Fire tex 5090", O874="Fire Tex 5062", O874="Fire Tex 5120", O874="Fire Control"),Q874&gt;0), "CERT.",TRUE,"-")</f>
        <v>-</v>
      </c>
    </row>
    <row r="875" spans="1:22" x14ac:dyDescent="0.25">
      <c r="A875" s="168"/>
      <c r="B875" s="876"/>
      <c r="C875" s="161"/>
      <c r="D875" s="161"/>
      <c r="E875" s="161"/>
      <c r="F875" s="41"/>
      <c r="G875" s="161"/>
      <c r="H875" s="161"/>
      <c r="I875" s="166"/>
      <c r="J875" s="162"/>
      <c r="K875" s="161"/>
      <c r="L875" s="161"/>
      <c r="M875" s="169"/>
      <c r="N875" s="163" t="str">
        <f t="shared" si="17"/>
        <v/>
      </c>
      <c r="O875" s="41"/>
      <c r="P875" s="41"/>
      <c r="Q875" s="161" t="str">
        <f>+IF(OR(O875="Fire Control",O875="Fire Tex 5062",O875="Fire Tex 5090",O875="Fire Tex 5120"),'CALCULO PINTURA'!P876," ")</f>
        <v xml:space="preserve"> </v>
      </c>
      <c r="R875" s="164" t="str">
        <f>+IF(OR(O875="Fire Control",O875="Fire Tex 5062",O875="Fire Tex 5090",O875="Fire Tex 5120"),'CALCULO PINTURA'!R876," ")</f>
        <v xml:space="preserve"> </v>
      </c>
      <c r="S875" s="164" t="str">
        <f>+IF(OR(O875="Fire Control",O875="Fire Tex 5062",O875="Fire Tex 5090",O875="Fire Tex 5120"),'CALCULO PINTURA'!S876," ")</f>
        <v xml:space="preserve"> </v>
      </c>
      <c r="T875" s="874" t="str">
        <f>+IF(OR(O875="Blaze Shield II",O875="Cafco 400",O875="Cafco 300"),'CALCULO MORTERO'!N881," ")</f>
        <v xml:space="preserve"> </v>
      </c>
      <c r="U875" s="875" t="str">
        <f>+IF(OR(O875="Blaze Shield II",O875="Cafco 400",O875="Cafco 300"),'CALCULO MORTERO'!O881," ")</f>
        <v xml:space="preserve"> </v>
      </c>
      <c r="V875" s="161" t="str" cm="1">
        <f t="array" ref="V875">_xlfn.IFS(O875="Blaze Shield II",'CALCULO MORTERO'!P876, O875="Cafco 400",'CALCULO MORTERO'!Q876,O875="Cafco 300",'CALCULO MORTERO'!S876, AND(OR(O875="Fire tex 5090", O875="Fire Tex 5062", O875="Fire Tex 5120", O875="Fire Control"),Q875&gt;0), "CERT.",TRUE,"-")</f>
        <v>-</v>
      </c>
    </row>
    <row r="876" spans="1:22" x14ac:dyDescent="0.25">
      <c r="A876" s="168"/>
      <c r="B876" s="876"/>
      <c r="C876" s="161"/>
      <c r="D876" s="161"/>
      <c r="E876" s="161"/>
      <c r="F876" s="41"/>
      <c r="G876" s="161"/>
      <c r="H876" s="161"/>
      <c r="I876" s="166"/>
      <c r="J876" s="162"/>
      <c r="K876" s="161"/>
      <c r="L876" s="161"/>
      <c r="M876" s="169"/>
      <c r="N876" s="163" t="str">
        <f t="shared" si="17"/>
        <v/>
      </c>
      <c r="O876" s="41"/>
      <c r="P876" s="41"/>
      <c r="Q876" s="161" t="str">
        <f>+IF(OR(O876="Fire Control",O876="Fire Tex 5062",O876="Fire Tex 5090",O876="Fire Tex 5120"),'CALCULO PINTURA'!P877," ")</f>
        <v xml:space="preserve"> </v>
      </c>
      <c r="R876" s="164" t="str">
        <f>+IF(OR(O876="Fire Control",O876="Fire Tex 5062",O876="Fire Tex 5090",O876="Fire Tex 5120"),'CALCULO PINTURA'!R877," ")</f>
        <v xml:space="preserve"> </v>
      </c>
      <c r="S876" s="164" t="str">
        <f>+IF(OR(O876="Fire Control",O876="Fire Tex 5062",O876="Fire Tex 5090",O876="Fire Tex 5120"),'CALCULO PINTURA'!S877," ")</f>
        <v xml:space="preserve"> </v>
      </c>
      <c r="T876" s="874" t="str">
        <f>+IF(OR(O876="Blaze Shield II",O876="Cafco 400",O876="Cafco 300"),'CALCULO MORTERO'!N882," ")</f>
        <v xml:space="preserve"> </v>
      </c>
      <c r="U876" s="875" t="str">
        <f>+IF(OR(O876="Blaze Shield II",O876="Cafco 400",O876="Cafco 300"),'CALCULO MORTERO'!O882," ")</f>
        <v xml:space="preserve"> </v>
      </c>
      <c r="V876" s="161" t="str" cm="1">
        <f t="array" ref="V876">_xlfn.IFS(O876="Blaze Shield II",'CALCULO MORTERO'!P877, O876="Cafco 400",'CALCULO MORTERO'!Q877,O876="Cafco 300",'CALCULO MORTERO'!S877, AND(OR(O876="Fire tex 5090", O876="Fire Tex 5062", O876="Fire Tex 5120", O876="Fire Control"),Q876&gt;0), "CERT.",TRUE,"-")</f>
        <v>-</v>
      </c>
    </row>
    <row r="877" spans="1:22" x14ac:dyDescent="0.25">
      <c r="A877" s="168"/>
      <c r="B877" s="876"/>
      <c r="C877" s="161"/>
      <c r="D877" s="161"/>
      <c r="E877" s="161"/>
      <c r="F877" s="41"/>
      <c r="G877" s="161"/>
      <c r="H877" s="161"/>
      <c r="I877" s="166"/>
      <c r="J877" s="162"/>
      <c r="K877" s="161"/>
      <c r="L877" s="161"/>
      <c r="M877" s="163"/>
      <c r="N877" s="163" t="str">
        <f t="shared" si="17"/>
        <v/>
      </c>
      <c r="O877" s="41"/>
      <c r="P877" s="41"/>
      <c r="Q877" s="161" t="str">
        <f>+IF(OR(O877="Fire Control",O877="Fire Tex 5062",O877="Fire Tex 5090",O877="Fire Tex 5120"),'CALCULO PINTURA'!P878," ")</f>
        <v xml:space="preserve"> </v>
      </c>
      <c r="R877" s="164" t="str">
        <f>+IF(OR(O877="Fire Control",O877="Fire Tex 5062",O877="Fire Tex 5090",O877="Fire Tex 5120"),'CALCULO PINTURA'!R878," ")</f>
        <v xml:space="preserve"> </v>
      </c>
      <c r="S877" s="164" t="str">
        <f>+IF(OR(O877="Fire Control",O877="Fire Tex 5062",O877="Fire Tex 5090",O877="Fire Tex 5120"),'CALCULO PINTURA'!S878," ")</f>
        <v xml:space="preserve"> </v>
      </c>
      <c r="T877" s="874" t="str">
        <f>+IF(OR(O877="Blaze Shield II",O877="Cafco 400",O877="Cafco 300"),'CALCULO MORTERO'!N883," ")</f>
        <v xml:space="preserve"> </v>
      </c>
      <c r="U877" s="875" t="str">
        <f>+IF(OR(O877="Blaze Shield II",O877="Cafco 400",O877="Cafco 300"),'CALCULO MORTERO'!O883," ")</f>
        <v xml:space="preserve"> </v>
      </c>
      <c r="V877" s="161" t="str" cm="1">
        <f t="array" ref="V877">_xlfn.IFS(O877="Blaze Shield II",'CALCULO MORTERO'!P878, O877="Cafco 400",'CALCULO MORTERO'!Q878,O877="Cafco 300",'CALCULO MORTERO'!S878, AND(OR(O877="Fire tex 5090", O877="Fire Tex 5062", O877="Fire Tex 5120", O877="Fire Control"),Q877&gt;0), "CERT.",TRUE,"-")</f>
        <v>-</v>
      </c>
    </row>
    <row r="878" spans="1:22" x14ac:dyDescent="0.25">
      <c r="A878" s="168"/>
      <c r="B878" s="876"/>
      <c r="C878" s="161"/>
      <c r="D878" s="161"/>
      <c r="E878" s="161"/>
      <c r="F878" s="41"/>
      <c r="G878" s="161"/>
      <c r="H878" s="161"/>
      <c r="I878" s="166"/>
      <c r="J878" s="162"/>
      <c r="K878" s="161"/>
      <c r="L878" s="161"/>
      <c r="M878" s="163"/>
      <c r="N878" s="163" t="str">
        <f t="shared" si="17"/>
        <v/>
      </c>
      <c r="O878" s="41"/>
      <c r="P878" s="41"/>
      <c r="Q878" s="161" t="str">
        <f>+IF(OR(O878="Fire Control",O878="Fire Tex 5062",O878="Fire Tex 5090",O878="Fire Tex 5120"),'CALCULO PINTURA'!P879," ")</f>
        <v xml:space="preserve"> </v>
      </c>
      <c r="R878" s="164" t="str">
        <f>+IF(OR(O878="Fire Control",O878="Fire Tex 5062",O878="Fire Tex 5090",O878="Fire Tex 5120"),'CALCULO PINTURA'!R879," ")</f>
        <v xml:space="preserve"> </v>
      </c>
      <c r="S878" s="164" t="str">
        <f>+IF(OR(O878="Fire Control",O878="Fire Tex 5062",O878="Fire Tex 5090",O878="Fire Tex 5120"),'CALCULO PINTURA'!S879," ")</f>
        <v xml:space="preserve"> </v>
      </c>
      <c r="T878" s="874" t="str">
        <f>+IF(OR(O878="Blaze Shield II",O878="Cafco 400",O878="Cafco 300"),'CALCULO MORTERO'!N884," ")</f>
        <v xml:space="preserve"> </v>
      </c>
      <c r="U878" s="875" t="str">
        <f>+IF(OR(O878="Blaze Shield II",O878="Cafco 400",O878="Cafco 300"),'CALCULO MORTERO'!O884," ")</f>
        <v xml:space="preserve"> </v>
      </c>
      <c r="V878" s="161" t="str" cm="1">
        <f t="array" ref="V878">_xlfn.IFS(O878="Blaze Shield II",'CALCULO MORTERO'!P879, O878="Cafco 400",'CALCULO MORTERO'!Q879,O878="Cafco 300",'CALCULO MORTERO'!S879, AND(OR(O878="Fire tex 5090", O878="Fire Tex 5062", O878="Fire Tex 5120", O878="Fire Control"),Q878&gt;0), "CERT.",TRUE,"-")</f>
        <v>-</v>
      </c>
    </row>
    <row r="879" spans="1:22" x14ac:dyDescent="0.25">
      <c r="A879" s="168"/>
      <c r="B879" s="876"/>
      <c r="C879" s="161"/>
      <c r="D879" s="161"/>
      <c r="E879" s="161"/>
      <c r="F879" s="41"/>
      <c r="G879" s="161"/>
      <c r="H879" s="161"/>
      <c r="I879" s="166"/>
      <c r="J879" s="162"/>
      <c r="K879" s="161"/>
      <c r="L879" s="161"/>
      <c r="M879" s="163"/>
      <c r="N879" s="163" t="str">
        <f t="shared" si="17"/>
        <v/>
      </c>
      <c r="O879" s="41"/>
      <c r="P879" s="41"/>
      <c r="Q879" s="161" t="str">
        <f>+IF(OR(O879="Fire Control",O879="Fire Tex 5062",O879="Fire Tex 5090",O879="Fire Tex 5120"),'CALCULO PINTURA'!P880," ")</f>
        <v xml:space="preserve"> </v>
      </c>
      <c r="R879" s="164" t="str">
        <f>+IF(OR(O879="Fire Control",O879="Fire Tex 5062",O879="Fire Tex 5090",O879="Fire Tex 5120"),'CALCULO PINTURA'!R880," ")</f>
        <v xml:space="preserve"> </v>
      </c>
      <c r="S879" s="164" t="str">
        <f>+IF(OR(O879="Fire Control",O879="Fire Tex 5062",O879="Fire Tex 5090",O879="Fire Tex 5120"),'CALCULO PINTURA'!S880," ")</f>
        <v xml:space="preserve"> </v>
      </c>
      <c r="T879" s="874" t="str">
        <f>+IF(OR(O879="Blaze Shield II",O879="Cafco 400",O879="Cafco 300"),'CALCULO MORTERO'!N885," ")</f>
        <v xml:space="preserve"> </v>
      </c>
      <c r="U879" s="875" t="str">
        <f>+IF(OR(O879="Blaze Shield II",O879="Cafco 400",O879="Cafco 300"),'CALCULO MORTERO'!O885," ")</f>
        <v xml:space="preserve"> </v>
      </c>
      <c r="V879" s="161" t="str" cm="1">
        <f t="array" ref="V879">_xlfn.IFS(O879="Blaze Shield II",'CALCULO MORTERO'!P880, O879="Cafco 400",'CALCULO MORTERO'!Q880,O879="Cafco 300",'CALCULO MORTERO'!S880, AND(OR(O879="Fire tex 5090", O879="Fire Tex 5062", O879="Fire Tex 5120", O879="Fire Control"),Q879&gt;0), "CERT.",TRUE,"-")</f>
        <v>-</v>
      </c>
    </row>
    <row r="880" spans="1:22" x14ac:dyDescent="0.25">
      <c r="A880" s="168"/>
      <c r="B880" s="876"/>
      <c r="C880" s="161"/>
      <c r="D880" s="161"/>
      <c r="E880" s="161"/>
      <c r="F880" s="41"/>
      <c r="G880" s="161"/>
      <c r="H880" s="161"/>
      <c r="I880" s="166"/>
      <c r="J880" s="162"/>
      <c r="K880" s="161"/>
      <c r="L880" s="161"/>
      <c r="M880" s="163"/>
      <c r="N880" s="163" t="str">
        <f t="shared" si="17"/>
        <v/>
      </c>
      <c r="O880" s="41"/>
      <c r="P880" s="41"/>
      <c r="Q880" s="161" t="str">
        <f>+IF(OR(O880="Fire Control",O880="Fire Tex 5062",O880="Fire Tex 5090",O880="Fire Tex 5120"),'CALCULO PINTURA'!P881," ")</f>
        <v xml:space="preserve"> </v>
      </c>
      <c r="R880" s="164" t="str">
        <f>+IF(OR(O880="Fire Control",O880="Fire Tex 5062",O880="Fire Tex 5090",O880="Fire Tex 5120"),'CALCULO PINTURA'!R881," ")</f>
        <v xml:space="preserve"> </v>
      </c>
      <c r="S880" s="164" t="str">
        <f>+IF(OR(O880="Fire Control",O880="Fire Tex 5062",O880="Fire Tex 5090",O880="Fire Tex 5120"),'CALCULO PINTURA'!S881," ")</f>
        <v xml:space="preserve"> </v>
      </c>
      <c r="T880" s="874" t="str">
        <f>+IF(OR(O880="Blaze Shield II",O880="Cafco 400",O880="Cafco 300"),'CALCULO MORTERO'!N886," ")</f>
        <v xml:space="preserve"> </v>
      </c>
      <c r="U880" s="875" t="str">
        <f>+IF(OR(O880="Blaze Shield II",O880="Cafco 400",O880="Cafco 300"),'CALCULO MORTERO'!O886," ")</f>
        <v xml:space="preserve"> </v>
      </c>
      <c r="V880" s="161" t="str" cm="1">
        <f t="array" ref="V880">_xlfn.IFS(O880="Blaze Shield II",'CALCULO MORTERO'!P881, O880="Cafco 400",'CALCULO MORTERO'!Q881,O880="Cafco 300",'CALCULO MORTERO'!S881, AND(OR(O880="Fire tex 5090", O880="Fire Tex 5062", O880="Fire Tex 5120", O880="Fire Control"),Q880&gt;0), "CERT.",TRUE,"-")</f>
        <v>-</v>
      </c>
    </row>
    <row r="881" spans="1:22" x14ac:dyDescent="0.25">
      <c r="A881" s="168"/>
      <c r="B881" s="876"/>
      <c r="C881" s="161"/>
      <c r="D881" s="161"/>
      <c r="E881" s="161"/>
      <c r="F881" s="41"/>
      <c r="G881" s="161"/>
      <c r="H881" s="161"/>
      <c r="I881" s="166"/>
      <c r="J881" s="162"/>
      <c r="K881" s="161"/>
      <c r="L881" s="161"/>
      <c r="M881" s="163"/>
      <c r="N881" s="163" t="str">
        <f t="shared" si="17"/>
        <v/>
      </c>
      <c r="O881" s="41"/>
      <c r="P881" s="41"/>
      <c r="Q881" s="161" t="str">
        <f>+IF(OR(O881="Fire Control",O881="Fire Tex 5062",O881="Fire Tex 5090",O881="Fire Tex 5120"),'CALCULO PINTURA'!P882," ")</f>
        <v xml:space="preserve"> </v>
      </c>
      <c r="R881" s="164" t="str">
        <f>+IF(OR(O881="Fire Control",O881="Fire Tex 5062",O881="Fire Tex 5090",O881="Fire Tex 5120"),'CALCULO PINTURA'!R882," ")</f>
        <v xml:space="preserve"> </v>
      </c>
      <c r="S881" s="164" t="str">
        <f>+IF(OR(O881="Fire Control",O881="Fire Tex 5062",O881="Fire Tex 5090",O881="Fire Tex 5120"),'CALCULO PINTURA'!S882," ")</f>
        <v xml:space="preserve"> </v>
      </c>
      <c r="T881" s="874" t="str">
        <f>+IF(OR(O881="Blaze Shield II",O881="Cafco 400",O881="Cafco 300"),'CALCULO MORTERO'!N887," ")</f>
        <v xml:space="preserve"> </v>
      </c>
      <c r="U881" s="875" t="str">
        <f>+IF(OR(O881="Blaze Shield II",O881="Cafco 400",O881="Cafco 300"),'CALCULO MORTERO'!O887," ")</f>
        <v xml:space="preserve"> </v>
      </c>
      <c r="V881" s="161" t="str" cm="1">
        <f t="array" ref="V881">_xlfn.IFS(O881="Blaze Shield II",'CALCULO MORTERO'!P882, O881="Cafco 400",'CALCULO MORTERO'!Q882,O881="Cafco 300",'CALCULO MORTERO'!S882, AND(OR(O881="Fire tex 5090", O881="Fire Tex 5062", O881="Fire Tex 5120", O881="Fire Control"),Q881&gt;0), "CERT.",TRUE,"-")</f>
        <v>-</v>
      </c>
    </row>
    <row r="882" spans="1:22" x14ac:dyDescent="0.25">
      <c r="A882" s="168"/>
      <c r="B882" s="876"/>
      <c r="C882" s="161"/>
      <c r="D882" s="161"/>
      <c r="E882" s="161"/>
      <c r="F882" s="41"/>
      <c r="G882" s="161"/>
      <c r="H882" s="161"/>
      <c r="I882" s="166"/>
      <c r="J882" s="162"/>
      <c r="K882" s="161"/>
      <c r="L882" s="161"/>
      <c r="M882" s="163"/>
      <c r="N882" s="163" t="str">
        <f t="shared" si="17"/>
        <v/>
      </c>
      <c r="O882" s="41"/>
      <c r="P882" s="41"/>
      <c r="Q882" s="161" t="str">
        <f>+IF(OR(O882="Fire Control",O882="Fire Tex 5062",O882="Fire Tex 5090",O882="Fire Tex 5120"),'CALCULO PINTURA'!P883," ")</f>
        <v xml:space="preserve"> </v>
      </c>
      <c r="R882" s="164" t="str">
        <f>+IF(OR(O882="Fire Control",O882="Fire Tex 5062",O882="Fire Tex 5090",O882="Fire Tex 5120"),'CALCULO PINTURA'!R883," ")</f>
        <v xml:space="preserve"> </v>
      </c>
      <c r="S882" s="164" t="str">
        <f>+IF(OR(O882="Fire Control",O882="Fire Tex 5062",O882="Fire Tex 5090",O882="Fire Tex 5120"),'CALCULO PINTURA'!S883," ")</f>
        <v xml:space="preserve"> </v>
      </c>
      <c r="T882" s="874" t="str">
        <f>+IF(OR(O882="Blaze Shield II",O882="Cafco 400",O882="Cafco 300"),'CALCULO MORTERO'!N888," ")</f>
        <v xml:space="preserve"> </v>
      </c>
      <c r="U882" s="875" t="str">
        <f>+IF(OR(O882="Blaze Shield II",O882="Cafco 400",O882="Cafco 300"),'CALCULO MORTERO'!O888," ")</f>
        <v xml:space="preserve"> </v>
      </c>
      <c r="V882" s="161" t="str" cm="1">
        <f t="array" ref="V882">_xlfn.IFS(O882="Blaze Shield II",'CALCULO MORTERO'!P883, O882="Cafco 400",'CALCULO MORTERO'!Q883,O882="Cafco 300",'CALCULO MORTERO'!S883, AND(OR(O882="Fire tex 5090", O882="Fire Tex 5062", O882="Fire Tex 5120", O882="Fire Control"),Q882&gt;0), "CERT.",TRUE,"-")</f>
        <v>-</v>
      </c>
    </row>
    <row r="883" spans="1:22" x14ac:dyDescent="0.25">
      <c r="A883" s="168"/>
      <c r="B883" s="876"/>
      <c r="C883" s="161"/>
      <c r="D883" s="161"/>
      <c r="E883" s="161"/>
      <c r="F883" s="41"/>
      <c r="G883" s="161"/>
      <c r="H883" s="161"/>
      <c r="I883" s="166"/>
      <c r="J883" s="162"/>
      <c r="K883" s="161"/>
      <c r="L883" s="161"/>
      <c r="M883" s="163"/>
      <c r="N883" s="163" t="str">
        <f t="shared" si="17"/>
        <v/>
      </c>
      <c r="O883" s="41"/>
      <c r="P883" s="41"/>
      <c r="Q883" s="161" t="str">
        <f>+IF(OR(O883="Fire Control",O883="Fire Tex 5062",O883="Fire Tex 5090",O883="Fire Tex 5120"),'CALCULO PINTURA'!P884," ")</f>
        <v xml:space="preserve"> </v>
      </c>
      <c r="R883" s="164" t="str">
        <f>+IF(OR(O883="Fire Control",O883="Fire Tex 5062",O883="Fire Tex 5090",O883="Fire Tex 5120"),'CALCULO PINTURA'!R884," ")</f>
        <v xml:space="preserve"> </v>
      </c>
      <c r="S883" s="164" t="str">
        <f>+IF(OR(O883="Fire Control",O883="Fire Tex 5062",O883="Fire Tex 5090",O883="Fire Tex 5120"),'CALCULO PINTURA'!S884," ")</f>
        <v xml:space="preserve"> </v>
      </c>
      <c r="T883" s="874" t="str">
        <f>+IF(OR(O883="Blaze Shield II",O883="Cafco 400",O883="Cafco 300"),'CALCULO MORTERO'!N889," ")</f>
        <v xml:space="preserve"> </v>
      </c>
      <c r="U883" s="875" t="str">
        <f>+IF(OR(O883="Blaze Shield II",O883="Cafco 400",O883="Cafco 300"),'CALCULO MORTERO'!O889," ")</f>
        <v xml:space="preserve"> </v>
      </c>
      <c r="V883" s="161" t="str" cm="1">
        <f t="array" ref="V883">_xlfn.IFS(O883="Blaze Shield II",'CALCULO MORTERO'!P884, O883="Cafco 400",'CALCULO MORTERO'!Q884,O883="Cafco 300",'CALCULO MORTERO'!S884, AND(OR(O883="Fire tex 5090", O883="Fire Tex 5062", O883="Fire Tex 5120", O883="Fire Control"),Q883&gt;0), "CERT.",TRUE,"-")</f>
        <v>-</v>
      </c>
    </row>
    <row r="884" spans="1:22" x14ac:dyDescent="0.25">
      <c r="A884" s="168"/>
      <c r="B884" s="876"/>
      <c r="C884" s="161"/>
      <c r="D884" s="161"/>
      <c r="E884" s="161"/>
      <c r="F884" s="41"/>
      <c r="G884" s="161"/>
      <c r="H884" s="161"/>
      <c r="I884" s="166"/>
      <c r="J884" s="162"/>
      <c r="K884" s="161"/>
      <c r="L884" s="161"/>
      <c r="M884" s="163"/>
      <c r="N884" s="163" t="str">
        <f t="shared" si="17"/>
        <v/>
      </c>
      <c r="O884" s="41"/>
      <c r="P884" s="41"/>
      <c r="Q884" s="161" t="str">
        <f>+IF(OR(O884="Fire Control",O884="Fire Tex 5062",O884="Fire Tex 5090",O884="Fire Tex 5120"),'CALCULO PINTURA'!P885," ")</f>
        <v xml:space="preserve"> </v>
      </c>
      <c r="R884" s="164" t="str">
        <f>+IF(OR(O884="Fire Control",O884="Fire Tex 5062",O884="Fire Tex 5090",O884="Fire Tex 5120"),'CALCULO PINTURA'!R885," ")</f>
        <v xml:space="preserve"> </v>
      </c>
      <c r="S884" s="164" t="str">
        <f>+IF(OR(O884="Fire Control",O884="Fire Tex 5062",O884="Fire Tex 5090",O884="Fire Tex 5120"),'CALCULO PINTURA'!S885," ")</f>
        <v xml:space="preserve"> </v>
      </c>
      <c r="T884" s="874" t="str">
        <f>+IF(OR(O884="Blaze Shield II",O884="Cafco 400",O884="Cafco 300"),'CALCULO MORTERO'!N890," ")</f>
        <v xml:space="preserve"> </v>
      </c>
      <c r="U884" s="875" t="str">
        <f>+IF(OR(O884="Blaze Shield II",O884="Cafco 400",O884="Cafco 300"),'CALCULO MORTERO'!O890," ")</f>
        <v xml:space="preserve"> </v>
      </c>
      <c r="V884" s="161" t="str" cm="1">
        <f t="array" ref="V884">_xlfn.IFS(O884="Blaze Shield II",'CALCULO MORTERO'!P885, O884="Cafco 400",'CALCULO MORTERO'!Q885,O884="Cafco 300",'CALCULO MORTERO'!S885, AND(OR(O884="Fire tex 5090", O884="Fire Tex 5062", O884="Fire Tex 5120", O884="Fire Control"),Q884&gt;0), "CERT.",TRUE,"-")</f>
        <v>-</v>
      </c>
    </row>
    <row r="885" spans="1:22" x14ac:dyDescent="0.25">
      <c r="A885" s="168"/>
      <c r="B885" s="876"/>
      <c r="C885" s="161"/>
      <c r="D885" s="161"/>
      <c r="E885" s="161"/>
      <c r="F885" s="41"/>
      <c r="G885" s="161"/>
      <c r="H885" s="161"/>
      <c r="I885" s="166"/>
      <c r="J885" s="162"/>
      <c r="K885" s="161"/>
      <c r="L885" s="161"/>
      <c r="M885" s="163"/>
      <c r="N885" s="163" t="str">
        <f t="shared" si="17"/>
        <v/>
      </c>
      <c r="O885" s="41"/>
      <c r="P885" s="41"/>
      <c r="Q885" s="161" t="str">
        <f>+IF(OR(O885="Fire Control",O885="Fire Tex 5062",O885="Fire Tex 5090",O885="Fire Tex 5120"),'CALCULO PINTURA'!P886," ")</f>
        <v xml:space="preserve"> </v>
      </c>
      <c r="R885" s="164" t="str">
        <f>+IF(OR(O885="Fire Control",O885="Fire Tex 5062",O885="Fire Tex 5090",O885="Fire Tex 5120"),'CALCULO PINTURA'!R886," ")</f>
        <v xml:space="preserve"> </v>
      </c>
      <c r="S885" s="164" t="str">
        <f>+IF(OR(O885="Fire Control",O885="Fire Tex 5062",O885="Fire Tex 5090",O885="Fire Tex 5120"),'CALCULO PINTURA'!S886," ")</f>
        <v xml:space="preserve"> </v>
      </c>
      <c r="T885" s="874" t="str">
        <f>+IF(OR(O885="Blaze Shield II",O885="Cafco 400",O885="Cafco 300"),'CALCULO MORTERO'!N891," ")</f>
        <v xml:space="preserve"> </v>
      </c>
      <c r="U885" s="875" t="str">
        <f>+IF(OR(O885="Blaze Shield II",O885="Cafco 400",O885="Cafco 300"),'CALCULO MORTERO'!O891," ")</f>
        <v xml:space="preserve"> </v>
      </c>
      <c r="V885" s="161" t="str" cm="1">
        <f t="array" ref="V885">_xlfn.IFS(O885="Blaze Shield II",'CALCULO MORTERO'!P886, O885="Cafco 400",'CALCULO MORTERO'!Q886,O885="Cafco 300",'CALCULO MORTERO'!S886, AND(OR(O885="Fire tex 5090", O885="Fire Tex 5062", O885="Fire Tex 5120", O885="Fire Control"),Q885&gt;0), "CERT.",TRUE,"-")</f>
        <v>-</v>
      </c>
    </row>
    <row r="886" spans="1:22" x14ac:dyDescent="0.25">
      <c r="A886" s="168"/>
      <c r="B886" s="876"/>
      <c r="C886" s="161"/>
      <c r="D886" s="161"/>
      <c r="E886" s="161"/>
      <c r="F886" s="41"/>
      <c r="G886" s="161"/>
      <c r="H886" s="161"/>
      <c r="I886" s="166"/>
      <c r="J886" s="162"/>
      <c r="K886" s="161"/>
      <c r="L886" s="161"/>
      <c r="M886" s="163"/>
      <c r="N886" s="163" t="str">
        <f t="shared" si="17"/>
        <v/>
      </c>
      <c r="O886" s="41"/>
      <c r="P886" s="41"/>
      <c r="Q886" s="161" t="str">
        <f>+IF(OR(O886="Fire Control",O886="Fire Tex 5062",O886="Fire Tex 5090",O886="Fire Tex 5120"),'CALCULO PINTURA'!P887," ")</f>
        <v xml:space="preserve"> </v>
      </c>
      <c r="R886" s="164" t="str">
        <f>+IF(OR(O886="Fire Control",O886="Fire Tex 5062",O886="Fire Tex 5090",O886="Fire Tex 5120"),'CALCULO PINTURA'!R887," ")</f>
        <v xml:space="preserve"> </v>
      </c>
      <c r="S886" s="164" t="str">
        <f>+IF(OR(O886="Fire Control",O886="Fire Tex 5062",O886="Fire Tex 5090",O886="Fire Tex 5120"),'CALCULO PINTURA'!S887," ")</f>
        <v xml:space="preserve"> </v>
      </c>
      <c r="T886" s="874" t="str">
        <f>+IF(OR(O886="Blaze Shield II",O886="Cafco 400",O886="Cafco 300"),'CALCULO MORTERO'!N892," ")</f>
        <v xml:space="preserve"> </v>
      </c>
      <c r="U886" s="875" t="str">
        <f>+IF(OR(O886="Blaze Shield II",O886="Cafco 400",O886="Cafco 300"),'CALCULO MORTERO'!O892," ")</f>
        <v xml:space="preserve"> </v>
      </c>
      <c r="V886" s="161" t="str" cm="1">
        <f t="array" ref="V886">_xlfn.IFS(O886="Blaze Shield II",'CALCULO MORTERO'!P887, O886="Cafco 400",'CALCULO MORTERO'!Q887,O886="Cafco 300",'CALCULO MORTERO'!S887, AND(OR(O886="Fire tex 5090", O886="Fire Tex 5062", O886="Fire Tex 5120", O886="Fire Control"),Q886&gt;0), "CERT.",TRUE,"-")</f>
        <v>-</v>
      </c>
    </row>
    <row r="887" spans="1:22" x14ac:dyDescent="0.25">
      <c r="A887" s="168"/>
      <c r="B887" s="876"/>
      <c r="C887" s="161"/>
      <c r="D887" s="161"/>
      <c r="E887" s="161"/>
      <c r="F887" s="41"/>
      <c r="G887" s="161"/>
      <c r="H887" s="161"/>
      <c r="I887" s="166"/>
      <c r="J887" s="162"/>
      <c r="K887" s="161"/>
      <c r="L887" s="161"/>
      <c r="M887" s="163"/>
      <c r="N887" s="163" t="str">
        <f t="shared" si="17"/>
        <v/>
      </c>
      <c r="O887" s="41"/>
      <c r="P887" s="41"/>
      <c r="Q887" s="161" t="str">
        <f>+IF(OR(O887="Fire Control",O887="Fire Tex 5062",O887="Fire Tex 5090",O887="Fire Tex 5120"),'CALCULO PINTURA'!P888," ")</f>
        <v xml:space="preserve"> </v>
      </c>
      <c r="R887" s="164" t="str">
        <f>+IF(OR(O887="Fire Control",O887="Fire Tex 5062",O887="Fire Tex 5090",O887="Fire Tex 5120"),'CALCULO PINTURA'!R888," ")</f>
        <v xml:space="preserve"> </v>
      </c>
      <c r="S887" s="164" t="str">
        <f>+IF(OR(O887="Fire Control",O887="Fire Tex 5062",O887="Fire Tex 5090",O887="Fire Tex 5120"),'CALCULO PINTURA'!S888," ")</f>
        <v xml:space="preserve"> </v>
      </c>
      <c r="T887" s="874" t="str">
        <f>+IF(OR(O887="Blaze Shield II",O887="Cafco 400",O887="Cafco 300"),'CALCULO MORTERO'!N893," ")</f>
        <v xml:space="preserve"> </v>
      </c>
      <c r="U887" s="875" t="str">
        <f>+IF(OR(O887="Blaze Shield II",O887="Cafco 400",O887="Cafco 300"),'CALCULO MORTERO'!O893," ")</f>
        <v xml:space="preserve"> </v>
      </c>
      <c r="V887" s="161" t="str" cm="1">
        <f t="array" ref="V887">_xlfn.IFS(O887="Blaze Shield II",'CALCULO MORTERO'!P888, O887="Cafco 400",'CALCULO MORTERO'!Q888,O887="Cafco 300",'CALCULO MORTERO'!S888, AND(OR(O887="Fire tex 5090", O887="Fire Tex 5062", O887="Fire Tex 5120", O887="Fire Control"),Q887&gt;0), "CERT.",TRUE,"-")</f>
        <v>-</v>
      </c>
    </row>
    <row r="888" spans="1:22" x14ac:dyDescent="0.25">
      <c r="A888" s="168"/>
      <c r="B888" s="876"/>
      <c r="C888" s="161"/>
      <c r="D888" s="161"/>
      <c r="E888" s="161"/>
      <c r="F888" s="41"/>
      <c r="G888" s="161"/>
      <c r="H888" s="161"/>
      <c r="I888" s="166"/>
      <c r="J888" s="162"/>
      <c r="K888" s="161"/>
      <c r="L888" s="161"/>
      <c r="M888" s="163"/>
      <c r="N888" s="163" t="str">
        <f t="shared" si="17"/>
        <v/>
      </c>
      <c r="O888" s="41"/>
      <c r="P888" s="41"/>
      <c r="Q888" s="161" t="str">
        <f>+IF(OR(O888="Fire Control",O888="Fire Tex 5062",O888="Fire Tex 5090",O888="Fire Tex 5120"),'CALCULO PINTURA'!P889," ")</f>
        <v xml:space="preserve"> </v>
      </c>
      <c r="R888" s="164" t="str">
        <f>+IF(OR(O888="Fire Control",O888="Fire Tex 5062",O888="Fire Tex 5090",O888="Fire Tex 5120"),'CALCULO PINTURA'!R889," ")</f>
        <v xml:space="preserve"> </v>
      </c>
      <c r="S888" s="164" t="str">
        <f>+IF(OR(O888="Fire Control",O888="Fire Tex 5062",O888="Fire Tex 5090",O888="Fire Tex 5120"),'CALCULO PINTURA'!S889," ")</f>
        <v xml:space="preserve"> </v>
      </c>
      <c r="T888" s="874" t="str">
        <f>+IF(OR(O888="Blaze Shield II",O888="Cafco 400",O888="Cafco 300"),'CALCULO MORTERO'!N894," ")</f>
        <v xml:space="preserve"> </v>
      </c>
      <c r="U888" s="875" t="str">
        <f>+IF(OR(O888="Blaze Shield II",O888="Cafco 400",O888="Cafco 300"),'CALCULO MORTERO'!O894," ")</f>
        <v xml:space="preserve"> </v>
      </c>
      <c r="V888" s="161" t="str" cm="1">
        <f t="array" ref="V888">_xlfn.IFS(O888="Blaze Shield II",'CALCULO MORTERO'!P889, O888="Cafco 400",'CALCULO MORTERO'!Q889,O888="Cafco 300",'CALCULO MORTERO'!S889, AND(OR(O888="Fire tex 5090", O888="Fire Tex 5062", O888="Fire Tex 5120", O888="Fire Control"),Q888&gt;0), "CERT.",TRUE,"-")</f>
        <v>-</v>
      </c>
    </row>
    <row r="889" spans="1:22" x14ac:dyDescent="0.25">
      <c r="A889" s="168"/>
      <c r="B889" s="876"/>
      <c r="C889" s="161"/>
      <c r="D889" s="161"/>
      <c r="E889" s="161"/>
      <c r="F889" s="41"/>
      <c r="G889" s="161"/>
      <c r="H889" s="161"/>
      <c r="I889" s="166"/>
      <c r="J889" s="162"/>
      <c r="K889" s="161"/>
      <c r="L889" s="161"/>
      <c r="M889" s="163"/>
      <c r="N889" s="163" t="str">
        <f t="shared" si="17"/>
        <v/>
      </c>
      <c r="O889" s="41"/>
      <c r="P889" s="41"/>
      <c r="Q889" s="161" t="str">
        <f>+IF(OR(O889="Fire Control",O889="Fire Tex 5062",O889="Fire Tex 5090",O889="Fire Tex 5120"),'CALCULO PINTURA'!P890," ")</f>
        <v xml:space="preserve"> </v>
      </c>
      <c r="R889" s="164" t="str">
        <f>+IF(OR(O889="Fire Control",O889="Fire Tex 5062",O889="Fire Tex 5090",O889="Fire Tex 5120"),'CALCULO PINTURA'!R890," ")</f>
        <v xml:space="preserve"> </v>
      </c>
      <c r="S889" s="164" t="str">
        <f>+IF(OR(O889="Fire Control",O889="Fire Tex 5062",O889="Fire Tex 5090",O889="Fire Tex 5120"),'CALCULO PINTURA'!S890," ")</f>
        <v xml:space="preserve"> </v>
      </c>
      <c r="T889" s="874" t="str">
        <f>+IF(OR(O889="Blaze Shield II",O889="Cafco 400",O889="Cafco 300"),'CALCULO MORTERO'!N895," ")</f>
        <v xml:space="preserve"> </v>
      </c>
      <c r="U889" s="875" t="str">
        <f>+IF(OR(O889="Blaze Shield II",O889="Cafco 400",O889="Cafco 300"),'CALCULO MORTERO'!O895," ")</f>
        <v xml:space="preserve"> </v>
      </c>
      <c r="V889" s="161" t="str" cm="1">
        <f t="array" ref="V889">_xlfn.IFS(O889="Blaze Shield II",'CALCULO MORTERO'!P890, O889="Cafco 400",'CALCULO MORTERO'!Q890,O889="Cafco 300",'CALCULO MORTERO'!S890, AND(OR(O889="Fire tex 5090", O889="Fire Tex 5062", O889="Fire Tex 5120", O889="Fire Control"),Q889&gt;0), "CERT.",TRUE,"-")</f>
        <v>-</v>
      </c>
    </row>
    <row r="890" spans="1:22" x14ac:dyDescent="0.25">
      <c r="A890" s="168"/>
      <c r="B890" s="876"/>
      <c r="C890" s="161"/>
      <c r="D890" s="161"/>
      <c r="E890" s="161"/>
      <c r="F890" s="41"/>
      <c r="G890" s="161"/>
      <c r="H890" s="161"/>
      <c r="I890" s="166"/>
      <c r="J890" s="162"/>
      <c r="K890" s="161"/>
      <c r="L890" s="161"/>
      <c r="M890" s="163"/>
      <c r="N890" s="163" t="str">
        <f t="shared" si="17"/>
        <v/>
      </c>
      <c r="O890" s="41"/>
      <c r="P890" s="41"/>
      <c r="Q890" s="161" t="str">
        <f>+IF(OR(O890="Fire Control",O890="Fire Tex 5062",O890="Fire Tex 5090",O890="Fire Tex 5120"),'CALCULO PINTURA'!P891," ")</f>
        <v xml:space="preserve"> </v>
      </c>
      <c r="R890" s="164" t="str">
        <f>+IF(OR(O890="Fire Control",O890="Fire Tex 5062",O890="Fire Tex 5090",O890="Fire Tex 5120"),'CALCULO PINTURA'!R891," ")</f>
        <v xml:space="preserve"> </v>
      </c>
      <c r="S890" s="164" t="str">
        <f>+IF(OR(O890="Fire Control",O890="Fire Tex 5062",O890="Fire Tex 5090",O890="Fire Tex 5120"),'CALCULO PINTURA'!S891," ")</f>
        <v xml:space="preserve"> </v>
      </c>
      <c r="T890" s="874" t="str">
        <f>+IF(OR(O890="Blaze Shield II",O890="Cafco 400",O890="Cafco 300"),'CALCULO MORTERO'!N896," ")</f>
        <v xml:space="preserve"> </v>
      </c>
      <c r="U890" s="875" t="str">
        <f>+IF(OR(O890="Blaze Shield II",O890="Cafco 400",O890="Cafco 300"),'CALCULO MORTERO'!O896," ")</f>
        <v xml:space="preserve"> </v>
      </c>
      <c r="V890" s="161" t="str" cm="1">
        <f t="array" ref="V890">_xlfn.IFS(O890="Blaze Shield II",'CALCULO MORTERO'!P891, O890="Cafco 400",'CALCULO MORTERO'!Q891,O890="Cafco 300",'CALCULO MORTERO'!S891, AND(OR(O890="Fire tex 5090", O890="Fire Tex 5062", O890="Fire Tex 5120", O890="Fire Control"),Q890&gt;0), "CERT.",TRUE,"-")</f>
        <v>-</v>
      </c>
    </row>
    <row r="891" spans="1:22" x14ac:dyDescent="0.25">
      <c r="A891" s="168"/>
      <c r="B891" s="876"/>
      <c r="C891" s="161"/>
      <c r="D891" s="161"/>
      <c r="E891" s="161"/>
      <c r="F891" s="41"/>
      <c r="G891" s="161"/>
      <c r="H891" s="161"/>
      <c r="I891" s="166"/>
      <c r="J891" s="162"/>
      <c r="K891" s="161"/>
      <c r="L891" s="161"/>
      <c r="M891" s="163"/>
      <c r="N891" s="163" t="str">
        <f t="shared" si="17"/>
        <v/>
      </c>
      <c r="O891" s="41"/>
      <c r="P891" s="41"/>
      <c r="Q891" s="161" t="str">
        <f>+IF(OR(O891="Fire Control",O891="Fire Tex 5062",O891="Fire Tex 5090",O891="Fire Tex 5120"),'CALCULO PINTURA'!P892," ")</f>
        <v xml:space="preserve"> </v>
      </c>
      <c r="R891" s="164" t="str">
        <f>+IF(OR(O891="Fire Control",O891="Fire Tex 5062",O891="Fire Tex 5090",O891="Fire Tex 5120"),'CALCULO PINTURA'!R892," ")</f>
        <v xml:space="preserve"> </v>
      </c>
      <c r="S891" s="164" t="str">
        <f>+IF(OR(O891="Fire Control",O891="Fire Tex 5062",O891="Fire Tex 5090",O891="Fire Tex 5120"),'CALCULO PINTURA'!S892," ")</f>
        <v xml:space="preserve"> </v>
      </c>
      <c r="T891" s="874" t="str">
        <f>+IF(OR(O891="Blaze Shield II",O891="Cafco 400",O891="Cafco 300"),'CALCULO MORTERO'!N897," ")</f>
        <v xml:space="preserve"> </v>
      </c>
      <c r="U891" s="875" t="str">
        <f>+IF(OR(O891="Blaze Shield II",O891="Cafco 400",O891="Cafco 300"),'CALCULO MORTERO'!O897," ")</f>
        <v xml:space="preserve"> </v>
      </c>
      <c r="V891" s="161" t="str" cm="1">
        <f t="array" ref="V891">_xlfn.IFS(O891="Blaze Shield II",'CALCULO MORTERO'!P892, O891="Cafco 400",'CALCULO MORTERO'!Q892,O891="Cafco 300",'CALCULO MORTERO'!S892, AND(OR(O891="Fire tex 5090", O891="Fire Tex 5062", O891="Fire Tex 5120", O891="Fire Control"),Q891&gt;0), "CERT.",TRUE,"-")</f>
        <v>-</v>
      </c>
    </row>
    <row r="892" spans="1:22" x14ac:dyDescent="0.25">
      <c r="A892" s="168"/>
      <c r="B892" s="876"/>
      <c r="C892" s="161"/>
      <c r="D892" s="161"/>
      <c r="E892" s="161"/>
      <c r="F892" s="41"/>
      <c r="G892" s="161"/>
      <c r="H892" s="161"/>
      <c r="I892" s="166"/>
      <c r="J892" s="162"/>
      <c r="K892" s="161"/>
      <c r="L892" s="161"/>
      <c r="M892" s="163"/>
      <c r="N892" s="163" t="str">
        <f t="shared" si="17"/>
        <v/>
      </c>
      <c r="O892" s="41"/>
      <c r="P892" s="41"/>
      <c r="Q892" s="161" t="str">
        <f>+IF(OR(O892="Fire Control",O892="Fire Tex 5062",O892="Fire Tex 5090",O892="Fire Tex 5120"),'CALCULO PINTURA'!P893," ")</f>
        <v xml:space="preserve"> </v>
      </c>
      <c r="R892" s="164" t="str">
        <f>+IF(OR(O892="Fire Control",O892="Fire Tex 5062",O892="Fire Tex 5090",O892="Fire Tex 5120"),'CALCULO PINTURA'!R893," ")</f>
        <v xml:space="preserve"> </v>
      </c>
      <c r="S892" s="164" t="str">
        <f>+IF(OR(O892="Fire Control",O892="Fire Tex 5062",O892="Fire Tex 5090",O892="Fire Tex 5120"),'CALCULO PINTURA'!S893," ")</f>
        <v xml:space="preserve"> </v>
      </c>
      <c r="T892" s="874" t="str">
        <f>+IF(OR(O892="Blaze Shield II",O892="Cafco 400",O892="Cafco 300"),'CALCULO MORTERO'!N898," ")</f>
        <v xml:space="preserve"> </v>
      </c>
      <c r="U892" s="875" t="str">
        <f>+IF(OR(O892="Blaze Shield II",O892="Cafco 400",O892="Cafco 300"),'CALCULO MORTERO'!O898," ")</f>
        <v xml:space="preserve"> </v>
      </c>
      <c r="V892" s="161" t="str" cm="1">
        <f t="array" ref="V892">_xlfn.IFS(O892="Blaze Shield II",'CALCULO MORTERO'!P893, O892="Cafco 400",'CALCULO MORTERO'!Q893,O892="Cafco 300",'CALCULO MORTERO'!S893, AND(OR(O892="Fire tex 5090", O892="Fire Tex 5062", O892="Fire Tex 5120", O892="Fire Control"),Q892&gt;0), "CERT.",TRUE,"-")</f>
        <v>-</v>
      </c>
    </row>
    <row r="893" spans="1:22" x14ac:dyDescent="0.25">
      <c r="A893" s="168"/>
      <c r="B893" s="876"/>
      <c r="C893" s="161"/>
      <c r="D893" s="161"/>
      <c r="E893" s="161"/>
      <c r="F893" s="41"/>
      <c r="G893" s="161"/>
      <c r="H893" s="161"/>
      <c r="I893" s="166"/>
      <c r="J893" s="162"/>
      <c r="K893" s="161"/>
      <c r="L893" s="161"/>
      <c r="M893" s="163"/>
      <c r="N893" s="163" t="str">
        <f t="shared" si="17"/>
        <v/>
      </c>
      <c r="O893" s="41"/>
      <c r="P893" s="41"/>
      <c r="Q893" s="161" t="str">
        <f>+IF(OR(O893="Fire Control",O893="Fire Tex 5062",O893="Fire Tex 5090",O893="Fire Tex 5120"),'CALCULO PINTURA'!P894," ")</f>
        <v xml:space="preserve"> </v>
      </c>
      <c r="R893" s="164" t="str">
        <f>+IF(OR(O893="Fire Control",O893="Fire Tex 5062",O893="Fire Tex 5090",O893="Fire Tex 5120"),'CALCULO PINTURA'!R894," ")</f>
        <v xml:space="preserve"> </v>
      </c>
      <c r="S893" s="164" t="str">
        <f>+IF(OR(O893="Fire Control",O893="Fire Tex 5062",O893="Fire Tex 5090",O893="Fire Tex 5120"),'CALCULO PINTURA'!S894," ")</f>
        <v xml:space="preserve"> </v>
      </c>
      <c r="T893" s="874" t="str">
        <f>+IF(OR(O893="Blaze Shield II",O893="Cafco 400",O893="Cafco 300"),'CALCULO MORTERO'!N899," ")</f>
        <v xml:space="preserve"> </v>
      </c>
      <c r="U893" s="875" t="str">
        <f>+IF(OR(O893="Blaze Shield II",O893="Cafco 400",O893="Cafco 300"),'CALCULO MORTERO'!O899," ")</f>
        <v xml:space="preserve"> </v>
      </c>
      <c r="V893" s="161" t="str" cm="1">
        <f t="array" ref="V893">_xlfn.IFS(O893="Blaze Shield II",'CALCULO MORTERO'!P894, O893="Cafco 400",'CALCULO MORTERO'!Q894,O893="Cafco 300",'CALCULO MORTERO'!S894, AND(OR(O893="Fire tex 5090", O893="Fire Tex 5062", O893="Fire Tex 5120", O893="Fire Control"),Q893&gt;0), "CERT.",TRUE,"-")</f>
        <v>-</v>
      </c>
    </row>
    <row r="894" spans="1:22" x14ac:dyDescent="0.25">
      <c r="A894" s="168"/>
      <c r="B894" s="876"/>
      <c r="C894" s="161"/>
      <c r="D894" s="161"/>
      <c r="E894" s="161"/>
      <c r="F894" s="41"/>
      <c r="G894" s="161"/>
      <c r="H894" s="161"/>
      <c r="I894" s="166"/>
      <c r="J894" s="162"/>
      <c r="K894" s="161"/>
      <c r="L894" s="161"/>
      <c r="M894" s="163"/>
      <c r="N894" s="163" t="str">
        <f t="shared" si="17"/>
        <v/>
      </c>
      <c r="O894" s="41"/>
      <c r="P894" s="41"/>
      <c r="Q894" s="161" t="str">
        <f>+IF(OR(O894="Fire Control",O894="Fire Tex 5062",O894="Fire Tex 5090",O894="Fire Tex 5120"),'CALCULO PINTURA'!P895," ")</f>
        <v xml:space="preserve"> </v>
      </c>
      <c r="R894" s="164" t="str">
        <f>+IF(OR(O894="Fire Control",O894="Fire Tex 5062",O894="Fire Tex 5090",O894="Fire Tex 5120"),'CALCULO PINTURA'!R895," ")</f>
        <v xml:space="preserve"> </v>
      </c>
      <c r="S894" s="164" t="str">
        <f>+IF(OR(O894="Fire Control",O894="Fire Tex 5062",O894="Fire Tex 5090",O894="Fire Tex 5120"),'CALCULO PINTURA'!S895," ")</f>
        <v xml:space="preserve"> </v>
      </c>
      <c r="T894" s="874" t="str">
        <f>+IF(OR(O894="Blaze Shield II",O894="Cafco 400",O894="Cafco 300"),'CALCULO MORTERO'!N900," ")</f>
        <v xml:space="preserve"> </v>
      </c>
      <c r="U894" s="875" t="str">
        <f>+IF(OR(O894="Blaze Shield II",O894="Cafco 400",O894="Cafco 300"),'CALCULO MORTERO'!O900," ")</f>
        <v xml:space="preserve"> </v>
      </c>
      <c r="V894" s="161" t="str" cm="1">
        <f t="array" ref="V894">_xlfn.IFS(O894="Blaze Shield II",'CALCULO MORTERO'!P895, O894="Cafco 400",'CALCULO MORTERO'!Q895,O894="Cafco 300",'CALCULO MORTERO'!S895, AND(OR(O894="Fire tex 5090", O894="Fire Tex 5062", O894="Fire Tex 5120", O894="Fire Control"),Q894&gt;0), "CERT.",TRUE,"-")</f>
        <v>-</v>
      </c>
    </row>
    <row r="895" spans="1:22" x14ac:dyDescent="0.25">
      <c r="A895" s="168"/>
      <c r="B895" s="876"/>
      <c r="C895" s="161"/>
      <c r="D895" s="161"/>
      <c r="E895" s="161"/>
      <c r="F895" s="41"/>
      <c r="G895" s="161"/>
      <c r="H895" s="161"/>
      <c r="I895" s="166"/>
      <c r="J895" s="162"/>
      <c r="K895" s="161"/>
      <c r="L895" s="161"/>
      <c r="M895" s="169"/>
      <c r="N895" s="163" t="str">
        <f t="shared" si="17"/>
        <v/>
      </c>
      <c r="O895" s="41"/>
      <c r="P895" s="41"/>
      <c r="Q895" s="161" t="str">
        <f>+IF(OR(O895="Fire Control",O895="Fire Tex 5062",O895="Fire Tex 5090",O895="Fire Tex 5120"),'CALCULO PINTURA'!P896," ")</f>
        <v xml:space="preserve"> </v>
      </c>
      <c r="R895" s="164" t="str">
        <f>+IF(OR(O895="Fire Control",O895="Fire Tex 5062",O895="Fire Tex 5090",O895="Fire Tex 5120"),'CALCULO PINTURA'!R896," ")</f>
        <v xml:space="preserve"> </v>
      </c>
      <c r="S895" s="164" t="str">
        <f>+IF(OR(O895="Fire Control",O895="Fire Tex 5062",O895="Fire Tex 5090",O895="Fire Tex 5120"),'CALCULO PINTURA'!S896," ")</f>
        <v xml:space="preserve"> </v>
      </c>
      <c r="T895" s="874" t="str">
        <f>+IF(OR(O895="Blaze Shield II",O895="Cafco 400",O895="Cafco 300"),'CALCULO MORTERO'!N901," ")</f>
        <v xml:space="preserve"> </v>
      </c>
      <c r="U895" s="875" t="str">
        <f>+IF(OR(O895="Blaze Shield II",O895="Cafco 400",O895="Cafco 300"),'CALCULO MORTERO'!O901," ")</f>
        <v xml:space="preserve"> </v>
      </c>
      <c r="V895" s="161" t="str" cm="1">
        <f t="array" ref="V895">_xlfn.IFS(O895="Blaze Shield II",'CALCULO MORTERO'!P896, O895="Cafco 400",'CALCULO MORTERO'!Q896,O895="Cafco 300",'CALCULO MORTERO'!S896, AND(OR(O895="Fire tex 5090", O895="Fire Tex 5062", O895="Fire Tex 5120", O895="Fire Control"),Q895&gt;0), "CERT.",TRUE,"-")</f>
        <v>-</v>
      </c>
    </row>
    <row r="896" spans="1:22" x14ac:dyDescent="0.25">
      <c r="A896" s="168"/>
      <c r="B896" s="876"/>
      <c r="C896" s="161"/>
      <c r="D896" s="161"/>
      <c r="E896" s="161"/>
      <c r="F896" s="41"/>
      <c r="G896" s="161"/>
      <c r="H896" s="161"/>
      <c r="I896" s="166"/>
      <c r="J896" s="162"/>
      <c r="K896" s="161"/>
      <c r="L896" s="161"/>
      <c r="M896" s="169"/>
      <c r="N896" s="163" t="str">
        <f t="shared" si="17"/>
        <v/>
      </c>
      <c r="O896" s="41"/>
      <c r="P896" s="41"/>
      <c r="Q896" s="161" t="str">
        <f>+IF(OR(O896="Fire Control",O896="Fire Tex 5062",O896="Fire Tex 5090",O896="Fire Tex 5120"),'CALCULO PINTURA'!P897," ")</f>
        <v xml:space="preserve"> </v>
      </c>
      <c r="R896" s="164" t="str">
        <f>+IF(OR(O896="Fire Control",O896="Fire Tex 5062",O896="Fire Tex 5090",O896="Fire Tex 5120"),'CALCULO PINTURA'!R897," ")</f>
        <v xml:space="preserve"> </v>
      </c>
      <c r="S896" s="164" t="str">
        <f>+IF(OR(O896="Fire Control",O896="Fire Tex 5062",O896="Fire Tex 5090",O896="Fire Tex 5120"),'CALCULO PINTURA'!S897," ")</f>
        <v xml:space="preserve"> </v>
      </c>
      <c r="T896" s="874" t="str">
        <f>+IF(OR(O896="Blaze Shield II",O896="Cafco 400",O896="Cafco 300"),'CALCULO MORTERO'!N902," ")</f>
        <v xml:space="preserve"> </v>
      </c>
      <c r="U896" s="875" t="str">
        <f>+IF(OR(O896="Blaze Shield II",O896="Cafco 400",O896="Cafco 300"),'CALCULO MORTERO'!O902," ")</f>
        <v xml:space="preserve"> </v>
      </c>
      <c r="V896" s="161" t="str" cm="1">
        <f t="array" ref="V896">_xlfn.IFS(O896="Blaze Shield II",'CALCULO MORTERO'!P897, O896="Cafco 400",'CALCULO MORTERO'!Q897,O896="Cafco 300",'CALCULO MORTERO'!S897, AND(OR(O896="Fire tex 5090", O896="Fire Tex 5062", O896="Fire Tex 5120", O896="Fire Control"),Q896&gt;0), "CERT.",TRUE,"-")</f>
        <v>-</v>
      </c>
    </row>
    <row r="897" spans="1:22" x14ac:dyDescent="0.25">
      <c r="A897" s="168"/>
      <c r="B897" s="876"/>
      <c r="C897" s="161"/>
      <c r="D897" s="161"/>
      <c r="E897" s="161"/>
      <c r="F897" s="41"/>
      <c r="G897" s="161"/>
      <c r="H897" s="161"/>
      <c r="I897" s="166"/>
      <c r="J897" s="162"/>
      <c r="K897" s="161"/>
      <c r="L897" s="161"/>
      <c r="M897" s="169"/>
      <c r="N897" s="163" t="str">
        <f t="shared" si="17"/>
        <v/>
      </c>
      <c r="O897" s="41"/>
      <c r="P897" s="41"/>
      <c r="Q897" s="161" t="str">
        <f>+IF(OR(O897="Fire Control",O897="Fire Tex 5062",O897="Fire Tex 5090",O897="Fire Tex 5120"),'CALCULO PINTURA'!P898," ")</f>
        <v xml:space="preserve"> </v>
      </c>
      <c r="R897" s="164" t="str">
        <f>+IF(OR(O897="Fire Control",O897="Fire Tex 5062",O897="Fire Tex 5090",O897="Fire Tex 5120"),'CALCULO PINTURA'!R898," ")</f>
        <v xml:space="preserve"> </v>
      </c>
      <c r="S897" s="164" t="str">
        <f>+IF(OR(O897="Fire Control",O897="Fire Tex 5062",O897="Fire Tex 5090",O897="Fire Tex 5120"),'CALCULO PINTURA'!S898," ")</f>
        <v xml:space="preserve"> </v>
      </c>
      <c r="T897" s="874" t="str">
        <f>+IF(OR(O897="Blaze Shield II",O897="Cafco 400",O897="Cafco 300"),'CALCULO MORTERO'!N903," ")</f>
        <v xml:space="preserve"> </v>
      </c>
      <c r="U897" s="875" t="str">
        <f>+IF(OR(O897="Blaze Shield II",O897="Cafco 400",O897="Cafco 300"),'CALCULO MORTERO'!O903," ")</f>
        <v xml:space="preserve"> </v>
      </c>
      <c r="V897" s="161" t="str" cm="1">
        <f t="array" ref="V897">_xlfn.IFS(O897="Blaze Shield II",'CALCULO MORTERO'!P898, O897="Cafco 400",'CALCULO MORTERO'!Q898,O897="Cafco 300",'CALCULO MORTERO'!S898, AND(OR(O897="Fire tex 5090", O897="Fire Tex 5062", O897="Fire Tex 5120", O897="Fire Control"),Q897&gt;0), "CERT.",TRUE,"-")</f>
        <v>-</v>
      </c>
    </row>
    <row r="898" spans="1:22" x14ac:dyDescent="0.25">
      <c r="A898" s="168"/>
      <c r="B898" s="876"/>
      <c r="C898" s="161"/>
      <c r="D898" s="161"/>
      <c r="E898" s="161"/>
      <c r="F898" s="41"/>
      <c r="G898" s="161"/>
      <c r="H898" s="161"/>
      <c r="I898" s="166"/>
      <c r="J898" s="162"/>
      <c r="K898" s="161"/>
      <c r="L898" s="161"/>
      <c r="M898" s="169"/>
      <c r="N898" s="163" t="str">
        <f t="shared" si="17"/>
        <v/>
      </c>
      <c r="O898" s="41"/>
      <c r="P898" s="41"/>
      <c r="Q898" s="161" t="str">
        <f>+IF(OR(O898="Fire Control",O898="Fire Tex 5062",O898="Fire Tex 5090",O898="Fire Tex 5120"),'CALCULO PINTURA'!P899," ")</f>
        <v xml:space="preserve"> </v>
      </c>
      <c r="R898" s="164" t="str">
        <f>+IF(OR(O898="Fire Control",O898="Fire Tex 5062",O898="Fire Tex 5090",O898="Fire Tex 5120"),'CALCULO PINTURA'!R899," ")</f>
        <v xml:space="preserve"> </v>
      </c>
      <c r="S898" s="164" t="str">
        <f>+IF(OR(O898="Fire Control",O898="Fire Tex 5062",O898="Fire Tex 5090",O898="Fire Tex 5120"),'CALCULO PINTURA'!S899," ")</f>
        <v xml:space="preserve"> </v>
      </c>
      <c r="T898" s="874" t="str">
        <f>+IF(OR(O898="Blaze Shield II",O898="Cafco 400",O898="Cafco 300"),'CALCULO MORTERO'!N904," ")</f>
        <v xml:space="preserve"> </v>
      </c>
      <c r="U898" s="875" t="str">
        <f>+IF(OR(O898="Blaze Shield II",O898="Cafco 400",O898="Cafco 300"),'CALCULO MORTERO'!O904," ")</f>
        <v xml:space="preserve"> </v>
      </c>
      <c r="V898" s="161" t="str" cm="1">
        <f t="array" ref="V898">_xlfn.IFS(O898="Blaze Shield II",'CALCULO MORTERO'!P899, O898="Cafco 400",'CALCULO MORTERO'!Q899,O898="Cafco 300",'CALCULO MORTERO'!S899, AND(OR(O898="Fire tex 5090", O898="Fire Tex 5062", O898="Fire Tex 5120", O898="Fire Control"),Q898&gt;0), "CERT.",TRUE,"-")</f>
        <v>-</v>
      </c>
    </row>
    <row r="899" spans="1:22" x14ac:dyDescent="0.25">
      <c r="A899" s="168"/>
      <c r="B899" s="876"/>
      <c r="C899" s="161"/>
      <c r="D899" s="161"/>
      <c r="E899" s="161"/>
      <c r="F899" s="41"/>
      <c r="G899" s="161"/>
      <c r="H899" s="161"/>
      <c r="I899" s="166"/>
      <c r="J899" s="162"/>
      <c r="K899" s="161"/>
      <c r="L899" s="161"/>
      <c r="M899" s="169"/>
      <c r="N899" s="163" t="str">
        <f t="shared" si="17"/>
        <v/>
      </c>
      <c r="O899" s="41"/>
      <c r="P899" s="41"/>
      <c r="Q899" s="161" t="str">
        <f>+IF(OR(O899="Fire Control",O899="Fire Tex 5062",O899="Fire Tex 5090",O899="Fire Tex 5120"),'CALCULO PINTURA'!P900," ")</f>
        <v xml:space="preserve"> </v>
      </c>
      <c r="R899" s="164" t="str">
        <f>+IF(OR(O899="Fire Control",O899="Fire Tex 5062",O899="Fire Tex 5090",O899="Fire Tex 5120"),'CALCULO PINTURA'!R900," ")</f>
        <v xml:space="preserve"> </v>
      </c>
      <c r="S899" s="164" t="str">
        <f>+IF(OR(O899="Fire Control",O899="Fire Tex 5062",O899="Fire Tex 5090",O899="Fire Tex 5120"),'CALCULO PINTURA'!S900," ")</f>
        <v xml:space="preserve"> </v>
      </c>
      <c r="T899" s="874" t="str">
        <f>+IF(OR(O899="Blaze Shield II",O899="Cafco 400",O899="Cafco 300"),'CALCULO MORTERO'!N905," ")</f>
        <v xml:space="preserve"> </v>
      </c>
      <c r="U899" s="875" t="str">
        <f>+IF(OR(O899="Blaze Shield II",O899="Cafco 400",O899="Cafco 300"),'CALCULO MORTERO'!O905," ")</f>
        <v xml:space="preserve"> </v>
      </c>
      <c r="V899" s="161" t="str" cm="1">
        <f t="array" ref="V899">_xlfn.IFS(O899="Blaze Shield II",'CALCULO MORTERO'!P900, O899="Cafco 400",'CALCULO MORTERO'!Q900,O899="Cafco 300",'CALCULO MORTERO'!S900, AND(OR(O899="Fire tex 5090", O899="Fire Tex 5062", O899="Fire Tex 5120", O899="Fire Control"),Q899&gt;0), "CERT.",TRUE,"-")</f>
        <v>-</v>
      </c>
    </row>
    <row r="900" spans="1:22" x14ac:dyDescent="0.25">
      <c r="A900" s="168"/>
      <c r="B900" s="876"/>
      <c r="C900" s="161"/>
      <c r="D900" s="161"/>
      <c r="E900" s="161"/>
      <c r="F900" s="41"/>
      <c r="G900" s="161"/>
      <c r="H900" s="161"/>
      <c r="I900" s="166"/>
      <c r="J900" s="162"/>
      <c r="K900" s="161"/>
      <c r="L900" s="161"/>
      <c r="M900" s="169"/>
      <c r="N900" s="163" t="str">
        <f t="shared" ref="N900:N963" si="18">+IF(F900="","",(K900*I900*H900*G900)/1000000)</f>
        <v/>
      </c>
      <c r="O900" s="41"/>
      <c r="P900" s="41"/>
      <c r="Q900" s="161" t="str">
        <f>+IF(OR(O900="Fire Control",O900="Fire Tex 5062",O900="Fire Tex 5090",O900="Fire Tex 5120"),'CALCULO PINTURA'!P901," ")</f>
        <v xml:space="preserve"> </v>
      </c>
      <c r="R900" s="164" t="str">
        <f>+IF(OR(O900="Fire Control",O900="Fire Tex 5062",O900="Fire Tex 5090",O900="Fire Tex 5120"),'CALCULO PINTURA'!R901," ")</f>
        <v xml:space="preserve"> </v>
      </c>
      <c r="S900" s="164" t="str">
        <f>+IF(OR(O900="Fire Control",O900="Fire Tex 5062",O900="Fire Tex 5090",O900="Fire Tex 5120"),'CALCULO PINTURA'!S901," ")</f>
        <v xml:space="preserve"> </v>
      </c>
      <c r="T900" s="874" t="str">
        <f>+IF(OR(O900="Blaze Shield II",O900="Cafco 400",O900="Cafco 300"),'CALCULO MORTERO'!N906," ")</f>
        <v xml:space="preserve"> </v>
      </c>
      <c r="U900" s="875" t="str">
        <f>+IF(OR(O900="Blaze Shield II",O900="Cafco 400",O900="Cafco 300"),'CALCULO MORTERO'!O906," ")</f>
        <v xml:space="preserve"> </v>
      </c>
      <c r="V900" s="161" t="str" cm="1">
        <f t="array" ref="V900">_xlfn.IFS(O900="Blaze Shield II",'CALCULO MORTERO'!P901, O900="Cafco 400",'CALCULO MORTERO'!Q901,O900="Cafco 300",'CALCULO MORTERO'!S901, AND(OR(O900="Fire tex 5090", O900="Fire Tex 5062", O900="Fire Tex 5120", O900="Fire Control"),Q900&gt;0), "CERT.",TRUE,"-")</f>
        <v>-</v>
      </c>
    </row>
    <row r="901" spans="1:22" x14ac:dyDescent="0.25">
      <c r="A901" s="168"/>
      <c r="B901" s="876"/>
      <c r="C901" s="161"/>
      <c r="D901" s="161"/>
      <c r="E901" s="161"/>
      <c r="F901" s="41"/>
      <c r="G901" s="161"/>
      <c r="H901" s="161"/>
      <c r="I901" s="166"/>
      <c r="J901" s="162"/>
      <c r="K901" s="161"/>
      <c r="L901" s="161"/>
      <c r="M901" s="169"/>
      <c r="N901" s="163" t="str">
        <f t="shared" si="18"/>
        <v/>
      </c>
      <c r="O901" s="41"/>
      <c r="P901" s="41"/>
      <c r="Q901" s="161" t="str">
        <f>+IF(OR(O901="Fire Control",O901="Fire Tex 5062",O901="Fire Tex 5090",O901="Fire Tex 5120"),'CALCULO PINTURA'!P902," ")</f>
        <v xml:space="preserve"> </v>
      </c>
      <c r="R901" s="164" t="str">
        <f>+IF(OR(O901="Fire Control",O901="Fire Tex 5062",O901="Fire Tex 5090",O901="Fire Tex 5120"),'CALCULO PINTURA'!R902," ")</f>
        <v xml:space="preserve"> </v>
      </c>
      <c r="S901" s="164" t="str">
        <f>+IF(OR(O901="Fire Control",O901="Fire Tex 5062",O901="Fire Tex 5090",O901="Fire Tex 5120"),'CALCULO PINTURA'!S902," ")</f>
        <v xml:space="preserve"> </v>
      </c>
      <c r="T901" s="874" t="str">
        <f>+IF(OR(O901="Blaze Shield II",O901="Cafco 400",O901="Cafco 300"),'CALCULO MORTERO'!N907," ")</f>
        <v xml:space="preserve"> </v>
      </c>
      <c r="U901" s="875" t="str">
        <f>+IF(OR(O901="Blaze Shield II",O901="Cafco 400",O901="Cafco 300"),'CALCULO MORTERO'!O907," ")</f>
        <v xml:space="preserve"> </v>
      </c>
      <c r="V901" s="161" t="str" cm="1">
        <f t="array" ref="V901">_xlfn.IFS(O901="Blaze Shield II",'CALCULO MORTERO'!P902, O901="Cafco 400",'CALCULO MORTERO'!Q902,O901="Cafco 300",'CALCULO MORTERO'!S902, AND(OR(O901="Fire tex 5090", O901="Fire Tex 5062", O901="Fire Tex 5120", O901="Fire Control"),Q901&gt;0), "CERT.",TRUE,"-")</f>
        <v>-</v>
      </c>
    </row>
    <row r="902" spans="1:22" x14ac:dyDescent="0.25">
      <c r="A902" s="168"/>
      <c r="B902" s="876"/>
      <c r="C902" s="161"/>
      <c r="D902" s="161"/>
      <c r="E902" s="161"/>
      <c r="F902" s="41"/>
      <c r="G902" s="161"/>
      <c r="H902" s="161"/>
      <c r="I902" s="166"/>
      <c r="J902" s="162"/>
      <c r="K902" s="161"/>
      <c r="L902" s="161"/>
      <c r="M902" s="169"/>
      <c r="N902" s="163" t="str">
        <f t="shared" si="18"/>
        <v/>
      </c>
      <c r="O902" s="41"/>
      <c r="P902" s="41"/>
      <c r="Q902" s="161" t="str">
        <f>+IF(OR(O902="Fire Control",O902="Fire Tex 5062",O902="Fire Tex 5090",O902="Fire Tex 5120"),'CALCULO PINTURA'!P903," ")</f>
        <v xml:space="preserve"> </v>
      </c>
      <c r="R902" s="164" t="str">
        <f>+IF(OR(O902="Fire Control",O902="Fire Tex 5062",O902="Fire Tex 5090",O902="Fire Tex 5120"),'CALCULO PINTURA'!R903," ")</f>
        <v xml:space="preserve"> </v>
      </c>
      <c r="S902" s="164" t="str">
        <f>+IF(OR(O902="Fire Control",O902="Fire Tex 5062",O902="Fire Tex 5090",O902="Fire Tex 5120"),'CALCULO PINTURA'!S903," ")</f>
        <v xml:space="preserve"> </v>
      </c>
      <c r="T902" s="874" t="str">
        <f>+IF(OR(O902="Blaze Shield II",O902="Cafco 400",O902="Cafco 300"),'CALCULO MORTERO'!N908," ")</f>
        <v xml:space="preserve"> </v>
      </c>
      <c r="U902" s="875" t="str">
        <f>+IF(OR(O902="Blaze Shield II",O902="Cafco 400",O902="Cafco 300"),'CALCULO MORTERO'!O908," ")</f>
        <v xml:space="preserve"> </v>
      </c>
      <c r="V902" s="161" t="str" cm="1">
        <f t="array" ref="V902">_xlfn.IFS(O902="Blaze Shield II",'CALCULO MORTERO'!P903, O902="Cafco 400",'CALCULO MORTERO'!Q903,O902="Cafco 300",'CALCULO MORTERO'!S903, AND(OR(O902="Fire tex 5090", O902="Fire Tex 5062", O902="Fire Tex 5120", O902="Fire Control"),Q902&gt;0), "CERT.",TRUE,"-")</f>
        <v>-</v>
      </c>
    </row>
    <row r="903" spans="1:22" x14ac:dyDescent="0.25">
      <c r="A903" s="168"/>
      <c r="B903" s="876"/>
      <c r="C903" s="161"/>
      <c r="D903" s="161"/>
      <c r="E903" s="161"/>
      <c r="F903" s="41"/>
      <c r="G903" s="161"/>
      <c r="H903" s="161"/>
      <c r="I903" s="166"/>
      <c r="J903" s="162"/>
      <c r="K903" s="161"/>
      <c r="L903" s="161"/>
      <c r="M903" s="169"/>
      <c r="N903" s="163" t="str">
        <f t="shared" si="18"/>
        <v/>
      </c>
      <c r="O903" s="41"/>
      <c r="P903" s="41"/>
      <c r="Q903" s="161" t="str">
        <f>+IF(OR(O903="Fire Control",O903="Fire Tex 5062",O903="Fire Tex 5090",O903="Fire Tex 5120"),'CALCULO PINTURA'!P904," ")</f>
        <v xml:space="preserve"> </v>
      </c>
      <c r="R903" s="164" t="str">
        <f>+IF(OR(O903="Fire Control",O903="Fire Tex 5062",O903="Fire Tex 5090",O903="Fire Tex 5120"),'CALCULO PINTURA'!R904," ")</f>
        <v xml:space="preserve"> </v>
      </c>
      <c r="S903" s="164" t="str">
        <f>+IF(OR(O903="Fire Control",O903="Fire Tex 5062",O903="Fire Tex 5090",O903="Fire Tex 5120"),'CALCULO PINTURA'!S904," ")</f>
        <v xml:space="preserve"> </v>
      </c>
      <c r="T903" s="874" t="str">
        <f>+IF(OR(O903="Blaze Shield II",O903="Cafco 400",O903="Cafco 300"),'CALCULO MORTERO'!N909," ")</f>
        <v xml:space="preserve"> </v>
      </c>
      <c r="U903" s="875" t="str">
        <f>+IF(OR(O903="Blaze Shield II",O903="Cafco 400",O903="Cafco 300"),'CALCULO MORTERO'!O909," ")</f>
        <v xml:space="preserve"> </v>
      </c>
      <c r="V903" s="161" t="str" cm="1">
        <f t="array" ref="V903">_xlfn.IFS(O903="Blaze Shield II",'CALCULO MORTERO'!P904, O903="Cafco 400",'CALCULO MORTERO'!Q904,O903="Cafco 300",'CALCULO MORTERO'!S904, AND(OR(O903="Fire tex 5090", O903="Fire Tex 5062", O903="Fire Tex 5120", O903="Fire Control"),Q903&gt;0), "CERT.",TRUE,"-")</f>
        <v>-</v>
      </c>
    </row>
    <row r="904" spans="1:22" x14ac:dyDescent="0.25">
      <c r="A904" s="168"/>
      <c r="B904" s="876"/>
      <c r="C904" s="161"/>
      <c r="D904" s="161"/>
      <c r="E904" s="161"/>
      <c r="F904" s="41"/>
      <c r="G904" s="161"/>
      <c r="H904" s="161"/>
      <c r="I904" s="166"/>
      <c r="J904" s="162"/>
      <c r="K904" s="161"/>
      <c r="L904" s="161"/>
      <c r="M904" s="163"/>
      <c r="N904" s="163" t="str">
        <f t="shared" si="18"/>
        <v/>
      </c>
      <c r="O904" s="41"/>
      <c r="P904" s="41"/>
      <c r="Q904" s="161" t="str">
        <f>+IF(OR(O904="Fire Control",O904="Fire Tex 5062",O904="Fire Tex 5090",O904="Fire Tex 5120"),'CALCULO PINTURA'!P905," ")</f>
        <v xml:space="preserve"> </v>
      </c>
      <c r="R904" s="164" t="str">
        <f>+IF(OR(O904="Fire Control",O904="Fire Tex 5062",O904="Fire Tex 5090",O904="Fire Tex 5120"),'CALCULO PINTURA'!R905," ")</f>
        <v xml:space="preserve"> </v>
      </c>
      <c r="S904" s="164" t="str">
        <f>+IF(OR(O904="Fire Control",O904="Fire Tex 5062",O904="Fire Tex 5090",O904="Fire Tex 5120"),'CALCULO PINTURA'!S905," ")</f>
        <v xml:space="preserve"> </v>
      </c>
      <c r="T904" s="874" t="str">
        <f>+IF(OR(O904="Blaze Shield II",O904="Cafco 400",O904="Cafco 300"),'CALCULO MORTERO'!N910," ")</f>
        <v xml:space="preserve"> </v>
      </c>
      <c r="U904" s="875" t="str">
        <f>+IF(OR(O904="Blaze Shield II",O904="Cafco 400",O904="Cafco 300"),'CALCULO MORTERO'!O910," ")</f>
        <v xml:space="preserve"> </v>
      </c>
      <c r="V904" s="161" t="str" cm="1">
        <f t="array" ref="V904">_xlfn.IFS(O904="Blaze Shield II",'CALCULO MORTERO'!P905, O904="Cafco 400",'CALCULO MORTERO'!Q905,O904="Cafco 300",'CALCULO MORTERO'!S905, AND(OR(O904="Fire tex 5090", O904="Fire Tex 5062", O904="Fire Tex 5120", O904="Fire Control"),Q904&gt;0), "CERT.",TRUE,"-")</f>
        <v>-</v>
      </c>
    </row>
    <row r="905" spans="1:22" x14ac:dyDescent="0.25">
      <c r="A905" s="168"/>
      <c r="B905" s="876"/>
      <c r="C905" s="161"/>
      <c r="D905" s="161"/>
      <c r="E905" s="161"/>
      <c r="F905" s="41"/>
      <c r="G905" s="161"/>
      <c r="H905" s="161"/>
      <c r="I905" s="166"/>
      <c r="J905" s="162"/>
      <c r="K905" s="161"/>
      <c r="L905" s="161"/>
      <c r="M905" s="169"/>
      <c r="N905" s="163" t="str">
        <f t="shared" si="18"/>
        <v/>
      </c>
      <c r="O905" s="41"/>
      <c r="P905" s="41"/>
      <c r="Q905" s="161" t="str">
        <f>+IF(OR(O905="Fire Control",O905="Fire Tex 5062",O905="Fire Tex 5090",O905="Fire Tex 5120"),'CALCULO PINTURA'!P906," ")</f>
        <v xml:space="preserve"> </v>
      </c>
      <c r="R905" s="164" t="str">
        <f>+IF(OR(O905="Fire Control",O905="Fire Tex 5062",O905="Fire Tex 5090",O905="Fire Tex 5120"),'CALCULO PINTURA'!R906," ")</f>
        <v xml:space="preserve"> </v>
      </c>
      <c r="S905" s="164" t="str">
        <f>+IF(OR(O905="Fire Control",O905="Fire Tex 5062",O905="Fire Tex 5090",O905="Fire Tex 5120"),'CALCULO PINTURA'!S906," ")</f>
        <v xml:space="preserve"> </v>
      </c>
      <c r="T905" s="874" t="str">
        <f>+IF(OR(O905="Blaze Shield II",O905="Cafco 400",O905="Cafco 300"),'CALCULO MORTERO'!N911," ")</f>
        <v xml:space="preserve"> </v>
      </c>
      <c r="U905" s="875" t="str">
        <f>+IF(OR(O905="Blaze Shield II",O905="Cafco 400",O905="Cafco 300"),'CALCULO MORTERO'!O911," ")</f>
        <v xml:space="preserve"> </v>
      </c>
      <c r="V905" s="161" t="str" cm="1">
        <f t="array" ref="V905">_xlfn.IFS(O905="Blaze Shield II",'CALCULO MORTERO'!P906, O905="Cafco 400",'CALCULO MORTERO'!Q906,O905="Cafco 300",'CALCULO MORTERO'!S906, AND(OR(O905="Fire tex 5090", O905="Fire Tex 5062", O905="Fire Tex 5120", O905="Fire Control"),Q905&gt;0), "CERT.",TRUE,"-")</f>
        <v>-</v>
      </c>
    </row>
    <row r="906" spans="1:22" x14ac:dyDescent="0.25">
      <c r="A906" s="168"/>
      <c r="B906" s="876"/>
      <c r="C906" s="161"/>
      <c r="D906" s="161"/>
      <c r="E906" s="161"/>
      <c r="F906" s="41"/>
      <c r="G906" s="161"/>
      <c r="H906" s="161"/>
      <c r="I906" s="166"/>
      <c r="J906" s="162"/>
      <c r="K906" s="161"/>
      <c r="L906" s="161"/>
      <c r="M906" s="163"/>
      <c r="N906" s="163" t="str">
        <f t="shared" si="18"/>
        <v/>
      </c>
      <c r="O906" s="41"/>
      <c r="P906" s="41"/>
      <c r="Q906" s="161" t="str">
        <f>+IF(OR(O906="Fire Control",O906="Fire Tex 5062",O906="Fire Tex 5090",O906="Fire Tex 5120"),'CALCULO PINTURA'!P907," ")</f>
        <v xml:space="preserve"> </v>
      </c>
      <c r="R906" s="164" t="str">
        <f>+IF(OR(O906="Fire Control",O906="Fire Tex 5062",O906="Fire Tex 5090",O906="Fire Tex 5120"),'CALCULO PINTURA'!R907," ")</f>
        <v xml:space="preserve"> </v>
      </c>
      <c r="S906" s="164" t="str">
        <f>+IF(OR(O906="Fire Control",O906="Fire Tex 5062",O906="Fire Tex 5090",O906="Fire Tex 5120"),'CALCULO PINTURA'!S907," ")</f>
        <v xml:space="preserve"> </v>
      </c>
      <c r="T906" s="874" t="str">
        <f>+IF(OR(O906="Blaze Shield II",O906="Cafco 400",O906="Cafco 300"),'CALCULO MORTERO'!N912," ")</f>
        <v xml:space="preserve"> </v>
      </c>
      <c r="U906" s="875" t="str">
        <f>+IF(OR(O906="Blaze Shield II",O906="Cafco 400",O906="Cafco 300"),'CALCULO MORTERO'!O912," ")</f>
        <v xml:space="preserve"> </v>
      </c>
      <c r="V906" s="161" t="str" cm="1">
        <f t="array" ref="V906">_xlfn.IFS(O906="Blaze Shield II",'CALCULO MORTERO'!P907, O906="Cafco 400",'CALCULO MORTERO'!Q907,O906="Cafco 300",'CALCULO MORTERO'!S907, AND(OR(O906="Fire tex 5090", O906="Fire Tex 5062", O906="Fire Tex 5120", O906="Fire Control"),Q906&gt;0), "CERT.",TRUE,"-")</f>
        <v>-</v>
      </c>
    </row>
    <row r="907" spans="1:22" x14ac:dyDescent="0.25">
      <c r="A907" s="168"/>
      <c r="B907" s="876"/>
      <c r="C907" s="161"/>
      <c r="D907" s="161"/>
      <c r="E907" s="161"/>
      <c r="F907" s="41"/>
      <c r="G907" s="161"/>
      <c r="H907" s="161"/>
      <c r="I907" s="166"/>
      <c r="J907" s="162"/>
      <c r="K907" s="161"/>
      <c r="L907" s="161"/>
      <c r="M907" s="169"/>
      <c r="N907" s="163" t="str">
        <f t="shared" si="18"/>
        <v/>
      </c>
      <c r="O907" s="41"/>
      <c r="P907" s="41"/>
      <c r="Q907" s="161" t="str">
        <f>+IF(OR(O907="Fire Control",O907="Fire Tex 5062",O907="Fire Tex 5090",O907="Fire Tex 5120"),'CALCULO PINTURA'!P908," ")</f>
        <v xml:space="preserve"> </v>
      </c>
      <c r="R907" s="164" t="str">
        <f>+IF(OR(O907="Fire Control",O907="Fire Tex 5062",O907="Fire Tex 5090",O907="Fire Tex 5120"),'CALCULO PINTURA'!R908," ")</f>
        <v xml:space="preserve"> </v>
      </c>
      <c r="S907" s="164" t="str">
        <f>+IF(OR(O907="Fire Control",O907="Fire Tex 5062",O907="Fire Tex 5090",O907="Fire Tex 5120"),'CALCULO PINTURA'!S908," ")</f>
        <v xml:space="preserve"> </v>
      </c>
      <c r="T907" s="874" t="str">
        <f>+IF(OR(O907="Blaze Shield II",O907="Cafco 400",O907="Cafco 300"),'CALCULO MORTERO'!N913," ")</f>
        <v xml:space="preserve"> </v>
      </c>
      <c r="U907" s="875" t="str">
        <f>+IF(OR(O907="Blaze Shield II",O907="Cafco 400",O907="Cafco 300"),'CALCULO MORTERO'!O913," ")</f>
        <v xml:space="preserve"> </v>
      </c>
      <c r="V907" s="161" t="str" cm="1">
        <f t="array" ref="V907">_xlfn.IFS(O907="Blaze Shield II",'CALCULO MORTERO'!P908, O907="Cafco 400",'CALCULO MORTERO'!Q908,O907="Cafco 300",'CALCULO MORTERO'!S908, AND(OR(O907="Fire tex 5090", O907="Fire Tex 5062", O907="Fire Tex 5120", O907="Fire Control"),Q907&gt;0), "CERT.",TRUE,"-")</f>
        <v>-</v>
      </c>
    </row>
    <row r="908" spans="1:22" x14ac:dyDescent="0.25">
      <c r="A908" s="168"/>
      <c r="B908" s="876"/>
      <c r="C908" s="161"/>
      <c r="D908" s="161"/>
      <c r="E908" s="161"/>
      <c r="F908" s="41"/>
      <c r="G908" s="161"/>
      <c r="H908" s="161"/>
      <c r="I908" s="166"/>
      <c r="J908" s="162"/>
      <c r="K908" s="161"/>
      <c r="L908" s="161"/>
      <c r="M908" s="163"/>
      <c r="N908" s="163" t="str">
        <f t="shared" si="18"/>
        <v/>
      </c>
      <c r="O908" s="41"/>
      <c r="P908" s="41"/>
      <c r="Q908" s="161" t="str">
        <f>+IF(OR(O908="Fire Control",O908="Fire Tex 5062",O908="Fire Tex 5090",O908="Fire Tex 5120"),'CALCULO PINTURA'!P909," ")</f>
        <v xml:space="preserve"> </v>
      </c>
      <c r="R908" s="164" t="str">
        <f>+IF(OR(O908="Fire Control",O908="Fire Tex 5062",O908="Fire Tex 5090",O908="Fire Tex 5120"),'CALCULO PINTURA'!R909," ")</f>
        <v xml:space="preserve"> </v>
      </c>
      <c r="S908" s="164" t="str">
        <f>+IF(OR(O908="Fire Control",O908="Fire Tex 5062",O908="Fire Tex 5090",O908="Fire Tex 5120"),'CALCULO PINTURA'!S909," ")</f>
        <v xml:space="preserve"> </v>
      </c>
      <c r="T908" s="874" t="str">
        <f>+IF(OR(O908="Blaze Shield II",O908="Cafco 400",O908="Cafco 300"),'CALCULO MORTERO'!N914," ")</f>
        <v xml:space="preserve"> </v>
      </c>
      <c r="U908" s="875" t="str">
        <f>+IF(OR(O908="Blaze Shield II",O908="Cafco 400",O908="Cafco 300"),'CALCULO MORTERO'!O914," ")</f>
        <v xml:space="preserve"> </v>
      </c>
      <c r="V908" s="161" t="str" cm="1">
        <f t="array" ref="V908">_xlfn.IFS(O908="Blaze Shield II",'CALCULO MORTERO'!P909, O908="Cafco 400",'CALCULO MORTERO'!Q909,O908="Cafco 300",'CALCULO MORTERO'!S909, AND(OR(O908="Fire tex 5090", O908="Fire Tex 5062", O908="Fire Tex 5120", O908="Fire Control"),Q908&gt;0), "CERT.",TRUE,"-")</f>
        <v>-</v>
      </c>
    </row>
    <row r="909" spans="1:22" x14ac:dyDescent="0.25">
      <c r="A909" s="168"/>
      <c r="B909" s="876"/>
      <c r="C909" s="161"/>
      <c r="D909" s="161"/>
      <c r="E909" s="161"/>
      <c r="F909" s="41"/>
      <c r="G909" s="161"/>
      <c r="H909" s="161"/>
      <c r="I909" s="166"/>
      <c r="J909" s="162"/>
      <c r="K909" s="161"/>
      <c r="L909" s="161"/>
      <c r="M909" s="169"/>
      <c r="N909" s="163" t="str">
        <f t="shared" si="18"/>
        <v/>
      </c>
      <c r="O909" s="41"/>
      <c r="P909" s="41"/>
      <c r="Q909" s="161" t="str">
        <f>+IF(OR(O909="Fire Control",O909="Fire Tex 5062",O909="Fire Tex 5090",O909="Fire Tex 5120"),'CALCULO PINTURA'!P910," ")</f>
        <v xml:space="preserve"> </v>
      </c>
      <c r="R909" s="164" t="str">
        <f>+IF(OR(O909="Fire Control",O909="Fire Tex 5062",O909="Fire Tex 5090",O909="Fire Tex 5120"),'CALCULO PINTURA'!R910," ")</f>
        <v xml:space="preserve"> </v>
      </c>
      <c r="S909" s="164" t="str">
        <f>+IF(OR(O909="Fire Control",O909="Fire Tex 5062",O909="Fire Tex 5090",O909="Fire Tex 5120"),'CALCULO PINTURA'!S910," ")</f>
        <v xml:space="preserve"> </v>
      </c>
      <c r="T909" s="874" t="str">
        <f>+IF(OR(O909="Blaze Shield II",O909="Cafco 400",O909="Cafco 300"),'CALCULO MORTERO'!N915," ")</f>
        <v xml:space="preserve"> </v>
      </c>
      <c r="U909" s="875" t="str">
        <f>+IF(OR(O909="Blaze Shield II",O909="Cafco 400",O909="Cafco 300"),'CALCULO MORTERO'!O915," ")</f>
        <v xml:space="preserve"> </v>
      </c>
      <c r="V909" s="161" t="str" cm="1">
        <f t="array" ref="V909">_xlfn.IFS(O909="Blaze Shield II",'CALCULO MORTERO'!P910, O909="Cafco 400",'CALCULO MORTERO'!Q910,O909="Cafco 300",'CALCULO MORTERO'!S910, AND(OR(O909="Fire tex 5090", O909="Fire Tex 5062", O909="Fire Tex 5120", O909="Fire Control"),Q909&gt;0), "CERT.",TRUE,"-")</f>
        <v>-</v>
      </c>
    </row>
    <row r="910" spans="1:22" x14ac:dyDescent="0.25">
      <c r="A910" s="168"/>
      <c r="B910" s="876"/>
      <c r="C910" s="161"/>
      <c r="D910" s="161"/>
      <c r="E910" s="161"/>
      <c r="F910" s="41"/>
      <c r="G910" s="161"/>
      <c r="H910" s="161"/>
      <c r="I910" s="166"/>
      <c r="J910" s="162"/>
      <c r="K910" s="161"/>
      <c r="L910" s="161"/>
      <c r="M910" s="163"/>
      <c r="N910" s="163" t="str">
        <f t="shared" si="18"/>
        <v/>
      </c>
      <c r="O910" s="41"/>
      <c r="P910" s="41"/>
      <c r="Q910" s="161" t="str">
        <f>+IF(OR(O910="Fire Control",O910="Fire Tex 5062",O910="Fire Tex 5090",O910="Fire Tex 5120"),'CALCULO PINTURA'!P911," ")</f>
        <v xml:space="preserve"> </v>
      </c>
      <c r="R910" s="164" t="str">
        <f>+IF(OR(O910="Fire Control",O910="Fire Tex 5062",O910="Fire Tex 5090",O910="Fire Tex 5120"),'CALCULO PINTURA'!R911," ")</f>
        <v xml:space="preserve"> </v>
      </c>
      <c r="S910" s="164" t="str">
        <f>+IF(OR(O910="Fire Control",O910="Fire Tex 5062",O910="Fire Tex 5090",O910="Fire Tex 5120"),'CALCULO PINTURA'!S911," ")</f>
        <v xml:space="preserve"> </v>
      </c>
      <c r="T910" s="874" t="str">
        <f>+IF(OR(O910="Blaze Shield II",O910="Cafco 400",O910="Cafco 300"),'CALCULO MORTERO'!N916," ")</f>
        <v xml:space="preserve"> </v>
      </c>
      <c r="U910" s="875" t="str">
        <f>+IF(OR(O910="Blaze Shield II",O910="Cafco 400",O910="Cafco 300"),'CALCULO MORTERO'!O916," ")</f>
        <v xml:space="preserve"> </v>
      </c>
      <c r="V910" s="161" t="str" cm="1">
        <f t="array" ref="V910">_xlfn.IFS(O910="Blaze Shield II",'CALCULO MORTERO'!P911, O910="Cafco 400",'CALCULO MORTERO'!Q911,O910="Cafco 300",'CALCULO MORTERO'!S911, AND(OR(O910="Fire tex 5090", O910="Fire Tex 5062", O910="Fire Tex 5120", O910="Fire Control"),Q910&gt;0), "CERT.",TRUE,"-")</f>
        <v>-</v>
      </c>
    </row>
    <row r="911" spans="1:22" x14ac:dyDescent="0.25">
      <c r="A911" s="168"/>
      <c r="B911" s="876"/>
      <c r="C911" s="161"/>
      <c r="D911" s="161"/>
      <c r="E911" s="161"/>
      <c r="F911" s="41"/>
      <c r="G911" s="161"/>
      <c r="H911" s="161"/>
      <c r="I911" s="166"/>
      <c r="J911" s="162"/>
      <c r="K911" s="161"/>
      <c r="L911" s="161"/>
      <c r="M911" s="169"/>
      <c r="N911" s="163" t="str">
        <f t="shared" si="18"/>
        <v/>
      </c>
      <c r="O911" s="41"/>
      <c r="P911" s="41"/>
      <c r="Q911" s="161" t="str">
        <f>+IF(OR(O911="Fire Control",O911="Fire Tex 5062",O911="Fire Tex 5090",O911="Fire Tex 5120"),'CALCULO PINTURA'!P912," ")</f>
        <v xml:space="preserve"> </v>
      </c>
      <c r="R911" s="164" t="str">
        <f>+IF(OR(O911="Fire Control",O911="Fire Tex 5062",O911="Fire Tex 5090",O911="Fire Tex 5120"),'CALCULO PINTURA'!R912," ")</f>
        <v xml:space="preserve"> </v>
      </c>
      <c r="S911" s="164" t="str">
        <f>+IF(OR(O911="Fire Control",O911="Fire Tex 5062",O911="Fire Tex 5090",O911="Fire Tex 5120"),'CALCULO PINTURA'!S912," ")</f>
        <v xml:space="preserve"> </v>
      </c>
      <c r="T911" s="874" t="str">
        <f>+IF(OR(O911="Blaze Shield II",O911="Cafco 400",O911="Cafco 300"),'CALCULO MORTERO'!N917," ")</f>
        <v xml:space="preserve"> </v>
      </c>
      <c r="U911" s="875" t="str">
        <f>+IF(OR(O911="Blaze Shield II",O911="Cafco 400",O911="Cafco 300"),'CALCULO MORTERO'!O917," ")</f>
        <v xml:space="preserve"> </v>
      </c>
      <c r="V911" s="161" t="str" cm="1">
        <f t="array" ref="V911">_xlfn.IFS(O911="Blaze Shield II",'CALCULO MORTERO'!P912, O911="Cafco 400",'CALCULO MORTERO'!Q912,O911="Cafco 300",'CALCULO MORTERO'!S912, AND(OR(O911="Fire tex 5090", O911="Fire Tex 5062", O911="Fire Tex 5120", O911="Fire Control"),Q911&gt;0), "CERT.",TRUE,"-")</f>
        <v>-</v>
      </c>
    </row>
    <row r="912" spans="1:22" x14ac:dyDescent="0.25">
      <c r="A912" s="168"/>
      <c r="B912" s="876"/>
      <c r="C912" s="161"/>
      <c r="D912" s="161"/>
      <c r="E912" s="161"/>
      <c r="F912" s="41"/>
      <c r="G912" s="161"/>
      <c r="H912" s="161"/>
      <c r="I912" s="166"/>
      <c r="J912" s="162"/>
      <c r="K912" s="161"/>
      <c r="L912" s="161"/>
      <c r="M912" s="163"/>
      <c r="N912" s="163" t="str">
        <f t="shared" si="18"/>
        <v/>
      </c>
      <c r="O912" s="41"/>
      <c r="P912" s="41"/>
      <c r="Q912" s="161" t="str">
        <f>+IF(OR(O912="Fire Control",O912="Fire Tex 5062",O912="Fire Tex 5090",O912="Fire Tex 5120"),'CALCULO PINTURA'!P913," ")</f>
        <v xml:space="preserve"> </v>
      </c>
      <c r="R912" s="164" t="str">
        <f>+IF(OR(O912="Fire Control",O912="Fire Tex 5062",O912="Fire Tex 5090",O912="Fire Tex 5120"),'CALCULO PINTURA'!R913," ")</f>
        <v xml:space="preserve"> </v>
      </c>
      <c r="S912" s="164" t="str">
        <f>+IF(OR(O912="Fire Control",O912="Fire Tex 5062",O912="Fire Tex 5090",O912="Fire Tex 5120"),'CALCULO PINTURA'!S913," ")</f>
        <v xml:space="preserve"> </v>
      </c>
      <c r="T912" s="874" t="str">
        <f>+IF(OR(O912="Blaze Shield II",O912="Cafco 400",O912="Cafco 300"),'CALCULO MORTERO'!N918," ")</f>
        <v xml:space="preserve"> </v>
      </c>
      <c r="U912" s="875" t="str">
        <f>+IF(OR(O912="Blaze Shield II",O912="Cafco 400",O912="Cafco 300"),'CALCULO MORTERO'!O918," ")</f>
        <v xml:space="preserve"> </v>
      </c>
      <c r="V912" s="161" t="str" cm="1">
        <f t="array" ref="V912">_xlfn.IFS(O912="Blaze Shield II",'CALCULO MORTERO'!P913, O912="Cafco 400",'CALCULO MORTERO'!Q913,O912="Cafco 300",'CALCULO MORTERO'!S913, AND(OR(O912="Fire tex 5090", O912="Fire Tex 5062", O912="Fire Tex 5120", O912="Fire Control"),Q912&gt;0), "CERT.",TRUE,"-")</f>
        <v>-</v>
      </c>
    </row>
    <row r="913" spans="1:22" x14ac:dyDescent="0.25">
      <c r="A913" s="168"/>
      <c r="B913" s="876"/>
      <c r="C913" s="161"/>
      <c r="D913" s="161"/>
      <c r="E913" s="161"/>
      <c r="F913" s="41"/>
      <c r="G913" s="161"/>
      <c r="H913" s="161"/>
      <c r="I913" s="166"/>
      <c r="J913" s="162"/>
      <c r="K913" s="161"/>
      <c r="L913" s="161"/>
      <c r="M913" s="169"/>
      <c r="N913" s="163" t="str">
        <f t="shared" si="18"/>
        <v/>
      </c>
      <c r="O913" s="41"/>
      <c r="P913" s="41"/>
      <c r="Q913" s="161" t="str">
        <f>+IF(OR(O913="Fire Control",O913="Fire Tex 5062",O913="Fire Tex 5090",O913="Fire Tex 5120"),'CALCULO PINTURA'!P914," ")</f>
        <v xml:space="preserve"> </v>
      </c>
      <c r="R913" s="164" t="str">
        <f>+IF(OR(O913="Fire Control",O913="Fire Tex 5062",O913="Fire Tex 5090",O913="Fire Tex 5120"),'CALCULO PINTURA'!R914," ")</f>
        <v xml:space="preserve"> </v>
      </c>
      <c r="S913" s="164" t="str">
        <f>+IF(OR(O913="Fire Control",O913="Fire Tex 5062",O913="Fire Tex 5090",O913="Fire Tex 5120"),'CALCULO PINTURA'!S914," ")</f>
        <v xml:space="preserve"> </v>
      </c>
      <c r="T913" s="874" t="str">
        <f>+IF(OR(O913="Blaze Shield II",O913="Cafco 400",O913="Cafco 300"),'CALCULO MORTERO'!N919," ")</f>
        <v xml:space="preserve"> </v>
      </c>
      <c r="U913" s="875" t="str">
        <f>+IF(OR(O913="Blaze Shield II",O913="Cafco 400",O913="Cafco 300"),'CALCULO MORTERO'!O919," ")</f>
        <v xml:space="preserve"> </v>
      </c>
      <c r="V913" s="161" t="str" cm="1">
        <f t="array" ref="V913">_xlfn.IFS(O913="Blaze Shield II",'CALCULO MORTERO'!P914, O913="Cafco 400",'CALCULO MORTERO'!Q914,O913="Cafco 300",'CALCULO MORTERO'!S914, AND(OR(O913="Fire tex 5090", O913="Fire Tex 5062", O913="Fire Tex 5120", O913="Fire Control"),Q913&gt;0), "CERT.",TRUE,"-")</f>
        <v>-</v>
      </c>
    </row>
    <row r="914" spans="1:22" x14ac:dyDescent="0.25">
      <c r="A914" s="168"/>
      <c r="B914" s="876"/>
      <c r="C914" s="161"/>
      <c r="D914" s="161"/>
      <c r="E914" s="161"/>
      <c r="F914" s="41"/>
      <c r="G914" s="161"/>
      <c r="H914" s="161"/>
      <c r="I914" s="166"/>
      <c r="J914" s="162"/>
      <c r="K914" s="161"/>
      <c r="L914" s="161"/>
      <c r="M914" s="169"/>
      <c r="N914" s="163" t="str">
        <f t="shared" si="18"/>
        <v/>
      </c>
      <c r="O914" s="41"/>
      <c r="P914" s="41"/>
      <c r="Q914" s="161" t="str">
        <f>+IF(OR(O914="Fire Control",O914="Fire Tex 5062",O914="Fire Tex 5090",O914="Fire Tex 5120"),'CALCULO PINTURA'!P915," ")</f>
        <v xml:space="preserve"> </v>
      </c>
      <c r="R914" s="164" t="str">
        <f>+IF(OR(O914="Fire Control",O914="Fire Tex 5062",O914="Fire Tex 5090",O914="Fire Tex 5120"),'CALCULO PINTURA'!R915," ")</f>
        <v xml:space="preserve"> </v>
      </c>
      <c r="S914" s="164" t="str">
        <f>+IF(OR(O914="Fire Control",O914="Fire Tex 5062",O914="Fire Tex 5090",O914="Fire Tex 5120"),'CALCULO PINTURA'!S915," ")</f>
        <v xml:space="preserve"> </v>
      </c>
      <c r="T914" s="874" t="str">
        <f>+IF(OR(O914="Blaze Shield II",O914="Cafco 400",O914="Cafco 300"),'CALCULO MORTERO'!N920," ")</f>
        <v xml:space="preserve"> </v>
      </c>
      <c r="U914" s="875" t="str">
        <f>+IF(OR(O914="Blaze Shield II",O914="Cafco 400",O914="Cafco 300"),'CALCULO MORTERO'!O920," ")</f>
        <v xml:space="preserve"> </v>
      </c>
      <c r="V914" s="161" t="str" cm="1">
        <f t="array" ref="V914">_xlfn.IFS(O914="Blaze Shield II",'CALCULO MORTERO'!P915, O914="Cafco 400",'CALCULO MORTERO'!Q915,O914="Cafco 300",'CALCULO MORTERO'!S915, AND(OR(O914="Fire tex 5090", O914="Fire Tex 5062", O914="Fire Tex 5120", O914="Fire Control"),Q914&gt;0), "CERT.",TRUE,"-")</f>
        <v>-</v>
      </c>
    </row>
    <row r="915" spans="1:22" x14ac:dyDescent="0.25">
      <c r="A915" s="168"/>
      <c r="B915" s="876"/>
      <c r="C915" s="161"/>
      <c r="D915" s="161"/>
      <c r="E915" s="161"/>
      <c r="F915" s="41"/>
      <c r="G915" s="161"/>
      <c r="H915" s="161"/>
      <c r="I915" s="166"/>
      <c r="J915" s="162"/>
      <c r="K915" s="161"/>
      <c r="L915" s="161"/>
      <c r="M915" s="169"/>
      <c r="N915" s="163" t="str">
        <f t="shared" si="18"/>
        <v/>
      </c>
      <c r="O915" s="41"/>
      <c r="P915" s="41"/>
      <c r="Q915" s="161" t="str">
        <f>+IF(OR(O915="Fire Control",O915="Fire Tex 5062",O915="Fire Tex 5090",O915="Fire Tex 5120"),'CALCULO PINTURA'!P916," ")</f>
        <v xml:space="preserve"> </v>
      </c>
      <c r="R915" s="164" t="str">
        <f>+IF(OR(O915="Fire Control",O915="Fire Tex 5062",O915="Fire Tex 5090",O915="Fire Tex 5120"),'CALCULO PINTURA'!R916," ")</f>
        <v xml:space="preserve"> </v>
      </c>
      <c r="S915" s="164" t="str">
        <f>+IF(OR(O915="Fire Control",O915="Fire Tex 5062",O915="Fire Tex 5090",O915="Fire Tex 5120"),'CALCULO PINTURA'!S916," ")</f>
        <v xml:space="preserve"> </v>
      </c>
      <c r="T915" s="874" t="str">
        <f>+IF(OR(O915="Blaze Shield II",O915="Cafco 400",O915="Cafco 300"),'CALCULO MORTERO'!N921," ")</f>
        <v xml:space="preserve"> </v>
      </c>
      <c r="U915" s="875" t="str">
        <f>+IF(OR(O915="Blaze Shield II",O915="Cafco 400",O915="Cafco 300"),'CALCULO MORTERO'!O921," ")</f>
        <v xml:space="preserve"> </v>
      </c>
      <c r="V915" s="161" t="str" cm="1">
        <f t="array" ref="V915">_xlfn.IFS(O915="Blaze Shield II",'CALCULO MORTERO'!P916, O915="Cafco 400",'CALCULO MORTERO'!Q916,O915="Cafco 300",'CALCULO MORTERO'!S916, AND(OR(O915="Fire tex 5090", O915="Fire Tex 5062", O915="Fire Tex 5120", O915="Fire Control"),Q915&gt;0), "CERT.",TRUE,"-")</f>
        <v>-</v>
      </c>
    </row>
    <row r="916" spans="1:22" x14ac:dyDescent="0.25">
      <c r="A916" s="168"/>
      <c r="B916" s="876"/>
      <c r="C916" s="161"/>
      <c r="D916" s="161"/>
      <c r="E916" s="161"/>
      <c r="F916" s="41"/>
      <c r="G916" s="161"/>
      <c r="H916" s="161"/>
      <c r="I916" s="166"/>
      <c r="J916" s="162"/>
      <c r="K916" s="161"/>
      <c r="L916" s="161"/>
      <c r="M916" s="169"/>
      <c r="N916" s="163" t="str">
        <f t="shared" si="18"/>
        <v/>
      </c>
      <c r="O916" s="41"/>
      <c r="P916" s="41"/>
      <c r="Q916" s="161" t="str">
        <f>+IF(OR(O916="Fire Control",O916="Fire Tex 5062",O916="Fire Tex 5090",O916="Fire Tex 5120"),'CALCULO PINTURA'!P917," ")</f>
        <v xml:space="preserve"> </v>
      </c>
      <c r="R916" s="164" t="str">
        <f>+IF(OR(O916="Fire Control",O916="Fire Tex 5062",O916="Fire Tex 5090",O916="Fire Tex 5120"),'CALCULO PINTURA'!R917," ")</f>
        <v xml:space="preserve"> </v>
      </c>
      <c r="S916" s="164" t="str">
        <f>+IF(OR(O916="Fire Control",O916="Fire Tex 5062",O916="Fire Tex 5090",O916="Fire Tex 5120"),'CALCULO PINTURA'!S917," ")</f>
        <v xml:space="preserve"> </v>
      </c>
      <c r="T916" s="874" t="str">
        <f>+IF(OR(O916="Blaze Shield II",O916="Cafco 400",O916="Cafco 300"),'CALCULO MORTERO'!N922," ")</f>
        <v xml:space="preserve"> </v>
      </c>
      <c r="U916" s="875" t="str">
        <f>+IF(OR(O916="Blaze Shield II",O916="Cafco 400",O916="Cafco 300"),'CALCULO MORTERO'!O922," ")</f>
        <v xml:space="preserve"> </v>
      </c>
      <c r="V916" s="161" t="str" cm="1">
        <f t="array" ref="V916">_xlfn.IFS(O916="Blaze Shield II",'CALCULO MORTERO'!P917, O916="Cafco 400",'CALCULO MORTERO'!Q917,O916="Cafco 300",'CALCULO MORTERO'!S917, AND(OR(O916="Fire tex 5090", O916="Fire Tex 5062", O916="Fire Tex 5120", O916="Fire Control"),Q916&gt;0), "CERT.",TRUE,"-")</f>
        <v>-</v>
      </c>
    </row>
    <row r="917" spans="1:22" x14ac:dyDescent="0.25">
      <c r="A917" s="168"/>
      <c r="B917" s="876"/>
      <c r="C917" s="161"/>
      <c r="D917" s="161"/>
      <c r="E917" s="161"/>
      <c r="F917" s="41"/>
      <c r="G917" s="161"/>
      <c r="H917" s="161"/>
      <c r="I917" s="166"/>
      <c r="J917" s="162"/>
      <c r="K917" s="161"/>
      <c r="L917" s="161"/>
      <c r="M917" s="169"/>
      <c r="N917" s="163" t="str">
        <f t="shared" si="18"/>
        <v/>
      </c>
      <c r="O917" s="41"/>
      <c r="P917" s="41"/>
      <c r="Q917" s="161" t="str">
        <f>+IF(OR(O917="Fire Control",O917="Fire Tex 5062",O917="Fire Tex 5090",O917="Fire Tex 5120"),'CALCULO PINTURA'!P918," ")</f>
        <v xml:space="preserve"> </v>
      </c>
      <c r="R917" s="164" t="str">
        <f>+IF(OR(O917="Fire Control",O917="Fire Tex 5062",O917="Fire Tex 5090",O917="Fire Tex 5120"),'CALCULO PINTURA'!R918," ")</f>
        <v xml:space="preserve"> </v>
      </c>
      <c r="S917" s="164" t="str">
        <f>+IF(OR(O917="Fire Control",O917="Fire Tex 5062",O917="Fire Tex 5090",O917="Fire Tex 5120"),'CALCULO PINTURA'!S918," ")</f>
        <v xml:space="preserve"> </v>
      </c>
      <c r="T917" s="874" t="str">
        <f>+IF(OR(O917="Blaze Shield II",O917="Cafco 400",O917="Cafco 300"),'CALCULO MORTERO'!N923," ")</f>
        <v xml:space="preserve"> </v>
      </c>
      <c r="U917" s="875" t="str">
        <f>+IF(OR(O917="Blaze Shield II",O917="Cafco 400",O917="Cafco 300"),'CALCULO MORTERO'!O923," ")</f>
        <v xml:space="preserve"> </v>
      </c>
      <c r="V917" s="161" t="str" cm="1">
        <f t="array" ref="V917">_xlfn.IFS(O917="Blaze Shield II",'CALCULO MORTERO'!P918, O917="Cafco 400",'CALCULO MORTERO'!Q918,O917="Cafco 300",'CALCULO MORTERO'!S918, AND(OR(O917="Fire tex 5090", O917="Fire Tex 5062", O917="Fire Tex 5120", O917="Fire Control"),Q917&gt;0), "CERT.",TRUE,"-")</f>
        <v>-</v>
      </c>
    </row>
    <row r="918" spans="1:22" x14ac:dyDescent="0.25">
      <c r="A918" s="168"/>
      <c r="B918" s="876"/>
      <c r="C918" s="161"/>
      <c r="D918" s="161"/>
      <c r="E918" s="161"/>
      <c r="F918" s="41"/>
      <c r="G918" s="161"/>
      <c r="H918" s="161"/>
      <c r="I918" s="166"/>
      <c r="J918" s="162"/>
      <c r="K918" s="161"/>
      <c r="L918" s="161"/>
      <c r="M918" s="169"/>
      <c r="N918" s="163" t="str">
        <f t="shared" si="18"/>
        <v/>
      </c>
      <c r="O918" s="41"/>
      <c r="P918" s="41"/>
      <c r="Q918" s="161" t="str">
        <f>+IF(OR(O918="Fire Control",O918="Fire Tex 5062",O918="Fire Tex 5090",O918="Fire Tex 5120"),'CALCULO PINTURA'!P919," ")</f>
        <v xml:space="preserve"> </v>
      </c>
      <c r="R918" s="164" t="str">
        <f>+IF(OR(O918="Fire Control",O918="Fire Tex 5062",O918="Fire Tex 5090",O918="Fire Tex 5120"),'CALCULO PINTURA'!R919," ")</f>
        <v xml:space="preserve"> </v>
      </c>
      <c r="S918" s="164" t="str">
        <f>+IF(OR(O918="Fire Control",O918="Fire Tex 5062",O918="Fire Tex 5090",O918="Fire Tex 5120"),'CALCULO PINTURA'!S919," ")</f>
        <v xml:space="preserve"> </v>
      </c>
      <c r="T918" s="874" t="str">
        <f>+IF(OR(O918="Blaze Shield II",O918="Cafco 400",O918="Cafco 300"),'CALCULO MORTERO'!N924," ")</f>
        <v xml:space="preserve"> </v>
      </c>
      <c r="U918" s="875" t="str">
        <f>+IF(OR(O918="Blaze Shield II",O918="Cafco 400",O918="Cafco 300"),'CALCULO MORTERO'!O924," ")</f>
        <v xml:space="preserve"> </v>
      </c>
      <c r="V918" s="161" t="str" cm="1">
        <f t="array" ref="V918">_xlfn.IFS(O918="Blaze Shield II",'CALCULO MORTERO'!P919, O918="Cafco 400",'CALCULO MORTERO'!Q919,O918="Cafco 300",'CALCULO MORTERO'!S919, AND(OR(O918="Fire tex 5090", O918="Fire Tex 5062", O918="Fire Tex 5120", O918="Fire Control"),Q918&gt;0), "CERT.",TRUE,"-")</f>
        <v>-</v>
      </c>
    </row>
    <row r="919" spans="1:22" x14ac:dyDescent="0.25">
      <c r="A919" s="168"/>
      <c r="B919" s="876"/>
      <c r="C919" s="161"/>
      <c r="D919" s="161"/>
      <c r="E919" s="161"/>
      <c r="F919" s="41"/>
      <c r="G919" s="161"/>
      <c r="H919" s="161"/>
      <c r="I919" s="166"/>
      <c r="J919" s="162"/>
      <c r="K919" s="161"/>
      <c r="L919" s="161"/>
      <c r="M919" s="169"/>
      <c r="N919" s="163" t="str">
        <f t="shared" si="18"/>
        <v/>
      </c>
      <c r="O919" s="41"/>
      <c r="P919" s="41"/>
      <c r="Q919" s="161" t="str">
        <f>+IF(OR(O919="Fire Control",O919="Fire Tex 5062",O919="Fire Tex 5090",O919="Fire Tex 5120"),'CALCULO PINTURA'!P920," ")</f>
        <v xml:space="preserve"> </v>
      </c>
      <c r="R919" s="164" t="str">
        <f>+IF(OR(O919="Fire Control",O919="Fire Tex 5062",O919="Fire Tex 5090",O919="Fire Tex 5120"),'CALCULO PINTURA'!R920," ")</f>
        <v xml:space="preserve"> </v>
      </c>
      <c r="S919" s="164" t="str">
        <f>+IF(OR(O919="Fire Control",O919="Fire Tex 5062",O919="Fire Tex 5090",O919="Fire Tex 5120"),'CALCULO PINTURA'!S920," ")</f>
        <v xml:space="preserve"> </v>
      </c>
      <c r="T919" s="874" t="str">
        <f>+IF(OR(O919="Blaze Shield II",O919="Cafco 400",O919="Cafco 300"),'CALCULO MORTERO'!N925," ")</f>
        <v xml:space="preserve"> </v>
      </c>
      <c r="U919" s="875" t="str">
        <f>+IF(OR(O919="Blaze Shield II",O919="Cafco 400",O919="Cafco 300"),'CALCULO MORTERO'!O925," ")</f>
        <v xml:space="preserve"> </v>
      </c>
      <c r="V919" s="161" t="str" cm="1">
        <f t="array" ref="V919">_xlfn.IFS(O919="Blaze Shield II",'CALCULO MORTERO'!P920, O919="Cafco 400",'CALCULO MORTERO'!Q920,O919="Cafco 300",'CALCULO MORTERO'!S920, AND(OR(O919="Fire tex 5090", O919="Fire Tex 5062", O919="Fire Tex 5120", O919="Fire Control"),Q919&gt;0), "CERT.",TRUE,"-")</f>
        <v>-</v>
      </c>
    </row>
    <row r="920" spans="1:22" x14ac:dyDescent="0.25">
      <c r="A920" s="168"/>
      <c r="B920" s="876"/>
      <c r="C920" s="161"/>
      <c r="D920" s="161"/>
      <c r="E920" s="161"/>
      <c r="F920" s="41"/>
      <c r="G920" s="161"/>
      <c r="H920" s="161"/>
      <c r="I920" s="166"/>
      <c r="J920" s="162"/>
      <c r="K920" s="161"/>
      <c r="L920" s="161"/>
      <c r="M920" s="169"/>
      <c r="N920" s="163" t="str">
        <f t="shared" si="18"/>
        <v/>
      </c>
      <c r="O920" s="41"/>
      <c r="P920" s="41"/>
      <c r="Q920" s="161" t="str">
        <f>+IF(OR(O920="Fire Control",O920="Fire Tex 5062",O920="Fire Tex 5090",O920="Fire Tex 5120"),'CALCULO PINTURA'!P921," ")</f>
        <v xml:space="preserve"> </v>
      </c>
      <c r="R920" s="164" t="str">
        <f>+IF(OR(O920="Fire Control",O920="Fire Tex 5062",O920="Fire Tex 5090",O920="Fire Tex 5120"),'CALCULO PINTURA'!R921," ")</f>
        <v xml:space="preserve"> </v>
      </c>
      <c r="S920" s="164" t="str">
        <f>+IF(OR(O920="Fire Control",O920="Fire Tex 5062",O920="Fire Tex 5090",O920="Fire Tex 5120"),'CALCULO PINTURA'!S921," ")</f>
        <v xml:space="preserve"> </v>
      </c>
      <c r="T920" s="874" t="str">
        <f>+IF(OR(O920="Blaze Shield II",O920="Cafco 400",O920="Cafco 300"),'CALCULO MORTERO'!N926," ")</f>
        <v xml:space="preserve"> </v>
      </c>
      <c r="U920" s="875" t="str">
        <f>+IF(OR(O920="Blaze Shield II",O920="Cafco 400",O920="Cafco 300"),'CALCULO MORTERO'!O926," ")</f>
        <v xml:space="preserve"> </v>
      </c>
      <c r="V920" s="161" t="str" cm="1">
        <f t="array" ref="V920">_xlfn.IFS(O920="Blaze Shield II",'CALCULO MORTERO'!P921, O920="Cafco 400",'CALCULO MORTERO'!Q921,O920="Cafco 300",'CALCULO MORTERO'!S921, AND(OR(O920="Fire tex 5090", O920="Fire Tex 5062", O920="Fire Tex 5120", O920="Fire Control"),Q920&gt;0), "CERT.",TRUE,"-")</f>
        <v>-</v>
      </c>
    </row>
    <row r="921" spans="1:22" x14ac:dyDescent="0.25">
      <c r="A921" s="168"/>
      <c r="B921" s="876"/>
      <c r="C921" s="161"/>
      <c r="D921" s="161"/>
      <c r="E921" s="161"/>
      <c r="F921" s="41"/>
      <c r="G921" s="161"/>
      <c r="H921" s="161"/>
      <c r="I921" s="166"/>
      <c r="J921" s="162"/>
      <c r="K921" s="161"/>
      <c r="L921" s="161"/>
      <c r="M921" s="169"/>
      <c r="N921" s="163" t="str">
        <f t="shared" si="18"/>
        <v/>
      </c>
      <c r="O921" s="41"/>
      <c r="P921" s="41"/>
      <c r="Q921" s="161" t="str">
        <f>+IF(OR(O921="Fire Control",O921="Fire Tex 5062",O921="Fire Tex 5090",O921="Fire Tex 5120"),'CALCULO PINTURA'!P922," ")</f>
        <v xml:space="preserve"> </v>
      </c>
      <c r="R921" s="164" t="str">
        <f>+IF(OR(O921="Fire Control",O921="Fire Tex 5062",O921="Fire Tex 5090",O921="Fire Tex 5120"),'CALCULO PINTURA'!R922," ")</f>
        <v xml:space="preserve"> </v>
      </c>
      <c r="S921" s="164" t="str">
        <f>+IF(OR(O921="Fire Control",O921="Fire Tex 5062",O921="Fire Tex 5090",O921="Fire Tex 5120"),'CALCULO PINTURA'!S922," ")</f>
        <v xml:space="preserve"> </v>
      </c>
      <c r="T921" s="874" t="str">
        <f>+IF(OR(O921="Blaze Shield II",O921="Cafco 400",O921="Cafco 300"),'CALCULO MORTERO'!N927," ")</f>
        <v xml:space="preserve"> </v>
      </c>
      <c r="U921" s="875" t="str">
        <f>+IF(OR(O921="Blaze Shield II",O921="Cafco 400",O921="Cafco 300"),'CALCULO MORTERO'!O927," ")</f>
        <v xml:space="preserve"> </v>
      </c>
      <c r="V921" s="161" t="str" cm="1">
        <f t="array" ref="V921">_xlfn.IFS(O921="Blaze Shield II",'CALCULO MORTERO'!P922, O921="Cafco 400",'CALCULO MORTERO'!Q922,O921="Cafco 300",'CALCULO MORTERO'!S922, AND(OR(O921="Fire tex 5090", O921="Fire Tex 5062", O921="Fire Tex 5120", O921="Fire Control"),Q921&gt;0), "CERT.",TRUE,"-")</f>
        <v>-</v>
      </c>
    </row>
    <row r="922" spans="1:22" x14ac:dyDescent="0.25">
      <c r="A922" s="168"/>
      <c r="B922" s="876"/>
      <c r="C922" s="161"/>
      <c r="D922" s="161"/>
      <c r="E922" s="161"/>
      <c r="F922" s="41"/>
      <c r="G922" s="161"/>
      <c r="H922" s="161"/>
      <c r="I922" s="166"/>
      <c r="J922" s="162"/>
      <c r="K922" s="161"/>
      <c r="L922" s="161"/>
      <c r="M922" s="169"/>
      <c r="N922" s="163" t="str">
        <f t="shared" si="18"/>
        <v/>
      </c>
      <c r="O922" s="41"/>
      <c r="P922" s="41"/>
      <c r="Q922" s="161" t="str">
        <f>+IF(OR(O922="Fire Control",O922="Fire Tex 5062",O922="Fire Tex 5090",O922="Fire Tex 5120"),'CALCULO PINTURA'!P923," ")</f>
        <v xml:space="preserve"> </v>
      </c>
      <c r="R922" s="164" t="str">
        <f>+IF(OR(O922="Fire Control",O922="Fire Tex 5062",O922="Fire Tex 5090",O922="Fire Tex 5120"),'CALCULO PINTURA'!R923," ")</f>
        <v xml:space="preserve"> </v>
      </c>
      <c r="S922" s="164" t="str">
        <f>+IF(OR(O922="Fire Control",O922="Fire Tex 5062",O922="Fire Tex 5090",O922="Fire Tex 5120"),'CALCULO PINTURA'!S923," ")</f>
        <v xml:space="preserve"> </v>
      </c>
      <c r="T922" s="874" t="str">
        <f>+IF(OR(O922="Blaze Shield II",O922="Cafco 400",O922="Cafco 300"),'CALCULO MORTERO'!N928," ")</f>
        <v xml:space="preserve"> </v>
      </c>
      <c r="U922" s="875" t="str">
        <f>+IF(OR(O922="Blaze Shield II",O922="Cafco 400",O922="Cafco 300"),'CALCULO MORTERO'!O928," ")</f>
        <v xml:space="preserve"> </v>
      </c>
      <c r="V922" s="161" t="str" cm="1">
        <f t="array" ref="V922">_xlfn.IFS(O922="Blaze Shield II",'CALCULO MORTERO'!P923, O922="Cafco 400",'CALCULO MORTERO'!Q923,O922="Cafco 300",'CALCULO MORTERO'!S923, AND(OR(O922="Fire tex 5090", O922="Fire Tex 5062", O922="Fire Tex 5120", O922="Fire Control"),Q922&gt;0), "CERT.",TRUE,"-")</f>
        <v>-</v>
      </c>
    </row>
    <row r="923" spans="1:22" x14ac:dyDescent="0.25">
      <c r="A923" s="168"/>
      <c r="B923" s="876"/>
      <c r="C923" s="161"/>
      <c r="D923" s="161"/>
      <c r="E923" s="161"/>
      <c r="F923" s="41"/>
      <c r="G923" s="161"/>
      <c r="H923" s="161"/>
      <c r="I923" s="166"/>
      <c r="J923" s="162"/>
      <c r="K923" s="161"/>
      <c r="L923" s="161"/>
      <c r="M923" s="169"/>
      <c r="N923" s="163" t="str">
        <f t="shared" si="18"/>
        <v/>
      </c>
      <c r="O923" s="41"/>
      <c r="P923" s="41"/>
      <c r="Q923" s="161" t="str">
        <f>+IF(OR(O923="Fire Control",O923="Fire Tex 5062",O923="Fire Tex 5090",O923="Fire Tex 5120"),'CALCULO PINTURA'!P924," ")</f>
        <v xml:space="preserve"> </v>
      </c>
      <c r="R923" s="164" t="str">
        <f>+IF(OR(O923="Fire Control",O923="Fire Tex 5062",O923="Fire Tex 5090",O923="Fire Tex 5120"),'CALCULO PINTURA'!R924," ")</f>
        <v xml:space="preserve"> </v>
      </c>
      <c r="S923" s="164" t="str">
        <f>+IF(OR(O923="Fire Control",O923="Fire Tex 5062",O923="Fire Tex 5090",O923="Fire Tex 5120"),'CALCULO PINTURA'!S924," ")</f>
        <v xml:space="preserve"> </v>
      </c>
      <c r="T923" s="874" t="str">
        <f>+IF(OR(O923="Blaze Shield II",O923="Cafco 400",O923="Cafco 300"),'CALCULO MORTERO'!N929," ")</f>
        <v xml:space="preserve"> </v>
      </c>
      <c r="U923" s="875" t="str">
        <f>+IF(OR(O923="Blaze Shield II",O923="Cafco 400",O923="Cafco 300"),'CALCULO MORTERO'!O929," ")</f>
        <v xml:space="preserve"> </v>
      </c>
      <c r="V923" s="161" t="str" cm="1">
        <f t="array" ref="V923">_xlfn.IFS(O923="Blaze Shield II",'CALCULO MORTERO'!P924, O923="Cafco 400",'CALCULO MORTERO'!Q924,O923="Cafco 300",'CALCULO MORTERO'!S924, AND(OR(O923="Fire tex 5090", O923="Fire Tex 5062", O923="Fire Tex 5120", O923="Fire Control"),Q923&gt;0), "CERT.",TRUE,"-")</f>
        <v>-</v>
      </c>
    </row>
    <row r="924" spans="1:22" x14ac:dyDescent="0.25">
      <c r="A924" s="168"/>
      <c r="B924" s="876"/>
      <c r="C924" s="161"/>
      <c r="D924" s="161"/>
      <c r="E924" s="161"/>
      <c r="F924" s="41"/>
      <c r="G924" s="161"/>
      <c r="H924" s="161"/>
      <c r="I924" s="166"/>
      <c r="J924" s="162"/>
      <c r="K924" s="161"/>
      <c r="L924" s="161"/>
      <c r="M924" s="169"/>
      <c r="N924" s="163" t="str">
        <f t="shared" si="18"/>
        <v/>
      </c>
      <c r="O924" s="41"/>
      <c r="P924" s="41"/>
      <c r="Q924" s="161" t="str">
        <f>+IF(OR(O924="Fire Control",O924="Fire Tex 5062",O924="Fire Tex 5090",O924="Fire Tex 5120"),'CALCULO PINTURA'!P925," ")</f>
        <v xml:space="preserve"> </v>
      </c>
      <c r="R924" s="164" t="str">
        <f>+IF(OR(O924="Fire Control",O924="Fire Tex 5062",O924="Fire Tex 5090",O924="Fire Tex 5120"),'CALCULO PINTURA'!R925," ")</f>
        <v xml:space="preserve"> </v>
      </c>
      <c r="S924" s="164" t="str">
        <f>+IF(OR(O924="Fire Control",O924="Fire Tex 5062",O924="Fire Tex 5090",O924="Fire Tex 5120"),'CALCULO PINTURA'!S925," ")</f>
        <v xml:space="preserve"> </v>
      </c>
      <c r="T924" s="874" t="str">
        <f>+IF(OR(O924="Blaze Shield II",O924="Cafco 400",O924="Cafco 300"),'CALCULO MORTERO'!N930," ")</f>
        <v xml:space="preserve"> </v>
      </c>
      <c r="U924" s="875" t="str">
        <f>+IF(OR(O924="Blaze Shield II",O924="Cafco 400",O924="Cafco 300"),'CALCULO MORTERO'!O930," ")</f>
        <v xml:space="preserve"> </v>
      </c>
      <c r="V924" s="161" t="str" cm="1">
        <f t="array" ref="V924">_xlfn.IFS(O924="Blaze Shield II",'CALCULO MORTERO'!P925, O924="Cafco 400",'CALCULO MORTERO'!Q925,O924="Cafco 300",'CALCULO MORTERO'!S925, AND(OR(O924="Fire tex 5090", O924="Fire Tex 5062", O924="Fire Tex 5120", O924="Fire Control"),Q924&gt;0), "CERT.",TRUE,"-")</f>
        <v>-</v>
      </c>
    </row>
    <row r="925" spans="1:22" x14ac:dyDescent="0.25">
      <c r="A925" s="168"/>
      <c r="B925" s="876"/>
      <c r="C925" s="161"/>
      <c r="D925" s="161"/>
      <c r="E925" s="161"/>
      <c r="F925" s="41"/>
      <c r="G925" s="161"/>
      <c r="H925" s="161"/>
      <c r="I925" s="166"/>
      <c r="J925" s="162"/>
      <c r="K925" s="161"/>
      <c r="L925" s="161"/>
      <c r="M925" s="169"/>
      <c r="N925" s="163" t="str">
        <f t="shared" si="18"/>
        <v/>
      </c>
      <c r="O925" s="41"/>
      <c r="P925" s="41"/>
      <c r="Q925" s="161" t="str">
        <f>+IF(OR(O925="Fire Control",O925="Fire Tex 5062",O925="Fire Tex 5090",O925="Fire Tex 5120"),'CALCULO PINTURA'!P926," ")</f>
        <v xml:space="preserve"> </v>
      </c>
      <c r="R925" s="164" t="str">
        <f>+IF(OR(O925="Fire Control",O925="Fire Tex 5062",O925="Fire Tex 5090",O925="Fire Tex 5120"),'CALCULO PINTURA'!R926," ")</f>
        <v xml:space="preserve"> </v>
      </c>
      <c r="S925" s="164" t="str">
        <f>+IF(OR(O925="Fire Control",O925="Fire Tex 5062",O925="Fire Tex 5090",O925="Fire Tex 5120"),'CALCULO PINTURA'!S926," ")</f>
        <v xml:space="preserve"> </v>
      </c>
      <c r="T925" s="874" t="str">
        <f>+IF(OR(O925="Blaze Shield II",O925="Cafco 400",O925="Cafco 300"),'CALCULO MORTERO'!N931," ")</f>
        <v xml:space="preserve"> </v>
      </c>
      <c r="U925" s="875" t="str">
        <f>+IF(OR(O925="Blaze Shield II",O925="Cafco 400",O925="Cafco 300"),'CALCULO MORTERO'!O931," ")</f>
        <v xml:space="preserve"> </v>
      </c>
      <c r="V925" s="161" t="str" cm="1">
        <f t="array" ref="V925">_xlfn.IFS(O925="Blaze Shield II",'CALCULO MORTERO'!P926, O925="Cafco 400",'CALCULO MORTERO'!Q926,O925="Cafco 300",'CALCULO MORTERO'!S926, AND(OR(O925="Fire tex 5090", O925="Fire Tex 5062", O925="Fire Tex 5120", O925="Fire Control"),Q925&gt;0), "CERT.",TRUE,"-")</f>
        <v>-</v>
      </c>
    </row>
    <row r="926" spans="1:22" x14ac:dyDescent="0.25">
      <c r="A926" s="168"/>
      <c r="B926" s="862"/>
      <c r="C926" s="161"/>
      <c r="D926" s="161"/>
      <c r="E926" s="41"/>
      <c r="F926" s="41"/>
      <c r="G926" s="161"/>
      <c r="H926" s="161"/>
      <c r="I926" s="166"/>
      <c r="J926" s="162"/>
      <c r="K926" s="161"/>
      <c r="L926" s="161"/>
      <c r="M926" s="169"/>
      <c r="N926" s="163" t="str">
        <f t="shared" si="18"/>
        <v/>
      </c>
      <c r="O926" s="41"/>
      <c r="P926" s="41"/>
      <c r="Q926" s="161" t="str">
        <f>+IF(OR(O926="Fire Control",O926="Fire Tex 5062",O926="Fire Tex 5090",O926="Fire Tex 5120"),'CALCULO PINTURA'!P279," ")</f>
        <v xml:space="preserve"> </v>
      </c>
      <c r="R926" s="164" t="str">
        <f>+IF(OR(O926="Fire Control",O926="Fire Tex 5062",O926="Fire Tex 5090",O926="Fire Tex 5120"),'CALCULO PINTURA'!R279," ")</f>
        <v xml:space="preserve"> </v>
      </c>
      <c r="S926" s="164" t="str">
        <f>+IF(OR(O926="Fire Control",O926="Fire Tex 5062",O926="Fire Tex 5090",O926="Fire Tex 5120"),'CALCULO PINTURA'!S279," ")</f>
        <v xml:space="preserve"> </v>
      </c>
      <c r="T926" s="874" t="str">
        <f>+IF(OR(O926="Blaze Shield II",O926="Cafco 400",O926="Cafco 300"),'CALCULO MORTERO'!N284," ")</f>
        <v xml:space="preserve"> </v>
      </c>
      <c r="U926" s="875" t="str">
        <f>+IF(OR(O926="Blaze Shield II",O926="Cafco 400",O926="Cafco 300"),'CALCULO MORTERO'!O284," ")</f>
        <v xml:space="preserve"> </v>
      </c>
      <c r="V926" s="161" t="str" cm="1">
        <f t="array" ref="V926">_xlfn.IFS(O926="Blaze Shield II",'CALCULO MORTERO'!P927, O926="Cafco 400",'CALCULO MORTERO'!Q927,O926="Cafco 300",'CALCULO MORTERO'!S927, AND(OR(O926="Fire tex 5090", O926="Fire Tex 5062", O926="Fire Tex 5120", O926="Fire Control"),Q926&gt;0), "CERT.",TRUE,"-")</f>
        <v>-</v>
      </c>
    </row>
    <row r="927" spans="1:22" x14ac:dyDescent="0.25">
      <c r="A927" s="168"/>
      <c r="B927" s="862"/>
      <c r="C927" s="161"/>
      <c r="D927" s="161"/>
      <c r="E927" s="41"/>
      <c r="F927" s="41"/>
      <c r="G927" s="161"/>
      <c r="H927" s="161"/>
      <c r="I927" s="166"/>
      <c r="J927" s="162"/>
      <c r="K927" s="161"/>
      <c r="L927" s="161"/>
      <c r="M927" s="169"/>
      <c r="N927" s="163" t="str">
        <f t="shared" si="18"/>
        <v/>
      </c>
      <c r="O927" s="41"/>
      <c r="P927" s="41"/>
      <c r="Q927" s="161" t="str">
        <f>+IF(OR(O927="Fire Control",O927="Fire Tex 5062",O927="Fire Tex 5090",O927="Fire Tex 5120"),'CALCULO PINTURA'!P280," ")</f>
        <v xml:space="preserve"> </v>
      </c>
      <c r="R927" s="164" t="str">
        <f>+IF(OR(O927="Fire Control",O927="Fire Tex 5062",O927="Fire Tex 5090",O927="Fire Tex 5120"),'CALCULO PINTURA'!R280," ")</f>
        <v xml:space="preserve"> </v>
      </c>
      <c r="S927" s="164" t="str">
        <f>+IF(OR(O927="Fire Control",O927="Fire Tex 5062",O927="Fire Tex 5090",O927="Fire Tex 5120"),'CALCULO PINTURA'!S280," ")</f>
        <v xml:space="preserve"> </v>
      </c>
      <c r="T927" s="874" t="str">
        <f>+IF(OR(O927="Blaze Shield II",O927="Cafco 400",O927="Cafco 300"),'CALCULO MORTERO'!N285," ")</f>
        <v xml:space="preserve"> </v>
      </c>
      <c r="U927" s="875" t="str">
        <f>+IF(OR(O927="Blaze Shield II",O927="Cafco 400",O927="Cafco 300"),'CALCULO MORTERO'!O285," ")</f>
        <v xml:space="preserve"> </v>
      </c>
      <c r="V927" s="161" t="str" cm="1">
        <f t="array" ref="V927">_xlfn.IFS(O927="Blaze Shield II",'CALCULO MORTERO'!P928, O927="Cafco 400",'CALCULO MORTERO'!Q928,O927="Cafco 300",'CALCULO MORTERO'!S928, AND(OR(O927="Fire tex 5090", O927="Fire Tex 5062", O927="Fire Tex 5120", O927="Fire Control"),Q927&gt;0), "CERT.",TRUE,"-")</f>
        <v>-</v>
      </c>
    </row>
    <row r="928" spans="1:22" x14ac:dyDescent="0.25">
      <c r="A928" s="168"/>
      <c r="B928" s="862"/>
      <c r="C928" s="161"/>
      <c r="D928" s="161"/>
      <c r="E928" s="41"/>
      <c r="F928" s="41"/>
      <c r="G928" s="161"/>
      <c r="H928" s="161"/>
      <c r="I928" s="166"/>
      <c r="J928" s="162"/>
      <c r="K928" s="161"/>
      <c r="L928" s="161"/>
      <c r="M928" s="169"/>
      <c r="N928" s="163" t="str">
        <f t="shared" si="18"/>
        <v/>
      </c>
      <c r="O928" s="41"/>
      <c r="P928" s="41"/>
      <c r="Q928" s="161" t="str">
        <f>+IF(OR(O928="Fire Control",O928="Fire Tex 5062",O928="Fire Tex 5090",O928="Fire Tex 5120"),'CALCULO PINTURA'!P281," ")</f>
        <v xml:space="preserve"> </v>
      </c>
      <c r="R928" s="164" t="str">
        <f>+IF(OR(O928="Fire Control",O928="Fire Tex 5062",O928="Fire Tex 5090",O928="Fire Tex 5120"),'CALCULO PINTURA'!R281," ")</f>
        <v xml:space="preserve"> </v>
      </c>
      <c r="S928" s="164" t="str">
        <f>+IF(OR(O928="Fire Control",O928="Fire Tex 5062",O928="Fire Tex 5090",O928="Fire Tex 5120"),'CALCULO PINTURA'!S281," ")</f>
        <v xml:space="preserve"> </v>
      </c>
      <c r="T928" s="874" t="str">
        <f>+IF(OR(O928="Blaze Shield II",O928="Cafco 400",O928="Cafco 300"),'CALCULO MORTERO'!N286," ")</f>
        <v xml:space="preserve"> </v>
      </c>
      <c r="U928" s="875" t="str">
        <f>+IF(OR(O928="Blaze Shield II",O928="Cafco 400",O928="Cafco 300"),'CALCULO MORTERO'!O286," ")</f>
        <v xml:space="preserve"> </v>
      </c>
      <c r="V928" s="161" t="str" cm="1">
        <f t="array" ref="V928">_xlfn.IFS(O928="Blaze Shield II",'CALCULO MORTERO'!P929, O928="Cafco 400",'CALCULO MORTERO'!Q929,O928="Cafco 300",'CALCULO MORTERO'!S929, AND(OR(O928="Fire tex 5090", O928="Fire Tex 5062", O928="Fire Tex 5120", O928="Fire Control"),Q928&gt;0), "CERT.",TRUE,"-")</f>
        <v>-</v>
      </c>
    </row>
    <row r="929" spans="1:22" x14ac:dyDescent="0.25">
      <c r="A929" s="168"/>
      <c r="B929" s="862"/>
      <c r="C929" s="161"/>
      <c r="D929" s="161"/>
      <c r="E929" s="41"/>
      <c r="F929" s="41"/>
      <c r="G929" s="161"/>
      <c r="H929" s="161"/>
      <c r="I929" s="166"/>
      <c r="J929" s="162"/>
      <c r="K929" s="161"/>
      <c r="L929" s="161"/>
      <c r="M929" s="169"/>
      <c r="N929" s="163" t="str">
        <f t="shared" si="18"/>
        <v/>
      </c>
      <c r="O929" s="41"/>
      <c r="P929" s="41"/>
      <c r="Q929" s="161" t="str">
        <f>+IF(OR(O929="Fire Control",O929="Fire Tex 5062",O929="Fire Tex 5090",O929="Fire Tex 5120"),'CALCULO PINTURA'!P282," ")</f>
        <v xml:space="preserve"> </v>
      </c>
      <c r="R929" s="164" t="str">
        <f>+IF(OR(O929="Fire Control",O929="Fire Tex 5062",O929="Fire Tex 5090",O929="Fire Tex 5120"),'CALCULO PINTURA'!R282," ")</f>
        <v xml:space="preserve"> </v>
      </c>
      <c r="S929" s="164" t="str">
        <f>+IF(OR(O929="Fire Control",O929="Fire Tex 5062",O929="Fire Tex 5090",O929="Fire Tex 5120"),'CALCULO PINTURA'!S282," ")</f>
        <v xml:space="preserve"> </v>
      </c>
      <c r="T929" s="874" t="str">
        <f>+IF(OR(O929="Blaze Shield II",O929="Cafco 400",O929="Cafco 300"),'CALCULO MORTERO'!N287," ")</f>
        <v xml:space="preserve"> </v>
      </c>
      <c r="U929" s="875" t="str">
        <f>+IF(OR(O929="Blaze Shield II",O929="Cafco 400",O929="Cafco 300"),'CALCULO MORTERO'!O287," ")</f>
        <v xml:space="preserve"> </v>
      </c>
      <c r="V929" s="161" t="str" cm="1">
        <f t="array" ref="V929">_xlfn.IFS(O929="Blaze Shield II",'CALCULO MORTERO'!P930, O929="Cafco 400",'CALCULO MORTERO'!Q930,O929="Cafco 300",'CALCULO MORTERO'!S930, AND(OR(O929="Fire tex 5090", O929="Fire Tex 5062", O929="Fire Tex 5120", O929="Fire Control"),Q929&gt;0), "CERT.",TRUE,"-")</f>
        <v>-</v>
      </c>
    </row>
    <row r="930" spans="1:22" x14ac:dyDescent="0.25">
      <c r="A930" s="168"/>
      <c r="B930" s="862"/>
      <c r="C930" s="161"/>
      <c r="D930" s="161"/>
      <c r="E930" s="41"/>
      <c r="F930" s="41"/>
      <c r="G930" s="161"/>
      <c r="H930" s="161"/>
      <c r="I930" s="166"/>
      <c r="J930" s="162"/>
      <c r="K930" s="161"/>
      <c r="L930" s="161"/>
      <c r="M930" s="169"/>
      <c r="N930" s="163" t="str">
        <f t="shared" si="18"/>
        <v/>
      </c>
      <c r="O930" s="41"/>
      <c r="P930" s="41"/>
      <c r="Q930" s="161" t="str">
        <f>+IF(OR(O930="Fire Control",O930="Fire Tex 5062",O930="Fire Tex 5090",O930="Fire Tex 5120"),'CALCULO PINTURA'!P283," ")</f>
        <v xml:space="preserve"> </v>
      </c>
      <c r="R930" s="164" t="str">
        <f>+IF(OR(O930="Fire Control",O930="Fire Tex 5062",O930="Fire Tex 5090",O930="Fire Tex 5120"),'CALCULO PINTURA'!R283," ")</f>
        <v xml:space="preserve"> </v>
      </c>
      <c r="S930" s="164" t="str">
        <f>+IF(OR(O930="Fire Control",O930="Fire Tex 5062",O930="Fire Tex 5090",O930="Fire Tex 5120"),'CALCULO PINTURA'!S283," ")</f>
        <v xml:space="preserve"> </v>
      </c>
      <c r="T930" s="874" t="str">
        <f>+IF(OR(O930="Blaze Shield II",O930="Cafco 400",O930="Cafco 300"),'CALCULO MORTERO'!N288," ")</f>
        <v xml:space="preserve"> </v>
      </c>
      <c r="U930" s="875" t="str">
        <f>+IF(OR(O930="Blaze Shield II",O930="Cafco 400",O930="Cafco 300"),'CALCULO MORTERO'!O288," ")</f>
        <v xml:space="preserve"> </v>
      </c>
      <c r="V930" s="161" t="str" cm="1">
        <f t="array" ref="V930">_xlfn.IFS(O930="Blaze Shield II",'CALCULO MORTERO'!P931, O930="Cafco 400",'CALCULO MORTERO'!Q931,O930="Cafco 300",'CALCULO MORTERO'!S931, AND(OR(O930="Fire tex 5090", O930="Fire Tex 5062", O930="Fire Tex 5120", O930="Fire Control"),Q930&gt;0), "CERT.",TRUE,"-")</f>
        <v>-</v>
      </c>
    </row>
    <row r="931" spans="1:22" x14ac:dyDescent="0.25">
      <c r="A931" s="168"/>
      <c r="B931" s="862"/>
      <c r="C931" s="161"/>
      <c r="D931" s="161"/>
      <c r="E931" s="41"/>
      <c r="F931" s="41"/>
      <c r="G931" s="161"/>
      <c r="H931" s="161"/>
      <c r="I931" s="166"/>
      <c r="J931" s="162"/>
      <c r="K931" s="161"/>
      <c r="L931" s="161"/>
      <c r="M931" s="169"/>
      <c r="N931" s="163" t="str">
        <f t="shared" si="18"/>
        <v/>
      </c>
      <c r="O931" s="41"/>
      <c r="P931" s="41"/>
      <c r="Q931" s="161" t="str">
        <f>+IF(OR(O931="Fire Control",O931="Fire Tex 5062",O931="Fire Tex 5090",O931="Fire Tex 5120"),'CALCULO PINTURA'!P284," ")</f>
        <v xml:space="preserve"> </v>
      </c>
      <c r="R931" s="164" t="str">
        <f>+IF(OR(O931="Fire Control",O931="Fire Tex 5062",O931="Fire Tex 5090",O931="Fire Tex 5120"),'CALCULO PINTURA'!R284," ")</f>
        <v xml:space="preserve"> </v>
      </c>
      <c r="S931" s="164" t="str">
        <f>+IF(OR(O931="Fire Control",O931="Fire Tex 5062",O931="Fire Tex 5090",O931="Fire Tex 5120"),'CALCULO PINTURA'!S284," ")</f>
        <v xml:space="preserve"> </v>
      </c>
      <c r="T931" s="874" t="str">
        <f>+IF(OR(O931="Blaze Shield II",O931="Cafco 400",O931="Cafco 300"),'CALCULO MORTERO'!N289," ")</f>
        <v xml:space="preserve"> </v>
      </c>
      <c r="U931" s="875" t="str">
        <f>+IF(OR(O931="Blaze Shield II",O931="Cafco 400",O931="Cafco 300"),'CALCULO MORTERO'!O289," ")</f>
        <v xml:space="preserve"> </v>
      </c>
      <c r="V931" s="161" t="str" cm="1">
        <f t="array" ref="V931">_xlfn.IFS(O931="Blaze Shield II",'CALCULO MORTERO'!P932, O931="Cafco 400",'CALCULO MORTERO'!Q932,O931="Cafco 300",'CALCULO MORTERO'!S932, AND(OR(O931="Fire tex 5090", O931="Fire Tex 5062", O931="Fire Tex 5120", O931="Fire Control"),Q931&gt;0), "CERT.",TRUE,"-")</f>
        <v>-</v>
      </c>
    </row>
    <row r="932" spans="1:22" x14ac:dyDescent="0.25">
      <c r="A932" s="168"/>
      <c r="B932" s="862"/>
      <c r="C932" s="161"/>
      <c r="D932" s="161"/>
      <c r="E932" s="41"/>
      <c r="F932" s="41"/>
      <c r="G932" s="161"/>
      <c r="H932" s="161"/>
      <c r="I932" s="166"/>
      <c r="J932" s="162"/>
      <c r="K932" s="161"/>
      <c r="L932" s="161"/>
      <c r="M932" s="169"/>
      <c r="N932" s="163" t="str">
        <f t="shared" si="18"/>
        <v/>
      </c>
      <c r="O932" s="41"/>
      <c r="P932" s="41"/>
      <c r="Q932" s="161" t="str">
        <f>+IF(OR(O932="Fire Control",O932="Fire Tex 5062",O932="Fire Tex 5090",O932="Fire Tex 5120"),'CALCULO PINTURA'!P285," ")</f>
        <v xml:space="preserve"> </v>
      </c>
      <c r="R932" s="164" t="str">
        <f>+IF(OR(O932="Fire Control",O932="Fire Tex 5062",O932="Fire Tex 5090",O932="Fire Tex 5120"),'CALCULO PINTURA'!R285," ")</f>
        <v xml:space="preserve"> </v>
      </c>
      <c r="S932" s="164" t="str">
        <f>+IF(OR(O932="Fire Control",O932="Fire Tex 5062",O932="Fire Tex 5090",O932="Fire Tex 5120"),'CALCULO PINTURA'!S285," ")</f>
        <v xml:space="preserve"> </v>
      </c>
      <c r="T932" s="874" t="str">
        <f>+IF(OR(O932="Blaze Shield II",O932="Cafco 400",O932="Cafco 300"),'CALCULO MORTERO'!N290," ")</f>
        <v xml:space="preserve"> </v>
      </c>
      <c r="U932" s="875" t="str">
        <f>+IF(OR(O932="Blaze Shield II",O932="Cafco 400",O932="Cafco 300"),'CALCULO MORTERO'!O290," ")</f>
        <v xml:space="preserve"> </v>
      </c>
      <c r="V932" s="161" t="str" cm="1">
        <f t="array" ref="V932">_xlfn.IFS(O932="Blaze Shield II",'CALCULO MORTERO'!P933, O932="Cafco 400",'CALCULO MORTERO'!Q933,O932="Cafco 300",'CALCULO MORTERO'!S933, AND(OR(O932="Fire tex 5090", O932="Fire Tex 5062", O932="Fire Tex 5120", O932="Fire Control"),Q932&gt;0), "CERT.",TRUE,"-")</f>
        <v>-</v>
      </c>
    </row>
    <row r="933" spans="1:22" x14ac:dyDescent="0.25">
      <c r="A933" s="168"/>
      <c r="B933" s="862"/>
      <c r="C933" s="161"/>
      <c r="D933" s="161"/>
      <c r="E933" s="41"/>
      <c r="F933" s="41"/>
      <c r="G933" s="161"/>
      <c r="H933" s="161"/>
      <c r="I933" s="166"/>
      <c r="J933" s="162"/>
      <c r="K933" s="161"/>
      <c r="L933" s="161"/>
      <c r="M933" s="169"/>
      <c r="N933" s="163" t="str">
        <f t="shared" si="18"/>
        <v/>
      </c>
      <c r="O933" s="41"/>
      <c r="P933" s="41"/>
      <c r="Q933" s="161" t="str">
        <f>+IF(OR(O933="Fire Control",O933="Fire Tex 5062",O933="Fire Tex 5090",O933="Fire Tex 5120"),'CALCULO PINTURA'!P286," ")</f>
        <v xml:space="preserve"> </v>
      </c>
      <c r="R933" s="164" t="str">
        <f>+IF(OR(O933="Fire Control",O933="Fire Tex 5062",O933="Fire Tex 5090",O933="Fire Tex 5120"),'CALCULO PINTURA'!R286," ")</f>
        <v xml:space="preserve"> </v>
      </c>
      <c r="S933" s="164" t="str">
        <f>+IF(OR(O933="Fire Control",O933="Fire Tex 5062",O933="Fire Tex 5090",O933="Fire Tex 5120"),'CALCULO PINTURA'!S286," ")</f>
        <v xml:space="preserve"> </v>
      </c>
      <c r="T933" s="874" t="str">
        <f>+IF(OR(O933="Blaze Shield II",O933="Cafco 400",O933="Cafco 300"),'CALCULO MORTERO'!N291," ")</f>
        <v xml:space="preserve"> </v>
      </c>
      <c r="U933" s="875" t="str">
        <f>+IF(OR(O933="Blaze Shield II",O933="Cafco 400",O933="Cafco 300"),'CALCULO MORTERO'!O291," ")</f>
        <v xml:space="preserve"> </v>
      </c>
      <c r="V933" s="161" t="str" cm="1">
        <f t="array" ref="V933">_xlfn.IFS(O933="Blaze Shield II",'CALCULO MORTERO'!P934, O933="Cafco 400",'CALCULO MORTERO'!Q934,O933="Cafco 300",'CALCULO MORTERO'!S934, AND(OR(O933="Fire tex 5090", O933="Fire Tex 5062", O933="Fire Tex 5120", O933="Fire Control"),Q933&gt;0), "CERT.",TRUE,"-")</f>
        <v>-</v>
      </c>
    </row>
    <row r="934" spans="1:22" x14ac:dyDescent="0.25">
      <c r="A934" s="168"/>
      <c r="B934" s="862"/>
      <c r="C934" s="161"/>
      <c r="D934" s="161"/>
      <c r="E934" s="41"/>
      <c r="F934" s="41"/>
      <c r="G934" s="161"/>
      <c r="H934" s="161"/>
      <c r="I934" s="166"/>
      <c r="J934" s="162"/>
      <c r="K934" s="161"/>
      <c r="L934" s="161"/>
      <c r="M934" s="169"/>
      <c r="N934" s="163" t="str">
        <f t="shared" si="18"/>
        <v/>
      </c>
      <c r="O934" s="41"/>
      <c r="P934" s="41"/>
      <c r="Q934" s="161" t="str">
        <f>+IF(OR(O934="Fire Control",O934="Fire Tex 5062",O934="Fire Tex 5090",O934="Fire Tex 5120"),'CALCULO PINTURA'!P287," ")</f>
        <v xml:space="preserve"> </v>
      </c>
      <c r="R934" s="164" t="str">
        <f>+IF(OR(O934="Fire Control",O934="Fire Tex 5062",O934="Fire Tex 5090",O934="Fire Tex 5120"),'CALCULO PINTURA'!R287," ")</f>
        <v xml:space="preserve"> </v>
      </c>
      <c r="S934" s="164" t="str">
        <f>+IF(OR(O934="Fire Control",O934="Fire Tex 5062",O934="Fire Tex 5090",O934="Fire Tex 5120"),'CALCULO PINTURA'!S287," ")</f>
        <v xml:space="preserve"> </v>
      </c>
      <c r="T934" s="874" t="str">
        <f>+IF(OR(O934="Blaze Shield II",O934="Cafco 400",O934="Cafco 300"),'CALCULO MORTERO'!N292," ")</f>
        <v xml:space="preserve"> </v>
      </c>
      <c r="U934" s="875" t="str">
        <f>+IF(OR(O934="Blaze Shield II",O934="Cafco 400",O934="Cafco 300"),'CALCULO MORTERO'!O292," ")</f>
        <v xml:space="preserve"> </v>
      </c>
      <c r="V934" s="161" t="str" cm="1">
        <f t="array" ref="V934">_xlfn.IFS(O934="Blaze Shield II",'CALCULO MORTERO'!P935, O934="Cafco 400",'CALCULO MORTERO'!Q935,O934="Cafco 300",'CALCULO MORTERO'!S935, AND(OR(O934="Fire tex 5090", O934="Fire Tex 5062", O934="Fire Tex 5120", O934="Fire Control"),Q934&gt;0), "CERT.",TRUE,"-")</f>
        <v>-</v>
      </c>
    </row>
    <row r="935" spans="1:22" x14ac:dyDescent="0.25">
      <c r="A935" s="168"/>
      <c r="B935" s="862"/>
      <c r="C935" s="161"/>
      <c r="D935" s="161"/>
      <c r="E935" s="41"/>
      <c r="F935" s="41"/>
      <c r="G935" s="161"/>
      <c r="H935" s="161"/>
      <c r="I935" s="166"/>
      <c r="J935" s="162"/>
      <c r="K935" s="161"/>
      <c r="L935" s="161"/>
      <c r="M935" s="169"/>
      <c r="N935" s="163" t="str">
        <f t="shared" si="18"/>
        <v/>
      </c>
      <c r="O935" s="41"/>
      <c r="P935" s="41"/>
      <c r="Q935" s="161" t="str">
        <f>+IF(OR(O935="Fire Control",O935="Fire Tex 5062",O935="Fire Tex 5090",O935="Fire Tex 5120"),'CALCULO PINTURA'!P288," ")</f>
        <v xml:space="preserve"> </v>
      </c>
      <c r="R935" s="164" t="str">
        <f>+IF(OR(O935="Fire Control",O935="Fire Tex 5062",O935="Fire Tex 5090",O935="Fire Tex 5120"),'CALCULO PINTURA'!R288," ")</f>
        <v xml:space="preserve"> </v>
      </c>
      <c r="S935" s="164" t="str">
        <f>+IF(OR(O935="Fire Control",O935="Fire Tex 5062",O935="Fire Tex 5090",O935="Fire Tex 5120"),'CALCULO PINTURA'!S288," ")</f>
        <v xml:space="preserve"> </v>
      </c>
      <c r="T935" s="874" t="str">
        <f>+IF(OR(O935="Blaze Shield II",O935="Cafco 400",O935="Cafco 300"),'CALCULO MORTERO'!N293," ")</f>
        <v xml:space="preserve"> </v>
      </c>
      <c r="U935" s="875" t="str">
        <f>+IF(OR(O935="Blaze Shield II",O935="Cafco 400",O935="Cafco 300"),'CALCULO MORTERO'!O293," ")</f>
        <v xml:space="preserve"> </v>
      </c>
      <c r="V935" s="161" t="str" cm="1">
        <f t="array" ref="V935">_xlfn.IFS(O935="Blaze Shield II",'CALCULO MORTERO'!P936, O935="Cafco 400",'CALCULO MORTERO'!Q936,O935="Cafco 300",'CALCULO MORTERO'!S936, AND(OR(O935="Fire tex 5090", O935="Fire Tex 5062", O935="Fire Tex 5120", O935="Fire Control"),Q935&gt;0), "CERT.",TRUE,"-")</f>
        <v>-</v>
      </c>
    </row>
    <row r="936" spans="1:22" x14ac:dyDescent="0.25">
      <c r="A936" s="168"/>
      <c r="B936" s="862"/>
      <c r="C936" s="161"/>
      <c r="D936" s="161"/>
      <c r="E936" s="41"/>
      <c r="F936" s="41"/>
      <c r="G936" s="161"/>
      <c r="H936" s="161"/>
      <c r="I936" s="166"/>
      <c r="J936" s="162"/>
      <c r="K936" s="161"/>
      <c r="L936" s="161"/>
      <c r="M936" s="169"/>
      <c r="N936" s="163" t="str">
        <f t="shared" si="18"/>
        <v/>
      </c>
      <c r="O936" s="41"/>
      <c r="P936" s="41"/>
      <c r="Q936" s="161" t="str">
        <f>+IF(OR(O936="Fire Control",O936="Fire Tex 5062",O936="Fire Tex 5090",O936="Fire Tex 5120"),'CALCULO PINTURA'!P289," ")</f>
        <v xml:space="preserve"> </v>
      </c>
      <c r="R936" s="164" t="str">
        <f>+IF(OR(O936="Fire Control",O936="Fire Tex 5062",O936="Fire Tex 5090",O936="Fire Tex 5120"),'CALCULO PINTURA'!R289," ")</f>
        <v xml:space="preserve"> </v>
      </c>
      <c r="S936" s="164" t="str">
        <f>+IF(OR(O936="Fire Control",O936="Fire Tex 5062",O936="Fire Tex 5090",O936="Fire Tex 5120"),'CALCULO PINTURA'!S289," ")</f>
        <v xml:space="preserve"> </v>
      </c>
      <c r="T936" s="874" t="str">
        <f>+IF(OR(O936="Blaze Shield II",O936="Cafco 400",O936="Cafco 300"),'CALCULO MORTERO'!N294," ")</f>
        <v xml:space="preserve"> </v>
      </c>
      <c r="U936" s="875" t="str">
        <f>+IF(OR(O936="Blaze Shield II",O936="Cafco 400",O936="Cafco 300"),'CALCULO MORTERO'!O294," ")</f>
        <v xml:space="preserve"> </v>
      </c>
      <c r="V936" s="161" t="str" cm="1">
        <f t="array" ref="V936">_xlfn.IFS(O936="Blaze Shield II",'CALCULO MORTERO'!P937, O936="Cafco 400",'CALCULO MORTERO'!Q937,O936="Cafco 300",'CALCULO MORTERO'!S937, AND(OR(O936="Fire tex 5090", O936="Fire Tex 5062", O936="Fire Tex 5120", O936="Fire Control"),Q936&gt;0), "CERT.",TRUE,"-")</f>
        <v>-</v>
      </c>
    </row>
    <row r="937" spans="1:22" x14ac:dyDescent="0.25">
      <c r="A937" s="168"/>
      <c r="B937" s="862"/>
      <c r="C937" s="161"/>
      <c r="D937" s="161"/>
      <c r="E937" s="41"/>
      <c r="F937" s="41"/>
      <c r="G937" s="161"/>
      <c r="H937" s="161"/>
      <c r="I937" s="166"/>
      <c r="J937" s="162"/>
      <c r="K937" s="161"/>
      <c r="L937" s="161"/>
      <c r="M937" s="169"/>
      <c r="N937" s="163" t="str">
        <f t="shared" si="18"/>
        <v/>
      </c>
      <c r="O937" s="41"/>
      <c r="P937" s="41"/>
      <c r="Q937" s="161" t="str">
        <f>+IF(OR(O937="Fire Control",O937="Fire Tex 5062",O937="Fire Tex 5090",O937="Fire Tex 5120"),'CALCULO PINTURA'!P290," ")</f>
        <v xml:space="preserve"> </v>
      </c>
      <c r="R937" s="164" t="str">
        <f>+IF(OR(O937="Fire Control",O937="Fire Tex 5062",O937="Fire Tex 5090",O937="Fire Tex 5120"),'CALCULO PINTURA'!R290," ")</f>
        <v xml:space="preserve"> </v>
      </c>
      <c r="S937" s="164" t="str">
        <f>+IF(OR(O937="Fire Control",O937="Fire Tex 5062",O937="Fire Tex 5090",O937="Fire Tex 5120"),'CALCULO PINTURA'!S290," ")</f>
        <v xml:space="preserve"> </v>
      </c>
      <c r="T937" s="874" t="str">
        <f>+IF(OR(O937="Blaze Shield II",O937="Cafco 400",O937="Cafco 300"),'CALCULO MORTERO'!N295," ")</f>
        <v xml:space="preserve"> </v>
      </c>
      <c r="U937" s="875" t="str">
        <f>+IF(OR(O937="Blaze Shield II",O937="Cafco 400",O937="Cafco 300"),'CALCULO MORTERO'!O295," ")</f>
        <v xml:space="preserve"> </v>
      </c>
      <c r="V937" s="161" t="str" cm="1">
        <f t="array" ref="V937">_xlfn.IFS(O937="Blaze Shield II",'CALCULO MORTERO'!P938, O937="Cafco 400",'CALCULO MORTERO'!Q938,O937="Cafco 300",'CALCULO MORTERO'!S938, AND(OR(O937="Fire tex 5090", O937="Fire Tex 5062", O937="Fire Tex 5120", O937="Fire Control"),Q937&gt;0), "CERT.",TRUE,"-")</f>
        <v>-</v>
      </c>
    </row>
    <row r="938" spans="1:22" x14ac:dyDescent="0.25">
      <c r="A938" s="168"/>
      <c r="B938" s="862"/>
      <c r="C938" s="161"/>
      <c r="D938" s="161"/>
      <c r="E938" s="41"/>
      <c r="F938" s="41"/>
      <c r="G938" s="161"/>
      <c r="H938" s="161"/>
      <c r="I938" s="166"/>
      <c r="J938" s="162"/>
      <c r="K938" s="161"/>
      <c r="L938" s="161"/>
      <c r="M938" s="169"/>
      <c r="N938" s="163" t="str">
        <f t="shared" si="18"/>
        <v/>
      </c>
      <c r="O938" s="41"/>
      <c r="P938" s="41"/>
      <c r="Q938" s="161" t="str">
        <f>+IF(OR(O938="Fire Control",O938="Fire Tex 5062",O938="Fire Tex 5090",O938="Fire Tex 5120"),'CALCULO PINTURA'!P291," ")</f>
        <v xml:space="preserve"> </v>
      </c>
      <c r="R938" s="164" t="str">
        <f>+IF(OR(O938="Fire Control",O938="Fire Tex 5062",O938="Fire Tex 5090",O938="Fire Tex 5120"),'CALCULO PINTURA'!R291," ")</f>
        <v xml:space="preserve"> </v>
      </c>
      <c r="S938" s="164" t="str">
        <f>+IF(OR(O938="Fire Control",O938="Fire Tex 5062",O938="Fire Tex 5090",O938="Fire Tex 5120"),'CALCULO PINTURA'!S291," ")</f>
        <v xml:space="preserve"> </v>
      </c>
      <c r="T938" s="874" t="str">
        <f>+IF(OR(O938="Blaze Shield II",O938="Cafco 400",O938="Cafco 300"),'CALCULO MORTERO'!N296," ")</f>
        <v xml:space="preserve"> </v>
      </c>
      <c r="U938" s="875" t="str">
        <f>+IF(OR(O938="Blaze Shield II",O938="Cafco 400",O938="Cafco 300"),'CALCULO MORTERO'!O296," ")</f>
        <v xml:space="preserve"> </v>
      </c>
      <c r="V938" s="161" t="str" cm="1">
        <f t="array" ref="V938">_xlfn.IFS(O938="Blaze Shield II",'CALCULO MORTERO'!P939, O938="Cafco 400",'CALCULO MORTERO'!Q939,O938="Cafco 300",'CALCULO MORTERO'!S939, AND(OR(O938="Fire tex 5090", O938="Fire Tex 5062", O938="Fire Tex 5120", O938="Fire Control"),Q938&gt;0), "CERT.",TRUE,"-")</f>
        <v>-</v>
      </c>
    </row>
    <row r="939" spans="1:22" x14ac:dyDescent="0.25">
      <c r="A939" s="168"/>
      <c r="B939" s="862"/>
      <c r="C939" s="161"/>
      <c r="D939" s="161"/>
      <c r="E939" s="41"/>
      <c r="F939" s="41"/>
      <c r="G939" s="161"/>
      <c r="H939" s="161"/>
      <c r="I939" s="166"/>
      <c r="J939" s="162"/>
      <c r="K939" s="161"/>
      <c r="L939" s="161"/>
      <c r="M939" s="169"/>
      <c r="N939" s="163" t="str">
        <f t="shared" si="18"/>
        <v/>
      </c>
      <c r="O939" s="41"/>
      <c r="P939" s="41"/>
      <c r="Q939" s="161" t="str">
        <f>+IF(OR(O939="Fire Control",O939="Fire Tex 5062",O939="Fire Tex 5090",O939="Fire Tex 5120"),'CALCULO PINTURA'!P292," ")</f>
        <v xml:space="preserve"> </v>
      </c>
      <c r="R939" s="164" t="str">
        <f>+IF(OR(O939="Fire Control",O939="Fire Tex 5062",O939="Fire Tex 5090",O939="Fire Tex 5120"),'CALCULO PINTURA'!R292," ")</f>
        <v xml:space="preserve"> </v>
      </c>
      <c r="S939" s="164" t="str">
        <f>+IF(OR(O939="Fire Control",O939="Fire Tex 5062",O939="Fire Tex 5090",O939="Fire Tex 5120"),'CALCULO PINTURA'!S292," ")</f>
        <v xml:space="preserve"> </v>
      </c>
      <c r="T939" s="874" t="str">
        <f>+IF(OR(O939="Blaze Shield II",O939="Cafco 400",O939="Cafco 300"),'CALCULO MORTERO'!N297," ")</f>
        <v xml:space="preserve"> </v>
      </c>
      <c r="U939" s="875" t="str">
        <f>+IF(OR(O939="Blaze Shield II",O939="Cafco 400",O939="Cafco 300"),'CALCULO MORTERO'!O297," ")</f>
        <v xml:space="preserve"> </v>
      </c>
      <c r="V939" s="161" t="str" cm="1">
        <f t="array" ref="V939">_xlfn.IFS(O939="Blaze Shield II",'CALCULO MORTERO'!P940, O939="Cafco 400",'CALCULO MORTERO'!Q940,O939="Cafco 300",'CALCULO MORTERO'!S940, AND(OR(O939="Fire tex 5090", O939="Fire Tex 5062", O939="Fire Tex 5120", O939="Fire Control"),Q939&gt;0), "CERT.",TRUE,"-")</f>
        <v>-</v>
      </c>
    </row>
    <row r="940" spans="1:22" x14ac:dyDescent="0.25">
      <c r="A940" s="168"/>
      <c r="B940" s="862"/>
      <c r="C940" s="161"/>
      <c r="D940" s="161"/>
      <c r="E940" s="41"/>
      <c r="F940" s="41"/>
      <c r="G940" s="161"/>
      <c r="H940" s="161"/>
      <c r="I940" s="166"/>
      <c r="J940" s="162"/>
      <c r="K940" s="161"/>
      <c r="L940" s="161"/>
      <c r="M940" s="169"/>
      <c r="N940" s="163" t="str">
        <f t="shared" si="18"/>
        <v/>
      </c>
      <c r="O940" s="41"/>
      <c r="P940" s="41"/>
      <c r="Q940" s="161" t="str">
        <f>+IF(OR(O940="Fire Control",O940="Fire Tex 5062",O940="Fire Tex 5090",O940="Fire Tex 5120"),'CALCULO PINTURA'!P293," ")</f>
        <v xml:space="preserve"> </v>
      </c>
      <c r="R940" s="164" t="str">
        <f>+IF(OR(O940="Fire Control",O940="Fire Tex 5062",O940="Fire Tex 5090",O940="Fire Tex 5120"),'CALCULO PINTURA'!R293," ")</f>
        <v xml:space="preserve"> </v>
      </c>
      <c r="S940" s="164" t="str">
        <f>+IF(OR(O940="Fire Control",O940="Fire Tex 5062",O940="Fire Tex 5090",O940="Fire Tex 5120"),'CALCULO PINTURA'!S293," ")</f>
        <v xml:space="preserve"> </v>
      </c>
      <c r="T940" s="874" t="str">
        <f>+IF(OR(O940="Blaze Shield II",O940="Cafco 400",O940="Cafco 300"),'CALCULO MORTERO'!N298," ")</f>
        <v xml:space="preserve"> </v>
      </c>
      <c r="U940" s="875" t="str">
        <f>+IF(OR(O940="Blaze Shield II",O940="Cafco 400",O940="Cafco 300"),'CALCULO MORTERO'!O298," ")</f>
        <v xml:space="preserve"> </v>
      </c>
      <c r="V940" s="161" t="str" cm="1">
        <f t="array" ref="V940">_xlfn.IFS(O940="Blaze Shield II",'CALCULO MORTERO'!P941, O940="Cafco 400",'CALCULO MORTERO'!Q941,O940="Cafco 300",'CALCULO MORTERO'!S941, AND(OR(O940="Fire tex 5090", O940="Fire Tex 5062", O940="Fire Tex 5120", O940="Fire Control"),Q940&gt;0), "CERT.",TRUE,"-")</f>
        <v>-</v>
      </c>
    </row>
    <row r="941" spans="1:22" x14ac:dyDescent="0.25">
      <c r="A941" s="168"/>
      <c r="B941" s="862"/>
      <c r="C941" s="161"/>
      <c r="D941" s="161"/>
      <c r="E941" s="41"/>
      <c r="F941" s="41"/>
      <c r="G941" s="161"/>
      <c r="H941" s="161"/>
      <c r="I941" s="166"/>
      <c r="J941" s="162"/>
      <c r="K941" s="161"/>
      <c r="L941" s="161"/>
      <c r="M941" s="169"/>
      <c r="N941" s="163" t="str">
        <f t="shared" si="18"/>
        <v/>
      </c>
      <c r="O941" s="41"/>
      <c r="P941" s="41"/>
      <c r="Q941" s="161" t="str">
        <f>+IF(OR(O941="Fire Control",O941="Fire Tex 5062",O941="Fire Tex 5090",O941="Fire Tex 5120"),'CALCULO PINTURA'!P297," ")</f>
        <v xml:space="preserve"> </v>
      </c>
      <c r="R941" s="164" t="str">
        <f>+IF(OR(O941="Fire Control",O941="Fire Tex 5062",O941="Fire Tex 5090",O941="Fire Tex 5120"),'CALCULO PINTURA'!R297," ")</f>
        <v xml:space="preserve"> </v>
      </c>
      <c r="S941" s="164" t="str">
        <f>+IF(OR(O941="Fire Control",O941="Fire Tex 5062",O941="Fire Tex 5090",O941="Fire Tex 5120"),'CALCULO PINTURA'!S297," ")</f>
        <v xml:space="preserve"> </v>
      </c>
      <c r="T941" s="874" t="str">
        <f>+IF(OR(O941="Blaze Shield II",O941="Cafco 400",O941="Cafco 300"),'CALCULO MORTERO'!N302," ")</f>
        <v xml:space="preserve"> </v>
      </c>
      <c r="U941" s="875" t="str">
        <f>+IF(OR(O941="Blaze Shield II",O941="Cafco 400",O941="Cafco 300"),'CALCULO MORTERO'!O302," ")</f>
        <v xml:space="preserve"> </v>
      </c>
      <c r="V941" s="161" t="str" cm="1">
        <f t="array" ref="V941">_xlfn.IFS(O941="Blaze Shield II",'CALCULO MORTERO'!P942, O941="Cafco 400",'CALCULO MORTERO'!Q942,O941="Cafco 300",'CALCULO MORTERO'!S942, AND(OR(O941="Fire tex 5090", O941="Fire Tex 5062", O941="Fire Tex 5120", O941="Fire Control"),Q941&gt;0), "CERT.",TRUE,"-")</f>
        <v>-</v>
      </c>
    </row>
    <row r="942" spans="1:22" x14ac:dyDescent="0.25">
      <c r="A942" s="168"/>
      <c r="B942" s="862"/>
      <c r="C942" s="161"/>
      <c r="D942" s="161"/>
      <c r="E942" s="41"/>
      <c r="F942" s="41"/>
      <c r="G942" s="161"/>
      <c r="H942" s="161"/>
      <c r="I942" s="166"/>
      <c r="J942" s="162"/>
      <c r="K942" s="161"/>
      <c r="L942" s="161"/>
      <c r="M942" s="169"/>
      <c r="N942" s="163" t="str">
        <f t="shared" si="18"/>
        <v/>
      </c>
      <c r="O942" s="41"/>
      <c r="P942" s="41"/>
      <c r="Q942" s="161" t="str">
        <f>+IF(OR(O942="Fire Control",O942="Fire Tex 5062",O942="Fire Tex 5090",O942="Fire Tex 5120"),'CALCULO PINTURA'!P298," ")</f>
        <v xml:space="preserve"> </v>
      </c>
      <c r="R942" s="164" t="str">
        <f>+IF(OR(O942="Fire Control",O942="Fire Tex 5062",O942="Fire Tex 5090",O942="Fire Tex 5120"),'CALCULO PINTURA'!R298," ")</f>
        <v xml:space="preserve"> </v>
      </c>
      <c r="S942" s="164" t="str">
        <f>+IF(OR(O942="Fire Control",O942="Fire Tex 5062",O942="Fire Tex 5090",O942="Fire Tex 5120"),'CALCULO PINTURA'!S298," ")</f>
        <v xml:space="preserve"> </v>
      </c>
      <c r="T942" s="874" t="str">
        <f>+IF(OR(O942="Blaze Shield II",O942="Cafco 400",O942="Cafco 300"),'CALCULO MORTERO'!N303," ")</f>
        <v xml:space="preserve"> </v>
      </c>
      <c r="U942" s="875" t="str">
        <f>+IF(OR(O942="Blaze Shield II",O942="Cafco 400",O942="Cafco 300"),'CALCULO MORTERO'!O303," ")</f>
        <v xml:space="preserve"> </v>
      </c>
      <c r="V942" s="161" t="str" cm="1">
        <f t="array" ref="V942">_xlfn.IFS(O942="Blaze Shield II",'CALCULO MORTERO'!P943, O942="Cafco 400",'CALCULO MORTERO'!Q943,O942="Cafco 300",'CALCULO MORTERO'!S943, AND(OR(O942="Fire tex 5090", O942="Fire Tex 5062", O942="Fire Tex 5120", O942="Fire Control"),Q942&gt;0), "CERT.",TRUE,"-")</f>
        <v>-</v>
      </c>
    </row>
    <row r="943" spans="1:22" x14ac:dyDescent="0.25">
      <c r="A943" s="168"/>
      <c r="B943" s="862"/>
      <c r="C943" s="161"/>
      <c r="D943" s="161"/>
      <c r="E943" s="41"/>
      <c r="F943" s="41"/>
      <c r="G943" s="161"/>
      <c r="H943" s="161"/>
      <c r="I943" s="166"/>
      <c r="J943" s="162"/>
      <c r="K943" s="161"/>
      <c r="L943" s="161"/>
      <c r="M943" s="169"/>
      <c r="N943" s="163" t="str">
        <f t="shared" si="18"/>
        <v/>
      </c>
      <c r="O943" s="41"/>
      <c r="P943" s="41"/>
      <c r="Q943" s="161" t="str">
        <f>+IF(OR(O943="Fire Control",O943="Fire Tex 5062",O943="Fire Tex 5090",O943="Fire Tex 5120"),'CALCULO PINTURA'!P299," ")</f>
        <v xml:space="preserve"> </v>
      </c>
      <c r="R943" s="164" t="str">
        <f>+IF(OR(O943="Fire Control",O943="Fire Tex 5062",O943="Fire Tex 5090",O943="Fire Tex 5120"),'CALCULO PINTURA'!R299," ")</f>
        <v xml:space="preserve"> </v>
      </c>
      <c r="S943" s="164" t="str">
        <f>+IF(OR(O943="Fire Control",O943="Fire Tex 5062",O943="Fire Tex 5090",O943="Fire Tex 5120"),'CALCULO PINTURA'!S299," ")</f>
        <v xml:space="preserve"> </v>
      </c>
      <c r="T943" s="874" t="str">
        <f>+IF(OR(O943="Blaze Shield II",O943="Cafco 400",O943="Cafco 300"),'CALCULO MORTERO'!N304," ")</f>
        <v xml:space="preserve"> </v>
      </c>
      <c r="U943" s="875" t="str">
        <f>+IF(OR(O943="Blaze Shield II",O943="Cafco 400",O943="Cafco 300"),'CALCULO MORTERO'!O304," ")</f>
        <v xml:space="preserve"> </v>
      </c>
      <c r="V943" s="161" t="str" cm="1">
        <f t="array" ref="V943">_xlfn.IFS(O943="Blaze Shield II",'CALCULO MORTERO'!P944, O943="Cafco 400",'CALCULO MORTERO'!Q944,O943="Cafco 300",'CALCULO MORTERO'!S944, AND(OR(O943="Fire tex 5090", O943="Fire Tex 5062", O943="Fire Tex 5120", O943="Fire Control"),Q943&gt;0), "CERT.",TRUE,"-")</f>
        <v>-</v>
      </c>
    </row>
    <row r="944" spans="1:22" x14ac:dyDescent="0.25">
      <c r="A944" s="168"/>
      <c r="B944" s="876"/>
      <c r="C944" s="161"/>
      <c r="D944" s="161"/>
      <c r="E944" s="161"/>
      <c r="F944" s="41"/>
      <c r="G944" s="161"/>
      <c r="H944" s="161"/>
      <c r="I944" s="166"/>
      <c r="J944" s="162"/>
      <c r="K944" s="161"/>
      <c r="L944" s="161"/>
      <c r="M944" s="169"/>
      <c r="N944" s="163" t="str">
        <f t="shared" si="18"/>
        <v/>
      </c>
      <c r="O944" s="41"/>
      <c r="P944" s="41"/>
      <c r="Q944" s="161" t="str">
        <f>+IF(OR(O944="Fire Control",O944="Fire Tex 5062",O944="Fire Tex 5090",O944="Fire Tex 5120"),'CALCULO PINTURA'!P945," ")</f>
        <v xml:space="preserve"> </v>
      </c>
      <c r="R944" s="164" t="str">
        <f>+IF(OR(O944="Fire Control",O944="Fire Tex 5062",O944="Fire Tex 5090",O944="Fire Tex 5120"),'CALCULO PINTURA'!R945," ")</f>
        <v xml:space="preserve"> </v>
      </c>
      <c r="S944" s="164" t="str">
        <f>+IF(OR(O944="Fire Control",O944="Fire Tex 5062",O944="Fire Tex 5090",O944="Fire Tex 5120"),'CALCULO PINTURA'!S945," ")</f>
        <v xml:space="preserve"> </v>
      </c>
      <c r="T944" s="874" t="str">
        <f>+IF(OR(O944="Blaze Shield II",O944="Cafco 400",O944="Cafco 300"),'CALCULO MORTERO'!N950," ")</f>
        <v xml:space="preserve"> </v>
      </c>
      <c r="U944" s="875" t="str">
        <f>+IF(OR(O944="Blaze Shield II",O944="Cafco 400",O944="Cafco 300"),'CALCULO MORTERO'!O950," ")</f>
        <v xml:space="preserve"> </v>
      </c>
      <c r="V944" s="161" t="str" cm="1">
        <f t="array" ref="V944">_xlfn.IFS(O944="Blaze Shield II",'CALCULO MORTERO'!P945, O944="Cafco 400",'CALCULO MORTERO'!Q945,O944="Cafco 300",'CALCULO MORTERO'!S945, AND(OR(O944="Fire tex 5090", O944="Fire Tex 5062", O944="Fire Tex 5120", O944="Fire Control"),Q944&gt;0), "CERT.",TRUE,"-")</f>
        <v>-</v>
      </c>
    </row>
    <row r="945" spans="1:22" x14ac:dyDescent="0.25">
      <c r="A945" s="168"/>
      <c r="B945" s="876"/>
      <c r="C945" s="161"/>
      <c r="D945" s="161"/>
      <c r="E945" s="161"/>
      <c r="F945" s="41"/>
      <c r="G945" s="161"/>
      <c r="H945" s="161"/>
      <c r="I945" s="166"/>
      <c r="J945" s="162"/>
      <c r="K945" s="161"/>
      <c r="L945" s="161"/>
      <c r="M945" s="169"/>
      <c r="N945" s="163" t="str">
        <f t="shared" si="18"/>
        <v/>
      </c>
      <c r="O945" s="41"/>
      <c r="P945" s="41"/>
      <c r="Q945" s="161" t="str">
        <f>+IF(OR(O945="Fire Control",O945="Fire Tex 5062",O945="Fire Tex 5090",O945="Fire Tex 5120"),'CALCULO PINTURA'!P946," ")</f>
        <v xml:space="preserve"> </v>
      </c>
      <c r="R945" s="164" t="str">
        <f>+IF(OR(O945="Fire Control",O945="Fire Tex 5062",O945="Fire Tex 5090",O945="Fire Tex 5120"),'CALCULO PINTURA'!R946," ")</f>
        <v xml:space="preserve"> </v>
      </c>
      <c r="S945" s="164" t="str">
        <f>+IF(OR(O945="Fire Control",O945="Fire Tex 5062",O945="Fire Tex 5090",O945="Fire Tex 5120"),'CALCULO PINTURA'!S946," ")</f>
        <v xml:space="preserve"> </v>
      </c>
      <c r="T945" s="874" t="str">
        <f>+IF(OR(O945="Blaze Shield II",O945="Cafco 400",O945="Cafco 300"),'CALCULO MORTERO'!N951," ")</f>
        <v xml:space="preserve"> </v>
      </c>
      <c r="U945" s="875" t="str">
        <f>+IF(OR(O945="Blaze Shield II",O945="Cafco 400",O945="Cafco 300"),'CALCULO MORTERO'!O951," ")</f>
        <v xml:space="preserve"> </v>
      </c>
      <c r="V945" s="161" t="str" cm="1">
        <f t="array" ref="V945">_xlfn.IFS(O945="Blaze Shield II",'CALCULO MORTERO'!P946, O945="Cafco 400",'CALCULO MORTERO'!Q946,O945="Cafco 300",'CALCULO MORTERO'!S946, AND(OR(O945="Fire tex 5090", O945="Fire Tex 5062", O945="Fire Tex 5120", O945="Fire Control"),Q945&gt;0), "CERT.",TRUE,"-")</f>
        <v>-</v>
      </c>
    </row>
    <row r="946" spans="1:22" x14ac:dyDescent="0.25">
      <c r="A946" s="168"/>
      <c r="B946" s="876"/>
      <c r="C946" s="161"/>
      <c r="D946" s="161"/>
      <c r="E946" s="161"/>
      <c r="F946" s="41"/>
      <c r="G946" s="161"/>
      <c r="H946" s="161"/>
      <c r="I946" s="166"/>
      <c r="J946" s="162"/>
      <c r="K946" s="161"/>
      <c r="L946" s="161"/>
      <c r="M946" s="169"/>
      <c r="N946" s="163" t="str">
        <f t="shared" si="18"/>
        <v/>
      </c>
      <c r="O946" s="41"/>
      <c r="P946" s="41"/>
      <c r="Q946" s="161" t="str">
        <f>+IF(OR(O946="Fire Control",O946="Fire Tex 5062",O946="Fire Tex 5090",O946="Fire Tex 5120"),'CALCULO PINTURA'!P947," ")</f>
        <v xml:space="preserve"> </v>
      </c>
      <c r="R946" s="164" t="str">
        <f>+IF(OR(O946="Fire Control",O946="Fire Tex 5062",O946="Fire Tex 5090",O946="Fire Tex 5120"),'CALCULO PINTURA'!R947," ")</f>
        <v xml:space="preserve"> </v>
      </c>
      <c r="S946" s="164" t="str">
        <f>+IF(OR(O946="Fire Control",O946="Fire Tex 5062",O946="Fire Tex 5090",O946="Fire Tex 5120"),'CALCULO PINTURA'!S947," ")</f>
        <v xml:space="preserve"> </v>
      </c>
      <c r="T946" s="874" t="str">
        <f>+IF(OR(O946="Blaze Shield II",O946="Cafco 400",O946="Cafco 300"),'CALCULO MORTERO'!N952," ")</f>
        <v xml:space="preserve"> </v>
      </c>
      <c r="U946" s="875" t="str">
        <f>+IF(OR(O946="Blaze Shield II",O946="Cafco 400",O946="Cafco 300"),'CALCULO MORTERO'!O952," ")</f>
        <v xml:space="preserve"> </v>
      </c>
      <c r="V946" s="161" t="str" cm="1">
        <f t="array" ref="V946">_xlfn.IFS(O946="Blaze Shield II",'CALCULO MORTERO'!P947, O946="Cafco 400",'CALCULO MORTERO'!Q947,O946="Cafco 300",'CALCULO MORTERO'!S947, AND(OR(O946="Fire tex 5090", O946="Fire Tex 5062", O946="Fire Tex 5120", O946="Fire Control"),Q946&gt;0), "CERT.",TRUE,"-")</f>
        <v>-</v>
      </c>
    </row>
    <row r="947" spans="1:22" x14ac:dyDescent="0.25">
      <c r="A947" s="168"/>
      <c r="B947" s="876"/>
      <c r="C947" s="161"/>
      <c r="D947" s="161"/>
      <c r="E947" s="161"/>
      <c r="F947" s="41"/>
      <c r="G947" s="161"/>
      <c r="H947" s="161"/>
      <c r="I947" s="166"/>
      <c r="J947" s="162"/>
      <c r="K947" s="161"/>
      <c r="L947" s="161"/>
      <c r="M947" s="169"/>
      <c r="N947" s="163" t="str">
        <f t="shared" si="18"/>
        <v/>
      </c>
      <c r="O947" s="41"/>
      <c r="P947" s="41"/>
      <c r="Q947" s="161" t="str">
        <f>+IF(OR(O947="Fire Control",O947="Fire Tex 5062",O947="Fire Tex 5090",O947="Fire Tex 5120"),'CALCULO PINTURA'!P948," ")</f>
        <v xml:space="preserve"> </v>
      </c>
      <c r="R947" s="164" t="str">
        <f>+IF(OR(O947="Fire Control",O947="Fire Tex 5062",O947="Fire Tex 5090",O947="Fire Tex 5120"),'CALCULO PINTURA'!R948," ")</f>
        <v xml:space="preserve"> </v>
      </c>
      <c r="S947" s="164" t="str">
        <f>+IF(OR(O947="Fire Control",O947="Fire Tex 5062",O947="Fire Tex 5090",O947="Fire Tex 5120"),'CALCULO PINTURA'!S948," ")</f>
        <v xml:space="preserve"> </v>
      </c>
      <c r="T947" s="874" t="str">
        <f>+IF(OR(O947="Blaze Shield II",O947="Cafco 400",O947="Cafco 300"),'CALCULO MORTERO'!N953," ")</f>
        <v xml:space="preserve"> </v>
      </c>
      <c r="U947" s="875" t="str">
        <f>+IF(OR(O947="Blaze Shield II",O947="Cafco 400",O947="Cafco 300"),'CALCULO MORTERO'!O953," ")</f>
        <v xml:space="preserve"> </v>
      </c>
      <c r="V947" s="161" t="str" cm="1">
        <f t="array" ref="V947">_xlfn.IFS(O947="Blaze Shield II",'CALCULO MORTERO'!P948, O947="Cafco 400",'CALCULO MORTERO'!Q948,O947="Cafco 300",'CALCULO MORTERO'!S948, AND(OR(O947="Fire tex 5090", O947="Fire Tex 5062", O947="Fire Tex 5120", O947="Fire Control"),Q947&gt;0), "CERT.",TRUE,"-")</f>
        <v>-</v>
      </c>
    </row>
    <row r="948" spans="1:22" x14ac:dyDescent="0.25">
      <c r="A948" s="168"/>
      <c r="B948" s="876"/>
      <c r="C948" s="161"/>
      <c r="D948" s="161"/>
      <c r="E948" s="161"/>
      <c r="F948" s="41"/>
      <c r="G948" s="161"/>
      <c r="H948" s="161"/>
      <c r="I948" s="166"/>
      <c r="J948" s="162"/>
      <c r="K948" s="161"/>
      <c r="L948" s="161"/>
      <c r="M948" s="169"/>
      <c r="N948" s="163" t="str">
        <f t="shared" si="18"/>
        <v/>
      </c>
      <c r="O948" s="41"/>
      <c r="P948" s="41"/>
      <c r="Q948" s="161" t="str">
        <f>+IF(OR(O948="Fire Control",O948="Fire Tex 5062",O948="Fire Tex 5090",O948="Fire Tex 5120"),'CALCULO PINTURA'!P949," ")</f>
        <v xml:space="preserve"> </v>
      </c>
      <c r="R948" s="164" t="str">
        <f>+IF(OR(O948="Fire Control",O948="Fire Tex 5062",O948="Fire Tex 5090",O948="Fire Tex 5120"),'CALCULO PINTURA'!R949," ")</f>
        <v xml:space="preserve"> </v>
      </c>
      <c r="S948" s="164" t="str">
        <f>+IF(OR(O948="Fire Control",O948="Fire Tex 5062",O948="Fire Tex 5090",O948="Fire Tex 5120"),'CALCULO PINTURA'!S949," ")</f>
        <v xml:space="preserve"> </v>
      </c>
      <c r="T948" s="874" t="str">
        <f>+IF(OR(O948="Blaze Shield II",O948="Cafco 400",O948="Cafco 300"),'CALCULO MORTERO'!N954," ")</f>
        <v xml:space="preserve"> </v>
      </c>
      <c r="U948" s="875" t="str">
        <f>+IF(OR(O948="Blaze Shield II",O948="Cafco 400",O948="Cafco 300"),'CALCULO MORTERO'!O954," ")</f>
        <v xml:space="preserve"> </v>
      </c>
      <c r="V948" s="161" t="str" cm="1">
        <f t="array" ref="V948">_xlfn.IFS(O948="Blaze Shield II",'CALCULO MORTERO'!P949, O948="Cafco 400",'CALCULO MORTERO'!Q949,O948="Cafco 300",'CALCULO MORTERO'!S949, AND(OR(O948="Fire tex 5090", O948="Fire Tex 5062", O948="Fire Tex 5120", O948="Fire Control"),Q948&gt;0), "CERT.",TRUE,"-")</f>
        <v>-</v>
      </c>
    </row>
    <row r="949" spans="1:22" x14ac:dyDescent="0.25">
      <c r="A949" s="168"/>
      <c r="B949" s="876"/>
      <c r="C949" s="161"/>
      <c r="D949" s="161"/>
      <c r="E949" s="161"/>
      <c r="F949" s="41"/>
      <c r="G949" s="161"/>
      <c r="H949" s="161"/>
      <c r="I949" s="166"/>
      <c r="J949" s="162"/>
      <c r="K949" s="161"/>
      <c r="L949" s="161"/>
      <c r="M949" s="169"/>
      <c r="N949" s="163" t="str">
        <f t="shared" si="18"/>
        <v/>
      </c>
      <c r="O949" s="41"/>
      <c r="P949" s="41"/>
      <c r="Q949" s="161" t="str">
        <f>+IF(OR(O949="Fire Control",O949="Fire Tex 5062",O949="Fire Tex 5090",O949="Fire Tex 5120"),'CALCULO PINTURA'!P950," ")</f>
        <v xml:space="preserve"> </v>
      </c>
      <c r="R949" s="164" t="str">
        <f>+IF(OR(O949="Fire Control",O949="Fire Tex 5062",O949="Fire Tex 5090",O949="Fire Tex 5120"),'CALCULO PINTURA'!R950," ")</f>
        <v xml:space="preserve"> </v>
      </c>
      <c r="S949" s="164" t="str">
        <f>+IF(OR(O949="Fire Control",O949="Fire Tex 5062",O949="Fire Tex 5090",O949="Fire Tex 5120"),'CALCULO PINTURA'!S950," ")</f>
        <v xml:space="preserve"> </v>
      </c>
      <c r="T949" s="874" t="str">
        <f>+IF(OR(O949="Blaze Shield II",O949="Cafco 400",O949="Cafco 300"),'CALCULO MORTERO'!N955," ")</f>
        <v xml:space="preserve"> </v>
      </c>
      <c r="U949" s="875" t="str">
        <f>+IF(OR(O949="Blaze Shield II",O949="Cafco 400",O949="Cafco 300"),'CALCULO MORTERO'!O955," ")</f>
        <v xml:space="preserve"> </v>
      </c>
      <c r="V949" s="161" t="str" cm="1">
        <f t="array" ref="V949">_xlfn.IFS(O949="Blaze Shield II",'CALCULO MORTERO'!P950, O949="Cafco 400",'CALCULO MORTERO'!Q950,O949="Cafco 300",'CALCULO MORTERO'!S950, AND(OR(O949="Fire tex 5090", O949="Fire Tex 5062", O949="Fire Tex 5120", O949="Fire Control"),Q949&gt;0), "CERT.",TRUE,"-")</f>
        <v>-</v>
      </c>
    </row>
    <row r="950" spans="1:22" x14ac:dyDescent="0.25">
      <c r="A950" s="168"/>
      <c r="B950" s="876"/>
      <c r="C950" s="161"/>
      <c r="D950" s="161"/>
      <c r="E950" s="161"/>
      <c r="F950" s="41"/>
      <c r="G950" s="161"/>
      <c r="H950" s="161"/>
      <c r="I950" s="166"/>
      <c r="J950" s="162"/>
      <c r="K950" s="161"/>
      <c r="L950" s="161"/>
      <c r="M950" s="169"/>
      <c r="N950" s="163" t="str">
        <f t="shared" si="18"/>
        <v/>
      </c>
      <c r="O950" s="41"/>
      <c r="P950" s="41"/>
      <c r="Q950" s="161" t="str">
        <f>+IF(OR(O950="Fire Control",O950="Fire Tex 5062",O950="Fire Tex 5090",O950="Fire Tex 5120"),'CALCULO PINTURA'!P951," ")</f>
        <v xml:space="preserve"> </v>
      </c>
      <c r="R950" s="164" t="str">
        <f>+IF(OR(O950="Fire Control",O950="Fire Tex 5062",O950="Fire Tex 5090",O950="Fire Tex 5120"),'CALCULO PINTURA'!R951," ")</f>
        <v xml:space="preserve"> </v>
      </c>
      <c r="S950" s="164" t="str">
        <f>+IF(OR(O950="Fire Control",O950="Fire Tex 5062",O950="Fire Tex 5090",O950="Fire Tex 5120"),'CALCULO PINTURA'!S951," ")</f>
        <v xml:space="preserve"> </v>
      </c>
      <c r="T950" s="874" t="str">
        <f>+IF(OR(O950="Blaze Shield II",O950="Cafco 400",O950="Cafco 300"),'CALCULO MORTERO'!N956," ")</f>
        <v xml:space="preserve"> </v>
      </c>
      <c r="U950" s="875" t="str">
        <f>+IF(OR(O950="Blaze Shield II",O950="Cafco 400",O950="Cafco 300"),'CALCULO MORTERO'!O956," ")</f>
        <v xml:space="preserve"> </v>
      </c>
      <c r="V950" s="161" t="str" cm="1">
        <f t="array" ref="V950">_xlfn.IFS(O950="Blaze Shield II",'CALCULO MORTERO'!P951, O950="Cafco 400",'CALCULO MORTERO'!Q951,O950="Cafco 300",'CALCULO MORTERO'!S951, AND(OR(O950="Fire tex 5090", O950="Fire Tex 5062", O950="Fire Tex 5120", O950="Fire Control"),Q950&gt;0), "CERT.",TRUE,"-")</f>
        <v>-</v>
      </c>
    </row>
    <row r="951" spans="1:22" x14ac:dyDescent="0.25">
      <c r="A951" s="168"/>
      <c r="B951" s="876"/>
      <c r="C951" s="161"/>
      <c r="D951" s="161"/>
      <c r="E951" s="161"/>
      <c r="F951" s="41"/>
      <c r="G951" s="161"/>
      <c r="H951" s="161"/>
      <c r="I951" s="166"/>
      <c r="J951" s="162"/>
      <c r="K951" s="161"/>
      <c r="L951" s="161"/>
      <c r="M951" s="169"/>
      <c r="N951" s="163" t="str">
        <f t="shared" si="18"/>
        <v/>
      </c>
      <c r="O951" s="41"/>
      <c r="P951" s="41"/>
      <c r="Q951" s="161" t="str">
        <f>+IF(OR(O951="Fire Control",O951="Fire Tex 5062",O951="Fire Tex 5090",O951="Fire Tex 5120"),'CALCULO PINTURA'!P952," ")</f>
        <v xml:space="preserve"> </v>
      </c>
      <c r="R951" s="164" t="str">
        <f>+IF(OR(O951="Fire Control",O951="Fire Tex 5062",O951="Fire Tex 5090",O951="Fire Tex 5120"),'CALCULO PINTURA'!R952," ")</f>
        <v xml:space="preserve"> </v>
      </c>
      <c r="S951" s="164" t="str">
        <f>+IF(OR(O951="Fire Control",O951="Fire Tex 5062",O951="Fire Tex 5090",O951="Fire Tex 5120"),'CALCULO PINTURA'!S952," ")</f>
        <v xml:space="preserve"> </v>
      </c>
      <c r="T951" s="874" t="str">
        <f>+IF(OR(O951="Blaze Shield II",O951="Cafco 400",O951="Cafco 300"),'CALCULO MORTERO'!N957," ")</f>
        <v xml:space="preserve"> </v>
      </c>
      <c r="U951" s="875" t="str">
        <f>+IF(OR(O951="Blaze Shield II",O951="Cafco 400",O951="Cafco 300"),'CALCULO MORTERO'!O957," ")</f>
        <v xml:space="preserve"> </v>
      </c>
      <c r="V951" s="161" t="str" cm="1">
        <f t="array" ref="V951">_xlfn.IFS(O951="Blaze Shield II",'CALCULO MORTERO'!P952, O951="Cafco 400",'CALCULO MORTERO'!Q952,O951="Cafco 300",'CALCULO MORTERO'!S952, AND(OR(O951="Fire tex 5090", O951="Fire Tex 5062", O951="Fire Tex 5120", O951="Fire Control"),Q951&gt;0), "CERT.",TRUE,"-")</f>
        <v>-</v>
      </c>
    </row>
    <row r="952" spans="1:22" x14ac:dyDescent="0.25">
      <c r="A952" s="168"/>
      <c r="B952" s="876"/>
      <c r="C952" s="161"/>
      <c r="D952" s="161"/>
      <c r="E952" s="161"/>
      <c r="F952" s="41"/>
      <c r="G952" s="161"/>
      <c r="H952" s="161"/>
      <c r="I952" s="166"/>
      <c r="J952" s="162"/>
      <c r="K952" s="161"/>
      <c r="L952" s="161"/>
      <c r="M952" s="169"/>
      <c r="N952" s="163" t="str">
        <f t="shared" si="18"/>
        <v/>
      </c>
      <c r="O952" s="41"/>
      <c r="P952" s="41"/>
      <c r="Q952" s="161" t="str">
        <f>+IF(OR(O952="Fire Control",O952="Fire Tex 5062",O952="Fire Tex 5090",O952="Fire Tex 5120"),'CALCULO PINTURA'!P953," ")</f>
        <v xml:space="preserve"> </v>
      </c>
      <c r="R952" s="164" t="str">
        <f>+IF(OR(O952="Fire Control",O952="Fire Tex 5062",O952="Fire Tex 5090",O952="Fire Tex 5120"),'CALCULO PINTURA'!R953," ")</f>
        <v xml:space="preserve"> </v>
      </c>
      <c r="S952" s="164" t="str">
        <f>+IF(OR(O952="Fire Control",O952="Fire Tex 5062",O952="Fire Tex 5090",O952="Fire Tex 5120"),'CALCULO PINTURA'!S953," ")</f>
        <v xml:space="preserve"> </v>
      </c>
      <c r="T952" s="874" t="str">
        <f>+IF(OR(O952="Blaze Shield II",O952="Cafco 400",O952="Cafco 300"),'CALCULO MORTERO'!N958," ")</f>
        <v xml:space="preserve"> </v>
      </c>
      <c r="U952" s="875" t="str">
        <f>+IF(OR(O952="Blaze Shield II",O952="Cafco 400",O952="Cafco 300"),'CALCULO MORTERO'!O958," ")</f>
        <v xml:space="preserve"> </v>
      </c>
      <c r="V952" s="161" t="str" cm="1">
        <f t="array" ref="V952">_xlfn.IFS(O952="Blaze Shield II",'CALCULO MORTERO'!P953, O952="Cafco 400",'CALCULO MORTERO'!Q953,O952="Cafco 300",'CALCULO MORTERO'!S953, AND(OR(O952="Fire tex 5090", O952="Fire Tex 5062", O952="Fire Tex 5120", O952="Fire Control"),Q952&gt;0), "CERT.",TRUE,"-")</f>
        <v>-</v>
      </c>
    </row>
    <row r="953" spans="1:22" x14ac:dyDescent="0.25">
      <c r="A953" s="168"/>
      <c r="B953" s="876"/>
      <c r="C953" s="161"/>
      <c r="D953" s="161"/>
      <c r="E953" s="161"/>
      <c r="F953" s="41"/>
      <c r="G953" s="161"/>
      <c r="H953" s="161"/>
      <c r="I953" s="166"/>
      <c r="J953" s="162"/>
      <c r="K953" s="161"/>
      <c r="L953" s="161"/>
      <c r="M953" s="169"/>
      <c r="N953" s="163" t="str">
        <f t="shared" si="18"/>
        <v/>
      </c>
      <c r="O953" s="41"/>
      <c r="P953" s="41"/>
      <c r="Q953" s="161" t="str">
        <f>+IF(OR(O953="Fire Control",O953="Fire Tex 5062",O953="Fire Tex 5090",O953="Fire Tex 5120"),'CALCULO PINTURA'!P954," ")</f>
        <v xml:space="preserve"> </v>
      </c>
      <c r="R953" s="164" t="str">
        <f>+IF(OR(O953="Fire Control",O953="Fire Tex 5062",O953="Fire Tex 5090",O953="Fire Tex 5120"),'CALCULO PINTURA'!R954," ")</f>
        <v xml:space="preserve"> </v>
      </c>
      <c r="S953" s="164" t="str">
        <f>+IF(OR(O953="Fire Control",O953="Fire Tex 5062",O953="Fire Tex 5090",O953="Fire Tex 5120"),'CALCULO PINTURA'!S954," ")</f>
        <v xml:space="preserve"> </v>
      </c>
      <c r="T953" s="874" t="str">
        <f>+IF(OR(O953="Blaze Shield II",O953="Cafco 400",O953="Cafco 300"),'CALCULO MORTERO'!N959," ")</f>
        <v xml:space="preserve"> </v>
      </c>
      <c r="U953" s="875" t="str">
        <f>+IF(OR(O953="Blaze Shield II",O953="Cafco 400",O953="Cafco 300"),'CALCULO MORTERO'!O959," ")</f>
        <v xml:space="preserve"> </v>
      </c>
      <c r="V953" s="161" t="str" cm="1">
        <f t="array" ref="V953">_xlfn.IFS(O953="Blaze Shield II",'CALCULO MORTERO'!P954, O953="Cafco 400",'CALCULO MORTERO'!Q954,O953="Cafco 300",'CALCULO MORTERO'!S954, AND(OR(O953="Fire tex 5090", O953="Fire Tex 5062", O953="Fire Tex 5120", O953="Fire Control"),Q953&gt;0), "CERT.",TRUE,"-")</f>
        <v>-</v>
      </c>
    </row>
    <row r="954" spans="1:22" x14ac:dyDescent="0.25">
      <c r="A954" s="168"/>
      <c r="B954" s="876"/>
      <c r="C954" s="161"/>
      <c r="D954" s="161"/>
      <c r="E954" s="161"/>
      <c r="F954" s="41"/>
      <c r="G954" s="161"/>
      <c r="H954" s="161"/>
      <c r="I954" s="166"/>
      <c r="J954" s="162"/>
      <c r="K954" s="161"/>
      <c r="L954" s="161"/>
      <c r="M954" s="169"/>
      <c r="N954" s="163" t="str">
        <f t="shared" si="18"/>
        <v/>
      </c>
      <c r="O954" s="41"/>
      <c r="P954" s="41"/>
      <c r="Q954" s="161" t="str">
        <f>+IF(OR(O954="Fire Control",O954="Fire Tex 5062",O954="Fire Tex 5090",O954="Fire Tex 5120"),'CALCULO PINTURA'!P955," ")</f>
        <v xml:space="preserve"> </v>
      </c>
      <c r="R954" s="164" t="str">
        <f>+IF(OR(O954="Fire Control",O954="Fire Tex 5062",O954="Fire Tex 5090",O954="Fire Tex 5120"),'CALCULO PINTURA'!R955," ")</f>
        <v xml:space="preserve"> </v>
      </c>
      <c r="S954" s="164" t="str">
        <f>+IF(OR(O954="Fire Control",O954="Fire Tex 5062",O954="Fire Tex 5090",O954="Fire Tex 5120"),'CALCULO PINTURA'!S955," ")</f>
        <v xml:space="preserve"> </v>
      </c>
      <c r="T954" s="874" t="str">
        <f>+IF(OR(O954="Blaze Shield II",O954="Cafco 400",O954="Cafco 300"),'CALCULO MORTERO'!N960," ")</f>
        <v xml:space="preserve"> </v>
      </c>
      <c r="U954" s="875" t="str">
        <f>+IF(OR(O954="Blaze Shield II",O954="Cafco 400",O954="Cafco 300"),'CALCULO MORTERO'!O960," ")</f>
        <v xml:space="preserve"> </v>
      </c>
      <c r="V954" s="161" t="str" cm="1">
        <f t="array" ref="V954">_xlfn.IFS(O954="Blaze Shield II",'CALCULO MORTERO'!P955, O954="Cafco 400",'CALCULO MORTERO'!Q955,O954="Cafco 300",'CALCULO MORTERO'!S955, AND(OR(O954="Fire tex 5090", O954="Fire Tex 5062", O954="Fire Tex 5120", O954="Fire Control"),Q954&gt;0), "CERT.",TRUE,"-")</f>
        <v>-</v>
      </c>
    </row>
    <row r="955" spans="1:22" x14ac:dyDescent="0.25">
      <c r="A955" s="168"/>
      <c r="B955" s="876"/>
      <c r="C955" s="161"/>
      <c r="D955" s="161"/>
      <c r="E955" s="161"/>
      <c r="F955" s="41"/>
      <c r="G955" s="161"/>
      <c r="H955" s="161"/>
      <c r="I955" s="166"/>
      <c r="J955" s="162"/>
      <c r="K955" s="161"/>
      <c r="L955" s="161"/>
      <c r="M955" s="169"/>
      <c r="N955" s="163" t="str">
        <f t="shared" si="18"/>
        <v/>
      </c>
      <c r="O955" s="41"/>
      <c r="P955" s="41"/>
      <c r="Q955" s="161" t="str">
        <f>+IF(OR(O955="Fire Control",O955="Fire Tex 5062",O955="Fire Tex 5090",O955="Fire Tex 5120"),'CALCULO PINTURA'!P956," ")</f>
        <v xml:space="preserve"> </v>
      </c>
      <c r="R955" s="164" t="str">
        <f>+IF(OR(O955="Fire Control",O955="Fire Tex 5062",O955="Fire Tex 5090",O955="Fire Tex 5120"),'CALCULO PINTURA'!R956," ")</f>
        <v xml:space="preserve"> </v>
      </c>
      <c r="S955" s="164" t="str">
        <f>+IF(OR(O955="Fire Control",O955="Fire Tex 5062",O955="Fire Tex 5090",O955="Fire Tex 5120"),'CALCULO PINTURA'!S956," ")</f>
        <v xml:space="preserve"> </v>
      </c>
      <c r="T955" s="874" t="str">
        <f>+IF(OR(O955="Blaze Shield II",O955="Cafco 400",O955="Cafco 300"),'CALCULO MORTERO'!N961," ")</f>
        <v xml:space="preserve"> </v>
      </c>
      <c r="U955" s="875" t="str">
        <f>+IF(OR(O955="Blaze Shield II",O955="Cafco 400",O955="Cafco 300"),'CALCULO MORTERO'!O961," ")</f>
        <v xml:space="preserve"> </v>
      </c>
      <c r="V955" s="161" t="str" cm="1">
        <f t="array" ref="V955">_xlfn.IFS(O955="Blaze Shield II",'CALCULO MORTERO'!P956, O955="Cafco 400",'CALCULO MORTERO'!Q956,O955="Cafco 300",'CALCULO MORTERO'!S956, AND(OR(O955="Fire tex 5090", O955="Fire Tex 5062", O955="Fire Tex 5120", O955="Fire Control"),Q955&gt;0), "CERT.",TRUE,"-")</f>
        <v>-</v>
      </c>
    </row>
    <row r="956" spans="1:22" x14ac:dyDescent="0.25">
      <c r="A956" s="168"/>
      <c r="B956" s="876"/>
      <c r="C956" s="161"/>
      <c r="D956" s="161"/>
      <c r="E956" s="161"/>
      <c r="F956" s="41"/>
      <c r="G956" s="161"/>
      <c r="H956" s="161"/>
      <c r="I956" s="166"/>
      <c r="J956" s="162"/>
      <c r="K956" s="161"/>
      <c r="L956" s="161"/>
      <c r="M956" s="169"/>
      <c r="N956" s="163" t="str">
        <f t="shared" si="18"/>
        <v/>
      </c>
      <c r="O956" s="41"/>
      <c r="P956" s="41"/>
      <c r="Q956" s="161" t="str">
        <f>+IF(OR(O956="Fire Control",O956="Fire Tex 5062",O956="Fire Tex 5090",O956="Fire Tex 5120"),'CALCULO PINTURA'!P957," ")</f>
        <v xml:space="preserve"> </v>
      </c>
      <c r="R956" s="164" t="str">
        <f>+IF(OR(O956="Fire Control",O956="Fire Tex 5062",O956="Fire Tex 5090",O956="Fire Tex 5120"),'CALCULO PINTURA'!R957," ")</f>
        <v xml:space="preserve"> </v>
      </c>
      <c r="S956" s="164" t="str">
        <f>+IF(OR(O956="Fire Control",O956="Fire Tex 5062",O956="Fire Tex 5090",O956="Fire Tex 5120"),'CALCULO PINTURA'!S957," ")</f>
        <v xml:space="preserve"> </v>
      </c>
      <c r="T956" s="874" t="str">
        <f>+IF(OR(O956="Blaze Shield II",O956="Cafco 400",O956="Cafco 300"),'CALCULO MORTERO'!N962," ")</f>
        <v xml:space="preserve"> </v>
      </c>
      <c r="U956" s="875" t="str">
        <f>+IF(OR(O956="Blaze Shield II",O956="Cafco 400",O956="Cafco 300"),'CALCULO MORTERO'!O962," ")</f>
        <v xml:space="preserve"> </v>
      </c>
      <c r="V956" s="161" t="str" cm="1">
        <f t="array" ref="V956">_xlfn.IFS(O956="Blaze Shield II",'CALCULO MORTERO'!P957, O956="Cafco 400",'CALCULO MORTERO'!Q957,O956="Cafco 300",'CALCULO MORTERO'!S957, AND(OR(O956="Fire tex 5090", O956="Fire Tex 5062", O956="Fire Tex 5120", O956="Fire Control"),Q956&gt;0), "CERT.",TRUE,"-")</f>
        <v>-</v>
      </c>
    </row>
    <row r="957" spans="1:22" x14ac:dyDescent="0.25">
      <c r="A957" s="168"/>
      <c r="B957" s="876"/>
      <c r="C957" s="161"/>
      <c r="D957" s="161"/>
      <c r="E957" s="161"/>
      <c r="F957" s="41"/>
      <c r="G957" s="161"/>
      <c r="H957" s="161"/>
      <c r="I957" s="166"/>
      <c r="J957" s="162"/>
      <c r="K957" s="161"/>
      <c r="L957" s="161"/>
      <c r="M957" s="169"/>
      <c r="N957" s="163" t="str">
        <f t="shared" si="18"/>
        <v/>
      </c>
      <c r="O957" s="41"/>
      <c r="P957" s="41"/>
      <c r="Q957" s="161" t="str">
        <f>+IF(OR(O957="Fire Control",O957="Fire Tex 5062",O957="Fire Tex 5090",O957="Fire Tex 5120"),'CALCULO PINTURA'!P958," ")</f>
        <v xml:space="preserve"> </v>
      </c>
      <c r="R957" s="164" t="str">
        <f>+IF(OR(O957="Fire Control",O957="Fire Tex 5062",O957="Fire Tex 5090",O957="Fire Tex 5120"),'CALCULO PINTURA'!R958," ")</f>
        <v xml:space="preserve"> </v>
      </c>
      <c r="S957" s="164" t="str">
        <f>+IF(OR(O957="Fire Control",O957="Fire Tex 5062",O957="Fire Tex 5090",O957="Fire Tex 5120"),'CALCULO PINTURA'!S958," ")</f>
        <v xml:space="preserve"> </v>
      </c>
      <c r="T957" s="874" t="str">
        <f>+IF(OR(O957="Blaze Shield II",O957="Cafco 400",O957="Cafco 300"),'CALCULO MORTERO'!N963," ")</f>
        <v xml:space="preserve"> </v>
      </c>
      <c r="U957" s="875" t="str">
        <f>+IF(OR(O957="Blaze Shield II",O957="Cafco 400",O957="Cafco 300"),'CALCULO MORTERO'!O963," ")</f>
        <v xml:space="preserve"> </v>
      </c>
      <c r="V957" s="161" t="str" cm="1">
        <f t="array" ref="V957">_xlfn.IFS(O957="Blaze Shield II",'CALCULO MORTERO'!P958, O957="Cafco 400",'CALCULO MORTERO'!Q958,O957="Cafco 300",'CALCULO MORTERO'!S958, AND(OR(O957="Fire tex 5090", O957="Fire Tex 5062", O957="Fire Tex 5120", O957="Fire Control"),Q957&gt;0), "CERT.",TRUE,"-")</f>
        <v>-</v>
      </c>
    </row>
    <row r="958" spans="1:22" x14ac:dyDescent="0.25">
      <c r="A958" s="168"/>
      <c r="B958" s="876"/>
      <c r="C958" s="161"/>
      <c r="D958" s="161"/>
      <c r="E958" s="161"/>
      <c r="F958" s="41"/>
      <c r="G958" s="161"/>
      <c r="H958" s="161"/>
      <c r="I958" s="166"/>
      <c r="J958" s="162"/>
      <c r="K958" s="161"/>
      <c r="L958" s="161"/>
      <c r="M958" s="169"/>
      <c r="N958" s="163" t="str">
        <f t="shared" si="18"/>
        <v/>
      </c>
      <c r="O958" s="41"/>
      <c r="P958" s="41"/>
      <c r="Q958" s="161" t="str">
        <f>+IF(OR(O958="Fire Control",O958="Fire Tex 5062",O958="Fire Tex 5090",O958="Fire Tex 5120"),'CALCULO PINTURA'!P959," ")</f>
        <v xml:space="preserve"> </v>
      </c>
      <c r="R958" s="164" t="str">
        <f>+IF(OR(O958="Fire Control",O958="Fire Tex 5062",O958="Fire Tex 5090",O958="Fire Tex 5120"),'CALCULO PINTURA'!R959," ")</f>
        <v xml:space="preserve"> </v>
      </c>
      <c r="S958" s="164" t="str">
        <f>+IF(OR(O958="Fire Control",O958="Fire Tex 5062",O958="Fire Tex 5090",O958="Fire Tex 5120"),'CALCULO PINTURA'!S959," ")</f>
        <v xml:space="preserve"> </v>
      </c>
      <c r="T958" s="874" t="str">
        <f>+IF(OR(O958="Blaze Shield II",O958="Cafco 400",O958="Cafco 300"),'CALCULO MORTERO'!N964," ")</f>
        <v xml:space="preserve"> </v>
      </c>
      <c r="U958" s="875" t="str">
        <f>+IF(OR(O958="Blaze Shield II",O958="Cafco 400",O958="Cafco 300"),'CALCULO MORTERO'!O964," ")</f>
        <v xml:space="preserve"> </v>
      </c>
      <c r="V958" s="161" t="str" cm="1">
        <f t="array" ref="V958">_xlfn.IFS(O958="Blaze Shield II",'CALCULO MORTERO'!P959, O958="Cafco 400",'CALCULO MORTERO'!Q959,O958="Cafco 300",'CALCULO MORTERO'!S959, AND(OR(O958="Fire tex 5090", O958="Fire Tex 5062", O958="Fire Tex 5120", O958="Fire Control"),Q958&gt;0), "CERT.",TRUE,"-")</f>
        <v>-</v>
      </c>
    </row>
    <row r="959" spans="1:22" x14ac:dyDescent="0.25">
      <c r="A959" s="168"/>
      <c r="B959" s="862"/>
      <c r="C959" s="161"/>
      <c r="D959" s="161"/>
      <c r="E959" s="41"/>
      <c r="F959" s="41"/>
      <c r="G959" s="161"/>
      <c r="H959" s="161"/>
      <c r="I959" s="166"/>
      <c r="J959" s="162"/>
      <c r="K959" s="161"/>
      <c r="L959" s="161"/>
      <c r="M959" s="169"/>
      <c r="N959" s="163" t="str">
        <f t="shared" si="18"/>
        <v/>
      </c>
      <c r="O959" s="41"/>
      <c r="P959" s="41"/>
      <c r="Q959" s="161" t="str">
        <f>+IF(OR(O959="Fire Control",O959="Fire Tex 5062",O959="Fire Tex 5090",O959="Fire Tex 5120"),'CALCULO PINTURA'!P300," ")</f>
        <v xml:space="preserve"> </v>
      </c>
      <c r="R959" s="164" t="str">
        <f>+IF(OR(O959="Fire Control",O959="Fire Tex 5062",O959="Fire Tex 5090",O959="Fire Tex 5120"),'CALCULO PINTURA'!R300," ")</f>
        <v xml:space="preserve"> </v>
      </c>
      <c r="S959" s="164" t="str">
        <f>+IF(OR(O959="Fire Control",O959="Fire Tex 5062",O959="Fire Tex 5090",O959="Fire Tex 5120"),'CALCULO PINTURA'!S300," ")</f>
        <v xml:space="preserve"> </v>
      </c>
      <c r="T959" s="874" t="str">
        <f>+IF(OR(O959="Blaze Shield II",O959="Cafco 400",O959="Cafco 300"),'CALCULO MORTERO'!N305," ")</f>
        <v xml:space="preserve"> </v>
      </c>
      <c r="U959" s="875" t="str">
        <f>+IF(OR(O959="Blaze Shield II",O959="Cafco 400",O959="Cafco 300"),'CALCULO MORTERO'!O305," ")</f>
        <v xml:space="preserve"> </v>
      </c>
      <c r="V959" s="161" t="str" cm="1">
        <f t="array" ref="V959">_xlfn.IFS(O959="Blaze Shield II",'CALCULO MORTERO'!P960, O959="Cafco 400",'CALCULO MORTERO'!Q960,O959="Cafco 300",'CALCULO MORTERO'!S960, AND(OR(O959="Fire tex 5090", O959="Fire Tex 5062", O959="Fire Tex 5120", O959="Fire Control"),Q959&gt;0), "CERT.",TRUE,"-")</f>
        <v>-</v>
      </c>
    </row>
    <row r="960" spans="1:22" x14ac:dyDescent="0.25">
      <c r="A960" s="168"/>
      <c r="B960" s="876"/>
      <c r="C960" s="161"/>
      <c r="D960" s="161"/>
      <c r="E960" s="161"/>
      <c r="F960" s="41"/>
      <c r="G960" s="161"/>
      <c r="H960" s="161"/>
      <c r="I960" s="166"/>
      <c r="J960" s="162"/>
      <c r="K960" s="161"/>
      <c r="L960" s="161"/>
      <c r="M960" s="169"/>
      <c r="N960" s="163" t="str">
        <f t="shared" si="18"/>
        <v/>
      </c>
      <c r="O960" s="41"/>
      <c r="P960" s="41"/>
      <c r="Q960" s="161" t="str">
        <f>+IF(OR(O960="Fire Control",O960="Fire Tex 5062",O960="Fire Tex 5090",O960="Fire Tex 5120"),'CALCULO PINTURA'!P961," ")</f>
        <v xml:space="preserve"> </v>
      </c>
      <c r="R960" s="164" t="str">
        <f>+IF(OR(O960="Fire Control",O960="Fire Tex 5062",O960="Fire Tex 5090",O960="Fire Tex 5120"),'CALCULO PINTURA'!R961," ")</f>
        <v xml:space="preserve"> </v>
      </c>
      <c r="S960" s="164" t="str">
        <f>+IF(OR(O960="Fire Control",O960="Fire Tex 5062",O960="Fire Tex 5090",O960="Fire Tex 5120"),'CALCULO PINTURA'!S961," ")</f>
        <v xml:space="preserve"> </v>
      </c>
      <c r="T960" s="874" t="str">
        <f>+IF(OR(O960="Blaze Shield II",O960="Cafco 400",O960="Cafco 300"),'CALCULO MORTERO'!N966," ")</f>
        <v xml:space="preserve"> </v>
      </c>
      <c r="U960" s="875" t="str">
        <f>+IF(OR(O960="Blaze Shield II",O960="Cafco 400",O960="Cafco 300"),'CALCULO MORTERO'!O966," ")</f>
        <v xml:space="preserve"> </v>
      </c>
      <c r="V960" s="161" t="str" cm="1">
        <f t="array" ref="V960">_xlfn.IFS(O960="Blaze Shield II",'CALCULO MORTERO'!P961, O960="Cafco 400",'CALCULO MORTERO'!Q961,O960="Cafco 300",'CALCULO MORTERO'!S961, AND(OR(O960="Fire tex 5090", O960="Fire Tex 5062", O960="Fire Tex 5120", O960="Fire Control"),Q960&gt;0), "CERT.",TRUE,"-")</f>
        <v>-</v>
      </c>
    </row>
    <row r="961" spans="1:22" x14ac:dyDescent="0.25">
      <c r="A961" s="168"/>
      <c r="B961" s="876"/>
      <c r="C961" s="161"/>
      <c r="D961" s="161"/>
      <c r="E961" s="161"/>
      <c r="F961" s="41"/>
      <c r="G961" s="161"/>
      <c r="H961" s="161"/>
      <c r="I961" s="166"/>
      <c r="J961" s="162"/>
      <c r="K961" s="161"/>
      <c r="L961" s="161"/>
      <c r="M961" s="169"/>
      <c r="N961" s="163" t="str">
        <f t="shared" si="18"/>
        <v/>
      </c>
      <c r="O961" s="41"/>
      <c r="P961" s="41"/>
      <c r="Q961" s="161" t="str">
        <f>+IF(OR(O961="Fire Control",O961="Fire Tex 5062",O961="Fire Tex 5090",O961="Fire Tex 5120"),'CALCULO PINTURA'!P962," ")</f>
        <v xml:space="preserve"> </v>
      </c>
      <c r="R961" s="164" t="str">
        <f>+IF(OR(O961="Fire Control",O961="Fire Tex 5062",O961="Fire Tex 5090",O961="Fire Tex 5120"),'CALCULO PINTURA'!R962," ")</f>
        <v xml:space="preserve"> </v>
      </c>
      <c r="S961" s="164" t="str">
        <f>+IF(OR(O961="Fire Control",O961="Fire Tex 5062",O961="Fire Tex 5090",O961="Fire Tex 5120"),'CALCULO PINTURA'!S962," ")</f>
        <v xml:space="preserve"> </v>
      </c>
      <c r="T961" s="874" t="str">
        <f>+IF(OR(O961="Blaze Shield II",O961="Cafco 400",O961="Cafco 300"),'CALCULO MORTERO'!N967," ")</f>
        <v xml:space="preserve"> </v>
      </c>
      <c r="U961" s="875" t="str">
        <f>+IF(OR(O961="Blaze Shield II",O961="Cafco 400",O961="Cafco 300"),'CALCULO MORTERO'!O967," ")</f>
        <v xml:space="preserve"> </v>
      </c>
      <c r="V961" s="161" t="str" cm="1">
        <f t="array" ref="V961">_xlfn.IFS(O961="Blaze Shield II",'CALCULO MORTERO'!P962, O961="Cafco 400",'CALCULO MORTERO'!Q962,O961="Cafco 300",'CALCULO MORTERO'!S962, AND(OR(O961="Fire tex 5090", O961="Fire Tex 5062", O961="Fire Tex 5120", O961="Fire Control"),Q961&gt;0), "CERT.",TRUE,"-")</f>
        <v>-</v>
      </c>
    </row>
    <row r="962" spans="1:22" x14ac:dyDescent="0.25">
      <c r="A962" s="168"/>
      <c r="B962" s="876"/>
      <c r="C962" s="161"/>
      <c r="D962" s="161"/>
      <c r="E962" s="161"/>
      <c r="F962" s="41"/>
      <c r="G962" s="161"/>
      <c r="H962" s="161"/>
      <c r="I962" s="166"/>
      <c r="J962" s="162"/>
      <c r="K962" s="161"/>
      <c r="L962" s="161"/>
      <c r="M962" s="169"/>
      <c r="N962" s="163" t="str">
        <f t="shared" si="18"/>
        <v/>
      </c>
      <c r="O962" s="41"/>
      <c r="P962" s="41"/>
      <c r="Q962" s="161" t="str">
        <f>+IF(OR(O962="Fire Control",O962="Fire Tex 5062",O962="Fire Tex 5090",O962="Fire Tex 5120"),'CALCULO PINTURA'!P963," ")</f>
        <v xml:space="preserve"> </v>
      </c>
      <c r="R962" s="164" t="str">
        <f>+IF(OR(O962="Fire Control",O962="Fire Tex 5062",O962="Fire Tex 5090",O962="Fire Tex 5120"),'CALCULO PINTURA'!R963," ")</f>
        <v xml:space="preserve"> </v>
      </c>
      <c r="S962" s="164" t="str">
        <f>+IF(OR(O962="Fire Control",O962="Fire Tex 5062",O962="Fire Tex 5090",O962="Fire Tex 5120"),'CALCULO PINTURA'!S963," ")</f>
        <v xml:space="preserve"> </v>
      </c>
      <c r="T962" s="874" t="str">
        <f>+IF(OR(O962="Blaze Shield II",O962="Cafco 400",O962="Cafco 300"),'CALCULO MORTERO'!N968," ")</f>
        <v xml:space="preserve"> </v>
      </c>
      <c r="U962" s="875" t="str">
        <f>+IF(OR(O962="Blaze Shield II",O962="Cafco 400",O962="Cafco 300"),'CALCULO MORTERO'!O968," ")</f>
        <v xml:space="preserve"> </v>
      </c>
      <c r="V962" s="161" t="str" cm="1">
        <f t="array" ref="V962">_xlfn.IFS(O962="Blaze Shield II",'CALCULO MORTERO'!P963, O962="Cafco 400",'CALCULO MORTERO'!Q963,O962="Cafco 300",'CALCULO MORTERO'!S963, AND(OR(O962="Fire tex 5090", O962="Fire Tex 5062", O962="Fire Tex 5120", O962="Fire Control"),Q962&gt;0), "CERT.",TRUE,"-")</f>
        <v>-</v>
      </c>
    </row>
    <row r="963" spans="1:22" x14ac:dyDescent="0.25">
      <c r="A963" s="168"/>
      <c r="B963" s="876"/>
      <c r="C963" s="161"/>
      <c r="D963" s="161"/>
      <c r="E963" s="161"/>
      <c r="F963" s="41"/>
      <c r="G963" s="161"/>
      <c r="H963" s="161"/>
      <c r="I963" s="166"/>
      <c r="J963" s="162"/>
      <c r="K963" s="161"/>
      <c r="L963" s="161"/>
      <c r="M963" s="169"/>
      <c r="N963" s="163" t="str">
        <f t="shared" si="18"/>
        <v/>
      </c>
      <c r="O963" s="41"/>
      <c r="P963" s="41"/>
      <c r="Q963" s="161" t="str">
        <f>+IF(OR(O963="Fire Control",O963="Fire Tex 5062",O963="Fire Tex 5090",O963="Fire Tex 5120"),'CALCULO PINTURA'!P964," ")</f>
        <v xml:space="preserve"> </v>
      </c>
      <c r="R963" s="164" t="str">
        <f>+IF(OR(O963="Fire Control",O963="Fire Tex 5062",O963="Fire Tex 5090",O963="Fire Tex 5120"),'CALCULO PINTURA'!R964," ")</f>
        <v xml:space="preserve"> </v>
      </c>
      <c r="S963" s="164" t="str">
        <f>+IF(OR(O963="Fire Control",O963="Fire Tex 5062",O963="Fire Tex 5090",O963="Fire Tex 5120"),'CALCULO PINTURA'!S964," ")</f>
        <v xml:space="preserve"> </v>
      </c>
      <c r="T963" s="874" t="str">
        <f>+IF(OR(O963="Blaze Shield II",O963="Cafco 400",O963="Cafco 300"),'CALCULO MORTERO'!N969," ")</f>
        <v xml:space="preserve"> </v>
      </c>
      <c r="U963" s="875" t="str">
        <f>+IF(OR(O963="Blaze Shield II",O963="Cafco 400",O963="Cafco 300"),'CALCULO MORTERO'!O969," ")</f>
        <v xml:space="preserve"> </v>
      </c>
      <c r="V963" s="161" t="str" cm="1">
        <f t="array" ref="V963">_xlfn.IFS(O963="Blaze Shield II",'CALCULO MORTERO'!P964, O963="Cafco 400",'CALCULO MORTERO'!Q964,O963="Cafco 300",'CALCULO MORTERO'!S964, AND(OR(O963="Fire tex 5090", O963="Fire Tex 5062", O963="Fire Tex 5120", O963="Fire Control"),Q963&gt;0), "CERT.",TRUE,"-")</f>
        <v>-</v>
      </c>
    </row>
    <row r="964" spans="1:22" x14ac:dyDescent="0.25">
      <c r="A964" s="168"/>
      <c r="B964" s="876"/>
      <c r="C964" s="161"/>
      <c r="D964" s="161"/>
      <c r="E964" s="161"/>
      <c r="F964" s="41"/>
      <c r="G964" s="161"/>
      <c r="H964" s="161"/>
      <c r="I964" s="166"/>
      <c r="J964" s="162"/>
      <c r="K964" s="161"/>
      <c r="L964" s="161"/>
      <c r="M964" s="169"/>
      <c r="N964" s="163" t="str">
        <f t="shared" ref="N964:N1027" si="19">+IF(F964="","",(K964*I964*H964*G964)/1000000)</f>
        <v/>
      </c>
      <c r="O964" s="41"/>
      <c r="P964" s="41"/>
      <c r="Q964" s="161" t="str">
        <f>+IF(OR(O964="Fire Control",O964="Fire Tex 5062",O964="Fire Tex 5090",O964="Fire Tex 5120"),'CALCULO PINTURA'!P965," ")</f>
        <v xml:space="preserve"> </v>
      </c>
      <c r="R964" s="164" t="str">
        <f>+IF(OR(O964="Fire Control",O964="Fire Tex 5062",O964="Fire Tex 5090",O964="Fire Tex 5120"),'CALCULO PINTURA'!R965," ")</f>
        <v xml:space="preserve"> </v>
      </c>
      <c r="S964" s="164" t="str">
        <f>+IF(OR(O964="Fire Control",O964="Fire Tex 5062",O964="Fire Tex 5090",O964="Fire Tex 5120"),'CALCULO PINTURA'!S965," ")</f>
        <v xml:space="preserve"> </v>
      </c>
      <c r="T964" s="874" t="str">
        <f>+IF(OR(O964="Blaze Shield II",O964="Cafco 400",O964="Cafco 300"),'CALCULO MORTERO'!N970," ")</f>
        <v xml:space="preserve"> </v>
      </c>
      <c r="U964" s="875" t="str">
        <f>+IF(OR(O964="Blaze Shield II",O964="Cafco 400",O964="Cafco 300"),'CALCULO MORTERO'!O970," ")</f>
        <v xml:space="preserve"> </v>
      </c>
      <c r="V964" s="161" t="str" cm="1">
        <f t="array" ref="V964">_xlfn.IFS(O964="Blaze Shield II",'CALCULO MORTERO'!P965, O964="Cafco 400",'CALCULO MORTERO'!Q965,O964="Cafco 300",'CALCULO MORTERO'!S965, AND(OR(O964="Fire tex 5090", O964="Fire Tex 5062", O964="Fire Tex 5120", O964="Fire Control"),Q964&gt;0), "CERT.",TRUE,"-")</f>
        <v>-</v>
      </c>
    </row>
    <row r="965" spans="1:22" x14ac:dyDescent="0.25">
      <c r="A965" s="168"/>
      <c r="B965" s="862"/>
      <c r="C965" s="161"/>
      <c r="D965" s="161"/>
      <c r="E965" s="41"/>
      <c r="F965" s="41"/>
      <c r="G965" s="161"/>
      <c r="H965" s="161"/>
      <c r="I965" s="166"/>
      <c r="J965" s="162"/>
      <c r="K965" s="161"/>
      <c r="L965" s="161"/>
      <c r="M965" s="169"/>
      <c r="N965" s="163" t="str">
        <f t="shared" si="19"/>
        <v/>
      </c>
      <c r="O965" s="41"/>
      <c r="P965" s="41"/>
      <c r="Q965" s="161" t="str">
        <f>+IF(OR(O965="Fire Control",O965="Fire Tex 5062",O965="Fire Tex 5090",O965="Fire Tex 5120"),'CALCULO PINTURA'!P301," ")</f>
        <v xml:space="preserve"> </v>
      </c>
      <c r="R965" s="164" t="str">
        <f>+IF(OR(O965="Fire Control",O965="Fire Tex 5062",O965="Fire Tex 5090",O965="Fire Tex 5120"),'CALCULO PINTURA'!R301," ")</f>
        <v xml:space="preserve"> </v>
      </c>
      <c r="S965" s="164" t="str">
        <f>+IF(OR(O965="Fire Control",O965="Fire Tex 5062",O965="Fire Tex 5090",O965="Fire Tex 5120"),'CALCULO PINTURA'!S301," ")</f>
        <v xml:space="preserve"> </v>
      </c>
      <c r="T965" s="874" t="str">
        <f>+IF(OR(O965="Blaze Shield II",O965="Cafco 400",O965="Cafco 300"),'CALCULO MORTERO'!N306," ")</f>
        <v xml:space="preserve"> </v>
      </c>
      <c r="U965" s="875" t="str">
        <f>+IF(OR(O965="Blaze Shield II",O965="Cafco 400",O965="Cafco 300"),'CALCULO MORTERO'!O306," ")</f>
        <v xml:space="preserve"> </v>
      </c>
      <c r="V965" s="161" t="str" cm="1">
        <f t="array" ref="V965">_xlfn.IFS(O965="Blaze Shield II",'CALCULO MORTERO'!P966, O965="Cafco 400",'CALCULO MORTERO'!Q966,O965="Cafco 300",'CALCULO MORTERO'!S966, AND(OR(O965="Fire tex 5090", O965="Fire Tex 5062", O965="Fire Tex 5120", O965="Fire Control"),Q965&gt;0), "CERT.",TRUE,"-")</f>
        <v>-</v>
      </c>
    </row>
    <row r="966" spans="1:22" x14ac:dyDescent="0.25">
      <c r="A966" s="168"/>
      <c r="B966" s="862"/>
      <c r="C966" s="161"/>
      <c r="D966" s="161"/>
      <c r="E966" s="41"/>
      <c r="F966" s="41"/>
      <c r="G966" s="161"/>
      <c r="H966" s="161"/>
      <c r="I966" s="166"/>
      <c r="J966" s="162"/>
      <c r="K966" s="161"/>
      <c r="L966" s="161"/>
      <c r="M966" s="169"/>
      <c r="N966" s="163" t="str">
        <f t="shared" si="19"/>
        <v/>
      </c>
      <c r="O966" s="41"/>
      <c r="P966" s="41"/>
      <c r="Q966" s="161" t="str">
        <f>+IF(OR(O966="Fire Control",O966="Fire Tex 5062",O966="Fire Tex 5090",O966="Fire Tex 5120"),'CALCULO PINTURA'!P134," ")</f>
        <v xml:space="preserve"> </v>
      </c>
      <c r="R966" s="164" t="str">
        <f>+IF(OR(O966="Fire Control",O966="Fire Tex 5062",O966="Fire Tex 5090",O966="Fire Tex 5120"),'CALCULO PINTURA'!R134," ")</f>
        <v xml:space="preserve"> </v>
      </c>
      <c r="S966" s="164" t="str">
        <f>+IF(OR(O966="Fire Control",O966="Fire Tex 5062",O966="Fire Tex 5090",O966="Fire Tex 5120"),'CALCULO PINTURA'!S134," ")</f>
        <v xml:space="preserve"> </v>
      </c>
      <c r="T966" s="874" t="str">
        <f>+IF(OR(O966="Blaze Shield II",O966="Cafco 400",O966="Cafco 300"),'CALCULO MORTERO'!N139," ")</f>
        <v xml:space="preserve"> </v>
      </c>
      <c r="U966" s="875" t="str">
        <f>+IF(OR(O966="Blaze Shield II",O966="Cafco 400",O966="Cafco 300"),'CALCULO MORTERO'!O139," ")</f>
        <v xml:space="preserve"> </v>
      </c>
      <c r="V966" s="161" t="str" cm="1">
        <f t="array" ref="V966">_xlfn.IFS(O966="Blaze Shield II",'CALCULO MORTERO'!P967, O966="Cafco 400",'CALCULO MORTERO'!Q967,O966="Cafco 300",'CALCULO MORTERO'!S967, AND(OR(O966="Fire tex 5090", O966="Fire Tex 5062", O966="Fire Tex 5120", O966="Fire Control"),Q966&gt;0), "CERT.",TRUE,"-")</f>
        <v>-</v>
      </c>
    </row>
    <row r="967" spans="1:22" x14ac:dyDescent="0.25">
      <c r="A967" s="168"/>
      <c r="B967" s="876"/>
      <c r="C967" s="161"/>
      <c r="D967" s="161"/>
      <c r="E967" s="161"/>
      <c r="F967" s="41"/>
      <c r="G967" s="161"/>
      <c r="H967" s="161"/>
      <c r="I967" s="166"/>
      <c r="J967" s="162"/>
      <c r="K967" s="161"/>
      <c r="L967" s="161"/>
      <c r="M967" s="169"/>
      <c r="N967" s="163" t="str">
        <f t="shared" si="19"/>
        <v/>
      </c>
      <c r="O967" s="41"/>
      <c r="P967" s="41"/>
      <c r="Q967" s="161" t="str">
        <f>+IF(OR(O967="Fire Control",O967="Fire Tex 5062",O967="Fire Tex 5090",O967="Fire Tex 5120"),'CALCULO PINTURA'!P968," ")</f>
        <v xml:space="preserve"> </v>
      </c>
      <c r="R967" s="164" t="str">
        <f>+IF(OR(O967="Fire Control",O967="Fire Tex 5062",O967="Fire Tex 5090",O967="Fire Tex 5120"),'CALCULO PINTURA'!R968," ")</f>
        <v xml:space="preserve"> </v>
      </c>
      <c r="S967" s="164" t="str">
        <f>+IF(OR(O967="Fire Control",O967="Fire Tex 5062",O967="Fire Tex 5090",O967="Fire Tex 5120"),'CALCULO PINTURA'!S968," ")</f>
        <v xml:space="preserve"> </v>
      </c>
      <c r="T967" s="874" t="str">
        <f>+IF(OR(O967="Blaze Shield II",O967="Cafco 400",O967="Cafco 300"),'CALCULO MORTERO'!N973," ")</f>
        <v xml:space="preserve"> </v>
      </c>
      <c r="U967" s="875" t="str">
        <f>+IF(OR(O967="Blaze Shield II",O967="Cafco 400",O967="Cafco 300"),'CALCULO MORTERO'!O973," ")</f>
        <v xml:space="preserve"> </v>
      </c>
      <c r="V967" s="161" t="str" cm="1">
        <f t="array" ref="V967">_xlfn.IFS(O967="Blaze Shield II",'CALCULO MORTERO'!P968, O967="Cafco 400",'CALCULO MORTERO'!Q968,O967="Cafco 300",'CALCULO MORTERO'!S968, AND(OR(O967="Fire tex 5090", O967="Fire Tex 5062", O967="Fire Tex 5120", O967="Fire Control"),Q967&gt;0), "CERT.",TRUE,"-")</f>
        <v>-</v>
      </c>
    </row>
    <row r="968" spans="1:22" x14ac:dyDescent="0.25">
      <c r="A968" s="168"/>
      <c r="B968" s="876"/>
      <c r="C968" s="161"/>
      <c r="D968" s="161"/>
      <c r="E968" s="161"/>
      <c r="F968" s="41"/>
      <c r="G968" s="161"/>
      <c r="H968" s="161"/>
      <c r="I968" s="166"/>
      <c r="J968" s="162"/>
      <c r="K968" s="161"/>
      <c r="L968" s="161"/>
      <c r="M968" s="169"/>
      <c r="N968" s="163" t="str">
        <f t="shared" si="19"/>
        <v/>
      </c>
      <c r="O968" s="41"/>
      <c r="P968" s="41"/>
      <c r="Q968" s="161" t="str">
        <f>+IF(OR(O968="Fire Control",O968="Fire Tex 5062",O968="Fire Tex 5090",O968="Fire Tex 5120"),'CALCULO PINTURA'!P969," ")</f>
        <v xml:space="preserve"> </v>
      </c>
      <c r="R968" s="164" t="str">
        <f>+IF(OR(O968="Fire Control",O968="Fire Tex 5062",O968="Fire Tex 5090",O968="Fire Tex 5120"),'CALCULO PINTURA'!R969," ")</f>
        <v xml:space="preserve"> </v>
      </c>
      <c r="S968" s="164" t="str">
        <f>+IF(OR(O968="Fire Control",O968="Fire Tex 5062",O968="Fire Tex 5090",O968="Fire Tex 5120"),'CALCULO PINTURA'!S969," ")</f>
        <v xml:space="preserve"> </v>
      </c>
      <c r="T968" s="874" t="str">
        <f>+IF(OR(O968="Blaze Shield II",O968="Cafco 400",O968="Cafco 300"),'CALCULO MORTERO'!N974," ")</f>
        <v xml:space="preserve"> </v>
      </c>
      <c r="U968" s="875" t="str">
        <f>+IF(OR(O968="Blaze Shield II",O968="Cafco 400",O968="Cafco 300"),'CALCULO MORTERO'!O974," ")</f>
        <v xml:space="preserve"> </v>
      </c>
      <c r="V968" s="161" t="str" cm="1">
        <f t="array" ref="V968">_xlfn.IFS(O968="Blaze Shield II",'CALCULO MORTERO'!P969, O968="Cafco 400",'CALCULO MORTERO'!Q969,O968="Cafco 300",'CALCULO MORTERO'!S969, AND(OR(O968="Fire tex 5090", O968="Fire Tex 5062", O968="Fire Tex 5120", O968="Fire Control"),Q968&gt;0), "CERT.",TRUE,"-")</f>
        <v>-</v>
      </c>
    </row>
    <row r="969" spans="1:22" x14ac:dyDescent="0.25">
      <c r="A969" s="168"/>
      <c r="B969" s="876"/>
      <c r="C969" s="161"/>
      <c r="D969" s="161"/>
      <c r="E969" s="161"/>
      <c r="F969" s="41"/>
      <c r="G969" s="161"/>
      <c r="H969" s="161"/>
      <c r="I969" s="166"/>
      <c r="J969" s="162"/>
      <c r="K969" s="161"/>
      <c r="L969" s="161"/>
      <c r="M969" s="169"/>
      <c r="N969" s="163" t="str">
        <f t="shared" si="19"/>
        <v/>
      </c>
      <c r="O969" s="41"/>
      <c r="P969" s="41"/>
      <c r="Q969" s="161" t="str">
        <f>+IF(OR(O969="Fire Control",O969="Fire Tex 5062",O969="Fire Tex 5090",O969="Fire Tex 5120"),'CALCULO PINTURA'!P970," ")</f>
        <v xml:space="preserve"> </v>
      </c>
      <c r="R969" s="164" t="str">
        <f>+IF(OR(O969="Fire Control",O969="Fire Tex 5062",O969="Fire Tex 5090",O969="Fire Tex 5120"),'CALCULO PINTURA'!R970," ")</f>
        <v xml:space="preserve"> </v>
      </c>
      <c r="S969" s="164" t="str">
        <f>+IF(OR(O969="Fire Control",O969="Fire Tex 5062",O969="Fire Tex 5090",O969="Fire Tex 5120"),'CALCULO PINTURA'!S970," ")</f>
        <v xml:space="preserve"> </v>
      </c>
      <c r="T969" s="874" t="str">
        <f>+IF(OR(O969="Blaze Shield II",O969="Cafco 400",O969="Cafco 300"),'CALCULO MORTERO'!N975," ")</f>
        <v xml:space="preserve"> </v>
      </c>
      <c r="U969" s="875" t="str">
        <f>+IF(OR(O969="Blaze Shield II",O969="Cafco 400",O969="Cafco 300"),'CALCULO MORTERO'!O975," ")</f>
        <v xml:space="preserve"> </v>
      </c>
      <c r="V969" s="161" t="str" cm="1">
        <f t="array" ref="V969">_xlfn.IFS(O969="Blaze Shield II",'CALCULO MORTERO'!P970, O969="Cafco 400",'CALCULO MORTERO'!Q970,O969="Cafco 300",'CALCULO MORTERO'!S970, AND(OR(O969="Fire tex 5090", O969="Fire Tex 5062", O969="Fire Tex 5120", O969="Fire Control"),Q969&gt;0), "CERT.",TRUE,"-")</f>
        <v>-</v>
      </c>
    </row>
    <row r="970" spans="1:22" x14ac:dyDescent="0.25">
      <c r="A970" s="168"/>
      <c r="B970" s="876"/>
      <c r="C970" s="161"/>
      <c r="D970" s="161"/>
      <c r="E970" s="161"/>
      <c r="F970" s="41"/>
      <c r="G970" s="161"/>
      <c r="H970" s="161"/>
      <c r="I970" s="166"/>
      <c r="J970" s="162"/>
      <c r="K970" s="161"/>
      <c r="L970" s="161"/>
      <c r="M970" s="169"/>
      <c r="N970" s="163" t="str">
        <f t="shared" si="19"/>
        <v/>
      </c>
      <c r="O970" s="41"/>
      <c r="P970" s="41"/>
      <c r="Q970" s="161" t="str">
        <f>+IF(OR(O970="Fire Control",O970="Fire Tex 5062",O970="Fire Tex 5090",O970="Fire Tex 5120"),'CALCULO PINTURA'!P971," ")</f>
        <v xml:space="preserve"> </v>
      </c>
      <c r="R970" s="164" t="str">
        <f>+IF(OR(O970="Fire Control",O970="Fire Tex 5062",O970="Fire Tex 5090",O970="Fire Tex 5120"),'CALCULO PINTURA'!R971," ")</f>
        <v xml:space="preserve"> </v>
      </c>
      <c r="S970" s="164" t="str">
        <f>+IF(OR(O970="Fire Control",O970="Fire Tex 5062",O970="Fire Tex 5090",O970="Fire Tex 5120"),'CALCULO PINTURA'!S971," ")</f>
        <v xml:space="preserve"> </v>
      </c>
      <c r="T970" s="874" t="str">
        <f>+IF(OR(O970="Blaze Shield II",O970="Cafco 400",O970="Cafco 300"),'CALCULO MORTERO'!N976," ")</f>
        <v xml:space="preserve"> </v>
      </c>
      <c r="U970" s="875" t="str">
        <f>+IF(OR(O970="Blaze Shield II",O970="Cafco 400",O970="Cafco 300"),'CALCULO MORTERO'!O976," ")</f>
        <v xml:space="preserve"> </v>
      </c>
      <c r="V970" s="161" t="str" cm="1">
        <f t="array" ref="V970">_xlfn.IFS(O970="Blaze Shield II",'CALCULO MORTERO'!P971, O970="Cafco 400",'CALCULO MORTERO'!Q971,O970="Cafco 300",'CALCULO MORTERO'!S971, AND(OR(O970="Fire tex 5090", O970="Fire Tex 5062", O970="Fire Tex 5120", O970="Fire Control"),Q970&gt;0), "CERT.",TRUE,"-")</f>
        <v>-</v>
      </c>
    </row>
    <row r="971" spans="1:22" x14ac:dyDescent="0.25">
      <c r="A971" s="168"/>
      <c r="B971" s="862"/>
      <c r="C971" s="161"/>
      <c r="D971" s="161"/>
      <c r="E971" s="41"/>
      <c r="F971" s="41"/>
      <c r="G971" s="161"/>
      <c r="H971" s="161"/>
      <c r="I971" s="166"/>
      <c r="J971" s="162"/>
      <c r="K971" s="161"/>
      <c r="L971" s="161"/>
      <c r="M971" s="169"/>
      <c r="N971" s="163" t="str">
        <f t="shared" si="19"/>
        <v/>
      </c>
      <c r="O971" s="41"/>
      <c r="P971" s="41"/>
      <c r="Q971" s="161" t="str">
        <f>+IF(OR(O971="Fire Control",O971="Fire Tex 5062",O971="Fire Tex 5090",O971="Fire Tex 5120"),'CALCULO PINTURA'!P135," ")</f>
        <v xml:space="preserve"> </v>
      </c>
      <c r="R971" s="164" t="str">
        <f>+IF(OR(O971="Fire Control",O971="Fire Tex 5062",O971="Fire Tex 5090",O971="Fire Tex 5120"),'CALCULO PINTURA'!R135," ")</f>
        <v xml:space="preserve"> </v>
      </c>
      <c r="S971" s="164" t="str">
        <f>+IF(OR(O971="Fire Control",O971="Fire Tex 5062",O971="Fire Tex 5090",O971="Fire Tex 5120"),'CALCULO PINTURA'!S135," ")</f>
        <v xml:space="preserve"> </v>
      </c>
      <c r="T971" s="874" t="str">
        <f>+IF(OR(O971="Blaze Shield II",O971="Cafco 400",O971="Cafco 300"),'CALCULO MORTERO'!N140," ")</f>
        <v xml:space="preserve"> </v>
      </c>
      <c r="U971" s="875" t="str">
        <f>+IF(OR(O971="Blaze Shield II",O971="Cafco 400",O971="Cafco 300"),'CALCULO MORTERO'!O140," ")</f>
        <v xml:space="preserve"> </v>
      </c>
      <c r="V971" s="161" t="str" cm="1">
        <f t="array" ref="V971">_xlfn.IFS(O971="Blaze Shield II",'CALCULO MORTERO'!P972, O971="Cafco 400",'CALCULO MORTERO'!Q972,O971="Cafco 300",'CALCULO MORTERO'!S972, AND(OR(O971="Fire tex 5090", O971="Fire Tex 5062", O971="Fire Tex 5120", O971="Fire Control"),Q971&gt;0), "CERT.",TRUE,"-")</f>
        <v>-</v>
      </c>
    </row>
    <row r="972" spans="1:22" x14ac:dyDescent="0.25">
      <c r="A972" s="168"/>
      <c r="B972" s="862"/>
      <c r="C972" s="161"/>
      <c r="D972" s="161"/>
      <c r="E972" s="41"/>
      <c r="F972" s="41"/>
      <c r="G972" s="161"/>
      <c r="H972" s="161"/>
      <c r="I972" s="166"/>
      <c r="J972" s="162"/>
      <c r="K972" s="161"/>
      <c r="L972" s="161"/>
      <c r="M972" s="169"/>
      <c r="N972" s="163" t="str">
        <f t="shared" si="19"/>
        <v/>
      </c>
      <c r="O972" s="41"/>
      <c r="P972" s="41"/>
      <c r="Q972" s="161" t="str">
        <f>+IF(OR(O972="Fire Control",O972="Fire Tex 5062",O972="Fire Tex 5090",O972="Fire Tex 5120"),'CALCULO PINTURA'!P136," ")</f>
        <v xml:space="preserve"> </v>
      </c>
      <c r="R972" s="164" t="str">
        <f>+IF(OR(O972="Fire Control",O972="Fire Tex 5062",O972="Fire Tex 5090",O972="Fire Tex 5120"),'CALCULO PINTURA'!R136," ")</f>
        <v xml:space="preserve"> </v>
      </c>
      <c r="S972" s="164" t="str">
        <f>+IF(OR(O972="Fire Control",O972="Fire Tex 5062",O972="Fire Tex 5090",O972="Fire Tex 5120"),'CALCULO PINTURA'!S136," ")</f>
        <v xml:space="preserve"> </v>
      </c>
      <c r="T972" s="874" t="str">
        <f>+IF(OR(O972="Blaze Shield II",O972="Cafco 400",O972="Cafco 300"),'CALCULO MORTERO'!N141," ")</f>
        <v xml:space="preserve"> </v>
      </c>
      <c r="U972" s="875" t="str">
        <f>+IF(OR(O972="Blaze Shield II",O972="Cafco 400",O972="Cafco 300"),'CALCULO MORTERO'!O141," ")</f>
        <v xml:space="preserve"> </v>
      </c>
      <c r="V972" s="161" t="str" cm="1">
        <f t="array" ref="V972">_xlfn.IFS(O972="Blaze Shield II",'CALCULO MORTERO'!P973, O972="Cafco 400",'CALCULO MORTERO'!Q973,O972="Cafco 300",'CALCULO MORTERO'!S973, AND(OR(O972="Fire tex 5090", O972="Fire Tex 5062", O972="Fire Tex 5120", O972="Fire Control"),Q972&gt;0), "CERT.",TRUE,"-")</f>
        <v>-</v>
      </c>
    </row>
    <row r="973" spans="1:22" x14ac:dyDescent="0.25">
      <c r="A973" s="168"/>
      <c r="B973" s="862"/>
      <c r="C973" s="161"/>
      <c r="D973" s="161"/>
      <c r="E973" s="41"/>
      <c r="F973" s="41"/>
      <c r="G973" s="161"/>
      <c r="H973" s="161"/>
      <c r="I973" s="166"/>
      <c r="J973" s="162"/>
      <c r="K973" s="161"/>
      <c r="L973" s="161"/>
      <c r="M973" s="169"/>
      <c r="N973" s="163" t="str">
        <f t="shared" si="19"/>
        <v/>
      </c>
      <c r="O973" s="41"/>
      <c r="P973" s="41"/>
      <c r="Q973" s="161" t="str">
        <f>+IF(OR(O973="Fire Control",O973="Fire Tex 5062",O973="Fire Tex 5090",O973="Fire Tex 5120"),'CALCULO PINTURA'!P137," ")</f>
        <v xml:space="preserve"> </v>
      </c>
      <c r="R973" s="164" t="str">
        <f>+IF(OR(O973="Fire Control",O973="Fire Tex 5062",O973="Fire Tex 5090",O973="Fire Tex 5120"),'CALCULO PINTURA'!R137," ")</f>
        <v xml:space="preserve"> </v>
      </c>
      <c r="S973" s="164" t="str">
        <f>+IF(OR(O973="Fire Control",O973="Fire Tex 5062",O973="Fire Tex 5090",O973="Fire Tex 5120"),'CALCULO PINTURA'!S137," ")</f>
        <v xml:space="preserve"> </v>
      </c>
      <c r="T973" s="874" t="str">
        <f>+IF(OR(O973="Blaze Shield II",O973="Cafco 400",O973="Cafco 300"),'CALCULO MORTERO'!N142," ")</f>
        <v xml:space="preserve"> </v>
      </c>
      <c r="U973" s="875" t="str">
        <f>+IF(OR(O973="Blaze Shield II",O973="Cafco 400",O973="Cafco 300"),'CALCULO MORTERO'!O142," ")</f>
        <v xml:space="preserve"> </v>
      </c>
      <c r="V973" s="161" t="str" cm="1">
        <f t="array" ref="V973">_xlfn.IFS(O973="Blaze Shield II",'CALCULO MORTERO'!P974, O973="Cafco 400",'CALCULO MORTERO'!Q974,O973="Cafco 300",'CALCULO MORTERO'!S974, AND(OR(O973="Fire tex 5090", O973="Fire Tex 5062", O973="Fire Tex 5120", O973="Fire Control"),Q973&gt;0), "CERT.",TRUE,"-")</f>
        <v>-</v>
      </c>
    </row>
    <row r="974" spans="1:22" x14ac:dyDescent="0.25">
      <c r="A974" s="168"/>
      <c r="B974" s="862"/>
      <c r="C974" s="161"/>
      <c r="D974" s="161"/>
      <c r="E974" s="41"/>
      <c r="F974" s="41"/>
      <c r="G974" s="161"/>
      <c r="H974" s="161"/>
      <c r="I974" s="166"/>
      <c r="J974" s="162"/>
      <c r="K974" s="161"/>
      <c r="L974" s="161"/>
      <c r="M974" s="169"/>
      <c r="N974" s="163" t="str">
        <f t="shared" si="19"/>
        <v/>
      </c>
      <c r="O974" s="41"/>
      <c r="P974" s="41"/>
      <c r="Q974" s="161" t="str">
        <f>+IF(OR(O974="Fire Control",O974="Fire Tex 5062",O974="Fire Tex 5090",O974="Fire Tex 5120"),'CALCULO PINTURA'!P139," ")</f>
        <v xml:space="preserve"> </v>
      </c>
      <c r="R974" s="164" t="str">
        <f>+IF(OR(O974="Fire Control",O974="Fire Tex 5062",O974="Fire Tex 5090",O974="Fire Tex 5120"),'CALCULO PINTURA'!R139," ")</f>
        <v xml:space="preserve"> </v>
      </c>
      <c r="S974" s="164" t="str">
        <f>+IF(OR(O974="Fire Control",O974="Fire Tex 5062",O974="Fire Tex 5090",O974="Fire Tex 5120"),'CALCULO PINTURA'!S139," ")</f>
        <v xml:space="preserve"> </v>
      </c>
      <c r="T974" s="874" t="str">
        <f>+IF(OR(O974="Blaze Shield II",O974="Cafco 400",O974="Cafco 300"),'CALCULO MORTERO'!N144," ")</f>
        <v xml:space="preserve"> </v>
      </c>
      <c r="U974" s="875" t="str">
        <f>+IF(OR(O974="Blaze Shield II",O974="Cafco 400",O974="Cafco 300"),'CALCULO MORTERO'!O144," ")</f>
        <v xml:space="preserve"> </v>
      </c>
      <c r="V974" s="161" t="str" cm="1">
        <f t="array" ref="V974">_xlfn.IFS(O974="Blaze Shield II",'CALCULO MORTERO'!P975, O974="Cafco 400",'CALCULO MORTERO'!Q975,O974="Cafco 300",'CALCULO MORTERO'!S975, AND(OR(O974="Fire tex 5090", O974="Fire Tex 5062", O974="Fire Tex 5120", O974="Fire Control"),Q974&gt;0), "CERT.",TRUE,"-")</f>
        <v>-</v>
      </c>
    </row>
    <row r="975" spans="1:22" x14ac:dyDescent="0.25">
      <c r="A975" s="168"/>
      <c r="B975" s="862"/>
      <c r="C975" s="161"/>
      <c r="D975" s="161"/>
      <c r="E975" s="41"/>
      <c r="F975" s="41"/>
      <c r="G975" s="161"/>
      <c r="H975" s="161"/>
      <c r="I975" s="166"/>
      <c r="J975" s="162"/>
      <c r="K975" s="161"/>
      <c r="L975" s="161"/>
      <c r="M975" s="169"/>
      <c r="N975" s="163" t="str">
        <f t="shared" si="19"/>
        <v/>
      </c>
      <c r="O975" s="41"/>
      <c r="P975" s="41"/>
      <c r="Q975" s="161" t="str">
        <f>+IF(OR(O975="Fire Control",O975="Fire Tex 5062",O975="Fire Tex 5090",O975="Fire Tex 5120"),'CALCULO PINTURA'!P140," ")</f>
        <v xml:space="preserve"> </v>
      </c>
      <c r="R975" s="164" t="str">
        <f>+IF(OR(O975="Fire Control",O975="Fire Tex 5062",O975="Fire Tex 5090",O975="Fire Tex 5120"),'CALCULO PINTURA'!R140," ")</f>
        <v xml:space="preserve"> </v>
      </c>
      <c r="S975" s="164" t="str">
        <f>+IF(OR(O975="Fire Control",O975="Fire Tex 5062",O975="Fire Tex 5090",O975="Fire Tex 5120"),'CALCULO PINTURA'!S140," ")</f>
        <v xml:space="preserve"> </v>
      </c>
      <c r="T975" s="874" t="str">
        <f>+IF(OR(O975="Blaze Shield II",O975="Cafco 400",O975="Cafco 300"),'CALCULO MORTERO'!N145," ")</f>
        <v xml:space="preserve"> </v>
      </c>
      <c r="U975" s="875" t="str">
        <f>+IF(OR(O975="Blaze Shield II",O975="Cafco 400",O975="Cafco 300"),'CALCULO MORTERO'!O145," ")</f>
        <v xml:space="preserve"> </v>
      </c>
      <c r="V975" s="161" t="str" cm="1">
        <f t="array" ref="V975">_xlfn.IFS(O975="Blaze Shield II",'CALCULO MORTERO'!P976, O975="Cafco 400",'CALCULO MORTERO'!Q976,O975="Cafco 300",'CALCULO MORTERO'!S976, AND(OR(O975="Fire tex 5090", O975="Fire Tex 5062", O975="Fire Tex 5120", O975="Fire Control"),Q975&gt;0), "CERT.",TRUE,"-")</f>
        <v>-</v>
      </c>
    </row>
    <row r="976" spans="1:22" x14ac:dyDescent="0.25">
      <c r="A976" s="168"/>
      <c r="B976" s="862"/>
      <c r="C976" s="161"/>
      <c r="D976" s="161"/>
      <c r="E976" s="41"/>
      <c r="F976" s="41"/>
      <c r="G976" s="161"/>
      <c r="H976" s="161"/>
      <c r="I976" s="166"/>
      <c r="J976" s="162"/>
      <c r="K976" s="161"/>
      <c r="L976" s="161"/>
      <c r="M976" s="169"/>
      <c r="N976" s="163" t="str">
        <f t="shared" si="19"/>
        <v/>
      </c>
      <c r="O976" s="41"/>
      <c r="P976" s="41"/>
      <c r="Q976" s="161" t="str">
        <f>+IF(OR(O976="Fire Control",O976="Fire Tex 5062",O976="Fire Tex 5090",O976="Fire Tex 5120"),'CALCULO PINTURA'!P141," ")</f>
        <v xml:space="preserve"> </v>
      </c>
      <c r="R976" s="164" t="str">
        <f>+IF(OR(O976="Fire Control",O976="Fire Tex 5062",O976="Fire Tex 5090",O976="Fire Tex 5120"),'CALCULO PINTURA'!R141," ")</f>
        <v xml:space="preserve"> </v>
      </c>
      <c r="S976" s="164" t="str">
        <f>+IF(OR(O976="Fire Control",O976="Fire Tex 5062",O976="Fire Tex 5090",O976="Fire Tex 5120"),'CALCULO PINTURA'!S141," ")</f>
        <v xml:space="preserve"> </v>
      </c>
      <c r="T976" s="874" t="str">
        <f>+IF(OR(O976="Blaze Shield II",O976="Cafco 400",O976="Cafco 300"),'CALCULO MORTERO'!N146," ")</f>
        <v xml:space="preserve"> </v>
      </c>
      <c r="U976" s="875" t="str">
        <f>+IF(OR(O976="Blaze Shield II",O976="Cafco 400",O976="Cafco 300"),'CALCULO MORTERO'!O146," ")</f>
        <v xml:space="preserve"> </v>
      </c>
      <c r="V976" s="161" t="str" cm="1">
        <f t="array" ref="V976">_xlfn.IFS(O976="Blaze Shield II",'CALCULO MORTERO'!P977, O976="Cafco 400",'CALCULO MORTERO'!Q977,O976="Cafco 300",'CALCULO MORTERO'!S977, AND(OR(O976="Fire tex 5090", O976="Fire Tex 5062", O976="Fire Tex 5120", O976="Fire Control"),Q976&gt;0), "CERT.",TRUE,"-")</f>
        <v>-</v>
      </c>
    </row>
    <row r="977" spans="1:22" x14ac:dyDescent="0.25">
      <c r="A977" s="168"/>
      <c r="B977" s="862"/>
      <c r="C977" s="161"/>
      <c r="D977" s="161"/>
      <c r="E977" s="41"/>
      <c r="F977" s="41"/>
      <c r="G977" s="161"/>
      <c r="H977" s="161"/>
      <c r="I977" s="166"/>
      <c r="J977" s="162"/>
      <c r="K977" s="161"/>
      <c r="L977" s="161"/>
      <c r="M977" s="169"/>
      <c r="N977" s="163" t="str">
        <f t="shared" si="19"/>
        <v/>
      </c>
      <c r="O977" s="41"/>
      <c r="P977" s="41"/>
      <c r="Q977" s="161" t="str">
        <f>+IF(OR(O977="Fire Control",O977="Fire Tex 5062",O977="Fire Tex 5090",O977="Fire Tex 5120"),'CALCULO PINTURA'!P142," ")</f>
        <v xml:space="preserve"> </v>
      </c>
      <c r="R977" s="164" t="str">
        <f>+IF(OR(O977="Fire Control",O977="Fire Tex 5062",O977="Fire Tex 5090",O977="Fire Tex 5120"),'CALCULO PINTURA'!R142," ")</f>
        <v xml:space="preserve"> </v>
      </c>
      <c r="S977" s="164" t="str">
        <f>+IF(OR(O977="Fire Control",O977="Fire Tex 5062",O977="Fire Tex 5090",O977="Fire Tex 5120"),'CALCULO PINTURA'!S142," ")</f>
        <v xml:space="preserve"> </v>
      </c>
      <c r="T977" s="874" t="str">
        <f>+IF(OR(O977="Blaze Shield II",O977="Cafco 400",O977="Cafco 300"),'CALCULO MORTERO'!N147," ")</f>
        <v xml:space="preserve"> </v>
      </c>
      <c r="U977" s="875" t="str">
        <f>+IF(OR(O977="Blaze Shield II",O977="Cafco 400",O977="Cafco 300"),'CALCULO MORTERO'!O147," ")</f>
        <v xml:space="preserve"> </v>
      </c>
      <c r="V977" s="161" t="str" cm="1">
        <f t="array" ref="V977">_xlfn.IFS(O977="Blaze Shield II",'CALCULO MORTERO'!P978, O977="Cafco 400",'CALCULO MORTERO'!Q978,O977="Cafco 300",'CALCULO MORTERO'!S978, AND(OR(O977="Fire tex 5090", O977="Fire Tex 5062", O977="Fire Tex 5120", O977="Fire Control"),Q977&gt;0), "CERT.",TRUE,"-")</f>
        <v>-</v>
      </c>
    </row>
    <row r="978" spans="1:22" x14ac:dyDescent="0.25">
      <c r="A978" s="168"/>
      <c r="B978" s="876"/>
      <c r="C978" s="161"/>
      <c r="D978" s="161"/>
      <c r="E978" s="161"/>
      <c r="F978" s="41"/>
      <c r="G978" s="161"/>
      <c r="H978" s="161"/>
      <c r="I978" s="166"/>
      <c r="J978" s="162"/>
      <c r="K978" s="161"/>
      <c r="L978" s="161"/>
      <c r="M978" s="169"/>
      <c r="N978" s="163" t="str">
        <f t="shared" si="19"/>
        <v/>
      </c>
      <c r="O978" s="41"/>
      <c r="P978" s="41"/>
      <c r="Q978" s="161" t="str">
        <f>+IF(OR(O978="Fire Control",O978="Fire Tex 5062",O978="Fire Tex 5090",O978="Fire Tex 5120"),'CALCULO PINTURA'!P979," ")</f>
        <v xml:space="preserve"> </v>
      </c>
      <c r="R978" s="164" t="str">
        <f>+IF(OR(O978="Fire Control",O978="Fire Tex 5062",O978="Fire Tex 5090",O978="Fire Tex 5120"),'CALCULO PINTURA'!R979," ")</f>
        <v xml:space="preserve"> </v>
      </c>
      <c r="S978" s="164" t="str">
        <f>+IF(OR(O978="Fire Control",O978="Fire Tex 5062",O978="Fire Tex 5090",O978="Fire Tex 5120"),'CALCULO PINTURA'!S979," ")</f>
        <v xml:space="preserve"> </v>
      </c>
      <c r="T978" s="874" t="str">
        <f>+IF(OR(O978="Blaze Shield II",O978="Cafco 400",O978="Cafco 300"),'CALCULO MORTERO'!N984," ")</f>
        <v xml:space="preserve"> </v>
      </c>
      <c r="U978" s="875" t="str">
        <f>+IF(OR(O978="Blaze Shield II",O978="Cafco 400",O978="Cafco 300"),'CALCULO MORTERO'!O984," ")</f>
        <v xml:space="preserve"> </v>
      </c>
      <c r="V978" s="161" t="str" cm="1">
        <f t="array" ref="V978">_xlfn.IFS(O978="Blaze Shield II",'CALCULO MORTERO'!P979, O978="Cafco 400",'CALCULO MORTERO'!Q979,O978="Cafco 300",'CALCULO MORTERO'!S979, AND(OR(O978="Fire tex 5090", O978="Fire Tex 5062", O978="Fire Tex 5120", O978="Fire Control"),Q978&gt;0), "CERT.",TRUE,"-")</f>
        <v>-</v>
      </c>
    </row>
    <row r="979" spans="1:22" x14ac:dyDescent="0.25">
      <c r="A979" s="168"/>
      <c r="B979" s="862"/>
      <c r="C979" s="161"/>
      <c r="D979" s="161"/>
      <c r="E979" s="41"/>
      <c r="F979" s="41"/>
      <c r="G979" s="161"/>
      <c r="H979" s="161"/>
      <c r="I979" s="166"/>
      <c r="J979" s="162"/>
      <c r="K979" s="161"/>
      <c r="L979" s="161"/>
      <c r="M979" s="169"/>
      <c r="N979" s="163" t="str">
        <f t="shared" si="19"/>
        <v/>
      </c>
      <c r="O979" s="41"/>
      <c r="P979" s="41"/>
      <c r="Q979" s="161" t="str">
        <f>+IF(OR(O979="Fire Control",O979="Fire Tex 5062",O979="Fire Tex 5090",O979="Fire Tex 5120"),'CALCULO PINTURA'!P144," ")</f>
        <v xml:space="preserve"> </v>
      </c>
      <c r="R979" s="164" t="str">
        <f>+IF(OR(O979="Fire Control",O979="Fire Tex 5062",O979="Fire Tex 5090",O979="Fire Tex 5120"),'CALCULO PINTURA'!R144," ")</f>
        <v xml:space="preserve"> </v>
      </c>
      <c r="S979" s="164" t="str">
        <f>+IF(OR(O979="Fire Control",O979="Fire Tex 5062",O979="Fire Tex 5090",O979="Fire Tex 5120"),'CALCULO PINTURA'!S144," ")</f>
        <v xml:space="preserve"> </v>
      </c>
      <c r="T979" s="874" t="str">
        <f>+IF(OR(O979="Blaze Shield II",O979="Cafco 400",O979="Cafco 300"),'CALCULO MORTERO'!N149," ")</f>
        <v xml:space="preserve"> </v>
      </c>
      <c r="U979" s="875" t="str">
        <f>+IF(OR(O979="Blaze Shield II",O979="Cafco 400",O979="Cafco 300"),'CALCULO MORTERO'!O149," ")</f>
        <v xml:space="preserve"> </v>
      </c>
      <c r="V979" s="161" t="str" cm="1">
        <f t="array" ref="V979">_xlfn.IFS(O979="Blaze Shield II",'CALCULO MORTERO'!P980, O979="Cafco 400",'CALCULO MORTERO'!Q980,O979="Cafco 300",'CALCULO MORTERO'!S980, AND(OR(O979="Fire tex 5090", O979="Fire Tex 5062", O979="Fire Tex 5120", O979="Fire Control"),Q979&gt;0), "CERT.",TRUE,"-")</f>
        <v>-</v>
      </c>
    </row>
    <row r="980" spans="1:22" x14ac:dyDescent="0.25">
      <c r="A980" s="168"/>
      <c r="B980" s="862"/>
      <c r="C980" s="161"/>
      <c r="D980" s="161"/>
      <c r="E980" s="41"/>
      <c r="F980" s="41"/>
      <c r="G980" s="161"/>
      <c r="H980" s="161"/>
      <c r="I980" s="166"/>
      <c r="J980" s="162"/>
      <c r="K980" s="161"/>
      <c r="L980" s="161"/>
      <c r="M980" s="169"/>
      <c r="N980" s="163" t="str">
        <f t="shared" si="19"/>
        <v/>
      </c>
      <c r="O980" s="41"/>
      <c r="P980" s="41"/>
      <c r="Q980" s="161" t="str">
        <f>+IF(OR(O980="Fire Control",O980="Fire Tex 5062",O980="Fire Tex 5090",O980="Fire Tex 5120"),'CALCULO PINTURA'!P145," ")</f>
        <v xml:space="preserve"> </v>
      </c>
      <c r="R980" s="164" t="str">
        <f>+IF(OR(O980="Fire Control",O980="Fire Tex 5062",O980="Fire Tex 5090",O980="Fire Tex 5120"),'CALCULO PINTURA'!R145," ")</f>
        <v xml:space="preserve"> </v>
      </c>
      <c r="S980" s="164" t="str">
        <f>+IF(OR(O980="Fire Control",O980="Fire Tex 5062",O980="Fire Tex 5090",O980="Fire Tex 5120"),'CALCULO PINTURA'!S145," ")</f>
        <v xml:space="preserve"> </v>
      </c>
      <c r="T980" s="874" t="str">
        <f>+IF(OR(O980="Blaze Shield II",O980="Cafco 400",O980="Cafco 300"),'CALCULO MORTERO'!N150," ")</f>
        <v xml:space="preserve"> </v>
      </c>
      <c r="U980" s="875" t="str">
        <f>+IF(OR(O980="Blaze Shield II",O980="Cafco 400",O980="Cafco 300"),'CALCULO MORTERO'!O150," ")</f>
        <v xml:space="preserve"> </v>
      </c>
      <c r="V980" s="161" t="str" cm="1">
        <f t="array" ref="V980">_xlfn.IFS(O980="Blaze Shield II",'CALCULO MORTERO'!P981, O980="Cafco 400",'CALCULO MORTERO'!Q981,O980="Cafco 300",'CALCULO MORTERO'!S981, AND(OR(O980="Fire tex 5090", O980="Fire Tex 5062", O980="Fire Tex 5120", O980="Fire Control"),Q980&gt;0), "CERT.",TRUE,"-")</f>
        <v>-</v>
      </c>
    </row>
    <row r="981" spans="1:22" x14ac:dyDescent="0.25">
      <c r="A981" s="168"/>
      <c r="B981" s="862"/>
      <c r="C981" s="161"/>
      <c r="D981" s="161"/>
      <c r="E981" s="41"/>
      <c r="F981" s="41"/>
      <c r="G981" s="161"/>
      <c r="H981" s="161"/>
      <c r="I981" s="166"/>
      <c r="J981" s="162"/>
      <c r="K981" s="161"/>
      <c r="L981" s="161"/>
      <c r="M981" s="169"/>
      <c r="N981" s="163" t="str">
        <f t="shared" si="19"/>
        <v/>
      </c>
      <c r="O981" s="41"/>
      <c r="P981" s="41"/>
      <c r="Q981" s="161" t="str">
        <f>+IF(OR(O981="Fire Control",O981="Fire Tex 5062",O981="Fire Tex 5090",O981="Fire Tex 5120"),'CALCULO PINTURA'!P147," ")</f>
        <v xml:space="preserve"> </v>
      </c>
      <c r="R981" s="164" t="str">
        <f>+IF(OR(O981="Fire Control",O981="Fire Tex 5062",O981="Fire Tex 5090",O981="Fire Tex 5120"),'CALCULO PINTURA'!R147," ")</f>
        <v xml:space="preserve"> </v>
      </c>
      <c r="S981" s="164" t="str">
        <f>+IF(OR(O981="Fire Control",O981="Fire Tex 5062",O981="Fire Tex 5090",O981="Fire Tex 5120"),'CALCULO PINTURA'!S147," ")</f>
        <v xml:space="preserve"> </v>
      </c>
      <c r="T981" s="874" t="str">
        <f>+IF(OR(O981="Blaze Shield II",O981="Cafco 400",O981="Cafco 300"),'CALCULO MORTERO'!N152," ")</f>
        <v xml:space="preserve"> </v>
      </c>
      <c r="U981" s="875" t="str">
        <f>+IF(OR(O981="Blaze Shield II",O981="Cafco 400",O981="Cafco 300"),'CALCULO MORTERO'!O152," ")</f>
        <v xml:space="preserve"> </v>
      </c>
      <c r="V981" s="161" t="str" cm="1">
        <f t="array" ref="V981">_xlfn.IFS(O981="Blaze Shield II",'CALCULO MORTERO'!P982, O981="Cafco 400",'CALCULO MORTERO'!Q982,O981="Cafco 300",'CALCULO MORTERO'!S982, AND(OR(O981="Fire tex 5090", O981="Fire Tex 5062", O981="Fire Tex 5120", O981="Fire Control"),Q981&gt;0), "CERT.",TRUE,"-")</f>
        <v>-</v>
      </c>
    </row>
    <row r="982" spans="1:22" x14ac:dyDescent="0.25">
      <c r="A982" s="168"/>
      <c r="B982" s="862"/>
      <c r="C982" s="161"/>
      <c r="D982" s="161"/>
      <c r="E982" s="41"/>
      <c r="F982" s="41"/>
      <c r="G982" s="161"/>
      <c r="H982" s="161"/>
      <c r="I982" s="166"/>
      <c r="J982" s="162"/>
      <c r="K982" s="161"/>
      <c r="L982" s="161"/>
      <c r="M982" s="169"/>
      <c r="N982" s="163" t="str">
        <f t="shared" si="19"/>
        <v/>
      </c>
      <c r="O982" s="41"/>
      <c r="P982" s="41"/>
      <c r="Q982" s="161" t="str">
        <f>+IF(OR(O982="Fire Control",O982="Fire Tex 5062",O982="Fire Tex 5090",O982="Fire Tex 5120"),'CALCULO PINTURA'!P148," ")</f>
        <v xml:space="preserve"> </v>
      </c>
      <c r="R982" s="164" t="str">
        <f>+IF(OR(O982="Fire Control",O982="Fire Tex 5062",O982="Fire Tex 5090",O982="Fire Tex 5120"),'CALCULO PINTURA'!R148," ")</f>
        <v xml:space="preserve"> </v>
      </c>
      <c r="S982" s="164" t="str">
        <f>+IF(OR(O982="Fire Control",O982="Fire Tex 5062",O982="Fire Tex 5090",O982="Fire Tex 5120"),'CALCULO PINTURA'!S148," ")</f>
        <v xml:space="preserve"> </v>
      </c>
      <c r="T982" s="874" t="str">
        <f>+IF(OR(O982="Blaze Shield II",O982="Cafco 400",O982="Cafco 300"),'CALCULO MORTERO'!N153," ")</f>
        <v xml:space="preserve"> </v>
      </c>
      <c r="U982" s="875" t="str">
        <f>+IF(OR(O982="Blaze Shield II",O982="Cafco 400",O982="Cafco 300"),'CALCULO MORTERO'!O153," ")</f>
        <v xml:space="preserve"> </v>
      </c>
      <c r="V982" s="161" t="str" cm="1">
        <f t="array" ref="V982">_xlfn.IFS(O982="Blaze Shield II",'CALCULO MORTERO'!P983, O982="Cafco 400",'CALCULO MORTERO'!Q983,O982="Cafco 300",'CALCULO MORTERO'!S983, AND(OR(O982="Fire tex 5090", O982="Fire Tex 5062", O982="Fire Tex 5120", O982="Fire Control"),Q982&gt;0), "CERT.",TRUE,"-")</f>
        <v>-</v>
      </c>
    </row>
    <row r="983" spans="1:22" x14ac:dyDescent="0.25">
      <c r="A983" s="168"/>
      <c r="B983" s="862"/>
      <c r="C983" s="161"/>
      <c r="D983" s="161"/>
      <c r="E983" s="41"/>
      <c r="F983" s="41"/>
      <c r="G983" s="161"/>
      <c r="H983" s="161"/>
      <c r="I983" s="166"/>
      <c r="J983" s="162"/>
      <c r="K983" s="161"/>
      <c r="L983" s="161"/>
      <c r="M983" s="169"/>
      <c r="N983" s="163" t="str">
        <f t="shared" si="19"/>
        <v/>
      </c>
      <c r="O983" s="41"/>
      <c r="P983" s="41"/>
      <c r="Q983" s="161" t="str">
        <f>+IF(OR(O983="Fire Control",O983="Fire Tex 5062",O983="Fire Tex 5090",O983="Fire Tex 5120"),'CALCULO PINTURA'!P100," ")</f>
        <v xml:space="preserve"> </v>
      </c>
      <c r="R983" s="164" t="str">
        <f>+IF(OR(O983="Fire Control",O983="Fire Tex 5062",O983="Fire Tex 5090",O983="Fire Tex 5120"),'CALCULO PINTURA'!R100," ")</f>
        <v xml:space="preserve"> </v>
      </c>
      <c r="S983" s="164" t="str">
        <f>+IF(OR(O983="Fire Control",O983="Fire Tex 5062",O983="Fire Tex 5090",O983="Fire Tex 5120"),'CALCULO PINTURA'!S100," ")</f>
        <v xml:space="preserve"> </v>
      </c>
      <c r="T983" s="874" t="str">
        <f>+IF(OR(O983="Blaze Shield II",O983="Cafco 400",O983="Cafco 300"),'CALCULO MORTERO'!N100," ")</f>
        <v xml:space="preserve"> </v>
      </c>
      <c r="U983" s="875" t="str">
        <f>+IF(OR(O983="Blaze Shield II",O983="Cafco 400",O983="Cafco 300"),'CALCULO MORTERO'!O100," ")</f>
        <v xml:space="preserve"> </v>
      </c>
      <c r="V983" s="161" t="str" cm="1">
        <f t="array" ref="V983">_xlfn.IFS(O983="Blaze Shield II",'CALCULO MORTERO'!P984, O983="Cafco 400",'CALCULO MORTERO'!Q984,O983="Cafco 300",'CALCULO MORTERO'!S984, AND(OR(O983="Fire tex 5090", O983="Fire Tex 5062", O983="Fire Tex 5120", O983="Fire Control"),Q983&gt;0), "CERT.",TRUE,"-")</f>
        <v>-</v>
      </c>
    </row>
    <row r="984" spans="1:22" x14ac:dyDescent="0.25">
      <c r="A984" s="168"/>
      <c r="B984" s="862"/>
      <c r="C984" s="161"/>
      <c r="D984" s="161"/>
      <c r="E984" s="41"/>
      <c r="F984" s="41"/>
      <c r="G984" s="161"/>
      <c r="H984" s="161"/>
      <c r="I984" s="166"/>
      <c r="J984" s="162"/>
      <c r="K984" s="161"/>
      <c r="L984" s="161"/>
      <c r="M984" s="169"/>
      <c r="N984" s="163" t="str">
        <f t="shared" si="19"/>
        <v/>
      </c>
      <c r="O984" s="41"/>
      <c r="P984" s="41"/>
      <c r="Q984" s="161" t="str">
        <f>+IF(OR(O984="Fire Control",O984="Fire Tex 5062",O984="Fire Tex 5090",O984="Fire Tex 5120"),'CALCULO PINTURA'!P133," ")</f>
        <v xml:space="preserve"> </v>
      </c>
      <c r="R984" s="164" t="str">
        <f>+IF(OR(O984="Fire Control",O984="Fire Tex 5062",O984="Fire Tex 5090",O984="Fire Tex 5120"),'CALCULO PINTURA'!R133," ")</f>
        <v xml:space="preserve"> </v>
      </c>
      <c r="S984" s="164" t="str">
        <f>+IF(OR(O984="Fire Control",O984="Fire Tex 5062",O984="Fire Tex 5090",O984="Fire Tex 5120"),'CALCULO PINTURA'!S133," ")</f>
        <v xml:space="preserve"> </v>
      </c>
      <c r="T984" s="874" t="str">
        <f>+IF(OR(O984="Blaze Shield II",O984="Cafco 400",O984="Cafco 300"),'CALCULO MORTERO'!N138," ")</f>
        <v xml:space="preserve"> </v>
      </c>
      <c r="U984" s="875" t="str">
        <f>+IF(OR(O984="Blaze Shield II",O984="Cafco 400",O984="Cafco 300"),'CALCULO MORTERO'!O138," ")</f>
        <v xml:space="preserve"> </v>
      </c>
      <c r="V984" s="161" t="str" cm="1">
        <f t="array" ref="V984">_xlfn.IFS(O984="Blaze Shield II",'CALCULO MORTERO'!P985, O984="Cafco 400",'CALCULO MORTERO'!Q985,O984="Cafco 300",'CALCULO MORTERO'!S985, AND(OR(O984="Fire tex 5090", O984="Fire Tex 5062", O984="Fire Tex 5120", O984="Fire Control"),Q984&gt;0), "CERT.",TRUE,"-")</f>
        <v>-</v>
      </c>
    </row>
    <row r="985" spans="1:22" x14ac:dyDescent="0.25">
      <c r="A985" s="168"/>
      <c r="B985" s="862"/>
      <c r="C985" s="161"/>
      <c r="D985" s="161"/>
      <c r="E985" s="41"/>
      <c r="F985" s="41"/>
      <c r="G985" s="161"/>
      <c r="H985" s="161"/>
      <c r="I985" s="166"/>
      <c r="J985" s="162"/>
      <c r="K985" s="161"/>
      <c r="L985" s="161"/>
      <c r="M985" s="169"/>
      <c r="N985" s="163" t="str">
        <f t="shared" si="19"/>
        <v/>
      </c>
      <c r="O985" s="41"/>
      <c r="P985" s="41"/>
      <c r="Q985" s="161" t="str">
        <f>+IF(OR(O985="Fire Control",O985="Fire Tex 5062",O985="Fire Tex 5090",O985="Fire Tex 5120"),'CALCULO PINTURA'!P138," ")</f>
        <v xml:space="preserve"> </v>
      </c>
      <c r="R985" s="164" t="str">
        <f>+IF(OR(O985="Fire Control",O985="Fire Tex 5062",O985="Fire Tex 5090",O985="Fire Tex 5120"),'CALCULO PINTURA'!R138," ")</f>
        <v xml:space="preserve"> </v>
      </c>
      <c r="S985" s="164" t="str">
        <f>+IF(OR(O985="Fire Control",O985="Fire Tex 5062",O985="Fire Tex 5090",O985="Fire Tex 5120"),'CALCULO PINTURA'!S138," ")</f>
        <v xml:space="preserve"> </v>
      </c>
      <c r="T985" s="874" t="str">
        <f>+IF(OR(O985="Blaze Shield II",O985="Cafco 400",O985="Cafco 300"),'CALCULO MORTERO'!N143," ")</f>
        <v xml:space="preserve"> </v>
      </c>
      <c r="U985" s="875" t="str">
        <f>+IF(OR(O985="Blaze Shield II",O985="Cafco 400",O985="Cafco 300"),'CALCULO MORTERO'!O143," ")</f>
        <v xml:space="preserve"> </v>
      </c>
      <c r="V985" s="161" t="str" cm="1">
        <f t="array" ref="V985">_xlfn.IFS(O985="Blaze Shield II",'CALCULO MORTERO'!P986, O985="Cafco 400",'CALCULO MORTERO'!Q986,O985="Cafco 300",'CALCULO MORTERO'!S986, AND(OR(O985="Fire tex 5090", O985="Fire Tex 5062", O985="Fire Tex 5120", O985="Fire Control"),Q985&gt;0), "CERT.",TRUE,"-")</f>
        <v>-</v>
      </c>
    </row>
    <row r="986" spans="1:22" x14ac:dyDescent="0.25">
      <c r="A986" s="168"/>
      <c r="B986" s="862"/>
      <c r="C986" s="161"/>
      <c r="D986" s="161"/>
      <c r="E986" s="41"/>
      <c r="F986" s="41"/>
      <c r="G986" s="161"/>
      <c r="H986" s="161"/>
      <c r="I986" s="166"/>
      <c r="J986" s="162"/>
      <c r="K986" s="161"/>
      <c r="L986" s="161"/>
      <c r="M986" s="169"/>
      <c r="N986" s="163" t="str">
        <f t="shared" si="19"/>
        <v/>
      </c>
      <c r="O986" s="41"/>
      <c r="P986" s="41"/>
      <c r="Q986" s="161" t="str">
        <f>+IF(OR(O986="Fire Control",O986="Fire Tex 5062",O986="Fire Tex 5090",O986="Fire Tex 5120"),'CALCULO PINTURA'!P143," ")</f>
        <v xml:space="preserve"> </v>
      </c>
      <c r="R986" s="164" t="str">
        <f>+IF(OR(O986="Fire Control",O986="Fire Tex 5062",O986="Fire Tex 5090",O986="Fire Tex 5120"),'CALCULO PINTURA'!R143," ")</f>
        <v xml:space="preserve"> </v>
      </c>
      <c r="S986" s="164" t="str">
        <f>+IF(OR(O986="Fire Control",O986="Fire Tex 5062",O986="Fire Tex 5090",O986="Fire Tex 5120"),'CALCULO PINTURA'!S143," ")</f>
        <v xml:space="preserve"> </v>
      </c>
      <c r="T986" s="874" t="str">
        <f>+IF(OR(O986="Blaze Shield II",O986="Cafco 400",O986="Cafco 300"),'CALCULO MORTERO'!N148," ")</f>
        <v xml:space="preserve"> </v>
      </c>
      <c r="U986" s="875" t="str">
        <f>+IF(OR(O986="Blaze Shield II",O986="Cafco 400",O986="Cafco 300"),'CALCULO MORTERO'!O148," ")</f>
        <v xml:space="preserve"> </v>
      </c>
      <c r="V986" s="161" t="str" cm="1">
        <f t="array" ref="V986">_xlfn.IFS(O986="Blaze Shield II",'CALCULO MORTERO'!P987, O986="Cafco 400",'CALCULO MORTERO'!Q987,O986="Cafco 300",'CALCULO MORTERO'!S987, AND(OR(O986="Fire tex 5090", O986="Fire Tex 5062", O986="Fire Tex 5120", O986="Fire Control"),Q986&gt;0), "CERT.",TRUE,"-")</f>
        <v>-</v>
      </c>
    </row>
    <row r="987" spans="1:22" x14ac:dyDescent="0.25">
      <c r="A987" s="168"/>
      <c r="B987" s="862"/>
      <c r="C987" s="161"/>
      <c r="D987" s="161"/>
      <c r="E987" s="41"/>
      <c r="F987" s="41"/>
      <c r="G987" s="161"/>
      <c r="H987" s="161"/>
      <c r="I987" s="166"/>
      <c r="J987" s="162"/>
      <c r="K987" s="161"/>
      <c r="L987" s="161"/>
      <c r="M987" s="169"/>
      <c r="N987" s="163" t="str">
        <f t="shared" si="19"/>
        <v/>
      </c>
      <c r="O987" s="41"/>
      <c r="P987" s="41"/>
      <c r="Q987" s="161" t="str">
        <f>+IF(OR(O987="Fire Control",O987="Fire Tex 5062",O987="Fire Tex 5090",O987="Fire Tex 5120"),'CALCULO PINTURA'!P146," ")</f>
        <v xml:space="preserve"> </v>
      </c>
      <c r="R987" s="164" t="str">
        <f>+IF(OR(O987="Fire Control",O987="Fire Tex 5062",O987="Fire Tex 5090",O987="Fire Tex 5120"),'CALCULO PINTURA'!R146," ")</f>
        <v xml:space="preserve"> </v>
      </c>
      <c r="S987" s="164" t="str">
        <f>+IF(OR(O987="Fire Control",O987="Fire Tex 5062",O987="Fire Tex 5090",O987="Fire Tex 5120"),'CALCULO PINTURA'!S146," ")</f>
        <v xml:space="preserve"> </v>
      </c>
      <c r="T987" s="874" t="str">
        <f>+IF(OR(O987="Blaze Shield II",O987="Cafco 400",O987="Cafco 300"),'CALCULO MORTERO'!N151," ")</f>
        <v xml:space="preserve"> </v>
      </c>
      <c r="U987" s="875" t="str">
        <f>+IF(OR(O987="Blaze Shield II",O987="Cafco 400",O987="Cafco 300"),'CALCULO MORTERO'!O151," ")</f>
        <v xml:space="preserve"> </v>
      </c>
      <c r="V987" s="161" t="str" cm="1">
        <f t="array" ref="V987">_xlfn.IFS(O987="Blaze Shield II",'CALCULO MORTERO'!P988, O987="Cafco 400",'CALCULO MORTERO'!Q988,O987="Cafco 300",'CALCULO MORTERO'!S988, AND(OR(O987="Fire tex 5090", O987="Fire Tex 5062", O987="Fire Tex 5120", O987="Fire Control"),Q987&gt;0), "CERT.",TRUE,"-")</f>
        <v>-</v>
      </c>
    </row>
    <row r="988" spans="1:22" x14ac:dyDescent="0.25">
      <c r="A988" s="168"/>
      <c r="B988" s="862"/>
      <c r="C988" s="161"/>
      <c r="D988" s="161"/>
      <c r="E988" s="41"/>
      <c r="F988" s="41"/>
      <c r="G988" s="161"/>
      <c r="H988" s="161"/>
      <c r="I988" s="166"/>
      <c r="J988" s="162"/>
      <c r="K988" s="161"/>
      <c r="L988" s="161"/>
      <c r="M988" s="169"/>
      <c r="N988" s="163" t="str">
        <f t="shared" si="19"/>
        <v/>
      </c>
      <c r="O988" s="41"/>
      <c r="P988" s="41"/>
      <c r="Q988" s="161" t="str">
        <f>+IF(OR(O988="Fire Control",O988="Fire Tex 5062",O988="Fire Tex 5090",O988="Fire Tex 5120"),'CALCULO PINTURA'!P160," ")</f>
        <v xml:space="preserve"> </v>
      </c>
      <c r="R988" s="164" t="str">
        <f>+IF(OR(O988="Fire Control",O988="Fire Tex 5062",O988="Fire Tex 5090",O988="Fire Tex 5120"),'CALCULO PINTURA'!R160," ")</f>
        <v xml:space="preserve"> </v>
      </c>
      <c r="S988" s="164" t="str">
        <f>+IF(OR(O988="Fire Control",O988="Fire Tex 5062",O988="Fire Tex 5090",O988="Fire Tex 5120"),'CALCULO PINTURA'!S160," ")</f>
        <v xml:space="preserve"> </v>
      </c>
      <c r="T988" s="874" t="str">
        <f>+IF(OR(O988="Blaze Shield II",O988="Cafco 400",O988="Cafco 300"),'CALCULO MORTERO'!N165," ")</f>
        <v xml:space="preserve"> </v>
      </c>
      <c r="U988" s="875" t="str">
        <f>+IF(OR(O988="Blaze Shield II",O988="Cafco 400",O988="Cafco 300"),'CALCULO MORTERO'!O165," ")</f>
        <v xml:space="preserve"> </v>
      </c>
      <c r="V988" s="161" t="str" cm="1">
        <f t="array" ref="V988">_xlfn.IFS(O988="Blaze Shield II",'CALCULO MORTERO'!P989, O988="Cafco 400",'CALCULO MORTERO'!Q989,O988="Cafco 300",'CALCULO MORTERO'!S989, AND(OR(O988="Fire tex 5090", O988="Fire Tex 5062", O988="Fire Tex 5120", O988="Fire Control"),Q988&gt;0), "CERT.",TRUE,"-")</f>
        <v>-</v>
      </c>
    </row>
    <row r="989" spans="1:22" x14ac:dyDescent="0.25">
      <c r="A989" s="168"/>
      <c r="B989" s="862"/>
      <c r="C989" s="161"/>
      <c r="D989" s="161"/>
      <c r="E989" s="41"/>
      <c r="F989" s="41"/>
      <c r="G989" s="161"/>
      <c r="H989" s="161"/>
      <c r="I989" s="166"/>
      <c r="J989" s="162"/>
      <c r="K989" s="161"/>
      <c r="L989" s="161"/>
      <c r="M989" s="169"/>
      <c r="N989" s="163" t="str">
        <f t="shared" si="19"/>
        <v/>
      </c>
      <c r="O989" s="41"/>
      <c r="P989" s="41"/>
      <c r="Q989" s="161" t="str">
        <f>+IF(OR(O989="Fire Control",O989="Fire Tex 5062",O989="Fire Tex 5090",O989="Fire Tex 5120"),'CALCULO PINTURA'!P161," ")</f>
        <v xml:space="preserve"> </v>
      </c>
      <c r="R989" s="164" t="str">
        <f>+IF(OR(O989="Fire Control",O989="Fire Tex 5062",O989="Fire Tex 5090",O989="Fire Tex 5120"),'CALCULO PINTURA'!R161," ")</f>
        <v xml:space="preserve"> </v>
      </c>
      <c r="S989" s="164" t="str">
        <f>+IF(OR(O989="Fire Control",O989="Fire Tex 5062",O989="Fire Tex 5090",O989="Fire Tex 5120"),'CALCULO PINTURA'!S161," ")</f>
        <v xml:space="preserve"> </v>
      </c>
      <c r="T989" s="874" t="str">
        <f>+IF(OR(O989="Blaze Shield II",O989="Cafco 400",O989="Cafco 300"),'CALCULO MORTERO'!N166," ")</f>
        <v xml:space="preserve"> </v>
      </c>
      <c r="U989" s="875" t="str">
        <f>+IF(OR(O989="Blaze Shield II",O989="Cafco 400",O989="Cafco 300"),'CALCULO MORTERO'!O166," ")</f>
        <v xml:space="preserve"> </v>
      </c>
      <c r="V989" s="161" t="str" cm="1">
        <f t="array" ref="V989">_xlfn.IFS(O989="Blaze Shield II",'CALCULO MORTERO'!P990, O989="Cafco 400",'CALCULO MORTERO'!Q990,O989="Cafco 300",'CALCULO MORTERO'!S990, AND(OR(O989="Fire tex 5090", O989="Fire Tex 5062", O989="Fire Tex 5120", O989="Fire Control"),Q989&gt;0), "CERT.",TRUE,"-")</f>
        <v>-</v>
      </c>
    </row>
    <row r="990" spans="1:22" x14ac:dyDescent="0.25">
      <c r="A990" s="168"/>
      <c r="B990" s="876"/>
      <c r="C990" s="161"/>
      <c r="D990" s="161"/>
      <c r="E990" s="161"/>
      <c r="F990" s="41"/>
      <c r="G990" s="161"/>
      <c r="H990" s="161"/>
      <c r="I990" s="166"/>
      <c r="J990" s="162"/>
      <c r="K990" s="161"/>
      <c r="L990" s="161"/>
      <c r="M990" s="169"/>
      <c r="N990" s="163" t="str">
        <f t="shared" si="19"/>
        <v/>
      </c>
      <c r="O990" s="41"/>
      <c r="P990" s="41"/>
      <c r="Q990" s="161" t="str">
        <f>+IF(OR(O990="Fire Control",O990="Fire Tex 5062",O990="Fire Tex 5090",O990="Fire Tex 5120"),'CALCULO PINTURA'!P991," ")</f>
        <v xml:space="preserve"> </v>
      </c>
      <c r="R990" s="164" t="str">
        <f>+IF(OR(O990="Fire Control",O990="Fire Tex 5062",O990="Fire Tex 5090",O990="Fire Tex 5120"),'CALCULO PINTURA'!R991," ")</f>
        <v xml:space="preserve"> </v>
      </c>
      <c r="S990" s="164" t="str">
        <f>+IF(OR(O990="Fire Control",O990="Fire Tex 5062",O990="Fire Tex 5090",O990="Fire Tex 5120"),'CALCULO PINTURA'!S991," ")</f>
        <v xml:space="preserve"> </v>
      </c>
      <c r="T990" s="874" t="str">
        <f>+IF(OR(O990="Blaze Shield II",O990="Cafco 400",O990="Cafco 300"),'CALCULO MORTERO'!N996," ")</f>
        <v xml:space="preserve"> </v>
      </c>
      <c r="U990" s="875" t="str">
        <f>+IF(OR(O990="Blaze Shield II",O990="Cafco 400",O990="Cafco 300"),'CALCULO MORTERO'!O996," ")</f>
        <v xml:space="preserve"> </v>
      </c>
      <c r="V990" s="161" t="str" cm="1">
        <f t="array" ref="V990">_xlfn.IFS(O990="Blaze Shield II",'CALCULO MORTERO'!P991, O990="Cafco 400",'CALCULO MORTERO'!Q991,O990="Cafco 300",'CALCULO MORTERO'!S991, AND(OR(O990="Fire tex 5090", O990="Fire Tex 5062", O990="Fire Tex 5120", O990="Fire Control"),Q990&gt;0), "CERT.",TRUE,"-")</f>
        <v>-</v>
      </c>
    </row>
    <row r="991" spans="1:22" x14ac:dyDescent="0.25">
      <c r="A991" s="168"/>
      <c r="B991" s="876"/>
      <c r="C991" s="161"/>
      <c r="D991" s="161"/>
      <c r="E991" s="161"/>
      <c r="F991" s="41"/>
      <c r="G991" s="161"/>
      <c r="H991" s="161"/>
      <c r="I991" s="166"/>
      <c r="J991" s="162"/>
      <c r="K991" s="161"/>
      <c r="L991" s="161"/>
      <c r="M991" s="169"/>
      <c r="N991" s="163" t="str">
        <f t="shared" si="19"/>
        <v/>
      </c>
      <c r="O991" s="41"/>
      <c r="P991" s="41"/>
      <c r="Q991" s="161" t="str">
        <f>+IF(OR(O991="Fire Control",O991="Fire Tex 5062",O991="Fire Tex 5090",O991="Fire Tex 5120"),'CALCULO PINTURA'!P992," ")</f>
        <v xml:space="preserve"> </v>
      </c>
      <c r="R991" s="164" t="str">
        <f>+IF(OR(O991="Fire Control",O991="Fire Tex 5062",O991="Fire Tex 5090",O991="Fire Tex 5120"),'CALCULO PINTURA'!R992," ")</f>
        <v xml:space="preserve"> </v>
      </c>
      <c r="S991" s="164" t="str">
        <f>+IF(OR(O991="Fire Control",O991="Fire Tex 5062",O991="Fire Tex 5090",O991="Fire Tex 5120"),'CALCULO PINTURA'!S992," ")</f>
        <v xml:space="preserve"> </v>
      </c>
      <c r="T991" s="874" t="str">
        <f>+IF(OR(O991="Blaze Shield II",O991="Cafco 400",O991="Cafco 300"),'CALCULO MORTERO'!N997," ")</f>
        <v xml:space="preserve"> </v>
      </c>
      <c r="U991" s="875" t="str">
        <f>+IF(OR(O991="Blaze Shield II",O991="Cafco 400",O991="Cafco 300"),'CALCULO MORTERO'!O997," ")</f>
        <v xml:space="preserve"> </v>
      </c>
      <c r="V991" s="161" t="str" cm="1">
        <f t="array" ref="V991">_xlfn.IFS(O991="Blaze Shield II",'CALCULO MORTERO'!P992, O991="Cafco 400",'CALCULO MORTERO'!Q992,O991="Cafco 300",'CALCULO MORTERO'!S992, AND(OR(O991="Fire tex 5090", O991="Fire Tex 5062", O991="Fire Tex 5120", O991="Fire Control"),Q991&gt;0), "CERT.",TRUE,"-")</f>
        <v>-</v>
      </c>
    </row>
    <row r="992" spans="1:22" x14ac:dyDescent="0.25">
      <c r="A992" s="168"/>
      <c r="B992" s="876"/>
      <c r="C992" s="161"/>
      <c r="D992" s="161"/>
      <c r="E992" s="161"/>
      <c r="F992" s="41"/>
      <c r="G992" s="161"/>
      <c r="H992" s="161"/>
      <c r="I992" s="166"/>
      <c r="J992" s="162"/>
      <c r="K992" s="161"/>
      <c r="L992" s="161"/>
      <c r="M992" s="169"/>
      <c r="N992" s="163" t="str">
        <f t="shared" si="19"/>
        <v/>
      </c>
      <c r="O992" s="41"/>
      <c r="P992" s="41"/>
      <c r="Q992" s="161" t="str">
        <f>+IF(OR(O992="Fire Control",O992="Fire Tex 5062",O992="Fire Tex 5090",O992="Fire Tex 5120"),'CALCULO PINTURA'!P993," ")</f>
        <v xml:space="preserve"> </v>
      </c>
      <c r="R992" s="164" t="str">
        <f>+IF(OR(O992="Fire Control",O992="Fire Tex 5062",O992="Fire Tex 5090",O992="Fire Tex 5120"),'CALCULO PINTURA'!R993," ")</f>
        <v xml:space="preserve"> </v>
      </c>
      <c r="S992" s="164" t="str">
        <f>+IF(OR(O992="Fire Control",O992="Fire Tex 5062",O992="Fire Tex 5090",O992="Fire Tex 5120"),'CALCULO PINTURA'!S993," ")</f>
        <v xml:space="preserve"> </v>
      </c>
      <c r="T992" s="874" t="str">
        <f>+IF(OR(O992="Blaze Shield II",O992="Cafco 400",O992="Cafco 300"),'CALCULO MORTERO'!N998," ")</f>
        <v xml:space="preserve"> </v>
      </c>
      <c r="U992" s="875" t="str">
        <f>+IF(OR(O992="Blaze Shield II",O992="Cafco 400",O992="Cafco 300"),'CALCULO MORTERO'!O998," ")</f>
        <v xml:space="preserve"> </v>
      </c>
      <c r="V992" s="161" t="str" cm="1">
        <f t="array" ref="V992">_xlfn.IFS(O992="Blaze Shield II",'CALCULO MORTERO'!P993, O992="Cafco 400",'CALCULO MORTERO'!Q993,O992="Cafco 300",'CALCULO MORTERO'!S993, AND(OR(O992="Fire tex 5090", O992="Fire Tex 5062", O992="Fire Tex 5120", O992="Fire Control"),Q992&gt;0), "CERT.",TRUE,"-")</f>
        <v>-</v>
      </c>
    </row>
    <row r="993" spans="1:22" x14ac:dyDescent="0.25">
      <c r="A993" s="168"/>
      <c r="B993" s="876"/>
      <c r="C993" s="161"/>
      <c r="D993" s="161"/>
      <c r="E993" s="161"/>
      <c r="F993" s="41"/>
      <c r="G993" s="161"/>
      <c r="H993" s="161"/>
      <c r="I993" s="166"/>
      <c r="J993" s="162"/>
      <c r="K993" s="161"/>
      <c r="L993" s="161"/>
      <c r="M993" s="169"/>
      <c r="N993" s="163" t="str">
        <f t="shared" si="19"/>
        <v/>
      </c>
      <c r="O993" s="41"/>
      <c r="P993" s="41"/>
      <c r="Q993" s="161" t="str">
        <f>+IF(OR(O993="Fire Control",O993="Fire Tex 5062",O993="Fire Tex 5090",O993="Fire Tex 5120"),'CALCULO PINTURA'!P994," ")</f>
        <v xml:space="preserve"> </v>
      </c>
      <c r="R993" s="164" t="str">
        <f>+IF(OR(O993="Fire Control",O993="Fire Tex 5062",O993="Fire Tex 5090",O993="Fire Tex 5120"),'CALCULO PINTURA'!R994," ")</f>
        <v xml:space="preserve"> </v>
      </c>
      <c r="S993" s="164" t="str">
        <f>+IF(OR(O993="Fire Control",O993="Fire Tex 5062",O993="Fire Tex 5090",O993="Fire Tex 5120"),'CALCULO PINTURA'!S994," ")</f>
        <v xml:space="preserve"> </v>
      </c>
      <c r="T993" s="874" t="str">
        <f>+IF(OR(O993="Blaze Shield II",O993="Cafco 400",O993="Cafco 300"),'CALCULO MORTERO'!N999," ")</f>
        <v xml:space="preserve"> </v>
      </c>
      <c r="U993" s="875" t="str">
        <f>+IF(OR(O993="Blaze Shield II",O993="Cafco 400",O993="Cafco 300"),'CALCULO MORTERO'!O999," ")</f>
        <v xml:space="preserve"> </v>
      </c>
      <c r="V993" s="161" t="str" cm="1">
        <f t="array" ref="V993">_xlfn.IFS(O993="Blaze Shield II",'CALCULO MORTERO'!P994, O993="Cafco 400",'CALCULO MORTERO'!Q994,O993="Cafco 300",'CALCULO MORTERO'!S994, AND(OR(O993="Fire tex 5090", O993="Fire Tex 5062", O993="Fire Tex 5120", O993="Fire Control"),Q993&gt;0), "CERT.",TRUE,"-")</f>
        <v>-</v>
      </c>
    </row>
    <row r="994" spans="1:22" x14ac:dyDescent="0.25">
      <c r="A994" s="168"/>
      <c r="B994" s="876"/>
      <c r="C994" s="161"/>
      <c r="D994" s="161"/>
      <c r="E994" s="161"/>
      <c r="F994" s="41"/>
      <c r="G994" s="161"/>
      <c r="H994" s="161"/>
      <c r="I994" s="166"/>
      <c r="J994" s="162"/>
      <c r="K994" s="161"/>
      <c r="L994" s="161"/>
      <c r="M994" s="169"/>
      <c r="N994" s="163" t="str">
        <f t="shared" si="19"/>
        <v/>
      </c>
      <c r="O994" s="41"/>
      <c r="P994" s="41"/>
      <c r="Q994" s="161" t="str">
        <f>+IF(OR(O994="Fire Control",O994="Fire Tex 5062",O994="Fire Tex 5090",O994="Fire Tex 5120"),'CALCULO PINTURA'!P995," ")</f>
        <v xml:space="preserve"> </v>
      </c>
      <c r="R994" s="164" t="str">
        <f>+IF(OR(O994="Fire Control",O994="Fire Tex 5062",O994="Fire Tex 5090",O994="Fire Tex 5120"),'CALCULO PINTURA'!R995," ")</f>
        <v xml:space="preserve"> </v>
      </c>
      <c r="S994" s="164" t="str">
        <f>+IF(OR(O994="Fire Control",O994="Fire Tex 5062",O994="Fire Tex 5090",O994="Fire Tex 5120"),'CALCULO PINTURA'!S995," ")</f>
        <v xml:space="preserve"> </v>
      </c>
      <c r="T994" s="874" t="str">
        <f>+IF(OR(O994="Blaze Shield II",O994="Cafco 400",O994="Cafco 300"),'CALCULO MORTERO'!N1000," ")</f>
        <v xml:space="preserve"> </v>
      </c>
      <c r="U994" s="875" t="str">
        <f>+IF(OR(O994="Blaze Shield II",O994="Cafco 400",O994="Cafco 300"),'CALCULO MORTERO'!O1000," ")</f>
        <v xml:space="preserve"> </v>
      </c>
      <c r="V994" s="161" t="str" cm="1">
        <f t="array" ref="V994">_xlfn.IFS(O994="Blaze Shield II",'CALCULO MORTERO'!P995, O994="Cafco 400",'CALCULO MORTERO'!Q995,O994="Cafco 300",'CALCULO MORTERO'!S995, AND(OR(O994="Fire tex 5090", O994="Fire Tex 5062", O994="Fire Tex 5120", O994="Fire Control"),Q994&gt;0), "CERT.",TRUE,"-")</f>
        <v>-</v>
      </c>
    </row>
    <row r="995" spans="1:22" x14ac:dyDescent="0.25">
      <c r="A995" s="168"/>
      <c r="B995" s="876"/>
      <c r="C995" s="161"/>
      <c r="D995" s="161"/>
      <c r="E995" s="161"/>
      <c r="F995" s="41"/>
      <c r="G995" s="161"/>
      <c r="H995" s="161"/>
      <c r="I995" s="166"/>
      <c r="J995" s="162"/>
      <c r="K995" s="161"/>
      <c r="L995" s="161"/>
      <c r="M995" s="169"/>
      <c r="N995" s="163" t="str">
        <f t="shared" si="19"/>
        <v/>
      </c>
      <c r="O995" s="41"/>
      <c r="P995" s="41"/>
      <c r="Q995" s="161" t="str">
        <f>+IF(OR(O995="Fire Control",O995="Fire Tex 5062",O995="Fire Tex 5090",O995="Fire Tex 5120"),'CALCULO PINTURA'!P996," ")</f>
        <v xml:space="preserve"> </v>
      </c>
      <c r="R995" s="164" t="str">
        <f>+IF(OR(O995="Fire Control",O995="Fire Tex 5062",O995="Fire Tex 5090",O995="Fire Tex 5120"),'CALCULO PINTURA'!R996," ")</f>
        <v xml:space="preserve"> </v>
      </c>
      <c r="S995" s="164" t="str">
        <f>+IF(OR(O995="Fire Control",O995="Fire Tex 5062",O995="Fire Tex 5090",O995="Fire Tex 5120"),'CALCULO PINTURA'!S996," ")</f>
        <v xml:space="preserve"> </v>
      </c>
      <c r="T995" s="874" t="str">
        <f>+IF(OR(O995="Blaze Shield II",O995="Cafco 400",O995="Cafco 300"),'CALCULO MORTERO'!N1001," ")</f>
        <v xml:space="preserve"> </v>
      </c>
      <c r="U995" s="875" t="str">
        <f>+IF(OR(O995="Blaze Shield II",O995="Cafco 400",O995="Cafco 300"),'CALCULO MORTERO'!O1001," ")</f>
        <v xml:space="preserve"> </v>
      </c>
      <c r="V995" s="161" t="str" cm="1">
        <f t="array" ref="V995">_xlfn.IFS(O995="Blaze Shield II",'CALCULO MORTERO'!P996, O995="Cafco 400",'CALCULO MORTERO'!Q996,O995="Cafco 300",'CALCULO MORTERO'!S996, AND(OR(O995="Fire tex 5090", O995="Fire Tex 5062", O995="Fire Tex 5120", O995="Fire Control"),Q995&gt;0), "CERT.",TRUE,"-")</f>
        <v>-</v>
      </c>
    </row>
    <row r="996" spans="1:22" x14ac:dyDescent="0.25">
      <c r="A996" s="168"/>
      <c r="B996" s="876"/>
      <c r="C996" s="161"/>
      <c r="D996" s="161"/>
      <c r="E996" s="161"/>
      <c r="F996" s="41"/>
      <c r="G996" s="161"/>
      <c r="H996" s="161"/>
      <c r="I996" s="166"/>
      <c r="J996" s="162"/>
      <c r="K996" s="161"/>
      <c r="L996" s="161"/>
      <c r="M996" s="169"/>
      <c r="N996" s="163" t="str">
        <f t="shared" si="19"/>
        <v/>
      </c>
      <c r="O996" s="41"/>
      <c r="P996" s="41"/>
      <c r="Q996" s="161" t="str">
        <f>+IF(OR(O996="Fire Control",O996="Fire Tex 5062",O996="Fire Tex 5090",O996="Fire Tex 5120"),'CALCULO PINTURA'!P997," ")</f>
        <v xml:space="preserve"> </v>
      </c>
      <c r="R996" s="164" t="str">
        <f>+IF(OR(O996="Fire Control",O996="Fire Tex 5062",O996="Fire Tex 5090",O996="Fire Tex 5120"),'CALCULO PINTURA'!R997," ")</f>
        <v xml:space="preserve"> </v>
      </c>
      <c r="S996" s="164" t="str">
        <f>+IF(OR(O996="Fire Control",O996="Fire Tex 5062",O996="Fire Tex 5090",O996="Fire Tex 5120"),'CALCULO PINTURA'!S997," ")</f>
        <v xml:space="preserve"> </v>
      </c>
      <c r="T996" s="874" t="str">
        <f>+IF(OR(O996="Blaze Shield II",O996="Cafco 400",O996="Cafco 300"),'CALCULO MORTERO'!N1002," ")</f>
        <v xml:space="preserve"> </v>
      </c>
      <c r="U996" s="875" t="str">
        <f>+IF(OR(O996="Blaze Shield II",O996="Cafco 400",O996="Cafco 300"),'CALCULO MORTERO'!O1002," ")</f>
        <v xml:space="preserve"> </v>
      </c>
      <c r="V996" s="161" t="str" cm="1">
        <f t="array" ref="V996">_xlfn.IFS(O996="Blaze Shield II",'CALCULO MORTERO'!P997, O996="Cafco 400",'CALCULO MORTERO'!Q997,O996="Cafco 300",'CALCULO MORTERO'!S997, AND(OR(O996="Fire tex 5090", O996="Fire Tex 5062", O996="Fire Tex 5120", O996="Fire Control"),Q996&gt;0), "CERT.",TRUE,"-")</f>
        <v>-</v>
      </c>
    </row>
    <row r="997" spans="1:22" x14ac:dyDescent="0.25">
      <c r="A997" s="168"/>
      <c r="B997" s="876"/>
      <c r="C997" s="161"/>
      <c r="D997" s="161"/>
      <c r="E997" s="161"/>
      <c r="F997" s="41"/>
      <c r="G997" s="161"/>
      <c r="H997" s="161"/>
      <c r="I997" s="166"/>
      <c r="J997" s="162"/>
      <c r="K997" s="161"/>
      <c r="L997" s="161"/>
      <c r="M997" s="169"/>
      <c r="N997" s="163" t="str">
        <f t="shared" si="19"/>
        <v/>
      </c>
      <c r="O997" s="41"/>
      <c r="P997" s="41"/>
      <c r="Q997" s="161" t="str">
        <f>+IF(OR(O997="Fire Control",O997="Fire Tex 5062",O997="Fire Tex 5090",O997="Fire Tex 5120"),'CALCULO PINTURA'!P998," ")</f>
        <v xml:space="preserve"> </v>
      </c>
      <c r="R997" s="164" t="str">
        <f>+IF(OR(O997="Fire Control",O997="Fire Tex 5062",O997="Fire Tex 5090",O997="Fire Tex 5120"),'CALCULO PINTURA'!R998," ")</f>
        <v xml:space="preserve"> </v>
      </c>
      <c r="S997" s="164" t="str">
        <f>+IF(OR(O997="Fire Control",O997="Fire Tex 5062",O997="Fire Tex 5090",O997="Fire Tex 5120"),'CALCULO PINTURA'!S998," ")</f>
        <v xml:space="preserve"> </v>
      </c>
      <c r="T997" s="874" t="str">
        <f>+IF(OR(O997="Blaze Shield II",O997="Cafco 400",O997="Cafco 300"),'CALCULO MORTERO'!N1003," ")</f>
        <v xml:space="preserve"> </v>
      </c>
      <c r="U997" s="875" t="str">
        <f>+IF(OR(O997="Blaze Shield II",O997="Cafco 400",O997="Cafco 300"),'CALCULO MORTERO'!O1003," ")</f>
        <v xml:space="preserve"> </v>
      </c>
      <c r="V997" s="161" t="str" cm="1">
        <f t="array" ref="V997">_xlfn.IFS(O997="Blaze Shield II",'CALCULO MORTERO'!P998, O997="Cafco 400",'CALCULO MORTERO'!Q998,O997="Cafco 300",'CALCULO MORTERO'!S998, AND(OR(O997="Fire tex 5090", O997="Fire Tex 5062", O997="Fire Tex 5120", O997="Fire Control"),Q997&gt;0), "CERT.",TRUE,"-")</f>
        <v>-</v>
      </c>
    </row>
    <row r="998" spans="1:22" x14ac:dyDescent="0.25">
      <c r="A998" s="168"/>
      <c r="B998" s="876"/>
      <c r="C998" s="161"/>
      <c r="D998" s="161"/>
      <c r="E998" s="161"/>
      <c r="F998" s="41"/>
      <c r="G998" s="161"/>
      <c r="H998" s="161"/>
      <c r="I998" s="166"/>
      <c r="J998" s="162"/>
      <c r="K998" s="161"/>
      <c r="L998" s="161"/>
      <c r="M998" s="169"/>
      <c r="N998" s="163" t="str">
        <f t="shared" si="19"/>
        <v/>
      </c>
      <c r="O998" s="41"/>
      <c r="P998" s="41"/>
      <c r="Q998" s="161" t="str">
        <f>+IF(OR(O998="Fire Control",O998="Fire Tex 5062",O998="Fire Tex 5090",O998="Fire Tex 5120"),'CALCULO PINTURA'!P999," ")</f>
        <v xml:space="preserve"> </v>
      </c>
      <c r="R998" s="164" t="str">
        <f>+IF(OR(O998="Fire Control",O998="Fire Tex 5062",O998="Fire Tex 5090",O998="Fire Tex 5120"),'CALCULO PINTURA'!R999," ")</f>
        <v xml:space="preserve"> </v>
      </c>
      <c r="S998" s="164" t="str">
        <f>+IF(OR(O998="Fire Control",O998="Fire Tex 5062",O998="Fire Tex 5090",O998="Fire Tex 5120"),'CALCULO PINTURA'!S999," ")</f>
        <v xml:space="preserve"> </v>
      </c>
      <c r="T998" s="874" t="str">
        <f>+IF(OR(O998="Blaze Shield II",O998="Cafco 400",O998="Cafco 300"),'CALCULO MORTERO'!N1004," ")</f>
        <v xml:space="preserve"> </v>
      </c>
      <c r="U998" s="875" t="str">
        <f>+IF(OR(O998="Blaze Shield II",O998="Cafco 400",O998="Cafco 300"),'CALCULO MORTERO'!O1004," ")</f>
        <v xml:space="preserve"> </v>
      </c>
      <c r="V998" s="161" t="str" cm="1">
        <f t="array" ref="V998">_xlfn.IFS(O998="Blaze Shield II",'CALCULO MORTERO'!P999, O998="Cafco 400",'CALCULO MORTERO'!Q999,O998="Cafco 300",'CALCULO MORTERO'!S999, AND(OR(O998="Fire tex 5090", O998="Fire Tex 5062", O998="Fire Tex 5120", O998="Fire Control"),Q998&gt;0), "CERT.",TRUE,"-")</f>
        <v>-</v>
      </c>
    </row>
    <row r="999" spans="1:22" x14ac:dyDescent="0.25">
      <c r="A999" s="168"/>
      <c r="B999" s="876"/>
      <c r="C999" s="161"/>
      <c r="D999" s="161"/>
      <c r="E999" s="161"/>
      <c r="F999" s="41"/>
      <c r="G999" s="161"/>
      <c r="H999" s="161"/>
      <c r="I999" s="166"/>
      <c r="J999" s="162"/>
      <c r="K999" s="161"/>
      <c r="L999" s="161"/>
      <c r="M999" s="169"/>
      <c r="N999" s="163" t="str">
        <f t="shared" si="19"/>
        <v/>
      </c>
      <c r="O999" s="41"/>
      <c r="P999" s="41"/>
      <c r="Q999" s="161" t="str">
        <f>+IF(OR(O999="Fire Control",O999="Fire Tex 5062",O999="Fire Tex 5090",O999="Fire Tex 5120"),'CALCULO PINTURA'!P1000," ")</f>
        <v xml:space="preserve"> </v>
      </c>
      <c r="R999" s="164" t="str">
        <f>+IF(OR(O999="Fire Control",O999="Fire Tex 5062",O999="Fire Tex 5090",O999="Fire Tex 5120"),'CALCULO PINTURA'!R1000," ")</f>
        <v xml:space="preserve"> </v>
      </c>
      <c r="S999" s="164" t="str">
        <f>+IF(OR(O999="Fire Control",O999="Fire Tex 5062",O999="Fire Tex 5090",O999="Fire Tex 5120"),'CALCULO PINTURA'!S1000," ")</f>
        <v xml:space="preserve"> </v>
      </c>
      <c r="T999" s="874" t="str">
        <f>+IF(OR(O999="Blaze Shield II",O999="Cafco 400",O999="Cafco 300"),'CALCULO MORTERO'!N1005," ")</f>
        <v xml:space="preserve"> </v>
      </c>
      <c r="U999" s="875" t="str">
        <f>+IF(OR(O999="Blaze Shield II",O999="Cafco 400",O999="Cafco 300"),'CALCULO MORTERO'!O1005," ")</f>
        <v xml:space="preserve"> </v>
      </c>
      <c r="V999" s="161" t="str" cm="1">
        <f t="array" ref="V999">_xlfn.IFS(O999="Blaze Shield II",'CALCULO MORTERO'!P1000, O999="Cafco 400",'CALCULO MORTERO'!Q1000,O999="Cafco 300",'CALCULO MORTERO'!S1000, AND(OR(O999="Fire tex 5090", O999="Fire Tex 5062", O999="Fire Tex 5120", O999="Fire Control"),Q999&gt;0), "CERT.",TRUE,"-")</f>
        <v>-</v>
      </c>
    </row>
    <row r="1000" spans="1:22" x14ac:dyDescent="0.25">
      <c r="A1000" s="168"/>
      <c r="B1000" s="876"/>
      <c r="C1000" s="161"/>
      <c r="D1000" s="161"/>
      <c r="E1000" s="161"/>
      <c r="F1000" s="41"/>
      <c r="G1000" s="161"/>
      <c r="H1000" s="161"/>
      <c r="I1000" s="166"/>
      <c r="J1000" s="162"/>
      <c r="K1000" s="161"/>
      <c r="L1000" s="161"/>
      <c r="M1000" s="169"/>
      <c r="N1000" s="163" t="str">
        <f t="shared" si="19"/>
        <v/>
      </c>
      <c r="O1000" s="41"/>
      <c r="P1000" s="41"/>
      <c r="Q1000" s="161" t="str">
        <f>+IF(OR(O1000="Fire Control",O1000="Fire Tex 5062",O1000="Fire Tex 5090",O1000="Fire Tex 5120"),'CALCULO PINTURA'!P1001," ")</f>
        <v xml:space="preserve"> </v>
      </c>
      <c r="R1000" s="164" t="str">
        <f>+IF(OR(O1000="Fire Control",O1000="Fire Tex 5062",O1000="Fire Tex 5090",O1000="Fire Tex 5120"),'CALCULO PINTURA'!R1001," ")</f>
        <v xml:space="preserve"> </v>
      </c>
      <c r="S1000" s="164" t="str">
        <f>+IF(OR(O1000="Fire Control",O1000="Fire Tex 5062",O1000="Fire Tex 5090",O1000="Fire Tex 5120"),'CALCULO PINTURA'!S1001," ")</f>
        <v xml:space="preserve"> </v>
      </c>
      <c r="T1000" s="874" t="str">
        <f>+IF(OR(O1000="Blaze Shield II",O1000="Cafco 400",O1000="Cafco 300"),'CALCULO MORTERO'!N1006," ")</f>
        <v xml:space="preserve"> </v>
      </c>
      <c r="U1000" s="875" t="str">
        <f>+IF(OR(O1000="Blaze Shield II",O1000="Cafco 400",O1000="Cafco 300"),'CALCULO MORTERO'!O1006," ")</f>
        <v xml:space="preserve"> </v>
      </c>
      <c r="V1000" s="161" t="str" cm="1">
        <f t="array" ref="V1000">_xlfn.IFS(O1000="Blaze Shield II",'CALCULO MORTERO'!P1001, O1000="Cafco 400",'CALCULO MORTERO'!Q1001,O1000="Cafco 300",'CALCULO MORTERO'!S1001, AND(OR(O1000="Fire tex 5090", O1000="Fire Tex 5062", O1000="Fire Tex 5120", O1000="Fire Control"),Q1000&gt;0), "CERT.",TRUE,"-")</f>
        <v>-</v>
      </c>
    </row>
    <row r="1001" spans="1:22" x14ac:dyDescent="0.25">
      <c r="A1001" s="168"/>
      <c r="B1001" s="876"/>
      <c r="C1001" s="161"/>
      <c r="D1001" s="161"/>
      <c r="E1001" s="161"/>
      <c r="F1001" s="41"/>
      <c r="G1001" s="161"/>
      <c r="H1001" s="161"/>
      <c r="I1001" s="166"/>
      <c r="J1001" s="162"/>
      <c r="K1001" s="161"/>
      <c r="L1001" s="161"/>
      <c r="M1001" s="169"/>
      <c r="N1001" s="163" t="str">
        <f t="shared" si="19"/>
        <v/>
      </c>
      <c r="O1001" s="41"/>
      <c r="P1001" s="41"/>
      <c r="Q1001" s="161" t="str">
        <f>+IF(OR(O1001="Fire Control",O1001="Fire Tex 5062",O1001="Fire Tex 5090",O1001="Fire Tex 5120"),'CALCULO PINTURA'!P1002," ")</f>
        <v xml:space="preserve"> </v>
      </c>
      <c r="R1001" s="164" t="str">
        <f>+IF(OR(O1001="Fire Control",O1001="Fire Tex 5062",O1001="Fire Tex 5090",O1001="Fire Tex 5120"),'CALCULO PINTURA'!R1002," ")</f>
        <v xml:space="preserve"> </v>
      </c>
      <c r="S1001" s="164" t="str">
        <f>+IF(OR(O1001="Fire Control",O1001="Fire Tex 5062",O1001="Fire Tex 5090",O1001="Fire Tex 5120"),'CALCULO PINTURA'!S1002," ")</f>
        <v xml:space="preserve"> </v>
      </c>
      <c r="T1001" s="874" t="str">
        <f>+IF(OR(O1001="Blaze Shield II",O1001="Cafco 400",O1001="Cafco 300"),'CALCULO MORTERO'!N1007," ")</f>
        <v xml:space="preserve"> </v>
      </c>
      <c r="U1001" s="875" t="str">
        <f>+IF(OR(O1001="Blaze Shield II",O1001="Cafco 400",O1001="Cafco 300"),'CALCULO MORTERO'!O1007," ")</f>
        <v xml:space="preserve"> </v>
      </c>
      <c r="V1001" s="161" t="str" cm="1">
        <f t="array" ref="V1001">_xlfn.IFS(O1001="Blaze Shield II",'CALCULO MORTERO'!P1002, O1001="Cafco 400",'CALCULO MORTERO'!Q1002,O1001="Cafco 300",'CALCULO MORTERO'!S1002, AND(OR(O1001="Fire tex 5090", O1001="Fire Tex 5062", O1001="Fire Tex 5120", O1001="Fire Control"),Q1001&gt;0), "CERT.",TRUE,"-")</f>
        <v>-</v>
      </c>
    </row>
    <row r="1002" spans="1:22" x14ac:dyDescent="0.25">
      <c r="A1002" s="168"/>
      <c r="B1002" s="876"/>
      <c r="C1002" s="161"/>
      <c r="D1002" s="161"/>
      <c r="E1002" s="161"/>
      <c r="F1002" s="41"/>
      <c r="G1002" s="161"/>
      <c r="H1002" s="161"/>
      <c r="I1002" s="166"/>
      <c r="J1002" s="162"/>
      <c r="K1002" s="161"/>
      <c r="L1002" s="161"/>
      <c r="M1002" s="169"/>
      <c r="N1002" s="163" t="str">
        <f t="shared" si="19"/>
        <v/>
      </c>
      <c r="O1002" s="41"/>
      <c r="P1002" s="41"/>
      <c r="Q1002" s="161" t="str">
        <f>+IF(OR(O1002="Fire Control",O1002="Fire Tex 5062",O1002="Fire Tex 5090",O1002="Fire Tex 5120"),'CALCULO PINTURA'!P1003," ")</f>
        <v xml:space="preserve"> </v>
      </c>
      <c r="R1002" s="164" t="str">
        <f>+IF(OR(O1002="Fire Control",O1002="Fire Tex 5062",O1002="Fire Tex 5090",O1002="Fire Tex 5120"),'CALCULO PINTURA'!R1003," ")</f>
        <v xml:space="preserve"> </v>
      </c>
      <c r="S1002" s="164" t="str">
        <f>+IF(OR(O1002="Fire Control",O1002="Fire Tex 5062",O1002="Fire Tex 5090",O1002="Fire Tex 5120"),'CALCULO PINTURA'!S1003," ")</f>
        <v xml:space="preserve"> </v>
      </c>
      <c r="T1002" s="874" t="str">
        <f>+IF(OR(O1002="Blaze Shield II",O1002="Cafco 400",O1002="Cafco 300"),'CALCULO MORTERO'!N1008," ")</f>
        <v xml:space="preserve"> </v>
      </c>
      <c r="U1002" s="875" t="str">
        <f>+IF(OR(O1002="Blaze Shield II",O1002="Cafco 400",O1002="Cafco 300"),'CALCULO MORTERO'!O1008," ")</f>
        <v xml:space="preserve"> </v>
      </c>
      <c r="V1002" s="161" t="str" cm="1">
        <f t="array" ref="V1002">_xlfn.IFS(O1002="Blaze Shield II",'CALCULO MORTERO'!P1003, O1002="Cafco 400",'CALCULO MORTERO'!Q1003,O1002="Cafco 300",'CALCULO MORTERO'!S1003, AND(OR(O1002="Fire tex 5090", O1002="Fire Tex 5062", O1002="Fire Tex 5120", O1002="Fire Control"),Q1002&gt;0), "CERT.",TRUE,"-")</f>
        <v>-</v>
      </c>
    </row>
    <row r="1003" spans="1:22" x14ac:dyDescent="0.25">
      <c r="A1003" s="168"/>
      <c r="B1003" s="876"/>
      <c r="C1003" s="161"/>
      <c r="D1003" s="161"/>
      <c r="E1003" s="161"/>
      <c r="F1003" s="41"/>
      <c r="G1003" s="161"/>
      <c r="H1003" s="161"/>
      <c r="I1003" s="166"/>
      <c r="J1003" s="162"/>
      <c r="K1003" s="161"/>
      <c r="L1003" s="161"/>
      <c r="M1003" s="169"/>
      <c r="N1003" s="163" t="str">
        <f t="shared" si="19"/>
        <v/>
      </c>
      <c r="O1003" s="41"/>
      <c r="P1003" s="41"/>
      <c r="Q1003" s="161" t="str">
        <f>+IF(OR(O1003="Fire Control",O1003="Fire Tex 5062",O1003="Fire Tex 5090",O1003="Fire Tex 5120"),'CALCULO PINTURA'!P1004," ")</f>
        <v xml:space="preserve"> </v>
      </c>
      <c r="R1003" s="164" t="str">
        <f>+IF(OR(O1003="Fire Control",O1003="Fire Tex 5062",O1003="Fire Tex 5090",O1003="Fire Tex 5120"),'CALCULO PINTURA'!R1004," ")</f>
        <v xml:space="preserve"> </v>
      </c>
      <c r="S1003" s="164" t="str">
        <f>+IF(OR(O1003="Fire Control",O1003="Fire Tex 5062",O1003="Fire Tex 5090",O1003="Fire Tex 5120"),'CALCULO PINTURA'!S1004," ")</f>
        <v xml:space="preserve"> </v>
      </c>
      <c r="T1003" s="874" t="str">
        <f>+IF(OR(O1003="Blaze Shield II",O1003="Cafco 400",O1003="Cafco 300"),'CALCULO MORTERO'!N1009," ")</f>
        <v xml:space="preserve"> </v>
      </c>
      <c r="U1003" s="875" t="str">
        <f>+IF(OR(O1003="Blaze Shield II",O1003="Cafco 400",O1003="Cafco 300"),'CALCULO MORTERO'!O1009," ")</f>
        <v xml:space="preserve"> </v>
      </c>
      <c r="V1003" s="161" t="str" cm="1">
        <f t="array" ref="V1003">_xlfn.IFS(O1003="Blaze Shield II",'CALCULO MORTERO'!P1004, O1003="Cafco 400",'CALCULO MORTERO'!Q1004,O1003="Cafco 300",'CALCULO MORTERO'!S1004, AND(OR(O1003="Fire tex 5090", O1003="Fire Tex 5062", O1003="Fire Tex 5120", O1003="Fire Control"),Q1003&gt;0), "CERT.",TRUE,"-")</f>
        <v>-</v>
      </c>
    </row>
    <row r="1004" spans="1:22" x14ac:dyDescent="0.25">
      <c r="A1004" s="168"/>
      <c r="B1004" s="876"/>
      <c r="C1004" s="161"/>
      <c r="D1004" s="161"/>
      <c r="E1004" s="161"/>
      <c r="F1004" s="41"/>
      <c r="G1004" s="161"/>
      <c r="H1004" s="161"/>
      <c r="I1004" s="166"/>
      <c r="J1004" s="162"/>
      <c r="K1004" s="161"/>
      <c r="L1004" s="161"/>
      <c r="M1004" s="169"/>
      <c r="N1004" s="163" t="str">
        <f t="shared" si="19"/>
        <v/>
      </c>
      <c r="O1004" s="41"/>
      <c r="P1004" s="41"/>
      <c r="Q1004" s="161" t="str">
        <f>+IF(OR(O1004="Fire Control",O1004="Fire Tex 5062",O1004="Fire Tex 5090",O1004="Fire Tex 5120"),'CALCULO PINTURA'!P1005," ")</f>
        <v xml:space="preserve"> </v>
      </c>
      <c r="R1004" s="164" t="str">
        <f>+IF(OR(O1004="Fire Control",O1004="Fire Tex 5062",O1004="Fire Tex 5090",O1004="Fire Tex 5120"),'CALCULO PINTURA'!R1005," ")</f>
        <v xml:space="preserve"> </v>
      </c>
      <c r="S1004" s="164" t="str">
        <f>+IF(OR(O1004="Fire Control",O1004="Fire Tex 5062",O1004="Fire Tex 5090",O1004="Fire Tex 5120"),'CALCULO PINTURA'!S1005," ")</f>
        <v xml:space="preserve"> </v>
      </c>
      <c r="T1004" s="874" t="str">
        <f>+IF(OR(O1004="Blaze Shield II",O1004="Cafco 400",O1004="Cafco 300"),'CALCULO MORTERO'!N1010," ")</f>
        <v xml:space="preserve"> </v>
      </c>
      <c r="U1004" s="875" t="str">
        <f>+IF(OR(O1004="Blaze Shield II",O1004="Cafco 400",O1004="Cafco 300"),'CALCULO MORTERO'!O1010," ")</f>
        <v xml:space="preserve"> </v>
      </c>
      <c r="V1004" s="161" t="str" cm="1">
        <f t="array" ref="V1004">_xlfn.IFS(O1004="Blaze Shield II",'CALCULO MORTERO'!P1005, O1004="Cafco 400",'CALCULO MORTERO'!Q1005,O1004="Cafco 300",'CALCULO MORTERO'!S1005, AND(OR(O1004="Fire tex 5090", O1004="Fire Tex 5062", O1004="Fire Tex 5120", O1004="Fire Control"),Q1004&gt;0), "CERT.",TRUE,"-")</f>
        <v>-</v>
      </c>
    </row>
    <row r="1005" spans="1:22" x14ac:dyDescent="0.25">
      <c r="A1005" s="168"/>
      <c r="B1005" s="876"/>
      <c r="C1005" s="161"/>
      <c r="D1005" s="161"/>
      <c r="E1005" s="161"/>
      <c r="F1005" s="41"/>
      <c r="G1005" s="161"/>
      <c r="H1005" s="161"/>
      <c r="I1005" s="166"/>
      <c r="J1005" s="162"/>
      <c r="K1005" s="161"/>
      <c r="L1005" s="161"/>
      <c r="M1005" s="169"/>
      <c r="N1005" s="163" t="str">
        <f t="shared" si="19"/>
        <v/>
      </c>
      <c r="O1005" s="41"/>
      <c r="P1005" s="41"/>
      <c r="Q1005" s="161" t="str">
        <f>+IF(OR(O1005="Fire Control",O1005="Fire Tex 5062",O1005="Fire Tex 5090",O1005="Fire Tex 5120"),'CALCULO PINTURA'!P1006," ")</f>
        <v xml:space="preserve"> </v>
      </c>
      <c r="R1005" s="164" t="str">
        <f>+IF(OR(O1005="Fire Control",O1005="Fire Tex 5062",O1005="Fire Tex 5090",O1005="Fire Tex 5120"),'CALCULO PINTURA'!R1006," ")</f>
        <v xml:space="preserve"> </v>
      </c>
      <c r="S1005" s="164" t="str">
        <f>+IF(OR(O1005="Fire Control",O1005="Fire Tex 5062",O1005="Fire Tex 5090",O1005="Fire Tex 5120"),'CALCULO PINTURA'!S1006," ")</f>
        <v xml:space="preserve"> </v>
      </c>
      <c r="T1005" s="874" t="str">
        <f>+IF(OR(O1005="Blaze Shield II",O1005="Cafco 400",O1005="Cafco 300"),'CALCULO MORTERO'!N1011," ")</f>
        <v xml:space="preserve"> </v>
      </c>
      <c r="U1005" s="875" t="str">
        <f>+IF(OR(O1005="Blaze Shield II",O1005="Cafco 400",O1005="Cafco 300"),'CALCULO MORTERO'!O1011," ")</f>
        <v xml:space="preserve"> </v>
      </c>
      <c r="V1005" s="161" t="str" cm="1">
        <f t="array" ref="V1005">_xlfn.IFS(O1005="Blaze Shield II",'CALCULO MORTERO'!P1006, O1005="Cafco 400",'CALCULO MORTERO'!Q1006,O1005="Cafco 300",'CALCULO MORTERO'!S1006, AND(OR(O1005="Fire tex 5090", O1005="Fire Tex 5062", O1005="Fire Tex 5120", O1005="Fire Control"),Q1005&gt;0), "CERT.",TRUE,"-")</f>
        <v>-</v>
      </c>
    </row>
    <row r="1006" spans="1:22" x14ac:dyDescent="0.25">
      <c r="A1006" s="168"/>
      <c r="B1006" s="876"/>
      <c r="C1006" s="161"/>
      <c r="D1006" s="161"/>
      <c r="E1006" s="161"/>
      <c r="F1006" s="41"/>
      <c r="G1006" s="161"/>
      <c r="H1006" s="161"/>
      <c r="I1006" s="166"/>
      <c r="J1006" s="162"/>
      <c r="K1006" s="161"/>
      <c r="L1006" s="161"/>
      <c r="M1006" s="169"/>
      <c r="N1006" s="163" t="str">
        <f t="shared" si="19"/>
        <v/>
      </c>
      <c r="O1006" s="41"/>
      <c r="P1006" s="41"/>
      <c r="Q1006" s="161" t="str">
        <f>+IF(OR(O1006="Fire Control",O1006="Fire Tex 5062",O1006="Fire Tex 5090",O1006="Fire Tex 5120"),'CALCULO PINTURA'!P1007," ")</f>
        <v xml:space="preserve"> </v>
      </c>
      <c r="R1006" s="164" t="str">
        <f>+IF(OR(O1006="Fire Control",O1006="Fire Tex 5062",O1006="Fire Tex 5090",O1006="Fire Tex 5120"),'CALCULO PINTURA'!R1007," ")</f>
        <v xml:space="preserve"> </v>
      </c>
      <c r="S1006" s="164" t="str">
        <f>+IF(OR(O1006="Fire Control",O1006="Fire Tex 5062",O1006="Fire Tex 5090",O1006="Fire Tex 5120"),'CALCULO PINTURA'!S1007," ")</f>
        <v xml:space="preserve"> </v>
      </c>
      <c r="T1006" s="874" t="str">
        <f>+IF(OR(O1006="Blaze Shield II",O1006="Cafco 400",O1006="Cafco 300"),'CALCULO MORTERO'!N1012," ")</f>
        <v xml:space="preserve"> </v>
      </c>
      <c r="U1006" s="875" t="str">
        <f>+IF(OR(O1006="Blaze Shield II",O1006="Cafco 400",O1006="Cafco 300"),'CALCULO MORTERO'!O1012," ")</f>
        <v xml:space="preserve"> </v>
      </c>
      <c r="V1006" s="161" t="str" cm="1">
        <f t="array" ref="V1006">_xlfn.IFS(O1006="Blaze Shield II",'CALCULO MORTERO'!P1007, O1006="Cafco 400",'CALCULO MORTERO'!Q1007,O1006="Cafco 300",'CALCULO MORTERO'!S1007, AND(OR(O1006="Fire tex 5090", O1006="Fire Tex 5062", O1006="Fire Tex 5120", O1006="Fire Control"),Q1006&gt;0), "CERT.",TRUE,"-")</f>
        <v>-</v>
      </c>
    </row>
    <row r="1007" spans="1:22" x14ac:dyDescent="0.25">
      <c r="A1007" s="168"/>
      <c r="B1007" s="876"/>
      <c r="C1007" s="161"/>
      <c r="D1007" s="161"/>
      <c r="E1007" s="161"/>
      <c r="F1007" s="41"/>
      <c r="G1007" s="161"/>
      <c r="H1007" s="161"/>
      <c r="I1007" s="166"/>
      <c r="J1007" s="162"/>
      <c r="K1007" s="161"/>
      <c r="L1007" s="161"/>
      <c r="M1007" s="169"/>
      <c r="N1007" s="163" t="str">
        <f t="shared" si="19"/>
        <v/>
      </c>
      <c r="O1007" s="41"/>
      <c r="P1007" s="41"/>
      <c r="Q1007" s="161" t="str">
        <f>+IF(OR(O1007="Fire Control",O1007="Fire Tex 5062",O1007="Fire Tex 5090",O1007="Fire Tex 5120"),'CALCULO PINTURA'!P1008," ")</f>
        <v xml:space="preserve"> </v>
      </c>
      <c r="R1007" s="164" t="str">
        <f>+IF(OR(O1007="Fire Control",O1007="Fire Tex 5062",O1007="Fire Tex 5090",O1007="Fire Tex 5120"),'CALCULO PINTURA'!R1008," ")</f>
        <v xml:space="preserve"> </v>
      </c>
      <c r="S1007" s="164" t="str">
        <f>+IF(OR(O1007="Fire Control",O1007="Fire Tex 5062",O1007="Fire Tex 5090",O1007="Fire Tex 5120"),'CALCULO PINTURA'!S1008," ")</f>
        <v xml:space="preserve"> </v>
      </c>
      <c r="T1007" s="874" t="str">
        <f>+IF(OR(O1007="Blaze Shield II",O1007="Cafco 400",O1007="Cafco 300"),'CALCULO MORTERO'!N1013," ")</f>
        <v xml:space="preserve"> </v>
      </c>
      <c r="U1007" s="875" t="str">
        <f>+IF(OR(O1007="Blaze Shield II",O1007="Cafco 400",O1007="Cafco 300"),'CALCULO MORTERO'!O1013," ")</f>
        <v xml:space="preserve"> </v>
      </c>
      <c r="V1007" s="161" t="str" cm="1">
        <f t="array" ref="V1007">_xlfn.IFS(O1007="Blaze Shield II",'CALCULO MORTERO'!P1008, O1007="Cafco 400",'CALCULO MORTERO'!Q1008,O1007="Cafco 300",'CALCULO MORTERO'!S1008, AND(OR(O1007="Fire tex 5090", O1007="Fire Tex 5062", O1007="Fire Tex 5120", O1007="Fire Control"),Q1007&gt;0), "CERT.",TRUE,"-")</f>
        <v>-</v>
      </c>
    </row>
    <row r="1008" spans="1:22" x14ac:dyDescent="0.25">
      <c r="A1008" s="168"/>
      <c r="B1008" s="876"/>
      <c r="C1008" s="161"/>
      <c r="D1008" s="161"/>
      <c r="E1008" s="161"/>
      <c r="F1008" s="41"/>
      <c r="G1008" s="161"/>
      <c r="H1008" s="161"/>
      <c r="I1008" s="166"/>
      <c r="J1008" s="162"/>
      <c r="K1008" s="161"/>
      <c r="L1008" s="161"/>
      <c r="M1008" s="169"/>
      <c r="N1008" s="163" t="str">
        <f t="shared" si="19"/>
        <v/>
      </c>
      <c r="O1008" s="41"/>
      <c r="P1008" s="41"/>
      <c r="Q1008" s="161" t="str">
        <f>+IF(OR(O1008="Fire Control",O1008="Fire Tex 5062",O1008="Fire Tex 5090",O1008="Fire Tex 5120"),'CALCULO PINTURA'!P1009," ")</f>
        <v xml:space="preserve"> </v>
      </c>
      <c r="R1008" s="164" t="str">
        <f>+IF(OR(O1008="Fire Control",O1008="Fire Tex 5062",O1008="Fire Tex 5090",O1008="Fire Tex 5120"),'CALCULO PINTURA'!R1009," ")</f>
        <v xml:space="preserve"> </v>
      </c>
      <c r="S1008" s="164" t="str">
        <f>+IF(OR(O1008="Fire Control",O1008="Fire Tex 5062",O1008="Fire Tex 5090",O1008="Fire Tex 5120"),'CALCULO PINTURA'!S1009," ")</f>
        <v xml:space="preserve"> </v>
      </c>
      <c r="T1008" s="874" t="str">
        <f>+IF(OR(O1008="Blaze Shield II",O1008="Cafco 400",O1008="Cafco 300"),'CALCULO MORTERO'!N1014," ")</f>
        <v xml:space="preserve"> </v>
      </c>
      <c r="U1008" s="875" t="str">
        <f>+IF(OR(O1008="Blaze Shield II",O1008="Cafco 400",O1008="Cafco 300"),'CALCULO MORTERO'!O1014," ")</f>
        <v xml:space="preserve"> </v>
      </c>
      <c r="V1008" s="161" t="str" cm="1">
        <f t="array" ref="V1008">_xlfn.IFS(O1008="Blaze Shield II",'CALCULO MORTERO'!P1009, O1008="Cafco 400",'CALCULO MORTERO'!Q1009,O1008="Cafco 300",'CALCULO MORTERO'!S1009, AND(OR(O1008="Fire tex 5090", O1008="Fire Tex 5062", O1008="Fire Tex 5120", O1008="Fire Control"),Q1008&gt;0), "CERT.",TRUE,"-")</f>
        <v>-</v>
      </c>
    </row>
    <row r="1009" spans="1:22" x14ac:dyDescent="0.25">
      <c r="A1009" s="168"/>
      <c r="B1009" s="876"/>
      <c r="C1009" s="161"/>
      <c r="D1009" s="161"/>
      <c r="E1009" s="161"/>
      <c r="F1009" s="41"/>
      <c r="G1009" s="161"/>
      <c r="H1009" s="161"/>
      <c r="I1009" s="166"/>
      <c r="J1009" s="162"/>
      <c r="K1009" s="161"/>
      <c r="L1009" s="161"/>
      <c r="M1009" s="169"/>
      <c r="N1009" s="163" t="str">
        <f t="shared" si="19"/>
        <v/>
      </c>
      <c r="O1009" s="41"/>
      <c r="P1009" s="41"/>
      <c r="Q1009" s="161" t="str">
        <f>+IF(OR(O1009="Fire Control",O1009="Fire Tex 5062",O1009="Fire Tex 5090",O1009="Fire Tex 5120"),'CALCULO PINTURA'!P1010," ")</f>
        <v xml:space="preserve"> </v>
      </c>
      <c r="R1009" s="164" t="str">
        <f>+IF(OR(O1009="Fire Control",O1009="Fire Tex 5062",O1009="Fire Tex 5090",O1009="Fire Tex 5120"),'CALCULO PINTURA'!R1010," ")</f>
        <v xml:space="preserve"> </v>
      </c>
      <c r="S1009" s="164" t="str">
        <f>+IF(OR(O1009="Fire Control",O1009="Fire Tex 5062",O1009="Fire Tex 5090",O1009="Fire Tex 5120"),'CALCULO PINTURA'!S1010," ")</f>
        <v xml:space="preserve"> </v>
      </c>
      <c r="T1009" s="874" t="str">
        <f>+IF(OR(O1009="Blaze Shield II",O1009="Cafco 400",O1009="Cafco 300"),'CALCULO MORTERO'!N1015," ")</f>
        <v xml:space="preserve"> </v>
      </c>
      <c r="U1009" s="875" t="str">
        <f>+IF(OR(O1009="Blaze Shield II",O1009="Cafco 400",O1009="Cafco 300"),'CALCULO MORTERO'!O1015," ")</f>
        <v xml:space="preserve"> </v>
      </c>
      <c r="V1009" s="161" t="str" cm="1">
        <f t="array" ref="V1009">_xlfn.IFS(O1009="Blaze Shield II",'CALCULO MORTERO'!P1010, O1009="Cafco 400",'CALCULO MORTERO'!Q1010,O1009="Cafco 300",'CALCULO MORTERO'!S1010, AND(OR(O1009="Fire tex 5090", O1009="Fire Tex 5062", O1009="Fire Tex 5120", O1009="Fire Control"),Q1009&gt;0), "CERT.",TRUE,"-")</f>
        <v>-</v>
      </c>
    </row>
    <row r="1010" spans="1:22" x14ac:dyDescent="0.25">
      <c r="A1010" s="168"/>
      <c r="B1010" s="876"/>
      <c r="C1010" s="161"/>
      <c r="D1010" s="161"/>
      <c r="E1010" s="161"/>
      <c r="F1010" s="41"/>
      <c r="G1010" s="161"/>
      <c r="H1010" s="161"/>
      <c r="I1010" s="166"/>
      <c r="J1010" s="162"/>
      <c r="K1010" s="161"/>
      <c r="L1010" s="161"/>
      <c r="M1010" s="169"/>
      <c r="N1010" s="163" t="str">
        <f t="shared" si="19"/>
        <v/>
      </c>
      <c r="O1010" s="41"/>
      <c r="P1010" s="41"/>
      <c r="Q1010" s="161" t="str">
        <f>+IF(OR(O1010="Fire Control",O1010="Fire Tex 5062",O1010="Fire Tex 5090",O1010="Fire Tex 5120"),'CALCULO PINTURA'!P1011," ")</f>
        <v xml:space="preserve"> </v>
      </c>
      <c r="R1010" s="164" t="str">
        <f>+IF(OR(O1010="Fire Control",O1010="Fire Tex 5062",O1010="Fire Tex 5090",O1010="Fire Tex 5120"),'CALCULO PINTURA'!R1011," ")</f>
        <v xml:space="preserve"> </v>
      </c>
      <c r="S1010" s="164" t="str">
        <f>+IF(OR(O1010="Fire Control",O1010="Fire Tex 5062",O1010="Fire Tex 5090",O1010="Fire Tex 5120"),'CALCULO PINTURA'!S1011," ")</f>
        <v xml:space="preserve"> </v>
      </c>
      <c r="T1010" s="874" t="str">
        <f>+IF(OR(O1010="Blaze Shield II",O1010="Cafco 400",O1010="Cafco 300"),'CALCULO MORTERO'!N1016," ")</f>
        <v xml:space="preserve"> </v>
      </c>
      <c r="U1010" s="875" t="str">
        <f>+IF(OR(O1010="Blaze Shield II",O1010="Cafco 400",O1010="Cafco 300"),'CALCULO MORTERO'!O1016," ")</f>
        <v xml:space="preserve"> </v>
      </c>
      <c r="V1010" s="161" t="str" cm="1">
        <f t="array" ref="V1010">_xlfn.IFS(O1010="Blaze Shield II",'CALCULO MORTERO'!P1011, O1010="Cafco 400",'CALCULO MORTERO'!Q1011,O1010="Cafco 300",'CALCULO MORTERO'!S1011, AND(OR(O1010="Fire tex 5090", O1010="Fire Tex 5062", O1010="Fire Tex 5120", O1010="Fire Control"),Q1010&gt;0), "CERT.",TRUE,"-")</f>
        <v>-</v>
      </c>
    </row>
    <row r="1011" spans="1:22" x14ac:dyDescent="0.25">
      <c r="A1011" s="168"/>
      <c r="B1011" s="876"/>
      <c r="C1011" s="161"/>
      <c r="D1011" s="161"/>
      <c r="E1011" s="161"/>
      <c r="F1011" s="41"/>
      <c r="G1011" s="161"/>
      <c r="H1011" s="161"/>
      <c r="I1011" s="166"/>
      <c r="J1011" s="162"/>
      <c r="K1011" s="161"/>
      <c r="L1011" s="161"/>
      <c r="M1011" s="169"/>
      <c r="N1011" s="163" t="str">
        <f t="shared" si="19"/>
        <v/>
      </c>
      <c r="O1011" s="41"/>
      <c r="P1011" s="41"/>
      <c r="Q1011" s="161" t="str">
        <f>+IF(OR(O1011="Fire Control",O1011="Fire Tex 5062",O1011="Fire Tex 5090",O1011="Fire Tex 5120"),'CALCULO PINTURA'!P1012," ")</f>
        <v xml:space="preserve"> </v>
      </c>
      <c r="R1011" s="164" t="str">
        <f>+IF(OR(O1011="Fire Control",O1011="Fire Tex 5062",O1011="Fire Tex 5090",O1011="Fire Tex 5120"),'CALCULO PINTURA'!R1012," ")</f>
        <v xml:space="preserve"> </v>
      </c>
      <c r="S1011" s="164" t="str">
        <f>+IF(OR(O1011="Fire Control",O1011="Fire Tex 5062",O1011="Fire Tex 5090",O1011="Fire Tex 5120"),'CALCULO PINTURA'!S1012," ")</f>
        <v xml:space="preserve"> </v>
      </c>
      <c r="T1011" s="874" t="str">
        <f>+IF(OR(O1011="Blaze Shield II",O1011="Cafco 400",O1011="Cafco 300"),'CALCULO MORTERO'!N1017," ")</f>
        <v xml:space="preserve"> </v>
      </c>
      <c r="U1011" s="875" t="str">
        <f>+IF(OR(O1011="Blaze Shield II",O1011="Cafco 400",O1011="Cafco 300"),'CALCULO MORTERO'!O1017," ")</f>
        <v xml:space="preserve"> </v>
      </c>
      <c r="V1011" s="161" t="str" cm="1">
        <f t="array" ref="V1011">_xlfn.IFS(O1011="Blaze Shield II",'CALCULO MORTERO'!P1012, O1011="Cafco 400",'CALCULO MORTERO'!Q1012,O1011="Cafco 300",'CALCULO MORTERO'!S1012, AND(OR(O1011="Fire tex 5090", O1011="Fire Tex 5062", O1011="Fire Tex 5120", O1011="Fire Control"),Q1011&gt;0), "CERT.",TRUE,"-")</f>
        <v>-</v>
      </c>
    </row>
    <row r="1012" spans="1:22" x14ac:dyDescent="0.25">
      <c r="A1012" s="168"/>
      <c r="B1012" s="876"/>
      <c r="C1012" s="161"/>
      <c r="D1012" s="161"/>
      <c r="E1012" s="161"/>
      <c r="F1012" s="161"/>
      <c r="G1012" s="161"/>
      <c r="H1012" s="161"/>
      <c r="I1012" s="166"/>
      <c r="J1012" s="162"/>
      <c r="K1012" s="161"/>
      <c r="L1012" s="161"/>
      <c r="M1012" s="163"/>
      <c r="N1012" s="163" t="str">
        <f t="shared" si="19"/>
        <v/>
      </c>
      <c r="O1012" s="41"/>
      <c r="P1012" s="41"/>
      <c r="Q1012" s="161" t="str">
        <f>+IF(OR(O1012="Fire Control",O1012="Fire Tex 5062",O1012="Fire Tex 5090",O1012="Fire Tex 5120"),'CALCULO PINTURA'!P1013," ")</f>
        <v xml:space="preserve"> </v>
      </c>
      <c r="R1012" s="164" t="str">
        <f>+IF(OR(O1012="Fire Control",O1012="Fire Tex 5062",O1012="Fire Tex 5090",O1012="Fire Tex 5120"),'CALCULO PINTURA'!R1013," ")</f>
        <v xml:space="preserve"> </v>
      </c>
      <c r="S1012" s="164" t="str">
        <f>+IF(OR(O1012="Fire Control",O1012="Fire Tex 5062",O1012="Fire Tex 5090",O1012="Fire Tex 5120"),'CALCULO PINTURA'!S1013," ")</f>
        <v xml:space="preserve"> </v>
      </c>
      <c r="T1012" s="874" t="str">
        <f>+IF(OR(O1012="Blaze Shield II",O1012="Cafco 400",O1012="Cafco 300"),'CALCULO MORTERO'!N1018," ")</f>
        <v xml:space="preserve"> </v>
      </c>
      <c r="U1012" s="875" t="str">
        <f>+IF(OR(O1012="Blaze Shield II",O1012="Cafco 400",O1012="Cafco 300"),'CALCULO MORTERO'!O1018," ")</f>
        <v xml:space="preserve"> </v>
      </c>
      <c r="V1012" s="161" t="str" cm="1">
        <f t="array" ref="V1012">_xlfn.IFS(O1012="Blaze Shield II",'CALCULO MORTERO'!P1013, O1012="Cafco 400",'CALCULO MORTERO'!Q1013,O1012="Cafco 300",'CALCULO MORTERO'!S1013, AND(OR(O1012="Fire tex 5090", O1012="Fire Tex 5062", O1012="Fire Tex 5120", O1012="Fire Control"),Q1012&gt;0), "CERT.",TRUE,"-")</f>
        <v>-</v>
      </c>
    </row>
    <row r="1013" spans="1:22" x14ac:dyDescent="0.25">
      <c r="A1013" s="168"/>
      <c r="B1013" s="876"/>
      <c r="C1013" s="161"/>
      <c r="D1013" s="161"/>
      <c r="E1013" s="161"/>
      <c r="F1013" s="161"/>
      <c r="G1013" s="161"/>
      <c r="H1013" s="161"/>
      <c r="I1013" s="166"/>
      <c r="J1013" s="162"/>
      <c r="K1013" s="161"/>
      <c r="L1013" s="161"/>
      <c r="M1013" s="169"/>
      <c r="N1013" s="163" t="str">
        <f t="shared" si="19"/>
        <v/>
      </c>
      <c r="O1013" s="41"/>
      <c r="P1013" s="41"/>
      <c r="Q1013" s="161" t="str">
        <f>+IF(OR(O1013="Fire Control",O1013="Fire Tex 5062",O1013="Fire Tex 5090",O1013="Fire Tex 5120"),'CALCULO PINTURA'!P1014," ")</f>
        <v xml:space="preserve"> </v>
      </c>
      <c r="R1013" s="164" t="str">
        <f>+IF(OR(O1013="Fire Control",O1013="Fire Tex 5062",O1013="Fire Tex 5090",O1013="Fire Tex 5120"),'CALCULO PINTURA'!R1014," ")</f>
        <v xml:space="preserve"> </v>
      </c>
      <c r="S1013" s="164" t="str">
        <f>+IF(OR(O1013="Fire Control",O1013="Fire Tex 5062",O1013="Fire Tex 5090",O1013="Fire Tex 5120"),'CALCULO PINTURA'!S1014," ")</f>
        <v xml:space="preserve"> </v>
      </c>
      <c r="T1013" s="874" t="str">
        <f>+IF(OR(O1013="Blaze Shield II",O1013="Cafco 400",O1013="Cafco 300"),'CALCULO MORTERO'!N1019," ")</f>
        <v xml:space="preserve"> </v>
      </c>
      <c r="U1013" s="875" t="str">
        <f>+IF(OR(O1013="Blaze Shield II",O1013="Cafco 400",O1013="Cafco 300"),'CALCULO MORTERO'!O1019," ")</f>
        <v xml:space="preserve"> </v>
      </c>
      <c r="V1013" s="161" t="str" cm="1">
        <f t="array" ref="V1013">_xlfn.IFS(O1013="Blaze Shield II",'CALCULO MORTERO'!P1014, O1013="Cafco 400",'CALCULO MORTERO'!Q1014,O1013="Cafco 300",'CALCULO MORTERO'!S1014, AND(OR(O1013="Fire tex 5090", O1013="Fire Tex 5062", O1013="Fire Tex 5120", O1013="Fire Control"),Q1013&gt;0), "CERT.",TRUE,"-")</f>
        <v>-</v>
      </c>
    </row>
    <row r="1014" spans="1:22" x14ac:dyDescent="0.25">
      <c r="A1014" s="168"/>
      <c r="B1014" s="876"/>
      <c r="C1014" s="161"/>
      <c r="D1014" s="161"/>
      <c r="E1014" s="161"/>
      <c r="F1014" s="41"/>
      <c r="G1014" s="161"/>
      <c r="H1014" s="161"/>
      <c r="I1014" s="166"/>
      <c r="J1014" s="162"/>
      <c r="K1014" s="161"/>
      <c r="L1014" s="161"/>
      <c r="M1014" s="169"/>
      <c r="N1014" s="163" t="str">
        <f t="shared" si="19"/>
        <v/>
      </c>
      <c r="O1014" s="41"/>
      <c r="P1014" s="41"/>
      <c r="Q1014" s="161" t="str">
        <f>+IF(OR(O1014="Fire Control",O1014="Fire Tex 5062",O1014="Fire Tex 5090",O1014="Fire Tex 5120"),'CALCULO PINTURA'!P1015," ")</f>
        <v xml:space="preserve"> </v>
      </c>
      <c r="R1014" s="164" t="str">
        <f>+IF(OR(O1014="Fire Control",O1014="Fire Tex 5062",O1014="Fire Tex 5090",O1014="Fire Tex 5120"),'CALCULO PINTURA'!R1015," ")</f>
        <v xml:space="preserve"> </v>
      </c>
      <c r="S1014" s="164" t="str">
        <f>+IF(OR(O1014="Fire Control",O1014="Fire Tex 5062",O1014="Fire Tex 5090",O1014="Fire Tex 5120"),'CALCULO PINTURA'!S1015," ")</f>
        <v xml:space="preserve"> </v>
      </c>
      <c r="T1014" s="874" t="str">
        <f>+IF(OR(O1014="Blaze Shield II",O1014="Cafco 400",O1014="Cafco 300"),'CALCULO MORTERO'!N1020," ")</f>
        <v xml:space="preserve"> </v>
      </c>
      <c r="U1014" s="875" t="str">
        <f>+IF(OR(O1014="Blaze Shield II",O1014="Cafco 400",O1014="Cafco 300"),'CALCULO MORTERO'!O1020," ")</f>
        <v xml:space="preserve"> </v>
      </c>
      <c r="V1014" s="161" t="str" cm="1">
        <f t="array" ref="V1014">_xlfn.IFS(O1014="Blaze Shield II",'CALCULO MORTERO'!P1015, O1014="Cafco 400",'CALCULO MORTERO'!Q1015,O1014="Cafco 300",'CALCULO MORTERO'!S1015, AND(OR(O1014="Fire tex 5090", O1014="Fire Tex 5062", O1014="Fire Tex 5120", O1014="Fire Control"),Q1014&gt;0), "CERT.",TRUE,"-")</f>
        <v>-</v>
      </c>
    </row>
    <row r="1015" spans="1:22" x14ac:dyDescent="0.25">
      <c r="A1015" s="168"/>
      <c r="B1015" s="876"/>
      <c r="C1015" s="161"/>
      <c r="D1015" s="161"/>
      <c r="E1015" s="161"/>
      <c r="F1015" s="161"/>
      <c r="G1015" s="161"/>
      <c r="H1015" s="161"/>
      <c r="I1015" s="166"/>
      <c r="J1015" s="162"/>
      <c r="K1015" s="161"/>
      <c r="L1015" s="161"/>
      <c r="M1015" s="163"/>
      <c r="N1015" s="163" t="str">
        <f t="shared" si="19"/>
        <v/>
      </c>
      <c r="O1015" s="41"/>
      <c r="P1015" s="41"/>
      <c r="Q1015" s="161" t="str">
        <f>+IF(OR(O1015="Fire Control",O1015="Fire Tex 5062",O1015="Fire Tex 5090",O1015="Fire Tex 5120"),'CALCULO PINTURA'!P1016," ")</f>
        <v xml:space="preserve"> </v>
      </c>
      <c r="R1015" s="164" t="str">
        <f>+IF(OR(O1015="Fire Control",O1015="Fire Tex 5062",O1015="Fire Tex 5090",O1015="Fire Tex 5120"),'CALCULO PINTURA'!R1016," ")</f>
        <v xml:space="preserve"> </v>
      </c>
      <c r="S1015" s="164" t="str">
        <f>+IF(OR(O1015="Fire Control",O1015="Fire Tex 5062",O1015="Fire Tex 5090",O1015="Fire Tex 5120"),'CALCULO PINTURA'!S1016," ")</f>
        <v xml:space="preserve"> </v>
      </c>
      <c r="T1015" s="874" t="str">
        <f>+IF(OR(O1015="Blaze Shield II",O1015="Cafco 400",O1015="Cafco 300"),'CALCULO MORTERO'!N1021," ")</f>
        <v xml:space="preserve"> </v>
      </c>
      <c r="U1015" s="875" t="str">
        <f>+IF(OR(O1015="Blaze Shield II",O1015="Cafco 400",O1015="Cafco 300"),'CALCULO MORTERO'!O1021," ")</f>
        <v xml:space="preserve"> </v>
      </c>
      <c r="V1015" s="161" t="str" cm="1">
        <f t="array" ref="V1015">_xlfn.IFS(O1015="Blaze Shield II",'CALCULO MORTERO'!P1016, O1015="Cafco 400",'CALCULO MORTERO'!Q1016,O1015="Cafco 300",'CALCULO MORTERO'!S1016, AND(OR(O1015="Fire tex 5090", O1015="Fire Tex 5062", O1015="Fire Tex 5120", O1015="Fire Control"),Q1015&gt;0), "CERT.",TRUE,"-")</f>
        <v>-</v>
      </c>
    </row>
    <row r="1016" spans="1:22" x14ac:dyDescent="0.25">
      <c r="A1016" s="168"/>
      <c r="B1016" s="876"/>
      <c r="C1016" s="161"/>
      <c r="D1016" s="161"/>
      <c r="E1016" s="161"/>
      <c r="F1016" s="161"/>
      <c r="G1016" s="161"/>
      <c r="H1016" s="161"/>
      <c r="I1016" s="166"/>
      <c r="J1016" s="162"/>
      <c r="K1016" s="161"/>
      <c r="L1016" s="161"/>
      <c r="M1016" s="169"/>
      <c r="N1016" s="163" t="str">
        <f t="shared" si="19"/>
        <v/>
      </c>
      <c r="O1016" s="41"/>
      <c r="P1016" s="41"/>
      <c r="Q1016" s="161" t="str">
        <f>+IF(OR(O1016="Fire Control",O1016="Fire Tex 5062",O1016="Fire Tex 5090",O1016="Fire Tex 5120"),'CALCULO PINTURA'!P1017," ")</f>
        <v xml:space="preserve"> </v>
      </c>
      <c r="R1016" s="164" t="str">
        <f>+IF(OR(O1016="Fire Control",O1016="Fire Tex 5062",O1016="Fire Tex 5090",O1016="Fire Tex 5120"),'CALCULO PINTURA'!R1017," ")</f>
        <v xml:space="preserve"> </v>
      </c>
      <c r="S1016" s="164" t="str">
        <f>+IF(OR(O1016="Fire Control",O1016="Fire Tex 5062",O1016="Fire Tex 5090",O1016="Fire Tex 5120"),'CALCULO PINTURA'!S1017," ")</f>
        <v xml:space="preserve"> </v>
      </c>
      <c r="T1016" s="874" t="str">
        <f>+IF(OR(O1016="Blaze Shield II",O1016="Cafco 400",O1016="Cafco 300"),'CALCULO MORTERO'!N1022," ")</f>
        <v xml:space="preserve"> </v>
      </c>
      <c r="U1016" s="875" t="str">
        <f>+IF(OR(O1016="Blaze Shield II",O1016="Cafco 400",O1016="Cafco 300"),'CALCULO MORTERO'!O1022," ")</f>
        <v xml:space="preserve"> </v>
      </c>
      <c r="V1016" s="161" t="str" cm="1">
        <f t="array" ref="V1016">_xlfn.IFS(O1016="Blaze Shield II",'CALCULO MORTERO'!P1017, O1016="Cafco 400",'CALCULO MORTERO'!Q1017,O1016="Cafco 300",'CALCULO MORTERO'!S1017, AND(OR(O1016="Fire tex 5090", O1016="Fire Tex 5062", O1016="Fire Tex 5120", O1016="Fire Control"),Q1016&gt;0), "CERT.",TRUE,"-")</f>
        <v>-</v>
      </c>
    </row>
    <row r="1017" spans="1:22" x14ac:dyDescent="0.25">
      <c r="A1017" s="168"/>
      <c r="B1017" s="876"/>
      <c r="C1017" s="161"/>
      <c r="D1017" s="161"/>
      <c r="E1017" s="161"/>
      <c r="F1017" s="41"/>
      <c r="G1017" s="161"/>
      <c r="H1017" s="161"/>
      <c r="I1017" s="166"/>
      <c r="J1017" s="162"/>
      <c r="K1017" s="161"/>
      <c r="L1017" s="161"/>
      <c r="M1017" s="169"/>
      <c r="N1017" s="163" t="str">
        <f t="shared" si="19"/>
        <v/>
      </c>
      <c r="O1017" s="41"/>
      <c r="P1017" s="41"/>
      <c r="Q1017" s="161" t="str">
        <f>+IF(OR(O1017="Fire Control",O1017="Fire Tex 5062",O1017="Fire Tex 5090",O1017="Fire Tex 5120"),'CALCULO PINTURA'!P1018," ")</f>
        <v xml:space="preserve"> </v>
      </c>
      <c r="R1017" s="164" t="str">
        <f>+IF(OR(O1017="Fire Control",O1017="Fire Tex 5062",O1017="Fire Tex 5090",O1017="Fire Tex 5120"),'CALCULO PINTURA'!R1018," ")</f>
        <v xml:space="preserve"> </v>
      </c>
      <c r="S1017" s="164" t="str">
        <f>+IF(OR(O1017="Fire Control",O1017="Fire Tex 5062",O1017="Fire Tex 5090",O1017="Fire Tex 5120"),'CALCULO PINTURA'!S1018," ")</f>
        <v xml:space="preserve"> </v>
      </c>
      <c r="T1017" s="874" t="str">
        <f>+IF(OR(O1017="Blaze Shield II",O1017="Cafco 400",O1017="Cafco 300"),'CALCULO MORTERO'!N1023," ")</f>
        <v xml:space="preserve"> </v>
      </c>
      <c r="U1017" s="875" t="str">
        <f>+IF(OR(O1017="Blaze Shield II",O1017="Cafco 400",O1017="Cafco 300"),'CALCULO MORTERO'!O1023," ")</f>
        <v xml:space="preserve"> </v>
      </c>
      <c r="V1017" s="161" t="str" cm="1">
        <f t="array" ref="V1017">_xlfn.IFS(O1017="Blaze Shield II",'CALCULO MORTERO'!P1018, O1017="Cafco 400",'CALCULO MORTERO'!Q1018,O1017="Cafco 300",'CALCULO MORTERO'!S1018, AND(OR(O1017="Fire tex 5090", O1017="Fire Tex 5062", O1017="Fire Tex 5120", O1017="Fire Control"),Q1017&gt;0), "CERT.",TRUE,"-")</f>
        <v>-</v>
      </c>
    </row>
    <row r="1018" spans="1:22" x14ac:dyDescent="0.25">
      <c r="A1018" s="168"/>
      <c r="B1018" s="876"/>
      <c r="C1018" s="161"/>
      <c r="D1018" s="161"/>
      <c r="E1018" s="161"/>
      <c r="F1018" s="161"/>
      <c r="G1018" s="161"/>
      <c r="H1018" s="161"/>
      <c r="I1018" s="166"/>
      <c r="J1018" s="162"/>
      <c r="K1018" s="161"/>
      <c r="L1018" s="161"/>
      <c r="M1018" s="163"/>
      <c r="N1018" s="163" t="str">
        <f t="shared" si="19"/>
        <v/>
      </c>
      <c r="O1018" s="41"/>
      <c r="P1018" s="41"/>
      <c r="Q1018" s="161" t="str">
        <f>+IF(OR(O1018="Fire Control",O1018="Fire Tex 5062",O1018="Fire Tex 5090",O1018="Fire Tex 5120"),'CALCULO PINTURA'!P1019," ")</f>
        <v xml:space="preserve"> </v>
      </c>
      <c r="R1018" s="164" t="str">
        <f>+IF(OR(O1018="Fire Control",O1018="Fire Tex 5062",O1018="Fire Tex 5090",O1018="Fire Tex 5120"),'CALCULO PINTURA'!R1019," ")</f>
        <v xml:space="preserve"> </v>
      </c>
      <c r="S1018" s="164" t="str">
        <f>+IF(OR(O1018="Fire Control",O1018="Fire Tex 5062",O1018="Fire Tex 5090",O1018="Fire Tex 5120"),'CALCULO PINTURA'!S1019," ")</f>
        <v xml:space="preserve"> </v>
      </c>
      <c r="T1018" s="874" t="str">
        <f>+IF(OR(O1018="Blaze Shield II",O1018="Cafco 400",O1018="Cafco 300"),'CALCULO MORTERO'!N1024," ")</f>
        <v xml:space="preserve"> </v>
      </c>
      <c r="U1018" s="875" t="str">
        <f>+IF(OR(O1018="Blaze Shield II",O1018="Cafco 400",O1018="Cafco 300"),'CALCULO MORTERO'!O1024," ")</f>
        <v xml:space="preserve"> </v>
      </c>
      <c r="V1018" s="161" t="str" cm="1">
        <f t="array" ref="V1018">_xlfn.IFS(O1018="Blaze Shield II",'CALCULO MORTERO'!P1019, O1018="Cafco 400",'CALCULO MORTERO'!Q1019,O1018="Cafco 300",'CALCULO MORTERO'!S1019, AND(OR(O1018="Fire tex 5090", O1018="Fire Tex 5062", O1018="Fire Tex 5120", O1018="Fire Control"),Q1018&gt;0), "CERT.",TRUE,"-")</f>
        <v>-</v>
      </c>
    </row>
    <row r="1019" spans="1:22" x14ac:dyDescent="0.25">
      <c r="A1019" s="168"/>
      <c r="B1019" s="876"/>
      <c r="C1019" s="161"/>
      <c r="D1019" s="161"/>
      <c r="E1019" s="161"/>
      <c r="F1019" s="161"/>
      <c r="G1019" s="161"/>
      <c r="H1019" s="161"/>
      <c r="I1019" s="166"/>
      <c r="J1019" s="162"/>
      <c r="K1019" s="161"/>
      <c r="L1019" s="161"/>
      <c r="M1019" s="169"/>
      <c r="N1019" s="163" t="str">
        <f t="shared" si="19"/>
        <v/>
      </c>
      <c r="O1019" s="41"/>
      <c r="P1019" s="41"/>
      <c r="Q1019" s="161" t="str">
        <f>+IF(OR(O1019="Fire Control",O1019="Fire Tex 5062",O1019="Fire Tex 5090",O1019="Fire Tex 5120"),'CALCULO PINTURA'!P1020," ")</f>
        <v xml:space="preserve"> </v>
      </c>
      <c r="R1019" s="164" t="str">
        <f>+IF(OR(O1019="Fire Control",O1019="Fire Tex 5062",O1019="Fire Tex 5090",O1019="Fire Tex 5120"),'CALCULO PINTURA'!R1020," ")</f>
        <v xml:space="preserve"> </v>
      </c>
      <c r="S1019" s="164" t="str">
        <f>+IF(OR(O1019="Fire Control",O1019="Fire Tex 5062",O1019="Fire Tex 5090",O1019="Fire Tex 5120"),'CALCULO PINTURA'!S1020," ")</f>
        <v xml:space="preserve"> </v>
      </c>
      <c r="T1019" s="874" t="str">
        <f>+IF(OR(O1019="Blaze Shield II",O1019="Cafco 400",O1019="Cafco 300"),'CALCULO MORTERO'!N1025," ")</f>
        <v xml:space="preserve"> </v>
      </c>
      <c r="U1019" s="875" t="str">
        <f>+IF(OR(O1019="Blaze Shield II",O1019="Cafco 400",O1019="Cafco 300"),'CALCULO MORTERO'!O1025," ")</f>
        <v xml:space="preserve"> </v>
      </c>
      <c r="V1019" s="161" t="str" cm="1">
        <f t="array" ref="V1019">_xlfn.IFS(O1019="Blaze Shield II",'CALCULO MORTERO'!P1020, O1019="Cafco 400",'CALCULO MORTERO'!Q1020,O1019="Cafco 300",'CALCULO MORTERO'!S1020, AND(OR(O1019="Fire tex 5090", O1019="Fire Tex 5062", O1019="Fire Tex 5120", O1019="Fire Control"),Q1019&gt;0), "CERT.",TRUE,"-")</f>
        <v>-</v>
      </c>
    </row>
    <row r="1020" spans="1:22" x14ac:dyDescent="0.25">
      <c r="A1020" s="168"/>
      <c r="B1020" s="876"/>
      <c r="C1020" s="161"/>
      <c r="D1020" s="161"/>
      <c r="E1020" s="161"/>
      <c r="F1020" s="41"/>
      <c r="G1020" s="161"/>
      <c r="H1020" s="161"/>
      <c r="I1020" s="166"/>
      <c r="J1020" s="162"/>
      <c r="K1020" s="161"/>
      <c r="L1020" s="161"/>
      <c r="M1020" s="163"/>
      <c r="N1020" s="163" t="str">
        <f t="shared" si="19"/>
        <v/>
      </c>
      <c r="O1020" s="41"/>
      <c r="P1020" s="41"/>
      <c r="Q1020" s="161" t="str">
        <f>+IF(OR(O1020="Fire Control",O1020="Fire Tex 5062",O1020="Fire Tex 5090",O1020="Fire Tex 5120"),'CALCULO PINTURA'!P1021," ")</f>
        <v xml:space="preserve"> </v>
      </c>
      <c r="R1020" s="164" t="str">
        <f>+IF(OR(O1020="Fire Control",O1020="Fire Tex 5062",O1020="Fire Tex 5090",O1020="Fire Tex 5120"),'CALCULO PINTURA'!R1021," ")</f>
        <v xml:space="preserve"> </v>
      </c>
      <c r="S1020" s="164" t="str">
        <f>+IF(OR(O1020="Fire Control",O1020="Fire Tex 5062",O1020="Fire Tex 5090",O1020="Fire Tex 5120"),'CALCULO PINTURA'!S1021," ")</f>
        <v xml:space="preserve"> </v>
      </c>
      <c r="T1020" s="874" t="str">
        <f>+IF(OR(O1020="Blaze Shield II",O1020="Cafco 400",O1020="Cafco 300"),'CALCULO MORTERO'!N1026," ")</f>
        <v xml:space="preserve"> </v>
      </c>
      <c r="U1020" s="875" t="str">
        <f>+IF(OR(O1020="Blaze Shield II",O1020="Cafco 400",O1020="Cafco 300"),'CALCULO MORTERO'!O1026," ")</f>
        <v xml:space="preserve"> </v>
      </c>
      <c r="V1020" s="161" t="str" cm="1">
        <f t="array" ref="V1020">_xlfn.IFS(O1020="Blaze Shield II",'CALCULO MORTERO'!P1021, O1020="Cafco 400",'CALCULO MORTERO'!Q1021,O1020="Cafco 300",'CALCULO MORTERO'!S1021, AND(OR(O1020="Fire tex 5090", O1020="Fire Tex 5062", O1020="Fire Tex 5120", O1020="Fire Control"),Q1020&gt;0), "CERT.",TRUE,"-")</f>
        <v>-</v>
      </c>
    </row>
    <row r="1021" spans="1:22" x14ac:dyDescent="0.25">
      <c r="A1021" s="168"/>
      <c r="B1021" s="876"/>
      <c r="C1021" s="161"/>
      <c r="D1021" s="161"/>
      <c r="E1021" s="161"/>
      <c r="F1021" s="161"/>
      <c r="G1021" s="161"/>
      <c r="H1021" s="161"/>
      <c r="I1021" s="166"/>
      <c r="J1021" s="162"/>
      <c r="K1021" s="161"/>
      <c r="L1021" s="161"/>
      <c r="M1021" s="163"/>
      <c r="N1021" s="163" t="str">
        <f t="shared" si="19"/>
        <v/>
      </c>
      <c r="O1021" s="41"/>
      <c r="P1021" s="41"/>
      <c r="Q1021" s="161" t="str">
        <f>+IF(OR(O1021="Fire Control",O1021="Fire Tex 5062",O1021="Fire Tex 5090",O1021="Fire Tex 5120"),'CALCULO PINTURA'!P1022," ")</f>
        <v xml:space="preserve"> </v>
      </c>
      <c r="R1021" s="164" t="str">
        <f>+IF(OR(O1021="Fire Control",O1021="Fire Tex 5062",O1021="Fire Tex 5090",O1021="Fire Tex 5120"),'CALCULO PINTURA'!R1022," ")</f>
        <v xml:space="preserve"> </v>
      </c>
      <c r="S1021" s="164" t="str">
        <f>+IF(OR(O1021="Fire Control",O1021="Fire Tex 5062",O1021="Fire Tex 5090",O1021="Fire Tex 5120"),'CALCULO PINTURA'!S1022," ")</f>
        <v xml:space="preserve"> </v>
      </c>
      <c r="T1021" s="874" t="str">
        <f>+IF(OR(O1021="Blaze Shield II",O1021="Cafco 400",O1021="Cafco 300"),'CALCULO MORTERO'!N1027," ")</f>
        <v xml:space="preserve"> </v>
      </c>
      <c r="U1021" s="875" t="str">
        <f>+IF(OR(O1021="Blaze Shield II",O1021="Cafco 400",O1021="Cafco 300"),'CALCULO MORTERO'!O1027," ")</f>
        <v xml:space="preserve"> </v>
      </c>
      <c r="V1021" s="161" t="str" cm="1">
        <f t="array" ref="V1021">_xlfn.IFS(O1021="Blaze Shield II",'CALCULO MORTERO'!P1022, O1021="Cafco 400",'CALCULO MORTERO'!Q1022,O1021="Cafco 300",'CALCULO MORTERO'!S1022, AND(OR(O1021="Fire tex 5090", O1021="Fire Tex 5062", O1021="Fire Tex 5120", O1021="Fire Control"),Q1021&gt;0), "CERT.",TRUE,"-")</f>
        <v>-</v>
      </c>
    </row>
    <row r="1022" spans="1:22" x14ac:dyDescent="0.25">
      <c r="A1022" s="168"/>
      <c r="B1022" s="876"/>
      <c r="C1022" s="161"/>
      <c r="D1022" s="161"/>
      <c r="E1022" s="161"/>
      <c r="F1022" s="41"/>
      <c r="G1022" s="161"/>
      <c r="H1022" s="161"/>
      <c r="I1022" s="166"/>
      <c r="J1022" s="162"/>
      <c r="K1022" s="161"/>
      <c r="L1022" s="161"/>
      <c r="M1022" s="163"/>
      <c r="N1022" s="163" t="str">
        <f t="shared" si="19"/>
        <v/>
      </c>
      <c r="O1022" s="41"/>
      <c r="P1022" s="41"/>
      <c r="Q1022" s="161" t="str">
        <f>+IF(OR(O1022="Fire Control",O1022="Fire Tex 5062",O1022="Fire Tex 5090",O1022="Fire Tex 5120"),'CALCULO PINTURA'!P1023," ")</f>
        <v xml:space="preserve"> </v>
      </c>
      <c r="R1022" s="164" t="str">
        <f>+IF(OR(O1022="Fire Control",O1022="Fire Tex 5062",O1022="Fire Tex 5090",O1022="Fire Tex 5120"),'CALCULO PINTURA'!R1023," ")</f>
        <v xml:space="preserve"> </v>
      </c>
      <c r="S1022" s="164" t="str">
        <f>+IF(OR(O1022="Fire Control",O1022="Fire Tex 5062",O1022="Fire Tex 5090",O1022="Fire Tex 5120"),'CALCULO PINTURA'!S1023," ")</f>
        <v xml:space="preserve"> </v>
      </c>
      <c r="T1022" s="874" t="str">
        <f>+IF(OR(O1022="Blaze Shield II",O1022="Cafco 400",O1022="Cafco 300"),'CALCULO MORTERO'!N1028," ")</f>
        <v xml:space="preserve"> </v>
      </c>
      <c r="U1022" s="875" t="str">
        <f>+IF(OR(O1022="Blaze Shield II",O1022="Cafco 400",O1022="Cafco 300"),'CALCULO MORTERO'!O1028," ")</f>
        <v xml:space="preserve"> </v>
      </c>
      <c r="V1022" s="161" t="str" cm="1">
        <f t="array" ref="V1022">_xlfn.IFS(O1022="Blaze Shield II",'CALCULO MORTERO'!P1023, O1022="Cafco 400",'CALCULO MORTERO'!Q1023,O1022="Cafco 300",'CALCULO MORTERO'!S1023, AND(OR(O1022="Fire tex 5090", O1022="Fire Tex 5062", O1022="Fire Tex 5120", O1022="Fire Control"),Q1022&gt;0), "CERT.",TRUE,"-")</f>
        <v>-</v>
      </c>
    </row>
    <row r="1023" spans="1:22" x14ac:dyDescent="0.25">
      <c r="A1023" s="168"/>
      <c r="B1023" s="876"/>
      <c r="C1023" s="161"/>
      <c r="D1023" s="161"/>
      <c r="E1023" s="161"/>
      <c r="F1023" s="161"/>
      <c r="G1023" s="161"/>
      <c r="H1023" s="161"/>
      <c r="I1023" s="166"/>
      <c r="J1023" s="162"/>
      <c r="K1023" s="161"/>
      <c r="L1023" s="161"/>
      <c r="M1023" s="163"/>
      <c r="N1023" s="163" t="str">
        <f t="shared" si="19"/>
        <v/>
      </c>
      <c r="O1023" s="41"/>
      <c r="P1023" s="41"/>
      <c r="Q1023" s="161" t="str">
        <f>+IF(OR(O1023="Fire Control",O1023="Fire Tex 5062",O1023="Fire Tex 5090",O1023="Fire Tex 5120"),'CALCULO PINTURA'!P1024," ")</f>
        <v xml:space="preserve"> </v>
      </c>
      <c r="R1023" s="164" t="str">
        <f>+IF(OR(O1023="Fire Control",O1023="Fire Tex 5062",O1023="Fire Tex 5090",O1023="Fire Tex 5120"),'CALCULO PINTURA'!R1024," ")</f>
        <v xml:space="preserve"> </v>
      </c>
      <c r="S1023" s="164" t="str">
        <f>+IF(OR(O1023="Fire Control",O1023="Fire Tex 5062",O1023="Fire Tex 5090",O1023="Fire Tex 5120"),'CALCULO PINTURA'!S1024," ")</f>
        <v xml:space="preserve"> </v>
      </c>
      <c r="T1023" s="874" t="str">
        <f>+IF(OR(O1023="Blaze Shield II",O1023="Cafco 400",O1023="Cafco 300"),'CALCULO MORTERO'!N1029," ")</f>
        <v xml:space="preserve"> </v>
      </c>
      <c r="U1023" s="875" t="str">
        <f>+IF(OR(O1023="Blaze Shield II",O1023="Cafco 400",O1023="Cafco 300"),'CALCULO MORTERO'!O1029," ")</f>
        <v xml:space="preserve"> </v>
      </c>
      <c r="V1023" s="161" t="str" cm="1">
        <f t="array" ref="V1023">_xlfn.IFS(O1023="Blaze Shield II",'CALCULO MORTERO'!P1024, O1023="Cafco 400",'CALCULO MORTERO'!Q1024,O1023="Cafco 300",'CALCULO MORTERO'!S1024, AND(OR(O1023="Fire tex 5090", O1023="Fire Tex 5062", O1023="Fire Tex 5120", O1023="Fire Control"),Q1023&gt;0), "CERT.",TRUE,"-")</f>
        <v>-</v>
      </c>
    </row>
    <row r="1024" spans="1:22" x14ac:dyDescent="0.25">
      <c r="A1024" s="168"/>
      <c r="B1024" s="876"/>
      <c r="C1024" s="161"/>
      <c r="D1024" s="161"/>
      <c r="E1024" s="161"/>
      <c r="F1024" s="41"/>
      <c r="G1024" s="161"/>
      <c r="H1024" s="161"/>
      <c r="I1024" s="166"/>
      <c r="J1024" s="162"/>
      <c r="K1024" s="161"/>
      <c r="L1024" s="161"/>
      <c r="M1024" s="163"/>
      <c r="N1024" s="163" t="str">
        <f t="shared" si="19"/>
        <v/>
      </c>
      <c r="O1024" s="41"/>
      <c r="P1024" s="41"/>
      <c r="Q1024" s="161" t="str">
        <f>+IF(OR(O1024="Fire Control",O1024="Fire Tex 5062",O1024="Fire Tex 5090",O1024="Fire Tex 5120"),'CALCULO PINTURA'!P1025," ")</f>
        <v xml:space="preserve"> </v>
      </c>
      <c r="R1024" s="164" t="str">
        <f>+IF(OR(O1024="Fire Control",O1024="Fire Tex 5062",O1024="Fire Tex 5090",O1024="Fire Tex 5120"),'CALCULO PINTURA'!R1025," ")</f>
        <v xml:space="preserve"> </v>
      </c>
      <c r="S1024" s="164" t="str">
        <f>+IF(OR(O1024="Fire Control",O1024="Fire Tex 5062",O1024="Fire Tex 5090",O1024="Fire Tex 5120"),'CALCULO PINTURA'!S1025," ")</f>
        <v xml:space="preserve"> </v>
      </c>
      <c r="T1024" s="874" t="str">
        <f>+IF(OR(O1024="Blaze Shield II",O1024="Cafco 400",O1024="Cafco 300"),'CALCULO MORTERO'!N1030," ")</f>
        <v xml:space="preserve"> </v>
      </c>
      <c r="U1024" s="875" t="str">
        <f>+IF(OR(O1024="Blaze Shield II",O1024="Cafco 400",O1024="Cafco 300"),'CALCULO MORTERO'!O1030," ")</f>
        <v xml:space="preserve"> </v>
      </c>
      <c r="V1024" s="161" t="str" cm="1">
        <f t="array" ref="V1024">_xlfn.IFS(O1024="Blaze Shield II",'CALCULO MORTERO'!P1025, O1024="Cafco 400",'CALCULO MORTERO'!Q1025,O1024="Cafco 300",'CALCULO MORTERO'!S1025, AND(OR(O1024="Fire tex 5090", O1024="Fire Tex 5062", O1024="Fire Tex 5120", O1024="Fire Control"),Q1024&gt;0), "CERT.",TRUE,"-")</f>
        <v>-</v>
      </c>
    </row>
    <row r="1025" spans="1:22" x14ac:dyDescent="0.25">
      <c r="A1025" s="168"/>
      <c r="B1025" s="862"/>
      <c r="C1025" s="161"/>
      <c r="D1025" s="161"/>
      <c r="E1025" s="41"/>
      <c r="F1025" s="41"/>
      <c r="G1025" s="161"/>
      <c r="H1025" s="161"/>
      <c r="I1025" s="166"/>
      <c r="J1025" s="162"/>
      <c r="K1025" s="161"/>
      <c r="L1025" s="161"/>
      <c r="M1025" s="169"/>
      <c r="N1025" s="163" t="str">
        <f t="shared" si="19"/>
        <v/>
      </c>
      <c r="O1025" s="41"/>
      <c r="P1025" s="41"/>
      <c r="Q1025" s="161" t="str">
        <f>+IF(OR(O1025="Fire Control",O1025="Fire Tex 5062",O1025="Fire Tex 5090",O1025="Fire Tex 5120"),'CALCULO PINTURA'!P163," ")</f>
        <v xml:space="preserve"> </v>
      </c>
      <c r="R1025" s="164" t="str">
        <f>+IF(OR(O1025="Fire Control",O1025="Fire Tex 5062",O1025="Fire Tex 5090",O1025="Fire Tex 5120"),'CALCULO PINTURA'!R163," ")</f>
        <v xml:space="preserve"> </v>
      </c>
      <c r="S1025" s="164" t="str">
        <f>+IF(OR(O1025="Fire Control",O1025="Fire Tex 5062",O1025="Fire Tex 5090",O1025="Fire Tex 5120"),'CALCULO PINTURA'!S163," ")</f>
        <v xml:space="preserve"> </v>
      </c>
      <c r="T1025" s="874" t="str">
        <f>+IF(OR(O1025="Blaze Shield II",O1025="Cafco 400",O1025="Cafco 300"),'CALCULO MORTERO'!N168," ")</f>
        <v xml:space="preserve"> </v>
      </c>
      <c r="U1025" s="875" t="str">
        <f>+IF(OR(O1025="Blaze Shield II",O1025="Cafco 400",O1025="Cafco 300"),'CALCULO MORTERO'!O168," ")</f>
        <v xml:space="preserve"> </v>
      </c>
      <c r="V1025" s="161" t="str" cm="1">
        <f t="array" ref="V1025">_xlfn.IFS(O1025="Blaze Shield II",'CALCULO MORTERO'!P1026, O1025="Cafco 400",'CALCULO MORTERO'!Q1026,O1025="Cafco 300",'CALCULO MORTERO'!S1026, AND(OR(O1025="Fire tex 5090", O1025="Fire Tex 5062", O1025="Fire Tex 5120", O1025="Fire Control"),Q1025&gt;0), "CERT.",TRUE,"-")</f>
        <v>-</v>
      </c>
    </row>
    <row r="1026" spans="1:22" x14ac:dyDescent="0.25">
      <c r="A1026" s="168"/>
      <c r="B1026" s="876"/>
      <c r="C1026" s="161"/>
      <c r="D1026" s="161"/>
      <c r="E1026" s="161"/>
      <c r="F1026" s="161"/>
      <c r="G1026" s="161"/>
      <c r="H1026" s="161"/>
      <c r="I1026" s="166"/>
      <c r="J1026" s="162"/>
      <c r="K1026" s="161"/>
      <c r="L1026" s="161"/>
      <c r="M1026" s="163"/>
      <c r="N1026" s="163" t="str">
        <f t="shared" si="19"/>
        <v/>
      </c>
      <c r="O1026" s="41"/>
      <c r="P1026" s="41"/>
      <c r="Q1026" s="161" t="str">
        <f>+IF(OR(O1026="Fire Control",O1026="Fire Tex 5062",O1026="Fire Tex 5090",O1026="Fire Tex 5120"),'CALCULO PINTURA'!P1027," ")</f>
        <v xml:space="preserve"> </v>
      </c>
      <c r="R1026" s="164" t="str">
        <f>+IF(OR(O1026="Fire Control",O1026="Fire Tex 5062",O1026="Fire Tex 5090",O1026="Fire Tex 5120"),'CALCULO PINTURA'!R1027," ")</f>
        <v xml:space="preserve"> </v>
      </c>
      <c r="S1026" s="164" t="str">
        <f>+IF(OR(O1026="Fire Control",O1026="Fire Tex 5062",O1026="Fire Tex 5090",O1026="Fire Tex 5120"),'CALCULO PINTURA'!S1027," ")</f>
        <v xml:space="preserve"> </v>
      </c>
      <c r="T1026" s="874" t="str">
        <f>+IF(OR(O1026="Blaze Shield II",O1026="Cafco 400",O1026="Cafco 300"),'CALCULO MORTERO'!N1032," ")</f>
        <v xml:space="preserve"> </v>
      </c>
      <c r="U1026" s="875" t="str">
        <f>+IF(OR(O1026="Blaze Shield II",O1026="Cafco 400",O1026="Cafco 300"),'CALCULO MORTERO'!O1032," ")</f>
        <v xml:space="preserve"> </v>
      </c>
      <c r="V1026" s="161" t="str" cm="1">
        <f t="array" ref="V1026">_xlfn.IFS(O1026="Blaze Shield II",'CALCULO MORTERO'!P1027, O1026="Cafco 400",'CALCULO MORTERO'!Q1027,O1026="Cafco 300",'CALCULO MORTERO'!S1027, AND(OR(O1026="Fire tex 5090", O1026="Fire Tex 5062", O1026="Fire Tex 5120", O1026="Fire Control"),Q1026&gt;0), "CERT.",TRUE,"-")</f>
        <v>-</v>
      </c>
    </row>
    <row r="1027" spans="1:22" x14ac:dyDescent="0.25">
      <c r="A1027" s="168"/>
      <c r="B1027" s="876"/>
      <c r="C1027" s="161"/>
      <c r="D1027" s="161"/>
      <c r="E1027" s="161"/>
      <c r="F1027" s="161"/>
      <c r="G1027" s="161"/>
      <c r="H1027" s="161"/>
      <c r="I1027" s="166"/>
      <c r="J1027" s="162"/>
      <c r="K1027" s="161"/>
      <c r="L1027" s="161"/>
      <c r="M1027" s="163"/>
      <c r="N1027" s="163" t="str">
        <f t="shared" si="19"/>
        <v/>
      </c>
      <c r="O1027" s="41"/>
      <c r="P1027" s="41"/>
      <c r="Q1027" s="161" t="str">
        <f>+IF(OR(O1027="Fire Control",O1027="Fire Tex 5062",O1027="Fire Tex 5090",O1027="Fire Tex 5120"),'CALCULO PINTURA'!P1028," ")</f>
        <v xml:space="preserve"> </v>
      </c>
      <c r="R1027" s="164" t="str">
        <f>+IF(OR(O1027="Fire Control",O1027="Fire Tex 5062",O1027="Fire Tex 5090",O1027="Fire Tex 5120"),'CALCULO PINTURA'!R1028," ")</f>
        <v xml:space="preserve"> </v>
      </c>
      <c r="S1027" s="164" t="str">
        <f>+IF(OR(O1027="Fire Control",O1027="Fire Tex 5062",O1027="Fire Tex 5090",O1027="Fire Tex 5120"),'CALCULO PINTURA'!S1028," ")</f>
        <v xml:space="preserve"> </v>
      </c>
      <c r="T1027" s="874" t="str">
        <f>+IF(OR(O1027="Blaze Shield II",O1027="Cafco 400",O1027="Cafco 300"),'CALCULO MORTERO'!N1033," ")</f>
        <v xml:space="preserve"> </v>
      </c>
      <c r="U1027" s="875" t="str">
        <f>+IF(OR(O1027="Blaze Shield II",O1027="Cafco 400",O1027="Cafco 300"),'CALCULO MORTERO'!O1033," ")</f>
        <v xml:space="preserve"> </v>
      </c>
      <c r="V1027" s="161" t="str" cm="1">
        <f t="array" ref="V1027">_xlfn.IFS(O1027="Blaze Shield II",'CALCULO MORTERO'!P1028, O1027="Cafco 400",'CALCULO MORTERO'!Q1028,O1027="Cafco 300",'CALCULO MORTERO'!S1028, AND(OR(O1027="Fire tex 5090", O1027="Fire Tex 5062", O1027="Fire Tex 5120", O1027="Fire Control"),Q1027&gt;0), "CERT.",TRUE,"-")</f>
        <v>-</v>
      </c>
    </row>
    <row r="1028" spans="1:22" x14ac:dyDescent="0.25">
      <c r="A1028" s="168"/>
      <c r="B1028" s="876"/>
      <c r="C1028" s="161"/>
      <c r="D1028" s="161"/>
      <c r="E1028" s="161"/>
      <c r="F1028" s="161"/>
      <c r="G1028" s="161"/>
      <c r="H1028" s="161"/>
      <c r="I1028" s="166"/>
      <c r="J1028" s="162"/>
      <c r="K1028" s="161"/>
      <c r="L1028" s="161"/>
      <c r="M1028" s="163"/>
      <c r="N1028" s="163" t="str">
        <f t="shared" ref="N1028:N1091" si="20">+IF(F1028="","",(K1028*I1028*H1028*G1028)/1000000)</f>
        <v/>
      </c>
      <c r="O1028" s="41"/>
      <c r="P1028" s="41"/>
      <c r="Q1028" s="161" t="str">
        <f>+IF(OR(O1028="Fire Control",O1028="Fire Tex 5062",O1028="Fire Tex 5090",O1028="Fire Tex 5120"),'CALCULO PINTURA'!P1029," ")</f>
        <v xml:space="preserve"> </v>
      </c>
      <c r="R1028" s="164" t="str">
        <f>+IF(OR(O1028="Fire Control",O1028="Fire Tex 5062",O1028="Fire Tex 5090",O1028="Fire Tex 5120"),'CALCULO PINTURA'!R1029," ")</f>
        <v xml:space="preserve"> </v>
      </c>
      <c r="S1028" s="164" t="str">
        <f>+IF(OR(O1028="Fire Control",O1028="Fire Tex 5062",O1028="Fire Tex 5090",O1028="Fire Tex 5120"),'CALCULO PINTURA'!S1029," ")</f>
        <v xml:space="preserve"> </v>
      </c>
      <c r="T1028" s="874" t="str">
        <f>+IF(OR(O1028="Blaze Shield II",O1028="Cafco 400",O1028="Cafco 300"),'CALCULO MORTERO'!N1034," ")</f>
        <v xml:space="preserve"> </v>
      </c>
      <c r="U1028" s="875" t="str">
        <f>+IF(OR(O1028="Blaze Shield II",O1028="Cafco 400",O1028="Cafco 300"),'CALCULO MORTERO'!O1034," ")</f>
        <v xml:space="preserve"> </v>
      </c>
      <c r="V1028" s="161" t="str" cm="1">
        <f t="array" ref="V1028">_xlfn.IFS(O1028="Blaze Shield II",'CALCULO MORTERO'!P1029, O1028="Cafco 400",'CALCULO MORTERO'!Q1029,O1028="Cafco 300",'CALCULO MORTERO'!S1029, AND(OR(O1028="Fire tex 5090", O1028="Fire Tex 5062", O1028="Fire Tex 5120", O1028="Fire Control"),Q1028&gt;0), "CERT.",TRUE,"-")</f>
        <v>-</v>
      </c>
    </row>
    <row r="1029" spans="1:22" x14ac:dyDescent="0.25">
      <c r="A1029" s="168"/>
      <c r="B1029" s="876"/>
      <c r="C1029" s="161"/>
      <c r="D1029" s="161"/>
      <c r="E1029" s="161"/>
      <c r="F1029" s="161"/>
      <c r="G1029" s="161"/>
      <c r="H1029" s="161"/>
      <c r="I1029" s="166"/>
      <c r="J1029" s="162"/>
      <c r="K1029" s="161"/>
      <c r="L1029" s="161"/>
      <c r="M1029" s="163"/>
      <c r="N1029" s="163" t="str">
        <f t="shared" si="20"/>
        <v/>
      </c>
      <c r="O1029" s="41"/>
      <c r="P1029" s="41"/>
      <c r="Q1029" s="161" t="str">
        <f>+IF(OR(O1029="Fire Control",O1029="Fire Tex 5062",O1029="Fire Tex 5090",O1029="Fire Tex 5120"),'CALCULO PINTURA'!P1030," ")</f>
        <v xml:space="preserve"> </v>
      </c>
      <c r="R1029" s="164" t="str">
        <f>+IF(OR(O1029="Fire Control",O1029="Fire Tex 5062",O1029="Fire Tex 5090",O1029="Fire Tex 5120"),'CALCULO PINTURA'!R1030," ")</f>
        <v xml:space="preserve"> </v>
      </c>
      <c r="S1029" s="164" t="str">
        <f>+IF(OR(O1029="Fire Control",O1029="Fire Tex 5062",O1029="Fire Tex 5090",O1029="Fire Tex 5120"),'CALCULO PINTURA'!S1030," ")</f>
        <v xml:space="preserve"> </v>
      </c>
      <c r="T1029" s="874" t="str">
        <f>+IF(OR(O1029="Blaze Shield II",O1029="Cafco 400",O1029="Cafco 300"),'CALCULO MORTERO'!N1035," ")</f>
        <v xml:space="preserve"> </v>
      </c>
      <c r="U1029" s="875" t="str">
        <f>+IF(OR(O1029="Blaze Shield II",O1029="Cafco 400",O1029="Cafco 300"),'CALCULO MORTERO'!O1035," ")</f>
        <v xml:space="preserve"> </v>
      </c>
      <c r="V1029" s="161" t="str" cm="1">
        <f t="array" ref="V1029">_xlfn.IFS(O1029="Blaze Shield II",'CALCULO MORTERO'!P1030, O1029="Cafco 400",'CALCULO MORTERO'!Q1030,O1029="Cafco 300",'CALCULO MORTERO'!S1030, AND(OR(O1029="Fire tex 5090", O1029="Fire Tex 5062", O1029="Fire Tex 5120", O1029="Fire Control"),Q1029&gt;0), "CERT.",TRUE,"-")</f>
        <v>-</v>
      </c>
    </row>
    <row r="1030" spans="1:22" x14ac:dyDescent="0.25">
      <c r="A1030" s="168"/>
      <c r="B1030" s="876"/>
      <c r="C1030" s="161"/>
      <c r="D1030" s="161"/>
      <c r="E1030" s="161"/>
      <c r="F1030" s="161"/>
      <c r="G1030" s="161"/>
      <c r="H1030" s="161"/>
      <c r="I1030" s="166"/>
      <c r="J1030" s="162"/>
      <c r="K1030" s="161"/>
      <c r="L1030" s="161"/>
      <c r="M1030" s="163"/>
      <c r="N1030" s="163" t="str">
        <f t="shared" si="20"/>
        <v/>
      </c>
      <c r="O1030" s="41"/>
      <c r="P1030" s="41"/>
      <c r="Q1030" s="161" t="str">
        <f>+IF(OR(O1030="Fire Control",O1030="Fire Tex 5062",O1030="Fire Tex 5090",O1030="Fire Tex 5120"),'CALCULO PINTURA'!P1031," ")</f>
        <v xml:space="preserve"> </v>
      </c>
      <c r="R1030" s="164" t="str">
        <f>+IF(OR(O1030="Fire Control",O1030="Fire Tex 5062",O1030="Fire Tex 5090",O1030="Fire Tex 5120"),'CALCULO PINTURA'!R1031," ")</f>
        <v xml:space="preserve"> </v>
      </c>
      <c r="S1030" s="164" t="str">
        <f>+IF(OR(O1030="Fire Control",O1030="Fire Tex 5062",O1030="Fire Tex 5090",O1030="Fire Tex 5120"),'CALCULO PINTURA'!S1031," ")</f>
        <v xml:space="preserve"> </v>
      </c>
      <c r="T1030" s="874" t="str">
        <f>+IF(OR(O1030="Blaze Shield II",O1030="Cafco 400",O1030="Cafco 300"),'CALCULO MORTERO'!N1036," ")</f>
        <v xml:space="preserve"> </v>
      </c>
      <c r="U1030" s="875" t="str">
        <f>+IF(OR(O1030="Blaze Shield II",O1030="Cafco 400",O1030="Cafco 300"),'CALCULO MORTERO'!O1036," ")</f>
        <v xml:space="preserve"> </v>
      </c>
      <c r="V1030" s="161" t="str" cm="1">
        <f t="array" ref="V1030">_xlfn.IFS(O1030="Blaze Shield II",'CALCULO MORTERO'!P1031, O1030="Cafco 400",'CALCULO MORTERO'!Q1031,O1030="Cafco 300",'CALCULO MORTERO'!S1031, AND(OR(O1030="Fire tex 5090", O1030="Fire Tex 5062", O1030="Fire Tex 5120", O1030="Fire Control"),Q1030&gt;0), "CERT.",TRUE,"-")</f>
        <v>-</v>
      </c>
    </row>
    <row r="1031" spans="1:22" x14ac:dyDescent="0.25">
      <c r="A1031" s="168"/>
      <c r="B1031" s="876"/>
      <c r="C1031" s="161"/>
      <c r="D1031" s="161"/>
      <c r="E1031" s="161"/>
      <c r="F1031" s="41"/>
      <c r="G1031" s="161"/>
      <c r="H1031" s="161"/>
      <c r="I1031" s="166"/>
      <c r="J1031" s="162"/>
      <c r="K1031" s="161"/>
      <c r="L1031" s="161"/>
      <c r="M1031" s="163"/>
      <c r="N1031" s="163" t="str">
        <f t="shared" si="20"/>
        <v/>
      </c>
      <c r="O1031" s="41"/>
      <c r="P1031" s="41"/>
      <c r="Q1031" s="161" t="str">
        <f>+IF(OR(O1031="Fire Control",O1031="Fire Tex 5062",O1031="Fire Tex 5090",O1031="Fire Tex 5120"),'CALCULO PINTURA'!P1032," ")</f>
        <v xml:space="preserve"> </v>
      </c>
      <c r="R1031" s="164" t="str">
        <f>+IF(OR(O1031="Fire Control",O1031="Fire Tex 5062",O1031="Fire Tex 5090",O1031="Fire Tex 5120"),'CALCULO PINTURA'!R1032," ")</f>
        <v xml:space="preserve"> </v>
      </c>
      <c r="S1031" s="164" t="str">
        <f>+IF(OR(O1031="Fire Control",O1031="Fire Tex 5062",O1031="Fire Tex 5090",O1031="Fire Tex 5120"),'CALCULO PINTURA'!S1032," ")</f>
        <v xml:space="preserve"> </v>
      </c>
      <c r="T1031" s="874" t="str">
        <f>+IF(OR(O1031="Blaze Shield II",O1031="Cafco 400",O1031="Cafco 300"),'CALCULO MORTERO'!N1037," ")</f>
        <v xml:space="preserve"> </v>
      </c>
      <c r="U1031" s="875" t="str">
        <f>+IF(OR(O1031="Blaze Shield II",O1031="Cafco 400",O1031="Cafco 300"),'CALCULO MORTERO'!O1037," ")</f>
        <v xml:space="preserve"> </v>
      </c>
      <c r="V1031" s="161" t="str" cm="1">
        <f t="array" ref="V1031">_xlfn.IFS(O1031="Blaze Shield II",'CALCULO MORTERO'!P1032, O1031="Cafco 400",'CALCULO MORTERO'!Q1032,O1031="Cafco 300",'CALCULO MORTERO'!S1032, AND(OR(O1031="Fire tex 5090", O1031="Fire Tex 5062", O1031="Fire Tex 5120", O1031="Fire Control"),Q1031&gt;0), "CERT.",TRUE,"-")</f>
        <v>-</v>
      </c>
    </row>
    <row r="1032" spans="1:22" x14ac:dyDescent="0.25">
      <c r="A1032" s="168"/>
      <c r="B1032" s="876"/>
      <c r="C1032" s="161"/>
      <c r="D1032" s="161"/>
      <c r="E1032" s="161"/>
      <c r="F1032" s="161"/>
      <c r="G1032" s="161"/>
      <c r="H1032" s="161"/>
      <c r="I1032" s="166"/>
      <c r="J1032" s="162"/>
      <c r="K1032" s="161"/>
      <c r="L1032" s="161"/>
      <c r="M1032" s="163"/>
      <c r="N1032" s="163" t="str">
        <f t="shared" si="20"/>
        <v/>
      </c>
      <c r="O1032" s="41"/>
      <c r="P1032" s="41"/>
      <c r="Q1032" s="161" t="str">
        <f>+IF(OR(O1032="Fire Control",O1032="Fire Tex 5062",O1032="Fire Tex 5090",O1032="Fire Tex 5120"),'CALCULO PINTURA'!P1033," ")</f>
        <v xml:space="preserve"> </v>
      </c>
      <c r="R1032" s="164" t="str">
        <f>+IF(OR(O1032="Fire Control",O1032="Fire Tex 5062",O1032="Fire Tex 5090",O1032="Fire Tex 5120"),'CALCULO PINTURA'!R1033," ")</f>
        <v xml:space="preserve"> </v>
      </c>
      <c r="S1032" s="164" t="str">
        <f>+IF(OR(O1032="Fire Control",O1032="Fire Tex 5062",O1032="Fire Tex 5090",O1032="Fire Tex 5120"),'CALCULO PINTURA'!S1033," ")</f>
        <v xml:space="preserve"> </v>
      </c>
      <c r="T1032" s="874" t="str">
        <f>+IF(OR(O1032="Blaze Shield II",O1032="Cafco 400",O1032="Cafco 300"),'CALCULO MORTERO'!N1038," ")</f>
        <v xml:space="preserve"> </v>
      </c>
      <c r="U1032" s="875" t="str">
        <f>+IF(OR(O1032="Blaze Shield II",O1032="Cafco 400",O1032="Cafco 300"),'CALCULO MORTERO'!O1038," ")</f>
        <v xml:space="preserve"> </v>
      </c>
      <c r="V1032" s="161" t="str" cm="1">
        <f t="array" ref="V1032">_xlfn.IFS(O1032="Blaze Shield II",'CALCULO MORTERO'!P1033, O1032="Cafco 400",'CALCULO MORTERO'!Q1033,O1032="Cafco 300",'CALCULO MORTERO'!S1033, AND(OR(O1032="Fire tex 5090", O1032="Fire Tex 5062", O1032="Fire Tex 5120", O1032="Fire Control"),Q1032&gt;0), "CERT.",TRUE,"-")</f>
        <v>-</v>
      </c>
    </row>
    <row r="1033" spans="1:22" x14ac:dyDescent="0.25">
      <c r="A1033" s="168"/>
      <c r="B1033" s="876"/>
      <c r="C1033" s="161"/>
      <c r="D1033" s="161"/>
      <c r="E1033" s="161"/>
      <c r="F1033" s="41"/>
      <c r="G1033" s="161"/>
      <c r="H1033" s="161"/>
      <c r="I1033" s="166"/>
      <c r="J1033" s="162"/>
      <c r="K1033" s="161"/>
      <c r="L1033" s="161"/>
      <c r="M1033" s="163"/>
      <c r="N1033" s="163" t="str">
        <f t="shared" si="20"/>
        <v/>
      </c>
      <c r="O1033" s="41"/>
      <c r="P1033" s="41"/>
      <c r="Q1033" s="161" t="str">
        <f>+IF(OR(O1033="Fire Control",O1033="Fire Tex 5062",O1033="Fire Tex 5090",O1033="Fire Tex 5120"),'CALCULO PINTURA'!P1034," ")</f>
        <v xml:space="preserve"> </v>
      </c>
      <c r="R1033" s="164" t="str">
        <f>+IF(OR(O1033="Fire Control",O1033="Fire Tex 5062",O1033="Fire Tex 5090",O1033="Fire Tex 5120"),'CALCULO PINTURA'!R1034," ")</f>
        <v xml:space="preserve"> </v>
      </c>
      <c r="S1033" s="164" t="str">
        <f>+IF(OR(O1033="Fire Control",O1033="Fire Tex 5062",O1033="Fire Tex 5090",O1033="Fire Tex 5120"),'CALCULO PINTURA'!S1034," ")</f>
        <v xml:space="preserve"> </v>
      </c>
      <c r="T1033" s="874" t="str">
        <f>+IF(OR(O1033="Blaze Shield II",O1033="Cafco 400",O1033="Cafco 300"),'CALCULO MORTERO'!N1039," ")</f>
        <v xml:space="preserve"> </v>
      </c>
      <c r="U1033" s="875" t="str">
        <f>+IF(OR(O1033="Blaze Shield II",O1033="Cafco 400",O1033="Cafco 300"),'CALCULO MORTERO'!O1039," ")</f>
        <v xml:space="preserve"> </v>
      </c>
      <c r="V1033" s="161" t="str" cm="1">
        <f t="array" ref="V1033">_xlfn.IFS(O1033="Blaze Shield II",'CALCULO MORTERO'!P1034, O1033="Cafco 400",'CALCULO MORTERO'!Q1034,O1033="Cafco 300",'CALCULO MORTERO'!S1034, AND(OR(O1033="Fire tex 5090", O1033="Fire Tex 5062", O1033="Fire Tex 5120", O1033="Fire Control"),Q1033&gt;0), "CERT.",TRUE,"-")</f>
        <v>-</v>
      </c>
    </row>
    <row r="1034" spans="1:22" x14ac:dyDescent="0.25">
      <c r="A1034" s="168"/>
      <c r="B1034" s="876"/>
      <c r="C1034" s="161"/>
      <c r="D1034" s="161"/>
      <c r="E1034" s="161"/>
      <c r="F1034" s="41"/>
      <c r="G1034" s="161"/>
      <c r="H1034" s="161"/>
      <c r="I1034" s="166"/>
      <c r="J1034" s="162"/>
      <c r="K1034" s="161"/>
      <c r="L1034" s="161"/>
      <c r="M1034" s="163"/>
      <c r="N1034" s="163" t="str">
        <f t="shared" si="20"/>
        <v/>
      </c>
      <c r="O1034" s="41"/>
      <c r="P1034" s="41"/>
      <c r="Q1034" s="161" t="str">
        <f>+IF(OR(O1034="Fire Control",O1034="Fire Tex 5062",O1034="Fire Tex 5090",O1034="Fire Tex 5120"),'CALCULO PINTURA'!P1035," ")</f>
        <v xml:space="preserve"> </v>
      </c>
      <c r="R1034" s="164" t="str">
        <f>+IF(OR(O1034="Fire Control",O1034="Fire Tex 5062",O1034="Fire Tex 5090",O1034="Fire Tex 5120"),'CALCULO PINTURA'!R1035," ")</f>
        <v xml:space="preserve"> </v>
      </c>
      <c r="S1034" s="164" t="str">
        <f>+IF(OR(O1034="Fire Control",O1034="Fire Tex 5062",O1034="Fire Tex 5090",O1034="Fire Tex 5120"),'CALCULO PINTURA'!S1035," ")</f>
        <v xml:space="preserve"> </v>
      </c>
      <c r="T1034" s="874" t="str">
        <f>+IF(OR(O1034="Blaze Shield II",O1034="Cafco 400",O1034="Cafco 300"),'CALCULO MORTERO'!N1040," ")</f>
        <v xml:space="preserve"> </v>
      </c>
      <c r="U1034" s="875" t="str">
        <f>+IF(OR(O1034="Blaze Shield II",O1034="Cafco 400",O1034="Cafco 300"),'CALCULO MORTERO'!O1040," ")</f>
        <v xml:space="preserve"> </v>
      </c>
      <c r="V1034" s="161" t="str" cm="1">
        <f t="array" ref="V1034">_xlfn.IFS(O1034="Blaze Shield II",'CALCULO MORTERO'!P1035, O1034="Cafco 400",'CALCULO MORTERO'!Q1035,O1034="Cafco 300",'CALCULO MORTERO'!S1035, AND(OR(O1034="Fire tex 5090", O1034="Fire Tex 5062", O1034="Fire Tex 5120", O1034="Fire Control"),Q1034&gt;0), "CERT.",TRUE,"-")</f>
        <v>-</v>
      </c>
    </row>
    <row r="1035" spans="1:22" x14ac:dyDescent="0.25">
      <c r="A1035" s="168"/>
      <c r="B1035" s="876"/>
      <c r="C1035" s="161"/>
      <c r="D1035" s="161"/>
      <c r="E1035" s="161"/>
      <c r="F1035" s="161"/>
      <c r="G1035" s="161"/>
      <c r="H1035" s="161"/>
      <c r="I1035" s="166"/>
      <c r="J1035" s="162"/>
      <c r="K1035" s="161"/>
      <c r="L1035" s="161"/>
      <c r="M1035" s="169"/>
      <c r="N1035" s="163" t="str">
        <f t="shared" si="20"/>
        <v/>
      </c>
      <c r="O1035" s="41"/>
      <c r="P1035" s="41"/>
      <c r="Q1035" s="161" t="str">
        <f>+IF(OR(O1035="Fire Control",O1035="Fire Tex 5062",O1035="Fire Tex 5090",O1035="Fire Tex 5120"),'CALCULO PINTURA'!P1036," ")</f>
        <v xml:space="preserve"> </v>
      </c>
      <c r="R1035" s="164" t="str">
        <f>+IF(OR(O1035="Fire Control",O1035="Fire Tex 5062",O1035="Fire Tex 5090",O1035="Fire Tex 5120"),'CALCULO PINTURA'!R1036," ")</f>
        <v xml:space="preserve"> </v>
      </c>
      <c r="S1035" s="164" t="str">
        <f>+IF(OR(O1035="Fire Control",O1035="Fire Tex 5062",O1035="Fire Tex 5090",O1035="Fire Tex 5120"),'CALCULO PINTURA'!S1036," ")</f>
        <v xml:space="preserve"> </v>
      </c>
      <c r="T1035" s="874" t="str">
        <f>+IF(OR(O1035="Blaze Shield II",O1035="Cafco 400",O1035="Cafco 300"),'CALCULO MORTERO'!N1041," ")</f>
        <v xml:space="preserve"> </v>
      </c>
      <c r="U1035" s="875" t="str">
        <f>+IF(OR(O1035="Blaze Shield II",O1035="Cafco 400",O1035="Cafco 300"),'CALCULO MORTERO'!O1041," ")</f>
        <v xml:space="preserve"> </v>
      </c>
      <c r="V1035" s="161" t="str" cm="1">
        <f t="array" ref="V1035">_xlfn.IFS(O1035="Blaze Shield II",'CALCULO MORTERO'!P1036, O1035="Cafco 400",'CALCULO MORTERO'!Q1036,O1035="Cafco 300",'CALCULO MORTERO'!S1036, AND(OR(O1035="Fire tex 5090", O1035="Fire Tex 5062", O1035="Fire Tex 5120", O1035="Fire Control"),Q1035&gt;0), "CERT.",TRUE,"-")</f>
        <v>-</v>
      </c>
    </row>
    <row r="1036" spans="1:22" x14ac:dyDescent="0.25">
      <c r="A1036" s="168"/>
      <c r="B1036" s="876"/>
      <c r="C1036" s="161"/>
      <c r="D1036" s="161"/>
      <c r="E1036" s="161"/>
      <c r="F1036" s="161"/>
      <c r="G1036" s="161"/>
      <c r="H1036" s="161"/>
      <c r="I1036" s="166"/>
      <c r="J1036" s="162"/>
      <c r="K1036" s="161"/>
      <c r="L1036" s="161"/>
      <c r="M1036" s="163"/>
      <c r="N1036" s="163" t="str">
        <f t="shared" si="20"/>
        <v/>
      </c>
      <c r="O1036" s="41"/>
      <c r="P1036" s="41"/>
      <c r="Q1036" s="161" t="str">
        <f>+IF(OR(O1036="Fire Control",O1036="Fire Tex 5062",O1036="Fire Tex 5090",O1036="Fire Tex 5120"),'CALCULO PINTURA'!P1037," ")</f>
        <v xml:space="preserve"> </v>
      </c>
      <c r="R1036" s="164" t="str">
        <f>+IF(OR(O1036="Fire Control",O1036="Fire Tex 5062",O1036="Fire Tex 5090",O1036="Fire Tex 5120"),'CALCULO PINTURA'!R1037," ")</f>
        <v xml:space="preserve"> </v>
      </c>
      <c r="S1036" s="164" t="str">
        <f>+IF(OR(O1036="Fire Control",O1036="Fire Tex 5062",O1036="Fire Tex 5090",O1036="Fire Tex 5120"),'CALCULO PINTURA'!S1037," ")</f>
        <v xml:space="preserve"> </v>
      </c>
      <c r="T1036" s="874" t="str">
        <f>+IF(OR(O1036="Blaze Shield II",O1036="Cafco 400",O1036="Cafco 300"),'CALCULO MORTERO'!N1042," ")</f>
        <v xml:space="preserve"> </v>
      </c>
      <c r="U1036" s="875" t="str">
        <f>+IF(OR(O1036="Blaze Shield II",O1036="Cafco 400",O1036="Cafco 300"),'CALCULO MORTERO'!O1042," ")</f>
        <v xml:space="preserve"> </v>
      </c>
      <c r="V1036" s="161" t="str" cm="1">
        <f t="array" ref="V1036">_xlfn.IFS(O1036="Blaze Shield II",'CALCULO MORTERO'!P1037, O1036="Cafco 400",'CALCULO MORTERO'!Q1037,O1036="Cafco 300",'CALCULO MORTERO'!S1037, AND(OR(O1036="Fire tex 5090", O1036="Fire Tex 5062", O1036="Fire Tex 5120", O1036="Fire Control"),Q1036&gt;0), "CERT.",TRUE,"-")</f>
        <v>-</v>
      </c>
    </row>
    <row r="1037" spans="1:22" x14ac:dyDescent="0.25">
      <c r="A1037" s="168"/>
      <c r="B1037" s="876"/>
      <c r="C1037" s="161"/>
      <c r="D1037" s="161"/>
      <c r="E1037" s="161"/>
      <c r="F1037" s="161"/>
      <c r="G1037" s="161"/>
      <c r="H1037" s="161"/>
      <c r="I1037" s="166"/>
      <c r="J1037" s="162"/>
      <c r="K1037" s="161"/>
      <c r="L1037" s="161"/>
      <c r="M1037" s="163"/>
      <c r="N1037" s="163" t="str">
        <f t="shared" si="20"/>
        <v/>
      </c>
      <c r="O1037" s="41"/>
      <c r="P1037" s="41"/>
      <c r="Q1037" s="161" t="str">
        <f>+IF(OR(O1037="Fire Control",O1037="Fire Tex 5062",O1037="Fire Tex 5090",O1037="Fire Tex 5120"),'CALCULO PINTURA'!P1038," ")</f>
        <v xml:space="preserve"> </v>
      </c>
      <c r="R1037" s="164" t="str">
        <f>+IF(OR(O1037="Fire Control",O1037="Fire Tex 5062",O1037="Fire Tex 5090",O1037="Fire Tex 5120"),'CALCULO PINTURA'!R1038," ")</f>
        <v xml:space="preserve"> </v>
      </c>
      <c r="S1037" s="164" t="str">
        <f>+IF(OR(O1037="Fire Control",O1037="Fire Tex 5062",O1037="Fire Tex 5090",O1037="Fire Tex 5120"),'CALCULO PINTURA'!S1038," ")</f>
        <v xml:space="preserve"> </v>
      </c>
      <c r="T1037" s="874" t="str">
        <f>+IF(OR(O1037="Blaze Shield II",O1037="Cafco 400",O1037="Cafco 300"),'CALCULO MORTERO'!N1043," ")</f>
        <v xml:space="preserve"> </v>
      </c>
      <c r="U1037" s="875" t="str">
        <f>+IF(OR(O1037="Blaze Shield II",O1037="Cafco 400",O1037="Cafco 300"),'CALCULO MORTERO'!O1043," ")</f>
        <v xml:space="preserve"> </v>
      </c>
      <c r="V1037" s="161" t="str" cm="1">
        <f t="array" ref="V1037">_xlfn.IFS(O1037="Blaze Shield II",'CALCULO MORTERO'!P1038, O1037="Cafco 400",'CALCULO MORTERO'!Q1038,O1037="Cafco 300",'CALCULO MORTERO'!S1038, AND(OR(O1037="Fire tex 5090", O1037="Fire Tex 5062", O1037="Fire Tex 5120", O1037="Fire Control"),Q1037&gt;0), "CERT.",TRUE,"-")</f>
        <v>-</v>
      </c>
    </row>
    <row r="1038" spans="1:22" x14ac:dyDescent="0.25">
      <c r="A1038" s="168"/>
      <c r="B1038" s="876"/>
      <c r="C1038" s="161"/>
      <c r="D1038" s="161"/>
      <c r="E1038" s="161"/>
      <c r="F1038" s="161"/>
      <c r="G1038" s="161"/>
      <c r="H1038" s="161"/>
      <c r="I1038" s="166"/>
      <c r="J1038" s="162"/>
      <c r="K1038" s="161"/>
      <c r="L1038" s="161"/>
      <c r="M1038" s="163"/>
      <c r="N1038" s="163" t="str">
        <f t="shared" si="20"/>
        <v/>
      </c>
      <c r="O1038" s="41"/>
      <c r="P1038" s="41"/>
      <c r="Q1038" s="161" t="str">
        <f>+IF(OR(O1038="Fire Control",O1038="Fire Tex 5062",O1038="Fire Tex 5090",O1038="Fire Tex 5120"),'CALCULO PINTURA'!P1039," ")</f>
        <v xml:space="preserve"> </v>
      </c>
      <c r="R1038" s="164" t="str">
        <f>+IF(OR(O1038="Fire Control",O1038="Fire Tex 5062",O1038="Fire Tex 5090",O1038="Fire Tex 5120"),'CALCULO PINTURA'!R1039," ")</f>
        <v xml:space="preserve"> </v>
      </c>
      <c r="S1038" s="164" t="str">
        <f>+IF(OR(O1038="Fire Control",O1038="Fire Tex 5062",O1038="Fire Tex 5090",O1038="Fire Tex 5120"),'CALCULO PINTURA'!S1039," ")</f>
        <v xml:space="preserve"> </v>
      </c>
      <c r="T1038" s="874" t="str">
        <f>+IF(OR(O1038="Blaze Shield II",O1038="Cafco 400",O1038="Cafco 300"),'CALCULO MORTERO'!N1044," ")</f>
        <v xml:space="preserve"> </v>
      </c>
      <c r="U1038" s="875" t="str">
        <f>+IF(OR(O1038="Blaze Shield II",O1038="Cafco 400",O1038="Cafco 300"),'CALCULO MORTERO'!O1044," ")</f>
        <v xml:space="preserve"> </v>
      </c>
      <c r="V1038" s="161" t="str" cm="1">
        <f t="array" ref="V1038">_xlfn.IFS(O1038="Blaze Shield II",'CALCULO MORTERO'!P1039, O1038="Cafco 400",'CALCULO MORTERO'!Q1039,O1038="Cafco 300",'CALCULO MORTERO'!S1039, AND(OR(O1038="Fire tex 5090", O1038="Fire Tex 5062", O1038="Fire Tex 5120", O1038="Fire Control"),Q1038&gt;0), "CERT.",TRUE,"-")</f>
        <v>-</v>
      </c>
    </row>
    <row r="1039" spans="1:22" x14ac:dyDescent="0.25">
      <c r="A1039" s="168"/>
      <c r="B1039" s="876"/>
      <c r="C1039" s="161"/>
      <c r="D1039" s="161"/>
      <c r="E1039" s="161"/>
      <c r="F1039" s="161"/>
      <c r="G1039" s="161"/>
      <c r="H1039" s="161"/>
      <c r="I1039" s="166"/>
      <c r="J1039" s="162"/>
      <c r="K1039" s="161"/>
      <c r="L1039" s="161"/>
      <c r="M1039" s="169"/>
      <c r="N1039" s="163" t="str">
        <f t="shared" si="20"/>
        <v/>
      </c>
      <c r="O1039" s="41"/>
      <c r="P1039" s="41"/>
      <c r="Q1039" s="161" t="str">
        <f>+IF(OR(O1039="Fire Control",O1039="Fire Tex 5062",O1039="Fire Tex 5090",O1039="Fire Tex 5120"),'CALCULO PINTURA'!P1040," ")</f>
        <v xml:space="preserve"> </v>
      </c>
      <c r="R1039" s="164" t="str">
        <f>+IF(OR(O1039="Fire Control",O1039="Fire Tex 5062",O1039="Fire Tex 5090",O1039="Fire Tex 5120"),'CALCULO PINTURA'!R1040," ")</f>
        <v xml:space="preserve"> </v>
      </c>
      <c r="S1039" s="164" t="str">
        <f>+IF(OR(O1039="Fire Control",O1039="Fire Tex 5062",O1039="Fire Tex 5090",O1039="Fire Tex 5120"),'CALCULO PINTURA'!S1040," ")</f>
        <v xml:space="preserve"> </v>
      </c>
      <c r="T1039" s="874" t="str">
        <f>+IF(OR(O1039="Blaze Shield II",O1039="Cafco 400",O1039="Cafco 300"),'CALCULO MORTERO'!N1045," ")</f>
        <v xml:space="preserve"> </v>
      </c>
      <c r="U1039" s="875" t="str">
        <f>+IF(OR(O1039="Blaze Shield II",O1039="Cafco 400",O1039="Cafco 300"),'CALCULO MORTERO'!O1045," ")</f>
        <v xml:space="preserve"> </v>
      </c>
      <c r="V1039" s="161" t="str" cm="1">
        <f t="array" ref="V1039">_xlfn.IFS(O1039="Blaze Shield II",'CALCULO MORTERO'!P1040, O1039="Cafco 400",'CALCULO MORTERO'!Q1040,O1039="Cafco 300",'CALCULO MORTERO'!S1040, AND(OR(O1039="Fire tex 5090", O1039="Fire Tex 5062", O1039="Fire Tex 5120", O1039="Fire Control"),Q1039&gt;0), "CERT.",TRUE,"-")</f>
        <v>-</v>
      </c>
    </row>
    <row r="1040" spans="1:22" x14ac:dyDescent="0.25">
      <c r="A1040" s="168"/>
      <c r="B1040" s="876"/>
      <c r="C1040" s="161"/>
      <c r="D1040" s="161"/>
      <c r="E1040" s="161"/>
      <c r="F1040" s="161"/>
      <c r="G1040" s="161"/>
      <c r="H1040" s="161"/>
      <c r="I1040" s="166"/>
      <c r="J1040" s="162"/>
      <c r="K1040" s="161"/>
      <c r="L1040" s="161"/>
      <c r="M1040" s="169"/>
      <c r="N1040" s="163" t="str">
        <f t="shared" si="20"/>
        <v/>
      </c>
      <c r="O1040" s="41"/>
      <c r="P1040" s="41"/>
      <c r="Q1040" s="161" t="str">
        <f>+IF(OR(O1040="Fire Control",O1040="Fire Tex 5062",O1040="Fire Tex 5090",O1040="Fire Tex 5120"),'CALCULO PINTURA'!P1041," ")</f>
        <v xml:space="preserve"> </v>
      </c>
      <c r="R1040" s="164" t="str">
        <f>+IF(OR(O1040="Fire Control",O1040="Fire Tex 5062",O1040="Fire Tex 5090",O1040="Fire Tex 5120"),'CALCULO PINTURA'!R1041," ")</f>
        <v xml:space="preserve"> </v>
      </c>
      <c r="S1040" s="164" t="str">
        <f>+IF(OR(O1040="Fire Control",O1040="Fire Tex 5062",O1040="Fire Tex 5090",O1040="Fire Tex 5120"),'CALCULO PINTURA'!S1041," ")</f>
        <v xml:space="preserve"> </v>
      </c>
      <c r="T1040" s="874" t="str">
        <f>+IF(OR(O1040="Blaze Shield II",O1040="Cafco 400",O1040="Cafco 300"),'CALCULO MORTERO'!N1046," ")</f>
        <v xml:space="preserve"> </v>
      </c>
      <c r="U1040" s="875" t="str">
        <f>+IF(OR(O1040="Blaze Shield II",O1040="Cafco 400",O1040="Cafco 300"),'CALCULO MORTERO'!O1046," ")</f>
        <v xml:space="preserve"> </v>
      </c>
      <c r="V1040" s="161" t="str" cm="1">
        <f t="array" ref="V1040">_xlfn.IFS(O1040="Blaze Shield II",'CALCULO MORTERO'!P1041, O1040="Cafco 400",'CALCULO MORTERO'!Q1041,O1040="Cafco 300",'CALCULO MORTERO'!S1041, AND(OR(O1040="Fire tex 5090", O1040="Fire Tex 5062", O1040="Fire Tex 5120", O1040="Fire Control"),Q1040&gt;0), "CERT.",TRUE,"-")</f>
        <v>-</v>
      </c>
    </row>
    <row r="1041" spans="1:22" x14ac:dyDescent="0.25">
      <c r="A1041" s="168"/>
      <c r="B1041" s="876"/>
      <c r="C1041" s="161"/>
      <c r="D1041" s="161"/>
      <c r="E1041" s="161"/>
      <c r="F1041" s="161"/>
      <c r="G1041" s="161"/>
      <c r="H1041" s="161"/>
      <c r="I1041" s="166"/>
      <c r="J1041" s="162"/>
      <c r="K1041" s="161"/>
      <c r="L1041" s="161"/>
      <c r="M1041" s="163"/>
      <c r="N1041" s="163" t="str">
        <f t="shared" si="20"/>
        <v/>
      </c>
      <c r="O1041" s="41"/>
      <c r="P1041" s="41"/>
      <c r="Q1041" s="161" t="str">
        <f>+IF(OR(O1041="Fire Control",O1041="Fire Tex 5062",O1041="Fire Tex 5090",O1041="Fire Tex 5120"),'CALCULO PINTURA'!P1042," ")</f>
        <v xml:space="preserve"> </v>
      </c>
      <c r="R1041" s="164" t="str">
        <f>+IF(OR(O1041="Fire Control",O1041="Fire Tex 5062",O1041="Fire Tex 5090",O1041="Fire Tex 5120"),'CALCULO PINTURA'!R1042," ")</f>
        <v xml:space="preserve"> </v>
      </c>
      <c r="S1041" s="164" t="str">
        <f>+IF(OR(O1041="Fire Control",O1041="Fire Tex 5062",O1041="Fire Tex 5090",O1041="Fire Tex 5120"),'CALCULO PINTURA'!S1042," ")</f>
        <v xml:space="preserve"> </v>
      </c>
      <c r="T1041" s="874" t="str">
        <f>+IF(OR(O1041="Blaze Shield II",O1041="Cafco 400",O1041="Cafco 300"),'CALCULO MORTERO'!N1047," ")</f>
        <v xml:space="preserve"> </v>
      </c>
      <c r="U1041" s="875" t="str">
        <f>+IF(OR(O1041="Blaze Shield II",O1041="Cafco 400",O1041="Cafco 300"),'CALCULO MORTERO'!O1047," ")</f>
        <v xml:space="preserve"> </v>
      </c>
      <c r="V1041" s="161" t="str" cm="1">
        <f t="array" ref="V1041">_xlfn.IFS(O1041="Blaze Shield II",'CALCULO MORTERO'!P1042, O1041="Cafco 400",'CALCULO MORTERO'!Q1042,O1041="Cafco 300",'CALCULO MORTERO'!S1042, AND(OR(O1041="Fire tex 5090", O1041="Fire Tex 5062", O1041="Fire Tex 5120", O1041="Fire Control"),Q1041&gt;0), "CERT.",TRUE,"-")</f>
        <v>-</v>
      </c>
    </row>
    <row r="1042" spans="1:22" x14ac:dyDescent="0.25">
      <c r="A1042" s="168"/>
      <c r="B1042" s="876"/>
      <c r="C1042" s="161"/>
      <c r="D1042" s="161"/>
      <c r="E1042" s="161"/>
      <c r="F1042" s="161"/>
      <c r="G1042" s="161"/>
      <c r="H1042" s="161"/>
      <c r="I1042" s="166"/>
      <c r="J1042" s="162"/>
      <c r="K1042" s="161"/>
      <c r="L1042" s="161"/>
      <c r="M1042" s="163"/>
      <c r="N1042" s="163" t="str">
        <f t="shared" si="20"/>
        <v/>
      </c>
      <c r="O1042" s="41"/>
      <c r="P1042" s="41"/>
      <c r="Q1042" s="161" t="str">
        <f>+IF(OR(O1042="Fire Control",O1042="Fire Tex 5062",O1042="Fire Tex 5090",O1042="Fire Tex 5120"),'CALCULO PINTURA'!P1043," ")</f>
        <v xml:space="preserve"> </v>
      </c>
      <c r="R1042" s="164" t="str">
        <f>+IF(OR(O1042="Fire Control",O1042="Fire Tex 5062",O1042="Fire Tex 5090",O1042="Fire Tex 5120"),'CALCULO PINTURA'!R1043," ")</f>
        <v xml:space="preserve"> </v>
      </c>
      <c r="S1042" s="164" t="str">
        <f>+IF(OR(O1042="Fire Control",O1042="Fire Tex 5062",O1042="Fire Tex 5090",O1042="Fire Tex 5120"),'CALCULO PINTURA'!S1043," ")</f>
        <v xml:space="preserve"> </v>
      </c>
      <c r="T1042" s="874" t="str">
        <f>+IF(OR(O1042="Blaze Shield II",O1042="Cafco 400",O1042="Cafco 300"),'CALCULO MORTERO'!N1048," ")</f>
        <v xml:space="preserve"> </v>
      </c>
      <c r="U1042" s="875" t="str">
        <f>+IF(OR(O1042="Blaze Shield II",O1042="Cafco 400",O1042="Cafco 300"),'CALCULO MORTERO'!O1048," ")</f>
        <v xml:space="preserve"> </v>
      </c>
      <c r="V1042" s="161" t="str" cm="1">
        <f t="array" ref="V1042">_xlfn.IFS(O1042="Blaze Shield II",'CALCULO MORTERO'!P1043, O1042="Cafco 400",'CALCULO MORTERO'!Q1043,O1042="Cafco 300",'CALCULO MORTERO'!S1043, AND(OR(O1042="Fire tex 5090", O1042="Fire Tex 5062", O1042="Fire Tex 5120", O1042="Fire Control"),Q1042&gt;0), "CERT.",TRUE,"-")</f>
        <v>-</v>
      </c>
    </row>
    <row r="1043" spans="1:22" x14ac:dyDescent="0.25">
      <c r="A1043" s="168"/>
      <c r="B1043" s="876"/>
      <c r="C1043" s="161"/>
      <c r="D1043" s="161"/>
      <c r="E1043" s="161"/>
      <c r="F1043" s="161"/>
      <c r="G1043" s="161"/>
      <c r="H1043" s="161"/>
      <c r="I1043" s="166"/>
      <c r="J1043" s="162"/>
      <c r="K1043" s="161"/>
      <c r="L1043" s="161"/>
      <c r="M1043" s="163"/>
      <c r="N1043" s="163" t="str">
        <f t="shared" si="20"/>
        <v/>
      </c>
      <c r="O1043" s="41"/>
      <c r="P1043" s="41"/>
      <c r="Q1043" s="161" t="str">
        <f>+IF(OR(O1043="Fire Control",O1043="Fire Tex 5062",O1043="Fire Tex 5090",O1043="Fire Tex 5120"),'CALCULO PINTURA'!P1044," ")</f>
        <v xml:space="preserve"> </v>
      </c>
      <c r="R1043" s="164" t="str">
        <f>+IF(OR(O1043="Fire Control",O1043="Fire Tex 5062",O1043="Fire Tex 5090",O1043="Fire Tex 5120"),'CALCULO PINTURA'!R1044," ")</f>
        <v xml:space="preserve"> </v>
      </c>
      <c r="S1043" s="164" t="str">
        <f>+IF(OR(O1043="Fire Control",O1043="Fire Tex 5062",O1043="Fire Tex 5090",O1043="Fire Tex 5120"),'CALCULO PINTURA'!S1044," ")</f>
        <v xml:space="preserve"> </v>
      </c>
      <c r="T1043" s="874" t="str">
        <f>+IF(OR(O1043="Blaze Shield II",O1043="Cafco 400",O1043="Cafco 300"),'CALCULO MORTERO'!N1049," ")</f>
        <v xml:space="preserve"> </v>
      </c>
      <c r="U1043" s="875" t="str">
        <f>+IF(OR(O1043="Blaze Shield II",O1043="Cafco 400",O1043="Cafco 300"),'CALCULO MORTERO'!O1049," ")</f>
        <v xml:space="preserve"> </v>
      </c>
      <c r="V1043" s="161" t="str" cm="1">
        <f t="array" ref="V1043">_xlfn.IFS(O1043="Blaze Shield II",'CALCULO MORTERO'!P1044, O1043="Cafco 400",'CALCULO MORTERO'!Q1044,O1043="Cafco 300",'CALCULO MORTERO'!S1044, AND(OR(O1043="Fire tex 5090", O1043="Fire Tex 5062", O1043="Fire Tex 5120", O1043="Fire Control"),Q1043&gt;0), "CERT.",TRUE,"-")</f>
        <v>-</v>
      </c>
    </row>
    <row r="1044" spans="1:22" x14ac:dyDescent="0.25">
      <c r="A1044" s="168"/>
      <c r="B1044" s="876"/>
      <c r="C1044" s="161"/>
      <c r="D1044" s="161"/>
      <c r="E1044" s="161"/>
      <c r="F1044" s="161"/>
      <c r="G1044" s="161"/>
      <c r="H1044" s="161"/>
      <c r="I1044" s="166"/>
      <c r="J1044" s="162"/>
      <c r="K1044" s="161"/>
      <c r="L1044" s="161"/>
      <c r="M1044" s="169"/>
      <c r="N1044" s="163" t="str">
        <f t="shared" si="20"/>
        <v/>
      </c>
      <c r="O1044" s="41"/>
      <c r="P1044" s="41"/>
      <c r="Q1044" s="161" t="str">
        <f>+IF(OR(O1044="Fire Control",O1044="Fire Tex 5062",O1044="Fire Tex 5090",O1044="Fire Tex 5120"),'CALCULO PINTURA'!P1045," ")</f>
        <v xml:space="preserve"> </v>
      </c>
      <c r="R1044" s="164" t="str">
        <f>+IF(OR(O1044="Fire Control",O1044="Fire Tex 5062",O1044="Fire Tex 5090",O1044="Fire Tex 5120"),'CALCULO PINTURA'!R1045," ")</f>
        <v xml:space="preserve"> </v>
      </c>
      <c r="S1044" s="164" t="str">
        <f>+IF(OR(O1044="Fire Control",O1044="Fire Tex 5062",O1044="Fire Tex 5090",O1044="Fire Tex 5120"),'CALCULO PINTURA'!S1045," ")</f>
        <v xml:space="preserve"> </v>
      </c>
      <c r="T1044" s="874" t="str">
        <f>+IF(OR(O1044="Blaze Shield II",O1044="Cafco 400",O1044="Cafco 300"),'CALCULO MORTERO'!N1050," ")</f>
        <v xml:space="preserve"> </v>
      </c>
      <c r="U1044" s="875" t="str">
        <f>+IF(OR(O1044="Blaze Shield II",O1044="Cafco 400",O1044="Cafco 300"),'CALCULO MORTERO'!O1050," ")</f>
        <v xml:space="preserve"> </v>
      </c>
      <c r="V1044" s="161" t="str" cm="1">
        <f t="array" ref="V1044">_xlfn.IFS(O1044="Blaze Shield II",'CALCULO MORTERO'!P1045, O1044="Cafco 400",'CALCULO MORTERO'!Q1045,O1044="Cafco 300",'CALCULO MORTERO'!S1045, AND(OR(O1044="Fire tex 5090", O1044="Fire Tex 5062", O1044="Fire Tex 5120", O1044="Fire Control"),Q1044&gt;0), "CERT.",TRUE,"-")</f>
        <v>-</v>
      </c>
    </row>
    <row r="1045" spans="1:22" x14ac:dyDescent="0.25">
      <c r="A1045" s="168"/>
      <c r="B1045" s="876"/>
      <c r="C1045" s="161"/>
      <c r="D1045" s="161"/>
      <c r="E1045" s="161"/>
      <c r="F1045" s="161"/>
      <c r="G1045" s="161"/>
      <c r="H1045" s="161"/>
      <c r="I1045" s="166"/>
      <c r="J1045" s="162"/>
      <c r="K1045" s="161"/>
      <c r="L1045" s="161"/>
      <c r="M1045" s="169"/>
      <c r="N1045" s="163" t="str">
        <f t="shared" si="20"/>
        <v/>
      </c>
      <c r="O1045" s="41"/>
      <c r="P1045" s="41"/>
      <c r="Q1045" s="161" t="str">
        <f>+IF(OR(O1045="Fire Control",O1045="Fire Tex 5062",O1045="Fire Tex 5090",O1045="Fire Tex 5120"),'CALCULO PINTURA'!P1046," ")</f>
        <v xml:space="preserve"> </v>
      </c>
      <c r="R1045" s="164" t="str">
        <f>+IF(OR(O1045="Fire Control",O1045="Fire Tex 5062",O1045="Fire Tex 5090",O1045="Fire Tex 5120"),'CALCULO PINTURA'!R1046," ")</f>
        <v xml:space="preserve"> </v>
      </c>
      <c r="S1045" s="164" t="str">
        <f>+IF(OR(O1045="Fire Control",O1045="Fire Tex 5062",O1045="Fire Tex 5090",O1045="Fire Tex 5120"),'CALCULO PINTURA'!S1046," ")</f>
        <v xml:space="preserve"> </v>
      </c>
      <c r="T1045" s="874" t="str">
        <f>+IF(OR(O1045="Blaze Shield II",O1045="Cafco 400",O1045="Cafco 300"),'CALCULO MORTERO'!N1051," ")</f>
        <v xml:space="preserve"> </v>
      </c>
      <c r="U1045" s="875" t="str">
        <f>+IF(OR(O1045="Blaze Shield II",O1045="Cafco 400",O1045="Cafco 300"),'CALCULO MORTERO'!O1051," ")</f>
        <v xml:space="preserve"> </v>
      </c>
      <c r="V1045" s="161" t="str" cm="1">
        <f t="array" ref="V1045">_xlfn.IFS(O1045="Blaze Shield II",'CALCULO MORTERO'!P1046, O1045="Cafco 400",'CALCULO MORTERO'!Q1046,O1045="Cafco 300",'CALCULO MORTERO'!S1046, AND(OR(O1045="Fire tex 5090", O1045="Fire Tex 5062", O1045="Fire Tex 5120", O1045="Fire Control"),Q1045&gt;0), "CERT.",TRUE,"-")</f>
        <v>-</v>
      </c>
    </row>
    <row r="1046" spans="1:22" x14ac:dyDescent="0.25">
      <c r="A1046" s="168"/>
      <c r="B1046" s="876"/>
      <c r="C1046" s="161"/>
      <c r="D1046" s="161"/>
      <c r="E1046" s="161"/>
      <c r="F1046" s="161"/>
      <c r="G1046" s="161"/>
      <c r="H1046" s="161"/>
      <c r="I1046" s="166"/>
      <c r="J1046" s="162"/>
      <c r="K1046" s="161"/>
      <c r="L1046" s="161"/>
      <c r="M1046" s="163"/>
      <c r="N1046" s="163" t="str">
        <f t="shared" si="20"/>
        <v/>
      </c>
      <c r="O1046" s="41"/>
      <c r="P1046" s="41"/>
      <c r="Q1046" s="161" t="str">
        <f>+IF(OR(O1046="Fire Control",O1046="Fire Tex 5062",O1046="Fire Tex 5090",O1046="Fire Tex 5120"),'CALCULO PINTURA'!P1047," ")</f>
        <v xml:space="preserve"> </v>
      </c>
      <c r="R1046" s="164" t="str">
        <f>+IF(OR(O1046="Fire Control",O1046="Fire Tex 5062",O1046="Fire Tex 5090",O1046="Fire Tex 5120"),'CALCULO PINTURA'!R1047," ")</f>
        <v xml:space="preserve"> </v>
      </c>
      <c r="S1046" s="164" t="str">
        <f>+IF(OR(O1046="Fire Control",O1046="Fire Tex 5062",O1046="Fire Tex 5090",O1046="Fire Tex 5120"),'CALCULO PINTURA'!S1047," ")</f>
        <v xml:space="preserve"> </v>
      </c>
      <c r="T1046" s="874" t="str">
        <f>+IF(OR(O1046="Blaze Shield II",O1046="Cafco 400",O1046="Cafco 300"),'CALCULO MORTERO'!N1052," ")</f>
        <v xml:space="preserve"> </v>
      </c>
      <c r="U1046" s="875" t="str">
        <f>+IF(OR(O1046="Blaze Shield II",O1046="Cafco 400",O1046="Cafco 300"),'CALCULO MORTERO'!O1052," ")</f>
        <v xml:space="preserve"> </v>
      </c>
      <c r="V1046" s="161" t="str" cm="1">
        <f t="array" ref="V1046">_xlfn.IFS(O1046="Blaze Shield II",'CALCULO MORTERO'!P1047, O1046="Cafco 400",'CALCULO MORTERO'!Q1047,O1046="Cafco 300",'CALCULO MORTERO'!S1047, AND(OR(O1046="Fire tex 5090", O1046="Fire Tex 5062", O1046="Fire Tex 5120", O1046="Fire Control"),Q1046&gt;0), "CERT.",TRUE,"-")</f>
        <v>-</v>
      </c>
    </row>
    <row r="1047" spans="1:22" x14ac:dyDescent="0.25">
      <c r="A1047" s="168"/>
      <c r="B1047" s="876"/>
      <c r="C1047" s="161"/>
      <c r="D1047" s="161"/>
      <c r="E1047" s="161"/>
      <c r="F1047" s="161"/>
      <c r="G1047" s="161"/>
      <c r="H1047" s="161"/>
      <c r="I1047" s="166"/>
      <c r="J1047" s="162"/>
      <c r="K1047" s="161"/>
      <c r="L1047" s="161"/>
      <c r="M1047" s="163"/>
      <c r="N1047" s="163" t="str">
        <f t="shared" si="20"/>
        <v/>
      </c>
      <c r="O1047" s="41"/>
      <c r="P1047" s="41"/>
      <c r="Q1047" s="161" t="str">
        <f>+IF(OR(O1047="Fire Control",O1047="Fire Tex 5062",O1047="Fire Tex 5090",O1047="Fire Tex 5120"),'CALCULO PINTURA'!P1048," ")</f>
        <v xml:space="preserve"> </v>
      </c>
      <c r="R1047" s="164" t="str">
        <f>+IF(OR(O1047="Fire Control",O1047="Fire Tex 5062",O1047="Fire Tex 5090",O1047="Fire Tex 5120"),'CALCULO PINTURA'!R1048," ")</f>
        <v xml:space="preserve"> </v>
      </c>
      <c r="S1047" s="164" t="str">
        <f>+IF(OR(O1047="Fire Control",O1047="Fire Tex 5062",O1047="Fire Tex 5090",O1047="Fire Tex 5120"),'CALCULO PINTURA'!S1048," ")</f>
        <v xml:space="preserve"> </v>
      </c>
      <c r="T1047" s="874" t="str">
        <f>+IF(OR(O1047="Blaze Shield II",O1047="Cafco 400",O1047="Cafco 300"),'CALCULO MORTERO'!N1053," ")</f>
        <v xml:space="preserve"> </v>
      </c>
      <c r="U1047" s="875" t="str">
        <f>+IF(OR(O1047="Blaze Shield II",O1047="Cafco 400",O1047="Cafco 300"),'CALCULO MORTERO'!O1053," ")</f>
        <v xml:space="preserve"> </v>
      </c>
      <c r="V1047" s="161" t="str" cm="1">
        <f t="array" ref="V1047">_xlfn.IFS(O1047="Blaze Shield II",'CALCULO MORTERO'!P1048, O1047="Cafco 400",'CALCULO MORTERO'!Q1048,O1047="Cafco 300",'CALCULO MORTERO'!S1048, AND(OR(O1047="Fire tex 5090", O1047="Fire Tex 5062", O1047="Fire Tex 5120", O1047="Fire Control"),Q1047&gt;0), "CERT.",TRUE,"-")</f>
        <v>-</v>
      </c>
    </row>
    <row r="1048" spans="1:22" x14ac:dyDescent="0.25">
      <c r="A1048" s="168"/>
      <c r="B1048" s="876"/>
      <c r="C1048" s="161"/>
      <c r="D1048" s="161"/>
      <c r="E1048" s="161"/>
      <c r="F1048" s="161"/>
      <c r="G1048" s="161"/>
      <c r="H1048" s="161"/>
      <c r="I1048" s="166"/>
      <c r="J1048" s="162"/>
      <c r="K1048" s="161"/>
      <c r="L1048" s="161"/>
      <c r="M1048" s="163"/>
      <c r="N1048" s="163" t="str">
        <f t="shared" si="20"/>
        <v/>
      </c>
      <c r="O1048" s="41"/>
      <c r="P1048" s="41"/>
      <c r="Q1048" s="161" t="str">
        <f>+IF(OR(O1048="Fire Control",O1048="Fire Tex 5062",O1048="Fire Tex 5090",O1048="Fire Tex 5120"),'CALCULO PINTURA'!P1049," ")</f>
        <v xml:space="preserve"> </v>
      </c>
      <c r="R1048" s="164" t="str">
        <f>+IF(OR(O1048="Fire Control",O1048="Fire Tex 5062",O1048="Fire Tex 5090",O1048="Fire Tex 5120"),'CALCULO PINTURA'!R1049," ")</f>
        <v xml:space="preserve"> </v>
      </c>
      <c r="S1048" s="164" t="str">
        <f>+IF(OR(O1048="Fire Control",O1048="Fire Tex 5062",O1048="Fire Tex 5090",O1048="Fire Tex 5120"),'CALCULO PINTURA'!S1049," ")</f>
        <v xml:space="preserve"> </v>
      </c>
      <c r="T1048" s="874" t="str">
        <f>+IF(OR(O1048="Blaze Shield II",O1048="Cafco 400",O1048="Cafco 300"),'CALCULO MORTERO'!N1054," ")</f>
        <v xml:space="preserve"> </v>
      </c>
      <c r="U1048" s="875" t="str">
        <f>+IF(OR(O1048="Blaze Shield II",O1048="Cafco 400",O1048="Cafco 300"),'CALCULO MORTERO'!O1054," ")</f>
        <v xml:space="preserve"> </v>
      </c>
      <c r="V1048" s="161" t="str" cm="1">
        <f t="array" ref="V1048">_xlfn.IFS(O1048="Blaze Shield II",'CALCULO MORTERO'!P1049, O1048="Cafco 400",'CALCULO MORTERO'!Q1049,O1048="Cafco 300",'CALCULO MORTERO'!S1049, AND(OR(O1048="Fire tex 5090", O1048="Fire Tex 5062", O1048="Fire Tex 5120", O1048="Fire Control"),Q1048&gt;0), "CERT.",TRUE,"-")</f>
        <v>-</v>
      </c>
    </row>
    <row r="1049" spans="1:22" x14ac:dyDescent="0.25">
      <c r="A1049" s="168"/>
      <c r="B1049" s="876"/>
      <c r="C1049" s="161"/>
      <c r="D1049" s="161"/>
      <c r="E1049" s="161"/>
      <c r="F1049" s="161"/>
      <c r="G1049" s="161"/>
      <c r="H1049" s="161"/>
      <c r="I1049" s="166"/>
      <c r="J1049" s="162"/>
      <c r="K1049" s="161"/>
      <c r="L1049" s="161"/>
      <c r="M1049" s="169"/>
      <c r="N1049" s="163" t="str">
        <f t="shared" si="20"/>
        <v/>
      </c>
      <c r="O1049" s="41"/>
      <c r="P1049" s="41"/>
      <c r="Q1049" s="161" t="str">
        <f>+IF(OR(O1049="Fire Control",O1049="Fire Tex 5062",O1049="Fire Tex 5090",O1049="Fire Tex 5120"),'CALCULO PINTURA'!P1050," ")</f>
        <v xml:space="preserve"> </v>
      </c>
      <c r="R1049" s="164" t="str">
        <f>+IF(OR(O1049="Fire Control",O1049="Fire Tex 5062",O1049="Fire Tex 5090",O1049="Fire Tex 5120"),'CALCULO PINTURA'!R1050," ")</f>
        <v xml:space="preserve"> </v>
      </c>
      <c r="S1049" s="164" t="str">
        <f>+IF(OR(O1049="Fire Control",O1049="Fire Tex 5062",O1049="Fire Tex 5090",O1049="Fire Tex 5120"),'CALCULO PINTURA'!S1050," ")</f>
        <v xml:space="preserve"> </v>
      </c>
      <c r="T1049" s="874" t="str">
        <f>+IF(OR(O1049="Blaze Shield II",O1049="Cafco 400",O1049="Cafco 300"),'CALCULO MORTERO'!N1055," ")</f>
        <v xml:space="preserve"> </v>
      </c>
      <c r="U1049" s="875" t="str">
        <f>+IF(OR(O1049="Blaze Shield II",O1049="Cafco 400",O1049="Cafco 300"),'CALCULO MORTERO'!O1055," ")</f>
        <v xml:space="preserve"> </v>
      </c>
      <c r="V1049" s="161" t="str" cm="1">
        <f t="array" ref="V1049">_xlfn.IFS(O1049="Blaze Shield II",'CALCULO MORTERO'!P1050, O1049="Cafco 400",'CALCULO MORTERO'!Q1050,O1049="Cafco 300",'CALCULO MORTERO'!S1050, AND(OR(O1049="Fire tex 5090", O1049="Fire Tex 5062", O1049="Fire Tex 5120", O1049="Fire Control"),Q1049&gt;0), "CERT.",TRUE,"-")</f>
        <v>-</v>
      </c>
    </row>
    <row r="1050" spans="1:22" x14ac:dyDescent="0.25">
      <c r="A1050" s="168"/>
      <c r="B1050" s="876"/>
      <c r="C1050" s="161"/>
      <c r="D1050" s="161"/>
      <c r="E1050" s="161"/>
      <c r="F1050" s="41"/>
      <c r="G1050" s="161"/>
      <c r="H1050" s="161"/>
      <c r="I1050" s="166"/>
      <c r="J1050" s="162"/>
      <c r="K1050" s="161"/>
      <c r="L1050" s="161"/>
      <c r="M1050" s="169"/>
      <c r="N1050" s="163" t="str">
        <f t="shared" si="20"/>
        <v/>
      </c>
      <c r="O1050" s="41"/>
      <c r="P1050" s="41"/>
      <c r="Q1050" s="161" t="str">
        <f>+IF(OR(O1050="Fire Control",O1050="Fire Tex 5062",O1050="Fire Tex 5090",O1050="Fire Tex 5120"),'CALCULO PINTURA'!P1051," ")</f>
        <v xml:space="preserve"> </v>
      </c>
      <c r="R1050" s="164" t="str">
        <f>+IF(OR(O1050="Fire Control",O1050="Fire Tex 5062",O1050="Fire Tex 5090",O1050="Fire Tex 5120"),'CALCULO PINTURA'!R1051," ")</f>
        <v xml:space="preserve"> </v>
      </c>
      <c r="S1050" s="164" t="str">
        <f>+IF(OR(O1050="Fire Control",O1050="Fire Tex 5062",O1050="Fire Tex 5090",O1050="Fire Tex 5120"),'CALCULO PINTURA'!S1051," ")</f>
        <v xml:space="preserve"> </v>
      </c>
      <c r="T1050" s="874" t="str">
        <f>+IF(OR(O1050="Blaze Shield II",O1050="Cafco 400",O1050="Cafco 300"),'CALCULO MORTERO'!N1056," ")</f>
        <v xml:space="preserve"> </v>
      </c>
      <c r="U1050" s="875" t="str">
        <f>+IF(OR(O1050="Blaze Shield II",O1050="Cafco 400",O1050="Cafco 300"),'CALCULO MORTERO'!O1056," ")</f>
        <v xml:space="preserve"> </v>
      </c>
      <c r="V1050" s="161" t="str" cm="1">
        <f t="array" ref="V1050">_xlfn.IFS(O1050="Blaze Shield II",'CALCULO MORTERO'!P1051, O1050="Cafco 400",'CALCULO MORTERO'!Q1051,O1050="Cafco 300",'CALCULO MORTERO'!S1051, AND(OR(O1050="Fire tex 5090", O1050="Fire Tex 5062", O1050="Fire Tex 5120", O1050="Fire Control"),Q1050&gt;0), "CERT.",TRUE,"-")</f>
        <v>-</v>
      </c>
    </row>
    <row r="1051" spans="1:22" x14ac:dyDescent="0.25">
      <c r="A1051" s="168"/>
      <c r="B1051" s="876"/>
      <c r="C1051" s="161"/>
      <c r="D1051" s="161"/>
      <c r="E1051" s="161"/>
      <c r="F1051" s="41"/>
      <c r="G1051" s="161"/>
      <c r="H1051" s="161"/>
      <c r="I1051" s="166"/>
      <c r="J1051" s="162"/>
      <c r="K1051" s="161"/>
      <c r="L1051" s="161"/>
      <c r="M1051" s="169"/>
      <c r="N1051" s="163" t="str">
        <f t="shared" si="20"/>
        <v/>
      </c>
      <c r="O1051" s="41"/>
      <c r="P1051" s="41"/>
      <c r="Q1051" s="161" t="str">
        <f>+IF(OR(O1051="Fire Control",O1051="Fire Tex 5062",O1051="Fire Tex 5090",O1051="Fire Tex 5120"),'CALCULO PINTURA'!P1052," ")</f>
        <v xml:space="preserve"> </v>
      </c>
      <c r="R1051" s="164" t="str">
        <f>+IF(OR(O1051="Fire Control",O1051="Fire Tex 5062",O1051="Fire Tex 5090",O1051="Fire Tex 5120"),'CALCULO PINTURA'!R1052," ")</f>
        <v xml:space="preserve"> </v>
      </c>
      <c r="S1051" s="164" t="str">
        <f>+IF(OR(O1051="Fire Control",O1051="Fire Tex 5062",O1051="Fire Tex 5090",O1051="Fire Tex 5120"),'CALCULO PINTURA'!S1052," ")</f>
        <v xml:space="preserve"> </v>
      </c>
      <c r="T1051" s="874" t="str">
        <f>+IF(OR(O1051="Blaze Shield II",O1051="Cafco 400",O1051="Cafco 300"),'CALCULO MORTERO'!N1057," ")</f>
        <v xml:space="preserve"> </v>
      </c>
      <c r="U1051" s="875" t="str">
        <f>+IF(OR(O1051="Blaze Shield II",O1051="Cafco 400",O1051="Cafco 300"),'CALCULO MORTERO'!O1057," ")</f>
        <v xml:space="preserve"> </v>
      </c>
      <c r="V1051" s="161" t="str" cm="1">
        <f t="array" ref="V1051">_xlfn.IFS(O1051="Blaze Shield II",'CALCULO MORTERO'!P1052, O1051="Cafco 400",'CALCULO MORTERO'!Q1052,O1051="Cafco 300",'CALCULO MORTERO'!S1052, AND(OR(O1051="Fire tex 5090", O1051="Fire Tex 5062", O1051="Fire Tex 5120", O1051="Fire Control"),Q1051&gt;0), "CERT.",TRUE,"-")</f>
        <v>-</v>
      </c>
    </row>
    <row r="1052" spans="1:22" x14ac:dyDescent="0.25">
      <c r="A1052" s="168"/>
      <c r="B1052" s="862"/>
      <c r="C1052" s="161"/>
      <c r="D1052" s="161"/>
      <c r="E1052" s="41"/>
      <c r="F1052" s="41"/>
      <c r="G1052" s="161"/>
      <c r="H1052" s="161"/>
      <c r="I1052" s="166"/>
      <c r="J1052" s="162"/>
      <c r="K1052" s="161"/>
      <c r="L1052" s="161"/>
      <c r="M1052" s="169"/>
      <c r="N1052" s="163" t="str">
        <f t="shared" si="20"/>
        <v/>
      </c>
      <c r="O1052" s="41"/>
      <c r="P1052" s="41"/>
      <c r="Q1052" s="161" t="str">
        <f>+IF(OR(O1052="Fire Control",O1052="Fire Tex 5062",O1052="Fire Tex 5090",O1052="Fire Tex 5120"),'CALCULO PINTURA'!P164," ")</f>
        <v xml:space="preserve"> </v>
      </c>
      <c r="R1052" s="164" t="str">
        <f>+IF(OR(O1052="Fire Control",O1052="Fire Tex 5062",O1052="Fire Tex 5090",O1052="Fire Tex 5120"),'CALCULO PINTURA'!R164," ")</f>
        <v xml:space="preserve"> </v>
      </c>
      <c r="S1052" s="164" t="str">
        <f>+IF(OR(O1052="Fire Control",O1052="Fire Tex 5062",O1052="Fire Tex 5090",O1052="Fire Tex 5120"),'CALCULO PINTURA'!S164," ")</f>
        <v xml:space="preserve"> </v>
      </c>
      <c r="T1052" s="874" t="str">
        <f>+IF(OR(O1052="Blaze Shield II",O1052="Cafco 400",O1052="Cafco 300"),'CALCULO MORTERO'!N169," ")</f>
        <v xml:space="preserve"> </v>
      </c>
      <c r="U1052" s="875" t="str">
        <f>+IF(OR(O1052="Blaze Shield II",O1052="Cafco 400",O1052="Cafco 300"),'CALCULO MORTERO'!O169," ")</f>
        <v xml:space="preserve"> </v>
      </c>
      <c r="V1052" s="161" t="str" cm="1">
        <f t="array" ref="V1052">_xlfn.IFS(O1052="Blaze Shield II",'CALCULO MORTERO'!P1053, O1052="Cafco 400",'CALCULO MORTERO'!Q1053,O1052="Cafco 300",'CALCULO MORTERO'!S1053, AND(OR(O1052="Fire tex 5090", O1052="Fire Tex 5062", O1052="Fire Tex 5120", O1052="Fire Control"),Q1052&gt;0), "CERT.",TRUE,"-")</f>
        <v>-</v>
      </c>
    </row>
    <row r="1053" spans="1:22" x14ac:dyDescent="0.25">
      <c r="A1053" s="168"/>
      <c r="B1053" s="862"/>
      <c r="C1053" s="161"/>
      <c r="D1053" s="161"/>
      <c r="E1053" s="41"/>
      <c r="F1053" s="41"/>
      <c r="G1053" s="161"/>
      <c r="H1053" s="161"/>
      <c r="I1053" s="166"/>
      <c r="J1053" s="162"/>
      <c r="K1053" s="161"/>
      <c r="L1053" s="161"/>
      <c r="M1053" s="169"/>
      <c r="N1053" s="163" t="str">
        <f t="shared" si="20"/>
        <v/>
      </c>
      <c r="O1053" s="41"/>
      <c r="P1053" s="41"/>
      <c r="Q1053" s="161" t="str">
        <f>+IF(OR(O1053="Fire Control",O1053="Fire Tex 5062",O1053="Fire Tex 5090",O1053="Fire Tex 5120"),'CALCULO PINTURA'!P166," ")</f>
        <v xml:space="preserve"> </v>
      </c>
      <c r="R1053" s="164" t="str">
        <f>+IF(OR(O1053="Fire Control",O1053="Fire Tex 5062",O1053="Fire Tex 5090",O1053="Fire Tex 5120"),'CALCULO PINTURA'!R166," ")</f>
        <v xml:space="preserve"> </v>
      </c>
      <c r="S1053" s="164" t="str">
        <f>+IF(OR(O1053="Fire Control",O1053="Fire Tex 5062",O1053="Fire Tex 5090",O1053="Fire Tex 5120"),'CALCULO PINTURA'!S166," ")</f>
        <v xml:space="preserve"> </v>
      </c>
      <c r="T1053" s="874" t="str">
        <f>+IF(OR(O1053="Blaze Shield II",O1053="Cafco 400",O1053="Cafco 300"),'CALCULO MORTERO'!N171," ")</f>
        <v xml:space="preserve"> </v>
      </c>
      <c r="U1053" s="875" t="str">
        <f>+IF(OR(O1053="Blaze Shield II",O1053="Cafco 400",O1053="Cafco 300"),'CALCULO MORTERO'!O171," ")</f>
        <v xml:space="preserve"> </v>
      </c>
      <c r="V1053" s="161" t="str" cm="1">
        <f t="array" ref="V1053">_xlfn.IFS(O1053="Blaze Shield II",'CALCULO MORTERO'!P1054, O1053="Cafco 400",'CALCULO MORTERO'!Q1054,O1053="Cafco 300",'CALCULO MORTERO'!S1054, AND(OR(O1053="Fire tex 5090", O1053="Fire Tex 5062", O1053="Fire Tex 5120", O1053="Fire Control"),Q1053&gt;0), "CERT.",TRUE,"-")</f>
        <v>-</v>
      </c>
    </row>
    <row r="1054" spans="1:22" x14ac:dyDescent="0.25">
      <c r="A1054" s="168"/>
      <c r="B1054" s="876"/>
      <c r="C1054" s="161"/>
      <c r="D1054" s="161"/>
      <c r="E1054" s="161"/>
      <c r="F1054" s="41"/>
      <c r="G1054" s="161"/>
      <c r="H1054" s="161"/>
      <c r="I1054" s="166"/>
      <c r="J1054" s="162"/>
      <c r="K1054" s="161"/>
      <c r="L1054" s="161"/>
      <c r="M1054" s="169"/>
      <c r="N1054" s="163" t="str">
        <f t="shared" si="20"/>
        <v/>
      </c>
      <c r="O1054" s="41"/>
      <c r="P1054" s="41"/>
      <c r="Q1054" s="161" t="str">
        <f>+IF(OR(O1054="Fire Control",O1054="Fire Tex 5062",O1054="Fire Tex 5090",O1054="Fire Tex 5120"),'CALCULO PINTURA'!P1055," ")</f>
        <v xml:space="preserve"> </v>
      </c>
      <c r="R1054" s="164" t="str">
        <f>+IF(OR(O1054="Fire Control",O1054="Fire Tex 5062",O1054="Fire Tex 5090",O1054="Fire Tex 5120"),'CALCULO PINTURA'!R1055," ")</f>
        <v xml:space="preserve"> </v>
      </c>
      <c r="S1054" s="164" t="str">
        <f>+IF(OR(O1054="Fire Control",O1054="Fire Tex 5062",O1054="Fire Tex 5090",O1054="Fire Tex 5120"),'CALCULO PINTURA'!S1055," ")</f>
        <v xml:space="preserve"> </v>
      </c>
      <c r="T1054" s="874" t="str">
        <f>+IF(OR(O1054="Blaze Shield II",O1054="Cafco 400",O1054="Cafco 300"),'CALCULO MORTERO'!N1060," ")</f>
        <v xml:space="preserve"> </v>
      </c>
      <c r="U1054" s="875" t="str">
        <f>+IF(OR(O1054="Blaze Shield II",O1054="Cafco 400",O1054="Cafco 300"),'CALCULO MORTERO'!O1060," ")</f>
        <v xml:space="preserve"> </v>
      </c>
      <c r="V1054" s="161" t="str" cm="1">
        <f t="array" ref="V1054">_xlfn.IFS(O1054="Blaze Shield II",'CALCULO MORTERO'!P1055, O1054="Cafco 400",'CALCULO MORTERO'!Q1055,O1054="Cafco 300",'CALCULO MORTERO'!S1055, AND(OR(O1054="Fire tex 5090", O1054="Fire Tex 5062", O1054="Fire Tex 5120", O1054="Fire Control"),Q1054&gt;0), "CERT.",TRUE,"-")</f>
        <v>-</v>
      </c>
    </row>
    <row r="1055" spans="1:22" x14ac:dyDescent="0.25">
      <c r="A1055" s="168"/>
      <c r="B1055" s="862"/>
      <c r="C1055" s="161"/>
      <c r="D1055" s="161"/>
      <c r="E1055" s="41"/>
      <c r="F1055" s="41"/>
      <c r="G1055" s="161"/>
      <c r="H1055" s="161"/>
      <c r="I1055" s="166"/>
      <c r="J1055" s="162"/>
      <c r="K1055" s="161"/>
      <c r="L1055" s="161"/>
      <c r="M1055" s="169"/>
      <c r="N1055" s="163" t="str">
        <f t="shared" si="20"/>
        <v/>
      </c>
      <c r="O1055" s="41"/>
      <c r="P1055" s="41"/>
      <c r="Q1055" s="161" t="str">
        <f>+IF(OR(O1055="Fire Control",O1055="Fire Tex 5062",O1055="Fire Tex 5090",O1055="Fire Tex 5120"),'CALCULO PINTURA'!P167," ")</f>
        <v xml:space="preserve"> </v>
      </c>
      <c r="R1055" s="164" t="str">
        <f>+IF(OR(O1055="Fire Control",O1055="Fire Tex 5062",O1055="Fire Tex 5090",O1055="Fire Tex 5120"),'CALCULO PINTURA'!R167," ")</f>
        <v xml:space="preserve"> </v>
      </c>
      <c r="S1055" s="164" t="str">
        <f>+IF(OR(O1055="Fire Control",O1055="Fire Tex 5062",O1055="Fire Tex 5090",O1055="Fire Tex 5120"),'CALCULO PINTURA'!S167," ")</f>
        <v xml:space="preserve"> </v>
      </c>
      <c r="T1055" s="874" t="str">
        <f>+IF(OR(O1055="Blaze Shield II",O1055="Cafco 400",O1055="Cafco 300"),'CALCULO MORTERO'!N172," ")</f>
        <v xml:space="preserve"> </v>
      </c>
      <c r="U1055" s="875" t="str">
        <f>+IF(OR(O1055="Blaze Shield II",O1055="Cafco 400",O1055="Cafco 300"),'CALCULO MORTERO'!O172," ")</f>
        <v xml:space="preserve"> </v>
      </c>
      <c r="V1055" s="161" t="str" cm="1">
        <f t="array" ref="V1055">_xlfn.IFS(O1055="Blaze Shield II",'CALCULO MORTERO'!P1056, O1055="Cafco 400",'CALCULO MORTERO'!Q1056,O1055="Cafco 300",'CALCULO MORTERO'!S1056, AND(OR(O1055="Fire tex 5090", O1055="Fire Tex 5062", O1055="Fire Tex 5120", O1055="Fire Control"),Q1055&gt;0), "CERT.",TRUE,"-")</f>
        <v>-</v>
      </c>
    </row>
    <row r="1056" spans="1:22" x14ac:dyDescent="0.25">
      <c r="A1056" s="168"/>
      <c r="B1056" s="862"/>
      <c r="C1056" s="161"/>
      <c r="D1056" s="161"/>
      <c r="E1056" s="41"/>
      <c r="F1056" s="41"/>
      <c r="G1056" s="161"/>
      <c r="H1056" s="161"/>
      <c r="I1056" s="166"/>
      <c r="J1056" s="162"/>
      <c r="K1056" s="161"/>
      <c r="L1056" s="161"/>
      <c r="M1056" s="169"/>
      <c r="N1056" s="163" t="str">
        <f t="shared" si="20"/>
        <v/>
      </c>
      <c r="O1056" s="41"/>
      <c r="P1056" s="41"/>
      <c r="Q1056" s="161" t="str">
        <f>+IF(OR(O1056="Fire Control",O1056="Fire Tex 5062",O1056="Fire Tex 5090",O1056="Fire Tex 5120"),'CALCULO PINTURA'!P168," ")</f>
        <v xml:space="preserve"> </v>
      </c>
      <c r="R1056" s="164" t="str">
        <f>+IF(OR(O1056="Fire Control",O1056="Fire Tex 5062",O1056="Fire Tex 5090",O1056="Fire Tex 5120"),'CALCULO PINTURA'!R168," ")</f>
        <v xml:space="preserve"> </v>
      </c>
      <c r="S1056" s="164" t="str">
        <f>+IF(OR(O1056="Fire Control",O1056="Fire Tex 5062",O1056="Fire Tex 5090",O1056="Fire Tex 5120"),'CALCULO PINTURA'!S168," ")</f>
        <v xml:space="preserve"> </v>
      </c>
      <c r="T1056" s="874" t="str">
        <f>+IF(OR(O1056="Blaze Shield II",O1056="Cafco 400",O1056="Cafco 300"),'CALCULO MORTERO'!N173," ")</f>
        <v xml:space="preserve"> </v>
      </c>
      <c r="U1056" s="875" t="str">
        <f>+IF(OR(O1056="Blaze Shield II",O1056="Cafco 400",O1056="Cafco 300"),'CALCULO MORTERO'!O173," ")</f>
        <v xml:space="preserve"> </v>
      </c>
      <c r="V1056" s="161" t="str" cm="1">
        <f t="array" ref="V1056">_xlfn.IFS(O1056="Blaze Shield II",'CALCULO MORTERO'!P1057, O1056="Cafco 400",'CALCULO MORTERO'!Q1057,O1056="Cafco 300",'CALCULO MORTERO'!S1057, AND(OR(O1056="Fire tex 5090", O1056="Fire Tex 5062", O1056="Fire Tex 5120", O1056="Fire Control"),Q1056&gt;0), "CERT.",TRUE,"-")</f>
        <v>-</v>
      </c>
    </row>
    <row r="1057" spans="1:22" x14ac:dyDescent="0.25">
      <c r="A1057" s="168"/>
      <c r="B1057" s="876"/>
      <c r="C1057" s="161"/>
      <c r="D1057" s="161"/>
      <c r="E1057" s="161"/>
      <c r="F1057" s="41"/>
      <c r="G1057" s="161"/>
      <c r="H1057" s="161"/>
      <c r="I1057" s="166"/>
      <c r="J1057" s="162"/>
      <c r="K1057" s="161"/>
      <c r="L1057" s="161"/>
      <c r="M1057" s="169"/>
      <c r="N1057" s="163" t="str">
        <f t="shared" si="20"/>
        <v/>
      </c>
      <c r="O1057" s="41"/>
      <c r="P1057" s="41"/>
      <c r="Q1057" s="161" t="str">
        <f>+IF(OR(O1057="Fire Control",O1057="Fire Tex 5062",O1057="Fire Tex 5090",O1057="Fire Tex 5120"),'CALCULO PINTURA'!P1058," ")</f>
        <v xml:space="preserve"> </v>
      </c>
      <c r="R1057" s="164" t="str">
        <f>+IF(OR(O1057="Fire Control",O1057="Fire Tex 5062",O1057="Fire Tex 5090",O1057="Fire Tex 5120"),'CALCULO PINTURA'!R1058," ")</f>
        <v xml:space="preserve"> </v>
      </c>
      <c r="S1057" s="164" t="str">
        <f>+IF(OR(O1057="Fire Control",O1057="Fire Tex 5062",O1057="Fire Tex 5090",O1057="Fire Tex 5120"),'CALCULO PINTURA'!S1058," ")</f>
        <v xml:space="preserve"> </v>
      </c>
      <c r="T1057" s="874" t="str">
        <f>+IF(OR(O1057="Blaze Shield II",O1057="Cafco 400",O1057="Cafco 300"),'CALCULO MORTERO'!N1063," ")</f>
        <v xml:space="preserve"> </v>
      </c>
      <c r="U1057" s="875" t="str">
        <f>+IF(OR(O1057="Blaze Shield II",O1057="Cafco 400",O1057="Cafco 300"),'CALCULO MORTERO'!O1063," ")</f>
        <v xml:space="preserve"> </v>
      </c>
      <c r="V1057" s="161" t="str" cm="1">
        <f t="array" ref="V1057">_xlfn.IFS(O1057="Blaze Shield II",'CALCULO MORTERO'!P1058, O1057="Cafco 400",'CALCULO MORTERO'!Q1058,O1057="Cafco 300",'CALCULO MORTERO'!S1058, AND(OR(O1057="Fire tex 5090", O1057="Fire Tex 5062", O1057="Fire Tex 5120", O1057="Fire Control"),Q1057&gt;0), "CERT.",TRUE,"-")</f>
        <v>-</v>
      </c>
    </row>
    <row r="1058" spans="1:22" x14ac:dyDescent="0.25">
      <c r="A1058" s="168"/>
      <c r="B1058" s="876"/>
      <c r="C1058" s="161"/>
      <c r="D1058" s="161"/>
      <c r="E1058" s="161"/>
      <c r="F1058" s="41"/>
      <c r="G1058" s="161"/>
      <c r="H1058" s="161"/>
      <c r="I1058" s="166"/>
      <c r="J1058" s="162"/>
      <c r="K1058" s="161"/>
      <c r="L1058" s="161"/>
      <c r="M1058" s="169"/>
      <c r="N1058" s="163" t="str">
        <f t="shared" si="20"/>
        <v/>
      </c>
      <c r="O1058" s="41"/>
      <c r="P1058" s="41"/>
      <c r="Q1058" s="161" t="str">
        <f>+IF(OR(O1058="Fire Control",O1058="Fire Tex 5062",O1058="Fire Tex 5090",O1058="Fire Tex 5120"),'CALCULO PINTURA'!P1059," ")</f>
        <v xml:space="preserve"> </v>
      </c>
      <c r="R1058" s="164" t="str">
        <f>+IF(OR(O1058="Fire Control",O1058="Fire Tex 5062",O1058="Fire Tex 5090",O1058="Fire Tex 5120"),'CALCULO PINTURA'!R1059," ")</f>
        <v xml:space="preserve"> </v>
      </c>
      <c r="S1058" s="164" t="str">
        <f>+IF(OR(O1058="Fire Control",O1058="Fire Tex 5062",O1058="Fire Tex 5090",O1058="Fire Tex 5120"),'CALCULO PINTURA'!S1059," ")</f>
        <v xml:space="preserve"> </v>
      </c>
      <c r="T1058" s="874" t="str">
        <f>+IF(OR(O1058="Blaze Shield II",O1058="Cafco 400",O1058="Cafco 300"),'CALCULO MORTERO'!N1064," ")</f>
        <v xml:space="preserve"> </v>
      </c>
      <c r="U1058" s="875" t="str">
        <f>+IF(OR(O1058="Blaze Shield II",O1058="Cafco 400",O1058="Cafco 300"),'CALCULO MORTERO'!O1064," ")</f>
        <v xml:space="preserve"> </v>
      </c>
      <c r="V1058" s="161" t="str" cm="1">
        <f t="array" ref="V1058">_xlfn.IFS(O1058="Blaze Shield II",'CALCULO MORTERO'!P1059, O1058="Cafco 400",'CALCULO MORTERO'!Q1059,O1058="Cafco 300",'CALCULO MORTERO'!S1059, AND(OR(O1058="Fire tex 5090", O1058="Fire Tex 5062", O1058="Fire Tex 5120", O1058="Fire Control"),Q1058&gt;0), "CERT.",TRUE,"-")</f>
        <v>-</v>
      </c>
    </row>
    <row r="1059" spans="1:22" x14ac:dyDescent="0.25">
      <c r="A1059" s="168"/>
      <c r="B1059" s="876"/>
      <c r="C1059" s="161"/>
      <c r="D1059" s="161"/>
      <c r="E1059" s="161"/>
      <c r="F1059" s="41"/>
      <c r="G1059" s="161"/>
      <c r="H1059" s="161"/>
      <c r="I1059" s="166"/>
      <c r="J1059" s="162"/>
      <c r="K1059" s="161"/>
      <c r="L1059" s="161"/>
      <c r="M1059" s="169"/>
      <c r="N1059" s="163" t="str">
        <f t="shared" si="20"/>
        <v/>
      </c>
      <c r="O1059" s="41"/>
      <c r="P1059" s="41"/>
      <c r="Q1059" s="161" t="str">
        <f>+IF(OR(O1059="Fire Control",O1059="Fire Tex 5062",O1059="Fire Tex 5090",O1059="Fire Tex 5120"),'CALCULO PINTURA'!P1060," ")</f>
        <v xml:space="preserve"> </v>
      </c>
      <c r="R1059" s="164" t="str">
        <f>+IF(OR(O1059="Fire Control",O1059="Fire Tex 5062",O1059="Fire Tex 5090",O1059="Fire Tex 5120"),'CALCULO PINTURA'!R1060," ")</f>
        <v xml:space="preserve"> </v>
      </c>
      <c r="S1059" s="164" t="str">
        <f>+IF(OR(O1059="Fire Control",O1059="Fire Tex 5062",O1059="Fire Tex 5090",O1059="Fire Tex 5120"),'CALCULO PINTURA'!S1060," ")</f>
        <v xml:space="preserve"> </v>
      </c>
      <c r="T1059" s="874" t="str">
        <f>+IF(OR(O1059="Blaze Shield II",O1059="Cafco 400",O1059="Cafco 300"),'CALCULO MORTERO'!N1065," ")</f>
        <v xml:space="preserve"> </v>
      </c>
      <c r="U1059" s="875" t="str">
        <f>+IF(OR(O1059="Blaze Shield II",O1059="Cafco 400",O1059="Cafco 300"),'CALCULO MORTERO'!O1065," ")</f>
        <v xml:space="preserve"> </v>
      </c>
      <c r="V1059" s="161" t="str" cm="1">
        <f t="array" ref="V1059">_xlfn.IFS(O1059="Blaze Shield II",'CALCULO MORTERO'!P1060, O1059="Cafco 400",'CALCULO MORTERO'!Q1060,O1059="Cafco 300",'CALCULO MORTERO'!S1060, AND(OR(O1059="Fire tex 5090", O1059="Fire Tex 5062", O1059="Fire Tex 5120", O1059="Fire Control"),Q1059&gt;0), "CERT.",TRUE,"-")</f>
        <v>-</v>
      </c>
    </row>
    <row r="1060" spans="1:22" x14ac:dyDescent="0.25">
      <c r="A1060" s="168"/>
      <c r="B1060" s="876"/>
      <c r="C1060" s="161"/>
      <c r="D1060" s="161"/>
      <c r="E1060" s="161"/>
      <c r="F1060" s="41"/>
      <c r="G1060" s="161"/>
      <c r="H1060" s="161"/>
      <c r="I1060" s="166"/>
      <c r="J1060" s="162"/>
      <c r="K1060" s="161"/>
      <c r="L1060" s="161"/>
      <c r="M1060" s="169"/>
      <c r="N1060" s="163" t="str">
        <f t="shared" si="20"/>
        <v/>
      </c>
      <c r="O1060" s="41"/>
      <c r="P1060" s="41"/>
      <c r="Q1060" s="161" t="str">
        <f>+IF(OR(O1060="Fire Control",O1060="Fire Tex 5062",O1060="Fire Tex 5090",O1060="Fire Tex 5120"),'CALCULO PINTURA'!P1061," ")</f>
        <v xml:space="preserve"> </v>
      </c>
      <c r="R1060" s="164" t="str">
        <f>+IF(OR(O1060="Fire Control",O1060="Fire Tex 5062",O1060="Fire Tex 5090",O1060="Fire Tex 5120"),'CALCULO PINTURA'!R1061," ")</f>
        <v xml:space="preserve"> </v>
      </c>
      <c r="S1060" s="164" t="str">
        <f>+IF(OR(O1060="Fire Control",O1060="Fire Tex 5062",O1060="Fire Tex 5090",O1060="Fire Tex 5120"),'CALCULO PINTURA'!S1061," ")</f>
        <v xml:space="preserve"> </v>
      </c>
      <c r="T1060" s="874" t="str">
        <f>+IF(OR(O1060="Blaze Shield II",O1060="Cafco 400",O1060="Cafco 300"),'CALCULO MORTERO'!N1066," ")</f>
        <v xml:space="preserve"> </v>
      </c>
      <c r="U1060" s="875" t="str">
        <f>+IF(OR(O1060="Blaze Shield II",O1060="Cafco 400",O1060="Cafco 300"),'CALCULO MORTERO'!O1066," ")</f>
        <v xml:space="preserve"> </v>
      </c>
      <c r="V1060" s="161" t="str" cm="1">
        <f t="array" ref="V1060">_xlfn.IFS(O1060="Blaze Shield II",'CALCULO MORTERO'!P1061, O1060="Cafco 400",'CALCULO MORTERO'!Q1061,O1060="Cafco 300",'CALCULO MORTERO'!S1061, AND(OR(O1060="Fire tex 5090", O1060="Fire Tex 5062", O1060="Fire Tex 5120", O1060="Fire Control"),Q1060&gt;0), "CERT.",TRUE,"-")</f>
        <v>-</v>
      </c>
    </row>
    <row r="1061" spans="1:22" x14ac:dyDescent="0.25">
      <c r="A1061" s="168"/>
      <c r="B1061" s="876"/>
      <c r="C1061" s="161"/>
      <c r="D1061" s="161"/>
      <c r="E1061" s="161"/>
      <c r="F1061" s="41"/>
      <c r="G1061" s="161"/>
      <c r="H1061" s="161"/>
      <c r="I1061" s="166"/>
      <c r="J1061" s="162"/>
      <c r="K1061" s="161"/>
      <c r="L1061" s="161"/>
      <c r="M1061" s="169"/>
      <c r="N1061" s="163" t="str">
        <f t="shared" si="20"/>
        <v/>
      </c>
      <c r="O1061" s="41"/>
      <c r="P1061" s="41"/>
      <c r="Q1061" s="161" t="str">
        <f>+IF(OR(O1061="Fire Control",O1061="Fire Tex 5062",O1061="Fire Tex 5090",O1061="Fire Tex 5120"),'CALCULO PINTURA'!P1062," ")</f>
        <v xml:space="preserve"> </v>
      </c>
      <c r="R1061" s="164" t="str">
        <f>+IF(OR(O1061="Fire Control",O1061="Fire Tex 5062",O1061="Fire Tex 5090",O1061="Fire Tex 5120"),'CALCULO PINTURA'!R1062," ")</f>
        <v xml:space="preserve"> </v>
      </c>
      <c r="S1061" s="164" t="str">
        <f>+IF(OR(O1061="Fire Control",O1061="Fire Tex 5062",O1061="Fire Tex 5090",O1061="Fire Tex 5120"),'CALCULO PINTURA'!S1062," ")</f>
        <v xml:space="preserve"> </v>
      </c>
      <c r="T1061" s="874" t="str">
        <f>+IF(OR(O1061="Blaze Shield II",O1061="Cafco 400",O1061="Cafco 300"),'CALCULO MORTERO'!N1067," ")</f>
        <v xml:space="preserve"> </v>
      </c>
      <c r="U1061" s="875" t="str">
        <f>+IF(OR(O1061="Blaze Shield II",O1061="Cafco 400",O1061="Cafco 300"),'CALCULO MORTERO'!O1067," ")</f>
        <v xml:space="preserve"> </v>
      </c>
      <c r="V1061" s="161" t="str" cm="1">
        <f t="array" ref="V1061">_xlfn.IFS(O1061="Blaze Shield II",'CALCULO MORTERO'!P1062, O1061="Cafco 400",'CALCULO MORTERO'!Q1062,O1061="Cafco 300",'CALCULO MORTERO'!S1062, AND(OR(O1061="Fire tex 5090", O1061="Fire Tex 5062", O1061="Fire Tex 5120", O1061="Fire Control"),Q1061&gt;0), "CERT.",TRUE,"-")</f>
        <v>-</v>
      </c>
    </row>
    <row r="1062" spans="1:22" x14ac:dyDescent="0.25">
      <c r="A1062" s="168"/>
      <c r="B1062" s="876"/>
      <c r="C1062" s="161"/>
      <c r="D1062" s="161"/>
      <c r="E1062" s="161"/>
      <c r="F1062" s="41"/>
      <c r="G1062" s="161"/>
      <c r="H1062" s="161"/>
      <c r="I1062" s="166"/>
      <c r="J1062" s="162"/>
      <c r="K1062" s="161"/>
      <c r="L1062" s="161"/>
      <c r="M1062" s="169"/>
      <c r="N1062" s="163" t="str">
        <f t="shared" si="20"/>
        <v/>
      </c>
      <c r="O1062" s="41"/>
      <c r="P1062" s="41"/>
      <c r="Q1062" s="161" t="str">
        <f>+IF(OR(O1062="Fire Control",O1062="Fire Tex 5062",O1062="Fire Tex 5090",O1062="Fire Tex 5120"),'CALCULO PINTURA'!P1063," ")</f>
        <v xml:space="preserve"> </v>
      </c>
      <c r="R1062" s="164" t="str">
        <f>+IF(OR(O1062="Fire Control",O1062="Fire Tex 5062",O1062="Fire Tex 5090",O1062="Fire Tex 5120"),'CALCULO PINTURA'!R1063," ")</f>
        <v xml:space="preserve"> </v>
      </c>
      <c r="S1062" s="164" t="str">
        <f>+IF(OR(O1062="Fire Control",O1062="Fire Tex 5062",O1062="Fire Tex 5090",O1062="Fire Tex 5120"),'CALCULO PINTURA'!S1063," ")</f>
        <v xml:space="preserve"> </v>
      </c>
      <c r="T1062" s="874" t="str">
        <f>+IF(OR(O1062="Blaze Shield II",O1062="Cafco 400",O1062="Cafco 300"),'CALCULO MORTERO'!N1068," ")</f>
        <v xml:space="preserve"> </v>
      </c>
      <c r="U1062" s="875" t="str">
        <f>+IF(OR(O1062="Blaze Shield II",O1062="Cafco 400",O1062="Cafco 300"),'CALCULO MORTERO'!O1068," ")</f>
        <v xml:space="preserve"> </v>
      </c>
      <c r="V1062" s="161" t="str" cm="1">
        <f t="array" ref="V1062">_xlfn.IFS(O1062="Blaze Shield II",'CALCULO MORTERO'!P1063, O1062="Cafco 400",'CALCULO MORTERO'!Q1063,O1062="Cafco 300",'CALCULO MORTERO'!S1063, AND(OR(O1062="Fire tex 5090", O1062="Fire Tex 5062", O1062="Fire Tex 5120", O1062="Fire Control"),Q1062&gt;0), "CERT.",TRUE,"-")</f>
        <v>-</v>
      </c>
    </row>
    <row r="1063" spans="1:22" x14ac:dyDescent="0.25">
      <c r="A1063" s="168"/>
      <c r="B1063" s="876"/>
      <c r="C1063" s="161"/>
      <c r="D1063" s="161"/>
      <c r="E1063" s="161"/>
      <c r="F1063" s="41"/>
      <c r="G1063" s="161"/>
      <c r="H1063" s="161"/>
      <c r="I1063" s="166"/>
      <c r="J1063" s="162"/>
      <c r="K1063" s="161"/>
      <c r="L1063" s="161"/>
      <c r="M1063" s="169"/>
      <c r="N1063" s="163" t="str">
        <f t="shared" si="20"/>
        <v/>
      </c>
      <c r="O1063" s="41"/>
      <c r="P1063" s="41"/>
      <c r="Q1063" s="161" t="str">
        <f>+IF(OR(O1063="Fire Control",O1063="Fire Tex 5062",O1063="Fire Tex 5090",O1063="Fire Tex 5120"),'CALCULO PINTURA'!P1064," ")</f>
        <v xml:space="preserve"> </v>
      </c>
      <c r="R1063" s="164" t="str">
        <f>+IF(OR(O1063="Fire Control",O1063="Fire Tex 5062",O1063="Fire Tex 5090",O1063="Fire Tex 5120"),'CALCULO PINTURA'!R1064," ")</f>
        <v xml:space="preserve"> </v>
      </c>
      <c r="S1063" s="164" t="str">
        <f>+IF(OR(O1063="Fire Control",O1063="Fire Tex 5062",O1063="Fire Tex 5090",O1063="Fire Tex 5120"),'CALCULO PINTURA'!S1064," ")</f>
        <v xml:space="preserve"> </v>
      </c>
      <c r="T1063" s="874" t="str">
        <f>+IF(OR(O1063="Blaze Shield II",O1063="Cafco 400",O1063="Cafco 300"),'CALCULO MORTERO'!N1069," ")</f>
        <v xml:space="preserve"> </v>
      </c>
      <c r="U1063" s="875" t="str">
        <f>+IF(OR(O1063="Blaze Shield II",O1063="Cafco 400",O1063="Cafco 300"),'CALCULO MORTERO'!O1069," ")</f>
        <v xml:space="preserve"> </v>
      </c>
      <c r="V1063" s="161" t="str" cm="1">
        <f t="array" ref="V1063">_xlfn.IFS(O1063="Blaze Shield II",'CALCULO MORTERO'!P1064, O1063="Cafco 400",'CALCULO MORTERO'!Q1064,O1063="Cafco 300",'CALCULO MORTERO'!S1064, AND(OR(O1063="Fire tex 5090", O1063="Fire Tex 5062", O1063="Fire Tex 5120", O1063="Fire Control"),Q1063&gt;0), "CERT.",TRUE,"-")</f>
        <v>-</v>
      </c>
    </row>
    <row r="1064" spans="1:22" x14ac:dyDescent="0.25">
      <c r="A1064" s="168"/>
      <c r="B1064" s="876"/>
      <c r="C1064" s="161"/>
      <c r="D1064" s="161"/>
      <c r="E1064" s="161"/>
      <c r="F1064" s="41"/>
      <c r="G1064" s="161"/>
      <c r="H1064" s="161"/>
      <c r="I1064" s="166"/>
      <c r="J1064" s="162"/>
      <c r="K1064" s="161"/>
      <c r="L1064" s="161"/>
      <c r="M1064" s="169"/>
      <c r="N1064" s="163" t="str">
        <f t="shared" si="20"/>
        <v/>
      </c>
      <c r="O1064" s="41"/>
      <c r="P1064" s="41"/>
      <c r="Q1064" s="161" t="str">
        <f>+IF(OR(O1064="Fire Control",O1064="Fire Tex 5062",O1064="Fire Tex 5090",O1064="Fire Tex 5120"),'CALCULO PINTURA'!P1065," ")</f>
        <v xml:space="preserve"> </v>
      </c>
      <c r="R1064" s="164" t="str">
        <f>+IF(OR(O1064="Fire Control",O1064="Fire Tex 5062",O1064="Fire Tex 5090",O1064="Fire Tex 5120"),'CALCULO PINTURA'!R1065," ")</f>
        <v xml:space="preserve"> </v>
      </c>
      <c r="S1064" s="164" t="str">
        <f>+IF(OR(O1064="Fire Control",O1064="Fire Tex 5062",O1064="Fire Tex 5090",O1064="Fire Tex 5120"),'CALCULO PINTURA'!S1065," ")</f>
        <v xml:space="preserve"> </v>
      </c>
      <c r="T1064" s="874" t="str">
        <f>+IF(OR(O1064="Blaze Shield II",O1064="Cafco 400",O1064="Cafco 300"),'CALCULO MORTERO'!N1070," ")</f>
        <v xml:space="preserve"> </v>
      </c>
      <c r="U1064" s="875" t="str">
        <f>+IF(OR(O1064="Blaze Shield II",O1064="Cafco 400",O1064="Cafco 300"),'CALCULO MORTERO'!O1070," ")</f>
        <v xml:space="preserve"> </v>
      </c>
      <c r="V1064" s="161" t="str" cm="1">
        <f t="array" ref="V1064">_xlfn.IFS(O1064="Blaze Shield II",'CALCULO MORTERO'!P1065, O1064="Cafco 400",'CALCULO MORTERO'!Q1065,O1064="Cafco 300",'CALCULO MORTERO'!S1065, AND(OR(O1064="Fire tex 5090", O1064="Fire Tex 5062", O1064="Fire Tex 5120", O1064="Fire Control"),Q1064&gt;0), "CERT.",TRUE,"-")</f>
        <v>-</v>
      </c>
    </row>
    <row r="1065" spans="1:22" x14ac:dyDescent="0.25">
      <c r="A1065" s="168"/>
      <c r="B1065" s="876"/>
      <c r="C1065" s="161"/>
      <c r="D1065" s="161"/>
      <c r="E1065" s="161"/>
      <c r="F1065" s="41"/>
      <c r="G1065" s="161"/>
      <c r="H1065" s="161"/>
      <c r="I1065" s="166"/>
      <c r="J1065" s="162"/>
      <c r="K1065" s="161"/>
      <c r="L1065" s="161"/>
      <c r="M1065" s="169"/>
      <c r="N1065" s="163" t="str">
        <f t="shared" si="20"/>
        <v/>
      </c>
      <c r="O1065" s="41"/>
      <c r="P1065" s="41"/>
      <c r="Q1065" s="161" t="str">
        <f>+IF(OR(O1065="Fire Control",O1065="Fire Tex 5062",O1065="Fire Tex 5090",O1065="Fire Tex 5120"),'CALCULO PINTURA'!P1066," ")</f>
        <v xml:space="preserve"> </v>
      </c>
      <c r="R1065" s="164" t="str">
        <f>+IF(OR(O1065="Fire Control",O1065="Fire Tex 5062",O1065="Fire Tex 5090",O1065="Fire Tex 5120"),'CALCULO PINTURA'!R1066," ")</f>
        <v xml:space="preserve"> </v>
      </c>
      <c r="S1065" s="164" t="str">
        <f>+IF(OR(O1065="Fire Control",O1065="Fire Tex 5062",O1065="Fire Tex 5090",O1065="Fire Tex 5120"),'CALCULO PINTURA'!S1066," ")</f>
        <v xml:space="preserve"> </v>
      </c>
      <c r="T1065" s="874" t="str">
        <f>+IF(OR(O1065="Blaze Shield II",O1065="Cafco 400",O1065="Cafco 300"),'CALCULO MORTERO'!N1071," ")</f>
        <v xml:space="preserve"> </v>
      </c>
      <c r="U1065" s="875" t="str">
        <f>+IF(OR(O1065="Blaze Shield II",O1065="Cafco 400",O1065="Cafco 300"),'CALCULO MORTERO'!O1071," ")</f>
        <v xml:space="preserve"> </v>
      </c>
      <c r="V1065" s="161" t="str" cm="1">
        <f t="array" ref="V1065">_xlfn.IFS(O1065="Blaze Shield II",'CALCULO MORTERO'!P1066, O1065="Cafco 400",'CALCULO MORTERO'!Q1066,O1065="Cafco 300",'CALCULO MORTERO'!S1066, AND(OR(O1065="Fire tex 5090", O1065="Fire Tex 5062", O1065="Fire Tex 5120", O1065="Fire Control"),Q1065&gt;0), "CERT.",TRUE,"-")</f>
        <v>-</v>
      </c>
    </row>
    <row r="1066" spans="1:22" x14ac:dyDescent="0.25">
      <c r="A1066" s="168"/>
      <c r="B1066" s="876"/>
      <c r="C1066" s="161"/>
      <c r="D1066" s="161"/>
      <c r="E1066" s="161"/>
      <c r="F1066" s="41"/>
      <c r="G1066" s="161"/>
      <c r="H1066" s="161"/>
      <c r="I1066" s="166"/>
      <c r="J1066" s="162"/>
      <c r="K1066" s="161"/>
      <c r="L1066" s="161"/>
      <c r="M1066" s="169"/>
      <c r="N1066" s="163" t="str">
        <f t="shared" si="20"/>
        <v/>
      </c>
      <c r="O1066" s="41"/>
      <c r="P1066" s="41"/>
      <c r="Q1066" s="161" t="str">
        <f>+IF(OR(O1066="Fire Control",O1066="Fire Tex 5062",O1066="Fire Tex 5090",O1066="Fire Tex 5120"),'CALCULO PINTURA'!P1067," ")</f>
        <v xml:space="preserve"> </v>
      </c>
      <c r="R1066" s="164" t="str">
        <f>+IF(OR(O1066="Fire Control",O1066="Fire Tex 5062",O1066="Fire Tex 5090",O1066="Fire Tex 5120"),'CALCULO PINTURA'!R1067," ")</f>
        <v xml:space="preserve"> </v>
      </c>
      <c r="S1066" s="164" t="str">
        <f>+IF(OR(O1066="Fire Control",O1066="Fire Tex 5062",O1066="Fire Tex 5090",O1066="Fire Tex 5120"),'CALCULO PINTURA'!S1067," ")</f>
        <v xml:space="preserve"> </v>
      </c>
      <c r="T1066" s="874" t="str">
        <f>+IF(OR(O1066="Blaze Shield II",O1066="Cafco 400",O1066="Cafco 300"),'CALCULO MORTERO'!N1072," ")</f>
        <v xml:space="preserve"> </v>
      </c>
      <c r="U1066" s="875" t="str">
        <f>+IF(OR(O1066="Blaze Shield II",O1066="Cafco 400",O1066="Cafco 300"),'CALCULO MORTERO'!O1072," ")</f>
        <v xml:space="preserve"> </v>
      </c>
      <c r="V1066" s="161" t="str" cm="1">
        <f t="array" ref="V1066">_xlfn.IFS(O1066="Blaze Shield II",'CALCULO MORTERO'!P1067, O1066="Cafco 400",'CALCULO MORTERO'!Q1067,O1066="Cafco 300",'CALCULO MORTERO'!S1067, AND(OR(O1066="Fire tex 5090", O1066="Fire Tex 5062", O1066="Fire Tex 5120", O1066="Fire Control"),Q1066&gt;0), "CERT.",TRUE,"-")</f>
        <v>-</v>
      </c>
    </row>
    <row r="1067" spans="1:22" x14ac:dyDescent="0.25">
      <c r="A1067" s="168"/>
      <c r="B1067" s="876"/>
      <c r="C1067" s="161"/>
      <c r="D1067" s="161"/>
      <c r="E1067" s="161"/>
      <c r="F1067" s="41"/>
      <c r="G1067" s="161"/>
      <c r="H1067" s="161"/>
      <c r="I1067" s="166"/>
      <c r="J1067" s="162"/>
      <c r="K1067" s="161"/>
      <c r="L1067" s="161"/>
      <c r="M1067" s="169"/>
      <c r="N1067" s="163" t="str">
        <f t="shared" si="20"/>
        <v/>
      </c>
      <c r="O1067" s="41"/>
      <c r="P1067" s="41"/>
      <c r="Q1067" s="161" t="str">
        <f>+IF(OR(O1067="Fire Control",O1067="Fire Tex 5062",O1067="Fire Tex 5090",O1067="Fire Tex 5120"),'CALCULO PINTURA'!P1068," ")</f>
        <v xml:space="preserve"> </v>
      </c>
      <c r="R1067" s="164" t="str">
        <f>+IF(OR(O1067="Fire Control",O1067="Fire Tex 5062",O1067="Fire Tex 5090",O1067="Fire Tex 5120"),'CALCULO PINTURA'!R1068," ")</f>
        <v xml:space="preserve"> </v>
      </c>
      <c r="S1067" s="164" t="str">
        <f>+IF(OR(O1067="Fire Control",O1067="Fire Tex 5062",O1067="Fire Tex 5090",O1067="Fire Tex 5120"),'CALCULO PINTURA'!S1068," ")</f>
        <v xml:space="preserve"> </v>
      </c>
      <c r="T1067" s="874" t="str">
        <f>+IF(OR(O1067="Blaze Shield II",O1067="Cafco 400",O1067="Cafco 300"),'CALCULO MORTERO'!N1073," ")</f>
        <v xml:space="preserve"> </v>
      </c>
      <c r="U1067" s="875" t="str">
        <f>+IF(OR(O1067="Blaze Shield II",O1067="Cafco 400",O1067="Cafco 300"),'CALCULO MORTERO'!O1073," ")</f>
        <v xml:space="preserve"> </v>
      </c>
      <c r="V1067" s="161" t="str" cm="1">
        <f t="array" ref="V1067">_xlfn.IFS(O1067="Blaze Shield II",'CALCULO MORTERO'!P1068, O1067="Cafco 400",'CALCULO MORTERO'!Q1068,O1067="Cafco 300",'CALCULO MORTERO'!S1068, AND(OR(O1067="Fire tex 5090", O1067="Fire Tex 5062", O1067="Fire Tex 5120", O1067="Fire Control"),Q1067&gt;0), "CERT.",TRUE,"-")</f>
        <v>-</v>
      </c>
    </row>
    <row r="1068" spans="1:22" x14ac:dyDescent="0.25">
      <c r="A1068" s="168"/>
      <c r="B1068" s="876"/>
      <c r="C1068" s="161"/>
      <c r="D1068" s="161"/>
      <c r="E1068" s="161"/>
      <c r="F1068" s="41"/>
      <c r="G1068" s="161"/>
      <c r="H1068" s="161"/>
      <c r="I1068" s="166"/>
      <c r="J1068" s="162"/>
      <c r="K1068" s="161"/>
      <c r="L1068" s="161"/>
      <c r="M1068" s="169"/>
      <c r="N1068" s="163" t="str">
        <f t="shared" si="20"/>
        <v/>
      </c>
      <c r="O1068" s="41"/>
      <c r="P1068" s="41"/>
      <c r="Q1068" s="161" t="str">
        <f>+IF(OR(O1068="Fire Control",O1068="Fire Tex 5062",O1068="Fire Tex 5090",O1068="Fire Tex 5120"),'CALCULO PINTURA'!P1069," ")</f>
        <v xml:space="preserve"> </v>
      </c>
      <c r="R1068" s="164" t="str">
        <f>+IF(OR(O1068="Fire Control",O1068="Fire Tex 5062",O1068="Fire Tex 5090",O1068="Fire Tex 5120"),'CALCULO PINTURA'!R1069," ")</f>
        <v xml:space="preserve"> </v>
      </c>
      <c r="S1068" s="164" t="str">
        <f>+IF(OR(O1068="Fire Control",O1068="Fire Tex 5062",O1068="Fire Tex 5090",O1068="Fire Tex 5120"),'CALCULO PINTURA'!S1069," ")</f>
        <v xml:space="preserve"> </v>
      </c>
      <c r="T1068" s="874" t="str">
        <f>+IF(OR(O1068="Blaze Shield II",O1068="Cafco 400",O1068="Cafco 300"),'CALCULO MORTERO'!N1074," ")</f>
        <v xml:space="preserve"> </v>
      </c>
      <c r="U1068" s="875" t="str">
        <f>+IF(OR(O1068="Blaze Shield II",O1068="Cafco 400",O1068="Cafco 300"),'CALCULO MORTERO'!O1074," ")</f>
        <v xml:space="preserve"> </v>
      </c>
      <c r="V1068" s="161" t="str" cm="1">
        <f t="array" ref="V1068">_xlfn.IFS(O1068="Blaze Shield II",'CALCULO MORTERO'!P1069, O1068="Cafco 400",'CALCULO MORTERO'!Q1069,O1068="Cafco 300",'CALCULO MORTERO'!S1069, AND(OR(O1068="Fire tex 5090", O1068="Fire Tex 5062", O1068="Fire Tex 5120", O1068="Fire Control"),Q1068&gt;0), "CERT.",TRUE,"-")</f>
        <v>-</v>
      </c>
    </row>
    <row r="1069" spans="1:22" x14ac:dyDescent="0.25">
      <c r="A1069" s="168"/>
      <c r="B1069" s="876"/>
      <c r="C1069" s="161"/>
      <c r="D1069" s="161"/>
      <c r="E1069" s="161"/>
      <c r="F1069" s="41"/>
      <c r="G1069" s="161"/>
      <c r="H1069" s="161"/>
      <c r="I1069" s="166"/>
      <c r="J1069" s="162"/>
      <c r="K1069" s="161"/>
      <c r="L1069" s="161"/>
      <c r="M1069" s="169"/>
      <c r="N1069" s="163" t="str">
        <f t="shared" si="20"/>
        <v/>
      </c>
      <c r="O1069" s="41"/>
      <c r="P1069" s="41"/>
      <c r="Q1069" s="161" t="str">
        <f>+IF(OR(O1069="Fire Control",O1069="Fire Tex 5062",O1069="Fire Tex 5090",O1069="Fire Tex 5120"),'CALCULO PINTURA'!P1070," ")</f>
        <v xml:space="preserve"> </v>
      </c>
      <c r="R1069" s="164" t="str">
        <f>+IF(OR(O1069="Fire Control",O1069="Fire Tex 5062",O1069="Fire Tex 5090",O1069="Fire Tex 5120"),'CALCULO PINTURA'!R1070," ")</f>
        <v xml:space="preserve"> </v>
      </c>
      <c r="S1069" s="164" t="str">
        <f>+IF(OR(O1069="Fire Control",O1069="Fire Tex 5062",O1069="Fire Tex 5090",O1069="Fire Tex 5120"),'CALCULO PINTURA'!S1070," ")</f>
        <v xml:space="preserve"> </v>
      </c>
      <c r="T1069" s="874" t="str">
        <f>+IF(OR(O1069="Blaze Shield II",O1069="Cafco 400",O1069="Cafco 300"),'CALCULO MORTERO'!N1075," ")</f>
        <v xml:space="preserve"> </v>
      </c>
      <c r="U1069" s="875" t="str">
        <f>+IF(OR(O1069="Blaze Shield II",O1069="Cafco 400",O1069="Cafco 300"),'CALCULO MORTERO'!O1075," ")</f>
        <v xml:space="preserve"> </v>
      </c>
      <c r="V1069" s="161" t="str" cm="1">
        <f t="array" ref="V1069">_xlfn.IFS(O1069="Blaze Shield II",'CALCULO MORTERO'!P1070, O1069="Cafco 400",'CALCULO MORTERO'!Q1070,O1069="Cafco 300",'CALCULO MORTERO'!S1070, AND(OR(O1069="Fire tex 5090", O1069="Fire Tex 5062", O1069="Fire Tex 5120", O1069="Fire Control"),Q1069&gt;0), "CERT.",TRUE,"-")</f>
        <v>-</v>
      </c>
    </row>
    <row r="1070" spans="1:22" x14ac:dyDescent="0.25">
      <c r="A1070" s="168"/>
      <c r="B1070" s="876"/>
      <c r="C1070" s="161"/>
      <c r="D1070" s="161"/>
      <c r="E1070" s="161"/>
      <c r="F1070" s="41"/>
      <c r="G1070" s="161"/>
      <c r="H1070" s="161"/>
      <c r="I1070" s="166"/>
      <c r="J1070" s="162"/>
      <c r="K1070" s="161"/>
      <c r="L1070" s="161"/>
      <c r="M1070" s="169"/>
      <c r="N1070" s="163" t="str">
        <f t="shared" si="20"/>
        <v/>
      </c>
      <c r="O1070" s="41"/>
      <c r="P1070" s="41"/>
      <c r="Q1070" s="161" t="str">
        <f>+IF(OR(O1070="Fire Control",O1070="Fire Tex 5062",O1070="Fire Tex 5090",O1070="Fire Tex 5120"),'CALCULO PINTURA'!P1071," ")</f>
        <v xml:space="preserve"> </v>
      </c>
      <c r="R1070" s="164" t="str">
        <f>+IF(OR(O1070="Fire Control",O1070="Fire Tex 5062",O1070="Fire Tex 5090",O1070="Fire Tex 5120"),'CALCULO PINTURA'!R1071," ")</f>
        <v xml:space="preserve"> </v>
      </c>
      <c r="S1070" s="164" t="str">
        <f>+IF(OR(O1070="Fire Control",O1070="Fire Tex 5062",O1070="Fire Tex 5090",O1070="Fire Tex 5120"),'CALCULO PINTURA'!S1071," ")</f>
        <v xml:space="preserve"> </v>
      </c>
      <c r="T1070" s="874" t="str">
        <f>+IF(OR(O1070="Blaze Shield II",O1070="Cafco 400",O1070="Cafco 300"),'CALCULO MORTERO'!N1076," ")</f>
        <v xml:space="preserve"> </v>
      </c>
      <c r="U1070" s="875" t="str">
        <f>+IF(OR(O1070="Blaze Shield II",O1070="Cafco 400",O1070="Cafco 300"),'CALCULO MORTERO'!O1076," ")</f>
        <v xml:space="preserve"> </v>
      </c>
      <c r="V1070" s="161" t="str" cm="1">
        <f t="array" ref="V1070">_xlfn.IFS(O1070="Blaze Shield II",'CALCULO MORTERO'!P1071, O1070="Cafco 400",'CALCULO MORTERO'!Q1071,O1070="Cafco 300",'CALCULO MORTERO'!S1071, AND(OR(O1070="Fire tex 5090", O1070="Fire Tex 5062", O1070="Fire Tex 5120", O1070="Fire Control"),Q1070&gt;0), "CERT.",TRUE,"-")</f>
        <v>-</v>
      </c>
    </row>
    <row r="1071" spans="1:22" x14ac:dyDescent="0.25">
      <c r="A1071" s="168"/>
      <c r="B1071" s="876"/>
      <c r="C1071" s="161"/>
      <c r="D1071" s="161"/>
      <c r="E1071" s="161"/>
      <c r="F1071" s="41"/>
      <c r="G1071" s="161"/>
      <c r="H1071" s="161"/>
      <c r="I1071" s="166"/>
      <c r="J1071" s="162"/>
      <c r="K1071" s="161"/>
      <c r="L1071" s="161"/>
      <c r="M1071" s="169"/>
      <c r="N1071" s="163" t="str">
        <f t="shared" si="20"/>
        <v/>
      </c>
      <c r="O1071" s="41"/>
      <c r="P1071" s="41"/>
      <c r="Q1071" s="161" t="str">
        <f>+IF(OR(O1071="Fire Control",O1071="Fire Tex 5062",O1071="Fire Tex 5090",O1071="Fire Tex 5120"),'CALCULO PINTURA'!P1072," ")</f>
        <v xml:space="preserve"> </v>
      </c>
      <c r="R1071" s="164" t="str">
        <f>+IF(OR(O1071="Fire Control",O1071="Fire Tex 5062",O1071="Fire Tex 5090",O1071="Fire Tex 5120"),'CALCULO PINTURA'!R1072," ")</f>
        <v xml:space="preserve"> </v>
      </c>
      <c r="S1071" s="164" t="str">
        <f>+IF(OR(O1071="Fire Control",O1071="Fire Tex 5062",O1071="Fire Tex 5090",O1071="Fire Tex 5120"),'CALCULO PINTURA'!S1072," ")</f>
        <v xml:space="preserve"> </v>
      </c>
      <c r="T1071" s="874" t="str">
        <f>+IF(OR(O1071="Blaze Shield II",O1071="Cafco 400",O1071="Cafco 300"),'CALCULO MORTERO'!N1077," ")</f>
        <v xml:space="preserve"> </v>
      </c>
      <c r="U1071" s="875" t="str">
        <f>+IF(OR(O1071="Blaze Shield II",O1071="Cafco 400",O1071="Cafco 300"),'CALCULO MORTERO'!O1077," ")</f>
        <v xml:space="preserve"> </v>
      </c>
      <c r="V1071" s="161" t="str" cm="1">
        <f t="array" ref="V1071">_xlfn.IFS(O1071="Blaze Shield II",'CALCULO MORTERO'!P1072, O1071="Cafco 400",'CALCULO MORTERO'!Q1072,O1071="Cafco 300",'CALCULO MORTERO'!S1072, AND(OR(O1071="Fire tex 5090", O1071="Fire Tex 5062", O1071="Fire Tex 5120", O1071="Fire Control"),Q1071&gt;0), "CERT.",TRUE,"-")</f>
        <v>-</v>
      </c>
    </row>
    <row r="1072" spans="1:22" x14ac:dyDescent="0.25">
      <c r="A1072" s="168"/>
      <c r="B1072" s="876"/>
      <c r="C1072" s="161"/>
      <c r="D1072" s="161"/>
      <c r="E1072" s="161"/>
      <c r="F1072" s="41"/>
      <c r="G1072" s="161"/>
      <c r="H1072" s="161"/>
      <c r="I1072" s="166"/>
      <c r="J1072" s="162"/>
      <c r="K1072" s="161"/>
      <c r="L1072" s="161"/>
      <c r="M1072" s="169"/>
      <c r="N1072" s="163" t="str">
        <f t="shared" si="20"/>
        <v/>
      </c>
      <c r="O1072" s="41"/>
      <c r="P1072" s="41"/>
      <c r="Q1072" s="161" t="str">
        <f>+IF(OR(O1072="Fire Control",O1072="Fire Tex 5062",O1072="Fire Tex 5090",O1072="Fire Tex 5120"),'CALCULO PINTURA'!P1073," ")</f>
        <v xml:space="preserve"> </v>
      </c>
      <c r="R1072" s="164" t="str">
        <f>+IF(OR(O1072="Fire Control",O1072="Fire Tex 5062",O1072="Fire Tex 5090",O1072="Fire Tex 5120"),'CALCULO PINTURA'!R1073," ")</f>
        <v xml:space="preserve"> </v>
      </c>
      <c r="S1072" s="164" t="str">
        <f>+IF(OR(O1072="Fire Control",O1072="Fire Tex 5062",O1072="Fire Tex 5090",O1072="Fire Tex 5120"),'CALCULO PINTURA'!S1073," ")</f>
        <v xml:space="preserve"> </v>
      </c>
      <c r="T1072" s="874" t="str">
        <f>+IF(OR(O1072="Blaze Shield II",O1072="Cafco 400",O1072="Cafco 300"),'CALCULO MORTERO'!N1078," ")</f>
        <v xml:space="preserve"> </v>
      </c>
      <c r="U1072" s="875" t="str">
        <f>+IF(OR(O1072="Blaze Shield II",O1072="Cafco 400",O1072="Cafco 300"),'CALCULO MORTERO'!O1078," ")</f>
        <v xml:space="preserve"> </v>
      </c>
      <c r="V1072" s="161" t="str" cm="1">
        <f t="array" ref="V1072">_xlfn.IFS(O1072="Blaze Shield II",'CALCULO MORTERO'!P1073, O1072="Cafco 400",'CALCULO MORTERO'!Q1073,O1072="Cafco 300",'CALCULO MORTERO'!S1073, AND(OR(O1072="Fire tex 5090", O1072="Fire Tex 5062", O1072="Fire Tex 5120", O1072="Fire Control"),Q1072&gt;0), "CERT.",TRUE,"-")</f>
        <v>-</v>
      </c>
    </row>
    <row r="1073" spans="1:22" x14ac:dyDescent="0.25">
      <c r="A1073" s="168"/>
      <c r="B1073" s="876"/>
      <c r="C1073" s="161"/>
      <c r="D1073" s="161"/>
      <c r="E1073" s="161"/>
      <c r="F1073" s="41"/>
      <c r="G1073" s="161"/>
      <c r="H1073" s="161"/>
      <c r="I1073" s="166"/>
      <c r="J1073" s="162"/>
      <c r="K1073" s="161"/>
      <c r="L1073" s="161"/>
      <c r="M1073" s="169"/>
      <c r="N1073" s="163" t="str">
        <f t="shared" si="20"/>
        <v/>
      </c>
      <c r="O1073" s="41"/>
      <c r="P1073" s="41"/>
      <c r="Q1073" s="161" t="str">
        <f>+IF(OR(O1073="Fire Control",O1073="Fire Tex 5062",O1073="Fire Tex 5090",O1073="Fire Tex 5120"),'CALCULO PINTURA'!P1074," ")</f>
        <v xml:space="preserve"> </v>
      </c>
      <c r="R1073" s="164" t="str">
        <f>+IF(OR(O1073="Fire Control",O1073="Fire Tex 5062",O1073="Fire Tex 5090",O1073="Fire Tex 5120"),'CALCULO PINTURA'!R1074," ")</f>
        <v xml:space="preserve"> </v>
      </c>
      <c r="S1073" s="164" t="str">
        <f>+IF(OR(O1073="Fire Control",O1073="Fire Tex 5062",O1073="Fire Tex 5090",O1073="Fire Tex 5120"),'CALCULO PINTURA'!S1074," ")</f>
        <v xml:space="preserve"> </v>
      </c>
      <c r="T1073" s="874" t="str">
        <f>+IF(OR(O1073="Blaze Shield II",O1073="Cafco 400",O1073="Cafco 300"),'CALCULO MORTERO'!N1079," ")</f>
        <v xml:space="preserve"> </v>
      </c>
      <c r="U1073" s="875" t="str">
        <f>+IF(OR(O1073="Blaze Shield II",O1073="Cafco 400",O1073="Cafco 300"),'CALCULO MORTERO'!O1079," ")</f>
        <v xml:space="preserve"> </v>
      </c>
      <c r="V1073" s="161" t="str" cm="1">
        <f t="array" ref="V1073">_xlfn.IFS(O1073="Blaze Shield II",'CALCULO MORTERO'!P1074, O1073="Cafco 400",'CALCULO MORTERO'!Q1074,O1073="Cafco 300",'CALCULO MORTERO'!S1074, AND(OR(O1073="Fire tex 5090", O1073="Fire Tex 5062", O1073="Fire Tex 5120", O1073="Fire Control"),Q1073&gt;0), "CERT.",TRUE,"-")</f>
        <v>-</v>
      </c>
    </row>
    <row r="1074" spans="1:22" x14ac:dyDescent="0.25">
      <c r="A1074" s="168"/>
      <c r="B1074" s="876"/>
      <c r="C1074" s="161"/>
      <c r="D1074" s="161"/>
      <c r="E1074" s="161"/>
      <c r="F1074" s="41"/>
      <c r="G1074" s="161"/>
      <c r="H1074" s="161"/>
      <c r="I1074" s="166"/>
      <c r="J1074" s="162"/>
      <c r="K1074" s="161"/>
      <c r="L1074" s="161"/>
      <c r="M1074" s="169"/>
      <c r="N1074" s="163" t="str">
        <f t="shared" si="20"/>
        <v/>
      </c>
      <c r="O1074" s="41"/>
      <c r="P1074" s="41"/>
      <c r="Q1074" s="161" t="str">
        <f>+IF(OR(O1074="Fire Control",O1074="Fire Tex 5062",O1074="Fire Tex 5090",O1074="Fire Tex 5120"),'CALCULO PINTURA'!P1075," ")</f>
        <v xml:space="preserve"> </v>
      </c>
      <c r="R1074" s="164" t="str">
        <f>+IF(OR(O1074="Fire Control",O1074="Fire Tex 5062",O1074="Fire Tex 5090",O1074="Fire Tex 5120"),'CALCULO PINTURA'!R1075," ")</f>
        <v xml:space="preserve"> </v>
      </c>
      <c r="S1074" s="164" t="str">
        <f>+IF(OR(O1074="Fire Control",O1074="Fire Tex 5062",O1074="Fire Tex 5090",O1074="Fire Tex 5120"),'CALCULO PINTURA'!S1075," ")</f>
        <v xml:space="preserve"> </v>
      </c>
      <c r="T1074" s="874" t="str">
        <f>+IF(OR(O1074="Blaze Shield II",O1074="Cafco 400",O1074="Cafco 300"),'CALCULO MORTERO'!N1080," ")</f>
        <v xml:space="preserve"> </v>
      </c>
      <c r="U1074" s="875" t="str">
        <f>+IF(OR(O1074="Blaze Shield II",O1074="Cafco 400",O1074="Cafco 300"),'CALCULO MORTERO'!O1080," ")</f>
        <v xml:space="preserve"> </v>
      </c>
      <c r="V1074" s="161" t="str" cm="1">
        <f t="array" ref="V1074">_xlfn.IFS(O1074="Blaze Shield II",'CALCULO MORTERO'!P1075, O1074="Cafco 400",'CALCULO MORTERO'!Q1075,O1074="Cafco 300",'CALCULO MORTERO'!S1075, AND(OR(O1074="Fire tex 5090", O1074="Fire Tex 5062", O1074="Fire Tex 5120", O1074="Fire Control"),Q1074&gt;0), "CERT.",TRUE,"-")</f>
        <v>-</v>
      </c>
    </row>
    <row r="1075" spans="1:22" x14ac:dyDescent="0.25">
      <c r="A1075" s="168"/>
      <c r="B1075" s="876"/>
      <c r="C1075" s="161"/>
      <c r="D1075" s="161"/>
      <c r="E1075" s="161"/>
      <c r="F1075" s="41"/>
      <c r="G1075" s="161"/>
      <c r="H1075" s="161"/>
      <c r="I1075" s="166"/>
      <c r="J1075" s="162"/>
      <c r="K1075" s="161"/>
      <c r="L1075" s="161"/>
      <c r="M1075" s="169"/>
      <c r="N1075" s="163" t="str">
        <f t="shared" si="20"/>
        <v/>
      </c>
      <c r="O1075" s="41"/>
      <c r="P1075" s="41"/>
      <c r="Q1075" s="161" t="str">
        <f>+IF(OR(O1075="Fire Control",O1075="Fire Tex 5062",O1075="Fire Tex 5090",O1075="Fire Tex 5120"),'CALCULO PINTURA'!P1076," ")</f>
        <v xml:space="preserve"> </v>
      </c>
      <c r="R1075" s="164" t="str">
        <f>+IF(OR(O1075="Fire Control",O1075="Fire Tex 5062",O1075="Fire Tex 5090",O1075="Fire Tex 5120"),'CALCULO PINTURA'!R1076," ")</f>
        <v xml:space="preserve"> </v>
      </c>
      <c r="S1075" s="164" t="str">
        <f>+IF(OR(O1075="Fire Control",O1075="Fire Tex 5062",O1075="Fire Tex 5090",O1075="Fire Tex 5120"),'CALCULO PINTURA'!S1076," ")</f>
        <v xml:space="preserve"> </v>
      </c>
      <c r="T1075" s="874" t="str">
        <f>+IF(OR(O1075="Blaze Shield II",O1075="Cafco 400",O1075="Cafco 300"),'CALCULO MORTERO'!N1081," ")</f>
        <v xml:space="preserve"> </v>
      </c>
      <c r="U1075" s="875" t="str">
        <f>+IF(OR(O1075="Blaze Shield II",O1075="Cafco 400",O1075="Cafco 300"),'CALCULO MORTERO'!O1081," ")</f>
        <v xml:space="preserve"> </v>
      </c>
      <c r="V1075" s="161" t="str" cm="1">
        <f t="array" ref="V1075">_xlfn.IFS(O1075="Blaze Shield II",'CALCULO MORTERO'!P1076, O1075="Cafco 400",'CALCULO MORTERO'!Q1076,O1075="Cafco 300",'CALCULO MORTERO'!S1076, AND(OR(O1075="Fire tex 5090", O1075="Fire Tex 5062", O1075="Fire Tex 5120", O1075="Fire Control"),Q1075&gt;0), "CERT.",TRUE,"-")</f>
        <v>-</v>
      </c>
    </row>
    <row r="1076" spans="1:22" x14ac:dyDescent="0.25">
      <c r="A1076" s="168"/>
      <c r="B1076" s="876"/>
      <c r="C1076" s="161"/>
      <c r="D1076" s="161"/>
      <c r="E1076" s="161"/>
      <c r="F1076" s="41"/>
      <c r="G1076" s="161"/>
      <c r="H1076" s="161"/>
      <c r="I1076" s="166"/>
      <c r="J1076" s="162"/>
      <c r="K1076" s="161"/>
      <c r="L1076" s="161"/>
      <c r="M1076" s="169"/>
      <c r="N1076" s="163" t="str">
        <f t="shared" si="20"/>
        <v/>
      </c>
      <c r="O1076" s="41"/>
      <c r="P1076" s="41"/>
      <c r="Q1076" s="161" t="str">
        <f>+IF(OR(O1076="Fire Control",O1076="Fire Tex 5062",O1076="Fire Tex 5090",O1076="Fire Tex 5120"),'CALCULO PINTURA'!P1077," ")</f>
        <v xml:space="preserve"> </v>
      </c>
      <c r="R1076" s="164" t="str">
        <f>+IF(OR(O1076="Fire Control",O1076="Fire Tex 5062",O1076="Fire Tex 5090",O1076="Fire Tex 5120"),'CALCULO PINTURA'!R1077," ")</f>
        <v xml:space="preserve"> </v>
      </c>
      <c r="S1076" s="164" t="str">
        <f>+IF(OR(O1076="Fire Control",O1076="Fire Tex 5062",O1076="Fire Tex 5090",O1076="Fire Tex 5120"),'CALCULO PINTURA'!S1077," ")</f>
        <v xml:space="preserve"> </v>
      </c>
      <c r="T1076" s="874" t="str">
        <f>+IF(OR(O1076="Blaze Shield II",O1076="Cafco 400",O1076="Cafco 300"),'CALCULO MORTERO'!N1082," ")</f>
        <v xml:space="preserve"> </v>
      </c>
      <c r="U1076" s="875" t="str">
        <f>+IF(OR(O1076="Blaze Shield II",O1076="Cafco 400",O1076="Cafco 300"),'CALCULO MORTERO'!O1082," ")</f>
        <v xml:space="preserve"> </v>
      </c>
      <c r="V1076" s="161" t="str" cm="1">
        <f t="array" ref="V1076">_xlfn.IFS(O1076="Blaze Shield II",'CALCULO MORTERO'!P1077, O1076="Cafco 400",'CALCULO MORTERO'!Q1077,O1076="Cafco 300",'CALCULO MORTERO'!S1077, AND(OR(O1076="Fire tex 5090", O1076="Fire Tex 5062", O1076="Fire Tex 5120", O1076="Fire Control"),Q1076&gt;0), "CERT.",TRUE,"-")</f>
        <v>-</v>
      </c>
    </row>
    <row r="1077" spans="1:22" x14ac:dyDescent="0.25">
      <c r="A1077" s="168"/>
      <c r="B1077" s="876"/>
      <c r="C1077" s="161"/>
      <c r="D1077" s="161"/>
      <c r="E1077" s="161"/>
      <c r="F1077" s="41"/>
      <c r="G1077" s="161"/>
      <c r="H1077" s="161"/>
      <c r="I1077" s="166"/>
      <c r="J1077" s="162"/>
      <c r="K1077" s="161"/>
      <c r="L1077" s="161"/>
      <c r="M1077" s="169"/>
      <c r="N1077" s="163" t="str">
        <f t="shared" si="20"/>
        <v/>
      </c>
      <c r="O1077" s="41"/>
      <c r="P1077" s="41"/>
      <c r="Q1077" s="161" t="str">
        <f>+IF(OR(O1077="Fire Control",O1077="Fire Tex 5062",O1077="Fire Tex 5090",O1077="Fire Tex 5120"),'CALCULO PINTURA'!P1078," ")</f>
        <v xml:space="preserve"> </v>
      </c>
      <c r="R1077" s="164" t="str">
        <f>+IF(OR(O1077="Fire Control",O1077="Fire Tex 5062",O1077="Fire Tex 5090",O1077="Fire Tex 5120"),'CALCULO PINTURA'!R1078," ")</f>
        <v xml:space="preserve"> </v>
      </c>
      <c r="S1077" s="164" t="str">
        <f>+IF(OR(O1077="Fire Control",O1077="Fire Tex 5062",O1077="Fire Tex 5090",O1077="Fire Tex 5120"),'CALCULO PINTURA'!S1078," ")</f>
        <v xml:space="preserve"> </v>
      </c>
      <c r="T1077" s="874" t="str">
        <f>+IF(OR(O1077="Blaze Shield II",O1077="Cafco 400",O1077="Cafco 300"),'CALCULO MORTERO'!N1083," ")</f>
        <v xml:space="preserve"> </v>
      </c>
      <c r="U1077" s="875" t="str">
        <f>+IF(OR(O1077="Blaze Shield II",O1077="Cafco 400",O1077="Cafco 300"),'CALCULO MORTERO'!O1083," ")</f>
        <v xml:space="preserve"> </v>
      </c>
      <c r="V1077" s="161" t="str" cm="1">
        <f t="array" ref="V1077">_xlfn.IFS(O1077="Blaze Shield II",'CALCULO MORTERO'!P1078, O1077="Cafco 400",'CALCULO MORTERO'!Q1078,O1077="Cafco 300",'CALCULO MORTERO'!S1078, AND(OR(O1077="Fire tex 5090", O1077="Fire Tex 5062", O1077="Fire Tex 5120", O1077="Fire Control"),Q1077&gt;0), "CERT.",TRUE,"-")</f>
        <v>-</v>
      </c>
    </row>
    <row r="1078" spans="1:22" x14ac:dyDescent="0.25">
      <c r="A1078" s="168"/>
      <c r="B1078" s="876"/>
      <c r="C1078" s="161"/>
      <c r="D1078" s="161"/>
      <c r="E1078" s="161"/>
      <c r="F1078" s="41"/>
      <c r="G1078" s="161"/>
      <c r="H1078" s="161"/>
      <c r="I1078" s="166"/>
      <c r="J1078" s="162"/>
      <c r="K1078" s="161"/>
      <c r="L1078" s="161"/>
      <c r="M1078" s="169"/>
      <c r="N1078" s="163" t="str">
        <f t="shared" si="20"/>
        <v/>
      </c>
      <c r="O1078" s="41"/>
      <c r="P1078" s="41"/>
      <c r="Q1078" s="161" t="str">
        <f>+IF(OR(O1078="Fire Control",O1078="Fire Tex 5062",O1078="Fire Tex 5090",O1078="Fire Tex 5120"),'CALCULO PINTURA'!P1079," ")</f>
        <v xml:space="preserve"> </v>
      </c>
      <c r="R1078" s="164" t="str">
        <f>+IF(OR(O1078="Fire Control",O1078="Fire Tex 5062",O1078="Fire Tex 5090",O1078="Fire Tex 5120"),'CALCULO PINTURA'!R1079," ")</f>
        <v xml:space="preserve"> </v>
      </c>
      <c r="S1078" s="164" t="str">
        <f>+IF(OR(O1078="Fire Control",O1078="Fire Tex 5062",O1078="Fire Tex 5090",O1078="Fire Tex 5120"),'CALCULO PINTURA'!S1079," ")</f>
        <v xml:space="preserve"> </v>
      </c>
      <c r="T1078" s="874" t="str">
        <f>+IF(OR(O1078="Blaze Shield II",O1078="Cafco 400",O1078="Cafco 300"),'CALCULO MORTERO'!N1084," ")</f>
        <v xml:space="preserve"> </v>
      </c>
      <c r="U1078" s="875" t="str">
        <f>+IF(OR(O1078="Blaze Shield II",O1078="Cafco 400",O1078="Cafco 300"),'CALCULO MORTERO'!O1084," ")</f>
        <v xml:space="preserve"> </v>
      </c>
      <c r="V1078" s="161" t="str" cm="1">
        <f t="array" ref="V1078">_xlfn.IFS(O1078="Blaze Shield II",'CALCULO MORTERO'!P1079, O1078="Cafco 400",'CALCULO MORTERO'!Q1079,O1078="Cafco 300",'CALCULO MORTERO'!S1079, AND(OR(O1078="Fire tex 5090", O1078="Fire Tex 5062", O1078="Fire Tex 5120", O1078="Fire Control"),Q1078&gt;0), "CERT.",TRUE,"-")</f>
        <v>-</v>
      </c>
    </row>
    <row r="1079" spans="1:22" x14ac:dyDescent="0.25">
      <c r="A1079" s="168"/>
      <c r="B1079" s="876"/>
      <c r="C1079" s="161"/>
      <c r="D1079" s="161"/>
      <c r="E1079" s="161"/>
      <c r="F1079" s="41"/>
      <c r="G1079" s="161"/>
      <c r="H1079" s="161"/>
      <c r="I1079" s="166"/>
      <c r="J1079" s="162"/>
      <c r="K1079" s="161"/>
      <c r="L1079" s="161"/>
      <c r="M1079" s="169"/>
      <c r="N1079" s="163" t="str">
        <f t="shared" si="20"/>
        <v/>
      </c>
      <c r="O1079" s="41"/>
      <c r="P1079" s="41"/>
      <c r="Q1079" s="161" t="str">
        <f>+IF(OR(O1079="Fire Control",O1079="Fire Tex 5062",O1079="Fire Tex 5090",O1079="Fire Tex 5120"),'CALCULO PINTURA'!P1080," ")</f>
        <v xml:space="preserve"> </v>
      </c>
      <c r="R1079" s="164" t="str">
        <f>+IF(OR(O1079="Fire Control",O1079="Fire Tex 5062",O1079="Fire Tex 5090",O1079="Fire Tex 5120"),'CALCULO PINTURA'!R1080," ")</f>
        <v xml:space="preserve"> </v>
      </c>
      <c r="S1079" s="164" t="str">
        <f>+IF(OR(O1079="Fire Control",O1079="Fire Tex 5062",O1079="Fire Tex 5090",O1079="Fire Tex 5120"),'CALCULO PINTURA'!S1080," ")</f>
        <v xml:space="preserve"> </v>
      </c>
      <c r="T1079" s="874" t="str">
        <f>+IF(OR(O1079="Blaze Shield II",O1079="Cafco 400",O1079="Cafco 300"),'CALCULO MORTERO'!N1085," ")</f>
        <v xml:space="preserve"> </v>
      </c>
      <c r="U1079" s="875" t="str">
        <f>+IF(OR(O1079="Blaze Shield II",O1079="Cafco 400",O1079="Cafco 300"),'CALCULO MORTERO'!O1085," ")</f>
        <v xml:space="preserve"> </v>
      </c>
      <c r="V1079" s="161" t="str" cm="1">
        <f t="array" ref="V1079">_xlfn.IFS(O1079="Blaze Shield II",'CALCULO MORTERO'!P1080, O1079="Cafco 400",'CALCULO MORTERO'!Q1080,O1079="Cafco 300",'CALCULO MORTERO'!S1080, AND(OR(O1079="Fire tex 5090", O1079="Fire Tex 5062", O1079="Fire Tex 5120", O1079="Fire Control"),Q1079&gt;0), "CERT.",TRUE,"-")</f>
        <v>-</v>
      </c>
    </row>
    <row r="1080" spans="1:22" x14ac:dyDescent="0.25">
      <c r="A1080" s="168"/>
      <c r="B1080" s="876"/>
      <c r="C1080" s="161"/>
      <c r="D1080" s="161"/>
      <c r="E1080" s="161"/>
      <c r="F1080" s="41"/>
      <c r="G1080" s="161"/>
      <c r="H1080" s="161"/>
      <c r="I1080" s="166"/>
      <c r="J1080" s="162"/>
      <c r="K1080" s="161"/>
      <c r="L1080" s="161"/>
      <c r="M1080" s="169"/>
      <c r="N1080" s="163" t="str">
        <f t="shared" si="20"/>
        <v/>
      </c>
      <c r="O1080" s="41"/>
      <c r="P1080" s="41"/>
      <c r="Q1080" s="161" t="str">
        <f>+IF(OR(O1080="Fire Control",O1080="Fire Tex 5062",O1080="Fire Tex 5090",O1080="Fire Tex 5120"),'CALCULO PINTURA'!P1081," ")</f>
        <v xml:space="preserve"> </v>
      </c>
      <c r="R1080" s="164" t="str">
        <f>+IF(OR(O1080="Fire Control",O1080="Fire Tex 5062",O1080="Fire Tex 5090",O1080="Fire Tex 5120"),'CALCULO PINTURA'!R1081," ")</f>
        <v xml:space="preserve"> </v>
      </c>
      <c r="S1080" s="164" t="str">
        <f>+IF(OR(O1080="Fire Control",O1080="Fire Tex 5062",O1080="Fire Tex 5090",O1080="Fire Tex 5120"),'CALCULO PINTURA'!S1081," ")</f>
        <v xml:space="preserve"> </v>
      </c>
      <c r="T1080" s="874" t="str">
        <f>+IF(OR(O1080="Blaze Shield II",O1080="Cafco 400",O1080="Cafco 300"),'CALCULO MORTERO'!N1086," ")</f>
        <v xml:space="preserve"> </v>
      </c>
      <c r="U1080" s="875" t="str">
        <f>+IF(OR(O1080="Blaze Shield II",O1080="Cafco 400",O1080="Cafco 300"),'CALCULO MORTERO'!O1086," ")</f>
        <v xml:space="preserve"> </v>
      </c>
      <c r="V1080" s="161" t="str" cm="1">
        <f t="array" ref="V1080">_xlfn.IFS(O1080="Blaze Shield II",'CALCULO MORTERO'!P1081, O1080="Cafco 400",'CALCULO MORTERO'!Q1081,O1080="Cafco 300",'CALCULO MORTERO'!S1081, AND(OR(O1080="Fire tex 5090", O1080="Fire Tex 5062", O1080="Fire Tex 5120", O1080="Fire Control"),Q1080&gt;0), "CERT.",TRUE,"-")</f>
        <v>-</v>
      </c>
    </row>
    <row r="1081" spans="1:22" x14ac:dyDescent="0.25">
      <c r="A1081" s="168"/>
      <c r="B1081" s="876"/>
      <c r="C1081" s="161"/>
      <c r="D1081" s="161"/>
      <c r="E1081" s="161"/>
      <c r="F1081" s="41"/>
      <c r="G1081" s="161"/>
      <c r="H1081" s="161"/>
      <c r="I1081" s="166"/>
      <c r="J1081" s="162"/>
      <c r="K1081" s="161"/>
      <c r="L1081" s="161"/>
      <c r="M1081" s="169"/>
      <c r="N1081" s="163" t="str">
        <f t="shared" si="20"/>
        <v/>
      </c>
      <c r="O1081" s="41"/>
      <c r="P1081" s="41"/>
      <c r="Q1081" s="161" t="str">
        <f>+IF(OR(O1081="Fire Control",O1081="Fire Tex 5062",O1081="Fire Tex 5090",O1081="Fire Tex 5120"),'CALCULO PINTURA'!P1082," ")</f>
        <v xml:space="preserve"> </v>
      </c>
      <c r="R1081" s="164" t="str">
        <f>+IF(OR(O1081="Fire Control",O1081="Fire Tex 5062",O1081="Fire Tex 5090",O1081="Fire Tex 5120"),'CALCULO PINTURA'!R1082," ")</f>
        <v xml:space="preserve"> </v>
      </c>
      <c r="S1081" s="164" t="str">
        <f>+IF(OR(O1081="Fire Control",O1081="Fire Tex 5062",O1081="Fire Tex 5090",O1081="Fire Tex 5120"),'CALCULO PINTURA'!S1082," ")</f>
        <v xml:space="preserve"> </v>
      </c>
      <c r="T1081" s="874" t="str">
        <f>+IF(OR(O1081="Blaze Shield II",O1081="Cafco 400",O1081="Cafco 300"),'CALCULO MORTERO'!N1087," ")</f>
        <v xml:space="preserve"> </v>
      </c>
      <c r="U1081" s="875" t="str">
        <f>+IF(OR(O1081="Blaze Shield II",O1081="Cafco 400",O1081="Cafco 300"),'CALCULO MORTERO'!O1087," ")</f>
        <v xml:space="preserve"> </v>
      </c>
      <c r="V1081" s="161" t="str" cm="1">
        <f t="array" ref="V1081">_xlfn.IFS(O1081="Blaze Shield II",'CALCULO MORTERO'!P1082, O1081="Cafco 400",'CALCULO MORTERO'!Q1082,O1081="Cafco 300",'CALCULO MORTERO'!S1082, AND(OR(O1081="Fire tex 5090", O1081="Fire Tex 5062", O1081="Fire Tex 5120", O1081="Fire Control"),Q1081&gt;0), "CERT.",TRUE,"-")</f>
        <v>-</v>
      </c>
    </row>
    <row r="1082" spans="1:22" x14ac:dyDescent="0.25">
      <c r="A1082" s="168"/>
      <c r="B1082" s="876"/>
      <c r="C1082" s="161"/>
      <c r="D1082" s="161"/>
      <c r="E1082" s="161"/>
      <c r="F1082" s="41"/>
      <c r="G1082" s="161"/>
      <c r="H1082" s="161"/>
      <c r="I1082" s="166"/>
      <c r="J1082" s="162"/>
      <c r="K1082" s="161"/>
      <c r="L1082" s="161"/>
      <c r="M1082" s="169"/>
      <c r="N1082" s="163" t="str">
        <f t="shared" si="20"/>
        <v/>
      </c>
      <c r="O1082" s="41"/>
      <c r="P1082" s="41"/>
      <c r="Q1082" s="161" t="str">
        <f>+IF(OR(O1082="Fire Control",O1082="Fire Tex 5062",O1082="Fire Tex 5090",O1082="Fire Tex 5120"),'CALCULO PINTURA'!P1083," ")</f>
        <v xml:space="preserve"> </v>
      </c>
      <c r="R1082" s="164" t="str">
        <f>+IF(OR(O1082="Fire Control",O1082="Fire Tex 5062",O1082="Fire Tex 5090",O1082="Fire Tex 5120"),'CALCULO PINTURA'!R1083," ")</f>
        <v xml:space="preserve"> </v>
      </c>
      <c r="S1082" s="164" t="str">
        <f>+IF(OR(O1082="Fire Control",O1082="Fire Tex 5062",O1082="Fire Tex 5090",O1082="Fire Tex 5120"),'CALCULO PINTURA'!S1083," ")</f>
        <v xml:space="preserve"> </v>
      </c>
      <c r="T1082" s="874" t="str">
        <f>+IF(OR(O1082="Blaze Shield II",O1082="Cafco 400",O1082="Cafco 300"),'CALCULO MORTERO'!N1088," ")</f>
        <v xml:space="preserve"> </v>
      </c>
      <c r="U1082" s="875" t="str">
        <f>+IF(OR(O1082="Blaze Shield II",O1082="Cafco 400",O1082="Cafco 300"),'CALCULO MORTERO'!O1088," ")</f>
        <v xml:space="preserve"> </v>
      </c>
      <c r="V1082" s="161" t="str" cm="1">
        <f t="array" ref="V1082">_xlfn.IFS(O1082="Blaze Shield II",'CALCULO MORTERO'!P1083, O1082="Cafco 400",'CALCULO MORTERO'!Q1083,O1082="Cafco 300",'CALCULO MORTERO'!S1083, AND(OR(O1082="Fire tex 5090", O1082="Fire Tex 5062", O1082="Fire Tex 5120", O1082="Fire Control"),Q1082&gt;0), "CERT.",TRUE,"-")</f>
        <v>-</v>
      </c>
    </row>
    <row r="1083" spans="1:22" x14ac:dyDescent="0.25">
      <c r="A1083" s="168"/>
      <c r="B1083" s="876"/>
      <c r="C1083" s="161"/>
      <c r="D1083" s="161"/>
      <c r="E1083" s="161"/>
      <c r="F1083" s="41"/>
      <c r="G1083" s="161"/>
      <c r="H1083" s="161"/>
      <c r="I1083" s="166"/>
      <c r="J1083" s="162"/>
      <c r="K1083" s="161"/>
      <c r="L1083" s="161"/>
      <c r="M1083" s="169"/>
      <c r="N1083" s="163" t="str">
        <f t="shared" si="20"/>
        <v/>
      </c>
      <c r="O1083" s="41"/>
      <c r="P1083" s="41"/>
      <c r="Q1083" s="161" t="str">
        <f>+IF(OR(O1083="Fire Control",O1083="Fire Tex 5062",O1083="Fire Tex 5090",O1083="Fire Tex 5120"),'CALCULO PINTURA'!P1084," ")</f>
        <v xml:space="preserve"> </v>
      </c>
      <c r="R1083" s="164" t="str">
        <f>+IF(OR(O1083="Fire Control",O1083="Fire Tex 5062",O1083="Fire Tex 5090",O1083="Fire Tex 5120"),'CALCULO PINTURA'!R1084," ")</f>
        <v xml:space="preserve"> </v>
      </c>
      <c r="S1083" s="164" t="str">
        <f>+IF(OR(O1083="Fire Control",O1083="Fire Tex 5062",O1083="Fire Tex 5090",O1083="Fire Tex 5120"),'CALCULO PINTURA'!S1084," ")</f>
        <v xml:space="preserve"> </v>
      </c>
      <c r="T1083" s="874" t="str">
        <f>+IF(OR(O1083="Blaze Shield II",O1083="Cafco 400",O1083="Cafco 300"),'CALCULO MORTERO'!N1089," ")</f>
        <v xml:space="preserve"> </v>
      </c>
      <c r="U1083" s="875" t="str">
        <f>+IF(OR(O1083="Blaze Shield II",O1083="Cafco 400",O1083="Cafco 300"),'CALCULO MORTERO'!O1089," ")</f>
        <v xml:space="preserve"> </v>
      </c>
      <c r="V1083" s="161" t="str" cm="1">
        <f t="array" ref="V1083">_xlfn.IFS(O1083="Blaze Shield II",'CALCULO MORTERO'!P1084, O1083="Cafco 400",'CALCULO MORTERO'!Q1084,O1083="Cafco 300",'CALCULO MORTERO'!S1084, AND(OR(O1083="Fire tex 5090", O1083="Fire Tex 5062", O1083="Fire Tex 5120", O1083="Fire Control"),Q1083&gt;0), "CERT.",TRUE,"-")</f>
        <v>-</v>
      </c>
    </row>
    <row r="1084" spans="1:22" x14ac:dyDescent="0.25">
      <c r="A1084" s="168"/>
      <c r="B1084" s="876"/>
      <c r="C1084" s="161"/>
      <c r="D1084" s="161"/>
      <c r="E1084" s="161"/>
      <c r="F1084" s="41"/>
      <c r="G1084" s="161"/>
      <c r="H1084" s="161"/>
      <c r="I1084" s="166"/>
      <c r="J1084" s="162"/>
      <c r="K1084" s="161"/>
      <c r="L1084" s="161"/>
      <c r="M1084" s="169"/>
      <c r="N1084" s="163" t="str">
        <f t="shared" si="20"/>
        <v/>
      </c>
      <c r="O1084" s="41"/>
      <c r="P1084" s="41"/>
      <c r="Q1084" s="161" t="str">
        <f>+IF(OR(O1084="Fire Control",O1084="Fire Tex 5062",O1084="Fire Tex 5090",O1084="Fire Tex 5120"),'CALCULO PINTURA'!P1085," ")</f>
        <v xml:space="preserve"> </v>
      </c>
      <c r="R1084" s="164" t="str">
        <f>+IF(OR(O1084="Fire Control",O1084="Fire Tex 5062",O1084="Fire Tex 5090",O1084="Fire Tex 5120"),'CALCULO PINTURA'!R1085," ")</f>
        <v xml:space="preserve"> </v>
      </c>
      <c r="S1084" s="164" t="str">
        <f>+IF(OR(O1084="Fire Control",O1084="Fire Tex 5062",O1084="Fire Tex 5090",O1084="Fire Tex 5120"),'CALCULO PINTURA'!S1085," ")</f>
        <v xml:space="preserve"> </v>
      </c>
      <c r="T1084" s="874" t="str">
        <f>+IF(OR(O1084="Blaze Shield II",O1084="Cafco 400",O1084="Cafco 300"),'CALCULO MORTERO'!N1090," ")</f>
        <v xml:space="preserve"> </v>
      </c>
      <c r="U1084" s="875" t="str">
        <f>+IF(OR(O1084="Blaze Shield II",O1084="Cafco 400",O1084="Cafco 300"),'CALCULO MORTERO'!O1090," ")</f>
        <v xml:space="preserve"> </v>
      </c>
      <c r="V1084" s="161" t="str" cm="1">
        <f t="array" ref="V1084">_xlfn.IFS(O1084="Blaze Shield II",'CALCULO MORTERO'!P1085, O1084="Cafco 400",'CALCULO MORTERO'!Q1085,O1084="Cafco 300",'CALCULO MORTERO'!S1085, AND(OR(O1084="Fire tex 5090", O1084="Fire Tex 5062", O1084="Fire Tex 5120", O1084="Fire Control"),Q1084&gt;0), "CERT.",TRUE,"-")</f>
        <v>-</v>
      </c>
    </row>
    <row r="1085" spans="1:22" x14ac:dyDescent="0.25">
      <c r="A1085" s="168"/>
      <c r="B1085" s="876"/>
      <c r="C1085" s="161"/>
      <c r="D1085" s="161"/>
      <c r="E1085" s="161"/>
      <c r="F1085" s="41"/>
      <c r="G1085" s="161"/>
      <c r="H1085" s="161"/>
      <c r="I1085" s="166"/>
      <c r="J1085" s="162"/>
      <c r="K1085" s="161"/>
      <c r="L1085" s="161"/>
      <c r="M1085" s="169"/>
      <c r="N1085" s="163" t="str">
        <f t="shared" si="20"/>
        <v/>
      </c>
      <c r="O1085" s="41"/>
      <c r="P1085" s="41"/>
      <c r="Q1085" s="161" t="str">
        <f>+IF(OR(O1085="Fire Control",O1085="Fire Tex 5062",O1085="Fire Tex 5090",O1085="Fire Tex 5120"),'CALCULO PINTURA'!P1086," ")</f>
        <v xml:space="preserve"> </v>
      </c>
      <c r="R1085" s="164" t="str">
        <f>+IF(OR(O1085="Fire Control",O1085="Fire Tex 5062",O1085="Fire Tex 5090",O1085="Fire Tex 5120"),'CALCULO PINTURA'!R1086," ")</f>
        <v xml:space="preserve"> </v>
      </c>
      <c r="S1085" s="164" t="str">
        <f>+IF(OR(O1085="Fire Control",O1085="Fire Tex 5062",O1085="Fire Tex 5090",O1085="Fire Tex 5120"),'CALCULO PINTURA'!S1086," ")</f>
        <v xml:space="preserve"> </v>
      </c>
      <c r="T1085" s="874" t="str">
        <f>+IF(OR(O1085="Blaze Shield II",O1085="Cafco 400",O1085="Cafco 300"),'CALCULO MORTERO'!N1091," ")</f>
        <v xml:space="preserve"> </v>
      </c>
      <c r="U1085" s="875" t="str">
        <f>+IF(OR(O1085="Blaze Shield II",O1085="Cafco 400",O1085="Cafco 300"),'CALCULO MORTERO'!O1091," ")</f>
        <v xml:space="preserve"> </v>
      </c>
      <c r="V1085" s="161" t="str" cm="1">
        <f t="array" ref="V1085">_xlfn.IFS(O1085="Blaze Shield II",'CALCULO MORTERO'!P1086, O1085="Cafco 400",'CALCULO MORTERO'!Q1086,O1085="Cafco 300",'CALCULO MORTERO'!S1086, AND(OR(O1085="Fire tex 5090", O1085="Fire Tex 5062", O1085="Fire Tex 5120", O1085="Fire Control"),Q1085&gt;0), "CERT.",TRUE,"-")</f>
        <v>-</v>
      </c>
    </row>
    <row r="1086" spans="1:22" x14ac:dyDescent="0.25">
      <c r="A1086" s="168"/>
      <c r="B1086" s="876"/>
      <c r="C1086" s="161"/>
      <c r="D1086" s="161"/>
      <c r="E1086" s="161"/>
      <c r="F1086" s="41"/>
      <c r="G1086" s="161"/>
      <c r="H1086" s="161"/>
      <c r="I1086" s="166"/>
      <c r="J1086" s="162"/>
      <c r="K1086" s="161"/>
      <c r="L1086" s="161"/>
      <c r="M1086" s="169"/>
      <c r="N1086" s="163" t="str">
        <f t="shared" si="20"/>
        <v/>
      </c>
      <c r="O1086" s="41"/>
      <c r="P1086" s="41"/>
      <c r="Q1086" s="161" t="str">
        <f>+IF(OR(O1086="Fire Control",O1086="Fire Tex 5062",O1086="Fire Tex 5090",O1086="Fire Tex 5120"),'CALCULO PINTURA'!P1087," ")</f>
        <v xml:space="preserve"> </v>
      </c>
      <c r="R1086" s="164" t="str">
        <f>+IF(OR(O1086="Fire Control",O1086="Fire Tex 5062",O1086="Fire Tex 5090",O1086="Fire Tex 5120"),'CALCULO PINTURA'!R1087," ")</f>
        <v xml:space="preserve"> </v>
      </c>
      <c r="S1086" s="164" t="str">
        <f>+IF(OR(O1086="Fire Control",O1086="Fire Tex 5062",O1086="Fire Tex 5090",O1086="Fire Tex 5120"),'CALCULO PINTURA'!S1087," ")</f>
        <v xml:space="preserve"> </v>
      </c>
      <c r="T1086" s="874" t="str">
        <f>+IF(OR(O1086="Blaze Shield II",O1086="Cafco 400",O1086="Cafco 300"),'CALCULO MORTERO'!N1092," ")</f>
        <v xml:space="preserve"> </v>
      </c>
      <c r="U1086" s="875" t="str">
        <f>+IF(OR(O1086="Blaze Shield II",O1086="Cafco 400",O1086="Cafco 300"),'CALCULO MORTERO'!O1092," ")</f>
        <v xml:space="preserve"> </v>
      </c>
      <c r="V1086" s="161" t="str" cm="1">
        <f t="array" ref="V1086">_xlfn.IFS(O1086="Blaze Shield II",'CALCULO MORTERO'!P1087, O1086="Cafco 400",'CALCULO MORTERO'!Q1087,O1086="Cafco 300",'CALCULO MORTERO'!S1087, AND(OR(O1086="Fire tex 5090", O1086="Fire Tex 5062", O1086="Fire Tex 5120", O1086="Fire Control"),Q1086&gt;0), "CERT.",TRUE,"-")</f>
        <v>-</v>
      </c>
    </row>
    <row r="1087" spans="1:22" x14ac:dyDescent="0.25">
      <c r="A1087" s="168"/>
      <c r="B1087" s="876"/>
      <c r="C1087" s="161"/>
      <c r="D1087" s="161"/>
      <c r="E1087" s="161"/>
      <c r="F1087" s="41"/>
      <c r="G1087" s="161"/>
      <c r="H1087" s="161"/>
      <c r="I1087" s="166"/>
      <c r="J1087" s="162"/>
      <c r="K1087" s="161"/>
      <c r="L1087" s="161"/>
      <c r="M1087" s="169"/>
      <c r="N1087" s="163" t="str">
        <f t="shared" si="20"/>
        <v/>
      </c>
      <c r="O1087" s="41"/>
      <c r="P1087" s="41"/>
      <c r="Q1087" s="161" t="str">
        <f>+IF(OR(O1087="Fire Control",O1087="Fire Tex 5062",O1087="Fire Tex 5090",O1087="Fire Tex 5120"),'CALCULO PINTURA'!P1088," ")</f>
        <v xml:space="preserve"> </v>
      </c>
      <c r="R1087" s="164" t="str">
        <f>+IF(OR(O1087="Fire Control",O1087="Fire Tex 5062",O1087="Fire Tex 5090",O1087="Fire Tex 5120"),'CALCULO PINTURA'!R1088," ")</f>
        <v xml:space="preserve"> </v>
      </c>
      <c r="S1087" s="164" t="str">
        <f>+IF(OR(O1087="Fire Control",O1087="Fire Tex 5062",O1087="Fire Tex 5090",O1087="Fire Tex 5120"),'CALCULO PINTURA'!S1088," ")</f>
        <v xml:space="preserve"> </v>
      </c>
      <c r="T1087" s="874" t="str">
        <f>+IF(OR(O1087="Blaze Shield II",O1087="Cafco 400",O1087="Cafco 300"),'CALCULO MORTERO'!N1093," ")</f>
        <v xml:space="preserve"> </v>
      </c>
      <c r="U1087" s="875" t="str">
        <f>+IF(OR(O1087="Blaze Shield II",O1087="Cafco 400",O1087="Cafco 300"),'CALCULO MORTERO'!O1093," ")</f>
        <v xml:space="preserve"> </v>
      </c>
      <c r="V1087" s="161" t="str" cm="1">
        <f t="array" ref="V1087">_xlfn.IFS(O1087="Blaze Shield II",'CALCULO MORTERO'!P1088, O1087="Cafco 400",'CALCULO MORTERO'!Q1088,O1087="Cafco 300",'CALCULO MORTERO'!S1088, AND(OR(O1087="Fire tex 5090", O1087="Fire Tex 5062", O1087="Fire Tex 5120", O1087="Fire Control"),Q1087&gt;0), "CERT.",TRUE,"-")</f>
        <v>-</v>
      </c>
    </row>
    <row r="1088" spans="1:22" x14ac:dyDescent="0.25">
      <c r="A1088" s="168"/>
      <c r="B1088" s="876"/>
      <c r="C1088" s="161"/>
      <c r="D1088" s="161"/>
      <c r="E1088" s="161"/>
      <c r="F1088" s="41"/>
      <c r="G1088" s="161"/>
      <c r="H1088" s="161"/>
      <c r="I1088" s="166"/>
      <c r="J1088" s="162"/>
      <c r="K1088" s="161"/>
      <c r="L1088" s="161"/>
      <c r="M1088" s="169"/>
      <c r="N1088" s="163" t="str">
        <f t="shared" si="20"/>
        <v/>
      </c>
      <c r="O1088" s="41"/>
      <c r="P1088" s="41"/>
      <c r="Q1088" s="161" t="str">
        <f>+IF(OR(O1088="Fire Control",O1088="Fire Tex 5062",O1088="Fire Tex 5090",O1088="Fire Tex 5120"),'CALCULO PINTURA'!P1089," ")</f>
        <v xml:space="preserve"> </v>
      </c>
      <c r="R1088" s="164" t="str">
        <f>+IF(OR(O1088="Fire Control",O1088="Fire Tex 5062",O1088="Fire Tex 5090",O1088="Fire Tex 5120"),'CALCULO PINTURA'!R1089," ")</f>
        <v xml:space="preserve"> </v>
      </c>
      <c r="S1088" s="164" t="str">
        <f>+IF(OR(O1088="Fire Control",O1088="Fire Tex 5062",O1088="Fire Tex 5090",O1088="Fire Tex 5120"),'CALCULO PINTURA'!S1089," ")</f>
        <v xml:space="preserve"> </v>
      </c>
      <c r="T1088" s="874" t="str">
        <f>+IF(OR(O1088="Blaze Shield II",O1088="Cafco 400",O1088="Cafco 300"),'CALCULO MORTERO'!N1094," ")</f>
        <v xml:space="preserve"> </v>
      </c>
      <c r="U1088" s="875" t="str">
        <f>+IF(OR(O1088="Blaze Shield II",O1088="Cafco 400",O1088="Cafco 300"),'CALCULO MORTERO'!O1094," ")</f>
        <v xml:space="preserve"> </v>
      </c>
      <c r="V1088" s="161" t="str" cm="1">
        <f t="array" ref="V1088">_xlfn.IFS(O1088="Blaze Shield II",'CALCULO MORTERO'!P1089, O1088="Cafco 400",'CALCULO MORTERO'!Q1089,O1088="Cafco 300",'CALCULO MORTERO'!S1089, AND(OR(O1088="Fire tex 5090", O1088="Fire Tex 5062", O1088="Fire Tex 5120", O1088="Fire Control"),Q1088&gt;0), "CERT.",TRUE,"-")</f>
        <v>-</v>
      </c>
    </row>
    <row r="1089" spans="1:22" x14ac:dyDescent="0.25">
      <c r="A1089" s="168"/>
      <c r="B1089" s="876"/>
      <c r="C1089" s="161"/>
      <c r="D1089" s="161"/>
      <c r="E1089" s="161"/>
      <c r="F1089" s="41"/>
      <c r="G1089" s="161"/>
      <c r="H1089" s="161"/>
      <c r="I1089" s="166"/>
      <c r="J1089" s="162"/>
      <c r="K1089" s="161"/>
      <c r="L1089" s="161"/>
      <c r="M1089" s="169"/>
      <c r="N1089" s="163" t="str">
        <f t="shared" si="20"/>
        <v/>
      </c>
      <c r="O1089" s="41"/>
      <c r="P1089" s="41"/>
      <c r="Q1089" s="161" t="str">
        <f>+IF(OR(O1089="Fire Control",O1089="Fire Tex 5062",O1089="Fire Tex 5090",O1089="Fire Tex 5120"),'CALCULO PINTURA'!P1090," ")</f>
        <v xml:space="preserve"> </v>
      </c>
      <c r="R1089" s="164" t="str">
        <f>+IF(OR(O1089="Fire Control",O1089="Fire Tex 5062",O1089="Fire Tex 5090",O1089="Fire Tex 5120"),'CALCULO PINTURA'!R1090," ")</f>
        <v xml:space="preserve"> </v>
      </c>
      <c r="S1089" s="164" t="str">
        <f>+IF(OR(O1089="Fire Control",O1089="Fire Tex 5062",O1089="Fire Tex 5090",O1089="Fire Tex 5120"),'CALCULO PINTURA'!S1090," ")</f>
        <v xml:space="preserve"> </v>
      </c>
      <c r="T1089" s="874" t="str">
        <f>+IF(OR(O1089="Blaze Shield II",O1089="Cafco 400",O1089="Cafco 300"),'CALCULO MORTERO'!N1095," ")</f>
        <v xml:space="preserve"> </v>
      </c>
      <c r="U1089" s="875" t="str">
        <f>+IF(OR(O1089="Blaze Shield II",O1089="Cafco 400",O1089="Cafco 300"),'CALCULO MORTERO'!O1095," ")</f>
        <v xml:space="preserve"> </v>
      </c>
      <c r="V1089" s="161" t="str" cm="1">
        <f t="array" ref="V1089">_xlfn.IFS(O1089="Blaze Shield II",'CALCULO MORTERO'!P1090, O1089="Cafco 400",'CALCULO MORTERO'!Q1090,O1089="Cafco 300",'CALCULO MORTERO'!S1090, AND(OR(O1089="Fire tex 5090", O1089="Fire Tex 5062", O1089="Fire Tex 5120", O1089="Fire Control"),Q1089&gt;0), "CERT.",TRUE,"-")</f>
        <v>-</v>
      </c>
    </row>
    <row r="1090" spans="1:22" x14ac:dyDescent="0.25">
      <c r="A1090" s="168"/>
      <c r="B1090" s="876"/>
      <c r="C1090" s="161"/>
      <c r="D1090" s="161"/>
      <c r="E1090" s="161"/>
      <c r="F1090" s="41"/>
      <c r="G1090" s="161"/>
      <c r="H1090" s="161"/>
      <c r="I1090" s="166"/>
      <c r="J1090" s="162"/>
      <c r="K1090" s="161"/>
      <c r="L1090" s="161"/>
      <c r="M1090" s="169"/>
      <c r="N1090" s="163" t="str">
        <f t="shared" si="20"/>
        <v/>
      </c>
      <c r="O1090" s="41"/>
      <c r="P1090" s="41"/>
      <c r="Q1090" s="161" t="str">
        <f>+IF(OR(O1090="Fire Control",O1090="Fire Tex 5062",O1090="Fire Tex 5090",O1090="Fire Tex 5120"),'CALCULO PINTURA'!P1091," ")</f>
        <v xml:space="preserve"> </v>
      </c>
      <c r="R1090" s="164" t="str">
        <f>+IF(OR(O1090="Fire Control",O1090="Fire Tex 5062",O1090="Fire Tex 5090",O1090="Fire Tex 5120"),'CALCULO PINTURA'!R1091," ")</f>
        <v xml:space="preserve"> </v>
      </c>
      <c r="S1090" s="164" t="str">
        <f>+IF(OR(O1090="Fire Control",O1090="Fire Tex 5062",O1090="Fire Tex 5090",O1090="Fire Tex 5120"),'CALCULO PINTURA'!S1091," ")</f>
        <v xml:space="preserve"> </v>
      </c>
      <c r="T1090" s="874" t="str">
        <f>+IF(OR(O1090="Blaze Shield II",O1090="Cafco 400",O1090="Cafco 300"),'CALCULO MORTERO'!N1096," ")</f>
        <v xml:space="preserve"> </v>
      </c>
      <c r="U1090" s="875" t="str">
        <f>+IF(OR(O1090="Blaze Shield II",O1090="Cafco 400",O1090="Cafco 300"),'CALCULO MORTERO'!O1096," ")</f>
        <v xml:space="preserve"> </v>
      </c>
      <c r="V1090" s="161" t="str" cm="1">
        <f t="array" ref="V1090">_xlfn.IFS(O1090="Blaze Shield II",'CALCULO MORTERO'!P1091, O1090="Cafco 400",'CALCULO MORTERO'!Q1091,O1090="Cafco 300",'CALCULO MORTERO'!S1091, AND(OR(O1090="Fire tex 5090", O1090="Fire Tex 5062", O1090="Fire Tex 5120", O1090="Fire Control"),Q1090&gt;0), "CERT.",TRUE,"-")</f>
        <v>-</v>
      </c>
    </row>
    <row r="1091" spans="1:22" x14ac:dyDescent="0.25">
      <c r="A1091" s="168"/>
      <c r="B1091" s="876"/>
      <c r="C1091" s="161"/>
      <c r="D1091" s="161"/>
      <c r="E1091" s="161"/>
      <c r="F1091" s="41"/>
      <c r="G1091" s="161"/>
      <c r="H1091" s="161"/>
      <c r="I1091" s="166"/>
      <c r="J1091" s="162"/>
      <c r="K1091" s="161"/>
      <c r="L1091" s="161"/>
      <c r="M1091" s="169"/>
      <c r="N1091" s="163" t="str">
        <f t="shared" si="20"/>
        <v/>
      </c>
      <c r="O1091" s="41"/>
      <c r="P1091" s="41"/>
      <c r="Q1091" s="161" t="str">
        <f>+IF(OR(O1091="Fire Control",O1091="Fire Tex 5062",O1091="Fire Tex 5090",O1091="Fire Tex 5120"),'CALCULO PINTURA'!P1092," ")</f>
        <v xml:space="preserve"> </v>
      </c>
      <c r="R1091" s="164" t="str">
        <f>+IF(OR(O1091="Fire Control",O1091="Fire Tex 5062",O1091="Fire Tex 5090",O1091="Fire Tex 5120"),'CALCULO PINTURA'!R1092," ")</f>
        <v xml:space="preserve"> </v>
      </c>
      <c r="S1091" s="164" t="str">
        <f>+IF(OR(O1091="Fire Control",O1091="Fire Tex 5062",O1091="Fire Tex 5090",O1091="Fire Tex 5120"),'CALCULO PINTURA'!S1092," ")</f>
        <v xml:space="preserve"> </v>
      </c>
      <c r="T1091" s="874" t="str">
        <f>+IF(OR(O1091="Blaze Shield II",O1091="Cafco 400",O1091="Cafco 300"),'CALCULO MORTERO'!N1097," ")</f>
        <v xml:space="preserve"> </v>
      </c>
      <c r="U1091" s="875" t="str">
        <f>+IF(OR(O1091="Blaze Shield II",O1091="Cafco 400",O1091="Cafco 300"),'CALCULO MORTERO'!O1097," ")</f>
        <v xml:space="preserve"> </v>
      </c>
      <c r="V1091" s="161" t="str" cm="1">
        <f t="array" ref="V1091">_xlfn.IFS(O1091="Blaze Shield II",'CALCULO MORTERO'!P1092, O1091="Cafco 400",'CALCULO MORTERO'!Q1092,O1091="Cafco 300",'CALCULO MORTERO'!S1092, AND(OR(O1091="Fire tex 5090", O1091="Fire Tex 5062", O1091="Fire Tex 5120", O1091="Fire Control"),Q1091&gt;0), "CERT.",TRUE,"-")</f>
        <v>-</v>
      </c>
    </row>
    <row r="1092" spans="1:22" x14ac:dyDescent="0.25">
      <c r="A1092" s="168"/>
      <c r="B1092" s="876"/>
      <c r="C1092" s="161"/>
      <c r="D1092" s="161"/>
      <c r="E1092" s="161"/>
      <c r="F1092" s="41"/>
      <c r="G1092" s="161"/>
      <c r="H1092" s="161"/>
      <c r="I1092" s="166"/>
      <c r="J1092" s="162"/>
      <c r="K1092" s="161"/>
      <c r="L1092" s="161"/>
      <c r="M1092" s="169"/>
      <c r="N1092" s="163" t="str">
        <f t="shared" ref="N1092:N1155" si="21">+IF(F1092="","",(K1092*I1092*H1092*G1092)/1000000)</f>
        <v/>
      </c>
      <c r="O1092" s="41"/>
      <c r="P1092" s="41"/>
      <c r="Q1092" s="161" t="str">
        <f>+IF(OR(O1092="Fire Control",O1092="Fire Tex 5062",O1092="Fire Tex 5090",O1092="Fire Tex 5120"),'CALCULO PINTURA'!P1093," ")</f>
        <v xml:space="preserve"> </v>
      </c>
      <c r="R1092" s="164" t="str">
        <f>+IF(OR(O1092="Fire Control",O1092="Fire Tex 5062",O1092="Fire Tex 5090",O1092="Fire Tex 5120"),'CALCULO PINTURA'!R1093," ")</f>
        <v xml:space="preserve"> </v>
      </c>
      <c r="S1092" s="164" t="str">
        <f>+IF(OR(O1092="Fire Control",O1092="Fire Tex 5062",O1092="Fire Tex 5090",O1092="Fire Tex 5120"),'CALCULO PINTURA'!S1093," ")</f>
        <v xml:space="preserve"> </v>
      </c>
      <c r="T1092" s="874" t="str">
        <f>+IF(OR(O1092="Blaze Shield II",O1092="Cafco 400",O1092="Cafco 300"),'CALCULO MORTERO'!N1098," ")</f>
        <v xml:space="preserve"> </v>
      </c>
      <c r="U1092" s="875" t="str">
        <f>+IF(OR(O1092="Blaze Shield II",O1092="Cafco 400",O1092="Cafco 300"),'CALCULO MORTERO'!O1098," ")</f>
        <v xml:space="preserve"> </v>
      </c>
      <c r="V1092" s="161" t="str" cm="1">
        <f t="array" ref="V1092">_xlfn.IFS(O1092="Blaze Shield II",'CALCULO MORTERO'!P1093, O1092="Cafco 400",'CALCULO MORTERO'!Q1093,O1092="Cafco 300",'CALCULO MORTERO'!S1093, AND(OR(O1092="Fire tex 5090", O1092="Fire Tex 5062", O1092="Fire Tex 5120", O1092="Fire Control"),Q1092&gt;0), "CERT.",TRUE,"-")</f>
        <v>-</v>
      </c>
    </row>
    <row r="1093" spans="1:22" x14ac:dyDescent="0.25">
      <c r="A1093" s="168"/>
      <c r="B1093" s="876"/>
      <c r="C1093" s="161"/>
      <c r="D1093" s="161"/>
      <c r="E1093" s="161"/>
      <c r="F1093" s="41"/>
      <c r="G1093" s="161"/>
      <c r="H1093" s="161"/>
      <c r="I1093" s="166"/>
      <c r="J1093" s="162"/>
      <c r="K1093" s="161"/>
      <c r="L1093" s="161"/>
      <c r="M1093" s="169"/>
      <c r="N1093" s="163" t="str">
        <f t="shared" si="21"/>
        <v/>
      </c>
      <c r="O1093" s="41"/>
      <c r="P1093" s="41"/>
      <c r="Q1093" s="161" t="str">
        <f>+IF(OR(O1093="Fire Control",O1093="Fire Tex 5062",O1093="Fire Tex 5090",O1093="Fire Tex 5120"),'CALCULO PINTURA'!P1094," ")</f>
        <v xml:space="preserve"> </v>
      </c>
      <c r="R1093" s="164" t="str">
        <f>+IF(OR(O1093="Fire Control",O1093="Fire Tex 5062",O1093="Fire Tex 5090",O1093="Fire Tex 5120"),'CALCULO PINTURA'!R1094," ")</f>
        <v xml:space="preserve"> </v>
      </c>
      <c r="S1093" s="164" t="str">
        <f>+IF(OR(O1093="Fire Control",O1093="Fire Tex 5062",O1093="Fire Tex 5090",O1093="Fire Tex 5120"),'CALCULO PINTURA'!S1094," ")</f>
        <v xml:space="preserve"> </v>
      </c>
      <c r="T1093" s="874" t="str">
        <f>+IF(OR(O1093="Blaze Shield II",O1093="Cafco 400",O1093="Cafco 300"),'CALCULO MORTERO'!N1099," ")</f>
        <v xml:space="preserve"> </v>
      </c>
      <c r="U1093" s="875" t="str">
        <f>+IF(OR(O1093="Blaze Shield II",O1093="Cafco 400",O1093="Cafco 300"),'CALCULO MORTERO'!O1099," ")</f>
        <v xml:space="preserve"> </v>
      </c>
      <c r="V1093" s="161" t="str" cm="1">
        <f t="array" ref="V1093">_xlfn.IFS(O1093="Blaze Shield II",'CALCULO MORTERO'!P1094, O1093="Cafco 400",'CALCULO MORTERO'!Q1094,O1093="Cafco 300",'CALCULO MORTERO'!S1094, AND(OR(O1093="Fire tex 5090", O1093="Fire Tex 5062", O1093="Fire Tex 5120", O1093="Fire Control"),Q1093&gt;0), "CERT.",TRUE,"-")</f>
        <v>-</v>
      </c>
    </row>
    <row r="1094" spans="1:22" x14ac:dyDescent="0.25">
      <c r="A1094" s="168"/>
      <c r="B1094" s="876"/>
      <c r="C1094" s="161"/>
      <c r="D1094" s="161"/>
      <c r="E1094" s="161"/>
      <c r="F1094" s="41"/>
      <c r="G1094" s="161"/>
      <c r="H1094" s="161"/>
      <c r="I1094" s="166"/>
      <c r="J1094" s="162"/>
      <c r="K1094" s="161"/>
      <c r="L1094" s="161"/>
      <c r="M1094" s="169"/>
      <c r="N1094" s="163" t="str">
        <f t="shared" si="21"/>
        <v/>
      </c>
      <c r="O1094" s="41"/>
      <c r="P1094" s="41"/>
      <c r="Q1094" s="161" t="str">
        <f>+IF(OR(O1094="Fire Control",O1094="Fire Tex 5062",O1094="Fire Tex 5090",O1094="Fire Tex 5120"),'CALCULO PINTURA'!P1095," ")</f>
        <v xml:space="preserve"> </v>
      </c>
      <c r="R1094" s="164" t="str">
        <f>+IF(OR(O1094="Fire Control",O1094="Fire Tex 5062",O1094="Fire Tex 5090",O1094="Fire Tex 5120"),'CALCULO PINTURA'!R1095," ")</f>
        <v xml:space="preserve"> </v>
      </c>
      <c r="S1094" s="164" t="str">
        <f>+IF(OR(O1094="Fire Control",O1094="Fire Tex 5062",O1094="Fire Tex 5090",O1094="Fire Tex 5120"),'CALCULO PINTURA'!S1095," ")</f>
        <v xml:space="preserve"> </v>
      </c>
      <c r="T1094" s="874" t="str">
        <f>+IF(OR(O1094="Blaze Shield II",O1094="Cafco 400",O1094="Cafco 300"),'CALCULO MORTERO'!N1100," ")</f>
        <v xml:space="preserve"> </v>
      </c>
      <c r="U1094" s="875" t="str">
        <f>+IF(OR(O1094="Blaze Shield II",O1094="Cafco 400",O1094="Cafco 300"),'CALCULO MORTERO'!O1100," ")</f>
        <v xml:space="preserve"> </v>
      </c>
      <c r="V1094" s="161" t="str" cm="1">
        <f t="array" ref="V1094">_xlfn.IFS(O1094="Blaze Shield II",'CALCULO MORTERO'!P1095, O1094="Cafco 400",'CALCULO MORTERO'!Q1095,O1094="Cafco 300",'CALCULO MORTERO'!S1095, AND(OR(O1094="Fire tex 5090", O1094="Fire Tex 5062", O1094="Fire Tex 5120", O1094="Fire Control"),Q1094&gt;0), "CERT.",TRUE,"-")</f>
        <v>-</v>
      </c>
    </row>
    <row r="1095" spans="1:22" x14ac:dyDescent="0.25">
      <c r="A1095" s="168"/>
      <c r="B1095" s="876"/>
      <c r="C1095" s="161"/>
      <c r="D1095" s="161"/>
      <c r="E1095" s="161"/>
      <c r="F1095" s="41"/>
      <c r="G1095" s="161"/>
      <c r="H1095" s="161"/>
      <c r="I1095" s="166"/>
      <c r="J1095" s="162"/>
      <c r="K1095" s="161"/>
      <c r="L1095" s="161"/>
      <c r="M1095" s="169"/>
      <c r="N1095" s="163" t="str">
        <f t="shared" si="21"/>
        <v/>
      </c>
      <c r="O1095" s="41"/>
      <c r="P1095" s="41"/>
      <c r="Q1095" s="161" t="str">
        <f>+IF(OR(O1095="Fire Control",O1095="Fire Tex 5062",O1095="Fire Tex 5090",O1095="Fire Tex 5120"),'CALCULO PINTURA'!P1096," ")</f>
        <v xml:space="preserve"> </v>
      </c>
      <c r="R1095" s="164" t="str">
        <f>+IF(OR(O1095="Fire Control",O1095="Fire Tex 5062",O1095="Fire Tex 5090",O1095="Fire Tex 5120"),'CALCULO PINTURA'!R1096," ")</f>
        <v xml:space="preserve"> </v>
      </c>
      <c r="S1095" s="164" t="str">
        <f>+IF(OR(O1095="Fire Control",O1095="Fire Tex 5062",O1095="Fire Tex 5090",O1095="Fire Tex 5120"),'CALCULO PINTURA'!S1096," ")</f>
        <v xml:space="preserve"> </v>
      </c>
      <c r="T1095" s="874" t="str">
        <f>+IF(OR(O1095="Blaze Shield II",O1095="Cafco 400",O1095="Cafco 300"),'CALCULO MORTERO'!N1101," ")</f>
        <v xml:space="preserve"> </v>
      </c>
      <c r="U1095" s="875" t="str">
        <f>+IF(OR(O1095="Blaze Shield II",O1095="Cafco 400",O1095="Cafco 300"),'CALCULO MORTERO'!O1101," ")</f>
        <v xml:space="preserve"> </v>
      </c>
      <c r="V1095" s="161" t="str" cm="1">
        <f t="array" ref="V1095">_xlfn.IFS(O1095="Blaze Shield II",'CALCULO MORTERO'!P1096, O1095="Cafco 400",'CALCULO MORTERO'!Q1096,O1095="Cafco 300",'CALCULO MORTERO'!S1096, AND(OR(O1095="Fire tex 5090", O1095="Fire Tex 5062", O1095="Fire Tex 5120", O1095="Fire Control"),Q1095&gt;0), "CERT.",TRUE,"-")</f>
        <v>-</v>
      </c>
    </row>
    <row r="1096" spans="1:22" x14ac:dyDescent="0.25">
      <c r="A1096" s="168"/>
      <c r="B1096" s="876"/>
      <c r="C1096" s="161"/>
      <c r="D1096" s="161"/>
      <c r="E1096" s="161"/>
      <c r="F1096" s="41"/>
      <c r="G1096" s="161"/>
      <c r="H1096" s="161"/>
      <c r="I1096" s="166"/>
      <c r="J1096" s="162"/>
      <c r="K1096" s="161"/>
      <c r="L1096" s="161"/>
      <c r="M1096" s="169"/>
      <c r="N1096" s="163" t="str">
        <f t="shared" si="21"/>
        <v/>
      </c>
      <c r="O1096" s="41"/>
      <c r="P1096" s="41"/>
      <c r="Q1096" s="161" t="str">
        <f>+IF(OR(O1096="Fire Control",O1096="Fire Tex 5062",O1096="Fire Tex 5090",O1096="Fire Tex 5120"),'CALCULO PINTURA'!P1097," ")</f>
        <v xml:space="preserve"> </v>
      </c>
      <c r="R1096" s="164" t="str">
        <f>+IF(OR(O1096="Fire Control",O1096="Fire Tex 5062",O1096="Fire Tex 5090",O1096="Fire Tex 5120"),'CALCULO PINTURA'!R1097," ")</f>
        <v xml:space="preserve"> </v>
      </c>
      <c r="S1096" s="164" t="str">
        <f>+IF(OR(O1096="Fire Control",O1096="Fire Tex 5062",O1096="Fire Tex 5090",O1096="Fire Tex 5120"),'CALCULO PINTURA'!S1097," ")</f>
        <v xml:space="preserve"> </v>
      </c>
      <c r="T1096" s="874" t="str">
        <f>+IF(OR(O1096="Blaze Shield II",O1096="Cafco 400",O1096="Cafco 300"),'CALCULO MORTERO'!N1102," ")</f>
        <v xml:space="preserve"> </v>
      </c>
      <c r="U1096" s="875" t="str">
        <f>+IF(OR(O1096="Blaze Shield II",O1096="Cafco 400",O1096="Cafco 300"),'CALCULO MORTERO'!O1102," ")</f>
        <v xml:space="preserve"> </v>
      </c>
      <c r="V1096" s="161" t="str" cm="1">
        <f t="array" ref="V1096">_xlfn.IFS(O1096="Blaze Shield II",'CALCULO MORTERO'!P1097, O1096="Cafco 400",'CALCULO MORTERO'!Q1097,O1096="Cafco 300",'CALCULO MORTERO'!S1097, AND(OR(O1096="Fire tex 5090", O1096="Fire Tex 5062", O1096="Fire Tex 5120", O1096="Fire Control"),Q1096&gt;0), "CERT.",TRUE,"-")</f>
        <v>-</v>
      </c>
    </row>
    <row r="1097" spans="1:22" x14ac:dyDescent="0.25">
      <c r="A1097" s="168"/>
      <c r="B1097" s="876"/>
      <c r="C1097" s="161"/>
      <c r="D1097" s="161"/>
      <c r="E1097" s="161"/>
      <c r="F1097" s="41"/>
      <c r="G1097" s="161"/>
      <c r="H1097" s="161"/>
      <c r="I1097" s="166"/>
      <c r="J1097" s="162"/>
      <c r="K1097" s="161"/>
      <c r="L1097" s="161"/>
      <c r="M1097" s="169"/>
      <c r="N1097" s="163" t="str">
        <f t="shared" si="21"/>
        <v/>
      </c>
      <c r="O1097" s="41"/>
      <c r="P1097" s="41"/>
      <c r="Q1097" s="161" t="str">
        <f>+IF(OR(O1097="Fire Control",O1097="Fire Tex 5062",O1097="Fire Tex 5090",O1097="Fire Tex 5120"),'CALCULO PINTURA'!P1098," ")</f>
        <v xml:space="preserve"> </v>
      </c>
      <c r="R1097" s="164" t="str">
        <f>+IF(OR(O1097="Fire Control",O1097="Fire Tex 5062",O1097="Fire Tex 5090",O1097="Fire Tex 5120"),'CALCULO PINTURA'!R1098," ")</f>
        <v xml:space="preserve"> </v>
      </c>
      <c r="S1097" s="164" t="str">
        <f>+IF(OR(O1097="Fire Control",O1097="Fire Tex 5062",O1097="Fire Tex 5090",O1097="Fire Tex 5120"),'CALCULO PINTURA'!S1098," ")</f>
        <v xml:space="preserve"> </v>
      </c>
      <c r="T1097" s="874" t="str">
        <f>+IF(OR(O1097="Blaze Shield II",O1097="Cafco 400",O1097="Cafco 300"),'CALCULO MORTERO'!N1103," ")</f>
        <v xml:space="preserve"> </v>
      </c>
      <c r="U1097" s="875" t="str">
        <f>+IF(OR(O1097="Blaze Shield II",O1097="Cafco 400",O1097="Cafco 300"),'CALCULO MORTERO'!O1103," ")</f>
        <v xml:space="preserve"> </v>
      </c>
      <c r="V1097" s="161" t="str" cm="1">
        <f t="array" ref="V1097">_xlfn.IFS(O1097="Blaze Shield II",'CALCULO MORTERO'!P1098, O1097="Cafco 400",'CALCULO MORTERO'!Q1098,O1097="Cafco 300",'CALCULO MORTERO'!S1098, AND(OR(O1097="Fire tex 5090", O1097="Fire Tex 5062", O1097="Fire Tex 5120", O1097="Fire Control"),Q1097&gt;0), "CERT.",TRUE,"-")</f>
        <v>-</v>
      </c>
    </row>
    <row r="1098" spans="1:22" x14ac:dyDescent="0.25">
      <c r="A1098" s="168"/>
      <c r="B1098" s="876"/>
      <c r="C1098" s="161"/>
      <c r="D1098" s="161"/>
      <c r="E1098" s="161"/>
      <c r="F1098" s="41"/>
      <c r="G1098" s="161"/>
      <c r="H1098" s="161"/>
      <c r="I1098" s="166"/>
      <c r="J1098" s="162"/>
      <c r="K1098" s="161"/>
      <c r="L1098" s="161"/>
      <c r="M1098" s="169"/>
      <c r="N1098" s="163" t="str">
        <f t="shared" si="21"/>
        <v/>
      </c>
      <c r="O1098" s="41"/>
      <c r="P1098" s="41"/>
      <c r="Q1098" s="161" t="str">
        <f>+IF(OR(O1098="Fire Control",O1098="Fire Tex 5062",O1098="Fire Tex 5090",O1098="Fire Tex 5120"),'CALCULO PINTURA'!P1099," ")</f>
        <v xml:space="preserve"> </v>
      </c>
      <c r="R1098" s="164" t="str">
        <f>+IF(OR(O1098="Fire Control",O1098="Fire Tex 5062",O1098="Fire Tex 5090",O1098="Fire Tex 5120"),'CALCULO PINTURA'!R1099," ")</f>
        <v xml:space="preserve"> </v>
      </c>
      <c r="S1098" s="164" t="str">
        <f>+IF(OR(O1098="Fire Control",O1098="Fire Tex 5062",O1098="Fire Tex 5090",O1098="Fire Tex 5120"),'CALCULO PINTURA'!S1099," ")</f>
        <v xml:space="preserve"> </v>
      </c>
      <c r="T1098" s="874" t="str">
        <f>+IF(OR(O1098="Blaze Shield II",O1098="Cafco 400",O1098="Cafco 300"),'CALCULO MORTERO'!N1104," ")</f>
        <v xml:space="preserve"> </v>
      </c>
      <c r="U1098" s="875" t="str">
        <f>+IF(OR(O1098="Blaze Shield II",O1098="Cafco 400",O1098="Cafco 300"),'CALCULO MORTERO'!O1104," ")</f>
        <v xml:space="preserve"> </v>
      </c>
      <c r="V1098" s="161" t="str" cm="1">
        <f t="array" ref="V1098">_xlfn.IFS(O1098="Blaze Shield II",'CALCULO MORTERO'!P1099, O1098="Cafco 400",'CALCULO MORTERO'!Q1099,O1098="Cafco 300",'CALCULO MORTERO'!S1099, AND(OR(O1098="Fire tex 5090", O1098="Fire Tex 5062", O1098="Fire Tex 5120", O1098="Fire Control"),Q1098&gt;0), "CERT.",TRUE,"-")</f>
        <v>-</v>
      </c>
    </row>
    <row r="1099" spans="1:22" x14ac:dyDescent="0.25">
      <c r="A1099" s="168"/>
      <c r="B1099" s="876"/>
      <c r="C1099" s="161"/>
      <c r="D1099" s="161"/>
      <c r="E1099" s="161"/>
      <c r="F1099" s="41"/>
      <c r="G1099" s="161"/>
      <c r="H1099" s="161"/>
      <c r="I1099" s="166"/>
      <c r="J1099" s="162"/>
      <c r="K1099" s="161"/>
      <c r="L1099" s="161"/>
      <c r="M1099" s="169"/>
      <c r="N1099" s="163" t="str">
        <f t="shared" si="21"/>
        <v/>
      </c>
      <c r="O1099" s="41"/>
      <c r="P1099" s="41"/>
      <c r="Q1099" s="161" t="str">
        <f>+IF(OR(O1099="Fire Control",O1099="Fire Tex 5062",O1099="Fire Tex 5090",O1099="Fire Tex 5120"),'CALCULO PINTURA'!P1100," ")</f>
        <v xml:space="preserve"> </v>
      </c>
      <c r="R1099" s="164" t="str">
        <f>+IF(OR(O1099="Fire Control",O1099="Fire Tex 5062",O1099="Fire Tex 5090",O1099="Fire Tex 5120"),'CALCULO PINTURA'!R1100," ")</f>
        <v xml:space="preserve"> </v>
      </c>
      <c r="S1099" s="164" t="str">
        <f>+IF(OR(O1099="Fire Control",O1099="Fire Tex 5062",O1099="Fire Tex 5090",O1099="Fire Tex 5120"),'CALCULO PINTURA'!S1100," ")</f>
        <v xml:space="preserve"> </v>
      </c>
      <c r="T1099" s="874" t="str">
        <f>+IF(OR(O1099="Blaze Shield II",O1099="Cafco 400",O1099="Cafco 300"),'CALCULO MORTERO'!N1105," ")</f>
        <v xml:space="preserve"> </v>
      </c>
      <c r="U1099" s="875" t="str">
        <f>+IF(OR(O1099="Blaze Shield II",O1099="Cafco 400",O1099="Cafco 300"),'CALCULO MORTERO'!O1105," ")</f>
        <v xml:space="preserve"> </v>
      </c>
      <c r="V1099" s="161" t="str" cm="1">
        <f t="array" ref="V1099">_xlfn.IFS(O1099="Blaze Shield II",'CALCULO MORTERO'!P1100, O1099="Cafco 400",'CALCULO MORTERO'!Q1100,O1099="Cafco 300",'CALCULO MORTERO'!S1100, AND(OR(O1099="Fire tex 5090", O1099="Fire Tex 5062", O1099="Fire Tex 5120", O1099="Fire Control"),Q1099&gt;0), "CERT.",TRUE,"-")</f>
        <v>-</v>
      </c>
    </row>
    <row r="1100" spans="1:22" x14ac:dyDescent="0.25">
      <c r="A1100" s="168"/>
      <c r="B1100" s="876"/>
      <c r="C1100" s="161"/>
      <c r="D1100" s="161"/>
      <c r="E1100" s="161"/>
      <c r="F1100" s="41"/>
      <c r="G1100" s="161"/>
      <c r="H1100" s="161"/>
      <c r="I1100" s="166"/>
      <c r="J1100" s="162"/>
      <c r="K1100" s="161"/>
      <c r="L1100" s="161"/>
      <c r="M1100" s="169"/>
      <c r="N1100" s="163" t="str">
        <f t="shared" si="21"/>
        <v/>
      </c>
      <c r="O1100" s="41"/>
      <c r="P1100" s="41"/>
      <c r="Q1100" s="161" t="str">
        <f>+IF(OR(O1100="Fire Control",O1100="Fire Tex 5062",O1100="Fire Tex 5090",O1100="Fire Tex 5120"),'CALCULO PINTURA'!P1101," ")</f>
        <v xml:space="preserve"> </v>
      </c>
      <c r="R1100" s="164" t="str">
        <f>+IF(OR(O1100="Fire Control",O1100="Fire Tex 5062",O1100="Fire Tex 5090",O1100="Fire Tex 5120"),'CALCULO PINTURA'!R1101," ")</f>
        <v xml:space="preserve"> </v>
      </c>
      <c r="S1100" s="164" t="str">
        <f>+IF(OR(O1100="Fire Control",O1100="Fire Tex 5062",O1100="Fire Tex 5090",O1100="Fire Tex 5120"),'CALCULO PINTURA'!S1101," ")</f>
        <v xml:space="preserve"> </v>
      </c>
      <c r="T1100" s="874" t="str">
        <f>+IF(OR(O1100="Blaze Shield II",O1100="Cafco 400",O1100="Cafco 300"),'CALCULO MORTERO'!N1106," ")</f>
        <v xml:space="preserve"> </v>
      </c>
      <c r="U1100" s="875" t="str">
        <f>+IF(OR(O1100="Blaze Shield II",O1100="Cafco 400",O1100="Cafco 300"),'CALCULO MORTERO'!O1106," ")</f>
        <v xml:space="preserve"> </v>
      </c>
      <c r="V1100" s="161" t="str" cm="1">
        <f t="array" ref="V1100">_xlfn.IFS(O1100="Blaze Shield II",'CALCULO MORTERO'!P1101, O1100="Cafco 400",'CALCULO MORTERO'!Q1101,O1100="Cafco 300",'CALCULO MORTERO'!S1101, AND(OR(O1100="Fire tex 5090", O1100="Fire Tex 5062", O1100="Fire Tex 5120", O1100="Fire Control"),Q1100&gt;0), "CERT.",TRUE,"-")</f>
        <v>-</v>
      </c>
    </row>
    <row r="1101" spans="1:22" x14ac:dyDescent="0.25">
      <c r="A1101" s="168"/>
      <c r="B1101" s="876"/>
      <c r="C1101" s="161"/>
      <c r="D1101" s="161"/>
      <c r="E1101" s="161"/>
      <c r="F1101" s="41"/>
      <c r="G1101" s="161"/>
      <c r="H1101" s="161"/>
      <c r="I1101" s="166"/>
      <c r="J1101" s="162"/>
      <c r="K1101" s="161"/>
      <c r="L1101" s="161"/>
      <c r="M1101" s="169"/>
      <c r="N1101" s="163" t="str">
        <f t="shared" si="21"/>
        <v/>
      </c>
      <c r="O1101" s="41"/>
      <c r="P1101" s="41"/>
      <c r="Q1101" s="161" t="str">
        <f>+IF(OR(O1101="Fire Control",O1101="Fire Tex 5062",O1101="Fire Tex 5090",O1101="Fire Tex 5120"),'CALCULO PINTURA'!P1102," ")</f>
        <v xml:space="preserve"> </v>
      </c>
      <c r="R1101" s="164" t="str">
        <f>+IF(OR(O1101="Fire Control",O1101="Fire Tex 5062",O1101="Fire Tex 5090",O1101="Fire Tex 5120"),'CALCULO PINTURA'!R1102," ")</f>
        <v xml:space="preserve"> </v>
      </c>
      <c r="S1101" s="164" t="str">
        <f>+IF(OR(O1101="Fire Control",O1101="Fire Tex 5062",O1101="Fire Tex 5090",O1101="Fire Tex 5120"),'CALCULO PINTURA'!S1102," ")</f>
        <v xml:space="preserve"> </v>
      </c>
      <c r="T1101" s="874" t="str">
        <f>+IF(OR(O1101="Blaze Shield II",O1101="Cafco 400",O1101="Cafco 300"),'CALCULO MORTERO'!N1107," ")</f>
        <v xml:space="preserve"> </v>
      </c>
      <c r="U1101" s="875" t="str">
        <f>+IF(OR(O1101="Blaze Shield II",O1101="Cafco 400",O1101="Cafco 300"),'CALCULO MORTERO'!O1107," ")</f>
        <v xml:space="preserve"> </v>
      </c>
      <c r="V1101" s="161" t="str" cm="1">
        <f t="array" ref="V1101">_xlfn.IFS(O1101="Blaze Shield II",'CALCULO MORTERO'!P1102, O1101="Cafco 400",'CALCULO MORTERO'!Q1102,O1101="Cafco 300",'CALCULO MORTERO'!S1102, AND(OR(O1101="Fire tex 5090", O1101="Fire Tex 5062", O1101="Fire Tex 5120", O1101="Fire Control"),Q1101&gt;0), "CERT.",TRUE,"-")</f>
        <v>-</v>
      </c>
    </row>
    <row r="1102" spans="1:22" x14ac:dyDescent="0.25">
      <c r="A1102" s="168"/>
      <c r="B1102" s="876"/>
      <c r="C1102" s="161"/>
      <c r="D1102" s="161"/>
      <c r="E1102" s="161"/>
      <c r="F1102" s="41"/>
      <c r="G1102" s="161"/>
      <c r="H1102" s="161"/>
      <c r="I1102" s="166"/>
      <c r="J1102" s="162"/>
      <c r="K1102" s="161"/>
      <c r="L1102" s="161"/>
      <c r="M1102" s="169"/>
      <c r="N1102" s="163" t="str">
        <f t="shared" si="21"/>
        <v/>
      </c>
      <c r="O1102" s="41"/>
      <c r="P1102" s="41"/>
      <c r="Q1102" s="161" t="str">
        <f>+IF(OR(O1102="Fire Control",O1102="Fire Tex 5062",O1102="Fire Tex 5090",O1102="Fire Tex 5120"),'CALCULO PINTURA'!P1103," ")</f>
        <v xml:space="preserve"> </v>
      </c>
      <c r="R1102" s="164" t="str">
        <f>+IF(OR(O1102="Fire Control",O1102="Fire Tex 5062",O1102="Fire Tex 5090",O1102="Fire Tex 5120"),'CALCULO PINTURA'!R1103," ")</f>
        <v xml:space="preserve"> </v>
      </c>
      <c r="S1102" s="164" t="str">
        <f>+IF(OR(O1102="Fire Control",O1102="Fire Tex 5062",O1102="Fire Tex 5090",O1102="Fire Tex 5120"),'CALCULO PINTURA'!S1103," ")</f>
        <v xml:space="preserve"> </v>
      </c>
      <c r="T1102" s="874" t="str">
        <f>+IF(OR(O1102="Blaze Shield II",O1102="Cafco 400",O1102="Cafco 300"),'CALCULO MORTERO'!N1108," ")</f>
        <v xml:space="preserve"> </v>
      </c>
      <c r="U1102" s="875" t="str">
        <f>+IF(OR(O1102="Blaze Shield II",O1102="Cafco 400",O1102="Cafco 300"),'CALCULO MORTERO'!O1108," ")</f>
        <v xml:space="preserve"> </v>
      </c>
      <c r="V1102" s="161" t="str" cm="1">
        <f t="array" ref="V1102">_xlfn.IFS(O1102="Blaze Shield II",'CALCULO MORTERO'!P1103, O1102="Cafco 400",'CALCULO MORTERO'!Q1103,O1102="Cafco 300",'CALCULO MORTERO'!S1103, AND(OR(O1102="Fire tex 5090", O1102="Fire Tex 5062", O1102="Fire Tex 5120", O1102="Fire Control"),Q1102&gt;0), "CERT.",TRUE,"-")</f>
        <v>-</v>
      </c>
    </row>
    <row r="1103" spans="1:22" x14ac:dyDescent="0.25">
      <c r="A1103" s="168"/>
      <c r="B1103" s="876"/>
      <c r="C1103" s="161"/>
      <c r="D1103" s="161"/>
      <c r="E1103" s="161"/>
      <c r="F1103" s="41"/>
      <c r="G1103" s="161"/>
      <c r="H1103" s="161"/>
      <c r="I1103" s="166"/>
      <c r="J1103" s="162"/>
      <c r="K1103" s="161"/>
      <c r="L1103" s="161"/>
      <c r="M1103" s="169"/>
      <c r="N1103" s="163" t="str">
        <f t="shared" si="21"/>
        <v/>
      </c>
      <c r="O1103" s="41"/>
      <c r="P1103" s="41"/>
      <c r="Q1103" s="161" t="str">
        <f>+IF(OR(O1103="Fire Control",O1103="Fire Tex 5062",O1103="Fire Tex 5090",O1103="Fire Tex 5120"),'CALCULO PINTURA'!P1104," ")</f>
        <v xml:space="preserve"> </v>
      </c>
      <c r="R1103" s="164" t="str">
        <f>+IF(OR(O1103="Fire Control",O1103="Fire Tex 5062",O1103="Fire Tex 5090",O1103="Fire Tex 5120"),'CALCULO PINTURA'!R1104," ")</f>
        <v xml:space="preserve"> </v>
      </c>
      <c r="S1103" s="164" t="str">
        <f>+IF(OR(O1103="Fire Control",O1103="Fire Tex 5062",O1103="Fire Tex 5090",O1103="Fire Tex 5120"),'CALCULO PINTURA'!S1104," ")</f>
        <v xml:space="preserve"> </v>
      </c>
      <c r="T1103" s="874" t="str">
        <f>+IF(OR(O1103="Blaze Shield II",O1103="Cafco 400",O1103="Cafco 300"),'CALCULO MORTERO'!N1109," ")</f>
        <v xml:space="preserve"> </v>
      </c>
      <c r="U1103" s="875" t="str">
        <f>+IF(OR(O1103="Blaze Shield II",O1103="Cafco 400",O1103="Cafco 300"),'CALCULO MORTERO'!O1109," ")</f>
        <v xml:space="preserve"> </v>
      </c>
      <c r="V1103" s="161" t="str" cm="1">
        <f t="array" ref="V1103">_xlfn.IFS(O1103="Blaze Shield II",'CALCULO MORTERO'!P1104, O1103="Cafco 400",'CALCULO MORTERO'!Q1104,O1103="Cafco 300",'CALCULO MORTERO'!S1104, AND(OR(O1103="Fire tex 5090", O1103="Fire Tex 5062", O1103="Fire Tex 5120", O1103="Fire Control"),Q1103&gt;0), "CERT.",TRUE,"-")</f>
        <v>-</v>
      </c>
    </row>
    <row r="1104" spans="1:22" x14ac:dyDescent="0.25">
      <c r="A1104" s="168"/>
      <c r="B1104" s="876"/>
      <c r="C1104" s="161"/>
      <c r="D1104" s="161"/>
      <c r="E1104" s="161"/>
      <c r="F1104" s="41"/>
      <c r="G1104" s="161"/>
      <c r="H1104" s="161"/>
      <c r="I1104" s="166"/>
      <c r="J1104" s="162"/>
      <c r="K1104" s="161"/>
      <c r="L1104" s="161"/>
      <c r="M1104" s="169"/>
      <c r="N1104" s="163" t="str">
        <f t="shared" si="21"/>
        <v/>
      </c>
      <c r="O1104" s="41"/>
      <c r="P1104" s="41"/>
      <c r="Q1104" s="161" t="str">
        <f>+IF(OR(O1104="Fire Control",O1104="Fire Tex 5062",O1104="Fire Tex 5090",O1104="Fire Tex 5120"),'CALCULO PINTURA'!P1105," ")</f>
        <v xml:space="preserve"> </v>
      </c>
      <c r="R1104" s="164" t="str">
        <f>+IF(OR(O1104="Fire Control",O1104="Fire Tex 5062",O1104="Fire Tex 5090",O1104="Fire Tex 5120"),'CALCULO PINTURA'!R1105," ")</f>
        <v xml:space="preserve"> </v>
      </c>
      <c r="S1104" s="164" t="str">
        <f>+IF(OR(O1104="Fire Control",O1104="Fire Tex 5062",O1104="Fire Tex 5090",O1104="Fire Tex 5120"),'CALCULO PINTURA'!S1105," ")</f>
        <v xml:space="preserve"> </v>
      </c>
      <c r="T1104" s="874" t="str">
        <f>+IF(OR(O1104="Blaze Shield II",O1104="Cafco 400",O1104="Cafco 300"),'CALCULO MORTERO'!N1110," ")</f>
        <v xml:space="preserve"> </v>
      </c>
      <c r="U1104" s="875" t="str">
        <f>+IF(OR(O1104="Blaze Shield II",O1104="Cafco 400",O1104="Cafco 300"),'CALCULO MORTERO'!O1110," ")</f>
        <v xml:space="preserve"> </v>
      </c>
      <c r="V1104" s="161" t="str" cm="1">
        <f t="array" ref="V1104">_xlfn.IFS(O1104="Blaze Shield II",'CALCULO MORTERO'!P1105, O1104="Cafco 400",'CALCULO MORTERO'!Q1105,O1104="Cafco 300",'CALCULO MORTERO'!S1105, AND(OR(O1104="Fire tex 5090", O1104="Fire Tex 5062", O1104="Fire Tex 5120", O1104="Fire Control"),Q1104&gt;0), "CERT.",TRUE,"-")</f>
        <v>-</v>
      </c>
    </row>
    <row r="1105" spans="1:22" x14ac:dyDescent="0.25">
      <c r="A1105" s="168"/>
      <c r="B1105" s="876"/>
      <c r="C1105" s="161"/>
      <c r="D1105" s="161"/>
      <c r="E1105" s="161"/>
      <c r="F1105" s="41"/>
      <c r="G1105" s="161"/>
      <c r="H1105" s="161"/>
      <c r="I1105" s="166"/>
      <c r="J1105" s="162"/>
      <c r="K1105" s="161"/>
      <c r="L1105" s="161"/>
      <c r="M1105" s="169"/>
      <c r="N1105" s="163" t="str">
        <f t="shared" si="21"/>
        <v/>
      </c>
      <c r="O1105" s="41"/>
      <c r="P1105" s="41"/>
      <c r="Q1105" s="161" t="str">
        <f>+IF(OR(O1105="Fire Control",O1105="Fire Tex 5062",O1105="Fire Tex 5090",O1105="Fire Tex 5120"),'CALCULO PINTURA'!P1106," ")</f>
        <v xml:space="preserve"> </v>
      </c>
      <c r="R1105" s="164" t="str">
        <f>+IF(OR(O1105="Fire Control",O1105="Fire Tex 5062",O1105="Fire Tex 5090",O1105="Fire Tex 5120"),'CALCULO PINTURA'!R1106," ")</f>
        <v xml:space="preserve"> </v>
      </c>
      <c r="S1105" s="164" t="str">
        <f>+IF(OR(O1105="Fire Control",O1105="Fire Tex 5062",O1105="Fire Tex 5090",O1105="Fire Tex 5120"),'CALCULO PINTURA'!S1106," ")</f>
        <v xml:space="preserve"> </v>
      </c>
      <c r="T1105" s="874" t="str">
        <f>+IF(OR(O1105="Blaze Shield II",O1105="Cafco 400",O1105="Cafco 300"),'CALCULO MORTERO'!N1111," ")</f>
        <v xml:space="preserve"> </v>
      </c>
      <c r="U1105" s="875" t="str">
        <f>+IF(OR(O1105="Blaze Shield II",O1105="Cafco 400",O1105="Cafco 300"),'CALCULO MORTERO'!O1111," ")</f>
        <v xml:space="preserve"> </v>
      </c>
      <c r="V1105" s="161" t="str" cm="1">
        <f t="array" ref="V1105">_xlfn.IFS(O1105="Blaze Shield II",'CALCULO MORTERO'!P1106, O1105="Cafco 400",'CALCULO MORTERO'!Q1106,O1105="Cafco 300",'CALCULO MORTERO'!S1106, AND(OR(O1105="Fire tex 5090", O1105="Fire Tex 5062", O1105="Fire Tex 5120", O1105="Fire Control"),Q1105&gt;0), "CERT.",TRUE,"-")</f>
        <v>-</v>
      </c>
    </row>
    <row r="1106" spans="1:22" x14ac:dyDescent="0.25">
      <c r="A1106" s="168"/>
      <c r="B1106" s="876"/>
      <c r="C1106" s="161"/>
      <c r="D1106" s="161"/>
      <c r="E1106" s="161"/>
      <c r="F1106" s="41"/>
      <c r="G1106" s="161"/>
      <c r="H1106" s="161"/>
      <c r="I1106" s="166"/>
      <c r="J1106" s="162"/>
      <c r="K1106" s="161"/>
      <c r="L1106" s="161"/>
      <c r="M1106" s="169"/>
      <c r="N1106" s="163" t="str">
        <f t="shared" si="21"/>
        <v/>
      </c>
      <c r="O1106" s="41"/>
      <c r="P1106" s="41"/>
      <c r="Q1106" s="161" t="str">
        <f>+IF(OR(O1106="Fire Control",O1106="Fire Tex 5062",O1106="Fire Tex 5090",O1106="Fire Tex 5120"),'CALCULO PINTURA'!P1107," ")</f>
        <v xml:space="preserve"> </v>
      </c>
      <c r="R1106" s="164" t="str">
        <f>+IF(OR(O1106="Fire Control",O1106="Fire Tex 5062",O1106="Fire Tex 5090",O1106="Fire Tex 5120"),'CALCULO PINTURA'!R1107," ")</f>
        <v xml:space="preserve"> </v>
      </c>
      <c r="S1106" s="164" t="str">
        <f>+IF(OR(O1106="Fire Control",O1106="Fire Tex 5062",O1106="Fire Tex 5090",O1106="Fire Tex 5120"),'CALCULO PINTURA'!S1107," ")</f>
        <v xml:space="preserve"> </v>
      </c>
      <c r="T1106" s="874" t="str">
        <f>+IF(OR(O1106="Blaze Shield II",O1106="Cafco 400",O1106="Cafco 300"),'CALCULO MORTERO'!N1112," ")</f>
        <v xml:space="preserve"> </v>
      </c>
      <c r="U1106" s="875" t="str">
        <f>+IF(OR(O1106="Blaze Shield II",O1106="Cafco 400",O1106="Cafco 300"),'CALCULO MORTERO'!O1112," ")</f>
        <v xml:space="preserve"> </v>
      </c>
      <c r="V1106" s="161" t="str" cm="1">
        <f t="array" ref="V1106">_xlfn.IFS(O1106="Blaze Shield II",'CALCULO MORTERO'!P1107, O1106="Cafco 400",'CALCULO MORTERO'!Q1107,O1106="Cafco 300",'CALCULO MORTERO'!S1107, AND(OR(O1106="Fire tex 5090", O1106="Fire Tex 5062", O1106="Fire Tex 5120", O1106="Fire Control"),Q1106&gt;0), "CERT.",TRUE,"-")</f>
        <v>-</v>
      </c>
    </row>
    <row r="1107" spans="1:22" x14ac:dyDescent="0.25">
      <c r="A1107" s="168"/>
      <c r="B1107" s="876"/>
      <c r="C1107" s="161"/>
      <c r="D1107" s="161"/>
      <c r="E1107" s="161"/>
      <c r="F1107" s="41"/>
      <c r="G1107" s="161"/>
      <c r="H1107" s="161"/>
      <c r="I1107" s="166"/>
      <c r="J1107" s="162"/>
      <c r="K1107" s="161"/>
      <c r="L1107" s="161"/>
      <c r="M1107" s="169"/>
      <c r="N1107" s="163" t="str">
        <f t="shared" si="21"/>
        <v/>
      </c>
      <c r="O1107" s="41"/>
      <c r="P1107" s="41"/>
      <c r="Q1107" s="161" t="str">
        <f>+IF(OR(O1107="Fire Control",O1107="Fire Tex 5062",O1107="Fire Tex 5090",O1107="Fire Tex 5120"),'CALCULO PINTURA'!P1108," ")</f>
        <v xml:space="preserve"> </v>
      </c>
      <c r="R1107" s="164" t="str">
        <f>+IF(OR(O1107="Fire Control",O1107="Fire Tex 5062",O1107="Fire Tex 5090",O1107="Fire Tex 5120"),'CALCULO PINTURA'!R1108," ")</f>
        <v xml:space="preserve"> </v>
      </c>
      <c r="S1107" s="164" t="str">
        <f>+IF(OR(O1107="Fire Control",O1107="Fire Tex 5062",O1107="Fire Tex 5090",O1107="Fire Tex 5120"),'CALCULO PINTURA'!S1108," ")</f>
        <v xml:space="preserve"> </v>
      </c>
      <c r="T1107" s="874" t="str">
        <f>+IF(OR(O1107="Blaze Shield II",O1107="Cafco 400",O1107="Cafco 300"),'CALCULO MORTERO'!N1113," ")</f>
        <v xml:space="preserve"> </v>
      </c>
      <c r="U1107" s="875" t="str">
        <f>+IF(OR(O1107="Blaze Shield II",O1107="Cafco 400",O1107="Cafco 300"),'CALCULO MORTERO'!O1113," ")</f>
        <v xml:space="preserve"> </v>
      </c>
      <c r="V1107" s="161" t="str" cm="1">
        <f t="array" ref="V1107">_xlfn.IFS(O1107="Blaze Shield II",'CALCULO MORTERO'!P1108, O1107="Cafco 400",'CALCULO MORTERO'!Q1108,O1107="Cafco 300",'CALCULO MORTERO'!S1108, AND(OR(O1107="Fire tex 5090", O1107="Fire Tex 5062", O1107="Fire Tex 5120", O1107="Fire Control"),Q1107&gt;0), "CERT.",TRUE,"-")</f>
        <v>-</v>
      </c>
    </row>
    <row r="1108" spans="1:22" x14ac:dyDescent="0.25">
      <c r="A1108" s="168"/>
      <c r="B1108" s="876"/>
      <c r="C1108" s="161"/>
      <c r="D1108" s="161"/>
      <c r="E1108" s="161"/>
      <c r="F1108" s="41"/>
      <c r="G1108" s="161"/>
      <c r="H1108" s="161"/>
      <c r="I1108" s="166"/>
      <c r="J1108" s="162"/>
      <c r="K1108" s="161"/>
      <c r="L1108" s="161"/>
      <c r="M1108" s="169"/>
      <c r="N1108" s="163" t="str">
        <f t="shared" si="21"/>
        <v/>
      </c>
      <c r="O1108" s="41"/>
      <c r="P1108" s="41"/>
      <c r="Q1108" s="161" t="str">
        <f>+IF(OR(O1108="Fire Control",O1108="Fire Tex 5062",O1108="Fire Tex 5090",O1108="Fire Tex 5120"),'CALCULO PINTURA'!P1109," ")</f>
        <v xml:space="preserve"> </v>
      </c>
      <c r="R1108" s="164" t="str">
        <f>+IF(OR(O1108="Fire Control",O1108="Fire Tex 5062",O1108="Fire Tex 5090",O1108="Fire Tex 5120"),'CALCULO PINTURA'!R1109," ")</f>
        <v xml:space="preserve"> </v>
      </c>
      <c r="S1108" s="164" t="str">
        <f>+IF(OR(O1108="Fire Control",O1108="Fire Tex 5062",O1108="Fire Tex 5090",O1108="Fire Tex 5120"),'CALCULO PINTURA'!S1109," ")</f>
        <v xml:space="preserve"> </v>
      </c>
      <c r="T1108" s="874" t="str">
        <f>+IF(OR(O1108="Blaze Shield II",O1108="Cafco 400",O1108="Cafco 300"),'CALCULO MORTERO'!N1114," ")</f>
        <v xml:space="preserve"> </v>
      </c>
      <c r="U1108" s="875" t="str">
        <f>+IF(OR(O1108="Blaze Shield II",O1108="Cafco 400",O1108="Cafco 300"),'CALCULO MORTERO'!O1114," ")</f>
        <v xml:space="preserve"> </v>
      </c>
      <c r="V1108" s="161" t="str" cm="1">
        <f t="array" ref="V1108">_xlfn.IFS(O1108="Blaze Shield II",'CALCULO MORTERO'!P1109, O1108="Cafco 400",'CALCULO MORTERO'!Q1109,O1108="Cafco 300",'CALCULO MORTERO'!S1109, AND(OR(O1108="Fire tex 5090", O1108="Fire Tex 5062", O1108="Fire Tex 5120", O1108="Fire Control"),Q1108&gt;0), "CERT.",TRUE,"-")</f>
        <v>-</v>
      </c>
    </row>
    <row r="1109" spans="1:22" x14ac:dyDescent="0.25">
      <c r="A1109" s="168"/>
      <c r="B1109" s="876"/>
      <c r="C1109" s="161"/>
      <c r="D1109" s="161"/>
      <c r="E1109" s="161"/>
      <c r="F1109" s="41"/>
      <c r="G1109" s="161"/>
      <c r="H1109" s="161"/>
      <c r="I1109" s="166"/>
      <c r="J1109" s="162"/>
      <c r="K1109" s="161"/>
      <c r="L1109" s="161"/>
      <c r="M1109" s="169"/>
      <c r="N1109" s="163" t="str">
        <f t="shared" si="21"/>
        <v/>
      </c>
      <c r="O1109" s="41"/>
      <c r="P1109" s="41"/>
      <c r="Q1109" s="161" t="str">
        <f>+IF(OR(O1109="Fire Control",O1109="Fire Tex 5062",O1109="Fire Tex 5090",O1109="Fire Tex 5120"),'CALCULO PINTURA'!P1110," ")</f>
        <v xml:space="preserve"> </v>
      </c>
      <c r="R1109" s="164" t="str">
        <f>+IF(OR(O1109="Fire Control",O1109="Fire Tex 5062",O1109="Fire Tex 5090",O1109="Fire Tex 5120"),'CALCULO PINTURA'!R1110," ")</f>
        <v xml:space="preserve"> </v>
      </c>
      <c r="S1109" s="164" t="str">
        <f>+IF(OR(O1109="Fire Control",O1109="Fire Tex 5062",O1109="Fire Tex 5090",O1109="Fire Tex 5120"),'CALCULO PINTURA'!S1110," ")</f>
        <v xml:space="preserve"> </v>
      </c>
      <c r="T1109" s="874" t="str">
        <f>+IF(OR(O1109="Blaze Shield II",O1109="Cafco 400",O1109="Cafco 300"),'CALCULO MORTERO'!N1115," ")</f>
        <v xml:space="preserve"> </v>
      </c>
      <c r="U1109" s="875" t="str">
        <f>+IF(OR(O1109="Blaze Shield II",O1109="Cafco 400",O1109="Cafco 300"),'CALCULO MORTERO'!O1115," ")</f>
        <v xml:space="preserve"> </v>
      </c>
      <c r="V1109" s="161" t="str" cm="1">
        <f t="array" ref="V1109">_xlfn.IFS(O1109="Blaze Shield II",'CALCULO MORTERO'!P1110, O1109="Cafco 400",'CALCULO MORTERO'!Q1110,O1109="Cafco 300",'CALCULO MORTERO'!S1110, AND(OR(O1109="Fire tex 5090", O1109="Fire Tex 5062", O1109="Fire Tex 5120", O1109="Fire Control"),Q1109&gt;0), "CERT.",TRUE,"-")</f>
        <v>-</v>
      </c>
    </row>
    <row r="1110" spans="1:22" x14ac:dyDescent="0.25">
      <c r="A1110" s="168"/>
      <c r="B1110" s="876"/>
      <c r="C1110" s="161"/>
      <c r="D1110" s="161"/>
      <c r="E1110" s="161"/>
      <c r="F1110" s="41"/>
      <c r="G1110" s="161"/>
      <c r="H1110" s="161"/>
      <c r="I1110" s="166"/>
      <c r="J1110" s="162"/>
      <c r="K1110" s="161"/>
      <c r="L1110" s="161"/>
      <c r="M1110" s="169"/>
      <c r="N1110" s="163" t="str">
        <f t="shared" si="21"/>
        <v/>
      </c>
      <c r="O1110" s="41"/>
      <c r="P1110" s="41"/>
      <c r="Q1110" s="161" t="str">
        <f>+IF(OR(O1110="Fire Control",O1110="Fire Tex 5062",O1110="Fire Tex 5090",O1110="Fire Tex 5120"),'CALCULO PINTURA'!P1111," ")</f>
        <v xml:space="preserve"> </v>
      </c>
      <c r="R1110" s="164" t="str">
        <f>+IF(OR(O1110="Fire Control",O1110="Fire Tex 5062",O1110="Fire Tex 5090",O1110="Fire Tex 5120"),'CALCULO PINTURA'!R1111," ")</f>
        <v xml:space="preserve"> </v>
      </c>
      <c r="S1110" s="164" t="str">
        <f>+IF(OR(O1110="Fire Control",O1110="Fire Tex 5062",O1110="Fire Tex 5090",O1110="Fire Tex 5120"),'CALCULO PINTURA'!S1111," ")</f>
        <v xml:space="preserve"> </v>
      </c>
      <c r="T1110" s="874" t="str">
        <f>+IF(OR(O1110="Blaze Shield II",O1110="Cafco 400",O1110="Cafco 300"),'CALCULO MORTERO'!N1116," ")</f>
        <v xml:space="preserve"> </v>
      </c>
      <c r="U1110" s="875" t="str">
        <f>+IF(OR(O1110="Blaze Shield II",O1110="Cafco 400",O1110="Cafco 300"),'CALCULO MORTERO'!O1116," ")</f>
        <v xml:space="preserve"> </v>
      </c>
      <c r="V1110" s="161" t="str" cm="1">
        <f t="array" ref="V1110">_xlfn.IFS(O1110="Blaze Shield II",'CALCULO MORTERO'!P1111, O1110="Cafco 400",'CALCULO MORTERO'!Q1111,O1110="Cafco 300",'CALCULO MORTERO'!S1111, AND(OR(O1110="Fire tex 5090", O1110="Fire Tex 5062", O1110="Fire Tex 5120", O1110="Fire Control"),Q1110&gt;0), "CERT.",TRUE,"-")</f>
        <v>-</v>
      </c>
    </row>
    <row r="1111" spans="1:22" x14ac:dyDescent="0.25">
      <c r="A1111" s="168"/>
      <c r="B1111" s="876"/>
      <c r="C1111" s="161"/>
      <c r="D1111" s="161"/>
      <c r="E1111" s="161"/>
      <c r="F1111" s="41"/>
      <c r="G1111" s="161"/>
      <c r="H1111" s="161"/>
      <c r="I1111" s="166"/>
      <c r="J1111" s="162"/>
      <c r="K1111" s="161"/>
      <c r="L1111" s="161"/>
      <c r="M1111" s="169"/>
      <c r="N1111" s="163" t="str">
        <f t="shared" si="21"/>
        <v/>
      </c>
      <c r="O1111" s="41"/>
      <c r="P1111" s="41"/>
      <c r="Q1111" s="161" t="str">
        <f>+IF(OR(O1111="Fire Control",O1111="Fire Tex 5062",O1111="Fire Tex 5090",O1111="Fire Tex 5120"),'CALCULO PINTURA'!P1112," ")</f>
        <v xml:space="preserve"> </v>
      </c>
      <c r="R1111" s="164" t="str">
        <f>+IF(OR(O1111="Fire Control",O1111="Fire Tex 5062",O1111="Fire Tex 5090",O1111="Fire Tex 5120"),'CALCULO PINTURA'!R1112," ")</f>
        <v xml:space="preserve"> </v>
      </c>
      <c r="S1111" s="164" t="str">
        <f>+IF(OR(O1111="Fire Control",O1111="Fire Tex 5062",O1111="Fire Tex 5090",O1111="Fire Tex 5120"),'CALCULO PINTURA'!S1112," ")</f>
        <v xml:space="preserve"> </v>
      </c>
      <c r="T1111" s="874" t="str">
        <f>+IF(OR(O1111="Blaze Shield II",O1111="Cafco 400",O1111="Cafco 300"),'CALCULO MORTERO'!N1117," ")</f>
        <v xml:space="preserve"> </v>
      </c>
      <c r="U1111" s="875" t="str">
        <f>+IF(OR(O1111="Blaze Shield II",O1111="Cafco 400",O1111="Cafco 300"),'CALCULO MORTERO'!O1117," ")</f>
        <v xml:space="preserve"> </v>
      </c>
      <c r="V1111" s="161" t="str" cm="1">
        <f t="array" ref="V1111">_xlfn.IFS(O1111="Blaze Shield II",'CALCULO MORTERO'!P1112, O1111="Cafco 400",'CALCULO MORTERO'!Q1112,O1111="Cafco 300",'CALCULO MORTERO'!S1112, AND(OR(O1111="Fire tex 5090", O1111="Fire Tex 5062", O1111="Fire Tex 5120", O1111="Fire Control"),Q1111&gt;0), "CERT.",TRUE,"-")</f>
        <v>-</v>
      </c>
    </row>
    <row r="1112" spans="1:22" x14ac:dyDescent="0.25">
      <c r="A1112" s="168"/>
      <c r="B1112" s="876"/>
      <c r="C1112" s="161"/>
      <c r="D1112" s="161"/>
      <c r="E1112" s="161"/>
      <c r="F1112" s="41"/>
      <c r="G1112" s="161"/>
      <c r="H1112" s="161"/>
      <c r="I1112" s="166"/>
      <c r="J1112" s="162"/>
      <c r="K1112" s="161"/>
      <c r="L1112" s="161"/>
      <c r="M1112" s="169"/>
      <c r="N1112" s="163" t="str">
        <f t="shared" si="21"/>
        <v/>
      </c>
      <c r="O1112" s="41"/>
      <c r="P1112" s="41"/>
      <c r="Q1112" s="161" t="str">
        <f>+IF(OR(O1112="Fire Control",O1112="Fire Tex 5062",O1112="Fire Tex 5090",O1112="Fire Tex 5120"),'CALCULO PINTURA'!P1113," ")</f>
        <v xml:space="preserve"> </v>
      </c>
      <c r="R1112" s="164" t="str">
        <f>+IF(OR(O1112="Fire Control",O1112="Fire Tex 5062",O1112="Fire Tex 5090",O1112="Fire Tex 5120"),'CALCULO PINTURA'!R1113," ")</f>
        <v xml:space="preserve"> </v>
      </c>
      <c r="S1112" s="164" t="str">
        <f>+IF(OR(O1112="Fire Control",O1112="Fire Tex 5062",O1112="Fire Tex 5090",O1112="Fire Tex 5120"),'CALCULO PINTURA'!S1113," ")</f>
        <v xml:space="preserve"> </v>
      </c>
      <c r="T1112" s="874" t="str">
        <f>+IF(OR(O1112="Blaze Shield II",O1112="Cafco 400",O1112="Cafco 300"),'CALCULO MORTERO'!N1118," ")</f>
        <v xml:space="preserve"> </v>
      </c>
      <c r="U1112" s="875" t="str">
        <f>+IF(OR(O1112="Blaze Shield II",O1112="Cafco 400",O1112="Cafco 300"),'CALCULO MORTERO'!O1118," ")</f>
        <v xml:space="preserve"> </v>
      </c>
      <c r="V1112" s="161" t="str" cm="1">
        <f t="array" ref="V1112">_xlfn.IFS(O1112="Blaze Shield II",'CALCULO MORTERO'!P1113, O1112="Cafco 400",'CALCULO MORTERO'!Q1113,O1112="Cafco 300",'CALCULO MORTERO'!S1113, AND(OR(O1112="Fire tex 5090", O1112="Fire Tex 5062", O1112="Fire Tex 5120", O1112="Fire Control"),Q1112&gt;0), "CERT.",TRUE,"-")</f>
        <v>-</v>
      </c>
    </row>
    <row r="1113" spans="1:22" x14ac:dyDescent="0.25">
      <c r="A1113" s="168"/>
      <c r="B1113" s="876"/>
      <c r="C1113" s="161"/>
      <c r="D1113" s="161"/>
      <c r="E1113" s="161"/>
      <c r="F1113" s="41"/>
      <c r="G1113" s="161"/>
      <c r="H1113" s="161"/>
      <c r="I1113" s="166"/>
      <c r="J1113" s="162"/>
      <c r="K1113" s="161"/>
      <c r="L1113" s="161"/>
      <c r="M1113" s="169"/>
      <c r="N1113" s="163" t="str">
        <f t="shared" si="21"/>
        <v/>
      </c>
      <c r="O1113" s="41"/>
      <c r="P1113" s="41"/>
      <c r="Q1113" s="161" t="str">
        <f>+IF(OR(O1113="Fire Control",O1113="Fire Tex 5062",O1113="Fire Tex 5090",O1113="Fire Tex 5120"),'CALCULO PINTURA'!P1114," ")</f>
        <v xml:space="preserve"> </v>
      </c>
      <c r="R1113" s="164" t="str">
        <f>+IF(OR(O1113="Fire Control",O1113="Fire Tex 5062",O1113="Fire Tex 5090",O1113="Fire Tex 5120"),'CALCULO PINTURA'!R1114," ")</f>
        <v xml:space="preserve"> </v>
      </c>
      <c r="S1113" s="164" t="str">
        <f>+IF(OR(O1113="Fire Control",O1113="Fire Tex 5062",O1113="Fire Tex 5090",O1113="Fire Tex 5120"),'CALCULO PINTURA'!S1114," ")</f>
        <v xml:space="preserve"> </v>
      </c>
      <c r="T1113" s="874" t="str">
        <f>+IF(OR(O1113="Blaze Shield II",O1113="Cafco 400",O1113="Cafco 300"),'CALCULO MORTERO'!N1119," ")</f>
        <v xml:space="preserve"> </v>
      </c>
      <c r="U1113" s="875" t="str">
        <f>+IF(OR(O1113="Blaze Shield II",O1113="Cafco 400",O1113="Cafco 300"),'CALCULO MORTERO'!O1119," ")</f>
        <v xml:space="preserve"> </v>
      </c>
      <c r="V1113" s="161" t="str" cm="1">
        <f t="array" ref="V1113">_xlfn.IFS(O1113="Blaze Shield II",'CALCULO MORTERO'!P1114, O1113="Cafco 400",'CALCULO MORTERO'!Q1114,O1113="Cafco 300",'CALCULO MORTERO'!S1114, AND(OR(O1113="Fire tex 5090", O1113="Fire Tex 5062", O1113="Fire Tex 5120", O1113="Fire Control"),Q1113&gt;0), "CERT.",TRUE,"-")</f>
        <v>-</v>
      </c>
    </row>
    <row r="1114" spans="1:22" x14ac:dyDescent="0.25">
      <c r="A1114" s="168"/>
      <c r="B1114" s="876"/>
      <c r="C1114" s="161"/>
      <c r="D1114" s="161"/>
      <c r="E1114" s="161"/>
      <c r="F1114" s="41"/>
      <c r="G1114" s="161"/>
      <c r="H1114" s="161"/>
      <c r="I1114" s="166"/>
      <c r="J1114" s="162"/>
      <c r="K1114" s="161"/>
      <c r="L1114" s="161"/>
      <c r="M1114" s="169"/>
      <c r="N1114" s="163" t="str">
        <f t="shared" si="21"/>
        <v/>
      </c>
      <c r="O1114" s="41"/>
      <c r="P1114" s="41"/>
      <c r="Q1114" s="161" t="str">
        <f>+IF(OR(O1114="Fire Control",O1114="Fire Tex 5062",O1114="Fire Tex 5090",O1114="Fire Tex 5120"),'CALCULO PINTURA'!P1115," ")</f>
        <v xml:space="preserve"> </v>
      </c>
      <c r="R1114" s="164" t="str">
        <f>+IF(OR(O1114="Fire Control",O1114="Fire Tex 5062",O1114="Fire Tex 5090",O1114="Fire Tex 5120"),'CALCULO PINTURA'!R1115," ")</f>
        <v xml:space="preserve"> </v>
      </c>
      <c r="S1114" s="164" t="str">
        <f>+IF(OR(O1114="Fire Control",O1114="Fire Tex 5062",O1114="Fire Tex 5090",O1114="Fire Tex 5120"),'CALCULO PINTURA'!S1115," ")</f>
        <v xml:space="preserve"> </v>
      </c>
      <c r="T1114" s="874" t="str">
        <f>+IF(OR(O1114="Blaze Shield II",O1114="Cafco 400",O1114="Cafco 300"),'CALCULO MORTERO'!N1120," ")</f>
        <v xml:space="preserve"> </v>
      </c>
      <c r="U1114" s="875" t="str">
        <f>+IF(OR(O1114="Blaze Shield II",O1114="Cafco 400",O1114="Cafco 300"),'CALCULO MORTERO'!O1120," ")</f>
        <v xml:space="preserve"> </v>
      </c>
      <c r="V1114" s="161" t="str" cm="1">
        <f t="array" ref="V1114">_xlfn.IFS(O1114="Blaze Shield II",'CALCULO MORTERO'!P1115, O1114="Cafco 400",'CALCULO MORTERO'!Q1115,O1114="Cafco 300",'CALCULO MORTERO'!S1115, AND(OR(O1114="Fire tex 5090", O1114="Fire Tex 5062", O1114="Fire Tex 5120", O1114="Fire Control"),Q1114&gt;0), "CERT.",TRUE,"-")</f>
        <v>-</v>
      </c>
    </row>
    <row r="1115" spans="1:22" x14ac:dyDescent="0.25">
      <c r="A1115" s="168"/>
      <c r="B1115" s="876"/>
      <c r="C1115" s="161"/>
      <c r="D1115" s="161"/>
      <c r="E1115" s="161"/>
      <c r="F1115" s="41"/>
      <c r="G1115" s="161"/>
      <c r="H1115" s="161"/>
      <c r="I1115" s="166"/>
      <c r="J1115" s="162"/>
      <c r="K1115" s="161"/>
      <c r="L1115" s="161"/>
      <c r="M1115" s="169"/>
      <c r="N1115" s="163" t="str">
        <f t="shared" si="21"/>
        <v/>
      </c>
      <c r="O1115" s="41"/>
      <c r="P1115" s="41"/>
      <c r="Q1115" s="161" t="str">
        <f>+IF(OR(O1115="Fire Control",O1115="Fire Tex 5062",O1115="Fire Tex 5090",O1115="Fire Tex 5120"),'CALCULO PINTURA'!P1116," ")</f>
        <v xml:space="preserve"> </v>
      </c>
      <c r="R1115" s="164" t="str">
        <f>+IF(OR(O1115="Fire Control",O1115="Fire Tex 5062",O1115="Fire Tex 5090",O1115="Fire Tex 5120"),'CALCULO PINTURA'!R1116," ")</f>
        <v xml:space="preserve"> </v>
      </c>
      <c r="S1115" s="164" t="str">
        <f>+IF(OR(O1115="Fire Control",O1115="Fire Tex 5062",O1115="Fire Tex 5090",O1115="Fire Tex 5120"),'CALCULO PINTURA'!S1116," ")</f>
        <v xml:space="preserve"> </v>
      </c>
      <c r="T1115" s="874" t="str">
        <f>+IF(OR(O1115="Blaze Shield II",O1115="Cafco 400",O1115="Cafco 300"),'CALCULO MORTERO'!N1121," ")</f>
        <v xml:space="preserve"> </v>
      </c>
      <c r="U1115" s="875" t="str">
        <f>+IF(OR(O1115="Blaze Shield II",O1115="Cafco 400",O1115="Cafco 300"),'CALCULO MORTERO'!O1121," ")</f>
        <v xml:space="preserve"> </v>
      </c>
      <c r="V1115" s="161" t="str" cm="1">
        <f t="array" ref="V1115">_xlfn.IFS(O1115="Blaze Shield II",'CALCULO MORTERO'!P1116, O1115="Cafco 400",'CALCULO MORTERO'!Q1116,O1115="Cafco 300",'CALCULO MORTERO'!S1116, AND(OR(O1115="Fire tex 5090", O1115="Fire Tex 5062", O1115="Fire Tex 5120", O1115="Fire Control"),Q1115&gt;0), "CERT.",TRUE,"-")</f>
        <v>-</v>
      </c>
    </row>
    <row r="1116" spans="1:22" x14ac:dyDescent="0.25">
      <c r="A1116" s="168"/>
      <c r="B1116" s="876"/>
      <c r="C1116" s="161"/>
      <c r="D1116" s="161"/>
      <c r="E1116" s="161"/>
      <c r="F1116" s="41"/>
      <c r="G1116" s="161"/>
      <c r="H1116" s="161"/>
      <c r="I1116" s="166"/>
      <c r="J1116" s="162"/>
      <c r="K1116" s="161"/>
      <c r="L1116" s="161"/>
      <c r="M1116" s="169"/>
      <c r="N1116" s="163" t="str">
        <f t="shared" si="21"/>
        <v/>
      </c>
      <c r="O1116" s="41"/>
      <c r="P1116" s="41"/>
      <c r="Q1116" s="161" t="str">
        <f>+IF(OR(O1116="Fire Control",O1116="Fire Tex 5062",O1116="Fire Tex 5090",O1116="Fire Tex 5120"),'CALCULO PINTURA'!P1117," ")</f>
        <v xml:space="preserve"> </v>
      </c>
      <c r="R1116" s="164" t="str">
        <f>+IF(OR(O1116="Fire Control",O1116="Fire Tex 5062",O1116="Fire Tex 5090",O1116="Fire Tex 5120"),'CALCULO PINTURA'!R1117," ")</f>
        <v xml:space="preserve"> </v>
      </c>
      <c r="S1116" s="164" t="str">
        <f>+IF(OR(O1116="Fire Control",O1116="Fire Tex 5062",O1116="Fire Tex 5090",O1116="Fire Tex 5120"),'CALCULO PINTURA'!S1117," ")</f>
        <v xml:space="preserve"> </v>
      </c>
      <c r="T1116" s="874" t="str">
        <f>+IF(OR(O1116="Blaze Shield II",O1116="Cafco 400",O1116="Cafco 300"),'CALCULO MORTERO'!N1122," ")</f>
        <v xml:space="preserve"> </v>
      </c>
      <c r="U1116" s="875" t="str">
        <f>+IF(OR(O1116="Blaze Shield II",O1116="Cafco 400",O1116="Cafco 300"),'CALCULO MORTERO'!O1122," ")</f>
        <v xml:space="preserve"> </v>
      </c>
      <c r="V1116" s="161" t="str" cm="1">
        <f t="array" ref="V1116">_xlfn.IFS(O1116="Blaze Shield II",'CALCULO MORTERO'!P1117, O1116="Cafco 400",'CALCULO MORTERO'!Q1117,O1116="Cafco 300",'CALCULO MORTERO'!S1117, AND(OR(O1116="Fire tex 5090", O1116="Fire Tex 5062", O1116="Fire Tex 5120", O1116="Fire Control"),Q1116&gt;0), "CERT.",TRUE,"-")</f>
        <v>-</v>
      </c>
    </row>
    <row r="1117" spans="1:22" x14ac:dyDescent="0.25">
      <c r="A1117" s="168"/>
      <c r="B1117" s="876"/>
      <c r="C1117" s="161"/>
      <c r="D1117" s="161"/>
      <c r="E1117" s="161"/>
      <c r="F1117" s="41"/>
      <c r="G1117" s="161"/>
      <c r="H1117" s="161"/>
      <c r="I1117" s="166"/>
      <c r="J1117" s="162"/>
      <c r="K1117" s="161"/>
      <c r="L1117" s="161"/>
      <c r="M1117" s="169"/>
      <c r="N1117" s="163" t="str">
        <f t="shared" si="21"/>
        <v/>
      </c>
      <c r="O1117" s="41"/>
      <c r="P1117" s="41"/>
      <c r="Q1117" s="161" t="str">
        <f>+IF(OR(O1117="Fire Control",O1117="Fire Tex 5062",O1117="Fire Tex 5090",O1117="Fire Tex 5120"),'CALCULO PINTURA'!P1118," ")</f>
        <v xml:space="preserve"> </v>
      </c>
      <c r="R1117" s="164" t="str">
        <f>+IF(OR(O1117="Fire Control",O1117="Fire Tex 5062",O1117="Fire Tex 5090",O1117="Fire Tex 5120"),'CALCULO PINTURA'!R1118," ")</f>
        <v xml:space="preserve"> </v>
      </c>
      <c r="S1117" s="164" t="str">
        <f>+IF(OR(O1117="Fire Control",O1117="Fire Tex 5062",O1117="Fire Tex 5090",O1117="Fire Tex 5120"),'CALCULO PINTURA'!S1118," ")</f>
        <v xml:space="preserve"> </v>
      </c>
      <c r="T1117" s="874" t="str">
        <f>+IF(OR(O1117="Blaze Shield II",O1117="Cafco 400",O1117="Cafco 300"),'CALCULO MORTERO'!N1123," ")</f>
        <v xml:space="preserve"> </v>
      </c>
      <c r="U1117" s="875" t="str">
        <f>+IF(OR(O1117="Blaze Shield II",O1117="Cafco 400",O1117="Cafco 300"),'CALCULO MORTERO'!O1123," ")</f>
        <v xml:space="preserve"> </v>
      </c>
      <c r="V1117" s="161" t="str" cm="1">
        <f t="array" ref="V1117">_xlfn.IFS(O1117="Blaze Shield II",'CALCULO MORTERO'!P1118, O1117="Cafco 400",'CALCULO MORTERO'!Q1118,O1117="Cafco 300",'CALCULO MORTERO'!S1118, AND(OR(O1117="Fire tex 5090", O1117="Fire Tex 5062", O1117="Fire Tex 5120", O1117="Fire Control"),Q1117&gt;0), "CERT.",TRUE,"-")</f>
        <v>-</v>
      </c>
    </row>
    <row r="1118" spans="1:22" x14ac:dyDescent="0.25">
      <c r="A1118" s="168"/>
      <c r="B1118" s="876"/>
      <c r="C1118" s="161"/>
      <c r="D1118" s="161"/>
      <c r="E1118" s="161"/>
      <c r="F1118" s="41"/>
      <c r="G1118" s="161"/>
      <c r="H1118" s="161"/>
      <c r="I1118" s="166"/>
      <c r="J1118" s="162"/>
      <c r="K1118" s="161"/>
      <c r="L1118" s="161"/>
      <c r="M1118" s="169"/>
      <c r="N1118" s="163" t="str">
        <f t="shared" si="21"/>
        <v/>
      </c>
      <c r="O1118" s="41"/>
      <c r="P1118" s="41"/>
      <c r="Q1118" s="161" t="str">
        <f>+IF(OR(O1118="Fire Control",O1118="Fire Tex 5062",O1118="Fire Tex 5090",O1118="Fire Tex 5120"),'CALCULO PINTURA'!P1119," ")</f>
        <v xml:space="preserve"> </v>
      </c>
      <c r="R1118" s="164" t="str">
        <f>+IF(OR(O1118="Fire Control",O1118="Fire Tex 5062",O1118="Fire Tex 5090",O1118="Fire Tex 5120"),'CALCULO PINTURA'!R1119," ")</f>
        <v xml:space="preserve"> </v>
      </c>
      <c r="S1118" s="164" t="str">
        <f>+IF(OR(O1118="Fire Control",O1118="Fire Tex 5062",O1118="Fire Tex 5090",O1118="Fire Tex 5120"),'CALCULO PINTURA'!S1119," ")</f>
        <v xml:space="preserve"> </v>
      </c>
      <c r="T1118" s="874" t="str">
        <f>+IF(OR(O1118="Blaze Shield II",O1118="Cafco 400",O1118="Cafco 300"),'CALCULO MORTERO'!N1124," ")</f>
        <v xml:space="preserve"> </v>
      </c>
      <c r="U1118" s="875" t="str">
        <f>+IF(OR(O1118="Blaze Shield II",O1118="Cafco 400",O1118="Cafco 300"),'CALCULO MORTERO'!O1124," ")</f>
        <v xml:space="preserve"> </v>
      </c>
      <c r="V1118" s="161" t="str" cm="1">
        <f t="array" ref="V1118">_xlfn.IFS(O1118="Blaze Shield II",'CALCULO MORTERO'!P1119, O1118="Cafco 400",'CALCULO MORTERO'!Q1119,O1118="Cafco 300",'CALCULO MORTERO'!S1119, AND(OR(O1118="Fire tex 5090", O1118="Fire Tex 5062", O1118="Fire Tex 5120", O1118="Fire Control"),Q1118&gt;0), "CERT.",TRUE,"-")</f>
        <v>-</v>
      </c>
    </row>
    <row r="1119" spans="1:22" x14ac:dyDescent="0.25">
      <c r="A1119" s="168"/>
      <c r="B1119" s="876"/>
      <c r="C1119" s="161"/>
      <c r="D1119" s="161"/>
      <c r="E1119" s="161"/>
      <c r="F1119" s="41"/>
      <c r="G1119" s="161"/>
      <c r="H1119" s="161"/>
      <c r="I1119" s="166"/>
      <c r="J1119" s="162"/>
      <c r="K1119" s="161"/>
      <c r="L1119" s="161"/>
      <c r="M1119" s="169"/>
      <c r="N1119" s="163" t="str">
        <f t="shared" si="21"/>
        <v/>
      </c>
      <c r="O1119" s="41"/>
      <c r="P1119" s="41"/>
      <c r="Q1119" s="161" t="str">
        <f>+IF(OR(O1119="Fire Control",O1119="Fire Tex 5062",O1119="Fire Tex 5090",O1119="Fire Tex 5120"),'CALCULO PINTURA'!P1120," ")</f>
        <v xml:space="preserve"> </v>
      </c>
      <c r="R1119" s="164" t="str">
        <f>+IF(OR(O1119="Fire Control",O1119="Fire Tex 5062",O1119="Fire Tex 5090",O1119="Fire Tex 5120"),'CALCULO PINTURA'!R1120," ")</f>
        <v xml:space="preserve"> </v>
      </c>
      <c r="S1119" s="164" t="str">
        <f>+IF(OR(O1119="Fire Control",O1119="Fire Tex 5062",O1119="Fire Tex 5090",O1119="Fire Tex 5120"),'CALCULO PINTURA'!S1120," ")</f>
        <v xml:space="preserve"> </v>
      </c>
      <c r="T1119" s="874" t="str">
        <f>+IF(OR(O1119="Blaze Shield II",O1119="Cafco 400",O1119="Cafco 300"),'CALCULO MORTERO'!N1125," ")</f>
        <v xml:space="preserve"> </v>
      </c>
      <c r="U1119" s="875" t="str">
        <f>+IF(OR(O1119="Blaze Shield II",O1119="Cafco 400",O1119="Cafco 300"),'CALCULO MORTERO'!O1125," ")</f>
        <v xml:space="preserve"> </v>
      </c>
      <c r="V1119" s="161" t="str" cm="1">
        <f t="array" ref="V1119">_xlfn.IFS(O1119="Blaze Shield II",'CALCULO MORTERO'!P1120, O1119="Cafco 400",'CALCULO MORTERO'!Q1120,O1119="Cafco 300",'CALCULO MORTERO'!S1120, AND(OR(O1119="Fire tex 5090", O1119="Fire Tex 5062", O1119="Fire Tex 5120", O1119="Fire Control"),Q1119&gt;0), "CERT.",TRUE,"-")</f>
        <v>-</v>
      </c>
    </row>
    <row r="1120" spans="1:22" x14ac:dyDescent="0.25">
      <c r="A1120" s="168"/>
      <c r="B1120" s="876"/>
      <c r="C1120" s="161"/>
      <c r="D1120" s="161"/>
      <c r="E1120" s="161"/>
      <c r="F1120" s="41"/>
      <c r="G1120" s="161"/>
      <c r="H1120" s="161"/>
      <c r="I1120" s="166"/>
      <c r="J1120" s="162"/>
      <c r="K1120" s="161"/>
      <c r="L1120" s="161"/>
      <c r="M1120" s="169"/>
      <c r="N1120" s="163" t="str">
        <f t="shared" si="21"/>
        <v/>
      </c>
      <c r="O1120" s="41"/>
      <c r="P1120" s="41"/>
      <c r="Q1120" s="161" t="str">
        <f>+IF(OR(O1120="Fire Control",O1120="Fire Tex 5062",O1120="Fire Tex 5090",O1120="Fire Tex 5120"),'CALCULO PINTURA'!P1121," ")</f>
        <v xml:space="preserve"> </v>
      </c>
      <c r="R1120" s="164" t="str">
        <f>+IF(OR(O1120="Fire Control",O1120="Fire Tex 5062",O1120="Fire Tex 5090",O1120="Fire Tex 5120"),'CALCULO PINTURA'!R1121," ")</f>
        <v xml:space="preserve"> </v>
      </c>
      <c r="S1120" s="164" t="str">
        <f>+IF(OR(O1120="Fire Control",O1120="Fire Tex 5062",O1120="Fire Tex 5090",O1120="Fire Tex 5120"),'CALCULO PINTURA'!S1121," ")</f>
        <v xml:space="preserve"> </v>
      </c>
      <c r="T1120" s="874" t="str">
        <f>+IF(OR(O1120="Blaze Shield II",O1120="Cafco 400",O1120="Cafco 300"),'CALCULO MORTERO'!N1126," ")</f>
        <v xml:space="preserve"> </v>
      </c>
      <c r="U1120" s="875" t="str">
        <f>+IF(OR(O1120="Blaze Shield II",O1120="Cafco 400",O1120="Cafco 300"),'CALCULO MORTERO'!O1126," ")</f>
        <v xml:space="preserve"> </v>
      </c>
      <c r="V1120" s="161" t="str" cm="1">
        <f t="array" ref="V1120">_xlfn.IFS(O1120="Blaze Shield II",'CALCULO MORTERO'!P1121, O1120="Cafco 400",'CALCULO MORTERO'!Q1121,O1120="Cafco 300",'CALCULO MORTERO'!S1121, AND(OR(O1120="Fire tex 5090", O1120="Fire Tex 5062", O1120="Fire Tex 5120", O1120="Fire Control"),Q1120&gt;0), "CERT.",TRUE,"-")</f>
        <v>-</v>
      </c>
    </row>
    <row r="1121" spans="1:22" x14ac:dyDescent="0.25">
      <c r="A1121" s="168"/>
      <c r="B1121" s="876"/>
      <c r="C1121" s="161"/>
      <c r="D1121" s="161"/>
      <c r="E1121" s="161"/>
      <c r="F1121" s="41"/>
      <c r="G1121" s="161"/>
      <c r="H1121" s="161"/>
      <c r="I1121" s="166"/>
      <c r="J1121" s="162"/>
      <c r="K1121" s="161"/>
      <c r="L1121" s="161"/>
      <c r="M1121" s="169"/>
      <c r="N1121" s="163" t="str">
        <f t="shared" si="21"/>
        <v/>
      </c>
      <c r="O1121" s="41"/>
      <c r="P1121" s="41"/>
      <c r="Q1121" s="161" t="str">
        <f>+IF(OR(O1121="Fire Control",O1121="Fire Tex 5062",O1121="Fire Tex 5090",O1121="Fire Tex 5120"),'CALCULO PINTURA'!P1122," ")</f>
        <v xml:space="preserve"> </v>
      </c>
      <c r="R1121" s="164" t="str">
        <f>+IF(OR(O1121="Fire Control",O1121="Fire Tex 5062",O1121="Fire Tex 5090",O1121="Fire Tex 5120"),'CALCULO PINTURA'!R1122," ")</f>
        <v xml:space="preserve"> </v>
      </c>
      <c r="S1121" s="164" t="str">
        <f>+IF(OR(O1121="Fire Control",O1121="Fire Tex 5062",O1121="Fire Tex 5090",O1121="Fire Tex 5120"),'CALCULO PINTURA'!S1122," ")</f>
        <v xml:space="preserve"> </v>
      </c>
      <c r="T1121" s="874" t="str">
        <f>+IF(OR(O1121="Blaze Shield II",O1121="Cafco 400",O1121="Cafco 300"),'CALCULO MORTERO'!N1127," ")</f>
        <v xml:space="preserve"> </v>
      </c>
      <c r="U1121" s="875" t="str">
        <f>+IF(OR(O1121="Blaze Shield II",O1121="Cafco 400",O1121="Cafco 300"),'CALCULO MORTERO'!O1127," ")</f>
        <v xml:space="preserve"> </v>
      </c>
      <c r="V1121" s="161" t="str" cm="1">
        <f t="array" ref="V1121">_xlfn.IFS(O1121="Blaze Shield II",'CALCULO MORTERO'!P1122, O1121="Cafco 400",'CALCULO MORTERO'!Q1122,O1121="Cafco 300",'CALCULO MORTERO'!S1122, AND(OR(O1121="Fire tex 5090", O1121="Fire Tex 5062", O1121="Fire Tex 5120", O1121="Fire Control"),Q1121&gt;0), "CERT.",TRUE,"-")</f>
        <v>-</v>
      </c>
    </row>
    <row r="1122" spans="1:22" x14ac:dyDescent="0.25">
      <c r="A1122" s="168"/>
      <c r="B1122" s="876"/>
      <c r="C1122" s="161"/>
      <c r="D1122" s="161"/>
      <c r="E1122" s="161"/>
      <c r="F1122" s="41"/>
      <c r="G1122" s="161"/>
      <c r="H1122" s="161"/>
      <c r="I1122" s="166"/>
      <c r="J1122" s="162"/>
      <c r="K1122" s="161"/>
      <c r="L1122" s="161"/>
      <c r="M1122" s="169"/>
      <c r="N1122" s="163" t="str">
        <f t="shared" si="21"/>
        <v/>
      </c>
      <c r="O1122" s="41"/>
      <c r="P1122" s="41"/>
      <c r="Q1122" s="161" t="str">
        <f>+IF(OR(O1122="Fire Control",O1122="Fire Tex 5062",O1122="Fire Tex 5090",O1122="Fire Tex 5120"),'CALCULO PINTURA'!P1123," ")</f>
        <v xml:space="preserve"> </v>
      </c>
      <c r="R1122" s="164" t="str">
        <f>+IF(OR(O1122="Fire Control",O1122="Fire Tex 5062",O1122="Fire Tex 5090",O1122="Fire Tex 5120"),'CALCULO PINTURA'!R1123," ")</f>
        <v xml:space="preserve"> </v>
      </c>
      <c r="S1122" s="164" t="str">
        <f>+IF(OR(O1122="Fire Control",O1122="Fire Tex 5062",O1122="Fire Tex 5090",O1122="Fire Tex 5120"),'CALCULO PINTURA'!S1123," ")</f>
        <v xml:space="preserve"> </v>
      </c>
      <c r="T1122" s="874" t="str">
        <f>+IF(OR(O1122="Blaze Shield II",O1122="Cafco 400",O1122="Cafco 300"),'CALCULO MORTERO'!N1128," ")</f>
        <v xml:space="preserve"> </v>
      </c>
      <c r="U1122" s="875" t="str">
        <f>+IF(OR(O1122="Blaze Shield II",O1122="Cafco 400",O1122="Cafco 300"),'CALCULO MORTERO'!O1128," ")</f>
        <v xml:space="preserve"> </v>
      </c>
      <c r="V1122" s="161" t="str" cm="1">
        <f t="array" ref="V1122">_xlfn.IFS(O1122="Blaze Shield II",'CALCULO MORTERO'!P1123, O1122="Cafco 400",'CALCULO MORTERO'!Q1123,O1122="Cafco 300",'CALCULO MORTERO'!S1123, AND(OR(O1122="Fire tex 5090", O1122="Fire Tex 5062", O1122="Fire Tex 5120", O1122="Fire Control"),Q1122&gt;0), "CERT.",TRUE,"-")</f>
        <v>-</v>
      </c>
    </row>
    <row r="1123" spans="1:22" x14ac:dyDescent="0.25">
      <c r="A1123" s="168"/>
      <c r="B1123" s="876"/>
      <c r="C1123" s="161"/>
      <c r="D1123" s="161"/>
      <c r="E1123" s="161"/>
      <c r="F1123" s="41"/>
      <c r="G1123" s="161"/>
      <c r="H1123" s="161"/>
      <c r="I1123" s="166"/>
      <c r="J1123" s="162"/>
      <c r="K1123" s="161"/>
      <c r="L1123" s="161"/>
      <c r="M1123" s="169"/>
      <c r="N1123" s="163" t="str">
        <f t="shared" si="21"/>
        <v/>
      </c>
      <c r="O1123" s="41"/>
      <c r="P1123" s="41"/>
      <c r="Q1123" s="161" t="str">
        <f>+IF(OR(O1123="Fire Control",O1123="Fire Tex 5062",O1123="Fire Tex 5090",O1123="Fire Tex 5120"),'CALCULO PINTURA'!P1124," ")</f>
        <v xml:space="preserve"> </v>
      </c>
      <c r="R1123" s="164" t="str">
        <f>+IF(OR(O1123="Fire Control",O1123="Fire Tex 5062",O1123="Fire Tex 5090",O1123="Fire Tex 5120"),'CALCULO PINTURA'!R1124," ")</f>
        <v xml:space="preserve"> </v>
      </c>
      <c r="S1123" s="164" t="str">
        <f>+IF(OR(O1123="Fire Control",O1123="Fire Tex 5062",O1123="Fire Tex 5090",O1123="Fire Tex 5120"),'CALCULO PINTURA'!S1124," ")</f>
        <v xml:space="preserve"> </v>
      </c>
      <c r="T1123" s="874" t="str">
        <f>+IF(OR(O1123="Blaze Shield II",O1123="Cafco 400",O1123="Cafco 300"),'CALCULO MORTERO'!N1129," ")</f>
        <v xml:space="preserve"> </v>
      </c>
      <c r="U1123" s="875" t="str">
        <f>+IF(OR(O1123="Blaze Shield II",O1123="Cafco 400",O1123="Cafco 300"),'CALCULO MORTERO'!O1129," ")</f>
        <v xml:space="preserve"> </v>
      </c>
      <c r="V1123" s="161" t="str" cm="1">
        <f t="array" ref="V1123">_xlfn.IFS(O1123="Blaze Shield II",'CALCULO MORTERO'!P1124, O1123="Cafco 400",'CALCULO MORTERO'!Q1124,O1123="Cafco 300",'CALCULO MORTERO'!S1124, AND(OR(O1123="Fire tex 5090", O1123="Fire Tex 5062", O1123="Fire Tex 5120", O1123="Fire Control"),Q1123&gt;0), "CERT.",TRUE,"-")</f>
        <v>-</v>
      </c>
    </row>
    <row r="1124" spans="1:22" x14ac:dyDescent="0.25">
      <c r="A1124" s="168"/>
      <c r="B1124" s="876"/>
      <c r="C1124" s="161"/>
      <c r="D1124" s="161"/>
      <c r="E1124" s="161"/>
      <c r="F1124" s="41"/>
      <c r="G1124" s="161"/>
      <c r="H1124" s="161"/>
      <c r="I1124" s="166"/>
      <c r="J1124" s="162"/>
      <c r="K1124" s="161"/>
      <c r="L1124" s="161"/>
      <c r="M1124" s="169"/>
      <c r="N1124" s="163" t="str">
        <f t="shared" si="21"/>
        <v/>
      </c>
      <c r="O1124" s="41"/>
      <c r="P1124" s="41"/>
      <c r="Q1124" s="161" t="str">
        <f>+IF(OR(O1124="Fire Control",O1124="Fire Tex 5062",O1124="Fire Tex 5090",O1124="Fire Tex 5120"),'CALCULO PINTURA'!P1125," ")</f>
        <v xml:space="preserve"> </v>
      </c>
      <c r="R1124" s="164" t="str">
        <f>+IF(OR(O1124="Fire Control",O1124="Fire Tex 5062",O1124="Fire Tex 5090",O1124="Fire Tex 5120"),'CALCULO PINTURA'!R1125," ")</f>
        <v xml:space="preserve"> </v>
      </c>
      <c r="S1124" s="164" t="str">
        <f>+IF(OR(O1124="Fire Control",O1124="Fire Tex 5062",O1124="Fire Tex 5090",O1124="Fire Tex 5120"),'CALCULO PINTURA'!S1125," ")</f>
        <v xml:space="preserve"> </v>
      </c>
      <c r="T1124" s="874" t="str">
        <f>+IF(OR(O1124="Blaze Shield II",O1124="Cafco 400",O1124="Cafco 300"),'CALCULO MORTERO'!N1130," ")</f>
        <v xml:space="preserve"> </v>
      </c>
      <c r="U1124" s="875" t="str">
        <f>+IF(OR(O1124="Blaze Shield II",O1124="Cafco 400",O1124="Cafco 300"),'CALCULO MORTERO'!O1130," ")</f>
        <v xml:space="preserve"> </v>
      </c>
      <c r="V1124" s="161" t="str" cm="1">
        <f t="array" ref="V1124">_xlfn.IFS(O1124="Blaze Shield II",'CALCULO MORTERO'!P1125, O1124="Cafco 400",'CALCULO MORTERO'!Q1125,O1124="Cafco 300",'CALCULO MORTERO'!S1125, AND(OR(O1124="Fire tex 5090", O1124="Fire Tex 5062", O1124="Fire Tex 5120", O1124="Fire Control"),Q1124&gt;0), "CERT.",TRUE,"-")</f>
        <v>-</v>
      </c>
    </row>
    <row r="1125" spans="1:22" x14ac:dyDescent="0.25">
      <c r="A1125" s="168"/>
      <c r="B1125" s="876"/>
      <c r="C1125" s="161"/>
      <c r="D1125" s="161"/>
      <c r="E1125" s="161"/>
      <c r="F1125" s="41"/>
      <c r="G1125" s="161"/>
      <c r="H1125" s="161"/>
      <c r="I1125" s="166"/>
      <c r="J1125" s="162"/>
      <c r="K1125" s="161"/>
      <c r="L1125" s="161"/>
      <c r="M1125" s="169"/>
      <c r="N1125" s="163" t="str">
        <f t="shared" si="21"/>
        <v/>
      </c>
      <c r="O1125" s="41"/>
      <c r="P1125" s="41"/>
      <c r="Q1125" s="161" t="str">
        <f>+IF(OR(O1125="Fire Control",O1125="Fire Tex 5062",O1125="Fire Tex 5090",O1125="Fire Tex 5120"),'CALCULO PINTURA'!P1126," ")</f>
        <v xml:space="preserve"> </v>
      </c>
      <c r="R1125" s="164" t="str">
        <f>+IF(OR(O1125="Fire Control",O1125="Fire Tex 5062",O1125="Fire Tex 5090",O1125="Fire Tex 5120"),'CALCULO PINTURA'!R1126," ")</f>
        <v xml:space="preserve"> </v>
      </c>
      <c r="S1125" s="164" t="str">
        <f>+IF(OR(O1125="Fire Control",O1125="Fire Tex 5062",O1125="Fire Tex 5090",O1125="Fire Tex 5120"),'CALCULO PINTURA'!S1126," ")</f>
        <v xml:space="preserve"> </v>
      </c>
      <c r="T1125" s="874" t="str">
        <f>+IF(OR(O1125="Blaze Shield II",O1125="Cafco 400",O1125="Cafco 300"),'CALCULO MORTERO'!N1131," ")</f>
        <v xml:space="preserve"> </v>
      </c>
      <c r="U1125" s="875" t="str">
        <f>+IF(OR(O1125="Blaze Shield II",O1125="Cafco 400",O1125="Cafco 300"),'CALCULO MORTERO'!O1131," ")</f>
        <v xml:space="preserve"> </v>
      </c>
      <c r="V1125" s="161" t="str" cm="1">
        <f t="array" ref="V1125">_xlfn.IFS(O1125="Blaze Shield II",'CALCULO MORTERO'!P1126, O1125="Cafco 400",'CALCULO MORTERO'!Q1126,O1125="Cafco 300",'CALCULO MORTERO'!S1126, AND(OR(O1125="Fire tex 5090", O1125="Fire Tex 5062", O1125="Fire Tex 5120", O1125="Fire Control"),Q1125&gt;0), "CERT.",TRUE,"-")</f>
        <v>-</v>
      </c>
    </row>
    <row r="1126" spans="1:22" x14ac:dyDescent="0.25">
      <c r="A1126" s="168"/>
      <c r="B1126" s="876"/>
      <c r="C1126" s="161"/>
      <c r="D1126" s="161"/>
      <c r="E1126" s="161"/>
      <c r="F1126" s="41"/>
      <c r="G1126" s="161"/>
      <c r="H1126" s="161"/>
      <c r="I1126" s="166"/>
      <c r="J1126" s="162"/>
      <c r="K1126" s="161"/>
      <c r="L1126" s="161"/>
      <c r="M1126" s="169"/>
      <c r="N1126" s="163" t="str">
        <f t="shared" si="21"/>
        <v/>
      </c>
      <c r="O1126" s="41"/>
      <c r="P1126" s="41"/>
      <c r="Q1126" s="161" t="str">
        <f>+IF(OR(O1126="Fire Control",O1126="Fire Tex 5062",O1126="Fire Tex 5090",O1126="Fire Tex 5120"),'CALCULO PINTURA'!P1127," ")</f>
        <v xml:space="preserve"> </v>
      </c>
      <c r="R1126" s="164" t="str">
        <f>+IF(OR(O1126="Fire Control",O1126="Fire Tex 5062",O1126="Fire Tex 5090",O1126="Fire Tex 5120"),'CALCULO PINTURA'!R1127," ")</f>
        <v xml:space="preserve"> </v>
      </c>
      <c r="S1126" s="164" t="str">
        <f>+IF(OR(O1126="Fire Control",O1126="Fire Tex 5062",O1126="Fire Tex 5090",O1126="Fire Tex 5120"),'CALCULO PINTURA'!S1127," ")</f>
        <v xml:space="preserve"> </v>
      </c>
      <c r="T1126" s="874" t="str">
        <f>+IF(OR(O1126="Blaze Shield II",O1126="Cafco 400",O1126="Cafco 300"),'CALCULO MORTERO'!N1132," ")</f>
        <v xml:space="preserve"> </v>
      </c>
      <c r="U1126" s="875" t="str">
        <f>+IF(OR(O1126="Blaze Shield II",O1126="Cafco 400",O1126="Cafco 300"),'CALCULO MORTERO'!O1132," ")</f>
        <v xml:space="preserve"> </v>
      </c>
      <c r="V1126" s="161" t="str" cm="1">
        <f t="array" ref="V1126">_xlfn.IFS(O1126="Blaze Shield II",'CALCULO MORTERO'!P1127, O1126="Cafco 400",'CALCULO MORTERO'!Q1127,O1126="Cafco 300",'CALCULO MORTERO'!S1127, AND(OR(O1126="Fire tex 5090", O1126="Fire Tex 5062", O1126="Fire Tex 5120", O1126="Fire Control"),Q1126&gt;0), "CERT.",TRUE,"-")</f>
        <v>-</v>
      </c>
    </row>
    <row r="1127" spans="1:22" x14ac:dyDescent="0.25">
      <c r="A1127" s="168"/>
      <c r="B1127" s="876"/>
      <c r="C1127" s="161"/>
      <c r="D1127" s="161"/>
      <c r="E1127" s="161"/>
      <c r="F1127" s="41"/>
      <c r="G1127" s="161"/>
      <c r="H1127" s="161"/>
      <c r="I1127" s="166"/>
      <c r="J1127" s="162"/>
      <c r="K1127" s="161"/>
      <c r="L1127" s="161"/>
      <c r="M1127" s="169"/>
      <c r="N1127" s="163" t="str">
        <f t="shared" si="21"/>
        <v/>
      </c>
      <c r="O1127" s="41"/>
      <c r="P1127" s="41"/>
      <c r="Q1127" s="161" t="str">
        <f>+IF(OR(O1127="Fire Control",O1127="Fire Tex 5062",O1127="Fire Tex 5090",O1127="Fire Tex 5120"),'CALCULO PINTURA'!P1128," ")</f>
        <v xml:space="preserve"> </v>
      </c>
      <c r="R1127" s="164" t="str">
        <f>+IF(OR(O1127="Fire Control",O1127="Fire Tex 5062",O1127="Fire Tex 5090",O1127="Fire Tex 5120"),'CALCULO PINTURA'!R1128," ")</f>
        <v xml:space="preserve"> </v>
      </c>
      <c r="S1127" s="164" t="str">
        <f>+IF(OR(O1127="Fire Control",O1127="Fire Tex 5062",O1127="Fire Tex 5090",O1127="Fire Tex 5120"),'CALCULO PINTURA'!S1128," ")</f>
        <v xml:space="preserve"> </v>
      </c>
      <c r="T1127" s="874" t="str">
        <f>+IF(OR(O1127="Blaze Shield II",O1127="Cafco 400",O1127="Cafco 300"),'CALCULO MORTERO'!N1133," ")</f>
        <v xml:space="preserve"> </v>
      </c>
      <c r="U1127" s="875" t="str">
        <f>+IF(OR(O1127="Blaze Shield II",O1127="Cafco 400",O1127="Cafco 300"),'CALCULO MORTERO'!O1133," ")</f>
        <v xml:space="preserve"> </v>
      </c>
      <c r="V1127" s="161" t="str" cm="1">
        <f t="array" ref="V1127">_xlfn.IFS(O1127="Blaze Shield II",'CALCULO MORTERO'!P1128, O1127="Cafco 400",'CALCULO MORTERO'!Q1128,O1127="Cafco 300",'CALCULO MORTERO'!S1128, AND(OR(O1127="Fire tex 5090", O1127="Fire Tex 5062", O1127="Fire Tex 5120", O1127="Fire Control"),Q1127&gt;0), "CERT.",TRUE,"-")</f>
        <v>-</v>
      </c>
    </row>
    <row r="1128" spans="1:22" x14ac:dyDescent="0.25">
      <c r="A1128" s="168"/>
      <c r="B1128" s="876"/>
      <c r="C1128" s="161"/>
      <c r="D1128" s="161"/>
      <c r="E1128" s="161"/>
      <c r="F1128" s="41"/>
      <c r="G1128" s="161"/>
      <c r="H1128" s="161"/>
      <c r="I1128" s="166"/>
      <c r="J1128" s="162"/>
      <c r="K1128" s="161"/>
      <c r="L1128" s="161"/>
      <c r="M1128" s="169"/>
      <c r="N1128" s="163" t="str">
        <f t="shared" si="21"/>
        <v/>
      </c>
      <c r="O1128" s="41"/>
      <c r="P1128" s="41"/>
      <c r="Q1128" s="161" t="str">
        <f>+IF(OR(O1128="Fire Control",O1128="Fire Tex 5062",O1128="Fire Tex 5090",O1128="Fire Tex 5120"),'CALCULO PINTURA'!P1129," ")</f>
        <v xml:space="preserve"> </v>
      </c>
      <c r="R1128" s="164" t="str">
        <f>+IF(OR(O1128="Fire Control",O1128="Fire Tex 5062",O1128="Fire Tex 5090",O1128="Fire Tex 5120"),'CALCULO PINTURA'!R1129," ")</f>
        <v xml:space="preserve"> </v>
      </c>
      <c r="S1128" s="164" t="str">
        <f>+IF(OR(O1128="Fire Control",O1128="Fire Tex 5062",O1128="Fire Tex 5090",O1128="Fire Tex 5120"),'CALCULO PINTURA'!S1129," ")</f>
        <v xml:space="preserve"> </v>
      </c>
      <c r="T1128" s="874" t="str">
        <f>+IF(OR(O1128="Blaze Shield II",O1128="Cafco 400",O1128="Cafco 300"),'CALCULO MORTERO'!N1134," ")</f>
        <v xml:space="preserve"> </v>
      </c>
      <c r="U1128" s="875" t="str">
        <f>+IF(OR(O1128="Blaze Shield II",O1128="Cafco 400",O1128="Cafco 300"),'CALCULO MORTERO'!O1134," ")</f>
        <v xml:space="preserve"> </v>
      </c>
      <c r="V1128" s="161" t="str" cm="1">
        <f t="array" ref="V1128">_xlfn.IFS(O1128="Blaze Shield II",'CALCULO MORTERO'!P1129, O1128="Cafco 400",'CALCULO MORTERO'!Q1129,O1128="Cafco 300",'CALCULO MORTERO'!S1129, AND(OR(O1128="Fire tex 5090", O1128="Fire Tex 5062", O1128="Fire Tex 5120", O1128="Fire Control"),Q1128&gt;0), "CERT.",TRUE,"-")</f>
        <v>-</v>
      </c>
    </row>
    <row r="1129" spans="1:22" x14ac:dyDescent="0.25">
      <c r="A1129" s="168"/>
      <c r="B1129" s="876"/>
      <c r="C1129" s="161"/>
      <c r="D1129" s="161"/>
      <c r="E1129" s="161"/>
      <c r="F1129" s="41"/>
      <c r="G1129" s="161"/>
      <c r="H1129" s="161"/>
      <c r="I1129" s="166"/>
      <c r="J1129" s="162"/>
      <c r="K1129" s="161"/>
      <c r="L1129" s="161"/>
      <c r="M1129" s="169"/>
      <c r="N1129" s="163" t="str">
        <f t="shared" si="21"/>
        <v/>
      </c>
      <c r="O1129" s="41"/>
      <c r="P1129" s="41"/>
      <c r="Q1129" s="161" t="str">
        <f>+IF(OR(O1129="Fire Control",O1129="Fire Tex 5062",O1129="Fire Tex 5090",O1129="Fire Tex 5120"),'CALCULO PINTURA'!P1130," ")</f>
        <v xml:space="preserve"> </v>
      </c>
      <c r="R1129" s="164" t="str">
        <f>+IF(OR(O1129="Fire Control",O1129="Fire Tex 5062",O1129="Fire Tex 5090",O1129="Fire Tex 5120"),'CALCULO PINTURA'!R1130," ")</f>
        <v xml:space="preserve"> </v>
      </c>
      <c r="S1129" s="164" t="str">
        <f>+IF(OR(O1129="Fire Control",O1129="Fire Tex 5062",O1129="Fire Tex 5090",O1129="Fire Tex 5120"),'CALCULO PINTURA'!S1130," ")</f>
        <v xml:space="preserve"> </v>
      </c>
      <c r="T1129" s="874" t="str">
        <f>+IF(OR(O1129="Blaze Shield II",O1129="Cafco 400",O1129="Cafco 300"),'CALCULO MORTERO'!N1135," ")</f>
        <v xml:space="preserve"> </v>
      </c>
      <c r="U1129" s="875" t="str">
        <f>+IF(OR(O1129="Blaze Shield II",O1129="Cafco 400",O1129="Cafco 300"),'CALCULO MORTERO'!O1135," ")</f>
        <v xml:space="preserve"> </v>
      </c>
      <c r="V1129" s="161" t="str" cm="1">
        <f t="array" ref="V1129">_xlfn.IFS(O1129="Blaze Shield II",'CALCULO MORTERO'!P1130, O1129="Cafco 400",'CALCULO MORTERO'!Q1130,O1129="Cafco 300",'CALCULO MORTERO'!S1130, AND(OR(O1129="Fire tex 5090", O1129="Fire Tex 5062", O1129="Fire Tex 5120", O1129="Fire Control"),Q1129&gt;0), "CERT.",TRUE,"-")</f>
        <v>-</v>
      </c>
    </row>
    <row r="1130" spans="1:22" x14ac:dyDescent="0.25">
      <c r="A1130" s="168"/>
      <c r="B1130" s="876"/>
      <c r="C1130" s="161"/>
      <c r="D1130" s="161"/>
      <c r="E1130" s="161"/>
      <c r="F1130" s="41"/>
      <c r="G1130" s="161"/>
      <c r="H1130" s="161"/>
      <c r="I1130" s="166"/>
      <c r="J1130" s="162"/>
      <c r="K1130" s="161"/>
      <c r="L1130" s="161"/>
      <c r="M1130" s="169"/>
      <c r="N1130" s="163" t="str">
        <f t="shared" si="21"/>
        <v/>
      </c>
      <c r="O1130" s="41"/>
      <c r="P1130" s="41"/>
      <c r="Q1130" s="161" t="str">
        <f>+IF(OR(O1130="Fire Control",O1130="Fire Tex 5062",O1130="Fire Tex 5090",O1130="Fire Tex 5120"),'CALCULO PINTURA'!P1131," ")</f>
        <v xml:space="preserve"> </v>
      </c>
      <c r="R1130" s="164" t="str">
        <f>+IF(OR(O1130="Fire Control",O1130="Fire Tex 5062",O1130="Fire Tex 5090",O1130="Fire Tex 5120"),'CALCULO PINTURA'!R1131," ")</f>
        <v xml:space="preserve"> </v>
      </c>
      <c r="S1130" s="164" t="str">
        <f>+IF(OR(O1130="Fire Control",O1130="Fire Tex 5062",O1130="Fire Tex 5090",O1130="Fire Tex 5120"),'CALCULO PINTURA'!S1131," ")</f>
        <v xml:space="preserve"> </v>
      </c>
      <c r="T1130" s="874" t="str">
        <f>+IF(OR(O1130="Blaze Shield II",O1130="Cafco 400",O1130="Cafco 300"),'CALCULO MORTERO'!N1136," ")</f>
        <v xml:space="preserve"> </v>
      </c>
      <c r="U1130" s="875" t="str">
        <f>+IF(OR(O1130="Blaze Shield II",O1130="Cafco 400",O1130="Cafco 300"),'CALCULO MORTERO'!O1136," ")</f>
        <v xml:space="preserve"> </v>
      </c>
      <c r="V1130" s="161" t="str" cm="1">
        <f t="array" ref="V1130">_xlfn.IFS(O1130="Blaze Shield II",'CALCULO MORTERO'!P1131, O1130="Cafco 400",'CALCULO MORTERO'!Q1131,O1130="Cafco 300",'CALCULO MORTERO'!S1131, AND(OR(O1130="Fire tex 5090", O1130="Fire Tex 5062", O1130="Fire Tex 5120", O1130="Fire Control"),Q1130&gt;0), "CERT.",TRUE,"-")</f>
        <v>-</v>
      </c>
    </row>
    <row r="1131" spans="1:22" x14ac:dyDescent="0.25">
      <c r="A1131" s="168"/>
      <c r="B1131" s="876"/>
      <c r="C1131" s="161"/>
      <c r="D1131" s="161"/>
      <c r="E1131" s="161"/>
      <c r="F1131" s="41"/>
      <c r="G1131" s="161"/>
      <c r="H1131" s="161"/>
      <c r="I1131" s="166"/>
      <c r="J1131" s="162"/>
      <c r="K1131" s="161"/>
      <c r="L1131" s="161"/>
      <c r="M1131" s="169"/>
      <c r="N1131" s="163" t="str">
        <f t="shared" si="21"/>
        <v/>
      </c>
      <c r="O1131" s="41"/>
      <c r="P1131" s="41"/>
      <c r="Q1131" s="161" t="str">
        <f>+IF(OR(O1131="Fire Control",O1131="Fire Tex 5062",O1131="Fire Tex 5090",O1131="Fire Tex 5120"),'CALCULO PINTURA'!P1132," ")</f>
        <v xml:space="preserve"> </v>
      </c>
      <c r="R1131" s="164" t="str">
        <f>+IF(OR(O1131="Fire Control",O1131="Fire Tex 5062",O1131="Fire Tex 5090",O1131="Fire Tex 5120"),'CALCULO PINTURA'!R1132," ")</f>
        <v xml:space="preserve"> </v>
      </c>
      <c r="S1131" s="164" t="str">
        <f>+IF(OR(O1131="Fire Control",O1131="Fire Tex 5062",O1131="Fire Tex 5090",O1131="Fire Tex 5120"),'CALCULO PINTURA'!S1132," ")</f>
        <v xml:space="preserve"> </v>
      </c>
      <c r="T1131" s="874" t="str">
        <f>+IF(OR(O1131="Blaze Shield II",O1131="Cafco 400",O1131="Cafco 300"),'CALCULO MORTERO'!N1137," ")</f>
        <v xml:space="preserve"> </v>
      </c>
      <c r="U1131" s="875" t="str">
        <f>+IF(OR(O1131="Blaze Shield II",O1131="Cafco 400",O1131="Cafco 300"),'CALCULO MORTERO'!O1137," ")</f>
        <v xml:space="preserve"> </v>
      </c>
      <c r="V1131" s="161" t="str" cm="1">
        <f t="array" ref="V1131">_xlfn.IFS(O1131="Blaze Shield II",'CALCULO MORTERO'!P1132, O1131="Cafco 400",'CALCULO MORTERO'!Q1132,O1131="Cafco 300",'CALCULO MORTERO'!S1132, AND(OR(O1131="Fire tex 5090", O1131="Fire Tex 5062", O1131="Fire Tex 5120", O1131="Fire Control"),Q1131&gt;0), "CERT.",TRUE,"-")</f>
        <v>-</v>
      </c>
    </row>
    <row r="1132" spans="1:22" x14ac:dyDescent="0.25">
      <c r="A1132" s="168"/>
      <c r="B1132" s="876"/>
      <c r="C1132" s="161"/>
      <c r="D1132" s="161"/>
      <c r="E1132" s="161"/>
      <c r="F1132" s="41"/>
      <c r="G1132" s="161"/>
      <c r="H1132" s="161"/>
      <c r="I1132" s="166"/>
      <c r="J1132" s="162"/>
      <c r="K1132" s="161"/>
      <c r="L1132" s="161"/>
      <c r="M1132" s="169"/>
      <c r="N1132" s="163" t="str">
        <f t="shared" si="21"/>
        <v/>
      </c>
      <c r="O1132" s="41"/>
      <c r="P1132" s="41"/>
      <c r="Q1132" s="161" t="str">
        <f>+IF(OR(O1132="Fire Control",O1132="Fire Tex 5062",O1132="Fire Tex 5090",O1132="Fire Tex 5120"),'CALCULO PINTURA'!P1133," ")</f>
        <v xml:space="preserve"> </v>
      </c>
      <c r="R1132" s="164" t="str">
        <f>+IF(OR(O1132="Fire Control",O1132="Fire Tex 5062",O1132="Fire Tex 5090",O1132="Fire Tex 5120"),'CALCULO PINTURA'!R1133," ")</f>
        <v xml:space="preserve"> </v>
      </c>
      <c r="S1132" s="164" t="str">
        <f>+IF(OR(O1132="Fire Control",O1132="Fire Tex 5062",O1132="Fire Tex 5090",O1132="Fire Tex 5120"),'CALCULO PINTURA'!S1133," ")</f>
        <v xml:space="preserve"> </v>
      </c>
      <c r="T1132" s="874" t="str">
        <f>+IF(OR(O1132="Blaze Shield II",O1132="Cafco 400",O1132="Cafco 300"),'CALCULO MORTERO'!N1138," ")</f>
        <v xml:space="preserve"> </v>
      </c>
      <c r="U1132" s="875" t="str">
        <f>+IF(OR(O1132="Blaze Shield II",O1132="Cafco 400",O1132="Cafco 300"),'CALCULO MORTERO'!O1138," ")</f>
        <v xml:space="preserve"> </v>
      </c>
      <c r="V1132" s="161" t="str" cm="1">
        <f t="array" ref="V1132">_xlfn.IFS(O1132="Blaze Shield II",'CALCULO MORTERO'!P1133, O1132="Cafco 400",'CALCULO MORTERO'!Q1133,O1132="Cafco 300",'CALCULO MORTERO'!S1133, AND(OR(O1132="Fire tex 5090", O1132="Fire Tex 5062", O1132="Fire Tex 5120", O1132="Fire Control"),Q1132&gt;0), "CERT.",TRUE,"-")</f>
        <v>-</v>
      </c>
    </row>
    <row r="1133" spans="1:22" x14ac:dyDescent="0.25">
      <c r="A1133" s="168"/>
      <c r="B1133" s="876"/>
      <c r="C1133" s="161"/>
      <c r="D1133" s="161"/>
      <c r="E1133" s="161"/>
      <c r="F1133" s="161"/>
      <c r="G1133" s="161"/>
      <c r="H1133" s="161"/>
      <c r="I1133" s="166"/>
      <c r="J1133" s="162"/>
      <c r="K1133" s="161"/>
      <c r="L1133" s="161"/>
      <c r="M1133" s="163"/>
      <c r="N1133" s="163" t="str">
        <f t="shared" si="21"/>
        <v/>
      </c>
      <c r="O1133" s="41"/>
      <c r="P1133" s="41"/>
      <c r="Q1133" s="161" t="str">
        <f>+IF(OR(O1133="Fire Control",O1133="Fire Tex 5062",O1133="Fire Tex 5090",O1133="Fire Tex 5120"),'CALCULO PINTURA'!P1134," ")</f>
        <v xml:space="preserve"> </v>
      </c>
      <c r="R1133" s="164" t="str">
        <f>+IF(OR(O1133="Fire Control",O1133="Fire Tex 5062",O1133="Fire Tex 5090",O1133="Fire Tex 5120"),'CALCULO PINTURA'!R1134," ")</f>
        <v xml:space="preserve"> </v>
      </c>
      <c r="S1133" s="164" t="str">
        <f>+IF(OR(O1133="Fire Control",O1133="Fire Tex 5062",O1133="Fire Tex 5090",O1133="Fire Tex 5120"),'CALCULO PINTURA'!S1134," ")</f>
        <v xml:space="preserve"> </v>
      </c>
      <c r="T1133" s="874" t="str">
        <f>+IF(OR(O1133="Blaze Shield II",O1133="Cafco 400",O1133="Cafco 300"),'CALCULO MORTERO'!N1139," ")</f>
        <v xml:space="preserve"> </v>
      </c>
      <c r="U1133" s="875" t="str">
        <f>+IF(OR(O1133="Blaze Shield II",O1133="Cafco 400",O1133="Cafco 300"),'CALCULO MORTERO'!O1139," ")</f>
        <v xml:space="preserve"> </v>
      </c>
      <c r="V1133" s="161" t="str" cm="1">
        <f t="array" ref="V1133">_xlfn.IFS(O1133="Blaze Shield II",'CALCULO MORTERO'!P1134, O1133="Cafco 400",'CALCULO MORTERO'!Q1134,O1133="Cafco 300",'CALCULO MORTERO'!S1134, AND(OR(O1133="Fire tex 5090", O1133="Fire Tex 5062", O1133="Fire Tex 5120", O1133="Fire Control"),Q1133&gt;0), "CERT.",TRUE,"-")</f>
        <v>-</v>
      </c>
    </row>
    <row r="1134" spans="1:22" x14ac:dyDescent="0.25">
      <c r="A1134" s="168"/>
      <c r="B1134" s="876"/>
      <c r="C1134" s="161"/>
      <c r="D1134" s="161"/>
      <c r="E1134" s="161"/>
      <c r="F1134" s="161"/>
      <c r="G1134" s="161"/>
      <c r="H1134" s="161"/>
      <c r="I1134" s="166"/>
      <c r="J1134" s="162"/>
      <c r="K1134" s="161"/>
      <c r="L1134" s="161"/>
      <c r="M1134" s="163"/>
      <c r="N1134" s="163" t="str">
        <f t="shared" si="21"/>
        <v/>
      </c>
      <c r="O1134" s="41"/>
      <c r="P1134" s="41"/>
      <c r="Q1134" s="161" t="str">
        <f>+IF(OR(O1134="Fire Control",O1134="Fire Tex 5062",O1134="Fire Tex 5090",O1134="Fire Tex 5120"),'CALCULO PINTURA'!P1135," ")</f>
        <v xml:space="preserve"> </v>
      </c>
      <c r="R1134" s="164" t="str">
        <f>+IF(OR(O1134="Fire Control",O1134="Fire Tex 5062",O1134="Fire Tex 5090",O1134="Fire Tex 5120"),'CALCULO PINTURA'!R1135," ")</f>
        <v xml:space="preserve"> </v>
      </c>
      <c r="S1134" s="164" t="str">
        <f>+IF(OR(O1134="Fire Control",O1134="Fire Tex 5062",O1134="Fire Tex 5090",O1134="Fire Tex 5120"),'CALCULO PINTURA'!S1135," ")</f>
        <v xml:space="preserve"> </v>
      </c>
      <c r="T1134" s="874" t="str">
        <f>+IF(OR(O1134="Blaze Shield II",O1134="Cafco 400",O1134="Cafco 300"),'CALCULO MORTERO'!N1140," ")</f>
        <v xml:space="preserve"> </v>
      </c>
      <c r="U1134" s="875" t="str">
        <f>+IF(OR(O1134="Blaze Shield II",O1134="Cafco 400",O1134="Cafco 300"),'CALCULO MORTERO'!O1140," ")</f>
        <v xml:space="preserve"> </v>
      </c>
      <c r="V1134" s="161" t="str" cm="1">
        <f t="array" ref="V1134">_xlfn.IFS(O1134="Blaze Shield II",'CALCULO MORTERO'!P1135, O1134="Cafco 400",'CALCULO MORTERO'!Q1135,O1134="Cafco 300",'CALCULO MORTERO'!S1135, AND(OR(O1134="Fire tex 5090", O1134="Fire Tex 5062", O1134="Fire Tex 5120", O1134="Fire Control"),Q1134&gt;0), "CERT.",TRUE,"-")</f>
        <v>-</v>
      </c>
    </row>
    <row r="1135" spans="1:22" x14ac:dyDescent="0.25">
      <c r="A1135" s="168"/>
      <c r="B1135" s="876"/>
      <c r="C1135" s="161"/>
      <c r="D1135" s="161"/>
      <c r="E1135" s="161"/>
      <c r="F1135" s="41"/>
      <c r="G1135" s="161"/>
      <c r="H1135" s="161"/>
      <c r="I1135" s="166"/>
      <c r="J1135" s="162"/>
      <c r="K1135" s="161"/>
      <c r="L1135" s="161"/>
      <c r="M1135" s="169"/>
      <c r="N1135" s="163" t="str">
        <f t="shared" si="21"/>
        <v/>
      </c>
      <c r="O1135" s="41"/>
      <c r="P1135" s="41"/>
      <c r="Q1135" s="161" t="str">
        <f>+IF(OR(O1135="Fire Control",O1135="Fire Tex 5062",O1135="Fire Tex 5090",O1135="Fire Tex 5120"),'CALCULO PINTURA'!P1136," ")</f>
        <v xml:space="preserve"> </v>
      </c>
      <c r="R1135" s="164" t="str">
        <f>+IF(OR(O1135="Fire Control",O1135="Fire Tex 5062",O1135="Fire Tex 5090",O1135="Fire Tex 5120"),'CALCULO PINTURA'!R1136," ")</f>
        <v xml:space="preserve"> </v>
      </c>
      <c r="S1135" s="164" t="str">
        <f>+IF(OR(O1135="Fire Control",O1135="Fire Tex 5062",O1135="Fire Tex 5090",O1135="Fire Tex 5120"),'CALCULO PINTURA'!S1136," ")</f>
        <v xml:space="preserve"> </v>
      </c>
      <c r="T1135" s="874" t="str">
        <f>+IF(OR(O1135="Blaze Shield II",O1135="Cafco 400",O1135="Cafco 300"),'CALCULO MORTERO'!N1141," ")</f>
        <v xml:space="preserve"> </v>
      </c>
      <c r="U1135" s="875" t="str">
        <f>+IF(OR(O1135="Blaze Shield II",O1135="Cafco 400",O1135="Cafco 300"),'CALCULO MORTERO'!O1141," ")</f>
        <v xml:space="preserve"> </v>
      </c>
      <c r="V1135" s="161" t="str" cm="1">
        <f t="array" ref="V1135">_xlfn.IFS(O1135="Blaze Shield II",'CALCULO MORTERO'!P1136, O1135="Cafco 400",'CALCULO MORTERO'!Q1136,O1135="Cafco 300",'CALCULO MORTERO'!S1136, AND(OR(O1135="Fire tex 5090", O1135="Fire Tex 5062", O1135="Fire Tex 5120", O1135="Fire Control"),Q1135&gt;0), "CERT.",TRUE,"-")</f>
        <v>-</v>
      </c>
    </row>
    <row r="1136" spans="1:22" x14ac:dyDescent="0.25">
      <c r="A1136" s="168"/>
      <c r="B1136" s="876"/>
      <c r="C1136" s="161"/>
      <c r="D1136" s="161"/>
      <c r="E1136" s="161"/>
      <c r="F1136" s="161"/>
      <c r="G1136" s="161"/>
      <c r="H1136" s="161"/>
      <c r="I1136" s="166"/>
      <c r="J1136" s="162"/>
      <c r="K1136" s="161"/>
      <c r="L1136" s="161"/>
      <c r="M1136" s="163"/>
      <c r="N1136" s="163" t="str">
        <f t="shared" si="21"/>
        <v/>
      </c>
      <c r="O1136" s="41"/>
      <c r="P1136" s="41"/>
      <c r="Q1136" s="161" t="str">
        <f>+IF(OR(O1136="Fire Control",O1136="Fire Tex 5062",O1136="Fire Tex 5090",O1136="Fire Tex 5120"),'CALCULO PINTURA'!P1137," ")</f>
        <v xml:space="preserve"> </v>
      </c>
      <c r="R1136" s="164" t="str">
        <f>+IF(OR(O1136="Fire Control",O1136="Fire Tex 5062",O1136="Fire Tex 5090",O1136="Fire Tex 5120"),'CALCULO PINTURA'!R1137," ")</f>
        <v xml:space="preserve"> </v>
      </c>
      <c r="S1136" s="164" t="str">
        <f>+IF(OR(O1136="Fire Control",O1136="Fire Tex 5062",O1136="Fire Tex 5090",O1136="Fire Tex 5120"),'CALCULO PINTURA'!S1137," ")</f>
        <v xml:space="preserve"> </v>
      </c>
      <c r="T1136" s="874" t="str">
        <f>+IF(OR(O1136="Blaze Shield II",O1136="Cafco 400",O1136="Cafco 300"),'CALCULO MORTERO'!N1142," ")</f>
        <v xml:space="preserve"> </v>
      </c>
      <c r="U1136" s="875" t="str">
        <f>+IF(OR(O1136="Blaze Shield II",O1136="Cafco 400",O1136="Cafco 300"),'CALCULO MORTERO'!O1142," ")</f>
        <v xml:space="preserve"> </v>
      </c>
      <c r="V1136" s="161" t="str" cm="1">
        <f t="array" ref="V1136">_xlfn.IFS(O1136="Blaze Shield II",'CALCULO MORTERO'!P1137, O1136="Cafco 400",'CALCULO MORTERO'!Q1137,O1136="Cafco 300",'CALCULO MORTERO'!S1137, AND(OR(O1136="Fire tex 5090", O1136="Fire Tex 5062", O1136="Fire Tex 5120", O1136="Fire Control"),Q1136&gt;0), "CERT.",TRUE,"-")</f>
        <v>-</v>
      </c>
    </row>
    <row r="1137" spans="1:22" x14ac:dyDescent="0.25">
      <c r="A1137" s="168"/>
      <c r="B1137" s="876"/>
      <c r="C1137" s="161"/>
      <c r="D1137" s="161"/>
      <c r="E1137" s="161"/>
      <c r="F1137" s="41"/>
      <c r="G1137" s="161"/>
      <c r="H1137" s="161"/>
      <c r="I1137" s="166"/>
      <c r="J1137" s="162"/>
      <c r="K1137" s="161"/>
      <c r="L1137" s="161"/>
      <c r="M1137" s="169"/>
      <c r="N1137" s="163" t="str">
        <f t="shared" si="21"/>
        <v/>
      </c>
      <c r="O1137" s="41"/>
      <c r="P1137" s="41"/>
      <c r="Q1137" s="161" t="str">
        <f>+IF(OR(O1137="Fire Control",O1137="Fire Tex 5062",O1137="Fire Tex 5090",O1137="Fire Tex 5120"),'CALCULO PINTURA'!P1138," ")</f>
        <v xml:space="preserve"> </v>
      </c>
      <c r="R1137" s="164" t="str">
        <f>+IF(OR(O1137="Fire Control",O1137="Fire Tex 5062",O1137="Fire Tex 5090",O1137="Fire Tex 5120"),'CALCULO PINTURA'!R1138," ")</f>
        <v xml:space="preserve"> </v>
      </c>
      <c r="S1137" s="164" t="str">
        <f>+IF(OR(O1137="Fire Control",O1137="Fire Tex 5062",O1137="Fire Tex 5090",O1137="Fire Tex 5120"),'CALCULO PINTURA'!S1138," ")</f>
        <v xml:space="preserve"> </v>
      </c>
      <c r="T1137" s="874" t="str">
        <f>+IF(OR(O1137="Blaze Shield II",O1137="Cafco 400",O1137="Cafco 300"),'CALCULO MORTERO'!N1143," ")</f>
        <v xml:space="preserve"> </v>
      </c>
      <c r="U1137" s="875" t="str">
        <f>+IF(OR(O1137="Blaze Shield II",O1137="Cafco 400",O1137="Cafco 300"),'CALCULO MORTERO'!O1143," ")</f>
        <v xml:space="preserve"> </v>
      </c>
      <c r="V1137" s="161" t="str" cm="1">
        <f t="array" ref="V1137">_xlfn.IFS(O1137="Blaze Shield II",'CALCULO MORTERO'!P1138, O1137="Cafco 400",'CALCULO MORTERO'!Q1138,O1137="Cafco 300",'CALCULO MORTERO'!S1138, AND(OR(O1137="Fire tex 5090", O1137="Fire Tex 5062", O1137="Fire Tex 5120", O1137="Fire Control"),Q1137&gt;0), "CERT.",TRUE,"-")</f>
        <v>-</v>
      </c>
    </row>
    <row r="1138" spans="1:22" x14ac:dyDescent="0.25">
      <c r="A1138" s="168"/>
      <c r="B1138" s="876"/>
      <c r="C1138" s="161"/>
      <c r="D1138" s="161"/>
      <c r="E1138" s="161"/>
      <c r="F1138" s="41"/>
      <c r="G1138" s="161"/>
      <c r="H1138" s="161"/>
      <c r="I1138" s="166"/>
      <c r="J1138" s="162"/>
      <c r="K1138" s="161"/>
      <c r="L1138" s="161"/>
      <c r="M1138" s="169"/>
      <c r="N1138" s="163" t="str">
        <f t="shared" si="21"/>
        <v/>
      </c>
      <c r="O1138" s="41"/>
      <c r="P1138" s="41"/>
      <c r="Q1138" s="161" t="str">
        <f>+IF(OR(O1138="Fire Control",O1138="Fire Tex 5062",O1138="Fire Tex 5090",O1138="Fire Tex 5120"),'CALCULO PINTURA'!P1139," ")</f>
        <v xml:space="preserve"> </v>
      </c>
      <c r="R1138" s="164" t="str">
        <f>+IF(OR(O1138="Fire Control",O1138="Fire Tex 5062",O1138="Fire Tex 5090",O1138="Fire Tex 5120"),'CALCULO PINTURA'!R1139," ")</f>
        <v xml:space="preserve"> </v>
      </c>
      <c r="S1138" s="164" t="str">
        <f>+IF(OR(O1138="Fire Control",O1138="Fire Tex 5062",O1138="Fire Tex 5090",O1138="Fire Tex 5120"),'CALCULO PINTURA'!S1139," ")</f>
        <v xml:space="preserve"> </v>
      </c>
      <c r="T1138" s="874" t="str">
        <f>+IF(OR(O1138="Blaze Shield II",O1138="Cafco 400",O1138="Cafco 300"),'CALCULO MORTERO'!N1144," ")</f>
        <v xml:space="preserve"> </v>
      </c>
      <c r="U1138" s="875" t="str">
        <f>+IF(OR(O1138="Blaze Shield II",O1138="Cafco 400",O1138="Cafco 300"),'CALCULO MORTERO'!O1144," ")</f>
        <v xml:space="preserve"> </v>
      </c>
      <c r="V1138" s="161" t="str" cm="1">
        <f t="array" ref="V1138">_xlfn.IFS(O1138="Blaze Shield II",'CALCULO MORTERO'!P1139, O1138="Cafco 400",'CALCULO MORTERO'!Q1139,O1138="Cafco 300",'CALCULO MORTERO'!S1139, AND(OR(O1138="Fire tex 5090", O1138="Fire Tex 5062", O1138="Fire Tex 5120", O1138="Fire Control"),Q1138&gt;0), "CERT.",TRUE,"-")</f>
        <v>-</v>
      </c>
    </row>
    <row r="1139" spans="1:22" x14ac:dyDescent="0.25">
      <c r="A1139" s="168"/>
      <c r="B1139" s="876"/>
      <c r="C1139" s="161"/>
      <c r="D1139" s="161"/>
      <c r="E1139" s="161"/>
      <c r="F1139" s="41"/>
      <c r="G1139" s="161"/>
      <c r="H1139" s="161"/>
      <c r="I1139" s="166"/>
      <c r="J1139" s="162"/>
      <c r="K1139" s="161"/>
      <c r="L1139" s="161"/>
      <c r="M1139" s="169"/>
      <c r="N1139" s="163" t="str">
        <f t="shared" si="21"/>
        <v/>
      </c>
      <c r="O1139" s="41"/>
      <c r="P1139" s="41"/>
      <c r="Q1139" s="161" t="str">
        <f>+IF(OR(O1139="Fire Control",O1139="Fire Tex 5062",O1139="Fire Tex 5090",O1139="Fire Tex 5120"),'CALCULO PINTURA'!P1140," ")</f>
        <v xml:space="preserve"> </v>
      </c>
      <c r="R1139" s="164" t="str">
        <f>+IF(OR(O1139="Fire Control",O1139="Fire Tex 5062",O1139="Fire Tex 5090",O1139="Fire Tex 5120"),'CALCULO PINTURA'!R1140," ")</f>
        <v xml:space="preserve"> </v>
      </c>
      <c r="S1139" s="164" t="str">
        <f>+IF(OR(O1139="Fire Control",O1139="Fire Tex 5062",O1139="Fire Tex 5090",O1139="Fire Tex 5120"),'CALCULO PINTURA'!S1140," ")</f>
        <v xml:space="preserve"> </v>
      </c>
      <c r="T1139" s="874" t="str">
        <f>+IF(OR(O1139="Blaze Shield II",O1139="Cafco 400",O1139="Cafco 300"),'CALCULO MORTERO'!N1145," ")</f>
        <v xml:space="preserve"> </v>
      </c>
      <c r="U1139" s="875" t="str">
        <f>+IF(OR(O1139="Blaze Shield II",O1139="Cafco 400",O1139="Cafco 300"),'CALCULO MORTERO'!O1145," ")</f>
        <v xml:space="preserve"> </v>
      </c>
      <c r="V1139" s="161" t="str" cm="1">
        <f t="array" ref="V1139">_xlfn.IFS(O1139="Blaze Shield II",'CALCULO MORTERO'!P1140, O1139="Cafco 400",'CALCULO MORTERO'!Q1140,O1139="Cafco 300",'CALCULO MORTERO'!S1140, AND(OR(O1139="Fire tex 5090", O1139="Fire Tex 5062", O1139="Fire Tex 5120", O1139="Fire Control"),Q1139&gt;0), "CERT.",TRUE,"-")</f>
        <v>-</v>
      </c>
    </row>
    <row r="1140" spans="1:22" x14ac:dyDescent="0.25">
      <c r="A1140" s="168"/>
      <c r="B1140" s="876"/>
      <c r="C1140" s="161"/>
      <c r="D1140" s="161"/>
      <c r="E1140" s="161"/>
      <c r="F1140" s="41"/>
      <c r="G1140" s="161"/>
      <c r="H1140" s="161"/>
      <c r="I1140" s="166"/>
      <c r="J1140" s="162"/>
      <c r="K1140" s="161"/>
      <c r="L1140" s="161"/>
      <c r="M1140" s="169"/>
      <c r="N1140" s="163" t="str">
        <f t="shared" si="21"/>
        <v/>
      </c>
      <c r="O1140" s="41"/>
      <c r="P1140" s="41"/>
      <c r="Q1140" s="161" t="str">
        <f>+IF(OR(O1140="Fire Control",O1140="Fire Tex 5062",O1140="Fire Tex 5090",O1140="Fire Tex 5120"),'CALCULO PINTURA'!P1141," ")</f>
        <v xml:space="preserve"> </v>
      </c>
      <c r="R1140" s="164" t="str">
        <f>+IF(OR(O1140="Fire Control",O1140="Fire Tex 5062",O1140="Fire Tex 5090",O1140="Fire Tex 5120"),'CALCULO PINTURA'!R1141," ")</f>
        <v xml:space="preserve"> </v>
      </c>
      <c r="S1140" s="164" t="str">
        <f>+IF(OR(O1140="Fire Control",O1140="Fire Tex 5062",O1140="Fire Tex 5090",O1140="Fire Tex 5120"),'CALCULO PINTURA'!S1141," ")</f>
        <v xml:space="preserve"> </v>
      </c>
      <c r="T1140" s="874" t="str">
        <f>+IF(OR(O1140="Blaze Shield II",O1140="Cafco 400",O1140="Cafco 300"),'CALCULO MORTERO'!N1146," ")</f>
        <v xml:space="preserve"> </v>
      </c>
      <c r="U1140" s="875" t="str">
        <f>+IF(OR(O1140="Blaze Shield II",O1140="Cafco 400",O1140="Cafco 300"),'CALCULO MORTERO'!O1146," ")</f>
        <v xml:space="preserve"> </v>
      </c>
      <c r="V1140" s="161" t="str" cm="1">
        <f t="array" ref="V1140">_xlfn.IFS(O1140="Blaze Shield II",'CALCULO MORTERO'!P1141, O1140="Cafco 400",'CALCULO MORTERO'!Q1141,O1140="Cafco 300",'CALCULO MORTERO'!S1141, AND(OR(O1140="Fire tex 5090", O1140="Fire Tex 5062", O1140="Fire Tex 5120", O1140="Fire Control"),Q1140&gt;0), "CERT.",TRUE,"-")</f>
        <v>-</v>
      </c>
    </row>
    <row r="1141" spans="1:22" x14ac:dyDescent="0.25">
      <c r="A1141" s="168"/>
      <c r="B1141" s="876"/>
      <c r="C1141" s="161"/>
      <c r="D1141" s="161"/>
      <c r="E1141" s="161"/>
      <c r="F1141" s="41"/>
      <c r="G1141" s="161"/>
      <c r="H1141" s="161"/>
      <c r="I1141" s="166"/>
      <c r="J1141" s="162"/>
      <c r="K1141" s="161"/>
      <c r="L1141" s="161"/>
      <c r="M1141" s="169"/>
      <c r="N1141" s="163" t="str">
        <f t="shared" si="21"/>
        <v/>
      </c>
      <c r="O1141" s="41"/>
      <c r="P1141" s="41"/>
      <c r="Q1141" s="161" t="str">
        <f>+IF(OR(O1141="Fire Control",O1141="Fire Tex 5062",O1141="Fire Tex 5090",O1141="Fire Tex 5120"),'CALCULO PINTURA'!P1142," ")</f>
        <v xml:space="preserve"> </v>
      </c>
      <c r="R1141" s="164" t="str">
        <f>+IF(OR(O1141="Fire Control",O1141="Fire Tex 5062",O1141="Fire Tex 5090",O1141="Fire Tex 5120"),'CALCULO PINTURA'!R1142," ")</f>
        <v xml:space="preserve"> </v>
      </c>
      <c r="S1141" s="164" t="str">
        <f>+IF(OR(O1141="Fire Control",O1141="Fire Tex 5062",O1141="Fire Tex 5090",O1141="Fire Tex 5120"),'CALCULO PINTURA'!S1142," ")</f>
        <v xml:space="preserve"> </v>
      </c>
      <c r="T1141" s="874" t="str">
        <f>+IF(OR(O1141="Blaze Shield II",O1141="Cafco 400",O1141="Cafco 300"),'CALCULO MORTERO'!N1147," ")</f>
        <v xml:space="preserve"> </v>
      </c>
      <c r="U1141" s="875" t="str">
        <f>+IF(OR(O1141="Blaze Shield II",O1141="Cafco 400",O1141="Cafco 300"),'CALCULO MORTERO'!O1147," ")</f>
        <v xml:space="preserve"> </v>
      </c>
      <c r="V1141" s="161" t="str" cm="1">
        <f t="array" ref="V1141">_xlfn.IFS(O1141="Blaze Shield II",'CALCULO MORTERO'!P1142, O1141="Cafco 400",'CALCULO MORTERO'!Q1142,O1141="Cafco 300",'CALCULO MORTERO'!S1142, AND(OR(O1141="Fire tex 5090", O1141="Fire Tex 5062", O1141="Fire Tex 5120", O1141="Fire Control"),Q1141&gt;0), "CERT.",TRUE,"-")</f>
        <v>-</v>
      </c>
    </row>
    <row r="1142" spans="1:22" x14ac:dyDescent="0.25">
      <c r="A1142" s="168"/>
      <c r="B1142" s="876"/>
      <c r="C1142" s="161"/>
      <c r="D1142" s="161"/>
      <c r="E1142" s="161"/>
      <c r="F1142" s="41"/>
      <c r="G1142" s="161"/>
      <c r="H1142" s="161"/>
      <c r="I1142" s="166"/>
      <c r="J1142" s="162"/>
      <c r="K1142" s="161"/>
      <c r="L1142" s="161"/>
      <c r="M1142" s="169"/>
      <c r="N1142" s="163" t="str">
        <f t="shared" si="21"/>
        <v/>
      </c>
      <c r="O1142" s="41"/>
      <c r="P1142" s="41"/>
      <c r="Q1142" s="161" t="str">
        <f>+IF(OR(O1142="Fire Control",O1142="Fire Tex 5062",O1142="Fire Tex 5090",O1142="Fire Tex 5120"),'CALCULO PINTURA'!P1143," ")</f>
        <v xml:space="preserve"> </v>
      </c>
      <c r="R1142" s="164" t="str">
        <f>+IF(OR(O1142="Fire Control",O1142="Fire Tex 5062",O1142="Fire Tex 5090",O1142="Fire Tex 5120"),'CALCULO PINTURA'!R1143," ")</f>
        <v xml:space="preserve"> </v>
      </c>
      <c r="S1142" s="164" t="str">
        <f>+IF(OR(O1142="Fire Control",O1142="Fire Tex 5062",O1142="Fire Tex 5090",O1142="Fire Tex 5120"),'CALCULO PINTURA'!S1143," ")</f>
        <v xml:space="preserve"> </v>
      </c>
      <c r="T1142" s="874" t="str">
        <f>+IF(OR(O1142="Blaze Shield II",O1142="Cafco 400",O1142="Cafco 300"),'CALCULO MORTERO'!N1148," ")</f>
        <v xml:space="preserve"> </v>
      </c>
      <c r="U1142" s="875" t="str">
        <f>+IF(OR(O1142="Blaze Shield II",O1142="Cafco 400",O1142="Cafco 300"),'CALCULO MORTERO'!O1148," ")</f>
        <v xml:space="preserve"> </v>
      </c>
      <c r="V1142" s="161" t="str" cm="1">
        <f t="array" ref="V1142">_xlfn.IFS(O1142="Blaze Shield II",'CALCULO MORTERO'!P1143, O1142="Cafco 400",'CALCULO MORTERO'!Q1143,O1142="Cafco 300",'CALCULO MORTERO'!S1143, AND(OR(O1142="Fire tex 5090", O1142="Fire Tex 5062", O1142="Fire Tex 5120", O1142="Fire Control"),Q1142&gt;0), "CERT.",TRUE,"-")</f>
        <v>-</v>
      </c>
    </row>
    <row r="1143" spans="1:22" x14ac:dyDescent="0.25">
      <c r="A1143" s="168"/>
      <c r="B1143" s="876"/>
      <c r="C1143" s="161"/>
      <c r="D1143" s="161"/>
      <c r="E1143" s="161"/>
      <c r="F1143" s="41"/>
      <c r="G1143" s="161"/>
      <c r="H1143" s="161"/>
      <c r="I1143" s="166"/>
      <c r="J1143" s="162"/>
      <c r="K1143" s="161"/>
      <c r="L1143" s="161"/>
      <c r="M1143" s="169"/>
      <c r="N1143" s="163" t="str">
        <f t="shared" si="21"/>
        <v/>
      </c>
      <c r="O1143" s="41"/>
      <c r="P1143" s="41"/>
      <c r="Q1143" s="161" t="str">
        <f>+IF(OR(O1143="Fire Control",O1143="Fire Tex 5062",O1143="Fire Tex 5090",O1143="Fire Tex 5120"),'CALCULO PINTURA'!P1144," ")</f>
        <v xml:space="preserve"> </v>
      </c>
      <c r="R1143" s="164" t="str">
        <f>+IF(OR(O1143="Fire Control",O1143="Fire Tex 5062",O1143="Fire Tex 5090",O1143="Fire Tex 5120"),'CALCULO PINTURA'!R1144," ")</f>
        <v xml:space="preserve"> </v>
      </c>
      <c r="S1143" s="164" t="str">
        <f>+IF(OR(O1143="Fire Control",O1143="Fire Tex 5062",O1143="Fire Tex 5090",O1143="Fire Tex 5120"),'CALCULO PINTURA'!S1144," ")</f>
        <v xml:space="preserve"> </v>
      </c>
      <c r="T1143" s="874" t="str">
        <f>+IF(OR(O1143="Blaze Shield II",O1143="Cafco 400",O1143="Cafco 300"),'CALCULO MORTERO'!N1149," ")</f>
        <v xml:space="preserve"> </v>
      </c>
      <c r="U1143" s="875" t="str">
        <f>+IF(OR(O1143="Blaze Shield II",O1143="Cafco 400",O1143="Cafco 300"),'CALCULO MORTERO'!O1149," ")</f>
        <v xml:space="preserve"> </v>
      </c>
      <c r="V1143" s="161" t="str" cm="1">
        <f t="array" ref="V1143">_xlfn.IFS(O1143="Blaze Shield II",'CALCULO MORTERO'!P1144, O1143="Cafco 400",'CALCULO MORTERO'!Q1144,O1143="Cafco 300",'CALCULO MORTERO'!S1144, AND(OR(O1143="Fire tex 5090", O1143="Fire Tex 5062", O1143="Fire Tex 5120", O1143="Fire Control"),Q1143&gt;0), "CERT.",TRUE,"-")</f>
        <v>-</v>
      </c>
    </row>
    <row r="1144" spans="1:22" x14ac:dyDescent="0.25">
      <c r="A1144" s="168"/>
      <c r="B1144" s="876"/>
      <c r="C1144" s="161"/>
      <c r="D1144" s="161"/>
      <c r="E1144" s="161"/>
      <c r="F1144" s="41"/>
      <c r="G1144" s="161"/>
      <c r="H1144" s="161"/>
      <c r="I1144" s="166"/>
      <c r="J1144" s="162"/>
      <c r="K1144" s="161"/>
      <c r="L1144" s="161"/>
      <c r="M1144" s="169"/>
      <c r="N1144" s="163" t="str">
        <f t="shared" si="21"/>
        <v/>
      </c>
      <c r="O1144" s="41"/>
      <c r="P1144" s="41"/>
      <c r="Q1144" s="161" t="str">
        <f>+IF(OR(O1144="Fire Control",O1144="Fire Tex 5062",O1144="Fire Tex 5090",O1144="Fire Tex 5120"),'CALCULO PINTURA'!P1145," ")</f>
        <v xml:space="preserve"> </v>
      </c>
      <c r="R1144" s="164" t="str">
        <f>+IF(OR(O1144="Fire Control",O1144="Fire Tex 5062",O1144="Fire Tex 5090",O1144="Fire Tex 5120"),'CALCULO PINTURA'!R1145," ")</f>
        <v xml:space="preserve"> </v>
      </c>
      <c r="S1144" s="164" t="str">
        <f>+IF(OR(O1144="Fire Control",O1144="Fire Tex 5062",O1144="Fire Tex 5090",O1144="Fire Tex 5120"),'CALCULO PINTURA'!S1145," ")</f>
        <v xml:space="preserve"> </v>
      </c>
      <c r="T1144" s="874" t="str">
        <f>+IF(OR(O1144="Blaze Shield II",O1144="Cafco 400",O1144="Cafco 300"),'CALCULO MORTERO'!N1150," ")</f>
        <v xml:space="preserve"> </v>
      </c>
      <c r="U1144" s="875" t="str">
        <f>+IF(OR(O1144="Blaze Shield II",O1144="Cafco 400",O1144="Cafco 300"),'CALCULO MORTERO'!O1150," ")</f>
        <v xml:space="preserve"> </v>
      </c>
      <c r="V1144" s="161" t="str" cm="1">
        <f t="array" ref="V1144">_xlfn.IFS(O1144="Blaze Shield II",'CALCULO MORTERO'!P1145, O1144="Cafco 400",'CALCULO MORTERO'!Q1145,O1144="Cafco 300",'CALCULO MORTERO'!S1145, AND(OR(O1144="Fire tex 5090", O1144="Fire Tex 5062", O1144="Fire Tex 5120", O1144="Fire Control"),Q1144&gt;0), "CERT.",TRUE,"-")</f>
        <v>-</v>
      </c>
    </row>
    <row r="1145" spans="1:22" x14ac:dyDescent="0.25">
      <c r="A1145" s="168"/>
      <c r="B1145" s="876"/>
      <c r="C1145" s="161"/>
      <c r="D1145" s="161"/>
      <c r="E1145" s="161"/>
      <c r="F1145" s="41"/>
      <c r="G1145" s="161"/>
      <c r="H1145" s="161"/>
      <c r="I1145" s="166"/>
      <c r="J1145" s="162"/>
      <c r="K1145" s="161"/>
      <c r="L1145" s="161"/>
      <c r="M1145" s="169"/>
      <c r="N1145" s="163" t="str">
        <f t="shared" si="21"/>
        <v/>
      </c>
      <c r="O1145" s="41"/>
      <c r="P1145" s="41"/>
      <c r="Q1145" s="161" t="str">
        <f>+IF(OR(O1145="Fire Control",O1145="Fire Tex 5062",O1145="Fire Tex 5090",O1145="Fire Tex 5120"),'CALCULO PINTURA'!P1146," ")</f>
        <v xml:space="preserve"> </v>
      </c>
      <c r="R1145" s="164" t="str">
        <f>+IF(OR(O1145="Fire Control",O1145="Fire Tex 5062",O1145="Fire Tex 5090",O1145="Fire Tex 5120"),'CALCULO PINTURA'!R1146," ")</f>
        <v xml:space="preserve"> </v>
      </c>
      <c r="S1145" s="164" t="str">
        <f>+IF(OR(O1145="Fire Control",O1145="Fire Tex 5062",O1145="Fire Tex 5090",O1145="Fire Tex 5120"),'CALCULO PINTURA'!S1146," ")</f>
        <v xml:space="preserve"> </v>
      </c>
      <c r="T1145" s="874" t="str">
        <f>+IF(OR(O1145="Blaze Shield II",O1145="Cafco 400",O1145="Cafco 300"),'CALCULO MORTERO'!N1151," ")</f>
        <v xml:space="preserve"> </v>
      </c>
      <c r="U1145" s="875" t="str">
        <f>+IF(OR(O1145="Blaze Shield II",O1145="Cafco 400",O1145="Cafco 300"),'CALCULO MORTERO'!O1151," ")</f>
        <v xml:space="preserve"> </v>
      </c>
      <c r="V1145" s="161" t="str" cm="1">
        <f t="array" ref="V1145">_xlfn.IFS(O1145="Blaze Shield II",'CALCULO MORTERO'!P1146, O1145="Cafco 400",'CALCULO MORTERO'!Q1146,O1145="Cafco 300",'CALCULO MORTERO'!S1146, AND(OR(O1145="Fire tex 5090", O1145="Fire Tex 5062", O1145="Fire Tex 5120", O1145="Fire Control"),Q1145&gt;0), "CERT.",TRUE,"-")</f>
        <v>-</v>
      </c>
    </row>
    <row r="1146" spans="1:22" x14ac:dyDescent="0.25">
      <c r="A1146" s="168"/>
      <c r="B1146" s="876"/>
      <c r="C1146" s="161"/>
      <c r="D1146" s="161"/>
      <c r="E1146" s="161"/>
      <c r="F1146" s="41"/>
      <c r="G1146" s="161"/>
      <c r="H1146" s="161"/>
      <c r="I1146" s="166"/>
      <c r="J1146" s="162"/>
      <c r="K1146" s="161"/>
      <c r="L1146" s="161"/>
      <c r="M1146" s="169"/>
      <c r="N1146" s="163" t="str">
        <f t="shared" si="21"/>
        <v/>
      </c>
      <c r="O1146" s="41"/>
      <c r="P1146" s="41"/>
      <c r="Q1146" s="161" t="str">
        <f>+IF(OR(O1146="Fire Control",O1146="Fire Tex 5062",O1146="Fire Tex 5090",O1146="Fire Tex 5120"),'CALCULO PINTURA'!P1147," ")</f>
        <v xml:space="preserve"> </v>
      </c>
      <c r="R1146" s="164" t="str">
        <f>+IF(OR(O1146="Fire Control",O1146="Fire Tex 5062",O1146="Fire Tex 5090",O1146="Fire Tex 5120"),'CALCULO PINTURA'!R1147," ")</f>
        <v xml:space="preserve"> </v>
      </c>
      <c r="S1146" s="164" t="str">
        <f>+IF(OR(O1146="Fire Control",O1146="Fire Tex 5062",O1146="Fire Tex 5090",O1146="Fire Tex 5120"),'CALCULO PINTURA'!S1147," ")</f>
        <v xml:space="preserve"> </v>
      </c>
      <c r="T1146" s="874" t="str">
        <f>+IF(OR(O1146="Blaze Shield II",O1146="Cafco 400",O1146="Cafco 300"),'CALCULO MORTERO'!N1152," ")</f>
        <v xml:space="preserve"> </v>
      </c>
      <c r="U1146" s="875" t="str">
        <f>+IF(OR(O1146="Blaze Shield II",O1146="Cafco 400",O1146="Cafco 300"),'CALCULO MORTERO'!O1152," ")</f>
        <v xml:space="preserve"> </v>
      </c>
      <c r="V1146" s="161" t="str" cm="1">
        <f t="array" ref="V1146">_xlfn.IFS(O1146="Blaze Shield II",'CALCULO MORTERO'!P1147, O1146="Cafco 400",'CALCULO MORTERO'!Q1147,O1146="Cafco 300",'CALCULO MORTERO'!S1147, AND(OR(O1146="Fire tex 5090", O1146="Fire Tex 5062", O1146="Fire Tex 5120", O1146="Fire Control"),Q1146&gt;0), "CERT.",TRUE,"-")</f>
        <v>-</v>
      </c>
    </row>
    <row r="1147" spans="1:22" x14ac:dyDescent="0.25">
      <c r="A1147" s="168"/>
      <c r="B1147" s="876"/>
      <c r="C1147" s="161"/>
      <c r="D1147" s="161"/>
      <c r="E1147" s="161"/>
      <c r="F1147" s="161"/>
      <c r="G1147" s="161"/>
      <c r="H1147" s="161"/>
      <c r="I1147" s="166"/>
      <c r="J1147" s="162"/>
      <c r="K1147" s="161"/>
      <c r="L1147" s="161"/>
      <c r="M1147" s="163"/>
      <c r="N1147" s="163" t="str">
        <f t="shared" si="21"/>
        <v/>
      </c>
      <c r="O1147" s="41"/>
      <c r="P1147" s="41"/>
      <c r="Q1147" s="161" t="str">
        <f>+IF(OR(O1147="Fire Control",O1147="Fire Tex 5062",O1147="Fire Tex 5090",O1147="Fire Tex 5120"),'CALCULO PINTURA'!P1148," ")</f>
        <v xml:space="preserve"> </v>
      </c>
      <c r="R1147" s="164" t="str">
        <f>+IF(OR(O1147="Fire Control",O1147="Fire Tex 5062",O1147="Fire Tex 5090",O1147="Fire Tex 5120"),'CALCULO PINTURA'!R1148," ")</f>
        <v xml:space="preserve"> </v>
      </c>
      <c r="S1147" s="164" t="str">
        <f>+IF(OR(O1147="Fire Control",O1147="Fire Tex 5062",O1147="Fire Tex 5090",O1147="Fire Tex 5120"),'CALCULO PINTURA'!S1148," ")</f>
        <v xml:space="preserve"> </v>
      </c>
      <c r="T1147" s="874" t="str">
        <f>+IF(OR(O1147="Blaze Shield II",O1147="Cafco 400",O1147="Cafco 300"),'CALCULO MORTERO'!N1153," ")</f>
        <v xml:space="preserve"> </v>
      </c>
      <c r="U1147" s="875" t="str">
        <f>+IF(OR(O1147="Blaze Shield II",O1147="Cafco 400",O1147="Cafco 300"),'CALCULO MORTERO'!O1153," ")</f>
        <v xml:space="preserve"> </v>
      </c>
      <c r="V1147" s="161" t="str" cm="1">
        <f t="array" ref="V1147">_xlfn.IFS(O1147="Blaze Shield II",'CALCULO MORTERO'!P1148, O1147="Cafco 400",'CALCULO MORTERO'!Q1148,O1147="Cafco 300",'CALCULO MORTERO'!S1148, AND(OR(O1147="Fire tex 5090", O1147="Fire Tex 5062", O1147="Fire Tex 5120", O1147="Fire Control"),Q1147&gt;0), "CERT.",TRUE,"-")</f>
        <v>-</v>
      </c>
    </row>
    <row r="1148" spans="1:22" x14ac:dyDescent="0.25">
      <c r="A1148" s="168"/>
      <c r="B1148" s="876"/>
      <c r="C1148" s="161"/>
      <c r="D1148" s="161"/>
      <c r="E1148" s="161"/>
      <c r="F1148" s="161"/>
      <c r="G1148" s="161"/>
      <c r="H1148" s="161"/>
      <c r="I1148" s="166"/>
      <c r="J1148" s="162"/>
      <c r="K1148" s="161"/>
      <c r="L1148" s="161"/>
      <c r="M1148" s="163"/>
      <c r="N1148" s="163" t="str">
        <f t="shared" si="21"/>
        <v/>
      </c>
      <c r="O1148" s="41"/>
      <c r="P1148" s="41"/>
      <c r="Q1148" s="161" t="str">
        <f>+IF(OR(O1148="Fire Control",O1148="Fire Tex 5062",O1148="Fire Tex 5090",O1148="Fire Tex 5120"),'CALCULO PINTURA'!P1149," ")</f>
        <v xml:space="preserve"> </v>
      </c>
      <c r="R1148" s="164" t="str">
        <f>+IF(OR(O1148="Fire Control",O1148="Fire Tex 5062",O1148="Fire Tex 5090",O1148="Fire Tex 5120"),'CALCULO PINTURA'!R1149," ")</f>
        <v xml:space="preserve"> </v>
      </c>
      <c r="S1148" s="164" t="str">
        <f>+IF(OR(O1148="Fire Control",O1148="Fire Tex 5062",O1148="Fire Tex 5090",O1148="Fire Tex 5120"),'CALCULO PINTURA'!S1149," ")</f>
        <v xml:space="preserve"> </v>
      </c>
      <c r="T1148" s="874" t="str">
        <f>+IF(OR(O1148="Blaze Shield II",O1148="Cafco 400",O1148="Cafco 300"),'CALCULO MORTERO'!N1154," ")</f>
        <v xml:space="preserve"> </v>
      </c>
      <c r="U1148" s="875" t="str">
        <f>+IF(OR(O1148="Blaze Shield II",O1148="Cafco 400",O1148="Cafco 300"),'CALCULO MORTERO'!O1154," ")</f>
        <v xml:space="preserve"> </v>
      </c>
      <c r="V1148" s="161" t="str" cm="1">
        <f t="array" ref="V1148">_xlfn.IFS(O1148="Blaze Shield II",'CALCULO MORTERO'!P1149, O1148="Cafco 400",'CALCULO MORTERO'!Q1149,O1148="Cafco 300",'CALCULO MORTERO'!S1149, AND(OR(O1148="Fire tex 5090", O1148="Fire Tex 5062", O1148="Fire Tex 5120", O1148="Fire Control"),Q1148&gt;0), "CERT.",TRUE,"-")</f>
        <v>-</v>
      </c>
    </row>
    <row r="1149" spans="1:22" x14ac:dyDescent="0.25">
      <c r="A1149" s="168"/>
      <c r="B1149" s="876"/>
      <c r="C1149" s="161"/>
      <c r="D1149" s="161"/>
      <c r="E1149" s="161"/>
      <c r="F1149" s="41"/>
      <c r="G1149" s="161"/>
      <c r="H1149" s="161"/>
      <c r="I1149" s="166"/>
      <c r="J1149" s="162"/>
      <c r="K1149" s="161"/>
      <c r="L1149" s="161"/>
      <c r="M1149" s="169"/>
      <c r="N1149" s="163" t="str">
        <f t="shared" si="21"/>
        <v/>
      </c>
      <c r="O1149" s="41"/>
      <c r="P1149" s="41"/>
      <c r="Q1149" s="161" t="str">
        <f>+IF(OR(O1149="Fire Control",O1149="Fire Tex 5062",O1149="Fire Tex 5090",O1149="Fire Tex 5120"),'CALCULO PINTURA'!P1150," ")</f>
        <v xml:space="preserve"> </v>
      </c>
      <c r="R1149" s="164" t="str">
        <f>+IF(OR(O1149="Fire Control",O1149="Fire Tex 5062",O1149="Fire Tex 5090",O1149="Fire Tex 5120"),'CALCULO PINTURA'!R1150," ")</f>
        <v xml:space="preserve"> </v>
      </c>
      <c r="S1149" s="164" t="str">
        <f>+IF(OR(O1149="Fire Control",O1149="Fire Tex 5062",O1149="Fire Tex 5090",O1149="Fire Tex 5120"),'CALCULO PINTURA'!S1150," ")</f>
        <v xml:space="preserve"> </v>
      </c>
      <c r="T1149" s="874" t="str">
        <f>+IF(OR(O1149="Blaze Shield II",O1149="Cafco 400",O1149="Cafco 300"),'CALCULO MORTERO'!N1155," ")</f>
        <v xml:space="preserve"> </v>
      </c>
      <c r="U1149" s="875" t="str">
        <f>+IF(OR(O1149="Blaze Shield II",O1149="Cafco 400",O1149="Cafco 300"),'CALCULO MORTERO'!O1155," ")</f>
        <v xml:space="preserve"> </v>
      </c>
      <c r="V1149" s="161" t="str" cm="1">
        <f t="array" ref="V1149">_xlfn.IFS(O1149="Blaze Shield II",'CALCULO MORTERO'!P1150, O1149="Cafco 400",'CALCULO MORTERO'!Q1150,O1149="Cafco 300",'CALCULO MORTERO'!S1150, AND(OR(O1149="Fire tex 5090", O1149="Fire Tex 5062", O1149="Fire Tex 5120", O1149="Fire Control"),Q1149&gt;0), "CERT.",TRUE,"-")</f>
        <v>-</v>
      </c>
    </row>
    <row r="1150" spans="1:22" x14ac:dyDescent="0.25">
      <c r="A1150" s="168"/>
      <c r="B1150" s="876"/>
      <c r="C1150" s="161"/>
      <c r="D1150" s="161"/>
      <c r="E1150" s="161"/>
      <c r="F1150" s="41"/>
      <c r="G1150" s="161"/>
      <c r="H1150" s="161"/>
      <c r="I1150" s="166"/>
      <c r="J1150" s="162"/>
      <c r="K1150" s="161"/>
      <c r="L1150" s="161"/>
      <c r="M1150" s="169"/>
      <c r="N1150" s="163" t="str">
        <f t="shared" si="21"/>
        <v/>
      </c>
      <c r="O1150" s="41"/>
      <c r="P1150" s="41"/>
      <c r="Q1150" s="161" t="str">
        <f>+IF(OR(O1150="Fire Control",O1150="Fire Tex 5062",O1150="Fire Tex 5090",O1150="Fire Tex 5120"),'CALCULO PINTURA'!P1151," ")</f>
        <v xml:space="preserve"> </v>
      </c>
      <c r="R1150" s="164" t="str">
        <f>+IF(OR(O1150="Fire Control",O1150="Fire Tex 5062",O1150="Fire Tex 5090",O1150="Fire Tex 5120"),'CALCULO PINTURA'!R1151," ")</f>
        <v xml:space="preserve"> </v>
      </c>
      <c r="S1150" s="164" t="str">
        <f>+IF(OR(O1150="Fire Control",O1150="Fire Tex 5062",O1150="Fire Tex 5090",O1150="Fire Tex 5120"),'CALCULO PINTURA'!S1151," ")</f>
        <v xml:space="preserve"> </v>
      </c>
      <c r="T1150" s="874" t="str">
        <f>+IF(OR(O1150="Blaze Shield II",O1150="Cafco 400",O1150="Cafco 300"),'CALCULO MORTERO'!N1156," ")</f>
        <v xml:space="preserve"> </v>
      </c>
      <c r="U1150" s="875" t="str">
        <f>+IF(OR(O1150="Blaze Shield II",O1150="Cafco 400",O1150="Cafco 300"),'CALCULO MORTERO'!O1156," ")</f>
        <v xml:space="preserve"> </v>
      </c>
      <c r="V1150" s="161" t="str" cm="1">
        <f t="array" ref="V1150">_xlfn.IFS(O1150="Blaze Shield II",'CALCULO MORTERO'!P1151, O1150="Cafco 400",'CALCULO MORTERO'!Q1151,O1150="Cafco 300",'CALCULO MORTERO'!S1151, AND(OR(O1150="Fire tex 5090", O1150="Fire Tex 5062", O1150="Fire Tex 5120", O1150="Fire Control"),Q1150&gt;0), "CERT.",TRUE,"-")</f>
        <v>-</v>
      </c>
    </row>
    <row r="1151" spans="1:22" x14ac:dyDescent="0.25">
      <c r="A1151" s="168"/>
      <c r="B1151" s="876"/>
      <c r="C1151" s="161"/>
      <c r="D1151" s="161"/>
      <c r="E1151" s="161"/>
      <c r="F1151" s="41"/>
      <c r="G1151" s="161"/>
      <c r="H1151" s="161"/>
      <c r="I1151" s="166"/>
      <c r="J1151" s="162"/>
      <c r="K1151" s="161"/>
      <c r="L1151" s="161"/>
      <c r="M1151" s="169"/>
      <c r="N1151" s="163" t="str">
        <f t="shared" si="21"/>
        <v/>
      </c>
      <c r="O1151" s="41"/>
      <c r="P1151" s="41"/>
      <c r="Q1151" s="161" t="str">
        <f>+IF(OR(O1151="Fire Control",O1151="Fire Tex 5062",O1151="Fire Tex 5090",O1151="Fire Tex 5120"),'CALCULO PINTURA'!P1152," ")</f>
        <v xml:space="preserve"> </v>
      </c>
      <c r="R1151" s="164" t="str">
        <f>+IF(OR(O1151="Fire Control",O1151="Fire Tex 5062",O1151="Fire Tex 5090",O1151="Fire Tex 5120"),'CALCULO PINTURA'!R1152," ")</f>
        <v xml:space="preserve"> </v>
      </c>
      <c r="S1151" s="164" t="str">
        <f>+IF(OR(O1151="Fire Control",O1151="Fire Tex 5062",O1151="Fire Tex 5090",O1151="Fire Tex 5120"),'CALCULO PINTURA'!S1152," ")</f>
        <v xml:space="preserve"> </v>
      </c>
      <c r="T1151" s="874" t="str">
        <f>+IF(OR(O1151="Blaze Shield II",O1151="Cafco 400",O1151="Cafco 300"),'CALCULO MORTERO'!N1157," ")</f>
        <v xml:space="preserve"> </v>
      </c>
      <c r="U1151" s="875" t="str">
        <f>+IF(OR(O1151="Blaze Shield II",O1151="Cafco 400",O1151="Cafco 300"),'CALCULO MORTERO'!O1157," ")</f>
        <v xml:space="preserve"> </v>
      </c>
      <c r="V1151" s="161" t="str" cm="1">
        <f t="array" ref="V1151">_xlfn.IFS(O1151="Blaze Shield II",'CALCULO MORTERO'!P1152, O1151="Cafco 400",'CALCULO MORTERO'!Q1152,O1151="Cafco 300",'CALCULO MORTERO'!S1152, AND(OR(O1151="Fire tex 5090", O1151="Fire Tex 5062", O1151="Fire Tex 5120", O1151="Fire Control"),Q1151&gt;0), "CERT.",TRUE,"-")</f>
        <v>-</v>
      </c>
    </row>
    <row r="1152" spans="1:22" x14ac:dyDescent="0.25">
      <c r="A1152" s="168"/>
      <c r="B1152" s="876"/>
      <c r="C1152" s="161"/>
      <c r="D1152" s="161"/>
      <c r="E1152" s="161"/>
      <c r="F1152" s="41"/>
      <c r="G1152" s="161"/>
      <c r="H1152" s="161"/>
      <c r="I1152" s="166"/>
      <c r="J1152" s="162"/>
      <c r="K1152" s="161"/>
      <c r="L1152" s="161"/>
      <c r="M1152" s="169"/>
      <c r="N1152" s="163" t="str">
        <f t="shared" si="21"/>
        <v/>
      </c>
      <c r="O1152" s="41"/>
      <c r="P1152" s="41"/>
      <c r="Q1152" s="161" t="str">
        <f>+IF(OR(O1152="Fire Control",O1152="Fire Tex 5062",O1152="Fire Tex 5090",O1152="Fire Tex 5120"),'CALCULO PINTURA'!P1153," ")</f>
        <v xml:space="preserve"> </v>
      </c>
      <c r="R1152" s="164" t="str">
        <f>+IF(OR(O1152="Fire Control",O1152="Fire Tex 5062",O1152="Fire Tex 5090",O1152="Fire Tex 5120"),'CALCULO PINTURA'!R1153," ")</f>
        <v xml:space="preserve"> </v>
      </c>
      <c r="S1152" s="164" t="str">
        <f>+IF(OR(O1152="Fire Control",O1152="Fire Tex 5062",O1152="Fire Tex 5090",O1152="Fire Tex 5120"),'CALCULO PINTURA'!S1153," ")</f>
        <v xml:space="preserve"> </v>
      </c>
      <c r="T1152" s="874" t="str">
        <f>+IF(OR(O1152="Blaze Shield II",O1152="Cafco 400",O1152="Cafco 300"),'CALCULO MORTERO'!N1158," ")</f>
        <v xml:space="preserve"> </v>
      </c>
      <c r="U1152" s="875" t="str">
        <f>+IF(OR(O1152="Blaze Shield II",O1152="Cafco 400",O1152="Cafco 300"),'CALCULO MORTERO'!O1158," ")</f>
        <v xml:space="preserve"> </v>
      </c>
      <c r="V1152" s="161" t="str" cm="1">
        <f t="array" ref="V1152">_xlfn.IFS(O1152="Blaze Shield II",'CALCULO MORTERO'!P1153, O1152="Cafco 400",'CALCULO MORTERO'!Q1153,O1152="Cafco 300",'CALCULO MORTERO'!S1153, AND(OR(O1152="Fire tex 5090", O1152="Fire Tex 5062", O1152="Fire Tex 5120", O1152="Fire Control"),Q1152&gt;0), "CERT.",TRUE,"-")</f>
        <v>-</v>
      </c>
    </row>
    <row r="1153" spans="1:22" x14ac:dyDescent="0.25">
      <c r="A1153" s="168"/>
      <c r="B1153" s="876"/>
      <c r="C1153" s="161"/>
      <c r="D1153" s="161"/>
      <c r="E1153" s="161"/>
      <c r="F1153" s="41"/>
      <c r="G1153" s="161"/>
      <c r="H1153" s="161"/>
      <c r="I1153" s="166"/>
      <c r="J1153" s="162"/>
      <c r="K1153" s="161"/>
      <c r="L1153" s="161"/>
      <c r="M1153" s="169"/>
      <c r="N1153" s="163" t="str">
        <f t="shared" si="21"/>
        <v/>
      </c>
      <c r="O1153" s="41"/>
      <c r="P1153" s="41"/>
      <c r="Q1153" s="161" t="str">
        <f>+IF(OR(O1153="Fire Control",O1153="Fire Tex 5062",O1153="Fire Tex 5090",O1153="Fire Tex 5120"),'CALCULO PINTURA'!P1154," ")</f>
        <v xml:space="preserve"> </v>
      </c>
      <c r="R1153" s="164" t="str">
        <f>+IF(OR(O1153="Fire Control",O1153="Fire Tex 5062",O1153="Fire Tex 5090",O1153="Fire Tex 5120"),'CALCULO PINTURA'!R1154," ")</f>
        <v xml:space="preserve"> </v>
      </c>
      <c r="S1153" s="164" t="str">
        <f>+IF(OR(O1153="Fire Control",O1153="Fire Tex 5062",O1153="Fire Tex 5090",O1153="Fire Tex 5120"),'CALCULO PINTURA'!S1154," ")</f>
        <v xml:space="preserve"> </v>
      </c>
      <c r="T1153" s="874" t="str">
        <f>+IF(OR(O1153="Blaze Shield II",O1153="Cafco 400",O1153="Cafco 300"),'CALCULO MORTERO'!N1159," ")</f>
        <v xml:space="preserve"> </v>
      </c>
      <c r="U1153" s="875" t="str">
        <f>+IF(OR(O1153="Blaze Shield II",O1153="Cafco 400",O1153="Cafco 300"),'CALCULO MORTERO'!O1159," ")</f>
        <v xml:space="preserve"> </v>
      </c>
      <c r="V1153" s="161" t="str" cm="1">
        <f t="array" ref="V1153">_xlfn.IFS(O1153="Blaze Shield II",'CALCULO MORTERO'!P1154, O1153="Cafco 400",'CALCULO MORTERO'!Q1154,O1153="Cafco 300",'CALCULO MORTERO'!S1154, AND(OR(O1153="Fire tex 5090", O1153="Fire Tex 5062", O1153="Fire Tex 5120", O1153="Fire Control"),Q1153&gt;0), "CERT.",TRUE,"-")</f>
        <v>-</v>
      </c>
    </row>
    <row r="1154" spans="1:22" x14ac:dyDescent="0.25">
      <c r="A1154" s="168"/>
      <c r="B1154" s="876"/>
      <c r="C1154" s="161"/>
      <c r="D1154" s="161"/>
      <c r="E1154" s="161"/>
      <c r="F1154" s="41"/>
      <c r="G1154" s="161"/>
      <c r="H1154" s="161"/>
      <c r="I1154" s="166"/>
      <c r="J1154" s="162"/>
      <c r="K1154" s="161"/>
      <c r="L1154" s="161"/>
      <c r="M1154" s="169"/>
      <c r="N1154" s="163" t="str">
        <f t="shared" si="21"/>
        <v/>
      </c>
      <c r="O1154" s="41"/>
      <c r="P1154" s="41"/>
      <c r="Q1154" s="161" t="str">
        <f>+IF(OR(O1154="Fire Control",O1154="Fire Tex 5062",O1154="Fire Tex 5090",O1154="Fire Tex 5120"),'CALCULO PINTURA'!P1155," ")</f>
        <v xml:space="preserve"> </v>
      </c>
      <c r="R1154" s="164" t="str">
        <f>+IF(OR(O1154="Fire Control",O1154="Fire Tex 5062",O1154="Fire Tex 5090",O1154="Fire Tex 5120"),'CALCULO PINTURA'!R1155," ")</f>
        <v xml:space="preserve"> </v>
      </c>
      <c r="S1154" s="164" t="str">
        <f>+IF(OR(O1154="Fire Control",O1154="Fire Tex 5062",O1154="Fire Tex 5090",O1154="Fire Tex 5120"),'CALCULO PINTURA'!S1155," ")</f>
        <v xml:space="preserve"> </v>
      </c>
      <c r="T1154" s="874" t="str">
        <f>+IF(OR(O1154="Blaze Shield II",O1154="Cafco 400",O1154="Cafco 300"),'CALCULO MORTERO'!N1160," ")</f>
        <v xml:space="preserve"> </v>
      </c>
      <c r="U1154" s="875" t="str">
        <f>+IF(OR(O1154="Blaze Shield II",O1154="Cafco 400",O1154="Cafco 300"),'CALCULO MORTERO'!O1160," ")</f>
        <v xml:space="preserve"> </v>
      </c>
      <c r="V1154" s="161" t="str" cm="1">
        <f t="array" ref="V1154">_xlfn.IFS(O1154="Blaze Shield II",'CALCULO MORTERO'!P1155, O1154="Cafco 400",'CALCULO MORTERO'!Q1155,O1154="Cafco 300",'CALCULO MORTERO'!S1155, AND(OR(O1154="Fire tex 5090", O1154="Fire Tex 5062", O1154="Fire Tex 5120", O1154="Fire Control"),Q1154&gt;0), "CERT.",TRUE,"-")</f>
        <v>-</v>
      </c>
    </row>
    <row r="1155" spans="1:22" x14ac:dyDescent="0.25">
      <c r="A1155" s="168"/>
      <c r="B1155" s="876"/>
      <c r="C1155" s="161"/>
      <c r="D1155" s="161"/>
      <c r="E1155" s="161"/>
      <c r="F1155" s="161"/>
      <c r="G1155" s="161"/>
      <c r="H1155" s="161"/>
      <c r="I1155" s="166"/>
      <c r="J1155" s="162"/>
      <c r="K1155" s="161"/>
      <c r="L1155" s="161"/>
      <c r="M1155" s="169"/>
      <c r="N1155" s="163" t="str">
        <f t="shared" si="21"/>
        <v/>
      </c>
      <c r="O1155" s="41"/>
      <c r="P1155" s="41"/>
      <c r="Q1155" s="161" t="str">
        <f>+IF(OR(O1155="Fire Control",O1155="Fire Tex 5062",O1155="Fire Tex 5090",O1155="Fire Tex 5120"),'CALCULO PINTURA'!P1156," ")</f>
        <v xml:space="preserve"> </v>
      </c>
      <c r="R1155" s="164" t="str">
        <f>+IF(OR(O1155="Fire Control",O1155="Fire Tex 5062",O1155="Fire Tex 5090",O1155="Fire Tex 5120"),'CALCULO PINTURA'!R1156," ")</f>
        <v xml:space="preserve"> </v>
      </c>
      <c r="S1155" s="164" t="str">
        <f>+IF(OR(O1155="Fire Control",O1155="Fire Tex 5062",O1155="Fire Tex 5090",O1155="Fire Tex 5120"),'CALCULO PINTURA'!S1156," ")</f>
        <v xml:space="preserve"> </v>
      </c>
      <c r="T1155" s="874" t="str">
        <f>+IF(OR(O1155="Blaze Shield II",O1155="Cafco 400",O1155="Cafco 300"),'CALCULO MORTERO'!N1161," ")</f>
        <v xml:space="preserve"> </v>
      </c>
      <c r="U1155" s="875" t="str">
        <f>+IF(OR(O1155="Blaze Shield II",O1155="Cafco 400",O1155="Cafco 300"),'CALCULO MORTERO'!O1161," ")</f>
        <v xml:space="preserve"> </v>
      </c>
      <c r="V1155" s="161" t="str" cm="1">
        <f t="array" ref="V1155">_xlfn.IFS(O1155="Blaze Shield II",'CALCULO MORTERO'!P1156, O1155="Cafco 400",'CALCULO MORTERO'!Q1156,O1155="Cafco 300",'CALCULO MORTERO'!S1156, AND(OR(O1155="Fire tex 5090", O1155="Fire Tex 5062", O1155="Fire Tex 5120", O1155="Fire Control"),Q1155&gt;0), "CERT.",TRUE,"-")</f>
        <v>-</v>
      </c>
    </row>
    <row r="1156" spans="1:22" x14ac:dyDescent="0.25">
      <c r="A1156" s="168"/>
      <c r="B1156" s="876"/>
      <c r="C1156" s="161"/>
      <c r="D1156" s="161"/>
      <c r="E1156" s="161"/>
      <c r="F1156" s="41"/>
      <c r="G1156" s="161"/>
      <c r="H1156" s="161"/>
      <c r="I1156" s="166"/>
      <c r="J1156" s="162"/>
      <c r="K1156" s="161"/>
      <c r="L1156" s="161"/>
      <c r="M1156" s="169"/>
      <c r="N1156" s="163" t="str">
        <f t="shared" ref="N1156:N1219" si="22">+IF(F1156="","",(K1156*I1156*H1156*G1156)/1000000)</f>
        <v/>
      </c>
      <c r="O1156" s="41"/>
      <c r="P1156" s="41"/>
      <c r="Q1156" s="161" t="str">
        <f>+IF(OR(O1156="Fire Control",O1156="Fire Tex 5062",O1156="Fire Tex 5090",O1156="Fire Tex 5120"),'CALCULO PINTURA'!P1157," ")</f>
        <v xml:space="preserve"> </v>
      </c>
      <c r="R1156" s="164" t="str">
        <f>+IF(OR(O1156="Fire Control",O1156="Fire Tex 5062",O1156="Fire Tex 5090",O1156="Fire Tex 5120"),'CALCULO PINTURA'!R1157," ")</f>
        <v xml:space="preserve"> </v>
      </c>
      <c r="S1156" s="164" t="str">
        <f>+IF(OR(O1156="Fire Control",O1156="Fire Tex 5062",O1156="Fire Tex 5090",O1156="Fire Tex 5120"),'CALCULO PINTURA'!S1157," ")</f>
        <v xml:space="preserve"> </v>
      </c>
      <c r="T1156" s="874" t="str">
        <f>+IF(OR(O1156="Blaze Shield II",O1156="Cafco 400",O1156="Cafco 300"),'CALCULO MORTERO'!N1162," ")</f>
        <v xml:space="preserve"> </v>
      </c>
      <c r="U1156" s="875" t="str">
        <f>+IF(OR(O1156="Blaze Shield II",O1156="Cafco 400",O1156="Cafco 300"),'CALCULO MORTERO'!O1162," ")</f>
        <v xml:space="preserve"> </v>
      </c>
      <c r="V1156" s="161" t="str" cm="1">
        <f t="array" ref="V1156">_xlfn.IFS(O1156="Blaze Shield II",'CALCULO MORTERO'!P1157, O1156="Cafco 400",'CALCULO MORTERO'!Q1157,O1156="Cafco 300",'CALCULO MORTERO'!S1157, AND(OR(O1156="Fire tex 5090", O1156="Fire Tex 5062", O1156="Fire Tex 5120", O1156="Fire Control"),Q1156&gt;0), "CERT.",TRUE,"-")</f>
        <v>-</v>
      </c>
    </row>
    <row r="1157" spans="1:22" x14ac:dyDescent="0.25">
      <c r="A1157" s="168"/>
      <c r="B1157" s="876"/>
      <c r="C1157" s="161"/>
      <c r="D1157" s="161"/>
      <c r="E1157" s="161"/>
      <c r="F1157" s="41"/>
      <c r="G1157" s="161"/>
      <c r="H1157" s="161"/>
      <c r="I1157" s="166"/>
      <c r="J1157" s="162"/>
      <c r="K1157" s="161"/>
      <c r="L1157" s="161"/>
      <c r="M1157" s="169"/>
      <c r="N1157" s="163" t="str">
        <f t="shared" si="22"/>
        <v/>
      </c>
      <c r="O1157" s="41"/>
      <c r="P1157" s="41"/>
      <c r="Q1157" s="161" t="str">
        <f>+IF(OR(O1157="Fire Control",O1157="Fire Tex 5062",O1157="Fire Tex 5090",O1157="Fire Tex 5120"),'CALCULO PINTURA'!P1158," ")</f>
        <v xml:space="preserve"> </v>
      </c>
      <c r="R1157" s="164" t="str">
        <f>+IF(OR(O1157="Fire Control",O1157="Fire Tex 5062",O1157="Fire Tex 5090",O1157="Fire Tex 5120"),'CALCULO PINTURA'!R1158," ")</f>
        <v xml:space="preserve"> </v>
      </c>
      <c r="S1157" s="164" t="str">
        <f>+IF(OR(O1157="Fire Control",O1157="Fire Tex 5062",O1157="Fire Tex 5090",O1157="Fire Tex 5120"),'CALCULO PINTURA'!S1158," ")</f>
        <v xml:space="preserve"> </v>
      </c>
      <c r="T1157" s="874" t="str">
        <f>+IF(OR(O1157="Blaze Shield II",O1157="Cafco 400",O1157="Cafco 300"),'CALCULO MORTERO'!N1163," ")</f>
        <v xml:space="preserve"> </v>
      </c>
      <c r="U1157" s="875" t="str">
        <f>+IF(OR(O1157="Blaze Shield II",O1157="Cafco 400",O1157="Cafco 300"),'CALCULO MORTERO'!O1163," ")</f>
        <v xml:space="preserve"> </v>
      </c>
      <c r="V1157" s="161" t="str" cm="1">
        <f t="array" ref="V1157">_xlfn.IFS(O1157="Blaze Shield II",'CALCULO MORTERO'!P1158, O1157="Cafco 400",'CALCULO MORTERO'!Q1158,O1157="Cafco 300",'CALCULO MORTERO'!S1158, AND(OR(O1157="Fire tex 5090", O1157="Fire Tex 5062", O1157="Fire Tex 5120", O1157="Fire Control"),Q1157&gt;0), "CERT.",TRUE,"-")</f>
        <v>-</v>
      </c>
    </row>
    <row r="1158" spans="1:22" x14ac:dyDescent="0.25">
      <c r="A1158" s="168"/>
      <c r="B1158" s="876"/>
      <c r="C1158" s="161"/>
      <c r="D1158" s="161"/>
      <c r="E1158" s="161"/>
      <c r="F1158" s="161"/>
      <c r="G1158" s="161"/>
      <c r="H1158" s="161"/>
      <c r="I1158" s="166"/>
      <c r="J1158" s="162"/>
      <c r="K1158" s="161"/>
      <c r="L1158" s="161"/>
      <c r="M1158" s="169"/>
      <c r="N1158" s="163" t="str">
        <f t="shared" si="22"/>
        <v/>
      </c>
      <c r="O1158" s="41"/>
      <c r="P1158" s="41"/>
      <c r="Q1158" s="161" t="str">
        <f>+IF(OR(O1158="Fire Control",O1158="Fire Tex 5062",O1158="Fire Tex 5090",O1158="Fire Tex 5120"),'CALCULO PINTURA'!P1159," ")</f>
        <v xml:space="preserve"> </v>
      </c>
      <c r="R1158" s="164" t="str">
        <f>+IF(OR(O1158="Fire Control",O1158="Fire Tex 5062",O1158="Fire Tex 5090",O1158="Fire Tex 5120"),'CALCULO PINTURA'!R1159," ")</f>
        <v xml:space="preserve"> </v>
      </c>
      <c r="S1158" s="164" t="str">
        <f>+IF(OR(O1158="Fire Control",O1158="Fire Tex 5062",O1158="Fire Tex 5090",O1158="Fire Tex 5120"),'CALCULO PINTURA'!S1159," ")</f>
        <v xml:space="preserve"> </v>
      </c>
      <c r="T1158" s="874" t="str">
        <f>+IF(OR(O1158="Blaze Shield II",O1158="Cafco 400",O1158="Cafco 300"),'CALCULO MORTERO'!N1164," ")</f>
        <v xml:space="preserve"> </v>
      </c>
      <c r="U1158" s="875" t="str">
        <f>+IF(OR(O1158="Blaze Shield II",O1158="Cafco 400",O1158="Cafco 300"),'CALCULO MORTERO'!O1164," ")</f>
        <v xml:space="preserve"> </v>
      </c>
      <c r="V1158" s="161" t="str" cm="1">
        <f t="array" ref="V1158">_xlfn.IFS(O1158="Blaze Shield II",'CALCULO MORTERO'!P1159, O1158="Cafco 400",'CALCULO MORTERO'!Q1159,O1158="Cafco 300",'CALCULO MORTERO'!S1159, AND(OR(O1158="Fire tex 5090", O1158="Fire Tex 5062", O1158="Fire Tex 5120", O1158="Fire Control"),Q1158&gt;0), "CERT.",TRUE,"-")</f>
        <v>-</v>
      </c>
    </row>
    <row r="1159" spans="1:22" x14ac:dyDescent="0.25">
      <c r="A1159" s="168"/>
      <c r="B1159" s="876"/>
      <c r="C1159" s="161"/>
      <c r="D1159" s="161"/>
      <c r="E1159" s="161"/>
      <c r="F1159" s="41"/>
      <c r="G1159" s="161"/>
      <c r="H1159" s="161"/>
      <c r="I1159" s="166"/>
      <c r="J1159" s="162"/>
      <c r="K1159" s="161"/>
      <c r="L1159" s="161"/>
      <c r="M1159" s="169"/>
      <c r="N1159" s="163" t="str">
        <f t="shared" si="22"/>
        <v/>
      </c>
      <c r="O1159" s="41"/>
      <c r="P1159" s="41"/>
      <c r="Q1159" s="161" t="str">
        <f>+IF(OR(O1159="Fire Control",O1159="Fire Tex 5062",O1159="Fire Tex 5090",O1159="Fire Tex 5120"),'CALCULO PINTURA'!P1160," ")</f>
        <v xml:space="preserve"> </v>
      </c>
      <c r="R1159" s="164" t="str">
        <f>+IF(OR(O1159="Fire Control",O1159="Fire Tex 5062",O1159="Fire Tex 5090",O1159="Fire Tex 5120"),'CALCULO PINTURA'!R1160," ")</f>
        <v xml:space="preserve"> </v>
      </c>
      <c r="S1159" s="164" t="str">
        <f>+IF(OR(O1159="Fire Control",O1159="Fire Tex 5062",O1159="Fire Tex 5090",O1159="Fire Tex 5120"),'CALCULO PINTURA'!S1160," ")</f>
        <v xml:space="preserve"> </v>
      </c>
      <c r="T1159" s="874" t="str">
        <f>+IF(OR(O1159="Blaze Shield II",O1159="Cafco 400",O1159="Cafco 300"),'CALCULO MORTERO'!N1165," ")</f>
        <v xml:space="preserve"> </v>
      </c>
      <c r="U1159" s="875" t="str">
        <f>+IF(OR(O1159="Blaze Shield II",O1159="Cafco 400",O1159="Cafco 300"),'CALCULO MORTERO'!O1165," ")</f>
        <v xml:space="preserve"> </v>
      </c>
      <c r="V1159" s="161" t="str" cm="1">
        <f t="array" ref="V1159">_xlfn.IFS(O1159="Blaze Shield II",'CALCULO MORTERO'!P1160, O1159="Cafco 400",'CALCULO MORTERO'!Q1160,O1159="Cafco 300",'CALCULO MORTERO'!S1160, AND(OR(O1159="Fire tex 5090", O1159="Fire Tex 5062", O1159="Fire Tex 5120", O1159="Fire Control"),Q1159&gt;0), "CERT.",TRUE,"-")</f>
        <v>-</v>
      </c>
    </row>
    <row r="1160" spans="1:22" x14ac:dyDescent="0.25">
      <c r="A1160" s="168"/>
      <c r="B1160" s="876"/>
      <c r="C1160" s="161"/>
      <c r="D1160" s="161"/>
      <c r="E1160" s="161"/>
      <c r="F1160" s="41"/>
      <c r="G1160" s="161"/>
      <c r="H1160" s="161"/>
      <c r="I1160" s="166"/>
      <c r="J1160" s="162"/>
      <c r="K1160" s="161"/>
      <c r="L1160" s="161"/>
      <c r="M1160" s="169"/>
      <c r="N1160" s="163" t="str">
        <f t="shared" si="22"/>
        <v/>
      </c>
      <c r="O1160" s="41"/>
      <c r="P1160" s="41"/>
      <c r="Q1160" s="161" t="str">
        <f>+IF(OR(O1160="Fire Control",O1160="Fire Tex 5062",O1160="Fire Tex 5090",O1160="Fire Tex 5120"),'CALCULO PINTURA'!P1161," ")</f>
        <v xml:space="preserve"> </v>
      </c>
      <c r="R1160" s="164" t="str">
        <f>+IF(OR(O1160="Fire Control",O1160="Fire Tex 5062",O1160="Fire Tex 5090",O1160="Fire Tex 5120"),'CALCULO PINTURA'!R1161," ")</f>
        <v xml:space="preserve"> </v>
      </c>
      <c r="S1160" s="164" t="str">
        <f>+IF(OR(O1160="Fire Control",O1160="Fire Tex 5062",O1160="Fire Tex 5090",O1160="Fire Tex 5120"),'CALCULO PINTURA'!S1161," ")</f>
        <v xml:space="preserve"> </v>
      </c>
      <c r="T1160" s="874" t="str">
        <f>+IF(OR(O1160="Blaze Shield II",O1160="Cafco 400",O1160="Cafco 300"),'CALCULO MORTERO'!N1166," ")</f>
        <v xml:space="preserve"> </v>
      </c>
      <c r="U1160" s="875" t="str">
        <f>+IF(OR(O1160="Blaze Shield II",O1160="Cafco 400",O1160="Cafco 300"),'CALCULO MORTERO'!O1166," ")</f>
        <v xml:space="preserve"> </v>
      </c>
      <c r="V1160" s="161" t="str" cm="1">
        <f t="array" ref="V1160">_xlfn.IFS(O1160="Blaze Shield II",'CALCULO MORTERO'!P1161, O1160="Cafco 400",'CALCULO MORTERO'!Q1161,O1160="Cafco 300",'CALCULO MORTERO'!S1161, AND(OR(O1160="Fire tex 5090", O1160="Fire Tex 5062", O1160="Fire Tex 5120", O1160="Fire Control"),Q1160&gt;0), "CERT.",TRUE,"-")</f>
        <v>-</v>
      </c>
    </row>
    <row r="1161" spans="1:22" x14ac:dyDescent="0.25">
      <c r="A1161" s="168"/>
      <c r="B1161" s="876"/>
      <c r="C1161" s="161"/>
      <c r="D1161" s="161"/>
      <c r="E1161" s="161"/>
      <c r="F1161" s="161"/>
      <c r="G1161" s="161"/>
      <c r="H1161" s="161"/>
      <c r="I1161" s="166"/>
      <c r="J1161" s="162"/>
      <c r="K1161" s="161"/>
      <c r="L1161" s="161"/>
      <c r="M1161" s="169"/>
      <c r="N1161" s="163" t="str">
        <f t="shared" si="22"/>
        <v/>
      </c>
      <c r="O1161" s="41"/>
      <c r="P1161" s="41"/>
      <c r="Q1161" s="161" t="str">
        <f>+IF(OR(O1161="Fire Control",O1161="Fire Tex 5062",O1161="Fire Tex 5090",O1161="Fire Tex 5120"),'CALCULO PINTURA'!P1162," ")</f>
        <v xml:space="preserve"> </v>
      </c>
      <c r="R1161" s="164" t="str">
        <f>+IF(OR(O1161="Fire Control",O1161="Fire Tex 5062",O1161="Fire Tex 5090",O1161="Fire Tex 5120"),'CALCULO PINTURA'!R1162," ")</f>
        <v xml:space="preserve"> </v>
      </c>
      <c r="S1161" s="164" t="str">
        <f>+IF(OR(O1161="Fire Control",O1161="Fire Tex 5062",O1161="Fire Tex 5090",O1161="Fire Tex 5120"),'CALCULO PINTURA'!S1162," ")</f>
        <v xml:space="preserve"> </v>
      </c>
      <c r="T1161" s="874" t="str">
        <f>+IF(OR(O1161="Blaze Shield II",O1161="Cafco 400",O1161="Cafco 300"),'CALCULO MORTERO'!N1167," ")</f>
        <v xml:space="preserve"> </v>
      </c>
      <c r="U1161" s="875" t="str">
        <f>+IF(OR(O1161="Blaze Shield II",O1161="Cafco 400",O1161="Cafco 300"),'CALCULO MORTERO'!O1167," ")</f>
        <v xml:space="preserve"> </v>
      </c>
      <c r="V1161" s="161" t="str" cm="1">
        <f t="array" ref="V1161">_xlfn.IFS(O1161="Blaze Shield II",'CALCULO MORTERO'!P1162, O1161="Cafco 400",'CALCULO MORTERO'!Q1162,O1161="Cafco 300",'CALCULO MORTERO'!S1162, AND(OR(O1161="Fire tex 5090", O1161="Fire Tex 5062", O1161="Fire Tex 5120", O1161="Fire Control"),Q1161&gt;0), "CERT.",TRUE,"-")</f>
        <v>-</v>
      </c>
    </row>
    <row r="1162" spans="1:22" x14ac:dyDescent="0.25">
      <c r="A1162" s="168"/>
      <c r="B1162" s="876"/>
      <c r="C1162" s="161"/>
      <c r="D1162" s="161"/>
      <c r="E1162" s="161"/>
      <c r="F1162" s="41"/>
      <c r="G1162" s="161"/>
      <c r="H1162" s="161"/>
      <c r="I1162" s="166"/>
      <c r="J1162" s="162"/>
      <c r="K1162" s="161"/>
      <c r="L1162" s="161"/>
      <c r="M1162" s="169"/>
      <c r="N1162" s="163" t="str">
        <f t="shared" si="22"/>
        <v/>
      </c>
      <c r="O1162" s="41"/>
      <c r="P1162" s="41"/>
      <c r="Q1162" s="161" t="str">
        <f>+IF(OR(O1162="Fire Control",O1162="Fire Tex 5062",O1162="Fire Tex 5090",O1162="Fire Tex 5120"),'CALCULO PINTURA'!P1163," ")</f>
        <v xml:space="preserve"> </v>
      </c>
      <c r="R1162" s="164" t="str">
        <f>+IF(OR(O1162="Fire Control",O1162="Fire Tex 5062",O1162="Fire Tex 5090",O1162="Fire Tex 5120"),'CALCULO PINTURA'!R1163," ")</f>
        <v xml:space="preserve"> </v>
      </c>
      <c r="S1162" s="164" t="str">
        <f>+IF(OR(O1162="Fire Control",O1162="Fire Tex 5062",O1162="Fire Tex 5090",O1162="Fire Tex 5120"),'CALCULO PINTURA'!S1163," ")</f>
        <v xml:space="preserve"> </v>
      </c>
      <c r="T1162" s="874" t="str">
        <f>+IF(OR(O1162="Blaze Shield II",O1162="Cafco 400",O1162="Cafco 300"),'CALCULO MORTERO'!N1168," ")</f>
        <v xml:space="preserve"> </v>
      </c>
      <c r="U1162" s="875" t="str">
        <f>+IF(OR(O1162="Blaze Shield II",O1162="Cafco 400",O1162="Cafco 300"),'CALCULO MORTERO'!O1168," ")</f>
        <v xml:space="preserve"> </v>
      </c>
      <c r="V1162" s="161" t="str" cm="1">
        <f t="array" ref="V1162">_xlfn.IFS(O1162="Blaze Shield II",'CALCULO MORTERO'!P1163, O1162="Cafco 400",'CALCULO MORTERO'!Q1163,O1162="Cafco 300",'CALCULO MORTERO'!S1163, AND(OR(O1162="Fire tex 5090", O1162="Fire Tex 5062", O1162="Fire Tex 5120", O1162="Fire Control"),Q1162&gt;0), "CERT.",TRUE,"-")</f>
        <v>-</v>
      </c>
    </row>
    <row r="1163" spans="1:22" x14ac:dyDescent="0.25">
      <c r="A1163" s="168"/>
      <c r="B1163" s="876"/>
      <c r="C1163" s="161"/>
      <c r="D1163" s="161"/>
      <c r="E1163" s="161"/>
      <c r="F1163" s="41"/>
      <c r="G1163" s="161"/>
      <c r="H1163" s="161"/>
      <c r="I1163" s="166"/>
      <c r="J1163" s="162"/>
      <c r="K1163" s="161"/>
      <c r="L1163" s="161"/>
      <c r="M1163" s="169"/>
      <c r="N1163" s="163" t="str">
        <f t="shared" si="22"/>
        <v/>
      </c>
      <c r="O1163" s="41"/>
      <c r="P1163" s="41"/>
      <c r="Q1163" s="161" t="str">
        <f>+IF(OR(O1163="Fire Control",O1163="Fire Tex 5062",O1163="Fire Tex 5090",O1163="Fire Tex 5120"),'CALCULO PINTURA'!P1164," ")</f>
        <v xml:space="preserve"> </v>
      </c>
      <c r="R1163" s="164" t="str">
        <f>+IF(OR(O1163="Fire Control",O1163="Fire Tex 5062",O1163="Fire Tex 5090",O1163="Fire Tex 5120"),'CALCULO PINTURA'!R1164," ")</f>
        <v xml:space="preserve"> </v>
      </c>
      <c r="S1163" s="164" t="str">
        <f>+IF(OR(O1163="Fire Control",O1163="Fire Tex 5062",O1163="Fire Tex 5090",O1163="Fire Tex 5120"),'CALCULO PINTURA'!S1164," ")</f>
        <v xml:space="preserve"> </v>
      </c>
      <c r="T1163" s="874" t="str">
        <f>+IF(OR(O1163="Blaze Shield II",O1163="Cafco 400",O1163="Cafco 300"),'CALCULO MORTERO'!N1169," ")</f>
        <v xml:space="preserve"> </v>
      </c>
      <c r="U1163" s="875" t="str">
        <f>+IF(OR(O1163="Blaze Shield II",O1163="Cafco 400",O1163="Cafco 300"),'CALCULO MORTERO'!O1169," ")</f>
        <v xml:space="preserve"> </v>
      </c>
      <c r="V1163" s="161" t="str" cm="1">
        <f t="array" ref="V1163">_xlfn.IFS(O1163="Blaze Shield II",'CALCULO MORTERO'!P1164, O1163="Cafco 400",'CALCULO MORTERO'!Q1164,O1163="Cafco 300",'CALCULO MORTERO'!S1164, AND(OR(O1163="Fire tex 5090", O1163="Fire Tex 5062", O1163="Fire Tex 5120", O1163="Fire Control"),Q1163&gt;0), "CERT.",TRUE,"-")</f>
        <v>-</v>
      </c>
    </row>
    <row r="1164" spans="1:22" x14ac:dyDescent="0.25">
      <c r="A1164" s="168"/>
      <c r="B1164" s="876"/>
      <c r="C1164" s="161"/>
      <c r="D1164" s="161"/>
      <c r="E1164" s="161"/>
      <c r="F1164" s="161"/>
      <c r="G1164" s="161"/>
      <c r="H1164" s="161"/>
      <c r="I1164" s="166"/>
      <c r="J1164" s="162"/>
      <c r="K1164" s="161"/>
      <c r="L1164" s="161"/>
      <c r="M1164" s="169"/>
      <c r="N1164" s="163" t="str">
        <f t="shared" si="22"/>
        <v/>
      </c>
      <c r="O1164" s="41"/>
      <c r="P1164" s="41"/>
      <c r="Q1164" s="161" t="str">
        <f>+IF(OR(O1164="Fire Control",O1164="Fire Tex 5062",O1164="Fire Tex 5090",O1164="Fire Tex 5120"),'CALCULO PINTURA'!P1165," ")</f>
        <v xml:space="preserve"> </v>
      </c>
      <c r="R1164" s="164" t="str">
        <f>+IF(OR(O1164="Fire Control",O1164="Fire Tex 5062",O1164="Fire Tex 5090",O1164="Fire Tex 5120"),'CALCULO PINTURA'!R1165," ")</f>
        <v xml:space="preserve"> </v>
      </c>
      <c r="S1164" s="164" t="str">
        <f>+IF(OR(O1164="Fire Control",O1164="Fire Tex 5062",O1164="Fire Tex 5090",O1164="Fire Tex 5120"),'CALCULO PINTURA'!S1165," ")</f>
        <v xml:space="preserve"> </v>
      </c>
      <c r="T1164" s="874" t="str">
        <f>+IF(OR(O1164="Blaze Shield II",O1164="Cafco 400",O1164="Cafco 300"),'CALCULO MORTERO'!N1170," ")</f>
        <v xml:space="preserve"> </v>
      </c>
      <c r="U1164" s="875" t="str">
        <f>+IF(OR(O1164="Blaze Shield II",O1164="Cafco 400",O1164="Cafco 300"),'CALCULO MORTERO'!O1170," ")</f>
        <v xml:space="preserve"> </v>
      </c>
      <c r="V1164" s="161" t="str" cm="1">
        <f t="array" ref="V1164">_xlfn.IFS(O1164="Blaze Shield II",'CALCULO MORTERO'!P1165, O1164="Cafco 400",'CALCULO MORTERO'!Q1165,O1164="Cafco 300",'CALCULO MORTERO'!S1165, AND(OR(O1164="Fire tex 5090", O1164="Fire Tex 5062", O1164="Fire Tex 5120", O1164="Fire Control"),Q1164&gt;0), "CERT.",TRUE,"-")</f>
        <v>-</v>
      </c>
    </row>
    <row r="1165" spans="1:22" x14ac:dyDescent="0.25">
      <c r="A1165" s="168"/>
      <c r="B1165" s="876"/>
      <c r="C1165" s="161"/>
      <c r="D1165" s="161"/>
      <c r="E1165" s="161"/>
      <c r="F1165" s="41"/>
      <c r="G1165" s="161"/>
      <c r="H1165" s="161"/>
      <c r="I1165" s="166"/>
      <c r="J1165" s="162"/>
      <c r="K1165" s="161"/>
      <c r="L1165" s="161"/>
      <c r="M1165" s="169"/>
      <c r="N1165" s="163" t="str">
        <f t="shared" si="22"/>
        <v/>
      </c>
      <c r="O1165" s="41"/>
      <c r="P1165" s="41"/>
      <c r="Q1165" s="161" t="str">
        <f>+IF(OR(O1165="Fire Control",O1165="Fire Tex 5062",O1165="Fire Tex 5090",O1165="Fire Tex 5120"),'CALCULO PINTURA'!P1166," ")</f>
        <v xml:space="preserve"> </v>
      </c>
      <c r="R1165" s="164" t="str">
        <f>+IF(OR(O1165="Fire Control",O1165="Fire Tex 5062",O1165="Fire Tex 5090",O1165="Fire Tex 5120"),'CALCULO PINTURA'!R1166," ")</f>
        <v xml:space="preserve"> </v>
      </c>
      <c r="S1165" s="164" t="str">
        <f>+IF(OR(O1165="Fire Control",O1165="Fire Tex 5062",O1165="Fire Tex 5090",O1165="Fire Tex 5120"),'CALCULO PINTURA'!S1166," ")</f>
        <v xml:space="preserve"> </v>
      </c>
      <c r="T1165" s="874" t="str">
        <f>+IF(OR(O1165="Blaze Shield II",O1165="Cafco 400",O1165="Cafco 300"),'CALCULO MORTERO'!N1171," ")</f>
        <v xml:space="preserve"> </v>
      </c>
      <c r="U1165" s="875" t="str">
        <f>+IF(OR(O1165="Blaze Shield II",O1165="Cafco 400",O1165="Cafco 300"),'CALCULO MORTERO'!O1171," ")</f>
        <v xml:space="preserve"> </v>
      </c>
      <c r="V1165" s="161" t="str" cm="1">
        <f t="array" ref="V1165">_xlfn.IFS(O1165="Blaze Shield II",'CALCULO MORTERO'!P1166, O1165="Cafco 400",'CALCULO MORTERO'!Q1166,O1165="Cafco 300",'CALCULO MORTERO'!S1166, AND(OR(O1165="Fire tex 5090", O1165="Fire Tex 5062", O1165="Fire Tex 5120", O1165="Fire Control"),Q1165&gt;0), "CERT.",TRUE,"-")</f>
        <v>-</v>
      </c>
    </row>
    <row r="1166" spans="1:22" x14ac:dyDescent="0.25">
      <c r="A1166" s="168"/>
      <c r="B1166" s="876"/>
      <c r="C1166" s="161"/>
      <c r="D1166" s="161"/>
      <c r="E1166" s="161"/>
      <c r="F1166" s="41"/>
      <c r="G1166" s="161"/>
      <c r="H1166" s="161"/>
      <c r="I1166" s="166"/>
      <c r="J1166" s="162"/>
      <c r="K1166" s="161"/>
      <c r="L1166" s="161"/>
      <c r="M1166" s="169"/>
      <c r="N1166" s="163" t="str">
        <f t="shared" si="22"/>
        <v/>
      </c>
      <c r="O1166" s="41"/>
      <c r="P1166" s="41"/>
      <c r="Q1166" s="161" t="str">
        <f>+IF(OR(O1166="Fire Control",O1166="Fire Tex 5062",O1166="Fire Tex 5090",O1166="Fire Tex 5120"),'CALCULO PINTURA'!P1167," ")</f>
        <v xml:space="preserve"> </v>
      </c>
      <c r="R1166" s="164" t="str">
        <f>+IF(OR(O1166="Fire Control",O1166="Fire Tex 5062",O1166="Fire Tex 5090",O1166="Fire Tex 5120"),'CALCULO PINTURA'!R1167," ")</f>
        <v xml:space="preserve"> </v>
      </c>
      <c r="S1166" s="164" t="str">
        <f>+IF(OR(O1166="Fire Control",O1166="Fire Tex 5062",O1166="Fire Tex 5090",O1166="Fire Tex 5120"),'CALCULO PINTURA'!S1167," ")</f>
        <v xml:space="preserve"> </v>
      </c>
      <c r="T1166" s="874" t="str">
        <f>+IF(OR(O1166="Blaze Shield II",O1166="Cafco 400",O1166="Cafco 300"),'CALCULO MORTERO'!N1172," ")</f>
        <v xml:space="preserve"> </v>
      </c>
      <c r="U1166" s="875" t="str">
        <f>+IF(OR(O1166="Blaze Shield II",O1166="Cafco 400",O1166="Cafco 300"),'CALCULO MORTERO'!O1172," ")</f>
        <v xml:space="preserve"> </v>
      </c>
      <c r="V1166" s="161" t="str" cm="1">
        <f t="array" ref="V1166">_xlfn.IFS(O1166="Blaze Shield II",'CALCULO MORTERO'!P1167, O1166="Cafco 400",'CALCULO MORTERO'!Q1167,O1166="Cafco 300",'CALCULO MORTERO'!S1167, AND(OR(O1166="Fire tex 5090", O1166="Fire Tex 5062", O1166="Fire Tex 5120", O1166="Fire Control"),Q1166&gt;0), "CERT.",TRUE,"-")</f>
        <v>-</v>
      </c>
    </row>
    <row r="1167" spans="1:22" x14ac:dyDescent="0.25">
      <c r="A1167" s="168"/>
      <c r="B1167" s="876"/>
      <c r="C1167" s="161"/>
      <c r="D1167" s="161"/>
      <c r="E1167" s="161"/>
      <c r="F1167" s="41"/>
      <c r="G1167" s="161"/>
      <c r="H1167" s="161"/>
      <c r="I1167" s="166"/>
      <c r="J1167" s="162"/>
      <c r="K1167" s="161"/>
      <c r="L1167" s="161"/>
      <c r="M1167" s="169"/>
      <c r="N1167" s="163" t="str">
        <f t="shared" si="22"/>
        <v/>
      </c>
      <c r="O1167" s="41"/>
      <c r="P1167" s="41"/>
      <c r="Q1167" s="161" t="str">
        <f>+IF(OR(O1167="Fire Control",O1167="Fire Tex 5062",O1167="Fire Tex 5090",O1167="Fire Tex 5120"),'CALCULO PINTURA'!P1168," ")</f>
        <v xml:space="preserve"> </v>
      </c>
      <c r="R1167" s="164" t="str">
        <f>+IF(OR(O1167="Fire Control",O1167="Fire Tex 5062",O1167="Fire Tex 5090",O1167="Fire Tex 5120"),'CALCULO PINTURA'!R1168," ")</f>
        <v xml:space="preserve"> </v>
      </c>
      <c r="S1167" s="164" t="str">
        <f>+IF(OR(O1167="Fire Control",O1167="Fire Tex 5062",O1167="Fire Tex 5090",O1167="Fire Tex 5120"),'CALCULO PINTURA'!S1168," ")</f>
        <v xml:space="preserve"> </v>
      </c>
      <c r="T1167" s="874" t="str">
        <f>+IF(OR(O1167="Blaze Shield II",O1167="Cafco 400",O1167="Cafco 300"),'CALCULO MORTERO'!N1173," ")</f>
        <v xml:space="preserve"> </v>
      </c>
      <c r="U1167" s="875" t="str">
        <f>+IF(OR(O1167="Blaze Shield II",O1167="Cafco 400",O1167="Cafco 300"),'CALCULO MORTERO'!O1173," ")</f>
        <v xml:space="preserve"> </v>
      </c>
      <c r="V1167" s="161" t="str" cm="1">
        <f t="array" ref="V1167">_xlfn.IFS(O1167="Blaze Shield II",'CALCULO MORTERO'!P1168, O1167="Cafco 400",'CALCULO MORTERO'!Q1168,O1167="Cafco 300",'CALCULO MORTERO'!S1168, AND(OR(O1167="Fire tex 5090", O1167="Fire Tex 5062", O1167="Fire Tex 5120", O1167="Fire Control"),Q1167&gt;0), "CERT.",TRUE,"-")</f>
        <v>-</v>
      </c>
    </row>
    <row r="1168" spans="1:22" x14ac:dyDescent="0.25">
      <c r="A1168" s="168"/>
      <c r="B1168" s="876"/>
      <c r="C1168" s="161"/>
      <c r="D1168" s="161"/>
      <c r="E1168" s="161"/>
      <c r="F1168" s="41"/>
      <c r="G1168" s="161"/>
      <c r="H1168" s="161"/>
      <c r="I1168" s="166"/>
      <c r="J1168" s="162"/>
      <c r="K1168" s="161"/>
      <c r="L1168" s="161"/>
      <c r="M1168" s="169"/>
      <c r="N1168" s="163" t="str">
        <f t="shared" si="22"/>
        <v/>
      </c>
      <c r="O1168" s="41"/>
      <c r="P1168" s="41"/>
      <c r="Q1168" s="161" t="str">
        <f>+IF(OR(O1168="Fire Control",O1168="Fire Tex 5062",O1168="Fire Tex 5090",O1168="Fire Tex 5120"),'CALCULO PINTURA'!P1169," ")</f>
        <v xml:space="preserve"> </v>
      </c>
      <c r="R1168" s="164" t="str">
        <f>+IF(OR(O1168="Fire Control",O1168="Fire Tex 5062",O1168="Fire Tex 5090",O1168="Fire Tex 5120"),'CALCULO PINTURA'!R1169," ")</f>
        <v xml:space="preserve"> </v>
      </c>
      <c r="S1168" s="164" t="str">
        <f>+IF(OR(O1168="Fire Control",O1168="Fire Tex 5062",O1168="Fire Tex 5090",O1168="Fire Tex 5120"),'CALCULO PINTURA'!S1169," ")</f>
        <v xml:space="preserve"> </v>
      </c>
      <c r="T1168" s="874" t="str">
        <f>+IF(OR(O1168="Blaze Shield II",O1168="Cafco 400",O1168="Cafco 300"),'CALCULO MORTERO'!N1174," ")</f>
        <v xml:space="preserve"> </v>
      </c>
      <c r="U1168" s="875" t="str">
        <f>+IF(OR(O1168="Blaze Shield II",O1168="Cafco 400",O1168="Cafco 300"),'CALCULO MORTERO'!O1174," ")</f>
        <v xml:space="preserve"> </v>
      </c>
      <c r="V1168" s="161" t="str" cm="1">
        <f t="array" ref="V1168">_xlfn.IFS(O1168="Blaze Shield II",'CALCULO MORTERO'!P1169, O1168="Cafco 400",'CALCULO MORTERO'!Q1169,O1168="Cafco 300",'CALCULO MORTERO'!S1169, AND(OR(O1168="Fire tex 5090", O1168="Fire Tex 5062", O1168="Fire Tex 5120", O1168="Fire Control"),Q1168&gt;0), "CERT.",TRUE,"-")</f>
        <v>-</v>
      </c>
    </row>
    <row r="1169" spans="1:22" x14ac:dyDescent="0.25">
      <c r="A1169" s="168"/>
      <c r="B1169" s="876"/>
      <c r="C1169" s="161"/>
      <c r="D1169" s="161"/>
      <c r="E1169" s="161"/>
      <c r="F1169" s="41"/>
      <c r="G1169" s="161"/>
      <c r="H1169" s="161"/>
      <c r="I1169" s="166"/>
      <c r="J1169" s="162"/>
      <c r="K1169" s="161"/>
      <c r="L1169" s="161"/>
      <c r="M1169" s="163"/>
      <c r="N1169" s="163" t="str">
        <f t="shared" si="22"/>
        <v/>
      </c>
      <c r="O1169" s="41"/>
      <c r="P1169" s="41"/>
      <c r="Q1169" s="161" t="str">
        <f>+IF(OR(O1169="Fire Control",O1169="Fire Tex 5062",O1169="Fire Tex 5090",O1169="Fire Tex 5120"),'CALCULO PINTURA'!P1170," ")</f>
        <v xml:space="preserve"> </v>
      </c>
      <c r="R1169" s="164" t="str">
        <f>+IF(OR(O1169="Fire Control",O1169="Fire Tex 5062",O1169="Fire Tex 5090",O1169="Fire Tex 5120"),'CALCULO PINTURA'!R1170," ")</f>
        <v xml:space="preserve"> </v>
      </c>
      <c r="S1169" s="164" t="str">
        <f>+IF(OR(O1169="Fire Control",O1169="Fire Tex 5062",O1169="Fire Tex 5090",O1169="Fire Tex 5120"),'CALCULO PINTURA'!S1170," ")</f>
        <v xml:space="preserve"> </v>
      </c>
      <c r="T1169" s="874" t="str">
        <f>+IF(OR(O1169="Blaze Shield II",O1169="Cafco 400",O1169="Cafco 300"),'CALCULO MORTERO'!N1175," ")</f>
        <v xml:space="preserve"> </v>
      </c>
      <c r="U1169" s="875" t="str">
        <f>+IF(OR(O1169="Blaze Shield II",O1169="Cafco 400",O1169="Cafco 300"),'CALCULO MORTERO'!O1175," ")</f>
        <v xml:space="preserve"> </v>
      </c>
      <c r="V1169" s="161" t="str" cm="1">
        <f t="array" ref="V1169">_xlfn.IFS(O1169="Blaze Shield II",'CALCULO MORTERO'!P1170, O1169="Cafco 400",'CALCULO MORTERO'!Q1170,O1169="Cafco 300",'CALCULO MORTERO'!S1170, AND(OR(O1169="Fire tex 5090", O1169="Fire Tex 5062", O1169="Fire Tex 5120", O1169="Fire Control"),Q1169&gt;0), "CERT.",TRUE,"-")</f>
        <v>-</v>
      </c>
    </row>
    <row r="1170" spans="1:22" x14ac:dyDescent="0.25">
      <c r="A1170" s="168"/>
      <c r="B1170" s="876"/>
      <c r="C1170" s="161"/>
      <c r="D1170" s="161"/>
      <c r="E1170" s="161"/>
      <c r="F1170" s="41"/>
      <c r="G1170" s="161"/>
      <c r="H1170" s="161"/>
      <c r="I1170" s="166"/>
      <c r="J1170" s="162"/>
      <c r="K1170" s="161"/>
      <c r="L1170" s="161"/>
      <c r="M1170" s="163"/>
      <c r="N1170" s="163" t="str">
        <f t="shared" si="22"/>
        <v/>
      </c>
      <c r="O1170" s="41"/>
      <c r="P1170" s="41"/>
      <c r="Q1170" s="161" t="str">
        <f>+IF(OR(O1170="Fire Control",O1170="Fire Tex 5062",O1170="Fire Tex 5090",O1170="Fire Tex 5120"),'CALCULO PINTURA'!P1171," ")</f>
        <v xml:space="preserve"> </v>
      </c>
      <c r="R1170" s="164" t="str">
        <f>+IF(OR(O1170="Fire Control",O1170="Fire Tex 5062",O1170="Fire Tex 5090",O1170="Fire Tex 5120"),'CALCULO PINTURA'!R1171," ")</f>
        <v xml:space="preserve"> </v>
      </c>
      <c r="S1170" s="164" t="str">
        <f>+IF(OR(O1170="Fire Control",O1170="Fire Tex 5062",O1170="Fire Tex 5090",O1170="Fire Tex 5120"),'CALCULO PINTURA'!S1171," ")</f>
        <v xml:space="preserve"> </v>
      </c>
      <c r="T1170" s="874" t="str">
        <f>+IF(OR(O1170="Blaze Shield II",O1170="Cafco 400",O1170="Cafco 300"),'CALCULO MORTERO'!N1176," ")</f>
        <v xml:space="preserve"> </v>
      </c>
      <c r="U1170" s="875" t="str">
        <f>+IF(OR(O1170="Blaze Shield II",O1170="Cafco 400",O1170="Cafco 300"),'CALCULO MORTERO'!O1176," ")</f>
        <v xml:space="preserve"> </v>
      </c>
      <c r="V1170" s="161" t="str" cm="1">
        <f t="array" ref="V1170">_xlfn.IFS(O1170="Blaze Shield II",'CALCULO MORTERO'!P1171, O1170="Cafco 400",'CALCULO MORTERO'!Q1171,O1170="Cafco 300",'CALCULO MORTERO'!S1171, AND(OR(O1170="Fire tex 5090", O1170="Fire Tex 5062", O1170="Fire Tex 5120", O1170="Fire Control"),Q1170&gt;0), "CERT.",TRUE,"-")</f>
        <v>-</v>
      </c>
    </row>
    <row r="1171" spans="1:22" x14ac:dyDescent="0.25">
      <c r="A1171" s="168"/>
      <c r="B1171" s="876"/>
      <c r="C1171" s="161"/>
      <c r="D1171" s="161"/>
      <c r="E1171" s="161"/>
      <c r="F1171" s="41"/>
      <c r="G1171" s="161"/>
      <c r="H1171" s="161"/>
      <c r="I1171" s="166"/>
      <c r="J1171" s="162"/>
      <c r="K1171" s="161"/>
      <c r="L1171" s="161"/>
      <c r="M1171" s="163"/>
      <c r="N1171" s="163" t="str">
        <f t="shared" si="22"/>
        <v/>
      </c>
      <c r="O1171" s="41"/>
      <c r="P1171" s="41"/>
      <c r="Q1171" s="161" t="str">
        <f>+IF(OR(O1171="Fire Control",O1171="Fire Tex 5062",O1171="Fire Tex 5090",O1171="Fire Tex 5120"),'CALCULO PINTURA'!P1172," ")</f>
        <v xml:space="preserve"> </v>
      </c>
      <c r="R1171" s="164" t="str">
        <f>+IF(OR(O1171="Fire Control",O1171="Fire Tex 5062",O1171="Fire Tex 5090",O1171="Fire Tex 5120"),'CALCULO PINTURA'!R1172," ")</f>
        <v xml:space="preserve"> </v>
      </c>
      <c r="S1171" s="164" t="str">
        <f>+IF(OR(O1171="Fire Control",O1171="Fire Tex 5062",O1171="Fire Tex 5090",O1171="Fire Tex 5120"),'CALCULO PINTURA'!S1172," ")</f>
        <v xml:space="preserve"> </v>
      </c>
      <c r="T1171" s="874" t="str">
        <f>+IF(OR(O1171="Blaze Shield II",O1171="Cafco 400",O1171="Cafco 300"),'CALCULO MORTERO'!N1177," ")</f>
        <v xml:space="preserve"> </v>
      </c>
      <c r="U1171" s="875" t="str">
        <f>+IF(OR(O1171="Blaze Shield II",O1171="Cafco 400",O1171="Cafco 300"),'CALCULO MORTERO'!O1177," ")</f>
        <v xml:space="preserve"> </v>
      </c>
      <c r="V1171" s="161" t="str" cm="1">
        <f t="array" ref="V1171">_xlfn.IFS(O1171="Blaze Shield II",'CALCULO MORTERO'!P1172, O1171="Cafco 400",'CALCULO MORTERO'!Q1172,O1171="Cafco 300",'CALCULO MORTERO'!S1172, AND(OR(O1171="Fire tex 5090", O1171="Fire Tex 5062", O1171="Fire Tex 5120", O1171="Fire Control"),Q1171&gt;0), "CERT.",TRUE,"-")</f>
        <v>-</v>
      </c>
    </row>
    <row r="1172" spans="1:22" x14ac:dyDescent="0.25">
      <c r="A1172" s="168"/>
      <c r="B1172" s="876"/>
      <c r="C1172" s="161"/>
      <c r="D1172" s="161"/>
      <c r="E1172" s="161"/>
      <c r="F1172" s="41"/>
      <c r="G1172" s="161"/>
      <c r="H1172" s="161"/>
      <c r="I1172" s="166"/>
      <c r="J1172" s="162"/>
      <c r="K1172" s="161"/>
      <c r="L1172" s="161"/>
      <c r="M1172" s="169"/>
      <c r="N1172" s="163" t="str">
        <f t="shared" si="22"/>
        <v/>
      </c>
      <c r="O1172" s="41"/>
      <c r="P1172" s="41"/>
      <c r="Q1172" s="161" t="str">
        <f>+IF(OR(O1172="Fire Control",O1172="Fire Tex 5062",O1172="Fire Tex 5090",O1172="Fire Tex 5120"),'CALCULO PINTURA'!P1173," ")</f>
        <v xml:space="preserve"> </v>
      </c>
      <c r="R1172" s="164" t="str">
        <f>+IF(OR(O1172="Fire Control",O1172="Fire Tex 5062",O1172="Fire Tex 5090",O1172="Fire Tex 5120"),'CALCULO PINTURA'!R1173," ")</f>
        <v xml:space="preserve"> </v>
      </c>
      <c r="S1172" s="164" t="str">
        <f>+IF(OR(O1172="Fire Control",O1172="Fire Tex 5062",O1172="Fire Tex 5090",O1172="Fire Tex 5120"),'CALCULO PINTURA'!S1173," ")</f>
        <v xml:space="preserve"> </v>
      </c>
      <c r="T1172" s="874" t="str">
        <f>+IF(OR(O1172="Blaze Shield II",O1172="Cafco 400",O1172="Cafco 300"),'CALCULO MORTERO'!N1178," ")</f>
        <v xml:space="preserve"> </v>
      </c>
      <c r="U1172" s="875" t="str">
        <f>+IF(OR(O1172="Blaze Shield II",O1172="Cafco 400",O1172="Cafco 300"),'CALCULO MORTERO'!O1178," ")</f>
        <v xml:space="preserve"> </v>
      </c>
      <c r="V1172" s="161" t="str" cm="1">
        <f t="array" ref="V1172">_xlfn.IFS(O1172="Blaze Shield II",'CALCULO MORTERO'!P1173, O1172="Cafco 400",'CALCULO MORTERO'!Q1173,O1172="Cafco 300",'CALCULO MORTERO'!S1173, AND(OR(O1172="Fire tex 5090", O1172="Fire Tex 5062", O1172="Fire Tex 5120", O1172="Fire Control"),Q1172&gt;0), "CERT.",TRUE,"-")</f>
        <v>-</v>
      </c>
    </row>
    <row r="1173" spans="1:22" x14ac:dyDescent="0.25">
      <c r="A1173" s="168"/>
      <c r="B1173" s="876"/>
      <c r="C1173" s="161"/>
      <c r="D1173" s="161"/>
      <c r="E1173" s="161"/>
      <c r="F1173" s="41"/>
      <c r="G1173" s="161"/>
      <c r="H1173" s="161"/>
      <c r="I1173" s="166"/>
      <c r="J1173" s="162"/>
      <c r="K1173" s="161"/>
      <c r="L1173" s="161"/>
      <c r="M1173" s="169"/>
      <c r="N1173" s="163" t="str">
        <f t="shared" si="22"/>
        <v/>
      </c>
      <c r="O1173" s="41"/>
      <c r="P1173" s="41"/>
      <c r="Q1173" s="161" t="str">
        <f>+IF(OR(O1173="Fire Control",O1173="Fire Tex 5062",O1173="Fire Tex 5090",O1173="Fire Tex 5120"),'CALCULO PINTURA'!P1174," ")</f>
        <v xml:space="preserve"> </v>
      </c>
      <c r="R1173" s="164" t="str">
        <f>+IF(OR(O1173="Fire Control",O1173="Fire Tex 5062",O1173="Fire Tex 5090",O1173="Fire Tex 5120"),'CALCULO PINTURA'!R1174," ")</f>
        <v xml:space="preserve"> </v>
      </c>
      <c r="S1173" s="164" t="str">
        <f>+IF(OR(O1173="Fire Control",O1173="Fire Tex 5062",O1173="Fire Tex 5090",O1173="Fire Tex 5120"),'CALCULO PINTURA'!S1174," ")</f>
        <v xml:space="preserve"> </v>
      </c>
      <c r="T1173" s="874" t="str">
        <f>+IF(OR(O1173="Blaze Shield II",O1173="Cafco 400",O1173="Cafco 300"),'CALCULO MORTERO'!N1179," ")</f>
        <v xml:space="preserve"> </v>
      </c>
      <c r="U1173" s="875" t="str">
        <f>+IF(OR(O1173="Blaze Shield II",O1173="Cafco 400",O1173="Cafco 300"),'CALCULO MORTERO'!O1179," ")</f>
        <v xml:space="preserve"> </v>
      </c>
      <c r="V1173" s="161" t="str" cm="1">
        <f t="array" ref="V1173">_xlfn.IFS(O1173="Blaze Shield II",'CALCULO MORTERO'!P1174, O1173="Cafco 400",'CALCULO MORTERO'!Q1174,O1173="Cafco 300",'CALCULO MORTERO'!S1174, AND(OR(O1173="Fire tex 5090", O1173="Fire Tex 5062", O1173="Fire Tex 5120", O1173="Fire Control"),Q1173&gt;0), "CERT.",TRUE,"-")</f>
        <v>-</v>
      </c>
    </row>
    <row r="1174" spans="1:22" x14ac:dyDescent="0.25">
      <c r="A1174" s="168"/>
      <c r="B1174" s="876"/>
      <c r="C1174" s="161"/>
      <c r="D1174" s="161"/>
      <c r="E1174" s="161"/>
      <c r="F1174" s="41"/>
      <c r="G1174" s="161"/>
      <c r="H1174" s="161"/>
      <c r="I1174" s="166"/>
      <c r="J1174" s="162"/>
      <c r="K1174" s="161"/>
      <c r="L1174" s="161"/>
      <c r="M1174" s="169"/>
      <c r="N1174" s="163" t="str">
        <f t="shared" si="22"/>
        <v/>
      </c>
      <c r="O1174" s="41"/>
      <c r="P1174" s="41"/>
      <c r="Q1174" s="161" t="str">
        <f>+IF(OR(O1174="Fire Control",O1174="Fire Tex 5062",O1174="Fire Tex 5090",O1174="Fire Tex 5120"),'CALCULO PINTURA'!P1175," ")</f>
        <v xml:space="preserve"> </v>
      </c>
      <c r="R1174" s="164" t="str">
        <f>+IF(OR(O1174="Fire Control",O1174="Fire Tex 5062",O1174="Fire Tex 5090",O1174="Fire Tex 5120"),'CALCULO PINTURA'!R1175," ")</f>
        <v xml:space="preserve"> </v>
      </c>
      <c r="S1174" s="164" t="str">
        <f>+IF(OR(O1174="Fire Control",O1174="Fire Tex 5062",O1174="Fire Tex 5090",O1174="Fire Tex 5120"),'CALCULO PINTURA'!S1175," ")</f>
        <v xml:space="preserve"> </v>
      </c>
      <c r="T1174" s="874" t="str">
        <f>+IF(OR(O1174="Blaze Shield II",O1174="Cafco 400",O1174="Cafco 300"),'CALCULO MORTERO'!N1180," ")</f>
        <v xml:space="preserve"> </v>
      </c>
      <c r="U1174" s="875" t="str">
        <f>+IF(OR(O1174="Blaze Shield II",O1174="Cafco 400",O1174="Cafco 300"),'CALCULO MORTERO'!O1180," ")</f>
        <v xml:space="preserve"> </v>
      </c>
      <c r="V1174" s="161" t="str" cm="1">
        <f t="array" ref="V1174">_xlfn.IFS(O1174="Blaze Shield II",'CALCULO MORTERO'!P1175, O1174="Cafco 400",'CALCULO MORTERO'!Q1175,O1174="Cafco 300",'CALCULO MORTERO'!S1175, AND(OR(O1174="Fire tex 5090", O1174="Fire Tex 5062", O1174="Fire Tex 5120", O1174="Fire Control"),Q1174&gt;0), "CERT.",TRUE,"-")</f>
        <v>-</v>
      </c>
    </row>
    <row r="1175" spans="1:22" x14ac:dyDescent="0.25">
      <c r="A1175" s="168"/>
      <c r="B1175" s="876"/>
      <c r="C1175" s="161"/>
      <c r="D1175" s="161"/>
      <c r="E1175" s="161"/>
      <c r="F1175" s="41"/>
      <c r="G1175" s="161"/>
      <c r="H1175" s="161"/>
      <c r="I1175" s="166"/>
      <c r="J1175" s="162"/>
      <c r="K1175" s="161"/>
      <c r="L1175" s="161"/>
      <c r="M1175" s="169"/>
      <c r="N1175" s="163" t="str">
        <f t="shared" si="22"/>
        <v/>
      </c>
      <c r="O1175" s="41"/>
      <c r="P1175" s="41"/>
      <c r="Q1175" s="161" t="str">
        <f>+IF(OR(O1175="Fire Control",O1175="Fire Tex 5062",O1175="Fire Tex 5090",O1175="Fire Tex 5120"),'CALCULO PINTURA'!P1176," ")</f>
        <v xml:space="preserve"> </v>
      </c>
      <c r="R1175" s="164" t="str">
        <f>+IF(OR(O1175="Fire Control",O1175="Fire Tex 5062",O1175="Fire Tex 5090",O1175="Fire Tex 5120"),'CALCULO PINTURA'!R1176," ")</f>
        <v xml:space="preserve"> </v>
      </c>
      <c r="S1175" s="164" t="str">
        <f>+IF(OR(O1175="Fire Control",O1175="Fire Tex 5062",O1175="Fire Tex 5090",O1175="Fire Tex 5120"),'CALCULO PINTURA'!S1176," ")</f>
        <v xml:space="preserve"> </v>
      </c>
      <c r="T1175" s="874" t="str">
        <f>+IF(OR(O1175="Blaze Shield II",O1175="Cafco 400",O1175="Cafco 300"),'CALCULO MORTERO'!N1181," ")</f>
        <v xml:space="preserve"> </v>
      </c>
      <c r="U1175" s="875" t="str">
        <f>+IF(OR(O1175="Blaze Shield II",O1175="Cafco 400",O1175="Cafco 300"),'CALCULO MORTERO'!O1181," ")</f>
        <v xml:space="preserve"> </v>
      </c>
      <c r="V1175" s="161" t="str" cm="1">
        <f t="array" ref="V1175">_xlfn.IFS(O1175="Blaze Shield II",'CALCULO MORTERO'!P1176, O1175="Cafco 400",'CALCULO MORTERO'!Q1176,O1175="Cafco 300",'CALCULO MORTERO'!S1176, AND(OR(O1175="Fire tex 5090", O1175="Fire Tex 5062", O1175="Fire Tex 5120", O1175="Fire Control"),Q1175&gt;0), "CERT.",TRUE,"-")</f>
        <v>-</v>
      </c>
    </row>
    <row r="1176" spans="1:22" x14ac:dyDescent="0.25">
      <c r="A1176" s="168"/>
      <c r="B1176" s="876"/>
      <c r="C1176" s="161"/>
      <c r="D1176" s="161"/>
      <c r="E1176" s="161"/>
      <c r="F1176" s="41"/>
      <c r="G1176" s="161"/>
      <c r="H1176" s="161"/>
      <c r="I1176" s="166"/>
      <c r="J1176" s="162"/>
      <c r="K1176" s="162"/>
      <c r="L1176" s="161"/>
      <c r="M1176" s="169"/>
      <c r="N1176" s="163" t="str">
        <f t="shared" si="22"/>
        <v/>
      </c>
      <c r="O1176" s="41"/>
      <c r="P1176" s="41"/>
      <c r="Q1176" s="161" t="str">
        <f>+IF(OR(O1176="Fire Control",O1176="Fire Tex 5062",O1176="Fire Tex 5090",O1176="Fire Tex 5120"),'CALCULO PINTURA'!P1177," ")</f>
        <v xml:space="preserve"> </v>
      </c>
      <c r="R1176" s="164" t="str">
        <f>+IF(OR(O1176="Fire Control",O1176="Fire Tex 5062",O1176="Fire Tex 5090",O1176="Fire Tex 5120"),'CALCULO PINTURA'!R1177," ")</f>
        <v xml:space="preserve"> </v>
      </c>
      <c r="S1176" s="164" t="str">
        <f>+IF(OR(O1176="Fire Control",O1176="Fire Tex 5062",O1176="Fire Tex 5090",O1176="Fire Tex 5120"),'CALCULO PINTURA'!S1177," ")</f>
        <v xml:space="preserve"> </v>
      </c>
      <c r="T1176" s="874" t="str">
        <f>+IF(OR(O1176="Blaze Shield II",O1176="Cafco 400",O1176="Cafco 300"),'CALCULO MORTERO'!N1182," ")</f>
        <v xml:space="preserve"> </v>
      </c>
      <c r="U1176" s="875" t="str">
        <f>+IF(OR(O1176="Blaze Shield II",O1176="Cafco 400",O1176="Cafco 300"),'CALCULO MORTERO'!O1182," ")</f>
        <v xml:space="preserve"> </v>
      </c>
      <c r="V1176" s="161" t="str" cm="1">
        <f t="array" ref="V1176">_xlfn.IFS(O1176="Blaze Shield II",'CALCULO MORTERO'!P1177, O1176="Cafco 400",'CALCULO MORTERO'!Q1177,O1176="Cafco 300",'CALCULO MORTERO'!S1177, AND(OR(O1176="Fire tex 5090", O1176="Fire Tex 5062", O1176="Fire Tex 5120", O1176="Fire Control"),Q1176&gt;0), "CERT.",TRUE,"-")</f>
        <v>-</v>
      </c>
    </row>
    <row r="1177" spans="1:22" x14ac:dyDescent="0.25">
      <c r="A1177" s="168"/>
      <c r="B1177" s="876"/>
      <c r="C1177" s="161"/>
      <c r="D1177" s="161"/>
      <c r="E1177" s="161"/>
      <c r="F1177" s="41"/>
      <c r="G1177" s="161"/>
      <c r="H1177" s="161"/>
      <c r="I1177" s="166"/>
      <c r="J1177" s="162"/>
      <c r="K1177" s="161"/>
      <c r="L1177" s="161"/>
      <c r="M1177" s="169"/>
      <c r="N1177" s="163" t="str">
        <f t="shared" si="22"/>
        <v/>
      </c>
      <c r="O1177" s="41"/>
      <c r="P1177" s="41"/>
      <c r="Q1177" s="161" t="str">
        <f>+IF(OR(O1177="Fire Control",O1177="Fire Tex 5062",O1177="Fire Tex 5090",O1177="Fire Tex 5120"),'CALCULO PINTURA'!P1178," ")</f>
        <v xml:space="preserve"> </v>
      </c>
      <c r="R1177" s="164" t="str">
        <f>+IF(OR(O1177="Fire Control",O1177="Fire Tex 5062",O1177="Fire Tex 5090",O1177="Fire Tex 5120"),'CALCULO PINTURA'!R1178," ")</f>
        <v xml:space="preserve"> </v>
      </c>
      <c r="S1177" s="164" t="str">
        <f>+IF(OR(O1177="Fire Control",O1177="Fire Tex 5062",O1177="Fire Tex 5090",O1177="Fire Tex 5120"),'CALCULO PINTURA'!S1178," ")</f>
        <v xml:space="preserve"> </v>
      </c>
      <c r="T1177" s="874" t="str">
        <f>+IF(OR(O1177="Blaze Shield II",O1177="Cafco 400",O1177="Cafco 300"),'CALCULO MORTERO'!N1183," ")</f>
        <v xml:space="preserve"> </v>
      </c>
      <c r="U1177" s="875" t="str">
        <f>+IF(OR(O1177="Blaze Shield II",O1177="Cafco 400",O1177="Cafco 300"),'CALCULO MORTERO'!O1183," ")</f>
        <v xml:space="preserve"> </v>
      </c>
      <c r="V1177" s="161" t="str" cm="1">
        <f t="array" ref="V1177">_xlfn.IFS(O1177="Blaze Shield II",'CALCULO MORTERO'!P1178, O1177="Cafco 400",'CALCULO MORTERO'!Q1178,O1177="Cafco 300",'CALCULO MORTERO'!S1178, AND(OR(O1177="Fire tex 5090", O1177="Fire Tex 5062", O1177="Fire Tex 5120", O1177="Fire Control"),Q1177&gt;0), "CERT.",TRUE,"-")</f>
        <v>-</v>
      </c>
    </row>
    <row r="1178" spans="1:22" x14ac:dyDescent="0.25">
      <c r="A1178" s="168"/>
      <c r="B1178" s="876"/>
      <c r="C1178" s="161"/>
      <c r="D1178" s="161"/>
      <c r="E1178" s="161"/>
      <c r="F1178" s="41"/>
      <c r="G1178" s="161"/>
      <c r="H1178" s="161"/>
      <c r="I1178" s="166"/>
      <c r="J1178" s="162"/>
      <c r="K1178" s="161"/>
      <c r="L1178" s="161"/>
      <c r="M1178" s="169"/>
      <c r="N1178" s="163" t="str">
        <f t="shared" si="22"/>
        <v/>
      </c>
      <c r="O1178" s="41"/>
      <c r="P1178" s="41"/>
      <c r="Q1178" s="161" t="str">
        <f>+IF(OR(O1178="Fire Control",O1178="Fire Tex 5062",O1178="Fire Tex 5090",O1178="Fire Tex 5120"),'CALCULO PINTURA'!P1179," ")</f>
        <v xml:space="preserve"> </v>
      </c>
      <c r="R1178" s="164" t="str">
        <f>+IF(OR(O1178="Fire Control",O1178="Fire Tex 5062",O1178="Fire Tex 5090",O1178="Fire Tex 5120"),'CALCULO PINTURA'!R1179," ")</f>
        <v xml:space="preserve"> </v>
      </c>
      <c r="S1178" s="164" t="str">
        <f>+IF(OR(O1178="Fire Control",O1178="Fire Tex 5062",O1178="Fire Tex 5090",O1178="Fire Tex 5120"),'CALCULO PINTURA'!S1179," ")</f>
        <v xml:space="preserve"> </v>
      </c>
      <c r="T1178" s="874" t="str">
        <f>+IF(OR(O1178="Blaze Shield II",O1178="Cafco 400",O1178="Cafco 300"),'CALCULO MORTERO'!N1184," ")</f>
        <v xml:space="preserve"> </v>
      </c>
      <c r="U1178" s="875" t="str">
        <f>+IF(OR(O1178="Blaze Shield II",O1178="Cafco 400",O1178="Cafco 300"),'CALCULO MORTERO'!O1184," ")</f>
        <v xml:space="preserve"> </v>
      </c>
      <c r="V1178" s="161" t="str" cm="1">
        <f t="array" ref="V1178">_xlfn.IFS(O1178="Blaze Shield II",'CALCULO MORTERO'!P1179, O1178="Cafco 400",'CALCULO MORTERO'!Q1179,O1178="Cafco 300",'CALCULO MORTERO'!S1179, AND(OR(O1178="Fire tex 5090", O1178="Fire Tex 5062", O1178="Fire Tex 5120", O1178="Fire Control"),Q1178&gt;0), "CERT.",TRUE,"-")</f>
        <v>-</v>
      </c>
    </row>
    <row r="1179" spans="1:22" x14ac:dyDescent="0.25">
      <c r="A1179" s="168"/>
      <c r="B1179" s="876"/>
      <c r="C1179" s="161"/>
      <c r="D1179" s="161"/>
      <c r="E1179" s="161"/>
      <c r="F1179" s="41"/>
      <c r="G1179" s="161"/>
      <c r="H1179" s="161"/>
      <c r="I1179" s="166"/>
      <c r="J1179" s="162"/>
      <c r="K1179" s="161"/>
      <c r="L1179" s="161"/>
      <c r="M1179" s="169"/>
      <c r="N1179" s="163" t="str">
        <f t="shared" si="22"/>
        <v/>
      </c>
      <c r="O1179" s="41"/>
      <c r="P1179" s="41"/>
      <c r="Q1179" s="161" t="str">
        <f>+IF(OR(O1179="Fire Control",O1179="Fire Tex 5062",O1179="Fire Tex 5090",O1179="Fire Tex 5120"),'CALCULO PINTURA'!P1180," ")</f>
        <v xml:space="preserve"> </v>
      </c>
      <c r="R1179" s="164" t="str">
        <f>+IF(OR(O1179="Fire Control",O1179="Fire Tex 5062",O1179="Fire Tex 5090",O1179="Fire Tex 5120"),'CALCULO PINTURA'!R1180," ")</f>
        <v xml:space="preserve"> </v>
      </c>
      <c r="S1179" s="164" t="str">
        <f>+IF(OR(O1179="Fire Control",O1179="Fire Tex 5062",O1179="Fire Tex 5090",O1179="Fire Tex 5120"),'CALCULO PINTURA'!S1180," ")</f>
        <v xml:space="preserve"> </v>
      </c>
      <c r="T1179" s="874" t="str">
        <f>+IF(OR(O1179="Blaze Shield II",O1179="Cafco 400",O1179="Cafco 300"),'CALCULO MORTERO'!N1185," ")</f>
        <v xml:space="preserve"> </v>
      </c>
      <c r="U1179" s="875" t="str">
        <f>+IF(OR(O1179="Blaze Shield II",O1179="Cafco 400",O1179="Cafco 300"),'CALCULO MORTERO'!O1185," ")</f>
        <v xml:space="preserve"> </v>
      </c>
      <c r="V1179" s="161" t="str" cm="1">
        <f t="array" ref="V1179">_xlfn.IFS(O1179="Blaze Shield II",'CALCULO MORTERO'!P1180, O1179="Cafco 400",'CALCULO MORTERO'!Q1180,O1179="Cafco 300",'CALCULO MORTERO'!S1180, AND(OR(O1179="Fire tex 5090", O1179="Fire Tex 5062", O1179="Fire Tex 5120", O1179="Fire Control"),Q1179&gt;0), "CERT.",TRUE,"-")</f>
        <v>-</v>
      </c>
    </row>
    <row r="1180" spans="1:22" x14ac:dyDescent="0.25">
      <c r="A1180" s="168"/>
      <c r="B1180" s="876"/>
      <c r="C1180" s="161"/>
      <c r="D1180" s="161"/>
      <c r="E1180" s="161"/>
      <c r="F1180" s="41"/>
      <c r="G1180" s="161"/>
      <c r="H1180" s="161"/>
      <c r="I1180" s="166"/>
      <c r="J1180" s="162"/>
      <c r="K1180" s="161"/>
      <c r="L1180" s="161"/>
      <c r="M1180" s="169"/>
      <c r="N1180" s="163" t="str">
        <f t="shared" si="22"/>
        <v/>
      </c>
      <c r="O1180" s="41"/>
      <c r="P1180" s="41"/>
      <c r="Q1180" s="161" t="str">
        <f>+IF(OR(O1180="Fire Control",O1180="Fire Tex 5062",O1180="Fire Tex 5090",O1180="Fire Tex 5120"),'CALCULO PINTURA'!P1181," ")</f>
        <v xml:space="preserve"> </v>
      </c>
      <c r="R1180" s="164" t="str">
        <f>+IF(OR(O1180="Fire Control",O1180="Fire Tex 5062",O1180="Fire Tex 5090",O1180="Fire Tex 5120"),'CALCULO PINTURA'!R1181," ")</f>
        <v xml:space="preserve"> </v>
      </c>
      <c r="S1180" s="164" t="str">
        <f>+IF(OR(O1180="Fire Control",O1180="Fire Tex 5062",O1180="Fire Tex 5090",O1180="Fire Tex 5120"),'CALCULO PINTURA'!S1181," ")</f>
        <v xml:space="preserve"> </v>
      </c>
      <c r="T1180" s="874" t="str">
        <f>+IF(OR(O1180="Blaze Shield II",O1180="Cafco 400",O1180="Cafco 300"),'CALCULO MORTERO'!N1186," ")</f>
        <v xml:space="preserve"> </v>
      </c>
      <c r="U1180" s="875" t="str">
        <f>+IF(OR(O1180="Blaze Shield II",O1180="Cafco 400",O1180="Cafco 300"),'CALCULO MORTERO'!O1186," ")</f>
        <v xml:space="preserve"> </v>
      </c>
      <c r="V1180" s="161" t="str" cm="1">
        <f t="array" ref="V1180">_xlfn.IFS(O1180="Blaze Shield II",'CALCULO MORTERO'!P1181, O1180="Cafco 400",'CALCULO MORTERO'!Q1181,O1180="Cafco 300",'CALCULO MORTERO'!S1181, AND(OR(O1180="Fire tex 5090", O1180="Fire Tex 5062", O1180="Fire Tex 5120", O1180="Fire Control"),Q1180&gt;0), "CERT.",TRUE,"-")</f>
        <v>-</v>
      </c>
    </row>
    <row r="1181" spans="1:22" x14ac:dyDescent="0.25">
      <c r="A1181" s="168"/>
      <c r="B1181" s="876"/>
      <c r="C1181" s="161"/>
      <c r="D1181" s="161"/>
      <c r="E1181" s="161"/>
      <c r="F1181" s="41"/>
      <c r="G1181" s="161"/>
      <c r="H1181" s="161"/>
      <c r="I1181" s="166"/>
      <c r="J1181" s="162"/>
      <c r="K1181" s="161"/>
      <c r="L1181" s="161"/>
      <c r="M1181" s="169"/>
      <c r="N1181" s="163" t="str">
        <f t="shared" si="22"/>
        <v/>
      </c>
      <c r="O1181" s="41"/>
      <c r="P1181" s="41"/>
      <c r="Q1181" s="161" t="str">
        <f>+IF(OR(O1181="Fire Control",O1181="Fire Tex 5062",O1181="Fire Tex 5090",O1181="Fire Tex 5120"),'CALCULO PINTURA'!P1182," ")</f>
        <v xml:space="preserve"> </v>
      </c>
      <c r="R1181" s="164" t="str">
        <f>+IF(OR(O1181="Fire Control",O1181="Fire Tex 5062",O1181="Fire Tex 5090",O1181="Fire Tex 5120"),'CALCULO PINTURA'!R1182," ")</f>
        <v xml:space="preserve"> </v>
      </c>
      <c r="S1181" s="164" t="str">
        <f>+IF(OR(O1181="Fire Control",O1181="Fire Tex 5062",O1181="Fire Tex 5090",O1181="Fire Tex 5120"),'CALCULO PINTURA'!S1182," ")</f>
        <v xml:space="preserve"> </v>
      </c>
      <c r="T1181" s="874" t="str">
        <f>+IF(OR(O1181="Blaze Shield II",O1181="Cafco 400",O1181="Cafco 300"),'CALCULO MORTERO'!N1187," ")</f>
        <v xml:space="preserve"> </v>
      </c>
      <c r="U1181" s="875" t="str">
        <f>+IF(OR(O1181="Blaze Shield II",O1181="Cafco 400",O1181="Cafco 300"),'CALCULO MORTERO'!O1187," ")</f>
        <v xml:space="preserve"> </v>
      </c>
      <c r="V1181" s="161" t="str" cm="1">
        <f t="array" ref="V1181">_xlfn.IFS(O1181="Blaze Shield II",'CALCULO MORTERO'!P1182, O1181="Cafco 400",'CALCULO MORTERO'!Q1182,O1181="Cafco 300",'CALCULO MORTERO'!S1182, AND(OR(O1181="Fire tex 5090", O1181="Fire Tex 5062", O1181="Fire Tex 5120", O1181="Fire Control"),Q1181&gt;0), "CERT.",TRUE,"-")</f>
        <v>-</v>
      </c>
    </row>
    <row r="1182" spans="1:22" x14ac:dyDescent="0.25">
      <c r="A1182" s="168"/>
      <c r="B1182" s="876"/>
      <c r="C1182" s="161"/>
      <c r="D1182" s="161"/>
      <c r="E1182" s="161"/>
      <c r="F1182" s="41"/>
      <c r="G1182" s="161"/>
      <c r="H1182" s="161"/>
      <c r="I1182" s="166"/>
      <c r="J1182" s="162"/>
      <c r="K1182" s="161"/>
      <c r="L1182" s="161"/>
      <c r="M1182" s="163"/>
      <c r="N1182" s="163" t="str">
        <f t="shared" si="22"/>
        <v/>
      </c>
      <c r="O1182" s="41"/>
      <c r="P1182" s="41"/>
      <c r="Q1182" s="161" t="str">
        <f>+IF(OR(O1182="Fire Control",O1182="Fire Tex 5062",O1182="Fire Tex 5090",O1182="Fire Tex 5120"),'CALCULO PINTURA'!P1183," ")</f>
        <v xml:space="preserve"> </v>
      </c>
      <c r="R1182" s="164" t="str">
        <f>+IF(OR(O1182="Fire Control",O1182="Fire Tex 5062",O1182="Fire Tex 5090",O1182="Fire Tex 5120"),'CALCULO PINTURA'!R1183," ")</f>
        <v xml:space="preserve"> </v>
      </c>
      <c r="S1182" s="164" t="str">
        <f>+IF(OR(O1182="Fire Control",O1182="Fire Tex 5062",O1182="Fire Tex 5090",O1182="Fire Tex 5120"),'CALCULO PINTURA'!S1183," ")</f>
        <v xml:space="preserve"> </v>
      </c>
      <c r="T1182" s="874" t="str">
        <f>+IF(OR(O1182="Blaze Shield II",O1182="Cafco 400",O1182="Cafco 300"),'CALCULO MORTERO'!N1188," ")</f>
        <v xml:space="preserve"> </v>
      </c>
      <c r="U1182" s="875" t="str">
        <f>+IF(OR(O1182="Blaze Shield II",O1182="Cafco 400",O1182="Cafco 300"),'CALCULO MORTERO'!O1188," ")</f>
        <v xml:space="preserve"> </v>
      </c>
      <c r="V1182" s="161" t="str" cm="1">
        <f t="array" ref="V1182">_xlfn.IFS(O1182="Blaze Shield II",'CALCULO MORTERO'!P1183, O1182="Cafco 400",'CALCULO MORTERO'!Q1183,O1182="Cafco 300",'CALCULO MORTERO'!S1183, AND(OR(O1182="Fire tex 5090", O1182="Fire Tex 5062", O1182="Fire Tex 5120", O1182="Fire Control"),Q1182&gt;0), "CERT.",TRUE,"-")</f>
        <v>-</v>
      </c>
    </row>
    <row r="1183" spans="1:22" x14ac:dyDescent="0.25">
      <c r="A1183" s="168"/>
      <c r="B1183" s="876"/>
      <c r="C1183" s="161"/>
      <c r="D1183" s="161"/>
      <c r="E1183" s="161"/>
      <c r="F1183" s="41"/>
      <c r="G1183" s="161"/>
      <c r="H1183" s="161"/>
      <c r="I1183" s="166"/>
      <c r="J1183" s="162"/>
      <c r="K1183" s="161"/>
      <c r="L1183" s="161"/>
      <c r="M1183" s="163"/>
      <c r="N1183" s="163" t="str">
        <f t="shared" si="22"/>
        <v/>
      </c>
      <c r="O1183" s="41"/>
      <c r="P1183" s="41"/>
      <c r="Q1183" s="161" t="str">
        <f>+IF(OR(O1183="Fire Control",O1183="Fire Tex 5062",O1183="Fire Tex 5090",O1183="Fire Tex 5120"),'CALCULO PINTURA'!P1184," ")</f>
        <v xml:space="preserve"> </v>
      </c>
      <c r="R1183" s="164" t="str">
        <f>+IF(OR(O1183="Fire Control",O1183="Fire Tex 5062",O1183="Fire Tex 5090",O1183="Fire Tex 5120"),'CALCULO PINTURA'!R1184," ")</f>
        <v xml:space="preserve"> </v>
      </c>
      <c r="S1183" s="164" t="str">
        <f>+IF(OR(O1183="Fire Control",O1183="Fire Tex 5062",O1183="Fire Tex 5090",O1183="Fire Tex 5120"),'CALCULO PINTURA'!S1184," ")</f>
        <v xml:space="preserve"> </v>
      </c>
      <c r="T1183" s="874" t="str">
        <f>+IF(OR(O1183="Blaze Shield II",O1183="Cafco 400",O1183="Cafco 300"),'CALCULO MORTERO'!N1189," ")</f>
        <v xml:space="preserve"> </v>
      </c>
      <c r="U1183" s="875" t="str">
        <f>+IF(OR(O1183="Blaze Shield II",O1183="Cafco 400",O1183="Cafco 300"),'CALCULO MORTERO'!O1189," ")</f>
        <v xml:space="preserve"> </v>
      </c>
      <c r="V1183" s="161" t="str" cm="1">
        <f t="array" ref="V1183">_xlfn.IFS(O1183="Blaze Shield II",'CALCULO MORTERO'!P1184, O1183="Cafco 400",'CALCULO MORTERO'!Q1184,O1183="Cafco 300",'CALCULO MORTERO'!S1184, AND(OR(O1183="Fire tex 5090", O1183="Fire Tex 5062", O1183="Fire Tex 5120", O1183="Fire Control"),Q1183&gt;0), "CERT.",TRUE,"-")</f>
        <v>-</v>
      </c>
    </row>
    <row r="1184" spans="1:22" x14ac:dyDescent="0.25">
      <c r="A1184" s="168"/>
      <c r="B1184" s="876"/>
      <c r="C1184" s="161"/>
      <c r="D1184" s="161"/>
      <c r="E1184" s="161"/>
      <c r="F1184" s="41"/>
      <c r="G1184" s="161"/>
      <c r="H1184" s="161"/>
      <c r="I1184" s="166"/>
      <c r="J1184" s="162"/>
      <c r="K1184" s="161"/>
      <c r="L1184" s="161"/>
      <c r="M1184" s="163"/>
      <c r="N1184" s="163" t="str">
        <f t="shared" si="22"/>
        <v/>
      </c>
      <c r="O1184" s="41"/>
      <c r="P1184" s="41"/>
      <c r="Q1184" s="161" t="str">
        <f>+IF(OR(O1184="Fire Control",O1184="Fire Tex 5062",O1184="Fire Tex 5090",O1184="Fire Tex 5120"),'CALCULO PINTURA'!P1185," ")</f>
        <v xml:space="preserve"> </v>
      </c>
      <c r="R1184" s="164" t="str">
        <f>+IF(OR(O1184="Fire Control",O1184="Fire Tex 5062",O1184="Fire Tex 5090",O1184="Fire Tex 5120"),'CALCULO PINTURA'!R1185," ")</f>
        <v xml:space="preserve"> </v>
      </c>
      <c r="S1184" s="164" t="str">
        <f>+IF(OR(O1184="Fire Control",O1184="Fire Tex 5062",O1184="Fire Tex 5090",O1184="Fire Tex 5120"),'CALCULO PINTURA'!S1185," ")</f>
        <v xml:space="preserve"> </v>
      </c>
      <c r="T1184" s="874" t="str">
        <f>+IF(OR(O1184="Blaze Shield II",O1184="Cafco 400",O1184="Cafco 300"),'CALCULO MORTERO'!N1190," ")</f>
        <v xml:space="preserve"> </v>
      </c>
      <c r="U1184" s="875" t="str">
        <f>+IF(OR(O1184="Blaze Shield II",O1184="Cafco 400",O1184="Cafco 300"),'CALCULO MORTERO'!O1190," ")</f>
        <v xml:space="preserve"> </v>
      </c>
      <c r="V1184" s="161" t="str" cm="1">
        <f t="array" ref="V1184">_xlfn.IFS(O1184="Blaze Shield II",'CALCULO MORTERO'!P1185, O1184="Cafco 400",'CALCULO MORTERO'!Q1185,O1184="Cafco 300",'CALCULO MORTERO'!S1185, AND(OR(O1184="Fire tex 5090", O1184="Fire Tex 5062", O1184="Fire Tex 5120", O1184="Fire Control"),Q1184&gt;0), "CERT.",TRUE,"-")</f>
        <v>-</v>
      </c>
    </row>
    <row r="1185" spans="1:22" x14ac:dyDescent="0.25">
      <c r="A1185" s="168"/>
      <c r="B1185" s="876"/>
      <c r="C1185" s="161"/>
      <c r="D1185" s="161"/>
      <c r="E1185" s="161"/>
      <c r="F1185" s="41"/>
      <c r="G1185" s="161"/>
      <c r="H1185" s="161"/>
      <c r="I1185" s="166"/>
      <c r="J1185" s="162"/>
      <c r="K1185" s="161"/>
      <c r="L1185" s="161"/>
      <c r="M1185" s="169"/>
      <c r="N1185" s="163" t="str">
        <f t="shared" si="22"/>
        <v/>
      </c>
      <c r="O1185" s="41"/>
      <c r="P1185" s="41"/>
      <c r="Q1185" s="161" t="str">
        <f>+IF(OR(O1185="Fire Control",O1185="Fire Tex 5062",O1185="Fire Tex 5090",O1185="Fire Tex 5120"),'CALCULO PINTURA'!P1186," ")</f>
        <v xml:space="preserve"> </v>
      </c>
      <c r="R1185" s="164" t="str">
        <f>+IF(OR(O1185="Fire Control",O1185="Fire Tex 5062",O1185="Fire Tex 5090",O1185="Fire Tex 5120"),'CALCULO PINTURA'!R1186," ")</f>
        <v xml:space="preserve"> </v>
      </c>
      <c r="S1185" s="164" t="str">
        <f>+IF(OR(O1185="Fire Control",O1185="Fire Tex 5062",O1185="Fire Tex 5090",O1185="Fire Tex 5120"),'CALCULO PINTURA'!S1186," ")</f>
        <v xml:space="preserve"> </v>
      </c>
      <c r="T1185" s="874" t="str">
        <f>+IF(OR(O1185="Blaze Shield II",O1185="Cafco 400",O1185="Cafco 300"),'CALCULO MORTERO'!N1191," ")</f>
        <v xml:space="preserve"> </v>
      </c>
      <c r="U1185" s="875" t="str">
        <f>+IF(OR(O1185="Blaze Shield II",O1185="Cafco 400",O1185="Cafco 300"),'CALCULO MORTERO'!O1191," ")</f>
        <v xml:space="preserve"> </v>
      </c>
      <c r="V1185" s="161" t="str" cm="1">
        <f t="array" ref="V1185">_xlfn.IFS(O1185="Blaze Shield II",'CALCULO MORTERO'!P1186, O1185="Cafco 400",'CALCULO MORTERO'!Q1186,O1185="Cafco 300",'CALCULO MORTERO'!S1186, AND(OR(O1185="Fire tex 5090", O1185="Fire Tex 5062", O1185="Fire Tex 5120", O1185="Fire Control"),Q1185&gt;0), "CERT.",TRUE,"-")</f>
        <v>-</v>
      </c>
    </row>
    <row r="1186" spans="1:22" x14ac:dyDescent="0.25">
      <c r="A1186" s="168"/>
      <c r="B1186" s="876"/>
      <c r="C1186" s="161"/>
      <c r="D1186" s="161"/>
      <c r="E1186" s="161"/>
      <c r="F1186" s="41"/>
      <c r="G1186" s="161"/>
      <c r="H1186" s="161"/>
      <c r="I1186" s="166"/>
      <c r="J1186" s="162"/>
      <c r="K1186" s="161"/>
      <c r="L1186" s="161"/>
      <c r="M1186" s="169"/>
      <c r="N1186" s="163" t="str">
        <f t="shared" si="22"/>
        <v/>
      </c>
      <c r="O1186" s="41"/>
      <c r="P1186" s="41"/>
      <c r="Q1186" s="161" t="str">
        <f>+IF(OR(O1186="Fire Control",O1186="Fire Tex 5062",O1186="Fire Tex 5090",O1186="Fire Tex 5120"),'CALCULO PINTURA'!P1187," ")</f>
        <v xml:space="preserve"> </v>
      </c>
      <c r="R1186" s="164" t="str">
        <f>+IF(OR(O1186="Fire Control",O1186="Fire Tex 5062",O1186="Fire Tex 5090",O1186="Fire Tex 5120"),'CALCULO PINTURA'!R1187," ")</f>
        <v xml:space="preserve"> </v>
      </c>
      <c r="S1186" s="164" t="str">
        <f>+IF(OR(O1186="Fire Control",O1186="Fire Tex 5062",O1186="Fire Tex 5090",O1186="Fire Tex 5120"),'CALCULO PINTURA'!S1187," ")</f>
        <v xml:space="preserve"> </v>
      </c>
      <c r="T1186" s="874" t="str">
        <f>+IF(OR(O1186="Blaze Shield II",O1186="Cafco 400",O1186="Cafco 300"),'CALCULO MORTERO'!N1192," ")</f>
        <v xml:space="preserve"> </v>
      </c>
      <c r="U1186" s="875" t="str">
        <f>+IF(OR(O1186="Blaze Shield II",O1186="Cafco 400",O1186="Cafco 300"),'CALCULO MORTERO'!O1192," ")</f>
        <v xml:space="preserve"> </v>
      </c>
      <c r="V1186" s="161" t="str" cm="1">
        <f t="array" ref="V1186">_xlfn.IFS(O1186="Blaze Shield II",'CALCULO MORTERO'!P1187, O1186="Cafco 400",'CALCULO MORTERO'!Q1187,O1186="Cafco 300",'CALCULO MORTERO'!S1187, AND(OR(O1186="Fire tex 5090", O1186="Fire Tex 5062", O1186="Fire Tex 5120", O1186="Fire Control"),Q1186&gt;0), "CERT.",TRUE,"-")</f>
        <v>-</v>
      </c>
    </row>
    <row r="1187" spans="1:22" x14ac:dyDescent="0.25">
      <c r="A1187" s="168"/>
      <c r="B1187" s="876"/>
      <c r="C1187" s="161"/>
      <c r="D1187" s="161"/>
      <c r="E1187" s="161"/>
      <c r="F1187" s="41"/>
      <c r="G1187" s="161"/>
      <c r="H1187" s="161"/>
      <c r="I1187" s="166"/>
      <c r="J1187" s="162"/>
      <c r="K1187" s="161"/>
      <c r="L1187" s="161"/>
      <c r="M1187" s="169"/>
      <c r="N1187" s="163" t="str">
        <f t="shared" si="22"/>
        <v/>
      </c>
      <c r="O1187" s="41"/>
      <c r="P1187" s="41"/>
      <c r="Q1187" s="161" t="str">
        <f>+IF(OR(O1187="Fire Control",O1187="Fire Tex 5062",O1187="Fire Tex 5090",O1187="Fire Tex 5120"),'CALCULO PINTURA'!P1188," ")</f>
        <v xml:space="preserve"> </v>
      </c>
      <c r="R1187" s="164" t="str">
        <f>+IF(OR(O1187="Fire Control",O1187="Fire Tex 5062",O1187="Fire Tex 5090",O1187="Fire Tex 5120"),'CALCULO PINTURA'!R1188," ")</f>
        <v xml:space="preserve"> </v>
      </c>
      <c r="S1187" s="164" t="str">
        <f>+IF(OR(O1187="Fire Control",O1187="Fire Tex 5062",O1187="Fire Tex 5090",O1187="Fire Tex 5120"),'CALCULO PINTURA'!S1188," ")</f>
        <v xml:space="preserve"> </v>
      </c>
      <c r="T1187" s="874" t="str">
        <f>+IF(OR(O1187="Blaze Shield II",O1187="Cafco 400",O1187="Cafco 300"),'CALCULO MORTERO'!N1193," ")</f>
        <v xml:space="preserve"> </v>
      </c>
      <c r="U1187" s="875" t="str">
        <f>+IF(OR(O1187="Blaze Shield II",O1187="Cafco 400",O1187="Cafco 300"),'CALCULO MORTERO'!O1193," ")</f>
        <v xml:space="preserve"> </v>
      </c>
      <c r="V1187" s="161" t="str" cm="1">
        <f t="array" ref="V1187">_xlfn.IFS(O1187="Blaze Shield II",'CALCULO MORTERO'!P1188, O1187="Cafco 400",'CALCULO MORTERO'!Q1188,O1187="Cafco 300",'CALCULO MORTERO'!S1188, AND(OR(O1187="Fire tex 5090", O1187="Fire Tex 5062", O1187="Fire Tex 5120", O1187="Fire Control"),Q1187&gt;0), "CERT.",TRUE,"-")</f>
        <v>-</v>
      </c>
    </row>
    <row r="1188" spans="1:22" x14ac:dyDescent="0.25">
      <c r="A1188" s="168"/>
      <c r="B1188" s="876"/>
      <c r="C1188" s="161"/>
      <c r="D1188" s="161"/>
      <c r="E1188" s="161"/>
      <c r="F1188" s="41"/>
      <c r="G1188" s="161"/>
      <c r="H1188" s="161"/>
      <c r="I1188" s="166"/>
      <c r="J1188" s="162"/>
      <c r="K1188" s="161"/>
      <c r="L1188" s="161"/>
      <c r="M1188" s="169"/>
      <c r="N1188" s="163" t="str">
        <f t="shared" si="22"/>
        <v/>
      </c>
      <c r="O1188" s="41"/>
      <c r="P1188" s="41"/>
      <c r="Q1188" s="161" t="str">
        <f>+IF(OR(O1188="Fire Control",O1188="Fire Tex 5062",O1188="Fire Tex 5090",O1188="Fire Tex 5120"),'CALCULO PINTURA'!P1189," ")</f>
        <v xml:space="preserve"> </v>
      </c>
      <c r="R1188" s="164" t="str">
        <f>+IF(OR(O1188="Fire Control",O1188="Fire Tex 5062",O1188="Fire Tex 5090",O1188="Fire Tex 5120"),'CALCULO PINTURA'!R1189," ")</f>
        <v xml:space="preserve"> </v>
      </c>
      <c r="S1188" s="164" t="str">
        <f>+IF(OR(O1188="Fire Control",O1188="Fire Tex 5062",O1188="Fire Tex 5090",O1188="Fire Tex 5120"),'CALCULO PINTURA'!S1189," ")</f>
        <v xml:space="preserve"> </v>
      </c>
      <c r="T1188" s="874" t="str">
        <f>+IF(OR(O1188="Blaze Shield II",O1188="Cafco 400",O1188="Cafco 300"),'CALCULO MORTERO'!N1194," ")</f>
        <v xml:space="preserve"> </v>
      </c>
      <c r="U1188" s="875" t="str">
        <f>+IF(OR(O1188="Blaze Shield II",O1188="Cafco 400",O1188="Cafco 300"),'CALCULO MORTERO'!O1194," ")</f>
        <v xml:space="preserve"> </v>
      </c>
      <c r="V1188" s="161" t="str" cm="1">
        <f t="array" ref="V1188">_xlfn.IFS(O1188="Blaze Shield II",'CALCULO MORTERO'!P1189, O1188="Cafco 400",'CALCULO MORTERO'!Q1189,O1188="Cafco 300",'CALCULO MORTERO'!S1189, AND(OR(O1188="Fire tex 5090", O1188="Fire Tex 5062", O1188="Fire Tex 5120", O1188="Fire Control"),Q1188&gt;0), "CERT.",TRUE,"-")</f>
        <v>-</v>
      </c>
    </row>
    <row r="1189" spans="1:22" x14ac:dyDescent="0.25">
      <c r="A1189" s="168"/>
      <c r="B1189" s="876"/>
      <c r="C1189" s="161"/>
      <c r="D1189" s="161"/>
      <c r="E1189" s="161"/>
      <c r="F1189" s="41"/>
      <c r="G1189" s="161"/>
      <c r="H1189" s="161"/>
      <c r="I1189" s="166"/>
      <c r="J1189" s="162"/>
      <c r="K1189" s="161"/>
      <c r="L1189" s="161"/>
      <c r="M1189" s="169"/>
      <c r="N1189" s="163" t="str">
        <f t="shared" si="22"/>
        <v/>
      </c>
      <c r="O1189" s="41"/>
      <c r="P1189" s="41"/>
      <c r="Q1189" s="161" t="str">
        <f>+IF(OR(O1189="Fire Control",O1189="Fire Tex 5062",O1189="Fire Tex 5090",O1189="Fire Tex 5120"),'CALCULO PINTURA'!P1190," ")</f>
        <v xml:space="preserve"> </v>
      </c>
      <c r="R1189" s="164" t="str">
        <f>+IF(OR(O1189="Fire Control",O1189="Fire Tex 5062",O1189="Fire Tex 5090",O1189="Fire Tex 5120"),'CALCULO PINTURA'!R1190," ")</f>
        <v xml:space="preserve"> </v>
      </c>
      <c r="S1189" s="164" t="str">
        <f>+IF(OR(O1189="Fire Control",O1189="Fire Tex 5062",O1189="Fire Tex 5090",O1189="Fire Tex 5120"),'CALCULO PINTURA'!S1190," ")</f>
        <v xml:space="preserve"> </v>
      </c>
      <c r="T1189" s="874" t="str">
        <f>+IF(OR(O1189="Blaze Shield II",O1189="Cafco 400",O1189="Cafco 300"),'CALCULO MORTERO'!N1195," ")</f>
        <v xml:space="preserve"> </v>
      </c>
      <c r="U1189" s="875" t="str">
        <f>+IF(OR(O1189="Blaze Shield II",O1189="Cafco 400",O1189="Cafco 300"),'CALCULO MORTERO'!O1195," ")</f>
        <v xml:space="preserve"> </v>
      </c>
      <c r="V1189" s="161" t="str" cm="1">
        <f t="array" ref="V1189">_xlfn.IFS(O1189="Blaze Shield II",'CALCULO MORTERO'!P1190, O1189="Cafco 400",'CALCULO MORTERO'!Q1190,O1189="Cafco 300",'CALCULO MORTERO'!S1190, AND(OR(O1189="Fire tex 5090", O1189="Fire Tex 5062", O1189="Fire Tex 5120", O1189="Fire Control"),Q1189&gt;0), "CERT.",TRUE,"-")</f>
        <v>-</v>
      </c>
    </row>
    <row r="1190" spans="1:22" x14ac:dyDescent="0.25">
      <c r="A1190" s="168"/>
      <c r="B1190" s="876"/>
      <c r="C1190" s="161"/>
      <c r="D1190" s="161"/>
      <c r="E1190" s="161"/>
      <c r="F1190" s="41"/>
      <c r="G1190" s="161"/>
      <c r="H1190" s="161"/>
      <c r="I1190" s="166"/>
      <c r="J1190" s="162"/>
      <c r="K1190" s="161"/>
      <c r="L1190" s="161"/>
      <c r="M1190" s="169"/>
      <c r="N1190" s="163" t="str">
        <f t="shared" si="22"/>
        <v/>
      </c>
      <c r="O1190" s="41"/>
      <c r="P1190" s="41"/>
      <c r="Q1190" s="161" t="str">
        <f>+IF(OR(O1190="Fire Control",O1190="Fire Tex 5062",O1190="Fire Tex 5090",O1190="Fire Tex 5120"),'CALCULO PINTURA'!P1191," ")</f>
        <v xml:space="preserve"> </v>
      </c>
      <c r="R1190" s="164" t="str">
        <f>+IF(OR(O1190="Fire Control",O1190="Fire Tex 5062",O1190="Fire Tex 5090",O1190="Fire Tex 5120"),'CALCULO PINTURA'!R1191," ")</f>
        <v xml:space="preserve"> </v>
      </c>
      <c r="S1190" s="164" t="str">
        <f>+IF(OR(O1190="Fire Control",O1190="Fire Tex 5062",O1190="Fire Tex 5090",O1190="Fire Tex 5120"),'CALCULO PINTURA'!S1191," ")</f>
        <v xml:space="preserve"> </v>
      </c>
      <c r="T1190" s="874" t="str">
        <f>+IF(OR(O1190="Blaze Shield II",O1190="Cafco 400",O1190="Cafco 300"),'CALCULO MORTERO'!N1196," ")</f>
        <v xml:space="preserve"> </v>
      </c>
      <c r="U1190" s="875" t="str">
        <f>+IF(OR(O1190="Blaze Shield II",O1190="Cafco 400",O1190="Cafco 300"),'CALCULO MORTERO'!O1196," ")</f>
        <v xml:space="preserve"> </v>
      </c>
      <c r="V1190" s="161" t="str" cm="1">
        <f t="array" ref="V1190">_xlfn.IFS(O1190="Blaze Shield II",'CALCULO MORTERO'!P1191, O1190="Cafco 400",'CALCULO MORTERO'!Q1191,O1190="Cafco 300",'CALCULO MORTERO'!S1191, AND(OR(O1190="Fire tex 5090", O1190="Fire Tex 5062", O1190="Fire Tex 5120", O1190="Fire Control"),Q1190&gt;0), "CERT.",TRUE,"-")</f>
        <v>-</v>
      </c>
    </row>
    <row r="1191" spans="1:22" x14ac:dyDescent="0.25">
      <c r="A1191" s="168"/>
      <c r="B1191" s="876"/>
      <c r="C1191" s="161"/>
      <c r="D1191" s="161"/>
      <c r="E1191" s="161"/>
      <c r="F1191" s="161"/>
      <c r="G1191" s="161"/>
      <c r="H1191" s="161"/>
      <c r="I1191" s="166"/>
      <c r="J1191" s="162"/>
      <c r="K1191" s="161"/>
      <c r="L1191" s="161"/>
      <c r="M1191" s="163"/>
      <c r="N1191" s="163" t="str">
        <f t="shared" si="22"/>
        <v/>
      </c>
      <c r="O1191" s="41"/>
      <c r="P1191" s="41"/>
      <c r="Q1191" s="161" t="str">
        <f>+IF(OR(O1191="Fire Control",O1191="Fire Tex 5062",O1191="Fire Tex 5090",O1191="Fire Tex 5120"),'CALCULO PINTURA'!P1192," ")</f>
        <v xml:space="preserve"> </v>
      </c>
      <c r="R1191" s="164" t="str">
        <f>+IF(OR(O1191="Fire Control",O1191="Fire Tex 5062",O1191="Fire Tex 5090",O1191="Fire Tex 5120"),'CALCULO PINTURA'!R1192," ")</f>
        <v xml:space="preserve"> </v>
      </c>
      <c r="S1191" s="164" t="str">
        <f>+IF(OR(O1191="Fire Control",O1191="Fire Tex 5062",O1191="Fire Tex 5090",O1191="Fire Tex 5120"),'CALCULO PINTURA'!S1192," ")</f>
        <v xml:space="preserve"> </v>
      </c>
      <c r="T1191" s="874" t="str">
        <f>+IF(OR(O1191="Blaze Shield II",O1191="Cafco 400",O1191="Cafco 300"),'CALCULO MORTERO'!N1197," ")</f>
        <v xml:space="preserve"> </v>
      </c>
      <c r="U1191" s="875" t="str">
        <f>+IF(OR(O1191="Blaze Shield II",O1191="Cafco 400",O1191="Cafco 300"),'CALCULO MORTERO'!O1197," ")</f>
        <v xml:space="preserve"> </v>
      </c>
      <c r="V1191" s="161" t="str" cm="1">
        <f t="array" ref="V1191">_xlfn.IFS(O1191="Blaze Shield II",'CALCULO MORTERO'!P1192, O1191="Cafco 400",'CALCULO MORTERO'!Q1192,O1191="Cafco 300",'CALCULO MORTERO'!S1192, AND(OR(O1191="Fire tex 5090", O1191="Fire Tex 5062", O1191="Fire Tex 5120", O1191="Fire Control"),Q1191&gt;0), "CERT.",TRUE,"-")</f>
        <v>-</v>
      </c>
    </row>
    <row r="1192" spans="1:22" x14ac:dyDescent="0.25">
      <c r="A1192" s="168"/>
      <c r="B1192" s="876"/>
      <c r="C1192" s="161"/>
      <c r="D1192" s="161"/>
      <c r="E1192" s="161"/>
      <c r="F1192" s="161"/>
      <c r="G1192" s="161"/>
      <c r="H1192" s="161"/>
      <c r="I1192" s="166"/>
      <c r="J1192" s="162"/>
      <c r="K1192" s="161"/>
      <c r="L1192" s="161"/>
      <c r="M1192" s="163"/>
      <c r="N1192" s="163" t="str">
        <f t="shared" si="22"/>
        <v/>
      </c>
      <c r="O1192" s="41"/>
      <c r="P1192" s="41"/>
      <c r="Q1192" s="161" t="str">
        <f>+IF(OR(O1192="Fire Control",O1192="Fire Tex 5062",O1192="Fire Tex 5090",O1192="Fire Tex 5120"),'CALCULO PINTURA'!P1193," ")</f>
        <v xml:space="preserve"> </v>
      </c>
      <c r="R1192" s="164" t="str">
        <f>+IF(OR(O1192="Fire Control",O1192="Fire Tex 5062",O1192="Fire Tex 5090",O1192="Fire Tex 5120"),'CALCULO PINTURA'!R1193," ")</f>
        <v xml:space="preserve"> </v>
      </c>
      <c r="S1192" s="164" t="str">
        <f>+IF(OR(O1192="Fire Control",O1192="Fire Tex 5062",O1192="Fire Tex 5090",O1192="Fire Tex 5120"),'CALCULO PINTURA'!S1193," ")</f>
        <v xml:space="preserve"> </v>
      </c>
      <c r="T1192" s="874" t="str">
        <f>+IF(OR(O1192="Blaze Shield II",O1192="Cafco 400",O1192="Cafco 300"),'CALCULO MORTERO'!N1198," ")</f>
        <v xml:space="preserve"> </v>
      </c>
      <c r="U1192" s="875" t="str">
        <f>+IF(OR(O1192="Blaze Shield II",O1192="Cafco 400",O1192="Cafco 300"),'CALCULO MORTERO'!O1198," ")</f>
        <v xml:space="preserve"> </v>
      </c>
      <c r="V1192" s="161" t="str" cm="1">
        <f t="array" ref="V1192">_xlfn.IFS(O1192="Blaze Shield II",'CALCULO MORTERO'!P1193, O1192="Cafco 400",'CALCULO MORTERO'!Q1193,O1192="Cafco 300",'CALCULO MORTERO'!S1193, AND(OR(O1192="Fire tex 5090", O1192="Fire Tex 5062", O1192="Fire Tex 5120", O1192="Fire Control"),Q1192&gt;0), "CERT.",TRUE,"-")</f>
        <v>-</v>
      </c>
    </row>
    <row r="1193" spans="1:22" x14ac:dyDescent="0.25">
      <c r="A1193" s="168"/>
      <c r="B1193" s="876"/>
      <c r="C1193" s="161"/>
      <c r="D1193" s="161"/>
      <c r="E1193" s="161"/>
      <c r="F1193" s="41"/>
      <c r="G1193" s="161"/>
      <c r="H1193" s="161"/>
      <c r="I1193" s="166"/>
      <c r="J1193" s="162"/>
      <c r="K1193" s="161"/>
      <c r="L1193" s="161"/>
      <c r="M1193" s="169"/>
      <c r="N1193" s="163" t="str">
        <f t="shared" si="22"/>
        <v/>
      </c>
      <c r="O1193" s="41"/>
      <c r="P1193" s="41"/>
      <c r="Q1193" s="161" t="str">
        <f>+IF(OR(O1193="Fire Control",O1193="Fire Tex 5062",O1193="Fire Tex 5090",O1193="Fire Tex 5120"),'CALCULO PINTURA'!P1194," ")</f>
        <v xml:space="preserve"> </v>
      </c>
      <c r="R1193" s="164" t="str">
        <f>+IF(OR(O1193="Fire Control",O1193="Fire Tex 5062",O1193="Fire Tex 5090",O1193="Fire Tex 5120"),'CALCULO PINTURA'!R1194," ")</f>
        <v xml:space="preserve"> </v>
      </c>
      <c r="S1193" s="164" t="str">
        <f>+IF(OR(O1193="Fire Control",O1193="Fire Tex 5062",O1193="Fire Tex 5090",O1193="Fire Tex 5120"),'CALCULO PINTURA'!S1194," ")</f>
        <v xml:space="preserve"> </v>
      </c>
      <c r="T1193" s="874" t="str">
        <f>+IF(OR(O1193="Blaze Shield II",O1193="Cafco 400",O1193="Cafco 300"),'CALCULO MORTERO'!N1199," ")</f>
        <v xml:space="preserve"> </v>
      </c>
      <c r="U1193" s="875" t="str">
        <f>+IF(OR(O1193="Blaze Shield II",O1193="Cafco 400",O1193="Cafco 300"),'CALCULO MORTERO'!O1199," ")</f>
        <v xml:space="preserve"> </v>
      </c>
      <c r="V1193" s="161" t="str" cm="1">
        <f t="array" ref="V1193">_xlfn.IFS(O1193="Blaze Shield II",'CALCULO MORTERO'!P1194, O1193="Cafco 400",'CALCULO MORTERO'!Q1194,O1193="Cafco 300",'CALCULO MORTERO'!S1194, AND(OR(O1193="Fire tex 5090", O1193="Fire Tex 5062", O1193="Fire Tex 5120", O1193="Fire Control"),Q1193&gt;0), "CERT.",TRUE,"-")</f>
        <v>-</v>
      </c>
    </row>
    <row r="1194" spans="1:22" x14ac:dyDescent="0.25">
      <c r="A1194" s="168"/>
      <c r="B1194" s="876"/>
      <c r="C1194" s="161"/>
      <c r="D1194" s="161"/>
      <c r="E1194" s="161"/>
      <c r="F1194" s="41"/>
      <c r="G1194" s="161"/>
      <c r="H1194" s="161"/>
      <c r="I1194" s="166"/>
      <c r="J1194" s="162"/>
      <c r="K1194" s="161"/>
      <c r="L1194" s="161"/>
      <c r="M1194" s="169"/>
      <c r="N1194" s="163" t="str">
        <f t="shared" si="22"/>
        <v/>
      </c>
      <c r="O1194" s="41"/>
      <c r="P1194" s="41"/>
      <c r="Q1194" s="161" t="str">
        <f>+IF(OR(O1194="Fire Control",O1194="Fire Tex 5062",O1194="Fire Tex 5090",O1194="Fire Tex 5120"),'CALCULO PINTURA'!P1195," ")</f>
        <v xml:space="preserve"> </v>
      </c>
      <c r="R1194" s="164" t="str">
        <f>+IF(OR(O1194="Fire Control",O1194="Fire Tex 5062",O1194="Fire Tex 5090",O1194="Fire Tex 5120"),'CALCULO PINTURA'!R1195," ")</f>
        <v xml:space="preserve"> </v>
      </c>
      <c r="S1194" s="164" t="str">
        <f>+IF(OR(O1194="Fire Control",O1194="Fire Tex 5062",O1194="Fire Tex 5090",O1194="Fire Tex 5120"),'CALCULO PINTURA'!S1195," ")</f>
        <v xml:space="preserve"> </v>
      </c>
      <c r="T1194" s="874" t="str">
        <f>+IF(OR(O1194="Blaze Shield II",O1194="Cafco 400",O1194="Cafco 300"),'CALCULO MORTERO'!N1200," ")</f>
        <v xml:space="preserve"> </v>
      </c>
      <c r="U1194" s="875" t="str">
        <f>+IF(OR(O1194="Blaze Shield II",O1194="Cafco 400",O1194="Cafco 300"),'CALCULO MORTERO'!O1200," ")</f>
        <v xml:space="preserve"> </v>
      </c>
      <c r="V1194" s="161" t="str" cm="1">
        <f t="array" ref="V1194">_xlfn.IFS(O1194="Blaze Shield II",'CALCULO MORTERO'!P1195, O1194="Cafco 400",'CALCULO MORTERO'!Q1195,O1194="Cafco 300",'CALCULO MORTERO'!S1195, AND(OR(O1194="Fire tex 5090", O1194="Fire Tex 5062", O1194="Fire Tex 5120", O1194="Fire Control"),Q1194&gt;0), "CERT.",TRUE,"-")</f>
        <v>-</v>
      </c>
    </row>
    <row r="1195" spans="1:22" x14ac:dyDescent="0.25">
      <c r="A1195" s="168"/>
      <c r="B1195" s="876"/>
      <c r="C1195" s="161"/>
      <c r="D1195" s="161"/>
      <c r="E1195" s="161"/>
      <c r="F1195" s="41"/>
      <c r="G1195" s="161"/>
      <c r="H1195" s="161"/>
      <c r="I1195" s="166"/>
      <c r="J1195" s="162"/>
      <c r="K1195" s="161"/>
      <c r="L1195" s="161"/>
      <c r="M1195" s="169"/>
      <c r="N1195" s="163" t="str">
        <f t="shared" si="22"/>
        <v/>
      </c>
      <c r="O1195" s="41"/>
      <c r="P1195" s="41"/>
      <c r="Q1195" s="161" t="str">
        <f>+IF(OR(O1195="Fire Control",O1195="Fire Tex 5062",O1195="Fire Tex 5090",O1195="Fire Tex 5120"),'CALCULO PINTURA'!P1196," ")</f>
        <v xml:space="preserve"> </v>
      </c>
      <c r="R1195" s="164" t="str">
        <f>+IF(OR(O1195="Fire Control",O1195="Fire Tex 5062",O1195="Fire Tex 5090",O1195="Fire Tex 5120"),'CALCULO PINTURA'!R1196," ")</f>
        <v xml:space="preserve"> </v>
      </c>
      <c r="S1195" s="164" t="str">
        <f>+IF(OR(O1195="Fire Control",O1195="Fire Tex 5062",O1195="Fire Tex 5090",O1195="Fire Tex 5120"),'CALCULO PINTURA'!S1196," ")</f>
        <v xml:space="preserve"> </v>
      </c>
      <c r="T1195" s="874" t="str">
        <f>+IF(OR(O1195="Blaze Shield II",O1195="Cafco 400",O1195="Cafco 300"),'CALCULO MORTERO'!N1201," ")</f>
        <v xml:space="preserve"> </v>
      </c>
      <c r="U1195" s="875" t="str">
        <f>+IF(OR(O1195="Blaze Shield II",O1195="Cafco 400",O1195="Cafco 300"),'CALCULO MORTERO'!O1201," ")</f>
        <v xml:space="preserve"> </v>
      </c>
      <c r="V1195" s="161" t="str" cm="1">
        <f t="array" ref="V1195">_xlfn.IFS(O1195="Blaze Shield II",'CALCULO MORTERO'!P1196, O1195="Cafco 400",'CALCULO MORTERO'!Q1196,O1195="Cafco 300",'CALCULO MORTERO'!S1196, AND(OR(O1195="Fire tex 5090", O1195="Fire Tex 5062", O1195="Fire Tex 5120", O1195="Fire Control"),Q1195&gt;0), "CERT.",TRUE,"-")</f>
        <v>-</v>
      </c>
    </row>
    <row r="1196" spans="1:22" x14ac:dyDescent="0.25">
      <c r="A1196" s="168"/>
      <c r="B1196" s="876"/>
      <c r="C1196" s="161"/>
      <c r="D1196" s="161"/>
      <c r="E1196" s="161"/>
      <c r="F1196" s="41"/>
      <c r="G1196" s="161"/>
      <c r="H1196" s="161"/>
      <c r="I1196" s="166"/>
      <c r="J1196" s="162"/>
      <c r="K1196" s="161"/>
      <c r="L1196" s="161"/>
      <c r="M1196" s="169"/>
      <c r="N1196" s="163" t="str">
        <f t="shared" si="22"/>
        <v/>
      </c>
      <c r="O1196" s="41"/>
      <c r="P1196" s="41"/>
      <c r="Q1196" s="161" t="str">
        <f>+IF(OR(O1196="Fire Control",O1196="Fire Tex 5062",O1196="Fire Tex 5090",O1196="Fire Tex 5120"),'CALCULO PINTURA'!P1197," ")</f>
        <v xml:space="preserve"> </v>
      </c>
      <c r="R1196" s="164" t="str">
        <f>+IF(OR(O1196="Fire Control",O1196="Fire Tex 5062",O1196="Fire Tex 5090",O1196="Fire Tex 5120"),'CALCULO PINTURA'!R1197," ")</f>
        <v xml:space="preserve"> </v>
      </c>
      <c r="S1196" s="164" t="str">
        <f>+IF(OR(O1196="Fire Control",O1196="Fire Tex 5062",O1196="Fire Tex 5090",O1196="Fire Tex 5120"),'CALCULO PINTURA'!S1197," ")</f>
        <v xml:space="preserve"> </v>
      </c>
      <c r="T1196" s="874" t="str">
        <f>+IF(OR(O1196="Blaze Shield II",O1196="Cafco 400",O1196="Cafco 300"),'CALCULO MORTERO'!N1202," ")</f>
        <v xml:space="preserve"> </v>
      </c>
      <c r="U1196" s="875" t="str">
        <f>+IF(OR(O1196="Blaze Shield II",O1196="Cafco 400",O1196="Cafco 300"),'CALCULO MORTERO'!O1202," ")</f>
        <v xml:space="preserve"> </v>
      </c>
      <c r="V1196" s="161" t="str" cm="1">
        <f t="array" ref="V1196">_xlfn.IFS(O1196="Blaze Shield II",'CALCULO MORTERO'!P1197, O1196="Cafco 400",'CALCULO MORTERO'!Q1197,O1196="Cafco 300",'CALCULO MORTERO'!S1197, AND(OR(O1196="Fire tex 5090", O1196="Fire Tex 5062", O1196="Fire Tex 5120", O1196="Fire Control"),Q1196&gt;0), "CERT.",TRUE,"-")</f>
        <v>-</v>
      </c>
    </row>
    <row r="1197" spans="1:22" x14ac:dyDescent="0.25">
      <c r="A1197" s="168"/>
      <c r="B1197" s="876"/>
      <c r="C1197" s="161"/>
      <c r="D1197" s="161"/>
      <c r="E1197" s="161"/>
      <c r="F1197" s="41"/>
      <c r="G1197" s="161"/>
      <c r="H1197" s="161"/>
      <c r="I1197" s="166"/>
      <c r="J1197" s="162"/>
      <c r="K1197" s="161"/>
      <c r="L1197" s="161"/>
      <c r="M1197" s="169"/>
      <c r="N1197" s="163" t="str">
        <f t="shared" si="22"/>
        <v/>
      </c>
      <c r="O1197" s="41"/>
      <c r="P1197" s="41"/>
      <c r="Q1197" s="161" t="str">
        <f>+IF(OR(O1197="Fire Control",O1197="Fire Tex 5062",O1197="Fire Tex 5090",O1197="Fire Tex 5120"),'CALCULO PINTURA'!P1198," ")</f>
        <v xml:space="preserve"> </v>
      </c>
      <c r="R1197" s="164" t="str">
        <f>+IF(OR(O1197="Fire Control",O1197="Fire Tex 5062",O1197="Fire Tex 5090",O1197="Fire Tex 5120"),'CALCULO PINTURA'!R1198," ")</f>
        <v xml:space="preserve"> </v>
      </c>
      <c r="S1197" s="164" t="str">
        <f>+IF(OR(O1197="Fire Control",O1197="Fire Tex 5062",O1197="Fire Tex 5090",O1197="Fire Tex 5120"),'CALCULO PINTURA'!S1198," ")</f>
        <v xml:space="preserve"> </v>
      </c>
      <c r="T1197" s="874" t="str">
        <f>+IF(OR(O1197="Blaze Shield II",O1197="Cafco 400",O1197="Cafco 300"),'CALCULO MORTERO'!N1203," ")</f>
        <v xml:space="preserve"> </v>
      </c>
      <c r="U1197" s="875" t="str">
        <f>+IF(OR(O1197="Blaze Shield II",O1197="Cafco 400",O1197="Cafco 300"),'CALCULO MORTERO'!O1203," ")</f>
        <v xml:space="preserve"> </v>
      </c>
      <c r="V1197" s="161" t="str" cm="1">
        <f t="array" ref="V1197">_xlfn.IFS(O1197="Blaze Shield II",'CALCULO MORTERO'!P1198, O1197="Cafco 400",'CALCULO MORTERO'!Q1198,O1197="Cafco 300",'CALCULO MORTERO'!S1198, AND(OR(O1197="Fire tex 5090", O1197="Fire Tex 5062", O1197="Fire Tex 5120", O1197="Fire Control"),Q1197&gt;0), "CERT.",TRUE,"-")</f>
        <v>-</v>
      </c>
    </row>
    <row r="1198" spans="1:22" x14ac:dyDescent="0.25">
      <c r="A1198" s="168"/>
      <c r="B1198" s="876"/>
      <c r="C1198" s="161"/>
      <c r="D1198" s="161"/>
      <c r="E1198" s="161"/>
      <c r="F1198" s="41"/>
      <c r="G1198" s="161"/>
      <c r="H1198" s="161"/>
      <c r="I1198" s="166"/>
      <c r="J1198" s="162"/>
      <c r="K1198" s="161"/>
      <c r="L1198" s="161"/>
      <c r="M1198" s="169"/>
      <c r="N1198" s="163" t="str">
        <f t="shared" si="22"/>
        <v/>
      </c>
      <c r="O1198" s="41"/>
      <c r="P1198" s="41"/>
      <c r="Q1198" s="161" t="str">
        <f>+IF(OR(O1198="Fire Control",O1198="Fire Tex 5062",O1198="Fire Tex 5090",O1198="Fire Tex 5120"),'CALCULO PINTURA'!P1199," ")</f>
        <v xml:space="preserve"> </v>
      </c>
      <c r="R1198" s="164" t="str">
        <f>+IF(OR(O1198="Fire Control",O1198="Fire Tex 5062",O1198="Fire Tex 5090",O1198="Fire Tex 5120"),'CALCULO PINTURA'!R1199," ")</f>
        <v xml:space="preserve"> </v>
      </c>
      <c r="S1198" s="164" t="str">
        <f>+IF(OR(O1198="Fire Control",O1198="Fire Tex 5062",O1198="Fire Tex 5090",O1198="Fire Tex 5120"),'CALCULO PINTURA'!S1199," ")</f>
        <v xml:space="preserve"> </v>
      </c>
      <c r="T1198" s="874" t="str">
        <f>+IF(OR(O1198="Blaze Shield II",O1198="Cafco 400",O1198="Cafco 300"),'CALCULO MORTERO'!N1204," ")</f>
        <v xml:space="preserve"> </v>
      </c>
      <c r="U1198" s="875" t="str">
        <f>+IF(OR(O1198="Blaze Shield II",O1198="Cafco 400",O1198="Cafco 300"),'CALCULO MORTERO'!O1204," ")</f>
        <v xml:space="preserve"> </v>
      </c>
      <c r="V1198" s="161" t="str" cm="1">
        <f t="array" ref="V1198">_xlfn.IFS(O1198="Blaze Shield II",'CALCULO MORTERO'!P1199, O1198="Cafco 400",'CALCULO MORTERO'!Q1199,O1198="Cafco 300",'CALCULO MORTERO'!S1199, AND(OR(O1198="Fire tex 5090", O1198="Fire Tex 5062", O1198="Fire Tex 5120", O1198="Fire Control"),Q1198&gt;0), "CERT.",TRUE,"-")</f>
        <v>-</v>
      </c>
    </row>
    <row r="1199" spans="1:22" x14ac:dyDescent="0.25">
      <c r="A1199" s="168"/>
      <c r="B1199" s="876"/>
      <c r="C1199" s="161"/>
      <c r="D1199" s="161"/>
      <c r="E1199" s="161"/>
      <c r="F1199" s="41"/>
      <c r="G1199" s="161"/>
      <c r="H1199" s="161"/>
      <c r="I1199" s="166"/>
      <c r="J1199" s="162"/>
      <c r="K1199" s="161"/>
      <c r="L1199" s="161"/>
      <c r="M1199" s="169"/>
      <c r="N1199" s="163" t="str">
        <f t="shared" si="22"/>
        <v/>
      </c>
      <c r="O1199" s="41"/>
      <c r="P1199" s="41"/>
      <c r="Q1199" s="161" t="str">
        <f>+IF(OR(O1199="Fire Control",O1199="Fire Tex 5062",O1199="Fire Tex 5090",O1199="Fire Tex 5120"),'CALCULO PINTURA'!P1200," ")</f>
        <v xml:space="preserve"> </v>
      </c>
      <c r="R1199" s="164" t="str">
        <f>+IF(OR(O1199="Fire Control",O1199="Fire Tex 5062",O1199="Fire Tex 5090",O1199="Fire Tex 5120"),'CALCULO PINTURA'!R1200," ")</f>
        <v xml:space="preserve"> </v>
      </c>
      <c r="S1199" s="164" t="str">
        <f>+IF(OR(O1199="Fire Control",O1199="Fire Tex 5062",O1199="Fire Tex 5090",O1199="Fire Tex 5120"),'CALCULO PINTURA'!S1200," ")</f>
        <v xml:space="preserve"> </v>
      </c>
      <c r="T1199" s="874" t="str">
        <f>+IF(OR(O1199="Blaze Shield II",O1199="Cafco 400",O1199="Cafco 300"),'CALCULO MORTERO'!N1205," ")</f>
        <v xml:space="preserve"> </v>
      </c>
      <c r="U1199" s="875" t="str">
        <f>+IF(OR(O1199="Blaze Shield II",O1199="Cafco 400",O1199="Cafco 300"),'CALCULO MORTERO'!O1205," ")</f>
        <v xml:space="preserve"> </v>
      </c>
      <c r="V1199" s="161" t="str" cm="1">
        <f t="array" ref="V1199">_xlfn.IFS(O1199="Blaze Shield II",'CALCULO MORTERO'!P1200, O1199="Cafco 400",'CALCULO MORTERO'!Q1200,O1199="Cafco 300",'CALCULO MORTERO'!S1200, AND(OR(O1199="Fire tex 5090", O1199="Fire Tex 5062", O1199="Fire Tex 5120", O1199="Fire Control"),Q1199&gt;0), "CERT.",TRUE,"-")</f>
        <v>-</v>
      </c>
    </row>
    <row r="1200" spans="1:22" x14ac:dyDescent="0.25">
      <c r="A1200" s="168"/>
      <c r="B1200" s="876"/>
      <c r="C1200" s="161"/>
      <c r="D1200" s="161"/>
      <c r="E1200" s="161"/>
      <c r="F1200" s="41"/>
      <c r="G1200" s="161"/>
      <c r="H1200" s="161"/>
      <c r="I1200" s="166"/>
      <c r="J1200" s="162"/>
      <c r="K1200" s="161"/>
      <c r="L1200" s="161"/>
      <c r="M1200" s="169"/>
      <c r="N1200" s="163" t="str">
        <f t="shared" si="22"/>
        <v/>
      </c>
      <c r="O1200" s="41"/>
      <c r="P1200" s="41"/>
      <c r="Q1200" s="161" t="str">
        <f>+IF(OR(O1200="Fire Control",O1200="Fire Tex 5062",O1200="Fire Tex 5090",O1200="Fire Tex 5120"),'CALCULO PINTURA'!P1201," ")</f>
        <v xml:space="preserve"> </v>
      </c>
      <c r="R1200" s="164" t="str">
        <f>+IF(OR(O1200="Fire Control",O1200="Fire Tex 5062",O1200="Fire Tex 5090",O1200="Fire Tex 5120"),'CALCULO PINTURA'!R1201," ")</f>
        <v xml:space="preserve"> </v>
      </c>
      <c r="S1200" s="164" t="str">
        <f>+IF(OR(O1200="Fire Control",O1200="Fire Tex 5062",O1200="Fire Tex 5090",O1200="Fire Tex 5120"),'CALCULO PINTURA'!S1201," ")</f>
        <v xml:space="preserve"> </v>
      </c>
      <c r="T1200" s="874" t="str">
        <f>+IF(OR(O1200="Blaze Shield II",O1200="Cafco 400",O1200="Cafco 300"),'CALCULO MORTERO'!N1206," ")</f>
        <v xml:space="preserve"> </v>
      </c>
      <c r="U1200" s="875" t="str">
        <f>+IF(OR(O1200="Blaze Shield II",O1200="Cafco 400",O1200="Cafco 300"),'CALCULO MORTERO'!O1206," ")</f>
        <v xml:space="preserve"> </v>
      </c>
      <c r="V1200" s="161" t="str" cm="1">
        <f t="array" ref="V1200">_xlfn.IFS(O1200="Blaze Shield II",'CALCULO MORTERO'!P1201, O1200="Cafco 400",'CALCULO MORTERO'!Q1201,O1200="Cafco 300",'CALCULO MORTERO'!S1201, AND(OR(O1200="Fire tex 5090", O1200="Fire Tex 5062", O1200="Fire Tex 5120", O1200="Fire Control"),Q1200&gt;0), "CERT.",TRUE,"-")</f>
        <v>-</v>
      </c>
    </row>
    <row r="1201" spans="1:22" x14ac:dyDescent="0.25">
      <c r="A1201" s="168"/>
      <c r="B1201" s="876"/>
      <c r="C1201" s="161"/>
      <c r="D1201" s="161"/>
      <c r="E1201" s="161"/>
      <c r="F1201" s="41"/>
      <c r="G1201" s="161"/>
      <c r="H1201" s="161"/>
      <c r="I1201" s="166"/>
      <c r="J1201" s="162"/>
      <c r="K1201" s="161"/>
      <c r="L1201" s="161"/>
      <c r="M1201" s="169"/>
      <c r="N1201" s="163" t="str">
        <f t="shared" si="22"/>
        <v/>
      </c>
      <c r="O1201" s="41"/>
      <c r="P1201" s="41"/>
      <c r="Q1201" s="161" t="str">
        <f>+IF(OR(O1201="Fire Control",O1201="Fire Tex 5062",O1201="Fire Tex 5090",O1201="Fire Tex 5120"),'CALCULO PINTURA'!P1202," ")</f>
        <v xml:space="preserve"> </v>
      </c>
      <c r="R1201" s="164" t="str">
        <f>+IF(OR(O1201="Fire Control",O1201="Fire Tex 5062",O1201="Fire Tex 5090",O1201="Fire Tex 5120"),'CALCULO PINTURA'!R1202," ")</f>
        <v xml:space="preserve"> </v>
      </c>
      <c r="S1201" s="164" t="str">
        <f>+IF(OR(O1201="Fire Control",O1201="Fire Tex 5062",O1201="Fire Tex 5090",O1201="Fire Tex 5120"),'CALCULO PINTURA'!S1202," ")</f>
        <v xml:space="preserve"> </v>
      </c>
      <c r="T1201" s="874" t="str">
        <f>+IF(OR(O1201="Blaze Shield II",O1201="Cafco 400",O1201="Cafco 300"),'CALCULO MORTERO'!N1207," ")</f>
        <v xml:space="preserve"> </v>
      </c>
      <c r="U1201" s="875" t="str">
        <f>+IF(OR(O1201="Blaze Shield II",O1201="Cafco 400",O1201="Cafco 300"),'CALCULO MORTERO'!O1207," ")</f>
        <v xml:space="preserve"> </v>
      </c>
      <c r="V1201" s="161" t="str" cm="1">
        <f t="array" ref="V1201">_xlfn.IFS(O1201="Blaze Shield II",'CALCULO MORTERO'!P1202, O1201="Cafco 400",'CALCULO MORTERO'!Q1202,O1201="Cafco 300",'CALCULO MORTERO'!S1202, AND(OR(O1201="Fire tex 5090", O1201="Fire Tex 5062", O1201="Fire Tex 5120", O1201="Fire Control"),Q1201&gt;0), "CERT.",TRUE,"-")</f>
        <v>-</v>
      </c>
    </row>
    <row r="1202" spans="1:22" x14ac:dyDescent="0.25">
      <c r="A1202" s="168"/>
      <c r="B1202" s="876"/>
      <c r="C1202" s="161"/>
      <c r="D1202" s="161"/>
      <c r="E1202" s="161"/>
      <c r="F1202" s="41"/>
      <c r="G1202" s="161"/>
      <c r="H1202" s="161"/>
      <c r="I1202" s="166"/>
      <c r="J1202" s="162"/>
      <c r="K1202" s="161"/>
      <c r="L1202" s="161"/>
      <c r="M1202" s="169"/>
      <c r="N1202" s="163" t="str">
        <f t="shared" si="22"/>
        <v/>
      </c>
      <c r="O1202" s="41"/>
      <c r="P1202" s="41"/>
      <c r="Q1202" s="161" t="str">
        <f>+IF(OR(O1202="Fire Control",O1202="Fire Tex 5062",O1202="Fire Tex 5090",O1202="Fire Tex 5120"),'CALCULO PINTURA'!P1203," ")</f>
        <v xml:space="preserve"> </v>
      </c>
      <c r="R1202" s="164" t="str">
        <f>+IF(OR(O1202="Fire Control",O1202="Fire Tex 5062",O1202="Fire Tex 5090",O1202="Fire Tex 5120"),'CALCULO PINTURA'!R1203," ")</f>
        <v xml:space="preserve"> </v>
      </c>
      <c r="S1202" s="164" t="str">
        <f>+IF(OR(O1202="Fire Control",O1202="Fire Tex 5062",O1202="Fire Tex 5090",O1202="Fire Tex 5120"),'CALCULO PINTURA'!S1203," ")</f>
        <v xml:space="preserve"> </v>
      </c>
      <c r="T1202" s="874" t="str">
        <f>+IF(OR(O1202="Blaze Shield II",O1202="Cafco 400",O1202="Cafco 300"),'CALCULO MORTERO'!N1208," ")</f>
        <v xml:space="preserve"> </v>
      </c>
      <c r="U1202" s="875" t="str">
        <f>+IF(OR(O1202="Blaze Shield II",O1202="Cafco 400",O1202="Cafco 300"),'CALCULO MORTERO'!O1208," ")</f>
        <v xml:space="preserve"> </v>
      </c>
      <c r="V1202" s="161" t="str" cm="1">
        <f t="array" ref="V1202">_xlfn.IFS(O1202="Blaze Shield II",'CALCULO MORTERO'!P1203, O1202="Cafco 400",'CALCULO MORTERO'!Q1203,O1202="Cafco 300",'CALCULO MORTERO'!S1203, AND(OR(O1202="Fire tex 5090", O1202="Fire Tex 5062", O1202="Fire Tex 5120", O1202="Fire Control"),Q1202&gt;0), "CERT.",TRUE,"-")</f>
        <v>-</v>
      </c>
    </row>
    <row r="1203" spans="1:22" x14ac:dyDescent="0.25">
      <c r="A1203" s="168"/>
      <c r="B1203" s="876"/>
      <c r="C1203" s="161"/>
      <c r="D1203" s="161"/>
      <c r="E1203" s="161"/>
      <c r="F1203" s="41"/>
      <c r="G1203" s="161"/>
      <c r="H1203" s="161"/>
      <c r="I1203" s="166"/>
      <c r="J1203" s="162"/>
      <c r="K1203" s="161"/>
      <c r="L1203" s="161"/>
      <c r="M1203" s="169"/>
      <c r="N1203" s="163" t="str">
        <f t="shared" si="22"/>
        <v/>
      </c>
      <c r="O1203" s="41"/>
      <c r="P1203" s="41"/>
      <c r="Q1203" s="161" t="str">
        <f>+IF(OR(O1203="Fire Control",O1203="Fire Tex 5062",O1203="Fire Tex 5090",O1203="Fire Tex 5120"),'CALCULO PINTURA'!P1204," ")</f>
        <v xml:space="preserve"> </v>
      </c>
      <c r="R1203" s="164" t="str">
        <f>+IF(OR(O1203="Fire Control",O1203="Fire Tex 5062",O1203="Fire Tex 5090",O1203="Fire Tex 5120"),'CALCULO PINTURA'!R1204," ")</f>
        <v xml:space="preserve"> </v>
      </c>
      <c r="S1203" s="164" t="str">
        <f>+IF(OR(O1203="Fire Control",O1203="Fire Tex 5062",O1203="Fire Tex 5090",O1203="Fire Tex 5120"),'CALCULO PINTURA'!S1204," ")</f>
        <v xml:space="preserve"> </v>
      </c>
      <c r="T1203" s="874" t="str">
        <f>+IF(OR(O1203="Blaze Shield II",O1203="Cafco 400",O1203="Cafco 300"),'CALCULO MORTERO'!N1209," ")</f>
        <v xml:space="preserve"> </v>
      </c>
      <c r="U1203" s="875" t="str">
        <f>+IF(OR(O1203="Blaze Shield II",O1203="Cafco 400",O1203="Cafco 300"),'CALCULO MORTERO'!O1209," ")</f>
        <v xml:space="preserve"> </v>
      </c>
      <c r="V1203" s="161" t="str" cm="1">
        <f t="array" ref="V1203">_xlfn.IFS(O1203="Blaze Shield II",'CALCULO MORTERO'!P1204, O1203="Cafco 400",'CALCULO MORTERO'!Q1204,O1203="Cafco 300",'CALCULO MORTERO'!S1204, AND(OR(O1203="Fire tex 5090", O1203="Fire Tex 5062", O1203="Fire Tex 5120", O1203="Fire Control"),Q1203&gt;0), "CERT.",TRUE,"-")</f>
        <v>-</v>
      </c>
    </row>
    <row r="1204" spans="1:22" x14ac:dyDescent="0.25">
      <c r="A1204" s="168"/>
      <c r="B1204" s="876"/>
      <c r="C1204" s="161"/>
      <c r="D1204" s="161"/>
      <c r="E1204" s="161"/>
      <c r="F1204" s="41"/>
      <c r="G1204" s="161"/>
      <c r="H1204" s="161"/>
      <c r="I1204" s="166"/>
      <c r="J1204" s="162"/>
      <c r="K1204" s="161"/>
      <c r="L1204" s="161"/>
      <c r="M1204" s="169"/>
      <c r="N1204" s="163" t="str">
        <f t="shared" si="22"/>
        <v/>
      </c>
      <c r="O1204" s="41"/>
      <c r="P1204" s="41"/>
      <c r="Q1204" s="161" t="str">
        <f>+IF(OR(O1204="Fire Control",O1204="Fire Tex 5062",O1204="Fire Tex 5090",O1204="Fire Tex 5120"),'CALCULO PINTURA'!P1205," ")</f>
        <v xml:space="preserve"> </v>
      </c>
      <c r="R1204" s="164" t="str">
        <f>+IF(OR(O1204="Fire Control",O1204="Fire Tex 5062",O1204="Fire Tex 5090",O1204="Fire Tex 5120"),'CALCULO PINTURA'!R1205," ")</f>
        <v xml:space="preserve"> </v>
      </c>
      <c r="S1204" s="164" t="str">
        <f>+IF(OR(O1204="Fire Control",O1204="Fire Tex 5062",O1204="Fire Tex 5090",O1204="Fire Tex 5120"),'CALCULO PINTURA'!S1205," ")</f>
        <v xml:space="preserve"> </v>
      </c>
      <c r="T1204" s="874" t="str">
        <f>+IF(OR(O1204="Blaze Shield II",O1204="Cafco 400",O1204="Cafco 300"),'CALCULO MORTERO'!N1210," ")</f>
        <v xml:space="preserve"> </v>
      </c>
      <c r="U1204" s="875" t="str">
        <f>+IF(OR(O1204="Blaze Shield II",O1204="Cafco 400",O1204="Cafco 300"),'CALCULO MORTERO'!O1210," ")</f>
        <v xml:space="preserve"> </v>
      </c>
      <c r="V1204" s="161" t="str" cm="1">
        <f t="array" ref="V1204">_xlfn.IFS(O1204="Blaze Shield II",'CALCULO MORTERO'!P1205, O1204="Cafco 400",'CALCULO MORTERO'!Q1205,O1204="Cafco 300",'CALCULO MORTERO'!S1205, AND(OR(O1204="Fire tex 5090", O1204="Fire Tex 5062", O1204="Fire Tex 5120", O1204="Fire Control"),Q1204&gt;0), "CERT.",TRUE,"-")</f>
        <v>-</v>
      </c>
    </row>
    <row r="1205" spans="1:22" x14ac:dyDescent="0.25">
      <c r="A1205" s="168"/>
      <c r="B1205" s="876"/>
      <c r="C1205" s="161"/>
      <c r="D1205" s="161"/>
      <c r="E1205" s="161"/>
      <c r="F1205" s="41"/>
      <c r="G1205" s="161"/>
      <c r="H1205" s="161"/>
      <c r="I1205" s="166"/>
      <c r="J1205" s="162"/>
      <c r="K1205" s="161"/>
      <c r="L1205" s="161"/>
      <c r="M1205" s="169"/>
      <c r="N1205" s="163" t="str">
        <f t="shared" si="22"/>
        <v/>
      </c>
      <c r="O1205" s="41"/>
      <c r="P1205" s="41"/>
      <c r="Q1205" s="161" t="str">
        <f>+IF(OR(O1205="Fire Control",O1205="Fire Tex 5062",O1205="Fire Tex 5090",O1205="Fire Tex 5120"),'CALCULO PINTURA'!P1206," ")</f>
        <v xml:space="preserve"> </v>
      </c>
      <c r="R1205" s="164" t="str">
        <f>+IF(OR(O1205="Fire Control",O1205="Fire Tex 5062",O1205="Fire Tex 5090",O1205="Fire Tex 5120"),'CALCULO PINTURA'!R1206," ")</f>
        <v xml:space="preserve"> </v>
      </c>
      <c r="S1205" s="164" t="str">
        <f>+IF(OR(O1205="Fire Control",O1205="Fire Tex 5062",O1205="Fire Tex 5090",O1205="Fire Tex 5120"),'CALCULO PINTURA'!S1206," ")</f>
        <v xml:space="preserve"> </v>
      </c>
      <c r="T1205" s="874" t="str">
        <f>+IF(OR(O1205="Blaze Shield II",O1205="Cafco 400",O1205="Cafco 300"),'CALCULO MORTERO'!N1211," ")</f>
        <v xml:space="preserve"> </v>
      </c>
      <c r="U1205" s="875" t="str">
        <f>+IF(OR(O1205="Blaze Shield II",O1205="Cafco 400",O1205="Cafco 300"),'CALCULO MORTERO'!O1211," ")</f>
        <v xml:space="preserve"> </v>
      </c>
      <c r="V1205" s="161" t="str" cm="1">
        <f t="array" ref="V1205">_xlfn.IFS(O1205="Blaze Shield II",'CALCULO MORTERO'!P1206, O1205="Cafco 400",'CALCULO MORTERO'!Q1206,O1205="Cafco 300",'CALCULO MORTERO'!S1206, AND(OR(O1205="Fire tex 5090", O1205="Fire Tex 5062", O1205="Fire Tex 5120", O1205="Fire Control"),Q1205&gt;0), "CERT.",TRUE,"-")</f>
        <v>-</v>
      </c>
    </row>
    <row r="1206" spans="1:22" x14ac:dyDescent="0.25">
      <c r="A1206" s="168"/>
      <c r="B1206" s="876"/>
      <c r="C1206" s="161"/>
      <c r="D1206" s="161"/>
      <c r="E1206" s="161"/>
      <c r="F1206" s="41"/>
      <c r="G1206" s="161"/>
      <c r="H1206" s="161"/>
      <c r="I1206" s="166"/>
      <c r="J1206" s="162"/>
      <c r="K1206" s="162"/>
      <c r="L1206" s="161"/>
      <c r="M1206" s="169"/>
      <c r="N1206" s="163" t="str">
        <f t="shared" si="22"/>
        <v/>
      </c>
      <c r="O1206" s="41"/>
      <c r="P1206" s="41"/>
      <c r="Q1206" s="161" t="str">
        <f>+IF(OR(O1206="Fire Control",O1206="Fire Tex 5062",O1206="Fire Tex 5090",O1206="Fire Tex 5120"),'CALCULO PINTURA'!P1207," ")</f>
        <v xml:space="preserve"> </v>
      </c>
      <c r="R1206" s="164" t="str">
        <f>+IF(OR(O1206="Fire Control",O1206="Fire Tex 5062",O1206="Fire Tex 5090",O1206="Fire Tex 5120"),'CALCULO PINTURA'!R1207," ")</f>
        <v xml:space="preserve"> </v>
      </c>
      <c r="S1206" s="164" t="str">
        <f>+IF(OR(O1206="Fire Control",O1206="Fire Tex 5062",O1206="Fire Tex 5090",O1206="Fire Tex 5120"),'CALCULO PINTURA'!S1207," ")</f>
        <v xml:space="preserve"> </v>
      </c>
      <c r="T1206" s="874" t="str">
        <f>+IF(OR(O1206="Blaze Shield II",O1206="Cafco 400",O1206="Cafco 300"),'CALCULO MORTERO'!N1212," ")</f>
        <v xml:space="preserve"> </v>
      </c>
      <c r="U1206" s="875" t="str">
        <f>+IF(OR(O1206="Blaze Shield II",O1206="Cafco 400",O1206="Cafco 300"),'CALCULO MORTERO'!O1212," ")</f>
        <v xml:space="preserve"> </v>
      </c>
      <c r="V1206" s="161" t="str" cm="1">
        <f t="array" ref="V1206">_xlfn.IFS(O1206="Blaze Shield II",'CALCULO MORTERO'!P1207, O1206="Cafco 400",'CALCULO MORTERO'!Q1207,O1206="Cafco 300",'CALCULO MORTERO'!S1207, AND(OR(O1206="Fire tex 5090", O1206="Fire Tex 5062", O1206="Fire Tex 5120", O1206="Fire Control"),Q1206&gt;0), "CERT.",TRUE,"-")</f>
        <v>-</v>
      </c>
    </row>
    <row r="1207" spans="1:22" x14ac:dyDescent="0.25">
      <c r="A1207" s="168"/>
      <c r="B1207" s="876"/>
      <c r="C1207" s="161"/>
      <c r="D1207" s="161"/>
      <c r="E1207" s="161"/>
      <c r="F1207" s="41"/>
      <c r="G1207" s="161"/>
      <c r="H1207" s="161"/>
      <c r="I1207" s="166"/>
      <c r="J1207" s="162"/>
      <c r="K1207" s="162"/>
      <c r="L1207" s="161"/>
      <c r="M1207" s="169"/>
      <c r="N1207" s="163" t="str">
        <f t="shared" si="22"/>
        <v/>
      </c>
      <c r="O1207" s="41"/>
      <c r="P1207" s="41"/>
      <c r="Q1207" s="161" t="str">
        <f>+IF(OR(O1207="Fire Control",O1207="Fire Tex 5062",O1207="Fire Tex 5090",O1207="Fire Tex 5120"),'CALCULO PINTURA'!P1208," ")</f>
        <v xml:space="preserve"> </v>
      </c>
      <c r="R1207" s="164" t="str">
        <f>+IF(OR(O1207="Fire Control",O1207="Fire Tex 5062",O1207="Fire Tex 5090",O1207="Fire Tex 5120"),'CALCULO PINTURA'!R1208," ")</f>
        <v xml:space="preserve"> </v>
      </c>
      <c r="S1207" s="164" t="str">
        <f>+IF(OR(O1207="Fire Control",O1207="Fire Tex 5062",O1207="Fire Tex 5090",O1207="Fire Tex 5120"),'CALCULO PINTURA'!S1208," ")</f>
        <v xml:space="preserve"> </v>
      </c>
      <c r="T1207" s="874" t="str">
        <f>+IF(OR(O1207="Blaze Shield II",O1207="Cafco 400",O1207="Cafco 300"),'CALCULO MORTERO'!N1213," ")</f>
        <v xml:space="preserve"> </v>
      </c>
      <c r="U1207" s="875" t="str">
        <f>+IF(OR(O1207="Blaze Shield II",O1207="Cafco 400",O1207="Cafco 300"),'CALCULO MORTERO'!O1213," ")</f>
        <v xml:space="preserve"> </v>
      </c>
      <c r="V1207" s="161" t="str" cm="1">
        <f t="array" ref="V1207">_xlfn.IFS(O1207="Blaze Shield II",'CALCULO MORTERO'!P1208, O1207="Cafco 400",'CALCULO MORTERO'!Q1208,O1207="Cafco 300",'CALCULO MORTERO'!S1208, AND(OR(O1207="Fire tex 5090", O1207="Fire Tex 5062", O1207="Fire Tex 5120", O1207="Fire Control"),Q1207&gt;0), "CERT.",TRUE,"-")</f>
        <v>-</v>
      </c>
    </row>
    <row r="1208" spans="1:22" x14ac:dyDescent="0.25">
      <c r="A1208" s="168"/>
      <c r="B1208" s="876"/>
      <c r="C1208" s="161"/>
      <c r="D1208" s="161"/>
      <c r="E1208" s="161"/>
      <c r="F1208" s="41"/>
      <c r="G1208" s="161"/>
      <c r="H1208" s="161"/>
      <c r="I1208" s="166"/>
      <c r="J1208" s="162"/>
      <c r="K1208" s="162"/>
      <c r="L1208" s="161"/>
      <c r="M1208" s="169"/>
      <c r="N1208" s="163" t="str">
        <f t="shared" si="22"/>
        <v/>
      </c>
      <c r="O1208" s="41"/>
      <c r="P1208" s="41"/>
      <c r="Q1208" s="161" t="str">
        <f>+IF(OR(O1208="Fire Control",O1208="Fire Tex 5062",O1208="Fire Tex 5090",O1208="Fire Tex 5120"),'CALCULO PINTURA'!P1209," ")</f>
        <v xml:space="preserve"> </v>
      </c>
      <c r="R1208" s="164" t="str">
        <f>+IF(OR(O1208="Fire Control",O1208="Fire Tex 5062",O1208="Fire Tex 5090",O1208="Fire Tex 5120"),'CALCULO PINTURA'!R1209," ")</f>
        <v xml:space="preserve"> </v>
      </c>
      <c r="S1208" s="164" t="str">
        <f>+IF(OR(O1208="Fire Control",O1208="Fire Tex 5062",O1208="Fire Tex 5090",O1208="Fire Tex 5120"),'CALCULO PINTURA'!S1209," ")</f>
        <v xml:space="preserve"> </v>
      </c>
      <c r="T1208" s="874" t="str">
        <f>+IF(OR(O1208="Blaze Shield II",O1208="Cafco 400",O1208="Cafco 300"),'CALCULO MORTERO'!N1214," ")</f>
        <v xml:space="preserve"> </v>
      </c>
      <c r="U1208" s="875" t="str">
        <f>+IF(OR(O1208="Blaze Shield II",O1208="Cafco 400",O1208="Cafco 300"),'CALCULO MORTERO'!O1214," ")</f>
        <v xml:space="preserve"> </v>
      </c>
      <c r="V1208" s="161" t="str" cm="1">
        <f t="array" ref="V1208">_xlfn.IFS(O1208="Blaze Shield II",'CALCULO MORTERO'!P1209, O1208="Cafco 400",'CALCULO MORTERO'!Q1209,O1208="Cafco 300",'CALCULO MORTERO'!S1209, AND(OR(O1208="Fire tex 5090", O1208="Fire Tex 5062", O1208="Fire Tex 5120", O1208="Fire Control"),Q1208&gt;0), "CERT.",TRUE,"-")</f>
        <v>-</v>
      </c>
    </row>
    <row r="1209" spans="1:22" x14ac:dyDescent="0.25">
      <c r="A1209" s="168"/>
      <c r="B1209" s="876"/>
      <c r="C1209" s="161"/>
      <c r="D1209" s="161"/>
      <c r="E1209" s="161"/>
      <c r="F1209" s="41"/>
      <c r="G1209" s="161"/>
      <c r="H1209" s="161"/>
      <c r="I1209" s="166"/>
      <c r="J1209" s="162"/>
      <c r="K1209" s="162"/>
      <c r="L1209" s="161"/>
      <c r="M1209" s="169"/>
      <c r="N1209" s="163" t="str">
        <f t="shared" si="22"/>
        <v/>
      </c>
      <c r="O1209" s="41"/>
      <c r="P1209" s="41"/>
      <c r="Q1209" s="161" t="str">
        <f>+IF(OR(O1209="Fire Control",O1209="Fire Tex 5062",O1209="Fire Tex 5090",O1209="Fire Tex 5120"),'CALCULO PINTURA'!P1210," ")</f>
        <v xml:space="preserve"> </v>
      </c>
      <c r="R1209" s="164" t="str">
        <f>+IF(OR(O1209="Fire Control",O1209="Fire Tex 5062",O1209="Fire Tex 5090",O1209="Fire Tex 5120"),'CALCULO PINTURA'!R1210," ")</f>
        <v xml:space="preserve"> </v>
      </c>
      <c r="S1209" s="164" t="str">
        <f>+IF(OR(O1209="Fire Control",O1209="Fire Tex 5062",O1209="Fire Tex 5090",O1209="Fire Tex 5120"),'CALCULO PINTURA'!S1210," ")</f>
        <v xml:space="preserve"> </v>
      </c>
      <c r="T1209" s="874" t="str">
        <f>+IF(OR(O1209="Blaze Shield II",O1209="Cafco 400",O1209="Cafco 300"),'CALCULO MORTERO'!N1215," ")</f>
        <v xml:space="preserve"> </v>
      </c>
      <c r="U1209" s="875" t="str">
        <f>+IF(OR(O1209="Blaze Shield II",O1209="Cafco 400",O1209="Cafco 300"),'CALCULO MORTERO'!O1215," ")</f>
        <v xml:space="preserve"> </v>
      </c>
      <c r="V1209" s="161" t="str" cm="1">
        <f t="array" ref="V1209">_xlfn.IFS(O1209="Blaze Shield II",'CALCULO MORTERO'!P1210, O1209="Cafco 400",'CALCULO MORTERO'!Q1210,O1209="Cafco 300",'CALCULO MORTERO'!S1210, AND(OR(O1209="Fire tex 5090", O1209="Fire Tex 5062", O1209="Fire Tex 5120", O1209="Fire Control"),Q1209&gt;0), "CERT.",TRUE,"-")</f>
        <v>-</v>
      </c>
    </row>
    <row r="1210" spans="1:22" x14ac:dyDescent="0.25">
      <c r="A1210" s="168"/>
      <c r="B1210" s="876"/>
      <c r="C1210" s="161"/>
      <c r="D1210" s="161"/>
      <c r="E1210" s="161"/>
      <c r="F1210" s="41"/>
      <c r="G1210" s="161"/>
      <c r="H1210" s="161"/>
      <c r="I1210" s="166"/>
      <c r="J1210" s="162"/>
      <c r="K1210" s="162"/>
      <c r="L1210" s="161"/>
      <c r="M1210" s="169"/>
      <c r="N1210" s="163" t="str">
        <f t="shared" si="22"/>
        <v/>
      </c>
      <c r="O1210" s="41"/>
      <c r="P1210" s="41"/>
      <c r="Q1210" s="161" t="str">
        <f>+IF(OR(O1210="Fire Control",O1210="Fire Tex 5062",O1210="Fire Tex 5090",O1210="Fire Tex 5120"),'CALCULO PINTURA'!P1211," ")</f>
        <v xml:space="preserve"> </v>
      </c>
      <c r="R1210" s="164" t="str">
        <f>+IF(OR(O1210="Fire Control",O1210="Fire Tex 5062",O1210="Fire Tex 5090",O1210="Fire Tex 5120"),'CALCULO PINTURA'!R1211," ")</f>
        <v xml:space="preserve"> </v>
      </c>
      <c r="S1210" s="164" t="str">
        <f>+IF(OR(O1210="Fire Control",O1210="Fire Tex 5062",O1210="Fire Tex 5090",O1210="Fire Tex 5120"),'CALCULO PINTURA'!S1211," ")</f>
        <v xml:space="preserve"> </v>
      </c>
      <c r="T1210" s="874" t="str">
        <f>+IF(OR(O1210="Blaze Shield II",O1210="Cafco 400",O1210="Cafco 300"),'CALCULO MORTERO'!N1216," ")</f>
        <v xml:space="preserve"> </v>
      </c>
      <c r="U1210" s="875" t="str">
        <f>+IF(OR(O1210="Blaze Shield II",O1210="Cafco 400",O1210="Cafco 300"),'CALCULO MORTERO'!O1216," ")</f>
        <v xml:space="preserve"> </v>
      </c>
      <c r="V1210" s="161" t="str" cm="1">
        <f t="array" ref="V1210">_xlfn.IFS(O1210="Blaze Shield II",'CALCULO MORTERO'!P1211, O1210="Cafco 400",'CALCULO MORTERO'!Q1211,O1210="Cafco 300",'CALCULO MORTERO'!S1211, AND(OR(O1210="Fire tex 5090", O1210="Fire Tex 5062", O1210="Fire Tex 5120", O1210="Fire Control"),Q1210&gt;0), "CERT.",TRUE,"-")</f>
        <v>-</v>
      </c>
    </row>
    <row r="1211" spans="1:22" x14ac:dyDescent="0.25">
      <c r="A1211" s="168"/>
      <c r="B1211" s="876"/>
      <c r="C1211" s="161"/>
      <c r="D1211" s="161"/>
      <c r="E1211" s="161"/>
      <c r="F1211" s="41"/>
      <c r="G1211" s="161"/>
      <c r="H1211" s="161"/>
      <c r="I1211" s="166"/>
      <c r="J1211" s="162"/>
      <c r="K1211" s="162"/>
      <c r="L1211" s="161"/>
      <c r="M1211" s="169"/>
      <c r="N1211" s="163" t="str">
        <f t="shared" si="22"/>
        <v/>
      </c>
      <c r="O1211" s="41"/>
      <c r="P1211" s="41"/>
      <c r="Q1211" s="161" t="str">
        <f>+IF(OR(O1211="Fire Control",O1211="Fire Tex 5062",O1211="Fire Tex 5090",O1211="Fire Tex 5120"),'CALCULO PINTURA'!P1212," ")</f>
        <v xml:space="preserve"> </v>
      </c>
      <c r="R1211" s="164" t="str">
        <f>+IF(OR(O1211="Fire Control",O1211="Fire Tex 5062",O1211="Fire Tex 5090",O1211="Fire Tex 5120"),'CALCULO PINTURA'!R1212," ")</f>
        <v xml:space="preserve"> </v>
      </c>
      <c r="S1211" s="164" t="str">
        <f>+IF(OR(O1211="Fire Control",O1211="Fire Tex 5062",O1211="Fire Tex 5090",O1211="Fire Tex 5120"),'CALCULO PINTURA'!S1212," ")</f>
        <v xml:space="preserve"> </v>
      </c>
      <c r="T1211" s="874" t="str">
        <f>+IF(OR(O1211="Blaze Shield II",O1211="Cafco 400",O1211="Cafco 300"),'CALCULO MORTERO'!N1217," ")</f>
        <v xml:space="preserve"> </v>
      </c>
      <c r="U1211" s="875" t="str">
        <f>+IF(OR(O1211="Blaze Shield II",O1211="Cafco 400",O1211="Cafco 300"),'CALCULO MORTERO'!O1217," ")</f>
        <v xml:space="preserve"> </v>
      </c>
      <c r="V1211" s="161" t="str" cm="1">
        <f t="array" ref="V1211">_xlfn.IFS(O1211="Blaze Shield II",'CALCULO MORTERO'!P1212, O1211="Cafco 400",'CALCULO MORTERO'!Q1212,O1211="Cafco 300",'CALCULO MORTERO'!S1212, AND(OR(O1211="Fire tex 5090", O1211="Fire Tex 5062", O1211="Fire Tex 5120", O1211="Fire Control"),Q1211&gt;0), "CERT.",TRUE,"-")</f>
        <v>-</v>
      </c>
    </row>
    <row r="1212" spans="1:22" x14ac:dyDescent="0.25">
      <c r="A1212" s="168"/>
      <c r="B1212" s="876"/>
      <c r="C1212" s="161"/>
      <c r="D1212" s="161"/>
      <c r="E1212" s="161"/>
      <c r="F1212" s="41"/>
      <c r="G1212" s="161"/>
      <c r="H1212" s="161"/>
      <c r="I1212" s="166"/>
      <c r="J1212" s="162"/>
      <c r="K1212" s="161"/>
      <c r="L1212" s="161"/>
      <c r="M1212" s="169"/>
      <c r="N1212" s="163" t="str">
        <f t="shared" si="22"/>
        <v/>
      </c>
      <c r="O1212" s="41"/>
      <c r="P1212" s="41"/>
      <c r="Q1212" s="161" t="str">
        <f>+IF(OR(O1212="Fire Control",O1212="Fire Tex 5062",O1212="Fire Tex 5090",O1212="Fire Tex 5120"),'CALCULO PINTURA'!P1213," ")</f>
        <v xml:space="preserve"> </v>
      </c>
      <c r="R1212" s="164" t="str">
        <f>+IF(OR(O1212="Fire Control",O1212="Fire Tex 5062",O1212="Fire Tex 5090",O1212="Fire Tex 5120"),'CALCULO PINTURA'!R1213," ")</f>
        <v xml:space="preserve"> </v>
      </c>
      <c r="S1212" s="164" t="str">
        <f>+IF(OR(O1212="Fire Control",O1212="Fire Tex 5062",O1212="Fire Tex 5090",O1212="Fire Tex 5120"),'CALCULO PINTURA'!S1213," ")</f>
        <v xml:space="preserve"> </v>
      </c>
      <c r="T1212" s="874" t="str">
        <f>+IF(OR(O1212="Blaze Shield II",O1212="Cafco 400",O1212="Cafco 300"),'CALCULO MORTERO'!N1218," ")</f>
        <v xml:space="preserve"> </v>
      </c>
      <c r="U1212" s="875" t="str">
        <f>+IF(OR(O1212="Blaze Shield II",O1212="Cafco 400",O1212="Cafco 300"),'CALCULO MORTERO'!O1218," ")</f>
        <v xml:space="preserve"> </v>
      </c>
      <c r="V1212" s="161" t="str" cm="1">
        <f t="array" ref="V1212">_xlfn.IFS(O1212="Blaze Shield II",'CALCULO MORTERO'!P1213, O1212="Cafco 400",'CALCULO MORTERO'!Q1213,O1212="Cafco 300",'CALCULO MORTERO'!S1213, AND(OR(O1212="Fire tex 5090", O1212="Fire Tex 5062", O1212="Fire Tex 5120", O1212="Fire Control"),Q1212&gt;0), "CERT.",TRUE,"-")</f>
        <v>-</v>
      </c>
    </row>
    <row r="1213" spans="1:22" x14ac:dyDescent="0.25">
      <c r="A1213" s="168"/>
      <c r="B1213" s="876"/>
      <c r="C1213" s="161"/>
      <c r="D1213" s="161"/>
      <c r="E1213" s="161"/>
      <c r="F1213" s="161"/>
      <c r="G1213" s="161"/>
      <c r="H1213" s="161"/>
      <c r="I1213" s="166"/>
      <c r="J1213" s="162"/>
      <c r="K1213" s="161"/>
      <c r="L1213" s="161"/>
      <c r="M1213" s="163"/>
      <c r="N1213" s="163" t="str">
        <f t="shared" si="22"/>
        <v/>
      </c>
      <c r="O1213" s="41"/>
      <c r="P1213" s="41"/>
      <c r="Q1213" s="161" t="str">
        <f>+IF(OR(O1213="Fire Control",O1213="Fire Tex 5062",O1213="Fire Tex 5090",O1213="Fire Tex 5120"),'CALCULO PINTURA'!P1214," ")</f>
        <v xml:space="preserve"> </v>
      </c>
      <c r="R1213" s="164" t="str">
        <f>+IF(OR(O1213="Fire Control",O1213="Fire Tex 5062",O1213="Fire Tex 5090",O1213="Fire Tex 5120"),'CALCULO PINTURA'!R1214," ")</f>
        <v xml:space="preserve"> </v>
      </c>
      <c r="S1213" s="164" t="str">
        <f>+IF(OR(O1213="Fire Control",O1213="Fire Tex 5062",O1213="Fire Tex 5090",O1213="Fire Tex 5120"),'CALCULO PINTURA'!S1214," ")</f>
        <v xml:space="preserve"> </v>
      </c>
      <c r="T1213" s="874" t="str">
        <f>+IF(OR(O1213="Blaze Shield II",O1213="Cafco 400",O1213="Cafco 300"),'CALCULO MORTERO'!N1219," ")</f>
        <v xml:space="preserve"> </v>
      </c>
      <c r="U1213" s="875" t="str">
        <f>+IF(OR(O1213="Blaze Shield II",O1213="Cafco 400",O1213="Cafco 300"),'CALCULO MORTERO'!O1219," ")</f>
        <v xml:space="preserve"> </v>
      </c>
      <c r="V1213" s="161" t="str" cm="1">
        <f t="array" ref="V1213">_xlfn.IFS(O1213="Blaze Shield II",'CALCULO MORTERO'!P1214, O1213="Cafco 400",'CALCULO MORTERO'!Q1214,O1213="Cafco 300",'CALCULO MORTERO'!S1214, AND(OR(O1213="Fire tex 5090", O1213="Fire Tex 5062", O1213="Fire Tex 5120", O1213="Fire Control"),Q1213&gt;0), "CERT.",TRUE,"-")</f>
        <v>-</v>
      </c>
    </row>
    <row r="1214" spans="1:22" x14ac:dyDescent="0.25">
      <c r="A1214" s="168"/>
      <c r="B1214" s="876"/>
      <c r="C1214" s="161"/>
      <c r="D1214" s="161"/>
      <c r="E1214" s="161"/>
      <c r="F1214" s="161"/>
      <c r="G1214" s="161"/>
      <c r="H1214" s="161"/>
      <c r="I1214" s="166"/>
      <c r="J1214" s="162"/>
      <c r="K1214" s="161"/>
      <c r="L1214" s="161"/>
      <c r="M1214" s="169"/>
      <c r="N1214" s="163" t="str">
        <f t="shared" si="22"/>
        <v/>
      </c>
      <c r="O1214" s="41"/>
      <c r="P1214" s="41"/>
      <c r="Q1214" s="161" t="str">
        <f>+IF(OR(O1214="Fire Control",O1214="Fire Tex 5062",O1214="Fire Tex 5090",O1214="Fire Tex 5120"),'CALCULO PINTURA'!P1215," ")</f>
        <v xml:space="preserve"> </v>
      </c>
      <c r="R1214" s="164" t="str">
        <f>+IF(OR(O1214="Fire Control",O1214="Fire Tex 5062",O1214="Fire Tex 5090",O1214="Fire Tex 5120"),'CALCULO PINTURA'!R1215," ")</f>
        <v xml:space="preserve"> </v>
      </c>
      <c r="S1214" s="164" t="str">
        <f>+IF(OR(O1214="Fire Control",O1214="Fire Tex 5062",O1214="Fire Tex 5090",O1214="Fire Tex 5120"),'CALCULO PINTURA'!S1215," ")</f>
        <v xml:space="preserve"> </v>
      </c>
      <c r="T1214" s="874" t="str">
        <f>+IF(OR(O1214="Blaze Shield II",O1214="Cafco 400",O1214="Cafco 300"),'CALCULO MORTERO'!N1220," ")</f>
        <v xml:space="preserve"> </v>
      </c>
      <c r="U1214" s="875" t="str">
        <f>+IF(OR(O1214="Blaze Shield II",O1214="Cafco 400",O1214="Cafco 300"),'CALCULO MORTERO'!O1220," ")</f>
        <v xml:space="preserve"> </v>
      </c>
      <c r="V1214" s="161" t="str" cm="1">
        <f t="array" ref="V1214">_xlfn.IFS(O1214="Blaze Shield II",'CALCULO MORTERO'!P1215, O1214="Cafco 400",'CALCULO MORTERO'!Q1215,O1214="Cafco 300",'CALCULO MORTERO'!S1215, AND(OR(O1214="Fire tex 5090", O1214="Fire Tex 5062", O1214="Fire Tex 5120", O1214="Fire Control"),Q1214&gt;0), "CERT.",TRUE,"-")</f>
        <v>-</v>
      </c>
    </row>
    <row r="1215" spans="1:22" x14ac:dyDescent="0.25">
      <c r="A1215" s="168"/>
      <c r="B1215" s="876"/>
      <c r="C1215" s="161"/>
      <c r="D1215" s="161"/>
      <c r="E1215" s="161"/>
      <c r="F1215" s="161"/>
      <c r="G1215" s="161"/>
      <c r="H1215" s="161"/>
      <c r="I1215" s="166"/>
      <c r="J1215" s="162"/>
      <c r="K1215" s="161"/>
      <c r="L1215" s="161"/>
      <c r="M1215" s="163"/>
      <c r="N1215" s="163" t="str">
        <f t="shared" si="22"/>
        <v/>
      </c>
      <c r="O1215" s="41"/>
      <c r="P1215" s="41"/>
      <c r="Q1215" s="161" t="str">
        <f>+IF(OR(O1215="Fire Control",O1215="Fire Tex 5062",O1215="Fire Tex 5090",O1215="Fire Tex 5120"),'CALCULO PINTURA'!P1216," ")</f>
        <v xml:space="preserve"> </v>
      </c>
      <c r="R1215" s="164" t="str">
        <f>+IF(OR(O1215="Fire Control",O1215="Fire Tex 5062",O1215="Fire Tex 5090",O1215="Fire Tex 5120"),'CALCULO PINTURA'!R1216," ")</f>
        <v xml:space="preserve"> </v>
      </c>
      <c r="S1215" s="164" t="str">
        <f>+IF(OR(O1215="Fire Control",O1215="Fire Tex 5062",O1215="Fire Tex 5090",O1215="Fire Tex 5120"),'CALCULO PINTURA'!S1216," ")</f>
        <v xml:space="preserve"> </v>
      </c>
      <c r="T1215" s="874" t="str">
        <f>+IF(OR(O1215="Blaze Shield II",O1215="Cafco 400",O1215="Cafco 300"),'CALCULO MORTERO'!N1221," ")</f>
        <v xml:space="preserve"> </v>
      </c>
      <c r="U1215" s="875" t="str">
        <f>+IF(OR(O1215="Blaze Shield II",O1215="Cafco 400",O1215="Cafco 300"),'CALCULO MORTERO'!O1221," ")</f>
        <v xml:space="preserve"> </v>
      </c>
      <c r="V1215" s="161" t="str" cm="1">
        <f t="array" ref="V1215">_xlfn.IFS(O1215="Blaze Shield II",'CALCULO MORTERO'!P1216, O1215="Cafco 400",'CALCULO MORTERO'!Q1216,O1215="Cafco 300",'CALCULO MORTERO'!S1216, AND(OR(O1215="Fire tex 5090", O1215="Fire Tex 5062", O1215="Fire Tex 5120", O1215="Fire Control"),Q1215&gt;0), "CERT.",TRUE,"-")</f>
        <v>-</v>
      </c>
    </row>
    <row r="1216" spans="1:22" x14ac:dyDescent="0.25">
      <c r="A1216" s="168"/>
      <c r="B1216" s="876"/>
      <c r="C1216" s="161"/>
      <c r="D1216" s="161"/>
      <c r="E1216" s="161"/>
      <c r="F1216" s="161"/>
      <c r="G1216" s="161"/>
      <c r="H1216" s="161"/>
      <c r="I1216" s="166"/>
      <c r="J1216" s="162"/>
      <c r="K1216" s="161"/>
      <c r="L1216" s="161"/>
      <c r="M1216" s="163"/>
      <c r="N1216" s="163" t="str">
        <f t="shared" si="22"/>
        <v/>
      </c>
      <c r="O1216" s="41"/>
      <c r="P1216" s="41"/>
      <c r="Q1216" s="161" t="str">
        <f>+IF(OR(O1216="Fire Control",O1216="Fire Tex 5062",O1216="Fire Tex 5090",O1216="Fire Tex 5120"),'CALCULO PINTURA'!P1217," ")</f>
        <v xml:space="preserve"> </v>
      </c>
      <c r="R1216" s="164" t="str">
        <f>+IF(OR(O1216="Fire Control",O1216="Fire Tex 5062",O1216="Fire Tex 5090",O1216="Fire Tex 5120"),'CALCULO PINTURA'!R1217," ")</f>
        <v xml:space="preserve"> </v>
      </c>
      <c r="S1216" s="164" t="str">
        <f>+IF(OR(O1216="Fire Control",O1216="Fire Tex 5062",O1216="Fire Tex 5090",O1216="Fire Tex 5120"),'CALCULO PINTURA'!S1217," ")</f>
        <v xml:space="preserve"> </v>
      </c>
      <c r="T1216" s="874" t="str">
        <f>+IF(OR(O1216="Blaze Shield II",O1216="Cafco 400",O1216="Cafco 300"),'CALCULO MORTERO'!N1222," ")</f>
        <v xml:space="preserve"> </v>
      </c>
      <c r="U1216" s="875" t="str">
        <f>+IF(OR(O1216="Blaze Shield II",O1216="Cafco 400",O1216="Cafco 300"),'CALCULO MORTERO'!O1222," ")</f>
        <v xml:space="preserve"> </v>
      </c>
      <c r="V1216" s="161" t="str" cm="1">
        <f t="array" ref="V1216">_xlfn.IFS(O1216="Blaze Shield II",'CALCULO MORTERO'!P1217, O1216="Cafco 400",'CALCULO MORTERO'!Q1217,O1216="Cafco 300",'CALCULO MORTERO'!S1217, AND(OR(O1216="Fire tex 5090", O1216="Fire Tex 5062", O1216="Fire Tex 5120", O1216="Fire Control"),Q1216&gt;0), "CERT.",TRUE,"-")</f>
        <v>-</v>
      </c>
    </row>
    <row r="1217" spans="1:22" x14ac:dyDescent="0.25">
      <c r="A1217" s="168"/>
      <c r="B1217" s="876"/>
      <c r="C1217" s="161"/>
      <c r="D1217" s="161"/>
      <c r="E1217" s="161"/>
      <c r="F1217" s="161"/>
      <c r="G1217" s="161"/>
      <c r="H1217" s="161"/>
      <c r="I1217" s="166"/>
      <c r="J1217" s="162"/>
      <c r="K1217" s="161"/>
      <c r="L1217" s="161"/>
      <c r="M1217" s="169"/>
      <c r="N1217" s="163" t="str">
        <f t="shared" si="22"/>
        <v/>
      </c>
      <c r="O1217" s="41"/>
      <c r="P1217" s="41"/>
      <c r="Q1217" s="161" t="str">
        <f>+IF(OR(O1217="Fire Control",O1217="Fire Tex 5062",O1217="Fire Tex 5090",O1217="Fire Tex 5120"),'CALCULO PINTURA'!P1218," ")</f>
        <v xml:space="preserve"> </v>
      </c>
      <c r="R1217" s="164" t="str">
        <f>+IF(OR(O1217="Fire Control",O1217="Fire Tex 5062",O1217="Fire Tex 5090",O1217="Fire Tex 5120"),'CALCULO PINTURA'!R1218," ")</f>
        <v xml:space="preserve"> </v>
      </c>
      <c r="S1217" s="164" t="str">
        <f>+IF(OR(O1217="Fire Control",O1217="Fire Tex 5062",O1217="Fire Tex 5090",O1217="Fire Tex 5120"),'CALCULO PINTURA'!S1218," ")</f>
        <v xml:space="preserve"> </v>
      </c>
      <c r="T1217" s="874" t="str">
        <f>+IF(OR(O1217="Blaze Shield II",O1217="Cafco 400",O1217="Cafco 300"),'CALCULO MORTERO'!N1223," ")</f>
        <v xml:space="preserve"> </v>
      </c>
      <c r="U1217" s="875" t="str">
        <f>+IF(OR(O1217="Blaze Shield II",O1217="Cafco 400",O1217="Cafco 300"),'CALCULO MORTERO'!O1223," ")</f>
        <v xml:space="preserve"> </v>
      </c>
      <c r="V1217" s="161" t="str" cm="1">
        <f t="array" ref="V1217">_xlfn.IFS(O1217="Blaze Shield II",'CALCULO MORTERO'!P1218, O1217="Cafco 400",'CALCULO MORTERO'!Q1218,O1217="Cafco 300",'CALCULO MORTERO'!S1218, AND(OR(O1217="Fire tex 5090", O1217="Fire Tex 5062", O1217="Fire Tex 5120", O1217="Fire Control"),Q1217&gt;0), "CERT.",TRUE,"-")</f>
        <v>-</v>
      </c>
    </row>
    <row r="1218" spans="1:22" x14ac:dyDescent="0.25">
      <c r="A1218" s="168"/>
      <c r="B1218" s="876"/>
      <c r="C1218" s="161"/>
      <c r="D1218" s="161"/>
      <c r="E1218" s="161"/>
      <c r="F1218" s="161"/>
      <c r="G1218" s="161"/>
      <c r="H1218" s="161"/>
      <c r="I1218" s="166"/>
      <c r="J1218" s="162"/>
      <c r="K1218" s="161"/>
      <c r="L1218" s="161"/>
      <c r="M1218" s="163"/>
      <c r="N1218" s="163" t="str">
        <f t="shared" si="22"/>
        <v/>
      </c>
      <c r="O1218" s="41"/>
      <c r="P1218" s="41"/>
      <c r="Q1218" s="161" t="str">
        <f>+IF(OR(O1218="Fire Control",O1218="Fire Tex 5062",O1218="Fire Tex 5090",O1218="Fire Tex 5120"),'CALCULO PINTURA'!P1219," ")</f>
        <v xml:space="preserve"> </v>
      </c>
      <c r="R1218" s="164" t="str">
        <f>+IF(OR(O1218="Fire Control",O1218="Fire Tex 5062",O1218="Fire Tex 5090",O1218="Fire Tex 5120"),'CALCULO PINTURA'!R1219," ")</f>
        <v xml:space="preserve"> </v>
      </c>
      <c r="S1218" s="164" t="str">
        <f>+IF(OR(O1218="Fire Control",O1218="Fire Tex 5062",O1218="Fire Tex 5090",O1218="Fire Tex 5120"),'CALCULO PINTURA'!S1219," ")</f>
        <v xml:space="preserve"> </v>
      </c>
      <c r="T1218" s="874" t="str">
        <f>+IF(OR(O1218="Blaze Shield II",O1218="Cafco 400",O1218="Cafco 300"),'CALCULO MORTERO'!N1224," ")</f>
        <v xml:space="preserve"> </v>
      </c>
      <c r="U1218" s="875" t="str">
        <f>+IF(OR(O1218="Blaze Shield II",O1218="Cafco 400",O1218="Cafco 300"),'CALCULO MORTERO'!O1224," ")</f>
        <v xml:space="preserve"> </v>
      </c>
      <c r="V1218" s="161" t="str" cm="1">
        <f t="array" ref="V1218">_xlfn.IFS(O1218="Blaze Shield II",'CALCULO MORTERO'!P1219, O1218="Cafco 400",'CALCULO MORTERO'!Q1219,O1218="Cafco 300",'CALCULO MORTERO'!S1219, AND(OR(O1218="Fire tex 5090", O1218="Fire Tex 5062", O1218="Fire Tex 5120", O1218="Fire Control"),Q1218&gt;0), "CERT.",TRUE,"-")</f>
        <v>-</v>
      </c>
    </row>
    <row r="1219" spans="1:22" x14ac:dyDescent="0.25">
      <c r="A1219" s="168"/>
      <c r="B1219" s="876"/>
      <c r="C1219" s="161"/>
      <c r="D1219" s="161"/>
      <c r="E1219" s="161"/>
      <c r="F1219" s="41"/>
      <c r="G1219" s="161"/>
      <c r="H1219" s="161"/>
      <c r="I1219" s="166"/>
      <c r="J1219" s="162"/>
      <c r="K1219" s="161"/>
      <c r="L1219" s="161"/>
      <c r="M1219" s="169"/>
      <c r="N1219" s="163" t="str">
        <f t="shared" si="22"/>
        <v/>
      </c>
      <c r="O1219" s="41"/>
      <c r="P1219" s="41"/>
      <c r="Q1219" s="161" t="str">
        <f>+IF(OR(O1219="Fire Control",O1219="Fire Tex 5062",O1219="Fire Tex 5090",O1219="Fire Tex 5120"),'CALCULO PINTURA'!P1220," ")</f>
        <v xml:space="preserve"> </v>
      </c>
      <c r="R1219" s="164" t="str">
        <f>+IF(OR(O1219="Fire Control",O1219="Fire Tex 5062",O1219="Fire Tex 5090",O1219="Fire Tex 5120"),'CALCULO PINTURA'!R1220," ")</f>
        <v xml:space="preserve"> </v>
      </c>
      <c r="S1219" s="164" t="str">
        <f>+IF(OR(O1219="Fire Control",O1219="Fire Tex 5062",O1219="Fire Tex 5090",O1219="Fire Tex 5120"),'CALCULO PINTURA'!S1220," ")</f>
        <v xml:space="preserve"> </v>
      </c>
      <c r="T1219" s="874" t="str">
        <f>+IF(OR(O1219="Blaze Shield II",O1219="Cafco 400",O1219="Cafco 300"),'CALCULO MORTERO'!N1225," ")</f>
        <v xml:space="preserve"> </v>
      </c>
      <c r="U1219" s="875" t="str">
        <f>+IF(OR(O1219="Blaze Shield II",O1219="Cafco 400",O1219="Cafco 300"),'CALCULO MORTERO'!O1225," ")</f>
        <v xml:space="preserve"> </v>
      </c>
      <c r="V1219" s="161" t="str" cm="1">
        <f t="array" ref="V1219">_xlfn.IFS(O1219="Blaze Shield II",'CALCULO MORTERO'!P1220, O1219="Cafco 400",'CALCULO MORTERO'!Q1220,O1219="Cafco 300",'CALCULO MORTERO'!S1220, AND(OR(O1219="Fire tex 5090", O1219="Fire Tex 5062", O1219="Fire Tex 5120", O1219="Fire Control"),Q1219&gt;0), "CERT.",TRUE,"-")</f>
        <v>-</v>
      </c>
    </row>
    <row r="1220" spans="1:22" x14ac:dyDescent="0.25">
      <c r="A1220" s="168"/>
      <c r="B1220" s="876"/>
      <c r="C1220" s="161"/>
      <c r="D1220" s="161"/>
      <c r="E1220" s="161"/>
      <c r="F1220" s="41"/>
      <c r="G1220" s="161"/>
      <c r="H1220" s="161"/>
      <c r="I1220" s="166"/>
      <c r="J1220" s="162"/>
      <c r="K1220" s="161"/>
      <c r="L1220" s="161"/>
      <c r="M1220" s="169"/>
      <c r="N1220" s="163" t="str">
        <f t="shared" ref="N1220:N1283" si="23">+IF(F1220="","",(K1220*I1220*H1220*G1220)/1000000)</f>
        <v/>
      </c>
      <c r="O1220" s="41"/>
      <c r="P1220" s="41"/>
      <c r="Q1220" s="161" t="str">
        <f>+IF(OR(O1220="Fire Control",O1220="Fire Tex 5062",O1220="Fire Tex 5090",O1220="Fire Tex 5120"),'CALCULO PINTURA'!P1221," ")</f>
        <v xml:space="preserve"> </v>
      </c>
      <c r="R1220" s="164" t="str">
        <f>+IF(OR(O1220="Fire Control",O1220="Fire Tex 5062",O1220="Fire Tex 5090",O1220="Fire Tex 5120"),'CALCULO PINTURA'!R1221," ")</f>
        <v xml:space="preserve"> </v>
      </c>
      <c r="S1220" s="164" t="str">
        <f>+IF(OR(O1220="Fire Control",O1220="Fire Tex 5062",O1220="Fire Tex 5090",O1220="Fire Tex 5120"),'CALCULO PINTURA'!S1221," ")</f>
        <v xml:space="preserve"> </v>
      </c>
      <c r="T1220" s="874" t="str">
        <f>+IF(OR(O1220="Blaze Shield II",O1220="Cafco 400",O1220="Cafco 300"),'CALCULO MORTERO'!N1226," ")</f>
        <v xml:space="preserve"> </v>
      </c>
      <c r="U1220" s="875" t="str">
        <f>+IF(OR(O1220="Blaze Shield II",O1220="Cafco 400",O1220="Cafco 300"),'CALCULO MORTERO'!O1226," ")</f>
        <v xml:space="preserve"> </v>
      </c>
      <c r="V1220" s="161" t="str" cm="1">
        <f t="array" ref="V1220">_xlfn.IFS(O1220="Blaze Shield II",'CALCULO MORTERO'!P1221, O1220="Cafco 400",'CALCULO MORTERO'!Q1221,O1220="Cafco 300",'CALCULO MORTERO'!S1221, AND(OR(O1220="Fire tex 5090", O1220="Fire Tex 5062", O1220="Fire Tex 5120", O1220="Fire Control"),Q1220&gt;0), "CERT.",TRUE,"-")</f>
        <v>-</v>
      </c>
    </row>
    <row r="1221" spans="1:22" x14ac:dyDescent="0.25">
      <c r="A1221" s="168"/>
      <c r="B1221" s="876"/>
      <c r="C1221" s="161"/>
      <c r="D1221" s="161"/>
      <c r="E1221" s="161"/>
      <c r="F1221" s="161"/>
      <c r="G1221" s="161"/>
      <c r="H1221" s="161"/>
      <c r="I1221" s="166"/>
      <c r="J1221" s="162"/>
      <c r="K1221" s="161"/>
      <c r="L1221" s="161"/>
      <c r="M1221" s="169"/>
      <c r="N1221" s="163" t="str">
        <f t="shared" si="23"/>
        <v/>
      </c>
      <c r="O1221" s="41"/>
      <c r="P1221" s="41"/>
      <c r="Q1221" s="161" t="str">
        <f>+IF(OR(O1221="Fire Control",O1221="Fire Tex 5062",O1221="Fire Tex 5090",O1221="Fire Tex 5120"),'CALCULO PINTURA'!P1222," ")</f>
        <v xml:space="preserve"> </v>
      </c>
      <c r="R1221" s="164" t="str">
        <f>+IF(OR(O1221="Fire Control",O1221="Fire Tex 5062",O1221="Fire Tex 5090",O1221="Fire Tex 5120"),'CALCULO PINTURA'!R1222," ")</f>
        <v xml:space="preserve"> </v>
      </c>
      <c r="S1221" s="164" t="str">
        <f>+IF(OR(O1221="Fire Control",O1221="Fire Tex 5062",O1221="Fire Tex 5090",O1221="Fire Tex 5120"),'CALCULO PINTURA'!S1222," ")</f>
        <v xml:space="preserve"> </v>
      </c>
      <c r="T1221" s="874" t="str">
        <f>+IF(OR(O1221="Blaze Shield II",O1221="Cafco 400",O1221="Cafco 300"),'CALCULO MORTERO'!N1227," ")</f>
        <v xml:space="preserve"> </v>
      </c>
      <c r="U1221" s="875" t="str">
        <f>+IF(OR(O1221="Blaze Shield II",O1221="Cafco 400",O1221="Cafco 300"),'CALCULO MORTERO'!O1227," ")</f>
        <v xml:space="preserve"> </v>
      </c>
      <c r="V1221" s="161" t="str" cm="1">
        <f t="array" ref="V1221">_xlfn.IFS(O1221="Blaze Shield II",'CALCULO MORTERO'!P1222, O1221="Cafco 400",'CALCULO MORTERO'!Q1222,O1221="Cafco 300",'CALCULO MORTERO'!S1222, AND(OR(O1221="Fire tex 5090", O1221="Fire Tex 5062", O1221="Fire Tex 5120", O1221="Fire Control"),Q1221&gt;0), "CERT.",TRUE,"-")</f>
        <v>-</v>
      </c>
    </row>
    <row r="1222" spans="1:22" x14ac:dyDescent="0.25">
      <c r="A1222" s="168"/>
      <c r="B1222" s="876"/>
      <c r="C1222" s="161"/>
      <c r="D1222" s="161"/>
      <c r="E1222" s="161"/>
      <c r="F1222" s="41"/>
      <c r="G1222" s="161"/>
      <c r="H1222" s="161"/>
      <c r="I1222" s="166"/>
      <c r="J1222" s="162"/>
      <c r="K1222" s="161"/>
      <c r="L1222" s="161"/>
      <c r="M1222" s="169"/>
      <c r="N1222" s="163" t="str">
        <f t="shared" si="23"/>
        <v/>
      </c>
      <c r="O1222" s="41"/>
      <c r="P1222" s="41"/>
      <c r="Q1222" s="161" t="str">
        <f>+IF(OR(O1222="Fire Control",O1222="Fire Tex 5062",O1222="Fire Tex 5090",O1222="Fire Tex 5120"),'CALCULO PINTURA'!P1223," ")</f>
        <v xml:space="preserve"> </v>
      </c>
      <c r="R1222" s="164" t="str">
        <f>+IF(OR(O1222="Fire Control",O1222="Fire Tex 5062",O1222="Fire Tex 5090",O1222="Fire Tex 5120"),'CALCULO PINTURA'!R1223," ")</f>
        <v xml:space="preserve"> </v>
      </c>
      <c r="S1222" s="164" t="str">
        <f>+IF(OR(O1222="Fire Control",O1222="Fire Tex 5062",O1222="Fire Tex 5090",O1222="Fire Tex 5120"),'CALCULO PINTURA'!S1223," ")</f>
        <v xml:space="preserve"> </v>
      </c>
      <c r="T1222" s="874" t="str">
        <f>+IF(OR(O1222="Blaze Shield II",O1222="Cafco 400",O1222="Cafco 300"),'CALCULO MORTERO'!N1228," ")</f>
        <v xml:space="preserve"> </v>
      </c>
      <c r="U1222" s="875" t="str">
        <f>+IF(OR(O1222="Blaze Shield II",O1222="Cafco 400",O1222="Cafco 300"),'CALCULO MORTERO'!O1228," ")</f>
        <v xml:space="preserve"> </v>
      </c>
      <c r="V1222" s="161" t="str" cm="1">
        <f t="array" ref="V1222">_xlfn.IFS(O1222="Blaze Shield II",'CALCULO MORTERO'!P1223, O1222="Cafco 400",'CALCULO MORTERO'!Q1223,O1222="Cafco 300",'CALCULO MORTERO'!S1223, AND(OR(O1222="Fire tex 5090", O1222="Fire Tex 5062", O1222="Fire Tex 5120", O1222="Fire Control"),Q1222&gt;0), "CERT.",TRUE,"-")</f>
        <v>-</v>
      </c>
    </row>
    <row r="1223" spans="1:22" x14ac:dyDescent="0.25">
      <c r="A1223" s="168"/>
      <c r="B1223" s="876"/>
      <c r="C1223" s="161"/>
      <c r="D1223" s="161"/>
      <c r="E1223" s="161"/>
      <c r="F1223" s="41"/>
      <c r="G1223" s="161"/>
      <c r="H1223" s="161"/>
      <c r="I1223" s="166"/>
      <c r="J1223" s="162"/>
      <c r="K1223" s="161"/>
      <c r="L1223" s="161"/>
      <c r="M1223" s="169"/>
      <c r="N1223" s="163" t="str">
        <f t="shared" si="23"/>
        <v/>
      </c>
      <c r="O1223" s="41"/>
      <c r="P1223" s="41"/>
      <c r="Q1223" s="161" t="str">
        <f>+IF(OR(O1223="Fire Control",O1223="Fire Tex 5062",O1223="Fire Tex 5090",O1223="Fire Tex 5120"),'CALCULO PINTURA'!P1224," ")</f>
        <v xml:space="preserve"> </v>
      </c>
      <c r="R1223" s="164" t="str">
        <f>+IF(OR(O1223="Fire Control",O1223="Fire Tex 5062",O1223="Fire Tex 5090",O1223="Fire Tex 5120"),'CALCULO PINTURA'!R1224," ")</f>
        <v xml:space="preserve"> </v>
      </c>
      <c r="S1223" s="164" t="str">
        <f>+IF(OR(O1223="Fire Control",O1223="Fire Tex 5062",O1223="Fire Tex 5090",O1223="Fire Tex 5120"),'CALCULO PINTURA'!S1224," ")</f>
        <v xml:space="preserve"> </v>
      </c>
      <c r="T1223" s="874" t="str">
        <f>+IF(OR(O1223="Blaze Shield II",O1223="Cafco 400",O1223="Cafco 300"),'CALCULO MORTERO'!N1229," ")</f>
        <v xml:space="preserve"> </v>
      </c>
      <c r="U1223" s="875" t="str">
        <f>+IF(OR(O1223="Blaze Shield II",O1223="Cafco 400",O1223="Cafco 300"),'CALCULO MORTERO'!O1229," ")</f>
        <v xml:space="preserve"> </v>
      </c>
      <c r="V1223" s="161" t="str" cm="1">
        <f t="array" ref="V1223">_xlfn.IFS(O1223="Blaze Shield II",'CALCULO MORTERO'!P1224, O1223="Cafco 400",'CALCULO MORTERO'!Q1224,O1223="Cafco 300",'CALCULO MORTERO'!S1224, AND(OR(O1223="Fire tex 5090", O1223="Fire Tex 5062", O1223="Fire Tex 5120", O1223="Fire Control"),Q1223&gt;0), "CERT.",TRUE,"-")</f>
        <v>-</v>
      </c>
    </row>
    <row r="1224" spans="1:22" x14ac:dyDescent="0.25">
      <c r="A1224" s="168"/>
      <c r="B1224" s="876"/>
      <c r="C1224" s="161"/>
      <c r="D1224" s="161"/>
      <c r="E1224" s="161"/>
      <c r="F1224" s="161"/>
      <c r="G1224" s="161"/>
      <c r="H1224" s="161"/>
      <c r="I1224" s="166"/>
      <c r="J1224" s="162"/>
      <c r="K1224" s="161"/>
      <c r="L1224" s="161"/>
      <c r="M1224" s="169"/>
      <c r="N1224" s="163" t="str">
        <f t="shared" si="23"/>
        <v/>
      </c>
      <c r="O1224" s="41"/>
      <c r="P1224" s="41"/>
      <c r="Q1224" s="161" t="str">
        <f>+IF(OR(O1224="Fire Control",O1224="Fire Tex 5062",O1224="Fire Tex 5090",O1224="Fire Tex 5120"),'CALCULO PINTURA'!P1225," ")</f>
        <v xml:space="preserve"> </v>
      </c>
      <c r="R1224" s="164" t="str">
        <f>+IF(OR(O1224="Fire Control",O1224="Fire Tex 5062",O1224="Fire Tex 5090",O1224="Fire Tex 5120"),'CALCULO PINTURA'!R1225," ")</f>
        <v xml:space="preserve"> </v>
      </c>
      <c r="S1224" s="164" t="str">
        <f>+IF(OR(O1224="Fire Control",O1224="Fire Tex 5062",O1224="Fire Tex 5090",O1224="Fire Tex 5120"),'CALCULO PINTURA'!S1225," ")</f>
        <v xml:space="preserve"> </v>
      </c>
      <c r="T1224" s="874" t="str">
        <f>+IF(OR(O1224="Blaze Shield II",O1224="Cafco 400",O1224="Cafco 300"),'CALCULO MORTERO'!N1230," ")</f>
        <v xml:space="preserve"> </v>
      </c>
      <c r="U1224" s="875" t="str">
        <f>+IF(OR(O1224="Blaze Shield II",O1224="Cafco 400",O1224="Cafco 300"),'CALCULO MORTERO'!O1230," ")</f>
        <v xml:space="preserve"> </v>
      </c>
      <c r="V1224" s="161" t="str" cm="1">
        <f t="array" ref="V1224">_xlfn.IFS(O1224="Blaze Shield II",'CALCULO MORTERO'!P1225, O1224="Cafco 400",'CALCULO MORTERO'!Q1225,O1224="Cafco 300",'CALCULO MORTERO'!S1225, AND(OR(O1224="Fire tex 5090", O1224="Fire Tex 5062", O1224="Fire Tex 5120", O1224="Fire Control"),Q1224&gt;0), "CERT.",TRUE,"-")</f>
        <v>-</v>
      </c>
    </row>
    <row r="1225" spans="1:22" x14ac:dyDescent="0.25">
      <c r="A1225" s="168"/>
      <c r="B1225" s="876"/>
      <c r="C1225" s="161"/>
      <c r="D1225" s="161"/>
      <c r="E1225" s="161"/>
      <c r="F1225" s="41"/>
      <c r="G1225" s="161"/>
      <c r="H1225" s="161"/>
      <c r="I1225" s="166"/>
      <c r="J1225" s="162"/>
      <c r="K1225" s="161"/>
      <c r="L1225" s="161"/>
      <c r="M1225" s="169"/>
      <c r="N1225" s="163" t="str">
        <f t="shared" si="23"/>
        <v/>
      </c>
      <c r="O1225" s="41"/>
      <c r="P1225" s="41"/>
      <c r="Q1225" s="161" t="str">
        <f>+IF(OR(O1225="Fire Control",O1225="Fire Tex 5062",O1225="Fire Tex 5090",O1225="Fire Tex 5120"),'CALCULO PINTURA'!P1226," ")</f>
        <v xml:space="preserve"> </v>
      </c>
      <c r="R1225" s="164" t="str">
        <f>+IF(OR(O1225="Fire Control",O1225="Fire Tex 5062",O1225="Fire Tex 5090",O1225="Fire Tex 5120"),'CALCULO PINTURA'!R1226," ")</f>
        <v xml:space="preserve"> </v>
      </c>
      <c r="S1225" s="164" t="str">
        <f>+IF(OR(O1225="Fire Control",O1225="Fire Tex 5062",O1225="Fire Tex 5090",O1225="Fire Tex 5120"),'CALCULO PINTURA'!S1226," ")</f>
        <v xml:space="preserve"> </v>
      </c>
      <c r="T1225" s="874" t="str">
        <f>+IF(OR(O1225="Blaze Shield II",O1225="Cafco 400",O1225="Cafco 300"),'CALCULO MORTERO'!N1231," ")</f>
        <v xml:space="preserve"> </v>
      </c>
      <c r="U1225" s="875" t="str">
        <f>+IF(OR(O1225="Blaze Shield II",O1225="Cafco 400",O1225="Cafco 300"),'CALCULO MORTERO'!O1231," ")</f>
        <v xml:space="preserve"> </v>
      </c>
      <c r="V1225" s="161" t="str" cm="1">
        <f t="array" ref="V1225">_xlfn.IFS(O1225="Blaze Shield II",'CALCULO MORTERO'!P1226, O1225="Cafco 400",'CALCULO MORTERO'!Q1226,O1225="Cafco 300",'CALCULO MORTERO'!S1226, AND(OR(O1225="Fire tex 5090", O1225="Fire Tex 5062", O1225="Fire Tex 5120", O1225="Fire Control"),Q1225&gt;0), "CERT.",TRUE,"-")</f>
        <v>-</v>
      </c>
    </row>
    <row r="1226" spans="1:22" x14ac:dyDescent="0.25">
      <c r="A1226" s="168"/>
      <c r="B1226" s="876"/>
      <c r="C1226" s="161"/>
      <c r="D1226" s="161"/>
      <c r="E1226" s="161"/>
      <c r="F1226" s="41"/>
      <c r="G1226" s="161"/>
      <c r="H1226" s="161"/>
      <c r="I1226" s="166"/>
      <c r="J1226" s="162"/>
      <c r="K1226" s="161"/>
      <c r="L1226" s="161"/>
      <c r="M1226" s="169"/>
      <c r="N1226" s="163" t="str">
        <f t="shared" si="23"/>
        <v/>
      </c>
      <c r="O1226" s="41"/>
      <c r="P1226" s="41"/>
      <c r="Q1226" s="161" t="str">
        <f>+IF(OR(O1226="Fire Control",O1226="Fire Tex 5062",O1226="Fire Tex 5090",O1226="Fire Tex 5120"),'CALCULO PINTURA'!P1227," ")</f>
        <v xml:space="preserve"> </v>
      </c>
      <c r="R1226" s="164" t="str">
        <f>+IF(OR(O1226="Fire Control",O1226="Fire Tex 5062",O1226="Fire Tex 5090",O1226="Fire Tex 5120"),'CALCULO PINTURA'!R1227," ")</f>
        <v xml:space="preserve"> </v>
      </c>
      <c r="S1226" s="164" t="str">
        <f>+IF(OR(O1226="Fire Control",O1226="Fire Tex 5062",O1226="Fire Tex 5090",O1226="Fire Tex 5120"),'CALCULO PINTURA'!S1227," ")</f>
        <v xml:space="preserve"> </v>
      </c>
      <c r="T1226" s="874" t="str">
        <f>+IF(OR(O1226="Blaze Shield II",O1226="Cafco 400",O1226="Cafco 300"),'CALCULO MORTERO'!N1232," ")</f>
        <v xml:space="preserve"> </v>
      </c>
      <c r="U1226" s="875" t="str">
        <f>+IF(OR(O1226="Blaze Shield II",O1226="Cafco 400",O1226="Cafco 300"),'CALCULO MORTERO'!O1232," ")</f>
        <v xml:space="preserve"> </v>
      </c>
      <c r="V1226" s="161" t="str" cm="1">
        <f t="array" ref="V1226">_xlfn.IFS(O1226="Blaze Shield II",'CALCULO MORTERO'!P1227, O1226="Cafco 400",'CALCULO MORTERO'!Q1227,O1226="Cafco 300",'CALCULO MORTERO'!S1227, AND(OR(O1226="Fire tex 5090", O1226="Fire Tex 5062", O1226="Fire Tex 5120", O1226="Fire Control"),Q1226&gt;0), "CERT.",TRUE,"-")</f>
        <v>-</v>
      </c>
    </row>
    <row r="1227" spans="1:22" x14ac:dyDescent="0.25">
      <c r="A1227" s="168"/>
      <c r="B1227" s="876"/>
      <c r="C1227" s="161"/>
      <c r="D1227" s="161"/>
      <c r="E1227" s="161"/>
      <c r="F1227" s="161"/>
      <c r="G1227" s="161"/>
      <c r="H1227" s="161"/>
      <c r="I1227" s="166"/>
      <c r="J1227" s="162"/>
      <c r="K1227" s="161"/>
      <c r="L1227" s="161"/>
      <c r="M1227" s="169"/>
      <c r="N1227" s="163" t="str">
        <f t="shared" si="23"/>
        <v/>
      </c>
      <c r="O1227" s="41"/>
      <c r="P1227" s="41"/>
      <c r="Q1227" s="161" t="str">
        <f>+IF(OR(O1227="Fire Control",O1227="Fire Tex 5062",O1227="Fire Tex 5090",O1227="Fire Tex 5120"),'CALCULO PINTURA'!P1228," ")</f>
        <v xml:space="preserve"> </v>
      </c>
      <c r="R1227" s="164" t="str">
        <f>+IF(OR(O1227="Fire Control",O1227="Fire Tex 5062",O1227="Fire Tex 5090",O1227="Fire Tex 5120"),'CALCULO PINTURA'!R1228," ")</f>
        <v xml:space="preserve"> </v>
      </c>
      <c r="S1227" s="164" t="str">
        <f>+IF(OR(O1227="Fire Control",O1227="Fire Tex 5062",O1227="Fire Tex 5090",O1227="Fire Tex 5120"),'CALCULO PINTURA'!S1228," ")</f>
        <v xml:space="preserve"> </v>
      </c>
      <c r="T1227" s="874" t="str">
        <f>+IF(OR(O1227="Blaze Shield II",O1227="Cafco 400",O1227="Cafco 300"),'CALCULO MORTERO'!N1233," ")</f>
        <v xml:space="preserve"> </v>
      </c>
      <c r="U1227" s="875" t="str">
        <f>+IF(OR(O1227="Blaze Shield II",O1227="Cafco 400",O1227="Cafco 300"),'CALCULO MORTERO'!O1233," ")</f>
        <v xml:space="preserve"> </v>
      </c>
      <c r="V1227" s="161" t="str" cm="1">
        <f t="array" ref="V1227">_xlfn.IFS(O1227="Blaze Shield II",'CALCULO MORTERO'!P1228, O1227="Cafco 400",'CALCULO MORTERO'!Q1228,O1227="Cafco 300",'CALCULO MORTERO'!S1228, AND(OR(O1227="Fire tex 5090", O1227="Fire Tex 5062", O1227="Fire Tex 5120", O1227="Fire Control"),Q1227&gt;0), "CERT.",TRUE,"-")</f>
        <v>-</v>
      </c>
    </row>
    <row r="1228" spans="1:22" x14ac:dyDescent="0.25">
      <c r="A1228" s="168"/>
      <c r="B1228" s="876"/>
      <c r="C1228" s="161"/>
      <c r="D1228" s="161"/>
      <c r="E1228" s="161"/>
      <c r="F1228" s="41"/>
      <c r="G1228" s="161"/>
      <c r="H1228" s="161"/>
      <c r="I1228" s="166"/>
      <c r="J1228" s="162"/>
      <c r="K1228" s="161"/>
      <c r="L1228" s="161"/>
      <c r="M1228" s="163"/>
      <c r="N1228" s="163" t="str">
        <f t="shared" si="23"/>
        <v/>
      </c>
      <c r="O1228" s="41"/>
      <c r="P1228" s="41"/>
      <c r="Q1228" s="161" t="str">
        <f>+IF(OR(O1228="Fire Control",O1228="Fire Tex 5062",O1228="Fire Tex 5090",O1228="Fire Tex 5120"),'CALCULO PINTURA'!P1229," ")</f>
        <v xml:space="preserve"> </v>
      </c>
      <c r="R1228" s="164" t="str">
        <f>+IF(OR(O1228="Fire Control",O1228="Fire Tex 5062",O1228="Fire Tex 5090",O1228="Fire Tex 5120"),'CALCULO PINTURA'!R1229," ")</f>
        <v xml:space="preserve"> </v>
      </c>
      <c r="S1228" s="164" t="str">
        <f>+IF(OR(O1228="Fire Control",O1228="Fire Tex 5062",O1228="Fire Tex 5090",O1228="Fire Tex 5120"),'CALCULO PINTURA'!S1229," ")</f>
        <v xml:space="preserve"> </v>
      </c>
      <c r="T1228" s="874" t="str">
        <f>+IF(OR(O1228="Blaze Shield II",O1228="Cafco 400",O1228="Cafco 300"),'CALCULO MORTERO'!N1234," ")</f>
        <v xml:space="preserve"> </v>
      </c>
      <c r="U1228" s="875" t="str">
        <f>+IF(OR(O1228="Blaze Shield II",O1228="Cafco 400",O1228="Cafco 300"),'CALCULO MORTERO'!O1234," ")</f>
        <v xml:space="preserve"> </v>
      </c>
      <c r="V1228" s="161" t="str" cm="1">
        <f t="array" ref="V1228">_xlfn.IFS(O1228="Blaze Shield II",'CALCULO MORTERO'!P1229, O1228="Cafco 400",'CALCULO MORTERO'!Q1229,O1228="Cafco 300",'CALCULO MORTERO'!S1229, AND(OR(O1228="Fire tex 5090", O1228="Fire Tex 5062", O1228="Fire Tex 5120", O1228="Fire Control"),Q1228&gt;0), "CERT.",TRUE,"-")</f>
        <v>-</v>
      </c>
    </row>
    <row r="1229" spans="1:22" x14ac:dyDescent="0.25">
      <c r="A1229" s="168"/>
      <c r="B1229" s="876"/>
      <c r="C1229" s="161"/>
      <c r="D1229" s="161"/>
      <c r="E1229" s="161"/>
      <c r="F1229" s="41"/>
      <c r="G1229" s="161"/>
      <c r="H1229" s="161"/>
      <c r="I1229" s="166"/>
      <c r="J1229" s="162"/>
      <c r="K1229" s="161"/>
      <c r="L1229" s="161"/>
      <c r="M1229" s="169"/>
      <c r="N1229" s="163" t="str">
        <f t="shared" si="23"/>
        <v/>
      </c>
      <c r="O1229" s="41"/>
      <c r="P1229" s="41"/>
      <c r="Q1229" s="161" t="str">
        <f>+IF(OR(O1229="Fire Control",O1229="Fire Tex 5062",O1229="Fire Tex 5090",O1229="Fire Tex 5120"),'CALCULO PINTURA'!P1230," ")</f>
        <v xml:space="preserve"> </v>
      </c>
      <c r="R1229" s="164" t="str">
        <f>+IF(OR(O1229="Fire Control",O1229="Fire Tex 5062",O1229="Fire Tex 5090",O1229="Fire Tex 5120"),'CALCULO PINTURA'!R1230," ")</f>
        <v xml:space="preserve"> </v>
      </c>
      <c r="S1229" s="164" t="str">
        <f>+IF(OR(O1229="Fire Control",O1229="Fire Tex 5062",O1229="Fire Tex 5090",O1229="Fire Tex 5120"),'CALCULO PINTURA'!S1230," ")</f>
        <v xml:space="preserve"> </v>
      </c>
      <c r="T1229" s="874" t="str">
        <f>+IF(OR(O1229="Blaze Shield II",O1229="Cafco 400",O1229="Cafco 300"),'CALCULO MORTERO'!N1235," ")</f>
        <v xml:space="preserve"> </v>
      </c>
      <c r="U1229" s="875" t="str">
        <f>+IF(OR(O1229="Blaze Shield II",O1229="Cafco 400",O1229="Cafco 300"),'CALCULO MORTERO'!O1235," ")</f>
        <v xml:space="preserve"> </v>
      </c>
      <c r="V1229" s="161" t="str" cm="1">
        <f t="array" ref="V1229">_xlfn.IFS(O1229="Blaze Shield II",'CALCULO MORTERO'!P1230, O1229="Cafco 400",'CALCULO MORTERO'!Q1230,O1229="Cafco 300",'CALCULO MORTERO'!S1230, AND(OR(O1229="Fire tex 5090", O1229="Fire Tex 5062", O1229="Fire Tex 5120", O1229="Fire Control"),Q1229&gt;0), "CERT.",TRUE,"-")</f>
        <v>-</v>
      </c>
    </row>
    <row r="1230" spans="1:22" x14ac:dyDescent="0.25">
      <c r="A1230" s="168"/>
      <c r="B1230" s="876"/>
      <c r="C1230" s="161"/>
      <c r="D1230" s="161"/>
      <c r="E1230" s="161"/>
      <c r="F1230" s="41"/>
      <c r="G1230" s="161"/>
      <c r="H1230" s="161"/>
      <c r="I1230" s="166"/>
      <c r="J1230" s="162"/>
      <c r="K1230" s="161"/>
      <c r="L1230" s="161"/>
      <c r="M1230" s="169"/>
      <c r="N1230" s="163" t="str">
        <f t="shared" si="23"/>
        <v/>
      </c>
      <c r="O1230" s="41"/>
      <c r="P1230" s="41"/>
      <c r="Q1230" s="161" t="str">
        <f>+IF(OR(O1230="Fire Control",O1230="Fire Tex 5062",O1230="Fire Tex 5090",O1230="Fire Tex 5120"),'CALCULO PINTURA'!P1231," ")</f>
        <v xml:space="preserve"> </v>
      </c>
      <c r="R1230" s="164" t="str">
        <f>+IF(OR(O1230="Fire Control",O1230="Fire Tex 5062",O1230="Fire Tex 5090",O1230="Fire Tex 5120"),'CALCULO PINTURA'!R1231," ")</f>
        <v xml:space="preserve"> </v>
      </c>
      <c r="S1230" s="164" t="str">
        <f>+IF(OR(O1230="Fire Control",O1230="Fire Tex 5062",O1230="Fire Tex 5090",O1230="Fire Tex 5120"),'CALCULO PINTURA'!S1231," ")</f>
        <v xml:space="preserve"> </v>
      </c>
      <c r="T1230" s="874" t="str">
        <f>+IF(OR(O1230="Blaze Shield II",O1230="Cafco 400",O1230="Cafco 300"),'CALCULO MORTERO'!N1236," ")</f>
        <v xml:space="preserve"> </v>
      </c>
      <c r="U1230" s="875" t="str">
        <f>+IF(OR(O1230="Blaze Shield II",O1230="Cafco 400",O1230="Cafco 300"),'CALCULO MORTERO'!O1236," ")</f>
        <v xml:space="preserve"> </v>
      </c>
      <c r="V1230" s="161" t="str" cm="1">
        <f t="array" ref="V1230">_xlfn.IFS(O1230="Blaze Shield II",'CALCULO MORTERO'!P1231, O1230="Cafco 400",'CALCULO MORTERO'!Q1231,O1230="Cafco 300",'CALCULO MORTERO'!S1231, AND(OR(O1230="Fire tex 5090", O1230="Fire Tex 5062", O1230="Fire Tex 5120", O1230="Fire Control"),Q1230&gt;0), "CERT.",TRUE,"-")</f>
        <v>-</v>
      </c>
    </row>
    <row r="1231" spans="1:22" x14ac:dyDescent="0.25">
      <c r="A1231" s="168"/>
      <c r="B1231" s="876"/>
      <c r="C1231" s="161"/>
      <c r="D1231" s="161"/>
      <c r="E1231" s="161"/>
      <c r="F1231" s="41"/>
      <c r="G1231" s="161"/>
      <c r="H1231" s="161"/>
      <c r="I1231" s="166"/>
      <c r="J1231" s="162"/>
      <c r="K1231" s="161"/>
      <c r="L1231" s="161"/>
      <c r="M1231" s="169"/>
      <c r="N1231" s="163" t="str">
        <f t="shared" si="23"/>
        <v/>
      </c>
      <c r="O1231" s="41"/>
      <c r="P1231" s="41"/>
      <c r="Q1231" s="161" t="str">
        <f>+IF(OR(O1231="Fire Control",O1231="Fire Tex 5062",O1231="Fire Tex 5090",O1231="Fire Tex 5120"),'CALCULO PINTURA'!P1232," ")</f>
        <v xml:space="preserve"> </v>
      </c>
      <c r="R1231" s="164" t="str">
        <f>+IF(OR(O1231="Fire Control",O1231="Fire Tex 5062",O1231="Fire Tex 5090",O1231="Fire Tex 5120"),'CALCULO PINTURA'!R1232," ")</f>
        <v xml:space="preserve"> </v>
      </c>
      <c r="S1231" s="164" t="str">
        <f>+IF(OR(O1231="Fire Control",O1231="Fire Tex 5062",O1231="Fire Tex 5090",O1231="Fire Tex 5120"),'CALCULO PINTURA'!S1232," ")</f>
        <v xml:space="preserve"> </v>
      </c>
      <c r="T1231" s="874" t="str">
        <f>+IF(OR(O1231="Blaze Shield II",O1231="Cafco 400",O1231="Cafco 300"),'CALCULO MORTERO'!N1237," ")</f>
        <v xml:space="preserve"> </v>
      </c>
      <c r="U1231" s="875" t="str">
        <f>+IF(OR(O1231="Blaze Shield II",O1231="Cafco 400",O1231="Cafco 300"),'CALCULO MORTERO'!O1237," ")</f>
        <v xml:space="preserve"> </v>
      </c>
      <c r="V1231" s="161" t="str" cm="1">
        <f t="array" ref="V1231">_xlfn.IFS(O1231="Blaze Shield II",'CALCULO MORTERO'!P1232, O1231="Cafco 400",'CALCULO MORTERO'!Q1232,O1231="Cafco 300",'CALCULO MORTERO'!S1232, AND(OR(O1231="Fire tex 5090", O1231="Fire Tex 5062", O1231="Fire Tex 5120", O1231="Fire Control"),Q1231&gt;0), "CERT.",TRUE,"-")</f>
        <v>-</v>
      </c>
    </row>
    <row r="1232" spans="1:22" x14ac:dyDescent="0.25">
      <c r="A1232" s="168"/>
      <c r="B1232" s="876"/>
      <c r="C1232" s="161"/>
      <c r="D1232" s="161"/>
      <c r="E1232" s="161"/>
      <c r="F1232" s="41"/>
      <c r="G1232" s="161"/>
      <c r="H1232" s="161"/>
      <c r="I1232" s="166"/>
      <c r="J1232" s="162"/>
      <c r="K1232" s="161"/>
      <c r="L1232" s="161"/>
      <c r="M1232" s="169"/>
      <c r="N1232" s="163" t="str">
        <f t="shared" si="23"/>
        <v/>
      </c>
      <c r="O1232" s="41"/>
      <c r="P1232" s="41"/>
      <c r="Q1232" s="161" t="str">
        <f>+IF(OR(O1232="Fire Control",O1232="Fire Tex 5062",O1232="Fire Tex 5090",O1232="Fire Tex 5120"),'CALCULO PINTURA'!P1233," ")</f>
        <v xml:space="preserve"> </v>
      </c>
      <c r="R1232" s="164" t="str">
        <f>+IF(OR(O1232="Fire Control",O1232="Fire Tex 5062",O1232="Fire Tex 5090",O1232="Fire Tex 5120"),'CALCULO PINTURA'!R1233," ")</f>
        <v xml:space="preserve"> </v>
      </c>
      <c r="S1232" s="164" t="str">
        <f>+IF(OR(O1232="Fire Control",O1232="Fire Tex 5062",O1232="Fire Tex 5090",O1232="Fire Tex 5120"),'CALCULO PINTURA'!S1233," ")</f>
        <v xml:space="preserve"> </v>
      </c>
      <c r="T1232" s="874" t="str">
        <f>+IF(OR(O1232="Blaze Shield II",O1232="Cafco 400",O1232="Cafco 300"),'CALCULO MORTERO'!N1238," ")</f>
        <v xml:space="preserve"> </v>
      </c>
      <c r="U1232" s="875" t="str">
        <f>+IF(OR(O1232="Blaze Shield II",O1232="Cafco 400",O1232="Cafco 300"),'CALCULO MORTERO'!O1238," ")</f>
        <v xml:space="preserve"> </v>
      </c>
      <c r="V1232" s="161" t="str" cm="1">
        <f t="array" ref="V1232">_xlfn.IFS(O1232="Blaze Shield II",'CALCULO MORTERO'!P1233, O1232="Cafco 400",'CALCULO MORTERO'!Q1233,O1232="Cafco 300",'CALCULO MORTERO'!S1233, AND(OR(O1232="Fire tex 5090", O1232="Fire Tex 5062", O1232="Fire Tex 5120", O1232="Fire Control"),Q1232&gt;0), "CERT.",TRUE,"-")</f>
        <v>-</v>
      </c>
    </row>
    <row r="1233" spans="1:22" x14ac:dyDescent="0.25">
      <c r="A1233" s="168"/>
      <c r="B1233" s="876"/>
      <c r="C1233" s="161"/>
      <c r="D1233" s="161"/>
      <c r="E1233" s="161"/>
      <c r="F1233" s="41"/>
      <c r="G1233" s="161"/>
      <c r="H1233" s="161"/>
      <c r="I1233" s="166"/>
      <c r="J1233" s="162"/>
      <c r="K1233" s="161"/>
      <c r="L1233" s="161"/>
      <c r="M1233" s="169"/>
      <c r="N1233" s="163" t="str">
        <f t="shared" si="23"/>
        <v/>
      </c>
      <c r="O1233" s="41"/>
      <c r="P1233" s="41"/>
      <c r="Q1233" s="161" t="str">
        <f>+IF(OR(O1233="Fire Control",O1233="Fire Tex 5062",O1233="Fire Tex 5090",O1233="Fire Tex 5120"),'CALCULO PINTURA'!P1234," ")</f>
        <v xml:space="preserve"> </v>
      </c>
      <c r="R1233" s="164" t="str">
        <f>+IF(OR(O1233="Fire Control",O1233="Fire Tex 5062",O1233="Fire Tex 5090",O1233="Fire Tex 5120"),'CALCULO PINTURA'!R1234," ")</f>
        <v xml:space="preserve"> </v>
      </c>
      <c r="S1233" s="164" t="str">
        <f>+IF(OR(O1233="Fire Control",O1233="Fire Tex 5062",O1233="Fire Tex 5090",O1233="Fire Tex 5120"),'CALCULO PINTURA'!S1234," ")</f>
        <v xml:space="preserve"> </v>
      </c>
      <c r="T1233" s="874" t="str">
        <f>+IF(OR(O1233="Blaze Shield II",O1233="Cafco 400",O1233="Cafco 300"),'CALCULO MORTERO'!N1239," ")</f>
        <v xml:space="preserve"> </v>
      </c>
      <c r="U1233" s="875" t="str">
        <f>+IF(OR(O1233="Blaze Shield II",O1233="Cafco 400",O1233="Cafco 300"),'CALCULO MORTERO'!O1239," ")</f>
        <v xml:space="preserve"> </v>
      </c>
      <c r="V1233" s="161" t="str" cm="1">
        <f t="array" ref="V1233">_xlfn.IFS(O1233="Blaze Shield II",'CALCULO MORTERO'!P1234, O1233="Cafco 400",'CALCULO MORTERO'!Q1234,O1233="Cafco 300",'CALCULO MORTERO'!S1234, AND(OR(O1233="Fire tex 5090", O1233="Fire Tex 5062", O1233="Fire Tex 5120", O1233="Fire Control"),Q1233&gt;0), "CERT.",TRUE,"-")</f>
        <v>-</v>
      </c>
    </row>
    <row r="1234" spans="1:22" x14ac:dyDescent="0.25">
      <c r="A1234" s="168"/>
      <c r="B1234" s="876"/>
      <c r="C1234" s="161"/>
      <c r="D1234" s="161"/>
      <c r="E1234" s="161"/>
      <c r="F1234" s="41"/>
      <c r="G1234" s="161"/>
      <c r="H1234" s="161"/>
      <c r="I1234" s="166"/>
      <c r="J1234" s="162"/>
      <c r="K1234" s="161"/>
      <c r="L1234" s="161"/>
      <c r="M1234" s="169"/>
      <c r="N1234" s="163" t="str">
        <f t="shared" si="23"/>
        <v/>
      </c>
      <c r="O1234" s="41"/>
      <c r="P1234" s="41"/>
      <c r="Q1234" s="161" t="str">
        <f>+IF(OR(O1234="Fire Control",O1234="Fire Tex 5062",O1234="Fire Tex 5090",O1234="Fire Tex 5120"),'CALCULO PINTURA'!P1235," ")</f>
        <v xml:space="preserve"> </v>
      </c>
      <c r="R1234" s="164" t="str">
        <f>+IF(OR(O1234="Fire Control",O1234="Fire Tex 5062",O1234="Fire Tex 5090",O1234="Fire Tex 5120"),'CALCULO PINTURA'!R1235," ")</f>
        <v xml:space="preserve"> </v>
      </c>
      <c r="S1234" s="164" t="str">
        <f>+IF(OR(O1234="Fire Control",O1234="Fire Tex 5062",O1234="Fire Tex 5090",O1234="Fire Tex 5120"),'CALCULO PINTURA'!S1235," ")</f>
        <v xml:space="preserve"> </v>
      </c>
      <c r="T1234" s="874" t="str">
        <f>+IF(OR(O1234="Blaze Shield II",O1234="Cafco 400",O1234="Cafco 300"),'CALCULO MORTERO'!N1240," ")</f>
        <v xml:space="preserve"> </v>
      </c>
      <c r="U1234" s="875" t="str">
        <f>+IF(OR(O1234="Blaze Shield II",O1234="Cafco 400",O1234="Cafco 300"),'CALCULO MORTERO'!O1240," ")</f>
        <v xml:space="preserve"> </v>
      </c>
      <c r="V1234" s="161" t="str" cm="1">
        <f t="array" ref="V1234">_xlfn.IFS(O1234="Blaze Shield II",'CALCULO MORTERO'!P1235, O1234="Cafco 400",'CALCULO MORTERO'!Q1235,O1234="Cafco 300",'CALCULO MORTERO'!S1235, AND(OR(O1234="Fire tex 5090", O1234="Fire Tex 5062", O1234="Fire Tex 5120", O1234="Fire Control"),Q1234&gt;0), "CERT.",TRUE,"-")</f>
        <v>-</v>
      </c>
    </row>
    <row r="1235" spans="1:22" x14ac:dyDescent="0.25">
      <c r="A1235" s="168"/>
      <c r="B1235" s="876"/>
      <c r="C1235" s="161"/>
      <c r="D1235" s="161"/>
      <c r="E1235" s="161"/>
      <c r="F1235" s="41"/>
      <c r="G1235" s="161"/>
      <c r="H1235" s="161"/>
      <c r="I1235" s="166"/>
      <c r="J1235" s="162"/>
      <c r="K1235" s="161"/>
      <c r="L1235" s="161"/>
      <c r="M1235" s="169"/>
      <c r="N1235" s="163" t="str">
        <f t="shared" si="23"/>
        <v/>
      </c>
      <c r="O1235" s="41"/>
      <c r="P1235" s="41"/>
      <c r="Q1235" s="161" t="str">
        <f>+IF(OR(O1235="Fire Control",O1235="Fire Tex 5062",O1235="Fire Tex 5090",O1235="Fire Tex 5120"),'CALCULO PINTURA'!P1236," ")</f>
        <v xml:space="preserve"> </v>
      </c>
      <c r="R1235" s="164" t="str">
        <f>+IF(OR(O1235="Fire Control",O1235="Fire Tex 5062",O1235="Fire Tex 5090",O1235="Fire Tex 5120"),'CALCULO PINTURA'!R1236," ")</f>
        <v xml:space="preserve"> </v>
      </c>
      <c r="S1235" s="164" t="str">
        <f>+IF(OR(O1235="Fire Control",O1235="Fire Tex 5062",O1235="Fire Tex 5090",O1235="Fire Tex 5120"),'CALCULO PINTURA'!S1236," ")</f>
        <v xml:space="preserve"> </v>
      </c>
      <c r="T1235" s="874" t="str">
        <f>+IF(OR(O1235="Blaze Shield II",O1235="Cafco 400",O1235="Cafco 300"),'CALCULO MORTERO'!N1241," ")</f>
        <v xml:space="preserve"> </v>
      </c>
      <c r="U1235" s="875" t="str">
        <f>+IF(OR(O1235="Blaze Shield II",O1235="Cafco 400",O1235="Cafco 300"),'CALCULO MORTERO'!O1241," ")</f>
        <v xml:space="preserve"> </v>
      </c>
      <c r="V1235" s="161" t="str" cm="1">
        <f t="array" ref="V1235">_xlfn.IFS(O1235="Blaze Shield II",'CALCULO MORTERO'!P1236, O1235="Cafco 400",'CALCULO MORTERO'!Q1236,O1235="Cafco 300",'CALCULO MORTERO'!S1236, AND(OR(O1235="Fire tex 5090", O1235="Fire Tex 5062", O1235="Fire Tex 5120", O1235="Fire Control"),Q1235&gt;0), "CERT.",TRUE,"-")</f>
        <v>-</v>
      </c>
    </row>
    <row r="1236" spans="1:22" x14ac:dyDescent="0.25">
      <c r="A1236" s="168"/>
      <c r="B1236" s="876"/>
      <c r="C1236" s="161"/>
      <c r="D1236" s="161"/>
      <c r="E1236" s="161"/>
      <c r="F1236" s="41"/>
      <c r="G1236" s="161"/>
      <c r="H1236" s="161"/>
      <c r="I1236" s="166"/>
      <c r="J1236" s="162"/>
      <c r="K1236" s="162"/>
      <c r="L1236" s="161"/>
      <c r="M1236" s="169"/>
      <c r="N1236" s="163" t="str">
        <f t="shared" si="23"/>
        <v/>
      </c>
      <c r="O1236" s="41"/>
      <c r="P1236" s="41"/>
      <c r="Q1236" s="161" t="str">
        <f>+IF(OR(O1236="Fire Control",O1236="Fire Tex 5062",O1236="Fire Tex 5090",O1236="Fire Tex 5120"),'CALCULO PINTURA'!P1237," ")</f>
        <v xml:space="preserve"> </v>
      </c>
      <c r="R1236" s="164" t="str">
        <f>+IF(OR(O1236="Fire Control",O1236="Fire Tex 5062",O1236="Fire Tex 5090",O1236="Fire Tex 5120"),'CALCULO PINTURA'!R1237," ")</f>
        <v xml:space="preserve"> </v>
      </c>
      <c r="S1236" s="164" t="str">
        <f>+IF(OR(O1236="Fire Control",O1236="Fire Tex 5062",O1236="Fire Tex 5090",O1236="Fire Tex 5120"),'CALCULO PINTURA'!S1237," ")</f>
        <v xml:space="preserve"> </v>
      </c>
      <c r="T1236" s="874" t="str">
        <f>+IF(OR(O1236="Blaze Shield II",O1236="Cafco 400",O1236="Cafco 300"),'CALCULO MORTERO'!N1242," ")</f>
        <v xml:space="preserve"> </v>
      </c>
      <c r="U1236" s="875" t="str">
        <f>+IF(OR(O1236="Blaze Shield II",O1236="Cafco 400",O1236="Cafco 300"),'CALCULO MORTERO'!O1242," ")</f>
        <v xml:space="preserve"> </v>
      </c>
      <c r="V1236" s="161" t="str" cm="1">
        <f t="array" ref="V1236">_xlfn.IFS(O1236="Blaze Shield II",'CALCULO MORTERO'!P1237, O1236="Cafco 400",'CALCULO MORTERO'!Q1237,O1236="Cafco 300",'CALCULO MORTERO'!S1237, AND(OR(O1236="Fire tex 5090", O1236="Fire Tex 5062", O1236="Fire Tex 5120", O1236="Fire Control"),Q1236&gt;0), "CERT.",TRUE,"-")</f>
        <v>-</v>
      </c>
    </row>
    <row r="1237" spans="1:22" x14ac:dyDescent="0.25">
      <c r="A1237" s="168"/>
      <c r="B1237" s="876"/>
      <c r="C1237" s="161"/>
      <c r="D1237" s="161"/>
      <c r="E1237" s="161"/>
      <c r="F1237" s="41"/>
      <c r="G1237" s="161"/>
      <c r="H1237" s="161"/>
      <c r="I1237" s="166"/>
      <c r="J1237" s="162"/>
      <c r="K1237" s="162"/>
      <c r="L1237" s="161"/>
      <c r="M1237" s="169"/>
      <c r="N1237" s="163" t="str">
        <f t="shared" si="23"/>
        <v/>
      </c>
      <c r="O1237" s="41"/>
      <c r="P1237" s="41"/>
      <c r="Q1237" s="161" t="str">
        <f>+IF(OR(O1237="Fire Control",O1237="Fire Tex 5062",O1237="Fire Tex 5090",O1237="Fire Tex 5120"),'CALCULO PINTURA'!P1238," ")</f>
        <v xml:space="preserve"> </v>
      </c>
      <c r="R1237" s="164" t="str">
        <f>+IF(OR(O1237="Fire Control",O1237="Fire Tex 5062",O1237="Fire Tex 5090",O1237="Fire Tex 5120"),'CALCULO PINTURA'!R1238," ")</f>
        <v xml:space="preserve"> </v>
      </c>
      <c r="S1237" s="164" t="str">
        <f>+IF(OR(O1237="Fire Control",O1237="Fire Tex 5062",O1237="Fire Tex 5090",O1237="Fire Tex 5120"),'CALCULO PINTURA'!S1238," ")</f>
        <v xml:space="preserve"> </v>
      </c>
      <c r="T1237" s="874" t="str">
        <f>+IF(OR(O1237="Blaze Shield II",O1237="Cafco 400",O1237="Cafco 300"),'CALCULO MORTERO'!N1243," ")</f>
        <v xml:space="preserve"> </v>
      </c>
      <c r="U1237" s="875" t="str">
        <f>+IF(OR(O1237="Blaze Shield II",O1237="Cafco 400",O1237="Cafco 300"),'CALCULO MORTERO'!O1243," ")</f>
        <v xml:space="preserve"> </v>
      </c>
      <c r="V1237" s="161" t="str" cm="1">
        <f t="array" ref="V1237">_xlfn.IFS(O1237="Blaze Shield II",'CALCULO MORTERO'!P1238, O1237="Cafco 400",'CALCULO MORTERO'!Q1238,O1237="Cafco 300",'CALCULO MORTERO'!S1238, AND(OR(O1237="Fire tex 5090", O1237="Fire Tex 5062", O1237="Fire Tex 5120", O1237="Fire Control"),Q1237&gt;0), "CERT.",TRUE,"-")</f>
        <v>-</v>
      </c>
    </row>
    <row r="1238" spans="1:22" x14ac:dyDescent="0.25">
      <c r="A1238" s="168"/>
      <c r="B1238" s="876"/>
      <c r="C1238" s="161"/>
      <c r="D1238" s="161"/>
      <c r="E1238" s="161"/>
      <c r="F1238" s="41"/>
      <c r="G1238" s="161"/>
      <c r="H1238" s="161"/>
      <c r="I1238" s="166"/>
      <c r="J1238" s="162"/>
      <c r="K1238" s="162"/>
      <c r="L1238" s="161"/>
      <c r="M1238" s="169"/>
      <c r="N1238" s="163" t="str">
        <f t="shared" si="23"/>
        <v/>
      </c>
      <c r="O1238" s="41"/>
      <c r="P1238" s="41"/>
      <c r="Q1238" s="161" t="str">
        <f>+IF(OR(O1238="Fire Control",O1238="Fire Tex 5062",O1238="Fire Tex 5090",O1238="Fire Tex 5120"),'CALCULO PINTURA'!P1239," ")</f>
        <v xml:space="preserve"> </v>
      </c>
      <c r="R1238" s="164" t="str">
        <f>+IF(OR(O1238="Fire Control",O1238="Fire Tex 5062",O1238="Fire Tex 5090",O1238="Fire Tex 5120"),'CALCULO PINTURA'!R1239," ")</f>
        <v xml:space="preserve"> </v>
      </c>
      <c r="S1238" s="164" t="str">
        <f>+IF(OR(O1238="Fire Control",O1238="Fire Tex 5062",O1238="Fire Tex 5090",O1238="Fire Tex 5120"),'CALCULO PINTURA'!S1239," ")</f>
        <v xml:space="preserve"> </v>
      </c>
      <c r="T1238" s="874" t="str">
        <f>+IF(OR(O1238="Blaze Shield II",O1238="Cafco 400",O1238="Cafco 300"),'CALCULO MORTERO'!N1244," ")</f>
        <v xml:space="preserve"> </v>
      </c>
      <c r="U1238" s="875" t="str">
        <f>+IF(OR(O1238="Blaze Shield II",O1238="Cafco 400",O1238="Cafco 300"),'CALCULO MORTERO'!O1244," ")</f>
        <v xml:space="preserve"> </v>
      </c>
      <c r="V1238" s="161" t="str" cm="1">
        <f t="array" ref="V1238">_xlfn.IFS(O1238="Blaze Shield II",'CALCULO MORTERO'!P1239, O1238="Cafco 400",'CALCULO MORTERO'!Q1239,O1238="Cafco 300",'CALCULO MORTERO'!S1239, AND(OR(O1238="Fire tex 5090", O1238="Fire Tex 5062", O1238="Fire Tex 5120", O1238="Fire Control"),Q1238&gt;0), "CERT.",TRUE,"-")</f>
        <v>-</v>
      </c>
    </row>
    <row r="1239" spans="1:22" x14ac:dyDescent="0.25">
      <c r="A1239" s="168"/>
      <c r="B1239" s="876"/>
      <c r="C1239" s="161"/>
      <c r="D1239" s="161"/>
      <c r="E1239" s="161"/>
      <c r="F1239" s="41"/>
      <c r="G1239" s="161"/>
      <c r="H1239" s="161"/>
      <c r="I1239" s="166"/>
      <c r="J1239" s="162"/>
      <c r="K1239" s="161"/>
      <c r="L1239" s="161"/>
      <c r="M1239" s="169"/>
      <c r="N1239" s="163" t="str">
        <f t="shared" si="23"/>
        <v/>
      </c>
      <c r="O1239" s="41"/>
      <c r="P1239" s="41"/>
      <c r="Q1239" s="161" t="str">
        <f>+IF(OR(O1239="Fire Control",O1239="Fire Tex 5062",O1239="Fire Tex 5090",O1239="Fire Tex 5120"),'CALCULO PINTURA'!P1240," ")</f>
        <v xml:space="preserve"> </v>
      </c>
      <c r="R1239" s="164" t="str">
        <f>+IF(OR(O1239="Fire Control",O1239="Fire Tex 5062",O1239="Fire Tex 5090",O1239="Fire Tex 5120"),'CALCULO PINTURA'!R1240," ")</f>
        <v xml:space="preserve"> </v>
      </c>
      <c r="S1239" s="164" t="str">
        <f>+IF(OR(O1239="Fire Control",O1239="Fire Tex 5062",O1239="Fire Tex 5090",O1239="Fire Tex 5120"),'CALCULO PINTURA'!S1240," ")</f>
        <v xml:space="preserve"> </v>
      </c>
      <c r="T1239" s="874" t="str">
        <f>+IF(OR(O1239="Blaze Shield II",O1239="Cafco 400",O1239="Cafco 300"),'CALCULO MORTERO'!N1245," ")</f>
        <v xml:space="preserve"> </v>
      </c>
      <c r="U1239" s="875" t="str">
        <f>+IF(OR(O1239="Blaze Shield II",O1239="Cafco 400",O1239="Cafco 300"),'CALCULO MORTERO'!O1245," ")</f>
        <v xml:space="preserve"> </v>
      </c>
      <c r="V1239" s="161" t="str" cm="1">
        <f t="array" ref="V1239">_xlfn.IFS(O1239="Blaze Shield II",'CALCULO MORTERO'!P1240, O1239="Cafco 400",'CALCULO MORTERO'!Q1240,O1239="Cafco 300",'CALCULO MORTERO'!S1240, AND(OR(O1239="Fire tex 5090", O1239="Fire Tex 5062", O1239="Fire Tex 5120", O1239="Fire Control"),Q1239&gt;0), "CERT.",TRUE,"-")</f>
        <v>-</v>
      </c>
    </row>
    <row r="1240" spans="1:22" x14ac:dyDescent="0.25">
      <c r="A1240" s="168"/>
      <c r="B1240" s="876"/>
      <c r="C1240" s="161"/>
      <c r="D1240" s="161"/>
      <c r="E1240" s="161"/>
      <c r="F1240" s="41"/>
      <c r="G1240" s="161"/>
      <c r="H1240" s="161"/>
      <c r="I1240" s="166"/>
      <c r="J1240" s="162"/>
      <c r="K1240" s="161"/>
      <c r="L1240" s="161"/>
      <c r="M1240" s="169"/>
      <c r="N1240" s="163" t="str">
        <f t="shared" si="23"/>
        <v/>
      </c>
      <c r="O1240" s="41"/>
      <c r="P1240" s="41"/>
      <c r="Q1240" s="161" t="str">
        <f>+IF(OR(O1240="Fire Control",O1240="Fire Tex 5062",O1240="Fire Tex 5090",O1240="Fire Tex 5120"),'CALCULO PINTURA'!P1241," ")</f>
        <v xml:space="preserve"> </v>
      </c>
      <c r="R1240" s="164" t="str">
        <f>+IF(OR(O1240="Fire Control",O1240="Fire Tex 5062",O1240="Fire Tex 5090",O1240="Fire Tex 5120"),'CALCULO PINTURA'!R1241," ")</f>
        <v xml:space="preserve"> </v>
      </c>
      <c r="S1240" s="164" t="str">
        <f>+IF(OR(O1240="Fire Control",O1240="Fire Tex 5062",O1240="Fire Tex 5090",O1240="Fire Tex 5120"),'CALCULO PINTURA'!S1241," ")</f>
        <v xml:space="preserve"> </v>
      </c>
      <c r="T1240" s="874" t="str">
        <f>+IF(OR(O1240="Blaze Shield II",O1240="Cafco 400",O1240="Cafco 300"),'CALCULO MORTERO'!N1246," ")</f>
        <v xml:space="preserve"> </v>
      </c>
      <c r="U1240" s="875" t="str">
        <f>+IF(OR(O1240="Blaze Shield II",O1240="Cafco 400",O1240="Cafco 300"),'CALCULO MORTERO'!O1246," ")</f>
        <v xml:space="preserve"> </v>
      </c>
      <c r="V1240" s="161" t="str" cm="1">
        <f t="array" ref="V1240">_xlfn.IFS(O1240="Blaze Shield II",'CALCULO MORTERO'!P1241, O1240="Cafco 400",'CALCULO MORTERO'!Q1241,O1240="Cafco 300",'CALCULO MORTERO'!S1241, AND(OR(O1240="Fire tex 5090", O1240="Fire Tex 5062", O1240="Fire Tex 5120", O1240="Fire Control"),Q1240&gt;0), "CERT.",TRUE,"-")</f>
        <v>-</v>
      </c>
    </row>
    <row r="1241" spans="1:22" x14ac:dyDescent="0.25">
      <c r="A1241" s="168"/>
      <c r="B1241" s="876"/>
      <c r="C1241" s="161"/>
      <c r="D1241" s="161"/>
      <c r="E1241" s="161"/>
      <c r="F1241" s="41"/>
      <c r="G1241" s="161"/>
      <c r="H1241" s="161"/>
      <c r="I1241" s="166"/>
      <c r="J1241" s="162"/>
      <c r="K1241" s="161"/>
      <c r="L1241" s="161"/>
      <c r="M1241" s="169"/>
      <c r="N1241" s="163" t="str">
        <f t="shared" si="23"/>
        <v/>
      </c>
      <c r="O1241" s="41"/>
      <c r="P1241" s="41"/>
      <c r="Q1241" s="161" t="str">
        <f>+IF(OR(O1241="Fire Control",O1241="Fire Tex 5062",O1241="Fire Tex 5090",O1241="Fire Tex 5120"),'CALCULO PINTURA'!P1242," ")</f>
        <v xml:space="preserve"> </v>
      </c>
      <c r="R1241" s="164" t="str">
        <f>+IF(OR(O1241="Fire Control",O1241="Fire Tex 5062",O1241="Fire Tex 5090",O1241="Fire Tex 5120"),'CALCULO PINTURA'!R1242," ")</f>
        <v xml:space="preserve"> </v>
      </c>
      <c r="S1241" s="164" t="str">
        <f>+IF(OR(O1241="Fire Control",O1241="Fire Tex 5062",O1241="Fire Tex 5090",O1241="Fire Tex 5120"),'CALCULO PINTURA'!S1242," ")</f>
        <v xml:space="preserve"> </v>
      </c>
      <c r="T1241" s="874" t="str">
        <f>+IF(OR(O1241="Blaze Shield II",O1241="Cafco 400",O1241="Cafco 300"),'CALCULO MORTERO'!N1247," ")</f>
        <v xml:space="preserve"> </v>
      </c>
      <c r="U1241" s="875" t="str">
        <f>+IF(OR(O1241="Blaze Shield II",O1241="Cafco 400",O1241="Cafco 300"),'CALCULO MORTERO'!O1247," ")</f>
        <v xml:space="preserve"> </v>
      </c>
      <c r="V1241" s="161" t="str" cm="1">
        <f t="array" ref="V1241">_xlfn.IFS(O1241="Blaze Shield II",'CALCULO MORTERO'!P1242, O1241="Cafco 400",'CALCULO MORTERO'!Q1242,O1241="Cafco 300",'CALCULO MORTERO'!S1242, AND(OR(O1241="Fire tex 5090", O1241="Fire Tex 5062", O1241="Fire Tex 5120", O1241="Fire Control"),Q1241&gt;0), "CERT.",TRUE,"-")</f>
        <v>-</v>
      </c>
    </row>
    <row r="1242" spans="1:22" x14ac:dyDescent="0.25">
      <c r="A1242" s="168"/>
      <c r="B1242" s="876"/>
      <c r="C1242" s="161"/>
      <c r="D1242" s="161"/>
      <c r="E1242" s="161"/>
      <c r="F1242" s="41"/>
      <c r="G1242" s="161"/>
      <c r="H1242" s="161"/>
      <c r="I1242" s="166"/>
      <c r="J1242" s="162"/>
      <c r="K1242" s="161"/>
      <c r="L1242" s="161"/>
      <c r="M1242" s="169"/>
      <c r="N1242" s="163" t="str">
        <f t="shared" si="23"/>
        <v/>
      </c>
      <c r="O1242" s="41"/>
      <c r="P1242" s="41"/>
      <c r="Q1242" s="161" t="str">
        <f>+IF(OR(O1242="Fire Control",O1242="Fire Tex 5062",O1242="Fire Tex 5090",O1242="Fire Tex 5120"),'CALCULO PINTURA'!P1243," ")</f>
        <v xml:space="preserve"> </v>
      </c>
      <c r="R1242" s="164" t="str">
        <f>+IF(OR(O1242="Fire Control",O1242="Fire Tex 5062",O1242="Fire Tex 5090",O1242="Fire Tex 5120"),'CALCULO PINTURA'!R1243," ")</f>
        <v xml:space="preserve"> </v>
      </c>
      <c r="S1242" s="164" t="str">
        <f>+IF(OR(O1242="Fire Control",O1242="Fire Tex 5062",O1242="Fire Tex 5090",O1242="Fire Tex 5120"),'CALCULO PINTURA'!S1243," ")</f>
        <v xml:space="preserve"> </v>
      </c>
      <c r="T1242" s="874" t="str">
        <f>+IF(OR(O1242="Blaze Shield II",O1242="Cafco 400",O1242="Cafco 300"),'CALCULO MORTERO'!N1248," ")</f>
        <v xml:space="preserve"> </v>
      </c>
      <c r="U1242" s="875" t="str">
        <f>+IF(OR(O1242="Blaze Shield II",O1242="Cafco 400",O1242="Cafco 300"),'CALCULO MORTERO'!O1248," ")</f>
        <v xml:space="preserve"> </v>
      </c>
      <c r="V1242" s="161" t="str" cm="1">
        <f t="array" ref="V1242">_xlfn.IFS(O1242="Blaze Shield II",'CALCULO MORTERO'!P1243, O1242="Cafco 400",'CALCULO MORTERO'!Q1243,O1242="Cafco 300",'CALCULO MORTERO'!S1243, AND(OR(O1242="Fire tex 5090", O1242="Fire Tex 5062", O1242="Fire Tex 5120", O1242="Fire Control"),Q1242&gt;0), "CERT.",TRUE,"-")</f>
        <v>-</v>
      </c>
    </row>
    <row r="1243" spans="1:22" x14ac:dyDescent="0.25">
      <c r="A1243" s="168"/>
      <c r="B1243" s="876"/>
      <c r="C1243" s="161"/>
      <c r="D1243" s="161"/>
      <c r="E1243" s="161"/>
      <c r="F1243" s="41"/>
      <c r="G1243" s="161"/>
      <c r="H1243" s="161"/>
      <c r="I1243" s="166"/>
      <c r="J1243" s="162"/>
      <c r="K1243" s="161"/>
      <c r="L1243" s="161"/>
      <c r="M1243" s="169"/>
      <c r="N1243" s="163" t="str">
        <f t="shared" si="23"/>
        <v/>
      </c>
      <c r="O1243" s="41"/>
      <c r="P1243" s="41"/>
      <c r="Q1243" s="161" t="str">
        <f>+IF(OR(O1243="Fire Control",O1243="Fire Tex 5062",O1243="Fire Tex 5090",O1243="Fire Tex 5120"),'CALCULO PINTURA'!P1244," ")</f>
        <v xml:space="preserve"> </v>
      </c>
      <c r="R1243" s="164" t="str">
        <f>+IF(OR(O1243="Fire Control",O1243="Fire Tex 5062",O1243="Fire Tex 5090",O1243="Fire Tex 5120"),'CALCULO PINTURA'!R1244," ")</f>
        <v xml:space="preserve"> </v>
      </c>
      <c r="S1243" s="164" t="str">
        <f>+IF(OR(O1243="Fire Control",O1243="Fire Tex 5062",O1243="Fire Tex 5090",O1243="Fire Tex 5120"),'CALCULO PINTURA'!S1244," ")</f>
        <v xml:space="preserve"> </v>
      </c>
      <c r="T1243" s="874" t="str">
        <f>+IF(OR(O1243="Blaze Shield II",O1243="Cafco 400",O1243="Cafco 300"),'CALCULO MORTERO'!N1249," ")</f>
        <v xml:space="preserve"> </v>
      </c>
      <c r="U1243" s="875" t="str">
        <f>+IF(OR(O1243="Blaze Shield II",O1243="Cafco 400",O1243="Cafco 300"),'CALCULO MORTERO'!O1249," ")</f>
        <v xml:space="preserve"> </v>
      </c>
      <c r="V1243" s="161" t="str" cm="1">
        <f t="array" ref="V1243">_xlfn.IFS(O1243="Blaze Shield II",'CALCULO MORTERO'!P1244, O1243="Cafco 400",'CALCULO MORTERO'!Q1244,O1243="Cafco 300",'CALCULO MORTERO'!S1244, AND(OR(O1243="Fire tex 5090", O1243="Fire Tex 5062", O1243="Fire Tex 5120", O1243="Fire Control"),Q1243&gt;0), "CERT.",TRUE,"-")</f>
        <v>-</v>
      </c>
    </row>
    <row r="1244" spans="1:22" x14ac:dyDescent="0.25">
      <c r="A1244" s="168"/>
      <c r="B1244" s="876"/>
      <c r="C1244" s="161"/>
      <c r="D1244" s="161"/>
      <c r="E1244" s="161"/>
      <c r="F1244" s="41"/>
      <c r="G1244" s="161"/>
      <c r="H1244" s="161"/>
      <c r="I1244" s="166"/>
      <c r="J1244" s="162"/>
      <c r="K1244" s="161"/>
      <c r="L1244" s="161"/>
      <c r="M1244" s="163"/>
      <c r="N1244" s="163" t="str">
        <f t="shared" si="23"/>
        <v/>
      </c>
      <c r="O1244" s="41"/>
      <c r="P1244" s="41"/>
      <c r="Q1244" s="161" t="str">
        <f>+IF(OR(O1244="Fire Control",O1244="Fire Tex 5062",O1244="Fire Tex 5090",O1244="Fire Tex 5120"),'CALCULO PINTURA'!P1245," ")</f>
        <v xml:space="preserve"> </v>
      </c>
      <c r="R1244" s="164" t="str">
        <f>+IF(OR(O1244="Fire Control",O1244="Fire Tex 5062",O1244="Fire Tex 5090",O1244="Fire Tex 5120"),'CALCULO PINTURA'!R1245," ")</f>
        <v xml:space="preserve"> </v>
      </c>
      <c r="S1244" s="164" t="str">
        <f>+IF(OR(O1244="Fire Control",O1244="Fire Tex 5062",O1244="Fire Tex 5090",O1244="Fire Tex 5120"),'CALCULO PINTURA'!S1245," ")</f>
        <v xml:space="preserve"> </v>
      </c>
      <c r="T1244" s="874" t="str">
        <f>+IF(OR(O1244="Blaze Shield II",O1244="Cafco 400",O1244="Cafco 300"),'CALCULO MORTERO'!N1250," ")</f>
        <v xml:space="preserve"> </v>
      </c>
      <c r="U1244" s="875" t="str">
        <f>+IF(OR(O1244="Blaze Shield II",O1244="Cafco 400",O1244="Cafco 300"),'CALCULO MORTERO'!O1250," ")</f>
        <v xml:space="preserve"> </v>
      </c>
      <c r="V1244" s="161" t="str" cm="1">
        <f t="array" ref="V1244">_xlfn.IFS(O1244="Blaze Shield II",'CALCULO MORTERO'!P1245, O1244="Cafco 400",'CALCULO MORTERO'!Q1245,O1244="Cafco 300",'CALCULO MORTERO'!S1245, AND(OR(O1244="Fire tex 5090", O1244="Fire Tex 5062", O1244="Fire Tex 5120", O1244="Fire Control"),Q1244&gt;0), "CERT.",TRUE,"-")</f>
        <v>-</v>
      </c>
    </row>
    <row r="1245" spans="1:22" x14ac:dyDescent="0.25">
      <c r="A1245" s="168"/>
      <c r="B1245" s="876"/>
      <c r="C1245" s="161"/>
      <c r="D1245" s="161"/>
      <c r="E1245" s="161"/>
      <c r="F1245" s="41"/>
      <c r="G1245" s="161"/>
      <c r="H1245" s="161"/>
      <c r="I1245" s="166"/>
      <c r="J1245" s="162"/>
      <c r="K1245" s="161"/>
      <c r="L1245" s="161"/>
      <c r="M1245" s="163"/>
      <c r="N1245" s="163" t="str">
        <f t="shared" si="23"/>
        <v/>
      </c>
      <c r="O1245" s="41"/>
      <c r="P1245" s="41"/>
      <c r="Q1245" s="161" t="str">
        <f>+IF(OR(O1245="Fire Control",O1245="Fire Tex 5062",O1245="Fire Tex 5090",O1245="Fire Tex 5120"),'CALCULO PINTURA'!P1246," ")</f>
        <v xml:space="preserve"> </v>
      </c>
      <c r="R1245" s="164" t="str">
        <f>+IF(OR(O1245="Fire Control",O1245="Fire Tex 5062",O1245="Fire Tex 5090",O1245="Fire Tex 5120"),'CALCULO PINTURA'!R1246," ")</f>
        <v xml:space="preserve"> </v>
      </c>
      <c r="S1245" s="164" t="str">
        <f>+IF(OR(O1245="Fire Control",O1245="Fire Tex 5062",O1245="Fire Tex 5090",O1245="Fire Tex 5120"),'CALCULO PINTURA'!S1246," ")</f>
        <v xml:space="preserve"> </v>
      </c>
      <c r="T1245" s="874" t="str">
        <f>+IF(OR(O1245="Blaze Shield II",O1245="Cafco 400",O1245="Cafco 300"),'CALCULO MORTERO'!N1251," ")</f>
        <v xml:space="preserve"> </v>
      </c>
      <c r="U1245" s="875" t="str">
        <f>+IF(OR(O1245="Blaze Shield II",O1245="Cafco 400",O1245="Cafco 300"),'CALCULO MORTERO'!O1251," ")</f>
        <v xml:space="preserve"> </v>
      </c>
      <c r="V1245" s="161" t="str" cm="1">
        <f t="array" ref="V1245">_xlfn.IFS(O1245="Blaze Shield II",'CALCULO MORTERO'!P1246, O1245="Cafco 400",'CALCULO MORTERO'!Q1246,O1245="Cafco 300",'CALCULO MORTERO'!S1246, AND(OR(O1245="Fire tex 5090", O1245="Fire Tex 5062", O1245="Fire Tex 5120", O1245="Fire Control"),Q1245&gt;0), "CERT.",TRUE,"-")</f>
        <v>-</v>
      </c>
    </row>
    <row r="1246" spans="1:22" x14ac:dyDescent="0.25">
      <c r="A1246" s="168"/>
      <c r="B1246" s="876"/>
      <c r="C1246" s="161"/>
      <c r="D1246" s="161"/>
      <c r="E1246" s="161"/>
      <c r="F1246" s="41"/>
      <c r="G1246" s="161"/>
      <c r="H1246" s="161"/>
      <c r="I1246" s="166"/>
      <c r="J1246" s="162"/>
      <c r="K1246" s="161"/>
      <c r="L1246" s="161"/>
      <c r="M1246" s="169"/>
      <c r="N1246" s="163" t="str">
        <f t="shared" si="23"/>
        <v/>
      </c>
      <c r="O1246" s="41"/>
      <c r="P1246" s="41"/>
      <c r="Q1246" s="161" t="str">
        <f>+IF(OR(O1246="Fire Control",O1246="Fire Tex 5062",O1246="Fire Tex 5090",O1246="Fire Tex 5120"),'CALCULO PINTURA'!P1247," ")</f>
        <v xml:space="preserve"> </v>
      </c>
      <c r="R1246" s="164" t="str">
        <f>+IF(OR(O1246="Fire Control",O1246="Fire Tex 5062",O1246="Fire Tex 5090",O1246="Fire Tex 5120"),'CALCULO PINTURA'!R1247," ")</f>
        <v xml:space="preserve"> </v>
      </c>
      <c r="S1246" s="164" t="str">
        <f>+IF(OR(O1246="Fire Control",O1246="Fire Tex 5062",O1246="Fire Tex 5090",O1246="Fire Tex 5120"),'CALCULO PINTURA'!S1247," ")</f>
        <v xml:space="preserve"> </v>
      </c>
      <c r="T1246" s="874" t="str">
        <f>+IF(OR(O1246="Blaze Shield II",O1246="Cafco 400",O1246="Cafco 300"),'CALCULO MORTERO'!N1252," ")</f>
        <v xml:space="preserve"> </v>
      </c>
      <c r="U1246" s="875" t="str">
        <f>+IF(OR(O1246="Blaze Shield II",O1246="Cafco 400",O1246="Cafco 300"),'CALCULO MORTERO'!O1252," ")</f>
        <v xml:space="preserve"> </v>
      </c>
      <c r="V1246" s="161" t="str" cm="1">
        <f t="array" ref="V1246">_xlfn.IFS(O1246="Blaze Shield II",'CALCULO MORTERO'!P1247, O1246="Cafco 400",'CALCULO MORTERO'!Q1247,O1246="Cafco 300",'CALCULO MORTERO'!S1247, AND(OR(O1246="Fire tex 5090", O1246="Fire Tex 5062", O1246="Fire Tex 5120", O1246="Fire Control"),Q1246&gt;0), "CERT.",TRUE,"-")</f>
        <v>-</v>
      </c>
    </row>
    <row r="1247" spans="1:22" x14ac:dyDescent="0.25">
      <c r="A1247" s="168"/>
      <c r="B1247" s="876"/>
      <c r="C1247" s="161"/>
      <c r="D1247" s="161"/>
      <c r="E1247" s="161"/>
      <c r="F1247" s="41"/>
      <c r="G1247" s="161"/>
      <c r="H1247" s="161"/>
      <c r="I1247" s="166"/>
      <c r="J1247" s="162"/>
      <c r="K1247" s="161"/>
      <c r="L1247" s="161"/>
      <c r="M1247" s="169"/>
      <c r="N1247" s="163" t="str">
        <f t="shared" si="23"/>
        <v/>
      </c>
      <c r="O1247" s="41"/>
      <c r="P1247" s="41"/>
      <c r="Q1247" s="161" t="str">
        <f>+IF(OR(O1247="Fire Control",O1247="Fire Tex 5062",O1247="Fire Tex 5090",O1247="Fire Tex 5120"),'CALCULO PINTURA'!P1248," ")</f>
        <v xml:space="preserve"> </v>
      </c>
      <c r="R1247" s="164" t="str">
        <f>+IF(OR(O1247="Fire Control",O1247="Fire Tex 5062",O1247="Fire Tex 5090",O1247="Fire Tex 5120"),'CALCULO PINTURA'!R1248," ")</f>
        <v xml:space="preserve"> </v>
      </c>
      <c r="S1247" s="164" t="str">
        <f>+IF(OR(O1247="Fire Control",O1247="Fire Tex 5062",O1247="Fire Tex 5090",O1247="Fire Tex 5120"),'CALCULO PINTURA'!S1248," ")</f>
        <v xml:space="preserve"> </v>
      </c>
      <c r="T1247" s="874" t="str">
        <f>+IF(OR(O1247="Blaze Shield II",O1247="Cafco 400",O1247="Cafco 300"),'CALCULO MORTERO'!N1253," ")</f>
        <v xml:space="preserve"> </v>
      </c>
      <c r="U1247" s="875" t="str">
        <f>+IF(OR(O1247="Blaze Shield II",O1247="Cafco 400",O1247="Cafco 300"),'CALCULO MORTERO'!O1253," ")</f>
        <v xml:space="preserve"> </v>
      </c>
      <c r="V1247" s="161" t="str" cm="1">
        <f t="array" ref="V1247">_xlfn.IFS(O1247="Blaze Shield II",'CALCULO MORTERO'!P1248, O1247="Cafco 400",'CALCULO MORTERO'!Q1248,O1247="Cafco 300",'CALCULO MORTERO'!S1248, AND(OR(O1247="Fire tex 5090", O1247="Fire Tex 5062", O1247="Fire Tex 5120", O1247="Fire Control"),Q1247&gt;0), "CERT.",TRUE,"-")</f>
        <v>-</v>
      </c>
    </row>
    <row r="1248" spans="1:22" x14ac:dyDescent="0.25">
      <c r="A1248" s="168"/>
      <c r="B1248" s="876"/>
      <c r="C1248" s="161"/>
      <c r="D1248" s="161"/>
      <c r="E1248" s="161"/>
      <c r="F1248" s="41"/>
      <c r="G1248" s="161"/>
      <c r="H1248" s="161"/>
      <c r="I1248" s="166"/>
      <c r="J1248" s="162"/>
      <c r="K1248" s="161"/>
      <c r="L1248" s="161"/>
      <c r="M1248" s="169"/>
      <c r="N1248" s="163" t="str">
        <f t="shared" si="23"/>
        <v/>
      </c>
      <c r="O1248" s="41"/>
      <c r="P1248" s="41"/>
      <c r="Q1248" s="161" t="str">
        <f>+IF(OR(O1248="Fire Control",O1248="Fire Tex 5062",O1248="Fire Tex 5090",O1248="Fire Tex 5120"),'CALCULO PINTURA'!P1249," ")</f>
        <v xml:space="preserve"> </v>
      </c>
      <c r="R1248" s="164" t="str">
        <f>+IF(OR(O1248="Fire Control",O1248="Fire Tex 5062",O1248="Fire Tex 5090",O1248="Fire Tex 5120"),'CALCULO PINTURA'!R1249," ")</f>
        <v xml:space="preserve"> </v>
      </c>
      <c r="S1248" s="164" t="str">
        <f>+IF(OR(O1248="Fire Control",O1248="Fire Tex 5062",O1248="Fire Tex 5090",O1248="Fire Tex 5120"),'CALCULO PINTURA'!S1249," ")</f>
        <v xml:space="preserve"> </v>
      </c>
      <c r="T1248" s="874" t="str">
        <f>+IF(OR(O1248="Blaze Shield II",O1248="Cafco 400",O1248="Cafco 300"),'CALCULO MORTERO'!N1254," ")</f>
        <v xml:space="preserve"> </v>
      </c>
      <c r="U1248" s="875" t="str">
        <f>+IF(OR(O1248="Blaze Shield II",O1248="Cafco 400",O1248="Cafco 300"),'CALCULO MORTERO'!O1254," ")</f>
        <v xml:space="preserve"> </v>
      </c>
      <c r="V1248" s="161" t="str" cm="1">
        <f t="array" ref="V1248">_xlfn.IFS(O1248="Blaze Shield II",'CALCULO MORTERO'!P1249, O1248="Cafco 400",'CALCULO MORTERO'!Q1249,O1248="Cafco 300",'CALCULO MORTERO'!S1249, AND(OR(O1248="Fire tex 5090", O1248="Fire Tex 5062", O1248="Fire Tex 5120", O1248="Fire Control"),Q1248&gt;0), "CERT.",TRUE,"-")</f>
        <v>-</v>
      </c>
    </row>
    <row r="1249" spans="1:22" x14ac:dyDescent="0.25">
      <c r="A1249" s="168"/>
      <c r="B1249" s="876"/>
      <c r="C1249" s="161"/>
      <c r="D1249" s="161"/>
      <c r="E1249" s="161"/>
      <c r="F1249" s="41"/>
      <c r="G1249" s="161"/>
      <c r="H1249" s="161"/>
      <c r="I1249" s="166"/>
      <c r="J1249" s="162"/>
      <c r="K1249" s="161"/>
      <c r="L1249" s="161"/>
      <c r="M1249" s="169"/>
      <c r="N1249" s="163" t="str">
        <f t="shared" si="23"/>
        <v/>
      </c>
      <c r="O1249" s="41"/>
      <c r="P1249" s="41"/>
      <c r="Q1249" s="161" t="str">
        <f>+IF(OR(O1249="Fire Control",O1249="Fire Tex 5062",O1249="Fire Tex 5090",O1249="Fire Tex 5120"),'CALCULO PINTURA'!P1250," ")</f>
        <v xml:space="preserve"> </v>
      </c>
      <c r="R1249" s="164" t="str">
        <f>+IF(OR(O1249="Fire Control",O1249="Fire Tex 5062",O1249="Fire Tex 5090",O1249="Fire Tex 5120"),'CALCULO PINTURA'!R1250," ")</f>
        <v xml:space="preserve"> </v>
      </c>
      <c r="S1249" s="164" t="str">
        <f>+IF(OR(O1249="Fire Control",O1249="Fire Tex 5062",O1249="Fire Tex 5090",O1249="Fire Tex 5120"),'CALCULO PINTURA'!S1250," ")</f>
        <v xml:space="preserve"> </v>
      </c>
      <c r="T1249" s="874" t="str">
        <f>+IF(OR(O1249="Blaze Shield II",O1249="Cafco 400",O1249="Cafco 300"),'CALCULO MORTERO'!N1255," ")</f>
        <v xml:space="preserve"> </v>
      </c>
      <c r="U1249" s="875" t="str">
        <f>+IF(OR(O1249="Blaze Shield II",O1249="Cafco 400",O1249="Cafco 300"),'CALCULO MORTERO'!O1255," ")</f>
        <v xml:space="preserve"> </v>
      </c>
      <c r="V1249" s="161" t="str" cm="1">
        <f t="array" ref="V1249">_xlfn.IFS(O1249="Blaze Shield II",'CALCULO MORTERO'!P1250, O1249="Cafco 400",'CALCULO MORTERO'!Q1250,O1249="Cafco 300",'CALCULO MORTERO'!S1250, AND(OR(O1249="Fire tex 5090", O1249="Fire Tex 5062", O1249="Fire Tex 5120", O1249="Fire Control"),Q1249&gt;0), "CERT.",TRUE,"-")</f>
        <v>-</v>
      </c>
    </row>
    <row r="1250" spans="1:22" x14ac:dyDescent="0.25">
      <c r="A1250" s="168"/>
      <c r="B1250" s="876"/>
      <c r="C1250" s="161"/>
      <c r="D1250" s="161"/>
      <c r="E1250" s="161"/>
      <c r="F1250" s="41"/>
      <c r="G1250" s="161"/>
      <c r="H1250" s="161"/>
      <c r="I1250" s="166"/>
      <c r="J1250" s="162"/>
      <c r="K1250" s="161"/>
      <c r="L1250" s="161"/>
      <c r="M1250" s="169"/>
      <c r="N1250" s="163" t="str">
        <f t="shared" si="23"/>
        <v/>
      </c>
      <c r="O1250" s="41"/>
      <c r="P1250" s="41"/>
      <c r="Q1250" s="161" t="str">
        <f>+IF(OR(O1250="Fire Control",O1250="Fire Tex 5062",O1250="Fire Tex 5090",O1250="Fire Tex 5120"),'CALCULO PINTURA'!P1251," ")</f>
        <v xml:space="preserve"> </v>
      </c>
      <c r="R1250" s="164" t="str">
        <f>+IF(OR(O1250="Fire Control",O1250="Fire Tex 5062",O1250="Fire Tex 5090",O1250="Fire Tex 5120"),'CALCULO PINTURA'!R1251," ")</f>
        <v xml:space="preserve"> </v>
      </c>
      <c r="S1250" s="164" t="str">
        <f>+IF(OR(O1250="Fire Control",O1250="Fire Tex 5062",O1250="Fire Tex 5090",O1250="Fire Tex 5120"),'CALCULO PINTURA'!S1251," ")</f>
        <v xml:space="preserve"> </v>
      </c>
      <c r="T1250" s="874" t="str">
        <f>+IF(OR(O1250="Blaze Shield II",O1250="Cafco 400",O1250="Cafco 300"),'CALCULO MORTERO'!N1256," ")</f>
        <v xml:space="preserve"> </v>
      </c>
      <c r="U1250" s="875" t="str">
        <f>+IF(OR(O1250="Blaze Shield II",O1250="Cafco 400",O1250="Cafco 300"),'CALCULO MORTERO'!O1256," ")</f>
        <v xml:space="preserve"> </v>
      </c>
      <c r="V1250" s="161" t="str" cm="1">
        <f t="array" ref="V1250">_xlfn.IFS(O1250="Blaze Shield II",'CALCULO MORTERO'!P1251, O1250="Cafco 400",'CALCULO MORTERO'!Q1251,O1250="Cafco 300",'CALCULO MORTERO'!S1251, AND(OR(O1250="Fire tex 5090", O1250="Fire Tex 5062", O1250="Fire Tex 5120", O1250="Fire Control"),Q1250&gt;0), "CERT.",TRUE,"-")</f>
        <v>-</v>
      </c>
    </row>
    <row r="1251" spans="1:22" x14ac:dyDescent="0.25">
      <c r="A1251" s="168"/>
      <c r="B1251" s="876"/>
      <c r="C1251" s="161"/>
      <c r="D1251" s="161"/>
      <c r="E1251" s="161"/>
      <c r="F1251" s="41"/>
      <c r="G1251" s="161"/>
      <c r="H1251" s="161"/>
      <c r="I1251" s="166"/>
      <c r="J1251" s="162"/>
      <c r="K1251" s="161"/>
      <c r="L1251" s="161"/>
      <c r="M1251" s="169"/>
      <c r="N1251" s="163" t="str">
        <f t="shared" si="23"/>
        <v/>
      </c>
      <c r="O1251" s="41"/>
      <c r="P1251" s="41"/>
      <c r="Q1251" s="161" t="str">
        <f>+IF(OR(O1251="Fire Control",O1251="Fire Tex 5062",O1251="Fire Tex 5090",O1251="Fire Tex 5120"),'CALCULO PINTURA'!P1252," ")</f>
        <v xml:space="preserve"> </v>
      </c>
      <c r="R1251" s="164" t="str">
        <f>+IF(OR(O1251="Fire Control",O1251="Fire Tex 5062",O1251="Fire Tex 5090",O1251="Fire Tex 5120"),'CALCULO PINTURA'!R1252," ")</f>
        <v xml:space="preserve"> </v>
      </c>
      <c r="S1251" s="164" t="str">
        <f>+IF(OR(O1251="Fire Control",O1251="Fire Tex 5062",O1251="Fire Tex 5090",O1251="Fire Tex 5120"),'CALCULO PINTURA'!S1252," ")</f>
        <v xml:space="preserve"> </v>
      </c>
      <c r="T1251" s="874" t="str">
        <f>+IF(OR(O1251="Blaze Shield II",O1251="Cafco 400",O1251="Cafco 300"),'CALCULO MORTERO'!N1257," ")</f>
        <v xml:space="preserve"> </v>
      </c>
      <c r="U1251" s="875" t="str">
        <f>+IF(OR(O1251="Blaze Shield II",O1251="Cafco 400",O1251="Cafco 300"),'CALCULO MORTERO'!O1257," ")</f>
        <v xml:space="preserve"> </v>
      </c>
      <c r="V1251" s="161" t="str" cm="1">
        <f t="array" ref="V1251">_xlfn.IFS(O1251="Blaze Shield II",'CALCULO MORTERO'!P1252, O1251="Cafco 400",'CALCULO MORTERO'!Q1252,O1251="Cafco 300",'CALCULO MORTERO'!S1252, AND(OR(O1251="Fire tex 5090", O1251="Fire Tex 5062", O1251="Fire Tex 5120", O1251="Fire Control"),Q1251&gt;0), "CERT.",TRUE,"-")</f>
        <v>-</v>
      </c>
    </row>
    <row r="1252" spans="1:22" x14ac:dyDescent="0.25">
      <c r="A1252" s="168"/>
      <c r="B1252" s="876"/>
      <c r="C1252" s="161"/>
      <c r="D1252" s="161"/>
      <c r="E1252" s="161"/>
      <c r="F1252" s="41"/>
      <c r="G1252" s="161"/>
      <c r="H1252" s="161"/>
      <c r="I1252" s="166"/>
      <c r="J1252" s="162"/>
      <c r="K1252" s="161"/>
      <c r="L1252" s="161"/>
      <c r="M1252" s="169"/>
      <c r="N1252" s="163" t="str">
        <f t="shared" si="23"/>
        <v/>
      </c>
      <c r="O1252" s="41"/>
      <c r="P1252" s="41"/>
      <c r="Q1252" s="161" t="str">
        <f>+IF(OR(O1252="Fire Control",O1252="Fire Tex 5062",O1252="Fire Tex 5090",O1252="Fire Tex 5120"),'CALCULO PINTURA'!P1253," ")</f>
        <v xml:space="preserve"> </v>
      </c>
      <c r="R1252" s="164" t="str">
        <f>+IF(OR(O1252="Fire Control",O1252="Fire Tex 5062",O1252="Fire Tex 5090",O1252="Fire Tex 5120"),'CALCULO PINTURA'!R1253," ")</f>
        <v xml:space="preserve"> </v>
      </c>
      <c r="S1252" s="164" t="str">
        <f>+IF(OR(O1252="Fire Control",O1252="Fire Tex 5062",O1252="Fire Tex 5090",O1252="Fire Tex 5120"),'CALCULO PINTURA'!S1253," ")</f>
        <v xml:space="preserve"> </v>
      </c>
      <c r="T1252" s="874" t="str">
        <f>+IF(OR(O1252="Blaze Shield II",O1252="Cafco 400",O1252="Cafco 300"),'CALCULO MORTERO'!N1258," ")</f>
        <v xml:space="preserve"> </v>
      </c>
      <c r="U1252" s="875" t="str">
        <f>+IF(OR(O1252="Blaze Shield II",O1252="Cafco 400",O1252="Cafco 300"),'CALCULO MORTERO'!O1258," ")</f>
        <v xml:space="preserve"> </v>
      </c>
      <c r="V1252" s="161" t="str" cm="1">
        <f t="array" ref="V1252">_xlfn.IFS(O1252="Blaze Shield II",'CALCULO MORTERO'!P1253, O1252="Cafco 400",'CALCULO MORTERO'!Q1253,O1252="Cafco 300",'CALCULO MORTERO'!S1253, AND(OR(O1252="Fire tex 5090", O1252="Fire Tex 5062", O1252="Fire Tex 5120", O1252="Fire Control"),Q1252&gt;0), "CERT.",TRUE,"-")</f>
        <v>-</v>
      </c>
    </row>
    <row r="1253" spans="1:22" x14ac:dyDescent="0.25">
      <c r="A1253" s="168"/>
      <c r="B1253" s="876"/>
      <c r="C1253" s="161"/>
      <c r="D1253" s="161"/>
      <c r="E1253" s="161"/>
      <c r="F1253" s="41"/>
      <c r="G1253" s="161"/>
      <c r="H1253" s="161"/>
      <c r="I1253" s="166"/>
      <c r="J1253" s="162"/>
      <c r="K1253" s="161"/>
      <c r="L1253" s="161"/>
      <c r="M1253" s="169"/>
      <c r="N1253" s="163" t="str">
        <f t="shared" si="23"/>
        <v/>
      </c>
      <c r="O1253" s="41"/>
      <c r="P1253" s="41"/>
      <c r="Q1253" s="161" t="str">
        <f>+IF(OR(O1253="Fire Control",O1253="Fire Tex 5062",O1253="Fire Tex 5090",O1253="Fire Tex 5120"),'CALCULO PINTURA'!P1254," ")</f>
        <v xml:space="preserve"> </v>
      </c>
      <c r="R1253" s="164" t="str">
        <f>+IF(OR(O1253="Fire Control",O1253="Fire Tex 5062",O1253="Fire Tex 5090",O1253="Fire Tex 5120"),'CALCULO PINTURA'!R1254," ")</f>
        <v xml:space="preserve"> </v>
      </c>
      <c r="S1253" s="164" t="str">
        <f>+IF(OR(O1253="Fire Control",O1253="Fire Tex 5062",O1253="Fire Tex 5090",O1253="Fire Tex 5120"),'CALCULO PINTURA'!S1254," ")</f>
        <v xml:space="preserve"> </v>
      </c>
      <c r="T1253" s="874" t="str">
        <f>+IF(OR(O1253="Blaze Shield II",O1253="Cafco 400",O1253="Cafco 300"),'CALCULO MORTERO'!N1259," ")</f>
        <v xml:space="preserve"> </v>
      </c>
      <c r="U1253" s="875" t="str">
        <f>+IF(OR(O1253="Blaze Shield II",O1253="Cafco 400",O1253="Cafco 300"),'CALCULO MORTERO'!O1259," ")</f>
        <v xml:space="preserve"> </v>
      </c>
      <c r="V1253" s="161" t="str" cm="1">
        <f t="array" ref="V1253">_xlfn.IFS(O1253="Blaze Shield II",'CALCULO MORTERO'!P1254, O1253="Cafco 400",'CALCULO MORTERO'!Q1254,O1253="Cafco 300",'CALCULO MORTERO'!S1254, AND(OR(O1253="Fire tex 5090", O1253="Fire Tex 5062", O1253="Fire Tex 5120", O1253="Fire Control"),Q1253&gt;0), "CERT.",TRUE,"-")</f>
        <v>-</v>
      </c>
    </row>
    <row r="1254" spans="1:22" x14ac:dyDescent="0.25">
      <c r="A1254" s="168"/>
      <c r="B1254" s="876"/>
      <c r="C1254" s="161"/>
      <c r="D1254" s="161"/>
      <c r="E1254" s="161"/>
      <c r="F1254" s="41"/>
      <c r="G1254" s="161"/>
      <c r="H1254" s="161"/>
      <c r="I1254" s="166"/>
      <c r="J1254" s="162"/>
      <c r="K1254" s="161"/>
      <c r="L1254" s="161"/>
      <c r="M1254" s="169"/>
      <c r="N1254" s="163" t="str">
        <f t="shared" si="23"/>
        <v/>
      </c>
      <c r="O1254" s="41"/>
      <c r="P1254" s="41"/>
      <c r="Q1254" s="161" t="str">
        <f>+IF(OR(O1254="Fire Control",O1254="Fire Tex 5062",O1254="Fire Tex 5090",O1254="Fire Tex 5120"),'CALCULO PINTURA'!P1255," ")</f>
        <v xml:space="preserve"> </v>
      </c>
      <c r="R1254" s="164" t="str">
        <f>+IF(OR(O1254="Fire Control",O1254="Fire Tex 5062",O1254="Fire Tex 5090",O1254="Fire Tex 5120"),'CALCULO PINTURA'!R1255," ")</f>
        <v xml:space="preserve"> </v>
      </c>
      <c r="S1254" s="164" t="str">
        <f>+IF(OR(O1254="Fire Control",O1254="Fire Tex 5062",O1254="Fire Tex 5090",O1254="Fire Tex 5120"),'CALCULO PINTURA'!S1255," ")</f>
        <v xml:space="preserve"> </v>
      </c>
      <c r="T1254" s="874" t="str">
        <f>+IF(OR(O1254="Blaze Shield II",O1254="Cafco 400",O1254="Cafco 300"),'CALCULO MORTERO'!N1260," ")</f>
        <v xml:space="preserve"> </v>
      </c>
      <c r="U1254" s="875" t="str">
        <f>+IF(OR(O1254="Blaze Shield II",O1254="Cafco 400",O1254="Cafco 300"),'CALCULO MORTERO'!O1260," ")</f>
        <v xml:space="preserve"> </v>
      </c>
      <c r="V1254" s="161" t="str" cm="1">
        <f t="array" ref="V1254">_xlfn.IFS(O1254="Blaze Shield II",'CALCULO MORTERO'!P1255, O1254="Cafco 400",'CALCULO MORTERO'!Q1255,O1254="Cafco 300",'CALCULO MORTERO'!S1255, AND(OR(O1254="Fire tex 5090", O1254="Fire Tex 5062", O1254="Fire Tex 5120", O1254="Fire Control"),Q1254&gt;0), "CERT.",TRUE,"-")</f>
        <v>-</v>
      </c>
    </row>
    <row r="1255" spans="1:22" x14ac:dyDescent="0.25">
      <c r="A1255" s="168"/>
      <c r="B1255" s="876"/>
      <c r="C1255" s="161"/>
      <c r="D1255" s="161"/>
      <c r="E1255" s="161"/>
      <c r="F1255" s="41"/>
      <c r="G1255" s="161"/>
      <c r="H1255" s="161"/>
      <c r="I1255" s="166"/>
      <c r="J1255" s="162"/>
      <c r="K1255" s="161"/>
      <c r="L1255" s="161"/>
      <c r="M1255" s="169"/>
      <c r="N1255" s="163" t="str">
        <f t="shared" si="23"/>
        <v/>
      </c>
      <c r="O1255" s="41"/>
      <c r="P1255" s="41"/>
      <c r="Q1255" s="161" t="str">
        <f>+IF(OR(O1255="Fire Control",O1255="Fire Tex 5062",O1255="Fire Tex 5090",O1255="Fire Tex 5120"),'CALCULO PINTURA'!P1256," ")</f>
        <v xml:space="preserve"> </v>
      </c>
      <c r="R1255" s="164" t="str">
        <f>+IF(OR(O1255="Fire Control",O1255="Fire Tex 5062",O1255="Fire Tex 5090",O1255="Fire Tex 5120"),'CALCULO PINTURA'!R1256," ")</f>
        <v xml:space="preserve"> </v>
      </c>
      <c r="S1255" s="164" t="str">
        <f>+IF(OR(O1255="Fire Control",O1255="Fire Tex 5062",O1255="Fire Tex 5090",O1255="Fire Tex 5120"),'CALCULO PINTURA'!S1256," ")</f>
        <v xml:space="preserve"> </v>
      </c>
      <c r="T1255" s="874" t="str">
        <f>+IF(OR(O1255="Blaze Shield II",O1255="Cafco 400",O1255="Cafco 300"),'CALCULO MORTERO'!N1261," ")</f>
        <v xml:space="preserve"> </v>
      </c>
      <c r="U1255" s="875" t="str">
        <f>+IF(OR(O1255="Blaze Shield II",O1255="Cafco 400",O1255="Cafco 300"),'CALCULO MORTERO'!O1261," ")</f>
        <v xml:space="preserve"> </v>
      </c>
      <c r="V1255" s="161" t="str" cm="1">
        <f t="array" ref="V1255">_xlfn.IFS(O1255="Blaze Shield II",'CALCULO MORTERO'!P1256, O1255="Cafco 400",'CALCULO MORTERO'!Q1256,O1255="Cafco 300",'CALCULO MORTERO'!S1256, AND(OR(O1255="Fire tex 5090", O1255="Fire Tex 5062", O1255="Fire Tex 5120", O1255="Fire Control"),Q1255&gt;0), "CERT.",TRUE,"-")</f>
        <v>-</v>
      </c>
    </row>
    <row r="1256" spans="1:22" x14ac:dyDescent="0.25">
      <c r="A1256" s="168"/>
      <c r="B1256" s="876"/>
      <c r="C1256" s="161"/>
      <c r="D1256" s="161"/>
      <c r="E1256" s="161"/>
      <c r="F1256" s="41"/>
      <c r="G1256" s="161"/>
      <c r="H1256" s="161"/>
      <c r="I1256" s="166"/>
      <c r="J1256" s="162"/>
      <c r="K1256" s="162"/>
      <c r="L1256" s="161"/>
      <c r="M1256" s="169"/>
      <c r="N1256" s="163" t="str">
        <f t="shared" si="23"/>
        <v/>
      </c>
      <c r="O1256" s="41"/>
      <c r="P1256" s="41"/>
      <c r="Q1256" s="161" t="str">
        <f>+IF(OR(O1256="Fire Control",O1256="Fire Tex 5062",O1256="Fire Tex 5090",O1256="Fire Tex 5120"),'CALCULO PINTURA'!P1257," ")</f>
        <v xml:space="preserve"> </v>
      </c>
      <c r="R1256" s="164" t="str">
        <f>+IF(OR(O1256="Fire Control",O1256="Fire Tex 5062",O1256="Fire Tex 5090",O1256="Fire Tex 5120"),'CALCULO PINTURA'!R1257," ")</f>
        <v xml:space="preserve"> </v>
      </c>
      <c r="S1256" s="164" t="str">
        <f>+IF(OR(O1256="Fire Control",O1256="Fire Tex 5062",O1256="Fire Tex 5090",O1256="Fire Tex 5120"),'CALCULO PINTURA'!S1257," ")</f>
        <v xml:space="preserve"> </v>
      </c>
      <c r="T1256" s="874" t="str">
        <f>+IF(OR(O1256="Blaze Shield II",O1256="Cafco 400",O1256="Cafco 300"),'CALCULO MORTERO'!N1262," ")</f>
        <v xml:space="preserve"> </v>
      </c>
      <c r="U1256" s="875" t="str">
        <f>+IF(OR(O1256="Blaze Shield II",O1256="Cafco 400",O1256="Cafco 300"),'CALCULO MORTERO'!O1262," ")</f>
        <v xml:space="preserve"> </v>
      </c>
      <c r="V1256" s="161" t="str" cm="1">
        <f t="array" ref="V1256">_xlfn.IFS(O1256="Blaze Shield II",'CALCULO MORTERO'!P1257, O1256="Cafco 400",'CALCULO MORTERO'!Q1257,O1256="Cafco 300",'CALCULO MORTERO'!S1257, AND(OR(O1256="Fire tex 5090", O1256="Fire Tex 5062", O1256="Fire Tex 5120", O1256="Fire Control"),Q1256&gt;0), "CERT.",TRUE,"-")</f>
        <v>-</v>
      </c>
    </row>
    <row r="1257" spans="1:22" x14ac:dyDescent="0.25">
      <c r="A1257" s="168"/>
      <c r="B1257" s="876"/>
      <c r="C1257" s="161"/>
      <c r="D1257" s="161"/>
      <c r="E1257" s="161"/>
      <c r="F1257" s="41"/>
      <c r="G1257" s="161"/>
      <c r="H1257" s="161"/>
      <c r="I1257" s="166"/>
      <c r="J1257" s="162"/>
      <c r="K1257" s="162"/>
      <c r="L1257" s="161"/>
      <c r="M1257" s="169"/>
      <c r="N1257" s="163" t="str">
        <f t="shared" si="23"/>
        <v/>
      </c>
      <c r="O1257" s="41"/>
      <c r="P1257" s="41"/>
      <c r="Q1257" s="161" t="str">
        <f>+IF(OR(O1257="Fire Control",O1257="Fire Tex 5062",O1257="Fire Tex 5090",O1257="Fire Tex 5120"),'CALCULO PINTURA'!P1258," ")</f>
        <v xml:space="preserve"> </v>
      </c>
      <c r="R1257" s="164" t="str">
        <f>+IF(OR(O1257="Fire Control",O1257="Fire Tex 5062",O1257="Fire Tex 5090",O1257="Fire Tex 5120"),'CALCULO PINTURA'!R1258," ")</f>
        <v xml:space="preserve"> </v>
      </c>
      <c r="S1257" s="164" t="str">
        <f>+IF(OR(O1257="Fire Control",O1257="Fire Tex 5062",O1257="Fire Tex 5090",O1257="Fire Tex 5120"),'CALCULO PINTURA'!S1258," ")</f>
        <v xml:space="preserve"> </v>
      </c>
      <c r="T1257" s="874" t="str">
        <f>+IF(OR(O1257="Blaze Shield II",O1257="Cafco 400",O1257="Cafco 300"),'CALCULO MORTERO'!N1263," ")</f>
        <v xml:space="preserve"> </v>
      </c>
      <c r="U1257" s="875" t="str">
        <f>+IF(OR(O1257="Blaze Shield II",O1257="Cafco 400",O1257="Cafco 300"),'CALCULO MORTERO'!O1263," ")</f>
        <v xml:space="preserve"> </v>
      </c>
      <c r="V1257" s="161" t="str" cm="1">
        <f t="array" ref="V1257">_xlfn.IFS(O1257="Blaze Shield II",'CALCULO MORTERO'!P1258, O1257="Cafco 400",'CALCULO MORTERO'!Q1258,O1257="Cafco 300",'CALCULO MORTERO'!S1258, AND(OR(O1257="Fire tex 5090", O1257="Fire Tex 5062", O1257="Fire Tex 5120", O1257="Fire Control"),Q1257&gt;0), "CERT.",TRUE,"-")</f>
        <v>-</v>
      </c>
    </row>
    <row r="1258" spans="1:22" x14ac:dyDescent="0.25">
      <c r="A1258" s="168"/>
      <c r="B1258" s="876"/>
      <c r="C1258" s="161"/>
      <c r="D1258" s="161"/>
      <c r="E1258" s="161"/>
      <c r="F1258" s="41"/>
      <c r="G1258" s="161"/>
      <c r="H1258" s="161"/>
      <c r="I1258" s="166"/>
      <c r="J1258" s="162"/>
      <c r="K1258" s="162"/>
      <c r="L1258" s="161"/>
      <c r="M1258" s="169"/>
      <c r="N1258" s="163" t="str">
        <f t="shared" si="23"/>
        <v/>
      </c>
      <c r="O1258" s="41"/>
      <c r="P1258" s="41"/>
      <c r="Q1258" s="161" t="str">
        <f>+IF(OR(O1258="Fire Control",O1258="Fire Tex 5062",O1258="Fire Tex 5090",O1258="Fire Tex 5120"),'CALCULO PINTURA'!P1259," ")</f>
        <v xml:space="preserve"> </v>
      </c>
      <c r="R1258" s="164" t="str">
        <f>+IF(OR(O1258="Fire Control",O1258="Fire Tex 5062",O1258="Fire Tex 5090",O1258="Fire Tex 5120"),'CALCULO PINTURA'!R1259," ")</f>
        <v xml:space="preserve"> </v>
      </c>
      <c r="S1258" s="164" t="str">
        <f>+IF(OR(O1258="Fire Control",O1258="Fire Tex 5062",O1258="Fire Tex 5090",O1258="Fire Tex 5120"),'CALCULO PINTURA'!S1259," ")</f>
        <v xml:space="preserve"> </v>
      </c>
      <c r="T1258" s="874" t="str">
        <f>+IF(OR(O1258="Blaze Shield II",O1258="Cafco 400",O1258="Cafco 300"),'CALCULO MORTERO'!N1264," ")</f>
        <v xml:space="preserve"> </v>
      </c>
      <c r="U1258" s="875" t="str">
        <f>+IF(OR(O1258="Blaze Shield II",O1258="Cafco 400",O1258="Cafco 300"),'CALCULO MORTERO'!O1264," ")</f>
        <v xml:space="preserve"> </v>
      </c>
      <c r="V1258" s="161" t="str" cm="1">
        <f t="array" ref="V1258">_xlfn.IFS(O1258="Blaze Shield II",'CALCULO MORTERO'!P1259, O1258="Cafco 400",'CALCULO MORTERO'!Q1259,O1258="Cafco 300",'CALCULO MORTERO'!S1259, AND(OR(O1258="Fire tex 5090", O1258="Fire Tex 5062", O1258="Fire Tex 5120", O1258="Fire Control"),Q1258&gt;0), "CERT.",TRUE,"-")</f>
        <v>-</v>
      </c>
    </row>
    <row r="1259" spans="1:22" x14ac:dyDescent="0.25">
      <c r="A1259" s="168"/>
      <c r="B1259" s="876"/>
      <c r="C1259" s="161"/>
      <c r="D1259" s="161"/>
      <c r="E1259" s="161"/>
      <c r="F1259" s="161"/>
      <c r="G1259" s="161"/>
      <c r="H1259" s="161"/>
      <c r="I1259" s="166"/>
      <c r="J1259" s="162"/>
      <c r="K1259" s="161"/>
      <c r="L1259" s="161"/>
      <c r="M1259" s="169"/>
      <c r="N1259" s="163" t="str">
        <f t="shared" si="23"/>
        <v/>
      </c>
      <c r="O1259" s="41"/>
      <c r="P1259" s="41"/>
      <c r="Q1259" s="161" t="str">
        <f>+IF(OR(O1259="Fire Control",O1259="Fire Tex 5062",O1259="Fire Tex 5090",O1259="Fire Tex 5120"),'CALCULO PINTURA'!P1260," ")</f>
        <v xml:space="preserve"> </v>
      </c>
      <c r="R1259" s="164" t="str">
        <f>+IF(OR(O1259="Fire Control",O1259="Fire Tex 5062",O1259="Fire Tex 5090",O1259="Fire Tex 5120"),'CALCULO PINTURA'!R1260," ")</f>
        <v xml:space="preserve"> </v>
      </c>
      <c r="S1259" s="164" t="str">
        <f>+IF(OR(O1259="Fire Control",O1259="Fire Tex 5062",O1259="Fire Tex 5090",O1259="Fire Tex 5120"),'CALCULO PINTURA'!S1260," ")</f>
        <v xml:space="preserve"> </v>
      </c>
      <c r="T1259" s="874" t="str">
        <f>+IF(OR(O1259="Blaze Shield II",O1259="Cafco 400",O1259="Cafco 300"),'CALCULO MORTERO'!N1265," ")</f>
        <v xml:space="preserve"> </v>
      </c>
      <c r="U1259" s="875" t="str">
        <f>+IF(OR(O1259="Blaze Shield II",O1259="Cafco 400",O1259="Cafco 300"),'CALCULO MORTERO'!O1265," ")</f>
        <v xml:space="preserve"> </v>
      </c>
      <c r="V1259" s="161" t="str" cm="1">
        <f t="array" ref="V1259">_xlfn.IFS(O1259="Blaze Shield II",'CALCULO MORTERO'!P1260, O1259="Cafco 400",'CALCULO MORTERO'!Q1260,O1259="Cafco 300",'CALCULO MORTERO'!S1260, AND(OR(O1259="Fire tex 5090", O1259="Fire Tex 5062", O1259="Fire Tex 5120", O1259="Fire Control"),Q1259&gt;0), "CERT.",TRUE,"-")</f>
        <v>-</v>
      </c>
    </row>
    <row r="1260" spans="1:22" x14ac:dyDescent="0.25">
      <c r="A1260" s="168"/>
      <c r="B1260" s="876"/>
      <c r="C1260" s="161"/>
      <c r="D1260" s="161"/>
      <c r="E1260" s="161"/>
      <c r="F1260" s="161"/>
      <c r="G1260" s="161"/>
      <c r="H1260" s="161"/>
      <c r="I1260" s="166"/>
      <c r="J1260" s="162"/>
      <c r="K1260" s="161"/>
      <c r="L1260" s="161"/>
      <c r="M1260" s="169"/>
      <c r="N1260" s="163" t="str">
        <f t="shared" si="23"/>
        <v/>
      </c>
      <c r="O1260" s="41"/>
      <c r="P1260" s="41"/>
      <c r="Q1260" s="161" t="str">
        <f>+IF(OR(O1260="Fire Control",O1260="Fire Tex 5062",O1260="Fire Tex 5090",O1260="Fire Tex 5120"),'CALCULO PINTURA'!P1261," ")</f>
        <v xml:space="preserve"> </v>
      </c>
      <c r="R1260" s="164" t="str">
        <f>+IF(OR(O1260="Fire Control",O1260="Fire Tex 5062",O1260="Fire Tex 5090",O1260="Fire Tex 5120"),'CALCULO PINTURA'!R1261," ")</f>
        <v xml:space="preserve"> </v>
      </c>
      <c r="S1260" s="164" t="str">
        <f>+IF(OR(O1260="Fire Control",O1260="Fire Tex 5062",O1260="Fire Tex 5090",O1260="Fire Tex 5120"),'CALCULO PINTURA'!S1261," ")</f>
        <v xml:space="preserve"> </v>
      </c>
      <c r="T1260" s="874" t="str">
        <f>+IF(OR(O1260="Blaze Shield II",O1260="Cafco 400",O1260="Cafco 300"),'CALCULO MORTERO'!N1266," ")</f>
        <v xml:space="preserve"> </v>
      </c>
      <c r="U1260" s="875" t="str">
        <f>+IF(OR(O1260="Blaze Shield II",O1260="Cafco 400",O1260="Cafco 300"),'CALCULO MORTERO'!O1266," ")</f>
        <v xml:space="preserve"> </v>
      </c>
      <c r="V1260" s="161" t="str" cm="1">
        <f t="array" ref="V1260">_xlfn.IFS(O1260="Blaze Shield II",'CALCULO MORTERO'!P1261, O1260="Cafco 400",'CALCULO MORTERO'!Q1261,O1260="Cafco 300",'CALCULO MORTERO'!S1261, AND(OR(O1260="Fire tex 5090", O1260="Fire Tex 5062", O1260="Fire Tex 5120", O1260="Fire Control"),Q1260&gt;0), "CERT.",TRUE,"-")</f>
        <v>-</v>
      </c>
    </row>
    <row r="1261" spans="1:22" x14ac:dyDescent="0.25">
      <c r="A1261" s="168"/>
      <c r="B1261" s="876"/>
      <c r="C1261" s="161"/>
      <c r="D1261" s="161"/>
      <c r="E1261" s="161"/>
      <c r="F1261" s="161"/>
      <c r="G1261" s="161"/>
      <c r="H1261" s="161"/>
      <c r="I1261" s="166"/>
      <c r="J1261" s="162"/>
      <c r="K1261" s="161"/>
      <c r="L1261" s="161"/>
      <c r="M1261" s="169"/>
      <c r="N1261" s="163" t="str">
        <f t="shared" si="23"/>
        <v/>
      </c>
      <c r="O1261" s="41"/>
      <c r="P1261" s="41"/>
      <c r="Q1261" s="161" t="str">
        <f>+IF(OR(O1261="Fire Control",O1261="Fire Tex 5062",O1261="Fire Tex 5090",O1261="Fire Tex 5120"),'CALCULO PINTURA'!P1262," ")</f>
        <v xml:space="preserve"> </v>
      </c>
      <c r="R1261" s="164" t="str">
        <f>+IF(OR(O1261="Fire Control",O1261="Fire Tex 5062",O1261="Fire Tex 5090",O1261="Fire Tex 5120"),'CALCULO PINTURA'!R1262," ")</f>
        <v xml:space="preserve"> </v>
      </c>
      <c r="S1261" s="164" t="str">
        <f>+IF(OR(O1261="Fire Control",O1261="Fire Tex 5062",O1261="Fire Tex 5090",O1261="Fire Tex 5120"),'CALCULO PINTURA'!S1262," ")</f>
        <v xml:space="preserve"> </v>
      </c>
      <c r="T1261" s="874" t="str">
        <f>+IF(OR(O1261="Blaze Shield II",O1261="Cafco 400",O1261="Cafco 300"),'CALCULO MORTERO'!N1267," ")</f>
        <v xml:space="preserve"> </v>
      </c>
      <c r="U1261" s="875" t="str">
        <f>+IF(OR(O1261="Blaze Shield II",O1261="Cafco 400",O1261="Cafco 300"),'CALCULO MORTERO'!O1267," ")</f>
        <v xml:space="preserve"> </v>
      </c>
      <c r="V1261" s="161" t="str" cm="1">
        <f t="array" ref="V1261">_xlfn.IFS(O1261="Blaze Shield II",'CALCULO MORTERO'!P1262, O1261="Cafco 400",'CALCULO MORTERO'!Q1262,O1261="Cafco 300",'CALCULO MORTERO'!S1262, AND(OR(O1261="Fire tex 5090", O1261="Fire Tex 5062", O1261="Fire Tex 5120", O1261="Fire Control"),Q1261&gt;0), "CERT.",TRUE,"-")</f>
        <v>-</v>
      </c>
    </row>
    <row r="1262" spans="1:22" x14ac:dyDescent="0.25">
      <c r="A1262" s="168"/>
      <c r="B1262" s="876"/>
      <c r="C1262" s="161"/>
      <c r="D1262" s="161"/>
      <c r="E1262" s="161"/>
      <c r="F1262" s="161"/>
      <c r="G1262" s="161"/>
      <c r="H1262" s="161"/>
      <c r="I1262" s="166"/>
      <c r="J1262" s="162"/>
      <c r="K1262" s="161"/>
      <c r="L1262" s="161"/>
      <c r="M1262" s="163"/>
      <c r="N1262" s="163" t="str">
        <f t="shared" si="23"/>
        <v/>
      </c>
      <c r="O1262" s="41"/>
      <c r="P1262" s="41"/>
      <c r="Q1262" s="161" t="str">
        <f>+IF(OR(O1262="Fire Control",O1262="Fire Tex 5062",O1262="Fire Tex 5090",O1262="Fire Tex 5120"),'CALCULO PINTURA'!P1263," ")</f>
        <v xml:space="preserve"> </v>
      </c>
      <c r="R1262" s="164" t="str">
        <f>+IF(OR(O1262="Fire Control",O1262="Fire Tex 5062",O1262="Fire Tex 5090",O1262="Fire Tex 5120"),'CALCULO PINTURA'!R1263," ")</f>
        <v xml:space="preserve"> </v>
      </c>
      <c r="S1262" s="164" t="str">
        <f>+IF(OR(O1262="Fire Control",O1262="Fire Tex 5062",O1262="Fire Tex 5090",O1262="Fire Tex 5120"),'CALCULO PINTURA'!S1263," ")</f>
        <v xml:space="preserve"> </v>
      </c>
      <c r="T1262" s="874" t="str">
        <f>+IF(OR(O1262="Blaze Shield II",O1262="Cafco 400",O1262="Cafco 300"),'CALCULO MORTERO'!N1268," ")</f>
        <v xml:space="preserve"> </v>
      </c>
      <c r="U1262" s="875" t="str">
        <f>+IF(OR(O1262="Blaze Shield II",O1262="Cafco 400",O1262="Cafco 300"),'CALCULO MORTERO'!O1268," ")</f>
        <v xml:space="preserve"> </v>
      </c>
      <c r="V1262" s="161" t="str" cm="1">
        <f t="array" ref="V1262">_xlfn.IFS(O1262="Blaze Shield II",'CALCULO MORTERO'!P1263, O1262="Cafco 400",'CALCULO MORTERO'!Q1263,O1262="Cafco 300",'CALCULO MORTERO'!S1263, AND(OR(O1262="Fire tex 5090", O1262="Fire Tex 5062", O1262="Fire Tex 5120", O1262="Fire Control"),Q1262&gt;0), "CERT.",TRUE,"-")</f>
        <v>-</v>
      </c>
    </row>
    <row r="1263" spans="1:22" x14ac:dyDescent="0.25">
      <c r="A1263" s="168"/>
      <c r="B1263" s="876"/>
      <c r="C1263" s="161"/>
      <c r="D1263" s="161"/>
      <c r="E1263" s="161"/>
      <c r="F1263" s="161"/>
      <c r="G1263" s="161"/>
      <c r="H1263" s="161"/>
      <c r="I1263" s="166"/>
      <c r="J1263" s="162"/>
      <c r="K1263" s="161"/>
      <c r="L1263" s="161"/>
      <c r="M1263" s="169"/>
      <c r="N1263" s="163" t="str">
        <f t="shared" si="23"/>
        <v/>
      </c>
      <c r="O1263" s="41"/>
      <c r="P1263" s="41"/>
      <c r="Q1263" s="161" t="str">
        <f>+IF(OR(O1263="Fire Control",O1263="Fire Tex 5062",O1263="Fire Tex 5090",O1263="Fire Tex 5120"),'CALCULO PINTURA'!P1264," ")</f>
        <v xml:space="preserve"> </v>
      </c>
      <c r="R1263" s="164" t="str">
        <f>+IF(OR(O1263="Fire Control",O1263="Fire Tex 5062",O1263="Fire Tex 5090",O1263="Fire Tex 5120"),'CALCULO PINTURA'!R1264," ")</f>
        <v xml:space="preserve"> </v>
      </c>
      <c r="S1263" s="164" t="str">
        <f>+IF(OR(O1263="Fire Control",O1263="Fire Tex 5062",O1263="Fire Tex 5090",O1263="Fire Tex 5120"),'CALCULO PINTURA'!S1264," ")</f>
        <v xml:space="preserve"> </v>
      </c>
      <c r="T1263" s="874" t="str">
        <f>+IF(OR(O1263="Blaze Shield II",O1263="Cafco 400",O1263="Cafco 300"),'CALCULO MORTERO'!N1269," ")</f>
        <v xml:space="preserve"> </v>
      </c>
      <c r="U1263" s="875" t="str">
        <f>+IF(OR(O1263="Blaze Shield II",O1263="Cafco 400",O1263="Cafco 300"),'CALCULO MORTERO'!O1269," ")</f>
        <v xml:space="preserve"> </v>
      </c>
      <c r="V1263" s="161" t="str" cm="1">
        <f t="array" ref="V1263">_xlfn.IFS(O1263="Blaze Shield II",'CALCULO MORTERO'!P1264, O1263="Cafco 400",'CALCULO MORTERO'!Q1264,O1263="Cafco 300",'CALCULO MORTERO'!S1264, AND(OR(O1263="Fire tex 5090", O1263="Fire Tex 5062", O1263="Fire Tex 5120", O1263="Fire Control"),Q1263&gt;0), "CERT.",TRUE,"-")</f>
        <v>-</v>
      </c>
    </row>
    <row r="1264" spans="1:22" x14ac:dyDescent="0.25">
      <c r="A1264" s="168"/>
      <c r="B1264" s="876"/>
      <c r="C1264" s="161"/>
      <c r="D1264" s="161"/>
      <c r="E1264" s="161"/>
      <c r="F1264" s="41"/>
      <c r="G1264" s="161"/>
      <c r="H1264" s="161"/>
      <c r="I1264" s="166"/>
      <c r="J1264" s="162"/>
      <c r="K1264" s="161"/>
      <c r="L1264" s="161"/>
      <c r="M1264" s="169"/>
      <c r="N1264" s="163" t="str">
        <f t="shared" si="23"/>
        <v/>
      </c>
      <c r="O1264" s="41"/>
      <c r="P1264" s="41"/>
      <c r="Q1264" s="161" t="str">
        <f>+IF(OR(O1264="Fire Control",O1264="Fire Tex 5062",O1264="Fire Tex 5090",O1264="Fire Tex 5120"),'CALCULO PINTURA'!P1265," ")</f>
        <v xml:space="preserve"> </v>
      </c>
      <c r="R1264" s="164" t="str">
        <f>+IF(OR(O1264="Fire Control",O1264="Fire Tex 5062",O1264="Fire Tex 5090",O1264="Fire Tex 5120"),'CALCULO PINTURA'!R1265," ")</f>
        <v xml:space="preserve"> </v>
      </c>
      <c r="S1264" s="164" t="str">
        <f>+IF(OR(O1264="Fire Control",O1264="Fire Tex 5062",O1264="Fire Tex 5090",O1264="Fire Tex 5120"),'CALCULO PINTURA'!S1265," ")</f>
        <v xml:space="preserve"> </v>
      </c>
      <c r="T1264" s="874" t="str">
        <f>+IF(OR(O1264="Blaze Shield II",O1264="Cafco 400",O1264="Cafco 300"),'CALCULO MORTERO'!N1270," ")</f>
        <v xml:space="preserve"> </v>
      </c>
      <c r="U1264" s="875" t="str">
        <f>+IF(OR(O1264="Blaze Shield II",O1264="Cafco 400",O1264="Cafco 300"),'CALCULO MORTERO'!O1270," ")</f>
        <v xml:space="preserve"> </v>
      </c>
      <c r="V1264" s="161" t="str" cm="1">
        <f t="array" ref="V1264">_xlfn.IFS(O1264="Blaze Shield II",'CALCULO MORTERO'!P1265, O1264="Cafco 400",'CALCULO MORTERO'!Q1265,O1264="Cafco 300",'CALCULO MORTERO'!S1265, AND(OR(O1264="Fire tex 5090", O1264="Fire Tex 5062", O1264="Fire Tex 5120", O1264="Fire Control"),Q1264&gt;0), "CERT.",TRUE,"-")</f>
        <v>-</v>
      </c>
    </row>
    <row r="1265" spans="1:22" x14ac:dyDescent="0.25">
      <c r="A1265" s="168"/>
      <c r="B1265" s="876"/>
      <c r="C1265" s="161"/>
      <c r="D1265" s="161"/>
      <c r="E1265" s="161"/>
      <c r="F1265" s="41"/>
      <c r="G1265" s="161"/>
      <c r="H1265" s="161"/>
      <c r="I1265" s="166"/>
      <c r="J1265" s="162"/>
      <c r="K1265" s="161"/>
      <c r="L1265" s="161"/>
      <c r="M1265" s="169"/>
      <c r="N1265" s="163" t="str">
        <f t="shared" si="23"/>
        <v/>
      </c>
      <c r="O1265" s="41"/>
      <c r="P1265" s="41"/>
      <c r="Q1265" s="161" t="str">
        <f>+IF(OR(O1265="Fire Control",O1265="Fire Tex 5062",O1265="Fire Tex 5090",O1265="Fire Tex 5120"),'CALCULO PINTURA'!P1266," ")</f>
        <v xml:space="preserve"> </v>
      </c>
      <c r="R1265" s="164" t="str">
        <f>+IF(OR(O1265="Fire Control",O1265="Fire Tex 5062",O1265="Fire Tex 5090",O1265="Fire Tex 5120"),'CALCULO PINTURA'!R1266," ")</f>
        <v xml:space="preserve"> </v>
      </c>
      <c r="S1265" s="164" t="str">
        <f>+IF(OR(O1265="Fire Control",O1265="Fire Tex 5062",O1265="Fire Tex 5090",O1265="Fire Tex 5120"),'CALCULO PINTURA'!S1266," ")</f>
        <v xml:space="preserve"> </v>
      </c>
      <c r="T1265" s="874" t="str">
        <f>+IF(OR(O1265="Blaze Shield II",O1265="Cafco 400",O1265="Cafco 300"),'CALCULO MORTERO'!N1271," ")</f>
        <v xml:space="preserve"> </v>
      </c>
      <c r="U1265" s="875" t="str">
        <f>+IF(OR(O1265="Blaze Shield II",O1265="Cafco 400",O1265="Cafco 300"),'CALCULO MORTERO'!O1271," ")</f>
        <v xml:space="preserve"> </v>
      </c>
      <c r="V1265" s="161" t="str" cm="1">
        <f t="array" ref="V1265">_xlfn.IFS(O1265="Blaze Shield II",'CALCULO MORTERO'!P1266, O1265="Cafco 400",'CALCULO MORTERO'!Q1266,O1265="Cafco 300",'CALCULO MORTERO'!S1266, AND(OR(O1265="Fire tex 5090", O1265="Fire Tex 5062", O1265="Fire Tex 5120", O1265="Fire Control"),Q1265&gt;0), "CERT.",TRUE,"-")</f>
        <v>-</v>
      </c>
    </row>
    <row r="1266" spans="1:22" x14ac:dyDescent="0.25">
      <c r="A1266" s="168"/>
      <c r="B1266" s="876"/>
      <c r="C1266" s="161"/>
      <c r="D1266" s="161"/>
      <c r="E1266" s="161"/>
      <c r="F1266" s="41"/>
      <c r="G1266" s="161"/>
      <c r="H1266" s="161"/>
      <c r="I1266" s="166"/>
      <c r="J1266" s="162"/>
      <c r="K1266" s="161"/>
      <c r="L1266" s="161"/>
      <c r="M1266" s="169"/>
      <c r="N1266" s="163" t="str">
        <f t="shared" si="23"/>
        <v/>
      </c>
      <c r="O1266" s="41"/>
      <c r="P1266" s="41"/>
      <c r="Q1266" s="161" t="str">
        <f>+IF(OR(O1266="Fire Control",O1266="Fire Tex 5062",O1266="Fire Tex 5090",O1266="Fire Tex 5120"),'CALCULO PINTURA'!P1267," ")</f>
        <v xml:space="preserve"> </v>
      </c>
      <c r="R1266" s="164" t="str">
        <f>+IF(OR(O1266="Fire Control",O1266="Fire Tex 5062",O1266="Fire Tex 5090",O1266="Fire Tex 5120"),'CALCULO PINTURA'!R1267," ")</f>
        <v xml:space="preserve"> </v>
      </c>
      <c r="S1266" s="164" t="str">
        <f>+IF(OR(O1266="Fire Control",O1266="Fire Tex 5062",O1266="Fire Tex 5090",O1266="Fire Tex 5120"),'CALCULO PINTURA'!S1267," ")</f>
        <v xml:space="preserve"> </v>
      </c>
      <c r="T1266" s="874" t="str">
        <f>+IF(OR(O1266="Blaze Shield II",O1266="Cafco 400",O1266="Cafco 300"),'CALCULO MORTERO'!N1272," ")</f>
        <v xml:space="preserve"> </v>
      </c>
      <c r="U1266" s="875" t="str">
        <f>+IF(OR(O1266="Blaze Shield II",O1266="Cafco 400",O1266="Cafco 300"),'CALCULO MORTERO'!O1272," ")</f>
        <v xml:space="preserve"> </v>
      </c>
      <c r="V1266" s="161" t="str" cm="1">
        <f t="array" ref="V1266">_xlfn.IFS(O1266="Blaze Shield II",'CALCULO MORTERO'!P1267, O1266="Cafco 400",'CALCULO MORTERO'!Q1267,O1266="Cafco 300",'CALCULO MORTERO'!S1267, AND(OR(O1266="Fire tex 5090", O1266="Fire Tex 5062", O1266="Fire Tex 5120", O1266="Fire Control"),Q1266&gt;0), "CERT.",TRUE,"-")</f>
        <v>-</v>
      </c>
    </row>
    <row r="1267" spans="1:22" x14ac:dyDescent="0.25">
      <c r="A1267" s="168"/>
      <c r="B1267" s="876"/>
      <c r="C1267" s="161"/>
      <c r="D1267" s="161"/>
      <c r="E1267" s="161"/>
      <c r="F1267" s="41"/>
      <c r="G1267" s="161"/>
      <c r="H1267" s="161"/>
      <c r="I1267" s="166"/>
      <c r="J1267" s="162"/>
      <c r="K1267" s="161"/>
      <c r="L1267" s="161"/>
      <c r="M1267" s="169"/>
      <c r="N1267" s="163" t="str">
        <f t="shared" si="23"/>
        <v/>
      </c>
      <c r="O1267" s="41"/>
      <c r="P1267" s="41"/>
      <c r="Q1267" s="161" t="str">
        <f>+IF(OR(O1267="Fire Control",O1267="Fire Tex 5062",O1267="Fire Tex 5090",O1267="Fire Tex 5120"),'CALCULO PINTURA'!P1268," ")</f>
        <v xml:space="preserve"> </v>
      </c>
      <c r="R1267" s="164" t="str">
        <f>+IF(OR(O1267="Fire Control",O1267="Fire Tex 5062",O1267="Fire Tex 5090",O1267="Fire Tex 5120"),'CALCULO PINTURA'!R1268," ")</f>
        <v xml:space="preserve"> </v>
      </c>
      <c r="S1267" s="164" t="str">
        <f>+IF(OR(O1267="Fire Control",O1267="Fire Tex 5062",O1267="Fire Tex 5090",O1267="Fire Tex 5120"),'CALCULO PINTURA'!S1268," ")</f>
        <v xml:space="preserve"> </v>
      </c>
      <c r="T1267" s="874" t="str">
        <f>+IF(OR(O1267="Blaze Shield II",O1267="Cafco 400",O1267="Cafco 300"),'CALCULO MORTERO'!N1273," ")</f>
        <v xml:space="preserve"> </v>
      </c>
      <c r="U1267" s="875" t="str">
        <f>+IF(OR(O1267="Blaze Shield II",O1267="Cafco 400",O1267="Cafco 300"),'CALCULO MORTERO'!O1273," ")</f>
        <v xml:space="preserve"> </v>
      </c>
      <c r="V1267" s="161" t="str" cm="1">
        <f t="array" ref="V1267">_xlfn.IFS(O1267="Blaze Shield II",'CALCULO MORTERO'!P1268, O1267="Cafco 400",'CALCULO MORTERO'!Q1268,O1267="Cafco 300",'CALCULO MORTERO'!S1268, AND(OR(O1267="Fire tex 5090", O1267="Fire Tex 5062", O1267="Fire Tex 5120", O1267="Fire Control"),Q1267&gt;0), "CERT.",TRUE,"-")</f>
        <v>-</v>
      </c>
    </row>
    <row r="1268" spans="1:22" x14ac:dyDescent="0.25">
      <c r="A1268" s="168"/>
      <c r="B1268" s="876"/>
      <c r="C1268" s="161"/>
      <c r="D1268" s="161"/>
      <c r="E1268" s="161"/>
      <c r="F1268" s="41"/>
      <c r="G1268" s="161"/>
      <c r="H1268" s="161"/>
      <c r="I1268" s="166"/>
      <c r="J1268" s="162"/>
      <c r="K1268" s="161"/>
      <c r="L1268" s="161"/>
      <c r="M1268" s="169"/>
      <c r="N1268" s="163" t="str">
        <f t="shared" si="23"/>
        <v/>
      </c>
      <c r="O1268" s="41"/>
      <c r="P1268" s="41"/>
      <c r="Q1268" s="161" t="str">
        <f>+IF(OR(O1268="Fire Control",O1268="Fire Tex 5062",O1268="Fire Tex 5090",O1268="Fire Tex 5120"),'CALCULO PINTURA'!P1269," ")</f>
        <v xml:space="preserve"> </v>
      </c>
      <c r="R1268" s="164" t="str">
        <f>+IF(OR(O1268="Fire Control",O1268="Fire Tex 5062",O1268="Fire Tex 5090",O1268="Fire Tex 5120"),'CALCULO PINTURA'!R1269," ")</f>
        <v xml:space="preserve"> </v>
      </c>
      <c r="S1268" s="164" t="str">
        <f>+IF(OR(O1268="Fire Control",O1268="Fire Tex 5062",O1268="Fire Tex 5090",O1268="Fire Tex 5120"),'CALCULO PINTURA'!S1269," ")</f>
        <v xml:space="preserve"> </v>
      </c>
      <c r="T1268" s="874" t="str">
        <f>+IF(OR(O1268="Blaze Shield II",O1268="Cafco 400",O1268="Cafco 300"),'CALCULO MORTERO'!N1274," ")</f>
        <v xml:space="preserve"> </v>
      </c>
      <c r="U1268" s="875" t="str">
        <f>+IF(OR(O1268="Blaze Shield II",O1268="Cafco 400",O1268="Cafco 300"),'CALCULO MORTERO'!O1274," ")</f>
        <v xml:space="preserve"> </v>
      </c>
      <c r="V1268" s="161" t="str" cm="1">
        <f t="array" ref="V1268">_xlfn.IFS(O1268="Blaze Shield II",'CALCULO MORTERO'!P1269, O1268="Cafco 400",'CALCULO MORTERO'!Q1269,O1268="Cafco 300",'CALCULO MORTERO'!S1269, AND(OR(O1268="Fire tex 5090", O1268="Fire Tex 5062", O1268="Fire Tex 5120", O1268="Fire Control"),Q1268&gt;0), "CERT.",TRUE,"-")</f>
        <v>-</v>
      </c>
    </row>
    <row r="1269" spans="1:22" x14ac:dyDescent="0.25">
      <c r="A1269" s="168"/>
      <c r="B1269" s="876"/>
      <c r="C1269" s="161"/>
      <c r="D1269" s="161"/>
      <c r="E1269" s="161"/>
      <c r="F1269" s="161"/>
      <c r="G1269" s="161"/>
      <c r="H1269" s="161"/>
      <c r="I1269" s="166"/>
      <c r="J1269" s="162"/>
      <c r="K1269" s="161"/>
      <c r="L1269" s="161"/>
      <c r="M1269" s="169"/>
      <c r="N1269" s="163" t="str">
        <f t="shared" si="23"/>
        <v/>
      </c>
      <c r="O1269" s="41"/>
      <c r="P1269" s="41"/>
      <c r="Q1269" s="161" t="str">
        <f>+IF(OR(O1269="Fire Control",O1269="Fire Tex 5062",O1269="Fire Tex 5090",O1269="Fire Tex 5120"),'CALCULO PINTURA'!P1270," ")</f>
        <v xml:space="preserve"> </v>
      </c>
      <c r="R1269" s="164" t="str">
        <f>+IF(OR(O1269="Fire Control",O1269="Fire Tex 5062",O1269="Fire Tex 5090",O1269="Fire Tex 5120"),'CALCULO PINTURA'!R1270," ")</f>
        <v xml:space="preserve"> </v>
      </c>
      <c r="S1269" s="164" t="str">
        <f>+IF(OR(O1269="Fire Control",O1269="Fire Tex 5062",O1269="Fire Tex 5090",O1269="Fire Tex 5120"),'CALCULO PINTURA'!S1270," ")</f>
        <v xml:space="preserve"> </v>
      </c>
      <c r="T1269" s="874" t="str">
        <f>+IF(OR(O1269="Blaze Shield II",O1269="Cafco 400",O1269="Cafco 300"),'CALCULO MORTERO'!N1275," ")</f>
        <v xml:space="preserve"> </v>
      </c>
      <c r="U1269" s="875" t="str">
        <f>+IF(OR(O1269="Blaze Shield II",O1269="Cafco 400",O1269="Cafco 300"),'CALCULO MORTERO'!O1275," ")</f>
        <v xml:space="preserve"> </v>
      </c>
      <c r="V1269" s="161" t="str" cm="1">
        <f t="array" ref="V1269">_xlfn.IFS(O1269="Blaze Shield II",'CALCULO MORTERO'!P1270, O1269="Cafco 400",'CALCULO MORTERO'!Q1270,O1269="Cafco 300",'CALCULO MORTERO'!S1270, AND(OR(O1269="Fire tex 5090", O1269="Fire Tex 5062", O1269="Fire Tex 5120", O1269="Fire Control"),Q1269&gt;0), "CERT.",TRUE,"-")</f>
        <v>-</v>
      </c>
    </row>
    <row r="1270" spans="1:22" x14ac:dyDescent="0.25">
      <c r="A1270" s="168"/>
      <c r="B1270" s="876"/>
      <c r="C1270" s="161"/>
      <c r="D1270" s="161"/>
      <c r="E1270" s="161"/>
      <c r="F1270" s="161"/>
      <c r="G1270" s="161"/>
      <c r="H1270" s="161"/>
      <c r="I1270" s="166"/>
      <c r="J1270" s="162"/>
      <c r="K1270" s="161"/>
      <c r="L1270" s="161"/>
      <c r="M1270" s="163"/>
      <c r="N1270" s="163" t="str">
        <f t="shared" si="23"/>
        <v/>
      </c>
      <c r="O1270" s="41"/>
      <c r="P1270" s="41"/>
      <c r="Q1270" s="161" t="str">
        <f>+IF(OR(O1270="Fire Control",O1270="Fire Tex 5062",O1270="Fire Tex 5090",O1270="Fire Tex 5120"),'CALCULO PINTURA'!P1271," ")</f>
        <v xml:space="preserve"> </v>
      </c>
      <c r="R1270" s="164" t="str">
        <f>+IF(OR(O1270="Fire Control",O1270="Fire Tex 5062",O1270="Fire Tex 5090",O1270="Fire Tex 5120"),'CALCULO PINTURA'!R1271," ")</f>
        <v xml:space="preserve"> </v>
      </c>
      <c r="S1270" s="164" t="str">
        <f>+IF(OR(O1270="Fire Control",O1270="Fire Tex 5062",O1270="Fire Tex 5090",O1270="Fire Tex 5120"),'CALCULO PINTURA'!S1271," ")</f>
        <v xml:space="preserve"> </v>
      </c>
      <c r="T1270" s="874" t="str">
        <f>+IF(OR(O1270="Blaze Shield II",O1270="Cafco 400",O1270="Cafco 300"),'CALCULO MORTERO'!N1276," ")</f>
        <v xml:space="preserve"> </v>
      </c>
      <c r="U1270" s="875" t="str">
        <f>+IF(OR(O1270="Blaze Shield II",O1270="Cafco 400",O1270="Cafco 300"),'CALCULO MORTERO'!O1276," ")</f>
        <v xml:space="preserve"> </v>
      </c>
      <c r="V1270" s="161" t="str" cm="1">
        <f t="array" ref="V1270">_xlfn.IFS(O1270="Blaze Shield II",'CALCULO MORTERO'!P1271, O1270="Cafco 400",'CALCULO MORTERO'!Q1271,O1270="Cafco 300",'CALCULO MORTERO'!S1271, AND(OR(O1270="Fire tex 5090", O1270="Fire Tex 5062", O1270="Fire Tex 5120", O1270="Fire Control"),Q1270&gt;0), "CERT.",TRUE,"-")</f>
        <v>-</v>
      </c>
    </row>
    <row r="1271" spans="1:22" x14ac:dyDescent="0.25">
      <c r="A1271" s="168"/>
      <c r="B1271" s="876"/>
      <c r="C1271" s="161"/>
      <c r="D1271" s="161"/>
      <c r="E1271" s="161"/>
      <c r="F1271" s="41"/>
      <c r="G1271" s="161"/>
      <c r="H1271" s="161"/>
      <c r="I1271" s="166"/>
      <c r="J1271" s="162"/>
      <c r="K1271" s="161"/>
      <c r="L1271" s="161"/>
      <c r="M1271" s="169"/>
      <c r="N1271" s="163" t="str">
        <f t="shared" si="23"/>
        <v/>
      </c>
      <c r="O1271" s="41"/>
      <c r="P1271" s="41"/>
      <c r="Q1271" s="161" t="str">
        <f>+IF(OR(O1271="Fire Control",O1271="Fire Tex 5062",O1271="Fire Tex 5090",O1271="Fire Tex 5120"),'CALCULO PINTURA'!P1272," ")</f>
        <v xml:space="preserve"> </v>
      </c>
      <c r="R1271" s="164" t="str">
        <f>+IF(OR(O1271="Fire Control",O1271="Fire Tex 5062",O1271="Fire Tex 5090",O1271="Fire Tex 5120"),'CALCULO PINTURA'!R1272," ")</f>
        <v xml:space="preserve"> </v>
      </c>
      <c r="S1271" s="164" t="str">
        <f>+IF(OR(O1271="Fire Control",O1271="Fire Tex 5062",O1271="Fire Tex 5090",O1271="Fire Tex 5120"),'CALCULO PINTURA'!S1272," ")</f>
        <v xml:space="preserve"> </v>
      </c>
      <c r="T1271" s="874" t="str">
        <f>+IF(OR(O1271="Blaze Shield II",O1271="Cafco 400",O1271="Cafco 300"),'CALCULO MORTERO'!N1277," ")</f>
        <v xml:space="preserve"> </v>
      </c>
      <c r="U1271" s="875" t="str">
        <f>+IF(OR(O1271="Blaze Shield II",O1271="Cafco 400",O1271="Cafco 300"),'CALCULO MORTERO'!O1277," ")</f>
        <v xml:space="preserve"> </v>
      </c>
      <c r="V1271" s="161" t="str" cm="1">
        <f t="array" ref="V1271">_xlfn.IFS(O1271="Blaze Shield II",'CALCULO MORTERO'!P1272, O1271="Cafco 400",'CALCULO MORTERO'!Q1272,O1271="Cafco 300",'CALCULO MORTERO'!S1272, AND(OR(O1271="Fire tex 5090", O1271="Fire Tex 5062", O1271="Fire Tex 5120", O1271="Fire Control"),Q1271&gt;0), "CERT.",TRUE,"-")</f>
        <v>-</v>
      </c>
    </row>
    <row r="1272" spans="1:22" x14ac:dyDescent="0.25">
      <c r="A1272" s="168"/>
      <c r="B1272" s="876"/>
      <c r="C1272" s="161"/>
      <c r="D1272" s="161"/>
      <c r="E1272" s="161"/>
      <c r="F1272" s="41"/>
      <c r="G1272" s="161"/>
      <c r="H1272" s="161"/>
      <c r="I1272" s="166"/>
      <c r="J1272" s="162"/>
      <c r="K1272" s="161"/>
      <c r="L1272" s="161"/>
      <c r="M1272" s="169"/>
      <c r="N1272" s="163" t="str">
        <f t="shared" si="23"/>
        <v/>
      </c>
      <c r="O1272" s="41"/>
      <c r="P1272" s="41"/>
      <c r="Q1272" s="161" t="str">
        <f>+IF(OR(O1272="Fire Control",O1272="Fire Tex 5062",O1272="Fire Tex 5090",O1272="Fire Tex 5120"),'CALCULO PINTURA'!P1273," ")</f>
        <v xml:space="preserve"> </v>
      </c>
      <c r="R1272" s="164" t="str">
        <f>+IF(OR(O1272="Fire Control",O1272="Fire Tex 5062",O1272="Fire Tex 5090",O1272="Fire Tex 5120"),'CALCULO PINTURA'!R1273," ")</f>
        <v xml:space="preserve"> </v>
      </c>
      <c r="S1272" s="164" t="str">
        <f>+IF(OR(O1272="Fire Control",O1272="Fire Tex 5062",O1272="Fire Tex 5090",O1272="Fire Tex 5120"),'CALCULO PINTURA'!S1273," ")</f>
        <v xml:space="preserve"> </v>
      </c>
      <c r="T1272" s="874" t="str">
        <f>+IF(OR(O1272="Blaze Shield II",O1272="Cafco 400",O1272="Cafco 300"),'CALCULO MORTERO'!N1278," ")</f>
        <v xml:space="preserve"> </v>
      </c>
      <c r="U1272" s="875" t="str">
        <f>+IF(OR(O1272="Blaze Shield II",O1272="Cafco 400",O1272="Cafco 300"),'CALCULO MORTERO'!O1278," ")</f>
        <v xml:space="preserve"> </v>
      </c>
      <c r="V1272" s="161" t="str" cm="1">
        <f t="array" ref="V1272">_xlfn.IFS(O1272="Blaze Shield II",'CALCULO MORTERO'!P1273, O1272="Cafco 400",'CALCULO MORTERO'!Q1273,O1272="Cafco 300",'CALCULO MORTERO'!S1273, AND(OR(O1272="Fire tex 5090", O1272="Fire Tex 5062", O1272="Fire Tex 5120", O1272="Fire Control"),Q1272&gt;0), "CERT.",TRUE,"-")</f>
        <v>-</v>
      </c>
    </row>
    <row r="1273" spans="1:22" x14ac:dyDescent="0.25">
      <c r="A1273" s="168"/>
      <c r="B1273" s="876"/>
      <c r="C1273" s="161"/>
      <c r="D1273" s="161"/>
      <c r="E1273" s="161"/>
      <c r="F1273" s="41"/>
      <c r="G1273" s="161"/>
      <c r="H1273" s="161"/>
      <c r="I1273" s="166"/>
      <c r="J1273" s="162"/>
      <c r="K1273" s="161"/>
      <c r="L1273" s="161"/>
      <c r="M1273" s="169"/>
      <c r="N1273" s="163" t="str">
        <f t="shared" si="23"/>
        <v/>
      </c>
      <c r="O1273" s="41"/>
      <c r="P1273" s="41"/>
      <c r="Q1273" s="161" t="str">
        <f>+IF(OR(O1273="Fire Control",O1273="Fire Tex 5062",O1273="Fire Tex 5090",O1273="Fire Tex 5120"),'CALCULO PINTURA'!P1274," ")</f>
        <v xml:space="preserve"> </v>
      </c>
      <c r="R1273" s="164" t="str">
        <f>+IF(OR(O1273="Fire Control",O1273="Fire Tex 5062",O1273="Fire Tex 5090",O1273="Fire Tex 5120"),'CALCULO PINTURA'!R1274," ")</f>
        <v xml:space="preserve"> </v>
      </c>
      <c r="S1273" s="164" t="str">
        <f>+IF(OR(O1273="Fire Control",O1273="Fire Tex 5062",O1273="Fire Tex 5090",O1273="Fire Tex 5120"),'CALCULO PINTURA'!S1274," ")</f>
        <v xml:space="preserve"> </v>
      </c>
      <c r="T1273" s="874" t="str">
        <f>+IF(OR(O1273="Blaze Shield II",O1273="Cafco 400",O1273="Cafco 300"),'CALCULO MORTERO'!N1279," ")</f>
        <v xml:space="preserve"> </v>
      </c>
      <c r="U1273" s="875" t="str">
        <f>+IF(OR(O1273="Blaze Shield II",O1273="Cafco 400",O1273="Cafco 300"),'CALCULO MORTERO'!O1279," ")</f>
        <v xml:space="preserve"> </v>
      </c>
      <c r="V1273" s="161" t="str" cm="1">
        <f t="array" ref="V1273">_xlfn.IFS(O1273="Blaze Shield II",'CALCULO MORTERO'!P1274, O1273="Cafco 400",'CALCULO MORTERO'!Q1274,O1273="Cafco 300",'CALCULO MORTERO'!S1274, AND(OR(O1273="Fire tex 5090", O1273="Fire Tex 5062", O1273="Fire Tex 5120", O1273="Fire Control"),Q1273&gt;0), "CERT.",TRUE,"-")</f>
        <v>-</v>
      </c>
    </row>
    <row r="1274" spans="1:22" x14ac:dyDescent="0.25">
      <c r="A1274" s="168"/>
      <c r="B1274" s="876"/>
      <c r="C1274" s="161"/>
      <c r="D1274" s="161"/>
      <c r="E1274" s="161"/>
      <c r="F1274" s="41"/>
      <c r="G1274" s="161"/>
      <c r="H1274" s="161"/>
      <c r="I1274" s="166"/>
      <c r="J1274" s="162"/>
      <c r="K1274" s="161"/>
      <c r="L1274" s="161"/>
      <c r="M1274" s="169"/>
      <c r="N1274" s="163" t="str">
        <f t="shared" si="23"/>
        <v/>
      </c>
      <c r="O1274" s="41"/>
      <c r="P1274" s="41"/>
      <c r="Q1274" s="161" t="str">
        <f>+IF(OR(O1274="Fire Control",O1274="Fire Tex 5062",O1274="Fire Tex 5090",O1274="Fire Tex 5120"),'CALCULO PINTURA'!P1275," ")</f>
        <v xml:space="preserve"> </v>
      </c>
      <c r="R1274" s="164" t="str">
        <f>+IF(OR(O1274="Fire Control",O1274="Fire Tex 5062",O1274="Fire Tex 5090",O1274="Fire Tex 5120"),'CALCULO PINTURA'!R1275," ")</f>
        <v xml:space="preserve"> </v>
      </c>
      <c r="S1274" s="164" t="str">
        <f>+IF(OR(O1274="Fire Control",O1274="Fire Tex 5062",O1274="Fire Tex 5090",O1274="Fire Tex 5120"),'CALCULO PINTURA'!S1275," ")</f>
        <v xml:space="preserve"> </v>
      </c>
      <c r="T1274" s="874" t="str">
        <f>+IF(OR(O1274="Blaze Shield II",O1274="Cafco 400",O1274="Cafco 300"),'CALCULO MORTERO'!N1280," ")</f>
        <v xml:space="preserve"> </v>
      </c>
      <c r="U1274" s="875" t="str">
        <f>+IF(OR(O1274="Blaze Shield II",O1274="Cafco 400",O1274="Cafco 300"),'CALCULO MORTERO'!O1280," ")</f>
        <v xml:space="preserve"> </v>
      </c>
      <c r="V1274" s="161" t="str" cm="1">
        <f t="array" ref="V1274">_xlfn.IFS(O1274="Blaze Shield II",'CALCULO MORTERO'!P1275, O1274="Cafco 400",'CALCULO MORTERO'!Q1275,O1274="Cafco 300",'CALCULO MORTERO'!S1275, AND(OR(O1274="Fire tex 5090", O1274="Fire Tex 5062", O1274="Fire Tex 5120", O1274="Fire Control"),Q1274&gt;0), "CERT.",TRUE,"-")</f>
        <v>-</v>
      </c>
    </row>
    <row r="1275" spans="1:22" x14ac:dyDescent="0.25">
      <c r="A1275" s="168"/>
      <c r="B1275" s="876"/>
      <c r="C1275" s="161"/>
      <c r="D1275" s="161"/>
      <c r="E1275" s="161"/>
      <c r="F1275" s="41"/>
      <c r="G1275" s="161"/>
      <c r="H1275" s="161"/>
      <c r="I1275" s="166"/>
      <c r="J1275" s="162"/>
      <c r="K1275" s="161"/>
      <c r="L1275" s="161"/>
      <c r="M1275" s="169"/>
      <c r="N1275" s="163" t="str">
        <f t="shared" si="23"/>
        <v/>
      </c>
      <c r="O1275" s="41"/>
      <c r="P1275" s="41"/>
      <c r="Q1275" s="161" t="str">
        <f>+IF(OR(O1275="Fire Control",O1275="Fire Tex 5062",O1275="Fire Tex 5090",O1275="Fire Tex 5120"),'CALCULO PINTURA'!P1276," ")</f>
        <v xml:space="preserve"> </v>
      </c>
      <c r="R1275" s="164" t="str">
        <f>+IF(OR(O1275="Fire Control",O1275="Fire Tex 5062",O1275="Fire Tex 5090",O1275="Fire Tex 5120"),'CALCULO PINTURA'!R1276," ")</f>
        <v xml:space="preserve"> </v>
      </c>
      <c r="S1275" s="164" t="str">
        <f>+IF(OR(O1275="Fire Control",O1275="Fire Tex 5062",O1275="Fire Tex 5090",O1275="Fire Tex 5120"),'CALCULO PINTURA'!S1276," ")</f>
        <v xml:space="preserve"> </v>
      </c>
      <c r="T1275" s="874" t="str">
        <f>+IF(OR(O1275="Blaze Shield II",O1275="Cafco 400",O1275="Cafco 300"),'CALCULO MORTERO'!N1281," ")</f>
        <v xml:space="preserve"> </v>
      </c>
      <c r="U1275" s="875" t="str">
        <f>+IF(OR(O1275="Blaze Shield II",O1275="Cafco 400",O1275="Cafco 300"),'CALCULO MORTERO'!O1281," ")</f>
        <v xml:space="preserve"> </v>
      </c>
      <c r="V1275" s="161" t="str" cm="1">
        <f t="array" ref="V1275">_xlfn.IFS(O1275="Blaze Shield II",'CALCULO MORTERO'!P1276, O1275="Cafco 400",'CALCULO MORTERO'!Q1276,O1275="Cafco 300",'CALCULO MORTERO'!S1276, AND(OR(O1275="Fire tex 5090", O1275="Fire Tex 5062", O1275="Fire Tex 5120", O1275="Fire Control"),Q1275&gt;0), "CERT.",TRUE,"-")</f>
        <v>-</v>
      </c>
    </row>
    <row r="1276" spans="1:22" x14ac:dyDescent="0.25">
      <c r="A1276" s="168"/>
      <c r="B1276" s="876"/>
      <c r="C1276" s="161"/>
      <c r="D1276" s="161"/>
      <c r="E1276" s="161"/>
      <c r="F1276" s="41"/>
      <c r="G1276" s="161"/>
      <c r="H1276" s="161"/>
      <c r="I1276" s="166"/>
      <c r="J1276" s="162"/>
      <c r="K1276" s="161"/>
      <c r="L1276" s="161"/>
      <c r="M1276" s="169"/>
      <c r="N1276" s="163" t="str">
        <f t="shared" si="23"/>
        <v/>
      </c>
      <c r="O1276" s="41"/>
      <c r="P1276" s="41"/>
      <c r="Q1276" s="161" t="str">
        <f>+IF(OR(O1276="Fire Control",O1276="Fire Tex 5062",O1276="Fire Tex 5090",O1276="Fire Tex 5120"),'CALCULO PINTURA'!P1277," ")</f>
        <v xml:space="preserve"> </v>
      </c>
      <c r="R1276" s="164" t="str">
        <f>+IF(OR(O1276="Fire Control",O1276="Fire Tex 5062",O1276="Fire Tex 5090",O1276="Fire Tex 5120"),'CALCULO PINTURA'!R1277," ")</f>
        <v xml:space="preserve"> </v>
      </c>
      <c r="S1276" s="164" t="str">
        <f>+IF(OR(O1276="Fire Control",O1276="Fire Tex 5062",O1276="Fire Tex 5090",O1276="Fire Tex 5120"),'CALCULO PINTURA'!S1277," ")</f>
        <v xml:space="preserve"> </v>
      </c>
      <c r="T1276" s="874" t="str">
        <f>+IF(OR(O1276="Blaze Shield II",O1276="Cafco 400",O1276="Cafco 300"),'CALCULO MORTERO'!N1282," ")</f>
        <v xml:space="preserve"> </v>
      </c>
      <c r="U1276" s="875" t="str">
        <f>+IF(OR(O1276="Blaze Shield II",O1276="Cafco 400",O1276="Cafco 300"),'CALCULO MORTERO'!O1282," ")</f>
        <v xml:space="preserve"> </v>
      </c>
      <c r="V1276" s="161" t="str" cm="1">
        <f t="array" ref="V1276">_xlfn.IFS(O1276="Blaze Shield II",'CALCULO MORTERO'!P1277, O1276="Cafco 400",'CALCULO MORTERO'!Q1277,O1276="Cafco 300",'CALCULO MORTERO'!S1277, AND(OR(O1276="Fire tex 5090", O1276="Fire Tex 5062", O1276="Fire Tex 5120", O1276="Fire Control"),Q1276&gt;0), "CERT.",TRUE,"-")</f>
        <v>-</v>
      </c>
    </row>
    <row r="1277" spans="1:22" x14ac:dyDescent="0.25">
      <c r="A1277" s="168"/>
      <c r="B1277" s="876"/>
      <c r="C1277" s="161"/>
      <c r="D1277" s="161"/>
      <c r="E1277" s="161"/>
      <c r="F1277" s="161"/>
      <c r="G1277" s="161"/>
      <c r="H1277" s="161"/>
      <c r="I1277" s="166"/>
      <c r="J1277" s="162"/>
      <c r="K1277" s="161"/>
      <c r="L1277" s="161"/>
      <c r="M1277" s="163"/>
      <c r="N1277" s="163" t="str">
        <f t="shared" si="23"/>
        <v/>
      </c>
      <c r="O1277" s="41"/>
      <c r="P1277" s="41"/>
      <c r="Q1277" s="161" t="str">
        <f>+IF(OR(O1277="Fire Control",O1277="Fire Tex 5062",O1277="Fire Tex 5090",O1277="Fire Tex 5120"),'CALCULO PINTURA'!P1278," ")</f>
        <v xml:space="preserve"> </v>
      </c>
      <c r="R1277" s="164" t="str">
        <f>+IF(OR(O1277="Fire Control",O1277="Fire Tex 5062",O1277="Fire Tex 5090",O1277="Fire Tex 5120"),'CALCULO PINTURA'!R1278," ")</f>
        <v xml:space="preserve"> </v>
      </c>
      <c r="S1277" s="164" t="str">
        <f>+IF(OR(O1277="Fire Control",O1277="Fire Tex 5062",O1277="Fire Tex 5090",O1277="Fire Tex 5120"),'CALCULO PINTURA'!S1278," ")</f>
        <v xml:space="preserve"> </v>
      </c>
      <c r="T1277" s="874" t="str">
        <f>+IF(OR(O1277="Blaze Shield II",O1277="Cafco 400",O1277="Cafco 300"),'CALCULO MORTERO'!N1283," ")</f>
        <v xml:space="preserve"> </v>
      </c>
      <c r="U1277" s="875" t="str">
        <f>+IF(OR(O1277="Blaze Shield II",O1277="Cafco 400",O1277="Cafco 300"),'CALCULO MORTERO'!O1283," ")</f>
        <v xml:space="preserve"> </v>
      </c>
      <c r="V1277" s="161" t="str" cm="1">
        <f t="array" ref="V1277">_xlfn.IFS(O1277="Blaze Shield II",'CALCULO MORTERO'!P1278, O1277="Cafco 400",'CALCULO MORTERO'!Q1278,O1277="Cafco 300",'CALCULO MORTERO'!S1278, AND(OR(O1277="Fire tex 5090", O1277="Fire Tex 5062", O1277="Fire Tex 5120", O1277="Fire Control"),Q1277&gt;0), "CERT.",TRUE,"-")</f>
        <v>-</v>
      </c>
    </row>
    <row r="1278" spans="1:22" x14ac:dyDescent="0.25">
      <c r="A1278" s="168"/>
      <c r="B1278" s="876"/>
      <c r="C1278" s="161"/>
      <c r="D1278" s="161"/>
      <c r="E1278" s="161"/>
      <c r="F1278" s="41"/>
      <c r="G1278" s="161"/>
      <c r="H1278" s="161"/>
      <c r="I1278" s="166"/>
      <c r="J1278" s="162"/>
      <c r="K1278" s="161"/>
      <c r="L1278" s="161"/>
      <c r="M1278" s="169"/>
      <c r="N1278" s="163" t="str">
        <f t="shared" si="23"/>
        <v/>
      </c>
      <c r="O1278" s="41"/>
      <c r="P1278" s="41"/>
      <c r="Q1278" s="161" t="str">
        <f>+IF(OR(O1278="Fire Control",O1278="Fire Tex 5062",O1278="Fire Tex 5090",O1278="Fire Tex 5120"),'CALCULO PINTURA'!P1279," ")</f>
        <v xml:space="preserve"> </v>
      </c>
      <c r="R1278" s="164" t="str">
        <f>+IF(OR(O1278="Fire Control",O1278="Fire Tex 5062",O1278="Fire Tex 5090",O1278="Fire Tex 5120"),'CALCULO PINTURA'!R1279," ")</f>
        <v xml:space="preserve"> </v>
      </c>
      <c r="S1278" s="164" t="str">
        <f>+IF(OR(O1278="Fire Control",O1278="Fire Tex 5062",O1278="Fire Tex 5090",O1278="Fire Tex 5120"),'CALCULO PINTURA'!S1279," ")</f>
        <v xml:space="preserve"> </v>
      </c>
      <c r="T1278" s="874" t="str">
        <f>+IF(OR(O1278="Blaze Shield II",O1278="Cafco 400",O1278="Cafco 300"),'CALCULO MORTERO'!N1284," ")</f>
        <v xml:space="preserve"> </v>
      </c>
      <c r="U1278" s="875" t="str">
        <f>+IF(OR(O1278="Blaze Shield II",O1278="Cafco 400",O1278="Cafco 300"),'CALCULO MORTERO'!O1284," ")</f>
        <v xml:space="preserve"> </v>
      </c>
      <c r="V1278" s="161" t="str" cm="1">
        <f t="array" ref="V1278">_xlfn.IFS(O1278="Blaze Shield II",'CALCULO MORTERO'!P1279, O1278="Cafco 400",'CALCULO MORTERO'!Q1279,O1278="Cafco 300",'CALCULO MORTERO'!S1279, AND(OR(O1278="Fire tex 5090", O1278="Fire Tex 5062", O1278="Fire Tex 5120", O1278="Fire Control"),Q1278&gt;0), "CERT.",TRUE,"-")</f>
        <v>-</v>
      </c>
    </row>
    <row r="1279" spans="1:22" x14ac:dyDescent="0.25">
      <c r="A1279" s="168"/>
      <c r="B1279" s="876"/>
      <c r="C1279" s="161"/>
      <c r="D1279" s="161"/>
      <c r="E1279" s="161"/>
      <c r="F1279" s="41"/>
      <c r="G1279" s="161"/>
      <c r="H1279" s="161"/>
      <c r="I1279" s="166"/>
      <c r="J1279" s="162"/>
      <c r="K1279" s="161"/>
      <c r="L1279" s="161"/>
      <c r="M1279" s="169"/>
      <c r="N1279" s="163" t="str">
        <f t="shared" si="23"/>
        <v/>
      </c>
      <c r="O1279" s="41"/>
      <c r="P1279" s="41"/>
      <c r="Q1279" s="161" t="str">
        <f>+IF(OR(O1279="Fire Control",O1279="Fire Tex 5062",O1279="Fire Tex 5090",O1279="Fire Tex 5120"),'CALCULO PINTURA'!P1280," ")</f>
        <v xml:space="preserve"> </v>
      </c>
      <c r="R1279" s="164" t="str">
        <f>+IF(OR(O1279="Fire Control",O1279="Fire Tex 5062",O1279="Fire Tex 5090",O1279="Fire Tex 5120"),'CALCULO PINTURA'!R1280," ")</f>
        <v xml:space="preserve"> </v>
      </c>
      <c r="S1279" s="164" t="str">
        <f>+IF(OR(O1279="Fire Control",O1279="Fire Tex 5062",O1279="Fire Tex 5090",O1279="Fire Tex 5120"),'CALCULO PINTURA'!S1280," ")</f>
        <v xml:space="preserve"> </v>
      </c>
      <c r="T1279" s="874" t="str">
        <f>+IF(OR(O1279="Blaze Shield II",O1279="Cafco 400",O1279="Cafco 300"),'CALCULO MORTERO'!N1285," ")</f>
        <v xml:space="preserve"> </v>
      </c>
      <c r="U1279" s="875" t="str">
        <f>+IF(OR(O1279="Blaze Shield II",O1279="Cafco 400",O1279="Cafco 300"),'CALCULO MORTERO'!O1285," ")</f>
        <v xml:space="preserve"> </v>
      </c>
      <c r="V1279" s="161" t="str" cm="1">
        <f t="array" ref="V1279">_xlfn.IFS(O1279="Blaze Shield II",'CALCULO MORTERO'!P1280, O1279="Cafco 400",'CALCULO MORTERO'!Q1280,O1279="Cafco 300",'CALCULO MORTERO'!S1280, AND(OR(O1279="Fire tex 5090", O1279="Fire Tex 5062", O1279="Fire Tex 5120", O1279="Fire Control"),Q1279&gt;0), "CERT.",TRUE,"-")</f>
        <v>-</v>
      </c>
    </row>
    <row r="1280" spans="1:22" x14ac:dyDescent="0.25">
      <c r="A1280" s="168"/>
      <c r="B1280" s="876"/>
      <c r="C1280" s="161"/>
      <c r="D1280" s="161"/>
      <c r="E1280" s="161"/>
      <c r="F1280" s="41"/>
      <c r="G1280" s="161"/>
      <c r="H1280" s="161"/>
      <c r="I1280" s="166"/>
      <c r="J1280" s="162"/>
      <c r="K1280" s="161"/>
      <c r="L1280" s="161"/>
      <c r="M1280" s="169"/>
      <c r="N1280" s="163" t="str">
        <f t="shared" si="23"/>
        <v/>
      </c>
      <c r="O1280" s="41"/>
      <c r="P1280" s="41"/>
      <c r="Q1280" s="161" t="str">
        <f>+IF(OR(O1280="Fire Control",O1280="Fire Tex 5062",O1280="Fire Tex 5090",O1280="Fire Tex 5120"),'CALCULO PINTURA'!P1281," ")</f>
        <v xml:space="preserve"> </v>
      </c>
      <c r="R1280" s="164" t="str">
        <f>+IF(OR(O1280="Fire Control",O1280="Fire Tex 5062",O1280="Fire Tex 5090",O1280="Fire Tex 5120"),'CALCULO PINTURA'!R1281," ")</f>
        <v xml:space="preserve"> </v>
      </c>
      <c r="S1280" s="164" t="str">
        <f>+IF(OR(O1280="Fire Control",O1280="Fire Tex 5062",O1280="Fire Tex 5090",O1280="Fire Tex 5120"),'CALCULO PINTURA'!S1281," ")</f>
        <v xml:space="preserve"> </v>
      </c>
      <c r="T1280" s="874" t="str">
        <f>+IF(OR(O1280="Blaze Shield II",O1280="Cafco 400",O1280="Cafco 300"),'CALCULO MORTERO'!N1286," ")</f>
        <v xml:space="preserve"> </v>
      </c>
      <c r="U1280" s="875" t="str">
        <f>+IF(OR(O1280="Blaze Shield II",O1280="Cafco 400",O1280="Cafco 300"),'CALCULO MORTERO'!O1286," ")</f>
        <v xml:space="preserve"> </v>
      </c>
      <c r="V1280" s="161" t="str" cm="1">
        <f t="array" ref="V1280">_xlfn.IFS(O1280="Blaze Shield II",'CALCULO MORTERO'!P1281, O1280="Cafco 400",'CALCULO MORTERO'!Q1281,O1280="Cafco 300",'CALCULO MORTERO'!S1281, AND(OR(O1280="Fire tex 5090", O1280="Fire Tex 5062", O1280="Fire Tex 5120", O1280="Fire Control"),Q1280&gt;0), "CERT.",TRUE,"-")</f>
        <v>-</v>
      </c>
    </row>
    <row r="1281" spans="1:22" x14ac:dyDescent="0.25">
      <c r="A1281" s="168"/>
      <c r="B1281" s="876"/>
      <c r="C1281" s="161"/>
      <c r="D1281" s="161"/>
      <c r="E1281" s="161"/>
      <c r="F1281" s="161"/>
      <c r="G1281" s="161"/>
      <c r="H1281" s="161"/>
      <c r="I1281" s="166"/>
      <c r="J1281" s="162"/>
      <c r="K1281" s="161"/>
      <c r="L1281" s="161"/>
      <c r="M1281" s="169"/>
      <c r="N1281" s="163" t="str">
        <f t="shared" si="23"/>
        <v/>
      </c>
      <c r="O1281" s="41"/>
      <c r="P1281" s="41"/>
      <c r="Q1281" s="161" t="str">
        <f>+IF(OR(O1281="Fire Control",O1281="Fire Tex 5062",O1281="Fire Tex 5090",O1281="Fire Tex 5120"),'CALCULO PINTURA'!P1282," ")</f>
        <v xml:space="preserve"> </v>
      </c>
      <c r="R1281" s="164" t="str">
        <f>+IF(OR(O1281="Fire Control",O1281="Fire Tex 5062",O1281="Fire Tex 5090",O1281="Fire Tex 5120"),'CALCULO PINTURA'!R1282," ")</f>
        <v xml:space="preserve"> </v>
      </c>
      <c r="S1281" s="164" t="str">
        <f>+IF(OR(O1281="Fire Control",O1281="Fire Tex 5062",O1281="Fire Tex 5090",O1281="Fire Tex 5120"),'CALCULO PINTURA'!S1282," ")</f>
        <v xml:space="preserve"> </v>
      </c>
      <c r="T1281" s="874" t="str">
        <f>+IF(OR(O1281="Blaze Shield II",O1281="Cafco 400",O1281="Cafco 300"),'CALCULO MORTERO'!N1287," ")</f>
        <v xml:space="preserve"> </v>
      </c>
      <c r="U1281" s="875" t="str">
        <f>+IF(OR(O1281="Blaze Shield II",O1281="Cafco 400",O1281="Cafco 300"),'CALCULO MORTERO'!O1287," ")</f>
        <v xml:space="preserve"> </v>
      </c>
      <c r="V1281" s="161" t="str" cm="1">
        <f t="array" ref="V1281">_xlfn.IFS(O1281="Blaze Shield II",'CALCULO MORTERO'!P1282, O1281="Cafco 400",'CALCULO MORTERO'!Q1282,O1281="Cafco 300",'CALCULO MORTERO'!S1282, AND(OR(O1281="Fire tex 5090", O1281="Fire Tex 5062", O1281="Fire Tex 5120", O1281="Fire Control"),Q1281&gt;0), "CERT.",TRUE,"-")</f>
        <v>-</v>
      </c>
    </row>
    <row r="1282" spans="1:22" x14ac:dyDescent="0.25">
      <c r="A1282" s="168"/>
      <c r="B1282" s="876"/>
      <c r="C1282" s="161"/>
      <c r="D1282" s="161"/>
      <c r="E1282" s="161"/>
      <c r="F1282" s="161"/>
      <c r="G1282" s="161"/>
      <c r="H1282" s="161"/>
      <c r="I1282" s="166"/>
      <c r="J1282" s="162"/>
      <c r="K1282" s="161"/>
      <c r="L1282" s="161"/>
      <c r="M1282" s="163"/>
      <c r="N1282" s="163" t="str">
        <f t="shared" si="23"/>
        <v/>
      </c>
      <c r="O1282" s="41"/>
      <c r="P1282" s="41"/>
      <c r="Q1282" s="161" t="str">
        <f>+IF(OR(O1282="Fire Control",O1282="Fire Tex 5062",O1282="Fire Tex 5090",O1282="Fire Tex 5120"),'CALCULO PINTURA'!P1283," ")</f>
        <v xml:space="preserve"> </v>
      </c>
      <c r="R1282" s="164" t="str">
        <f>+IF(OR(O1282="Fire Control",O1282="Fire Tex 5062",O1282="Fire Tex 5090",O1282="Fire Tex 5120"),'CALCULO PINTURA'!R1283," ")</f>
        <v xml:space="preserve"> </v>
      </c>
      <c r="S1282" s="164" t="str">
        <f>+IF(OR(O1282="Fire Control",O1282="Fire Tex 5062",O1282="Fire Tex 5090",O1282="Fire Tex 5120"),'CALCULO PINTURA'!S1283," ")</f>
        <v xml:space="preserve"> </v>
      </c>
      <c r="T1282" s="874" t="str">
        <f>+IF(OR(O1282="Blaze Shield II",O1282="Cafco 400",O1282="Cafco 300"),'CALCULO MORTERO'!N1288," ")</f>
        <v xml:space="preserve"> </v>
      </c>
      <c r="U1282" s="875" t="str">
        <f>+IF(OR(O1282="Blaze Shield II",O1282="Cafco 400",O1282="Cafco 300"),'CALCULO MORTERO'!O1288," ")</f>
        <v xml:space="preserve"> </v>
      </c>
      <c r="V1282" s="161" t="str" cm="1">
        <f t="array" ref="V1282">_xlfn.IFS(O1282="Blaze Shield II",'CALCULO MORTERO'!P1283, O1282="Cafco 400",'CALCULO MORTERO'!Q1283,O1282="Cafco 300",'CALCULO MORTERO'!S1283, AND(OR(O1282="Fire tex 5090", O1282="Fire Tex 5062", O1282="Fire Tex 5120", O1282="Fire Control"),Q1282&gt;0), "CERT.",TRUE,"-")</f>
        <v>-</v>
      </c>
    </row>
    <row r="1283" spans="1:22" x14ac:dyDescent="0.25">
      <c r="A1283" s="168"/>
      <c r="B1283" s="876"/>
      <c r="C1283" s="161"/>
      <c r="D1283" s="161"/>
      <c r="E1283" s="161"/>
      <c r="F1283" s="41"/>
      <c r="G1283" s="161"/>
      <c r="H1283" s="161"/>
      <c r="I1283" s="166"/>
      <c r="J1283" s="162"/>
      <c r="K1283" s="161"/>
      <c r="L1283" s="161"/>
      <c r="M1283" s="169"/>
      <c r="N1283" s="163" t="str">
        <f t="shared" si="23"/>
        <v/>
      </c>
      <c r="O1283" s="41"/>
      <c r="P1283" s="41"/>
      <c r="Q1283" s="161" t="str">
        <f>+IF(OR(O1283="Fire Control",O1283="Fire Tex 5062",O1283="Fire Tex 5090",O1283="Fire Tex 5120"),'CALCULO PINTURA'!P1284," ")</f>
        <v xml:space="preserve"> </v>
      </c>
      <c r="R1283" s="164" t="str">
        <f>+IF(OR(O1283="Fire Control",O1283="Fire Tex 5062",O1283="Fire Tex 5090",O1283="Fire Tex 5120"),'CALCULO PINTURA'!R1284," ")</f>
        <v xml:space="preserve"> </v>
      </c>
      <c r="S1283" s="164" t="str">
        <f>+IF(OR(O1283="Fire Control",O1283="Fire Tex 5062",O1283="Fire Tex 5090",O1283="Fire Tex 5120"),'CALCULO PINTURA'!S1284," ")</f>
        <v xml:space="preserve"> </v>
      </c>
      <c r="T1283" s="874" t="str">
        <f>+IF(OR(O1283="Blaze Shield II",O1283="Cafco 400",O1283="Cafco 300"),'CALCULO MORTERO'!N1289," ")</f>
        <v xml:space="preserve"> </v>
      </c>
      <c r="U1283" s="875" t="str">
        <f>+IF(OR(O1283="Blaze Shield II",O1283="Cafco 400",O1283="Cafco 300"),'CALCULO MORTERO'!O1289," ")</f>
        <v xml:space="preserve"> </v>
      </c>
      <c r="V1283" s="161" t="str" cm="1">
        <f t="array" ref="V1283">_xlfn.IFS(O1283="Blaze Shield II",'CALCULO MORTERO'!P1284, O1283="Cafco 400",'CALCULO MORTERO'!Q1284,O1283="Cafco 300",'CALCULO MORTERO'!S1284, AND(OR(O1283="Fire tex 5090", O1283="Fire Tex 5062", O1283="Fire Tex 5120", O1283="Fire Control"),Q1283&gt;0), "CERT.",TRUE,"-")</f>
        <v>-</v>
      </c>
    </row>
    <row r="1284" spans="1:22" x14ac:dyDescent="0.25">
      <c r="A1284" s="168"/>
      <c r="B1284" s="876"/>
      <c r="C1284" s="161"/>
      <c r="D1284" s="161"/>
      <c r="E1284" s="161"/>
      <c r="F1284" s="41"/>
      <c r="G1284" s="161"/>
      <c r="H1284" s="161"/>
      <c r="I1284" s="166"/>
      <c r="J1284" s="162"/>
      <c r="K1284" s="161"/>
      <c r="L1284" s="161"/>
      <c r="M1284" s="169"/>
      <c r="N1284" s="163" t="str">
        <f t="shared" ref="N1284:N1347" si="24">+IF(F1284="","",(K1284*I1284*H1284*G1284)/1000000)</f>
        <v/>
      </c>
      <c r="O1284" s="41"/>
      <c r="P1284" s="41"/>
      <c r="Q1284" s="161" t="str">
        <f>+IF(OR(O1284="Fire Control",O1284="Fire Tex 5062",O1284="Fire Tex 5090",O1284="Fire Tex 5120"),'CALCULO PINTURA'!P1285," ")</f>
        <v xml:space="preserve"> </v>
      </c>
      <c r="R1284" s="164" t="str">
        <f>+IF(OR(O1284="Fire Control",O1284="Fire Tex 5062",O1284="Fire Tex 5090",O1284="Fire Tex 5120"),'CALCULO PINTURA'!R1285," ")</f>
        <v xml:space="preserve"> </v>
      </c>
      <c r="S1284" s="164" t="str">
        <f>+IF(OR(O1284="Fire Control",O1284="Fire Tex 5062",O1284="Fire Tex 5090",O1284="Fire Tex 5120"),'CALCULO PINTURA'!S1285," ")</f>
        <v xml:space="preserve"> </v>
      </c>
      <c r="T1284" s="874" t="str">
        <f>+IF(OR(O1284="Blaze Shield II",O1284="Cafco 400",O1284="Cafco 300"),'CALCULO MORTERO'!N1290," ")</f>
        <v xml:space="preserve"> </v>
      </c>
      <c r="U1284" s="875" t="str">
        <f>+IF(OR(O1284="Blaze Shield II",O1284="Cafco 400",O1284="Cafco 300"),'CALCULO MORTERO'!O1290," ")</f>
        <v xml:space="preserve"> </v>
      </c>
      <c r="V1284" s="161" t="str" cm="1">
        <f t="array" ref="V1284">_xlfn.IFS(O1284="Blaze Shield II",'CALCULO MORTERO'!P1285, O1284="Cafco 400",'CALCULO MORTERO'!Q1285,O1284="Cafco 300",'CALCULO MORTERO'!S1285, AND(OR(O1284="Fire tex 5090", O1284="Fire Tex 5062", O1284="Fire Tex 5120", O1284="Fire Control"),Q1284&gt;0), "CERT.",TRUE,"-")</f>
        <v>-</v>
      </c>
    </row>
    <row r="1285" spans="1:22" x14ac:dyDescent="0.25">
      <c r="A1285" s="168"/>
      <c r="B1285" s="876"/>
      <c r="C1285" s="161"/>
      <c r="D1285" s="161"/>
      <c r="E1285" s="161"/>
      <c r="F1285" s="161"/>
      <c r="G1285" s="161"/>
      <c r="H1285" s="161"/>
      <c r="I1285" s="166"/>
      <c r="J1285" s="162"/>
      <c r="K1285" s="161"/>
      <c r="L1285" s="161"/>
      <c r="M1285" s="163"/>
      <c r="N1285" s="163" t="str">
        <f t="shared" si="24"/>
        <v/>
      </c>
      <c r="O1285" s="41"/>
      <c r="P1285" s="41"/>
      <c r="Q1285" s="161" t="str">
        <f>+IF(OR(O1285="Fire Control",O1285="Fire Tex 5062",O1285="Fire Tex 5090",O1285="Fire Tex 5120"),'CALCULO PINTURA'!P1286," ")</f>
        <v xml:space="preserve"> </v>
      </c>
      <c r="R1285" s="164" t="str">
        <f>+IF(OR(O1285="Fire Control",O1285="Fire Tex 5062",O1285="Fire Tex 5090",O1285="Fire Tex 5120"),'CALCULO PINTURA'!R1286," ")</f>
        <v xml:space="preserve"> </v>
      </c>
      <c r="S1285" s="164" t="str">
        <f>+IF(OR(O1285="Fire Control",O1285="Fire Tex 5062",O1285="Fire Tex 5090",O1285="Fire Tex 5120"),'CALCULO PINTURA'!S1286," ")</f>
        <v xml:space="preserve"> </v>
      </c>
      <c r="T1285" s="874" t="str">
        <f>+IF(OR(O1285="Blaze Shield II",O1285="Cafco 400",O1285="Cafco 300"),'CALCULO MORTERO'!N1291," ")</f>
        <v xml:space="preserve"> </v>
      </c>
      <c r="U1285" s="875" t="str">
        <f>+IF(OR(O1285="Blaze Shield II",O1285="Cafco 400",O1285="Cafco 300"),'CALCULO MORTERO'!O1291," ")</f>
        <v xml:space="preserve"> </v>
      </c>
      <c r="V1285" s="161" t="str" cm="1">
        <f t="array" ref="V1285">_xlfn.IFS(O1285="Blaze Shield II",'CALCULO MORTERO'!P1286, O1285="Cafco 400",'CALCULO MORTERO'!Q1286,O1285="Cafco 300",'CALCULO MORTERO'!S1286, AND(OR(O1285="Fire tex 5090", O1285="Fire Tex 5062", O1285="Fire Tex 5120", O1285="Fire Control"),Q1285&gt;0), "CERT.",TRUE,"-")</f>
        <v>-</v>
      </c>
    </row>
    <row r="1286" spans="1:22" x14ac:dyDescent="0.25">
      <c r="A1286" s="168"/>
      <c r="B1286" s="876"/>
      <c r="C1286" s="161"/>
      <c r="D1286" s="161"/>
      <c r="E1286" s="161"/>
      <c r="F1286" s="41"/>
      <c r="G1286" s="161"/>
      <c r="H1286" s="161"/>
      <c r="I1286" s="166"/>
      <c r="J1286" s="162"/>
      <c r="K1286" s="161"/>
      <c r="L1286" s="161"/>
      <c r="M1286" s="169"/>
      <c r="N1286" s="163" t="str">
        <f t="shared" si="24"/>
        <v/>
      </c>
      <c r="O1286" s="41"/>
      <c r="P1286" s="41"/>
      <c r="Q1286" s="161" t="str">
        <f>+IF(OR(O1286="Fire Control",O1286="Fire Tex 5062",O1286="Fire Tex 5090",O1286="Fire Tex 5120"),'CALCULO PINTURA'!P1287," ")</f>
        <v xml:space="preserve"> </v>
      </c>
      <c r="R1286" s="164" t="str">
        <f>+IF(OR(O1286="Fire Control",O1286="Fire Tex 5062",O1286="Fire Tex 5090",O1286="Fire Tex 5120"),'CALCULO PINTURA'!R1287," ")</f>
        <v xml:space="preserve"> </v>
      </c>
      <c r="S1286" s="164" t="str">
        <f>+IF(OR(O1286="Fire Control",O1286="Fire Tex 5062",O1286="Fire Tex 5090",O1286="Fire Tex 5120"),'CALCULO PINTURA'!S1287," ")</f>
        <v xml:space="preserve"> </v>
      </c>
      <c r="T1286" s="874" t="str">
        <f>+IF(OR(O1286="Blaze Shield II",O1286="Cafco 400",O1286="Cafco 300"),'CALCULO MORTERO'!N1292," ")</f>
        <v xml:space="preserve"> </v>
      </c>
      <c r="U1286" s="875" t="str">
        <f>+IF(OR(O1286="Blaze Shield II",O1286="Cafco 400",O1286="Cafco 300"),'CALCULO MORTERO'!O1292," ")</f>
        <v xml:space="preserve"> </v>
      </c>
      <c r="V1286" s="161" t="str" cm="1">
        <f t="array" ref="V1286">_xlfn.IFS(O1286="Blaze Shield II",'CALCULO MORTERO'!P1287, O1286="Cafco 400",'CALCULO MORTERO'!Q1287,O1286="Cafco 300",'CALCULO MORTERO'!S1287, AND(OR(O1286="Fire tex 5090", O1286="Fire Tex 5062", O1286="Fire Tex 5120", O1286="Fire Control"),Q1286&gt;0), "CERT.",TRUE,"-")</f>
        <v>-</v>
      </c>
    </row>
    <row r="1287" spans="1:22" x14ac:dyDescent="0.25">
      <c r="A1287" s="168"/>
      <c r="B1287" s="876"/>
      <c r="C1287" s="161"/>
      <c r="D1287" s="161"/>
      <c r="E1287" s="161"/>
      <c r="F1287" s="41"/>
      <c r="G1287" s="161"/>
      <c r="H1287" s="161"/>
      <c r="I1287" s="166"/>
      <c r="J1287" s="162"/>
      <c r="K1287" s="161"/>
      <c r="L1287" s="161"/>
      <c r="M1287" s="169"/>
      <c r="N1287" s="163" t="str">
        <f t="shared" si="24"/>
        <v/>
      </c>
      <c r="O1287" s="41"/>
      <c r="P1287" s="41"/>
      <c r="Q1287" s="161" t="str">
        <f>+IF(OR(O1287="Fire Control",O1287="Fire Tex 5062",O1287="Fire Tex 5090",O1287="Fire Tex 5120"),'CALCULO PINTURA'!P1288," ")</f>
        <v xml:space="preserve"> </v>
      </c>
      <c r="R1287" s="164" t="str">
        <f>+IF(OR(O1287="Fire Control",O1287="Fire Tex 5062",O1287="Fire Tex 5090",O1287="Fire Tex 5120"),'CALCULO PINTURA'!R1288," ")</f>
        <v xml:space="preserve"> </v>
      </c>
      <c r="S1287" s="164" t="str">
        <f>+IF(OR(O1287="Fire Control",O1287="Fire Tex 5062",O1287="Fire Tex 5090",O1287="Fire Tex 5120"),'CALCULO PINTURA'!S1288," ")</f>
        <v xml:space="preserve"> </v>
      </c>
      <c r="T1287" s="874" t="str">
        <f>+IF(OR(O1287="Blaze Shield II",O1287="Cafco 400",O1287="Cafco 300"),'CALCULO MORTERO'!N1293," ")</f>
        <v xml:space="preserve"> </v>
      </c>
      <c r="U1287" s="875" t="str">
        <f>+IF(OR(O1287="Blaze Shield II",O1287="Cafco 400",O1287="Cafco 300"),'CALCULO MORTERO'!O1293," ")</f>
        <v xml:space="preserve"> </v>
      </c>
      <c r="V1287" s="161" t="str" cm="1">
        <f t="array" ref="V1287">_xlfn.IFS(O1287="Blaze Shield II",'CALCULO MORTERO'!P1288, O1287="Cafco 400",'CALCULO MORTERO'!Q1288,O1287="Cafco 300",'CALCULO MORTERO'!S1288, AND(OR(O1287="Fire tex 5090", O1287="Fire Tex 5062", O1287="Fire Tex 5120", O1287="Fire Control"),Q1287&gt;0), "CERT.",TRUE,"-")</f>
        <v>-</v>
      </c>
    </row>
    <row r="1288" spans="1:22" x14ac:dyDescent="0.25">
      <c r="A1288" s="168"/>
      <c r="B1288" s="876"/>
      <c r="C1288" s="161"/>
      <c r="D1288" s="161"/>
      <c r="E1288" s="161"/>
      <c r="F1288" s="41"/>
      <c r="G1288" s="161"/>
      <c r="H1288" s="161"/>
      <c r="I1288" s="166"/>
      <c r="J1288" s="162"/>
      <c r="K1288" s="161"/>
      <c r="L1288" s="161"/>
      <c r="M1288" s="169"/>
      <c r="N1288" s="163" t="str">
        <f t="shared" si="24"/>
        <v/>
      </c>
      <c r="O1288" s="41"/>
      <c r="P1288" s="41"/>
      <c r="Q1288" s="161" t="str">
        <f>+IF(OR(O1288="Fire Control",O1288="Fire Tex 5062",O1288="Fire Tex 5090",O1288="Fire Tex 5120"),'CALCULO PINTURA'!P1289," ")</f>
        <v xml:space="preserve"> </v>
      </c>
      <c r="R1288" s="164" t="str">
        <f>+IF(OR(O1288="Fire Control",O1288="Fire Tex 5062",O1288="Fire Tex 5090",O1288="Fire Tex 5120"),'CALCULO PINTURA'!R1289," ")</f>
        <v xml:space="preserve"> </v>
      </c>
      <c r="S1288" s="164" t="str">
        <f>+IF(OR(O1288="Fire Control",O1288="Fire Tex 5062",O1288="Fire Tex 5090",O1288="Fire Tex 5120"),'CALCULO PINTURA'!S1289," ")</f>
        <v xml:space="preserve"> </v>
      </c>
      <c r="T1288" s="874" t="str">
        <f>+IF(OR(O1288="Blaze Shield II",O1288="Cafco 400",O1288="Cafco 300"),'CALCULO MORTERO'!N1294," ")</f>
        <v xml:space="preserve"> </v>
      </c>
      <c r="U1288" s="875" t="str">
        <f>+IF(OR(O1288="Blaze Shield II",O1288="Cafco 400",O1288="Cafco 300"),'CALCULO MORTERO'!O1294," ")</f>
        <v xml:space="preserve"> </v>
      </c>
      <c r="V1288" s="161" t="str" cm="1">
        <f t="array" ref="V1288">_xlfn.IFS(O1288="Blaze Shield II",'CALCULO MORTERO'!P1289, O1288="Cafco 400",'CALCULO MORTERO'!Q1289,O1288="Cafco 300",'CALCULO MORTERO'!S1289, AND(OR(O1288="Fire tex 5090", O1288="Fire Tex 5062", O1288="Fire Tex 5120", O1288="Fire Control"),Q1288&gt;0), "CERT.",TRUE,"-")</f>
        <v>-</v>
      </c>
    </row>
    <row r="1289" spans="1:22" x14ac:dyDescent="0.25">
      <c r="A1289" s="168"/>
      <c r="B1289" s="876"/>
      <c r="C1289" s="161"/>
      <c r="D1289" s="161"/>
      <c r="E1289" s="161"/>
      <c r="F1289" s="41"/>
      <c r="G1289" s="161"/>
      <c r="H1289" s="161"/>
      <c r="I1289" s="166"/>
      <c r="J1289" s="162"/>
      <c r="K1289" s="161"/>
      <c r="L1289" s="161"/>
      <c r="M1289" s="169"/>
      <c r="N1289" s="163" t="str">
        <f t="shared" si="24"/>
        <v/>
      </c>
      <c r="O1289" s="41"/>
      <c r="P1289" s="41"/>
      <c r="Q1289" s="161" t="str">
        <f>+IF(OR(O1289="Fire Control",O1289="Fire Tex 5062",O1289="Fire Tex 5090",O1289="Fire Tex 5120"),'CALCULO PINTURA'!P1290," ")</f>
        <v xml:space="preserve"> </v>
      </c>
      <c r="R1289" s="164" t="str">
        <f>+IF(OR(O1289="Fire Control",O1289="Fire Tex 5062",O1289="Fire Tex 5090",O1289="Fire Tex 5120"),'CALCULO PINTURA'!R1290," ")</f>
        <v xml:space="preserve"> </v>
      </c>
      <c r="S1289" s="164" t="str">
        <f>+IF(OR(O1289="Fire Control",O1289="Fire Tex 5062",O1289="Fire Tex 5090",O1289="Fire Tex 5120"),'CALCULO PINTURA'!S1290," ")</f>
        <v xml:space="preserve"> </v>
      </c>
      <c r="T1289" s="874" t="str">
        <f>+IF(OR(O1289="Blaze Shield II",O1289="Cafco 400",O1289="Cafco 300"),'CALCULO MORTERO'!N1295," ")</f>
        <v xml:space="preserve"> </v>
      </c>
      <c r="U1289" s="875" t="str">
        <f>+IF(OR(O1289="Blaze Shield II",O1289="Cafco 400",O1289="Cafco 300"),'CALCULO MORTERO'!O1295," ")</f>
        <v xml:space="preserve"> </v>
      </c>
      <c r="V1289" s="161" t="str" cm="1">
        <f t="array" ref="V1289">_xlfn.IFS(O1289="Blaze Shield II",'CALCULO MORTERO'!P1290, O1289="Cafco 400",'CALCULO MORTERO'!Q1290,O1289="Cafco 300",'CALCULO MORTERO'!S1290, AND(OR(O1289="Fire tex 5090", O1289="Fire Tex 5062", O1289="Fire Tex 5120", O1289="Fire Control"),Q1289&gt;0), "CERT.",TRUE,"-")</f>
        <v>-</v>
      </c>
    </row>
    <row r="1290" spans="1:22" x14ac:dyDescent="0.25">
      <c r="A1290" s="168"/>
      <c r="B1290" s="876"/>
      <c r="C1290" s="161"/>
      <c r="D1290" s="161"/>
      <c r="E1290" s="161"/>
      <c r="F1290" s="41"/>
      <c r="G1290" s="161"/>
      <c r="H1290" s="161"/>
      <c r="I1290" s="166"/>
      <c r="J1290" s="162"/>
      <c r="K1290" s="161"/>
      <c r="L1290" s="161"/>
      <c r="M1290" s="169"/>
      <c r="N1290" s="163" t="str">
        <f t="shared" si="24"/>
        <v/>
      </c>
      <c r="O1290" s="41"/>
      <c r="P1290" s="41"/>
      <c r="Q1290" s="161" t="str">
        <f>+IF(OR(O1290="Fire Control",O1290="Fire Tex 5062",O1290="Fire Tex 5090",O1290="Fire Tex 5120"),'CALCULO PINTURA'!P1291," ")</f>
        <v xml:space="preserve"> </v>
      </c>
      <c r="R1290" s="164" t="str">
        <f>+IF(OR(O1290="Fire Control",O1290="Fire Tex 5062",O1290="Fire Tex 5090",O1290="Fire Tex 5120"),'CALCULO PINTURA'!R1291," ")</f>
        <v xml:space="preserve"> </v>
      </c>
      <c r="S1290" s="164" t="str">
        <f>+IF(OR(O1290="Fire Control",O1290="Fire Tex 5062",O1290="Fire Tex 5090",O1290="Fire Tex 5120"),'CALCULO PINTURA'!S1291," ")</f>
        <v xml:space="preserve"> </v>
      </c>
      <c r="T1290" s="874" t="str">
        <f>+IF(OR(O1290="Blaze Shield II",O1290="Cafco 400",O1290="Cafco 300"),'CALCULO MORTERO'!N1296," ")</f>
        <v xml:space="preserve"> </v>
      </c>
      <c r="U1290" s="875" t="str">
        <f>+IF(OR(O1290="Blaze Shield II",O1290="Cafco 400",O1290="Cafco 300"),'CALCULO MORTERO'!O1296," ")</f>
        <v xml:space="preserve"> </v>
      </c>
      <c r="V1290" s="161" t="str" cm="1">
        <f t="array" ref="V1290">_xlfn.IFS(O1290="Blaze Shield II",'CALCULO MORTERO'!P1291, O1290="Cafco 400",'CALCULO MORTERO'!Q1291,O1290="Cafco 300",'CALCULO MORTERO'!S1291, AND(OR(O1290="Fire tex 5090", O1290="Fire Tex 5062", O1290="Fire Tex 5120", O1290="Fire Control"),Q1290&gt;0), "CERT.",TRUE,"-")</f>
        <v>-</v>
      </c>
    </row>
    <row r="1291" spans="1:22" x14ac:dyDescent="0.25">
      <c r="A1291" s="168"/>
      <c r="B1291" s="876"/>
      <c r="C1291" s="161"/>
      <c r="D1291" s="161"/>
      <c r="E1291" s="161"/>
      <c r="F1291" s="41"/>
      <c r="G1291" s="161"/>
      <c r="H1291" s="161"/>
      <c r="I1291" s="166"/>
      <c r="J1291" s="162"/>
      <c r="K1291" s="161"/>
      <c r="L1291" s="161"/>
      <c r="M1291" s="169"/>
      <c r="N1291" s="163" t="str">
        <f t="shared" si="24"/>
        <v/>
      </c>
      <c r="O1291" s="41"/>
      <c r="P1291" s="41"/>
      <c r="Q1291" s="161" t="str">
        <f>+IF(OR(O1291="Fire Control",O1291="Fire Tex 5062",O1291="Fire Tex 5090",O1291="Fire Tex 5120"),'CALCULO PINTURA'!P1292," ")</f>
        <v xml:space="preserve"> </v>
      </c>
      <c r="R1291" s="164" t="str">
        <f>+IF(OR(O1291="Fire Control",O1291="Fire Tex 5062",O1291="Fire Tex 5090",O1291="Fire Tex 5120"),'CALCULO PINTURA'!R1292," ")</f>
        <v xml:space="preserve"> </v>
      </c>
      <c r="S1291" s="164" t="str">
        <f>+IF(OR(O1291="Fire Control",O1291="Fire Tex 5062",O1291="Fire Tex 5090",O1291="Fire Tex 5120"),'CALCULO PINTURA'!S1292," ")</f>
        <v xml:space="preserve"> </v>
      </c>
      <c r="T1291" s="874" t="str">
        <f>+IF(OR(O1291="Blaze Shield II",O1291="Cafco 400",O1291="Cafco 300"),'CALCULO MORTERO'!N1297," ")</f>
        <v xml:space="preserve"> </v>
      </c>
      <c r="U1291" s="875" t="str">
        <f>+IF(OR(O1291="Blaze Shield II",O1291="Cafco 400",O1291="Cafco 300"),'CALCULO MORTERO'!O1297," ")</f>
        <v xml:space="preserve"> </v>
      </c>
      <c r="V1291" s="161" t="str" cm="1">
        <f t="array" ref="V1291">_xlfn.IFS(O1291="Blaze Shield II",'CALCULO MORTERO'!P1292, O1291="Cafco 400",'CALCULO MORTERO'!Q1292,O1291="Cafco 300",'CALCULO MORTERO'!S1292, AND(OR(O1291="Fire tex 5090", O1291="Fire Tex 5062", O1291="Fire Tex 5120", O1291="Fire Control"),Q1291&gt;0), "CERT.",TRUE,"-")</f>
        <v>-</v>
      </c>
    </row>
    <row r="1292" spans="1:22" x14ac:dyDescent="0.25">
      <c r="A1292" s="168"/>
      <c r="B1292" s="876"/>
      <c r="C1292" s="161"/>
      <c r="D1292" s="161"/>
      <c r="E1292" s="161"/>
      <c r="F1292" s="41"/>
      <c r="G1292" s="161"/>
      <c r="H1292" s="161"/>
      <c r="I1292" s="166"/>
      <c r="J1292" s="162"/>
      <c r="K1292" s="161"/>
      <c r="L1292" s="161"/>
      <c r="M1292" s="169"/>
      <c r="N1292" s="163" t="str">
        <f t="shared" si="24"/>
        <v/>
      </c>
      <c r="O1292" s="41"/>
      <c r="P1292" s="41"/>
      <c r="Q1292" s="161" t="str">
        <f>+IF(OR(O1292="Fire Control",O1292="Fire Tex 5062",O1292="Fire Tex 5090",O1292="Fire Tex 5120"),'CALCULO PINTURA'!P1293," ")</f>
        <v xml:space="preserve"> </v>
      </c>
      <c r="R1292" s="164" t="str">
        <f>+IF(OR(O1292="Fire Control",O1292="Fire Tex 5062",O1292="Fire Tex 5090",O1292="Fire Tex 5120"),'CALCULO PINTURA'!R1293," ")</f>
        <v xml:space="preserve"> </v>
      </c>
      <c r="S1292" s="164" t="str">
        <f>+IF(OR(O1292="Fire Control",O1292="Fire Tex 5062",O1292="Fire Tex 5090",O1292="Fire Tex 5120"),'CALCULO PINTURA'!S1293," ")</f>
        <v xml:space="preserve"> </v>
      </c>
      <c r="T1292" s="874" t="str">
        <f>+IF(OR(O1292="Blaze Shield II",O1292="Cafco 400",O1292="Cafco 300"),'CALCULO MORTERO'!N1298," ")</f>
        <v xml:space="preserve"> </v>
      </c>
      <c r="U1292" s="875" t="str">
        <f>+IF(OR(O1292="Blaze Shield II",O1292="Cafco 400",O1292="Cafco 300"),'CALCULO MORTERO'!O1298," ")</f>
        <v xml:space="preserve"> </v>
      </c>
      <c r="V1292" s="161" t="str" cm="1">
        <f t="array" ref="V1292">_xlfn.IFS(O1292="Blaze Shield II",'CALCULO MORTERO'!P1293, O1292="Cafco 400",'CALCULO MORTERO'!Q1293,O1292="Cafco 300",'CALCULO MORTERO'!S1293, AND(OR(O1292="Fire tex 5090", O1292="Fire Tex 5062", O1292="Fire Tex 5120", O1292="Fire Control"),Q1292&gt;0), "CERT.",TRUE,"-")</f>
        <v>-</v>
      </c>
    </row>
    <row r="1293" spans="1:22" x14ac:dyDescent="0.25">
      <c r="A1293" s="168"/>
      <c r="B1293" s="876"/>
      <c r="C1293" s="161"/>
      <c r="D1293" s="161"/>
      <c r="E1293" s="161"/>
      <c r="F1293" s="161"/>
      <c r="G1293" s="161"/>
      <c r="H1293" s="161"/>
      <c r="I1293" s="166"/>
      <c r="J1293" s="162"/>
      <c r="K1293" s="161"/>
      <c r="L1293" s="161"/>
      <c r="M1293" s="169"/>
      <c r="N1293" s="163" t="str">
        <f t="shared" si="24"/>
        <v/>
      </c>
      <c r="O1293" s="41"/>
      <c r="P1293" s="41"/>
      <c r="Q1293" s="161" t="str">
        <f>+IF(OR(O1293="Fire Control",O1293="Fire Tex 5062",O1293="Fire Tex 5090",O1293="Fire Tex 5120"),'CALCULO PINTURA'!P1294," ")</f>
        <v xml:space="preserve"> </v>
      </c>
      <c r="R1293" s="164" t="str">
        <f>+IF(OR(O1293="Fire Control",O1293="Fire Tex 5062",O1293="Fire Tex 5090",O1293="Fire Tex 5120"),'CALCULO PINTURA'!R1294," ")</f>
        <v xml:space="preserve"> </v>
      </c>
      <c r="S1293" s="164" t="str">
        <f>+IF(OR(O1293="Fire Control",O1293="Fire Tex 5062",O1293="Fire Tex 5090",O1293="Fire Tex 5120"),'CALCULO PINTURA'!S1294," ")</f>
        <v xml:space="preserve"> </v>
      </c>
      <c r="T1293" s="874" t="str">
        <f>+IF(OR(O1293="Blaze Shield II",O1293="Cafco 400",O1293="Cafco 300"),'CALCULO MORTERO'!N1299," ")</f>
        <v xml:space="preserve"> </v>
      </c>
      <c r="U1293" s="875" t="str">
        <f>+IF(OR(O1293="Blaze Shield II",O1293="Cafco 400",O1293="Cafco 300"),'CALCULO MORTERO'!O1299," ")</f>
        <v xml:space="preserve"> </v>
      </c>
      <c r="V1293" s="161" t="str" cm="1">
        <f t="array" ref="V1293">_xlfn.IFS(O1293="Blaze Shield II",'CALCULO MORTERO'!P1294, O1293="Cafco 400",'CALCULO MORTERO'!Q1294,O1293="Cafco 300",'CALCULO MORTERO'!S1294, AND(OR(O1293="Fire tex 5090", O1293="Fire Tex 5062", O1293="Fire Tex 5120", O1293="Fire Control"),Q1293&gt;0), "CERT.",TRUE,"-")</f>
        <v>-</v>
      </c>
    </row>
    <row r="1294" spans="1:22" x14ac:dyDescent="0.25">
      <c r="A1294" s="168"/>
      <c r="B1294" s="876"/>
      <c r="C1294" s="161"/>
      <c r="D1294" s="161"/>
      <c r="E1294" s="161"/>
      <c r="F1294" s="161"/>
      <c r="G1294" s="161"/>
      <c r="H1294" s="161"/>
      <c r="I1294" s="166"/>
      <c r="J1294" s="162"/>
      <c r="K1294" s="161"/>
      <c r="L1294" s="161"/>
      <c r="M1294" s="163"/>
      <c r="N1294" s="163" t="str">
        <f t="shared" si="24"/>
        <v/>
      </c>
      <c r="O1294" s="41"/>
      <c r="P1294" s="41"/>
      <c r="Q1294" s="161" t="str">
        <f>+IF(OR(O1294="Fire Control",O1294="Fire Tex 5062",O1294="Fire Tex 5090",O1294="Fire Tex 5120"),'CALCULO PINTURA'!P1295," ")</f>
        <v xml:space="preserve"> </v>
      </c>
      <c r="R1294" s="164" t="str">
        <f>+IF(OR(O1294="Fire Control",O1294="Fire Tex 5062",O1294="Fire Tex 5090",O1294="Fire Tex 5120"),'CALCULO PINTURA'!R1295," ")</f>
        <v xml:space="preserve"> </v>
      </c>
      <c r="S1294" s="164" t="str">
        <f>+IF(OR(O1294="Fire Control",O1294="Fire Tex 5062",O1294="Fire Tex 5090",O1294="Fire Tex 5120"),'CALCULO PINTURA'!S1295," ")</f>
        <v xml:space="preserve"> </v>
      </c>
      <c r="T1294" s="874" t="str">
        <f>+IF(OR(O1294="Blaze Shield II",O1294="Cafco 400",O1294="Cafco 300"),'CALCULO MORTERO'!N1300," ")</f>
        <v xml:space="preserve"> </v>
      </c>
      <c r="U1294" s="875" t="str">
        <f>+IF(OR(O1294="Blaze Shield II",O1294="Cafco 400",O1294="Cafco 300"),'CALCULO MORTERO'!O1300," ")</f>
        <v xml:space="preserve"> </v>
      </c>
      <c r="V1294" s="161" t="str" cm="1">
        <f t="array" ref="V1294">_xlfn.IFS(O1294="Blaze Shield II",'CALCULO MORTERO'!P1295, O1294="Cafco 400",'CALCULO MORTERO'!Q1295,O1294="Cafco 300",'CALCULO MORTERO'!S1295, AND(OR(O1294="Fire tex 5090", O1294="Fire Tex 5062", O1294="Fire Tex 5120", O1294="Fire Control"),Q1294&gt;0), "CERT.",TRUE,"-")</f>
        <v>-</v>
      </c>
    </row>
    <row r="1295" spans="1:22" x14ac:dyDescent="0.25">
      <c r="A1295" s="168"/>
      <c r="B1295" s="876"/>
      <c r="C1295" s="161"/>
      <c r="D1295" s="161"/>
      <c r="E1295" s="161"/>
      <c r="F1295" s="41"/>
      <c r="G1295" s="161"/>
      <c r="H1295" s="161"/>
      <c r="I1295" s="166"/>
      <c r="J1295" s="162"/>
      <c r="K1295" s="161"/>
      <c r="L1295" s="161"/>
      <c r="M1295" s="163"/>
      <c r="N1295" s="163" t="str">
        <f t="shared" si="24"/>
        <v/>
      </c>
      <c r="O1295" s="41"/>
      <c r="P1295" s="41"/>
      <c r="Q1295" s="161" t="str">
        <f>+IF(OR(O1295="Fire Control",O1295="Fire Tex 5062",O1295="Fire Tex 5090",O1295="Fire Tex 5120"),'CALCULO PINTURA'!P1296," ")</f>
        <v xml:space="preserve"> </v>
      </c>
      <c r="R1295" s="164" t="str">
        <f>+IF(OR(O1295="Fire Control",O1295="Fire Tex 5062",O1295="Fire Tex 5090",O1295="Fire Tex 5120"),'CALCULO PINTURA'!R1296," ")</f>
        <v xml:space="preserve"> </v>
      </c>
      <c r="S1295" s="164" t="str">
        <f>+IF(OR(O1295="Fire Control",O1295="Fire Tex 5062",O1295="Fire Tex 5090",O1295="Fire Tex 5120"),'CALCULO PINTURA'!S1296," ")</f>
        <v xml:space="preserve"> </v>
      </c>
      <c r="T1295" s="874" t="str">
        <f>+IF(OR(O1295="Blaze Shield II",O1295="Cafco 400",O1295="Cafco 300"),'CALCULO MORTERO'!N1301," ")</f>
        <v xml:space="preserve"> </v>
      </c>
      <c r="U1295" s="875" t="str">
        <f>+IF(OR(O1295="Blaze Shield II",O1295="Cafco 400",O1295="Cafco 300"),'CALCULO MORTERO'!O1301," ")</f>
        <v xml:space="preserve"> </v>
      </c>
      <c r="V1295" s="161" t="str" cm="1">
        <f t="array" ref="V1295">_xlfn.IFS(O1295="Blaze Shield II",'CALCULO MORTERO'!P1296, O1295="Cafco 400",'CALCULO MORTERO'!Q1296,O1295="Cafco 300",'CALCULO MORTERO'!S1296, AND(OR(O1295="Fire tex 5090", O1295="Fire Tex 5062", O1295="Fire Tex 5120", O1295="Fire Control"),Q1295&gt;0), "CERT.",TRUE,"-")</f>
        <v>-</v>
      </c>
    </row>
    <row r="1296" spans="1:22" x14ac:dyDescent="0.25">
      <c r="A1296" s="168"/>
      <c r="B1296" s="876"/>
      <c r="C1296" s="161"/>
      <c r="D1296" s="161"/>
      <c r="E1296" s="161"/>
      <c r="F1296" s="161"/>
      <c r="G1296" s="161"/>
      <c r="H1296" s="161"/>
      <c r="I1296" s="166"/>
      <c r="J1296" s="162"/>
      <c r="K1296" s="161"/>
      <c r="L1296" s="161"/>
      <c r="M1296" s="163"/>
      <c r="N1296" s="163" t="str">
        <f t="shared" si="24"/>
        <v/>
      </c>
      <c r="O1296" s="41"/>
      <c r="P1296" s="41"/>
      <c r="Q1296" s="161" t="str">
        <f>+IF(OR(O1296="Fire Control",O1296="Fire Tex 5062",O1296="Fire Tex 5090",O1296="Fire Tex 5120"),'CALCULO PINTURA'!P1297," ")</f>
        <v xml:space="preserve"> </v>
      </c>
      <c r="R1296" s="164" t="str">
        <f>+IF(OR(O1296="Fire Control",O1296="Fire Tex 5062",O1296="Fire Tex 5090",O1296="Fire Tex 5120"),'CALCULO PINTURA'!R1297," ")</f>
        <v xml:space="preserve"> </v>
      </c>
      <c r="S1296" s="164" t="str">
        <f>+IF(OR(O1296="Fire Control",O1296="Fire Tex 5062",O1296="Fire Tex 5090",O1296="Fire Tex 5120"),'CALCULO PINTURA'!S1297," ")</f>
        <v xml:space="preserve"> </v>
      </c>
      <c r="T1296" s="874" t="str">
        <f>+IF(OR(O1296="Blaze Shield II",O1296="Cafco 400",O1296="Cafco 300"),'CALCULO MORTERO'!N1302," ")</f>
        <v xml:space="preserve"> </v>
      </c>
      <c r="U1296" s="875" t="str">
        <f>+IF(OR(O1296="Blaze Shield II",O1296="Cafco 400",O1296="Cafco 300"),'CALCULO MORTERO'!O1302," ")</f>
        <v xml:space="preserve"> </v>
      </c>
      <c r="V1296" s="161" t="str" cm="1">
        <f t="array" ref="V1296">_xlfn.IFS(O1296="Blaze Shield II",'CALCULO MORTERO'!P1297, O1296="Cafco 400",'CALCULO MORTERO'!Q1297,O1296="Cafco 300",'CALCULO MORTERO'!S1297, AND(OR(O1296="Fire tex 5090", O1296="Fire Tex 5062", O1296="Fire Tex 5120", O1296="Fire Control"),Q1296&gt;0), "CERT.",TRUE,"-")</f>
        <v>-</v>
      </c>
    </row>
    <row r="1297" spans="1:22" x14ac:dyDescent="0.25">
      <c r="A1297" s="168"/>
      <c r="B1297" s="876"/>
      <c r="C1297" s="161"/>
      <c r="D1297" s="161"/>
      <c r="E1297" s="161"/>
      <c r="F1297" s="161"/>
      <c r="G1297" s="161"/>
      <c r="H1297" s="161"/>
      <c r="I1297" s="166"/>
      <c r="J1297" s="162"/>
      <c r="K1297" s="161"/>
      <c r="L1297" s="161"/>
      <c r="M1297" s="169"/>
      <c r="N1297" s="163" t="str">
        <f t="shared" si="24"/>
        <v/>
      </c>
      <c r="O1297" s="41"/>
      <c r="P1297" s="41"/>
      <c r="Q1297" s="161" t="str">
        <f>+IF(OR(O1297="Fire Control",O1297="Fire Tex 5062",O1297="Fire Tex 5090",O1297="Fire Tex 5120"),'CALCULO PINTURA'!P1298," ")</f>
        <v xml:space="preserve"> </v>
      </c>
      <c r="R1297" s="164" t="str">
        <f>+IF(OR(O1297="Fire Control",O1297="Fire Tex 5062",O1297="Fire Tex 5090",O1297="Fire Tex 5120"),'CALCULO PINTURA'!R1298," ")</f>
        <v xml:space="preserve"> </v>
      </c>
      <c r="S1297" s="164" t="str">
        <f>+IF(OR(O1297="Fire Control",O1297="Fire Tex 5062",O1297="Fire Tex 5090",O1297="Fire Tex 5120"),'CALCULO PINTURA'!S1298," ")</f>
        <v xml:space="preserve"> </v>
      </c>
      <c r="T1297" s="874" t="str">
        <f>+IF(OR(O1297="Blaze Shield II",O1297="Cafco 400",O1297="Cafco 300"),'CALCULO MORTERO'!N1303," ")</f>
        <v xml:space="preserve"> </v>
      </c>
      <c r="U1297" s="875" t="str">
        <f>+IF(OR(O1297="Blaze Shield II",O1297="Cafco 400",O1297="Cafco 300"),'CALCULO MORTERO'!O1303," ")</f>
        <v xml:space="preserve"> </v>
      </c>
      <c r="V1297" s="161" t="str" cm="1">
        <f t="array" ref="V1297">_xlfn.IFS(O1297="Blaze Shield II",'CALCULO MORTERO'!P1298, O1297="Cafco 400",'CALCULO MORTERO'!Q1298,O1297="Cafco 300",'CALCULO MORTERO'!S1298, AND(OR(O1297="Fire tex 5090", O1297="Fire Tex 5062", O1297="Fire Tex 5120", O1297="Fire Control"),Q1297&gt;0), "CERT.",TRUE,"-")</f>
        <v>-</v>
      </c>
    </row>
    <row r="1298" spans="1:22" x14ac:dyDescent="0.25">
      <c r="A1298" s="168"/>
      <c r="B1298" s="876"/>
      <c r="C1298" s="161"/>
      <c r="D1298" s="161"/>
      <c r="E1298" s="161"/>
      <c r="F1298" s="161"/>
      <c r="G1298" s="161"/>
      <c r="H1298" s="161"/>
      <c r="I1298" s="166"/>
      <c r="J1298" s="162"/>
      <c r="K1298" s="161"/>
      <c r="L1298" s="161"/>
      <c r="M1298" s="163"/>
      <c r="N1298" s="163" t="str">
        <f t="shared" si="24"/>
        <v/>
      </c>
      <c r="O1298" s="41"/>
      <c r="P1298" s="41"/>
      <c r="Q1298" s="161" t="str">
        <f>+IF(OR(O1298="Fire Control",O1298="Fire Tex 5062",O1298="Fire Tex 5090",O1298="Fire Tex 5120"),'CALCULO PINTURA'!P1299," ")</f>
        <v xml:space="preserve"> </v>
      </c>
      <c r="R1298" s="164" t="str">
        <f>+IF(OR(O1298="Fire Control",O1298="Fire Tex 5062",O1298="Fire Tex 5090",O1298="Fire Tex 5120"),'CALCULO PINTURA'!R1299," ")</f>
        <v xml:space="preserve"> </v>
      </c>
      <c r="S1298" s="164" t="str">
        <f>+IF(OR(O1298="Fire Control",O1298="Fire Tex 5062",O1298="Fire Tex 5090",O1298="Fire Tex 5120"),'CALCULO PINTURA'!S1299," ")</f>
        <v xml:space="preserve"> </v>
      </c>
      <c r="T1298" s="874" t="str">
        <f>+IF(OR(O1298="Blaze Shield II",O1298="Cafco 400",O1298="Cafco 300"),'CALCULO MORTERO'!N1304," ")</f>
        <v xml:space="preserve"> </v>
      </c>
      <c r="U1298" s="875" t="str">
        <f>+IF(OR(O1298="Blaze Shield II",O1298="Cafco 400",O1298="Cafco 300"),'CALCULO MORTERO'!O1304," ")</f>
        <v xml:space="preserve"> </v>
      </c>
      <c r="V1298" s="161" t="str" cm="1">
        <f t="array" ref="V1298">_xlfn.IFS(O1298="Blaze Shield II",'CALCULO MORTERO'!P1299, O1298="Cafco 400",'CALCULO MORTERO'!Q1299,O1298="Cafco 300",'CALCULO MORTERO'!S1299, AND(OR(O1298="Fire tex 5090", O1298="Fire Tex 5062", O1298="Fire Tex 5120", O1298="Fire Control"),Q1298&gt;0), "CERT.",TRUE,"-")</f>
        <v>-</v>
      </c>
    </row>
    <row r="1299" spans="1:22" x14ac:dyDescent="0.25">
      <c r="A1299" s="168"/>
      <c r="B1299" s="876"/>
      <c r="C1299" s="161"/>
      <c r="D1299" s="161"/>
      <c r="E1299" s="161"/>
      <c r="F1299" s="41"/>
      <c r="G1299" s="161"/>
      <c r="H1299" s="161"/>
      <c r="I1299" s="166"/>
      <c r="J1299" s="162"/>
      <c r="K1299" s="161"/>
      <c r="L1299" s="161"/>
      <c r="M1299" s="163"/>
      <c r="N1299" s="163" t="str">
        <f t="shared" si="24"/>
        <v/>
      </c>
      <c r="O1299" s="41"/>
      <c r="P1299" s="41"/>
      <c r="Q1299" s="161" t="str">
        <f>+IF(OR(O1299="Fire Control",O1299="Fire Tex 5062",O1299="Fire Tex 5090",O1299="Fire Tex 5120"),'CALCULO PINTURA'!P1300," ")</f>
        <v xml:space="preserve"> </v>
      </c>
      <c r="R1299" s="164" t="str">
        <f>+IF(OR(O1299="Fire Control",O1299="Fire Tex 5062",O1299="Fire Tex 5090",O1299="Fire Tex 5120"),'CALCULO PINTURA'!R1300," ")</f>
        <v xml:space="preserve"> </v>
      </c>
      <c r="S1299" s="164" t="str">
        <f>+IF(OR(O1299="Fire Control",O1299="Fire Tex 5062",O1299="Fire Tex 5090",O1299="Fire Tex 5120"),'CALCULO PINTURA'!S1300," ")</f>
        <v xml:space="preserve"> </v>
      </c>
      <c r="T1299" s="874" t="str">
        <f>+IF(OR(O1299="Blaze Shield II",O1299="Cafco 400",O1299="Cafco 300"),'CALCULO MORTERO'!N1305," ")</f>
        <v xml:space="preserve"> </v>
      </c>
      <c r="U1299" s="875" t="str">
        <f>+IF(OR(O1299="Blaze Shield II",O1299="Cafco 400",O1299="Cafco 300"),'CALCULO MORTERO'!O1305," ")</f>
        <v xml:space="preserve"> </v>
      </c>
      <c r="V1299" s="161" t="str" cm="1">
        <f t="array" ref="V1299">_xlfn.IFS(O1299="Blaze Shield II",'CALCULO MORTERO'!P1300, O1299="Cafco 400",'CALCULO MORTERO'!Q1300,O1299="Cafco 300",'CALCULO MORTERO'!S1300, AND(OR(O1299="Fire tex 5090", O1299="Fire Tex 5062", O1299="Fire Tex 5120", O1299="Fire Control"),Q1299&gt;0), "CERT.",TRUE,"-")</f>
        <v>-</v>
      </c>
    </row>
    <row r="1300" spans="1:22" x14ac:dyDescent="0.25">
      <c r="A1300" s="168"/>
      <c r="B1300" s="876"/>
      <c r="C1300" s="161"/>
      <c r="D1300" s="161"/>
      <c r="E1300" s="161"/>
      <c r="F1300" s="161"/>
      <c r="G1300" s="161"/>
      <c r="H1300" s="161"/>
      <c r="I1300" s="166"/>
      <c r="J1300" s="162"/>
      <c r="K1300" s="161"/>
      <c r="L1300" s="161"/>
      <c r="M1300" s="163"/>
      <c r="N1300" s="163" t="str">
        <f t="shared" si="24"/>
        <v/>
      </c>
      <c r="O1300" s="41"/>
      <c r="P1300" s="41"/>
      <c r="Q1300" s="161" t="str">
        <f>+IF(OR(O1300="Fire Control",O1300="Fire Tex 5062",O1300="Fire Tex 5090",O1300="Fire Tex 5120"),'CALCULO PINTURA'!P1301," ")</f>
        <v xml:space="preserve"> </v>
      </c>
      <c r="R1300" s="164" t="str">
        <f>+IF(OR(O1300="Fire Control",O1300="Fire Tex 5062",O1300="Fire Tex 5090",O1300="Fire Tex 5120"),'CALCULO PINTURA'!R1301," ")</f>
        <v xml:space="preserve"> </v>
      </c>
      <c r="S1300" s="164" t="str">
        <f>+IF(OR(O1300="Fire Control",O1300="Fire Tex 5062",O1300="Fire Tex 5090",O1300="Fire Tex 5120"),'CALCULO PINTURA'!S1301," ")</f>
        <v xml:space="preserve"> </v>
      </c>
      <c r="T1300" s="874" t="str">
        <f>+IF(OR(O1300="Blaze Shield II",O1300="Cafco 400",O1300="Cafco 300"),'CALCULO MORTERO'!N1306," ")</f>
        <v xml:space="preserve"> </v>
      </c>
      <c r="U1300" s="875" t="str">
        <f>+IF(OR(O1300="Blaze Shield II",O1300="Cafco 400",O1300="Cafco 300"),'CALCULO MORTERO'!O1306," ")</f>
        <v xml:space="preserve"> </v>
      </c>
      <c r="V1300" s="161" t="str" cm="1">
        <f t="array" ref="V1300">_xlfn.IFS(O1300="Blaze Shield II",'CALCULO MORTERO'!P1301, O1300="Cafco 400",'CALCULO MORTERO'!Q1301,O1300="Cafco 300",'CALCULO MORTERO'!S1301, AND(OR(O1300="Fire tex 5090", O1300="Fire Tex 5062", O1300="Fire Tex 5120", O1300="Fire Control"),Q1300&gt;0), "CERT.",TRUE,"-")</f>
        <v>-</v>
      </c>
    </row>
    <row r="1301" spans="1:22" x14ac:dyDescent="0.25">
      <c r="A1301" s="168"/>
      <c r="B1301" s="876"/>
      <c r="C1301" s="161"/>
      <c r="D1301" s="161"/>
      <c r="E1301" s="161"/>
      <c r="F1301" s="41"/>
      <c r="G1301" s="161"/>
      <c r="H1301" s="161"/>
      <c r="I1301" s="166"/>
      <c r="J1301" s="162"/>
      <c r="K1301" s="161"/>
      <c r="L1301" s="161"/>
      <c r="M1301" s="163"/>
      <c r="N1301" s="163" t="str">
        <f t="shared" si="24"/>
        <v/>
      </c>
      <c r="O1301" s="41"/>
      <c r="P1301" s="41"/>
      <c r="Q1301" s="161" t="str">
        <f>+IF(OR(O1301="Fire Control",O1301="Fire Tex 5062",O1301="Fire Tex 5090",O1301="Fire Tex 5120"),'CALCULO PINTURA'!P1302," ")</f>
        <v xml:space="preserve"> </v>
      </c>
      <c r="R1301" s="164" t="str">
        <f>+IF(OR(O1301="Fire Control",O1301="Fire Tex 5062",O1301="Fire Tex 5090",O1301="Fire Tex 5120"),'CALCULO PINTURA'!R1302," ")</f>
        <v xml:space="preserve"> </v>
      </c>
      <c r="S1301" s="164" t="str">
        <f>+IF(OR(O1301="Fire Control",O1301="Fire Tex 5062",O1301="Fire Tex 5090",O1301="Fire Tex 5120"),'CALCULO PINTURA'!S1302," ")</f>
        <v xml:space="preserve"> </v>
      </c>
      <c r="T1301" s="874" t="str">
        <f>+IF(OR(O1301="Blaze Shield II",O1301="Cafco 400",O1301="Cafco 300"),'CALCULO MORTERO'!N1307," ")</f>
        <v xml:space="preserve"> </v>
      </c>
      <c r="U1301" s="875" t="str">
        <f>+IF(OR(O1301="Blaze Shield II",O1301="Cafco 400",O1301="Cafco 300"),'CALCULO MORTERO'!O1307," ")</f>
        <v xml:space="preserve"> </v>
      </c>
      <c r="V1301" s="161" t="str" cm="1">
        <f t="array" ref="V1301">_xlfn.IFS(O1301="Blaze Shield II",'CALCULO MORTERO'!P1302, O1301="Cafco 400",'CALCULO MORTERO'!Q1302,O1301="Cafco 300",'CALCULO MORTERO'!S1302, AND(OR(O1301="Fire tex 5090", O1301="Fire Tex 5062", O1301="Fire Tex 5120", O1301="Fire Control"),Q1301&gt;0), "CERT.",TRUE,"-")</f>
        <v>-</v>
      </c>
    </row>
    <row r="1302" spans="1:22" x14ac:dyDescent="0.25">
      <c r="A1302" s="168"/>
      <c r="B1302" s="876"/>
      <c r="C1302" s="161"/>
      <c r="D1302" s="161"/>
      <c r="E1302" s="161"/>
      <c r="F1302" s="161"/>
      <c r="G1302" s="161"/>
      <c r="H1302" s="161"/>
      <c r="I1302" s="166"/>
      <c r="J1302" s="162"/>
      <c r="K1302" s="161"/>
      <c r="L1302" s="161"/>
      <c r="M1302" s="163"/>
      <c r="N1302" s="163" t="str">
        <f t="shared" si="24"/>
        <v/>
      </c>
      <c r="O1302" s="41"/>
      <c r="P1302" s="41"/>
      <c r="Q1302" s="161" t="str">
        <f>+IF(OR(O1302="Fire Control",O1302="Fire Tex 5062",O1302="Fire Tex 5090",O1302="Fire Tex 5120"),'CALCULO PINTURA'!P1303," ")</f>
        <v xml:space="preserve"> </v>
      </c>
      <c r="R1302" s="164" t="str">
        <f>+IF(OR(O1302="Fire Control",O1302="Fire Tex 5062",O1302="Fire Tex 5090",O1302="Fire Tex 5120"),'CALCULO PINTURA'!R1303," ")</f>
        <v xml:space="preserve"> </v>
      </c>
      <c r="S1302" s="164" t="str">
        <f>+IF(OR(O1302="Fire Control",O1302="Fire Tex 5062",O1302="Fire Tex 5090",O1302="Fire Tex 5120"),'CALCULO PINTURA'!S1303," ")</f>
        <v xml:space="preserve"> </v>
      </c>
      <c r="T1302" s="874" t="str">
        <f>+IF(OR(O1302="Blaze Shield II",O1302="Cafco 400",O1302="Cafco 300"),'CALCULO MORTERO'!N1308," ")</f>
        <v xml:space="preserve"> </v>
      </c>
      <c r="U1302" s="875" t="str">
        <f>+IF(OR(O1302="Blaze Shield II",O1302="Cafco 400",O1302="Cafco 300"),'CALCULO MORTERO'!O1308," ")</f>
        <v xml:space="preserve"> </v>
      </c>
      <c r="V1302" s="161" t="str" cm="1">
        <f t="array" ref="V1302">_xlfn.IFS(O1302="Blaze Shield II",'CALCULO MORTERO'!P1303, O1302="Cafco 400",'CALCULO MORTERO'!Q1303,O1302="Cafco 300",'CALCULO MORTERO'!S1303, AND(OR(O1302="Fire tex 5090", O1302="Fire Tex 5062", O1302="Fire Tex 5120", O1302="Fire Control"),Q1302&gt;0), "CERT.",TRUE,"-")</f>
        <v>-</v>
      </c>
    </row>
    <row r="1303" spans="1:22" x14ac:dyDescent="0.25">
      <c r="A1303" s="168"/>
      <c r="B1303" s="876"/>
      <c r="C1303" s="161"/>
      <c r="D1303" s="161"/>
      <c r="E1303" s="161"/>
      <c r="F1303" s="41"/>
      <c r="G1303" s="161"/>
      <c r="H1303" s="161"/>
      <c r="I1303" s="166"/>
      <c r="J1303" s="162"/>
      <c r="K1303" s="161"/>
      <c r="L1303" s="161"/>
      <c r="M1303" s="169"/>
      <c r="N1303" s="163" t="str">
        <f t="shared" si="24"/>
        <v/>
      </c>
      <c r="O1303" s="41"/>
      <c r="P1303" s="41"/>
      <c r="Q1303" s="161" t="str">
        <f>+IF(OR(O1303="Fire Control",O1303="Fire Tex 5062",O1303="Fire Tex 5090",O1303="Fire Tex 5120"),'CALCULO PINTURA'!P1304," ")</f>
        <v xml:space="preserve"> </v>
      </c>
      <c r="R1303" s="164" t="str">
        <f>+IF(OR(O1303="Fire Control",O1303="Fire Tex 5062",O1303="Fire Tex 5090",O1303="Fire Tex 5120"),'CALCULO PINTURA'!R1304," ")</f>
        <v xml:space="preserve"> </v>
      </c>
      <c r="S1303" s="164" t="str">
        <f>+IF(OR(O1303="Fire Control",O1303="Fire Tex 5062",O1303="Fire Tex 5090",O1303="Fire Tex 5120"),'CALCULO PINTURA'!S1304," ")</f>
        <v xml:space="preserve"> </v>
      </c>
      <c r="T1303" s="874" t="str">
        <f>+IF(OR(O1303="Blaze Shield II",O1303="Cafco 400",O1303="Cafco 300"),'CALCULO MORTERO'!N1309," ")</f>
        <v xml:space="preserve"> </v>
      </c>
      <c r="U1303" s="875" t="str">
        <f>+IF(OR(O1303="Blaze Shield II",O1303="Cafco 400",O1303="Cafco 300"),'CALCULO MORTERO'!O1309," ")</f>
        <v xml:space="preserve"> </v>
      </c>
      <c r="V1303" s="161" t="str" cm="1">
        <f t="array" ref="V1303">_xlfn.IFS(O1303="Blaze Shield II",'CALCULO MORTERO'!P1304, O1303="Cafco 400",'CALCULO MORTERO'!Q1304,O1303="Cafco 300",'CALCULO MORTERO'!S1304, AND(OR(O1303="Fire tex 5090", O1303="Fire Tex 5062", O1303="Fire Tex 5120", O1303="Fire Control"),Q1303&gt;0), "CERT.",TRUE,"-")</f>
        <v>-</v>
      </c>
    </row>
    <row r="1304" spans="1:22" x14ac:dyDescent="0.25">
      <c r="A1304" s="168"/>
      <c r="B1304" s="876"/>
      <c r="C1304" s="161"/>
      <c r="D1304" s="161"/>
      <c r="E1304" s="161"/>
      <c r="F1304" s="41"/>
      <c r="G1304" s="161"/>
      <c r="H1304" s="161"/>
      <c r="I1304" s="166"/>
      <c r="J1304" s="162"/>
      <c r="K1304" s="161"/>
      <c r="L1304" s="161"/>
      <c r="M1304" s="169"/>
      <c r="N1304" s="163" t="str">
        <f t="shared" si="24"/>
        <v/>
      </c>
      <c r="O1304" s="41"/>
      <c r="P1304" s="41"/>
      <c r="Q1304" s="161" t="str">
        <f>+IF(OR(O1304="Fire Control",O1304="Fire Tex 5062",O1304="Fire Tex 5090",O1304="Fire Tex 5120"),'CALCULO PINTURA'!P1305," ")</f>
        <v xml:space="preserve"> </v>
      </c>
      <c r="R1304" s="164" t="str">
        <f>+IF(OR(O1304="Fire Control",O1304="Fire Tex 5062",O1304="Fire Tex 5090",O1304="Fire Tex 5120"),'CALCULO PINTURA'!R1305," ")</f>
        <v xml:space="preserve"> </v>
      </c>
      <c r="S1304" s="164" t="str">
        <f>+IF(OR(O1304="Fire Control",O1304="Fire Tex 5062",O1304="Fire Tex 5090",O1304="Fire Tex 5120"),'CALCULO PINTURA'!S1305," ")</f>
        <v xml:space="preserve"> </v>
      </c>
      <c r="T1304" s="874" t="str">
        <f>+IF(OR(O1304="Blaze Shield II",O1304="Cafco 400",O1304="Cafco 300"),'CALCULO MORTERO'!N1310," ")</f>
        <v xml:space="preserve"> </v>
      </c>
      <c r="U1304" s="875" t="str">
        <f>+IF(OR(O1304="Blaze Shield II",O1304="Cafco 400",O1304="Cafco 300"),'CALCULO MORTERO'!O1310," ")</f>
        <v xml:space="preserve"> </v>
      </c>
      <c r="V1304" s="161" t="str" cm="1">
        <f t="array" ref="V1304">_xlfn.IFS(O1304="Blaze Shield II",'CALCULO MORTERO'!P1305, O1304="Cafco 400",'CALCULO MORTERO'!Q1305,O1304="Cafco 300",'CALCULO MORTERO'!S1305, AND(OR(O1304="Fire tex 5090", O1304="Fire Tex 5062", O1304="Fire Tex 5120", O1304="Fire Control"),Q1304&gt;0), "CERT.",TRUE,"-")</f>
        <v>-</v>
      </c>
    </row>
    <row r="1305" spans="1:22" x14ac:dyDescent="0.25">
      <c r="A1305" s="168"/>
      <c r="B1305" s="876"/>
      <c r="C1305" s="161"/>
      <c r="D1305" s="161"/>
      <c r="E1305" s="161"/>
      <c r="F1305" s="41"/>
      <c r="G1305" s="161"/>
      <c r="H1305" s="161"/>
      <c r="I1305" s="166"/>
      <c r="J1305" s="162"/>
      <c r="K1305" s="161"/>
      <c r="L1305" s="161"/>
      <c r="M1305" s="169"/>
      <c r="N1305" s="163" t="str">
        <f t="shared" si="24"/>
        <v/>
      </c>
      <c r="O1305" s="41"/>
      <c r="P1305" s="41"/>
      <c r="Q1305" s="161" t="str">
        <f>+IF(OR(O1305="Fire Control",O1305="Fire Tex 5062",O1305="Fire Tex 5090",O1305="Fire Tex 5120"),'CALCULO PINTURA'!P1306," ")</f>
        <v xml:space="preserve"> </v>
      </c>
      <c r="R1305" s="164" t="str">
        <f>+IF(OR(O1305="Fire Control",O1305="Fire Tex 5062",O1305="Fire Tex 5090",O1305="Fire Tex 5120"),'CALCULO PINTURA'!R1306," ")</f>
        <v xml:space="preserve"> </v>
      </c>
      <c r="S1305" s="164" t="str">
        <f>+IF(OR(O1305="Fire Control",O1305="Fire Tex 5062",O1305="Fire Tex 5090",O1305="Fire Tex 5120"),'CALCULO PINTURA'!S1306," ")</f>
        <v xml:space="preserve"> </v>
      </c>
      <c r="T1305" s="874" t="str">
        <f>+IF(OR(O1305="Blaze Shield II",O1305="Cafco 400",O1305="Cafco 300"),'CALCULO MORTERO'!N1311," ")</f>
        <v xml:space="preserve"> </v>
      </c>
      <c r="U1305" s="875" t="str">
        <f>+IF(OR(O1305="Blaze Shield II",O1305="Cafco 400",O1305="Cafco 300"),'CALCULO MORTERO'!O1311," ")</f>
        <v xml:space="preserve"> </v>
      </c>
      <c r="V1305" s="161" t="str" cm="1">
        <f t="array" ref="V1305">_xlfn.IFS(O1305="Blaze Shield II",'CALCULO MORTERO'!P1306, O1305="Cafco 400",'CALCULO MORTERO'!Q1306,O1305="Cafco 300",'CALCULO MORTERO'!S1306, AND(OR(O1305="Fire tex 5090", O1305="Fire Tex 5062", O1305="Fire Tex 5120", O1305="Fire Control"),Q1305&gt;0), "CERT.",TRUE,"-")</f>
        <v>-</v>
      </c>
    </row>
    <row r="1306" spans="1:22" x14ac:dyDescent="0.25">
      <c r="A1306" s="168"/>
      <c r="B1306" s="876"/>
      <c r="C1306" s="161"/>
      <c r="D1306" s="161"/>
      <c r="E1306" s="161"/>
      <c r="F1306" s="41"/>
      <c r="G1306" s="161"/>
      <c r="H1306" s="161"/>
      <c r="I1306" s="166"/>
      <c r="J1306" s="162"/>
      <c r="K1306" s="161"/>
      <c r="L1306" s="161"/>
      <c r="M1306" s="169"/>
      <c r="N1306" s="163" t="str">
        <f t="shared" si="24"/>
        <v/>
      </c>
      <c r="O1306" s="41"/>
      <c r="P1306" s="41"/>
      <c r="Q1306" s="161" t="str">
        <f>+IF(OR(O1306="Fire Control",O1306="Fire Tex 5062",O1306="Fire Tex 5090",O1306="Fire Tex 5120"),'CALCULO PINTURA'!P1307," ")</f>
        <v xml:space="preserve"> </v>
      </c>
      <c r="R1306" s="164" t="str">
        <f>+IF(OR(O1306="Fire Control",O1306="Fire Tex 5062",O1306="Fire Tex 5090",O1306="Fire Tex 5120"),'CALCULO PINTURA'!R1307," ")</f>
        <v xml:space="preserve"> </v>
      </c>
      <c r="S1306" s="164" t="str">
        <f>+IF(OR(O1306="Fire Control",O1306="Fire Tex 5062",O1306="Fire Tex 5090",O1306="Fire Tex 5120"),'CALCULO PINTURA'!S1307," ")</f>
        <v xml:space="preserve"> </v>
      </c>
      <c r="T1306" s="874" t="str">
        <f>+IF(OR(O1306="Blaze Shield II",O1306="Cafco 400",O1306="Cafco 300"),'CALCULO MORTERO'!N1312," ")</f>
        <v xml:space="preserve"> </v>
      </c>
      <c r="U1306" s="875" t="str">
        <f>+IF(OR(O1306="Blaze Shield II",O1306="Cafco 400",O1306="Cafco 300"),'CALCULO MORTERO'!O1312," ")</f>
        <v xml:space="preserve"> </v>
      </c>
      <c r="V1306" s="161" t="str" cm="1">
        <f t="array" ref="V1306">_xlfn.IFS(O1306="Blaze Shield II",'CALCULO MORTERO'!P1307, O1306="Cafco 400",'CALCULO MORTERO'!Q1307,O1306="Cafco 300",'CALCULO MORTERO'!S1307, AND(OR(O1306="Fire tex 5090", O1306="Fire Tex 5062", O1306="Fire Tex 5120", O1306="Fire Control"),Q1306&gt;0), "CERT.",TRUE,"-")</f>
        <v>-</v>
      </c>
    </row>
    <row r="1307" spans="1:22" x14ac:dyDescent="0.25">
      <c r="A1307" s="168"/>
      <c r="B1307" s="876"/>
      <c r="C1307" s="161"/>
      <c r="D1307" s="161"/>
      <c r="E1307" s="161"/>
      <c r="F1307" s="41"/>
      <c r="G1307" s="161"/>
      <c r="H1307" s="161"/>
      <c r="I1307" s="166"/>
      <c r="J1307" s="162"/>
      <c r="K1307" s="161"/>
      <c r="L1307" s="161"/>
      <c r="M1307" s="169"/>
      <c r="N1307" s="163" t="str">
        <f t="shared" si="24"/>
        <v/>
      </c>
      <c r="O1307" s="41"/>
      <c r="P1307" s="41"/>
      <c r="Q1307" s="161" t="str">
        <f>+IF(OR(O1307="Fire Control",O1307="Fire Tex 5062",O1307="Fire Tex 5090",O1307="Fire Tex 5120"),'CALCULO PINTURA'!P1308," ")</f>
        <v xml:space="preserve"> </v>
      </c>
      <c r="R1307" s="164" t="str">
        <f>+IF(OR(O1307="Fire Control",O1307="Fire Tex 5062",O1307="Fire Tex 5090",O1307="Fire Tex 5120"),'CALCULO PINTURA'!R1308," ")</f>
        <v xml:space="preserve"> </v>
      </c>
      <c r="S1307" s="164" t="str">
        <f>+IF(OR(O1307="Fire Control",O1307="Fire Tex 5062",O1307="Fire Tex 5090",O1307="Fire Tex 5120"),'CALCULO PINTURA'!S1308," ")</f>
        <v xml:space="preserve"> </v>
      </c>
      <c r="T1307" s="874" t="str">
        <f>+IF(OR(O1307="Blaze Shield II",O1307="Cafco 400",O1307="Cafco 300"),'CALCULO MORTERO'!N1313," ")</f>
        <v xml:space="preserve"> </v>
      </c>
      <c r="U1307" s="875" t="str">
        <f>+IF(OR(O1307="Blaze Shield II",O1307="Cafco 400",O1307="Cafco 300"),'CALCULO MORTERO'!O1313," ")</f>
        <v xml:space="preserve"> </v>
      </c>
      <c r="V1307" s="161" t="str" cm="1">
        <f t="array" ref="V1307">_xlfn.IFS(O1307="Blaze Shield II",'CALCULO MORTERO'!P1308, O1307="Cafco 400",'CALCULO MORTERO'!Q1308,O1307="Cafco 300",'CALCULO MORTERO'!S1308, AND(OR(O1307="Fire tex 5090", O1307="Fire Tex 5062", O1307="Fire Tex 5120", O1307="Fire Control"),Q1307&gt;0), "CERT.",TRUE,"-")</f>
        <v>-</v>
      </c>
    </row>
    <row r="1308" spans="1:22" x14ac:dyDescent="0.25">
      <c r="A1308" s="168"/>
      <c r="B1308" s="876"/>
      <c r="C1308" s="161"/>
      <c r="D1308" s="161"/>
      <c r="E1308" s="161"/>
      <c r="F1308" s="41"/>
      <c r="G1308" s="161"/>
      <c r="H1308" s="161"/>
      <c r="I1308" s="166"/>
      <c r="J1308" s="162"/>
      <c r="K1308" s="161"/>
      <c r="L1308" s="161"/>
      <c r="M1308" s="169"/>
      <c r="N1308" s="163" t="str">
        <f t="shared" si="24"/>
        <v/>
      </c>
      <c r="O1308" s="41"/>
      <c r="P1308" s="41"/>
      <c r="Q1308" s="161" t="str">
        <f>+IF(OR(O1308="Fire Control",O1308="Fire Tex 5062",O1308="Fire Tex 5090",O1308="Fire Tex 5120"),'CALCULO PINTURA'!P1309," ")</f>
        <v xml:space="preserve"> </v>
      </c>
      <c r="R1308" s="164" t="str">
        <f>+IF(OR(O1308="Fire Control",O1308="Fire Tex 5062",O1308="Fire Tex 5090",O1308="Fire Tex 5120"),'CALCULO PINTURA'!R1309," ")</f>
        <v xml:space="preserve"> </v>
      </c>
      <c r="S1308" s="164" t="str">
        <f>+IF(OR(O1308="Fire Control",O1308="Fire Tex 5062",O1308="Fire Tex 5090",O1308="Fire Tex 5120"),'CALCULO PINTURA'!S1309," ")</f>
        <v xml:space="preserve"> </v>
      </c>
      <c r="T1308" s="874" t="str">
        <f>+IF(OR(O1308="Blaze Shield II",O1308="Cafco 400",O1308="Cafco 300"),'CALCULO MORTERO'!N1314," ")</f>
        <v xml:space="preserve"> </v>
      </c>
      <c r="U1308" s="875" t="str">
        <f>+IF(OR(O1308="Blaze Shield II",O1308="Cafco 400",O1308="Cafco 300"),'CALCULO MORTERO'!O1314," ")</f>
        <v xml:space="preserve"> </v>
      </c>
      <c r="V1308" s="161" t="str" cm="1">
        <f t="array" ref="V1308">_xlfn.IFS(O1308="Blaze Shield II",'CALCULO MORTERO'!P1309, O1308="Cafco 400",'CALCULO MORTERO'!Q1309,O1308="Cafco 300",'CALCULO MORTERO'!S1309, AND(OR(O1308="Fire tex 5090", O1308="Fire Tex 5062", O1308="Fire Tex 5120", O1308="Fire Control"),Q1308&gt;0), "CERT.",TRUE,"-")</f>
        <v>-</v>
      </c>
    </row>
    <row r="1309" spans="1:22" x14ac:dyDescent="0.25">
      <c r="A1309" s="168"/>
      <c r="B1309" s="876"/>
      <c r="C1309" s="161"/>
      <c r="D1309" s="161"/>
      <c r="E1309" s="161"/>
      <c r="F1309" s="41"/>
      <c r="G1309" s="161"/>
      <c r="H1309" s="161"/>
      <c r="I1309" s="166"/>
      <c r="J1309" s="162"/>
      <c r="K1309" s="161"/>
      <c r="L1309" s="161"/>
      <c r="M1309" s="169"/>
      <c r="N1309" s="163" t="str">
        <f t="shared" si="24"/>
        <v/>
      </c>
      <c r="O1309" s="41"/>
      <c r="P1309" s="41"/>
      <c r="Q1309" s="161" t="str">
        <f>+IF(OR(O1309="Fire Control",O1309="Fire Tex 5062",O1309="Fire Tex 5090",O1309="Fire Tex 5120"),'CALCULO PINTURA'!P1310," ")</f>
        <v xml:space="preserve"> </v>
      </c>
      <c r="R1309" s="164" t="str">
        <f>+IF(OR(O1309="Fire Control",O1309="Fire Tex 5062",O1309="Fire Tex 5090",O1309="Fire Tex 5120"),'CALCULO PINTURA'!R1310," ")</f>
        <v xml:space="preserve"> </v>
      </c>
      <c r="S1309" s="164" t="str">
        <f>+IF(OR(O1309="Fire Control",O1309="Fire Tex 5062",O1309="Fire Tex 5090",O1309="Fire Tex 5120"),'CALCULO PINTURA'!S1310," ")</f>
        <v xml:space="preserve"> </v>
      </c>
      <c r="T1309" s="874" t="str">
        <f>+IF(OR(O1309="Blaze Shield II",O1309="Cafco 400",O1309="Cafco 300"),'CALCULO MORTERO'!N1315," ")</f>
        <v xml:space="preserve"> </v>
      </c>
      <c r="U1309" s="875" t="str">
        <f>+IF(OR(O1309="Blaze Shield II",O1309="Cafco 400",O1309="Cafco 300"),'CALCULO MORTERO'!O1315," ")</f>
        <v xml:space="preserve"> </v>
      </c>
      <c r="V1309" s="161" t="str" cm="1">
        <f t="array" ref="V1309">_xlfn.IFS(O1309="Blaze Shield II",'CALCULO MORTERO'!P1310, O1309="Cafco 400",'CALCULO MORTERO'!Q1310,O1309="Cafco 300",'CALCULO MORTERO'!S1310, AND(OR(O1309="Fire tex 5090", O1309="Fire Tex 5062", O1309="Fire Tex 5120", O1309="Fire Control"),Q1309&gt;0), "CERT.",TRUE,"-")</f>
        <v>-</v>
      </c>
    </row>
    <row r="1310" spans="1:22" x14ac:dyDescent="0.25">
      <c r="A1310" s="168"/>
      <c r="B1310" s="876"/>
      <c r="C1310" s="161"/>
      <c r="D1310" s="161"/>
      <c r="E1310" s="161"/>
      <c r="F1310" s="41"/>
      <c r="G1310" s="161"/>
      <c r="H1310" s="161"/>
      <c r="I1310" s="166"/>
      <c r="J1310" s="162"/>
      <c r="K1310" s="161"/>
      <c r="L1310" s="161"/>
      <c r="M1310" s="169"/>
      <c r="N1310" s="163" t="str">
        <f t="shared" si="24"/>
        <v/>
      </c>
      <c r="O1310" s="41"/>
      <c r="P1310" s="41"/>
      <c r="Q1310" s="161" t="str">
        <f>+IF(OR(O1310="Fire Control",O1310="Fire Tex 5062",O1310="Fire Tex 5090",O1310="Fire Tex 5120"),'CALCULO PINTURA'!P1311," ")</f>
        <v xml:space="preserve"> </v>
      </c>
      <c r="R1310" s="164" t="str">
        <f>+IF(OR(O1310="Fire Control",O1310="Fire Tex 5062",O1310="Fire Tex 5090",O1310="Fire Tex 5120"),'CALCULO PINTURA'!R1311," ")</f>
        <v xml:space="preserve"> </v>
      </c>
      <c r="S1310" s="164" t="str">
        <f>+IF(OR(O1310="Fire Control",O1310="Fire Tex 5062",O1310="Fire Tex 5090",O1310="Fire Tex 5120"),'CALCULO PINTURA'!S1311," ")</f>
        <v xml:space="preserve"> </v>
      </c>
      <c r="T1310" s="874" t="str">
        <f>+IF(OR(O1310="Blaze Shield II",O1310="Cafco 400",O1310="Cafco 300"),'CALCULO MORTERO'!N1316," ")</f>
        <v xml:space="preserve"> </v>
      </c>
      <c r="U1310" s="875" t="str">
        <f>+IF(OR(O1310="Blaze Shield II",O1310="Cafco 400",O1310="Cafco 300"),'CALCULO MORTERO'!O1316," ")</f>
        <v xml:space="preserve"> </v>
      </c>
      <c r="V1310" s="161" t="str" cm="1">
        <f t="array" ref="V1310">_xlfn.IFS(O1310="Blaze Shield II",'CALCULO MORTERO'!P1311, O1310="Cafco 400",'CALCULO MORTERO'!Q1311,O1310="Cafco 300",'CALCULO MORTERO'!S1311, AND(OR(O1310="Fire tex 5090", O1310="Fire Tex 5062", O1310="Fire Tex 5120", O1310="Fire Control"),Q1310&gt;0), "CERT.",TRUE,"-")</f>
        <v>-</v>
      </c>
    </row>
    <row r="1311" spans="1:22" x14ac:dyDescent="0.25">
      <c r="A1311" s="168"/>
      <c r="B1311" s="876"/>
      <c r="C1311" s="161"/>
      <c r="D1311" s="161"/>
      <c r="E1311" s="161"/>
      <c r="F1311" s="41"/>
      <c r="G1311" s="161"/>
      <c r="H1311" s="161"/>
      <c r="I1311" s="166"/>
      <c r="J1311" s="162"/>
      <c r="K1311" s="161"/>
      <c r="L1311" s="161"/>
      <c r="M1311" s="163"/>
      <c r="N1311" s="163" t="str">
        <f t="shared" si="24"/>
        <v/>
      </c>
      <c r="O1311" s="41"/>
      <c r="P1311" s="41"/>
      <c r="Q1311" s="161" t="str">
        <f>+IF(OR(O1311="Fire Control",O1311="Fire Tex 5062",O1311="Fire Tex 5090",O1311="Fire Tex 5120"),'CALCULO PINTURA'!P1312," ")</f>
        <v xml:space="preserve"> </v>
      </c>
      <c r="R1311" s="164" t="str">
        <f>+IF(OR(O1311="Fire Control",O1311="Fire Tex 5062",O1311="Fire Tex 5090",O1311="Fire Tex 5120"),'CALCULO PINTURA'!R1312," ")</f>
        <v xml:space="preserve"> </v>
      </c>
      <c r="S1311" s="164" t="str">
        <f>+IF(OR(O1311="Fire Control",O1311="Fire Tex 5062",O1311="Fire Tex 5090",O1311="Fire Tex 5120"),'CALCULO PINTURA'!S1312," ")</f>
        <v xml:space="preserve"> </v>
      </c>
      <c r="T1311" s="874" t="str">
        <f>+IF(OR(O1311="Blaze Shield II",O1311="Cafco 400",O1311="Cafco 300"),'CALCULO MORTERO'!N1317," ")</f>
        <v xml:space="preserve"> </v>
      </c>
      <c r="U1311" s="875" t="str">
        <f>+IF(OR(O1311="Blaze Shield II",O1311="Cafco 400",O1311="Cafco 300"),'CALCULO MORTERO'!O1317," ")</f>
        <v xml:space="preserve"> </v>
      </c>
      <c r="V1311" s="161" t="str" cm="1">
        <f t="array" ref="V1311">_xlfn.IFS(O1311="Blaze Shield II",'CALCULO MORTERO'!P1312, O1311="Cafco 400",'CALCULO MORTERO'!Q1312,O1311="Cafco 300",'CALCULO MORTERO'!S1312, AND(OR(O1311="Fire tex 5090", O1311="Fire Tex 5062", O1311="Fire Tex 5120", O1311="Fire Control"),Q1311&gt;0), "CERT.",TRUE,"-")</f>
        <v>-</v>
      </c>
    </row>
    <row r="1312" spans="1:22" x14ac:dyDescent="0.25">
      <c r="A1312" s="168"/>
      <c r="B1312" s="876"/>
      <c r="C1312" s="161"/>
      <c r="D1312" s="161"/>
      <c r="E1312" s="161"/>
      <c r="F1312" s="41"/>
      <c r="G1312" s="161"/>
      <c r="H1312" s="161"/>
      <c r="I1312" s="166"/>
      <c r="J1312" s="162"/>
      <c r="K1312" s="161"/>
      <c r="L1312" s="161"/>
      <c r="M1312" s="163"/>
      <c r="N1312" s="163" t="str">
        <f t="shared" si="24"/>
        <v/>
      </c>
      <c r="O1312" s="41"/>
      <c r="P1312" s="41"/>
      <c r="Q1312" s="161" t="str">
        <f>+IF(OR(O1312="Fire Control",O1312="Fire Tex 5062",O1312="Fire Tex 5090",O1312="Fire Tex 5120"),'CALCULO PINTURA'!P1313," ")</f>
        <v xml:space="preserve"> </v>
      </c>
      <c r="R1312" s="164" t="str">
        <f>+IF(OR(O1312="Fire Control",O1312="Fire Tex 5062",O1312="Fire Tex 5090",O1312="Fire Tex 5120"),'CALCULO PINTURA'!R1313," ")</f>
        <v xml:space="preserve"> </v>
      </c>
      <c r="S1312" s="164" t="str">
        <f>+IF(OR(O1312="Fire Control",O1312="Fire Tex 5062",O1312="Fire Tex 5090",O1312="Fire Tex 5120"),'CALCULO PINTURA'!S1313," ")</f>
        <v xml:space="preserve"> </v>
      </c>
      <c r="T1312" s="874" t="str">
        <f>+IF(OR(O1312="Blaze Shield II",O1312="Cafco 400",O1312="Cafco 300"),'CALCULO MORTERO'!N1318," ")</f>
        <v xml:space="preserve"> </v>
      </c>
      <c r="U1312" s="875" t="str">
        <f>+IF(OR(O1312="Blaze Shield II",O1312="Cafco 400",O1312="Cafco 300"),'CALCULO MORTERO'!O1318," ")</f>
        <v xml:space="preserve"> </v>
      </c>
      <c r="V1312" s="161" t="str" cm="1">
        <f t="array" ref="V1312">_xlfn.IFS(O1312="Blaze Shield II",'CALCULO MORTERO'!P1313, O1312="Cafco 400",'CALCULO MORTERO'!Q1313,O1312="Cafco 300",'CALCULO MORTERO'!S1313, AND(OR(O1312="Fire tex 5090", O1312="Fire Tex 5062", O1312="Fire Tex 5120", O1312="Fire Control"),Q1312&gt;0), "CERT.",TRUE,"-")</f>
        <v>-</v>
      </c>
    </row>
    <row r="1313" spans="1:22" x14ac:dyDescent="0.25">
      <c r="A1313" s="168"/>
      <c r="B1313" s="876"/>
      <c r="C1313" s="161"/>
      <c r="D1313" s="161"/>
      <c r="E1313" s="161"/>
      <c r="F1313" s="41"/>
      <c r="G1313" s="161"/>
      <c r="H1313" s="161"/>
      <c r="I1313" s="166"/>
      <c r="J1313" s="162"/>
      <c r="K1313" s="161"/>
      <c r="L1313" s="161"/>
      <c r="M1313" s="169"/>
      <c r="N1313" s="163" t="str">
        <f t="shared" si="24"/>
        <v/>
      </c>
      <c r="O1313" s="41"/>
      <c r="P1313" s="41"/>
      <c r="Q1313" s="161" t="str">
        <f>+IF(OR(O1313="Fire Control",O1313="Fire Tex 5062",O1313="Fire Tex 5090",O1313="Fire Tex 5120"),'CALCULO PINTURA'!P1314," ")</f>
        <v xml:space="preserve"> </v>
      </c>
      <c r="R1313" s="164" t="str">
        <f>+IF(OR(O1313="Fire Control",O1313="Fire Tex 5062",O1313="Fire Tex 5090",O1313="Fire Tex 5120"),'CALCULO PINTURA'!R1314," ")</f>
        <v xml:space="preserve"> </v>
      </c>
      <c r="S1313" s="164" t="str">
        <f>+IF(OR(O1313="Fire Control",O1313="Fire Tex 5062",O1313="Fire Tex 5090",O1313="Fire Tex 5120"),'CALCULO PINTURA'!S1314," ")</f>
        <v xml:space="preserve"> </v>
      </c>
      <c r="T1313" s="874" t="str">
        <f>+IF(OR(O1313="Blaze Shield II",O1313="Cafco 400",O1313="Cafco 300"),'CALCULO MORTERO'!N1319," ")</f>
        <v xml:space="preserve"> </v>
      </c>
      <c r="U1313" s="875" t="str">
        <f>+IF(OR(O1313="Blaze Shield II",O1313="Cafco 400",O1313="Cafco 300"),'CALCULO MORTERO'!O1319," ")</f>
        <v xml:space="preserve"> </v>
      </c>
      <c r="V1313" s="161" t="str" cm="1">
        <f t="array" ref="V1313">_xlfn.IFS(O1313="Blaze Shield II",'CALCULO MORTERO'!P1314, O1313="Cafco 400",'CALCULO MORTERO'!Q1314,O1313="Cafco 300",'CALCULO MORTERO'!S1314, AND(OR(O1313="Fire tex 5090", O1313="Fire Tex 5062", O1313="Fire Tex 5120", O1313="Fire Control"),Q1313&gt;0), "CERT.",TRUE,"-")</f>
        <v>-</v>
      </c>
    </row>
    <row r="1314" spans="1:22" x14ac:dyDescent="0.25">
      <c r="A1314" s="168"/>
      <c r="B1314" s="876"/>
      <c r="C1314" s="161"/>
      <c r="D1314" s="161"/>
      <c r="E1314" s="161"/>
      <c r="F1314" s="41"/>
      <c r="G1314" s="161"/>
      <c r="H1314" s="161"/>
      <c r="I1314" s="166"/>
      <c r="J1314" s="162"/>
      <c r="K1314" s="162"/>
      <c r="L1314" s="161"/>
      <c r="M1314" s="169"/>
      <c r="N1314" s="163" t="str">
        <f t="shared" si="24"/>
        <v/>
      </c>
      <c r="O1314" s="41"/>
      <c r="P1314" s="41"/>
      <c r="Q1314" s="161" t="str">
        <f>+IF(OR(O1314="Fire Control",O1314="Fire Tex 5062",O1314="Fire Tex 5090",O1314="Fire Tex 5120"),'CALCULO PINTURA'!P1315," ")</f>
        <v xml:space="preserve"> </v>
      </c>
      <c r="R1314" s="164" t="str">
        <f>+IF(OR(O1314="Fire Control",O1314="Fire Tex 5062",O1314="Fire Tex 5090",O1314="Fire Tex 5120"),'CALCULO PINTURA'!R1315," ")</f>
        <v xml:space="preserve"> </v>
      </c>
      <c r="S1314" s="164" t="str">
        <f>+IF(OR(O1314="Fire Control",O1314="Fire Tex 5062",O1314="Fire Tex 5090",O1314="Fire Tex 5120"),'CALCULO PINTURA'!S1315," ")</f>
        <v xml:space="preserve"> </v>
      </c>
      <c r="T1314" s="874" t="str">
        <f>+IF(OR(O1314="Blaze Shield II",O1314="Cafco 400",O1314="Cafco 300"),'CALCULO MORTERO'!N1320," ")</f>
        <v xml:space="preserve"> </v>
      </c>
      <c r="U1314" s="875" t="str">
        <f>+IF(OR(O1314="Blaze Shield II",O1314="Cafco 400",O1314="Cafco 300"),'CALCULO MORTERO'!O1320," ")</f>
        <v xml:space="preserve"> </v>
      </c>
      <c r="V1314" s="161" t="str" cm="1">
        <f t="array" ref="V1314">_xlfn.IFS(O1314="Blaze Shield II",'CALCULO MORTERO'!P1315, O1314="Cafco 400",'CALCULO MORTERO'!Q1315,O1314="Cafco 300",'CALCULO MORTERO'!S1315, AND(OR(O1314="Fire tex 5090", O1314="Fire Tex 5062", O1314="Fire Tex 5120", O1314="Fire Control"),Q1314&gt;0), "CERT.",TRUE,"-")</f>
        <v>-</v>
      </c>
    </row>
    <row r="1315" spans="1:22" x14ac:dyDescent="0.25">
      <c r="A1315" s="168"/>
      <c r="B1315" s="876"/>
      <c r="C1315" s="161"/>
      <c r="D1315" s="161"/>
      <c r="E1315" s="161"/>
      <c r="F1315" s="41"/>
      <c r="G1315" s="161"/>
      <c r="H1315" s="161"/>
      <c r="I1315" s="166"/>
      <c r="J1315" s="162"/>
      <c r="K1315" s="161"/>
      <c r="L1315" s="161"/>
      <c r="M1315" s="169"/>
      <c r="N1315" s="163" t="str">
        <f t="shared" si="24"/>
        <v/>
      </c>
      <c r="O1315" s="41"/>
      <c r="P1315" s="41"/>
      <c r="Q1315" s="161" t="str">
        <f>+IF(OR(O1315="Fire Control",O1315="Fire Tex 5062",O1315="Fire Tex 5090",O1315="Fire Tex 5120"),'CALCULO PINTURA'!P1316," ")</f>
        <v xml:space="preserve"> </v>
      </c>
      <c r="R1315" s="164" t="str">
        <f>+IF(OR(O1315="Fire Control",O1315="Fire Tex 5062",O1315="Fire Tex 5090",O1315="Fire Tex 5120"),'CALCULO PINTURA'!R1316," ")</f>
        <v xml:space="preserve"> </v>
      </c>
      <c r="S1315" s="164" t="str">
        <f>+IF(OR(O1315="Fire Control",O1315="Fire Tex 5062",O1315="Fire Tex 5090",O1315="Fire Tex 5120"),'CALCULO PINTURA'!S1316," ")</f>
        <v xml:space="preserve"> </v>
      </c>
      <c r="T1315" s="874" t="str">
        <f>+IF(OR(O1315="Blaze Shield II",O1315="Cafco 400",O1315="Cafco 300"),'CALCULO MORTERO'!N1321," ")</f>
        <v xml:space="preserve"> </v>
      </c>
      <c r="U1315" s="875" t="str">
        <f>+IF(OR(O1315="Blaze Shield II",O1315="Cafco 400",O1315="Cafco 300"),'CALCULO MORTERO'!O1321," ")</f>
        <v xml:space="preserve"> </v>
      </c>
      <c r="V1315" s="161" t="str" cm="1">
        <f t="array" ref="V1315">_xlfn.IFS(O1315="Blaze Shield II",'CALCULO MORTERO'!P1316, O1315="Cafco 400",'CALCULO MORTERO'!Q1316,O1315="Cafco 300",'CALCULO MORTERO'!S1316, AND(OR(O1315="Fire tex 5090", O1315="Fire Tex 5062", O1315="Fire Tex 5120", O1315="Fire Control"),Q1315&gt;0), "CERT.",TRUE,"-")</f>
        <v>-</v>
      </c>
    </row>
    <row r="1316" spans="1:22" x14ac:dyDescent="0.25">
      <c r="A1316" s="168"/>
      <c r="B1316" s="876"/>
      <c r="C1316" s="161"/>
      <c r="D1316" s="161"/>
      <c r="E1316" s="161"/>
      <c r="F1316" s="41"/>
      <c r="G1316" s="161"/>
      <c r="H1316" s="161"/>
      <c r="I1316" s="166"/>
      <c r="J1316" s="162"/>
      <c r="K1316" s="161"/>
      <c r="L1316" s="161"/>
      <c r="M1316" s="169"/>
      <c r="N1316" s="163" t="str">
        <f t="shared" si="24"/>
        <v/>
      </c>
      <c r="O1316" s="41"/>
      <c r="P1316" s="41"/>
      <c r="Q1316" s="161" t="str">
        <f>+IF(OR(O1316="Fire Control",O1316="Fire Tex 5062",O1316="Fire Tex 5090",O1316="Fire Tex 5120"),'CALCULO PINTURA'!P1317," ")</f>
        <v xml:space="preserve"> </v>
      </c>
      <c r="R1316" s="164" t="str">
        <f>+IF(OR(O1316="Fire Control",O1316="Fire Tex 5062",O1316="Fire Tex 5090",O1316="Fire Tex 5120"),'CALCULO PINTURA'!R1317," ")</f>
        <v xml:space="preserve"> </v>
      </c>
      <c r="S1316" s="164" t="str">
        <f>+IF(OR(O1316="Fire Control",O1316="Fire Tex 5062",O1316="Fire Tex 5090",O1316="Fire Tex 5120"),'CALCULO PINTURA'!S1317," ")</f>
        <v xml:space="preserve"> </v>
      </c>
      <c r="T1316" s="874" t="str">
        <f>+IF(OR(O1316="Blaze Shield II",O1316="Cafco 400",O1316="Cafco 300"),'CALCULO MORTERO'!N1322," ")</f>
        <v xml:space="preserve"> </v>
      </c>
      <c r="U1316" s="875" t="str">
        <f>+IF(OR(O1316="Blaze Shield II",O1316="Cafco 400",O1316="Cafco 300"),'CALCULO MORTERO'!O1322," ")</f>
        <v xml:space="preserve"> </v>
      </c>
      <c r="V1316" s="161" t="str" cm="1">
        <f t="array" ref="V1316">_xlfn.IFS(O1316="Blaze Shield II",'CALCULO MORTERO'!P1317, O1316="Cafco 400",'CALCULO MORTERO'!Q1317,O1316="Cafco 300",'CALCULO MORTERO'!S1317, AND(OR(O1316="Fire tex 5090", O1316="Fire Tex 5062", O1316="Fire Tex 5120", O1316="Fire Control"),Q1316&gt;0), "CERT.",TRUE,"-")</f>
        <v>-</v>
      </c>
    </row>
    <row r="1317" spans="1:22" x14ac:dyDescent="0.25">
      <c r="A1317" s="168"/>
      <c r="B1317" s="876"/>
      <c r="C1317" s="161"/>
      <c r="D1317" s="161"/>
      <c r="E1317" s="161"/>
      <c r="F1317" s="41"/>
      <c r="G1317" s="161"/>
      <c r="H1317" s="161"/>
      <c r="I1317" s="166"/>
      <c r="J1317" s="162"/>
      <c r="K1317" s="161"/>
      <c r="L1317" s="161"/>
      <c r="M1317" s="169"/>
      <c r="N1317" s="163" t="str">
        <f t="shared" si="24"/>
        <v/>
      </c>
      <c r="O1317" s="41"/>
      <c r="P1317" s="41"/>
      <c r="Q1317" s="161" t="str">
        <f>+IF(OR(O1317="Fire Control",O1317="Fire Tex 5062",O1317="Fire Tex 5090",O1317="Fire Tex 5120"),'CALCULO PINTURA'!P1318," ")</f>
        <v xml:space="preserve"> </v>
      </c>
      <c r="R1317" s="164" t="str">
        <f>+IF(OR(O1317="Fire Control",O1317="Fire Tex 5062",O1317="Fire Tex 5090",O1317="Fire Tex 5120"),'CALCULO PINTURA'!R1318," ")</f>
        <v xml:space="preserve"> </v>
      </c>
      <c r="S1317" s="164" t="str">
        <f>+IF(OR(O1317="Fire Control",O1317="Fire Tex 5062",O1317="Fire Tex 5090",O1317="Fire Tex 5120"),'CALCULO PINTURA'!S1318," ")</f>
        <v xml:space="preserve"> </v>
      </c>
      <c r="T1317" s="874" t="str">
        <f>+IF(OR(O1317="Blaze Shield II",O1317="Cafco 400",O1317="Cafco 300"),'CALCULO MORTERO'!N1323," ")</f>
        <v xml:space="preserve"> </v>
      </c>
      <c r="U1317" s="875" t="str">
        <f>+IF(OR(O1317="Blaze Shield II",O1317="Cafco 400",O1317="Cafco 300"),'CALCULO MORTERO'!O1323," ")</f>
        <v xml:space="preserve"> </v>
      </c>
      <c r="V1317" s="161" t="str" cm="1">
        <f t="array" ref="V1317">_xlfn.IFS(O1317="Blaze Shield II",'CALCULO MORTERO'!P1318, O1317="Cafco 400",'CALCULO MORTERO'!Q1318,O1317="Cafco 300",'CALCULO MORTERO'!S1318, AND(OR(O1317="Fire tex 5090", O1317="Fire Tex 5062", O1317="Fire Tex 5120", O1317="Fire Control"),Q1317&gt;0), "CERT.",TRUE,"-")</f>
        <v>-</v>
      </c>
    </row>
    <row r="1318" spans="1:22" x14ac:dyDescent="0.25">
      <c r="A1318" s="168"/>
      <c r="B1318" s="876"/>
      <c r="C1318" s="161"/>
      <c r="D1318" s="161"/>
      <c r="E1318" s="161"/>
      <c r="F1318" s="41"/>
      <c r="G1318" s="161"/>
      <c r="H1318" s="161"/>
      <c r="I1318" s="166"/>
      <c r="J1318" s="162"/>
      <c r="K1318" s="161"/>
      <c r="L1318" s="161"/>
      <c r="M1318" s="169"/>
      <c r="N1318" s="163" t="str">
        <f t="shared" si="24"/>
        <v/>
      </c>
      <c r="O1318" s="41"/>
      <c r="P1318" s="41"/>
      <c r="Q1318" s="161" t="str">
        <f>+IF(OR(O1318="Fire Control",O1318="Fire Tex 5062",O1318="Fire Tex 5090",O1318="Fire Tex 5120"),'CALCULO PINTURA'!P1319," ")</f>
        <v xml:space="preserve"> </v>
      </c>
      <c r="R1318" s="164" t="str">
        <f>+IF(OR(O1318="Fire Control",O1318="Fire Tex 5062",O1318="Fire Tex 5090",O1318="Fire Tex 5120"),'CALCULO PINTURA'!R1319," ")</f>
        <v xml:space="preserve"> </v>
      </c>
      <c r="S1318" s="164" t="str">
        <f>+IF(OR(O1318="Fire Control",O1318="Fire Tex 5062",O1318="Fire Tex 5090",O1318="Fire Tex 5120"),'CALCULO PINTURA'!S1319," ")</f>
        <v xml:space="preserve"> </v>
      </c>
      <c r="T1318" s="874" t="str">
        <f>+IF(OR(O1318="Blaze Shield II",O1318="Cafco 400",O1318="Cafco 300"),'CALCULO MORTERO'!N1324," ")</f>
        <v xml:space="preserve"> </v>
      </c>
      <c r="U1318" s="875" t="str">
        <f>+IF(OR(O1318="Blaze Shield II",O1318="Cafco 400",O1318="Cafco 300"),'CALCULO MORTERO'!O1324," ")</f>
        <v xml:space="preserve"> </v>
      </c>
      <c r="V1318" s="161" t="str" cm="1">
        <f t="array" ref="V1318">_xlfn.IFS(O1318="Blaze Shield II",'CALCULO MORTERO'!P1319, O1318="Cafco 400",'CALCULO MORTERO'!Q1319,O1318="Cafco 300",'CALCULO MORTERO'!S1319, AND(OR(O1318="Fire tex 5090", O1318="Fire Tex 5062", O1318="Fire Tex 5120", O1318="Fire Control"),Q1318&gt;0), "CERT.",TRUE,"-")</f>
        <v>-</v>
      </c>
    </row>
    <row r="1319" spans="1:22" x14ac:dyDescent="0.25">
      <c r="A1319" s="168"/>
      <c r="B1319" s="876"/>
      <c r="C1319" s="161"/>
      <c r="D1319" s="161"/>
      <c r="E1319" s="161"/>
      <c r="F1319" s="41"/>
      <c r="G1319" s="161"/>
      <c r="H1319" s="161"/>
      <c r="I1319" s="166"/>
      <c r="J1319" s="162"/>
      <c r="K1319" s="161"/>
      <c r="L1319" s="161"/>
      <c r="M1319" s="163"/>
      <c r="N1319" s="163" t="str">
        <f t="shared" si="24"/>
        <v/>
      </c>
      <c r="O1319" s="41"/>
      <c r="P1319" s="41"/>
      <c r="Q1319" s="161" t="str">
        <f>+IF(OR(O1319="Fire Control",O1319="Fire Tex 5062",O1319="Fire Tex 5090",O1319="Fire Tex 5120"),'CALCULO PINTURA'!P1320," ")</f>
        <v xml:space="preserve"> </v>
      </c>
      <c r="R1319" s="164" t="str">
        <f>+IF(OR(O1319="Fire Control",O1319="Fire Tex 5062",O1319="Fire Tex 5090",O1319="Fire Tex 5120"),'CALCULO PINTURA'!R1320," ")</f>
        <v xml:space="preserve"> </v>
      </c>
      <c r="S1319" s="164" t="str">
        <f>+IF(OR(O1319="Fire Control",O1319="Fire Tex 5062",O1319="Fire Tex 5090",O1319="Fire Tex 5120"),'CALCULO PINTURA'!S1320," ")</f>
        <v xml:space="preserve"> </v>
      </c>
      <c r="T1319" s="874" t="str">
        <f>+IF(OR(O1319="Blaze Shield II",O1319="Cafco 400",O1319="Cafco 300"),'CALCULO MORTERO'!N1325," ")</f>
        <v xml:space="preserve"> </v>
      </c>
      <c r="U1319" s="875" t="str">
        <f>+IF(OR(O1319="Blaze Shield II",O1319="Cafco 400",O1319="Cafco 300"),'CALCULO MORTERO'!O1325," ")</f>
        <v xml:space="preserve"> </v>
      </c>
      <c r="V1319" s="161" t="str" cm="1">
        <f t="array" ref="V1319">_xlfn.IFS(O1319="Blaze Shield II",'CALCULO MORTERO'!P1320, O1319="Cafco 400",'CALCULO MORTERO'!Q1320,O1319="Cafco 300",'CALCULO MORTERO'!S1320, AND(OR(O1319="Fire tex 5090", O1319="Fire Tex 5062", O1319="Fire Tex 5120", O1319="Fire Control"),Q1319&gt;0), "CERT.",TRUE,"-")</f>
        <v>-</v>
      </c>
    </row>
    <row r="1320" spans="1:22" x14ac:dyDescent="0.25">
      <c r="A1320" s="168"/>
      <c r="B1320" s="876"/>
      <c r="C1320" s="161"/>
      <c r="D1320" s="161"/>
      <c r="E1320" s="161"/>
      <c r="F1320" s="41"/>
      <c r="G1320" s="161"/>
      <c r="H1320" s="161"/>
      <c r="I1320" s="166"/>
      <c r="J1320" s="162"/>
      <c r="K1320" s="161"/>
      <c r="L1320" s="161"/>
      <c r="M1320" s="163"/>
      <c r="N1320" s="163" t="str">
        <f t="shared" si="24"/>
        <v/>
      </c>
      <c r="O1320" s="41"/>
      <c r="P1320" s="41"/>
      <c r="Q1320" s="161" t="str">
        <f>+IF(OR(O1320="Fire Control",O1320="Fire Tex 5062",O1320="Fire Tex 5090",O1320="Fire Tex 5120"),'CALCULO PINTURA'!P1321," ")</f>
        <v xml:space="preserve"> </v>
      </c>
      <c r="R1320" s="164" t="str">
        <f>+IF(OR(O1320="Fire Control",O1320="Fire Tex 5062",O1320="Fire Tex 5090",O1320="Fire Tex 5120"),'CALCULO PINTURA'!R1321," ")</f>
        <v xml:space="preserve"> </v>
      </c>
      <c r="S1320" s="164" t="str">
        <f>+IF(OR(O1320="Fire Control",O1320="Fire Tex 5062",O1320="Fire Tex 5090",O1320="Fire Tex 5120"),'CALCULO PINTURA'!S1321," ")</f>
        <v xml:space="preserve"> </v>
      </c>
      <c r="T1320" s="874" t="str">
        <f>+IF(OR(O1320="Blaze Shield II",O1320="Cafco 400",O1320="Cafco 300"),'CALCULO MORTERO'!N1326," ")</f>
        <v xml:space="preserve"> </v>
      </c>
      <c r="U1320" s="875" t="str">
        <f>+IF(OR(O1320="Blaze Shield II",O1320="Cafco 400",O1320="Cafco 300"),'CALCULO MORTERO'!O1326," ")</f>
        <v xml:space="preserve"> </v>
      </c>
      <c r="V1320" s="161" t="str" cm="1">
        <f t="array" ref="V1320">_xlfn.IFS(O1320="Blaze Shield II",'CALCULO MORTERO'!P1321, O1320="Cafco 400",'CALCULO MORTERO'!Q1321,O1320="Cafco 300",'CALCULO MORTERO'!S1321, AND(OR(O1320="Fire tex 5090", O1320="Fire Tex 5062", O1320="Fire Tex 5120", O1320="Fire Control"),Q1320&gt;0), "CERT.",TRUE,"-")</f>
        <v>-</v>
      </c>
    </row>
    <row r="1321" spans="1:22" x14ac:dyDescent="0.25">
      <c r="A1321" s="168"/>
      <c r="B1321" s="876"/>
      <c r="C1321" s="161"/>
      <c r="D1321" s="161"/>
      <c r="E1321" s="161"/>
      <c r="F1321" s="41"/>
      <c r="G1321" s="161"/>
      <c r="H1321" s="161"/>
      <c r="I1321" s="166"/>
      <c r="J1321" s="162"/>
      <c r="K1321" s="161"/>
      <c r="L1321" s="161"/>
      <c r="M1321" s="169"/>
      <c r="N1321" s="163" t="str">
        <f t="shared" si="24"/>
        <v/>
      </c>
      <c r="O1321" s="41"/>
      <c r="P1321" s="41"/>
      <c r="Q1321" s="161" t="str">
        <f>+IF(OR(O1321="Fire Control",O1321="Fire Tex 5062",O1321="Fire Tex 5090",O1321="Fire Tex 5120"),'CALCULO PINTURA'!P1322," ")</f>
        <v xml:space="preserve"> </v>
      </c>
      <c r="R1321" s="164" t="str">
        <f>+IF(OR(O1321="Fire Control",O1321="Fire Tex 5062",O1321="Fire Tex 5090",O1321="Fire Tex 5120"),'CALCULO PINTURA'!R1322," ")</f>
        <v xml:space="preserve"> </v>
      </c>
      <c r="S1321" s="164" t="str">
        <f>+IF(OR(O1321="Fire Control",O1321="Fire Tex 5062",O1321="Fire Tex 5090",O1321="Fire Tex 5120"),'CALCULO PINTURA'!S1322," ")</f>
        <v xml:space="preserve"> </v>
      </c>
      <c r="T1321" s="874" t="str">
        <f>+IF(OR(O1321="Blaze Shield II",O1321="Cafco 400",O1321="Cafco 300"),'CALCULO MORTERO'!N1327," ")</f>
        <v xml:space="preserve"> </v>
      </c>
      <c r="U1321" s="875" t="str">
        <f>+IF(OR(O1321="Blaze Shield II",O1321="Cafco 400",O1321="Cafco 300"),'CALCULO MORTERO'!O1327," ")</f>
        <v xml:space="preserve"> </v>
      </c>
      <c r="V1321" s="161" t="str" cm="1">
        <f t="array" ref="V1321">_xlfn.IFS(O1321="Blaze Shield II",'CALCULO MORTERO'!P1322, O1321="Cafco 400",'CALCULO MORTERO'!Q1322,O1321="Cafco 300",'CALCULO MORTERO'!S1322, AND(OR(O1321="Fire tex 5090", O1321="Fire Tex 5062", O1321="Fire Tex 5120", O1321="Fire Control"),Q1321&gt;0), "CERT.",TRUE,"-")</f>
        <v>-</v>
      </c>
    </row>
    <row r="1322" spans="1:22" x14ac:dyDescent="0.25">
      <c r="A1322" s="168"/>
      <c r="B1322" s="876"/>
      <c r="C1322" s="161"/>
      <c r="D1322" s="161"/>
      <c r="E1322" s="161"/>
      <c r="F1322" s="41"/>
      <c r="G1322" s="161"/>
      <c r="H1322" s="161"/>
      <c r="I1322" s="166"/>
      <c r="J1322" s="162"/>
      <c r="K1322" s="162"/>
      <c r="L1322" s="161"/>
      <c r="M1322" s="169"/>
      <c r="N1322" s="163" t="str">
        <f t="shared" si="24"/>
        <v/>
      </c>
      <c r="O1322" s="41"/>
      <c r="P1322" s="41"/>
      <c r="Q1322" s="161" t="str">
        <f>+IF(OR(O1322="Fire Control",O1322="Fire Tex 5062",O1322="Fire Tex 5090",O1322="Fire Tex 5120"),'CALCULO PINTURA'!P1323," ")</f>
        <v xml:space="preserve"> </v>
      </c>
      <c r="R1322" s="164" t="str">
        <f>+IF(OR(O1322="Fire Control",O1322="Fire Tex 5062",O1322="Fire Tex 5090",O1322="Fire Tex 5120"),'CALCULO PINTURA'!R1323," ")</f>
        <v xml:space="preserve"> </v>
      </c>
      <c r="S1322" s="164" t="str">
        <f>+IF(OR(O1322="Fire Control",O1322="Fire Tex 5062",O1322="Fire Tex 5090",O1322="Fire Tex 5120"),'CALCULO PINTURA'!S1323," ")</f>
        <v xml:space="preserve"> </v>
      </c>
      <c r="T1322" s="874" t="str">
        <f>+IF(OR(O1322="Blaze Shield II",O1322="Cafco 400",O1322="Cafco 300"),'CALCULO MORTERO'!N1328," ")</f>
        <v xml:space="preserve"> </v>
      </c>
      <c r="U1322" s="875" t="str">
        <f>+IF(OR(O1322="Blaze Shield II",O1322="Cafco 400",O1322="Cafco 300"),'CALCULO MORTERO'!O1328," ")</f>
        <v xml:space="preserve"> </v>
      </c>
      <c r="V1322" s="161" t="str" cm="1">
        <f t="array" ref="V1322">_xlfn.IFS(O1322="Blaze Shield II",'CALCULO MORTERO'!P1323, O1322="Cafco 400",'CALCULO MORTERO'!Q1323,O1322="Cafco 300",'CALCULO MORTERO'!S1323, AND(OR(O1322="Fire tex 5090", O1322="Fire Tex 5062", O1322="Fire Tex 5120", O1322="Fire Control"),Q1322&gt;0), "CERT.",TRUE,"-")</f>
        <v>-</v>
      </c>
    </row>
    <row r="1323" spans="1:22" x14ac:dyDescent="0.25">
      <c r="A1323" s="168"/>
      <c r="B1323" s="876"/>
      <c r="C1323" s="161"/>
      <c r="D1323" s="161"/>
      <c r="E1323" s="161"/>
      <c r="F1323" s="161"/>
      <c r="G1323" s="161"/>
      <c r="H1323" s="161"/>
      <c r="I1323" s="166"/>
      <c r="J1323" s="162"/>
      <c r="K1323" s="161"/>
      <c r="L1323" s="161"/>
      <c r="M1323" s="163"/>
      <c r="N1323" s="163" t="str">
        <f t="shared" si="24"/>
        <v/>
      </c>
      <c r="O1323" s="41"/>
      <c r="P1323" s="41"/>
      <c r="Q1323" s="161" t="str">
        <f>+IF(OR(O1323="Fire Control",O1323="Fire Tex 5062",O1323="Fire Tex 5090",O1323="Fire Tex 5120"),'CALCULO PINTURA'!P1324," ")</f>
        <v xml:space="preserve"> </v>
      </c>
      <c r="R1323" s="164" t="str">
        <f>+IF(OR(O1323="Fire Control",O1323="Fire Tex 5062",O1323="Fire Tex 5090",O1323="Fire Tex 5120"),'CALCULO PINTURA'!R1324," ")</f>
        <v xml:space="preserve"> </v>
      </c>
      <c r="S1323" s="164" t="str">
        <f>+IF(OR(O1323="Fire Control",O1323="Fire Tex 5062",O1323="Fire Tex 5090",O1323="Fire Tex 5120"),'CALCULO PINTURA'!S1324," ")</f>
        <v xml:space="preserve"> </v>
      </c>
      <c r="T1323" s="874" t="str">
        <f>+IF(OR(O1323="Blaze Shield II",O1323="Cafco 400",O1323="Cafco 300"),'CALCULO MORTERO'!N1329," ")</f>
        <v xml:space="preserve"> </v>
      </c>
      <c r="U1323" s="875" t="str">
        <f>+IF(OR(O1323="Blaze Shield II",O1323="Cafco 400",O1323="Cafco 300"),'CALCULO MORTERO'!O1329," ")</f>
        <v xml:space="preserve"> </v>
      </c>
      <c r="V1323" s="161" t="str" cm="1">
        <f t="array" ref="V1323">_xlfn.IFS(O1323="Blaze Shield II",'CALCULO MORTERO'!P1324, O1323="Cafco 400",'CALCULO MORTERO'!Q1324,O1323="Cafco 300",'CALCULO MORTERO'!S1324, AND(OR(O1323="Fire tex 5090", O1323="Fire Tex 5062", O1323="Fire Tex 5120", O1323="Fire Control"),Q1323&gt;0), "CERT.",TRUE,"-")</f>
        <v>-</v>
      </c>
    </row>
    <row r="1324" spans="1:22" x14ac:dyDescent="0.25">
      <c r="A1324" s="168"/>
      <c r="B1324" s="876"/>
      <c r="C1324" s="161"/>
      <c r="D1324" s="161"/>
      <c r="E1324" s="161"/>
      <c r="F1324" s="161"/>
      <c r="G1324" s="161"/>
      <c r="H1324" s="161"/>
      <c r="I1324" s="166"/>
      <c r="J1324" s="162"/>
      <c r="K1324" s="161"/>
      <c r="L1324" s="161"/>
      <c r="M1324" s="163"/>
      <c r="N1324" s="163" t="str">
        <f t="shared" si="24"/>
        <v/>
      </c>
      <c r="O1324" s="41"/>
      <c r="P1324" s="41"/>
      <c r="Q1324" s="161" t="str">
        <f>+IF(OR(O1324="Fire Control",O1324="Fire Tex 5062",O1324="Fire Tex 5090",O1324="Fire Tex 5120"),'CALCULO PINTURA'!P1325," ")</f>
        <v xml:space="preserve"> </v>
      </c>
      <c r="R1324" s="164" t="str">
        <f>+IF(OR(O1324="Fire Control",O1324="Fire Tex 5062",O1324="Fire Tex 5090",O1324="Fire Tex 5120"),'CALCULO PINTURA'!R1325," ")</f>
        <v xml:space="preserve"> </v>
      </c>
      <c r="S1324" s="164" t="str">
        <f>+IF(OR(O1324="Fire Control",O1324="Fire Tex 5062",O1324="Fire Tex 5090",O1324="Fire Tex 5120"),'CALCULO PINTURA'!S1325," ")</f>
        <v xml:space="preserve"> </v>
      </c>
      <c r="T1324" s="874" t="str">
        <f>+IF(OR(O1324="Blaze Shield II",O1324="Cafco 400",O1324="Cafco 300"),'CALCULO MORTERO'!N1330," ")</f>
        <v xml:space="preserve"> </v>
      </c>
      <c r="U1324" s="875" t="str">
        <f>+IF(OR(O1324="Blaze Shield II",O1324="Cafco 400",O1324="Cafco 300"),'CALCULO MORTERO'!O1330," ")</f>
        <v xml:space="preserve"> </v>
      </c>
      <c r="V1324" s="161" t="str" cm="1">
        <f t="array" ref="V1324">_xlfn.IFS(O1324="Blaze Shield II",'CALCULO MORTERO'!P1325, O1324="Cafco 400",'CALCULO MORTERO'!Q1325,O1324="Cafco 300",'CALCULO MORTERO'!S1325, AND(OR(O1324="Fire tex 5090", O1324="Fire Tex 5062", O1324="Fire Tex 5120", O1324="Fire Control"),Q1324&gt;0), "CERT.",TRUE,"-")</f>
        <v>-</v>
      </c>
    </row>
    <row r="1325" spans="1:22" x14ac:dyDescent="0.25">
      <c r="A1325" s="168"/>
      <c r="B1325" s="876"/>
      <c r="C1325" s="161"/>
      <c r="D1325" s="161"/>
      <c r="E1325" s="161"/>
      <c r="F1325" s="161"/>
      <c r="G1325" s="161"/>
      <c r="H1325" s="161"/>
      <c r="I1325" s="166"/>
      <c r="J1325" s="162"/>
      <c r="K1325" s="161"/>
      <c r="L1325" s="161"/>
      <c r="M1325" s="169"/>
      <c r="N1325" s="163" t="str">
        <f t="shared" si="24"/>
        <v/>
      </c>
      <c r="O1325" s="41"/>
      <c r="P1325" s="41"/>
      <c r="Q1325" s="161" t="str">
        <f>+IF(OR(O1325="Fire Control",O1325="Fire Tex 5062",O1325="Fire Tex 5090",O1325="Fire Tex 5120"),'CALCULO PINTURA'!P1326," ")</f>
        <v xml:space="preserve"> </v>
      </c>
      <c r="R1325" s="164" t="str">
        <f>+IF(OR(O1325="Fire Control",O1325="Fire Tex 5062",O1325="Fire Tex 5090",O1325="Fire Tex 5120"),'CALCULO PINTURA'!R1326," ")</f>
        <v xml:space="preserve"> </v>
      </c>
      <c r="S1325" s="164" t="str">
        <f>+IF(OR(O1325="Fire Control",O1325="Fire Tex 5062",O1325="Fire Tex 5090",O1325="Fire Tex 5120"),'CALCULO PINTURA'!S1326," ")</f>
        <v xml:space="preserve"> </v>
      </c>
      <c r="T1325" s="874" t="str">
        <f>+IF(OR(O1325="Blaze Shield II",O1325="Cafco 400",O1325="Cafco 300"),'CALCULO MORTERO'!N1331," ")</f>
        <v xml:space="preserve"> </v>
      </c>
      <c r="U1325" s="875" t="str">
        <f>+IF(OR(O1325="Blaze Shield II",O1325="Cafco 400",O1325="Cafco 300"),'CALCULO MORTERO'!O1331," ")</f>
        <v xml:space="preserve"> </v>
      </c>
      <c r="V1325" s="161" t="str" cm="1">
        <f t="array" ref="V1325">_xlfn.IFS(O1325="Blaze Shield II",'CALCULO MORTERO'!P1326, O1325="Cafco 400",'CALCULO MORTERO'!Q1326,O1325="Cafco 300",'CALCULO MORTERO'!S1326, AND(OR(O1325="Fire tex 5090", O1325="Fire Tex 5062", O1325="Fire Tex 5120", O1325="Fire Control"),Q1325&gt;0), "CERT.",TRUE,"-")</f>
        <v>-</v>
      </c>
    </row>
    <row r="1326" spans="1:22" x14ac:dyDescent="0.25">
      <c r="A1326" s="168"/>
      <c r="B1326" s="876"/>
      <c r="C1326" s="161"/>
      <c r="D1326" s="161"/>
      <c r="E1326" s="161"/>
      <c r="F1326" s="161"/>
      <c r="G1326" s="161"/>
      <c r="H1326" s="161"/>
      <c r="I1326" s="166"/>
      <c r="J1326" s="162"/>
      <c r="K1326" s="161"/>
      <c r="L1326" s="161"/>
      <c r="M1326" s="163"/>
      <c r="N1326" s="163" t="str">
        <f t="shared" si="24"/>
        <v/>
      </c>
      <c r="O1326" s="41"/>
      <c r="P1326" s="41"/>
      <c r="Q1326" s="161" t="str">
        <f>+IF(OR(O1326="Fire Control",O1326="Fire Tex 5062",O1326="Fire Tex 5090",O1326="Fire Tex 5120"),'CALCULO PINTURA'!P1327," ")</f>
        <v xml:space="preserve"> </v>
      </c>
      <c r="R1326" s="164" t="str">
        <f>+IF(OR(O1326="Fire Control",O1326="Fire Tex 5062",O1326="Fire Tex 5090",O1326="Fire Tex 5120"),'CALCULO PINTURA'!R1327," ")</f>
        <v xml:space="preserve"> </v>
      </c>
      <c r="S1326" s="164" t="str">
        <f>+IF(OR(O1326="Fire Control",O1326="Fire Tex 5062",O1326="Fire Tex 5090",O1326="Fire Tex 5120"),'CALCULO PINTURA'!S1327," ")</f>
        <v xml:space="preserve"> </v>
      </c>
      <c r="T1326" s="874" t="str">
        <f>+IF(OR(O1326="Blaze Shield II",O1326="Cafco 400",O1326="Cafco 300"),'CALCULO MORTERO'!N1332," ")</f>
        <v xml:space="preserve"> </v>
      </c>
      <c r="U1326" s="875" t="str">
        <f>+IF(OR(O1326="Blaze Shield II",O1326="Cafco 400",O1326="Cafco 300"),'CALCULO MORTERO'!O1332," ")</f>
        <v xml:space="preserve"> </v>
      </c>
      <c r="V1326" s="161" t="str" cm="1">
        <f t="array" ref="V1326">_xlfn.IFS(O1326="Blaze Shield II",'CALCULO MORTERO'!P1327, O1326="Cafco 400",'CALCULO MORTERO'!Q1327,O1326="Cafco 300",'CALCULO MORTERO'!S1327, AND(OR(O1326="Fire tex 5090", O1326="Fire Tex 5062", O1326="Fire Tex 5120", O1326="Fire Control"),Q1326&gt;0), "CERT.",TRUE,"-")</f>
        <v>-</v>
      </c>
    </row>
    <row r="1327" spans="1:22" x14ac:dyDescent="0.25">
      <c r="A1327" s="168"/>
      <c r="B1327" s="876"/>
      <c r="C1327" s="161"/>
      <c r="D1327" s="161"/>
      <c r="E1327" s="161"/>
      <c r="F1327" s="161"/>
      <c r="G1327" s="161"/>
      <c r="H1327" s="161"/>
      <c r="I1327" s="166"/>
      <c r="J1327" s="162"/>
      <c r="K1327" s="161"/>
      <c r="L1327" s="161"/>
      <c r="M1327" s="163"/>
      <c r="N1327" s="163" t="str">
        <f t="shared" si="24"/>
        <v/>
      </c>
      <c r="O1327" s="41"/>
      <c r="P1327" s="41"/>
      <c r="Q1327" s="161" t="str">
        <f>+IF(OR(O1327="Fire Control",O1327="Fire Tex 5062",O1327="Fire Tex 5090",O1327="Fire Tex 5120"),'CALCULO PINTURA'!P1328," ")</f>
        <v xml:space="preserve"> </v>
      </c>
      <c r="R1327" s="164" t="str">
        <f>+IF(OR(O1327="Fire Control",O1327="Fire Tex 5062",O1327="Fire Tex 5090",O1327="Fire Tex 5120"),'CALCULO PINTURA'!R1328," ")</f>
        <v xml:space="preserve"> </v>
      </c>
      <c r="S1327" s="164" t="str">
        <f>+IF(OR(O1327="Fire Control",O1327="Fire Tex 5062",O1327="Fire Tex 5090",O1327="Fire Tex 5120"),'CALCULO PINTURA'!S1328," ")</f>
        <v xml:space="preserve"> </v>
      </c>
      <c r="T1327" s="874" t="str">
        <f>+IF(OR(O1327="Blaze Shield II",O1327="Cafco 400",O1327="Cafco 300"),'CALCULO MORTERO'!N1333," ")</f>
        <v xml:space="preserve"> </v>
      </c>
      <c r="U1327" s="875" t="str">
        <f>+IF(OR(O1327="Blaze Shield II",O1327="Cafco 400",O1327="Cafco 300"),'CALCULO MORTERO'!O1333," ")</f>
        <v xml:space="preserve"> </v>
      </c>
      <c r="V1327" s="161" t="str" cm="1">
        <f t="array" ref="V1327">_xlfn.IFS(O1327="Blaze Shield II",'CALCULO MORTERO'!P1328, O1327="Cafco 400",'CALCULO MORTERO'!Q1328,O1327="Cafco 300",'CALCULO MORTERO'!S1328, AND(OR(O1327="Fire tex 5090", O1327="Fire Tex 5062", O1327="Fire Tex 5120", O1327="Fire Control"),Q1327&gt;0), "CERT.",TRUE,"-")</f>
        <v>-</v>
      </c>
    </row>
    <row r="1328" spans="1:22" x14ac:dyDescent="0.25">
      <c r="A1328" s="168"/>
      <c r="B1328" s="876"/>
      <c r="C1328" s="161"/>
      <c r="D1328" s="161"/>
      <c r="E1328" s="161"/>
      <c r="F1328" s="161"/>
      <c r="G1328" s="161"/>
      <c r="H1328" s="161"/>
      <c r="I1328" s="166"/>
      <c r="J1328" s="162"/>
      <c r="K1328" s="161"/>
      <c r="L1328" s="161"/>
      <c r="M1328" s="163"/>
      <c r="N1328" s="163" t="str">
        <f t="shared" si="24"/>
        <v/>
      </c>
      <c r="O1328" s="41"/>
      <c r="P1328" s="41"/>
      <c r="Q1328" s="161" t="str">
        <f>+IF(OR(O1328="Fire Control",O1328="Fire Tex 5062",O1328="Fire Tex 5090",O1328="Fire Tex 5120"),'CALCULO PINTURA'!P1329," ")</f>
        <v xml:space="preserve"> </v>
      </c>
      <c r="R1328" s="164" t="str">
        <f>+IF(OR(O1328="Fire Control",O1328="Fire Tex 5062",O1328="Fire Tex 5090",O1328="Fire Tex 5120"),'CALCULO PINTURA'!R1329," ")</f>
        <v xml:space="preserve"> </v>
      </c>
      <c r="S1328" s="164" t="str">
        <f>+IF(OR(O1328="Fire Control",O1328="Fire Tex 5062",O1328="Fire Tex 5090",O1328="Fire Tex 5120"),'CALCULO PINTURA'!S1329," ")</f>
        <v xml:space="preserve"> </v>
      </c>
      <c r="T1328" s="874" t="str">
        <f>+IF(OR(O1328="Blaze Shield II",O1328="Cafco 400",O1328="Cafco 300"),'CALCULO MORTERO'!N1334," ")</f>
        <v xml:space="preserve"> </v>
      </c>
      <c r="U1328" s="875" t="str">
        <f>+IF(OR(O1328="Blaze Shield II",O1328="Cafco 400",O1328="Cafco 300"),'CALCULO MORTERO'!O1334," ")</f>
        <v xml:space="preserve"> </v>
      </c>
      <c r="V1328" s="161" t="str" cm="1">
        <f t="array" ref="V1328">_xlfn.IFS(O1328="Blaze Shield II",'CALCULO MORTERO'!P1329, O1328="Cafco 400",'CALCULO MORTERO'!Q1329,O1328="Cafco 300",'CALCULO MORTERO'!S1329, AND(OR(O1328="Fire tex 5090", O1328="Fire Tex 5062", O1328="Fire Tex 5120", O1328="Fire Control"),Q1328&gt;0), "CERT.",TRUE,"-")</f>
        <v>-</v>
      </c>
    </row>
    <row r="1329" spans="1:22" x14ac:dyDescent="0.25">
      <c r="A1329" s="168"/>
      <c r="B1329" s="876"/>
      <c r="C1329" s="161"/>
      <c r="D1329" s="161"/>
      <c r="E1329" s="161"/>
      <c r="F1329" s="161"/>
      <c r="G1329" s="161"/>
      <c r="H1329" s="161"/>
      <c r="I1329" s="166"/>
      <c r="J1329" s="162"/>
      <c r="K1329" s="161"/>
      <c r="L1329" s="161"/>
      <c r="M1329" s="163"/>
      <c r="N1329" s="163" t="str">
        <f t="shared" si="24"/>
        <v/>
      </c>
      <c r="O1329" s="41"/>
      <c r="P1329" s="41"/>
      <c r="Q1329" s="161" t="str">
        <f>+IF(OR(O1329="Fire Control",O1329="Fire Tex 5062",O1329="Fire Tex 5090",O1329="Fire Tex 5120"),'CALCULO PINTURA'!P1330," ")</f>
        <v xml:space="preserve"> </v>
      </c>
      <c r="R1329" s="164" t="str">
        <f>+IF(OR(O1329="Fire Control",O1329="Fire Tex 5062",O1329="Fire Tex 5090",O1329="Fire Tex 5120"),'CALCULO PINTURA'!R1330," ")</f>
        <v xml:space="preserve"> </v>
      </c>
      <c r="S1329" s="164" t="str">
        <f>+IF(OR(O1329="Fire Control",O1329="Fire Tex 5062",O1329="Fire Tex 5090",O1329="Fire Tex 5120"),'CALCULO PINTURA'!S1330," ")</f>
        <v xml:space="preserve"> </v>
      </c>
      <c r="T1329" s="874" t="str">
        <f>+IF(OR(O1329="Blaze Shield II",O1329="Cafco 400",O1329="Cafco 300"),'CALCULO MORTERO'!N1335," ")</f>
        <v xml:space="preserve"> </v>
      </c>
      <c r="U1329" s="875" t="str">
        <f>+IF(OR(O1329="Blaze Shield II",O1329="Cafco 400",O1329="Cafco 300"),'CALCULO MORTERO'!O1335," ")</f>
        <v xml:space="preserve"> </v>
      </c>
      <c r="V1329" s="161" t="str" cm="1">
        <f t="array" ref="V1329">_xlfn.IFS(O1329="Blaze Shield II",'CALCULO MORTERO'!P1330, O1329="Cafco 400",'CALCULO MORTERO'!Q1330,O1329="Cafco 300",'CALCULO MORTERO'!S1330, AND(OR(O1329="Fire tex 5090", O1329="Fire Tex 5062", O1329="Fire Tex 5120", O1329="Fire Control"),Q1329&gt;0), "CERT.",TRUE,"-")</f>
        <v>-</v>
      </c>
    </row>
    <row r="1330" spans="1:22" x14ac:dyDescent="0.25">
      <c r="A1330" s="168"/>
      <c r="B1330" s="876"/>
      <c r="C1330" s="161"/>
      <c r="D1330" s="161"/>
      <c r="E1330" s="161"/>
      <c r="F1330" s="161"/>
      <c r="G1330" s="161"/>
      <c r="H1330" s="161"/>
      <c r="I1330" s="166"/>
      <c r="J1330" s="162"/>
      <c r="K1330" s="161"/>
      <c r="L1330" s="161"/>
      <c r="M1330" s="163"/>
      <c r="N1330" s="163" t="str">
        <f t="shared" si="24"/>
        <v/>
      </c>
      <c r="O1330" s="41"/>
      <c r="P1330" s="41"/>
      <c r="Q1330" s="161" t="str">
        <f>+IF(OR(O1330="Fire Control",O1330="Fire Tex 5062",O1330="Fire Tex 5090",O1330="Fire Tex 5120"),'CALCULO PINTURA'!P1331," ")</f>
        <v xml:space="preserve"> </v>
      </c>
      <c r="R1330" s="164" t="str">
        <f>+IF(OR(O1330="Fire Control",O1330="Fire Tex 5062",O1330="Fire Tex 5090",O1330="Fire Tex 5120"),'CALCULO PINTURA'!R1331," ")</f>
        <v xml:space="preserve"> </v>
      </c>
      <c r="S1330" s="164" t="str">
        <f>+IF(OR(O1330="Fire Control",O1330="Fire Tex 5062",O1330="Fire Tex 5090",O1330="Fire Tex 5120"),'CALCULO PINTURA'!S1331," ")</f>
        <v xml:space="preserve"> </v>
      </c>
      <c r="T1330" s="874" t="str">
        <f>+IF(OR(O1330="Blaze Shield II",O1330="Cafco 400",O1330="Cafco 300"),'CALCULO MORTERO'!N1336," ")</f>
        <v xml:space="preserve"> </v>
      </c>
      <c r="U1330" s="875" t="str">
        <f>+IF(OR(O1330="Blaze Shield II",O1330="Cafco 400",O1330="Cafco 300"),'CALCULO MORTERO'!O1336," ")</f>
        <v xml:space="preserve"> </v>
      </c>
      <c r="V1330" s="161" t="str" cm="1">
        <f t="array" ref="V1330">_xlfn.IFS(O1330="Blaze Shield II",'CALCULO MORTERO'!P1331, O1330="Cafco 400",'CALCULO MORTERO'!Q1331,O1330="Cafco 300",'CALCULO MORTERO'!S1331, AND(OR(O1330="Fire tex 5090", O1330="Fire Tex 5062", O1330="Fire Tex 5120", O1330="Fire Control"),Q1330&gt;0), "CERT.",TRUE,"-")</f>
        <v>-</v>
      </c>
    </row>
    <row r="1331" spans="1:22" x14ac:dyDescent="0.25">
      <c r="A1331" s="168"/>
      <c r="B1331" s="876"/>
      <c r="C1331" s="161"/>
      <c r="D1331" s="161"/>
      <c r="E1331" s="161"/>
      <c r="F1331" s="41"/>
      <c r="G1331" s="161"/>
      <c r="H1331" s="161"/>
      <c r="I1331" s="166"/>
      <c r="J1331" s="162"/>
      <c r="K1331" s="161"/>
      <c r="L1331" s="161"/>
      <c r="M1331" s="169"/>
      <c r="N1331" s="163" t="str">
        <f t="shared" si="24"/>
        <v/>
      </c>
      <c r="O1331" s="41"/>
      <c r="P1331" s="41"/>
      <c r="Q1331" s="161" t="str">
        <f>+IF(OR(O1331="Fire Control",O1331="Fire Tex 5062",O1331="Fire Tex 5090",O1331="Fire Tex 5120"),'CALCULO PINTURA'!P1332," ")</f>
        <v xml:space="preserve"> </v>
      </c>
      <c r="R1331" s="164" t="str">
        <f>+IF(OR(O1331="Fire Control",O1331="Fire Tex 5062",O1331="Fire Tex 5090",O1331="Fire Tex 5120"),'CALCULO PINTURA'!R1332," ")</f>
        <v xml:space="preserve"> </v>
      </c>
      <c r="S1331" s="164" t="str">
        <f>+IF(OR(O1331="Fire Control",O1331="Fire Tex 5062",O1331="Fire Tex 5090",O1331="Fire Tex 5120"),'CALCULO PINTURA'!S1332," ")</f>
        <v xml:space="preserve"> </v>
      </c>
      <c r="T1331" s="874" t="str">
        <f>+IF(OR(O1331="Blaze Shield II",O1331="Cafco 400",O1331="Cafco 300"),'CALCULO MORTERO'!N1337," ")</f>
        <v xml:space="preserve"> </v>
      </c>
      <c r="U1331" s="875" t="str">
        <f>+IF(OR(O1331="Blaze Shield II",O1331="Cafco 400",O1331="Cafco 300"),'CALCULO MORTERO'!O1337," ")</f>
        <v xml:space="preserve"> </v>
      </c>
      <c r="V1331" s="161" t="str" cm="1">
        <f t="array" ref="V1331">_xlfn.IFS(O1331="Blaze Shield II",'CALCULO MORTERO'!P1332, O1331="Cafco 400",'CALCULO MORTERO'!Q1332,O1331="Cafco 300",'CALCULO MORTERO'!S1332, AND(OR(O1331="Fire tex 5090", O1331="Fire Tex 5062", O1331="Fire Tex 5120", O1331="Fire Control"),Q1331&gt;0), "CERT.",TRUE,"-")</f>
        <v>-</v>
      </c>
    </row>
    <row r="1332" spans="1:22" x14ac:dyDescent="0.25">
      <c r="A1332" s="168"/>
      <c r="B1332" s="876"/>
      <c r="C1332" s="161"/>
      <c r="D1332" s="161"/>
      <c r="E1332" s="161"/>
      <c r="F1332" s="41"/>
      <c r="G1332" s="161"/>
      <c r="H1332" s="161"/>
      <c r="I1332" s="166"/>
      <c r="J1332" s="162"/>
      <c r="K1332" s="161"/>
      <c r="L1332" s="161"/>
      <c r="M1332" s="169"/>
      <c r="N1332" s="163" t="str">
        <f t="shared" si="24"/>
        <v/>
      </c>
      <c r="O1332" s="41"/>
      <c r="P1332" s="41"/>
      <c r="Q1332" s="161" t="str">
        <f>+IF(OR(O1332="Fire Control",O1332="Fire Tex 5062",O1332="Fire Tex 5090",O1332="Fire Tex 5120"),'CALCULO PINTURA'!P1333," ")</f>
        <v xml:space="preserve"> </v>
      </c>
      <c r="R1332" s="164" t="str">
        <f>+IF(OR(O1332="Fire Control",O1332="Fire Tex 5062",O1332="Fire Tex 5090",O1332="Fire Tex 5120"),'CALCULO PINTURA'!R1333," ")</f>
        <v xml:space="preserve"> </v>
      </c>
      <c r="S1332" s="164" t="str">
        <f>+IF(OR(O1332="Fire Control",O1332="Fire Tex 5062",O1332="Fire Tex 5090",O1332="Fire Tex 5120"),'CALCULO PINTURA'!S1333," ")</f>
        <v xml:space="preserve"> </v>
      </c>
      <c r="T1332" s="874" t="str">
        <f>+IF(OR(O1332="Blaze Shield II",O1332="Cafco 400",O1332="Cafco 300"),'CALCULO MORTERO'!N1338," ")</f>
        <v xml:space="preserve"> </v>
      </c>
      <c r="U1332" s="875" t="str">
        <f>+IF(OR(O1332="Blaze Shield II",O1332="Cafco 400",O1332="Cafco 300"),'CALCULO MORTERO'!O1338," ")</f>
        <v xml:space="preserve"> </v>
      </c>
      <c r="V1332" s="161" t="str" cm="1">
        <f t="array" ref="V1332">_xlfn.IFS(O1332="Blaze Shield II",'CALCULO MORTERO'!P1333, O1332="Cafco 400",'CALCULO MORTERO'!Q1333,O1332="Cafco 300",'CALCULO MORTERO'!S1333, AND(OR(O1332="Fire tex 5090", O1332="Fire Tex 5062", O1332="Fire Tex 5120", O1332="Fire Control"),Q1332&gt;0), "CERT.",TRUE,"-")</f>
        <v>-</v>
      </c>
    </row>
    <row r="1333" spans="1:22" x14ac:dyDescent="0.25">
      <c r="A1333" s="168"/>
      <c r="B1333" s="876"/>
      <c r="C1333" s="161"/>
      <c r="D1333" s="161"/>
      <c r="E1333" s="161"/>
      <c r="F1333" s="41"/>
      <c r="G1333" s="161"/>
      <c r="H1333" s="161"/>
      <c r="I1333" s="166"/>
      <c r="J1333" s="162"/>
      <c r="K1333" s="162"/>
      <c r="L1333" s="161"/>
      <c r="M1333" s="169"/>
      <c r="N1333" s="163" t="str">
        <f t="shared" si="24"/>
        <v/>
      </c>
      <c r="O1333" s="41"/>
      <c r="P1333" s="41"/>
      <c r="Q1333" s="161" t="str">
        <f>+IF(OR(O1333="Fire Control",O1333="Fire Tex 5062",O1333="Fire Tex 5090",O1333="Fire Tex 5120"),'CALCULO PINTURA'!P1334," ")</f>
        <v xml:space="preserve"> </v>
      </c>
      <c r="R1333" s="164" t="str">
        <f>+IF(OR(O1333="Fire Control",O1333="Fire Tex 5062",O1333="Fire Tex 5090",O1333="Fire Tex 5120"),'CALCULO PINTURA'!R1334," ")</f>
        <v xml:space="preserve"> </v>
      </c>
      <c r="S1333" s="164" t="str">
        <f>+IF(OR(O1333="Fire Control",O1333="Fire Tex 5062",O1333="Fire Tex 5090",O1333="Fire Tex 5120"),'CALCULO PINTURA'!S1334," ")</f>
        <v xml:space="preserve"> </v>
      </c>
      <c r="T1333" s="874" t="str">
        <f>+IF(OR(O1333="Blaze Shield II",O1333="Cafco 400",O1333="Cafco 300"),'CALCULO MORTERO'!N1339," ")</f>
        <v xml:space="preserve"> </v>
      </c>
      <c r="U1333" s="875" t="str">
        <f>+IF(OR(O1333="Blaze Shield II",O1333="Cafco 400",O1333="Cafco 300"),'CALCULO MORTERO'!O1339," ")</f>
        <v xml:space="preserve"> </v>
      </c>
      <c r="V1333" s="161" t="str" cm="1">
        <f t="array" ref="V1333">_xlfn.IFS(O1333="Blaze Shield II",'CALCULO MORTERO'!P1334, O1333="Cafco 400",'CALCULO MORTERO'!Q1334,O1333="Cafco 300",'CALCULO MORTERO'!S1334, AND(OR(O1333="Fire tex 5090", O1333="Fire Tex 5062", O1333="Fire Tex 5120", O1333="Fire Control"),Q1333&gt;0), "CERT.",TRUE,"-")</f>
        <v>-</v>
      </c>
    </row>
    <row r="1334" spans="1:22" x14ac:dyDescent="0.25">
      <c r="A1334" s="168"/>
      <c r="B1334" s="876"/>
      <c r="C1334" s="161"/>
      <c r="D1334" s="161"/>
      <c r="E1334" s="161"/>
      <c r="F1334" s="161"/>
      <c r="G1334" s="161"/>
      <c r="H1334" s="161"/>
      <c r="I1334" s="166"/>
      <c r="J1334" s="162"/>
      <c r="K1334" s="161"/>
      <c r="L1334" s="161"/>
      <c r="M1334" s="169"/>
      <c r="N1334" s="163" t="str">
        <f t="shared" si="24"/>
        <v/>
      </c>
      <c r="O1334" s="41"/>
      <c r="P1334" s="41"/>
      <c r="Q1334" s="161" t="str">
        <f>+IF(OR(O1334="Fire Control",O1334="Fire Tex 5062",O1334="Fire Tex 5090",O1334="Fire Tex 5120"),'CALCULO PINTURA'!P1335," ")</f>
        <v xml:space="preserve"> </v>
      </c>
      <c r="R1334" s="164" t="str">
        <f>+IF(OR(O1334="Fire Control",O1334="Fire Tex 5062",O1334="Fire Tex 5090",O1334="Fire Tex 5120"),'CALCULO PINTURA'!R1335," ")</f>
        <v xml:space="preserve"> </v>
      </c>
      <c r="S1334" s="164" t="str">
        <f>+IF(OR(O1334="Fire Control",O1334="Fire Tex 5062",O1334="Fire Tex 5090",O1334="Fire Tex 5120"),'CALCULO PINTURA'!S1335," ")</f>
        <v xml:space="preserve"> </v>
      </c>
      <c r="T1334" s="874" t="str">
        <f>+IF(OR(O1334="Blaze Shield II",O1334="Cafco 400",O1334="Cafco 300"),'CALCULO MORTERO'!N1340," ")</f>
        <v xml:space="preserve"> </v>
      </c>
      <c r="U1334" s="875" t="str">
        <f>+IF(OR(O1334="Blaze Shield II",O1334="Cafco 400",O1334="Cafco 300"),'CALCULO MORTERO'!O1340," ")</f>
        <v xml:space="preserve"> </v>
      </c>
      <c r="V1334" s="161" t="str" cm="1">
        <f t="array" ref="V1334">_xlfn.IFS(O1334="Blaze Shield II",'CALCULO MORTERO'!P1335, O1334="Cafco 400",'CALCULO MORTERO'!Q1335,O1334="Cafco 300",'CALCULO MORTERO'!S1335, AND(OR(O1334="Fire tex 5090", O1334="Fire Tex 5062", O1334="Fire Tex 5120", O1334="Fire Control"),Q1334&gt;0), "CERT.",TRUE,"-")</f>
        <v>-</v>
      </c>
    </row>
    <row r="1335" spans="1:22" x14ac:dyDescent="0.25">
      <c r="A1335" s="168"/>
      <c r="B1335" s="876"/>
      <c r="C1335" s="161"/>
      <c r="D1335" s="161"/>
      <c r="E1335" s="161"/>
      <c r="F1335" s="161"/>
      <c r="G1335" s="161"/>
      <c r="H1335" s="161"/>
      <c r="I1335" s="166"/>
      <c r="J1335" s="162"/>
      <c r="K1335" s="161"/>
      <c r="L1335" s="161"/>
      <c r="M1335" s="163"/>
      <c r="N1335" s="163" t="str">
        <f t="shared" si="24"/>
        <v/>
      </c>
      <c r="O1335" s="41"/>
      <c r="P1335" s="41"/>
      <c r="Q1335" s="161" t="str">
        <f>+IF(OR(O1335="Fire Control",O1335="Fire Tex 5062",O1335="Fire Tex 5090",O1335="Fire Tex 5120"),'CALCULO PINTURA'!P1336," ")</f>
        <v xml:space="preserve"> </v>
      </c>
      <c r="R1335" s="164" t="str">
        <f>+IF(OR(O1335="Fire Control",O1335="Fire Tex 5062",O1335="Fire Tex 5090",O1335="Fire Tex 5120"),'CALCULO PINTURA'!R1336," ")</f>
        <v xml:space="preserve"> </v>
      </c>
      <c r="S1335" s="164" t="str">
        <f>+IF(OR(O1335="Fire Control",O1335="Fire Tex 5062",O1335="Fire Tex 5090",O1335="Fire Tex 5120"),'CALCULO PINTURA'!S1336," ")</f>
        <v xml:space="preserve"> </v>
      </c>
      <c r="T1335" s="874" t="str">
        <f>+IF(OR(O1335="Blaze Shield II",O1335="Cafco 400",O1335="Cafco 300"),'CALCULO MORTERO'!N1341," ")</f>
        <v xml:space="preserve"> </v>
      </c>
      <c r="U1335" s="875" t="str">
        <f>+IF(OR(O1335="Blaze Shield II",O1335="Cafco 400",O1335="Cafco 300"),'CALCULO MORTERO'!O1341," ")</f>
        <v xml:space="preserve"> </v>
      </c>
      <c r="V1335" s="161" t="str" cm="1">
        <f t="array" ref="V1335">_xlfn.IFS(O1335="Blaze Shield II",'CALCULO MORTERO'!P1336, O1335="Cafco 400",'CALCULO MORTERO'!Q1336,O1335="Cafco 300",'CALCULO MORTERO'!S1336, AND(OR(O1335="Fire tex 5090", O1335="Fire Tex 5062", O1335="Fire Tex 5120", O1335="Fire Control"),Q1335&gt;0), "CERT.",TRUE,"-")</f>
        <v>-</v>
      </c>
    </row>
    <row r="1336" spans="1:22" x14ac:dyDescent="0.25">
      <c r="A1336" s="168"/>
      <c r="B1336" s="876"/>
      <c r="C1336" s="161"/>
      <c r="D1336" s="161"/>
      <c r="E1336" s="161"/>
      <c r="F1336" s="41"/>
      <c r="G1336" s="161"/>
      <c r="H1336" s="161"/>
      <c r="I1336" s="166"/>
      <c r="J1336" s="162"/>
      <c r="K1336" s="161"/>
      <c r="L1336" s="161"/>
      <c r="M1336" s="169"/>
      <c r="N1336" s="163" t="str">
        <f t="shared" si="24"/>
        <v/>
      </c>
      <c r="O1336" s="41"/>
      <c r="P1336" s="41"/>
      <c r="Q1336" s="161" t="str">
        <f>+IF(OR(O1336="Fire Control",O1336="Fire Tex 5062",O1336="Fire Tex 5090",O1336="Fire Tex 5120"),'CALCULO PINTURA'!P1337," ")</f>
        <v xml:space="preserve"> </v>
      </c>
      <c r="R1336" s="164" t="str">
        <f>+IF(OR(O1336="Fire Control",O1336="Fire Tex 5062",O1336="Fire Tex 5090",O1336="Fire Tex 5120"),'CALCULO PINTURA'!R1337," ")</f>
        <v xml:space="preserve"> </v>
      </c>
      <c r="S1336" s="164" t="str">
        <f>+IF(OR(O1336="Fire Control",O1336="Fire Tex 5062",O1336="Fire Tex 5090",O1336="Fire Tex 5120"),'CALCULO PINTURA'!S1337," ")</f>
        <v xml:space="preserve"> </v>
      </c>
      <c r="T1336" s="874" t="str">
        <f>+IF(OR(O1336="Blaze Shield II",O1336="Cafco 400",O1336="Cafco 300"),'CALCULO MORTERO'!N1342," ")</f>
        <v xml:space="preserve"> </v>
      </c>
      <c r="U1336" s="875" t="str">
        <f>+IF(OR(O1336="Blaze Shield II",O1336="Cafco 400",O1336="Cafco 300"),'CALCULO MORTERO'!O1342," ")</f>
        <v xml:space="preserve"> </v>
      </c>
      <c r="V1336" s="161" t="str" cm="1">
        <f t="array" ref="V1336">_xlfn.IFS(O1336="Blaze Shield II",'CALCULO MORTERO'!P1337, O1336="Cafco 400",'CALCULO MORTERO'!Q1337,O1336="Cafco 300",'CALCULO MORTERO'!S1337, AND(OR(O1336="Fire tex 5090", O1336="Fire Tex 5062", O1336="Fire Tex 5120", O1336="Fire Control"),Q1336&gt;0), "CERT.",TRUE,"-")</f>
        <v>-</v>
      </c>
    </row>
    <row r="1337" spans="1:22" x14ac:dyDescent="0.25">
      <c r="A1337" s="168"/>
      <c r="B1337" s="876"/>
      <c r="C1337" s="161"/>
      <c r="D1337" s="161"/>
      <c r="E1337" s="161"/>
      <c r="F1337" s="41"/>
      <c r="G1337" s="161"/>
      <c r="H1337" s="161"/>
      <c r="I1337" s="166"/>
      <c r="J1337" s="162"/>
      <c r="K1337" s="161"/>
      <c r="L1337" s="161"/>
      <c r="M1337" s="169"/>
      <c r="N1337" s="163" t="str">
        <f t="shared" si="24"/>
        <v/>
      </c>
      <c r="O1337" s="41"/>
      <c r="P1337" s="41"/>
      <c r="Q1337" s="161" t="str">
        <f>+IF(OR(O1337="Fire Control",O1337="Fire Tex 5062",O1337="Fire Tex 5090",O1337="Fire Tex 5120"),'CALCULO PINTURA'!P1338," ")</f>
        <v xml:space="preserve"> </v>
      </c>
      <c r="R1337" s="164" t="str">
        <f>+IF(OR(O1337="Fire Control",O1337="Fire Tex 5062",O1337="Fire Tex 5090",O1337="Fire Tex 5120"),'CALCULO PINTURA'!R1338," ")</f>
        <v xml:space="preserve"> </v>
      </c>
      <c r="S1337" s="164" t="str">
        <f>+IF(OR(O1337="Fire Control",O1337="Fire Tex 5062",O1337="Fire Tex 5090",O1337="Fire Tex 5120"),'CALCULO PINTURA'!S1338," ")</f>
        <v xml:space="preserve"> </v>
      </c>
      <c r="T1337" s="874" t="str">
        <f>+IF(OR(O1337="Blaze Shield II",O1337="Cafco 400",O1337="Cafco 300"),'CALCULO MORTERO'!N1343," ")</f>
        <v xml:space="preserve"> </v>
      </c>
      <c r="U1337" s="875" t="str">
        <f>+IF(OR(O1337="Blaze Shield II",O1337="Cafco 400",O1337="Cafco 300"),'CALCULO MORTERO'!O1343," ")</f>
        <v xml:space="preserve"> </v>
      </c>
      <c r="V1337" s="161" t="str" cm="1">
        <f t="array" ref="V1337">_xlfn.IFS(O1337="Blaze Shield II",'CALCULO MORTERO'!P1338, O1337="Cafco 400",'CALCULO MORTERO'!Q1338,O1337="Cafco 300",'CALCULO MORTERO'!S1338, AND(OR(O1337="Fire tex 5090", O1337="Fire Tex 5062", O1337="Fire Tex 5120", O1337="Fire Control"),Q1337&gt;0), "CERT.",TRUE,"-")</f>
        <v>-</v>
      </c>
    </row>
    <row r="1338" spans="1:22" x14ac:dyDescent="0.25">
      <c r="A1338" s="168"/>
      <c r="B1338" s="876"/>
      <c r="C1338" s="161"/>
      <c r="D1338" s="161"/>
      <c r="E1338" s="161"/>
      <c r="F1338" s="41"/>
      <c r="G1338" s="161"/>
      <c r="H1338" s="161"/>
      <c r="I1338" s="166"/>
      <c r="J1338" s="162"/>
      <c r="K1338" s="161"/>
      <c r="L1338" s="161"/>
      <c r="M1338" s="169"/>
      <c r="N1338" s="163" t="str">
        <f t="shared" si="24"/>
        <v/>
      </c>
      <c r="O1338" s="41"/>
      <c r="P1338" s="41"/>
      <c r="Q1338" s="161" t="str">
        <f>+IF(OR(O1338="Fire Control",O1338="Fire Tex 5062",O1338="Fire Tex 5090",O1338="Fire Tex 5120"),'CALCULO PINTURA'!P1339," ")</f>
        <v xml:space="preserve"> </v>
      </c>
      <c r="R1338" s="164" t="str">
        <f>+IF(OR(O1338="Fire Control",O1338="Fire Tex 5062",O1338="Fire Tex 5090",O1338="Fire Tex 5120"),'CALCULO PINTURA'!R1339," ")</f>
        <v xml:space="preserve"> </v>
      </c>
      <c r="S1338" s="164" t="str">
        <f>+IF(OR(O1338="Fire Control",O1338="Fire Tex 5062",O1338="Fire Tex 5090",O1338="Fire Tex 5120"),'CALCULO PINTURA'!S1339," ")</f>
        <v xml:space="preserve"> </v>
      </c>
      <c r="T1338" s="874" t="str">
        <f>+IF(OR(O1338="Blaze Shield II",O1338="Cafco 400",O1338="Cafco 300"),'CALCULO MORTERO'!N1344," ")</f>
        <v xml:space="preserve"> </v>
      </c>
      <c r="U1338" s="875" t="str">
        <f>+IF(OR(O1338="Blaze Shield II",O1338="Cafco 400",O1338="Cafco 300"),'CALCULO MORTERO'!O1344," ")</f>
        <v xml:space="preserve"> </v>
      </c>
      <c r="V1338" s="161" t="str" cm="1">
        <f t="array" ref="V1338">_xlfn.IFS(O1338="Blaze Shield II",'CALCULO MORTERO'!P1339, O1338="Cafco 400",'CALCULO MORTERO'!Q1339,O1338="Cafco 300",'CALCULO MORTERO'!S1339, AND(OR(O1338="Fire tex 5090", O1338="Fire Tex 5062", O1338="Fire Tex 5120", O1338="Fire Control"),Q1338&gt;0), "CERT.",TRUE,"-")</f>
        <v>-</v>
      </c>
    </row>
    <row r="1339" spans="1:22" x14ac:dyDescent="0.25">
      <c r="A1339" s="168"/>
      <c r="B1339" s="876"/>
      <c r="C1339" s="161"/>
      <c r="D1339" s="161"/>
      <c r="E1339" s="161"/>
      <c r="F1339" s="161"/>
      <c r="G1339" s="161"/>
      <c r="H1339" s="161"/>
      <c r="I1339" s="166"/>
      <c r="J1339" s="162"/>
      <c r="K1339" s="161"/>
      <c r="L1339" s="161"/>
      <c r="M1339" s="163"/>
      <c r="N1339" s="163" t="str">
        <f t="shared" si="24"/>
        <v/>
      </c>
      <c r="O1339" s="41"/>
      <c r="P1339" s="41"/>
      <c r="Q1339" s="161" t="str">
        <f>+IF(OR(O1339="Fire Control",O1339="Fire Tex 5062",O1339="Fire Tex 5090",O1339="Fire Tex 5120"),'CALCULO PINTURA'!P1340," ")</f>
        <v xml:space="preserve"> </v>
      </c>
      <c r="R1339" s="164" t="str">
        <f>+IF(OR(O1339="Fire Control",O1339="Fire Tex 5062",O1339="Fire Tex 5090",O1339="Fire Tex 5120"),'CALCULO PINTURA'!R1340," ")</f>
        <v xml:space="preserve"> </v>
      </c>
      <c r="S1339" s="164" t="str">
        <f>+IF(OR(O1339="Fire Control",O1339="Fire Tex 5062",O1339="Fire Tex 5090",O1339="Fire Tex 5120"),'CALCULO PINTURA'!S1340," ")</f>
        <v xml:space="preserve"> </v>
      </c>
      <c r="T1339" s="874" t="str">
        <f>+IF(OR(O1339="Blaze Shield II",O1339="Cafco 400",O1339="Cafco 300"),'CALCULO MORTERO'!N1345," ")</f>
        <v xml:space="preserve"> </v>
      </c>
      <c r="U1339" s="875" t="str">
        <f>+IF(OR(O1339="Blaze Shield II",O1339="Cafco 400",O1339="Cafco 300"),'CALCULO MORTERO'!O1345," ")</f>
        <v xml:space="preserve"> </v>
      </c>
      <c r="V1339" s="161" t="str" cm="1">
        <f t="array" ref="V1339">_xlfn.IFS(O1339="Blaze Shield II",'CALCULO MORTERO'!P1340, O1339="Cafco 400",'CALCULO MORTERO'!Q1340,O1339="Cafco 300",'CALCULO MORTERO'!S1340, AND(OR(O1339="Fire tex 5090", O1339="Fire Tex 5062", O1339="Fire Tex 5120", O1339="Fire Control"),Q1339&gt;0), "CERT.",TRUE,"-")</f>
        <v>-</v>
      </c>
    </row>
    <row r="1340" spans="1:22" x14ac:dyDescent="0.25">
      <c r="A1340" s="168"/>
      <c r="B1340" s="876"/>
      <c r="C1340" s="161"/>
      <c r="D1340" s="161"/>
      <c r="E1340" s="161"/>
      <c r="F1340" s="161"/>
      <c r="G1340" s="161"/>
      <c r="H1340" s="161"/>
      <c r="I1340" s="166"/>
      <c r="J1340" s="162"/>
      <c r="K1340" s="161"/>
      <c r="L1340" s="161"/>
      <c r="M1340" s="169"/>
      <c r="N1340" s="163" t="str">
        <f t="shared" si="24"/>
        <v/>
      </c>
      <c r="O1340" s="41"/>
      <c r="P1340" s="41"/>
      <c r="Q1340" s="161" t="str">
        <f>+IF(OR(O1340="Fire Control",O1340="Fire Tex 5062",O1340="Fire Tex 5090",O1340="Fire Tex 5120"),'CALCULO PINTURA'!P1341," ")</f>
        <v xml:space="preserve"> </v>
      </c>
      <c r="R1340" s="164" t="str">
        <f>+IF(OR(O1340="Fire Control",O1340="Fire Tex 5062",O1340="Fire Tex 5090",O1340="Fire Tex 5120"),'CALCULO PINTURA'!R1341," ")</f>
        <v xml:space="preserve"> </v>
      </c>
      <c r="S1340" s="164" t="str">
        <f>+IF(OR(O1340="Fire Control",O1340="Fire Tex 5062",O1340="Fire Tex 5090",O1340="Fire Tex 5120"),'CALCULO PINTURA'!S1341," ")</f>
        <v xml:space="preserve"> </v>
      </c>
      <c r="T1340" s="874" t="str">
        <f>+IF(OR(O1340="Blaze Shield II",O1340="Cafco 400",O1340="Cafco 300"),'CALCULO MORTERO'!N1346," ")</f>
        <v xml:space="preserve"> </v>
      </c>
      <c r="U1340" s="875" t="str">
        <f>+IF(OR(O1340="Blaze Shield II",O1340="Cafco 400",O1340="Cafco 300"),'CALCULO MORTERO'!O1346," ")</f>
        <v xml:space="preserve"> </v>
      </c>
      <c r="V1340" s="161" t="str" cm="1">
        <f t="array" ref="V1340">_xlfn.IFS(O1340="Blaze Shield II",'CALCULO MORTERO'!P1341, O1340="Cafco 400",'CALCULO MORTERO'!Q1341,O1340="Cafco 300",'CALCULO MORTERO'!S1341, AND(OR(O1340="Fire tex 5090", O1340="Fire Tex 5062", O1340="Fire Tex 5120", O1340="Fire Control"),Q1340&gt;0), "CERT.",TRUE,"-")</f>
        <v>-</v>
      </c>
    </row>
    <row r="1341" spans="1:22" x14ac:dyDescent="0.25">
      <c r="A1341" s="168"/>
      <c r="B1341" s="876"/>
      <c r="C1341" s="161"/>
      <c r="D1341" s="161"/>
      <c r="E1341" s="161"/>
      <c r="F1341" s="161"/>
      <c r="G1341" s="161"/>
      <c r="H1341" s="161"/>
      <c r="I1341" s="166"/>
      <c r="J1341" s="162"/>
      <c r="K1341" s="161"/>
      <c r="L1341" s="161"/>
      <c r="M1341" s="163"/>
      <c r="N1341" s="163" t="str">
        <f t="shared" si="24"/>
        <v/>
      </c>
      <c r="O1341" s="41"/>
      <c r="P1341" s="41"/>
      <c r="Q1341" s="161" t="str">
        <f>+IF(OR(O1341="Fire Control",O1341="Fire Tex 5062",O1341="Fire Tex 5090",O1341="Fire Tex 5120"),'CALCULO PINTURA'!P1342," ")</f>
        <v xml:space="preserve"> </v>
      </c>
      <c r="R1341" s="164" t="str">
        <f>+IF(OR(O1341="Fire Control",O1341="Fire Tex 5062",O1341="Fire Tex 5090",O1341="Fire Tex 5120"),'CALCULO PINTURA'!R1342," ")</f>
        <v xml:space="preserve"> </v>
      </c>
      <c r="S1341" s="164" t="str">
        <f>+IF(OR(O1341="Fire Control",O1341="Fire Tex 5062",O1341="Fire Tex 5090",O1341="Fire Tex 5120"),'CALCULO PINTURA'!S1342," ")</f>
        <v xml:space="preserve"> </v>
      </c>
      <c r="T1341" s="874" t="str">
        <f>+IF(OR(O1341="Blaze Shield II",O1341="Cafco 400",O1341="Cafco 300"),'CALCULO MORTERO'!N1347," ")</f>
        <v xml:space="preserve"> </v>
      </c>
      <c r="U1341" s="875" t="str">
        <f>+IF(OR(O1341="Blaze Shield II",O1341="Cafco 400",O1341="Cafco 300"),'CALCULO MORTERO'!O1347," ")</f>
        <v xml:space="preserve"> </v>
      </c>
      <c r="V1341" s="161" t="str" cm="1">
        <f t="array" ref="V1341">_xlfn.IFS(O1341="Blaze Shield II",'CALCULO MORTERO'!P1342, O1341="Cafco 400",'CALCULO MORTERO'!Q1342,O1341="Cafco 300",'CALCULO MORTERO'!S1342, AND(OR(O1341="Fire tex 5090", O1341="Fire Tex 5062", O1341="Fire Tex 5120", O1341="Fire Control"),Q1341&gt;0), "CERT.",TRUE,"-")</f>
        <v>-</v>
      </c>
    </row>
    <row r="1342" spans="1:22" x14ac:dyDescent="0.25">
      <c r="A1342" s="168"/>
      <c r="B1342" s="876"/>
      <c r="C1342" s="161"/>
      <c r="D1342" s="161"/>
      <c r="E1342" s="161"/>
      <c r="F1342" s="161"/>
      <c r="G1342" s="161"/>
      <c r="H1342" s="161"/>
      <c r="I1342" s="166"/>
      <c r="J1342" s="162"/>
      <c r="K1342" s="161"/>
      <c r="L1342" s="161"/>
      <c r="M1342" s="169"/>
      <c r="N1342" s="163" t="str">
        <f t="shared" si="24"/>
        <v/>
      </c>
      <c r="O1342" s="41"/>
      <c r="P1342" s="41"/>
      <c r="Q1342" s="161" t="str">
        <f>+IF(OR(O1342="Fire Control",O1342="Fire Tex 5062",O1342="Fire Tex 5090",O1342="Fire Tex 5120"),'CALCULO PINTURA'!P1343," ")</f>
        <v xml:space="preserve"> </v>
      </c>
      <c r="R1342" s="164" t="str">
        <f>+IF(OR(O1342="Fire Control",O1342="Fire Tex 5062",O1342="Fire Tex 5090",O1342="Fire Tex 5120"),'CALCULO PINTURA'!R1343," ")</f>
        <v xml:space="preserve"> </v>
      </c>
      <c r="S1342" s="164" t="str">
        <f>+IF(OR(O1342="Fire Control",O1342="Fire Tex 5062",O1342="Fire Tex 5090",O1342="Fire Tex 5120"),'CALCULO PINTURA'!S1343," ")</f>
        <v xml:space="preserve"> </v>
      </c>
      <c r="T1342" s="874" t="str">
        <f>+IF(OR(O1342="Blaze Shield II",O1342="Cafco 400",O1342="Cafco 300"),'CALCULO MORTERO'!N1348," ")</f>
        <v xml:space="preserve"> </v>
      </c>
      <c r="U1342" s="875" t="str">
        <f>+IF(OR(O1342="Blaze Shield II",O1342="Cafco 400",O1342="Cafco 300"),'CALCULO MORTERO'!O1348," ")</f>
        <v xml:space="preserve"> </v>
      </c>
      <c r="V1342" s="161" t="str" cm="1">
        <f t="array" ref="V1342">_xlfn.IFS(O1342="Blaze Shield II",'CALCULO MORTERO'!P1343, O1342="Cafco 400",'CALCULO MORTERO'!Q1343,O1342="Cafco 300",'CALCULO MORTERO'!S1343, AND(OR(O1342="Fire tex 5090", O1342="Fire Tex 5062", O1342="Fire Tex 5120", O1342="Fire Control"),Q1342&gt;0), "CERT.",TRUE,"-")</f>
        <v>-</v>
      </c>
    </row>
    <row r="1343" spans="1:22" x14ac:dyDescent="0.25">
      <c r="A1343" s="168"/>
      <c r="B1343" s="876"/>
      <c r="C1343" s="161"/>
      <c r="D1343" s="161"/>
      <c r="E1343" s="161"/>
      <c r="F1343" s="161"/>
      <c r="G1343" s="161"/>
      <c r="H1343" s="161"/>
      <c r="I1343" s="166"/>
      <c r="J1343" s="162"/>
      <c r="K1343" s="161"/>
      <c r="L1343" s="161"/>
      <c r="M1343" s="163"/>
      <c r="N1343" s="163" t="str">
        <f t="shared" si="24"/>
        <v/>
      </c>
      <c r="O1343" s="41"/>
      <c r="P1343" s="41"/>
      <c r="Q1343" s="161" t="str">
        <f>+IF(OR(O1343="Fire Control",O1343="Fire Tex 5062",O1343="Fire Tex 5090",O1343="Fire Tex 5120"),'CALCULO PINTURA'!P1344," ")</f>
        <v xml:space="preserve"> </v>
      </c>
      <c r="R1343" s="164" t="str">
        <f>+IF(OR(O1343="Fire Control",O1343="Fire Tex 5062",O1343="Fire Tex 5090",O1343="Fire Tex 5120"),'CALCULO PINTURA'!R1344," ")</f>
        <v xml:space="preserve"> </v>
      </c>
      <c r="S1343" s="164" t="str">
        <f>+IF(OR(O1343="Fire Control",O1343="Fire Tex 5062",O1343="Fire Tex 5090",O1343="Fire Tex 5120"),'CALCULO PINTURA'!S1344," ")</f>
        <v xml:space="preserve"> </v>
      </c>
      <c r="T1343" s="874" t="str">
        <f>+IF(OR(O1343="Blaze Shield II",O1343="Cafco 400",O1343="Cafco 300"),'CALCULO MORTERO'!N1349," ")</f>
        <v xml:space="preserve"> </v>
      </c>
      <c r="U1343" s="875" t="str">
        <f>+IF(OR(O1343="Blaze Shield II",O1343="Cafco 400",O1343="Cafco 300"),'CALCULO MORTERO'!O1349," ")</f>
        <v xml:space="preserve"> </v>
      </c>
      <c r="V1343" s="161" t="str" cm="1">
        <f t="array" ref="V1343">_xlfn.IFS(O1343="Blaze Shield II",'CALCULO MORTERO'!P1344, O1343="Cafco 400",'CALCULO MORTERO'!Q1344,O1343="Cafco 300",'CALCULO MORTERO'!S1344, AND(OR(O1343="Fire tex 5090", O1343="Fire Tex 5062", O1343="Fire Tex 5120", O1343="Fire Control"),Q1343&gt;0), "CERT.",TRUE,"-")</f>
        <v>-</v>
      </c>
    </row>
    <row r="1344" spans="1:22" x14ac:dyDescent="0.25">
      <c r="A1344" s="168"/>
      <c r="B1344" s="876"/>
      <c r="C1344" s="161"/>
      <c r="D1344" s="161"/>
      <c r="E1344" s="161"/>
      <c r="F1344" s="41"/>
      <c r="G1344" s="161"/>
      <c r="H1344" s="161"/>
      <c r="I1344" s="166"/>
      <c r="J1344" s="162"/>
      <c r="K1344" s="162"/>
      <c r="L1344" s="161"/>
      <c r="M1344" s="169"/>
      <c r="N1344" s="163" t="str">
        <f t="shared" si="24"/>
        <v/>
      </c>
      <c r="O1344" s="41"/>
      <c r="P1344" s="41"/>
      <c r="Q1344" s="161" t="str">
        <f>+IF(OR(O1344="Fire Control",O1344="Fire Tex 5062",O1344="Fire Tex 5090",O1344="Fire Tex 5120"),'CALCULO PINTURA'!P1345," ")</f>
        <v xml:space="preserve"> </v>
      </c>
      <c r="R1344" s="164" t="str">
        <f>+IF(OR(O1344="Fire Control",O1344="Fire Tex 5062",O1344="Fire Tex 5090",O1344="Fire Tex 5120"),'CALCULO PINTURA'!R1345," ")</f>
        <v xml:space="preserve"> </v>
      </c>
      <c r="S1344" s="164" t="str">
        <f>+IF(OR(O1344="Fire Control",O1344="Fire Tex 5062",O1344="Fire Tex 5090",O1344="Fire Tex 5120"),'CALCULO PINTURA'!S1345," ")</f>
        <v xml:space="preserve"> </v>
      </c>
      <c r="T1344" s="874" t="str">
        <f>+IF(OR(O1344="Blaze Shield II",O1344="Cafco 400",O1344="Cafco 300"),'CALCULO MORTERO'!N1350," ")</f>
        <v xml:space="preserve"> </v>
      </c>
      <c r="U1344" s="875" t="str">
        <f>+IF(OR(O1344="Blaze Shield II",O1344="Cafco 400",O1344="Cafco 300"),'CALCULO MORTERO'!O1350," ")</f>
        <v xml:space="preserve"> </v>
      </c>
      <c r="V1344" s="161" t="str" cm="1">
        <f t="array" ref="V1344">_xlfn.IFS(O1344="Blaze Shield II",'CALCULO MORTERO'!P1345, O1344="Cafco 400",'CALCULO MORTERO'!Q1345,O1344="Cafco 300",'CALCULO MORTERO'!S1345, AND(OR(O1344="Fire tex 5090", O1344="Fire Tex 5062", O1344="Fire Tex 5120", O1344="Fire Control"),Q1344&gt;0), "CERT.",TRUE,"-")</f>
        <v>-</v>
      </c>
    </row>
    <row r="1345" spans="1:22" x14ac:dyDescent="0.25">
      <c r="A1345" s="168"/>
      <c r="B1345" s="876"/>
      <c r="C1345" s="161"/>
      <c r="D1345" s="161"/>
      <c r="E1345" s="161"/>
      <c r="F1345" s="41"/>
      <c r="G1345" s="161"/>
      <c r="H1345" s="161"/>
      <c r="I1345" s="166"/>
      <c r="J1345" s="162"/>
      <c r="K1345" s="161"/>
      <c r="L1345" s="161"/>
      <c r="M1345" s="169"/>
      <c r="N1345" s="163" t="str">
        <f t="shared" si="24"/>
        <v/>
      </c>
      <c r="O1345" s="41"/>
      <c r="P1345" s="41"/>
      <c r="Q1345" s="161" t="str">
        <f>+IF(OR(O1345="Fire Control",O1345="Fire Tex 5062",O1345="Fire Tex 5090",O1345="Fire Tex 5120"),'CALCULO PINTURA'!P1346," ")</f>
        <v xml:space="preserve"> </v>
      </c>
      <c r="R1345" s="164" t="str">
        <f>+IF(OR(O1345="Fire Control",O1345="Fire Tex 5062",O1345="Fire Tex 5090",O1345="Fire Tex 5120"),'CALCULO PINTURA'!R1346," ")</f>
        <v xml:space="preserve"> </v>
      </c>
      <c r="S1345" s="164" t="str">
        <f>+IF(OR(O1345="Fire Control",O1345="Fire Tex 5062",O1345="Fire Tex 5090",O1345="Fire Tex 5120"),'CALCULO PINTURA'!S1346," ")</f>
        <v xml:space="preserve"> </v>
      </c>
      <c r="T1345" s="874" t="str">
        <f>+IF(OR(O1345="Blaze Shield II",O1345="Cafco 400",O1345="Cafco 300"),'CALCULO MORTERO'!N1351," ")</f>
        <v xml:space="preserve"> </v>
      </c>
      <c r="U1345" s="875" t="str">
        <f>+IF(OR(O1345="Blaze Shield II",O1345="Cafco 400",O1345="Cafco 300"),'CALCULO MORTERO'!O1351," ")</f>
        <v xml:space="preserve"> </v>
      </c>
      <c r="V1345" s="161" t="str" cm="1">
        <f t="array" ref="V1345">_xlfn.IFS(O1345="Blaze Shield II",'CALCULO MORTERO'!P1346, O1345="Cafco 400",'CALCULO MORTERO'!Q1346,O1345="Cafco 300",'CALCULO MORTERO'!S1346, AND(OR(O1345="Fire tex 5090", O1345="Fire Tex 5062", O1345="Fire Tex 5120", O1345="Fire Control"),Q1345&gt;0), "CERT.",TRUE,"-")</f>
        <v>-</v>
      </c>
    </row>
    <row r="1346" spans="1:22" x14ac:dyDescent="0.25">
      <c r="A1346" s="168"/>
      <c r="B1346" s="876"/>
      <c r="C1346" s="161"/>
      <c r="D1346" s="161"/>
      <c r="E1346" s="161"/>
      <c r="F1346" s="41"/>
      <c r="G1346" s="161"/>
      <c r="H1346" s="161"/>
      <c r="I1346" s="166"/>
      <c r="J1346" s="162"/>
      <c r="K1346" s="161"/>
      <c r="L1346" s="161"/>
      <c r="M1346" s="169"/>
      <c r="N1346" s="163" t="str">
        <f t="shared" si="24"/>
        <v/>
      </c>
      <c r="O1346" s="41"/>
      <c r="P1346" s="41"/>
      <c r="Q1346" s="161" t="str">
        <f>+IF(OR(O1346="Fire Control",O1346="Fire Tex 5062",O1346="Fire Tex 5090",O1346="Fire Tex 5120"),'CALCULO PINTURA'!P1347," ")</f>
        <v xml:space="preserve"> </v>
      </c>
      <c r="R1346" s="164" t="str">
        <f>+IF(OR(O1346="Fire Control",O1346="Fire Tex 5062",O1346="Fire Tex 5090",O1346="Fire Tex 5120"),'CALCULO PINTURA'!R1347," ")</f>
        <v xml:space="preserve"> </v>
      </c>
      <c r="S1346" s="164" t="str">
        <f>+IF(OR(O1346="Fire Control",O1346="Fire Tex 5062",O1346="Fire Tex 5090",O1346="Fire Tex 5120"),'CALCULO PINTURA'!S1347," ")</f>
        <v xml:space="preserve"> </v>
      </c>
      <c r="T1346" s="874" t="str">
        <f>+IF(OR(O1346="Blaze Shield II",O1346="Cafco 400",O1346="Cafco 300"),'CALCULO MORTERO'!N1352," ")</f>
        <v xml:space="preserve"> </v>
      </c>
      <c r="U1346" s="875" t="str">
        <f>+IF(OR(O1346="Blaze Shield II",O1346="Cafco 400",O1346="Cafco 300"),'CALCULO MORTERO'!O1352," ")</f>
        <v xml:space="preserve"> </v>
      </c>
      <c r="V1346" s="161" t="str" cm="1">
        <f t="array" ref="V1346">_xlfn.IFS(O1346="Blaze Shield II",'CALCULO MORTERO'!P1347, O1346="Cafco 400",'CALCULO MORTERO'!Q1347,O1346="Cafco 300",'CALCULO MORTERO'!S1347, AND(OR(O1346="Fire tex 5090", O1346="Fire Tex 5062", O1346="Fire Tex 5120", O1346="Fire Control"),Q1346&gt;0), "CERT.",TRUE,"-")</f>
        <v>-</v>
      </c>
    </row>
    <row r="1347" spans="1:22" x14ac:dyDescent="0.25">
      <c r="A1347" s="168"/>
      <c r="B1347" s="876"/>
      <c r="C1347" s="161"/>
      <c r="D1347" s="161"/>
      <c r="E1347" s="161"/>
      <c r="F1347" s="41"/>
      <c r="G1347" s="161"/>
      <c r="H1347" s="161"/>
      <c r="I1347" s="166"/>
      <c r="J1347" s="162"/>
      <c r="K1347" s="162"/>
      <c r="L1347" s="161"/>
      <c r="M1347" s="169"/>
      <c r="N1347" s="163" t="str">
        <f t="shared" si="24"/>
        <v/>
      </c>
      <c r="O1347" s="41"/>
      <c r="P1347" s="41"/>
      <c r="Q1347" s="161" t="str">
        <f>+IF(OR(O1347="Fire Control",O1347="Fire Tex 5062",O1347="Fire Tex 5090",O1347="Fire Tex 5120"),'CALCULO PINTURA'!P1348," ")</f>
        <v xml:space="preserve"> </v>
      </c>
      <c r="R1347" s="164" t="str">
        <f>+IF(OR(O1347="Fire Control",O1347="Fire Tex 5062",O1347="Fire Tex 5090",O1347="Fire Tex 5120"),'CALCULO PINTURA'!R1348," ")</f>
        <v xml:space="preserve"> </v>
      </c>
      <c r="S1347" s="164" t="str">
        <f>+IF(OR(O1347="Fire Control",O1347="Fire Tex 5062",O1347="Fire Tex 5090",O1347="Fire Tex 5120"),'CALCULO PINTURA'!S1348," ")</f>
        <v xml:space="preserve"> </v>
      </c>
      <c r="T1347" s="874" t="str">
        <f>+IF(OR(O1347="Blaze Shield II",O1347="Cafco 400",O1347="Cafco 300"),'CALCULO MORTERO'!N1353," ")</f>
        <v xml:space="preserve"> </v>
      </c>
      <c r="U1347" s="875" t="str">
        <f>+IF(OR(O1347="Blaze Shield II",O1347="Cafco 400",O1347="Cafco 300"),'CALCULO MORTERO'!O1353," ")</f>
        <v xml:space="preserve"> </v>
      </c>
      <c r="V1347" s="161" t="str" cm="1">
        <f t="array" ref="V1347">_xlfn.IFS(O1347="Blaze Shield II",'CALCULO MORTERO'!P1348, O1347="Cafco 400",'CALCULO MORTERO'!Q1348,O1347="Cafco 300",'CALCULO MORTERO'!S1348, AND(OR(O1347="Fire tex 5090", O1347="Fire Tex 5062", O1347="Fire Tex 5120", O1347="Fire Control"),Q1347&gt;0), "CERT.",TRUE,"-")</f>
        <v>-</v>
      </c>
    </row>
    <row r="1348" spans="1:22" x14ac:dyDescent="0.25">
      <c r="A1348" s="168"/>
      <c r="B1348" s="876"/>
      <c r="C1348" s="161"/>
      <c r="D1348" s="161"/>
      <c r="E1348" s="161"/>
      <c r="F1348" s="41"/>
      <c r="G1348" s="161"/>
      <c r="H1348" s="161"/>
      <c r="I1348" s="166"/>
      <c r="J1348" s="162"/>
      <c r="K1348" s="161"/>
      <c r="L1348" s="161"/>
      <c r="M1348" s="169"/>
      <c r="N1348" s="163" t="str">
        <f t="shared" ref="N1348:N1411" si="25">+IF(F1348="","",(K1348*I1348*H1348*G1348)/1000000)</f>
        <v/>
      </c>
      <c r="O1348" s="41"/>
      <c r="P1348" s="41"/>
      <c r="Q1348" s="161" t="str">
        <f>+IF(OR(O1348="Fire Control",O1348="Fire Tex 5062",O1348="Fire Tex 5090",O1348="Fire Tex 5120"),'CALCULO PINTURA'!P1349," ")</f>
        <v xml:space="preserve"> </v>
      </c>
      <c r="R1348" s="164" t="str">
        <f>+IF(OR(O1348="Fire Control",O1348="Fire Tex 5062",O1348="Fire Tex 5090",O1348="Fire Tex 5120"),'CALCULO PINTURA'!R1349," ")</f>
        <v xml:space="preserve"> </v>
      </c>
      <c r="S1348" s="164" t="str">
        <f>+IF(OR(O1348="Fire Control",O1348="Fire Tex 5062",O1348="Fire Tex 5090",O1348="Fire Tex 5120"),'CALCULO PINTURA'!S1349," ")</f>
        <v xml:space="preserve"> </v>
      </c>
      <c r="T1348" s="874" t="str">
        <f>+IF(OR(O1348="Blaze Shield II",O1348="Cafco 400",O1348="Cafco 300"),'CALCULO MORTERO'!N1354," ")</f>
        <v xml:space="preserve"> </v>
      </c>
      <c r="U1348" s="875" t="str">
        <f>+IF(OR(O1348="Blaze Shield II",O1348="Cafco 400",O1348="Cafco 300"),'CALCULO MORTERO'!O1354," ")</f>
        <v xml:space="preserve"> </v>
      </c>
      <c r="V1348" s="161" t="str" cm="1">
        <f t="array" ref="V1348">_xlfn.IFS(O1348="Blaze Shield II",'CALCULO MORTERO'!P1349, O1348="Cafco 400",'CALCULO MORTERO'!Q1349,O1348="Cafco 300",'CALCULO MORTERO'!S1349, AND(OR(O1348="Fire tex 5090", O1348="Fire Tex 5062", O1348="Fire Tex 5120", O1348="Fire Control"),Q1348&gt;0), "CERT.",TRUE,"-")</f>
        <v>-</v>
      </c>
    </row>
    <row r="1349" spans="1:22" x14ac:dyDescent="0.25">
      <c r="A1349" s="168"/>
      <c r="B1349" s="876"/>
      <c r="C1349" s="161"/>
      <c r="D1349" s="161"/>
      <c r="E1349" s="161"/>
      <c r="F1349" s="161"/>
      <c r="G1349" s="161"/>
      <c r="H1349" s="161"/>
      <c r="I1349" s="166"/>
      <c r="J1349" s="162"/>
      <c r="K1349" s="161"/>
      <c r="L1349" s="161"/>
      <c r="M1349" s="169"/>
      <c r="N1349" s="163" t="str">
        <f t="shared" si="25"/>
        <v/>
      </c>
      <c r="O1349" s="41"/>
      <c r="P1349" s="41"/>
      <c r="Q1349" s="161" t="str">
        <f>+IF(OR(O1349="Fire Control",O1349="Fire Tex 5062",O1349="Fire Tex 5090",O1349="Fire Tex 5120"),'CALCULO PINTURA'!P1350," ")</f>
        <v xml:space="preserve"> </v>
      </c>
      <c r="R1349" s="164" t="str">
        <f>+IF(OR(O1349="Fire Control",O1349="Fire Tex 5062",O1349="Fire Tex 5090",O1349="Fire Tex 5120"),'CALCULO PINTURA'!R1350," ")</f>
        <v xml:space="preserve"> </v>
      </c>
      <c r="S1349" s="164" t="str">
        <f>+IF(OR(O1349="Fire Control",O1349="Fire Tex 5062",O1349="Fire Tex 5090",O1349="Fire Tex 5120"),'CALCULO PINTURA'!S1350," ")</f>
        <v xml:space="preserve"> </v>
      </c>
      <c r="T1349" s="874" t="str">
        <f>+IF(OR(O1349="Blaze Shield II",O1349="Cafco 400",O1349="Cafco 300"),'CALCULO MORTERO'!N1355," ")</f>
        <v xml:space="preserve"> </v>
      </c>
      <c r="U1349" s="875" t="str">
        <f>+IF(OR(O1349="Blaze Shield II",O1349="Cafco 400",O1349="Cafco 300"),'CALCULO MORTERO'!O1355," ")</f>
        <v xml:space="preserve"> </v>
      </c>
      <c r="V1349" s="161" t="str" cm="1">
        <f t="array" ref="V1349">_xlfn.IFS(O1349="Blaze Shield II",'CALCULO MORTERO'!P1350, O1349="Cafco 400",'CALCULO MORTERO'!Q1350,O1349="Cafco 300",'CALCULO MORTERO'!S1350, AND(OR(O1349="Fire tex 5090", O1349="Fire Tex 5062", O1349="Fire Tex 5120", O1349="Fire Control"),Q1349&gt;0), "CERT.",TRUE,"-")</f>
        <v>-</v>
      </c>
    </row>
    <row r="1350" spans="1:22" x14ac:dyDescent="0.25">
      <c r="A1350" s="168"/>
      <c r="B1350" s="876"/>
      <c r="C1350" s="161"/>
      <c r="D1350" s="161"/>
      <c r="E1350" s="161"/>
      <c r="F1350" s="161"/>
      <c r="G1350" s="161"/>
      <c r="H1350" s="161"/>
      <c r="I1350" s="166"/>
      <c r="J1350" s="162"/>
      <c r="K1350" s="161"/>
      <c r="L1350" s="161"/>
      <c r="M1350" s="163"/>
      <c r="N1350" s="163" t="str">
        <f t="shared" si="25"/>
        <v/>
      </c>
      <c r="O1350" s="41"/>
      <c r="P1350" s="41"/>
      <c r="Q1350" s="161" t="str">
        <f>+IF(OR(O1350="Fire Control",O1350="Fire Tex 5062",O1350="Fire Tex 5090",O1350="Fire Tex 5120"),'CALCULO PINTURA'!P1351," ")</f>
        <v xml:space="preserve"> </v>
      </c>
      <c r="R1350" s="164" t="str">
        <f>+IF(OR(O1350="Fire Control",O1350="Fire Tex 5062",O1350="Fire Tex 5090",O1350="Fire Tex 5120"),'CALCULO PINTURA'!R1351," ")</f>
        <v xml:space="preserve"> </v>
      </c>
      <c r="S1350" s="164" t="str">
        <f>+IF(OR(O1350="Fire Control",O1350="Fire Tex 5062",O1350="Fire Tex 5090",O1350="Fire Tex 5120"),'CALCULO PINTURA'!S1351," ")</f>
        <v xml:space="preserve"> </v>
      </c>
      <c r="T1350" s="874" t="str">
        <f>+IF(OR(O1350="Blaze Shield II",O1350="Cafco 400",O1350="Cafco 300"),'CALCULO MORTERO'!N1356," ")</f>
        <v xml:space="preserve"> </v>
      </c>
      <c r="U1350" s="875" t="str">
        <f>+IF(OR(O1350="Blaze Shield II",O1350="Cafco 400",O1350="Cafco 300"),'CALCULO MORTERO'!O1356," ")</f>
        <v xml:space="preserve"> </v>
      </c>
      <c r="V1350" s="161" t="str" cm="1">
        <f t="array" ref="V1350">_xlfn.IFS(O1350="Blaze Shield II",'CALCULO MORTERO'!P1351, O1350="Cafco 400",'CALCULO MORTERO'!Q1351,O1350="Cafco 300",'CALCULO MORTERO'!S1351, AND(OR(O1350="Fire tex 5090", O1350="Fire Tex 5062", O1350="Fire Tex 5120", O1350="Fire Control"),Q1350&gt;0), "CERT.",TRUE,"-")</f>
        <v>-</v>
      </c>
    </row>
    <row r="1351" spans="1:22" x14ac:dyDescent="0.25">
      <c r="A1351" s="168"/>
      <c r="B1351" s="876"/>
      <c r="C1351" s="161"/>
      <c r="D1351" s="161"/>
      <c r="E1351" s="161"/>
      <c r="F1351" s="161"/>
      <c r="G1351" s="161"/>
      <c r="H1351" s="161"/>
      <c r="I1351" s="166"/>
      <c r="J1351" s="162"/>
      <c r="K1351" s="161"/>
      <c r="L1351" s="161"/>
      <c r="M1351" s="169"/>
      <c r="N1351" s="163" t="str">
        <f t="shared" si="25"/>
        <v/>
      </c>
      <c r="O1351" s="41"/>
      <c r="P1351" s="41"/>
      <c r="Q1351" s="161" t="str">
        <f>+IF(OR(O1351="Fire Control",O1351="Fire Tex 5062",O1351="Fire Tex 5090",O1351="Fire Tex 5120"),'CALCULO PINTURA'!P1352," ")</f>
        <v xml:space="preserve"> </v>
      </c>
      <c r="R1351" s="164" t="str">
        <f>+IF(OR(O1351="Fire Control",O1351="Fire Tex 5062",O1351="Fire Tex 5090",O1351="Fire Tex 5120"),'CALCULO PINTURA'!R1352," ")</f>
        <v xml:space="preserve"> </v>
      </c>
      <c r="S1351" s="164" t="str">
        <f>+IF(OR(O1351="Fire Control",O1351="Fire Tex 5062",O1351="Fire Tex 5090",O1351="Fire Tex 5120"),'CALCULO PINTURA'!S1352," ")</f>
        <v xml:space="preserve"> </v>
      </c>
      <c r="T1351" s="874" t="str">
        <f>+IF(OR(O1351="Blaze Shield II",O1351="Cafco 400",O1351="Cafco 300"),'CALCULO MORTERO'!N1357," ")</f>
        <v xml:space="preserve"> </v>
      </c>
      <c r="U1351" s="875" t="str">
        <f>+IF(OR(O1351="Blaze Shield II",O1351="Cafco 400",O1351="Cafco 300"),'CALCULO MORTERO'!O1357," ")</f>
        <v xml:space="preserve"> </v>
      </c>
      <c r="V1351" s="161" t="str" cm="1">
        <f t="array" ref="V1351">_xlfn.IFS(O1351="Blaze Shield II",'CALCULO MORTERO'!P1352, O1351="Cafco 400",'CALCULO MORTERO'!Q1352,O1351="Cafco 300",'CALCULO MORTERO'!S1352, AND(OR(O1351="Fire tex 5090", O1351="Fire Tex 5062", O1351="Fire Tex 5120", O1351="Fire Control"),Q1351&gt;0), "CERT.",TRUE,"-")</f>
        <v>-</v>
      </c>
    </row>
    <row r="1352" spans="1:22" x14ac:dyDescent="0.25">
      <c r="A1352" s="168"/>
      <c r="B1352" s="876"/>
      <c r="C1352" s="161"/>
      <c r="D1352" s="161"/>
      <c r="E1352" s="161"/>
      <c r="F1352" s="161"/>
      <c r="G1352" s="161"/>
      <c r="H1352" s="161"/>
      <c r="I1352" s="166"/>
      <c r="J1352" s="162"/>
      <c r="K1352" s="161"/>
      <c r="L1352" s="161"/>
      <c r="M1352" s="163"/>
      <c r="N1352" s="163" t="str">
        <f t="shared" si="25"/>
        <v/>
      </c>
      <c r="O1352" s="41"/>
      <c r="P1352" s="41"/>
      <c r="Q1352" s="161" t="str">
        <f>+IF(OR(O1352="Fire Control",O1352="Fire Tex 5062",O1352="Fire Tex 5090",O1352="Fire Tex 5120"),'CALCULO PINTURA'!P1353," ")</f>
        <v xml:space="preserve"> </v>
      </c>
      <c r="R1352" s="164" t="str">
        <f>+IF(OR(O1352="Fire Control",O1352="Fire Tex 5062",O1352="Fire Tex 5090",O1352="Fire Tex 5120"),'CALCULO PINTURA'!R1353," ")</f>
        <v xml:space="preserve"> </v>
      </c>
      <c r="S1352" s="164" t="str">
        <f>+IF(OR(O1352="Fire Control",O1352="Fire Tex 5062",O1352="Fire Tex 5090",O1352="Fire Tex 5120"),'CALCULO PINTURA'!S1353," ")</f>
        <v xml:space="preserve"> </v>
      </c>
      <c r="T1352" s="874" t="str">
        <f>+IF(OR(O1352="Blaze Shield II",O1352="Cafco 400",O1352="Cafco 300"),'CALCULO MORTERO'!N1358," ")</f>
        <v xml:space="preserve"> </v>
      </c>
      <c r="U1352" s="875" t="str">
        <f>+IF(OR(O1352="Blaze Shield II",O1352="Cafco 400",O1352="Cafco 300"),'CALCULO MORTERO'!O1358," ")</f>
        <v xml:space="preserve"> </v>
      </c>
      <c r="V1352" s="161" t="str" cm="1">
        <f t="array" ref="V1352">_xlfn.IFS(O1352="Blaze Shield II",'CALCULO MORTERO'!P1353, O1352="Cafco 400",'CALCULO MORTERO'!Q1353,O1352="Cafco 300",'CALCULO MORTERO'!S1353, AND(OR(O1352="Fire tex 5090", O1352="Fire Tex 5062", O1352="Fire Tex 5120", O1352="Fire Control"),Q1352&gt;0), "CERT.",TRUE,"-")</f>
        <v>-</v>
      </c>
    </row>
    <row r="1353" spans="1:22" x14ac:dyDescent="0.25">
      <c r="A1353" s="168"/>
      <c r="B1353" s="876"/>
      <c r="C1353" s="161"/>
      <c r="D1353" s="161"/>
      <c r="E1353" s="161"/>
      <c r="F1353" s="161"/>
      <c r="G1353" s="161"/>
      <c r="H1353" s="161"/>
      <c r="I1353" s="166"/>
      <c r="J1353" s="162"/>
      <c r="K1353" s="161"/>
      <c r="L1353" s="161"/>
      <c r="M1353" s="169"/>
      <c r="N1353" s="163" t="str">
        <f t="shared" si="25"/>
        <v/>
      </c>
      <c r="O1353" s="41"/>
      <c r="P1353" s="41"/>
      <c r="Q1353" s="161" t="str">
        <f>+IF(OR(O1353="Fire Control",O1353="Fire Tex 5062",O1353="Fire Tex 5090",O1353="Fire Tex 5120"),'CALCULO PINTURA'!P1354," ")</f>
        <v xml:space="preserve"> </v>
      </c>
      <c r="R1353" s="164" t="str">
        <f>+IF(OR(O1353="Fire Control",O1353="Fire Tex 5062",O1353="Fire Tex 5090",O1353="Fire Tex 5120"),'CALCULO PINTURA'!R1354," ")</f>
        <v xml:space="preserve"> </v>
      </c>
      <c r="S1353" s="164" t="str">
        <f>+IF(OR(O1353="Fire Control",O1353="Fire Tex 5062",O1353="Fire Tex 5090",O1353="Fire Tex 5120"),'CALCULO PINTURA'!S1354," ")</f>
        <v xml:space="preserve"> </v>
      </c>
      <c r="T1353" s="874" t="str">
        <f>+IF(OR(O1353="Blaze Shield II",O1353="Cafco 400",O1353="Cafco 300"),'CALCULO MORTERO'!N1359," ")</f>
        <v xml:space="preserve"> </v>
      </c>
      <c r="U1353" s="875" t="str">
        <f>+IF(OR(O1353="Blaze Shield II",O1353="Cafco 400",O1353="Cafco 300"),'CALCULO MORTERO'!O1359," ")</f>
        <v xml:space="preserve"> </v>
      </c>
      <c r="V1353" s="161" t="str" cm="1">
        <f t="array" ref="V1353">_xlfn.IFS(O1353="Blaze Shield II",'CALCULO MORTERO'!P1354, O1353="Cafco 400",'CALCULO MORTERO'!Q1354,O1353="Cafco 300",'CALCULO MORTERO'!S1354, AND(OR(O1353="Fire tex 5090", O1353="Fire Tex 5062", O1353="Fire Tex 5120", O1353="Fire Control"),Q1353&gt;0), "CERT.",TRUE,"-")</f>
        <v>-</v>
      </c>
    </row>
    <row r="1354" spans="1:22" x14ac:dyDescent="0.25">
      <c r="A1354" s="168"/>
      <c r="B1354" s="876"/>
      <c r="C1354" s="161"/>
      <c r="D1354" s="161"/>
      <c r="E1354" s="161"/>
      <c r="F1354" s="161"/>
      <c r="G1354" s="161"/>
      <c r="H1354" s="161"/>
      <c r="I1354" s="166"/>
      <c r="J1354" s="162"/>
      <c r="K1354" s="161"/>
      <c r="L1354" s="161"/>
      <c r="M1354" s="163"/>
      <c r="N1354" s="163" t="str">
        <f t="shared" si="25"/>
        <v/>
      </c>
      <c r="O1354" s="41"/>
      <c r="P1354" s="41"/>
      <c r="Q1354" s="161" t="str">
        <f>+IF(OR(O1354="Fire Control",O1354="Fire Tex 5062",O1354="Fire Tex 5090",O1354="Fire Tex 5120"),'CALCULO PINTURA'!P1355," ")</f>
        <v xml:space="preserve"> </v>
      </c>
      <c r="R1354" s="164" t="str">
        <f>+IF(OR(O1354="Fire Control",O1354="Fire Tex 5062",O1354="Fire Tex 5090",O1354="Fire Tex 5120"),'CALCULO PINTURA'!R1355," ")</f>
        <v xml:space="preserve"> </v>
      </c>
      <c r="S1354" s="164" t="str">
        <f>+IF(OR(O1354="Fire Control",O1354="Fire Tex 5062",O1354="Fire Tex 5090",O1354="Fire Tex 5120"),'CALCULO PINTURA'!S1355," ")</f>
        <v xml:space="preserve"> </v>
      </c>
      <c r="T1354" s="874" t="str">
        <f>+IF(OR(O1354="Blaze Shield II",O1354="Cafco 400",O1354="Cafco 300"),'CALCULO MORTERO'!N1360," ")</f>
        <v xml:space="preserve"> </v>
      </c>
      <c r="U1354" s="875" t="str">
        <f>+IF(OR(O1354="Blaze Shield II",O1354="Cafco 400",O1354="Cafco 300"),'CALCULO MORTERO'!O1360," ")</f>
        <v xml:space="preserve"> </v>
      </c>
      <c r="V1354" s="161" t="str" cm="1">
        <f t="array" ref="V1354">_xlfn.IFS(O1354="Blaze Shield II",'CALCULO MORTERO'!P1355, O1354="Cafco 400",'CALCULO MORTERO'!Q1355,O1354="Cafco 300",'CALCULO MORTERO'!S1355, AND(OR(O1354="Fire tex 5090", O1354="Fire Tex 5062", O1354="Fire Tex 5120", O1354="Fire Control"),Q1354&gt;0), "CERT.",TRUE,"-")</f>
        <v>-</v>
      </c>
    </row>
    <row r="1355" spans="1:22" x14ac:dyDescent="0.25">
      <c r="A1355" s="168"/>
      <c r="B1355" s="876"/>
      <c r="C1355" s="161"/>
      <c r="D1355" s="161"/>
      <c r="E1355" s="161"/>
      <c r="F1355" s="41"/>
      <c r="G1355" s="161"/>
      <c r="H1355" s="161"/>
      <c r="I1355" s="166"/>
      <c r="J1355" s="162"/>
      <c r="K1355" s="162"/>
      <c r="L1355" s="161"/>
      <c r="M1355" s="169"/>
      <c r="N1355" s="163" t="str">
        <f t="shared" si="25"/>
        <v/>
      </c>
      <c r="O1355" s="41"/>
      <c r="P1355" s="41"/>
      <c r="Q1355" s="161" t="str">
        <f>+IF(OR(O1355="Fire Control",O1355="Fire Tex 5062",O1355="Fire Tex 5090",O1355="Fire Tex 5120"),'CALCULO PINTURA'!P1356," ")</f>
        <v xml:space="preserve"> </v>
      </c>
      <c r="R1355" s="164" t="str">
        <f>+IF(OR(O1355="Fire Control",O1355="Fire Tex 5062",O1355="Fire Tex 5090",O1355="Fire Tex 5120"),'CALCULO PINTURA'!R1356," ")</f>
        <v xml:space="preserve"> </v>
      </c>
      <c r="S1355" s="164" t="str">
        <f>+IF(OR(O1355="Fire Control",O1355="Fire Tex 5062",O1355="Fire Tex 5090",O1355="Fire Tex 5120"),'CALCULO PINTURA'!S1356," ")</f>
        <v xml:space="preserve"> </v>
      </c>
      <c r="T1355" s="874" t="str">
        <f>+IF(OR(O1355="Blaze Shield II",O1355="Cafco 400",O1355="Cafco 300"),'CALCULO MORTERO'!N1361," ")</f>
        <v xml:space="preserve"> </v>
      </c>
      <c r="U1355" s="875" t="str">
        <f>+IF(OR(O1355="Blaze Shield II",O1355="Cafco 400",O1355="Cafco 300"),'CALCULO MORTERO'!O1361," ")</f>
        <v xml:space="preserve"> </v>
      </c>
      <c r="V1355" s="161" t="str" cm="1">
        <f t="array" ref="V1355">_xlfn.IFS(O1355="Blaze Shield II",'CALCULO MORTERO'!P1356, O1355="Cafco 400",'CALCULO MORTERO'!Q1356,O1355="Cafco 300",'CALCULO MORTERO'!S1356, AND(OR(O1355="Fire tex 5090", O1355="Fire Tex 5062", O1355="Fire Tex 5120", O1355="Fire Control"),Q1355&gt;0), "CERT.",TRUE,"-")</f>
        <v>-</v>
      </c>
    </row>
    <row r="1356" spans="1:22" x14ac:dyDescent="0.25">
      <c r="A1356" s="168"/>
      <c r="B1356" s="876"/>
      <c r="C1356" s="161"/>
      <c r="D1356" s="161"/>
      <c r="E1356" s="161"/>
      <c r="F1356" s="41"/>
      <c r="G1356" s="161"/>
      <c r="H1356" s="161"/>
      <c r="I1356" s="166"/>
      <c r="J1356" s="162"/>
      <c r="K1356" s="161"/>
      <c r="L1356" s="161"/>
      <c r="M1356" s="169"/>
      <c r="N1356" s="163" t="str">
        <f t="shared" si="25"/>
        <v/>
      </c>
      <c r="O1356" s="41"/>
      <c r="P1356" s="41"/>
      <c r="Q1356" s="161" t="str">
        <f>+IF(OR(O1356="Fire Control",O1356="Fire Tex 5062",O1356="Fire Tex 5090",O1356="Fire Tex 5120"),'CALCULO PINTURA'!P1357," ")</f>
        <v xml:space="preserve"> </v>
      </c>
      <c r="R1356" s="164" t="str">
        <f>+IF(OR(O1356="Fire Control",O1356="Fire Tex 5062",O1356="Fire Tex 5090",O1356="Fire Tex 5120"),'CALCULO PINTURA'!R1357," ")</f>
        <v xml:space="preserve"> </v>
      </c>
      <c r="S1356" s="164" t="str">
        <f>+IF(OR(O1356="Fire Control",O1356="Fire Tex 5062",O1356="Fire Tex 5090",O1356="Fire Tex 5120"),'CALCULO PINTURA'!S1357," ")</f>
        <v xml:space="preserve"> </v>
      </c>
      <c r="T1356" s="874" t="str">
        <f>+IF(OR(O1356="Blaze Shield II",O1356="Cafco 400",O1356="Cafco 300"),'CALCULO MORTERO'!N1362," ")</f>
        <v xml:space="preserve"> </v>
      </c>
      <c r="U1356" s="875" t="str">
        <f>+IF(OR(O1356="Blaze Shield II",O1356="Cafco 400",O1356="Cafco 300"),'CALCULO MORTERO'!O1362," ")</f>
        <v xml:space="preserve"> </v>
      </c>
      <c r="V1356" s="161" t="str" cm="1">
        <f t="array" ref="V1356">_xlfn.IFS(O1356="Blaze Shield II",'CALCULO MORTERO'!P1357, O1356="Cafco 400",'CALCULO MORTERO'!Q1357,O1356="Cafco 300",'CALCULO MORTERO'!S1357, AND(OR(O1356="Fire tex 5090", O1356="Fire Tex 5062", O1356="Fire Tex 5120", O1356="Fire Control"),Q1356&gt;0), "CERT.",TRUE,"-")</f>
        <v>-</v>
      </c>
    </row>
    <row r="1357" spans="1:22" x14ac:dyDescent="0.25">
      <c r="A1357" s="168"/>
      <c r="B1357" s="876"/>
      <c r="C1357" s="161"/>
      <c r="D1357" s="161"/>
      <c r="E1357" s="161"/>
      <c r="F1357" s="41"/>
      <c r="G1357" s="161"/>
      <c r="H1357" s="161"/>
      <c r="I1357" s="166"/>
      <c r="J1357" s="162"/>
      <c r="K1357" s="161"/>
      <c r="L1357" s="161"/>
      <c r="M1357" s="169"/>
      <c r="N1357" s="163" t="str">
        <f t="shared" si="25"/>
        <v/>
      </c>
      <c r="O1357" s="41"/>
      <c r="P1357" s="41"/>
      <c r="Q1357" s="161" t="str">
        <f>+IF(OR(O1357="Fire Control",O1357="Fire Tex 5062",O1357="Fire Tex 5090",O1357="Fire Tex 5120"),'CALCULO PINTURA'!P1358," ")</f>
        <v xml:space="preserve"> </v>
      </c>
      <c r="R1357" s="164" t="str">
        <f>+IF(OR(O1357="Fire Control",O1357="Fire Tex 5062",O1357="Fire Tex 5090",O1357="Fire Tex 5120"),'CALCULO PINTURA'!R1358," ")</f>
        <v xml:space="preserve"> </v>
      </c>
      <c r="S1357" s="164" t="str">
        <f>+IF(OR(O1357="Fire Control",O1357="Fire Tex 5062",O1357="Fire Tex 5090",O1357="Fire Tex 5120"),'CALCULO PINTURA'!S1358," ")</f>
        <v xml:space="preserve"> </v>
      </c>
      <c r="T1357" s="874" t="str">
        <f>+IF(OR(O1357="Blaze Shield II",O1357="Cafco 400",O1357="Cafco 300"),'CALCULO MORTERO'!N1363," ")</f>
        <v xml:space="preserve"> </v>
      </c>
      <c r="U1357" s="875" t="str">
        <f>+IF(OR(O1357="Blaze Shield II",O1357="Cafco 400",O1357="Cafco 300"),'CALCULO MORTERO'!O1363," ")</f>
        <v xml:space="preserve"> </v>
      </c>
      <c r="V1357" s="161" t="str" cm="1">
        <f t="array" ref="V1357">_xlfn.IFS(O1357="Blaze Shield II",'CALCULO MORTERO'!P1358, O1357="Cafco 400",'CALCULO MORTERO'!Q1358,O1357="Cafco 300",'CALCULO MORTERO'!S1358, AND(OR(O1357="Fire tex 5090", O1357="Fire Tex 5062", O1357="Fire Tex 5120", O1357="Fire Control"),Q1357&gt;0), "CERT.",TRUE,"-")</f>
        <v>-</v>
      </c>
    </row>
    <row r="1358" spans="1:22" x14ac:dyDescent="0.25">
      <c r="A1358" s="168"/>
      <c r="B1358" s="876"/>
      <c r="C1358" s="161"/>
      <c r="D1358" s="161"/>
      <c r="E1358" s="161"/>
      <c r="F1358" s="161"/>
      <c r="G1358" s="161"/>
      <c r="H1358" s="161"/>
      <c r="I1358" s="166"/>
      <c r="J1358" s="162"/>
      <c r="K1358" s="161"/>
      <c r="L1358" s="161"/>
      <c r="M1358" s="169"/>
      <c r="N1358" s="163" t="str">
        <f t="shared" si="25"/>
        <v/>
      </c>
      <c r="O1358" s="41"/>
      <c r="P1358" s="41"/>
      <c r="Q1358" s="161" t="str">
        <f>+IF(OR(O1358="Fire Control",O1358="Fire Tex 5062",O1358="Fire Tex 5090",O1358="Fire Tex 5120"),'CALCULO PINTURA'!P1359," ")</f>
        <v xml:space="preserve"> </v>
      </c>
      <c r="R1358" s="164" t="str">
        <f>+IF(OR(O1358="Fire Control",O1358="Fire Tex 5062",O1358="Fire Tex 5090",O1358="Fire Tex 5120"),'CALCULO PINTURA'!R1359," ")</f>
        <v xml:space="preserve"> </v>
      </c>
      <c r="S1358" s="164" t="str">
        <f>+IF(OR(O1358="Fire Control",O1358="Fire Tex 5062",O1358="Fire Tex 5090",O1358="Fire Tex 5120"),'CALCULO PINTURA'!S1359," ")</f>
        <v xml:space="preserve"> </v>
      </c>
      <c r="T1358" s="874" t="str">
        <f>+IF(OR(O1358="Blaze Shield II",O1358="Cafco 400",O1358="Cafco 300"),'CALCULO MORTERO'!N1364," ")</f>
        <v xml:space="preserve"> </v>
      </c>
      <c r="U1358" s="875" t="str">
        <f>+IF(OR(O1358="Blaze Shield II",O1358="Cafco 400",O1358="Cafco 300"),'CALCULO MORTERO'!O1364," ")</f>
        <v xml:space="preserve"> </v>
      </c>
      <c r="V1358" s="161" t="str" cm="1">
        <f t="array" ref="V1358">_xlfn.IFS(O1358="Blaze Shield II",'CALCULO MORTERO'!P1359, O1358="Cafco 400",'CALCULO MORTERO'!Q1359,O1358="Cafco 300",'CALCULO MORTERO'!S1359, AND(OR(O1358="Fire tex 5090", O1358="Fire Tex 5062", O1358="Fire Tex 5120", O1358="Fire Control"),Q1358&gt;0), "CERT.",TRUE,"-")</f>
        <v>-</v>
      </c>
    </row>
    <row r="1359" spans="1:22" x14ac:dyDescent="0.25">
      <c r="A1359" s="168"/>
      <c r="B1359" s="876"/>
      <c r="C1359" s="161"/>
      <c r="D1359" s="161"/>
      <c r="E1359" s="161"/>
      <c r="F1359" s="161"/>
      <c r="G1359" s="161"/>
      <c r="H1359" s="161"/>
      <c r="I1359" s="166"/>
      <c r="J1359" s="162"/>
      <c r="K1359" s="161"/>
      <c r="L1359" s="161"/>
      <c r="M1359" s="163"/>
      <c r="N1359" s="163" t="str">
        <f t="shared" si="25"/>
        <v/>
      </c>
      <c r="O1359" s="41"/>
      <c r="P1359" s="41"/>
      <c r="Q1359" s="161" t="str">
        <f>+IF(OR(O1359="Fire Control",O1359="Fire Tex 5062",O1359="Fire Tex 5090",O1359="Fire Tex 5120"),'CALCULO PINTURA'!P1360," ")</f>
        <v xml:space="preserve"> </v>
      </c>
      <c r="R1359" s="164" t="str">
        <f>+IF(OR(O1359="Fire Control",O1359="Fire Tex 5062",O1359="Fire Tex 5090",O1359="Fire Tex 5120"),'CALCULO PINTURA'!R1360," ")</f>
        <v xml:space="preserve"> </v>
      </c>
      <c r="S1359" s="164" t="str">
        <f>+IF(OR(O1359="Fire Control",O1359="Fire Tex 5062",O1359="Fire Tex 5090",O1359="Fire Tex 5120"),'CALCULO PINTURA'!S1360," ")</f>
        <v xml:space="preserve"> </v>
      </c>
      <c r="T1359" s="874" t="str">
        <f>+IF(OR(O1359="Blaze Shield II",O1359="Cafco 400",O1359="Cafco 300"),'CALCULO MORTERO'!N1365," ")</f>
        <v xml:space="preserve"> </v>
      </c>
      <c r="U1359" s="875" t="str">
        <f>+IF(OR(O1359="Blaze Shield II",O1359="Cafco 400",O1359="Cafco 300"),'CALCULO MORTERO'!O1365," ")</f>
        <v xml:space="preserve"> </v>
      </c>
      <c r="V1359" s="161" t="str" cm="1">
        <f t="array" ref="V1359">_xlfn.IFS(O1359="Blaze Shield II",'CALCULO MORTERO'!P1360, O1359="Cafco 400",'CALCULO MORTERO'!Q1360,O1359="Cafco 300",'CALCULO MORTERO'!S1360, AND(OR(O1359="Fire tex 5090", O1359="Fire Tex 5062", O1359="Fire Tex 5120", O1359="Fire Control"),Q1359&gt;0), "CERT.",TRUE,"-")</f>
        <v>-</v>
      </c>
    </row>
    <row r="1360" spans="1:22" x14ac:dyDescent="0.25">
      <c r="A1360" s="168"/>
      <c r="B1360" s="876"/>
      <c r="C1360" s="161"/>
      <c r="D1360" s="161"/>
      <c r="E1360" s="161"/>
      <c r="F1360" s="41"/>
      <c r="G1360" s="161"/>
      <c r="H1360" s="161"/>
      <c r="I1360" s="166"/>
      <c r="J1360" s="162"/>
      <c r="K1360" s="161"/>
      <c r="L1360" s="161"/>
      <c r="M1360" s="169"/>
      <c r="N1360" s="163" t="str">
        <f t="shared" si="25"/>
        <v/>
      </c>
      <c r="O1360" s="41"/>
      <c r="P1360" s="41"/>
      <c r="Q1360" s="161" t="str">
        <f>+IF(OR(O1360="Fire Control",O1360="Fire Tex 5062",O1360="Fire Tex 5090",O1360="Fire Tex 5120"),'CALCULO PINTURA'!P1361," ")</f>
        <v xml:space="preserve"> </v>
      </c>
      <c r="R1360" s="164" t="str">
        <f>+IF(OR(O1360="Fire Control",O1360="Fire Tex 5062",O1360="Fire Tex 5090",O1360="Fire Tex 5120"),'CALCULO PINTURA'!R1361," ")</f>
        <v xml:space="preserve"> </v>
      </c>
      <c r="S1360" s="164" t="str">
        <f>+IF(OR(O1360="Fire Control",O1360="Fire Tex 5062",O1360="Fire Tex 5090",O1360="Fire Tex 5120"),'CALCULO PINTURA'!S1361," ")</f>
        <v xml:space="preserve"> </v>
      </c>
      <c r="T1360" s="874" t="str">
        <f>+IF(OR(O1360="Blaze Shield II",O1360="Cafco 400",O1360="Cafco 300"),'CALCULO MORTERO'!N1366," ")</f>
        <v xml:space="preserve"> </v>
      </c>
      <c r="U1360" s="875" t="str">
        <f>+IF(OR(O1360="Blaze Shield II",O1360="Cafco 400",O1360="Cafco 300"),'CALCULO MORTERO'!O1366," ")</f>
        <v xml:space="preserve"> </v>
      </c>
      <c r="V1360" s="161" t="str" cm="1">
        <f t="array" ref="V1360">_xlfn.IFS(O1360="Blaze Shield II",'CALCULO MORTERO'!P1361, O1360="Cafco 400",'CALCULO MORTERO'!Q1361,O1360="Cafco 300",'CALCULO MORTERO'!S1361, AND(OR(O1360="Fire tex 5090", O1360="Fire Tex 5062", O1360="Fire Tex 5120", O1360="Fire Control"),Q1360&gt;0), "CERT.",TRUE,"-")</f>
        <v>-</v>
      </c>
    </row>
    <row r="1361" spans="1:22" x14ac:dyDescent="0.25">
      <c r="A1361" s="168"/>
      <c r="B1361" s="876"/>
      <c r="C1361" s="161"/>
      <c r="D1361" s="161"/>
      <c r="E1361" s="161"/>
      <c r="F1361" s="41"/>
      <c r="G1361" s="161"/>
      <c r="H1361" s="161"/>
      <c r="I1361" s="166"/>
      <c r="J1361" s="162"/>
      <c r="K1361" s="162"/>
      <c r="L1361" s="161"/>
      <c r="M1361" s="169"/>
      <c r="N1361" s="163" t="str">
        <f t="shared" si="25"/>
        <v/>
      </c>
      <c r="O1361" s="41"/>
      <c r="P1361" s="41"/>
      <c r="Q1361" s="161" t="str">
        <f>+IF(OR(O1361="Fire Control",O1361="Fire Tex 5062",O1361="Fire Tex 5090",O1361="Fire Tex 5120"),'CALCULO PINTURA'!P1362," ")</f>
        <v xml:space="preserve"> </v>
      </c>
      <c r="R1361" s="164" t="str">
        <f>+IF(OR(O1361="Fire Control",O1361="Fire Tex 5062",O1361="Fire Tex 5090",O1361="Fire Tex 5120"),'CALCULO PINTURA'!R1362," ")</f>
        <v xml:space="preserve"> </v>
      </c>
      <c r="S1361" s="164" t="str">
        <f>+IF(OR(O1361="Fire Control",O1361="Fire Tex 5062",O1361="Fire Tex 5090",O1361="Fire Tex 5120"),'CALCULO PINTURA'!S1362," ")</f>
        <v xml:space="preserve"> </v>
      </c>
      <c r="T1361" s="874" t="str">
        <f>+IF(OR(O1361="Blaze Shield II",O1361="Cafco 400",O1361="Cafco 300"),'CALCULO MORTERO'!N1367," ")</f>
        <v xml:space="preserve"> </v>
      </c>
      <c r="U1361" s="875" t="str">
        <f>+IF(OR(O1361="Blaze Shield II",O1361="Cafco 400",O1361="Cafco 300"),'CALCULO MORTERO'!O1367," ")</f>
        <v xml:space="preserve"> </v>
      </c>
      <c r="V1361" s="161" t="str" cm="1">
        <f t="array" ref="V1361">_xlfn.IFS(O1361="Blaze Shield II",'CALCULO MORTERO'!P1362, O1361="Cafco 400",'CALCULO MORTERO'!Q1362,O1361="Cafco 300",'CALCULO MORTERO'!S1362, AND(OR(O1361="Fire tex 5090", O1361="Fire Tex 5062", O1361="Fire Tex 5120", O1361="Fire Control"),Q1361&gt;0), "CERT.",TRUE,"-")</f>
        <v>-</v>
      </c>
    </row>
    <row r="1362" spans="1:22" x14ac:dyDescent="0.25">
      <c r="A1362" s="168"/>
      <c r="B1362" s="876"/>
      <c r="C1362" s="161"/>
      <c r="D1362" s="161"/>
      <c r="E1362" s="161"/>
      <c r="F1362" s="41"/>
      <c r="G1362" s="161"/>
      <c r="H1362" s="161"/>
      <c r="I1362" s="166"/>
      <c r="J1362" s="162"/>
      <c r="K1362" s="161"/>
      <c r="L1362" s="161"/>
      <c r="M1362" s="169"/>
      <c r="N1362" s="163" t="str">
        <f t="shared" si="25"/>
        <v/>
      </c>
      <c r="O1362" s="41"/>
      <c r="P1362" s="41"/>
      <c r="Q1362" s="161" t="str">
        <f>+IF(OR(O1362="Fire Control",O1362="Fire Tex 5062",O1362="Fire Tex 5090",O1362="Fire Tex 5120"),'CALCULO PINTURA'!P1363," ")</f>
        <v xml:space="preserve"> </v>
      </c>
      <c r="R1362" s="164" t="str">
        <f>+IF(OR(O1362="Fire Control",O1362="Fire Tex 5062",O1362="Fire Tex 5090",O1362="Fire Tex 5120"),'CALCULO PINTURA'!R1363," ")</f>
        <v xml:space="preserve"> </v>
      </c>
      <c r="S1362" s="164" t="str">
        <f>+IF(OR(O1362="Fire Control",O1362="Fire Tex 5062",O1362="Fire Tex 5090",O1362="Fire Tex 5120"),'CALCULO PINTURA'!S1363," ")</f>
        <v xml:space="preserve"> </v>
      </c>
      <c r="T1362" s="874" t="str">
        <f>+IF(OR(O1362="Blaze Shield II",O1362="Cafco 400",O1362="Cafco 300"),'CALCULO MORTERO'!N1368," ")</f>
        <v xml:space="preserve"> </v>
      </c>
      <c r="U1362" s="875" t="str">
        <f>+IF(OR(O1362="Blaze Shield II",O1362="Cafco 400",O1362="Cafco 300"),'CALCULO MORTERO'!O1368," ")</f>
        <v xml:space="preserve"> </v>
      </c>
      <c r="V1362" s="161" t="str" cm="1">
        <f t="array" ref="V1362">_xlfn.IFS(O1362="Blaze Shield II",'CALCULO MORTERO'!P1363, O1362="Cafco 400",'CALCULO MORTERO'!Q1363,O1362="Cafco 300",'CALCULO MORTERO'!S1363, AND(OR(O1362="Fire tex 5090", O1362="Fire Tex 5062", O1362="Fire Tex 5120", O1362="Fire Control"),Q1362&gt;0), "CERT.",TRUE,"-")</f>
        <v>-</v>
      </c>
    </row>
    <row r="1363" spans="1:22" x14ac:dyDescent="0.25">
      <c r="A1363" s="168"/>
      <c r="B1363" s="876"/>
      <c r="C1363" s="161"/>
      <c r="D1363" s="161"/>
      <c r="E1363" s="161"/>
      <c r="F1363" s="41"/>
      <c r="G1363" s="161"/>
      <c r="H1363" s="161"/>
      <c r="I1363" s="166"/>
      <c r="J1363" s="162"/>
      <c r="K1363" s="161"/>
      <c r="L1363" s="161"/>
      <c r="M1363" s="169"/>
      <c r="N1363" s="163" t="str">
        <f t="shared" si="25"/>
        <v/>
      </c>
      <c r="O1363" s="41"/>
      <c r="P1363" s="41"/>
      <c r="Q1363" s="161" t="str">
        <f>+IF(OR(O1363="Fire Control",O1363="Fire Tex 5062",O1363="Fire Tex 5090",O1363="Fire Tex 5120"),'CALCULO PINTURA'!P1364," ")</f>
        <v xml:space="preserve"> </v>
      </c>
      <c r="R1363" s="164" t="str">
        <f>+IF(OR(O1363="Fire Control",O1363="Fire Tex 5062",O1363="Fire Tex 5090",O1363="Fire Tex 5120"),'CALCULO PINTURA'!R1364," ")</f>
        <v xml:space="preserve"> </v>
      </c>
      <c r="S1363" s="164" t="str">
        <f>+IF(OR(O1363="Fire Control",O1363="Fire Tex 5062",O1363="Fire Tex 5090",O1363="Fire Tex 5120"),'CALCULO PINTURA'!S1364," ")</f>
        <v xml:space="preserve"> </v>
      </c>
      <c r="T1363" s="874" t="str">
        <f>+IF(OR(O1363="Blaze Shield II",O1363="Cafco 400",O1363="Cafco 300"),'CALCULO MORTERO'!N1369," ")</f>
        <v xml:space="preserve"> </v>
      </c>
      <c r="U1363" s="875" t="str">
        <f>+IF(OR(O1363="Blaze Shield II",O1363="Cafco 400",O1363="Cafco 300"),'CALCULO MORTERO'!O1369," ")</f>
        <v xml:space="preserve"> </v>
      </c>
      <c r="V1363" s="161" t="str" cm="1">
        <f t="array" ref="V1363">_xlfn.IFS(O1363="Blaze Shield II",'CALCULO MORTERO'!P1364, O1363="Cafco 400",'CALCULO MORTERO'!Q1364,O1363="Cafco 300",'CALCULO MORTERO'!S1364, AND(OR(O1363="Fire tex 5090", O1363="Fire Tex 5062", O1363="Fire Tex 5120", O1363="Fire Control"),Q1363&gt;0), "CERT.",TRUE,"-")</f>
        <v>-</v>
      </c>
    </row>
    <row r="1364" spans="1:22" x14ac:dyDescent="0.25">
      <c r="A1364" s="168"/>
      <c r="B1364" s="876"/>
      <c r="C1364" s="161"/>
      <c r="D1364" s="161"/>
      <c r="E1364" s="161"/>
      <c r="F1364" s="161"/>
      <c r="G1364" s="161"/>
      <c r="H1364" s="161"/>
      <c r="I1364" s="166"/>
      <c r="J1364" s="162"/>
      <c r="K1364" s="161"/>
      <c r="L1364" s="161"/>
      <c r="M1364" s="169"/>
      <c r="N1364" s="163" t="str">
        <f t="shared" si="25"/>
        <v/>
      </c>
      <c r="O1364" s="41"/>
      <c r="P1364" s="41"/>
      <c r="Q1364" s="161" t="str">
        <f>+IF(OR(O1364="Fire Control",O1364="Fire Tex 5062",O1364="Fire Tex 5090",O1364="Fire Tex 5120"),'CALCULO PINTURA'!P1365," ")</f>
        <v xml:space="preserve"> </v>
      </c>
      <c r="R1364" s="164" t="str">
        <f>+IF(OR(O1364="Fire Control",O1364="Fire Tex 5062",O1364="Fire Tex 5090",O1364="Fire Tex 5120"),'CALCULO PINTURA'!R1365," ")</f>
        <v xml:space="preserve"> </v>
      </c>
      <c r="S1364" s="164" t="str">
        <f>+IF(OR(O1364="Fire Control",O1364="Fire Tex 5062",O1364="Fire Tex 5090",O1364="Fire Tex 5120"),'CALCULO PINTURA'!S1365," ")</f>
        <v xml:space="preserve"> </v>
      </c>
      <c r="T1364" s="874" t="str">
        <f>+IF(OR(O1364="Blaze Shield II",O1364="Cafco 400",O1364="Cafco 300"),'CALCULO MORTERO'!N1370," ")</f>
        <v xml:space="preserve"> </v>
      </c>
      <c r="U1364" s="875" t="str">
        <f>+IF(OR(O1364="Blaze Shield II",O1364="Cafco 400",O1364="Cafco 300"),'CALCULO MORTERO'!O1370," ")</f>
        <v xml:space="preserve"> </v>
      </c>
      <c r="V1364" s="161" t="str" cm="1">
        <f t="array" ref="V1364">_xlfn.IFS(O1364="Blaze Shield II",'CALCULO MORTERO'!P1365, O1364="Cafco 400",'CALCULO MORTERO'!Q1365,O1364="Cafco 300",'CALCULO MORTERO'!S1365, AND(OR(O1364="Fire tex 5090", O1364="Fire Tex 5062", O1364="Fire Tex 5120", O1364="Fire Control"),Q1364&gt;0), "CERT.",TRUE,"-")</f>
        <v>-</v>
      </c>
    </row>
    <row r="1365" spans="1:22" x14ac:dyDescent="0.25">
      <c r="A1365" s="168"/>
      <c r="B1365" s="876"/>
      <c r="C1365" s="161"/>
      <c r="D1365" s="161"/>
      <c r="E1365" s="161"/>
      <c r="F1365" s="161"/>
      <c r="G1365" s="161"/>
      <c r="H1365" s="161"/>
      <c r="I1365" s="166"/>
      <c r="J1365" s="162"/>
      <c r="K1365" s="161"/>
      <c r="L1365" s="161"/>
      <c r="M1365" s="163"/>
      <c r="N1365" s="163" t="str">
        <f t="shared" si="25"/>
        <v/>
      </c>
      <c r="O1365" s="41"/>
      <c r="P1365" s="41"/>
      <c r="Q1365" s="161" t="str">
        <f>+IF(OR(O1365="Fire Control",O1365="Fire Tex 5062",O1365="Fire Tex 5090",O1365="Fire Tex 5120"),'CALCULO PINTURA'!P1366," ")</f>
        <v xml:space="preserve"> </v>
      </c>
      <c r="R1365" s="164" t="str">
        <f>+IF(OR(O1365="Fire Control",O1365="Fire Tex 5062",O1365="Fire Tex 5090",O1365="Fire Tex 5120"),'CALCULO PINTURA'!R1366," ")</f>
        <v xml:space="preserve"> </v>
      </c>
      <c r="S1365" s="164" t="str">
        <f>+IF(OR(O1365="Fire Control",O1365="Fire Tex 5062",O1365="Fire Tex 5090",O1365="Fire Tex 5120"),'CALCULO PINTURA'!S1366," ")</f>
        <v xml:space="preserve"> </v>
      </c>
      <c r="T1365" s="874" t="str">
        <f>+IF(OR(O1365="Blaze Shield II",O1365="Cafco 400",O1365="Cafco 300"),'CALCULO MORTERO'!N1371," ")</f>
        <v xml:space="preserve"> </v>
      </c>
      <c r="U1365" s="875" t="str">
        <f>+IF(OR(O1365="Blaze Shield II",O1365="Cafco 400",O1365="Cafco 300"),'CALCULO MORTERO'!O1371," ")</f>
        <v xml:space="preserve"> </v>
      </c>
      <c r="V1365" s="161" t="str" cm="1">
        <f t="array" ref="V1365">_xlfn.IFS(O1365="Blaze Shield II",'CALCULO MORTERO'!P1366, O1365="Cafco 400",'CALCULO MORTERO'!Q1366,O1365="Cafco 300",'CALCULO MORTERO'!S1366, AND(OR(O1365="Fire tex 5090", O1365="Fire Tex 5062", O1365="Fire Tex 5120", O1365="Fire Control"),Q1365&gt;0), "CERT.",TRUE,"-")</f>
        <v>-</v>
      </c>
    </row>
    <row r="1366" spans="1:22" x14ac:dyDescent="0.25">
      <c r="A1366" s="168"/>
      <c r="B1366" s="876"/>
      <c r="C1366" s="161"/>
      <c r="D1366" s="161"/>
      <c r="E1366" s="161"/>
      <c r="F1366" s="41"/>
      <c r="G1366" s="161"/>
      <c r="H1366" s="161"/>
      <c r="I1366" s="166"/>
      <c r="J1366" s="162"/>
      <c r="K1366" s="161"/>
      <c r="L1366" s="161"/>
      <c r="M1366" s="169"/>
      <c r="N1366" s="163" t="str">
        <f t="shared" si="25"/>
        <v/>
      </c>
      <c r="O1366" s="41"/>
      <c r="P1366" s="41"/>
      <c r="Q1366" s="161" t="str">
        <f>+IF(OR(O1366="Fire Control",O1366="Fire Tex 5062",O1366="Fire Tex 5090",O1366="Fire Tex 5120"),'CALCULO PINTURA'!P1367," ")</f>
        <v xml:space="preserve"> </v>
      </c>
      <c r="R1366" s="164" t="str">
        <f>+IF(OR(O1366="Fire Control",O1366="Fire Tex 5062",O1366="Fire Tex 5090",O1366="Fire Tex 5120"),'CALCULO PINTURA'!R1367," ")</f>
        <v xml:space="preserve"> </v>
      </c>
      <c r="S1366" s="164" t="str">
        <f>+IF(OR(O1366="Fire Control",O1366="Fire Tex 5062",O1366="Fire Tex 5090",O1366="Fire Tex 5120"),'CALCULO PINTURA'!S1367," ")</f>
        <v xml:space="preserve"> </v>
      </c>
      <c r="T1366" s="874" t="str">
        <f>+IF(OR(O1366="Blaze Shield II",O1366="Cafco 400",O1366="Cafco 300"),'CALCULO MORTERO'!N1372," ")</f>
        <v xml:space="preserve"> </v>
      </c>
      <c r="U1366" s="875" t="str">
        <f>+IF(OR(O1366="Blaze Shield II",O1366="Cafco 400",O1366="Cafco 300"),'CALCULO MORTERO'!O1372," ")</f>
        <v xml:space="preserve"> </v>
      </c>
      <c r="V1366" s="161" t="str" cm="1">
        <f t="array" ref="V1366">_xlfn.IFS(O1366="Blaze Shield II",'CALCULO MORTERO'!P1367, O1366="Cafco 400",'CALCULO MORTERO'!Q1367,O1366="Cafco 300",'CALCULO MORTERO'!S1367, AND(OR(O1366="Fire tex 5090", O1366="Fire Tex 5062", O1366="Fire Tex 5120", O1366="Fire Control"),Q1366&gt;0), "CERT.",TRUE,"-")</f>
        <v>-</v>
      </c>
    </row>
    <row r="1367" spans="1:22" x14ac:dyDescent="0.25">
      <c r="A1367" s="168"/>
      <c r="B1367" s="876"/>
      <c r="C1367" s="161"/>
      <c r="D1367" s="161"/>
      <c r="E1367" s="161"/>
      <c r="F1367" s="41"/>
      <c r="G1367" s="161"/>
      <c r="H1367" s="161"/>
      <c r="I1367" s="166"/>
      <c r="J1367" s="162"/>
      <c r="K1367" s="161"/>
      <c r="L1367" s="161"/>
      <c r="M1367" s="169"/>
      <c r="N1367" s="163" t="str">
        <f t="shared" si="25"/>
        <v/>
      </c>
      <c r="O1367" s="41"/>
      <c r="P1367" s="41"/>
      <c r="Q1367" s="161" t="str">
        <f>+IF(OR(O1367="Fire Control",O1367="Fire Tex 5062",O1367="Fire Tex 5090",O1367="Fire Tex 5120"),'CALCULO PINTURA'!P1368," ")</f>
        <v xml:space="preserve"> </v>
      </c>
      <c r="R1367" s="164" t="str">
        <f>+IF(OR(O1367="Fire Control",O1367="Fire Tex 5062",O1367="Fire Tex 5090",O1367="Fire Tex 5120"),'CALCULO PINTURA'!R1368," ")</f>
        <v xml:space="preserve"> </v>
      </c>
      <c r="S1367" s="164" t="str">
        <f>+IF(OR(O1367="Fire Control",O1367="Fire Tex 5062",O1367="Fire Tex 5090",O1367="Fire Tex 5120"),'CALCULO PINTURA'!S1368," ")</f>
        <v xml:space="preserve"> </v>
      </c>
      <c r="T1367" s="874" t="str">
        <f>+IF(OR(O1367="Blaze Shield II",O1367="Cafco 400",O1367="Cafco 300"),'CALCULO MORTERO'!N1373," ")</f>
        <v xml:space="preserve"> </v>
      </c>
      <c r="U1367" s="875" t="str">
        <f>+IF(OR(O1367="Blaze Shield II",O1367="Cafco 400",O1367="Cafco 300"),'CALCULO MORTERO'!O1373," ")</f>
        <v xml:space="preserve"> </v>
      </c>
      <c r="V1367" s="161" t="str" cm="1">
        <f t="array" ref="V1367">_xlfn.IFS(O1367="Blaze Shield II",'CALCULO MORTERO'!P1368, O1367="Cafco 400",'CALCULO MORTERO'!Q1368,O1367="Cafco 300",'CALCULO MORTERO'!S1368, AND(OR(O1367="Fire tex 5090", O1367="Fire Tex 5062", O1367="Fire Tex 5120", O1367="Fire Control"),Q1367&gt;0), "CERT.",TRUE,"-")</f>
        <v>-</v>
      </c>
    </row>
    <row r="1368" spans="1:22" x14ac:dyDescent="0.25">
      <c r="A1368" s="168"/>
      <c r="B1368" s="876"/>
      <c r="C1368" s="161"/>
      <c r="D1368" s="161"/>
      <c r="E1368" s="161"/>
      <c r="F1368" s="41"/>
      <c r="G1368" s="161"/>
      <c r="H1368" s="161"/>
      <c r="I1368" s="166"/>
      <c r="J1368" s="162"/>
      <c r="K1368" s="162"/>
      <c r="L1368" s="161"/>
      <c r="M1368" s="169"/>
      <c r="N1368" s="163" t="str">
        <f t="shared" si="25"/>
        <v/>
      </c>
      <c r="O1368" s="41"/>
      <c r="P1368" s="41"/>
      <c r="Q1368" s="161" t="str">
        <f>+IF(OR(O1368="Fire Control",O1368="Fire Tex 5062",O1368="Fire Tex 5090",O1368="Fire Tex 5120"),'CALCULO PINTURA'!P1369," ")</f>
        <v xml:space="preserve"> </v>
      </c>
      <c r="R1368" s="164" t="str">
        <f>+IF(OR(O1368="Fire Control",O1368="Fire Tex 5062",O1368="Fire Tex 5090",O1368="Fire Tex 5120"),'CALCULO PINTURA'!R1369," ")</f>
        <v xml:space="preserve"> </v>
      </c>
      <c r="S1368" s="164" t="str">
        <f>+IF(OR(O1368="Fire Control",O1368="Fire Tex 5062",O1368="Fire Tex 5090",O1368="Fire Tex 5120"),'CALCULO PINTURA'!S1369," ")</f>
        <v xml:space="preserve"> </v>
      </c>
      <c r="T1368" s="874" t="str">
        <f>+IF(OR(O1368="Blaze Shield II",O1368="Cafco 400",O1368="Cafco 300"),'CALCULO MORTERO'!N1374," ")</f>
        <v xml:space="preserve"> </v>
      </c>
      <c r="U1368" s="875" t="str">
        <f>+IF(OR(O1368="Blaze Shield II",O1368="Cafco 400",O1368="Cafco 300"),'CALCULO MORTERO'!O1374," ")</f>
        <v xml:space="preserve"> </v>
      </c>
      <c r="V1368" s="161" t="str" cm="1">
        <f t="array" ref="V1368">_xlfn.IFS(O1368="Blaze Shield II",'CALCULO MORTERO'!P1369, O1368="Cafco 400",'CALCULO MORTERO'!Q1369,O1368="Cafco 300",'CALCULO MORTERO'!S1369, AND(OR(O1368="Fire tex 5090", O1368="Fire Tex 5062", O1368="Fire Tex 5120", O1368="Fire Control"),Q1368&gt;0), "CERT.",TRUE,"-")</f>
        <v>-</v>
      </c>
    </row>
    <row r="1369" spans="1:22" x14ac:dyDescent="0.25">
      <c r="A1369" s="168"/>
      <c r="B1369" s="876"/>
      <c r="C1369" s="161"/>
      <c r="D1369" s="161"/>
      <c r="E1369" s="161"/>
      <c r="F1369" s="161"/>
      <c r="G1369" s="161"/>
      <c r="H1369" s="161"/>
      <c r="I1369" s="166"/>
      <c r="J1369" s="162"/>
      <c r="K1369" s="161"/>
      <c r="L1369" s="161"/>
      <c r="M1369" s="169"/>
      <c r="N1369" s="163" t="str">
        <f t="shared" si="25"/>
        <v/>
      </c>
      <c r="O1369" s="41"/>
      <c r="P1369" s="41"/>
      <c r="Q1369" s="161" t="str">
        <f>+IF(OR(O1369="Fire Control",O1369="Fire Tex 5062",O1369="Fire Tex 5090",O1369="Fire Tex 5120"),'CALCULO PINTURA'!P1370," ")</f>
        <v xml:space="preserve"> </v>
      </c>
      <c r="R1369" s="164" t="str">
        <f>+IF(OR(O1369="Fire Control",O1369="Fire Tex 5062",O1369="Fire Tex 5090",O1369="Fire Tex 5120"),'CALCULO PINTURA'!R1370," ")</f>
        <v xml:space="preserve"> </v>
      </c>
      <c r="S1369" s="164" t="str">
        <f>+IF(OR(O1369="Fire Control",O1369="Fire Tex 5062",O1369="Fire Tex 5090",O1369="Fire Tex 5120"),'CALCULO PINTURA'!S1370," ")</f>
        <v xml:space="preserve"> </v>
      </c>
      <c r="T1369" s="874" t="str">
        <f>+IF(OR(O1369="Blaze Shield II",O1369="Cafco 400",O1369="Cafco 300"),'CALCULO MORTERO'!N1375," ")</f>
        <v xml:space="preserve"> </v>
      </c>
      <c r="U1369" s="875" t="str">
        <f>+IF(OR(O1369="Blaze Shield II",O1369="Cafco 400",O1369="Cafco 300"),'CALCULO MORTERO'!O1375," ")</f>
        <v xml:space="preserve"> </v>
      </c>
      <c r="V1369" s="161" t="str" cm="1">
        <f t="array" ref="V1369">_xlfn.IFS(O1369="Blaze Shield II",'CALCULO MORTERO'!P1370, O1369="Cafco 400",'CALCULO MORTERO'!Q1370,O1369="Cafco 300",'CALCULO MORTERO'!S1370, AND(OR(O1369="Fire tex 5090", O1369="Fire Tex 5062", O1369="Fire Tex 5120", O1369="Fire Control"),Q1369&gt;0), "CERT.",TRUE,"-")</f>
        <v>-</v>
      </c>
    </row>
    <row r="1370" spans="1:22" x14ac:dyDescent="0.25">
      <c r="A1370" s="168"/>
      <c r="B1370" s="876"/>
      <c r="C1370" s="161"/>
      <c r="D1370" s="161"/>
      <c r="E1370" s="161"/>
      <c r="F1370" s="161"/>
      <c r="G1370" s="161"/>
      <c r="H1370" s="161"/>
      <c r="I1370" s="166"/>
      <c r="J1370" s="162"/>
      <c r="K1370" s="161"/>
      <c r="L1370" s="161"/>
      <c r="M1370" s="163"/>
      <c r="N1370" s="163" t="str">
        <f t="shared" si="25"/>
        <v/>
      </c>
      <c r="O1370" s="41"/>
      <c r="P1370" s="41"/>
      <c r="Q1370" s="161" t="str">
        <f>+IF(OR(O1370="Fire Control",O1370="Fire Tex 5062",O1370="Fire Tex 5090",O1370="Fire Tex 5120"),'CALCULO PINTURA'!P1371," ")</f>
        <v xml:space="preserve"> </v>
      </c>
      <c r="R1370" s="164" t="str">
        <f>+IF(OR(O1370="Fire Control",O1370="Fire Tex 5062",O1370="Fire Tex 5090",O1370="Fire Tex 5120"),'CALCULO PINTURA'!R1371," ")</f>
        <v xml:space="preserve"> </v>
      </c>
      <c r="S1370" s="164" t="str">
        <f>+IF(OR(O1370="Fire Control",O1370="Fire Tex 5062",O1370="Fire Tex 5090",O1370="Fire Tex 5120"),'CALCULO PINTURA'!S1371," ")</f>
        <v xml:space="preserve"> </v>
      </c>
      <c r="T1370" s="874" t="str">
        <f>+IF(OR(O1370="Blaze Shield II",O1370="Cafco 400",O1370="Cafco 300"),'CALCULO MORTERO'!N1376," ")</f>
        <v xml:space="preserve"> </v>
      </c>
      <c r="U1370" s="875" t="str">
        <f>+IF(OR(O1370="Blaze Shield II",O1370="Cafco 400",O1370="Cafco 300"),'CALCULO MORTERO'!O1376," ")</f>
        <v xml:space="preserve"> </v>
      </c>
      <c r="V1370" s="161" t="str" cm="1">
        <f t="array" ref="V1370">_xlfn.IFS(O1370="Blaze Shield II",'CALCULO MORTERO'!P1371, O1370="Cafco 400",'CALCULO MORTERO'!Q1371,O1370="Cafco 300",'CALCULO MORTERO'!S1371, AND(OR(O1370="Fire tex 5090", O1370="Fire Tex 5062", O1370="Fire Tex 5120", O1370="Fire Control"),Q1370&gt;0), "CERT.",TRUE,"-")</f>
        <v>-</v>
      </c>
    </row>
    <row r="1371" spans="1:22" x14ac:dyDescent="0.25">
      <c r="A1371" s="168"/>
      <c r="B1371" s="876"/>
      <c r="C1371" s="161"/>
      <c r="D1371" s="161"/>
      <c r="E1371" s="161"/>
      <c r="F1371" s="161"/>
      <c r="G1371" s="161"/>
      <c r="H1371" s="161"/>
      <c r="I1371" s="166"/>
      <c r="J1371" s="162"/>
      <c r="K1371" s="161"/>
      <c r="L1371" s="161"/>
      <c r="M1371" s="169"/>
      <c r="N1371" s="163" t="str">
        <f t="shared" si="25"/>
        <v/>
      </c>
      <c r="O1371" s="41"/>
      <c r="P1371" s="41"/>
      <c r="Q1371" s="161" t="str">
        <f>+IF(OR(O1371="Fire Control",O1371="Fire Tex 5062",O1371="Fire Tex 5090",O1371="Fire Tex 5120"),'CALCULO PINTURA'!P1372," ")</f>
        <v xml:space="preserve"> </v>
      </c>
      <c r="R1371" s="164" t="str">
        <f>+IF(OR(O1371="Fire Control",O1371="Fire Tex 5062",O1371="Fire Tex 5090",O1371="Fire Tex 5120"),'CALCULO PINTURA'!R1372," ")</f>
        <v xml:space="preserve"> </v>
      </c>
      <c r="S1371" s="164" t="str">
        <f>+IF(OR(O1371="Fire Control",O1371="Fire Tex 5062",O1371="Fire Tex 5090",O1371="Fire Tex 5120"),'CALCULO PINTURA'!S1372," ")</f>
        <v xml:space="preserve"> </v>
      </c>
      <c r="T1371" s="874" t="str">
        <f>+IF(OR(O1371="Blaze Shield II",O1371="Cafco 400",O1371="Cafco 300"),'CALCULO MORTERO'!N1377," ")</f>
        <v xml:space="preserve"> </v>
      </c>
      <c r="U1371" s="875" t="str">
        <f>+IF(OR(O1371="Blaze Shield II",O1371="Cafco 400",O1371="Cafco 300"),'CALCULO MORTERO'!O1377," ")</f>
        <v xml:space="preserve"> </v>
      </c>
      <c r="V1371" s="161" t="str" cm="1">
        <f t="array" ref="V1371">_xlfn.IFS(O1371="Blaze Shield II",'CALCULO MORTERO'!P1372, O1371="Cafco 400",'CALCULO MORTERO'!Q1372,O1371="Cafco 300",'CALCULO MORTERO'!S1372, AND(OR(O1371="Fire tex 5090", O1371="Fire Tex 5062", O1371="Fire Tex 5120", O1371="Fire Control"),Q1371&gt;0), "CERT.",TRUE,"-")</f>
        <v>-</v>
      </c>
    </row>
    <row r="1372" spans="1:22" x14ac:dyDescent="0.25">
      <c r="A1372" s="168"/>
      <c r="B1372" s="876"/>
      <c r="C1372" s="161"/>
      <c r="D1372" s="161"/>
      <c r="E1372" s="161"/>
      <c r="F1372" s="161"/>
      <c r="G1372" s="161"/>
      <c r="H1372" s="161"/>
      <c r="I1372" s="166"/>
      <c r="J1372" s="162"/>
      <c r="K1372" s="161"/>
      <c r="L1372" s="161"/>
      <c r="M1372" s="163"/>
      <c r="N1372" s="163" t="str">
        <f t="shared" si="25"/>
        <v/>
      </c>
      <c r="O1372" s="41"/>
      <c r="P1372" s="41"/>
      <c r="Q1372" s="161" t="str">
        <f>+IF(OR(O1372="Fire Control",O1372="Fire Tex 5062",O1372="Fire Tex 5090",O1372="Fire Tex 5120"),'CALCULO PINTURA'!P1373," ")</f>
        <v xml:space="preserve"> </v>
      </c>
      <c r="R1372" s="164" t="str">
        <f>+IF(OR(O1372="Fire Control",O1372="Fire Tex 5062",O1372="Fire Tex 5090",O1372="Fire Tex 5120"),'CALCULO PINTURA'!R1373," ")</f>
        <v xml:space="preserve"> </v>
      </c>
      <c r="S1372" s="164" t="str">
        <f>+IF(OR(O1372="Fire Control",O1372="Fire Tex 5062",O1372="Fire Tex 5090",O1372="Fire Tex 5120"),'CALCULO PINTURA'!S1373," ")</f>
        <v xml:space="preserve"> </v>
      </c>
      <c r="T1372" s="874" t="str">
        <f>+IF(OR(O1372="Blaze Shield II",O1372="Cafco 400",O1372="Cafco 300"),'CALCULO MORTERO'!N1378," ")</f>
        <v xml:space="preserve"> </v>
      </c>
      <c r="U1372" s="875" t="str">
        <f>+IF(OR(O1372="Blaze Shield II",O1372="Cafco 400",O1372="Cafco 300"),'CALCULO MORTERO'!O1378," ")</f>
        <v xml:space="preserve"> </v>
      </c>
      <c r="V1372" s="161" t="str" cm="1">
        <f t="array" ref="V1372">_xlfn.IFS(O1372="Blaze Shield II",'CALCULO MORTERO'!P1373, O1372="Cafco 400",'CALCULO MORTERO'!Q1373,O1372="Cafco 300",'CALCULO MORTERO'!S1373, AND(OR(O1372="Fire tex 5090", O1372="Fire Tex 5062", O1372="Fire Tex 5120", O1372="Fire Control"),Q1372&gt;0), "CERT.",TRUE,"-")</f>
        <v>-</v>
      </c>
    </row>
    <row r="1373" spans="1:22" x14ac:dyDescent="0.25">
      <c r="A1373" s="168"/>
      <c r="B1373" s="876"/>
      <c r="C1373" s="161"/>
      <c r="D1373" s="161"/>
      <c r="E1373" s="161"/>
      <c r="F1373" s="41"/>
      <c r="G1373" s="161"/>
      <c r="H1373" s="161"/>
      <c r="I1373" s="166"/>
      <c r="J1373" s="162"/>
      <c r="K1373" s="161"/>
      <c r="L1373" s="161"/>
      <c r="M1373" s="169"/>
      <c r="N1373" s="163" t="str">
        <f t="shared" si="25"/>
        <v/>
      </c>
      <c r="O1373" s="41"/>
      <c r="P1373" s="41"/>
      <c r="Q1373" s="161" t="str">
        <f>+IF(OR(O1373="Fire Control",O1373="Fire Tex 5062",O1373="Fire Tex 5090",O1373="Fire Tex 5120"),'CALCULO PINTURA'!P1374," ")</f>
        <v xml:space="preserve"> </v>
      </c>
      <c r="R1373" s="164" t="str">
        <f>+IF(OR(O1373="Fire Control",O1373="Fire Tex 5062",O1373="Fire Tex 5090",O1373="Fire Tex 5120"),'CALCULO PINTURA'!R1374," ")</f>
        <v xml:space="preserve"> </v>
      </c>
      <c r="S1373" s="164" t="str">
        <f>+IF(OR(O1373="Fire Control",O1373="Fire Tex 5062",O1373="Fire Tex 5090",O1373="Fire Tex 5120"),'CALCULO PINTURA'!S1374," ")</f>
        <v xml:space="preserve"> </v>
      </c>
      <c r="T1373" s="874" t="str">
        <f>+IF(OR(O1373="Blaze Shield II",O1373="Cafco 400",O1373="Cafco 300"),'CALCULO MORTERO'!N1379," ")</f>
        <v xml:space="preserve"> </v>
      </c>
      <c r="U1373" s="875" t="str">
        <f>+IF(OR(O1373="Blaze Shield II",O1373="Cafco 400",O1373="Cafco 300"),'CALCULO MORTERO'!O1379," ")</f>
        <v xml:space="preserve"> </v>
      </c>
      <c r="V1373" s="161" t="str" cm="1">
        <f t="array" ref="V1373">_xlfn.IFS(O1373="Blaze Shield II",'CALCULO MORTERO'!P1374, O1373="Cafco 400",'CALCULO MORTERO'!Q1374,O1373="Cafco 300",'CALCULO MORTERO'!S1374, AND(OR(O1373="Fire tex 5090", O1373="Fire Tex 5062", O1373="Fire Tex 5120", O1373="Fire Control"),Q1373&gt;0), "CERT.",TRUE,"-")</f>
        <v>-</v>
      </c>
    </row>
    <row r="1374" spans="1:22" x14ac:dyDescent="0.25">
      <c r="A1374" s="168"/>
      <c r="B1374" s="876"/>
      <c r="C1374" s="161"/>
      <c r="D1374" s="161"/>
      <c r="E1374" s="161"/>
      <c r="F1374" s="41"/>
      <c r="G1374" s="161"/>
      <c r="H1374" s="161"/>
      <c r="I1374" s="166"/>
      <c r="J1374" s="162"/>
      <c r="K1374" s="161"/>
      <c r="L1374" s="161"/>
      <c r="M1374" s="169"/>
      <c r="N1374" s="163" t="str">
        <f t="shared" si="25"/>
        <v/>
      </c>
      <c r="O1374" s="41"/>
      <c r="P1374" s="41"/>
      <c r="Q1374" s="161" t="str">
        <f>+IF(OR(O1374="Fire Control",O1374="Fire Tex 5062",O1374="Fire Tex 5090",O1374="Fire Tex 5120"),'CALCULO PINTURA'!P1375," ")</f>
        <v xml:space="preserve"> </v>
      </c>
      <c r="R1374" s="164" t="str">
        <f>+IF(OR(O1374="Fire Control",O1374="Fire Tex 5062",O1374="Fire Tex 5090",O1374="Fire Tex 5120"),'CALCULO PINTURA'!R1375," ")</f>
        <v xml:space="preserve"> </v>
      </c>
      <c r="S1374" s="164" t="str">
        <f>+IF(OR(O1374="Fire Control",O1374="Fire Tex 5062",O1374="Fire Tex 5090",O1374="Fire Tex 5120"),'CALCULO PINTURA'!S1375," ")</f>
        <v xml:space="preserve"> </v>
      </c>
      <c r="T1374" s="874" t="str">
        <f>+IF(OR(O1374="Blaze Shield II",O1374="Cafco 400",O1374="Cafco 300"),'CALCULO MORTERO'!N1380," ")</f>
        <v xml:space="preserve"> </v>
      </c>
      <c r="U1374" s="875" t="str">
        <f>+IF(OR(O1374="Blaze Shield II",O1374="Cafco 400",O1374="Cafco 300"),'CALCULO MORTERO'!O1380," ")</f>
        <v xml:space="preserve"> </v>
      </c>
      <c r="V1374" s="161" t="str" cm="1">
        <f t="array" ref="V1374">_xlfn.IFS(O1374="Blaze Shield II",'CALCULO MORTERO'!P1375, O1374="Cafco 400",'CALCULO MORTERO'!Q1375,O1374="Cafco 300",'CALCULO MORTERO'!S1375, AND(OR(O1374="Fire tex 5090", O1374="Fire Tex 5062", O1374="Fire Tex 5120", O1374="Fire Control"),Q1374&gt;0), "CERT.",TRUE,"-")</f>
        <v>-</v>
      </c>
    </row>
    <row r="1375" spans="1:22" x14ac:dyDescent="0.25">
      <c r="A1375" s="168"/>
      <c r="B1375" s="876"/>
      <c r="C1375" s="161"/>
      <c r="D1375" s="161"/>
      <c r="E1375" s="161"/>
      <c r="F1375" s="41"/>
      <c r="G1375" s="161"/>
      <c r="H1375" s="161"/>
      <c r="I1375" s="166"/>
      <c r="J1375" s="162"/>
      <c r="K1375" s="161"/>
      <c r="L1375" s="161"/>
      <c r="M1375" s="169"/>
      <c r="N1375" s="163" t="str">
        <f t="shared" si="25"/>
        <v/>
      </c>
      <c r="O1375" s="41"/>
      <c r="P1375" s="41"/>
      <c r="Q1375" s="161" t="str">
        <f>+IF(OR(O1375="Fire Control",O1375="Fire Tex 5062",O1375="Fire Tex 5090",O1375="Fire Tex 5120"),'CALCULO PINTURA'!P1376," ")</f>
        <v xml:space="preserve"> </v>
      </c>
      <c r="R1375" s="164" t="str">
        <f>+IF(OR(O1375="Fire Control",O1375="Fire Tex 5062",O1375="Fire Tex 5090",O1375="Fire Tex 5120"),'CALCULO PINTURA'!R1376," ")</f>
        <v xml:space="preserve"> </v>
      </c>
      <c r="S1375" s="164" t="str">
        <f>+IF(OR(O1375="Fire Control",O1375="Fire Tex 5062",O1375="Fire Tex 5090",O1375="Fire Tex 5120"),'CALCULO PINTURA'!S1376," ")</f>
        <v xml:space="preserve"> </v>
      </c>
      <c r="T1375" s="874" t="str">
        <f>+IF(OR(O1375="Blaze Shield II",O1375="Cafco 400",O1375="Cafco 300"),'CALCULO MORTERO'!N1381," ")</f>
        <v xml:space="preserve"> </v>
      </c>
      <c r="U1375" s="875" t="str">
        <f>+IF(OR(O1375="Blaze Shield II",O1375="Cafco 400",O1375="Cafco 300"),'CALCULO MORTERO'!O1381," ")</f>
        <v xml:space="preserve"> </v>
      </c>
      <c r="V1375" s="161" t="str" cm="1">
        <f t="array" ref="V1375">_xlfn.IFS(O1375="Blaze Shield II",'CALCULO MORTERO'!P1376, O1375="Cafco 400",'CALCULO MORTERO'!Q1376,O1375="Cafco 300",'CALCULO MORTERO'!S1376, AND(OR(O1375="Fire tex 5090", O1375="Fire Tex 5062", O1375="Fire Tex 5120", O1375="Fire Control"),Q1375&gt;0), "CERT.",TRUE,"-")</f>
        <v>-</v>
      </c>
    </row>
    <row r="1376" spans="1:22" x14ac:dyDescent="0.25">
      <c r="A1376" s="168"/>
      <c r="B1376" s="876"/>
      <c r="C1376" s="161"/>
      <c r="D1376" s="161"/>
      <c r="E1376" s="161"/>
      <c r="F1376" s="41"/>
      <c r="G1376" s="161"/>
      <c r="H1376" s="161"/>
      <c r="I1376" s="166"/>
      <c r="J1376" s="162"/>
      <c r="K1376" s="161"/>
      <c r="L1376" s="161"/>
      <c r="M1376" s="169"/>
      <c r="N1376" s="163" t="str">
        <f t="shared" si="25"/>
        <v/>
      </c>
      <c r="O1376" s="41"/>
      <c r="P1376" s="41"/>
      <c r="Q1376" s="161" t="str">
        <f>+IF(OR(O1376="Fire Control",O1376="Fire Tex 5062",O1376="Fire Tex 5090",O1376="Fire Tex 5120"),'CALCULO PINTURA'!P1377," ")</f>
        <v xml:space="preserve"> </v>
      </c>
      <c r="R1376" s="164" t="str">
        <f>+IF(OR(O1376="Fire Control",O1376="Fire Tex 5062",O1376="Fire Tex 5090",O1376="Fire Tex 5120"),'CALCULO PINTURA'!R1377," ")</f>
        <v xml:space="preserve"> </v>
      </c>
      <c r="S1376" s="164" t="str">
        <f>+IF(OR(O1376="Fire Control",O1376="Fire Tex 5062",O1376="Fire Tex 5090",O1376="Fire Tex 5120"),'CALCULO PINTURA'!S1377," ")</f>
        <v xml:space="preserve"> </v>
      </c>
      <c r="T1376" s="874" t="str">
        <f>+IF(OR(O1376="Blaze Shield II",O1376="Cafco 400",O1376="Cafco 300"),'CALCULO MORTERO'!N1382," ")</f>
        <v xml:space="preserve"> </v>
      </c>
      <c r="U1376" s="875" t="str">
        <f>+IF(OR(O1376="Blaze Shield II",O1376="Cafco 400",O1376="Cafco 300"),'CALCULO MORTERO'!O1382," ")</f>
        <v xml:space="preserve"> </v>
      </c>
      <c r="V1376" s="161" t="str" cm="1">
        <f t="array" ref="V1376">_xlfn.IFS(O1376="Blaze Shield II",'CALCULO MORTERO'!P1377, O1376="Cafco 400",'CALCULO MORTERO'!Q1377,O1376="Cafco 300",'CALCULO MORTERO'!S1377, AND(OR(O1376="Fire tex 5090", O1376="Fire Tex 5062", O1376="Fire Tex 5120", O1376="Fire Control"),Q1376&gt;0), "CERT.",TRUE,"-")</f>
        <v>-</v>
      </c>
    </row>
    <row r="1377" spans="1:22" x14ac:dyDescent="0.25">
      <c r="A1377" s="168"/>
      <c r="B1377" s="876"/>
      <c r="C1377" s="161"/>
      <c r="D1377" s="161"/>
      <c r="E1377" s="161"/>
      <c r="F1377" s="41"/>
      <c r="G1377" s="161"/>
      <c r="H1377" s="161"/>
      <c r="I1377" s="166"/>
      <c r="J1377" s="162"/>
      <c r="K1377" s="161"/>
      <c r="L1377" s="161"/>
      <c r="M1377" s="169"/>
      <c r="N1377" s="163" t="str">
        <f t="shared" si="25"/>
        <v/>
      </c>
      <c r="O1377" s="41"/>
      <c r="P1377" s="41"/>
      <c r="Q1377" s="161" t="str">
        <f>+IF(OR(O1377="Fire Control",O1377="Fire Tex 5062",O1377="Fire Tex 5090",O1377="Fire Tex 5120"),'CALCULO PINTURA'!P1378," ")</f>
        <v xml:space="preserve"> </v>
      </c>
      <c r="R1377" s="164" t="str">
        <f>+IF(OR(O1377="Fire Control",O1377="Fire Tex 5062",O1377="Fire Tex 5090",O1377="Fire Tex 5120"),'CALCULO PINTURA'!R1378," ")</f>
        <v xml:space="preserve"> </v>
      </c>
      <c r="S1377" s="164" t="str">
        <f>+IF(OR(O1377="Fire Control",O1377="Fire Tex 5062",O1377="Fire Tex 5090",O1377="Fire Tex 5120"),'CALCULO PINTURA'!S1378," ")</f>
        <v xml:space="preserve"> </v>
      </c>
      <c r="T1377" s="874" t="str">
        <f>+IF(OR(O1377="Blaze Shield II",O1377="Cafco 400",O1377="Cafco 300"),'CALCULO MORTERO'!N1383," ")</f>
        <v xml:space="preserve"> </v>
      </c>
      <c r="U1377" s="875" t="str">
        <f>+IF(OR(O1377="Blaze Shield II",O1377="Cafco 400",O1377="Cafco 300"),'CALCULO MORTERO'!O1383," ")</f>
        <v xml:space="preserve"> </v>
      </c>
      <c r="V1377" s="161" t="str" cm="1">
        <f t="array" ref="V1377">_xlfn.IFS(O1377="Blaze Shield II",'CALCULO MORTERO'!P1378, O1377="Cafco 400",'CALCULO MORTERO'!Q1378,O1377="Cafco 300",'CALCULO MORTERO'!S1378, AND(OR(O1377="Fire tex 5090", O1377="Fire Tex 5062", O1377="Fire Tex 5120", O1377="Fire Control"),Q1377&gt;0), "CERT.",TRUE,"-")</f>
        <v>-</v>
      </c>
    </row>
    <row r="1378" spans="1:22" x14ac:dyDescent="0.25">
      <c r="A1378" s="168"/>
      <c r="B1378" s="876"/>
      <c r="C1378" s="161"/>
      <c r="D1378" s="161"/>
      <c r="E1378" s="161"/>
      <c r="F1378" s="41"/>
      <c r="G1378" s="161"/>
      <c r="H1378" s="161"/>
      <c r="I1378" s="166"/>
      <c r="J1378" s="162"/>
      <c r="K1378" s="161"/>
      <c r="L1378" s="161"/>
      <c r="M1378" s="169"/>
      <c r="N1378" s="163" t="str">
        <f t="shared" si="25"/>
        <v/>
      </c>
      <c r="O1378" s="41"/>
      <c r="P1378" s="41"/>
      <c r="Q1378" s="161" t="str">
        <f>+IF(OR(O1378="Fire Control",O1378="Fire Tex 5062",O1378="Fire Tex 5090",O1378="Fire Tex 5120"),'CALCULO PINTURA'!P1379," ")</f>
        <v xml:space="preserve"> </v>
      </c>
      <c r="R1378" s="164" t="str">
        <f>+IF(OR(O1378="Fire Control",O1378="Fire Tex 5062",O1378="Fire Tex 5090",O1378="Fire Tex 5120"),'CALCULO PINTURA'!R1379," ")</f>
        <v xml:space="preserve"> </v>
      </c>
      <c r="S1378" s="164" t="str">
        <f>+IF(OR(O1378="Fire Control",O1378="Fire Tex 5062",O1378="Fire Tex 5090",O1378="Fire Tex 5120"),'CALCULO PINTURA'!S1379," ")</f>
        <v xml:space="preserve"> </v>
      </c>
      <c r="T1378" s="874" t="str">
        <f>+IF(OR(O1378="Blaze Shield II",O1378="Cafco 400",O1378="Cafco 300"),'CALCULO MORTERO'!N1384," ")</f>
        <v xml:space="preserve"> </v>
      </c>
      <c r="U1378" s="875" t="str">
        <f>+IF(OR(O1378="Blaze Shield II",O1378="Cafco 400",O1378="Cafco 300"),'CALCULO MORTERO'!O1384," ")</f>
        <v xml:space="preserve"> </v>
      </c>
      <c r="V1378" s="161" t="str" cm="1">
        <f t="array" ref="V1378">_xlfn.IFS(O1378="Blaze Shield II",'CALCULO MORTERO'!P1379, O1378="Cafco 400",'CALCULO MORTERO'!Q1379,O1378="Cafco 300",'CALCULO MORTERO'!S1379, AND(OR(O1378="Fire tex 5090", O1378="Fire Tex 5062", O1378="Fire Tex 5120", O1378="Fire Control"),Q1378&gt;0), "CERT.",TRUE,"-")</f>
        <v>-</v>
      </c>
    </row>
    <row r="1379" spans="1:22" x14ac:dyDescent="0.25">
      <c r="A1379" s="168"/>
      <c r="B1379" s="876"/>
      <c r="C1379" s="161"/>
      <c r="D1379" s="161"/>
      <c r="E1379" s="161"/>
      <c r="F1379" s="41"/>
      <c r="G1379" s="161"/>
      <c r="H1379" s="161"/>
      <c r="I1379" s="166"/>
      <c r="J1379" s="162"/>
      <c r="K1379" s="161"/>
      <c r="L1379" s="161"/>
      <c r="M1379" s="169"/>
      <c r="N1379" s="163" t="str">
        <f t="shared" si="25"/>
        <v/>
      </c>
      <c r="O1379" s="41"/>
      <c r="P1379" s="41"/>
      <c r="Q1379" s="161" t="str">
        <f>+IF(OR(O1379="Fire Control",O1379="Fire Tex 5062",O1379="Fire Tex 5090",O1379="Fire Tex 5120"),'CALCULO PINTURA'!P1380," ")</f>
        <v xml:space="preserve"> </v>
      </c>
      <c r="R1379" s="164" t="str">
        <f>+IF(OR(O1379="Fire Control",O1379="Fire Tex 5062",O1379="Fire Tex 5090",O1379="Fire Tex 5120"),'CALCULO PINTURA'!R1380," ")</f>
        <v xml:space="preserve"> </v>
      </c>
      <c r="S1379" s="164" t="str">
        <f>+IF(OR(O1379="Fire Control",O1379="Fire Tex 5062",O1379="Fire Tex 5090",O1379="Fire Tex 5120"),'CALCULO PINTURA'!S1380," ")</f>
        <v xml:space="preserve"> </v>
      </c>
      <c r="T1379" s="874" t="str">
        <f>+IF(OR(O1379="Blaze Shield II",O1379="Cafco 400",O1379="Cafco 300"),'CALCULO MORTERO'!N1385," ")</f>
        <v xml:space="preserve"> </v>
      </c>
      <c r="U1379" s="875" t="str">
        <f>+IF(OR(O1379="Blaze Shield II",O1379="Cafco 400",O1379="Cafco 300"),'CALCULO MORTERO'!O1385," ")</f>
        <v xml:space="preserve"> </v>
      </c>
      <c r="V1379" s="161" t="str" cm="1">
        <f t="array" ref="V1379">_xlfn.IFS(O1379="Blaze Shield II",'CALCULO MORTERO'!P1380, O1379="Cafco 400",'CALCULO MORTERO'!Q1380,O1379="Cafco 300",'CALCULO MORTERO'!S1380, AND(OR(O1379="Fire tex 5090", O1379="Fire Tex 5062", O1379="Fire Tex 5120", O1379="Fire Control"),Q1379&gt;0), "CERT.",TRUE,"-")</f>
        <v>-</v>
      </c>
    </row>
    <row r="1380" spans="1:22" x14ac:dyDescent="0.25">
      <c r="A1380" s="168"/>
      <c r="B1380" s="876"/>
      <c r="C1380" s="161"/>
      <c r="D1380" s="161"/>
      <c r="E1380" s="161"/>
      <c r="F1380" s="41"/>
      <c r="G1380" s="161"/>
      <c r="H1380" s="161"/>
      <c r="I1380" s="166"/>
      <c r="J1380" s="162"/>
      <c r="K1380" s="161"/>
      <c r="L1380" s="161"/>
      <c r="M1380" s="169"/>
      <c r="N1380" s="163" t="str">
        <f t="shared" si="25"/>
        <v/>
      </c>
      <c r="O1380" s="41"/>
      <c r="P1380" s="41"/>
      <c r="Q1380" s="161" t="str">
        <f>+IF(OR(O1380="Fire Control",O1380="Fire Tex 5062",O1380="Fire Tex 5090",O1380="Fire Tex 5120"),'CALCULO PINTURA'!P1381," ")</f>
        <v xml:space="preserve"> </v>
      </c>
      <c r="R1380" s="164" t="str">
        <f>+IF(OR(O1380="Fire Control",O1380="Fire Tex 5062",O1380="Fire Tex 5090",O1380="Fire Tex 5120"),'CALCULO PINTURA'!R1381," ")</f>
        <v xml:space="preserve"> </v>
      </c>
      <c r="S1380" s="164" t="str">
        <f>+IF(OR(O1380="Fire Control",O1380="Fire Tex 5062",O1380="Fire Tex 5090",O1380="Fire Tex 5120"),'CALCULO PINTURA'!S1381," ")</f>
        <v xml:space="preserve"> </v>
      </c>
      <c r="T1380" s="874" t="str">
        <f>+IF(OR(O1380="Blaze Shield II",O1380="Cafco 400",O1380="Cafco 300"),'CALCULO MORTERO'!N1386," ")</f>
        <v xml:space="preserve"> </v>
      </c>
      <c r="U1380" s="875" t="str">
        <f>+IF(OR(O1380="Blaze Shield II",O1380="Cafco 400",O1380="Cafco 300"),'CALCULO MORTERO'!O1386," ")</f>
        <v xml:space="preserve"> </v>
      </c>
      <c r="V1380" s="161" t="str" cm="1">
        <f t="array" ref="V1380">_xlfn.IFS(O1380="Blaze Shield II",'CALCULO MORTERO'!P1381, O1380="Cafco 400",'CALCULO MORTERO'!Q1381,O1380="Cafco 300",'CALCULO MORTERO'!S1381, AND(OR(O1380="Fire tex 5090", O1380="Fire Tex 5062", O1380="Fire Tex 5120", O1380="Fire Control"),Q1380&gt;0), "CERT.",TRUE,"-")</f>
        <v>-</v>
      </c>
    </row>
    <row r="1381" spans="1:22" x14ac:dyDescent="0.25">
      <c r="A1381" s="168"/>
      <c r="B1381" s="876"/>
      <c r="C1381" s="161"/>
      <c r="D1381" s="161"/>
      <c r="E1381" s="161"/>
      <c r="F1381" s="41"/>
      <c r="G1381" s="161"/>
      <c r="H1381" s="161"/>
      <c r="I1381" s="166"/>
      <c r="J1381" s="162"/>
      <c r="K1381" s="161"/>
      <c r="L1381" s="161"/>
      <c r="M1381" s="169"/>
      <c r="N1381" s="163" t="str">
        <f t="shared" si="25"/>
        <v/>
      </c>
      <c r="O1381" s="41"/>
      <c r="P1381" s="41"/>
      <c r="Q1381" s="161" t="str">
        <f>+IF(OR(O1381="Fire Control",O1381="Fire Tex 5062",O1381="Fire Tex 5090",O1381="Fire Tex 5120"),'CALCULO PINTURA'!P1382," ")</f>
        <v xml:space="preserve"> </v>
      </c>
      <c r="R1381" s="164" t="str">
        <f>+IF(OR(O1381="Fire Control",O1381="Fire Tex 5062",O1381="Fire Tex 5090",O1381="Fire Tex 5120"),'CALCULO PINTURA'!R1382," ")</f>
        <v xml:space="preserve"> </v>
      </c>
      <c r="S1381" s="164" t="str">
        <f>+IF(OR(O1381="Fire Control",O1381="Fire Tex 5062",O1381="Fire Tex 5090",O1381="Fire Tex 5120"),'CALCULO PINTURA'!S1382," ")</f>
        <v xml:space="preserve"> </v>
      </c>
      <c r="T1381" s="874" t="str">
        <f>+IF(OR(O1381="Blaze Shield II",O1381="Cafco 400",O1381="Cafco 300"),'CALCULO MORTERO'!N1387," ")</f>
        <v xml:space="preserve"> </v>
      </c>
      <c r="U1381" s="875" t="str">
        <f>+IF(OR(O1381="Blaze Shield II",O1381="Cafco 400",O1381="Cafco 300"),'CALCULO MORTERO'!O1387," ")</f>
        <v xml:space="preserve"> </v>
      </c>
      <c r="V1381" s="161" t="str" cm="1">
        <f t="array" ref="V1381">_xlfn.IFS(O1381="Blaze Shield II",'CALCULO MORTERO'!P1382, O1381="Cafco 400",'CALCULO MORTERO'!Q1382,O1381="Cafco 300",'CALCULO MORTERO'!S1382, AND(OR(O1381="Fire tex 5090", O1381="Fire Tex 5062", O1381="Fire Tex 5120", O1381="Fire Control"),Q1381&gt;0), "CERT.",TRUE,"-")</f>
        <v>-</v>
      </c>
    </row>
    <row r="1382" spans="1:22" x14ac:dyDescent="0.25">
      <c r="A1382" s="168"/>
      <c r="B1382" s="876"/>
      <c r="C1382" s="161"/>
      <c r="D1382" s="161"/>
      <c r="E1382" s="161"/>
      <c r="F1382" s="41"/>
      <c r="G1382" s="161"/>
      <c r="H1382" s="161"/>
      <c r="I1382" s="166"/>
      <c r="J1382" s="162"/>
      <c r="K1382" s="161"/>
      <c r="L1382" s="161"/>
      <c r="M1382" s="169"/>
      <c r="N1382" s="163" t="str">
        <f t="shared" si="25"/>
        <v/>
      </c>
      <c r="O1382" s="41"/>
      <c r="P1382" s="41"/>
      <c r="Q1382" s="161" t="str">
        <f>+IF(OR(O1382="Fire Control",O1382="Fire Tex 5062",O1382="Fire Tex 5090",O1382="Fire Tex 5120"),'CALCULO PINTURA'!P1383," ")</f>
        <v xml:space="preserve"> </v>
      </c>
      <c r="R1382" s="164" t="str">
        <f>+IF(OR(O1382="Fire Control",O1382="Fire Tex 5062",O1382="Fire Tex 5090",O1382="Fire Tex 5120"),'CALCULO PINTURA'!R1383," ")</f>
        <v xml:space="preserve"> </v>
      </c>
      <c r="S1382" s="164" t="str">
        <f>+IF(OR(O1382="Fire Control",O1382="Fire Tex 5062",O1382="Fire Tex 5090",O1382="Fire Tex 5120"),'CALCULO PINTURA'!S1383," ")</f>
        <v xml:space="preserve"> </v>
      </c>
      <c r="T1382" s="874" t="str">
        <f>+IF(OR(O1382="Blaze Shield II",O1382="Cafco 400",O1382="Cafco 300"),'CALCULO MORTERO'!N1388," ")</f>
        <v xml:space="preserve"> </v>
      </c>
      <c r="U1382" s="875" t="str">
        <f>+IF(OR(O1382="Blaze Shield II",O1382="Cafco 400",O1382="Cafco 300"),'CALCULO MORTERO'!O1388," ")</f>
        <v xml:space="preserve"> </v>
      </c>
      <c r="V1382" s="161" t="str" cm="1">
        <f t="array" ref="V1382">_xlfn.IFS(O1382="Blaze Shield II",'CALCULO MORTERO'!P1383, O1382="Cafco 400",'CALCULO MORTERO'!Q1383,O1382="Cafco 300",'CALCULO MORTERO'!S1383, AND(OR(O1382="Fire tex 5090", O1382="Fire Tex 5062", O1382="Fire Tex 5120", O1382="Fire Control"),Q1382&gt;0), "CERT.",TRUE,"-")</f>
        <v>-</v>
      </c>
    </row>
    <row r="1383" spans="1:22" x14ac:dyDescent="0.25">
      <c r="A1383" s="168"/>
      <c r="B1383" s="876"/>
      <c r="C1383" s="161"/>
      <c r="D1383" s="161"/>
      <c r="E1383" s="161"/>
      <c r="F1383" s="41"/>
      <c r="G1383" s="161"/>
      <c r="H1383" s="161"/>
      <c r="I1383" s="166"/>
      <c r="J1383" s="162"/>
      <c r="K1383" s="162"/>
      <c r="L1383" s="161"/>
      <c r="M1383" s="169"/>
      <c r="N1383" s="163" t="str">
        <f t="shared" si="25"/>
        <v/>
      </c>
      <c r="O1383" s="41"/>
      <c r="P1383" s="41"/>
      <c r="Q1383" s="161" t="str">
        <f>+IF(OR(O1383="Fire Control",O1383="Fire Tex 5062",O1383="Fire Tex 5090",O1383="Fire Tex 5120"),'CALCULO PINTURA'!P1384," ")</f>
        <v xml:space="preserve"> </v>
      </c>
      <c r="R1383" s="164" t="str">
        <f>+IF(OR(O1383="Fire Control",O1383="Fire Tex 5062",O1383="Fire Tex 5090",O1383="Fire Tex 5120"),'CALCULO PINTURA'!R1384," ")</f>
        <v xml:space="preserve"> </v>
      </c>
      <c r="S1383" s="164" t="str">
        <f>+IF(OR(O1383="Fire Control",O1383="Fire Tex 5062",O1383="Fire Tex 5090",O1383="Fire Tex 5120"),'CALCULO PINTURA'!S1384," ")</f>
        <v xml:space="preserve"> </v>
      </c>
      <c r="T1383" s="874" t="str">
        <f>+IF(OR(O1383="Blaze Shield II",O1383="Cafco 400",O1383="Cafco 300"),'CALCULO MORTERO'!N1389," ")</f>
        <v xml:space="preserve"> </v>
      </c>
      <c r="U1383" s="875" t="str">
        <f>+IF(OR(O1383="Blaze Shield II",O1383="Cafco 400",O1383="Cafco 300"),'CALCULO MORTERO'!O1389," ")</f>
        <v xml:space="preserve"> </v>
      </c>
      <c r="V1383" s="161" t="str" cm="1">
        <f t="array" ref="V1383">_xlfn.IFS(O1383="Blaze Shield II",'CALCULO MORTERO'!P1384, O1383="Cafco 400",'CALCULO MORTERO'!Q1384,O1383="Cafco 300",'CALCULO MORTERO'!S1384, AND(OR(O1383="Fire tex 5090", O1383="Fire Tex 5062", O1383="Fire Tex 5120", O1383="Fire Control"),Q1383&gt;0), "CERT.",TRUE,"-")</f>
        <v>-</v>
      </c>
    </row>
    <row r="1384" spans="1:22" x14ac:dyDescent="0.25">
      <c r="A1384" s="168"/>
      <c r="B1384" s="876"/>
      <c r="C1384" s="161"/>
      <c r="D1384" s="161"/>
      <c r="E1384" s="161"/>
      <c r="F1384" s="161"/>
      <c r="G1384" s="161"/>
      <c r="H1384" s="161"/>
      <c r="I1384" s="166"/>
      <c r="J1384" s="162"/>
      <c r="K1384" s="161"/>
      <c r="L1384" s="161"/>
      <c r="M1384" s="169"/>
      <c r="N1384" s="163" t="str">
        <f t="shared" si="25"/>
        <v/>
      </c>
      <c r="O1384" s="41"/>
      <c r="P1384" s="41"/>
      <c r="Q1384" s="161" t="str">
        <f>+IF(OR(O1384="Fire Control",O1384="Fire Tex 5062",O1384="Fire Tex 5090",O1384="Fire Tex 5120"),'CALCULO PINTURA'!P1385," ")</f>
        <v xml:space="preserve"> </v>
      </c>
      <c r="R1384" s="164" t="str">
        <f>+IF(OR(O1384="Fire Control",O1384="Fire Tex 5062",O1384="Fire Tex 5090",O1384="Fire Tex 5120"),'CALCULO PINTURA'!R1385," ")</f>
        <v xml:space="preserve"> </v>
      </c>
      <c r="S1384" s="164" t="str">
        <f>+IF(OR(O1384="Fire Control",O1384="Fire Tex 5062",O1384="Fire Tex 5090",O1384="Fire Tex 5120"),'CALCULO PINTURA'!S1385," ")</f>
        <v xml:space="preserve"> </v>
      </c>
      <c r="T1384" s="874" t="str">
        <f>+IF(OR(O1384="Blaze Shield II",O1384="Cafco 400",O1384="Cafco 300"),'CALCULO MORTERO'!N1390," ")</f>
        <v xml:space="preserve"> </v>
      </c>
      <c r="U1384" s="875" t="str">
        <f>+IF(OR(O1384="Blaze Shield II",O1384="Cafco 400",O1384="Cafco 300"),'CALCULO MORTERO'!O1390," ")</f>
        <v xml:space="preserve"> </v>
      </c>
      <c r="V1384" s="161" t="str" cm="1">
        <f t="array" ref="V1384">_xlfn.IFS(O1384="Blaze Shield II",'CALCULO MORTERO'!P1385, O1384="Cafco 400",'CALCULO MORTERO'!Q1385,O1384="Cafco 300",'CALCULO MORTERO'!S1385, AND(OR(O1384="Fire tex 5090", O1384="Fire Tex 5062", O1384="Fire Tex 5120", O1384="Fire Control"),Q1384&gt;0), "CERT.",TRUE,"-")</f>
        <v>-</v>
      </c>
    </row>
    <row r="1385" spans="1:22" x14ac:dyDescent="0.25">
      <c r="A1385" s="168"/>
      <c r="B1385" s="876"/>
      <c r="C1385" s="161"/>
      <c r="D1385" s="161"/>
      <c r="E1385" s="161"/>
      <c r="F1385" s="161"/>
      <c r="G1385" s="161"/>
      <c r="H1385" s="161"/>
      <c r="I1385" s="166"/>
      <c r="J1385" s="162"/>
      <c r="K1385" s="161"/>
      <c r="L1385" s="161"/>
      <c r="M1385" s="163"/>
      <c r="N1385" s="163" t="str">
        <f t="shared" si="25"/>
        <v/>
      </c>
      <c r="O1385" s="41"/>
      <c r="P1385" s="41"/>
      <c r="Q1385" s="161" t="str">
        <f>+IF(OR(O1385="Fire Control",O1385="Fire Tex 5062",O1385="Fire Tex 5090",O1385="Fire Tex 5120"),'CALCULO PINTURA'!P1386," ")</f>
        <v xml:space="preserve"> </v>
      </c>
      <c r="R1385" s="164" t="str">
        <f>+IF(OR(O1385="Fire Control",O1385="Fire Tex 5062",O1385="Fire Tex 5090",O1385="Fire Tex 5120"),'CALCULO PINTURA'!R1386," ")</f>
        <v xml:space="preserve"> </v>
      </c>
      <c r="S1385" s="164" t="str">
        <f>+IF(OR(O1385="Fire Control",O1385="Fire Tex 5062",O1385="Fire Tex 5090",O1385="Fire Tex 5120"),'CALCULO PINTURA'!S1386," ")</f>
        <v xml:space="preserve"> </v>
      </c>
      <c r="T1385" s="874" t="str">
        <f>+IF(OR(O1385="Blaze Shield II",O1385="Cafco 400",O1385="Cafco 300"),'CALCULO MORTERO'!N1391," ")</f>
        <v xml:space="preserve"> </v>
      </c>
      <c r="U1385" s="875" t="str">
        <f>+IF(OR(O1385="Blaze Shield II",O1385="Cafco 400",O1385="Cafco 300"),'CALCULO MORTERO'!O1391," ")</f>
        <v xml:space="preserve"> </v>
      </c>
      <c r="V1385" s="161" t="str" cm="1">
        <f t="array" ref="V1385">_xlfn.IFS(O1385="Blaze Shield II",'CALCULO MORTERO'!P1386, O1385="Cafco 400",'CALCULO MORTERO'!Q1386,O1385="Cafco 300",'CALCULO MORTERO'!S1386, AND(OR(O1385="Fire tex 5090", O1385="Fire Tex 5062", O1385="Fire Tex 5120", O1385="Fire Control"),Q1385&gt;0), "CERT.",TRUE,"-")</f>
        <v>-</v>
      </c>
    </row>
    <row r="1386" spans="1:22" x14ac:dyDescent="0.25">
      <c r="A1386" s="168"/>
      <c r="B1386" s="876"/>
      <c r="C1386" s="161"/>
      <c r="D1386" s="161"/>
      <c r="E1386" s="161"/>
      <c r="F1386" s="41"/>
      <c r="G1386" s="161"/>
      <c r="H1386" s="161"/>
      <c r="I1386" s="166"/>
      <c r="J1386" s="162"/>
      <c r="K1386" s="162"/>
      <c r="L1386" s="161"/>
      <c r="M1386" s="169"/>
      <c r="N1386" s="163" t="str">
        <f t="shared" si="25"/>
        <v/>
      </c>
      <c r="O1386" s="41"/>
      <c r="P1386" s="41"/>
      <c r="Q1386" s="161" t="str">
        <f>+IF(OR(O1386="Fire Control",O1386="Fire Tex 5062",O1386="Fire Tex 5090",O1386="Fire Tex 5120"),'CALCULO PINTURA'!P1387," ")</f>
        <v xml:space="preserve"> </v>
      </c>
      <c r="R1386" s="164" t="str">
        <f>+IF(OR(O1386="Fire Control",O1386="Fire Tex 5062",O1386="Fire Tex 5090",O1386="Fire Tex 5120"),'CALCULO PINTURA'!R1387," ")</f>
        <v xml:space="preserve"> </v>
      </c>
      <c r="S1386" s="164" t="str">
        <f>+IF(OR(O1386="Fire Control",O1386="Fire Tex 5062",O1386="Fire Tex 5090",O1386="Fire Tex 5120"),'CALCULO PINTURA'!S1387," ")</f>
        <v xml:space="preserve"> </v>
      </c>
      <c r="T1386" s="874" t="str">
        <f>+IF(OR(O1386="Blaze Shield II",O1386="Cafco 400",O1386="Cafco 300"),'CALCULO MORTERO'!N1392," ")</f>
        <v xml:space="preserve"> </v>
      </c>
      <c r="U1386" s="875" t="str">
        <f>+IF(OR(O1386="Blaze Shield II",O1386="Cafco 400",O1386="Cafco 300"),'CALCULO MORTERO'!O1392," ")</f>
        <v xml:space="preserve"> </v>
      </c>
      <c r="V1386" s="161" t="str" cm="1">
        <f t="array" ref="V1386">_xlfn.IFS(O1386="Blaze Shield II",'CALCULO MORTERO'!P1387, O1386="Cafco 400",'CALCULO MORTERO'!Q1387,O1386="Cafco 300",'CALCULO MORTERO'!S1387, AND(OR(O1386="Fire tex 5090", O1386="Fire Tex 5062", O1386="Fire Tex 5120", O1386="Fire Control"),Q1386&gt;0), "CERT.",TRUE,"-")</f>
        <v>-</v>
      </c>
    </row>
    <row r="1387" spans="1:22" x14ac:dyDescent="0.25">
      <c r="A1387" s="168"/>
      <c r="B1387" s="876"/>
      <c r="C1387" s="161"/>
      <c r="D1387" s="161"/>
      <c r="E1387" s="161"/>
      <c r="F1387" s="161"/>
      <c r="G1387" s="161"/>
      <c r="H1387" s="161"/>
      <c r="I1387" s="166"/>
      <c r="J1387" s="162"/>
      <c r="K1387" s="161"/>
      <c r="L1387" s="161"/>
      <c r="M1387" s="169"/>
      <c r="N1387" s="163" t="str">
        <f t="shared" si="25"/>
        <v/>
      </c>
      <c r="O1387" s="41"/>
      <c r="P1387" s="41"/>
      <c r="Q1387" s="161" t="str">
        <f>+IF(OR(O1387="Fire Control",O1387="Fire Tex 5062",O1387="Fire Tex 5090",O1387="Fire Tex 5120"),'CALCULO PINTURA'!P1388," ")</f>
        <v xml:space="preserve"> </v>
      </c>
      <c r="R1387" s="164" t="str">
        <f>+IF(OR(O1387="Fire Control",O1387="Fire Tex 5062",O1387="Fire Tex 5090",O1387="Fire Tex 5120"),'CALCULO PINTURA'!R1388," ")</f>
        <v xml:space="preserve"> </v>
      </c>
      <c r="S1387" s="164" t="str">
        <f>+IF(OR(O1387="Fire Control",O1387="Fire Tex 5062",O1387="Fire Tex 5090",O1387="Fire Tex 5120"),'CALCULO PINTURA'!S1388," ")</f>
        <v xml:space="preserve"> </v>
      </c>
      <c r="T1387" s="874" t="str">
        <f>+IF(OR(O1387="Blaze Shield II",O1387="Cafco 400",O1387="Cafco 300"),'CALCULO MORTERO'!N1393," ")</f>
        <v xml:space="preserve"> </v>
      </c>
      <c r="U1387" s="875" t="str">
        <f>+IF(OR(O1387="Blaze Shield II",O1387="Cafco 400",O1387="Cafco 300"),'CALCULO MORTERO'!O1393," ")</f>
        <v xml:space="preserve"> </v>
      </c>
      <c r="V1387" s="161" t="str" cm="1">
        <f t="array" ref="V1387">_xlfn.IFS(O1387="Blaze Shield II",'CALCULO MORTERO'!P1388, O1387="Cafco 400",'CALCULO MORTERO'!Q1388,O1387="Cafco 300",'CALCULO MORTERO'!S1388, AND(OR(O1387="Fire tex 5090", O1387="Fire Tex 5062", O1387="Fire Tex 5120", O1387="Fire Control"),Q1387&gt;0), "CERT.",TRUE,"-")</f>
        <v>-</v>
      </c>
    </row>
    <row r="1388" spans="1:22" x14ac:dyDescent="0.25">
      <c r="A1388" s="168"/>
      <c r="B1388" s="876"/>
      <c r="C1388" s="161"/>
      <c r="D1388" s="161"/>
      <c r="E1388" s="161"/>
      <c r="F1388" s="161"/>
      <c r="G1388" s="161"/>
      <c r="H1388" s="161"/>
      <c r="I1388" s="166"/>
      <c r="J1388" s="162"/>
      <c r="K1388" s="161"/>
      <c r="L1388" s="161"/>
      <c r="M1388" s="163"/>
      <c r="N1388" s="163" t="str">
        <f t="shared" si="25"/>
        <v/>
      </c>
      <c r="O1388" s="41"/>
      <c r="P1388" s="41"/>
      <c r="Q1388" s="161" t="str">
        <f>+IF(OR(O1388="Fire Control",O1388="Fire Tex 5062",O1388="Fire Tex 5090",O1388="Fire Tex 5120"),'CALCULO PINTURA'!P1389," ")</f>
        <v xml:space="preserve"> </v>
      </c>
      <c r="R1388" s="164" t="str">
        <f>+IF(OR(O1388="Fire Control",O1388="Fire Tex 5062",O1388="Fire Tex 5090",O1388="Fire Tex 5120"),'CALCULO PINTURA'!R1389," ")</f>
        <v xml:space="preserve"> </v>
      </c>
      <c r="S1388" s="164" t="str">
        <f>+IF(OR(O1388="Fire Control",O1388="Fire Tex 5062",O1388="Fire Tex 5090",O1388="Fire Tex 5120"),'CALCULO PINTURA'!S1389," ")</f>
        <v xml:space="preserve"> </v>
      </c>
      <c r="T1388" s="874" t="str">
        <f>+IF(OR(O1388="Blaze Shield II",O1388="Cafco 400",O1388="Cafco 300"),'CALCULO MORTERO'!N1394," ")</f>
        <v xml:space="preserve"> </v>
      </c>
      <c r="U1388" s="875" t="str">
        <f>+IF(OR(O1388="Blaze Shield II",O1388="Cafco 400",O1388="Cafco 300"),'CALCULO MORTERO'!O1394," ")</f>
        <v xml:space="preserve"> </v>
      </c>
      <c r="V1388" s="161" t="str" cm="1">
        <f t="array" ref="V1388">_xlfn.IFS(O1388="Blaze Shield II",'CALCULO MORTERO'!P1389, O1388="Cafco 400",'CALCULO MORTERO'!Q1389,O1388="Cafco 300",'CALCULO MORTERO'!S1389, AND(OR(O1388="Fire tex 5090", O1388="Fire Tex 5062", O1388="Fire Tex 5120", O1388="Fire Control"),Q1388&gt;0), "CERT.",TRUE,"-")</f>
        <v>-</v>
      </c>
    </row>
    <row r="1389" spans="1:22" x14ac:dyDescent="0.25">
      <c r="A1389" s="168"/>
      <c r="B1389" s="876"/>
      <c r="C1389" s="161"/>
      <c r="D1389" s="161"/>
      <c r="E1389" s="161"/>
      <c r="F1389" s="161"/>
      <c r="G1389" s="161"/>
      <c r="H1389" s="161"/>
      <c r="I1389" s="166"/>
      <c r="J1389" s="162"/>
      <c r="K1389" s="161"/>
      <c r="L1389" s="161"/>
      <c r="M1389" s="169"/>
      <c r="N1389" s="163" t="str">
        <f t="shared" si="25"/>
        <v/>
      </c>
      <c r="O1389" s="41"/>
      <c r="P1389" s="41"/>
      <c r="Q1389" s="161" t="str">
        <f>+IF(OR(O1389="Fire Control",O1389="Fire Tex 5062",O1389="Fire Tex 5090",O1389="Fire Tex 5120"),'CALCULO PINTURA'!P1390," ")</f>
        <v xml:space="preserve"> </v>
      </c>
      <c r="R1389" s="164" t="str">
        <f>+IF(OR(O1389="Fire Control",O1389="Fire Tex 5062",O1389="Fire Tex 5090",O1389="Fire Tex 5120"),'CALCULO PINTURA'!R1390," ")</f>
        <v xml:space="preserve"> </v>
      </c>
      <c r="S1389" s="164" t="str">
        <f>+IF(OR(O1389="Fire Control",O1389="Fire Tex 5062",O1389="Fire Tex 5090",O1389="Fire Tex 5120"),'CALCULO PINTURA'!S1390," ")</f>
        <v xml:space="preserve"> </v>
      </c>
      <c r="T1389" s="874" t="str">
        <f>+IF(OR(O1389="Blaze Shield II",O1389="Cafco 400",O1389="Cafco 300"),'CALCULO MORTERO'!N1395," ")</f>
        <v xml:space="preserve"> </v>
      </c>
      <c r="U1389" s="875" t="str">
        <f>+IF(OR(O1389="Blaze Shield II",O1389="Cafco 400",O1389="Cafco 300"),'CALCULO MORTERO'!O1395," ")</f>
        <v xml:space="preserve"> </v>
      </c>
      <c r="V1389" s="161" t="str" cm="1">
        <f t="array" ref="V1389">_xlfn.IFS(O1389="Blaze Shield II",'CALCULO MORTERO'!P1390, O1389="Cafco 400",'CALCULO MORTERO'!Q1390,O1389="Cafco 300",'CALCULO MORTERO'!S1390, AND(OR(O1389="Fire tex 5090", O1389="Fire Tex 5062", O1389="Fire Tex 5120", O1389="Fire Control"),Q1389&gt;0), "CERT.",TRUE,"-")</f>
        <v>-</v>
      </c>
    </row>
    <row r="1390" spans="1:22" x14ac:dyDescent="0.25">
      <c r="A1390" s="168"/>
      <c r="B1390" s="876"/>
      <c r="C1390" s="161"/>
      <c r="D1390" s="161"/>
      <c r="E1390" s="161"/>
      <c r="F1390" s="161"/>
      <c r="G1390" s="161"/>
      <c r="H1390" s="161"/>
      <c r="I1390" s="166"/>
      <c r="J1390" s="162"/>
      <c r="K1390" s="161"/>
      <c r="L1390" s="161"/>
      <c r="M1390" s="163"/>
      <c r="N1390" s="163" t="str">
        <f t="shared" si="25"/>
        <v/>
      </c>
      <c r="O1390" s="41"/>
      <c r="P1390" s="41"/>
      <c r="Q1390" s="161" t="str">
        <f>+IF(OR(O1390="Fire Control",O1390="Fire Tex 5062",O1390="Fire Tex 5090",O1390="Fire Tex 5120"),'CALCULO PINTURA'!P1391," ")</f>
        <v xml:space="preserve"> </v>
      </c>
      <c r="R1390" s="164" t="str">
        <f>+IF(OR(O1390="Fire Control",O1390="Fire Tex 5062",O1390="Fire Tex 5090",O1390="Fire Tex 5120"),'CALCULO PINTURA'!R1391," ")</f>
        <v xml:space="preserve"> </v>
      </c>
      <c r="S1390" s="164" t="str">
        <f>+IF(OR(O1390="Fire Control",O1390="Fire Tex 5062",O1390="Fire Tex 5090",O1390="Fire Tex 5120"),'CALCULO PINTURA'!S1391," ")</f>
        <v xml:space="preserve"> </v>
      </c>
      <c r="T1390" s="874" t="str">
        <f>+IF(OR(O1390="Blaze Shield II",O1390="Cafco 400",O1390="Cafco 300"),'CALCULO MORTERO'!N1396," ")</f>
        <v xml:space="preserve"> </v>
      </c>
      <c r="U1390" s="875" t="str">
        <f>+IF(OR(O1390="Blaze Shield II",O1390="Cafco 400",O1390="Cafco 300"),'CALCULO MORTERO'!O1396," ")</f>
        <v xml:space="preserve"> </v>
      </c>
      <c r="V1390" s="161" t="str" cm="1">
        <f t="array" ref="V1390">_xlfn.IFS(O1390="Blaze Shield II",'CALCULO MORTERO'!P1391, O1390="Cafco 400",'CALCULO MORTERO'!Q1391,O1390="Cafco 300",'CALCULO MORTERO'!S1391, AND(OR(O1390="Fire tex 5090", O1390="Fire Tex 5062", O1390="Fire Tex 5120", O1390="Fire Control"),Q1390&gt;0), "CERT.",TRUE,"-")</f>
        <v>-</v>
      </c>
    </row>
    <row r="1391" spans="1:22" x14ac:dyDescent="0.25">
      <c r="A1391" s="168"/>
      <c r="B1391" s="876"/>
      <c r="C1391" s="161"/>
      <c r="D1391" s="161"/>
      <c r="E1391" s="161"/>
      <c r="F1391" s="161"/>
      <c r="G1391" s="161"/>
      <c r="H1391" s="161"/>
      <c r="I1391" s="166"/>
      <c r="J1391" s="162"/>
      <c r="K1391" s="161"/>
      <c r="L1391" s="161"/>
      <c r="M1391" s="169"/>
      <c r="N1391" s="163" t="str">
        <f t="shared" si="25"/>
        <v/>
      </c>
      <c r="O1391" s="41"/>
      <c r="P1391" s="41"/>
      <c r="Q1391" s="161" t="str">
        <f>+IF(OR(O1391="Fire Control",O1391="Fire Tex 5062",O1391="Fire Tex 5090",O1391="Fire Tex 5120"),'CALCULO PINTURA'!P1392," ")</f>
        <v xml:space="preserve"> </v>
      </c>
      <c r="R1391" s="164" t="str">
        <f>+IF(OR(O1391="Fire Control",O1391="Fire Tex 5062",O1391="Fire Tex 5090",O1391="Fire Tex 5120"),'CALCULO PINTURA'!R1392," ")</f>
        <v xml:space="preserve"> </v>
      </c>
      <c r="S1391" s="164" t="str">
        <f>+IF(OR(O1391="Fire Control",O1391="Fire Tex 5062",O1391="Fire Tex 5090",O1391="Fire Tex 5120"),'CALCULO PINTURA'!S1392," ")</f>
        <v xml:space="preserve"> </v>
      </c>
      <c r="T1391" s="874" t="str">
        <f>+IF(OR(O1391="Blaze Shield II",O1391="Cafco 400",O1391="Cafco 300"),'CALCULO MORTERO'!N1397," ")</f>
        <v xml:space="preserve"> </v>
      </c>
      <c r="U1391" s="875" t="str">
        <f>+IF(OR(O1391="Blaze Shield II",O1391="Cafco 400",O1391="Cafco 300"),'CALCULO MORTERO'!O1397," ")</f>
        <v xml:space="preserve"> </v>
      </c>
      <c r="V1391" s="161" t="str" cm="1">
        <f t="array" ref="V1391">_xlfn.IFS(O1391="Blaze Shield II",'CALCULO MORTERO'!P1392, O1391="Cafco 400",'CALCULO MORTERO'!Q1392,O1391="Cafco 300",'CALCULO MORTERO'!S1392, AND(OR(O1391="Fire tex 5090", O1391="Fire Tex 5062", O1391="Fire Tex 5120", O1391="Fire Control"),Q1391&gt;0), "CERT.",TRUE,"-")</f>
        <v>-</v>
      </c>
    </row>
    <row r="1392" spans="1:22" x14ac:dyDescent="0.25">
      <c r="A1392" s="168"/>
      <c r="B1392" s="876"/>
      <c r="C1392" s="161"/>
      <c r="D1392" s="161"/>
      <c r="E1392" s="161"/>
      <c r="F1392" s="161"/>
      <c r="G1392" s="161"/>
      <c r="H1392" s="161"/>
      <c r="I1392" s="166"/>
      <c r="J1392" s="162"/>
      <c r="K1392" s="161"/>
      <c r="L1392" s="161"/>
      <c r="M1392" s="163"/>
      <c r="N1392" s="163" t="str">
        <f t="shared" si="25"/>
        <v/>
      </c>
      <c r="O1392" s="41"/>
      <c r="P1392" s="41"/>
      <c r="Q1392" s="161" t="str">
        <f>+IF(OR(O1392="Fire Control",O1392="Fire Tex 5062",O1392="Fire Tex 5090",O1392="Fire Tex 5120"),'CALCULO PINTURA'!P1393," ")</f>
        <v xml:space="preserve"> </v>
      </c>
      <c r="R1392" s="164" t="str">
        <f>+IF(OR(O1392="Fire Control",O1392="Fire Tex 5062",O1392="Fire Tex 5090",O1392="Fire Tex 5120"),'CALCULO PINTURA'!R1393," ")</f>
        <v xml:space="preserve"> </v>
      </c>
      <c r="S1392" s="164" t="str">
        <f>+IF(OR(O1392="Fire Control",O1392="Fire Tex 5062",O1392="Fire Tex 5090",O1392="Fire Tex 5120"),'CALCULO PINTURA'!S1393," ")</f>
        <v xml:space="preserve"> </v>
      </c>
      <c r="T1392" s="874" t="str">
        <f>+IF(OR(O1392="Blaze Shield II",O1392="Cafco 400",O1392="Cafco 300"),'CALCULO MORTERO'!N1398," ")</f>
        <v xml:space="preserve"> </v>
      </c>
      <c r="U1392" s="875" t="str">
        <f>+IF(OR(O1392="Blaze Shield II",O1392="Cafco 400",O1392="Cafco 300"),'CALCULO MORTERO'!O1398," ")</f>
        <v xml:space="preserve"> </v>
      </c>
      <c r="V1392" s="161" t="str" cm="1">
        <f t="array" ref="V1392">_xlfn.IFS(O1392="Blaze Shield II",'CALCULO MORTERO'!P1393, O1392="Cafco 400",'CALCULO MORTERO'!Q1393,O1392="Cafco 300",'CALCULO MORTERO'!S1393, AND(OR(O1392="Fire tex 5090", O1392="Fire Tex 5062", O1392="Fire Tex 5120", O1392="Fire Control"),Q1392&gt;0), "CERT.",TRUE,"-")</f>
        <v>-</v>
      </c>
    </row>
    <row r="1393" spans="1:22" x14ac:dyDescent="0.25">
      <c r="A1393" s="168"/>
      <c r="B1393" s="876"/>
      <c r="C1393" s="161"/>
      <c r="D1393" s="161"/>
      <c r="E1393" s="161"/>
      <c r="F1393" s="41"/>
      <c r="G1393" s="161"/>
      <c r="H1393" s="161"/>
      <c r="I1393" s="166"/>
      <c r="J1393" s="162"/>
      <c r="K1393" s="162"/>
      <c r="L1393" s="161"/>
      <c r="M1393" s="169"/>
      <c r="N1393" s="163" t="str">
        <f t="shared" si="25"/>
        <v/>
      </c>
      <c r="O1393" s="41"/>
      <c r="P1393" s="41"/>
      <c r="Q1393" s="161" t="str">
        <f>+IF(OR(O1393="Fire Control",O1393="Fire Tex 5062",O1393="Fire Tex 5090",O1393="Fire Tex 5120"),'CALCULO PINTURA'!P1394," ")</f>
        <v xml:space="preserve"> </v>
      </c>
      <c r="R1393" s="164" t="str">
        <f>+IF(OR(O1393="Fire Control",O1393="Fire Tex 5062",O1393="Fire Tex 5090",O1393="Fire Tex 5120"),'CALCULO PINTURA'!R1394," ")</f>
        <v xml:space="preserve"> </v>
      </c>
      <c r="S1393" s="164" t="str">
        <f>+IF(OR(O1393="Fire Control",O1393="Fire Tex 5062",O1393="Fire Tex 5090",O1393="Fire Tex 5120"),'CALCULO PINTURA'!S1394," ")</f>
        <v xml:space="preserve"> </v>
      </c>
      <c r="T1393" s="874" t="str">
        <f>+IF(OR(O1393="Blaze Shield II",O1393="Cafco 400",O1393="Cafco 300"),'CALCULO MORTERO'!N1399," ")</f>
        <v xml:space="preserve"> </v>
      </c>
      <c r="U1393" s="875" t="str">
        <f>+IF(OR(O1393="Blaze Shield II",O1393="Cafco 400",O1393="Cafco 300"),'CALCULO MORTERO'!O1399," ")</f>
        <v xml:space="preserve"> </v>
      </c>
      <c r="V1393" s="161" t="str" cm="1">
        <f t="array" ref="V1393">_xlfn.IFS(O1393="Blaze Shield II",'CALCULO MORTERO'!P1394, O1393="Cafco 400",'CALCULO MORTERO'!Q1394,O1393="Cafco 300",'CALCULO MORTERO'!S1394, AND(OR(O1393="Fire tex 5090", O1393="Fire Tex 5062", O1393="Fire Tex 5120", O1393="Fire Control"),Q1393&gt;0), "CERT.",TRUE,"-")</f>
        <v>-</v>
      </c>
    </row>
    <row r="1394" spans="1:22" x14ac:dyDescent="0.25">
      <c r="A1394" s="168"/>
      <c r="B1394" s="876"/>
      <c r="C1394" s="161"/>
      <c r="D1394" s="161"/>
      <c r="E1394" s="161"/>
      <c r="F1394" s="41"/>
      <c r="G1394" s="161"/>
      <c r="H1394" s="161"/>
      <c r="I1394" s="166"/>
      <c r="J1394" s="162"/>
      <c r="K1394" s="161"/>
      <c r="L1394" s="161"/>
      <c r="M1394" s="169"/>
      <c r="N1394" s="163" t="str">
        <f t="shared" si="25"/>
        <v/>
      </c>
      <c r="O1394" s="41"/>
      <c r="P1394" s="41"/>
      <c r="Q1394" s="161" t="str">
        <f>+IF(OR(O1394="Fire Control",O1394="Fire Tex 5062",O1394="Fire Tex 5090",O1394="Fire Tex 5120"),'CALCULO PINTURA'!P1395," ")</f>
        <v xml:space="preserve"> </v>
      </c>
      <c r="R1394" s="164" t="str">
        <f>+IF(OR(O1394="Fire Control",O1394="Fire Tex 5062",O1394="Fire Tex 5090",O1394="Fire Tex 5120"),'CALCULO PINTURA'!R1395," ")</f>
        <v xml:space="preserve"> </v>
      </c>
      <c r="S1394" s="164" t="str">
        <f>+IF(OR(O1394="Fire Control",O1394="Fire Tex 5062",O1394="Fire Tex 5090",O1394="Fire Tex 5120"),'CALCULO PINTURA'!S1395," ")</f>
        <v xml:space="preserve"> </v>
      </c>
      <c r="T1394" s="874" t="str">
        <f>+IF(OR(O1394="Blaze Shield II",O1394="Cafco 400",O1394="Cafco 300"),'CALCULO MORTERO'!N1400," ")</f>
        <v xml:space="preserve"> </v>
      </c>
      <c r="U1394" s="875" t="str">
        <f>+IF(OR(O1394="Blaze Shield II",O1394="Cafco 400",O1394="Cafco 300"),'CALCULO MORTERO'!O1400," ")</f>
        <v xml:space="preserve"> </v>
      </c>
      <c r="V1394" s="161" t="str" cm="1">
        <f t="array" ref="V1394">_xlfn.IFS(O1394="Blaze Shield II",'CALCULO MORTERO'!P1395, O1394="Cafco 400",'CALCULO MORTERO'!Q1395,O1394="Cafco 300",'CALCULO MORTERO'!S1395, AND(OR(O1394="Fire tex 5090", O1394="Fire Tex 5062", O1394="Fire Tex 5120", O1394="Fire Control"),Q1394&gt;0), "CERT.",TRUE,"-")</f>
        <v>-</v>
      </c>
    </row>
    <row r="1395" spans="1:22" x14ac:dyDescent="0.25">
      <c r="A1395" s="168"/>
      <c r="B1395" s="876"/>
      <c r="C1395" s="161"/>
      <c r="D1395" s="161"/>
      <c r="E1395" s="161"/>
      <c r="F1395" s="41"/>
      <c r="G1395" s="161"/>
      <c r="H1395" s="161"/>
      <c r="I1395" s="166"/>
      <c r="J1395" s="162"/>
      <c r="K1395" s="161"/>
      <c r="L1395" s="161"/>
      <c r="M1395" s="169"/>
      <c r="N1395" s="163" t="str">
        <f t="shared" si="25"/>
        <v/>
      </c>
      <c r="O1395" s="41"/>
      <c r="P1395" s="41"/>
      <c r="Q1395" s="161" t="str">
        <f>+IF(OR(O1395="Fire Control",O1395="Fire Tex 5062",O1395="Fire Tex 5090",O1395="Fire Tex 5120"),'CALCULO PINTURA'!P1396," ")</f>
        <v xml:space="preserve"> </v>
      </c>
      <c r="R1395" s="164" t="str">
        <f>+IF(OR(O1395="Fire Control",O1395="Fire Tex 5062",O1395="Fire Tex 5090",O1395="Fire Tex 5120"),'CALCULO PINTURA'!R1396," ")</f>
        <v xml:space="preserve"> </v>
      </c>
      <c r="S1395" s="164" t="str">
        <f>+IF(OR(O1395="Fire Control",O1395="Fire Tex 5062",O1395="Fire Tex 5090",O1395="Fire Tex 5120"),'CALCULO PINTURA'!S1396," ")</f>
        <v xml:space="preserve"> </v>
      </c>
      <c r="T1395" s="874" t="str">
        <f>+IF(OR(O1395="Blaze Shield II",O1395="Cafco 400",O1395="Cafco 300"),'CALCULO MORTERO'!N1401," ")</f>
        <v xml:space="preserve"> </v>
      </c>
      <c r="U1395" s="875" t="str">
        <f>+IF(OR(O1395="Blaze Shield II",O1395="Cafco 400",O1395="Cafco 300"),'CALCULO MORTERO'!O1401," ")</f>
        <v xml:space="preserve"> </v>
      </c>
      <c r="V1395" s="161" t="str" cm="1">
        <f t="array" ref="V1395">_xlfn.IFS(O1395="Blaze Shield II",'CALCULO MORTERO'!P1396, O1395="Cafco 400",'CALCULO MORTERO'!Q1396,O1395="Cafco 300",'CALCULO MORTERO'!S1396, AND(OR(O1395="Fire tex 5090", O1395="Fire Tex 5062", O1395="Fire Tex 5120", O1395="Fire Control"),Q1395&gt;0), "CERT.",TRUE,"-")</f>
        <v>-</v>
      </c>
    </row>
    <row r="1396" spans="1:22" x14ac:dyDescent="0.25">
      <c r="A1396" s="168"/>
      <c r="B1396" s="876"/>
      <c r="C1396" s="161"/>
      <c r="D1396" s="161"/>
      <c r="E1396" s="161"/>
      <c r="F1396" s="161"/>
      <c r="G1396" s="161"/>
      <c r="H1396" s="161"/>
      <c r="I1396" s="166"/>
      <c r="J1396" s="162"/>
      <c r="K1396" s="161"/>
      <c r="L1396" s="161"/>
      <c r="M1396" s="169"/>
      <c r="N1396" s="163" t="str">
        <f t="shared" si="25"/>
        <v/>
      </c>
      <c r="O1396" s="41"/>
      <c r="P1396" s="41"/>
      <c r="Q1396" s="161" t="str">
        <f>+IF(OR(O1396="Fire Control",O1396="Fire Tex 5062",O1396="Fire Tex 5090",O1396="Fire Tex 5120"),'CALCULO PINTURA'!P1397," ")</f>
        <v xml:space="preserve"> </v>
      </c>
      <c r="R1396" s="164" t="str">
        <f>+IF(OR(O1396="Fire Control",O1396="Fire Tex 5062",O1396="Fire Tex 5090",O1396="Fire Tex 5120"),'CALCULO PINTURA'!R1397," ")</f>
        <v xml:space="preserve"> </v>
      </c>
      <c r="S1396" s="164" t="str">
        <f>+IF(OR(O1396="Fire Control",O1396="Fire Tex 5062",O1396="Fire Tex 5090",O1396="Fire Tex 5120"),'CALCULO PINTURA'!S1397," ")</f>
        <v xml:space="preserve"> </v>
      </c>
      <c r="T1396" s="874" t="str">
        <f>+IF(OR(O1396="Blaze Shield II",O1396="Cafco 400",O1396="Cafco 300"),'CALCULO MORTERO'!N1402," ")</f>
        <v xml:space="preserve"> </v>
      </c>
      <c r="U1396" s="875" t="str">
        <f>+IF(OR(O1396="Blaze Shield II",O1396="Cafco 400",O1396="Cafco 300"),'CALCULO MORTERO'!O1402," ")</f>
        <v xml:space="preserve"> </v>
      </c>
      <c r="V1396" s="161" t="str" cm="1">
        <f t="array" ref="V1396">_xlfn.IFS(O1396="Blaze Shield II",'CALCULO MORTERO'!P1397, O1396="Cafco 400",'CALCULO MORTERO'!Q1397,O1396="Cafco 300",'CALCULO MORTERO'!S1397, AND(OR(O1396="Fire tex 5090", O1396="Fire Tex 5062", O1396="Fire Tex 5120", O1396="Fire Control"),Q1396&gt;0), "CERT.",TRUE,"-")</f>
        <v>-</v>
      </c>
    </row>
    <row r="1397" spans="1:22" x14ac:dyDescent="0.25">
      <c r="A1397" s="168"/>
      <c r="B1397" s="876"/>
      <c r="C1397" s="161"/>
      <c r="D1397" s="161"/>
      <c r="E1397" s="161"/>
      <c r="F1397" s="161"/>
      <c r="G1397" s="161"/>
      <c r="H1397" s="161"/>
      <c r="I1397" s="166"/>
      <c r="J1397" s="162"/>
      <c r="K1397" s="161"/>
      <c r="L1397" s="161"/>
      <c r="M1397" s="163"/>
      <c r="N1397" s="163" t="str">
        <f t="shared" si="25"/>
        <v/>
      </c>
      <c r="O1397" s="41"/>
      <c r="P1397" s="41"/>
      <c r="Q1397" s="161" t="str">
        <f>+IF(OR(O1397="Fire Control",O1397="Fire Tex 5062",O1397="Fire Tex 5090",O1397="Fire Tex 5120"),'CALCULO PINTURA'!P1398," ")</f>
        <v xml:space="preserve"> </v>
      </c>
      <c r="R1397" s="164" t="str">
        <f>+IF(OR(O1397="Fire Control",O1397="Fire Tex 5062",O1397="Fire Tex 5090",O1397="Fire Tex 5120"),'CALCULO PINTURA'!R1398," ")</f>
        <v xml:space="preserve"> </v>
      </c>
      <c r="S1397" s="164" t="str">
        <f>+IF(OR(O1397="Fire Control",O1397="Fire Tex 5062",O1397="Fire Tex 5090",O1397="Fire Tex 5120"),'CALCULO PINTURA'!S1398," ")</f>
        <v xml:space="preserve"> </v>
      </c>
      <c r="T1397" s="874" t="str">
        <f>+IF(OR(O1397="Blaze Shield II",O1397="Cafco 400",O1397="Cafco 300"),'CALCULO MORTERO'!N1403," ")</f>
        <v xml:space="preserve"> </v>
      </c>
      <c r="U1397" s="875" t="str">
        <f>+IF(OR(O1397="Blaze Shield II",O1397="Cafco 400",O1397="Cafco 300"),'CALCULO MORTERO'!O1403," ")</f>
        <v xml:space="preserve"> </v>
      </c>
      <c r="V1397" s="161" t="str" cm="1">
        <f t="array" ref="V1397">_xlfn.IFS(O1397="Blaze Shield II",'CALCULO MORTERO'!P1398, O1397="Cafco 400",'CALCULO MORTERO'!Q1398,O1397="Cafco 300",'CALCULO MORTERO'!S1398, AND(OR(O1397="Fire tex 5090", O1397="Fire Tex 5062", O1397="Fire Tex 5120", O1397="Fire Control"),Q1397&gt;0), "CERT.",TRUE,"-")</f>
        <v>-</v>
      </c>
    </row>
    <row r="1398" spans="1:22" x14ac:dyDescent="0.25">
      <c r="A1398" s="168"/>
      <c r="B1398" s="876"/>
      <c r="C1398" s="161"/>
      <c r="D1398" s="161"/>
      <c r="E1398" s="161"/>
      <c r="F1398" s="41"/>
      <c r="G1398" s="161"/>
      <c r="H1398" s="161"/>
      <c r="I1398" s="166"/>
      <c r="J1398" s="162"/>
      <c r="K1398" s="161"/>
      <c r="L1398" s="161"/>
      <c r="M1398" s="169"/>
      <c r="N1398" s="163" t="str">
        <f t="shared" si="25"/>
        <v/>
      </c>
      <c r="O1398" s="41"/>
      <c r="P1398" s="41"/>
      <c r="Q1398" s="161" t="str">
        <f>+IF(OR(O1398="Fire Control",O1398="Fire Tex 5062",O1398="Fire Tex 5090",O1398="Fire Tex 5120"),'CALCULO PINTURA'!P1399," ")</f>
        <v xml:space="preserve"> </v>
      </c>
      <c r="R1398" s="164" t="str">
        <f>+IF(OR(O1398="Fire Control",O1398="Fire Tex 5062",O1398="Fire Tex 5090",O1398="Fire Tex 5120"),'CALCULO PINTURA'!R1399," ")</f>
        <v xml:space="preserve"> </v>
      </c>
      <c r="S1398" s="164" t="str">
        <f>+IF(OR(O1398="Fire Control",O1398="Fire Tex 5062",O1398="Fire Tex 5090",O1398="Fire Tex 5120"),'CALCULO PINTURA'!S1399," ")</f>
        <v xml:space="preserve"> </v>
      </c>
      <c r="T1398" s="874" t="str">
        <f>+IF(OR(O1398="Blaze Shield II",O1398="Cafco 400",O1398="Cafco 300"),'CALCULO MORTERO'!N1404," ")</f>
        <v xml:space="preserve"> </v>
      </c>
      <c r="U1398" s="875" t="str">
        <f>+IF(OR(O1398="Blaze Shield II",O1398="Cafco 400",O1398="Cafco 300"),'CALCULO MORTERO'!O1404," ")</f>
        <v xml:space="preserve"> </v>
      </c>
      <c r="V1398" s="161" t="str" cm="1">
        <f t="array" ref="V1398">_xlfn.IFS(O1398="Blaze Shield II",'CALCULO MORTERO'!P1399, O1398="Cafco 400",'CALCULO MORTERO'!Q1399,O1398="Cafco 300",'CALCULO MORTERO'!S1399, AND(OR(O1398="Fire tex 5090", O1398="Fire Tex 5062", O1398="Fire Tex 5120", O1398="Fire Control"),Q1398&gt;0), "CERT.",TRUE,"-")</f>
        <v>-</v>
      </c>
    </row>
    <row r="1399" spans="1:22" x14ac:dyDescent="0.25">
      <c r="A1399" s="168"/>
      <c r="B1399" s="876"/>
      <c r="C1399" s="161"/>
      <c r="D1399" s="161"/>
      <c r="E1399" s="161"/>
      <c r="F1399" s="41"/>
      <c r="G1399" s="161"/>
      <c r="H1399" s="161"/>
      <c r="I1399" s="166"/>
      <c r="J1399" s="162"/>
      <c r="K1399" s="161"/>
      <c r="L1399" s="161"/>
      <c r="M1399" s="169"/>
      <c r="N1399" s="163" t="str">
        <f t="shared" si="25"/>
        <v/>
      </c>
      <c r="O1399" s="41"/>
      <c r="P1399" s="41"/>
      <c r="Q1399" s="161" t="str">
        <f>+IF(OR(O1399="Fire Control",O1399="Fire Tex 5062",O1399="Fire Tex 5090",O1399="Fire Tex 5120"),'CALCULO PINTURA'!P1400," ")</f>
        <v xml:space="preserve"> </v>
      </c>
      <c r="R1399" s="164" t="str">
        <f>+IF(OR(O1399="Fire Control",O1399="Fire Tex 5062",O1399="Fire Tex 5090",O1399="Fire Tex 5120"),'CALCULO PINTURA'!R1400," ")</f>
        <v xml:space="preserve"> </v>
      </c>
      <c r="S1399" s="164" t="str">
        <f>+IF(OR(O1399="Fire Control",O1399="Fire Tex 5062",O1399="Fire Tex 5090",O1399="Fire Tex 5120"),'CALCULO PINTURA'!S1400," ")</f>
        <v xml:space="preserve"> </v>
      </c>
      <c r="T1399" s="874" t="str">
        <f>+IF(OR(O1399="Blaze Shield II",O1399="Cafco 400",O1399="Cafco 300"),'CALCULO MORTERO'!N1405," ")</f>
        <v xml:space="preserve"> </v>
      </c>
      <c r="U1399" s="875" t="str">
        <f>+IF(OR(O1399="Blaze Shield II",O1399="Cafco 400",O1399="Cafco 300"),'CALCULO MORTERO'!O1405," ")</f>
        <v xml:space="preserve"> </v>
      </c>
      <c r="V1399" s="161" t="str" cm="1">
        <f t="array" ref="V1399">_xlfn.IFS(O1399="Blaze Shield II",'CALCULO MORTERO'!P1400, O1399="Cafco 400",'CALCULO MORTERO'!Q1400,O1399="Cafco 300",'CALCULO MORTERO'!S1400, AND(OR(O1399="Fire tex 5090", O1399="Fire Tex 5062", O1399="Fire Tex 5120", O1399="Fire Control"),Q1399&gt;0), "CERT.",TRUE,"-")</f>
        <v>-</v>
      </c>
    </row>
    <row r="1400" spans="1:22" x14ac:dyDescent="0.25">
      <c r="A1400" s="168"/>
      <c r="B1400" s="876"/>
      <c r="C1400" s="161"/>
      <c r="D1400" s="161"/>
      <c r="E1400" s="161"/>
      <c r="F1400" s="161"/>
      <c r="G1400" s="161"/>
      <c r="H1400" s="161"/>
      <c r="I1400" s="166"/>
      <c r="J1400" s="162"/>
      <c r="K1400" s="161"/>
      <c r="L1400" s="161"/>
      <c r="M1400" s="169"/>
      <c r="N1400" s="163" t="str">
        <f t="shared" si="25"/>
        <v/>
      </c>
      <c r="O1400" s="41"/>
      <c r="P1400" s="41"/>
      <c r="Q1400" s="161" t="str">
        <f>+IF(OR(O1400="Fire Control",O1400="Fire Tex 5062",O1400="Fire Tex 5090",O1400="Fire Tex 5120"),'CALCULO PINTURA'!P1401," ")</f>
        <v xml:space="preserve"> </v>
      </c>
      <c r="R1400" s="164" t="str">
        <f>+IF(OR(O1400="Fire Control",O1400="Fire Tex 5062",O1400="Fire Tex 5090",O1400="Fire Tex 5120"),'CALCULO PINTURA'!R1401," ")</f>
        <v xml:space="preserve"> </v>
      </c>
      <c r="S1400" s="164" t="str">
        <f>+IF(OR(O1400="Fire Control",O1400="Fire Tex 5062",O1400="Fire Tex 5090",O1400="Fire Tex 5120"),'CALCULO PINTURA'!S1401," ")</f>
        <v xml:space="preserve"> </v>
      </c>
      <c r="T1400" s="874" t="str">
        <f>+IF(OR(O1400="Blaze Shield II",O1400="Cafco 400",O1400="Cafco 300"),'CALCULO MORTERO'!N1406," ")</f>
        <v xml:space="preserve"> </v>
      </c>
      <c r="U1400" s="875" t="str">
        <f>+IF(OR(O1400="Blaze Shield II",O1400="Cafco 400",O1400="Cafco 300"),'CALCULO MORTERO'!O1406," ")</f>
        <v xml:space="preserve"> </v>
      </c>
      <c r="V1400" s="161" t="str" cm="1">
        <f t="array" ref="V1400">_xlfn.IFS(O1400="Blaze Shield II",'CALCULO MORTERO'!P1401, O1400="Cafco 400",'CALCULO MORTERO'!Q1401,O1400="Cafco 300",'CALCULO MORTERO'!S1401, AND(OR(O1400="Fire tex 5090", O1400="Fire Tex 5062", O1400="Fire Tex 5120", O1400="Fire Control"),Q1400&gt;0), "CERT.",TRUE,"-")</f>
        <v>-</v>
      </c>
    </row>
    <row r="1401" spans="1:22" x14ac:dyDescent="0.25">
      <c r="A1401" s="168"/>
      <c r="B1401" s="876"/>
      <c r="C1401" s="161"/>
      <c r="D1401" s="161"/>
      <c r="E1401" s="161"/>
      <c r="F1401" s="161"/>
      <c r="G1401" s="161"/>
      <c r="H1401" s="161"/>
      <c r="I1401" s="166"/>
      <c r="J1401" s="162"/>
      <c r="K1401" s="161"/>
      <c r="L1401" s="161"/>
      <c r="M1401" s="163"/>
      <c r="N1401" s="163" t="str">
        <f t="shared" si="25"/>
        <v/>
      </c>
      <c r="O1401" s="41"/>
      <c r="P1401" s="41"/>
      <c r="Q1401" s="161" t="str">
        <f>+IF(OR(O1401="Fire Control",O1401="Fire Tex 5062",O1401="Fire Tex 5090",O1401="Fire Tex 5120"),'CALCULO PINTURA'!P1402," ")</f>
        <v xml:space="preserve"> </v>
      </c>
      <c r="R1401" s="164" t="str">
        <f>+IF(OR(O1401="Fire Control",O1401="Fire Tex 5062",O1401="Fire Tex 5090",O1401="Fire Tex 5120"),'CALCULO PINTURA'!R1402," ")</f>
        <v xml:space="preserve"> </v>
      </c>
      <c r="S1401" s="164" t="str">
        <f>+IF(OR(O1401="Fire Control",O1401="Fire Tex 5062",O1401="Fire Tex 5090",O1401="Fire Tex 5120"),'CALCULO PINTURA'!S1402," ")</f>
        <v xml:space="preserve"> </v>
      </c>
      <c r="T1401" s="874" t="str">
        <f>+IF(OR(O1401="Blaze Shield II",O1401="Cafco 400",O1401="Cafco 300"),'CALCULO MORTERO'!N1407," ")</f>
        <v xml:space="preserve"> </v>
      </c>
      <c r="U1401" s="875" t="str">
        <f>+IF(OR(O1401="Blaze Shield II",O1401="Cafco 400",O1401="Cafco 300"),'CALCULO MORTERO'!O1407," ")</f>
        <v xml:space="preserve"> </v>
      </c>
      <c r="V1401" s="161" t="str" cm="1">
        <f t="array" ref="V1401">_xlfn.IFS(O1401="Blaze Shield II",'CALCULO MORTERO'!P1402, O1401="Cafco 400",'CALCULO MORTERO'!Q1402,O1401="Cafco 300",'CALCULO MORTERO'!S1402, AND(OR(O1401="Fire tex 5090", O1401="Fire Tex 5062", O1401="Fire Tex 5120", O1401="Fire Control"),Q1401&gt;0), "CERT.",TRUE,"-")</f>
        <v>-</v>
      </c>
    </row>
    <row r="1402" spans="1:22" x14ac:dyDescent="0.25">
      <c r="A1402" s="168"/>
      <c r="B1402" s="876"/>
      <c r="C1402" s="161"/>
      <c r="D1402" s="161"/>
      <c r="E1402" s="161"/>
      <c r="F1402" s="41"/>
      <c r="G1402" s="161"/>
      <c r="H1402" s="161"/>
      <c r="I1402" s="166"/>
      <c r="J1402" s="162"/>
      <c r="K1402" s="161"/>
      <c r="L1402" s="161"/>
      <c r="M1402" s="169"/>
      <c r="N1402" s="163" t="str">
        <f t="shared" si="25"/>
        <v/>
      </c>
      <c r="O1402" s="41"/>
      <c r="P1402" s="41"/>
      <c r="Q1402" s="161" t="str">
        <f>+IF(OR(O1402="Fire Control",O1402="Fire Tex 5062",O1402="Fire Tex 5090",O1402="Fire Tex 5120"),'CALCULO PINTURA'!P1403," ")</f>
        <v xml:space="preserve"> </v>
      </c>
      <c r="R1402" s="164" t="str">
        <f>+IF(OR(O1402="Fire Control",O1402="Fire Tex 5062",O1402="Fire Tex 5090",O1402="Fire Tex 5120"),'CALCULO PINTURA'!R1403," ")</f>
        <v xml:space="preserve"> </v>
      </c>
      <c r="S1402" s="164" t="str">
        <f>+IF(OR(O1402="Fire Control",O1402="Fire Tex 5062",O1402="Fire Tex 5090",O1402="Fire Tex 5120"),'CALCULO PINTURA'!S1403," ")</f>
        <v xml:space="preserve"> </v>
      </c>
      <c r="T1402" s="874" t="str">
        <f>+IF(OR(O1402="Blaze Shield II",O1402="Cafco 400",O1402="Cafco 300"),'CALCULO MORTERO'!N1408," ")</f>
        <v xml:space="preserve"> </v>
      </c>
      <c r="U1402" s="875" t="str">
        <f>+IF(OR(O1402="Blaze Shield II",O1402="Cafco 400",O1402="Cafco 300"),'CALCULO MORTERO'!O1408," ")</f>
        <v xml:space="preserve"> </v>
      </c>
      <c r="V1402" s="161" t="str" cm="1">
        <f t="array" ref="V1402">_xlfn.IFS(O1402="Blaze Shield II",'CALCULO MORTERO'!P1403, O1402="Cafco 400",'CALCULO MORTERO'!Q1403,O1402="Cafco 300",'CALCULO MORTERO'!S1403, AND(OR(O1402="Fire tex 5090", O1402="Fire Tex 5062", O1402="Fire Tex 5120", O1402="Fire Control"),Q1402&gt;0), "CERT.",TRUE,"-")</f>
        <v>-</v>
      </c>
    </row>
    <row r="1403" spans="1:22" x14ac:dyDescent="0.25">
      <c r="A1403" s="168"/>
      <c r="B1403" s="876"/>
      <c r="C1403" s="161"/>
      <c r="D1403" s="161"/>
      <c r="E1403" s="161"/>
      <c r="F1403" s="41"/>
      <c r="G1403" s="161"/>
      <c r="H1403" s="161"/>
      <c r="I1403" s="166"/>
      <c r="J1403" s="162"/>
      <c r="K1403" s="161"/>
      <c r="L1403" s="161"/>
      <c r="M1403" s="169"/>
      <c r="N1403" s="163" t="str">
        <f t="shared" si="25"/>
        <v/>
      </c>
      <c r="O1403" s="41"/>
      <c r="P1403" s="41"/>
      <c r="Q1403" s="161" t="str">
        <f>+IF(OR(O1403="Fire Control",O1403="Fire Tex 5062",O1403="Fire Tex 5090",O1403="Fire Tex 5120"),'CALCULO PINTURA'!P1404," ")</f>
        <v xml:space="preserve"> </v>
      </c>
      <c r="R1403" s="164" t="str">
        <f>+IF(OR(O1403="Fire Control",O1403="Fire Tex 5062",O1403="Fire Tex 5090",O1403="Fire Tex 5120"),'CALCULO PINTURA'!R1404," ")</f>
        <v xml:space="preserve"> </v>
      </c>
      <c r="S1403" s="164" t="str">
        <f>+IF(OR(O1403="Fire Control",O1403="Fire Tex 5062",O1403="Fire Tex 5090",O1403="Fire Tex 5120"),'CALCULO PINTURA'!S1404," ")</f>
        <v xml:space="preserve"> </v>
      </c>
      <c r="T1403" s="874" t="str">
        <f>+IF(OR(O1403="Blaze Shield II",O1403="Cafco 400",O1403="Cafco 300"),'CALCULO MORTERO'!N1409," ")</f>
        <v xml:space="preserve"> </v>
      </c>
      <c r="U1403" s="875" t="str">
        <f>+IF(OR(O1403="Blaze Shield II",O1403="Cafco 400",O1403="Cafco 300"),'CALCULO MORTERO'!O1409," ")</f>
        <v xml:space="preserve"> </v>
      </c>
      <c r="V1403" s="161" t="str" cm="1">
        <f t="array" ref="V1403">_xlfn.IFS(O1403="Blaze Shield II",'CALCULO MORTERO'!P1404, O1403="Cafco 400",'CALCULO MORTERO'!Q1404,O1403="Cafco 300",'CALCULO MORTERO'!S1404, AND(OR(O1403="Fire tex 5090", O1403="Fire Tex 5062", O1403="Fire Tex 5120", O1403="Fire Control"),Q1403&gt;0), "CERT.",TRUE,"-")</f>
        <v>-</v>
      </c>
    </row>
    <row r="1404" spans="1:22" x14ac:dyDescent="0.25">
      <c r="A1404" s="168"/>
      <c r="B1404" s="876"/>
      <c r="C1404" s="161"/>
      <c r="D1404" s="161"/>
      <c r="E1404" s="161"/>
      <c r="F1404" s="161"/>
      <c r="G1404" s="161"/>
      <c r="H1404" s="161"/>
      <c r="I1404" s="166"/>
      <c r="J1404" s="162"/>
      <c r="K1404" s="161"/>
      <c r="L1404" s="161"/>
      <c r="M1404" s="169"/>
      <c r="N1404" s="163" t="str">
        <f t="shared" si="25"/>
        <v/>
      </c>
      <c r="O1404" s="41"/>
      <c r="P1404" s="41"/>
      <c r="Q1404" s="161" t="str">
        <f>+IF(OR(O1404="Fire Control",O1404="Fire Tex 5062",O1404="Fire Tex 5090",O1404="Fire Tex 5120"),'CALCULO PINTURA'!P1405," ")</f>
        <v xml:space="preserve"> </v>
      </c>
      <c r="R1404" s="164" t="str">
        <f>+IF(OR(O1404="Fire Control",O1404="Fire Tex 5062",O1404="Fire Tex 5090",O1404="Fire Tex 5120"),'CALCULO PINTURA'!R1405," ")</f>
        <v xml:space="preserve"> </v>
      </c>
      <c r="S1404" s="164" t="str">
        <f>+IF(OR(O1404="Fire Control",O1404="Fire Tex 5062",O1404="Fire Tex 5090",O1404="Fire Tex 5120"),'CALCULO PINTURA'!S1405," ")</f>
        <v xml:space="preserve"> </v>
      </c>
      <c r="T1404" s="874" t="str">
        <f>+IF(OR(O1404="Blaze Shield II",O1404="Cafco 400",O1404="Cafco 300"),'CALCULO MORTERO'!N1410," ")</f>
        <v xml:space="preserve"> </v>
      </c>
      <c r="U1404" s="875" t="str">
        <f>+IF(OR(O1404="Blaze Shield II",O1404="Cafco 400",O1404="Cafco 300"),'CALCULO MORTERO'!O1410," ")</f>
        <v xml:space="preserve"> </v>
      </c>
      <c r="V1404" s="161" t="str" cm="1">
        <f t="array" ref="V1404">_xlfn.IFS(O1404="Blaze Shield II",'CALCULO MORTERO'!P1405, O1404="Cafco 400",'CALCULO MORTERO'!Q1405,O1404="Cafco 300",'CALCULO MORTERO'!S1405, AND(OR(O1404="Fire tex 5090", O1404="Fire Tex 5062", O1404="Fire Tex 5120", O1404="Fire Control"),Q1404&gt;0), "CERT.",TRUE,"-")</f>
        <v>-</v>
      </c>
    </row>
    <row r="1405" spans="1:22" x14ac:dyDescent="0.25">
      <c r="A1405" s="168"/>
      <c r="B1405" s="876"/>
      <c r="C1405" s="161"/>
      <c r="D1405" s="161"/>
      <c r="E1405" s="161"/>
      <c r="F1405" s="161"/>
      <c r="G1405" s="161"/>
      <c r="H1405" s="161"/>
      <c r="I1405" s="166"/>
      <c r="J1405" s="162"/>
      <c r="K1405" s="161"/>
      <c r="L1405" s="161"/>
      <c r="M1405" s="163"/>
      <c r="N1405" s="163" t="str">
        <f t="shared" si="25"/>
        <v/>
      </c>
      <c r="O1405" s="41"/>
      <c r="P1405" s="41"/>
      <c r="Q1405" s="161" t="str">
        <f>+IF(OR(O1405="Fire Control",O1405="Fire Tex 5062",O1405="Fire Tex 5090",O1405="Fire Tex 5120"),'CALCULO PINTURA'!P1406," ")</f>
        <v xml:space="preserve"> </v>
      </c>
      <c r="R1405" s="164" t="str">
        <f>+IF(OR(O1405="Fire Control",O1405="Fire Tex 5062",O1405="Fire Tex 5090",O1405="Fire Tex 5120"),'CALCULO PINTURA'!R1406," ")</f>
        <v xml:space="preserve"> </v>
      </c>
      <c r="S1405" s="164" t="str">
        <f>+IF(OR(O1405="Fire Control",O1405="Fire Tex 5062",O1405="Fire Tex 5090",O1405="Fire Tex 5120"),'CALCULO PINTURA'!S1406," ")</f>
        <v xml:space="preserve"> </v>
      </c>
      <c r="T1405" s="874" t="str">
        <f>+IF(OR(O1405="Blaze Shield II",O1405="Cafco 400",O1405="Cafco 300"),'CALCULO MORTERO'!N1411," ")</f>
        <v xml:space="preserve"> </v>
      </c>
      <c r="U1405" s="875" t="str">
        <f>+IF(OR(O1405="Blaze Shield II",O1405="Cafco 400",O1405="Cafco 300"),'CALCULO MORTERO'!O1411," ")</f>
        <v xml:space="preserve"> </v>
      </c>
      <c r="V1405" s="161" t="str" cm="1">
        <f t="array" ref="V1405">_xlfn.IFS(O1405="Blaze Shield II",'CALCULO MORTERO'!P1406, O1405="Cafco 400",'CALCULO MORTERO'!Q1406,O1405="Cafco 300",'CALCULO MORTERO'!S1406, AND(OR(O1405="Fire tex 5090", O1405="Fire Tex 5062", O1405="Fire Tex 5120", O1405="Fire Control"),Q1405&gt;0), "CERT.",TRUE,"-")</f>
        <v>-</v>
      </c>
    </row>
    <row r="1406" spans="1:22" x14ac:dyDescent="0.25">
      <c r="A1406" s="168"/>
      <c r="B1406" s="876"/>
      <c r="C1406" s="161"/>
      <c r="D1406" s="161"/>
      <c r="E1406" s="161"/>
      <c r="F1406" s="161"/>
      <c r="G1406" s="161"/>
      <c r="H1406" s="161"/>
      <c r="I1406" s="166"/>
      <c r="J1406" s="162"/>
      <c r="K1406" s="161"/>
      <c r="L1406" s="161"/>
      <c r="M1406" s="169"/>
      <c r="N1406" s="163" t="str">
        <f t="shared" si="25"/>
        <v/>
      </c>
      <c r="O1406" s="41"/>
      <c r="P1406" s="41"/>
      <c r="Q1406" s="161" t="str">
        <f>+IF(OR(O1406="Fire Control",O1406="Fire Tex 5062",O1406="Fire Tex 5090",O1406="Fire Tex 5120"),'CALCULO PINTURA'!P1407," ")</f>
        <v xml:space="preserve"> </v>
      </c>
      <c r="R1406" s="164" t="str">
        <f>+IF(OR(O1406="Fire Control",O1406="Fire Tex 5062",O1406="Fire Tex 5090",O1406="Fire Tex 5120"),'CALCULO PINTURA'!R1407," ")</f>
        <v xml:space="preserve"> </v>
      </c>
      <c r="S1406" s="164" t="str">
        <f>+IF(OR(O1406="Fire Control",O1406="Fire Tex 5062",O1406="Fire Tex 5090",O1406="Fire Tex 5120"),'CALCULO PINTURA'!S1407," ")</f>
        <v xml:space="preserve"> </v>
      </c>
      <c r="T1406" s="874" t="str">
        <f>+IF(OR(O1406="Blaze Shield II",O1406="Cafco 400",O1406="Cafco 300"),'CALCULO MORTERO'!N1412," ")</f>
        <v xml:space="preserve"> </v>
      </c>
      <c r="U1406" s="875" t="str">
        <f>+IF(OR(O1406="Blaze Shield II",O1406="Cafco 400",O1406="Cafco 300"),'CALCULO MORTERO'!O1412," ")</f>
        <v xml:space="preserve"> </v>
      </c>
      <c r="V1406" s="161" t="str" cm="1">
        <f t="array" ref="V1406">_xlfn.IFS(O1406="Blaze Shield II",'CALCULO MORTERO'!P1407, O1406="Cafco 400",'CALCULO MORTERO'!Q1407,O1406="Cafco 300",'CALCULO MORTERO'!S1407, AND(OR(O1406="Fire tex 5090", O1406="Fire Tex 5062", O1406="Fire Tex 5120", O1406="Fire Control"),Q1406&gt;0), "CERT.",TRUE,"-")</f>
        <v>-</v>
      </c>
    </row>
    <row r="1407" spans="1:22" x14ac:dyDescent="0.25">
      <c r="A1407" s="168"/>
      <c r="B1407" s="876"/>
      <c r="C1407" s="161"/>
      <c r="D1407" s="161"/>
      <c r="E1407" s="161"/>
      <c r="F1407" s="161"/>
      <c r="G1407" s="161"/>
      <c r="H1407" s="161"/>
      <c r="I1407" s="166"/>
      <c r="J1407" s="162"/>
      <c r="K1407" s="161"/>
      <c r="L1407" s="161"/>
      <c r="M1407" s="163"/>
      <c r="N1407" s="163" t="str">
        <f t="shared" si="25"/>
        <v/>
      </c>
      <c r="O1407" s="41"/>
      <c r="P1407" s="41"/>
      <c r="Q1407" s="161" t="str">
        <f>+IF(OR(O1407="Fire Control",O1407="Fire Tex 5062",O1407="Fire Tex 5090",O1407="Fire Tex 5120"),'CALCULO PINTURA'!P1408," ")</f>
        <v xml:space="preserve"> </v>
      </c>
      <c r="R1407" s="164" t="str">
        <f>+IF(OR(O1407="Fire Control",O1407="Fire Tex 5062",O1407="Fire Tex 5090",O1407="Fire Tex 5120"),'CALCULO PINTURA'!R1408," ")</f>
        <v xml:space="preserve"> </v>
      </c>
      <c r="S1407" s="164" t="str">
        <f>+IF(OR(O1407="Fire Control",O1407="Fire Tex 5062",O1407="Fire Tex 5090",O1407="Fire Tex 5120"),'CALCULO PINTURA'!S1408," ")</f>
        <v xml:space="preserve"> </v>
      </c>
      <c r="T1407" s="874" t="str">
        <f>+IF(OR(O1407="Blaze Shield II",O1407="Cafco 400",O1407="Cafco 300"),'CALCULO MORTERO'!N1413," ")</f>
        <v xml:space="preserve"> </v>
      </c>
      <c r="U1407" s="875" t="str">
        <f>+IF(OR(O1407="Blaze Shield II",O1407="Cafco 400",O1407="Cafco 300"),'CALCULO MORTERO'!O1413," ")</f>
        <v xml:space="preserve"> </v>
      </c>
      <c r="V1407" s="161" t="str" cm="1">
        <f t="array" ref="V1407">_xlfn.IFS(O1407="Blaze Shield II",'CALCULO MORTERO'!P1408, O1407="Cafco 400",'CALCULO MORTERO'!Q1408,O1407="Cafco 300",'CALCULO MORTERO'!S1408, AND(OR(O1407="Fire tex 5090", O1407="Fire Tex 5062", O1407="Fire Tex 5120", O1407="Fire Control"),Q1407&gt;0), "CERT.",TRUE,"-")</f>
        <v>-</v>
      </c>
    </row>
    <row r="1408" spans="1:22" x14ac:dyDescent="0.25">
      <c r="A1408" s="168"/>
      <c r="B1408" s="876"/>
      <c r="C1408" s="161"/>
      <c r="D1408" s="161"/>
      <c r="E1408" s="161"/>
      <c r="F1408" s="41"/>
      <c r="G1408" s="161"/>
      <c r="H1408" s="161"/>
      <c r="I1408" s="166"/>
      <c r="J1408" s="162"/>
      <c r="K1408" s="161"/>
      <c r="L1408" s="161"/>
      <c r="M1408" s="169"/>
      <c r="N1408" s="163" t="str">
        <f t="shared" si="25"/>
        <v/>
      </c>
      <c r="O1408" s="41"/>
      <c r="P1408" s="41"/>
      <c r="Q1408" s="161" t="str">
        <f>+IF(OR(O1408="Fire Control",O1408="Fire Tex 5062",O1408="Fire Tex 5090",O1408="Fire Tex 5120"),'CALCULO PINTURA'!P1409," ")</f>
        <v xml:space="preserve"> </v>
      </c>
      <c r="R1408" s="164" t="str">
        <f>+IF(OR(O1408="Fire Control",O1408="Fire Tex 5062",O1408="Fire Tex 5090",O1408="Fire Tex 5120"),'CALCULO PINTURA'!R1409," ")</f>
        <v xml:space="preserve"> </v>
      </c>
      <c r="S1408" s="164" t="str">
        <f>+IF(OR(O1408="Fire Control",O1408="Fire Tex 5062",O1408="Fire Tex 5090",O1408="Fire Tex 5120"),'CALCULO PINTURA'!S1409," ")</f>
        <v xml:space="preserve"> </v>
      </c>
      <c r="T1408" s="874" t="str">
        <f>+IF(OR(O1408="Blaze Shield II",O1408="Cafco 400",O1408="Cafco 300"),'CALCULO MORTERO'!N1414," ")</f>
        <v xml:space="preserve"> </v>
      </c>
      <c r="U1408" s="875" t="str">
        <f>+IF(OR(O1408="Blaze Shield II",O1408="Cafco 400",O1408="Cafco 300"),'CALCULO MORTERO'!O1414," ")</f>
        <v xml:space="preserve"> </v>
      </c>
      <c r="V1408" s="161" t="str" cm="1">
        <f t="array" ref="V1408">_xlfn.IFS(O1408="Blaze Shield II",'CALCULO MORTERO'!P1409, O1408="Cafco 400",'CALCULO MORTERO'!Q1409,O1408="Cafco 300",'CALCULO MORTERO'!S1409, AND(OR(O1408="Fire tex 5090", O1408="Fire Tex 5062", O1408="Fire Tex 5120", O1408="Fire Control"),Q1408&gt;0), "CERT.",TRUE,"-")</f>
        <v>-</v>
      </c>
    </row>
    <row r="1409" spans="1:22" x14ac:dyDescent="0.25">
      <c r="A1409" s="168"/>
      <c r="B1409" s="876"/>
      <c r="C1409" s="161"/>
      <c r="D1409" s="161"/>
      <c r="E1409" s="161"/>
      <c r="F1409" s="41"/>
      <c r="G1409" s="161"/>
      <c r="H1409" s="161"/>
      <c r="I1409" s="166"/>
      <c r="J1409" s="162"/>
      <c r="K1409" s="161"/>
      <c r="L1409" s="161"/>
      <c r="M1409" s="169"/>
      <c r="N1409" s="163" t="str">
        <f t="shared" si="25"/>
        <v/>
      </c>
      <c r="O1409" s="41"/>
      <c r="P1409" s="41"/>
      <c r="Q1409" s="161" t="str">
        <f>+IF(OR(O1409="Fire Control",O1409="Fire Tex 5062",O1409="Fire Tex 5090",O1409="Fire Tex 5120"),'CALCULO PINTURA'!P1410," ")</f>
        <v xml:space="preserve"> </v>
      </c>
      <c r="R1409" s="164" t="str">
        <f>+IF(OR(O1409="Fire Control",O1409="Fire Tex 5062",O1409="Fire Tex 5090",O1409="Fire Tex 5120"),'CALCULO PINTURA'!R1410," ")</f>
        <v xml:space="preserve"> </v>
      </c>
      <c r="S1409" s="164" t="str">
        <f>+IF(OR(O1409="Fire Control",O1409="Fire Tex 5062",O1409="Fire Tex 5090",O1409="Fire Tex 5120"),'CALCULO PINTURA'!S1410," ")</f>
        <v xml:space="preserve"> </v>
      </c>
      <c r="T1409" s="874" t="str">
        <f>+IF(OR(O1409="Blaze Shield II",O1409="Cafco 400",O1409="Cafco 300"),'CALCULO MORTERO'!N1415," ")</f>
        <v xml:space="preserve"> </v>
      </c>
      <c r="U1409" s="875" t="str">
        <f>+IF(OR(O1409="Blaze Shield II",O1409="Cafco 400",O1409="Cafco 300"),'CALCULO MORTERO'!O1415," ")</f>
        <v xml:space="preserve"> </v>
      </c>
      <c r="V1409" s="161" t="str" cm="1">
        <f t="array" ref="V1409">_xlfn.IFS(O1409="Blaze Shield II",'CALCULO MORTERO'!P1410, O1409="Cafco 400",'CALCULO MORTERO'!Q1410,O1409="Cafco 300",'CALCULO MORTERO'!S1410, AND(OR(O1409="Fire tex 5090", O1409="Fire Tex 5062", O1409="Fire Tex 5120", O1409="Fire Control"),Q1409&gt;0), "CERT.",TRUE,"-")</f>
        <v>-</v>
      </c>
    </row>
    <row r="1410" spans="1:22" x14ac:dyDescent="0.25">
      <c r="A1410" s="168"/>
      <c r="B1410" s="876"/>
      <c r="C1410" s="161"/>
      <c r="D1410" s="161"/>
      <c r="E1410" s="161"/>
      <c r="F1410" s="41"/>
      <c r="G1410" s="161"/>
      <c r="H1410" s="161"/>
      <c r="I1410" s="166"/>
      <c r="J1410" s="162"/>
      <c r="K1410" s="161"/>
      <c r="L1410" s="161"/>
      <c r="M1410" s="169"/>
      <c r="N1410" s="163" t="str">
        <f t="shared" si="25"/>
        <v/>
      </c>
      <c r="O1410" s="41"/>
      <c r="P1410" s="41"/>
      <c r="Q1410" s="161" t="str">
        <f>+IF(OR(O1410="Fire Control",O1410="Fire Tex 5062",O1410="Fire Tex 5090",O1410="Fire Tex 5120"),'CALCULO PINTURA'!P1411," ")</f>
        <v xml:space="preserve"> </v>
      </c>
      <c r="R1410" s="164" t="str">
        <f>+IF(OR(O1410="Fire Control",O1410="Fire Tex 5062",O1410="Fire Tex 5090",O1410="Fire Tex 5120"),'CALCULO PINTURA'!R1411," ")</f>
        <v xml:space="preserve"> </v>
      </c>
      <c r="S1410" s="164" t="str">
        <f>+IF(OR(O1410="Fire Control",O1410="Fire Tex 5062",O1410="Fire Tex 5090",O1410="Fire Tex 5120"),'CALCULO PINTURA'!S1411," ")</f>
        <v xml:space="preserve"> </v>
      </c>
      <c r="T1410" s="874" t="str">
        <f>+IF(OR(O1410="Blaze Shield II",O1410="Cafco 400",O1410="Cafco 300"),'CALCULO MORTERO'!N1416," ")</f>
        <v xml:space="preserve"> </v>
      </c>
      <c r="U1410" s="875" t="str">
        <f>+IF(OR(O1410="Blaze Shield II",O1410="Cafco 400",O1410="Cafco 300"),'CALCULO MORTERO'!O1416," ")</f>
        <v xml:space="preserve"> </v>
      </c>
      <c r="V1410" s="161" t="str" cm="1">
        <f t="array" ref="V1410">_xlfn.IFS(O1410="Blaze Shield II",'CALCULO MORTERO'!P1411, O1410="Cafco 400",'CALCULO MORTERO'!Q1411,O1410="Cafco 300",'CALCULO MORTERO'!S1411, AND(OR(O1410="Fire tex 5090", O1410="Fire Tex 5062", O1410="Fire Tex 5120", O1410="Fire Control"),Q1410&gt;0), "CERT.",TRUE,"-")</f>
        <v>-</v>
      </c>
    </row>
    <row r="1411" spans="1:22" x14ac:dyDescent="0.25">
      <c r="A1411" s="168"/>
      <c r="B1411" s="876"/>
      <c r="C1411" s="161"/>
      <c r="D1411" s="161"/>
      <c r="E1411" s="161"/>
      <c r="F1411" s="161"/>
      <c r="G1411" s="161"/>
      <c r="H1411" s="161"/>
      <c r="I1411" s="166"/>
      <c r="J1411" s="162"/>
      <c r="K1411" s="161"/>
      <c r="L1411" s="161"/>
      <c r="M1411" s="163"/>
      <c r="N1411" s="163" t="str">
        <f t="shared" si="25"/>
        <v/>
      </c>
      <c r="O1411" s="41"/>
      <c r="P1411" s="41"/>
      <c r="Q1411" s="161" t="str">
        <f>+IF(OR(O1411="Fire Control",O1411="Fire Tex 5062",O1411="Fire Tex 5090",O1411="Fire Tex 5120"),'CALCULO PINTURA'!P1412," ")</f>
        <v xml:space="preserve"> </v>
      </c>
      <c r="R1411" s="164" t="str">
        <f>+IF(OR(O1411="Fire Control",O1411="Fire Tex 5062",O1411="Fire Tex 5090",O1411="Fire Tex 5120"),'CALCULO PINTURA'!R1412," ")</f>
        <v xml:space="preserve"> </v>
      </c>
      <c r="S1411" s="164" t="str">
        <f>+IF(OR(O1411="Fire Control",O1411="Fire Tex 5062",O1411="Fire Tex 5090",O1411="Fire Tex 5120"),'CALCULO PINTURA'!S1412," ")</f>
        <v xml:space="preserve"> </v>
      </c>
      <c r="T1411" s="874" t="str">
        <f>+IF(OR(O1411="Blaze Shield II",O1411="Cafco 400",O1411="Cafco 300"),'CALCULO MORTERO'!N1417," ")</f>
        <v xml:space="preserve"> </v>
      </c>
      <c r="U1411" s="875" t="str">
        <f>+IF(OR(O1411="Blaze Shield II",O1411="Cafco 400",O1411="Cafco 300"),'CALCULO MORTERO'!O1417," ")</f>
        <v xml:space="preserve"> </v>
      </c>
      <c r="V1411" s="161" t="str" cm="1">
        <f t="array" ref="V1411">_xlfn.IFS(O1411="Blaze Shield II",'CALCULO MORTERO'!P1412, O1411="Cafco 400",'CALCULO MORTERO'!Q1412,O1411="Cafco 300",'CALCULO MORTERO'!S1412, AND(OR(O1411="Fire tex 5090", O1411="Fire Tex 5062", O1411="Fire Tex 5120", O1411="Fire Control"),Q1411&gt;0), "CERT.",TRUE,"-")</f>
        <v>-</v>
      </c>
    </row>
    <row r="1412" spans="1:22" x14ac:dyDescent="0.25">
      <c r="A1412" s="168"/>
      <c r="B1412" s="876"/>
      <c r="C1412" s="161"/>
      <c r="D1412" s="161"/>
      <c r="E1412" s="161"/>
      <c r="F1412" s="161"/>
      <c r="G1412" s="161"/>
      <c r="H1412" s="161"/>
      <c r="I1412" s="166"/>
      <c r="J1412" s="162"/>
      <c r="K1412" s="161"/>
      <c r="L1412" s="161"/>
      <c r="M1412" s="163"/>
      <c r="N1412" s="163" t="str">
        <f t="shared" ref="N1412:N1475" si="26">+IF(F1412="","",(K1412*I1412*H1412*G1412)/1000000)</f>
        <v/>
      </c>
      <c r="O1412" s="41"/>
      <c r="P1412" s="41"/>
      <c r="Q1412" s="161" t="str">
        <f>+IF(OR(O1412="Fire Control",O1412="Fire Tex 5062",O1412="Fire Tex 5090",O1412="Fire Tex 5120"),'CALCULO PINTURA'!P1413," ")</f>
        <v xml:space="preserve"> </v>
      </c>
      <c r="R1412" s="164" t="str">
        <f>+IF(OR(O1412="Fire Control",O1412="Fire Tex 5062",O1412="Fire Tex 5090",O1412="Fire Tex 5120"),'CALCULO PINTURA'!R1413," ")</f>
        <v xml:space="preserve"> </v>
      </c>
      <c r="S1412" s="164" t="str">
        <f>+IF(OR(O1412="Fire Control",O1412="Fire Tex 5062",O1412="Fire Tex 5090",O1412="Fire Tex 5120"),'CALCULO PINTURA'!S1413," ")</f>
        <v xml:space="preserve"> </v>
      </c>
      <c r="T1412" s="874" t="str">
        <f>+IF(OR(O1412="Blaze Shield II",O1412="Cafco 400",O1412="Cafco 300"),'CALCULO MORTERO'!N1418," ")</f>
        <v xml:space="preserve"> </v>
      </c>
      <c r="U1412" s="875" t="str">
        <f>+IF(OR(O1412="Blaze Shield II",O1412="Cafco 400",O1412="Cafco 300"),'CALCULO MORTERO'!O1418," ")</f>
        <v xml:space="preserve"> </v>
      </c>
      <c r="V1412" s="161" t="str" cm="1">
        <f t="array" ref="V1412">_xlfn.IFS(O1412="Blaze Shield II",'CALCULO MORTERO'!P1413, O1412="Cafco 400",'CALCULO MORTERO'!Q1413,O1412="Cafco 300",'CALCULO MORTERO'!S1413, AND(OR(O1412="Fire tex 5090", O1412="Fire Tex 5062", O1412="Fire Tex 5120", O1412="Fire Control"),Q1412&gt;0), "CERT.",TRUE,"-")</f>
        <v>-</v>
      </c>
    </row>
    <row r="1413" spans="1:22" x14ac:dyDescent="0.25">
      <c r="A1413" s="168"/>
      <c r="B1413" s="876"/>
      <c r="C1413" s="161"/>
      <c r="D1413" s="161"/>
      <c r="E1413" s="161"/>
      <c r="F1413" s="161"/>
      <c r="G1413" s="161"/>
      <c r="H1413" s="161"/>
      <c r="I1413" s="166"/>
      <c r="J1413" s="162"/>
      <c r="K1413" s="161"/>
      <c r="L1413" s="161"/>
      <c r="M1413" s="163"/>
      <c r="N1413" s="163" t="str">
        <f t="shared" si="26"/>
        <v/>
      </c>
      <c r="O1413" s="41"/>
      <c r="P1413" s="41"/>
      <c r="Q1413" s="161" t="str">
        <f>+IF(OR(O1413="Fire Control",O1413="Fire Tex 5062",O1413="Fire Tex 5090",O1413="Fire Tex 5120"),'CALCULO PINTURA'!P1414," ")</f>
        <v xml:space="preserve"> </v>
      </c>
      <c r="R1413" s="164" t="str">
        <f>+IF(OR(O1413="Fire Control",O1413="Fire Tex 5062",O1413="Fire Tex 5090",O1413="Fire Tex 5120"),'CALCULO PINTURA'!R1414," ")</f>
        <v xml:space="preserve"> </v>
      </c>
      <c r="S1413" s="164" t="str">
        <f>+IF(OR(O1413="Fire Control",O1413="Fire Tex 5062",O1413="Fire Tex 5090",O1413="Fire Tex 5120"),'CALCULO PINTURA'!S1414," ")</f>
        <v xml:space="preserve"> </v>
      </c>
      <c r="T1413" s="874" t="str">
        <f>+IF(OR(O1413="Blaze Shield II",O1413="Cafco 400",O1413="Cafco 300"),'CALCULO MORTERO'!N1419," ")</f>
        <v xml:space="preserve"> </v>
      </c>
      <c r="U1413" s="875" t="str">
        <f>+IF(OR(O1413="Blaze Shield II",O1413="Cafco 400",O1413="Cafco 300"),'CALCULO MORTERO'!O1419," ")</f>
        <v xml:space="preserve"> </v>
      </c>
      <c r="V1413" s="161" t="str" cm="1">
        <f t="array" ref="V1413">_xlfn.IFS(O1413="Blaze Shield II",'CALCULO MORTERO'!P1414, O1413="Cafco 400",'CALCULO MORTERO'!Q1414,O1413="Cafco 300",'CALCULO MORTERO'!S1414, AND(OR(O1413="Fire tex 5090", O1413="Fire Tex 5062", O1413="Fire Tex 5120", O1413="Fire Control"),Q1413&gt;0), "CERT.",TRUE,"-")</f>
        <v>-</v>
      </c>
    </row>
    <row r="1414" spans="1:22" x14ac:dyDescent="0.25">
      <c r="A1414" s="168"/>
      <c r="B1414" s="876"/>
      <c r="C1414" s="161"/>
      <c r="D1414" s="161"/>
      <c r="E1414" s="161"/>
      <c r="F1414" s="161"/>
      <c r="G1414" s="161"/>
      <c r="H1414" s="161"/>
      <c r="I1414" s="166"/>
      <c r="J1414" s="162"/>
      <c r="K1414" s="161"/>
      <c r="L1414" s="161"/>
      <c r="M1414" s="169"/>
      <c r="N1414" s="163" t="str">
        <f t="shared" si="26"/>
        <v/>
      </c>
      <c r="O1414" s="41"/>
      <c r="P1414" s="41"/>
      <c r="Q1414" s="161" t="str">
        <f>+IF(OR(O1414="Fire Control",O1414="Fire Tex 5062",O1414="Fire Tex 5090",O1414="Fire Tex 5120"),'CALCULO PINTURA'!P1415," ")</f>
        <v xml:space="preserve"> </v>
      </c>
      <c r="R1414" s="164" t="str">
        <f>+IF(OR(O1414="Fire Control",O1414="Fire Tex 5062",O1414="Fire Tex 5090",O1414="Fire Tex 5120"),'CALCULO PINTURA'!R1415," ")</f>
        <v xml:space="preserve"> </v>
      </c>
      <c r="S1414" s="164" t="str">
        <f>+IF(OR(O1414="Fire Control",O1414="Fire Tex 5062",O1414="Fire Tex 5090",O1414="Fire Tex 5120"),'CALCULO PINTURA'!S1415," ")</f>
        <v xml:space="preserve"> </v>
      </c>
      <c r="T1414" s="874" t="str">
        <f>+IF(OR(O1414="Blaze Shield II",O1414="Cafco 400",O1414="Cafco 300"),'CALCULO MORTERO'!N1420," ")</f>
        <v xml:space="preserve"> </v>
      </c>
      <c r="U1414" s="875" t="str">
        <f>+IF(OR(O1414="Blaze Shield II",O1414="Cafco 400",O1414="Cafco 300"),'CALCULO MORTERO'!O1420," ")</f>
        <v xml:space="preserve"> </v>
      </c>
      <c r="V1414" s="161" t="str" cm="1">
        <f t="array" ref="V1414">_xlfn.IFS(O1414="Blaze Shield II",'CALCULO MORTERO'!P1415, O1414="Cafco 400",'CALCULO MORTERO'!Q1415,O1414="Cafco 300",'CALCULO MORTERO'!S1415, AND(OR(O1414="Fire tex 5090", O1414="Fire Tex 5062", O1414="Fire Tex 5120", O1414="Fire Control"),Q1414&gt;0), "CERT.",TRUE,"-")</f>
        <v>-</v>
      </c>
    </row>
    <row r="1415" spans="1:22" x14ac:dyDescent="0.25">
      <c r="A1415" s="168"/>
      <c r="B1415" s="876"/>
      <c r="C1415" s="161"/>
      <c r="D1415" s="161"/>
      <c r="E1415" s="161"/>
      <c r="F1415" s="161"/>
      <c r="G1415" s="161"/>
      <c r="H1415" s="161"/>
      <c r="I1415" s="166"/>
      <c r="J1415" s="162"/>
      <c r="K1415" s="161"/>
      <c r="L1415" s="161"/>
      <c r="M1415" s="163"/>
      <c r="N1415" s="163" t="str">
        <f t="shared" si="26"/>
        <v/>
      </c>
      <c r="O1415" s="41"/>
      <c r="P1415" s="41"/>
      <c r="Q1415" s="161" t="str">
        <f>+IF(OR(O1415="Fire Control",O1415="Fire Tex 5062",O1415="Fire Tex 5090",O1415="Fire Tex 5120"),'CALCULO PINTURA'!P1416," ")</f>
        <v xml:space="preserve"> </v>
      </c>
      <c r="R1415" s="164" t="str">
        <f>+IF(OR(O1415="Fire Control",O1415="Fire Tex 5062",O1415="Fire Tex 5090",O1415="Fire Tex 5120"),'CALCULO PINTURA'!R1416," ")</f>
        <v xml:space="preserve"> </v>
      </c>
      <c r="S1415" s="164" t="str">
        <f>+IF(OR(O1415="Fire Control",O1415="Fire Tex 5062",O1415="Fire Tex 5090",O1415="Fire Tex 5120"),'CALCULO PINTURA'!S1416," ")</f>
        <v xml:space="preserve"> </v>
      </c>
      <c r="T1415" s="874" t="str">
        <f>+IF(OR(O1415="Blaze Shield II",O1415="Cafco 400",O1415="Cafco 300"),'CALCULO MORTERO'!N1421," ")</f>
        <v xml:space="preserve"> </v>
      </c>
      <c r="U1415" s="875" t="str">
        <f>+IF(OR(O1415="Blaze Shield II",O1415="Cafco 400",O1415="Cafco 300"),'CALCULO MORTERO'!O1421," ")</f>
        <v xml:space="preserve"> </v>
      </c>
      <c r="V1415" s="161" t="str" cm="1">
        <f t="array" ref="V1415">_xlfn.IFS(O1415="Blaze Shield II",'CALCULO MORTERO'!P1416, O1415="Cafco 400",'CALCULO MORTERO'!Q1416,O1415="Cafco 300",'CALCULO MORTERO'!S1416, AND(OR(O1415="Fire tex 5090", O1415="Fire Tex 5062", O1415="Fire Tex 5120", O1415="Fire Control"),Q1415&gt;0), "CERT.",TRUE,"-")</f>
        <v>-</v>
      </c>
    </row>
    <row r="1416" spans="1:22" x14ac:dyDescent="0.25">
      <c r="A1416" s="168"/>
      <c r="B1416" s="876"/>
      <c r="C1416" s="161"/>
      <c r="D1416" s="161"/>
      <c r="E1416" s="161"/>
      <c r="F1416" s="161"/>
      <c r="G1416" s="161"/>
      <c r="H1416" s="161"/>
      <c r="I1416" s="166"/>
      <c r="J1416" s="162"/>
      <c r="K1416" s="161"/>
      <c r="L1416" s="161"/>
      <c r="M1416" s="163"/>
      <c r="N1416" s="163" t="str">
        <f t="shared" si="26"/>
        <v/>
      </c>
      <c r="O1416" s="41"/>
      <c r="P1416" s="41"/>
      <c r="Q1416" s="161" t="str">
        <f>+IF(OR(O1416="Fire Control",O1416="Fire Tex 5062",O1416="Fire Tex 5090",O1416="Fire Tex 5120"),'CALCULO PINTURA'!P1417," ")</f>
        <v xml:space="preserve"> </v>
      </c>
      <c r="R1416" s="164" t="str">
        <f>+IF(OR(O1416="Fire Control",O1416="Fire Tex 5062",O1416="Fire Tex 5090",O1416="Fire Tex 5120"),'CALCULO PINTURA'!R1417," ")</f>
        <v xml:space="preserve"> </v>
      </c>
      <c r="S1416" s="164" t="str">
        <f>+IF(OR(O1416="Fire Control",O1416="Fire Tex 5062",O1416="Fire Tex 5090",O1416="Fire Tex 5120"),'CALCULO PINTURA'!S1417," ")</f>
        <v xml:space="preserve"> </v>
      </c>
      <c r="T1416" s="874" t="str">
        <f>+IF(OR(O1416="Blaze Shield II",O1416="Cafco 400",O1416="Cafco 300"),'CALCULO MORTERO'!N1422," ")</f>
        <v xml:space="preserve"> </v>
      </c>
      <c r="U1416" s="875" t="str">
        <f>+IF(OR(O1416="Blaze Shield II",O1416="Cafco 400",O1416="Cafco 300"),'CALCULO MORTERO'!O1422," ")</f>
        <v xml:space="preserve"> </v>
      </c>
      <c r="V1416" s="161" t="str" cm="1">
        <f t="array" ref="V1416">_xlfn.IFS(O1416="Blaze Shield II",'CALCULO MORTERO'!P1417, O1416="Cafco 400",'CALCULO MORTERO'!Q1417,O1416="Cafco 300",'CALCULO MORTERO'!S1417, AND(OR(O1416="Fire tex 5090", O1416="Fire Tex 5062", O1416="Fire Tex 5120", O1416="Fire Control"),Q1416&gt;0), "CERT.",TRUE,"-")</f>
        <v>-</v>
      </c>
    </row>
    <row r="1417" spans="1:22" x14ac:dyDescent="0.25">
      <c r="A1417" s="168"/>
      <c r="B1417" s="876"/>
      <c r="C1417" s="161"/>
      <c r="D1417" s="161"/>
      <c r="E1417" s="161"/>
      <c r="F1417" s="161"/>
      <c r="G1417" s="161"/>
      <c r="H1417" s="161"/>
      <c r="I1417" s="166"/>
      <c r="J1417" s="162"/>
      <c r="K1417" s="161"/>
      <c r="L1417" s="161"/>
      <c r="M1417" s="163"/>
      <c r="N1417" s="163" t="str">
        <f t="shared" si="26"/>
        <v/>
      </c>
      <c r="O1417" s="41"/>
      <c r="P1417" s="41"/>
      <c r="Q1417" s="161" t="str">
        <f>+IF(OR(O1417="Fire Control",O1417="Fire Tex 5062",O1417="Fire Tex 5090",O1417="Fire Tex 5120"),'CALCULO PINTURA'!P1418," ")</f>
        <v xml:space="preserve"> </v>
      </c>
      <c r="R1417" s="164" t="str">
        <f>+IF(OR(O1417="Fire Control",O1417="Fire Tex 5062",O1417="Fire Tex 5090",O1417="Fire Tex 5120"),'CALCULO PINTURA'!R1418," ")</f>
        <v xml:space="preserve"> </v>
      </c>
      <c r="S1417" s="164" t="str">
        <f>+IF(OR(O1417="Fire Control",O1417="Fire Tex 5062",O1417="Fire Tex 5090",O1417="Fire Tex 5120"),'CALCULO PINTURA'!S1418," ")</f>
        <v xml:space="preserve"> </v>
      </c>
      <c r="T1417" s="874" t="str">
        <f>+IF(OR(O1417="Blaze Shield II",O1417="Cafco 400",O1417="Cafco 300"),'CALCULO MORTERO'!N1423," ")</f>
        <v xml:space="preserve"> </v>
      </c>
      <c r="U1417" s="875" t="str">
        <f>+IF(OR(O1417="Blaze Shield II",O1417="Cafco 400",O1417="Cafco 300"),'CALCULO MORTERO'!O1423," ")</f>
        <v xml:space="preserve"> </v>
      </c>
      <c r="V1417" s="161" t="str" cm="1">
        <f t="array" ref="V1417">_xlfn.IFS(O1417="Blaze Shield II",'CALCULO MORTERO'!P1418, O1417="Cafco 400",'CALCULO MORTERO'!Q1418,O1417="Cafco 300",'CALCULO MORTERO'!S1418, AND(OR(O1417="Fire tex 5090", O1417="Fire Tex 5062", O1417="Fire Tex 5120", O1417="Fire Control"),Q1417&gt;0), "CERT.",TRUE,"-")</f>
        <v>-</v>
      </c>
    </row>
    <row r="1418" spans="1:22" x14ac:dyDescent="0.25">
      <c r="A1418" s="168"/>
      <c r="B1418" s="876"/>
      <c r="C1418" s="161"/>
      <c r="D1418" s="161"/>
      <c r="E1418" s="161"/>
      <c r="F1418" s="41"/>
      <c r="G1418" s="161"/>
      <c r="H1418" s="161"/>
      <c r="I1418" s="166"/>
      <c r="J1418" s="162"/>
      <c r="K1418" s="161"/>
      <c r="L1418" s="161"/>
      <c r="M1418" s="169"/>
      <c r="N1418" s="163" t="str">
        <f t="shared" si="26"/>
        <v/>
      </c>
      <c r="O1418" s="41"/>
      <c r="P1418" s="41"/>
      <c r="Q1418" s="161" t="str">
        <f>+IF(OR(O1418="Fire Control",O1418="Fire Tex 5062",O1418="Fire Tex 5090",O1418="Fire Tex 5120"),'CALCULO PINTURA'!P1419," ")</f>
        <v xml:space="preserve"> </v>
      </c>
      <c r="R1418" s="164" t="str">
        <f>+IF(OR(O1418="Fire Control",O1418="Fire Tex 5062",O1418="Fire Tex 5090",O1418="Fire Tex 5120"),'CALCULO PINTURA'!R1419," ")</f>
        <v xml:space="preserve"> </v>
      </c>
      <c r="S1418" s="164" t="str">
        <f>+IF(OR(O1418="Fire Control",O1418="Fire Tex 5062",O1418="Fire Tex 5090",O1418="Fire Tex 5120"),'CALCULO PINTURA'!S1419," ")</f>
        <v xml:space="preserve"> </v>
      </c>
      <c r="T1418" s="874" t="str">
        <f>+IF(OR(O1418="Blaze Shield II",O1418="Cafco 400",O1418="Cafco 300"),'CALCULO MORTERO'!N1424," ")</f>
        <v xml:space="preserve"> </v>
      </c>
      <c r="U1418" s="875" t="str">
        <f>+IF(OR(O1418="Blaze Shield II",O1418="Cafco 400",O1418="Cafco 300"),'CALCULO MORTERO'!O1424," ")</f>
        <v xml:space="preserve"> </v>
      </c>
      <c r="V1418" s="161" t="str" cm="1">
        <f t="array" ref="V1418">_xlfn.IFS(O1418="Blaze Shield II",'CALCULO MORTERO'!P1419, O1418="Cafco 400",'CALCULO MORTERO'!Q1419,O1418="Cafco 300",'CALCULO MORTERO'!S1419, AND(OR(O1418="Fire tex 5090", O1418="Fire Tex 5062", O1418="Fire Tex 5120", O1418="Fire Control"),Q1418&gt;0), "CERT.",TRUE,"-")</f>
        <v>-</v>
      </c>
    </row>
    <row r="1419" spans="1:22" x14ac:dyDescent="0.25">
      <c r="A1419" s="168"/>
      <c r="B1419" s="876"/>
      <c r="C1419" s="161"/>
      <c r="D1419" s="161"/>
      <c r="E1419" s="161"/>
      <c r="F1419" s="41"/>
      <c r="G1419" s="161"/>
      <c r="H1419" s="161"/>
      <c r="I1419" s="166"/>
      <c r="J1419" s="162"/>
      <c r="K1419" s="161"/>
      <c r="L1419" s="161"/>
      <c r="M1419" s="169"/>
      <c r="N1419" s="163" t="str">
        <f t="shared" si="26"/>
        <v/>
      </c>
      <c r="O1419" s="41"/>
      <c r="P1419" s="41"/>
      <c r="Q1419" s="161" t="str">
        <f>+IF(OR(O1419="Fire Control",O1419="Fire Tex 5062",O1419="Fire Tex 5090",O1419="Fire Tex 5120"),'CALCULO PINTURA'!P1420," ")</f>
        <v xml:space="preserve"> </v>
      </c>
      <c r="R1419" s="164" t="str">
        <f>+IF(OR(O1419="Fire Control",O1419="Fire Tex 5062",O1419="Fire Tex 5090",O1419="Fire Tex 5120"),'CALCULO PINTURA'!R1420," ")</f>
        <v xml:space="preserve"> </v>
      </c>
      <c r="S1419" s="164" t="str">
        <f>+IF(OR(O1419="Fire Control",O1419="Fire Tex 5062",O1419="Fire Tex 5090",O1419="Fire Tex 5120"),'CALCULO PINTURA'!S1420," ")</f>
        <v xml:space="preserve"> </v>
      </c>
      <c r="T1419" s="874" t="str">
        <f>+IF(OR(O1419="Blaze Shield II",O1419="Cafco 400",O1419="Cafco 300"),'CALCULO MORTERO'!N1425," ")</f>
        <v xml:space="preserve"> </v>
      </c>
      <c r="U1419" s="875" t="str">
        <f>+IF(OR(O1419="Blaze Shield II",O1419="Cafco 400",O1419="Cafco 300"),'CALCULO MORTERO'!O1425," ")</f>
        <v xml:space="preserve"> </v>
      </c>
      <c r="V1419" s="161" t="str" cm="1">
        <f t="array" ref="V1419">_xlfn.IFS(O1419="Blaze Shield II",'CALCULO MORTERO'!P1420, O1419="Cafco 400",'CALCULO MORTERO'!Q1420,O1419="Cafco 300",'CALCULO MORTERO'!S1420, AND(OR(O1419="Fire tex 5090", O1419="Fire Tex 5062", O1419="Fire Tex 5120", O1419="Fire Control"),Q1419&gt;0), "CERT.",TRUE,"-")</f>
        <v>-</v>
      </c>
    </row>
    <row r="1420" spans="1:22" x14ac:dyDescent="0.25">
      <c r="A1420" s="168"/>
      <c r="B1420" s="876"/>
      <c r="C1420" s="161"/>
      <c r="D1420" s="161"/>
      <c r="E1420" s="161"/>
      <c r="F1420" s="41"/>
      <c r="G1420" s="161"/>
      <c r="H1420" s="161"/>
      <c r="I1420" s="166"/>
      <c r="J1420" s="162"/>
      <c r="K1420" s="161"/>
      <c r="L1420" s="161"/>
      <c r="M1420" s="169"/>
      <c r="N1420" s="163" t="str">
        <f t="shared" si="26"/>
        <v/>
      </c>
      <c r="O1420" s="41"/>
      <c r="P1420" s="41"/>
      <c r="Q1420" s="161" t="str">
        <f>+IF(OR(O1420="Fire Control",O1420="Fire Tex 5062",O1420="Fire Tex 5090",O1420="Fire Tex 5120"),'CALCULO PINTURA'!P1421," ")</f>
        <v xml:space="preserve"> </v>
      </c>
      <c r="R1420" s="164" t="str">
        <f>+IF(OR(O1420="Fire Control",O1420="Fire Tex 5062",O1420="Fire Tex 5090",O1420="Fire Tex 5120"),'CALCULO PINTURA'!R1421," ")</f>
        <v xml:space="preserve"> </v>
      </c>
      <c r="S1420" s="164" t="str">
        <f>+IF(OR(O1420="Fire Control",O1420="Fire Tex 5062",O1420="Fire Tex 5090",O1420="Fire Tex 5120"),'CALCULO PINTURA'!S1421," ")</f>
        <v xml:space="preserve"> </v>
      </c>
      <c r="T1420" s="874" t="str">
        <f>+IF(OR(O1420="Blaze Shield II",O1420="Cafco 400",O1420="Cafco 300"),'CALCULO MORTERO'!N1426," ")</f>
        <v xml:space="preserve"> </v>
      </c>
      <c r="U1420" s="875" t="str">
        <f>+IF(OR(O1420="Blaze Shield II",O1420="Cafco 400",O1420="Cafco 300"),'CALCULO MORTERO'!O1426," ")</f>
        <v xml:space="preserve"> </v>
      </c>
      <c r="V1420" s="161" t="str" cm="1">
        <f t="array" ref="V1420">_xlfn.IFS(O1420="Blaze Shield II",'CALCULO MORTERO'!P1421, O1420="Cafco 400",'CALCULO MORTERO'!Q1421,O1420="Cafco 300",'CALCULO MORTERO'!S1421, AND(OR(O1420="Fire tex 5090", O1420="Fire Tex 5062", O1420="Fire Tex 5120", O1420="Fire Control"),Q1420&gt;0), "CERT.",TRUE,"-")</f>
        <v>-</v>
      </c>
    </row>
    <row r="1421" spans="1:22" x14ac:dyDescent="0.25">
      <c r="A1421" s="168"/>
      <c r="B1421" s="876"/>
      <c r="C1421" s="161"/>
      <c r="D1421" s="161"/>
      <c r="E1421" s="161"/>
      <c r="F1421" s="41"/>
      <c r="G1421" s="161"/>
      <c r="H1421" s="161"/>
      <c r="I1421" s="166"/>
      <c r="J1421" s="162"/>
      <c r="K1421" s="161"/>
      <c r="L1421" s="161"/>
      <c r="M1421" s="169"/>
      <c r="N1421" s="163" t="str">
        <f t="shared" si="26"/>
        <v/>
      </c>
      <c r="O1421" s="41"/>
      <c r="P1421" s="41"/>
      <c r="Q1421" s="161" t="str">
        <f>+IF(OR(O1421="Fire Control",O1421="Fire Tex 5062",O1421="Fire Tex 5090",O1421="Fire Tex 5120"),'CALCULO PINTURA'!P1422," ")</f>
        <v xml:space="preserve"> </v>
      </c>
      <c r="R1421" s="164" t="str">
        <f>+IF(OR(O1421="Fire Control",O1421="Fire Tex 5062",O1421="Fire Tex 5090",O1421="Fire Tex 5120"),'CALCULO PINTURA'!R1422," ")</f>
        <v xml:space="preserve"> </v>
      </c>
      <c r="S1421" s="164" t="str">
        <f>+IF(OR(O1421="Fire Control",O1421="Fire Tex 5062",O1421="Fire Tex 5090",O1421="Fire Tex 5120"),'CALCULO PINTURA'!S1422," ")</f>
        <v xml:space="preserve"> </v>
      </c>
      <c r="T1421" s="874" t="str">
        <f>+IF(OR(O1421="Blaze Shield II",O1421="Cafco 400",O1421="Cafco 300"),'CALCULO MORTERO'!N1427," ")</f>
        <v xml:space="preserve"> </v>
      </c>
      <c r="U1421" s="875" t="str">
        <f>+IF(OR(O1421="Blaze Shield II",O1421="Cafco 400",O1421="Cafco 300"),'CALCULO MORTERO'!O1427," ")</f>
        <v xml:space="preserve"> </v>
      </c>
      <c r="V1421" s="161" t="str" cm="1">
        <f t="array" ref="V1421">_xlfn.IFS(O1421="Blaze Shield II",'CALCULO MORTERO'!P1422, O1421="Cafco 400",'CALCULO MORTERO'!Q1422,O1421="Cafco 300",'CALCULO MORTERO'!S1422, AND(OR(O1421="Fire tex 5090", O1421="Fire Tex 5062", O1421="Fire Tex 5120", O1421="Fire Control"),Q1421&gt;0), "CERT.",TRUE,"-")</f>
        <v>-</v>
      </c>
    </row>
    <row r="1422" spans="1:22" x14ac:dyDescent="0.25">
      <c r="A1422" s="168"/>
      <c r="B1422" s="876"/>
      <c r="C1422" s="161"/>
      <c r="D1422" s="161"/>
      <c r="E1422" s="161"/>
      <c r="F1422" s="41"/>
      <c r="G1422" s="161"/>
      <c r="H1422" s="161"/>
      <c r="I1422" s="166"/>
      <c r="J1422" s="162"/>
      <c r="K1422" s="162"/>
      <c r="L1422" s="161"/>
      <c r="M1422" s="169"/>
      <c r="N1422" s="163" t="str">
        <f t="shared" si="26"/>
        <v/>
      </c>
      <c r="O1422" s="41"/>
      <c r="P1422" s="41"/>
      <c r="Q1422" s="161" t="str">
        <f>+IF(OR(O1422="Fire Control",O1422="Fire Tex 5062",O1422="Fire Tex 5090",O1422="Fire Tex 5120"),'CALCULO PINTURA'!P1423," ")</f>
        <v xml:space="preserve"> </v>
      </c>
      <c r="R1422" s="164" t="str">
        <f>+IF(OR(O1422="Fire Control",O1422="Fire Tex 5062",O1422="Fire Tex 5090",O1422="Fire Tex 5120"),'CALCULO PINTURA'!R1423," ")</f>
        <v xml:space="preserve"> </v>
      </c>
      <c r="S1422" s="164" t="str">
        <f>+IF(OR(O1422="Fire Control",O1422="Fire Tex 5062",O1422="Fire Tex 5090",O1422="Fire Tex 5120"),'CALCULO PINTURA'!S1423," ")</f>
        <v xml:space="preserve"> </v>
      </c>
      <c r="T1422" s="874" t="str">
        <f>+IF(OR(O1422="Blaze Shield II",O1422="Cafco 400",O1422="Cafco 300"),'CALCULO MORTERO'!N1428," ")</f>
        <v xml:space="preserve"> </v>
      </c>
      <c r="U1422" s="875" t="str">
        <f>+IF(OR(O1422="Blaze Shield II",O1422="Cafco 400",O1422="Cafco 300"),'CALCULO MORTERO'!O1428," ")</f>
        <v xml:space="preserve"> </v>
      </c>
      <c r="V1422" s="161" t="str" cm="1">
        <f t="array" ref="V1422">_xlfn.IFS(O1422="Blaze Shield II",'CALCULO MORTERO'!P1423, O1422="Cafco 400",'CALCULO MORTERO'!Q1423,O1422="Cafco 300",'CALCULO MORTERO'!S1423, AND(OR(O1422="Fire tex 5090", O1422="Fire Tex 5062", O1422="Fire Tex 5120", O1422="Fire Control"),Q1422&gt;0), "CERT.",TRUE,"-")</f>
        <v>-</v>
      </c>
    </row>
    <row r="1423" spans="1:22" x14ac:dyDescent="0.25">
      <c r="A1423" s="168"/>
      <c r="B1423" s="876"/>
      <c r="C1423" s="161"/>
      <c r="D1423" s="161"/>
      <c r="E1423" s="161"/>
      <c r="F1423" s="41"/>
      <c r="G1423" s="161"/>
      <c r="H1423" s="161"/>
      <c r="I1423" s="166"/>
      <c r="J1423" s="162"/>
      <c r="K1423" s="161"/>
      <c r="L1423" s="161"/>
      <c r="M1423" s="163"/>
      <c r="N1423" s="163" t="str">
        <f t="shared" si="26"/>
        <v/>
      </c>
      <c r="O1423" s="41"/>
      <c r="P1423" s="41"/>
      <c r="Q1423" s="161" t="str">
        <f>+IF(OR(O1423="Fire Control",O1423="Fire Tex 5062",O1423="Fire Tex 5090",O1423="Fire Tex 5120"),'CALCULO PINTURA'!P1424," ")</f>
        <v xml:space="preserve"> </v>
      </c>
      <c r="R1423" s="164" t="str">
        <f>+IF(OR(O1423="Fire Control",O1423="Fire Tex 5062",O1423="Fire Tex 5090",O1423="Fire Tex 5120"),'CALCULO PINTURA'!R1424," ")</f>
        <v xml:space="preserve"> </v>
      </c>
      <c r="S1423" s="164" t="str">
        <f>+IF(OR(O1423="Fire Control",O1423="Fire Tex 5062",O1423="Fire Tex 5090",O1423="Fire Tex 5120"),'CALCULO PINTURA'!S1424," ")</f>
        <v xml:space="preserve"> </v>
      </c>
      <c r="T1423" s="874" t="str">
        <f>+IF(OR(O1423="Blaze Shield II",O1423="Cafco 400",O1423="Cafco 300"),'CALCULO MORTERO'!N1429," ")</f>
        <v xml:space="preserve"> </v>
      </c>
      <c r="U1423" s="875" t="str">
        <f>+IF(OR(O1423="Blaze Shield II",O1423="Cafco 400",O1423="Cafco 300"),'CALCULO MORTERO'!O1429," ")</f>
        <v xml:space="preserve"> </v>
      </c>
      <c r="V1423" s="161" t="str" cm="1">
        <f t="array" ref="V1423">_xlfn.IFS(O1423="Blaze Shield II",'CALCULO MORTERO'!P1424, O1423="Cafco 400",'CALCULO MORTERO'!Q1424,O1423="Cafco 300",'CALCULO MORTERO'!S1424, AND(OR(O1423="Fire tex 5090", O1423="Fire Tex 5062", O1423="Fire Tex 5120", O1423="Fire Control"),Q1423&gt;0), "CERT.",TRUE,"-")</f>
        <v>-</v>
      </c>
    </row>
    <row r="1424" spans="1:22" x14ac:dyDescent="0.25">
      <c r="A1424" s="168"/>
      <c r="B1424" s="876"/>
      <c r="C1424" s="161"/>
      <c r="D1424" s="161"/>
      <c r="E1424" s="161"/>
      <c r="F1424" s="161"/>
      <c r="G1424" s="161"/>
      <c r="H1424" s="161"/>
      <c r="I1424" s="166"/>
      <c r="J1424" s="162"/>
      <c r="K1424" s="161"/>
      <c r="L1424" s="161"/>
      <c r="M1424" s="163"/>
      <c r="N1424" s="163" t="str">
        <f t="shared" si="26"/>
        <v/>
      </c>
      <c r="O1424" s="41"/>
      <c r="P1424" s="41"/>
      <c r="Q1424" s="161" t="str">
        <f>+IF(OR(O1424="Fire Control",O1424="Fire Tex 5062",O1424="Fire Tex 5090",O1424="Fire Tex 5120"),'CALCULO PINTURA'!P1425," ")</f>
        <v xml:space="preserve"> </v>
      </c>
      <c r="R1424" s="164" t="str">
        <f>+IF(OR(O1424="Fire Control",O1424="Fire Tex 5062",O1424="Fire Tex 5090",O1424="Fire Tex 5120"),'CALCULO PINTURA'!R1425," ")</f>
        <v xml:space="preserve"> </v>
      </c>
      <c r="S1424" s="164" t="str">
        <f>+IF(OR(O1424="Fire Control",O1424="Fire Tex 5062",O1424="Fire Tex 5090",O1424="Fire Tex 5120"),'CALCULO PINTURA'!S1425," ")</f>
        <v xml:space="preserve"> </v>
      </c>
      <c r="T1424" s="874" t="str">
        <f>+IF(OR(O1424="Blaze Shield II",O1424="Cafco 400",O1424="Cafco 300"),'CALCULO MORTERO'!N1430," ")</f>
        <v xml:space="preserve"> </v>
      </c>
      <c r="U1424" s="875" t="str">
        <f>+IF(OR(O1424="Blaze Shield II",O1424="Cafco 400",O1424="Cafco 300"),'CALCULO MORTERO'!O1430," ")</f>
        <v xml:space="preserve"> </v>
      </c>
      <c r="V1424" s="161" t="str" cm="1">
        <f t="array" ref="V1424">_xlfn.IFS(O1424="Blaze Shield II",'CALCULO MORTERO'!P1425, O1424="Cafco 400",'CALCULO MORTERO'!Q1425,O1424="Cafco 300",'CALCULO MORTERO'!S1425, AND(OR(O1424="Fire tex 5090", O1424="Fire Tex 5062", O1424="Fire Tex 5120", O1424="Fire Control"),Q1424&gt;0), "CERT.",TRUE,"-")</f>
        <v>-</v>
      </c>
    </row>
    <row r="1425" spans="1:22" x14ac:dyDescent="0.25">
      <c r="A1425" s="168"/>
      <c r="B1425" s="876"/>
      <c r="C1425" s="161"/>
      <c r="D1425" s="161"/>
      <c r="E1425" s="161"/>
      <c r="F1425" s="161"/>
      <c r="G1425" s="161"/>
      <c r="H1425" s="161"/>
      <c r="I1425" s="166"/>
      <c r="J1425" s="162"/>
      <c r="K1425" s="161"/>
      <c r="L1425" s="161"/>
      <c r="M1425" s="163"/>
      <c r="N1425" s="163" t="str">
        <f t="shared" si="26"/>
        <v/>
      </c>
      <c r="O1425" s="41"/>
      <c r="P1425" s="41"/>
      <c r="Q1425" s="161" t="str">
        <f>+IF(OR(O1425="Fire Control",O1425="Fire Tex 5062",O1425="Fire Tex 5090",O1425="Fire Tex 5120"),'CALCULO PINTURA'!P1426," ")</f>
        <v xml:space="preserve"> </v>
      </c>
      <c r="R1425" s="164" t="str">
        <f>+IF(OR(O1425="Fire Control",O1425="Fire Tex 5062",O1425="Fire Tex 5090",O1425="Fire Tex 5120"),'CALCULO PINTURA'!R1426," ")</f>
        <v xml:space="preserve"> </v>
      </c>
      <c r="S1425" s="164" t="str">
        <f>+IF(OR(O1425="Fire Control",O1425="Fire Tex 5062",O1425="Fire Tex 5090",O1425="Fire Tex 5120"),'CALCULO PINTURA'!S1426," ")</f>
        <v xml:space="preserve"> </v>
      </c>
      <c r="T1425" s="874" t="str">
        <f>+IF(OR(O1425="Blaze Shield II",O1425="Cafco 400",O1425="Cafco 300"),'CALCULO MORTERO'!N1431," ")</f>
        <v xml:space="preserve"> </v>
      </c>
      <c r="U1425" s="875" t="str">
        <f>+IF(OR(O1425="Blaze Shield II",O1425="Cafco 400",O1425="Cafco 300"),'CALCULO MORTERO'!O1431," ")</f>
        <v xml:space="preserve"> </v>
      </c>
      <c r="V1425" s="161" t="str" cm="1">
        <f t="array" ref="V1425">_xlfn.IFS(O1425="Blaze Shield II",'CALCULO MORTERO'!P1426, O1425="Cafco 400",'CALCULO MORTERO'!Q1426,O1425="Cafco 300",'CALCULO MORTERO'!S1426, AND(OR(O1425="Fire tex 5090", O1425="Fire Tex 5062", O1425="Fire Tex 5120", O1425="Fire Control"),Q1425&gt;0), "CERT.",TRUE,"-")</f>
        <v>-</v>
      </c>
    </row>
    <row r="1426" spans="1:22" x14ac:dyDescent="0.25">
      <c r="A1426" s="168"/>
      <c r="B1426" s="876"/>
      <c r="C1426" s="161"/>
      <c r="D1426" s="161"/>
      <c r="E1426" s="161"/>
      <c r="F1426" s="161"/>
      <c r="G1426" s="161"/>
      <c r="H1426" s="161"/>
      <c r="I1426" s="166"/>
      <c r="J1426" s="162"/>
      <c r="K1426" s="161"/>
      <c r="L1426" s="161"/>
      <c r="M1426" s="163"/>
      <c r="N1426" s="163" t="str">
        <f t="shared" si="26"/>
        <v/>
      </c>
      <c r="O1426" s="41"/>
      <c r="P1426" s="41"/>
      <c r="Q1426" s="161" t="str">
        <f>+IF(OR(O1426="Fire Control",O1426="Fire Tex 5062",O1426="Fire Tex 5090",O1426="Fire Tex 5120"),'CALCULO PINTURA'!P1427," ")</f>
        <v xml:space="preserve"> </v>
      </c>
      <c r="R1426" s="164" t="str">
        <f>+IF(OR(O1426="Fire Control",O1426="Fire Tex 5062",O1426="Fire Tex 5090",O1426="Fire Tex 5120"),'CALCULO PINTURA'!R1427," ")</f>
        <v xml:space="preserve"> </v>
      </c>
      <c r="S1426" s="164" t="str">
        <f>+IF(OR(O1426="Fire Control",O1426="Fire Tex 5062",O1426="Fire Tex 5090",O1426="Fire Tex 5120"),'CALCULO PINTURA'!S1427," ")</f>
        <v xml:space="preserve"> </v>
      </c>
      <c r="T1426" s="874" t="str">
        <f>+IF(OR(O1426="Blaze Shield II",O1426="Cafco 400",O1426="Cafco 300"),'CALCULO MORTERO'!N1432," ")</f>
        <v xml:space="preserve"> </v>
      </c>
      <c r="U1426" s="875" t="str">
        <f>+IF(OR(O1426="Blaze Shield II",O1426="Cafco 400",O1426="Cafco 300"),'CALCULO MORTERO'!O1432," ")</f>
        <v xml:space="preserve"> </v>
      </c>
      <c r="V1426" s="161" t="str" cm="1">
        <f t="array" ref="V1426">_xlfn.IFS(O1426="Blaze Shield II",'CALCULO MORTERO'!P1427, O1426="Cafco 400",'CALCULO MORTERO'!Q1427,O1426="Cafco 300",'CALCULO MORTERO'!S1427, AND(OR(O1426="Fire tex 5090", O1426="Fire Tex 5062", O1426="Fire Tex 5120", O1426="Fire Control"),Q1426&gt;0), "CERT.",TRUE,"-")</f>
        <v>-</v>
      </c>
    </row>
    <row r="1427" spans="1:22" x14ac:dyDescent="0.25">
      <c r="A1427" s="168"/>
      <c r="B1427" s="876"/>
      <c r="C1427" s="161"/>
      <c r="D1427" s="161"/>
      <c r="E1427" s="161"/>
      <c r="F1427" s="41"/>
      <c r="G1427" s="161"/>
      <c r="H1427" s="161"/>
      <c r="I1427" s="166"/>
      <c r="J1427" s="162"/>
      <c r="K1427" s="161"/>
      <c r="L1427" s="161"/>
      <c r="M1427" s="169"/>
      <c r="N1427" s="163" t="str">
        <f t="shared" si="26"/>
        <v/>
      </c>
      <c r="O1427" s="41"/>
      <c r="P1427" s="41"/>
      <c r="Q1427" s="161" t="str">
        <f>+IF(OR(O1427="Fire Control",O1427="Fire Tex 5062",O1427="Fire Tex 5090",O1427="Fire Tex 5120"),'CALCULO PINTURA'!P1428," ")</f>
        <v xml:space="preserve"> </v>
      </c>
      <c r="R1427" s="164" t="str">
        <f>+IF(OR(O1427="Fire Control",O1427="Fire Tex 5062",O1427="Fire Tex 5090",O1427="Fire Tex 5120"),'CALCULO PINTURA'!R1428," ")</f>
        <v xml:space="preserve"> </v>
      </c>
      <c r="S1427" s="164" t="str">
        <f>+IF(OR(O1427="Fire Control",O1427="Fire Tex 5062",O1427="Fire Tex 5090",O1427="Fire Tex 5120"),'CALCULO PINTURA'!S1428," ")</f>
        <v xml:space="preserve"> </v>
      </c>
      <c r="T1427" s="874" t="str">
        <f>+IF(OR(O1427="Blaze Shield II",O1427="Cafco 400",O1427="Cafco 300"),'CALCULO MORTERO'!N1433," ")</f>
        <v xml:space="preserve"> </v>
      </c>
      <c r="U1427" s="875" t="str">
        <f>+IF(OR(O1427="Blaze Shield II",O1427="Cafco 400",O1427="Cafco 300"),'CALCULO MORTERO'!O1433," ")</f>
        <v xml:space="preserve"> </v>
      </c>
      <c r="V1427" s="161" t="str" cm="1">
        <f t="array" ref="V1427">_xlfn.IFS(O1427="Blaze Shield II",'CALCULO MORTERO'!P1428, O1427="Cafco 400",'CALCULO MORTERO'!Q1428,O1427="Cafco 300",'CALCULO MORTERO'!S1428, AND(OR(O1427="Fire tex 5090", O1427="Fire Tex 5062", O1427="Fire Tex 5120", O1427="Fire Control"),Q1427&gt;0), "CERT.",TRUE,"-")</f>
        <v>-</v>
      </c>
    </row>
    <row r="1428" spans="1:22" x14ac:dyDescent="0.25">
      <c r="A1428" s="168"/>
      <c r="B1428" s="876"/>
      <c r="C1428" s="161"/>
      <c r="D1428" s="161"/>
      <c r="E1428" s="161"/>
      <c r="F1428" s="41"/>
      <c r="G1428" s="161"/>
      <c r="H1428" s="161"/>
      <c r="I1428" s="166"/>
      <c r="J1428" s="162"/>
      <c r="K1428" s="161"/>
      <c r="L1428" s="161"/>
      <c r="M1428" s="169"/>
      <c r="N1428" s="163" t="str">
        <f t="shared" si="26"/>
        <v/>
      </c>
      <c r="O1428" s="41"/>
      <c r="P1428" s="41"/>
      <c r="Q1428" s="161" t="str">
        <f>+IF(OR(O1428="Fire Control",O1428="Fire Tex 5062",O1428="Fire Tex 5090",O1428="Fire Tex 5120"),'CALCULO PINTURA'!P1429," ")</f>
        <v xml:space="preserve"> </v>
      </c>
      <c r="R1428" s="164" t="str">
        <f>+IF(OR(O1428="Fire Control",O1428="Fire Tex 5062",O1428="Fire Tex 5090",O1428="Fire Tex 5120"),'CALCULO PINTURA'!R1429," ")</f>
        <v xml:space="preserve"> </v>
      </c>
      <c r="S1428" s="164" t="str">
        <f>+IF(OR(O1428="Fire Control",O1428="Fire Tex 5062",O1428="Fire Tex 5090",O1428="Fire Tex 5120"),'CALCULO PINTURA'!S1429," ")</f>
        <v xml:space="preserve"> </v>
      </c>
      <c r="T1428" s="874" t="str">
        <f>+IF(OR(O1428="Blaze Shield II",O1428="Cafco 400",O1428="Cafco 300"),'CALCULO MORTERO'!N1434," ")</f>
        <v xml:space="preserve"> </v>
      </c>
      <c r="U1428" s="875" t="str">
        <f>+IF(OR(O1428="Blaze Shield II",O1428="Cafco 400",O1428="Cafco 300"),'CALCULO MORTERO'!O1434," ")</f>
        <v xml:space="preserve"> </v>
      </c>
      <c r="V1428" s="161" t="str" cm="1">
        <f t="array" ref="V1428">_xlfn.IFS(O1428="Blaze Shield II",'CALCULO MORTERO'!P1429, O1428="Cafco 400",'CALCULO MORTERO'!Q1429,O1428="Cafco 300",'CALCULO MORTERO'!S1429, AND(OR(O1428="Fire tex 5090", O1428="Fire Tex 5062", O1428="Fire Tex 5120", O1428="Fire Control"),Q1428&gt;0), "CERT.",TRUE,"-")</f>
        <v>-</v>
      </c>
    </row>
    <row r="1429" spans="1:22" x14ac:dyDescent="0.25">
      <c r="A1429" s="168"/>
      <c r="B1429" s="876"/>
      <c r="C1429" s="161"/>
      <c r="D1429" s="161"/>
      <c r="E1429" s="161"/>
      <c r="F1429" s="41"/>
      <c r="G1429" s="161"/>
      <c r="H1429" s="161"/>
      <c r="I1429" s="166"/>
      <c r="J1429" s="162"/>
      <c r="K1429" s="161"/>
      <c r="L1429" s="161"/>
      <c r="M1429" s="169"/>
      <c r="N1429" s="163" t="str">
        <f t="shared" si="26"/>
        <v/>
      </c>
      <c r="O1429" s="41"/>
      <c r="P1429" s="41"/>
      <c r="Q1429" s="161" t="str">
        <f>+IF(OR(O1429="Fire Control",O1429="Fire Tex 5062",O1429="Fire Tex 5090",O1429="Fire Tex 5120"),'CALCULO PINTURA'!P1430," ")</f>
        <v xml:space="preserve"> </v>
      </c>
      <c r="R1429" s="164" t="str">
        <f>+IF(OR(O1429="Fire Control",O1429="Fire Tex 5062",O1429="Fire Tex 5090",O1429="Fire Tex 5120"),'CALCULO PINTURA'!R1430," ")</f>
        <v xml:space="preserve"> </v>
      </c>
      <c r="S1429" s="164" t="str">
        <f>+IF(OR(O1429="Fire Control",O1429="Fire Tex 5062",O1429="Fire Tex 5090",O1429="Fire Tex 5120"),'CALCULO PINTURA'!S1430," ")</f>
        <v xml:space="preserve"> </v>
      </c>
      <c r="T1429" s="874" t="str">
        <f>+IF(OR(O1429="Blaze Shield II",O1429="Cafco 400",O1429="Cafco 300"),'CALCULO MORTERO'!N1435," ")</f>
        <v xml:space="preserve"> </v>
      </c>
      <c r="U1429" s="875" t="str">
        <f>+IF(OR(O1429="Blaze Shield II",O1429="Cafco 400",O1429="Cafco 300"),'CALCULO MORTERO'!O1435," ")</f>
        <v xml:space="preserve"> </v>
      </c>
      <c r="V1429" s="161" t="str" cm="1">
        <f t="array" ref="V1429">_xlfn.IFS(O1429="Blaze Shield II",'CALCULO MORTERO'!P1430, O1429="Cafco 400",'CALCULO MORTERO'!Q1430,O1429="Cafco 300",'CALCULO MORTERO'!S1430, AND(OR(O1429="Fire tex 5090", O1429="Fire Tex 5062", O1429="Fire Tex 5120", O1429="Fire Control"),Q1429&gt;0), "CERT.",TRUE,"-")</f>
        <v>-</v>
      </c>
    </row>
    <row r="1430" spans="1:22" x14ac:dyDescent="0.25">
      <c r="A1430" s="168"/>
      <c r="B1430" s="876"/>
      <c r="C1430" s="161"/>
      <c r="D1430" s="161"/>
      <c r="E1430" s="161"/>
      <c r="F1430" s="41"/>
      <c r="G1430" s="161"/>
      <c r="H1430" s="161"/>
      <c r="I1430" s="166"/>
      <c r="J1430" s="162"/>
      <c r="K1430" s="161"/>
      <c r="L1430" s="161"/>
      <c r="M1430" s="169"/>
      <c r="N1430" s="163" t="str">
        <f t="shared" si="26"/>
        <v/>
      </c>
      <c r="O1430" s="41"/>
      <c r="P1430" s="41"/>
      <c r="Q1430" s="161" t="str">
        <f>+IF(OR(O1430="Fire Control",O1430="Fire Tex 5062",O1430="Fire Tex 5090",O1430="Fire Tex 5120"),'CALCULO PINTURA'!P1431," ")</f>
        <v xml:space="preserve"> </v>
      </c>
      <c r="R1430" s="164" t="str">
        <f>+IF(OR(O1430="Fire Control",O1430="Fire Tex 5062",O1430="Fire Tex 5090",O1430="Fire Tex 5120"),'CALCULO PINTURA'!R1431," ")</f>
        <v xml:space="preserve"> </v>
      </c>
      <c r="S1430" s="164" t="str">
        <f>+IF(OR(O1430="Fire Control",O1430="Fire Tex 5062",O1430="Fire Tex 5090",O1430="Fire Tex 5120"),'CALCULO PINTURA'!S1431," ")</f>
        <v xml:space="preserve"> </v>
      </c>
      <c r="T1430" s="874" t="str">
        <f>+IF(OR(O1430="Blaze Shield II",O1430="Cafco 400",O1430="Cafco 300"),'CALCULO MORTERO'!N1436," ")</f>
        <v xml:space="preserve"> </v>
      </c>
      <c r="U1430" s="875" t="str">
        <f>+IF(OR(O1430="Blaze Shield II",O1430="Cafco 400",O1430="Cafco 300"),'CALCULO MORTERO'!O1436," ")</f>
        <v xml:space="preserve"> </v>
      </c>
      <c r="V1430" s="161" t="str" cm="1">
        <f t="array" ref="V1430">_xlfn.IFS(O1430="Blaze Shield II",'CALCULO MORTERO'!P1431, O1430="Cafco 400",'CALCULO MORTERO'!Q1431,O1430="Cafco 300",'CALCULO MORTERO'!S1431, AND(OR(O1430="Fire tex 5090", O1430="Fire Tex 5062", O1430="Fire Tex 5120", O1430="Fire Control"),Q1430&gt;0), "CERT.",TRUE,"-")</f>
        <v>-</v>
      </c>
    </row>
    <row r="1431" spans="1:22" x14ac:dyDescent="0.25">
      <c r="A1431" s="168"/>
      <c r="B1431" s="876"/>
      <c r="C1431" s="161"/>
      <c r="D1431" s="161"/>
      <c r="E1431" s="161"/>
      <c r="F1431" s="41"/>
      <c r="G1431" s="161"/>
      <c r="H1431" s="161"/>
      <c r="I1431" s="166"/>
      <c r="J1431" s="162"/>
      <c r="K1431" s="161"/>
      <c r="L1431" s="161"/>
      <c r="M1431" s="169"/>
      <c r="N1431" s="163" t="str">
        <f t="shared" si="26"/>
        <v/>
      </c>
      <c r="O1431" s="41"/>
      <c r="P1431" s="41"/>
      <c r="Q1431" s="161" t="str">
        <f>+IF(OR(O1431="Fire Control",O1431="Fire Tex 5062",O1431="Fire Tex 5090",O1431="Fire Tex 5120"),'CALCULO PINTURA'!P1432," ")</f>
        <v xml:space="preserve"> </v>
      </c>
      <c r="R1431" s="164" t="str">
        <f>+IF(OR(O1431="Fire Control",O1431="Fire Tex 5062",O1431="Fire Tex 5090",O1431="Fire Tex 5120"),'CALCULO PINTURA'!R1432," ")</f>
        <v xml:space="preserve"> </v>
      </c>
      <c r="S1431" s="164" t="str">
        <f>+IF(OR(O1431="Fire Control",O1431="Fire Tex 5062",O1431="Fire Tex 5090",O1431="Fire Tex 5120"),'CALCULO PINTURA'!S1432," ")</f>
        <v xml:space="preserve"> </v>
      </c>
      <c r="T1431" s="874" t="str">
        <f>+IF(OR(O1431="Blaze Shield II",O1431="Cafco 400",O1431="Cafco 300"),'CALCULO MORTERO'!N1437," ")</f>
        <v xml:space="preserve"> </v>
      </c>
      <c r="U1431" s="875" t="str">
        <f>+IF(OR(O1431="Blaze Shield II",O1431="Cafco 400",O1431="Cafco 300"),'CALCULO MORTERO'!O1437," ")</f>
        <v xml:space="preserve"> </v>
      </c>
      <c r="V1431" s="161" t="str" cm="1">
        <f t="array" ref="V1431">_xlfn.IFS(O1431="Blaze Shield II",'CALCULO MORTERO'!P1432, O1431="Cafco 400",'CALCULO MORTERO'!Q1432,O1431="Cafco 300",'CALCULO MORTERO'!S1432, AND(OR(O1431="Fire tex 5090", O1431="Fire Tex 5062", O1431="Fire Tex 5120", O1431="Fire Control"),Q1431&gt;0), "CERT.",TRUE,"-")</f>
        <v>-</v>
      </c>
    </row>
    <row r="1432" spans="1:22" x14ac:dyDescent="0.25">
      <c r="A1432" s="168"/>
      <c r="B1432" s="876"/>
      <c r="C1432" s="161"/>
      <c r="D1432" s="161"/>
      <c r="E1432" s="161"/>
      <c r="F1432" s="41"/>
      <c r="G1432" s="161"/>
      <c r="H1432" s="161"/>
      <c r="I1432" s="166"/>
      <c r="J1432" s="162"/>
      <c r="K1432" s="161"/>
      <c r="L1432" s="161"/>
      <c r="M1432" s="169"/>
      <c r="N1432" s="163" t="str">
        <f t="shared" si="26"/>
        <v/>
      </c>
      <c r="O1432" s="41"/>
      <c r="P1432" s="41"/>
      <c r="Q1432" s="161" t="str">
        <f>+IF(OR(O1432="Fire Control",O1432="Fire Tex 5062",O1432="Fire Tex 5090",O1432="Fire Tex 5120"),'CALCULO PINTURA'!P1433," ")</f>
        <v xml:space="preserve"> </v>
      </c>
      <c r="R1432" s="164" t="str">
        <f>+IF(OR(O1432="Fire Control",O1432="Fire Tex 5062",O1432="Fire Tex 5090",O1432="Fire Tex 5120"),'CALCULO PINTURA'!R1433," ")</f>
        <v xml:space="preserve"> </v>
      </c>
      <c r="S1432" s="164" t="str">
        <f>+IF(OR(O1432="Fire Control",O1432="Fire Tex 5062",O1432="Fire Tex 5090",O1432="Fire Tex 5120"),'CALCULO PINTURA'!S1433," ")</f>
        <v xml:space="preserve"> </v>
      </c>
      <c r="T1432" s="874" t="str">
        <f>+IF(OR(O1432="Blaze Shield II",O1432="Cafco 400",O1432="Cafco 300"),'CALCULO MORTERO'!N1438," ")</f>
        <v xml:space="preserve"> </v>
      </c>
      <c r="U1432" s="875" t="str">
        <f>+IF(OR(O1432="Blaze Shield II",O1432="Cafco 400",O1432="Cafco 300"),'CALCULO MORTERO'!O1438," ")</f>
        <v xml:space="preserve"> </v>
      </c>
      <c r="V1432" s="161" t="str" cm="1">
        <f t="array" ref="V1432">_xlfn.IFS(O1432="Blaze Shield II",'CALCULO MORTERO'!P1433, O1432="Cafco 400",'CALCULO MORTERO'!Q1433,O1432="Cafco 300",'CALCULO MORTERO'!S1433, AND(OR(O1432="Fire tex 5090", O1432="Fire Tex 5062", O1432="Fire Tex 5120", O1432="Fire Control"),Q1432&gt;0), "CERT.",TRUE,"-")</f>
        <v>-</v>
      </c>
    </row>
    <row r="1433" spans="1:22" x14ac:dyDescent="0.25">
      <c r="A1433" s="168"/>
      <c r="B1433" s="876"/>
      <c r="C1433" s="161"/>
      <c r="D1433" s="161"/>
      <c r="E1433" s="161"/>
      <c r="F1433" s="41"/>
      <c r="G1433" s="161"/>
      <c r="H1433" s="161"/>
      <c r="I1433" s="166"/>
      <c r="J1433" s="162"/>
      <c r="K1433" s="161"/>
      <c r="L1433" s="161"/>
      <c r="M1433" s="169"/>
      <c r="N1433" s="163" t="str">
        <f t="shared" si="26"/>
        <v/>
      </c>
      <c r="O1433" s="41"/>
      <c r="P1433" s="41"/>
      <c r="Q1433" s="161" t="str">
        <f>+IF(OR(O1433="Fire Control",O1433="Fire Tex 5062",O1433="Fire Tex 5090",O1433="Fire Tex 5120"),'CALCULO PINTURA'!P1434," ")</f>
        <v xml:space="preserve"> </v>
      </c>
      <c r="R1433" s="164" t="str">
        <f>+IF(OR(O1433="Fire Control",O1433="Fire Tex 5062",O1433="Fire Tex 5090",O1433="Fire Tex 5120"),'CALCULO PINTURA'!R1434," ")</f>
        <v xml:space="preserve"> </v>
      </c>
      <c r="S1433" s="164" t="str">
        <f>+IF(OR(O1433="Fire Control",O1433="Fire Tex 5062",O1433="Fire Tex 5090",O1433="Fire Tex 5120"),'CALCULO PINTURA'!S1434," ")</f>
        <v xml:space="preserve"> </v>
      </c>
      <c r="T1433" s="874" t="str">
        <f>+IF(OR(O1433="Blaze Shield II",O1433="Cafco 400",O1433="Cafco 300"),'CALCULO MORTERO'!N1439," ")</f>
        <v xml:space="preserve"> </v>
      </c>
      <c r="U1433" s="875" t="str">
        <f>+IF(OR(O1433="Blaze Shield II",O1433="Cafco 400",O1433="Cafco 300"),'CALCULO MORTERO'!O1439," ")</f>
        <v xml:space="preserve"> </v>
      </c>
      <c r="V1433" s="161" t="str" cm="1">
        <f t="array" ref="V1433">_xlfn.IFS(O1433="Blaze Shield II",'CALCULO MORTERO'!P1434, O1433="Cafco 400",'CALCULO MORTERO'!Q1434,O1433="Cafco 300",'CALCULO MORTERO'!S1434, AND(OR(O1433="Fire tex 5090", O1433="Fire Tex 5062", O1433="Fire Tex 5120", O1433="Fire Control"),Q1433&gt;0), "CERT.",TRUE,"-")</f>
        <v>-</v>
      </c>
    </row>
    <row r="1434" spans="1:22" x14ac:dyDescent="0.25">
      <c r="A1434" s="168"/>
      <c r="B1434" s="876"/>
      <c r="C1434" s="161"/>
      <c r="D1434" s="161"/>
      <c r="E1434" s="161"/>
      <c r="F1434" s="41"/>
      <c r="G1434" s="161"/>
      <c r="H1434" s="161"/>
      <c r="I1434" s="166"/>
      <c r="J1434" s="162"/>
      <c r="K1434" s="161"/>
      <c r="L1434" s="161"/>
      <c r="M1434" s="169"/>
      <c r="N1434" s="163" t="str">
        <f t="shared" si="26"/>
        <v/>
      </c>
      <c r="O1434" s="41"/>
      <c r="P1434" s="41"/>
      <c r="Q1434" s="161" t="str">
        <f>+IF(OR(O1434="Fire Control",O1434="Fire Tex 5062",O1434="Fire Tex 5090",O1434="Fire Tex 5120"),'CALCULO PINTURA'!P1435," ")</f>
        <v xml:space="preserve"> </v>
      </c>
      <c r="R1434" s="164" t="str">
        <f>+IF(OR(O1434="Fire Control",O1434="Fire Tex 5062",O1434="Fire Tex 5090",O1434="Fire Tex 5120"),'CALCULO PINTURA'!R1435," ")</f>
        <v xml:space="preserve"> </v>
      </c>
      <c r="S1434" s="164" t="str">
        <f>+IF(OR(O1434="Fire Control",O1434="Fire Tex 5062",O1434="Fire Tex 5090",O1434="Fire Tex 5120"),'CALCULO PINTURA'!S1435," ")</f>
        <v xml:space="preserve"> </v>
      </c>
      <c r="T1434" s="874" t="str">
        <f>+IF(OR(O1434="Blaze Shield II",O1434="Cafco 400",O1434="Cafco 300"),'CALCULO MORTERO'!N1440," ")</f>
        <v xml:space="preserve"> </v>
      </c>
      <c r="U1434" s="875" t="str">
        <f>+IF(OR(O1434="Blaze Shield II",O1434="Cafco 400",O1434="Cafco 300"),'CALCULO MORTERO'!O1440," ")</f>
        <v xml:space="preserve"> </v>
      </c>
      <c r="V1434" s="161" t="str" cm="1">
        <f t="array" ref="V1434">_xlfn.IFS(O1434="Blaze Shield II",'CALCULO MORTERO'!P1435, O1434="Cafco 400",'CALCULO MORTERO'!Q1435,O1434="Cafco 300",'CALCULO MORTERO'!S1435, AND(OR(O1434="Fire tex 5090", O1434="Fire Tex 5062", O1434="Fire Tex 5120", O1434="Fire Control"),Q1434&gt;0), "CERT.",TRUE,"-")</f>
        <v>-</v>
      </c>
    </row>
    <row r="1435" spans="1:22" x14ac:dyDescent="0.25">
      <c r="A1435" s="168"/>
      <c r="B1435" s="876"/>
      <c r="C1435" s="161"/>
      <c r="D1435" s="161"/>
      <c r="E1435" s="161"/>
      <c r="F1435" s="41"/>
      <c r="G1435" s="161"/>
      <c r="H1435" s="161"/>
      <c r="I1435" s="166"/>
      <c r="J1435" s="162"/>
      <c r="K1435" s="161"/>
      <c r="L1435" s="161"/>
      <c r="M1435" s="169"/>
      <c r="N1435" s="163" t="str">
        <f t="shared" si="26"/>
        <v/>
      </c>
      <c r="O1435" s="41"/>
      <c r="P1435" s="41"/>
      <c r="Q1435" s="161" t="str">
        <f>+IF(OR(O1435="Fire Control",O1435="Fire Tex 5062",O1435="Fire Tex 5090",O1435="Fire Tex 5120"),'CALCULO PINTURA'!P1436," ")</f>
        <v xml:space="preserve"> </v>
      </c>
      <c r="R1435" s="164" t="str">
        <f>+IF(OR(O1435="Fire Control",O1435="Fire Tex 5062",O1435="Fire Tex 5090",O1435="Fire Tex 5120"),'CALCULO PINTURA'!R1436," ")</f>
        <v xml:space="preserve"> </v>
      </c>
      <c r="S1435" s="164" t="str">
        <f>+IF(OR(O1435="Fire Control",O1435="Fire Tex 5062",O1435="Fire Tex 5090",O1435="Fire Tex 5120"),'CALCULO PINTURA'!S1436," ")</f>
        <v xml:space="preserve"> </v>
      </c>
      <c r="T1435" s="874" t="str">
        <f>+IF(OR(O1435="Blaze Shield II",O1435="Cafco 400",O1435="Cafco 300"),'CALCULO MORTERO'!N1441," ")</f>
        <v xml:space="preserve"> </v>
      </c>
      <c r="U1435" s="875" t="str">
        <f>+IF(OR(O1435="Blaze Shield II",O1435="Cafco 400",O1435="Cafco 300"),'CALCULO MORTERO'!O1441," ")</f>
        <v xml:space="preserve"> </v>
      </c>
      <c r="V1435" s="161" t="str" cm="1">
        <f t="array" ref="V1435">_xlfn.IFS(O1435="Blaze Shield II",'CALCULO MORTERO'!P1436, O1435="Cafco 400",'CALCULO MORTERO'!Q1436,O1435="Cafco 300",'CALCULO MORTERO'!S1436, AND(OR(O1435="Fire tex 5090", O1435="Fire Tex 5062", O1435="Fire Tex 5120", O1435="Fire Control"),Q1435&gt;0), "CERT.",TRUE,"-")</f>
        <v>-</v>
      </c>
    </row>
    <row r="1436" spans="1:22" x14ac:dyDescent="0.25">
      <c r="A1436" s="168"/>
      <c r="B1436" s="876"/>
      <c r="C1436" s="161"/>
      <c r="D1436" s="161"/>
      <c r="E1436" s="161"/>
      <c r="F1436" s="41"/>
      <c r="G1436" s="161"/>
      <c r="H1436" s="161"/>
      <c r="I1436" s="166"/>
      <c r="J1436" s="162"/>
      <c r="K1436" s="161"/>
      <c r="L1436" s="161"/>
      <c r="M1436" s="169"/>
      <c r="N1436" s="163" t="str">
        <f t="shared" si="26"/>
        <v/>
      </c>
      <c r="O1436" s="41"/>
      <c r="P1436" s="41"/>
      <c r="Q1436" s="161" t="str">
        <f>+IF(OR(O1436="Fire Control",O1436="Fire Tex 5062",O1436="Fire Tex 5090",O1436="Fire Tex 5120"),'CALCULO PINTURA'!P1437," ")</f>
        <v xml:space="preserve"> </v>
      </c>
      <c r="R1436" s="164" t="str">
        <f>+IF(OR(O1436="Fire Control",O1436="Fire Tex 5062",O1436="Fire Tex 5090",O1436="Fire Tex 5120"),'CALCULO PINTURA'!R1437," ")</f>
        <v xml:space="preserve"> </v>
      </c>
      <c r="S1436" s="164" t="str">
        <f>+IF(OR(O1436="Fire Control",O1436="Fire Tex 5062",O1436="Fire Tex 5090",O1436="Fire Tex 5120"),'CALCULO PINTURA'!S1437," ")</f>
        <v xml:space="preserve"> </v>
      </c>
      <c r="T1436" s="874" t="str">
        <f>+IF(OR(O1436="Blaze Shield II",O1436="Cafco 400",O1436="Cafco 300"),'CALCULO MORTERO'!N1442," ")</f>
        <v xml:space="preserve"> </v>
      </c>
      <c r="U1436" s="875" t="str">
        <f>+IF(OR(O1436="Blaze Shield II",O1436="Cafco 400",O1436="Cafco 300"),'CALCULO MORTERO'!O1442," ")</f>
        <v xml:space="preserve"> </v>
      </c>
      <c r="V1436" s="161" t="str" cm="1">
        <f t="array" ref="V1436">_xlfn.IFS(O1436="Blaze Shield II",'CALCULO MORTERO'!P1437, O1436="Cafco 400",'CALCULO MORTERO'!Q1437,O1436="Cafco 300",'CALCULO MORTERO'!S1437, AND(OR(O1436="Fire tex 5090", O1436="Fire Tex 5062", O1436="Fire Tex 5120", O1436="Fire Control"),Q1436&gt;0), "CERT.",TRUE,"-")</f>
        <v>-</v>
      </c>
    </row>
    <row r="1437" spans="1:22" x14ac:dyDescent="0.25">
      <c r="A1437" s="168"/>
      <c r="B1437" s="876"/>
      <c r="C1437" s="161"/>
      <c r="D1437" s="161"/>
      <c r="E1437" s="161"/>
      <c r="F1437" s="41"/>
      <c r="G1437" s="161"/>
      <c r="H1437" s="161"/>
      <c r="I1437" s="166"/>
      <c r="J1437" s="162"/>
      <c r="K1437" s="161"/>
      <c r="L1437" s="161"/>
      <c r="M1437" s="169"/>
      <c r="N1437" s="163" t="str">
        <f t="shared" si="26"/>
        <v/>
      </c>
      <c r="O1437" s="41"/>
      <c r="P1437" s="41"/>
      <c r="Q1437" s="161" t="str">
        <f>+IF(OR(O1437="Fire Control",O1437="Fire Tex 5062",O1437="Fire Tex 5090",O1437="Fire Tex 5120"),'CALCULO PINTURA'!P1438," ")</f>
        <v xml:space="preserve"> </v>
      </c>
      <c r="R1437" s="164" t="str">
        <f>+IF(OR(O1437="Fire Control",O1437="Fire Tex 5062",O1437="Fire Tex 5090",O1437="Fire Tex 5120"),'CALCULO PINTURA'!R1438," ")</f>
        <v xml:space="preserve"> </v>
      </c>
      <c r="S1437" s="164" t="str">
        <f>+IF(OR(O1437="Fire Control",O1437="Fire Tex 5062",O1437="Fire Tex 5090",O1437="Fire Tex 5120"),'CALCULO PINTURA'!S1438," ")</f>
        <v xml:space="preserve"> </v>
      </c>
      <c r="T1437" s="874" t="str">
        <f>+IF(OR(O1437="Blaze Shield II",O1437="Cafco 400",O1437="Cafco 300"),'CALCULO MORTERO'!N1443," ")</f>
        <v xml:space="preserve"> </v>
      </c>
      <c r="U1437" s="875" t="str">
        <f>+IF(OR(O1437="Blaze Shield II",O1437="Cafco 400",O1437="Cafco 300"),'CALCULO MORTERO'!O1443," ")</f>
        <v xml:space="preserve"> </v>
      </c>
      <c r="V1437" s="161" t="str" cm="1">
        <f t="array" ref="V1437">_xlfn.IFS(O1437="Blaze Shield II",'CALCULO MORTERO'!P1438, O1437="Cafco 400",'CALCULO MORTERO'!Q1438,O1437="Cafco 300",'CALCULO MORTERO'!S1438, AND(OR(O1437="Fire tex 5090", O1437="Fire Tex 5062", O1437="Fire Tex 5120", O1437="Fire Control"),Q1437&gt;0), "CERT.",TRUE,"-")</f>
        <v>-</v>
      </c>
    </row>
    <row r="1438" spans="1:22" x14ac:dyDescent="0.25">
      <c r="A1438" s="168"/>
      <c r="B1438" s="876"/>
      <c r="C1438" s="161"/>
      <c r="D1438" s="161"/>
      <c r="E1438" s="161"/>
      <c r="F1438" s="41"/>
      <c r="G1438" s="161"/>
      <c r="H1438" s="161"/>
      <c r="I1438" s="166"/>
      <c r="J1438" s="162"/>
      <c r="K1438" s="161"/>
      <c r="L1438" s="161"/>
      <c r="M1438" s="169"/>
      <c r="N1438" s="163" t="str">
        <f t="shared" si="26"/>
        <v/>
      </c>
      <c r="O1438" s="41"/>
      <c r="P1438" s="41"/>
      <c r="Q1438" s="161" t="str">
        <f>+IF(OR(O1438="Fire Control",O1438="Fire Tex 5062",O1438="Fire Tex 5090",O1438="Fire Tex 5120"),'CALCULO PINTURA'!P1439," ")</f>
        <v xml:space="preserve"> </v>
      </c>
      <c r="R1438" s="164" t="str">
        <f>+IF(OR(O1438="Fire Control",O1438="Fire Tex 5062",O1438="Fire Tex 5090",O1438="Fire Tex 5120"),'CALCULO PINTURA'!R1439," ")</f>
        <v xml:space="preserve"> </v>
      </c>
      <c r="S1438" s="164" t="str">
        <f>+IF(OR(O1438="Fire Control",O1438="Fire Tex 5062",O1438="Fire Tex 5090",O1438="Fire Tex 5120"),'CALCULO PINTURA'!S1439," ")</f>
        <v xml:space="preserve"> </v>
      </c>
      <c r="T1438" s="874" t="str">
        <f>+IF(OR(O1438="Blaze Shield II",O1438="Cafco 400",O1438="Cafco 300"),'CALCULO MORTERO'!N1444," ")</f>
        <v xml:space="preserve"> </v>
      </c>
      <c r="U1438" s="875" t="str">
        <f>+IF(OR(O1438="Blaze Shield II",O1438="Cafco 400",O1438="Cafco 300"),'CALCULO MORTERO'!O1444," ")</f>
        <v xml:space="preserve"> </v>
      </c>
      <c r="V1438" s="161" t="str" cm="1">
        <f t="array" ref="V1438">_xlfn.IFS(O1438="Blaze Shield II",'CALCULO MORTERO'!P1439, O1438="Cafco 400",'CALCULO MORTERO'!Q1439,O1438="Cafco 300",'CALCULO MORTERO'!S1439, AND(OR(O1438="Fire tex 5090", O1438="Fire Tex 5062", O1438="Fire Tex 5120", O1438="Fire Control"),Q1438&gt;0), "CERT.",TRUE,"-")</f>
        <v>-</v>
      </c>
    </row>
    <row r="1439" spans="1:22" x14ac:dyDescent="0.25">
      <c r="A1439" s="168"/>
      <c r="B1439" s="876"/>
      <c r="C1439" s="161"/>
      <c r="D1439" s="161"/>
      <c r="E1439" s="161"/>
      <c r="F1439" s="41"/>
      <c r="G1439" s="161"/>
      <c r="H1439" s="161"/>
      <c r="I1439" s="166"/>
      <c r="J1439" s="162"/>
      <c r="K1439" s="161"/>
      <c r="L1439" s="161"/>
      <c r="M1439" s="169"/>
      <c r="N1439" s="163" t="str">
        <f t="shared" si="26"/>
        <v/>
      </c>
      <c r="O1439" s="41"/>
      <c r="P1439" s="41"/>
      <c r="Q1439" s="161" t="str">
        <f>+IF(OR(O1439="Fire Control",O1439="Fire Tex 5062",O1439="Fire Tex 5090",O1439="Fire Tex 5120"),'CALCULO PINTURA'!P1440," ")</f>
        <v xml:space="preserve"> </v>
      </c>
      <c r="R1439" s="164" t="str">
        <f>+IF(OR(O1439="Fire Control",O1439="Fire Tex 5062",O1439="Fire Tex 5090",O1439="Fire Tex 5120"),'CALCULO PINTURA'!R1440," ")</f>
        <v xml:space="preserve"> </v>
      </c>
      <c r="S1439" s="164" t="str">
        <f>+IF(OR(O1439="Fire Control",O1439="Fire Tex 5062",O1439="Fire Tex 5090",O1439="Fire Tex 5120"),'CALCULO PINTURA'!S1440," ")</f>
        <v xml:space="preserve"> </v>
      </c>
      <c r="T1439" s="874" t="str">
        <f>+IF(OR(O1439="Blaze Shield II",O1439="Cafco 400",O1439="Cafco 300"),'CALCULO MORTERO'!N1445," ")</f>
        <v xml:space="preserve"> </v>
      </c>
      <c r="U1439" s="875" t="str">
        <f>+IF(OR(O1439="Blaze Shield II",O1439="Cafco 400",O1439="Cafco 300"),'CALCULO MORTERO'!O1445," ")</f>
        <v xml:space="preserve"> </v>
      </c>
      <c r="V1439" s="161" t="str" cm="1">
        <f t="array" ref="V1439">_xlfn.IFS(O1439="Blaze Shield II",'CALCULO MORTERO'!P1440, O1439="Cafco 400",'CALCULO MORTERO'!Q1440,O1439="Cafco 300",'CALCULO MORTERO'!S1440, AND(OR(O1439="Fire tex 5090", O1439="Fire Tex 5062", O1439="Fire Tex 5120", O1439="Fire Control"),Q1439&gt;0), "CERT.",TRUE,"-")</f>
        <v>-</v>
      </c>
    </row>
    <row r="1440" spans="1:22" x14ac:dyDescent="0.25">
      <c r="A1440" s="168"/>
      <c r="B1440" s="876"/>
      <c r="C1440" s="161"/>
      <c r="D1440" s="161"/>
      <c r="E1440" s="161"/>
      <c r="F1440" s="41"/>
      <c r="G1440" s="161"/>
      <c r="H1440" s="161"/>
      <c r="I1440" s="166"/>
      <c r="J1440" s="162"/>
      <c r="K1440" s="161"/>
      <c r="L1440" s="161"/>
      <c r="M1440" s="169"/>
      <c r="N1440" s="163" t="str">
        <f t="shared" si="26"/>
        <v/>
      </c>
      <c r="O1440" s="41"/>
      <c r="P1440" s="41"/>
      <c r="Q1440" s="161" t="str">
        <f>+IF(OR(O1440="Fire Control",O1440="Fire Tex 5062",O1440="Fire Tex 5090",O1440="Fire Tex 5120"),'CALCULO PINTURA'!P1441," ")</f>
        <v xml:space="preserve"> </v>
      </c>
      <c r="R1440" s="164" t="str">
        <f>+IF(OR(O1440="Fire Control",O1440="Fire Tex 5062",O1440="Fire Tex 5090",O1440="Fire Tex 5120"),'CALCULO PINTURA'!R1441," ")</f>
        <v xml:space="preserve"> </v>
      </c>
      <c r="S1440" s="164" t="str">
        <f>+IF(OR(O1440="Fire Control",O1440="Fire Tex 5062",O1440="Fire Tex 5090",O1440="Fire Tex 5120"),'CALCULO PINTURA'!S1441," ")</f>
        <v xml:space="preserve"> </v>
      </c>
      <c r="T1440" s="874" t="str">
        <f>+IF(OR(O1440="Blaze Shield II",O1440="Cafco 400",O1440="Cafco 300"),'CALCULO MORTERO'!N1446," ")</f>
        <v xml:space="preserve"> </v>
      </c>
      <c r="U1440" s="875" t="str">
        <f>+IF(OR(O1440="Blaze Shield II",O1440="Cafco 400",O1440="Cafco 300"),'CALCULO MORTERO'!O1446," ")</f>
        <v xml:space="preserve"> </v>
      </c>
      <c r="V1440" s="161" t="str" cm="1">
        <f t="array" ref="V1440">_xlfn.IFS(O1440="Blaze Shield II",'CALCULO MORTERO'!P1441, O1440="Cafco 400",'CALCULO MORTERO'!Q1441,O1440="Cafco 300",'CALCULO MORTERO'!S1441, AND(OR(O1440="Fire tex 5090", O1440="Fire Tex 5062", O1440="Fire Tex 5120", O1440="Fire Control"),Q1440&gt;0), "CERT.",TRUE,"-")</f>
        <v>-</v>
      </c>
    </row>
    <row r="1441" spans="1:22" x14ac:dyDescent="0.25">
      <c r="A1441" s="168"/>
      <c r="B1441" s="876"/>
      <c r="C1441" s="161"/>
      <c r="D1441" s="161"/>
      <c r="E1441" s="161"/>
      <c r="F1441" s="41"/>
      <c r="G1441" s="161"/>
      <c r="H1441" s="161"/>
      <c r="I1441" s="166"/>
      <c r="J1441" s="162"/>
      <c r="K1441" s="161"/>
      <c r="L1441" s="161"/>
      <c r="M1441" s="169"/>
      <c r="N1441" s="163" t="str">
        <f t="shared" si="26"/>
        <v/>
      </c>
      <c r="O1441" s="41"/>
      <c r="P1441" s="41"/>
      <c r="Q1441" s="161" t="str">
        <f>+IF(OR(O1441="Fire Control",O1441="Fire Tex 5062",O1441="Fire Tex 5090",O1441="Fire Tex 5120"),'CALCULO PINTURA'!P1442," ")</f>
        <v xml:space="preserve"> </v>
      </c>
      <c r="R1441" s="164" t="str">
        <f>+IF(OR(O1441="Fire Control",O1441="Fire Tex 5062",O1441="Fire Tex 5090",O1441="Fire Tex 5120"),'CALCULO PINTURA'!R1442," ")</f>
        <v xml:space="preserve"> </v>
      </c>
      <c r="S1441" s="164" t="str">
        <f>+IF(OR(O1441="Fire Control",O1441="Fire Tex 5062",O1441="Fire Tex 5090",O1441="Fire Tex 5120"),'CALCULO PINTURA'!S1442," ")</f>
        <v xml:space="preserve"> </v>
      </c>
      <c r="T1441" s="874" t="str">
        <f>+IF(OR(O1441="Blaze Shield II",O1441="Cafco 400",O1441="Cafco 300"),'CALCULO MORTERO'!N1447," ")</f>
        <v xml:space="preserve"> </v>
      </c>
      <c r="U1441" s="875" t="str">
        <f>+IF(OR(O1441="Blaze Shield II",O1441="Cafco 400",O1441="Cafco 300"),'CALCULO MORTERO'!O1447," ")</f>
        <v xml:space="preserve"> </v>
      </c>
      <c r="V1441" s="161" t="str" cm="1">
        <f t="array" ref="V1441">_xlfn.IFS(O1441="Blaze Shield II",'CALCULO MORTERO'!P1442, O1441="Cafco 400",'CALCULO MORTERO'!Q1442,O1441="Cafco 300",'CALCULO MORTERO'!S1442, AND(OR(O1441="Fire tex 5090", O1441="Fire Tex 5062", O1441="Fire Tex 5120", O1441="Fire Control"),Q1441&gt;0), "CERT.",TRUE,"-")</f>
        <v>-</v>
      </c>
    </row>
    <row r="1442" spans="1:22" x14ac:dyDescent="0.25">
      <c r="A1442" s="168"/>
      <c r="B1442" s="876"/>
      <c r="C1442" s="161"/>
      <c r="D1442" s="161"/>
      <c r="E1442" s="161"/>
      <c r="F1442" s="41"/>
      <c r="G1442" s="161"/>
      <c r="H1442" s="161"/>
      <c r="I1442" s="166"/>
      <c r="J1442" s="162"/>
      <c r="K1442" s="161"/>
      <c r="L1442" s="161"/>
      <c r="M1442" s="169"/>
      <c r="N1442" s="163" t="str">
        <f t="shared" si="26"/>
        <v/>
      </c>
      <c r="O1442" s="41"/>
      <c r="P1442" s="41"/>
      <c r="Q1442" s="161" t="str">
        <f>+IF(OR(O1442="Fire Control",O1442="Fire Tex 5062",O1442="Fire Tex 5090",O1442="Fire Tex 5120"),'CALCULO PINTURA'!P1443," ")</f>
        <v xml:space="preserve"> </v>
      </c>
      <c r="R1442" s="164" t="str">
        <f>+IF(OR(O1442="Fire Control",O1442="Fire Tex 5062",O1442="Fire Tex 5090",O1442="Fire Tex 5120"),'CALCULO PINTURA'!R1443," ")</f>
        <v xml:space="preserve"> </v>
      </c>
      <c r="S1442" s="164" t="str">
        <f>+IF(OR(O1442="Fire Control",O1442="Fire Tex 5062",O1442="Fire Tex 5090",O1442="Fire Tex 5120"),'CALCULO PINTURA'!S1443," ")</f>
        <v xml:space="preserve"> </v>
      </c>
      <c r="T1442" s="874" t="str">
        <f>+IF(OR(O1442="Blaze Shield II",O1442="Cafco 400",O1442="Cafco 300"),'CALCULO MORTERO'!N1448," ")</f>
        <v xml:space="preserve"> </v>
      </c>
      <c r="U1442" s="875" t="str">
        <f>+IF(OR(O1442="Blaze Shield II",O1442="Cafco 400",O1442="Cafco 300"),'CALCULO MORTERO'!O1448," ")</f>
        <v xml:space="preserve"> </v>
      </c>
      <c r="V1442" s="161" t="str" cm="1">
        <f t="array" ref="V1442">_xlfn.IFS(O1442="Blaze Shield II",'CALCULO MORTERO'!P1443, O1442="Cafco 400",'CALCULO MORTERO'!Q1443,O1442="Cafco 300",'CALCULO MORTERO'!S1443, AND(OR(O1442="Fire tex 5090", O1442="Fire Tex 5062", O1442="Fire Tex 5120", O1442="Fire Control"),Q1442&gt;0), "CERT.",TRUE,"-")</f>
        <v>-</v>
      </c>
    </row>
    <row r="1443" spans="1:22" x14ac:dyDescent="0.25">
      <c r="A1443" s="168"/>
      <c r="B1443" s="876"/>
      <c r="C1443" s="161"/>
      <c r="D1443" s="161"/>
      <c r="E1443" s="161"/>
      <c r="F1443" s="41"/>
      <c r="G1443" s="161"/>
      <c r="H1443" s="161"/>
      <c r="I1443" s="166"/>
      <c r="J1443" s="162"/>
      <c r="K1443" s="161"/>
      <c r="L1443" s="161"/>
      <c r="M1443" s="169"/>
      <c r="N1443" s="163" t="str">
        <f t="shared" si="26"/>
        <v/>
      </c>
      <c r="O1443" s="41"/>
      <c r="P1443" s="41"/>
      <c r="Q1443" s="161" t="str">
        <f>+IF(OR(O1443="Fire Control",O1443="Fire Tex 5062",O1443="Fire Tex 5090",O1443="Fire Tex 5120"),'CALCULO PINTURA'!P1444," ")</f>
        <v xml:space="preserve"> </v>
      </c>
      <c r="R1443" s="164" t="str">
        <f>+IF(OR(O1443="Fire Control",O1443="Fire Tex 5062",O1443="Fire Tex 5090",O1443="Fire Tex 5120"),'CALCULO PINTURA'!R1444," ")</f>
        <v xml:space="preserve"> </v>
      </c>
      <c r="S1443" s="164" t="str">
        <f>+IF(OR(O1443="Fire Control",O1443="Fire Tex 5062",O1443="Fire Tex 5090",O1443="Fire Tex 5120"),'CALCULO PINTURA'!S1444," ")</f>
        <v xml:space="preserve"> </v>
      </c>
      <c r="T1443" s="874" t="str">
        <f>+IF(OR(O1443="Blaze Shield II",O1443="Cafco 400",O1443="Cafco 300"),'CALCULO MORTERO'!N1449," ")</f>
        <v xml:space="preserve"> </v>
      </c>
      <c r="U1443" s="875" t="str">
        <f>+IF(OR(O1443="Blaze Shield II",O1443="Cafco 400",O1443="Cafco 300"),'CALCULO MORTERO'!O1449," ")</f>
        <v xml:space="preserve"> </v>
      </c>
      <c r="V1443" s="161" t="str" cm="1">
        <f t="array" ref="V1443">_xlfn.IFS(O1443="Blaze Shield II",'CALCULO MORTERO'!P1444, O1443="Cafco 400",'CALCULO MORTERO'!Q1444,O1443="Cafco 300",'CALCULO MORTERO'!S1444, AND(OR(O1443="Fire tex 5090", O1443="Fire Tex 5062", O1443="Fire Tex 5120", O1443="Fire Control"),Q1443&gt;0), "CERT.",TRUE,"-")</f>
        <v>-</v>
      </c>
    </row>
    <row r="1444" spans="1:22" x14ac:dyDescent="0.25">
      <c r="A1444" s="168"/>
      <c r="B1444" s="876"/>
      <c r="C1444" s="161"/>
      <c r="D1444" s="161"/>
      <c r="E1444" s="161"/>
      <c r="F1444" s="41"/>
      <c r="G1444" s="161"/>
      <c r="H1444" s="161"/>
      <c r="I1444" s="166"/>
      <c r="J1444" s="162"/>
      <c r="K1444" s="161"/>
      <c r="L1444" s="161"/>
      <c r="M1444" s="169"/>
      <c r="N1444" s="163" t="str">
        <f t="shared" si="26"/>
        <v/>
      </c>
      <c r="O1444" s="41"/>
      <c r="P1444" s="41"/>
      <c r="Q1444" s="161" t="str">
        <f>+IF(OR(O1444="Fire Control",O1444="Fire Tex 5062",O1444="Fire Tex 5090",O1444="Fire Tex 5120"),'CALCULO PINTURA'!P1445," ")</f>
        <v xml:space="preserve"> </v>
      </c>
      <c r="R1444" s="164" t="str">
        <f>+IF(OR(O1444="Fire Control",O1444="Fire Tex 5062",O1444="Fire Tex 5090",O1444="Fire Tex 5120"),'CALCULO PINTURA'!R1445," ")</f>
        <v xml:space="preserve"> </v>
      </c>
      <c r="S1444" s="164" t="str">
        <f>+IF(OR(O1444="Fire Control",O1444="Fire Tex 5062",O1444="Fire Tex 5090",O1444="Fire Tex 5120"),'CALCULO PINTURA'!S1445," ")</f>
        <v xml:space="preserve"> </v>
      </c>
      <c r="T1444" s="874" t="str">
        <f>+IF(OR(O1444="Blaze Shield II",O1444="Cafco 400",O1444="Cafco 300"),'CALCULO MORTERO'!N1450," ")</f>
        <v xml:space="preserve"> </v>
      </c>
      <c r="U1444" s="875" t="str">
        <f>+IF(OR(O1444="Blaze Shield II",O1444="Cafco 400",O1444="Cafco 300"),'CALCULO MORTERO'!O1450," ")</f>
        <v xml:space="preserve"> </v>
      </c>
      <c r="V1444" s="161" t="str" cm="1">
        <f t="array" ref="V1444">_xlfn.IFS(O1444="Blaze Shield II",'CALCULO MORTERO'!P1445, O1444="Cafco 400",'CALCULO MORTERO'!Q1445,O1444="Cafco 300",'CALCULO MORTERO'!S1445, AND(OR(O1444="Fire tex 5090", O1444="Fire Tex 5062", O1444="Fire Tex 5120", O1444="Fire Control"),Q1444&gt;0), "CERT.",TRUE,"-")</f>
        <v>-</v>
      </c>
    </row>
    <row r="1445" spans="1:22" x14ac:dyDescent="0.25">
      <c r="A1445" s="168"/>
      <c r="B1445" s="876"/>
      <c r="C1445" s="161"/>
      <c r="D1445" s="161"/>
      <c r="E1445" s="161"/>
      <c r="F1445" s="41"/>
      <c r="G1445" s="161"/>
      <c r="H1445" s="161"/>
      <c r="I1445" s="166"/>
      <c r="J1445" s="162"/>
      <c r="K1445" s="161"/>
      <c r="L1445" s="161"/>
      <c r="M1445" s="169"/>
      <c r="N1445" s="163" t="str">
        <f t="shared" si="26"/>
        <v/>
      </c>
      <c r="O1445" s="41"/>
      <c r="P1445" s="41"/>
      <c r="Q1445" s="161" t="str">
        <f>+IF(OR(O1445="Fire Control",O1445="Fire Tex 5062",O1445="Fire Tex 5090",O1445="Fire Tex 5120"),'CALCULO PINTURA'!P1446," ")</f>
        <v xml:space="preserve"> </v>
      </c>
      <c r="R1445" s="164" t="str">
        <f>+IF(OR(O1445="Fire Control",O1445="Fire Tex 5062",O1445="Fire Tex 5090",O1445="Fire Tex 5120"),'CALCULO PINTURA'!R1446," ")</f>
        <v xml:space="preserve"> </v>
      </c>
      <c r="S1445" s="164" t="str">
        <f>+IF(OR(O1445="Fire Control",O1445="Fire Tex 5062",O1445="Fire Tex 5090",O1445="Fire Tex 5120"),'CALCULO PINTURA'!S1446," ")</f>
        <v xml:space="preserve"> </v>
      </c>
      <c r="T1445" s="874" t="str">
        <f>+IF(OR(O1445="Blaze Shield II",O1445="Cafco 400",O1445="Cafco 300"),'CALCULO MORTERO'!N1451," ")</f>
        <v xml:space="preserve"> </v>
      </c>
      <c r="U1445" s="875" t="str">
        <f>+IF(OR(O1445="Blaze Shield II",O1445="Cafco 400",O1445="Cafco 300"),'CALCULO MORTERO'!O1451," ")</f>
        <v xml:space="preserve"> </v>
      </c>
      <c r="V1445" s="161" t="str" cm="1">
        <f t="array" ref="V1445">_xlfn.IFS(O1445="Blaze Shield II",'CALCULO MORTERO'!P1446, O1445="Cafco 400",'CALCULO MORTERO'!Q1446,O1445="Cafco 300",'CALCULO MORTERO'!S1446, AND(OR(O1445="Fire tex 5090", O1445="Fire Tex 5062", O1445="Fire Tex 5120", O1445="Fire Control"),Q1445&gt;0), "CERT.",TRUE,"-")</f>
        <v>-</v>
      </c>
    </row>
    <row r="1446" spans="1:22" x14ac:dyDescent="0.25">
      <c r="A1446" s="168"/>
      <c r="B1446" s="876"/>
      <c r="C1446" s="161"/>
      <c r="D1446" s="161"/>
      <c r="E1446" s="161"/>
      <c r="F1446" s="41"/>
      <c r="G1446" s="161"/>
      <c r="H1446" s="161"/>
      <c r="I1446" s="166"/>
      <c r="J1446" s="162"/>
      <c r="K1446" s="161"/>
      <c r="L1446" s="161"/>
      <c r="M1446" s="169"/>
      <c r="N1446" s="163" t="str">
        <f t="shared" si="26"/>
        <v/>
      </c>
      <c r="O1446" s="41"/>
      <c r="P1446" s="41"/>
      <c r="Q1446" s="161" t="str">
        <f>+IF(OR(O1446="Fire Control",O1446="Fire Tex 5062",O1446="Fire Tex 5090",O1446="Fire Tex 5120"),'CALCULO PINTURA'!P1447," ")</f>
        <v xml:space="preserve"> </v>
      </c>
      <c r="R1446" s="164" t="str">
        <f>+IF(OR(O1446="Fire Control",O1446="Fire Tex 5062",O1446="Fire Tex 5090",O1446="Fire Tex 5120"),'CALCULO PINTURA'!R1447," ")</f>
        <v xml:space="preserve"> </v>
      </c>
      <c r="S1446" s="164" t="str">
        <f>+IF(OR(O1446="Fire Control",O1446="Fire Tex 5062",O1446="Fire Tex 5090",O1446="Fire Tex 5120"),'CALCULO PINTURA'!S1447," ")</f>
        <v xml:space="preserve"> </v>
      </c>
      <c r="T1446" s="874" t="str">
        <f>+IF(OR(O1446="Blaze Shield II",O1446="Cafco 400",O1446="Cafco 300"),'CALCULO MORTERO'!N1452," ")</f>
        <v xml:space="preserve"> </v>
      </c>
      <c r="U1446" s="875" t="str">
        <f>+IF(OR(O1446="Blaze Shield II",O1446="Cafco 400",O1446="Cafco 300"),'CALCULO MORTERO'!O1452," ")</f>
        <v xml:space="preserve"> </v>
      </c>
      <c r="V1446" s="161" t="str" cm="1">
        <f t="array" ref="V1446">_xlfn.IFS(O1446="Blaze Shield II",'CALCULO MORTERO'!P1447, O1446="Cafco 400",'CALCULO MORTERO'!Q1447,O1446="Cafco 300",'CALCULO MORTERO'!S1447, AND(OR(O1446="Fire tex 5090", O1446="Fire Tex 5062", O1446="Fire Tex 5120", O1446="Fire Control"),Q1446&gt;0), "CERT.",TRUE,"-")</f>
        <v>-</v>
      </c>
    </row>
    <row r="1447" spans="1:22" x14ac:dyDescent="0.25">
      <c r="A1447" s="168"/>
      <c r="B1447" s="876"/>
      <c r="C1447" s="161"/>
      <c r="D1447" s="161"/>
      <c r="E1447" s="161"/>
      <c r="F1447" s="41"/>
      <c r="G1447" s="161"/>
      <c r="H1447" s="161"/>
      <c r="I1447" s="166"/>
      <c r="J1447" s="162"/>
      <c r="K1447" s="161"/>
      <c r="L1447" s="161"/>
      <c r="M1447" s="169"/>
      <c r="N1447" s="163" t="str">
        <f t="shared" si="26"/>
        <v/>
      </c>
      <c r="O1447" s="41"/>
      <c r="P1447" s="41"/>
      <c r="Q1447" s="161" t="str">
        <f>+IF(OR(O1447="Fire Control",O1447="Fire Tex 5062",O1447="Fire Tex 5090",O1447="Fire Tex 5120"),'CALCULO PINTURA'!P1448," ")</f>
        <v xml:space="preserve"> </v>
      </c>
      <c r="R1447" s="164" t="str">
        <f>+IF(OR(O1447="Fire Control",O1447="Fire Tex 5062",O1447="Fire Tex 5090",O1447="Fire Tex 5120"),'CALCULO PINTURA'!R1448," ")</f>
        <v xml:space="preserve"> </v>
      </c>
      <c r="S1447" s="164" t="str">
        <f>+IF(OR(O1447="Fire Control",O1447="Fire Tex 5062",O1447="Fire Tex 5090",O1447="Fire Tex 5120"),'CALCULO PINTURA'!S1448," ")</f>
        <v xml:space="preserve"> </v>
      </c>
      <c r="T1447" s="874" t="str">
        <f>+IF(OR(O1447="Blaze Shield II",O1447="Cafco 400",O1447="Cafco 300"),'CALCULO MORTERO'!N1453," ")</f>
        <v xml:space="preserve"> </v>
      </c>
      <c r="U1447" s="875" t="str">
        <f>+IF(OR(O1447="Blaze Shield II",O1447="Cafco 400",O1447="Cafco 300"),'CALCULO MORTERO'!O1453," ")</f>
        <v xml:space="preserve"> </v>
      </c>
      <c r="V1447" s="161" t="str" cm="1">
        <f t="array" ref="V1447">_xlfn.IFS(O1447="Blaze Shield II",'CALCULO MORTERO'!P1448, O1447="Cafco 400",'CALCULO MORTERO'!Q1448,O1447="Cafco 300",'CALCULO MORTERO'!S1448, AND(OR(O1447="Fire tex 5090", O1447="Fire Tex 5062", O1447="Fire Tex 5120", O1447="Fire Control"),Q1447&gt;0), "CERT.",TRUE,"-")</f>
        <v>-</v>
      </c>
    </row>
    <row r="1448" spans="1:22" x14ac:dyDescent="0.25">
      <c r="A1448" s="168"/>
      <c r="B1448" s="876"/>
      <c r="C1448" s="161"/>
      <c r="D1448" s="161"/>
      <c r="E1448" s="161"/>
      <c r="F1448" s="41"/>
      <c r="G1448" s="161"/>
      <c r="H1448" s="161"/>
      <c r="I1448" s="166"/>
      <c r="J1448" s="162"/>
      <c r="K1448" s="161"/>
      <c r="L1448" s="161"/>
      <c r="M1448" s="169"/>
      <c r="N1448" s="163" t="str">
        <f t="shared" si="26"/>
        <v/>
      </c>
      <c r="O1448" s="41"/>
      <c r="P1448" s="41"/>
      <c r="Q1448" s="161" t="str">
        <f>+IF(OR(O1448="Fire Control",O1448="Fire Tex 5062",O1448="Fire Tex 5090",O1448="Fire Tex 5120"),'CALCULO PINTURA'!P1449," ")</f>
        <v xml:space="preserve"> </v>
      </c>
      <c r="R1448" s="164" t="str">
        <f>+IF(OR(O1448="Fire Control",O1448="Fire Tex 5062",O1448="Fire Tex 5090",O1448="Fire Tex 5120"),'CALCULO PINTURA'!R1449," ")</f>
        <v xml:space="preserve"> </v>
      </c>
      <c r="S1448" s="164" t="str">
        <f>+IF(OR(O1448="Fire Control",O1448="Fire Tex 5062",O1448="Fire Tex 5090",O1448="Fire Tex 5120"),'CALCULO PINTURA'!S1449," ")</f>
        <v xml:space="preserve"> </v>
      </c>
      <c r="T1448" s="874" t="str">
        <f>+IF(OR(O1448="Blaze Shield II",O1448="Cafco 400",O1448="Cafco 300"),'CALCULO MORTERO'!N1454," ")</f>
        <v xml:space="preserve"> </v>
      </c>
      <c r="U1448" s="875" t="str">
        <f>+IF(OR(O1448="Blaze Shield II",O1448="Cafco 400",O1448="Cafco 300"),'CALCULO MORTERO'!O1454," ")</f>
        <v xml:space="preserve"> </v>
      </c>
      <c r="V1448" s="161" t="str" cm="1">
        <f t="array" ref="V1448">_xlfn.IFS(O1448="Blaze Shield II",'CALCULO MORTERO'!P1449, O1448="Cafco 400",'CALCULO MORTERO'!Q1449,O1448="Cafco 300",'CALCULO MORTERO'!S1449, AND(OR(O1448="Fire tex 5090", O1448="Fire Tex 5062", O1448="Fire Tex 5120", O1448="Fire Control"),Q1448&gt;0), "CERT.",TRUE,"-")</f>
        <v>-</v>
      </c>
    </row>
    <row r="1449" spans="1:22" x14ac:dyDescent="0.25">
      <c r="A1449" s="168"/>
      <c r="B1449" s="876"/>
      <c r="C1449" s="161"/>
      <c r="D1449" s="161"/>
      <c r="E1449" s="161"/>
      <c r="F1449" s="41"/>
      <c r="G1449" s="161"/>
      <c r="H1449" s="161"/>
      <c r="I1449" s="166"/>
      <c r="J1449" s="162"/>
      <c r="K1449" s="161"/>
      <c r="L1449" s="161"/>
      <c r="M1449" s="169"/>
      <c r="N1449" s="163" t="str">
        <f t="shared" si="26"/>
        <v/>
      </c>
      <c r="O1449" s="41"/>
      <c r="P1449" s="41"/>
      <c r="Q1449" s="161" t="str">
        <f>+IF(OR(O1449="Fire Control",O1449="Fire Tex 5062",O1449="Fire Tex 5090",O1449="Fire Tex 5120"),'CALCULO PINTURA'!P1450," ")</f>
        <v xml:space="preserve"> </v>
      </c>
      <c r="R1449" s="164" t="str">
        <f>+IF(OR(O1449="Fire Control",O1449="Fire Tex 5062",O1449="Fire Tex 5090",O1449="Fire Tex 5120"),'CALCULO PINTURA'!R1450," ")</f>
        <v xml:space="preserve"> </v>
      </c>
      <c r="S1449" s="164" t="str">
        <f>+IF(OR(O1449="Fire Control",O1449="Fire Tex 5062",O1449="Fire Tex 5090",O1449="Fire Tex 5120"),'CALCULO PINTURA'!S1450," ")</f>
        <v xml:space="preserve"> </v>
      </c>
      <c r="T1449" s="874" t="str">
        <f>+IF(OR(O1449="Blaze Shield II",O1449="Cafco 400",O1449="Cafco 300"),'CALCULO MORTERO'!N1455," ")</f>
        <v xml:space="preserve"> </v>
      </c>
      <c r="U1449" s="875" t="str">
        <f>+IF(OR(O1449="Blaze Shield II",O1449="Cafco 400",O1449="Cafco 300"),'CALCULO MORTERO'!O1455," ")</f>
        <v xml:space="preserve"> </v>
      </c>
      <c r="V1449" s="161" t="str" cm="1">
        <f t="array" ref="V1449">_xlfn.IFS(O1449="Blaze Shield II",'CALCULO MORTERO'!P1450, O1449="Cafco 400",'CALCULO MORTERO'!Q1450,O1449="Cafco 300",'CALCULO MORTERO'!S1450, AND(OR(O1449="Fire tex 5090", O1449="Fire Tex 5062", O1449="Fire Tex 5120", O1449="Fire Control"),Q1449&gt;0), "CERT.",TRUE,"-")</f>
        <v>-</v>
      </c>
    </row>
    <row r="1450" spans="1:22" x14ac:dyDescent="0.25">
      <c r="A1450" s="168"/>
      <c r="B1450" s="876"/>
      <c r="C1450" s="161"/>
      <c r="D1450" s="161"/>
      <c r="E1450" s="161"/>
      <c r="F1450" s="41"/>
      <c r="G1450" s="161"/>
      <c r="H1450" s="161"/>
      <c r="I1450" s="166"/>
      <c r="J1450" s="162"/>
      <c r="K1450" s="161"/>
      <c r="L1450" s="161"/>
      <c r="M1450" s="169"/>
      <c r="N1450" s="163" t="str">
        <f t="shared" si="26"/>
        <v/>
      </c>
      <c r="O1450" s="41"/>
      <c r="P1450" s="41"/>
      <c r="Q1450" s="161" t="str">
        <f>+IF(OR(O1450="Fire Control",O1450="Fire Tex 5062",O1450="Fire Tex 5090",O1450="Fire Tex 5120"),'CALCULO PINTURA'!P1451," ")</f>
        <v xml:space="preserve"> </v>
      </c>
      <c r="R1450" s="164" t="str">
        <f>+IF(OR(O1450="Fire Control",O1450="Fire Tex 5062",O1450="Fire Tex 5090",O1450="Fire Tex 5120"),'CALCULO PINTURA'!R1451," ")</f>
        <v xml:space="preserve"> </v>
      </c>
      <c r="S1450" s="164" t="str">
        <f>+IF(OR(O1450="Fire Control",O1450="Fire Tex 5062",O1450="Fire Tex 5090",O1450="Fire Tex 5120"),'CALCULO PINTURA'!S1451," ")</f>
        <v xml:space="preserve"> </v>
      </c>
      <c r="T1450" s="874" t="str">
        <f>+IF(OR(O1450="Blaze Shield II",O1450="Cafco 400",O1450="Cafco 300"),'CALCULO MORTERO'!N1456," ")</f>
        <v xml:space="preserve"> </v>
      </c>
      <c r="U1450" s="875" t="str">
        <f>+IF(OR(O1450="Blaze Shield II",O1450="Cafco 400",O1450="Cafco 300"),'CALCULO MORTERO'!O1456," ")</f>
        <v xml:space="preserve"> </v>
      </c>
      <c r="V1450" s="161" t="str" cm="1">
        <f t="array" ref="V1450">_xlfn.IFS(O1450="Blaze Shield II",'CALCULO MORTERO'!P1451, O1450="Cafco 400",'CALCULO MORTERO'!Q1451,O1450="Cafco 300",'CALCULO MORTERO'!S1451, AND(OR(O1450="Fire tex 5090", O1450="Fire Tex 5062", O1450="Fire Tex 5120", O1450="Fire Control"),Q1450&gt;0), "CERT.",TRUE,"-")</f>
        <v>-</v>
      </c>
    </row>
    <row r="1451" spans="1:22" x14ac:dyDescent="0.25">
      <c r="A1451" s="168"/>
      <c r="B1451" s="876"/>
      <c r="C1451" s="161"/>
      <c r="D1451" s="161"/>
      <c r="E1451" s="161"/>
      <c r="F1451" s="41"/>
      <c r="G1451" s="161"/>
      <c r="H1451" s="161"/>
      <c r="I1451" s="166"/>
      <c r="J1451" s="162"/>
      <c r="K1451" s="161"/>
      <c r="L1451" s="161"/>
      <c r="M1451" s="169"/>
      <c r="N1451" s="163" t="str">
        <f t="shared" si="26"/>
        <v/>
      </c>
      <c r="O1451" s="41"/>
      <c r="P1451" s="41"/>
      <c r="Q1451" s="161" t="str">
        <f>+IF(OR(O1451="Fire Control",O1451="Fire Tex 5062",O1451="Fire Tex 5090",O1451="Fire Tex 5120"),'CALCULO PINTURA'!P1452," ")</f>
        <v xml:space="preserve"> </v>
      </c>
      <c r="R1451" s="164" t="str">
        <f>+IF(OR(O1451="Fire Control",O1451="Fire Tex 5062",O1451="Fire Tex 5090",O1451="Fire Tex 5120"),'CALCULO PINTURA'!R1452," ")</f>
        <v xml:space="preserve"> </v>
      </c>
      <c r="S1451" s="164" t="str">
        <f>+IF(OR(O1451="Fire Control",O1451="Fire Tex 5062",O1451="Fire Tex 5090",O1451="Fire Tex 5120"),'CALCULO PINTURA'!S1452," ")</f>
        <v xml:space="preserve"> </v>
      </c>
      <c r="T1451" s="874" t="str">
        <f>+IF(OR(O1451="Blaze Shield II",O1451="Cafco 400",O1451="Cafco 300"),'CALCULO MORTERO'!N1457," ")</f>
        <v xml:space="preserve"> </v>
      </c>
      <c r="U1451" s="875" t="str">
        <f>+IF(OR(O1451="Blaze Shield II",O1451="Cafco 400",O1451="Cafco 300"),'CALCULO MORTERO'!O1457," ")</f>
        <v xml:space="preserve"> </v>
      </c>
      <c r="V1451" s="161" t="str" cm="1">
        <f t="array" ref="V1451">_xlfn.IFS(O1451="Blaze Shield II",'CALCULO MORTERO'!P1452, O1451="Cafco 400",'CALCULO MORTERO'!Q1452,O1451="Cafco 300",'CALCULO MORTERO'!S1452, AND(OR(O1451="Fire tex 5090", O1451="Fire Tex 5062", O1451="Fire Tex 5120", O1451="Fire Control"),Q1451&gt;0), "CERT.",TRUE,"-")</f>
        <v>-</v>
      </c>
    </row>
    <row r="1452" spans="1:22" x14ac:dyDescent="0.25">
      <c r="A1452" s="168"/>
      <c r="B1452" s="876"/>
      <c r="C1452" s="161"/>
      <c r="D1452" s="161"/>
      <c r="E1452" s="161"/>
      <c r="F1452" s="41"/>
      <c r="G1452" s="161"/>
      <c r="H1452" s="161"/>
      <c r="I1452" s="166"/>
      <c r="J1452" s="162"/>
      <c r="K1452" s="161"/>
      <c r="L1452" s="161"/>
      <c r="M1452" s="169"/>
      <c r="N1452" s="163" t="str">
        <f t="shared" si="26"/>
        <v/>
      </c>
      <c r="O1452" s="41"/>
      <c r="P1452" s="41"/>
      <c r="Q1452" s="161" t="str">
        <f>+IF(OR(O1452="Fire Control",O1452="Fire Tex 5062",O1452="Fire Tex 5090",O1452="Fire Tex 5120"),'CALCULO PINTURA'!P1453," ")</f>
        <v xml:space="preserve"> </v>
      </c>
      <c r="R1452" s="164" t="str">
        <f>+IF(OR(O1452="Fire Control",O1452="Fire Tex 5062",O1452="Fire Tex 5090",O1452="Fire Tex 5120"),'CALCULO PINTURA'!R1453," ")</f>
        <v xml:space="preserve"> </v>
      </c>
      <c r="S1452" s="164" t="str">
        <f>+IF(OR(O1452="Fire Control",O1452="Fire Tex 5062",O1452="Fire Tex 5090",O1452="Fire Tex 5120"),'CALCULO PINTURA'!S1453," ")</f>
        <v xml:space="preserve"> </v>
      </c>
      <c r="T1452" s="874" t="str">
        <f>+IF(OR(O1452="Blaze Shield II",O1452="Cafco 400",O1452="Cafco 300"),'CALCULO MORTERO'!N1458," ")</f>
        <v xml:space="preserve"> </v>
      </c>
      <c r="U1452" s="875" t="str">
        <f>+IF(OR(O1452="Blaze Shield II",O1452="Cafco 400",O1452="Cafco 300"),'CALCULO MORTERO'!O1458," ")</f>
        <v xml:space="preserve"> </v>
      </c>
      <c r="V1452" s="161" t="str" cm="1">
        <f t="array" ref="V1452">_xlfn.IFS(O1452="Blaze Shield II",'CALCULO MORTERO'!P1453, O1452="Cafco 400",'CALCULO MORTERO'!Q1453,O1452="Cafco 300",'CALCULO MORTERO'!S1453, AND(OR(O1452="Fire tex 5090", O1452="Fire Tex 5062", O1452="Fire Tex 5120", O1452="Fire Control"),Q1452&gt;0), "CERT.",TRUE,"-")</f>
        <v>-</v>
      </c>
    </row>
    <row r="1453" spans="1:22" x14ac:dyDescent="0.25">
      <c r="A1453" s="168"/>
      <c r="B1453" s="876"/>
      <c r="C1453" s="161"/>
      <c r="D1453" s="161"/>
      <c r="E1453" s="161"/>
      <c r="F1453" s="41"/>
      <c r="G1453" s="161"/>
      <c r="H1453" s="161"/>
      <c r="I1453" s="166"/>
      <c r="J1453" s="162"/>
      <c r="K1453" s="161"/>
      <c r="L1453" s="161"/>
      <c r="M1453" s="169"/>
      <c r="N1453" s="163" t="str">
        <f t="shared" si="26"/>
        <v/>
      </c>
      <c r="O1453" s="41"/>
      <c r="P1453" s="41"/>
      <c r="Q1453" s="161" t="str">
        <f>+IF(OR(O1453="Fire Control",O1453="Fire Tex 5062",O1453="Fire Tex 5090",O1453="Fire Tex 5120"),'CALCULO PINTURA'!P1454," ")</f>
        <v xml:space="preserve"> </v>
      </c>
      <c r="R1453" s="164" t="str">
        <f>+IF(OR(O1453="Fire Control",O1453="Fire Tex 5062",O1453="Fire Tex 5090",O1453="Fire Tex 5120"),'CALCULO PINTURA'!R1454," ")</f>
        <v xml:space="preserve"> </v>
      </c>
      <c r="S1453" s="164" t="str">
        <f>+IF(OR(O1453="Fire Control",O1453="Fire Tex 5062",O1453="Fire Tex 5090",O1453="Fire Tex 5120"),'CALCULO PINTURA'!S1454," ")</f>
        <v xml:space="preserve"> </v>
      </c>
      <c r="T1453" s="874" t="str">
        <f>+IF(OR(O1453="Blaze Shield II",O1453="Cafco 400",O1453="Cafco 300"),'CALCULO MORTERO'!N1459," ")</f>
        <v xml:space="preserve"> </v>
      </c>
      <c r="U1453" s="875" t="str">
        <f>+IF(OR(O1453="Blaze Shield II",O1453="Cafco 400",O1453="Cafco 300"),'CALCULO MORTERO'!O1459," ")</f>
        <v xml:space="preserve"> </v>
      </c>
      <c r="V1453" s="161" t="str" cm="1">
        <f t="array" ref="V1453">_xlfn.IFS(O1453="Blaze Shield II",'CALCULO MORTERO'!P1454, O1453="Cafco 400",'CALCULO MORTERO'!Q1454,O1453="Cafco 300",'CALCULO MORTERO'!S1454, AND(OR(O1453="Fire tex 5090", O1453="Fire Tex 5062", O1453="Fire Tex 5120", O1453="Fire Control"),Q1453&gt;0), "CERT.",TRUE,"-")</f>
        <v>-</v>
      </c>
    </row>
    <row r="1454" spans="1:22" x14ac:dyDescent="0.25">
      <c r="A1454" s="168"/>
      <c r="B1454" s="876"/>
      <c r="C1454" s="161"/>
      <c r="D1454" s="161"/>
      <c r="E1454" s="161"/>
      <c r="F1454" s="161"/>
      <c r="G1454" s="161"/>
      <c r="H1454" s="161"/>
      <c r="I1454" s="166"/>
      <c r="J1454" s="162"/>
      <c r="K1454" s="161"/>
      <c r="L1454" s="161"/>
      <c r="M1454" s="163"/>
      <c r="N1454" s="163" t="str">
        <f t="shared" si="26"/>
        <v/>
      </c>
      <c r="O1454" s="41"/>
      <c r="P1454" s="41"/>
      <c r="Q1454" s="161" t="str">
        <f>+IF(OR(O1454="Fire Control",O1454="Fire Tex 5062",O1454="Fire Tex 5090",O1454="Fire Tex 5120"),'CALCULO PINTURA'!P1455," ")</f>
        <v xml:space="preserve"> </v>
      </c>
      <c r="R1454" s="164" t="str">
        <f>+IF(OR(O1454="Fire Control",O1454="Fire Tex 5062",O1454="Fire Tex 5090",O1454="Fire Tex 5120"),'CALCULO PINTURA'!R1455," ")</f>
        <v xml:space="preserve"> </v>
      </c>
      <c r="S1454" s="164" t="str">
        <f>+IF(OR(O1454="Fire Control",O1454="Fire Tex 5062",O1454="Fire Tex 5090",O1454="Fire Tex 5120"),'CALCULO PINTURA'!S1455," ")</f>
        <v xml:space="preserve"> </v>
      </c>
      <c r="T1454" s="874" t="str">
        <f>+IF(OR(O1454="Blaze Shield II",O1454="Cafco 400",O1454="Cafco 300"),'CALCULO MORTERO'!N1460," ")</f>
        <v xml:space="preserve"> </v>
      </c>
      <c r="U1454" s="875" t="str">
        <f>+IF(OR(O1454="Blaze Shield II",O1454="Cafco 400",O1454="Cafco 300"),'CALCULO MORTERO'!O1460," ")</f>
        <v xml:space="preserve"> </v>
      </c>
      <c r="V1454" s="161" t="str" cm="1">
        <f t="array" ref="V1454">_xlfn.IFS(O1454="Blaze Shield II",'CALCULO MORTERO'!P1455, O1454="Cafco 400",'CALCULO MORTERO'!Q1455,O1454="Cafco 300",'CALCULO MORTERO'!S1455, AND(OR(O1454="Fire tex 5090", O1454="Fire Tex 5062", O1454="Fire Tex 5120", O1454="Fire Control"),Q1454&gt;0), "CERT.",TRUE,"-")</f>
        <v>-</v>
      </c>
    </row>
    <row r="1455" spans="1:22" x14ac:dyDescent="0.25">
      <c r="A1455" s="168"/>
      <c r="B1455" s="876"/>
      <c r="C1455" s="161"/>
      <c r="D1455" s="161"/>
      <c r="E1455" s="161"/>
      <c r="F1455" s="161"/>
      <c r="G1455" s="161"/>
      <c r="H1455" s="161"/>
      <c r="I1455" s="166"/>
      <c r="J1455" s="162"/>
      <c r="K1455" s="161"/>
      <c r="L1455" s="161"/>
      <c r="M1455" s="163"/>
      <c r="N1455" s="163" t="str">
        <f t="shared" si="26"/>
        <v/>
      </c>
      <c r="O1455" s="41"/>
      <c r="P1455" s="41"/>
      <c r="Q1455" s="161" t="str">
        <f>+IF(OR(O1455="Fire Control",O1455="Fire Tex 5062",O1455="Fire Tex 5090",O1455="Fire Tex 5120"),'CALCULO PINTURA'!P1456," ")</f>
        <v xml:space="preserve"> </v>
      </c>
      <c r="R1455" s="164" t="str">
        <f>+IF(OR(O1455="Fire Control",O1455="Fire Tex 5062",O1455="Fire Tex 5090",O1455="Fire Tex 5120"),'CALCULO PINTURA'!R1456," ")</f>
        <v xml:space="preserve"> </v>
      </c>
      <c r="S1455" s="164" t="str">
        <f>+IF(OR(O1455="Fire Control",O1455="Fire Tex 5062",O1455="Fire Tex 5090",O1455="Fire Tex 5120"),'CALCULO PINTURA'!S1456," ")</f>
        <v xml:space="preserve"> </v>
      </c>
      <c r="T1455" s="874" t="str">
        <f>+IF(OR(O1455="Blaze Shield II",O1455="Cafco 400",O1455="Cafco 300"),'CALCULO MORTERO'!N1461," ")</f>
        <v xml:space="preserve"> </v>
      </c>
      <c r="U1455" s="875" t="str">
        <f>+IF(OR(O1455="Blaze Shield II",O1455="Cafco 400",O1455="Cafco 300"),'CALCULO MORTERO'!O1461," ")</f>
        <v xml:space="preserve"> </v>
      </c>
      <c r="V1455" s="161" t="str" cm="1">
        <f t="array" ref="V1455">_xlfn.IFS(O1455="Blaze Shield II",'CALCULO MORTERO'!P1456, O1455="Cafco 400",'CALCULO MORTERO'!Q1456,O1455="Cafco 300",'CALCULO MORTERO'!S1456, AND(OR(O1455="Fire tex 5090", O1455="Fire Tex 5062", O1455="Fire Tex 5120", O1455="Fire Control"),Q1455&gt;0), "CERT.",TRUE,"-")</f>
        <v>-</v>
      </c>
    </row>
    <row r="1456" spans="1:22" x14ac:dyDescent="0.25">
      <c r="A1456" s="168"/>
      <c r="B1456" s="876"/>
      <c r="C1456" s="161"/>
      <c r="D1456" s="161"/>
      <c r="E1456" s="161"/>
      <c r="F1456" s="161"/>
      <c r="G1456" s="161"/>
      <c r="H1456" s="161"/>
      <c r="I1456" s="166"/>
      <c r="J1456" s="162"/>
      <c r="K1456" s="161"/>
      <c r="L1456" s="161"/>
      <c r="M1456" s="163"/>
      <c r="N1456" s="163" t="str">
        <f t="shared" si="26"/>
        <v/>
      </c>
      <c r="O1456" s="41"/>
      <c r="P1456" s="41"/>
      <c r="Q1456" s="161" t="str">
        <f>+IF(OR(O1456="Fire Control",O1456="Fire Tex 5062",O1456="Fire Tex 5090",O1456="Fire Tex 5120"),'CALCULO PINTURA'!P1457," ")</f>
        <v xml:space="preserve"> </v>
      </c>
      <c r="R1456" s="164" t="str">
        <f>+IF(OR(O1456="Fire Control",O1456="Fire Tex 5062",O1456="Fire Tex 5090",O1456="Fire Tex 5120"),'CALCULO PINTURA'!R1457," ")</f>
        <v xml:space="preserve"> </v>
      </c>
      <c r="S1456" s="164" t="str">
        <f>+IF(OR(O1456="Fire Control",O1456="Fire Tex 5062",O1456="Fire Tex 5090",O1456="Fire Tex 5120"),'CALCULO PINTURA'!S1457," ")</f>
        <v xml:space="preserve"> </v>
      </c>
      <c r="T1456" s="874" t="str">
        <f>+IF(OR(O1456="Blaze Shield II",O1456="Cafco 400",O1456="Cafco 300"),'CALCULO MORTERO'!N1462," ")</f>
        <v xml:space="preserve"> </v>
      </c>
      <c r="U1456" s="875" t="str">
        <f>+IF(OR(O1456="Blaze Shield II",O1456="Cafco 400",O1456="Cafco 300"),'CALCULO MORTERO'!O1462," ")</f>
        <v xml:space="preserve"> </v>
      </c>
      <c r="V1456" s="161" t="str" cm="1">
        <f t="array" ref="V1456">_xlfn.IFS(O1456="Blaze Shield II",'CALCULO MORTERO'!P1457, O1456="Cafco 400",'CALCULO MORTERO'!Q1457,O1456="Cafco 300",'CALCULO MORTERO'!S1457, AND(OR(O1456="Fire tex 5090", O1456="Fire Tex 5062", O1456="Fire Tex 5120", O1456="Fire Control"),Q1456&gt;0), "CERT.",TRUE,"-")</f>
        <v>-</v>
      </c>
    </row>
    <row r="1457" spans="1:22" x14ac:dyDescent="0.25">
      <c r="A1457" s="168"/>
      <c r="B1457" s="876"/>
      <c r="C1457" s="161"/>
      <c r="D1457" s="161"/>
      <c r="E1457" s="161"/>
      <c r="F1457" s="161"/>
      <c r="G1457" s="161"/>
      <c r="H1457" s="161"/>
      <c r="I1457" s="166"/>
      <c r="J1457" s="162"/>
      <c r="K1457" s="161"/>
      <c r="L1457" s="161"/>
      <c r="M1457" s="163"/>
      <c r="N1457" s="163" t="str">
        <f t="shared" si="26"/>
        <v/>
      </c>
      <c r="O1457" s="41"/>
      <c r="P1457" s="41"/>
      <c r="Q1457" s="161" t="str">
        <f>+IF(OR(O1457="Fire Control",O1457="Fire Tex 5062",O1457="Fire Tex 5090",O1457="Fire Tex 5120"),'CALCULO PINTURA'!P1458," ")</f>
        <v xml:space="preserve"> </v>
      </c>
      <c r="R1457" s="164" t="str">
        <f>+IF(OR(O1457="Fire Control",O1457="Fire Tex 5062",O1457="Fire Tex 5090",O1457="Fire Tex 5120"),'CALCULO PINTURA'!R1458," ")</f>
        <v xml:space="preserve"> </v>
      </c>
      <c r="S1457" s="164" t="str">
        <f>+IF(OR(O1457="Fire Control",O1457="Fire Tex 5062",O1457="Fire Tex 5090",O1457="Fire Tex 5120"),'CALCULO PINTURA'!S1458," ")</f>
        <v xml:space="preserve"> </v>
      </c>
      <c r="T1457" s="874" t="str">
        <f>+IF(OR(O1457="Blaze Shield II",O1457="Cafco 400",O1457="Cafco 300"),'CALCULO MORTERO'!N1463," ")</f>
        <v xml:space="preserve"> </v>
      </c>
      <c r="U1457" s="875" t="str">
        <f>+IF(OR(O1457="Blaze Shield II",O1457="Cafco 400",O1457="Cafco 300"),'CALCULO MORTERO'!O1463," ")</f>
        <v xml:space="preserve"> </v>
      </c>
      <c r="V1457" s="161" t="str" cm="1">
        <f t="array" ref="V1457">_xlfn.IFS(O1457="Blaze Shield II",'CALCULO MORTERO'!P1458, O1457="Cafco 400",'CALCULO MORTERO'!Q1458,O1457="Cafco 300",'CALCULO MORTERO'!S1458, AND(OR(O1457="Fire tex 5090", O1457="Fire Tex 5062", O1457="Fire Tex 5120", O1457="Fire Control"),Q1457&gt;0), "CERT.",TRUE,"-")</f>
        <v>-</v>
      </c>
    </row>
    <row r="1458" spans="1:22" x14ac:dyDescent="0.25">
      <c r="A1458" s="168"/>
      <c r="B1458" s="876"/>
      <c r="C1458" s="161"/>
      <c r="D1458" s="161"/>
      <c r="E1458" s="161"/>
      <c r="F1458" s="161"/>
      <c r="G1458" s="161"/>
      <c r="H1458" s="161"/>
      <c r="I1458" s="166"/>
      <c r="J1458" s="162"/>
      <c r="K1458" s="161"/>
      <c r="L1458" s="161"/>
      <c r="M1458" s="169"/>
      <c r="N1458" s="163" t="str">
        <f t="shared" si="26"/>
        <v/>
      </c>
      <c r="O1458" s="41"/>
      <c r="P1458" s="41"/>
      <c r="Q1458" s="161" t="str">
        <f>+IF(OR(O1458="Fire Control",O1458="Fire Tex 5062",O1458="Fire Tex 5090",O1458="Fire Tex 5120"),'CALCULO PINTURA'!P1459," ")</f>
        <v xml:space="preserve"> </v>
      </c>
      <c r="R1458" s="164" t="str">
        <f>+IF(OR(O1458="Fire Control",O1458="Fire Tex 5062",O1458="Fire Tex 5090",O1458="Fire Tex 5120"),'CALCULO PINTURA'!R1459," ")</f>
        <v xml:space="preserve"> </v>
      </c>
      <c r="S1458" s="164" t="str">
        <f>+IF(OR(O1458="Fire Control",O1458="Fire Tex 5062",O1458="Fire Tex 5090",O1458="Fire Tex 5120"),'CALCULO PINTURA'!S1459," ")</f>
        <v xml:space="preserve"> </v>
      </c>
      <c r="T1458" s="874" t="str">
        <f>+IF(OR(O1458="Blaze Shield II",O1458="Cafco 400",O1458="Cafco 300"),'CALCULO MORTERO'!N1464," ")</f>
        <v xml:space="preserve"> </v>
      </c>
      <c r="U1458" s="875" t="str">
        <f>+IF(OR(O1458="Blaze Shield II",O1458="Cafco 400",O1458="Cafco 300"),'CALCULO MORTERO'!O1464," ")</f>
        <v xml:space="preserve"> </v>
      </c>
      <c r="V1458" s="161" t="str" cm="1">
        <f t="array" ref="V1458">_xlfn.IFS(O1458="Blaze Shield II",'CALCULO MORTERO'!P1459, O1458="Cafco 400",'CALCULO MORTERO'!Q1459,O1458="Cafco 300",'CALCULO MORTERO'!S1459, AND(OR(O1458="Fire tex 5090", O1458="Fire Tex 5062", O1458="Fire Tex 5120", O1458="Fire Control"),Q1458&gt;0), "CERT.",TRUE,"-")</f>
        <v>-</v>
      </c>
    </row>
    <row r="1459" spans="1:22" x14ac:dyDescent="0.25">
      <c r="A1459" s="168"/>
      <c r="B1459" s="876"/>
      <c r="C1459" s="161"/>
      <c r="D1459" s="161"/>
      <c r="E1459" s="161"/>
      <c r="F1459" s="161"/>
      <c r="G1459" s="161"/>
      <c r="H1459" s="161"/>
      <c r="I1459" s="166"/>
      <c r="J1459" s="162"/>
      <c r="K1459" s="161"/>
      <c r="L1459" s="161"/>
      <c r="M1459" s="163"/>
      <c r="N1459" s="163" t="str">
        <f t="shared" si="26"/>
        <v/>
      </c>
      <c r="O1459" s="41"/>
      <c r="P1459" s="41"/>
      <c r="Q1459" s="161" t="str">
        <f>+IF(OR(O1459="Fire Control",O1459="Fire Tex 5062",O1459="Fire Tex 5090",O1459="Fire Tex 5120"),'CALCULO PINTURA'!P1460," ")</f>
        <v xml:space="preserve"> </v>
      </c>
      <c r="R1459" s="164" t="str">
        <f>+IF(OR(O1459="Fire Control",O1459="Fire Tex 5062",O1459="Fire Tex 5090",O1459="Fire Tex 5120"),'CALCULO PINTURA'!R1460," ")</f>
        <v xml:space="preserve"> </v>
      </c>
      <c r="S1459" s="164" t="str">
        <f>+IF(OR(O1459="Fire Control",O1459="Fire Tex 5062",O1459="Fire Tex 5090",O1459="Fire Tex 5120"),'CALCULO PINTURA'!S1460," ")</f>
        <v xml:space="preserve"> </v>
      </c>
      <c r="T1459" s="874" t="str">
        <f>+IF(OR(O1459="Blaze Shield II",O1459="Cafco 400",O1459="Cafco 300"),'CALCULO MORTERO'!N1465," ")</f>
        <v xml:space="preserve"> </v>
      </c>
      <c r="U1459" s="875" t="str">
        <f>+IF(OR(O1459="Blaze Shield II",O1459="Cafco 400",O1459="Cafco 300"),'CALCULO MORTERO'!O1465," ")</f>
        <v xml:space="preserve"> </v>
      </c>
      <c r="V1459" s="161" t="str" cm="1">
        <f t="array" ref="V1459">_xlfn.IFS(O1459="Blaze Shield II",'CALCULO MORTERO'!P1460, O1459="Cafco 400",'CALCULO MORTERO'!Q1460,O1459="Cafco 300",'CALCULO MORTERO'!S1460, AND(OR(O1459="Fire tex 5090", O1459="Fire Tex 5062", O1459="Fire Tex 5120", O1459="Fire Control"),Q1459&gt;0), "CERT.",TRUE,"-")</f>
        <v>-</v>
      </c>
    </row>
    <row r="1460" spans="1:22" x14ac:dyDescent="0.25">
      <c r="A1460" s="168"/>
      <c r="B1460" s="876"/>
      <c r="C1460" s="161"/>
      <c r="D1460" s="161"/>
      <c r="E1460" s="161"/>
      <c r="F1460" s="41"/>
      <c r="G1460" s="161"/>
      <c r="H1460" s="161"/>
      <c r="I1460" s="166"/>
      <c r="J1460" s="162"/>
      <c r="K1460" s="161"/>
      <c r="L1460" s="161"/>
      <c r="M1460" s="169"/>
      <c r="N1460" s="163" t="str">
        <f t="shared" si="26"/>
        <v/>
      </c>
      <c r="O1460" s="41"/>
      <c r="P1460" s="41"/>
      <c r="Q1460" s="161" t="str">
        <f>+IF(OR(O1460="Fire Control",O1460="Fire Tex 5062",O1460="Fire Tex 5090",O1460="Fire Tex 5120"),'CALCULO PINTURA'!P1461," ")</f>
        <v xml:space="preserve"> </v>
      </c>
      <c r="R1460" s="164" t="str">
        <f>+IF(OR(O1460="Fire Control",O1460="Fire Tex 5062",O1460="Fire Tex 5090",O1460="Fire Tex 5120"),'CALCULO PINTURA'!R1461," ")</f>
        <v xml:space="preserve"> </v>
      </c>
      <c r="S1460" s="164" t="str">
        <f>+IF(OR(O1460="Fire Control",O1460="Fire Tex 5062",O1460="Fire Tex 5090",O1460="Fire Tex 5120"),'CALCULO PINTURA'!S1461," ")</f>
        <v xml:space="preserve"> </v>
      </c>
      <c r="T1460" s="874" t="str">
        <f>+IF(OR(O1460="Blaze Shield II",O1460="Cafco 400",O1460="Cafco 300"),'CALCULO MORTERO'!N1466," ")</f>
        <v xml:space="preserve"> </v>
      </c>
      <c r="U1460" s="875" t="str">
        <f>+IF(OR(O1460="Blaze Shield II",O1460="Cafco 400",O1460="Cafco 300"),'CALCULO MORTERO'!O1466," ")</f>
        <v xml:space="preserve"> </v>
      </c>
      <c r="V1460" s="161" t="str" cm="1">
        <f t="array" ref="V1460">_xlfn.IFS(O1460="Blaze Shield II",'CALCULO MORTERO'!P1461, O1460="Cafco 400",'CALCULO MORTERO'!Q1461,O1460="Cafco 300",'CALCULO MORTERO'!S1461, AND(OR(O1460="Fire tex 5090", O1460="Fire Tex 5062", O1460="Fire Tex 5120", O1460="Fire Control"),Q1460&gt;0), "CERT.",TRUE,"-")</f>
        <v>-</v>
      </c>
    </row>
    <row r="1461" spans="1:22" x14ac:dyDescent="0.25">
      <c r="A1461" s="168"/>
      <c r="B1461" s="876"/>
      <c r="C1461" s="161"/>
      <c r="D1461" s="161"/>
      <c r="E1461" s="161"/>
      <c r="F1461" s="41"/>
      <c r="G1461" s="161"/>
      <c r="H1461" s="161"/>
      <c r="I1461" s="166"/>
      <c r="J1461" s="162"/>
      <c r="K1461" s="161"/>
      <c r="L1461" s="161"/>
      <c r="M1461" s="169"/>
      <c r="N1461" s="163" t="str">
        <f t="shared" si="26"/>
        <v/>
      </c>
      <c r="O1461" s="41"/>
      <c r="P1461" s="41"/>
      <c r="Q1461" s="161" t="str">
        <f>+IF(OR(O1461="Fire Control",O1461="Fire Tex 5062",O1461="Fire Tex 5090",O1461="Fire Tex 5120"),'CALCULO PINTURA'!P1462," ")</f>
        <v xml:space="preserve"> </v>
      </c>
      <c r="R1461" s="164" t="str">
        <f>+IF(OR(O1461="Fire Control",O1461="Fire Tex 5062",O1461="Fire Tex 5090",O1461="Fire Tex 5120"),'CALCULO PINTURA'!R1462," ")</f>
        <v xml:space="preserve"> </v>
      </c>
      <c r="S1461" s="164" t="str">
        <f>+IF(OR(O1461="Fire Control",O1461="Fire Tex 5062",O1461="Fire Tex 5090",O1461="Fire Tex 5120"),'CALCULO PINTURA'!S1462," ")</f>
        <v xml:space="preserve"> </v>
      </c>
      <c r="T1461" s="874" t="str">
        <f>+IF(OR(O1461="Blaze Shield II",O1461="Cafco 400",O1461="Cafco 300"),'CALCULO MORTERO'!N1467," ")</f>
        <v xml:space="preserve"> </v>
      </c>
      <c r="U1461" s="875" t="str">
        <f>+IF(OR(O1461="Blaze Shield II",O1461="Cafco 400",O1461="Cafco 300"),'CALCULO MORTERO'!O1467," ")</f>
        <v xml:space="preserve"> </v>
      </c>
      <c r="V1461" s="161" t="str" cm="1">
        <f t="array" ref="V1461">_xlfn.IFS(O1461="Blaze Shield II",'CALCULO MORTERO'!P1462, O1461="Cafco 400",'CALCULO MORTERO'!Q1462,O1461="Cafco 300",'CALCULO MORTERO'!S1462, AND(OR(O1461="Fire tex 5090", O1461="Fire Tex 5062", O1461="Fire Tex 5120", O1461="Fire Control"),Q1461&gt;0), "CERT.",TRUE,"-")</f>
        <v>-</v>
      </c>
    </row>
    <row r="1462" spans="1:22" x14ac:dyDescent="0.25">
      <c r="A1462" s="168"/>
      <c r="B1462" s="876"/>
      <c r="C1462" s="161"/>
      <c r="D1462" s="161"/>
      <c r="E1462" s="161"/>
      <c r="F1462" s="41"/>
      <c r="G1462" s="161"/>
      <c r="H1462" s="161"/>
      <c r="I1462" s="166"/>
      <c r="J1462" s="162"/>
      <c r="K1462" s="161"/>
      <c r="L1462" s="161"/>
      <c r="M1462" s="169"/>
      <c r="N1462" s="163" t="str">
        <f t="shared" si="26"/>
        <v/>
      </c>
      <c r="O1462" s="41"/>
      <c r="P1462" s="41"/>
      <c r="Q1462" s="161" t="str">
        <f>+IF(OR(O1462="Fire Control",O1462="Fire Tex 5062",O1462="Fire Tex 5090",O1462="Fire Tex 5120"),'CALCULO PINTURA'!P1463," ")</f>
        <v xml:space="preserve"> </v>
      </c>
      <c r="R1462" s="164" t="str">
        <f>+IF(OR(O1462="Fire Control",O1462="Fire Tex 5062",O1462="Fire Tex 5090",O1462="Fire Tex 5120"),'CALCULO PINTURA'!R1463," ")</f>
        <v xml:space="preserve"> </v>
      </c>
      <c r="S1462" s="164" t="str">
        <f>+IF(OR(O1462="Fire Control",O1462="Fire Tex 5062",O1462="Fire Tex 5090",O1462="Fire Tex 5120"),'CALCULO PINTURA'!S1463," ")</f>
        <v xml:space="preserve"> </v>
      </c>
      <c r="T1462" s="874" t="str">
        <f>+IF(OR(O1462="Blaze Shield II",O1462="Cafco 400",O1462="Cafco 300"),'CALCULO MORTERO'!N1468," ")</f>
        <v xml:space="preserve"> </v>
      </c>
      <c r="U1462" s="875" t="str">
        <f>+IF(OR(O1462="Blaze Shield II",O1462="Cafco 400",O1462="Cafco 300"),'CALCULO MORTERO'!O1468," ")</f>
        <v xml:space="preserve"> </v>
      </c>
      <c r="V1462" s="161" t="str" cm="1">
        <f t="array" ref="V1462">_xlfn.IFS(O1462="Blaze Shield II",'CALCULO MORTERO'!P1463, O1462="Cafco 400",'CALCULO MORTERO'!Q1463,O1462="Cafco 300",'CALCULO MORTERO'!S1463, AND(OR(O1462="Fire tex 5090", O1462="Fire Tex 5062", O1462="Fire Tex 5120", O1462="Fire Control"),Q1462&gt;0), "CERT.",TRUE,"-")</f>
        <v>-</v>
      </c>
    </row>
    <row r="1463" spans="1:22" x14ac:dyDescent="0.25">
      <c r="A1463" s="168"/>
      <c r="B1463" s="876"/>
      <c r="C1463" s="161"/>
      <c r="D1463" s="161"/>
      <c r="E1463" s="161"/>
      <c r="F1463" s="41"/>
      <c r="G1463" s="161"/>
      <c r="H1463" s="161"/>
      <c r="I1463" s="166"/>
      <c r="J1463" s="162"/>
      <c r="K1463" s="161"/>
      <c r="L1463" s="161"/>
      <c r="M1463" s="169"/>
      <c r="N1463" s="163" t="str">
        <f t="shared" si="26"/>
        <v/>
      </c>
      <c r="O1463" s="41"/>
      <c r="P1463" s="41"/>
      <c r="Q1463" s="161" t="str">
        <f>+IF(OR(O1463="Fire Control",O1463="Fire Tex 5062",O1463="Fire Tex 5090",O1463="Fire Tex 5120"),'CALCULO PINTURA'!P1464," ")</f>
        <v xml:space="preserve"> </v>
      </c>
      <c r="R1463" s="164" t="str">
        <f>+IF(OR(O1463="Fire Control",O1463="Fire Tex 5062",O1463="Fire Tex 5090",O1463="Fire Tex 5120"),'CALCULO PINTURA'!R1464," ")</f>
        <v xml:space="preserve"> </v>
      </c>
      <c r="S1463" s="164" t="str">
        <f>+IF(OR(O1463="Fire Control",O1463="Fire Tex 5062",O1463="Fire Tex 5090",O1463="Fire Tex 5120"),'CALCULO PINTURA'!S1464," ")</f>
        <v xml:space="preserve"> </v>
      </c>
      <c r="T1463" s="874" t="str">
        <f>+IF(OR(O1463="Blaze Shield II",O1463="Cafco 400",O1463="Cafco 300"),'CALCULO MORTERO'!N1469," ")</f>
        <v xml:space="preserve"> </v>
      </c>
      <c r="U1463" s="875" t="str">
        <f>+IF(OR(O1463="Blaze Shield II",O1463="Cafco 400",O1463="Cafco 300"),'CALCULO MORTERO'!O1469," ")</f>
        <v xml:space="preserve"> </v>
      </c>
      <c r="V1463" s="161" t="str" cm="1">
        <f t="array" ref="V1463">_xlfn.IFS(O1463="Blaze Shield II",'CALCULO MORTERO'!P1464, O1463="Cafco 400",'CALCULO MORTERO'!Q1464,O1463="Cafco 300",'CALCULO MORTERO'!S1464, AND(OR(O1463="Fire tex 5090", O1463="Fire Tex 5062", O1463="Fire Tex 5120", O1463="Fire Control"),Q1463&gt;0), "CERT.",TRUE,"-")</f>
        <v>-</v>
      </c>
    </row>
    <row r="1464" spans="1:22" x14ac:dyDescent="0.25">
      <c r="A1464" s="168"/>
      <c r="B1464" s="876"/>
      <c r="C1464" s="161"/>
      <c r="D1464" s="161"/>
      <c r="E1464" s="161"/>
      <c r="F1464" s="41"/>
      <c r="G1464" s="161"/>
      <c r="H1464" s="161"/>
      <c r="I1464" s="166"/>
      <c r="J1464" s="162"/>
      <c r="K1464" s="161"/>
      <c r="L1464" s="161"/>
      <c r="M1464" s="169"/>
      <c r="N1464" s="163" t="str">
        <f t="shared" si="26"/>
        <v/>
      </c>
      <c r="O1464" s="41"/>
      <c r="P1464" s="41"/>
      <c r="Q1464" s="161" t="str">
        <f>+IF(OR(O1464="Fire Control",O1464="Fire Tex 5062",O1464="Fire Tex 5090",O1464="Fire Tex 5120"),'CALCULO PINTURA'!P1465," ")</f>
        <v xml:space="preserve"> </v>
      </c>
      <c r="R1464" s="164" t="str">
        <f>+IF(OR(O1464="Fire Control",O1464="Fire Tex 5062",O1464="Fire Tex 5090",O1464="Fire Tex 5120"),'CALCULO PINTURA'!R1465," ")</f>
        <v xml:space="preserve"> </v>
      </c>
      <c r="S1464" s="164" t="str">
        <f>+IF(OR(O1464="Fire Control",O1464="Fire Tex 5062",O1464="Fire Tex 5090",O1464="Fire Tex 5120"),'CALCULO PINTURA'!S1465," ")</f>
        <v xml:space="preserve"> </v>
      </c>
      <c r="T1464" s="874" t="str">
        <f>+IF(OR(O1464="Blaze Shield II",O1464="Cafco 400",O1464="Cafco 300"),'CALCULO MORTERO'!N1470," ")</f>
        <v xml:space="preserve"> </v>
      </c>
      <c r="U1464" s="875" t="str">
        <f>+IF(OR(O1464="Blaze Shield II",O1464="Cafco 400",O1464="Cafco 300"),'CALCULO MORTERO'!O1470," ")</f>
        <v xml:space="preserve"> </v>
      </c>
      <c r="V1464" s="161" t="str" cm="1">
        <f t="array" ref="V1464">_xlfn.IFS(O1464="Blaze Shield II",'CALCULO MORTERO'!P1465, O1464="Cafco 400",'CALCULO MORTERO'!Q1465,O1464="Cafco 300",'CALCULO MORTERO'!S1465, AND(OR(O1464="Fire tex 5090", O1464="Fire Tex 5062", O1464="Fire Tex 5120", O1464="Fire Control"),Q1464&gt;0), "CERT.",TRUE,"-")</f>
        <v>-</v>
      </c>
    </row>
    <row r="1465" spans="1:22" x14ac:dyDescent="0.25">
      <c r="A1465" s="168"/>
      <c r="B1465" s="876"/>
      <c r="C1465" s="161"/>
      <c r="D1465" s="161"/>
      <c r="E1465" s="161"/>
      <c r="F1465" s="41"/>
      <c r="G1465" s="161"/>
      <c r="H1465" s="161"/>
      <c r="I1465" s="166"/>
      <c r="J1465" s="162"/>
      <c r="K1465" s="161"/>
      <c r="L1465" s="161"/>
      <c r="M1465" s="169"/>
      <c r="N1465" s="163" t="str">
        <f t="shared" si="26"/>
        <v/>
      </c>
      <c r="O1465" s="41"/>
      <c r="P1465" s="41"/>
      <c r="Q1465" s="161" t="str">
        <f>+IF(OR(O1465="Fire Control",O1465="Fire Tex 5062",O1465="Fire Tex 5090",O1465="Fire Tex 5120"),'CALCULO PINTURA'!P1466," ")</f>
        <v xml:space="preserve"> </v>
      </c>
      <c r="R1465" s="164" t="str">
        <f>+IF(OR(O1465="Fire Control",O1465="Fire Tex 5062",O1465="Fire Tex 5090",O1465="Fire Tex 5120"),'CALCULO PINTURA'!R1466," ")</f>
        <v xml:space="preserve"> </v>
      </c>
      <c r="S1465" s="164" t="str">
        <f>+IF(OR(O1465="Fire Control",O1465="Fire Tex 5062",O1465="Fire Tex 5090",O1465="Fire Tex 5120"),'CALCULO PINTURA'!S1466," ")</f>
        <v xml:space="preserve"> </v>
      </c>
      <c r="T1465" s="874" t="str">
        <f>+IF(OR(O1465="Blaze Shield II",O1465="Cafco 400",O1465="Cafco 300"),'CALCULO MORTERO'!N1471," ")</f>
        <v xml:space="preserve"> </v>
      </c>
      <c r="U1465" s="875" t="str">
        <f>+IF(OR(O1465="Blaze Shield II",O1465="Cafco 400",O1465="Cafco 300"),'CALCULO MORTERO'!O1471," ")</f>
        <v xml:space="preserve"> </v>
      </c>
      <c r="V1465" s="161" t="str" cm="1">
        <f t="array" ref="V1465">_xlfn.IFS(O1465="Blaze Shield II",'CALCULO MORTERO'!P1466, O1465="Cafco 400",'CALCULO MORTERO'!Q1466,O1465="Cafco 300",'CALCULO MORTERO'!S1466, AND(OR(O1465="Fire tex 5090", O1465="Fire Tex 5062", O1465="Fire Tex 5120", O1465="Fire Control"),Q1465&gt;0), "CERT.",TRUE,"-")</f>
        <v>-</v>
      </c>
    </row>
    <row r="1466" spans="1:22" x14ac:dyDescent="0.25">
      <c r="A1466" s="168"/>
      <c r="B1466" s="876"/>
      <c r="C1466" s="161"/>
      <c r="D1466" s="161"/>
      <c r="E1466" s="161"/>
      <c r="F1466" s="41"/>
      <c r="G1466" s="161"/>
      <c r="H1466" s="161"/>
      <c r="I1466" s="166"/>
      <c r="J1466" s="162"/>
      <c r="K1466" s="161"/>
      <c r="L1466" s="161"/>
      <c r="M1466" s="169"/>
      <c r="N1466" s="163" t="str">
        <f t="shared" si="26"/>
        <v/>
      </c>
      <c r="O1466" s="41"/>
      <c r="P1466" s="41"/>
      <c r="Q1466" s="161" t="str">
        <f>+IF(OR(O1466="Fire Control",O1466="Fire Tex 5062",O1466="Fire Tex 5090",O1466="Fire Tex 5120"),'CALCULO PINTURA'!P1467," ")</f>
        <v xml:space="preserve"> </v>
      </c>
      <c r="R1466" s="164" t="str">
        <f>+IF(OR(O1466="Fire Control",O1466="Fire Tex 5062",O1466="Fire Tex 5090",O1466="Fire Tex 5120"),'CALCULO PINTURA'!R1467," ")</f>
        <v xml:space="preserve"> </v>
      </c>
      <c r="S1466" s="164" t="str">
        <f>+IF(OR(O1466="Fire Control",O1466="Fire Tex 5062",O1466="Fire Tex 5090",O1466="Fire Tex 5120"),'CALCULO PINTURA'!S1467," ")</f>
        <v xml:space="preserve"> </v>
      </c>
      <c r="T1466" s="874" t="str">
        <f>+IF(OR(O1466="Blaze Shield II",O1466="Cafco 400",O1466="Cafco 300"),'CALCULO MORTERO'!N1472," ")</f>
        <v xml:space="preserve"> </v>
      </c>
      <c r="U1466" s="875" t="str">
        <f>+IF(OR(O1466="Blaze Shield II",O1466="Cafco 400",O1466="Cafco 300"),'CALCULO MORTERO'!O1472," ")</f>
        <v xml:space="preserve"> </v>
      </c>
      <c r="V1466" s="161" t="str" cm="1">
        <f t="array" ref="V1466">_xlfn.IFS(O1466="Blaze Shield II",'CALCULO MORTERO'!P1467, O1466="Cafco 400",'CALCULO MORTERO'!Q1467,O1466="Cafco 300",'CALCULO MORTERO'!S1467, AND(OR(O1466="Fire tex 5090", O1466="Fire Tex 5062", O1466="Fire Tex 5120", O1466="Fire Control"),Q1466&gt;0), "CERT.",TRUE,"-")</f>
        <v>-</v>
      </c>
    </row>
    <row r="1467" spans="1:22" x14ac:dyDescent="0.25">
      <c r="A1467" s="168"/>
      <c r="B1467" s="876"/>
      <c r="C1467" s="161"/>
      <c r="D1467" s="161"/>
      <c r="E1467" s="161"/>
      <c r="F1467" s="41"/>
      <c r="G1467" s="161"/>
      <c r="H1467" s="161"/>
      <c r="I1467" s="166"/>
      <c r="J1467" s="162"/>
      <c r="K1467" s="161"/>
      <c r="L1467" s="161"/>
      <c r="M1467" s="169"/>
      <c r="N1467" s="163" t="str">
        <f t="shared" si="26"/>
        <v/>
      </c>
      <c r="O1467" s="41"/>
      <c r="P1467" s="41"/>
      <c r="Q1467" s="161" t="str">
        <f>+IF(OR(O1467="Fire Control",O1467="Fire Tex 5062",O1467="Fire Tex 5090",O1467="Fire Tex 5120"),'CALCULO PINTURA'!P1468," ")</f>
        <v xml:space="preserve"> </v>
      </c>
      <c r="R1467" s="164" t="str">
        <f>+IF(OR(O1467="Fire Control",O1467="Fire Tex 5062",O1467="Fire Tex 5090",O1467="Fire Tex 5120"),'CALCULO PINTURA'!R1468," ")</f>
        <v xml:space="preserve"> </v>
      </c>
      <c r="S1467" s="164" t="str">
        <f>+IF(OR(O1467="Fire Control",O1467="Fire Tex 5062",O1467="Fire Tex 5090",O1467="Fire Tex 5120"),'CALCULO PINTURA'!S1468," ")</f>
        <v xml:space="preserve"> </v>
      </c>
      <c r="T1467" s="874" t="str">
        <f>+IF(OR(O1467="Blaze Shield II",O1467="Cafco 400",O1467="Cafco 300"),'CALCULO MORTERO'!N1473," ")</f>
        <v xml:space="preserve"> </v>
      </c>
      <c r="U1467" s="875" t="str">
        <f>+IF(OR(O1467="Blaze Shield II",O1467="Cafco 400",O1467="Cafco 300"),'CALCULO MORTERO'!O1473," ")</f>
        <v xml:space="preserve"> </v>
      </c>
      <c r="V1467" s="161" t="str" cm="1">
        <f t="array" ref="V1467">_xlfn.IFS(O1467="Blaze Shield II",'CALCULO MORTERO'!P1468, O1467="Cafco 400",'CALCULO MORTERO'!Q1468,O1467="Cafco 300",'CALCULO MORTERO'!S1468, AND(OR(O1467="Fire tex 5090", O1467="Fire Tex 5062", O1467="Fire Tex 5120", O1467="Fire Control"),Q1467&gt;0), "CERT.",TRUE,"-")</f>
        <v>-</v>
      </c>
    </row>
    <row r="1468" spans="1:22" x14ac:dyDescent="0.25">
      <c r="A1468" s="168"/>
      <c r="B1468" s="876"/>
      <c r="C1468" s="161"/>
      <c r="D1468" s="161"/>
      <c r="E1468" s="161"/>
      <c r="F1468" s="41"/>
      <c r="G1468" s="161"/>
      <c r="H1468" s="161"/>
      <c r="I1468" s="166"/>
      <c r="J1468" s="162"/>
      <c r="K1468" s="161"/>
      <c r="L1468" s="161"/>
      <c r="M1468" s="169"/>
      <c r="N1468" s="163" t="str">
        <f t="shared" si="26"/>
        <v/>
      </c>
      <c r="O1468" s="41"/>
      <c r="P1468" s="41"/>
      <c r="Q1468" s="161" t="str">
        <f>+IF(OR(O1468="Fire Control",O1468="Fire Tex 5062",O1468="Fire Tex 5090",O1468="Fire Tex 5120"),'CALCULO PINTURA'!P1469," ")</f>
        <v xml:space="preserve"> </v>
      </c>
      <c r="R1468" s="164" t="str">
        <f>+IF(OR(O1468="Fire Control",O1468="Fire Tex 5062",O1468="Fire Tex 5090",O1468="Fire Tex 5120"),'CALCULO PINTURA'!R1469," ")</f>
        <v xml:space="preserve"> </v>
      </c>
      <c r="S1468" s="164" t="str">
        <f>+IF(OR(O1468="Fire Control",O1468="Fire Tex 5062",O1468="Fire Tex 5090",O1468="Fire Tex 5120"),'CALCULO PINTURA'!S1469," ")</f>
        <v xml:space="preserve"> </v>
      </c>
      <c r="T1468" s="874" t="str">
        <f>+IF(OR(O1468="Blaze Shield II",O1468="Cafco 400",O1468="Cafco 300"),'CALCULO MORTERO'!N1474," ")</f>
        <v xml:space="preserve"> </v>
      </c>
      <c r="U1468" s="875" t="str">
        <f>+IF(OR(O1468="Blaze Shield II",O1468="Cafco 400",O1468="Cafco 300"),'CALCULO MORTERO'!O1474," ")</f>
        <v xml:space="preserve"> </v>
      </c>
      <c r="V1468" s="161" t="str" cm="1">
        <f t="array" ref="V1468">_xlfn.IFS(O1468="Blaze Shield II",'CALCULO MORTERO'!P1469, O1468="Cafco 400",'CALCULO MORTERO'!Q1469,O1468="Cafco 300",'CALCULO MORTERO'!S1469, AND(OR(O1468="Fire tex 5090", O1468="Fire Tex 5062", O1468="Fire Tex 5120", O1468="Fire Control"),Q1468&gt;0), "CERT.",TRUE,"-")</f>
        <v>-</v>
      </c>
    </row>
    <row r="1469" spans="1:22" x14ac:dyDescent="0.25">
      <c r="A1469" s="168"/>
      <c r="B1469" s="876"/>
      <c r="C1469" s="161"/>
      <c r="D1469" s="161"/>
      <c r="E1469" s="161"/>
      <c r="F1469" s="41"/>
      <c r="G1469" s="161"/>
      <c r="H1469" s="161"/>
      <c r="I1469" s="166"/>
      <c r="J1469" s="162"/>
      <c r="K1469" s="161"/>
      <c r="L1469" s="161"/>
      <c r="M1469" s="169"/>
      <c r="N1469" s="163" t="str">
        <f t="shared" si="26"/>
        <v/>
      </c>
      <c r="O1469" s="41"/>
      <c r="P1469" s="41"/>
      <c r="Q1469" s="161" t="str">
        <f>+IF(OR(O1469="Fire Control",O1469="Fire Tex 5062",O1469="Fire Tex 5090",O1469="Fire Tex 5120"),'CALCULO PINTURA'!P1470," ")</f>
        <v xml:space="preserve"> </v>
      </c>
      <c r="R1469" s="164" t="str">
        <f>+IF(OR(O1469="Fire Control",O1469="Fire Tex 5062",O1469="Fire Tex 5090",O1469="Fire Tex 5120"),'CALCULO PINTURA'!R1470," ")</f>
        <v xml:space="preserve"> </v>
      </c>
      <c r="S1469" s="164" t="str">
        <f>+IF(OR(O1469="Fire Control",O1469="Fire Tex 5062",O1469="Fire Tex 5090",O1469="Fire Tex 5120"),'CALCULO PINTURA'!S1470," ")</f>
        <v xml:space="preserve"> </v>
      </c>
      <c r="T1469" s="874" t="str">
        <f>+IF(OR(O1469="Blaze Shield II",O1469="Cafco 400",O1469="Cafco 300"),'CALCULO MORTERO'!N1475," ")</f>
        <v xml:space="preserve"> </v>
      </c>
      <c r="U1469" s="875" t="str">
        <f>+IF(OR(O1469="Blaze Shield II",O1469="Cafco 400",O1469="Cafco 300"),'CALCULO MORTERO'!O1475," ")</f>
        <v xml:space="preserve"> </v>
      </c>
      <c r="V1469" s="161" t="str" cm="1">
        <f t="array" ref="V1469">_xlfn.IFS(O1469="Blaze Shield II",'CALCULO MORTERO'!P1470, O1469="Cafco 400",'CALCULO MORTERO'!Q1470,O1469="Cafco 300",'CALCULO MORTERO'!S1470, AND(OR(O1469="Fire tex 5090", O1469="Fire Tex 5062", O1469="Fire Tex 5120", O1469="Fire Control"),Q1469&gt;0), "CERT.",TRUE,"-")</f>
        <v>-</v>
      </c>
    </row>
    <row r="1470" spans="1:22" x14ac:dyDescent="0.25">
      <c r="A1470" s="168"/>
      <c r="B1470" s="876"/>
      <c r="C1470" s="161"/>
      <c r="D1470" s="161"/>
      <c r="E1470" s="161"/>
      <c r="F1470" s="41"/>
      <c r="G1470" s="161"/>
      <c r="H1470" s="161"/>
      <c r="I1470" s="166"/>
      <c r="J1470" s="162"/>
      <c r="K1470" s="161"/>
      <c r="L1470" s="161"/>
      <c r="M1470" s="169"/>
      <c r="N1470" s="163" t="str">
        <f t="shared" si="26"/>
        <v/>
      </c>
      <c r="O1470" s="41"/>
      <c r="P1470" s="41"/>
      <c r="Q1470" s="161" t="str">
        <f>+IF(OR(O1470="Fire Control",O1470="Fire Tex 5062",O1470="Fire Tex 5090",O1470="Fire Tex 5120"),'CALCULO PINTURA'!P1471," ")</f>
        <v xml:space="preserve"> </v>
      </c>
      <c r="R1470" s="164" t="str">
        <f>+IF(OR(O1470="Fire Control",O1470="Fire Tex 5062",O1470="Fire Tex 5090",O1470="Fire Tex 5120"),'CALCULO PINTURA'!R1471," ")</f>
        <v xml:space="preserve"> </v>
      </c>
      <c r="S1470" s="164" t="str">
        <f>+IF(OR(O1470="Fire Control",O1470="Fire Tex 5062",O1470="Fire Tex 5090",O1470="Fire Tex 5120"),'CALCULO PINTURA'!S1471," ")</f>
        <v xml:space="preserve"> </v>
      </c>
      <c r="T1470" s="874" t="str">
        <f>+IF(OR(O1470="Blaze Shield II",O1470="Cafco 400",O1470="Cafco 300"),'CALCULO MORTERO'!N1476," ")</f>
        <v xml:space="preserve"> </v>
      </c>
      <c r="U1470" s="875" t="str">
        <f>+IF(OR(O1470="Blaze Shield II",O1470="Cafco 400",O1470="Cafco 300"),'CALCULO MORTERO'!O1476," ")</f>
        <v xml:space="preserve"> </v>
      </c>
      <c r="V1470" s="161" t="str" cm="1">
        <f t="array" ref="V1470">_xlfn.IFS(O1470="Blaze Shield II",'CALCULO MORTERO'!P1471, O1470="Cafco 400",'CALCULO MORTERO'!Q1471,O1470="Cafco 300",'CALCULO MORTERO'!S1471, AND(OR(O1470="Fire tex 5090", O1470="Fire Tex 5062", O1470="Fire Tex 5120", O1470="Fire Control"),Q1470&gt;0), "CERT.",TRUE,"-")</f>
        <v>-</v>
      </c>
    </row>
    <row r="1471" spans="1:22" x14ac:dyDescent="0.25">
      <c r="A1471" s="168"/>
      <c r="B1471" s="876"/>
      <c r="C1471" s="161"/>
      <c r="D1471" s="161"/>
      <c r="E1471" s="161"/>
      <c r="F1471" s="41"/>
      <c r="G1471" s="161"/>
      <c r="H1471" s="161"/>
      <c r="I1471" s="166"/>
      <c r="J1471" s="162"/>
      <c r="K1471" s="161"/>
      <c r="L1471" s="161"/>
      <c r="M1471" s="169"/>
      <c r="N1471" s="163" t="str">
        <f t="shared" si="26"/>
        <v/>
      </c>
      <c r="O1471" s="41"/>
      <c r="P1471" s="41"/>
      <c r="Q1471" s="161" t="str">
        <f>+IF(OR(O1471="Fire Control",O1471="Fire Tex 5062",O1471="Fire Tex 5090",O1471="Fire Tex 5120"),'CALCULO PINTURA'!P1472," ")</f>
        <v xml:space="preserve"> </v>
      </c>
      <c r="R1471" s="164" t="str">
        <f>+IF(OR(O1471="Fire Control",O1471="Fire Tex 5062",O1471="Fire Tex 5090",O1471="Fire Tex 5120"),'CALCULO PINTURA'!R1472," ")</f>
        <v xml:space="preserve"> </v>
      </c>
      <c r="S1471" s="164" t="str">
        <f>+IF(OR(O1471="Fire Control",O1471="Fire Tex 5062",O1471="Fire Tex 5090",O1471="Fire Tex 5120"),'CALCULO PINTURA'!S1472," ")</f>
        <v xml:space="preserve"> </v>
      </c>
      <c r="T1471" s="874" t="str">
        <f>+IF(OR(O1471="Blaze Shield II",O1471="Cafco 400",O1471="Cafco 300"),'CALCULO MORTERO'!N1477," ")</f>
        <v xml:space="preserve"> </v>
      </c>
      <c r="U1471" s="875" t="str">
        <f>+IF(OR(O1471="Blaze Shield II",O1471="Cafco 400",O1471="Cafco 300"),'CALCULO MORTERO'!O1477," ")</f>
        <v xml:space="preserve"> </v>
      </c>
      <c r="V1471" s="161" t="str" cm="1">
        <f t="array" ref="V1471">_xlfn.IFS(O1471="Blaze Shield II",'CALCULO MORTERO'!P1472, O1471="Cafco 400",'CALCULO MORTERO'!Q1472,O1471="Cafco 300",'CALCULO MORTERO'!S1472, AND(OR(O1471="Fire tex 5090", O1471="Fire Tex 5062", O1471="Fire Tex 5120", O1471="Fire Control"),Q1471&gt;0), "CERT.",TRUE,"-")</f>
        <v>-</v>
      </c>
    </row>
    <row r="1472" spans="1:22" x14ac:dyDescent="0.25">
      <c r="A1472" s="168"/>
      <c r="B1472" s="876"/>
      <c r="C1472" s="161"/>
      <c r="D1472" s="161"/>
      <c r="E1472" s="161"/>
      <c r="F1472" s="41"/>
      <c r="G1472" s="161"/>
      <c r="H1472" s="161"/>
      <c r="I1472" s="166"/>
      <c r="J1472" s="162"/>
      <c r="K1472" s="161"/>
      <c r="L1472" s="161"/>
      <c r="M1472" s="169"/>
      <c r="N1472" s="163" t="str">
        <f t="shared" si="26"/>
        <v/>
      </c>
      <c r="O1472" s="41"/>
      <c r="P1472" s="41"/>
      <c r="Q1472" s="161" t="str">
        <f>+IF(OR(O1472="Fire Control",O1472="Fire Tex 5062",O1472="Fire Tex 5090",O1472="Fire Tex 5120"),'CALCULO PINTURA'!P1473," ")</f>
        <v xml:space="preserve"> </v>
      </c>
      <c r="R1472" s="164" t="str">
        <f>+IF(OR(O1472="Fire Control",O1472="Fire Tex 5062",O1472="Fire Tex 5090",O1472="Fire Tex 5120"),'CALCULO PINTURA'!R1473," ")</f>
        <v xml:space="preserve"> </v>
      </c>
      <c r="S1472" s="164" t="str">
        <f>+IF(OR(O1472="Fire Control",O1472="Fire Tex 5062",O1472="Fire Tex 5090",O1472="Fire Tex 5120"),'CALCULO PINTURA'!S1473," ")</f>
        <v xml:space="preserve"> </v>
      </c>
      <c r="T1472" s="874" t="str">
        <f>+IF(OR(O1472="Blaze Shield II",O1472="Cafco 400",O1472="Cafco 300"),'CALCULO MORTERO'!N1478," ")</f>
        <v xml:space="preserve"> </v>
      </c>
      <c r="U1472" s="875" t="str">
        <f>+IF(OR(O1472="Blaze Shield II",O1472="Cafco 400",O1472="Cafco 300"),'CALCULO MORTERO'!O1478," ")</f>
        <v xml:space="preserve"> </v>
      </c>
      <c r="V1472" s="161" t="str" cm="1">
        <f t="array" ref="V1472">_xlfn.IFS(O1472="Blaze Shield II",'CALCULO MORTERO'!P1473, O1472="Cafco 400",'CALCULO MORTERO'!Q1473,O1472="Cafco 300",'CALCULO MORTERO'!S1473, AND(OR(O1472="Fire tex 5090", O1472="Fire Tex 5062", O1472="Fire Tex 5120", O1472="Fire Control"),Q1472&gt;0), "CERT.",TRUE,"-")</f>
        <v>-</v>
      </c>
    </row>
    <row r="1473" spans="1:22" x14ac:dyDescent="0.25">
      <c r="A1473" s="168"/>
      <c r="B1473" s="876"/>
      <c r="C1473" s="161"/>
      <c r="D1473" s="161"/>
      <c r="E1473" s="161"/>
      <c r="F1473" s="41"/>
      <c r="G1473" s="161"/>
      <c r="H1473" s="161"/>
      <c r="I1473" s="166"/>
      <c r="J1473" s="162"/>
      <c r="K1473" s="161"/>
      <c r="L1473" s="161"/>
      <c r="M1473" s="169"/>
      <c r="N1473" s="163" t="str">
        <f t="shared" si="26"/>
        <v/>
      </c>
      <c r="O1473" s="41"/>
      <c r="P1473" s="41"/>
      <c r="Q1473" s="161" t="str">
        <f>+IF(OR(O1473="Fire Control",O1473="Fire Tex 5062",O1473="Fire Tex 5090",O1473="Fire Tex 5120"),'CALCULO PINTURA'!P1474," ")</f>
        <v xml:space="preserve"> </v>
      </c>
      <c r="R1473" s="164" t="str">
        <f>+IF(OR(O1473="Fire Control",O1473="Fire Tex 5062",O1473="Fire Tex 5090",O1473="Fire Tex 5120"),'CALCULO PINTURA'!R1474," ")</f>
        <v xml:space="preserve"> </v>
      </c>
      <c r="S1473" s="164" t="str">
        <f>+IF(OR(O1473="Fire Control",O1473="Fire Tex 5062",O1473="Fire Tex 5090",O1473="Fire Tex 5120"),'CALCULO PINTURA'!S1474," ")</f>
        <v xml:space="preserve"> </v>
      </c>
      <c r="T1473" s="874" t="str">
        <f>+IF(OR(O1473="Blaze Shield II",O1473="Cafco 400",O1473="Cafco 300"),'CALCULO MORTERO'!N1479," ")</f>
        <v xml:space="preserve"> </v>
      </c>
      <c r="U1473" s="875" t="str">
        <f>+IF(OR(O1473="Blaze Shield II",O1473="Cafco 400",O1473="Cafco 300"),'CALCULO MORTERO'!O1479," ")</f>
        <v xml:space="preserve"> </v>
      </c>
      <c r="V1473" s="161" t="str" cm="1">
        <f t="array" ref="V1473">_xlfn.IFS(O1473="Blaze Shield II",'CALCULO MORTERO'!P1474, O1473="Cafco 400",'CALCULO MORTERO'!Q1474,O1473="Cafco 300",'CALCULO MORTERO'!S1474, AND(OR(O1473="Fire tex 5090", O1473="Fire Tex 5062", O1473="Fire Tex 5120", O1473="Fire Control"),Q1473&gt;0), "CERT.",TRUE,"-")</f>
        <v>-</v>
      </c>
    </row>
    <row r="1474" spans="1:22" x14ac:dyDescent="0.25">
      <c r="A1474" s="168"/>
      <c r="B1474" s="876"/>
      <c r="C1474" s="161"/>
      <c r="D1474" s="161"/>
      <c r="E1474" s="161"/>
      <c r="F1474" s="41"/>
      <c r="G1474" s="161"/>
      <c r="H1474" s="161"/>
      <c r="I1474" s="166"/>
      <c r="J1474" s="162"/>
      <c r="K1474" s="161"/>
      <c r="L1474" s="161"/>
      <c r="M1474" s="169"/>
      <c r="N1474" s="163" t="str">
        <f t="shared" si="26"/>
        <v/>
      </c>
      <c r="O1474" s="41"/>
      <c r="P1474" s="41"/>
      <c r="Q1474" s="161" t="str">
        <f>+IF(OR(O1474="Fire Control",O1474="Fire Tex 5062",O1474="Fire Tex 5090",O1474="Fire Tex 5120"),'CALCULO PINTURA'!P1475," ")</f>
        <v xml:space="preserve"> </v>
      </c>
      <c r="R1474" s="164" t="str">
        <f>+IF(OR(O1474="Fire Control",O1474="Fire Tex 5062",O1474="Fire Tex 5090",O1474="Fire Tex 5120"),'CALCULO PINTURA'!R1475," ")</f>
        <v xml:space="preserve"> </v>
      </c>
      <c r="S1474" s="164" t="str">
        <f>+IF(OR(O1474="Fire Control",O1474="Fire Tex 5062",O1474="Fire Tex 5090",O1474="Fire Tex 5120"),'CALCULO PINTURA'!S1475," ")</f>
        <v xml:space="preserve"> </v>
      </c>
      <c r="T1474" s="874" t="str">
        <f>+IF(OR(O1474="Blaze Shield II",O1474="Cafco 400",O1474="Cafco 300"),'CALCULO MORTERO'!N1480," ")</f>
        <v xml:space="preserve"> </v>
      </c>
      <c r="U1474" s="875" t="str">
        <f>+IF(OR(O1474="Blaze Shield II",O1474="Cafco 400",O1474="Cafco 300"),'CALCULO MORTERO'!O1480," ")</f>
        <v xml:space="preserve"> </v>
      </c>
      <c r="V1474" s="161" t="str" cm="1">
        <f t="array" ref="V1474">_xlfn.IFS(O1474="Blaze Shield II",'CALCULO MORTERO'!P1475, O1474="Cafco 400",'CALCULO MORTERO'!Q1475,O1474="Cafco 300",'CALCULO MORTERO'!S1475, AND(OR(O1474="Fire tex 5090", O1474="Fire Tex 5062", O1474="Fire Tex 5120", O1474="Fire Control"),Q1474&gt;0), "CERT.",TRUE,"-")</f>
        <v>-</v>
      </c>
    </row>
    <row r="1475" spans="1:22" x14ac:dyDescent="0.25">
      <c r="A1475" s="168"/>
      <c r="B1475" s="876"/>
      <c r="C1475" s="161"/>
      <c r="D1475" s="161"/>
      <c r="E1475" s="161"/>
      <c r="F1475" s="41"/>
      <c r="G1475" s="161"/>
      <c r="H1475" s="161"/>
      <c r="I1475" s="166"/>
      <c r="J1475" s="162"/>
      <c r="K1475" s="161"/>
      <c r="L1475" s="161"/>
      <c r="M1475" s="169"/>
      <c r="N1475" s="163" t="str">
        <f t="shared" si="26"/>
        <v/>
      </c>
      <c r="O1475" s="41"/>
      <c r="P1475" s="41"/>
      <c r="Q1475" s="161" t="str">
        <f>+IF(OR(O1475="Fire Control",O1475="Fire Tex 5062",O1475="Fire Tex 5090",O1475="Fire Tex 5120"),'CALCULO PINTURA'!P1476," ")</f>
        <v xml:space="preserve"> </v>
      </c>
      <c r="R1475" s="164" t="str">
        <f>+IF(OR(O1475="Fire Control",O1475="Fire Tex 5062",O1475="Fire Tex 5090",O1475="Fire Tex 5120"),'CALCULO PINTURA'!R1476," ")</f>
        <v xml:space="preserve"> </v>
      </c>
      <c r="S1475" s="164" t="str">
        <f>+IF(OR(O1475="Fire Control",O1475="Fire Tex 5062",O1475="Fire Tex 5090",O1475="Fire Tex 5120"),'CALCULO PINTURA'!S1476," ")</f>
        <v xml:space="preserve"> </v>
      </c>
      <c r="T1475" s="874" t="str">
        <f>+IF(OR(O1475="Blaze Shield II",O1475="Cafco 400",O1475="Cafco 300"),'CALCULO MORTERO'!N1481," ")</f>
        <v xml:space="preserve"> </v>
      </c>
      <c r="U1475" s="875" t="str">
        <f>+IF(OR(O1475="Blaze Shield II",O1475="Cafco 400",O1475="Cafco 300"),'CALCULO MORTERO'!O1481," ")</f>
        <v xml:space="preserve"> </v>
      </c>
      <c r="V1475" s="161" t="str" cm="1">
        <f t="array" ref="V1475">_xlfn.IFS(O1475="Blaze Shield II",'CALCULO MORTERO'!P1476, O1475="Cafco 400",'CALCULO MORTERO'!Q1476,O1475="Cafco 300",'CALCULO MORTERO'!S1476, AND(OR(O1475="Fire tex 5090", O1475="Fire Tex 5062", O1475="Fire Tex 5120", O1475="Fire Control"),Q1475&gt;0), "CERT.",TRUE,"-")</f>
        <v>-</v>
      </c>
    </row>
    <row r="1476" spans="1:22" x14ac:dyDescent="0.25">
      <c r="A1476" s="168"/>
      <c r="B1476" s="876"/>
      <c r="C1476" s="161"/>
      <c r="D1476" s="161"/>
      <c r="E1476" s="161"/>
      <c r="F1476" s="41"/>
      <c r="G1476" s="161"/>
      <c r="H1476" s="161"/>
      <c r="I1476" s="166"/>
      <c r="J1476" s="162"/>
      <c r="K1476" s="161"/>
      <c r="L1476" s="161"/>
      <c r="M1476" s="169"/>
      <c r="N1476" s="163" t="str">
        <f t="shared" ref="N1476:N1539" si="27">+IF(F1476="","",(K1476*I1476*H1476*G1476)/1000000)</f>
        <v/>
      </c>
      <c r="O1476" s="41"/>
      <c r="P1476" s="41"/>
      <c r="Q1476" s="161" t="str">
        <f>+IF(OR(O1476="Fire Control",O1476="Fire Tex 5062",O1476="Fire Tex 5090",O1476="Fire Tex 5120"),'CALCULO PINTURA'!P1477," ")</f>
        <v xml:space="preserve"> </v>
      </c>
      <c r="R1476" s="164" t="str">
        <f>+IF(OR(O1476="Fire Control",O1476="Fire Tex 5062",O1476="Fire Tex 5090",O1476="Fire Tex 5120"),'CALCULO PINTURA'!R1477," ")</f>
        <v xml:space="preserve"> </v>
      </c>
      <c r="S1476" s="164" t="str">
        <f>+IF(OR(O1476="Fire Control",O1476="Fire Tex 5062",O1476="Fire Tex 5090",O1476="Fire Tex 5120"),'CALCULO PINTURA'!S1477," ")</f>
        <v xml:space="preserve"> </v>
      </c>
      <c r="T1476" s="874" t="str">
        <f>+IF(OR(O1476="Blaze Shield II",O1476="Cafco 400",O1476="Cafco 300"),'CALCULO MORTERO'!N1482," ")</f>
        <v xml:space="preserve"> </v>
      </c>
      <c r="U1476" s="875" t="str">
        <f>+IF(OR(O1476="Blaze Shield II",O1476="Cafco 400",O1476="Cafco 300"),'CALCULO MORTERO'!O1482," ")</f>
        <v xml:space="preserve"> </v>
      </c>
      <c r="V1476" s="161" t="str" cm="1">
        <f t="array" ref="V1476">_xlfn.IFS(O1476="Blaze Shield II",'CALCULO MORTERO'!P1477, O1476="Cafco 400",'CALCULO MORTERO'!Q1477,O1476="Cafco 300",'CALCULO MORTERO'!S1477, AND(OR(O1476="Fire tex 5090", O1476="Fire Tex 5062", O1476="Fire Tex 5120", O1476="Fire Control"),Q1476&gt;0), "CERT.",TRUE,"-")</f>
        <v>-</v>
      </c>
    </row>
    <row r="1477" spans="1:22" x14ac:dyDescent="0.25">
      <c r="A1477" s="168"/>
      <c r="B1477" s="876"/>
      <c r="C1477" s="161"/>
      <c r="D1477" s="161"/>
      <c r="E1477" s="161"/>
      <c r="F1477" s="41"/>
      <c r="G1477" s="161"/>
      <c r="H1477" s="161"/>
      <c r="I1477" s="166"/>
      <c r="J1477" s="162"/>
      <c r="K1477" s="161"/>
      <c r="L1477" s="161"/>
      <c r="M1477" s="169"/>
      <c r="N1477" s="163" t="str">
        <f t="shared" si="27"/>
        <v/>
      </c>
      <c r="O1477" s="41"/>
      <c r="P1477" s="41"/>
      <c r="Q1477" s="161" t="str">
        <f>+IF(OR(O1477="Fire Control",O1477="Fire Tex 5062",O1477="Fire Tex 5090",O1477="Fire Tex 5120"),'CALCULO PINTURA'!P1478," ")</f>
        <v xml:space="preserve"> </v>
      </c>
      <c r="R1477" s="164" t="str">
        <f>+IF(OR(O1477="Fire Control",O1477="Fire Tex 5062",O1477="Fire Tex 5090",O1477="Fire Tex 5120"),'CALCULO PINTURA'!R1478," ")</f>
        <v xml:space="preserve"> </v>
      </c>
      <c r="S1477" s="164" t="str">
        <f>+IF(OR(O1477="Fire Control",O1477="Fire Tex 5062",O1477="Fire Tex 5090",O1477="Fire Tex 5120"),'CALCULO PINTURA'!S1478," ")</f>
        <v xml:space="preserve"> </v>
      </c>
      <c r="T1477" s="874" t="str">
        <f>+IF(OR(O1477="Blaze Shield II",O1477="Cafco 400",O1477="Cafco 300"),'CALCULO MORTERO'!N1483," ")</f>
        <v xml:space="preserve"> </v>
      </c>
      <c r="U1477" s="875" t="str">
        <f>+IF(OR(O1477="Blaze Shield II",O1477="Cafco 400",O1477="Cafco 300"),'CALCULO MORTERO'!O1483," ")</f>
        <v xml:space="preserve"> </v>
      </c>
      <c r="V1477" s="161" t="str" cm="1">
        <f t="array" ref="V1477">_xlfn.IFS(O1477="Blaze Shield II",'CALCULO MORTERO'!P1478, O1477="Cafco 400",'CALCULO MORTERO'!Q1478,O1477="Cafco 300",'CALCULO MORTERO'!S1478, AND(OR(O1477="Fire tex 5090", O1477="Fire Tex 5062", O1477="Fire Tex 5120", O1477="Fire Control"),Q1477&gt;0), "CERT.",TRUE,"-")</f>
        <v>-</v>
      </c>
    </row>
    <row r="1478" spans="1:22" x14ac:dyDescent="0.25">
      <c r="A1478" s="168"/>
      <c r="B1478" s="876"/>
      <c r="C1478" s="161"/>
      <c r="D1478" s="161"/>
      <c r="E1478" s="161"/>
      <c r="F1478" s="41"/>
      <c r="G1478" s="161"/>
      <c r="H1478" s="161"/>
      <c r="I1478" s="166"/>
      <c r="J1478" s="162"/>
      <c r="K1478" s="161"/>
      <c r="L1478" s="161"/>
      <c r="M1478" s="169"/>
      <c r="N1478" s="163" t="str">
        <f t="shared" si="27"/>
        <v/>
      </c>
      <c r="O1478" s="41"/>
      <c r="P1478" s="41"/>
      <c r="Q1478" s="161" t="str">
        <f>+IF(OR(O1478="Fire Control",O1478="Fire Tex 5062",O1478="Fire Tex 5090",O1478="Fire Tex 5120"),'CALCULO PINTURA'!P1479," ")</f>
        <v xml:space="preserve"> </v>
      </c>
      <c r="R1478" s="164" t="str">
        <f>+IF(OR(O1478="Fire Control",O1478="Fire Tex 5062",O1478="Fire Tex 5090",O1478="Fire Tex 5120"),'CALCULO PINTURA'!R1479," ")</f>
        <v xml:space="preserve"> </v>
      </c>
      <c r="S1478" s="164" t="str">
        <f>+IF(OR(O1478="Fire Control",O1478="Fire Tex 5062",O1478="Fire Tex 5090",O1478="Fire Tex 5120"),'CALCULO PINTURA'!S1479," ")</f>
        <v xml:space="preserve"> </v>
      </c>
      <c r="T1478" s="874" t="str">
        <f>+IF(OR(O1478="Blaze Shield II",O1478="Cafco 400",O1478="Cafco 300"),'CALCULO MORTERO'!N1484," ")</f>
        <v xml:space="preserve"> </v>
      </c>
      <c r="U1478" s="875" t="str">
        <f>+IF(OR(O1478="Blaze Shield II",O1478="Cafco 400",O1478="Cafco 300"),'CALCULO MORTERO'!O1484," ")</f>
        <v xml:space="preserve"> </v>
      </c>
      <c r="V1478" s="161" t="str" cm="1">
        <f t="array" ref="V1478">_xlfn.IFS(O1478="Blaze Shield II",'CALCULO MORTERO'!P1479, O1478="Cafco 400",'CALCULO MORTERO'!Q1479,O1478="Cafco 300",'CALCULO MORTERO'!S1479, AND(OR(O1478="Fire tex 5090", O1478="Fire Tex 5062", O1478="Fire Tex 5120", O1478="Fire Control"),Q1478&gt;0), "CERT.",TRUE,"-")</f>
        <v>-</v>
      </c>
    </row>
    <row r="1479" spans="1:22" x14ac:dyDescent="0.25">
      <c r="A1479" s="168"/>
      <c r="B1479" s="876"/>
      <c r="C1479" s="161"/>
      <c r="D1479" s="161"/>
      <c r="E1479" s="161"/>
      <c r="F1479" s="41"/>
      <c r="G1479" s="161"/>
      <c r="H1479" s="161"/>
      <c r="I1479" s="166"/>
      <c r="J1479" s="162"/>
      <c r="K1479" s="161"/>
      <c r="L1479" s="161"/>
      <c r="M1479" s="169"/>
      <c r="N1479" s="163" t="str">
        <f t="shared" si="27"/>
        <v/>
      </c>
      <c r="O1479" s="41"/>
      <c r="P1479" s="41"/>
      <c r="Q1479" s="161" t="str">
        <f>+IF(OR(O1479="Fire Control",O1479="Fire Tex 5062",O1479="Fire Tex 5090",O1479="Fire Tex 5120"),'CALCULO PINTURA'!P1480," ")</f>
        <v xml:space="preserve"> </v>
      </c>
      <c r="R1479" s="164" t="str">
        <f>+IF(OR(O1479="Fire Control",O1479="Fire Tex 5062",O1479="Fire Tex 5090",O1479="Fire Tex 5120"),'CALCULO PINTURA'!R1480," ")</f>
        <v xml:space="preserve"> </v>
      </c>
      <c r="S1479" s="164" t="str">
        <f>+IF(OR(O1479="Fire Control",O1479="Fire Tex 5062",O1479="Fire Tex 5090",O1479="Fire Tex 5120"),'CALCULO PINTURA'!S1480," ")</f>
        <v xml:space="preserve"> </v>
      </c>
      <c r="T1479" s="874" t="str">
        <f>+IF(OR(O1479="Blaze Shield II",O1479="Cafco 400",O1479="Cafco 300"),'CALCULO MORTERO'!N1485," ")</f>
        <v xml:space="preserve"> </v>
      </c>
      <c r="U1479" s="875" t="str">
        <f>+IF(OR(O1479="Blaze Shield II",O1479="Cafco 400",O1479="Cafco 300"),'CALCULO MORTERO'!O1485," ")</f>
        <v xml:space="preserve"> </v>
      </c>
      <c r="V1479" s="161" t="str" cm="1">
        <f t="array" ref="V1479">_xlfn.IFS(O1479="Blaze Shield II",'CALCULO MORTERO'!P1480, O1479="Cafco 400",'CALCULO MORTERO'!Q1480,O1479="Cafco 300",'CALCULO MORTERO'!S1480, AND(OR(O1479="Fire tex 5090", O1479="Fire Tex 5062", O1479="Fire Tex 5120", O1479="Fire Control"),Q1479&gt;0), "CERT.",TRUE,"-")</f>
        <v>-</v>
      </c>
    </row>
    <row r="1480" spans="1:22" x14ac:dyDescent="0.25">
      <c r="A1480" s="168"/>
      <c r="B1480" s="876"/>
      <c r="C1480" s="161"/>
      <c r="D1480" s="161"/>
      <c r="E1480" s="161"/>
      <c r="F1480" s="41"/>
      <c r="G1480" s="161"/>
      <c r="H1480" s="161"/>
      <c r="I1480" s="166"/>
      <c r="J1480" s="162"/>
      <c r="K1480" s="161"/>
      <c r="L1480" s="161"/>
      <c r="M1480" s="169"/>
      <c r="N1480" s="163" t="str">
        <f t="shared" si="27"/>
        <v/>
      </c>
      <c r="O1480" s="41"/>
      <c r="P1480" s="41"/>
      <c r="Q1480" s="161" t="str">
        <f>+IF(OR(O1480="Fire Control",O1480="Fire Tex 5062",O1480="Fire Tex 5090",O1480="Fire Tex 5120"),'CALCULO PINTURA'!P1481," ")</f>
        <v xml:space="preserve"> </v>
      </c>
      <c r="R1480" s="164" t="str">
        <f>+IF(OR(O1480="Fire Control",O1480="Fire Tex 5062",O1480="Fire Tex 5090",O1480="Fire Tex 5120"),'CALCULO PINTURA'!R1481," ")</f>
        <v xml:space="preserve"> </v>
      </c>
      <c r="S1480" s="164" t="str">
        <f>+IF(OR(O1480="Fire Control",O1480="Fire Tex 5062",O1480="Fire Tex 5090",O1480="Fire Tex 5120"),'CALCULO PINTURA'!S1481," ")</f>
        <v xml:space="preserve"> </v>
      </c>
      <c r="T1480" s="874" t="str">
        <f>+IF(OR(O1480="Blaze Shield II",O1480="Cafco 400",O1480="Cafco 300"),'CALCULO MORTERO'!N1486," ")</f>
        <v xml:space="preserve"> </v>
      </c>
      <c r="U1480" s="875" t="str">
        <f>+IF(OR(O1480="Blaze Shield II",O1480="Cafco 400",O1480="Cafco 300"),'CALCULO MORTERO'!O1486," ")</f>
        <v xml:space="preserve"> </v>
      </c>
      <c r="V1480" s="161" t="str" cm="1">
        <f t="array" ref="V1480">_xlfn.IFS(O1480="Blaze Shield II",'CALCULO MORTERO'!P1481, O1480="Cafco 400",'CALCULO MORTERO'!Q1481,O1480="Cafco 300",'CALCULO MORTERO'!S1481, AND(OR(O1480="Fire tex 5090", O1480="Fire Tex 5062", O1480="Fire Tex 5120", O1480="Fire Control"),Q1480&gt;0), "CERT.",TRUE,"-")</f>
        <v>-</v>
      </c>
    </row>
    <row r="1481" spans="1:22" x14ac:dyDescent="0.25">
      <c r="A1481" s="168"/>
      <c r="B1481" s="876"/>
      <c r="C1481" s="161"/>
      <c r="D1481" s="161"/>
      <c r="E1481" s="161"/>
      <c r="F1481" s="41"/>
      <c r="G1481" s="161"/>
      <c r="H1481" s="161"/>
      <c r="I1481" s="166"/>
      <c r="J1481" s="162"/>
      <c r="K1481" s="161"/>
      <c r="L1481" s="161"/>
      <c r="M1481" s="169"/>
      <c r="N1481" s="163" t="str">
        <f t="shared" si="27"/>
        <v/>
      </c>
      <c r="O1481" s="41"/>
      <c r="P1481" s="41"/>
      <c r="Q1481" s="161" t="str">
        <f>+IF(OR(O1481="Fire Control",O1481="Fire Tex 5062",O1481="Fire Tex 5090",O1481="Fire Tex 5120"),'CALCULO PINTURA'!P1482," ")</f>
        <v xml:space="preserve"> </v>
      </c>
      <c r="R1481" s="164" t="str">
        <f>+IF(OR(O1481="Fire Control",O1481="Fire Tex 5062",O1481="Fire Tex 5090",O1481="Fire Tex 5120"),'CALCULO PINTURA'!R1482," ")</f>
        <v xml:space="preserve"> </v>
      </c>
      <c r="S1481" s="164" t="str">
        <f>+IF(OR(O1481="Fire Control",O1481="Fire Tex 5062",O1481="Fire Tex 5090",O1481="Fire Tex 5120"),'CALCULO PINTURA'!S1482," ")</f>
        <v xml:space="preserve"> </v>
      </c>
      <c r="T1481" s="874" t="str">
        <f>+IF(OR(O1481="Blaze Shield II",O1481="Cafco 400",O1481="Cafco 300"),'CALCULO MORTERO'!N1487," ")</f>
        <v xml:space="preserve"> </v>
      </c>
      <c r="U1481" s="875" t="str">
        <f>+IF(OR(O1481="Blaze Shield II",O1481="Cafco 400",O1481="Cafco 300"),'CALCULO MORTERO'!O1487," ")</f>
        <v xml:space="preserve"> </v>
      </c>
      <c r="V1481" s="161" t="str" cm="1">
        <f t="array" ref="V1481">_xlfn.IFS(O1481="Blaze Shield II",'CALCULO MORTERO'!P1482, O1481="Cafco 400",'CALCULO MORTERO'!Q1482,O1481="Cafco 300",'CALCULO MORTERO'!S1482, AND(OR(O1481="Fire tex 5090", O1481="Fire Tex 5062", O1481="Fire Tex 5120", O1481="Fire Control"),Q1481&gt;0), "CERT.",TRUE,"-")</f>
        <v>-</v>
      </c>
    </row>
    <row r="1482" spans="1:22" x14ac:dyDescent="0.25">
      <c r="A1482" s="168"/>
      <c r="B1482" s="876"/>
      <c r="C1482" s="161"/>
      <c r="D1482" s="161"/>
      <c r="E1482" s="161"/>
      <c r="F1482" s="41"/>
      <c r="G1482" s="161"/>
      <c r="H1482" s="161"/>
      <c r="I1482" s="166"/>
      <c r="J1482" s="162"/>
      <c r="K1482" s="161"/>
      <c r="L1482" s="161"/>
      <c r="M1482" s="169"/>
      <c r="N1482" s="163" t="str">
        <f t="shared" si="27"/>
        <v/>
      </c>
      <c r="O1482" s="41"/>
      <c r="P1482" s="41"/>
      <c r="Q1482" s="161" t="str">
        <f>+IF(OR(O1482="Fire Control",O1482="Fire Tex 5062",O1482="Fire Tex 5090",O1482="Fire Tex 5120"),'CALCULO PINTURA'!P1483," ")</f>
        <v xml:space="preserve"> </v>
      </c>
      <c r="R1482" s="164" t="str">
        <f>+IF(OR(O1482="Fire Control",O1482="Fire Tex 5062",O1482="Fire Tex 5090",O1482="Fire Tex 5120"),'CALCULO PINTURA'!R1483," ")</f>
        <v xml:space="preserve"> </v>
      </c>
      <c r="S1482" s="164" t="str">
        <f>+IF(OR(O1482="Fire Control",O1482="Fire Tex 5062",O1482="Fire Tex 5090",O1482="Fire Tex 5120"),'CALCULO PINTURA'!S1483," ")</f>
        <v xml:space="preserve"> </v>
      </c>
      <c r="T1482" s="874" t="str">
        <f>+IF(OR(O1482="Blaze Shield II",O1482="Cafco 400",O1482="Cafco 300"),'CALCULO MORTERO'!N1488," ")</f>
        <v xml:space="preserve"> </v>
      </c>
      <c r="U1482" s="875" t="str">
        <f>+IF(OR(O1482="Blaze Shield II",O1482="Cafco 400",O1482="Cafco 300"),'CALCULO MORTERO'!O1488," ")</f>
        <v xml:space="preserve"> </v>
      </c>
      <c r="V1482" s="161" t="str" cm="1">
        <f t="array" ref="V1482">_xlfn.IFS(O1482="Blaze Shield II",'CALCULO MORTERO'!P1483, O1482="Cafco 400",'CALCULO MORTERO'!Q1483,O1482="Cafco 300",'CALCULO MORTERO'!S1483, AND(OR(O1482="Fire tex 5090", O1482="Fire Tex 5062", O1482="Fire Tex 5120", O1482="Fire Control"),Q1482&gt;0), "CERT.",TRUE,"-")</f>
        <v>-</v>
      </c>
    </row>
    <row r="1483" spans="1:22" x14ac:dyDescent="0.25">
      <c r="A1483" s="168"/>
      <c r="B1483" s="876"/>
      <c r="C1483" s="161"/>
      <c r="D1483" s="161"/>
      <c r="E1483" s="161"/>
      <c r="F1483" s="41"/>
      <c r="G1483" s="161"/>
      <c r="H1483" s="161"/>
      <c r="I1483" s="166"/>
      <c r="J1483" s="162"/>
      <c r="K1483" s="161"/>
      <c r="L1483" s="161"/>
      <c r="M1483" s="169"/>
      <c r="N1483" s="163" t="str">
        <f t="shared" si="27"/>
        <v/>
      </c>
      <c r="O1483" s="41"/>
      <c r="P1483" s="41"/>
      <c r="Q1483" s="161" t="str">
        <f>+IF(OR(O1483="Fire Control",O1483="Fire Tex 5062",O1483="Fire Tex 5090",O1483="Fire Tex 5120"),'CALCULO PINTURA'!P1484," ")</f>
        <v xml:space="preserve"> </v>
      </c>
      <c r="R1483" s="164" t="str">
        <f>+IF(OR(O1483="Fire Control",O1483="Fire Tex 5062",O1483="Fire Tex 5090",O1483="Fire Tex 5120"),'CALCULO PINTURA'!R1484," ")</f>
        <v xml:space="preserve"> </v>
      </c>
      <c r="S1483" s="164" t="str">
        <f>+IF(OR(O1483="Fire Control",O1483="Fire Tex 5062",O1483="Fire Tex 5090",O1483="Fire Tex 5120"),'CALCULO PINTURA'!S1484," ")</f>
        <v xml:space="preserve"> </v>
      </c>
      <c r="T1483" s="874" t="str">
        <f>+IF(OR(O1483="Blaze Shield II",O1483="Cafco 400",O1483="Cafco 300"),'CALCULO MORTERO'!N1489," ")</f>
        <v xml:space="preserve"> </v>
      </c>
      <c r="U1483" s="875" t="str">
        <f>+IF(OR(O1483="Blaze Shield II",O1483="Cafco 400",O1483="Cafco 300"),'CALCULO MORTERO'!O1489," ")</f>
        <v xml:space="preserve"> </v>
      </c>
      <c r="V1483" s="161" t="str" cm="1">
        <f t="array" ref="V1483">_xlfn.IFS(O1483="Blaze Shield II",'CALCULO MORTERO'!P1484, O1483="Cafco 400",'CALCULO MORTERO'!Q1484,O1483="Cafco 300",'CALCULO MORTERO'!S1484, AND(OR(O1483="Fire tex 5090", O1483="Fire Tex 5062", O1483="Fire Tex 5120", O1483="Fire Control"),Q1483&gt;0), "CERT.",TRUE,"-")</f>
        <v>-</v>
      </c>
    </row>
    <row r="1484" spans="1:22" x14ac:dyDescent="0.25">
      <c r="A1484" s="168"/>
      <c r="B1484" s="876"/>
      <c r="C1484" s="161"/>
      <c r="D1484" s="161"/>
      <c r="E1484" s="161"/>
      <c r="F1484" s="41"/>
      <c r="G1484" s="161"/>
      <c r="H1484" s="161"/>
      <c r="I1484" s="166"/>
      <c r="J1484" s="162"/>
      <c r="K1484" s="161"/>
      <c r="L1484" s="161"/>
      <c r="M1484" s="169"/>
      <c r="N1484" s="163" t="str">
        <f t="shared" si="27"/>
        <v/>
      </c>
      <c r="O1484" s="41"/>
      <c r="P1484" s="41"/>
      <c r="Q1484" s="161" t="str">
        <f>+IF(OR(O1484="Fire Control",O1484="Fire Tex 5062",O1484="Fire Tex 5090",O1484="Fire Tex 5120"),'CALCULO PINTURA'!P1485," ")</f>
        <v xml:space="preserve"> </v>
      </c>
      <c r="R1484" s="164" t="str">
        <f>+IF(OR(O1484="Fire Control",O1484="Fire Tex 5062",O1484="Fire Tex 5090",O1484="Fire Tex 5120"),'CALCULO PINTURA'!R1485," ")</f>
        <v xml:space="preserve"> </v>
      </c>
      <c r="S1484" s="164" t="str">
        <f>+IF(OR(O1484="Fire Control",O1484="Fire Tex 5062",O1484="Fire Tex 5090",O1484="Fire Tex 5120"),'CALCULO PINTURA'!S1485," ")</f>
        <v xml:space="preserve"> </v>
      </c>
      <c r="T1484" s="874" t="str">
        <f>+IF(OR(O1484="Blaze Shield II",O1484="Cafco 400",O1484="Cafco 300"),'CALCULO MORTERO'!N1490," ")</f>
        <v xml:space="preserve"> </v>
      </c>
      <c r="U1484" s="875" t="str">
        <f>+IF(OR(O1484="Blaze Shield II",O1484="Cafco 400",O1484="Cafco 300"),'CALCULO MORTERO'!O1490," ")</f>
        <v xml:space="preserve"> </v>
      </c>
      <c r="V1484" s="161" t="str" cm="1">
        <f t="array" ref="V1484">_xlfn.IFS(O1484="Blaze Shield II",'CALCULO MORTERO'!P1485, O1484="Cafco 400",'CALCULO MORTERO'!Q1485,O1484="Cafco 300",'CALCULO MORTERO'!S1485, AND(OR(O1484="Fire tex 5090", O1484="Fire Tex 5062", O1484="Fire Tex 5120", O1484="Fire Control"),Q1484&gt;0), "CERT.",TRUE,"-")</f>
        <v>-</v>
      </c>
    </row>
    <row r="1485" spans="1:22" x14ac:dyDescent="0.25">
      <c r="A1485" s="168"/>
      <c r="B1485" s="876"/>
      <c r="C1485" s="161"/>
      <c r="D1485" s="161"/>
      <c r="E1485" s="161"/>
      <c r="F1485" s="41"/>
      <c r="G1485" s="161"/>
      <c r="H1485" s="161"/>
      <c r="I1485" s="166"/>
      <c r="J1485" s="162"/>
      <c r="K1485" s="161"/>
      <c r="L1485" s="161"/>
      <c r="M1485" s="169"/>
      <c r="N1485" s="163" t="str">
        <f t="shared" si="27"/>
        <v/>
      </c>
      <c r="O1485" s="41"/>
      <c r="P1485" s="41"/>
      <c r="Q1485" s="161" t="str">
        <f>+IF(OR(O1485="Fire Control",O1485="Fire Tex 5062",O1485="Fire Tex 5090",O1485="Fire Tex 5120"),'CALCULO PINTURA'!P1486," ")</f>
        <v xml:space="preserve"> </v>
      </c>
      <c r="R1485" s="164" t="str">
        <f>+IF(OR(O1485="Fire Control",O1485="Fire Tex 5062",O1485="Fire Tex 5090",O1485="Fire Tex 5120"),'CALCULO PINTURA'!R1486," ")</f>
        <v xml:space="preserve"> </v>
      </c>
      <c r="S1485" s="164" t="str">
        <f>+IF(OR(O1485="Fire Control",O1485="Fire Tex 5062",O1485="Fire Tex 5090",O1485="Fire Tex 5120"),'CALCULO PINTURA'!S1486," ")</f>
        <v xml:space="preserve"> </v>
      </c>
      <c r="T1485" s="874" t="str">
        <f>+IF(OR(O1485="Blaze Shield II",O1485="Cafco 400",O1485="Cafco 300"),'CALCULO MORTERO'!N1491," ")</f>
        <v xml:space="preserve"> </v>
      </c>
      <c r="U1485" s="875" t="str">
        <f>+IF(OR(O1485="Blaze Shield II",O1485="Cafco 400",O1485="Cafco 300"),'CALCULO MORTERO'!O1491," ")</f>
        <v xml:space="preserve"> </v>
      </c>
      <c r="V1485" s="161" t="str" cm="1">
        <f t="array" ref="V1485">_xlfn.IFS(O1485="Blaze Shield II",'CALCULO MORTERO'!P1486, O1485="Cafco 400",'CALCULO MORTERO'!Q1486,O1485="Cafco 300",'CALCULO MORTERO'!S1486, AND(OR(O1485="Fire tex 5090", O1485="Fire Tex 5062", O1485="Fire Tex 5120", O1485="Fire Control"),Q1485&gt;0), "CERT.",TRUE,"-")</f>
        <v>-</v>
      </c>
    </row>
    <row r="1486" spans="1:22" x14ac:dyDescent="0.25">
      <c r="A1486" s="168"/>
      <c r="B1486" s="876"/>
      <c r="C1486" s="161"/>
      <c r="D1486" s="161"/>
      <c r="E1486" s="161"/>
      <c r="F1486" s="41"/>
      <c r="G1486" s="161"/>
      <c r="H1486" s="161"/>
      <c r="I1486" s="166"/>
      <c r="J1486" s="162"/>
      <c r="K1486" s="161"/>
      <c r="L1486" s="161"/>
      <c r="M1486" s="169"/>
      <c r="N1486" s="163" t="str">
        <f t="shared" si="27"/>
        <v/>
      </c>
      <c r="O1486" s="41"/>
      <c r="P1486" s="41"/>
      <c r="Q1486" s="161" t="str">
        <f>+IF(OR(O1486="Fire Control",O1486="Fire Tex 5062",O1486="Fire Tex 5090",O1486="Fire Tex 5120"),'CALCULO PINTURA'!P1487," ")</f>
        <v xml:space="preserve"> </v>
      </c>
      <c r="R1486" s="164" t="str">
        <f>+IF(OR(O1486="Fire Control",O1486="Fire Tex 5062",O1486="Fire Tex 5090",O1486="Fire Tex 5120"),'CALCULO PINTURA'!R1487," ")</f>
        <v xml:space="preserve"> </v>
      </c>
      <c r="S1486" s="164" t="str">
        <f>+IF(OR(O1486="Fire Control",O1486="Fire Tex 5062",O1486="Fire Tex 5090",O1486="Fire Tex 5120"),'CALCULO PINTURA'!S1487," ")</f>
        <v xml:space="preserve"> </v>
      </c>
      <c r="T1486" s="874" t="str">
        <f>+IF(OR(O1486="Blaze Shield II",O1486="Cafco 400",O1486="Cafco 300"),'CALCULO MORTERO'!N1492," ")</f>
        <v xml:space="preserve"> </v>
      </c>
      <c r="U1486" s="875" t="str">
        <f>+IF(OR(O1486="Blaze Shield II",O1486="Cafco 400",O1486="Cafco 300"),'CALCULO MORTERO'!O1492," ")</f>
        <v xml:space="preserve"> </v>
      </c>
      <c r="V1486" s="161" t="str" cm="1">
        <f t="array" ref="V1486">_xlfn.IFS(O1486="Blaze Shield II",'CALCULO MORTERO'!P1487, O1486="Cafco 400",'CALCULO MORTERO'!Q1487,O1486="Cafco 300",'CALCULO MORTERO'!S1487, AND(OR(O1486="Fire tex 5090", O1486="Fire Tex 5062", O1486="Fire Tex 5120", O1486="Fire Control"),Q1486&gt;0), "CERT.",TRUE,"-")</f>
        <v>-</v>
      </c>
    </row>
    <row r="1487" spans="1:22" x14ac:dyDescent="0.25">
      <c r="A1487" s="168"/>
      <c r="B1487" s="876"/>
      <c r="C1487" s="161"/>
      <c r="D1487" s="161"/>
      <c r="E1487" s="161"/>
      <c r="F1487" s="41"/>
      <c r="G1487" s="161"/>
      <c r="H1487" s="161"/>
      <c r="I1487" s="166"/>
      <c r="J1487" s="162"/>
      <c r="K1487" s="161"/>
      <c r="L1487" s="161"/>
      <c r="M1487" s="169"/>
      <c r="N1487" s="163" t="str">
        <f t="shared" si="27"/>
        <v/>
      </c>
      <c r="O1487" s="41"/>
      <c r="P1487" s="41"/>
      <c r="Q1487" s="161" t="str">
        <f>+IF(OR(O1487="Fire Control",O1487="Fire Tex 5062",O1487="Fire Tex 5090",O1487="Fire Tex 5120"),'CALCULO PINTURA'!P1488," ")</f>
        <v xml:space="preserve"> </v>
      </c>
      <c r="R1487" s="164" t="str">
        <f>+IF(OR(O1487="Fire Control",O1487="Fire Tex 5062",O1487="Fire Tex 5090",O1487="Fire Tex 5120"),'CALCULO PINTURA'!R1488," ")</f>
        <v xml:space="preserve"> </v>
      </c>
      <c r="S1487" s="164" t="str">
        <f>+IF(OR(O1487="Fire Control",O1487="Fire Tex 5062",O1487="Fire Tex 5090",O1487="Fire Tex 5120"),'CALCULO PINTURA'!S1488," ")</f>
        <v xml:space="preserve"> </v>
      </c>
      <c r="T1487" s="874" t="str">
        <f>+IF(OR(O1487="Blaze Shield II",O1487="Cafco 400",O1487="Cafco 300"),'CALCULO MORTERO'!N1493," ")</f>
        <v xml:space="preserve"> </v>
      </c>
      <c r="U1487" s="875" t="str">
        <f>+IF(OR(O1487="Blaze Shield II",O1487="Cafco 400",O1487="Cafco 300"),'CALCULO MORTERO'!O1493," ")</f>
        <v xml:space="preserve"> </v>
      </c>
      <c r="V1487" s="161" t="str" cm="1">
        <f t="array" ref="V1487">_xlfn.IFS(O1487="Blaze Shield II",'CALCULO MORTERO'!P1488, O1487="Cafco 400",'CALCULO MORTERO'!Q1488,O1487="Cafco 300",'CALCULO MORTERO'!S1488, AND(OR(O1487="Fire tex 5090", O1487="Fire Tex 5062", O1487="Fire Tex 5120", O1487="Fire Control"),Q1487&gt;0), "CERT.",TRUE,"-")</f>
        <v>-</v>
      </c>
    </row>
    <row r="1488" spans="1:22" x14ac:dyDescent="0.25">
      <c r="A1488" s="168"/>
      <c r="B1488" s="876"/>
      <c r="C1488" s="161"/>
      <c r="D1488" s="161"/>
      <c r="E1488" s="161"/>
      <c r="F1488" s="41"/>
      <c r="G1488" s="161"/>
      <c r="H1488" s="161"/>
      <c r="I1488" s="166"/>
      <c r="J1488" s="162"/>
      <c r="K1488" s="161"/>
      <c r="L1488" s="161"/>
      <c r="M1488" s="169"/>
      <c r="N1488" s="163" t="str">
        <f t="shared" si="27"/>
        <v/>
      </c>
      <c r="O1488" s="41"/>
      <c r="P1488" s="41"/>
      <c r="Q1488" s="161" t="str">
        <f>+IF(OR(O1488="Fire Control",O1488="Fire Tex 5062",O1488="Fire Tex 5090",O1488="Fire Tex 5120"),'CALCULO PINTURA'!P1489," ")</f>
        <v xml:space="preserve"> </v>
      </c>
      <c r="R1488" s="164" t="str">
        <f>+IF(OR(O1488="Fire Control",O1488="Fire Tex 5062",O1488="Fire Tex 5090",O1488="Fire Tex 5120"),'CALCULO PINTURA'!R1489," ")</f>
        <v xml:space="preserve"> </v>
      </c>
      <c r="S1488" s="164" t="str">
        <f>+IF(OR(O1488="Fire Control",O1488="Fire Tex 5062",O1488="Fire Tex 5090",O1488="Fire Tex 5120"),'CALCULO PINTURA'!S1489," ")</f>
        <v xml:space="preserve"> </v>
      </c>
      <c r="T1488" s="874" t="str">
        <f>+IF(OR(O1488="Blaze Shield II",O1488="Cafco 400",O1488="Cafco 300"),'CALCULO MORTERO'!N1494," ")</f>
        <v xml:space="preserve"> </v>
      </c>
      <c r="U1488" s="875" t="str">
        <f>+IF(OR(O1488="Blaze Shield II",O1488="Cafco 400",O1488="Cafco 300"),'CALCULO MORTERO'!O1494," ")</f>
        <v xml:space="preserve"> </v>
      </c>
      <c r="V1488" s="161" t="str" cm="1">
        <f t="array" ref="V1488">_xlfn.IFS(O1488="Blaze Shield II",'CALCULO MORTERO'!P1489, O1488="Cafco 400",'CALCULO MORTERO'!Q1489,O1488="Cafco 300",'CALCULO MORTERO'!S1489, AND(OR(O1488="Fire tex 5090", O1488="Fire Tex 5062", O1488="Fire Tex 5120", O1488="Fire Control"),Q1488&gt;0), "CERT.",TRUE,"-")</f>
        <v>-</v>
      </c>
    </row>
    <row r="1489" spans="1:22" x14ac:dyDescent="0.25">
      <c r="A1489" s="168"/>
      <c r="B1489" s="876"/>
      <c r="C1489" s="161"/>
      <c r="D1489" s="161"/>
      <c r="E1489" s="161"/>
      <c r="F1489" s="41"/>
      <c r="G1489" s="161"/>
      <c r="H1489" s="161"/>
      <c r="I1489" s="166"/>
      <c r="J1489" s="162"/>
      <c r="K1489" s="161"/>
      <c r="L1489" s="161"/>
      <c r="M1489" s="169"/>
      <c r="N1489" s="163" t="str">
        <f t="shared" si="27"/>
        <v/>
      </c>
      <c r="O1489" s="41"/>
      <c r="P1489" s="41"/>
      <c r="Q1489" s="161" t="str">
        <f>+IF(OR(O1489="Fire Control",O1489="Fire Tex 5062",O1489="Fire Tex 5090",O1489="Fire Tex 5120"),'CALCULO PINTURA'!P1490," ")</f>
        <v xml:space="preserve"> </v>
      </c>
      <c r="R1489" s="164" t="str">
        <f>+IF(OR(O1489="Fire Control",O1489="Fire Tex 5062",O1489="Fire Tex 5090",O1489="Fire Tex 5120"),'CALCULO PINTURA'!R1490," ")</f>
        <v xml:space="preserve"> </v>
      </c>
      <c r="S1489" s="164" t="str">
        <f>+IF(OR(O1489="Fire Control",O1489="Fire Tex 5062",O1489="Fire Tex 5090",O1489="Fire Tex 5120"),'CALCULO PINTURA'!S1490," ")</f>
        <v xml:space="preserve"> </v>
      </c>
      <c r="T1489" s="874" t="str">
        <f>+IF(OR(O1489="Blaze Shield II",O1489="Cafco 400",O1489="Cafco 300"),'CALCULO MORTERO'!N1495," ")</f>
        <v xml:space="preserve"> </v>
      </c>
      <c r="U1489" s="875" t="str">
        <f>+IF(OR(O1489="Blaze Shield II",O1489="Cafco 400",O1489="Cafco 300"),'CALCULO MORTERO'!O1495," ")</f>
        <v xml:space="preserve"> </v>
      </c>
      <c r="V1489" s="161" t="str" cm="1">
        <f t="array" ref="V1489">_xlfn.IFS(O1489="Blaze Shield II",'CALCULO MORTERO'!P1490, O1489="Cafco 400",'CALCULO MORTERO'!Q1490,O1489="Cafco 300",'CALCULO MORTERO'!S1490, AND(OR(O1489="Fire tex 5090", O1489="Fire Tex 5062", O1489="Fire Tex 5120", O1489="Fire Control"),Q1489&gt;0), "CERT.",TRUE,"-")</f>
        <v>-</v>
      </c>
    </row>
    <row r="1490" spans="1:22" x14ac:dyDescent="0.25">
      <c r="A1490" s="168"/>
      <c r="B1490" s="876"/>
      <c r="C1490" s="161"/>
      <c r="D1490" s="161"/>
      <c r="E1490" s="161"/>
      <c r="F1490" s="41"/>
      <c r="G1490" s="161"/>
      <c r="H1490" s="161"/>
      <c r="I1490" s="166"/>
      <c r="J1490" s="162"/>
      <c r="K1490" s="161"/>
      <c r="L1490" s="161"/>
      <c r="M1490" s="169"/>
      <c r="N1490" s="163" t="str">
        <f t="shared" si="27"/>
        <v/>
      </c>
      <c r="O1490" s="41"/>
      <c r="P1490" s="41"/>
      <c r="Q1490" s="161" t="str">
        <f>+IF(OR(O1490="Fire Control",O1490="Fire Tex 5062",O1490="Fire Tex 5090",O1490="Fire Tex 5120"),'CALCULO PINTURA'!P1491," ")</f>
        <v xml:space="preserve"> </v>
      </c>
      <c r="R1490" s="164" t="str">
        <f>+IF(OR(O1490="Fire Control",O1490="Fire Tex 5062",O1490="Fire Tex 5090",O1490="Fire Tex 5120"),'CALCULO PINTURA'!R1491," ")</f>
        <v xml:space="preserve"> </v>
      </c>
      <c r="S1490" s="164" t="str">
        <f>+IF(OR(O1490="Fire Control",O1490="Fire Tex 5062",O1490="Fire Tex 5090",O1490="Fire Tex 5120"),'CALCULO PINTURA'!S1491," ")</f>
        <v xml:space="preserve"> </v>
      </c>
      <c r="T1490" s="874" t="str">
        <f>+IF(OR(O1490="Blaze Shield II",O1490="Cafco 400",O1490="Cafco 300"),'CALCULO MORTERO'!N1496," ")</f>
        <v xml:space="preserve"> </v>
      </c>
      <c r="U1490" s="875" t="str">
        <f>+IF(OR(O1490="Blaze Shield II",O1490="Cafco 400",O1490="Cafco 300"),'CALCULO MORTERO'!O1496," ")</f>
        <v xml:space="preserve"> </v>
      </c>
      <c r="V1490" s="161" t="str" cm="1">
        <f t="array" ref="V1490">_xlfn.IFS(O1490="Blaze Shield II",'CALCULO MORTERO'!P1491, O1490="Cafco 400",'CALCULO MORTERO'!Q1491,O1490="Cafco 300",'CALCULO MORTERO'!S1491, AND(OR(O1490="Fire tex 5090", O1490="Fire Tex 5062", O1490="Fire Tex 5120", O1490="Fire Control"),Q1490&gt;0), "CERT.",TRUE,"-")</f>
        <v>-</v>
      </c>
    </row>
    <row r="1491" spans="1:22" x14ac:dyDescent="0.25">
      <c r="A1491" s="168"/>
      <c r="B1491" s="876"/>
      <c r="C1491" s="161"/>
      <c r="D1491" s="161"/>
      <c r="E1491" s="161"/>
      <c r="F1491" s="41"/>
      <c r="G1491" s="161"/>
      <c r="H1491" s="161"/>
      <c r="I1491" s="166"/>
      <c r="J1491" s="162"/>
      <c r="K1491" s="161"/>
      <c r="L1491" s="161"/>
      <c r="M1491" s="169"/>
      <c r="N1491" s="163" t="str">
        <f t="shared" si="27"/>
        <v/>
      </c>
      <c r="O1491" s="41"/>
      <c r="P1491" s="41"/>
      <c r="Q1491" s="161" t="str">
        <f>+IF(OR(O1491="Fire Control",O1491="Fire Tex 5062",O1491="Fire Tex 5090",O1491="Fire Tex 5120"),'CALCULO PINTURA'!P1492," ")</f>
        <v xml:space="preserve"> </v>
      </c>
      <c r="R1491" s="164" t="str">
        <f>+IF(OR(O1491="Fire Control",O1491="Fire Tex 5062",O1491="Fire Tex 5090",O1491="Fire Tex 5120"),'CALCULO PINTURA'!R1492," ")</f>
        <v xml:space="preserve"> </v>
      </c>
      <c r="S1491" s="164" t="str">
        <f>+IF(OR(O1491="Fire Control",O1491="Fire Tex 5062",O1491="Fire Tex 5090",O1491="Fire Tex 5120"),'CALCULO PINTURA'!S1492," ")</f>
        <v xml:space="preserve"> </v>
      </c>
      <c r="T1491" s="874" t="str">
        <f>+IF(OR(O1491="Blaze Shield II",O1491="Cafco 400",O1491="Cafco 300"),'CALCULO MORTERO'!N1497," ")</f>
        <v xml:space="preserve"> </v>
      </c>
      <c r="U1491" s="875" t="str">
        <f>+IF(OR(O1491="Blaze Shield II",O1491="Cafco 400",O1491="Cafco 300"),'CALCULO MORTERO'!O1497," ")</f>
        <v xml:space="preserve"> </v>
      </c>
      <c r="V1491" s="161" t="str" cm="1">
        <f t="array" ref="V1491">_xlfn.IFS(O1491="Blaze Shield II",'CALCULO MORTERO'!P1492, O1491="Cafco 400",'CALCULO MORTERO'!Q1492,O1491="Cafco 300",'CALCULO MORTERO'!S1492, AND(OR(O1491="Fire tex 5090", O1491="Fire Tex 5062", O1491="Fire Tex 5120", O1491="Fire Control"),Q1491&gt;0), "CERT.",TRUE,"-")</f>
        <v>-</v>
      </c>
    </row>
    <row r="1492" spans="1:22" x14ac:dyDescent="0.25">
      <c r="A1492" s="168"/>
      <c r="B1492" s="876"/>
      <c r="C1492" s="161"/>
      <c r="D1492" s="161"/>
      <c r="E1492" s="161"/>
      <c r="F1492" s="41"/>
      <c r="G1492" s="161"/>
      <c r="H1492" s="161"/>
      <c r="I1492" s="166"/>
      <c r="J1492" s="162"/>
      <c r="K1492" s="161"/>
      <c r="L1492" s="161"/>
      <c r="M1492" s="169"/>
      <c r="N1492" s="163" t="str">
        <f t="shared" si="27"/>
        <v/>
      </c>
      <c r="O1492" s="41"/>
      <c r="P1492" s="41"/>
      <c r="Q1492" s="161" t="str">
        <f>+IF(OR(O1492="Fire Control",O1492="Fire Tex 5062",O1492="Fire Tex 5090",O1492="Fire Tex 5120"),'CALCULO PINTURA'!P1493," ")</f>
        <v xml:space="preserve"> </v>
      </c>
      <c r="R1492" s="164" t="str">
        <f>+IF(OR(O1492="Fire Control",O1492="Fire Tex 5062",O1492="Fire Tex 5090",O1492="Fire Tex 5120"),'CALCULO PINTURA'!R1493," ")</f>
        <v xml:space="preserve"> </v>
      </c>
      <c r="S1492" s="164" t="str">
        <f>+IF(OR(O1492="Fire Control",O1492="Fire Tex 5062",O1492="Fire Tex 5090",O1492="Fire Tex 5120"),'CALCULO PINTURA'!S1493," ")</f>
        <v xml:space="preserve"> </v>
      </c>
      <c r="T1492" s="874" t="str">
        <f>+IF(OR(O1492="Blaze Shield II",O1492="Cafco 400",O1492="Cafco 300"),'CALCULO MORTERO'!N1498," ")</f>
        <v xml:space="preserve"> </v>
      </c>
      <c r="U1492" s="875" t="str">
        <f>+IF(OR(O1492="Blaze Shield II",O1492="Cafco 400",O1492="Cafco 300"),'CALCULO MORTERO'!O1498," ")</f>
        <v xml:space="preserve"> </v>
      </c>
      <c r="V1492" s="161" t="str" cm="1">
        <f t="array" ref="V1492">_xlfn.IFS(O1492="Blaze Shield II",'CALCULO MORTERO'!P1493, O1492="Cafco 400",'CALCULO MORTERO'!Q1493,O1492="Cafco 300",'CALCULO MORTERO'!S1493, AND(OR(O1492="Fire tex 5090", O1492="Fire Tex 5062", O1492="Fire Tex 5120", O1492="Fire Control"),Q1492&gt;0), "CERT.",TRUE,"-")</f>
        <v>-</v>
      </c>
    </row>
    <row r="1493" spans="1:22" x14ac:dyDescent="0.25">
      <c r="A1493" s="168"/>
      <c r="B1493" s="876"/>
      <c r="C1493" s="161"/>
      <c r="D1493" s="161"/>
      <c r="E1493" s="161"/>
      <c r="F1493" s="41"/>
      <c r="G1493" s="161"/>
      <c r="H1493" s="161"/>
      <c r="I1493" s="166"/>
      <c r="J1493" s="162"/>
      <c r="K1493" s="161"/>
      <c r="L1493" s="161"/>
      <c r="M1493" s="169"/>
      <c r="N1493" s="163" t="str">
        <f t="shared" si="27"/>
        <v/>
      </c>
      <c r="O1493" s="41"/>
      <c r="P1493" s="41"/>
      <c r="Q1493" s="161" t="str">
        <f>+IF(OR(O1493="Fire Control",O1493="Fire Tex 5062",O1493="Fire Tex 5090",O1493="Fire Tex 5120"),'CALCULO PINTURA'!P1494," ")</f>
        <v xml:space="preserve"> </v>
      </c>
      <c r="R1493" s="164" t="str">
        <f>+IF(OR(O1493="Fire Control",O1493="Fire Tex 5062",O1493="Fire Tex 5090",O1493="Fire Tex 5120"),'CALCULO PINTURA'!R1494," ")</f>
        <v xml:space="preserve"> </v>
      </c>
      <c r="S1493" s="164" t="str">
        <f>+IF(OR(O1493="Fire Control",O1493="Fire Tex 5062",O1493="Fire Tex 5090",O1493="Fire Tex 5120"),'CALCULO PINTURA'!S1494," ")</f>
        <v xml:space="preserve"> </v>
      </c>
      <c r="T1493" s="874" t="str">
        <f>+IF(OR(O1493="Blaze Shield II",O1493="Cafco 400",O1493="Cafco 300"),'CALCULO MORTERO'!N1499," ")</f>
        <v xml:space="preserve"> </v>
      </c>
      <c r="U1493" s="875" t="str">
        <f>+IF(OR(O1493="Blaze Shield II",O1493="Cafco 400",O1493="Cafco 300"),'CALCULO MORTERO'!O1499," ")</f>
        <v xml:space="preserve"> </v>
      </c>
      <c r="V1493" s="161" t="str" cm="1">
        <f t="array" ref="V1493">_xlfn.IFS(O1493="Blaze Shield II",'CALCULO MORTERO'!P1494, O1493="Cafco 400",'CALCULO MORTERO'!Q1494,O1493="Cafco 300",'CALCULO MORTERO'!S1494, AND(OR(O1493="Fire tex 5090", O1493="Fire Tex 5062", O1493="Fire Tex 5120", O1493="Fire Control"),Q1493&gt;0), "CERT.",TRUE,"-")</f>
        <v>-</v>
      </c>
    </row>
    <row r="1494" spans="1:22" x14ac:dyDescent="0.25">
      <c r="A1494" s="168"/>
      <c r="B1494" s="876"/>
      <c r="C1494" s="161"/>
      <c r="D1494" s="161"/>
      <c r="E1494" s="161"/>
      <c r="F1494" s="41"/>
      <c r="G1494" s="161"/>
      <c r="H1494" s="161"/>
      <c r="I1494" s="166"/>
      <c r="J1494" s="162"/>
      <c r="K1494" s="161"/>
      <c r="L1494" s="161"/>
      <c r="M1494" s="169"/>
      <c r="N1494" s="163" t="str">
        <f t="shared" si="27"/>
        <v/>
      </c>
      <c r="O1494" s="41"/>
      <c r="P1494" s="41"/>
      <c r="Q1494" s="161" t="str">
        <f>+IF(OR(O1494="Fire Control",O1494="Fire Tex 5062",O1494="Fire Tex 5090",O1494="Fire Tex 5120"),'CALCULO PINTURA'!P1495," ")</f>
        <v xml:space="preserve"> </v>
      </c>
      <c r="R1494" s="164" t="str">
        <f>+IF(OR(O1494="Fire Control",O1494="Fire Tex 5062",O1494="Fire Tex 5090",O1494="Fire Tex 5120"),'CALCULO PINTURA'!R1495," ")</f>
        <v xml:space="preserve"> </v>
      </c>
      <c r="S1494" s="164" t="str">
        <f>+IF(OR(O1494="Fire Control",O1494="Fire Tex 5062",O1494="Fire Tex 5090",O1494="Fire Tex 5120"),'CALCULO PINTURA'!S1495," ")</f>
        <v xml:space="preserve"> </v>
      </c>
      <c r="T1494" s="874" t="str">
        <f>+IF(OR(O1494="Blaze Shield II",O1494="Cafco 400",O1494="Cafco 300"),'CALCULO MORTERO'!N1500," ")</f>
        <v xml:space="preserve"> </v>
      </c>
      <c r="U1494" s="875" t="str">
        <f>+IF(OR(O1494="Blaze Shield II",O1494="Cafco 400",O1494="Cafco 300"),'CALCULO MORTERO'!O1500," ")</f>
        <v xml:space="preserve"> </v>
      </c>
      <c r="V1494" s="161" t="str" cm="1">
        <f t="array" ref="V1494">_xlfn.IFS(O1494="Blaze Shield II",'CALCULO MORTERO'!P1495, O1494="Cafco 400",'CALCULO MORTERO'!Q1495,O1494="Cafco 300",'CALCULO MORTERO'!S1495, AND(OR(O1494="Fire tex 5090", O1494="Fire Tex 5062", O1494="Fire Tex 5120", O1494="Fire Control"),Q1494&gt;0), "CERT.",TRUE,"-")</f>
        <v>-</v>
      </c>
    </row>
    <row r="1495" spans="1:22" x14ac:dyDescent="0.25">
      <c r="A1495" s="168"/>
      <c r="B1495" s="876"/>
      <c r="C1495" s="161"/>
      <c r="D1495" s="161"/>
      <c r="E1495" s="161"/>
      <c r="F1495" s="161"/>
      <c r="G1495" s="161"/>
      <c r="H1495" s="161"/>
      <c r="I1495" s="166"/>
      <c r="J1495" s="162"/>
      <c r="K1495" s="161"/>
      <c r="L1495" s="161"/>
      <c r="M1495" s="163"/>
      <c r="N1495" s="163" t="str">
        <f t="shared" si="27"/>
        <v/>
      </c>
      <c r="O1495" s="41"/>
      <c r="P1495" s="41"/>
      <c r="Q1495" s="161" t="str">
        <f>+IF(OR(O1495="Fire Control",O1495="Fire Tex 5062",O1495="Fire Tex 5090",O1495="Fire Tex 5120"),'CALCULO PINTURA'!P1496," ")</f>
        <v xml:space="preserve"> </v>
      </c>
      <c r="R1495" s="164" t="str">
        <f>+IF(OR(O1495="Fire Control",O1495="Fire Tex 5062",O1495="Fire Tex 5090",O1495="Fire Tex 5120"),'CALCULO PINTURA'!R1496," ")</f>
        <v xml:space="preserve"> </v>
      </c>
      <c r="S1495" s="164" t="str">
        <f>+IF(OR(O1495="Fire Control",O1495="Fire Tex 5062",O1495="Fire Tex 5090",O1495="Fire Tex 5120"),'CALCULO PINTURA'!S1496," ")</f>
        <v xml:space="preserve"> </v>
      </c>
      <c r="T1495" s="874" t="str">
        <f>+IF(OR(O1495="Blaze Shield II",O1495="Cafco 400",O1495="Cafco 300"),'CALCULO MORTERO'!N1501," ")</f>
        <v xml:space="preserve"> </v>
      </c>
      <c r="U1495" s="875" t="str">
        <f>+IF(OR(O1495="Blaze Shield II",O1495="Cafco 400",O1495="Cafco 300"),'CALCULO MORTERO'!O1501," ")</f>
        <v xml:space="preserve"> </v>
      </c>
      <c r="V1495" s="161" t="str" cm="1">
        <f t="array" ref="V1495">_xlfn.IFS(O1495="Blaze Shield II",'CALCULO MORTERO'!P1496, O1495="Cafco 400",'CALCULO MORTERO'!Q1496,O1495="Cafco 300",'CALCULO MORTERO'!S1496, AND(OR(O1495="Fire tex 5090", O1495="Fire Tex 5062", O1495="Fire Tex 5120", O1495="Fire Control"),Q1495&gt;0), "CERT.",TRUE,"-")</f>
        <v>-</v>
      </c>
    </row>
    <row r="1496" spans="1:22" x14ac:dyDescent="0.25">
      <c r="A1496" s="168"/>
      <c r="B1496" s="876"/>
      <c r="C1496" s="161"/>
      <c r="D1496" s="161"/>
      <c r="E1496" s="161"/>
      <c r="F1496" s="161"/>
      <c r="G1496" s="161"/>
      <c r="H1496" s="161"/>
      <c r="I1496" s="166"/>
      <c r="J1496" s="162"/>
      <c r="K1496" s="161"/>
      <c r="L1496" s="161"/>
      <c r="M1496" s="163"/>
      <c r="N1496" s="163" t="str">
        <f t="shared" si="27"/>
        <v/>
      </c>
      <c r="O1496" s="41"/>
      <c r="P1496" s="41"/>
      <c r="Q1496" s="161" t="str">
        <f>+IF(OR(O1496="Fire Control",O1496="Fire Tex 5062",O1496="Fire Tex 5090",O1496="Fire Tex 5120"),'CALCULO PINTURA'!P1497," ")</f>
        <v xml:space="preserve"> </v>
      </c>
      <c r="R1496" s="164" t="str">
        <f>+IF(OR(O1496="Fire Control",O1496="Fire Tex 5062",O1496="Fire Tex 5090",O1496="Fire Tex 5120"),'CALCULO PINTURA'!R1497," ")</f>
        <v xml:space="preserve"> </v>
      </c>
      <c r="S1496" s="164" t="str">
        <f>+IF(OR(O1496="Fire Control",O1496="Fire Tex 5062",O1496="Fire Tex 5090",O1496="Fire Tex 5120"),'CALCULO PINTURA'!S1497," ")</f>
        <v xml:space="preserve"> </v>
      </c>
      <c r="T1496" s="874" t="str">
        <f>+IF(OR(O1496="Blaze Shield II",O1496="Cafco 400",O1496="Cafco 300"),'CALCULO MORTERO'!N1502," ")</f>
        <v xml:space="preserve"> </v>
      </c>
      <c r="U1496" s="875" t="str">
        <f>+IF(OR(O1496="Blaze Shield II",O1496="Cafco 400",O1496="Cafco 300"),'CALCULO MORTERO'!O1502," ")</f>
        <v xml:space="preserve"> </v>
      </c>
      <c r="V1496" s="161" t="str" cm="1">
        <f t="array" ref="V1496">_xlfn.IFS(O1496="Blaze Shield II",'CALCULO MORTERO'!P1497, O1496="Cafco 400",'CALCULO MORTERO'!Q1497,O1496="Cafco 300",'CALCULO MORTERO'!S1497, AND(OR(O1496="Fire tex 5090", O1496="Fire Tex 5062", O1496="Fire Tex 5120", O1496="Fire Control"),Q1496&gt;0), "CERT.",TRUE,"-")</f>
        <v>-</v>
      </c>
    </row>
    <row r="1497" spans="1:22" x14ac:dyDescent="0.25">
      <c r="A1497" s="168"/>
      <c r="B1497" s="876"/>
      <c r="C1497" s="161"/>
      <c r="D1497" s="161"/>
      <c r="E1497" s="161"/>
      <c r="F1497" s="161"/>
      <c r="G1497" s="161"/>
      <c r="H1497" s="161"/>
      <c r="I1497" s="166"/>
      <c r="J1497" s="162"/>
      <c r="K1497" s="161"/>
      <c r="L1497" s="161"/>
      <c r="M1497" s="163"/>
      <c r="N1497" s="163" t="str">
        <f t="shared" si="27"/>
        <v/>
      </c>
      <c r="O1497" s="41"/>
      <c r="P1497" s="41"/>
      <c r="Q1497" s="161" t="str">
        <f>+IF(OR(O1497="Fire Control",O1497="Fire Tex 5062",O1497="Fire Tex 5090",O1497="Fire Tex 5120"),'CALCULO PINTURA'!P1498," ")</f>
        <v xml:space="preserve"> </v>
      </c>
      <c r="R1497" s="164" t="str">
        <f>+IF(OR(O1497="Fire Control",O1497="Fire Tex 5062",O1497="Fire Tex 5090",O1497="Fire Tex 5120"),'CALCULO PINTURA'!R1498," ")</f>
        <v xml:space="preserve"> </v>
      </c>
      <c r="S1497" s="164" t="str">
        <f>+IF(OR(O1497="Fire Control",O1497="Fire Tex 5062",O1497="Fire Tex 5090",O1497="Fire Tex 5120"),'CALCULO PINTURA'!S1498," ")</f>
        <v xml:space="preserve"> </v>
      </c>
      <c r="T1497" s="874" t="str">
        <f>+IF(OR(O1497="Blaze Shield II",O1497="Cafco 400",O1497="Cafco 300"),'CALCULO MORTERO'!N1503," ")</f>
        <v xml:space="preserve"> </v>
      </c>
      <c r="U1497" s="875" t="str">
        <f>+IF(OR(O1497="Blaze Shield II",O1497="Cafco 400",O1497="Cafco 300"),'CALCULO MORTERO'!O1503," ")</f>
        <v xml:space="preserve"> </v>
      </c>
      <c r="V1497" s="161" t="str" cm="1">
        <f t="array" ref="V1497">_xlfn.IFS(O1497="Blaze Shield II",'CALCULO MORTERO'!P1498, O1497="Cafco 400",'CALCULO MORTERO'!Q1498,O1497="Cafco 300",'CALCULO MORTERO'!S1498, AND(OR(O1497="Fire tex 5090", O1497="Fire Tex 5062", O1497="Fire Tex 5120", O1497="Fire Control"),Q1497&gt;0), "CERT.",TRUE,"-")</f>
        <v>-</v>
      </c>
    </row>
    <row r="1498" spans="1:22" x14ac:dyDescent="0.25">
      <c r="A1498" s="168"/>
      <c r="B1498" s="876"/>
      <c r="C1498" s="161"/>
      <c r="D1498" s="161"/>
      <c r="E1498" s="161"/>
      <c r="F1498" s="161"/>
      <c r="G1498" s="161"/>
      <c r="H1498" s="161"/>
      <c r="I1498" s="166"/>
      <c r="J1498" s="162"/>
      <c r="K1498" s="161"/>
      <c r="L1498" s="161"/>
      <c r="M1498" s="163"/>
      <c r="N1498" s="163" t="str">
        <f t="shared" si="27"/>
        <v/>
      </c>
      <c r="O1498" s="41"/>
      <c r="P1498" s="41"/>
      <c r="Q1498" s="161" t="str">
        <f>+IF(OR(O1498="Fire Control",O1498="Fire Tex 5062",O1498="Fire Tex 5090",O1498="Fire Tex 5120"),'CALCULO PINTURA'!P1499," ")</f>
        <v xml:space="preserve"> </v>
      </c>
      <c r="R1498" s="164" t="str">
        <f>+IF(OR(O1498="Fire Control",O1498="Fire Tex 5062",O1498="Fire Tex 5090",O1498="Fire Tex 5120"),'CALCULO PINTURA'!R1499," ")</f>
        <v xml:space="preserve"> </v>
      </c>
      <c r="S1498" s="164" t="str">
        <f>+IF(OR(O1498="Fire Control",O1498="Fire Tex 5062",O1498="Fire Tex 5090",O1498="Fire Tex 5120"),'CALCULO PINTURA'!S1499," ")</f>
        <v xml:space="preserve"> </v>
      </c>
      <c r="T1498" s="874" t="str">
        <f>+IF(OR(O1498="Blaze Shield II",O1498="Cafco 400",O1498="Cafco 300"),'CALCULO MORTERO'!N1504," ")</f>
        <v xml:space="preserve"> </v>
      </c>
      <c r="U1498" s="875" t="str">
        <f>+IF(OR(O1498="Blaze Shield II",O1498="Cafco 400",O1498="Cafco 300"),'CALCULO MORTERO'!O1504," ")</f>
        <v xml:space="preserve"> </v>
      </c>
      <c r="V1498" s="161" t="str" cm="1">
        <f t="array" ref="V1498">_xlfn.IFS(O1498="Blaze Shield II",'CALCULO MORTERO'!P1499, O1498="Cafco 400",'CALCULO MORTERO'!Q1499,O1498="Cafco 300",'CALCULO MORTERO'!S1499, AND(OR(O1498="Fire tex 5090", O1498="Fire Tex 5062", O1498="Fire Tex 5120", O1498="Fire Control"),Q1498&gt;0), "CERT.",TRUE,"-")</f>
        <v>-</v>
      </c>
    </row>
    <row r="1499" spans="1:22" x14ac:dyDescent="0.25">
      <c r="A1499" s="168"/>
      <c r="B1499" s="876"/>
      <c r="C1499" s="161"/>
      <c r="D1499" s="161"/>
      <c r="E1499" s="161"/>
      <c r="F1499" s="41"/>
      <c r="G1499" s="161"/>
      <c r="H1499" s="161"/>
      <c r="I1499" s="166"/>
      <c r="J1499" s="162"/>
      <c r="K1499" s="161"/>
      <c r="L1499" s="161"/>
      <c r="M1499" s="169"/>
      <c r="N1499" s="163" t="str">
        <f t="shared" si="27"/>
        <v/>
      </c>
      <c r="O1499" s="41"/>
      <c r="P1499" s="41"/>
      <c r="Q1499" s="161" t="str">
        <f>+IF(OR(O1499="Fire Control",O1499="Fire Tex 5062",O1499="Fire Tex 5090",O1499="Fire Tex 5120"),'CALCULO PINTURA'!P1500," ")</f>
        <v xml:space="preserve"> </v>
      </c>
      <c r="R1499" s="164" t="str">
        <f>+IF(OR(O1499="Fire Control",O1499="Fire Tex 5062",O1499="Fire Tex 5090",O1499="Fire Tex 5120"),'CALCULO PINTURA'!R1500," ")</f>
        <v xml:space="preserve"> </v>
      </c>
      <c r="S1499" s="164" t="str">
        <f>+IF(OR(O1499="Fire Control",O1499="Fire Tex 5062",O1499="Fire Tex 5090",O1499="Fire Tex 5120"),'CALCULO PINTURA'!S1500," ")</f>
        <v xml:space="preserve"> </v>
      </c>
      <c r="T1499" s="874" t="str">
        <f>+IF(OR(O1499="Blaze Shield II",O1499="Cafco 400",O1499="Cafco 300"),'CALCULO MORTERO'!N1505," ")</f>
        <v xml:space="preserve"> </v>
      </c>
      <c r="U1499" s="875" t="str">
        <f>+IF(OR(O1499="Blaze Shield II",O1499="Cafco 400",O1499="Cafco 300"),'CALCULO MORTERO'!O1505," ")</f>
        <v xml:space="preserve"> </v>
      </c>
      <c r="V1499" s="161" t="str" cm="1">
        <f t="array" ref="V1499">_xlfn.IFS(O1499="Blaze Shield II",'CALCULO MORTERO'!P1500, O1499="Cafco 400",'CALCULO MORTERO'!Q1500,O1499="Cafco 300",'CALCULO MORTERO'!S1500, AND(OR(O1499="Fire tex 5090", O1499="Fire Tex 5062", O1499="Fire Tex 5120", O1499="Fire Control"),Q1499&gt;0), "CERT.",TRUE,"-")</f>
        <v>-</v>
      </c>
    </row>
    <row r="1500" spans="1:22" x14ac:dyDescent="0.25">
      <c r="A1500" s="168"/>
      <c r="B1500" s="876"/>
      <c r="C1500" s="161"/>
      <c r="D1500" s="161"/>
      <c r="E1500" s="161"/>
      <c r="F1500" s="41"/>
      <c r="G1500" s="161"/>
      <c r="H1500" s="161"/>
      <c r="I1500" s="166"/>
      <c r="J1500" s="162"/>
      <c r="K1500" s="161"/>
      <c r="L1500" s="161"/>
      <c r="M1500" s="169"/>
      <c r="N1500" s="163" t="str">
        <f t="shared" si="27"/>
        <v/>
      </c>
      <c r="O1500" s="41"/>
      <c r="P1500" s="41"/>
      <c r="Q1500" s="161" t="str">
        <f>+IF(OR(O1500="Fire Control",O1500="Fire Tex 5062",O1500="Fire Tex 5090",O1500="Fire Tex 5120"),'CALCULO PINTURA'!P1501," ")</f>
        <v xml:space="preserve"> </v>
      </c>
      <c r="R1500" s="164" t="str">
        <f>+IF(OR(O1500="Fire Control",O1500="Fire Tex 5062",O1500="Fire Tex 5090",O1500="Fire Tex 5120"),'CALCULO PINTURA'!R1501," ")</f>
        <v xml:space="preserve"> </v>
      </c>
      <c r="S1500" s="164" t="str">
        <f>+IF(OR(O1500="Fire Control",O1500="Fire Tex 5062",O1500="Fire Tex 5090",O1500="Fire Tex 5120"),'CALCULO PINTURA'!S1501," ")</f>
        <v xml:space="preserve"> </v>
      </c>
      <c r="T1500" s="874" t="str">
        <f>+IF(OR(O1500="Blaze Shield II",O1500="Cafco 400",O1500="Cafco 300"),'CALCULO MORTERO'!N1506," ")</f>
        <v xml:space="preserve"> </v>
      </c>
      <c r="U1500" s="875" t="str">
        <f>+IF(OR(O1500="Blaze Shield II",O1500="Cafco 400",O1500="Cafco 300"),'CALCULO MORTERO'!O1506," ")</f>
        <v xml:space="preserve"> </v>
      </c>
      <c r="V1500" s="161" t="str" cm="1">
        <f t="array" ref="V1500">_xlfn.IFS(O1500="Blaze Shield II",'CALCULO MORTERO'!P1501, O1500="Cafco 400",'CALCULO MORTERO'!Q1501,O1500="Cafco 300",'CALCULO MORTERO'!S1501, AND(OR(O1500="Fire tex 5090", O1500="Fire Tex 5062", O1500="Fire Tex 5120", O1500="Fire Control"),Q1500&gt;0), "CERT.",TRUE,"-")</f>
        <v>-</v>
      </c>
    </row>
    <row r="1501" spans="1:22" x14ac:dyDescent="0.25">
      <c r="A1501" s="168"/>
      <c r="B1501" s="876"/>
      <c r="C1501" s="161"/>
      <c r="D1501" s="161"/>
      <c r="E1501" s="161"/>
      <c r="F1501" s="41"/>
      <c r="G1501" s="161"/>
      <c r="H1501" s="161"/>
      <c r="I1501" s="166"/>
      <c r="J1501" s="162"/>
      <c r="K1501" s="161"/>
      <c r="L1501" s="161"/>
      <c r="M1501" s="169"/>
      <c r="N1501" s="163" t="str">
        <f t="shared" si="27"/>
        <v/>
      </c>
      <c r="O1501" s="41"/>
      <c r="P1501" s="41"/>
      <c r="Q1501" s="161" t="str">
        <f>+IF(OR(O1501="Fire Control",O1501="Fire Tex 5062",O1501="Fire Tex 5090",O1501="Fire Tex 5120"),'CALCULO PINTURA'!P1502," ")</f>
        <v xml:space="preserve"> </v>
      </c>
      <c r="R1501" s="164" t="str">
        <f>+IF(OR(O1501="Fire Control",O1501="Fire Tex 5062",O1501="Fire Tex 5090",O1501="Fire Tex 5120"),'CALCULO PINTURA'!R1502," ")</f>
        <v xml:space="preserve"> </v>
      </c>
      <c r="S1501" s="164" t="str">
        <f>+IF(OR(O1501="Fire Control",O1501="Fire Tex 5062",O1501="Fire Tex 5090",O1501="Fire Tex 5120"),'CALCULO PINTURA'!S1502," ")</f>
        <v xml:space="preserve"> </v>
      </c>
      <c r="T1501" s="874" t="str">
        <f>+IF(OR(O1501="Blaze Shield II",O1501="Cafco 400",O1501="Cafco 300"),'CALCULO MORTERO'!N1507," ")</f>
        <v xml:space="preserve"> </v>
      </c>
      <c r="U1501" s="875" t="str">
        <f>+IF(OR(O1501="Blaze Shield II",O1501="Cafco 400",O1501="Cafco 300"),'CALCULO MORTERO'!O1507," ")</f>
        <v xml:space="preserve"> </v>
      </c>
      <c r="V1501" s="161" t="str" cm="1">
        <f t="array" ref="V1501">_xlfn.IFS(O1501="Blaze Shield II",'CALCULO MORTERO'!P1502, O1501="Cafco 400",'CALCULO MORTERO'!Q1502,O1501="Cafco 300",'CALCULO MORTERO'!S1502, AND(OR(O1501="Fire tex 5090", O1501="Fire Tex 5062", O1501="Fire Tex 5120", O1501="Fire Control"),Q1501&gt;0), "CERT.",TRUE,"-")</f>
        <v>-</v>
      </c>
    </row>
    <row r="1502" spans="1:22" x14ac:dyDescent="0.25">
      <c r="A1502" s="168"/>
      <c r="B1502" s="876"/>
      <c r="C1502" s="161"/>
      <c r="D1502" s="161"/>
      <c r="E1502" s="161"/>
      <c r="F1502" s="41"/>
      <c r="G1502" s="161"/>
      <c r="H1502" s="161"/>
      <c r="I1502" s="166"/>
      <c r="J1502" s="162"/>
      <c r="K1502" s="162"/>
      <c r="L1502" s="161"/>
      <c r="M1502" s="169"/>
      <c r="N1502" s="163" t="str">
        <f t="shared" si="27"/>
        <v/>
      </c>
      <c r="O1502" s="41"/>
      <c r="P1502" s="41"/>
      <c r="Q1502" s="161" t="str">
        <f>+IF(OR(O1502="Fire Control",O1502="Fire Tex 5062",O1502="Fire Tex 5090",O1502="Fire Tex 5120"),'CALCULO PINTURA'!P1503," ")</f>
        <v xml:space="preserve"> </v>
      </c>
      <c r="R1502" s="164" t="str">
        <f>+IF(OR(O1502="Fire Control",O1502="Fire Tex 5062",O1502="Fire Tex 5090",O1502="Fire Tex 5120"),'CALCULO PINTURA'!R1503," ")</f>
        <v xml:space="preserve"> </v>
      </c>
      <c r="S1502" s="164" t="str">
        <f>+IF(OR(O1502="Fire Control",O1502="Fire Tex 5062",O1502="Fire Tex 5090",O1502="Fire Tex 5120"),'CALCULO PINTURA'!S1503," ")</f>
        <v xml:space="preserve"> </v>
      </c>
      <c r="T1502" s="874" t="str">
        <f>+IF(OR(O1502="Blaze Shield II",O1502="Cafco 400",O1502="Cafco 300"),'CALCULO MORTERO'!N1508," ")</f>
        <v xml:space="preserve"> </v>
      </c>
      <c r="U1502" s="875" t="str">
        <f>+IF(OR(O1502="Blaze Shield II",O1502="Cafco 400",O1502="Cafco 300"),'CALCULO MORTERO'!O1508," ")</f>
        <v xml:space="preserve"> </v>
      </c>
      <c r="V1502" s="161" t="str" cm="1">
        <f t="array" ref="V1502">_xlfn.IFS(O1502="Blaze Shield II",'CALCULO MORTERO'!P1503, O1502="Cafco 400",'CALCULO MORTERO'!Q1503,O1502="Cafco 300",'CALCULO MORTERO'!S1503, AND(OR(O1502="Fire tex 5090", O1502="Fire Tex 5062", O1502="Fire Tex 5120", O1502="Fire Control"),Q1502&gt;0), "CERT.",TRUE,"-")</f>
        <v>-</v>
      </c>
    </row>
    <row r="1503" spans="1:22" x14ac:dyDescent="0.25">
      <c r="A1503" s="168"/>
      <c r="B1503" s="876"/>
      <c r="C1503" s="161"/>
      <c r="D1503" s="161"/>
      <c r="E1503" s="161"/>
      <c r="F1503" s="41"/>
      <c r="G1503" s="161"/>
      <c r="H1503" s="161"/>
      <c r="I1503" s="166"/>
      <c r="J1503" s="162"/>
      <c r="K1503" s="161"/>
      <c r="L1503" s="161"/>
      <c r="M1503" s="163"/>
      <c r="N1503" s="163" t="str">
        <f t="shared" si="27"/>
        <v/>
      </c>
      <c r="O1503" s="41"/>
      <c r="P1503" s="41"/>
      <c r="Q1503" s="161" t="str">
        <f>+IF(OR(O1503="Fire Control",O1503="Fire Tex 5062",O1503="Fire Tex 5090",O1503="Fire Tex 5120"),'CALCULO PINTURA'!P1504," ")</f>
        <v xml:space="preserve"> </v>
      </c>
      <c r="R1503" s="164" t="str">
        <f>+IF(OR(O1503="Fire Control",O1503="Fire Tex 5062",O1503="Fire Tex 5090",O1503="Fire Tex 5120"),'CALCULO PINTURA'!R1504," ")</f>
        <v xml:space="preserve"> </v>
      </c>
      <c r="S1503" s="164" t="str">
        <f>+IF(OR(O1503="Fire Control",O1503="Fire Tex 5062",O1503="Fire Tex 5090",O1503="Fire Tex 5120"),'CALCULO PINTURA'!S1504," ")</f>
        <v xml:space="preserve"> </v>
      </c>
      <c r="T1503" s="874" t="str">
        <f>+IF(OR(O1503="Blaze Shield II",O1503="Cafco 400",O1503="Cafco 300"),'CALCULO MORTERO'!N1509," ")</f>
        <v xml:space="preserve"> </v>
      </c>
      <c r="U1503" s="875" t="str">
        <f>+IF(OR(O1503="Blaze Shield II",O1503="Cafco 400",O1503="Cafco 300"),'CALCULO MORTERO'!O1509," ")</f>
        <v xml:space="preserve"> </v>
      </c>
      <c r="V1503" s="161" t="str" cm="1">
        <f t="array" ref="V1503">_xlfn.IFS(O1503="Blaze Shield II",'CALCULO MORTERO'!P1504, O1503="Cafco 400",'CALCULO MORTERO'!Q1504,O1503="Cafco 300",'CALCULO MORTERO'!S1504, AND(OR(O1503="Fire tex 5090", O1503="Fire Tex 5062", O1503="Fire Tex 5120", O1503="Fire Control"),Q1503&gt;0), "CERT.",TRUE,"-")</f>
        <v>-</v>
      </c>
    </row>
    <row r="1504" spans="1:22" x14ac:dyDescent="0.25">
      <c r="A1504" s="168"/>
      <c r="B1504" s="876"/>
      <c r="C1504" s="161"/>
      <c r="D1504" s="161"/>
      <c r="E1504" s="161"/>
      <c r="F1504" s="161"/>
      <c r="G1504" s="161"/>
      <c r="H1504" s="161"/>
      <c r="I1504" s="166"/>
      <c r="J1504" s="162"/>
      <c r="K1504" s="161"/>
      <c r="L1504" s="161"/>
      <c r="M1504" s="163"/>
      <c r="N1504" s="163" t="str">
        <f t="shared" si="27"/>
        <v/>
      </c>
      <c r="O1504" s="41"/>
      <c r="P1504" s="41"/>
      <c r="Q1504" s="161" t="str">
        <f>+IF(OR(O1504="Fire Control",O1504="Fire Tex 5062",O1504="Fire Tex 5090",O1504="Fire Tex 5120"),'CALCULO PINTURA'!P1505," ")</f>
        <v xml:space="preserve"> </v>
      </c>
      <c r="R1504" s="164" t="str">
        <f>+IF(OR(O1504="Fire Control",O1504="Fire Tex 5062",O1504="Fire Tex 5090",O1504="Fire Tex 5120"),'CALCULO PINTURA'!R1505," ")</f>
        <v xml:space="preserve"> </v>
      </c>
      <c r="S1504" s="164" t="str">
        <f>+IF(OR(O1504="Fire Control",O1504="Fire Tex 5062",O1504="Fire Tex 5090",O1504="Fire Tex 5120"),'CALCULO PINTURA'!S1505," ")</f>
        <v xml:space="preserve"> </v>
      </c>
      <c r="T1504" s="874" t="str">
        <f>+IF(OR(O1504="Blaze Shield II",O1504="Cafco 400",O1504="Cafco 300"),'CALCULO MORTERO'!N1510," ")</f>
        <v xml:space="preserve"> </v>
      </c>
      <c r="U1504" s="875" t="str">
        <f>+IF(OR(O1504="Blaze Shield II",O1504="Cafco 400",O1504="Cafco 300"),'CALCULO MORTERO'!O1510," ")</f>
        <v xml:space="preserve"> </v>
      </c>
      <c r="V1504" s="161" t="str" cm="1">
        <f t="array" ref="V1504">_xlfn.IFS(O1504="Blaze Shield II",'CALCULO MORTERO'!P1505, O1504="Cafco 400",'CALCULO MORTERO'!Q1505,O1504="Cafco 300",'CALCULO MORTERO'!S1505, AND(OR(O1504="Fire tex 5090", O1504="Fire Tex 5062", O1504="Fire Tex 5120", O1504="Fire Control"),Q1504&gt;0), "CERT.",TRUE,"-")</f>
        <v>-</v>
      </c>
    </row>
    <row r="1505" spans="1:22" x14ac:dyDescent="0.25">
      <c r="A1505" s="168"/>
      <c r="B1505" s="876"/>
      <c r="C1505" s="161"/>
      <c r="D1505" s="161"/>
      <c r="E1505" s="161"/>
      <c r="F1505" s="161"/>
      <c r="G1505" s="161"/>
      <c r="H1505" s="161"/>
      <c r="I1505" s="166"/>
      <c r="J1505" s="162"/>
      <c r="K1505" s="161"/>
      <c r="L1505" s="161"/>
      <c r="M1505" s="163"/>
      <c r="N1505" s="163" t="str">
        <f t="shared" si="27"/>
        <v/>
      </c>
      <c r="O1505" s="41"/>
      <c r="P1505" s="41"/>
      <c r="Q1505" s="161" t="str">
        <f>+IF(OR(O1505="Fire Control",O1505="Fire Tex 5062",O1505="Fire Tex 5090",O1505="Fire Tex 5120"),'CALCULO PINTURA'!P1506," ")</f>
        <v xml:space="preserve"> </v>
      </c>
      <c r="R1505" s="164" t="str">
        <f>+IF(OR(O1505="Fire Control",O1505="Fire Tex 5062",O1505="Fire Tex 5090",O1505="Fire Tex 5120"),'CALCULO PINTURA'!R1506," ")</f>
        <v xml:space="preserve"> </v>
      </c>
      <c r="S1505" s="164" t="str">
        <f>+IF(OR(O1505="Fire Control",O1505="Fire Tex 5062",O1505="Fire Tex 5090",O1505="Fire Tex 5120"),'CALCULO PINTURA'!S1506," ")</f>
        <v xml:space="preserve"> </v>
      </c>
      <c r="T1505" s="874" t="str">
        <f>+IF(OR(O1505="Blaze Shield II",O1505="Cafco 400",O1505="Cafco 300"),'CALCULO MORTERO'!N1511," ")</f>
        <v xml:space="preserve"> </v>
      </c>
      <c r="U1505" s="875" t="str">
        <f>+IF(OR(O1505="Blaze Shield II",O1505="Cafco 400",O1505="Cafco 300"),'CALCULO MORTERO'!O1511," ")</f>
        <v xml:space="preserve"> </v>
      </c>
      <c r="V1505" s="161" t="str" cm="1">
        <f t="array" ref="V1505">_xlfn.IFS(O1505="Blaze Shield II",'CALCULO MORTERO'!P1506, O1505="Cafco 400",'CALCULO MORTERO'!Q1506,O1505="Cafco 300",'CALCULO MORTERO'!S1506, AND(OR(O1505="Fire tex 5090", O1505="Fire Tex 5062", O1505="Fire Tex 5120", O1505="Fire Control"),Q1505&gt;0), "CERT.",TRUE,"-")</f>
        <v>-</v>
      </c>
    </row>
    <row r="1506" spans="1:22" x14ac:dyDescent="0.25">
      <c r="A1506" s="168"/>
      <c r="B1506" s="876"/>
      <c r="C1506" s="161"/>
      <c r="D1506" s="161"/>
      <c r="E1506" s="161"/>
      <c r="F1506" s="41"/>
      <c r="G1506" s="161"/>
      <c r="H1506" s="161"/>
      <c r="I1506" s="166"/>
      <c r="J1506" s="162"/>
      <c r="K1506" s="161"/>
      <c r="L1506" s="161"/>
      <c r="M1506" s="163"/>
      <c r="N1506" s="163" t="str">
        <f t="shared" si="27"/>
        <v/>
      </c>
      <c r="O1506" s="41"/>
      <c r="P1506" s="41"/>
      <c r="Q1506" s="161" t="str">
        <f>+IF(OR(O1506="Fire Control",O1506="Fire Tex 5062",O1506="Fire Tex 5090",O1506="Fire Tex 5120"),'CALCULO PINTURA'!P1507," ")</f>
        <v xml:space="preserve"> </v>
      </c>
      <c r="R1506" s="164" t="str">
        <f>+IF(OR(O1506="Fire Control",O1506="Fire Tex 5062",O1506="Fire Tex 5090",O1506="Fire Tex 5120"),'CALCULO PINTURA'!R1507," ")</f>
        <v xml:space="preserve"> </v>
      </c>
      <c r="S1506" s="164" t="str">
        <f>+IF(OR(O1506="Fire Control",O1506="Fire Tex 5062",O1506="Fire Tex 5090",O1506="Fire Tex 5120"),'CALCULO PINTURA'!S1507," ")</f>
        <v xml:space="preserve"> </v>
      </c>
      <c r="T1506" s="874" t="str">
        <f>+IF(OR(O1506="Blaze Shield II",O1506="Cafco 400",O1506="Cafco 300"),'CALCULO MORTERO'!N1512," ")</f>
        <v xml:space="preserve"> </v>
      </c>
      <c r="U1506" s="875" t="str">
        <f>+IF(OR(O1506="Blaze Shield II",O1506="Cafco 400",O1506="Cafco 300"),'CALCULO MORTERO'!O1512," ")</f>
        <v xml:space="preserve"> </v>
      </c>
      <c r="V1506" s="161" t="str" cm="1">
        <f t="array" ref="V1506">_xlfn.IFS(O1506="Blaze Shield II",'CALCULO MORTERO'!P1507, O1506="Cafco 400",'CALCULO MORTERO'!Q1507,O1506="Cafco 300",'CALCULO MORTERO'!S1507, AND(OR(O1506="Fire tex 5090", O1506="Fire Tex 5062", O1506="Fire Tex 5120", O1506="Fire Control"),Q1506&gt;0), "CERT.",TRUE,"-")</f>
        <v>-</v>
      </c>
    </row>
    <row r="1507" spans="1:22" x14ac:dyDescent="0.25">
      <c r="A1507" s="168"/>
      <c r="B1507" s="876"/>
      <c r="C1507" s="161"/>
      <c r="D1507" s="161"/>
      <c r="E1507" s="161"/>
      <c r="F1507" s="161"/>
      <c r="G1507" s="161"/>
      <c r="H1507" s="161"/>
      <c r="I1507" s="166"/>
      <c r="J1507" s="162"/>
      <c r="K1507" s="161"/>
      <c r="L1507" s="161"/>
      <c r="M1507" s="163"/>
      <c r="N1507" s="163" t="str">
        <f t="shared" si="27"/>
        <v/>
      </c>
      <c r="O1507" s="41"/>
      <c r="P1507" s="41"/>
      <c r="Q1507" s="161" t="str">
        <f>+IF(OR(O1507="Fire Control",O1507="Fire Tex 5062",O1507="Fire Tex 5090",O1507="Fire Tex 5120"),'CALCULO PINTURA'!P1508," ")</f>
        <v xml:space="preserve"> </v>
      </c>
      <c r="R1507" s="164" t="str">
        <f>+IF(OR(O1507="Fire Control",O1507="Fire Tex 5062",O1507="Fire Tex 5090",O1507="Fire Tex 5120"),'CALCULO PINTURA'!R1508," ")</f>
        <v xml:space="preserve"> </v>
      </c>
      <c r="S1507" s="164" t="str">
        <f>+IF(OR(O1507="Fire Control",O1507="Fire Tex 5062",O1507="Fire Tex 5090",O1507="Fire Tex 5120"),'CALCULO PINTURA'!S1508," ")</f>
        <v xml:space="preserve"> </v>
      </c>
      <c r="T1507" s="874" t="str">
        <f>+IF(OR(O1507="Blaze Shield II",O1507="Cafco 400",O1507="Cafco 300"),'CALCULO MORTERO'!N1513," ")</f>
        <v xml:space="preserve"> </v>
      </c>
      <c r="U1507" s="875" t="str">
        <f>+IF(OR(O1507="Blaze Shield II",O1507="Cafco 400",O1507="Cafco 300"),'CALCULO MORTERO'!O1513," ")</f>
        <v xml:space="preserve"> </v>
      </c>
      <c r="V1507" s="161" t="str" cm="1">
        <f t="array" ref="V1507">_xlfn.IFS(O1507="Blaze Shield II",'CALCULO MORTERO'!P1508, O1507="Cafco 400",'CALCULO MORTERO'!Q1508,O1507="Cafco 300",'CALCULO MORTERO'!S1508, AND(OR(O1507="Fire tex 5090", O1507="Fire Tex 5062", O1507="Fire Tex 5120", O1507="Fire Control"),Q1507&gt;0), "CERT.",TRUE,"-")</f>
        <v>-</v>
      </c>
    </row>
    <row r="1508" spans="1:22" x14ac:dyDescent="0.2">
      <c r="A1508" s="168"/>
      <c r="B1508" s="876"/>
      <c r="C1508" s="161"/>
      <c r="D1508" s="161"/>
      <c r="E1508" s="161"/>
      <c r="F1508" s="161"/>
      <c r="G1508" s="161"/>
      <c r="H1508" s="161"/>
      <c r="I1508" s="166"/>
      <c r="J1508" s="162"/>
      <c r="K1508" s="161"/>
      <c r="L1508" s="161"/>
      <c r="M1508" s="877"/>
      <c r="N1508" s="163" t="str">
        <f t="shared" si="27"/>
        <v/>
      </c>
      <c r="O1508" s="41"/>
      <c r="P1508" s="41"/>
      <c r="Q1508" s="161" t="str">
        <f>+IF(OR(O1508="Fire Control",O1508="Fire Tex 5062",O1508="Fire Tex 5090",O1508="Fire Tex 5120"),'CALCULO PINTURA'!P1509," ")</f>
        <v xml:space="preserve"> </v>
      </c>
      <c r="R1508" s="164" t="str">
        <f>+IF(OR(O1508="Fire Control",O1508="Fire Tex 5062",O1508="Fire Tex 5090",O1508="Fire Tex 5120"),'CALCULO PINTURA'!R1509," ")</f>
        <v xml:space="preserve"> </v>
      </c>
      <c r="S1508" s="164" t="str">
        <f>+IF(OR(O1508="Fire Control",O1508="Fire Tex 5062",O1508="Fire Tex 5090",O1508="Fire Tex 5120"),'CALCULO PINTURA'!S1509," ")</f>
        <v xml:space="preserve"> </v>
      </c>
      <c r="T1508" s="874" t="str">
        <f>+IF(OR(O1508="Blaze Shield II",O1508="Cafco 400",O1508="Cafco 300"),'CALCULO MORTERO'!N1514," ")</f>
        <v xml:space="preserve"> </v>
      </c>
      <c r="U1508" s="875" t="str">
        <f>+IF(OR(O1508="Blaze Shield II",O1508="Cafco 400",O1508="Cafco 300"),'CALCULO MORTERO'!O1514," ")</f>
        <v xml:space="preserve"> </v>
      </c>
      <c r="V1508" s="161" t="str" cm="1">
        <f t="array" ref="V1508">_xlfn.IFS(O1508="Blaze Shield II",'CALCULO MORTERO'!P1509, O1508="Cafco 400",'CALCULO MORTERO'!Q1509,O1508="Cafco 300",'CALCULO MORTERO'!S1509, AND(OR(O1508="Fire tex 5090", O1508="Fire Tex 5062", O1508="Fire Tex 5120", O1508="Fire Control"),Q1508&gt;0), "CERT.",TRUE,"-")</f>
        <v>-</v>
      </c>
    </row>
    <row r="1509" spans="1:22" x14ac:dyDescent="0.25">
      <c r="A1509" s="168"/>
      <c r="B1509" s="876"/>
      <c r="C1509" s="161"/>
      <c r="D1509" s="161"/>
      <c r="E1509" s="161"/>
      <c r="F1509" s="41"/>
      <c r="G1509" s="161"/>
      <c r="H1509" s="161"/>
      <c r="I1509" s="166"/>
      <c r="J1509" s="162"/>
      <c r="K1509" s="161"/>
      <c r="L1509" s="161"/>
      <c r="M1509" s="169"/>
      <c r="N1509" s="163" t="str">
        <f t="shared" si="27"/>
        <v/>
      </c>
      <c r="O1509" s="41"/>
      <c r="P1509" s="41"/>
      <c r="Q1509" s="161" t="str">
        <f>+IF(OR(O1509="Fire Control",O1509="Fire Tex 5062",O1509="Fire Tex 5090",O1509="Fire Tex 5120"),'CALCULO PINTURA'!P1510," ")</f>
        <v xml:space="preserve"> </v>
      </c>
      <c r="R1509" s="164" t="str">
        <f>+IF(OR(O1509="Fire Control",O1509="Fire Tex 5062",O1509="Fire Tex 5090",O1509="Fire Tex 5120"),'CALCULO PINTURA'!R1510," ")</f>
        <v xml:space="preserve"> </v>
      </c>
      <c r="S1509" s="164" t="str">
        <f>+IF(OR(O1509="Fire Control",O1509="Fire Tex 5062",O1509="Fire Tex 5090",O1509="Fire Tex 5120"),'CALCULO PINTURA'!S1510," ")</f>
        <v xml:space="preserve"> </v>
      </c>
      <c r="T1509" s="874" t="str">
        <f>+IF(OR(O1509="Blaze Shield II",O1509="Cafco 400",O1509="Cafco 300"),'CALCULO MORTERO'!N1515," ")</f>
        <v xml:space="preserve"> </v>
      </c>
      <c r="U1509" s="875" t="str">
        <f>+IF(OR(O1509="Blaze Shield II",O1509="Cafco 400",O1509="Cafco 300"),'CALCULO MORTERO'!O1515," ")</f>
        <v xml:space="preserve"> </v>
      </c>
      <c r="V1509" s="161" t="str" cm="1">
        <f t="array" ref="V1509">_xlfn.IFS(O1509="Blaze Shield II",'CALCULO MORTERO'!P1510, O1509="Cafco 400",'CALCULO MORTERO'!Q1510,O1509="Cafco 300",'CALCULO MORTERO'!S1510, AND(OR(O1509="Fire tex 5090", O1509="Fire Tex 5062", O1509="Fire Tex 5120", O1509="Fire Control"),Q1509&gt;0), "CERT.",TRUE,"-")</f>
        <v>-</v>
      </c>
    </row>
    <row r="1510" spans="1:22" x14ac:dyDescent="0.25">
      <c r="A1510" s="168"/>
      <c r="B1510" s="876"/>
      <c r="C1510" s="161"/>
      <c r="D1510" s="161"/>
      <c r="E1510" s="161"/>
      <c r="F1510" s="41"/>
      <c r="G1510" s="161"/>
      <c r="H1510" s="161"/>
      <c r="I1510" s="166"/>
      <c r="J1510" s="162"/>
      <c r="K1510" s="161"/>
      <c r="L1510" s="161"/>
      <c r="M1510" s="169"/>
      <c r="N1510" s="163" t="str">
        <f t="shared" si="27"/>
        <v/>
      </c>
      <c r="O1510" s="41"/>
      <c r="P1510" s="41"/>
      <c r="Q1510" s="161" t="str">
        <f>+IF(OR(O1510="Fire Control",O1510="Fire Tex 5062",O1510="Fire Tex 5090",O1510="Fire Tex 5120"),'CALCULO PINTURA'!P1511," ")</f>
        <v xml:space="preserve"> </v>
      </c>
      <c r="R1510" s="164" t="str">
        <f>+IF(OR(O1510="Fire Control",O1510="Fire Tex 5062",O1510="Fire Tex 5090",O1510="Fire Tex 5120"),'CALCULO PINTURA'!R1511," ")</f>
        <v xml:space="preserve"> </v>
      </c>
      <c r="S1510" s="164" t="str">
        <f>+IF(OR(O1510="Fire Control",O1510="Fire Tex 5062",O1510="Fire Tex 5090",O1510="Fire Tex 5120"),'CALCULO PINTURA'!S1511," ")</f>
        <v xml:space="preserve"> </v>
      </c>
      <c r="T1510" s="874" t="str">
        <f>+IF(OR(O1510="Blaze Shield II",O1510="Cafco 400",O1510="Cafco 300"),'CALCULO MORTERO'!N1516," ")</f>
        <v xml:space="preserve"> </v>
      </c>
      <c r="U1510" s="875" t="str">
        <f>+IF(OR(O1510="Blaze Shield II",O1510="Cafco 400",O1510="Cafco 300"),'CALCULO MORTERO'!O1516," ")</f>
        <v xml:space="preserve"> </v>
      </c>
      <c r="V1510" s="161" t="str" cm="1">
        <f t="array" ref="V1510">_xlfn.IFS(O1510="Blaze Shield II",'CALCULO MORTERO'!P1511, O1510="Cafco 400",'CALCULO MORTERO'!Q1511,O1510="Cafco 300",'CALCULO MORTERO'!S1511, AND(OR(O1510="Fire tex 5090", O1510="Fire Tex 5062", O1510="Fire Tex 5120", O1510="Fire Control"),Q1510&gt;0), "CERT.",TRUE,"-")</f>
        <v>-</v>
      </c>
    </row>
    <row r="1511" spans="1:22" x14ac:dyDescent="0.25">
      <c r="A1511" s="168"/>
      <c r="B1511" s="876"/>
      <c r="C1511" s="161"/>
      <c r="D1511" s="161"/>
      <c r="E1511" s="161"/>
      <c r="F1511" s="41"/>
      <c r="G1511" s="161"/>
      <c r="H1511" s="161"/>
      <c r="I1511" s="166"/>
      <c r="J1511" s="162"/>
      <c r="K1511" s="161"/>
      <c r="L1511" s="161"/>
      <c r="M1511" s="169"/>
      <c r="N1511" s="163" t="str">
        <f t="shared" si="27"/>
        <v/>
      </c>
      <c r="O1511" s="41"/>
      <c r="P1511" s="41"/>
      <c r="Q1511" s="161" t="str">
        <f>+IF(OR(O1511="Fire Control",O1511="Fire Tex 5062",O1511="Fire Tex 5090",O1511="Fire Tex 5120"),'CALCULO PINTURA'!P1512," ")</f>
        <v xml:space="preserve"> </v>
      </c>
      <c r="R1511" s="164" t="str">
        <f>+IF(OR(O1511="Fire Control",O1511="Fire Tex 5062",O1511="Fire Tex 5090",O1511="Fire Tex 5120"),'CALCULO PINTURA'!R1512," ")</f>
        <v xml:space="preserve"> </v>
      </c>
      <c r="S1511" s="164" t="str">
        <f>+IF(OR(O1511="Fire Control",O1511="Fire Tex 5062",O1511="Fire Tex 5090",O1511="Fire Tex 5120"),'CALCULO PINTURA'!S1512," ")</f>
        <v xml:space="preserve"> </v>
      </c>
      <c r="T1511" s="874" t="str">
        <f>+IF(OR(O1511="Blaze Shield II",O1511="Cafco 400",O1511="Cafco 300"),'CALCULO MORTERO'!N1517," ")</f>
        <v xml:space="preserve"> </v>
      </c>
      <c r="U1511" s="875" t="str">
        <f>+IF(OR(O1511="Blaze Shield II",O1511="Cafco 400",O1511="Cafco 300"),'CALCULO MORTERO'!O1517," ")</f>
        <v xml:space="preserve"> </v>
      </c>
      <c r="V1511" s="161" t="str" cm="1">
        <f t="array" ref="V1511">_xlfn.IFS(O1511="Blaze Shield II",'CALCULO MORTERO'!P1512, O1511="Cafco 400",'CALCULO MORTERO'!Q1512,O1511="Cafco 300",'CALCULO MORTERO'!S1512, AND(OR(O1511="Fire tex 5090", O1511="Fire Tex 5062", O1511="Fire Tex 5120", O1511="Fire Control"),Q1511&gt;0), "CERT.",TRUE,"-")</f>
        <v>-</v>
      </c>
    </row>
    <row r="1512" spans="1:22" x14ac:dyDescent="0.25">
      <c r="A1512" s="168"/>
      <c r="B1512" s="876"/>
      <c r="C1512" s="161"/>
      <c r="D1512" s="161"/>
      <c r="E1512" s="161"/>
      <c r="F1512" s="41"/>
      <c r="G1512" s="161"/>
      <c r="H1512" s="161"/>
      <c r="I1512" s="166"/>
      <c r="J1512" s="162"/>
      <c r="K1512" s="161"/>
      <c r="L1512" s="161"/>
      <c r="M1512" s="169"/>
      <c r="N1512" s="163" t="str">
        <f t="shared" si="27"/>
        <v/>
      </c>
      <c r="O1512" s="41"/>
      <c r="P1512" s="41"/>
      <c r="Q1512" s="161" t="str">
        <f>+IF(OR(O1512="Fire Control",O1512="Fire Tex 5062",O1512="Fire Tex 5090",O1512="Fire Tex 5120"),'CALCULO PINTURA'!P1513," ")</f>
        <v xml:space="preserve"> </v>
      </c>
      <c r="R1512" s="164" t="str">
        <f>+IF(OR(O1512="Fire Control",O1512="Fire Tex 5062",O1512="Fire Tex 5090",O1512="Fire Tex 5120"),'CALCULO PINTURA'!R1513," ")</f>
        <v xml:space="preserve"> </v>
      </c>
      <c r="S1512" s="164" t="str">
        <f>+IF(OR(O1512="Fire Control",O1512="Fire Tex 5062",O1512="Fire Tex 5090",O1512="Fire Tex 5120"),'CALCULO PINTURA'!S1513," ")</f>
        <v xml:space="preserve"> </v>
      </c>
      <c r="T1512" s="874" t="str">
        <f>+IF(OR(O1512="Blaze Shield II",O1512="Cafco 400",O1512="Cafco 300"),'CALCULO MORTERO'!N1518," ")</f>
        <v xml:space="preserve"> </v>
      </c>
      <c r="U1512" s="875" t="str">
        <f>+IF(OR(O1512="Blaze Shield II",O1512="Cafco 400",O1512="Cafco 300"),'CALCULO MORTERO'!O1518," ")</f>
        <v xml:space="preserve"> </v>
      </c>
      <c r="V1512" s="161" t="str" cm="1">
        <f t="array" ref="V1512">_xlfn.IFS(O1512="Blaze Shield II",'CALCULO MORTERO'!P1513, O1512="Cafco 400",'CALCULO MORTERO'!Q1513,O1512="Cafco 300",'CALCULO MORTERO'!S1513, AND(OR(O1512="Fire tex 5090", O1512="Fire Tex 5062", O1512="Fire Tex 5120", O1512="Fire Control"),Q1512&gt;0), "CERT.",TRUE,"-")</f>
        <v>-</v>
      </c>
    </row>
    <row r="1513" spans="1:22" x14ac:dyDescent="0.25">
      <c r="A1513" s="168"/>
      <c r="B1513" s="876"/>
      <c r="C1513" s="161"/>
      <c r="D1513" s="161"/>
      <c r="E1513" s="161"/>
      <c r="F1513" s="41"/>
      <c r="G1513" s="161"/>
      <c r="H1513" s="161"/>
      <c r="I1513" s="166"/>
      <c r="J1513" s="162"/>
      <c r="K1513" s="161"/>
      <c r="L1513" s="161"/>
      <c r="M1513" s="169"/>
      <c r="N1513" s="163" t="str">
        <f t="shared" si="27"/>
        <v/>
      </c>
      <c r="O1513" s="41"/>
      <c r="P1513" s="41"/>
      <c r="Q1513" s="161" t="str">
        <f>+IF(OR(O1513="Fire Control",O1513="Fire Tex 5062",O1513="Fire Tex 5090",O1513="Fire Tex 5120"),'CALCULO PINTURA'!P1514," ")</f>
        <v xml:space="preserve"> </v>
      </c>
      <c r="R1513" s="164" t="str">
        <f>+IF(OR(O1513="Fire Control",O1513="Fire Tex 5062",O1513="Fire Tex 5090",O1513="Fire Tex 5120"),'CALCULO PINTURA'!R1514," ")</f>
        <v xml:space="preserve"> </v>
      </c>
      <c r="S1513" s="164" t="str">
        <f>+IF(OR(O1513="Fire Control",O1513="Fire Tex 5062",O1513="Fire Tex 5090",O1513="Fire Tex 5120"),'CALCULO PINTURA'!S1514," ")</f>
        <v xml:space="preserve"> </v>
      </c>
      <c r="T1513" s="874" t="str">
        <f>+IF(OR(O1513="Blaze Shield II",O1513="Cafco 400",O1513="Cafco 300"),'CALCULO MORTERO'!N1519," ")</f>
        <v xml:space="preserve"> </v>
      </c>
      <c r="U1513" s="875" t="str">
        <f>+IF(OR(O1513="Blaze Shield II",O1513="Cafco 400",O1513="Cafco 300"),'CALCULO MORTERO'!O1519," ")</f>
        <v xml:space="preserve"> </v>
      </c>
      <c r="V1513" s="161" t="str" cm="1">
        <f t="array" ref="V1513">_xlfn.IFS(O1513="Blaze Shield II",'CALCULO MORTERO'!P1514, O1513="Cafco 400",'CALCULO MORTERO'!Q1514,O1513="Cafco 300",'CALCULO MORTERO'!S1514, AND(OR(O1513="Fire tex 5090", O1513="Fire Tex 5062", O1513="Fire Tex 5120", O1513="Fire Control"),Q1513&gt;0), "CERT.",TRUE,"-")</f>
        <v>-</v>
      </c>
    </row>
    <row r="1514" spans="1:22" x14ac:dyDescent="0.25">
      <c r="A1514" s="168"/>
      <c r="B1514" s="876"/>
      <c r="C1514" s="161"/>
      <c r="D1514" s="161"/>
      <c r="E1514" s="161"/>
      <c r="F1514" s="41"/>
      <c r="G1514" s="161"/>
      <c r="H1514" s="161"/>
      <c r="I1514" s="166"/>
      <c r="J1514" s="162"/>
      <c r="K1514" s="162"/>
      <c r="L1514" s="161"/>
      <c r="M1514" s="169"/>
      <c r="N1514" s="163" t="str">
        <f t="shared" si="27"/>
        <v/>
      </c>
      <c r="O1514" s="41"/>
      <c r="P1514" s="41"/>
      <c r="Q1514" s="161" t="str">
        <f>+IF(OR(O1514="Fire Control",O1514="Fire Tex 5062",O1514="Fire Tex 5090",O1514="Fire Tex 5120"),'CALCULO PINTURA'!P1515," ")</f>
        <v xml:space="preserve"> </v>
      </c>
      <c r="R1514" s="164" t="str">
        <f>+IF(OR(O1514="Fire Control",O1514="Fire Tex 5062",O1514="Fire Tex 5090",O1514="Fire Tex 5120"),'CALCULO PINTURA'!R1515," ")</f>
        <v xml:space="preserve"> </v>
      </c>
      <c r="S1514" s="164" t="str">
        <f>+IF(OR(O1514="Fire Control",O1514="Fire Tex 5062",O1514="Fire Tex 5090",O1514="Fire Tex 5120"),'CALCULO PINTURA'!S1515," ")</f>
        <v xml:space="preserve"> </v>
      </c>
      <c r="T1514" s="874" t="str">
        <f>+IF(OR(O1514="Blaze Shield II",O1514="Cafco 400",O1514="Cafco 300"),'CALCULO MORTERO'!N1520," ")</f>
        <v xml:space="preserve"> </v>
      </c>
      <c r="U1514" s="875" t="str">
        <f>+IF(OR(O1514="Blaze Shield II",O1514="Cafco 400",O1514="Cafco 300"),'CALCULO MORTERO'!O1520," ")</f>
        <v xml:space="preserve"> </v>
      </c>
      <c r="V1514" s="161" t="str" cm="1">
        <f t="array" ref="V1514">_xlfn.IFS(O1514="Blaze Shield II",'CALCULO MORTERO'!P1515, O1514="Cafco 400",'CALCULO MORTERO'!Q1515,O1514="Cafco 300",'CALCULO MORTERO'!S1515, AND(OR(O1514="Fire tex 5090", O1514="Fire Tex 5062", O1514="Fire Tex 5120", O1514="Fire Control"),Q1514&gt;0), "CERT.",TRUE,"-")</f>
        <v>-</v>
      </c>
    </row>
    <row r="1515" spans="1:22" x14ac:dyDescent="0.25">
      <c r="A1515" s="168"/>
      <c r="B1515" s="876"/>
      <c r="C1515" s="161"/>
      <c r="D1515" s="161"/>
      <c r="E1515" s="161"/>
      <c r="F1515" s="41"/>
      <c r="G1515" s="161"/>
      <c r="H1515" s="161"/>
      <c r="I1515" s="166"/>
      <c r="J1515" s="162"/>
      <c r="K1515" s="161"/>
      <c r="L1515" s="161"/>
      <c r="M1515" s="163"/>
      <c r="N1515" s="163" t="str">
        <f t="shared" si="27"/>
        <v/>
      </c>
      <c r="O1515" s="41"/>
      <c r="P1515" s="41"/>
      <c r="Q1515" s="161" t="str">
        <f>+IF(OR(O1515="Fire Control",O1515="Fire Tex 5062",O1515="Fire Tex 5090",O1515="Fire Tex 5120"),'CALCULO PINTURA'!P1516," ")</f>
        <v xml:space="preserve"> </v>
      </c>
      <c r="R1515" s="164" t="str">
        <f>+IF(OR(O1515="Fire Control",O1515="Fire Tex 5062",O1515="Fire Tex 5090",O1515="Fire Tex 5120"),'CALCULO PINTURA'!R1516," ")</f>
        <v xml:space="preserve"> </v>
      </c>
      <c r="S1515" s="164" t="str">
        <f>+IF(OR(O1515="Fire Control",O1515="Fire Tex 5062",O1515="Fire Tex 5090",O1515="Fire Tex 5120"),'CALCULO PINTURA'!S1516," ")</f>
        <v xml:space="preserve"> </v>
      </c>
      <c r="T1515" s="874" t="str">
        <f>+IF(OR(O1515="Blaze Shield II",O1515="Cafco 400",O1515="Cafco 300"),'CALCULO MORTERO'!N1521," ")</f>
        <v xml:space="preserve"> </v>
      </c>
      <c r="U1515" s="875" t="str">
        <f>+IF(OR(O1515="Blaze Shield II",O1515="Cafco 400",O1515="Cafco 300"),'CALCULO MORTERO'!O1521," ")</f>
        <v xml:space="preserve"> </v>
      </c>
      <c r="V1515" s="161" t="str" cm="1">
        <f t="array" ref="V1515">_xlfn.IFS(O1515="Blaze Shield II",'CALCULO MORTERO'!P1516, O1515="Cafco 400",'CALCULO MORTERO'!Q1516,O1515="Cafco 300",'CALCULO MORTERO'!S1516, AND(OR(O1515="Fire tex 5090", O1515="Fire Tex 5062", O1515="Fire Tex 5120", O1515="Fire Control"),Q1515&gt;0), "CERT.",TRUE,"-")</f>
        <v>-</v>
      </c>
    </row>
    <row r="1516" spans="1:22" x14ac:dyDescent="0.25">
      <c r="A1516" s="168"/>
      <c r="B1516" s="876"/>
      <c r="C1516" s="161"/>
      <c r="D1516" s="161"/>
      <c r="E1516" s="161"/>
      <c r="F1516" s="161"/>
      <c r="G1516" s="161"/>
      <c r="H1516" s="161"/>
      <c r="I1516" s="166"/>
      <c r="J1516" s="162"/>
      <c r="K1516" s="161"/>
      <c r="L1516" s="161"/>
      <c r="M1516" s="163"/>
      <c r="N1516" s="163" t="str">
        <f t="shared" si="27"/>
        <v/>
      </c>
      <c r="O1516" s="41"/>
      <c r="P1516" s="41"/>
      <c r="Q1516" s="161" t="str">
        <f>+IF(OR(O1516="Fire Control",O1516="Fire Tex 5062",O1516="Fire Tex 5090",O1516="Fire Tex 5120"),'CALCULO PINTURA'!P1517," ")</f>
        <v xml:space="preserve"> </v>
      </c>
      <c r="R1516" s="164" t="str">
        <f>+IF(OR(O1516="Fire Control",O1516="Fire Tex 5062",O1516="Fire Tex 5090",O1516="Fire Tex 5120"),'CALCULO PINTURA'!R1517," ")</f>
        <v xml:space="preserve"> </v>
      </c>
      <c r="S1516" s="164" t="str">
        <f>+IF(OR(O1516="Fire Control",O1516="Fire Tex 5062",O1516="Fire Tex 5090",O1516="Fire Tex 5120"),'CALCULO PINTURA'!S1517," ")</f>
        <v xml:space="preserve"> </v>
      </c>
      <c r="T1516" s="874" t="str">
        <f>+IF(OR(O1516="Blaze Shield II",O1516="Cafco 400",O1516="Cafco 300"),'CALCULO MORTERO'!N1522," ")</f>
        <v xml:space="preserve"> </v>
      </c>
      <c r="U1516" s="875" t="str">
        <f>+IF(OR(O1516="Blaze Shield II",O1516="Cafco 400",O1516="Cafco 300"),'CALCULO MORTERO'!O1522," ")</f>
        <v xml:space="preserve"> </v>
      </c>
      <c r="V1516" s="161" t="str" cm="1">
        <f t="array" ref="V1516">_xlfn.IFS(O1516="Blaze Shield II",'CALCULO MORTERO'!P1517, O1516="Cafco 400",'CALCULO MORTERO'!Q1517,O1516="Cafco 300",'CALCULO MORTERO'!S1517, AND(OR(O1516="Fire tex 5090", O1516="Fire Tex 5062", O1516="Fire Tex 5120", O1516="Fire Control"),Q1516&gt;0), "CERT.",TRUE,"-")</f>
        <v>-</v>
      </c>
    </row>
    <row r="1517" spans="1:22" x14ac:dyDescent="0.25">
      <c r="A1517" s="168"/>
      <c r="B1517" s="876"/>
      <c r="C1517" s="161"/>
      <c r="D1517" s="161"/>
      <c r="E1517" s="161"/>
      <c r="F1517" s="161"/>
      <c r="G1517" s="161"/>
      <c r="H1517" s="161"/>
      <c r="I1517" s="166"/>
      <c r="J1517" s="162"/>
      <c r="K1517" s="161"/>
      <c r="L1517" s="161"/>
      <c r="M1517" s="163"/>
      <c r="N1517" s="163" t="str">
        <f t="shared" si="27"/>
        <v/>
      </c>
      <c r="O1517" s="41"/>
      <c r="P1517" s="41"/>
      <c r="Q1517" s="161" t="str">
        <f>+IF(OR(O1517="Fire Control",O1517="Fire Tex 5062",O1517="Fire Tex 5090",O1517="Fire Tex 5120"),'CALCULO PINTURA'!P1518," ")</f>
        <v xml:space="preserve"> </v>
      </c>
      <c r="R1517" s="164" t="str">
        <f>+IF(OR(O1517="Fire Control",O1517="Fire Tex 5062",O1517="Fire Tex 5090",O1517="Fire Tex 5120"),'CALCULO PINTURA'!R1518," ")</f>
        <v xml:space="preserve"> </v>
      </c>
      <c r="S1517" s="164" t="str">
        <f>+IF(OR(O1517="Fire Control",O1517="Fire Tex 5062",O1517="Fire Tex 5090",O1517="Fire Tex 5120"),'CALCULO PINTURA'!S1518," ")</f>
        <v xml:space="preserve"> </v>
      </c>
      <c r="T1517" s="874" t="str">
        <f>+IF(OR(O1517="Blaze Shield II",O1517="Cafco 400",O1517="Cafco 300"),'CALCULO MORTERO'!N1523," ")</f>
        <v xml:space="preserve"> </v>
      </c>
      <c r="U1517" s="875" t="str">
        <f>+IF(OR(O1517="Blaze Shield II",O1517="Cafco 400",O1517="Cafco 300"),'CALCULO MORTERO'!O1523," ")</f>
        <v xml:space="preserve"> </v>
      </c>
      <c r="V1517" s="161" t="str" cm="1">
        <f t="array" ref="V1517">_xlfn.IFS(O1517="Blaze Shield II",'CALCULO MORTERO'!P1518, O1517="Cafco 400",'CALCULO MORTERO'!Q1518,O1517="Cafco 300",'CALCULO MORTERO'!S1518, AND(OR(O1517="Fire tex 5090", O1517="Fire Tex 5062", O1517="Fire Tex 5120", O1517="Fire Control"),Q1517&gt;0), "CERT.",TRUE,"-")</f>
        <v>-</v>
      </c>
    </row>
    <row r="1518" spans="1:22" x14ac:dyDescent="0.25">
      <c r="A1518" s="168"/>
      <c r="B1518" s="876"/>
      <c r="C1518" s="161"/>
      <c r="D1518" s="161"/>
      <c r="E1518" s="161"/>
      <c r="F1518" s="41"/>
      <c r="G1518" s="161"/>
      <c r="H1518" s="161"/>
      <c r="I1518" s="166"/>
      <c r="J1518" s="162"/>
      <c r="K1518" s="161"/>
      <c r="L1518" s="161"/>
      <c r="M1518" s="163"/>
      <c r="N1518" s="163" t="str">
        <f t="shared" si="27"/>
        <v/>
      </c>
      <c r="O1518" s="41"/>
      <c r="P1518" s="41"/>
      <c r="Q1518" s="161" t="str">
        <f>+IF(OR(O1518="Fire Control",O1518="Fire Tex 5062",O1518="Fire Tex 5090",O1518="Fire Tex 5120"),'CALCULO PINTURA'!P1519," ")</f>
        <v xml:space="preserve"> </v>
      </c>
      <c r="R1518" s="164" t="str">
        <f>+IF(OR(O1518="Fire Control",O1518="Fire Tex 5062",O1518="Fire Tex 5090",O1518="Fire Tex 5120"),'CALCULO PINTURA'!R1519," ")</f>
        <v xml:space="preserve"> </v>
      </c>
      <c r="S1518" s="164" t="str">
        <f>+IF(OR(O1518="Fire Control",O1518="Fire Tex 5062",O1518="Fire Tex 5090",O1518="Fire Tex 5120"),'CALCULO PINTURA'!S1519," ")</f>
        <v xml:space="preserve"> </v>
      </c>
      <c r="T1518" s="874" t="str">
        <f>+IF(OR(O1518="Blaze Shield II",O1518="Cafco 400",O1518="Cafco 300"),'CALCULO MORTERO'!N1524," ")</f>
        <v xml:space="preserve"> </v>
      </c>
      <c r="U1518" s="875" t="str">
        <f>+IF(OR(O1518="Blaze Shield II",O1518="Cafco 400",O1518="Cafco 300"),'CALCULO MORTERO'!O1524," ")</f>
        <v xml:space="preserve"> </v>
      </c>
      <c r="V1518" s="161" t="str" cm="1">
        <f t="array" ref="V1518">_xlfn.IFS(O1518="Blaze Shield II",'CALCULO MORTERO'!P1519, O1518="Cafco 400",'CALCULO MORTERO'!Q1519,O1518="Cafco 300",'CALCULO MORTERO'!S1519, AND(OR(O1518="Fire tex 5090", O1518="Fire Tex 5062", O1518="Fire Tex 5120", O1518="Fire Control"),Q1518&gt;0), "CERT.",TRUE,"-")</f>
        <v>-</v>
      </c>
    </row>
    <row r="1519" spans="1:22" x14ac:dyDescent="0.25">
      <c r="A1519" s="168"/>
      <c r="B1519" s="876"/>
      <c r="C1519" s="161"/>
      <c r="D1519" s="161"/>
      <c r="E1519" s="161"/>
      <c r="F1519" s="161"/>
      <c r="G1519" s="161"/>
      <c r="H1519" s="161"/>
      <c r="I1519" s="166"/>
      <c r="J1519" s="162"/>
      <c r="K1519" s="161"/>
      <c r="L1519" s="161"/>
      <c r="M1519" s="163"/>
      <c r="N1519" s="163" t="str">
        <f t="shared" si="27"/>
        <v/>
      </c>
      <c r="O1519" s="41"/>
      <c r="P1519" s="41"/>
      <c r="Q1519" s="161" t="str">
        <f>+IF(OR(O1519="Fire Control",O1519="Fire Tex 5062",O1519="Fire Tex 5090",O1519="Fire Tex 5120"),'CALCULO PINTURA'!P1520," ")</f>
        <v xml:space="preserve"> </v>
      </c>
      <c r="R1519" s="164" t="str">
        <f>+IF(OR(O1519="Fire Control",O1519="Fire Tex 5062",O1519="Fire Tex 5090",O1519="Fire Tex 5120"),'CALCULO PINTURA'!R1520," ")</f>
        <v xml:space="preserve"> </v>
      </c>
      <c r="S1519" s="164" t="str">
        <f>+IF(OR(O1519="Fire Control",O1519="Fire Tex 5062",O1519="Fire Tex 5090",O1519="Fire Tex 5120"),'CALCULO PINTURA'!S1520," ")</f>
        <v xml:space="preserve"> </v>
      </c>
      <c r="T1519" s="874" t="str">
        <f>+IF(OR(O1519="Blaze Shield II",O1519="Cafco 400",O1519="Cafco 300"),'CALCULO MORTERO'!N1525," ")</f>
        <v xml:space="preserve"> </v>
      </c>
      <c r="U1519" s="875" t="str">
        <f>+IF(OR(O1519="Blaze Shield II",O1519="Cafco 400",O1519="Cafco 300"),'CALCULO MORTERO'!O1525," ")</f>
        <v xml:space="preserve"> </v>
      </c>
      <c r="V1519" s="161" t="str" cm="1">
        <f t="array" ref="V1519">_xlfn.IFS(O1519="Blaze Shield II",'CALCULO MORTERO'!P1520, O1519="Cafco 400",'CALCULO MORTERO'!Q1520,O1519="Cafco 300",'CALCULO MORTERO'!S1520, AND(OR(O1519="Fire tex 5090", O1519="Fire Tex 5062", O1519="Fire Tex 5120", O1519="Fire Control"),Q1519&gt;0), "CERT.",TRUE,"-")</f>
        <v>-</v>
      </c>
    </row>
    <row r="1520" spans="1:22" x14ac:dyDescent="0.25">
      <c r="A1520" s="168"/>
      <c r="B1520" s="876"/>
      <c r="C1520" s="161"/>
      <c r="D1520" s="161"/>
      <c r="E1520" s="161"/>
      <c r="F1520" s="41"/>
      <c r="G1520" s="161"/>
      <c r="H1520" s="161"/>
      <c r="I1520" s="166"/>
      <c r="J1520" s="162"/>
      <c r="K1520" s="161"/>
      <c r="L1520" s="161"/>
      <c r="M1520" s="169"/>
      <c r="N1520" s="163" t="str">
        <f t="shared" si="27"/>
        <v/>
      </c>
      <c r="O1520" s="41"/>
      <c r="P1520" s="41"/>
      <c r="Q1520" s="161" t="str">
        <f>+IF(OR(O1520="Fire Control",O1520="Fire Tex 5062",O1520="Fire Tex 5090",O1520="Fire Tex 5120"),'CALCULO PINTURA'!P1521," ")</f>
        <v xml:space="preserve"> </v>
      </c>
      <c r="R1520" s="164" t="str">
        <f>+IF(OR(O1520="Fire Control",O1520="Fire Tex 5062",O1520="Fire Tex 5090",O1520="Fire Tex 5120"),'CALCULO PINTURA'!R1521," ")</f>
        <v xml:space="preserve"> </v>
      </c>
      <c r="S1520" s="164" t="str">
        <f>+IF(OR(O1520="Fire Control",O1520="Fire Tex 5062",O1520="Fire Tex 5090",O1520="Fire Tex 5120"),'CALCULO PINTURA'!S1521," ")</f>
        <v xml:space="preserve"> </v>
      </c>
      <c r="T1520" s="874" t="str">
        <f>+IF(OR(O1520="Blaze Shield II",O1520="Cafco 400",O1520="Cafco 300"),'CALCULO MORTERO'!N1526," ")</f>
        <v xml:space="preserve"> </v>
      </c>
      <c r="U1520" s="875" t="str">
        <f>+IF(OR(O1520="Blaze Shield II",O1520="Cafco 400",O1520="Cafco 300"),'CALCULO MORTERO'!O1526," ")</f>
        <v xml:space="preserve"> </v>
      </c>
      <c r="V1520" s="161" t="str" cm="1">
        <f t="array" ref="V1520">_xlfn.IFS(O1520="Blaze Shield II",'CALCULO MORTERO'!P1521, O1520="Cafco 400",'CALCULO MORTERO'!Q1521,O1520="Cafco 300",'CALCULO MORTERO'!S1521, AND(OR(O1520="Fire tex 5090", O1520="Fire Tex 5062", O1520="Fire Tex 5120", O1520="Fire Control"),Q1520&gt;0), "CERT.",TRUE,"-")</f>
        <v>-</v>
      </c>
    </row>
    <row r="1521" spans="1:22" x14ac:dyDescent="0.25">
      <c r="A1521" s="168"/>
      <c r="B1521" s="876"/>
      <c r="C1521" s="161"/>
      <c r="D1521" s="161"/>
      <c r="E1521" s="161"/>
      <c r="F1521" s="41"/>
      <c r="G1521" s="161"/>
      <c r="H1521" s="161"/>
      <c r="I1521" s="166"/>
      <c r="J1521" s="162"/>
      <c r="K1521" s="161"/>
      <c r="L1521" s="161"/>
      <c r="M1521" s="169"/>
      <c r="N1521" s="163" t="str">
        <f t="shared" si="27"/>
        <v/>
      </c>
      <c r="O1521" s="41"/>
      <c r="P1521" s="41"/>
      <c r="Q1521" s="161" t="str">
        <f>+IF(OR(O1521="Fire Control",O1521="Fire Tex 5062",O1521="Fire Tex 5090",O1521="Fire Tex 5120"),'CALCULO PINTURA'!P1522," ")</f>
        <v xml:space="preserve"> </v>
      </c>
      <c r="R1521" s="164" t="str">
        <f>+IF(OR(O1521="Fire Control",O1521="Fire Tex 5062",O1521="Fire Tex 5090",O1521="Fire Tex 5120"),'CALCULO PINTURA'!R1522," ")</f>
        <v xml:space="preserve"> </v>
      </c>
      <c r="S1521" s="164" t="str">
        <f>+IF(OR(O1521="Fire Control",O1521="Fire Tex 5062",O1521="Fire Tex 5090",O1521="Fire Tex 5120"),'CALCULO PINTURA'!S1522," ")</f>
        <v xml:space="preserve"> </v>
      </c>
      <c r="T1521" s="874" t="str">
        <f>+IF(OR(O1521="Blaze Shield II",O1521="Cafco 400",O1521="Cafco 300"),'CALCULO MORTERO'!N1527," ")</f>
        <v xml:space="preserve"> </v>
      </c>
      <c r="U1521" s="875" t="str">
        <f>+IF(OR(O1521="Blaze Shield II",O1521="Cafco 400",O1521="Cafco 300"),'CALCULO MORTERO'!O1527," ")</f>
        <v xml:space="preserve"> </v>
      </c>
      <c r="V1521" s="161" t="str" cm="1">
        <f t="array" ref="V1521">_xlfn.IFS(O1521="Blaze Shield II",'CALCULO MORTERO'!P1522, O1521="Cafco 400",'CALCULO MORTERO'!Q1522,O1521="Cafco 300",'CALCULO MORTERO'!S1522, AND(OR(O1521="Fire tex 5090", O1521="Fire Tex 5062", O1521="Fire Tex 5120", O1521="Fire Control"),Q1521&gt;0), "CERT.",TRUE,"-")</f>
        <v>-</v>
      </c>
    </row>
    <row r="1522" spans="1:22" x14ac:dyDescent="0.25">
      <c r="A1522" s="168"/>
      <c r="B1522" s="876"/>
      <c r="C1522" s="161"/>
      <c r="D1522" s="161"/>
      <c r="E1522" s="161"/>
      <c r="F1522" s="41"/>
      <c r="G1522" s="161"/>
      <c r="H1522" s="161"/>
      <c r="I1522" s="166"/>
      <c r="J1522" s="162"/>
      <c r="K1522" s="161"/>
      <c r="L1522" s="161"/>
      <c r="M1522" s="169"/>
      <c r="N1522" s="163" t="str">
        <f t="shared" si="27"/>
        <v/>
      </c>
      <c r="O1522" s="41"/>
      <c r="P1522" s="41"/>
      <c r="Q1522" s="161" t="str">
        <f>+IF(OR(O1522="Fire Control",O1522="Fire Tex 5062",O1522="Fire Tex 5090",O1522="Fire Tex 5120"),'CALCULO PINTURA'!P1523," ")</f>
        <v xml:space="preserve"> </v>
      </c>
      <c r="R1522" s="164" t="str">
        <f>+IF(OR(O1522="Fire Control",O1522="Fire Tex 5062",O1522="Fire Tex 5090",O1522="Fire Tex 5120"),'CALCULO PINTURA'!R1523," ")</f>
        <v xml:space="preserve"> </v>
      </c>
      <c r="S1522" s="164" t="str">
        <f>+IF(OR(O1522="Fire Control",O1522="Fire Tex 5062",O1522="Fire Tex 5090",O1522="Fire Tex 5120"),'CALCULO PINTURA'!S1523," ")</f>
        <v xml:space="preserve"> </v>
      </c>
      <c r="T1522" s="874" t="str">
        <f>+IF(OR(O1522="Blaze Shield II",O1522="Cafco 400",O1522="Cafco 300"),'CALCULO MORTERO'!N1528," ")</f>
        <v xml:space="preserve"> </v>
      </c>
      <c r="U1522" s="875" t="str">
        <f>+IF(OR(O1522="Blaze Shield II",O1522="Cafco 400",O1522="Cafco 300"),'CALCULO MORTERO'!O1528," ")</f>
        <v xml:space="preserve"> </v>
      </c>
      <c r="V1522" s="161" t="str" cm="1">
        <f t="array" ref="V1522">_xlfn.IFS(O1522="Blaze Shield II",'CALCULO MORTERO'!P1523, O1522="Cafco 400",'CALCULO MORTERO'!Q1523,O1522="Cafco 300",'CALCULO MORTERO'!S1523, AND(OR(O1522="Fire tex 5090", O1522="Fire Tex 5062", O1522="Fire Tex 5120", O1522="Fire Control"),Q1522&gt;0), "CERT.",TRUE,"-")</f>
        <v>-</v>
      </c>
    </row>
    <row r="1523" spans="1:22" x14ac:dyDescent="0.25">
      <c r="A1523" s="168"/>
      <c r="B1523" s="876"/>
      <c r="C1523" s="161"/>
      <c r="D1523" s="161"/>
      <c r="E1523" s="161"/>
      <c r="F1523" s="41"/>
      <c r="G1523" s="161"/>
      <c r="H1523" s="161"/>
      <c r="I1523" s="166"/>
      <c r="J1523" s="162"/>
      <c r="K1523" s="161"/>
      <c r="L1523" s="161"/>
      <c r="M1523" s="169"/>
      <c r="N1523" s="163" t="str">
        <f t="shared" si="27"/>
        <v/>
      </c>
      <c r="O1523" s="41"/>
      <c r="P1523" s="41"/>
      <c r="Q1523" s="161" t="str">
        <f>+IF(OR(O1523="Fire Control",O1523="Fire Tex 5062",O1523="Fire Tex 5090",O1523="Fire Tex 5120"),'CALCULO PINTURA'!P1524," ")</f>
        <v xml:space="preserve"> </v>
      </c>
      <c r="R1523" s="164" t="str">
        <f>+IF(OR(O1523="Fire Control",O1523="Fire Tex 5062",O1523="Fire Tex 5090",O1523="Fire Tex 5120"),'CALCULO PINTURA'!R1524," ")</f>
        <v xml:space="preserve"> </v>
      </c>
      <c r="S1523" s="164" t="str">
        <f>+IF(OR(O1523="Fire Control",O1523="Fire Tex 5062",O1523="Fire Tex 5090",O1523="Fire Tex 5120"),'CALCULO PINTURA'!S1524," ")</f>
        <v xml:space="preserve"> </v>
      </c>
      <c r="T1523" s="874" t="str">
        <f>+IF(OR(O1523="Blaze Shield II",O1523="Cafco 400",O1523="Cafco 300"),'CALCULO MORTERO'!N1529," ")</f>
        <v xml:space="preserve"> </v>
      </c>
      <c r="U1523" s="875" t="str">
        <f>+IF(OR(O1523="Blaze Shield II",O1523="Cafco 400",O1523="Cafco 300"),'CALCULO MORTERO'!O1529," ")</f>
        <v xml:space="preserve"> </v>
      </c>
      <c r="V1523" s="161" t="str" cm="1">
        <f t="array" ref="V1523">_xlfn.IFS(O1523="Blaze Shield II",'CALCULO MORTERO'!P1524, O1523="Cafco 400",'CALCULO MORTERO'!Q1524,O1523="Cafco 300",'CALCULO MORTERO'!S1524, AND(OR(O1523="Fire tex 5090", O1523="Fire Tex 5062", O1523="Fire Tex 5120", O1523="Fire Control"),Q1523&gt;0), "CERT.",TRUE,"-")</f>
        <v>-</v>
      </c>
    </row>
    <row r="1524" spans="1:22" x14ac:dyDescent="0.25">
      <c r="A1524" s="168"/>
      <c r="B1524" s="876"/>
      <c r="C1524" s="161"/>
      <c r="D1524" s="161"/>
      <c r="E1524" s="161"/>
      <c r="F1524" s="41"/>
      <c r="G1524" s="161"/>
      <c r="H1524" s="161"/>
      <c r="I1524" s="166"/>
      <c r="J1524" s="162"/>
      <c r="K1524" s="161"/>
      <c r="L1524" s="161"/>
      <c r="M1524" s="169"/>
      <c r="N1524" s="163" t="str">
        <f t="shared" si="27"/>
        <v/>
      </c>
      <c r="O1524" s="41"/>
      <c r="P1524" s="41"/>
      <c r="Q1524" s="161" t="str">
        <f>+IF(OR(O1524="Fire Control",O1524="Fire Tex 5062",O1524="Fire Tex 5090",O1524="Fire Tex 5120"),'CALCULO PINTURA'!P1525," ")</f>
        <v xml:space="preserve"> </v>
      </c>
      <c r="R1524" s="164" t="str">
        <f>+IF(OR(O1524="Fire Control",O1524="Fire Tex 5062",O1524="Fire Tex 5090",O1524="Fire Tex 5120"),'CALCULO PINTURA'!R1525," ")</f>
        <v xml:space="preserve"> </v>
      </c>
      <c r="S1524" s="164" t="str">
        <f>+IF(OR(O1524="Fire Control",O1524="Fire Tex 5062",O1524="Fire Tex 5090",O1524="Fire Tex 5120"),'CALCULO PINTURA'!S1525," ")</f>
        <v xml:space="preserve"> </v>
      </c>
      <c r="T1524" s="874" t="str">
        <f>+IF(OR(O1524="Blaze Shield II",O1524="Cafco 400",O1524="Cafco 300"),'CALCULO MORTERO'!N1530," ")</f>
        <v xml:space="preserve"> </v>
      </c>
      <c r="U1524" s="875" t="str">
        <f>+IF(OR(O1524="Blaze Shield II",O1524="Cafco 400",O1524="Cafco 300"),'CALCULO MORTERO'!O1530," ")</f>
        <v xml:space="preserve"> </v>
      </c>
      <c r="V1524" s="161" t="str" cm="1">
        <f t="array" ref="V1524">_xlfn.IFS(O1524="Blaze Shield II",'CALCULO MORTERO'!P1525, O1524="Cafco 400",'CALCULO MORTERO'!Q1525,O1524="Cafco 300",'CALCULO MORTERO'!S1525, AND(OR(O1524="Fire tex 5090", O1524="Fire Tex 5062", O1524="Fire Tex 5120", O1524="Fire Control"),Q1524&gt;0), "CERT.",TRUE,"-")</f>
        <v>-</v>
      </c>
    </row>
    <row r="1525" spans="1:22" x14ac:dyDescent="0.25">
      <c r="A1525" s="168"/>
      <c r="B1525" s="876"/>
      <c r="C1525" s="161"/>
      <c r="D1525" s="161"/>
      <c r="E1525" s="161"/>
      <c r="F1525" s="41"/>
      <c r="G1525" s="161"/>
      <c r="H1525" s="161"/>
      <c r="I1525" s="166"/>
      <c r="J1525" s="162"/>
      <c r="K1525" s="161"/>
      <c r="L1525" s="161"/>
      <c r="M1525" s="169"/>
      <c r="N1525" s="163" t="str">
        <f t="shared" si="27"/>
        <v/>
      </c>
      <c r="O1525" s="41"/>
      <c r="P1525" s="41"/>
      <c r="Q1525" s="161" t="str">
        <f>+IF(OR(O1525="Fire Control",O1525="Fire Tex 5062",O1525="Fire Tex 5090",O1525="Fire Tex 5120"),'CALCULO PINTURA'!P1526," ")</f>
        <v xml:space="preserve"> </v>
      </c>
      <c r="R1525" s="164" t="str">
        <f>+IF(OR(O1525="Fire Control",O1525="Fire Tex 5062",O1525="Fire Tex 5090",O1525="Fire Tex 5120"),'CALCULO PINTURA'!R1526," ")</f>
        <v xml:space="preserve"> </v>
      </c>
      <c r="S1525" s="164" t="str">
        <f>+IF(OR(O1525="Fire Control",O1525="Fire Tex 5062",O1525="Fire Tex 5090",O1525="Fire Tex 5120"),'CALCULO PINTURA'!S1526," ")</f>
        <v xml:space="preserve"> </v>
      </c>
      <c r="T1525" s="874" t="str">
        <f>+IF(OR(O1525="Blaze Shield II",O1525="Cafco 400",O1525="Cafco 300"),'CALCULO MORTERO'!N1531," ")</f>
        <v xml:space="preserve"> </v>
      </c>
      <c r="U1525" s="875" t="str">
        <f>+IF(OR(O1525="Blaze Shield II",O1525="Cafco 400",O1525="Cafco 300"),'CALCULO MORTERO'!O1531," ")</f>
        <v xml:space="preserve"> </v>
      </c>
      <c r="V1525" s="161" t="str" cm="1">
        <f t="array" ref="V1525">_xlfn.IFS(O1525="Blaze Shield II",'CALCULO MORTERO'!P1526, O1525="Cafco 400",'CALCULO MORTERO'!Q1526,O1525="Cafco 300",'CALCULO MORTERO'!S1526, AND(OR(O1525="Fire tex 5090", O1525="Fire Tex 5062", O1525="Fire Tex 5120", O1525="Fire Control"),Q1525&gt;0), "CERT.",TRUE,"-")</f>
        <v>-</v>
      </c>
    </row>
    <row r="1526" spans="1:22" x14ac:dyDescent="0.25">
      <c r="A1526" s="168"/>
      <c r="B1526" s="876"/>
      <c r="C1526" s="161"/>
      <c r="D1526" s="161"/>
      <c r="E1526" s="161"/>
      <c r="F1526" s="41"/>
      <c r="G1526" s="161"/>
      <c r="H1526" s="161"/>
      <c r="I1526" s="166"/>
      <c r="J1526" s="162"/>
      <c r="K1526" s="161"/>
      <c r="L1526" s="161"/>
      <c r="M1526" s="169"/>
      <c r="N1526" s="163" t="str">
        <f t="shared" si="27"/>
        <v/>
      </c>
      <c r="O1526" s="41"/>
      <c r="P1526" s="41"/>
      <c r="Q1526" s="161" t="str">
        <f>+IF(OR(O1526="Fire Control",O1526="Fire Tex 5062",O1526="Fire Tex 5090",O1526="Fire Tex 5120"),'CALCULO PINTURA'!P1527," ")</f>
        <v xml:space="preserve"> </v>
      </c>
      <c r="R1526" s="164" t="str">
        <f>+IF(OR(O1526="Fire Control",O1526="Fire Tex 5062",O1526="Fire Tex 5090",O1526="Fire Tex 5120"),'CALCULO PINTURA'!R1527," ")</f>
        <v xml:space="preserve"> </v>
      </c>
      <c r="S1526" s="164" t="str">
        <f>+IF(OR(O1526="Fire Control",O1526="Fire Tex 5062",O1526="Fire Tex 5090",O1526="Fire Tex 5120"),'CALCULO PINTURA'!S1527," ")</f>
        <v xml:space="preserve"> </v>
      </c>
      <c r="T1526" s="874" t="str">
        <f>+IF(OR(O1526="Blaze Shield II",O1526="Cafco 400",O1526="Cafco 300"),'CALCULO MORTERO'!N1532," ")</f>
        <v xml:space="preserve"> </v>
      </c>
      <c r="U1526" s="875" t="str">
        <f>+IF(OR(O1526="Blaze Shield II",O1526="Cafco 400",O1526="Cafco 300"),'CALCULO MORTERO'!O1532," ")</f>
        <v xml:space="preserve"> </v>
      </c>
      <c r="V1526" s="161" t="str" cm="1">
        <f t="array" ref="V1526">_xlfn.IFS(O1526="Blaze Shield II",'CALCULO MORTERO'!P1527, O1526="Cafco 400",'CALCULO MORTERO'!Q1527,O1526="Cafco 300",'CALCULO MORTERO'!S1527, AND(OR(O1526="Fire tex 5090", O1526="Fire Tex 5062", O1526="Fire Tex 5120", O1526="Fire Control"),Q1526&gt;0), "CERT.",TRUE,"-")</f>
        <v>-</v>
      </c>
    </row>
    <row r="1527" spans="1:22" x14ac:dyDescent="0.25">
      <c r="A1527" s="168"/>
      <c r="B1527" s="876"/>
      <c r="C1527" s="161"/>
      <c r="D1527" s="161"/>
      <c r="E1527" s="161"/>
      <c r="F1527" s="41"/>
      <c r="G1527" s="161"/>
      <c r="H1527" s="161"/>
      <c r="I1527" s="166"/>
      <c r="J1527" s="162"/>
      <c r="K1527" s="161"/>
      <c r="L1527" s="161"/>
      <c r="M1527" s="169"/>
      <c r="N1527" s="163" t="str">
        <f t="shared" si="27"/>
        <v/>
      </c>
      <c r="O1527" s="41"/>
      <c r="P1527" s="41"/>
      <c r="Q1527" s="161" t="str">
        <f>+IF(OR(O1527="Fire Control",O1527="Fire Tex 5062",O1527="Fire Tex 5090",O1527="Fire Tex 5120"),'CALCULO PINTURA'!P1528," ")</f>
        <v xml:space="preserve"> </v>
      </c>
      <c r="R1527" s="164" t="str">
        <f>+IF(OR(O1527="Fire Control",O1527="Fire Tex 5062",O1527="Fire Tex 5090",O1527="Fire Tex 5120"),'CALCULO PINTURA'!R1528," ")</f>
        <v xml:space="preserve"> </v>
      </c>
      <c r="S1527" s="164" t="str">
        <f>+IF(OR(O1527="Fire Control",O1527="Fire Tex 5062",O1527="Fire Tex 5090",O1527="Fire Tex 5120"),'CALCULO PINTURA'!S1528," ")</f>
        <v xml:space="preserve"> </v>
      </c>
      <c r="T1527" s="874" t="str">
        <f>+IF(OR(O1527="Blaze Shield II",O1527="Cafco 400",O1527="Cafco 300"),'CALCULO MORTERO'!N1533," ")</f>
        <v xml:space="preserve"> </v>
      </c>
      <c r="U1527" s="875" t="str">
        <f>+IF(OR(O1527="Blaze Shield II",O1527="Cafco 400",O1527="Cafco 300"),'CALCULO MORTERO'!O1533," ")</f>
        <v xml:space="preserve"> </v>
      </c>
      <c r="V1527" s="161" t="str" cm="1">
        <f t="array" ref="V1527">_xlfn.IFS(O1527="Blaze Shield II",'CALCULO MORTERO'!P1528, O1527="Cafco 400",'CALCULO MORTERO'!Q1528,O1527="Cafco 300",'CALCULO MORTERO'!S1528, AND(OR(O1527="Fire tex 5090", O1527="Fire Tex 5062", O1527="Fire Tex 5120", O1527="Fire Control"),Q1527&gt;0), "CERT.",TRUE,"-")</f>
        <v>-</v>
      </c>
    </row>
    <row r="1528" spans="1:22" x14ac:dyDescent="0.25">
      <c r="A1528" s="168"/>
      <c r="B1528" s="876"/>
      <c r="C1528" s="161"/>
      <c r="D1528" s="161"/>
      <c r="E1528" s="161"/>
      <c r="F1528" s="41"/>
      <c r="G1528" s="161"/>
      <c r="H1528" s="161"/>
      <c r="I1528" s="166"/>
      <c r="J1528" s="162"/>
      <c r="K1528" s="161"/>
      <c r="L1528" s="161"/>
      <c r="M1528" s="169"/>
      <c r="N1528" s="163" t="str">
        <f t="shared" si="27"/>
        <v/>
      </c>
      <c r="O1528" s="41"/>
      <c r="P1528" s="41"/>
      <c r="Q1528" s="161" t="str">
        <f>+IF(OR(O1528="Fire Control",O1528="Fire Tex 5062",O1528="Fire Tex 5090",O1528="Fire Tex 5120"),'CALCULO PINTURA'!P1529," ")</f>
        <v xml:space="preserve"> </v>
      </c>
      <c r="R1528" s="164" t="str">
        <f>+IF(OR(O1528="Fire Control",O1528="Fire Tex 5062",O1528="Fire Tex 5090",O1528="Fire Tex 5120"),'CALCULO PINTURA'!R1529," ")</f>
        <v xml:space="preserve"> </v>
      </c>
      <c r="S1528" s="164" t="str">
        <f>+IF(OR(O1528="Fire Control",O1528="Fire Tex 5062",O1528="Fire Tex 5090",O1528="Fire Tex 5120"),'CALCULO PINTURA'!S1529," ")</f>
        <v xml:space="preserve"> </v>
      </c>
      <c r="T1528" s="874" t="str">
        <f>+IF(OR(O1528="Blaze Shield II",O1528="Cafco 400",O1528="Cafco 300"),'CALCULO MORTERO'!N1534," ")</f>
        <v xml:space="preserve"> </v>
      </c>
      <c r="U1528" s="875" t="str">
        <f>+IF(OR(O1528="Blaze Shield II",O1528="Cafco 400",O1528="Cafco 300"),'CALCULO MORTERO'!O1534," ")</f>
        <v xml:space="preserve"> </v>
      </c>
      <c r="V1528" s="161" t="str" cm="1">
        <f t="array" ref="V1528">_xlfn.IFS(O1528="Blaze Shield II",'CALCULO MORTERO'!P1529, O1528="Cafco 400",'CALCULO MORTERO'!Q1529,O1528="Cafco 300",'CALCULO MORTERO'!S1529, AND(OR(O1528="Fire tex 5090", O1528="Fire Tex 5062", O1528="Fire Tex 5120", O1528="Fire Control"),Q1528&gt;0), "CERT.",TRUE,"-")</f>
        <v>-</v>
      </c>
    </row>
    <row r="1529" spans="1:22" x14ac:dyDescent="0.25">
      <c r="A1529" s="168"/>
      <c r="B1529" s="876"/>
      <c r="C1529" s="161"/>
      <c r="D1529" s="161"/>
      <c r="E1529" s="161"/>
      <c r="F1529" s="41"/>
      <c r="G1529" s="161"/>
      <c r="H1529" s="161"/>
      <c r="I1529" s="166"/>
      <c r="J1529" s="162"/>
      <c r="K1529" s="161"/>
      <c r="L1529" s="161"/>
      <c r="M1529" s="169"/>
      <c r="N1529" s="163" t="str">
        <f t="shared" si="27"/>
        <v/>
      </c>
      <c r="O1529" s="41"/>
      <c r="P1529" s="41"/>
      <c r="Q1529" s="161" t="str">
        <f>+IF(OR(O1529="Fire Control",O1529="Fire Tex 5062",O1529="Fire Tex 5090",O1529="Fire Tex 5120"),'CALCULO PINTURA'!P1530," ")</f>
        <v xml:space="preserve"> </v>
      </c>
      <c r="R1529" s="164" t="str">
        <f>+IF(OR(O1529="Fire Control",O1529="Fire Tex 5062",O1529="Fire Tex 5090",O1529="Fire Tex 5120"),'CALCULO PINTURA'!R1530," ")</f>
        <v xml:space="preserve"> </v>
      </c>
      <c r="S1529" s="164" t="str">
        <f>+IF(OR(O1529="Fire Control",O1529="Fire Tex 5062",O1529="Fire Tex 5090",O1529="Fire Tex 5120"),'CALCULO PINTURA'!S1530," ")</f>
        <v xml:space="preserve"> </v>
      </c>
      <c r="T1529" s="874" t="str">
        <f>+IF(OR(O1529="Blaze Shield II",O1529="Cafco 400",O1529="Cafco 300"),'CALCULO MORTERO'!N1535," ")</f>
        <v xml:space="preserve"> </v>
      </c>
      <c r="U1529" s="875" t="str">
        <f>+IF(OR(O1529="Blaze Shield II",O1529="Cafco 400",O1529="Cafco 300"),'CALCULO MORTERO'!O1535," ")</f>
        <v xml:space="preserve"> </v>
      </c>
      <c r="V1529" s="161" t="str" cm="1">
        <f t="array" ref="V1529">_xlfn.IFS(O1529="Blaze Shield II",'CALCULO MORTERO'!P1530, O1529="Cafco 400",'CALCULO MORTERO'!Q1530,O1529="Cafco 300",'CALCULO MORTERO'!S1530, AND(OR(O1529="Fire tex 5090", O1529="Fire Tex 5062", O1529="Fire Tex 5120", O1529="Fire Control"),Q1529&gt;0), "CERT.",TRUE,"-")</f>
        <v>-</v>
      </c>
    </row>
    <row r="1530" spans="1:22" x14ac:dyDescent="0.25">
      <c r="A1530" s="168"/>
      <c r="B1530" s="876"/>
      <c r="C1530" s="161"/>
      <c r="D1530" s="161"/>
      <c r="E1530" s="161"/>
      <c r="F1530" s="41"/>
      <c r="G1530" s="161"/>
      <c r="H1530" s="161"/>
      <c r="I1530" s="166"/>
      <c r="J1530" s="162"/>
      <c r="K1530" s="162"/>
      <c r="L1530" s="161"/>
      <c r="M1530" s="169"/>
      <c r="N1530" s="163" t="str">
        <f t="shared" si="27"/>
        <v/>
      </c>
      <c r="O1530" s="41"/>
      <c r="P1530" s="41"/>
      <c r="Q1530" s="161" t="str">
        <f>+IF(OR(O1530="Fire Control",O1530="Fire Tex 5062",O1530="Fire Tex 5090",O1530="Fire Tex 5120"),'CALCULO PINTURA'!P1531," ")</f>
        <v xml:space="preserve"> </v>
      </c>
      <c r="R1530" s="164" t="str">
        <f>+IF(OR(O1530="Fire Control",O1530="Fire Tex 5062",O1530="Fire Tex 5090",O1530="Fire Tex 5120"),'CALCULO PINTURA'!R1531," ")</f>
        <v xml:space="preserve"> </v>
      </c>
      <c r="S1530" s="164" t="str">
        <f>+IF(OR(O1530="Fire Control",O1530="Fire Tex 5062",O1530="Fire Tex 5090",O1530="Fire Tex 5120"),'CALCULO PINTURA'!S1531," ")</f>
        <v xml:space="preserve"> </v>
      </c>
      <c r="T1530" s="874" t="str">
        <f>+IF(OR(O1530="Blaze Shield II",O1530="Cafco 400",O1530="Cafco 300"),'CALCULO MORTERO'!N1536," ")</f>
        <v xml:space="preserve"> </v>
      </c>
      <c r="U1530" s="875" t="str">
        <f>+IF(OR(O1530="Blaze Shield II",O1530="Cafco 400",O1530="Cafco 300"),'CALCULO MORTERO'!O1536," ")</f>
        <v xml:space="preserve"> </v>
      </c>
      <c r="V1530" s="161" t="str" cm="1">
        <f t="array" ref="V1530">_xlfn.IFS(O1530="Blaze Shield II",'CALCULO MORTERO'!P1531, O1530="Cafco 400",'CALCULO MORTERO'!Q1531,O1530="Cafco 300",'CALCULO MORTERO'!S1531, AND(OR(O1530="Fire tex 5090", O1530="Fire Tex 5062", O1530="Fire Tex 5120", O1530="Fire Control"),Q1530&gt;0), "CERT.",TRUE,"-")</f>
        <v>-</v>
      </c>
    </row>
    <row r="1531" spans="1:22" x14ac:dyDescent="0.25">
      <c r="A1531" s="168"/>
      <c r="B1531" s="876"/>
      <c r="C1531" s="161"/>
      <c r="D1531" s="161"/>
      <c r="E1531" s="161"/>
      <c r="F1531" s="41"/>
      <c r="G1531" s="161"/>
      <c r="H1531" s="161"/>
      <c r="I1531" s="166"/>
      <c r="J1531" s="162"/>
      <c r="K1531" s="161"/>
      <c r="L1531" s="161"/>
      <c r="M1531" s="163"/>
      <c r="N1531" s="163" t="str">
        <f t="shared" si="27"/>
        <v/>
      </c>
      <c r="O1531" s="41"/>
      <c r="P1531" s="41"/>
      <c r="Q1531" s="161" t="str">
        <f>+IF(OR(O1531="Fire Control",O1531="Fire Tex 5062",O1531="Fire Tex 5090",O1531="Fire Tex 5120"),'CALCULO PINTURA'!P1532," ")</f>
        <v xml:space="preserve"> </v>
      </c>
      <c r="R1531" s="164" t="str">
        <f>+IF(OR(O1531="Fire Control",O1531="Fire Tex 5062",O1531="Fire Tex 5090",O1531="Fire Tex 5120"),'CALCULO PINTURA'!R1532," ")</f>
        <v xml:space="preserve"> </v>
      </c>
      <c r="S1531" s="164" t="str">
        <f>+IF(OR(O1531="Fire Control",O1531="Fire Tex 5062",O1531="Fire Tex 5090",O1531="Fire Tex 5120"),'CALCULO PINTURA'!S1532," ")</f>
        <v xml:space="preserve"> </v>
      </c>
      <c r="T1531" s="874" t="str">
        <f>+IF(OR(O1531="Blaze Shield II",O1531="Cafco 400",O1531="Cafco 300"),'CALCULO MORTERO'!N1537," ")</f>
        <v xml:space="preserve"> </v>
      </c>
      <c r="U1531" s="875" t="str">
        <f>+IF(OR(O1531="Blaze Shield II",O1531="Cafco 400",O1531="Cafco 300"),'CALCULO MORTERO'!O1537," ")</f>
        <v xml:space="preserve"> </v>
      </c>
      <c r="V1531" s="161" t="str" cm="1">
        <f t="array" ref="V1531">_xlfn.IFS(O1531="Blaze Shield II",'CALCULO MORTERO'!P1532, O1531="Cafco 400",'CALCULO MORTERO'!Q1532,O1531="Cafco 300",'CALCULO MORTERO'!S1532, AND(OR(O1531="Fire tex 5090", O1531="Fire Tex 5062", O1531="Fire Tex 5120", O1531="Fire Control"),Q1531&gt;0), "CERT.",TRUE,"-")</f>
        <v>-</v>
      </c>
    </row>
    <row r="1532" spans="1:22" x14ac:dyDescent="0.25">
      <c r="A1532" s="168"/>
      <c r="B1532" s="876"/>
      <c r="C1532" s="161"/>
      <c r="D1532" s="161"/>
      <c r="E1532" s="161"/>
      <c r="F1532" s="161"/>
      <c r="G1532" s="161"/>
      <c r="H1532" s="161"/>
      <c r="I1532" s="166"/>
      <c r="J1532" s="162"/>
      <c r="K1532" s="161"/>
      <c r="L1532" s="161"/>
      <c r="M1532" s="163"/>
      <c r="N1532" s="163" t="str">
        <f t="shared" si="27"/>
        <v/>
      </c>
      <c r="O1532" s="41"/>
      <c r="P1532" s="41"/>
      <c r="Q1532" s="161" t="str">
        <f>+IF(OR(O1532="Fire Control",O1532="Fire Tex 5062",O1532="Fire Tex 5090",O1532="Fire Tex 5120"),'CALCULO PINTURA'!P1533," ")</f>
        <v xml:space="preserve"> </v>
      </c>
      <c r="R1532" s="164" t="str">
        <f>+IF(OR(O1532="Fire Control",O1532="Fire Tex 5062",O1532="Fire Tex 5090",O1532="Fire Tex 5120"),'CALCULO PINTURA'!R1533," ")</f>
        <v xml:space="preserve"> </v>
      </c>
      <c r="S1532" s="164" t="str">
        <f>+IF(OR(O1532="Fire Control",O1532="Fire Tex 5062",O1532="Fire Tex 5090",O1532="Fire Tex 5120"),'CALCULO PINTURA'!S1533," ")</f>
        <v xml:space="preserve"> </v>
      </c>
      <c r="T1532" s="874" t="str">
        <f>+IF(OR(O1532="Blaze Shield II",O1532="Cafco 400",O1532="Cafco 300"),'CALCULO MORTERO'!N1538," ")</f>
        <v xml:space="preserve"> </v>
      </c>
      <c r="U1532" s="875" t="str">
        <f>+IF(OR(O1532="Blaze Shield II",O1532="Cafco 400",O1532="Cafco 300"),'CALCULO MORTERO'!O1538," ")</f>
        <v xml:space="preserve"> </v>
      </c>
      <c r="V1532" s="161" t="str" cm="1">
        <f t="array" ref="V1532">_xlfn.IFS(O1532="Blaze Shield II",'CALCULO MORTERO'!P1533, O1532="Cafco 400",'CALCULO MORTERO'!Q1533,O1532="Cafco 300",'CALCULO MORTERO'!S1533, AND(OR(O1532="Fire tex 5090", O1532="Fire Tex 5062", O1532="Fire Tex 5120", O1532="Fire Control"),Q1532&gt;0), "CERT.",TRUE,"-")</f>
        <v>-</v>
      </c>
    </row>
    <row r="1533" spans="1:22" x14ac:dyDescent="0.25">
      <c r="A1533" s="168"/>
      <c r="B1533" s="876"/>
      <c r="C1533" s="161"/>
      <c r="D1533" s="161"/>
      <c r="E1533" s="161"/>
      <c r="F1533" s="161"/>
      <c r="G1533" s="161"/>
      <c r="H1533" s="161"/>
      <c r="I1533" s="166"/>
      <c r="J1533" s="162"/>
      <c r="K1533" s="161"/>
      <c r="L1533" s="161"/>
      <c r="M1533" s="163"/>
      <c r="N1533" s="163" t="str">
        <f t="shared" si="27"/>
        <v/>
      </c>
      <c r="O1533" s="41"/>
      <c r="P1533" s="41"/>
      <c r="Q1533" s="161" t="str">
        <f>+IF(OR(O1533="Fire Control",O1533="Fire Tex 5062",O1533="Fire Tex 5090",O1533="Fire Tex 5120"),'CALCULO PINTURA'!P1534," ")</f>
        <v xml:space="preserve"> </v>
      </c>
      <c r="R1533" s="164" t="str">
        <f>+IF(OR(O1533="Fire Control",O1533="Fire Tex 5062",O1533="Fire Tex 5090",O1533="Fire Tex 5120"),'CALCULO PINTURA'!R1534," ")</f>
        <v xml:space="preserve"> </v>
      </c>
      <c r="S1533" s="164" t="str">
        <f>+IF(OR(O1533="Fire Control",O1533="Fire Tex 5062",O1533="Fire Tex 5090",O1533="Fire Tex 5120"),'CALCULO PINTURA'!S1534," ")</f>
        <v xml:space="preserve"> </v>
      </c>
      <c r="T1533" s="874" t="str">
        <f>+IF(OR(O1533="Blaze Shield II",O1533="Cafco 400",O1533="Cafco 300"),'CALCULO MORTERO'!N1539," ")</f>
        <v xml:space="preserve"> </v>
      </c>
      <c r="U1533" s="875" t="str">
        <f>+IF(OR(O1533="Blaze Shield II",O1533="Cafco 400",O1533="Cafco 300"),'CALCULO MORTERO'!O1539," ")</f>
        <v xml:space="preserve"> </v>
      </c>
      <c r="V1533" s="161" t="str" cm="1">
        <f t="array" ref="V1533">_xlfn.IFS(O1533="Blaze Shield II",'CALCULO MORTERO'!P1534, O1533="Cafco 400",'CALCULO MORTERO'!Q1534,O1533="Cafco 300",'CALCULO MORTERO'!S1534, AND(OR(O1533="Fire tex 5090", O1533="Fire Tex 5062", O1533="Fire Tex 5120", O1533="Fire Control"),Q1533&gt;0), "CERT.",TRUE,"-")</f>
        <v>-</v>
      </c>
    </row>
    <row r="1534" spans="1:22" x14ac:dyDescent="0.25">
      <c r="A1534" s="168"/>
      <c r="B1534" s="876"/>
      <c r="C1534" s="161"/>
      <c r="D1534" s="161"/>
      <c r="E1534" s="161"/>
      <c r="F1534" s="41"/>
      <c r="G1534" s="161"/>
      <c r="H1534" s="161"/>
      <c r="I1534" s="166"/>
      <c r="J1534" s="162"/>
      <c r="K1534" s="161"/>
      <c r="L1534" s="161"/>
      <c r="M1534" s="163"/>
      <c r="N1534" s="163" t="str">
        <f t="shared" si="27"/>
        <v/>
      </c>
      <c r="O1534" s="41"/>
      <c r="P1534" s="41"/>
      <c r="Q1534" s="161" t="str">
        <f>+IF(OR(O1534="Fire Control",O1534="Fire Tex 5062",O1534="Fire Tex 5090",O1534="Fire Tex 5120"),'CALCULO PINTURA'!P1535," ")</f>
        <v xml:space="preserve"> </v>
      </c>
      <c r="R1534" s="164" t="str">
        <f>+IF(OR(O1534="Fire Control",O1534="Fire Tex 5062",O1534="Fire Tex 5090",O1534="Fire Tex 5120"),'CALCULO PINTURA'!R1535," ")</f>
        <v xml:space="preserve"> </v>
      </c>
      <c r="S1534" s="164" t="str">
        <f>+IF(OR(O1534="Fire Control",O1534="Fire Tex 5062",O1534="Fire Tex 5090",O1534="Fire Tex 5120"),'CALCULO PINTURA'!S1535," ")</f>
        <v xml:space="preserve"> </v>
      </c>
      <c r="T1534" s="874" t="str">
        <f>+IF(OR(O1534="Blaze Shield II",O1534="Cafco 400",O1534="Cafco 300"),'CALCULO MORTERO'!N1540," ")</f>
        <v xml:space="preserve"> </v>
      </c>
      <c r="U1534" s="875" t="str">
        <f>+IF(OR(O1534="Blaze Shield II",O1534="Cafco 400",O1534="Cafco 300"),'CALCULO MORTERO'!O1540," ")</f>
        <v xml:space="preserve"> </v>
      </c>
      <c r="V1534" s="161" t="str" cm="1">
        <f t="array" ref="V1534">_xlfn.IFS(O1534="Blaze Shield II",'CALCULO MORTERO'!P1535, O1534="Cafco 400",'CALCULO MORTERO'!Q1535,O1534="Cafco 300",'CALCULO MORTERO'!S1535, AND(OR(O1534="Fire tex 5090", O1534="Fire Tex 5062", O1534="Fire Tex 5120", O1534="Fire Control"),Q1534&gt;0), "CERT.",TRUE,"-")</f>
        <v>-</v>
      </c>
    </row>
    <row r="1535" spans="1:22" x14ac:dyDescent="0.25">
      <c r="A1535" s="168"/>
      <c r="B1535" s="876"/>
      <c r="C1535" s="161"/>
      <c r="D1535" s="161"/>
      <c r="E1535" s="161"/>
      <c r="F1535" s="161"/>
      <c r="G1535" s="161"/>
      <c r="H1535" s="161"/>
      <c r="I1535" s="166"/>
      <c r="J1535" s="162"/>
      <c r="K1535" s="161"/>
      <c r="L1535" s="161"/>
      <c r="M1535" s="163"/>
      <c r="N1535" s="163" t="str">
        <f t="shared" si="27"/>
        <v/>
      </c>
      <c r="O1535" s="41"/>
      <c r="P1535" s="41"/>
      <c r="Q1535" s="161" t="str">
        <f>+IF(OR(O1535="Fire Control",O1535="Fire Tex 5062",O1535="Fire Tex 5090",O1535="Fire Tex 5120"),'CALCULO PINTURA'!P1536," ")</f>
        <v xml:space="preserve"> </v>
      </c>
      <c r="R1535" s="164" t="str">
        <f>+IF(OR(O1535="Fire Control",O1535="Fire Tex 5062",O1535="Fire Tex 5090",O1535="Fire Tex 5120"),'CALCULO PINTURA'!R1536," ")</f>
        <v xml:space="preserve"> </v>
      </c>
      <c r="S1535" s="164" t="str">
        <f>+IF(OR(O1535="Fire Control",O1535="Fire Tex 5062",O1535="Fire Tex 5090",O1535="Fire Tex 5120"),'CALCULO PINTURA'!S1536," ")</f>
        <v xml:space="preserve"> </v>
      </c>
      <c r="T1535" s="874" t="str">
        <f>+IF(OR(O1535="Blaze Shield II",O1535="Cafco 400",O1535="Cafco 300"),'CALCULO MORTERO'!N1541," ")</f>
        <v xml:space="preserve"> </v>
      </c>
      <c r="U1535" s="875" t="str">
        <f>+IF(OR(O1535="Blaze Shield II",O1535="Cafco 400",O1535="Cafco 300"),'CALCULO MORTERO'!O1541," ")</f>
        <v xml:space="preserve"> </v>
      </c>
      <c r="V1535" s="161" t="str" cm="1">
        <f t="array" ref="V1535">_xlfn.IFS(O1535="Blaze Shield II",'CALCULO MORTERO'!P1536, O1535="Cafco 400",'CALCULO MORTERO'!Q1536,O1535="Cafco 300",'CALCULO MORTERO'!S1536, AND(OR(O1535="Fire tex 5090", O1535="Fire Tex 5062", O1535="Fire Tex 5120", O1535="Fire Control"),Q1535&gt;0), "CERT.",TRUE,"-")</f>
        <v>-</v>
      </c>
    </row>
    <row r="1536" spans="1:22" x14ac:dyDescent="0.2">
      <c r="A1536" s="168"/>
      <c r="B1536" s="876"/>
      <c r="C1536" s="161"/>
      <c r="D1536" s="161"/>
      <c r="E1536" s="161"/>
      <c r="F1536" s="161"/>
      <c r="G1536" s="161"/>
      <c r="H1536" s="161"/>
      <c r="I1536" s="166"/>
      <c r="J1536" s="162"/>
      <c r="K1536" s="161"/>
      <c r="L1536" s="161"/>
      <c r="M1536" s="877"/>
      <c r="N1536" s="163" t="str">
        <f t="shared" si="27"/>
        <v/>
      </c>
      <c r="O1536" s="41"/>
      <c r="P1536" s="41"/>
      <c r="Q1536" s="161" t="str">
        <f>+IF(OR(O1536="Fire Control",O1536="Fire Tex 5062",O1536="Fire Tex 5090",O1536="Fire Tex 5120"),'CALCULO PINTURA'!P1537," ")</f>
        <v xml:space="preserve"> </v>
      </c>
      <c r="R1536" s="164" t="str">
        <f>+IF(OR(O1536="Fire Control",O1536="Fire Tex 5062",O1536="Fire Tex 5090",O1536="Fire Tex 5120"),'CALCULO PINTURA'!R1537," ")</f>
        <v xml:space="preserve"> </v>
      </c>
      <c r="S1536" s="164" t="str">
        <f>+IF(OR(O1536="Fire Control",O1536="Fire Tex 5062",O1536="Fire Tex 5090",O1536="Fire Tex 5120"),'CALCULO PINTURA'!S1537," ")</f>
        <v xml:space="preserve"> </v>
      </c>
      <c r="T1536" s="874" t="str">
        <f>+IF(OR(O1536="Blaze Shield II",O1536="Cafco 400",O1536="Cafco 300"),'CALCULO MORTERO'!N1542," ")</f>
        <v xml:space="preserve"> </v>
      </c>
      <c r="U1536" s="875" t="str">
        <f>+IF(OR(O1536="Blaze Shield II",O1536="Cafco 400",O1536="Cafco 300"),'CALCULO MORTERO'!O1542," ")</f>
        <v xml:space="preserve"> </v>
      </c>
      <c r="V1536" s="161" t="str" cm="1">
        <f t="array" ref="V1536">_xlfn.IFS(O1536="Blaze Shield II",'CALCULO MORTERO'!P1537, O1536="Cafco 400",'CALCULO MORTERO'!Q1537,O1536="Cafco 300",'CALCULO MORTERO'!S1537, AND(OR(O1536="Fire tex 5090", O1536="Fire Tex 5062", O1536="Fire Tex 5120", O1536="Fire Control"),Q1536&gt;0), "CERT.",TRUE,"-")</f>
        <v>-</v>
      </c>
    </row>
    <row r="1537" spans="1:22" x14ac:dyDescent="0.25">
      <c r="A1537" s="168"/>
      <c r="B1537" s="876"/>
      <c r="C1537" s="161"/>
      <c r="D1537" s="161"/>
      <c r="E1537" s="161"/>
      <c r="F1537" s="161"/>
      <c r="G1537" s="161"/>
      <c r="H1537" s="161"/>
      <c r="I1537" s="166"/>
      <c r="J1537" s="162"/>
      <c r="K1537" s="161"/>
      <c r="L1537" s="161"/>
      <c r="M1537" s="163"/>
      <c r="N1537" s="163" t="str">
        <f t="shared" si="27"/>
        <v/>
      </c>
      <c r="O1537" s="41"/>
      <c r="P1537" s="41"/>
      <c r="Q1537" s="161" t="str">
        <f>+IF(OR(O1537="Fire Control",O1537="Fire Tex 5062",O1537="Fire Tex 5090",O1537="Fire Tex 5120"),'CALCULO PINTURA'!P1538," ")</f>
        <v xml:space="preserve"> </v>
      </c>
      <c r="R1537" s="164" t="str">
        <f>+IF(OR(O1537="Fire Control",O1537="Fire Tex 5062",O1537="Fire Tex 5090",O1537="Fire Tex 5120"),'CALCULO PINTURA'!R1538," ")</f>
        <v xml:space="preserve"> </v>
      </c>
      <c r="S1537" s="164" t="str">
        <f>+IF(OR(O1537="Fire Control",O1537="Fire Tex 5062",O1537="Fire Tex 5090",O1537="Fire Tex 5120"),'CALCULO PINTURA'!S1538," ")</f>
        <v xml:space="preserve"> </v>
      </c>
      <c r="T1537" s="874" t="str">
        <f>+IF(OR(O1537="Blaze Shield II",O1537="Cafco 400",O1537="Cafco 300"),'CALCULO MORTERO'!N1543," ")</f>
        <v xml:space="preserve"> </v>
      </c>
      <c r="U1537" s="875" t="str">
        <f>+IF(OR(O1537="Blaze Shield II",O1537="Cafco 400",O1537="Cafco 300"),'CALCULO MORTERO'!O1543," ")</f>
        <v xml:space="preserve"> </v>
      </c>
      <c r="V1537" s="161" t="str" cm="1">
        <f t="array" ref="V1537">_xlfn.IFS(O1537="Blaze Shield II",'CALCULO MORTERO'!P1538, O1537="Cafco 400",'CALCULO MORTERO'!Q1538,O1537="Cafco 300",'CALCULO MORTERO'!S1538, AND(OR(O1537="Fire tex 5090", O1537="Fire Tex 5062", O1537="Fire Tex 5120", O1537="Fire Control"),Q1537&gt;0), "CERT.",TRUE,"-")</f>
        <v>-</v>
      </c>
    </row>
    <row r="1538" spans="1:22" x14ac:dyDescent="0.25">
      <c r="A1538" s="168"/>
      <c r="B1538" s="876"/>
      <c r="C1538" s="161"/>
      <c r="D1538" s="161"/>
      <c r="E1538" s="161"/>
      <c r="F1538" s="161"/>
      <c r="G1538" s="161"/>
      <c r="H1538" s="161"/>
      <c r="I1538" s="166"/>
      <c r="J1538" s="162"/>
      <c r="K1538" s="161"/>
      <c r="L1538" s="161"/>
      <c r="M1538" s="163"/>
      <c r="N1538" s="163" t="str">
        <f t="shared" si="27"/>
        <v/>
      </c>
      <c r="O1538" s="41"/>
      <c r="P1538" s="41"/>
      <c r="Q1538" s="161" t="str">
        <f>+IF(OR(O1538="Fire Control",O1538="Fire Tex 5062",O1538="Fire Tex 5090",O1538="Fire Tex 5120"),'CALCULO PINTURA'!P1539," ")</f>
        <v xml:space="preserve"> </v>
      </c>
      <c r="R1538" s="164" t="str">
        <f>+IF(OR(O1538="Fire Control",O1538="Fire Tex 5062",O1538="Fire Tex 5090",O1538="Fire Tex 5120"),'CALCULO PINTURA'!R1539," ")</f>
        <v xml:space="preserve"> </v>
      </c>
      <c r="S1538" s="164" t="str">
        <f>+IF(OR(O1538="Fire Control",O1538="Fire Tex 5062",O1538="Fire Tex 5090",O1538="Fire Tex 5120"),'CALCULO PINTURA'!S1539," ")</f>
        <v xml:space="preserve"> </v>
      </c>
      <c r="T1538" s="874" t="str">
        <f>+IF(OR(O1538="Blaze Shield II",O1538="Cafco 400",O1538="Cafco 300"),'CALCULO MORTERO'!N1544," ")</f>
        <v xml:space="preserve"> </v>
      </c>
      <c r="U1538" s="875" t="str">
        <f>+IF(OR(O1538="Blaze Shield II",O1538="Cafco 400",O1538="Cafco 300"),'CALCULO MORTERO'!O1544," ")</f>
        <v xml:space="preserve"> </v>
      </c>
      <c r="V1538" s="161" t="str" cm="1">
        <f t="array" ref="V1538">_xlfn.IFS(O1538="Blaze Shield II",'CALCULO MORTERO'!P1539, O1538="Cafco 400",'CALCULO MORTERO'!Q1539,O1538="Cafco 300",'CALCULO MORTERO'!S1539, AND(OR(O1538="Fire tex 5090", O1538="Fire Tex 5062", O1538="Fire Tex 5120", O1538="Fire Control"),Q1538&gt;0), "CERT.",TRUE,"-")</f>
        <v>-</v>
      </c>
    </row>
    <row r="1539" spans="1:22" x14ac:dyDescent="0.25">
      <c r="A1539" s="168"/>
      <c r="B1539" s="876"/>
      <c r="C1539" s="161"/>
      <c r="D1539" s="161"/>
      <c r="E1539" s="161"/>
      <c r="F1539" s="41"/>
      <c r="G1539" s="161"/>
      <c r="H1539" s="161"/>
      <c r="I1539" s="166"/>
      <c r="J1539" s="162"/>
      <c r="K1539" s="162"/>
      <c r="L1539" s="161"/>
      <c r="M1539" s="169"/>
      <c r="N1539" s="163" t="str">
        <f t="shared" si="27"/>
        <v/>
      </c>
      <c r="O1539" s="41"/>
      <c r="P1539" s="41"/>
      <c r="Q1539" s="161" t="str">
        <f>+IF(OR(O1539="Fire Control",O1539="Fire Tex 5062",O1539="Fire Tex 5090",O1539="Fire Tex 5120"),'CALCULO PINTURA'!P1540," ")</f>
        <v xml:space="preserve"> </v>
      </c>
      <c r="R1539" s="164" t="str">
        <f>+IF(OR(O1539="Fire Control",O1539="Fire Tex 5062",O1539="Fire Tex 5090",O1539="Fire Tex 5120"),'CALCULO PINTURA'!R1540," ")</f>
        <v xml:space="preserve"> </v>
      </c>
      <c r="S1539" s="164" t="str">
        <f>+IF(OR(O1539="Fire Control",O1539="Fire Tex 5062",O1539="Fire Tex 5090",O1539="Fire Tex 5120"),'CALCULO PINTURA'!S1540," ")</f>
        <v xml:space="preserve"> </v>
      </c>
      <c r="T1539" s="874" t="str">
        <f>+IF(OR(O1539="Blaze Shield II",O1539="Cafco 400",O1539="Cafco 300"),'CALCULO MORTERO'!N1545," ")</f>
        <v xml:space="preserve"> </v>
      </c>
      <c r="U1539" s="875" t="str">
        <f>+IF(OR(O1539="Blaze Shield II",O1539="Cafco 400",O1539="Cafco 300"),'CALCULO MORTERO'!O1545," ")</f>
        <v xml:space="preserve"> </v>
      </c>
      <c r="V1539" s="161" t="str" cm="1">
        <f t="array" ref="V1539">_xlfn.IFS(O1539="Blaze Shield II",'CALCULO MORTERO'!P1540, O1539="Cafco 400",'CALCULO MORTERO'!Q1540,O1539="Cafco 300",'CALCULO MORTERO'!S1540, AND(OR(O1539="Fire tex 5090", O1539="Fire Tex 5062", O1539="Fire Tex 5120", O1539="Fire Control"),Q1539&gt;0), "CERT.",TRUE,"-")</f>
        <v>-</v>
      </c>
    </row>
    <row r="1540" spans="1:22" x14ac:dyDescent="0.25">
      <c r="A1540" s="168"/>
      <c r="B1540" s="876"/>
      <c r="C1540" s="161"/>
      <c r="D1540" s="161"/>
      <c r="E1540" s="161"/>
      <c r="F1540" s="41"/>
      <c r="G1540" s="161"/>
      <c r="H1540" s="161"/>
      <c r="I1540" s="166"/>
      <c r="J1540" s="162"/>
      <c r="K1540" s="161"/>
      <c r="L1540" s="161"/>
      <c r="M1540" s="163"/>
      <c r="N1540" s="163" t="str">
        <f t="shared" ref="N1540:N1603" si="28">+IF(F1540="","",(K1540*I1540*H1540*G1540)/1000000)</f>
        <v/>
      </c>
      <c r="O1540" s="41"/>
      <c r="P1540" s="41"/>
      <c r="Q1540" s="161" t="str">
        <f>+IF(OR(O1540="Fire Control",O1540="Fire Tex 5062",O1540="Fire Tex 5090",O1540="Fire Tex 5120"),'CALCULO PINTURA'!P1541," ")</f>
        <v xml:space="preserve"> </v>
      </c>
      <c r="R1540" s="164" t="str">
        <f>+IF(OR(O1540="Fire Control",O1540="Fire Tex 5062",O1540="Fire Tex 5090",O1540="Fire Tex 5120"),'CALCULO PINTURA'!R1541," ")</f>
        <v xml:space="preserve"> </v>
      </c>
      <c r="S1540" s="164" t="str">
        <f>+IF(OR(O1540="Fire Control",O1540="Fire Tex 5062",O1540="Fire Tex 5090",O1540="Fire Tex 5120"),'CALCULO PINTURA'!S1541," ")</f>
        <v xml:space="preserve"> </v>
      </c>
      <c r="T1540" s="874" t="str">
        <f>+IF(OR(O1540="Blaze Shield II",O1540="Cafco 400",O1540="Cafco 300"),'CALCULO MORTERO'!N1546," ")</f>
        <v xml:space="preserve"> </v>
      </c>
      <c r="U1540" s="875" t="str">
        <f>+IF(OR(O1540="Blaze Shield II",O1540="Cafco 400",O1540="Cafco 300"),'CALCULO MORTERO'!O1546," ")</f>
        <v xml:space="preserve"> </v>
      </c>
      <c r="V1540" s="161" t="str" cm="1">
        <f t="array" ref="V1540">_xlfn.IFS(O1540="Blaze Shield II",'CALCULO MORTERO'!P1541, O1540="Cafco 400",'CALCULO MORTERO'!Q1541,O1540="Cafco 300",'CALCULO MORTERO'!S1541, AND(OR(O1540="Fire tex 5090", O1540="Fire Tex 5062", O1540="Fire Tex 5120", O1540="Fire Control"),Q1540&gt;0), "CERT.",TRUE,"-")</f>
        <v>-</v>
      </c>
    </row>
    <row r="1541" spans="1:22" x14ac:dyDescent="0.2">
      <c r="A1541" s="168"/>
      <c r="B1541" s="876"/>
      <c r="C1541" s="161"/>
      <c r="D1541" s="161"/>
      <c r="E1541" s="161"/>
      <c r="F1541" s="161"/>
      <c r="G1541" s="161"/>
      <c r="H1541" s="161"/>
      <c r="I1541" s="166"/>
      <c r="J1541" s="162"/>
      <c r="K1541" s="161"/>
      <c r="L1541" s="161"/>
      <c r="M1541" s="877"/>
      <c r="N1541" s="163" t="str">
        <f t="shared" si="28"/>
        <v/>
      </c>
      <c r="O1541" s="41"/>
      <c r="P1541" s="41"/>
      <c r="Q1541" s="161" t="str">
        <f>+IF(OR(O1541="Fire Control",O1541="Fire Tex 5062",O1541="Fire Tex 5090",O1541="Fire Tex 5120"),'CALCULO PINTURA'!P1542," ")</f>
        <v xml:space="preserve"> </v>
      </c>
      <c r="R1541" s="164" t="str">
        <f>+IF(OR(O1541="Fire Control",O1541="Fire Tex 5062",O1541="Fire Tex 5090",O1541="Fire Tex 5120"),'CALCULO PINTURA'!R1542," ")</f>
        <v xml:space="preserve"> </v>
      </c>
      <c r="S1541" s="164" t="str">
        <f>+IF(OR(O1541="Fire Control",O1541="Fire Tex 5062",O1541="Fire Tex 5090",O1541="Fire Tex 5120"),'CALCULO PINTURA'!S1542," ")</f>
        <v xml:space="preserve"> </v>
      </c>
      <c r="T1541" s="874" t="str">
        <f>+IF(OR(O1541="Blaze Shield II",O1541="Cafco 400",O1541="Cafco 300"),'CALCULO MORTERO'!N1547," ")</f>
        <v xml:space="preserve"> </v>
      </c>
      <c r="U1541" s="875" t="str">
        <f>+IF(OR(O1541="Blaze Shield II",O1541="Cafco 400",O1541="Cafco 300"),'CALCULO MORTERO'!O1547," ")</f>
        <v xml:space="preserve"> </v>
      </c>
      <c r="V1541" s="161" t="str" cm="1">
        <f t="array" ref="V1541">_xlfn.IFS(O1541="Blaze Shield II",'CALCULO MORTERO'!P1542, O1541="Cafco 400",'CALCULO MORTERO'!Q1542,O1541="Cafco 300",'CALCULO MORTERO'!S1542, AND(OR(O1541="Fire tex 5090", O1541="Fire Tex 5062", O1541="Fire Tex 5120", O1541="Fire Control"),Q1541&gt;0), "CERT.",TRUE,"-")</f>
        <v>-</v>
      </c>
    </row>
    <row r="1542" spans="1:22" x14ac:dyDescent="0.25">
      <c r="A1542" s="168"/>
      <c r="B1542" s="876"/>
      <c r="C1542" s="161"/>
      <c r="D1542" s="161"/>
      <c r="E1542" s="161"/>
      <c r="F1542" s="161"/>
      <c r="G1542" s="161"/>
      <c r="H1542" s="161"/>
      <c r="I1542" s="166"/>
      <c r="J1542" s="162"/>
      <c r="K1542" s="161"/>
      <c r="L1542" s="161"/>
      <c r="M1542" s="163"/>
      <c r="N1542" s="163" t="str">
        <f t="shared" si="28"/>
        <v/>
      </c>
      <c r="O1542" s="41"/>
      <c r="P1542" s="41"/>
      <c r="Q1542" s="161" t="str">
        <f>+IF(OR(O1542="Fire Control",O1542="Fire Tex 5062",O1542="Fire Tex 5090",O1542="Fire Tex 5120"),'CALCULO PINTURA'!P1543," ")</f>
        <v xml:space="preserve"> </v>
      </c>
      <c r="R1542" s="164" t="str">
        <f>+IF(OR(O1542="Fire Control",O1542="Fire Tex 5062",O1542="Fire Tex 5090",O1542="Fire Tex 5120"),'CALCULO PINTURA'!R1543," ")</f>
        <v xml:space="preserve"> </v>
      </c>
      <c r="S1542" s="164" t="str">
        <f>+IF(OR(O1542="Fire Control",O1542="Fire Tex 5062",O1542="Fire Tex 5090",O1542="Fire Tex 5120"),'CALCULO PINTURA'!S1543," ")</f>
        <v xml:space="preserve"> </v>
      </c>
      <c r="T1542" s="874" t="str">
        <f>+IF(OR(O1542="Blaze Shield II",O1542="Cafco 400",O1542="Cafco 300"),'CALCULO MORTERO'!N1548," ")</f>
        <v xml:space="preserve"> </v>
      </c>
      <c r="U1542" s="875" t="str">
        <f>+IF(OR(O1542="Blaze Shield II",O1542="Cafco 400",O1542="Cafco 300"),'CALCULO MORTERO'!O1548," ")</f>
        <v xml:space="preserve"> </v>
      </c>
      <c r="V1542" s="161" t="str" cm="1">
        <f t="array" ref="V1542">_xlfn.IFS(O1542="Blaze Shield II",'CALCULO MORTERO'!P1543, O1542="Cafco 400",'CALCULO MORTERO'!Q1543,O1542="Cafco 300",'CALCULO MORTERO'!S1543, AND(OR(O1542="Fire tex 5090", O1542="Fire Tex 5062", O1542="Fire Tex 5120", O1542="Fire Control"),Q1542&gt;0), "CERT.",TRUE,"-")</f>
        <v>-</v>
      </c>
    </row>
    <row r="1543" spans="1:22" x14ac:dyDescent="0.25">
      <c r="A1543" s="168"/>
      <c r="B1543" s="876"/>
      <c r="C1543" s="161"/>
      <c r="D1543" s="161"/>
      <c r="E1543" s="161"/>
      <c r="F1543" s="161"/>
      <c r="G1543" s="161"/>
      <c r="H1543" s="161"/>
      <c r="I1543" s="166"/>
      <c r="J1543" s="162"/>
      <c r="K1543" s="161"/>
      <c r="L1543" s="161"/>
      <c r="M1543" s="163"/>
      <c r="N1543" s="163" t="str">
        <f t="shared" si="28"/>
        <v/>
      </c>
      <c r="O1543" s="41"/>
      <c r="P1543" s="41"/>
      <c r="Q1543" s="161" t="str">
        <f>+IF(OR(O1543="Fire Control",O1543="Fire Tex 5062",O1543="Fire Tex 5090",O1543="Fire Tex 5120"),'CALCULO PINTURA'!P1544," ")</f>
        <v xml:space="preserve"> </v>
      </c>
      <c r="R1543" s="164" t="str">
        <f>+IF(OR(O1543="Fire Control",O1543="Fire Tex 5062",O1543="Fire Tex 5090",O1543="Fire Tex 5120"),'CALCULO PINTURA'!R1544," ")</f>
        <v xml:space="preserve"> </v>
      </c>
      <c r="S1543" s="164" t="str">
        <f>+IF(OR(O1543="Fire Control",O1543="Fire Tex 5062",O1543="Fire Tex 5090",O1543="Fire Tex 5120"),'CALCULO PINTURA'!S1544," ")</f>
        <v xml:space="preserve"> </v>
      </c>
      <c r="T1543" s="874" t="str">
        <f>+IF(OR(O1543="Blaze Shield II",O1543="Cafco 400",O1543="Cafco 300"),'CALCULO MORTERO'!N1549," ")</f>
        <v xml:space="preserve"> </v>
      </c>
      <c r="U1543" s="875" t="str">
        <f>+IF(OR(O1543="Blaze Shield II",O1543="Cafco 400",O1543="Cafco 300"),'CALCULO MORTERO'!O1549," ")</f>
        <v xml:space="preserve"> </v>
      </c>
      <c r="V1543" s="161" t="str" cm="1">
        <f t="array" ref="V1543">_xlfn.IFS(O1543="Blaze Shield II",'CALCULO MORTERO'!P1544, O1543="Cafco 400",'CALCULO MORTERO'!Q1544,O1543="Cafco 300",'CALCULO MORTERO'!S1544, AND(OR(O1543="Fire tex 5090", O1543="Fire Tex 5062", O1543="Fire Tex 5120", O1543="Fire Control"),Q1543&gt;0), "CERT.",TRUE,"-")</f>
        <v>-</v>
      </c>
    </row>
    <row r="1544" spans="1:22" x14ac:dyDescent="0.25">
      <c r="A1544" s="168"/>
      <c r="B1544" s="876"/>
      <c r="C1544" s="161"/>
      <c r="D1544" s="161"/>
      <c r="E1544" s="161"/>
      <c r="F1544" s="161"/>
      <c r="G1544" s="161"/>
      <c r="H1544" s="161"/>
      <c r="I1544" s="166"/>
      <c r="J1544" s="162"/>
      <c r="K1544" s="161"/>
      <c r="L1544" s="161"/>
      <c r="M1544" s="163"/>
      <c r="N1544" s="163" t="str">
        <f t="shared" si="28"/>
        <v/>
      </c>
      <c r="O1544" s="41"/>
      <c r="P1544" s="41"/>
      <c r="Q1544" s="161" t="str">
        <f>+IF(OR(O1544="Fire Control",O1544="Fire Tex 5062",O1544="Fire Tex 5090",O1544="Fire Tex 5120"),'CALCULO PINTURA'!P1545," ")</f>
        <v xml:space="preserve"> </v>
      </c>
      <c r="R1544" s="164" t="str">
        <f>+IF(OR(O1544="Fire Control",O1544="Fire Tex 5062",O1544="Fire Tex 5090",O1544="Fire Tex 5120"),'CALCULO PINTURA'!R1545," ")</f>
        <v xml:space="preserve"> </v>
      </c>
      <c r="S1544" s="164" t="str">
        <f>+IF(OR(O1544="Fire Control",O1544="Fire Tex 5062",O1544="Fire Tex 5090",O1544="Fire Tex 5120"),'CALCULO PINTURA'!S1545," ")</f>
        <v xml:space="preserve"> </v>
      </c>
      <c r="T1544" s="874" t="str">
        <f>+IF(OR(O1544="Blaze Shield II",O1544="Cafco 400",O1544="Cafco 300"),'CALCULO MORTERO'!N1550," ")</f>
        <v xml:space="preserve"> </v>
      </c>
      <c r="U1544" s="875" t="str">
        <f>+IF(OR(O1544="Blaze Shield II",O1544="Cafco 400",O1544="Cafco 300"),'CALCULO MORTERO'!O1550," ")</f>
        <v xml:space="preserve"> </v>
      </c>
      <c r="V1544" s="161" t="str" cm="1">
        <f t="array" ref="V1544">_xlfn.IFS(O1544="Blaze Shield II",'CALCULO MORTERO'!P1545, O1544="Cafco 400",'CALCULO MORTERO'!Q1545,O1544="Cafco 300",'CALCULO MORTERO'!S1545, AND(OR(O1544="Fire tex 5090", O1544="Fire Tex 5062", O1544="Fire Tex 5120", O1544="Fire Control"),Q1544&gt;0), "CERT.",TRUE,"-")</f>
        <v>-</v>
      </c>
    </row>
    <row r="1545" spans="1:22" x14ac:dyDescent="0.25">
      <c r="A1545" s="168"/>
      <c r="B1545" s="876"/>
      <c r="C1545" s="161"/>
      <c r="D1545" s="161"/>
      <c r="E1545" s="161"/>
      <c r="F1545" s="41"/>
      <c r="G1545" s="161"/>
      <c r="H1545" s="161"/>
      <c r="I1545" s="166"/>
      <c r="J1545" s="162"/>
      <c r="K1545" s="161"/>
      <c r="L1545" s="161"/>
      <c r="M1545" s="163"/>
      <c r="N1545" s="163" t="str">
        <f t="shared" si="28"/>
        <v/>
      </c>
      <c r="O1545" s="41"/>
      <c r="P1545" s="41"/>
      <c r="Q1545" s="161" t="str">
        <f>+IF(OR(O1545="Fire Control",O1545="Fire Tex 5062",O1545="Fire Tex 5090",O1545="Fire Tex 5120"),'CALCULO PINTURA'!P1546," ")</f>
        <v xml:space="preserve"> </v>
      </c>
      <c r="R1545" s="164" t="str">
        <f>+IF(OR(O1545="Fire Control",O1545="Fire Tex 5062",O1545="Fire Tex 5090",O1545="Fire Tex 5120"),'CALCULO PINTURA'!R1546," ")</f>
        <v xml:space="preserve"> </v>
      </c>
      <c r="S1545" s="164" t="str">
        <f>+IF(OR(O1545="Fire Control",O1545="Fire Tex 5062",O1545="Fire Tex 5090",O1545="Fire Tex 5120"),'CALCULO PINTURA'!S1546," ")</f>
        <v xml:space="preserve"> </v>
      </c>
      <c r="T1545" s="874" t="str">
        <f>+IF(OR(O1545="Blaze Shield II",O1545="Cafco 400",O1545="Cafco 300"),'CALCULO MORTERO'!N1551," ")</f>
        <v xml:space="preserve"> </v>
      </c>
      <c r="U1545" s="875" t="str">
        <f>+IF(OR(O1545="Blaze Shield II",O1545="Cafco 400",O1545="Cafco 300"),'CALCULO MORTERO'!O1551," ")</f>
        <v xml:space="preserve"> </v>
      </c>
      <c r="V1545" s="161" t="str" cm="1">
        <f t="array" ref="V1545">_xlfn.IFS(O1545="Blaze Shield II",'CALCULO MORTERO'!P1546, O1545="Cafco 400",'CALCULO MORTERO'!Q1546,O1545="Cafco 300",'CALCULO MORTERO'!S1546, AND(OR(O1545="Fire tex 5090", O1545="Fire Tex 5062", O1545="Fire Tex 5120", O1545="Fire Control"),Q1545&gt;0), "CERT.",TRUE,"-")</f>
        <v>-</v>
      </c>
    </row>
    <row r="1546" spans="1:22" x14ac:dyDescent="0.25">
      <c r="A1546" s="168"/>
      <c r="B1546" s="876"/>
      <c r="C1546" s="161"/>
      <c r="D1546" s="161"/>
      <c r="E1546" s="161"/>
      <c r="F1546" s="41"/>
      <c r="G1546" s="161"/>
      <c r="H1546" s="161"/>
      <c r="I1546" s="166"/>
      <c r="J1546" s="162"/>
      <c r="K1546" s="161"/>
      <c r="L1546" s="161"/>
      <c r="M1546" s="163"/>
      <c r="N1546" s="163" t="str">
        <f t="shared" si="28"/>
        <v/>
      </c>
      <c r="O1546" s="41"/>
      <c r="P1546" s="41"/>
      <c r="Q1546" s="161" t="str">
        <f>+IF(OR(O1546="Fire Control",O1546="Fire Tex 5062",O1546="Fire Tex 5090",O1546="Fire Tex 5120"),'CALCULO PINTURA'!P1547," ")</f>
        <v xml:space="preserve"> </v>
      </c>
      <c r="R1546" s="164" t="str">
        <f>+IF(OR(O1546="Fire Control",O1546="Fire Tex 5062",O1546="Fire Tex 5090",O1546="Fire Tex 5120"),'CALCULO PINTURA'!R1547," ")</f>
        <v xml:space="preserve"> </v>
      </c>
      <c r="S1546" s="164" t="str">
        <f>+IF(OR(O1546="Fire Control",O1546="Fire Tex 5062",O1546="Fire Tex 5090",O1546="Fire Tex 5120"),'CALCULO PINTURA'!S1547," ")</f>
        <v xml:space="preserve"> </v>
      </c>
      <c r="T1546" s="874" t="str">
        <f>+IF(OR(O1546="Blaze Shield II",O1546="Cafco 400",O1546="Cafco 300"),'CALCULO MORTERO'!N1552," ")</f>
        <v xml:space="preserve"> </v>
      </c>
      <c r="U1546" s="875" t="str">
        <f>+IF(OR(O1546="Blaze Shield II",O1546="Cafco 400",O1546="Cafco 300"),'CALCULO MORTERO'!O1552," ")</f>
        <v xml:space="preserve"> </v>
      </c>
      <c r="V1546" s="161" t="str" cm="1">
        <f t="array" ref="V1546">_xlfn.IFS(O1546="Blaze Shield II",'CALCULO MORTERO'!P1547, O1546="Cafco 400",'CALCULO MORTERO'!Q1547,O1546="Cafco 300",'CALCULO MORTERO'!S1547, AND(OR(O1546="Fire tex 5090", O1546="Fire Tex 5062", O1546="Fire Tex 5120", O1546="Fire Control"),Q1546&gt;0), "CERT.",TRUE,"-")</f>
        <v>-</v>
      </c>
    </row>
    <row r="1547" spans="1:22" x14ac:dyDescent="0.25">
      <c r="A1547" s="168"/>
      <c r="B1547" s="876"/>
      <c r="C1547" s="161"/>
      <c r="D1547" s="161"/>
      <c r="E1547" s="161"/>
      <c r="F1547" s="41"/>
      <c r="G1547" s="161"/>
      <c r="H1547" s="161"/>
      <c r="I1547" s="166"/>
      <c r="J1547" s="162"/>
      <c r="K1547" s="161"/>
      <c r="L1547" s="161"/>
      <c r="M1547" s="169"/>
      <c r="N1547" s="163" t="str">
        <f t="shared" si="28"/>
        <v/>
      </c>
      <c r="O1547" s="41"/>
      <c r="P1547" s="41"/>
      <c r="Q1547" s="161" t="str">
        <f>+IF(OR(O1547="Fire Control",O1547="Fire Tex 5062",O1547="Fire Tex 5090",O1547="Fire Tex 5120"),'CALCULO PINTURA'!P1548," ")</f>
        <v xml:space="preserve"> </v>
      </c>
      <c r="R1547" s="164" t="str">
        <f>+IF(OR(O1547="Fire Control",O1547="Fire Tex 5062",O1547="Fire Tex 5090",O1547="Fire Tex 5120"),'CALCULO PINTURA'!R1548," ")</f>
        <v xml:space="preserve"> </v>
      </c>
      <c r="S1547" s="164" t="str">
        <f>+IF(OR(O1547="Fire Control",O1547="Fire Tex 5062",O1547="Fire Tex 5090",O1547="Fire Tex 5120"),'CALCULO PINTURA'!S1548," ")</f>
        <v xml:space="preserve"> </v>
      </c>
      <c r="T1547" s="874" t="str">
        <f>+IF(OR(O1547="Blaze Shield II",O1547="Cafco 400",O1547="Cafco 300"),'CALCULO MORTERO'!N1553," ")</f>
        <v xml:space="preserve"> </v>
      </c>
      <c r="U1547" s="875" t="str">
        <f>+IF(OR(O1547="Blaze Shield II",O1547="Cafco 400",O1547="Cafco 300"),'CALCULO MORTERO'!O1553," ")</f>
        <v xml:space="preserve"> </v>
      </c>
      <c r="V1547" s="161" t="str" cm="1">
        <f t="array" ref="V1547">_xlfn.IFS(O1547="Blaze Shield II",'CALCULO MORTERO'!P1548, O1547="Cafco 400",'CALCULO MORTERO'!Q1548,O1547="Cafco 300",'CALCULO MORTERO'!S1548, AND(OR(O1547="Fire tex 5090", O1547="Fire Tex 5062", O1547="Fire Tex 5120", O1547="Fire Control"),Q1547&gt;0), "CERT.",TRUE,"-")</f>
        <v>-</v>
      </c>
    </row>
    <row r="1548" spans="1:22" x14ac:dyDescent="0.25">
      <c r="A1548" s="168"/>
      <c r="B1548" s="876"/>
      <c r="C1548" s="161"/>
      <c r="D1548" s="161"/>
      <c r="E1548" s="161"/>
      <c r="F1548" s="41"/>
      <c r="G1548" s="161"/>
      <c r="H1548" s="161"/>
      <c r="I1548" s="166"/>
      <c r="J1548" s="162"/>
      <c r="K1548" s="161"/>
      <c r="L1548" s="161"/>
      <c r="M1548" s="169"/>
      <c r="N1548" s="163" t="str">
        <f t="shared" si="28"/>
        <v/>
      </c>
      <c r="O1548" s="41"/>
      <c r="P1548" s="41"/>
      <c r="Q1548" s="161" t="str">
        <f>+IF(OR(O1548="Fire Control",O1548="Fire Tex 5062",O1548="Fire Tex 5090",O1548="Fire Tex 5120"),'CALCULO PINTURA'!P1549," ")</f>
        <v xml:space="preserve"> </v>
      </c>
      <c r="R1548" s="164" t="str">
        <f>+IF(OR(O1548="Fire Control",O1548="Fire Tex 5062",O1548="Fire Tex 5090",O1548="Fire Tex 5120"),'CALCULO PINTURA'!R1549," ")</f>
        <v xml:space="preserve"> </v>
      </c>
      <c r="S1548" s="164" t="str">
        <f>+IF(OR(O1548="Fire Control",O1548="Fire Tex 5062",O1548="Fire Tex 5090",O1548="Fire Tex 5120"),'CALCULO PINTURA'!S1549," ")</f>
        <v xml:space="preserve"> </v>
      </c>
      <c r="T1548" s="874" t="str">
        <f>+IF(OR(O1548="Blaze Shield II",O1548="Cafco 400",O1548="Cafco 300"),'CALCULO MORTERO'!N1554," ")</f>
        <v xml:space="preserve"> </v>
      </c>
      <c r="U1548" s="875" t="str">
        <f>+IF(OR(O1548="Blaze Shield II",O1548="Cafco 400",O1548="Cafco 300"),'CALCULO MORTERO'!O1554," ")</f>
        <v xml:space="preserve"> </v>
      </c>
      <c r="V1548" s="161" t="str" cm="1">
        <f t="array" ref="V1548">_xlfn.IFS(O1548="Blaze Shield II",'CALCULO MORTERO'!P1549, O1548="Cafco 400",'CALCULO MORTERO'!Q1549,O1548="Cafco 300",'CALCULO MORTERO'!S1549, AND(OR(O1548="Fire tex 5090", O1548="Fire Tex 5062", O1548="Fire Tex 5120", O1548="Fire Control"),Q1548&gt;0), "CERT.",TRUE,"-")</f>
        <v>-</v>
      </c>
    </row>
    <row r="1549" spans="1:22" x14ac:dyDescent="0.25">
      <c r="A1549" s="168"/>
      <c r="B1549" s="876"/>
      <c r="C1549" s="161"/>
      <c r="D1549" s="161"/>
      <c r="E1549" s="161"/>
      <c r="F1549" s="41"/>
      <c r="G1549" s="161"/>
      <c r="H1549" s="161"/>
      <c r="I1549" s="166"/>
      <c r="J1549" s="162"/>
      <c r="K1549" s="161"/>
      <c r="L1549" s="161"/>
      <c r="M1549" s="169"/>
      <c r="N1549" s="163" t="str">
        <f t="shared" si="28"/>
        <v/>
      </c>
      <c r="O1549" s="41"/>
      <c r="P1549" s="41"/>
      <c r="Q1549" s="161" t="str">
        <f>+IF(OR(O1549="Fire Control",O1549="Fire Tex 5062",O1549="Fire Tex 5090",O1549="Fire Tex 5120"),'CALCULO PINTURA'!P1550," ")</f>
        <v xml:space="preserve"> </v>
      </c>
      <c r="R1549" s="164" t="str">
        <f>+IF(OR(O1549="Fire Control",O1549="Fire Tex 5062",O1549="Fire Tex 5090",O1549="Fire Tex 5120"),'CALCULO PINTURA'!R1550," ")</f>
        <v xml:space="preserve"> </v>
      </c>
      <c r="S1549" s="164" t="str">
        <f>+IF(OR(O1549="Fire Control",O1549="Fire Tex 5062",O1549="Fire Tex 5090",O1549="Fire Tex 5120"),'CALCULO PINTURA'!S1550," ")</f>
        <v xml:space="preserve"> </v>
      </c>
      <c r="T1549" s="874" t="str">
        <f>+IF(OR(O1549="Blaze Shield II",O1549="Cafco 400",O1549="Cafco 300"),'CALCULO MORTERO'!N1555," ")</f>
        <v xml:space="preserve"> </v>
      </c>
      <c r="U1549" s="875" t="str">
        <f>+IF(OR(O1549="Blaze Shield II",O1549="Cafco 400",O1549="Cafco 300"),'CALCULO MORTERO'!O1555," ")</f>
        <v xml:space="preserve"> </v>
      </c>
      <c r="V1549" s="161" t="str" cm="1">
        <f t="array" ref="V1549">_xlfn.IFS(O1549="Blaze Shield II",'CALCULO MORTERO'!P1550, O1549="Cafco 400",'CALCULO MORTERO'!Q1550,O1549="Cafco 300",'CALCULO MORTERO'!S1550, AND(OR(O1549="Fire tex 5090", O1549="Fire Tex 5062", O1549="Fire Tex 5120", O1549="Fire Control"),Q1549&gt;0), "CERT.",TRUE,"-")</f>
        <v>-</v>
      </c>
    </row>
    <row r="1550" spans="1:22" x14ac:dyDescent="0.25">
      <c r="A1550" s="168"/>
      <c r="B1550" s="876"/>
      <c r="C1550" s="161"/>
      <c r="D1550" s="161"/>
      <c r="E1550" s="161"/>
      <c r="F1550" s="41"/>
      <c r="G1550" s="161"/>
      <c r="H1550" s="161"/>
      <c r="I1550" s="166"/>
      <c r="J1550" s="162"/>
      <c r="K1550" s="161"/>
      <c r="L1550" s="161"/>
      <c r="M1550" s="169"/>
      <c r="N1550" s="163" t="str">
        <f t="shared" si="28"/>
        <v/>
      </c>
      <c r="O1550" s="41"/>
      <c r="P1550" s="41"/>
      <c r="Q1550" s="161" t="str">
        <f>+IF(OR(O1550="Fire Control",O1550="Fire Tex 5062",O1550="Fire Tex 5090",O1550="Fire Tex 5120"),'CALCULO PINTURA'!P1551," ")</f>
        <v xml:space="preserve"> </v>
      </c>
      <c r="R1550" s="164" t="str">
        <f>+IF(OR(O1550="Fire Control",O1550="Fire Tex 5062",O1550="Fire Tex 5090",O1550="Fire Tex 5120"),'CALCULO PINTURA'!R1551," ")</f>
        <v xml:space="preserve"> </v>
      </c>
      <c r="S1550" s="164" t="str">
        <f>+IF(OR(O1550="Fire Control",O1550="Fire Tex 5062",O1550="Fire Tex 5090",O1550="Fire Tex 5120"),'CALCULO PINTURA'!S1551," ")</f>
        <v xml:space="preserve"> </v>
      </c>
      <c r="T1550" s="874" t="str">
        <f>+IF(OR(O1550="Blaze Shield II",O1550="Cafco 400",O1550="Cafco 300"),'CALCULO MORTERO'!N1556," ")</f>
        <v xml:space="preserve"> </v>
      </c>
      <c r="U1550" s="875" t="str">
        <f>+IF(OR(O1550="Blaze Shield II",O1550="Cafco 400",O1550="Cafco 300"),'CALCULO MORTERO'!O1556," ")</f>
        <v xml:space="preserve"> </v>
      </c>
      <c r="V1550" s="161" t="str" cm="1">
        <f t="array" ref="V1550">_xlfn.IFS(O1550="Blaze Shield II",'CALCULO MORTERO'!P1551, O1550="Cafco 400",'CALCULO MORTERO'!Q1551,O1550="Cafco 300",'CALCULO MORTERO'!S1551, AND(OR(O1550="Fire tex 5090", O1550="Fire Tex 5062", O1550="Fire Tex 5120", O1550="Fire Control"),Q1550&gt;0), "CERT.",TRUE,"-")</f>
        <v>-</v>
      </c>
    </row>
    <row r="1551" spans="1:22" x14ac:dyDescent="0.25">
      <c r="A1551" s="168"/>
      <c r="B1551" s="876"/>
      <c r="C1551" s="161"/>
      <c r="D1551" s="161"/>
      <c r="E1551" s="161"/>
      <c r="F1551" s="41"/>
      <c r="G1551" s="161"/>
      <c r="H1551" s="161"/>
      <c r="I1551" s="166"/>
      <c r="J1551" s="162"/>
      <c r="K1551" s="161"/>
      <c r="L1551" s="161"/>
      <c r="M1551" s="169"/>
      <c r="N1551" s="163" t="str">
        <f t="shared" si="28"/>
        <v/>
      </c>
      <c r="O1551" s="41"/>
      <c r="P1551" s="41"/>
      <c r="Q1551" s="161" t="str">
        <f>+IF(OR(O1551="Fire Control",O1551="Fire Tex 5062",O1551="Fire Tex 5090",O1551="Fire Tex 5120"),'CALCULO PINTURA'!P1552," ")</f>
        <v xml:space="preserve"> </v>
      </c>
      <c r="R1551" s="164" t="str">
        <f>+IF(OR(O1551="Fire Control",O1551="Fire Tex 5062",O1551="Fire Tex 5090",O1551="Fire Tex 5120"),'CALCULO PINTURA'!R1552," ")</f>
        <v xml:space="preserve"> </v>
      </c>
      <c r="S1551" s="164" t="str">
        <f>+IF(OR(O1551="Fire Control",O1551="Fire Tex 5062",O1551="Fire Tex 5090",O1551="Fire Tex 5120"),'CALCULO PINTURA'!S1552," ")</f>
        <v xml:space="preserve"> </v>
      </c>
      <c r="T1551" s="874" t="str">
        <f>+IF(OR(O1551="Blaze Shield II",O1551="Cafco 400",O1551="Cafco 300"),'CALCULO MORTERO'!N1557," ")</f>
        <v xml:space="preserve"> </v>
      </c>
      <c r="U1551" s="875" t="str">
        <f>+IF(OR(O1551="Blaze Shield II",O1551="Cafco 400",O1551="Cafco 300"),'CALCULO MORTERO'!O1557," ")</f>
        <v xml:space="preserve"> </v>
      </c>
      <c r="V1551" s="161" t="str" cm="1">
        <f t="array" ref="V1551">_xlfn.IFS(O1551="Blaze Shield II",'CALCULO MORTERO'!P1552, O1551="Cafco 400",'CALCULO MORTERO'!Q1552,O1551="Cafco 300",'CALCULO MORTERO'!S1552, AND(OR(O1551="Fire tex 5090", O1551="Fire Tex 5062", O1551="Fire Tex 5120", O1551="Fire Control"),Q1551&gt;0), "CERT.",TRUE,"-")</f>
        <v>-</v>
      </c>
    </row>
    <row r="1552" spans="1:22" x14ac:dyDescent="0.25">
      <c r="A1552" s="168"/>
      <c r="B1552" s="876"/>
      <c r="C1552" s="161"/>
      <c r="D1552" s="161"/>
      <c r="E1552" s="161"/>
      <c r="F1552" s="41"/>
      <c r="G1552" s="161"/>
      <c r="H1552" s="161"/>
      <c r="I1552" s="166"/>
      <c r="J1552" s="162"/>
      <c r="K1552" s="161"/>
      <c r="L1552" s="161"/>
      <c r="M1552" s="163"/>
      <c r="N1552" s="163" t="str">
        <f t="shared" si="28"/>
        <v/>
      </c>
      <c r="O1552" s="41"/>
      <c r="P1552" s="41"/>
      <c r="Q1552" s="161" t="str">
        <f>+IF(OR(O1552="Fire Control",O1552="Fire Tex 5062",O1552="Fire Tex 5090",O1552="Fire Tex 5120"),'CALCULO PINTURA'!P1553," ")</f>
        <v xml:space="preserve"> </v>
      </c>
      <c r="R1552" s="164" t="str">
        <f>+IF(OR(O1552="Fire Control",O1552="Fire Tex 5062",O1552="Fire Tex 5090",O1552="Fire Tex 5120"),'CALCULO PINTURA'!R1553," ")</f>
        <v xml:space="preserve"> </v>
      </c>
      <c r="S1552" s="164" t="str">
        <f>+IF(OR(O1552="Fire Control",O1552="Fire Tex 5062",O1552="Fire Tex 5090",O1552="Fire Tex 5120"),'CALCULO PINTURA'!S1553," ")</f>
        <v xml:space="preserve"> </v>
      </c>
      <c r="T1552" s="874" t="str">
        <f>+IF(OR(O1552="Blaze Shield II",O1552="Cafco 400",O1552="Cafco 300"),'CALCULO MORTERO'!N1558," ")</f>
        <v xml:space="preserve"> </v>
      </c>
      <c r="U1552" s="875" t="str">
        <f>+IF(OR(O1552="Blaze Shield II",O1552="Cafco 400",O1552="Cafco 300"),'CALCULO MORTERO'!O1558," ")</f>
        <v xml:space="preserve"> </v>
      </c>
      <c r="V1552" s="161" t="str" cm="1">
        <f t="array" ref="V1552">_xlfn.IFS(O1552="Blaze Shield II",'CALCULO MORTERO'!P1553, O1552="Cafco 400",'CALCULO MORTERO'!Q1553,O1552="Cafco 300",'CALCULO MORTERO'!S1553, AND(OR(O1552="Fire tex 5090", O1552="Fire Tex 5062", O1552="Fire Tex 5120", O1552="Fire Control"),Q1552&gt;0), "CERT.",TRUE,"-")</f>
        <v>-</v>
      </c>
    </row>
    <row r="1553" spans="1:22" x14ac:dyDescent="0.25">
      <c r="A1553" s="168"/>
      <c r="B1553" s="876"/>
      <c r="C1553" s="161"/>
      <c r="D1553" s="161"/>
      <c r="E1553" s="161"/>
      <c r="F1553" s="41"/>
      <c r="G1553" s="161"/>
      <c r="H1553" s="161"/>
      <c r="I1553" s="166"/>
      <c r="J1553" s="162"/>
      <c r="K1553" s="161"/>
      <c r="L1553" s="161"/>
      <c r="M1553" s="163"/>
      <c r="N1553" s="163" t="str">
        <f t="shared" si="28"/>
        <v/>
      </c>
      <c r="O1553" s="41"/>
      <c r="P1553" s="41"/>
      <c r="Q1553" s="161" t="str">
        <f>+IF(OR(O1553="Fire Control",O1553="Fire Tex 5062",O1553="Fire Tex 5090",O1553="Fire Tex 5120"),'CALCULO PINTURA'!P1554," ")</f>
        <v xml:space="preserve"> </v>
      </c>
      <c r="R1553" s="164" t="str">
        <f>+IF(OR(O1553="Fire Control",O1553="Fire Tex 5062",O1553="Fire Tex 5090",O1553="Fire Tex 5120"),'CALCULO PINTURA'!R1554," ")</f>
        <v xml:space="preserve"> </v>
      </c>
      <c r="S1553" s="164" t="str">
        <f>+IF(OR(O1553="Fire Control",O1553="Fire Tex 5062",O1553="Fire Tex 5090",O1553="Fire Tex 5120"),'CALCULO PINTURA'!S1554," ")</f>
        <v xml:space="preserve"> </v>
      </c>
      <c r="T1553" s="874" t="str">
        <f>+IF(OR(O1553="Blaze Shield II",O1553="Cafco 400",O1553="Cafco 300"),'CALCULO MORTERO'!N1559," ")</f>
        <v xml:space="preserve"> </v>
      </c>
      <c r="U1553" s="875" t="str">
        <f>+IF(OR(O1553="Blaze Shield II",O1553="Cafco 400",O1553="Cafco 300"),'CALCULO MORTERO'!O1559," ")</f>
        <v xml:space="preserve"> </v>
      </c>
      <c r="V1553" s="161" t="str" cm="1">
        <f t="array" ref="V1553">_xlfn.IFS(O1553="Blaze Shield II",'CALCULO MORTERO'!P1554, O1553="Cafco 400",'CALCULO MORTERO'!Q1554,O1553="Cafco 300",'CALCULO MORTERO'!S1554, AND(OR(O1553="Fire tex 5090", O1553="Fire Tex 5062", O1553="Fire Tex 5120", O1553="Fire Control"),Q1553&gt;0), "CERT.",TRUE,"-")</f>
        <v>-</v>
      </c>
    </row>
    <row r="1554" spans="1:22" x14ac:dyDescent="0.25">
      <c r="A1554" s="168"/>
      <c r="B1554" s="876"/>
      <c r="C1554" s="161"/>
      <c r="D1554" s="161"/>
      <c r="E1554" s="161"/>
      <c r="F1554" s="41"/>
      <c r="G1554" s="161"/>
      <c r="H1554" s="161"/>
      <c r="I1554" s="166"/>
      <c r="J1554" s="162"/>
      <c r="K1554" s="161"/>
      <c r="L1554" s="161"/>
      <c r="M1554" s="163"/>
      <c r="N1554" s="163" t="str">
        <f t="shared" si="28"/>
        <v/>
      </c>
      <c r="O1554" s="41"/>
      <c r="P1554" s="41"/>
      <c r="Q1554" s="161" t="str">
        <f>+IF(OR(O1554="Fire Control",O1554="Fire Tex 5062",O1554="Fire Tex 5090",O1554="Fire Tex 5120"),'CALCULO PINTURA'!P1555," ")</f>
        <v xml:space="preserve"> </v>
      </c>
      <c r="R1554" s="164" t="str">
        <f>+IF(OR(O1554="Fire Control",O1554="Fire Tex 5062",O1554="Fire Tex 5090",O1554="Fire Tex 5120"),'CALCULO PINTURA'!R1555," ")</f>
        <v xml:space="preserve"> </v>
      </c>
      <c r="S1554" s="164" t="str">
        <f>+IF(OR(O1554="Fire Control",O1554="Fire Tex 5062",O1554="Fire Tex 5090",O1554="Fire Tex 5120"),'CALCULO PINTURA'!S1555," ")</f>
        <v xml:space="preserve"> </v>
      </c>
      <c r="T1554" s="874" t="str">
        <f>+IF(OR(O1554="Blaze Shield II",O1554="Cafco 400",O1554="Cafco 300"),'CALCULO MORTERO'!N1560," ")</f>
        <v xml:space="preserve"> </v>
      </c>
      <c r="U1554" s="875" t="str">
        <f>+IF(OR(O1554="Blaze Shield II",O1554="Cafco 400",O1554="Cafco 300"),'CALCULO MORTERO'!O1560," ")</f>
        <v xml:space="preserve"> </v>
      </c>
      <c r="V1554" s="161" t="str" cm="1">
        <f t="array" ref="V1554">_xlfn.IFS(O1554="Blaze Shield II",'CALCULO MORTERO'!P1555, O1554="Cafco 400",'CALCULO MORTERO'!Q1555,O1554="Cafco 300",'CALCULO MORTERO'!S1555, AND(OR(O1554="Fire tex 5090", O1554="Fire Tex 5062", O1554="Fire Tex 5120", O1554="Fire Control"),Q1554&gt;0), "CERT.",TRUE,"-")</f>
        <v>-</v>
      </c>
    </row>
    <row r="1555" spans="1:22" x14ac:dyDescent="0.25">
      <c r="A1555" s="168"/>
      <c r="B1555" s="876"/>
      <c r="C1555" s="161"/>
      <c r="D1555" s="161"/>
      <c r="E1555" s="161"/>
      <c r="F1555" s="41"/>
      <c r="G1555" s="161"/>
      <c r="H1555" s="161"/>
      <c r="I1555" s="166"/>
      <c r="J1555" s="162"/>
      <c r="K1555" s="161"/>
      <c r="L1555" s="161"/>
      <c r="M1555" s="163"/>
      <c r="N1555" s="163" t="str">
        <f t="shared" si="28"/>
        <v/>
      </c>
      <c r="O1555" s="41"/>
      <c r="P1555" s="41"/>
      <c r="Q1555" s="161" t="str">
        <f>+IF(OR(O1555="Fire Control",O1555="Fire Tex 5062",O1555="Fire Tex 5090",O1555="Fire Tex 5120"),'CALCULO PINTURA'!P1556," ")</f>
        <v xml:space="preserve"> </v>
      </c>
      <c r="R1555" s="164" t="str">
        <f>+IF(OR(O1555="Fire Control",O1555="Fire Tex 5062",O1555="Fire Tex 5090",O1555="Fire Tex 5120"),'CALCULO PINTURA'!R1556," ")</f>
        <v xml:space="preserve"> </v>
      </c>
      <c r="S1555" s="164" t="str">
        <f>+IF(OR(O1555="Fire Control",O1555="Fire Tex 5062",O1555="Fire Tex 5090",O1555="Fire Tex 5120"),'CALCULO PINTURA'!S1556," ")</f>
        <v xml:space="preserve"> </v>
      </c>
      <c r="T1555" s="874" t="str">
        <f>+IF(OR(O1555="Blaze Shield II",O1555="Cafco 400",O1555="Cafco 300"),'CALCULO MORTERO'!N1561," ")</f>
        <v xml:space="preserve"> </v>
      </c>
      <c r="U1555" s="875" t="str">
        <f>+IF(OR(O1555="Blaze Shield II",O1555="Cafco 400",O1555="Cafco 300"),'CALCULO MORTERO'!O1561," ")</f>
        <v xml:space="preserve"> </v>
      </c>
      <c r="V1555" s="161" t="str" cm="1">
        <f t="array" ref="V1555">_xlfn.IFS(O1555="Blaze Shield II",'CALCULO MORTERO'!P1556, O1555="Cafco 400",'CALCULO MORTERO'!Q1556,O1555="Cafco 300",'CALCULO MORTERO'!S1556, AND(OR(O1555="Fire tex 5090", O1555="Fire Tex 5062", O1555="Fire Tex 5120", O1555="Fire Control"),Q1555&gt;0), "CERT.",TRUE,"-")</f>
        <v>-</v>
      </c>
    </row>
    <row r="1556" spans="1:22" x14ac:dyDescent="0.25">
      <c r="A1556" s="168"/>
      <c r="B1556" s="876"/>
      <c r="C1556" s="161"/>
      <c r="D1556" s="161"/>
      <c r="E1556" s="161"/>
      <c r="F1556" s="41"/>
      <c r="G1556" s="161"/>
      <c r="H1556" s="161"/>
      <c r="I1556" s="166"/>
      <c r="J1556" s="162"/>
      <c r="K1556" s="161"/>
      <c r="L1556" s="161"/>
      <c r="M1556" s="169"/>
      <c r="N1556" s="163" t="str">
        <f t="shared" si="28"/>
        <v/>
      </c>
      <c r="O1556" s="41"/>
      <c r="P1556" s="41"/>
      <c r="Q1556" s="161" t="str">
        <f>+IF(OR(O1556="Fire Control",O1556="Fire Tex 5062",O1556="Fire Tex 5090",O1556="Fire Tex 5120"),'CALCULO PINTURA'!P1557," ")</f>
        <v xml:space="preserve"> </v>
      </c>
      <c r="R1556" s="164" t="str">
        <f>+IF(OR(O1556="Fire Control",O1556="Fire Tex 5062",O1556="Fire Tex 5090",O1556="Fire Tex 5120"),'CALCULO PINTURA'!R1557," ")</f>
        <v xml:space="preserve"> </v>
      </c>
      <c r="S1556" s="164" t="str">
        <f>+IF(OR(O1556="Fire Control",O1556="Fire Tex 5062",O1556="Fire Tex 5090",O1556="Fire Tex 5120"),'CALCULO PINTURA'!S1557," ")</f>
        <v xml:space="preserve"> </v>
      </c>
      <c r="T1556" s="874" t="str">
        <f>+IF(OR(O1556="Blaze Shield II",O1556="Cafco 400",O1556="Cafco 300"),'CALCULO MORTERO'!N1562," ")</f>
        <v xml:space="preserve"> </v>
      </c>
      <c r="U1556" s="875" t="str">
        <f>+IF(OR(O1556="Blaze Shield II",O1556="Cafco 400",O1556="Cafco 300"),'CALCULO MORTERO'!O1562," ")</f>
        <v xml:space="preserve"> </v>
      </c>
      <c r="V1556" s="161" t="str" cm="1">
        <f t="array" ref="V1556">_xlfn.IFS(O1556="Blaze Shield II",'CALCULO MORTERO'!P1557, O1556="Cafco 400",'CALCULO MORTERO'!Q1557,O1556="Cafco 300",'CALCULO MORTERO'!S1557, AND(OR(O1556="Fire tex 5090", O1556="Fire Tex 5062", O1556="Fire Tex 5120", O1556="Fire Control"),Q1556&gt;0), "CERT.",TRUE,"-")</f>
        <v>-</v>
      </c>
    </row>
    <row r="1557" spans="1:22" x14ac:dyDescent="0.25">
      <c r="A1557" s="168"/>
      <c r="B1557" s="876"/>
      <c r="C1557" s="161"/>
      <c r="D1557" s="161"/>
      <c r="E1557" s="161"/>
      <c r="F1557" s="41"/>
      <c r="G1557" s="161"/>
      <c r="H1557" s="161"/>
      <c r="I1557" s="166"/>
      <c r="J1557" s="162"/>
      <c r="K1557" s="161"/>
      <c r="L1557" s="161"/>
      <c r="M1557" s="169"/>
      <c r="N1557" s="163" t="str">
        <f t="shared" si="28"/>
        <v/>
      </c>
      <c r="O1557" s="41"/>
      <c r="P1557" s="41"/>
      <c r="Q1557" s="161" t="str">
        <f>+IF(OR(O1557="Fire Control",O1557="Fire Tex 5062",O1557="Fire Tex 5090",O1557="Fire Tex 5120"),'CALCULO PINTURA'!P1558," ")</f>
        <v xml:space="preserve"> </v>
      </c>
      <c r="R1557" s="164" t="str">
        <f>+IF(OR(O1557="Fire Control",O1557="Fire Tex 5062",O1557="Fire Tex 5090",O1557="Fire Tex 5120"),'CALCULO PINTURA'!R1558," ")</f>
        <v xml:space="preserve"> </v>
      </c>
      <c r="S1557" s="164" t="str">
        <f>+IF(OR(O1557="Fire Control",O1557="Fire Tex 5062",O1557="Fire Tex 5090",O1557="Fire Tex 5120"),'CALCULO PINTURA'!S1558," ")</f>
        <v xml:space="preserve"> </v>
      </c>
      <c r="T1557" s="874" t="str">
        <f>+IF(OR(O1557="Blaze Shield II",O1557="Cafco 400",O1557="Cafco 300"),'CALCULO MORTERO'!N1563," ")</f>
        <v xml:space="preserve"> </v>
      </c>
      <c r="U1557" s="875" t="str">
        <f>+IF(OR(O1557="Blaze Shield II",O1557="Cafco 400",O1557="Cafco 300"),'CALCULO MORTERO'!O1563," ")</f>
        <v xml:space="preserve"> </v>
      </c>
      <c r="V1557" s="161" t="str" cm="1">
        <f t="array" ref="V1557">_xlfn.IFS(O1557="Blaze Shield II",'CALCULO MORTERO'!P1558, O1557="Cafco 400",'CALCULO MORTERO'!Q1558,O1557="Cafco 300",'CALCULO MORTERO'!S1558, AND(OR(O1557="Fire tex 5090", O1557="Fire Tex 5062", O1557="Fire Tex 5120", O1557="Fire Control"),Q1557&gt;0), "CERT.",TRUE,"-")</f>
        <v>-</v>
      </c>
    </row>
    <row r="1558" spans="1:22" x14ac:dyDescent="0.25">
      <c r="A1558" s="168"/>
      <c r="B1558" s="876"/>
      <c r="C1558" s="161"/>
      <c r="D1558" s="161"/>
      <c r="E1558" s="161"/>
      <c r="F1558" s="41"/>
      <c r="G1558" s="161"/>
      <c r="H1558" s="161"/>
      <c r="I1558" s="166"/>
      <c r="J1558" s="162"/>
      <c r="K1558" s="161"/>
      <c r="L1558" s="161"/>
      <c r="M1558" s="169"/>
      <c r="N1558" s="163" t="str">
        <f t="shared" si="28"/>
        <v/>
      </c>
      <c r="O1558" s="41"/>
      <c r="P1558" s="41"/>
      <c r="Q1558" s="161" t="str">
        <f>+IF(OR(O1558="Fire Control",O1558="Fire Tex 5062",O1558="Fire Tex 5090",O1558="Fire Tex 5120"),'CALCULO PINTURA'!P1559," ")</f>
        <v xml:space="preserve"> </v>
      </c>
      <c r="R1558" s="164" t="str">
        <f>+IF(OR(O1558="Fire Control",O1558="Fire Tex 5062",O1558="Fire Tex 5090",O1558="Fire Tex 5120"),'CALCULO PINTURA'!R1559," ")</f>
        <v xml:space="preserve"> </v>
      </c>
      <c r="S1558" s="164" t="str">
        <f>+IF(OR(O1558="Fire Control",O1558="Fire Tex 5062",O1558="Fire Tex 5090",O1558="Fire Tex 5120"),'CALCULO PINTURA'!S1559," ")</f>
        <v xml:space="preserve"> </v>
      </c>
      <c r="T1558" s="874" t="str">
        <f>+IF(OR(O1558="Blaze Shield II",O1558="Cafco 400",O1558="Cafco 300"),'CALCULO MORTERO'!N1564," ")</f>
        <v xml:space="preserve"> </v>
      </c>
      <c r="U1558" s="875" t="str">
        <f>+IF(OR(O1558="Blaze Shield II",O1558="Cafco 400",O1558="Cafco 300"),'CALCULO MORTERO'!O1564," ")</f>
        <v xml:space="preserve"> </v>
      </c>
      <c r="V1558" s="161" t="str" cm="1">
        <f t="array" ref="V1558">_xlfn.IFS(O1558="Blaze Shield II",'CALCULO MORTERO'!P1559, O1558="Cafco 400",'CALCULO MORTERO'!Q1559,O1558="Cafco 300",'CALCULO MORTERO'!S1559, AND(OR(O1558="Fire tex 5090", O1558="Fire Tex 5062", O1558="Fire Tex 5120", O1558="Fire Control"),Q1558&gt;0), "CERT.",TRUE,"-")</f>
        <v>-</v>
      </c>
    </row>
    <row r="1559" spans="1:22" x14ac:dyDescent="0.25">
      <c r="A1559" s="168"/>
      <c r="B1559" s="876"/>
      <c r="C1559" s="161"/>
      <c r="D1559" s="161"/>
      <c r="E1559" s="161"/>
      <c r="F1559" s="41"/>
      <c r="G1559" s="161"/>
      <c r="H1559" s="161"/>
      <c r="I1559" s="166"/>
      <c r="J1559" s="162"/>
      <c r="K1559" s="161"/>
      <c r="L1559" s="161"/>
      <c r="M1559" s="169"/>
      <c r="N1559" s="163" t="str">
        <f t="shared" si="28"/>
        <v/>
      </c>
      <c r="O1559" s="41"/>
      <c r="P1559" s="41"/>
      <c r="Q1559" s="161" t="str">
        <f>+IF(OR(O1559="Fire Control",O1559="Fire Tex 5062",O1559="Fire Tex 5090",O1559="Fire Tex 5120"),'CALCULO PINTURA'!P1560," ")</f>
        <v xml:space="preserve"> </v>
      </c>
      <c r="R1559" s="164" t="str">
        <f>+IF(OR(O1559="Fire Control",O1559="Fire Tex 5062",O1559="Fire Tex 5090",O1559="Fire Tex 5120"),'CALCULO PINTURA'!R1560," ")</f>
        <v xml:space="preserve"> </v>
      </c>
      <c r="S1559" s="164" t="str">
        <f>+IF(OR(O1559="Fire Control",O1559="Fire Tex 5062",O1559="Fire Tex 5090",O1559="Fire Tex 5120"),'CALCULO PINTURA'!S1560," ")</f>
        <v xml:space="preserve"> </v>
      </c>
      <c r="T1559" s="874" t="str">
        <f>+IF(OR(O1559="Blaze Shield II",O1559="Cafco 400",O1559="Cafco 300"),'CALCULO MORTERO'!N1565," ")</f>
        <v xml:space="preserve"> </v>
      </c>
      <c r="U1559" s="875" t="str">
        <f>+IF(OR(O1559="Blaze Shield II",O1559="Cafco 400",O1559="Cafco 300"),'CALCULO MORTERO'!O1565," ")</f>
        <v xml:space="preserve"> </v>
      </c>
      <c r="V1559" s="161" t="str" cm="1">
        <f t="array" ref="V1559">_xlfn.IFS(O1559="Blaze Shield II",'CALCULO MORTERO'!P1560, O1559="Cafco 400",'CALCULO MORTERO'!Q1560,O1559="Cafco 300",'CALCULO MORTERO'!S1560, AND(OR(O1559="Fire tex 5090", O1559="Fire Tex 5062", O1559="Fire Tex 5120", O1559="Fire Control"),Q1559&gt;0), "CERT.",TRUE,"-")</f>
        <v>-</v>
      </c>
    </row>
    <row r="1560" spans="1:22" x14ac:dyDescent="0.25">
      <c r="A1560" s="168"/>
      <c r="B1560" s="876"/>
      <c r="C1560" s="161"/>
      <c r="D1560" s="161"/>
      <c r="E1560" s="161"/>
      <c r="F1560" s="41"/>
      <c r="G1560" s="161"/>
      <c r="H1560" s="161"/>
      <c r="I1560" s="166"/>
      <c r="J1560" s="162"/>
      <c r="K1560" s="161"/>
      <c r="L1560" s="161"/>
      <c r="M1560" s="169"/>
      <c r="N1560" s="163" t="str">
        <f t="shared" si="28"/>
        <v/>
      </c>
      <c r="O1560" s="41"/>
      <c r="P1560" s="41"/>
      <c r="Q1560" s="161" t="str">
        <f>+IF(OR(O1560="Fire Control",O1560="Fire Tex 5062",O1560="Fire Tex 5090",O1560="Fire Tex 5120"),'CALCULO PINTURA'!P1561," ")</f>
        <v xml:space="preserve"> </v>
      </c>
      <c r="R1560" s="164" t="str">
        <f>+IF(OR(O1560="Fire Control",O1560="Fire Tex 5062",O1560="Fire Tex 5090",O1560="Fire Tex 5120"),'CALCULO PINTURA'!R1561," ")</f>
        <v xml:space="preserve"> </v>
      </c>
      <c r="S1560" s="164" t="str">
        <f>+IF(OR(O1560="Fire Control",O1560="Fire Tex 5062",O1560="Fire Tex 5090",O1560="Fire Tex 5120"),'CALCULO PINTURA'!S1561," ")</f>
        <v xml:space="preserve"> </v>
      </c>
      <c r="T1560" s="874" t="str">
        <f>+IF(OR(O1560="Blaze Shield II",O1560="Cafco 400",O1560="Cafco 300"),'CALCULO MORTERO'!N1566," ")</f>
        <v xml:space="preserve"> </v>
      </c>
      <c r="U1560" s="875" t="str">
        <f>+IF(OR(O1560="Blaze Shield II",O1560="Cafco 400",O1560="Cafco 300"),'CALCULO MORTERO'!O1566," ")</f>
        <v xml:space="preserve"> </v>
      </c>
      <c r="V1560" s="161" t="str" cm="1">
        <f t="array" ref="V1560">_xlfn.IFS(O1560="Blaze Shield II",'CALCULO MORTERO'!P1561, O1560="Cafco 400",'CALCULO MORTERO'!Q1561,O1560="Cafco 300",'CALCULO MORTERO'!S1561, AND(OR(O1560="Fire tex 5090", O1560="Fire Tex 5062", O1560="Fire Tex 5120", O1560="Fire Control"),Q1560&gt;0), "CERT.",TRUE,"-")</f>
        <v>-</v>
      </c>
    </row>
    <row r="1561" spans="1:22" x14ac:dyDescent="0.25">
      <c r="A1561" s="168"/>
      <c r="B1561" s="876"/>
      <c r="C1561" s="161"/>
      <c r="D1561" s="161"/>
      <c r="E1561" s="161"/>
      <c r="F1561" s="41"/>
      <c r="G1561" s="161"/>
      <c r="H1561" s="161"/>
      <c r="I1561" s="166"/>
      <c r="J1561" s="162"/>
      <c r="K1561" s="161"/>
      <c r="L1561" s="161"/>
      <c r="M1561" s="163"/>
      <c r="N1561" s="163" t="str">
        <f t="shared" si="28"/>
        <v/>
      </c>
      <c r="O1561" s="41"/>
      <c r="P1561" s="41"/>
      <c r="Q1561" s="161" t="str">
        <f>+IF(OR(O1561="Fire Control",O1561="Fire Tex 5062",O1561="Fire Tex 5090",O1561="Fire Tex 5120"),'CALCULO PINTURA'!P1562," ")</f>
        <v xml:space="preserve"> </v>
      </c>
      <c r="R1561" s="164" t="str">
        <f>+IF(OR(O1561="Fire Control",O1561="Fire Tex 5062",O1561="Fire Tex 5090",O1561="Fire Tex 5120"),'CALCULO PINTURA'!R1562," ")</f>
        <v xml:space="preserve"> </v>
      </c>
      <c r="S1561" s="164" t="str">
        <f>+IF(OR(O1561="Fire Control",O1561="Fire Tex 5062",O1561="Fire Tex 5090",O1561="Fire Tex 5120"),'CALCULO PINTURA'!S1562," ")</f>
        <v xml:space="preserve"> </v>
      </c>
      <c r="T1561" s="874" t="str">
        <f>+IF(OR(O1561="Blaze Shield II",O1561="Cafco 400",O1561="Cafco 300"),'CALCULO MORTERO'!N1567," ")</f>
        <v xml:space="preserve"> </v>
      </c>
      <c r="U1561" s="875" t="str">
        <f>+IF(OR(O1561="Blaze Shield II",O1561="Cafco 400",O1561="Cafco 300"),'CALCULO MORTERO'!O1567," ")</f>
        <v xml:space="preserve"> </v>
      </c>
      <c r="V1561" s="161" t="str" cm="1">
        <f t="array" ref="V1561">_xlfn.IFS(O1561="Blaze Shield II",'CALCULO MORTERO'!P1562, O1561="Cafco 400",'CALCULO MORTERO'!Q1562,O1561="Cafco 300",'CALCULO MORTERO'!S1562, AND(OR(O1561="Fire tex 5090", O1561="Fire Tex 5062", O1561="Fire Tex 5120", O1561="Fire Control"),Q1561&gt;0), "CERT.",TRUE,"-")</f>
        <v>-</v>
      </c>
    </row>
    <row r="1562" spans="1:22" x14ac:dyDescent="0.25">
      <c r="A1562" s="168"/>
      <c r="B1562" s="876"/>
      <c r="C1562" s="161"/>
      <c r="D1562" s="161"/>
      <c r="E1562" s="161"/>
      <c r="F1562" s="41"/>
      <c r="G1562" s="161"/>
      <c r="H1562" s="161"/>
      <c r="I1562" s="166"/>
      <c r="J1562" s="162"/>
      <c r="K1562" s="161"/>
      <c r="L1562" s="161"/>
      <c r="M1562" s="163"/>
      <c r="N1562" s="163" t="str">
        <f t="shared" si="28"/>
        <v/>
      </c>
      <c r="O1562" s="41"/>
      <c r="P1562" s="41"/>
      <c r="Q1562" s="161" t="str">
        <f>+IF(OR(O1562="Fire Control",O1562="Fire Tex 5062",O1562="Fire Tex 5090",O1562="Fire Tex 5120"),'CALCULO PINTURA'!P1563," ")</f>
        <v xml:space="preserve"> </v>
      </c>
      <c r="R1562" s="164" t="str">
        <f>+IF(OR(O1562="Fire Control",O1562="Fire Tex 5062",O1562="Fire Tex 5090",O1562="Fire Tex 5120"),'CALCULO PINTURA'!R1563," ")</f>
        <v xml:space="preserve"> </v>
      </c>
      <c r="S1562" s="164" t="str">
        <f>+IF(OR(O1562="Fire Control",O1562="Fire Tex 5062",O1562="Fire Tex 5090",O1562="Fire Tex 5120"),'CALCULO PINTURA'!S1563," ")</f>
        <v xml:space="preserve"> </v>
      </c>
      <c r="T1562" s="874" t="str">
        <f>+IF(OR(O1562="Blaze Shield II",O1562="Cafco 400",O1562="Cafco 300"),'CALCULO MORTERO'!N1568," ")</f>
        <v xml:space="preserve"> </v>
      </c>
      <c r="U1562" s="875" t="str">
        <f>+IF(OR(O1562="Blaze Shield II",O1562="Cafco 400",O1562="Cafco 300"),'CALCULO MORTERO'!O1568," ")</f>
        <v xml:space="preserve"> </v>
      </c>
      <c r="V1562" s="161" t="str" cm="1">
        <f t="array" ref="V1562">_xlfn.IFS(O1562="Blaze Shield II",'CALCULO MORTERO'!P1563, O1562="Cafco 400",'CALCULO MORTERO'!Q1563,O1562="Cafco 300",'CALCULO MORTERO'!S1563, AND(OR(O1562="Fire tex 5090", O1562="Fire Tex 5062", O1562="Fire Tex 5120", O1562="Fire Control"),Q1562&gt;0), "CERT.",TRUE,"-")</f>
        <v>-</v>
      </c>
    </row>
    <row r="1563" spans="1:22" x14ac:dyDescent="0.25">
      <c r="A1563" s="168"/>
      <c r="B1563" s="876"/>
      <c r="C1563" s="161"/>
      <c r="D1563" s="161"/>
      <c r="E1563" s="161"/>
      <c r="F1563" s="41"/>
      <c r="G1563" s="161"/>
      <c r="H1563" s="161"/>
      <c r="I1563" s="166"/>
      <c r="J1563" s="162"/>
      <c r="K1563" s="161"/>
      <c r="L1563" s="161"/>
      <c r="M1563" s="169"/>
      <c r="N1563" s="163" t="str">
        <f t="shared" si="28"/>
        <v/>
      </c>
      <c r="O1563" s="41"/>
      <c r="P1563" s="41"/>
      <c r="Q1563" s="161" t="str">
        <f>+IF(OR(O1563="Fire Control",O1563="Fire Tex 5062",O1563="Fire Tex 5090",O1563="Fire Tex 5120"),'CALCULO PINTURA'!P1564," ")</f>
        <v xml:space="preserve"> </v>
      </c>
      <c r="R1563" s="164" t="str">
        <f>+IF(OR(O1563="Fire Control",O1563="Fire Tex 5062",O1563="Fire Tex 5090",O1563="Fire Tex 5120"),'CALCULO PINTURA'!R1564," ")</f>
        <v xml:space="preserve"> </v>
      </c>
      <c r="S1563" s="164" t="str">
        <f>+IF(OR(O1563="Fire Control",O1563="Fire Tex 5062",O1563="Fire Tex 5090",O1563="Fire Tex 5120"),'CALCULO PINTURA'!S1564," ")</f>
        <v xml:space="preserve"> </v>
      </c>
      <c r="T1563" s="874" t="str">
        <f>+IF(OR(O1563="Blaze Shield II",O1563="Cafco 400",O1563="Cafco 300"),'CALCULO MORTERO'!N1569," ")</f>
        <v xml:space="preserve"> </v>
      </c>
      <c r="U1563" s="875" t="str">
        <f>+IF(OR(O1563="Blaze Shield II",O1563="Cafco 400",O1563="Cafco 300"),'CALCULO MORTERO'!O1569," ")</f>
        <v xml:space="preserve"> </v>
      </c>
      <c r="V1563" s="161" t="str" cm="1">
        <f t="array" ref="V1563">_xlfn.IFS(O1563="Blaze Shield II",'CALCULO MORTERO'!P1564, O1563="Cafco 400",'CALCULO MORTERO'!Q1564,O1563="Cafco 300",'CALCULO MORTERO'!S1564, AND(OR(O1563="Fire tex 5090", O1563="Fire Tex 5062", O1563="Fire Tex 5120", O1563="Fire Control"),Q1563&gt;0), "CERT.",TRUE,"-")</f>
        <v>-</v>
      </c>
    </row>
    <row r="1564" spans="1:22" x14ac:dyDescent="0.25">
      <c r="A1564" s="168"/>
      <c r="B1564" s="876"/>
      <c r="C1564" s="161"/>
      <c r="D1564" s="161"/>
      <c r="E1564" s="161"/>
      <c r="F1564" s="41"/>
      <c r="G1564" s="161"/>
      <c r="H1564" s="161"/>
      <c r="I1564" s="166"/>
      <c r="J1564" s="162"/>
      <c r="K1564" s="161"/>
      <c r="L1564" s="161"/>
      <c r="M1564" s="169"/>
      <c r="N1564" s="163" t="str">
        <f t="shared" si="28"/>
        <v/>
      </c>
      <c r="O1564" s="41"/>
      <c r="P1564" s="41"/>
      <c r="Q1564" s="161" t="str">
        <f>+IF(OR(O1564="Fire Control",O1564="Fire Tex 5062",O1564="Fire Tex 5090",O1564="Fire Tex 5120"),'CALCULO PINTURA'!P1565," ")</f>
        <v xml:space="preserve"> </v>
      </c>
      <c r="R1564" s="164" t="str">
        <f>+IF(OR(O1564="Fire Control",O1564="Fire Tex 5062",O1564="Fire Tex 5090",O1564="Fire Tex 5120"),'CALCULO PINTURA'!R1565," ")</f>
        <v xml:space="preserve"> </v>
      </c>
      <c r="S1564" s="164" t="str">
        <f>+IF(OR(O1564="Fire Control",O1564="Fire Tex 5062",O1564="Fire Tex 5090",O1564="Fire Tex 5120"),'CALCULO PINTURA'!S1565," ")</f>
        <v xml:space="preserve"> </v>
      </c>
      <c r="T1564" s="874" t="str">
        <f>+IF(OR(O1564="Blaze Shield II",O1564="Cafco 400",O1564="Cafco 300"),'CALCULO MORTERO'!N1570," ")</f>
        <v xml:space="preserve"> </v>
      </c>
      <c r="U1564" s="875" t="str">
        <f>+IF(OR(O1564="Blaze Shield II",O1564="Cafco 400",O1564="Cafco 300"),'CALCULO MORTERO'!O1570," ")</f>
        <v xml:space="preserve"> </v>
      </c>
      <c r="V1564" s="161" t="str" cm="1">
        <f t="array" ref="V1564">_xlfn.IFS(O1564="Blaze Shield II",'CALCULO MORTERO'!P1565, O1564="Cafco 400",'CALCULO MORTERO'!Q1565,O1564="Cafco 300",'CALCULO MORTERO'!S1565, AND(OR(O1564="Fire tex 5090", O1564="Fire Tex 5062", O1564="Fire Tex 5120", O1564="Fire Control"),Q1564&gt;0), "CERT.",TRUE,"-")</f>
        <v>-</v>
      </c>
    </row>
    <row r="1565" spans="1:22" x14ac:dyDescent="0.25">
      <c r="A1565" s="168"/>
      <c r="B1565" s="876"/>
      <c r="C1565" s="161"/>
      <c r="D1565" s="161"/>
      <c r="E1565" s="161"/>
      <c r="F1565" s="41"/>
      <c r="G1565" s="161"/>
      <c r="H1565" s="161"/>
      <c r="I1565" s="166"/>
      <c r="J1565" s="162"/>
      <c r="K1565" s="161"/>
      <c r="L1565" s="161"/>
      <c r="M1565" s="169"/>
      <c r="N1565" s="163" t="str">
        <f t="shared" si="28"/>
        <v/>
      </c>
      <c r="O1565" s="41"/>
      <c r="P1565" s="41"/>
      <c r="Q1565" s="161" t="str">
        <f>+IF(OR(O1565="Fire Control",O1565="Fire Tex 5062",O1565="Fire Tex 5090",O1565="Fire Tex 5120"),'CALCULO PINTURA'!P1566," ")</f>
        <v xml:space="preserve"> </v>
      </c>
      <c r="R1565" s="164" t="str">
        <f>+IF(OR(O1565="Fire Control",O1565="Fire Tex 5062",O1565="Fire Tex 5090",O1565="Fire Tex 5120"),'CALCULO PINTURA'!R1566," ")</f>
        <v xml:space="preserve"> </v>
      </c>
      <c r="S1565" s="164" t="str">
        <f>+IF(OR(O1565="Fire Control",O1565="Fire Tex 5062",O1565="Fire Tex 5090",O1565="Fire Tex 5120"),'CALCULO PINTURA'!S1566," ")</f>
        <v xml:space="preserve"> </v>
      </c>
      <c r="T1565" s="874" t="str">
        <f>+IF(OR(O1565="Blaze Shield II",O1565="Cafco 400",O1565="Cafco 300"),'CALCULO MORTERO'!N1571," ")</f>
        <v xml:space="preserve"> </v>
      </c>
      <c r="U1565" s="875" t="str">
        <f>+IF(OR(O1565="Blaze Shield II",O1565="Cafco 400",O1565="Cafco 300"),'CALCULO MORTERO'!O1571," ")</f>
        <v xml:space="preserve"> </v>
      </c>
      <c r="V1565" s="161" t="str" cm="1">
        <f t="array" ref="V1565">_xlfn.IFS(O1565="Blaze Shield II",'CALCULO MORTERO'!P1566, O1565="Cafco 400",'CALCULO MORTERO'!Q1566,O1565="Cafco 300",'CALCULO MORTERO'!S1566, AND(OR(O1565="Fire tex 5090", O1565="Fire Tex 5062", O1565="Fire Tex 5120", O1565="Fire Control"),Q1565&gt;0), "CERT.",TRUE,"-")</f>
        <v>-</v>
      </c>
    </row>
    <row r="1566" spans="1:22" x14ac:dyDescent="0.25">
      <c r="A1566" s="168"/>
      <c r="B1566" s="876"/>
      <c r="C1566" s="161"/>
      <c r="D1566" s="161"/>
      <c r="E1566" s="161"/>
      <c r="F1566" s="41"/>
      <c r="G1566" s="161"/>
      <c r="H1566" s="161"/>
      <c r="I1566" s="166"/>
      <c r="J1566" s="162"/>
      <c r="K1566" s="161"/>
      <c r="L1566" s="161"/>
      <c r="M1566" s="169"/>
      <c r="N1566" s="163" t="str">
        <f t="shared" si="28"/>
        <v/>
      </c>
      <c r="O1566" s="41"/>
      <c r="P1566" s="41"/>
      <c r="Q1566" s="161" t="str">
        <f>+IF(OR(O1566="Fire Control",O1566="Fire Tex 5062",O1566="Fire Tex 5090",O1566="Fire Tex 5120"),'CALCULO PINTURA'!P1567," ")</f>
        <v xml:space="preserve"> </v>
      </c>
      <c r="R1566" s="164" t="str">
        <f>+IF(OR(O1566="Fire Control",O1566="Fire Tex 5062",O1566="Fire Tex 5090",O1566="Fire Tex 5120"),'CALCULO PINTURA'!R1567," ")</f>
        <v xml:space="preserve"> </v>
      </c>
      <c r="S1566" s="164" t="str">
        <f>+IF(OR(O1566="Fire Control",O1566="Fire Tex 5062",O1566="Fire Tex 5090",O1566="Fire Tex 5120"),'CALCULO PINTURA'!S1567," ")</f>
        <v xml:space="preserve"> </v>
      </c>
      <c r="T1566" s="874" t="str">
        <f>+IF(OR(O1566="Blaze Shield II",O1566="Cafco 400",O1566="Cafco 300"),'CALCULO MORTERO'!N1572," ")</f>
        <v xml:space="preserve"> </v>
      </c>
      <c r="U1566" s="875" t="str">
        <f>+IF(OR(O1566="Blaze Shield II",O1566="Cafco 400",O1566="Cafco 300"),'CALCULO MORTERO'!O1572," ")</f>
        <v xml:space="preserve"> </v>
      </c>
      <c r="V1566" s="161" t="str" cm="1">
        <f t="array" ref="V1566">_xlfn.IFS(O1566="Blaze Shield II",'CALCULO MORTERO'!P1567, O1566="Cafco 400",'CALCULO MORTERO'!Q1567,O1566="Cafco 300",'CALCULO MORTERO'!S1567, AND(OR(O1566="Fire tex 5090", O1566="Fire Tex 5062", O1566="Fire Tex 5120", O1566="Fire Control"),Q1566&gt;0), "CERT.",TRUE,"-")</f>
        <v>-</v>
      </c>
    </row>
    <row r="1567" spans="1:22" x14ac:dyDescent="0.25">
      <c r="A1567" s="168"/>
      <c r="B1567" s="876"/>
      <c r="C1567" s="161"/>
      <c r="D1567" s="161"/>
      <c r="E1567" s="161"/>
      <c r="F1567" s="41"/>
      <c r="G1567" s="161"/>
      <c r="H1567" s="161"/>
      <c r="I1567" s="166"/>
      <c r="J1567" s="162"/>
      <c r="K1567" s="161"/>
      <c r="L1567" s="161"/>
      <c r="M1567" s="169"/>
      <c r="N1567" s="163" t="str">
        <f t="shared" si="28"/>
        <v/>
      </c>
      <c r="O1567" s="41"/>
      <c r="P1567" s="41"/>
      <c r="Q1567" s="161" t="str">
        <f>+IF(OR(O1567="Fire Control",O1567="Fire Tex 5062",O1567="Fire Tex 5090",O1567="Fire Tex 5120"),'CALCULO PINTURA'!P1568," ")</f>
        <v xml:space="preserve"> </v>
      </c>
      <c r="R1567" s="164" t="str">
        <f>+IF(OR(O1567="Fire Control",O1567="Fire Tex 5062",O1567="Fire Tex 5090",O1567="Fire Tex 5120"),'CALCULO PINTURA'!R1568," ")</f>
        <v xml:space="preserve"> </v>
      </c>
      <c r="S1567" s="164" t="str">
        <f>+IF(OR(O1567="Fire Control",O1567="Fire Tex 5062",O1567="Fire Tex 5090",O1567="Fire Tex 5120"),'CALCULO PINTURA'!S1568," ")</f>
        <v xml:space="preserve"> </v>
      </c>
      <c r="T1567" s="874" t="str">
        <f>+IF(OR(O1567="Blaze Shield II",O1567="Cafco 400",O1567="Cafco 300"),'CALCULO MORTERO'!N1573," ")</f>
        <v xml:space="preserve"> </v>
      </c>
      <c r="U1567" s="875" t="str">
        <f>+IF(OR(O1567="Blaze Shield II",O1567="Cafco 400",O1567="Cafco 300"),'CALCULO MORTERO'!O1573," ")</f>
        <v xml:space="preserve"> </v>
      </c>
      <c r="V1567" s="161" t="str" cm="1">
        <f t="array" ref="V1567">_xlfn.IFS(O1567="Blaze Shield II",'CALCULO MORTERO'!P1568, O1567="Cafco 400",'CALCULO MORTERO'!Q1568,O1567="Cafco 300",'CALCULO MORTERO'!S1568, AND(OR(O1567="Fire tex 5090", O1567="Fire Tex 5062", O1567="Fire Tex 5120", O1567="Fire Control"),Q1567&gt;0), "CERT.",TRUE,"-")</f>
        <v>-</v>
      </c>
    </row>
    <row r="1568" spans="1:22" x14ac:dyDescent="0.25">
      <c r="A1568" s="168"/>
      <c r="B1568" s="876"/>
      <c r="C1568" s="161"/>
      <c r="D1568" s="161"/>
      <c r="E1568" s="161"/>
      <c r="F1568" s="41"/>
      <c r="G1568" s="161"/>
      <c r="H1568" s="161"/>
      <c r="I1568" s="166"/>
      <c r="J1568" s="162"/>
      <c r="K1568" s="161"/>
      <c r="L1568" s="161"/>
      <c r="M1568" s="163"/>
      <c r="N1568" s="163" t="str">
        <f t="shared" si="28"/>
        <v/>
      </c>
      <c r="O1568" s="41"/>
      <c r="P1568" s="41"/>
      <c r="Q1568" s="161" t="str">
        <f>+IF(OR(O1568="Fire Control",O1568="Fire Tex 5062",O1568="Fire Tex 5090",O1568="Fire Tex 5120"),'CALCULO PINTURA'!P1569," ")</f>
        <v xml:space="preserve"> </v>
      </c>
      <c r="R1568" s="164" t="str">
        <f>+IF(OR(O1568="Fire Control",O1568="Fire Tex 5062",O1568="Fire Tex 5090",O1568="Fire Tex 5120"),'CALCULO PINTURA'!R1569," ")</f>
        <v xml:space="preserve"> </v>
      </c>
      <c r="S1568" s="164" t="str">
        <f>+IF(OR(O1568="Fire Control",O1568="Fire Tex 5062",O1568="Fire Tex 5090",O1568="Fire Tex 5120"),'CALCULO PINTURA'!S1569," ")</f>
        <v xml:space="preserve"> </v>
      </c>
      <c r="T1568" s="874" t="str">
        <f>+IF(OR(O1568="Blaze Shield II",O1568="Cafco 400",O1568="Cafco 300"),'CALCULO MORTERO'!N1574," ")</f>
        <v xml:space="preserve"> </v>
      </c>
      <c r="U1568" s="875" t="str">
        <f>+IF(OR(O1568="Blaze Shield II",O1568="Cafco 400",O1568="Cafco 300"),'CALCULO MORTERO'!O1574," ")</f>
        <v xml:space="preserve"> </v>
      </c>
      <c r="V1568" s="161" t="str" cm="1">
        <f t="array" ref="V1568">_xlfn.IFS(O1568="Blaze Shield II",'CALCULO MORTERO'!P1569, O1568="Cafco 400",'CALCULO MORTERO'!Q1569,O1568="Cafco 300",'CALCULO MORTERO'!S1569, AND(OR(O1568="Fire tex 5090", O1568="Fire Tex 5062", O1568="Fire Tex 5120", O1568="Fire Control"),Q1568&gt;0), "CERT.",TRUE,"-")</f>
        <v>-</v>
      </c>
    </row>
    <row r="1569" spans="1:22" x14ac:dyDescent="0.25">
      <c r="A1569" s="168"/>
      <c r="B1569" s="876"/>
      <c r="C1569" s="161"/>
      <c r="D1569" s="161"/>
      <c r="E1569" s="161"/>
      <c r="F1569" s="41"/>
      <c r="G1569" s="161"/>
      <c r="H1569" s="161"/>
      <c r="I1569" s="166"/>
      <c r="J1569" s="162"/>
      <c r="K1569" s="161"/>
      <c r="L1569" s="161"/>
      <c r="M1569" s="163"/>
      <c r="N1569" s="163" t="str">
        <f t="shared" si="28"/>
        <v/>
      </c>
      <c r="O1569" s="41"/>
      <c r="P1569" s="41"/>
      <c r="Q1569" s="161" t="str">
        <f>+IF(OR(O1569="Fire Control",O1569="Fire Tex 5062",O1569="Fire Tex 5090",O1569="Fire Tex 5120"),'CALCULO PINTURA'!P1570," ")</f>
        <v xml:space="preserve"> </v>
      </c>
      <c r="R1569" s="164" t="str">
        <f>+IF(OR(O1569="Fire Control",O1569="Fire Tex 5062",O1569="Fire Tex 5090",O1569="Fire Tex 5120"),'CALCULO PINTURA'!R1570," ")</f>
        <v xml:space="preserve"> </v>
      </c>
      <c r="S1569" s="164" t="str">
        <f>+IF(OR(O1569="Fire Control",O1569="Fire Tex 5062",O1569="Fire Tex 5090",O1569="Fire Tex 5120"),'CALCULO PINTURA'!S1570," ")</f>
        <v xml:space="preserve"> </v>
      </c>
      <c r="T1569" s="874" t="str">
        <f>+IF(OR(O1569="Blaze Shield II",O1569="Cafco 400",O1569="Cafco 300"),'CALCULO MORTERO'!N1575," ")</f>
        <v xml:space="preserve"> </v>
      </c>
      <c r="U1569" s="875" t="str">
        <f>+IF(OR(O1569="Blaze Shield II",O1569="Cafco 400",O1569="Cafco 300"),'CALCULO MORTERO'!O1575," ")</f>
        <v xml:space="preserve"> </v>
      </c>
      <c r="V1569" s="161" t="str" cm="1">
        <f t="array" ref="V1569">_xlfn.IFS(O1569="Blaze Shield II",'CALCULO MORTERO'!P1570, O1569="Cafco 400",'CALCULO MORTERO'!Q1570,O1569="Cafco 300",'CALCULO MORTERO'!S1570, AND(OR(O1569="Fire tex 5090", O1569="Fire Tex 5062", O1569="Fire Tex 5120", O1569="Fire Control"),Q1569&gt;0), "CERT.",TRUE,"-")</f>
        <v>-</v>
      </c>
    </row>
    <row r="1570" spans="1:22" x14ac:dyDescent="0.25">
      <c r="A1570" s="168"/>
      <c r="B1570" s="876"/>
      <c r="C1570" s="161"/>
      <c r="D1570" s="161"/>
      <c r="E1570" s="161"/>
      <c r="F1570" s="41"/>
      <c r="G1570" s="161"/>
      <c r="H1570" s="161"/>
      <c r="I1570" s="166"/>
      <c r="J1570" s="162"/>
      <c r="K1570" s="161"/>
      <c r="L1570" s="161"/>
      <c r="M1570" s="163"/>
      <c r="N1570" s="163" t="str">
        <f t="shared" si="28"/>
        <v/>
      </c>
      <c r="O1570" s="41"/>
      <c r="P1570" s="41"/>
      <c r="Q1570" s="161" t="str">
        <f>+IF(OR(O1570="Fire Control",O1570="Fire Tex 5062",O1570="Fire Tex 5090",O1570="Fire Tex 5120"),'CALCULO PINTURA'!P1571," ")</f>
        <v xml:space="preserve"> </v>
      </c>
      <c r="R1570" s="164" t="str">
        <f>+IF(OR(O1570="Fire Control",O1570="Fire Tex 5062",O1570="Fire Tex 5090",O1570="Fire Tex 5120"),'CALCULO PINTURA'!R1571," ")</f>
        <v xml:space="preserve"> </v>
      </c>
      <c r="S1570" s="164" t="str">
        <f>+IF(OR(O1570="Fire Control",O1570="Fire Tex 5062",O1570="Fire Tex 5090",O1570="Fire Tex 5120"),'CALCULO PINTURA'!S1571," ")</f>
        <v xml:space="preserve"> </v>
      </c>
      <c r="T1570" s="874" t="str">
        <f>+IF(OR(O1570="Blaze Shield II",O1570="Cafco 400",O1570="Cafco 300"),'CALCULO MORTERO'!N1576," ")</f>
        <v xml:space="preserve"> </v>
      </c>
      <c r="U1570" s="875" t="str">
        <f>+IF(OR(O1570="Blaze Shield II",O1570="Cafco 400",O1570="Cafco 300"),'CALCULO MORTERO'!O1576," ")</f>
        <v xml:space="preserve"> </v>
      </c>
      <c r="V1570" s="161" t="str" cm="1">
        <f t="array" ref="V1570">_xlfn.IFS(O1570="Blaze Shield II",'CALCULO MORTERO'!P1571, O1570="Cafco 400",'CALCULO MORTERO'!Q1571,O1570="Cafco 300",'CALCULO MORTERO'!S1571, AND(OR(O1570="Fire tex 5090", O1570="Fire Tex 5062", O1570="Fire Tex 5120", O1570="Fire Control"),Q1570&gt;0), "CERT.",TRUE,"-")</f>
        <v>-</v>
      </c>
    </row>
    <row r="1571" spans="1:22" x14ac:dyDescent="0.25">
      <c r="A1571" s="168"/>
      <c r="B1571" s="876"/>
      <c r="C1571" s="161"/>
      <c r="D1571" s="161"/>
      <c r="E1571" s="161"/>
      <c r="F1571" s="41"/>
      <c r="G1571" s="161"/>
      <c r="H1571" s="161"/>
      <c r="I1571" s="166"/>
      <c r="J1571" s="162"/>
      <c r="K1571" s="161"/>
      <c r="L1571" s="161"/>
      <c r="M1571" s="163"/>
      <c r="N1571" s="163" t="str">
        <f t="shared" si="28"/>
        <v/>
      </c>
      <c r="O1571" s="41"/>
      <c r="P1571" s="41"/>
      <c r="Q1571" s="161" t="str">
        <f>+IF(OR(O1571="Fire Control",O1571="Fire Tex 5062",O1571="Fire Tex 5090",O1571="Fire Tex 5120"),'CALCULO PINTURA'!P1572," ")</f>
        <v xml:space="preserve"> </v>
      </c>
      <c r="R1571" s="164" t="str">
        <f>+IF(OR(O1571="Fire Control",O1571="Fire Tex 5062",O1571="Fire Tex 5090",O1571="Fire Tex 5120"),'CALCULO PINTURA'!R1572," ")</f>
        <v xml:space="preserve"> </v>
      </c>
      <c r="S1571" s="164" t="str">
        <f>+IF(OR(O1571="Fire Control",O1571="Fire Tex 5062",O1571="Fire Tex 5090",O1571="Fire Tex 5120"),'CALCULO PINTURA'!S1572," ")</f>
        <v xml:space="preserve"> </v>
      </c>
      <c r="T1571" s="874" t="str">
        <f>+IF(OR(O1571="Blaze Shield II",O1571="Cafco 400",O1571="Cafco 300"),'CALCULO MORTERO'!N1577," ")</f>
        <v xml:space="preserve"> </v>
      </c>
      <c r="U1571" s="875" t="str">
        <f>+IF(OR(O1571="Blaze Shield II",O1571="Cafco 400",O1571="Cafco 300"),'CALCULO MORTERO'!O1577," ")</f>
        <v xml:space="preserve"> </v>
      </c>
      <c r="V1571" s="161" t="str" cm="1">
        <f t="array" ref="V1571">_xlfn.IFS(O1571="Blaze Shield II",'CALCULO MORTERO'!P1572, O1571="Cafco 400",'CALCULO MORTERO'!Q1572,O1571="Cafco 300",'CALCULO MORTERO'!S1572, AND(OR(O1571="Fire tex 5090", O1571="Fire Tex 5062", O1571="Fire Tex 5120", O1571="Fire Control"),Q1571&gt;0), "CERT.",TRUE,"-")</f>
        <v>-</v>
      </c>
    </row>
    <row r="1572" spans="1:22" x14ac:dyDescent="0.25">
      <c r="A1572" s="168"/>
      <c r="B1572" s="876"/>
      <c r="C1572" s="161"/>
      <c r="D1572" s="161"/>
      <c r="E1572" s="161"/>
      <c r="F1572" s="41"/>
      <c r="G1572" s="161"/>
      <c r="H1572" s="161"/>
      <c r="I1572" s="166"/>
      <c r="J1572" s="162"/>
      <c r="K1572" s="161"/>
      <c r="L1572" s="161"/>
      <c r="M1572" s="163"/>
      <c r="N1572" s="163" t="str">
        <f t="shared" si="28"/>
        <v/>
      </c>
      <c r="O1572" s="41"/>
      <c r="P1572" s="41"/>
      <c r="Q1572" s="161" t="str">
        <f>+IF(OR(O1572="Fire Control",O1572="Fire Tex 5062",O1572="Fire Tex 5090",O1572="Fire Tex 5120"),'CALCULO PINTURA'!P1573," ")</f>
        <v xml:space="preserve"> </v>
      </c>
      <c r="R1572" s="164" t="str">
        <f>+IF(OR(O1572="Fire Control",O1572="Fire Tex 5062",O1572="Fire Tex 5090",O1572="Fire Tex 5120"),'CALCULO PINTURA'!R1573," ")</f>
        <v xml:space="preserve"> </v>
      </c>
      <c r="S1572" s="164" t="str">
        <f>+IF(OR(O1572="Fire Control",O1572="Fire Tex 5062",O1572="Fire Tex 5090",O1572="Fire Tex 5120"),'CALCULO PINTURA'!S1573," ")</f>
        <v xml:space="preserve"> </v>
      </c>
      <c r="T1572" s="874" t="str">
        <f>+IF(OR(O1572="Blaze Shield II",O1572="Cafco 400",O1572="Cafco 300"),'CALCULO MORTERO'!N1578," ")</f>
        <v xml:space="preserve"> </v>
      </c>
      <c r="U1572" s="875" t="str">
        <f>+IF(OR(O1572="Blaze Shield II",O1572="Cafco 400",O1572="Cafco 300"),'CALCULO MORTERO'!O1578," ")</f>
        <v xml:space="preserve"> </v>
      </c>
      <c r="V1572" s="161" t="str" cm="1">
        <f t="array" ref="V1572">_xlfn.IFS(O1572="Blaze Shield II",'CALCULO MORTERO'!P1573, O1572="Cafco 400",'CALCULO MORTERO'!Q1573,O1572="Cafco 300",'CALCULO MORTERO'!S1573, AND(OR(O1572="Fire tex 5090", O1572="Fire Tex 5062", O1572="Fire Tex 5120", O1572="Fire Control"),Q1572&gt;0), "CERT.",TRUE,"-")</f>
        <v>-</v>
      </c>
    </row>
    <row r="1573" spans="1:22" x14ac:dyDescent="0.25">
      <c r="A1573" s="168"/>
      <c r="B1573" s="876"/>
      <c r="C1573" s="161"/>
      <c r="D1573" s="161"/>
      <c r="E1573" s="161"/>
      <c r="F1573" s="41"/>
      <c r="G1573" s="161"/>
      <c r="H1573" s="161"/>
      <c r="I1573" s="166"/>
      <c r="J1573" s="162"/>
      <c r="K1573" s="161"/>
      <c r="L1573" s="161"/>
      <c r="M1573" s="163"/>
      <c r="N1573" s="163" t="str">
        <f t="shared" si="28"/>
        <v/>
      </c>
      <c r="O1573" s="41"/>
      <c r="P1573" s="41"/>
      <c r="Q1573" s="161" t="str">
        <f>+IF(OR(O1573="Fire Control",O1573="Fire Tex 5062",O1573="Fire Tex 5090",O1573="Fire Tex 5120"),'CALCULO PINTURA'!P1574," ")</f>
        <v xml:space="preserve"> </v>
      </c>
      <c r="R1573" s="164" t="str">
        <f>+IF(OR(O1573="Fire Control",O1573="Fire Tex 5062",O1573="Fire Tex 5090",O1573="Fire Tex 5120"),'CALCULO PINTURA'!R1574," ")</f>
        <v xml:space="preserve"> </v>
      </c>
      <c r="S1573" s="164" t="str">
        <f>+IF(OR(O1573="Fire Control",O1573="Fire Tex 5062",O1573="Fire Tex 5090",O1573="Fire Tex 5120"),'CALCULO PINTURA'!S1574," ")</f>
        <v xml:space="preserve"> </v>
      </c>
      <c r="T1573" s="874" t="str">
        <f>+IF(OR(O1573="Blaze Shield II",O1573="Cafco 400",O1573="Cafco 300"),'CALCULO MORTERO'!N1579," ")</f>
        <v xml:space="preserve"> </v>
      </c>
      <c r="U1573" s="875" t="str">
        <f>+IF(OR(O1573="Blaze Shield II",O1573="Cafco 400",O1573="Cafco 300"),'CALCULO MORTERO'!O1579," ")</f>
        <v xml:space="preserve"> </v>
      </c>
      <c r="V1573" s="161" t="str" cm="1">
        <f t="array" ref="V1573">_xlfn.IFS(O1573="Blaze Shield II",'CALCULO MORTERO'!P1574, O1573="Cafco 400",'CALCULO MORTERO'!Q1574,O1573="Cafco 300",'CALCULO MORTERO'!S1574, AND(OR(O1573="Fire tex 5090", O1573="Fire Tex 5062", O1573="Fire Tex 5120", O1573="Fire Control"),Q1573&gt;0), "CERT.",TRUE,"-")</f>
        <v>-</v>
      </c>
    </row>
    <row r="1574" spans="1:22" x14ac:dyDescent="0.25">
      <c r="A1574" s="168"/>
      <c r="B1574" s="876"/>
      <c r="C1574" s="161"/>
      <c r="D1574" s="161"/>
      <c r="E1574" s="161"/>
      <c r="F1574" s="41"/>
      <c r="G1574" s="161"/>
      <c r="H1574" s="161"/>
      <c r="I1574" s="166"/>
      <c r="J1574" s="162"/>
      <c r="K1574" s="161"/>
      <c r="L1574" s="161"/>
      <c r="M1574" s="163"/>
      <c r="N1574" s="163" t="str">
        <f t="shared" si="28"/>
        <v/>
      </c>
      <c r="O1574" s="41"/>
      <c r="P1574" s="41"/>
      <c r="Q1574" s="161" t="str">
        <f>+IF(OR(O1574="Fire Control",O1574="Fire Tex 5062",O1574="Fire Tex 5090",O1574="Fire Tex 5120"),'CALCULO PINTURA'!P1575," ")</f>
        <v xml:space="preserve"> </v>
      </c>
      <c r="R1574" s="164" t="str">
        <f>+IF(OR(O1574="Fire Control",O1574="Fire Tex 5062",O1574="Fire Tex 5090",O1574="Fire Tex 5120"),'CALCULO PINTURA'!R1575," ")</f>
        <v xml:space="preserve"> </v>
      </c>
      <c r="S1574" s="164" t="str">
        <f>+IF(OR(O1574="Fire Control",O1574="Fire Tex 5062",O1574="Fire Tex 5090",O1574="Fire Tex 5120"),'CALCULO PINTURA'!S1575," ")</f>
        <v xml:space="preserve"> </v>
      </c>
      <c r="T1574" s="874" t="str">
        <f>+IF(OR(O1574="Blaze Shield II",O1574="Cafco 400",O1574="Cafco 300"),'CALCULO MORTERO'!N1580," ")</f>
        <v xml:space="preserve"> </v>
      </c>
      <c r="U1574" s="875" t="str">
        <f>+IF(OR(O1574="Blaze Shield II",O1574="Cafco 400",O1574="Cafco 300"),'CALCULO MORTERO'!O1580," ")</f>
        <v xml:space="preserve"> </v>
      </c>
      <c r="V1574" s="161" t="str" cm="1">
        <f t="array" ref="V1574">_xlfn.IFS(O1574="Blaze Shield II",'CALCULO MORTERO'!P1575, O1574="Cafco 400",'CALCULO MORTERO'!Q1575,O1574="Cafco 300",'CALCULO MORTERO'!S1575, AND(OR(O1574="Fire tex 5090", O1574="Fire Tex 5062", O1574="Fire Tex 5120", O1574="Fire Control"),Q1574&gt;0), "CERT.",TRUE,"-")</f>
        <v>-</v>
      </c>
    </row>
    <row r="1575" spans="1:22" x14ac:dyDescent="0.25">
      <c r="A1575" s="168"/>
      <c r="B1575" s="876"/>
      <c r="C1575" s="161"/>
      <c r="D1575" s="161"/>
      <c r="E1575" s="161"/>
      <c r="F1575" s="41"/>
      <c r="G1575" s="161"/>
      <c r="H1575" s="161"/>
      <c r="I1575" s="166"/>
      <c r="J1575" s="162"/>
      <c r="K1575" s="161"/>
      <c r="L1575" s="161"/>
      <c r="M1575" s="163"/>
      <c r="N1575" s="163" t="str">
        <f t="shared" si="28"/>
        <v/>
      </c>
      <c r="O1575" s="41"/>
      <c r="P1575" s="41"/>
      <c r="Q1575" s="161" t="str">
        <f>+IF(OR(O1575="Fire Control",O1575="Fire Tex 5062",O1575="Fire Tex 5090",O1575="Fire Tex 5120"),'CALCULO PINTURA'!P1576," ")</f>
        <v xml:space="preserve"> </v>
      </c>
      <c r="R1575" s="164" t="str">
        <f>+IF(OR(O1575="Fire Control",O1575="Fire Tex 5062",O1575="Fire Tex 5090",O1575="Fire Tex 5120"),'CALCULO PINTURA'!R1576," ")</f>
        <v xml:space="preserve"> </v>
      </c>
      <c r="S1575" s="164" t="str">
        <f>+IF(OR(O1575="Fire Control",O1575="Fire Tex 5062",O1575="Fire Tex 5090",O1575="Fire Tex 5120"),'CALCULO PINTURA'!S1576," ")</f>
        <v xml:space="preserve"> </v>
      </c>
      <c r="T1575" s="874" t="str">
        <f>+IF(OR(O1575="Blaze Shield II",O1575="Cafco 400",O1575="Cafco 300"),'CALCULO MORTERO'!N1581," ")</f>
        <v xml:space="preserve"> </v>
      </c>
      <c r="U1575" s="875" t="str">
        <f>+IF(OR(O1575="Blaze Shield II",O1575="Cafco 400",O1575="Cafco 300"),'CALCULO MORTERO'!O1581," ")</f>
        <v xml:space="preserve"> </v>
      </c>
      <c r="V1575" s="161" t="str" cm="1">
        <f t="array" ref="V1575">_xlfn.IFS(O1575="Blaze Shield II",'CALCULO MORTERO'!P1576, O1575="Cafco 400",'CALCULO MORTERO'!Q1576,O1575="Cafco 300",'CALCULO MORTERO'!S1576, AND(OR(O1575="Fire tex 5090", O1575="Fire Tex 5062", O1575="Fire Tex 5120", O1575="Fire Control"),Q1575&gt;0), "CERT.",TRUE,"-")</f>
        <v>-</v>
      </c>
    </row>
    <row r="1576" spans="1:22" x14ac:dyDescent="0.25">
      <c r="A1576" s="168"/>
      <c r="B1576" s="876"/>
      <c r="C1576" s="161"/>
      <c r="D1576" s="161"/>
      <c r="E1576" s="161"/>
      <c r="F1576" s="41"/>
      <c r="G1576" s="161"/>
      <c r="H1576" s="161"/>
      <c r="I1576" s="166"/>
      <c r="J1576" s="162"/>
      <c r="K1576" s="161"/>
      <c r="L1576" s="161"/>
      <c r="M1576" s="163"/>
      <c r="N1576" s="163" t="str">
        <f t="shared" si="28"/>
        <v/>
      </c>
      <c r="O1576" s="41"/>
      <c r="P1576" s="41"/>
      <c r="Q1576" s="161" t="str">
        <f>+IF(OR(O1576="Fire Control",O1576="Fire Tex 5062",O1576="Fire Tex 5090",O1576="Fire Tex 5120"),'CALCULO PINTURA'!P1577," ")</f>
        <v xml:space="preserve"> </v>
      </c>
      <c r="R1576" s="164" t="str">
        <f>+IF(OR(O1576="Fire Control",O1576="Fire Tex 5062",O1576="Fire Tex 5090",O1576="Fire Tex 5120"),'CALCULO PINTURA'!R1577," ")</f>
        <v xml:space="preserve"> </v>
      </c>
      <c r="S1576" s="164" t="str">
        <f>+IF(OR(O1576="Fire Control",O1576="Fire Tex 5062",O1576="Fire Tex 5090",O1576="Fire Tex 5120"),'CALCULO PINTURA'!S1577," ")</f>
        <v xml:space="preserve"> </v>
      </c>
      <c r="T1576" s="874" t="str">
        <f>+IF(OR(O1576="Blaze Shield II",O1576="Cafco 400",O1576="Cafco 300"),'CALCULO MORTERO'!N1582," ")</f>
        <v xml:space="preserve"> </v>
      </c>
      <c r="U1576" s="875" t="str">
        <f>+IF(OR(O1576="Blaze Shield II",O1576="Cafco 400",O1576="Cafco 300"),'CALCULO MORTERO'!O1582," ")</f>
        <v xml:space="preserve"> </v>
      </c>
      <c r="V1576" s="161" t="str" cm="1">
        <f t="array" ref="V1576">_xlfn.IFS(O1576="Blaze Shield II",'CALCULO MORTERO'!P1577, O1576="Cafco 400",'CALCULO MORTERO'!Q1577,O1576="Cafco 300",'CALCULO MORTERO'!S1577, AND(OR(O1576="Fire tex 5090", O1576="Fire Tex 5062", O1576="Fire Tex 5120", O1576="Fire Control"),Q1576&gt;0), "CERT.",TRUE,"-")</f>
        <v>-</v>
      </c>
    </row>
    <row r="1577" spans="1:22" x14ac:dyDescent="0.25">
      <c r="A1577" s="168"/>
      <c r="B1577" s="876"/>
      <c r="C1577" s="161"/>
      <c r="D1577" s="161"/>
      <c r="E1577" s="161"/>
      <c r="F1577" s="41"/>
      <c r="G1577" s="161"/>
      <c r="H1577" s="161"/>
      <c r="I1577" s="166"/>
      <c r="J1577" s="162"/>
      <c r="K1577" s="161"/>
      <c r="L1577" s="161"/>
      <c r="M1577" s="169"/>
      <c r="N1577" s="163" t="str">
        <f t="shared" si="28"/>
        <v/>
      </c>
      <c r="O1577" s="41"/>
      <c r="P1577" s="41"/>
      <c r="Q1577" s="161" t="str">
        <f>+IF(OR(O1577="Fire Control",O1577="Fire Tex 5062",O1577="Fire Tex 5090",O1577="Fire Tex 5120"),'CALCULO PINTURA'!P1578," ")</f>
        <v xml:space="preserve"> </v>
      </c>
      <c r="R1577" s="164" t="str">
        <f>+IF(OR(O1577="Fire Control",O1577="Fire Tex 5062",O1577="Fire Tex 5090",O1577="Fire Tex 5120"),'CALCULO PINTURA'!R1578," ")</f>
        <v xml:space="preserve"> </v>
      </c>
      <c r="S1577" s="164" t="str">
        <f>+IF(OR(O1577="Fire Control",O1577="Fire Tex 5062",O1577="Fire Tex 5090",O1577="Fire Tex 5120"),'CALCULO PINTURA'!S1578," ")</f>
        <v xml:space="preserve"> </v>
      </c>
      <c r="T1577" s="874" t="str">
        <f>+IF(OR(O1577="Blaze Shield II",O1577="Cafco 400",O1577="Cafco 300"),'CALCULO MORTERO'!N1583," ")</f>
        <v xml:space="preserve"> </v>
      </c>
      <c r="U1577" s="875" t="str">
        <f>+IF(OR(O1577="Blaze Shield II",O1577="Cafco 400",O1577="Cafco 300"),'CALCULO MORTERO'!O1583," ")</f>
        <v xml:space="preserve"> </v>
      </c>
      <c r="V1577" s="161" t="str" cm="1">
        <f t="array" ref="V1577">_xlfn.IFS(O1577="Blaze Shield II",'CALCULO MORTERO'!P1578, O1577="Cafco 400",'CALCULO MORTERO'!Q1578,O1577="Cafco 300",'CALCULO MORTERO'!S1578, AND(OR(O1577="Fire tex 5090", O1577="Fire Tex 5062", O1577="Fire Tex 5120", O1577="Fire Control"),Q1577&gt;0), "CERT.",TRUE,"-")</f>
        <v>-</v>
      </c>
    </row>
    <row r="1578" spans="1:22" x14ac:dyDescent="0.25">
      <c r="A1578" s="168"/>
      <c r="B1578" s="876"/>
      <c r="C1578" s="161"/>
      <c r="D1578" s="161"/>
      <c r="E1578" s="161"/>
      <c r="F1578" s="41"/>
      <c r="G1578" s="161"/>
      <c r="H1578" s="161"/>
      <c r="I1578" s="166"/>
      <c r="J1578" s="162"/>
      <c r="K1578" s="161"/>
      <c r="L1578" s="161"/>
      <c r="M1578" s="169"/>
      <c r="N1578" s="163" t="str">
        <f t="shared" si="28"/>
        <v/>
      </c>
      <c r="O1578" s="41"/>
      <c r="P1578" s="41"/>
      <c r="Q1578" s="161" t="str">
        <f>+IF(OR(O1578="Fire Control",O1578="Fire Tex 5062",O1578="Fire Tex 5090",O1578="Fire Tex 5120"),'CALCULO PINTURA'!P1579," ")</f>
        <v xml:space="preserve"> </v>
      </c>
      <c r="R1578" s="164" t="str">
        <f>+IF(OR(O1578="Fire Control",O1578="Fire Tex 5062",O1578="Fire Tex 5090",O1578="Fire Tex 5120"),'CALCULO PINTURA'!R1579," ")</f>
        <v xml:space="preserve"> </v>
      </c>
      <c r="S1578" s="164" t="str">
        <f>+IF(OR(O1578="Fire Control",O1578="Fire Tex 5062",O1578="Fire Tex 5090",O1578="Fire Tex 5120"),'CALCULO PINTURA'!S1579," ")</f>
        <v xml:space="preserve"> </v>
      </c>
      <c r="T1578" s="874" t="str">
        <f>+IF(OR(O1578="Blaze Shield II",O1578="Cafco 400",O1578="Cafco 300"),'CALCULO MORTERO'!N1584," ")</f>
        <v xml:space="preserve"> </v>
      </c>
      <c r="U1578" s="875" t="str">
        <f>+IF(OR(O1578="Blaze Shield II",O1578="Cafco 400",O1578="Cafco 300"),'CALCULO MORTERO'!O1584," ")</f>
        <v xml:space="preserve"> </v>
      </c>
      <c r="V1578" s="161" t="str" cm="1">
        <f t="array" ref="V1578">_xlfn.IFS(O1578="Blaze Shield II",'CALCULO MORTERO'!P1579, O1578="Cafco 400",'CALCULO MORTERO'!Q1579,O1578="Cafco 300",'CALCULO MORTERO'!S1579, AND(OR(O1578="Fire tex 5090", O1578="Fire Tex 5062", O1578="Fire Tex 5120", O1578="Fire Control"),Q1578&gt;0), "CERT.",TRUE,"-")</f>
        <v>-</v>
      </c>
    </row>
    <row r="1579" spans="1:22" x14ac:dyDescent="0.25">
      <c r="A1579" s="168"/>
      <c r="B1579" s="876"/>
      <c r="C1579" s="161"/>
      <c r="D1579" s="161"/>
      <c r="E1579" s="161"/>
      <c r="F1579" s="41"/>
      <c r="G1579" s="161"/>
      <c r="H1579" s="161"/>
      <c r="I1579" s="166"/>
      <c r="J1579" s="162"/>
      <c r="K1579" s="161"/>
      <c r="L1579" s="161"/>
      <c r="M1579" s="169"/>
      <c r="N1579" s="163" t="str">
        <f t="shared" si="28"/>
        <v/>
      </c>
      <c r="O1579" s="41"/>
      <c r="P1579" s="41"/>
      <c r="Q1579" s="161" t="str">
        <f>+IF(OR(O1579="Fire Control",O1579="Fire Tex 5062",O1579="Fire Tex 5090",O1579="Fire Tex 5120"),'CALCULO PINTURA'!P1580," ")</f>
        <v xml:space="preserve"> </v>
      </c>
      <c r="R1579" s="164" t="str">
        <f>+IF(OR(O1579="Fire Control",O1579="Fire Tex 5062",O1579="Fire Tex 5090",O1579="Fire Tex 5120"),'CALCULO PINTURA'!R1580," ")</f>
        <v xml:space="preserve"> </v>
      </c>
      <c r="S1579" s="164" t="str">
        <f>+IF(OR(O1579="Fire Control",O1579="Fire Tex 5062",O1579="Fire Tex 5090",O1579="Fire Tex 5120"),'CALCULO PINTURA'!S1580," ")</f>
        <v xml:space="preserve"> </v>
      </c>
      <c r="T1579" s="874" t="str">
        <f>+IF(OR(O1579="Blaze Shield II",O1579="Cafco 400",O1579="Cafco 300"),'CALCULO MORTERO'!N1585," ")</f>
        <v xml:space="preserve"> </v>
      </c>
      <c r="U1579" s="875" t="str">
        <f>+IF(OR(O1579="Blaze Shield II",O1579="Cafco 400",O1579="Cafco 300"),'CALCULO MORTERO'!O1585," ")</f>
        <v xml:space="preserve"> </v>
      </c>
      <c r="V1579" s="161" t="str" cm="1">
        <f t="array" ref="V1579">_xlfn.IFS(O1579="Blaze Shield II",'CALCULO MORTERO'!P1580, O1579="Cafco 400",'CALCULO MORTERO'!Q1580,O1579="Cafco 300",'CALCULO MORTERO'!S1580, AND(OR(O1579="Fire tex 5090", O1579="Fire Tex 5062", O1579="Fire Tex 5120", O1579="Fire Control"),Q1579&gt;0), "CERT.",TRUE,"-")</f>
        <v>-</v>
      </c>
    </row>
    <row r="1580" spans="1:22" x14ac:dyDescent="0.25">
      <c r="A1580" s="168"/>
      <c r="B1580" s="876"/>
      <c r="C1580" s="161"/>
      <c r="D1580" s="161"/>
      <c r="E1580" s="161"/>
      <c r="F1580" s="41"/>
      <c r="G1580" s="161"/>
      <c r="H1580" s="161"/>
      <c r="I1580" s="166"/>
      <c r="J1580" s="162"/>
      <c r="K1580" s="161"/>
      <c r="L1580" s="161"/>
      <c r="M1580" s="169"/>
      <c r="N1580" s="163" t="str">
        <f t="shared" si="28"/>
        <v/>
      </c>
      <c r="O1580" s="41"/>
      <c r="P1580" s="41"/>
      <c r="Q1580" s="161" t="str">
        <f>+IF(OR(O1580="Fire Control",O1580="Fire Tex 5062",O1580="Fire Tex 5090",O1580="Fire Tex 5120"),'CALCULO PINTURA'!P1581," ")</f>
        <v xml:space="preserve"> </v>
      </c>
      <c r="R1580" s="164" t="str">
        <f>+IF(OR(O1580="Fire Control",O1580="Fire Tex 5062",O1580="Fire Tex 5090",O1580="Fire Tex 5120"),'CALCULO PINTURA'!R1581," ")</f>
        <v xml:space="preserve"> </v>
      </c>
      <c r="S1580" s="164" t="str">
        <f>+IF(OR(O1580="Fire Control",O1580="Fire Tex 5062",O1580="Fire Tex 5090",O1580="Fire Tex 5120"),'CALCULO PINTURA'!S1581," ")</f>
        <v xml:space="preserve"> </v>
      </c>
      <c r="T1580" s="874" t="str">
        <f>+IF(OR(O1580="Blaze Shield II",O1580="Cafco 400",O1580="Cafco 300"),'CALCULO MORTERO'!N1586," ")</f>
        <v xml:space="preserve"> </v>
      </c>
      <c r="U1580" s="875" t="str">
        <f>+IF(OR(O1580="Blaze Shield II",O1580="Cafco 400",O1580="Cafco 300"),'CALCULO MORTERO'!O1586," ")</f>
        <v xml:space="preserve"> </v>
      </c>
      <c r="V1580" s="161" t="str" cm="1">
        <f t="array" ref="V1580">_xlfn.IFS(O1580="Blaze Shield II",'CALCULO MORTERO'!P1581, O1580="Cafco 400",'CALCULO MORTERO'!Q1581,O1580="Cafco 300",'CALCULO MORTERO'!S1581, AND(OR(O1580="Fire tex 5090", O1580="Fire Tex 5062", O1580="Fire Tex 5120", O1580="Fire Control"),Q1580&gt;0), "CERT.",TRUE,"-")</f>
        <v>-</v>
      </c>
    </row>
    <row r="1581" spans="1:22" x14ac:dyDescent="0.25">
      <c r="A1581" s="168"/>
      <c r="B1581" s="876"/>
      <c r="C1581" s="161"/>
      <c r="D1581" s="161"/>
      <c r="E1581" s="161"/>
      <c r="F1581" s="41"/>
      <c r="G1581" s="161"/>
      <c r="H1581" s="161"/>
      <c r="I1581" s="166"/>
      <c r="J1581" s="162"/>
      <c r="K1581" s="161"/>
      <c r="L1581" s="161"/>
      <c r="M1581" s="169"/>
      <c r="N1581" s="163" t="str">
        <f t="shared" si="28"/>
        <v/>
      </c>
      <c r="O1581" s="41"/>
      <c r="P1581" s="41"/>
      <c r="Q1581" s="161" t="str">
        <f>+IF(OR(O1581="Fire Control",O1581="Fire Tex 5062",O1581="Fire Tex 5090",O1581="Fire Tex 5120"),'CALCULO PINTURA'!P1582," ")</f>
        <v xml:space="preserve"> </v>
      </c>
      <c r="R1581" s="164" t="str">
        <f>+IF(OR(O1581="Fire Control",O1581="Fire Tex 5062",O1581="Fire Tex 5090",O1581="Fire Tex 5120"),'CALCULO PINTURA'!R1582," ")</f>
        <v xml:space="preserve"> </v>
      </c>
      <c r="S1581" s="164" t="str">
        <f>+IF(OR(O1581="Fire Control",O1581="Fire Tex 5062",O1581="Fire Tex 5090",O1581="Fire Tex 5120"),'CALCULO PINTURA'!S1582," ")</f>
        <v xml:space="preserve"> </v>
      </c>
      <c r="T1581" s="874" t="str">
        <f>+IF(OR(O1581="Blaze Shield II",O1581="Cafco 400",O1581="Cafco 300"),'CALCULO MORTERO'!N1587," ")</f>
        <v xml:space="preserve"> </v>
      </c>
      <c r="U1581" s="875" t="str">
        <f>+IF(OR(O1581="Blaze Shield II",O1581="Cafco 400",O1581="Cafco 300"),'CALCULO MORTERO'!O1587," ")</f>
        <v xml:space="preserve"> </v>
      </c>
      <c r="V1581" s="161" t="str" cm="1">
        <f t="array" ref="V1581">_xlfn.IFS(O1581="Blaze Shield II",'CALCULO MORTERO'!P1582, O1581="Cafco 400",'CALCULO MORTERO'!Q1582,O1581="Cafco 300",'CALCULO MORTERO'!S1582, AND(OR(O1581="Fire tex 5090", O1581="Fire Tex 5062", O1581="Fire Tex 5120", O1581="Fire Control"),Q1581&gt;0), "CERT.",TRUE,"-")</f>
        <v>-</v>
      </c>
    </row>
    <row r="1582" spans="1:22" x14ac:dyDescent="0.25">
      <c r="A1582" s="168"/>
      <c r="B1582" s="876"/>
      <c r="C1582" s="161"/>
      <c r="D1582" s="161"/>
      <c r="E1582" s="161"/>
      <c r="F1582" s="41"/>
      <c r="G1582" s="161"/>
      <c r="H1582" s="161"/>
      <c r="I1582" s="166"/>
      <c r="J1582" s="162"/>
      <c r="K1582" s="161"/>
      <c r="L1582" s="161"/>
      <c r="M1582" s="169"/>
      <c r="N1582" s="163" t="str">
        <f t="shared" si="28"/>
        <v/>
      </c>
      <c r="O1582" s="41"/>
      <c r="P1582" s="41"/>
      <c r="Q1582" s="161" t="str">
        <f>+IF(OR(O1582="Fire Control",O1582="Fire Tex 5062",O1582="Fire Tex 5090",O1582="Fire Tex 5120"),'CALCULO PINTURA'!P1583," ")</f>
        <v xml:space="preserve"> </v>
      </c>
      <c r="R1582" s="164" t="str">
        <f>+IF(OR(O1582="Fire Control",O1582="Fire Tex 5062",O1582="Fire Tex 5090",O1582="Fire Tex 5120"),'CALCULO PINTURA'!R1583," ")</f>
        <v xml:space="preserve"> </v>
      </c>
      <c r="S1582" s="164" t="str">
        <f>+IF(OR(O1582="Fire Control",O1582="Fire Tex 5062",O1582="Fire Tex 5090",O1582="Fire Tex 5120"),'CALCULO PINTURA'!S1583," ")</f>
        <v xml:space="preserve"> </v>
      </c>
      <c r="T1582" s="874" t="str">
        <f>+IF(OR(O1582="Blaze Shield II",O1582="Cafco 400",O1582="Cafco 300"),'CALCULO MORTERO'!N1588," ")</f>
        <v xml:space="preserve"> </v>
      </c>
      <c r="U1582" s="875" t="str">
        <f>+IF(OR(O1582="Blaze Shield II",O1582="Cafco 400",O1582="Cafco 300"),'CALCULO MORTERO'!O1588," ")</f>
        <v xml:space="preserve"> </v>
      </c>
      <c r="V1582" s="161" t="str" cm="1">
        <f t="array" ref="V1582">_xlfn.IFS(O1582="Blaze Shield II",'CALCULO MORTERO'!P1583, O1582="Cafco 400",'CALCULO MORTERO'!Q1583,O1582="Cafco 300",'CALCULO MORTERO'!S1583, AND(OR(O1582="Fire tex 5090", O1582="Fire Tex 5062", O1582="Fire Tex 5120", O1582="Fire Control"),Q1582&gt;0), "CERT.",TRUE,"-")</f>
        <v>-</v>
      </c>
    </row>
    <row r="1583" spans="1:22" x14ac:dyDescent="0.25">
      <c r="A1583" s="168"/>
      <c r="B1583" s="876"/>
      <c r="C1583" s="161"/>
      <c r="D1583" s="161"/>
      <c r="E1583" s="161"/>
      <c r="F1583" s="41"/>
      <c r="G1583" s="161"/>
      <c r="H1583" s="161"/>
      <c r="I1583" s="166"/>
      <c r="J1583" s="162"/>
      <c r="K1583" s="161"/>
      <c r="L1583" s="161"/>
      <c r="M1583" s="169"/>
      <c r="N1583" s="163" t="str">
        <f t="shared" si="28"/>
        <v/>
      </c>
      <c r="O1583" s="41"/>
      <c r="P1583" s="41"/>
      <c r="Q1583" s="161" t="str">
        <f>+IF(OR(O1583="Fire Control",O1583="Fire Tex 5062",O1583="Fire Tex 5090",O1583="Fire Tex 5120"),'CALCULO PINTURA'!P1584," ")</f>
        <v xml:space="preserve"> </v>
      </c>
      <c r="R1583" s="164" t="str">
        <f>+IF(OR(O1583="Fire Control",O1583="Fire Tex 5062",O1583="Fire Tex 5090",O1583="Fire Tex 5120"),'CALCULO PINTURA'!R1584," ")</f>
        <v xml:space="preserve"> </v>
      </c>
      <c r="S1583" s="164" t="str">
        <f>+IF(OR(O1583="Fire Control",O1583="Fire Tex 5062",O1583="Fire Tex 5090",O1583="Fire Tex 5120"),'CALCULO PINTURA'!S1584," ")</f>
        <v xml:space="preserve"> </v>
      </c>
      <c r="T1583" s="874" t="str">
        <f>+IF(OR(O1583="Blaze Shield II",O1583="Cafco 400",O1583="Cafco 300"),'CALCULO MORTERO'!N1589," ")</f>
        <v xml:space="preserve"> </v>
      </c>
      <c r="U1583" s="875" t="str">
        <f>+IF(OR(O1583="Blaze Shield II",O1583="Cafco 400",O1583="Cafco 300"),'CALCULO MORTERO'!O1589," ")</f>
        <v xml:space="preserve"> </v>
      </c>
      <c r="V1583" s="161" t="str" cm="1">
        <f t="array" ref="V1583">_xlfn.IFS(O1583="Blaze Shield II",'CALCULO MORTERO'!P1584, O1583="Cafco 400",'CALCULO MORTERO'!Q1584,O1583="Cafco 300",'CALCULO MORTERO'!S1584, AND(OR(O1583="Fire tex 5090", O1583="Fire Tex 5062", O1583="Fire Tex 5120", O1583="Fire Control"),Q1583&gt;0), "CERT.",TRUE,"-")</f>
        <v>-</v>
      </c>
    </row>
    <row r="1584" spans="1:22" x14ac:dyDescent="0.25">
      <c r="A1584" s="168"/>
      <c r="B1584" s="876"/>
      <c r="C1584" s="161"/>
      <c r="D1584" s="161"/>
      <c r="E1584" s="161"/>
      <c r="F1584" s="41"/>
      <c r="G1584" s="161"/>
      <c r="H1584" s="161"/>
      <c r="I1584" s="166"/>
      <c r="J1584" s="162"/>
      <c r="K1584" s="161"/>
      <c r="L1584" s="161"/>
      <c r="M1584" s="169"/>
      <c r="N1584" s="163" t="str">
        <f t="shared" si="28"/>
        <v/>
      </c>
      <c r="O1584" s="41"/>
      <c r="P1584" s="41"/>
      <c r="Q1584" s="161" t="str">
        <f>+IF(OR(O1584="Fire Control",O1584="Fire Tex 5062",O1584="Fire Tex 5090",O1584="Fire Tex 5120"),'CALCULO PINTURA'!P1585," ")</f>
        <v xml:space="preserve"> </v>
      </c>
      <c r="R1584" s="164" t="str">
        <f>+IF(OR(O1584="Fire Control",O1584="Fire Tex 5062",O1584="Fire Tex 5090",O1584="Fire Tex 5120"),'CALCULO PINTURA'!R1585," ")</f>
        <v xml:space="preserve"> </v>
      </c>
      <c r="S1584" s="164" t="str">
        <f>+IF(OR(O1584="Fire Control",O1584="Fire Tex 5062",O1584="Fire Tex 5090",O1584="Fire Tex 5120"),'CALCULO PINTURA'!S1585," ")</f>
        <v xml:space="preserve"> </v>
      </c>
      <c r="T1584" s="874" t="str">
        <f>+IF(OR(O1584="Blaze Shield II",O1584="Cafco 400",O1584="Cafco 300"),'CALCULO MORTERO'!N1590," ")</f>
        <v xml:space="preserve"> </v>
      </c>
      <c r="U1584" s="875" t="str">
        <f>+IF(OR(O1584="Blaze Shield II",O1584="Cafco 400",O1584="Cafco 300"),'CALCULO MORTERO'!O1590," ")</f>
        <v xml:space="preserve"> </v>
      </c>
      <c r="V1584" s="161" t="str" cm="1">
        <f t="array" ref="V1584">_xlfn.IFS(O1584="Blaze Shield II",'CALCULO MORTERO'!P1585, O1584="Cafco 400",'CALCULO MORTERO'!Q1585,O1584="Cafco 300",'CALCULO MORTERO'!S1585, AND(OR(O1584="Fire tex 5090", O1584="Fire Tex 5062", O1584="Fire Tex 5120", O1584="Fire Control"),Q1584&gt;0), "CERT.",TRUE,"-")</f>
        <v>-</v>
      </c>
    </row>
    <row r="1585" spans="1:22" x14ac:dyDescent="0.25">
      <c r="A1585" s="168"/>
      <c r="B1585" s="876"/>
      <c r="C1585" s="161"/>
      <c r="D1585" s="161"/>
      <c r="E1585" s="161"/>
      <c r="F1585" s="41"/>
      <c r="G1585" s="161"/>
      <c r="H1585" s="161"/>
      <c r="I1585" s="166"/>
      <c r="J1585" s="162"/>
      <c r="K1585" s="161"/>
      <c r="L1585" s="161"/>
      <c r="M1585" s="169"/>
      <c r="N1585" s="163" t="str">
        <f t="shared" si="28"/>
        <v/>
      </c>
      <c r="O1585" s="41"/>
      <c r="P1585" s="41"/>
      <c r="Q1585" s="161" t="str">
        <f>+IF(OR(O1585="Fire Control",O1585="Fire Tex 5062",O1585="Fire Tex 5090",O1585="Fire Tex 5120"),'CALCULO PINTURA'!P1586," ")</f>
        <v xml:space="preserve"> </v>
      </c>
      <c r="R1585" s="164" t="str">
        <f>+IF(OR(O1585="Fire Control",O1585="Fire Tex 5062",O1585="Fire Tex 5090",O1585="Fire Tex 5120"),'CALCULO PINTURA'!R1586," ")</f>
        <v xml:space="preserve"> </v>
      </c>
      <c r="S1585" s="164" t="str">
        <f>+IF(OR(O1585="Fire Control",O1585="Fire Tex 5062",O1585="Fire Tex 5090",O1585="Fire Tex 5120"),'CALCULO PINTURA'!S1586," ")</f>
        <v xml:space="preserve"> </v>
      </c>
      <c r="T1585" s="874" t="str">
        <f>+IF(OR(O1585="Blaze Shield II",O1585="Cafco 400",O1585="Cafco 300"),'CALCULO MORTERO'!N1591," ")</f>
        <v xml:space="preserve"> </v>
      </c>
      <c r="U1585" s="875" t="str">
        <f>+IF(OR(O1585="Blaze Shield II",O1585="Cafco 400",O1585="Cafco 300"),'CALCULO MORTERO'!O1591," ")</f>
        <v xml:space="preserve"> </v>
      </c>
      <c r="V1585" s="161" t="str" cm="1">
        <f t="array" ref="V1585">_xlfn.IFS(O1585="Blaze Shield II",'CALCULO MORTERO'!P1586, O1585="Cafco 400",'CALCULO MORTERO'!Q1586,O1585="Cafco 300",'CALCULO MORTERO'!S1586, AND(OR(O1585="Fire tex 5090", O1585="Fire Tex 5062", O1585="Fire Tex 5120", O1585="Fire Control"),Q1585&gt;0), "CERT.",TRUE,"-")</f>
        <v>-</v>
      </c>
    </row>
    <row r="1586" spans="1:22" x14ac:dyDescent="0.25">
      <c r="A1586" s="168"/>
      <c r="B1586" s="876"/>
      <c r="C1586" s="161"/>
      <c r="D1586" s="161"/>
      <c r="E1586" s="161"/>
      <c r="F1586" s="41"/>
      <c r="G1586" s="161"/>
      <c r="H1586" s="161"/>
      <c r="I1586" s="166"/>
      <c r="J1586" s="162"/>
      <c r="K1586" s="161"/>
      <c r="L1586" s="161"/>
      <c r="M1586" s="169"/>
      <c r="N1586" s="163" t="str">
        <f t="shared" si="28"/>
        <v/>
      </c>
      <c r="O1586" s="41"/>
      <c r="P1586" s="41"/>
      <c r="Q1586" s="161" t="str">
        <f>+IF(OR(O1586="Fire Control",O1586="Fire Tex 5062",O1586="Fire Tex 5090",O1586="Fire Tex 5120"),'CALCULO PINTURA'!P1587," ")</f>
        <v xml:space="preserve"> </v>
      </c>
      <c r="R1586" s="164" t="str">
        <f>+IF(OR(O1586="Fire Control",O1586="Fire Tex 5062",O1586="Fire Tex 5090",O1586="Fire Tex 5120"),'CALCULO PINTURA'!R1587," ")</f>
        <v xml:space="preserve"> </v>
      </c>
      <c r="S1586" s="164" t="str">
        <f>+IF(OR(O1586="Fire Control",O1586="Fire Tex 5062",O1586="Fire Tex 5090",O1586="Fire Tex 5120"),'CALCULO PINTURA'!S1587," ")</f>
        <v xml:space="preserve"> </v>
      </c>
      <c r="T1586" s="874" t="str">
        <f>+IF(OR(O1586="Blaze Shield II",O1586="Cafco 400",O1586="Cafco 300"),'CALCULO MORTERO'!N1592," ")</f>
        <v xml:space="preserve"> </v>
      </c>
      <c r="U1586" s="875" t="str">
        <f>+IF(OR(O1586="Blaze Shield II",O1586="Cafco 400",O1586="Cafco 300"),'CALCULO MORTERO'!O1592," ")</f>
        <v xml:space="preserve"> </v>
      </c>
      <c r="V1586" s="161" t="str" cm="1">
        <f t="array" ref="V1586">_xlfn.IFS(O1586="Blaze Shield II",'CALCULO MORTERO'!P1587, O1586="Cafco 400",'CALCULO MORTERO'!Q1587,O1586="Cafco 300",'CALCULO MORTERO'!S1587, AND(OR(O1586="Fire tex 5090", O1586="Fire Tex 5062", O1586="Fire Tex 5120", O1586="Fire Control"),Q1586&gt;0), "CERT.",TRUE,"-")</f>
        <v>-</v>
      </c>
    </row>
    <row r="1587" spans="1:22" x14ac:dyDescent="0.25">
      <c r="A1587" s="168"/>
      <c r="B1587" s="876"/>
      <c r="C1587" s="161"/>
      <c r="D1587" s="161"/>
      <c r="E1587" s="161"/>
      <c r="F1587" s="41"/>
      <c r="G1587" s="161"/>
      <c r="H1587" s="161"/>
      <c r="I1587" s="166"/>
      <c r="J1587" s="162"/>
      <c r="K1587" s="161"/>
      <c r="L1587" s="161"/>
      <c r="M1587" s="169"/>
      <c r="N1587" s="163" t="str">
        <f t="shared" si="28"/>
        <v/>
      </c>
      <c r="O1587" s="41"/>
      <c r="P1587" s="41"/>
      <c r="Q1587" s="161" t="str">
        <f>+IF(OR(O1587="Fire Control",O1587="Fire Tex 5062",O1587="Fire Tex 5090",O1587="Fire Tex 5120"),'CALCULO PINTURA'!P1588," ")</f>
        <v xml:space="preserve"> </v>
      </c>
      <c r="R1587" s="164" t="str">
        <f>+IF(OR(O1587="Fire Control",O1587="Fire Tex 5062",O1587="Fire Tex 5090",O1587="Fire Tex 5120"),'CALCULO PINTURA'!R1588," ")</f>
        <v xml:space="preserve"> </v>
      </c>
      <c r="S1587" s="164" t="str">
        <f>+IF(OR(O1587="Fire Control",O1587="Fire Tex 5062",O1587="Fire Tex 5090",O1587="Fire Tex 5120"),'CALCULO PINTURA'!S1588," ")</f>
        <v xml:space="preserve"> </v>
      </c>
      <c r="T1587" s="874" t="str">
        <f>+IF(OR(O1587="Blaze Shield II",O1587="Cafco 400",O1587="Cafco 300"),'CALCULO MORTERO'!N1593," ")</f>
        <v xml:space="preserve"> </v>
      </c>
      <c r="U1587" s="875" t="str">
        <f>+IF(OR(O1587="Blaze Shield II",O1587="Cafco 400",O1587="Cafco 300"),'CALCULO MORTERO'!O1593," ")</f>
        <v xml:space="preserve"> </v>
      </c>
      <c r="V1587" s="161" t="str" cm="1">
        <f t="array" ref="V1587">_xlfn.IFS(O1587="Blaze Shield II",'CALCULO MORTERO'!P1588, O1587="Cafco 400",'CALCULO MORTERO'!Q1588,O1587="Cafco 300",'CALCULO MORTERO'!S1588, AND(OR(O1587="Fire tex 5090", O1587="Fire Tex 5062", O1587="Fire Tex 5120", O1587="Fire Control"),Q1587&gt;0), "CERT.",TRUE,"-")</f>
        <v>-</v>
      </c>
    </row>
    <row r="1588" spans="1:22" x14ac:dyDescent="0.25">
      <c r="A1588" s="168"/>
      <c r="B1588" s="876"/>
      <c r="C1588" s="161"/>
      <c r="D1588" s="161"/>
      <c r="E1588" s="161"/>
      <c r="F1588" s="41"/>
      <c r="G1588" s="161"/>
      <c r="H1588" s="161"/>
      <c r="I1588" s="166"/>
      <c r="J1588" s="162"/>
      <c r="K1588" s="161"/>
      <c r="L1588" s="161"/>
      <c r="M1588" s="169"/>
      <c r="N1588" s="163" t="str">
        <f t="shared" si="28"/>
        <v/>
      </c>
      <c r="O1588" s="41"/>
      <c r="P1588" s="41"/>
      <c r="Q1588" s="161" t="str">
        <f>+IF(OR(O1588="Fire Control",O1588="Fire Tex 5062",O1588="Fire Tex 5090",O1588="Fire Tex 5120"),'CALCULO PINTURA'!P1589," ")</f>
        <v xml:space="preserve"> </v>
      </c>
      <c r="R1588" s="164" t="str">
        <f>+IF(OR(O1588="Fire Control",O1588="Fire Tex 5062",O1588="Fire Tex 5090",O1588="Fire Tex 5120"),'CALCULO PINTURA'!R1589," ")</f>
        <v xml:space="preserve"> </v>
      </c>
      <c r="S1588" s="164" t="str">
        <f>+IF(OR(O1588="Fire Control",O1588="Fire Tex 5062",O1588="Fire Tex 5090",O1588="Fire Tex 5120"),'CALCULO PINTURA'!S1589," ")</f>
        <v xml:space="preserve"> </v>
      </c>
      <c r="T1588" s="874" t="str">
        <f>+IF(OR(O1588="Blaze Shield II",O1588="Cafco 400",O1588="Cafco 300"),'CALCULO MORTERO'!N1594," ")</f>
        <v xml:space="preserve"> </v>
      </c>
      <c r="U1588" s="875" t="str">
        <f>+IF(OR(O1588="Blaze Shield II",O1588="Cafco 400",O1588="Cafco 300"),'CALCULO MORTERO'!O1594," ")</f>
        <v xml:space="preserve"> </v>
      </c>
      <c r="V1588" s="161" t="str" cm="1">
        <f t="array" ref="V1588">_xlfn.IFS(O1588="Blaze Shield II",'CALCULO MORTERO'!P1589, O1588="Cafco 400",'CALCULO MORTERO'!Q1589,O1588="Cafco 300",'CALCULO MORTERO'!S1589, AND(OR(O1588="Fire tex 5090", O1588="Fire Tex 5062", O1588="Fire Tex 5120", O1588="Fire Control"),Q1588&gt;0), "CERT.",TRUE,"-")</f>
        <v>-</v>
      </c>
    </row>
    <row r="1589" spans="1:22" x14ac:dyDescent="0.25">
      <c r="A1589" s="168"/>
      <c r="B1589" s="876"/>
      <c r="C1589" s="161"/>
      <c r="D1589" s="161"/>
      <c r="E1589" s="161"/>
      <c r="F1589" s="41"/>
      <c r="G1589" s="161"/>
      <c r="H1589" s="161"/>
      <c r="I1589" s="166"/>
      <c r="J1589" s="162"/>
      <c r="K1589" s="161"/>
      <c r="L1589" s="161"/>
      <c r="M1589" s="169"/>
      <c r="N1589" s="163" t="str">
        <f t="shared" si="28"/>
        <v/>
      </c>
      <c r="O1589" s="41"/>
      <c r="P1589" s="41"/>
      <c r="Q1589" s="161" t="str">
        <f>+IF(OR(O1589="Fire Control",O1589="Fire Tex 5062",O1589="Fire Tex 5090",O1589="Fire Tex 5120"),'CALCULO PINTURA'!P1590," ")</f>
        <v xml:space="preserve"> </v>
      </c>
      <c r="R1589" s="164" t="str">
        <f>+IF(OR(O1589="Fire Control",O1589="Fire Tex 5062",O1589="Fire Tex 5090",O1589="Fire Tex 5120"),'CALCULO PINTURA'!R1590," ")</f>
        <v xml:space="preserve"> </v>
      </c>
      <c r="S1589" s="164" t="str">
        <f>+IF(OR(O1589="Fire Control",O1589="Fire Tex 5062",O1589="Fire Tex 5090",O1589="Fire Tex 5120"),'CALCULO PINTURA'!S1590," ")</f>
        <v xml:space="preserve"> </v>
      </c>
      <c r="T1589" s="874" t="str">
        <f>+IF(OR(O1589="Blaze Shield II",O1589="Cafco 400",O1589="Cafco 300"),'CALCULO MORTERO'!N1595," ")</f>
        <v xml:space="preserve"> </v>
      </c>
      <c r="U1589" s="875" t="str">
        <f>+IF(OR(O1589="Blaze Shield II",O1589="Cafco 400",O1589="Cafco 300"),'CALCULO MORTERO'!O1595," ")</f>
        <v xml:space="preserve"> </v>
      </c>
      <c r="V1589" s="161" t="str" cm="1">
        <f t="array" ref="V1589">_xlfn.IFS(O1589="Blaze Shield II",'CALCULO MORTERO'!P1590, O1589="Cafco 400",'CALCULO MORTERO'!Q1590,O1589="Cafco 300",'CALCULO MORTERO'!S1590, AND(OR(O1589="Fire tex 5090", O1589="Fire Tex 5062", O1589="Fire Tex 5120", O1589="Fire Control"),Q1589&gt;0), "CERT.",TRUE,"-")</f>
        <v>-</v>
      </c>
    </row>
    <row r="1590" spans="1:22" x14ac:dyDescent="0.25">
      <c r="A1590" s="168"/>
      <c r="B1590" s="876"/>
      <c r="C1590" s="161"/>
      <c r="D1590" s="161"/>
      <c r="E1590" s="161"/>
      <c r="F1590" s="41"/>
      <c r="G1590" s="161"/>
      <c r="H1590" s="161"/>
      <c r="I1590" s="166"/>
      <c r="J1590" s="162"/>
      <c r="K1590" s="161"/>
      <c r="L1590" s="161"/>
      <c r="M1590" s="169"/>
      <c r="N1590" s="163" t="str">
        <f t="shared" si="28"/>
        <v/>
      </c>
      <c r="O1590" s="41"/>
      <c r="P1590" s="41"/>
      <c r="Q1590" s="161" t="str">
        <f>+IF(OR(O1590="Fire Control",O1590="Fire Tex 5062",O1590="Fire Tex 5090",O1590="Fire Tex 5120"),'CALCULO PINTURA'!P1591," ")</f>
        <v xml:space="preserve"> </v>
      </c>
      <c r="R1590" s="164" t="str">
        <f>+IF(OR(O1590="Fire Control",O1590="Fire Tex 5062",O1590="Fire Tex 5090",O1590="Fire Tex 5120"),'CALCULO PINTURA'!R1591," ")</f>
        <v xml:space="preserve"> </v>
      </c>
      <c r="S1590" s="164" t="str">
        <f>+IF(OR(O1590="Fire Control",O1590="Fire Tex 5062",O1590="Fire Tex 5090",O1590="Fire Tex 5120"),'CALCULO PINTURA'!S1591," ")</f>
        <v xml:space="preserve"> </v>
      </c>
      <c r="T1590" s="874" t="str">
        <f>+IF(OR(O1590="Blaze Shield II",O1590="Cafco 400",O1590="Cafco 300"),'CALCULO MORTERO'!N1596," ")</f>
        <v xml:space="preserve"> </v>
      </c>
      <c r="U1590" s="875" t="str">
        <f>+IF(OR(O1590="Blaze Shield II",O1590="Cafco 400",O1590="Cafco 300"),'CALCULO MORTERO'!O1596," ")</f>
        <v xml:space="preserve"> </v>
      </c>
      <c r="V1590" s="161" t="str" cm="1">
        <f t="array" ref="V1590">_xlfn.IFS(O1590="Blaze Shield II",'CALCULO MORTERO'!P1591, O1590="Cafco 400",'CALCULO MORTERO'!Q1591,O1590="Cafco 300",'CALCULO MORTERO'!S1591, AND(OR(O1590="Fire tex 5090", O1590="Fire Tex 5062", O1590="Fire Tex 5120", O1590="Fire Control"),Q1590&gt;0), "CERT.",TRUE,"-")</f>
        <v>-</v>
      </c>
    </row>
    <row r="1591" spans="1:22" x14ac:dyDescent="0.25">
      <c r="A1591" s="168"/>
      <c r="B1591" s="876"/>
      <c r="C1591" s="161"/>
      <c r="D1591" s="161"/>
      <c r="E1591" s="161"/>
      <c r="F1591" s="41"/>
      <c r="G1591" s="161"/>
      <c r="H1591" s="161"/>
      <c r="I1591" s="166"/>
      <c r="J1591" s="162"/>
      <c r="K1591" s="161"/>
      <c r="L1591" s="161"/>
      <c r="M1591" s="169"/>
      <c r="N1591" s="163" t="str">
        <f t="shared" si="28"/>
        <v/>
      </c>
      <c r="O1591" s="41"/>
      <c r="P1591" s="41"/>
      <c r="Q1591" s="161" t="str">
        <f>+IF(OR(O1591="Fire Control",O1591="Fire Tex 5062",O1591="Fire Tex 5090",O1591="Fire Tex 5120"),'CALCULO PINTURA'!P1592," ")</f>
        <v xml:space="preserve"> </v>
      </c>
      <c r="R1591" s="164" t="str">
        <f>+IF(OR(O1591="Fire Control",O1591="Fire Tex 5062",O1591="Fire Tex 5090",O1591="Fire Tex 5120"),'CALCULO PINTURA'!R1592," ")</f>
        <v xml:space="preserve"> </v>
      </c>
      <c r="S1591" s="164" t="str">
        <f>+IF(OR(O1591="Fire Control",O1591="Fire Tex 5062",O1591="Fire Tex 5090",O1591="Fire Tex 5120"),'CALCULO PINTURA'!S1592," ")</f>
        <v xml:space="preserve"> </v>
      </c>
      <c r="T1591" s="874" t="str">
        <f>+IF(OR(O1591="Blaze Shield II",O1591="Cafco 400",O1591="Cafco 300"),'CALCULO MORTERO'!N1597," ")</f>
        <v xml:space="preserve"> </v>
      </c>
      <c r="U1591" s="875" t="str">
        <f>+IF(OR(O1591="Blaze Shield II",O1591="Cafco 400",O1591="Cafco 300"),'CALCULO MORTERO'!O1597," ")</f>
        <v xml:space="preserve"> </v>
      </c>
      <c r="V1591" s="161" t="str" cm="1">
        <f t="array" ref="V1591">_xlfn.IFS(O1591="Blaze Shield II",'CALCULO MORTERO'!P1592, O1591="Cafco 400",'CALCULO MORTERO'!Q1592,O1591="Cafco 300",'CALCULO MORTERO'!S1592, AND(OR(O1591="Fire tex 5090", O1591="Fire Tex 5062", O1591="Fire Tex 5120", O1591="Fire Control"),Q1591&gt;0), "CERT.",TRUE,"-")</f>
        <v>-</v>
      </c>
    </row>
    <row r="1592" spans="1:22" x14ac:dyDescent="0.25">
      <c r="A1592" s="168"/>
      <c r="B1592" s="876"/>
      <c r="C1592" s="161"/>
      <c r="D1592" s="161"/>
      <c r="E1592" s="161"/>
      <c r="F1592" s="41"/>
      <c r="G1592" s="161"/>
      <c r="H1592" s="161"/>
      <c r="I1592" s="166"/>
      <c r="J1592" s="162"/>
      <c r="K1592" s="161"/>
      <c r="L1592" s="161"/>
      <c r="M1592" s="169"/>
      <c r="N1592" s="163" t="str">
        <f t="shared" si="28"/>
        <v/>
      </c>
      <c r="O1592" s="41"/>
      <c r="P1592" s="41"/>
      <c r="Q1592" s="161" t="str">
        <f>+IF(OR(O1592="Fire Control",O1592="Fire Tex 5062",O1592="Fire Tex 5090",O1592="Fire Tex 5120"),'CALCULO PINTURA'!P1593," ")</f>
        <v xml:space="preserve"> </v>
      </c>
      <c r="R1592" s="164" t="str">
        <f>+IF(OR(O1592="Fire Control",O1592="Fire Tex 5062",O1592="Fire Tex 5090",O1592="Fire Tex 5120"),'CALCULO PINTURA'!R1593," ")</f>
        <v xml:space="preserve"> </v>
      </c>
      <c r="S1592" s="164" t="str">
        <f>+IF(OR(O1592="Fire Control",O1592="Fire Tex 5062",O1592="Fire Tex 5090",O1592="Fire Tex 5120"),'CALCULO PINTURA'!S1593," ")</f>
        <v xml:space="preserve"> </v>
      </c>
      <c r="T1592" s="874" t="str">
        <f>+IF(OR(O1592="Blaze Shield II",O1592="Cafco 400",O1592="Cafco 300"),'CALCULO MORTERO'!N1598," ")</f>
        <v xml:space="preserve"> </v>
      </c>
      <c r="U1592" s="875" t="str">
        <f>+IF(OR(O1592="Blaze Shield II",O1592="Cafco 400",O1592="Cafco 300"),'CALCULO MORTERO'!O1598," ")</f>
        <v xml:space="preserve"> </v>
      </c>
      <c r="V1592" s="161" t="str" cm="1">
        <f t="array" ref="V1592">_xlfn.IFS(O1592="Blaze Shield II",'CALCULO MORTERO'!P1593, O1592="Cafco 400",'CALCULO MORTERO'!Q1593,O1592="Cafco 300",'CALCULO MORTERO'!S1593, AND(OR(O1592="Fire tex 5090", O1592="Fire Tex 5062", O1592="Fire Tex 5120", O1592="Fire Control"),Q1592&gt;0), "CERT.",TRUE,"-")</f>
        <v>-</v>
      </c>
    </row>
    <row r="1593" spans="1:22" x14ac:dyDescent="0.25">
      <c r="A1593" s="168"/>
      <c r="B1593" s="876"/>
      <c r="C1593" s="161"/>
      <c r="D1593" s="161"/>
      <c r="E1593" s="161"/>
      <c r="F1593" s="41"/>
      <c r="G1593" s="161"/>
      <c r="H1593" s="161"/>
      <c r="I1593" s="166"/>
      <c r="J1593" s="162"/>
      <c r="K1593" s="161"/>
      <c r="L1593" s="161"/>
      <c r="M1593" s="169"/>
      <c r="N1593" s="163" t="str">
        <f t="shared" si="28"/>
        <v/>
      </c>
      <c r="O1593" s="41"/>
      <c r="P1593" s="41"/>
      <c r="Q1593" s="161" t="str">
        <f>+IF(OR(O1593="Fire Control",O1593="Fire Tex 5062",O1593="Fire Tex 5090",O1593="Fire Tex 5120"),'CALCULO PINTURA'!P1594," ")</f>
        <v xml:space="preserve"> </v>
      </c>
      <c r="R1593" s="164" t="str">
        <f>+IF(OR(O1593="Fire Control",O1593="Fire Tex 5062",O1593="Fire Tex 5090",O1593="Fire Tex 5120"),'CALCULO PINTURA'!R1594," ")</f>
        <v xml:space="preserve"> </v>
      </c>
      <c r="S1593" s="164" t="str">
        <f>+IF(OR(O1593="Fire Control",O1593="Fire Tex 5062",O1593="Fire Tex 5090",O1593="Fire Tex 5120"),'CALCULO PINTURA'!S1594," ")</f>
        <v xml:space="preserve"> </v>
      </c>
      <c r="T1593" s="874" t="str">
        <f>+IF(OR(O1593="Blaze Shield II",O1593="Cafco 400",O1593="Cafco 300"),'CALCULO MORTERO'!N1599," ")</f>
        <v xml:space="preserve"> </v>
      </c>
      <c r="U1593" s="875" t="str">
        <f>+IF(OR(O1593="Blaze Shield II",O1593="Cafco 400",O1593="Cafco 300"),'CALCULO MORTERO'!O1599," ")</f>
        <v xml:space="preserve"> </v>
      </c>
      <c r="V1593" s="161" t="str" cm="1">
        <f t="array" ref="V1593">_xlfn.IFS(O1593="Blaze Shield II",'CALCULO MORTERO'!P1594, O1593="Cafco 400",'CALCULO MORTERO'!Q1594,O1593="Cafco 300",'CALCULO MORTERO'!S1594, AND(OR(O1593="Fire tex 5090", O1593="Fire Tex 5062", O1593="Fire Tex 5120", O1593="Fire Control"),Q1593&gt;0), "CERT.",TRUE,"-")</f>
        <v>-</v>
      </c>
    </row>
    <row r="1594" spans="1:22" x14ac:dyDescent="0.25">
      <c r="A1594" s="168"/>
      <c r="B1594" s="876"/>
      <c r="C1594" s="161"/>
      <c r="D1594" s="161"/>
      <c r="E1594" s="161"/>
      <c r="F1594" s="41"/>
      <c r="G1594" s="161"/>
      <c r="H1594" s="161"/>
      <c r="I1594" s="166"/>
      <c r="J1594" s="162"/>
      <c r="K1594" s="161"/>
      <c r="L1594" s="161"/>
      <c r="M1594" s="169"/>
      <c r="N1594" s="163" t="str">
        <f t="shared" si="28"/>
        <v/>
      </c>
      <c r="O1594" s="41"/>
      <c r="P1594" s="41"/>
      <c r="Q1594" s="161" t="str">
        <f>+IF(OR(O1594="Fire Control",O1594="Fire Tex 5062",O1594="Fire Tex 5090",O1594="Fire Tex 5120"),'CALCULO PINTURA'!P1595," ")</f>
        <v xml:space="preserve"> </v>
      </c>
      <c r="R1594" s="164" t="str">
        <f>+IF(OR(O1594="Fire Control",O1594="Fire Tex 5062",O1594="Fire Tex 5090",O1594="Fire Tex 5120"),'CALCULO PINTURA'!R1595," ")</f>
        <v xml:space="preserve"> </v>
      </c>
      <c r="S1594" s="164" t="str">
        <f>+IF(OR(O1594="Fire Control",O1594="Fire Tex 5062",O1594="Fire Tex 5090",O1594="Fire Tex 5120"),'CALCULO PINTURA'!S1595," ")</f>
        <v xml:space="preserve"> </v>
      </c>
      <c r="T1594" s="874" t="str">
        <f>+IF(OR(O1594="Blaze Shield II",O1594="Cafco 400",O1594="Cafco 300"),'CALCULO MORTERO'!N1600," ")</f>
        <v xml:space="preserve"> </v>
      </c>
      <c r="U1594" s="875" t="str">
        <f>+IF(OR(O1594="Blaze Shield II",O1594="Cafco 400",O1594="Cafco 300"),'CALCULO MORTERO'!O1600," ")</f>
        <v xml:space="preserve"> </v>
      </c>
      <c r="V1594" s="161" t="str" cm="1">
        <f t="array" ref="V1594">_xlfn.IFS(O1594="Blaze Shield II",'CALCULO MORTERO'!P1595, O1594="Cafco 400",'CALCULO MORTERO'!Q1595,O1594="Cafco 300",'CALCULO MORTERO'!S1595, AND(OR(O1594="Fire tex 5090", O1594="Fire Tex 5062", O1594="Fire Tex 5120", O1594="Fire Control"),Q1594&gt;0), "CERT.",TRUE,"-")</f>
        <v>-</v>
      </c>
    </row>
    <row r="1595" spans="1:22" x14ac:dyDescent="0.25">
      <c r="A1595" s="168"/>
      <c r="B1595" s="876"/>
      <c r="C1595" s="161"/>
      <c r="D1595" s="161"/>
      <c r="E1595" s="161"/>
      <c r="F1595" s="41"/>
      <c r="G1595" s="161"/>
      <c r="H1595" s="161"/>
      <c r="I1595" s="166"/>
      <c r="J1595" s="162"/>
      <c r="K1595" s="161"/>
      <c r="L1595" s="161"/>
      <c r="M1595" s="169"/>
      <c r="N1595" s="163" t="str">
        <f t="shared" si="28"/>
        <v/>
      </c>
      <c r="O1595" s="41"/>
      <c r="P1595" s="41"/>
      <c r="Q1595" s="161" t="str">
        <f>+IF(OR(O1595="Fire Control",O1595="Fire Tex 5062",O1595="Fire Tex 5090",O1595="Fire Tex 5120"),'CALCULO PINTURA'!P1596," ")</f>
        <v xml:space="preserve"> </v>
      </c>
      <c r="R1595" s="164" t="str">
        <f>+IF(OR(O1595="Fire Control",O1595="Fire Tex 5062",O1595="Fire Tex 5090",O1595="Fire Tex 5120"),'CALCULO PINTURA'!R1596," ")</f>
        <v xml:space="preserve"> </v>
      </c>
      <c r="S1595" s="164" t="str">
        <f>+IF(OR(O1595="Fire Control",O1595="Fire Tex 5062",O1595="Fire Tex 5090",O1595="Fire Tex 5120"),'CALCULO PINTURA'!S1596," ")</f>
        <v xml:space="preserve"> </v>
      </c>
      <c r="T1595" s="874" t="str">
        <f>+IF(OR(O1595="Blaze Shield II",O1595="Cafco 400",O1595="Cafco 300"),'CALCULO MORTERO'!N1601," ")</f>
        <v xml:space="preserve"> </v>
      </c>
      <c r="U1595" s="875" t="str">
        <f>+IF(OR(O1595="Blaze Shield II",O1595="Cafco 400",O1595="Cafco 300"),'CALCULO MORTERO'!O1601," ")</f>
        <v xml:space="preserve"> </v>
      </c>
      <c r="V1595" s="161" t="str" cm="1">
        <f t="array" ref="V1595">_xlfn.IFS(O1595="Blaze Shield II",'CALCULO MORTERO'!P1596, O1595="Cafco 400",'CALCULO MORTERO'!Q1596,O1595="Cafco 300",'CALCULO MORTERO'!S1596, AND(OR(O1595="Fire tex 5090", O1595="Fire Tex 5062", O1595="Fire Tex 5120", O1595="Fire Control"),Q1595&gt;0), "CERT.",TRUE,"-")</f>
        <v>-</v>
      </c>
    </row>
    <row r="1596" spans="1:22" x14ac:dyDescent="0.25">
      <c r="A1596" s="168"/>
      <c r="B1596" s="876"/>
      <c r="C1596" s="161"/>
      <c r="D1596" s="161"/>
      <c r="E1596" s="161"/>
      <c r="F1596" s="41"/>
      <c r="G1596" s="161"/>
      <c r="H1596" s="161"/>
      <c r="I1596" s="166"/>
      <c r="J1596" s="162"/>
      <c r="K1596" s="161"/>
      <c r="L1596" s="161"/>
      <c r="M1596" s="169"/>
      <c r="N1596" s="163" t="str">
        <f t="shared" si="28"/>
        <v/>
      </c>
      <c r="O1596" s="41"/>
      <c r="P1596" s="41"/>
      <c r="Q1596" s="161" t="str">
        <f>+IF(OR(O1596="Fire Control",O1596="Fire Tex 5062",O1596="Fire Tex 5090",O1596="Fire Tex 5120"),'CALCULO PINTURA'!P1597," ")</f>
        <v xml:space="preserve"> </v>
      </c>
      <c r="R1596" s="164" t="str">
        <f>+IF(OR(O1596="Fire Control",O1596="Fire Tex 5062",O1596="Fire Tex 5090",O1596="Fire Tex 5120"),'CALCULO PINTURA'!R1597," ")</f>
        <v xml:space="preserve"> </v>
      </c>
      <c r="S1596" s="164" t="str">
        <f>+IF(OR(O1596="Fire Control",O1596="Fire Tex 5062",O1596="Fire Tex 5090",O1596="Fire Tex 5120"),'CALCULO PINTURA'!S1597," ")</f>
        <v xml:space="preserve"> </v>
      </c>
      <c r="T1596" s="874" t="str">
        <f>+IF(OR(O1596="Blaze Shield II",O1596="Cafco 400",O1596="Cafco 300"),'CALCULO MORTERO'!N1602," ")</f>
        <v xml:space="preserve"> </v>
      </c>
      <c r="U1596" s="875" t="str">
        <f>+IF(OR(O1596="Blaze Shield II",O1596="Cafco 400",O1596="Cafco 300"),'CALCULO MORTERO'!O1602," ")</f>
        <v xml:space="preserve"> </v>
      </c>
      <c r="V1596" s="161" t="str" cm="1">
        <f t="array" ref="V1596">_xlfn.IFS(O1596="Blaze Shield II",'CALCULO MORTERO'!P1597, O1596="Cafco 400",'CALCULO MORTERO'!Q1597,O1596="Cafco 300",'CALCULO MORTERO'!S1597, AND(OR(O1596="Fire tex 5090", O1596="Fire Tex 5062", O1596="Fire Tex 5120", O1596="Fire Control"),Q1596&gt;0), "CERT.",TRUE,"-")</f>
        <v>-</v>
      </c>
    </row>
    <row r="1597" spans="1:22" x14ac:dyDescent="0.25">
      <c r="A1597" s="168"/>
      <c r="B1597" s="876"/>
      <c r="C1597" s="161"/>
      <c r="D1597" s="161"/>
      <c r="E1597" s="161"/>
      <c r="F1597" s="41"/>
      <c r="G1597" s="161"/>
      <c r="H1597" s="161"/>
      <c r="I1597" s="166"/>
      <c r="J1597" s="162"/>
      <c r="K1597" s="161"/>
      <c r="L1597" s="161"/>
      <c r="M1597" s="169"/>
      <c r="N1597" s="163" t="str">
        <f t="shared" si="28"/>
        <v/>
      </c>
      <c r="O1597" s="41"/>
      <c r="P1597" s="41"/>
      <c r="Q1597" s="161" t="str">
        <f>+IF(OR(O1597="Fire Control",O1597="Fire Tex 5062",O1597="Fire Tex 5090",O1597="Fire Tex 5120"),'CALCULO PINTURA'!P1598," ")</f>
        <v xml:space="preserve"> </v>
      </c>
      <c r="R1597" s="164" t="str">
        <f>+IF(OR(O1597="Fire Control",O1597="Fire Tex 5062",O1597="Fire Tex 5090",O1597="Fire Tex 5120"),'CALCULO PINTURA'!R1598," ")</f>
        <v xml:space="preserve"> </v>
      </c>
      <c r="S1597" s="164" t="str">
        <f>+IF(OR(O1597="Fire Control",O1597="Fire Tex 5062",O1597="Fire Tex 5090",O1597="Fire Tex 5120"),'CALCULO PINTURA'!S1598," ")</f>
        <v xml:space="preserve"> </v>
      </c>
      <c r="T1597" s="874" t="str">
        <f>+IF(OR(O1597="Blaze Shield II",O1597="Cafco 400",O1597="Cafco 300"),'CALCULO MORTERO'!N1603," ")</f>
        <v xml:space="preserve"> </v>
      </c>
      <c r="U1597" s="875" t="str">
        <f>+IF(OR(O1597="Blaze Shield II",O1597="Cafco 400",O1597="Cafco 300"),'CALCULO MORTERO'!O1603," ")</f>
        <v xml:space="preserve"> </v>
      </c>
      <c r="V1597" s="161" t="str" cm="1">
        <f t="array" ref="V1597">_xlfn.IFS(O1597="Blaze Shield II",'CALCULO MORTERO'!P1598, O1597="Cafco 400",'CALCULO MORTERO'!Q1598,O1597="Cafco 300",'CALCULO MORTERO'!S1598, AND(OR(O1597="Fire tex 5090", O1597="Fire Tex 5062", O1597="Fire Tex 5120", O1597="Fire Control"),Q1597&gt;0), "CERT.",TRUE,"-")</f>
        <v>-</v>
      </c>
    </row>
    <row r="1598" spans="1:22" x14ac:dyDescent="0.25">
      <c r="A1598" s="168"/>
      <c r="B1598" s="876"/>
      <c r="C1598" s="161"/>
      <c r="D1598" s="161"/>
      <c r="E1598" s="161"/>
      <c r="F1598" s="41"/>
      <c r="G1598" s="161"/>
      <c r="H1598" s="161"/>
      <c r="I1598" s="166"/>
      <c r="J1598" s="162"/>
      <c r="K1598" s="161"/>
      <c r="L1598" s="161"/>
      <c r="M1598" s="169"/>
      <c r="N1598" s="163" t="str">
        <f t="shared" si="28"/>
        <v/>
      </c>
      <c r="O1598" s="41"/>
      <c r="P1598" s="41"/>
      <c r="Q1598" s="161" t="str">
        <f>+IF(OR(O1598="Fire Control",O1598="Fire Tex 5062",O1598="Fire Tex 5090",O1598="Fire Tex 5120"),'CALCULO PINTURA'!P1599," ")</f>
        <v xml:space="preserve"> </v>
      </c>
      <c r="R1598" s="164" t="str">
        <f>+IF(OR(O1598="Fire Control",O1598="Fire Tex 5062",O1598="Fire Tex 5090",O1598="Fire Tex 5120"),'CALCULO PINTURA'!R1599," ")</f>
        <v xml:space="preserve"> </v>
      </c>
      <c r="S1598" s="164" t="str">
        <f>+IF(OR(O1598="Fire Control",O1598="Fire Tex 5062",O1598="Fire Tex 5090",O1598="Fire Tex 5120"),'CALCULO PINTURA'!S1599," ")</f>
        <v xml:space="preserve"> </v>
      </c>
      <c r="T1598" s="874" t="str">
        <f>+IF(OR(O1598="Blaze Shield II",O1598="Cafco 400",O1598="Cafco 300"),'CALCULO MORTERO'!N1604," ")</f>
        <v xml:space="preserve"> </v>
      </c>
      <c r="U1598" s="875" t="str">
        <f>+IF(OR(O1598="Blaze Shield II",O1598="Cafco 400",O1598="Cafco 300"),'CALCULO MORTERO'!O1604," ")</f>
        <v xml:space="preserve"> </v>
      </c>
      <c r="V1598" s="161" t="str" cm="1">
        <f t="array" ref="V1598">_xlfn.IFS(O1598="Blaze Shield II",'CALCULO MORTERO'!P1599, O1598="Cafco 400",'CALCULO MORTERO'!Q1599,O1598="Cafco 300",'CALCULO MORTERO'!S1599, AND(OR(O1598="Fire tex 5090", O1598="Fire Tex 5062", O1598="Fire Tex 5120", O1598="Fire Control"),Q1598&gt;0), "CERT.",TRUE,"-")</f>
        <v>-</v>
      </c>
    </row>
    <row r="1599" spans="1:22" x14ac:dyDescent="0.25">
      <c r="A1599" s="168"/>
      <c r="B1599" s="876"/>
      <c r="C1599" s="161"/>
      <c r="D1599" s="161"/>
      <c r="E1599" s="161"/>
      <c r="F1599" s="41"/>
      <c r="G1599" s="161"/>
      <c r="H1599" s="161"/>
      <c r="I1599" s="166"/>
      <c r="J1599" s="162"/>
      <c r="K1599" s="161"/>
      <c r="L1599" s="161"/>
      <c r="M1599" s="169"/>
      <c r="N1599" s="163" t="str">
        <f t="shared" si="28"/>
        <v/>
      </c>
      <c r="O1599" s="41"/>
      <c r="P1599" s="41"/>
      <c r="Q1599" s="161" t="str">
        <f>+IF(OR(O1599="Fire Control",O1599="Fire Tex 5062",O1599="Fire Tex 5090",O1599="Fire Tex 5120"),'CALCULO PINTURA'!P1600," ")</f>
        <v xml:space="preserve"> </v>
      </c>
      <c r="R1599" s="164" t="str">
        <f>+IF(OR(O1599="Fire Control",O1599="Fire Tex 5062",O1599="Fire Tex 5090",O1599="Fire Tex 5120"),'CALCULO PINTURA'!R1600," ")</f>
        <v xml:space="preserve"> </v>
      </c>
      <c r="S1599" s="164" t="str">
        <f>+IF(OR(O1599="Fire Control",O1599="Fire Tex 5062",O1599="Fire Tex 5090",O1599="Fire Tex 5120"),'CALCULO PINTURA'!S1600," ")</f>
        <v xml:space="preserve"> </v>
      </c>
      <c r="T1599" s="874" t="str">
        <f>+IF(OR(O1599="Blaze Shield II",O1599="Cafco 400",O1599="Cafco 300"),'CALCULO MORTERO'!N1605," ")</f>
        <v xml:space="preserve"> </v>
      </c>
      <c r="U1599" s="875" t="str">
        <f>+IF(OR(O1599="Blaze Shield II",O1599="Cafco 400",O1599="Cafco 300"),'CALCULO MORTERO'!O1605," ")</f>
        <v xml:space="preserve"> </v>
      </c>
      <c r="V1599" s="161" t="str" cm="1">
        <f t="array" ref="V1599">_xlfn.IFS(O1599="Blaze Shield II",'CALCULO MORTERO'!P1600, O1599="Cafco 400",'CALCULO MORTERO'!Q1600,O1599="Cafco 300",'CALCULO MORTERO'!S1600, AND(OR(O1599="Fire tex 5090", O1599="Fire Tex 5062", O1599="Fire Tex 5120", O1599="Fire Control"),Q1599&gt;0), "CERT.",TRUE,"-")</f>
        <v>-</v>
      </c>
    </row>
    <row r="1600" spans="1:22" x14ac:dyDescent="0.25">
      <c r="A1600" s="168"/>
      <c r="B1600" s="876"/>
      <c r="C1600" s="161"/>
      <c r="D1600" s="161"/>
      <c r="E1600" s="161"/>
      <c r="F1600" s="41"/>
      <c r="G1600" s="161"/>
      <c r="H1600" s="161"/>
      <c r="I1600" s="166"/>
      <c r="J1600" s="162"/>
      <c r="K1600" s="161"/>
      <c r="L1600" s="161"/>
      <c r="M1600" s="169"/>
      <c r="N1600" s="163" t="str">
        <f t="shared" si="28"/>
        <v/>
      </c>
      <c r="O1600" s="41"/>
      <c r="P1600" s="41"/>
      <c r="Q1600" s="161" t="str">
        <f>+IF(OR(O1600="Fire Control",O1600="Fire Tex 5062",O1600="Fire Tex 5090",O1600="Fire Tex 5120"),'CALCULO PINTURA'!P1601," ")</f>
        <v xml:space="preserve"> </v>
      </c>
      <c r="R1600" s="164" t="str">
        <f>+IF(OR(O1600="Fire Control",O1600="Fire Tex 5062",O1600="Fire Tex 5090",O1600="Fire Tex 5120"),'CALCULO PINTURA'!R1601," ")</f>
        <v xml:space="preserve"> </v>
      </c>
      <c r="S1600" s="164" t="str">
        <f>+IF(OR(O1600="Fire Control",O1600="Fire Tex 5062",O1600="Fire Tex 5090",O1600="Fire Tex 5120"),'CALCULO PINTURA'!S1601," ")</f>
        <v xml:space="preserve"> </v>
      </c>
      <c r="T1600" s="874" t="str">
        <f>+IF(OR(O1600="Blaze Shield II",O1600="Cafco 400",O1600="Cafco 300"),'CALCULO MORTERO'!N1606," ")</f>
        <v xml:space="preserve"> </v>
      </c>
      <c r="U1600" s="875" t="str">
        <f>+IF(OR(O1600="Blaze Shield II",O1600="Cafco 400",O1600="Cafco 300"),'CALCULO MORTERO'!O1606," ")</f>
        <v xml:space="preserve"> </v>
      </c>
      <c r="V1600" s="161" t="str" cm="1">
        <f t="array" ref="V1600">_xlfn.IFS(O1600="Blaze Shield II",'CALCULO MORTERO'!P1601, O1600="Cafco 400",'CALCULO MORTERO'!Q1601,O1600="Cafco 300",'CALCULO MORTERO'!S1601, AND(OR(O1600="Fire tex 5090", O1600="Fire Tex 5062", O1600="Fire Tex 5120", O1600="Fire Control"),Q1600&gt;0), "CERT.",TRUE,"-")</f>
        <v>-</v>
      </c>
    </row>
    <row r="1601" spans="1:22" x14ac:dyDescent="0.25">
      <c r="A1601" s="168"/>
      <c r="B1601" s="876"/>
      <c r="C1601" s="161"/>
      <c r="D1601" s="161"/>
      <c r="E1601" s="161"/>
      <c r="F1601" s="41"/>
      <c r="G1601" s="161"/>
      <c r="H1601" s="161"/>
      <c r="I1601" s="166"/>
      <c r="J1601" s="162"/>
      <c r="K1601" s="161"/>
      <c r="L1601" s="161"/>
      <c r="M1601" s="169"/>
      <c r="N1601" s="163" t="str">
        <f t="shared" si="28"/>
        <v/>
      </c>
      <c r="O1601" s="41"/>
      <c r="P1601" s="41"/>
      <c r="Q1601" s="161" t="str">
        <f>+IF(OR(O1601="Fire Control",O1601="Fire Tex 5062",O1601="Fire Tex 5090",O1601="Fire Tex 5120"),'CALCULO PINTURA'!P1602," ")</f>
        <v xml:space="preserve"> </v>
      </c>
      <c r="R1601" s="164" t="str">
        <f>+IF(OR(O1601="Fire Control",O1601="Fire Tex 5062",O1601="Fire Tex 5090",O1601="Fire Tex 5120"),'CALCULO PINTURA'!R1602," ")</f>
        <v xml:space="preserve"> </v>
      </c>
      <c r="S1601" s="164" t="str">
        <f>+IF(OR(O1601="Fire Control",O1601="Fire Tex 5062",O1601="Fire Tex 5090",O1601="Fire Tex 5120"),'CALCULO PINTURA'!S1602," ")</f>
        <v xml:space="preserve"> </v>
      </c>
      <c r="T1601" s="874" t="str">
        <f>+IF(OR(O1601="Blaze Shield II",O1601="Cafco 400",O1601="Cafco 300"),'CALCULO MORTERO'!N1607," ")</f>
        <v xml:space="preserve"> </v>
      </c>
      <c r="U1601" s="875" t="str">
        <f>+IF(OR(O1601="Blaze Shield II",O1601="Cafco 400",O1601="Cafco 300"),'CALCULO MORTERO'!O1607," ")</f>
        <v xml:space="preserve"> </v>
      </c>
      <c r="V1601" s="161" t="str" cm="1">
        <f t="array" ref="V1601">_xlfn.IFS(O1601="Blaze Shield II",'CALCULO MORTERO'!P1602, O1601="Cafco 400",'CALCULO MORTERO'!Q1602,O1601="Cafco 300",'CALCULO MORTERO'!S1602, AND(OR(O1601="Fire tex 5090", O1601="Fire Tex 5062", O1601="Fire Tex 5120", O1601="Fire Control"),Q1601&gt;0), "CERT.",TRUE,"-")</f>
        <v>-</v>
      </c>
    </row>
    <row r="1602" spans="1:22" x14ac:dyDescent="0.25">
      <c r="A1602" s="168"/>
      <c r="B1602" s="876"/>
      <c r="C1602" s="161"/>
      <c r="D1602" s="161"/>
      <c r="E1602" s="161"/>
      <c r="F1602" s="41"/>
      <c r="G1602" s="161"/>
      <c r="H1602" s="161"/>
      <c r="I1602" s="166"/>
      <c r="J1602" s="162"/>
      <c r="K1602" s="161"/>
      <c r="L1602" s="161"/>
      <c r="M1602" s="169"/>
      <c r="N1602" s="163" t="str">
        <f t="shared" si="28"/>
        <v/>
      </c>
      <c r="O1602" s="41"/>
      <c r="P1602" s="41"/>
      <c r="Q1602" s="161" t="str">
        <f>+IF(OR(O1602="Fire Control",O1602="Fire Tex 5062",O1602="Fire Tex 5090",O1602="Fire Tex 5120"),'CALCULO PINTURA'!P1603," ")</f>
        <v xml:space="preserve"> </v>
      </c>
      <c r="R1602" s="164" t="str">
        <f>+IF(OR(O1602="Fire Control",O1602="Fire Tex 5062",O1602="Fire Tex 5090",O1602="Fire Tex 5120"),'CALCULO PINTURA'!R1603," ")</f>
        <v xml:space="preserve"> </v>
      </c>
      <c r="S1602" s="164" t="str">
        <f>+IF(OR(O1602="Fire Control",O1602="Fire Tex 5062",O1602="Fire Tex 5090",O1602="Fire Tex 5120"),'CALCULO PINTURA'!S1603," ")</f>
        <v xml:space="preserve"> </v>
      </c>
      <c r="T1602" s="874" t="str">
        <f>+IF(OR(O1602="Blaze Shield II",O1602="Cafco 400",O1602="Cafco 300"),'CALCULO MORTERO'!N1608," ")</f>
        <v xml:space="preserve"> </v>
      </c>
      <c r="U1602" s="875" t="str">
        <f>+IF(OR(O1602="Blaze Shield II",O1602="Cafco 400",O1602="Cafco 300"),'CALCULO MORTERO'!O1608," ")</f>
        <v xml:space="preserve"> </v>
      </c>
      <c r="V1602" s="161" t="str" cm="1">
        <f t="array" ref="V1602">_xlfn.IFS(O1602="Blaze Shield II",'CALCULO MORTERO'!P1603, O1602="Cafco 400",'CALCULO MORTERO'!Q1603,O1602="Cafco 300",'CALCULO MORTERO'!S1603, AND(OR(O1602="Fire tex 5090", O1602="Fire Tex 5062", O1602="Fire Tex 5120", O1602="Fire Control"),Q1602&gt;0), "CERT.",TRUE,"-")</f>
        <v>-</v>
      </c>
    </row>
    <row r="1603" spans="1:22" x14ac:dyDescent="0.25">
      <c r="A1603" s="168"/>
      <c r="B1603" s="876"/>
      <c r="C1603" s="161"/>
      <c r="D1603" s="161"/>
      <c r="E1603" s="161"/>
      <c r="F1603" s="41"/>
      <c r="G1603" s="161"/>
      <c r="H1603" s="161"/>
      <c r="I1603" s="166"/>
      <c r="J1603" s="162"/>
      <c r="K1603" s="161"/>
      <c r="L1603" s="161"/>
      <c r="M1603" s="169"/>
      <c r="N1603" s="163" t="str">
        <f t="shared" si="28"/>
        <v/>
      </c>
      <c r="O1603" s="41"/>
      <c r="P1603" s="41"/>
      <c r="Q1603" s="161" t="str">
        <f>+IF(OR(O1603="Fire Control",O1603="Fire Tex 5062",O1603="Fire Tex 5090",O1603="Fire Tex 5120"),'CALCULO PINTURA'!P1604," ")</f>
        <v xml:space="preserve"> </v>
      </c>
      <c r="R1603" s="164" t="str">
        <f>+IF(OR(O1603="Fire Control",O1603="Fire Tex 5062",O1603="Fire Tex 5090",O1603="Fire Tex 5120"),'CALCULO PINTURA'!R1604," ")</f>
        <v xml:space="preserve"> </v>
      </c>
      <c r="S1603" s="164" t="str">
        <f>+IF(OR(O1603="Fire Control",O1603="Fire Tex 5062",O1603="Fire Tex 5090",O1603="Fire Tex 5120"),'CALCULO PINTURA'!S1604," ")</f>
        <v xml:space="preserve"> </v>
      </c>
      <c r="T1603" s="874" t="str">
        <f>+IF(OR(O1603="Blaze Shield II",O1603="Cafco 400",O1603="Cafco 300"),'CALCULO MORTERO'!N1609," ")</f>
        <v xml:space="preserve"> </v>
      </c>
      <c r="U1603" s="875" t="str">
        <f>+IF(OR(O1603="Blaze Shield II",O1603="Cafco 400",O1603="Cafco 300"),'CALCULO MORTERO'!O1609," ")</f>
        <v xml:space="preserve"> </v>
      </c>
      <c r="V1603" s="161" t="str" cm="1">
        <f t="array" ref="V1603">_xlfn.IFS(O1603="Blaze Shield II",'CALCULO MORTERO'!P1604, O1603="Cafco 400",'CALCULO MORTERO'!Q1604,O1603="Cafco 300",'CALCULO MORTERO'!S1604, AND(OR(O1603="Fire tex 5090", O1603="Fire Tex 5062", O1603="Fire Tex 5120", O1603="Fire Control"),Q1603&gt;0), "CERT.",TRUE,"-")</f>
        <v>-</v>
      </c>
    </row>
    <row r="1604" spans="1:22" x14ac:dyDescent="0.25">
      <c r="A1604" s="168"/>
      <c r="B1604" s="876"/>
      <c r="C1604" s="161"/>
      <c r="D1604" s="161"/>
      <c r="E1604" s="161"/>
      <c r="F1604" s="41"/>
      <c r="G1604" s="161"/>
      <c r="H1604" s="161"/>
      <c r="I1604" s="166"/>
      <c r="J1604" s="162"/>
      <c r="K1604" s="161"/>
      <c r="L1604" s="161"/>
      <c r="M1604" s="169"/>
      <c r="N1604" s="163" t="str">
        <f t="shared" ref="N1604:N1620" si="29">+IF(F1604="","",(K1604*I1604*H1604*G1604)/1000000)</f>
        <v/>
      </c>
      <c r="O1604" s="41"/>
      <c r="P1604" s="41"/>
      <c r="Q1604" s="161" t="str">
        <f>+IF(OR(O1604="Fire Control",O1604="Fire Tex 5062",O1604="Fire Tex 5090",O1604="Fire Tex 5120"),'CALCULO PINTURA'!P1605," ")</f>
        <v xml:space="preserve"> </v>
      </c>
      <c r="R1604" s="164" t="str">
        <f>+IF(OR(O1604="Fire Control",O1604="Fire Tex 5062",O1604="Fire Tex 5090",O1604="Fire Tex 5120"),'CALCULO PINTURA'!R1605," ")</f>
        <v xml:space="preserve"> </v>
      </c>
      <c r="S1604" s="164" t="str">
        <f>+IF(OR(O1604="Fire Control",O1604="Fire Tex 5062",O1604="Fire Tex 5090",O1604="Fire Tex 5120"),'CALCULO PINTURA'!S1605," ")</f>
        <v xml:space="preserve"> </v>
      </c>
      <c r="T1604" s="874" t="str">
        <f>+IF(OR(O1604="Blaze Shield II",O1604="Cafco 400",O1604="Cafco 300"),'CALCULO MORTERO'!N1610," ")</f>
        <v xml:space="preserve"> </v>
      </c>
      <c r="U1604" s="875" t="str">
        <f>+IF(OR(O1604="Blaze Shield II",O1604="Cafco 400",O1604="Cafco 300"),'CALCULO MORTERO'!O1610," ")</f>
        <v xml:space="preserve"> </v>
      </c>
      <c r="V1604" s="161" t="str" cm="1">
        <f t="array" ref="V1604">_xlfn.IFS(O1604="Blaze Shield II",'CALCULO MORTERO'!P1605, O1604="Cafco 400",'CALCULO MORTERO'!Q1605,O1604="Cafco 300",'CALCULO MORTERO'!S1605, AND(OR(O1604="Fire tex 5090", O1604="Fire Tex 5062", O1604="Fire Tex 5120", O1604="Fire Control"),Q1604&gt;0), "CERT.",TRUE,"-")</f>
        <v>-</v>
      </c>
    </row>
    <row r="1605" spans="1:22" x14ac:dyDescent="0.25">
      <c r="A1605" s="168"/>
      <c r="B1605" s="876"/>
      <c r="C1605" s="161"/>
      <c r="D1605" s="161"/>
      <c r="E1605" s="161"/>
      <c r="F1605" s="41"/>
      <c r="G1605" s="161"/>
      <c r="H1605" s="161"/>
      <c r="I1605" s="166"/>
      <c r="J1605" s="162"/>
      <c r="K1605" s="161"/>
      <c r="L1605" s="161"/>
      <c r="M1605" s="169"/>
      <c r="N1605" s="163" t="str">
        <f t="shared" si="29"/>
        <v/>
      </c>
      <c r="O1605" s="41"/>
      <c r="P1605" s="41"/>
      <c r="Q1605" s="161" t="str">
        <f>+IF(OR(O1605="Fire Control",O1605="Fire Tex 5062",O1605="Fire Tex 5090",O1605="Fire Tex 5120"),'CALCULO PINTURA'!P1606," ")</f>
        <v xml:space="preserve"> </v>
      </c>
      <c r="R1605" s="164" t="str">
        <f>+IF(OR(O1605="Fire Control",O1605="Fire Tex 5062",O1605="Fire Tex 5090",O1605="Fire Tex 5120"),'CALCULO PINTURA'!R1606," ")</f>
        <v xml:space="preserve"> </v>
      </c>
      <c r="S1605" s="164" t="str">
        <f>+IF(OR(O1605="Fire Control",O1605="Fire Tex 5062",O1605="Fire Tex 5090",O1605="Fire Tex 5120"),'CALCULO PINTURA'!S1606," ")</f>
        <v xml:space="preserve"> </v>
      </c>
      <c r="T1605" s="874" t="str">
        <f>+IF(OR(O1605="Blaze Shield II",O1605="Cafco 400",O1605="Cafco 300"),'CALCULO MORTERO'!N1611," ")</f>
        <v xml:space="preserve"> </v>
      </c>
      <c r="U1605" s="875" t="str">
        <f>+IF(OR(O1605="Blaze Shield II",O1605="Cafco 400",O1605="Cafco 300"),'CALCULO MORTERO'!O1611," ")</f>
        <v xml:space="preserve"> </v>
      </c>
      <c r="V1605" s="161" t="str" cm="1">
        <f t="array" ref="V1605">_xlfn.IFS(O1605="Blaze Shield II",'CALCULO MORTERO'!P1606, O1605="Cafco 400",'CALCULO MORTERO'!Q1606,O1605="Cafco 300",'CALCULO MORTERO'!S1606, AND(OR(O1605="Fire tex 5090", O1605="Fire Tex 5062", O1605="Fire Tex 5120", O1605="Fire Control"),Q1605&gt;0), "CERT.",TRUE,"-")</f>
        <v>-</v>
      </c>
    </row>
    <row r="1606" spans="1:22" x14ac:dyDescent="0.25">
      <c r="A1606" s="168"/>
      <c r="B1606" s="876"/>
      <c r="C1606" s="161"/>
      <c r="D1606" s="161"/>
      <c r="E1606" s="161"/>
      <c r="F1606" s="41"/>
      <c r="G1606" s="161"/>
      <c r="H1606" s="161"/>
      <c r="I1606" s="166"/>
      <c r="J1606" s="162"/>
      <c r="K1606" s="161"/>
      <c r="L1606" s="161"/>
      <c r="M1606" s="169"/>
      <c r="N1606" s="163" t="str">
        <f t="shared" si="29"/>
        <v/>
      </c>
      <c r="O1606" s="41"/>
      <c r="P1606" s="41"/>
      <c r="Q1606" s="161" t="str">
        <f>+IF(OR(O1606="Fire Control",O1606="Fire Tex 5062",O1606="Fire Tex 5090",O1606="Fire Tex 5120"),'CALCULO PINTURA'!P1607," ")</f>
        <v xml:space="preserve"> </v>
      </c>
      <c r="R1606" s="164" t="str">
        <f>+IF(OR(O1606="Fire Control",O1606="Fire Tex 5062",O1606="Fire Tex 5090",O1606="Fire Tex 5120"),'CALCULO PINTURA'!R1607," ")</f>
        <v xml:space="preserve"> </v>
      </c>
      <c r="S1606" s="164" t="str">
        <f>+IF(OR(O1606="Fire Control",O1606="Fire Tex 5062",O1606="Fire Tex 5090",O1606="Fire Tex 5120"),'CALCULO PINTURA'!S1607," ")</f>
        <v xml:space="preserve"> </v>
      </c>
      <c r="T1606" s="874" t="str">
        <f>+IF(OR(O1606="Blaze Shield II",O1606="Cafco 400",O1606="Cafco 300"),'CALCULO MORTERO'!N1612," ")</f>
        <v xml:space="preserve"> </v>
      </c>
      <c r="U1606" s="875" t="str">
        <f>+IF(OR(O1606="Blaze Shield II",O1606="Cafco 400",O1606="Cafco 300"),'CALCULO MORTERO'!O1612," ")</f>
        <v xml:space="preserve"> </v>
      </c>
      <c r="V1606" s="161" t="str" cm="1">
        <f t="array" ref="V1606">_xlfn.IFS(O1606="Blaze Shield II",'CALCULO MORTERO'!P1607, O1606="Cafco 400",'CALCULO MORTERO'!Q1607,O1606="Cafco 300",'CALCULO MORTERO'!S1607, AND(OR(O1606="Fire tex 5090", O1606="Fire Tex 5062", O1606="Fire Tex 5120", O1606="Fire Control"),Q1606&gt;0), "CERT.",TRUE,"-")</f>
        <v>-</v>
      </c>
    </row>
    <row r="1607" spans="1:22" x14ac:dyDescent="0.25">
      <c r="A1607" s="168"/>
      <c r="B1607" s="876"/>
      <c r="C1607" s="161"/>
      <c r="D1607" s="161"/>
      <c r="E1607" s="161"/>
      <c r="F1607" s="41"/>
      <c r="G1607" s="161"/>
      <c r="H1607" s="161"/>
      <c r="I1607" s="166"/>
      <c r="J1607" s="162"/>
      <c r="K1607" s="161"/>
      <c r="L1607" s="161"/>
      <c r="M1607" s="169"/>
      <c r="N1607" s="163" t="str">
        <f t="shared" si="29"/>
        <v/>
      </c>
      <c r="O1607" s="41"/>
      <c r="P1607" s="41"/>
      <c r="Q1607" s="161" t="str">
        <f>+IF(OR(O1607="Fire Control",O1607="Fire Tex 5062",O1607="Fire Tex 5090",O1607="Fire Tex 5120"),'CALCULO PINTURA'!P1608," ")</f>
        <v xml:space="preserve"> </v>
      </c>
      <c r="R1607" s="164" t="str">
        <f>+IF(OR(O1607="Fire Control",O1607="Fire Tex 5062",O1607="Fire Tex 5090",O1607="Fire Tex 5120"),'CALCULO PINTURA'!R1608," ")</f>
        <v xml:space="preserve"> </v>
      </c>
      <c r="S1607" s="164" t="str">
        <f>+IF(OR(O1607="Fire Control",O1607="Fire Tex 5062",O1607="Fire Tex 5090",O1607="Fire Tex 5120"),'CALCULO PINTURA'!S1608," ")</f>
        <v xml:space="preserve"> </v>
      </c>
      <c r="T1607" s="874" t="str">
        <f>+IF(OR(O1607="Blaze Shield II",O1607="Cafco 400",O1607="Cafco 300"),'CALCULO MORTERO'!N1613," ")</f>
        <v xml:space="preserve"> </v>
      </c>
      <c r="U1607" s="875" t="str">
        <f>+IF(OR(O1607="Blaze Shield II",O1607="Cafco 400",O1607="Cafco 300"),'CALCULO MORTERO'!O1613," ")</f>
        <v xml:space="preserve"> </v>
      </c>
      <c r="V1607" s="161" t="str" cm="1">
        <f t="array" ref="V1607">_xlfn.IFS(O1607="Blaze Shield II",'CALCULO MORTERO'!P1608, O1607="Cafco 400",'CALCULO MORTERO'!Q1608,O1607="Cafco 300",'CALCULO MORTERO'!S1608, AND(OR(O1607="Fire tex 5090", O1607="Fire Tex 5062", O1607="Fire Tex 5120", O1607="Fire Control"),Q1607&gt;0), "CERT.",TRUE,"-")</f>
        <v>-</v>
      </c>
    </row>
    <row r="1608" spans="1:22" x14ac:dyDescent="0.25">
      <c r="A1608" s="168"/>
      <c r="B1608" s="876"/>
      <c r="C1608" s="161"/>
      <c r="D1608" s="161"/>
      <c r="E1608" s="161"/>
      <c r="F1608" s="41"/>
      <c r="G1608" s="161"/>
      <c r="H1608" s="161"/>
      <c r="I1608" s="166"/>
      <c r="J1608" s="162"/>
      <c r="K1608" s="161"/>
      <c r="L1608" s="161"/>
      <c r="M1608" s="169"/>
      <c r="N1608" s="163" t="str">
        <f t="shared" si="29"/>
        <v/>
      </c>
      <c r="O1608" s="41"/>
      <c r="P1608" s="41"/>
      <c r="Q1608" s="161" t="str">
        <f>+IF(OR(O1608="Fire Control",O1608="Fire Tex 5062",O1608="Fire Tex 5090",O1608="Fire Tex 5120"),'CALCULO PINTURA'!P1609," ")</f>
        <v xml:space="preserve"> </v>
      </c>
      <c r="R1608" s="164" t="str">
        <f>+IF(OR(O1608="Fire Control",O1608="Fire Tex 5062",O1608="Fire Tex 5090",O1608="Fire Tex 5120"),'CALCULO PINTURA'!R1609," ")</f>
        <v xml:space="preserve"> </v>
      </c>
      <c r="S1608" s="164" t="str">
        <f>+IF(OR(O1608="Fire Control",O1608="Fire Tex 5062",O1608="Fire Tex 5090",O1608="Fire Tex 5120"),'CALCULO PINTURA'!S1609," ")</f>
        <v xml:space="preserve"> </v>
      </c>
      <c r="T1608" s="874" t="str">
        <f>+IF(OR(O1608="Blaze Shield II",O1608="Cafco 400",O1608="Cafco 300"),'CALCULO MORTERO'!N1614," ")</f>
        <v xml:space="preserve"> </v>
      </c>
      <c r="U1608" s="875" t="str">
        <f>+IF(OR(O1608="Blaze Shield II",O1608="Cafco 400",O1608="Cafco 300"),'CALCULO MORTERO'!O1614," ")</f>
        <v xml:space="preserve"> </v>
      </c>
      <c r="V1608" s="161" t="str" cm="1">
        <f t="array" ref="V1608">_xlfn.IFS(O1608="Blaze Shield II",'CALCULO MORTERO'!P1609, O1608="Cafco 400",'CALCULO MORTERO'!Q1609,O1608="Cafco 300",'CALCULO MORTERO'!S1609, AND(OR(O1608="Fire tex 5090", O1608="Fire Tex 5062", O1608="Fire Tex 5120", O1608="Fire Control"),Q1608&gt;0), "CERT.",TRUE,"-")</f>
        <v>-</v>
      </c>
    </row>
    <row r="1609" spans="1:22" x14ac:dyDescent="0.25">
      <c r="A1609" s="168"/>
      <c r="B1609" s="876"/>
      <c r="C1609" s="161"/>
      <c r="D1609" s="161"/>
      <c r="E1609" s="161"/>
      <c r="F1609" s="41"/>
      <c r="G1609" s="161"/>
      <c r="H1609" s="161"/>
      <c r="I1609" s="166"/>
      <c r="J1609" s="162"/>
      <c r="K1609" s="161"/>
      <c r="L1609" s="161"/>
      <c r="M1609" s="169"/>
      <c r="N1609" s="163" t="str">
        <f t="shared" si="29"/>
        <v/>
      </c>
      <c r="O1609" s="41"/>
      <c r="P1609" s="41"/>
      <c r="Q1609" s="161" t="str">
        <f>+IF(OR(O1609="Fire Control",O1609="Fire Tex 5062",O1609="Fire Tex 5090",O1609="Fire Tex 5120"),'CALCULO PINTURA'!P1610," ")</f>
        <v xml:space="preserve"> </v>
      </c>
      <c r="R1609" s="164" t="str">
        <f>+IF(OR(O1609="Fire Control",O1609="Fire Tex 5062",O1609="Fire Tex 5090",O1609="Fire Tex 5120"),'CALCULO PINTURA'!R1610," ")</f>
        <v xml:space="preserve"> </v>
      </c>
      <c r="S1609" s="164" t="str">
        <f>+IF(OR(O1609="Fire Control",O1609="Fire Tex 5062",O1609="Fire Tex 5090",O1609="Fire Tex 5120"),'CALCULO PINTURA'!S1610," ")</f>
        <v xml:space="preserve"> </v>
      </c>
      <c r="T1609" s="874" t="str">
        <f>+IF(OR(O1609="Blaze Shield II",O1609="Cafco 400",O1609="Cafco 300"),'CALCULO MORTERO'!N1615," ")</f>
        <v xml:space="preserve"> </v>
      </c>
      <c r="U1609" s="875" t="str">
        <f>+IF(OR(O1609="Blaze Shield II",O1609="Cafco 400",O1609="Cafco 300"),'CALCULO MORTERO'!O1615," ")</f>
        <v xml:space="preserve"> </v>
      </c>
      <c r="V1609" s="161" t="str" cm="1">
        <f t="array" ref="V1609">_xlfn.IFS(O1609="Blaze Shield II",'CALCULO MORTERO'!P1610, O1609="Cafco 400",'CALCULO MORTERO'!Q1610,O1609="Cafco 300",'CALCULO MORTERO'!S1610, AND(OR(O1609="Fire tex 5090", O1609="Fire Tex 5062", O1609="Fire Tex 5120", O1609="Fire Control"),Q1609&gt;0), "CERT.",TRUE,"-")</f>
        <v>-</v>
      </c>
    </row>
    <row r="1610" spans="1:22" x14ac:dyDescent="0.25">
      <c r="A1610" s="168"/>
      <c r="B1610" s="876"/>
      <c r="C1610" s="161"/>
      <c r="D1610" s="161"/>
      <c r="E1610" s="161"/>
      <c r="F1610" s="41"/>
      <c r="G1610" s="161"/>
      <c r="H1610" s="161"/>
      <c r="I1610" s="166"/>
      <c r="J1610" s="162"/>
      <c r="K1610" s="161"/>
      <c r="L1610" s="161"/>
      <c r="M1610" s="169"/>
      <c r="N1610" s="163" t="str">
        <f t="shared" si="29"/>
        <v/>
      </c>
      <c r="O1610" s="41"/>
      <c r="P1610" s="41"/>
      <c r="Q1610" s="161" t="str">
        <f>+IF(OR(O1610="Fire Control",O1610="Fire Tex 5062",O1610="Fire Tex 5090",O1610="Fire Tex 5120"),'CALCULO PINTURA'!P1611," ")</f>
        <v xml:space="preserve"> </v>
      </c>
      <c r="R1610" s="164" t="str">
        <f>+IF(OR(O1610="Fire Control",O1610="Fire Tex 5062",O1610="Fire Tex 5090",O1610="Fire Tex 5120"),'CALCULO PINTURA'!R1611," ")</f>
        <v xml:space="preserve"> </v>
      </c>
      <c r="S1610" s="164" t="str">
        <f>+IF(OR(O1610="Fire Control",O1610="Fire Tex 5062",O1610="Fire Tex 5090",O1610="Fire Tex 5120"),'CALCULO PINTURA'!S1611," ")</f>
        <v xml:space="preserve"> </v>
      </c>
      <c r="T1610" s="874" t="str">
        <f>+IF(OR(O1610="Blaze Shield II",O1610="Cafco 400",O1610="Cafco 300"),'CALCULO MORTERO'!N1616," ")</f>
        <v xml:space="preserve"> </v>
      </c>
      <c r="U1610" s="875" t="str">
        <f>+IF(OR(O1610="Blaze Shield II",O1610="Cafco 400",O1610="Cafco 300"),'CALCULO MORTERO'!O1616," ")</f>
        <v xml:space="preserve"> </v>
      </c>
      <c r="V1610" s="161" t="str" cm="1">
        <f t="array" ref="V1610">_xlfn.IFS(O1610="Blaze Shield II",'CALCULO MORTERO'!P1611, O1610="Cafco 400",'CALCULO MORTERO'!Q1611,O1610="Cafco 300",'CALCULO MORTERO'!S1611, AND(OR(O1610="Fire tex 5090", O1610="Fire Tex 5062", O1610="Fire Tex 5120", O1610="Fire Control"),Q1610&gt;0), "CERT.",TRUE,"-")</f>
        <v>-</v>
      </c>
    </row>
    <row r="1611" spans="1:22" x14ac:dyDescent="0.25">
      <c r="A1611" s="168"/>
      <c r="B1611" s="876"/>
      <c r="C1611" s="161"/>
      <c r="D1611" s="161"/>
      <c r="E1611" s="161"/>
      <c r="F1611" s="41"/>
      <c r="G1611" s="161"/>
      <c r="H1611" s="161"/>
      <c r="I1611" s="166"/>
      <c r="J1611" s="162"/>
      <c r="K1611" s="161"/>
      <c r="L1611" s="161"/>
      <c r="M1611" s="169"/>
      <c r="N1611" s="163" t="str">
        <f t="shared" si="29"/>
        <v/>
      </c>
      <c r="O1611" s="41"/>
      <c r="P1611" s="41"/>
      <c r="Q1611" s="161" t="str">
        <f>+IF(OR(O1611="Fire Control",O1611="Fire Tex 5062",O1611="Fire Tex 5090",O1611="Fire Tex 5120"),'CALCULO PINTURA'!P1612," ")</f>
        <v xml:space="preserve"> </v>
      </c>
      <c r="R1611" s="164" t="str">
        <f>+IF(OR(O1611="Fire Control",O1611="Fire Tex 5062",O1611="Fire Tex 5090",O1611="Fire Tex 5120"),'CALCULO PINTURA'!R1612," ")</f>
        <v xml:space="preserve"> </v>
      </c>
      <c r="S1611" s="164" t="str">
        <f>+IF(OR(O1611="Fire Control",O1611="Fire Tex 5062",O1611="Fire Tex 5090",O1611="Fire Tex 5120"),'CALCULO PINTURA'!S1612," ")</f>
        <v xml:space="preserve"> </v>
      </c>
      <c r="T1611" s="874" t="str">
        <f>+IF(OR(O1611="Blaze Shield II",O1611="Cafco 400",O1611="Cafco 300"),'CALCULO MORTERO'!N1617," ")</f>
        <v xml:space="preserve"> </v>
      </c>
      <c r="U1611" s="875" t="str">
        <f>+IF(OR(O1611="Blaze Shield II",O1611="Cafco 400",O1611="Cafco 300"),'CALCULO MORTERO'!O1617," ")</f>
        <v xml:space="preserve"> </v>
      </c>
      <c r="V1611" s="161" t="str" cm="1">
        <f t="array" ref="V1611">_xlfn.IFS(O1611="Blaze Shield II",'CALCULO MORTERO'!P1612, O1611="Cafco 400",'CALCULO MORTERO'!Q1612,O1611="Cafco 300",'CALCULO MORTERO'!S1612, AND(OR(O1611="Fire tex 5090", O1611="Fire Tex 5062", O1611="Fire Tex 5120", O1611="Fire Control"),Q1611&gt;0), "CERT.",TRUE,"-")</f>
        <v>-</v>
      </c>
    </row>
    <row r="1612" spans="1:22" x14ac:dyDescent="0.25">
      <c r="A1612" s="168"/>
      <c r="B1612" s="876"/>
      <c r="C1612" s="161"/>
      <c r="D1612" s="161"/>
      <c r="E1612" s="161"/>
      <c r="F1612" s="161"/>
      <c r="G1612" s="161"/>
      <c r="H1612" s="161"/>
      <c r="I1612" s="166"/>
      <c r="J1612" s="162"/>
      <c r="K1612" s="161"/>
      <c r="L1612" s="161"/>
      <c r="M1612" s="169"/>
      <c r="N1612" s="163" t="str">
        <f t="shared" si="29"/>
        <v/>
      </c>
      <c r="O1612" s="41"/>
      <c r="P1612" s="41"/>
      <c r="Q1612" s="161" t="str">
        <f>+IF(OR(O1612="Fire Control",O1612="Fire Tex 5062",O1612="Fire Tex 5090",O1612="Fire Tex 5120"),'CALCULO PINTURA'!P1613," ")</f>
        <v xml:space="preserve"> </v>
      </c>
      <c r="R1612" s="164" t="str">
        <f>+IF(OR(O1612="Fire Control",O1612="Fire Tex 5062",O1612="Fire Tex 5090",O1612="Fire Tex 5120"),'CALCULO PINTURA'!R1613," ")</f>
        <v xml:space="preserve"> </v>
      </c>
      <c r="S1612" s="164" t="str">
        <f>+IF(OR(O1612="Fire Control",O1612="Fire Tex 5062",O1612="Fire Tex 5090",O1612="Fire Tex 5120"),'CALCULO PINTURA'!S1613," ")</f>
        <v xml:space="preserve"> </v>
      </c>
      <c r="T1612" s="874" t="str">
        <f>+IF(OR(O1612="Blaze Shield II",O1612="Cafco 400",O1612="Cafco 300"),'CALCULO MORTERO'!N1618," ")</f>
        <v xml:space="preserve"> </v>
      </c>
      <c r="U1612" s="875" t="str">
        <f>+IF(OR(O1612="Blaze Shield II",O1612="Cafco 400",O1612="Cafco 300"),'CALCULO MORTERO'!O1618," ")</f>
        <v xml:space="preserve"> </v>
      </c>
      <c r="V1612" s="161" t="str" cm="1">
        <f t="array" ref="V1612">_xlfn.IFS(O1612="Blaze Shield II",'CALCULO MORTERO'!P1613, O1612="Cafco 400",'CALCULO MORTERO'!Q1613,O1612="Cafco 300",'CALCULO MORTERO'!S1613, AND(OR(O1612="Fire tex 5090", O1612="Fire Tex 5062", O1612="Fire Tex 5120", O1612="Fire Control"),Q1612&gt;0), "CERT.",TRUE,"-")</f>
        <v>-</v>
      </c>
    </row>
    <row r="1613" spans="1:22" x14ac:dyDescent="0.25">
      <c r="A1613" s="168"/>
      <c r="B1613" s="876"/>
      <c r="C1613" s="161"/>
      <c r="D1613" s="161"/>
      <c r="E1613" s="161"/>
      <c r="F1613" s="161"/>
      <c r="G1613" s="161"/>
      <c r="H1613" s="161"/>
      <c r="I1613" s="166"/>
      <c r="J1613" s="162"/>
      <c r="K1613" s="161"/>
      <c r="L1613" s="161"/>
      <c r="M1613" s="163"/>
      <c r="N1613" s="163" t="str">
        <f t="shared" si="29"/>
        <v/>
      </c>
      <c r="O1613" s="41"/>
      <c r="P1613" s="41"/>
      <c r="Q1613" s="161" t="str">
        <f>+IF(OR(O1613="Fire Control",O1613="Fire Tex 5062",O1613="Fire Tex 5090",O1613="Fire Tex 5120"),'CALCULO PINTURA'!P1614," ")</f>
        <v xml:space="preserve"> </v>
      </c>
      <c r="R1613" s="164" t="str">
        <f>+IF(OR(O1613="Fire Control",O1613="Fire Tex 5062",O1613="Fire Tex 5090",O1613="Fire Tex 5120"),'CALCULO PINTURA'!R1614," ")</f>
        <v xml:space="preserve"> </v>
      </c>
      <c r="S1613" s="164" t="str">
        <f>+IF(OR(O1613="Fire Control",O1613="Fire Tex 5062",O1613="Fire Tex 5090",O1613="Fire Tex 5120"),'CALCULO PINTURA'!S1614," ")</f>
        <v xml:space="preserve"> </v>
      </c>
      <c r="T1613" s="874" t="str">
        <f>+IF(OR(O1613="Blaze Shield II",O1613="Cafco 400",O1613="Cafco 300"),'CALCULO MORTERO'!N1619," ")</f>
        <v xml:space="preserve"> </v>
      </c>
      <c r="U1613" s="875" t="str">
        <f>+IF(OR(O1613="Blaze Shield II",O1613="Cafco 400",O1613="Cafco 300"),'CALCULO MORTERO'!O1619," ")</f>
        <v xml:space="preserve"> </v>
      </c>
      <c r="V1613" s="161" t="str" cm="1">
        <f t="array" ref="V1613">_xlfn.IFS(O1613="Blaze Shield II",'CALCULO MORTERO'!P1614, O1613="Cafco 400",'CALCULO MORTERO'!Q1614,O1613="Cafco 300",'CALCULO MORTERO'!S1614, AND(OR(O1613="Fire tex 5090", O1613="Fire Tex 5062", O1613="Fire Tex 5120", O1613="Fire Control"),Q1613&gt;0), "CERT.",TRUE,"-")</f>
        <v>-</v>
      </c>
    </row>
    <row r="1614" spans="1:22" x14ac:dyDescent="0.25">
      <c r="A1614" s="168"/>
      <c r="B1614" s="876"/>
      <c r="C1614" s="161"/>
      <c r="D1614" s="161"/>
      <c r="E1614" s="161"/>
      <c r="F1614" s="161"/>
      <c r="G1614" s="161"/>
      <c r="H1614" s="161"/>
      <c r="I1614" s="166"/>
      <c r="J1614" s="162"/>
      <c r="K1614" s="161"/>
      <c r="L1614" s="161"/>
      <c r="M1614" s="169"/>
      <c r="N1614" s="163" t="str">
        <f t="shared" si="29"/>
        <v/>
      </c>
      <c r="O1614" s="41"/>
      <c r="P1614" s="41"/>
      <c r="Q1614" s="161" t="str">
        <f>+IF(OR(O1614="Fire Control",O1614="Fire Tex 5062",O1614="Fire Tex 5090",O1614="Fire Tex 5120"),'CALCULO PINTURA'!P1615," ")</f>
        <v xml:space="preserve"> </v>
      </c>
      <c r="R1614" s="164" t="str">
        <f>+IF(OR(O1614="Fire Control",O1614="Fire Tex 5062",O1614="Fire Tex 5090",O1614="Fire Tex 5120"),'CALCULO PINTURA'!R1615," ")</f>
        <v xml:space="preserve"> </v>
      </c>
      <c r="S1614" s="164" t="str">
        <f>+IF(OR(O1614="Fire Control",O1614="Fire Tex 5062",O1614="Fire Tex 5090",O1614="Fire Tex 5120"),'CALCULO PINTURA'!S1615," ")</f>
        <v xml:space="preserve"> </v>
      </c>
      <c r="T1614" s="874" t="str">
        <f>+IF(OR(O1614="Blaze Shield II",O1614="Cafco 400",O1614="Cafco 300"),'CALCULO MORTERO'!N1620," ")</f>
        <v xml:space="preserve"> </v>
      </c>
      <c r="U1614" s="875" t="str">
        <f>+IF(OR(O1614="Blaze Shield II",O1614="Cafco 400",O1614="Cafco 300"),'CALCULO MORTERO'!O1620," ")</f>
        <v xml:space="preserve"> </v>
      </c>
      <c r="V1614" s="161" t="str" cm="1">
        <f t="array" ref="V1614">_xlfn.IFS(O1614="Blaze Shield II",'CALCULO MORTERO'!P1615, O1614="Cafco 400",'CALCULO MORTERO'!Q1615,O1614="Cafco 300",'CALCULO MORTERO'!S1615, AND(OR(O1614="Fire tex 5090", O1614="Fire Tex 5062", O1614="Fire Tex 5120", O1614="Fire Control"),Q1614&gt;0), "CERT.",TRUE,"-")</f>
        <v>-</v>
      </c>
    </row>
    <row r="1615" spans="1:22" x14ac:dyDescent="0.25">
      <c r="A1615" s="168"/>
      <c r="B1615" s="876"/>
      <c r="C1615" s="161"/>
      <c r="D1615" s="161"/>
      <c r="E1615" s="161"/>
      <c r="F1615" s="161"/>
      <c r="G1615" s="161"/>
      <c r="H1615" s="161"/>
      <c r="I1615" s="166"/>
      <c r="J1615" s="162"/>
      <c r="K1615" s="161"/>
      <c r="L1615" s="161"/>
      <c r="M1615" s="163"/>
      <c r="N1615" s="163" t="str">
        <f t="shared" si="29"/>
        <v/>
      </c>
      <c r="O1615" s="41"/>
      <c r="P1615" s="41"/>
      <c r="Q1615" s="161" t="str">
        <f>+IF(OR(O1615="Fire Control",O1615="Fire Tex 5062",O1615="Fire Tex 5090",O1615="Fire Tex 5120"),'CALCULO PINTURA'!P1616," ")</f>
        <v xml:space="preserve"> </v>
      </c>
      <c r="R1615" s="164" t="str">
        <f>+IF(OR(O1615="Fire Control",O1615="Fire Tex 5062",O1615="Fire Tex 5090",O1615="Fire Tex 5120"),'CALCULO PINTURA'!R1616," ")</f>
        <v xml:space="preserve"> </v>
      </c>
      <c r="S1615" s="164" t="str">
        <f>+IF(OR(O1615="Fire Control",O1615="Fire Tex 5062",O1615="Fire Tex 5090",O1615="Fire Tex 5120"),'CALCULO PINTURA'!S1616," ")</f>
        <v xml:space="preserve"> </v>
      </c>
      <c r="T1615" s="874" t="str">
        <f>+IF(OR(O1615="Blaze Shield II",O1615="Cafco 400",O1615="Cafco 300"),'CALCULO MORTERO'!N1621," ")</f>
        <v xml:space="preserve"> </v>
      </c>
      <c r="U1615" s="875" t="str">
        <f>+IF(OR(O1615="Blaze Shield II",O1615="Cafco 400",O1615="Cafco 300"),'CALCULO MORTERO'!O1621," ")</f>
        <v xml:space="preserve"> </v>
      </c>
      <c r="V1615" s="161" t="str" cm="1">
        <f t="array" ref="V1615">_xlfn.IFS(O1615="Blaze Shield II",'CALCULO MORTERO'!P1616, O1615="Cafco 400",'CALCULO MORTERO'!Q1616,O1615="Cafco 300",'CALCULO MORTERO'!S1616, AND(OR(O1615="Fire tex 5090", O1615="Fire Tex 5062", O1615="Fire Tex 5120", O1615="Fire Control"),Q1615&gt;0), "CERT.",TRUE,"-")</f>
        <v>-</v>
      </c>
    </row>
    <row r="1616" spans="1:22" x14ac:dyDescent="0.25">
      <c r="A1616" s="168"/>
      <c r="B1616" s="876"/>
      <c r="C1616" s="161"/>
      <c r="D1616" s="161"/>
      <c r="E1616" s="161"/>
      <c r="F1616" s="41"/>
      <c r="G1616" s="161"/>
      <c r="H1616" s="161"/>
      <c r="I1616" s="166"/>
      <c r="J1616" s="162"/>
      <c r="K1616" s="161"/>
      <c r="L1616" s="161"/>
      <c r="M1616" s="163"/>
      <c r="N1616" s="163" t="str">
        <f t="shared" si="29"/>
        <v/>
      </c>
      <c r="O1616" s="41"/>
      <c r="P1616" s="41"/>
      <c r="Q1616" s="161" t="str">
        <f>+IF(OR(O1616="Fire Control",O1616="Fire Tex 5062",O1616="Fire Tex 5090",O1616="Fire Tex 5120"),'CALCULO PINTURA'!P1617," ")</f>
        <v xml:space="preserve"> </v>
      </c>
      <c r="R1616" s="164" t="str">
        <f>+IF(OR(O1616="Fire Control",O1616="Fire Tex 5062",O1616="Fire Tex 5090",O1616="Fire Tex 5120"),'CALCULO PINTURA'!R1617," ")</f>
        <v xml:space="preserve"> </v>
      </c>
      <c r="S1616" s="164" t="str">
        <f>+IF(OR(O1616="Fire Control",O1616="Fire Tex 5062",O1616="Fire Tex 5090",O1616="Fire Tex 5120"),'CALCULO PINTURA'!S1617," ")</f>
        <v xml:space="preserve"> </v>
      </c>
      <c r="T1616" s="874" t="str">
        <f>+IF(OR(O1616="Blaze Shield II",O1616="Cafco 400",O1616="Cafco 300"),'CALCULO MORTERO'!N1622," ")</f>
        <v xml:space="preserve"> </v>
      </c>
      <c r="U1616" s="875" t="str">
        <f>+IF(OR(O1616="Blaze Shield II",O1616="Cafco 400",O1616="Cafco 300"),'CALCULO MORTERO'!O1622," ")</f>
        <v xml:space="preserve"> </v>
      </c>
      <c r="V1616" s="161" t="str" cm="1">
        <f t="array" ref="V1616">_xlfn.IFS(O1616="Blaze Shield II",'CALCULO MORTERO'!P1617, O1616="Cafco 400",'CALCULO MORTERO'!Q1617,O1616="Cafco 300",'CALCULO MORTERO'!S1617, AND(OR(O1616="Fire tex 5090", O1616="Fire Tex 5062", O1616="Fire Tex 5120", O1616="Fire Control"),Q1616&gt;0), "CERT.",TRUE,"-")</f>
        <v>-</v>
      </c>
    </row>
    <row r="1617" spans="1:22" x14ac:dyDescent="0.25">
      <c r="A1617" s="168"/>
      <c r="B1617" s="876"/>
      <c r="C1617" s="161"/>
      <c r="D1617" s="161"/>
      <c r="E1617" s="161"/>
      <c r="F1617" s="161"/>
      <c r="G1617" s="161"/>
      <c r="H1617" s="161"/>
      <c r="I1617" s="166"/>
      <c r="J1617" s="162"/>
      <c r="K1617" s="161"/>
      <c r="L1617" s="161"/>
      <c r="M1617" s="163"/>
      <c r="N1617" s="163" t="str">
        <f t="shared" si="29"/>
        <v/>
      </c>
      <c r="O1617" s="41"/>
      <c r="P1617" s="41"/>
      <c r="Q1617" s="161" t="str">
        <f>+IF(OR(O1617="Fire Control",O1617="Fire Tex 5062",O1617="Fire Tex 5090",O1617="Fire Tex 5120"),'CALCULO PINTURA'!P1618," ")</f>
        <v xml:space="preserve"> </v>
      </c>
      <c r="R1617" s="164" t="str">
        <f>+IF(OR(O1617="Fire Control",O1617="Fire Tex 5062",O1617="Fire Tex 5090",O1617="Fire Tex 5120"),'CALCULO PINTURA'!R1618," ")</f>
        <v xml:space="preserve"> </v>
      </c>
      <c r="S1617" s="164" t="str">
        <f>+IF(OR(O1617="Fire Control",O1617="Fire Tex 5062",O1617="Fire Tex 5090",O1617="Fire Tex 5120"),'CALCULO PINTURA'!S1618," ")</f>
        <v xml:space="preserve"> </v>
      </c>
      <c r="T1617" s="874" t="str">
        <f>+IF(OR(O1617="Blaze Shield II",O1617="Cafco 400",O1617="Cafco 300"),'CALCULO MORTERO'!N1623," ")</f>
        <v xml:space="preserve"> </v>
      </c>
      <c r="U1617" s="875" t="str">
        <f>+IF(OR(O1617="Blaze Shield II",O1617="Cafco 400",O1617="Cafco 300"),'CALCULO MORTERO'!O1623," ")</f>
        <v xml:space="preserve"> </v>
      </c>
      <c r="V1617" s="161" t="str" cm="1">
        <f t="array" ref="V1617">_xlfn.IFS(O1617="Blaze Shield II",'CALCULO MORTERO'!P1618, O1617="Cafco 400",'CALCULO MORTERO'!Q1618,O1617="Cafco 300",'CALCULO MORTERO'!S1618, AND(OR(O1617="Fire tex 5090", O1617="Fire Tex 5062", O1617="Fire Tex 5120", O1617="Fire Control"),Q1617&gt;0), "CERT.",TRUE,"-")</f>
        <v>-</v>
      </c>
    </row>
    <row r="1618" spans="1:22" x14ac:dyDescent="0.25">
      <c r="A1618" s="168"/>
      <c r="B1618" s="876"/>
      <c r="C1618" s="161"/>
      <c r="D1618" s="161"/>
      <c r="E1618" s="161"/>
      <c r="F1618" s="161"/>
      <c r="G1618" s="161"/>
      <c r="H1618" s="161"/>
      <c r="I1618" s="166"/>
      <c r="J1618" s="162"/>
      <c r="K1618" s="161"/>
      <c r="L1618" s="161"/>
      <c r="M1618" s="169"/>
      <c r="N1618" s="163" t="str">
        <f t="shared" si="29"/>
        <v/>
      </c>
      <c r="O1618" s="41"/>
      <c r="P1618" s="41"/>
      <c r="Q1618" s="161" t="str">
        <f>+IF(OR(O1618="Fire Control",O1618="Fire Tex 5062",O1618="Fire Tex 5090",O1618="Fire Tex 5120"),'CALCULO PINTURA'!P1619," ")</f>
        <v xml:space="preserve"> </v>
      </c>
      <c r="R1618" s="164" t="str">
        <f>+IF(OR(O1618="Fire Control",O1618="Fire Tex 5062",O1618="Fire Tex 5090",O1618="Fire Tex 5120"),'CALCULO PINTURA'!R1619," ")</f>
        <v xml:space="preserve"> </v>
      </c>
      <c r="S1618" s="164" t="str">
        <f>+IF(OR(O1618="Fire Control",O1618="Fire Tex 5062",O1618="Fire Tex 5090",O1618="Fire Tex 5120"),'CALCULO PINTURA'!S1619," ")</f>
        <v xml:space="preserve"> </v>
      </c>
      <c r="T1618" s="874" t="str">
        <f>+IF(OR(O1618="Blaze Shield II",O1618="Cafco 400",O1618="Cafco 300"),'CALCULO MORTERO'!N1624," ")</f>
        <v xml:space="preserve"> </v>
      </c>
      <c r="U1618" s="875" t="str">
        <f>+IF(OR(O1618="Blaze Shield II",O1618="Cafco 400",O1618="Cafco 300"),'CALCULO MORTERO'!O1624," ")</f>
        <v xml:space="preserve"> </v>
      </c>
      <c r="V1618" s="161" t="str" cm="1">
        <f t="array" ref="V1618">_xlfn.IFS(O1618="Blaze Shield II",'CALCULO MORTERO'!P1619, O1618="Cafco 400",'CALCULO MORTERO'!Q1619,O1618="Cafco 300",'CALCULO MORTERO'!S1619, AND(OR(O1618="Fire tex 5090", O1618="Fire Tex 5062", O1618="Fire Tex 5120", O1618="Fire Control"),Q1618&gt;0), "CERT.",TRUE,"-")</f>
        <v>-</v>
      </c>
    </row>
    <row r="1619" spans="1:22" x14ac:dyDescent="0.25">
      <c r="A1619" s="168"/>
      <c r="B1619" s="876"/>
      <c r="C1619" s="161"/>
      <c r="D1619" s="161"/>
      <c r="E1619" s="161"/>
      <c r="F1619" s="41"/>
      <c r="G1619" s="161"/>
      <c r="H1619" s="161"/>
      <c r="I1619" s="166"/>
      <c r="J1619" s="162"/>
      <c r="K1619" s="161"/>
      <c r="L1619" s="161"/>
      <c r="M1619" s="163"/>
      <c r="N1619" s="163" t="str">
        <f t="shared" si="29"/>
        <v/>
      </c>
      <c r="O1619" s="41"/>
      <c r="P1619" s="41"/>
      <c r="Q1619" s="161" t="str">
        <f>+IF(OR(O1619="Fire Control",O1619="Fire Tex 5062",O1619="Fire Tex 5090",O1619="Fire Tex 5120"),'CALCULO PINTURA'!P1620," ")</f>
        <v xml:space="preserve"> </v>
      </c>
      <c r="R1619" s="164" t="str">
        <f>+IF(OR(O1619="Fire Control",O1619="Fire Tex 5062",O1619="Fire Tex 5090",O1619="Fire Tex 5120"),'CALCULO PINTURA'!R1620," ")</f>
        <v xml:space="preserve"> </v>
      </c>
      <c r="S1619" s="164" t="str">
        <f>+IF(OR(O1619="Fire Control",O1619="Fire Tex 5062",O1619="Fire Tex 5090",O1619="Fire Tex 5120"),'CALCULO PINTURA'!S1620," ")</f>
        <v xml:space="preserve"> </v>
      </c>
      <c r="T1619" s="874" t="str">
        <f>+IF(OR(O1619="Blaze Shield II",O1619="Cafco 400",O1619="Cafco 300"),'CALCULO MORTERO'!N1625," ")</f>
        <v xml:space="preserve"> </v>
      </c>
      <c r="U1619" s="875" t="str">
        <f>+IF(OR(O1619="Blaze Shield II",O1619="Cafco 400",O1619="Cafco 300"),'CALCULO MORTERO'!O1625," ")</f>
        <v xml:space="preserve"> </v>
      </c>
      <c r="V1619" s="161" t="str" cm="1">
        <f t="array" ref="V1619">_xlfn.IFS(O1619="Blaze Shield II",'CALCULO MORTERO'!P1620, O1619="Cafco 400",'CALCULO MORTERO'!Q1620,O1619="Cafco 300",'CALCULO MORTERO'!S1620, AND(OR(O1619="Fire tex 5090", O1619="Fire Tex 5062", O1619="Fire Tex 5120", O1619="Fire Control"),Q1619&gt;0), "CERT.",TRUE,"-")</f>
        <v>-</v>
      </c>
    </row>
    <row r="1620" spans="1:22" x14ac:dyDescent="0.25">
      <c r="A1620" s="168"/>
      <c r="B1620" s="876"/>
      <c r="C1620" s="161"/>
      <c r="D1620" s="161"/>
      <c r="E1620" s="161"/>
      <c r="F1620" s="161"/>
      <c r="G1620" s="161"/>
      <c r="H1620" s="161"/>
      <c r="I1620" s="166"/>
      <c r="J1620" s="162"/>
      <c r="K1620" s="161"/>
      <c r="L1620" s="161"/>
      <c r="M1620" s="163"/>
      <c r="N1620" s="163" t="str">
        <f t="shared" si="29"/>
        <v/>
      </c>
      <c r="O1620" s="41"/>
      <c r="P1620" s="41"/>
      <c r="Q1620" s="161" t="str">
        <f>+IF(OR(O1620="Fire Control",O1620="Fire Tex 5062",O1620="Fire Tex 5090",O1620="Fire Tex 5120"),'CALCULO PINTURA'!P1621," ")</f>
        <v xml:space="preserve"> </v>
      </c>
      <c r="R1620" s="164" t="str">
        <f>+IF(OR(O1620="Fire Control",O1620="Fire Tex 5062",O1620="Fire Tex 5090",O1620="Fire Tex 5120"),'CALCULO PINTURA'!R1621," ")</f>
        <v xml:space="preserve"> </v>
      </c>
      <c r="S1620" s="164" t="str">
        <f>+IF(OR(O1620="Fire Control",O1620="Fire Tex 5062",O1620="Fire Tex 5090",O1620="Fire Tex 5120"),'CALCULO PINTURA'!S1621," ")</f>
        <v xml:space="preserve"> </v>
      </c>
      <c r="T1620" s="874" t="str">
        <f>+IF(OR(O1620="Blaze Shield II",O1620="Cafco 400",O1620="Cafco 300"),'CALCULO MORTERO'!N1626," ")</f>
        <v xml:space="preserve"> </v>
      </c>
      <c r="U1620" s="875" t="str">
        <f>+IF(OR(O1620="Blaze Shield II",O1620="Cafco 400",O1620="Cafco 300"),'CALCULO MORTERO'!O1626," ")</f>
        <v xml:space="preserve"> </v>
      </c>
      <c r="V1620" s="161" t="str" cm="1">
        <f t="array" ref="V1620">_xlfn.IFS(O1620="Blaze Shield II",'CALCULO MORTERO'!P1621, O1620="Cafco 400",'CALCULO MORTERO'!Q1621,O1620="Cafco 300",'CALCULO MORTERO'!S1621, AND(OR(O1620="Fire tex 5090", O1620="Fire Tex 5062", O1620="Fire Tex 5120", O1620="Fire Control"),Q1620&gt;0), "CERT.",TRUE,"-")</f>
        <v>-</v>
      </c>
    </row>
    <row r="1621" spans="1:22" x14ac:dyDescent="0.25">
      <c r="O1621" s="170"/>
    </row>
    <row r="1622" spans="1:22" x14ac:dyDescent="0.25">
      <c r="O1622" s="170"/>
    </row>
    <row r="1623" spans="1:22" x14ac:dyDescent="0.25">
      <c r="O1623" s="170"/>
    </row>
    <row r="1624" spans="1:22" x14ac:dyDescent="0.25">
      <c r="O1624" s="170"/>
    </row>
    <row r="1625" spans="1:22" x14ac:dyDescent="0.25">
      <c r="O1625" s="170"/>
    </row>
    <row r="1626" spans="1:22" x14ac:dyDescent="0.25">
      <c r="O1626" s="170"/>
    </row>
    <row r="1627" spans="1:22" x14ac:dyDescent="0.25">
      <c r="O1627" s="170"/>
    </row>
    <row r="1628" spans="1:22" x14ac:dyDescent="0.25">
      <c r="O1628" s="170"/>
    </row>
    <row r="1629" spans="1:22" x14ac:dyDescent="0.25">
      <c r="O1629" s="170"/>
    </row>
    <row r="1630" spans="1:22" x14ac:dyDescent="0.25">
      <c r="O1630" s="170"/>
    </row>
    <row r="1631" spans="1:22" x14ac:dyDescent="0.25">
      <c r="O1631" s="170"/>
    </row>
    <row r="1632" spans="1:22" x14ac:dyDescent="0.25">
      <c r="O1632" s="170"/>
    </row>
    <row r="1633" spans="15:15" x14ac:dyDescent="0.25">
      <c r="O1633" s="170"/>
    </row>
    <row r="1634" spans="15:15" x14ac:dyDescent="0.25">
      <c r="O1634" s="170"/>
    </row>
    <row r="1635" spans="15:15" x14ac:dyDescent="0.25">
      <c r="O1635" s="170"/>
    </row>
    <row r="1636" spans="15:15" x14ac:dyDescent="0.25">
      <c r="O1636" s="170"/>
    </row>
    <row r="1637" spans="15:15" x14ac:dyDescent="0.25">
      <c r="O1637" s="170"/>
    </row>
    <row r="1638" spans="15:15" x14ac:dyDescent="0.25">
      <c r="O1638" s="170"/>
    </row>
    <row r="1639" spans="15:15" x14ac:dyDescent="0.25">
      <c r="O1639" s="170"/>
    </row>
    <row r="1640" spans="15:15" x14ac:dyDescent="0.25">
      <c r="O1640" s="170"/>
    </row>
    <row r="1641" spans="15:15" x14ac:dyDescent="0.25">
      <c r="O1641" s="170"/>
    </row>
    <row r="1642" spans="15:15" x14ac:dyDescent="0.25">
      <c r="O1642" s="170"/>
    </row>
    <row r="1643" spans="15:15" x14ac:dyDescent="0.25">
      <c r="O1643" s="170"/>
    </row>
    <row r="1644" spans="15:15" x14ac:dyDescent="0.25">
      <c r="O1644" s="170"/>
    </row>
    <row r="1645" spans="15:15" x14ac:dyDescent="0.25">
      <c r="O1645" s="170"/>
    </row>
    <row r="1646" spans="15:15" x14ac:dyDescent="0.25">
      <c r="O1646" s="170"/>
    </row>
    <row r="1647" spans="15:15" x14ac:dyDescent="0.25">
      <c r="O1647" s="170"/>
    </row>
    <row r="1648" spans="15:15" x14ac:dyDescent="0.25">
      <c r="O1648" s="170"/>
    </row>
    <row r="1649" spans="15:15" x14ac:dyDescent="0.25">
      <c r="O1649" s="170"/>
    </row>
    <row r="1650" spans="15:15" x14ac:dyDescent="0.25">
      <c r="O1650" s="170"/>
    </row>
    <row r="1651" spans="15:15" x14ac:dyDescent="0.25">
      <c r="O1651" s="170"/>
    </row>
    <row r="1652" spans="15:15" x14ac:dyDescent="0.25">
      <c r="O1652" s="170"/>
    </row>
    <row r="1653" spans="15:15" x14ac:dyDescent="0.25">
      <c r="O1653" s="170"/>
    </row>
    <row r="1654" spans="15:15" x14ac:dyDescent="0.25">
      <c r="O1654" s="170"/>
    </row>
    <row r="1655" spans="15:15" x14ac:dyDescent="0.25">
      <c r="O1655" s="170"/>
    </row>
    <row r="1656" spans="15:15" x14ac:dyDescent="0.25">
      <c r="O1656" s="170"/>
    </row>
    <row r="1657" spans="15:15" x14ac:dyDescent="0.25">
      <c r="O1657" s="170"/>
    </row>
    <row r="1658" spans="15:15" x14ac:dyDescent="0.25">
      <c r="O1658" s="170"/>
    </row>
    <row r="1659" spans="15:15" x14ac:dyDescent="0.25">
      <c r="O1659" s="170"/>
    </row>
    <row r="1660" spans="15:15" x14ac:dyDescent="0.25">
      <c r="O1660" s="170"/>
    </row>
    <row r="1661" spans="15:15" x14ac:dyDescent="0.25">
      <c r="O1661" s="170"/>
    </row>
    <row r="1662" spans="15:15" x14ac:dyDescent="0.25">
      <c r="O1662" s="170"/>
    </row>
    <row r="1663" spans="15:15" x14ac:dyDescent="0.25">
      <c r="O1663" s="170"/>
    </row>
    <row r="1664" spans="15:15" x14ac:dyDescent="0.25">
      <c r="O1664" s="170"/>
    </row>
    <row r="1665" spans="15:15" x14ac:dyDescent="0.25">
      <c r="O1665" s="170"/>
    </row>
    <row r="1666" spans="15:15" x14ac:dyDescent="0.25">
      <c r="O1666" s="170"/>
    </row>
    <row r="1667" spans="15:15" x14ac:dyDescent="0.25">
      <c r="O1667" s="170"/>
    </row>
    <row r="1668" spans="15:15" x14ac:dyDescent="0.25">
      <c r="O1668" s="170"/>
    </row>
    <row r="1669" spans="15:15" x14ac:dyDescent="0.25">
      <c r="O1669" s="170"/>
    </row>
    <row r="1670" spans="15:15" x14ac:dyDescent="0.25">
      <c r="O1670" s="170"/>
    </row>
    <row r="1671" spans="15:15" x14ac:dyDescent="0.25">
      <c r="O1671" s="170"/>
    </row>
    <row r="1672" spans="15:15" x14ac:dyDescent="0.25">
      <c r="O1672" s="170"/>
    </row>
    <row r="1673" spans="15:15" x14ac:dyDescent="0.25">
      <c r="O1673" s="170"/>
    </row>
    <row r="1674" spans="15:15" x14ac:dyDescent="0.25">
      <c r="O1674" s="170"/>
    </row>
    <row r="1675" spans="15:15" x14ac:dyDescent="0.25">
      <c r="O1675" s="170"/>
    </row>
    <row r="1676" spans="15:15" x14ac:dyDescent="0.25">
      <c r="O1676" s="170"/>
    </row>
    <row r="1677" spans="15:15" x14ac:dyDescent="0.25">
      <c r="O1677" s="170"/>
    </row>
    <row r="1678" spans="15:15" x14ac:dyDescent="0.25">
      <c r="O1678" s="170"/>
    </row>
    <row r="1679" spans="15:15" x14ac:dyDescent="0.25">
      <c r="O1679" s="170"/>
    </row>
    <row r="1680" spans="15:15" x14ac:dyDescent="0.25">
      <c r="O1680" s="170"/>
    </row>
    <row r="1681" spans="15:15" x14ac:dyDescent="0.25">
      <c r="O1681" s="170"/>
    </row>
    <row r="1682" spans="15:15" x14ac:dyDescent="0.25">
      <c r="O1682" s="170"/>
    </row>
    <row r="1683" spans="15:15" x14ac:dyDescent="0.25">
      <c r="O1683" s="170"/>
    </row>
    <row r="1684" spans="15:15" x14ac:dyDescent="0.25">
      <c r="O1684" s="170"/>
    </row>
    <row r="1685" spans="15:15" x14ac:dyDescent="0.25">
      <c r="O1685" s="170"/>
    </row>
    <row r="1686" spans="15:15" x14ac:dyDescent="0.25">
      <c r="O1686" s="170"/>
    </row>
    <row r="1687" spans="15:15" x14ac:dyDescent="0.25">
      <c r="O1687" s="170"/>
    </row>
    <row r="1688" spans="15:15" x14ac:dyDescent="0.25">
      <c r="O1688" s="170"/>
    </row>
    <row r="1689" spans="15:15" x14ac:dyDescent="0.25">
      <c r="O1689" s="170"/>
    </row>
    <row r="1690" spans="15:15" x14ac:dyDescent="0.25">
      <c r="O1690" s="170"/>
    </row>
    <row r="1691" spans="15:15" x14ac:dyDescent="0.25">
      <c r="O1691" s="170"/>
    </row>
    <row r="1692" spans="15:15" x14ac:dyDescent="0.25">
      <c r="O1692" s="170"/>
    </row>
    <row r="1693" spans="15:15" x14ac:dyDescent="0.25">
      <c r="O1693" s="170"/>
    </row>
    <row r="1694" spans="15:15" x14ac:dyDescent="0.25">
      <c r="O1694" s="170"/>
    </row>
    <row r="1695" spans="15:15" x14ac:dyDescent="0.25">
      <c r="O1695" s="170"/>
    </row>
    <row r="1696" spans="15:15" x14ac:dyDescent="0.25">
      <c r="O1696" s="170"/>
    </row>
    <row r="1697" spans="15:15" x14ac:dyDescent="0.25">
      <c r="O1697" s="170"/>
    </row>
    <row r="1698" spans="15:15" x14ac:dyDescent="0.25">
      <c r="O1698" s="170"/>
    </row>
    <row r="1699" spans="15:15" x14ac:dyDescent="0.25">
      <c r="O1699" s="170"/>
    </row>
    <row r="1700" spans="15:15" x14ac:dyDescent="0.25">
      <c r="O1700" s="170"/>
    </row>
    <row r="1701" spans="15:15" x14ac:dyDescent="0.25">
      <c r="O1701" s="170"/>
    </row>
    <row r="1702" spans="15:15" x14ac:dyDescent="0.25">
      <c r="O1702" s="170"/>
    </row>
    <row r="1703" spans="15:15" x14ac:dyDescent="0.25">
      <c r="O1703" s="170"/>
    </row>
    <row r="1704" spans="15:15" x14ac:dyDescent="0.25">
      <c r="O1704" s="170"/>
    </row>
    <row r="1705" spans="15:15" x14ac:dyDescent="0.25">
      <c r="O1705" s="170"/>
    </row>
    <row r="1706" spans="15:15" x14ac:dyDescent="0.25">
      <c r="O1706" s="170"/>
    </row>
    <row r="1707" spans="15:15" x14ac:dyDescent="0.25">
      <c r="O1707" s="170"/>
    </row>
    <row r="1708" spans="15:15" x14ac:dyDescent="0.25">
      <c r="O1708" s="170"/>
    </row>
    <row r="1709" spans="15:15" x14ac:dyDescent="0.25">
      <c r="O1709" s="170"/>
    </row>
    <row r="1710" spans="15:15" x14ac:dyDescent="0.25">
      <c r="O1710" s="170"/>
    </row>
    <row r="1711" spans="15:15" x14ac:dyDescent="0.25">
      <c r="O1711" s="170"/>
    </row>
    <row r="1712" spans="15:15" x14ac:dyDescent="0.25">
      <c r="O1712" s="170"/>
    </row>
    <row r="1713" spans="15:15" x14ac:dyDescent="0.25">
      <c r="O1713" s="170"/>
    </row>
    <row r="1714" spans="15:15" x14ac:dyDescent="0.25">
      <c r="O1714" s="170"/>
    </row>
    <row r="1715" spans="15:15" x14ac:dyDescent="0.25">
      <c r="O1715" s="170"/>
    </row>
    <row r="1716" spans="15:15" x14ac:dyDescent="0.25">
      <c r="O1716" s="170"/>
    </row>
    <row r="1717" spans="15:15" x14ac:dyDescent="0.25">
      <c r="O1717" s="170"/>
    </row>
    <row r="1718" spans="15:15" x14ac:dyDescent="0.25">
      <c r="O1718" s="170"/>
    </row>
    <row r="1719" spans="15:15" x14ac:dyDescent="0.25">
      <c r="O1719" s="170"/>
    </row>
    <row r="1720" spans="15:15" x14ac:dyDescent="0.25">
      <c r="O1720" s="170"/>
    </row>
    <row r="1721" spans="15:15" x14ac:dyDescent="0.25">
      <c r="O1721" s="170"/>
    </row>
    <row r="1722" spans="15:15" x14ac:dyDescent="0.25">
      <c r="O1722" s="170"/>
    </row>
    <row r="1723" spans="15:15" x14ac:dyDescent="0.25">
      <c r="O1723" s="170"/>
    </row>
    <row r="1724" spans="15:15" x14ac:dyDescent="0.25">
      <c r="O1724" s="170"/>
    </row>
    <row r="1725" spans="15:15" x14ac:dyDescent="0.25">
      <c r="O1725" s="170"/>
    </row>
    <row r="1726" spans="15:15" x14ac:dyDescent="0.25">
      <c r="O1726" s="170"/>
    </row>
    <row r="1727" spans="15:15" x14ac:dyDescent="0.25">
      <c r="O1727" s="170"/>
    </row>
    <row r="1728" spans="15:15" x14ac:dyDescent="0.25">
      <c r="O1728" s="170"/>
    </row>
    <row r="1729" spans="15:15" x14ac:dyDescent="0.25">
      <c r="O1729" s="170"/>
    </row>
    <row r="1730" spans="15:15" x14ac:dyDescent="0.25">
      <c r="O1730" s="170"/>
    </row>
    <row r="1731" spans="15:15" x14ac:dyDescent="0.25">
      <c r="O1731" s="170"/>
    </row>
    <row r="1732" spans="15:15" x14ac:dyDescent="0.25">
      <c r="O1732" s="170"/>
    </row>
    <row r="1733" spans="15:15" x14ac:dyDescent="0.25">
      <c r="O1733" s="170"/>
    </row>
    <row r="1734" spans="15:15" x14ac:dyDescent="0.25">
      <c r="O1734" s="170"/>
    </row>
    <row r="1735" spans="15:15" x14ac:dyDescent="0.25">
      <c r="O1735" s="170"/>
    </row>
    <row r="1736" spans="15:15" x14ac:dyDescent="0.25">
      <c r="O1736" s="170"/>
    </row>
    <row r="1737" spans="15:15" x14ac:dyDescent="0.25">
      <c r="O1737" s="170"/>
    </row>
    <row r="1738" spans="15:15" x14ac:dyDescent="0.25">
      <c r="O1738" s="170"/>
    </row>
    <row r="1739" spans="15:15" x14ac:dyDescent="0.25">
      <c r="O1739" s="170"/>
    </row>
    <row r="1740" spans="15:15" x14ac:dyDescent="0.25">
      <c r="O1740" s="170"/>
    </row>
    <row r="1741" spans="15:15" x14ac:dyDescent="0.25">
      <c r="O1741" s="170"/>
    </row>
    <row r="1742" spans="15:15" x14ac:dyDescent="0.25">
      <c r="O1742" s="170"/>
    </row>
    <row r="1743" spans="15:15" x14ac:dyDescent="0.25">
      <c r="O1743" s="170"/>
    </row>
    <row r="1744" spans="15:15" x14ac:dyDescent="0.25">
      <c r="O1744" s="170"/>
    </row>
    <row r="1745" spans="15:15" x14ac:dyDescent="0.25">
      <c r="O1745" s="170"/>
    </row>
    <row r="1746" spans="15:15" x14ac:dyDescent="0.25">
      <c r="O1746" s="170"/>
    </row>
    <row r="1747" spans="15:15" x14ac:dyDescent="0.25">
      <c r="O1747" s="170"/>
    </row>
    <row r="1748" spans="15:15" x14ac:dyDescent="0.25">
      <c r="O1748" s="170"/>
    </row>
    <row r="1749" spans="15:15" x14ac:dyDescent="0.25">
      <c r="O1749" s="170"/>
    </row>
    <row r="1750" spans="15:15" x14ac:dyDescent="0.25">
      <c r="O1750" s="170"/>
    </row>
    <row r="1751" spans="15:15" x14ac:dyDescent="0.25">
      <c r="O1751" s="170"/>
    </row>
    <row r="1752" spans="15:15" x14ac:dyDescent="0.25">
      <c r="O1752" s="170"/>
    </row>
    <row r="1753" spans="15:15" x14ac:dyDescent="0.25">
      <c r="O1753" s="170"/>
    </row>
    <row r="1754" spans="15:15" x14ac:dyDescent="0.25">
      <c r="O1754" s="170"/>
    </row>
    <row r="1755" spans="15:15" x14ac:dyDescent="0.25">
      <c r="O1755" s="170"/>
    </row>
    <row r="1048576" spans="11:13" x14ac:dyDescent="0.25">
      <c r="K1048576" s="874"/>
      <c r="L1048576" s="161"/>
      <c r="M1048576" s="169"/>
    </row>
  </sheetData>
  <autoFilter ref="A8:V1620" xr:uid="{00000000-0001-0000-0200-000000000000}"/>
  <mergeCells count="3">
    <mergeCell ref="E1:F1"/>
    <mergeCell ref="H1:I1"/>
    <mergeCell ref="K1:L1"/>
  </mergeCells>
  <phoneticPr fontId="10" type="noConversion"/>
  <conditionalFormatting sqref="D1:D2">
    <cfRule type="cellIs" dxfId="103" priority="34" operator="equal">
      <formula>"Viga bajo losa"</formula>
    </cfRule>
    <cfRule type="cellIs" dxfId="102" priority="35" operator="equal">
      <formula>"Costanera de cubierta"</formula>
    </cfRule>
  </conditionalFormatting>
  <conditionalFormatting sqref="D5:D8 D121:D1048576">
    <cfRule type="cellIs" dxfId="101" priority="9" operator="equal">
      <formula>"Viga bajo losa"</formula>
    </cfRule>
    <cfRule type="cellIs" dxfId="100" priority="10" operator="equal">
      <formula>"Costanera de cubierta"</formula>
    </cfRule>
  </conditionalFormatting>
  <conditionalFormatting sqref="J9:J1620">
    <cfRule type="cellIs" dxfId="99" priority="36" operator="equal">
      <formula>4</formula>
    </cfRule>
    <cfRule type="cellIs" dxfId="98" priority="37" operator="equal">
      <formula>3</formula>
    </cfRule>
  </conditionalFormatting>
  <conditionalFormatting sqref="T9:T1620">
    <cfRule type="cellIs" dxfId="97" priority="40" operator="greaterThan">
      <formula>49</formula>
    </cfRule>
  </conditionalFormatting>
  <conditionalFormatting sqref="V9:V1620">
    <cfRule type="duplicateValues" dxfId="96" priority="1"/>
    <cfRule type="cellIs" dxfId="95" priority="2" operator="equal">
      <formula>"""No es certificable"""</formula>
    </cfRule>
  </conditionalFormatting>
  <dataValidations count="2">
    <dataValidation type="list" allowBlank="1" showInputMessage="1" showErrorMessage="1" sqref="P9:P1620" xr:uid="{00000000-0002-0000-0200-000000000000}">
      <formula1>$AO$9:$AO$10</formula1>
    </dataValidation>
    <dataValidation type="list" allowBlank="1" showInputMessage="1" showErrorMessage="1" sqref="O9:O1755" xr:uid="{00000000-0002-0000-0200-000001000000}">
      <formula1>$AM$9:$AM$15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C1:G37"/>
  <sheetViews>
    <sheetView showGridLines="0" topLeftCell="B1" zoomScale="85" zoomScaleNormal="85" workbookViewId="0">
      <selection activeCell="I40" sqref="I40"/>
    </sheetView>
  </sheetViews>
  <sheetFormatPr baseColWidth="10" defaultColWidth="11.42578125" defaultRowHeight="15" x14ac:dyDescent="0.25"/>
  <cols>
    <col min="1" max="2" width="11.42578125" style="6"/>
    <col min="3" max="3" width="11.85546875" style="6" customWidth="1"/>
    <col min="4" max="16384" width="11.42578125" style="6"/>
  </cols>
  <sheetData>
    <row r="1" spans="3:7" ht="15.75" thickBot="1" x14ac:dyDescent="0.3"/>
    <row r="2" spans="3:7" ht="17.25" customHeight="1" thickBot="1" x14ac:dyDescent="0.3">
      <c r="C2" s="1012" t="s">
        <v>79</v>
      </c>
      <c r="D2" s="1014" t="s">
        <v>470</v>
      </c>
      <c r="E2" s="1014"/>
      <c r="F2" s="1014"/>
      <c r="G2" s="1015"/>
    </row>
    <row r="3" spans="3:7" ht="15.75" thickBot="1" x14ac:dyDescent="0.3">
      <c r="C3" s="1013"/>
      <c r="D3" s="688" t="s">
        <v>471</v>
      </c>
      <c r="E3" s="689" t="s">
        <v>472</v>
      </c>
      <c r="F3" s="689" t="s">
        <v>473</v>
      </c>
      <c r="G3" s="690" t="s">
        <v>81</v>
      </c>
    </row>
    <row r="4" spans="3:7" ht="15.75" thickBot="1" x14ac:dyDescent="0.3">
      <c r="C4" s="691">
        <v>60</v>
      </c>
      <c r="D4" s="58">
        <v>400</v>
      </c>
      <c r="E4" s="58">
        <v>400</v>
      </c>
      <c r="F4" s="692">
        <v>700</v>
      </c>
      <c r="G4" s="693">
        <v>1300</v>
      </c>
    </row>
    <row r="5" spans="3:7" ht="15.75" thickBot="1" x14ac:dyDescent="0.3">
      <c r="C5" s="694">
        <v>70</v>
      </c>
      <c r="D5" s="59">
        <v>400</v>
      </c>
      <c r="E5" s="59">
        <v>400</v>
      </c>
      <c r="F5" s="692">
        <v>750</v>
      </c>
      <c r="G5" s="693">
        <v>1400</v>
      </c>
    </row>
    <row r="6" spans="3:7" ht="15.75" thickBot="1" x14ac:dyDescent="0.3">
      <c r="C6" s="694">
        <v>80</v>
      </c>
      <c r="D6" s="59">
        <v>400</v>
      </c>
      <c r="E6" s="59">
        <v>400</v>
      </c>
      <c r="F6" s="61">
        <v>800</v>
      </c>
      <c r="G6" s="693">
        <v>1450</v>
      </c>
    </row>
    <row r="7" spans="3:7" ht="15.75" thickBot="1" x14ac:dyDescent="0.3">
      <c r="C7" s="694">
        <v>90</v>
      </c>
      <c r="D7" s="59">
        <v>400</v>
      </c>
      <c r="E7" s="59">
        <v>400</v>
      </c>
      <c r="F7" s="58">
        <v>850</v>
      </c>
      <c r="G7" s="692">
        <v>1550</v>
      </c>
    </row>
    <row r="8" spans="3:7" ht="15.75" thickBot="1" x14ac:dyDescent="0.3">
      <c r="C8" s="694">
        <v>100</v>
      </c>
      <c r="D8" s="59">
        <v>400</v>
      </c>
      <c r="E8" s="59">
        <v>400</v>
      </c>
      <c r="F8" s="60">
        <v>850</v>
      </c>
      <c r="G8" s="692">
        <v>1650</v>
      </c>
    </row>
    <row r="9" spans="3:7" ht="15.75" thickBot="1" x14ac:dyDescent="0.3">
      <c r="C9" s="694">
        <v>110</v>
      </c>
      <c r="D9" s="59">
        <v>400</v>
      </c>
      <c r="E9" s="59">
        <v>400</v>
      </c>
      <c r="F9" s="63">
        <v>900</v>
      </c>
      <c r="G9" s="693">
        <v>1700</v>
      </c>
    </row>
    <row r="10" spans="3:7" ht="15.75" thickBot="1" x14ac:dyDescent="0.3">
      <c r="C10" s="694">
        <v>120</v>
      </c>
      <c r="D10" s="59">
        <v>400</v>
      </c>
      <c r="E10" s="59">
        <v>400</v>
      </c>
      <c r="F10" s="692">
        <v>950</v>
      </c>
      <c r="G10" s="693">
        <v>1800</v>
      </c>
    </row>
    <row r="11" spans="3:7" ht="15.75" thickBot="1" x14ac:dyDescent="0.3">
      <c r="C11" s="694">
        <v>130</v>
      </c>
      <c r="D11" s="59">
        <v>400</v>
      </c>
      <c r="E11" s="59">
        <v>400</v>
      </c>
      <c r="F11" s="692">
        <v>1000</v>
      </c>
      <c r="G11" s="62"/>
    </row>
    <row r="12" spans="3:7" ht="15.75" thickBot="1" x14ac:dyDescent="0.3">
      <c r="C12" s="694">
        <v>140</v>
      </c>
      <c r="D12" s="59">
        <v>400</v>
      </c>
      <c r="E12" s="60">
        <v>400</v>
      </c>
      <c r="F12" s="61">
        <v>1050</v>
      </c>
      <c r="G12" s="62"/>
    </row>
    <row r="13" spans="3:7" x14ac:dyDescent="0.25">
      <c r="C13" s="694">
        <v>150</v>
      </c>
      <c r="D13" s="59">
        <v>400</v>
      </c>
      <c r="E13" s="58">
        <v>450</v>
      </c>
      <c r="F13" s="58">
        <v>1100</v>
      </c>
      <c r="G13" s="62"/>
    </row>
    <row r="14" spans="3:7" ht="15.75" thickBot="1" x14ac:dyDescent="0.3">
      <c r="C14" s="694">
        <v>160</v>
      </c>
      <c r="D14" s="59">
        <v>400</v>
      </c>
      <c r="E14" s="60">
        <v>450</v>
      </c>
      <c r="F14" s="60">
        <v>1100</v>
      </c>
      <c r="G14" s="62"/>
    </row>
    <row r="15" spans="3:7" ht="15.75" thickBot="1" x14ac:dyDescent="0.3">
      <c r="C15" s="694">
        <v>170</v>
      </c>
      <c r="D15" s="59">
        <v>400</v>
      </c>
      <c r="E15" s="58">
        <v>500</v>
      </c>
      <c r="F15" s="63">
        <v>1150</v>
      </c>
      <c r="G15" s="62"/>
    </row>
    <row r="16" spans="3:7" ht="15.75" thickBot="1" x14ac:dyDescent="0.3">
      <c r="C16" s="694">
        <v>180</v>
      </c>
      <c r="D16" s="59">
        <v>400</v>
      </c>
      <c r="E16" s="59">
        <v>500</v>
      </c>
      <c r="F16" s="692">
        <v>1200</v>
      </c>
      <c r="G16" s="62"/>
    </row>
    <row r="17" spans="3:7" ht="15.75" thickBot="1" x14ac:dyDescent="0.3">
      <c r="C17" s="694">
        <v>190</v>
      </c>
      <c r="D17" s="59">
        <v>400</v>
      </c>
      <c r="E17" s="60">
        <v>500</v>
      </c>
      <c r="F17" s="61">
        <v>1250</v>
      </c>
      <c r="G17" s="62"/>
    </row>
    <row r="18" spans="3:7" x14ac:dyDescent="0.25">
      <c r="C18" s="694">
        <v>200</v>
      </c>
      <c r="D18" s="59">
        <v>400</v>
      </c>
      <c r="E18" s="58">
        <v>550</v>
      </c>
      <c r="F18" s="58">
        <v>1300</v>
      </c>
      <c r="G18" s="62"/>
    </row>
    <row r="19" spans="3:7" ht="15.75" thickBot="1" x14ac:dyDescent="0.3">
      <c r="C19" s="694">
        <v>210</v>
      </c>
      <c r="D19" s="59">
        <v>400</v>
      </c>
      <c r="E19" s="59">
        <v>550</v>
      </c>
      <c r="F19" s="60">
        <v>1300</v>
      </c>
      <c r="G19" s="62"/>
    </row>
    <row r="20" spans="3:7" ht="15.75" thickBot="1" x14ac:dyDescent="0.3">
      <c r="C20" s="694">
        <v>220</v>
      </c>
      <c r="D20" s="59">
        <v>400</v>
      </c>
      <c r="E20" s="60">
        <v>550</v>
      </c>
      <c r="F20" s="63">
        <v>1350</v>
      </c>
      <c r="G20" s="62"/>
    </row>
    <row r="21" spans="3:7" ht="15.75" thickBot="1" x14ac:dyDescent="0.3">
      <c r="C21" s="694">
        <v>230</v>
      </c>
      <c r="D21" s="59">
        <v>400</v>
      </c>
      <c r="E21" s="58">
        <v>600</v>
      </c>
      <c r="F21" s="692">
        <v>1400</v>
      </c>
      <c r="G21" s="62"/>
    </row>
    <row r="22" spans="3:7" ht="15.75" thickBot="1" x14ac:dyDescent="0.3">
      <c r="C22" s="694">
        <v>240</v>
      </c>
      <c r="D22" s="59">
        <v>400</v>
      </c>
      <c r="E22" s="60">
        <v>600</v>
      </c>
      <c r="F22" s="61">
        <v>1450</v>
      </c>
      <c r="G22" s="62"/>
    </row>
    <row r="23" spans="3:7" x14ac:dyDescent="0.25">
      <c r="C23" s="694">
        <v>250</v>
      </c>
      <c r="D23" s="59">
        <v>400</v>
      </c>
      <c r="E23" s="58">
        <v>650</v>
      </c>
      <c r="F23" s="58">
        <v>1500</v>
      </c>
      <c r="G23" s="62"/>
    </row>
    <row r="24" spans="3:7" ht="15.75" thickBot="1" x14ac:dyDescent="0.3">
      <c r="C24" s="694">
        <v>260</v>
      </c>
      <c r="D24" s="59">
        <v>400</v>
      </c>
      <c r="E24" s="59">
        <v>650</v>
      </c>
      <c r="F24" s="60">
        <v>1500</v>
      </c>
      <c r="G24" s="62"/>
    </row>
    <row r="25" spans="3:7" ht="15.75" thickBot="1" x14ac:dyDescent="0.3">
      <c r="C25" s="694">
        <v>270</v>
      </c>
      <c r="D25" s="59">
        <v>400</v>
      </c>
      <c r="E25" s="60">
        <v>650</v>
      </c>
      <c r="F25" s="63">
        <v>1550</v>
      </c>
      <c r="G25" s="62"/>
    </row>
    <row r="26" spans="3:7" ht="15.75" thickBot="1" x14ac:dyDescent="0.3">
      <c r="C26" s="694">
        <v>280</v>
      </c>
      <c r="D26" s="59">
        <v>400</v>
      </c>
      <c r="E26" s="58">
        <v>700</v>
      </c>
      <c r="F26" s="61">
        <v>1600</v>
      </c>
      <c r="G26" s="62"/>
    </row>
    <row r="27" spans="3:7" x14ac:dyDescent="0.25">
      <c r="C27" s="694">
        <v>290</v>
      </c>
      <c r="D27" s="59">
        <v>400</v>
      </c>
      <c r="E27" s="59">
        <v>700</v>
      </c>
      <c r="F27" s="58">
        <v>1650</v>
      </c>
      <c r="G27" s="62"/>
    </row>
    <row r="28" spans="3:7" ht="15.75" thickBot="1" x14ac:dyDescent="0.3">
      <c r="C28" s="694">
        <v>300</v>
      </c>
      <c r="D28" s="59">
        <v>400</v>
      </c>
      <c r="E28" s="59">
        <v>700</v>
      </c>
      <c r="F28" s="60">
        <v>1650</v>
      </c>
      <c r="G28" s="62"/>
    </row>
    <row r="29" spans="3:7" ht="15.75" thickBot="1" x14ac:dyDescent="0.3">
      <c r="C29" s="694">
        <v>310</v>
      </c>
      <c r="D29" s="59">
        <v>400</v>
      </c>
      <c r="E29" s="60">
        <v>700</v>
      </c>
      <c r="F29" s="63">
        <v>1700</v>
      </c>
      <c r="G29" s="62"/>
    </row>
    <row r="30" spans="3:7" ht="15.75" thickBot="1" x14ac:dyDescent="0.3">
      <c r="C30" s="694">
        <v>320</v>
      </c>
      <c r="D30" s="59">
        <v>400</v>
      </c>
      <c r="E30" s="58">
        <v>750</v>
      </c>
      <c r="F30" s="61">
        <v>1750</v>
      </c>
      <c r="G30" s="62"/>
    </row>
    <row r="31" spans="3:7" x14ac:dyDescent="0.25">
      <c r="C31" s="694">
        <v>330</v>
      </c>
      <c r="D31" s="59">
        <v>400</v>
      </c>
      <c r="E31" s="59">
        <v>750</v>
      </c>
      <c r="F31" s="58">
        <v>1800</v>
      </c>
      <c r="G31" s="62"/>
    </row>
    <row r="32" spans="3:7" ht="15.75" thickBot="1" x14ac:dyDescent="0.3">
      <c r="C32" s="694">
        <v>340</v>
      </c>
      <c r="D32" s="59">
        <v>400</v>
      </c>
      <c r="E32" s="59">
        <v>750</v>
      </c>
      <c r="F32" s="60">
        <v>1800</v>
      </c>
      <c r="G32" s="62"/>
    </row>
    <row r="33" spans="3:7" ht="15.75" thickBot="1" x14ac:dyDescent="0.3">
      <c r="C33" s="694">
        <v>350</v>
      </c>
      <c r="D33" s="59">
        <v>400</v>
      </c>
      <c r="E33" s="60">
        <v>750</v>
      </c>
      <c r="G33" s="62"/>
    </row>
    <row r="34" spans="3:7" ht="15.75" thickBot="1" x14ac:dyDescent="0.3">
      <c r="C34" s="694">
        <v>360</v>
      </c>
      <c r="D34" s="60">
        <v>400</v>
      </c>
      <c r="E34" s="58">
        <v>800</v>
      </c>
      <c r="G34" s="62"/>
    </row>
    <row r="35" spans="3:7" x14ac:dyDescent="0.25">
      <c r="C35" s="694">
        <v>370</v>
      </c>
      <c r="D35" s="58">
        <v>450</v>
      </c>
      <c r="E35" s="59">
        <v>800</v>
      </c>
      <c r="G35" s="62"/>
    </row>
    <row r="36" spans="3:7" x14ac:dyDescent="0.25">
      <c r="C36" s="694">
        <v>380</v>
      </c>
      <c r="D36" s="59">
        <v>450</v>
      </c>
      <c r="E36" s="59">
        <v>800</v>
      </c>
      <c r="G36" s="62"/>
    </row>
    <row r="37" spans="3:7" ht="15.75" thickBot="1" x14ac:dyDescent="0.3">
      <c r="C37" s="695">
        <v>390</v>
      </c>
      <c r="D37" s="60">
        <v>450</v>
      </c>
      <c r="E37" s="60">
        <v>800</v>
      </c>
      <c r="F37" s="137"/>
      <c r="G37" s="63"/>
    </row>
  </sheetData>
  <mergeCells count="2">
    <mergeCell ref="C2:C3"/>
    <mergeCell ref="D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43742-64A3-4071-BCB2-03593F2539E1}">
  <dimension ref="A1:U34"/>
  <sheetViews>
    <sheetView workbookViewId="0">
      <selection activeCell="A15" sqref="A15"/>
    </sheetView>
  </sheetViews>
  <sheetFormatPr baseColWidth="10" defaultRowHeight="15" x14ac:dyDescent="0.25"/>
  <sheetData>
    <row r="1" spans="1:21" ht="15.75" thickBot="1" x14ac:dyDescent="0.3"/>
    <row r="2" spans="1:21" ht="15.75" thickBot="1" x14ac:dyDescent="0.3">
      <c r="B2" s="1019" t="s">
        <v>489</v>
      </c>
      <c r="C2" s="1017"/>
      <c r="D2" s="1017"/>
      <c r="E2" s="1017"/>
      <c r="F2" s="1018"/>
      <c r="G2" s="1016" t="s">
        <v>405</v>
      </c>
      <c r="H2" s="1017"/>
      <c r="I2" s="1017"/>
      <c r="J2" s="1017"/>
      <c r="K2" s="1018"/>
      <c r="L2" s="1016" t="s">
        <v>532</v>
      </c>
      <c r="M2" s="1017"/>
      <c r="N2" s="1017"/>
      <c r="O2" s="1017"/>
      <c r="P2" s="1018"/>
      <c r="Q2" s="1016" t="s">
        <v>533</v>
      </c>
      <c r="R2" s="1017"/>
      <c r="S2" s="1017"/>
      <c r="T2" s="1017"/>
      <c r="U2" s="1018"/>
    </row>
    <row r="3" spans="1:21" x14ac:dyDescent="0.25">
      <c r="A3" s="827"/>
      <c r="B3" s="826" t="s">
        <v>531</v>
      </c>
      <c r="C3" s="843" t="s">
        <v>455</v>
      </c>
      <c r="D3" s="843" t="s">
        <v>490</v>
      </c>
      <c r="E3" s="843" t="s">
        <v>156</v>
      </c>
      <c r="F3" s="843" t="s">
        <v>119</v>
      </c>
      <c r="G3" s="843" t="s">
        <v>531</v>
      </c>
      <c r="H3" s="843" t="s">
        <v>455</v>
      </c>
      <c r="I3" s="843" t="s">
        <v>490</v>
      </c>
      <c r="J3" s="843" t="s">
        <v>156</v>
      </c>
      <c r="K3" s="843" t="s">
        <v>119</v>
      </c>
      <c r="L3" s="843" t="s">
        <v>531</v>
      </c>
      <c r="M3" s="843" t="s">
        <v>455</v>
      </c>
      <c r="N3" s="843" t="s">
        <v>490</v>
      </c>
      <c r="O3" s="843" t="s">
        <v>156</v>
      </c>
      <c r="P3" s="843" t="s">
        <v>119</v>
      </c>
      <c r="Q3" s="843" t="s">
        <v>531</v>
      </c>
      <c r="R3" s="843" t="s">
        <v>455</v>
      </c>
      <c r="S3" s="843" t="s">
        <v>490</v>
      </c>
      <c r="T3" s="843" t="s">
        <v>156</v>
      </c>
      <c r="U3" s="843" t="s">
        <v>119</v>
      </c>
    </row>
    <row r="4" spans="1:21" x14ac:dyDescent="0.25">
      <c r="A4" s="827"/>
      <c r="B4" s="826">
        <v>60</v>
      </c>
      <c r="C4" s="826">
        <v>181</v>
      </c>
      <c r="D4" s="826">
        <v>181</v>
      </c>
      <c r="E4" s="826">
        <v>197</v>
      </c>
      <c r="F4" s="826">
        <v>650</v>
      </c>
      <c r="G4" s="826">
        <v>60</v>
      </c>
      <c r="H4" s="826">
        <v>174</v>
      </c>
      <c r="I4" s="826">
        <v>174</v>
      </c>
      <c r="J4" s="826">
        <v>193</v>
      </c>
      <c r="K4" s="826">
        <v>567</v>
      </c>
      <c r="L4" s="826">
        <v>60</v>
      </c>
      <c r="M4" s="826">
        <v>192</v>
      </c>
      <c r="N4" s="826">
        <v>192</v>
      </c>
      <c r="O4" s="826">
        <v>209</v>
      </c>
      <c r="P4" s="826">
        <v>689</v>
      </c>
      <c r="Q4" s="826">
        <v>60</v>
      </c>
      <c r="R4" s="826">
        <v>185</v>
      </c>
      <c r="S4" s="826">
        <v>185</v>
      </c>
      <c r="T4" s="826">
        <v>205</v>
      </c>
      <c r="U4" s="826">
        <v>602</v>
      </c>
    </row>
    <row r="5" spans="1:21" x14ac:dyDescent="0.25">
      <c r="A5" s="827"/>
      <c r="B5" s="826">
        <v>70</v>
      </c>
      <c r="C5" s="826">
        <v>181</v>
      </c>
      <c r="D5" s="826">
        <v>181</v>
      </c>
      <c r="E5" s="826">
        <v>219</v>
      </c>
      <c r="F5" s="826">
        <v>730</v>
      </c>
      <c r="G5" s="826">
        <v>70</v>
      </c>
      <c r="H5" s="826">
        <v>174</v>
      </c>
      <c r="I5" s="826">
        <v>174</v>
      </c>
      <c r="J5" s="826">
        <v>216</v>
      </c>
      <c r="K5" s="826">
        <v>592</v>
      </c>
      <c r="L5" s="826">
        <v>70</v>
      </c>
      <c r="M5" s="826">
        <v>194</v>
      </c>
      <c r="N5" s="826">
        <v>194</v>
      </c>
      <c r="O5" s="826">
        <v>235</v>
      </c>
      <c r="P5" s="826">
        <v>782</v>
      </c>
      <c r="Q5" s="826">
        <v>70</v>
      </c>
      <c r="R5" s="826">
        <v>187</v>
      </c>
      <c r="S5" s="826">
        <v>187</v>
      </c>
      <c r="T5" s="826">
        <v>232</v>
      </c>
      <c r="U5" s="826">
        <v>634</v>
      </c>
    </row>
    <row r="6" spans="1:21" x14ac:dyDescent="0.25">
      <c r="A6" s="827"/>
      <c r="B6" s="826">
        <v>80</v>
      </c>
      <c r="C6" s="826">
        <v>181</v>
      </c>
      <c r="D6" s="826">
        <v>181</v>
      </c>
      <c r="E6" s="826">
        <v>241</v>
      </c>
      <c r="F6" s="826">
        <v>809</v>
      </c>
      <c r="G6" s="826">
        <v>80</v>
      </c>
      <c r="H6" s="826">
        <v>174</v>
      </c>
      <c r="I6" s="826">
        <v>174</v>
      </c>
      <c r="J6" s="826">
        <v>238</v>
      </c>
      <c r="K6" s="826">
        <v>617</v>
      </c>
      <c r="L6" s="826">
        <v>80</v>
      </c>
      <c r="M6" s="826">
        <v>196</v>
      </c>
      <c r="N6" s="826">
        <v>196</v>
      </c>
      <c r="O6" s="826">
        <v>261</v>
      </c>
      <c r="P6" s="826">
        <v>874</v>
      </c>
      <c r="Q6" s="826">
        <v>80</v>
      </c>
      <c r="R6" s="826">
        <v>188</v>
      </c>
      <c r="S6" s="826">
        <v>188</v>
      </c>
      <c r="T6" s="826">
        <v>258</v>
      </c>
      <c r="U6" s="826">
        <v>667</v>
      </c>
    </row>
    <row r="7" spans="1:21" x14ac:dyDescent="0.25">
      <c r="A7" s="827"/>
      <c r="B7" s="826">
        <v>90</v>
      </c>
      <c r="C7" s="826">
        <v>181</v>
      </c>
      <c r="D7" s="826">
        <v>181</v>
      </c>
      <c r="E7" s="826">
        <v>263</v>
      </c>
      <c r="F7" s="826">
        <v>889</v>
      </c>
      <c r="G7" s="826">
        <v>90</v>
      </c>
      <c r="H7" s="826">
        <v>174</v>
      </c>
      <c r="I7" s="826">
        <v>174</v>
      </c>
      <c r="J7" s="826">
        <v>261</v>
      </c>
      <c r="K7" s="826">
        <v>643</v>
      </c>
      <c r="L7" s="826">
        <v>90</v>
      </c>
      <c r="M7" s="826">
        <v>198</v>
      </c>
      <c r="N7" s="826">
        <v>198</v>
      </c>
      <c r="O7" s="826">
        <v>287</v>
      </c>
      <c r="P7" s="827" t="s">
        <v>491</v>
      </c>
      <c r="Q7" s="826">
        <v>90</v>
      </c>
      <c r="R7" s="826">
        <v>190</v>
      </c>
      <c r="S7" s="826">
        <v>190</v>
      </c>
      <c r="T7" s="826">
        <v>285</v>
      </c>
      <c r="U7" s="826">
        <v>701</v>
      </c>
    </row>
    <row r="8" spans="1:21" x14ac:dyDescent="0.25">
      <c r="A8" s="827"/>
      <c r="B8" s="826">
        <v>100</v>
      </c>
      <c r="C8" s="826">
        <v>181</v>
      </c>
      <c r="D8" s="826">
        <v>181</v>
      </c>
      <c r="E8" s="826">
        <v>285</v>
      </c>
      <c r="F8" s="827" t="s">
        <v>491</v>
      </c>
      <c r="G8" s="826">
        <v>100</v>
      </c>
      <c r="H8" s="826">
        <v>174</v>
      </c>
      <c r="I8" s="826">
        <v>174</v>
      </c>
      <c r="J8" s="826">
        <v>283</v>
      </c>
      <c r="K8" s="826">
        <v>668</v>
      </c>
      <c r="L8" s="826">
        <v>100</v>
      </c>
      <c r="M8" s="826">
        <v>200</v>
      </c>
      <c r="N8" s="826">
        <v>200</v>
      </c>
      <c r="O8" s="826">
        <v>314</v>
      </c>
      <c r="P8" s="827"/>
      <c r="Q8" s="826">
        <v>100</v>
      </c>
      <c r="R8" s="826">
        <v>192</v>
      </c>
      <c r="S8" s="826">
        <v>192</v>
      </c>
      <c r="T8" s="826">
        <v>312</v>
      </c>
      <c r="U8" s="826">
        <v>735</v>
      </c>
    </row>
    <row r="9" spans="1:21" x14ac:dyDescent="0.25">
      <c r="A9" s="827"/>
      <c r="B9" s="826">
        <v>110</v>
      </c>
      <c r="C9" s="826">
        <v>181</v>
      </c>
      <c r="D9" s="826">
        <v>181</v>
      </c>
      <c r="E9" s="826">
        <v>306</v>
      </c>
      <c r="F9" s="827"/>
      <c r="G9" s="826">
        <v>110</v>
      </c>
      <c r="H9" s="826">
        <v>174</v>
      </c>
      <c r="I9" s="826">
        <v>174</v>
      </c>
      <c r="J9" s="826">
        <v>306</v>
      </c>
      <c r="K9" s="826">
        <v>693</v>
      </c>
      <c r="L9" s="826">
        <v>110</v>
      </c>
      <c r="M9" s="826">
        <v>201</v>
      </c>
      <c r="N9" s="826">
        <v>201</v>
      </c>
      <c r="O9" s="826">
        <v>340</v>
      </c>
      <c r="P9" s="827"/>
      <c r="Q9" s="826">
        <v>110</v>
      </c>
      <c r="R9" s="826">
        <v>194</v>
      </c>
      <c r="S9" s="826">
        <v>194</v>
      </c>
      <c r="T9" s="826">
        <v>340</v>
      </c>
      <c r="U9" s="826">
        <v>770</v>
      </c>
    </row>
    <row r="10" spans="1:21" x14ac:dyDescent="0.25">
      <c r="A10" s="827"/>
      <c r="B10" s="826">
        <v>120</v>
      </c>
      <c r="C10" s="826">
        <v>181</v>
      </c>
      <c r="D10" s="826">
        <v>181</v>
      </c>
      <c r="E10" s="826">
        <v>328</v>
      </c>
      <c r="F10" s="827"/>
      <c r="G10" s="826">
        <v>120</v>
      </c>
      <c r="H10" s="826">
        <v>174</v>
      </c>
      <c r="I10" s="826">
        <v>174</v>
      </c>
      <c r="J10" s="826">
        <v>328</v>
      </c>
      <c r="K10" s="826">
        <v>718</v>
      </c>
      <c r="L10" s="826">
        <v>120</v>
      </c>
      <c r="M10" s="826">
        <v>203</v>
      </c>
      <c r="N10" s="826">
        <v>203</v>
      </c>
      <c r="O10" s="826">
        <v>368</v>
      </c>
      <c r="P10" s="827"/>
      <c r="Q10" s="826">
        <v>120</v>
      </c>
      <c r="R10" s="826">
        <v>195</v>
      </c>
      <c r="S10" s="826">
        <v>195</v>
      </c>
      <c r="T10" s="826">
        <v>368</v>
      </c>
      <c r="U10" s="826">
        <v>805</v>
      </c>
    </row>
    <row r="11" spans="1:21" x14ac:dyDescent="0.25">
      <c r="A11" s="827"/>
      <c r="B11" s="826">
        <v>130</v>
      </c>
      <c r="C11" s="826">
        <v>181</v>
      </c>
      <c r="D11" s="826">
        <v>181</v>
      </c>
      <c r="E11" s="826">
        <v>350</v>
      </c>
      <c r="F11" s="827"/>
      <c r="G11" s="826">
        <v>130</v>
      </c>
      <c r="H11" s="826">
        <v>174</v>
      </c>
      <c r="I11" s="826">
        <v>174</v>
      </c>
      <c r="J11" s="826">
        <v>351</v>
      </c>
      <c r="K11" s="826">
        <v>743</v>
      </c>
      <c r="L11" s="826">
        <v>130</v>
      </c>
      <c r="M11" s="826">
        <v>205</v>
      </c>
      <c r="N11" s="826">
        <v>205</v>
      </c>
      <c r="O11" s="826">
        <v>396</v>
      </c>
      <c r="P11" s="827"/>
      <c r="Q11" s="826">
        <v>130</v>
      </c>
      <c r="R11" s="826">
        <v>197</v>
      </c>
      <c r="S11" s="826">
        <v>197</v>
      </c>
      <c r="T11" s="826">
        <v>397</v>
      </c>
      <c r="U11" s="826">
        <v>840</v>
      </c>
    </row>
    <row r="12" spans="1:21" x14ac:dyDescent="0.25">
      <c r="A12" s="827"/>
      <c r="B12" s="826">
        <v>140</v>
      </c>
      <c r="C12" s="826">
        <v>181</v>
      </c>
      <c r="D12" s="826">
        <v>181</v>
      </c>
      <c r="E12" s="826">
        <v>372</v>
      </c>
      <c r="F12" s="827"/>
      <c r="G12" s="826">
        <v>140</v>
      </c>
      <c r="H12" s="826">
        <v>174</v>
      </c>
      <c r="I12" s="826">
        <v>174</v>
      </c>
      <c r="J12" s="826">
        <v>373</v>
      </c>
      <c r="K12" s="826">
        <v>768</v>
      </c>
      <c r="L12" s="826">
        <v>140</v>
      </c>
      <c r="M12" s="826">
        <v>207</v>
      </c>
      <c r="N12" s="826">
        <v>207</v>
      </c>
      <c r="O12" s="826">
        <v>425</v>
      </c>
      <c r="P12" s="827"/>
      <c r="Q12" s="826">
        <v>140</v>
      </c>
      <c r="R12" s="826">
        <v>199</v>
      </c>
      <c r="S12" s="826">
        <v>199</v>
      </c>
      <c r="T12" s="826">
        <v>426</v>
      </c>
      <c r="U12" s="826">
        <v>876</v>
      </c>
    </row>
    <row r="13" spans="1:21" x14ac:dyDescent="0.25">
      <c r="A13" s="827"/>
      <c r="B13" s="826">
        <v>150</v>
      </c>
      <c r="C13" s="826">
        <v>181</v>
      </c>
      <c r="D13" s="826">
        <v>181</v>
      </c>
      <c r="E13" s="826">
        <v>394</v>
      </c>
      <c r="F13" s="827"/>
      <c r="G13" s="826">
        <v>150</v>
      </c>
      <c r="H13" s="826">
        <v>174</v>
      </c>
      <c r="I13" s="826">
        <v>174</v>
      </c>
      <c r="J13" s="826">
        <v>396</v>
      </c>
      <c r="K13" s="826">
        <v>793</v>
      </c>
      <c r="L13" s="826">
        <v>150</v>
      </c>
      <c r="M13" s="826">
        <v>209</v>
      </c>
      <c r="N13" s="826">
        <v>209</v>
      </c>
      <c r="O13" s="826">
        <v>454</v>
      </c>
      <c r="P13" s="827"/>
      <c r="Q13" s="826">
        <v>150</v>
      </c>
      <c r="R13" s="826">
        <v>201</v>
      </c>
      <c r="S13" s="826">
        <v>201</v>
      </c>
      <c r="T13" s="826">
        <v>456</v>
      </c>
      <c r="U13" s="827" t="s">
        <v>491</v>
      </c>
    </row>
    <row r="14" spans="1:21" x14ac:dyDescent="0.25">
      <c r="A14" s="827"/>
      <c r="B14" s="826">
        <v>160</v>
      </c>
      <c r="C14" s="826">
        <v>181</v>
      </c>
      <c r="D14" s="826">
        <v>181</v>
      </c>
      <c r="E14" s="826">
        <v>420</v>
      </c>
      <c r="F14" s="827"/>
      <c r="G14" s="826">
        <v>160</v>
      </c>
      <c r="H14" s="826">
        <v>174</v>
      </c>
      <c r="I14" s="826">
        <v>174</v>
      </c>
      <c r="J14" s="826">
        <v>418</v>
      </c>
      <c r="K14" s="826">
        <v>818</v>
      </c>
      <c r="L14" s="826">
        <v>160</v>
      </c>
      <c r="M14" s="826">
        <v>210</v>
      </c>
      <c r="N14" s="826">
        <v>210</v>
      </c>
      <c r="O14" s="826">
        <v>488</v>
      </c>
      <c r="P14" s="827"/>
      <c r="Q14" s="826">
        <v>160</v>
      </c>
      <c r="R14" s="826">
        <v>202</v>
      </c>
      <c r="S14" s="826">
        <v>202</v>
      </c>
      <c r="T14" s="826">
        <v>485</v>
      </c>
      <c r="U14" s="827"/>
    </row>
    <row r="15" spans="1:21" x14ac:dyDescent="0.25">
      <c r="A15" s="827"/>
      <c r="B15" s="826">
        <v>170</v>
      </c>
      <c r="C15" s="826">
        <v>181</v>
      </c>
      <c r="D15" s="826">
        <v>181</v>
      </c>
      <c r="E15" s="826">
        <v>449</v>
      </c>
      <c r="F15" s="827"/>
      <c r="G15" s="826">
        <v>170</v>
      </c>
      <c r="H15" s="826">
        <v>174</v>
      </c>
      <c r="I15" s="826">
        <v>174</v>
      </c>
      <c r="J15" s="826">
        <v>441</v>
      </c>
      <c r="K15" s="826">
        <v>843</v>
      </c>
      <c r="L15" s="826">
        <v>170</v>
      </c>
      <c r="M15" s="826">
        <v>212</v>
      </c>
      <c r="N15" s="826">
        <v>212</v>
      </c>
      <c r="O15" s="826">
        <v>526</v>
      </c>
      <c r="P15" s="827"/>
      <c r="Q15" s="826">
        <v>170</v>
      </c>
      <c r="R15" s="826">
        <v>204</v>
      </c>
      <c r="S15" s="826">
        <v>204</v>
      </c>
      <c r="T15" s="826">
        <v>516</v>
      </c>
      <c r="U15" s="827"/>
    </row>
    <row r="16" spans="1:21" x14ac:dyDescent="0.25">
      <c r="A16" s="827"/>
      <c r="B16" s="826">
        <v>180</v>
      </c>
      <c r="C16" s="826">
        <v>181</v>
      </c>
      <c r="D16" s="826">
        <v>181</v>
      </c>
      <c r="E16" s="826">
        <v>478</v>
      </c>
      <c r="F16" s="827"/>
      <c r="G16" s="826">
        <v>180</v>
      </c>
      <c r="H16" s="826">
        <v>174</v>
      </c>
      <c r="I16" s="826">
        <v>174</v>
      </c>
      <c r="J16" s="826">
        <v>463</v>
      </c>
      <c r="K16" s="826">
        <v>868</v>
      </c>
      <c r="L16" s="826">
        <v>180</v>
      </c>
      <c r="M16" s="826">
        <v>214</v>
      </c>
      <c r="N16" s="826">
        <v>214</v>
      </c>
      <c r="O16" s="826">
        <v>565</v>
      </c>
      <c r="P16" s="827"/>
      <c r="Q16" s="826">
        <v>180</v>
      </c>
      <c r="R16" s="826">
        <v>206</v>
      </c>
      <c r="S16" s="826">
        <v>206</v>
      </c>
      <c r="T16" s="826">
        <v>547</v>
      </c>
      <c r="U16" s="827"/>
    </row>
    <row r="17" spans="1:21" x14ac:dyDescent="0.25">
      <c r="A17" s="827"/>
      <c r="B17" s="826">
        <v>185</v>
      </c>
      <c r="C17" s="845">
        <f>+ROUNDUP(AVERAGE(C16,C18),0)</f>
        <v>181</v>
      </c>
      <c r="D17" s="845">
        <f>+ROUNDUP(AVERAGE(D16,D18),0)</f>
        <v>181</v>
      </c>
      <c r="E17" s="845">
        <f>+ROUNDUP(AVERAGE(E16,E18),0)</f>
        <v>493</v>
      </c>
      <c r="F17" s="827"/>
      <c r="G17" s="826">
        <v>185</v>
      </c>
      <c r="H17" s="826">
        <v>174</v>
      </c>
      <c r="I17" s="826">
        <v>174</v>
      </c>
      <c r="J17" s="826">
        <v>474</v>
      </c>
      <c r="K17" s="826">
        <v>881</v>
      </c>
      <c r="L17" s="826">
        <v>185</v>
      </c>
      <c r="M17" s="845">
        <f>+ROUNDUP(AVERAGE(M16,M18),0)</f>
        <v>215</v>
      </c>
      <c r="N17" s="845">
        <f>+ROUNDUP(AVERAGE(N16,N18),0)</f>
        <v>215</v>
      </c>
      <c r="O17" s="845">
        <f>+ROUNDUP(AVERAGE(O16,O18),0)</f>
        <v>585</v>
      </c>
      <c r="Q17" s="826">
        <v>185</v>
      </c>
      <c r="R17" s="826">
        <v>207</v>
      </c>
      <c r="S17" s="826">
        <v>207</v>
      </c>
      <c r="T17" s="826">
        <v>562</v>
      </c>
      <c r="U17" s="827"/>
    </row>
    <row r="18" spans="1:21" x14ac:dyDescent="0.25">
      <c r="A18" s="827"/>
      <c r="B18" s="826">
        <v>190</v>
      </c>
      <c r="C18" s="826">
        <v>181</v>
      </c>
      <c r="D18" s="826">
        <v>181</v>
      </c>
      <c r="E18" s="826">
        <v>507</v>
      </c>
      <c r="F18" s="827"/>
      <c r="G18" s="826">
        <v>190</v>
      </c>
      <c r="H18" s="826">
        <v>174</v>
      </c>
      <c r="I18" s="826">
        <v>174</v>
      </c>
      <c r="J18" s="826">
        <v>486</v>
      </c>
      <c r="K18" s="827" t="s">
        <v>491</v>
      </c>
      <c r="L18" s="826">
        <v>190</v>
      </c>
      <c r="M18" s="826">
        <v>216</v>
      </c>
      <c r="N18" s="826">
        <v>216</v>
      </c>
      <c r="O18" s="826">
        <v>604</v>
      </c>
      <c r="P18" s="827"/>
      <c r="Q18" s="826">
        <v>190</v>
      </c>
      <c r="R18" s="826">
        <v>208</v>
      </c>
      <c r="S18" s="826">
        <v>208</v>
      </c>
      <c r="T18" s="826">
        <v>579</v>
      </c>
      <c r="U18" s="827"/>
    </row>
    <row r="19" spans="1:21" x14ac:dyDescent="0.25">
      <c r="A19" s="827"/>
      <c r="B19" s="826">
        <v>200</v>
      </c>
      <c r="C19" s="826">
        <v>181</v>
      </c>
      <c r="D19" s="826">
        <v>181</v>
      </c>
      <c r="E19" s="826">
        <v>536</v>
      </c>
      <c r="F19" s="827"/>
      <c r="G19" s="826">
        <v>200</v>
      </c>
      <c r="H19" s="826">
        <v>174</v>
      </c>
      <c r="I19" s="826">
        <v>174</v>
      </c>
      <c r="J19" s="826">
        <v>508</v>
      </c>
      <c r="K19" s="827"/>
      <c r="L19" s="826">
        <v>200</v>
      </c>
      <c r="M19" s="826">
        <v>218</v>
      </c>
      <c r="N19" s="826">
        <v>218</v>
      </c>
      <c r="O19" s="826">
        <v>644</v>
      </c>
      <c r="P19" s="827"/>
      <c r="Q19" s="826">
        <v>200</v>
      </c>
      <c r="R19" s="826">
        <v>209</v>
      </c>
      <c r="S19" s="826">
        <v>209</v>
      </c>
      <c r="T19" s="826">
        <v>610</v>
      </c>
      <c r="U19" s="827"/>
    </row>
    <row r="20" spans="1:21" x14ac:dyDescent="0.25">
      <c r="A20" s="827"/>
      <c r="B20" s="826">
        <v>210</v>
      </c>
      <c r="C20" s="826">
        <v>181</v>
      </c>
      <c r="D20" s="826">
        <v>181</v>
      </c>
      <c r="E20" s="826">
        <v>565</v>
      </c>
      <c r="F20" s="827"/>
      <c r="G20" s="826">
        <v>210</v>
      </c>
      <c r="H20" s="826">
        <v>174</v>
      </c>
      <c r="I20" s="826">
        <v>174</v>
      </c>
      <c r="J20" s="826">
        <v>541</v>
      </c>
      <c r="K20" s="827"/>
      <c r="L20" s="826">
        <v>210</v>
      </c>
      <c r="M20" s="826">
        <v>220</v>
      </c>
      <c r="N20" s="826">
        <v>220</v>
      </c>
      <c r="O20" s="826">
        <v>684</v>
      </c>
      <c r="P20" s="827"/>
      <c r="Q20" s="826">
        <v>210</v>
      </c>
      <c r="R20" s="826">
        <v>211</v>
      </c>
      <c r="S20" s="826">
        <v>211</v>
      </c>
      <c r="T20" s="826">
        <v>655</v>
      </c>
      <c r="U20" s="827"/>
    </row>
    <row r="21" spans="1:21" x14ac:dyDescent="0.25">
      <c r="A21" s="827"/>
      <c r="B21" s="826">
        <v>220</v>
      </c>
      <c r="C21" s="826">
        <v>181</v>
      </c>
      <c r="D21" s="826">
        <v>181</v>
      </c>
      <c r="E21" s="826">
        <v>594</v>
      </c>
      <c r="F21" s="827"/>
      <c r="G21" s="826">
        <v>220</v>
      </c>
      <c r="H21" s="826">
        <v>174</v>
      </c>
      <c r="I21" s="826">
        <v>174</v>
      </c>
      <c r="J21" s="826">
        <v>573</v>
      </c>
      <c r="K21" s="827"/>
      <c r="L21" s="826">
        <v>220</v>
      </c>
      <c r="M21" s="826">
        <v>221</v>
      </c>
      <c r="N21" s="826">
        <v>221</v>
      </c>
      <c r="O21" s="826">
        <v>725</v>
      </c>
      <c r="P21" s="827"/>
      <c r="Q21" s="826">
        <v>220</v>
      </c>
      <c r="R21" s="826">
        <v>213</v>
      </c>
      <c r="S21" s="826">
        <v>213</v>
      </c>
      <c r="T21" s="826">
        <v>700</v>
      </c>
      <c r="U21" s="827"/>
    </row>
    <row r="22" spans="1:21" x14ac:dyDescent="0.25">
      <c r="A22" s="827"/>
      <c r="B22" s="826">
        <v>230</v>
      </c>
      <c r="C22" s="826">
        <v>181</v>
      </c>
      <c r="D22" s="826">
        <v>181</v>
      </c>
      <c r="E22" s="826">
        <v>623</v>
      </c>
      <c r="F22" s="827"/>
      <c r="G22" s="826">
        <v>230</v>
      </c>
      <c r="H22" s="826">
        <v>174</v>
      </c>
      <c r="I22" s="826">
        <v>174</v>
      </c>
      <c r="J22" s="826">
        <v>606</v>
      </c>
      <c r="K22" s="827"/>
      <c r="L22" s="826">
        <v>230</v>
      </c>
      <c r="M22" s="826">
        <v>223</v>
      </c>
      <c r="N22" s="826">
        <v>223</v>
      </c>
      <c r="O22" s="826">
        <v>767</v>
      </c>
      <c r="P22" s="827"/>
      <c r="Q22" s="826">
        <v>230</v>
      </c>
      <c r="R22" s="826">
        <v>215</v>
      </c>
      <c r="S22" s="826">
        <v>215</v>
      </c>
      <c r="T22" s="826">
        <v>746</v>
      </c>
      <c r="U22" s="827"/>
    </row>
    <row r="23" spans="1:21" x14ac:dyDescent="0.25">
      <c r="A23" s="827"/>
      <c r="B23" s="826">
        <v>240</v>
      </c>
      <c r="C23" s="826">
        <v>181</v>
      </c>
      <c r="D23" s="826">
        <v>181</v>
      </c>
      <c r="E23" s="826">
        <v>652</v>
      </c>
      <c r="F23" s="827"/>
      <c r="G23" s="826">
        <v>240</v>
      </c>
      <c r="H23" s="826">
        <v>174</v>
      </c>
      <c r="I23" s="826">
        <v>174</v>
      </c>
      <c r="J23" s="826">
        <v>638</v>
      </c>
      <c r="K23" s="827"/>
      <c r="L23" s="826">
        <v>240</v>
      </c>
      <c r="M23" s="826">
        <v>225</v>
      </c>
      <c r="N23" s="826">
        <v>225</v>
      </c>
      <c r="O23" s="826">
        <v>809</v>
      </c>
      <c r="P23" s="827"/>
      <c r="Q23" s="826">
        <v>240</v>
      </c>
      <c r="R23" s="826">
        <v>216</v>
      </c>
      <c r="S23" s="826">
        <v>216</v>
      </c>
      <c r="T23" s="826">
        <v>792</v>
      </c>
      <c r="U23" s="827"/>
    </row>
    <row r="24" spans="1:21" x14ac:dyDescent="0.25">
      <c r="A24" s="827"/>
      <c r="B24" s="826">
        <v>245</v>
      </c>
      <c r="C24" s="826">
        <v>181</v>
      </c>
      <c r="D24" s="826">
        <v>181</v>
      </c>
      <c r="E24" s="826">
        <v>666</v>
      </c>
      <c r="F24" s="827"/>
      <c r="G24" s="826">
        <v>245</v>
      </c>
      <c r="H24" s="845">
        <f>+ROUNDUP(AVERAGE(H23,H25),0)</f>
        <v>174</v>
      </c>
      <c r="I24" s="845">
        <f>+ROUNDUP(AVERAGE(I23,I25),0)</f>
        <v>174</v>
      </c>
      <c r="J24" s="845">
        <f>+ROUNDUP(AVERAGE(J23,J25),0)</f>
        <v>655</v>
      </c>
      <c r="K24" s="827"/>
      <c r="L24" s="826">
        <v>245</v>
      </c>
      <c r="M24" s="826">
        <v>226</v>
      </c>
      <c r="N24" s="826">
        <v>226</v>
      </c>
      <c r="O24" s="826">
        <v>830</v>
      </c>
      <c r="P24" s="827"/>
      <c r="Q24" s="826">
        <v>245</v>
      </c>
      <c r="R24" s="845">
        <f>+ROUNDUP(AVERAGE(R23,R25),0)</f>
        <v>217</v>
      </c>
      <c r="S24" s="845">
        <f>+ROUNDUP(AVERAGE(S23,S25),0)</f>
        <v>217</v>
      </c>
      <c r="T24" s="845">
        <f>+ROUNDUP(AVERAGE(T23,T25),0)</f>
        <v>816</v>
      </c>
      <c r="U24" s="827"/>
    </row>
    <row r="25" spans="1:21" x14ac:dyDescent="0.25">
      <c r="A25" s="827"/>
      <c r="B25" s="826">
        <v>250</v>
      </c>
      <c r="C25" s="826">
        <v>181</v>
      </c>
      <c r="D25" s="826">
        <v>181</v>
      </c>
      <c r="E25" s="827" t="s">
        <v>491</v>
      </c>
      <c r="F25" s="827"/>
      <c r="G25" s="826">
        <v>250</v>
      </c>
      <c r="H25" s="826">
        <v>174</v>
      </c>
      <c r="I25" s="826">
        <v>174</v>
      </c>
      <c r="J25" s="826">
        <v>671</v>
      </c>
      <c r="K25" s="827"/>
      <c r="L25" s="826">
        <v>250</v>
      </c>
      <c r="M25" s="826">
        <v>227</v>
      </c>
      <c r="N25" s="826">
        <v>227</v>
      </c>
      <c r="O25" s="827" t="s">
        <v>491</v>
      </c>
      <c r="P25" s="827"/>
      <c r="Q25" s="826">
        <v>250</v>
      </c>
      <c r="R25" s="826">
        <v>218</v>
      </c>
      <c r="S25" s="826">
        <v>218</v>
      </c>
      <c r="T25" s="826">
        <v>839</v>
      </c>
      <c r="U25" s="827"/>
    </row>
    <row r="26" spans="1:21" x14ac:dyDescent="0.25">
      <c r="A26" s="827"/>
      <c r="B26" s="826">
        <v>260</v>
      </c>
      <c r="C26" s="826">
        <v>181</v>
      </c>
      <c r="D26" s="826">
        <v>181</v>
      </c>
      <c r="E26" s="827"/>
      <c r="F26" s="827"/>
      <c r="G26" s="826">
        <v>260</v>
      </c>
      <c r="H26" s="826">
        <v>174</v>
      </c>
      <c r="I26" s="826">
        <v>174</v>
      </c>
      <c r="J26" s="826">
        <v>704</v>
      </c>
      <c r="K26" s="827"/>
      <c r="L26" s="826">
        <v>260</v>
      </c>
      <c r="M26" s="826">
        <v>229</v>
      </c>
      <c r="N26" s="826">
        <v>229</v>
      </c>
      <c r="O26" s="827"/>
      <c r="P26" s="827"/>
      <c r="Q26" s="826">
        <v>260</v>
      </c>
      <c r="R26" s="826">
        <v>220</v>
      </c>
      <c r="S26" s="826">
        <v>220</v>
      </c>
      <c r="T26" s="827" t="s">
        <v>491</v>
      </c>
      <c r="U26" s="827"/>
    </row>
    <row r="27" spans="1:21" x14ac:dyDescent="0.25">
      <c r="A27" s="827"/>
      <c r="B27" s="826">
        <v>270</v>
      </c>
      <c r="C27" s="826">
        <v>181</v>
      </c>
      <c r="D27" s="826">
        <v>181</v>
      </c>
      <c r="E27" s="827"/>
      <c r="F27" s="827"/>
      <c r="G27" s="826">
        <v>270</v>
      </c>
      <c r="H27" s="826">
        <v>174</v>
      </c>
      <c r="I27" s="826">
        <v>174</v>
      </c>
      <c r="J27" s="826">
        <v>736</v>
      </c>
      <c r="K27" s="827"/>
      <c r="L27" s="826">
        <v>270</v>
      </c>
      <c r="M27" s="826">
        <v>230</v>
      </c>
      <c r="N27" s="826">
        <v>230</v>
      </c>
      <c r="O27" s="827"/>
      <c r="P27" s="827"/>
      <c r="Q27" s="826">
        <v>270</v>
      </c>
      <c r="R27" s="826">
        <v>221</v>
      </c>
      <c r="S27" s="826">
        <v>221</v>
      </c>
      <c r="T27" s="827"/>
      <c r="U27" s="827"/>
    </row>
    <row r="28" spans="1:21" x14ac:dyDescent="0.25">
      <c r="A28" s="827"/>
      <c r="B28" s="826">
        <v>280</v>
      </c>
      <c r="C28" s="826">
        <v>181</v>
      </c>
      <c r="D28" s="826">
        <v>181</v>
      </c>
      <c r="E28" s="827"/>
      <c r="F28" s="827"/>
      <c r="G28" s="826">
        <v>280</v>
      </c>
      <c r="H28" s="826">
        <v>174</v>
      </c>
      <c r="I28" s="826">
        <v>174</v>
      </c>
      <c r="J28" s="826">
        <v>769</v>
      </c>
      <c r="K28" s="827"/>
      <c r="L28" s="826">
        <v>280</v>
      </c>
      <c r="M28" s="826">
        <v>232</v>
      </c>
      <c r="N28" s="826">
        <v>232</v>
      </c>
      <c r="O28" s="827"/>
      <c r="P28" s="827"/>
      <c r="Q28" s="826">
        <v>280</v>
      </c>
      <c r="R28" s="826">
        <v>223</v>
      </c>
      <c r="S28" s="826">
        <v>223</v>
      </c>
      <c r="T28" s="827"/>
      <c r="U28" s="827"/>
    </row>
    <row r="29" spans="1:21" x14ac:dyDescent="0.25">
      <c r="A29" s="827"/>
      <c r="B29" s="826">
        <v>290</v>
      </c>
      <c r="C29" s="826">
        <v>181</v>
      </c>
      <c r="D29" s="826">
        <v>181</v>
      </c>
      <c r="E29" s="827"/>
      <c r="F29" s="827"/>
      <c r="G29" s="826">
        <v>290</v>
      </c>
      <c r="H29" s="826">
        <v>174</v>
      </c>
      <c r="I29" s="826">
        <v>174</v>
      </c>
      <c r="J29" s="826">
        <v>802</v>
      </c>
      <c r="K29" s="827"/>
      <c r="L29" s="826">
        <v>290</v>
      </c>
      <c r="M29" s="826">
        <v>234</v>
      </c>
      <c r="N29" s="826">
        <v>234</v>
      </c>
      <c r="O29" s="827"/>
      <c r="P29" s="827"/>
      <c r="Q29" s="826">
        <v>290</v>
      </c>
      <c r="R29" s="826">
        <v>225</v>
      </c>
      <c r="S29" s="826">
        <v>225</v>
      </c>
      <c r="T29" s="827"/>
      <c r="U29" s="827"/>
    </row>
    <row r="30" spans="1:21" x14ac:dyDescent="0.25">
      <c r="A30" s="827"/>
      <c r="B30" s="826">
        <v>300</v>
      </c>
      <c r="C30" s="826">
        <v>181</v>
      </c>
      <c r="D30" s="826">
        <v>181</v>
      </c>
      <c r="E30" s="827"/>
      <c r="F30" s="827"/>
      <c r="G30" s="826">
        <v>300</v>
      </c>
      <c r="H30" s="826">
        <v>174</v>
      </c>
      <c r="I30" s="826">
        <v>174</v>
      </c>
      <c r="J30" s="826">
        <v>834</v>
      </c>
      <c r="K30" s="827"/>
      <c r="L30" s="826">
        <v>300</v>
      </c>
      <c r="M30" s="826">
        <v>236</v>
      </c>
      <c r="N30" s="826">
        <v>236</v>
      </c>
      <c r="O30" s="827"/>
      <c r="P30" s="827"/>
      <c r="Q30" s="826">
        <v>300</v>
      </c>
      <c r="R30" s="826">
        <v>227</v>
      </c>
      <c r="S30" s="826">
        <v>227</v>
      </c>
      <c r="T30" s="827"/>
      <c r="U30" s="827"/>
    </row>
    <row r="31" spans="1:21" x14ac:dyDescent="0.25">
      <c r="A31" s="827"/>
      <c r="B31" s="826">
        <v>310</v>
      </c>
      <c r="C31" s="826">
        <v>181</v>
      </c>
      <c r="D31" s="826">
        <v>181</v>
      </c>
      <c r="E31" s="827"/>
      <c r="F31" s="827"/>
      <c r="G31" s="826">
        <v>310</v>
      </c>
      <c r="H31" s="826">
        <v>174</v>
      </c>
      <c r="I31" s="826">
        <v>174</v>
      </c>
      <c r="J31" s="826">
        <v>867</v>
      </c>
      <c r="K31" s="827"/>
      <c r="L31" s="826">
        <v>310</v>
      </c>
      <c r="M31" s="826">
        <v>238</v>
      </c>
      <c r="N31" s="826">
        <v>238</v>
      </c>
      <c r="O31" s="827"/>
      <c r="P31" s="827"/>
      <c r="Q31" s="826">
        <v>310</v>
      </c>
      <c r="R31" s="826">
        <v>228</v>
      </c>
      <c r="S31" s="826">
        <v>228</v>
      </c>
      <c r="T31" s="827"/>
      <c r="U31" s="827"/>
    </row>
    <row r="32" spans="1:21" x14ac:dyDescent="0.25">
      <c r="A32" s="827"/>
      <c r="B32" s="826">
        <v>320</v>
      </c>
      <c r="C32" s="826">
        <v>181</v>
      </c>
      <c r="D32" s="826">
        <v>181</v>
      </c>
      <c r="E32" s="827"/>
      <c r="F32" s="827"/>
      <c r="G32" s="826">
        <v>320</v>
      </c>
      <c r="H32" s="826">
        <v>174</v>
      </c>
      <c r="I32" s="826">
        <v>174</v>
      </c>
      <c r="J32" s="827" t="s">
        <v>491</v>
      </c>
      <c r="K32" s="827"/>
      <c r="L32" s="826">
        <v>320</v>
      </c>
      <c r="M32" s="826">
        <v>239</v>
      </c>
      <c r="N32" s="826">
        <v>239</v>
      </c>
      <c r="O32" s="827"/>
      <c r="P32" s="827"/>
      <c r="Q32" s="826">
        <v>320</v>
      </c>
      <c r="R32" s="826">
        <v>230</v>
      </c>
      <c r="S32" s="826">
        <v>230</v>
      </c>
      <c r="T32" s="827"/>
      <c r="U32" s="827"/>
    </row>
    <row r="33" spans="1:21" x14ac:dyDescent="0.25">
      <c r="A33" s="827"/>
      <c r="B33" s="826">
        <v>330</v>
      </c>
      <c r="C33" s="826">
        <v>181</v>
      </c>
      <c r="D33" s="826">
        <v>181</v>
      </c>
      <c r="E33" s="827"/>
      <c r="F33" s="827"/>
      <c r="G33" s="826">
        <v>330</v>
      </c>
      <c r="H33" s="826">
        <v>174</v>
      </c>
      <c r="I33" s="826">
        <v>174</v>
      </c>
      <c r="J33" s="827"/>
      <c r="L33" s="826">
        <v>330</v>
      </c>
      <c r="M33" s="826">
        <v>241</v>
      </c>
      <c r="N33" s="826">
        <v>241</v>
      </c>
      <c r="O33" s="827"/>
      <c r="P33" s="827"/>
      <c r="Q33" s="826">
        <v>330</v>
      </c>
      <c r="R33" s="826">
        <v>232</v>
      </c>
      <c r="S33" s="826">
        <v>232</v>
      </c>
      <c r="T33" s="827"/>
      <c r="U33" s="827"/>
    </row>
    <row r="34" spans="1:21" x14ac:dyDescent="0.25">
      <c r="B34" s="826">
        <v>340</v>
      </c>
      <c r="C34" s="826">
        <v>181</v>
      </c>
      <c r="D34" s="826">
        <v>191</v>
      </c>
      <c r="E34" s="827"/>
      <c r="F34" s="827"/>
      <c r="G34" s="826">
        <v>340</v>
      </c>
      <c r="H34" s="827"/>
      <c r="I34" s="827"/>
      <c r="J34" s="827"/>
      <c r="K34" s="827"/>
      <c r="L34" s="826">
        <v>340</v>
      </c>
      <c r="M34" s="826">
        <v>243</v>
      </c>
      <c r="N34" s="826">
        <v>256</v>
      </c>
      <c r="O34" s="827"/>
      <c r="P34" s="827"/>
      <c r="Q34" s="826">
        <v>340</v>
      </c>
      <c r="R34" s="826">
        <v>234</v>
      </c>
      <c r="S34" s="826">
        <v>234</v>
      </c>
      <c r="T34" s="827"/>
    </row>
  </sheetData>
  <mergeCells count="4">
    <mergeCell ref="Q2:U2"/>
    <mergeCell ref="L2:P2"/>
    <mergeCell ref="B2:F2"/>
    <mergeCell ref="G2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89FAA-97BD-4C42-803F-3C155696FB94}">
  <dimension ref="A1:AD45"/>
  <sheetViews>
    <sheetView topLeftCell="I1" workbookViewId="0">
      <selection activeCell="Y2" sqref="Y2:AD43"/>
    </sheetView>
  </sheetViews>
  <sheetFormatPr baseColWidth="10" defaultColWidth="11.42578125" defaultRowHeight="15" x14ac:dyDescent="0.25"/>
  <cols>
    <col min="1" max="1" width="11.42578125" style="827"/>
    <col min="2" max="2" width="16.140625" style="827" bestFit="1" customWidth="1"/>
    <col min="3" max="9" width="11.42578125" style="827"/>
    <col min="10" max="10" width="16.140625" style="827" bestFit="1" customWidth="1"/>
    <col min="11" max="12" width="11.42578125" style="827"/>
    <col min="13" max="13" width="11.42578125" style="827" customWidth="1"/>
    <col min="14" max="17" width="11.42578125" style="827"/>
    <col min="18" max="18" width="16.140625" style="827" bestFit="1" customWidth="1"/>
    <col min="19" max="24" width="11.42578125" style="827"/>
    <col min="25" max="25" width="16.140625" style="827" bestFit="1" customWidth="1"/>
    <col min="26" max="16384" width="11.42578125" style="827"/>
  </cols>
  <sheetData>
    <row r="1" spans="1:30" ht="15.75" thickBot="1" x14ac:dyDescent="0.3">
      <c r="A1" s="911"/>
      <c r="B1" s="911"/>
      <c r="C1" s="911"/>
      <c r="D1" s="911"/>
      <c r="E1" s="911"/>
      <c r="F1" s="911"/>
      <c r="G1" s="911"/>
      <c r="H1" s="911"/>
      <c r="I1" s="911"/>
      <c r="J1" s="911"/>
      <c r="K1" s="911"/>
      <c r="L1" s="911"/>
      <c r="M1" s="911"/>
      <c r="N1" s="911"/>
      <c r="O1" s="911"/>
      <c r="P1" s="911"/>
      <c r="Q1" s="911"/>
      <c r="R1" s="911"/>
      <c r="S1" s="911"/>
      <c r="T1" s="911"/>
      <c r="U1" s="911"/>
      <c r="V1" s="911"/>
      <c r="W1" s="911"/>
      <c r="X1" s="881"/>
    </row>
    <row r="2" spans="1:30" ht="16.5" thickBot="1" x14ac:dyDescent="0.3">
      <c r="A2" s="911"/>
      <c r="B2" s="1024" t="s">
        <v>542</v>
      </c>
      <c r="C2" s="1025"/>
      <c r="D2" s="1025"/>
      <c r="E2" s="1025"/>
      <c r="F2" s="1025"/>
      <c r="G2" s="1025"/>
      <c r="H2" s="1027"/>
      <c r="I2" s="911"/>
      <c r="J2" s="1024" t="s">
        <v>542</v>
      </c>
      <c r="K2" s="1025"/>
      <c r="L2" s="1025"/>
      <c r="M2" s="1025"/>
      <c r="N2" s="1025"/>
      <c r="O2" s="1025"/>
      <c r="P2" s="1027"/>
      <c r="Q2" s="911"/>
      <c r="R2" s="1024" t="s">
        <v>542</v>
      </c>
      <c r="S2" s="1025"/>
      <c r="T2" s="1025"/>
      <c r="U2" s="1025"/>
      <c r="V2" s="1025"/>
      <c r="W2" s="1027"/>
      <c r="X2" s="881"/>
      <c r="Y2" s="1024" t="s">
        <v>542</v>
      </c>
      <c r="Z2" s="1025"/>
      <c r="AA2" s="1025"/>
      <c r="AB2" s="1025"/>
      <c r="AC2" s="1025"/>
      <c r="AD2" s="1027"/>
    </row>
    <row r="3" spans="1:30" ht="16.5" thickBot="1" x14ac:dyDescent="0.3">
      <c r="A3" s="911"/>
      <c r="B3" s="1020" t="s">
        <v>489</v>
      </c>
      <c r="C3" s="1021"/>
      <c r="D3" s="1021"/>
      <c r="E3" s="1021"/>
      <c r="F3" s="1021"/>
      <c r="G3" s="1021"/>
      <c r="H3" s="1023"/>
      <c r="I3" s="921"/>
      <c r="J3" s="1020" t="s">
        <v>405</v>
      </c>
      <c r="K3" s="1021"/>
      <c r="L3" s="1022"/>
      <c r="M3" s="1022"/>
      <c r="N3" s="1021"/>
      <c r="O3" s="1021"/>
      <c r="P3" s="1023"/>
      <c r="Q3" s="921"/>
      <c r="R3" s="1020" t="s">
        <v>532</v>
      </c>
      <c r="S3" s="1021"/>
      <c r="T3" s="1021"/>
      <c r="U3" s="1021"/>
      <c r="V3" s="1021"/>
      <c r="W3" s="1023"/>
      <c r="X3" s="885"/>
      <c r="Y3" s="1024" t="s">
        <v>533</v>
      </c>
      <c r="Z3" s="1025"/>
      <c r="AA3" s="1026"/>
      <c r="AB3" s="1026"/>
      <c r="AC3" s="1025"/>
      <c r="AD3" s="1027"/>
    </row>
    <row r="4" spans="1:30" ht="15.75" x14ac:dyDescent="0.25">
      <c r="A4" s="911"/>
      <c r="B4" s="912" t="s">
        <v>534</v>
      </c>
      <c r="C4" s="912" t="s">
        <v>455</v>
      </c>
      <c r="D4" s="912" t="s">
        <v>490</v>
      </c>
      <c r="E4" s="912" t="s">
        <v>156</v>
      </c>
      <c r="F4" s="912" t="s">
        <v>119</v>
      </c>
      <c r="G4" s="912" t="s">
        <v>120</v>
      </c>
      <c r="H4" s="922" t="s">
        <v>463</v>
      </c>
      <c r="I4" s="911"/>
      <c r="J4" s="900" t="s">
        <v>534</v>
      </c>
      <c r="K4" s="888" t="s">
        <v>455</v>
      </c>
      <c r="L4" s="938" t="s">
        <v>490</v>
      </c>
      <c r="M4" s="934" t="s">
        <v>156</v>
      </c>
      <c r="N4" s="917" t="s">
        <v>119</v>
      </c>
      <c r="O4" s="878" t="s">
        <v>120</v>
      </c>
      <c r="P4" s="900" t="s">
        <v>463</v>
      </c>
      <c r="Q4" s="881"/>
      <c r="R4" s="922" t="s">
        <v>534</v>
      </c>
      <c r="S4" s="912" t="s">
        <v>455</v>
      </c>
      <c r="T4" s="912" t="s">
        <v>490</v>
      </c>
      <c r="U4" s="912" t="s">
        <v>156</v>
      </c>
      <c r="V4" s="912" t="s">
        <v>119</v>
      </c>
      <c r="W4" s="922" t="s">
        <v>120</v>
      </c>
      <c r="X4" s="881"/>
      <c r="Y4" s="891" t="s">
        <v>534</v>
      </c>
      <c r="Z4" s="892" t="s">
        <v>455</v>
      </c>
      <c r="AA4" s="926" t="s">
        <v>490</v>
      </c>
      <c r="AB4" s="927" t="s">
        <v>156</v>
      </c>
      <c r="AC4" s="924" t="s">
        <v>119</v>
      </c>
      <c r="AD4" s="891" t="s">
        <v>120</v>
      </c>
    </row>
    <row r="5" spans="1:30" ht="15.75" x14ac:dyDescent="0.25">
      <c r="A5" s="911"/>
      <c r="B5" s="913">
        <v>30</v>
      </c>
      <c r="C5" s="913">
        <v>196</v>
      </c>
      <c r="D5" s="913">
        <v>196</v>
      </c>
      <c r="E5" s="913">
        <v>196</v>
      </c>
      <c r="F5" s="913">
        <v>595</v>
      </c>
      <c r="G5" s="913">
        <v>875</v>
      </c>
      <c r="H5" s="914">
        <v>1658</v>
      </c>
      <c r="I5" s="919"/>
      <c r="J5" s="879">
        <v>30</v>
      </c>
      <c r="K5" s="916">
        <v>177</v>
      </c>
      <c r="L5" s="939">
        <v>177</v>
      </c>
      <c r="M5" s="935">
        <v>177</v>
      </c>
      <c r="N5" s="918">
        <v>652</v>
      </c>
      <c r="O5" s="880">
        <v>1009</v>
      </c>
      <c r="P5" s="880">
        <v>1564</v>
      </c>
      <c r="Q5" s="886"/>
      <c r="R5" s="913">
        <v>30</v>
      </c>
      <c r="S5" s="913">
        <v>182</v>
      </c>
      <c r="T5" s="913">
        <v>182</v>
      </c>
      <c r="U5" s="913">
        <v>605</v>
      </c>
      <c r="V5" s="914">
        <v>1243</v>
      </c>
      <c r="W5" s="914">
        <v>1811</v>
      </c>
      <c r="X5" s="886"/>
      <c r="Y5" s="893">
        <v>30</v>
      </c>
      <c r="Z5" s="894">
        <v>359</v>
      </c>
      <c r="AA5" s="928">
        <v>359</v>
      </c>
      <c r="AB5" s="929">
        <v>574</v>
      </c>
      <c r="AC5" s="925">
        <v>1365</v>
      </c>
      <c r="AD5" s="923">
        <v>2835</v>
      </c>
    </row>
    <row r="6" spans="1:30" ht="15.75" x14ac:dyDescent="0.25">
      <c r="A6" s="911"/>
      <c r="B6" s="913">
        <v>40</v>
      </c>
      <c r="C6" s="913">
        <v>196</v>
      </c>
      <c r="D6" s="913">
        <v>196</v>
      </c>
      <c r="E6" s="913">
        <v>263</v>
      </c>
      <c r="F6" s="913">
        <v>706</v>
      </c>
      <c r="G6" s="914">
        <v>1137</v>
      </c>
      <c r="H6" s="914">
        <v>1968</v>
      </c>
      <c r="I6" s="919"/>
      <c r="J6" s="879">
        <v>40</v>
      </c>
      <c r="K6" s="916">
        <v>177</v>
      </c>
      <c r="L6" s="939">
        <v>177</v>
      </c>
      <c r="M6" s="935">
        <v>272</v>
      </c>
      <c r="N6" s="918">
        <v>781</v>
      </c>
      <c r="O6" s="880">
        <v>1334</v>
      </c>
      <c r="P6" s="880">
        <v>2180</v>
      </c>
      <c r="Q6" s="886"/>
      <c r="R6" s="913">
        <v>40</v>
      </c>
      <c r="S6" s="913">
        <v>182</v>
      </c>
      <c r="T6" s="913">
        <v>182</v>
      </c>
      <c r="U6" s="913">
        <v>605</v>
      </c>
      <c r="V6" s="914">
        <v>1243</v>
      </c>
      <c r="W6" s="914">
        <v>1811</v>
      </c>
      <c r="X6" s="886"/>
      <c r="Y6" s="893">
        <v>40</v>
      </c>
      <c r="Z6" s="894">
        <v>359</v>
      </c>
      <c r="AA6" s="928">
        <v>359</v>
      </c>
      <c r="AB6" s="929">
        <v>574</v>
      </c>
      <c r="AC6" s="925">
        <v>1365</v>
      </c>
      <c r="AD6" s="923">
        <v>2835</v>
      </c>
    </row>
    <row r="7" spans="1:30" ht="15.75" x14ac:dyDescent="0.25">
      <c r="A7" s="911"/>
      <c r="B7" s="913">
        <v>45</v>
      </c>
      <c r="C7" s="915">
        <f>+ROUNDUP(AVERAGE(C6,C8),0)</f>
        <v>196</v>
      </c>
      <c r="D7" s="915">
        <f t="shared" ref="D7:P7" si="0">+ROUNDUP(AVERAGE(D6,D8),0)</f>
        <v>196</v>
      </c>
      <c r="E7" s="915">
        <f t="shared" si="0"/>
        <v>329</v>
      </c>
      <c r="F7" s="915">
        <f t="shared" si="0"/>
        <v>761</v>
      </c>
      <c r="G7" s="915">
        <f t="shared" si="0"/>
        <v>1268</v>
      </c>
      <c r="H7" s="915">
        <f t="shared" si="0"/>
        <v>2103</v>
      </c>
      <c r="I7" s="920"/>
      <c r="J7" s="879">
        <v>45</v>
      </c>
      <c r="K7" s="916">
        <f t="shared" si="0"/>
        <v>177</v>
      </c>
      <c r="L7" s="939">
        <f t="shared" si="0"/>
        <v>177</v>
      </c>
      <c r="M7" s="935">
        <f t="shared" si="0"/>
        <v>334</v>
      </c>
      <c r="N7" s="918">
        <f t="shared" si="0"/>
        <v>860</v>
      </c>
      <c r="O7" s="879">
        <f t="shared" si="0"/>
        <v>1514</v>
      </c>
      <c r="P7" s="879">
        <f t="shared" si="0"/>
        <v>2463</v>
      </c>
      <c r="Q7" s="881"/>
      <c r="R7" s="913">
        <v>45</v>
      </c>
      <c r="S7" s="913">
        <v>182</v>
      </c>
      <c r="T7" s="913">
        <v>182</v>
      </c>
      <c r="U7" s="913">
        <v>605</v>
      </c>
      <c r="V7" s="914">
        <v>1243</v>
      </c>
      <c r="W7" s="914">
        <v>1811</v>
      </c>
      <c r="X7" s="886"/>
      <c r="Y7" s="893">
        <v>45</v>
      </c>
      <c r="Z7" s="894">
        <v>359</v>
      </c>
      <c r="AA7" s="928">
        <v>359</v>
      </c>
      <c r="AB7" s="929">
        <v>574</v>
      </c>
      <c r="AC7" s="925">
        <v>1365</v>
      </c>
      <c r="AD7" s="923">
        <v>2835</v>
      </c>
    </row>
    <row r="8" spans="1:30" ht="15.75" x14ac:dyDescent="0.25">
      <c r="A8" s="911"/>
      <c r="B8" s="913">
        <v>50</v>
      </c>
      <c r="C8" s="913">
        <v>196</v>
      </c>
      <c r="D8" s="913">
        <v>196</v>
      </c>
      <c r="E8" s="913">
        <v>395</v>
      </c>
      <c r="F8" s="913">
        <v>815</v>
      </c>
      <c r="G8" s="914">
        <v>1399</v>
      </c>
      <c r="H8" s="914">
        <v>2237</v>
      </c>
      <c r="I8" s="919"/>
      <c r="J8" s="879">
        <v>50</v>
      </c>
      <c r="K8" s="916">
        <v>177</v>
      </c>
      <c r="L8" s="939">
        <v>177</v>
      </c>
      <c r="M8" s="935">
        <v>395</v>
      </c>
      <c r="N8" s="918">
        <v>939</v>
      </c>
      <c r="O8" s="880">
        <v>1693</v>
      </c>
      <c r="P8" s="880">
        <v>2745</v>
      </c>
      <c r="Q8" s="886"/>
      <c r="R8" s="913">
        <v>50</v>
      </c>
      <c r="S8" s="913">
        <v>182</v>
      </c>
      <c r="T8" s="913">
        <v>182</v>
      </c>
      <c r="U8" s="913">
        <v>650</v>
      </c>
      <c r="V8" s="914">
        <v>1287</v>
      </c>
      <c r="W8" s="914">
        <v>1915</v>
      </c>
      <c r="X8" s="886"/>
      <c r="Y8" s="893">
        <v>50</v>
      </c>
      <c r="Z8" s="894">
        <v>359</v>
      </c>
      <c r="AA8" s="928">
        <v>359</v>
      </c>
      <c r="AB8" s="929">
        <v>574</v>
      </c>
      <c r="AC8" s="925">
        <v>1365</v>
      </c>
      <c r="AD8" s="923">
        <v>2835</v>
      </c>
    </row>
    <row r="9" spans="1:30" ht="15.75" x14ac:dyDescent="0.25">
      <c r="A9" s="911"/>
      <c r="B9" s="913">
        <v>60</v>
      </c>
      <c r="C9" s="913">
        <v>196</v>
      </c>
      <c r="D9" s="913">
        <v>196</v>
      </c>
      <c r="E9" s="913">
        <v>522</v>
      </c>
      <c r="F9" s="913">
        <v>924</v>
      </c>
      <c r="G9" s="914">
        <v>1661</v>
      </c>
      <c r="H9" s="914">
        <v>2507</v>
      </c>
      <c r="I9" s="919"/>
      <c r="J9" s="879">
        <v>60</v>
      </c>
      <c r="K9" s="916">
        <v>177</v>
      </c>
      <c r="L9" s="939">
        <v>177</v>
      </c>
      <c r="M9" s="935">
        <v>517</v>
      </c>
      <c r="N9" s="933">
        <v>1096</v>
      </c>
      <c r="O9" s="880">
        <v>2053</v>
      </c>
      <c r="P9" s="880">
        <v>3256</v>
      </c>
      <c r="Q9" s="886"/>
      <c r="R9" s="913">
        <v>60</v>
      </c>
      <c r="S9" s="913">
        <v>182</v>
      </c>
      <c r="T9" s="913">
        <v>182</v>
      </c>
      <c r="U9" s="913">
        <v>739</v>
      </c>
      <c r="V9" s="914">
        <v>1374</v>
      </c>
      <c r="W9" s="914">
        <v>2386</v>
      </c>
      <c r="X9" s="886"/>
      <c r="Y9" s="893">
        <v>60</v>
      </c>
      <c r="Z9" s="894">
        <v>359</v>
      </c>
      <c r="AA9" s="928">
        <v>359</v>
      </c>
      <c r="AB9" s="929">
        <v>671</v>
      </c>
      <c r="AC9" s="925">
        <v>1611</v>
      </c>
      <c r="AD9" s="923">
        <v>3241</v>
      </c>
    </row>
    <row r="10" spans="1:30" ht="15.75" x14ac:dyDescent="0.25">
      <c r="A10" s="911"/>
      <c r="B10" s="913">
        <v>70</v>
      </c>
      <c r="C10" s="913">
        <v>196</v>
      </c>
      <c r="D10" s="913">
        <v>196</v>
      </c>
      <c r="E10" s="913">
        <v>548</v>
      </c>
      <c r="F10" s="914">
        <v>1023</v>
      </c>
      <c r="G10" s="914">
        <v>1814</v>
      </c>
      <c r="H10" s="914">
        <v>2776</v>
      </c>
      <c r="I10" s="919"/>
      <c r="J10" s="879">
        <v>70</v>
      </c>
      <c r="K10" s="916">
        <v>177</v>
      </c>
      <c r="L10" s="939">
        <v>177</v>
      </c>
      <c r="M10" s="935">
        <v>547</v>
      </c>
      <c r="N10" s="933">
        <v>1254</v>
      </c>
      <c r="O10" s="880">
        <v>2413</v>
      </c>
      <c r="P10" s="880">
        <v>3635</v>
      </c>
      <c r="Q10" s="886"/>
      <c r="R10" s="913">
        <v>70</v>
      </c>
      <c r="S10" s="913">
        <v>182</v>
      </c>
      <c r="T10" s="913">
        <v>182</v>
      </c>
      <c r="U10" s="913">
        <v>828</v>
      </c>
      <c r="V10" s="914">
        <v>1461</v>
      </c>
      <c r="W10" s="914">
        <v>3035</v>
      </c>
      <c r="X10" s="886"/>
      <c r="Y10" s="893">
        <v>70</v>
      </c>
      <c r="Z10" s="894">
        <v>359</v>
      </c>
      <c r="AA10" s="928">
        <v>359</v>
      </c>
      <c r="AB10" s="929">
        <v>768</v>
      </c>
      <c r="AC10" s="925">
        <v>1809</v>
      </c>
      <c r="AD10" s="923">
        <v>3646</v>
      </c>
    </row>
    <row r="11" spans="1:30" ht="15.75" x14ac:dyDescent="0.25">
      <c r="A11" s="911"/>
      <c r="B11" s="913">
        <v>80</v>
      </c>
      <c r="C11" s="913">
        <v>196</v>
      </c>
      <c r="D11" s="913">
        <v>196</v>
      </c>
      <c r="E11" s="913">
        <v>574</v>
      </c>
      <c r="F11" s="914">
        <v>1122</v>
      </c>
      <c r="G11" s="914">
        <v>1930</v>
      </c>
      <c r="H11" s="914">
        <v>3045</v>
      </c>
      <c r="I11" s="919"/>
      <c r="J11" s="879">
        <v>80</v>
      </c>
      <c r="K11" s="916">
        <v>177</v>
      </c>
      <c r="L11" s="939">
        <v>177</v>
      </c>
      <c r="M11" s="935">
        <v>576</v>
      </c>
      <c r="N11" s="933">
        <v>1380</v>
      </c>
      <c r="O11" s="880">
        <v>2657</v>
      </c>
      <c r="P11" s="880">
        <v>3901</v>
      </c>
      <c r="Q11" s="886"/>
      <c r="R11" s="913">
        <v>80</v>
      </c>
      <c r="S11" s="913">
        <v>182</v>
      </c>
      <c r="T11" s="913">
        <v>182</v>
      </c>
      <c r="U11" s="913">
        <v>917</v>
      </c>
      <c r="V11" s="914">
        <v>1548</v>
      </c>
      <c r="W11" s="914">
        <v>3574</v>
      </c>
      <c r="X11" s="886"/>
      <c r="Y11" s="893">
        <v>80</v>
      </c>
      <c r="Z11" s="894">
        <v>359</v>
      </c>
      <c r="AA11" s="928">
        <v>359</v>
      </c>
      <c r="AB11" s="929">
        <v>865</v>
      </c>
      <c r="AC11" s="925">
        <v>1970</v>
      </c>
      <c r="AD11" s="923">
        <v>4051</v>
      </c>
    </row>
    <row r="12" spans="1:30" ht="15.75" x14ac:dyDescent="0.25">
      <c r="A12" s="911"/>
      <c r="B12" s="913">
        <v>90</v>
      </c>
      <c r="C12" s="913">
        <v>196</v>
      </c>
      <c r="D12" s="913">
        <v>196</v>
      </c>
      <c r="E12" s="913">
        <v>600</v>
      </c>
      <c r="F12" s="914">
        <v>1222</v>
      </c>
      <c r="G12" s="914">
        <v>2047</v>
      </c>
      <c r="H12" s="914">
        <v>3315</v>
      </c>
      <c r="I12" s="919"/>
      <c r="J12" s="879">
        <v>90</v>
      </c>
      <c r="K12" s="916">
        <v>177</v>
      </c>
      <c r="L12" s="939">
        <v>177</v>
      </c>
      <c r="M12" s="935">
        <v>605</v>
      </c>
      <c r="N12" s="933">
        <v>1490</v>
      </c>
      <c r="O12" s="880">
        <v>2865</v>
      </c>
      <c r="P12" s="880">
        <v>4166</v>
      </c>
      <c r="Q12" s="886"/>
      <c r="R12" s="913">
        <v>90</v>
      </c>
      <c r="S12" s="913">
        <v>182</v>
      </c>
      <c r="T12" s="913">
        <v>182</v>
      </c>
      <c r="U12" s="914">
        <v>1006</v>
      </c>
      <c r="V12" s="914">
        <v>1634</v>
      </c>
      <c r="W12" s="914">
        <v>3893</v>
      </c>
      <c r="X12" s="886"/>
      <c r="Y12" s="893">
        <v>90</v>
      </c>
      <c r="Z12" s="894">
        <v>359</v>
      </c>
      <c r="AA12" s="928">
        <v>359</v>
      </c>
      <c r="AB12" s="929">
        <v>913</v>
      </c>
      <c r="AC12" s="925">
        <v>2051</v>
      </c>
      <c r="AD12" s="923">
        <v>4254</v>
      </c>
    </row>
    <row r="13" spans="1:30" ht="15.75" x14ac:dyDescent="0.25">
      <c r="A13" s="911"/>
      <c r="B13" s="913">
        <v>100</v>
      </c>
      <c r="C13" s="913">
        <v>196</v>
      </c>
      <c r="D13" s="913">
        <v>196</v>
      </c>
      <c r="E13" s="913">
        <v>627</v>
      </c>
      <c r="F13" s="914">
        <v>1321</v>
      </c>
      <c r="G13" s="914">
        <v>2164</v>
      </c>
      <c r="H13" s="914">
        <v>3583</v>
      </c>
      <c r="I13" s="919"/>
      <c r="J13" s="879">
        <v>100</v>
      </c>
      <c r="K13" s="916">
        <v>177</v>
      </c>
      <c r="L13" s="939">
        <v>177</v>
      </c>
      <c r="M13" s="935">
        <v>634</v>
      </c>
      <c r="N13" s="933">
        <v>1599</v>
      </c>
      <c r="O13" s="880">
        <v>3073</v>
      </c>
      <c r="P13" s="880">
        <v>4432</v>
      </c>
      <c r="Q13" s="886"/>
      <c r="R13" s="913">
        <v>100</v>
      </c>
      <c r="S13" s="913">
        <v>182</v>
      </c>
      <c r="T13" s="913">
        <v>182</v>
      </c>
      <c r="U13" s="914">
        <v>1096</v>
      </c>
      <c r="V13" s="914">
        <v>1722</v>
      </c>
      <c r="W13" s="914">
        <v>4212</v>
      </c>
      <c r="X13" s="886"/>
      <c r="Y13" s="893">
        <v>100</v>
      </c>
      <c r="Z13" s="894">
        <v>359</v>
      </c>
      <c r="AA13" s="928">
        <v>359</v>
      </c>
      <c r="AB13" s="929">
        <v>962</v>
      </c>
      <c r="AC13" s="925">
        <v>2131</v>
      </c>
      <c r="AD13" s="895" t="s">
        <v>491</v>
      </c>
    </row>
    <row r="14" spans="1:30" ht="15.75" x14ac:dyDescent="0.25">
      <c r="A14" s="911"/>
      <c r="B14" s="913">
        <v>110</v>
      </c>
      <c r="C14" s="913">
        <v>196</v>
      </c>
      <c r="D14" s="913">
        <v>196</v>
      </c>
      <c r="E14" s="913">
        <v>653</v>
      </c>
      <c r="F14" s="914">
        <v>1420</v>
      </c>
      <c r="G14" s="914">
        <v>2281</v>
      </c>
      <c r="H14" s="914">
        <v>3714</v>
      </c>
      <c r="I14" s="919"/>
      <c r="J14" s="879">
        <v>110</v>
      </c>
      <c r="K14" s="916">
        <v>177</v>
      </c>
      <c r="L14" s="939">
        <v>177</v>
      </c>
      <c r="M14" s="935">
        <v>663</v>
      </c>
      <c r="N14" s="933">
        <v>1709</v>
      </c>
      <c r="O14" s="880">
        <v>3281</v>
      </c>
      <c r="P14" s="880">
        <v>4697</v>
      </c>
      <c r="Q14" s="886"/>
      <c r="R14" s="913">
        <v>110</v>
      </c>
      <c r="S14" s="913">
        <v>182</v>
      </c>
      <c r="T14" s="913">
        <v>182</v>
      </c>
      <c r="U14" s="914">
        <v>1185</v>
      </c>
      <c r="V14" s="914">
        <v>1808</v>
      </c>
      <c r="W14" s="914">
        <v>4530</v>
      </c>
      <c r="X14" s="886"/>
      <c r="Y14" s="893">
        <v>110</v>
      </c>
      <c r="Z14" s="894">
        <v>359</v>
      </c>
      <c r="AA14" s="928">
        <v>359</v>
      </c>
      <c r="AB14" s="930">
        <v>1058</v>
      </c>
      <c r="AC14" s="925">
        <v>2293</v>
      </c>
      <c r="AD14" s="895"/>
    </row>
    <row r="15" spans="1:30" ht="15.75" x14ac:dyDescent="0.25">
      <c r="A15" s="911"/>
      <c r="B15" s="913">
        <v>120</v>
      </c>
      <c r="C15" s="913">
        <v>196</v>
      </c>
      <c r="D15" s="913">
        <v>196</v>
      </c>
      <c r="E15" s="913">
        <v>679</v>
      </c>
      <c r="F15" s="914">
        <v>1519</v>
      </c>
      <c r="G15" s="914">
        <v>2397</v>
      </c>
      <c r="H15" s="914">
        <v>3845</v>
      </c>
      <c r="I15" s="919"/>
      <c r="J15" s="879">
        <v>120</v>
      </c>
      <c r="K15" s="916">
        <v>177</v>
      </c>
      <c r="L15" s="939">
        <v>177</v>
      </c>
      <c r="M15" s="935">
        <v>693</v>
      </c>
      <c r="N15" s="933">
        <v>1819</v>
      </c>
      <c r="O15" s="880">
        <v>3489</v>
      </c>
      <c r="P15" s="880">
        <v>4963</v>
      </c>
      <c r="Q15" s="886"/>
      <c r="R15" s="913">
        <v>120</v>
      </c>
      <c r="S15" s="913">
        <v>182</v>
      </c>
      <c r="T15" s="913">
        <v>182</v>
      </c>
      <c r="U15" s="914">
        <v>1274</v>
      </c>
      <c r="V15" s="914">
        <v>1895</v>
      </c>
      <c r="W15" s="914">
        <v>4849</v>
      </c>
      <c r="X15" s="886"/>
      <c r="Y15" s="893">
        <v>120</v>
      </c>
      <c r="Z15" s="894">
        <v>359</v>
      </c>
      <c r="AA15" s="928">
        <v>359</v>
      </c>
      <c r="AB15" s="930">
        <v>1155</v>
      </c>
      <c r="AC15" s="925">
        <v>2454</v>
      </c>
      <c r="AD15" s="895"/>
    </row>
    <row r="16" spans="1:30" ht="15.75" x14ac:dyDescent="0.25">
      <c r="A16" s="911"/>
      <c r="B16" s="913">
        <v>130</v>
      </c>
      <c r="C16" s="913">
        <v>196</v>
      </c>
      <c r="D16" s="913">
        <v>196</v>
      </c>
      <c r="E16" s="913">
        <v>705</v>
      </c>
      <c r="F16" s="914">
        <v>1618</v>
      </c>
      <c r="G16" s="914">
        <v>2514</v>
      </c>
      <c r="H16" s="914">
        <v>3977</v>
      </c>
      <c r="I16" s="919"/>
      <c r="J16" s="879">
        <v>130</v>
      </c>
      <c r="K16" s="916">
        <v>177</v>
      </c>
      <c r="L16" s="939">
        <v>177</v>
      </c>
      <c r="M16" s="935">
        <v>722</v>
      </c>
      <c r="N16" s="933">
        <v>1928</v>
      </c>
      <c r="O16" s="880">
        <v>3631</v>
      </c>
      <c r="P16" s="880">
        <v>5228</v>
      </c>
      <c r="Q16" s="886"/>
      <c r="R16" s="913">
        <v>130</v>
      </c>
      <c r="S16" s="913">
        <v>182</v>
      </c>
      <c r="T16" s="913">
        <v>220</v>
      </c>
      <c r="U16" s="914">
        <v>1363</v>
      </c>
      <c r="V16" s="914">
        <v>1982</v>
      </c>
      <c r="W16" s="914">
        <v>5168</v>
      </c>
      <c r="X16" s="886"/>
      <c r="Y16" s="893">
        <v>130</v>
      </c>
      <c r="Z16" s="894">
        <v>359</v>
      </c>
      <c r="AA16" s="928">
        <v>359</v>
      </c>
      <c r="AB16" s="930">
        <v>1252</v>
      </c>
      <c r="AC16" s="925">
        <v>2615</v>
      </c>
      <c r="AD16" s="895"/>
    </row>
    <row r="17" spans="1:30" ht="15.75" x14ac:dyDescent="0.25">
      <c r="A17" s="911"/>
      <c r="B17" s="913">
        <v>135</v>
      </c>
      <c r="C17" s="915">
        <f t="shared" ref="C17:H17" si="1">+ROUNDUP(AVERAGE(C16,C18),0)</f>
        <v>196</v>
      </c>
      <c r="D17" s="915">
        <f t="shared" si="1"/>
        <v>196</v>
      </c>
      <c r="E17" s="915">
        <f t="shared" si="1"/>
        <v>718</v>
      </c>
      <c r="F17" s="915">
        <f t="shared" si="1"/>
        <v>1668</v>
      </c>
      <c r="G17" s="915">
        <f t="shared" si="1"/>
        <v>5073</v>
      </c>
      <c r="H17" s="915">
        <f t="shared" si="1"/>
        <v>4043</v>
      </c>
      <c r="I17" s="920"/>
      <c r="J17" s="879">
        <v>135</v>
      </c>
      <c r="K17" s="916">
        <v>177</v>
      </c>
      <c r="L17" s="939">
        <v>177</v>
      </c>
      <c r="M17" s="935">
        <v>736</v>
      </c>
      <c r="N17" s="933">
        <v>1983</v>
      </c>
      <c r="O17" s="880">
        <v>3702</v>
      </c>
      <c r="P17" s="880">
        <v>5361</v>
      </c>
      <c r="Q17" s="886"/>
      <c r="R17" s="913">
        <v>135</v>
      </c>
      <c r="S17" s="913">
        <v>182</v>
      </c>
      <c r="T17" s="913">
        <v>250</v>
      </c>
      <c r="U17" s="914">
        <v>1408</v>
      </c>
      <c r="V17" s="914">
        <v>2331</v>
      </c>
      <c r="W17" s="914">
        <v>5327</v>
      </c>
      <c r="X17" s="886"/>
      <c r="Y17" s="893">
        <v>135</v>
      </c>
      <c r="Z17" s="894">
        <v>359</v>
      </c>
      <c r="AA17" s="928">
        <v>359</v>
      </c>
      <c r="AB17" s="930">
        <v>1349</v>
      </c>
      <c r="AC17" s="925">
        <v>2776</v>
      </c>
      <c r="AD17" s="895"/>
    </row>
    <row r="18" spans="1:30" ht="15.75" x14ac:dyDescent="0.25">
      <c r="A18" s="911"/>
      <c r="B18" s="913">
        <v>140</v>
      </c>
      <c r="C18" s="913">
        <v>196</v>
      </c>
      <c r="D18" s="913">
        <v>196</v>
      </c>
      <c r="E18" s="913">
        <v>731</v>
      </c>
      <c r="F18" s="914">
        <v>1717</v>
      </c>
      <c r="G18" s="914">
        <v>7631</v>
      </c>
      <c r="H18" s="914">
        <v>4108</v>
      </c>
      <c r="I18" s="919"/>
      <c r="J18" s="879">
        <v>140</v>
      </c>
      <c r="K18" s="916">
        <v>177</v>
      </c>
      <c r="L18" s="939">
        <v>177</v>
      </c>
      <c r="M18" s="935">
        <v>751</v>
      </c>
      <c r="N18" s="933">
        <v>2038</v>
      </c>
      <c r="O18" s="880">
        <v>3772</v>
      </c>
      <c r="P18" s="881" t="s">
        <v>491</v>
      </c>
      <c r="Q18" s="881"/>
      <c r="R18" s="913">
        <v>140</v>
      </c>
      <c r="S18" s="913">
        <v>182</v>
      </c>
      <c r="T18" s="913">
        <v>280</v>
      </c>
      <c r="U18" s="914">
        <v>1452</v>
      </c>
      <c r="V18" s="914">
        <v>2890</v>
      </c>
      <c r="W18" s="911" t="s">
        <v>491</v>
      </c>
      <c r="X18" s="881"/>
      <c r="Y18" s="893">
        <v>140</v>
      </c>
      <c r="Z18" s="894">
        <v>359</v>
      </c>
      <c r="AA18" s="928">
        <v>359</v>
      </c>
      <c r="AB18" s="930">
        <v>1449</v>
      </c>
      <c r="AC18" s="925">
        <v>3057</v>
      </c>
      <c r="AD18" s="895"/>
    </row>
    <row r="19" spans="1:30" ht="15.75" x14ac:dyDescent="0.25">
      <c r="A19" s="911"/>
      <c r="B19" s="913">
        <v>150</v>
      </c>
      <c r="C19" s="913">
        <v>196</v>
      </c>
      <c r="D19" s="913">
        <v>196</v>
      </c>
      <c r="E19" s="913">
        <v>758</v>
      </c>
      <c r="F19" s="914">
        <v>1804</v>
      </c>
      <c r="G19" s="914">
        <v>3747</v>
      </c>
      <c r="H19" s="914">
        <v>4239</v>
      </c>
      <c r="I19" s="919"/>
      <c r="J19" s="879">
        <v>150</v>
      </c>
      <c r="K19" s="916">
        <v>177</v>
      </c>
      <c r="L19" s="939">
        <v>177</v>
      </c>
      <c r="M19" s="935">
        <v>780</v>
      </c>
      <c r="N19" s="933">
        <v>2148</v>
      </c>
      <c r="O19" s="880">
        <v>3913</v>
      </c>
      <c r="P19" s="881"/>
      <c r="Q19" s="881"/>
      <c r="R19" s="913">
        <v>150</v>
      </c>
      <c r="S19" s="913">
        <v>182</v>
      </c>
      <c r="T19" s="913">
        <v>341</v>
      </c>
      <c r="U19" s="914">
        <v>1542</v>
      </c>
      <c r="V19" s="914">
        <v>3535</v>
      </c>
      <c r="W19" s="911"/>
      <c r="X19" s="881"/>
      <c r="Y19" s="893">
        <v>150</v>
      </c>
      <c r="Z19" s="894">
        <v>359</v>
      </c>
      <c r="AA19" s="928">
        <v>359</v>
      </c>
      <c r="AB19" s="930">
        <v>1543</v>
      </c>
      <c r="AC19" s="925">
        <v>3378</v>
      </c>
      <c r="AD19" s="895"/>
    </row>
    <row r="20" spans="1:30" ht="15.75" x14ac:dyDescent="0.25">
      <c r="A20" s="911"/>
      <c r="B20" s="913">
        <v>160</v>
      </c>
      <c r="C20" s="913">
        <v>196</v>
      </c>
      <c r="D20" s="913">
        <v>196</v>
      </c>
      <c r="E20" s="913">
        <v>784</v>
      </c>
      <c r="F20" s="914">
        <v>1891</v>
      </c>
      <c r="G20" s="914">
        <v>2864</v>
      </c>
      <c r="H20" s="914">
        <v>4370</v>
      </c>
      <c r="I20" s="919"/>
      <c r="J20" s="879">
        <v>160</v>
      </c>
      <c r="K20" s="916">
        <v>177</v>
      </c>
      <c r="L20" s="939">
        <v>177</v>
      </c>
      <c r="M20" s="935">
        <v>809</v>
      </c>
      <c r="N20" s="933">
        <v>2257</v>
      </c>
      <c r="O20" s="880">
        <v>4054</v>
      </c>
      <c r="P20" s="881"/>
      <c r="Q20" s="881"/>
      <c r="R20" s="913">
        <v>160</v>
      </c>
      <c r="S20" s="913">
        <v>182</v>
      </c>
      <c r="T20" s="913">
        <v>401</v>
      </c>
      <c r="U20" s="914">
        <v>1631</v>
      </c>
      <c r="V20" s="914">
        <v>3673</v>
      </c>
      <c r="W20" s="911"/>
      <c r="X20" s="881"/>
      <c r="Y20" s="893">
        <v>160</v>
      </c>
      <c r="Z20" s="894">
        <v>359</v>
      </c>
      <c r="AA20" s="928">
        <v>359</v>
      </c>
      <c r="AB20" s="930">
        <v>1639</v>
      </c>
      <c r="AC20" s="925">
        <v>3699</v>
      </c>
      <c r="AD20" s="895"/>
    </row>
    <row r="21" spans="1:30" ht="15.75" x14ac:dyDescent="0.25">
      <c r="A21" s="911"/>
      <c r="B21" s="913">
        <v>170</v>
      </c>
      <c r="C21" s="913">
        <v>196</v>
      </c>
      <c r="D21" s="913">
        <v>196</v>
      </c>
      <c r="E21" s="913">
        <v>810</v>
      </c>
      <c r="F21" s="914">
        <v>1977</v>
      </c>
      <c r="G21" s="914">
        <v>2981</v>
      </c>
      <c r="H21" s="914">
        <v>4501</v>
      </c>
      <c r="I21" s="919"/>
      <c r="J21" s="879">
        <v>170</v>
      </c>
      <c r="K21" s="916">
        <v>177</v>
      </c>
      <c r="L21" s="939">
        <v>177</v>
      </c>
      <c r="M21" s="935">
        <v>838</v>
      </c>
      <c r="N21" s="933">
        <v>2367</v>
      </c>
      <c r="O21" s="880">
        <v>4194</v>
      </c>
      <c r="P21" s="881"/>
      <c r="Q21" s="881"/>
      <c r="R21" s="913">
        <v>170</v>
      </c>
      <c r="S21" s="913">
        <v>182</v>
      </c>
      <c r="T21" s="913">
        <v>461</v>
      </c>
      <c r="U21" s="914">
        <v>1720</v>
      </c>
      <c r="V21" s="914">
        <v>3812</v>
      </c>
      <c r="W21" s="911"/>
      <c r="X21" s="911"/>
      <c r="Y21" s="893">
        <v>170</v>
      </c>
      <c r="Z21" s="894">
        <v>359</v>
      </c>
      <c r="AA21" s="928">
        <v>359</v>
      </c>
      <c r="AB21" s="930">
        <v>1730</v>
      </c>
      <c r="AC21" s="925">
        <v>4019</v>
      </c>
      <c r="AD21" s="895"/>
    </row>
    <row r="22" spans="1:30" ht="15.75" x14ac:dyDescent="0.25">
      <c r="A22" s="911"/>
      <c r="B22" s="913">
        <v>180</v>
      </c>
      <c r="C22" s="913">
        <v>196</v>
      </c>
      <c r="D22" s="913">
        <v>196</v>
      </c>
      <c r="E22" s="913">
        <v>836</v>
      </c>
      <c r="F22" s="914">
        <v>2063</v>
      </c>
      <c r="G22" s="914">
        <v>3097</v>
      </c>
      <c r="H22" s="914">
        <v>4632</v>
      </c>
      <c r="I22" s="919"/>
      <c r="J22" s="879">
        <v>180</v>
      </c>
      <c r="K22" s="916">
        <v>177</v>
      </c>
      <c r="L22" s="939">
        <v>177</v>
      </c>
      <c r="M22" s="935">
        <v>868</v>
      </c>
      <c r="N22" s="933">
        <v>2477</v>
      </c>
      <c r="O22" s="880">
        <v>4335</v>
      </c>
      <c r="P22" s="881"/>
      <c r="Q22" s="881"/>
      <c r="R22" s="913">
        <v>180</v>
      </c>
      <c r="S22" s="913">
        <v>182</v>
      </c>
      <c r="T22" s="913">
        <v>522</v>
      </c>
      <c r="U22" s="914">
        <v>1809</v>
      </c>
      <c r="V22" s="914">
        <v>3950</v>
      </c>
      <c r="W22" s="911"/>
      <c r="X22" s="911"/>
      <c r="Y22" s="893">
        <v>180</v>
      </c>
      <c r="Z22" s="894">
        <v>359</v>
      </c>
      <c r="AA22" s="928">
        <v>359</v>
      </c>
      <c r="AB22" s="930">
        <v>1797</v>
      </c>
      <c r="AC22" s="925">
        <v>4340</v>
      </c>
      <c r="AD22" s="895"/>
    </row>
    <row r="23" spans="1:30" ht="15.75" x14ac:dyDescent="0.25">
      <c r="A23" s="911"/>
      <c r="B23" s="913">
        <v>190</v>
      </c>
      <c r="C23" s="913">
        <v>196</v>
      </c>
      <c r="D23" s="913">
        <v>218</v>
      </c>
      <c r="E23" s="913">
        <v>863</v>
      </c>
      <c r="F23" s="914">
        <v>2149</v>
      </c>
      <c r="G23" s="914">
        <v>3214</v>
      </c>
      <c r="H23" s="914">
        <v>4763</v>
      </c>
      <c r="I23" s="919"/>
      <c r="J23" s="879">
        <v>190</v>
      </c>
      <c r="K23" s="916">
        <v>177</v>
      </c>
      <c r="L23" s="939">
        <v>177</v>
      </c>
      <c r="M23" s="935">
        <v>897</v>
      </c>
      <c r="N23" s="933">
        <v>2548</v>
      </c>
      <c r="O23" s="880">
        <v>4476</v>
      </c>
      <c r="P23" s="881"/>
      <c r="Q23" s="881"/>
      <c r="R23" s="913">
        <v>190</v>
      </c>
      <c r="S23" s="913">
        <v>182</v>
      </c>
      <c r="T23" s="913">
        <v>582</v>
      </c>
      <c r="U23" s="914">
        <v>1898</v>
      </c>
      <c r="V23" s="914">
        <v>4088</v>
      </c>
      <c r="W23" s="911"/>
      <c r="X23" s="911"/>
      <c r="Y23" s="893">
        <v>190</v>
      </c>
      <c r="Z23" s="894">
        <v>359</v>
      </c>
      <c r="AA23" s="928">
        <v>359</v>
      </c>
      <c r="AB23" s="930">
        <v>1863</v>
      </c>
      <c r="AC23" s="895" t="s">
        <v>491</v>
      </c>
      <c r="AD23" s="895"/>
    </row>
    <row r="24" spans="1:30" ht="15.75" x14ac:dyDescent="0.25">
      <c r="A24" s="911"/>
      <c r="B24" s="913">
        <v>200</v>
      </c>
      <c r="C24" s="913">
        <v>196</v>
      </c>
      <c r="D24" s="913">
        <v>241</v>
      </c>
      <c r="E24" s="913">
        <v>889</v>
      </c>
      <c r="F24" s="914">
        <v>2236</v>
      </c>
      <c r="G24" s="914">
        <v>3331</v>
      </c>
      <c r="H24" s="914">
        <v>4895</v>
      </c>
      <c r="I24" s="919"/>
      <c r="J24" s="879">
        <v>200</v>
      </c>
      <c r="K24" s="916">
        <v>177</v>
      </c>
      <c r="L24" s="939">
        <v>177</v>
      </c>
      <c r="M24" s="935">
        <v>926</v>
      </c>
      <c r="N24" s="933">
        <v>2611</v>
      </c>
      <c r="O24" s="880">
        <v>4617</v>
      </c>
      <c r="P24" s="881"/>
      <c r="Q24" s="881"/>
      <c r="R24" s="913">
        <v>200</v>
      </c>
      <c r="S24" s="913">
        <v>182</v>
      </c>
      <c r="T24" s="913">
        <v>643</v>
      </c>
      <c r="U24" s="914">
        <v>1987</v>
      </c>
      <c r="V24" s="914">
        <v>4227</v>
      </c>
      <c r="W24" s="911"/>
      <c r="X24" s="911"/>
      <c r="Y24" s="893">
        <v>200</v>
      </c>
      <c r="Z24" s="894">
        <v>359</v>
      </c>
      <c r="AA24" s="928">
        <v>359</v>
      </c>
      <c r="AB24" s="930">
        <v>1930</v>
      </c>
      <c r="AC24" s="895"/>
      <c r="AD24" s="895"/>
    </row>
    <row r="25" spans="1:30" ht="15.75" x14ac:dyDescent="0.25">
      <c r="A25" s="911"/>
      <c r="B25" s="913">
        <v>210</v>
      </c>
      <c r="C25" s="913">
        <v>196</v>
      </c>
      <c r="D25" s="913">
        <v>264</v>
      </c>
      <c r="E25" s="913">
        <v>916</v>
      </c>
      <c r="F25" s="914">
        <v>2322</v>
      </c>
      <c r="G25" s="914">
        <v>3447</v>
      </c>
      <c r="H25" s="914">
        <v>5026</v>
      </c>
      <c r="I25" s="919"/>
      <c r="J25" s="879">
        <v>210</v>
      </c>
      <c r="K25" s="916">
        <v>177</v>
      </c>
      <c r="L25" s="939">
        <v>178</v>
      </c>
      <c r="M25" s="935">
        <v>955</v>
      </c>
      <c r="N25" s="933">
        <v>2673</v>
      </c>
      <c r="O25" s="880">
        <v>4758</v>
      </c>
      <c r="P25" s="881"/>
      <c r="Q25" s="881"/>
      <c r="R25" s="913">
        <v>210</v>
      </c>
      <c r="S25" s="913">
        <v>182</v>
      </c>
      <c r="T25" s="913">
        <v>703</v>
      </c>
      <c r="U25" s="914">
        <v>2200</v>
      </c>
      <c r="V25" s="914">
        <v>4365</v>
      </c>
      <c r="W25" s="911"/>
      <c r="X25" s="911"/>
      <c r="Y25" s="893">
        <v>210</v>
      </c>
      <c r="Z25" s="894">
        <v>359</v>
      </c>
      <c r="AA25" s="928">
        <v>359</v>
      </c>
      <c r="AB25" s="930">
        <v>1996</v>
      </c>
      <c r="AC25" s="895"/>
      <c r="AD25" s="895"/>
    </row>
    <row r="26" spans="1:30" ht="15.75" x14ac:dyDescent="0.25">
      <c r="A26" s="911"/>
      <c r="B26" s="913">
        <v>220</v>
      </c>
      <c r="C26" s="913">
        <v>196</v>
      </c>
      <c r="D26" s="913">
        <v>286</v>
      </c>
      <c r="E26" s="913">
        <v>982</v>
      </c>
      <c r="F26" s="914">
        <v>2408</v>
      </c>
      <c r="G26" s="914">
        <v>3564</v>
      </c>
      <c r="H26" s="914">
        <v>5157</v>
      </c>
      <c r="I26" s="919"/>
      <c r="J26" s="879">
        <v>220</v>
      </c>
      <c r="K26" s="916">
        <v>177</v>
      </c>
      <c r="L26" s="939">
        <v>213</v>
      </c>
      <c r="M26" s="935">
        <v>984</v>
      </c>
      <c r="N26" s="933">
        <v>2735</v>
      </c>
      <c r="O26" s="880">
        <v>4899</v>
      </c>
      <c r="P26" s="881"/>
      <c r="Q26" s="881"/>
      <c r="R26" s="913">
        <v>220</v>
      </c>
      <c r="S26" s="913">
        <v>182</v>
      </c>
      <c r="T26" s="913">
        <v>764</v>
      </c>
      <c r="U26" s="914">
        <v>2433</v>
      </c>
      <c r="V26" s="914">
        <v>4503</v>
      </c>
      <c r="W26" s="911"/>
      <c r="X26" s="911"/>
      <c r="Y26" s="893">
        <v>220</v>
      </c>
      <c r="Z26" s="894">
        <v>359</v>
      </c>
      <c r="AA26" s="928">
        <v>359</v>
      </c>
      <c r="AB26" s="930">
        <v>2063</v>
      </c>
      <c r="AC26" s="895"/>
      <c r="AD26" s="895"/>
    </row>
    <row r="27" spans="1:30" ht="15.75" x14ac:dyDescent="0.25">
      <c r="A27" s="911"/>
      <c r="B27" s="913">
        <v>230</v>
      </c>
      <c r="C27" s="913">
        <v>196</v>
      </c>
      <c r="D27" s="913">
        <v>309</v>
      </c>
      <c r="E27" s="914">
        <v>1048</v>
      </c>
      <c r="F27" s="914">
        <v>2494</v>
      </c>
      <c r="G27" s="914">
        <v>3831</v>
      </c>
      <c r="H27" s="914">
        <v>5288</v>
      </c>
      <c r="I27" s="919"/>
      <c r="J27" s="879">
        <v>230</v>
      </c>
      <c r="K27" s="916">
        <v>177</v>
      </c>
      <c r="L27" s="939">
        <v>248</v>
      </c>
      <c r="M27" s="936">
        <v>1014</v>
      </c>
      <c r="N27" s="933">
        <v>2797</v>
      </c>
      <c r="O27" s="880">
        <v>5039</v>
      </c>
      <c r="P27" s="881"/>
      <c r="Q27" s="881"/>
      <c r="R27" s="913">
        <v>230</v>
      </c>
      <c r="S27" s="913">
        <v>182</v>
      </c>
      <c r="T27" s="913">
        <v>824</v>
      </c>
      <c r="U27" s="914">
        <v>2666</v>
      </c>
      <c r="V27" s="914">
        <v>4642</v>
      </c>
      <c r="W27" s="911"/>
      <c r="X27" s="911"/>
      <c r="Y27" s="893">
        <v>230</v>
      </c>
      <c r="Z27" s="894">
        <v>359</v>
      </c>
      <c r="AA27" s="928">
        <v>359</v>
      </c>
      <c r="AB27" s="930">
        <v>2129</v>
      </c>
      <c r="AC27" s="895"/>
      <c r="AD27" s="895"/>
    </row>
    <row r="28" spans="1:30" ht="15.75" x14ac:dyDescent="0.25">
      <c r="A28" s="911"/>
      <c r="B28" s="913">
        <v>240</v>
      </c>
      <c r="C28" s="913">
        <v>196</v>
      </c>
      <c r="D28" s="913">
        <v>332</v>
      </c>
      <c r="E28" s="914">
        <v>1114</v>
      </c>
      <c r="F28" s="914">
        <v>2580</v>
      </c>
      <c r="G28" s="914">
        <v>4125</v>
      </c>
      <c r="H28" s="911" t="s">
        <v>491</v>
      </c>
      <c r="J28" s="879">
        <v>240</v>
      </c>
      <c r="K28" s="916">
        <v>177</v>
      </c>
      <c r="L28" s="939">
        <v>284</v>
      </c>
      <c r="M28" s="936">
        <v>1043</v>
      </c>
      <c r="N28" s="933">
        <v>2860</v>
      </c>
      <c r="O28" s="880">
        <v>5180</v>
      </c>
      <c r="P28" s="881"/>
      <c r="Q28" s="881"/>
      <c r="R28" s="913">
        <v>240</v>
      </c>
      <c r="S28" s="913">
        <v>182</v>
      </c>
      <c r="T28" s="913">
        <v>885</v>
      </c>
      <c r="U28" s="914">
        <v>2899</v>
      </c>
      <c r="V28" s="914">
        <v>4780</v>
      </c>
      <c r="W28" s="911"/>
      <c r="X28" s="911"/>
      <c r="Y28" s="893">
        <v>240</v>
      </c>
      <c r="Z28" s="894">
        <v>359</v>
      </c>
      <c r="AA28" s="928">
        <v>359</v>
      </c>
      <c r="AB28" s="930">
        <v>2196</v>
      </c>
      <c r="AC28" s="895"/>
      <c r="AD28" s="895"/>
    </row>
    <row r="29" spans="1:30" ht="15.75" x14ac:dyDescent="0.25">
      <c r="A29" s="911"/>
      <c r="B29" s="913">
        <v>250</v>
      </c>
      <c r="C29" s="913">
        <v>196</v>
      </c>
      <c r="D29" s="913">
        <v>354</v>
      </c>
      <c r="E29" s="914">
        <v>1180</v>
      </c>
      <c r="F29" s="913">
        <v>2667</v>
      </c>
      <c r="G29" s="914">
        <v>4418</v>
      </c>
      <c r="H29" s="911"/>
      <c r="I29" s="911"/>
      <c r="J29" s="879">
        <v>250</v>
      </c>
      <c r="K29" s="916">
        <v>177</v>
      </c>
      <c r="L29" s="939">
        <v>319</v>
      </c>
      <c r="M29" s="936">
        <v>1072</v>
      </c>
      <c r="N29" s="933">
        <v>2922</v>
      </c>
      <c r="O29" s="880">
        <v>5321</v>
      </c>
      <c r="P29" s="881"/>
      <c r="Q29" s="881"/>
      <c r="R29" s="913">
        <v>250</v>
      </c>
      <c r="S29" s="913">
        <v>182</v>
      </c>
      <c r="T29" s="913">
        <v>945</v>
      </c>
      <c r="U29" s="914">
        <v>3132</v>
      </c>
      <c r="V29" s="914">
        <v>4918</v>
      </c>
      <c r="W29" s="911"/>
      <c r="X29" s="911"/>
      <c r="Y29" s="893">
        <v>250</v>
      </c>
      <c r="Z29" s="894">
        <v>359</v>
      </c>
      <c r="AA29" s="928">
        <v>406</v>
      </c>
      <c r="AB29" s="930">
        <v>2262</v>
      </c>
      <c r="AC29" s="895"/>
      <c r="AD29" s="895"/>
    </row>
    <row r="30" spans="1:30" ht="15.75" x14ac:dyDescent="0.25">
      <c r="A30" s="911"/>
      <c r="B30" s="913">
        <v>260</v>
      </c>
      <c r="C30" s="913">
        <v>196</v>
      </c>
      <c r="D30" s="913">
        <v>377</v>
      </c>
      <c r="E30" s="914">
        <v>1246</v>
      </c>
      <c r="F30" s="914">
        <v>2753</v>
      </c>
      <c r="G30" s="914">
        <v>4713</v>
      </c>
      <c r="H30" s="911"/>
      <c r="I30" s="911"/>
      <c r="J30" s="879">
        <v>260</v>
      </c>
      <c r="K30" s="916">
        <v>177</v>
      </c>
      <c r="L30" s="939">
        <v>354</v>
      </c>
      <c r="M30" s="936">
        <v>1101</v>
      </c>
      <c r="N30" s="933">
        <v>2984</v>
      </c>
      <c r="O30" s="881" t="s">
        <v>491</v>
      </c>
      <c r="P30" s="881"/>
      <c r="Q30" s="881"/>
      <c r="R30" s="913">
        <v>260</v>
      </c>
      <c r="S30" s="913">
        <v>182</v>
      </c>
      <c r="T30" s="913">
        <v>976</v>
      </c>
      <c r="U30" s="914">
        <v>3249</v>
      </c>
      <c r="V30" s="914">
        <v>4987</v>
      </c>
      <c r="W30" s="911"/>
      <c r="X30" s="911"/>
      <c r="Y30" s="893">
        <v>260</v>
      </c>
      <c r="Z30" s="894">
        <v>359</v>
      </c>
      <c r="AA30" s="928">
        <v>466</v>
      </c>
      <c r="AB30" s="930">
        <v>2329</v>
      </c>
      <c r="AC30" s="895"/>
      <c r="AD30" s="895"/>
    </row>
    <row r="31" spans="1:30" ht="15.75" x14ac:dyDescent="0.25">
      <c r="A31" s="911"/>
      <c r="B31" s="913">
        <v>270</v>
      </c>
      <c r="C31" s="913">
        <v>196</v>
      </c>
      <c r="D31" s="913">
        <v>400</v>
      </c>
      <c r="E31" s="914">
        <v>1312</v>
      </c>
      <c r="F31" s="914">
        <v>2839</v>
      </c>
      <c r="G31" s="914">
        <v>5006</v>
      </c>
      <c r="H31" s="911"/>
      <c r="I31" s="911"/>
      <c r="J31" s="879">
        <v>270</v>
      </c>
      <c r="K31" s="916">
        <v>177</v>
      </c>
      <c r="L31" s="939">
        <v>389</v>
      </c>
      <c r="M31" s="936">
        <v>1150</v>
      </c>
      <c r="N31" s="933">
        <v>3047</v>
      </c>
      <c r="O31" s="881"/>
      <c r="P31" s="881"/>
      <c r="Q31" s="881"/>
      <c r="R31" s="913">
        <v>270</v>
      </c>
      <c r="S31" s="911"/>
      <c r="T31" s="911"/>
      <c r="U31" s="911"/>
      <c r="V31" s="911"/>
      <c r="W31" s="911"/>
      <c r="X31" s="911"/>
      <c r="Y31" s="893">
        <v>270</v>
      </c>
      <c r="Z31" s="894">
        <v>359</v>
      </c>
      <c r="AA31" s="928">
        <v>527</v>
      </c>
      <c r="AB31" s="930">
        <v>2395</v>
      </c>
      <c r="AC31" s="895"/>
      <c r="AD31" s="895"/>
    </row>
    <row r="32" spans="1:30" ht="15.75" x14ac:dyDescent="0.25">
      <c r="A32" s="911"/>
      <c r="B32" s="913">
        <v>280</v>
      </c>
      <c r="C32" s="913">
        <v>196</v>
      </c>
      <c r="D32" s="913">
        <v>423</v>
      </c>
      <c r="E32" s="914">
        <v>1378</v>
      </c>
      <c r="F32" s="914">
        <v>2925</v>
      </c>
      <c r="G32" s="914">
        <v>5300</v>
      </c>
      <c r="H32" s="911"/>
      <c r="I32" s="911"/>
      <c r="J32" s="879">
        <v>280</v>
      </c>
      <c r="K32" s="916">
        <v>177</v>
      </c>
      <c r="L32" s="939">
        <v>424</v>
      </c>
      <c r="M32" s="936">
        <v>1159</v>
      </c>
      <c r="N32" s="933">
        <v>3109</v>
      </c>
      <c r="O32" s="881"/>
      <c r="P32" s="881"/>
      <c r="Q32" s="881"/>
      <c r="R32" s="913">
        <v>280</v>
      </c>
      <c r="S32" s="911"/>
      <c r="T32" s="911"/>
      <c r="U32" s="911"/>
      <c r="V32" s="911"/>
      <c r="W32" s="911"/>
      <c r="X32" s="911"/>
      <c r="Y32" s="893">
        <v>280</v>
      </c>
      <c r="Z32" s="894">
        <v>359</v>
      </c>
      <c r="AA32" s="928">
        <v>588</v>
      </c>
      <c r="AB32" s="930">
        <v>2462</v>
      </c>
      <c r="AC32" s="895"/>
      <c r="AD32" s="895"/>
    </row>
    <row r="33" spans="1:30" ht="15.75" x14ac:dyDescent="0.25">
      <c r="A33" s="911"/>
      <c r="B33" s="913">
        <v>290</v>
      </c>
      <c r="C33" s="913">
        <v>196</v>
      </c>
      <c r="D33" s="913">
        <v>445</v>
      </c>
      <c r="E33" s="914">
        <v>1444</v>
      </c>
      <c r="F33" s="914">
        <v>3013</v>
      </c>
      <c r="G33" s="914">
        <v>5564</v>
      </c>
      <c r="H33" s="911"/>
      <c r="I33" s="911"/>
      <c r="J33" s="879">
        <v>290</v>
      </c>
      <c r="K33" s="916">
        <v>177</v>
      </c>
      <c r="L33" s="939">
        <v>442</v>
      </c>
      <c r="M33" s="936">
        <v>1189</v>
      </c>
      <c r="N33" s="933">
        <v>3171</v>
      </c>
      <c r="O33" s="881"/>
      <c r="P33" s="881"/>
      <c r="Q33" s="881"/>
      <c r="R33" s="913">
        <v>290</v>
      </c>
      <c r="S33" s="911"/>
      <c r="T33" s="911"/>
      <c r="U33" s="911"/>
      <c r="V33" s="911"/>
      <c r="W33" s="911"/>
      <c r="X33" s="911"/>
      <c r="Y33" s="893">
        <v>290</v>
      </c>
      <c r="Z33" s="894">
        <v>359</v>
      </c>
      <c r="AA33" s="928">
        <v>648</v>
      </c>
      <c r="AB33" s="930">
        <v>2529</v>
      </c>
      <c r="AC33" s="895"/>
      <c r="AD33" s="895"/>
    </row>
    <row r="34" spans="1:30" ht="15.75" x14ac:dyDescent="0.25">
      <c r="A34" s="911"/>
      <c r="B34" s="913">
        <v>300</v>
      </c>
      <c r="C34" s="913">
        <v>196</v>
      </c>
      <c r="D34" s="913">
        <v>468</v>
      </c>
      <c r="E34" s="914">
        <v>1511</v>
      </c>
      <c r="F34" s="914">
        <v>3098</v>
      </c>
      <c r="G34" s="911" t="s">
        <v>491</v>
      </c>
      <c r="H34" s="911"/>
      <c r="I34" s="911"/>
      <c r="J34" s="879">
        <v>300</v>
      </c>
      <c r="K34" s="916">
        <v>177</v>
      </c>
      <c r="L34" s="939">
        <v>477</v>
      </c>
      <c r="M34" s="936">
        <v>1218</v>
      </c>
      <c r="N34" s="933">
        <v>3233</v>
      </c>
      <c r="O34" s="881"/>
      <c r="P34" s="881"/>
      <c r="Q34" s="881"/>
      <c r="R34" s="913">
        <v>300</v>
      </c>
      <c r="S34" s="911"/>
      <c r="T34" s="911"/>
      <c r="U34" s="911"/>
      <c r="V34" s="911"/>
      <c r="W34" s="911"/>
      <c r="X34" s="911"/>
      <c r="Y34" s="893">
        <v>300</v>
      </c>
      <c r="Z34" s="894">
        <v>359</v>
      </c>
      <c r="AA34" s="928">
        <v>709</v>
      </c>
      <c r="AB34" s="930">
        <v>2595</v>
      </c>
      <c r="AC34" s="895"/>
      <c r="AD34" s="895"/>
    </row>
    <row r="35" spans="1:30" ht="15.75" x14ac:dyDescent="0.25">
      <c r="A35" s="911"/>
      <c r="B35" s="913">
        <v>310</v>
      </c>
      <c r="C35" s="913">
        <v>196</v>
      </c>
      <c r="D35" s="913">
        <v>491</v>
      </c>
      <c r="E35" s="914">
        <v>1577</v>
      </c>
      <c r="F35" s="914">
        <v>3184</v>
      </c>
      <c r="G35" s="911"/>
      <c r="H35" s="911"/>
      <c r="I35" s="911"/>
      <c r="J35" s="879">
        <v>310</v>
      </c>
      <c r="K35" s="916">
        <v>177</v>
      </c>
      <c r="L35" s="939">
        <v>512</v>
      </c>
      <c r="M35" s="936">
        <v>1247</v>
      </c>
      <c r="N35" s="933">
        <v>3296</v>
      </c>
      <c r="O35" s="881"/>
      <c r="P35" s="881"/>
      <c r="Q35" s="881"/>
      <c r="R35" s="913">
        <v>310</v>
      </c>
      <c r="S35" s="911"/>
      <c r="T35" s="911"/>
      <c r="U35" s="911"/>
      <c r="V35" s="911"/>
      <c r="W35" s="911"/>
      <c r="X35" s="911"/>
      <c r="Y35" s="893">
        <v>310</v>
      </c>
      <c r="Z35" s="894">
        <v>359</v>
      </c>
      <c r="AA35" s="928">
        <v>770</v>
      </c>
      <c r="AB35" s="930">
        <v>2662</v>
      </c>
      <c r="AC35" s="895"/>
      <c r="AD35" s="895"/>
    </row>
    <row r="36" spans="1:30" ht="15.75" x14ac:dyDescent="0.25">
      <c r="A36" s="911"/>
      <c r="B36" s="913">
        <v>320</v>
      </c>
      <c r="C36" s="913">
        <v>196</v>
      </c>
      <c r="D36" s="913">
        <v>513</v>
      </c>
      <c r="E36" s="914">
        <v>1643</v>
      </c>
      <c r="F36" s="914">
        <v>3270</v>
      </c>
      <c r="G36" s="911"/>
      <c r="H36" s="911"/>
      <c r="I36" s="911"/>
      <c r="J36" s="879">
        <v>320</v>
      </c>
      <c r="K36" s="916">
        <v>177</v>
      </c>
      <c r="L36" s="939">
        <v>532</v>
      </c>
      <c r="M36" s="936">
        <v>1276</v>
      </c>
      <c r="N36" s="933">
        <v>3358</v>
      </c>
      <c r="O36" s="881"/>
      <c r="P36" s="881"/>
      <c r="Q36" s="881"/>
      <c r="R36" s="913">
        <v>320</v>
      </c>
      <c r="S36" s="911"/>
      <c r="T36" s="911"/>
      <c r="U36" s="911"/>
      <c r="V36" s="911"/>
      <c r="W36" s="911"/>
      <c r="X36" s="911"/>
      <c r="Y36" s="893">
        <v>320</v>
      </c>
      <c r="Z36" s="894">
        <v>359</v>
      </c>
      <c r="AA36" s="928">
        <v>830</v>
      </c>
      <c r="AB36" s="930">
        <v>2728</v>
      </c>
      <c r="AC36" s="895"/>
      <c r="AD36" s="895"/>
    </row>
    <row r="37" spans="1:30" ht="15.75" x14ac:dyDescent="0.25">
      <c r="A37" s="911"/>
      <c r="B37" s="913">
        <v>330</v>
      </c>
      <c r="C37" s="913">
        <v>196</v>
      </c>
      <c r="D37" s="913">
        <v>534</v>
      </c>
      <c r="E37" s="914">
        <v>1709</v>
      </c>
      <c r="F37" s="914">
        <v>3356</v>
      </c>
      <c r="G37" s="911"/>
      <c r="H37" s="911"/>
      <c r="I37" s="911"/>
      <c r="J37" s="879">
        <v>330</v>
      </c>
      <c r="K37" s="916">
        <f>+ROUNDUP(AVERAGE(K36,K39),0)</f>
        <v>177</v>
      </c>
      <c r="L37" s="939">
        <f>+ROUNDUP(AVERAGE(L36,L39),0)</f>
        <v>404</v>
      </c>
      <c r="M37" s="935">
        <f>+ROUNDUP(AVERAGE(M36,M39),0)</f>
        <v>1348</v>
      </c>
      <c r="N37" s="918">
        <f>+ROUNDUP(AVERAGE(N36,N39),0)</f>
        <v>3421</v>
      </c>
      <c r="O37" s="881"/>
      <c r="P37" s="881"/>
      <c r="Q37" s="881"/>
      <c r="R37" s="913">
        <v>330</v>
      </c>
      <c r="S37" s="911"/>
      <c r="T37" s="911"/>
      <c r="U37" s="911"/>
      <c r="V37" s="911"/>
      <c r="W37" s="911"/>
      <c r="X37" s="911"/>
      <c r="Y37" s="893">
        <v>330</v>
      </c>
      <c r="Z37" s="894">
        <v>359</v>
      </c>
      <c r="AA37" s="928">
        <v>891</v>
      </c>
      <c r="AB37" s="930">
        <v>2795</v>
      </c>
      <c r="AC37" s="895"/>
      <c r="AD37" s="895"/>
    </row>
    <row r="38" spans="1:30" ht="15.75" x14ac:dyDescent="0.25">
      <c r="A38" s="911"/>
      <c r="B38" s="913">
        <v>335</v>
      </c>
      <c r="C38" s="913">
        <v>196</v>
      </c>
      <c r="D38" s="913">
        <v>543</v>
      </c>
      <c r="E38" s="914">
        <v>1747</v>
      </c>
      <c r="F38" s="914">
        <v>3400</v>
      </c>
      <c r="G38" s="911"/>
      <c r="H38" s="911"/>
      <c r="I38" s="911"/>
      <c r="J38" s="879">
        <v>335</v>
      </c>
      <c r="K38" s="916">
        <f>+ROUNDUP(AVERAGE(K37,K39),0)</f>
        <v>177</v>
      </c>
      <c r="L38" s="939">
        <f>+ROUNDUP(AVERAGE(L37,L39),0)</f>
        <v>340</v>
      </c>
      <c r="M38" s="935">
        <f>+ROUNDUP(AVERAGE(M37,M39),0)</f>
        <v>1384</v>
      </c>
      <c r="N38" s="918">
        <f>+ROUNDUP(AVERAGE(N37,N39),0)</f>
        <v>3452</v>
      </c>
      <c r="O38" s="881"/>
      <c r="P38" s="881"/>
      <c r="Q38" s="881"/>
      <c r="R38" s="913">
        <v>335</v>
      </c>
      <c r="S38" s="911"/>
      <c r="T38" s="911"/>
      <c r="U38" s="911"/>
      <c r="V38" s="911"/>
      <c r="W38" s="911"/>
      <c r="X38" s="911"/>
      <c r="Y38" s="893">
        <v>335</v>
      </c>
      <c r="Z38" s="894">
        <f>+ROUNDUP(AVERAGE(Z37,Z39),0)</f>
        <v>359</v>
      </c>
      <c r="AA38" s="928">
        <f>+ROUNDUP(AVERAGE(AA37,AA39),0)</f>
        <v>921</v>
      </c>
      <c r="AB38" s="929">
        <f>+ROUNDUP(AVERAGE(AB37,AB39),0)</f>
        <v>2828</v>
      </c>
      <c r="AC38" s="895"/>
      <c r="AD38" s="895"/>
    </row>
    <row r="39" spans="1:30" ht="16.5" thickBot="1" x14ac:dyDescent="0.3">
      <c r="A39" s="911"/>
      <c r="B39" s="913">
        <v>340</v>
      </c>
      <c r="C39" s="911"/>
      <c r="D39" s="911"/>
      <c r="E39" s="911"/>
      <c r="F39" s="911"/>
      <c r="G39" s="911"/>
      <c r="H39" s="911"/>
      <c r="I39" s="911"/>
      <c r="J39" s="879">
        <v>340</v>
      </c>
      <c r="K39" s="916">
        <v>177</v>
      </c>
      <c r="L39" s="939">
        <v>276</v>
      </c>
      <c r="M39" s="936">
        <v>1419</v>
      </c>
      <c r="N39" s="933">
        <v>3483</v>
      </c>
      <c r="O39" s="881"/>
      <c r="P39" s="881"/>
      <c r="Q39" s="881"/>
      <c r="R39" s="913">
        <v>340</v>
      </c>
      <c r="S39" s="911"/>
      <c r="T39" s="911"/>
      <c r="U39" s="911"/>
      <c r="V39" s="911"/>
      <c r="W39" s="911"/>
      <c r="X39" s="911"/>
      <c r="Y39" s="893">
        <v>340</v>
      </c>
      <c r="Z39" s="894">
        <v>359</v>
      </c>
      <c r="AA39" s="931">
        <v>951</v>
      </c>
      <c r="AB39" s="932">
        <v>2861</v>
      </c>
      <c r="AC39" s="895"/>
      <c r="AD39" s="895"/>
    </row>
    <row r="40" spans="1:30" ht="15.75" x14ac:dyDescent="0.25">
      <c r="A40" s="911"/>
      <c r="B40" s="913">
        <v>350</v>
      </c>
      <c r="C40" s="911"/>
      <c r="D40" s="911"/>
      <c r="E40" s="911"/>
      <c r="F40" s="911"/>
      <c r="G40" s="911"/>
      <c r="H40" s="911"/>
      <c r="I40" s="911"/>
      <c r="J40" s="879">
        <v>350</v>
      </c>
      <c r="K40" s="916">
        <v>177</v>
      </c>
      <c r="L40" s="939">
        <v>596</v>
      </c>
      <c r="M40" s="936">
        <v>1540</v>
      </c>
      <c r="N40" s="933">
        <v>3825</v>
      </c>
      <c r="O40" s="881"/>
      <c r="P40" s="881"/>
      <c r="Q40" s="881"/>
      <c r="R40" s="913">
        <v>350</v>
      </c>
      <c r="S40" s="911"/>
      <c r="T40" s="911"/>
      <c r="U40" s="911"/>
      <c r="V40" s="911"/>
      <c r="W40" s="911"/>
      <c r="X40" s="911"/>
      <c r="Y40" s="893">
        <v>350</v>
      </c>
      <c r="Z40" s="895"/>
      <c r="AA40" s="895"/>
      <c r="AB40" s="895"/>
      <c r="AC40" s="895"/>
      <c r="AD40" s="895"/>
    </row>
    <row r="41" spans="1:30" ht="15.75" x14ac:dyDescent="0.25">
      <c r="A41" s="911"/>
      <c r="B41" s="913">
        <v>360</v>
      </c>
      <c r="C41" s="911"/>
      <c r="D41" s="911"/>
      <c r="E41" s="911"/>
      <c r="F41" s="911"/>
      <c r="G41" s="911"/>
      <c r="H41" s="911"/>
      <c r="I41" s="911"/>
      <c r="J41" s="879">
        <v>360</v>
      </c>
      <c r="K41" s="916">
        <v>177</v>
      </c>
      <c r="L41" s="939">
        <v>617</v>
      </c>
      <c r="M41" s="936">
        <v>1660</v>
      </c>
      <c r="N41" s="933">
        <v>4224</v>
      </c>
      <c r="O41" s="881"/>
      <c r="P41" s="881"/>
      <c r="Q41" s="881"/>
      <c r="R41" s="913">
        <v>360</v>
      </c>
      <c r="S41" s="911"/>
      <c r="T41" s="911"/>
      <c r="U41" s="911"/>
      <c r="V41" s="911"/>
      <c r="W41" s="911"/>
      <c r="X41" s="911"/>
      <c r="Y41" s="893">
        <v>360</v>
      </c>
      <c r="Z41" s="895"/>
      <c r="AA41" s="895"/>
      <c r="AB41" s="895"/>
      <c r="AC41" s="895"/>
      <c r="AD41" s="895"/>
    </row>
    <row r="42" spans="1:30" ht="15.75" x14ac:dyDescent="0.25">
      <c r="A42" s="911"/>
      <c r="B42" s="913">
        <v>370</v>
      </c>
      <c r="C42" s="911"/>
      <c r="D42" s="911"/>
      <c r="E42" s="911"/>
      <c r="F42" s="911"/>
      <c r="G42" s="911"/>
      <c r="H42" s="911"/>
      <c r="I42" s="911"/>
      <c r="J42" s="879">
        <v>370</v>
      </c>
      <c r="K42" s="916">
        <v>177</v>
      </c>
      <c r="L42" s="939">
        <v>637</v>
      </c>
      <c r="M42" s="936">
        <v>1780</v>
      </c>
      <c r="N42" s="933">
        <v>4623</v>
      </c>
      <c r="O42" s="881"/>
      <c r="P42" s="881"/>
      <c r="Q42" s="881"/>
      <c r="R42" s="913">
        <v>370</v>
      </c>
      <c r="S42" s="911"/>
      <c r="T42" s="911"/>
      <c r="U42" s="911"/>
      <c r="V42" s="911"/>
      <c r="W42" s="911"/>
      <c r="X42" s="911"/>
      <c r="Y42" s="893">
        <v>370</v>
      </c>
      <c r="Z42" s="895"/>
      <c r="AA42" s="895"/>
      <c r="AB42" s="895"/>
      <c r="AC42" s="895"/>
      <c r="AD42" s="895"/>
    </row>
    <row r="43" spans="1:30" ht="16.5" thickBot="1" x14ac:dyDescent="0.3">
      <c r="A43" s="911"/>
      <c r="B43" s="913">
        <v>380</v>
      </c>
      <c r="C43" s="911"/>
      <c r="D43" s="911"/>
      <c r="E43" s="911"/>
      <c r="F43" s="911"/>
      <c r="G43" s="911"/>
      <c r="H43" s="911"/>
      <c r="I43" s="911"/>
      <c r="J43" s="879">
        <v>380</v>
      </c>
      <c r="K43" s="916">
        <v>177</v>
      </c>
      <c r="L43" s="940">
        <v>658</v>
      </c>
      <c r="M43" s="937">
        <v>1900</v>
      </c>
      <c r="N43" s="933">
        <v>5022</v>
      </c>
      <c r="O43" s="881"/>
      <c r="P43" s="881"/>
      <c r="Q43" s="881"/>
      <c r="R43" s="913">
        <v>380</v>
      </c>
      <c r="S43" s="911"/>
      <c r="T43" s="911"/>
      <c r="U43" s="911"/>
      <c r="V43" s="911"/>
      <c r="W43" s="911"/>
      <c r="X43" s="911"/>
      <c r="Y43" s="893">
        <v>380</v>
      </c>
      <c r="Z43" s="895"/>
      <c r="AA43" s="895"/>
      <c r="AB43" s="895"/>
      <c r="AC43" s="895"/>
      <c r="AD43" s="895"/>
    </row>
    <row r="44" spans="1:30" x14ac:dyDescent="0.25">
      <c r="A44" s="911"/>
      <c r="B44" s="911"/>
      <c r="C44" s="911"/>
      <c r="D44" s="911"/>
      <c r="E44" s="911"/>
      <c r="F44" s="911"/>
      <c r="G44" s="911"/>
      <c r="H44" s="911"/>
      <c r="I44" s="911"/>
      <c r="J44" s="911"/>
      <c r="K44" s="911"/>
      <c r="L44" s="911"/>
      <c r="M44" s="911"/>
      <c r="N44" s="911"/>
      <c r="O44" s="911"/>
      <c r="P44" s="911"/>
      <c r="Q44" s="911"/>
      <c r="R44" s="911"/>
      <c r="S44" s="911"/>
      <c r="T44" s="911"/>
      <c r="U44" s="911"/>
      <c r="V44" s="911"/>
      <c r="W44" s="911"/>
      <c r="X44" s="911"/>
    </row>
    <row r="45" spans="1:30" x14ac:dyDescent="0.25">
      <c r="A45" s="911"/>
      <c r="B45" s="911"/>
      <c r="C45" s="911"/>
      <c r="D45" s="911"/>
      <c r="E45" s="911"/>
      <c r="F45" s="911"/>
      <c r="G45" s="911"/>
      <c r="H45" s="911"/>
      <c r="I45" s="911"/>
      <c r="J45" s="911"/>
      <c r="K45" s="911"/>
      <c r="L45" s="911"/>
      <c r="M45" s="911"/>
      <c r="N45" s="911"/>
      <c r="O45" s="911"/>
      <c r="P45" s="911"/>
      <c r="Q45" s="911"/>
      <c r="R45" s="911"/>
      <c r="S45" s="911"/>
      <c r="T45" s="911"/>
      <c r="U45" s="911"/>
      <c r="V45" s="911"/>
      <c r="W45" s="911"/>
      <c r="X45" s="911"/>
    </row>
  </sheetData>
  <mergeCells count="8">
    <mergeCell ref="J3:P3"/>
    <mergeCell ref="R3:W3"/>
    <mergeCell ref="B3:H3"/>
    <mergeCell ref="Y3:AD3"/>
    <mergeCell ref="Y2:AD2"/>
    <mergeCell ref="R2:W2"/>
    <mergeCell ref="J2:P2"/>
    <mergeCell ref="B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B3BC6-7C4B-46FE-B367-2B78580AEE75}">
  <dimension ref="B1:T40"/>
  <sheetViews>
    <sheetView topLeftCell="A12" workbookViewId="0">
      <selection activeCell="I19" sqref="I19"/>
    </sheetView>
  </sheetViews>
  <sheetFormatPr baseColWidth="10" defaultColWidth="11.42578125" defaultRowHeight="15" x14ac:dyDescent="0.25"/>
  <cols>
    <col min="1" max="1" width="11.42578125" style="827"/>
    <col min="2" max="2" width="16.140625" style="827" bestFit="1" customWidth="1"/>
    <col min="3" max="7" width="11.42578125" style="827"/>
    <col min="8" max="8" width="16.140625" style="827" bestFit="1" customWidth="1"/>
    <col min="9" max="14" width="11.42578125" style="827"/>
    <col min="15" max="15" width="16.140625" style="827" bestFit="1" customWidth="1"/>
    <col min="16" max="16384" width="11.42578125" style="827"/>
  </cols>
  <sheetData>
    <row r="1" spans="2:20" ht="15.75" thickBot="1" x14ac:dyDescent="0.3"/>
    <row r="2" spans="2:20" ht="15.75" thickBot="1" x14ac:dyDescent="0.3">
      <c r="O2" s="1028" t="s">
        <v>543</v>
      </c>
      <c r="P2" s="1029"/>
      <c r="Q2" s="1029"/>
      <c r="R2" s="1029"/>
      <c r="S2" s="1029"/>
      <c r="T2" s="1030"/>
    </row>
    <row r="3" spans="2:20" ht="15.75" thickBot="1" x14ac:dyDescent="0.3">
      <c r="B3" s="1028" t="s">
        <v>489</v>
      </c>
      <c r="C3" s="1029"/>
      <c r="D3" s="1029"/>
      <c r="E3" s="1029"/>
      <c r="F3" s="1029"/>
      <c r="G3" s="1031"/>
      <c r="H3" s="1028" t="s">
        <v>405</v>
      </c>
      <c r="I3" s="1029"/>
      <c r="J3" s="1029"/>
      <c r="K3" s="1029"/>
      <c r="L3" s="1029"/>
      <c r="M3" s="1031"/>
      <c r="N3" s="897"/>
      <c r="O3" s="1028" t="s">
        <v>533</v>
      </c>
      <c r="P3" s="1029"/>
      <c r="Q3" s="1029"/>
      <c r="R3" s="1029"/>
      <c r="S3" s="1029"/>
      <c r="T3" s="1030"/>
    </row>
    <row r="4" spans="2:20" x14ac:dyDescent="0.25">
      <c r="B4" s="843" t="s">
        <v>534</v>
      </c>
      <c r="C4" s="843" t="s">
        <v>455</v>
      </c>
      <c r="D4" s="843" t="s">
        <v>490</v>
      </c>
      <c r="E4" s="843" t="s">
        <v>156</v>
      </c>
      <c r="F4" s="843" t="s">
        <v>119</v>
      </c>
      <c r="G4" s="843" t="s">
        <v>120</v>
      </c>
      <c r="H4" s="843" t="s">
        <v>534</v>
      </c>
      <c r="I4" s="843" t="s">
        <v>455</v>
      </c>
      <c r="J4" s="843" t="s">
        <v>490</v>
      </c>
      <c r="K4" s="843" t="s">
        <v>156</v>
      </c>
      <c r="L4" s="843" t="s">
        <v>119</v>
      </c>
      <c r="M4" s="882" t="s">
        <v>120</v>
      </c>
      <c r="O4" s="900" t="s">
        <v>534</v>
      </c>
      <c r="P4" s="878" t="s">
        <v>455</v>
      </c>
      <c r="Q4" s="878" t="s">
        <v>490</v>
      </c>
      <c r="R4" s="878" t="s">
        <v>156</v>
      </c>
      <c r="S4" s="888" t="s">
        <v>119</v>
      </c>
      <c r="T4" s="889" t="s">
        <v>120</v>
      </c>
    </row>
    <row r="5" spans="2:20" x14ac:dyDescent="0.25">
      <c r="B5" s="843">
        <v>47</v>
      </c>
      <c r="C5" s="846">
        <v>477</v>
      </c>
      <c r="D5" s="846">
        <v>477</v>
      </c>
      <c r="E5" s="846">
        <v>713</v>
      </c>
      <c r="F5" s="847">
        <v>1657</v>
      </c>
      <c r="G5" s="847">
        <v>2809</v>
      </c>
      <c r="H5" s="843">
        <v>47</v>
      </c>
      <c r="I5" s="846">
        <v>489</v>
      </c>
      <c r="J5" s="846">
        <v>489</v>
      </c>
      <c r="K5" s="846">
        <v>725</v>
      </c>
      <c r="L5" s="847">
        <v>1648</v>
      </c>
      <c r="M5" s="883">
        <v>2709</v>
      </c>
      <c r="N5" s="898"/>
      <c r="O5" s="878">
        <v>47</v>
      </c>
      <c r="P5" s="879">
        <v>944</v>
      </c>
      <c r="Q5" s="879">
        <v>944</v>
      </c>
      <c r="R5" s="879">
        <v>944</v>
      </c>
      <c r="S5" s="887">
        <v>1463</v>
      </c>
      <c r="T5" s="890">
        <v>2855</v>
      </c>
    </row>
    <row r="6" spans="2:20" x14ac:dyDescent="0.25">
      <c r="B6" s="843">
        <v>48</v>
      </c>
      <c r="C6" s="846">
        <v>477</v>
      </c>
      <c r="D6" s="846">
        <v>477</v>
      </c>
      <c r="E6" s="846">
        <v>713</v>
      </c>
      <c r="F6" s="847">
        <v>1657</v>
      </c>
      <c r="G6" s="847">
        <v>2809</v>
      </c>
      <c r="H6" s="843">
        <v>48</v>
      </c>
      <c r="I6" s="826">
        <v>489</v>
      </c>
      <c r="J6" s="826">
        <v>489</v>
      </c>
      <c r="K6" s="826">
        <v>725</v>
      </c>
      <c r="L6" s="844">
        <v>1648</v>
      </c>
      <c r="M6" s="884">
        <v>2709</v>
      </c>
      <c r="N6" s="898"/>
      <c r="O6" s="878">
        <v>48</v>
      </c>
      <c r="P6" s="879">
        <v>944</v>
      </c>
      <c r="Q6" s="879">
        <v>944</v>
      </c>
      <c r="R6" s="879">
        <v>944</v>
      </c>
      <c r="S6" s="887">
        <v>1463</v>
      </c>
      <c r="T6" s="890">
        <v>2861</v>
      </c>
    </row>
    <row r="7" spans="2:20" x14ac:dyDescent="0.25">
      <c r="B7" s="826">
        <v>49</v>
      </c>
      <c r="C7" s="826">
        <v>477</v>
      </c>
      <c r="D7" s="826">
        <v>477</v>
      </c>
      <c r="E7" s="826">
        <v>713</v>
      </c>
      <c r="F7" s="844">
        <v>1657</v>
      </c>
      <c r="G7" s="844">
        <v>2809</v>
      </c>
      <c r="H7" s="826">
        <v>49</v>
      </c>
      <c r="I7" s="845">
        <f>+ROUNDUP(AVERAGE(I6,I8),0)</f>
        <v>489</v>
      </c>
      <c r="J7" s="845">
        <f>+ROUNDUP(AVERAGE(J6,J8),0)</f>
        <v>489</v>
      </c>
      <c r="K7" s="845">
        <f>+ROUNDUP(AVERAGE(K6,K8),0)</f>
        <v>725</v>
      </c>
      <c r="L7" s="845">
        <f>+ROUNDUP(AVERAGE(L6,L8),0)</f>
        <v>1648</v>
      </c>
      <c r="M7" s="896">
        <f>+ROUNDUP(AVERAGE(M6,M8),0)</f>
        <v>2709</v>
      </c>
      <c r="N7" s="899"/>
      <c r="O7" s="879">
        <v>49</v>
      </c>
      <c r="P7" s="879">
        <v>944</v>
      </c>
      <c r="Q7" s="879">
        <v>944</v>
      </c>
      <c r="R7" s="879">
        <v>944</v>
      </c>
      <c r="S7" s="887">
        <v>1463</v>
      </c>
      <c r="T7" s="890">
        <v>2861</v>
      </c>
    </row>
    <row r="8" spans="2:20" x14ac:dyDescent="0.25">
      <c r="B8" s="826">
        <v>50</v>
      </c>
      <c r="C8" s="826">
        <v>477</v>
      </c>
      <c r="D8" s="826">
        <v>477</v>
      </c>
      <c r="E8" s="826">
        <v>713</v>
      </c>
      <c r="F8" s="844">
        <v>1657</v>
      </c>
      <c r="G8" s="844">
        <v>2815</v>
      </c>
      <c r="H8" s="826">
        <v>50</v>
      </c>
      <c r="I8" s="826">
        <v>489</v>
      </c>
      <c r="J8" s="826">
        <v>489</v>
      </c>
      <c r="K8" s="826">
        <v>725</v>
      </c>
      <c r="L8" s="844">
        <v>1648</v>
      </c>
      <c r="M8" s="884">
        <v>2709</v>
      </c>
      <c r="N8" s="898"/>
      <c r="O8" s="879">
        <v>50</v>
      </c>
      <c r="P8" s="879">
        <v>944</v>
      </c>
      <c r="Q8" s="879">
        <v>944</v>
      </c>
      <c r="R8" s="879">
        <v>944</v>
      </c>
      <c r="S8" s="887">
        <v>1463</v>
      </c>
      <c r="T8" s="890">
        <v>2861</v>
      </c>
    </row>
    <row r="9" spans="2:20" x14ac:dyDescent="0.25">
      <c r="B9" s="826">
        <v>60</v>
      </c>
      <c r="C9" s="826">
        <v>477</v>
      </c>
      <c r="D9" s="826">
        <v>477</v>
      </c>
      <c r="E9" s="826">
        <v>804</v>
      </c>
      <c r="F9" s="844">
        <v>1877</v>
      </c>
      <c r="G9" s="844">
        <v>3085</v>
      </c>
      <c r="H9" s="826">
        <v>60</v>
      </c>
      <c r="I9" s="826">
        <v>489</v>
      </c>
      <c r="J9" s="826">
        <v>489</v>
      </c>
      <c r="K9" s="826">
        <v>841</v>
      </c>
      <c r="L9" s="844">
        <v>1902</v>
      </c>
      <c r="M9" s="884">
        <v>3131</v>
      </c>
      <c r="N9" s="898"/>
      <c r="O9" s="879">
        <v>60</v>
      </c>
      <c r="P9" s="879">
        <v>944</v>
      </c>
      <c r="Q9" s="879">
        <v>944</v>
      </c>
      <c r="R9" s="879">
        <v>944</v>
      </c>
      <c r="S9" s="887">
        <v>1755</v>
      </c>
      <c r="T9" s="890">
        <v>3360</v>
      </c>
    </row>
    <row r="10" spans="2:20" x14ac:dyDescent="0.25">
      <c r="B10" s="826">
        <v>70</v>
      </c>
      <c r="C10" s="826">
        <v>477</v>
      </c>
      <c r="D10" s="826">
        <v>477</v>
      </c>
      <c r="E10" s="826">
        <v>905</v>
      </c>
      <c r="F10" s="844">
        <v>2147</v>
      </c>
      <c r="G10" s="844">
        <v>3354</v>
      </c>
      <c r="H10" s="826">
        <v>70</v>
      </c>
      <c r="I10" s="826">
        <v>489</v>
      </c>
      <c r="J10" s="826">
        <v>489</v>
      </c>
      <c r="K10" s="826">
        <v>987</v>
      </c>
      <c r="L10" s="844">
        <v>2243</v>
      </c>
      <c r="M10" s="884">
        <v>3596</v>
      </c>
      <c r="N10" s="898"/>
      <c r="O10" s="879">
        <v>70</v>
      </c>
      <c r="P10" s="879">
        <v>944</v>
      </c>
      <c r="Q10" s="879">
        <v>944</v>
      </c>
      <c r="R10" s="880">
        <v>1144</v>
      </c>
      <c r="S10" s="887">
        <v>2600</v>
      </c>
      <c r="T10" s="890">
        <v>3898</v>
      </c>
    </row>
    <row r="11" spans="2:20" x14ac:dyDescent="0.25">
      <c r="B11" s="826">
        <v>80</v>
      </c>
      <c r="C11" s="826">
        <v>477</v>
      </c>
      <c r="D11" s="826">
        <v>477</v>
      </c>
      <c r="E11" s="826">
        <v>993</v>
      </c>
      <c r="F11" s="844">
        <v>2418</v>
      </c>
      <c r="G11" s="844">
        <v>3624</v>
      </c>
      <c r="H11" s="826">
        <v>80</v>
      </c>
      <c r="I11" s="826">
        <v>489</v>
      </c>
      <c r="J11" s="826">
        <v>489</v>
      </c>
      <c r="K11" s="844">
        <v>1101</v>
      </c>
      <c r="L11" s="844">
        <v>2546</v>
      </c>
      <c r="M11" s="884">
        <v>4000</v>
      </c>
      <c r="N11" s="898"/>
      <c r="O11" s="879">
        <v>80</v>
      </c>
      <c r="P11" s="879">
        <v>944</v>
      </c>
      <c r="Q11" s="879">
        <v>944</v>
      </c>
      <c r="R11" s="880">
        <v>1356</v>
      </c>
      <c r="S11" s="887">
        <v>3150</v>
      </c>
      <c r="T11" s="890">
        <v>4533</v>
      </c>
    </row>
    <row r="12" spans="2:20" x14ac:dyDescent="0.25">
      <c r="B12" s="826">
        <v>90</v>
      </c>
      <c r="C12" s="826">
        <v>477</v>
      </c>
      <c r="D12" s="826">
        <v>477</v>
      </c>
      <c r="E12" s="844">
        <v>1063</v>
      </c>
      <c r="F12" s="844">
        <v>2536</v>
      </c>
      <c r="G12" s="844">
        <v>3894</v>
      </c>
      <c r="H12" s="826">
        <v>90</v>
      </c>
      <c r="I12" s="826">
        <v>489</v>
      </c>
      <c r="J12" s="826">
        <v>489</v>
      </c>
      <c r="K12" s="844">
        <v>1211</v>
      </c>
      <c r="L12" s="844">
        <v>2782</v>
      </c>
      <c r="M12" s="884">
        <v>4404</v>
      </c>
      <c r="N12" s="898"/>
      <c r="O12" s="879">
        <v>90</v>
      </c>
      <c r="P12" s="879">
        <v>944</v>
      </c>
      <c r="Q12" s="879">
        <v>944</v>
      </c>
      <c r="R12" s="880">
        <v>1568</v>
      </c>
      <c r="S12" s="887">
        <v>3514</v>
      </c>
      <c r="T12" s="890">
        <v>5168</v>
      </c>
    </row>
    <row r="13" spans="2:20" x14ac:dyDescent="0.25">
      <c r="B13" s="826">
        <v>100</v>
      </c>
      <c r="C13" s="826">
        <v>477</v>
      </c>
      <c r="D13" s="826">
        <v>477</v>
      </c>
      <c r="E13" s="844">
        <v>1134</v>
      </c>
      <c r="F13" s="844">
        <v>2637</v>
      </c>
      <c r="G13" s="844">
        <v>4164</v>
      </c>
      <c r="H13" s="826">
        <v>100</v>
      </c>
      <c r="I13" s="826">
        <v>489</v>
      </c>
      <c r="J13" s="826">
        <v>489</v>
      </c>
      <c r="K13" s="844">
        <v>1322</v>
      </c>
      <c r="L13" s="844">
        <v>3019</v>
      </c>
      <c r="M13" s="884">
        <v>4737</v>
      </c>
      <c r="N13" s="898"/>
      <c r="O13" s="879">
        <v>100</v>
      </c>
      <c r="P13" s="879">
        <v>944</v>
      </c>
      <c r="Q13" s="879">
        <v>944</v>
      </c>
      <c r="R13" s="880">
        <v>1780</v>
      </c>
      <c r="S13" s="887">
        <v>3862</v>
      </c>
      <c r="T13" s="890">
        <v>5803</v>
      </c>
    </row>
    <row r="14" spans="2:20" x14ac:dyDescent="0.25">
      <c r="B14" s="826">
        <v>110</v>
      </c>
      <c r="C14" s="826">
        <v>477</v>
      </c>
      <c r="D14" s="826">
        <v>477</v>
      </c>
      <c r="E14" s="844">
        <v>1204</v>
      </c>
      <c r="F14" s="844">
        <v>2739</v>
      </c>
      <c r="G14" s="844">
        <v>4434</v>
      </c>
      <c r="H14" s="826">
        <v>110</v>
      </c>
      <c r="I14" s="826">
        <v>489</v>
      </c>
      <c r="J14" s="826">
        <v>489</v>
      </c>
      <c r="K14" s="844">
        <v>1432</v>
      </c>
      <c r="L14" s="844">
        <v>3255</v>
      </c>
      <c r="M14" s="884">
        <v>4850</v>
      </c>
      <c r="N14" s="898"/>
      <c r="O14" s="879">
        <v>110</v>
      </c>
      <c r="P14" s="879">
        <v>944</v>
      </c>
      <c r="Q14" s="879">
        <v>944</v>
      </c>
      <c r="R14" s="880">
        <v>2049</v>
      </c>
      <c r="S14" s="887">
        <v>4189</v>
      </c>
      <c r="T14" s="890">
        <v>6438</v>
      </c>
    </row>
    <row r="15" spans="2:20" x14ac:dyDescent="0.25">
      <c r="B15" s="826">
        <v>120</v>
      </c>
      <c r="C15" s="826">
        <v>477</v>
      </c>
      <c r="D15" s="826">
        <v>477</v>
      </c>
      <c r="E15" s="844">
        <v>1274</v>
      </c>
      <c r="F15" s="844">
        <v>2841</v>
      </c>
      <c r="G15" s="844">
        <v>4704</v>
      </c>
      <c r="H15" s="826">
        <v>120</v>
      </c>
      <c r="I15" s="826">
        <v>489</v>
      </c>
      <c r="J15" s="826">
        <v>489</v>
      </c>
      <c r="K15" s="844">
        <v>1542</v>
      </c>
      <c r="L15" s="844">
        <v>3487</v>
      </c>
      <c r="M15" s="884">
        <v>4963</v>
      </c>
      <c r="N15" s="898"/>
      <c r="O15" s="879">
        <v>120</v>
      </c>
      <c r="P15" s="879">
        <v>944</v>
      </c>
      <c r="Q15" s="879">
        <v>944</v>
      </c>
      <c r="R15" s="880">
        <v>2457</v>
      </c>
      <c r="S15" s="887">
        <v>4516</v>
      </c>
      <c r="T15" s="890">
        <v>7073</v>
      </c>
    </row>
    <row r="16" spans="2:20" x14ac:dyDescent="0.25">
      <c r="B16" s="826">
        <v>130</v>
      </c>
      <c r="C16" s="826">
        <v>477</v>
      </c>
      <c r="D16" s="826">
        <v>477</v>
      </c>
      <c r="E16" s="844">
        <v>1344</v>
      </c>
      <c r="F16" s="844">
        <v>2943</v>
      </c>
      <c r="G16" s="844">
        <v>4974</v>
      </c>
      <c r="H16" s="826">
        <v>130</v>
      </c>
      <c r="I16" s="826">
        <v>489</v>
      </c>
      <c r="J16" s="826">
        <v>489</v>
      </c>
      <c r="K16" s="844">
        <v>1653</v>
      </c>
      <c r="L16" s="844">
        <v>3569</v>
      </c>
      <c r="M16" s="884">
        <v>5077</v>
      </c>
      <c r="N16" s="898"/>
      <c r="O16" s="879">
        <v>130</v>
      </c>
      <c r="P16" s="879">
        <v>944</v>
      </c>
      <c r="Q16" s="879">
        <v>944</v>
      </c>
      <c r="R16" s="880">
        <v>2862</v>
      </c>
      <c r="S16" s="887">
        <v>4843</v>
      </c>
      <c r="T16" s="890">
        <v>7708</v>
      </c>
    </row>
    <row r="17" spans="2:20" ht="15.75" thickBot="1" x14ac:dyDescent="0.3">
      <c r="B17" s="826">
        <v>140</v>
      </c>
      <c r="C17" s="826">
        <v>477</v>
      </c>
      <c r="D17" s="826">
        <v>477</v>
      </c>
      <c r="E17" s="844">
        <v>1415</v>
      </c>
      <c r="F17" s="844">
        <v>3044</v>
      </c>
      <c r="G17" s="844">
        <v>5244</v>
      </c>
      <c r="H17" s="826">
        <v>140</v>
      </c>
      <c r="I17" s="826">
        <v>489</v>
      </c>
      <c r="J17" s="826">
        <v>489</v>
      </c>
      <c r="K17" s="844">
        <v>1763</v>
      </c>
      <c r="L17" s="844">
        <v>3651</v>
      </c>
      <c r="M17" s="884">
        <v>5190</v>
      </c>
      <c r="N17" s="898"/>
      <c r="O17" s="879">
        <v>140</v>
      </c>
      <c r="P17" s="879">
        <v>944</v>
      </c>
      <c r="Q17" s="879">
        <v>944</v>
      </c>
      <c r="R17" s="880">
        <v>3100</v>
      </c>
      <c r="S17" s="887">
        <v>5170</v>
      </c>
      <c r="T17" s="901">
        <v>8343</v>
      </c>
    </row>
    <row r="18" spans="2:20" x14ac:dyDescent="0.25">
      <c r="B18" s="826">
        <v>150</v>
      </c>
      <c r="C18" s="826">
        <v>477</v>
      </c>
      <c r="D18" s="826">
        <v>477</v>
      </c>
      <c r="E18" s="844">
        <v>1485</v>
      </c>
      <c r="F18" s="844">
        <v>3146</v>
      </c>
      <c r="G18" s="844">
        <v>5513</v>
      </c>
      <c r="H18" s="826">
        <v>150</v>
      </c>
      <c r="I18" s="826">
        <v>489</v>
      </c>
      <c r="J18" s="826">
        <v>489</v>
      </c>
      <c r="K18" s="844">
        <v>1873</v>
      </c>
      <c r="L18" s="844">
        <v>3733</v>
      </c>
      <c r="M18" s="884">
        <v>5303</v>
      </c>
      <c r="N18" s="898"/>
      <c r="O18" s="879">
        <v>150</v>
      </c>
      <c r="P18" s="879">
        <v>944</v>
      </c>
      <c r="Q18" s="880">
        <v>1005</v>
      </c>
      <c r="R18" s="880">
        <v>3338</v>
      </c>
      <c r="S18" s="880">
        <v>5497</v>
      </c>
      <c r="T18" s="881"/>
    </row>
    <row r="19" spans="2:20" x14ac:dyDescent="0.25">
      <c r="B19" s="826">
        <v>155</v>
      </c>
      <c r="C19" s="826">
        <v>477</v>
      </c>
      <c r="D19" s="826">
        <v>477</v>
      </c>
      <c r="E19" s="844">
        <v>1520</v>
      </c>
      <c r="F19" s="844">
        <v>3197</v>
      </c>
      <c r="G19" s="844">
        <v>5635</v>
      </c>
      <c r="H19" s="826">
        <v>155</v>
      </c>
      <c r="I19" s="845">
        <f>+ROUNDUP(AVERAGE(I18,I20),0)</f>
        <v>489</v>
      </c>
      <c r="J19" s="845">
        <f t="shared" ref="J19:S19" si="0">+ROUNDUP(AVERAGE(J18,J20),0)</f>
        <v>489</v>
      </c>
      <c r="K19" s="845">
        <f t="shared" si="0"/>
        <v>1929</v>
      </c>
      <c r="L19" s="845">
        <f t="shared" si="0"/>
        <v>3774</v>
      </c>
      <c r="M19" s="896">
        <f t="shared" si="0"/>
        <v>5360</v>
      </c>
      <c r="N19" s="899"/>
      <c r="O19" s="879">
        <v>155</v>
      </c>
      <c r="P19" s="879">
        <f t="shared" si="0"/>
        <v>944</v>
      </c>
      <c r="Q19" s="879">
        <f t="shared" si="0"/>
        <v>1036</v>
      </c>
      <c r="R19" s="879">
        <f t="shared" si="0"/>
        <v>3457</v>
      </c>
      <c r="S19" s="879">
        <f t="shared" si="0"/>
        <v>5661</v>
      </c>
      <c r="T19" s="881"/>
    </row>
    <row r="20" spans="2:20" x14ac:dyDescent="0.25">
      <c r="B20" s="826">
        <v>160</v>
      </c>
      <c r="C20" s="826">
        <v>477</v>
      </c>
      <c r="D20" s="826">
        <v>477</v>
      </c>
      <c r="E20" s="844">
        <v>1555</v>
      </c>
      <c r="F20" s="844">
        <v>3248</v>
      </c>
      <c r="G20" s="827" t="s">
        <v>491</v>
      </c>
      <c r="H20" s="826">
        <v>160</v>
      </c>
      <c r="I20" s="826">
        <v>489</v>
      </c>
      <c r="J20" s="826">
        <v>489</v>
      </c>
      <c r="K20" s="844">
        <v>1984</v>
      </c>
      <c r="L20" s="844">
        <v>3815</v>
      </c>
      <c r="M20" s="884">
        <v>5416</v>
      </c>
      <c r="N20" s="898"/>
      <c r="O20" s="879">
        <v>160</v>
      </c>
      <c r="P20" s="879">
        <v>944</v>
      </c>
      <c r="Q20" s="880">
        <v>1066</v>
      </c>
      <c r="R20" s="880">
        <v>3576</v>
      </c>
      <c r="S20" s="880">
        <v>5824</v>
      </c>
      <c r="T20" s="881"/>
    </row>
    <row r="21" spans="2:20" x14ac:dyDescent="0.25">
      <c r="B21" s="826">
        <v>170</v>
      </c>
      <c r="C21" s="826">
        <v>477</v>
      </c>
      <c r="D21" s="826">
        <v>477</v>
      </c>
      <c r="E21" s="844">
        <v>1626</v>
      </c>
      <c r="F21" s="844">
        <v>3349</v>
      </c>
      <c r="H21" s="826">
        <v>170</v>
      </c>
      <c r="I21" s="826">
        <v>489</v>
      </c>
      <c r="J21" s="826">
        <v>496</v>
      </c>
      <c r="K21" s="844">
        <v>2094</v>
      </c>
      <c r="L21" s="844">
        <v>3896</v>
      </c>
      <c r="M21" s="884">
        <v>5529</v>
      </c>
      <c r="N21" s="898"/>
      <c r="O21" s="879">
        <v>170</v>
      </c>
      <c r="P21" s="879">
        <v>944</v>
      </c>
      <c r="Q21" s="880">
        <v>1126</v>
      </c>
      <c r="R21" s="880">
        <v>3793</v>
      </c>
      <c r="S21" s="880">
        <v>6218</v>
      </c>
      <c r="T21" s="881"/>
    </row>
    <row r="22" spans="2:20" x14ac:dyDescent="0.25">
      <c r="B22" s="826">
        <v>180</v>
      </c>
      <c r="C22" s="826">
        <v>477</v>
      </c>
      <c r="D22" s="826">
        <v>477</v>
      </c>
      <c r="E22" s="844">
        <v>1696</v>
      </c>
      <c r="F22" s="844">
        <v>3451</v>
      </c>
      <c r="H22" s="826">
        <v>180</v>
      </c>
      <c r="I22" s="826">
        <v>489</v>
      </c>
      <c r="J22" s="826">
        <v>532</v>
      </c>
      <c r="K22" s="844">
        <v>2204</v>
      </c>
      <c r="L22" s="844">
        <v>3978</v>
      </c>
      <c r="M22" s="884">
        <v>5642</v>
      </c>
      <c r="N22" s="898"/>
      <c r="O22" s="879">
        <v>180</v>
      </c>
      <c r="P22" s="879">
        <v>944</v>
      </c>
      <c r="Q22" s="880">
        <v>1187</v>
      </c>
      <c r="R22" s="880">
        <v>3979</v>
      </c>
      <c r="S22" s="880">
        <v>6618</v>
      </c>
      <c r="T22" s="881"/>
    </row>
    <row r="23" spans="2:20" x14ac:dyDescent="0.25">
      <c r="B23" s="826">
        <v>190</v>
      </c>
      <c r="C23" s="826">
        <v>477</v>
      </c>
      <c r="D23" s="826">
        <v>477</v>
      </c>
      <c r="E23" s="844">
        <v>1766</v>
      </c>
      <c r="F23" s="844">
        <v>3551</v>
      </c>
      <c r="H23" s="826">
        <v>190</v>
      </c>
      <c r="I23" s="826">
        <v>489</v>
      </c>
      <c r="J23" s="826">
        <v>568</v>
      </c>
      <c r="K23" s="844">
        <v>2314</v>
      </c>
      <c r="L23" s="844">
        <v>4060</v>
      </c>
      <c r="M23" s="884">
        <v>5755</v>
      </c>
      <c r="N23" s="898"/>
      <c r="O23" s="879">
        <v>190</v>
      </c>
      <c r="P23" s="879">
        <v>944</v>
      </c>
      <c r="Q23" s="880">
        <v>1247</v>
      </c>
      <c r="R23" s="880">
        <v>4165</v>
      </c>
      <c r="S23" s="880">
        <v>7018</v>
      </c>
      <c r="T23" s="881"/>
    </row>
    <row r="24" spans="2:20" x14ac:dyDescent="0.25">
      <c r="B24" s="826">
        <v>200</v>
      </c>
      <c r="C24" s="826">
        <v>477</v>
      </c>
      <c r="D24" s="826">
        <v>477</v>
      </c>
      <c r="E24" s="844">
        <v>1836</v>
      </c>
      <c r="F24" s="844">
        <v>3649</v>
      </c>
      <c r="H24" s="826">
        <v>200</v>
      </c>
      <c r="I24" s="826">
        <v>489</v>
      </c>
      <c r="J24" s="826">
        <v>604</v>
      </c>
      <c r="K24" s="844">
        <v>2425</v>
      </c>
      <c r="L24" s="844">
        <v>4142</v>
      </c>
      <c r="M24" s="884">
        <v>5868</v>
      </c>
      <c r="N24" s="898"/>
      <c r="O24" s="879">
        <v>200</v>
      </c>
      <c r="P24" s="879">
        <v>944</v>
      </c>
      <c r="Q24" s="880">
        <v>1307</v>
      </c>
      <c r="R24" s="880">
        <v>4352</v>
      </c>
      <c r="S24" s="880">
        <v>7418</v>
      </c>
      <c r="T24" s="881"/>
    </row>
    <row r="25" spans="2:20" x14ac:dyDescent="0.25">
      <c r="B25" s="826">
        <v>210</v>
      </c>
      <c r="C25" s="826">
        <v>477</v>
      </c>
      <c r="D25" s="826">
        <v>509</v>
      </c>
      <c r="E25" s="844">
        <v>1907</v>
      </c>
      <c r="F25" s="844">
        <v>3748</v>
      </c>
      <c r="H25" s="826">
        <v>210</v>
      </c>
      <c r="I25" s="826">
        <v>489</v>
      </c>
      <c r="J25" s="826">
        <v>640</v>
      </c>
      <c r="K25" s="844">
        <v>2510</v>
      </c>
      <c r="L25" s="844">
        <v>4223</v>
      </c>
      <c r="M25" s="884">
        <v>5981</v>
      </c>
      <c r="N25" s="898"/>
      <c r="O25" s="879">
        <v>210</v>
      </c>
      <c r="P25" s="879">
        <v>944</v>
      </c>
      <c r="Q25" s="880">
        <v>1368</v>
      </c>
      <c r="R25" s="880">
        <v>4538</v>
      </c>
      <c r="S25" s="880">
        <v>7818</v>
      </c>
      <c r="T25" s="881"/>
    </row>
    <row r="26" spans="2:20" x14ac:dyDescent="0.25">
      <c r="B26" s="826">
        <v>220</v>
      </c>
      <c r="C26" s="826">
        <v>477</v>
      </c>
      <c r="D26" s="826">
        <v>546</v>
      </c>
      <c r="E26" s="844">
        <v>1977</v>
      </c>
      <c r="F26" s="844">
        <v>3846</v>
      </c>
      <c r="H26" s="826">
        <v>220</v>
      </c>
      <c r="I26" s="826">
        <v>489</v>
      </c>
      <c r="J26" s="826">
        <v>676</v>
      </c>
      <c r="K26" s="844">
        <v>2583</v>
      </c>
      <c r="L26" s="844">
        <v>4305</v>
      </c>
      <c r="M26" s="884">
        <v>6094</v>
      </c>
      <c r="N26" s="898"/>
      <c r="O26" s="879">
        <v>220</v>
      </c>
      <c r="P26" s="879">
        <v>944</v>
      </c>
      <c r="Q26" s="880">
        <v>1428</v>
      </c>
      <c r="R26" s="880">
        <v>4724</v>
      </c>
      <c r="S26" s="880">
        <v>8218</v>
      </c>
      <c r="T26" s="881"/>
    </row>
    <row r="27" spans="2:20" x14ac:dyDescent="0.25">
      <c r="B27" s="826">
        <v>230</v>
      </c>
      <c r="C27" s="826">
        <v>477</v>
      </c>
      <c r="D27" s="826">
        <v>583</v>
      </c>
      <c r="E27" s="844">
        <v>2047</v>
      </c>
      <c r="F27" s="844">
        <v>3945</v>
      </c>
      <c r="H27" s="826">
        <v>230</v>
      </c>
      <c r="I27" s="826">
        <v>489</v>
      </c>
      <c r="J27" s="826">
        <v>713</v>
      </c>
      <c r="K27" s="844">
        <v>2657</v>
      </c>
      <c r="L27" s="844">
        <v>4387</v>
      </c>
      <c r="M27" s="884">
        <v>6207</v>
      </c>
      <c r="N27" s="898"/>
      <c r="O27" s="879">
        <v>230</v>
      </c>
      <c r="P27" s="879">
        <v>944</v>
      </c>
      <c r="Q27" s="880">
        <v>1489</v>
      </c>
      <c r="R27" s="880">
        <v>4910</v>
      </c>
      <c r="S27" s="881" t="s">
        <v>491</v>
      </c>
      <c r="T27" s="881"/>
    </row>
    <row r="28" spans="2:20" x14ac:dyDescent="0.25">
      <c r="B28" s="826">
        <v>240</v>
      </c>
      <c r="C28" s="826">
        <v>477</v>
      </c>
      <c r="D28" s="826">
        <v>620</v>
      </c>
      <c r="E28" s="844">
        <v>2118</v>
      </c>
      <c r="F28" s="844">
        <v>4043</v>
      </c>
      <c r="H28" s="826">
        <v>240</v>
      </c>
      <c r="I28" s="826">
        <v>489</v>
      </c>
      <c r="J28" s="826">
        <v>749</v>
      </c>
      <c r="K28" s="844">
        <v>2730</v>
      </c>
      <c r="L28" s="844">
        <v>4469</v>
      </c>
      <c r="M28" s="884">
        <v>6320</v>
      </c>
      <c r="N28" s="898"/>
      <c r="O28" s="879">
        <v>240</v>
      </c>
      <c r="P28" s="879">
        <v>944</v>
      </c>
      <c r="Q28" s="880">
        <v>1549</v>
      </c>
      <c r="R28" s="880">
        <v>5096</v>
      </c>
      <c r="S28" s="881"/>
      <c r="T28" s="881"/>
    </row>
    <row r="29" spans="2:20" x14ac:dyDescent="0.25">
      <c r="B29" s="826">
        <v>250</v>
      </c>
      <c r="C29" s="826">
        <v>477</v>
      </c>
      <c r="D29" s="826">
        <v>657</v>
      </c>
      <c r="E29" s="844">
        <v>2188</v>
      </c>
      <c r="F29" s="844">
        <v>4142</v>
      </c>
      <c r="H29" s="826">
        <v>250</v>
      </c>
      <c r="I29" s="826">
        <v>489</v>
      </c>
      <c r="J29" s="826">
        <v>785</v>
      </c>
      <c r="K29" s="844">
        <v>2804</v>
      </c>
      <c r="L29" s="844">
        <v>4551</v>
      </c>
      <c r="M29" s="884">
        <v>6433</v>
      </c>
      <c r="N29" s="898"/>
      <c r="O29" s="879">
        <v>250</v>
      </c>
      <c r="P29" s="879">
        <v>944</v>
      </c>
      <c r="Q29" s="880">
        <v>1610</v>
      </c>
      <c r="R29" s="880">
        <v>5283</v>
      </c>
      <c r="S29" s="881"/>
      <c r="T29" s="881"/>
    </row>
    <row r="30" spans="2:20" x14ac:dyDescent="0.25">
      <c r="B30" s="826">
        <v>260</v>
      </c>
      <c r="C30" s="826">
        <v>477</v>
      </c>
      <c r="D30" s="826">
        <v>694</v>
      </c>
      <c r="E30" s="844">
        <v>2258</v>
      </c>
      <c r="F30" s="844">
        <v>4240</v>
      </c>
      <c r="H30" s="826">
        <v>260</v>
      </c>
      <c r="I30" s="826">
        <v>489</v>
      </c>
      <c r="J30" s="826">
        <v>821</v>
      </c>
      <c r="K30" s="844">
        <v>2877</v>
      </c>
      <c r="L30" s="844">
        <v>4632</v>
      </c>
      <c r="M30" s="884">
        <v>6547</v>
      </c>
      <c r="N30" s="898"/>
      <c r="O30" s="879">
        <v>260</v>
      </c>
      <c r="P30" s="879">
        <v>944</v>
      </c>
      <c r="Q30" s="880">
        <v>1670</v>
      </c>
      <c r="R30" s="880">
        <v>5469</v>
      </c>
      <c r="S30" s="881"/>
      <c r="T30" s="881"/>
    </row>
    <row r="31" spans="2:20" x14ac:dyDescent="0.25">
      <c r="B31" s="826">
        <v>270</v>
      </c>
      <c r="C31" s="826">
        <v>477</v>
      </c>
      <c r="D31" s="826">
        <v>732</v>
      </c>
      <c r="E31" s="844">
        <v>2328</v>
      </c>
      <c r="F31" s="844">
        <v>4339</v>
      </c>
      <c r="H31" s="826">
        <v>270</v>
      </c>
      <c r="I31" s="826">
        <v>489</v>
      </c>
      <c r="J31" s="826">
        <v>857</v>
      </c>
      <c r="K31" s="844">
        <v>2951</v>
      </c>
      <c r="L31" s="844">
        <v>4719</v>
      </c>
      <c r="M31" s="884">
        <v>6660</v>
      </c>
      <c r="N31" s="898"/>
      <c r="O31" s="879">
        <v>270</v>
      </c>
      <c r="P31" s="879">
        <v>944</v>
      </c>
      <c r="Q31" s="880">
        <v>1731</v>
      </c>
      <c r="R31" s="880">
        <v>5655</v>
      </c>
      <c r="S31" s="881"/>
      <c r="T31" s="881"/>
    </row>
    <row r="32" spans="2:20" x14ac:dyDescent="0.25">
      <c r="B32" s="826">
        <v>280</v>
      </c>
      <c r="C32" s="826">
        <v>477</v>
      </c>
      <c r="D32" s="826">
        <v>769</v>
      </c>
      <c r="E32" s="844">
        <v>2399</v>
      </c>
      <c r="F32" s="844">
        <v>4437</v>
      </c>
      <c r="H32" s="826">
        <v>280</v>
      </c>
      <c r="I32" s="826">
        <v>489</v>
      </c>
      <c r="J32" s="826">
        <v>894</v>
      </c>
      <c r="K32" s="844">
        <v>3024</v>
      </c>
      <c r="L32" s="844">
        <v>4892</v>
      </c>
      <c r="M32" s="884">
        <v>6773</v>
      </c>
      <c r="N32" s="898"/>
      <c r="O32" s="879">
        <v>280</v>
      </c>
      <c r="P32" s="879">
        <v>944</v>
      </c>
      <c r="Q32" s="880">
        <v>1791</v>
      </c>
      <c r="R32" s="880">
        <v>5841</v>
      </c>
      <c r="S32" s="881"/>
      <c r="T32" s="881"/>
    </row>
    <row r="33" spans="2:20" x14ac:dyDescent="0.25">
      <c r="B33" s="826">
        <v>290</v>
      </c>
      <c r="C33" s="826">
        <v>477</v>
      </c>
      <c r="D33" s="826">
        <v>806</v>
      </c>
      <c r="E33" s="844">
        <v>2493</v>
      </c>
      <c r="F33" s="844">
        <v>4535</v>
      </c>
      <c r="H33" s="826">
        <v>290</v>
      </c>
      <c r="I33" s="826">
        <v>489</v>
      </c>
      <c r="J33" s="826">
        <v>930</v>
      </c>
      <c r="K33" s="844">
        <v>3098</v>
      </c>
      <c r="L33" s="844">
        <v>5066</v>
      </c>
      <c r="M33" s="884">
        <v>6886</v>
      </c>
      <c r="N33" s="898"/>
      <c r="O33" s="879">
        <v>290</v>
      </c>
      <c r="P33" s="879">
        <v>944</v>
      </c>
      <c r="Q33" s="880">
        <v>1852</v>
      </c>
      <c r="R33" s="880">
        <v>6054</v>
      </c>
      <c r="S33" s="881"/>
      <c r="T33" s="881"/>
    </row>
    <row r="34" spans="2:20" x14ac:dyDescent="0.25">
      <c r="B34" s="826">
        <v>300</v>
      </c>
      <c r="C34" s="826">
        <v>477</v>
      </c>
      <c r="D34" s="826">
        <v>843</v>
      </c>
      <c r="E34" s="844">
        <v>2629</v>
      </c>
      <c r="F34" s="844">
        <v>4634</v>
      </c>
      <c r="H34" s="826">
        <v>300</v>
      </c>
      <c r="I34" s="826">
        <v>489</v>
      </c>
      <c r="J34" s="826">
        <v>966</v>
      </c>
      <c r="K34" s="844">
        <v>3171</v>
      </c>
      <c r="L34" s="844">
        <v>5239</v>
      </c>
      <c r="M34" s="884">
        <v>6999</v>
      </c>
      <c r="N34" s="898"/>
      <c r="O34" s="879">
        <v>300</v>
      </c>
      <c r="P34" s="879">
        <v>944</v>
      </c>
      <c r="Q34" s="880">
        <v>1912</v>
      </c>
      <c r="R34" s="880">
        <v>6268</v>
      </c>
      <c r="S34" s="881"/>
      <c r="T34" s="881"/>
    </row>
    <row r="35" spans="2:20" x14ac:dyDescent="0.25">
      <c r="B35" s="826">
        <v>310</v>
      </c>
      <c r="C35" s="826">
        <v>477</v>
      </c>
      <c r="D35" s="826">
        <v>880</v>
      </c>
      <c r="E35" s="844">
        <v>2765</v>
      </c>
      <c r="F35" s="844">
        <v>4732</v>
      </c>
      <c r="H35" s="826">
        <v>310</v>
      </c>
      <c r="I35" s="826">
        <v>489</v>
      </c>
      <c r="J35" s="844">
        <v>1002</v>
      </c>
      <c r="K35" s="844">
        <v>3244</v>
      </c>
      <c r="L35" s="844">
        <v>5413</v>
      </c>
      <c r="M35" s="884">
        <v>7112</v>
      </c>
      <c r="N35" s="898"/>
      <c r="O35" s="879">
        <v>310</v>
      </c>
      <c r="P35" s="879">
        <v>944</v>
      </c>
      <c r="Q35" s="880">
        <v>2000</v>
      </c>
      <c r="R35" s="880">
        <v>6482</v>
      </c>
      <c r="S35" s="881"/>
      <c r="T35" s="881"/>
    </row>
    <row r="36" spans="2:20" x14ac:dyDescent="0.25">
      <c r="B36" s="826">
        <v>320</v>
      </c>
      <c r="C36" s="826">
        <v>477</v>
      </c>
      <c r="D36" s="826">
        <v>917</v>
      </c>
      <c r="E36" s="844">
        <v>2902</v>
      </c>
      <c r="F36" s="844">
        <v>4831</v>
      </c>
      <c r="H36" s="826">
        <v>320</v>
      </c>
      <c r="I36" s="826">
        <v>489</v>
      </c>
      <c r="J36" s="844">
        <v>1056</v>
      </c>
      <c r="K36" s="844">
        <v>3318</v>
      </c>
      <c r="L36" s="844">
        <v>5586</v>
      </c>
      <c r="M36" s="884">
        <v>7225</v>
      </c>
      <c r="N36" s="898"/>
      <c r="O36" s="879">
        <v>320</v>
      </c>
      <c r="P36" s="879">
        <v>944</v>
      </c>
      <c r="Q36" s="880">
        <v>2098</v>
      </c>
      <c r="R36" s="880">
        <v>6696</v>
      </c>
      <c r="S36" s="881"/>
      <c r="T36" s="881"/>
    </row>
    <row r="37" spans="2:20" x14ac:dyDescent="0.25">
      <c r="B37" s="826">
        <f>+ROUNDUP(AVERAGE(B36,B38),0)</f>
        <v>325</v>
      </c>
      <c r="C37" s="845">
        <f>+ROUNDUP(AVERAGE(C36,C38),0)</f>
        <v>477</v>
      </c>
      <c r="D37" s="845">
        <f>+ROUNDUP(AVERAGE(D36,D38),0)</f>
        <v>936</v>
      </c>
      <c r="E37" s="845">
        <f>+ROUNDUP(AVERAGE(E36,E38),0)</f>
        <v>2970</v>
      </c>
      <c r="F37" s="845">
        <f>+ROUNDUP(AVERAGE(F36,F38),0)</f>
        <v>4880</v>
      </c>
      <c r="H37" s="826">
        <f>+ROUNDUP(AVERAGE(H36,H38),0)</f>
        <v>325</v>
      </c>
      <c r="I37" s="826">
        <v>489</v>
      </c>
      <c r="J37" s="844">
        <v>1083</v>
      </c>
      <c r="K37" s="844">
        <v>3355</v>
      </c>
      <c r="L37" s="844">
        <v>5673</v>
      </c>
      <c r="M37" s="884">
        <v>7282</v>
      </c>
      <c r="N37" s="898"/>
      <c r="O37" s="879">
        <f>+ROUNDUP(AVERAGE(O36,O38),0)</f>
        <v>325</v>
      </c>
      <c r="P37" s="879">
        <v>944</v>
      </c>
      <c r="Q37" s="880">
        <v>2147</v>
      </c>
      <c r="R37" s="880">
        <v>6803</v>
      </c>
      <c r="S37" s="881"/>
      <c r="T37" s="881"/>
    </row>
    <row r="38" spans="2:20" x14ac:dyDescent="0.25">
      <c r="B38" s="826">
        <v>330</v>
      </c>
      <c r="C38" s="826">
        <v>477</v>
      </c>
      <c r="D38" s="826">
        <v>954</v>
      </c>
      <c r="E38" s="844">
        <v>3038</v>
      </c>
      <c r="F38" s="844">
        <v>4929</v>
      </c>
      <c r="H38" s="826">
        <v>330</v>
      </c>
      <c r="I38" s="826">
        <v>489</v>
      </c>
      <c r="J38" s="844">
        <v>1110</v>
      </c>
      <c r="K38" s="844">
        <v>3391</v>
      </c>
      <c r="L38" s="844">
        <v>5760</v>
      </c>
      <c r="M38" s="827" t="s">
        <v>491</v>
      </c>
      <c r="O38" s="879">
        <v>330</v>
      </c>
      <c r="P38" s="881"/>
      <c r="Q38" s="881"/>
      <c r="R38" s="881"/>
      <c r="S38" s="881"/>
      <c r="T38" s="881"/>
    </row>
    <row r="39" spans="2:20" x14ac:dyDescent="0.25">
      <c r="B39" s="826">
        <v>335</v>
      </c>
      <c r="C39" s="845">
        <f>+ROUNDUP(AVERAGE(C38,C40),0)</f>
        <v>477</v>
      </c>
      <c r="D39" s="845">
        <f>+ROUNDUP(AVERAGE(D38,D40),0)</f>
        <v>979</v>
      </c>
      <c r="E39" s="845">
        <f>+ROUNDUP(AVERAGE(E38,E40),0)</f>
        <v>3107</v>
      </c>
      <c r="F39" s="845">
        <f>+ROUNDUP(AVERAGE(F38,F40),0)</f>
        <v>4979</v>
      </c>
      <c r="H39" s="826">
        <v>335</v>
      </c>
      <c r="I39" s="826">
        <v>489</v>
      </c>
      <c r="J39" s="844">
        <v>1137</v>
      </c>
      <c r="K39" s="844">
        <v>3428</v>
      </c>
      <c r="L39" s="844">
        <v>5847</v>
      </c>
      <c r="O39" s="879">
        <v>335</v>
      </c>
      <c r="P39" s="881"/>
      <c r="Q39" s="881"/>
      <c r="R39" s="881"/>
      <c r="S39" s="881"/>
      <c r="T39" s="881"/>
    </row>
    <row r="40" spans="2:20" x14ac:dyDescent="0.25">
      <c r="B40" s="826">
        <v>340</v>
      </c>
      <c r="C40" s="826">
        <v>477</v>
      </c>
      <c r="D40" s="844">
        <v>1004</v>
      </c>
      <c r="E40" s="844">
        <v>3175</v>
      </c>
      <c r="F40" s="844">
        <v>5028</v>
      </c>
      <c r="H40" s="826">
        <v>340</v>
      </c>
      <c r="O40" s="879">
        <v>340</v>
      </c>
      <c r="P40" s="881"/>
      <c r="Q40" s="881"/>
      <c r="R40" s="881"/>
      <c r="S40" s="881"/>
      <c r="T40" s="881"/>
    </row>
  </sheetData>
  <mergeCells count="4">
    <mergeCell ref="O3:T3"/>
    <mergeCell ref="B3:G3"/>
    <mergeCell ref="H3:M3"/>
    <mergeCell ref="O2:T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3DA64-24AA-4064-A5E8-9679521795CA}">
  <sheetPr>
    <tabColor rgb="FF0070C0"/>
  </sheetPr>
  <dimension ref="A5:J305"/>
  <sheetViews>
    <sheetView topLeftCell="A5" workbookViewId="0">
      <selection activeCell="K10" sqref="K10"/>
    </sheetView>
  </sheetViews>
  <sheetFormatPr baseColWidth="10" defaultRowHeight="15" x14ac:dyDescent="0.25"/>
  <cols>
    <col min="1" max="1" width="6.7109375" bestFit="1" customWidth="1"/>
    <col min="2" max="2" width="19.85546875" bestFit="1" customWidth="1"/>
    <col min="3" max="3" width="6.85546875" bestFit="1" customWidth="1"/>
  </cols>
  <sheetData>
    <row r="5" spans="1:10" x14ac:dyDescent="0.25">
      <c r="D5" t="s">
        <v>568</v>
      </c>
      <c r="E5" t="s">
        <v>569</v>
      </c>
    </row>
    <row r="6" spans="1:10" x14ac:dyDescent="0.25">
      <c r="D6" t="s">
        <v>560</v>
      </c>
      <c r="E6" t="s">
        <v>561</v>
      </c>
      <c r="F6" t="s">
        <v>565</v>
      </c>
    </row>
    <row r="7" spans="1:10" x14ac:dyDescent="0.25">
      <c r="D7" t="s">
        <v>560</v>
      </c>
      <c r="E7" t="s">
        <v>566</v>
      </c>
      <c r="F7" t="s">
        <v>567</v>
      </c>
      <c r="G7" t="s">
        <v>565</v>
      </c>
    </row>
    <row r="8" spans="1:10" x14ac:dyDescent="0.25">
      <c r="A8" t="s">
        <v>147</v>
      </c>
      <c r="B8" t="s">
        <v>5</v>
      </c>
      <c r="C8" t="s">
        <v>558</v>
      </c>
      <c r="D8" t="s">
        <v>560</v>
      </c>
      <c r="E8" t="s">
        <v>561</v>
      </c>
      <c r="F8" t="s">
        <v>562</v>
      </c>
      <c r="G8" t="s">
        <v>563</v>
      </c>
      <c r="H8" t="s">
        <v>564</v>
      </c>
      <c r="I8" t="s">
        <v>565</v>
      </c>
      <c r="J8" t="s">
        <v>559</v>
      </c>
    </row>
    <row r="9" spans="1:10" x14ac:dyDescent="0.25">
      <c r="A9" t="str">
        <f>CUBICACION!F9</f>
        <v>CJ</v>
      </c>
      <c r="B9" t="str">
        <f>CUBICACION!E9</f>
        <v>MM 400X200X4</v>
      </c>
      <c r="C9" s="947">
        <f>CUBICACION!J9</f>
        <v>4</v>
      </c>
      <c r="D9" t="str" cm="1">
        <f t="array" ref="D9:F9">_xlfn.TEXTSPLIT(B9,{"X";"x"})</f>
        <v>MM 400</v>
      </c>
      <c r="E9" t="str">
        <v>200</v>
      </c>
      <c r="F9" t="str">
        <v>4</v>
      </c>
      <c r="J9" t="e" cm="1">
        <f t="array" ref="J9">_xlfn.IFS(AND(A9="IN",I9&lt;&gt;""), (E9*F9+G9*H9)+I9*(D9-F9-H9),AND(A9="IN",I9=""), (2*E9*F9)+G9*(D9-2*F9),AND(A9="CJ",F9&lt;&gt;""),(D9*E9)-((D9-2*F9)*(E9-2*F9)),AND(A9="CJ",F9=""),ROUND((PI()*(D9/2)^2)-(PI()*(D9/2-E9)^2),0),AND(A9="C",G9=""),(2*E9*F9)+((D9-2*F9)*F9),TRUE,"")</f>
        <v>#VALUE!</v>
      </c>
    </row>
    <row r="10" spans="1:10" x14ac:dyDescent="0.25">
      <c r="A10" t="str">
        <f>CUBICACION!F10</f>
        <v>CJ</v>
      </c>
      <c r="B10" t="str">
        <f>CUBICACION!E10</f>
        <v>MM 400X200X4</v>
      </c>
      <c r="C10" s="947">
        <f>CUBICACION!J10</f>
        <v>4</v>
      </c>
      <c r="D10" t="str" cm="1">
        <f t="array" ref="D10:F10">_xlfn.TEXTSPLIT(B10,{"X";"x"})</f>
        <v>MM 400</v>
      </c>
      <c r="E10" t="str">
        <v>200</v>
      </c>
      <c r="F10" t="str">
        <v>4</v>
      </c>
      <c r="J10" t="e" cm="1">
        <f t="array" ref="J10">_xlfn.IFS(AND(A10="IN",I10&lt;&gt;""), (E10*F10+G10*H10)+I10*(D10-F10-H10),AND(A10="IN",I10=""), (2*E10*F10)+G10*(D10-2*F10),AND(A10="CJ",F10&lt;&gt;""),(D10*E10)-((D10-2*F10)*(E10-2*F10)),AND(A10="CJ",F10=""),ROUND((PI()*(D10/2)^2)-(PI()*(D10/2-E10)^2),0),TRUE,"")</f>
        <v>#VALUE!</v>
      </c>
    </row>
    <row r="11" spans="1:10" x14ac:dyDescent="0.25">
      <c r="A11" t="str">
        <f>CUBICACION!F11</f>
        <v>CJ</v>
      </c>
      <c r="B11" t="str">
        <f>CUBICACION!E11</f>
        <v>150X150X5</v>
      </c>
      <c r="C11" s="947">
        <f>CUBICACION!J11</f>
        <v>4</v>
      </c>
      <c r="D11" t="str" cm="1">
        <f t="array" ref="D11:F11">_xlfn.TEXTSPLIT(B11,{"X";"x"})</f>
        <v>150</v>
      </c>
      <c r="E11" t="str">
        <v>150</v>
      </c>
      <c r="F11" t="str">
        <v>5</v>
      </c>
      <c r="J11" cm="1">
        <f t="array" ref="J11">_xlfn.IFS(AND(A11="IN",I11&lt;&gt;""), (E11*F11+G11*H11)+I11*(D11-F11-H11),AND(A11="IN",I11=""), (2*E11*F11)+G11*(D11-2*F11),AND(A11="CJ",F11&lt;&gt;""),(D11*E11)-((D11-2*F11)*(E11-2*F11)),AND(A11="CJ",F11=""),ROUND((PI()*(D11/2)^2)-(PI()*(D11/2-E11)^2),0),TRUE,"")</f>
        <v>2900</v>
      </c>
    </row>
    <row r="12" spans="1:10" x14ac:dyDescent="0.25">
      <c r="A12" t="str">
        <f>CUBICACION!F12</f>
        <v>CJ</v>
      </c>
      <c r="B12" t="str">
        <f>CUBICACION!E12</f>
        <v>200X100X3</v>
      </c>
      <c r="C12" s="947">
        <f>CUBICACION!J12</f>
        <v>4</v>
      </c>
      <c r="D12" t="str" cm="1">
        <f t="array" ref="D12:F12">_xlfn.TEXTSPLIT(B12,{"X";"x"})</f>
        <v>200</v>
      </c>
      <c r="E12" t="str">
        <v>100</v>
      </c>
      <c r="F12" t="str">
        <v>3</v>
      </c>
      <c r="J12" cm="1">
        <f t="array" ref="J12">_xlfn.IFS(AND(A12="IN",I12&lt;&gt;""), (E12*F12+G12*H12)+I12*(D12-F12-H12),AND(A12="IN",I12=""), (2*E12*F12)+G12*(D12-2*F12),AND(A12="CJ",F12&lt;&gt;""),(D12*E12)-((D12-2*F12)*(E12-2*F12)),AND(A12="CJ",F12=""),ROUND((PI()*(D12/2)^2)-(PI()*(D12/2-E12)^2),0),TRUE,"")</f>
        <v>1764</v>
      </c>
    </row>
    <row r="13" spans="1:10" x14ac:dyDescent="0.25">
      <c r="A13" t="str">
        <f>CUBICACION!F13</f>
        <v>CJ</v>
      </c>
      <c r="B13" t="str">
        <f>CUBICACION!E13</f>
        <v>100X100X3</v>
      </c>
      <c r="C13" s="947">
        <f>CUBICACION!J13</f>
        <v>4</v>
      </c>
      <c r="D13" t="str" cm="1">
        <f t="array" ref="D13:F13">_xlfn.TEXTSPLIT(B13,{"X";"x"})</f>
        <v>100</v>
      </c>
      <c r="E13" t="str">
        <v>100</v>
      </c>
      <c r="F13" t="str">
        <v>3</v>
      </c>
      <c r="J13" cm="1">
        <f t="array" ref="J13">_xlfn.IFS(AND(A13="IN",I13&lt;&gt;""), (E13*F13+G13*H13)+I13*(D13-F13-H13),AND(A13="IN",I13=""), (2*E13*F13)+G13*(D13-2*F13),AND(A13="CJ",F13&lt;&gt;""),(D13*E13)-((D13-2*F13)*(E13-2*F13)),AND(A13="CJ",F13=""),ROUND((PI()*(D13/2)^2)-(PI()*(D13/2-E13)^2),0),TRUE,"")</f>
        <v>1164</v>
      </c>
    </row>
    <row r="14" spans="1:10" x14ac:dyDescent="0.25">
      <c r="A14" t="str">
        <f>CUBICACION!F14</f>
        <v>CJ</v>
      </c>
      <c r="B14" t="str">
        <f>CUBICACION!E14</f>
        <v>100X100X3</v>
      </c>
      <c r="C14" s="947">
        <f>CUBICACION!J14</f>
        <v>4</v>
      </c>
      <c r="D14" t="str" cm="1">
        <f t="array" ref="D14:F14">_xlfn.TEXTSPLIT(B14,{"X";"x"})</f>
        <v>100</v>
      </c>
      <c r="E14" t="str">
        <v>100</v>
      </c>
      <c r="F14" t="str">
        <v>3</v>
      </c>
      <c r="J14" cm="1">
        <f t="array" ref="J14">_xlfn.IFS(AND(A14="IN",I14&lt;&gt;""), (E14*F14+G14*H14)+I14*(D14-F14-H14),AND(A14="IN",I14=""), (2*E14*F14)+G14*(D14-2*F14),AND(A14="CJ",F14&lt;&gt;""),(D14*E14)-((D14-2*F14)*(E14-2*F14)),AND(A14="CJ",F14=""),ROUND((PI()*(D14/2)^2)-(PI()*(D14/2-E14)^2),0),TRUE,"")</f>
        <v>1164</v>
      </c>
    </row>
    <row r="15" spans="1:10" x14ac:dyDescent="0.25">
      <c r="A15" t="str">
        <f>CUBICACION!F15</f>
        <v>CJ</v>
      </c>
      <c r="B15" t="str">
        <f>CUBICACION!E15</f>
        <v>MM 400X200X4</v>
      </c>
      <c r="C15" s="947">
        <f>CUBICACION!J15</f>
        <v>4</v>
      </c>
      <c r="D15" t="str" cm="1">
        <f t="array" ref="D15:F15">_xlfn.TEXTSPLIT(B15,{"X";"x"})</f>
        <v>MM 400</v>
      </c>
      <c r="E15" t="str">
        <v>200</v>
      </c>
      <c r="F15" t="str">
        <v>4</v>
      </c>
      <c r="J15" t="e" cm="1">
        <f t="array" ref="J15">_xlfn.IFS(AND(A15="IN",I15&lt;&gt;""), (E15*F15+G15*H15)+I15*(D15-F15-H15),AND(A15="IN",I15=""), (2*E15*F15)+G15*(D15-2*F15),AND(A15="CJ",F15&lt;&gt;""),(D15*E15)-((D15-2*F15)*(E15-2*F15)),AND(A15="CJ",F15=""),ROUND((PI()*(D15/2)^2)-(PI()*(D15/2-E15)^2),0),TRUE,"")</f>
        <v>#VALUE!</v>
      </c>
    </row>
    <row r="16" spans="1:10" x14ac:dyDescent="0.25">
      <c r="A16" t="str">
        <f>CUBICACION!F16</f>
        <v>CJ</v>
      </c>
      <c r="B16" t="str">
        <f>CUBICACION!E16</f>
        <v>MM 400X200X4</v>
      </c>
      <c r="C16" s="947">
        <f>CUBICACION!J16</f>
        <v>4</v>
      </c>
      <c r="D16" t="str" cm="1">
        <f t="array" ref="D16:F16">_xlfn.TEXTSPLIT(B16,{"X";"x"})</f>
        <v>MM 400</v>
      </c>
      <c r="E16" t="str">
        <v>200</v>
      </c>
      <c r="F16" t="str">
        <v>4</v>
      </c>
      <c r="J16" t="e" cm="1">
        <f t="array" ref="J16">_xlfn.IFS(AND(A16="IN",I16&lt;&gt;""), (E16*F16+G16*H16)+I16*(D16-F16-H16),AND(A16="IN",I16=""), (2*E16*F16)+G16*(D16-2*F16),AND(A16="CJ",F16&lt;&gt;""),(D16*E16)-((D16-2*F16)*(E16-2*F16)),AND(A16="CJ",F16=""),ROUND((PI()*(D16/2)^2)-(PI()*(D16/2-E16)^2),0),TRUE,"")</f>
        <v>#VALUE!</v>
      </c>
    </row>
    <row r="17" spans="1:10" x14ac:dyDescent="0.25">
      <c r="A17" t="str">
        <f>CUBICACION!F17</f>
        <v>CJ</v>
      </c>
      <c r="B17" t="str">
        <f>CUBICACION!E17</f>
        <v>150X150X5</v>
      </c>
      <c r="C17" s="947">
        <f>CUBICACION!J17</f>
        <v>4</v>
      </c>
      <c r="D17" t="str" cm="1">
        <f t="array" ref="D17:F17">_xlfn.TEXTSPLIT(B17,{"X";"x"})</f>
        <v>150</v>
      </c>
      <c r="E17" t="str">
        <v>150</v>
      </c>
      <c r="F17" t="str">
        <v>5</v>
      </c>
      <c r="J17" cm="1">
        <f t="array" ref="J17">_xlfn.IFS(AND(A17="IN",I17&lt;&gt;""), (E17*F17+G17*H17)+I17*(D17-F17-H17),AND(A17="IN",I17=""), (2*E17*F17)+G17*(D17-2*F17),AND(A17="CJ",F17&lt;&gt;""),(D17*E17)-((D17-2*F17)*(E17-2*F17)),AND(A17="CJ",F17=""),ROUND((PI()*(D17/2)^2)-(PI()*(D17/2-E17)^2),0),TRUE,"")</f>
        <v>2900</v>
      </c>
    </row>
    <row r="18" spans="1:10" x14ac:dyDescent="0.25">
      <c r="A18" t="str">
        <f>CUBICACION!F18</f>
        <v>CJ</v>
      </c>
      <c r="B18" t="str">
        <f>CUBICACION!E18</f>
        <v>200X100X3</v>
      </c>
      <c r="C18" s="947">
        <f>CUBICACION!J18</f>
        <v>4</v>
      </c>
      <c r="D18" t="str" cm="1">
        <f t="array" ref="D18:F18">_xlfn.TEXTSPLIT(B18,{"X";"x"})</f>
        <v>200</v>
      </c>
      <c r="E18" t="str">
        <v>100</v>
      </c>
      <c r="F18" t="str">
        <v>3</v>
      </c>
      <c r="J18" cm="1">
        <f t="array" ref="J18">_xlfn.IFS(AND(A18="IN",I18&lt;&gt;""), (E18*F18+G18*H18)+I18*(D18-F18-H18),AND(A18="IN",I18=""), (2*E18*F18)+G18*(D18-2*F18),AND(A18="CJ",F18&lt;&gt;""),(D18*E18)-((D18-2*F18)*(E18-2*F18)),AND(A18="CJ",F18=""),ROUND((PI()*(D18/2)^2)-(PI()*(D18/2-E18)^2),0),TRUE,"")</f>
        <v>1764</v>
      </c>
    </row>
    <row r="19" spans="1:10" x14ac:dyDescent="0.25">
      <c r="A19" t="str">
        <f>CUBICACION!F19</f>
        <v>CJ</v>
      </c>
      <c r="B19" t="str">
        <f>CUBICACION!E19</f>
        <v>100X100X3</v>
      </c>
      <c r="C19" s="947">
        <f>CUBICACION!J19</f>
        <v>4</v>
      </c>
      <c r="D19" t="str" cm="1">
        <f t="array" ref="D19:F19">_xlfn.TEXTSPLIT(B19,{"X";"x"})</f>
        <v>100</v>
      </c>
      <c r="E19" t="str">
        <v>100</v>
      </c>
      <c r="F19" t="str">
        <v>3</v>
      </c>
      <c r="J19" cm="1">
        <f t="array" ref="J19">_xlfn.IFS(AND(A19="IN",I19&lt;&gt;""), (E19*F19+G19*H19)+I19*(D19-F19-H19),AND(A19="IN",I19=""), (2*E19*F19)+G19*(D19-2*F19),AND(A19="CJ",F19&lt;&gt;""),(D19*E19)-((D19-2*F19)*(E19-2*F19)),AND(A19="CJ",F19=""),ROUND((PI()*(D19/2)^2)-(PI()*(D19/2-E19)^2),0),TRUE,"")</f>
        <v>1164</v>
      </c>
    </row>
    <row r="20" spans="1:10" x14ac:dyDescent="0.25">
      <c r="A20" t="str">
        <f>CUBICACION!F20</f>
        <v>CJ</v>
      </c>
      <c r="B20" t="str">
        <f>CUBICACION!E20</f>
        <v>100X100X3</v>
      </c>
      <c r="C20" s="947">
        <f>CUBICACION!J20</f>
        <v>4</v>
      </c>
      <c r="D20" t="str" cm="1">
        <f t="array" ref="D20:F20">_xlfn.TEXTSPLIT(B20,{"X";"x"})</f>
        <v>100</v>
      </c>
      <c r="E20" t="str">
        <v>100</v>
      </c>
      <c r="F20" t="str">
        <v>3</v>
      </c>
      <c r="J20" cm="1">
        <f t="array" ref="J20">_xlfn.IFS(AND(A20="IN",I20&lt;&gt;""), (E20*F20+G20*H20)+I20*(D20-F20-H20),AND(A20="IN",I20=""), (2*E20*F20)+G20*(D20-2*F20),AND(A20="CJ",F20&lt;&gt;""),(D20*E20)-((D20-2*F20)*(E20-2*F20)),AND(A20="CJ",F20=""),ROUND((PI()*(D20/2)^2)-(PI()*(D20/2-E20)^2),0),TRUE,"")</f>
        <v>1164</v>
      </c>
    </row>
    <row r="21" spans="1:10" x14ac:dyDescent="0.25">
      <c r="A21" t="str">
        <f>CUBICACION!F21</f>
        <v>CJ</v>
      </c>
      <c r="B21" t="str">
        <f>CUBICACION!E21</f>
        <v>200X100X4</v>
      </c>
      <c r="C21" s="947">
        <f>CUBICACION!J21</f>
        <v>4</v>
      </c>
      <c r="D21" t="str" cm="1">
        <f t="array" ref="D21:F21">_xlfn.TEXTSPLIT(B21,{"X";"x"})</f>
        <v>200</v>
      </c>
      <c r="E21" t="str">
        <v>100</v>
      </c>
      <c r="F21" t="str">
        <v>4</v>
      </c>
      <c r="J21" cm="1">
        <f t="array" ref="J21">_xlfn.IFS(AND(A21="IN",I21&lt;&gt;""), (E21*F21+G21*H21)+I21*(D21-F21-H21),AND(A21="IN",I21=""), (2*E21*F21)+G21*(D21-2*F21),AND(A21="CJ",F21&lt;&gt;""),(D21*E21)-((D21-2*F21)*(E21-2*F21)),AND(A21="CJ",F21=""),ROUND((PI()*(D21/2)^2)-(PI()*(D21/2-E21)^2),0),TRUE,"")</f>
        <v>2336</v>
      </c>
    </row>
    <row r="22" spans="1:10" x14ac:dyDescent="0.25">
      <c r="A22" t="str">
        <f>CUBICACION!F22</f>
        <v>CJ</v>
      </c>
      <c r="B22" t="str">
        <f>CUBICACION!E22</f>
        <v>150X150X5</v>
      </c>
      <c r="C22" s="947">
        <f>CUBICACION!J22</f>
        <v>4</v>
      </c>
      <c r="D22" t="str" cm="1">
        <f t="array" ref="D22:F22">_xlfn.TEXTSPLIT(B22,{"X";"x"})</f>
        <v>150</v>
      </c>
      <c r="E22" t="str">
        <v>150</v>
      </c>
      <c r="F22" t="str">
        <v>5</v>
      </c>
      <c r="J22" cm="1">
        <f t="array" ref="J22">_xlfn.IFS(AND(A22="IN",I22&lt;&gt;""), (E22*F22+G22*H22)+I22*(D22-F22-H22),AND(A22="IN",I22=""), (2*E22*F22)+G22*(D22-2*F22),AND(A22="CJ",F22&lt;&gt;""),(D22*E22)-((D22-2*F22)*(E22-2*F22)),AND(A22="CJ",F22=""),ROUND((PI()*(D22/2)^2)-(PI()*(D22/2-E22)^2),0),TRUE,"")</f>
        <v>2900</v>
      </c>
    </row>
    <row r="23" spans="1:10" x14ac:dyDescent="0.25">
      <c r="A23" t="str">
        <f>CUBICACION!F23</f>
        <v>CJ</v>
      </c>
      <c r="B23" t="str">
        <f>CUBICACION!E23</f>
        <v>150X150X5</v>
      </c>
      <c r="C23" s="947">
        <f>CUBICACION!J23</f>
        <v>4</v>
      </c>
      <c r="D23" t="str" cm="1">
        <f t="array" ref="D23:F23">_xlfn.TEXTSPLIT(B23,{"X";"x"})</f>
        <v>150</v>
      </c>
      <c r="E23" t="str">
        <v>150</v>
      </c>
      <c r="F23" t="str">
        <v>5</v>
      </c>
      <c r="J23" cm="1">
        <f t="array" ref="J23">_xlfn.IFS(AND(A23="IN",I23&lt;&gt;""), (E23*F23+G23*H23)+I23*(D23-F23-H23),AND(A23="IN",I23=""), (2*E23*F23)+G23*(D23-2*F23),AND(A23="CJ",F23&lt;&gt;""),(D23*E23)-((D23-2*F23)*(E23-2*F23)),AND(A23="CJ",F23=""),ROUND((PI()*(D23/2)^2)-(PI()*(D23/2-E23)^2),0),TRUE,"")</f>
        <v>2900</v>
      </c>
    </row>
    <row r="24" spans="1:10" x14ac:dyDescent="0.25">
      <c r="A24">
        <f>CUBICACION!F24</f>
        <v>0</v>
      </c>
      <c r="B24">
        <f>CUBICACION!E24</f>
        <v>0</v>
      </c>
      <c r="C24" s="947">
        <f>CUBICACION!J24</f>
        <v>4</v>
      </c>
      <c r="D24" t="str" cm="1">
        <f t="array" ref="D24">_xlfn.TEXTSPLIT(B24,{"X";"x"})</f>
        <v>0</v>
      </c>
      <c r="J24" t="str" cm="1">
        <f t="array" ref="J24">_xlfn.IFS(AND(A24="IN",I24&lt;&gt;""), (E24*F24+G24*H24)+I24*(D24-F24-H24),AND(A24="IN",I24=""), (2*E24*F24)+G24*(D24-2*F24),AND(A24="CJ",F24&lt;&gt;""),(D24*E24)-((D24-2*F24)*(E24-2*F24)),AND(A24="CJ",F24=""),ROUND((PI()*(D24/2)^2)-(PI()*(D24/2-E24)^2),0),TRUE,"")</f>
        <v/>
      </c>
    </row>
    <row r="25" spans="1:10" x14ac:dyDescent="0.25">
      <c r="A25">
        <f>CUBICACION!F25</f>
        <v>0</v>
      </c>
      <c r="B25">
        <f>CUBICACION!E25</f>
        <v>0</v>
      </c>
      <c r="C25" s="947">
        <f>CUBICACION!J25</f>
        <v>4</v>
      </c>
      <c r="D25" t="str" cm="1">
        <f t="array" ref="D25">_xlfn.TEXTSPLIT(B25,{"X";"x"})</f>
        <v>0</v>
      </c>
      <c r="J25" t="str" cm="1">
        <f t="array" ref="J25">_xlfn.IFS(AND(A25="IN",I25&lt;&gt;""), (E25*F25+G25*H25)+I25*(D25-F25-H25),AND(A25="IN",I25=""), (2*E25*F25)+G25*(D25-2*F25),AND(A25="CJ",F25&lt;&gt;""),(D25*E25)-((D25-2*F25)*(E25-2*F25)),AND(A25="CJ",F25=""),ROUND((PI()*(D25/2)^2)-(PI()*(D25/2-E25)^2),0),TRUE,"")</f>
        <v/>
      </c>
    </row>
    <row r="26" spans="1:10" x14ac:dyDescent="0.25">
      <c r="A26" t="str">
        <f>CUBICACION!F26</f>
        <v>CJ</v>
      </c>
      <c r="B26" t="str">
        <f>CUBICACION!E26</f>
        <v xml:space="preserve"> M1 MM600X225X4</v>
      </c>
      <c r="C26" s="947">
        <f>CUBICACION!J26</f>
        <v>4</v>
      </c>
      <c r="D26" t="str" cm="1">
        <f t="array" ref="D26:F26">_xlfn.TEXTSPLIT(B26,{"X";"x"})</f>
        <v xml:space="preserve"> M1 MM600</v>
      </c>
      <c r="E26" t="str">
        <v>225</v>
      </c>
      <c r="F26" t="str">
        <v>4</v>
      </c>
      <c r="J26" t="e" cm="1">
        <f t="array" ref="J26">_xlfn.IFS(AND(A26="IN",I26&lt;&gt;""), (E26*F26+G26*H26)+I26*(D26-F26-H26),AND(A26="IN",I26=""), (2*E26*F26)+G26*(D26-2*F26),AND(A26="CJ",F26&lt;&gt;""),(D26*E26)-((D26-2*F26)*(E26-2*F26)),AND(A26="CJ",F26=""),ROUND((PI()*(D26/2)^2)-(PI()*(D26/2-E26)^2),0),TRUE,"")</f>
        <v>#VALUE!</v>
      </c>
    </row>
    <row r="27" spans="1:10" x14ac:dyDescent="0.25">
      <c r="A27" t="str">
        <f>CUBICACION!F27</f>
        <v>CJ</v>
      </c>
      <c r="B27" t="str">
        <f>CUBICACION!E27</f>
        <v xml:space="preserve"> M1 MM600X225X4</v>
      </c>
      <c r="C27" s="947">
        <f>CUBICACION!J27</f>
        <v>4</v>
      </c>
      <c r="D27" t="str" cm="1">
        <f t="array" ref="D27:F27">_xlfn.TEXTSPLIT(B27,{"X";"x"})</f>
        <v xml:space="preserve"> M1 MM600</v>
      </c>
      <c r="E27" t="str">
        <v>225</v>
      </c>
      <c r="F27" t="str">
        <v>4</v>
      </c>
      <c r="J27" t="e" cm="1">
        <f t="array" ref="J27">_xlfn.IFS(AND(A27="IN",I27&lt;&gt;""), (E27*F27+G27*H27)+I27*(D27-F27-H27),AND(A27="IN",I27=""), (2*E27*F27)+G27*(D27-2*F27),AND(A27="CJ",F27&lt;&gt;""),(D27*E27)-((D27-2*F27)*(E27-2*F27)),AND(A27="CJ",F27=""),ROUND((PI()*(D27/2)^2)-(PI()*(D27/2-E27)^2),0),TRUE,"")</f>
        <v>#VALUE!</v>
      </c>
    </row>
    <row r="28" spans="1:10" x14ac:dyDescent="0.25">
      <c r="A28" t="str">
        <f>CUBICACION!F28</f>
        <v>CJ</v>
      </c>
      <c r="B28" t="str">
        <f>CUBICACION!E28</f>
        <v xml:space="preserve"> M1 MM600X225X4</v>
      </c>
      <c r="C28" s="947">
        <f>CUBICACION!J28</f>
        <v>4</v>
      </c>
      <c r="D28" t="str" cm="1">
        <f t="array" ref="D28:F28">_xlfn.TEXTSPLIT(B28,{"X";"x"})</f>
        <v xml:space="preserve"> M1 MM600</v>
      </c>
      <c r="E28" t="str">
        <v>225</v>
      </c>
      <c r="F28" t="str">
        <v>4</v>
      </c>
      <c r="J28" t="e" cm="1">
        <f t="array" ref="J28">_xlfn.IFS(AND(A28="IN",I28&lt;&gt;""), (E28*F28+G28*H28)+I28*(D28-F28-H28),AND(A28="IN",I28=""), (2*E28*F28)+G28*(D28-2*F28),AND(A28="CJ",F28&lt;&gt;""),(D28*E28)-((D28-2*F28)*(E28-2*F28)),AND(A28="CJ",F28=""),ROUND((PI()*(D28/2)^2)-(PI()*(D28/2-E28)^2),0),TRUE,"")</f>
        <v>#VALUE!</v>
      </c>
    </row>
    <row r="29" spans="1:10" x14ac:dyDescent="0.25">
      <c r="A29" t="str">
        <f>CUBICACION!F29</f>
        <v>CJ</v>
      </c>
      <c r="B29" t="str">
        <f>CUBICACION!E29</f>
        <v xml:space="preserve"> M1 MM600X225X4</v>
      </c>
      <c r="C29" s="947">
        <f>CUBICACION!J29</f>
        <v>4</v>
      </c>
      <c r="D29" t="str" cm="1">
        <f t="array" ref="D29:F29">_xlfn.TEXTSPLIT(B29,{"X";"x"})</f>
        <v xml:space="preserve"> M1 MM600</v>
      </c>
      <c r="E29" t="str">
        <v>225</v>
      </c>
      <c r="F29" t="str">
        <v>4</v>
      </c>
      <c r="J29" t="e" cm="1">
        <f t="array" ref="J29">_xlfn.IFS(AND(A29="IN",I29&lt;&gt;""), (E29*F29+G29*H29)+I29*(D29-F29-H29),AND(A29="IN",I29=""), (2*E29*F29)+G29*(D29-2*F29),AND(A29="CJ",F29&lt;&gt;""),(D29*E29)-((D29-2*F29)*(E29-2*F29)),AND(A29="CJ",F29=""),ROUND((PI()*(D29/2)^2)-(PI()*(D29/2-E29)^2),0),TRUE,"")</f>
        <v>#VALUE!</v>
      </c>
    </row>
    <row r="30" spans="1:10" x14ac:dyDescent="0.25">
      <c r="A30" t="str">
        <f>CUBICACION!F30</f>
        <v>CJ</v>
      </c>
      <c r="B30" t="str">
        <f>CUBICACION!E30</f>
        <v xml:space="preserve"> M1 MM600X225X4</v>
      </c>
      <c r="C30" s="947">
        <f>CUBICACION!J30</f>
        <v>4</v>
      </c>
      <c r="D30" t="str" cm="1">
        <f t="array" ref="D30:F30">_xlfn.TEXTSPLIT(B30,{"X";"x"})</f>
        <v xml:space="preserve"> M1 MM600</v>
      </c>
      <c r="E30" t="str">
        <v>225</v>
      </c>
      <c r="F30" t="str">
        <v>4</v>
      </c>
      <c r="J30" t="e" cm="1">
        <f t="array" ref="J30">_xlfn.IFS(AND(A30="IN",I30&lt;&gt;""), (E30*F30+G30*H30)+I30*(D30-F30-H30),AND(A30="IN",I30=""), (2*E30*F30)+G30*(D30-2*F30),AND(A30="CJ",F30&lt;&gt;""),(D30*E30)-((D30-2*F30)*(E30-2*F30)),AND(A30="CJ",F30=""),ROUND((PI()*(D30/2)^2)-(PI()*(D30/2-E30)^2),0),TRUE,"")</f>
        <v>#VALUE!</v>
      </c>
    </row>
    <row r="31" spans="1:10" x14ac:dyDescent="0.25">
      <c r="A31" t="str">
        <f>CUBICACION!F31</f>
        <v>CJ</v>
      </c>
      <c r="B31" t="str">
        <f>CUBICACION!E31</f>
        <v>200X100X4</v>
      </c>
      <c r="C31" s="947">
        <f>CUBICACION!J31</f>
        <v>4</v>
      </c>
      <c r="D31" t="str" cm="1">
        <f t="array" ref="D31:F31">_xlfn.TEXTSPLIT(B31,{"X";"x"})</f>
        <v>200</v>
      </c>
      <c r="E31" t="str">
        <v>100</v>
      </c>
      <c r="F31" t="str">
        <v>4</v>
      </c>
      <c r="J31" cm="1">
        <f t="array" ref="J31">_xlfn.IFS(AND(A31="IN",I31&lt;&gt;""), (E31*F31+G31*H31)+I31*(D31-F31-H31),AND(A31="IN",I31=""), (2*E31*F31)+G31*(D31-2*F31),AND(A31="CJ",F31&lt;&gt;""),(D31*E31)-((D31-2*F31)*(E31-2*F31)),AND(A31="CJ",F31=""),ROUND((PI()*(D31/2)^2)-(PI()*(D31/2-E31)^2),0),TRUE,"")</f>
        <v>2336</v>
      </c>
    </row>
    <row r="32" spans="1:10" x14ac:dyDescent="0.25">
      <c r="A32" t="str">
        <f>CUBICACION!F32</f>
        <v>CJ</v>
      </c>
      <c r="B32" t="str">
        <f>CUBICACION!E32</f>
        <v>200X100X4</v>
      </c>
      <c r="C32" s="947">
        <f>CUBICACION!J32</f>
        <v>4</v>
      </c>
      <c r="D32" t="str" cm="1">
        <f t="array" ref="D32:F32">_xlfn.TEXTSPLIT(B32,{"X";"x"})</f>
        <v>200</v>
      </c>
      <c r="E32" t="str">
        <v>100</v>
      </c>
      <c r="F32" t="str">
        <v>4</v>
      </c>
      <c r="J32" cm="1">
        <f t="array" ref="J32">_xlfn.IFS(AND(A32="IN",I32&lt;&gt;""), (E32*F32+G32*H32)+I32*(D32-F32-H32),AND(A32="IN",I32=""), (2*E32*F32)+G32*(D32-2*F32),AND(A32="CJ",F32&lt;&gt;""),(D32*E32)-((D32-2*F32)*(E32-2*F32)),AND(A32="CJ",F32=""),ROUND((PI()*(D32/2)^2)-(PI()*(D32/2-E32)^2),0),TRUE,"")</f>
        <v>2336</v>
      </c>
    </row>
    <row r="33" spans="1:10" x14ac:dyDescent="0.25">
      <c r="A33" t="str">
        <f>CUBICACION!F33</f>
        <v>CJ</v>
      </c>
      <c r="B33" t="str">
        <f>CUBICACION!E33</f>
        <v>200X100X3</v>
      </c>
      <c r="C33" s="947">
        <f>CUBICACION!J33</f>
        <v>4</v>
      </c>
      <c r="D33" t="str" cm="1">
        <f t="array" ref="D33:F33">_xlfn.TEXTSPLIT(B33,{"X";"x"})</f>
        <v>200</v>
      </c>
      <c r="E33" t="str">
        <v>100</v>
      </c>
      <c r="F33" t="str">
        <v>3</v>
      </c>
      <c r="J33" cm="1">
        <f t="array" ref="J33">_xlfn.IFS(AND(A33="IN",I33&lt;&gt;""), (E33*F33+G33*H33)+I33*(D33-F33-H33),AND(A33="IN",I33=""), (2*E33*F33)+G33*(D33-2*F33),AND(A33="CJ",F33&lt;&gt;""),(D33*E33)-((D33-2*F33)*(E33-2*F33)),AND(A33="CJ",F33=""),ROUND((PI()*(D33/2)^2)-(PI()*(D33/2-E33)^2),0),TRUE,"")</f>
        <v>1764</v>
      </c>
    </row>
    <row r="34" spans="1:10" x14ac:dyDescent="0.25">
      <c r="A34" t="str">
        <f>CUBICACION!F34</f>
        <v>CJ</v>
      </c>
      <c r="B34" t="str">
        <f>CUBICACION!E34</f>
        <v>150X150X5</v>
      </c>
      <c r="C34" s="947">
        <f>CUBICACION!J34</f>
        <v>4</v>
      </c>
      <c r="D34" t="str" cm="1">
        <f t="array" ref="D34:F34">_xlfn.TEXTSPLIT(B34,{"X";"x"})</f>
        <v>150</v>
      </c>
      <c r="E34" t="str">
        <v>150</v>
      </c>
      <c r="F34" t="str">
        <v>5</v>
      </c>
      <c r="J34" cm="1">
        <f t="array" ref="J34">_xlfn.IFS(AND(A34="IN",I34&lt;&gt;""), (E34*F34+G34*H34)+I34*(D34-F34-H34),AND(A34="IN",I34=""), (2*E34*F34)+G34*(D34-2*F34),AND(A34="CJ",F34&lt;&gt;""),(D34*E34)-((D34-2*F34)*(E34-2*F34)),AND(A34="CJ",F34=""),ROUND((PI()*(D34/2)^2)-(PI()*(D34/2-E34)^2),0),TRUE,"")</f>
        <v>2900</v>
      </c>
    </row>
    <row r="35" spans="1:10" x14ac:dyDescent="0.25">
      <c r="A35" t="str">
        <f>CUBICACION!F35</f>
        <v>CJ</v>
      </c>
      <c r="B35" t="str">
        <f>CUBICACION!E35</f>
        <v>200X100X4</v>
      </c>
      <c r="C35" s="947">
        <f>CUBICACION!J35</f>
        <v>4</v>
      </c>
      <c r="D35" t="str" cm="1">
        <f t="array" ref="D35:F35">_xlfn.TEXTSPLIT(B35,{"X";"x"})</f>
        <v>200</v>
      </c>
      <c r="E35" t="str">
        <v>100</v>
      </c>
      <c r="F35" t="str">
        <v>4</v>
      </c>
      <c r="J35" cm="1">
        <f t="array" ref="J35">_xlfn.IFS(AND(A35="IN",I35&lt;&gt;""), (E35*F35+G35*H35)+I35*(D35-F35-H35),AND(A35="IN",I35=""), (2*E35*F35)+G35*(D35-2*F35),AND(A35="CJ",F35&lt;&gt;""),(D35*E35)-((D35-2*F35)*(E35-2*F35)),AND(A35="CJ",F35=""),ROUND((PI()*(D35/2)^2)-(PI()*(D35/2-E35)^2),0),TRUE,"")</f>
        <v>2336</v>
      </c>
    </row>
    <row r="36" spans="1:10" x14ac:dyDescent="0.25">
      <c r="A36" t="str">
        <f>CUBICACION!F36</f>
        <v>CJ</v>
      </c>
      <c r="B36" t="str">
        <f>CUBICACION!E36</f>
        <v>200X100X4</v>
      </c>
      <c r="C36" s="947">
        <f>CUBICACION!J36</f>
        <v>4</v>
      </c>
      <c r="D36" t="str" cm="1">
        <f t="array" ref="D36:F36">_xlfn.TEXTSPLIT(B36,{"X";"x"})</f>
        <v>200</v>
      </c>
      <c r="E36" t="str">
        <v>100</v>
      </c>
      <c r="F36" t="str">
        <v>4</v>
      </c>
      <c r="J36" cm="1">
        <f t="array" ref="J36">_xlfn.IFS(AND(A36="IN",I36&lt;&gt;""), (E36*F36+G36*H36)+I36*(D36-F36-H36),AND(A36="IN",I36=""), (2*E36*F36)+G36*(D36-2*F36),AND(A36="CJ",F36&lt;&gt;""),(D36*E36)-((D36-2*F36)*(E36-2*F36)),AND(A36="CJ",F36=""),ROUND((PI()*(D36/2)^2)-(PI()*(D36/2-E36)^2),0),TRUE,"")</f>
        <v>2336</v>
      </c>
    </row>
    <row r="37" spans="1:10" x14ac:dyDescent="0.25">
      <c r="A37" t="str">
        <f>CUBICACION!F37</f>
        <v>CJ</v>
      </c>
      <c r="B37" t="str">
        <f>CUBICACION!E37</f>
        <v>200X100X4</v>
      </c>
      <c r="C37" s="947">
        <f>CUBICACION!J37</f>
        <v>4</v>
      </c>
      <c r="D37" t="str" cm="1">
        <f t="array" ref="D37:F37">_xlfn.TEXTSPLIT(B37,{"X";"x"})</f>
        <v>200</v>
      </c>
      <c r="E37" t="str">
        <v>100</v>
      </c>
      <c r="F37" t="str">
        <v>4</v>
      </c>
      <c r="J37" cm="1">
        <f t="array" ref="J37">_xlfn.IFS(AND(A37="IN",I37&lt;&gt;""), (E37*F37+G37*H37)+I37*(D37-F37-H37),AND(A37="IN",I37=""), (2*E37*F37)+G37*(D37-2*F37),AND(A37="CJ",F37&lt;&gt;""),(D37*E37)-((D37-2*F37)*(E37-2*F37)),AND(A37="CJ",F37=""),ROUND((PI()*(D37/2)^2)-(PI()*(D37/2-E37)^2),0),TRUE,"")</f>
        <v>2336</v>
      </c>
    </row>
    <row r="38" spans="1:10" x14ac:dyDescent="0.25">
      <c r="A38" t="str">
        <f>CUBICACION!F38</f>
        <v>CJ</v>
      </c>
      <c r="B38" t="str">
        <f>CUBICACION!E38</f>
        <v>150X150X5</v>
      </c>
      <c r="C38" s="947">
        <f>CUBICACION!J38</f>
        <v>4</v>
      </c>
      <c r="D38" t="str" cm="1">
        <f t="array" ref="D38:F38">_xlfn.TEXTSPLIT(B38,{"X";"x"})</f>
        <v>150</v>
      </c>
      <c r="E38" t="str">
        <v>150</v>
      </c>
      <c r="F38" t="str">
        <v>5</v>
      </c>
      <c r="J38" cm="1">
        <f t="array" ref="J38">_xlfn.IFS(AND(A38="IN",I38&lt;&gt;""), (E38*F38+G38*H38)+I38*(D38-F38-H38),AND(A38="IN",I38=""), (2*E38*F38)+G38*(D38-2*F38),AND(A38="CJ",F38&lt;&gt;""),(D38*E38)-((D38-2*F38)*(E38-2*F38)),AND(A38="CJ",F38=""),ROUND((PI()*(D38/2)^2)-(PI()*(D38/2-E38)^2),0),TRUE,"")</f>
        <v>2900</v>
      </c>
    </row>
    <row r="39" spans="1:10" x14ac:dyDescent="0.25">
      <c r="A39" t="str">
        <f>CUBICACION!F39</f>
        <v>CJ</v>
      </c>
      <c r="B39" t="str">
        <f>CUBICACION!E39</f>
        <v xml:space="preserve"> M1 MM600X225X4</v>
      </c>
      <c r="C39" s="947">
        <f>CUBICACION!J39</f>
        <v>4</v>
      </c>
      <c r="D39" t="str" cm="1">
        <f t="array" ref="D39:F39">_xlfn.TEXTSPLIT(B39,{"X";"x"})</f>
        <v xml:space="preserve"> M1 MM600</v>
      </c>
      <c r="E39" t="str">
        <v>225</v>
      </c>
      <c r="F39" t="str">
        <v>4</v>
      </c>
      <c r="J39" t="e" cm="1">
        <f t="array" ref="J39">_xlfn.IFS(AND(A39="IN",I39&lt;&gt;""), (E39*F39+G39*H39)+I39*(D39-F39-H39),AND(A39="IN",I39=""), (2*E39*F39)+G39*(D39-2*F39),AND(A39="CJ",F39&lt;&gt;""),(D39*E39)-((D39-2*F39)*(E39-2*F39)),AND(A39="CJ",F39=""),ROUND((PI()*(D39/2)^2)-(PI()*(D39/2-E39)^2),0),TRUE,"")</f>
        <v>#VALUE!</v>
      </c>
    </row>
    <row r="40" spans="1:10" x14ac:dyDescent="0.25">
      <c r="A40" t="str">
        <f>CUBICACION!F40</f>
        <v>CJ</v>
      </c>
      <c r="B40" t="str">
        <f>CUBICACION!E40</f>
        <v>200X100X3</v>
      </c>
      <c r="C40" s="947">
        <f>CUBICACION!J40</f>
        <v>4</v>
      </c>
      <c r="D40" t="str" cm="1">
        <f t="array" ref="D40:F40">_xlfn.TEXTSPLIT(B40,{"X";"x"})</f>
        <v>200</v>
      </c>
      <c r="E40" t="str">
        <v>100</v>
      </c>
      <c r="F40" t="str">
        <v>3</v>
      </c>
      <c r="J40" cm="1">
        <f t="array" ref="J40">_xlfn.IFS(AND(A40="IN",I40&lt;&gt;""), (E40*F40+G40*H40)+I40*(D40-F40-H40),AND(A40="IN",I40=""), (2*E40*F40)+G40*(D40-2*F40),AND(A40="CJ",F40&lt;&gt;""),(D40*E40)-((D40-2*F40)*(E40-2*F40)),AND(A40="CJ",F40=""),ROUND((PI()*(D40/2)^2)-(PI()*(D40/2-E40)^2),0),TRUE,"")</f>
        <v>1764</v>
      </c>
    </row>
    <row r="41" spans="1:10" x14ac:dyDescent="0.25">
      <c r="A41" t="str">
        <f>CUBICACION!F41</f>
        <v>CJ</v>
      </c>
      <c r="B41" t="str">
        <f>CUBICACION!E41</f>
        <v>150X150X5</v>
      </c>
      <c r="C41" s="947">
        <f>CUBICACION!J41</f>
        <v>4</v>
      </c>
      <c r="D41" t="str" cm="1">
        <f t="array" ref="D41:F41">_xlfn.TEXTSPLIT(B41,{"X";"x"})</f>
        <v>150</v>
      </c>
      <c r="E41" t="str">
        <v>150</v>
      </c>
      <c r="F41" t="str">
        <v>5</v>
      </c>
      <c r="J41" cm="1">
        <f t="array" ref="J41">_xlfn.IFS(AND(A41="IN",I41&lt;&gt;""), (E41*F41+G41*H41)+I41*(D41-F41-H41),AND(A41="IN",I41=""), (2*E41*F41)+G41*(D41-2*F41),AND(A41="CJ",F41&lt;&gt;""),(D41*E41)-((D41-2*F41)*(E41-2*F41)),AND(A41="CJ",F41=""),ROUND((PI()*(D41/2)^2)-(PI()*(D41/2-E41)^2),0),TRUE,"")</f>
        <v>2900</v>
      </c>
    </row>
    <row r="42" spans="1:10" x14ac:dyDescent="0.25">
      <c r="A42" t="str">
        <f>CUBICACION!F42</f>
        <v>CJ</v>
      </c>
      <c r="B42" t="str">
        <f>CUBICACION!E42</f>
        <v>150X150X5</v>
      </c>
      <c r="C42" s="947">
        <f>CUBICACION!J42</f>
        <v>4</v>
      </c>
      <c r="D42" t="str" cm="1">
        <f t="array" ref="D42:F42">_xlfn.TEXTSPLIT(B42,{"X";"x"})</f>
        <v>150</v>
      </c>
      <c r="E42" t="str">
        <v>150</v>
      </c>
      <c r="F42" t="str">
        <v>5</v>
      </c>
      <c r="J42" cm="1">
        <f t="array" ref="J42">_xlfn.IFS(AND(A42="IN",I42&lt;&gt;""), (E42*F42+G42*H42)+I42*(D42-F42-H42),AND(A42="IN",I42=""), (2*E42*F42)+G42*(D42-2*F42),AND(A42="CJ",F42&lt;&gt;""),(D42*E42)-((D42-2*F42)*(E42-2*F42)),AND(A42="CJ",F42=""),ROUND((PI()*(D42/2)^2)-(PI()*(D42/2-E42)^2),0),TRUE,"")</f>
        <v>2900</v>
      </c>
    </row>
    <row r="43" spans="1:10" x14ac:dyDescent="0.25">
      <c r="A43" t="str">
        <f>CUBICACION!F43</f>
        <v>CJ</v>
      </c>
      <c r="B43" t="str">
        <f>CUBICACION!E43</f>
        <v>150X150X5</v>
      </c>
      <c r="C43" s="947">
        <f>CUBICACION!J43</f>
        <v>4</v>
      </c>
      <c r="D43" t="str" cm="1">
        <f t="array" ref="D43:F43">_xlfn.TEXTSPLIT(B43,{"X";"x"})</f>
        <v>150</v>
      </c>
      <c r="E43" t="str">
        <v>150</v>
      </c>
      <c r="F43" t="str">
        <v>5</v>
      </c>
      <c r="J43" cm="1">
        <f t="array" ref="J43">_xlfn.IFS(AND(A43="IN",I43&lt;&gt;""), (E43*F43+G43*H43)+I43*(D43-F43-H43),AND(A43="IN",I43=""), (2*E43*F43)+G43*(D43-2*F43),AND(A43="CJ",F43&lt;&gt;""),(D43*E43)-((D43-2*F43)*(E43-2*F43)),AND(A43="CJ",F43=""),ROUND((PI()*(D43/2)^2)-(PI()*(D43/2-E43)^2),0),TRUE,"")</f>
        <v>2900</v>
      </c>
    </row>
    <row r="44" spans="1:10" x14ac:dyDescent="0.25">
      <c r="A44">
        <f>CUBICACION!F44</f>
        <v>0</v>
      </c>
      <c r="B44">
        <f>CUBICACION!E44</f>
        <v>0</v>
      </c>
      <c r="C44" s="947">
        <f>CUBICACION!J44</f>
        <v>4</v>
      </c>
      <c r="D44" t="str" cm="1">
        <f t="array" ref="D44">_xlfn.TEXTSPLIT(B44,{"X";"x"})</f>
        <v>0</v>
      </c>
      <c r="J44" t="str" cm="1">
        <f t="array" ref="J44">_xlfn.IFS(AND(A44="IN",I44&lt;&gt;""), (E44*F44+G44*H44)+I44*(D44-F44-H44),AND(A44="IN",I44=""), (2*E44*F44)+G44*(D44-2*F44),AND(A44="CJ",F44&lt;&gt;""),(D44*E44)-((D44-2*F44)*(E44-2*F44)),AND(A44="CJ",F44=""),ROUND((PI()*(D44/2)^2)-(PI()*(D44/2-E44)^2),0),TRUE,"")</f>
        <v/>
      </c>
    </row>
    <row r="45" spans="1:10" x14ac:dyDescent="0.25">
      <c r="A45">
        <f>CUBICACION!F45</f>
        <v>0</v>
      </c>
      <c r="B45">
        <f>CUBICACION!E45</f>
        <v>0</v>
      </c>
      <c r="C45" s="947">
        <f>CUBICACION!J45</f>
        <v>4</v>
      </c>
      <c r="D45" t="str" cm="1">
        <f t="array" ref="D45">_xlfn.TEXTSPLIT(B45,{"X";"x"})</f>
        <v>0</v>
      </c>
      <c r="J45" t="str" cm="1">
        <f t="array" ref="J45">_xlfn.IFS(AND(A45="IN",I45&lt;&gt;""), (E45*F45+G45*H45)+I45*(D45-F45-H45),AND(A45="IN",I45=""), (2*E45*F45)+G45*(D45-2*F45),AND(A45="CJ",F45&lt;&gt;""),(D45*E45)-((D45-2*F45)*(E45-2*F45)),AND(A45="CJ",F45=""),ROUND((PI()*(D45/2)^2)-(PI()*(D45/2-E45)^2),0),TRUE,"")</f>
        <v/>
      </c>
    </row>
    <row r="46" spans="1:10" x14ac:dyDescent="0.25">
      <c r="A46" t="str">
        <f>CUBICACION!F46</f>
        <v>C</v>
      </c>
      <c r="B46" t="str">
        <f>CUBICACION!E46</f>
        <v>125X50X15X2</v>
      </c>
      <c r="C46" s="947">
        <f>CUBICACION!J46</f>
        <v>3</v>
      </c>
      <c r="D46" t="str" cm="1">
        <f t="array" ref="D46:G46">_xlfn.TEXTSPLIT(B46,{"X";"x"})</f>
        <v>125</v>
      </c>
      <c r="E46" t="str">
        <v>50</v>
      </c>
      <c r="F46" t="str">
        <v>15</v>
      </c>
      <c r="G46" t="str">
        <v>2</v>
      </c>
      <c r="J46" t="str" cm="1">
        <f t="array" ref="J46">_xlfn.IFS(AND(A46="IN",I46&lt;&gt;""), (E46*F46+G46*H46)+I46*(D46-F46-H46),AND(A46="IN",I46=""), (2*E46*F46)+G46*(D46-2*F46),AND(A46="CJ",F46&lt;&gt;""),(D46*E46)-((D46-2*F46)*(E46-2*F46)),AND(A46="CJ",F46=""),ROUND((PI()*(D46/2)^2)-(PI()*(D46/2-E46)^2),0),TRUE,"")</f>
        <v/>
      </c>
    </row>
    <row r="47" spans="1:10" x14ac:dyDescent="0.25">
      <c r="A47" t="str">
        <f>CUBICACION!F47</f>
        <v>CJ</v>
      </c>
      <c r="B47" t="str">
        <f>CUBICACION!E47</f>
        <v>100X100X3</v>
      </c>
      <c r="C47" s="947">
        <f>CUBICACION!J47</f>
        <v>4</v>
      </c>
      <c r="D47" t="str" cm="1">
        <f t="array" ref="D47:F47">_xlfn.TEXTSPLIT(B47,{"X";"x"})</f>
        <v>100</v>
      </c>
      <c r="E47" t="str">
        <v>100</v>
      </c>
      <c r="F47" t="str">
        <v>3</v>
      </c>
      <c r="J47" cm="1">
        <f t="array" ref="J47">_xlfn.IFS(AND(A47="IN",I47&lt;&gt;""), (E47*F47+G47*H47)+I47*(D47-F47-H47),AND(A47="IN",I47=""), (2*E47*F47)+G47*(D47-2*F47),AND(A47="CJ",F47&lt;&gt;""),(D47*E47)-((D47-2*F47)*(E47-2*F47)),AND(A47="CJ",F47=""),ROUND((PI()*(D47/2)^2)-(PI()*(D47/2-E47)^2),0),TRUE,"")</f>
        <v>1164</v>
      </c>
    </row>
    <row r="48" spans="1:10" x14ac:dyDescent="0.25">
      <c r="A48" t="str">
        <f>CUBICACION!F48</f>
        <v>CJ</v>
      </c>
      <c r="B48" t="str">
        <f>CUBICACION!E48</f>
        <v>MM 400X200X4</v>
      </c>
      <c r="C48" s="947">
        <f>CUBICACION!J48</f>
        <v>4</v>
      </c>
      <c r="D48" t="str" cm="1">
        <f t="array" ref="D48:F48">_xlfn.TEXTSPLIT(B48,{"X";"x"})</f>
        <v>MM 400</v>
      </c>
      <c r="E48" t="str">
        <v>200</v>
      </c>
      <c r="F48" t="str">
        <v>4</v>
      </c>
      <c r="J48" t="e" cm="1">
        <f t="array" ref="J48">_xlfn.IFS(AND(A48="IN",I48&lt;&gt;""), (E48*F48+G48*H48)+I48*(D48-F48-H48),AND(A48="IN",I48=""), (2*E48*F48)+G48*(D48-2*F48),AND(A48="CJ",F48&lt;&gt;""),(D48*E48)-((D48-2*F48)*(E48-2*F48)),AND(A48="CJ",F48=""),ROUND((PI()*(D48/2)^2)-(PI()*(D48/2-E48)^2),0),TRUE,"")</f>
        <v>#VALUE!</v>
      </c>
    </row>
    <row r="49" spans="1:10" x14ac:dyDescent="0.25">
      <c r="A49" t="str">
        <f>CUBICACION!F49</f>
        <v>CJ</v>
      </c>
      <c r="B49" t="str">
        <f>CUBICACION!E49</f>
        <v>150X150X5</v>
      </c>
      <c r="C49" s="947">
        <f>CUBICACION!J49</f>
        <v>4</v>
      </c>
      <c r="D49" t="str" cm="1">
        <f t="array" ref="D49:F49">_xlfn.TEXTSPLIT(B49,{"X";"x"})</f>
        <v>150</v>
      </c>
      <c r="E49" t="str">
        <v>150</v>
      </c>
      <c r="F49" t="str">
        <v>5</v>
      </c>
      <c r="J49" cm="1">
        <f t="array" ref="J49">_xlfn.IFS(AND(A49="IN",I49&lt;&gt;""), (E49*F49+G49*H49)+I49*(D49-F49-H49),AND(A49="IN",I49=""), (2*E49*F49)+G49*(D49-2*F49),AND(A49="CJ",F49&lt;&gt;""),(D49*E49)-((D49-2*F49)*(E49-2*F49)),AND(A49="CJ",F49=""),ROUND((PI()*(D49/2)^2)-(PI()*(D49/2-E49)^2),0),TRUE,"")</f>
        <v>2900</v>
      </c>
    </row>
    <row r="50" spans="1:10" x14ac:dyDescent="0.25">
      <c r="A50" t="str">
        <f>CUBICACION!F50</f>
        <v>CJ</v>
      </c>
      <c r="B50" t="str">
        <f>CUBICACION!E50</f>
        <v>200X100X8,5X5,6</v>
      </c>
      <c r="C50" s="947">
        <f>CUBICACION!J50</f>
        <v>3</v>
      </c>
      <c r="D50" t="str" cm="1">
        <f t="array" ref="D50:G50">_xlfn.TEXTSPLIT(B50,{"X";"x"})</f>
        <v>200</v>
      </c>
      <c r="E50" t="str">
        <v>100</v>
      </c>
      <c r="F50" t="str">
        <v>8,5</v>
      </c>
      <c r="G50" t="str">
        <v>5,6</v>
      </c>
      <c r="J50" cm="1">
        <f t="array" ref="J50">_xlfn.IFS(AND(A50="IN",I50&lt;&gt;""), (E50*F50+G50*H50)+I50*(D50-F50-H50),AND(A50="IN",I50=""), (2*E50*F50)+G50*(D50-2*F50),AND(A50="CJ",F50&lt;&gt;""),(D50*E50)-((D50-2*F50)*(E50-2*F50)),AND(A50="CJ",F50=""),ROUND((PI()*(D50/2)^2)-(PI()*(D50/2-E50)^2),0),TRUE,"")</f>
        <v>4811</v>
      </c>
    </row>
    <row r="51" spans="1:10" x14ac:dyDescent="0.25">
      <c r="A51" t="str">
        <f>CUBICACION!F51</f>
        <v>CJ</v>
      </c>
      <c r="B51" t="str">
        <f>CUBICACION!E51</f>
        <v>100X100X3</v>
      </c>
      <c r="C51" s="947">
        <f>CUBICACION!J51</f>
        <v>4</v>
      </c>
      <c r="D51" t="str" cm="1">
        <f t="array" ref="D51:F51">_xlfn.TEXTSPLIT(B51,{"X";"x"})</f>
        <v>100</v>
      </c>
      <c r="E51" t="str">
        <v>100</v>
      </c>
      <c r="F51" t="str">
        <v>3</v>
      </c>
      <c r="J51" cm="1">
        <f t="array" ref="J51">_xlfn.IFS(AND(A51="IN",I51&lt;&gt;""), (E51*F51+G51*H51)+I51*(D51-F51-H51),AND(A51="IN",I51=""), (2*E51*F51)+G51*(D51-2*F51),AND(A51="CJ",F51&lt;&gt;""),(D51*E51)-((D51-2*F51)*(E51-2*F51)),AND(A51="CJ",F51=""),ROUND((PI()*(D51/2)^2)-(PI()*(D51/2-E51)^2),0),TRUE,"")</f>
        <v>1164</v>
      </c>
    </row>
    <row r="52" spans="1:10" x14ac:dyDescent="0.25">
      <c r="A52" t="str">
        <f>CUBICACION!F52</f>
        <v>CJ</v>
      </c>
      <c r="B52" t="str">
        <f>CUBICACION!E52</f>
        <v>200X100X4</v>
      </c>
      <c r="C52" s="947">
        <f>CUBICACION!J52</f>
        <v>4</v>
      </c>
      <c r="D52" t="str" cm="1">
        <f t="array" ref="D52:F52">_xlfn.TEXTSPLIT(B52,{"X";"x"})</f>
        <v>200</v>
      </c>
      <c r="E52" t="str">
        <v>100</v>
      </c>
      <c r="F52" t="str">
        <v>4</v>
      </c>
      <c r="J52" cm="1">
        <f t="array" ref="J52">_xlfn.IFS(AND(A52="IN",I52&lt;&gt;""), (E52*F52+G52*H52)+I52*(D52-F52-H52),AND(A52="IN",I52=""), (2*E52*F52)+G52*(D52-2*F52),AND(A52="CJ",F52&lt;&gt;""),(D52*E52)-((D52-2*F52)*(E52-2*F52)),AND(A52="CJ",F52=""),ROUND((PI()*(D52/2)^2)-(PI()*(D52/2-E52)^2),0),TRUE,"")</f>
        <v>2336</v>
      </c>
    </row>
    <row r="53" spans="1:10" x14ac:dyDescent="0.25">
      <c r="A53" t="str">
        <f>CUBICACION!F53</f>
        <v>CJ</v>
      </c>
      <c r="B53">
        <f>CUBICACION!I53</f>
        <v>3400</v>
      </c>
      <c r="C53" s="947">
        <f>CUBICACION!J53</f>
        <v>4</v>
      </c>
      <c r="D53" t="str" cm="1">
        <f t="array" ref="D53">_xlfn.TEXTSPLIT(B53,{"X";"x"})</f>
        <v>3400</v>
      </c>
      <c r="J53" cm="1">
        <f t="array" ref="J53">_xlfn.IFS(AND(A53="IN",I53&lt;&gt;""), (E53*F53+G53*H53)+I53*(D53-F53-H53),AND(A53="IN",I53=""), (2*E53*F53)+G53*(D53-2*F53),AND(A53="CJ",F53&lt;&gt;""),(D53*E53)-((D53-2*F53)*(E53-2*F53)),AND(A53="CJ",F53=""),ROUND((PI()*(D53/2)^2)-(PI()*(D53/2-E53)^2),0),TRUE,"")</f>
        <v>0</v>
      </c>
    </row>
    <row r="54" spans="1:10" x14ac:dyDescent="0.25">
      <c r="A54" t="str">
        <f>CUBICACION!F54</f>
        <v>CJ</v>
      </c>
      <c r="B54" t="str">
        <f>CUBICACION!E54</f>
        <v>100X100X3</v>
      </c>
      <c r="C54" s="947">
        <f>CUBICACION!J54</f>
        <v>4</v>
      </c>
      <c r="D54" t="str" cm="1">
        <f t="array" ref="D54:F54">_xlfn.TEXTSPLIT(B54,{"X";"x"})</f>
        <v>100</v>
      </c>
      <c r="E54" t="str">
        <v>100</v>
      </c>
      <c r="F54" t="str">
        <v>3</v>
      </c>
      <c r="J54" cm="1">
        <f t="array" ref="J54">_xlfn.IFS(AND(A54="IN",I54&lt;&gt;""), (E54*F54+G54*H54)+I54*(D54-F54-H54),AND(A54="IN",I54=""), (2*E54*F54)+G54*(D54-2*F54),AND(A54="CJ",F54&lt;&gt;""),(D54*E54)-((D54-2*F54)*(E54-2*F54)),AND(A54="CJ",F54=""),ROUND((PI()*(D54/2)^2)-(PI()*(D54/2-E54)^2),0),TRUE,"")</f>
        <v>1164</v>
      </c>
    </row>
    <row r="55" spans="1:10" x14ac:dyDescent="0.25">
      <c r="A55" t="str">
        <f>CUBICACION!F55</f>
        <v>CJ</v>
      </c>
      <c r="B55" t="str">
        <f>CUBICACION!E55</f>
        <v>100X100X3</v>
      </c>
      <c r="C55" s="947">
        <f>CUBICACION!J55</f>
        <v>4</v>
      </c>
      <c r="D55" t="str" cm="1">
        <f t="array" ref="D55:F55">_xlfn.TEXTSPLIT(B55,{"X";"x"})</f>
        <v>100</v>
      </c>
      <c r="E55" t="str">
        <v>100</v>
      </c>
      <c r="F55" t="str">
        <v>3</v>
      </c>
      <c r="J55" cm="1">
        <f t="array" ref="J55">_xlfn.IFS(AND(A55="IN",I55&lt;&gt;""), (E55*F55+G55*H55)+I55*(D55-F55-H55),AND(A55="IN",I55=""), (2*E55*F55)+G55*(D55-2*F55),AND(A55="CJ",F55&lt;&gt;""),(D55*E55)-((D55-2*F55)*(E55-2*F55)),AND(A55="CJ",F55=""),ROUND((PI()*(D55/2)^2)-(PI()*(D55/2-E55)^2),0),TRUE,"")</f>
        <v>1164</v>
      </c>
    </row>
    <row r="56" spans="1:10" x14ac:dyDescent="0.25">
      <c r="A56" t="str">
        <f>CUBICACION!F56</f>
        <v>CJ</v>
      </c>
      <c r="B56" t="str">
        <f>CUBICACION!E56</f>
        <v>100X100X3</v>
      </c>
      <c r="C56" s="947">
        <f>CUBICACION!J56</f>
        <v>4</v>
      </c>
      <c r="D56" t="str" cm="1">
        <f t="array" ref="D56:F56">_xlfn.TEXTSPLIT(B56,{"X";"x"})</f>
        <v>100</v>
      </c>
      <c r="E56" t="str">
        <v>100</v>
      </c>
      <c r="F56" t="str">
        <v>3</v>
      </c>
      <c r="J56" cm="1">
        <f t="array" ref="J56">_xlfn.IFS(AND(A56="IN",I56&lt;&gt;""), (E56*F56+G56*H56)+I56*(D56-F56-H56),AND(A56="IN",I56=""), (2*E56*F56)+G56*(D56-2*F56),AND(A56="CJ",F56&lt;&gt;""),(D56*E56)-((D56-2*F56)*(E56-2*F56)),AND(A56="CJ",F56=""),ROUND((PI()*(D56/2)^2)-(PI()*(D56/2-E56)^2),0),TRUE,"")</f>
        <v>1164</v>
      </c>
    </row>
    <row r="57" spans="1:10" x14ac:dyDescent="0.25">
      <c r="A57" t="str">
        <f>CUBICACION!F57</f>
        <v>CJ</v>
      </c>
      <c r="B57" t="str">
        <f>CUBICACION!E57</f>
        <v>100X100X3</v>
      </c>
      <c r="C57" s="947">
        <f>CUBICACION!J57</f>
        <v>4</v>
      </c>
      <c r="D57" t="str" cm="1">
        <f t="array" ref="D57:F57">_xlfn.TEXTSPLIT(B57,{"X";"x"})</f>
        <v>100</v>
      </c>
      <c r="E57" t="str">
        <v>100</v>
      </c>
      <c r="F57" t="str">
        <v>3</v>
      </c>
      <c r="J57" cm="1">
        <f t="array" ref="J57">_xlfn.IFS(AND(A57="IN",I57&lt;&gt;""), (E57*F57+G57*H57)+I57*(D57-F57-H57),AND(A57="IN",I57=""), (2*E57*F57)+G57*(D57-2*F57),AND(A57="CJ",F57&lt;&gt;""),(D57*E57)-((D57-2*F57)*(E57-2*F57)),AND(A57="CJ",F57=""),ROUND((PI()*(D57/2)^2)-(PI()*(D57/2-E57)^2),0),TRUE,"")</f>
        <v>1164</v>
      </c>
    </row>
    <row r="58" spans="1:10" x14ac:dyDescent="0.25">
      <c r="A58" t="str">
        <f>CUBICACION!F58</f>
        <v>CJ</v>
      </c>
      <c r="B58" t="str">
        <f>CUBICACION!E58</f>
        <v>MM 400X200X4</v>
      </c>
      <c r="C58" s="947">
        <f>CUBICACION!J58</f>
        <v>4</v>
      </c>
      <c r="D58" t="str" cm="1">
        <f t="array" ref="D58:F58">_xlfn.TEXTSPLIT(B58,{"X";"x"})</f>
        <v>MM 400</v>
      </c>
      <c r="E58" t="str">
        <v>200</v>
      </c>
      <c r="F58" t="str">
        <v>4</v>
      </c>
      <c r="J58" t="e" cm="1">
        <f t="array" ref="J58">_xlfn.IFS(AND(A58="IN",I58&lt;&gt;""), (E58*F58+G58*H58)+I58*(D58-F58-H58),AND(A58="IN",I58=""), (2*E58*F58)+G58*(D58-2*F58),AND(A58="CJ",F58&lt;&gt;""),(D58*E58)-((D58-2*F58)*(E58-2*F58)),AND(A58="CJ",F58=""),ROUND((PI()*(D58/2)^2)-(PI()*(D58/2-E58)^2),0),TRUE,"")</f>
        <v>#VALUE!</v>
      </c>
    </row>
    <row r="59" spans="1:10" x14ac:dyDescent="0.25">
      <c r="A59" t="str">
        <f>CUBICACION!F59</f>
        <v>CJ</v>
      </c>
      <c r="B59" t="str">
        <f>CUBICACION!E59</f>
        <v>100X100X3</v>
      </c>
      <c r="C59" s="947">
        <f>CUBICACION!J59</f>
        <v>4</v>
      </c>
      <c r="D59" t="str" cm="1">
        <f t="array" ref="D59:F59">_xlfn.TEXTSPLIT(B59,{"X";"x"})</f>
        <v>100</v>
      </c>
      <c r="E59" t="str">
        <v>100</v>
      </c>
      <c r="F59" t="str">
        <v>3</v>
      </c>
      <c r="J59" cm="1">
        <f t="array" ref="J59">_xlfn.IFS(AND(A59="IN",I59&lt;&gt;""), (E59*F59+G59*H59)+I59*(D59-F59-H59),AND(A59="IN",I59=""), (2*E59*F59)+G59*(D59-2*F59),AND(A59="CJ",F59&lt;&gt;""),(D59*E59)-((D59-2*F59)*(E59-2*F59)),AND(A59="CJ",F59=""),ROUND((PI()*(D59/2)^2)-(PI()*(D59/2-E59)^2),0),TRUE,"")</f>
        <v>1164</v>
      </c>
    </row>
    <row r="60" spans="1:10" x14ac:dyDescent="0.25">
      <c r="A60" t="str">
        <f>CUBICACION!F60</f>
        <v>CJ</v>
      </c>
      <c r="B60" t="str">
        <f>CUBICACION!E60</f>
        <v>200X100X8,5X5,6</v>
      </c>
      <c r="C60" s="947">
        <f>CUBICACION!J60</f>
        <v>3</v>
      </c>
      <c r="D60" t="str" cm="1">
        <f t="array" ref="D60:G60">_xlfn.TEXTSPLIT(B60,{"X";"x"})</f>
        <v>200</v>
      </c>
      <c r="E60" t="str">
        <v>100</v>
      </c>
      <c r="F60" t="str">
        <v>8,5</v>
      </c>
      <c r="G60" t="str">
        <v>5,6</v>
      </c>
      <c r="J60" cm="1">
        <f t="array" ref="J60">_xlfn.IFS(AND(A60="IN",I60&lt;&gt;""), (E60*F60+G60*H60)+I60*(D60-F60-H60),AND(A60="IN",I60=""), (2*E60*F60)+G60*(D60-2*F60),AND(A60="CJ",F60&lt;&gt;""),(D60*E60)-((D60-2*F60)*(E60-2*F60)),AND(A60="CJ",F60=""),ROUND((PI()*(D60/2)^2)-(PI()*(D60/2-E60)^2),0),TRUE,"")</f>
        <v>4811</v>
      </c>
    </row>
    <row r="61" spans="1:10" x14ac:dyDescent="0.25">
      <c r="A61" t="str">
        <f>CUBICACION!F61</f>
        <v>CJ</v>
      </c>
      <c r="B61" t="str">
        <f>CUBICACION!E61</f>
        <v>150X150X5</v>
      </c>
      <c r="C61" s="947">
        <f>CUBICACION!J61</f>
        <v>4</v>
      </c>
      <c r="D61" t="str" cm="1">
        <f t="array" ref="D61:F61">_xlfn.TEXTSPLIT(B61,{"X";"x"})</f>
        <v>150</v>
      </c>
      <c r="E61" t="str">
        <v>150</v>
      </c>
      <c r="F61" t="str">
        <v>5</v>
      </c>
      <c r="J61" cm="1">
        <f t="array" ref="J61">_xlfn.IFS(AND(A61="IN",I61&lt;&gt;""), (E61*F61+G61*H61)+I61*(D61-F61-H61),AND(A61="IN",I61=""), (2*E61*F61)+G61*(D61-2*F61),AND(A61="CJ",F61&lt;&gt;""),(D61*E61)-((D61-2*F61)*(E61-2*F61)),AND(A61="CJ",F61=""),ROUND((PI()*(D61/2)^2)-(PI()*(D61/2-E61)^2),0),TRUE,"")</f>
        <v>2900</v>
      </c>
    </row>
    <row r="62" spans="1:10" x14ac:dyDescent="0.25">
      <c r="A62" t="str">
        <f>CUBICACION!F62</f>
        <v>CJ</v>
      </c>
      <c r="B62" t="str">
        <f>CUBICACION!E62</f>
        <v>100X100X3</v>
      </c>
      <c r="C62" s="947">
        <f>CUBICACION!J62</f>
        <v>4</v>
      </c>
      <c r="D62" t="str" cm="1">
        <f t="array" ref="D62:F62">_xlfn.TEXTSPLIT(B62,{"X";"x"})</f>
        <v>100</v>
      </c>
      <c r="E62" t="str">
        <v>100</v>
      </c>
      <c r="F62" t="str">
        <v>3</v>
      </c>
      <c r="J62" cm="1">
        <f t="array" ref="J62">_xlfn.IFS(AND(A62="IN",I62&lt;&gt;""), (E62*F62+G62*H62)+I62*(D62-F62-H62),AND(A62="IN",I62=""), (2*E62*F62)+G62*(D62-2*F62),AND(A62="CJ",F62&lt;&gt;""),(D62*E62)-((D62-2*F62)*(E62-2*F62)),AND(A62="CJ",F62=""),ROUND((PI()*(D62/2)^2)-(PI()*(D62/2-E62)^2),0),TRUE,"")</f>
        <v>1164</v>
      </c>
    </row>
    <row r="63" spans="1:10" x14ac:dyDescent="0.25">
      <c r="A63" t="str">
        <f>CUBICACION!F63</f>
        <v>CJ</v>
      </c>
      <c r="B63" t="str">
        <f>CUBICACION!E63</f>
        <v>100X100X3</v>
      </c>
      <c r="C63" s="947">
        <f>CUBICACION!J63</f>
        <v>4</v>
      </c>
      <c r="D63" t="str" cm="1">
        <f t="array" ref="D63:F63">_xlfn.TEXTSPLIT(B63,{"X";"x"})</f>
        <v>100</v>
      </c>
      <c r="E63" t="str">
        <v>100</v>
      </c>
      <c r="F63" t="str">
        <v>3</v>
      </c>
      <c r="J63" cm="1">
        <f t="array" ref="J63">_xlfn.IFS(AND(A63="IN",I63&lt;&gt;""), (E63*F63+G63*H63)+I63*(D63-F63-H63),AND(A63="IN",I63=""), (2*E63*F63)+G63*(D63-2*F63),AND(A63="CJ",F63&lt;&gt;""),(D63*E63)-((D63-2*F63)*(E63-2*F63)),AND(A63="CJ",F63=""),ROUND((PI()*(D63/2)^2)-(PI()*(D63/2-E63)^2),0),TRUE,"")</f>
        <v>1164</v>
      </c>
    </row>
    <row r="64" spans="1:10" x14ac:dyDescent="0.25">
      <c r="A64" t="str">
        <f>CUBICACION!F64</f>
        <v>CJ</v>
      </c>
      <c r="B64" t="str">
        <f>CUBICACION!E64</f>
        <v>100X100X3</v>
      </c>
      <c r="C64" s="947">
        <f>CUBICACION!J64</f>
        <v>4</v>
      </c>
      <c r="D64" t="str" cm="1">
        <f t="array" ref="D64:F64">_xlfn.TEXTSPLIT(B64,{"X";"x"})</f>
        <v>100</v>
      </c>
      <c r="E64" t="str">
        <v>100</v>
      </c>
      <c r="F64" t="str">
        <v>3</v>
      </c>
      <c r="J64" cm="1">
        <f t="array" ref="J64">_xlfn.IFS(AND(A64="IN",I64&lt;&gt;""), (E64*F64+G64*H64)+I64*(D64-F64-H64),AND(A64="IN",I64=""), (2*E64*F64)+G64*(D64-2*F64),AND(A64="CJ",F64&lt;&gt;""),(D64*E64)-((D64-2*F64)*(E64-2*F64)),AND(A64="CJ",F64=""),ROUND((PI()*(D64/2)^2)-(PI()*(D64/2-E64)^2),0),TRUE,"")</f>
        <v>1164</v>
      </c>
    </row>
    <row r="65" spans="1:10" x14ac:dyDescent="0.25">
      <c r="A65" t="str">
        <f>CUBICACION!F65</f>
        <v>CJ</v>
      </c>
      <c r="B65" t="str">
        <f>CUBICACION!E65</f>
        <v>100X100X3</v>
      </c>
      <c r="C65" s="947">
        <f>CUBICACION!J65</f>
        <v>4</v>
      </c>
      <c r="D65" t="str" cm="1">
        <f t="array" ref="D65:F65">_xlfn.TEXTSPLIT(B65,{"X";"x"})</f>
        <v>100</v>
      </c>
      <c r="E65" t="str">
        <v>100</v>
      </c>
      <c r="F65" t="str">
        <v>3</v>
      </c>
      <c r="J65" cm="1">
        <f t="array" ref="J65">_xlfn.IFS(AND(A65="IN",I65&lt;&gt;""), (E65*F65+G65*H65)+I65*(D65-F65-H65),AND(A65="IN",I65=""), (2*E65*F65)+G65*(D65-2*F65),AND(A65="CJ",F65&lt;&gt;""),(D65*E65)-((D65-2*F65)*(E65-2*F65)),AND(A65="CJ",F65=""),ROUND((PI()*(D65/2)^2)-(PI()*(D65/2-E65)^2),0),TRUE,"")</f>
        <v>1164</v>
      </c>
    </row>
    <row r="66" spans="1:10" x14ac:dyDescent="0.25">
      <c r="A66" t="str">
        <f>CUBICACION!F66</f>
        <v>CJ</v>
      </c>
      <c r="B66" t="str">
        <f>CUBICACION!E66</f>
        <v>MM 400X200X4</v>
      </c>
      <c r="C66" s="947">
        <f>CUBICACION!J66</f>
        <v>4</v>
      </c>
      <c r="D66" t="str" cm="1">
        <f t="array" ref="D66:F66">_xlfn.TEXTSPLIT(B66,{"X";"x"})</f>
        <v>MM 400</v>
      </c>
      <c r="E66" t="str">
        <v>200</v>
      </c>
      <c r="F66" t="str">
        <v>4</v>
      </c>
      <c r="J66" t="e" cm="1">
        <f t="array" ref="J66">_xlfn.IFS(AND(A66="IN",I66&lt;&gt;""), (E66*F66+G66*H66)+I66*(D66-F66-H66),AND(A66="IN",I66=""), (2*E66*F66)+G66*(D66-2*F66),AND(A66="CJ",F66&lt;&gt;""),(D66*E66)-((D66-2*F66)*(E66-2*F66)),AND(A66="CJ",F66=""),ROUND((PI()*(D66/2)^2)-(PI()*(D66/2-E66)^2),0),TRUE,"")</f>
        <v>#VALUE!</v>
      </c>
    </row>
    <row r="67" spans="1:10" x14ac:dyDescent="0.25">
      <c r="A67" t="str">
        <f>CUBICACION!F67</f>
        <v>CJ</v>
      </c>
      <c r="B67" t="str">
        <f>CUBICACION!E67</f>
        <v>100X100X3</v>
      </c>
      <c r="C67" s="947">
        <f>CUBICACION!J67</f>
        <v>4</v>
      </c>
      <c r="D67" t="str" cm="1">
        <f t="array" ref="D67:F67">_xlfn.TEXTSPLIT(B67,{"X";"x"})</f>
        <v>100</v>
      </c>
      <c r="E67" t="str">
        <v>100</v>
      </c>
      <c r="F67" t="str">
        <v>3</v>
      </c>
      <c r="J67" cm="1">
        <f t="array" ref="J67">_xlfn.IFS(AND(A67="IN",I67&lt;&gt;""), (E67*F67+G67*H67)+I67*(D67-F67-H67),AND(A67="IN",I67=""), (2*E67*F67)+G67*(D67-2*F67),AND(A67="CJ",F67&lt;&gt;""),(D67*E67)-((D67-2*F67)*(E67-2*F67)),AND(A67="CJ",F67=""),ROUND((PI()*(D67/2)^2)-(PI()*(D67/2-E67)^2),0),TRUE,"")</f>
        <v>1164</v>
      </c>
    </row>
    <row r="68" spans="1:10" x14ac:dyDescent="0.25">
      <c r="A68" t="str">
        <f>CUBICACION!F68</f>
        <v>CJ</v>
      </c>
      <c r="B68" t="str">
        <f>CUBICACION!E68</f>
        <v>200X100X4</v>
      </c>
      <c r="C68" s="947">
        <f>CUBICACION!J68</f>
        <v>4</v>
      </c>
      <c r="D68" t="str" cm="1">
        <f t="array" ref="D68:F68">_xlfn.TEXTSPLIT(B68,{"X";"x"})</f>
        <v>200</v>
      </c>
      <c r="E68" t="str">
        <v>100</v>
      </c>
      <c r="F68" t="str">
        <v>4</v>
      </c>
      <c r="J68" cm="1">
        <f t="array" ref="J68">_xlfn.IFS(AND(A68="IN",I68&lt;&gt;""), (E68*F68+G68*H68)+I68*(D68-F68-H68),AND(A68="IN",I68=""), (2*E68*F68)+G68*(D68-2*F68),AND(A68="CJ",F68&lt;&gt;""),(D68*E68)-((D68-2*F68)*(E68-2*F68)),AND(A68="CJ",F68=""),ROUND((PI()*(D68/2)^2)-(PI()*(D68/2-E68)^2),0),TRUE,"")</f>
        <v>2336</v>
      </c>
    </row>
    <row r="69" spans="1:10" x14ac:dyDescent="0.25">
      <c r="A69" t="str">
        <f>CUBICACION!F69</f>
        <v>CJ</v>
      </c>
      <c r="B69" t="str">
        <f>CUBICACION!E69</f>
        <v>100X100X3</v>
      </c>
      <c r="C69" s="947">
        <f>CUBICACION!J69</f>
        <v>4</v>
      </c>
      <c r="D69" t="str" cm="1">
        <f t="array" ref="D69:F69">_xlfn.TEXTSPLIT(B69,{"X";"x"})</f>
        <v>100</v>
      </c>
      <c r="E69" t="str">
        <v>100</v>
      </c>
      <c r="F69" t="str">
        <v>3</v>
      </c>
      <c r="J69" cm="1">
        <f t="array" ref="J69">_xlfn.IFS(AND(A69="IN",I69&lt;&gt;""), (E69*F69+G69*H69)+I69*(D69-F69-H69),AND(A69="IN",I69=""), (2*E69*F69)+G69*(D69-2*F69),AND(A69="CJ",F69&lt;&gt;""),(D69*E69)-((D69-2*F69)*(E69-2*F69)),AND(A69="CJ",F69=""),ROUND((PI()*(D69/2)^2)-(PI()*(D69/2-E69)^2),0),TRUE,"")</f>
        <v>1164</v>
      </c>
    </row>
    <row r="70" spans="1:10" x14ac:dyDescent="0.25">
      <c r="A70" t="str">
        <f>CUBICACION!F70</f>
        <v>CJ</v>
      </c>
      <c r="B70" t="str">
        <f>CUBICACION!E70</f>
        <v>100X100X3</v>
      </c>
      <c r="C70" s="947">
        <f>CUBICACION!J70</f>
        <v>4</v>
      </c>
      <c r="D70" t="str" cm="1">
        <f t="array" ref="D70:F70">_xlfn.TEXTSPLIT(B70,{"X";"x"})</f>
        <v>100</v>
      </c>
      <c r="E70" t="str">
        <v>100</v>
      </c>
      <c r="F70" t="str">
        <v>3</v>
      </c>
      <c r="J70" cm="1">
        <f t="array" ref="J70">_xlfn.IFS(AND(A70="IN",I70&lt;&gt;""), (E70*F70+G70*H70)+I70*(D70-F70-H70),AND(A70="IN",I70=""), (2*E70*F70)+G70*(D70-2*F70),AND(A70="CJ",F70&lt;&gt;""),(D70*E70)-((D70-2*F70)*(E70-2*F70)),AND(A70="CJ",F70=""),ROUND((PI()*(D70/2)^2)-(PI()*(D70/2-E70)^2),0),TRUE,"")</f>
        <v>1164</v>
      </c>
    </row>
    <row r="71" spans="1:10" x14ac:dyDescent="0.25">
      <c r="A71" t="str">
        <f>CUBICACION!F71</f>
        <v>CJ</v>
      </c>
      <c r="B71" t="str">
        <f>CUBICACION!E71</f>
        <v>M1 MM400X200X4</v>
      </c>
      <c r="C71" s="947">
        <f>CUBICACION!J71</f>
        <v>4</v>
      </c>
      <c r="D71" t="str" cm="1">
        <f t="array" ref="D71:F71">_xlfn.TEXTSPLIT(B71,{"X";"x"})</f>
        <v>M1 MM400</v>
      </c>
      <c r="E71" t="str">
        <v>200</v>
      </c>
      <c r="F71" t="str">
        <v>4</v>
      </c>
      <c r="J71" t="e" cm="1">
        <f t="array" ref="J71">_xlfn.IFS(AND(A71="IN",I71&lt;&gt;""), (E71*F71+G71*H71)+I71*(D71-F71-H71),AND(A71="IN",I71=""), (2*E71*F71)+G71*(D71-2*F71),AND(A71="CJ",F71&lt;&gt;""),(D71*E71)-((D71-2*F71)*(E71-2*F71)),AND(A71="CJ",F71=""),ROUND((PI()*(D71/2)^2)-(PI()*(D71/2-E71)^2),0),TRUE,"")</f>
        <v>#VALUE!</v>
      </c>
    </row>
    <row r="72" spans="1:10" x14ac:dyDescent="0.25">
      <c r="A72" t="str">
        <f>CUBICACION!F72</f>
        <v>CJ</v>
      </c>
      <c r="B72" t="str">
        <f>CUBICACION!E72</f>
        <v>200X100X4</v>
      </c>
      <c r="C72" s="947">
        <f>CUBICACION!J72</f>
        <v>4</v>
      </c>
      <c r="D72" t="str" cm="1">
        <f t="array" ref="D72:F72">_xlfn.TEXTSPLIT(B72,{"X";"x"})</f>
        <v>200</v>
      </c>
      <c r="E72" t="str">
        <v>100</v>
      </c>
      <c r="F72" t="str">
        <v>4</v>
      </c>
      <c r="J72" cm="1">
        <f t="array" ref="J72">_xlfn.IFS(AND(A72="IN",I72&lt;&gt;""), (E72*F72+G72*H72)+I72*(D72-F72-H72),AND(A72="IN",I72=""), (2*E72*F72)+G72*(D72-2*F72),AND(A72="CJ",F72&lt;&gt;""),(D72*E72)-((D72-2*F72)*(E72-2*F72)),AND(A72="CJ",F72=""),ROUND((PI()*(D72/2)^2)-(PI()*(D72/2-E72)^2),0),TRUE,"")</f>
        <v>2336</v>
      </c>
    </row>
    <row r="73" spans="1:10" x14ac:dyDescent="0.25">
      <c r="A73" t="str">
        <f>CUBICACION!F73</f>
        <v>CJ</v>
      </c>
      <c r="B73" t="str">
        <f>CUBICACION!E73</f>
        <v>150X150X5</v>
      </c>
      <c r="C73" s="947">
        <f>CUBICACION!J73</f>
        <v>4</v>
      </c>
      <c r="D73" t="str" cm="1">
        <f t="array" ref="D73:F73">_xlfn.TEXTSPLIT(B73,{"X";"x"})</f>
        <v>150</v>
      </c>
      <c r="E73" t="str">
        <v>150</v>
      </c>
      <c r="F73" t="str">
        <v>5</v>
      </c>
      <c r="J73" cm="1">
        <f t="array" ref="J73">_xlfn.IFS(AND(A73="IN",I73&lt;&gt;""), (E73*F73+G73*H73)+I73*(D73-F73-H73),AND(A73="IN",I73=""), (2*E73*F73)+G73*(D73-2*F73),AND(A73="CJ",F73&lt;&gt;""),(D73*E73)-((D73-2*F73)*(E73-2*F73)),AND(A73="CJ",F73=""),ROUND((PI()*(D73/2)^2)-(PI()*(D73/2-E73)^2),0),TRUE,"")</f>
        <v>2900</v>
      </c>
    </row>
    <row r="74" spans="1:10" x14ac:dyDescent="0.25">
      <c r="A74" t="str">
        <f>CUBICACION!F74</f>
        <v>CJ</v>
      </c>
      <c r="B74" t="str">
        <f>CUBICACION!E74</f>
        <v>100X100X3</v>
      </c>
      <c r="C74" s="947">
        <f>CUBICACION!J74</f>
        <v>4</v>
      </c>
      <c r="D74" t="str" cm="1">
        <f t="array" ref="D74:F74">_xlfn.TEXTSPLIT(B74,{"X";"x"})</f>
        <v>100</v>
      </c>
      <c r="E74" t="str">
        <v>100</v>
      </c>
      <c r="F74" t="str">
        <v>3</v>
      </c>
      <c r="J74" cm="1">
        <f t="array" ref="J74">_xlfn.IFS(AND(A74="IN",I74&lt;&gt;""), (E74*F74+G74*H74)+I74*(D74-F74-H74),AND(A74="IN",I74=""), (2*E74*F74)+G74*(D74-2*F74),AND(A74="CJ",F74&lt;&gt;""),(D74*E74)-((D74-2*F74)*(E74-2*F74)),AND(A74="CJ",F74=""),ROUND((PI()*(D74/2)^2)-(PI()*(D74/2-E74)^2),0),TRUE,"")</f>
        <v>1164</v>
      </c>
    </row>
    <row r="75" spans="1:10" x14ac:dyDescent="0.25">
      <c r="A75" t="str">
        <f>CUBICACION!F75</f>
        <v>CJ</v>
      </c>
      <c r="B75" t="str">
        <f>CUBICACION!E75</f>
        <v>100X100X3</v>
      </c>
      <c r="C75" s="947">
        <f>CUBICACION!J75</f>
        <v>4</v>
      </c>
      <c r="D75" t="str" cm="1">
        <f t="array" ref="D75:F75">_xlfn.TEXTSPLIT(B75,{"X";"x"})</f>
        <v>100</v>
      </c>
      <c r="E75" t="str">
        <v>100</v>
      </c>
      <c r="F75" t="str">
        <v>3</v>
      </c>
      <c r="J75" cm="1">
        <f t="array" ref="J75">_xlfn.IFS(AND(A75="IN",I75&lt;&gt;""), (E75*F75+G75*H75)+I75*(D75-F75-H75),AND(A75="IN",I75=""), (2*E75*F75)+G75*(D75-2*F75),AND(A75="CJ",F75&lt;&gt;""),(D75*E75)-((D75-2*F75)*(E75-2*F75)),AND(A75="CJ",F75=""),ROUND((PI()*(D75/2)^2)-(PI()*(D75/2-E75)^2),0),TRUE,"")</f>
        <v>1164</v>
      </c>
    </row>
    <row r="76" spans="1:10" x14ac:dyDescent="0.25">
      <c r="A76" t="str">
        <f>CUBICACION!F76</f>
        <v>CJ</v>
      </c>
      <c r="B76" t="str">
        <f>CUBICACION!E76</f>
        <v>100X100X3</v>
      </c>
      <c r="C76" s="947">
        <f>CUBICACION!J76</f>
        <v>4</v>
      </c>
      <c r="D76" t="str" cm="1">
        <f t="array" ref="D76:F76">_xlfn.TEXTSPLIT(B76,{"X";"x"})</f>
        <v>100</v>
      </c>
      <c r="E76" t="str">
        <v>100</v>
      </c>
      <c r="F76" t="str">
        <v>3</v>
      </c>
      <c r="J76" cm="1">
        <f t="array" ref="J76">_xlfn.IFS(AND(A76="IN",I76&lt;&gt;""), (E76*F76+G76*H76)+I76*(D76-F76-H76),AND(A76="IN",I76=""), (2*E76*F76)+G76*(D76-2*F76),AND(A76="CJ",F76&lt;&gt;""),(D76*E76)-((D76-2*F76)*(E76-2*F76)),AND(A76="CJ",F76=""),ROUND((PI()*(D76/2)^2)-(PI()*(D76/2-E76)^2),0),TRUE,"")</f>
        <v>1164</v>
      </c>
    </row>
    <row r="77" spans="1:10" x14ac:dyDescent="0.25">
      <c r="A77" t="str">
        <f>CUBICACION!F77</f>
        <v>CJ</v>
      </c>
      <c r="B77" t="str">
        <f>CUBICACION!E77</f>
        <v>100X100X3</v>
      </c>
      <c r="C77" s="947">
        <f>CUBICACION!J77</f>
        <v>4</v>
      </c>
      <c r="D77" t="str" cm="1">
        <f t="array" ref="D77:F77">_xlfn.TEXTSPLIT(B77,{"X";"x"})</f>
        <v>100</v>
      </c>
      <c r="E77" t="str">
        <v>100</v>
      </c>
      <c r="F77" t="str">
        <v>3</v>
      </c>
      <c r="J77" cm="1">
        <f t="array" ref="J77">_xlfn.IFS(AND(A77="IN",I77&lt;&gt;""), (E77*F77+G77*H77)+I77*(D77-F77-H77),AND(A77="IN",I77=""), (2*E77*F77)+G77*(D77-2*F77),AND(A77="CJ",F77&lt;&gt;""),(D77*E77)-((D77-2*F77)*(E77-2*F77)),AND(A77="CJ",F77=""),ROUND((PI()*(D77/2)^2)-(PI()*(D77/2-E77)^2),0),TRUE,"")</f>
        <v>1164</v>
      </c>
    </row>
    <row r="78" spans="1:10" x14ac:dyDescent="0.25">
      <c r="A78" t="str">
        <f>CUBICACION!F78</f>
        <v>CJ</v>
      </c>
      <c r="B78" t="str">
        <f>CUBICACION!E78</f>
        <v>150X150X5</v>
      </c>
      <c r="C78" s="947">
        <f>CUBICACION!J78</f>
        <v>4</v>
      </c>
      <c r="D78" t="str" cm="1">
        <f t="array" ref="D78:F78">_xlfn.TEXTSPLIT(B78,{"X";"x"})</f>
        <v>150</v>
      </c>
      <c r="E78" t="str">
        <v>150</v>
      </c>
      <c r="F78" t="str">
        <v>5</v>
      </c>
      <c r="J78" cm="1">
        <f t="array" ref="J78">_xlfn.IFS(AND(A78="IN",I78&lt;&gt;""), (E78*F78+G78*H78)+I78*(D78-F78-H78),AND(A78="IN",I78=""), (2*E78*F78)+G78*(D78-2*F78),AND(A78="CJ",F78&lt;&gt;""),(D78*E78)-((D78-2*F78)*(E78-2*F78)),AND(A78="CJ",F78=""),ROUND((PI()*(D78/2)^2)-(PI()*(D78/2-E78)^2),0),TRUE,"")</f>
        <v>2900</v>
      </c>
    </row>
    <row r="79" spans="1:10" x14ac:dyDescent="0.25">
      <c r="A79" t="str">
        <f>CUBICACION!F79</f>
        <v>CJ</v>
      </c>
      <c r="B79" t="str">
        <f>CUBICACION!E79</f>
        <v>150X150X5</v>
      </c>
      <c r="C79" s="947">
        <f>CUBICACION!J79</f>
        <v>4</v>
      </c>
      <c r="D79" t="str" cm="1">
        <f t="array" ref="D79:F79">_xlfn.TEXTSPLIT(B79,{"X";"x"})</f>
        <v>150</v>
      </c>
      <c r="E79" t="str">
        <v>150</v>
      </c>
      <c r="F79" t="str">
        <v>5</v>
      </c>
      <c r="J79" cm="1">
        <f t="array" ref="J79">_xlfn.IFS(AND(A79="IN",I79&lt;&gt;""), (E79*F79+G79*H79)+I79*(D79-F79-H79),AND(A79="IN",I79=""), (2*E79*F79)+G79*(D79-2*F79),AND(A79="CJ",F79&lt;&gt;""),(D79*E79)-((D79-2*F79)*(E79-2*F79)),AND(A79="CJ",F79=""),ROUND((PI()*(D79/2)^2)-(PI()*(D79/2-E79)^2),0),TRUE,"")</f>
        <v>2900</v>
      </c>
    </row>
    <row r="80" spans="1:10" x14ac:dyDescent="0.25">
      <c r="A80" t="str">
        <f>CUBICACION!F80</f>
        <v>IN</v>
      </c>
      <c r="B80" t="str">
        <f>CUBICACION!E80</f>
        <v>240X120X9,8X6,2</v>
      </c>
      <c r="C80" s="947">
        <f>CUBICACION!J80</f>
        <v>3</v>
      </c>
      <c r="D80" t="str" cm="1">
        <f t="array" ref="D80:G80">_xlfn.TEXTSPLIT(B80,{"X";"x"})</f>
        <v>240</v>
      </c>
      <c r="E80" t="str">
        <v>120</v>
      </c>
      <c r="F80" t="str">
        <v>9,8</v>
      </c>
      <c r="G80" t="str">
        <v>6,2</v>
      </c>
      <c r="J80" cm="1">
        <f t="array" ref="J80">_xlfn.IFS(AND(A80="IN",I80&lt;&gt;""), (E80*F80+G80*H80)+I80*(D80-F80-H80),AND(A80="IN",I80=""), (2*E80*F80)+G80*(D80-2*F80),AND(A80="CJ",F80&lt;&gt;""),(D80*E80)-((D80-2*F80)*(E80-2*F80)),AND(A80="CJ",F80=""),ROUND((PI()*(D80/2)^2)-(PI()*(D80/2-E80)^2),0),TRUE,"")</f>
        <v>3718.48</v>
      </c>
    </row>
    <row r="81" spans="1:10" x14ac:dyDescent="0.25">
      <c r="A81" t="str">
        <f>CUBICACION!F81</f>
        <v>CJ</v>
      </c>
      <c r="B81" t="str">
        <f>CUBICACION!E81</f>
        <v>150X150X5</v>
      </c>
      <c r="C81" s="947">
        <f>CUBICACION!J81</f>
        <v>4</v>
      </c>
      <c r="D81" t="str" cm="1">
        <f t="array" ref="D81:F81">_xlfn.TEXTSPLIT(B81,{"X";"x"})</f>
        <v>150</v>
      </c>
      <c r="E81" t="str">
        <v>150</v>
      </c>
      <c r="F81" t="str">
        <v>5</v>
      </c>
      <c r="J81" cm="1">
        <f t="array" ref="J81">_xlfn.IFS(AND(A81="IN",I81&lt;&gt;""), (E81*F81+G81*H81)+I81*(D81-F81-H81),AND(A81="IN",I81=""), (2*E81*F81)+G81*(D81-2*F81),AND(A81="CJ",F81&lt;&gt;""),(D81*E81)-((D81-2*F81)*(E81-2*F81)),AND(A81="CJ",F81=""),ROUND((PI()*(D81/2)^2)-(PI()*(D81/2-E81)^2),0),TRUE,"")</f>
        <v>2900</v>
      </c>
    </row>
    <row r="82" spans="1:10" x14ac:dyDescent="0.25">
      <c r="A82" t="str">
        <f>CUBICACION!F82</f>
        <v>IN</v>
      </c>
      <c r="B82" t="str">
        <f>CUBICACION!E82</f>
        <v>240X120X9,8X6,2</v>
      </c>
      <c r="C82" s="947">
        <f>CUBICACION!J82</f>
        <v>3</v>
      </c>
      <c r="D82" t="str" cm="1">
        <f t="array" ref="D82:G82">_xlfn.TEXTSPLIT(B82,{"X";"x"})</f>
        <v>240</v>
      </c>
      <c r="E82" t="str">
        <v>120</v>
      </c>
      <c r="F82" t="str">
        <v>9,8</v>
      </c>
      <c r="G82" t="str">
        <v>6,2</v>
      </c>
      <c r="J82" cm="1">
        <f t="array" ref="J82">_xlfn.IFS(AND(A82="IN",I82&lt;&gt;""), (E82*F82+G82*H82)+I82*(D82-F82-H82),AND(A82="IN",I82=""), (2*E82*F82)+G82*(D82-2*F82),AND(A82="CJ",F82&lt;&gt;""),(D82*E82)-((D82-2*F82)*(E82-2*F82)),AND(A82="CJ",F82=""),ROUND((PI()*(D82/2)^2)-(PI()*(D82/2-E82)^2),0),TRUE,"")</f>
        <v>3718.48</v>
      </c>
    </row>
    <row r="83" spans="1:10" x14ac:dyDescent="0.25">
      <c r="A83" t="str">
        <f>CUBICACION!F83</f>
        <v>CJ</v>
      </c>
      <c r="B83" t="str">
        <f>CUBICACION!E83</f>
        <v>100X100X3</v>
      </c>
      <c r="C83" s="947">
        <f>CUBICACION!J83</f>
        <v>4</v>
      </c>
      <c r="D83" t="str" cm="1">
        <f t="array" ref="D83:F83">_xlfn.TEXTSPLIT(B83,{"X";"x"})</f>
        <v>100</v>
      </c>
      <c r="E83" t="str">
        <v>100</v>
      </c>
      <c r="F83" t="str">
        <v>3</v>
      </c>
      <c r="J83" cm="1">
        <f t="array" ref="J83">_xlfn.IFS(AND(A83="IN",I83&lt;&gt;""), (E83*F83+G83*H83)+I83*(D83-F83-H83),AND(A83="IN",I83=""), (2*E83*F83)+G83*(D83-2*F83),AND(A83="CJ",F83&lt;&gt;""),(D83*E83)-((D83-2*F83)*(E83-2*F83)),AND(A83="CJ",F83=""),ROUND((PI()*(D83/2)^2)-(PI()*(D83/2-E83)^2),0),TRUE,"")</f>
        <v>1164</v>
      </c>
    </row>
    <row r="84" spans="1:10" x14ac:dyDescent="0.25">
      <c r="A84" t="str">
        <f>CUBICACION!F84</f>
        <v>CJ</v>
      </c>
      <c r="B84" t="str">
        <f>CUBICACION!E84</f>
        <v>150X150X5</v>
      </c>
      <c r="C84" s="947">
        <f>CUBICACION!J84</f>
        <v>4</v>
      </c>
      <c r="D84" t="str" cm="1">
        <f t="array" ref="D84:F84">_xlfn.TEXTSPLIT(B84,{"X";"x"})</f>
        <v>150</v>
      </c>
      <c r="E84" t="str">
        <v>150</v>
      </c>
      <c r="F84" t="str">
        <v>5</v>
      </c>
      <c r="J84" cm="1">
        <f t="array" ref="J84">_xlfn.IFS(AND(A84="IN",I84&lt;&gt;""), (E84*F84+G84*H84)+I84*(D84-F84-H84),AND(A84="IN",I84=""), (2*E84*F84)+G84*(D84-2*F84),AND(A84="CJ",F84&lt;&gt;""),(D84*E84)-((D84-2*F84)*(E84-2*F84)),AND(A84="CJ",F84=""),ROUND((PI()*(D84/2)^2)-(PI()*(D84/2-E84)^2),0),TRUE,"")</f>
        <v>2900</v>
      </c>
    </row>
    <row r="85" spans="1:10" x14ac:dyDescent="0.25">
      <c r="A85" t="str">
        <f>CUBICACION!F85</f>
        <v>IN</v>
      </c>
      <c r="B85" t="str">
        <f>CUBICACION!E85</f>
        <v>240X120X9,8X6,2</v>
      </c>
      <c r="C85" s="947">
        <f>CUBICACION!J85</f>
        <v>3</v>
      </c>
      <c r="D85" t="str" cm="1">
        <f t="array" ref="D85:G85">_xlfn.TEXTSPLIT(B85,{"X";"x"})</f>
        <v>240</v>
      </c>
      <c r="E85" t="str">
        <v>120</v>
      </c>
      <c r="F85" t="str">
        <v>9,8</v>
      </c>
      <c r="G85" t="str">
        <v>6,2</v>
      </c>
      <c r="J85" cm="1">
        <f t="array" ref="J85">_xlfn.IFS(AND(A85="IN",I85&lt;&gt;""), (E85*F85+G85*H85)+I85*(D85-F85-H85),AND(A85="IN",I85=""), (2*E85*F85)+G85*(D85-2*F85),AND(A85="CJ",F85&lt;&gt;""),(D85*E85)-((D85-2*F85)*(E85-2*F85)),AND(A85="CJ",F85=""),ROUND((PI()*(D85/2)^2)-(PI()*(D85/2-E85)^2),0),TRUE,"")</f>
        <v>3718.48</v>
      </c>
    </row>
    <row r="86" spans="1:10" x14ac:dyDescent="0.25">
      <c r="A86" t="str">
        <f>CUBICACION!F86</f>
        <v>CJ</v>
      </c>
      <c r="B86" t="str">
        <f>CUBICACION!E86</f>
        <v>150X150X5</v>
      </c>
      <c r="C86" s="947">
        <f>CUBICACION!J86</f>
        <v>4</v>
      </c>
      <c r="D86" t="str" cm="1">
        <f t="array" ref="D86:F86">_xlfn.TEXTSPLIT(B86,{"X";"x"})</f>
        <v>150</v>
      </c>
      <c r="E86" t="str">
        <v>150</v>
      </c>
      <c r="F86" t="str">
        <v>5</v>
      </c>
      <c r="J86" cm="1">
        <f t="array" ref="J86">_xlfn.IFS(AND(A86="IN",I86&lt;&gt;""), (E86*F86+G86*H86)+I86*(D86-F86-H86),AND(A86="IN",I86=""), (2*E86*F86)+G86*(D86-2*F86),AND(A86="CJ",F86&lt;&gt;""),(D86*E86)-((D86-2*F86)*(E86-2*F86)),AND(A86="CJ",F86=""),ROUND((PI()*(D86/2)^2)-(PI()*(D86/2-E86)^2),0),TRUE,"")</f>
        <v>2900</v>
      </c>
    </row>
    <row r="87" spans="1:10" x14ac:dyDescent="0.25">
      <c r="A87" t="str">
        <f>CUBICACION!F87</f>
        <v>IN</v>
      </c>
      <c r="B87" t="str">
        <f>CUBICACION!E87</f>
        <v>240X120X9,8X6,2</v>
      </c>
      <c r="C87" s="947">
        <f>CUBICACION!J87</f>
        <v>3</v>
      </c>
      <c r="D87" t="str" cm="1">
        <f t="array" ref="D87:G87">_xlfn.TEXTSPLIT(B87,{"X";"x"})</f>
        <v>240</v>
      </c>
      <c r="E87" t="str">
        <v>120</v>
      </c>
      <c r="F87" t="str">
        <v>9,8</v>
      </c>
      <c r="G87" t="str">
        <v>6,2</v>
      </c>
      <c r="J87" cm="1">
        <f t="array" ref="J87">_xlfn.IFS(AND(A87="IN",I87&lt;&gt;""), (E87*F87+G87*H87)+I87*(D87-F87-H87),AND(A87="IN",I87=""), (2*E87*F87)+G87*(D87-2*F87),AND(A87="CJ",F87&lt;&gt;""),(D87*E87)-((D87-2*F87)*(E87-2*F87)),AND(A87="CJ",F87=""),ROUND((PI()*(D87/2)^2)-(PI()*(D87/2-E87)^2),0),TRUE,"")</f>
        <v>3718.48</v>
      </c>
    </row>
    <row r="88" spans="1:10" x14ac:dyDescent="0.25">
      <c r="A88" t="str">
        <f>CUBICACION!F88</f>
        <v>CJ</v>
      </c>
      <c r="B88" t="str">
        <f>CUBICACION!E88</f>
        <v>100X100X3</v>
      </c>
      <c r="C88" s="947">
        <f>CUBICACION!J88</f>
        <v>4</v>
      </c>
      <c r="D88" t="str" cm="1">
        <f t="array" ref="D88:F88">_xlfn.TEXTSPLIT(B88,{"X";"x"})</f>
        <v>100</v>
      </c>
      <c r="E88" t="str">
        <v>100</v>
      </c>
      <c r="F88" t="str">
        <v>3</v>
      </c>
      <c r="J88" cm="1">
        <f t="array" ref="J88">_xlfn.IFS(AND(A88="IN",I88&lt;&gt;""), (E88*F88+G88*H88)+I88*(D88-F88-H88),AND(A88="IN",I88=""), (2*E88*F88)+G88*(D88-2*F88),AND(A88="CJ",F88&lt;&gt;""),(D88*E88)-((D88-2*F88)*(E88-2*F88)),AND(A88="CJ",F88=""),ROUND((PI()*(D88/2)^2)-(PI()*(D88/2-E88)^2),0),TRUE,"")</f>
        <v>1164</v>
      </c>
    </row>
    <row r="89" spans="1:10" x14ac:dyDescent="0.25">
      <c r="A89" t="str">
        <f>CUBICACION!F89</f>
        <v>CJ</v>
      </c>
      <c r="B89" t="str">
        <f>CUBICACION!E89</f>
        <v>100X100X3</v>
      </c>
      <c r="C89" s="947">
        <f>CUBICACION!J89</f>
        <v>4</v>
      </c>
      <c r="D89" t="str" cm="1">
        <f t="array" ref="D89:F89">_xlfn.TEXTSPLIT(B89,{"X";"x"})</f>
        <v>100</v>
      </c>
      <c r="E89" t="str">
        <v>100</v>
      </c>
      <c r="F89" t="str">
        <v>3</v>
      </c>
      <c r="J89" cm="1">
        <f t="array" ref="J89">_xlfn.IFS(AND(A89="IN",I89&lt;&gt;""), (E89*F89+G89*H89)+I89*(D89-F89-H89),AND(A89="IN",I89=""), (2*E89*F89)+G89*(D89-2*F89),AND(A89="CJ",F89&lt;&gt;""),(D89*E89)-((D89-2*F89)*(E89-2*F89)),AND(A89="CJ",F89=""),ROUND((PI()*(D89/2)^2)-(PI()*(D89/2-E89)^2),0),TRUE,"")</f>
        <v>1164</v>
      </c>
    </row>
    <row r="90" spans="1:10" x14ac:dyDescent="0.25">
      <c r="A90" t="str">
        <f>CUBICACION!F90</f>
        <v>CJ</v>
      </c>
      <c r="B90" t="str">
        <f>CUBICACION!E90</f>
        <v>100X100X3</v>
      </c>
      <c r="C90" s="947">
        <f>CUBICACION!J90</f>
        <v>4</v>
      </c>
      <c r="D90" t="str" cm="1">
        <f t="array" ref="D90:F90">_xlfn.TEXTSPLIT(B90,{"X";"x"})</f>
        <v>100</v>
      </c>
      <c r="E90" t="str">
        <v>100</v>
      </c>
      <c r="F90" t="str">
        <v>3</v>
      </c>
      <c r="J90" cm="1">
        <f t="array" ref="J90">_xlfn.IFS(AND(A90="IN",I90&lt;&gt;""), (E90*F90+G90*H90)+I90*(D90-F90-H90),AND(A90="IN",I90=""), (2*E90*F90)+G90*(D90-2*F90),AND(A90="CJ",F90&lt;&gt;""),(D90*E90)-((D90-2*F90)*(E90-2*F90)),AND(A90="CJ",F90=""),ROUND((PI()*(D90/2)^2)-(PI()*(D90/2-E90)^2),0),TRUE,"")</f>
        <v>1164</v>
      </c>
    </row>
    <row r="91" spans="1:10" x14ac:dyDescent="0.25">
      <c r="A91" t="str">
        <f>CUBICACION!F91</f>
        <v>CJ</v>
      </c>
      <c r="B91" t="str">
        <f>CUBICACION!E91</f>
        <v>200X100X4</v>
      </c>
      <c r="C91" s="947">
        <f>CUBICACION!J91</f>
        <v>4</v>
      </c>
      <c r="D91" t="str" cm="1">
        <f t="array" ref="D91:F91">_xlfn.TEXTSPLIT(B91,{"X";"x"})</f>
        <v>200</v>
      </c>
      <c r="E91" t="str">
        <v>100</v>
      </c>
      <c r="F91" t="str">
        <v>4</v>
      </c>
      <c r="J91" cm="1">
        <f t="array" ref="J91">_xlfn.IFS(AND(A91="IN",I91&lt;&gt;""), (E91*F91+G91*H91)+I91*(D91-F91-H91),AND(A91="IN",I91=""), (2*E91*F91)+G91*(D91-2*F91),AND(A91="CJ",F91&lt;&gt;""),(D91*E91)-((D91-2*F91)*(E91-2*F91)),AND(A91="CJ",F91=""),ROUND((PI()*(D91/2)^2)-(PI()*(D91/2-E91)^2),0),TRUE,"")</f>
        <v>2336</v>
      </c>
    </row>
    <row r="92" spans="1:10" x14ac:dyDescent="0.25">
      <c r="A92" t="str">
        <f>CUBICACION!F92</f>
        <v>C</v>
      </c>
      <c r="B92" t="str">
        <f>CUBICACION!E92</f>
        <v>125X50X15X2</v>
      </c>
      <c r="C92" s="947">
        <f>CUBICACION!J92</f>
        <v>3</v>
      </c>
      <c r="D92" t="str" cm="1">
        <f t="array" ref="D92:G92">_xlfn.TEXTSPLIT(B92,{"X";"x"})</f>
        <v>125</v>
      </c>
      <c r="E92" t="str">
        <v>50</v>
      </c>
      <c r="F92" t="str">
        <v>15</v>
      </c>
      <c r="G92" t="str">
        <v>2</v>
      </c>
      <c r="J92" t="str" cm="1">
        <f t="array" ref="J92">_xlfn.IFS(AND(A92="IN",I92&lt;&gt;""), (E92*F92+G92*H92)+I92*(D92-F92-H92),AND(A92="IN",I92=""), (2*E92*F92)+G92*(D92-2*F92),AND(A92="CJ",F92&lt;&gt;""),(D92*E92)-((D92-2*F92)*(E92-2*F92)),AND(A92="CJ",F92=""),ROUND((PI()*(D92/2)^2)-(PI()*(D92/2-E92)^2),0),TRUE,"")</f>
        <v/>
      </c>
    </row>
    <row r="93" spans="1:10" x14ac:dyDescent="0.25">
      <c r="A93" t="str">
        <f>CUBICACION!F93</f>
        <v>CJ</v>
      </c>
      <c r="B93" t="str">
        <f>CUBICACION!E93</f>
        <v>100X100X3</v>
      </c>
      <c r="C93" s="947">
        <f>CUBICACION!J93</f>
        <v>4</v>
      </c>
      <c r="D93" t="str" cm="1">
        <f t="array" ref="D93:F93">_xlfn.TEXTSPLIT(B93,{"X";"x"})</f>
        <v>100</v>
      </c>
      <c r="E93" t="str">
        <v>100</v>
      </c>
      <c r="F93" t="str">
        <v>3</v>
      </c>
      <c r="J93" cm="1">
        <f t="array" ref="J93">_xlfn.IFS(AND(A93="IN",I93&lt;&gt;""), (E93*F93+G93*H93)+I93*(D93-F93-H93),AND(A93="IN",I93=""), (2*E93*F93)+G93*(D93-2*F93),AND(A93="CJ",F93&lt;&gt;""),(D93*E93)-((D93-2*F93)*(E93-2*F93)),AND(A93="CJ",F93=""),ROUND((PI()*(D93/2)^2)-(PI()*(D93/2-E93)^2),0),TRUE,"")</f>
        <v>1164</v>
      </c>
    </row>
    <row r="94" spans="1:10" x14ac:dyDescent="0.25">
      <c r="A94" t="str">
        <f>CUBICACION!F94</f>
        <v>-</v>
      </c>
      <c r="B94" t="str">
        <f>CUBICACION!E94</f>
        <v>-</v>
      </c>
      <c r="C94" s="947">
        <f>CUBICACION!J94</f>
        <v>1</v>
      </c>
      <c r="D94" t="str" cm="1">
        <f t="array" ref="D94">_xlfn.TEXTSPLIT(B94,{"X";"x"})</f>
        <v>-</v>
      </c>
      <c r="J94" t="str" cm="1">
        <f t="array" ref="J94">_xlfn.IFS(AND(A94="IN",I94&lt;&gt;""), (E94*F94+G94*H94)+I94*(D94-F94-H94),AND(A94="IN",I94=""), (2*E94*F94)+G94*(D94-2*F94),AND(A94="CJ",F94&lt;&gt;""),(D94*E94)-((D94-2*F94)*(E94-2*F94)),AND(A94="CJ",F94=""),ROUND((PI()*(D94/2)^2)-(PI()*(D94/2-E94)^2),0),TRUE,"")</f>
        <v/>
      </c>
    </row>
    <row r="95" spans="1:10" x14ac:dyDescent="0.25">
      <c r="A95" t="str">
        <f>CUBICACION!F95</f>
        <v>-</v>
      </c>
      <c r="B95" t="str">
        <f>CUBICACION!E95</f>
        <v>-</v>
      </c>
      <c r="C95" s="947">
        <f>CUBICACION!J95</f>
        <v>1</v>
      </c>
      <c r="D95" t="str" cm="1">
        <f t="array" ref="D95">_xlfn.TEXTSPLIT(B95,{"X";"x"})</f>
        <v>-</v>
      </c>
      <c r="J95" t="str" cm="1">
        <f t="array" ref="J95">_xlfn.IFS(AND(A95="IN",I95&lt;&gt;""), (E95*F95+G95*H95)+I95*(D95-F95-H95),AND(A95="IN",I95=""), (2*E95*F95)+G95*(D95-2*F95),AND(A95="CJ",F95&lt;&gt;""),(D95*E95)-((D95-2*F95)*(E95-2*F95)),AND(A95="CJ",F95=""),ROUND((PI()*(D95/2)^2)-(PI()*(D95/2-E95)^2),0),TRUE,"")</f>
        <v/>
      </c>
    </row>
    <row r="96" spans="1:10" x14ac:dyDescent="0.25">
      <c r="A96" t="str">
        <f>CUBICACION!F96</f>
        <v>IN</v>
      </c>
      <c r="B96" t="str">
        <f>CUBICACION!E96</f>
        <v>200X100X8,5X5,6</v>
      </c>
      <c r="C96" s="947">
        <f>CUBICACION!J96</f>
        <v>3</v>
      </c>
      <c r="D96" t="str" cm="1">
        <f t="array" ref="D96:G96">_xlfn.TEXTSPLIT(B96,{"X";"x"})</f>
        <v>200</v>
      </c>
      <c r="E96" t="str">
        <v>100</v>
      </c>
      <c r="F96" t="str">
        <v>8,5</v>
      </c>
      <c r="G96" t="str">
        <v>5,6</v>
      </c>
      <c r="J96" cm="1">
        <f t="array" ref="J96">_xlfn.IFS(AND(A96="IN",I96&lt;&gt;""), (E96*F96+G96*H96)+I96*(D96-F96-H96),AND(A96="IN",I96=""), (2*E96*F96)+G96*(D96-2*F96),AND(A96="CJ",F96&lt;&gt;""),(D96*E96)-((D96-2*F96)*(E96-2*F96)),AND(A96="CJ",F96=""),ROUND((PI()*(D96/2)^2)-(PI()*(D96/2-E96)^2),0),TRUE,"")</f>
        <v>2724.8</v>
      </c>
    </row>
    <row r="97" spans="1:10" x14ac:dyDescent="0.25">
      <c r="A97" t="str">
        <f>CUBICACION!F97</f>
        <v>IN</v>
      </c>
      <c r="B97" t="str">
        <f>CUBICACION!E97</f>
        <v>200X100X8,5X5,6</v>
      </c>
      <c r="C97" s="947">
        <f>CUBICACION!J97</f>
        <v>3</v>
      </c>
      <c r="D97" t="str" cm="1">
        <f t="array" ref="D97:G97">_xlfn.TEXTSPLIT(B97,{"X";"x"})</f>
        <v>200</v>
      </c>
      <c r="E97" t="str">
        <v>100</v>
      </c>
      <c r="F97" t="str">
        <v>8,5</v>
      </c>
      <c r="G97" t="str">
        <v>5,6</v>
      </c>
      <c r="J97" cm="1">
        <f t="array" ref="J97">_xlfn.IFS(AND(A97="IN",I97&lt;&gt;""), (E97*F97+G97*H97)+I97*(D97-F97-H97),AND(A97="IN",I97=""), (2*E97*F97)+G97*(D97-2*F97),AND(A97="CJ",F97&lt;&gt;""),(D97*E97)-((D97-2*F97)*(E97-2*F97)),AND(A97="CJ",F97=""),ROUND((PI()*(D97/2)^2)-(PI()*(D97/2-E97)^2),0),TRUE,"")</f>
        <v>2724.8</v>
      </c>
    </row>
    <row r="98" spans="1:10" x14ac:dyDescent="0.25">
      <c r="A98" t="str">
        <f>CUBICACION!F98</f>
        <v>IN</v>
      </c>
      <c r="B98" t="str">
        <f>CUBICACION!E98</f>
        <v>240X120X9,8X6,2</v>
      </c>
      <c r="C98" s="947">
        <f>CUBICACION!J98</f>
        <v>3</v>
      </c>
      <c r="D98" t="str" cm="1">
        <f t="array" ref="D98:G98">_xlfn.TEXTSPLIT(B98,{"X";"x"})</f>
        <v>240</v>
      </c>
      <c r="E98" t="str">
        <v>120</v>
      </c>
      <c r="F98" t="str">
        <v>9,8</v>
      </c>
      <c r="G98" t="str">
        <v>6,2</v>
      </c>
      <c r="J98" cm="1">
        <f t="array" ref="J98">_xlfn.IFS(AND(A98="IN",I98&lt;&gt;""), (E98*F98+G98*H98)+I98*(D98-F98-H98),AND(A98="IN",I98=""), (2*E98*F98)+G98*(D98-2*F98),AND(A98="CJ",F98&lt;&gt;""),(D98*E98)-((D98-2*F98)*(E98-2*F98)),AND(A98="CJ",F98=""),ROUND((PI()*(D98/2)^2)-(PI()*(D98/2-E98)^2),0),TRUE,"")</f>
        <v>3718.48</v>
      </c>
    </row>
    <row r="99" spans="1:10" x14ac:dyDescent="0.25">
      <c r="A99">
        <f>CUBICACION!F99</f>
        <v>0</v>
      </c>
      <c r="B99">
        <f>CUBICACION!E99</f>
        <v>0</v>
      </c>
      <c r="C99" s="947">
        <f>CUBICACION!J99</f>
        <v>3</v>
      </c>
      <c r="D99" t="str" cm="1">
        <f t="array" ref="D99">_xlfn.TEXTSPLIT(B99,{"X";"x"})</f>
        <v>0</v>
      </c>
      <c r="J99" t="str" cm="1">
        <f t="array" ref="J99">_xlfn.IFS(AND(A99="IN",I99&lt;&gt;""), (E99*F99+G99*H99)+I99*(D99-F99-H99),AND(A99="IN",I99=""), (2*E99*F99)+G99*(D99-2*F99),AND(A99="CJ",F99&lt;&gt;""),(D99*E99)-((D99-2*F99)*(E99-2*F99)),AND(A99="CJ",F99=""),ROUND((PI()*(D99/2)^2)-(PI()*(D99/2-E99)^2),0),TRUE,"")</f>
        <v/>
      </c>
    </row>
    <row r="100" spans="1:10" x14ac:dyDescent="0.25">
      <c r="A100">
        <f>CUBICACION!F100</f>
        <v>0</v>
      </c>
      <c r="B100">
        <f>CUBICACION!E100</f>
        <v>0</v>
      </c>
      <c r="C100" s="947">
        <f>CUBICACION!J100</f>
        <v>4</v>
      </c>
      <c r="D100" t="str" cm="1">
        <f t="array" ref="D100">_xlfn.TEXTSPLIT(B100,{"X";"x"})</f>
        <v>0</v>
      </c>
      <c r="J100" t="str" cm="1">
        <f t="array" ref="J100">_xlfn.IFS(AND(A100="IN",I100&lt;&gt;""), (E100*F100+G100*H100)+I100*(D100-F100-H100),AND(A100="IN",I100=""), (2*E100*F100)+G100*(D100-2*F100),AND(A100="CJ",F100&lt;&gt;""),(D100*E100)-((D100-2*F100)*(E100-2*F100)),AND(A100="CJ",F100=""),ROUND((PI()*(D100/2)^2)-(PI()*(D100/2-E100)^2),0),TRUE,"")</f>
        <v/>
      </c>
    </row>
    <row r="101" spans="1:10" x14ac:dyDescent="0.25">
      <c r="A101">
        <f>CUBICACION!F101</f>
        <v>0</v>
      </c>
      <c r="B101">
        <f>CUBICACION!E101</f>
        <v>0</v>
      </c>
      <c r="C101" s="947">
        <f>CUBICACION!J101</f>
        <v>4</v>
      </c>
      <c r="D101" t="str" cm="1">
        <f t="array" ref="D101">_xlfn.TEXTSPLIT(B101,{"X";"x"})</f>
        <v>0</v>
      </c>
      <c r="J101" t="str" cm="1">
        <f t="array" ref="J101">_xlfn.IFS(AND(A101="IN",I101&lt;&gt;""), (E101*F101+G101*H101)+I101*(D101-F101-H101),AND(A101="IN",I101=""), (2*E101*F101)+G101*(D101-2*F101),AND(A101="CJ",F101&lt;&gt;""),(D101*E101)-((D101-2*F101)*(E101-2*F101)),AND(A101="CJ",F101=""),ROUND((PI()*(D101/2)^2)-(PI()*(D101/2-E101)^2),0),TRUE,"")</f>
        <v/>
      </c>
    </row>
    <row r="102" spans="1:10" x14ac:dyDescent="0.25">
      <c r="A102">
        <f>CUBICACION!F102</f>
        <v>0</v>
      </c>
      <c r="B102">
        <f>CUBICACION!E102</f>
        <v>0</v>
      </c>
      <c r="C102" s="947">
        <f>CUBICACION!J102</f>
        <v>4</v>
      </c>
      <c r="D102" t="str" cm="1">
        <f t="array" ref="D102">_xlfn.TEXTSPLIT(B102,{"X";"x"})</f>
        <v>0</v>
      </c>
      <c r="J102" t="str" cm="1">
        <f t="array" ref="J102">_xlfn.IFS(AND(A102="IN",I102&lt;&gt;""), (E102*F102+G102*H102)+I102*(D102-F102-H102),AND(A102="IN",I102=""), (2*E102*F102)+G102*(D102-2*F102),AND(A102="CJ",F102&lt;&gt;""),(D102*E102)-((D102-2*F102)*(E102-2*F102)),AND(A102="CJ",F102=""),ROUND((PI()*(D102/2)^2)-(PI()*(D102/2-E102)^2),0),TRUE,"")</f>
        <v/>
      </c>
    </row>
    <row r="103" spans="1:10" x14ac:dyDescent="0.25">
      <c r="A103">
        <f>CUBICACION!F103</f>
        <v>0</v>
      </c>
      <c r="B103">
        <f>CUBICACION!E103</f>
        <v>0</v>
      </c>
      <c r="C103" s="947">
        <f>CUBICACION!J103</f>
        <v>4</v>
      </c>
      <c r="D103" t="str" cm="1">
        <f t="array" ref="D103">_xlfn.TEXTSPLIT(B103,{"X";"x"})</f>
        <v>0</v>
      </c>
      <c r="J103" t="str" cm="1">
        <f t="array" ref="J103">_xlfn.IFS(AND(A103="IN",I103&lt;&gt;""), (E103*F103+G103*H103)+I103*(D103-F103-H103),AND(A103="IN",I103=""), (2*E103*F103)+G103*(D103-2*F103),AND(A103="CJ",F103&lt;&gt;""),(D103*E103)-((D103-2*F103)*(E103-2*F103)),AND(A103="CJ",F103=""),ROUND((PI()*(D103/2)^2)-(PI()*(D103/2-E103)^2),0),TRUE,"")</f>
        <v/>
      </c>
    </row>
    <row r="104" spans="1:10" x14ac:dyDescent="0.25">
      <c r="A104">
        <f>CUBICACION!F104</f>
        <v>0</v>
      </c>
      <c r="B104">
        <f>CUBICACION!E104</f>
        <v>0</v>
      </c>
      <c r="C104" s="947">
        <f>CUBICACION!J104</f>
        <v>4</v>
      </c>
      <c r="D104" t="str" cm="1">
        <f t="array" ref="D104">_xlfn.TEXTSPLIT(B104,{"X";"x"})</f>
        <v>0</v>
      </c>
      <c r="J104" t="str" cm="1">
        <f t="array" ref="J104">_xlfn.IFS(AND(A104="IN",I104&lt;&gt;""), (E104*F104+G104*H104)+I104*(D104-F104-H104),AND(A104="IN",I104=""), (2*E104*F104)+G104*(D104-2*F104),AND(A104="CJ",F104&lt;&gt;""),(D104*E104)-((D104-2*F104)*(E104-2*F104)),AND(A104="CJ",F104=""),ROUND((PI()*(D104/2)^2)-(PI()*(D104/2-E104)^2),0),TRUE,"")</f>
        <v/>
      </c>
    </row>
    <row r="105" spans="1:10" x14ac:dyDescent="0.25">
      <c r="A105">
        <f>CUBICACION!F105</f>
        <v>0</v>
      </c>
      <c r="B105">
        <f>CUBICACION!E105</f>
        <v>0</v>
      </c>
      <c r="C105" s="947">
        <f>CUBICACION!J105</f>
        <v>4</v>
      </c>
      <c r="D105" t="str" cm="1">
        <f t="array" ref="D105">_xlfn.TEXTSPLIT(B105,{"X";"x"})</f>
        <v>0</v>
      </c>
      <c r="J105" t="str" cm="1">
        <f t="array" ref="J105">_xlfn.IFS(AND(A105="IN",I105&lt;&gt;""), (E105*F105+G105*H105)+I105*(D105-F105-H105),AND(A105="IN",I105=""), (2*E105*F105)+G105*(D105-2*F105),AND(A105="CJ",F105&lt;&gt;""),(D105*E105)-((D105-2*F105)*(E105-2*F105)),AND(A105="CJ",F105=""),ROUND((PI()*(D105/2)^2)-(PI()*(D105/2-E105)^2),0),TRUE,"")</f>
        <v/>
      </c>
    </row>
    <row r="106" spans="1:10" x14ac:dyDescent="0.25">
      <c r="A106">
        <f>CUBICACION!F106</f>
        <v>0</v>
      </c>
      <c r="B106">
        <f>CUBICACION!E106</f>
        <v>0</v>
      </c>
      <c r="C106" s="947">
        <f>CUBICACION!J106</f>
        <v>4</v>
      </c>
      <c r="D106" t="str" cm="1">
        <f t="array" ref="D106">_xlfn.TEXTSPLIT(B106,{"X";"x"})</f>
        <v>0</v>
      </c>
      <c r="J106" t="str" cm="1">
        <f t="array" ref="J106">_xlfn.IFS(AND(A106="IN",I106&lt;&gt;""), (E106*F106+G106*H106)+I106*(D106-F106-H106),AND(A106="IN",I106=""), (2*E106*F106)+G106*(D106-2*F106),AND(A106="CJ",F106&lt;&gt;""),(D106*E106)-((D106-2*F106)*(E106-2*F106)),AND(A106="CJ",F106=""),ROUND((PI()*(D106/2)^2)-(PI()*(D106/2-E106)^2),0),TRUE,"")</f>
        <v/>
      </c>
    </row>
    <row r="107" spans="1:10" x14ac:dyDescent="0.25">
      <c r="A107">
        <f>CUBICACION!F107</f>
        <v>0</v>
      </c>
      <c r="B107">
        <f>CUBICACION!E107</f>
        <v>0</v>
      </c>
      <c r="C107" s="947">
        <f>CUBICACION!J107</f>
        <v>4</v>
      </c>
      <c r="D107" t="str" cm="1">
        <f t="array" ref="D107">_xlfn.TEXTSPLIT(B107,{"X";"x"})</f>
        <v>0</v>
      </c>
      <c r="J107" t="str" cm="1">
        <f t="array" ref="J107">_xlfn.IFS(AND(A107="IN",I107&lt;&gt;""), (E107*F107+G107*H107)+I107*(D107-F107-H107),AND(A107="IN",I107=""), (2*E107*F107)+G107*(D107-2*F107),AND(A107="CJ",F107&lt;&gt;""),(D107*E107)-((D107-2*F107)*(E107-2*F107)),AND(A107="CJ",F107=""),ROUND((PI()*(D107/2)^2)-(PI()*(D107/2-E107)^2),0),TRUE,"")</f>
        <v/>
      </c>
    </row>
    <row r="108" spans="1:10" x14ac:dyDescent="0.25">
      <c r="A108">
        <f>CUBICACION!F108</f>
        <v>0</v>
      </c>
      <c r="B108">
        <f>CUBICACION!E108</f>
        <v>0</v>
      </c>
      <c r="C108" s="947">
        <f>CUBICACION!J108</f>
        <v>4</v>
      </c>
      <c r="D108" t="str" cm="1">
        <f t="array" ref="D108">_xlfn.TEXTSPLIT(B108,{"X";"x"})</f>
        <v>0</v>
      </c>
      <c r="J108" t="str" cm="1">
        <f t="array" ref="J108">_xlfn.IFS(AND(A108="IN",I108&lt;&gt;""), (E108*F108+G108*H108)+I108*(D108-F108-H108),AND(A108="IN",I108=""), (2*E108*F108)+G108*(D108-2*F108),AND(A108="CJ",F108&lt;&gt;""),(D108*E108)-((D108-2*F108)*(E108-2*F108)),AND(A108="CJ",F108=""),ROUND((PI()*(D108/2)^2)-(PI()*(D108/2-E108)^2),0),TRUE,"")</f>
        <v/>
      </c>
    </row>
    <row r="109" spans="1:10" x14ac:dyDescent="0.25">
      <c r="A109">
        <f>CUBICACION!F109</f>
        <v>0</v>
      </c>
      <c r="B109">
        <f>CUBICACION!E109</f>
        <v>0</v>
      </c>
      <c r="C109" s="947">
        <f>CUBICACION!J109</f>
        <v>4</v>
      </c>
      <c r="D109" t="str" cm="1">
        <f t="array" ref="D109">_xlfn.TEXTSPLIT(B109,{"X";"x"})</f>
        <v>0</v>
      </c>
      <c r="J109" t="str" cm="1">
        <f t="array" ref="J109">_xlfn.IFS(AND(A109="IN",I109&lt;&gt;""), (E109*F109+G109*H109)+I109*(D109-F109-H109),AND(A109="IN",I109=""), (2*E109*F109)+G109*(D109-2*F109),AND(A109="CJ",F109&lt;&gt;""),(D109*E109)-((D109-2*F109)*(E109-2*F109)),AND(A109="CJ",F109=""),ROUND((PI()*(D109/2)^2)-(PI()*(D109/2-E109)^2),0),TRUE,"")</f>
        <v/>
      </c>
    </row>
    <row r="110" spans="1:10" x14ac:dyDescent="0.25">
      <c r="A110">
        <f>CUBICACION!F110</f>
        <v>0</v>
      </c>
      <c r="B110">
        <f>CUBICACION!E110</f>
        <v>0</v>
      </c>
      <c r="C110" s="947">
        <f>CUBICACION!J110</f>
        <v>4</v>
      </c>
      <c r="D110" t="str" cm="1">
        <f t="array" ref="D110">_xlfn.TEXTSPLIT(B110,{"X";"x"})</f>
        <v>0</v>
      </c>
      <c r="J110" t="str" cm="1">
        <f t="array" ref="J110">_xlfn.IFS(AND(A110="IN",I110&lt;&gt;""), (E110*F110+G110*H110)+I110*(D110-F110-H110),AND(A110="IN",I110=""), (2*E110*F110)+G110*(D110-2*F110),AND(A110="CJ",F110&lt;&gt;""),(D110*E110)-((D110-2*F110)*(E110-2*F110)),AND(A110="CJ",F110=""),ROUND((PI()*(D110/2)^2)-(PI()*(D110/2-E110)^2),0),TRUE,"")</f>
        <v/>
      </c>
    </row>
    <row r="111" spans="1:10" x14ac:dyDescent="0.25">
      <c r="A111">
        <f>CUBICACION!F111</f>
        <v>0</v>
      </c>
      <c r="B111">
        <f>CUBICACION!E111</f>
        <v>0</v>
      </c>
      <c r="C111" s="947">
        <f>CUBICACION!J111</f>
        <v>4</v>
      </c>
      <c r="D111" t="str" cm="1">
        <f t="array" ref="D111">_xlfn.TEXTSPLIT(B111,{"X";"x"})</f>
        <v>0</v>
      </c>
      <c r="J111" t="str" cm="1">
        <f t="array" ref="J111">_xlfn.IFS(AND(A111="IN",I111&lt;&gt;""), (E111*F111+G111*H111)+I111*(D111-F111-H111),AND(A111="IN",I111=""), (2*E111*F111)+G111*(D111-2*F111),AND(A111="CJ",F111&lt;&gt;""),(D111*E111)-((D111-2*F111)*(E111-2*F111)),AND(A111="CJ",F111=""),ROUND((PI()*(D111/2)^2)-(PI()*(D111/2-E111)^2),0),TRUE,"")</f>
        <v/>
      </c>
    </row>
    <row r="112" spans="1:10" x14ac:dyDescent="0.25">
      <c r="A112">
        <f>CUBICACION!F112</f>
        <v>0</v>
      </c>
      <c r="B112">
        <f>CUBICACION!E112</f>
        <v>0</v>
      </c>
      <c r="C112" s="947">
        <f>CUBICACION!J112</f>
        <v>4</v>
      </c>
      <c r="D112" t="str" cm="1">
        <f t="array" ref="D112">_xlfn.TEXTSPLIT(B112,{"X";"x"})</f>
        <v>0</v>
      </c>
      <c r="J112" t="str" cm="1">
        <f t="array" ref="J112">_xlfn.IFS(AND(A112="IN",I112&lt;&gt;""), (E112*F112+G112*H112)+I112*(D112-F112-H112),AND(A112="IN",I112=""), (2*E112*F112)+G112*(D112-2*F112),AND(A112="CJ",F112&lt;&gt;""),(D112*E112)-((D112-2*F112)*(E112-2*F112)),AND(A112="CJ",F112=""),ROUND((PI()*(D112/2)^2)-(PI()*(D112/2-E112)^2),0),TRUE,"")</f>
        <v/>
      </c>
    </row>
    <row r="113" spans="1:10" x14ac:dyDescent="0.25">
      <c r="A113">
        <f>CUBICACION!F113</f>
        <v>0</v>
      </c>
      <c r="B113">
        <f>CUBICACION!E113</f>
        <v>0</v>
      </c>
      <c r="C113" s="947">
        <f>CUBICACION!J113</f>
        <v>4</v>
      </c>
      <c r="D113" t="str" cm="1">
        <f t="array" ref="D113">_xlfn.TEXTSPLIT(B113,{"X";"x"})</f>
        <v>0</v>
      </c>
      <c r="J113" t="str" cm="1">
        <f t="array" ref="J113">_xlfn.IFS(AND(A113="IN",I113&lt;&gt;""), (E113*F113+G113*H113)+I113*(D113-F113-H113),AND(A113="IN",I113=""), (2*E113*F113)+G113*(D113-2*F113),AND(A113="CJ",F113&lt;&gt;""),(D113*E113)-((D113-2*F113)*(E113-2*F113)),AND(A113="CJ",F113=""),ROUND((PI()*(D113/2)^2)-(PI()*(D113/2-E113)^2),0),TRUE,"")</f>
        <v/>
      </c>
    </row>
    <row r="114" spans="1:10" x14ac:dyDescent="0.25">
      <c r="A114">
        <f>CUBICACION!F114</f>
        <v>0</v>
      </c>
      <c r="B114">
        <f>CUBICACION!E114</f>
        <v>0</v>
      </c>
      <c r="C114" s="947">
        <f>CUBICACION!J114</f>
        <v>4</v>
      </c>
      <c r="D114" t="str" cm="1">
        <f t="array" ref="D114">_xlfn.TEXTSPLIT(B114,{"X";"x"})</f>
        <v>0</v>
      </c>
      <c r="J114" t="str" cm="1">
        <f t="array" ref="J114">_xlfn.IFS(AND(A114="IN",I114&lt;&gt;""), (E114*F114+G114*H114)+I114*(D114-F114-H114),AND(A114="IN",I114=""), (2*E114*F114)+G114*(D114-2*F114),AND(A114="CJ",F114&lt;&gt;""),(D114*E114)-((D114-2*F114)*(E114-2*F114)),AND(A114="CJ",F114=""),ROUND((PI()*(D114/2)^2)-(PI()*(D114/2-E114)^2),0),TRUE,"")</f>
        <v/>
      </c>
    </row>
    <row r="115" spans="1:10" x14ac:dyDescent="0.25">
      <c r="A115">
        <f>CUBICACION!F115</f>
        <v>0</v>
      </c>
      <c r="B115">
        <f>CUBICACION!E115</f>
        <v>0</v>
      </c>
      <c r="C115" s="947">
        <f>CUBICACION!J115</f>
        <v>4</v>
      </c>
      <c r="D115" t="str" cm="1">
        <f t="array" ref="D115">_xlfn.TEXTSPLIT(B115,{"X";"x"})</f>
        <v>0</v>
      </c>
      <c r="J115" t="str" cm="1">
        <f t="array" ref="J115">_xlfn.IFS(AND(A115="IN",I115&lt;&gt;""), (E115*F115+G115*H115)+I115*(D115-F115-H115),AND(A115="IN",I115=""), (2*E115*F115)+G115*(D115-2*F115),AND(A115="CJ",F115&lt;&gt;""),(D115*E115)-((D115-2*F115)*(E115-2*F115)),AND(A115="CJ",F115=""),ROUND((PI()*(D115/2)^2)-(PI()*(D115/2-E115)^2),0),TRUE,"")</f>
        <v/>
      </c>
    </row>
    <row r="116" spans="1:10" x14ac:dyDescent="0.25">
      <c r="A116">
        <f>CUBICACION!F116</f>
        <v>0</v>
      </c>
      <c r="B116">
        <f>CUBICACION!E116</f>
        <v>0</v>
      </c>
      <c r="C116" s="947">
        <f>CUBICACION!J116</f>
        <v>4</v>
      </c>
      <c r="D116" t="str" cm="1">
        <f t="array" ref="D116">_xlfn.TEXTSPLIT(B116,{"X";"x"})</f>
        <v>0</v>
      </c>
      <c r="J116" t="str" cm="1">
        <f t="array" ref="J116">_xlfn.IFS(AND(A116="IN",I116&lt;&gt;""), (E116*F116+G116*H116)+I116*(D116-F116-H116),AND(A116="IN",I116=""), (2*E116*F116)+G116*(D116-2*F116),AND(A116="CJ",F116&lt;&gt;""),(D116*E116)-((D116-2*F116)*(E116-2*F116)),AND(A116="CJ",F116=""),ROUND((PI()*(D116/2)^2)-(PI()*(D116/2-E116)^2),0),TRUE,"")</f>
        <v/>
      </c>
    </row>
    <row r="117" spans="1:10" x14ac:dyDescent="0.25">
      <c r="A117">
        <f>CUBICACION!F117</f>
        <v>0</v>
      </c>
      <c r="B117">
        <f>CUBICACION!E117</f>
        <v>0</v>
      </c>
      <c r="C117" s="947">
        <f>CUBICACION!J117</f>
        <v>4</v>
      </c>
      <c r="D117" t="str" cm="1">
        <f t="array" ref="D117">_xlfn.TEXTSPLIT(B117,{"X";"x"})</f>
        <v>0</v>
      </c>
      <c r="J117" t="str" cm="1">
        <f t="array" ref="J117">_xlfn.IFS(AND(A117="IN",I117&lt;&gt;""), (E117*F117+G117*H117)+I117*(D117-F117-H117),AND(A117="IN",I117=""), (2*E117*F117)+G117*(D117-2*F117),AND(A117="CJ",F117&lt;&gt;""),(D117*E117)-((D117-2*F117)*(E117-2*F117)),AND(A117="CJ",F117=""),ROUND((PI()*(D117/2)^2)-(PI()*(D117/2-E117)^2),0),TRUE,"")</f>
        <v/>
      </c>
    </row>
    <row r="118" spans="1:10" x14ac:dyDescent="0.25">
      <c r="A118">
        <f>CUBICACION!F118</f>
        <v>0</v>
      </c>
      <c r="B118">
        <f>CUBICACION!E118</f>
        <v>0</v>
      </c>
      <c r="C118" s="947">
        <f>CUBICACION!J118</f>
        <v>4</v>
      </c>
      <c r="D118" t="str" cm="1">
        <f t="array" ref="D118">_xlfn.TEXTSPLIT(B118,{"X";"x"})</f>
        <v>0</v>
      </c>
      <c r="J118" t="str" cm="1">
        <f t="array" ref="J118">_xlfn.IFS(AND(A118="IN",I118&lt;&gt;""), (E118*F118+G118*H118)+I118*(D118-F118-H118),AND(A118="IN",I118=""), (2*E118*F118)+G118*(D118-2*F118),AND(A118="CJ",F118&lt;&gt;""),(D118*E118)-((D118-2*F118)*(E118-2*F118)),AND(A118="CJ",F118=""),ROUND((PI()*(D118/2)^2)-(PI()*(D118/2-E118)^2),0),TRUE,"")</f>
        <v/>
      </c>
    </row>
    <row r="119" spans="1:10" x14ac:dyDescent="0.25">
      <c r="A119">
        <f>CUBICACION!F119</f>
        <v>0</v>
      </c>
      <c r="B119">
        <f>CUBICACION!E119</f>
        <v>0</v>
      </c>
      <c r="C119" s="947">
        <f>CUBICACION!J119</f>
        <v>4</v>
      </c>
      <c r="D119" t="str" cm="1">
        <f t="array" ref="D119">_xlfn.TEXTSPLIT(B119,{"X";"x"})</f>
        <v>0</v>
      </c>
      <c r="J119" t="str" cm="1">
        <f t="array" ref="J119">_xlfn.IFS(AND(A119="IN",I119&lt;&gt;""), (E119*F119+G119*H119)+I119*(D119-F119-H119),AND(A119="IN",I119=""), (2*E119*F119)+G119*(D119-2*F119),AND(A119="CJ",F119&lt;&gt;""),(D119*E119)-((D119-2*F119)*(E119-2*F119)),AND(A119="CJ",F119=""),ROUND((PI()*(D119/2)^2)-(PI()*(D119/2-E119)^2),0),TRUE,"")</f>
        <v/>
      </c>
    </row>
    <row r="120" spans="1:10" x14ac:dyDescent="0.25">
      <c r="A120">
        <f>CUBICACION!F120</f>
        <v>0</v>
      </c>
      <c r="B120">
        <f>CUBICACION!E120</f>
        <v>0</v>
      </c>
      <c r="C120" s="947">
        <f>CUBICACION!J120</f>
        <v>4</v>
      </c>
      <c r="D120" t="str" cm="1">
        <f t="array" ref="D120">_xlfn.TEXTSPLIT(B120,{"X";"x"})</f>
        <v>0</v>
      </c>
      <c r="J120" t="str" cm="1">
        <f t="array" ref="J120">_xlfn.IFS(AND(A120="IN",I120&lt;&gt;""), (E120*F120+G120*H120)+I120*(D120-F120-H120),AND(A120="IN",I120=""), (2*E120*F120)+G120*(D120-2*F120),AND(A120="CJ",F120&lt;&gt;""),(D120*E120)-((D120-2*F120)*(E120-2*F120)),AND(A120="CJ",F120=""),ROUND((PI()*(D120/2)^2)-(PI()*(D120/2-E120)^2),0),TRUE,"")</f>
        <v/>
      </c>
    </row>
    <row r="121" spans="1:10" x14ac:dyDescent="0.25">
      <c r="A121">
        <f>CUBICACION!F121</f>
        <v>0</v>
      </c>
      <c r="B121">
        <f>CUBICACION!E121</f>
        <v>0</v>
      </c>
      <c r="C121" s="947">
        <f>CUBICACION!J121</f>
        <v>4</v>
      </c>
      <c r="D121" t="str" cm="1">
        <f t="array" ref="D121">_xlfn.TEXTSPLIT(B121,{"X";"x"})</f>
        <v>0</v>
      </c>
      <c r="J121" t="str" cm="1">
        <f t="array" ref="J121">_xlfn.IFS(AND(A121="IN",I121&lt;&gt;""), (E121*F121+G121*H121)+I121*(D121-F121-H121),AND(A121="IN",I121=""), (2*E121*F121)+G121*(D121-2*F121),AND(A121="CJ",F121&lt;&gt;""),(D121*E121)-((D121-2*F121)*(E121-2*F121)),AND(A121="CJ",F121=""),ROUND((PI()*(D121/2)^2)-(PI()*(D121/2-E121)^2),0),TRUE,"")</f>
        <v/>
      </c>
    </row>
    <row r="122" spans="1:10" x14ac:dyDescent="0.25">
      <c r="A122">
        <f>CUBICACION!F122</f>
        <v>0</v>
      </c>
      <c r="B122">
        <f>CUBICACION!E122</f>
        <v>0</v>
      </c>
      <c r="C122" s="947">
        <f>CUBICACION!J122</f>
        <v>4</v>
      </c>
      <c r="D122" t="str" cm="1">
        <f t="array" ref="D122">_xlfn.TEXTSPLIT(B122,{"X";"x"})</f>
        <v>0</v>
      </c>
      <c r="J122" t="str" cm="1">
        <f t="array" ref="J122">_xlfn.IFS(AND(A122="IN",I122&lt;&gt;""), (E122*F122+G122*H122)+I122*(D122-F122-H122),AND(A122="IN",I122=""), (2*E122*F122)+G122*(D122-2*F122),AND(A122="CJ",F122&lt;&gt;""),(D122*E122)-((D122-2*F122)*(E122-2*F122)),AND(A122="CJ",F122=""),ROUND((PI()*(D122/2)^2)-(PI()*(D122/2-E122)^2),0),TRUE,"")</f>
        <v/>
      </c>
    </row>
    <row r="123" spans="1:10" x14ac:dyDescent="0.25">
      <c r="A123">
        <f>CUBICACION!F123</f>
        <v>0</v>
      </c>
      <c r="B123">
        <f>CUBICACION!E123</f>
        <v>0</v>
      </c>
      <c r="C123" s="947">
        <f>CUBICACION!J123</f>
        <v>4</v>
      </c>
      <c r="D123" t="str" cm="1">
        <f t="array" ref="D123">_xlfn.TEXTSPLIT(B123,{"X";"x"})</f>
        <v>0</v>
      </c>
      <c r="J123" t="str" cm="1">
        <f t="array" ref="J123">_xlfn.IFS(AND(A123="IN",I123&lt;&gt;""), (E123*F123+G123*H123)+I123*(D123-F123-H123),AND(A123="IN",I123=""), (2*E123*F123)+G123*(D123-2*F123),AND(A123="CJ",F123&lt;&gt;""),(D123*E123)-((D123-2*F123)*(E123-2*F123)),AND(A123="CJ",F123=""),ROUND((PI()*(D123/2)^2)-(PI()*(D123/2-E123)^2),0),TRUE,"")</f>
        <v/>
      </c>
    </row>
    <row r="124" spans="1:10" x14ac:dyDescent="0.25">
      <c r="A124">
        <f>CUBICACION!F124</f>
        <v>0</v>
      </c>
      <c r="B124">
        <f>CUBICACION!E124</f>
        <v>0</v>
      </c>
      <c r="C124" s="947">
        <f>CUBICACION!J124</f>
        <v>4</v>
      </c>
      <c r="D124" t="str" cm="1">
        <f t="array" ref="D124">_xlfn.TEXTSPLIT(B124,{"X";"x"})</f>
        <v>0</v>
      </c>
      <c r="J124" t="str" cm="1">
        <f t="array" ref="J124">_xlfn.IFS(AND(A124="IN",I124&lt;&gt;""), (E124*F124+G124*H124)+I124*(D124-F124-H124),AND(A124="IN",I124=""), (2*E124*F124)+G124*(D124-2*F124),AND(A124="CJ",F124&lt;&gt;""),(D124*E124)-((D124-2*F124)*(E124-2*F124)),AND(A124="CJ",F124=""),ROUND((PI()*(D124/2)^2)-(PI()*(D124/2-E124)^2),0),TRUE,"")</f>
        <v/>
      </c>
    </row>
    <row r="125" spans="1:10" x14ac:dyDescent="0.25">
      <c r="A125">
        <f>CUBICACION!F125</f>
        <v>0</v>
      </c>
      <c r="B125">
        <f>CUBICACION!E125</f>
        <v>0</v>
      </c>
      <c r="C125" s="947">
        <f>CUBICACION!J125</f>
        <v>4</v>
      </c>
      <c r="D125" t="str" cm="1">
        <f t="array" ref="D125">_xlfn.TEXTSPLIT(B125,{"X";"x"})</f>
        <v>0</v>
      </c>
      <c r="J125" t="str" cm="1">
        <f t="array" ref="J125">_xlfn.IFS(AND(A125="IN",I125&lt;&gt;""), (E125*F125+G125*H125)+I125*(D125-F125-H125),AND(A125="IN",I125=""), (2*E125*F125)+G125*(D125-2*F125),AND(A125="CJ",F125&lt;&gt;""),(D125*E125)-((D125-2*F125)*(E125-2*F125)),AND(A125="CJ",F125=""),ROUND((PI()*(D125/2)^2)-(PI()*(D125/2-E125)^2),0),TRUE,"")</f>
        <v/>
      </c>
    </row>
    <row r="126" spans="1:10" x14ac:dyDescent="0.25">
      <c r="A126">
        <f>CUBICACION!F126</f>
        <v>0</v>
      </c>
      <c r="B126">
        <f>CUBICACION!E126</f>
        <v>0</v>
      </c>
      <c r="C126" s="947">
        <f>CUBICACION!J126</f>
        <v>4</v>
      </c>
      <c r="D126" t="str" cm="1">
        <f t="array" ref="D126">_xlfn.TEXTSPLIT(B126,{"X";"x"})</f>
        <v>0</v>
      </c>
      <c r="J126" t="str" cm="1">
        <f t="array" ref="J126">_xlfn.IFS(AND(A126="IN",I126&lt;&gt;""), (E126*F126+G126*H126)+I126*(D126-F126-H126),AND(A126="IN",I126=""), (2*E126*F126)+G126*(D126-2*F126),AND(A126="CJ",F126&lt;&gt;""),(D126*E126)-((D126-2*F126)*(E126-2*F126)),AND(A126="CJ",F126=""),ROUND((PI()*(D126/2)^2)-(PI()*(D126/2-E126)^2),0),TRUE,"")</f>
        <v/>
      </c>
    </row>
    <row r="127" spans="1:10" x14ac:dyDescent="0.25">
      <c r="A127">
        <f>CUBICACION!F127</f>
        <v>0</v>
      </c>
      <c r="B127">
        <f>CUBICACION!E127</f>
        <v>0</v>
      </c>
      <c r="C127" s="947">
        <f>CUBICACION!J127</f>
        <v>4</v>
      </c>
      <c r="D127" t="str" cm="1">
        <f t="array" ref="D127">_xlfn.TEXTSPLIT(B127,{"X";"x"})</f>
        <v>0</v>
      </c>
      <c r="J127" t="str" cm="1">
        <f t="array" ref="J127">_xlfn.IFS(AND(A127="IN",I127&lt;&gt;""), (E127*F127+G127*H127)+I127*(D127-F127-H127),AND(A127="IN",I127=""), (2*E127*F127)+G127*(D127-2*F127),AND(A127="CJ",F127&lt;&gt;""),(D127*E127)-((D127-2*F127)*(E127-2*F127)),AND(A127="CJ",F127=""),ROUND((PI()*(D127/2)^2)-(PI()*(D127/2-E127)^2),0),TRUE,"")</f>
        <v/>
      </c>
    </row>
    <row r="128" spans="1:10" x14ac:dyDescent="0.25">
      <c r="A128">
        <f>CUBICACION!F128</f>
        <v>0</v>
      </c>
      <c r="B128">
        <f>CUBICACION!E128</f>
        <v>0</v>
      </c>
      <c r="C128" s="947">
        <f>CUBICACION!J128</f>
        <v>4</v>
      </c>
      <c r="D128" t="str" cm="1">
        <f t="array" ref="D128">_xlfn.TEXTSPLIT(B128,{"X";"x"})</f>
        <v>0</v>
      </c>
      <c r="J128" t="str" cm="1">
        <f t="array" ref="J128">_xlfn.IFS(AND(A128="IN",I128&lt;&gt;""), (E128*F128+G128*H128)+I128*(D128-F128-H128),AND(A128="IN",I128=""), (2*E128*F128)+G128*(D128-2*F128),AND(A128="CJ",F128&lt;&gt;""),(D128*E128)-((D128-2*F128)*(E128-2*F128)),AND(A128="CJ",F128=""),ROUND((PI()*(D128/2)^2)-(PI()*(D128/2-E128)^2),0),TRUE,"")</f>
        <v/>
      </c>
    </row>
    <row r="129" spans="1:10" x14ac:dyDescent="0.25">
      <c r="A129">
        <f>CUBICACION!F129</f>
        <v>0</v>
      </c>
      <c r="B129">
        <f>CUBICACION!E129</f>
        <v>0</v>
      </c>
      <c r="C129" s="947">
        <f>CUBICACION!J129</f>
        <v>4</v>
      </c>
      <c r="D129" t="str" cm="1">
        <f t="array" ref="D129">_xlfn.TEXTSPLIT(B129,{"X";"x"})</f>
        <v>0</v>
      </c>
      <c r="J129" t="str" cm="1">
        <f t="array" ref="J129">_xlfn.IFS(AND(A129="IN",I129&lt;&gt;""), (E129*F129+G129*H129)+I129*(D129-F129-H129),AND(A129="IN",I129=""), (2*E129*F129)+G129*(D129-2*F129),AND(A129="CJ",F129&lt;&gt;""),(D129*E129)-((D129-2*F129)*(E129-2*F129)),AND(A129="CJ",F129=""),ROUND((PI()*(D129/2)^2)-(PI()*(D129/2-E129)^2),0),TRUE,"")</f>
        <v/>
      </c>
    </row>
    <row r="130" spans="1:10" x14ac:dyDescent="0.25">
      <c r="A130">
        <f>CUBICACION!F130</f>
        <v>0</v>
      </c>
      <c r="B130">
        <f>CUBICACION!E130</f>
        <v>0</v>
      </c>
      <c r="C130" s="947">
        <f>CUBICACION!J130</f>
        <v>4</v>
      </c>
      <c r="D130" t="str" cm="1">
        <f t="array" ref="D130">_xlfn.TEXTSPLIT(B130,{"X";"x"})</f>
        <v>0</v>
      </c>
      <c r="J130" t="str" cm="1">
        <f t="array" ref="J130">_xlfn.IFS(AND(A130="IN",I130&lt;&gt;""), (E130*F130+G130*H130)+I130*(D130-F130-H130),AND(A130="IN",I130=""), (2*E130*F130)+G130*(D130-2*F130),AND(A130="CJ",F130&lt;&gt;""),(D130*E130)-((D130-2*F130)*(E130-2*F130)),AND(A130="CJ",F130=""),ROUND((PI()*(D130/2)^2)-(PI()*(D130/2-E130)^2),0),TRUE,"")</f>
        <v/>
      </c>
    </row>
    <row r="131" spans="1:10" x14ac:dyDescent="0.25">
      <c r="A131">
        <f>CUBICACION!F131</f>
        <v>0</v>
      </c>
      <c r="B131">
        <f>CUBICACION!E131</f>
        <v>0</v>
      </c>
      <c r="C131" s="947">
        <f>CUBICACION!J131</f>
        <v>4</v>
      </c>
      <c r="D131" t="str" cm="1">
        <f t="array" ref="D131">_xlfn.TEXTSPLIT(B131,{"X";"x"})</f>
        <v>0</v>
      </c>
      <c r="J131" t="str" cm="1">
        <f t="array" ref="J131">_xlfn.IFS(AND(A131="IN",I131&lt;&gt;""), (E131*F131+G131*H131)+I131*(D131-F131-H131),AND(A131="IN",I131=""), (2*E131*F131)+G131*(D131-2*F131),AND(A131="CJ",F131&lt;&gt;""),(D131*E131)-((D131-2*F131)*(E131-2*F131)),AND(A131="CJ",F131=""),ROUND((PI()*(D131/2)^2)-(PI()*(D131/2-E131)^2),0),TRUE,"")</f>
        <v/>
      </c>
    </row>
    <row r="132" spans="1:10" x14ac:dyDescent="0.25">
      <c r="A132">
        <f>CUBICACION!F132</f>
        <v>0</v>
      </c>
      <c r="B132">
        <f>CUBICACION!E132</f>
        <v>0</v>
      </c>
      <c r="C132" s="947">
        <f>CUBICACION!J132</f>
        <v>0</v>
      </c>
      <c r="D132" t="str" cm="1">
        <f t="array" ref="D132">_xlfn.TEXTSPLIT(B132,{"X";"x"})</f>
        <v>0</v>
      </c>
      <c r="J132" t="str" cm="1">
        <f t="array" ref="J132">_xlfn.IFS(AND(A132="IN",I132&lt;&gt;""), (E132*F132+G132*H132)+I132*(D132-F132-H132),AND(A132="IN",I132=""), (2*E132*F132)+G132*(D132-2*F132),AND(A132="CJ",F132&lt;&gt;""),(D132*E132)-((D132-2*F132)*(E132-2*F132)),AND(A132="CJ",F132=""),ROUND((PI()*(D132/2)^2)-(PI()*(D132/2-E132)^2),0),TRUE,"")</f>
        <v/>
      </c>
    </row>
    <row r="133" spans="1:10" x14ac:dyDescent="0.25">
      <c r="A133">
        <f>CUBICACION!F133</f>
        <v>0</v>
      </c>
      <c r="B133">
        <f>CUBICACION!E133</f>
        <v>0</v>
      </c>
      <c r="C133" s="947">
        <f>CUBICACION!J133</f>
        <v>0</v>
      </c>
      <c r="D133" t="str" cm="1">
        <f t="array" ref="D133">_xlfn.TEXTSPLIT(B133,{"X";"x"})</f>
        <v>0</v>
      </c>
      <c r="J133" t="str" cm="1">
        <f t="array" ref="J133">_xlfn.IFS(AND(A133="IN",I133&lt;&gt;""), (E133*F133+G133*H133)+I133*(D133-F133-H133),AND(A133="IN",I133=""), (2*E133*F133)+G133*(D133-2*F133),AND(A133="CJ",F133&lt;&gt;""),(D133*E133)-((D133-2*F133)*(E133-2*F133)),AND(A133="CJ",F133=""),ROUND((PI()*(D133/2)^2)-(PI()*(D133/2-E133)^2),0),TRUE,"")</f>
        <v/>
      </c>
    </row>
    <row r="134" spans="1:10" x14ac:dyDescent="0.25">
      <c r="A134">
        <f>CUBICACION!F134</f>
        <v>0</v>
      </c>
      <c r="B134">
        <f>CUBICACION!E134</f>
        <v>0</v>
      </c>
      <c r="C134" s="947">
        <f>CUBICACION!J134</f>
        <v>0</v>
      </c>
      <c r="D134" t="str" cm="1">
        <f t="array" ref="D134">_xlfn.TEXTSPLIT(B134,{"X";"x"})</f>
        <v>0</v>
      </c>
      <c r="J134" t="str" cm="1">
        <f t="array" ref="J134">_xlfn.IFS(AND(A134="IN",I134&lt;&gt;""), (E134*F134+G134*H134)+I134*(D134-F134-H134),AND(A134="IN",I134=""), (2*E134*F134)+G134*(D134-2*F134),AND(A134="CJ",F134&lt;&gt;""),(D134*E134)-((D134-2*F134)*(E134-2*F134)),AND(A134="CJ",F134=""),ROUND((PI()*(D134/2)^2)-(PI()*(D134/2-E134)^2),0),TRUE,"")</f>
        <v/>
      </c>
    </row>
    <row r="135" spans="1:10" x14ac:dyDescent="0.25">
      <c r="A135">
        <f>CUBICACION!F135</f>
        <v>0</v>
      </c>
      <c r="B135">
        <f>CUBICACION!E135</f>
        <v>0</v>
      </c>
      <c r="C135" s="947">
        <f>CUBICACION!J135</f>
        <v>0</v>
      </c>
      <c r="D135" t="str" cm="1">
        <f t="array" ref="D135">_xlfn.TEXTSPLIT(B135,{"X";"x"})</f>
        <v>0</v>
      </c>
      <c r="J135" t="str" cm="1">
        <f t="array" ref="J135">_xlfn.IFS(AND(A135="IN",I135&lt;&gt;""), (E135*F135+G135*H135)+I135*(D135-F135-H135),AND(A135="IN",I135=""), (2*E135*F135)+G135*(D135-2*F135),AND(A135="CJ",F135&lt;&gt;""),(D135*E135)-((D135-2*F135)*(E135-2*F135)),AND(A135="CJ",F135=""),ROUND((PI()*(D135/2)^2)-(PI()*(D135/2-E135)^2),0),TRUE,"")</f>
        <v/>
      </c>
    </row>
    <row r="136" spans="1:10" x14ac:dyDescent="0.25">
      <c r="A136">
        <f>CUBICACION!F136</f>
        <v>0</v>
      </c>
      <c r="B136">
        <f>CUBICACION!E136</f>
        <v>0</v>
      </c>
      <c r="C136" s="947">
        <f>CUBICACION!J136</f>
        <v>0</v>
      </c>
      <c r="D136" t="str" cm="1">
        <f t="array" ref="D136">_xlfn.TEXTSPLIT(B136,{"X";"x"})</f>
        <v>0</v>
      </c>
      <c r="J136" t="str" cm="1">
        <f t="array" ref="J136">_xlfn.IFS(AND(A136="IN",I136&lt;&gt;""), (E136*F136+G136*H136)+I136*(D136-F136-H136),AND(A136="IN",I136=""), (2*E136*F136)+G136*(D136-2*F136),AND(A136="CJ",F136&lt;&gt;""),(D136*E136)-((D136-2*F136)*(E136-2*F136)),AND(A136="CJ",F136=""),ROUND((PI()*(D136/2)^2)-(PI()*(D136/2-E136)^2),0),TRUE,"")</f>
        <v/>
      </c>
    </row>
    <row r="137" spans="1:10" x14ac:dyDescent="0.25">
      <c r="A137">
        <f>CUBICACION!F137</f>
        <v>0</v>
      </c>
      <c r="B137">
        <f>CUBICACION!E137</f>
        <v>0</v>
      </c>
      <c r="C137" s="947">
        <f>CUBICACION!J137</f>
        <v>0</v>
      </c>
      <c r="D137" t="str" cm="1">
        <f t="array" ref="D137">_xlfn.TEXTSPLIT(B137,{"X";"x"})</f>
        <v>0</v>
      </c>
      <c r="J137" t="str" cm="1">
        <f t="array" ref="J137">_xlfn.IFS(AND(A137="IN",I137&lt;&gt;""), (E137*F137+G137*H137)+I137*(D137-F137-H137),AND(A137="IN",I137=""), (2*E137*F137)+G137*(D137-2*F137),AND(A137="CJ",F137&lt;&gt;""),(D137*E137)-((D137-2*F137)*(E137-2*F137)),AND(A137="CJ",F137=""),ROUND((PI()*(D137/2)^2)-(PI()*(D137/2-E137)^2),0),TRUE,"")</f>
        <v/>
      </c>
    </row>
    <row r="138" spans="1:10" x14ac:dyDescent="0.25">
      <c r="A138">
        <f>CUBICACION!F138</f>
        <v>0</v>
      </c>
      <c r="B138">
        <f>CUBICACION!E138</f>
        <v>0</v>
      </c>
      <c r="C138" s="947">
        <f>CUBICACION!J138</f>
        <v>0</v>
      </c>
      <c r="D138" t="str" cm="1">
        <f t="array" ref="D138">_xlfn.TEXTSPLIT(B138,{"X";"x"})</f>
        <v>0</v>
      </c>
      <c r="J138" t="str" cm="1">
        <f t="array" ref="J138">_xlfn.IFS(AND(A138="IN",I138&lt;&gt;""), (E138*F138+G138*H138)+I138*(D138-F138-H138),AND(A138="IN",I138=""), (2*E138*F138)+G138*(D138-2*F138),AND(A138="CJ",F138&lt;&gt;""),(D138*E138)-((D138-2*F138)*(E138-2*F138)),AND(A138="CJ",F138=""),ROUND((PI()*(D138/2)^2)-(PI()*(D138/2-E138)^2),0),TRUE,"")</f>
        <v/>
      </c>
    </row>
    <row r="139" spans="1:10" x14ac:dyDescent="0.25">
      <c r="A139">
        <f>CUBICACION!F139</f>
        <v>0</v>
      </c>
      <c r="B139">
        <f>CUBICACION!E139</f>
        <v>0</v>
      </c>
      <c r="C139" s="947">
        <f>CUBICACION!J139</f>
        <v>0</v>
      </c>
      <c r="D139" t="str" cm="1">
        <f t="array" ref="D139">_xlfn.TEXTSPLIT(B139,{"X";"x"})</f>
        <v>0</v>
      </c>
      <c r="J139" t="str" cm="1">
        <f t="array" ref="J139">_xlfn.IFS(AND(A139="IN",I139&lt;&gt;""), (E139*F139+G139*H139)+I139*(D139-F139-H139),AND(A139="IN",I139=""), (2*E139*F139)+G139*(D139-2*F139),AND(A139="CJ",F139&lt;&gt;""),(D139*E139)-((D139-2*F139)*(E139-2*F139)),AND(A139="CJ",F139=""),ROUND((PI()*(D139/2)^2)-(PI()*(D139/2-E139)^2),0),TRUE,"")</f>
        <v/>
      </c>
    </row>
    <row r="140" spans="1:10" x14ac:dyDescent="0.25">
      <c r="A140">
        <f>CUBICACION!F140</f>
        <v>0</v>
      </c>
      <c r="B140">
        <f>CUBICACION!E140</f>
        <v>0</v>
      </c>
      <c r="C140" s="947">
        <f>CUBICACION!J140</f>
        <v>0</v>
      </c>
      <c r="D140" t="str" cm="1">
        <f t="array" ref="D140">_xlfn.TEXTSPLIT(B140,{"X";"x"})</f>
        <v>0</v>
      </c>
      <c r="J140" t="str" cm="1">
        <f t="array" ref="J140">_xlfn.IFS(AND(A140="IN",I140&lt;&gt;""), (E140*F140+G140*H140)+I140*(D140-F140-H140),AND(A140="IN",I140=""), (2*E140*F140)+G140*(D140-2*F140),AND(A140="CJ",F140&lt;&gt;""),(D140*E140)-((D140-2*F140)*(E140-2*F140)),AND(A140="CJ",F140=""),ROUND((PI()*(D140/2)^2)-(PI()*(D140/2-E140)^2),0),TRUE,"")</f>
        <v/>
      </c>
    </row>
    <row r="141" spans="1:10" x14ac:dyDescent="0.25">
      <c r="A141">
        <f>CUBICACION!F141</f>
        <v>0</v>
      </c>
      <c r="B141">
        <f>CUBICACION!E141</f>
        <v>0</v>
      </c>
      <c r="C141" s="947">
        <f>CUBICACION!J141</f>
        <v>0</v>
      </c>
      <c r="D141" t="str" cm="1">
        <f t="array" ref="D141">_xlfn.TEXTSPLIT(B141,{"X";"x"})</f>
        <v>0</v>
      </c>
      <c r="J141" t="str" cm="1">
        <f t="array" ref="J141">_xlfn.IFS(AND(A141="IN",I141&lt;&gt;""), (E141*F141+G141*H141)+I141*(D141-F141-H141),AND(A141="IN",I141=""), (2*E141*F141)+G141*(D141-2*F141),AND(A141="CJ",F141&lt;&gt;""),(D141*E141)-((D141-2*F141)*(E141-2*F141)),AND(A141="CJ",F141=""),ROUND((PI()*(D141/2)^2)-(PI()*(D141/2-E141)^2),0),TRUE,"")</f>
        <v/>
      </c>
    </row>
    <row r="142" spans="1:10" x14ac:dyDescent="0.25">
      <c r="A142">
        <f>CUBICACION!F142</f>
        <v>0</v>
      </c>
      <c r="B142">
        <f>CUBICACION!E142</f>
        <v>0</v>
      </c>
      <c r="C142" s="947">
        <f>CUBICACION!J142</f>
        <v>0</v>
      </c>
      <c r="D142" t="str" cm="1">
        <f t="array" ref="D142">_xlfn.TEXTSPLIT(B142,{"X";"x"})</f>
        <v>0</v>
      </c>
      <c r="J142" t="str" cm="1">
        <f t="array" ref="J142">_xlfn.IFS(AND(A142="IN",I142&lt;&gt;""), (E142*F142+G142*H142)+I142*(D142-F142-H142),AND(A142="IN",I142=""), (2*E142*F142)+G142*(D142-2*F142),AND(A142="CJ",F142&lt;&gt;""),(D142*E142)-((D142-2*F142)*(E142-2*F142)),AND(A142="CJ",F142=""),ROUND((PI()*(D142/2)^2)-(PI()*(D142/2-E142)^2),0),TRUE,"")</f>
        <v/>
      </c>
    </row>
    <row r="143" spans="1:10" x14ac:dyDescent="0.25">
      <c r="A143">
        <f>CUBICACION!F143</f>
        <v>0</v>
      </c>
      <c r="B143">
        <f>CUBICACION!E143</f>
        <v>0</v>
      </c>
      <c r="C143" s="947">
        <f>CUBICACION!J143</f>
        <v>0</v>
      </c>
      <c r="D143" t="str" cm="1">
        <f t="array" ref="D143">_xlfn.TEXTSPLIT(B143,{"X";"x"})</f>
        <v>0</v>
      </c>
      <c r="J143" t="str" cm="1">
        <f t="array" ref="J143">_xlfn.IFS(AND(A143="IN",I143&lt;&gt;""), (E143*F143+G143*H143)+I143*(D143-F143-H143),AND(A143="IN",I143=""), (2*E143*F143)+G143*(D143-2*F143),AND(A143="CJ",F143&lt;&gt;""),(D143*E143)-((D143-2*F143)*(E143-2*F143)),AND(A143="CJ",F143=""),ROUND((PI()*(D143/2)^2)-(PI()*(D143/2-E143)^2),0),TRUE,"")</f>
        <v/>
      </c>
    </row>
    <row r="144" spans="1:10" x14ac:dyDescent="0.25">
      <c r="A144">
        <f>CUBICACION!F144</f>
        <v>0</v>
      </c>
      <c r="B144">
        <f>CUBICACION!E144</f>
        <v>0</v>
      </c>
      <c r="C144" s="947">
        <f>CUBICACION!J144</f>
        <v>0</v>
      </c>
      <c r="D144" t="str" cm="1">
        <f t="array" ref="D144">_xlfn.TEXTSPLIT(B144,{"X";"x"})</f>
        <v>0</v>
      </c>
      <c r="J144" t="str" cm="1">
        <f t="array" ref="J144">_xlfn.IFS(AND(A144="IN",I144&lt;&gt;""), (E144*F144+G144*H144)+I144*(D144-F144-H144),AND(A144="IN",I144=""), (2*E144*F144)+G144*(D144-2*F144),AND(A144="CJ",F144&lt;&gt;""),(D144*E144)-((D144-2*F144)*(E144-2*F144)),AND(A144="CJ",F144=""),ROUND((PI()*(D144/2)^2)-(PI()*(D144/2-E144)^2),0),TRUE,"")</f>
        <v/>
      </c>
    </row>
    <row r="145" spans="1:10" x14ac:dyDescent="0.25">
      <c r="A145">
        <f>CUBICACION!F145</f>
        <v>0</v>
      </c>
      <c r="B145">
        <f>CUBICACION!E145</f>
        <v>0</v>
      </c>
      <c r="C145" s="947">
        <f>CUBICACION!J145</f>
        <v>0</v>
      </c>
      <c r="D145" t="str" cm="1">
        <f t="array" ref="D145">_xlfn.TEXTSPLIT(B145,{"X";"x"})</f>
        <v>0</v>
      </c>
      <c r="J145" t="str" cm="1">
        <f t="array" ref="J145">_xlfn.IFS(AND(A145="IN",I145&lt;&gt;""), (E145*F145+G145*H145)+I145*(D145-F145-H145),AND(A145="IN",I145=""), (2*E145*F145)+G145*(D145-2*F145),AND(A145="CJ",F145&lt;&gt;""),(D145*E145)-((D145-2*F145)*(E145-2*F145)),AND(A145="CJ",F145=""),ROUND((PI()*(D145/2)^2)-(PI()*(D145/2-E145)^2),0),TRUE,"")</f>
        <v/>
      </c>
    </row>
    <row r="146" spans="1:10" x14ac:dyDescent="0.25">
      <c r="A146">
        <f>CUBICACION!F146</f>
        <v>0</v>
      </c>
      <c r="B146">
        <f>CUBICACION!E146</f>
        <v>0</v>
      </c>
      <c r="C146" s="947">
        <f>CUBICACION!J146</f>
        <v>0</v>
      </c>
      <c r="D146" t="str" cm="1">
        <f t="array" ref="D146">_xlfn.TEXTSPLIT(B146,{"X";"x"})</f>
        <v>0</v>
      </c>
      <c r="J146" t="str" cm="1">
        <f t="array" ref="J146">_xlfn.IFS(AND(A146="IN",I146&lt;&gt;""), (E146*F146+G146*H146)+I146*(D146-F146-H146),AND(A146="IN",I146=""), (2*E146*F146)+G146*(D146-2*F146),AND(A146="CJ",F146&lt;&gt;""),(D146*E146)-((D146-2*F146)*(E146-2*F146)),AND(A146="CJ",F146=""),ROUND((PI()*(D146/2)^2)-(PI()*(D146/2-E146)^2),0),TRUE,"")</f>
        <v/>
      </c>
    </row>
    <row r="147" spans="1:10" x14ac:dyDescent="0.25">
      <c r="A147">
        <f>CUBICACION!F147</f>
        <v>0</v>
      </c>
      <c r="B147">
        <f>CUBICACION!E147</f>
        <v>0</v>
      </c>
      <c r="C147" s="947">
        <f>CUBICACION!J147</f>
        <v>0</v>
      </c>
      <c r="D147" t="str" cm="1">
        <f t="array" ref="D147">_xlfn.TEXTSPLIT(B147,{"X";"x"})</f>
        <v>0</v>
      </c>
      <c r="J147" t="str" cm="1">
        <f t="array" ref="J147">_xlfn.IFS(AND(A147="IN",I147&lt;&gt;""), (E147*F147+G147*H147)+I147*(D147-F147-H147),AND(A147="IN",I147=""), (2*E147*F147)+G147*(D147-2*F147),AND(A147="CJ",F147&lt;&gt;""),(D147*E147)-((D147-2*F147)*(E147-2*F147)),AND(A147="CJ",F147=""),ROUND((PI()*(D147/2)^2)-(PI()*(D147/2-E147)^2),0),TRUE,"")</f>
        <v/>
      </c>
    </row>
    <row r="148" spans="1:10" x14ac:dyDescent="0.25">
      <c r="A148">
        <f>CUBICACION!F148</f>
        <v>0</v>
      </c>
      <c r="B148">
        <f>CUBICACION!E148</f>
        <v>0</v>
      </c>
      <c r="C148" s="947">
        <f>CUBICACION!J148</f>
        <v>0</v>
      </c>
      <c r="D148" t="str" cm="1">
        <f t="array" ref="D148">_xlfn.TEXTSPLIT(B148,{"X";"x"})</f>
        <v>0</v>
      </c>
      <c r="J148" t="str" cm="1">
        <f t="array" ref="J148">_xlfn.IFS(AND(A148="IN",I148&lt;&gt;""), (E148*F148+G148*H148)+I148*(D148-F148-H148),AND(A148="IN",I148=""), (2*E148*F148)+G148*(D148-2*F148),AND(A148="CJ",F148&lt;&gt;""),(D148*E148)-((D148-2*F148)*(E148-2*F148)),AND(A148="CJ",F148=""),ROUND((PI()*(D148/2)^2)-(PI()*(D148/2-E148)^2),0),TRUE,"")</f>
        <v/>
      </c>
    </row>
    <row r="149" spans="1:10" x14ac:dyDescent="0.25">
      <c r="A149">
        <f>CUBICACION!F149</f>
        <v>0</v>
      </c>
      <c r="B149">
        <f>CUBICACION!E149</f>
        <v>0</v>
      </c>
      <c r="C149" s="947">
        <f>CUBICACION!J149</f>
        <v>0</v>
      </c>
      <c r="D149" t="str" cm="1">
        <f t="array" ref="D149">_xlfn.TEXTSPLIT(B149,{"X";"x"})</f>
        <v>0</v>
      </c>
      <c r="J149" t="str" cm="1">
        <f t="array" ref="J149">_xlfn.IFS(AND(A149="IN",I149&lt;&gt;""), (E149*F149+G149*H149)+I149*(D149-F149-H149),AND(A149="IN",I149=""), (2*E149*F149)+G149*(D149-2*F149),AND(A149="CJ",F149&lt;&gt;""),(D149*E149)-((D149-2*F149)*(E149-2*F149)),AND(A149="CJ",F149=""),ROUND((PI()*(D149/2)^2)-(PI()*(D149/2-E149)^2),0),TRUE,"")</f>
        <v/>
      </c>
    </row>
    <row r="150" spans="1:10" x14ac:dyDescent="0.25">
      <c r="A150">
        <f>CUBICACION!F150</f>
        <v>0</v>
      </c>
      <c r="B150">
        <f>CUBICACION!E150</f>
        <v>0</v>
      </c>
      <c r="C150" s="947">
        <f>CUBICACION!J150</f>
        <v>0</v>
      </c>
      <c r="D150" t="str" cm="1">
        <f t="array" ref="D150">_xlfn.TEXTSPLIT(B150,{"X";"x"})</f>
        <v>0</v>
      </c>
      <c r="J150" t="str" cm="1">
        <f t="array" ref="J150">_xlfn.IFS(AND(A150="IN",I150&lt;&gt;""), (E150*F150+G150*H150)+I150*(D150-F150-H150),AND(A150="IN",I150=""), (2*E150*F150)+G150*(D150-2*F150),AND(A150="CJ",F150&lt;&gt;""),(D150*E150)-((D150-2*F150)*(E150-2*F150)),AND(A150="CJ",F150=""),ROUND((PI()*(D150/2)^2)-(PI()*(D150/2-E150)^2),0),TRUE,"")</f>
        <v/>
      </c>
    </row>
    <row r="151" spans="1:10" x14ac:dyDescent="0.25">
      <c r="A151">
        <f>CUBICACION!F151</f>
        <v>0</v>
      </c>
      <c r="B151">
        <f>CUBICACION!E151</f>
        <v>0</v>
      </c>
      <c r="C151" s="947">
        <f>CUBICACION!J151</f>
        <v>0</v>
      </c>
      <c r="D151" t="str" cm="1">
        <f t="array" ref="D151">_xlfn.TEXTSPLIT(B151,{"X";"x"})</f>
        <v>0</v>
      </c>
      <c r="J151" t="str" cm="1">
        <f t="array" ref="J151">_xlfn.IFS(AND(A151="IN",I151&lt;&gt;""), (E151*F151+G151*H151)+I151*(D151-F151-H151),AND(A151="IN",I151=""), (2*E151*F151)+G151*(D151-2*F151),AND(A151="CJ",F151&lt;&gt;""),(D151*E151)-((D151-2*F151)*(E151-2*F151)),AND(A151="CJ",F151=""),ROUND((PI()*(D151/2)^2)-(PI()*(D151/2-E151)^2),0),TRUE,"")</f>
        <v/>
      </c>
    </row>
    <row r="152" spans="1:10" x14ac:dyDescent="0.25">
      <c r="A152">
        <f>CUBICACION!F152</f>
        <v>0</v>
      </c>
      <c r="B152">
        <f>CUBICACION!E152</f>
        <v>0</v>
      </c>
      <c r="C152" s="947">
        <f>CUBICACION!J152</f>
        <v>0</v>
      </c>
      <c r="D152" t="str" cm="1">
        <f t="array" ref="D152">_xlfn.TEXTSPLIT(B152,{"X";"x"})</f>
        <v>0</v>
      </c>
      <c r="J152" t="str" cm="1">
        <f t="array" ref="J152">_xlfn.IFS(AND(A152="IN",I152&lt;&gt;""), (E152*F152+G152*H152)+I152*(D152-F152-H152),AND(A152="IN",I152=""), (2*E152*F152)+G152*(D152-2*F152),AND(A152="CJ",F152&lt;&gt;""),(D152*E152)-((D152-2*F152)*(E152-2*F152)),AND(A152="CJ",F152=""),ROUND((PI()*(D152/2)^2)-(PI()*(D152/2-E152)^2),0),TRUE,"")</f>
        <v/>
      </c>
    </row>
    <row r="153" spans="1:10" x14ac:dyDescent="0.25">
      <c r="A153">
        <f>CUBICACION!F153</f>
        <v>0</v>
      </c>
      <c r="B153">
        <f>CUBICACION!E153</f>
        <v>0</v>
      </c>
      <c r="C153" s="947">
        <f>CUBICACION!J153</f>
        <v>0</v>
      </c>
      <c r="D153" t="str" cm="1">
        <f t="array" ref="D153">_xlfn.TEXTSPLIT(B153,{"X";"x"})</f>
        <v>0</v>
      </c>
      <c r="J153" t="str" cm="1">
        <f t="array" ref="J153">_xlfn.IFS(AND(A153="IN",I153&lt;&gt;""), (E153*F153+G153*H153)+I153*(D153-F153-H153),AND(A153="IN",I153=""), (2*E153*F153)+G153*(D153-2*F153),AND(A153="CJ",F153&lt;&gt;""),(D153*E153)-((D153-2*F153)*(E153-2*F153)),AND(A153="CJ",F153=""),ROUND((PI()*(D153/2)^2)-(PI()*(D153/2-E153)^2),0),TRUE,"")</f>
        <v/>
      </c>
    </row>
    <row r="154" spans="1:10" x14ac:dyDescent="0.25">
      <c r="A154">
        <f>CUBICACION!F154</f>
        <v>0</v>
      </c>
      <c r="B154">
        <f>CUBICACION!E154</f>
        <v>0</v>
      </c>
      <c r="C154" s="947">
        <f>CUBICACION!J154</f>
        <v>0</v>
      </c>
      <c r="D154" t="str" cm="1">
        <f t="array" ref="D154">_xlfn.TEXTSPLIT(B154,{"X";"x"})</f>
        <v>0</v>
      </c>
      <c r="J154" t="str" cm="1">
        <f t="array" ref="J154">_xlfn.IFS(AND(A154="IN",I154&lt;&gt;""), (E154*F154+G154*H154)+I154*(D154-F154-H154),AND(A154="IN",I154=""), (2*E154*F154)+G154*(D154-2*F154),AND(A154="CJ",F154&lt;&gt;""),(D154*E154)-((D154-2*F154)*(E154-2*F154)),AND(A154="CJ",F154=""),ROUND((PI()*(D154/2)^2)-(PI()*(D154/2-E154)^2),0),TRUE,"")</f>
        <v/>
      </c>
    </row>
    <row r="155" spans="1:10" x14ac:dyDescent="0.25">
      <c r="A155">
        <f>CUBICACION!F155</f>
        <v>0</v>
      </c>
      <c r="B155">
        <f>CUBICACION!E155</f>
        <v>0</v>
      </c>
      <c r="C155" s="947">
        <f>CUBICACION!J155</f>
        <v>0</v>
      </c>
      <c r="D155" t="str" cm="1">
        <f t="array" ref="D155">_xlfn.TEXTSPLIT(B155,{"X";"x"})</f>
        <v>0</v>
      </c>
      <c r="J155" t="str" cm="1">
        <f t="array" ref="J155">_xlfn.IFS(AND(A155="IN",I155&lt;&gt;""), (E155*F155+G155*H155)+I155*(D155-F155-H155),AND(A155="IN",I155=""), (2*E155*F155)+G155*(D155-2*F155),AND(A155="CJ",F155&lt;&gt;""),(D155*E155)-((D155-2*F155)*(E155-2*F155)),AND(A155="CJ",F155=""),ROUND((PI()*(D155/2)^2)-(PI()*(D155/2-E155)^2),0),TRUE,"")</f>
        <v/>
      </c>
    </row>
    <row r="156" spans="1:10" x14ac:dyDescent="0.25">
      <c r="A156">
        <f>CUBICACION!F156</f>
        <v>0</v>
      </c>
      <c r="B156">
        <f>CUBICACION!E156</f>
        <v>0</v>
      </c>
      <c r="C156" s="947">
        <f>CUBICACION!J156</f>
        <v>0</v>
      </c>
      <c r="D156" t="str" cm="1">
        <f t="array" ref="D156">_xlfn.TEXTSPLIT(B156,{"X";"x"})</f>
        <v>0</v>
      </c>
      <c r="J156" t="str" cm="1">
        <f t="array" ref="J156">_xlfn.IFS(AND(A156="IN",I156&lt;&gt;""), (E156*F156+G156*H156)+I156*(D156-F156-H156),AND(A156="IN",I156=""), (2*E156*F156)+G156*(D156-2*F156),AND(A156="CJ",F156&lt;&gt;""),(D156*E156)-((D156-2*F156)*(E156-2*F156)),AND(A156="CJ",F156=""),ROUND((PI()*(D156/2)^2)-(PI()*(D156/2-E156)^2),0),TRUE,"")</f>
        <v/>
      </c>
    </row>
    <row r="157" spans="1:10" x14ac:dyDescent="0.25">
      <c r="A157">
        <f>CUBICACION!F157</f>
        <v>0</v>
      </c>
      <c r="B157">
        <f>CUBICACION!E157</f>
        <v>0</v>
      </c>
      <c r="C157" s="947">
        <f>CUBICACION!J157</f>
        <v>0</v>
      </c>
      <c r="D157" t="str" cm="1">
        <f t="array" ref="D157">_xlfn.TEXTSPLIT(B157,{"X";"x"})</f>
        <v>0</v>
      </c>
      <c r="J157" t="str" cm="1">
        <f t="array" ref="J157">_xlfn.IFS(AND(A157="IN",I157&lt;&gt;""), (E157*F157+G157*H157)+I157*(D157-F157-H157),AND(A157="IN",I157=""), (2*E157*F157)+G157*(D157-2*F157),AND(A157="CJ",F157&lt;&gt;""),(D157*E157)-((D157-2*F157)*(E157-2*F157)),AND(A157="CJ",F157=""),ROUND((PI()*(D157/2)^2)-(PI()*(D157/2-E157)^2),0),TRUE,"")</f>
        <v/>
      </c>
    </row>
    <row r="158" spans="1:10" x14ac:dyDescent="0.25">
      <c r="A158">
        <f>CUBICACION!F158</f>
        <v>0</v>
      </c>
      <c r="B158">
        <f>CUBICACION!E158</f>
        <v>0</v>
      </c>
      <c r="C158" s="947">
        <f>CUBICACION!J158</f>
        <v>0</v>
      </c>
      <c r="D158" t="str" cm="1">
        <f t="array" ref="D158">_xlfn.TEXTSPLIT(B158,{"X";"x"})</f>
        <v>0</v>
      </c>
      <c r="J158" t="str" cm="1">
        <f t="array" ref="J158">_xlfn.IFS(AND(A158="IN",I158&lt;&gt;""), (E158*F158+G158*H158)+I158*(D158-F158-H158),AND(A158="IN",I158=""), (2*E158*F158)+G158*(D158-2*F158),AND(A158="CJ",F158&lt;&gt;""),(D158*E158)-((D158-2*F158)*(E158-2*F158)),AND(A158="CJ",F158=""),ROUND((PI()*(D158/2)^2)-(PI()*(D158/2-E158)^2),0),TRUE,"")</f>
        <v/>
      </c>
    </row>
    <row r="159" spans="1:10" x14ac:dyDescent="0.25">
      <c r="A159">
        <f>CUBICACION!F159</f>
        <v>0</v>
      </c>
      <c r="B159">
        <f>CUBICACION!E159</f>
        <v>0</v>
      </c>
      <c r="C159" s="947">
        <f>CUBICACION!J159</f>
        <v>0</v>
      </c>
      <c r="D159" t="str" cm="1">
        <f t="array" ref="D159">_xlfn.TEXTSPLIT(B159,{"X";"x"})</f>
        <v>0</v>
      </c>
      <c r="J159" t="str" cm="1">
        <f t="array" ref="J159">_xlfn.IFS(AND(A159="IN",I159&lt;&gt;""), (E159*F159+G159*H159)+I159*(D159-F159-H159),AND(A159="IN",I159=""), (2*E159*F159)+G159*(D159-2*F159),AND(A159="CJ",F159&lt;&gt;""),(D159*E159)-((D159-2*F159)*(E159-2*F159)),AND(A159="CJ",F159=""),ROUND((PI()*(D159/2)^2)-(PI()*(D159/2-E159)^2),0),TRUE,"")</f>
        <v/>
      </c>
    </row>
    <row r="160" spans="1:10" x14ac:dyDescent="0.25">
      <c r="A160">
        <f>CUBICACION!F160</f>
        <v>0</v>
      </c>
      <c r="B160">
        <f>CUBICACION!E160</f>
        <v>0</v>
      </c>
      <c r="C160" s="947">
        <f>CUBICACION!J160</f>
        <v>0</v>
      </c>
      <c r="D160" t="str" cm="1">
        <f t="array" ref="D160">_xlfn.TEXTSPLIT(B160,{"X";"x"})</f>
        <v>0</v>
      </c>
      <c r="J160" t="str" cm="1">
        <f t="array" ref="J160">_xlfn.IFS(AND(A160="IN",I160&lt;&gt;""), (E160*F160+G160*H160)+I160*(D160-F160-H160),AND(A160="IN",I160=""), (2*E160*F160)+G160*(D160-2*F160),AND(A160="CJ",F160&lt;&gt;""),(D160*E160)-((D160-2*F160)*(E160-2*F160)),AND(A160="CJ",F160=""),ROUND((PI()*(D160/2)^2)-(PI()*(D160/2-E160)^2),0),TRUE,"")</f>
        <v/>
      </c>
    </row>
    <row r="161" spans="1:10" x14ac:dyDescent="0.25">
      <c r="A161">
        <f>CUBICACION!F161</f>
        <v>0</v>
      </c>
      <c r="B161">
        <f>CUBICACION!E161</f>
        <v>0</v>
      </c>
      <c r="C161" s="947">
        <f>CUBICACION!J161</f>
        <v>0</v>
      </c>
      <c r="D161" t="str" cm="1">
        <f t="array" ref="D161">_xlfn.TEXTSPLIT(B161,{"X";"x"})</f>
        <v>0</v>
      </c>
      <c r="J161" t="str" cm="1">
        <f t="array" ref="J161">_xlfn.IFS(AND(A161="IN",I161&lt;&gt;""), (E161*F161+G161*H161)+I161*(D161-F161-H161),AND(A161="IN",I161=""), (2*E161*F161)+G161*(D161-2*F161),AND(A161="CJ",F161&lt;&gt;""),(D161*E161)-((D161-2*F161)*(E161-2*F161)),AND(A161="CJ",F161=""),ROUND((PI()*(D161/2)^2)-(PI()*(D161/2-E161)^2),0),TRUE,"")</f>
        <v/>
      </c>
    </row>
    <row r="162" spans="1:10" x14ac:dyDescent="0.25">
      <c r="A162">
        <f>CUBICACION!F162</f>
        <v>0</v>
      </c>
      <c r="B162">
        <f>CUBICACION!E162</f>
        <v>0</v>
      </c>
      <c r="C162" s="947">
        <f>CUBICACION!J162</f>
        <v>0</v>
      </c>
      <c r="D162" t="str" cm="1">
        <f t="array" ref="D162">_xlfn.TEXTSPLIT(B162,{"X";"x"})</f>
        <v>0</v>
      </c>
      <c r="J162" t="str" cm="1">
        <f t="array" ref="J162">_xlfn.IFS(AND(A162="IN",I162&lt;&gt;""), (E162*F162+G162*H162)+I162*(D162-F162-H162),AND(A162="IN",I162=""), (2*E162*F162)+G162*(D162-2*F162),AND(A162="CJ",F162&lt;&gt;""),(D162*E162)-((D162-2*F162)*(E162-2*F162)),AND(A162="CJ",F162=""),ROUND((PI()*(D162/2)^2)-(PI()*(D162/2-E162)^2),0),TRUE,"")</f>
        <v/>
      </c>
    </row>
    <row r="163" spans="1:10" x14ac:dyDescent="0.25">
      <c r="A163">
        <f>CUBICACION!F163</f>
        <v>0</v>
      </c>
      <c r="B163">
        <f>CUBICACION!E163</f>
        <v>0</v>
      </c>
      <c r="C163" s="947">
        <f>CUBICACION!J163</f>
        <v>0</v>
      </c>
      <c r="D163" t="str" cm="1">
        <f t="array" ref="D163">_xlfn.TEXTSPLIT(B163,{"X";"x"})</f>
        <v>0</v>
      </c>
      <c r="J163" t="str" cm="1">
        <f t="array" ref="J163">_xlfn.IFS(AND(A163="IN",I163&lt;&gt;""), (E163*F163+G163*H163)+I163*(D163-F163-H163),AND(A163="IN",I163=""), (2*E163*F163)+G163*(D163-2*F163),AND(A163="CJ",F163&lt;&gt;""),(D163*E163)-((D163-2*F163)*(E163-2*F163)),AND(A163="CJ",F163=""),ROUND((PI()*(D163/2)^2)-(PI()*(D163/2-E163)^2),0),TRUE,"")</f>
        <v/>
      </c>
    </row>
    <row r="164" spans="1:10" x14ac:dyDescent="0.25">
      <c r="A164">
        <f>CUBICACION!F164</f>
        <v>0</v>
      </c>
      <c r="B164">
        <f>CUBICACION!E164</f>
        <v>0</v>
      </c>
      <c r="C164" s="947">
        <f>CUBICACION!J164</f>
        <v>0</v>
      </c>
      <c r="D164" t="str" cm="1">
        <f t="array" ref="D164">_xlfn.TEXTSPLIT(B164,{"X";"x"})</f>
        <v>0</v>
      </c>
      <c r="J164" t="str" cm="1">
        <f t="array" ref="J164">_xlfn.IFS(AND(A164="IN",I164&lt;&gt;""), (E164*F164+G164*H164)+I164*(D164-F164-H164),AND(A164="IN",I164=""), (2*E164*F164)+G164*(D164-2*F164),AND(A164="CJ",F164&lt;&gt;""),(D164*E164)-((D164-2*F164)*(E164-2*F164)),AND(A164="CJ",F164=""),ROUND((PI()*(D164/2)^2)-(PI()*(D164/2-E164)^2),0),TRUE,"")</f>
        <v/>
      </c>
    </row>
    <row r="165" spans="1:10" x14ac:dyDescent="0.25">
      <c r="A165">
        <f>CUBICACION!F165</f>
        <v>0</v>
      </c>
      <c r="B165">
        <f>CUBICACION!E165</f>
        <v>0</v>
      </c>
      <c r="C165" s="947">
        <f>CUBICACION!J165</f>
        <v>0</v>
      </c>
      <c r="D165" t="str" cm="1">
        <f t="array" ref="D165">_xlfn.TEXTSPLIT(B165,{"X";"x"})</f>
        <v>0</v>
      </c>
      <c r="J165" t="str" cm="1">
        <f t="array" ref="J165">_xlfn.IFS(AND(A165="IN",I165&lt;&gt;""), (E165*F165+G165*H165)+I165*(D165-F165-H165),AND(A165="IN",I165=""), (2*E165*F165)+G165*(D165-2*F165),AND(A165="CJ",F165&lt;&gt;""),(D165*E165)-((D165-2*F165)*(E165-2*F165)),AND(A165="CJ",F165=""),ROUND((PI()*(D165/2)^2)-(PI()*(D165/2-E165)^2),0),TRUE,"")</f>
        <v/>
      </c>
    </row>
    <row r="166" spans="1:10" x14ac:dyDescent="0.25">
      <c r="A166">
        <f>CUBICACION!F166</f>
        <v>0</v>
      </c>
      <c r="B166">
        <f>CUBICACION!E166</f>
        <v>0</v>
      </c>
      <c r="C166" s="947">
        <f>CUBICACION!J166</f>
        <v>0</v>
      </c>
      <c r="D166" t="str" cm="1">
        <f t="array" ref="D166">_xlfn.TEXTSPLIT(B166,{"X";"x"})</f>
        <v>0</v>
      </c>
      <c r="J166" t="str" cm="1">
        <f t="array" ref="J166">_xlfn.IFS(AND(A166="IN",I166&lt;&gt;""), (E166*F166+G166*H166)+I166*(D166-F166-H166),AND(A166="IN",I166=""), (2*E166*F166)+G166*(D166-2*F166),AND(A166="CJ",F166&lt;&gt;""),(D166*E166)-((D166-2*F166)*(E166-2*F166)),AND(A166="CJ",F166=""),ROUND((PI()*(D166/2)^2)-(PI()*(D166/2-E166)^2),0),TRUE,"")</f>
        <v/>
      </c>
    </row>
    <row r="167" spans="1:10" x14ac:dyDescent="0.25">
      <c r="A167">
        <f>CUBICACION!F167</f>
        <v>0</v>
      </c>
      <c r="B167">
        <f>CUBICACION!E167</f>
        <v>0</v>
      </c>
      <c r="C167" s="947">
        <f>CUBICACION!J167</f>
        <v>0</v>
      </c>
      <c r="D167" t="str" cm="1">
        <f t="array" ref="D167">_xlfn.TEXTSPLIT(B167,{"X";"x"})</f>
        <v>0</v>
      </c>
      <c r="J167" t="str" cm="1">
        <f t="array" ref="J167">_xlfn.IFS(AND(A167="IN",I167&lt;&gt;""), (E167*F167+G167*H167)+I167*(D167-F167-H167),AND(A167="IN",I167=""), (2*E167*F167)+G167*(D167-2*F167),AND(A167="CJ",F167&lt;&gt;""),(D167*E167)-((D167-2*F167)*(E167-2*F167)),AND(A167="CJ",F167=""),ROUND((PI()*(D167/2)^2)-(PI()*(D167/2-E167)^2),0),TRUE,"")</f>
        <v/>
      </c>
    </row>
    <row r="168" spans="1:10" x14ac:dyDescent="0.25">
      <c r="A168">
        <f>CUBICACION!F168</f>
        <v>0</v>
      </c>
      <c r="B168">
        <f>CUBICACION!E168</f>
        <v>0</v>
      </c>
      <c r="C168" s="947">
        <f>CUBICACION!J168</f>
        <v>0</v>
      </c>
      <c r="D168" t="str" cm="1">
        <f t="array" ref="D168">_xlfn.TEXTSPLIT(B168,{"X";"x"})</f>
        <v>0</v>
      </c>
      <c r="J168" t="str" cm="1">
        <f t="array" ref="J168">_xlfn.IFS(AND(A168="IN",I168&lt;&gt;""), (E168*F168+G168*H168)+I168*(D168-F168-H168),AND(A168="IN",I168=""), (2*E168*F168)+G168*(D168-2*F168),AND(A168="CJ",F168&lt;&gt;""),(D168*E168)-((D168-2*F168)*(E168-2*F168)),AND(A168="CJ",F168=""),ROUND((PI()*(D168/2)^2)-(PI()*(D168/2-E168)^2),0),TRUE,"")</f>
        <v/>
      </c>
    </row>
    <row r="169" spans="1:10" x14ac:dyDescent="0.25">
      <c r="A169">
        <f>CUBICACION!F169</f>
        <v>0</v>
      </c>
      <c r="B169">
        <f>CUBICACION!E169</f>
        <v>0</v>
      </c>
      <c r="C169" s="947">
        <f>CUBICACION!J169</f>
        <v>0</v>
      </c>
      <c r="D169" t="str" cm="1">
        <f t="array" ref="D169">_xlfn.TEXTSPLIT(B169,{"X";"x"})</f>
        <v>0</v>
      </c>
      <c r="J169" t="str" cm="1">
        <f t="array" ref="J169">_xlfn.IFS(AND(A169="IN",I169&lt;&gt;""), (E169*F169+G169*H169)+I169*(D169-F169-H169),AND(A169="IN",I169=""), (2*E169*F169)+G169*(D169-2*F169),AND(A169="CJ",F169&lt;&gt;""),(D169*E169)-((D169-2*F169)*(E169-2*F169)),AND(A169="CJ",F169=""),ROUND((PI()*(D169/2)^2)-(PI()*(D169/2-E169)^2),0),TRUE,"")</f>
        <v/>
      </c>
    </row>
    <row r="170" spans="1:10" x14ac:dyDescent="0.25">
      <c r="A170">
        <f>CUBICACION!F170</f>
        <v>0</v>
      </c>
      <c r="B170">
        <f>CUBICACION!E170</f>
        <v>0</v>
      </c>
      <c r="C170" s="947">
        <f>CUBICACION!J170</f>
        <v>0</v>
      </c>
      <c r="D170" t="str" cm="1">
        <f t="array" ref="D170">_xlfn.TEXTSPLIT(B170,{"X";"x"})</f>
        <v>0</v>
      </c>
      <c r="J170" t="str" cm="1">
        <f t="array" ref="J170">_xlfn.IFS(AND(A170="IN",I170&lt;&gt;""), (E170*F170+G170*H170)+I170*(D170-F170-H170),AND(A170="IN",I170=""), (2*E170*F170)+G170*(D170-2*F170),AND(A170="CJ",F170&lt;&gt;""),(D170*E170)-((D170-2*F170)*(E170-2*F170)),AND(A170="CJ",F170=""),ROUND((PI()*(D170/2)^2)-(PI()*(D170/2-E170)^2),0),TRUE,"")</f>
        <v/>
      </c>
    </row>
    <row r="171" spans="1:10" x14ac:dyDescent="0.25">
      <c r="A171">
        <f>CUBICACION!F171</f>
        <v>0</v>
      </c>
      <c r="B171">
        <f>CUBICACION!E171</f>
        <v>0</v>
      </c>
      <c r="C171" s="947">
        <f>CUBICACION!J171</f>
        <v>0</v>
      </c>
      <c r="D171" t="str" cm="1">
        <f t="array" ref="D171">_xlfn.TEXTSPLIT(B171,{"X";"x"})</f>
        <v>0</v>
      </c>
      <c r="J171" t="str" cm="1">
        <f t="array" ref="J171">_xlfn.IFS(AND(A171="IN",I171&lt;&gt;""), (E171*F171+G171*H171)+I171*(D171-F171-H171),AND(A171="IN",I171=""), (2*E171*F171)+G171*(D171-2*F171),AND(A171="CJ",F171&lt;&gt;""),(D171*E171)-((D171-2*F171)*(E171-2*F171)),AND(A171="CJ",F171=""),ROUND((PI()*(D171/2)^2)-(PI()*(D171/2-E171)^2),0),TRUE,"")</f>
        <v/>
      </c>
    </row>
    <row r="172" spans="1:10" x14ac:dyDescent="0.25">
      <c r="A172">
        <f>CUBICACION!F172</f>
        <v>0</v>
      </c>
      <c r="B172">
        <f>CUBICACION!E172</f>
        <v>0</v>
      </c>
      <c r="C172" s="947">
        <f>CUBICACION!J172</f>
        <v>0</v>
      </c>
      <c r="D172" t="str" cm="1">
        <f t="array" ref="D172">_xlfn.TEXTSPLIT(B172,{"X";"x"})</f>
        <v>0</v>
      </c>
      <c r="J172" t="str" cm="1">
        <f t="array" ref="J172">_xlfn.IFS(AND(A172="IN",I172&lt;&gt;""), (E172*F172+G172*H172)+I172*(D172-F172-H172),AND(A172="IN",I172=""), (2*E172*F172)+G172*(D172-2*F172),AND(A172="CJ",F172&lt;&gt;""),(D172*E172)-((D172-2*F172)*(E172-2*F172)),AND(A172="CJ",F172=""),ROUND((PI()*(D172/2)^2)-(PI()*(D172/2-E172)^2),0),TRUE,"")</f>
        <v/>
      </c>
    </row>
    <row r="173" spans="1:10" x14ac:dyDescent="0.25">
      <c r="A173">
        <f>CUBICACION!F173</f>
        <v>0</v>
      </c>
      <c r="B173">
        <f>CUBICACION!E173</f>
        <v>0</v>
      </c>
      <c r="C173" s="947">
        <f>CUBICACION!J173</f>
        <v>0</v>
      </c>
      <c r="D173" t="str" cm="1">
        <f t="array" ref="D173">_xlfn.TEXTSPLIT(B173,{"X";"x"})</f>
        <v>0</v>
      </c>
      <c r="J173" t="str" cm="1">
        <f t="array" ref="J173">_xlfn.IFS(AND(A173="IN",I173&lt;&gt;""), (E173*F173+G173*H173)+I173*(D173-F173-H173),AND(A173="IN",I173=""), (2*E173*F173)+G173*(D173-2*F173),AND(A173="CJ",F173&lt;&gt;""),(D173*E173)-((D173-2*F173)*(E173-2*F173)),AND(A173="CJ",F173=""),ROUND((PI()*(D173/2)^2)-(PI()*(D173/2-E173)^2),0),TRUE,"")</f>
        <v/>
      </c>
    </row>
    <row r="174" spans="1:10" x14ac:dyDescent="0.25">
      <c r="A174">
        <f>CUBICACION!F174</f>
        <v>0</v>
      </c>
      <c r="B174">
        <f>CUBICACION!E174</f>
        <v>0</v>
      </c>
      <c r="C174" s="947">
        <f>CUBICACION!J174</f>
        <v>0</v>
      </c>
      <c r="D174" t="str" cm="1">
        <f t="array" ref="D174">_xlfn.TEXTSPLIT(B174,{"X";"x"})</f>
        <v>0</v>
      </c>
      <c r="J174" t="str" cm="1">
        <f t="array" ref="J174">_xlfn.IFS(AND(A174="IN",I174&lt;&gt;""), (E174*F174+G174*H174)+I174*(D174-F174-H174),AND(A174="IN",I174=""), (2*E174*F174)+G174*(D174-2*F174),AND(A174="CJ",F174&lt;&gt;""),(D174*E174)-((D174-2*F174)*(E174-2*F174)),AND(A174="CJ",F174=""),ROUND((PI()*(D174/2)^2)-(PI()*(D174/2-E174)^2),0),TRUE,"")</f>
        <v/>
      </c>
    </row>
    <row r="175" spans="1:10" x14ac:dyDescent="0.25">
      <c r="A175">
        <f>CUBICACION!F175</f>
        <v>0</v>
      </c>
      <c r="B175">
        <f>CUBICACION!E175</f>
        <v>0</v>
      </c>
      <c r="C175" s="947">
        <f>CUBICACION!J175</f>
        <v>0</v>
      </c>
      <c r="D175" t="str" cm="1">
        <f t="array" ref="D175">_xlfn.TEXTSPLIT(B175,{"X";"x"})</f>
        <v>0</v>
      </c>
      <c r="J175" t="str" cm="1">
        <f t="array" ref="J175">_xlfn.IFS(AND(A175="IN",I175&lt;&gt;""), (E175*F175+G175*H175)+I175*(D175-F175-H175),AND(A175="IN",I175=""), (2*E175*F175)+G175*(D175-2*F175),AND(A175="CJ",F175&lt;&gt;""),(D175*E175)-((D175-2*F175)*(E175-2*F175)),AND(A175="CJ",F175=""),ROUND((PI()*(D175/2)^2)-(PI()*(D175/2-E175)^2),0),TRUE,"")</f>
        <v/>
      </c>
    </row>
    <row r="176" spans="1:10" x14ac:dyDescent="0.25">
      <c r="A176">
        <f>CUBICACION!F176</f>
        <v>0</v>
      </c>
      <c r="B176">
        <f>CUBICACION!E176</f>
        <v>0</v>
      </c>
      <c r="C176" s="947">
        <f>CUBICACION!J176</f>
        <v>0</v>
      </c>
      <c r="D176" t="str" cm="1">
        <f t="array" ref="D176">_xlfn.TEXTSPLIT(B176,{"X";"x"})</f>
        <v>0</v>
      </c>
      <c r="J176" t="str" cm="1">
        <f t="array" ref="J176">_xlfn.IFS(AND(A176="IN",I176&lt;&gt;""), (E176*F176+G176*H176)+I176*(D176-F176-H176),AND(A176="IN",I176=""), (2*E176*F176)+G176*(D176-2*F176),AND(A176="CJ",F176&lt;&gt;""),(D176*E176)-((D176-2*F176)*(E176-2*F176)),AND(A176="CJ",F176=""),ROUND((PI()*(D176/2)^2)-(PI()*(D176/2-E176)^2),0),TRUE,"")</f>
        <v/>
      </c>
    </row>
    <row r="177" spans="1:10" x14ac:dyDescent="0.25">
      <c r="A177">
        <f>CUBICACION!F177</f>
        <v>0</v>
      </c>
      <c r="B177">
        <f>CUBICACION!E177</f>
        <v>0</v>
      </c>
      <c r="C177" s="947">
        <f>CUBICACION!J177</f>
        <v>0</v>
      </c>
      <c r="D177" t="str" cm="1">
        <f t="array" ref="D177">_xlfn.TEXTSPLIT(B177,{"X";"x"})</f>
        <v>0</v>
      </c>
      <c r="J177" t="str" cm="1">
        <f t="array" ref="J177">_xlfn.IFS(AND(A177="IN",I177&lt;&gt;""), (E177*F177+G177*H177)+I177*(D177-F177-H177),AND(A177="IN",I177=""), (2*E177*F177)+G177*(D177-2*F177),AND(A177="CJ",F177&lt;&gt;""),(D177*E177)-((D177-2*F177)*(E177-2*F177)),AND(A177="CJ",F177=""),ROUND((PI()*(D177/2)^2)-(PI()*(D177/2-E177)^2),0),TRUE,"")</f>
        <v/>
      </c>
    </row>
    <row r="178" spans="1:10" x14ac:dyDescent="0.25">
      <c r="A178">
        <f>CUBICACION!F178</f>
        <v>0</v>
      </c>
      <c r="B178">
        <f>CUBICACION!E178</f>
        <v>0</v>
      </c>
      <c r="C178" s="947">
        <f>CUBICACION!J178</f>
        <v>0</v>
      </c>
      <c r="D178" t="str" cm="1">
        <f t="array" ref="D178">_xlfn.TEXTSPLIT(B178,{"X";"x"})</f>
        <v>0</v>
      </c>
      <c r="J178" t="str" cm="1">
        <f t="array" ref="J178">_xlfn.IFS(AND(A178="IN",I178&lt;&gt;""), (E178*F178+G178*H178)+I178*(D178-F178-H178),AND(A178="IN",I178=""), (2*E178*F178)+G178*(D178-2*F178),AND(A178="CJ",F178&lt;&gt;""),(D178*E178)-((D178-2*F178)*(E178-2*F178)),AND(A178="CJ",F178=""),ROUND((PI()*(D178/2)^2)-(PI()*(D178/2-E178)^2),0),TRUE,"")</f>
        <v/>
      </c>
    </row>
    <row r="179" spans="1:10" x14ac:dyDescent="0.25">
      <c r="A179">
        <f>CUBICACION!F179</f>
        <v>0</v>
      </c>
      <c r="B179">
        <f>CUBICACION!E179</f>
        <v>0</v>
      </c>
      <c r="C179" s="947">
        <f>CUBICACION!J179</f>
        <v>0</v>
      </c>
      <c r="D179" t="str" cm="1">
        <f t="array" ref="D179">_xlfn.TEXTSPLIT(B179,{"X";"x"})</f>
        <v>0</v>
      </c>
      <c r="J179" t="str" cm="1">
        <f t="array" ref="J179">_xlfn.IFS(AND(A179="IN",I179&lt;&gt;""), (E179*F179+G179*H179)+I179*(D179-F179-H179),AND(A179="IN",I179=""), (2*E179*F179)+G179*(D179-2*F179),AND(A179="CJ",F179&lt;&gt;""),(D179*E179)-((D179-2*F179)*(E179-2*F179)),AND(A179="CJ",F179=""),ROUND((PI()*(D179/2)^2)-(PI()*(D179/2-E179)^2),0),TRUE,"")</f>
        <v/>
      </c>
    </row>
    <row r="180" spans="1:10" x14ac:dyDescent="0.25">
      <c r="A180">
        <f>CUBICACION!F180</f>
        <v>0</v>
      </c>
      <c r="B180">
        <f>CUBICACION!E180</f>
        <v>0</v>
      </c>
      <c r="C180" s="947">
        <f>CUBICACION!J180</f>
        <v>0</v>
      </c>
      <c r="D180" t="str" cm="1">
        <f t="array" ref="D180">_xlfn.TEXTSPLIT(B180,{"X";"x"})</f>
        <v>0</v>
      </c>
      <c r="J180" t="str" cm="1">
        <f t="array" ref="J180">_xlfn.IFS(AND(A180="IN",I180&lt;&gt;""), (E180*F180+G180*H180)+I180*(D180-F180-H180),AND(A180="IN",I180=""), (2*E180*F180)+G180*(D180-2*F180),AND(A180="CJ",F180&lt;&gt;""),(D180*E180)-((D180-2*F180)*(E180-2*F180)),AND(A180="CJ",F180=""),ROUND((PI()*(D180/2)^2)-(PI()*(D180/2-E180)^2),0),TRUE,"")</f>
        <v/>
      </c>
    </row>
    <row r="181" spans="1:10" x14ac:dyDescent="0.25">
      <c r="A181">
        <f>CUBICACION!F181</f>
        <v>0</v>
      </c>
      <c r="B181">
        <f>CUBICACION!E181</f>
        <v>0</v>
      </c>
      <c r="C181" s="947">
        <f>CUBICACION!J181</f>
        <v>0</v>
      </c>
      <c r="D181" t="str" cm="1">
        <f t="array" ref="D181">_xlfn.TEXTSPLIT(B181,{"X";"x"})</f>
        <v>0</v>
      </c>
      <c r="J181" t="str" cm="1">
        <f t="array" ref="J181">_xlfn.IFS(AND(A181="IN",I181&lt;&gt;""), (E181*F181+G181*H181)+I181*(D181-F181-H181),AND(A181="IN",I181=""), (2*E181*F181)+G181*(D181-2*F181),AND(A181="CJ",F181&lt;&gt;""),(D181*E181)-((D181-2*F181)*(E181-2*F181)),AND(A181="CJ",F181=""),ROUND((PI()*(D181/2)^2)-(PI()*(D181/2-E181)^2),0),TRUE,"")</f>
        <v/>
      </c>
    </row>
    <row r="182" spans="1:10" x14ac:dyDescent="0.25">
      <c r="A182">
        <f>CUBICACION!F182</f>
        <v>0</v>
      </c>
      <c r="B182">
        <f>CUBICACION!E182</f>
        <v>0</v>
      </c>
      <c r="C182" s="947">
        <f>CUBICACION!J182</f>
        <v>0</v>
      </c>
      <c r="D182" t="str" cm="1">
        <f t="array" ref="D182">_xlfn.TEXTSPLIT(B182,{"X";"x"})</f>
        <v>0</v>
      </c>
      <c r="J182" t="str" cm="1">
        <f t="array" ref="J182">_xlfn.IFS(AND(A182="IN",I182&lt;&gt;""), (E182*F182+G182*H182)+I182*(D182-F182-H182),AND(A182="IN",I182=""), (2*E182*F182)+G182*(D182-2*F182),AND(A182="CJ",F182&lt;&gt;""),(D182*E182)-((D182-2*F182)*(E182-2*F182)),AND(A182="CJ",F182=""),ROUND((PI()*(D182/2)^2)-(PI()*(D182/2-E182)^2),0),TRUE,"")</f>
        <v/>
      </c>
    </row>
    <row r="183" spans="1:10" x14ac:dyDescent="0.25">
      <c r="A183">
        <f>CUBICACION!F183</f>
        <v>0</v>
      </c>
      <c r="B183">
        <f>CUBICACION!E183</f>
        <v>0</v>
      </c>
      <c r="C183" s="947">
        <f>CUBICACION!J183</f>
        <v>0</v>
      </c>
      <c r="D183" t="str" cm="1">
        <f t="array" ref="D183">_xlfn.TEXTSPLIT(B183,{"X";"x"})</f>
        <v>0</v>
      </c>
      <c r="J183" t="str" cm="1">
        <f t="array" ref="J183">_xlfn.IFS(AND(A183="IN",I183&lt;&gt;""), (E183*F183+G183*H183)+I183*(D183-F183-H183),AND(A183="IN",I183=""), (2*E183*F183)+G183*(D183-2*F183),AND(A183="CJ",F183&lt;&gt;""),(D183*E183)-((D183-2*F183)*(E183-2*F183)),AND(A183="CJ",F183=""),ROUND((PI()*(D183/2)^2)-(PI()*(D183/2-E183)^2),0),TRUE,"")</f>
        <v/>
      </c>
    </row>
    <row r="184" spans="1:10" x14ac:dyDescent="0.25">
      <c r="A184">
        <f>CUBICACION!F184</f>
        <v>0</v>
      </c>
      <c r="B184">
        <f>CUBICACION!E184</f>
        <v>0</v>
      </c>
      <c r="C184" s="947">
        <f>CUBICACION!J184</f>
        <v>0</v>
      </c>
      <c r="D184" t="str" cm="1">
        <f t="array" ref="D184">_xlfn.TEXTSPLIT(B184,{"X";"x"})</f>
        <v>0</v>
      </c>
      <c r="J184" t="str" cm="1">
        <f t="array" ref="J184">_xlfn.IFS(AND(A184="IN",I184&lt;&gt;""), (E184*F184+G184*H184)+I184*(D184-F184-H184),AND(A184="IN",I184=""), (2*E184*F184)+G184*(D184-2*F184),AND(A184="CJ",F184&lt;&gt;""),(D184*E184)-((D184-2*F184)*(E184-2*F184)),AND(A184="CJ",F184=""),ROUND((PI()*(D184/2)^2)-(PI()*(D184/2-E184)^2),0),TRUE,"")</f>
        <v/>
      </c>
    </row>
    <row r="185" spans="1:10" x14ac:dyDescent="0.25">
      <c r="A185">
        <f>CUBICACION!F185</f>
        <v>0</v>
      </c>
      <c r="B185">
        <f>CUBICACION!E185</f>
        <v>0</v>
      </c>
      <c r="C185" s="947">
        <f>CUBICACION!J185</f>
        <v>0</v>
      </c>
      <c r="D185" t="str" cm="1">
        <f t="array" ref="D185">_xlfn.TEXTSPLIT(B185,{"X";"x"})</f>
        <v>0</v>
      </c>
      <c r="J185" t="str" cm="1">
        <f t="array" ref="J185">_xlfn.IFS(AND(A185="IN",I185&lt;&gt;""), (E185*F185+G185*H185)+I185*(D185-F185-H185),AND(A185="IN",I185=""), (2*E185*F185)+G185*(D185-2*F185),AND(A185="CJ",F185&lt;&gt;""),(D185*E185)-((D185-2*F185)*(E185-2*F185)),AND(A185="CJ",F185=""),ROUND((PI()*(D185/2)^2)-(PI()*(D185/2-E185)^2),0),TRUE,"")</f>
        <v/>
      </c>
    </row>
    <row r="186" spans="1:10" x14ac:dyDescent="0.25">
      <c r="A186">
        <f>CUBICACION!F186</f>
        <v>0</v>
      </c>
      <c r="B186">
        <f>CUBICACION!E186</f>
        <v>0</v>
      </c>
      <c r="C186" s="947">
        <f>CUBICACION!J186</f>
        <v>0</v>
      </c>
      <c r="D186" t="str" cm="1">
        <f t="array" ref="D186">_xlfn.TEXTSPLIT(B186,{"X";"x"})</f>
        <v>0</v>
      </c>
      <c r="J186" t="str" cm="1">
        <f t="array" ref="J186">_xlfn.IFS(AND(A186="IN",I186&lt;&gt;""), (E186*F186+G186*H186)+I186*(D186-F186-H186),AND(A186="IN",I186=""), (2*E186*F186)+G186*(D186-2*F186),AND(A186="CJ",F186&lt;&gt;""),(D186*E186)-((D186-2*F186)*(E186-2*F186)),AND(A186="CJ",F186=""),ROUND((PI()*(D186/2)^2)-(PI()*(D186/2-E186)^2),0),TRUE,"")</f>
        <v/>
      </c>
    </row>
    <row r="187" spans="1:10" x14ac:dyDescent="0.25">
      <c r="A187">
        <f>CUBICACION!F187</f>
        <v>0</v>
      </c>
      <c r="B187">
        <f>CUBICACION!E187</f>
        <v>0</v>
      </c>
      <c r="C187" s="947">
        <f>CUBICACION!J187</f>
        <v>0</v>
      </c>
      <c r="D187" t="str" cm="1">
        <f t="array" ref="D187">_xlfn.TEXTSPLIT(B187,{"X";"x"})</f>
        <v>0</v>
      </c>
      <c r="J187" t="str" cm="1">
        <f t="array" ref="J187">_xlfn.IFS(AND(A187="IN",I187&lt;&gt;""), (E187*F187+G187*H187)+I187*(D187-F187-H187),AND(A187="IN",I187=""), (2*E187*F187)+G187*(D187-2*F187),AND(A187="CJ",F187&lt;&gt;""),(D187*E187)-((D187-2*F187)*(E187-2*F187)),AND(A187="CJ",F187=""),ROUND((PI()*(D187/2)^2)-(PI()*(D187/2-E187)^2),0),TRUE,"")</f>
        <v/>
      </c>
    </row>
    <row r="188" spans="1:10" x14ac:dyDescent="0.25">
      <c r="A188">
        <f>CUBICACION!F188</f>
        <v>0</v>
      </c>
      <c r="B188">
        <f>CUBICACION!E188</f>
        <v>0</v>
      </c>
      <c r="C188" s="947">
        <f>CUBICACION!J188</f>
        <v>0</v>
      </c>
      <c r="D188" t="str" cm="1">
        <f t="array" ref="D188">_xlfn.TEXTSPLIT(B188,{"X";"x"})</f>
        <v>0</v>
      </c>
      <c r="J188" t="str" cm="1">
        <f t="array" ref="J188">_xlfn.IFS(AND(A188="IN",I188&lt;&gt;""), (E188*F188+G188*H188)+I188*(D188-F188-H188),AND(A188="IN",I188=""), (2*E188*F188)+G188*(D188-2*F188),AND(A188="CJ",F188&lt;&gt;""),(D188*E188)-((D188-2*F188)*(E188-2*F188)),AND(A188="CJ",F188=""),ROUND((PI()*(D188/2)^2)-(PI()*(D188/2-E188)^2),0),TRUE,"")</f>
        <v/>
      </c>
    </row>
    <row r="189" spans="1:10" x14ac:dyDescent="0.25">
      <c r="A189">
        <f>CUBICACION!F189</f>
        <v>0</v>
      </c>
      <c r="B189">
        <f>CUBICACION!E189</f>
        <v>0</v>
      </c>
      <c r="C189" s="947">
        <f>CUBICACION!J189</f>
        <v>0</v>
      </c>
      <c r="D189" t="str" cm="1">
        <f t="array" ref="D189">_xlfn.TEXTSPLIT(B189,{"X";"x"})</f>
        <v>0</v>
      </c>
      <c r="J189" t="str" cm="1">
        <f t="array" ref="J189">_xlfn.IFS(AND(A189="IN",I189&lt;&gt;""), (E189*F189+G189*H189)+I189*(D189-F189-H189),AND(A189="IN",I189=""), (2*E189*F189)+G189*(D189-2*F189),AND(A189="CJ",F189&lt;&gt;""),(D189*E189)-((D189-2*F189)*(E189-2*F189)),AND(A189="CJ",F189=""),ROUND((PI()*(D189/2)^2)-(PI()*(D189/2-E189)^2),0),TRUE,"")</f>
        <v/>
      </c>
    </row>
    <row r="190" spans="1:10" x14ac:dyDescent="0.25">
      <c r="A190">
        <f>CUBICACION!F190</f>
        <v>0</v>
      </c>
      <c r="B190">
        <f>CUBICACION!E190</f>
        <v>0</v>
      </c>
      <c r="C190" s="947">
        <f>CUBICACION!J190</f>
        <v>0</v>
      </c>
      <c r="D190" t="str" cm="1">
        <f t="array" ref="D190">_xlfn.TEXTSPLIT(B190,{"X";"x"})</f>
        <v>0</v>
      </c>
      <c r="J190" t="str" cm="1">
        <f t="array" ref="J190">_xlfn.IFS(AND(A190="IN",I190&lt;&gt;""), (E190*F190+G190*H190)+I190*(D190-F190-H190),AND(A190="IN",I190=""), (2*E190*F190)+G190*(D190-2*F190),AND(A190="CJ",F190&lt;&gt;""),(D190*E190)-((D190-2*F190)*(E190-2*F190)),AND(A190="CJ",F190=""),ROUND((PI()*(D190/2)^2)-(PI()*(D190/2-E190)^2),0),TRUE,"")</f>
        <v/>
      </c>
    </row>
    <row r="191" spans="1:10" x14ac:dyDescent="0.25">
      <c r="A191">
        <f>CUBICACION!F191</f>
        <v>0</v>
      </c>
      <c r="B191">
        <f>CUBICACION!E191</f>
        <v>0</v>
      </c>
      <c r="C191" s="947">
        <f>CUBICACION!J191</f>
        <v>0</v>
      </c>
      <c r="D191" t="str" cm="1">
        <f t="array" ref="D191">_xlfn.TEXTSPLIT(B191,{"X";"x"})</f>
        <v>0</v>
      </c>
      <c r="J191" t="str" cm="1">
        <f t="array" ref="J191">_xlfn.IFS(AND(A191="IN",I191&lt;&gt;""), (E191*F191+G191*H191)+I191*(D191-F191-H191),AND(A191="IN",I191=""), (2*E191*F191)+G191*(D191-2*F191),AND(A191="CJ",F191&lt;&gt;""),(D191*E191)-((D191-2*F191)*(E191-2*F191)),AND(A191="CJ",F191=""),ROUND((PI()*(D191/2)^2)-(PI()*(D191/2-E191)^2),0),TRUE,"")</f>
        <v/>
      </c>
    </row>
    <row r="192" spans="1:10" x14ac:dyDescent="0.25">
      <c r="A192">
        <f>CUBICACION!F192</f>
        <v>0</v>
      </c>
      <c r="B192">
        <f>CUBICACION!E192</f>
        <v>0</v>
      </c>
      <c r="C192" s="947">
        <f>CUBICACION!J192</f>
        <v>0</v>
      </c>
      <c r="D192" t="str" cm="1">
        <f t="array" ref="D192">_xlfn.TEXTSPLIT(B192,{"X";"x"})</f>
        <v>0</v>
      </c>
      <c r="J192" t="str" cm="1">
        <f t="array" ref="J192">_xlfn.IFS(AND(A192="IN",I192&lt;&gt;""), (E192*F192+G192*H192)+I192*(D192-F192-H192),AND(A192="IN",I192=""), (2*E192*F192)+G192*(D192-2*F192),AND(A192="CJ",F192&lt;&gt;""),(D192*E192)-((D192-2*F192)*(E192-2*F192)),AND(A192="CJ",F192=""),ROUND((PI()*(D192/2)^2)-(PI()*(D192/2-E192)^2),0),TRUE,"")</f>
        <v/>
      </c>
    </row>
    <row r="193" spans="1:10" x14ac:dyDescent="0.25">
      <c r="A193">
        <f>CUBICACION!F193</f>
        <v>0</v>
      </c>
      <c r="B193">
        <f>CUBICACION!E193</f>
        <v>0</v>
      </c>
      <c r="C193" s="947">
        <f>CUBICACION!J193</f>
        <v>0</v>
      </c>
      <c r="D193" t="str" cm="1">
        <f t="array" ref="D193">_xlfn.TEXTSPLIT(B193,{"X";"x"})</f>
        <v>0</v>
      </c>
      <c r="J193" t="str" cm="1">
        <f t="array" ref="J193">_xlfn.IFS(AND(A193="IN",I193&lt;&gt;""), (E193*F193+G193*H193)+I193*(D193-F193-H193),AND(A193="IN",I193=""), (2*E193*F193)+G193*(D193-2*F193),AND(A193="CJ",F193&lt;&gt;""),(D193*E193)-((D193-2*F193)*(E193-2*F193)),AND(A193="CJ",F193=""),ROUND((PI()*(D193/2)^2)-(PI()*(D193/2-E193)^2),0),TRUE,"")</f>
        <v/>
      </c>
    </row>
    <row r="194" spans="1:10" x14ac:dyDescent="0.25">
      <c r="A194">
        <f>CUBICACION!F194</f>
        <v>0</v>
      </c>
      <c r="B194">
        <f>CUBICACION!E194</f>
        <v>0</v>
      </c>
      <c r="C194" s="947">
        <f>CUBICACION!J194</f>
        <v>0</v>
      </c>
      <c r="D194" t="str" cm="1">
        <f t="array" ref="D194">_xlfn.TEXTSPLIT(B194,{"X";"x"})</f>
        <v>0</v>
      </c>
      <c r="J194" t="str" cm="1">
        <f t="array" ref="J194">_xlfn.IFS(AND(A194="IN",I194&lt;&gt;""), (E194*F194+G194*H194)+I194*(D194-F194-H194),AND(A194="IN",I194=""), (2*E194*F194)+G194*(D194-2*F194),AND(A194="CJ",F194&lt;&gt;""),(D194*E194)-((D194-2*F194)*(E194-2*F194)),AND(A194="CJ",F194=""),ROUND((PI()*(D194/2)^2)-(PI()*(D194/2-E194)^2),0),TRUE,"")</f>
        <v/>
      </c>
    </row>
    <row r="195" spans="1:10" x14ac:dyDescent="0.25">
      <c r="A195">
        <f>CUBICACION!F195</f>
        <v>0</v>
      </c>
      <c r="B195">
        <f>CUBICACION!E195</f>
        <v>0</v>
      </c>
      <c r="C195" s="947">
        <f>CUBICACION!J195</f>
        <v>0</v>
      </c>
      <c r="D195" t="str" cm="1">
        <f t="array" ref="D195">_xlfn.TEXTSPLIT(B195,{"X";"x"})</f>
        <v>0</v>
      </c>
      <c r="J195" t="str" cm="1">
        <f t="array" ref="J195">_xlfn.IFS(AND(A195="IN",I195&lt;&gt;""), (E195*F195+G195*H195)+I195*(D195-F195-H195),AND(A195="IN",I195=""), (2*E195*F195)+G195*(D195-2*F195),AND(A195="CJ",F195&lt;&gt;""),(D195*E195)-((D195-2*F195)*(E195-2*F195)),AND(A195="CJ",F195=""),ROUND((PI()*(D195/2)^2)-(PI()*(D195/2-E195)^2),0),TRUE,"")</f>
        <v/>
      </c>
    </row>
    <row r="196" spans="1:10" x14ac:dyDescent="0.25">
      <c r="A196">
        <f>CUBICACION!F196</f>
        <v>0</v>
      </c>
      <c r="B196">
        <f>CUBICACION!E196</f>
        <v>0</v>
      </c>
      <c r="C196" s="947">
        <f>CUBICACION!J196</f>
        <v>0</v>
      </c>
      <c r="D196" t="str" cm="1">
        <f t="array" ref="D196">_xlfn.TEXTSPLIT(B196,{"X";"x"})</f>
        <v>0</v>
      </c>
      <c r="J196" t="str" cm="1">
        <f t="array" ref="J196">_xlfn.IFS(AND(A196="IN",I196&lt;&gt;""), (E196*F196+G196*H196)+I196*(D196-F196-H196),AND(A196="IN",I196=""), (2*E196*F196)+G196*(D196-2*F196),AND(A196="CJ",F196&lt;&gt;""),(D196*E196)-((D196-2*F196)*(E196-2*F196)),AND(A196="CJ",F196=""),ROUND((PI()*(D196/2)^2)-(PI()*(D196/2-E196)^2),0),TRUE,"")</f>
        <v/>
      </c>
    </row>
    <row r="197" spans="1:10" x14ac:dyDescent="0.25">
      <c r="A197">
        <f>CUBICACION!F197</f>
        <v>0</v>
      </c>
      <c r="B197">
        <f>CUBICACION!E197</f>
        <v>0</v>
      </c>
      <c r="C197" s="947">
        <f>CUBICACION!J197</f>
        <v>0</v>
      </c>
      <c r="D197" t="str" cm="1">
        <f t="array" ref="D197">_xlfn.TEXTSPLIT(B197,{"X";"x"})</f>
        <v>0</v>
      </c>
      <c r="J197" t="str" cm="1">
        <f t="array" ref="J197">_xlfn.IFS(AND(A197="IN",I197&lt;&gt;""), (E197*F197+G197*H197)+I197*(D197-F197-H197),AND(A197="IN",I197=""), (2*E197*F197)+G197*(D197-2*F197),AND(A197="CJ",F197&lt;&gt;""),(D197*E197)-((D197-2*F197)*(E197-2*F197)),AND(A197="CJ",F197=""),ROUND((PI()*(D197/2)^2)-(PI()*(D197/2-E197)^2),0),TRUE,"")</f>
        <v/>
      </c>
    </row>
    <row r="198" spans="1:10" x14ac:dyDescent="0.25">
      <c r="A198">
        <f>CUBICACION!F198</f>
        <v>0</v>
      </c>
      <c r="B198">
        <f>CUBICACION!E198</f>
        <v>0</v>
      </c>
      <c r="C198" s="947">
        <f>CUBICACION!J198</f>
        <v>0</v>
      </c>
      <c r="D198" t="str" cm="1">
        <f t="array" ref="D198">_xlfn.TEXTSPLIT(B198,{"X";"x"})</f>
        <v>0</v>
      </c>
      <c r="J198" t="str" cm="1">
        <f t="array" ref="J198">_xlfn.IFS(AND(A198="IN",I198&lt;&gt;""), (E198*F198+G198*H198)+I198*(D198-F198-H198),AND(A198="IN",I198=""), (2*E198*F198)+G198*(D198-2*F198),AND(A198="CJ",F198&lt;&gt;""),(D198*E198)-((D198-2*F198)*(E198-2*F198)),AND(A198="CJ",F198=""),ROUND((PI()*(D198/2)^2)-(PI()*(D198/2-E198)^2),0),TRUE,"")</f>
        <v/>
      </c>
    </row>
    <row r="199" spans="1:10" x14ac:dyDescent="0.25">
      <c r="A199">
        <f>CUBICACION!F199</f>
        <v>0</v>
      </c>
      <c r="B199">
        <f>CUBICACION!E199</f>
        <v>0</v>
      </c>
      <c r="C199" s="947">
        <f>CUBICACION!J199</f>
        <v>0</v>
      </c>
      <c r="D199" t="str" cm="1">
        <f t="array" ref="D199">_xlfn.TEXTSPLIT(B199,{"X";"x"})</f>
        <v>0</v>
      </c>
      <c r="J199" t="str" cm="1">
        <f t="array" ref="J199">_xlfn.IFS(AND(A199="IN",I199&lt;&gt;""), (E199*F199+G199*H199)+I199*(D199-F199-H199),AND(A199="IN",I199=""), (2*E199*F199)+G199*(D199-2*F199),AND(A199="CJ",F199&lt;&gt;""),(D199*E199)-((D199-2*F199)*(E199-2*F199)),AND(A199="CJ",F199=""),ROUND((PI()*(D199/2)^2)-(PI()*(D199/2-E199)^2),0),TRUE,"")</f>
        <v/>
      </c>
    </row>
    <row r="200" spans="1:10" x14ac:dyDescent="0.25">
      <c r="A200">
        <f>CUBICACION!F200</f>
        <v>0</v>
      </c>
      <c r="B200">
        <f>CUBICACION!E200</f>
        <v>0</v>
      </c>
      <c r="C200" s="947">
        <f>CUBICACION!J200</f>
        <v>0</v>
      </c>
      <c r="D200" t="str" cm="1">
        <f t="array" ref="D200">_xlfn.TEXTSPLIT(B200,{"X";"x"})</f>
        <v>0</v>
      </c>
      <c r="J200" t="str" cm="1">
        <f t="array" ref="J200">_xlfn.IFS(AND(A200="IN",I200&lt;&gt;""), (E200*F200+G200*H200)+I200*(D200-F200-H200),AND(A200="IN",I200=""), (2*E200*F200)+G200*(D200-2*F200),AND(A200="CJ",F200&lt;&gt;""),(D200*E200)-((D200-2*F200)*(E200-2*F200)),AND(A200="CJ",F200=""),ROUND((PI()*(D200/2)^2)-(PI()*(D200/2-E200)^2),0),TRUE,"")</f>
        <v/>
      </c>
    </row>
    <row r="201" spans="1:10" x14ac:dyDescent="0.25">
      <c r="A201">
        <f>CUBICACION!F201</f>
        <v>0</v>
      </c>
      <c r="B201">
        <f>CUBICACION!E201</f>
        <v>0</v>
      </c>
      <c r="C201" s="947">
        <f>CUBICACION!J201</f>
        <v>0</v>
      </c>
      <c r="D201" t="str" cm="1">
        <f t="array" ref="D201">_xlfn.TEXTSPLIT(B201,{"X";"x"})</f>
        <v>0</v>
      </c>
      <c r="J201" t="str" cm="1">
        <f t="array" ref="J201">_xlfn.IFS(AND(A201="IN",I201&lt;&gt;""), (E201*F201+G201*H201)+I201*(D201-F201-H201),AND(A201="IN",I201=""), (2*E201*F201)+G201*(D201-2*F201),AND(A201="CJ",F201&lt;&gt;""),(D201*E201)-((D201-2*F201)*(E201-2*F201)),AND(A201="CJ",F201=""),ROUND((PI()*(D201/2)^2)-(PI()*(D201/2-E201)^2),0),TRUE,"")</f>
        <v/>
      </c>
    </row>
    <row r="202" spans="1:10" x14ac:dyDescent="0.25">
      <c r="A202">
        <f>CUBICACION!F202</f>
        <v>0</v>
      </c>
      <c r="B202">
        <f>CUBICACION!E202</f>
        <v>0</v>
      </c>
      <c r="C202" s="947">
        <f>CUBICACION!J202</f>
        <v>0</v>
      </c>
      <c r="D202" t="str" cm="1">
        <f t="array" ref="D202">_xlfn.TEXTSPLIT(B202,{"X";"x"})</f>
        <v>0</v>
      </c>
      <c r="J202" t="str" cm="1">
        <f t="array" ref="J202">_xlfn.IFS(AND(A202="IN",I202&lt;&gt;""), (E202*F202+G202*H202)+I202*(D202-F202-H202),AND(A202="IN",I202=""), (2*E202*F202)+G202*(D202-2*F202),AND(A202="CJ",F202&lt;&gt;""),(D202*E202)-((D202-2*F202)*(E202-2*F202)),AND(A202="CJ",F202=""),ROUND((PI()*(D202/2)^2)-(PI()*(D202/2-E202)^2),0),TRUE,"")</f>
        <v/>
      </c>
    </row>
    <row r="203" spans="1:10" x14ac:dyDescent="0.25">
      <c r="A203">
        <f>CUBICACION!F203</f>
        <v>0</v>
      </c>
      <c r="B203">
        <f>CUBICACION!E203</f>
        <v>0</v>
      </c>
      <c r="C203" s="947">
        <f>CUBICACION!J203</f>
        <v>0</v>
      </c>
      <c r="D203" t="str" cm="1">
        <f t="array" ref="D203">_xlfn.TEXTSPLIT(B203,{"X";"x"})</f>
        <v>0</v>
      </c>
      <c r="J203" t="str" cm="1">
        <f t="array" ref="J203">_xlfn.IFS(AND(A203="IN",I203&lt;&gt;""), (E203*F203+G203*H203)+I203*(D203-F203-H203),AND(A203="IN",I203=""), (2*E203*F203)+G203*(D203-2*F203),AND(A203="CJ",F203&lt;&gt;""),(D203*E203)-((D203-2*F203)*(E203-2*F203)),AND(A203="CJ",F203=""),ROUND((PI()*(D203/2)^2)-(PI()*(D203/2-E203)^2),0),TRUE,"")</f>
        <v/>
      </c>
    </row>
    <row r="204" spans="1:10" x14ac:dyDescent="0.25">
      <c r="A204">
        <f>CUBICACION!F204</f>
        <v>0</v>
      </c>
      <c r="B204">
        <f>CUBICACION!E204</f>
        <v>0</v>
      </c>
      <c r="C204" s="947">
        <f>CUBICACION!J204</f>
        <v>0</v>
      </c>
      <c r="D204" t="str" cm="1">
        <f t="array" ref="D204">_xlfn.TEXTSPLIT(B204,{"X";"x"})</f>
        <v>0</v>
      </c>
      <c r="J204" t="str" cm="1">
        <f t="array" ref="J204">_xlfn.IFS(AND(A204="IN",I204&lt;&gt;""), (E204*F204+G204*H204)+I204*(D204-F204-H204),AND(A204="IN",I204=""), (2*E204*F204)+G204*(D204-2*F204),AND(A204="CJ",F204&lt;&gt;""),(D204*E204)-((D204-2*F204)*(E204-2*F204)),AND(A204="CJ",F204=""),ROUND((PI()*(D204/2)^2)-(PI()*(D204/2-E204)^2),0),TRUE,"")</f>
        <v/>
      </c>
    </row>
    <row r="205" spans="1:10" x14ac:dyDescent="0.25">
      <c r="A205">
        <f>CUBICACION!F205</f>
        <v>0</v>
      </c>
      <c r="B205">
        <f>CUBICACION!E205</f>
        <v>0</v>
      </c>
      <c r="C205" s="947">
        <f>CUBICACION!J205</f>
        <v>0</v>
      </c>
      <c r="D205" t="str" cm="1">
        <f t="array" ref="D205">_xlfn.TEXTSPLIT(B205,{"X";"x"})</f>
        <v>0</v>
      </c>
      <c r="J205" t="str" cm="1">
        <f t="array" ref="J205">_xlfn.IFS(AND(A205="IN",I205&lt;&gt;""), (E205*F205+G205*H205)+I205*(D205-F205-H205),AND(A205="IN",I205=""), (2*E205*F205)+G205*(D205-2*F205),AND(A205="CJ",F205&lt;&gt;""),(D205*E205)-((D205-2*F205)*(E205-2*F205)),AND(A205="CJ",F205=""),ROUND((PI()*(D205/2)^2)-(PI()*(D205/2-E205)^2),0),TRUE,"")</f>
        <v/>
      </c>
    </row>
    <row r="206" spans="1:10" x14ac:dyDescent="0.25">
      <c r="A206">
        <f>CUBICACION!F206</f>
        <v>0</v>
      </c>
      <c r="B206">
        <f>CUBICACION!E206</f>
        <v>0</v>
      </c>
      <c r="C206" s="947">
        <f>CUBICACION!J206</f>
        <v>0</v>
      </c>
      <c r="D206" t="str" cm="1">
        <f t="array" ref="D206">_xlfn.TEXTSPLIT(B206,{"X";"x"})</f>
        <v>0</v>
      </c>
      <c r="J206" t="str" cm="1">
        <f t="array" ref="J206">_xlfn.IFS(AND(A206="IN",I206&lt;&gt;""), (E206*F206+G206*H206)+I206*(D206-F206-H206),AND(A206="IN",I206=""), (2*E206*F206)+G206*(D206-2*F206),AND(A206="CJ",F206&lt;&gt;""),(D206*E206)-((D206-2*F206)*(E206-2*F206)),AND(A206="CJ",F206=""),ROUND((PI()*(D206/2)^2)-(PI()*(D206/2-E206)^2),0),TRUE,"")</f>
        <v/>
      </c>
    </row>
    <row r="207" spans="1:10" x14ac:dyDescent="0.25">
      <c r="A207">
        <f>CUBICACION!F207</f>
        <v>0</v>
      </c>
      <c r="B207">
        <f>CUBICACION!E207</f>
        <v>0</v>
      </c>
      <c r="C207" s="947">
        <f>CUBICACION!J207</f>
        <v>0</v>
      </c>
      <c r="D207" t="str" cm="1">
        <f t="array" ref="D207">_xlfn.TEXTSPLIT(B207,{"X";"x"})</f>
        <v>0</v>
      </c>
      <c r="J207" t="str" cm="1">
        <f t="array" ref="J207">_xlfn.IFS(AND(A207="IN",I207&lt;&gt;""), (E207*F207+G207*H207)+I207*(D207-F207-H207),AND(A207="IN",I207=""), (2*E207*F207)+G207*(D207-2*F207),AND(A207="CJ",F207&lt;&gt;""),(D207*E207)-((D207-2*F207)*(E207-2*F207)),AND(A207="CJ",F207=""),ROUND((PI()*(D207/2)^2)-(PI()*(D207/2-E207)^2),0),TRUE,"")</f>
        <v/>
      </c>
    </row>
    <row r="208" spans="1:10" x14ac:dyDescent="0.25">
      <c r="A208">
        <f>CUBICACION!F208</f>
        <v>0</v>
      </c>
      <c r="B208">
        <f>CUBICACION!E208</f>
        <v>0</v>
      </c>
      <c r="C208" s="947">
        <f>CUBICACION!J208</f>
        <v>0</v>
      </c>
      <c r="D208" t="str" cm="1">
        <f t="array" ref="D208">_xlfn.TEXTSPLIT(B208,{"X";"x"})</f>
        <v>0</v>
      </c>
      <c r="J208" t="str" cm="1">
        <f t="array" ref="J208">_xlfn.IFS(AND(A208="IN",I208&lt;&gt;""), (E208*F208+G208*H208)+I208*(D208-F208-H208),AND(A208="IN",I208=""), (2*E208*F208)+G208*(D208-2*F208),AND(A208="CJ",F208&lt;&gt;""),(D208*E208)-((D208-2*F208)*(E208-2*F208)),AND(A208="CJ",F208=""),ROUND((PI()*(D208/2)^2)-(PI()*(D208/2-E208)^2),0),TRUE,"")</f>
        <v/>
      </c>
    </row>
    <row r="209" spans="1:10" x14ac:dyDescent="0.25">
      <c r="A209">
        <f>CUBICACION!F209</f>
        <v>0</v>
      </c>
      <c r="B209">
        <f>CUBICACION!E209</f>
        <v>0</v>
      </c>
      <c r="C209" s="947">
        <f>CUBICACION!J209</f>
        <v>0</v>
      </c>
      <c r="D209" t="str" cm="1">
        <f t="array" ref="D209">_xlfn.TEXTSPLIT(B209,{"X";"x"})</f>
        <v>0</v>
      </c>
      <c r="J209" t="str" cm="1">
        <f t="array" ref="J209">_xlfn.IFS(AND(A209="IN",I209&lt;&gt;""), (E209*F209+G209*H209)+I209*(D209-F209-H209),AND(A209="IN",I209=""), (2*E209*F209)+G209*(D209-2*F209),AND(A209="CJ",F209&lt;&gt;""),(D209*E209)-((D209-2*F209)*(E209-2*F209)),AND(A209="CJ",F209=""),ROUND((PI()*(D209/2)^2)-(PI()*(D209/2-E209)^2),0),TRUE,"")</f>
        <v/>
      </c>
    </row>
    <row r="210" spans="1:10" x14ac:dyDescent="0.25">
      <c r="A210">
        <f>CUBICACION!F210</f>
        <v>0</v>
      </c>
      <c r="B210">
        <f>CUBICACION!E210</f>
        <v>0</v>
      </c>
      <c r="C210" s="947">
        <f>CUBICACION!J210</f>
        <v>0</v>
      </c>
      <c r="D210" t="str" cm="1">
        <f t="array" ref="D210">_xlfn.TEXTSPLIT(B210,{"X";"x"})</f>
        <v>0</v>
      </c>
      <c r="J210" t="str" cm="1">
        <f t="array" ref="J210">_xlfn.IFS(AND(A210="IN",I210&lt;&gt;""), (E210*F210+G210*H210)+I210*(D210-F210-H210),AND(A210="IN",I210=""), (2*E210*F210)+G210*(D210-2*F210),AND(A210="CJ",F210&lt;&gt;""),(D210*E210)-((D210-2*F210)*(E210-2*F210)),AND(A210="CJ",F210=""),ROUND((PI()*(D210/2)^2)-(PI()*(D210/2-E210)^2),0),TRUE,"")</f>
        <v/>
      </c>
    </row>
    <row r="211" spans="1:10" x14ac:dyDescent="0.25">
      <c r="A211">
        <f>CUBICACION!F211</f>
        <v>0</v>
      </c>
      <c r="B211">
        <f>CUBICACION!E211</f>
        <v>0</v>
      </c>
      <c r="C211" s="947">
        <f>CUBICACION!J211</f>
        <v>0</v>
      </c>
      <c r="D211" t="str" cm="1">
        <f t="array" ref="D211">_xlfn.TEXTSPLIT(B211,{"X";"x"})</f>
        <v>0</v>
      </c>
      <c r="J211" t="str" cm="1">
        <f t="array" ref="J211">_xlfn.IFS(AND(A211="IN",I211&lt;&gt;""), (E211*F211+G211*H211)+I211*(D211-F211-H211),AND(A211="IN",I211=""), (2*E211*F211)+G211*(D211-2*F211),AND(A211="CJ",F211&lt;&gt;""),(D211*E211)-((D211-2*F211)*(E211-2*F211)),AND(A211="CJ",F211=""),ROUND((PI()*(D211/2)^2)-(PI()*(D211/2-E211)^2),0),TRUE,"")</f>
        <v/>
      </c>
    </row>
    <row r="212" spans="1:10" x14ac:dyDescent="0.25">
      <c r="A212">
        <f>CUBICACION!F212</f>
        <v>0</v>
      </c>
      <c r="B212">
        <f>CUBICACION!E212</f>
        <v>0</v>
      </c>
      <c r="C212" s="947">
        <f>CUBICACION!J212</f>
        <v>0</v>
      </c>
      <c r="D212" t="str" cm="1">
        <f t="array" ref="D212">_xlfn.TEXTSPLIT(B212,{"X";"x"})</f>
        <v>0</v>
      </c>
      <c r="J212" t="str" cm="1">
        <f t="array" ref="J212">_xlfn.IFS(AND(A212="IN",I212&lt;&gt;""), (E212*F212+G212*H212)+I212*(D212-F212-H212),AND(A212="IN",I212=""), (2*E212*F212)+G212*(D212-2*F212),AND(A212="CJ",F212&lt;&gt;""),(D212*E212)-((D212-2*F212)*(E212-2*F212)),AND(A212="CJ",F212=""),ROUND((PI()*(D212/2)^2)-(PI()*(D212/2-E212)^2),0),TRUE,"")</f>
        <v/>
      </c>
    </row>
    <row r="213" spans="1:10" x14ac:dyDescent="0.25">
      <c r="A213">
        <f>CUBICACION!F213</f>
        <v>0</v>
      </c>
      <c r="B213">
        <f>CUBICACION!E213</f>
        <v>0</v>
      </c>
      <c r="C213" s="947">
        <f>CUBICACION!J213</f>
        <v>0</v>
      </c>
      <c r="D213" t="str" cm="1">
        <f t="array" ref="D213">_xlfn.TEXTSPLIT(B213,{"X";"x"})</f>
        <v>0</v>
      </c>
      <c r="J213" t="str" cm="1">
        <f t="array" ref="J213">_xlfn.IFS(AND(A213="IN",I213&lt;&gt;""), (E213*F213+G213*H213)+I213*(D213-F213-H213),AND(A213="IN",I213=""), (2*E213*F213)+G213*(D213-2*F213),AND(A213="CJ",F213&lt;&gt;""),(D213*E213)-((D213-2*F213)*(E213-2*F213)),AND(A213="CJ",F213=""),ROUND((PI()*(D213/2)^2)-(PI()*(D213/2-E213)^2),0),TRUE,"")</f>
        <v/>
      </c>
    </row>
    <row r="214" spans="1:10" x14ac:dyDescent="0.25">
      <c r="A214">
        <f>CUBICACION!F214</f>
        <v>0</v>
      </c>
      <c r="B214">
        <f>CUBICACION!E214</f>
        <v>0</v>
      </c>
      <c r="C214" s="947">
        <f>CUBICACION!J214</f>
        <v>0</v>
      </c>
      <c r="D214" t="str" cm="1">
        <f t="array" ref="D214">_xlfn.TEXTSPLIT(B214,{"X";"x"})</f>
        <v>0</v>
      </c>
      <c r="J214" t="str" cm="1">
        <f t="array" ref="J214">_xlfn.IFS(AND(A214="IN",I214&lt;&gt;""), (E214*F214+G214*H214)+I214*(D214-F214-H214),AND(A214="IN",I214=""), (2*E214*F214)+G214*(D214-2*F214),AND(A214="CJ",F214&lt;&gt;""),(D214*E214)-((D214-2*F214)*(E214-2*F214)),AND(A214="CJ",F214=""),ROUND((PI()*(D214/2)^2)-(PI()*(D214/2-E214)^2),0),TRUE,"")</f>
        <v/>
      </c>
    </row>
    <row r="215" spans="1:10" x14ac:dyDescent="0.25">
      <c r="A215">
        <f>CUBICACION!F215</f>
        <v>0</v>
      </c>
      <c r="B215">
        <f>CUBICACION!E215</f>
        <v>0</v>
      </c>
      <c r="C215" s="947">
        <f>CUBICACION!J215</f>
        <v>0</v>
      </c>
      <c r="D215" t="str" cm="1">
        <f t="array" ref="D215">_xlfn.TEXTSPLIT(B215,{"X";"x"})</f>
        <v>0</v>
      </c>
      <c r="J215" t="str" cm="1">
        <f t="array" ref="J215">_xlfn.IFS(AND(A215="IN",I215&lt;&gt;""), (E215*F215+G215*H215)+I215*(D215-F215-H215),AND(A215="IN",I215=""), (2*E215*F215)+G215*(D215-2*F215),AND(A215="CJ",F215&lt;&gt;""),(D215*E215)-((D215-2*F215)*(E215-2*F215)),AND(A215="CJ",F215=""),ROUND((PI()*(D215/2)^2)-(PI()*(D215/2-E215)^2),0),TRUE,"")</f>
        <v/>
      </c>
    </row>
    <row r="216" spans="1:10" x14ac:dyDescent="0.25">
      <c r="A216">
        <f>CUBICACION!F216</f>
        <v>0</v>
      </c>
      <c r="B216">
        <f>CUBICACION!E216</f>
        <v>0</v>
      </c>
      <c r="C216" s="947">
        <f>CUBICACION!J216</f>
        <v>0</v>
      </c>
      <c r="D216" t="str" cm="1">
        <f t="array" ref="D216">_xlfn.TEXTSPLIT(B216,{"X";"x"})</f>
        <v>0</v>
      </c>
      <c r="J216" t="str" cm="1">
        <f t="array" ref="J216">_xlfn.IFS(AND(A216="IN",I216&lt;&gt;""), (E216*F216+G216*H216)+I216*(D216-F216-H216),AND(A216="IN",I216=""), (2*E216*F216)+G216*(D216-2*F216),AND(A216="CJ",F216&lt;&gt;""),(D216*E216)-((D216-2*F216)*(E216-2*F216)),AND(A216="CJ",F216=""),ROUND((PI()*(D216/2)^2)-(PI()*(D216/2-E216)^2),0),TRUE,"")</f>
        <v/>
      </c>
    </row>
    <row r="217" spans="1:10" x14ac:dyDescent="0.25">
      <c r="A217">
        <f>CUBICACION!F217</f>
        <v>0</v>
      </c>
      <c r="B217">
        <f>CUBICACION!E217</f>
        <v>0</v>
      </c>
      <c r="C217" s="947">
        <f>CUBICACION!J217</f>
        <v>0</v>
      </c>
      <c r="D217" t="str" cm="1">
        <f t="array" ref="D217">_xlfn.TEXTSPLIT(B217,{"X";"x"})</f>
        <v>0</v>
      </c>
      <c r="J217" t="str" cm="1">
        <f t="array" ref="J217">_xlfn.IFS(AND(A217="IN",I217&lt;&gt;""), (E217*F217+G217*H217)+I217*(D217-F217-H217),AND(A217="IN",I217=""), (2*E217*F217)+G217*(D217-2*F217),AND(A217="CJ",F217&lt;&gt;""),(D217*E217)-((D217-2*F217)*(E217-2*F217)),AND(A217="CJ",F217=""),ROUND((PI()*(D217/2)^2)-(PI()*(D217/2-E217)^2),0),TRUE,"")</f>
        <v/>
      </c>
    </row>
    <row r="218" spans="1:10" x14ac:dyDescent="0.25">
      <c r="A218">
        <f>CUBICACION!F218</f>
        <v>0</v>
      </c>
      <c r="B218">
        <f>CUBICACION!E218</f>
        <v>0</v>
      </c>
      <c r="C218" s="947">
        <f>CUBICACION!J218</f>
        <v>0</v>
      </c>
      <c r="D218" t="str" cm="1">
        <f t="array" ref="D218">_xlfn.TEXTSPLIT(B218,{"X";"x"})</f>
        <v>0</v>
      </c>
      <c r="J218" t="str" cm="1">
        <f t="array" ref="J218">_xlfn.IFS(AND(A218="IN",I218&lt;&gt;""), (E218*F218+G218*H218)+I218*(D218-F218-H218),AND(A218="IN",I218=""), (2*E218*F218)+G218*(D218-2*F218),AND(A218="CJ",F218&lt;&gt;""),(D218*E218)-((D218-2*F218)*(E218-2*F218)),AND(A218="CJ",F218=""),ROUND((PI()*(D218/2)^2)-(PI()*(D218/2-E218)^2),0),TRUE,"")</f>
        <v/>
      </c>
    </row>
    <row r="219" spans="1:10" x14ac:dyDescent="0.25">
      <c r="A219">
        <f>CUBICACION!F219</f>
        <v>0</v>
      </c>
      <c r="B219">
        <f>CUBICACION!E219</f>
        <v>0</v>
      </c>
      <c r="C219" s="947">
        <f>CUBICACION!J219</f>
        <v>0</v>
      </c>
      <c r="D219" t="str" cm="1">
        <f t="array" ref="D219">_xlfn.TEXTSPLIT(B219,{"X";"x"})</f>
        <v>0</v>
      </c>
      <c r="J219" t="str" cm="1">
        <f t="array" ref="J219">_xlfn.IFS(AND(A219="IN",I219&lt;&gt;""), (E219*F219+G219*H219)+I219*(D219-F219-H219),AND(A219="IN",I219=""), (2*E219*F219)+G219*(D219-2*F219),AND(A219="CJ",F219&lt;&gt;""),(D219*E219)-((D219-2*F219)*(E219-2*F219)),AND(A219="CJ",F219=""),ROUND((PI()*(D219/2)^2)-(PI()*(D219/2-E219)^2),0),TRUE,"")</f>
        <v/>
      </c>
    </row>
    <row r="220" spans="1:10" x14ac:dyDescent="0.25">
      <c r="A220">
        <f>CUBICACION!F220</f>
        <v>0</v>
      </c>
      <c r="B220">
        <f>CUBICACION!E220</f>
        <v>0</v>
      </c>
      <c r="C220" s="947">
        <f>CUBICACION!J220</f>
        <v>0</v>
      </c>
      <c r="D220" t="str" cm="1">
        <f t="array" ref="D220">_xlfn.TEXTSPLIT(B220,{"X";"x"})</f>
        <v>0</v>
      </c>
      <c r="J220" t="str" cm="1">
        <f t="array" ref="J220">_xlfn.IFS(AND(A220="IN",I220&lt;&gt;""), (E220*F220+G220*H220)+I220*(D220-F220-H220),AND(A220="IN",I220=""), (2*E220*F220)+G220*(D220-2*F220),AND(A220="CJ",F220&lt;&gt;""),(D220*E220)-((D220-2*F220)*(E220-2*F220)),AND(A220="CJ",F220=""),ROUND((PI()*(D220/2)^2)-(PI()*(D220/2-E220)^2),0),TRUE,"")</f>
        <v/>
      </c>
    </row>
    <row r="221" spans="1:10" x14ac:dyDescent="0.25">
      <c r="A221">
        <f>CUBICACION!F221</f>
        <v>0</v>
      </c>
      <c r="B221">
        <f>CUBICACION!E221</f>
        <v>0</v>
      </c>
      <c r="C221" s="947">
        <f>CUBICACION!J221</f>
        <v>0</v>
      </c>
      <c r="D221" t="str" cm="1">
        <f t="array" ref="D221">_xlfn.TEXTSPLIT(B221,{"X";"x"})</f>
        <v>0</v>
      </c>
      <c r="J221" t="str" cm="1">
        <f t="array" ref="J221">_xlfn.IFS(AND(A221="IN",I221&lt;&gt;""), (E221*F221+G221*H221)+I221*(D221-F221-H221),AND(A221="IN",I221=""), (2*E221*F221)+G221*(D221-2*F221),AND(A221="CJ",F221&lt;&gt;""),(D221*E221)-((D221-2*F221)*(E221-2*F221)),AND(A221="CJ",F221=""),ROUND((PI()*(D221/2)^2)-(PI()*(D221/2-E221)^2),0),TRUE,"")</f>
        <v/>
      </c>
    </row>
    <row r="222" spans="1:10" x14ac:dyDescent="0.25">
      <c r="A222">
        <f>CUBICACION!F222</f>
        <v>0</v>
      </c>
      <c r="B222">
        <f>CUBICACION!E222</f>
        <v>0</v>
      </c>
      <c r="C222" s="947">
        <f>CUBICACION!J222</f>
        <v>0</v>
      </c>
      <c r="D222" t="str" cm="1">
        <f t="array" ref="D222">_xlfn.TEXTSPLIT(B222,{"X";"x"})</f>
        <v>0</v>
      </c>
      <c r="J222" t="str" cm="1">
        <f t="array" ref="J222">_xlfn.IFS(AND(A222="IN",I222&lt;&gt;""), (E222*F222+G222*H222)+I222*(D222-F222-H222),AND(A222="IN",I222=""), (2*E222*F222)+G222*(D222-2*F222),AND(A222="CJ",F222&lt;&gt;""),(D222*E222)-((D222-2*F222)*(E222-2*F222)),AND(A222="CJ",F222=""),ROUND((PI()*(D222/2)^2)-(PI()*(D222/2-E222)^2),0),TRUE,"")</f>
        <v/>
      </c>
    </row>
    <row r="223" spans="1:10" x14ac:dyDescent="0.25">
      <c r="A223">
        <f>CUBICACION!F223</f>
        <v>0</v>
      </c>
      <c r="B223">
        <f>CUBICACION!E223</f>
        <v>0</v>
      </c>
      <c r="C223" s="947">
        <f>CUBICACION!J223</f>
        <v>0</v>
      </c>
      <c r="D223" t="str" cm="1">
        <f t="array" ref="D223">_xlfn.TEXTSPLIT(B223,{"X";"x"})</f>
        <v>0</v>
      </c>
      <c r="J223" t="str" cm="1">
        <f t="array" ref="J223">_xlfn.IFS(AND(A223="IN",I223&lt;&gt;""), (E223*F223+G223*H223)+I223*(D223-F223-H223),AND(A223="IN",I223=""), (2*E223*F223)+G223*(D223-2*F223),AND(A223="CJ",F223&lt;&gt;""),(D223*E223)-((D223-2*F223)*(E223-2*F223)),AND(A223="CJ",F223=""),ROUND((PI()*(D223/2)^2)-(PI()*(D223/2-E223)^2),0),TRUE,"")</f>
        <v/>
      </c>
    </row>
    <row r="224" spans="1:10" x14ac:dyDescent="0.25">
      <c r="A224">
        <f>CUBICACION!F224</f>
        <v>0</v>
      </c>
      <c r="B224">
        <f>CUBICACION!E224</f>
        <v>0</v>
      </c>
      <c r="C224" s="947">
        <f>CUBICACION!J224</f>
        <v>0</v>
      </c>
      <c r="D224" t="str" cm="1">
        <f t="array" ref="D224">_xlfn.TEXTSPLIT(B224,{"X";"x"})</f>
        <v>0</v>
      </c>
      <c r="J224" t="str" cm="1">
        <f t="array" ref="J224">_xlfn.IFS(AND(A224="IN",I224&lt;&gt;""), (E224*F224+G224*H224)+I224*(D224-F224-H224),AND(A224="IN",I224=""), (2*E224*F224)+G224*(D224-2*F224),AND(A224="CJ",F224&lt;&gt;""),(D224*E224)-((D224-2*F224)*(E224-2*F224)),AND(A224="CJ",F224=""),ROUND((PI()*(D224/2)^2)-(PI()*(D224/2-E224)^2),0),TRUE,"")</f>
        <v/>
      </c>
    </row>
    <row r="225" spans="1:10" x14ac:dyDescent="0.25">
      <c r="A225">
        <f>CUBICACION!F225</f>
        <v>0</v>
      </c>
      <c r="B225">
        <f>CUBICACION!E225</f>
        <v>0</v>
      </c>
      <c r="C225" s="947">
        <f>CUBICACION!J225</f>
        <v>0</v>
      </c>
      <c r="D225" t="str" cm="1">
        <f t="array" ref="D225">_xlfn.TEXTSPLIT(B225,{"X";"x"})</f>
        <v>0</v>
      </c>
      <c r="J225" t="str" cm="1">
        <f t="array" ref="J225">_xlfn.IFS(AND(A225="IN",I225&lt;&gt;""), (E225*F225+G225*H225)+I225*(D225-F225-H225),AND(A225="IN",I225=""), (2*E225*F225)+G225*(D225-2*F225),AND(A225="CJ",F225&lt;&gt;""),(D225*E225)-((D225-2*F225)*(E225-2*F225)),AND(A225="CJ",F225=""),ROUND((PI()*(D225/2)^2)-(PI()*(D225/2-E225)^2),0),TRUE,"")</f>
        <v/>
      </c>
    </row>
    <row r="226" spans="1:10" x14ac:dyDescent="0.25">
      <c r="A226">
        <f>CUBICACION!F226</f>
        <v>0</v>
      </c>
      <c r="B226">
        <f>CUBICACION!E226</f>
        <v>0</v>
      </c>
      <c r="C226" s="947">
        <f>CUBICACION!J226</f>
        <v>0</v>
      </c>
      <c r="D226" t="str" cm="1">
        <f t="array" ref="D226">_xlfn.TEXTSPLIT(B226,{"X";"x"})</f>
        <v>0</v>
      </c>
      <c r="J226" t="str" cm="1">
        <f t="array" ref="J226">_xlfn.IFS(AND(A226="IN",I226&lt;&gt;""), (E226*F226+G226*H226)+I226*(D226-F226-H226),AND(A226="IN",I226=""), (2*E226*F226)+G226*(D226-2*F226),AND(A226="CJ",F226&lt;&gt;""),(D226*E226)-((D226-2*F226)*(E226-2*F226)),AND(A226="CJ",F226=""),ROUND((PI()*(D226/2)^2)-(PI()*(D226/2-E226)^2),0),TRUE,"")</f>
        <v/>
      </c>
    </row>
    <row r="227" spans="1:10" x14ac:dyDescent="0.25">
      <c r="A227">
        <f>CUBICACION!F227</f>
        <v>0</v>
      </c>
      <c r="B227">
        <f>CUBICACION!E227</f>
        <v>0</v>
      </c>
      <c r="C227" s="947">
        <f>CUBICACION!J227</f>
        <v>0</v>
      </c>
      <c r="D227" t="str" cm="1">
        <f t="array" ref="D227">_xlfn.TEXTSPLIT(B227,{"X";"x"})</f>
        <v>0</v>
      </c>
      <c r="J227" t="str" cm="1">
        <f t="array" ref="J227">_xlfn.IFS(AND(A227="IN",I227&lt;&gt;""), (E227*F227+G227*H227)+I227*(D227-F227-H227),AND(A227="IN",I227=""), (2*E227*F227)+G227*(D227-2*F227),AND(A227="CJ",F227&lt;&gt;""),(D227*E227)-((D227-2*F227)*(E227-2*F227)),AND(A227="CJ",F227=""),ROUND((PI()*(D227/2)^2)-(PI()*(D227/2-E227)^2),0),TRUE,"")</f>
        <v/>
      </c>
    </row>
    <row r="228" spans="1:10" x14ac:dyDescent="0.25">
      <c r="A228">
        <f>CUBICACION!F228</f>
        <v>0</v>
      </c>
      <c r="B228">
        <f>CUBICACION!E228</f>
        <v>0</v>
      </c>
      <c r="C228" s="947">
        <f>CUBICACION!J228</f>
        <v>0</v>
      </c>
      <c r="D228" t="str" cm="1">
        <f t="array" ref="D228">_xlfn.TEXTSPLIT(B228,{"X";"x"})</f>
        <v>0</v>
      </c>
      <c r="J228" t="str" cm="1">
        <f t="array" ref="J228">_xlfn.IFS(AND(A228="IN",I228&lt;&gt;""), (E228*F228+G228*H228)+I228*(D228-F228-H228),AND(A228="IN",I228=""), (2*E228*F228)+G228*(D228-2*F228),AND(A228="CJ",F228&lt;&gt;""),(D228*E228)-((D228-2*F228)*(E228-2*F228)),AND(A228="CJ",F228=""),ROUND((PI()*(D228/2)^2)-(PI()*(D228/2-E228)^2),0),TRUE,"")</f>
        <v/>
      </c>
    </row>
    <row r="229" spans="1:10" x14ac:dyDescent="0.25">
      <c r="A229">
        <f>CUBICACION!F229</f>
        <v>0</v>
      </c>
      <c r="B229">
        <f>CUBICACION!E229</f>
        <v>0</v>
      </c>
      <c r="C229" s="947">
        <f>CUBICACION!J229</f>
        <v>0</v>
      </c>
      <c r="D229" t="str" cm="1">
        <f t="array" ref="D229">_xlfn.TEXTSPLIT(B229,{"X";"x"})</f>
        <v>0</v>
      </c>
      <c r="J229" t="str" cm="1">
        <f t="array" ref="J229">_xlfn.IFS(AND(A229="IN",I229&lt;&gt;""), (E229*F229+G229*H229)+I229*(D229-F229-H229),AND(A229="IN",I229=""), (2*E229*F229)+G229*(D229-2*F229),AND(A229="CJ",F229&lt;&gt;""),(D229*E229)-((D229-2*F229)*(E229-2*F229)),AND(A229="CJ",F229=""),ROUND((PI()*(D229/2)^2)-(PI()*(D229/2-E229)^2),0),TRUE,"")</f>
        <v/>
      </c>
    </row>
    <row r="230" spans="1:10" x14ac:dyDescent="0.25">
      <c r="A230">
        <f>CUBICACION!F230</f>
        <v>0</v>
      </c>
      <c r="B230">
        <f>CUBICACION!E230</f>
        <v>0</v>
      </c>
      <c r="C230" s="947">
        <f>CUBICACION!J230</f>
        <v>0</v>
      </c>
      <c r="D230" t="str" cm="1">
        <f t="array" ref="D230">_xlfn.TEXTSPLIT(B230,{"X";"x"})</f>
        <v>0</v>
      </c>
      <c r="J230" t="str" cm="1">
        <f t="array" ref="J230">_xlfn.IFS(AND(A230="IN",I230&lt;&gt;""), (E230*F230+G230*H230)+I230*(D230-F230-H230),AND(A230="IN",I230=""), (2*E230*F230)+G230*(D230-2*F230),AND(A230="CJ",F230&lt;&gt;""),(D230*E230)-((D230-2*F230)*(E230-2*F230)),AND(A230="CJ",F230=""),ROUND((PI()*(D230/2)^2)-(PI()*(D230/2-E230)^2),0),TRUE,"")</f>
        <v/>
      </c>
    </row>
    <row r="231" spans="1:10" x14ac:dyDescent="0.25">
      <c r="A231">
        <f>CUBICACION!F231</f>
        <v>0</v>
      </c>
      <c r="B231">
        <f>CUBICACION!E231</f>
        <v>0</v>
      </c>
      <c r="C231" s="947">
        <f>CUBICACION!J231</f>
        <v>0</v>
      </c>
      <c r="D231" t="str" cm="1">
        <f t="array" ref="D231">_xlfn.TEXTSPLIT(B231,{"X";"x"})</f>
        <v>0</v>
      </c>
      <c r="J231" t="str" cm="1">
        <f t="array" ref="J231">_xlfn.IFS(AND(A231="IN",I231&lt;&gt;""), (E231*F231+G231*H231)+I231*(D231-F231-H231),AND(A231="IN",I231=""), (2*E231*F231)+G231*(D231-2*F231),AND(A231="CJ",F231&lt;&gt;""),(D231*E231)-((D231-2*F231)*(E231-2*F231)),AND(A231="CJ",F231=""),ROUND((PI()*(D231/2)^2)-(PI()*(D231/2-E231)^2),0),TRUE,"")</f>
        <v/>
      </c>
    </row>
    <row r="232" spans="1:10" x14ac:dyDescent="0.25">
      <c r="A232">
        <f>CUBICACION!F232</f>
        <v>0</v>
      </c>
      <c r="B232">
        <f>CUBICACION!E232</f>
        <v>0</v>
      </c>
      <c r="C232" s="947">
        <f>CUBICACION!J232</f>
        <v>0</v>
      </c>
      <c r="D232" t="str" cm="1">
        <f t="array" ref="D232">_xlfn.TEXTSPLIT(B232,{"X";"x"})</f>
        <v>0</v>
      </c>
      <c r="J232" t="str" cm="1">
        <f t="array" ref="J232">_xlfn.IFS(AND(A232="IN",I232&lt;&gt;""), (E232*F232+G232*H232)+I232*(D232-F232-H232),AND(A232="IN",I232=""), (2*E232*F232)+G232*(D232-2*F232),AND(A232="CJ",F232&lt;&gt;""),(D232*E232)-((D232-2*F232)*(E232-2*F232)),AND(A232="CJ",F232=""),ROUND((PI()*(D232/2)^2)-(PI()*(D232/2-E232)^2),0),TRUE,"")</f>
        <v/>
      </c>
    </row>
    <row r="233" spans="1:10" x14ac:dyDescent="0.25">
      <c r="A233">
        <f>CUBICACION!F233</f>
        <v>0</v>
      </c>
      <c r="B233">
        <f>CUBICACION!E233</f>
        <v>0</v>
      </c>
      <c r="C233" s="947">
        <f>CUBICACION!J233</f>
        <v>0</v>
      </c>
      <c r="D233" t="str" cm="1">
        <f t="array" ref="D233">_xlfn.TEXTSPLIT(B233,{"X";"x"})</f>
        <v>0</v>
      </c>
      <c r="J233" t="str" cm="1">
        <f t="array" ref="J233">_xlfn.IFS(AND(A233="IN",I233&lt;&gt;""), (E233*F233+G233*H233)+I233*(D233-F233-H233),AND(A233="IN",I233=""), (2*E233*F233)+G233*(D233-2*F233),AND(A233="CJ",F233&lt;&gt;""),(D233*E233)-((D233-2*F233)*(E233-2*F233)),AND(A233="CJ",F233=""),ROUND((PI()*(D233/2)^2)-(PI()*(D233/2-E233)^2),0),TRUE,"")</f>
        <v/>
      </c>
    </row>
    <row r="234" spans="1:10" x14ac:dyDescent="0.25">
      <c r="A234">
        <f>CUBICACION!F234</f>
        <v>0</v>
      </c>
      <c r="B234">
        <f>CUBICACION!E234</f>
        <v>0</v>
      </c>
      <c r="C234" s="947">
        <f>CUBICACION!J234</f>
        <v>0</v>
      </c>
      <c r="D234" t="str" cm="1">
        <f t="array" ref="D234">_xlfn.TEXTSPLIT(B234,{"X";"x"})</f>
        <v>0</v>
      </c>
      <c r="J234" t="str" cm="1">
        <f t="array" ref="J234">_xlfn.IFS(AND(A234="IN",I234&lt;&gt;""), (E234*F234+G234*H234)+I234*(D234-F234-H234),AND(A234="IN",I234=""), (2*E234*F234)+G234*(D234-2*F234),AND(A234="CJ",F234&lt;&gt;""),(D234*E234)-((D234-2*F234)*(E234-2*F234)),AND(A234="CJ",F234=""),ROUND((PI()*(D234/2)^2)-(PI()*(D234/2-E234)^2),0),TRUE,"")</f>
        <v/>
      </c>
    </row>
    <row r="235" spans="1:10" x14ac:dyDescent="0.25">
      <c r="A235">
        <f>CUBICACION!F235</f>
        <v>0</v>
      </c>
      <c r="B235">
        <f>CUBICACION!E235</f>
        <v>0</v>
      </c>
      <c r="C235" s="947">
        <f>CUBICACION!J235</f>
        <v>0</v>
      </c>
      <c r="D235" t="str" cm="1">
        <f t="array" ref="D235">_xlfn.TEXTSPLIT(B235,{"X";"x"})</f>
        <v>0</v>
      </c>
      <c r="J235" t="str" cm="1">
        <f t="array" ref="J235">_xlfn.IFS(AND(A235="IN",I235&lt;&gt;""), (E235*F235+G235*H235)+I235*(D235-F235-H235),AND(A235="IN",I235=""), (2*E235*F235)+G235*(D235-2*F235),AND(A235="CJ",F235&lt;&gt;""),(D235*E235)-((D235-2*F235)*(E235-2*F235)),AND(A235="CJ",F235=""),ROUND((PI()*(D235/2)^2)-(PI()*(D235/2-E235)^2),0),TRUE,"")</f>
        <v/>
      </c>
    </row>
    <row r="236" spans="1:10" x14ac:dyDescent="0.25">
      <c r="A236">
        <f>CUBICACION!F236</f>
        <v>0</v>
      </c>
      <c r="B236">
        <f>CUBICACION!E236</f>
        <v>0</v>
      </c>
      <c r="C236" s="947">
        <f>CUBICACION!J236</f>
        <v>0</v>
      </c>
      <c r="D236" t="str" cm="1">
        <f t="array" ref="D236">_xlfn.TEXTSPLIT(B236,{"X";"x"})</f>
        <v>0</v>
      </c>
      <c r="J236" t="str" cm="1">
        <f t="array" ref="J236">_xlfn.IFS(AND(A236="IN",I236&lt;&gt;""), (E236*F236+G236*H236)+I236*(D236-F236-H236),AND(A236="IN",I236=""), (2*E236*F236)+G236*(D236-2*F236),AND(A236="CJ",F236&lt;&gt;""),(D236*E236)-((D236-2*F236)*(E236-2*F236)),AND(A236="CJ",F236=""),ROUND((PI()*(D236/2)^2)-(PI()*(D236/2-E236)^2),0),TRUE,"")</f>
        <v/>
      </c>
    </row>
    <row r="237" spans="1:10" x14ac:dyDescent="0.25">
      <c r="A237">
        <f>CUBICACION!F237</f>
        <v>0</v>
      </c>
      <c r="B237">
        <f>CUBICACION!E237</f>
        <v>0</v>
      </c>
      <c r="C237" s="947">
        <f>CUBICACION!J237</f>
        <v>0</v>
      </c>
      <c r="D237" t="str" cm="1">
        <f t="array" ref="D237">_xlfn.TEXTSPLIT(B237,{"X";"x"})</f>
        <v>0</v>
      </c>
      <c r="J237" t="str" cm="1">
        <f t="array" ref="J237">_xlfn.IFS(AND(A237="IN",I237&lt;&gt;""), (E237*F237+G237*H237)+I237*(D237-F237-H237),AND(A237="IN",I237=""), (2*E237*F237)+G237*(D237-2*F237),AND(A237="CJ",F237&lt;&gt;""),(D237*E237)-((D237-2*F237)*(E237-2*F237)),AND(A237="CJ",F237=""),ROUND((PI()*(D237/2)^2)-(PI()*(D237/2-E237)^2),0),TRUE,"")</f>
        <v/>
      </c>
    </row>
    <row r="238" spans="1:10" x14ac:dyDescent="0.25">
      <c r="A238">
        <f>CUBICACION!F238</f>
        <v>0</v>
      </c>
      <c r="B238">
        <f>CUBICACION!E238</f>
        <v>0</v>
      </c>
      <c r="C238" s="947">
        <f>CUBICACION!J238</f>
        <v>0</v>
      </c>
      <c r="D238" t="str" cm="1">
        <f t="array" ref="D238">_xlfn.TEXTSPLIT(B238,{"X";"x"})</f>
        <v>0</v>
      </c>
      <c r="J238" t="str" cm="1">
        <f t="array" ref="J238">_xlfn.IFS(AND(A238="IN",I238&lt;&gt;""), (E238*F238+G238*H238)+I238*(D238-F238-H238),AND(A238="IN",I238=""), (2*E238*F238)+G238*(D238-2*F238),AND(A238="CJ",F238&lt;&gt;""),(D238*E238)-((D238-2*F238)*(E238-2*F238)),AND(A238="CJ",F238=""),ROUND((PI()*(D238/2)^2)-(PI()*(D238/2-E238)^2),0),TRUE,"")</f>
        <v/>
      </c>
    </row>
    <row r="239" spans="1:10" x14ac:dyDescent="0.25">
      <c r="A239">
        <f>CUBICACION!F239</f>
        <v>0</v>
      </c>
      <c r="B239">
        <f>CUBICACION!E239</f>
        <v>0</v>
      </c>
      <c r="C239" s="947">
        <f>CUBICACION!J239</f>
        <v>0</v>
      </c>
      <c r="D239" t="str" cm="1">
        <f t="array" ref="D239">_xlfn.TEXTSPLIT(B239,{"X";"x"})</f>
        <v>0</v>
      </c>
      <c r="J239" t="str" cm="1">
        <f t="array" ref="J239">_xlfn.IFS(AND(A239="IN",I239&lt;&gt;""), (E239*F239+G239*H239)+I239*(D239-F239-H239),AND(A239="IN",I239=""), (2*E239*F239)+G239*(D239-2*F239),AND(A239="CJ",F239&lt;&gt;""),(D239*E239)-((D239-2*F239)*(E239-2*F239)),AND(A239="CJ",F239=""),ROUND((PI()*(D239/2)^2)-(PI()*(D239/2-E239)^2),0),TRUE,"")</f>
        <v/>
      </c>
    </row>
    <row r="240" spans="1:10" x14ac:dyDescent="0.25">
      <c r="A240">
        <f>CUBICACION!F240</f>
        <v>0</v>
      </c>
      <c r="B240">
        <f>CUBICACION!E240</f>
        <v>0</v>
      </c>
      <c r="C240" s="947">
        <f>CUBICACION!J240</f>
        <v>0</v>
      </c>
      <c r="D240" t="str" cm="1">
        <f t="array" ref="D240">_xlfn.TEXTSPLIT(B240,{"X";"x"})</f>
        <v>0</v>
      </c>
      <c r="J240" t="str" cm="1">
        <f t="array" ref="J240">_xlfn.IFS(AND(A240="IN",I240&lt;&gt;""), (E240*F240+G240*H240)+I240*(D240-F240-H240),AND(A240="IN",I240=""), (2*E240*F240)+G240*(D240-2*F240),AND(A240="CJ",F240&lt;&gt;""),(D240*E240)-((D240-2*F240)*(E240-2*F240)),AND(A240="CJ",F240=""),ROUND((PI()*(D240/2)^2)-(PI()*(D240/2-E240)^2),0),TRUE,"")</f>
        <v/>
      </c>
    </row>
    <row r="241" spans="1:10" x14ac:dyDescent="0.25">
      <c r="A241">
        <f>CUBICACION!F241</f>
        <v>0</v>
      </c>
      <c r="B241">
        <f>CUBICACION!E241</f>
        <v>0</v>
      </c>
      <c r="C241" s="947">
        <f>CUBICACION!J241</f>
        <v>0</v>
      </c>
      <c r="D241" t="str" cm="1">
        <f t="array" ref="D241">_xlfn.TEXTSPLIT(B241,{"X";"x"})</f>
        <v>0</v>
      </c>
      <c r="J241" t="str" cm="1">
        <f t="array" ref="J241">_xlfn.IFS(AND(A241="IN",I241&lt;&gt;""), (E241*F241+G241*H241)+I241*(D241-F241-H241),AND(A241="IN",I241=""), (2*E241*F241)+G241*(D241-2*F241),AND(A241="CJ",F241&lt;&gt;""),(D241*E241)-((D241-2*F241)*(E241-2*F241)),AND(A241="CJ",F241=""),ROUND((PI()*(D241/2)^2)-(PI()*(D241/2-E241)^2),0),TRUE,"")</f>
        <v/>
      </c>
    </row>
    <row r="242" spans="1:10" x14ac:dyDescent="0.25">
      <c r="A242">
        <f>CUBICACION!F242</f>
        <v>0</v>
      </c>
      <c r="B242">
        <f>CUBICACION!E242</f>
        <v>0</v>
      </c>
      <c r="C242" s="947">
        <f>CUBICACION!J242</f>
        <v>0</v>
      </c>
      <c r="D242" t="str" cm="1">
        <f t="array" ref="D242">_xlfn.TEXTSPLIT(B242,{"X";"x"})</f>
        <v>0</v>
      </c>
      <c r="J242" t="str" cm="1">
        <f t="array" ref="J242">_xlfn.IFS(AND(A242="IN",I242&lt;&gt;""), (E242*F242+G242*H242)+I242*(D242-F242-H242),AND(A242="IN",I242=""), (2*E242*F242)+G242*(D242-2*F242),AND(A242="CJ",F242&lt;&gt;""),(D242*E242)-((D242-2*F242)*(E242-2*F242)),AND(A242="CJ",F242=""),ROUND((PI()*(D242/2)^2)-(PI()*(D242/2-E242)^2),0),TRUE,"")</f>
        <v/>
      </c>
    </row>
    <row r="243" spans="1:10" x14ac:dyDescent="0.25">
      <c r="A243">
        <f>CUBICACION!F243</f>
        <v>0</v>
      </c>
      <c r="B243">
        <f>CUBICACION!E243</f>
        <v>0</v>
      </c>
      <c r="C243" s="947">
        <f>CUBICACION!J243</f>
        <v>0</v>
      </c>
      <c r="D243" t="str" cm="1">
        <f t="array" ref="D243">_xlfn.TEXTSPLIT(B243,{"X";"x"})</f>
        <v>0</v>
      </c>
      <c r="J243" t="str" cm="1">
        <f t="array" ref="J243">_xlfn.IFS(AND(A243="IN",I243&lt;&gt;""), (E243*F243+G243*H243)+I243*(D243-F243-H243),AND(A243="IN",I243=""), (2*E243*F243)+G243*(D243-2*F243),AND(A243="CJ",F243&lt;&gt;""),(D243*E243)-((D243-2*F243)*(E243-2*F243)),AND(A243="CJ",F243=""),ROUND((PI()*(D243/2)^2)-(PI()*(D243/2-E243)^2),0),TRUE,"")</f>
        <v/>
      </c>
    </row>
    <row r="244" spans="1:10" x14ac:dyDescent="0.25">
      <c r="A244">
        <f>CUBICACION!F244</f>
        <v>0</v>
      </c>
      <c r="B244">
        <f>CUBICACION!E244</f>
        <v>0</v>
      </c>
      <c r="C244" s="947">
        <f>CUBICACION!J244</f>
        <v>0</v>
      </c>
      <c r="D244" t="str" cm="1">
        <f t="array" ref="D244">_xlfn.TEXTSPLIT(B244,{"X";"x"})</f>
        <v>0</v>
      </c>
      <c r="J244" t="str" cm="1">
        <f t="array" ref="J244">_xlfn.IFS(AND(A244="IN",I244&lt;&gt;""), (E244*F244+G244*H244)+I244*(D244-F244-H244),AND(A244="IN",I244=""), (2*E244*F244)+G244*(D244-2*F244),AND(A244="CJ",F244&lt;&gt;""),(D244*E244)-((D244-2*F244)*(E244-2*F244)),AND(A244="CJ",F244=""),ROUND((PI()*(D244/2)^2)-(PI()*(D244/2-E244)^2),0),TRUE,"")</f>
        <v/>
      </c>
    </row>
    <row r="245" spans="1:10" x14ac:dyDescent="0.25">
      <c r="A245">
        <f>CUBICACION!F245</f>
        <v>0</v>
      </c>
      <c r="B245">
        <f>CUBICACION!E245</f>
        <v>0</v>
      </c>
      <c r="C245" s="947">
        <f>CUBICACION!J245</f>
        <v>0</v>
      </c>
      <c r="D245" t="str" cm="1">
        <f t="array" ref="D245">_xlfn.TEXTSPLIT(B245,{"X";"x"})</f>
        <v>0</v>
      </c>
      <c r="J245" t="str" cm="1">
        <f t="array" ref="J245">_xlfn.IFS(AND(A245="IN",I245&lt;&gt;""), (E245*F245+G245*H245)+I245*(D245-F245-H245),AND(A245="IN",I245=""), (2*E245*F245)+G245*(D245-2*F245),AND(A245="CJ",F245&lt;&gt;""),(D245*E245)-((D245-2*F245)*(E245-2*F245)),AND(A245="CJ",F245=""),ROUND((PI()*(D245/2)^2)-(PI()*(D245/2-E245)^2),0),TRUE,"")</f>
        <v/>
      </c>
    </row>
    <row r="246" spans="1:10" x14ac:dyDescent="0.25">
      <c r="A246">
        <f>CUBICACION!F246</f>
        <v>0</v>
      </c>
      <c r="B246">
        <f>CUBICACION!E246</f>
        <v>0</v>
      </c>
      <c r="C246" s="947">
        <f>CUBICACION!J246</f>
        <v>0</v>
      </c>
      <c r="D246" t="str" cm="1">
        <f t="array" ref="D246">_xlfn.TEXTSPLIT(B246,{"X";"x"})</f>
        <v>0</v>
      </c>
      <c r="J246" t="str" cm="1">
        <f t="array" ref="J246">_xlfn.IFS(AND(A246="IN",I246&lt;&gt;""), (E246*F246+G246*H246)+I246*(D246-F246-H246),AND(A246="IN",I246=""), (2*E246*F246)+G246*(D246-2*F246),AND(A246="CJ",F246&lt;&gt;""),(D246*E246)-((D246-2*F246)*(E246-2*F246)),AND(A246="CJ",F246=""),ROUND((PI()*(D246/2)^2)-(PI()*(D246/2-E246)^2),0),TRUE,"")</f>
        <v/>
      </c>
    </row>
    <row r="247" spans="1:10" x14ac:dyDescent="0.25">
      <c r="A247">
        <f>CUBICACION!F247</f>
        <v>0</v>
      </c>
      <c r="B247">
        <f>CUBICACION!E247</f>
        <v>0</v>
      </c>
      <c r="C247" s="947">
        <f>CUBICACION!J247</f>
        <v>0</v>
      </c>
      <c r="D247" t="str" cm="1">
        <f t="array" ref="D247">_xlfn.TEXTSPLIT(B247,{"X";"x"})</f>
        <v>0</v>
      </c>
      <c r="J247" t="str" cm="1">
        <f t="array" ref="J247">_xlfn.IFS(AND(A247="IN",I247&lt;&gt;""), (E247*F247+G247*H247)+I247*(D247-F247-H247),AND(A247="IN",I247=""), (2*E247*F247)+G247*(D247-2*F247),AND(A247="CJ",F247&lt;&gt;""),(D247*E247)-((D247-2*F247)*(E247-2*F247)),AND(A247="CJ",F247=""),ROUND((PI()*(D247/2)^2)-(PI()*(D247/2-E247)^2),0),TRUE,"")</f>
        <v/>
      </c>
    </row>
    <row r="248" spans="1:10" x14ac:dyDescent="0.25">
      <c r="A248">
        <f>CUBICACION!F248</f>
        <v>0</v>
      </c>
      <c r="B248">
        <f>CUBICACION!E248</f>
        <v>0</v>
      </c>
      <c r="C248" s="947">
        <f>CUBICACION!J248</f>
        <v>0</v>
      </c>
      <c r="D248" t="str" cm="1">
        <f t="array" ref="D248">_xlfn.TEXTSPLIT(B248,{"X";"x"})</f>
        <v>0</v>
      </c>
      <c r="J248" t="str" cm="1">
        <f t="array" ref="J248">_xlfn.IFS(AND(A248="IN",I248&lt;&gt;""), (E248*F248+G248*H248)+I248*(D248-F248-H248),AND(A248="IN",I248=""), (2*E248*F248)+G248*(D248-2*F248),AND(A248="CJ",F248&lt;&gt;""),(D248*E248)-((D248-2*F248)*(E248-2*F248)),AND(A248="CJ",F248=""),ROUND((PI()*(D248/2)^2)-(PI()*(D248/2-E248)^2),0),TRUE,"")</f>
        <v/>
      </c>
    </row>
    <row r="249" spans="1:10" x14ac:dyDescent="0.25">
      <c r="A249">
        <f>CUBICACION!F249</f>
        <v>0</v>
      </c>
      <c r="B249">
        <f>CUBICACION!E249</f>
        <v>0</v>
      </c>
      <c r="C249" s="947">
        <f>CUBICACION!J249</f>
        <v>0</v>
      </c>
      <c r="D249" t="str" cm="1">
        <f t="array" ref="D249">_xlfn.TEXTSPLIT(B249,{"X";"x"})</f>
        <v>0</v>
      </c>
      <c r="J249" t="str" cm="1">
        <f t="array" ref="J249">_xlfn.IFS(AND(A249="IN",I249&lt;&gt;""), (E249*F249+G249*H249)+I249*(D249-F249-H249),AND(A249="IN",I249=""), (2*E249*F249)+G249*(D249-2*F249),AND(A249="CJ",F249&lt;&gt;""),(D249*E249)-((D249-2*F249)*(E249-2*F249)),AND(A249="CJ",F249=""),ROUND((PI()*(D249/2)^2)-(PI()*(D249/2-E249)^2),0),TRUE,"")</f>
        <v/>
      </c>
    </row>
    <row r="250" spans="1:10" x14ac:dyDescent="0.25">
      <c r="A250">
        <f>CUBICACION!F250</f>
        <v>0</v>
      </c>
      <c r="B250">
        <f>CUBICACION!E250</f>
        <v>0</v>
      </c>
      <c r="C250" s="947">
        <f>CUBICACION!J250</f>
        <v>0</v>
      </c>
      <c r="D250" t="str" cm="1">
        <f t="array" ref="D250">_xlfn.TEXTSPLIT(B250,{"X";"x"})</f>
        <v>0</v>
      </c>
      <c r="J250" t="str" cm="1">
        <f t="array" ref="J250">_xlfn.IFS(AND(A250="IN",I250&lt;&gt;""), (E250*F250+G250*H250)+I250*(D250-F250-H250),AND(A250="IN",I250=""), (2*E250*F250)+G250*(D250-2*F250),AND(A250="CJ",F250&lt;&gt;""),(D250*E250)-((D250-2*F250)*(E250-2*F250)),AND(A250="CJ",F250=""),ROUND((PI()*(D250/2)^2)-(PI()*(D250/2-E250)^2),0),TRUE,"")</f>
        <v/>
      </c>
    </row>
    <row r="251" spans="1:10" x14ac:dyDescent="0.25">
      <c r="A251">
        <f>CUBICACION!F251</f>
        <v>0</v>
      </c>
      <c r="B251">
        <f>CUBICACION!E251</f>
        <v>0</v>
      </c>
      <c r="C251" s="947">
        <f>CUBICACION!J251</f>
        <v>0</v>
      </c>
      <c r="D251" t="str" cm="1">
        <f t="array" ref="D251">_xlfn.TEXTSPLIT(B251,{"X";"x"})</f>
        <v>0</v>
      </c>
      <c r="J251" t="str" cm="1">
        <f t="array" ref="J251">_xlfn.IFS(AND(A251="IN",I251&lt;&gt;""), (E251*F251+G251*H251)+I251*(D251-F251-H251),AND(A251="IN",I251=""), (2*E251*F251)+G251*(D251-2*F251),AND(A251="CJ",F251&lt;&gt;""),(D251*E251)-((D251-2*F251)*(E251-2*F251)),AND(A251="CJ",F251=""),ROUND((PI()*(D251/2)^2)-(PI()*(D251/2-E251)^2),0),TRUE,"")</f>
        <v/>
      </c>
    </row>
    <row r="252" spans="1:10" x14ac:dyDescent="0.25">
      <c r="A252">
        <f>CUBICACION!F252</f>
        <v>0</v>
      </c>
      <c r="B252">
        <f>CUBICACION!E252</f>
        <v>0</v>
      </c>
      <c r="C252" s="947">
        <f>CUBICACION!J252</f>
        <v>0</v>
      </c>
      <c r="D252" t="str" cm="1">
        <f t="array" ref="D252">_xlfn.TEXTSPLIT(B252,{"X";"x"})</f>
        <v>0</v>
      </c>
      <c r="J252" t="str" cm="1">
        <f t="array" ref="J252">_xlfn.IFS(AND(A252="IN",I252&lt;&gt;""), (E252*F252+G252*H252)+I252*(D252-F252-H252),AND(A252="IN",I252=""), (2*E252*F252)+G252*(D252-2*F252),AND(A252="CJ",F252&lt;&gt;""),(D252*E252)-((D252-2*F252)*(E252-2*F252)),AND(A252="CJ",F252=""),ROUND((PI()*(D252/2)^2)-(PI()*(D252/2-E252)^2),0),TRUE,"")</f>
        <v/>
      </c>
    </row>
    <row r="253" spans="1:10" x14ac:dyDescent="0.25">
      <c r="A253">
        <f>CUBICACION!F253</f>
        <v>0</v>
      </c>
      <c r="B253">
        <f>CUBICACION!E253</f>
        <v>0</v>
      </c>
      <c r="C253" s="947">
        <f>CUBICACION!J253</f>
        <v>0</v>
      </c>
      <c r="D253" t="str" cm="1">
        <f t="array" ref="D253">_xlfn.TEXTSPLIT(B253,{"X";"x"})</f>
        <v>0</v>
      </c>
      <c r="J253" t="str" cm="1">
        <f t="array" ref="J253">_xlfn.IFS(AND(A253="IN",I253&lt;&gt;""), (E253*F253+G253*H253)+I253*(D253-F253-H253),AND(A253="IN",I253=""), (2*E253*F253)+G253*(D253-2*F253),AND(A253="CJ",F253&lt;&gt;""),(D253*E253)-((D253-2*F253)*(E253-2*F253)),AND(A253="CJ",F253=""),ROUND((PI()*(D253/2)^2)-(PI()*(D253/2-E253)^2),0),TRUE,"")</f>
        <v/>
      </c>
    </row>
    <row r="254" spans="1:10" x14ac:dyDescent="0.25">
      <c r="A254">
        <f>CUBICACION!F254</f>
        <v>0</v>
      </c>
      <c r="B254">
        <f>CUBICACION!E254</f>
        <v>0</v>
      </c>
      <c r="C254" s="947">
        <f>CUBICACION!J254</f>
        <v>0</v>
      </c>
      <c r="D254" t="str" cm="1">
        <f t="array" ref="D254">_xlfn.TEXTSPLIT(B254,{"X";"x"})</f>
        <v>0</v>
      </c>
      <c r="J254" t="str" cm="1">
        <f t="array" ref="J254">_xlfn.IFS(AND(A254="IN",I254&lt;&gt;""), (E254*F254+G254*H254)+I254*(D254-F254-H254),AND(A254="IN",I254=""), (2*E254*F254)+G254*(D254-2*F254),AND(A254="CJ",F254&lt;&gt;""),(D254*E254)-((D254-2*F254)*(E254-2*F254)),AND(A254="CJ",F254=""),ROUND((PI()*(D254/2)^2)-(PI()*(D254/2-E254)^2),0),TRUE,"")</f>
        <v/>
      </c>
    </row>
    <row r="255" spans="1:10" x14ac:dyDescent="0.25">
      <c r="A255">
        <f>CUBICACION!F255</f>
        <v>0</v>
      </c>
      <c r="B255">
        <f>CUBICACION!E255</f>
        <v>0</v>
      </c>
      <c r="C255" s="947">
        <f>CUBICACION!J255</f>
        <v>0</v>
      </c>
      <c r="D255" t="str" cm="1">
        <f t="array" ref="D255">_xlfn.TEXTSPLIT(B255,{"X";"x"})</f>
        <v>0</v>
      </c>
      <c r="J255" t="str" cm="1">
        <f t="array" ref="J255">_xlfn.IFS(AND(A255="IN",I255&lt;&gt;""), (E255*F255+G255*H255)+I255*(D255-F255-H255),AND(A255="IN",I255=""), (2*E255*F255)+G255*(D255-2*F255),AND(A255="CJ",F255&lt;&gt;""),(D255*E255)-((D255-2*F255)*(E255-2*F255)),AND(A255="CJ",F255=""),ROUND((PI()*(D255/2)^2)-(PI()*(D255/2-E255)^2),0),TRUE,"")</f>
        <v/>
      </c>
    </row>
    <row r="256" spans="1:10" x14ac:dyDescent="0.25">
      <c r="A256">
        <f>CUBICACION!F256</f>
        <v>0</v>
      </c>
      <c r="B256">
        <f>CUBICACION!E256</f>
        <v>0</v>
      </c>
      <c r="C256" s="947">
        <f>CUBICACION!J256</f>
        <v>0</v>
      </c>
      <c r="D256" t="str" cm="1">
        <f t="array" ref="D256">_xlfn.TEXTSPLIT(B256,{"X";"x"})</f>
        <v>0</v>
      </c>
      <c r="J256" t="str" cm="1">
        <f t="array" ref="J256">_xlfn.IFS(AND(A256="IN",I256&lt;&gt;""), (E256*F256+G256*H256)+I256*(D256-F256-H256),AND(A256="IN",I256=""), (2*E256*F256)+G256*(D256-2*F256),AND(A256="CJ",F256&lt;&gt;""),(D256*E256)-((D256-2*F256)*(E256-2*F256)),AND(A256="CJ",F256=""),ROUND((PI()*(D256/2)^2)-(PI()*(D256/2-E256)^2),0),TRUE,"")</f>
        <v/>
      </c>
    </row>
    <row r="257" spans="1:10" x14ac:dyDescent="0.25">
      <c r="A257">
        <f>CUBICACION!F257</f>
        <v>0</v>
      </c>
      <c r="B257">
        <f>CUBICACION!E257</f>
        <v>0</v>
      </c>
      <c r="C257" s="947">
        <f>CUBICACION!J257</f>
        <v>0</v>
      </c>
      <c r="D257" t="str" cm="1">
        <f t="array" ref="D257">_xlfn.TEXTSPLIT(B257,{"X";"x"})</f>
        <v>0</v>
      </c>
      <c r="J257" t="str" cm="1">
        <f t="array" ref="J257">_xlfn.IFS(AND(A257="IN",I257&lt;&gt;""), (E257*F257+G257*H257)+I257*(D257-F257-H257),AND(A257="IN",I257=""), (2*E257*F257)+G257*(D257-2*F257),AND(A257="CJ",F257&lt;&gt;""),(D257*E257)-((D257-2*F257)*(E257-2*F257)),AND(A257="CJ",F257=""),ROUND((PI()*(D257/2)^2)-(PI()*(D257/2-E257)^2),0),TRUE,"")</f>
        <v/>
      </c>
    </row>
    <row r="258" spans="1:10" x14ac:dyDescent="0.25">
      <c r="A258">
        <f>CUBICACION!F258</f>
        <v>0</v>
      </c>
      <c r="B258">
        <f>CUBICACION!E258</f>
        <v>0</v>
      </c>
      <c r="C258" s="947">
        <f>CUBICACION!J258</f>
        <v>0</v>
      </c>
      <c r="D258" t="str" cm="1">
        <f t="array" ref="D258">_xlfn.TEXTSPLIT(B258,{"X";"x"})</f>
        <v>0</v>
      </c>
      <c r="J258" t="str" cm="1">
        <f t="array" ref="J258">_xlfn.IFS(AND(A258="IN",I258&lt;&gt;""), (E258*F258+G258*H258)+I258*(D258-F258-H258),AND(A258="IN",I258=""), (2*E258*F258)+G258*(D258-2*F258),AND(A258="CJ",F258&lt;&gt;""),(D258*E258)-((D258-2*F258)*(E258-2*F258)),AND(A258="CJ",F258=""),ROUND((PI()*(D258/2)^2)-(PI()*(D258/2-E258)^2),0),TRUE,"")</f>
        <v/>
      </c>
    </row>
    <row r="259" spans="1:10" x14ac:dyDescent="0.25">
      <c r="A259">
        <f>CUBICACION!F259</f>
        <v>0</v>
      </c>
      <c r="B259">
        <f>CUBICACION!E259</f>
        <v>0</v>
      </c>
      <c r="C259" s="947">
        <f>CUBICACION!J259</f>
        <v>0</v>
      </c>
      <c r="D259" t="str" cm="1">
        <f t="array" ref="D259">_xlfn.TEXTSPLIT(B259,{"X";"x"})</f>
        <v>0</v>
      </c>
      <c r="J259" t="str" cm="1">
        <f t="array" ref="J259">_xlfn.IFS(AND(A259="IN",I259&lt;&gt;""), (E259*F259+G259*H259)+I259*(D259-F259-H259),AND(A259="IN",I259=""), (2*E259*F259)+G259*(D259-2*F259),AND(A259="CJ",F259&lt;&gt;""),(D259*E259)-((D259-2*F259)*(E259-2*F259)),AND(A259="CJ",F259=""),ROUND((PI()*(D259/2)^2)-(PI()*(D259/2-E259)^2),0),TRUE,"")</f>
        <v/>
      </c>
    </row>
    <row r="260" spans="1:10" x14ac:dyDescent="0.25">
      <c r="A260">
        <f>CUBICACION!F260</f>
        <v>0</v>
      </c>
      <c r="B260">
        <f>CUBICACION!E260</f>
        <v>0</v>
      </c>
      <c r="C260" s="947">
        <f>CUBICACION!J260</f>
        <v>0</v>
      </c>
      <c r="D260" t="str" cm="1">
        <f t="array" ref="D260">_xlfn.TEXTSPLIT(B260,{"X";"x"})</f>
        <v>0</v>
      </c>
      <c r="J260" t="str" cm="1">
        <f t="array" ref="J260">_xlfn.IFS(AND(A260="IN",I260&lt;&gt;""), (E260*F260+G260*H260)+I260*(D260-F260-H260),AND(A260="IN",I260=""), (2*E260*F260)+G260*(D260-2*F260),AND(A260="CJ",F260&lt;&gt;""),(D260*E260)-((D260-2*F260)*(E260-2*F260)),AND(A260="CJ",F260=""),ROUND((PI()*(D260/2)^2)-(PI()*(D260/2-E260)^2),0),TRUE,"")</f>
        <v/>
      </c>
    </row>
    <row r="261" spans="1:10" x14ac:dyDescent="0.25">
      <c r="A261">
        <f>CUBICACION!F261</f>
        <v>0</v>
      </c>
      <c r="B261">
        <f>CUBICACION!E261</f>
        <v>0</v>
      </c>
      <c r="C261" s="947">
        <f>CUBICACION!J261</f>
        <v>0</v>
      </c>
      <c r="D261" t="str" cm="1">
        <f t="array" ref="D261">_xlfn.TEXTSPLIT(B261,{"X";"x"})</f>
        <v>0</v>
      </c>
      <c r="J261" t="str" cm="1">
        <f t="array" ref="J261">_xlfn.IFS(AND(A261="IN",I261&lt;&gt;""), (E261*F261+G261*H261)+I261*(D261-F261-H261),AND(A261="IN",I261=""), (2*E261*F261)+G261*(D261-2*F261),AND(A261="CJ",F261&lt;&gt;""),(D261*E261)-((D261-2*F261)*(E261-2*F261)),AND(A261="CJ",F261=""),ROUND((PI()*(D261/2)^2)-(PI()*(D261/2-E261)^2),0),TRUE,"")</f>
        <v/>
      </c>
    </row>
    <row r="262" spans="1:10" x14ac:dyDescent="0.25">
      <c r="A262">
        <f>CUBICACION!F262</f>
        <v>0</v>
      </c>
      <c r="B262">
        <f>CUBICACION!E262</f>
        <v>0</v>
      </c>
      <c r="C262" s="947">
        <f>CUBICACION!J262</f>
        <v>0</v>
      </c>
      <c r="D262" t="str" cm="1">
        <f t="array" ref="D262">_xlfn.TEXTSPLIT(B262,{"X";"x"})</f>
        <v>0</v>
      </c>
      <c r="J262" t="str" cm="1">
        <f t="array" ref="J262">_xlfn.IFS(AND(A262="IN",I262&lt;&gt;""), (E262*F262+G262*H262)+I262*(D262-F262-H262),AND(A262="IN",I262=""), (2*E262*F262)+G262*(D262-2*F262),AND(A262="CJ",F262&lt;&gt;""),(D262*E262)-((D262-2*F262)*(E262-2*F262)),AND(A262="CJ",F262=""),ROUND((PI()*(D262/2)^2)-(PI()*(D262/2-E262)^2),0),TRUE,"")</f>
        <v/>
      </c>
    </row>
    <row r="263" spans="1:10" x14ac:dyDescent="0.25">
      <c r="A263">
        <f>CUBICACION!F263</f>
        <v>0</v>
      </c>
      <c r="B263">
        <f>CUBICACION!E263</f>
        <v>0</v>
      </c>
      <c r="C263" s="947">
        <f>CUBICACION!J263</f>
        <v>0</v>
      </c>
      <c r="D263" t="str" cm="1">
        <f t="array" ref="D263">_xlfn.TEXTSPLIT(B263,{"X";"x"})</f>
        <v>0</v>
      </c>
      <c r="J263" t="str" cm="1">
        <f t="array" ref="J263">_xlfn.IFS(AND(A263="IN",I263&lt;&gt;""), (E263*F263+G263*H263)+I263*(D263-F263-H263),AND(A263="IN",I263=""), (2*E263*F263)+G263*(D263-2*F263),AND(A263="CJ",F263&lt;&gt;""),(D263*E263)-((D263-2*F263)*(E263-2*F263)),AND(A263="CJ",F263=""),ROUND((PI()*(D263/2)^2)-(PI()*(D263/2-E263)^2),0),TRUE,"")</f>
        <v/>
      </c>
    </row>
    <row r="264" spans="1:10" x14ac:dyDescent="0.25">
      <c r="A264">
        <f>CUBICACION!F264</f>
        <v>0</v>
      </c>
      <c r="B264">
        <f>CUBICACION!E264</f>
        <v>0</v>
      </c>
      <c r="C264" s="947">
        <f>CUBICACION!J264</f>
        <v>0</v>
      </c>
      <c r="D264" t="str" cm="1">
        <f t="array" ref="D264">_xlfn.TEXTSPLIT(B264,{"X";"x"})</f>
        <v>0</v>
      </c>
      <c r="J264" t="str" cm="1">
        <f t="array" ref="J264">_xlfn.IFS(AND(A264="IN",I264&lt;&gt;""), (E264*F264+G264*H264)+I264*(D264-F264-H264),AND(A264="IN",I264=""), (2*E264*F264)+G264*(D264-2*F264),AND(A264="CJ",F264&lt;&gt;""),(D264*E264)-((D264-2*F264)*(E264-2*F264)),AND(A264="CJ",F264=""),ROUND((PI()*(D264/2)^2)-(PI()*(D264/2-E264)^2),0),TRUE,"")</f>
        <v/>
      </c>
    </row>
    <row r="265" spans="1:10" x14ac:dyDescent="0.25">
      <c r="A265">
        <f>CUBICACION!F265</f>
        <v>0</v>
      </c>
      <c r="B265">
        <f>CUBICACION!E265</f>
        <v>0</v>
      </c>
      <c r="C265" s="947">
        <f>CUBICACION!J265</f>
        <v>0</v>
      </c>
      <c r="D265" t="str" cm="1">
        <f t="array" ref="D265">_xlfn.TEXTSPLIT(B265,{"X";"x"})</f>
        <v>0</v>
      </c>
      <c r="J265" t="str" cm="1">
        <f t="array" ref="J265">_xlfn.IFS(AND(A265="IN",I265&lt;&gt;""), (E265*F265+G265*H265)+I265*(D265-F265-H265),AND(A265="IN",I265=""), (2*E265*F265)+G265*(D265-2*F265),AND(A265="CJ",F265&lt;&gt;""),(D265*E265)-((D265-2*F265)*(E265-2*F265)),AND(A265="CJ",F265=""),ROUND((PI()*(D265/2)^2)-(PI()*(D265/2-E265)^2),0),TRUE,"")</f>
        <v/>
      </c>
    </row>
    <row r="266" spans="1:10" x14ac:dyDescent="0.25">
      <c r="A266">
        <f>CUBICACION!F266</f>
        <v>0</v>
      </c>
      <c r="B266">
        <f>CUBICACION!E266</f>
        <v>0</v>
      </c>
      <c r="C266" s="947">
        <f>CUBICACION!J266</f>
        <v>0</v>
      </c>
      <c r="D266" t="str" cm="1">
        <f t="array" ref="D266">_xlfn.TEXTSPLIT(B266,{"X";"x"})</f>
        <v>0</v>
      </c>
      <c r="J266" t="str" cm="1">
        <f t="array" ref="J266">_xlfn.IFS(AND(A266="IN",I266&lt;&gt;""), (E266*F266+G266*H266)+I266*(D266-F266-H266),AND(A266="IN",I266=""), (2*E266*F266)+G266*(D266-2*F266),AND(A266="CJ",F266&lt;&gt;""),(D266*E266)-((D266-2*F266)*(E266-2*F266)),AND(A266="CJ",F266=""),ROUND((PI()*(D266/2)^2)-(PI()*(D266/2-E266)^2),0),TRUE,"")</f>
        <v/>
      </c>
    </row>
    <row r="267" spans="1:10" x14ac:dyDescent="0.25">
      <c r="A267">
        <f>CUBICACION!F267</f>
        <v>0</v>
      </c>
      <c r="B267">
        <f>CUBICACION!E267</f>
        <v>0</v>
      </c>
      <c r="C267" s="947">
        <f>CUBICACION!J267</f>
        <v>0</v>
      </c>
      <c r="D267" t="str" cm="1">
        <f t="array" ref="D267">_xlfn.TEXTSPLIT(B267,{"X";"x"})</f>
        <v>0</v>
      </c>
      <c r="J267" t="str" cm="1">
        <f t="array" ref="J267">_xlfn.IFS(AND(A267="IN",I267&lt;&gt;""), (E267*F267+G267*H267)+I267*(D267-F267-H267),AND(A267="IN",I267=""), (2*E267*F267)+G267*(D267-2*F267),AND(A267="CJ",F267&lt;&gt;""),(D267*E267)-((D267-2*F267)*(E267-2*F267)),AND(A267="CJ",F267=""),ROUND((PI()*(D267/2)^2)-(PI()*(D267/2-E267)^2),0),TRUE,"")</f>
        <v/>
      </c>
    </row>
    <row r="268" spans="1:10" x14ac:dyDescent="0.25">
      <c r="A268">
        <f>CUBICACION!F268</f>
        <v>0</v>
      </c>
      <c r="B268">
        <f>CUBICACION!E268</f>
        <v>0</v>
      </c>
      <c r="C268" s="947">
        <f>CUBICACION!J268</f>
        <v>0</v>
      </c>
      <c r="D268" t="str" cm="1">
        <f t="array" ref="D268">_xlfn.TEXTSPLIT(B268,{"X";"x"})</f>
        <v>0</v>
      </c>
      <c r="J268" t="str" cm="1">
        <f t="array" ref="J268">_xlfn.IFS(AND(A268="IN",I268&lt;&gt;""), (E268*F268+G268*H268)+I268*(D268-F268-H268),AND(A268="IN",I268=""), (2*E268*F268)+G268*(D268-2*F268),AND(A268="CJ",F268&lt;&gt;""),(D268*E268)-((D268-2*F268)*(E268-2*F268)),AND(A268="CJ",F268=""),ROUND((PI()*(D268/2)^2)-(PI()*(D268/2-E268)^2),0),TRUE,"")</f>
        <v/>
      </c>
    </row>
    <row r="269" spans="1:10" x14ac:dyDescent="0.25">
      <c r="A269">
        <f>CUBICACION!F269</f>
        <v>0</v>
      </c>
      <c r="B269">
        <f>CUBICACION!E269</f>
        <v>0</v>
      </c>
      <c r="C269" s="947">
        <f>CUBICACION!J269</f>
        <v>0</v>
      </c>
      <c r="D269" t="str" cm="1">
        <f t="array" ref="D269">_xlfn.TEXTSPLIT(B269,{"X";"x"})</f>
        <v>0</v>
      </c>
      <c r="J269" t="str" cm="1">
        <f t="array" ref="J269">_xlfn.IFS(AND(A269="IN",I269&lt;&gt;""), (E269*F269+G269*H269)+I269*(D269-F269-H269),AND(A269="IN",I269=""), (2*E269*F269)+G269*(D269-2*F269),AND(A269="CJ",F269&lt;&gt;""),(D269*E269)-((D269-2*F269)*(E269-2*F269)),AND(A269="CJ",F269=""),ROUND((PI()*(D269/2)^2)-(PI()*(D269/2-E269)^2),0),TRUE,"")</f>
        <v/>
      </c>
    </row>
    <row r="270" spans="1:10" x14ac:dyDescent="0.25">
      <c r="A270">
        <f>CUBICACION!F270</f>
        <v>0</v>
      </c>
      <c r="B270">
        <f>CUBICACION!E270</f>
        <v>0</v>
      </c>
      <c r="C270" s="947">
        <f>CUBICACION!J270</f>
        <v>0</v>
      </c>
      <c r="D270" t="str" cm="1">
        <f t="array" ref="D270">_xlfn.TEXTSPLIT(B270,{"X";"x"})</f>
        <v>0</v>
      </c>
      <c r="J270" t="str" cm="1">
        <f t="array" ref="J270">_xlfn.IFS(AND(A270="IN",I270&lt;&gt;""), (E270*F270+G270*H270)+I270*(D270-F270-H270),AND(A270="IN",I270=""), (2*E270*F270)+G270*(D270-2*F270),AND(A270="CJ",F270&lt;&gt;""),(D270*E270)-((D270-2*F270)*(E270-2*F270)),AND(A270="CJ",F270=""),ROUND((PI()*(D270/2)^2)-(PI()*(D270/2-E270)^2),0),TRUE,"")</f>
        <v/>
      </c>
    </row>
    <row r="271" spans="1:10" x14ac:dyDescent="0.25">
      <c r="A271">
        <f>CUBICACION!F271</f>
        <v>0</v>
      </c>
      <c r="B271">
        <f>CUBICACION!E271</f>
        <v>0</v>
      </c>
      <c r="C271" s="947">
        <f>CUBICACION!J271</f>
        <v>0</v>
      </c>
      <c r="D271" t="str" cm="1">
        <f t="array" ref="D271">_xlfn.TEXTSPLIT(B271,{"X";"x"})</f>
        <v>0</v>
      </c>
      <c r="J271" t="str" cm="1">
        <f t="array" ref="J271">_xlfn.IFS(AND(A271="IN",I271&lt;&gt;""), (E271*F271+G271*H271)+I271*(D271-F271-H271),AND(A271="IN",I271=""), (2*E271*F271)+G271*(D271-2*F271),AND(A271="CJ",F271&lt;&gt;""),(D271*E271)-((D271-2*F271)*(E271-2*F271)),AND(A271="CJ",F271=""),ROUND((PI()*(D271/2)^2)-(PI()*(D271/2-E271)^2),0),TRUE,"")</f>
        <v/>
      </c>
    </row>
    <row r="272" spans="1:10" x14ac:dyDescent="0.25">
      <c r="A272">
        <f>CUBICACION!F272</f>
        <v>0</v>
      </c>
      <c r="B272">
        <f>CUBICACION!E272</f>
        <v>0</v>
      </c>
      <c r="C272" s="947">
        <f>CUBICACION!J272</f>
        <v>0</v>
      </c>
      <c r="D272" t="str" cm="1">
        <f t="array" ref="D272">_xlfn.TEXTSPLIT(B272,{"X";"x"})</f>
        <v>0</v>
      </c>
      <c r="J272" t="str" cm="1">
        <f t="array" ref="J272">_xlfn.IFS(AND(A272="IN",I272&lt;&gt;""), (E272*F272+G272*H272)+I272*(D272-F272-H272),AND(A272="IN",I272=""), (2*E272*F272)+G272*(D272-2*F272),AND(A272="CJ",F272&lt;&gt;""),(D272*E272)-((D272-2*F272)*(E272-2*F272)),AND(A272="CJ",F272=""),ROUND((PI()*(D272/2)^2)-(PI()*(D272/2-E272)^2),0),TRUE,"")</f>
        <v/>
      </c>
    </row>
    <row r="273" spans="1:10" x14ac:dyDescent="0.25">
      <c r="A273">
        <f>CUBICACION!F273</f>
        <v>0</v>
      </c>
      <c r="B273">
        <f>CUBICACION!E273</f>
        <v>0</v>
      </c>
      <c r="C273" s="947">
        <f>CUBICACION!J273</f>
        <v>0</v>
      </c>
      <c r="D273" t="str" cm="1">
        <f t="array" ref="D273">_xlfn.TEXTSPLIT(B273,{"X";"x"})</f>
        <v>0</v>
      </c>
      <c r="J273" t="str" cm="1">
        <f t="array" ref="J273">_xlfn.IFS(AND(A273="IN",I273&lt;&gt;""), (E273*F273+G273*H273)+I273*(D273-F273-H273),AND(A273="IN",I273=""), (2*E273*F273)+G273*(D273-2*F273),AND(A273="CJ",F273&lt;&gt;""),(D273*E273)-((D273-2*F273)*(E273-2*F273)),AND(A273="CJ",F273=""),ROUND((PI()*(D273/2)^2)-(PI()*(D273/2-E273)^2),0),TRUE,"")</f>
        <v/>
      </c>
    </row>
    <row r="274" spans="1:10" x14ac:dyDescent="0.25">
      <c r="A274">
        <f>CUBICACION!F274</f>
        <v>0</v>
      </c>
      <c r="B274">
        <f>CUBICACION!E274</f>
        <v>0</v>
      </c>
      <c r="C274" s="947">
        <f>CUBICACION!J274</f>
        <v>0</v>
      </c>
      <c r="D274" t="str" cm="1">
        <f t="array" ref="D274">_xlfn.TEXTSPLIT(B274,{"X";"x"})</f>
        <v>0</v>
      </c>
      <c r="J274" t="str" cm="1">
        <f t="array" ref="J274">_xlfn.IFS(AND(A274="IN",I274&lt;&gt;""), (E274*F274+G274*H274)+I274*(D274-F274-H274),AND(A274="IN",I274=""), (2*E274*F274)+G274*(D274-2*F274),AND(A274="CJ",F274&lt;&gt;""),(D274*E274)-((D274-2*F274)*(E274-2*F274)),AND(A274="CJ",F274=""),ROUND((PI()*(D274/2)^2)-(PI()*(D274/2-E274)^2),0),TRUE,"")</f>
        <v/>
      </c>
    </row>
    <row r="275" spans="1:10" x14ac:dyDescent="0.25">
      <c r="A275">
        <f>CUBICACION!F275</f>
        <v>0</v>
      </c>
      <c r="B275">
        <f>CUBICACION!E275</f>
        <v>0</v>
      </c>
      <c r="C275" s="947">
        <f>CUBICACION!J275</f>
        <v>0</v>
      </c>
      <c r="D275" t="str" cm="1">
        <f t="array" ref="D275">_xlfn.TEXTSPLIT(B275,{"X";"x"})</f>
        <v>0</v>
      </c>
      <c r="J275" t="str" cm="1">
        <f t="array" ref="J275">_xlfn.IFS(AND(A275="IN",I275&lt;&gt;""), (E275*F275+G275*H275)+I275*(D275-F275-H275),AND(A275="IN",I275=""), (2*E275*F275)+G275*(D275-2*F275),AND(A275="CJ",F275&lt;&gt;""),(D275*E275)-((D275-2*F275)*(E275-2*F275)),AND(A275="CJ",F275=""),ROUND((PI()*(D275/2)^2)-(PI()*(D275/2-E275)^2),0),TRUE,"")</f>
        <v/>
      </c>
    </row>
    <row r="276" spans="1:10" x14ac:dyDescent="0.25">
      <c r="A276">
        <f>CUBICACION!F276</f>
        <v>0</v>
      </c>
      <c r="B276">
        <f>CUBICACION!E276</f>
        <v>0</v>
      </c>
      <c r="C276" s="947">
        <f>CUBICACION!J276</f>
        <v>0</v>
      </c>
      <c r="D276" t="str" cm="1">
        <f t="array" ref="D276">_xlfn.TEXTSPLIT(B276,{"X";"x"})</f>
        <v>0</v>
      </c>
      <c r="J276" t="str" cm="1">
        <f t="array" ref="J276">_xlfn.IFS(AND(A276="IN",I276&lt;&gt;""), (E276*F276+G276*H276)+I276*(D276-F276-H276),AND(A276="IN",I276=""), (2*E276*F276)+G276*(D276-2*F276),AND(A276="CJ",F276&lt;&gt;""),(D276*E276)-((D276-2*F276)*(E276-2*F276)),AND(A276="CJ",F276=""),ROUND((PI()*(D276/2)^2)-(PI()*(D276/2-E276)^2),0),TRUE,"")</f>
        <v/>
      </c>
    </row>
    <row r="277" spans="1:10" x14ac:dyDescent="0.25">
      <c r="A277">
        <f>CUBICACION!F277</f>
        <v>0</v>
      </c>
      <c r="B277">
        <f>CUBICACION!E277</f>
        <v>0</v>
      </c>
      <c r="C277" s="947">
        <f>CUBICACION!J277</f>
        <v>0</v>
      </c>
      <c r="D277" t="str" cm="1">
        <f t="array" ref="D277">_xlfn.TEXTSPLIT(B277,{"X";"x"})</f>
        <v>0</v>
      </c>
      <c r="J277" t="str" cm="1">
        <f t="array" ref="J277">_xlfn.IFS(AND(A277="IN",I277&lt;&gt;""), (E277*F277+G277*H277)+I277*(D277-F277-H277),AND(A277="IN",I277=""), (2*E277*F277)+G277*(D277-2*F277),AND(A277="CJ",F277&lt;&gt;""),(D277*E277)-((D277-2*F277)*(E277-2*F277)),AND(A277="CJ",F277=""),ROUND((PI()*(D277/2)^2)-(PI()*(D277/2-E277)^2),0),TRUE,"")</f>
        <v/>
      </c>
    </row>
    <row r="278" spans="1:10" x14ac:dyDescent="0.25">
      <c r="A278">
        <f>CUBICACION!F278</f>
        <v>0</v>
      </c>
      <c r="B278">
        <f>CUBICACION!E278</f>
        <v>0</v>
      </c>
      <c r="C278" s="947">
        <f>CUBICACION!J278</f>
        <v>0</v>
      </c>
      <c r="D278" t="str" cm="1">
        <f t="array" ref="D278">_xlfn.TEXTSPLIT(B278,{"X";"x"})</f>
        <v>0</v>
      </c>
      <c r="J278" t="str" cm="1">
        <f t="array" ref="J278">_xlfn.IFS(AND(A278="IN",I278&lt;&gt;""), (E278*F278+G278*H278)+I278*(D278-F278-H278),AND(A278="IN",I278=""), (2*E278*F278)+G278*(D278-2*F278),AND(A278="CJ",F278&lt;&gt;""),(D278*E278)-((D278-2*F278)*(E278-2*F278)),AND(A278="CJ",F278=""),ROUND((PI()*(D278/2)^2)-(PI()*(D278/2-E278)^2),0),TRUE,"")</f>
        <v/>
      </c>
    </row>
    <row r="279" spans="1:10" x14ac:dyDescent="0.25">
      <c r="A279">
        <f>CUBICACION!F279</f>
        <v>0</v>
      </c>
      <c r="B279">
        <f>CUBICACION!E279</f>
        <v>0</v>
      </c>
      <c r="C279" s="947">
        <f>CUBICACION!J279</f>
        <v>0</v>
      </c>
      <c r="D279" t="str" cm="1">
        <f t="array" ref="D279">_xlfn.TEXTSPLIT(B279,{"X";"x"})</f>
        <v>0</v>
      </c>
      <c r="J279" t="str" cm="1">
        <f t="array" ref="J279">_xlfn.IFS(AND(A279="IN",I279&lt;&gt;""), (E279*F279+G279*H279)+I279*(D279-F279-H279),AND(A279="IN",I279=""), (2*E279*F279)+G279*(D279-2*F279),AND(A279="CJ",F279&lt;&gt;""),(D279*E279)-((D279-2*F279)*(E279-2*F279)),AND(A279="CJ",F279=""),ROUND((PI()*(D279/2)^2)-(PI()*(D279/2-E279)^2),0),TRUE,"")</f>
        <v/>
      </c>
    </row>
    <row r="280" spans="1:10" x14ac:dyDescent="0.25">
      <c r="A280">
        <f>CUBICACION!F280</f>
        <v>0</v>
      </c>
      <c r="B280">
        <f>CUBICACION!E280</f>
        <v>0</v>
      </c>
      <c r="C280" s="947">
        <f>CUBICACION!J280</f>
        <v>0</v>
      </c>
      <c r="D280" t="str" cm="1">
        <f t="array" ref="D280">_xlfn.TEXTSPLIT(B280,{"X";"x"})</f>
        <v>0</v>
      </c>
      <c r="J280" t="str" cm="1">
        <f t="array" ref="J280">_xlfn.IFS(AND(A280="IN",I280&lt;&gt;""), (E280*F280+G280*H280)+I280*(D280-F280-H280),AND(A280="IN",I280=""), (2*E280*F280)+G280*(D280-2*F280),AND(A280="CJ",F280&lt;&gt;""),(D280*E280)-((D280-2*F280)*(E280-2*F280)),AND(A280="CJ",F280=""),ROUND((PI()*(D280/2)^2)-(PI()*(D280/2-E280)^2),0),TRUE,"")</f>
        <v/>
      </c>
    </row>
    <row r="281" spans="1:10" x14ac:dyDescent="0.25">
      <c r="A281">
        <f>CUBICACION!F281</f>
        <v>0</v>
      </c>
      <c r="B281">
        <f>CUBICACION!E281</f>
        <v>0</v>
      </c>
      <c r="C281" s="947">
        <f>CUBICACION!J281</f>
        <v>0</v>
      </c>
      <c r="D281" t="str" cm="1">
        <f t="array" ref="D281">_xlfn.TEXTSPLIT(B281,{"X";"x"})</f>
        <v>0</v>
      </c>
      <c r="J281" t="str" cm="1">
        <f t="array" ref="J281">_xlfn.IFS(AND(A281="IN",I281&lt;&gt;""), (E281*F281+G281*H281)+I281*(D281-F281-H281),AND(A281="IN",I281=""), (2*E281*F281)+G281*(D281-2*F281),AND(A281="CJ",F281&lt;&gt;""),(D281*E281)-((D281-2*F281)*(E281-2*F281)),AND(A281="CJ",F281=""),ROUND((PI()*(D281/2)^2)-(PI()*(D281/2-E281)^2),0),TRUE,"")</f>
        <v/>
      </c>
    </row>
    <row r="282" spans="1:10" x14ac:dyDescent="0.25">
      <c r="A282">
        <f>CUBICACION!F282</f>
        <v>0</v>
      </c>
      <c r="B282">
        <f>CUBICACION!E282</f>
        <v>0</v>
      </c>
      <c r="C282" s="947">
        <f>CUBICACION!J282</f>
        <v>0</v>
      </c>
      <c r="D282" t="str" cm="1">
        <f t="array" ref="D282">_xlfn.TEXTSPLIT(B282,{"X";"x"})</f>
        <v>0</v>
      </c>
      <c r="J282" t="str" cm="1">
        <f t="array" ref="J282">_xlfn.IFS(AND(A282="IN",I282&lt;&gt;""), (E282*F282+G282*H282)+I282*(D282-F282-H282),AND(A282="IN",I282=""), (2*E282*F282)+G282*(D282-2*F282),AND(A282="CJ",F282&lt;&gt;""),(D282*E282)-((D282-2*F282)*(E282-2*F282)),AND(A282="CJ",F282=""),ROUND((PI()*(D282/2)^2)-(PI()*(D282/2-E282)^2),0),TRUE,"")</f>
        <v/>
      </c>
    </row>
    <row r="283" spans="1:10" x14ac:dyDescent="0.25">
      <c r="A283">
        <f>CUBICACION!F283</f>
        <v>0</v>
      </c>
      <c r="B283">
        <f>CUBICACION!E283</f>
        <v>0</v>
      </c>
      <c r="C283" s="947">
        <f>CUBICACION!J283</f>
        <v>0</v>
      </c>
      <c r="D283" t="str" cm="1">
        <f t="array" ref="D283">_xlfn.TEXTSPLIT(B283,{"X";"x"})</f>
        <v>0</v>
      </c>
      <c r="J283" t="str" cm="1">
        <f t="array" ref="J283">_xlfn.IFS(AND(A283="IN",I283&lt;&gt;""), (E283*F283+G283*H283)+I283*(D283-F283-H283),AND(A283="IN",I283=""), (2*E283*F283)+G283*(D283-2*F283),AND(A283="CJ",F283&lt;&gt;""),(D283*E283)-((D283-2*F283)*(E283-2*F283)),AND(A283="CJ",F283=""),ROUND((PI()*(D283/2)^2)-(PI()*(D283/2-E283)^2),0),TRUE,"")</f>
        <v/>
      </c>
    </row>
    <row r="284" spans="1:10" x14ac:dyDescent="0.25">
      <c r="A284">
        <f>CUBICACION!F284</f>
        <v>0</v>
      </c>
      <c r="B284">
        <f>CUBICACION!E284</f>
        <v>0</v>
      </c>
      <c r="C284" s="947">
        <f>CUBICACION!J284</f>
        <v>0</v>
      </c>
      <c r="D284" t="str" cm="1">
        <f t="array" ref="D284">_xlfn.TEXTSPLIT(B284,{"X";"x"})</f>
        <v>0</v>
      </c>
      <c r="J284" t="str" cm="1">
        <f t="array" ref="J284">_xlfn.IFS(AND(A284="IN",I284&lt;&gt;""), (E284*F284+G284*H284)+I284*(D284-F284-H284),AND(A284="IN",I284=""), (2*E284*F284)+G284*(D284-2*F284),AND(A284="CJ",F284&lt;&gt;""),(D284*E284)-((D284-2*F284)*(E284-2*F284)),AND(A284="CJ",F284=""),ROUND((PI()*(D284/2)^2)-(PI()*(D284/2-E284)^2),0),TRUE,"")</f>
        <v/>
      </c>
    </row>
    <row r="285" spans="1:10" x14ac:dyDescent="0.25">
      <c r="A285">
        <f>CUBICACION!F285</f>
        <v>0</v>
      </c>
      <c r="B285">
        <f>CUBICACION!E285</f>
        <v>0</v>
      </c>
      <c r="C285" s="947">
        <f>CUBICACION!J285</f>
        <v>0</v>
      </c>
      <c r="D285" t="str" cm="1">
        <f t="array" ref="D285">_xlfn.TEXTSPLIT(B285,{"X";"x"})</f>
        <v>0</v>
      </c>
      <c r="J285" t="str" cm="1">
        <f t="array" ref="J285">_xlfn.IFS(AND(A285="IN",I285&lt;&gt;""), (E285*F285+G285*H285)+I285*(D285-F285-H285),AND(A285="IN",I285=""), (2*E285*F285)+G285*(D285-2*F285),AND(A285="CJ",F285&lt;&gt;""),(D285*E285)-((D285-2*F285)*(E285-2*F285)),AND(A285="CJ",F285=""),ROUND((PI()*(D285/2)^2)-(PI()*(D285/2-E285)^2),0),TRUE,"")</f>
        <v/>
      </c>
    </row>
    <row r="286" spans="1:10" x14ac:dyDescent="0.25">
      <c r="A286">
        <f>CUBICACION!F286</f>
        <v>0</v>
      </c>
      <c r="B286">
        <f>CUBICACION!E286</f>
        <v>0</v>
      </c>
      <c r="C286" s="947">
        <f>CUBICACION!J286</f>
        <v>0</v>
      </c>
      <c r="D286" t="str" cm="1">
        <f t="array" ref="D286">_xlfn.TEXTSPLIT(B286,{"X";"x"})</f>
        <v>0</v>
      </c>
      <c r="J286" t="str" cm="1">
        <f t="array" ref="J286">_xlfn.IFS(AND(A286="IN",I286&lt;&gt;""), (E286*F286+G286*H286)+I286*(D286-F286-H286),AND(A286="IN",I286=""), (2*E286*F286)+G286*(D286-2*F286),AND(A286="CJ",F286&lt;&gt;""),(D286*E286)-((D286-2*F286)*(E286-2*F286)),AND(A286="CJ",F286=""),ROUND((PI()*(D286/2)^2)-(PI()*(D286/2-E286)^2),0),TRUE,"")</f>
        <v/>
      </c>
    </row>
    <row r="287" spans="1:10" x14ac:dyDescent="0.25">
      <c r="A287">
        <f>CUBICACION!F287</f>
        <v>0</v>
      </c>
      <c r="B287">
        <f>CUBICACION!E287</f>
        <v>0</v>
      </c>
      <c r="C287" s="947">
        <f>CUBICACION!J287</f>
        <v>0</v>
      </c>
      <c r="D287" t="str" cm="1">
        <f t="array" ref="D287">_xlfn.TEXTSPLIT(B287,{"X";"x"})</f>
        <v>0</v>
      </c>
      <c r="J287" t="str" cm="1">
        <f t="array" ref="J287">_xlfn.IFS(AND(A287="IN",I287&lt;&gt;""), (E287*F287+G287*H287)+I287*(D287-F287-H287),AND(A287="IN",I287=""), (2*E287*F287)+G287*(D287-2*F287),AND(A287="CJ",F287&lt;&gt;""),(D287*E287)-((D287-2*F287)*(E287-2*F287)),AND(A287="CJ",F287=""),ROUND((PI()*(D287/2)^2)-(PI()*(D287/2-E287)^2),0),TRUE,"")</f>
        <v/>
      </c>
    </row>
    <row r="288" spans="1:10" x14ac:dyDescent="0.25">
      <c r="A288">
        <f>CUBICACION!F288</f>
        <v>0</v>
      </c>
      <c r="B288">
        <f>CUBICACION!E288</f>
        <v>0</v>
      </c>
      <c r="C288" s="947">
        <f>CUBICACION!J288</f>
        <v>0</v>
      </c>
      <c r="D288" t="str" cm="1">
        <f t="array" ref="D288">_xlfn.TEXTSPLIT(B288,{"X";"x"})</f>
        <v>0</v>
      </c>
      <c r="J288" t="str" cm="1">
        <f t="array" ref="J288">_xlfn.IFS(AND(A288="IN",I288&lt;&gt;""), (E288*F288+G288*H288)+I288*(D288-F288-H288),AND(A288="IN",I288=""), (2*E288*F288)+G288*(D288-2*F288),AND(A288="CJ",F288&lt;&gt;""),(D288*E288)-((D288-2*F288)*(E288-2*F288)),AND(A288="CJ",F288=""),ROUND((PI()*(D288/2)^2)-(PI()*(D288/2-E288)^2),0),TRUE,"")</f>
        <v/>
      </c>
    </row>
    <row r="289" spans="1:10" x14ac:dyDescent="0.25">
      <c r="A289">
        <f>CUBICACION!F289</f>
        <v>0</v>
      </c>
      <c r="B289">
        <f>CUBICACION!E289</f>
        <v>0</v>
      </c>
      <c r="C289" s="947">
        <f>CUBICACION!J289</f>
        <v>0</v>
      </c>
      <c r="D289" t="str" cm="1">
        <f t="array" ref="D289">_xlfn.TEXTSPLIT(B289,{"X";"x"})</f>
        <v>0</v>
      </c>
      <c r="J289" t="str" cm="1">
        <f t="array" ref="J289">_xlfn.IFS(AND(A289="IN",I289&lt;&gt;""), (E289*F289+G289*H289)+I289*(D289-F289-H289),AND(A289="IN",I289=""), (2*E289*F289)+G289*(D289-2*F289),AND(A289="CJ",F289&lt;&gt;""),(D289*E289)-((D289-2*F289)*(E289-2*F289)),AND(A289="CJ",F289=""),ROUND((PI()*(D289/2)^2)-(PI()*(D289/2-E289)^2),0),TRUE,"")</f>
        <v/>
      </c>
    </row>
    <row r="290" spans="1:10" x14ac:dyDescent="0.25">
      <c r="A290">
        <f>CUBICACION!F290</f>
        <v>0</v>
      </c>
      <c r="B290">
        <f>CUBICACION!E290</f>
        <v>0</v>
      </c>
      <c r="C290" s="947">
        <f>CUBICACION!J290</f>
        <v>0</v>
      </c>
      <c r="D290" t="str" cm="1">
        <f t="array" ref="D290">_xlfn.TEXTSPLIT(B290,{"X";"x"})</f>
        <v>0</v>
      </c>
      <c r="J290" t="str" cm="1">
        <f t="array" ref="J290">_xlfn.IFS(AND(A290="IN",I290&lt;&gt;""), (E290*F290+G290*H290)+I290*(D290-F290-H290),AND(A290="IN",I290=""), (2*E290*F290)+G290*(D290-2*F290),AND(A290="CJ",F290&lt;&gt;""),(D290*E290)-((D290-2*F290)*(E290-2*F290)),AND(A290="CJ",F290=""),ROUND((PI()*(D290/2)^2)-(PI()*(D290/2-E290)^2),0),TRUE,"")</f>
        <v/>
      </c>
    </row>
    <row r="291" spans="1:10" x14ac:dyDescent="0.25">
      <c r="A291">
        <f>CUBICACION!F291</f>
        <v>0</v>
      </c>
      <c r="B291">
        <f>CUBICACION!E291</f>
        <v>0</v>
      </c>
      <c r="C291" s="947">
        <f>CUBICACION!J291</f>
        <v>0</v>
      </c>
      <c r="D291" t="str" cm="1">
        <f t="array" ref="D291">_xlfn.TEXTSPLIT(B291,{"X";"x"})</f>
        <v>0</v>
      </c>
      <c r="J291" t="str" cm="1">
        <f t="array" ref="J291">_xlfn.IFS(AND(A291="IN",I291&lt;&gt;""), (E291*F291+G291*H291)+I291*(D291-F291-H291),AND(A291="IN",I291=""), (2*E291*F291)+G291*(D291-2*F291),AND(A291="CJ",F291&lt;&gt;""),(D291*E291)-((D291-2*F291)*(E291-2*F291)),AND(A291="CJ",F291=""),ROUND((PI()*(D291/2)^2)-(PI()*(D291/2-E291)^2),0),TRUE,"")</f>
        <v/>
      </c>
    </row>
    <row r="292" spans="1:10" x14ac:dyDescent="0.25">
      <c r="A292">
        <f>CUBICACION!F292</f>
        <v>0</v>
      </c>
      <c r="B292">
        <f>CUBICACION!E292</f>
        <v>0</v>
      </c>
      <c r="C292" s="947">
        <f>CUBICACION!J292</f>
        <v>0</v>
      </c>
      <c r="D292" t="str" cm="1">
        <f t="array" ref="D292">_xlfn.TEXTSPLIT(B292,{"X";"x"})</f>
        <v>0</v>
      </c>
      <c r="J292" t="str" cm="1">
        <f t="array" ref="J292">_xlfn.IFS(AND(A292="IN",I292&lt;&gt;""), (E292*F292+G292*H292)+I292*(D292-F292-H292),AND(A292="IN",I292=""), (2*E292*F292)+G292*(D292-2*F292),AND(A292="CJ",F292&lt;&gt;""),(D292*E292)-((D292-2*F292)*(E292-2*F292)),AND(A292="CJ",F292=""),ROUND((PI()*(D292/2)^2)-(PI()*(D292/2-E292)^2),0),TRUE,"")</f>
        <v/>
      </c>
    </row>
    <row r="293" spans="1:10" x14ac:dyDescent="0.25">
      <c r="A293">
        <f>CUBICACION!F293</f>
        <v>0</v>
      </c>
      <c r="B293">
        <f>CUBICACION!E293</f>
        <v>0</v>
      </c>
      <c r="C293" s="947">
        <f>CUBICACION!J293</f>
        <v>0</v>
      </c>
      <c r="D293" t="str" cm="1">
        <f t="array" ref="D293">_xlfn.TEXTSPLIT(B293,{"X";"x"})</f>
        <v>0</v>
      </c>
      <c r="J293" t="str" cm="1">
        <f t="array" ref="J293">_xlfn.IFS(AND(A293="IN",I293&lt;&gt;""), (E293*F293+G293*H293)+I293*(D293-F293-H293),AND(A293="IN",I293=""), (2*E293*F293)+G293*(D293-2*F293),AND(A293="CJ",F293&lt;&gt;""),(D293*E293)-((D293-2*F293)*(E293-2*F293)),AND(A293="CJ",F293=""),ROUND((PI()*(D293/2)^2)-(PI()*(D293/2-E293)^2),0),TRUE,"")</f>
        <v/>
      </c>
    </row>
    <row r="294" spans="1:10" x14ac:dyDescent="0.25">
      <c r="A294">
        <f>CUBICACION!F294</f>
        <v>0</v>
      </c>
      <c r="B294">
        <f>CUBICACION!E294</f>
        <v>0</v>
      </c>
      <c r="C294" s="947">
        <f>CUBICACION!J294</f>
        <v>0</v>
      </c>
      <c r="D294" t="str" cm="1">
        <f t="array" ref="D294">_xlfn.TEXTSPLIT(B294,{"X";"x"})</f>
        <v>0</v>
      </c>
      <c r="J294" t="str" cm="1">
        <f t="array" ref="J294">_xlfn.IFS(AND(A294="IN",I294&lt;&gt;""), (E294*F294+G294*H294)+I294*(D294-F294-H294),AND(A294="IN",I294=""), (2*E294*F294)+G294*(D294-2*F294),AND(A294="CJ",F294&lt;&gt;""),(D294*E294)-((D294-2*F294)*(E294-2*F294)),AND(A294="CJ",F294=""),ROUND((PI()*(D294/2)^2)-(PI()*(D294/2-E294)^2),0),TRUE,"")</f>
        <v/>
      </c>
    </row>
    <row r="295" spans="1:10" x14ac:dyDescent="0.25">
      <c r="A295">
        <f>CUBICACION!F295</f>
        <v>0</v>
      </c>
      <c r="B295">
        <f>CUBICACION!E295</f>
        <v>0</v>
      </c>
      <c r="C295" s="947">
        <f>CUBICACION!J295</f>
        <v>0</v>
      </c>
      <c r="D295" t="str" cm="1">
        <f t="array" ref="D295">_xlfn.TEXTSPLIT(B295,{"X";"x"})</f>
        <v>0</v>
      </c>
      <c r="J295" t="str" cm="1">
        <f t="array" ref="J295">_xlfn.IFS(AND(A295="IN",I295&lt;&gt;""), (E295*F295+G295*H295)+I295*(D295-F295-H295),AND(A295="IN",I295=""), (2*E295*F295)+G295*(D295-2*F295),AND(A295="CJ",F295&lt;&gt;""),(D295*E295)-((D295-2*F295)*(E295-2*F295)),AND(A295="CJ",F295=""),ROUND((PI()*(D295/2)^2)-(PI()*(D295/2-E295)^2),0),TRUE,"")</f>
        <v/>
      </c>
    </row>
    <row r="296" spans="1:10" x14ac:dyDescent="0.25">
      <c r="A296">
        <f>CUBICACION!F296</f>
        <v>0</v>
      </c>
      <c r="B296">
        <f>CUBICACION!E296</f>
        <v>0</v>
      </c>
      <c r="C296" s="947">
        <f>CUBICACION!J296</f>
        <v>0</v>
      </c>
      <c r="D296" t="str" cm="1">
        <f t="array" ref="D296">_xlfn.TEXTSPLIT(B296,{"X";"x"})</f>
        <v>0</v>
      </c>
      <c r="J296" t="str" cm="1">
        <f t="array" ref="J296">_xlfn.IFS(AND(A296="IN",I296&lt;&gt;""), (E296*F296+G296*H296)+I296*(D296-F296-H296),AND(A296="IN",I296=""), (2*E296*F296)+G296*(D296-2*F296),AND(A296="CJ",F296&lt;&gt;""),(D296*E296)-((D296-2*F296)*(E296-2*F296)),AND(A296="CJ",F296=""),ROUND((PI()*(D296/2)^2)-(PI()*(D296/2-E296)^2),0),TRUE,"")</f>
        <v/>
      </c>
    </row>
    <row r="297" spans="1:10" x14ac:dyDescent="0.25">
      <c r="A297">
        <f>CUBICACION!F297</f>
        <v>0</v>
      </c>
      <c r="B297">
        <f>CUBICACION!E297</f>
        <v>0</v>
      </c>
      <c r="C297" s="947">
        <f>CUBICACION!J297</f>
        <v>0</v>
      </c>
      <c r="D297" t="str" cm="1">
        <f t="array" ref="D297">_xlfn.TEXTSPLIT(B297,{"X";"x"})</f>
        <v>0</v>
      </c>
      <c r="J297" t="str" cm="1">
        <f t="array" ref="J297">_xlfn.IFS(AND(A297="IN",I297&lt;&gt;""), (E297*F297+G297*H297)+I297*(D297-F297-H297),AND(A297="IN",I297=""), (2*E297*F297)+G297*(D297-2*F297),AND(A297="CJ",F297&lt;&gt;""),(D297*E297)-((D297-2*F297)*(E297-2*F297)),AND(A297="CJ",F297=""),ROUND((PI()*(D297/2)^2)-(PI()*(D297/2-E297)^2),0),TRUE,"")</f>
        <v/>
      </c>
    </row>
    <row r="298" spans="1:10" x14ac:dyDescent="0.25">
      <c r="A298">
        <f>CUBICACION!F298</f>
        <v>0</v>
      </c>
      <c r="B298">
        <f>CUBICACION!E298</f>
        <v>0</v>
      </c>
      <c r="C298" s="947">
        <f>CUBICACION!J298</f>
        <v>0</v>
      </c>
      <c r="D298" t="str" cm="1">
        <f t="array" ref="D298">_xlfn.TEXTSPLIT(B298,{"X";"x"})</f>
        <v>0</v>
      </c>
      <c r="J298" t="str" cm="1">
        <f t="array" ref="J298">_xlfn.IFS(AND(A298="IN",I298&lt;&gt;""), (E298*F298+G298*H298)+I298*(D298-F298-H298),AND(A298="IN",I298=""), (2*E298*F298)+G298*(D298-2*F298),AND(A298="CJ",F298&lt;&gt;""),(D298*E298)-((D298-2*F298)*(E298-2*F298)),AND(A298="CJ",F298=""),ROUND((PI()*(D298/2)^2)-(PI()*(D298/2-E298)^2),0),TRUE,"")</f>
        <v/>
      </c>
    </row>
    <row r="299" spans="1:10" x14ac:dyDescent="0.25">
      <c r="A299">
        <f>CUBICACION!F299</f>
        <v>0</v>
      </c>
      <c r="B299">
        <f>CUBICACION!E299</f>
        <v>0</v>
      </c>
      <c r="C299" s="947">
        <f>CUBICACION!J299</f>
        <v>0</v>
      </c>
      <c r="D299" t="str" cm="1">
        <f t="array" ref="D299">_xlfn.TEXTSPLIT(B299,{"X";"x"})</f>
        <v>0</v>
      </c>
      <c r="J299" t="str" cm="1">
        <f t="array" ref="J299">_xlfn.IFS(AND(A299="IN",I299&lt;&gt;""), (E299*F299+G299*H299)+I299*(D299-F299-H299),AND(A299="IN",I299=""), (2*E299*F299)+G299*(D299-2*F299),AND(A299="CJ",F299&lt;&gt;""),(D299*E299)-((D299-2*F299)*(E299-2*F299)),AND(A299="CJ",F299=""),ROUND((PI()*(D299/2)^2)-(PI()*(D299/2-E299)^2),0),TRUE,"")</f>
        <v/>
      </c>
    </row>
    <row r="300" spans="1:10" x14ac:dyDescent="0.25">
      <c r="A300">
        <f>CUBICACION!F300</f>
        <v>0</v>
      </c>
      <c r="B300">
        <f>CUBICACION!E300</f>
        <v>0</v>
      </c>
      <c r="C300" s="947">
        <f>CUBICACION!J300</f>
        <v>0</v>
      </c>
      <c r="D300" t="str" cm="1">
        <f t="array" ref="D300">_xlfn.TEXTSPLIT(B300,{"X";"x"})</f>
        <v>0</v>
      </c>
      <c r="J300" t="str" cm="1">
        <f t="array" ref="J300">_xlfn.IFS(AND(A300="IN",I300&lt;&gt;""), (E300*F300+G300*H300)+I300*(D300-F300-H300),AND(A300="IN",I300=""), (2*E300*F300)+G300*(D300-2*F300),AND(A300="CJ",F300&lt;&gt;""),(D300*E300)-((D300-2*F300)*(E300-2*F300)),AND(A300="CJ",F300=""),ROUND((PI()*(D300/2)^2)-(PI()*(D300/2-E300)^2),0),TRUE,"")</f>
        <v/>
      </c>
    </row>
    <row r="301" spans="1:10" x14ac:dyDescent="0.25">
      <c r="A301">
        <f>CUBICACION!F301</f>
        <v>0</v>
      </c>
      <c r="B301">
        <f>CUBICACION!E301</f>
        <v>0</v>
      </c>
      <c r="C301" s="947">
        <f>CUBICACION!J301</f>
        <v>0</v>
      </c>
      <c r="D301" t="str" cm="1">
        <f t="array" ref="D301">_xlfn.TEXTSPLIT(B301,{"X";"x"})</f>
        <v>0</v>
      </c>
      <c r="J301" t="str" cm="1">
        <f t="array" ref="J301">_xlfn.IFS(AND(A301="IN",I301&lt;&gt;""), (E301*F301+G301*H301)+I301*(D301-F301-H301),AND(A301="IN",I301=""), (2*E301*F301)+G301*(D301-2*F301),AND(A301="CJ",F301&lt;&gt;""),(D301*E301)-((D301-2*F301)*(E301-2*F301)),AND(A301="CJ",F301=""),ROUND((PI()*(D301/2)^2)-(PI()*(D301/2-E301)^2),0),TRUE,"")</f>
        <v/>
      </c>
    </row>
    <row r="302" spans="1:10" x14ac:dyDescent="0.25">
      <c r="A302">
        <f>CUBICACION!F302</f>
        <v>0</v>
      </c>
      <c r="B302">
        <f>CUBICACION!E302</f>
        <v>0</v>
      </c>
      <c r="C302" s="947">
        <f>CUBICACION!J302</f>
        <v>0</v>
      </c>
      <c r="D302" t="str" cm="1">
        <f t="array" ref="D302">_xlfn.TEXTSPLIT(B302,{"X";"x"})</f>
        <v>0</v>
      </c>
      <c r="J302" t="str" cm="1">
        <f t="array" ref="J302">_xlfn.IFS(AND(A302="IN",I302&lt;&gt;""), (E302*F302+G302*H302)+I302*(D302-F302-H302),AND(A302="IN",I302=""), (2*E302*F302)+G302*(D302-2*F302),AND(A302="CJ",F302&lt;&gt;""),(D302*E302)-((D302-2*F302)*(E302-2*F302)),AND(A302="CJ",F302=""),ROUND((PI()*(D302/2)^2)-(PI()*(D302/2-E302)^2),0),TRUE,"")</f>
        <v/>
      </c>
    </row>
    <row r="303" spans="1:10" x14ac:dyDescent="0.25">
      <c r="A303">
        <f>CUBICACION!F303</f>
        <v>0</v>
      </c>
      <c r="B303">
        <f>CUBICACION!E303</f>
        <v>0</v>
      </c>
      <c r="C303" s="947">
        <f>CUBICACION!J303</f>
        <v>0</v>
      </c>
      <c r="D303" t="str" cm="1">
        <f t="array" ref="D303">_xlfn.TEXTSPLIT(B303,{"X";"x"})</f>
        <v>0</v>
      </c>
      <c r="J303" t="str" cm="1">
        <f t="array" ref="J303">_xlfn.IFS(AND(A303="IN",I303&lt;&gt;""), (E303*F303+G303*H303)+I303*(D303-F303-H303),AND(A303="IN",I303=""), (2*E303*F303)+G303*(D303-2*F303),AND(A303="CJ",F303&lt;&gt;""),(D303*E303)-((D303-2*F303)*(E303-2*F303)),AND(A303="CJ",F303=""),ROUND((PI()*(D303/2)^2)-(PI()*(D303/2-E303)^2),0),TRUE,"")</f>
        <v/>
      </c>
    </row>
    <row r="304" spans="1:10" x14ac:dyDescent="0.25">
      <c r="A304">
        <f>CUBICACION!F304</f>
        <v>0</v>
      </c>
      <c r="B304">
        <f>CUBICACION!E304</f>
        <v>0</v>
      </c>
      <c r="C304" s="947">
        <f>CUBICACION!J304</f>
        <v>0</v>
      </c>
      <c r="D304" t="str" cm="1">
        <f t="array" ref="D304">_xlfn.TEXTSPLIT(B304,{"X";"x"})</f>
        <v>0</v>
      </c>
      <c r="J304" t="str" cm="1">
        <f t="array" ref="J304">_xlfn.IFS(AND(A304="IN",I304&lt;&gt;""), (E304*F304+G304*H304)+I304*(D304-F304-H304),AND(A304="IN",I304=""), (2*E304*F304)+G304*(D304-2*F304),AND(A304="CJ",F304&lt;&gt;""),(D304*E304)-((D304-2*F304)*(E304-2*F304)),AND(A304="CJ",F304=""),ROUND((PI()*(D304/2)^2)-(PI()*(D304/2-E304)^2),0),TRUE,"")</f>
        <v/>
      </c>
    </row>
    <row r="305" spans="1:10" x14ac:dyDescent="0.25">
      <c r="A305">
        <f>CUBICACION!F305</f>
        <v>0</v>
      </c>
      <c r="B305">
        <f>CUBICACION!E305</f>
        <v>0</v>
      </c>
      <c r="C305" s="947">
        <f>CUBICACION!J305</f>
        <v>0</v>
      </c>
      <c r="D305" t="str" cm="1">
        <f t="array" ref="D305">_xlfn.TEXTSPLIT(B305,{"X";"x"})</f>
        <v>0</v>
      </c>
      <c r="J305" t="str" cm="1">
        <f t="array" ref="J305">_xlfn.IFS(AND(A305="IN",I305&lt;&gt;""), (E305*F305+G305*H305)+I305*(D305-F305-H305),AND(A305="IN",I305=""), (2*E305*F305)+G305*(D305-2*F305),AND(A305="CJ",F305&lt;&gt;""),(D305*E305)-((D305-2*F305)*(E305-2*F305)),AND(A305="CJ",F305=""),ROUND((PI()*(D305/2)^2)-(PI()*(D305/2-E305)^2),0),TRUE,"")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A1700"/>
  <sheetViews>
    <sheetView showGridLines="0" zoomScale="55" zoomScaleNormal="55" workbookViewId="0">
      <pane ySplit="9" topLeftCell="A39" activePane="bottomLeft" state="frozen"/>
      <selection activeCell="H1" sqref="H1"/>
      <selection pane="bottomLeft" activeCell="Q47" sqref="Q47"/>
    </sheetView>
  </sheetViews>
  <sheetFormatPr baseColWidth="10" defaultColWidth="9.140625" defaultRowHeight="15.75" x14ac:dyDescent="0.25"/>
  <cols>
    <col min="1" max="1" width="19.5703125" style="4" customWidth="1"/>
    <col min="2" max="2" width="19.42578125" style="4" bestFit="1" customWidth="1"/>
    <col min="3" max="3" width="11.28515625" style="4" customWidth="1"/>
    <col min="4" max="4" width="6.7109375" style="4" hidden="1" customWidth="1"/>
    <col min="5" max="5" width="9.28515625" style="4" hidden="1" customWidth="1"/>
    <col min="6" max="6" width="9.85546875" style="7" hidden="1" customWidth="1"/>
    <col min="7" max="7" width="10.140625" style="4" customWidth="1"/>
    <col min="8" max="8" width="12.42578125" style="4" hidden="1" customWidth="1"/>
    <col min="9" max="9" width="10.7109375" style="4" customWidth="1"/>
    <col min="10" max="10" width="10.28515625" style="5" customWidth="1"/>
    <col min="11" max="11" width="11.7109375" style="5" customWidth="1"/>
    <col min="12" max="13" width="16.42578125" style="4" customWidth="1"/>
    <col min="14" max="14" width="24" style="4" bestFit="1" customWidth="1"/>
    <col min="15" max="15" width="12.42578125" style="4" customWidth="1"/>
    <col min="16" max="17" width="15.85546875" style="4" bestFit="1" customWidth="1"/>
    <col min="18" max="18" width="13.85546875" style="4" bestFit="1" customWidth="1"/>
    <col min="19" max="19" width="13.42578125" style="4" customWidth="1"/>
    <col min="20" max="20" width="9.7109375" style="4" customWidth="1"/>
    <col min="21" max="21" width="12.42578125" style="4" customWidth="1"/>
    <col min="22" max="22" width="12.140625" style="4" customWidth="1"/>
    <col min="23" max="23" width="7.28515625" style="4" hidden="1" customWidth="1"/>
    <col min="24" max="24" width="16.5703125" style="4" customWidth="1"/>
    <col min="25" max="26" width="16.28515625" style="16" customWidth="1"/>
    <col min="27" max="27" width="9.140625" style="25"/>
    <col min="28" max="16384" width="9.140625" style="4"/>
  </cols>
  <sheetData>
    <row r="1" spans="1:27" ht="29.45" customHeight="1" thickBot="1" x14ac:dyDescent="0.3">
      <c r="F1" s="4"/>
      <c r="I1" s="1053" t="s">
        <v>20</v>
      </c>
      <c r="J1" s="1054"/>
      <c r="K1" s="1055"/>
      <c r="L1" s="22" t="s">
        <v>26</v>
      </c>
      <c r="M1" s="29" t="s">
        <v>11</v>
      </c>
      <c r="N1" s="29" t="s">
        <v>72</v>
      </c>
      <c r="O1" s="23" t="s">
        <v>57</v>
      </c>
      <c r="R1" s="35"/>
      <c r="S1" s="36"/>
      <c r="W1" s="35"/>
      <c r="Z1" s="35"/>
    </row>
    <row r="2" spans="1:27" ht="15.75" customHeight="1" thickBot="1" x14ac:dyDescent="0.3">
      <c r="A2" s="1045" t="s">
        <v>23</v>
      </c>
      <c r="B2" s="1046"/>
      <c r="C2"/>
      <c r="F2" s="4"/>
      <c r="I2" s="98" t="s">
        <v>32</v>
      </c>
      <c r="J2" s="1056" t="s">
        <v>71</v>
      </c>
      <c r="K2" s="1057"/>
      <c r="L2" s="13" t="s">
        <v>60</v>
      </c>
      <c r="M2" s="14">
        <f>SUMIF($L$10:$L$2500,"Blaze Shield II",$K$10:$K$2500)</f>
        <v>1696.006402</v>
      </c>
      <c r="N2" s="14">
        <f>ROUNDUP(SUMIF($L$10:$L$2500,"Blaze Shield II",$O$10:$O$2500),0)</f>
        <v>823</v>
      </c>
      <c r="O2" s="37">
        <v>14145</v>
      </c>
      <c r="S2" s="117"/>
      <c r="W2" s="75"/>
      <c r="Z2" s="36"/>
    </row>
    <row r="3" spans="1:27" ht="16.5" thickBot="1" x14ac:dyDescent="0.3">
      <c r="A3" s="99" t="s">
        <v>27</v>
      </c>
      <c r="B3" s="102" t="s">
        <v>24</v>
      </c>
      <c r="C3"/>
      <c r="F3" s="4"/>
      <c r="I3" s="27"/>
      <c r="J3" s="1058" t="s">
        <v>60</v>
      </c>
      <c r="K3" s="1059"/>
      <c r="L3" s="17" t="s">
        <v>62</v>
      </c>
      <c r="M3" s="18">
        <f>SUMIF($L$10:$L$2500,"Cafco 400",$K$10:$K$2500)</f>
        <v>0</v>
      </c>
      <c r="N3" s="18">
        <f ca="1">ROUNDUP(SUMIF($L$10:$L$2500,"Cafco 400",$T$370:$T$2500),0)</f>
        <v>0</v>
      </c>
      <c r="O3" s="38">
        <v>16110</v>
      </c>
      <c r="S3" s="117"/>
      <c r="W3" s="76"/>
      <c r="Z3" s="36"/>
    </row>
    <row r="4" spans="1:27" ht="16.5" thickBot="1" x14ac:dyDescent="0.3">
      <c r="A4" s="95" t="s">
        <v>19</v>
      </c>
      <c r="B4" s="72" t="s">
        <v>28</v>
      </c>
      <c r="C4"/>
      <c r="F4" s="4"/>
      <c r="I4" s="45"/>
      <c r="J4" s="1060" t="s">
        <v>62</v>
      </c>
      <c r="K4" s="1061"/>
      <c r="L4" s="20" t="s">
        <v>61</v>
      </c>
      <c r="M4" s="19">
        <f>SUMIF($L$10:$L$2500,"Cafco 300",$K$10:$K$2500)</f>
        <v>0</v>
      </c>
      <c r="N4" s="19">
        <f ca="1">ROUNDUP(SUMIF($L$10:$L$2500,"Cafco 300",$W$370:$W$2500),0)</f>
        <v>0</v>
      </c>
      <c r="O4" s="38">
        <v>15014</v>
      </c>
      <c r="S4" s="117"/>
      <c r="W4" s="76"/>
      <c r="Z4" s="36"/>
    </row>
    <row r="5" spans="1:27" ht="16.5" thickBot="1" x14ac:dyDescent="0.3">
      <c r="A5" s="93" t="s">
        <v>17</v>
      </c>
      <c r="B5" s="100" t="s">
        <v>29</v>
      </c>
      <c r="C5"/>
      <c r="F5" s="4"/>
      <c r="I5" s="97"/>
      <c r="J5" s="1062" t="s">
        <v>61</v>
      </c>
      <c r="K5" s="1063"/>
      <c r="L5" s="12" t="s">
        <v>31</v>
      </c>
      <c r="M5" s="24">
        <f>SUM(M2:M4)</f>
        <v>1696.006402</v>
      </c>
      <c r="N5" s="24">
        <f ca="1">SUM(N2:N4)</f>
        <v>823</v>
      </c>
      <c r="O5" s="79"/>
      <c r="S5" s="36"/>
      <c r="W5" s="35"/>
      <c r="Z5" s="36"/>
    </row>
    <row r="6" spans="1:27" ht="18.75" customHeight="1" thickBot="1" x14ac:dyDescent="0.3">
      <c r="A6" s="94" t="s">
        <v>22</v>
      </c>
      <c r="B6" s="101" t="s">
        <v>21</v>
      </c>
      <c r="C6"/>
      <c r="F6" s="4"/>
      <c r="J6" s="65"/>
      <c r="N6"/>
      <c r="Z6" s="36"/>
      <c r="AA6" s="4"/>
    </row>
    <row r="7" spans="1:27" ht="21" customHeight="1" thickBot="1" x14ac:dyDescent="0.3">
      <c r="J7" s="21"/>
      <c r="K7" s="1038"/>
      <c r="L7" s="1038"/>
      <c r="N7" s="1039" t="s">
        <v>71</v>
      </c>
      <c r="O7" s="1040"/>
      <c r="P7" s="92"/>
      <c r="Q7" s="92"/>
      <c r="R7" s="92"/>
      <c r="S7" s="92"/>
      <c r="T7" s="92"/>
      <c r="Y7" s="4"/>
      <c r="Z7" s="4"/>
      <c r="AA7" s="4"/>
    </row>
    <row r="8" spans="1:27" ht="34.5" customHeight="1" thickBot="1" x14ac:dyDescent="0.3">
      <c r="A8" s="1051" t="s">
        <v>4</v>
      </c>
      <c r="B8" s="1041" t="s">
        <v>5</v>
      </c>
      <c r="C8" s="1041" t="s">
        <v>18</v>
      </c>
      <c r="D8" s="1049" t="s">
        <v>6</v>
      </c>
      <c r="E8" s="1041" t="s">
        <v>117</v>
      </c>
      <c r="F8" s="1047" t="s">
        <v>8</v>
      </c>
      <c r="G8" s="1041" t="s">
        <v>76</v>
      </c>
      <c r="H8" s="1041" t="s">
        <v>9</v>
      </c>
      <c r="I8" s="1041" t="s">
        <v>0</v>
      </c>
      <c r="J8" s="1064" t="s">
        <v>1</v>
      </c>
      <c r="K8" s="1064" t="s">
        <v>2</v>
      </c>
      <c r="L8" s="1041" t="s">
        <v>3</v>
      </c>
      <c r="M8" s="1041" t="s">
        <v>25</v>
      </c>
      <c r="N8" s="1043" t="s">
        <v>58</v>
      </c>
      <c r="O8" s="1041" t="s">
        <v>59</v>
      </c>
      <c r="P8" s="130" t="s">
        <v>108</v>
      </c>
      <c r="Q8" s="1034" t="s">
        <v>109</v>
      </c>
      <c r="R8" s="1035"/>
      <c r="S8" s="1036" t="s">
        <v>110</v>
      </c>
      <c r="T8" s="1032" t="s">
        <v>1</v>
      </c>
      <c r="U8" s="1032" t="s">
        <v>133</v>
      </c>
      <c r="Y8" s="4"/>
      <c r="Z8" s="4"/>
      <c r="AA8" s="4"/>
    </row>
    <row r="9" spans="1:27" ht="20.45" customHeight="1" thickBot="1" x14ac:dyDescent="0.3">
      <c r="A9" s="1052"/>
      <c r="B9" s="1042"/>
      <c r="C9" s="1042"/>
      <c r="D9" s="1050"/>
      <c r="E9" s="1042"/>
      <c r="F9" s="1048"/>
      <c r="G9" s="1042"/>
      <c r="H9" s="1042"/>
      <c r="I9" s="1042"/>
      <c r="J9" s="1065"/>
      <c r="K9" s="1065"/>
      <c r="L9" s="1042"/>
      <c r="M9" s="1042"/>
      <c r="N9" s="1044"/>
      <c r="O9" s="1042"/>
      <c r="P9" s="120" t="s">
        <v>115</v>
      </c>
      <c r="Q9" s="120" t="s">
        <v>115</v>
      </c>
      <c r="R9" s="121" t="s">
        <v>116</v>
      </c>
      <c r="S9" s="1037"/>
      <c r="T9" s="1033"/>
      <c r="U9" s="1033"/>
      <c r="Y9" s="4"/>
      <c r="Z9" s="4"/>
      <c r="AA9" s="4"/>
    </row>
    <row r="10" spans="1:27" ht="15.6" customHeight="1" x14ac:dyDescent="0.25">
      <c r="A10" s="118" t="str">
        <f>+CUBICACION!D9</f>
        <v>PILAR</v>
      </c>
      <c r="B10" s="819" t="str">
        <f>+CUBICACION!E9</f>
        <v>MM 400X200X4</v>
      </c>
      <c r="C10" s="675" t="str">
        <f>+CUBICACION!F9</f>
        <v>CJ</v>
      </c>
      <c r="D10" s="118"/>
      <c r="E10" s="118"/>
      <c r="F10" s="820"/>
      <c r="G10" s="675">
        <f>+CUBICACION!J9</f>
        <v>4</v>
      </c>
      <c r="H10" s="118"/>
      <c r="I10" s="821" t="str">
        <f>+CUBICACION!L9</f>
        <v>F-60</v>
      </c>
      <c r="J10" s="64">
        <f>+CUBICACION!M9</f>
        <v>236</v>
      </c>
      <c r="K10" s="822">
        <f>+CUBICACION!N9</f>
        <v>12</v>
      </c>
      <c r="L10" s="118" t="str">
        <f>+CUBICACION!O9</f>
        <v>Fire Tex 5090</v>
      </c>
      <c r="M10" s="823" t="str">
        <f>+CUBICACION!P9</f>
        <v>Software Idiem</v>
      </c>
      <c r="N10" s="902">
        <f>ROUND(IF(AND(L10="Blaze Shield II",M10="Software Idiem",C10="IN",G10=4),((('BLAZE SHIELD II'!$D$4*('CALCULO MORTERO'!I10^2)+'BLAZE SHIELD II'!$D$5*'CALCULO MORTERO'!I10+'BLAZE SHIELD II'!$D$6)*LN(J10))+('BLAZE SHIELD II'!$D$7*('CALCULO MORTERO'!I10^2)+'BLAZE SHIELD II'!$D$8*'CALCULO MORTERO'!I10+'BLAZE SHIELD II'!$D$9)),0)+IF(AND(L10="Blaze Shield II",M10="Software Idiem",C10="Cj"),((('BLAZE SHIELD II'!$H$4*('CALCULO MORTERO'!I10^2)+'BLAZE SHIELD II'!$H$5*'CALCULO MORTERO'!I10+'BLAZE SHIELD II'!$H$6)*LN(J10))+('BLAZE SHIELD II'!$H$7*('CALCULO MORTERO'!I10^2)+'BLAZE SHIELD II'!$H$8*'CALCULO MORTERO'!I10+'BLAZE SHIELD II'!$H$9)),0)+IF(AND(L10="Blaze Shield II",M10="Software Idiem",C10="C"),((('BLAZE SHIELD II'!$L$4*('CALCULO MORTERO'!I10^2)+'BLAZE SHIELD II'!$L$5*'CALCULO MORTERO'!I10+'BLAZE SHIELD II'!$L$6)*LN(J10))+('BLAZE SHIELD II'!$L$7*('CALCULO MORTERO'!I10^2)+'BLAZE SHIELD II'!$L$8*'CALCULO MORTERO'!I10+'BLAZE SHIELD II'!$L$9)),0)+IF(AND(L10="Blaze Shield II",M10="Software Idiem",C10="L"),((('BLAZE SHIELD II'!$L$4*('CALCULO MORTERO'!I10^2)+'BLAZE SHIELD II'!$L$5*'CALCULO MORTERO'!I10+'BLAZE SHIELD II'!$L$6)*LN(J10))+('BLAZE SHIELD II'!$L$7*('CALCULO MORTERO'!I10^2)+'BLAZE SHIELD II'!$L$8*'CALCULO MORTERO'!I10+'BLAZE SHIELD II'!$L$9)),0)+IF(AND(L10="Blaze Shield II",M10="Software Idiem",C10="IN",G10=3),((('BLAZE SHIELD II'!$H$14*('CALCULO MORTERO'!I10^2)+'BLAZE SHIELD II'!$H$15*'CALCULO MORTERO'!I10+'BLAZE SHIELD II'!$H$16)*LN(J10))+('BLAZE SHIELD II'!$H$17*('CALCULO MORTERO'!I10^2)+'BLAZE SHIELD II'!$H$18*'CALCULO MORTERO'!I10+'BLAZE SHIELD II'!$H$19)),0),0)+ROUND(IF(AND(L10="Cafco 400",M10="Software Idiem",C10="IN",G10=4),((('CAFCO 400 '!$H$7*(J10^4)+'CAFCO 400 '!$H$8*(J10^3)+'CAFCO 400 '!$H$9*(J10^2)+'CAFCO 400 '!$H$10*J10+'CAFCO 400 '!$H$11)*U10^2)+(('CAFCO 400 '!$H$12*(J10^3)+'CAFCO 400 '!$H$13*(J10^2)+'CAFCO 400 '!$H$14*J10+'CAFCO 400 '!$H$15)*U10)+('CAFCO 400 '!$H$16*(J10^2)+'CAFCO 400 '!$H$17*J10+'CAFCO 400 '!$H$18)),0)+IF(AND(L10="Cafco 400",M10="Software Idiem",C10="Cj"),(((('CAFCO 400 '!$D$7*LN(J10)+'CAFCO 400 '!$D$8)*U10^2)+(('CAFCO 400 '!$D$9*LN(J10)+'CAFCO 400 '!$D$10)*U10)+('CAFCO 400 '!$D$11*LN(J10)+'CAFCO 400 '!$D$12))),0)+IF(AND(L10="Cafco 400",M10="Software Idiem",C10="C"),((('CAFCO 400 '!$L$7*(J10^3)+'CAFCO 400 '!$L$8*(J10^2)+'CAFCO 400 '!$L$9*J10+'CAFCO 400 '!$L$10)*U10^2)+(('CAFCO 400 '!$L$11*(J10^3)+'CAFCO 400 '!$L$12*(J10^2)+'CAFCO 400 '!$L$13*J10+'CAFCO 400 '!$L$14)*U10)+('CAFCO 400 '!$L$15*LN(J10)+'CAFCO 400 '!$L$16)),0)+IF(AND(L10="Cafco 400",M10="Software Idiem",C10="L"),((('CAFCO 400 '!$L$7*(J10^3)+'CAFCO 400 '!$L$8*(J10^2)+'CAFCO 400 '!$L$9*J10+'CAFCO 400 '!$L$10)*U10^2)+(('CAFCO 400 '!$L$11*(J10^3)+'CAFCO 400 '!$L$12*(J10^2)+'CAFCO 400 '!$L$13*J10+'CAFCO 400 '!$L$14)*U10)+('CAFCO 400 '!$L$15*LN(J10)+'CAFCO 400 '!$L$16)),0)+IF(AND(L10="Cafco 400",M10="Software Idiem",C10="IN",G10=3),((('CAFCO 400 '!$D$23*(J10^2)+'CAFCO 400 '!$D$24*(J10)+'CAFCO 400 '!$D$25)*U10^2)+(('CAFCO 400 '!$D$26*(J10^2)+'CAFCO 400 '!$D$27*J10+'CAFCO 400 '!$D$28)*U10)+('CAFCO 400 '!$D$29*(J10^2)+'CAFCO 400 '!$D$30*J10+'CAFCO 400 '!$D$31)),0),0)+IF(AND(L10="Cafco 300",J10&gt;=95,J10&lt;=240,C10="Cj",I10=90),VLOOKUP(T10,'CAFCO 300 IDIEM TABLAS'!$B$4:$D$23,2,FALSE),0)+IF(AND(L10="Cafco 300",J10&gt;=95,J10&lt;=240,C10="Cj",I10=120),VLOOKUP(T10,'CAFCO 300 IDIEM TABLAS'!$B$4:$D$23,3,FALSE),0)+IF(AND(L10="Cafco 300",J10&gt;=95,J10&lt;=400,G10=3,C10="IN",I10=90),VLOOKUP(T10,'CAFCO 300 IDIEM TABLAS'!$F$4:$H$35,2,FALSE),0)+IF(AND(L10="Cafco 300",J10&gt;=95,J10&lt;=400,G10=3,C10="IN",I10=120),VLOOKUP(T10,'CAFCO 300 IDIEM TABLAS'!$F$4:$H$35,3,FALSE),0)+IF(AND(L10="Cafco 300",J10&gt;=95,J10&lt;=450,G10=4,C10="IN",I10=90),VLOOKUP(T10,'CAFCO 300 IDIEM TABLAS'!$J$4:$L$40,2,FALSE),0)+IF(AND(L10="Cafco 300",J10&gt;=95,J10&lt;=450,G10=4,C10="IN",I10=120),VLOOKUP(T10,'CAFCO 300 IDIEM TABLAS'!$J$4:$L$40,3,FALSE),0)+IF(AND(M10="Ensayo Idiem",L10="Cafco 400",C10="IN",G10=4,I10=90),VLOOKUP(T10,'CAFCO 400 ENSAYO'!$B$7:$D$43,2,FALSE),0)+IF(AND(M10="Ensayo Idiem",L10="Cafco 400",C10="IN",G10=4,I10=120),VLOOKUP(T10,'CAFCO 400 ENSAYO'!$B$7:$D$43,3,FALSE),0)</f>
        <v>0</v>
      </c>
      <c r="O10" s="96">
        <f>((IF(L10="Blaze Shield II",((K10*N10*0.43)/38),IF(L10="Cafco 400",((K10*N10*0.43)/23),IF(L10="Cafco 300",((K10*N10*0.43)/31.16),0)))))</f>
        <v>0</v>
      </c>
      <c r="P10" s="95" t="str">
        <f>IF(AND(M10="Software Idiem"),IF(AND(C10="IN",G10=4,J10&gt;=50,J10&lt;=500),"CERT.",IF(AND(C10="Cj",J10&gt;=50,J10&lt;=500),"CERT.",IF(AND(C10="C",J10&gt;=50,J10&lt;=1000),"CERT.",IF(AND(C10="L",J10&gt;=50,J10&lt;=1000),"CERT.",IF(AND(C10="IN",G10=3,J10&gt;=50,J10&lt;=500),"CERT.","NO CERT."))))),"N/A")</f>
        <v>CERT.</v>
      </c>
      <c r="Q10" s="95" t="str">
        <f>IF(AND(M10="Software Idiem"),IF(AND(C10="IN",G10=4,J10&gt;=50,J10&lt;=500),"CERT.",IF(AND(C10="Cj",J10&gt;=50,J10&lt;=500),"CERT.",IF(AND(C10="C",J10&gt;=50,J10&lt;=1000),"CERT.",IF(AND(C10="L",J10&gt;=50,J10&lt;=1000),"CERT.",IF(AND(C10="IN",G10=3,J10&gt;=50,J10&lt;=500),"CERT.","NO CERT."))))),"N/A")</f>
        <v>CERT.</v>
      </c>
      <c r="R10" s="95" t="str">
        <f>IF(AND(C10="IN",G10=4,J10&gt;=95,J10&lt;=450,I10=90),"CERT.",IF(AND(C10="IN",G10=4,J10&gt;=95,J10&lt;=450,I10=120),"CERT.","NO CERT."))</f>
        <v>NO CERT.</v>
      </c>
      <c r="S10" s="95" t="str">
        <f t="shared" ref="S10:S73" si="0">IF(AND(C10="Cj",I10=90,T10&lt;=240),"CERT.",IF(AND(C10="Cj",I10=120,T10&lt;=240),"CERT.",IF(AND(C10="IN",G10=3,I10=90,T10&lt;=400),"CERT.",IF(AND(C10="IN",G10=3,I10=120,T10&lt;=400),"CERT.",IF(AND(C10="IN",G10=4,I10=90,T10&lt;=450),"CERT.",IF(AND(C10="IN",G10=4,I10=120,T10&lt;=450),"CERT.","NO CERT."))))))</f>
        <v>NO CERT.</v>
      </c>
      <c r="T10" s="119">
        <f>+IF(J10=LOOKUP(J10,'CAFCO 300 IDIEM TABLAS'!$J$4:$J$40),'CALCULO MORTERO'!J10,CEILING(J10,10))</f>
        <v>240</v>
      </c>
      <c r="U10" s="118" t="e">
        <f>+I10*60</f>
        <v>#VALUE!</v>
      </c>
      <c r="Y10" s="4"/>
      <c r="Z10" s="4"/>
      <c r="AA10" s="4"/>
    </row>
    <row r="11" spans="1:27" x14ac:dyDescent="0.25">
      <c r="A11" s="118" t="str">
        <f>+CUBICACION!D10</f>
        <v>PILAR</v>
      </c>
      <c r="B11" s="819" t="str">
        <f>+CUBICACION!E10</f>
        <v>MM 400X200X4</v>
      </c>
      <c r="C11" s="675" t="str">
        <f>+CUBICACION!F10</f>
        <v>CJ</v>
      </c>
      <c r="D11" s="118"/>
      <c r="E11" s="118"/>
      <c r="F11" s="820"/>
      <c r="G11" s="675">
        <f>+CUBICACION!J10</f>
        <v>4</v>
      </c>
      <c r="H11" s="118"/>
      <c r="I11" s="821" t="str">
        <f>+CUBICACION!L10</f>
        <v>F-60</v>
      </c>
      <c r="J11" s="64">
        <f>+CUBICACION!M10</f>
        <v>236</v>
      </c>
      <c r="K11" s="822">
        <f>+CUBICACION!N10</f>
        <v>72</v>
      </c>
      <c r="L11" s="118" t="str">
        <f>+CUBICACION!O10</f>
        <v>Fire Tex 5090</v>
      </c>
      <c r="M11" s="823" t="str">
        <f>+CUBICACION!P10</f>
        <v>Software Idiem</v>
      </c>
      <c r="N11" s="902">
        <f>ROUND(IF(AND(L11="Blaze Shield II",M11="Software Idiem",C11="IN",G11=4),((('BLAZE SHIELD II'!$D$4*('CALCULO MORTERO'!I11^2)+'BLAZE SHIELD II'!$D$5*'CALCULO MORTERO'!I11+'BLAZE SHIELD II'!$D$6)*LN(J11))+('BLAZE SHIELD II'!$D$7*('CALCULO MORTERO'!I11^2)+'BLAZE SHIELD II'!$D$8*'CALCULO MORTERO'!I11+'BLAZE SHIELD II'!$D$9)),0)+IF(AND(L11="Blaze Shield II",M11="Software Idiem",C11="Cj"),((('BLAZE SHIELD II'!$H$4*('CALCULO MORTERO'!I11^2)+'BLAZE SHIELD II'!$H$5*'CALCULO MORTERO'!I11+'BLAZE SHIELD II'!$H$6)*LN(J11))+('BLAZE SHIELD II'!$H$7*('CALCULO MORTERO'!I11^2)+'BLAZE SHIELD II'!$H$8*'CALCULO MORTERO'!I11+'BLAZE SHIELD II'!$H$9)),0)+IF(AND(L11="Blaze Shield II",M11="Software Idiem",C11="C"),((('BLAZE SHIELD II'!$L$4*('CALCULO MORTERO'!I11^2)+'BLAZE SHIELD II'!$L$5*'CALCULO MORTERO'!I11+'BLAZE SHIELD II'!$L$6)*LN(J11))+('BLAZE SHIELD II'!$L$7*('CALCULO MORTERO'!I11^2)+'BLAZE SHIELD II'!$L$8*'CALCULO MORTERO'!I11+'BLAZE SHIELD II'!$L$9)),0)+IF(AND(L11="Blaze Shield II",M11="Software Idiem",C11="L"),((('BLAZE SHIELD II'!$L$4*('CALCULO MORTERO'!I11^2)+'BLAZE SHIELD II'!$L$5*'CALCULO MORTERO'!I11+'BLAZE SHIELD II'!$L$6)*LN(J11))+('BLAZE SHIELD II'!$L$7*('CALCULO MORTERO'!I11^2)+'BLAZE SHIELD II'!$L$8*'CALCULO MORTERO'!I11+'BLAZE SHIELD II'!$L$9)),0)+IF(AND(L11="Blaze Shield II",M11="Software Idiem",C11="IN",G11=3),((('BLAZE SHIELD II'!$H$14*('CALCULO MORTERO'!I11^2)+'BLAZE SHIELD II'!$H$15*'CALCULO MORTERO'!I11+'BLAZE SHIELD II'!$H$16)*LN(J11))+('BLAZE SHIELD II'!$H$17*('CALCULO MORTERO'!I11^2)+'BLAZE SHIELD II'!$H$18*'CALCULO MORTERO'!I11+'BLAZE SHIELD II'!$H$19)),0),0)+ROUND(IF(AND(L11="Cafco 400",M11="Software Idiem",C11="IN",G11=4),((('CAFCO 400 '!$H$7*(J11^4)+'CAFCO 400 '!$H$8*(J11^3)+'CAFCO 400 '!$H$9*(J11^2)+'CAFCO 400 '!$H$10*J11+'CAFCO 400 '!$H$11)*U11^2)+(('CAFCO 400 '!$H$12*(J11^3)+'CAFCO 400 '!$H$13*(J11^2)+'CAFCO 400 '!$H$14*J11+'CAFCO 400 '!$H$15)*U11)+('CAFCO 400 '!$H$16*(J11^2)+'CAFCO 400 '!$H$17*J11+'CAFCO 400 '!$H$18)),0)+IF(AND(L11="Cafco 400",M11="Software Idiem",C11="Cj"),(((('CAFCO 400 '!$D$7*LN(J11)+'CAFCO 400 '!$D$8)*U11^2)+(('CAFCO 400 '!$D$9*LN(J11)+'CAFCO 400 '!$D$10)*U11)+('CAFCO 400 '!$D$11*LN(J11)+'CAFCO 400 '!$D$12))),0)+IF(AND(L11="Cafco 400",M11="Software Idiem",C11="C"),((('CAFCO 400 '!$L$7*(J11^3)+'CAFCO 400 '!$L$8*(J11^2)+'CAFCO 400 '!$L$9*J11+'CAFCO 400 '!$L$10)*U11^2)+(('CAFCO 400 '!$L$11*(J11^3)+'CAFCO 400 '!$L$12*(J11^2)+'CAFCO 400 '!$L$13*J11+'CAFCO 400 '!$L$14)*U11)+('CAFCO 400 '!$L$15*LN(J11)+'CAFCO 400 '!$L$16)),0)+IF(AND(L11="Cafco 400",M11="Software Idiem",C11="L"),((('CAFCO 400 '!$L$7*(J11^3)+'CAFCO 400 '!$L$8*(J11^2)+'CAFCO 400 '!$L$9*J11+'CAFCO 400 '!$L$10)*U11^2)+(('CAFCO 400 '!$L$11*(J11^3)+'CAFCO 400 '!$L$12*(J11^2)+'CAFCO 400 '!$L$13*J11+'CAFCO 400 '!$L$14)*U11)+('CAFCO 400 '!$L$15*LN(J11)+'CAFCO 400 '!$L$16)),0)+IF(AND(L11="Cafco 400",M11="Software Idiem",C11="IN",G11=3),((('CAFCO 400 '!$D$23*(J11^2)+'CAFCO 400 '!$D$24*(J11)+'CAFCO 400 '!$D$25)*U11^2)+(('CAFCO 400 '!$D$26*(J11^2)+'CAFCO 400 '!$D$27*J11+'CAFCO 400 '!$D$28)*U11)+('CAFCO 400 '!$D$29*(J11^2)+'CAFCO 400 '!$D$30*J11+'CAFCO 400 '!$D$31)),0),0)+IF(AND(L11="Cafco 300",J11&gt;=95,J11&lt;=240,C11="Cj",I11=90),VLOOKUP(T11,'CAFCO 300 IDIEM TABLAS'!$B$4:$D$23,2,FALSE),0)+IF(AND(L11="Cafco 300",J11&gt;=95,J11&lt;=240,C11="Cj",I11=120),VLOOKUP(T11,'CAFCO 300 IDIEM TABLAS'!$B$4:$D$23,3,FALSE),0)+IF(AND(L11="Cafco 300",J11&gt;=95,J11&lt;=400,G11=3,C11="IN",I11=90),VLOOKUP(T11,'CAFCO 300 IDIEM TABLAS'!$F$4:$H$35,2,FALSE),0)+IF(AND(L11="Cafco 300",J11&gt;=95,J11&lt;=400,G11=3,C11="IN",I11=120),VLOOKUP(T11,'CAFCO 300 IDIEM TABLAS'!$F$4:$H$35,3,FALSE),0)+IF(AND(L11="Cafco 300",J11&gt;=95,J11&lt;=450,G11=4,C11="IN",I11=90),VLOOKUP(T11,'CAFCO 300 IDIEM TABLAS'!$J$4:$L$40,2,FALSE),0)+IF(AND(L11="Cafco 300",J11&gt;=95,J11&lt;=450,G11=4,C11="IN",I11=120),VLOOKUP(T11,'CAFCO 300 IDIEM TABLAS'!$J$4:$L$40,3,FALSE),0)+IF(AND(M11="Ensayo Idiem",L11="Cafco 400",C11="IN",G11=4,I11=90),VLOOKUP(T11,'CAFCO 400 ENSAYO'!$B$7:$D$43,2,FALSE),0)+IF(AND(M11="Ensayo Idiem",L11="Cafco 400",C11="IN",G11=4,I11=120),VLOOKUP(T11,'CAFCO 400 ENSAYO'!$B$7:$D$43,3,FALSE),0)</f>
        <v>0</v>
      </c>
      <c r="O11" s="96">
        <f t="shared" ref="O11:O74" si="1">((IF(L11="Blaze Shield II",((K11*N11*0.43)/38),IF(L11="Cafco 400",((K11*N11*0.43)/23),IF(L11="Cafco 300",((K11*N11*0.43)/31.16),0)))))</f>
        <v>0</v>
      </c>
      <c r="P11" s="95" t="str">
        <f t="shared" ref="P11:P74" si="2">IF(AND(M11="Software Idiem"),IF(AND(C11="IN",G11=4,J11&gt;=50,J11&lt;=500),"CERT.",IF(AND(C11="Cj",J11&gt;=50,J11&lt;=500),"CERT.",IF(AND(C11="C",J11&gt;=50,J11&lt;=1000),"CERT.",IF(AND(C11="L",J11&gt;=50,J11&lt;=1000),"CERT.",IF(AND(C11="IN",G11=3,J11&gt;=50,J11&lt;=500),"CERT.","NO CERT."))))),"N/A")</f>
        <v>CERT.</v>
      </c>
      <c r="Q11" s="95" t="str">
        <f t="shared" ref="Q11:Q74" si="3">IF(AND(M11="Software Idiem"),IF(AND(C11="IN",G11=4,J11&gt;=50,J11&lt;=500),"CERT.",IF(AND(C11="Cj",J11&gt;=50,J11&lt;=500),"CERT.",IF(AND(C11="C",J11&gt;=50,J11&lt;=1000),"CERT.",IF(AND(C11="L",J11&gt;=50,J11&lt;=1000),"CERT.",IF(AND(C11="IN",G11=3,J11&gt;=50,J11&lt;=500),"CERT.","NO CERT."))))),"N/A")</f>
        <v>CERT.</v>
      </c>
      <c r="R11" s="95" t="str">
        <f t="shared" ref="R11:R74" si="4">IF(AND(C11="IN",G11=4,J11&gt;=95,J11&lt;=450,I11=90),"CERT.",IF(AND(C11="IN",G11=4,J11&gt;=95,J11&lt;=450,I11=120),"CERT.","NO CERT."))</f>
        <v>NO CERT.</v>
      </c>
      <c r="S11" s="95" t="str">
        <f t="shared" si="0"/>
        <v>NO CERT.</v>
      </c>
      <c r="T11" s="119">
        <f>+IF(J11=LOOKUP(J11,'CAFCO 300 IDIEM TABLAS'!$J$4:$J$40),'CALCULO MORTERO'!J11,MROUND('CALCULO MORTERO'!J11,10))</f>
        <v>240</v>
      </c>
      <c r="U11" s="118" t="e">
        <f t="shared" ref="U11:U73" si="5">+I11*60</f>
        <v>#VALUE!</v>
      </c>
      <c r="W11" s="36" t="s">
        <v>115</v>
      </c>
      <c r="Y11" s="4"/>
      <c r="Z11" s="4"/>
      <c r="AA11" s="4"/>
    </row>
    <row r="12" spans="1:27" ht="15.6" customHeight="1" x14ac:dyDescent="0.25">
      <c r="A12" s="118" t="str">
        <f>+CUBICACION!D11</f>
        <v>PILAR</v>
      </c>
      <c r="B12" s="819" t="str">
        <f>+CUBICACION!E11</f>
        <v>150X150X5</v>
      </c>
      <c r="C12" s="675" t="str">
        <f>+CUBICACION!F11</f>
        <v>CJ</v>
      </c>
      <c r="D12" s="118"/>
      <c r="E12" s="118"/>
      <c r="F12" s="820"/>
      <c r="G12" s="675">
        <f>+CUBICACION!J11</f>
        <v>4</v>
      </c>
      <c r="H12" s="118"/>
      <c r="I12" s="821" t="str">
        <f>+CUBICACION!L11</f>
        <v>F-60</v>
      </c>
      <c r="J12" s="64">
        <f>+CUBICACION!M11</f>
        <v>200</v>
      </c>
      <c r="K12" s="822">
        <f>+CUBICACION!N11</f>
        <v>9.6</v>
      </c>
      <c r="L12" s="118" t="str">
        <f>+CUBICACION!O11</f>
        <v>Fire Tex 5090</v>
      </c>
      <c r="M12" s="823" t="str">
        <f>+CUBICACION!P11</f>
        <v>Software Idiem</v>
      </c>
      <c r="N12" s="902">
        <f>ROUND(IF(AND(L12="Blaze Shield II",M12="Software Idiem",C12="IN",G12=4),((('BLAZE SHIELD II'!$D$4*('CALCULO MORTERO'!I12^2)+'BLAZE SHIELD II'!$D$5*'CALCULO MORTERO'!I12+'BLAZE SHIELD II'!$D$6)*LN(J12))+('BLAZE SHIELD II'!$D$7*('CALCULO MORTERO'!I12^2)+'BLAZE SHIELD II'!$D$8*'CALCULO MORTERO'!I12+'BLAZE SHIELD II'!$D$9)),0)+IF(AND(L12="Blaze Shield II",M12="Software Idiem",C12="Cj"),((('BLAZE SHIELD II'!$H$4*('CALCULO MORTERO'!I12^2)+'BLAZE SHIELD II'!$H$5*'CALCULO MORTERO'!I12+'BLAZE SHIELD II'!$H$6)*LN(J12))+('BLAZE SHIELD II'!$H$7*('CALCULO MORTERO'!I12^2)+'BLAZE SHIELD II'!$H$8*'CALCULO MORTERO'!I12+'BLAZE SHIELD II'!$H$9)),0)+IF(AND(L12="Blaze Shield II",M12="Software Idiem",C12="C"),((('BLAZE SHIELD II'!$L$4*('CALCULO MORTERO'!I12^2)+'BLAZE SHIELD II'!$L$5*'CALCULO MORTERO'!I12+'BLAZE SHIELD II'!$L$6)*LN(J12))+('BLAZE SHIELD II'!$L$7*('CALCULO MORTERO'!I12^2)+'BLAZE SHIELD II'!$L$8*'CALCULO MORTERO'!I12+'BLAZE SHIELD II'!$L$9)),0)+IF(AND(L12="Blaze Shield II",M12="Software Idiem",C12="L"),((('BLAZE SHIELD II'!$L$4*('CALCULO MORTERO'!I12^2)+'BLAZE SHIELD II'!$L$5*'CALCULO MORTERO'!I12+'BLAZE SHIELD II'!$L$6)*LN(J12))+('BLAZE SHIELD II'!$L$7*('CALCULO MORTERO'!I12^2)+'BLAZE SHIELD II'!$L$8*'CALCULO MORTERO'!I12+'BLAZE SHIELD II'!$L$9)),0)+IF(AND(L12="Blaze Shield II",M12="Software Idiem",C12="IN",G12=3),((('BLAZE SHIELD II'!$H$14*('CALCULO MORTERO'!I12^2)+'BLAZE SHIELD II'!$H$15*'CALCULO MORTERO'!I12+'BLAZE SHIELD II'!$H$16)*LN(J12))+('BLAZE SHIELD II'!$H$17*('CALCULO MORTERO'!I12^2)+'BLAZE SHIELD II'!$H$18*'CALCULO MORTERO'!I12+'BLAZE SHIELD II'!$H$19)),0),0)+ROUND(IF(AND(L12="Cafco 400",M12="Software Idiem",C12="IN",G12=4),((('CAFCO 400 '!$H$7*(J12^4)+'CAFCO 400 '!$H$8*(J12^3)+'CAFCO 400 '!$H$9*(J12^2)+'CAFCO 400 '!$H$10*J12+'CAFCO 400 '!$H$11)*U12^2)+(('CAFCO 400 '!$H$12*(J12^3)+'CAFCO 400 '!$H$13*(J12^2)+'CAFCO 400 '!$H$14*J12+'CAFCO 400 '!$H$15)*U12)+('CAFCO 400 '!$H$16*(J12^2)+'CAFCO 400 '!$H$17*J12+'CAFCO 400 '!$H$18)),0)+IF(AND(L12="Cafco 400",M12="Software Idiem",C12="Cj"),(((('CAFCO 400 '!$D$7*LN(J12)+'CAFCO 400 '!$D$8)*U12^2)+(('CAFCO 400 '!$D$9*LN(J12)+'CAFCO 400 '!$D$10)*U12)+('CAFCO 400 '!$D$11*LN(J12)+'CAFCO 400 '!$D$12))),0)+IF(AND(L12="Cafco 400",M12="Software Idiem",C12="C"),((('CAFCO 400 '!$L$7*(J12^3)+'CAFCO 400 '!$L$8*(J12^2)+'CAFCO 400 '!$L$9*J12+'CAFCO 400 '!$L$10)*U12^2)+(('CAFCO 400 '!$L$11*(J12^3)+'CAFCO 400 '!$L$12*(J12^2)+'CAFCO 400 '!$L$13*J12+'CAFCO 400 '!$L$14)*U12)+('CAFCO 400 '!$L$15*LN(J12)+'CAFCO 400 '!$L$16)),0)+IF(AND(L12="Cafco 400",M12="Software Idiem",C12="L"),((('CAFCO 400 '!$L$7*(J12^3)+'CAFCO 400 '!$L$8*(J12^2)+'CAFCO 400 '!$L$9*J12+'CAFCO 400 '!$L$10)*U12^2)+(('CAFCO 400 '!$L$11*(J12^3)+'CAFCO 400 '!$L$12*(J12^2)+'CAFCO 400 '!$L$13*J12+'CAFCO 400 '!$L$14)*U12)+('CAFCO 400 '!$L$15*LN(J12)+'CAFCO 400 '!$L$16)),0)+IF(AND(L12="Cafco 400",M12="Software Idiem",C12="IN",G12=3),((('CAFCO 400 '!$D$23*(J12^2)+'CAFCO 400 '!$D$24*(J12)+'CAFCO 400 '!$D$25)*U12^2)+(('CAFCO 400 '!$D$26*(J12^2)+'CAFCO 400 '!$D$27*J12+'CAFCO 400 '!$D$28)*U12)+('CAFCO 400 '!$D$29*(J12^2)+'CAFCO 400 '!$D$30*J12+'CAFCO 400 '!$D$31)),0),0)+IF(AND(L12="Cafco 300",J12&gt;=95,J12&lt;=240,C12="Cj",I12=90),VLOOKUP(T12,'CAFCO 300 IDIEM TABLAS'!$B$4:$D$23,2,FALSE),0)+IF(AND(L12="Cafco 300",J12&gt;=95,J12&lt;=240,C12="Cj",I12=120),VLOOKUP(T12,'CAFCO 300 IDIEM TABLAS'!$B$4:$D$23,3,FALSE),0)+IF(AND(L12="Cafco 300",J12&gt;=95,J12&lt;=400,G12=3,C12="IN",I12=90),VLOOKUP(T12,'CAFCO 300 IDIEM TABLAS'!$F$4:$H$35,2,FALSE),0)+IF(AND(L12="Cafco 300",J12&gt;=95,J12&lt;=400,G12=3,C12="IN",I12=120),VLOOKUP(T12,'CAFCO 300 IDIEM TABLAS'!$F$4:$H$35,3,FALSE),0)+IF(AND(L12="Cafco 300",J12&gt;=95,J12&lt;=450,G12=4,C12="IN",I12=90),VLOOKUP(T12,'CAFCO 300 IDIEM TABLAS'!$J$4:$L$40,2,FALSE),0)+IF(AND(L12="Cafco 300",J12&gt;=95,J12&lt;=450,G12=4,C12="IN",I12=120),VLOOKUP(T12,'CAFCO 300 IDIEM TABLAS'!$J$4:$L$40,3,FALSE),0)+IF(AND(M12="Ensayo Idiem",L12="Cafco 400",C12="IN",G12=4,I12=90),VLOOKUP(T12,'CAFCO 400 ENSAYO'!$B$7:$D$43,2,FALSE),0)+IF(AND(M12="Ensayo Idiem",L12="Cafco 400",C12="IN",G12=4,I12=120),VLOOKUP(T12,'CAFCO 400 ENSAYO'!$B$7:$D$43,3,FALSE),0)</f>
        <v>0</v>
      </c>
      <c r="O12" s="96">
        <f t="shared" si="1"/>
        <v>0</v>
      </c>
      <c r="P12" s="95" t="str">
        <f t="shared" si="2"/>
        <v>CERT.</v>
      </c>
      <c r="Q12" s="95" t="str">
        <f t="shared" si="3"/>
        <v>CERT.</v>
      </c>
      <c r="R12" s="95" t="str">
        <f t="shared" si="4"/>
        <v>NO CERT.</v>
      </c>
      <c r="S12" s="95" t="str">
        <f t="shared" si="0"/>
        <v>NO CERT.</v>
      </c>
      <c r="T12" s="119">
        <f>+IF(J12=LOOKUP(J12,'CAFCO 300 IDIEM TABLAS'!$J$4:$J$40),'CALCULO MORTERO'!J12,MROUND('CALCULO MORTERO'!J12,10))</f>
        <v>200</v>
      </c>
      <c r="U12" s="118" t="e">
        <f t="shared" si="5"/>
        <v>#VALUE!</v>
      </c>
      <c r="W12" s="36" t="s">
        <v>116</v>
      </c>
      <c r="Y12" s="4"/>
      <c r="Z12" s="4"/>
      <c r="AA12" s="4"/>
    </row>
    <row r="13" spans="1:27" x14ac:dyDescent="0.25">
      <c r="A13" s="118" t="str">
        <f>+CUBICACION!D12</f>
        <v>PILAR</v>
      </c>
      <c r="B13" s="819" t="str">
        <f>+CUBICACION!E12</f>
        <v>200X100X3</v>
      </c>
      <c r="C13" s="675" t="str">
        <f>+CUBICACION!F12</f>
        <v>CJ</v>
      </c>
      <c r="D13" s="118"/>
      <c r="E13" s="118"/>
      <c r="F13" s="820"/>
      <c r="G13" s="675">
        <f>+CUBICACION!J12</f>
        <v>4</v>
      </c>
      <c r="H13" s="118"/>
      <c r="I13" s="821" t="str">
        <f>+CUBICACION!L12</f>
        <v>F-60</v>
      </c>
      <c r="J13" s="64">
        <f>+CUBICACION!M12</f>
        <v>333</v>
      </c>
      <c r="K13" s="822">
        <f>+CUBICACION!N12</f>
        <v>7.44</v>
      </c>
      <c r="L13" s="118" t="str">
        <f>+CUBICACION!O12</f>
        <v>Fire Tex 5090</v>
      </c>
      <c r="M13" s="823" t="str">
        <f>+CUBICACION!P12</f>
        <v>Software Idiem</v>
      </c>
      <c r="N13" s="902">
        <f>ROUND(IF(AND(L13="Blaze Shield II",M13="Software Idiem",C13="IN",G13=4),((('BLAZE SHIELD II'!$D$4*('CALCULO MORTERO'!I13^2)+'BLAZE SHIELD II'!$D$5*'CALCULO MORTERO'!I13+'BLAZE SHIELD II'!$D$6)*LN(J13))+('BLAZE SHIELD II'!$D$7*('CALCULO MORTERO'!I13^2)+'BLAZE SHIELD II'!$D$8*'CALCULO MORTERO'!I13+'BLAZE SHIELD II'!$D$9)),0)+IF(AND(L13="Blaze Shield II",M13="Software Idiem",C13="Cj"),((('BLAZE SHIELD II'!$H$4*('CALCULO MORTERO'!I13^2)+'BLAZE SHIELD II'!$H$5*'CALCULO MORTERO'!I13+'BLAZE SHIELD II'!$H$6)*LN(J13))+('BLAZE SHIELD II'!$H$7*('CALCULO MORTERO'!I13^2)+'BLAZE SHIELD II'!$H$8*'CALCULO MORTERO'!I13+'BLAZE SHIELD II'!$H$9)),0)+IF(AND(L13="Blaze Shield II",M13="Software Idiem",C13="C"),((('BLAZE SHIELD II'!$L$4*('CALCULO MORTERO'!I13^2)+'BLAZE SHIELD II'!$L$5*'CALCULO MORTERO'!I13+'BLAZE SHIELD II'!$L$6)*LN(J13))+('BLAZE SHIELD II'!$L$7*('CALCULO MORTERO'!I13^2)+'BLAZE SHIELD II'!$L$8*'CALCULO MORTERO'!I13+'BLAZE SHIELD II'!$L$9)),0)+IF(AND(L13="Blaze Shield II",M13="Software Idiem",C13="L"),((('BLAZE SHIELD II'!$L$4*('CALCULO MORTERO'!I13^2)+'BLAZE SHIELD II'!$L$5*'CALCULO MORTERO'!I13+'BLAZE SHIELD II'!$L$6)*LN(J13))+('BLAZE SHIELD II'!$L$7*('CALCULO MORTERO'!I13^2)+'BLAZE SHIELD II'!$L$8*'CALCULO MORTERO'!I13+'BLAZE SHIELD II'!$L$9)),0)+IF(AND(L13="Blaze Shield II",M13="Software Idiem",C13="IN",G13=3),((('BLAZE SHIELD II'!$H$14*('CALCULO MORTERO'!I13^2)+'BLAZE SHIELD II'!$H$15*'CALCULO MORTERO'!I13+'BLAZE SHIELD II'!$H$16)*LN(J13))+('BLAZE SHIELD II'!$H$17*('CALCULO MORTERO'!I13^2)+'BLAZE SHIELD II'!$H$18*'CALCULO MORTERO'!I13+'BLAZE SHIELD II'!$H$19)),0),0)+ROUND(IF(AND(L13="Cafco 400",M13="Software Idiem",C13="IN",G13=4),((('CAFCO 400 '!$H$7*(J13^4)+'CAFCO 400 '!$H$8*(J13^3)+'CAFCO 400 '!$H$9*(J13^2)+'CAFCO 400 '!$H$10*J13+'CAFCO 400 '!$H$11)*U13^2)+(('CAFCO 400 '!$H$12*(J13^3)+'CAFCO 400 '!$H$13*(J13^2)+'CAFCO 400 '!$H$14*J13+'CAFCO 400 '!$H$15)*U13)+('CAFCO 400 '!$H$16*(J13^2)+'CAFCO 400 '!$H$17*J13+'CAFCO 400 '!$H$18)),0)+IF(AND(L13="Cafco 400",M13="Software Idiem",C13="Cj"),(((('CAFCO 400 '!$D$7*LN(J13)+'CAFCO 400 '!$D$8)*U13^2)+(('CAFCO 400 '!$D$9*LN(J13)+'CAFCO 400 '!$D$10)*U13)+('CAFCO 400 '!$D$11*LN(J13)+'CAFCO 400 '!$D$12))),0)+IF(AND(L13="Cafco 400",M13="Software Idiem",C13="C"),((('CAFCO 400 '!$L$7*(J13^3)+'CAFCO 400 '!$L$8*(J13^2)+'CAFCO 400 '!$L$9*J13+'CAFCO 400 '!$L$10)*U13^2)+(('CAFCO 400 '!$L$11*(J13^3)+'CAFCO 400 '!$L$12*(J13^2)+'CAFCO 400 '!$L$13*J13+'CAFCO 400 '!$L$14)*U13)+('CAFCO 400 '!$L$15*LN(J13)+'CAFCO 400 '!$L$16)),0)+IF(AND(L13="Cafco 400",M13="Software Idiem",C13="L"),((('CAFCO 400 '!$L$7*(J13^3)+'CAFCO 400 '!$L$8*(J13^2)+'CAFCO 400 '!$L$9*J13+'CAFCO 400 '!$L$10)*U13^2)+(('CAFCO 400 '!$L$11*(J13^3)+'CAFCO 400 '!$L$12*(J13^2)+'CAFCO 400 '!$L$13*J13+'CAFCO 400 '!$L$14)*U13)+('CAFCO 400 '!$L$15*LN(J13)+'CAFCO 400 '!$L$16)),0)+IF(AND(L13="Cafco 400",M13="Software Idiem",C13="IN",G13=3),((('CAFCO 400 '!$D$23*(J13^2)+'CAFCO 400 '!$D$24*(J13)+'CAFCO 400 '!$D$25)*U13^2)+(('CAFCO 400 '!$D$26*(J13^2)+'CAFCO 400 '!$D$27*J13+'CAFCO 400 '!$D$28)*U13)+('CAFCO 400 '!$D$29*(J13^2)+'CAFCO 400 '!$D$30*J13+'CAFCO 400 '!$D$31)),0),0)+IF(AND(L13="Cafco 300",J13&gt;=95,J13&lt;=240,C13="Cj",I13=90),VLOOKUP(T13,'CAFCO 300 IDIEM TABLAS'!$B$4:$D$23,2,FALSE),0)+IF(AND(L13="Cafco 300",J13&gt;=95,J13&lt;=240,C13="Cj",I13=120),VLOOKUP(T13,'CAFCO 300 IDIEM TABLAS'!$B$4:$D$23,3,FALSE),0)+IF(AND(L13="Cafco 300",J13&gt;=95,J13&lt;=400,G13=3,C13="IN",I13=90),VLOOKUP(T13,'CAFCO 300 IDIEM TABLAS'!$F$4:$H$35,2,FALSE),0)+IF(AND(L13="Cafco 300",J13&gt;=95,J13&lt;=400,G13=3,C13="IN",I13=120),VLOOKUP(T13,'CAFCO 300 IDIEM TABLAS'!$F$4:$H$35,3,FALSE),0)+IF(AND(L13="Cafco 300",J13&gt;=95,J13&lt;=450,G13=4,C13="IN",I13=90),VLOOKUP(T13,'CAFCO 300 IDIEM TABLAS'!$J$4:$L$40,2,FALSE),0)+IF(AND(L13="Cafco 300",J13&gt;=95,J13&lt;=450,G13=4,C13="IN",I13=120),VLOOKUP(T13,'CAFCO 300 IDIEM TABLAS'!$J$4:$L$40,3,FALSE),0)+IF(AND(M13="Ensayo Idiem",L13="Cafco 400",C13="IN",G13=4,I13=90),VLOOKUP(T13,'CAFCO 400 ENSAYO'!$B$7:$D$43,2,FALSE),0)+IF(AND(M13="Ensayo Idiem",L13="Cafco 400",C13="IN",G13=4,I13=120),VLOOKUP(T13,'CAFCO 400 ENSAYO'!$B$7:$D$43,3,FALSE),0)</f>
        <v>0</v>
      </c>
      <c r="O13" s="96">
        <f t="shared" si="1"/>
        <v>0</v>
      </c>
      <c r="P13" s="95" t="str">
        <f t="shared" si="2"/>
        <v>CERT.</v>
      </c>
      <c r="Q13" s="95" t="str">
        <f t="shared" si="3"/>
        <v>CERT.</v>
      </c>
      <c r="R13" s="95" t="str">
        <f t="shared" si="4"/>
        <v>NO CERT.</v>
      </c>
      <c r="S13" s="95" t="str">
        <f t="shared" si="0"/>
        <v>NO CERT.</v>
      </c>
      <c r="T13" s="119">
        <f>+IF(J13=LOOKUP(J13,'CAFCO 300 IDIEM TABLAS'!$J$4:$J$40),'CALCULO MORTERO'!J13,MROUND('CALCULO MORTERO'!J13,10))</f>
        <v>330</v>
      </c>
      <c r="U13" s="118" t="e">
        <f t="shared" si="5"/>
        <v>#VALUE!</v>
      </c>
      <c r="Y13" s="4"/>
      <c r="Z13" s="4"/>
      <c r="AA13" s="4"/>
    </row>
    <row r="14" spans="1:27" ht="15.6" customHeight="1" x14ac:dyDescent="0.25">
      <c r="A14" s="118" t="str">
        <f>+CUBICACION!D13</f>
        <v>PUNTAL</v>
      </c>
      <c r="B14" s="819" t="str">
        <f>+CUBICACION!E13</f>
        <v>100X100X3</v>
      </c>
      <c r="C14" s="675" t="str">
        <f>+CUBICACION!F13</f>
        <v>CJ</v>
      </c>
      <c r="D14" s="118"/>
      <c r="E14" s="118"/>
      <c r="F14" s="820"/>
      <c r="G14" s="675">
        <f>+CUBICACION!J13</f>
        <v>4</v>
      </c>
      <c r="H14" s="118"/>
      <c r="I14" s="821" t="str">
        <f>+CUBICACION!L13</f>
        <v>F-60</v>
      </c>
      <c r="J14" s="64">
        <f>+CUBICACION!M13</f>
        <v>333</v>
      </c>
      <c r="K14" s="822">
        <f>+CUBICACION!N13</f>
        <v>27.28</v>
      </c>
      <c r="L14" s="118" t="str">
        <f>+CUBICACION!O13</f>
        <v>Fire Tex 5090</v>
      </c>
      <c r="M14" s="823" t="str">
        <f>+CUBICACION!P13</f>
        <v>Software Idiem</v>
      </c>
      <c r="N14" s="902">
        <f>ROUND(IF(AND(L14="Blaze Shield II",M14="Software Idiem",C14="IN",G14=4),((('BLAZE SHIELD II'!$D$4*('CALCULO MORTERO'!I14^2)+'BLAZE SHIELD II'!$D$5*'CALCULO MORTERO'!I14+'BLAZE SHIELD II'!$D$6)*LN(J14))+('BLAZE SHIELD II'!$D$7*('CALCULO MORTERO'!I14^2)+'BLAZE SHIELD II'!$D$8*'CALCULO MORTERO'!I14+'BLAZE SHIELD II'!$D$9)),0)+IF(AND(L14="Blaze Shield II",M14="Software Idiem",C14="Cj"),((('BLAZE SHIELD II'!$H$4*('CALCULO MORTERO'!I14^2)+'BLAZE SHIELD II'!$H$5*'CALCULO MORTERO'!I14+'BLAZE SHIELD II'!$H$6)*LN(J14))+('BLAZE SHIELD II'!$H$7*('CALCULO MORTERO'!I14^2)+'BLAZE SHIELD II'!$H$8*'CALCULO MORTERO'!I14+'BLAZE SHIELD II'!$H$9)),0)+IF(AND(L14="Blaze Shield II",M14="Software Idiem",C14="C"),((('BLAZE SHIELD II'!$L$4*('CALCULO MORTERO'!I14^2)+'BLAZE SHIELD II'!$L$5*'CALCULO MORTERO'!I14+'BLAZE SHIELD II'!$L$6)*LN(J14))+('BLAZE SHIELD II'!$L$7*('CALCULO MORTERO'!I14^2)+'BLAZE SHIELD II'!$L$8*'CALCULO MORTERO'!I14+'BLAZE SHIELD II'!$L$9)),0)+IF(AND(L14="Blaze Shield II",M14="Software Idiem",C14="L"),((('BLAZE SHIELD II'!$L$4*('CALCULO MORTERO'!I14^2)+'BLAZE SHIELD II'!$L$5*'CALCULO MORTERO'!I14+'BLAZE SHIELD II'!$L$6)*LN(J14))+('BLAZE SHIELD II'!$L$7*('CALCULO MORTERO'!I14^2)+'BLAZE SHIELD II'!$L$8*'CALCULO MORTERO'!I14+'BLAZE SHIELD II'!$L$9)),0)+IF(AND(L14="Blaze Shield II",M14="Software Idiem",C14="IN",G14=3),((('BLAZE SHIELD II'!$H$14*('CALCULO MORTERO'!I14^2)+'BLAZE SHIELD II'!$H$15*'CALCULO MORTERO'!I14+'BLAZE SHIELD II'!$H$16)*LN(J14))+('BLAZE SHIELD II'!$H$17*('CALCULO MORTERO'!I14^2)+'BLAZE SHIELD II'!$H$18*'CALCULO MORTERO'!I14+'BLAZE SHIELD II'!$H$19)),0),0)+ROUND(IF(AND(L14="Cafco 400",M14="Software Idiem",C14="IN",G14=4),((('CAFCO 400 '!$H$7*(J14^4)+'CAFCO 400 '!$H$8*(J14^3)+'CAFCO 400 '!$H$9*(J14^2)+'CAFCO 400 '!$H$10*J14+'CAFCO 400 '!$H$11)*U14^2)+(('CAFCO 400 '!$H$12*(J14^3)+'CAFCO 400 '!$H$13*(J14^2)+'CAFCO 400 '!$H$14*J14+'CAFCO 400 '!$H$15)*U14)+('CAFCO 400 '!$H$16*(J14^2)+'CAFCO 400 '!$H$17*J14+'CAFCO 400 '!$H$18)),0)+IF(AND(L14="Cafco 400",M14="Software Idiem",C14="Cj"),(((('CAFCO 400 '!$D$7*LN(J14)+'CAFCO 400 '!$D$8)*U14^2)+(('CAFCO 400 '!$D$9*LN(J14)+'CAFCO 400 '!$D$10)*U14)+('CAFCO 400 '!$D$11*LN(J14)+'CAFCO 400 '!$D$12))),0)+IF(AND(L14="Cafco 400",M14="Software Idiem",C14="C"),((('CAFCO 400 '!$L$7*(J14^3)+'CAFCO 400 '!$L$8*(J14^2)+'CAFCO 400 '!$L$9*J14+'CAFCO 400 '!$L$10)*U14^2)+(('CAFCO 400 '!$L$11*(J14^3)+'CAFCO 400 '!$L$12*(J14^2)+'CAFCO 400 '!$L$13*J14+'CAFCO 400 '!$L$14)*U14)+('CAFCO 400 '!$L$15*LN(J14)+'CAFCO 400 '!$L$16)),0)+IF(AND(L14="Cafco 400",M14="Software Idiem",C14="L"),((('CAFCO 400 '!$L$7*(J14^3)+'CAFCO 400 '!$L$8*(J14^2)+'CAFCO 400 '!$L$9*J14+'CAFCO 400 '!$L$10)*U14^2)+(('CAFCO 400 '!$L$11*(J14^3)+'CAFCO 400 '!$L$12*(J14^2)+'CAFCO 400 '!$L$13*J14+'CAFCO 400 '!$L$14)*U14)+('CAFCO 400 '!$L$15*LN(J14)+'CAFCO 400 '!$L$16)),0)+IF(AND(L14="Cafco 400",M14="Software Idiem",C14="IN",G14=3),((('CAFCO 400 '!$D$23*(J14^2)+'CAFCO 400 '!$D$24*(J14)+'CAFCO 400 '!$D$25)*U14^2)+(('CAFCO 400 '!$D$26*(J14^2)+'CAFCO 400 '!$D$27*J14+'CAFCO 400 '!$D$28)*U14)+('CAFCO 400 '!$D$29*(J14^2)+'CAFCO 400 '!$D$30*J14+'CAFCO 400 '!$D$31)),0),0)+IF(AND(L14="Cafco 300",J14&gt;=95,J14&lt;=240,C14="Cj",I14=90),VLOOKUP(T14,'CAFCO 300 IDIEM TABLAS'!$B$4:$D$23,2,FALSE),0)+IF(AND(L14="Cafco 300",J14&gt;=95,J14&lt;=240,C14="Cj",I14=120),VLOOKUP(T14,'CAFCO 300 IDIEM TABLAS'!$B$4:$D$23,3,FALSE),0)+IF(AND(L14="Cafco 300",J14&gt;=95,J14&lt;=400,G14=3,C14="IN",I14=90),VLOOKUP(T14,'CAFCO 300 IDIEM TABLAS'!$F$4:$H$35,2,FALSE),0)+IF(AND(L14="Cafco 300",J14&gt;=95,J14&lt;=400,G14=3,C14="IN",I14=120),VLOOKUP(T14,'CAFCO 300 IDIEM TABLAS'!$F$4:$H$35,3,FALSE),0)+IF(AND(L14="Cafco 300",J14&gt;=95,J14&lt;=450,G14=4,C14="IN",I14=90),VLOOKUP(T14,'CAFCO 300 IDIEM TABLAS'!$J$4:$L$40,2,FALSE),0)+IF(AND(L14="Cafco 300",J14&gt;=95,J14&lt;=450,G14=4,C14="IN",I14=120),VLOOKUP(T14,'CAFCO 300 IDIEM TABLAS'!$J$4:$L$40,3,FALSE),0)+IF(AND(M14="Ensayo Idiem",L14="Cafco 400",C14="IN",G14=4,I14=90),VLOOKUP(T14,'CAFCO 400 ENSAYO'!$B$7:$D$43,2,FALSE),0)+IF(AND(M14="Ensayo Idiem",L14="Cafco 400",C14="IN",G14=4,I14=120),VLOOKUP(T14,'CAFCO 400 ENSAYO'!$B$7:$D$43,3,FALSE),0)</f>
        <v>0</v>
      </c>
      <c r="O14" s="96">
        <f t="shared" si="1"/>
        <v>0</v>
      </c>
      <c r="P14" s="95" t="str">
        <f t="shared" si="2"/>
        <v>CERT.</v>
      </c>
      <c r="Q14" s="95" t="str">
        <f t="shared" si="3"/>
        <v>CERT.</v>
      </c>
      <c r="R14" s="95" t="str">
        <f t="shared" si="4"/>
        <v>NO CERT.</v>
      </c>
      <c r="S14" s="95" t="str">
        <f t="shared" si="0"/>
        <v>NO CERT.</v>
      </c>
      <c r="T14" s="119">
        <f>+IF(J14=LOOKUP(J14,'CAFCO 300 IDIEM TABLAS'!$J$4:$J$40),'CALCULO MORTERO'!J14,MROUND('CALCULO MORTERO'!J14,10))</f>
        <v>330</v>
      </c>
      <c r="U14" s="118" t="e">
        <f t="shared" si="5"/>
        <v>#VALUE!</v>
      </c>
      <c r="Y14" s="4"/>
      <c r="Z14" s="4"/>
      <c r="AA14" s="4"/>
    </row>
    <row r="15" spans="1:27" x14ac:dyDescent="0.25">
      <c r="A15" s="118" t="str">
        <f>+CUBICACION!D14</f>
        <v>ARRIOSTRAMINETO VERTICAL</v>
      </c>
      <c r="B15" s="819" t="str">
        <f>+CUBICACION!E14</f>
        <v>100X100X3</v>
      </c>
      <c r="C15" s="675" t="str">
        <f>+CUBICACION!F14</f>
        <v>CJ</v>
      </c>
      <c r="D15" s="118"/>
      <c r="E15" s="118"/>
      <c r="F15" s="820"/>
      <c r="G15" s="675">
        <f>+CUBICACION!J14</f>
        <v>4</v>
      </c>
      <c r="H15" s="118"/>
      <c r="I15" s="821" t="str">
        <f>+CUBICACION!L14</f>
        <v>F-60</v>
      </c>
      <c r="J15" s="64">
        <f>+CUBICACION!M14</f>
        <v>333</v>
      </c>
      <c r="K15" s="822">
        <f>+CUBICACION!N14</f>
        <v>24</v>
      </c>
      <c r="L15" s="118" t="str">
        <f>+CUBICACION!O14</f>
        <v>Fire Tex 5090</v>
      </c>
      <c r="M15" s="823" t="str">
        <f>+CUBICACION!P14</f>
        <v>Software Idiem</v>
      </c>
      <c r="N15" s="902">
        <f>ROUND(IF(AND(L15="Blaze Shield II",M15="Software Idiem",C15="IN",G15=4),((('BLAZE SHIELD II'!$D$4*('CALCULO MORTERO'!I15^2)+'BLAZE SHIELD II'!$D$5*'CALCULO MORTERO'!I15+'BLAZE SHIELD II'!$D$6)*LN(J15))+('BLAZE SHIELD II'!$D$7*('CALCULO MORTERO'!I15^2)+'BLAZE SHIELD II'!$D$8*'CALCULO MORTERO'!I15+'BLAZE SHIELD II'!$D$9)),0)+IF(AND(L15="Blaze Shield II",M15="Software Idiem",C15="Cj"),((('BLAZE SHIELD II'!$H$4*('CALCULO MORTERO'!I15^2)+'BLAZE SHIELD II'!$H$5*'CALCULO MORTERO'!I15+'BLAZE SHIELD II'!$H$6)*LN(J15))+('BLAZE SHIELD II'!$H$7*('CALCULO MORTERO'!I15^2)+'BLAZE SHIELD II'!$H$8*'CALCULO MORTERO'!I15+'BLAZE SHIELD II'!$H$9)),0)+IF(AND(L15="Blaze Shield II",M15="Software Idiem",C15="C"),((('BLAZE SHIELD II'!$L$4*('CALCULO MORTERO'!I15^2)+'BLAZE SHIELD II'!$L$5*'CALCULO MORTERO'!I15+'BLAZE SHIELD II'!$L$6)*LN(J15))+('BLAZE SHIELD II'!$L$7*('CALCULO MORTERO'!I15^2)+'BLAZE SHIELD II'!$L$8*'CALCULO MORTERO'!I15+'BLAZE SHIELD II'!$L$9)),0)+IF(AND(L15="Blaze Shield II",M15="Software Idiem",C15="L"),((('BLAZE SHIELD II'!$L$4*('CALCULO MORTERO'!I15^2)+'BLAZE SHIELD II'!$L$5*'CALCULO MORTERO'!I15+'BLAZE SHIELD II'!$L$6)*LN(J15))+('BLAZE SHIELD II'!$L$7*('CALCULO MORTERO'!I15^2)+'BLAZE SHIELD II'!$L$8*'CALCULO MORTERO'!I15+'BLAZE SHIELD II'!$L$9)),0)+IF(AND(L15="Blaze Shield II",M15="Software Idiem",C15="IN",G15=3),((('BLAZE SHIELD II'!$H$14*('CALCULO MORTERO'!I15^2)+'BLAZE SHIELD II'!$H$15*'CALCULO MORTERO'!I15+'BLAZE SHIELD II'!$H$16)*LN(J15))+('BLAZE SHIELD II'!$H$17*('CALCULO MORTERO'!I15^2)+'BLAZE SHIELD II'!$H$18*'CALCULO MORTERO'!I15+'BLAZE SHIELD II'!$H$19)),0),0)+ROUND(IF(AND(L15="Cafco 400",M15="Software Idiem",C15="IN",G15=4),((('CAFCO 400 '!$H$7*(J15^4)+'CAFCO 400 '!$H$8*(J15^3)+'CAFCO 400 '!$H$9*(J15^2)+'CAFCO 400 '!$H$10*J15+'CAFCO 400 '!$H$11)*U15^2)+(('CAFCO 400 '!$H$12*(J15^3)+'CAFCO 400 '!$H$13*(J15^2)+'CAFCO 400 '!$H$14*J15+'CAFCO 400 '!$H$15)*U15)+('CAFCO 400 '!$H$16*(J15^2)+'CAFCO 400 '!$H$17*J15+'CAFCO 400 '!$H$18)),0)+IF(AND(L15="Cafco 400",M15="Software Idiem",C15="Cj"),(((('CAFCO 400 '!$D$7*LN(J15)+'CAFCO 400 '!$D$8)*U15^2)+(('CAFCO 400 '!$D$9*LN(J15)+'CAFCO 400 '!$D$10)*U15)+('CAFCO 400 '!$D$11*LN(J15)+'CAFCO 400 '!$D$12))),0)+IF(AND(L15="Cafco 400",M15="Software Idiem",C15="C"),((('CAFCO 400 '!$L$7*(J15^3)+'CAFCO 400 '!$L$8*(J15^2)+'CAFCO 400 '!$L$9*J15+'CAFCO 400 '!$L$10)*U15^2)+(('CAFCO 400 '!$L$11*(J15^3)+'CAFCO 400 '!$L$12*(J15^2)+'CAFCO 400 '!$L$13*J15+'CAFCO 400 '!$L$14)*U15)+('CAFCO 400 '!$L$15*LN(J15)+'CAFCO 400 '!$L$16)),0)+IF(AND(L15="Cafco 400",M15="Software Idiem",C15="L"),((('CAFCO 400 '!$L$7*(J15^3)+'CAFCO 400 '!$L$8*(J15^2)+'CAFCO 400 '!$L$9*J15+'CAFCO 400 '!$L$10)*U15^2)+(('CAFCO 400 '!$L$11*(J15^3)+'CAFCO 400 '!$L$12*(J15^2)+'CAFCO 400 '!$L$13*J15+'CAFCO 400 '!$L$14)*U15)+('CAFCO 400 '!$L$15*LN(J15)+'CAFCO 400 '!$L$16)),0)+IF(AND(L15="Cafco 400",M15="Software Idiem",C15="IN",G15=3),((('CAFCO 400 '!$D$23*(J15^2)+'CAFCO 400 '!$D$24*(J15)+'CAFCO 400 '!$D$25)*U15^2)+(('CAFCO 400 '!$D$26*(J15^2)+'CAFCO 400 '!$D$27*J15+'CAFCO 400 '!$D$28)*U15)+('CAFCO 400 '!$D$29*(J15^2)+'CAFCO 400 '!$D$30*J15+'CAFCO 400 '!$D$31)),0),0)+IF(AND(L15="Cafco 300",J15&gt;=95,J15&lt;=240,C15="Cj",I15=90),VLOOKUP(T15,'CAFCO 300 IDIEM TABLAS'!$B$4:$D$23,2,FALSE),0)+IF(AND(L15="Cafco 300",J15&gt;=95,J15&lt;=240,C15="Cj",I15=120),VLOOKUP(T15,'CAFCO 300 IDIEM TABLAS'!$B$4:$D$23,3,FALSE),0)+IF(AND(L15="Cafco 300",J15&gt;=95,J15&lt;=400,G15=3,C15="IN",I15=90),VLOOKUP(T15,'CAFCO 300 IDIEM TABLAS'!$F$4:$H$35,2,FALSE),0)+IF(AND(L15="Cafco 300",J15&gt;=95,J15&lt;=400,G15=3,C15="IN",I15=120),VLOOKUP(T15,'CAFCO 300 IDIEM TABLAS'!$F$4:$H$35,3,FALSE),0)+IF(AND(L15="Cafco 300",J15&gt;=95,J15&lt;=450,G15=4,C15="IN",I15=90),VLOOKUP(T15,'CAFCO 300 IDIEM TABLAS'!$J$4:$L$40,2,FALSE),0)+IF(AND(L15="Cafco 300",J15&gt;=95,J15&lt;=450,G15=4,C15="IN",I15=120),VLOOKUP(T15,'CAFCO 300 IDIEM TABLAS'!$J$4:$L$40,3,FALSE),0)+IF(AND(M15="Ensayo Idiem",L15="Cafco 400",C15="IN",G15=4,I15=90),VLOOKUP(T15,'CAFCO 400 ENSAYO'!$B$7:$D$43,2,FALSE),0)+IF(AND(M15="Ensayo Idiem",L15="Cafco 400",C15="IN",G15=4,I15=120),VLOOKUP(T15,'CAFCO 400 ENSAYO'!$B$7:$D$43,3,FALSE),0)</f>
        <v>0</v>
      </c>
      <c r="O15" s="96">
        <f t="shared" si="1"/>
        <v>0</v>
      </c>
      <c r="P15" s="95" t="str">
        <f t="shared" si="2"/>
        <v>CERT.</v>
      </c>
      <c r="Q15" s="95" t="str">
        <f t="shared" si="3"/>
        <v>CERT.</v>
      </c>
      <c r="R15" s="95" t="str">
        <f t="shared" si="4"/>
        <v>NO CERT.</v>
      </c>
      <c r="S15" s="95" t="str">
        <f t="shared" si="0"/>
        <v>NO CERT.</v>
      </c>
      <c r="T15" s="119">
        <f>+IF(J15=LOOKUP(J15,'CAFCO 300 IDIEM TABLAS'!$J$4:$J$40),'CALCULO MORTERO'!J15,MROUND('CALCULO MORTERO'!J15,10))</f>
        <v>330</v>
      </c>
      <c r="U15" s="118" t="e">
        <f t="shared" si="5"/>
        <v>#VALUE!</v>
      </c>
      <c r="Y15" s="4"/>
      <c r="Z15" s="4"/>
      <c r="AA15" s="4"/>
    </row>
    <row r="16" spans="1:27" ht="15.75" customHeight="1" x14ac:dyDescent="0.25">
      <c r="A16" s="118" t="str">
        <f>+CUBICACION!D15</f>
        <v>PILAR</v>
      </c>
      <c r="B16" s="819" t="str">
        <f>+CUBICACION!E15</f>
        <v>MM 400X200X4</v>
      </c>
      <c r="C16" s="675" t="str">
        <f>+CUBICACION!F15</f>
        <v>CJ</v>
      </c>
      <c r="D16" s="118"/>
      <c r="E16" s="118"/>
      <c r="F16" s="820"/>
      <c r="G16" s="675">
        <f>+CUBICACION!J15</f>
        <v>4</v>
      </c>
      <c r="H16" s="118"/>
      <c r="I16" s="821" t="str">
        <f>+CUBICACION!L15</f>
        <v>F-60</v>
      </c>
      <c r="J16" s="64">
        <f>+CUBICACION!M15</f>
        <v>236</v>
      </c>
      <c r="K16" s="822">
        <f>+CUBICACION!N15</f>
        <v>12</v>
      </c>
      <c r="L16" s="118" t="str">
        <f>+CUBICACION!O15</f>
        <v>Fire Tex 5090</v>
      </c>
      <c r="M16" s="823" t="str">
        <f>+CUBICACION!P15</f>
        <v>Software Idiem</v>
      </c>
      <c r="N16" s="902">
        <f>ROUND(IF(AND(L16="Blaze Shield II",M16="Software Idiem",C16="IN",G16=4),((('BLAZE SHIELD II'!$D$4*('CALCULO MORTERO'!I16^2)+'BLAZE SHIELD II'!$D$5*'CALCULO MORTERO'!I16+'BLAZE SHIELD II'!$D$6)*LN(J16))+('BLAZE SHIELD II'!$D$7*('CALCULO MORTERO'!I16^2)+'BLAZE SHIELD II'!$D$8*'CALCULO MORTERO'!I16+'BLAZE SHIELD II'!$D$9)),0)+IF(AND(L16="Blaze Shield II",M16="Software Idiem",C16="Cj"),((('BLAZE SHIELD II'!$H$4*('CALCULO MORTERO'!I16^2)+'BLAZE SHIELD II'!$H$5*'CALCULO MORTERO'!I16+'BLAZE SHIELD II'!$H$6)*LN(J16))+('BLAZE SHIELD II'!$H$7*('CALCULO MORTERO'!I16^2)+'BLAZE SHIELD II'!$H$8*'CALCULO MORTERO'!I16+'BLAZE SHIELD II'!$H$9)),0)+IF(AND(L16="Blaze Shield II",M16="Software Idiem",C16="C"),((('BLAZE SHIELD II'!$L$4*('CALCULO MORTERO'!I16^2)+'BLAZE SHIELD II'!$L$5*'CALCULO MORTERO'!I16+'BLAZE SHIELD II'!$L$6)*LN(J16))+('BLAZE SHIELD II'!$L$7*('CALCULO MORTERO'!I16^2)+'BLAZE SHIELD II'!$L$8*'CALCULO MORTERO'!I16+'BLAZE SHIELD II'!$L$9)),0)+IF(AND(L16="Blaze Shield II",M16="Software Idiem",C16="L"),((('BLAZE SHIELD II'!$L$4*('CALCULO MORTERO'!I16^2)+'BLAZE SHIELD II'!$L$5*'CALCULO MORTERO'!I16+'BLAZE SHIELD II'!$L$6)*LN(J16))+('BLAZE SHIELD II'!$L$7*('CALCULO MORTERO'!I16^2)+'BLAZE SHIELD II'!$L$8*'CALCULO MORTERO'!I16+'BLAZE SHIELD II'!$L$9)),0)+IF(AND(L16="Blaze Shield II",M16="Software Idiem",C16="IN",G16=3),((('BLAZE SHIELD II'!$H$14*('CALCULO MORTERO'!I16^2)+'BLAZE SHIELD II'!$H$15*'CALCULO MORTERO'!I16+'BLAZE SHIELD II'!$H$16)*LN(J16))+('BLAZE SHIELD II'!$H$17*('CALCULO MORTERO'!I16^2)+'BLAZE SHIELD II'!$H$18*'CALCULO MORTERO'!I16+'BLAZE SHIELD II'!$H$19)),0),0)+ROUND(IF(AND(L16="Cafco 400",M16="Software Idiem",C16="IN",G16=4),((('CAFCO 400 '!$H$7*(J16^4)+'CAFCO 400 '!$H$8*(J16^3)+'CAFCO 400 '!$H$9*(J16^2)+'CAFCO 400 '!$H$10*J16+'CAFCO 400 '!$H$11)*U16^2)+(('CAFCO 400 '!$H$12*(J16^3)+'CAFCO 400 '!$H$13*(J16^2)+'CAFCO 400 '!$H$14*J16+'CAFCO 400 '!$H$15)*U16)+('CAFCO 400 '!$H$16*(J16^2)+'CAFCO 400 '!$H$17*J16+'CAFCO 400 '!$H$18)),0)+IF(AND(L16="Cafco 400",M16="Software Idiem",C16="Cj"),(((('CAFCO 400 '!$D$7*LN(J16)+'CAFCO 400 '!$D$8)*U16^2)+(('CAFCO 400 '!$D$9*LN(J16)+'CAFCO 400 '!$D$10)*U16)+('CAFCO 400 '!$D$11*LN(J16)+'CAFCO 400 '!$D$12))),0)+IF(AND(L16="Cafco 400",M16="Software Idiem",C16="C"),((('CAFCO 400 '!$L$7*(J16^3)+'CAFCO 400 '!$L$8*(J16^2)+'CAFCO 400 '!$L$9*J16+'CAFCO 400 '!$L$10)*U16^2)+(('CAFCO 400 '!$L$11*(J16^3)+'CAFCO 400 '!$L$12*(J16^2)+'CAFCO 400 '!$L$13*J16+'CAFCO 400 '!$L$14)*U16)+('CAFCO 400 '!$L$15*LN(J16)+'CAFCO 400 '!$L$16)),0)+IF(AND(L16="Cafco 400",M16="Software Idiem",C16="L"),((('CAFCO 400 '!$L$7*(J16^3)+'CAFCO 400 '!$L$8*(J16^2)+'CAFCO 400 '!$L$9*J16+'CAFCO 400 '!$L$10)*U16^2)+(('CAFCO 400 '!$L$11*(J16^3)+'CAFCO 400 '!$L$12*(J16^2)+'CAFCO 400 '!$L$13*J16+'CAFCO 400 '!$L$14)*U16)+('CAFCO 400 '!$L$15*LN(J16)+'CAFCO 400 '!$L$16)),0)+IF(AND(L16="Cafco 400",M16="Software Idiem",C16="IN",G16=3),((('CAFCO 400 '!$D$23*(J16^2)+'CAFCO 400 '!$D$24*(J16)+'CAFCO 400 '!$D$25)*U16^2)+(('CAFCO 400 '!$D$26*(J16^2)+'CAFCO 400 '!$D$27*J16+'CAFCO 400 '!$D$28)*U16)+('CAFCO 400 '!$D$29*(J16^2)+'CAFCO 400 '!$D$30*J16+'CAFCO 400 '!$D$31)),0),0)+IF(AND(L16="Cafco 300",J16&gt;=95,J16&lt;=240,C16="Cj",I16=90),VLOOKUP(T16,'CAFCO 300 IDIEM TABLAS'!$B$4:$D$23,2,FALSE),0)+IF(AND(L16="Cafco 300",J16&gt;=95,J16&lt;=240,C16="Cj",I16=120),VLOOKUP(T16,'CAFCO 300 IDIEM TABLAS'!$B$4:$D$23,3,FALSE),0)+IF(AND(L16="Cafco 300",J16&gt;=95,J16&lt;=400,G16=3,C16="IN",I16=90),VLOOKUP(T16,'CAFCO 300 IDIEM TABLAS'!$F$4:$H$35,2,FALSE),0)+IF(AND(L16="Cafco 300",J16&gt;=95,J16&lt;=400,G16=3,C16="IN",I16=120),VLOOKUP(T16,'CAFCO 300 IDIEM TABLAS'!$F$4:$H$35,3,FALSE),0)+IF(AND(L16="Cafco 300",J16&gt;=95,J16&lt;=450,G16=4,C16="IN",I16=90),VLOOKUP(T16,'CAFCO 300 IDIEM TABLAS'!$J$4:$L$40,2,FALSE),0)+IF(AND(L16="Cafco 300",J16&gt;=95,J16&lt;=450,G16=4,C16="IN",I16=120),VLOOKUP(T16,'CAFCO 300 IDIEM TABLAS'!$J$4:$L$40,3,FALSE),0)+IF(AND(M16="Ensayo Idiem",L16="Cafco 400",C16="IN",G16=4,I16=90),VLOOKUP(T16,'CAFCO 400 ENSAYO'!$B$7:$D$43,2,FALSE),0)+IF(AND(M16="Ensayo Idiem",L16="Cafco 400",C16="IN",G16=4,I16=120),VLOOKUP(T16,'CAFCO 400 ENSAYO'!$B$7:$D$43,3,FALSE),0)</f>
        <v>0</v>
      </c>
      <c r="O16" s="96">
        <f t="shared" si="1"/>
        <v>0</v>
      </c>
      <c r="P16" s="95" t="str">
        <f t="shared" si="2"/>
        <v>CERT.</v>
      </c>
      <c r="Q16" s="95" t="str">
        <f t="shared" si="3"/>
        <v>CERT.</v>
      </c>
      <c r="R16" s="95" t="str">
        <f t="shared" si="4"/>
        <v>NO CERT.</v>
      </c>
      <c r="S16" s="95" t="str">
        <f t="shared" si="0"/>
        <v>NO CERT.</v>
      </c>
      <c r="T16" s="119">
        <f>+IF(J16=LOOKUP(J16,'CAFCO 300 IDIEM TABLAS'!$J$4:$J$40),'CALCULO MORTERO'!J16,MROUND('CALCULO MORTERO'!J16,10))</f>
        <v>240</v>
      </c>
      <c r="U16" s="118" t="e">
        <f t="shared" si="5"/>
        <v>#VALUE!</v>
      </c>
      <c r="Y16" s="4"/>
      <c r="Z16" s="4"/>
      <c r="AA16" s="4"/>
    </row>
    <row r="17" spans="1:27" x14ac:dyDescent="0.25">
      <c r="A17" s="118" t="str">
        <f>+CUBICACION!D16</f>
        <v>PILAR</v>
      </c>
      <c r="B17" s="819" t="str">
        <f>+CUBICACION!E16</f>
        <v>MM 400X200X4</v>
      </c>
      <c r="C17" s="675" t="str">
        <f>+CUBICACION!F16</f>
        <v>CJ</v>
      </c>
      <c r="D17" s="118"/>
      <c r="E17" s="118"/>
      <c r="F17" s="820"/>
      <c r="G17" s="675">
        <f>+CUBICACION!J16</f>
        <v>4</v>
      </c>
      <c r="H17" s="118"/>
      <c r="I17" s="821" t="str">
        <f>+CUBICACION!L16</f>
        <v>F-60</v>
      </c>
      <c r="J17" s="64">
        <f>+CUBICACION!M16</f>
        <v>236</v>
      </c>
      <c r="K17" s="822">
        <f>+CUBICACION!N16</f>
        <v>72</v>
      </c>
      <c r="L17" s="118" t="str">
        <f>+CUBICACION!O16</f>
        <v>Fire Tex 5090</v>
      </c>
      <c r="M17" s="823" t="str">
        <f>+CUBICACION!P16</f>
        <v>Software Idiem</v>
      </c>
      <c r="N17" s="902">
        <f>ROUND(IF(AND(L17="Blaze Shield II",M17="Software Idiem",C17="IN",G17=4),((('BLAZE SHIELD II'!$D$4*('CALCULO MORTERO'!I17^2)+'BLAZE SHIELD II'!$D$5*'CALCULO MORTERO'!I17+'BLAZE SHIELD II'!$D$6)*LN(J17))+('BLAZE SHIELD II'!$D$7*('CALCULO MORTERO'!I17^2)+'BLAZE SHIELD II'!$D$8*'CALCULO MORTERO'!I17+'BLAZE SHIELD II'!$D$9)),0)+IF(AND(L17="Blaze Shield II",M17="Software Idiem",C17="Cj"),((('BLAZE SHIELD II'!$H$4*('CALCULO MORTERO'!I17^2)+'BLAZE SHIELD II'!$H$5*'CALCULO MORTERO'!I17+'BLAZE SHIELD II'!$H$6)*LN(J17))+('BLAZE SHIELD II'!$H$7*('CALCULO MORTERO'!I17^2)+'BLAZE SHIELD II'!$H$8*'CALCULO MORTERO'!I17+'BLAZE SHIELD II'!$H$9)),0)+IF(AND(L17="Blaze Shield II",M17="Software Idiem",C17="C"),((('BLAZE SHIELD II'!$L$4*('CALCULO MORTERO'!I17^2)+'BLAZE SHIELD II'!$L$5*'CALCULO MORTERO'!I17+'BLAZE SHIELD II'!$L$6)*LN(J17))+('BLAZE SHIELD II'!$L$7*('CALCULO MORTERO'!I17^2)+'BLAZE SHIELD II'!$L$8*'CALCULO MORTERO'!I17+'BLAZE SHIELD II'!$L$9)),0)+IF(AND(L17="Blaze Shield II",M17="Software Idiem",C17="L"),((('BLAZE SHIELD II'!$L$4*('CALCULO MORTERO'!I17^2)+'BLAZE SHIELD II'!$L$5*'CALCULO MORTERO'!I17+'BLAZE SHIELD II'!$L$6)*LN(J17))+('BLAZE SHIELD II'!$L$7*('CALCULO MORTERO'!I17^2)+'BLAZE SHIELD II'!$L$8*'CALCULO MORTERO'!I17+'BLAZE SHIELD II'!$L$9)),0)+IF(AND(L17="Blaze Shield II",M17="Software Idiem",C17="IN",G17=3),((('BLAZE SHIELD II'!$H$14*('CALCULO MORTERO'!I17^2)+'BLAZE SHIELD II'!$H$15*'CALCULO MORTERO'!I17+'BLAZE SHIELD II'!$H$16)*LN(J17))+('BLAZE SHIELD II'!$H$17*('CALCULO MORTERO'!I17^2)+'BLAZE SHIELD II'!$H$18*'CALCULO MORTERO'!I17+'BLAZE SHIELD II'!$H$19)),0),0)+ROUND(IF(AND(L17="Cafco 400",M17="Software Idiem",C17="IN",G17=4),((('CAFCO 400 '!$H$7*(J17^4)+'CAFCO 400 '!$H$8*(J17^3)+'CAFCO 400 '!$H$9*(J17^2)+'CAFCO 400 '!$H$10*J17+'CAFCO 400 '!$H$11)*U17^2)+(('CAFCO 400 '!$H$12*(J17^3)+'CAFCO 400 '!$H$13*(J17^2)+'CAFCO 400 '!$H$14*J17+'CAFCO 400 '!$H$15)*U17)+('CAFCO 400 '!$H$16*(J17^2)+'CAFCO 400 '!$H$17*J17+'CAFCO 400 '!$H$18)),0)+IF(AND(L17="Cafco 400",M17="Software Idiem",C17="Cj"),(((('CAFCO 400 '!$D$7*LN(J17)+'CAFCO 400 '!$D$8)*U17^2)+(('CAFCO 400 '!$D$9*LN(J17)+'CAFCO 400 '!$D$10)*U17)+('CAFCO 400 '!$D$11*LN(J17)+'CAFCO 400 '!$D$12))),0)+IF(AND(L17="Cafco 400",M17="Software Idiem",C17="C"),((('CAFCO 400 '!$L$7*(J17^3)+'CAFCO 400 '!$L$8*(J17^2)+'CAFCO 400 '!$L$9*J17+'CAFCO 400 '!$L$10)*U17^2)+(('CAFCO 400 '!$L$11*(J17^3)+'CAFCO 400 '!$L$12*(J17^2)+'CAFCO 400 '!$L$13*J17+'CAFCO 400 '!$L$14)*U17)+('CAFCO 400 '!$L$15*LN(J17)+'CAFCO 400 '!$L$16)),0)+IF(AND(L17="Cafco 400",M17="Software Idiem",C17="L"),((('CAFCO 400 '!$L$7*(J17^3)+'CAFCO 400 '!$L$8*(J17^2)+'CAFCO 400 '!$L$9*J17+'CAFCO 400 '!$L$10)*U17^2)+(('CAFCO 400 '!$L$11*(J17^3)+'CAFCO 400 '!$L$12*(J17^2)+'CAFCO 400 '!$L$13*J17+'CAFCO 400 '!$L$14)*U17)+('CAFCO 400 '!$L$15*LN(J17)+'CAFCO 400 '!$L$16)),0)+IF(AND(L17="Cafco 400",M17="Software Idiem",C17="IN",G17=3),((('CAFCO 400 '!$D$23*(J17^2)+'CAFCO 400 '!$D$24*(J17)+'CAFCO 400 '!$D$25)*U17^2)+(('CAFCO 400 '!$D$26*(J17^2)+'CAFCO 400 '!$D$27*J17+'CAFCO 400 '!$D$28)*U17)+('CAFCO 400 '!$D$29*(J17^2)+'CAFCO 400 '!$D$30*J17+'CAFCO 400 '!$D$31)),0),0)+IF(AND(L17="Cafco 300",J17&gt;=95,J17&lt;=240,C17="Cj",I17=90),VLOOKUP(T17,'CAFCO 300 IDIEM TABLAS'!$B$4:$D$23,2,FALSE),0)+IF(AND(L17="Cafco 300",J17&gt;=95,J17&lt;=240,C17="Cj",I17=120),VLOOKUP(T17,'CAFCO 300 IDIEM TABLAS'!$B$4:$D$23,3,FALSE),0)+IF(AND(L17="Cafco 300",J17&gt;=95,J17&lt;=400,G17=3,C17="IN",I17=90),VLOOKUP(T17,'CAFCO 300 IDIEM TABLAS'!$F$4:$H$35,2,FALSE),0)+IF(AND(L17="Cafco 300",J17&gt;=95,J17&lt;=400,G17=3,C17="IN",I17=120),VLOOKUP(T17,'CAFCO 300 IDIEM TABLAS'!$F$4:$H$35,3,FALSE),0)+IF(AND(L17="Cafco 300",J17&gt;=95,J17&lt;=450,G17=4,C17="IN",I17=90),VLOOKUP(T17,'CAFCO 300 IDIEM TABLAS'!$J$4:$L$40,2,FALSE),0)+IF(AND(L17="Cafco 300",J17&gt;=95,J17&lt;=450,G17=4,C17="IN",I17=120),VLOOKUP(T17,'CAFCO 300 IDIEM TABLAS'!$J$4:$L$40,3,FALSE),0)+IF(AND(M17="Ensayo Idiem",L17="Cafco 400",C17="IN",G17=4,I17=90),VLOOKUP(T17,'CAFCO 400 ENSAYO'!$B$7:$D$43,2,FALSE),0)+IF(AND(M17="Ensayo Idiem",L17="Cafco 400",C17="IN",G17=4,I17=120),VLOOKUP(T17,'CAFCO 400 ENSAYO'!$B$7:$D$43,3,FALSE),0)</f>
        <v>0</v>
      </c>
      <c r="O17" s="96">
        <f t="shared" si="1"/>
        <v>0</v>
      </c>
      <c r="P17" s="95" t="str">
        <f t="shared" si="2"/>
        <v>CERT.</v>
      </c>
      <c r="Q17" s="95" t="str">
        <f t="shared" si="3"/>
        <v>CERT.</v>
      </c>
      <c r="R17" s="95" t="str">
        <f t="shared" si="4"/>
        <v>NO CERT.</v>
      </c>
      <c r="S17" s="95" t="str">
        <f t="shared" si="0"/>
        <v>NO CERT.</v>
      </c>
      <c r="T17" s="119">
        <f>+IF(J17=LOOKUP(J17,'CAFCO 300 IDIEM TABLAS'!$J$4:$J$40),'CALCULO MORTERO'!J17,MROUND('CALCULO MORTERO'!J17,10))</f>
        <v>240</v>
      </c>
      <c r="U17" s="118" t="e">
        <f t="shared" si="5"/>
        <v>#VALUE!</v>
      </c>
      <c r="Y17" s="4"/>
      <c r="Z17" s="4"/>
      <c r="AA17" s="4"/>
    </row>
    <row r="18" spans="1:27" ht="15.6" customHeight="1" x14ac:dyDescent="0.25">
      <c r="A18" s="118" t="str">
        <f>+CUBICACION!D17</f>
        <v>PILAR</v>
      </c>
      <c r="B18" s="819" t="str">
        <f>+CUBICACION!E17</f>
        <v>150X150X5</v>
      </c>
      <c r="C18" s="675" t="str">
        <f>+CUBICACION!F17</f>
        <v>CJ</v>
      </c>
      <c r="D18" s="118"/>
      <c r="E18" s="118"/>
      <c r="F18" s="820"/>
      <c r="G18" s="675">
        <f>+CUBICACION!J17</f>
        <v>4</v>
      </c>
      <c r="H18" s="118"/>
      <c r="I18" s="821" t="str">
        <f>+CUBICACION!L17</f>
        <v>F-60</v>
      </c>
      <c r="J18" s="64">
        <f>+CUBICACION!M17</f>
        <v>200</v>
      </c>
      <c r="K18" s="822">
        <f>+CUBICACION!N17</f>
        <v>4.8</v>
      </c>
      <c r="L18" s="118" t="str">
        <f>+CUBICACION!O17</f>
        <v>Fire Tex 5090</v>
      </c>
      <c r="M18" s="823" t="str">
        <f>+CUBICACION!P17</f>
        <v>Software Idiem</v>
      </c>
      <c r="N18" s="902">
        <f>ROUND(IF(AND(L18="Blaze Shield II",M18="Software Idiem",C18="IN",G18=4),((('BLAZE SHIELD II'!$D$4*('CALCULO MORTERO'!I18^2)+'BLAZE SHIELD II'!$D$5*'CALCULO MORTERO'!I18+'BLAZE SHIELD II'!$D$6)*LN(J18))+('BLAZE SHIELD II'!$D$7*('CALCULO MORTERO'!I18^2)+'BLAZE SHIELD II'!$D$8*'CALCULO MORTERO'!I18+'BLAZE SHIELD II'!$D$9)),0)+IF(AND(L18="Blaze Shield II",M18="Software Idiem",C18="Cj"),((('BLAZE SHIELD II'!$H$4*('CALCULO MORTERO'!I18^2)+'BLAZE SHIELD II'!$H$5*'CALCULO MORTERO'!I18+'BLAZE SHIELD II'!$H$6)*LN(J18))+('BLAZE SHIELD II'!$H$7*('CALCULO MORTERO'!I18^2)+'BLAZE SHIELD II'!$H$8*'CALCULO MORTERO'!I18+'BLAZE SHIELD II'!$H$9)),0)+IF(AND(L18="Blaze Shield II",M18="Software Idiem",C18="C"),((('BLAZE SHIELD II'!$L$4*('CALCULO MORTERO'!I18^2)+'BLAZE SHIELD II'!$L$5*'CALCULO MORTERO'!I18+'BLAZE SHIELD II'!$L$6)*LN(J18))+('BLAZE SHIELD II'!$L$7*('CALCULO MORTERO'!I18^2)+'BLAZE SHIELD II'!$L$8*'CALCULO MORTERO'!I18+'BLAZE SHIELD II'!$L$9)),0)+IF(AND(L18="Blaze Shield II",M18="Software Idiem",C18="L"),((('BLAZE SHIELD II'!$L$4*('CALCULO MORTERO'!I18^2)+'BLAZE SHIELD II'!$L$5*'CALCULO MORTERO'!I18+'BLAZE SHIELD II'!$L$6)*LN(J18))+('BLAZE SHIELD II'!$L$7*('CALCULO MORTERO'!I18^2)+'BLAZE SHIELD II'!$L$8*'CALCULO MORTERO'!I18+'BLAZE SHIELD II'!$L$9)),0)+IF(AND(L18="Blaze Shield II",M18="Software Idiem",C18="IN",G18=3),((('BLAZE SHIELD II'!$H$14*('CALCULO MORTERO'!I18^2)+'BLAZE SHIELD II'!$H$15*'CALCULO MORTERO'!I18+'BLAZE SHIELD II'!$H$16)*LN(J18))+('BLAZE SHIELD II'!$H$17*('CALCULO MORTERO'!I18^2)+'BLAZE SHIELD II'!$H$18*'CALCULO MORTERO'!I18+'BLAZE SHIELD II'!$H$19)),0),0)+ROUND(IF(AND(L18="Cafco 400",M18="Software Idiem",C18="IN",G18=4),((('CAFCO 400 '!$H$7*(J18^4)+'CAFCO 400 '!$H$8*(J18^3)+'CAFCO 400 '!$H$9*(J18^2)+'CAFCO 400 '!$H$10*J18+'CAFCO 400 '!$H$11)*U18^2)+(('CAFCO 400 '!$H$12*(J18^3)+'CAFCO 400 '!$H$13*(J18^2)+'CAFCO 400 '!$H$14*J18+'CAFCO 400 '!$H$15)*U18)+('CAFCO 400 '!$H$16*(J18^2)+'CAFCO 400 '!$H$17*J18+'CAFCO 400 '!$H$18)),0)+IF(AND(L18="Cafco 400",M18="Software Idiem",C18="Cj"),(((('CAFCO 400 '!$D$7*LN(J18)+'CAFCO 400 '!$D$8)*U18^2)+(('CAFCO 400 '!$D$9*LN(J18)+'CAFCO 400 '!$D$10)*U18)+('CAFCO 400 '!$D$11*LN(J18)+'CAFCO 400 '!$D$12))),0)+IF(AND(L18="Cafco 400",M18="Software Idiem",C18="C"),((('CAFCO 400 '!$L$7*(J18^3)+'CAFCO 400 '!$L$8*(J18^2)+'CAFCO 400 '!$L$9*J18+'CAFCO 400 '!$L$10)*U18^2)+(('CAFCO 400 '!$L$11*(J18^3)+'CAFCO 400 '!$L$12*(J18^2)+'CAFCO 400 '!$L$13*J18+'CAFCO 400 '!$L$14)*U18)+('CAFCO 400 '!$L$15*LN(J18)+'CAFCO 400 '!$L$16)),0)+IF(AND(L18="Cafco 400",M18="Software Idiem",C18="L"),((('CAFCO 400 '!$L$7*(J18^3)+'CAFCO 400 '!$L$8*(J18^2)+'CAFCO 400 '!$L$9*J18+'CAFCO 400 '!$L$10)*U18^2)+(('CAFCO 400 '!$L$11*(J18^3)+'CAFCO 400 '!$L$12*(J18^2)+'CAFCO 400 '!$L$13*J18+'CAFCO 400 '!$L$14)*U18)+('CAFCO 400 '!$L$15*LN(J18)+'CAFCO 400 '!$L$16)),0)+IF(AND(L18="Cafco 400",M18="Software Idiem",C18="IN",G18=3),((('CAFCO 400 '!$D$23*(J18^2)+'CAFCO 400 '!$D$24*(J18)+'CAFCO 400 '!$D$25)*U18^2)+(('CAFCO 400 '!$D$26*(J18^2)+'CAFCO 400 '!$D$27*J18+'CAFCO 400 '!$D$28)*U18)+('CAFCO 400 '!$D$29*(J18^2)+'CAFCO 400 '!$D$30*J18+'CAFCO 400 '!$D$31)),0),0)+IF(AND(L18="Cafco 300",J18&gt;=95,J18&lt;=240,C18="Cj",I18=90),VLOOKUP(T18,'CAFCO 300 IDIEM TABLAS'!$B$4:$D$23,2,FALSE),0)+IF(AND(L18="Cafco 300",J18&gt;=95,J18&lt;=240,C18="Cj",I18=120),VLOOKUP(T18,'CAFCO 300 IDIEM TABLAS'!$B$4:$D$23,3,FALSE),0)+IF(AND(L18="Cafco 300",J18&gt;=95,J18&lt;=400,G18=3,C18="IN",I18=90),VLOOKUP(T18,'CAFCO 300 IDIEM TABLAS'!$F$4:$H$35,2,FALSE),0)+IF(AND(L18="Cafco 300",J18&gt;=95,J18&lt;=400,G18=3,C18="IN",I18=120),VLOOKUP(T18,'CAFCO 300 IDIEM TABLAS'!$F$4:$H$35,3,FALSE),0)+IF(AND(L18="Cafco 300",J18&gt;=95,J18&lt;=450,G18=4,C18="IN",I18=90),VLOOKUP(T18,'CAFCO 300 IDIEM TABLAS'!$J$4:$L$40,2,FALSE),0)+IF(AND(L18="Cafco 300",J18&gt;=95,J18&lt;=450,G18=4,C18="IN",I18=120),VLOOKUP(T18,'CAFCO 300 IDIEM TABLAS'!$J$4:$L$40,3,FALSE),0)+IF(AND(M18="Ensayo Idiem",L18="Cafco 400",C18="IN",G18=4,I18=90),VLOOKUP(T18,'CAFCO 400 ENSAYO'!$B$7:$D$43,2,FALSE),0)+IF(AND(M18="Ensayo Idiem",L18="Cafco 400",C18="IN",G18=4,I18=120),VLOOKUP(T18,'CAFCO 400 ENSAYO'!$B$7:$D$43,3,FALSE),0)</f>
        <v>0</v>
      </c>
      <c r="O18" s="96">
        <f t="shared" si="1"/>
        <v>0</v>
      </c>
      <c r="P18" s="95" t="str">
        <f t="shared" si="2"/>
        <v>CERT.</v>
      </c>
      <c r="Q18" s="95" t="str">
        <f t="shared" si="3"/>
        <v>CERT.</v>
      </c>
      <c r="R18" s="95" t="str">
        <f t="shared" si="4"/>
        <v>NO CERT.</v>
      </c>
      <c r="S18" s="95" t="str">
        <f t="shared" si="0"/>
        <v>NO CERT.</v>
      </c>
      <c r="T18" s="119">
        <f>+IF(J18=LOOKUP(J18,'CAFCO 300 IDIEM TABLAS'!$J$4:$J$40),'CALCULO MORTERO'!J18,MROUND('CALCULO MORTERO'!J18,10))</f>
        <v>200</v>
      </c>
      <c r="U18" s="118" t="e">
        <f t="shared" si="5"/>
        <v>#VALUE!</v>
      </c>
      <c r="Y18" s="4"/>
      <c r="Z18" s="4"/>
      <c r="AA18" s="4"/>
    </row>
    <row r="19" spans="1:27" x14ac:dyDescent="0.25">
      <c r="A19" s="118" t="str">
        <f>+CUBICACION!D18</f>
        <v>PILAR</v>
      </c>
      <c r="B19" s="819" t="str">
        <f>+CUBICACION!E18</f>
        <v>200X100X3</v>
      </c>
      <c r="C19" s="675" t="str">
        <f>+CUBICACION!F18</f>
        <v>CJ</v>
      </c>
      <c r="D19" s="118"/>
      <c r="E19" s="118"/>
      <c r="F19" s="820"/>
      <c r="G19" s="675">
        <f>+CUBICACION!J18</f>
        <v>4</v>
      </c>
      <c r="H19" s="118"/>
      <c r="I19" s="821" t="str">
        <f>+CUBICACION!L18</f>
        <v>F-60</v>
      </c>
      <c r="J19" s="64">
        <f>+CUBICACION!M18</f>
        <v>333</v>
      </c>
      <c r="K19" s="822">
        <f>+CUBICACION!N18</f>
        <v>3.72</v>
      </c>
      <c r="L19" s="118" t="str">
        <f>+CUBICACION!O18</f>
        <v>Fire Tex 5090</v>
      </c>
      <c r="M19" s="823" t="str">
        <f>+CUBICACION!P18</f>
        <v>Software Idiem</v>
      </c>
      <c r="N19" s="902">
        <f>ROUND(IF(AND(L19="Blaze Shield II",M19="Software Idiem",C19="IN",G19=4),((('BLAZE SHIELD II'!$D$4*('CALCULO MORTERO'!I19^2)+'BLAZE SHIELD II'!$D$5*'CALCULO MORTERO'!I19+'BLAZE SHIELD II'!$D$6)*LN(J19))+('BLAZE SHIELD II'!$D$7*('CALCULO MORTERO'!I19^2)+'BLAZE SHIELD II'!$D$8*'CALCULO MORTERO'!I19+'BLAZE SHIELD II'!$D$9)),0)+IF(AND(L19="Blaze Shield II",M19="Software Idiem",C19="Cj"),((('BLAZE SHIELD II'!$H$4*('CALCULO MORTERO'!I19^2)+'BLAZE SHIELD II'!$H$5*'CALCULO MORTERO'!I19+'BLAZE SHIELD II'!$H$6)*LN(J19))+('BLAZE SHIELD II'!$H$7*('CALCULO MORTERO'!I19^2)+'BLAZE SHIELD II'!$H$8*'CALCULO MORTERO'!I19+'BLAZE SHIELD II'!$H$9)),0)+IF(AND(L19="Blaze Shield II",M19="Software Idiem",C19="C"),((('BLAZE SHIELD II'!$L$4*('CALCULO MORTERO'!I19^2)+'BLAZE SHIELD II'!$L$5*'CALCULO MORTERO'!I19+'BLAZE SHIELD II'!$L$6)*LN(J19))+('BLAZE SHIELD II'!$L$7*('CALCULO MORTERO'!I19^2)+'BLAZE SHIELD II'!$L$8*'CALCULO MORTERO'!I19+'BLAZE SHIELD II'!$L$9)),0)+IF(AND(L19="Blaze Shield II",M19="Software Idiem",C19="L"),((('BLAZE SHIELD II'!$L$4*('CALCULO MORTERO'!I19^2)+'BLAZE SHIELD II'!$L$5*'CALCULO MORTERO'!I19+'BLAZE SHIELD II'!$L$6)*LN(J19))+('BLAZE SHIELD II'!$L$7*('CALCULO MORTERO'!I19^2)+'BLAZE SHIELD II'!$L$8*'CALCULO MORTERO'!I19+'BLAZE SHIELD II'!$L$9)),0)+IF(AND(L19="Blaze Shield II",M19="Software Idiem",C19="IN",G19=3),((('BLAZE SHIELD II'!$H$14*('CALCULO MORTERO'!I19^2)+'BLAZE SHIELD II'!$H$15*'CALCULO MORTERO'!I19+'BLAZE SHIELD II'!$H$16)*LN(J19))+('BLAZE SHIELD II'!$H$17*('CALCULO MORTERO'!I19^2)+'BLAZE SHIELD II'!$H$18*'CALCULO MORTERO'!I19+'BLAZE SHIELD II'!$H$19)),0),0)+ROUND(IF(AND(L19="Cafco 400",M19="Software Idiem",C19="IN",G19=4),((('CAFCO 400 '!$H$7*(J19^4)+'CAFCO 400 '!$H$8*(J19^3)+'CAFCO 400 '!$H$9*(J19^2)+'CAFCO 400 '!$H$10*J19+'CAFCO 400 '!$H$11)*U19^2)+(('CAFCO 400 '!$H$12*(J19^3)+'CAFCO 400 '!$H$13*(J19^2)+'CAFCO 400 '!$H$14*J19+'CAFCO 400 '!$H$15)*U19)+('CAFCO 400 '!$H$16*(J19^2)+'CAFCO 400 '!$H$17*J19+'CAFCO 400 '!$H$18)),0)+IF(AND(L19="Cafco 400",M19="Software Idiem",C19="Cj"),(((('CAFCO 400 '!$D$7*LN(J19)+'CAFCO 400 '!$D$8)*U19^2)+(('CAFCO 400 '!$D$9*LN(J19)+'CAFCO 400 '!$D$10)*U19)+('CAFCO 400 '!$D$11*LN(J19)+'CAFCO 400 '!$D$12))),0)+IF(AND(L19="Cafco 400",M19="Software Idiem",C19="C"),((('CAFCO 400 '!$L$7*(J19^3)+'CAFCO 400 '!$L$8*(J19^2)+'CAFCO 400 '!$L$9*J19+'CAFCO 400 '!$L$10)*U19^2)+(('CAFCO 400 '!$L$11*(J19^3)+'CAFCO 400 '!$L$12*(J19^2)+'CAFCO 400 '!$L$13*J19+'CAFCO 400 '!$L$14)*U19)+('CAFCO 400 '!$L$15*LN(J19)+'CAFCO 400 '!$L$16)),0)+IF(AND(L19="Cafco 400",M19="Software Idiem",C19="L"),((('CAFCO 400 '!$L$7*(J19^3)+'CAFCO 400 '!$L$8*(J19^2)+'CAFCO 400 '!$L$9*J19+'CAFCO 400 '!$L$10)*U19^2)+(('CAFCO 400 '!$L$11*(J19^3)+'CAFCO 400 '!$L$12*(J19^2)+'CAFCO 400 '!$L$13*J19+'CAFCO 400 '!$L$14)*U19)+('CAFCO 400 '!$L$15*LN(J19)+'CAFCO 400 '!$L$16)),0)+IF(AND(L19="Cafco 400",M19="Software Idiem",C19="IN",G19=3),((('CAFCO 400 '!$D$23*(J19^2)+'CAFCO 400 '!$D$24*(J19)+'CAFCO 400 '!$D$25)*U19^2)+(('CAFCO 400 '!$D$26*(J19^2)+'CAFCO 400 '!$D$27*J19+'CAFCO 400 '!$D$28)*U19)+('CAFCO 400 '!$D$29*(J19^2)+'CAFCO 400 '!$D$30*J19+'CAFCO 400 '!$D$31)),0),0)+IF(AND(L19="Cafco 300",J19&gt;=95,J19&lt;=240,C19="Cj",I19=90),VLOOKUP(T19,'CAFCO 300 IDIEM TABLAS'!$B$4:$D$23,2,FALSE),0)+IF(AND(L19="Cafco 300",J19&gt;=95,J19&lt;=240,C19="Cj",I19=120),VLOOKUP(T19,'CAFCO 300 IDIEM TABLAS'!$B$4:$D$23,3,FALSE),0)+IF(AND(L19="Cafco 300",J19&gt;=95,J19&lt;=400,G19=3,C19="IN",I19=90),VLOOKUP(T19,'CAFCO 300 IDIEM TABLAS'!$F$4:$H$35,2,FALSE),0)+IF(AND(L19="Cafco 300",J19&gt;=95,J19&lt;=400,G19=3,C19="IN",I19=120),VLOOKUP(T19,'CAFCO 300 IDIEM TABLAS'!$F$4:$H$35,3,FALSE),0)+IF(AND(L19="Cafco 300",J19&gt;=95,J19&lt;=450,G19=4,C19="IN",I19=90),VLOOKUP(T19,'CAFCO 300 IDIEM TABLAS'!$J$4:$L$40,2,FALSE),0)+IF(AND(L19="Cafco 300",J19&gt;=95,J19&lt;=450,G19=4,C19="IN",I19=120),VLOOKUP(T19,'CAFCO 300 IDIEM TABLAS'!$J$4:$L$40,3,FALSE),0)+IF(AND(M19="Ensayo Idiem",L19="Cafco 400",C19="IN",G19=4,I19=90),VLOOKUP(T19,'CAFCO 400 ENSAYO'!$B$7:$D$43,2,FALSE),0)+IF(AND(M19="Ensayo Idiem",L19="Cafco 400",C19="IN",G19=4,I19=120),VLOOKUP(T19,'CAFCO 400 ENSAYO'!$B$7:$D$43,3,FALSE),0)</f>
        <v>0</v>
      </c>
      <c r="O19" s="96">
        <f t="shared" si="1"/>
        <v>0</v>
      </c>
      <c r="P19" s="95" t="str">
        <f t="shared" si="2"/>
        <v>CERT.</v>
      </c>
      <c r="Q19" s="95" t="str">
        <f t="shared" si="3"/>
        <v>CERT.</v>
      </c>
      <c r="R19" s="95" t="str">
        <f t="shared" si="4"/>
        <v>NO CERT.</v>
      </c>
      <c r="S19" s="95" t="str">
        <f t="shared" si="0"/>
        <v>NO CERT.</v>
      </c>
      <c r="T19" s="119">
        <f>+IF(J19=LOOKUP(J19,'CAFCO 300 IDIEM TABLAS'!$J$4:$J$40),'CALCULO MORTERO'!J19,MROUND('CALCULO MORTERO'!J19,10))</f>
        <v>330</v>
      </c>
      <c r="U19" s="118" t="e">
        <f t="shared" si="5"/>
        <v>#VALUE!</v>
      </c>
      <c r="Y19" s="4"/>
      <c r="Z19" s="4"/>
      <c r="AA19" s="4"/>
    </row>
    <row r="20" spans="1:27" ht="15.6" customHeight="1" x14ac:dyDescent="0.25">
      <c r="A20" s="118" t="str">
        <f>+CUBICACION!D19</f>
        <v>PUNTAL</v>
      </c>
      <c r="B20" s="819" t="str">
        <f>+CUBICACION!E19</f>
        <v>100X100X3</v>
      </c>
      <c r="C20" s="675" t="str">
        <f>+CUBICACION!F19</f>
        <v>CJ</v>
      </c>
      <c r="D20" s="118"/>
      <c r="E20" s="118"/>
      <c r="F20" s="820"/>
      <c r="G20" s="675">
        <f>+CUBICACION!J19</f>
        <v>4</v>
      </c>
      <c r="H20" s="118"/>
      <c r="I20" s="821" t="str">
        <f>+CUBICACION!L19</f>
        <v>F-60</v>
      </c>
      <c r="J20" s="64">
        <f>+CUBICACION!M19</f>
        <v>333</v>
      </c>
      <c r="K20" s="822">
        <f>+CUBICACION!N19</f>
        <v>27.28</v>
      </c>
      <c r="L20" s="118" t="str">
        <f>+CUBICACION!O19</f>
        <v>Fire Tex 5090</v>
      </c>
      <c r="M20" s="823" t="str">
        <f>+CUBICACION!P19</f>
        <v>Software Idiem</v>
      </c>
      <c r="N20" s="902">
        <f>ROUND(IF(AND(L20="Blaze Shield II",M20="Software Idiem",C20="IN",G20=4),((('BLAZE SHIELD II'!$D$4*('CALCULO MORTERO'!I20^2)+'BLAZE SHIELD II'!$D$5*'CALCULO MORTERO'!I20+'BLAZE SHIELD II'!$D$6)*LN(J20))+('BLAZE SHIELD II'!$D$7*('CALCULO MORTERO'!I20^2)+'BLAZE SHIELD II'!$D$8*'CALCULO MORTERO'!I20+'BLAZE SHIELD II'!$D$9)),0)+IF(AND(L20="Blaze Shield II",M20="Software Idiem",C20="Cj"),((('BLAZE SHIELD II'!$H$4*('CALCULO MORTERO'!I20^2)+'BLAZE SHIELD II'!$H$5*'CALCULO MORTERO'!I20+'BLAZE SHIELD II'!$H$6)*LN(J20))+('BLAZE SHIELD II'!$H$7*('CALCULO MORTERO'!I20^2)+'BLAZE SHIELD II'!$H$8*'CALCULO MORTERO'!I20+'BLAZE SHIELD II'!$H$9)),0)+IF(AND(L20="Blaze Shield II",M20="Software Idiem",C20="C"),((('BLAZE SHIELD II'!$L$4*('CALCULO MORTERO'!I20^2)+'BLAZE SHIELD II'!$L$5*'CALCULO MORTERO'!I20+'BLAZE SHIELD II'!$L$6)*LN(J20))+('BLAZE SHIELD II'!$L$7*('CALCULO MORTERO'!I20^2)+'BLAZE SHIELD II'!$L$8*'CALCULO MORTERO'!I20+'BLAZE SHIELD II'!$L$9)),0)+IF(AND(L20="Blaze Shield II",M20="Software Idiem",C20="L"),((('BLAZE SHIELD II'!$L$4*('CALCULO MORTERO'!I20^2)+'BLAZE SHIELD II'!$L$5*'CALCULO MORTERO'!I20+'BLAZE SHIELD II'!$L$6)*LN(J20))+('BLAZE SHIELD II'!$L$7*('CALCULO MORTERO'!I20^2)+'BLAZE SHIELD II'!$L$8*'CALCULO MORTERO'!I20+'BLAZE SHIELD II'!$L$9)),0)+IF(AND(L20="Blaze Shield II",M20="Software Idiem",C20="IN",G20=3),((('BLAZE SHIELD II'!$H$14*('CALCULO MORTERO'!I20^2)+'BLAZE SHIELD II'!$H$15*'CALCULO MORTERO'!I20+'BLAZE SHIELD II'!$H$16)*LN(J20))+('BLAZE SHIELD II'!$H$17*('CALCULO MORTERO'!I20^2)+'BLAZE SHIELD II'!$H$18*'CALCULO MORTERO'!I20+'BLAZE SHIELD II'!$H$19)),0),0)+ROUND(IF(AND(L20="Cafco 400",M20="Software Idiem",C20="IN",G20=4),((('CAFCO 400 '!$H$7*(J20^4)+'CAFCO 400 '!$H$8*(J20^3)+'CAFCO 400 '!$H$9*(J20^2)+'CAFCO 400 '!$H$10*J20+'CAFCO 400 '!$H$11)*U20^2)+(('CAFCO 400 '!$H$12*(J20^3)+'CAFCO 400 '!$H$13*(J20^2)+'CAFCO 400 '!$H$14*J20+'CAFCO 400 '!$H$15)*U20)+('CAFCO 400 '!$H$16*(J20^2)+'CAFCO 400 '!$H$17*J20+'CAFCO 400 '!$H$18)),0)+IF(AND(L20="Cafco 400",M20="Software Idiem",C20="Cj"),(((('CAFCO 400 '!$D$7*LN(J20)+'CAFCO 400 '!$D$8)*U20^2)+(('CAFCO 400 '!$D$9*LN(J20)+'CAFCO 400 '!$D$10)*U20)+('CAFCO 400 '!$D$11*LN(J20)+'CAFCO 400 '!$D$12))),0)+IF(AND(L20="Cafco 400",M20="Software Idiem",C20="C"),((('CAFCO 400 '!$L$7*(J20^3)+'CAFCO 400 '!$L$8*(J20^2)+'CAFCO 400 '!$L$9*J20+'CAFCO 400 '!$L$10)*U20^2)+(('CAFCO 400 '!$L$11*(J20^3)+'CAFCO 400 '!$L$12*(J20^2)+'CAFCO 400 '!$L$13*J20+'CAFCO 400 '!$L$14)*U20)+('CAFCO 400 '!$L$15*LN(J20)+'CAFCO 400 '!$L$16)),0)+IF(AND(L20="Cafco 400",M20="Software Idiem",C20="L"),((('CAFCO 400 '!$L$7*(J20^3)+'CAFCO 400 '!$L$8*(J20^2)+'CAFCO 400 '!$L$9*J20+'CAFCO 400 '!$L$10)*U20^2)+(('CAFCO 400 '!$L$11*(J20^3)+'CAFCO 400 '!$L$12*(J20^2)+'CAFCO 400 '!$L$13*J20+'CAFCO 400 '!$L$14)*U20)+('CAFCO 400 '!$L$15*LN(J20)+'CAFCO 400 '!$L$16)),0)+IF(AND(L20="Cafco 400",M20="Software Idiem",C20="IN",G20=3),((('CAFCO 400 '!$D$23*(J20^2)+'CAFCO 400 '!$D$24*(J20)+'CAFCO 400 '!$D$25)*U20^2)+(('CAFCO 400 '!$D$26*(J20^2)+'CAFCO 400 '!$D$27*J20+'CAFCO 400 '!$D$28)*U20)+('CAFCO 400 '!$D$29*(J20^2)+'CAFCO 400 '!$D$30*J20+'CAFCO 400 '!$D$31)),0),0)+IF(AND(L20="Cafco 300",J20&gt;=95,J20&lt;=240,C20="Cj",I20=90),VLOOKUP(T20,'CAFCO 300 IDIEM TABLAS'!$B$4:$D$23,2,FALSE),0)+IF(AND(L20="Cafco 300",J20&gt;=95,J20&lt;=240,C20="Cj",I20=120),VLOOKUP(T20,'CAFCO 300 IDIEM TABLAS'!$B$4:$D$23,3,FALSE),0)+IF(AND(L20="Cafco 300",J20&gt;=95,J20&lt;=400,G20=3,C20="IN",I20=90),VLOOKUP(T20,'CAFCO 300 IDIEM TABLAS'!$F$4:$H$35,2,FALSE),0)+IF(AND(L20="Cafco 300",J20&gt;=95,J20&lt;=400,G20=3,C20="IN",I20=120),VLOOKUP(T20,'CAFCO 300 IDIEM TABLAS'!$F$4:$H$35,3,FALSE),0)+IF(AND(L20="Cafco 300",J20&gt;=95,J20&lt;=450,G20=4,C20="IN",I20=90),VLOOKUP(T20,'CAFCO 300 IDIEM TABLAS'!$J$4:$L$40,2,FALSE),0)+IF(AND(L20="Cafco 300",J20&gt;=95,J20&lt;=450,G20=4,C20="IN",I20=120),VLOOKUP(T20,'CAFCO 300 IDIEM TABLAS'!$J$4:$L$40,3,FALSE),0)+IF(AND(M20="Ensayo Idiem",L20="Cafco 400",C20="IN",G20=4,I20=90),VLOOKUP(T20,'CAFCO 400 ENSAYO'!$B$7:$D$43,2,FALSE),0)+IF(AND(M20="Ensayo Idiem",L20="Cafco 400",C20="IN",G20=4,I20=120),VLOOKUP(T20,'CAFCO 400 ENSAYO'!$B$7:$D$43,3,FALSE),0)</f>
        <v>0</v>
      </c>
      <c r="O20" s="96">
        <f t="shared" si="1"/>
        <v>0</v>
      </c>
      <c r="P20" s="95" t="str">
        <f t="shared" si="2"/>
        <v>CERT.</v>
      </c>
      <c r="Q20" s="95" t="str">
        <f t="shared" si="3"/>
        <v>CERT.</v>
      </c>
      <c r="R20" s="95" t="str">
        <f t="shared" si="4"/>
        <v>NO CERT.</v>
      </c>
      <c r="S20" s="95" t="str">
        <f t="shared" si="0"/>
        <v>NO CERT.</v>
      </c>
      <c r="T20" s="119">
        <f>+IF(J20=LOOKUP(J20,'CAFCO 300 IDIEM TABLAS'!$J$4:$J$40),'CALCULO MORTERO'!J20,MROUND('CALCULO MORTERO'!J20,10))</f>
        <v>330</v>
      </c>
      <c r="U20" s="118" t="e">
        <f t="shared" si="5"/>
        <v>#VALUE!</v>
      </c>
      <c r="Y20" s="4"/>
      <c r="Z20" s="4"/>
      <c r="AA20" s="4"/>
    </row>
    <row r="21" spans="1:27" x14ac:dyDescent="0.25">
      <c r="A21" s="118" t="str">
        <f>+CUBICACION!D20</f>
        <v>ARRIOSTRAMINETO VERTICAL</v>
      </c>
      <c r="B21" s="819" t="str">
        <f>+CUBICACION!E20</f>
        <v>100X100X3</v>
      </c>
      <c r="C21" s="675" t="str">
        <f>+CUBICACION!F20</f>
        <v>CJ</v>
      </c>
      <c r="D21" s="118"/>
      <c r="E21" s="118"/>
      <c r="F21" s="820"/>
      <c r="G21" s="675">
        <f>+CUBICACION!J20</f>
        <v>4</v>
      </c>
      <c r="H21" s="118"/>
      <c r="I21" s="821" t="str">
        <f>+CUBICACION!L20</f>
        <v>F-60</v>
      </c>
      <c r="J21" s="64">
        <f>+CUBICACION!M20</f>
        <v>333</v>
      </c>
      <c r="K21" s="822">
        <f>+CUBICACION!N20</f>
        <v>24</v>
      </c>
      <c r="L21" s="118" t="str">
        <f>+CUBICACION!O20</f>
        <v>Fire Tex 5090</v>
      </c>
      <c r="M21" s="823" t="str">
        <f>+CUBICACION!P20</f>
        <v>Software Idiem</v>
      </c>
      <c r="N21" s="902">
        <f>ROUND(IF(AND(L21="Blaze Shield II",M21="Software Idiem",C21="IN",G21=4),((('BLAZE SHIELD II'!$D$4*('CALCULO MORTERO'!I21^2)+'BLAZE SHIELD II'!$D$5*'CALCULO MORTERO'!I21+'BLAZE SHIELD II'!$D$6)*LN(J21))+('BLAZE SHIELD II'!$D$7*('CALCULO MORTERO'!I21^2)+'BLAZE SHIELD II'!$D$8*'CALCULO MORTERO'!I21+'BLAZE SHIELD II'!$D$9)),0)+IF(AND(L21="Blaze Shield II",M21="Software Idiem",C21="Cj"),((('BLAZE SHIELD II'!$H$4*('CALCULO MORTERO'!I21^2)+'BLAZE SHIELD II'!$H$5*'CALCULO MORTERO'!I21+'BLAZE SHIELD II'!$H$6)*LN(J21))+('BLAZE SHIELD II'!$H$7*('CALCULO MORTERO'!I21^2)+'BLAZE SHIELD II'!$H$8*'CALCULO MORTERO'!I21+'BLAZE SHIELD II'!$H$9)),0)+IF(AND(L21="Blaze Shield II",M21="Software Idiem",C21="C"),((('BLAZE SHIELD II'!$L$4*('CALCULO MORTERO'!I21^2)+'BLAZE SHIELD II'!$L$5*'CALCULO MORTERO'!I21+'BLAZE SHIELD II'!$L$6)*LN(J21))+('BLAZE SHIELD II'!$L$7*('CALCULO MORTERO'!I21^2)+'BLAZE SHIELD II'!$L$8*'CALCULO MORTERO'!I21+'BLAZE SHIELD II'!$L$9)),0)+IF(AND(L21="Blaze Shield II",M21="Software Idiem",C21="L"),((('BLAZE SHIELD II'!$L$4*('CALCULO MORTERO'!I21^2)+'BLAZE SHIELD II'!$L$5*'CALCULO MORTERO'!I21+'BLAZE SHIELD II'!$L$6)*LN(J21))+('BLAZE SHIELD II'!$L$7*('CALCULO MORTERO'!I21^2)+'BLAZE SHIELD II'!$L$8*'CALCULO MORTERO'!I21+'BLAZE SHIELD II'!$L$9)),0)+IF(AND(L21="Blaze Shield II",M21="Software Idiem",C21="IN",G21=3),((('BLAZE SHIELD II'!$H$14*('CALCULO MORTERO'!I21^2)+'BLAZE SHIELD II'!$H$15*'CALCULO MORTERO'!I21+'BLAZE SHIELD II'!$H$16)*LN(J21))+('BLAZE SHIELD II'!$H$17*('CALCULO MORTERO'!I21^2)+'BLAZE SHIELD II'!$H$18*'CALCULO MORTERO'!I21+'BLAZE SHIELD II'!$H$19)),0),0)+ROUND(IF(AND(L21="Cafco 400",M21="Software Idiem",C21="IN",G21=4),((('CAFCO 400 '!$H$7*(J21^4)+'CAFCO 400 '!$H$8*(J21^3)+'CAFCO 400 '!$H$9*(J21^2)+'CAFCO 400 '!$H$10*J21+'CAFCO 400 '!$H$11)*U21^2)+(('CAFCO 400 '!$H$12*(J21^3)+'CAFCO 400 '!$H$13*(J21^2)+'CAFCO 400 '!$H$14*J21+'CAFCO 400 '!$H$15)*U21)+('CAFCO 400 '!$H$16*(J21^2)+'CAFCO 400 '!$H$17*J21+'CAFCO 400 '!$H$18)),0)+IF(AND(L21="Cafco 400",M21="Software Idiem",C21="Cj"),(((('CAFCO 400 '!$D$7*LN(J21)+'CAFCO 400 '!$D$8)*U21^2)+(('CAFCO 400 '!$D$9*LN(J21)+'CAFCO 400 '!$D$10)*U21)+('CAFCO 400 '!$D$11*LN(J21)+'CAFCO 400 '!$D$12))),0)+IF(AND(L21="Cafco 400",M21="Software Idiem",C21="C"),((('CAFCO 400 '!$L$7*(J21^3)+'CAFCO 400 '!$L$8*(J21^2)+'CAFCO 400 '!$L$9*J21+'CAFCO 400 '!$L$10)*U21^2)+(('CAFCO 400 '!$L$11*(J21^3)+'CAFCO 400 '!$L$12*(J21^2)+'CAFCO 400 '!$L$13*J21+'CAFCO 400 '!$L$14)*U21)+('CAFCO 400 '!$L$15*LN(J21)+'CAFCO 400 '!$L$16)),0)+IF(AND(L21="Cafco 400",M21="Software Idiem",C21="L"),((('CAFCO 400 '!$L$7*(J21^3)+'CAFCO 400 '!$L$8*(J21^2)+'CAFCO 400 '!$L$9*J21+'CAFCO 400 '!$L$10)*U21^2)+(('CAFCO 400 '!$L$11*(J21^3)+'CAFCO 400 '!$L$12*(J21^2)+'CAFCO 400 '!$L$13*J21+'CAFCO 400 '!$L$14)*U21)+('CAFCO 400 '!$L$15*LN(J21)+'CAFCO 400 '!$L$16)),0)+IF(AND(L21="Cafco 400",M21="Software Idiem",C21="IN",G21=3),((('CAFCO 400 '!$D$23*(J21^2)+'CAFCO 400 '!$D$24*(J21)+'CAFCO 400 '!$D$25)*U21^2)+(('CAFCO 400 '!$D$26*(J21^2)+'CAFCO 400 '!$D$27*J21+'CAFCO 400 '!$D$28)*U21)+('CAFCO 400 '!$D$29*(J21^2)+'CAFCO 400 '!$D$30*J21+'CAFCO 400 '!$D$31)),0),0)+IF(AND(L21="Cafco 300",J21&gt;=95,J21&lt;=240,C21="Cj",I21=90),VLOOKUP(T21,'CAFCO 300 IDIEM TABLAS'!$B$4:$D$23,2,FALSE),0)+IF(AND(L21="Cafco 300",J21&gt;=95,J21&lt;=240,C21="Cj",I21=120),VLOOKUP(T21,'CAFCO 300 IDIEM TABLAS'!$B$4:$D$23,3,FALSE),0)+IF(AND(L21="Cafco 300",J21&gt;=95,J21&lt;=400,G21=3,C21="IN",I21=90),VLOOKUP(T21,'CAFCO 300 IDIEM TABLAS'!$F$4:$H$35,2,FALSE),0)+IF(AND(L21="Cafco 300",J21&gt;=95,J21&lt;=400,G21=3,C21="IN",I21=120),VLOOKUP(T21,'CAFCO 300 IDIEM TABLAS'!$F$4:$H$35,3,FALSE),0)+IF(AND(L21="Cafco 300",J21&gt;=95,J21&lt;=450,G21=4,C21="IN",I21=90),VLOOKUP(T21,'CAFCO 300 IDIEM TABLAS'!$J$4:$L$40,2,FALSE),0)+IF(AND(L21="Cafco 300",J21&gt;=95,J21&lt;=450,G21=4,C21="IN",I21=120),VLOOKUP(T21,'CAFCO 300 IDIEM TABLAS'!$J$4:$L$40,3,FALSE),0)+IF(AND(M21="Ensayo Idiem",L21="Cafco 400",C21="IN",G21=4,I21=90),VLOOKUP(T21,'CAFCO 400 ENSAYO'!$B$7:$D$43,2,FALSE),0)+IF(AND(M21="Ensayo Idiem",L21="Cafco 400",C21="IN",G21=4,I21=120),VLOOKUP(T21,'CAFCO 400 ENSAYO'!$B$7:$D$43,3,FALSE),0)</f>
        <v>0</v>
      </c>
      <c r="O21" s="96">
        <f t="shared" si="1"/>
        <v>0</v>
      </c>
      <c r="P21" s="95" t="str">
        <f t="shared" si="2"/>
        <v>CERT.</v>
      </c>
      <c r="Q21" s="95" t="str">
        <f t="shared" si="3"/>
        <v>CERT.</v>
      </c>
      <c r="R21" s="95" t="str">
        <f t="shared" si="4"/>
        <v>NO CERT.</v>
      </c>
      <c r="S21" s="95" t="str">
        <f t="shared" si="0"/>
        <v>NO CERT.</v>
      </c>
      <c r="T21" s="119">
        <f>+IF(J21=LOOKUP(J21,'CAFCO 300 IDIEM TABLAS'!$J$4:$J$40),'CALCULO MORTERO'!J21,MROUND('CALCULO MORTERO'!J21,10))</f>
        <v>330</v>
      </c>
      <c r="U21" s="118" t="e">
        <f t="shared" si="5"/>
        <v>#VALUE!</v>
      </c>
      <c r="Y21" s="4"/>
      <c r="Z21" s="4"/>
      <c r="AA21" s="4"/>
    </row>
    <row r="22" spans="1:27" ht="15.6" customHeight="1" x14ac:dyDescent="0.25">
      <c r="A22" s="118" t="str">
        <f>+CUBICACION!D21</f>
        <v>PILAR</v>
      </c>
      <c r="B22" s="819" t="str">
        <f>+CUBICACION!E21</f>
        <v>200X100X4</v>
      </c>
      <c r="C22" s="675" t="str">
        <f>+CUBICACION!F21</f>
        <v>CJ</v>
      </c>
      <c r="D22" s="118"/>
      <c r="E22" s="118"/>
      <c r="F22" s="820"/>
      <c r="G22" s="675">
        <f>+CUBICACION!J21</f>
        <v>4</v>
      </c>
      <c r="H22" s="118"/>
      <c r="I22" s="821" t="str">
        <f>+CUBICACION!L21</f>
        <v>F-60</v>
      </c>
      <c r="J22" s="64">
        <f>+CUBICACION!M21</f>
        <v>250</v>
      </c>
      <c r="K22" s="822">
        <f>+CUBICACION!N21</f>
        <v>9</v>
      </c>
      <c r="L22" s="118" t="str">
        <f>+CUBICACION!O21</f>
        <v>Fire Tex 5090</v>
      </c>
      <c r="M22" s="823" t="str">
        <f>+CUBICACION!P21</f>
        <v>Software Idiem</v>
      </c>
      <c r="N22" s="902">
        <f>ROUND(IF(AND(L22="Blaze Shield II",M22="Software Idiem",C22="IN",G22=4),((('BLAZE SHIELD II'!$D$4*('CALCULO MORTERO'!I22^2)+'BLAZE SHIELD II'!$D$5*'CALCULO MORTERO'!I22+'BLAZE SHIELD II'!$D$6)*LN(J22))+('BLAZE SHIELD II'!$D$7*('CALCULO MORTERO'!I22^2)+'BLAZE SHIELD II'!$D$8*'CALCULO MORTERO'!I22+'BLAZE SHIELD II'!$D$9)),0)+IF(AND(L22="Blaze Shield II",M22="Software Idiem",C22="Cj"),((('BLAZE SHIELD II'!$H$4*('CALCULO MORTERO'!I22^2)+'BLAZE SHIELD II'!$H$5*'CALCULO MORTERO'!I22+'BLAZE SHIELD II'!$H$6)*LN(J22))+('BLAZE SHIELD II'!$H$7*('CALCULO MORTERO'!I22^2)+'BLAZE SHIELD II'!$H$8*'CALCULO MORTERO'!I22+'BLAZE SHIELD II'!$H$9)),0)+IF(AND(L22="Blaze Shield II",M22="Software Idiem",C22="C"),((('BLAZE SHIELD II'!$L$4*('CALCULO MORTERO'!I22^2)+'BLAZE SHIELD II'!$L$5*'CALCULO MORTERO'!I22+'BLAZE SHIELD II'!$L$6)*LN(J22))+('BLAZE SHIELD II'!$L$7*('CALCULO MORTERO'!I22^2)+'BLAZE SHIELD II'!$L$8*'CALCULO MORTERO'!I22+'BLAZE SHIELD II'!$L$9)),0)+IF(AND(L22="Blaze Shield II",M22="Software Idiem",C22="L"),((('BLAZE SHIELD II'!$L$4*('CALCULO MORTERO'!I22^2)+'BLAZE SHIELD II'!$L$5*'CALCULO MORTERO'!I22+'BLAZE SHIELD II'!$L$6)*LN(J22))+('BLAZE SHIELD II'!$L$7*('CALCULO MORTERO'!I22^2)+'BLAZE SHIELD II'!$L$8*'CALCULO MORTERO'!I22+'BLAZE SHIELD II'!$L$9)),0)+IF(AND(L22="Blaze Shield II",M22="Software Idiem",C22="IN",G22=3),((('BLAZE SHIELD II'!$H$14*('CALCULO MORTERO'!I22^2)+'BLAZE SHIELD II'!$H$15*'CALCULO MORTERO'!I22+'BLAZE SHIELD II'!$H$16)*LN(J22))+('BLAZE SHIELD II'!$H$17*('CALCULO MORTERO'!I22^2)+'BLAZE SHIELD II'!$H$18*'CALCULO MORTERO'!I22+'BLAZE SHIELD II'!$H$19)),0),0)+ROUND(IF(AND(L22="Cafco 400",M22="Software Idiem",C22="IN",G22=4),((('CAFCO 400 '!$H$7*(J22^4)+'CAFCO 400 '!$H$8*(J22^3)+'CAFCO 400 '!$H$9*(J22^2)+'CAFCO 400 '!$H$10*J22+'CAFCO 400 '!$H$11)*U22^2)+(('CAFCO 400 '!$H$12*(J22^3)+'CAFCO 400 '!$H$13*(J22^2)+'CAFCO 400 '!$H$14*J22+'CAFCO 400 '!$H$15)*U22)+('CAFCO 400 '!$H$16*(J22^2)+'CAFCO 400 '!$H$17*J22+'CAFCO 400 '!$H$18)),0)+IF(AND(L22="Cafco 400",M22="Software Idiem",C22="Cj"),(((('CAFCO 400 '!$D$7*LN(J22)+'CAFCO 400 '!$D$8)*U22^2)+(('CAFCO 400 '!$D$9*LN(J22)+'CAFCO 400 '!$D$10)*U22)+('CAFCO 400 '!$D$11*LN(J22)+'CAFCO 400 '!$D$12))),0)+IF(AND(L22="Cafco 400",M22="Software Idiem",C22="C"),((('CAFCO 400 '!$L$7*(J22^3)+'CAFCO 400 '!$L$8*(J22^2)+'CAFCO 400 '!$L$9*J22+'CAFCO 400 '!$L$10)*U22^2)+(('CAFCO 400 '!$L$11*(J22^3)+'CAFCO 400 '!$L$12*(J22^2)+'CAFCO 400 '!$L$13*J22+'CAFCO 400 '!$L$14)*U22)+('CAFCO 400 '!$L$15*LN(J22)+'CAFCO 400 '!$L$16)),0)+IF(AND(L22="Cafco 400",M22="Software Idiem",C22="L"),((('CAFCO 400 '!$L$7*(J22^3)+'CAFCO 400 '!$L$8*(J22^2)+'CAFCO 400 '!$L$9*J22+'CAFCO 400 '!$L$10)*U22^2)+(('CAFCO 400 '!$L$11*(J22^3)+'CAFCO 400 '!$L$12*(J22^2)+'CAFCO 400 '!$L$13*J22+'CAFCO 400 '!$L$14)*U22)+('CAFCO 400 '!$L$15*LN(J22)+'CAFCO 400 '!$L$16)),0)+IF(AND(L22="Cafco 400",M22="Software Idiem",C22="IN",G22=3),((('CAFCO 400 '!$D$23*(J22^2)+'CAFCO 400 '!$D$24*(J22)+'CAFCO 400 '!$D$25)*U22^2)+(('CAFCO 400 '!$D$26*(J22^2)+'CAFCO 400 '!$D$27*J22+'CAFCO 400 '!$D$28)*U22)+('CAFCO 400 '!$D$29*(J22^2)+'CAFCO 400 '!$D$30*J22+'CAFCO 400 '!$D$31)),0),0)+IF(AND(L22="Cafco 300",J22&gt;=95,J22&lt;=240,C22="Cj",I22=90),VLOOKUP(T22,'CAFCO 300 IDIEM TABLAS'!$B$4:$D$23,2,FALSE),0)+IF(AND(L22="Cafco 300",J22&gt;=95,J22&lt;=240,C22="Cj",I22=120),VLOOKUP(T22,'CAFCO 300 IDIEM TABLAS'!$B$4:$D$23,3,FALSE),0)+IF(AND(L22="Cafco 300",J22&gt;=95,J22&lt;=400,G22=3,C22="IN",I22=90),VLOOKUP(T22,'CAFCO 300 IDIEM TABLAS'!$F$4:$H$35,2,FALSE),0)+IF(AND(L22="Cafco 300",J22&gt;=95,J22&lt;=400,G22=3,C22="IN",I22=120),VLOOKUP(T22,'CAFCO 300 IDIEM TABLAS'!$F$4:$H$35,3,FALSE),0)+IF(AND(L22="Cafco 300",J22&gt;=95,J22&lt;=450,G22=4,C22="IN",I22=90),VLOOKUP(T22,'CAFCO 300 IDIEM TABLAS'!$J$4:$L$40,2,FALSE),0)+IF(AND(L22="Cafco 300",J22&gt;=95,J22&lt;=450,G22=4,C22="IN",I22=120),VLOOKUP(T22,'CAFCO 300 IDIEM TABLAS'!$J$4:$L$40,3,FALSE),0)+IF(AND(M22="Ensayo Idiem",L22="Cafco 400",C22="IN",G22=4,I22=90),VLOOKUP(T22,'CAFCO 400 ENSAYO'!$B$7:$D$43,2,FALSE),0)+IF(AND(M22="Ensayo Idiem",L22="Cafco 400",C22="IN",G22=4,I22=120),VLOOKUP(T22,'CAFCO 400 ENSAYO'!$B$7:$D$43,3,FALSE),0)</f>
        <v>0</v>
      </c>
      <c r="O22" s="96">
        <f t="shared" si="1"/>
        <v>0</v>
      </c>
      <c r="P22" s="95" t="str">
        <f t="shared" si="2"/>
        <v>CERT.</v>
      </c>
      <c r="Q22" s="95" t="str">
        <f t="shared" si="3"/>
        <v>CERT.</v>
      </c>
      <c r="R22" s="95" t="str">
        <f t="shared" si="4"/>
        <v>NO CERT.</v>
      </c>
      <c r="S22" s="95" t="str">
        <f t="shared" si="0"/>
        <v>NO CERT.</v>
      </c>
      <c r="T22" s="119">
        <f>+IF(J22=LOOKUP(J22,'CAFCO 300 IDIEM TABLAS'!$J$4:$J$40),'CALCULO MORTERO'!J22,MROUND('CALCULO MORTERO'!J22,10))</f>
        <v>250</v>
      </c>
      <c r="U22" s="118" t="e">
        <f t="shared" si="5"/>
        <v>#VALUE!</v>
      </c>
      <c r="Y22" s="4"/>
      <c r="Z22" s="4"/>
      <c r="AA22" s="4"/>
    </row>
    <row r="23" spans="1:27" x14ac:dyDescent="0.25">
      <c r="A23" s="118" t="str">
        <f>+CUBICACION!D22</f>
        <v>PILAR</v>
      </c>
      <c r="B23" s="819" t="str">
        <f>+CUBICACION!E22</f>
        <v>150X150X5</v>
      </c>
      <c r="C23" s="675" t="str">
        <f>+CUBICACION!F22</f>
        <v>CJ</v>
      </c>
      <c r="D23" s="118"/>
      <c r="E23" s="118"/>
      <c r="F23" s="820"/>
      <c r="G23" s="675">
        <f>+CUBICACION!J22</f>
        <v>4</v>
      </c>
      <c r="H23" s="118"/>
      <c r="I23" s="821" t="str">
        <f>+CUBICACION!L22</f>
        <v>F-60</v>
      </c>
      <c r="J23" s="64">
        <f>+CUBICACION!M22</f>
        <v>200</v>
      </c>
      <c r="K23" s="822">
        <f>+CUBICACION!N22</f>
        <v>34.56</v>
      </c>
      <c r="L23" s="118" t="str">
        <f>+CUBICACION!O22</f>
        <v>Fire Tex 5090</v>
      </c>
      <c r="M23" s="823" t="str">
        <f>+CUBICACION!P22</f>
        <v>Software Idiem</v>
      </c>
      <c r="N23" s="902">
        <f>ROUND(IF(AND(L23="Blaze Shield II",M23="Software Idiem",C23="IN",G23=4),((('BLAZE SHIELD II'!$D$4*('CALCULO MORTERO'!I23^2)+'BLAZE SHIELD II'!$D$5*'CALCULO MORTERO'!I23+'BLAZE SHIELD II'!$D$6)*LN(J23))+('BLAZE SHIELD II'!$D$7*('CALCULO MORTERO'!I23^2)+'BLAZE SHIELD II'!$D$8*'CALCULO MORTERO'!I23+'BLAZE SHIELD II'!$D$9)),0)+IF(AND(L23="Blaze Shield II",M23="Software Idiem",C23="Cj"),((('BLAZE SHIELD II'!$H$4*('CALCULO MORTERO'!I23^2)+'BLAZE SHIELD II'!$H$5*'CALCULO MORTERO'!I23+'BLAZE SHIELD II'!$H$6)*LN(J23))+('BLAZE SHIELD II'!$H$7*('CALCULO MORTERO'!I23^2)+'BLAZE SHIELD II'!$H$8*'CALCULO MORTERO'!I23+'BLAZE SHIELD II'!$H$9)),0)+IF(AND(L23="Blaze Shield II",M23="Software Idiem",C23="C"),((('BLAZE SHIELD II'!$L$4*('CALCULO MORTERO'!I23^2)+'BLAZE SHIELD II'!$L$5*'CALCULO MORTERO'!I23+'BLAZE SHIELD II'!$L$6)*LN(J23))+('BLAZE SHIELD II'!$L$7*('CALCULO MORTERO'!I23^2)+'BLAZE SHIELD II'!$L$8*'CALCULO MORTERO'!I23+'BLAZE SHIELD II'!$L$9)),0)+IF(AND(L23="Blaze Shield II",M23="Software Idiem",C23="L"),((('BLAZE SHIELD II'!$L$4*('CALCULO MORTERO'!I23^2)+'BLAZE SHIELD II'!$L$5*'CALCULO MORTERO'!I23+'BLAZE SHIELD II'!$L$6)*LN(J23))+('BLAZE SHIELD II'!$L$7*('CALCULO MORTERO'!I23^2)+'BLAZE SHIELD II'!$L$8*'CALCULO MORTERO'!I23+'BLAZE SHIELD II'!$L$9)),0)+IF(AND(L23="Blaze Shield II",M23="Software Idiem",C23="IN",G23=3),((('BLAZE SHIELD II'!$H$14*('CALCULO MORTERO'!I23^2)+'BLAZE SHIELD II'!$H$15*'CALCULO MORTERO'!I23+'BLAZE SHIELD II'!$H$16)*LN(J23))+('BLAZE SHIELD II'!$H$17*('CALCULO MORTERO'!I23^2)+'BLAZE SHIELD II'!$H$18*'CALCULO MORTERO'!I23+'BLAZE SHIELD II'!$H$19)),0),0)+ROUND(IF(AND(L23="Cafco 400",M23="Software Idiem",C23="IN",G23=4),((('CAFCO 400 '!$H$7*(J23^4)+'CAFCO 400 '!$H$8*(J23^3)+'CAFCO 400 '!$H$9*(J23^2)+'CAFCO 400 '!$H$10*J23+'CAFCO 400 '!$H$11)*U23^2)+(('CAFCO 400 '!$H$12*(J23^3)+'CAFCO 400 '!$H$13*(J23^2)+'CAFCO 400 '!$H$14*J23+'CAFCO 400 '!$H$15)*U23)+('CAFCO 400 '!$H$16*(J23^2)+'CAFCO 400 '!$H$17*J23+'CAFCO 400 '!$H$18)),0)+IF(AND(L23="Cafco 400",M23="Software Idiem",C23="Cj"),(((('CAFCO 400 '!$D$7*LN(J23)+'CAFCO 400 '!$D$8)*U23^2)+(('CAFCO 400 '!$D$9*LN(J23)+'CAFCO 400 '!$D$10)*U23)+('CAFCO 400 '!$D$11*LN(J23)+'CAFCO 400 '!$D$12))),0)+IF(AND(L23="Cafco 400",M23="Software Idiem",C23="C"),((('CAFCO 400 '!$L$7*(J23^3)+'CAFCO 400 '!$L$8*(J23^2)+'CAFCO 400 '!$L$9*J23+'CAFCO 400 '!$L$10)*U23^2)+(('CAFCO 400 '!$L$11*(J23^3)+'CAFCO 400 '!$L$12*(J23^2)+'CAFCO 400 '!$L$13*J23+'CAFCO 400 '!$L$14)*U23)+('CAFCO 400 '!$L$15*LN(J23)+'CAFCO 400 '!$L$16)),0)+IF(AND(L23="Cafco 400",M23="Software Idiem",C23="L"),((('CAFCO 400 '!$L$7*(J23^3)+'CAFCO 400 '!$L$8*(J23^2)+'CAFCO 400 '!$L$9*J23+'CAFCO 400 '!$L$10)*U23^2)+(('CAFCO 400 '!$L$11*(J23^3)+'CAFCO 400 '!$L$12*(J23^2)+'CAFCO 400 '!$L$13*J23+'CAFCO 400 '!$L$14)*U23)+('CAFCO 400 '!$L$15*LN(J23)+'CAFCO 400 '!$L$16)),0)+IF(AND(L23="Cafco 400",M23="Software Idiem",C23="IN",G23=3),((('CAFCO 400 '!$D$23*(J23^2)+'CAFCO 400 '!$D$24*(J23)+'CAFCO 400 '!$D$25)*U23^2)+(('CAFCO 400 '!$D$26*(J23^2)+'CAFCO 400 '!$D$27*J23+'CAFCO 400 '!$D$28)*U23)+('CAFCO 400 '!$D$29*(J23^2)+'CAFCO 400 '!$D$30*J23+'CAFCO 400 '!$D$31)),0),0)+IF(AND(L23="Cafco 300",J23&gt;=95,J23&lt;=240,C23="Cj",I23=90),VLOOKUP(T23,'CAFCO 300 IDIEM TABLAS'!$B$4:$D$23,2,FALSE),0)+IF(AND(L23="Cafco 300",J23&gt;=95,J23&lt;=240,C23="Cj",I23=120),VLOOKUP(T23,'CAFCO 300 IDIEM TABLAS'!$B$4:$D$23,3,FALSE),0)+IF(AND(L23="Cafco 300",J23&gt;=95,J23&lt;=400,G23=3,C23="IN",I23=90),VLOOKUP(T23,'CAFCO 300 IDIEM TABLAS'!$F$4:$H$35,2,FALSE),0)+IF(AND(L23="Cafco 300",J23&gt;=95,J23&lt;=400,G23=3,C23="IN",I23=120),VLOOKUP(T23,'CAFCO 300 IDIEM TABLAS'!$F$4:$H$35,3,FALSE),0)+IF(AND(L23="Cafco 300",J23&gt;=95,J23&lt;=450,G23=4,C23="IN",I23=90),VLOOKUP(T23,'CAFCO 300 IDIEM TABLAS'!$J$4:$L$40,2,FALSE),0)+IF(AND(L23="Cafco 300",J23&gt;=95,J23&lt;=450,G23=4,C23="IN",I23=120),VLOOKUP(T23,'CAFCO 300 IDIEM TABLAS'!$J$4:$L$40,3,FALSE),0)+IF(AND(M23="Ensayo Idiem",L23="Cafco 400",C23="IN",G23=4,I23=90),VLOOKUP(T23,'CAFCO 400 ENSAYO'!$B$7:$D$43,2,FALSE),0)+IF(AND(M23="Ensayo Idiem",L23="Cafco 400",C23="IN",G23=4,I23=120),VLOOKUP(T23,'CAFCO 400 ENSAYO'!$B$7:$D$43,3,FALSE),0)</f>
        <v>0</v>
      </c>
      <c r="O23" s="96">
        <f t="shared" si="1"/>
        <v>0</v>
      </c>
      <c r="P23" s="95" t="str">
        <f t="shared" si="2"/>
        <v>CERT.</v>
      </c>
      <c r="Q23" s="95" t="str">
        <f t="shared" si="3"/>
        <v>CERT.</v>
      </c>
      <c r="R23" s="95" t="str">
        <f t="shared" si="4"/>
        <v>NO CERT.</v>
      </c>
      <c r="S23" s="95" t="str">
        <f t="shared" si="0"/>
        <v>NO CERT.</v>
      </c>
      <c r="T23" s="119">
        <f>+IF(J23=LOOKUP(J23,'CAFCO 300 IDIEM TABLAS'!$J$4:$J$40),'CALCULO MORTERO'!J23,MROUND('CALCULO MORTERO'!J23,10))</f>
        <v>200</v>
      </c>
      <c r="U23" s="118" t="e">
        <f t="shared" si="5"/>
        <v>#VALUE!</v>
      </c>
      <c r="Y23" s="4"/>
      <c r="Z23" s="4"/>
      <c r="AA23" s="4"/>
    </row>
    <row r="24" spans="1:27" ht="15.6" customHeight="1" x14ac:dyDescent="0.25">
      <c r="A24" s="118" t="str">
        <f>+CUBICACION!D23</f>
        <v>PILAR</v>
      </c>
      <c r="B24" s="819" t="str">
        <f>+CUBICACION!E23</f>
        <v>150X150X5</v>
      </c>
      <c r="C24" s="675" t="str">
        <f>+CUBICACION!F23</f>
        <v>CJ</v>
      </c>
      <c r="D24" s="118"/>
      <c r="E24" s="118"/>
      <c r="F24" s="820"/>
      <c r="G24" s="675">
        <f>+CUBICACION!J23</f>
        <v>4</v>
      </c>
      <c r="H24" s="118"/>
      <c r="I24" s="821" t="str">
        <f>+CUBICACION!L23</f>
        <v>F-60</v>
      </c>
      <c r="J24" s="64">
        <f>+CUBICACION!M23</f>
        <v>200</v>
      </c>
      <c r="K24" s="822">
        <f>+CUBICACION!N23</f>
        <v>13.5</v>
      </c>
      <c r="L24" s="118" t="str">
        <f>+CUBICACION!O23</f>
        <v>Fire Tex 5090</v>
      </c>
      <c r="M24" s="823" t="str">
        <f>+CUBICACION!P23</f>
        <v>Software Idiem</v>
      </c>
      <c r="N24" s="902">
        <f>ROUND(IF(AND(L24="Blaze Shield II",M24="Software Idiem",C24="IN",G24=4),((('BLAZE SHIELD II'!$D$4*('CALCULO MORTERO'!I24^2)+'BLAZE SHIELD II'!$D$5*'CALCULO MORTERO'!I24+'BLAZE SHIELD II'!$D$6)*LN(J24))+('BLAZE SHIELD II'!$D$7*('CALCULO MORTERO'!I24^2)+'BLAZE SHIELD II'!$D$8*'CALCULO MORTERO'!I24+'BLAZE SHIELD II'!$D$9)),0)+IF(AND(L24="Blaze Shield II",M24="Software Idiem",C24="Cj"),((('BLAZE SHIELD II'!$H$4*('CALCULO MORTERO'!I24^2)+'BLAZE SHIELD II'!$H$5*'CALCULO MORTERO'!I24+'BLAZE SHIELD II'!$H$6)*LN(J24))+('BLAZE SHIELD II'!$H$7*('CALCULO MORTERO'!I24^2)+'BLAZE SHIELD II'!$H$8*'CALCULO MORTERO'!I24+'BLAZE SHIELD II'!$H$9)),0)+IF(AND(L24="Blaze Shield II",M24="Software Idiem",C24="C"),((('BLAZE SHIELD II'!$L$4*('CALCULO MORTERO'!I24^2)+'BLAZE SHIELD II'!$L$5*'CALCULO MORTERO'!I24+'BLAZE SHIELD II'!$L$6)*LN(J24))+('BLAZE SHIELD II'!$L$7*('CALCULO MORTERO'!I24^2)+'BLAZE SHIELD II'!$L$8*'CALCULO MORTERO'!I24+'BLAZE SHIELD II'!$L$9)),0)+IF(AND(L24="Blaze Shield II",M24="Software Idiem",C24="L"),((('BLAZE SHIELD II'!$L$4*('CALCULO MORTERO'!I24^2)+'BLAZE SHIELD II'!$L$5*'CALCULO MORTERO'!I24+'BLAZE SHIELD II'!$L$6)*LN(J24))+('BLAZE SHIELD II'!$L$7*('CALCULO MORTERO'!I24^2)+'BLAZE SHIELD II'!$L$8*'CALCULO MORTERO'!I24+'BLAZE SHIELD II'!$L$9)),0)+IF(AND(L24="Blaze Shield II",M24="Software Idiem",C24="IN",G24=3),((('BLAZE SHIELD II'!$H$14*('CALCULO MORTERO'!I24^2)+'BLAZE SHIELD II'!$H$15*'CALCULO MORTERO'!I24+'BLAZE SHIELD II'!$H$16)*LN(J24))+('BLAZE SHIELD II'!$H$17*('CALCULO MORTERO'!I24^2)+'BLAZE SHIELD II'!$H$18*'CALCULO MORTERO'!I24+'BLAZE SHIELD II'!$H$19)),0),0)+ROUND(IF(AND(L24="Cafco 400",M24="Software Idiem",C24="IN",G24=4),((('CAFCO 400 '!$H$7*(J24^4)+'CAFCO 400 '!$H$8*(J24^3)+'CAFCO 400 '!$H$9*(J24^2)+'CAFCO 400 '!$H$10*J24+'CAFCO 400 '!$H$11)*U24^2)+(('CAFCO 400 '!$H$12*(J24^3)+'CAFCO 400 '!$H$13*(J24^2)+'CAFCO 400 '!$H$14*J24+'CAFCO 400 '!$H$15)*U24)+('CAFCO 400 '!$H$16*(J24^2)+'CAFCO 400 '!$H$17*J24+'CAFCO 400 '!$H$18)),0)+IF(AND(L24="Cafco 400",M24="Software Idiem",C24="Cj"),(((('CAFCO 400 '!$D$7*LN(J24)+'CAFCO 400 '!$D$8)*U24^2)+(('CAFCO 400 '!$D$9*LN(J24)+'CAFCO 400 '!$D$10)*U24)+('CAFCO 400 '!$D$11*LN(J24)+'CAFCO 400 '!$D$12))),0)+IF(AND(L24="Cafco 400",M24="Software Idiem",C24="C"),((('CAFCO 400 '!$L$7*(J24^3)+'CAFCO 400 '!$L$8*(J24^2)+'CAFCO 400 '!$L$9*J24+'CAFCO 400 '!$L$10)*U24^2)+(('CAFCO 400 '!$L$11*(J24^3)+'CAFCO 400 '!$L$12*(J24^2)+'CAFCO 400 '!$L$13*J24+'CAFCO 400 '!$L$14)*U24)+('CAFCO 400 '!$L$15*LN(J24)+'CAFCO 400 '!$L$16)),0)+IF(AND(L24="Cafco 400",M24="Software Idiem",C24="L"),((('CAFCO 400 '!$L$7*(J24^3)+'CAFCO 400 '!$L$8*(J24^2)+'CAFCO 400 '!$L$9*J24+'CAFCO 400 '!$L$10)*U24^2)+(('CAFCO 400 '!$L$11*(J24^3)+'CAFCO 400 '!$L$12*(J24^2)+'CAFCO 400 '!$L$13*J24+'CAFCO 400 '!$L$14)*U24)+('CAFCO 400 '!$L$15*LN(J24)+'CAFCO 400 '!$L$16)),0)+IF(AND(L24="Cafco 400",M24="Software Idiem",C24="IN",G24=3),((('CAFCO 400 '!$D$23*(J24^2)+'CAFCO 400 '!$D$24*(J24)+'CAFCO 400 '!$D$25)*U24^2)+(('CAFCO 400 '!$D$26*(J24^2)+'CAFCO 400 '!$D$27*J24+'CAFCO 400 '!$D$28)*U24)+('CAFCO 400 '!$D$29*(J24^2)+'CAFCO 400 '!$D$30*J24+'CAFCO 400 '!$D$31)),0),0)+IF(AND(L24="Cafco 300",J24&gt;=95,J24&lt;=240,C24="Cj",I24=90),VLOOKUP(T24,'CAFCO 300 IDIEM TABLAS'!$B$4:$D$23,2,FALSE),0)+IF(AND(L24="Cafco 300",J24&gt;=95,J24&lt;=240,C24="Cj",I24=120),VLOOKUP(T24,'CAFCO 300 IDIEM TABLAS'!$B$4:$D$23,3,FALSE),0)+IF(AND(L24="Cafco 300",J24&gt;=95,J24&lt;=400,G24=3,C24="IN",I24=90),VLOOKUP(T24,'CAFCO 300 IDIEM TABLAS'!$F$4:$H$35,2,FALSE),0)+IF(AND(L24="Cafco 300",J24&gt;=95,J24&lt;=400,G24=3,C24="IN",I24=120),VLOOKUP(T24,'CAFCO 300 IDIEM TABLAS'!$F$4:$H$35,3,FALSE),0)+IF(AND(L24="Cafco 300",J24&gt;=95,J24&lt;=450,G24=4,C24="IN",I24=90),VLOOKUP(T24,'CAFCO 300 IDIEM TABLAS'!$J$4:$L$40,2,FALSE),0)+IF(AND(L24="Cafco 300",J24&gt;=95,J24&lt;=450,G24=4,C24="IN",I24=120),VLOOKUP(T24,'CAFCO 300 IDIEM TABLAS'!$J$4:$L$40,3,FALSE),0)+IF(AND(M24="Ensayo Idiem",L24="Cafco 400",C24="IN",G24=4,I24=90),VLOOKUP(T24,'CAFCO 400 ENSAYO'!$B$7:$D$43,2,FALSE),0)+IF(AND(M24="Ensayo Idiem",L24="Cafco 400",C24="IN",G24=4,I24=120),VLOOKUP(T24,'CAFCO 400 ENSAYO'!$B$7:$D$43,3,FALSE),0)</f>
        <v>0</v>
      </c>
      <c r="O24" s="96">
        <f t="shared" si="1"/>
        <v>0</v>
      </c>
      <c r="P24" s="95" t="str">
        <f t="shared" si="2"/>
        <v>CERT.</v>
      </c>
      <c r="Q24" s="95" t="str">
        <f t="shared" si="3"/>
        <v>CERT.</v>
      </c>
      <c r="R24" s="95" t="str">
        <f t="shared" si="4"/>
        <v>NO CERT.</v>
      </c>
      <c r="S24" s="95" t="str">
        <f t="shared" si="0"/>
        <v>NO CERT.</v>
      </c>
      <c r="T24" s="119">
        <f>+IF(J24=LOOKUP(J24,'CAFCO 300 IDIEM TABLAS'!$J$4:$J$40),'CALCULO MORTERO'!J24,MROUND('CALCULO MORTERO'!J24,10))</f>
        <v>200</v>
      </c>
      <c r="U24" s="118" t="e">
        <f t="shared" si="5"/>
        <v>#VALUE!</v>
      </c>
      <c r="Y24" s="4"/>
      <c r="Z24" s="4"/>
      <c r="AA24" s="4"/>
    </row>
    <row r="25" spans="1:27" x14ac:dyDescent="0.25">
      <c r="A25" s="118">
        <f>+CUBICACION!D24</f>
        <v>0</v>
      </c>
      <c r="B25" s="819">
        <f>+CUBICACION!E24</f>
        <v>0</v>
      </c>
      <c r="C25" s="675">
        <f>+CUBICACION!F24</f>
        <v>0</v>
      </c>
      <c r="D25" s="118"/>
      <c r="E25" s="118"/>
      <c r="F25" s="820"/>
      <c r="G25" s="675">
        <f>+CUBICACION!J24</f>
        <v>4</v>
      </c>
      <c r="H25" s="118"/>
      <c r="I25" s="821">
        <f>+CUBICACION!L24</f>
        <v>0</v>
      </c>
      <c r="J25" s="64">
        <f>+CUBICACION!M24</f>
        <v>0</v>
      </c>
      <c r="K25" s="822">
        <f>+CUBICACION!N24</f>
        <v>0</v>
      </c>
      <c r="L25" s="118">
        <f>+CUBICACION!O24</f>
        <v>0</v>
      </c>
      <c r="M25" s="823" t="str">
        <f>+CUBICACION!P24</f>
        <v>Software Idiem</v>
      </c>
      <c r="N25" s="902">
        <f>ROUND(IF(AND(L25="Blaze Shield II",M25="Software Idiem",C25="IN",G25=4),((('BLAZE SHIELD II'!$D$4*('CALCULO MORTERO'!I25^2)+'BLAZE SHIELD II'!$D$5*'CALCULO MORTERO'!I25+'BLAZE SHIELD II'!$D$6)*LN(J25))+('BLAZE SHIELD II'!$D$7*('CALCULO MORTERO'!I25^2)+'BLAZE SHIELD II'!$D$8*'CALCULO MORTERO'!I25+'BLAZE SHIELD II'!$D$9)),0)+IF(AND(L25="Blaze Shield II",M25="Software Idiem",C25="Cj"),((('BLAZE SHIELD II'!$H$4*('CALCULO MORTERO'!I25^2)+'BLAZE SHIELD II'!$H$5*'CALCULO MORTERO'!I25+'BLAZE SHIELD II'!$H$6)*LN(J25))+('BLAZE SHIELD II'!$H$7*('CALCULO MORTERO'!I25^2)+'BLAZE SHIELD II'!$H$8*'CALCULO MORTERO'!I25+'BLAZE SHIELD II'!$H$9)),0)+IF(AND(L25="Blaze Shield II",M25="Software Idiem",C25="C"),((('BLAZE SHIELD II'!$L$4*('CALCULO MORTERO'!I25^2)+'BLAZE SHIELD II'!$L$5*'CALCULO MORTERO'!I25+'BLAZE SHIELD II'!$L$6)*LN(J25))+('BLAZE SHIELD II'!$L$7*('CALCULO MORTERO'!I25^2)+'BLAZE SHIELD II'!$L$8*'CALCULO MORTERO'!I25+'BLAZE SHIELD II'!$L$9)),0)+IF(AND(L25="Blaze Shield II",M25="Software Idiem",C25="L"),((('BLAZE SHIELD II'!$L$4*('CALCULO MORTERO'!I25^2)+'BLAZE SHIELD II'!$L$5*'CALCULO MORTERO'!I25+'BLAZE SHIELD II'!$L$6)*LN(J25))+('BLAZE SHIELD II'!$L$7*('CALCULO MORTERO'!I25^2)+'BLAZE SHIELD II'!$L$8*'CALCULO MORTERO'!I25+'BLAZE SHIELD II'!$L$9)),0)+IF(AND(L25="Blaze Shield II",M25="Software Idiem",C25="IN",G25=3),((('BLAZE SHIELD II'!$H$14*('CALCULO MORTERO'!I25^2)+'BLAZE SHIELD II'!$H$15*'CALCULO MORTERO'!I25+'BLAZE SHIELD II'!$H$16)*LN(J25))+('BLAZE SHIELD II'!$H$17*('CALCULO MORTERO'!I25^2)+'BLAZE SHIELD II'!$H$18*'CALCULO MORTERO'!I25+'BLAZE SHIELD II'!$H$19)),0),0)+ROUND(IF(AND(L25="Cafco 400",M25="Software Idiem",C25="IN",G25=4),((('CAFCO 400 '!$H$7*(J25^4)+'CAFCO 400 '!$H$8*(J25^3)+'CAFCO 400 '!$H$9*(J25^2)+'CAFCO 400 '!$H$10*J25+'CAFCO 400 '!$H$11)*U25^2)+(('CAFCO 400 '!$H$12*(J25^3)+'CAFCO 400 '!$H$13*(J25^2)+'CAFCO 400 '!$H$14*J25+'CAFCO 400 '!$H$15)*U25)+('CAFCO 400 '!$H$16*(J25^2)+'CAFCO 400 '!$H$17*J25+'CAFCO 400 '!$H$18)),0)+IF(AND(L25="Cafco 400",M25="Software Idiem",C25="Cj"),(((('CAFCO 400 '!$D$7*LN(J25)+'CAFCO 400 '!$D$8)*U25^2)+(('CAFCO 400 '!$D$9*LN(J25)+'CAFCO 400 '!$D$10)*U25)+('CAFCO 400 '!$D$11*LN(J25)+'CAFCO 400 '!$D$12))),0)+IF(AND(L25="Cafco 400",M25="Software Idiem",C25="C"),((('CAFCO 400 '!$L$7*(J25^3)+'CAFCO 400 '!$L$8*(J25^2)+'CAFCO 400 '!$L$9*J25+'CAFCO 400 '!$L$10)*U25^2)+(('CAFCO 400 '!$L$11*(J25^3)+'CAFCO 400 '!$L$12*(J25^2)+'CAFCO 400 '!$L$13*J25+'CAFCO 400 '!$L$14)*U25)+('CAFCO 400 '!$L$15*LN(J25)+'CAFCO 400 '!$L$16)),0)+IF(AND(L25="Cafco 400",M25="Software Idiem",C25="L"),((('CAFCO 400 '!$L$7*(J25^3)+'CAFCO 400 '!$L$8*(J25^2)+'CAFCO 400 '!$L$9*J25+'CAFCO 400 '!$L$10)*U25^2)+(('CAFCO 400 '!$L$11*(J25^3)+'CAFCO 400 '!$L$12*(J25^2)+'CAFCO 400 '!$L$13*J25+'CAFCO 400 '!$L$14)*U25)+('CAFCO 400 '!$L$15*LN(J25)+'CAFCO 400 '!$L$16)),0)+IF(AND(L25="Cafco 400",M25="Software Idiem",C25="IN",G25=3),((('CAFCO 400 '!$D$23*(J25^2)+'CAFCO 400 '!$D$24*(J25)+'CAFCO 400 '!$D$25)*U25^2)+(('CAFCO 400 '!$D$26*(J25^2)+'CAFCO 400 '!$D$27*J25+'CAFCO 400 '!$D$28)*U25)+('CAFCO 400 '!$D$29*(J25^2)+'CAFCO 400 '!$D$30*J25+'CAFCO 400 '!$D$31)),0),0)+IF(AND(L25="Cafco 300",J25&gt;=95,J25&lt;=240,C25="Cj",I25=90),VLOOKUP(T25,'CAFCO 300 IDIEM TABLAS'!$B$4:$D$23,2,FALSE),0)+IF(AND(L25="Cafco 300",J25&gt;=95,J25&lt;=240,C25="Cj",I25=120),VLOOKUP(T25,'CAFCO 300 IDIEM TABLAS'!$B$4:$D$23,3,FALSE),0)+IF(AND(L25="Cafco 300",J25&gt;=95,J25&lt;=400,G25=3,C25="IN",I25=90),VLOOKUP(T25,'CAFCO 300 IDIEM TABLAS'!$F$4:$H$35,2,FALSE),0)+IF(AND(L25="Cafco 300",J25&gt;=95,J25&lt;=400,G25=3,C25="IN",I25=120),VLOOKUP(T25,'CAFCO 300 IDIEM TABLAS'!$F$4:$H$35,3,FALSE),0)+IF(AND(L25="Cafco 300",J25&gt;=95,J25&lt;=450,G25=4,C25="IN",I25=90),VLOOKUP(T25,'CAFCO 300 IDIEM TABLAS'!$J$4:$L$40,2,FALSE),0)+IF(AND(L25="Cafco 300",J25&gt;=95,J25&lt;=450,G25=4,C25="IN",I25=120),VLOOKUP(T25,'CAFCO 300 IDIEM TABLAS'!$J$4:$L$40,3,FALSE),0)+IF(AND(M25="Ensayo Idiem",L25="Cafco 400",C25="IN",G25=4,I25=90),VLOOKUP(T25,'CAFCO 400 ENSAYO'!$B$7:$D$43,2,FALSE),0)+IF(AND(M25="Ensayo Idiem",L25="Cafco 400",C25="IN",G25=4,I25=120),VLOOKUP(T25,'CAFCO 400 ENSAYO'!$B$7:$D$43,3,FALSE),0)</f>
        <v>0</v>
      </c>
      <c r="O25" s="96">
        <f t="shared" si="1"/>
        <v>0</v>
      </c>
      <c r="P25" s="95" t="str">
        <f t="shared" si="2"/>
        <v>NO CERT.</v>
      </c>
      <c r="Q25" s="95" t="str">
        <f t="shared" si="3"/>
        <v>NO CERT.</v>
      </c>
      <c r="R25" s="95" t="str">
        <f t="shared" si="4"/>
        <v>NO CERT.</v>
      </c>
      <c r="S25" s="95" t="e">
        <f t="shared" si="0"/>
        <v>#N/A</v>
      </c>
      <c r="T25" s="119" t="e">
        <f>+IF(J25=LOOKUP(J25,'CAFCO 300 IDIEM TABLAS'!$J$4:$J$40),'CALCULO MORTERO'!J25,MROUND('CALCULO MORTERO'!J25,10))</f>
        <v>#N/A</v>
      </c>
      <c r="U25" s="118">
        <f t="shared" si="5"/>
        <v>0</v>
      </c>
      <c r="Y25" s="4"/>
      <c r="Z25" s="4"/>
      <c r="AA25" s="4"/>
    </row>
    <row r="26" spans="1:27" ht="15.6" customHeight="1" x14ac:dyDescent="0.25">
      <c r="A26" s="118">
        <f>+CUBICACION!D25</f>
        <v>0</v>
      </c>
      <c r="B26" s="819">
        <f>+CUBICACION!E25</f>
        <v>0</v>
      </c>
      <c r="C26" s="675">
        <f>+CUBICACION!F25</f>
        <v>0</v>
      </c>
      <c r="D26" s="118"/>
      <c r="E26" s="118"/>
      <c r="F26" s="820"/>
      <c r="G26" s="675">
        <f>+CUBICACION!J25</f>
        <v>4</v>
      </c>
      <c r="H26" s="118"/>
      <c r="I26" s="821">
        <f>+CUBICACION!L25</f>
        <v>0</v>
      </c>
      <c r="J26" s="64">
        <f>+CUBICACION!M25</f>
        <v>0</v>
      </c>
      <c r="K26" s="822">
        <f>+CUBICACION!N25</f>
        <v>0</v>
      </c>
      <c r="L26" s="118">
        <f>+CUBICACION!O25</f>
        <v>0</v>
      </c>
      <c r="M26" s="823" t="str">
        <f>+CUBICACION!P25</f>
        <v>Software Idiem</v>
      </c>
      <c r="N26" s="902">
        <f>ROUND(IF(AND(L26="Blaze Shield II",M26="Software Idiem",C26="IN",G26=4),((('BLAZE SHIELD II'!$D$4*('CALCULO MORTERO'!I26^2)+'BLAZE SHIELD II'!$D$5*'CALCULO MORTERO'!I26+'BLAZE SHIELD II'!$D$6)*LN(J26))+('BLAZE SHIELD II'!$D$7*('CALCULO MORTERO'!I26^2)+'BLAZE SHIELD II'!$D$8*'CALCULO MORTERO'!I26+'BLAZE SHIELD II'!$D$9)),0)+IF(AND(L26="Blaze Shield II",M26="Software Idiem",C26="Cj"),((('BLAZE SHIELD II'!$H$4*('CALCULO MORTERO'!I26^2)+'BLAZE SHIELD II'!$H$5*'CALCULO MORTERO'!I26+'BLAZE SHIELD II'!$H$6)*LN(J26))+('BLAZE SHIELD II'!$H$7*('CALCULO MORTERO'!I26^2)+'BLAZE SHIELD II'!$H$8*'CALCULO MORTERO'!I26+'BLAZE SHIELD II'!$H$9)),0)+IF(AND(L26="Blaze Shield II",M26="Software Idiem",C26="C"),((('BLAZE SHIELD II'!$L$4*('CALCULO MORTERO'!I26^2)+'BLAZE SHIELD II'!$L$5*'CALCULO MORTERO'!I26+'BLAZE SHIELD II'!$L$6)*LN(J26))+('BLAZE SHIELD II'!$L$7*('CALCULO MORTERO'!I26^2)+'BLAZE SHIELD II'!$L$8*'CALCULO MORTERO'!I26+'BLAZE SHIELD II'!$L$9)),0)+IF(AND(L26="Blaze Shield II",M26="Software Idiem",C26="L"),((('BLAZE SHIELD II'!$L$4*('CALCULO MORTERO'!I26^2)+'BLAZE SHIELD II'!$L$5*'CALCULO MORTERO'!I26+'BLAZE SHIELD II'!$L$6)*LN(J26))+('BLAZE SHIELD II'!$L$7*('CALCULO MORTERO'!I26^2)+'BLAZE SHIELD II'!$L$8*'CALCULO MORTERO'!I26+'BLAZE SHIELD II'!$L$9)),0)+IF(AND(L26="Blaze Shield II",M26="Software Idiem",C26="IN",G26=3),((('BLAZE SHIELD II'!$H$14*('CALCULO MORTERO'!I26^2)+'BLAZE SHIELD II'!$H$15*'CALCULO MORTERO'!I26+'BLAZE SHIELD II'!$H$16)*LN(J26))+('BLAZE SHIELD II'!$H$17*('CALCULO MORTERO'!I26^2)+'BLAZE SHIELD II'!$H$18*'CALCULO MORTERO'!I26+'BLAZE SHIELD II'!$H$19)),0),0)+ROUND(IF(AND(L26="Cafco 400",M26="Software Idiem",C26="IN",G26=4),((('CAFCO 400 '!$H$7*(J26^4)+'CAFCO 400 '!$H$8*(J26^3)+'CAFCO 400 '!$H$9*(J26^2)+'CAFCO 400 '!$H$10*J26+'CAFCO 400 '!$H$11)*U26^2)+(('CAFCO 400 '!$H$12*(J26^3)+'CAFCO 400 '!$H$13*(J26^2)+'CAFCO 400 '!$H$14*J26+'CAFCO 400 '!$H$15)*U26)+('CAFCO 400 '!$H$16*(J26^2)+'CAFCO 400 '!$H$17*J26+'CAFCO 400 '!$H$18)),0)+IF(AND(L26="Cafco 400",M26="Software Idiem",C26="Cj"),(((('CAFCO 400 '!$D$7*LN(J26)+'CAFCO 400 '!$D$8)*U26^2)+(('CAFCO 400 '!$D$9*LN(J26)+'CAFCO 400 '!$D$10)*U26)+('CAFCO 400 '!$D$11*LN(J26)+'CAFCO 400 '!$D$12))),0)+IF(AND(L26="Cafco 400",M26="Software Idiem",C26="C"),((('CAFCO 400 '!$L$7*(J26^3)+'CAFCO 400 '!$L$8*(J26^2)+'CAFCO 400 '!$L$9*J26+'CAFCO 400 '!$L$10)*U26^2)+(('CAFCO 400 '!$L$11*(J26^3)+'CAFCO 400 '!$L$12*(J26^2)+'CAFCO 400 '!$L$13*J26+'CAFCO 400 '!$L$14)*U26)+('CAFCO 400 '!$L$15*LN(J26)+'CAFCO 400 '!$L$16)),0)+IF(AND(L26="Cafco 400",M26="Software Idiem",C26="L"),((('CAFCO 400 '!$L$7*(J26^3)+'CAFCO 400 '!$L$8*(J26^2)+'CAFCO 400 '!$L$9*J26+'CAFCO 400 '!$L$10)*U26^2)+(('CAFCO 400 '!$L$11*(J26^3)+'CAFCO 400 '!$L$12*(J26^2)+'CAFCO 400 '!$L$13*J26+'CAFCO 400 '!$L$14)*U26)+('CAFCO 400 '!$L$15*LN(J26)+'CAFCO 400 '!$L$16)),0)+IF(AND(L26="Cafco 400",M26="Software Idiem",C26="IN",G26=3),((('CAFCO 400 '!$D$23*(J26^2)+'CAFCO 400 '!$D$24*(J26)+'CAFCO 400 '!$D$25)*U26^2)+(('CAFCO 400 '!$D$26*(J26^2)+'CAFCO 400 '!$D$27*J26+'CAFCO 400 '!$D$28)*U26)+('CAFCO 400 '!$D$29*(J26^2)+'CAFCO 400 '!$D$30*J26+'CAFCO 400 '!$D$31)),0),0)+IF(AND(L26="Cafco 300",J26&gt;=95,J26&lt;=240,C26="Cj",I26=90),VLOOKUP(T26,'CAFCO 300 IDIEM TABLAS'!$B$4:$D$23,2,FALSE),0)+IF(AND(L26="Cafco 300",J26&gt;=95,J26&lt;=240,C26="Cj",I26=120),VLOOKUP(T26,'CAFCO 300 IDIEM TABLAS'!$B$4:$D$23,3,FALSE),0)+IF(AND(L26="Cafco 300",J26&gt;=95,J26&lt;=400,G26=3,C26="IN",I26=90),VLOOKUP(T26,'CAFCO 300 IDIEM TABLAS'!$F$4:$H$35,2,FALSE),0)+IF(AND(L26="Cafco 300",J26&gt;=95,J26&lt;=400,G26=3,C26="IN",I26=120),VLOOKUP(T26,'CAFCO 300 IDIEM TABLAS'!$F$4:$H$35,3,FALSE),0)+IF(AND(L26="Cafco 300",J26&gt;=95,J26&lt;=450,G26=4,C26="IN",I26=90),VLOOKUP(T26,'CAFCO 300 IDIEM TABLAS'!$J$4:$L$40,2,FALSE),0)+IF(AND(L26="Cafco 300",J26&gt;=95,J26&lt;=450,G26=4,C26="IN",I26=120),VLOOKUP(T26,'CAFCO 300 IDIEM TABLAS'!$J$4:$L$40,3,FALSE),0)+IF(AND(M26="Ensayo Idiem",L26="Cafco 400",C26="IN",G26=4,I26=90),VLOOKUP(T26,'CAFCO 400 ENSAYO'!$B$7:$D$43,2,FALSE),0)+IF(AND(M26="Ensayo Idiem",L26="Cafco 400",C26="IN",G26=4,I26=120),VLOOKUP(T26,'CAFCO 400 ENSAYO'!$B$7:$D$43,3,FALSE),0)</f>
        <v>0</v>
      </c>
      <c r="O26" s="96">
        <f t="shared" si="1"/>
        <v>0</v>
      </c>
      <c r="P26" s="95" t="str">
        <f t="shared" si="2"/>
        <v>NO CERT.</v>
      </c>
      <c r="Q26" s="95" t="str">
        <f t="shared" si="3"/>
        <v>NO CERT.</v>
      </c>
      <c r="R26" s="95" t="str">
        <f t="shared" si="4"/>
        <v>NO CERT.</v>
      </c>
      <c r="S26" s="95" t="e">
        <f t="shared" si="0"/>
        <v>#N/A</v>
      </c>
      <c r="T26" s="119" t="e">
        <f>+IF(J26=LOOKUP(J26,'CAFCO 300 IDIEM TABLAS'!$J$4:$J$40),'CALCULO MORTERO'!J26,MROUND('CALCULO MORTERO'!J26,10))</f>
        <v>#N/A</v>
      </c>
      <c r="U26" s="118">
        <f t="shared" si="5"/>
        <v>0</v>
      </c>
      <c r="Y26" s="4"/>
      <c r="Z26" s="4"/>
      <c r="AA26" s="4"/>
    </row>
    <row r="27" spans="1:27" x14ac:dyDescent="0.25">
      <c r="A27" s="118" t="str">
        <f>+CUBICACION!D26</f>
        <v>VIGA</v>
      </c>
      <c r="B27" s="819" t="str">
        <f>+CUBICACION!E26</f>
        <v xml:space="preserve"> M1 MM600X225X4</v>
      </c>
      <c r="C27" s="675" t="str">
        <f>+CUBICACION!F26</f>
        <v>CJ</v>
      </c>
      <c r="D27" s="118"/>
      <c r="E27" s="118"/>
      <c r="F27" s="820"/>
      <c r="G27" s="675">
        <f>+CUBICACION!J26</f>
        <v>4</v>
      </c>
      <c r="H27" s="118"/>
      <c r="I27" s="821" t="str">
        <f>+CUBICACION!L26</f>
        <v>F-60</v>
      </c>
      <c r="J27" s="64">
        <f>+CUBICACION!M26</f>
        <v>250</v>
      </c>
      <c r="K27" s="822">
        <f>+CUBICACION!N26</f>
        <v>49.5</v>
      </c>
      <c r="L27" s="118" t="str">
        <f>+CUBICACION!O26</f>
        <v>Fire Tex 5090</v>
      </c>
      <c r="M27" s="823" t="str">
        <f>+CUBICACION!P26</f>
        <v>Software Idiem</v>
      </c>
      <c r="N27" s="902">
        <f>ROUND(IF(AND(L27="Blaze Shield II",M27="Software Idiem",C27="IN",G27=4),((('BLAZE SHIELD II'!$D$4*('CALCULO MORTERO'!I27^2)+'BLAZE SHIELD II'!$D$5*'CALCULO MORTERO'!I27+'BLAZE SHIELD II'!$D$6)*LN(J27))+('BLAZE SHIELD II'!$D$7*('CALCULO MORTERO'!I27^2)+'BLAZE SHIELD II'!$D$8*'CALCULO MORTERO'!I27+'BLAZE SHIELD II'!$D$9)),0)+IF(AND(L27="Blaze Shield II",M27="Software Idiem",C27="Cj"),((('BLAZE SHIELD II'!$H$4*('CALCULO MORTERO'!I27^2)+'BLAZE SHIELD II'!$H$5*'CALCULO MORTERO'!I27+'BLAZE SHIELD II'!$H$6)*LN(J27))+('BLAZE SHIELD II'!$H$7*('CALCULO MORTERO'!I27^2)+'BLAZE SHIELD II'!$H$8*'CALCULO MORTERO'!I27+'BLAZE SHIELD II'!$H$9)),0)+IF(AND(L27="Blaze Shield II",M27="Software Idiem",C27="C"),((('BLAZE SHIELD II'!$L$4*('CALCULO MORTERO'!I27^2)+'BLAZE SHIELD II'!$L$5*'CALCULO MORTERO'!I27+'BLAZE SHIELD II'!$L$6)*LN(J27))+('BLAZE SHIELD II'!$L$7*('CALCULO MORTERO'!I27^2)+'BLAZE SHIELD II'!$L$8*'CALCULO MORTERO'!I27+'BLAZE SHIELD II'!$L$9)),0)+IF(AND(L27="Blaze Shield II",M27="Software Idiem",C27="L"),((('BLAZE SHIELD II'!$L$4*('CALCULO MORTERO'!I27^2)+'BLAZE SHIELD II'!$L$5*'CALCULO MORTERO'!I27+'BLAZE SHIELD II'!$L$6)*LN(J27))+('BLAZE SHIELD II'!$L$7*('CALCULO MORTERO'!I27^2)+'BLAZE SHIELD II'!$L$8*'CALCULO MORTERO'!I27+'BLAZE SHIELD II'!$L$9)),0)+IF(AND(L27="Blaze Shield II",M27="Software Idiem",C27="IN",G27=3),((('BLAZE SHIELD II'!$H$14*('CALCULO MORTERO'!I27^2)+'BLAZE SHIELD II'!$H$15*'CALCULO MORTERO'!I27+'BLAZE SHIELD II'!$H$16)*LN(J27))+('BLAZE SHIELD II'!$H$17*('CALCULO MORTERO'!I27^2)+'BLAZE SHIELD II'!$H$18*'CALCULO MORTERO'!I27+'BLAZE SHIELD II'!$H$19)),0),0)+ROUND(IF(AND(L27="Cafco 400",M27="Software Idiem",C27="IN",G27=4),((('CAFCO 400 '!$H$7*(J27^4)+'CAFCO 400 '!$H$8*(J27^3)+'CAFCO 400 '!$H$9*(J27^2)+'CAFCO 400 '!$H$10*J27+'CAFCO 400 '!$H$11)*U27^2)+(('CAFCO 400 '!$H$12*(J27^3)+'CAFCO 400 '!$H$13*(J27^2)+'CAFCO 400 '!$H$14*J27+'CAFCO 400 '!$H$15)*U27)+('CAFCO 400 '!$H$16*(J27^2)+'CAFCO 400 '!$H$17*J27+'CAFCO 400 '!$H$18)),0)+IF(AND(L27="Cafco 400",M27="Software Idiem",C27="Cj"),(((('CAFCO 400 '!$D$7*LN(J27)+'CAFCO 400 '!$D$8)*U27^2)+(('CAFCO 400 '!$D$9*LN(J27)+'CAFCO 400 '!$D$10)*U27)+('CAFCO 400 '!$D$11*LN(J27)+'CAFCO 400 '!$D$12))),0)+IF(AND(L27="Cafco 400",M27="Software Idiem",C27="C"),((('CAFCO 400 '!$L$7*(J27^3)+'CAFCO 400 '!$L$8*(J27^2)+'CAFCO 400 '!$L$9*J27+'CAFCO 400 '!$L$10)*U27^2)+(('CAFCO 400 '!$L$11*(J27^3)+'CAFCO 400 '!$L$12*(J27^2)+'CAFCO 400 '!$L$13*J27+'CAFCO 400 '!$L$14)*U27)+('CAFCO 400 '!$L$15*LN(J27)+'CAFCO 400 '!$L$16)),0)+IF(AND(L27="Cafco 400",M27="Software Idiem",C27="L"),((('CAFCO 400 '!$L$7*(J27^3)+'CAFCO 400 '!$L$8*(J27^2)+'CAFCO 400 '!$L$9*J27+'CAFCO 400 '!$L$10)*U27^2)+(('CAFCO 400 '!$L$11*(J27^3)+'CAFCO 400 '!$L$12*(J27^2)+'CAFCO 400 '!$L$13*J27+'CAFCO 400 '!$L$14)*U27)+('CAFCO 400 '!$L$15*LN(J27)+'CAFCO 400 '!$L$16)),0)+IF(AND(L27="Cafco 400",M27="Software Idiem",C27="IN",G27=3),((('CAFCO 400 '!$D$23*(J27^2)+'CAFCO 400 '!$D$24*(J27)+'CAFCO 400 '!$D$25)*U27^2)+(('CAFCO 400 '!$D$26*(J27^2)+'CAFCO 400 '!$D$27*J27+'CAFCO 400 '!$D$28)*U27)+('CAFCO 400 '!$D$29*(J27^2)+'CAFCO 400 '!$D$30*J27+'CAFCO 400 '!$D$31)),0),0)+IF(AND(L27="Cafco 300",J27&gt;=95,J27&lt;=240,C27="Cj",I27=90),VLOOKUP(T27,'CAFCO 300 IDIEM TABLAS'!$B$4:$D$23,2,FALSE),0)+IF(AND(L27="Cafco 300",J27&gt;=95,J27&lt;=240,C27="Cj",I27=120),VLOOKUP(T27,'CAFCO 300 IDIEM TABLAS'!$B$4:$D$23,3,FALSE),0)+IF(AND(L27="Cafco 300",J27&gt;=95,J27&lt;=400,G27=3,C27="IN",I27=90),VLOOKUP(T27,'CAFCO 300 IDIEM TABLAS'!$F$4:$H$35,2,FALSE),0)+IF(AND(L27="Cafco 300",J27&gt;=95,J27&lt;=400,G27=3,C27="IN",I27=120),VLOOKUP(T27,'CAFCO 300 IDIEM TABLAS'!$F$4:$H$35,3,FALSE),0)+IF(AND(L27="Cafco 300",J27&gt;=95,J27&lt;=450,G27=4,C27="IN",I27=90),VLOOKUP(T27,'CAFCO 300 IDIEM TABLAS'!$J$4:$L$40,2,FALSE),0)+IF(AND(L27="Cafco 300",J27&gt;=95,J27&lt;=450,G27=4,C27="IN",I27=120),VLOOKUP(T27,'CAFCO 300 IDIEM TABLAS'!$J$4:$L$40,3,FALSE),0)+IF(AND(M27="Ensayo Idiem",L27="Cafco 400",C27="IN",G27=4,I27=90),VLOOKUP(T27,'CAFCO 400 ENSAYO'!$B$7:$D$43,2,FALSE),0)+IF(AND(M27="Ensayo Idiem",L27="Cafco 400",C27="IN",G27=4,I27=120),VLOOKUP(T27,'CAFCO 400 ENSAYO'!$B$7:$D$43,3,FALSE),0)</f>
        <v>0</v>
      </c>
      <c r="O27" s="96">
        <f t="shared" si="1"/>
        <v>0</v>
      </c>
      <c r="P27" s="95" t="str">
        <f t="shared" si="2"/>
        <v>CERT.</v>
      </c>
      <c r="Q27" s="95" t="str">
        <f t="shared" si="3"/>
        <v>CERT.</v>
      </c>
      <c r="R27" s="95" t="str">
        <f t="shared" si="4"/>
        <v>NO CERT.</v>
      </c>
      <c r="S27" s="95" t="str">
        <f t="shared" si="0"/>
        <v>NO CERT.</v>
      </c>
      <c r="T27" s="119">
        <f>+IF(J27=LOOKUP(J27,'CAFCO 300 IDIEM TABLAS'!$J$4:$J$40),'CALCULO MORTERO'!J27,MROUND('CALCULO MORTERO'!J27,10))</f>
        <v>250</v>
      </c>
      <c r="U27" s="118" t="e">
        <f t="shared" si="5"/>
        <v>#VALUE!</v>
      </c>
      <c r="Y27" s="4"/>
      <c r="Z27" s="4"/>
      <c r="AA27" s="4"/>
    </row>
    <row r="28" spans="1:27" ht="15.6" customHeight="1" x14ac:dyDescent="0.25">
      <c r="A28" s="118" t="str">
        <f>+CUBICACION!D27</f>
        <v>VIGA</v>
      </c>
      <c r="B28" s="819" t="str">
        <f>+CUBICACION!E27</f>
        <v xml:space="preserve"> M1 MM600X225X4</v>
      </c>
      <c r="C28" s="675" t="str">
        <f>+CUBICACION!F27</f>
        <v>CJ</v>
      </c>
      <c r="D28" s="118"/>
      <c r="E28" s="118"/>
      <c r="F28" s="820"/>
      <c r="G28" s="675">
        <f>+CUBICACION!J27</f>
        <v>4</v>
      </c>
      <c r="H28" s="118"/>
      <c r="I28" s="821" t="str">
        <f>+CUBICACION!L27</f>
        <v>F-60</v>
      </c>
      <c r="J28" s="64">
        <f>+CUBICACION!M27</f>
        <v>250</v>
      </c>
      <c r="K28" s="822">
        <f>+CUBICACION!N27</f>
        <v>49.5</v>
      </c>
      <c r="L28" s="118" t="str">
        <f>+CUBICACION!O27</f>
        <v>Fire Tex 5090</v>
      </c>
      <c r="M28" s="823" t="str">
        <f>+CUBICACION!P27</f>
        <v>Software Idiem</v>
      </c>
      <c r="N28" s="902">
        <f>ROUND(IF(AND(L28="Blaze Shield II",M28="Software Idiem",C28="IN",G28=4),((('BLAZE SHIELD II'!$D$4*('CALCULO MORTERO'!I28^2)+'BLAZE SHIELD II'!$D$5*'CALCULO MORTERO'!I28+'BLAZE SHIELD II'!$D$6)*LN(J28))+('BLAZE SHIELD II'!$D$7*('CALCULO MORTERO'!I28^2)+'BLAZE SHIELD II'!$D$8*'CALCULO MORTERO'!I28+'BLAZE SHIELD II'!$D$9)),0)+IF(AND(L28="Blaze Shield II",M28="Software Idiem",C28="Cj"),((('BLAZE SHIELD II'!$H$4*('CALCULO MORTERO'!I28^2)+'BLAZE SHIELD II'!$H$5*'CALCULO MORTERO'!I28+'BLAZE SHIELD II'!$H$6)*LN(J28))+('BLAZE SHIELD II'!$H$7*('CALCULO MORTERO'!I28^2)+'BLAZE SHIELD II'!$H$8*'CALCULO MORTERO'!I28+'BLAZE SHIELD II'!$H$9)),0)+IF(AND(L28="Blaze Shield II",M28="Software Idiem",C28="C"),((('BLAZE SHIELD II'!$L$4*('CALCULO MORTERO'!I28^2)+'BLAZE SHIELD II'!$L$5*'CALCULO MORTERO'!I28+'BLAZE SHIELD II'!$L$6)*LN(J28))+('BLAZE SHIELD II'!$L$7*('CALCULO MORTERO'!I28^2)+'BLAZE SHIELD II'!$L$8*'CALCULO MORTERO'!I28+'BLAZE SHIELD II'!$L$9)),0)+IF(AND(L28="Blaze Shield II",M28="Software Idiem",C28="L"),((('BLAZE SHIELD II'!$L$4*('CALCULO MORTERO'!I28^2)+'BLAZE SHIELD II'!$L$5*'CALCULO MORTERO'!I28+'BLAZE SHIELD II'!$L$6)*LN(J28))+('BLAZE SHIELD II'!$L$7*('CALCULO MORTERO'!I28^2)+'BLAZE SHIELD II'!$L$8*'CALCULO MORTERO'!I28+'BLAZE SHIELD II'!$L$9)),0)+IF(AND(L28="Blaze Shield II",M28="Software Idiem",C28="IN",G28=3),((('BLAZE SHIELD II'!$H$14*('CALCULO MORTERO'!I28^2)+'BLAZE SHIELD II'!$H$15*'CALCULO MORTERO'!I28+'BLAZE SHIELD II'!$H$16)*LN(J28))+('BLAZE SHIELD II'!$H$17*('CALCULO MORTERO'!I28^2)+'BLAZE SHIELD II'!$H$18*'CALCULO MORTERO'!I28+'BLAZE SHIELD II'!$H$19)),0),0)+ROUND(IF(AND(L28="Cafco 400",M28="Software Idiem",C28="IN",G28=4),((('CAFCO 400 '!$H$7*(J28^4)+'CAFCO 400 '!$H$8*(J28^3)+'CAFCO 400 '!$H$9*(J28^2)+'CAFCO 400 '!$H$10*J28+'CAFCO 400 '!$H$11)*U28^2)+(('CAFCO 400 '!$H$12*(J28^3)+'CAFCO 400 '!$H$13*(J28^2)+'CAFCO 400 '!$H$14*J28+'CAFCO 400 '!$H$15)*U28)+('CAFCO 400 '!$H$16*(J28^2)+'CAFCO 400 '!$H$17*J28+'CAFCO 400 '!$H$18)),0)+IF(AND(L28="Cafco 400",M28="Software Idiem",C28="Cj"),(((('CAFCO 400 '!$D$7*LN(J28)+'CAFCO 400 '!$D$8)*U28^2)+(('CAFCO 400 '!$D$9*LN(J28)+'CAFCO 400 '!$D$10)*U28)+('CAFCO 400 '!$D$11*LN(J28)+'CAFCO 400 '!$D$12))),0)+IF(AND(L28="Cafco 400",M28="Software Idiem",C28="C"),((('CAFCO 400 '!$L$7*(J28^3)+'CAFCO 400 '!$L$8*(J28^2)+'CAFCO 400 '!$L$9*J28+'CAFCO 400 '!$L$10)*U28^2)+(('CAFCO 400 '!$L$11*(J28^3)+'CAFCO 400 '!$L$12*(J28^2)+'CAFCO 400 '!$L$13*J28+'CAFCO 400 '!$L$14)*U28)+('CAFCO 400 '!$L$15*LN(J28)+'CAFCO 400 '!$L$16)),0)+IF(AND(L28="Cafco 400",M28="Software Idiem",C28="L"),((('CAFCO 400 '!$L$7*(J28^3)+'CAFCO 400 '!$L$8*(J28^2)+'CAFCO 400 '!$L$9*J28+'CAFCO 400 '!$L$10)*U28^2)+(('CAFCO 400 '!$L$11*(J28^3)+'CAFCO 400 '!$L$12*(J28^2)+'CAFCO 400 '!$L$13*J28+'CAFCO 400 '!$L$14)*U28)+('CAFCO 400 '!$L$15*LN(J28)+'CAFCO 400 '!$L$16)),0)+IF(AND(L28="Cafco 400",M28="Software Idiem",C28="IN",G28=3),((('CAFCO 400 '!$D$23*(J28^2)+'CAFCO 400 '!$D$24*(J28)+'CAFCO 400 '!$D$25)*U28^2)+(('CAFCO 400 '!$D$26*(J28^2)+'CAFCO 400 '!$D$27*J28+'CAFCO 400 '!$D$28)*U28)+('CAFCO 400 '!$D$29*(J28^2)+'CAFCO 400 '!$D$30*J28+'CAFCO 400 '!$D$31)),0),0)+IF(AND(L28="Cafco 300",J28&gt;=95,J28&lt;=240,C28="Cj",I28=90),VLOOKUP(T28,'CAFCO 300 IDIEM TABLAS'!$B$4:$D$23,2,FALSE),0)+IF(AND(L28="Cafco 300",J28&gt;=95,J28&lt;=240,C28="Cj",I28=120),VLOOKUP(T28,'CAFCO 300 IDIEM TABLAS'!$B$4:$D$23,3,FALSE),0)+IF(AND(L28="Cafco 300",J28&gt;=95,J28&lt;=400,G28=3,C28="IN",I28=90),VLOOKUP(T28,'CAFCO 300 IDIEM TABLAS'!$F$4:$H$35,2,FALSE),0)+IF(AND(L28="Cafco 300",J28&gt;=95,J28&lt;=400,G28=3,C28="IN",I28=120),VLOOKUP(T28,'CAFCO 300 IDIEM TABLAS'!$F$4:$H$35,3,FALSE),0)+IF(AND(L28="Cafco 300",J28&gt;=95,J28&lt;=450,G28=4,C28="IN",I28=90),VLOOKUP(T28,'CAFCO 300 IDIEM TABLAS'!$J$4:$L$40,2,FALSE),0)+IF(AND(L28="Cafco 300",J28&gt;=95,J28&lt;=450,G28=4,C28="IN",I28=120),VLOOKUP(T28,'CAFCO 300 IDIEM TABLAS'!$J$4:$L$40,3,FALSE),0)+IF(AND(M28="Ensayo Idiem",L28="Cafco 400",C28="IN",G28=4,I28=90),VLOOKUP(T28,'CAFCO 400 ENSAYO'!$B$7:$D$43,2,FALSE),0)+IF(AND(M28="Ensayo Idiem",L28="Cafco 400",C28="IN",G28=4,I28=120),VLOOKUP(T28,'CAFCO 400 ENSAYO'!$B$7:$D$43,3,FALSE),0)</f>
        <v>0</v>
      </c>
      <c r="O28" s="96">
        <f t="shared" si="1"/>
        <v>0</v>
      </c>
      <c r="P28" s="95" t="str">
        <f t="shared" si="2"/>
        <v>CERT.</v>
      </c>
      <c r="Q28" s="95" t="str">
        <f t="shared" si="3"/>
        <v>CERT.</v>
      </c>
      <c r="R28" s="95" t="str">
        <f t="shared" si="4"/>
        <v>NO CERT.</v>
      </c>
      <c r="S28" s="95" t="str">
        <f t="shared" si="0"/>
        <v>NO CERT.</v>
      </c>
      <c r="T28" s="119">
        <f>+IF(J28=LOOKUP(J28,'CAFCO 300 IDIEM TABLAS'!$J$4:$J$40),'CALCULO MORTERO'!J28,MROUND('CALCULO MORTERO'!J28,10))</f>
        <v>250</v>
      </c>
      <c r="U28" s="118" t="e">
        <f t="shared" si="5"/>
        <v>#VALUE!</v>
      </c>
      <c r="Y28" s="4"/>
      <c r="Z28" s="4"/>
      <c r="AA28" s="4"/>
    </row>
    <row r="29" spans="1:27" x14ac:dyDescent="0.25">
      <c r="A29" s="118" t="str">
        <f>+CUBICACION!D28</f>
        <v>VIGA</v>
      </c>
      <c r="B29" s="819" t="str">
        <f>+CUBICACION!E28</f>
        <v xml:space="preserve"> M1 MM600X225X4</v>
      </c>
      <c r="C29" s="675" t="str">
        <f>+CUBICACION!F28</f>
        <v>CJ</v>
      </c>
      <c r="D29" s="118"/>
      <c r="E29" s="118"/>
      <c r="F29" s="820"/>
      <c r="G29" s="675">
        <f>+CUBICACION!J28</f>
        <v>4</v>
      </c>
      <c r="H29" s="118"/>
      <c r="I29" s="821" t="str">
        <f>+CUBICACION!L28</f>
        <v>F-60</v>
      </c>
      <c r="J29" s="64">
        <f>+CUBICACION!M28</f>
        <v>250</v>
      </c>
      <c r="K29" s="822">
        <f>+CUBICACION!N28</f>
        <v>49.5</v>
      </c>
      <c r="L29" s="118" t="str">
        <f>+CUBICACION!O28</f>
        <v>Fire Tex 5090</v>
      </c>
      <c r="M29" s="823" t="str">
        <f>+CUBICACION!P28</f>
        <v>Software Idiem</v>
      </c>
      <c r="N29" s="902">
        <f>ROUND(IF(AND(L29="Blaze Shield II",M29="Software Idiem",C29="IN",G29=4),((('BLAZE SHIELD II'!$D$4*('CALCULO MORTERO'!I29^2)+'BLAZE SHIELD II'!$D$5*'CALCULO MORTERO'!I29+'BLAZE SHIELD II'!$D$6)*LN(J29))+('BLAZE SHIELD II'!$D$7*('CALCULO MORTERO'!I29^2)+'BLAZE SHIELD II'!$D$8*'CALCULO MORTERO'!I29+'BLAZE SHIELD II'!$D$9)),0)+IF(AND(L29="Blaze Shield II",M29="Software Idiem",C29="Cj"),((('BLAZE SHIELD II'!$H$4*('CALCULO MORTERO'!I29^2)+'BLAZE SHIELD II'!$H$5*'CALCULO MORTERO'!I29+'BLAZE SHIELD II'!$H$6)*LN(J29))+('BLAZE SHIELD II'!$H$7*('CALCULO MORTERO'!I29^2)+'BLAZE SHIELD II'!$H$8*'CALCULO MORTERO'!I29+'BLAZE SHIELD II'!$H$9)),0)+IF(AND(L29="Blaze Shield II",M29="Software Idiem",C29="C"),((('BLAZE SHIELD II'!$L$4*('CALCULO MORTERO'!I29^2)+'BLAZE SHIELD II'!$L$5*'CALCULO MORTERO'!I29+'BLAZE SHIELD II'!$L$6)*LN(J29))+('BLAZE SHIELD II'!$L$7*('CALCULO MORTERO'!I29^2)+'BLAZE SHIELD II'!$L$8*'CALCULO MORTERO'!I29+'BLAZE SHIELD II'!$L$9)),0)+IF(AND(L29="Blaze Shield II",M29="Software Idiem",C29="L"),((('BLAZE SHIELD II'!$L$4*('CALCULO MORTERO'!I29^2)+'BLAZE SHIELD II'!$L$5*'CALCULO MORTERO'!I29+'BLAZE SHIELD II'!$L$6)*LN(J29))+('BLAZE SHIELD II'!$L$7*('CALCULO MORTERO'!I29^2)+'BLAZE SHIELD II'!$L$8*'CALCULO MORTERO'!I29+'BLAZE SHIELD II'!$L$9)),0)+IF(AND(L29="Blaze Shield II",M29="Software Idiem",C29="IN",G29=3),((('BLAZE SHIELD II'!$H$14*('CALCULO MORTERO'!I29^2)+'BLAZE SHIELD II'!$H$15*'CALCULO MORTERO'!I29+'BLAZE SHIELD II'!$H$16)*LN(J29))+('BLAZE SHIELD II'!$H$17*('CALCULO MORTERO'!I29^2)+'BLAZE SHIELD II'!$H$18*'CALCULO MORTERO'!I29+'BLAZE SHIELD II'!$H$19)),0),0)+ROUND(IF(AND(L29="Cafco 400",M29="Software Idiem",C29="IN",G29=4),((('CAFCO 400 '!$H$7*(J29^4)+'CAFCO 400 '!$H$8*(J29^3)+'CAFCO 400 '!$H$9*(J29^2)+'CAFCO 400 '!$H$10*J29+'CAFCO 400 '!$H$11)*U29^2)+(('CAFCO 400 '!$H$12*(J29^3)+'CAFCO 400 '!$H$13*(J29^2)+'CAFCO 400 '!$H$14*J29+'CAFCO 400 '!$H$15)*U29)+('CAFCO 400 '!$H$16*(J29^2)+'CAFCO 400 '!$H$17*J29+'CAFCO 400 '!$H$18)),0)+IF(AND(L29="Cafco 400",M29="Software Idiem",C29="Cj"),(((('CAFCO 400 '!$D$7*LN(J29)+'CAFCO 400 '!$D$8)*U29^2)+(('CAFCO 400 '!$D$9*LN(J29)+'CAFCO 400 '!$D$10)*U29)+('CAFCO 400 '!$D$11*LN(J29)+'CAFCO 400 '!$D$12))),0)+IF(AND(L29="Cafco 400",M29="Software Idiem",C29="C"),((('CAFCO 400 '!$L$7*(J29^3)+'CAFCO 400 '!$L$8*(J29^2)+'CAFCO 400 '!$L$9*J29+'CAFCO 400 '!$L$10)*U29^2)+(('CAFCO 400 '!$L$11*(J29^3)+'CAFCO 400 '!$L$12*(J29^2)+'CAFCO 400 '!$L$13*J29+'CAFCO 400 '!$L$14)*U29)+('CAFCO 400 '!$L$15*LN(J29)+'CAFCO 400 '!$L$16)),0)+IF(AND(L29="Cafco 400",M29="Software Idiem",C29="L"),((('CAFCO 400 '!$L$7*(J29^3)+'CAFCO 400 '!$L$8*(J29^2)+'CAFCO 400 '!$L$9*J29+'CAFCO 400 '!$L$10)*U29^2)+(('CAFCO 400 '!$L$11*(J29^3)+'CAFCO 400 '!$L$12*(J29^2)+'CAFCO 400 '!$L$13*J29+'CAFCO 400 '!$L$14)*U29)+('CAFCO 400 '!$L$15*LN(J29)+'CAFCO 400 '!$L$16)),0)+IF(AND(L29="Cafco 400",M29="Software Idiem",C29="IN",G29=3),((('CAFCO 400 '!$D$23*(J29^2)+'CAFCO 400 '!$D$24*(J29)+'CAFCO 400 '!$D$25)*U29^2)+(('CAFCO 400 '!$D$26*(J29^2)+'CAFCO 400 '!$D$27*J29+'CAFCO 400 '!$D$28)*U29)+('CAFCO 400 '!$D$29*(J29^2)+'CAFCO 400 '!$D$30*J29+'CAFCO 400 '!$D$31)),0),0)+IF(AND(L29="Cafco 300",J29&gt;=95,J29&lt;=240,C29="Cj",I29=90),VLOOKUP(T29,'CAFCO 300 IDIEM TABLAS'!$B$4:$D$23,2,FALSE),0)+IF(AND(L29="Cafco 300",J29&gt;=95,J29&lt;=240,C29="Cj",I29=120),VLOOKUP(T29,'CAFCO 300 IDIEM TABLAS'!$B$4:$D$23,3,FALSE),0)+IF(AND(L29="Cafco 300",J29&gt;=95,J29&lt;=400,G29=3,C29="IN",I29=90),VLOOKUP(T29,'CAFCO 300 IDIEM TABLAS'!$F$4:$H$35,2,FALSE),0)+IF(AND(L29="Cafco 300",J29&gt;=95,J29&lt;=400,G29=3,C29="IN",I29=120),VLOOKUP(T29,'CAFCO 300 IDIEM TABLAS'!$F$4:$H$35,3,FALSE),0)+IF(AND(L29="Cafco 300",J29&gt;=95,J29&lt;=450,G29=4,C29="IN",I29=90),VLOOKUP(T29,'CAFCO 300 IDIEM TABLAS'!$J$4:$L$40,2,FALSE),0)+IF(AND(L29="Cafco 300",J29&gt;=95,J29&lt;=450,G29=4,C29="IN",I29=120),VLOOKUP(T29,'CAFCO 300 IDIEM TABLAS'!$J$4:$L$40,3,FALSE),0)+IF(AND(M29="Ensayo Idiem",L29="Cafco 400",C29="IN",G29=4,I29=90),VLOOKUP(T29,'CAFCO 400 ENSAYO'!$B$7:$D$43,2,FALSE),0)+IF(AND(M29="Ensayo Idiem",L29="Cafco 400",C29="IN",G29=4,I29=120),VLOOKUP(T29,'CAFCO 400 ENSAYO'!$B$7:$D$43,3,FALSE),0)</f>
        <v>0</v>
      </c>
      <c r="O29" s="96">
        <f t="shared" si="1"/>
        <v>0</v>
      </c>
      <c r="P29" s="95" t="str">
        <f t="shared" si="2"/>
        <v>CERT.</v>
      </c>
      <c r="Q29" s="95" t="str">
        <f t="shared" si="3"/>
        <v>CERT.</v>
      </c>
      <c r="R29" s="95" t="str">
        <f t="shared" si="4"/>
        <v>NO CERT.</v>
      </c>
      <c r="S29" s="95" t="str">
        <f t="shared" si="0"/>
        <v>NO CERT.</v>
      </c>
      <c r="T29" s="119">
        <f>+IF(J29=LOOKUP(J29,'CAFCO 300 IDIEM TABLAS'!$J$4:$J$40),'CALCULO MORTERO'!J29,MROUND('CALCULO MORTERO'!J29,10))</f>
        <v>250</v>
      </c>
      <c r="U29" s="118" t="e">
        <f t="shared" si="5"/>
        <v>#VALUE!</v>
      </c>
      <c r="Y29" s="4"/>
      <c r="Z29" s="4"/>
      <c r="AA29" s="4"/>
    </row>
    <row r="30" spans="1:27" ht="15.6" customHeight="1" x14ac:dyDescent="0.25">
      <c r="A30" s="118" t="str">
        <f>+CUBICACION!D29</f>
        <v>VIGA</v>
      </c>
      <c r="B30" s="819" t="str">
        <f>+CUBICACION!E29</f>
        <v xml:space="preserve"> M1 MM600X225X4</v>
      </c>
      <c r="C30" s="675" t="str">
        <f>+CUBICACION!F29</f>
        <v>CJ</v>
      </c>
      <c r="D30" s="118"/>
      <c r="E30" s="118"/>
      <c r="F30" s="820"/>
      <c r="G30" s="675">
        <f>+CUBICACION!J29</f>
        <v>4</v>
      </c>
      <c r="H30" s="118"/>
      <c r="I30" s="821" t="str">
        <f>+CUBICACION!L29</f>
        <v>F-60</v>
      </c>
      <c r="J30" s="64">
        <f>+CUBICACION!M29</f>
        <v>250</v>
      </c>
      <c r="K30" s="822">
        <f>+CUBICACION!N29</f>
        <v>346.5</v>
      </c>
      <c r="L30" s="118" t="str">
        <f>+CUBICACION!O29</f>
        <v>Fire Tex 5090</v>
      </c>
      <c r="M30" s="823" t="str">
        <f>+CUBICACION!P29</f>
        <v>Software Idiem</v>
      </c>
      <c r="N30" s="902">
        <f>ROUND(IF(AND(L30="Blaze Shield II",M30="Software Idiem",C30="IN",G30=4),((('BLAZE SHIELD II'!$D$4*('CALCULO MORTERO'!I30^2)+'BLAZE SHIELD II'!$D$5*'CALCULO MORTERO'!I30+'BLAZE SHIELD II'!$D$6)*LN(J30))+('BLAZE SHIELD II'!$D$7*('CALCULO MORTERO'!I30^2)+'BLAZE SHIELD II'!$D$8*'CALCULO MORTERO'!I30+'BLAZE SHIELD II'!$D$9)),0)+IF(AND(L30="Blaze Shield II",M30="Software Idiem",C30="Cj"),((('BLAZE SHIELD II'!$H$4*('CALCULO MORTERO'!I30^2)+'BLAZE SHIELD II'!$H$5*'CALCULO MORTERO'!I30+'BLAZE SHIELD II'!$H$6)*LN(J30))+('BLAZE SHIELD II'!$H$7*('CALCULO MORTERO'!I30^2)+'BLAZE SHIELD II'!$H$8*'CALCULO MORTERO'!I30+'BLAZE SHIELD II'!$H$9)),0)+IF(AND(L30="Blaze Shield II",M30="Software Idiem",C30="C"),((('BLAZE SHIELD II'!$L$4*('CALCULO MORTERO'!I30^2)+'BLAZE SHIELD II'!$L$5*'CALCULO MORTERO'!I30+'BLAZE SHIELD II'!$L$6)*LN(J30))+('BLAZE SHIELD II'!$L$7*('CALCULO MORTERO'!I30^2)+'BLAZE SHIELD II'!$L$8*'CALCULO MORTERO'!I30+'BLAZE SHIELD II'!$L$9)),0)+IF(AND(L30="Blaze Shield II",M30="Software Idiem",C30="L"),((('BLAZE SHIELD II'!$L$4*('CALCULO MORTERO'!I30^2)+'BLAZE SHIELD II'!$L$5*'CALCULO MORTERO'!I30+'BLAZE SHIELD II'!$L$6)*LN(J30))+('BLAZE SHIELD II'!$L$7*('CALCULO MORTERO'!I30^2)+'BLAZE SHIELD II'!$L$8*'CALCULO MORTERO'!I30+'BLAZE SHIELD II'!$L$9)),0)+IF(AND(L30="Blaze Shield II",M30="Software Idiem",C30="IN",G30=3),((('BLAZE SHIELD II'!$H$14*('CALCULO MORTERO'!I30^2)+'BLAZE SHIELD II'!$H$15*'CALCULO MORTERO'!I30+'BLAZE SHIELD II'!$H$16)*LN(J30))+('BLAZE SHIELD II'!$H$17*('CALCULO MORTERO'!I30^2)+'BLAZE SHIELD II'!$H$18*'CALCULO MORTERO'!I30+'BLAZE SHIELD II'!$H$19)),0),0)+ROUND(IF(AND(L30="Cafco 400",M30="Software Idiem",C30="IN",G30=4),((('CAFCO 400 '!$H$7*(J30^4)+'CAFCO 400 '!$H$8*(J30^3)+'CAFCO 400 '!$H$9*(J30^2)+'CAFCO 400 '!$H$10*J30+'CAFCO 400 '!$H$11)*U30^2)+(('CAFCO 400 '!$H$12*(J30^3)+'CAFCO 400 '!$H$13*(J30^2)+'CAFCO 400 '!$H$14*J30+'CAFCO 400 '!$H$15)*U30)+('CAFCO 400 '!$H$16*(J30^2)+'CAFCO 400 '!$H$17*J30+'CAFCO 400 '!$H$18)),0)+IF(AND(L30="Cafco 400",M30="Software Idiem",C30="Cj"),(((('CAFCO 400 '!$D$7*LN(J30)+'CAFCO 400 '!$D$8)*U30^2)+(('CAFCO 400 '!$D$9*LN(J30)+'CAFCO 400 '!$D$10)*U30)+('CAFCO 400 '!$D$11*LN(J30)+'CAFCO 400 '!$D$12))),0)+IF(AND(L30="Cafco 400",M30="Software Idiem",C30="C"),((('CAFCO 400 '!$L$7*(J30^3)+'CAFCO 400 '!$L$8*(J30^2)+'CAFCO 400 '!$L$9*J30+'CAFCO 400 '!$L$10)*U30^2)+(('CAFCO 400 '!$L$11*(J30^3)+'CAFCO 400 '!$L$12*(J30^2)+'CAFCO 400 '!$L$13*J30+'CAFCO 400 '!$L$14)*U30)+('CAFCO 400 '!$L$15*LN(J30)+'CAFCO 400 '!$L$16)),0)+IF(AND(L30="Cafco 400",M30="Software Idiem",C30="L"),((('CAFCO 400 '!$L$7*(J30^3)+'CAFCO 400 '!$L$8*(J30^2)+'CAFCO 400 '!$L$9*J30+'CAFCO 400 '!$L$10)*U30^2)+(('CAFCO 400 '!$L$11*(J30^3)+'CAFCO 400 '!$L$12*(J30^2)+'CAFCO 400 '!$L$13*J30+'CAFCO 400 '!$L$14)*U30)+('CAFCO 400 '!$L$15*LN(J30)+'CAFCO 400 '!$L$16)),0)+IF(AND(L30="Cafco 400",M30="Software Idiem",C30="IN",G30=3),((('CAFCO 400 '!$D$23*(J30^2)+'CAFCO 400 '!$D$24*(J30)+'CAFCO 400 '!$D$25)*U30^2)+(('CAFCO 400 '!$D$26*(J30^2)+'CAFCO 400 '!$D$27*J30+'CAFCO 400 '!$D$28)*U30)+('CAFCO 400 '!$D$29*(J30^2)+'CAFCO 400 '!$D$30*J30+'CAFCO 400 '!$D$31)),0),0)+IF(AND(L30="Cafco 300",J30&gt;=95,J30&lt;=240,C30="Cj",I30=90),VLOOKUP(T30,'CAFCO 300 IDIEM TABLAS'!$B$4:$D$23,2,FALSE),0)+IF(AND(L30="Cafco 300",J30&gt;=95,J30&lt;=240,C30="Cj",I30=120),VLOOKUP(T30,'CAFCO 300 IDIEM TABLAS'!$B$4:$D$23,3,FALSE),0)+IF(AND(L30="Cafco 300",J30&gt;=95,J30&lt;=400,G30=3,C30="IN",I30=90),VLOOKUP(T30,'CAFCO 300 IDIEM TABLAS'!$F$4:$H$35,2,FALSE),0)+IF(AND(L30="Cafco 300",J30&gt;=95,J30&lt;=400,G30=3,C30="IN",I30=120),VLOOKUP(T30,'CAFCO 300 IDIEM TABLAS'!$F$4:$H$35,3,FALSE),0)+IF(AND(L30="Cafco 300",J30&gt;=95,J30&lt;=450,G30=4,C30="IN",I30=90),VLOOKUP(T30,'CAFCO 300 IDIEM TABLAS'!$J$4:$L$40,2,FALSE),0)+IF(AND(L30="Cafco 300",J30&gt;=95,J30&lt;=450,G30=4,C30="IN",I30=120),VLOOKUP(T30,'CAFCO 300 IDIEM TABLAS'!$J$4:$L$40,3,FALSE),0)+IF(AND(M30="Ensayo Idiem",L30="Cafco 400",C30="IN",G30=4,I30=90),VLOOKUP(T30,'CAFCO 400 ENSAYO'!$B$7:$D$43,2,FALSE),0)+IF(AND(M30="Ensayo Idiem",L30="Cafco 400",C30="IN",G30=4,I30=120),VLOOKUP(T30,'CAFCO 400 ENSAYO'!$B$7:$D$43,3,FALSE),0)</f>
        <v>0</v>
      </c>
      <c r="O30" s="96">
        <f t="shared" si="1"/>
        <v>0</v>
      </c>
      <c r="P30" s="95" t="str">
        <f t="shared" si="2"/>
        <v>CERT.</v>
      </c>
      <c r="Q30" s="95" t="str">
        <f t="shared" si="3"/>
        <v>CERT.</v>
      </c>
      <c r="R30" s="95" t="str">
        <f t="shared" si="4"/>
        <v>NO CERT.</v>
      </c>
      <c r="S30" s="95" t="str">
        <f t="shared" si="0"/>
        <v>NO CERT.</v>
      </c>
      <c r="T30" s="119">
        <f>+IF(J30=LOOKUP(J30,'CAFCO 300 IDIEM TABLAS'!$J$4:$J$40),'CALCULO MORTERO'!J30,MROUND('CALCULO MORTERO'!J30,10))</f>
        <v>250</v>
      </c>
      <c r="U30" s="118" t="e">
        <f t="shared" si="5"/>
        <v>#VALUE!</v>
      </c>
      <c r="Y30" s="4"/>
      <c r="Z30" s="4"/>
      <c r="AA30" s="4"/>
    </row>
    <row r="31" spans="1:27" x14ac:dyDescent="0.25">
      <c r="A31" s="118" t="str">
        <f>+CUBICACION!D30</f>
        <v>VIGA</v>
      </c>
      <c r="B31" s="819" t="str">
        <f>+CUBICACION!E30</f>
        <v xml:space="preserve"> M1 MM600X225X4</v>
      </c>
      <c r="C31" s="675" t="str">
        <f>+CUBICACION!F30</f>
        <v>CJ</v>
      </c>
      <c r="D31" s="118"/>
      <c r="E31" s="118"/>
      <c r="F31" s="820"/>
      <c r="G31" s="675">
        <f>+CUBICACION!J30</f>
        <v>4</v>
      </c>
      <c r="H31" s="118"/>
      <c r="I31" s="821" t="str">
        <f>+CUBICACION!L30</f>
        <v>F-60</v>
      </c>
      <c r="J31" s="64">
        <f>+CUBICACION!M30</f>
        <v>250</v>
      </c>
      <c r="K31" s="822">
        <f>+CUBICACION!N30</f>
        <v>346.5</v>
      </c>
      <c r="L31" s="118" t="str">
        <f>+CUBICACION!O30</f>
        <v>Fire Tex 5090</v>
      </c>
      <c r="M31" s="823" t="str">
        <f>+CUBICACION!P30</f>
        <v>Software Idiem</v>
      </c>
      <c r="N31" s="902">
        <f>ROUND(IF(AND(L31="Blaze Shield II",M31="Software Idiem",C31="IN",G31=4),((('BLAZE SHIELD II'!$D$4*('CALCULO MORTERO'!I31^2)+'BLAZE SHIELD II'!$D$5*'CALCULO MORTERO'!I31+'BLAZE SHIELD II'!$D$6)*LN(J31))+('BLAZE SHIELD II'!$D$7*('CALCULO MORTERO'!I31^2)+'BLAZE SHIELD II'!$D$8*'CALCULO MORTERO'!I31+'BLAZE SHIELD II'!$D$9)),0)+IF(AND(L31="Blaze Shield II",M31="Software Idiem",C31="Cj"),((('BLAZE SHIELD II'!$H$4*('CALCULO MORTERO'!I31^2)+'BLAZE SHIELD II'!$H$5*'CALCULO MORTERO'!I31+'BLAZE SHIELD II'!$H$6)*LN(J31))+('BLAZE SHIELD II'!$H$7*('CALCULO MORTERO'!I31^2)+'BLAZE SHIELD II'!$H$8*'CALCULO MORTERO'!I31+'BLAZE SHIELD II'!$H$9)),0)+IF(AND(L31="Blaze Shield II",M31="Software Idiem",C31="C"),((('BLAZE SHIELD II'!$L$4*('CALCULO MORTERO'!I31^2)+'BLAZE SHIELD II'!$L$5*'CALCULO MORTERO'!I31+'BLAZE SHIELD II'!$L$6)*LN(J31))+('BLAZE SHIELD II'!$L$7*('CALCULO MORTERO'!I31^2)+'BLAZE SHIELD II'!$L$8*'CALCULO MORTERO'!I31+'BLAZE SHIELD II'!$L$9)),0)+IF(AND(L31="Blaze Shield II",M31="Software Idiem",C31="L"),((('BLAZE SHIELD II'!$L$4*('CALCULO MORTERO'!I31^2)+'BLAZE SHIELD II'!$L$5*'CALCULO MORTERO'!I31+'BLAZE SHIELD II'!$L$6)*LN(J31))+('BLAZE SHIELD II'!$L$7*('CALCULO MORTERO'!I31^2)+'BLAZE SHIELD II'!$L$8*'CALCULO MORTERO'!I31+'BLAZE SHIELD II'!$L$9)),0)+IF(AND(L31="Blaze Shield II",M31="Software Idiem",C31="IN",G31=3),((('BLAZE SHIELD II'!$H$14*('CALCULO MORTERO'!I31^2)+'BLAZE SHIELD II'!$H$15*'CALCULO MORTERO'!I31+'BLAZE SHIELD II'!$H$16)*LN(J31))+('BLAZE SHIELD II'!$H$17*('CALCULO MORTERO'!I31^2)+'BLAZE SHIELD II'!$H$18*'CALCULO MORTERO'!I31+'BLAZE SHIELD II'!$H$19)),0),0)+ROUND(IF(AND(L31="Cafco 400",M31="Software Idiem",C31="IN",G31=4),((('CAFCO 400 '!$H$7*(J31^4)+'CAFCO 400 '!$H$8*(J31^3)+'CAFCO 400 '!$H$9*(J31^2)+'CAFCO 400 '!$H$10*J31+'CAFCO 400 '!$H$11)*U31^2)+(('CAFCO 400 '!$H$12*(J31^3)+'CAFCO 400 '!$H$13*(J31^2)+'CAFCO 400 '!$H$14*J31+'CAFCO 400 '!$H$15)*U31)+('CAFCO 400 '!$H$16*(J31^2)+'CAFCO 400 '!$H$17*J31+'CAFCO 400 '!$H$18)),0)+IF(AND(L31="Cafco 400",M31="Software Idiem",C31="Cj"),(((('CAFCO 400 '!$D$7*LN(J31)+'CAFCO 400 '!$D$8)*U31^2)+(('CAFCO 400 '!$D$9*LN(J31)+'CAFCO 400 '!$D$10)*U31)+('CAFCO 400 '!$D$11*LN(J31)+'CAFCO 400 '!$D$12))),0)+IF(AND(L31="Cafco 400",M31="Software Idiem",C31="C"),((('CAFCO 400 '!$L$7*(J31^3)+'CAFCO 400 '!$L$8*(J31^2)+'CAFCO 400 '!$L$9*J31+'CAFCO 400 '!$L$10)*U31^2)+(('CAFCO 400 '!$L$11*(J31^3)+'CAFCO 400 '!$L$12*(J31^2)+'CAFCO 400 '!$L$13*J31+'CAFCO 400 '!$L$14)*U31)+('CAFCO 400 '!$L$15*LN(J31)+'CAFCO 400 '!$L$16)),0)+IF(AND(L31="Cafco 400",M31="Software Idiem",C31="L"),((('CAFCO 400 '!$L$7*(J31^3)+'CAFCO 400 '!$L$8*(J31^2)+'CAFCO 400 '!$L$9*J31+'CAFCO 400 '!$L$10)*U31^2)+(('CAFCO 400 '!$L$11*(J31^3)+'CAFCO 400 '!$L$12*(J31^2)+'CAFCO 400 '!$L$13*J31+'CAFCO 400 '!$L$14)*U31)+('CAFCO 400 '!$L$15*LN(J31)+'CAFCO 400 '!$L$16)),0)+IF(AND(L31="Cafco 400",M31="Software Idiem",C31="IN",G31=3),((('CAFCO 400 '!$D$23*(J31^2)+'CAFCO 400 '!$D$24*(J31)+'CAFCO 400 '!$D$25)*U31^2)+(('CAFCO 400 '!$D$26*(J31^2)+'CAFCO 400 '!$D$27*J31+'CAFCO 400 '!$D$28)*U31)+('CAFCO 400 '!$D$29*(J31^2)+'CAFCO 400 '!$D$30*J31+'CAFCO 400 '!$D$31)),0),0)+IF(AND(L31="Cafco 300",J31&gt;=95,J31&lt;=240,C31="Cj",I31=90),VLOOKUP(T31,'CAFCO 300 IDIEM TABLAS'!$B$4:$D$23,2,FALSE),0)+IF(AND(L31="Cafco 300",J31&gt;=95,J31&lt;=240,C31="Cj",I31=120),VLOOKUP(T31,'CAFCO 300 IDIEM TABLAS'!$B$4:$D$23,3,FALSE),0)+IF(AND(L31="Cafco 300",J31&gt;=95,J31&lt;=400,G31=3,C31="IN",I31=90),VLOOKUP(T31,'CAFCO 300 IDIEM TABLAS'!$F$4:$H$35,2,FALSE),0)+IF(AND(L31="Cafco 300",J31&gt;=95,J31&lt;=400,G31=3,C31="IN",I31=120),VLOOKUP(T31,'CAFCO 300 IDIEM TABLAS'!$F$4:$H$35,3,FALSE),0)+IF(AND(L31="Cafco 300",J31&gt;=95,J31&lt;=450,G31=4,C31="IN",I31=90),VLOOKUP(T31,'CAFCO 300 IDIEM TABLAS'!$J$4:$L$40,2,FALSE),0)+IF(AND(L31="Cafco 300",J31&gt;=95,J31&lt;=450,G31=4,C31="IN",I31=120),VLOOKUP(T31,'CAFCO 300 IDIEM TABLAS'!$J$4:$L$40,3,FALSE),0)+IF(AND(M31="Ensayo Idiem",L31="Cafco 400",C31="IN",G31=4,I31=90),VLOOKUP(T31,'CAFCO 400 ENSAYO'!$B$7:$D$43,2,FALSE),0)+IF(AND(M31="Ensayo Idiem",L31="Cafco 400",C31="IN",G31=4,I31=120),VLOOKUP(T31,'CAFCO 400 ENSAYO'!$B$7:$D$43,3,FALSE),0)</f>
        <v>0</v>
      </c>
      <c r="O31" s="96">
        <f t="shared" si="1"/>
        <v>0</v>
      </c>
      <c r="P31" s="95" t="str">
        <f t="shared" si="2"/>
        <v>CERT.</v>
      </c>
      <c r="Q31" s="95" t="str">
        <f t="shared" si="3"/>
        <v>CERT.</v>
      </c>
      <c r="R31" s="95" t="str">
        <f t="shared" si="4"/>
        <v>NO CERT.</v>
      </c>
      <c r="S31" s="95" t="str">
        <f t="shared" si="0"/>
        <v>NO CERT.</v>
      </c>
      <c r="T31" s="119">
        <f>+IF(J31=LOOKUP(J31,'CAFCO 300 IDIEM TABLAS'!$J$4:$J$40),'CALCULO MORTERO'!J31,MROUND('CALCULO MORTERO'!J31,10))</f>
        <v>250</v>
      </c>
      <c r="U31" s="118" t="e">
        <f t="shared" si="5"/>
        <v>#VALUE!</v>
      </c>
      <c r="Y31" s="4"/>
      <c r="Z31" s="4"/>
      <c r="AA31" s="4"/>
    </row>
    <row r="32" spans="1:27" ht="15.6" customHeight="1" x14ac:dyDescent="0.25">
      <c r="A32" s="118" t="str">
        <f>+CUBICACION!D31</f>
        <v>PILAR</v>
      </c>
      <c r="B32" s="819" t="str">
        <f>+CUBICACION!E31</f>
        <v>200X100X4</v>
      </c>
      <c r="C32" s="675" t="str">
        <f>+CUBICACION!F31</f>
        <v>CJ</v>
      </c>
      <c r="D32" s="118"/>
      <c r="E32" s="118"/>
      <c r="F32" s="820"/>
      <c r="G32" s="675">
        <f>+CUBICACION!J31</f>
        <v>4</v>
      </c>
      <c r="H32" s="118"/>
      <c r="I32" s="821" t="str">
        <f>+CUBICACION!L31</f>
        <v>F-60</v>
      </c>
      <c r="J32" s="64">
        <f>+CUBICACION!M31</f>
        <v>250</v>
      </c>
      <c r="K32" s="822">
        <f>+CUBICACION!N31</f>
        <v>7.44</v>
      </c>
      <c r="L32" s="118" t="str">
        <f>+CUBICACION!O31</f>
        <v>Fire Tex 5090</v>
      </c>
      <c r="M32" s="823" t="str">
        <f>+CUBICACION!P31</f>
        <v>Software Idiem</v>
      </c>
      <c r="N32" s="902">
        <f>ROUND(IF(AND(L32="Blaze Shield II",M32="Software Idiem",C32="IN",G32=4),((('BLAZE SHIELD II'!$D$4*('CALCULO MORTERO'!I32^2)+'BLAZE SHIELD II'!$D$5*'CALCULO MORTERO'!I32+'BLAZE SHIELD II'!$D$6)*LN(J32))+('BLAZE SHIELD II'!$D$7*('CALCULO MORTERO'!I32^2)+'BLAZE SHIELD II'!$D$8*'CALCULO MORTERO'!I32+'BLAZE SHIELD II'!$D$9)),0)+IF(AND(L32="Blaze Shield II",M32="Software Idiem",C32="Cj"),((('BLAZE SHIELD II'!$H$4*('CALCULO MORTERO'!I32^2)+'BLAZE SHIELD II'!$H$5*'CALCULO MORTERO'!I32+'BLAZE SHIELD II'!$H$6)*LN(J32))+('BLAZE SHIELD II'!$H$7*('CALCULO MORTERO'!I32^2)+'BLAZE SHIELD II'!$H$8*'CALCULO MORTERO'!I32+'BLAZE SHIELD II'!$H$9)),0)+IF(AND(L32="Blaze Shield II",M32="Software Idiem",C32="C"),((('BLAZE SHIELD II'!$L$4*('CALCULO MORTERO'!I32^2)+'BLAZE SHIELD II'!$L$5*'CALCULO MORTERO'!I32+'BLAZE SHIELD II'!$L$6)*LN(J32))+('BLAZE SHIELD II'!$L$7*('CALCULO MORTERO'!I32^2)+'BLAZE SHIELD II'!$L$8*'CALCULO MORTERO'!I32+'BLAZE SHIELD II'!$L$9)),0)+IF(AND(L32="Blaze Shield II",M32="Software Idiem",C32="L"),((('BLAZE SHIELD II'!$L$4*('CALCULO MORTERO'!I32^2)+'BLAZE SHIELD II'!$L$5*'CALCULO MORTERO'!I32+'BLAZE SHIELD II'!$L$6)*LN(J32))+('BLAZE SHIELD II'!$L$7*('CALCULO MORTERO'!I32^2)+'BLAZE SHIELD II'!$L$8*'CALCULO MORTERO'!I32+'BLAZE SHIELD II'!$L$9)),0)+IF(AND(L32="Blaze Shield II",M32="Software Idiem",C32="IN",G32=3),((('BLAZE SHIELD II'!$H$14*('CALCULO MORTERO'!I32^2)+'BLAZE SHIELD II'!$H$15*'CALCULO MORTERO'!I32+'BLAZE SHIELD II'!$H$16)*LN(J32))+('BLAZE SHIELD II'!$H$17*('CALCULO MORTERO'!I32^2)+'BLAZE SHIELD II'!$H$18*'CALCULO MORTERO'!I32+'BLAZE SHIELD II'!$H$19)),0),0)+ROUND(IF(AND(L32="Cafco 400",M32="Software Idiem",C32="IN",G32=4),((('CAFCO 400 '!$H$7*(J32^4)+'CAFCO 400 '!$H$8*(J32^3)+'CAFCO 400 '!$H$9*(J32^2)+'CAFCO 400 '!$H$10*J32+'CAFCO 400 '!$H$11)*U32^2)+(('CAFCO 400 '!$H$12*(J32^3)+'CAFCO 400 '!$H$13*(J32^2)+'CAFCO 400 '!$H$14*J32+'CAFCO 400 '!$H$15)*U32)+('CAFCO 400 '!$H$16*(J32^2)+'CAFCO 400 '!$H$17*J32+'CAFCO 400 '!$H$18)),0)+IF(AND(L32="Cafco 400",M32="Software Idiem",C32="Cj"),(((('CAFCO 400 '!$D$7*LN(J32)+'CAFCO 400 '!$D$8)*U32^2)+(('CAFCO 400 '!$D$9*LN(J32)+'CAFCO 400 '!$D$10)*U32)+('CAFCO 400 '!$D$11*LN(J32)+'CAFCO 400 '!$D$12))),0)+IF(AND(L32="Cafco 400",M32="Software Idiem",C32="C"),((('CAFCO 400 '!$L$7*(J32^3)+'CAFCO 400 '!$L$8*(J32^2)+'CAFCO 400 '!$L$9*J32+'CAFCO 400 '!$L$10)*U32^2)+(('CAFCO 400 '!$L$11*(J32^3)+'CAFCO 400 '!$L$12*(J32^2)+'CAFCO 400 '!$L$13*J32+'CAFCO 400 '!$L$14)*U32)+('CAFCO 400 '!$L$15*LN(J32)+'CAFCO 400 '!$L$16)),0)+IF(AND(L32="Cafco 400",M32="Software Idiem",C32="L"),((('CAFCO 400 '!$L$7*(J32^3)+'CAFCO 400 '!$L$8*(J32^2)+'CAFCO 400 '!$L$9*J32+'CAFCO 400 '!$L$10)*U32^2)+(('CAFCO 400 '!$L$11*(J32^3)+'CAFCO 400 '!$L$12*(J32^2)+'CAFCO 400 '!$L$13*J32+'CAFCO 400 '!$L$14)*U32)+('CAFCO 400 '!$L$15*LN(J32)+'CAFCO 400 '!$L$16)),0)+IF(AND(L32="Cafco 400",M32="Software Idiem",C32="IN",G32=3),((('CAFCO 400 '!$D$23*(J32^2)+'CAFCO 400 '!$D$24*(J32)+'CAFCO 400 '!$D$25)*U32^2)+(('CAFCO 400 '!$D$26*(J32^2)+'CAFCO 400 '!$D$27*J32+'CAFCO 400 '!$D$28)*U32)+('CAFCO 400 '!$D$29*(J32^2)+'CAFCO 400 '!$D$30*J32+'CAFCO 400 '!$D$31)),0),0)+IF(AND(L32="Cafco 300",J32&gt;=95,J32&lt;=240,C32="Cj",I32=90),VLOOKUP(T32,'CAFCO 300 IDIEM TABLAS'!$B$4:$D$23,2,FALSE),0)+IF(AND(L32="Cafco 300",J32&gt;=95,J32&lt;=240,C32="Cj",I32=120),VLOOKUP(T32,'CAFCO 300 IDIEM TABLAS'!$B$4:$D$23,3,FALSE),0)+IF(AND(L32="Cafco 300",J32&gt;=95,J32&lt;=400,G32=3,C32="IN",I32=90),VLOOKUP(T32,'CAFCO 300 IDIEM TABLAS'!$F$4:$H$35,2,FALSE),0)+IF(AND(L32="Cafco 300",J32&gt;=95,J32&lt;=400,G32=3,C32="IN",I32=120),VLOOKUP(T32,'CAFCO 300 IDIEM TABLAS'!$F$4:$H$35,3,FALSE),0)+IF(AND(L32="Cafco 300",J32&gt;=95,J32&lt;=450,G32=4,C32="IN",I32=90),VLOOKUP(T32,'CAFCO 300 IDIEM TABLAS'!$J$4:$L$40,2,FALSE),0)+IF(AND(L32="Cafco 300",J32&gt;=95,J32&lt;=450,G32=4,C32="IN",I32=120),VLOOKUP(T32,'CAFCO 300 IDIEM TABLAS'!$J$4:$L$40,3,FALSE),0)+IF(AND(M32="Ensayo Idiem",L32="Cafco 400",C32="IN",G32=4,I32=90),VLOOKUP(T32,'CAFCO 400 ENSAYO'!$B$7:$D$43,2,FALSE),0)+IF(AND(M32="Ensayo Idiem",L32="Cafco 400",C32="IN",G32=4,I32=120),VLOOKUP(T32,'CAFCO 400 ENSAYO'!$B$7:$D$43,3,FALSE),0)</f>
        <v>0</v>
      </c>
      <c r="O32" s="96">
        <f t="shared" si="1"/>
        <v>0</v>
      </c>
      <c r="P32" s="95" t="str">
        <f t="shared" si="2"/>
        <v>CERT.</v>
      </c>
      <c r="Q32" s="95" t="str">
        <f t="shared" si="3"/>
        <v>CERT.</v>
      </c>
      <c r="R32" s="95" t="str">
        <f t="shared" si="4"/>
        <v>NO CERT.</v>
      </c>
      <c r="S32" s="95" t="str">
        <f t="shared" si="0"/>
        <v>NO CERT.</v>
      </c>
      <c r="T32" s="119">
        <f>+IF(J32=LOOKUP(J32,'CAFCO 300 IDIEM TABLAS'!$J$4:$J$40),'CALCULO MORTERO'!J32,MROUND('CALCULO MORTERO'!J32,10))</f>
        <v>250</v>
      </c>
      <c r="U32" s="118" t="e">
        <f t="shared" si="5"/>
        <v>#VALUE!</v>
      </c>
      <c r="Y32" s="4"/>
      <c r="Z32" s="4"/>
      <c r="AA32" s="4"/>
    </row>
    <row r="33" spans="1:27" x14ac:dyDescent="0.25">
      <c r="A33" s="118" t="str">
        <f>+CUBICACION!D32</f>
        <v>PILAR</v>
      </c>
      <c r="B33" s="819" t="str">
        <f>+CUBICACION!E32</f>
        <v>200X100X4</v>
      </c>
      <c r="C33" s="675" t="str">
        <f>+CUBICACION!F32</f>
        <v>CJ</v>
      </c>
      <c r="D33" s="118"/>
      <c r="E33" s="118"/>
      <c r="F33" s="820"/>
      <c r="G33" s="675">
        <f>+CUBICACION!J32</f>
        <v>4</v>
      </c>
      <c r="H33" s="118"/>
      <c r="I33" s="821" t="str">
        <f>+CUBICACION!L32</f>
        <v>F-60</v>
      </c>
      <c r="J33" s="64">
        <f>+CUBICACION!M32</f>
        <v>250</v>
      </c>
      <c r="K33" s="822">
        <f>+CUBICACION!N32</f>
        <v>4.5</v>
      </c>
      <c r="L33" s="118" t="str">
        <f>+CUBICACION!O32</f>
        <v>Fire Tex 5090</v>
      </c>
      <c r="M33" s="823" t="str">
        <f>+CUBICACION!P32</f>
        <v>Software Idiem</v>
      </c>
      <c r="N33" s="902">
        <f>ROUND(IF(AND(L33="Blaze Shield II",M33="Software Idiem",C33="IN",G33=4),((('BLAZE SHIELD II'!$D$4*('CALCULO MORTERO'!I33^2)+'BLAZE SHIELD II'!$D$5*'CALCULO MORTERO'!I33+'BLAZE SHIELD II'!$D$6)*LN(J33))+('BLAZE SHIELD II'!$D$7*('CALCULO MORTERO'!I33^2)+'BLAZE SHIELD II'!$D$8*'CALCULO MORTERO'!I33+'BLAZE SHIELD II'!$D$9)),0)+IF(AND(L33="Blaze Shield II",M33="Software Idiem",C33="Cj"),((('BLAZE SHIELD II'!$H$4*('CALCULO MORTERO'!I33^2)+'BLAZE SHIELD II'!$H$5*'CALCULO MORTERO'!I33+'BLAZE SHIELD II'!$H$6)*LN(J33))+('BLAZE SHIELD II'!$H$7*('CALCULO MORTERO'!I33^2)+'BLAZE SHIELD II'!$H$8*'CALCULO MORTERO'!I33+'BLAZE SHIELD II'!$H$9)),0)+IF(AND(L33="Blaze Shield II",M33="Software Idiem",C33="C"),((('BLAZE SHIELD II'!$L$4*('CALCULO MORTERO'!I33^2)+'BLAZE SHIELD II'!$L$5*'CALCULO MORTERO'!I33+'BLAZE SHIELD II'!$L$6)*LN(J33))+('BLAZE SHIELD II'!$L$7*('CALCULO MORTERO'!I33^2)+'BLAZE SHIELD II'!$L$8*'CALCULO MORTERO'!I33+'BLAZE SHIELD II'!$L$9)),0)+IF(AND(L33="Blaze Shield II",M33="Software Idiem",C33="L"),((('BLAZE SHIELD II'!$L$4*('CALCULO MORTERO'!I33^2)+'BLAZE SHIELD II'!$L$5*'CALCULO MORTERO'!I33+'BLAZE SHIELD II'!$L$6)*LN(J33))+('BLAZE SHIELD II'!$L$7*('CALCULO MORTERO'!I33^2)+'BLAZE SHIELD II'!$L$8*'CALCULO MORTERO'!I33+'BLAZE SHIELD II'!$L$9)),0)+IF(AND(L33="Blaze Shield II",M33="Software Idiem",C33="IN",G33=3),((('BLAZE SHIELD II'!$H$14*('CALCULO MORTERO'!I33^2)+'BLAZE SHIELD II'!$H$15*'CALCULO MORTERO'!I33+'BLAZE SHIELD II'!$H$16)*LN(J33))+('BLAZE SHIELD II'!$H$17*('CALCULO MORTERO'!I33^2)+'BLAZE SHIELD II'!$H$18*'CALCULO MORTERO'!I33+'BLAZE SHIELD II'!$H$19)),0),0)+ROUND(IF(AND(L33="Cafco 400",M33="Software Idiem",C33="IN",G33=4),((('CAFCO 400 '!$H$7*(J33^4)+'CAFCO 400 '!$H$8*(J33^3)+'CAFCO 400 '!$H$9*(J33^2)+'CAFCO 400 '!$H$10*J33+'CAFCO 400 '!$H$11)*U33^2)+(('CAFCO 400 '!$H$12*(J33^3)+'CAFCO 400 '!$H$13*(J33^2)+'CAFCO 400 '!$H$14*J33+'CAFCO 400 '!$H$15)*U33)+('CAFCO 400 '!$H$16*(J33^2)+'CAFCO 400 '!$H$17*J33+'CAFCO 400 '!$H$18)),0)+IF(AND(L33="Cafco 400",M33="Software Idiem",C33="Cj"),(((('CAFCO 400 '!$D$7*LN(J33)+'CAFCO 400 '!$D$8)*U33^2)+(('CAFCO 400 '!$D$9*LN(J33)+'CAFCO 400 '!$D$10)*U33)+('CAFCO 400 '!$D$11*LN(J33)+'CAFCO 400 '!$D$12))),0)+IF(AND(L33="Cafco 400",M33="Software Idiem",C33="C"),((('CAFCO 400 '!$L$7*(J33^3)+'CAFCO 400 '!$L$8*(J33^2)+'CAFCO 400 '!$L$9*J33+'CAFCO 400 '!$L$10)*U33^2)+(('CAFCO 400 '!$L$11*(J33^3)+'CAFCO 400 '!$L$12*(J33^2)+'CAFCO 400 '!$L$13*J33+'CAFCO 400 '!$L$14)*U33)+('CAFCO 400 '!$L$15*LN(J33)+'CAFCO 400 '!$L$16)),0)+IF(AND(L33="Cafco 400",M33="Software Idiem",C33="L"),((('CAFCO 400 '!$L$7*(J33^3)+'CAFCO 400 '!$L$8*(J33^2)+'CAFCO 400 '!$L$9*J33+'CAFCO 400 '!$L$10)*U33^2)+(('CAFCO 400 '!$L$11*(J33^3)+'CAFCO 400 '!$L$12*(J33^2)+'CAFCO 400 '!$L$13*J33+'CAFCO 400 '!$L$14)*U33)+('CAFCO 400 '!$L$15*LN(J33)+'CAFCO 400 '!$L$16)),0)+IF(AND(L33="Cafco 400",M33="Software Idiem",C33="IN",G33=3),((('CAFCO 400 '!$D$23*(J33^2)+'CAFCO 400 '!$D$24*(J33)+'CAFCO 400 '!$D$25)*U33^2)+(('CAFCO 400 '!$D$26*(J33^2)+'CAFCO 400 '!$D$27*J33+'CAFCO 400 '!$D$28)*U33)+('CAFCO 400 '!$D$29*(J33^2)+'CAFCO 400 '!$D$30*J33+'CAFCO 400 '!$D$31)),0),0)+IF(AND(L33="Cafco 300",J33&gt;=95,J33&lt;=240,C33="Cj",I33=90),VLOOKUP(T33,'CAFCO 300 IDIEM TABLAS'!$B$4:$D$23,2,FALSE),0)+IF(AND(L33="Cafco 300",J33&gt;=95,J33&lt;=240,C33="Cj",I33=120),VLOOKUP(T33,'CAFCO 300 IDIEM TABLAS'!$B$4:$D$23,3,FALSE),0)+IF(AND(L33="Cafco 300",J33&gt;=95,J33&lt;=400,G33=3,C33="IN",I33=90),VLOOKUP(T33,'CAFCO 300 IDIEM TABLAS'!$F$4:$H$35,2,FALSE),0)+IF(AND(L33="Cafco 300",J33&gt;=95,J33&lt;=400,G33=3,C33="IN",I33=120),VLOOKUP(T33,'CAFCO 300 IDIEM TABLAS'!$F$4:$H$35,3,FALSE),0)+IF(AND(L33="Cafco 300",J33&gt;=95,J33&lt;=450,G33=4,C33="IN",I33=90),VLOOKUP(T33,'CAFCO 300 IDIEM TABLAS'!$J$4:$L$40,2,FALSE),0)+IF(AND(L33="Cafco 300",J33&gt;=95,J33&lt;=450,G33=4,C33="IN",I33=120),VLOOKUP(T33,'CAFCO 300 IDIEM TABLAS'!$J$4:$L$40,3,FALSE),0)+IF(AND(M33="Ensayo Idiem",L33="Cafco 400",C33="IN",G33=4,I33=90),VLOOKUP(T33,'CAFCO 400 ENSAYO'!$B$7:$D$43,2,FALSE),0)+IF(AND(M33="Ensayo Idiem",L33="Cafco 400",C33="IN",G33=4,I33=120),VLOOKUP(T33,'CAFCO 400 ENSAYO'!$B$7:$D$43,3,FALSE),0)</f>
        <v>0</v>
      </c>
      <c r="O33" s="96">
        <f t="shared" si="1"/>
        <v>0</v>
      </c>
      <c r="P33" s="95" t="str">
        <f t="shared" si="2"/>
        <v>CERT.</v>
      </c>
      <c r="Q33" s="95" t="str">
        <f t="shared" si="3"/>
        <v>CERT.</v>
      </c>
      <c r="R33" s="95" t="str">
        <f t="shared" si="4"/>
        <v>NO CERT.</v>
      </c>
      <c r="S33" s="95" t="str">
        <f t="shared" si="0"/>
        <v>NO CERT.</v>
      </c>
      <c r="T33" s="119">
        <f>+IF(J33=LOOKUP(J33,'CAFCO 300 IDIEM TABLAS'!$J$4:$J$40),'CALCULO MORTERO'!J33,MROUND('CALCULO MORTERO'!J33,10))</f>
        <v>250</v>
      </c>
      <c r="U33" s="118" t="e">
        <f t="shared" si="5"/>
        <v>#VALUE!</v>
      </c>
      <c r="Y33" s="4"/>
      <c r="Z33" s="4"/>
      <c r="AA33" s="4"/>
    </row>
    <row r="34" spans="1:27" ht="15.6" customHeight="1" x14ac:dyDescent="0.25">
      <c r="A34" s="118" t="str">
        <f>+CUBICACION!D33</f>
        <v>PILAR</v>
      </c>
      <c r="B34" s="819" t="str">
        <f>+CUBICACION!E33</f>
        <v>200X100X3</v>
      </c>
      <c r="C34" s="675" t="str">
        <f>+CUBICACION!F33</f>
        <v>CJ</v>
      </c>
      <c r="D34" s="118"/>
      <c r="E34" s="118"/>
      <c r="F34" s="820"/>
      <c r="G34" s="675">
        <f>+CUBICACION!J33</f>
        <v>4</v>
      </c>
      <c r="H34" s="118"/>
      <c r="I34" s="821" t="str">
        <f>+CUBICACION!L33</f>
        <v>F-60</v>
      </c>
      <c r="J34" s="64">
        <f>+CUBICACION!M33</f>
        <v>333</v>
      </c>
      <c r="K34" s="822">
        <f>+CUBICACION!N33</f>
        <v>9</v>
      </c>
      <c r="L34" s="118" t="str">
        <f>+CUBICACION!O33</f>
        <v>Fire Tex 5090</v>
      </c>
      <c r="M34" s="823" t="str">
        <f>+CUBICACION!P33</f>
        <v>Software Idiem</v>
      </c>
      <c r="N34" s="902">
        <f>ROUND(IF(AND(L34="Blaze Shield II",M34="Software Idiem",C34="IN",G34=4),((('BLAZE SHIELD II'!$D$4*('CALCULO MORTERO'!I34^2)+'BLAZE SHIELD II'!$D$5*'CALCULO MORTERO'!I34+'BLAZE SHIELD II'!$D$6)*LN(J34))+('BLAZE SHIELD II'!$D$7*('CALCULO MORTERO'!I34^2)+'BLAZE SHIELD II'!$D$8*'CALCULO MORTERO'!I34+'BLAZE SHIELD II'!$D$9)),0)+IF(AND(L34="Blaze Shield II",M34="Software Idiem",C34="Cj"),((('BLAZE SHIELD II'!$H$4*('CALCULO MORTERO'!I34^2)+'BLAZE SHIELD II'!$H$5*'CALCULO MORTERO'!I34+'BLAZE SHIELD II'!$H$6)*LN(J34))+('BLAZE SHIELD II'!$H$7*('CALCULO MORTERO'!I34^2)+'BLAZE SHIELD II'!$H$8*'CALCULO MORTERO'!I34+'BLAZE SHIELD II'!$H$9)),0)+IF(AND(L34="Blaze Shield II",M34="Software Idiem",C34="C"),((('BLAZE SHIELD II'!$L$4*('CALCULO MORTERO'!I34^2)+'BLAZE SHIELD II'!$L$5*'CALCULO MORTERO'!I34+'BLAZE SHIELD II'!$L$6)*LN(J34))+('BLAZE SHIELD II'!$L$7*('CALCULO MORTERO'!I34^2)+'BLAZE SHIELD II'!$L$8*'CALCULO MORTERO'!I34+'BLAZE SHIELD II'!$L$9)),0)+IF(AND(L34="Blaze Shield II",M34="Software Idiem",C34="L"),((('BLAZE SHIELD II'!$L$4*('CALCULO MORTERO'!I34^2)+'BLAZE SHIELD II'!$L$5*'CALCULO MORTERO'!I34+'BLAZE SHIELD II'!$L$6)*LN(J34))+('BLAZE SHIELD II'!$L$7*('CALCULO MORTERO'!I34^2)+'BLAZE SHIELD II'!$L$8*'CALCULO MORTERO'!I34+'BLAZE SHIELD II'!$L$9)),0)+IF(AND(L34="Blaze Shield II",M34="Software Idiem",C34="IN",G34=3),((('BLAZE SHIELD II'!$H$14*('CALCULO MORTERO'!I34^2)+'BLAZE SHIELD II'!$H$15*'CALCULO MORTERO'!I34+'BLAZE SHIELD II'!$H$16)*LN(J34))+('BLAZE SHIELD II'!$H$17*('CALCULO MORTERO'!I34^2)+'BLAZE SHIELD II'!$H$18*'CALCULO MORTERO'!I34+'BLAZE SHIELD II'!$H$19)),0),0)+ROUND(IF(AND(L34="Cafco 400",M34="Software Idiem",C34="IN",G34=4),((('CAFCO 400 '!$H$7*(J34^4)+'CAFCO 400 '!$H$8*(J34^3)+'CAFCO 400 '!$H$9*(J34^2)+'CAFCO 400 '!$H$10*J34+'CAFCO 400 '!$H$11)*U34^2)+(('CAFCO 400 '!$H$12*(J34^3)+'CAFCO 400 '!$H$13*(J34^2)+'CAFCO 400 '!$H$14*J34+'CAFCO 400 '!$H$15)*U34)+('CAFCO 400 '!$H$16*(J34^2)+'CAFCO 400 '!$H$17*J34+'CAFCO 400 '!$H$18)),0)+IF(AND(L34="Cafco 400",M34="Software Idiem",C34="Cj"),(((('CAFCO 400 '!$D$7*LN(J34)+'CAFCO 400 '!$D$8)*U34^2)+(('CAFCO 400 '!$D$9*LN(J34)+'CAFCO 400 '!$D$10)*U34)+('CAFCO 400 '!$D$11*LN(J34)+'CAFCO 400 '!$D$12))),0)+IF(AND(L34="Cafco 400",M34="Software Idiem",C34="C"),((('CAFCO 400 '!$L$7*(J34^3)+'CAFCO 400 '!$L$8*(J34^2)+'CAFCO 400 '!$L$9*J34+'CAFCO 400 '!$L$10)*U34^2)+(('CAFCO 400 '!$L$11*(J34^3)+'CAFCO 400 '!$L$12*(J34^2)+'CAFCO 400 '!$L$13*J34+'CAFCO 400 '!$L$14)*U34)+('CAFCO 400 '!$L$15*LN(J34)+'CAFCO 400 '!$L$16)),0)+IF(AND(L34="Cafco 400",M34="Software Idiem",C34="L"),((('CAFCO 400 '!$L$7*(J34^3)+'CAFCO 400 '!$L$8*(J34^2)+'CAFCO 400 '!$L$9*J34+'CAFCO 400 '!$L$10)*U34^2)+(('CAFCO 400 '!$L$11*(J34^3)+'CAFCO 400 '!$L$12*(J34^2)+'CAFCO 400 '!$L$13*J34+'CAFCO 400 '!$L$14)*U34)+('CAFCO 400 '!$L$15*LN(J34)+'CAFCO 400 '!$L$16)),0)+IF(AND(L34="Cafco 400",M34="Software Idiem",C34="IN",G34=3),((('CAFCO 400 '!$D$23*(J34^2)+'CAFCO 400 '!$D$24*(J34)+'CAFCO 400 '!$D$25)*U34^2)+(('CAFCO 400 '!$D$26*(J34^2)+'CAFCO 400 '!$D$27*J34+'CAFCO 400 '!$D$28)*U34)+('CAFCO 400 '!$D$29*(J34^2)+'CAFCO 400 '!$D$30*J34+'CAFCO 400 '!$D$31)),0),0)+IF(AND(L34="Cafco 300",J34&gt;=95,J34&lt;=240,C34="Cj",I34=90),VLOOKUP(T34,'CAFCO 300 IDIEM TABLAS'!$B$4:$D$23,2,FALSE),0)+IF(AND(L34="Cafco 300",J34&gt;=95,J34&lt;=240,C34="Cj",I34=120),VLOOKUP(T34,'CAFCO 300 IDIEM TABLAS'!$B$4:$D$23,3,FALSE),0)+IF(AND(L34="Cafco 300",J34&gt;=95,J34&lt;=400,G34=3,C34="IN",I34=90),VLOOKUP(T34,'CAFCO 300 IDIEM TABLAS'!$F$4:$H$35,2,FALSE),0)+IF(AND(L34="Cafco 300",J34&gt;=95,J34&lt;=400,G34=3,C34="IN",I34=120),VLOOKUP(T34,'CAFCO 300 IDIEM TABLAS'!$F$4:$H$35,3,FALSE),0)+IF(AND(L34="Cafco 300",J34&gt;=95,J34&lt;=450,G34=4,C34="IN",I34=90),VLOOKUP(T34,'CAFCO 300 IDIEM TABLAS'!$J$4:$L$40,2,FALSE),0)+IF(AND(L34="Cafco 300",J34&gt;=95,J34&lt;=450,G34=4,C34="IN",I34=120),VLOOKUP(T34,'CAFCO 300 IDIEM TABLAS'!$J$4:$L$40,3,FALSE),0)+IF(AND(M34="Ensayo Idiem",L34="Cafco 400",C34="IN",G34=4,I34=90),VLOOKUP(T34,'CAFCO 400 ENSAYO'!$B$7:$D$43,2,FALSE),0)+IF(AND(M34="Ensayo Idiem",L34="Cafco 400",C34="IN",G34=4,I34=120),VLOOKUP(T34,'CAFCO 400 ENSAYO'!$B$7:$D$43,3,FALSE),0)</f>
        <v>0</v>
      </c>
      <c r="O34" s="96">
        <f t="shared" si="1"/>
        <v>0</v>
      </c>
      <c r="P34" s="95" t="str">
        <f t="shared" si="2"/>
        <v>CERT.</v>
      </c>
      <c r="Q34" s="95" t="str">
        <f t="shared" si="3"/>
        <v>CERT.</v>
      </c>
      <c r="R34" s="95" t="str">
        <f t="shared" si="4"/>
        <v>NO CERT.</v>
      </c>
      <c r="S34" s="95" t="str">
        <f t="shared" si="0"/>
        <v>NO CERT.</v>
      </c>
      <c r="T34" s="119">
        <f>+IF(J34=LOOKUP(J34,'CAFCO 300 IDIEM TABLAS'!$J$4:$J$40),'CALCULO MORTERO'!J34,MROUND('CALCULO MORTERO'!J34,10))</f>
        <v>330</v>
      </c>
      <c r="U34" s="118" t="e">
        <f t="shared" si="5"/>
        <v>#VALUE!</v>
      </c>
      <c r="Y34" s="4"/>
      <c r="Z34" s="4"/>
      <c r="AA34" s="4"/>
    </row>
    <row r="35" spans="1:27" x14ac:dyDescent="0.25">
      <c r="A35" s="118" t="str">
        <f>+CUBICACION!D34</f>
        <v>PILAR</v>
      </c>
      <c r="B35" s="819" t="str">
        <f>+CUBICACION!E34</f>
        <v>150X150X5</v>
      </c>
      <c r="C35" s="675" t="str">
        <f>+CUBICACION!F34</f>
        <v>CJ</v>
      </c>
      <c r="D35" s="118"/>
      <c r="E35" s="118"/>
      <c r="F35" s="820"/>
      <c r="G35" s="675">
        <f>+CUBICACION!J34</f>
        <v>4</v>
      </c>
      <c r="H35" s="118"/>
      <c r="I35" s="821" t="str">
        <f>+CUBICACION!L34</f>
        <v>F-60</v>
      </c>
      <c r="J35" s="64">
        <f>+CUBICACION!M34</f>
        <v>200</v>
      </c>
      <c r="K35" s="822">
        <f>+CUBICACION!N34</f>
        <v>9.6</v>
      </c>
      <c r="L35" s="118" t="str">
        <f>+CUBICACION!O34</f>
        <v>Fire Tex 5090</v>
      </c>
      <c r="M35" s="823" t="str">
        <f>+CUBICACION!P34</f>
        <v>Software Idiem</v>
      </c>
      <c r="N35" s="902">
        <f>ROUND(IF(AND(L35="Blaze Shield II",M35="Software Idiem",C35="IN",G35=4),((('BLAZE SHIELD II'!$D$4*('CALCULO MORTERO'!I35^2)+'BLAZE SHIELD II'!$D$5*'CALCULO MORTERO'!I35+'BLAZE SHIELD II'!$D$6)*LN(J35))+('BLAZE SHIELD II'!$D$7*('CALCULO MORTERO'!I35^2)+'BLAZE SHIELD II'!$D$8*'CALCULO MORTERO'!I35+'BLAZE SHIELD II'!$D$9)),0)+IF(AND(L35="Blaze Shield II",M35="Software Idiem",C35="Cj"),((('BLAZE SHIELD II'!$H$4*('CALCULO MORTERO'!I35^2)+'BLAZE SHIELD II'!$H$5*'CALCULO MORTERO'!I35+'BLAZE SHIELD II'!$H$6)*LN(J35))+('BLAZE SHIELD II'!$H$7*('CALCULO MORTERO'!I35^2)+'BLAZE SHIELD II'!$H$8*'CALCULO MORTERO'!I35+'BLAZE SHIELD II'!$H$9)),0)+IF(AND(L35="Blaze Shield II",M35="Software Idiem",C35="C"),((('BLAZE SHIELD II'!$L$4*('CALCULO MORTERO'!I35^2)+'BLAZE SHIELD II'!$L$5*'CALCULO MORTERO'!I35+'BLAZE SHIELD II'!$L$6)*LN(J35))+('BLAZE SHIELD II'!$L$7*('CALCULO MORTERO'!I35^2)+'BLAZE SHIELD II'!$L$8*'CALCULO MORTERO'!I35+'BLAZE SHIELD II'!$L$9)),0)+IF(AND(L35="Blaze Shield II",M35="Software Idiem",C35="L"),((('BLAZE SHIELD II'!$L$4*('CALCULO MORTERO'!I35^2)+'BLAZE SHIELD II'!$L$5*'CALCULO MORTERO'!I35+'BLAZE SHIELD II'!$L$6)*LN(J35))+('BLAZE SHIELD II'!$L$7*('CALCULO MORTERO'!I35^2)+'BLAZE SHIELD II'!$L$8*'CALCULO MORTERO'!I35+'BLAZE SHIELD II'!$L$9)),0)+IF(AND(L35="Blaze Shield II",M35="Software Idiem",C35="IN",G35=3),((('BLAZE SHIELD II'!$H$14*('CALCULO MORTERO'!I35^2)+'BLAZE SHIELD II'!$H$15*'CALCULO MORTERO'!I35+'BLAZE SHIELD II'!$H$16)*LN(J35))+('BLAZE SHIELD II'!$H$17*('CALCULO MORTERO'!I35^2)+'BLAZE SHIELD II'!$H$18*'CALCULO MORTERO'!I35+'BLAZE SHIELD II'!$H$19)),0),0)+ROUND(IF(AND(L35="Cafco 400",M35="Software Idiem",C35="IN",G35=4),((('CAFCO 400 '!$H$7*(J35^4)+'CAFCO 400 '!$H$8*(J35^3)+'CAFCO 400 '!$H$9*(J35^2)+'CAFCO 400 '!$H$10*J35+'CAFCO 400 '!$H$11)*U35^2)+(('CAFCO 400 '!$H$12*(J35^3)+'CAFCO 400 '!$H$13*(J35^2)+'CAFCO 400 '!$H$14*J35+'CAFCO 400 '!$H$15)*U35)+('CAFCO 400 '!$H$16*(J35^2)+'CAFCO 400 '!$H$17*J35+'CAFCO 400 '!$H$18)),0)+IF(AND(L35="Cafco 400",M35="Software Idiem",C35="Cj"),(((('CAFCO 400 '!$D$7*LN(J35)+'CAFCO 400 '!$D$8)*U35^2)+(('CAFCO 400 '!$D$9*LN(J35)+'CAFCO 400 '!$D$10)*U35)+('CAFCO 400 '!$D$11*LN(J35)+'CAFCO 400 '!$D$12))),0)+IF(AND(L35="Cafco 400",M35="Software Idiem",C35="C"),((('CAFCO 400 '!$L$7*(J35^3)+'CAFCO 400 '!$L$8*(J35^2)+'CAFCO 400 '!$L$9*J35+'CAFCO 400 '!$L$10)*U35^2)+(('CAFCO 400 '!$L$11*(J35^3)+'CAFCO 400 '!$L$12*(J35^2)+'CAFCO 400 '!$L$13*J35+'CAFCO 400 '!$L$14)*U35)+('CAFCO 400 '!$L$15*LN(J35)+'CAFCO 400 '!$L$16)),0)+IF(AND(L35="Cafco 400",M35="Software Idiem",C35="L"),((('CAFCO 400 '!$L$7*(J35^3)+'CAFCO 400 '!$L$8*(J35^2)+'CAFCO 400 '!$L$9*J35+'CAFCO 400 '!$L$10)*U35^2)+(('CAFCO 400 '!$L$11*(J35^3)+'CAFCO 400 '!$L$12*(J35^2)+'CAFCO 400 '!$L$13*J35+'CAFCO 400 '!$L$14)*U35)+('CAFCO 400 '!$L$15*LN(J35)+'CAFCO 400 '!$L$16)),0)+IF(AND(L35="Cafco 400",M35="Software Idiem",C35="IN",G35=3),((('CAFCO 400 '!$D$23*(J35^2)+'CAFCO 400 '!$D$24*(J35)+'CAFCO 400 '!$D$25)*U35^2)+(('CAFCO 400 '!$D$26*(J35^2)+'CAFCO 400 '!$D$27*J35+'CAFCO 400 '!$D$28)*U35)+('CAFCO 400 '!$D$29*(J35^2)+'CAFCO 400 '!$D$30*J35+'CAFCO 400 '!$D$31)),0),0)+IF(AND(L35="Cafco 300",J35&gt;=95,J35&lt;=240,C35="Cj",I35=90),VLOOKUP(T35,'CAFCO 300 IDIEM TABLAS'!$B$4:$D$23,2,FALSE),0)+IF(AND(L35="Cafco 300",J35&gt;=95,J35&lt;=240,C35="Cj",I35=120),VLOOKUP(T35,'CAFCO 300 IDIEM TABLAS'!$B$4:$D$23,3,FALSE),0)+IF(AND(L35="Cafco 300",J35&gt;=95,J35&lt;=400,G35=3,C35="IN",I35=90),VLOOKUP(T35,'CAFCO 300 IDIEM TABLAS'!$F$4:$H$35,2,FALSE),0)+IF(AND(L35="Cafco 300",J35&gt;=95,J35&lt;=400,G35=3,C35="IN",I35=120),VLOOKUP(T35,'CAFCO 300 IDIEM TABLAS'!$F$4:$H$35,3,FALSE),0)+IF(AND(L35="Cafco 300",J35&gt;=95,J35&lt;=450,G35=4,C35="IN",I35=90),VLOOKUP(T35,'CAFCO 300 IDIEM TABLAS'!$J$4:$L$40,2,FALSE),0)+IF(AND(L35="Cafco 300",J35&gt;=95,J35&lt;=450,G35=4,C35="IN",I35=120),VLOOKUP(T35,'CAFCO 300 IDIEM TABLAS'!$J$4:$L$40,3,FALSE),0)+IF(AND(M35="Ensayo Idiem",L35="Cafco 400",C35="IN",G35=4,I35=90),VLOOKUP(T35,'CAFCO 400 ENSAYO'!$B$7:$D$43,2,FALSE),0)+IF(AND(M35="Ensayo Idiem",L35="Cafco 400",C35="IN",G35=4,I35=120),VLOOKUP(T35,'CAFCO 400 ENSAYO'!$B$7:$D$43,3,FALSE),0)</f>
        <v>0</v>
      </c>
      <c r="O35" s="96">
        <f t="shared" si="1"/>
        <v>0</v>
      </c>
      <c r="P35" s="95" t="str">
        <f t="shared" si="2"/>
        <v>CERT.</v>
      </c>
      <c r="Q35" s="95" t="str">
        <f t="shared" si="3"/>
        <v>CERT.</v>
      </c>
      <c r="R35" s="95" t="str">
        <f t="shared" si="4"/>
        <v>NO CERT.</v>
      </c>
      <c r="S35" s="95" t="str">
        <f t="shared" si="0"/>
        <v>NO CERT.</v>
      </c>
      <c r="T35" s="119">
        <f>+IF(J35=LOOKUP(J35,'CAFCO 300 IDIEM TABLAS'!$J$4:$J$40),'CALCULO MORTERO'!J35,MROUND('CALCULO MORTERO'!J35,10))</f>
        <v>200</v>
      </c>
      <c r="U35" s="118" t="e">
        <f t="shared" si="5"/>
        <v>#VALUE!</v>
      </c>
      <c r="Y35" s="4"/>
      <c r="Z35" s="4"/>
      <c r="AA35" s="4"/>
    </row>
    <row r="36" spans="1:27" ht="15.6" customHeight="1" x14ac:dyDescent="0.25">
      <c r="A36" s="118" t="str">
        <f>+CUBICACION!D35</f>
        <v>PILAR</v>
      </c>
      <c r="B36" s="819" t="str">
        <f>+CUBICACION!E35</f>
        <v>200X100X4</v>
      </c>
      <c r="C36" s="675" t="str">
        <f>+CUBICACION!F35</f>
        <v>CJ</v>
      </c>
      <c r="D36" s="118"/>
      <c r="E36" s="118"/>
      <c r="F36" s="820"/>
      <c r="G36" s="675">
        <f>+CUBICACION!J35</f>
        <v>4</v>
      </c>
      <c r="H36" s="118"/>
      <c r="I36" s="821" t="str">
        <f>+CUBICACION!L35</f>
        <v>F-60</v>
      </c>
      <c r="J36" s="64">
        <f>+CUBICACION!M35</f>
        <v>250</v>
      </c>
      <c r="K36" s="822">
        <f>+CUBICACION!N35</f>
        <v>4.8</v>
      </c>
      <c r="L36" s="118" t="str">
        <f>+CUBICACION!O35</f>
        <v>Fire Tex 5090</v>
      </c>
      <c r="M36" s="823" t="str">
        <f>+CUBICACION!P35</f>
        <v>Software Idiem</v>
      </c>
      <c r="N36" s="902">
        <f>ROUND(IF(AND(L36="Blaze Shield II",M36="Software Idiem",C36="IN",G36=4),((('BLAZE SHIELD II'!$D$4*('CALCULO MORTERO'!I36^2)+'BLAZE SHIELD II'!$D$5*'CALCULO MORTERO'!I36+'BLAZE SHIELD II'!$D$6)*LN(J36))+('BLAZE SHIELD II'!$D$7*('CALCULO MORTERO'!I36^2)+'BLAZE SHIELD II'!$D$8*'CALCULO MORTERO'!I36+'BLAZE SHIELD II'!$D$9)),0)+IF(AND(L36="Blaze Shield II",M36="Software Idiem",C36="Cj"),((('BLAZE SHIELD II'!$H$4*('CALCULO MORTERO'!I36^2)+'BLAZE SHIELD II'!$H$5*'CALCULO MORTERO'!I36+'BLAZE SHIELD II'!$H$6)*LN(J36))+('BLAZE SHIELD II'!$H$7*('CALCULO MORTERO'!I36^2)+'BLAZE SHIELD II'!$H$8*'CALCULO MORTERO'!I36+'BLAZE SHIELD II'!$H$9)),0)+IF(AND(L36="Blaze Shield II",M36="Software Idiem",C36="C"),((('BLAZE SHIELD II'!$L$4*('CALCULO MORTERO'!I36^2)+'BLAZE SHIELD II'!$L$5*'CALCULO MORTERO'!I36+'BLAZE SHIELD II'!$L$6)*LN(J36))+('BLAZE SHIELD II'!$L$7*('CALCULO MORTERO'!I36^2)+'BLAZE SHIELD II'!$L$8*'CALCULO MORTERO'!I36+'BLAZE SHIELD II'!$L$9)),0)+IF(AND(L36="Blaze Shield II",M36="Software Idiem",C36="L"),((('BLAZE SHIELD II'!$L$4*('CALCULO MORTERO'!I36^2)+'BLAZE SHIELD II'!$L$5*'CALCULO MORTERO'!I36+'BLAZE SHIELD II'!$L$6)*LN(J36))+('BLAZE SHIELD II'!$L$7*('CALCULO MORTERO'!I36^2)+'BLAZE SHIELD II'!$L$8*'CALCULO MORTERO'!I36+'BLAZE SHIELD II'!$L$9)),0)+IF(AND(L36="Blaze Shield II",M36="Software Idiem",C36="IN",G36=3),((('BLAZE SHIELD II'!$H$14*('CALCULO MORTERO'!I36^2)+'BLAZE SHIELD II'!$H$15*'CALCULO MORTERO'!I36+'BLAZE SHIELD II'!$H$16)*LN(J36))+('BLAZE SHIELD II'!$H$17*('CALCULO MORTERO'!I36^2)+'BLAZE SHIELD II'!$H$18*'CALCULO MORTERO'!I36+'BLAZE SHIELD II'!$H$19)),0),0)+ROUND(IF(AND(L36="Cafco 400",M36="Software Idiem",C36="IN",G36=4),((('CAFCO 400 '!$H$7*(J36^4)+'CAFCO 400 '!$H$8*(J36^3)+'CAFCO 400 '!$H$9*(J36^2)+'CAFCO 400 '!$H$10*J36+'CAFCO 400 '!$H$11)*U36^2)+(('CAFCO 400 '!$H$12*(J36^3)+'CAFCO 400 '!$H$13*(J36^2)+'CAFCO 400 '!$H$14*J36+'CAFCO 400 '!$H$15)*U36)+('CAFCO 400 '!$H$16*(J36^2)+'CAFCO 400 '!$H$17*J36+'CAFCO 400 '!$H$18)),0)+IF(AND(L36="Cafco 400",M36="Software Idiem",C36="Cj"),(((('CAFCO 400 '!$D$7*LN(J36)+'CAFCO 400 '!$D$8)*U36^2)+(('CAFCO 400 '!$D$9*LN(J36)+'CAFCO 400 '!$D$10)*U36)+('CAFCO 400 '!$D$11*LN(J36)+'CAFCO 400 '!$D$12))),0)+IF(AND(L36="Cafco 400",M36="Software Idiem",C36="C"),((('CAFCO 400 '!$L$7*(J36^3)+'CAFCO 400 '!$L$8*(J36^2)+'CAFCO 400 '!$L$9*J36+'CAFCO 400 '!$L$10)*U36^2)+(('CAFCO 400 '!$L$11*(J36^3)+'CAFCO 400 '!$L$12*(J36^2)+'CAFCO 400 '!$L$13*J36+'CAFCO 400 '!$L$14)*U36)+('CAFCO 400 '!$L$15*LN(J36)+'CAFCO 400 '!$L$16)),0)+IF(AND(L36="Cafco 400",M36="Software Idiem",C36="L"),((('CAFCO 400 '!$L$7*(J36^3)+'CAFCO 400 '!$L$8*(J36^2)+'CAFCO 400 '!$L$9*J36+'CAFCO 400 '!$L$10)*U36^2)+(('CAFCO 400 '!$L$11*(J36^3)+'CAFCO 400 '!$L$12*(J36^2)+'CAFCO 400 '!$L$13*J36+'CAFCO 400 '!$L$14)*U36)+('CAFCO 400 '!$L$15*LN(J36)+'CAFCO 400 '!$L$16)),0)+IF(AND(L36="Cafco 400",M36="Software Idiem",C36="IN",G36=3),((('CAFCO 400 '!$D$23*(J36^2)+'CAFCO 400 '!$D$24*(J36)+'CAFCO 400 '!$D$25)*U36^2)+(('CAFCO 400 '!$D$26*(J36^2)+'CAFCO 400 '!$D$27*J36+'CAFCO 400 '!$D$28)*U36)+('CAFCO 400 '!$D$29*(J36^2)+'CAFCO 400 '!$D$30*J36+'CAFCO 400 '!$D$31)),0),0)+IF(AND(L36="Cafco 300",J36&gt;=95,J36&lt;=240,C36="Cj",I36=90),VLOOKUP(T36,'CAFCO 300 IDIEM TABLAS'!$B$4:$D$23,2,FALSE),0)+IF(AND(L36="Cafco 300",J36&gt;=95,J36&lt;=240,C36="Cj",I36=120),VLOOKUP(T36,'CAFCO 300 IDIEM TABLAS'!$B$4:$D$23,3,FALSE),0)+IF(AND(L36="Cafco 300",J36&gt;=95,J36&lt;=400,G36=3,C36="IN",I36=90),VLOOKUP(T36,'CAFCO 300 IDIEM TABLAS'!$F$4:$H$35,2,FALSE),0)+IF(AND(L36="Cafco 300",J36&gt;=95,J36&lt;=400,G36=3,C36="IN",I36=120),VLOOKUP(T36,'CAFCO 300 IDIEM TABLAS'!$F$4:$H$35,3,FALSE),0)+IF(AND(L36="Cafco 300",J36&gt;=95,J36&lt;=450,G36=4,C36="IN",I36=90),VLOOKUP(T36,'CAFCO 300 IDIEM TABLAS'!$J$4:$L$40,2,FALSE),0)+IF(AND(L36="Cafco 300",J36&gt;=95,J36&lt;=450,G36=4,C36="IN",I36=120),VLOOKUP(T36,'CAFCO 300 IDIEM TABLAS'!$J$4:$L$40,3,FALSE),0)+IF(AND(M36="Ensayo Idiem",L36="Cafco 400",C36="IN",G36=4,I36=90),VLOOKUP(T36,'CAFCO 400 ENSAYO'!$B$7:$D$43,2,FALSE),0)+IF(AND(M36="Ensayo Idiem",L36="Cafco 400",C36="IN",G36=4,I36=120),VLOOKUP(T36,'CAFCO 400 ENSAYO'!$B$7:$D$43,3,FALSE),0)</f>
        <v>0</v>
      </c>
      <c r="O36" s="96">
        <f t="shared" si="1"/>
        <v>0</v>
      </c>
      <c r="P36" s="95" t="str">
        <f t="shared" si="2"/>
        <v>CERT.</v>
      </c>
      <c r="Q36" s="95" t="str">
        <f t="shared" si="3"/>
        <v>CERT.</v>
      </c>
      <c r="R36" s="95" t="str">
        <f t="shared" si="4"/>
        <v>NO CERT.</v>
      </c>
      <c r="S36" s="95" t="str">
        <f t="shared" si="0"/>
        <v>NO CERT.</v>
      </c>
      <c r="T36" s="119">
        <f>+IF(J36=LOOKUP(J36,'CAFCO 300 IDIEM TABLAS'!$J$4:$J$40),'CALCULO MORTERO'!J36,MROUND('CALCULO MORTERO'!J36,10))</f>
        <v>250</v>
      </c>
      <c r="U36" s="118" t="e">
        <f t="shared" si="5"/>
        <v>#VALUE!</v>
      </c>
      <c r="Y36" s="4"/>
      <c r="Z36" s="4"/>
      <c r="AA36" s="4"/>
    </row>
    <row r="37" spans="1:27" x14ac:dyDescent="0.25">
      <c r="A37" s="118" t="str">
        <f>+CUBICACION!D36</f>
        <v>PILAR</v>
      </c>
      <c r="B37" s="819" t="str">
        <f>+CUBICACION!E36</f>
        <v>200X100X4</v>
      </c>
      <c r="C37" s="675" t="str">
        <f>+CUBICACION!F36</f>
        <v>CJ</v>
      </c>
      <c r="D37" s="118"/>
      <c r="E37" s="118"/>
      <c r="F37" s="820"/>
      <c r="G37" s="675">
        <f>+CUBICACION!J36</f>
        <v>4</v>
      </c>
      <c r="H37" s="118"/>
      <c r="I37" s="821" t="str">
        <f>+CUBICACION!L36</f>
        <v>F-60</v>
      </c>
      <c r="J37" s="64">
        <f>+CUBICACION!M36</f>
        <v>250</v>
      </c>
      <c r="K37" s="822">
        <f>+CUBICACION!N36</f>
        <v>4.5</v>
      </c>
      <c r="L37" s="118" t="str">
        <f>+CUBICACION!O36</f>
        <v>Fire Tex 5090</v>
      </c>
      <c r="M37" s="823" t="str">
        <f>+CUBICACION!P36</f>
        <v>Software Idiem</v>
      </c>
      <c r="N37" s="902">
        <f>ROUND(IF(AND(L37="Blaze Shield II",M37="Software Idiem",C37="IN",G37=4),((('BLAZE SHIELD II'!$D$4*('CALCULO MORTERO'!I37^2)+'BLAZE SHIELD II'!$D$5*'CALCULO MORTERO'!I37+'BLAZE SHIELD II'!$D$6)*LN(J37))+('BLAZE SHIELD II'!$D$7*('CALCULO MORTERO'!I37^2)+'BLAZE SHIELD II'!$D$8*'CALCULO MORTERO'!I37+'BLAZE SHIELD II'!$D$9)),0)+IF(AND(L37="Blaze Shield II",M37="Software Idiem",C37="Cj"),((('BLAZE SHIELD II'!$H$4*('CALCULO MORTERO'!I37^2)+'BLAZE SHIELD II'!$H$5*'CALCULO MORTERO'!I37+'BLAZE SHIELD II'!$H$6)*LN(J37))+('BLAZE SHIELD II'!$H$7*('CALCULO MORTERO'!I37^2)+'BLAZE SHIELD II'!$H$8*'CALCULO MORTERO'!I37+'BLAZE SHIELD II'!$H$9)),0)+IF(AND(L37="Blaze Shield II",M37="Software Idiem",C37="C"),((('BLAZE SHIELD II'!$L$4*('CALCULO MORTERO'!I37^2)+'BLAZE SHIELD II'!$L$5*'CALCULO MORTERO'!I37+'BLAZE SHIELD II'!$L$6)*LN(J37))+('BLAZE SHIELD II'!$L$7*('CALCULO MORTERO'!I37^2)+'BLAZE SHIELD II'!$L$8*'CALCULO MORTERO'!I37+'BLAZE SHIELD II'!$L$9)),0)+IF(AND(L37="Blaze Shield II",M37="Software Idiem",C37="L"),((('BLAZE SHIELD II'!$L$4*('CALCULO MORTERO'!I37^2)+'BLAZE SHIELD II'!$L$5*'CALCULO MORTERO'!I37+'BLAZE SHIELD II'!$L$6)*LN(J37))+('BLAZE SHIELD II'!$L$7*('CALCULO MORTERO'!I37^2)+'BLAZE SHIELD II'!$L$8*'CALCULO MORTERO'!I37+'BLAZE SHIELD II'!$L$9)),0)+IF(AND(L37="Blaze Shield II",M37="Software Idiem",C37="IN",G37=3),((('BLAZE SHIELD II'!$H$14*('CALCULO MORTERO'!I37^2)+'BLAZE SHIELD II'!$H$15*'CALCULO MORTERO'!I37+'BLAZE SHIELD II'!$H$16)*LN(J37))+('BLAZE SHIELD II'!$H$17*('CALCULO MORTERO'!I37^2)+'BLAZE SHIELD II'!$H$18*'CALCULO MORTERO'!I37+'BLAZE SHIELD II'!$H$19)),0),0)+ROUND(IF(AND(L37="Cafco 400",M37="Software Idiem",C37="IN",G37=4),((('CAFCO 400 '!$H$7*(J37^4)+'CAFCO 400 '!$H$8*(J37^3)+'CAFCO 400 '!$H$9*(J37^2)+'CAFCO 400 '!$H$10*J37+'CAFCO 400 '!$H$11)*U37^2)+(('CAFCO 400 '!$H$12*(J37^3)+'CAFCO 400 '!$H$13*(J37^2)+'CAFCO 400 '!$H$14*J37+'CAFCO 400 '!$H$15)*U37)+('CAFCO 400 '!$H$16*(J37^2)+'CAFCO 400 '!$H$17*J37+'CAFCO 400 '!$H$18)),0)+IF(AND(L37="Cafco 400",M37="Software Idiem",C37="Cj"),(((('CAFCO 400 '!$D$7*LN(J37)+'CAFCO 400 '!$D$8)*U37^2)+(('CAFCO 400 '!$D$9*LN(J37)+'CAFCO 400 '!$D$10)*U37)+('CAFCO 400 '!$D$11*LN(J37)+'CAFCO 400 '!$D$12))),0)+IF(AND(L37="Cafco 400",M37="Software Idiem",C37="C"),((('CAFCO 400 '!$L$7*(J37^3)+'CAFCO 400 '!$L$8*(J37^2)+'CAFCO 400 '!$L$9*J37+'CAFCO 400 '!$L$10)*U37^2)+(('CAFCO 400 '!$L$11*(J37^3)+'CAFCO 400 '!$L$12*(J37^2)+'CAFCO 400 '!$L$13*J37+'CAFCO 400 '!$L$14)*U37)+('CAFCO 400 '!$L$15*LN(J37)+'CAFCO 400 '!$L$16)),0)+IF(AND(L37="Cafco 400",M37="Software Idiem",C37="L"),((('CAFCO 400 '!$L$7*(J37^3)+'CAFCO 400 '!$L$8*(J37^2)+'CAFCO 400 '!$L$9*J37+'CAFCO 400 '!$L$10)*U37^2)+(('CAFCO 400 '!$L$11*(J37^3)+'CAFCO 400 '!$L$12*(J37^2)+'CAFCO 400 '!$L$13*J37+'CAFCO 400 '!$L$14)*U37)+('CAFCO 400 '!$L$15*LN(J37)+'CAFCO 400 '!$L$16)),0)+IF(AND(L37="Cafco 400",M37="Software Idiem",C37="IN",G37=3),((('CAFCO 400 '!$D$23*(J37^2)+'CAFCO 400 '!$D$24*(J37)+'CAFCO 400 '!$D$25)*U37^2)+(('CAFCO 400 '!$D$26*(J37^2)+'CAFCO 400 '!$D$27*J37+'CAFCO 400 '!$D$28)*U37)+('CAFCO 400 '!$D$29*(J37^2)+'CAFCO 400 '!$D$30*J37+'CAFCO 400 '!$D$31)),0),0)+IF(AND(L37="Cafco 300",J37&gt;=95,J37&lt;=240,C37="Cj",I37=90),VLOOKUP(T37,'CAFCO 300 IDIEM TABLAS'!$B$4:$D$23,2,FALSE),0)+IF(AND(L37="Cafco 300",J37&gt;=95,J37&lt;=240,C37="Cj",I37=120),VLOOKUP(T37,'CAFCO 300 IDIEM TABLAS'!$B$4:$D$23,3,FALSE),0)+IF(AND(L37="Cafco 300",J37&gt;=95,J37&lt;=400,G37=3,C37="IN",I37=90),VLOOKUP(T37,'CAFCO 300 IDIEM TABLAS'!$F$4:$H$35,2,FALSE),0)+IF(AND(L37="Cafco 300",J37&gt;=95,J37&lt;=400,G37=3,C37="IN",I37=120),VLOOKUP(T37,'CAFCO 300 IDIEM TABLAS'!$F$4:$H$35,3,FALSE),0)+IF(AND(L37="Cafco 300",J37&gt;=95,J37&lt;=450,G37=4,C37="IN",I37=90),VLOOKUP(T37,'CAFCO 300 IDIEM TABLAS'!$J$4:$L$40,2,FALSE),0)+IF(AND(L37="Cafco 300",J37&gt;=95,J37&lt;=450,G37=4,C37="IN",I37=120),VLOOKUP(T37,'CAFCO 300 IDIEM TABLAS'!$J$4:$L$40,3,FALSE),0)+IF(AND(M37="Ensayo Idiem",L37="Cafco 400",C37="IN",G37=4,I37=90),VLOOKUP(T37,'CAFCO 400 ENSAYO'!$B$7:$D$43,2,FALSE),0)+IF(AND(M37="Ensayo Idiem",L37="Cafco 400",C37="IN",G37=4,I37=120),VLOOKUP(T37,'CAFCO 400 ENSAYO'!$B$7:$D$43,3,FALSE),0)</f>
        <v>0</v>
      </c>
      <c r="O37" s="96">
        <f t="shared" si="1"/>
        <v>0</v>
      </c>
      <c r="P37" s="95" t="str">
        <f t="shared" si="2"/>
        <v>CERT.</v>
      </c>
      <c r="Q37" s="95" t="str">
        <f t="shared" si="3"/>
        <v>CERT.</v>
      </c>
      <c r="R37" s="95" t="str">
        <f t="shared" si="4"/>
        <v>NO CERT.</v>
      </c>
      <c r="S37" s="95" t="str">
        <f t="shared" si="0"/>
        <v>NO CERT.</v>
      </c>
      <c r="T37" s="119">
        <f>+IF(J37=LOOKUP(J37,'CAFCO 300 IDIEM TABLAS'!$J$4:$J$40),'CALCULO MORTERO'!J37,MROUND('CALCULO MORTERO'!J37,10))</f>
        <v>250</v>
      </c>
      <c r="U37" s="118" t="e">
        <f t="shared" si="5"/>
        <v>#VALUE!</v>
      </c>
      <c r="Y37" s="4"/>
      <c r="Z37" s="4"/>
      <c r="AA37" s="4"/>
    </row>
    <row r="38" spans="1:27" ht="15.6" customHeight="1" x14ac:dyDescent="0.25">
      <c r="A38" s="118" t="str">
        <f>+CUBICACION!D37</f>
        <v>PILAR</v>
      </c>
      <c r="B38" s="819" t="str">
        <f>+CUBICACION!E37</f>
        <v>200X100X4</v>
      </c>
      <c r="C38" s="675" t="str">
        <f>+CUBICACION!F37</f>
        <v>CJ</v>
      </c>
      <c r="D38" s="118"/>
      <c r="E38" s="118"/>
      <c r="F38" s="820"/>
      <c r="G38" s="675">
        <f>+CUBICACION!J37</f>
        <v>4</v>
      </c>
      <c r="H38" s="118"/>
      <c r="I38" s="821" t="str">
        <f>+CUBICACION!L37</f>
        <v>F-60</v>
      </c>
      <c r="J38" s="64">
        <f>+CUBICACION!M37</f>
        <v>250</v>
      </c>
      <c r="K38" s="822">
        <f>+CUBICACION!N37</f>
        <v>3.9</v>
      </c>
      <c r="L38" s="118" t="str">
        <f>+CUBICACION!O37</f>
        <v>Fire Tex 5090</v>
      </c>
      <c r="M38" s="823" t="str">
        <f>+CUBICACION!P37</f>
        <v>Software Idiem</v>
      </c>
      <c r="N38" s="902">
        <f>ROUND(IF(AND(L38="Blaze Shield II",M38="Software Idiem",C38="IN",G38=4),((('BLAZE SHIELD II'!$D$4*('CALCULO MORTERO'!I38^2)+'BLAZE SHIELD II'!$D$5*'CALCULO MORTERO'!I38+'BLAZE SHIELD II'!$D$6)*LN(J38))+('BLAZE SHIELD II'!$D$7*('CALCULO MORTERO'!I38^2)+'BLAZE SHIELD II'!$D$8*'CALCULO MORTERO'!I38+'BLAZE SHIELD II'!$D$9)),0)+IF(AND(L38="Blaze Shield II",M38="Software Idiem",C38="Cj"),((('BLAZE SHIELD II'!$H$4*('CALCULO MORTERO'!I38^2)+'BLAZE SHIELD II'!$H$5*'CALCULO MORTERO'!I38+'BLAZE SHIELD II'!$H$6)*LN(J38))+('BLAZE SHIELD II'!$H$7*('CALCULO MORTERO'!I38^2)+'BLAZE SHIELD II'!$H$8*'CALCULO MORTERO'!I38+'BLAZE SHIELD II'!$H$9)),0)+IF(AND(L38="Blaze Shield II",M38="Software Idiem",C38="C"),((('BLAZE SHIELD II'!$L$4*('CALCULO MORTERO'!I38^2)+'BLAZE SHIELD II'!$L$5*'CALCULO MORTERO'!I38+'BLAZE SHIELD II'!$L$6)*LN(J38))+('BLAZE SHIELD II'!$L$7*('CALCULO MORTERO'!I38^2)+'BLAZE SHIELD II'!$L$8*'CALCULO MORTERO'!I38+'BLAZE SHIELD II'!$L$9)),0)+IF(AND(L38="Blaze Shield II",M38="Software Idiem",C38="L"),((('BLAZE SHIELD II'!$L$4*('CALCULO MORTERO'!I38^2)+'BLAZE SHIELD II'!$L$5*'CALCULO MORTERO'!I38+'BLAZE SHIELD II'!$L$6)*LN(J38))+('BLAZE SHIELD II'!$L$7*('CALCULO MORTERO'!I38^2)+'BLAZE SHIELD II'!$L$8*'CALCULO MORTERO'!I38+'BLAZE SHIELD II'!$L$9)),0)+IF(AND(L38="Blaze Shield II",M38="Software Idiem",C38="IN",G38=3),((('BLAZE SHIELD II'!$H$14*('CALCULO MORTERO'!I38^2)+'BLAZE SHIELD II'!$H$15*'CALCULO MORTERO'!I38+'BLAZE SHIELD II'!$H$16)*LN(J38))+('BLAZE SHIELD II'!$H$17*('CALCULO MORTERO'!I38^2)+'BLAZE SHIELD II'!$H$18*'CALCULO MORTERO'!I38+'BLAZE SHIELD II'!$H$19)),0),0)+ROUND(IF(AND(L38="Cafco 400",M38="Software Idiem",C38="IN",G38=4),((('CAFCO 400 '!$H$7*(J38^4)+'CAFCO 400 '!$H$8*(J38^3)+'CAFCO 400 '!$H$9*(J38^2)+'CAFCO 400 '!$H$10*J38+'CAFCO 400 '!$H$11)*U38^2)+(('CAFCO 400 '!$H$12*(J38^3)+'CAFCO 400 '!$H$13*(J38^2)+'CAFCO 400 '!$H$14*J38+'CAFCO 400 '!$H$15)*U38)+('CAFCO 400 '!$H$16*(J38^2)+'CAFCO 400 '!$H$17*J38+'CAFCO 400 '!$H$18)),0)+IF(AND(L38="Cafco 400",M38="Software Idiem",C38="Cj"),(((('CAFCO 400 '!$D$7*LN(J38)+'CAFCO 400 '!$D$8)*U38^2)+(('CAFCO 400 '!$D$9*LN(J38)+'CAFCO 400 '!$D$10)*U38)+('CAFCO 400 '!$D$11*LN(J38)+'CAFCO 400 '!$D$12))),0)+IF(AND(L38="Cafco 400",M38="Software Idiem",C38="C"),((('CAFCO 400 '!$L$7*(J38^3)+'CAFCO 400 '!$L$8*(J38^2)+'CAFCO 400 '!$L$9*J38+'CAFCO 400 '!$L$10)*U38^2)+(('CAFCO 400 '!$L$11*(J38^3)+'CAFCO 400 '!$L$12*(J38^2)+'CAFCO 400 '!$L$13*J38+'CAFCO 400 '!$L$14)*U38)+('CAFCO 400 '!$L$15*LN(J38)+'CAFCO 400 '!$L$16)),0)+IF(AND(L38="Cafco 400",M38="Software Idiem",C38="L"),((('CAFCO 400 '!$L$7*(J38^3)+'CAFCO 400 '!$L$8*(J38^2)+'CAFCO 400 '!$L$9*J38+'CAFCO 400 '!$L$10)*U38^2)+(('CAFCO 400 '!$L$11*(J38^3)+'CAFCO 400 '!$L$12*(J38^2)+'CAFCO 400 '!$L$13*J38+'CAFCO 400 '!$L$14)*U38)+('CAFCO 400 '!$L$15*LN(J38)+'CAFCO 400 '!$L$16)),0)+IF(AND(L38="Cafco 400",M38="Software Idiem",C38="IN",G38=3),((('CAFCO 400 '!$D$23*(J38^2)+'CAFCO 400 '!$D$24*(J38)+'CAFCO 400 '!$D$25)*U38^2)+(('CAFCO 400 '!$D$26*(J38^2)+'CAFCO 400 '!$D$27*J38+'CAFCO 400 '!$D$28)*U38)+('CAFCO 400 '!$D$29*(J38^2)+'CAFCO 400 '!$D$30*J38+'CAFCO 400 '!$D$31)),0),0)+IF(AND(L38="Cafco 300",J38&gt;=95,J38&lt;=240,C38="Cj",I38=90),VLOOKUP(T38,'CAFCO 300 IDIEM TABLAS'!$B$4:$D$23,2,FALSE),0)+IF(AND(L38="Cafco 300",J38&gt;=95,J38&lt;=240,C38="Cj",I38=120),VLOOKUP(T38,'CAFCO 300 IDIEM TABLAS'!$B$4:$D$23,3,FALSE),0)+IF(AND(L38="Cafco 300",J38&gt;=95,J38&lt;=400,G38=3,C38="IN",I38=90),VLOOKUP(T38,'CAFCO 300 IDIEM TABLAS'!$F$4:$H$35,2,FALSE),0)+IF(AND(L38="Cafco 300",J38&gt;=95,J38&lt;=400,G38=3,C38="IN",I38=120),VLOOKUP(T38,'CAFCO 300 IDIEM TABLAS'!$F$4:$H$35,3,FALSE),0)+IF(AND(L38="Cafco 300",J38&gt;=95,J38&lt;=450,G38=4,C38="IN",I38=90),VLOOKUP(T38,'CAFCO 300 IDIEM TABLAS'!$J$4:$L$40,2,FALSE),0)+IF(AND(L38="Cafco 300",J38&gt;=95,J38&lt;=450,G38=4,C38="IN",I38=120),VLOOKUP(T38,'CAFCO 300 IDIEM TABLAS'!$J$4:$L$40,3,FALSE),0)+IF(AND(M38="Ensayo Idiem",L38="Cafco 400",C38="IN",G38=4,I38=90),VLOOKUP(T38,'CAFCO 400 ENSAYO'!$B$7:$D$43,2,FALSE),0)+IF(AND(M38="Ensayo Idiem",L38="Cafco 400",C38="IN",G38=4,I38=120),VLOOKUP(T38,'CAFCO 400 ENSAYO'!$B$7:$D$43,3,FALSE),0)</f>
        <v>0</v>
      </c>
      <c r="O38" s="96">
        <f t="shared" si="1"/>
        <v>0</v>
      </c>
      <c r="P38" s="95" t="str">
        <f t="shared" si="2"/>
        <v>CERT.</v>
      </c>
      <c r="Q38" s="95" t="str">
        <f t="shared" si="3"/>
        <v>CERT.</v>
      </c>
      <c r="R38" s="95" t="str">
        <f t="shared" si="4"/>
        <v>NO CERT.</v>
      </c>
      <c r="S38" s="95" t="str">
        <f t="shared" si="0"/>
        <v>NO CERT.</v>
      </c>
      <c r="T38" s="119">
        <f>+IF(J38=LOOKUP(J38,'CAFCO 300 IDIEM TABLAS'!$J$4:$J$40),'CALCULO MORTERO'!J38,MROUND('CALCULO MORTERO'!J38,10))</f>
        <v>250</v>
      </c>
      <c r="U38" s="118" t="e">
        <f t="shared" si="5"/>
        <v>#VALUE!</v>
      </c>
      <c r="Y38" s="4"/>
      <c r="Z38" s="4"/>
      <c r="AA38" s="4"/>
    </row>
    <row r="39" spans="1:27" x14ac:dyDescent="0.25">
      <c r="A39" s="118" t="str">
        <f>+CUBICACION!D38</f>
        <v>PILAR</v>
      </c>
      <c r="B39" s="819" t="str">
        <f>+CUBICACION!E38</f>
        <v>150X150X5</v>
      </c>
      <c r="C39" s="675" t="str">
        <f>+CUBICACION!F38</f>
        <v>CJ</v>
      </c>
      <c r="D39" s="118"/>
      <c r="E39" s="118"/>
      <c r="F39" s="820"/>
      <c r="G39" s="675">
        <f>+CUBICACION!J38</f>
        <v>4</v>
      </c>
      <c r="H39" s="118"/>
      <c r="I39" s="821" t="str">
        <f>+CUBICACION!L38</f>
        <v>F-60</v>
      </c>
      <c r="J39" s="64">
        <f>+CUBICACION!M38</f>
        <v>200</v>
      </c>
      <c r="K39" s="822">
        <f>+CUBICACION!N38</f>
        <v>3.6</v>
      </c>
      <c r="L39" s="118" t="str">
        <f>+CUBICACION!O38</f>
        <v>Fire Tex 5090</v>
      </c>
      <c r="M39" s="823" t="str">
        <f>+CUBICACION!P38</f>
        <v>Software Idiem</v>
      </c>
      <c r="N39" s="902">
        <f>ROUND(IF(AND(L39="Blaze Shield II",M39="Software Idiem",C39="IN",G39=4),((('BLAZE SHIELD II'!$D$4*('CALCULO MORTERO'!I39^2)+'BLAZE SHIELD II'!$D$5*'CALCULO MORTERO'!I39+'BLAZE SHIELD II'!$D$6)*LN(J39))+('BLAZE SHIELD II'!$D$7*('CALCULO MORTERO'!I39^2)+'BLAZE SHIELD II'!$D$8*'CALCULO MORTERO'!I39+'BLAZE SHIELD II'!$D$9)),0)+IF(AND(L39="Blaze Shield II",M39="Software Idiem",C39="Cj"),((('BLAZE SHIELD II'!$H$4*('CALCULO MORTERO'!I39^2)+'BLAZE SHIELD II'!$H$5*'CALCULO MORTERO'!I39+'BLAZE SHIELD II'!$H$6)*LN(J39))+('BLAZE SHIELD II'!$H$7*('CALCULO MORTERO'!I39^2)+'BLAZE SHIELD II'!$H$8*'CALCULO MORTERO'!I39+'BLAZE SHIELD II'!$H$9)),0)+IF(AND(L39="Blaze Shield II",M39="Software Idiem",C39="C"),((('BLAZE SHIELD II'!$L$4*('CALCULO MORTERO'!I39^2)+'BLAZE SHIELD II'!$L$5*'CALCULO MORTERO'!I39+'BLAZE SHIELD II'!$L$6)*LN(J39))+('BLAZE SHIELD II'!$L$7*('CALCULO MORTERO'!I39^2)+'BLAZE SHIELD II'!$L$8*'CALCULO MORTERO'!I39+'BLAZE SHIELD II'!$L$9)),0)+IF(AND(L39="Blaze Shield II",M39="Software Idiem",C39="L"),((('BLAZE SHIELD II'!$L$4*('CALCULO MORTERO'!I39^2)+'BLAZE SHIELD II'!$L$5*'CALCULO MORTERO'!I39+'BLAZE SHIELD II'!$L$6)*LN(J39))+('BLAZE SHIELD II'!$L$7*('CALCULO MORTERO'!I39^2)+'BLAZE SHIELD II'!$L$8*'CALCULO MORTERO'!I39+'BLAZE SHIELD II'!$L$9)),0)+IF(AND(L39="Blaze Shield II",M39="Software Idiem",C39="IN",G39=3),((('BLAZE SHIELD II'!$H$14*('CALCULO MORTERO'!I39^2)+'BLAZE SHIELD II'!$H$15*'CALCULO MORTERO'!I39+'BLAZE SHIELD II'!$H$16)*LN(J39))+('BLAZE SHIELD II'!$H$17*('CALCULO MORTERO'!I39^2)+'BLAZE SHIELD II'!$H$18*'CALCULO MORTERO'!I39+'BLAZE SHIELD II'!$H$19)),0),0)+ROUND(IF(AND(L39="Cafco 400",M39="Software Idiem",C39="IN",G39=4),((('CAFCO 400 '!$H$7*(J39^4)+'CAFCO 400 '!$H$8*(J39^3)+'CAFCO 400 '!$H$9*(J39^2)+'CAFCO 400 '!$H$10*J39+'CAFCO 400 '!$H$11)*U39^2)+(('CAFCO 400 '!$H$12*(J39^3)+'CAFCO 400 '!$H$13*(J39^2)+'CAFCO 400 '!$H$14*J39+'CAFCO 400 '!$H$15)*U39)+('CAFCO 400 '!$H$16*(J39^2)+'CAFCO 400 '!$H$17*J39+'CAFCO 400 '!$H$18)),0)+IF(AND(L39="Cafco 400",M39="Software Idiem",C39="Cj"),(((('CAFCO 400 '!$D$7*LN(J39)+'CAFCO 400 '!$D$8)*U39^2)+(('CAFCO 400 '!$D$9*LN(J39)+'CAFCO 400 '!$D$10)*U39)+('CAFCO 400 '!$D$11*LN(J39)+'CAFCO 400 '!$D$12))),0)+IF(AND(L39="Cafco 400",M39="Software Idiem",C39="C"),((('CAFCO 400 '!$L$7*(J39^3)+'CAFCO 400 '!$L$8*(J39^2)+'CAFCO 400 '!$L$9*J39+'CAFCO 400 '!$L$10)*U39^2)+(('CAFCO 400 '!$L$11*(J39^3)+'CAFCO 400 '!$L$12*(J39^2)+'CAFCO 400 '!$L$13*J39+'CAFCO 400 '!$L$14)*U39)+('CAFCO 400 '!$L$15*LN(J39)+'CAFCO 400 '!$L$16)),0)+IF(AND(L39="Cafco 400",M39="Software Idiem",C39="L"),((('CAFCO 400 '!$L$7*(J39^3)+'CAFCO 400 '!$L$8*(J39^2)+'CAFCO 400 '!$L$9*J39+'CAFCO 400 '!$L$10)*U39^2)+(('CAFCO 400 '!$L$11*(J39^3)+'CAFCO 400 '!$L$12*(J39^2)+'CAFCO 400 '!$L$13*J39+'CAFCO 400 '!$L$14)*U39)+('CAFCO 400 '!$L$15*LN(J39)+'CAFCO 400 '!$L$16)),0)+IF(AND(L39="Cafco 400",M39="Software Idiem",C39="IN",G39=3),((('CAFCO 400 '!$D$23*(J39^2)+'CAFCO 400 '!$D$24*(J39)+'CAFCO 400 '!$D$25)*U39^2)+(('CAFCO 400 '!$D$26*(J39^2)+'CAFCO 400 '!$D$27*J39+'CAFCO 400 '!$D$28)*U39)+('CAFCO 400 '!$D$29*(J39^2)+'CAFCO 400 '!$D$30*J39+'CAFCO 400 '!$D$31)),0),0)+IF(AND(L39="Cafco 300",J39&gt;=95,J39&lt;=240,C39="Cj",I39=90),VLOOKUP(T39,'CAFCO 300 IDIEM TABLAS'!$B$4:$D$23,2,FALSE),0)+IF(AND(L39="Cafco 300",J39&gt;=95,J39&lt;=240,C39="Cj",I39=120),VLOOKUP(T39,'CAFCO 300 IDIEM TABLAS'!$B$4:$D$23,3,FALSE),0)+IF(AND(L39="Cafco 300",J39&gt;=95,J39&lt;=400,G39=3,C39="IN",I39=90),VLOOKUP(T39,'CAFCO 300 IDIEM TABLAS'!$F$4:$H$35,2,FALSE),0)+IF(AND(L39="Cafco 300",J39&gt;=95,J39&lt;=400,G39=3,C39="IN",I39=120),VLOOKUP(T39,'CAFCO 300 IDIEM TABLAS'!$F$4:$H$35,3,FALSE),0)+IF(AND(L39="Cafco 300",J39&gt;=95,J39&lt;=450,G39=4,C39="IN",I39=90),VLOOKUP(T39,'CAFCO 300 IDIEM TABLAS'!$J$4:$L$40,2,FALSE),0)+IF(AND(L39="Cafco 300",J39&gt;=95,J39&lt;=450,G39=4,C39="IN",I39=120),VLOOKUP(T39,'CAFCO 300 IDIEM TABLAS'!$J$4:$L$40,3,FALSE),0)+IF(AND(M39="Ensayo Idiem",L39="Cafco 400",C39="IN",G39=4,I39=90),VLOOKUP(T39,'CAFCO 400 ENSAYO'!$B$7:$D$43,2,FALSE),0)+IF(AND(M39="Ensayo Idiem",L39="Cafco 400",C39="IN",G39=4,I39=120),VLOOKUP(T39,'CAFCO 400 ENSAYO'!$B$7:$D$43,3,FALSE),0)</f>
        <v>0</v>
      </c>
      <c r="O39" s="96">
        <f t="shared" si="1"/>
        <v>0</v>
      </c>
      <c r="P39" s="95" t="str">
        <f t="shared" si="2"/>
        <v>CERT.</v>
      </c>
      <c r="Q39" s="95" t="str">
        <f>IF(AND(M39="Software Idiem"),IF(AND(C39="IN",G39=4,J39&gt;=50,J39&lt;=500),"CERT.",IF(AND(C39="Cj",J39&gt;=50,J39&lt;=500),"CERT.",IF(AND(C39="C",J39&gt;=50,J39&lt;=1000),"CERT.",IF(AND(C39="L",J39&gt;=50,J39&lt;=1000),"CERT.",IF(AND(C39="IN",G39=3,J39&gt;=50,J39&lt;=500),"CERT.","NO CERT."))))),"N/A")</f>
        <v>CERT.</v>
      </c>
      <c r="R39" s="95" t="str">
        <f t="shared" si="4"/>
        <v>NO CERT.</v>
      </c>
      <c r="S39" s="95" t="str">
        <f t="shared" si="0"/>
        <v>NO CERT.</v>
      </c>
      <c r="T39" s="119">
        <f>+IF(J39=LOOKUP(J39,'CAFCO 300 IDIEM TABLAS'!$J$4:$J$40),'CALCULO MORTERO'!J39,MROUND('CALCULO MORTERO'!J39,10))</f>
        <v>200</v>
      </c>
      <c r="U39" s="118" t="e">
        <f t="shared" si="5"/>
        <v>#VALUE!</v>
      </c>
      <c r="Y39" s="4"/>
      <c r="Z39" s="4"/>
      <c r="AA39" s="4"/>
    </row>
    <row r="40" spans="1:27" ht="15.6" customHeight="1" x14ac:dyDescent="0.25">
      <c r="A40" s="118" t="str">
        <f>+CUBICACION!D39</f>
        <v>VIGA</v>
      </c>
      <c r="B40" s="819" t="str">
        <f>+CUBICACION!E39</f>
        <v xml:space="preserve"> M1 MM600X225X4</v>
      </c>
      <c r="C40" s="675" t="str">
        <f>+CUBICACION!F39</f>
        <v>CJ</v>
      </c>
      <c r="D40" s="118"/>
      <c r="E40" s="118"/>
      <c r="F40" s="820"/>
      <c r="G40" s="675">
        <f>+CUBICACION!J39</f>
        <v>4</v>
      </c>
      <c r="H40" s="118"/>
      <c r="I40" s="821" t="str">
        <f>+CUBICACION!L39</f>
        <v>F-60</v>
      </c>
      <c r="J40" s="64">
        <f>+CUBICACION!M39</f>
        <v>250</v>
      </c>
      <c r="K40" s="822">
        <f>+CUBICACION!N39</f>
        <v>49.5</v>
      </c>
      <c r="L40" s="118" t="str">
        <f>+CUBICACION!O39</f>
        <v>Fire Tex 5090</v>
      </c>
      <c r="M40" s="823" t="str">
        <f>+CUBICACION!P39</f>
        <v>Software Idiem</v>
      </c>
      <c r="N40" s="902">
        <f>ROUND(IF(AND(L40="Blaze Shield II",M40="Software Idiem",C40="IN",G40=4),((('BLAZE SHIELD II'!$D$4*('CALCULO MORTERO'!I40^2)+'BLAZE SHIELD II'!$D$5*'CALCULO MORTERO'!I40+'BLAZE SHIELD II'!$D$6)*LN(J40))+('BLAZE SHIELD II'!$D$7*('CALCULO MORTERO'!I40^2)+'BLAZE SHIELD II'!$D$8*'CALCULO MORTERO'!I40+'BLAZE SHIELD II'!$D$9)),0)+IF(AND(L40="Blaze Shield II",M40="Software Idiem",C40="Cj"),((('BLAZE SHIELD II'!$H$4*('CALCULO MORTERO'!I40^2)+'BLAZE SHIELD II'!$H$5*'CALCULO MORTERO'!I40+'BLAZE SHIELD II'!$H$6)*LN(J40))+('BLAZE SHIELD II'!$H$7*('CALCULO MORTERO'!I40^2)+'BLAZE SHIELD II'!$H$8*'CALCULO MORTERO'!I40+'BLAZE SHIELD II'!$H$9)),0)+IF(AND(L40="Blaze Shield II",M40="Software Idiem",C40="C"),((('BLAZE SHIELD II'!$L$4*('CALCULO MORTERO'!I40^2)+'BLAZE SHIELD II'!$L$5*'CALCULO MORTERO'!I40+'BLAZE SHIELD II'!$L$6)*LN(J40))+('BLAZE SHIELD II'!$L$7*('CALCULO MORTERO'!I40^2)+'BLAZE SHIELD II'!$L$8*'CALCULO MORTERO'!I40+'BLAZE SHIELD II'!$L$9)),0)+IF(AND(L40="Blaze Shield II",M40="Software Idiem",C40="L"),((('BLAZE SHIELD II'!$L$4*('CALCULO MORTERO'!I40^2)+'BLAZE SHIELD II'!$L$5*'CALCULO MORTERO'!I40+'BLAZE SHIELD II'!$L$6)*LN(J40))+('BLAZE SHIELD II'!$L$7*('CALCULO MORTERO'!I40^2)+'BLAZE SHIELD II'!$L$8*'CALCULO MORTERO'!I40+'BLAZE SHIELD II'!$L$9)),0)+IF(AND(L40="Blaze Shield II",M40="Software Idiem",C40="IN",G40=3),((('BLAZE SHIELD II'!$H$14*('CALCULO MORTERO'!I40^2)+'BLAZE SHIELD II'!$H$15*'CALCULO MORTERO'!I40+'BLAZE SHIELD II'!$H$16)*LN(J40))+('BLAZE SHIELD II'!$H$17*('CALCULO MORTERO'!I40^2)+'BLAZE SHIELD II'!$H$18*'CALCULO MORTERO'!I40+'BLAZE SHIELD II'!$H$19)),0),0)+ROUND(IF(AND(L40="Cafco 400",M40="Software Idiem",C40="IN",G40=4),((('CAFCO 400 '!$H$7*(J40^4)+'CAFCO 400 '!$H$8*(J40^3)+'CAFCO 400 '!$H$9*(J40^2)+'CAFCO 400 '!$H$10*J40+'CAFCO 400 '!$H$11)*U40^2)+(('CAFCO 400 '!$H$12*(J40^3)+'CAFCO 400 '!$H$13*(J40^2)+'CAFCO 400 '!$H$14*J40+'CAFCO 400 '!$H$15)*U40)+('CAFCO 400 '!$H$16*(J40^2)+'CAFCO 400 '!$H$17*J40+'CAFCO 400 '!$H$18)),0)+IF(AND(L40="Cafco 400",M40="Software Idiem",C40="Cj"),(((('CAFCO 400 '!$D$7*LN(J40)+'CAFCO 400 '!$D$8)*U40^2)+(('CAFCO 400 '!$D$9*LN(J40)+'CAFCO 400 '!$D$10)*U40)+('CAFCO 400 '!$D$11*LN(J40)+'CAFCO 400 '!$D$12))),0)+IF(AND(L40="Cafco 400",M40="Software Idiem",C40="C"),((('CAFCO 400 '!$L$7*(J40^3)+'CAFCO 400 '!$L$8*(J40^2)+'CAFCO 400 '!$L$9*J40+'CAFCO 400 '!$L$10)*U40^2)+(('CAFCO 400 '!$L$11*(J40^3)+'CAFCO 400 '!$L$12*(J40^2)+'CAFCO 400 '!$L$13*J40+'CAFCO 400 '!$L$14)*U40)+('CAFCO 400 '!$L$15*LN(J40)+'CAFCO 400 '!$L$16)),0)+IF(AND(L40="Cafco 400",M40="Software Idiem",C40="L"),((('CAFCO 400 '!$L$7*(J40^3)+'CAFCO 400 '!$L$8*(J40^2)+'CAFCO 400 '!$L$9*J40+'CAFCO 400 '!$L$10)*U40^2)+(('CAFCO 400 '!$L$11*(J40^3)+'CAFCO 400 '!$L$12*(J40^2)+'CAFCO 400 '!$L$13*J40+'CAFCO 400 '!$L$14)*U40)+('CAFCO 400 '!$L$15*LN(J40)+'CAFCO 400 '!$L$16)),0)+IF(AND(L40="Cafco 400",M40="Software Idiem",C40="IN",G40=3),((('CAFCO 400 '!$D$23*(J40^2)+'CAFCO 400 '!$D$24*(J40)+'CAFCO 400 '!$D$25)*U40^2)+(('CAFCO 400 '!$D$26*(J40^2)+'CAFCO 400 '!$D$27*J40+'CAFCO 400 '!$D$28)*U40)+('CAFCO 400 '!$D$29*(J40^2)+'CAFCO 400 '!$D$30*J40+'CAFCO 400 '!$D$31)),0),0)+IF(AND(L40="Cafco 300",J40&gt;=95,J40&lt;=240,C40="Cj",I40=90),VLOOKUP(T40,'CAFCO 300 IDIEM TABLAS'!$B$4:$D$23,2,FALSE),0)+IF(AND(L40="Cafco 300",J40&gt;=95,J40&lt;=240,C40="Cj",I40=120),VLOOKUP(T40,'CAFCO 300 IDIEM TABLAS'!$B$4:$D$23,3,FALSE),0)+IF(AND(L40="Cafco 300",J40&gt;=95,J40&lt;=400,G40=3,C40="IN",I40=90),VLOOKUP(T40,'CAFCO 300 IDIEM TABLAS'!$F$4:$H$35,2,FALSE),0)+IF(AND(L40="Cafco 300",J40&gt;=95,J40&lt;=400,G40=3,C40="IN",I40=120),VLOOKUP(T40,'CAFCO 300 IDIEM TABLAS'!$F$4:$H$35,3,FALSE),0)+IF(AND(L40="Cafco 300",J40&gt;=95,J40&lt;=450,G40=4,C40="IN",I40=90),VLOOKUP(T40,'CAFCO 300 IDIEM TABLAS'!$J$4:$L$40,2,FALSE),0)+IF(AND(L40="Cafco 300",J40&gt;=95,J40&lt;=450,G40=4,C40="IN",I40=120),VLOOKUP(T40,'CAFCO 300 IDIEM TABLAS'!$J$4:$L$40,3,FALSE),0)+IF(AND(M40="Ensayo Idiem",L40="Cafco 400",C40="IN",G40=4,I40=90),VLOOKUP(T40,'CAFCO 400 ENSAYO'!$B$7:$D$43,2,FALSE),0)+IF(AND(M40="Ensayo Idiem",L40="Cafco 400",C40="IN",G40=4,I40=120),VLOOKUP(T40,'CAFCO 400 ENSAYO'!$B$7:$D$43,3,FALSE),0)</f>
        <v>0</v>
      </c>
      <c r="O40" s="96">
        <f t="shared" si="1"/>
        <v>0</v>
      </c>
      <c r="P40" s="95" t="str">
        <f t="shared" si="2"/>
        <v>CERT.</v>
      </c>
      <c r="Q40" s="95" t="str">
        <f t="shared" si="3"/>
        <v>CERT.</v>
      </c>
      <c r="R40" s="95" t="str">
        <f t="shared" si="4"/>
        <v>NO CERT.</v>
      </c>
      <c r="S40" s="95" t="str">
        <f t="shared" si="0"/>
        <v>NO CERT.</v>
      </c>
      <c r="T40" s="119">
        <f>+IF(J40=LOOKUP(J40,'CAFCO 300 IDIEM TABLAS'!$J$4:$J$40),'CALCULO MORTERO'!J40,MROUND('CALCULO MORTERO'!J40,10))</f>
        <v>250</v>
      </c>
      <c r="U40" s="118" t="e">
        <f t="shared" si="5"/>
        <v>#VALUE!</v>
      </c>
      <c r="Y40" s="4"/>
      <c r="Z40" s="4"/>
      <c r="AA40" s="4"/>
    </row>
    <row r="41" spans="1:27" x14ac:dyDescent="0.25">
      <c r="A41" s="118" t="str">
        <f>+CUBICACION!D40</f>
        <v>VIGA</v>
      </c>
      <c r="B41" s="819" t="str">
        <f>+CUBICACION!E40</f>
        <v>200X100X3</v>
      </c>
      <c r="C41" s="675" t="str">
        <f>+CUBICACION!F40</f>
        <v>CJ</v>
      </c>
      <c r="D41" s="118"/>
      <c r="E41" s="118"/>
      <c r="F41" s="820"/>
      <c r="G41" s="675">
        <f>+CUBICACION!J40</f>
        <v>4</v>
      </c>
      <c r="H41" s="118"/>
      <c r="I41" s="821" t="str">
        <f>+CUBICACION!L40</f>
        <v>F-60</v>
      </c>
      <c r="J41" s="64">
        <f>+CUBICACION!M40</f>
        <v>333</v>
      </c>
      <c r="K41" s="822">
        <f>+CUBICACION!N40</f>
        <v>13.644</v>
      </c>
      <c r="L41" s="118" t="str">
        <f>+CUBICACION!O40</f>
        <v>Fire Tex 5090</v>
      </c>
      <c r="M41" s="823" t="str">
        <f>+CUBICACION!P40</f>
        <v>Software Idiem</v>
      </c>
      <c r="N41" s="902">
        <f>ROUND(IF(AND(L41="Blaze Shield II",M41="Software Idiem",C41="IN",G41=4),((('BLAZE SHIELD II'!$D$4*('CALCULO MORTERO'!I41^2)+'BLAZE SHIELD II'!$D$5*'CALCULO MORTERO'!I41+'BLAZE SHIELD II'!$D$6)*LN(J41))+('BLAZE SHIELD II'!$D$7*('CALCULO MORTERO'!I41^2)+'BLAZE SHIELD II'!$D$8*'CALCULO MORTERO'!I41+'BLAZE SHIELD II'!$D$9)),0)+IF(AND(L41="Blaze Shield II",M41="Software Idiem",C41="Cj"),((('BLAZE SHIELD II'!$H$4*('CALCULO MORTERO'!I41^2)+'BLAZE SHIELD II'!$H$5*'CALCULO MORTERO'!I41+'BLAZE SHIELD II'!$H$6)*LN(J41))+('BLAZE SHIELD II'!$H$7*('CALCULO MORTERO'!I41^2)+'BLAZE SHIELD II'!$H$8*'CALCULO MORTERO'!I41+'BLAZE SHIELD II'!$H$9)),0)+IF(AND(L41="Blaze Shield II",M41="Software Idiem",C41="C"),((('BLAZE SHIELD II'!$L$4*('CALCULO MORTERO'!I41^2)+'BLAZE SHIELD II'!$L$5*'CALCULO MORTERO'!I41+'BLAZE SHIELD II'!$L$6)*LN(J41))+('BLAZE SHIELD II'!$L$7*('CALCULO MORTERO'!I41^2)+'BLAZE SHIELD II'!$L$8*'CALCULO MORTERO'!I41+'BLAZE SHIELD II'!$L$9)),0)+IF(AND(L41="Blaze Shield II",M41="Software Idiem",C41="L"),((('BLAZE SHIELD II'!$L$4*('CALCULO MORTERO'!I41^2)+'BLAZE SHIELD II'!$L$5*'CALCULO MORTERO'!I41+'BLAZE SHIELD II'!$L$6)*LN(J41))+('BLAZE SHIELD II'!$L$7*('CALCULO MORTERO'!I41^2)+'BLAZE SHIELD II'!$L$8*'CALCULO MORTERO'!I41+'BLAZE SHIELD II'!$L$9)),0)+IF(AND(L41="Blaze Shield II",M41="Software Idiem",C41="IN",G41=3),((('BLAZE SHIELD II'!$H$14*('CALCULO MORTERO'!I41^2)+'BLAZE SHIELD II'!$H$15*'CALCULO MORTERO'!I41+'BLAZE SHIELD II'!$H$16)*LN(J41))+('BLAZE SHIELD II'!$H$17*('CALCULO MORTERO'!I41^2)+'BLAZE SHIELD II'!$H$18*'CALCULO MORTERO'!I41+'BLAZE SHIELD II'!$H$19)),0),0)+ROUND(IF(AND(L41="Cafco 400",M41="Software Idiem",C41="IN",G41=4),((('CAFCO 400 '!$H$7*(J41^4)+'CAFCO 400 '!$H$8*(J41^3)+'CAFCO 400 '!$H$9*(J41^2)+'CAFCO 400 '!$H$10*J41+'CAFCO 400 '!$H$11)*U41^2)+(('CAFCO 400 '!$H$12*(J41^3)+'CAFCO 400 '!$H$13*(J41^2)+'CAFCO 400 '!$H$14*J41+'CAFCO 400 '!$H$15)*U41)+('CAFCO 400 '!$H$16*(J41^2)+'CAFCO 400 '!$H$17*J41+'CAFCO 400 '!$H$18)),0)+IF(AND(L41="Cafco 400",M41="Software Idiem",C41="Cj"),(((('CAFCO 400 '!$D$7*LN(J41)+'CAFCO 400 '!$D$8)*U41^2)+(('CAFCO 400 '!$D$9*LN(J41)+'CAFCO 400 '!$D$10)*U41)+('CAFCO 400 '!$D$11*LN(J41)+'CAFCO 400 '!$D$12))),0)+IF(AND(L41="Cafco 400",M41="Software Idiem",C41="C"),((('CAFCO 400 '!$L$7*(J41^3)+'CAFCO 400 '!$L$8*(J41^2)+'CAFCO 400 '!$L$9*J41+'CAFCO 400 '!$L$10)*U41^2)+(('CAFCO 400 '!$L$11*(J41^3)+'CAFCO 400 '!$L$12*(J41^2)+'CAFCO 400 '!$L$13*J41+'CAFCO 400 '!$L$14)*U41)+('CAFCO 400 '!$L$15*LN(J41)+'CAFCO 400 '!$L$16)),0)+IF(AND(L41="Cafco 400",M41="Software Idiem",C41="L"),((('CAFCO 400 '!$L$7*(J41^3)+'CAFCO 400 '!$L$8*(J41^2)+'CAFCO 400 '!$L$9*J41+'CAFCO 400 '!$L$10)*U41^2)+(('CAFCO 400 '!$L$11*(J41^3)+'CAFCO 400 '!$L$12*(J41^2)+'CAFCO 400 '!$L$13*J41+'CAFCO 400 '!$L$14)*U41)+('CAFCO 400 '!$L$15*LN(J41)+'CAFCO 400 '!$L$16)),0)+IF(AND(L41="Cafco 400",M41="Software Idiem",C41="IN",G41=3),((('CAFCO 400 '!$D$23*(J41^2)+'CAFCO 400 '!$D$24*(J41)+'CAFCO 400 '!$D$25)*U41^2)+(('CAFCO 400 '!$D$26*(J41^2)+'CAFCO 400 '!$D$27*J41+'CAFCO 400 '!$D$28)*U41)+('CAFCO 400 '!$D$29*(J41^2)+'CAFCO 400 '!$D$30*J41+'CAFCO 400 '!$D$31)),0),0)+IF(AND(L41="Cafco 300",J41&gt;=95,J41&lt;=240,C41="Cj",I41=90),VLOOKUP(T41,'CAFCO 300 IDIEM TABLAS'!$B$4:$D$23,2,FALSE),0)+IF(AND(L41="Cafco 300",J41&gt;=95,J41&lt;=240,C41="Cj",I41=120),VLOOKUP(T41,'CAFCO 300 IDIEM TABLAS'!$B$4:$D$23,3,FALSE),0)+IF(AND(L41="Cafco 300",J41&gt;=95,J41&lt;=400,G41=3,C41="IN",I41=90),VLOOKUP(T41,'CAFCO 300 IDIEM TABLAS'!$F$4:$H$35,2,FALSE),0)+IF(AND(L41="Cafco 300",J41&gt;=95,J41&lt;=400,G41=3,C41="IN",I41=120),VLOOKUP(T41,'CAFCO 300 IDIEM TABLAS'!$F$4:$H$35,3,FALSE),0)+IF(AND(L41="Cafco 300",J41&gt;=95,J41&lt;=450,G41=4,C41="IN",I41=90),VLOOKUP(T41,'CAFCO 300 IDIEM TABLAS'!$J$4:$L$40,2,FALSE),0)+IF(AND(L41="Cafco 300",J41&gt;=95,J41&lt;=450,G41=4,C41="IN",I41=120),VLOOKUP(T41,'CAFCO 300 IDIEM TABLAS'!$J$4:$L$40,3,FALSE),0)+IF(AND(M41="Ensayo Idiem",L41="Cafco 400",C41="IN",G41=4,I41=90),VLOOKUP(T41,'CAFCO 400 ENSAYO'!$B$7:$D$43,2,FALSE),0)+IF(AND(M41="Ensayo Idiem",L41="Cafco 400",C41="IN",G41=4,I41=120),VLOOKUP(T41,'CAFCO 400 ENSAYO'!$B$7:$D$43,3,FALSE),0)</f>
        <v>0</v>
      </c>
      <c r="O41" s="96">
        <f t="shared" si="1"/>
        <v>0</v>
      </c>
      <c r="P41" s="95" t="str">
        <f t="shared" si="2"/>
        <v>CERT.</v>
      </c>
      <c r="Q41" s="95" t="str">
        <f t="shared" si="3"/>
        <v>CERT.</v>
      </c>
      <c r="R41" s="95" t="str">
        <f t="shared" si="4"/>
        <v>NO CERT.</v>
      </c>
      <c r="S41" s="95" t="str">
        <f t="shared" si="0"/>
        <v>NO CERT.</v>
      </c>
      <c r="T41" s="119">
        <f>+IF(J41=LOOKUP(J41,'CAFCO 300 IDIEM TABLAS'!$J$4:$J$40),'CALCULO MORTERO'!J41,MROUND('CALCULO MORTERO'!J41,10))</f>
        <v>330</v>
      </c>
      <c r="U41" s="118" t="e">
        <f t="shared" si="5"/>
        <v>#VALUE!</v>
      </c>
      <c r="Y41" s="4"/>
      <c r="Z41" s="4"/>
      <c r="AA41" s="4"/>
    </row>
    <row r="42" spans="1:27" ht="15.6" customHeight="1" x14ac:dyDescent="0.25">
      <c r="A42" s="118" t="str">
        <f>+CUBICACION!D41</f>
        <v>PILAR</v>
      </c>
      <c r="B42" s="819" t="str">
        <f>+CUBICACION!E41</f>
        <v>150X150X5</v>
      </c>
      <c r="C42" s="675" t="str">
        <f>+CUBICACION!F41</f>
        <v>CJ</v>
      </c>
      <c r="D42" s="118"/>
      <c r="E42" s="118"/>
      <c r="F42" s="820"/>
      <c r="G42" s="675">
        <f>+CUBICACION!J41</f>
        <v>4</v>
      </c>
      <c r="H42" s="118"/>
      <c r="I42" s="821" t="str">
        <f>+CUBICACION!L41</f>
        <v>F-60</v>
      </c>
      <c r="J42" s="64">
        <f>+CUBICACION!M41</f>
        <v>200</v>
      </c>
      <c r="K42" s="822">
        <f>+CUBICACION!N41</f>
        <v>4.8</v>
      </c>
      <c r="L42" s="118" t="str">
        <f>+CUBICACION!O41</f>
        <v>Fire Tex 5090</v>
      </c>
      <c r="M42" s="823" t="str">
        <f>+CUBICACION!P41</f>
        <v>Software Idiem</v>
      </c>
      <c r="N42" s="902">
        <f>ROUND(IF(AND(L42="Blaze Shield II",M42="Software Idiem",C42="IN",G42=4),((('BLAZE SHIELD II'!$D$4*('CALCULO MORTERO'!I42^2)+'BLAZE SHIELD II'!$D$5*'CALCULO MORTERO'!I42+'BLAZE SHIELD II'!$D$6)*LN(J42))+('BLAZE SHIELD II'!$D$7*('CALCULO MORTERO'!I42^2)+'BLAZE SHIELD II'!$D$8*'CALCULO MORTERO'!I42+'BLAZE SHIELD II'!$D$9)),0)+IF(AND(L42="Blaze Shield II",M42="Software Idiem",C42="Cj"),((('BLAZE SHIELD II'!$H$4*('CALCULO MORTERO'!I42^2)+'BLAZE SHIELD II'!$H$5*'CALCULO MORTERO'!I42+'BLAZE SHIELD II'!$H$6)*LN(J42))+('BLAZE SHIELD II'!$H$7*('CALCULO MORTERO'!I42^2)+'BLAZE SHIELD II'!$H$8*'CALCULO MORTERO'!I42+'BLAZE SHIELD II'!$H$9)),0)+IF(AND(L42="Blaze Shield II",M42="Software Idiem",C42="C"),((('BLAZE SHIELD II'!$L$4*('CALCULO MORTERO'!I42^2)+'BLAZE SHIELD II'!$L$5*'CALCULO MORTERO'!I42+'BLAZE SHIELD II'!$L$6)*LN(J42))+('BLAZE SHIELD II'!$L$7*('CALCULO MORTERO'!I42^2)+'BLAZE SHIELD II'!$L$8*'CALCULO MORTERO'!I42+'BLAZE SHIELD II'!$L$9)),0)+IF(AND(L42="Blaze Shield II",M42="Software Idiem",C42="L"),((('BLAZE SHIELD II'!$L$4*('CALCULO MORTERO'!I42^2)+'BLAZE SHIELD II'!$L$5*'CALCULO MORTERO'!I42+'BLAZE SHIELD II'!$L$6)*LN(J42))+('BLAZE SHIELD II'!$L$7*('CALCULO MORTERO'!I42^2)+'BLAZE SHIELD II'!$L$8*'CALCULO MORTERO'!I42+'BLAZE SHIELD II'!$L$9)),0)+IF(AND(L42="Blaze Shield II",M42="Software Idiem",C42="IN",G42=3),((('BLAZE SHIELD II'!$H$14*('CALCULO MORTERO'!I42^2)+'BLAZE SHIELD II'!$H$15*'CALCULO MORTERO'!I42+'BLAZE SHIELD II'!$H$16)*LN(J42))+('BLAZE SHIELD II'!$H$17*('CALCULO MORTERO'!I42^2)+'BLAZE SHIELD II'!$H$18*'CALCULO MORTERO'!I42+'BLAZE SHIELD II'!$H$19)),0),0)+ROUND(IF(AND(L42="Cafco 400",M42="Software Idiem",C42="IN",G42=4),((('CAFCO 400 '!$H$7*(J42^4)+'CAFCO 400 '!$H$8*(J42^3)+'CAFCO 400 '!$H$9*(J42^2)+'CAFCO 400 '!$H$10*J42+'CAFCO 400 '!$H$11)*U42^2)+(('CAFCO 400 '!$H$12*(J42^3)+'CAFCO 400 '!$H$13*(J42^2)+'CAFCO 400 '!$H$14*J42+'CAFCO 400 '!$H$15)*U42)+('CAFCO 400 '!$H$16*(J42^2)+'CAFCO 400 '!$H$17*J42+'CAFCO 400 '!$H$18)),0)+IF(AND(L42="Cafco 400",M42="Software Idiem",C42="Cj"),(((('CAFCO 400 '!$D$7*LN(J42)+'CAFCO 400 '!$D$8)*U42^2)+(('CAFCO 400 '!$D$9*LN(J42)+'CAFCO 400 '!$D$10)*U42)+('CAFCO 400 '!$D$11*LN(J42)+'CAFCO 400 '!$D$12))),0)+IF(AND(L42="Cafco 400",M42="Software Idiem",C42="C"),((('CAFCO 400 '!$L$7*(J42^3)+'CAFCO 400 '!$L$8*(J42^2)+'CAFCO 400 '!$L$9*J42+'CAFCO 400 '!$L$10)*U42^2)+(('CAFCO 400 '!$L$11*(J42^3)+'CAFCO 400 '!$L$12*(J42^2)+'CAFCO 400 '!$L$13*J42+'CAFCO 400 '!$L$14)*U42)+('CAFCO 400 '!$L$15*LN(J42)+'CAFCO 400 '!$L$16)),0)+IF(AND(L42="Cafco 400",M42="Software Idiem",C42="L"),((('CAFCO 400 '!$L$7*(J42^3)+'CAFCO 400 '!$L$8*(J42^2)+'CAFCO 400 '!$L$9*J42+'CAFCO 400 '!$L$10)*U42^2)+(('CAFCO 400 '!$L$11*(J42^3)+'CAFCO 400 '!$L$12*(J42^2)+'CAFCO 400 '!$L$13*J42+'CAFCO 400 '!$L$14)*U42)+('CAFCO 400 '!$L$15*LN(J42)+'CAFCO 400 '!$L$16)),0)+IF(AND(L42="Cafco 400",M42="Software Idiem",C42="IN",G42=3),((('CAFCO 400 '!$D$23*(J42^2)+'CAFCO 400 '!$D$24*(J42)+'CAFCO 400 '!$D$25)*U42^2)+(('CAFCO 400 '!$D$26*(J42^2)+'CAFCO 400 '!$D$27*J42+'CAFCO 400 '!$D$28)*U42)+('CAFCO 400 '!$D$29*(J42^2)+'CAFCO 400 '!$D$30*J42+'CAFCO 400 '!$D$31)),0),0)+IF(AND(L42="Cafco 300",J42&gt;=95,J42&lt;=240,C42="Cj",I42=90),VLOOKUP(T42,'CAFCO 300 IDIEM TABLAS'!$B$4:$D$23,2,FALSE),0)+IF(AND(L42="Cafco 300",J42&gt;=95,J42&lt;=240,C42="Cj",I42=120),VLOOKUP(T42,'CAFCO 300 IDIEM TABLAS'!$B$4:$D$23,3,FALSE),0)+IF(AND(L42="Cafco 300",J42&gt;=95,J42&lt;=400,G42=3,C42="IN",I42=90),VLOOKUP(T42,'CAFCO 300 IDIEM TABLAS'!$F$4:$H$35,2,FALSE),0)+IF(AND(L42="Cafco 300",J42&gt;=95,J42&lt;=400,G42=3,C42="IN",I42=120),VLOOKUP(T42,'CAFCO 300 IDIEM TABLAS'!$F$4:$H$35,3,FALSE),0)+IF(AND(L42="Cafco 300",J42&gt;=95,J42&lt;=450,G42=4,C42="IN",I42=90),VLOOKUP(T42,'CAFCO 300 IDIEM TABLAS'!$J$4:$L$40,2,FALSE),0)+IF(AND(L42="Cafco 300",J42&gt;=95,J42&lt;=450,G42=4,C42="IN",I42=120),VLOOKUP(T42,'CAFCO 300 IDIEM TABLAS'!$J$4:$L$40,3,FALSE),0)+IF(AND(M42="Ensayo Idiem",L42="Cafco 400",C42="IN",G42=4,I42=90),VLOOKUP(T42,'CAFCO 400 ENSAYO'!$B$7:$D$43,2,FALSE),0)+IF(AND(M42="Ensayo Idiem",L42="Cafco 400",C42="IN",G42=4,I42=120),VLOOKUP(T42,'CAFCO 400 ENSAYO'!$B$7:$D$43,3,FALSE),0)</f>
        <v>0</v>
      </c>
      <c r="O42" s="96">
        <f t="shared" si="1"/>
        <v>0</v>
      </c>
      <c r="P42" s="95" t="str">
        <f t="shared" si="2"/>
        <v>CERT.</v>
      </c>
      <c r="Q42" s="95" t="str">
        <f t="shared" si="3"/>
        <v>CERT.</v>
      </c>
      <c r="R42" s="95" t="str">
        <f t="shared" si="4"/>
        <v>NO CERT.</v>
      </c>
      <c r="S42" s="95" t="str">
        <f t="shared" si="0"/>
        <v>NO CERT.</v>
      </c>
      <c r="T42" s="119">
        <f>+IF(J42=LOOKUP(J42,'CAFCO 300 IDIEM TABLAS'!$J$4:$J$40),'CALCULO MORTERO'!J42,MROUND('CALCULO MORTERO'!J42,10))</f>
        <v>200</v>
      </c>
      <c r="U42" s="118" t="e">
        <f t="shared" si="5"/>
        <v>#VALUE!</v>
      </c>
      <c r="Y42" s="4"/>
      <c r="Z42" s="4"/>
      <c r="AA42" s="4"/>
    </row>
    <row r="43" spans="1:27" x14ac:dyDescent="0.25">
      <c r="A43" s="118" t="str">
        <f>+CUBICACION!D42</f>
        <v>PILAR</v>
      </c>
      <c r="B43" s="819" t="str">
        <f>+CUBICACION!E42</f>
        <v>150X150X5</v>
      </c>
      <c r="C43" s="675" t="str">
        <f>+CUBICACION!F42</f>
        <v>CJ</v>
      </c>
      <c r="D43" s="118"/>
      <c r="E43" s="118"/>
      <c r="F43" s="820"/>
      <c r="G43" s="675">
        <f>+CUBICACION!J42</f>
        <v>4</v>
      </c>
      <c r="H43" s="118"/>
      <c r="I43" s="821" t="str">
        <f>+CUBICACION!L42</f>
        <v>F-60</v>
      </c>
      <c r="J43" s="64">
        <f>+CUBICACION!M42</f>
        <v>200</v>
      </c>
      <c r="K43" s="822">
        <f>+CUBICACION!N42</f>
        <v>4.5</v>
      </c>
      <c r="L43" s="118" t="str">
        <f>+CUBICACION!O42</f>
        <v>Fire Tex 5090</v>
      </c>
      <c r="M43" s="823" t="str">
        <f>+CUBICACION!P42</f>
        <v>Software Idiem</v>
      </c>
      <c r="N43" s="902">
        <f>ROUND(IF(AND(L43="Blaze Shield II",M43="Software Idiem",C43="IN",G43=4),((('BLAZE SHIELD II'!$D$4*('CALCULO MORTERO'!I43^2)+'BLAZE SHIELD II'!$D$5*'CALCULO MORTERO'!I43+'BLAZE SHIELD II'!$D$6)*LN(J43))+('BLAZE SHIELD II'!$D$7*('CALCULO MORTERO'!I43^2)+'BLAZE SHIELD II'!$D$8*'CALCULO MORTERO'!I43+'BLAZE SHIELD II'!$D$9)),0)+IF(AND(L43="Blaze Shield II",M43="Software Idiem",C43="Cj"),((('BLAZE SHIELD II'!$H$4*('CALCULO MORTERO'!I43^2)+'BLAZE SHIELD II'!$H$5*'CALCULO MORTERO'!I43+'BLAZE SHIELD II'!$H$6)*LN(J43))+('BLAZE SHIELD II'!$H$7*('CALCULO MORTERO'!I43^2)+'BLAZE SHIELD II'!$H$8*'CALCULO MORTERO'!I43+'BLAZE SHIELD II'!$H$9)),0)+IF(AND(L43="Blaze Shield II",M43="Software Idiem",C43="C"),((('BLAZE SHIELD II'!$L$4*('CALCULO MORTERO'!I43^2)+'BLAZE SHIELD II'!$L$5*'CALCULO MORTERO'!I43+'BLAZE SHIELD II'!$L$6)*LN(J43))+('BLAZE SHIELD II'!$L$7*('CALCULO MORTERO'!I43^2)+'BLAZE SHIELD II'!$L$8*'CALCULO MORTERO'!I43+'BLAZE SHIELD II'!$L$9)),0)+IF(AND(L43="Blaze Shield II",M43="Software Idiem",C43="L"),((('BLAZE SHIELD II'!$L$4*('CALCULO MORTERO'!I43^2)+'BLAZE SHIELD II'!$L$5*'CALCULO MORTERO'!I43+'BLAZE SHIELD II'!$L$6)*LN(J43))+('BLAZE SHIELD II'!$L$7*('CALCULO MORTERO'!I43^2)+'BLAZE SHIELD II'!$L$8*'CALCULO MORTERO'!I43+'BLAZE SHIELD II'!$L$9)),0)+IF(AND(L43="Blaze Shield II",M43="Software Idiem",C43="IN",G43=3),((('BLAZE SHIELD II'!$H$14*('CALCULO MORTERO'!I43^2)+'BLAZE SHIELD II'!$H$15*'CALCULO MORTERO'!I43+'BLAZE SHIELD II'!$H$16)*LN(J43))+('BLAZE SHIELD II'!$H$17*('CALCULO MORTERO'!I43^2)+'BLAZE SHIELD II'!$H$18*'CALCULO MORTERO'!I43+'BLAZE SHIELD II'!$H$19)),0),0)+ROUND(IF(AND(L43="Cafco 400",M43="Software Idiem",C43="IN",G43=4),((('CAFCO 400 '!$H$7*(J43^4)+'CAFCO 400 '!$H$8*(J43^3)+'CAFCO 400 '!$H$9*(J43^2)+'CAFCO 400 '!$H$10*J43+'CAFCO 400 '!$H$11)*U43^2)+(('CAFCO 400 '!$H$12*(J43^3)+'CAFCO 400 '!$H$13*(J43^2)+'CAFCO 400 '!$H$14*J43+'CAFCO 400 '!$H$15)*U43)+('CAFCO 400 '!$H$16*(J43^2)+'CAFCO 400 '!$H$17*J43+'CAFCO 400 '!$H$18)),0)+IF(AND(L43="Cafco 400",M43="Software Idiem",C43="Cj"),(((('CAFCO 400 '!$D$7*LN(J43)+'CAFCO 400 '!$D$8)*U43^2)+(('CAFCO 400 '!$D$9*LN(J43)+'CAFCO 400 '!$D$10)*U43)+('CAFCO 400 '!$D$11*LN(J43)+'CAFCO 400 '!$D$12))),0)+IF(AND(L43="Cafco 400",M43="Software Idiem",C43="C"),((('CAFCO 400 '!$L$7*(J43^3)+'CAFCO 400 '!$L$8*(J43^2)+'CAFCO 400 '!$L$9*J43+'CAFCO 400 '!$L$10)*U43^2)+(('CAFCO 400 '!$L$11*(J43^3)+'CAFCO 400 '!$L$12*(J43^2)+'CAFCO 400 '!$L$13*J43+'CAFCO 400 '!$L$14)*U43)+('CAFCO 400 '!$L$15*LN(J43)+'CAFCO 400 '!$L$16)),0)+IF(AND(L43="Cafco 400",M43="Software Idiem",C43="L"),((('CAFCO 400 '!$L$7*(J43^3)+'CAFCO 400 '!$L$8*(J43^2)+'CAFCO 400 '!$L$9*J43+'CAFCO 400 '!$L$10)*U43^2)+(('CAFCO 400 '!$L$11*(J43^3)+'CAFCO 400 '!$L$12*(J43^2)+'CAFCO 400 '!$L$13*J43+'CAFCO 400 '!$L$14)*U43)+('CAFCO 400 '!$L$15*LN(J43)+'CAFCO 400 '!$L$16)),0)+IF(AND(L43="Cafco 400",M43="Software Idiem",C43="IN",G43=3),((('CAFCO 400 '!$D$23*(J43^2)+'CAFCO 400 '!$D$24*(J43)+'CAFCO 400 '!$D$25)*U43^2)+(('CAFCO 400 '!$D$26*(J43^2)+'CAFCO 400 '!$D$27*J43+'CAFCO 400 '!$D$28)*U43)+('CAFCO 400 '!$D$29*(J43^2)+'CAFCO 400 '!$D$30*J43+'CAFCO 400 '!$D$31)),0),0)+IF(AND(L43="Cafco 300",J43&gt;=95,J43&lt;=240,C43="Cj",I43=90),VLOOKUP(T43,'CAFCO 300 IDIEM TABLAS'!$B$4:$D$23,2,FALSE),0)+IF(AND(L43="Cafco 300",J43&gt;=95,J43&lt;=240,C43="Cj",I43=120),VLOOKUP(T43,'CAFCO 300 IDIEM TABLAS'!$B$4:$D$23,3,FALSE),0)+IF(AND(L43="Cafco 300",J43&gt;=95,J43&lt;=400,G43=3,C43="IN",I43=90),VLOOKUP(T43,'CAFCO 300 IDIEM TABLAS'!$F$4:$H$35,2,FALSE),0)+IF(AND(L43="Cafco 300",J43&gt;=95,J43&lt;=400,G43=3,C43="IN",I43=120),VLOOKUP(T43,'CAFCO 300 IDIEM TABLAS'!$F$4:$H$35,3,FALSE),0)+IF(AND(L43="Cafco 300",J43&gt;=95,J43&lt;=450,G43=4,C43="IN",I43=90),VLOOKUP(T43,'CAFCO 300 IDIEM TABLAS'!$J$4:$L$40,2,FALSE),0)+IF(AND(L43="Cafco 300",J43&gt;=95,J43&lt;=450,G43=4,C43="IN",I43=120),VLOOKUP(T43,'CAFCO 300 IDIEM TABLAS'!$J$4:$L$40,3,FALSE),0)+IF(AND(M43="Ensayo Idiem",L43="Cafco 400",C43="IN",G43=4,I43=90),VLOOKUP(T43,'CAFCO 400 ENSAYO'!$B$7:$D$43,2,FALSE),0)+IF(AND(M43="Ensayo Idiem",L43="Cafco 400",C43="IN",G43=4,I43=120),VLOOKUP(T43,'CAFCO 400 ENSAYO'!$B$7:$D$43,3,FALSE),0)</f>
        <v>0</v>
      </c>
      <c r="O43" s="96">
        <f t="shared" si="1"/>
        <v>0</v>
      </c>
      <c r="P43" s="95" t="str">
        <f t="shared" si="2"/>
        <v>CERT.</v>
      </c>
      <c r="Q43" s="95" t="str">
        <f t="shared" si="3"/>
        <v>CERT.</v>
      </c>
      <c r="R43" s="95" t="str">
        <f t="shared" si="4"/>
        <v>NO CERT.</v>
      </c>
      <c r="S43" s="95" t="str">
        <f t="shared" si="0"/>
        <v>NO CERT.</v>
      </c>
      <c r="T43" s="119">
        <f>+IF(J43=LOOKUP(J43,'CAFCO 300 IDIEM TABLAS'!$J$4:$J$40),'CALCULO MORTERO'!J43,MROUND('CALCULO MORTERO'!J43,10))</f>
        <v>200</v>
      </c>
      <c r="U43" s="118" t="e">
        <f t="shared" si="5"/>
        <v>#VALUE!</v>
      </c>
      <c r="Y43" s="4"/>
      <c r="Z43" s="4"/>
      <c r="AA43" s="4"/>
    </row>
    <row r="44" spans="1:27" ht="15.6" customHeight="1" x14ac:dyDescent="0.25">
      <c r="A44" s="118" t="str">
        <f>+CUBICACION!D43</f>
        <v>PILAR</v>
      </c>
      <c r="B44" s="819" t="str">
        <f>+CUBICACION!E43</f>
        <v>150X150X5</v>
      </c>
      <c r="C44" s="675" t="str">
        <f>+CUBICACION!F43</f>
        <v>CJ</v>
      </c>
      <c r="D44" s="118"/>
      <c r="E44" s="118"/>
      <c r="F44" s="820"/>
      <c r="G44" s="675">
        <f>+CUBICACION!J43</f>
        <v>4</v>
      </c>
      <c r="H44" s="118"/>
      <c r="I44" s="821" t="str">
        <f>+CUBICACION!L43</f>
        <v>F-60</v>
      </c>
      <c r="J44" s="64">
        <f>+CUBICACION!M43</f>
        <v>200</v>
      </c>
      <c r="K44" s="822">
        <f>+CUBICACION!N43</f>
        <v>3.9</v>
      </c>
      <c r="L44" s="118" t="str">
        <f>+CUBICACION!O43</f>
        <v>Fire Tex 5090</v>
      </c>
      <c r="M44" s="823" t="str">
        <f>+CUBICACION!P43</f>
        <v>Software Idiem</v>
      </c>
      <c r="N44" s="902">
        <f>ROUND(IF(AND(L44="Blaze Shield II",M44="Software Idiem",C44="IN",G44=4),((('BLAZE SHIELD II'!$D$4*('CALCULO MORTERO'!I44^2)+'BLAZE SHIELD II'!$D$5*'CALCULO MORTERO'!I44+'BLAZE SHIELD II'!$D$6)*LN(J44))+('BLAZE SHIELD II'!$D$7*('CALCULO MORTERO'!I44^2)+'BLAZE SHIELD II'!$D$8*'CALCULO MORTERO'!I44+'BLAZE SHIELD II'!$D$9)),0)+IF(AND(L44="Blaze Shield II",M44="Software Idiem",C44="Cj"),((('BLAZE SHIELD II'!$H$4*('CALCULO MORTERO'!I44^2)+'BLAZE SHIELD II'!$H$5*'CALCULO MORTERO'!I44+'BLAZE SHIELD II'!$H$6)*LN(J44))+('BLAZE SHIELD II'!$H$7*('CALCULO MORTERO'!I44^2)+'BLAZE SHIELD II'!$H$8*'CALCULO MORTERO'!I44+'BLAZE SHIELD II'!$H$9)),0)+IF(AND(L44="Blaze Shield II",M44="Software Idiem",C44="C"),((('BLAZE SHIELD II'!$L$4*('CALCULO MORTERO'!I44^2)+'BLAZE SHIELD II'!$L$5*'CALCULO MORTERO'!I44+'BLAZE SHIELD II'!$L$6)*LN(J44))+('BLAZE SHIELD II'!$L$7*('CALCULO MORTERO'!I44^2)+'BLAZE SHIELD II'!$L$8*'CALCULO MORTERO'!I44+'BLAZE SHIELD II'!$L$9)),0)+IF(AND(L44="Blaze Shield II",M44="Software Idiem",C44="L"),((('BLAZE SHIELD II'!$L$4*('CALCULO MORTERO'!I44^2)+'BLAZE SHIELD II'!$L$5*'CALCULO MORTERO'!I44+'BLAZE SHIELD II'!$L$6)*LN(J44))+('BLAZE SHIELD II'!$L$7*('CALCULO MORTERO'!I44^2)+'BLAZE SHIELD II'!$L$8*'CALCULO MORTERO'!I44+'BLAZE SHIELD II'!$L$9)),0)+IF(AND(L44="Blaze Shield II",M44="Software Idiem",C44="IN",G44=3),((('BLAZE SHIELD II'!$H$14*('CALCULO MORTERO'!I44^2)+'BLAZE SHIELD II'!$H$15*'CALCULO MORTERO'!I44+'BLAZE SHIELD II'!$H$16)*LN(J44))+('BLAZE SHIELD II'!$H$17*('CALCULO MORTERO'!I44^2)+'BLAZE SHIELD II'!$H$18*'CALCULO MORTERO'!I44+'BLAZE SHIELD II'!$H$19)),0),0)+ROUND(IF(AND(L44="Cafco 400",M44="Software Idiem",C44="IN",G44=4),((('CAFCO 400 '!$H$7*(J44^4)+'CAFCO 400 '!$H$8*(J44^3)+'CAFCO 400 '!$H$9*(J44^2)+'CAFCO 400 '!$H$10*J44+'CAFCO 400 '!$H$11)*U44^2)+(('CAFCO 400 '!$H$12*(J44^3)+'CAFCO 400 '!$H$13*(J44^2)+'CAFCO 400 '!$H$14*J44+'CAFCO 400 '!$H$15)*U44)+('CAFCO 400 '!$H$16*(J44^2)+'CAFCO 400 '!$H$17*J44+'CAFCO 400 '!$H$18)),0)+IF(AND(L44="Cafco 400",M44="Software Idiem",C44="Cj"),(((('CAFCO 400 '!$D$7*LN(J44)+'CAFCO 400 '!$D$8)*U44^2)+(('CAFCO 400 '!$D$9*LN(J44)+'CAFCO 400 '!$D$10)*U44)+('CAFCO 400 '!$D$11*LN(J44)+'CAFCO 400 '!$D$12))),0)+IF(AND(L44="Cafco 400",M44="Software Idiem",C44="C"),((('CAFCO 400 '!$L$7*(J44^3)+'CAFCO 400 '!$L$8*(J44^2)+'CAFCO 400 '!$L$9*J44+'CAFCO 400 '!$L$10)*U44^2)+(('CAFCO 400 '!$L$11*(J44^3)+'CAFCO 400 '!$L$12*(J44^2)+'CAFCO 400 '!$L$13*J44+'CAFCO 400 '!$L$14)*U44)+('CAFCO 400 '!$L$15*LN(J44)+'CAFCO 400 '!$L$16)),0)+IF(AND(L44="Cafco 400",M44="Software Idiem",C44="L"),((('CAFCO 400 '!$L$7*(J44^3)+'CAFCO 400 '!$L$8*(J44^2)+'CAFCO 400 '!$L$9*J44+'CAFCO 400 '!$L$10)*U44^2)+(('CAFCO 400 '!$L$11*(J44^3)+'CAFCO 400 '!$L$12*(J44^2)+'CAFCO 400 '!$L$13*J44+'CAFCO 400 '!$L$14)*U44)+('CAFCO 400 '!$L$15*LN(J44)+'CAFCO 400 '!$L$16)),0)+IF(AND(L44="Cafco 400",M44="Software Idiem",C44="IN",G44=3),((('CAFCO 400 '!$D$23*(J44^2)+'CAFCO 400 '!$D$24*(J44)+'CAFCO 400 '!$D$25)*U44^2)+(('CAFCO 400 '!$D$26*(J44^2)+'CAFCO 400 '!$D$27*J44+'CAFCO 400 '!$D$28)*U44)+('CAFCO 400 '!$D$29*(J44^2)+'CAFCO 400 '!$D$30*J44+'CAFCO 400 '!$D$31)),0),0)+IF(AND(L44="Cafco 300",J44&gt;=95,J44&lt;=240,C44="Cj",I44=90),VLOOKUP(T44,'CAFCO 300 IDIEM TABLAS'!$B$4:$D$23,2,FALSE),0)+IF(AND(L44="Cafco 300",J44&gt;=95,J44&lt;=240,C44="Cj",I44=120),VLOOKUP(T44,'CAFCO 300 IDIEM TABLAS'!$B$4:$D$23,3,FALSE),0)+IF(AND(L44="Cafco 300",J44&gt;=95,J44&lt;=400,G44=3,C44="IN",I44=90),VLOOKUP(T44,'CAFCO 300 IDIEM TABLAS'!$F$4:$H$35,2,FALSE),0)+IF(AND(L44="Cafco 300",J44&gt;=95,J44&lt;=400,G44=3,C44="IN",I44=120),VLOOKUP(T44,'CAFCO 300 IDIEM TABLAS'!$F$4:$H$35,3,FALSE),0)+IF(AND(L44="Cafco 300",J44&gt;=95,J44&lt;=450,G44=4,C44="IN",I44=90),VLOOKUP(T44,'CAFCO 300 IDIEM TABLAS'!$J$4:$L$40,2,FALSE),0)+IF(AND(L44="Cafco 300",J44&gt;=95,J44&lt;=450,G44=4,C44="IN",I44=120),VLOOKUP(T44,'CAFCO 300 IDIEM TABLAS'!$J$4:$L$40,3,FALSE),0)+IF(AND(M44="Ensayo Idiem",L44="Cafco 400",C44="IN",G44=4,I44=90),VLOOKUP(T44,'CAFCO 400 ENSAYO'!$B$7:$D$43,2,FALSE),0)+IF(AND(M44="Ensayo Idiem",L44="Cafco 400",C44="IN",G44=4,I44=120),VLOOKUP(T44,'CAFCO 400 ENSAYO'!$B$7:$D$43,3,FALSE),0)</f>
        <v>0</v>
      </c>
      <c r="O44" s="96">
        <f t="shared" si="1"/>
        <v>0</v>
      </c>
      <c r="P44" s="95" t="str">
        <f t="shared" si="2"/>
        <v>CERT.</v>
      </c>
      <c r="Q44" s="95" t="str">
        <f t="shared" si="3"/>
        <v>CERT.</v>
      </c>
      <c r="R44" s="95" t="str">
        <f t="shared" si="4"/>
        <v>NO CERT.</v>
      </c>
      <c r="S44" s="95" t="str">
        <f t="shared" si="0"/>
        <v>NO CERT.</v>
      </c>
      <c r="T44" s="119">
        <f>+IF(J44=LOOKUP(J44,'CAFCO 300 IDIEM TABLAS'!$J$4:$J$40),'CALCULO MORTERO'!J44,MROUND('CALCULO MORTERO'!J44,10))</f>
        <v>200</v>
      </c>
      <c r="U44" s="118" t="e">
        <f t="shared" si="5"/>
        <v>#VALUE!</v>
      </c>
      <c r="Y44" s="4"/>
      <c r="Z44" s="4"/>
      <c r="AA44" s="4"/>
    </row>
    <row r="45" spans="1:27" x14ac:dyDescent="0.25">
      <c r="A45" s="118">
        <f>+CUBICACION!D44</f>
        <v>0</v>
      </c>
      <c r="B45" s="819">
        <f>+CUBICACION!E44</f>
        <v>0</v>
      </c>
      <c r="C45" s="675">
        <f>+CUBICACION!F44</f>
        <v>0</v>
      </c>
      <c r="D45" s="118"/>
      <c r="E45" s="118"/>
      <c r="F45" s="820"/>
      <c r="G45" s="675">
        <f>+CUBICACION!J44</f>
        <v>4</v>
      </c>
      <c r="H45" s="118"/>
      <c r="I45" s="821">
        <f>+CUBICACION!L44</f>
        <v>0</v>
      </c>
      <c r="J45" s="64">
        <f>+CUBICACION!M44</f>
        <v>0</v>
      </c>
      <c r="K45" s="822">
        <f>+CUBICACION!N44</f>
        <v>0</v>
      </c>
      <c r="L45" s="118">
        <f>+CUBICACION!O44</f>
        <v>0</v>
      </c>
      <c r="M45" s="823" t="str">
        <f>+CUBICACION!P44</f>
        <v>Software Idiem</v>
      </c>
      <c r="N45" s="902">
        <f>ROUND(IF(AND(L45="Blaze Shield II",M45="Software Idiem",C45="IN",G45=4),((('BLAZE SHIELD II'!$D$4*('CALCULO MORTERO'!I45^2)+'BLAZE SHIELD II'!$D$5*'CALCULO MORTERO'!I45+'BLAZE SHIELD II'!$D$6)*LN(J45))+('BLAZE SHIELD II'!$D$7*('CALCULO MORTERO'!I45^2)+'BLAZE SHIELD II'!$D$8*'CALCULO MORTERO'!I45+'BLAZE SHIELD II'!$D$9)),0)+IF(AND(L45="Blaze Shield II",M45="Software Idiem",C45="Cj"),((('BLAZE SHIELD II'!$H$4*('CALCULO MORTERO'!I45^2)+'BLAZE SHIELD II'!$H$5*'CALCULO MORTERO'!I45+'BLAZE SHIELD II'!$H$6)*LN(J45))+('BLAZE SHIELD II'!$H$7*('CALCULO MORTERO'!I45^2)+'BLAZE SHIELD II'!$H$8*'CALCULO MORTERO'!I45+'BLAZE SHIELD II'!$H$9)),0)+IF(AND(L45="Blaze Shield II",M45="Software Idiem",C45="C"),((('BLAZE SHIELD II'!$L$4*('CALCULO MORTERO'!I45^2)+'BLAZE SHIELD II'!$L$5*'CALCULO MORTERO'!I45+'BLAZE SHIELD II'!$L$6)*LN(J45))+('BLAZE SHIELD II'!$L$7*('CALCULO MORTERO'!I45^2)+'BLAZE SHIELD II'!$L$8*'CALCULO MORTERO'!I45+'BLAZE SHIELD II'!$L$9)),0)+IF(AND(L45="Blaze Shield II",M45="Software Idiem",C45="L"),((('BLAZE SHIELD II'!$L$4*('CALCULO MORTERO'!I45^2)+'BLAZE SHIELD II'!$L$5*'CALCULO MORTERO'!I45+'BLAZE SHIELD II'!$L$6)*LN(J45))+('BLAZE SHIELD II'!$L$7*('CALCULO MORTERO'!I45^2)+'BLAZE SHIELD II'!$L$8*'CALCULO MORTERO'!I45+'BLAZE SHIELD II'!$L$9)),0)+IF(AND(L45="Blaze Shield II",M45="Software Idiem",C45="IN",G45=3),((('BLAZE SHIELD II'!$H$14*('CALCULO MORTERO'!I45^2)+'BLAZE SHIELD II'!$H$15*'CALCULO MORTERO'!I45+'BLAZE SHIELD II'!$H$16)*LN(J45))+('BLAZE SHIELD II'!$H$17*('CALCULO MORTERO'!I45^2)+'BLAZE SHIELD II'!$H$18*'CALCULO MORTERO'!I45+'BLAZE SHIELD II'!$H$19)),0),0)+ROUND(IF(AND(L45="Cafco 400",M45="Software Idiem",C45="IN",G45=4),((('CAFCO 400 '!$H$7*(J45^4)+'CAFCO 400 '!$H$8*(J45^3)+'CAFCO 400 '!$H$9*(J45^2)+'CAFCO 400 '!$H$10*J45+'CAFCO 400 '!$H$11)*U45^2)+(('CAFCO 400 '!$H$12*(J45^3)+'CAFCO 400 '!$H$13*(J45^2)+'CAFCO 400 '!$H$14*J45+'CAFCO 400 '!$H$15)*U45)+('CAFCO 400 '!$H$16*(J45^2)+'CAFCO 400 '!$H$17*J45+'CAFCO 400 '!$H$18)),0)+IF(AND(L45="Cafco 400",M45="Software Idiem",C45="Cj"),(((('CAFCO 400 '!$D$7*LN(J45)+'CAFCO 400 '!$D$8)*U45^2)+(('CAFCO 400 '!$D$9*LN(J45)+'CAFCO 400 '!$D$10)*U45)+('CAFCO 400 '!$D$11*LN(J45)+'CAFCO 400 '!$D$12))),0)+IF(AND(L45="Cafco 400",M45="Software Idiem",C45="C"),((('CAFCO 400 '!$L$7*(J45^3)+'CAFCO 400 '!$L$8*(J45^2)+'CAFCO 400 '!$L$9*J45+'CAFCO 400 '!$L$10)*U45^2)+(('CAFCO 400 '!$L$11*(J45^3)+'CAFCO 400 '!$L$12*(J45^2)+'CAFCO 400 '!$L$13*J45+'CAFCO 400 '!$L$14)*U45)+('CAFCO 400 '!$L$15*LN(J45)+'CAFCO 400 '!$L$16)),0)+IF(AND(L45="Cafco 400",M45="Software Idiem",C45="L"),((('CAFCO 400 '!$L$7*(J45^3)+'CAFCO 400 '!$L$8*(J45^2)+'CAFCO 400 '!$L$9*J45+'CAFCO 400 '!$L$10)*U45^2)+(('CAFCO 400 '!$L$11*(J45^3)+'CAFCO 400 '!$L$12*(J45^2)+'CAFCO 400 '!$L$13*J45+'CAFCO 400 '!$L$14)*U45)+('CAFCO 400 '!$L$15*LN(J45)+'CAFCO 400 '!$L$16)),0)+IF(AND(L45="Cafco 400",M45="Software Idiem",C45="IN",G45=3),((('CAFCO 400 '!$D$23*(J45^2)+'CAFCO 400 '!$D$24*(J45)+'CAFCO 400 '!$D$25)*U45^2)+(('CAFCO 400 '!$D$26*(J45^2)+'CAFCO 400 '!$D$27*J45+'CAFCO 400 '!$D$28)*U45)+('CAFCO 400 '!$D$29*(J45^2)+'CAFCO 400 '!$D$30*J45+'CAFCO 400 '!$D$31)),0),0)+IF(AND(L45="Cafco 300",J45&gt;=95,J45&lt;=240,C45="Cj",I45=90),VLOOKUP(T45,'CAFCO 300 IDIEM TABLAS'!$B$4:$D$23,2,FALSE),0)+IF(AND(L45="Cafco 300",J45&gt;=95,J45&lt;=240,C45="Cj",I45=120),VLOOKUP(T45,'CAFCO 300 IDIEM TABLAS'!$B$4:$D$23,3,FALSE),0)+IF(AND(L45="Cafco 300",J45&gt;=95,J45&lt;=400,G45=3,C45="IN",I45=90),VLOOKUP(T45,'CAFCO 300 IDIEM TABLAS'!$F$4:$H$35,2,FALSE),0)+IF(AND(L45="Cafco 300",J45&gt;=95,J45&lt;=400,G45=3,C45="IN",I45=120),VLOOKUP(T45,'CAFCO 300 IDIEM TABLAS'!$F$4:$H$35,3,FALSE),0)+IF(AND(L45="Cafco 300",J45&gt;=95,J45&lt;=450,G45=4,C45="IN",I45=90),VLOOKUP(T45,'CAFCO 300 IDIEM TABLAS'!$J$4:$L$40,2,FALSE),0)+IF(AND(L45="Cafco 300",J45&gt;=95,J45&lt;=450,G45=4,C45="IN",I45=120),VLOOKUP(T45,'CAFCO 300 IDIEM TABLAS'!$J$4:$L$40,3,FALSE),0)+IF(AND(M45="Ensayo Idiem",L45="Cafco 400",C45="IN",G45=4,I45=90),VLOOKUP(T45,'CAFCO 400 ENSAYO'!$B$7:$D$43,2,FALSE),0)+IF(AND(M45="Ensayo Idiem",L45="Cafco 400",C45="IN",G45=4,I45=120),VLOOKUP(T45,'CAFCO 400 ENSAYO'!$B$7:$D$43,3,FALSE),0)</f>
        <v>0</v>
      </c>
      <c r="O45" s="96">
        <f t="shared" si="1"/>
        <v>0</v>
      </c>
      <c r="P45" s="95" t="str">
        <f t="shared" si="2"/>
        <v>NO CERT.</v>
      </c>
      <c r="Q45" s="95" t="str">
        <f t="shared" si="3"/>
        <v>NO CERT.</v>
      </c>
      <c r="R45" s="95" t="str">
        <f t="shared" si="4"/>
        <v>NO CERT.</v>
      </c>
      <c r="S45" s="95" t="e">
        <f t="shared" si="0"/>
        <v>#N/A</v>
      </c>
      <c r="T45" s="119" t="e">
        <f>+IF(J45=LOOKUP(J45,'CAFCO 300 IDIEM TABLAS'!$J$4:$J$40),'CALCULO MORTERO'!J45,MROUND('CALCULO MORTERO'!J45,10))</f>
        <v>#N/A</v>
      </c>
      <c r="U45" s="118">
        <f t="shared" si="5"/>
        <v>0</v>
      </c>
      <c r="Y45" s="4"/>
      <c r="Z45" s="4"/>
      <c r="AA45" s="4"/>
    </row>
    <row r="46" spans="1:27" ht="15.6" customHeight="1" x14ac:dyDescent="0.25">
      <c r="A46" s="118">
        <f>+CUBICACION!D45</f>
        <v>0</v>
      </c>
      <c r="B46" s="819">
        <f>+CUBICACION!E45</f>
        <v>0</v>
      </c>
      <c r="C46" s="675">
        <f>+CUBICACION!F45</f>
        <v>0</v>
      </c>
      <c r="D46" s="118"/>
      <c r="E46" s="118"/>
      <c r="F46" s="820"/>
      <c r="G46" s="675">
        <f>+CUBICACION!J45</f>
        <v>4</v>
      </c>
      <c r="H46" s="118"/>
      <c r="I46" s="821">
        <f>+CUBICACION!L45</f>
        <v>0</v>
      </c>
      <c r="J46" s="64">
        <f>+CUBICACION!M45</f>
        <v>0</v>
      </c>
      <c r="K46" s="822">
        <f>+CUBICACION!N45</f>
        <v>0</v>
      </c>
      <c r="L46" s="118">
        <f>+CUBICACION!O45</f>
        <v>0</v>
      </c>
      <c r="M46" s="823" t="str">
        <f>+CUBICACION!P45</f>
        <v>Software Idiem</v>
      </c>
      <c r="N46" s="902">
        <f>ROUND(IF(AND(L46="Blaze Shield II",M46="Software Idiem",C46="IN",G46=4),((('BLAZE SHIELD II'!$D$4*('CALCULO MORTERO'!I46^2)+'BLAZE SHIELD II'!$D$5*'CALCULO MORTERO'!I46+'BLAZE SHIELD II'!$D$6)*LN(J46))+('BLAZE SHIELD II'!$D$7*('CALCULO MORTERO'!I46^2)+'BLAZE SHIELD II'!$D$8*'CALCULO MORTERO'!I46+'BLAZE SHIELD II'!$D$9)),0)+IF(AND(L46="Blaze Shield II",M46="Software Idiem",C46="Cj"),((('BLAZE SHIELD II'!$H$4*('CALCULO MORTERO'!I46^2)+'BLAZE SHIELD II'!$H$5*'CALCULO MORTERO'!I46+'BLAZE SHIELD II'!$H$6)*LN(J46))+('BLAZE SHIELD II'!$H$7*('CALCULO MORTERO'!I46^2)+'BLAZE SHIELD II'!$H$8*'CALCULO MORTERO'!I46+'BLAZE SHIELD II'!$H$9)),0)+IF(AND(L46="Blaze Shield II",M46="Software Idiem",C46="C"),((('BLAZE SHIELD II'!$L$4*('CALCULO MORTERO'!I46^2)+'BLAZE SHIELD II'!$L$5*'CALCULO MORTERO'!I46+'BLAZE SHIELD II'!$L$6)*LN(J46))+('BLAZE SHIELD II'!$L$7*('CALCULO MORTERO'!I46^2)+'BLAZE SHIELD II'!$L$8*'CALCULO MORTERO'!I46+'BLAZE SHIELD II'!$L$9)),0)+IF(AND(L46="Blaze Shield II",M46="Software Idiem",C46="L"),((('BLAZE SHIELD II'!$L$4*('CALCULO MORTERO'!I46^2)+'BLAZE SHIELD II'!$L$5*'CALCULO MORTERO'!I46+'BLAZE SHIELD II'!$L$6)*LN(J46))+('BLAZE SHIELD II'!$L$7*('CALCULO MORTERO'!I46^2)+'BLAZE SHIELD II'!$L$8*'CALCULO MORTERO'!I46+'BLAZE SHIELD II'!$L$9)),0)+IF(AND(L46="Blaze Shield II",M46="Software Idiem",C46="IN",G46=3),((('BLAZE SHIELD II'!$H$14*('CALCULO MORTERO'!I46^2)+'BLAZE SHIELD II'!$H$15*'CALCULO MORTERO'!I46+'BLAZE SHIELD II'!$H$16)*LN(J46))+('BLAZE SHIELD II'!$H$17*('CALCULO MORTERO'!I46^2)+'BLAZE SHIELD II'!$H$18*'CALCULO MORTERO'!I46+'BLAZE SHIELD II'!$H$19)),0),0)+ROUND(IF(AND(L46="Cafco 400",M46="Software Idiem",C46="IN",G46=4),((('CAFCO 400 '!$H$7*(J46^4)+'CAFCO 400 '!$H$8*(J46^3)+'CAFCO 400 '!$H$9*(J46^2)+'CAFCO 400 '!$H$10*J46+'CAFCO 400 '!$H$11)*U46^2)+(('CAFCO 400 '!$H$12*(J46^3)+'CAFCO 400 '!$H$13*(J46^2)+'CAFCO 400 '!$H$14*J46+'CAFCO 400 '!$H$15)*U46)+('CAFCO 400 '!$H$16*(J46^2)+'CAFCO 400 '!$H$17*J46+'CAFCO 400 '!$H$18)),0)+IF(AND(L46="Cafco 400",M46="Software Idiem",C46="Cj"),(((('CAFCO 400 '!$D$7*LN(J46)+'CAFCO 400 '!$D$8)*U46^2)+(('CAFCO 400 '!$D$9*LN(J46)+'CAFCO 400 '!$D$10)*U46)+('CAFCO 400 '!$D$11*LN(J46)+'CAFCO 400 '!$D$12))),0)+IF(AND(L46="Cafco 400",M46="Software Idiem",C46="C"),((('CAFCO 400 '!$L$7*(J46^3)+'CAFCO 400 '!$L$8*(J46^2)+'CAFCO 400 '!$L$9*J46+'CAFCO 400 '!$L$10)*U46^2)+(('CAFCO 400 '!$L$11*(J46^3)+'CAFCO 400 '!$L$12*(J46^2)+'CAFCO 400 '!$L$13*J46+'CAFCO 400 '!$L$14)*U46)+('CAFCO 400 '!$L$15*LN(J46)+'CAFCO 400 '!$L$16)),0)+IF(AND(L46="Cafco 400",M46="Software Idiem",C46="L"),((('CAFCO 400 '!$L$7*(J46^3)+'CAFCO 400 '!$L$8*(J46^2)+'CAFCO 400 '!$L$9*J46+'CAFCO 400 '!$L$10)*U46^2)+(('CAFCO 400 '!$L$11*(J46^3)+'CAFCO 400 '!$L$12*(J46^2)+'CAFCO 400 '!$L$13*J46+'CAFCO 400 '!$L$14)*U46)+('CAFCO 400 '!$L$15*LN(J46)+'CAFCO 400 '!$L$16)),0)+IF(AND(L46="Cafco 400",M46="Software Idiem",C46="IN",G46=3),((('CAFCO 400 '!$D$23*(J46^2)+'CAFCO 400 '!$D$24*(J46)+'CAFCO 400 '!$D$25)*U46^2)+(('CAFCO 400 '!$D$26*(J46^2)+'CAFCO 400 '!$D$27*J46+'CAFCO 400 '!$D$28)*U46)+('CAFCO 400 '!$D$29*(J46^2)+'CAFCO 400 '!$D$30*J46+'CAFCO 400 '!$D$31)),0),0)+IF(AND(L46="Cafco 300",J46&gt;=95,J46&lt;=240,C46="Cj",I46=90),VLOOKUP(T46,'CAFCO 300 IDIEM TABLAS'!$B$4:$D$23,2,FALSE),0)+IF(AND(L46="Cafco 300",J46&gt;=95,J46&lt;=240,C46="Cj",I46=120),VLOOKUP(T46,'CAFCO 300 IDIEM TABLAS'!$B$4:$D$23,3,FALSE),0)+IF(AND(L46="Cafco 300",J46&gt;=95,J46&lt;=400,G46=3,C46="IN",I46=90),VLOOKUP(T46,'CAFCO 300 IDIEM TABLAS'!$F$4:$H$35,2,FALSE),0)+IF(AND(L46="Cafco 300",J46&gt;=95,J46&lt;=400,G46=3,C46="IN",I46=120),VLOOKUP(T46,'CAFCO 300 IDIEM TABLAS'!$F$4:$H$35,3,FALSE),0)+IF(AND(L46="Cafco 300",J46&gt;=95,J46&lt;=450,G46=4,C46="IN",I46=90),VLOOKUP(T46,'CAFCO 300 IDIEM TABLAS'!$J$4:$L$40,2,FALSE),0)+IF(AND(L46="Cafco 300",J46&gt;=95,J46&lt;=450,G46=4,C46="IN",I46=120),VLOOKUP(T46,'CAFCO 300 IDIEM TABLAS'!$J$4:$L$40,3,FALSE),0)+IF(AND(M46="Ensayo Idiem",L46="Cafco 400",C46="IN",G46=4,I46=90),VLOOKUP(T46,'CAFCO 400 ENSAYO'!$B$7:$D$43,2,FALSE),0)+IF(AND(M46="Ensayo Idiem",L46="Cafco 400",C46="IN",G46=4,I46=120),VLOOKUP(T46,'CAFCO 400 ENSAYO'!$B$7:$D$43,3,FALSE),0)</f>
        <v>0</v>
      </c>
      <c r="O46" s="96">
        <f t="shared" si="1"/>
        <v>0</v>
      </c>
      <c r="P46" s="95" t="str">
        <f t="shared" si="2"/>
        <v>NO CERT.</v>
      </c>
      <c r="Q46" s="95" t="str">
        <f t="shared" si="3"/>
        <v>NO CERT.</v>
      </c>
      <c r="R46" s="95" t="str">
        <f t="shared" si="4"/>
        <v>NO CERT.</v>
      </c>
      <c r="S46" s="95" t="e">
        <f t="shared" si="0"/>
        <v>#N/A</v>
      </c>
      <c r="T46" s="119" t="e">
        <f>+IF(J46=LOOKUP(J46,'CAFCO 300 IDIEM TABLAS'!$J$4:$J$40),'CALCULO MORTERO'!J46,MROUND('CALCULO MORTERO'!J46,10))</f>
        <v>#N/A</v>
      </c>
      <c r="U46" s="118">
        <f t="shared" si="5"/>
        <v>0</v>
      </c>
      <c r="Y46" s="4"/>
      <c r="Z46" s="4"/>
      <c r="AA46" s="4"/>
    </row>
    <row r="47" spans="1:27" x14ac:dyDescent="0.25">
      <c r="A47" s="118" t="str">
        <f>+CUBICACION!D46</f>
        <v>COSTANERA</v>
      </c>
      <c r="B47" s="819" t="str">
        <f>+CUBICACION!E46</f>
        <v>125X50X15X2</v>
      </c>
      <c r="C47" s="675" t="str">
        <f>+CUBICACION!F46</f>
        <v>C</v>
      </c>
      <c r="D47" s="118"/>
      <c r="E47" s="118"/>
      <c r="F47" s="820"/>
      <c r="G47" s="675">
        <f>+CUBICACION!J46</f>
        <v>3</v>
      </c>
      <c r="H47" s="118"/>
      <c r="I47" s="821">
        <f>+CUBICACION!L46</f>
        <v>60</v>
      </c>
      <c r="J47" s="64">
        <f>+CUBICACION!M46</f>
        <v>1057</v>
      </c>
      <c r="K47" s="822">
        <f>+CUBICACION!N46</f>
        <v>849.77200000000005</v>
      </c>
      <c r="L47" s="118" t="str">
        <f>+CUBICACION!O46</f>
        <v>Blaze Shield II</v>
      </c>
      <c r="M47" s="823" t="str">
        <f>+CUBICACION!P46</f>
        <v>Software Idiem</v>
      </c>
      <c r="N47" s="902">
        <f>ROUND(IF(AND(L47="Blaze Shield II",M47="Software Idiem",C47="IN",G47=4),((('BLAZE SHIELD II'!$D$4*('CALCULO MORTERO'!I47^2)+'BLAZE SHIELD II'!$D$5*'CALCULO MORTERO'!I47+'BLAZE SHIELD II'!$D$6)*LN(J47))+('BLAZE SHIELD II'!$D$7*('CALCULO MORTERO'!I47^2)+'BLAZE SHIELD II'!$D$8*'CALCULO MORTERO'!I47+'BLAZE SHIELD II'!$D$9)),0)+IF(AND(L47="Blaze Shield II",M47="Software Idiem",C47="Cj"),((('BLAZE SHIELD II'!$H$4*('CALCULO MORTERO'!I47^2)+'BLAZE SHIELD II'!$H$5*'CALCULO MORTERO'!I47+'BLAZE SHIELD II'!$H$6)*LN(J47))+('BLAZE SHIELD II'!$H$7*('CALCULO MORTERO'!I47^2)+'BLAZE SHIELD II'!$H$8*'CALCULO MORTERO'!I47+'BLAZE SHIELD II'!$H$9)),0)+IF(AND(L47="Blaze Shield II",M47="Software Idiem",C47="C"),((('BLAZE SHIELD II'!$L$4*('CALCULO MORTERO'!I47^2)+'BLAZE SHIELD II'!$L$5*'CALCULO MORTERO'!I47+'BLAZE SHIELD II'!$L$6)*LN(J47))+('BLAZE SHIELD II'!$L$7*('CALCULO MORTERO'!I47^2)+'BLAZE SHIELD II'!$L$8*'CALCULO MORTERO'!I47+'BLAZE SHIELD II'!$L$9)),0)+IF(AND(L47="Blaze Shield II",M47="Software Idiem",C47="L"),((('BLAZE SHIELD II'!$L$4*('CALCULO MORTERO'!I47^2)+'BLAZE SHIELD II'!$L$5*'CALCULO MORTERO'!I47+'BLAZE SHIELD II'!$L$6)*LN(J47))+('BLAZE SHIELD II'!$L$7*('CALCULO MORTERO'!I47^2)+'BLAZE SHIELD II'!$L$8*'CALCULO MORTERO'!I47+'BLAZE SHIELD II'!$L$9)),0)+IF(AND(L47="Blaze Shield II",M47="Software Idiem",C47="IN",G47=3),((('BLAZE SHIELD II'!$H$14*('CALCULO MORTERO'!I47^2)+'BLAZE SHIELD II'!$H$15*'CALCULO MORTERO'!I47+'BLAZE SHIELD II'!$H$16)*LN(J47))+('BLAZE SHIELD II'!$H$17*('CALCULO MORTERO'!I47^2)+'BLAZE SHIELD II'!$H$18*'CALCULO MORTERO'!I47+'BLAZE SHIELD II'!$H$19)),0),0)+ROUND(IF(AND(L47="Cafco 400",M47="Software Idiem",C47="IN",G47=4),((('CAFCO 400 '!$H$7*(J47^4)+'CAFCO 400 '!$H$8*(J47^3)+'CAFCO 400 '!$H$9*(J47^2)+'CAFCO 400 '!$H$10*J47+'CAFCO 400 '!$H$11)*U47^2)+(('CAFCO 400 '!$H$12*(J47^3)+'CAFCO 400 '!$H$13*(J47^2)+'CAFCO 400 '!$H$14*J47+'CAFCO 400 '!$H$15)*U47)+('CAFCO 400 '!$H$16*(J47^2)+'CAFCO 400 '!$H$17*J47+'CAFCO 400 '!$H$18)),0)+IF(AND(L47="Cafco 400",M47="Software Idiem",C47="Cj"),(((('CAFCO 400 '!$D$7*LN(J47)+'CAFCO 400 '!$D$8)*U47^2)+(('CAFCO 400 '!$D$9*LN(J47)+'CAFCO 400 '!$D$10)*U47)+('CAFCO 400 '!$D$11*LN(J47)+'CAFCO 400 '!$D$12))),0)+IF(AND(L47="Cafco 400",M47="Software Idiem",C47="C"),((('CAFCO 400 '!$L$7*(J47^3)+'CAFCO 400 '!$L$8*(J47^2)+'CAFCO 400 '!$L$9*J47+'CAFCO 400 '!$L$10)*U47^2)+(('CAFCO 400 '!$L$11*(J47^3)+'CAFCO 400 '!$L$12*(J47^2)+'CAFCO 400 '!$L$13*J47+'CAFCO 400 '!$L$14)*U47)+('CAFCO 400 '!$L$15*LN(J47)+'CAFCO 400 '!$L$16)),0)+IF(AND(L47="Cafco 400",M47="Software Idiem",C47="L"),((('CAFCO 400 '!$L$7*(J47^3)+'CAFCO 400 '!$L$8*(J47^2)+'CAFCO 400 '!$L$9*J47+'CAFCO 400 '!$L$10)*U47^2)+(('CAFCO 400 '!$L$11*(J47^3)+'CAFCO 400 '!$L$12*(J47^2)+'CAFCO 400 '!$L$13*J47+'CAFCO 400 '!$L$14)*U47)+('CAFCO 400 '!$L$15*LN(J47)+'CAFCO 400 '!$L$16)),0)+IF(AND(L47="Cafco 400",M47="Software Idiem",C47="IN",G47=3),((('CAFCO 400 '!$D$23*(J47^2)+'CAFCO 400 '!$D$24*(J47)+'CAFCO 400 '!$D$25)*U47^2)+(('CAFCO 400 '!$D$26*(J47^2)+'CAFCO 400 '!$D$27*J47+'CAFCO 400 '!$D$28)*U47)+('CAFCO 400 '!$D$29*(J47^2)+'CAFCO 400 '!$D$30*J47+'CAFCO 400 '!$D$31)),0),0)+IF(AND(L47="Cafco 300",J47&gt;=95,J47&lt;=240,C47="Cj",I47=90),VLOOKUP(T47,'CAFCO 300 IDIEM TABLAS'!$B$4:$D$23,2,FALSE),0)+IF(AND(L47="Cafco 300",J47&gt;=95,J47&lt;=240,C47="Cj",I47=120),VLOOKUP(T47,'CAFCO 300 IDIEM TABLAS'!$B$4:$D$23,3,FALSE),0)+IF(AND(L47="Cafco 300",J47&gt;=95,J47&lt;=400,G47=3,C47="IN",I47=90),VLOOKUP(T47,'CAFCO 300 IDIEM TABLAS'!$F$4:$H$35,2,FALSE),0)+IF(AND(L47="Cafco 300",J47&gt;=95,J47&lt;=400,G47=3,C47="IN",I47=120),VLOOKUP(T47,'CAFCO 300 IDIEM TABLAS'!$F$4:$H$35,3,FALSE),0)+IF(AND(L47="Cafco 300",J47&gt;=95,J47&lt;=450,G47=4,C47="IN",I47=90),VLOOKUP(T47,'CAFCO 300 IDIEM TABLAS'!$J$4:$L$40,2,FALSE),0)+IF(AND(L47="Cafco 300",J47&gt;=95,J47&lt;=450,G47=4,C47="IN",I47=120),VLOOKUP(T47,'CAFCO 300 IDIEM TABLAS'!$J$4:$L$40,3,FALSE),0)+IF(AND(M47="Ensayo Idiem",L47="Cafco 400",C47="IN",G47=4,I47=90),VLOOKUP(T47,'CAFCO 400 ENSAYO'!$B$7:$D$43,2,FALSE),0)+IF(AND(M47="Ensayo Idiem",L47="Cafco 400",C47="IN",G47=4,I47=120),VLOOKUP(T47,'CAFCO 400 ENSAYO'!$B$7:$D$43,3,FALSE),0)</f>
        <v>54</v>
      </c>
      <c r="O47" s="96">
        <f t="shared" si="1"/>
        <v>519.25541684210521</v>
      </c>
      <c r="P47" s="95" t="str">
        <f t="shared" si="2"/>
        <v>NO CERT.</v>
      </c>
      <c r="Q47" s="95" t="str">
        <f t="shared" si="3"/>
        <v>NO CERT.</v>
      </c>
      <c r="R47" s="95" t="str">
        <f t="shared" si="4"/>
        <v>NO CERT.</v>
      </c>
      <c r="S47" s="95" t="str">
        <f t="shared" si="0"/>
        <v>NO CERT.</v>
      </c>
      <c r="T47" s="119">
        <f>+IF(J47=LOOKUP(J47,'CAFCO 300 IDIEM TABLAS'!$J$4:$J$40),'CALCULO MORTERO'!J47,MROUND('CALCULO MORTERO'!J47,10))</f>
        <v>1060</v>
      </c>
      <c r="U47" s="118">
        <f t="shared" si="5"/>
        <v>3600</v>
      </c>
      <c r="Y47" s="4"/>
      <c r="Z47" s="4"/>
      <c r="AA47" s="4"/>
    </row>
    <row r="48" spans="1:27" ht="15.6" customHeight="1" x14ac:dyDescent="0.25">
      <c r="A48" s="118" t="str">
        <f>+CUBICACION!D47</f>
        <v>VIGA</v>
      </c>
      <c r="B48" s="819" t="str">
        <f>+CUBICACION!E47</f>
        <v>100X100X3</v>
      </c>
      <c r="C48" s="675" t="str">
        <f>+CUBICACION!F47</f>
        <v>CJ</v>
      </c>
      <c r="D48" s="118"/>
      <c r="E48" s="118"/>
      <c r="F48" s="820"/>
      <c r="G48" s="675">
        <f>+CUBICACION!J47</f>
        <v>4</v>
      </c>
      <c r="H48" s="118"/>
      <c r="I48" s="821" t="str">
        <f>+CUBICACION!L47</f>
        <v>F-60</v>
      </c>
      <c r="J48" s="64">
        <f>+CUBICACION!M47</f>
        <v>333</v>
      </c>
      <c r="K48" s="822">
        <f>+CUBICACION!N47</f>
        <v>11.683999999999999</v>
      </c>
      <c r="L48" s="118" t="str">
        <f>+CUBICACION!O47</f>
        <v>Fire Tex 5090</v>
      </c>
      <c r="M48" s="823" t="str">
        <f>+CUBICACION!P47</f>
        <v>Software Idiem</v>
      </c>
      <c r="N48" s="902">
        <f>ROUND(IF(AND(L48="Blaze Shield II",M48="Software Idiem",C48="IN",G48=4),((('BLAZE SHIELD II'!$D$4*('CALCULO MORTERO'!I48^2)+'BLAZE SHIELD II'!$D$5*'CALCULO MORTERO'!I48+'BLAZE SHIELD II'!$D$6)*LN(J48))+('BLAZE SHIELD II'!$D$7*('CALCULO MORTERO'!I48^2)+'BLAZE SHIELD II'!$D$8*'CALCULO MORTERO'!I48+'BLAZE SHIELD II'!$D$9)),0)+IF(AND(L48="Blaze Shield II",M48="Software Idiem",C48="Cj"),((('BLAZE SHIELD II'!$H$4*('CALCULO MORTERO'!I48^2)+'BLAZE SHIELD II'!$H$5*'CALCULO MORTERO'!I48+'BLAZE SHIELD II'!$H$6)*LN(J48))+('BLAZE SHIELD II'!$H$7*('CALCULO MORTERO'!I48^2)+'BLAZE SHIELD II'!$H$8*'CALCULO MORTERO'!I48+'BLAZE SHIELD II'!$H$9)),0)+IF(AND(L48="Blaze Shield II",M48="Software Idiem",C48="C"),((('BLAZE SHIELD II'!$L$4*('CALCULO MORTERO'!I48^2)+'BLAZE SHIELD II'!$L$5*'CALCULO MORTERO'!I48+'BLAZE SHIELD II'!$L$6)*LN(J48))+('BLAZE SHIELD II'!$L$7*('CALCULO MORTERO'!I48^2)+'BLAZE SHIELD II'!$L$8*'CALCULO MORTERO'!I48+'BLAZE SHIELD II'!$L$9)),0)+IF(AND(L48="Blaze Shield II",M48="Software Idiem",C48="L"),((('BLAZE SHIELD II'!$L$4*('CALCULO MORTERO'!I48^2)+'BLAZE SHIELD II'!$L$5*'CALCULO MORTERO'!I48+'BLAZE SHIELD II'!$L$6)*LN(J48))+('BLAZE SHIELD II'!$L$7*('CALCULO MORTERO'!I48^2)+'BLAZE SHIELD II'!$L$8*'CALCULO MORTERO'!I48+'BLAZE SHIELD II'!$L$9)),0)+IF(AND(L48="Blaze Shield II",M48="Software Idiem",C48="IN",G48=3),((('BLAZE SHIELD II'!$H$14*('CALCULO MORTERO'!I48^2)+'BLAZE SHIELD II'!$H$15*'CALCULO MORTERO'!I48+'BLAZE SHIELD II'!$H$16)*LN(J48))+('BLAZE SHIELD II'!$H$17*('CALCULO MORTERO'!I48^2)+'BLAZE SHIELD II'!$H$18*'CALCULO MORTERO'!I48+'BLAZE SHIELD II'!$H$19)),0),0)+ROUND(IF(AND(L48="Cafco 400",M48="Software Idiem",C48="IN",G48=4),((('CAFCO 400 '!$H$7*(J48^4)+'CAFCO 400 '!$H$8*(J48^3)+'CAFCO 400 '!$H$9*(J48^2)+'CAFCO 400 '!$H$10*J48+'CAFCO 400 '!$H$11)*U48^2)+(('CAFCO 400 '!$H$12*(J48^3)+'CAFCO 400 '!$H$13*(J48^2)+'CAFCO 400 '!$H$14*J48+'CAFCO 400 '!$H$15)*U48)+('CAFCO 400 '!$H$16*(J48^2)+'CAFCO 400 '!$H$17*J48+'CAFCO 400 '!$H$18)),0)+IF(AND(L48="Cafco 400",M48="Software Idiem",C48="Cj"),(((('CAFCO 400 '!$D$7*LN(J48)+'CAFCO 400 '!$D$8)*U48^2)+(('CAFCO 400 '!$D$9*LN(J48)+'CAFCO 400 '!$D$10)*U48)+('CAFCO 400 '!$D$11*LN(J48)+'CAFCO 400 '!$D$12))),0)+IF(AND(L48="Cafco 400",M48="Software Idiem",C48="C"),((('CAFCO 400 '!$L$7*(J48^3)+'CAFCO 400 '!$L$8*(J48^2)+'CAFCO 400 '!$L$9*J48+'CAFCO 400 '!$L$10)*U48^2)+(('CAFCO 400 '!$L$11*(J48^3)+'CAFCO 400 '!$L$12*(J48^2)+'CAFCO 400 '!$L$13*J48+'CAFCO 400 '!$L$14)*U48)+('CAFCO 400 '!$L$15*LN(J48)+'CAFCO 400 '!$L$16)),0)+IF(AND(L48="Cafco 400",M48="Software Idiem",C48="L"),((('CAFCO 400 '!$L$7*(J48^3)+'CAFCO 400 '!$L$8*(J48^2)+'CAFCO 400 '!$L$9*J48+'CAFCO 400 '!$L$10)*U48^2)+(('CAFCO 400 '!$L$11*(J48^3)+'CAFCO 400 '!$L$12*(J48^2)+'CAFCO 400 '!$L$13*J48+'CAFCO 400 '!$L$14)*U48)+('CAFCO 400 '!$L$15*LN(J48)+'CAFCO 400 '!$L$16)),0)+IF(AND(L48="Cafco 400",M48="Software Idiem",C48="IN",G48=3),((('CAFCO 400 '!$D$23*(J48^2)+'CAFCO 400 '!$D$24*(J48)+'CAFCO 400 '!$D$25)*U48^2)+(('CAFCO 400 '!$D$26*(J48^2)+'CAFCO 400 '!$D$27*J48+'CAFCO 400 '!$D$28)*U48)+('CAFCO 400 '!$D$29*(J48^2)+'CAFCO 400 '!$D$30*J48+'CAFCO 400 '!$D$31)),0),0)+IF(AND(L48="Cafco 300",J48&gt;=95,J48&lt;=240,C48="Cj",I48=90),VLOOKUP(T48,'CAFCO 300 IDIEM TABLAS'!$B$4:$D$23,2,FALSE),0)+IF(AND(L48="Cafco 300",J48&gt;=95,J48&lt;=240,C48="Cj",I48=120),VLOOKUP(T48,'CAFCO 300 IDIEM TABLAS'!$B$4:$D$23,3,FALSE),0)+IF(AND(L48="Cafco 300",J48&gt;=95,J48&lt;=400,G48=3,C48="IN",I48=90),VLOOKUP(T48,'CAFCO 300 IDIEM TABLAS'!$F$4:$H$35,2,FALSE),0)+IF(AND(L48="Cafco 300",J48&gt;=95,J48&lt;=400,G48=3,C48="IN",I48=120),VLOOKUP(T48,'CAFCO 300 IDIEM TABLAS'!$F$4:$H$35,3,FALSE),0)+IF(AND(L48="Cafco 300",J48&gt;=95,J48&lt;=450,G48=4,C48="IN",I48=90),VLOOKUP(T48,'CAFCO 300 IDIEM TABLAS'!$J$4:$L$40,2,FALSE),0)+IF(AND(L48="Cafco 300",J48&gt;=95,J48&lt;=450,G48=4,C48="IN",I48=120),VLOOKUP(T48,'CAFCO 300 IDIEM TABLAS'!$J$4:$L$40,3,FALSE),0)+IF(AND(M48="Ensayo Idiem",L48="Cafco 400",C48="IN",G48=4,I48=90),VLOOKUP(T48,'CAFCO 400 ENSAYO'!$B$7:$D$43,2,FALSE),0)+IF(AND(M48="Ensayo Idiem",L48="Cafco 400",C48="IN",G48=4,I48=120),VLOOKUP(T48,'CAFCO 400 ENSAYO'!$B$7:$D$43,3,FALSE),0)</f>
        <v>0</v>
      </c>
      <c r="O48" s="96">
        <f t="shared" si="1"/>
        <v>0</v>
      </c>
      <c r="P48" s="95" t="str">
        <f t="shared" si="2"/>
        <v>CERT.</v>
      </c>
      <c r="Q48" s="95" t="str">
        <f t="shared" si="3"/>
        <v>CERT.</v>
      </c>
      <c r="R48" s="95" t="str">
        <f t="shared" si="4"/>
        <v>NO CERT.</v>
      </c>
      <c r="S48" s="95" t="str">
        <f t="shared" si="0"/>
        <v>NO CERT.</v>
      </c>
      <c r="T48" s="119">
        <f>+IF(J48=LOOKUP(J48,'CAFCO 300 IDIEM TABLAS'!$J$4:$J$40),'CALCULO MORTERO'!J48,MROUND('CALCULO MORTERO'!J48,10))</f>
        <v>330</v>
      </c>
      <c r="U48" s="118" t="e">
        <f t="shared" si="5"/>
        <v>#VALUE!</v>
      </c>
      <c r="Y48" s="4"/>
      <c r="Z48" s="4"/>
      <c r="AA48" s="4"/>
    </row>
    <row r="49" spans="1:27" x14ac:dyDescent="0.25">
      <c r="A49" s="118" t="str">
        <f>+CUBICACION!D48</f>
        <v>PILAR</v>
      </c>
      <c r="B49" s="819" t="str">
        <f>+CUBICACION!E48</f>
        <v>MM 400X200X4</v>
      </c>
      <c r="C49" s="675" t="str">
        <f>+CUBICACION!F48</f>
        <v>CJ</v>
      </c>
      <c r="D49" s="118"/>
      <c r="E49" s="118"/>
      <c r="F49" s="820"/>
      <c r="G49" s="675">
        <f>+CUBICACION!J48</f>
        <v>4</v>
      </c>
      <c r="H49" s="118"/>
      <c r="I49" s="821" t="str">
        <f>+CUBICACION!L48</f>
        <v>F-60</v>
      </c>
      <c r="J49" s="64">
        <f>+CUBICACION!M48</f>
        <v>236</v>
      </c>
      <c r="K49" s="822">
        <f>+CUBICACION!N48</f>
        <v>50.4</v>
      </c>
      <c r="L49" s="118" t="str">
        <f>+CUBICACION!O48</f>
        <v>Fire Tex 5090</v>
      </c>
      <c r="M49" s="823" t="str">
        <f>+CUBICACION!P48</f>
        <v>Software Idiem</v>
      </c>
      <c r="N49" s="902">
        <f>ROUND(IF(AND(L49="Blaze Shield II",M49="Software Idiem",C49="IN",G49=4),((('BLAZE SHIELD II'!$D$4*('CALCULO MORTERO'!I49^2)+'BLAZE SHIELD II'!$D$5*'CALCULO MORTERO'!I49+'BLAZE SHIELD II'!$D$6)*LN(J49))+('BLAZE SHIELD II'!$D$7*('CALCULO MORTERO'!I49^2)+'BLAZE SHIELD II'!$D$8*'CALCULO MORTERO'!I49+'BLAZE SHIELD II'!$D$9)),0)+IF(AND(L49="Blaze Shield II",M49="Software Idiem",C49="Cj"),((('BLAZE SHIELD II'!$H$4*('CALCULO MORTERO'!I49^2)+'BLAZE SHIELD II'!$H$5*'CALCULO MORTERO'!I49+'BLAZE SHIELD II'!$H$6)*LN(J49))+('BLAZE SHIELD II'!$H$7*('CALCULO MORTERO'!I49^2)+'BLAZE SHIELD II'!$H$8*'CALCULO MORTERO'!I49+'BLAZE SHIELD II'!$H$9)),0)+IF(AND(L49="Blaze Shield II",M49="Software Idiem",C49="C"),((('BLAZE SHIELD II'!$L$4*('CALCULO MORTERO'!I49^2)+'BLAZE SHIELD II'!$L$5*'CALCULO MORTERO'!I49+'BLAZE SHIELD II'!$L$6)*LN(J49))+('BLAZE SHIELD II'!$L$7*('CALCULO MORTERO'!I49^2)+'BLAZE SHIELD II'!$L$8*'CALCULO MORTERO'!I49+'BLAZE SHIELD II'!$L$9)),0)+IF(AND(L49="Blaze Shield II",M49="Software Idiem",C49="L"),((('BLAZE SHIELD II'!$L$4*('CALCULO MORTERO'!I49^2)+'BLAZE SHIELD II'!$L$5*'CALCULO MORTERO'!I49+'BLAZE SHIELD II'!$L$6)*LN(J49))+('BLAZE SHIELD II'!$L$7*('CALCULO MORTERO'!I49^2)+'BLAZE SHIELD II'!$L$8*'CALCULO MORTERO'!I49+'BLAZE SHIELD II'!$L$9)),0)+IF(AND(L49="Blaze Shield II",M49="Software Idiem",C49="IN",G49=3),((('BLAZE SHIELD II'!$H$14*('CALCULO MORTERO'!I49^2)+'BLAZE SHIELD II'!$H$15*'CALCULO MORTERO'!I49+'BLAZE SHIELD II'!$H$16)*LN(J49))+('BLAZE SHIELD II'!$H$17*('CALCULO MORTERO'!I49^2)+'BLAZE SHIELD II'!$H$18*'CALCULO MORTERO'!I49+'BLAZE SHIELD II'!$H$19)),0),0)+ROUND(IF(AND(L49="Cafco 400",M49="Software Idiem",C49="IN",G49=4),((('CAFCO 400 '!$H$7*(J49^4)+'CAFCO 400 '!$H$8*(J49^3)+'CAFCO 400 '!$H$9*(J49^2)+'CAFCO 400 '!$H$10*J49+'CAFCO 400 '!$H$11)*U49^2)+(('CAFCO 400 '!$H$12*(J49^3)+'CAFCO 400 '!$H$13*(J49^2)+'CAFCO 400 '!$H$14*J49+'CAFCO 400 '!$H$15)*U49)+('CAFCO 400 '!$H$16*(J49^2)+'CAFCO 400 '!$H$17*J49+'CAFCO 400 '!$H$18)),0)+IF(AND(L49="Cafco 400",M49="Software Idiem",C49="Cj"),(((('CAFCO 400 '!$D$7*LN(J49)+'CAFCO 400 '!$D$8)*U49^2)+(('CAFCO 400 '!$D$9*LN(J49)+'CAFCO 400 '!$D$10)*U49)+('CAFCO 400 '!$D$11*LN(J49)+'CAFCO 400 '!$D$12))),0)+IF(AND(L49="Cafco 400",M49="Software Idiem",C49="C"),((('CAFCO 400 '!$L$7*(J49^3)+'CAFCO 400 '!$L$8*(J49^2)+'CAFCO 400 '!$L$9*J49+'CAFCO 400 '!$L$10)*U49^2)+(('CAFCO 400 '!$L$11*(J49^3)+'CAFCO 400 '!$L$12*(J49^2)+'CAFCO 400 '!$L$13*J49+'CAFCO 400 '!$L$14)*U49)+('CAFCO 400 '!$L$15*LN(J49)+'CAFCO 400 '!$L$16)),0)+IF(AND(L49="Cafco 400",M49="Software Idiem",C49="L"),((('CAFCO 400 '!$L$7*(J49^3)+'CAFCO 400 '!$L$8*(J49^2)+'CAFCO 400 '!$L$9*J49+'CAFCO 400 '!$L$10)*U49^2)+(('CAFCO 400 '!$L$11*(J49^3)+'CAFCO 400 '!$L$12*(J49^2)+'CAFCO 400 '!$L$13*J49+'CAFCO 400 '!$L$14)*U49)+('CAFCO 400 '!$L$15*LN(J49)+'CAFCO 400 '!$L$16)),0)+IF(AND(L49="Cafco 400",M49="Software Idiem",C49="IN",G49=3),((('CAFCO 400 '!$D$23*(J49^2)+'CAFCO 400 '!$D$24*(J49)+'CAFCO 400 '!$D$25)*U49^2)+(('CAFCO 400 '!$D$26*(J49^2)+'CAFCO 400 '!$D$27*J49+'CAFCO 400 '!$D$28)*U49)+('CAFCO 400 '!$D$29*(J49^2)+'CAFCO 400 '!$D$30*J49+'CAFCO 400 '!$D$31)),0),0)+IF(AND(L49="Cafco 300",J49&gt;=95,J49&lt;=240,C49="Cj",I49=90),VLOOKUP(T49,'CAFCO 300 IDIEM TABLAS'!$B$4:$D$23,2,FALSE),0)+IF(AND(L49="Cafco 300",J49&gt;=95,J49&lt;=240,C49="Cj",I49=120),VLOOKUP(T49,'CAFCO 300 IDIEM TABLAS'!$B$4:$D$23,3,FALSE),0)+IF(AND(L49="Cafco 300",J49&gt;=95,J49&lt;=400,G49=3,C49="IN",I49=90),VLOOKUP(T49,'CAFCO 300 IDIEM TABLAS'!$F$4:$H$35,2,FALSE),0)+IF(AND(L49="Cafco 300",J49&gt;=95,J49&lt;=400,G49=3,C49="IN",I49=120),VLOOKUP(T49,'CAFCO 300 IDIEM TABLAS'!$F$4:$H$35,3,FALSE),0)+IF(AND(L49="Cafco 300",J49&gt;=95,J49&lt;=450,G49=4,C49="IN",I49=90),VLOOKUP(T49,'CAFCO 300 IDIEM TABLAS'!$J$4:$L$40,2,FALSE),0)+IF(AND(L49="Cafco 300",J49&gt;=95,J49&lt;=450,G49=4,C49="IN",I49=120),VLOOKUP(T49,'CAFCO 300 IDIEM TABLAS'!$J$4:$L$40,3,FALSE),0)+IF(AND(M49="Ensayo Idiem",L49="Cafco 400",C49="IN",G49=4,I49=90),VLOOKUP(T49,'CAFCO 400 ENSAYO'!$B$7:$D$43,2,FALSE),0)+IF(AND(M49="Ensayo Idiem",L49="Cafco 400",C49="IN",G49=4,I49=120),VLOOKUP(T49,'CAFCO 400 ENSAYO'!$B$7:$D$43,3,FALSE),0)</f>
        <v>0</v>
      </c>
      <c r="O49" s="96">
        <f t="shared" si="1"/>
        <v>0</v>
      </c>
      <c r="P49" s="95" t="str">
        <f t="shared" si="2"/>
        <v>CERT.</v>
      </c>
      <c r="Q49" s="95" t="str">
        <f t="shared" si="3"/>
        <v>CERT.</v>
      </c>
      <c r="R49" s="95" t="str">
        <f t="shared" si="4"/>
        <v>NO CERT.</v>
      </c>
      <c r="S49" s="95" t="str">
        <f t="shared" si="0"/>
        <v>NO CERT.</v>
      </c>
      <c r="T49" s="119">
        <f>+IF(J49=LOOKUP(J49,'CAFCO 300 IDIEM TABLAS'!$J$4:$J$40),'CALCULO MORTERO'!J49,MROUND('CALCULO MORTERO'!J49,10))</f>
        <v>240</v>
      </c>
      <c r="U49" s="118" t="e">
        <f t="shared" si="5"/>
        <v>#VALUE!</v>
      </c>
      <c r="Y49" s="4"/>
      <c r="Z49" s="4"/>
      <c r="AA49" s="4"/>
    </row>
    <row r="50" spans="1:27" ht="15.6" customHeight="1" x14ac:dyDescent="0.25">
      <c r="A50" s="118" t="str">
        <f>+CUBICACION!D49</f>
        <v>PILAR</v>
      </c>
      <c r="B50" s="819" t="str">
        <f>+CUBICACION!E49</f>
        <v>150X150X5</v>
      </c>
      <c r="C50" s="675" t="str">
        <f>+CUBICACION!F49</f>
        <v>CJ</v>
      </c>
      <c r="D50" s="118"/>
      <c r="E50" s="118"/>
      <c r="F50" s="820"/>
      <c r="G50" s="675">
        <f>+CUBICACION!J49</f>
        <v>4</v>
      </c>
      <c r="H50" s="118"/>
      <c r="I50" s="821" t="str">
        <f>+CUBICACION!L49</f>
        <v>F-60</v>
      </c>
      <c r="J50" s="64">
        <f>+CUBICACION!M49</f>
        <v>200</v>
      </c>
      <c r="K50" s="822">
        <f>+CUBICACION!N49</f>
        <v>4.8</v>
      </c>
      <c r="L50" s="118" t="str">
        <f>+CUBICACION!O49</f>
        <v>Fire Tex 5090</v>
      </c>
      <c r="M50" s="823" t="str">
        <f>+CUBICACION!P49</f>
        <v>Software Idiem</v>
      </c>
      <c r="N50" s="902">
        <f>ROUND(IF(AND(L50="Blaze Shield II",M50="Software Idiem",C50="IN",G50=4),((('BLAZE SHIELD II'!$D$4*('CALCULO MORTERO'!I50^2)+'BLAZE SHIELD II'!$D$5*'CALCULO MORTERO'!I50+'BLAZE SHIELD II'!$D$6)*LN(J50))+('BLAZE SHIELD II'!$D$7*('CALCULO MORTERO'!I50^2)+'BLAZE SHIELD II'!$D$8*'CALCULO MORTERO'!I50+'BLAZE SHIELD II'!$D$9)),0)+IF(AND(L50="Blaze Shield II",M50="Software Idiem",C50="Cj"),((('BLAZE SHIELD II'!$H$4*('CALCULO MORTERO'!I50^2)+'BLAZE SHIELD II'!$H$5*'CALCULO MORTERO'!I50+'BLAZE SHIELD II'!$H$6)*LN(J50))+('BLAZE SHIELD II'!$H$7*('CALCULO MORTERO'!I50^2)+'BLAZE SHIELD II'!$H$8*'CALCULO MORTERO'!I50+'BLAZE SHIELD II'!$H$9)),0)+IF(AND(L50="Blaze Shield II",M50="Software Idiem",C50="C"),((('BLAZE SHIELD II'!$L$4*('CALCULO MORTERO'!I50^2)+'BLAZE SHIELD II'!$L$5*'CALCULO MORTERO'!I50+'BLAZE SHIELD II'!$L$6)*LN(J50))+('BLAZE SHIELD II'!$L$7*('CALCULO MORTERO'!I50^2)+'BLAZE SHIELD II'!$L$8*'CALCULO MORTERO'!I50+'BLAZE SHIELD II'!$L$9)),0)+IF(AND(L50="Blaze Shield II",M50="Software Idiem",C50="L"),((('BLAZE SHIELD II'!$L$4*('CALCULO MORTERO'!I50^2)+'BLAZE SHIELD II'!$L$5*'CALCULO MORTERO'!I50+'BLAZE SHIELD II'!$L$6)*LN(J50))+('BLAZE SHIELD II'!$L$7*('CALCULO MORTERO'!I50^2)+'BLAZE SHIELD II'!$L$8*'CALCULO MORTERO'!I50+'BLAZE SHIELD II'!$L$9)),0)+IF(AND(L50="Blaze Shield II",M50="Software Idiem",C50="IN",G50=3),((('BLAZE SHIELD II'!$H$14*('CALCULO MORTERO'!I50^2)+'BLAZE SHIELD II'!$H$15*'CALCULO MORTERO'!I50+'BLAZE SHIELD II'!$H$16)*LN(J50))+('BLAZE SHIELD II'!$H$17*('CALCULO MORTERO'!I50^2)+'BLAZE SHIELD II'!$H$18*'CALCULO MORTERO'!I50+'BLAZE SHIELD II'!$H$19)),0),0)+ROUND(IF(AND(L50="Cafco 400",M50="Software Idiem",C50="IN",G50=4),((('CAFCO 400 '!$H$7*(J50^4)+'CAFCO 400 '!$H$8*(J50^3)+'CAFCO 400 '!$H$9*(J50^2)+'CAFCO 400 '!$H$10*J50+'CAFCO 400 '!$H$11)*U50^2)+(('CAFCO 400 '!$H$12*(J50^3)+'CAFCO 400 '!$H$13*(J50^2)+'CAFCO 400 '!$H$14*J50+'CAFCO 400 '!$H$15)*U50)+('CAFCO 400 '!$H$16*(J50^2)+'CAFCO 400 '!$H$17*J50+'CAFCO 400 '!$H$18)),0)+IF(AND(L50="Cafco 400",M50="Software Idiem",C50="Cj"),(((('CAFCO 400 '!$D$7*LN(J50)+'CAFCO 400 '!$D$8)*U50^2)+(('CAFCO 400 '!$D$9*LN(J50)+'CAFCO 400 '!$D$10)*U50)+('CAFCO 400 '!$D$11*LN(J50)+'CAFCO 400 '!$D$12))),0)+IF(AND(L50="Cafco 400",M50="Software Idiem",C50="C"),((('CAFCO 400 '!$L$7*(J50^3)+'CAFCO 400 '!$L$8*(J50^2)+'CAFCO 400 '!$L$9*J50+'CAFCO 400 '!$L$10)*U50^2)+(('CAFCO 400 '!$L$11*(J50^3)+'CAFCO 400 '!$L$12*(J50^2)+'CAFCO 400 '!$L$13*J50+'CAFCO 400 '!$L$14)*U50)+('CAFCO 400 '!$L$15*LN(J50)+'CAFCO 400 '!$L$16)),0)+IF(AND(L50="Cafco 400",M50="Software Idiem",C50="L"),((('CAFCO 400 '!$L$7*(J50^3)+'CAFCO 400 '!$L$8*(J50^2)+'CAFCO 400 '!$L$9*J50+'CAFCO 400 '!$L$10)*U50^2)+(('CAFCO 400 '!$L$11*(J50^3)+'CAFCO 400 '!$L$12*(J50^2)+'CAFCO 400 '!$L$13*J50+'CAFCO 400 '!$L$14)*U50)+('CAFCO 400 '!$L$15*LN(J50)+'CAFCO 400 '!$L$16)),0)+IF(AND(L50="Cafco 400",M50="Software Idiem",C50="IN",G50=3),((('CAFCO 400 '!$D$23*(J50^2)+'CAFCO 400 '!$D$24*(J50)+'CAFCO 400 '!$D$25)*U50^2)+(('CAFCO 400 '!$D$26*(J50^2)+'CAFCO 400 '!$D$27*J50+'CAFCO 400 '!$D$28)*U50)+('CAFCO 400 '!$D$29*(J50^2)+'CAFCO 400 '!$D$30*J50+'CAFCO 400 '!$D$31)),0),0)+IF(AND(L50="Cafco 300",J50&gt;=95,J50&lt;=240,C50="Cj",I50=90),VLOOKUP(T50,'CAFCO 300 IDIEM TABLAS'!$B$4:$D$23,2,FALSE),0)+IF(AND(L50="Cafco 300",J50&gt;=95,J50&lt;=240,C50="Cj",I50=120),VLOOKUP(T50,'CAFCO 300 IDIEM TABLAS'!$B$4:$D$23,3,FALSE),0)+IF(AND(L50="Cafco 300",J50&gt;=95,J50&lt;=400,G50=3,C50="IN",I50=90),VLOOKUP(T50,'CAFCO 300 IDIEM TABLAS'!$F$4:$H$35,2,FALSE),0)+IF(AND(L50="Cafco 300",J50&gt;=95,J50&lt;=400,G50=3,C50="IN",I50=120),VLOOKUP(T50,'CAFCO 300 IDIEM TABLAS'!$F$4:$H$35,3,FALSE),0)+IF(AND(L50="Cafco 300",J50&gt;=95,J50&lt;=450,G50=4,C50="IN",I50=90),VLOOKUP(T50,'CAFCO 300 IDIEM TABLAS'!$J$4:$L$40,2,FALSE),0)+IF(AND(L50="Cafco 300",J50&gt;=95,J50&lt;=450,G50=4,C50="IN",I50=120),VLOOKUP(T50,'CAFCO 300 IDIEM TABLAS'!$J$4:$L$40,3,FALSE),0)+IF(AND(M50="Ensayo Idiem",L50="Cafco 400",C50="IN",G50=4,I50=90),VLOOKUP(T50,'CAFCO 400 ENSAYO'!$B$7:$D$43,2,FALSE),0)+IF(AND(M50="Ensayo Idiem",L50="Cafco 400",C50="IN",G50=4,I50=120),VLOOKUP(T50,'CAFCO 400 ENSAYO'!$B$7:$D$43,3,FALSE),0)</f>
        <v>0</v>
      </c>
      <c r="O50" s="96">
        <f t="shared" si="1"/>
        <v>0</v>
      </c>
      <c r="P50" s="95" t="str">
        <f t="shared" si="2"/>
        <v>CERT.</v>
      </c>
      <c r="Q50" s="95" t="str">
        <f t="shared" si="3"/>
        <v>CERT.</v>
      </c>
      <c r="R50" s="95" t="str">
        <f t="shared" si="4"/>
        <v>NO CERT.</v>
      </c>
      <c r="S50" s="95" t="str">
        <f t="shared" si="0"/>
        <v>NO CERT.</v>
      </c>
      <c r="T50" s="119">
        <f>+IF(J50=LOOKUP(J50,'CAFCO 300 IDIEM TABLAS'!$J$4:$J$40),'CALCULO MORTERO'!J50,MROUND('CALCULO MORTERO'!J50,10))</f>
        <v>200</v>
      </c>
      <c r="U50" s="118" t="e">
        <f t="shared" si="5"/>
        <v>#VALUE!</v>
      </c>
      <c r="Y50" s="4"/>
      <c r="Z50" s="4"/>
      <c r="AA50" s="4"/>
    </row>
    <row r="51" spans="1:27" x14ac:dyDescent="0.25">
      <c r="A51" s="118" t="str">
        <f>+CUBICACION!D50</f>
        <v>VIGA BAJO LOSA</v>
      </c>
      <c r="B51" s="819" t="str">
        <f>+CUBICACION!E50</f>
        <v>200X100X8,5X5,6</v>
      </c>
      <c r="C51" s="675" t="str">
        <f>+CUBICACION!F50</f>
        <v>CJ</v>
      </c>
      <c r="D51" s="118"/>
      <c r="E51" s="118"/>
      <c r="F51" s="820"/>
      <c r="G51" s="675">
        <f>+CUBICACION!J50</f>
        <v>3</v>
      </c>
      <c r="H51" s="118"/>
      <c r="I51" s="821">
        <f>+CUBICACION!L50</f>
        <v>60</v>
      </c>
      <c r="J51" s="64">
        <f>+CUBICACION!M50</f>
        <v>265</v>
      </c>
      <c r="K51" s="822">
        <f>+CUBICACION!N50</f>
        <v>21.118829999999999</v>
      </c>
      <c r="L51" s="118" t="str">
        <f>+CUBICACION!O50</f>
        <v>Blaze Shield II</v>
      </c>
      <c r="M51" s="823" t="str">
        <f>+CUBICACION!P50</f>
        <v>Software Idiem</v>
      </c>
      <c r="N51" s="902">
        <f>ROUND(IF(AND(L51="Blaze Shield II",M51="Software Idiem",C51="IN",G51=4),((('BLAZE SHIELD II'!$D$4*('CALCULO MORTERO'!I51^2)+'BLAZE SHIELD II'!$D$5*'CALCULO MORTERO'!I51+'BLAZE SHIELD II'!$D$6)*LN(J51))+('BLAZE SHIELD II'!$D$7*('CALCULO MORTERO'!I51^2)+'BLAZE SHIELD II'!$D$8*'CALCULO MORTERO'!I51+'BLAZE SHIELD II'!$D$9)),0)+IF(AND(L51="Blaze Shield II",M51="Software Idiem",C51="Cj"),((('BLAZE SHIELD II'!$H$4*('CALCULO MORTERO'!I51^2)+'BLAZE SHIELD II'!$H$5*'CALCULO MORTERO'!I51+'BLAZE SHIELD II'!$H$6)*LN(J51))+('BLAZE SHIELD II'!$H$7*('CALCULO MORTERO'!I51^2)+'BLAZE SHIELD II'!$H$8*'CALCULO MORTERO'!I51+'BLAZE SHIELD II'!$H$9)),0)+IF(AND(L51="Blaze Shield II",M51="Software Idiem",C51="C"),((('BLAZE SHIELD II'!$L$4*('CALCULO MORTERO'!I51^2)+'BLAZE SHIELD II'!$L$5*'CALCULO MORTERO'!I51+'BLAZE SHIELD II'!$L$6)*LN(J51))+('BLAZE SHIELD II'!$L$7*('CALCULO MORTERO'!I51^2)+'BLAZE SHIELD II'!$L$8*'CALCULO MORTERO'!I51+'BLAZE SHIELD II'!$L$9)),0)+IF(AND(L51="Blaze Shield II",M51="Software Idiem",C51="L"),((('BLAZE SHIELD II'!$L$4*('CALCULO MORTERO'!I51^2)+'BLAZE SHIELD II'!$L$5*'CALCULO MORTERO'!I51+'BLAZE SHIELD II'!$L$6)*LN(J51))+('BLAZE SHIELD II'!$L$7*('CALCULO MORTERO'!I51^2)+'BLAZE SHIELD II'!$L$8*'CALCULO MORTERO'!I51+'BLAZE SHIELD II'!$L$9)),0)+IF(AND(L51="Blaze Shield II",M51="Software Idiem",C51="IN",G51=3),((('BLAZE SHIELD II'!$H$14*('CALCULO MORTERO'!I51^2)+'BLAZE SHIELD II'!$H$15*'CALCULO MORTERO'!I51+'BLAZE SHIELD II'!$H$16)*LN(J51))+('BLAZE SHIELD II'!$H$17*('CALCULO MORTERO'!I51^2)+'BLAZE SHIELD II'!$H$18*'CALCULO MORTERO'!I51+'BLAZE SHIELD II'!$H$19)),0),0)+ROUND(IF(AND(L51="Cafco 400",M51="Software Idiem",C51="IN",G51=4),((('CAFCO 400 '!$H$7*(J51^4)+'CAFCO 400 '!$H$8*(J51^3)+'CAFCO 400 '!$H$9*(J51^2)+'CAFCO 400 '!$H$10*J51+'CAFCO 400 '!$H$11)*U51^2)+(('CAFCO 400 '!$H$12*(J51^3)+'CAFCO 400 '!$H$13*(J51^2)+'CAFCO 400 '!$H$14*J51+'CAFCO 400 '!$H$15)*U51)+('CAFCO 400 '!$H$16*(J51^2)+'CAFCO 400 '!$H$17*J51+'CAFCO 400 '!$H$18)),0)+IF(AND(L51="Cafco 400",M51="Software Idiem",C51="Cj"),(((('CAFCO 400 '!$D$7*LN(J51)+'CAFCO 400 '!$D$8)*U51^2)+(('CAFCO 400 '!$D$9*LN(J51)+'CAFCO 400 '!$D$10)*U51)+('CAFCO 400 '!$D$11*LN(J51)+'CAFCO 400 '!$D$12))),0)+IF(AND(L51="Cafco 400",M51="Software Idiem",C51="C"),((('CAFCO 400 '!$L$7*(J51^3)+'CAFCO 400 '!$L$8*(J51^2)+'CAFCO 400 '!$L$9*J51+'CAFCO 400 '!$L$10)*U51^2)+(('CAFCO 400 '!$L$11*(J51^3)+'CAFCO 400 '!$L$12*(J51^2)+'CAFCO 400 '!$L$13*J51+'CAFCO 400 '!$L$14)*U51)+('CAFCO 400 '!$L$15*LN(J51)+'CAFCO 400 '!$L$16)),0)+IF(AND(L51="Cafco 400",M51="Software Idiem",C51="L"),((('CAFCO 400 '!$L$7*(J51^3)+'CAFCO 400 '!$L$8*(J51^2)+'CAFCO 400 '!$L$9*J51+'CAFCO 400 '!$L$10)*U51^2)+(('CAFCO 400 '!$L$11*(J51^3)+'CAFCO 400 '!$L$12*(J51^2)+'CAFCO 400 '!$L$13*J51+'CAFCO 400 '!$L$14)*U51)+('CAFCO 400 '!$L$15*LN(J51)+'CAFCO 400 '!$L$16)),0)+IF(AND(L51="Cafco 400",M51="Software Idiem",C51="IN",G51=3),((('CAFCO 400 '!$D$23*(J51^2)+'CAFCO 400 '!$D$24*(J51)+'CAFCO 400 '!$D$25)*U51^2)+(('CAFCO 400 '!$D$26*(J51^2)+'CAFCO 400 '!$D$27*J51+'CAFCO 400 '!$D$28)*U51)+('CAFCO 400 '!$D$29*(J51^2)+'CAFCO 400 '!$D$30*J51+'CAFCO 400 '!$D$31)),0),0)+IF(AND(L51="Cafco 300",J51&gt;=95,J51&lt;=240,C51="Cj",I51=90),VLOOKUP(T51,'CAFCO 300 IDIEM TABLAS'!$B$4:$D$23,2,FALSE),0)+IF(AND(L51="Cafco 300",J51&gt;=95,J51&lt;=240,C51="Cj",I51=120),VLOOKUP(T51,'CAFCO 300 IDIEM TABLAS'!$B$4:$D$23,3,FALSE),0)+IF(AND(L51="Cafco 300",J51&gt;=95,J51&lt;=400,G51=3,C51="IN",I51=90),VLOOKUP(T51,'CAFCO 300 IDIEM TABLAS'!$F$4:$H$35,2,FALSE),0)+IF(AND(L51="Cafco 300",J51&gt;=95,J51&lt;=400,G51=3,C51="IN",I51=120),VLOOKUP(T51,'CAFCO 300 IDIEM TABLAS'!$F$4:$H$35,3,FALSE),0)+IF(AND(L51="Cafco 300",J51&gt;=95,J51&lt;=450,G51=4,C51="IN",I51=90),VLOOKUP(T51,'CAFCO 300 IDIEM TABLAS'!$J$4:$L$40,2,FALSE),0)+IF(AND(L51="Cafco 300",J51&gt;=95,J51&lt;=450,G51=4,C51="IN",I51=120),VLOOKUP(T51,'CAFCO 300 IDIEM TABLAS'!$J$4:$L$40,3,FALSE),0)+IF(AND(M51="Ensayo Idiem",L51="Cafco 400",C51="IN",G51=4,I51=90),VLOOKUP(T51,'CAFCO 400 ENSAYO'!$B$7:$D$43,2,FALSE),0)+IF(AND(M51="Ensayo Idiem",L51="Cafco 400",C51="IN",G51=4,I51=120),VLOOKUP(T51,'CAFCO 400 ENSAYO'!$B$7:$D$43,3,FALSE),0)</f>
        <v>35</v>
      </c>
      <c r="O51" s="96">
        <f t="shared" si="1"/>
        <v>8.3641681973684214</v>
      </c>
      <c r="P51" s="95" t="str">
        <f t="shared" si="2"/>
        <v>CERT.</v>
      </c>
      <c r="Q51" s="95" t="str">
        <f t="shared" si="3"/>
        <v>CERT.</v>
      </c>
      <c r="R51" s="95" t="str">
        <f t="shared" si="4"/>
        <v>NO CERT.</v>
      </c>
      <c r="S51" s="95" t="str">
        <f t="shared" si="0"/>
        <v>NO CERT.</v>
      </c>
      <c r="T51" s="119">
        <f>+IF(J51=LOOKUP(J51,'CAFCO 300 IDIEM TABLAS'!$J$4:$J$40),'CALCULO MORTERO'!J51,MROUND('CALCULO MORTERO'!J51,10))</f>
        <v>270</v>
      </c>
      <c r="U51" s="118">
        <f t="shared" si="5"/>
        <v>3600</v>
      </c>
      <c r="Y51" s="4"/>
      <c r="Z51" s="4"/>
      <c r="AA51" s="4"/>
    </row>
    <row r="52" spans="1:27" ht="15.6" customHeight="1" x14ac:dyDescent="0.25">
      <c r="A52" s="118" t="str">
        <f>+CUBICACION!D51</f>
        <v>ARRIOSTRAMINETO VERTICAL</v>
      </c>
      <c r="B52" s="819" t="str">
        <f>+CUBICACION!E51</f>
        <v>100X100X3</v>
      </c>
      <c r="C52" s="675" t="str">
        <f>+CUBICACION!F51</f>
        <v>CJ</v>
      </c>
      <c r="D52" s="118"/>
      <c r="E52" s="118"/>
      <c r="F52" s="820"/>
      <c r="G52" s="675">
        <f>+CUBICACION!J51</f>
        <v>4</v>
      </c>
      <c r="H52" s="118"/>
      <c r="I52" s="821" t="str">
        <f>+CUBICACION!L51</f>
        <v>F-60</v>
      </c>
      <c r="J52" s="64">
        <f>+CUBICACION!M51</f>
        <v>333</v>
      </c>
      <c r="K52" s="822">
        <f>+CUBICACION!N51</f>
        <v>10.72</v>
      </c>
      <c r="L52" s="118" t="str">
        <f>+CUBICACION!O51</f>
        <v>Fire Tex 5090</v>
      </c>
      <c r="M52" s="823" t="str">
        <f>+CUBICACION!P51</f>
        <v>Software Idiem</v>
      </c>
      <c r="N52" s="902">
        <f>ROUND(IF(AND(L52="Blaze Shield II",M52="Software Idiem",C52="IN",G52=4),((('BLAZE SHIELD II'!$D$4*('CALCULO MORTERO'!I52^2)+'BLAZE SHIELD II'!$D$5*'CALCULO MORTERO'!I52+'BLAZE SHIELD II'!$D$6)*LN(J52))+('BLAZE SHIELD II'!$D$7*('CALCULO MORTERO'!I52^2)+'BLAZE SHIELD II'!$D$8*'CALCULO MORTERO'!I52+'BLAZE SHIELD II'!$D$9)),0)+IF(AND(L52="Blaze Shield II",M52="Software Idiem",C52="Cj"),((('BLAZE SHIELD II'!$H$4*('CALCULO MORTERO'!I52^2)+'BLAZE SHIELD II'!$H$5*'CALCULO MORTERO'!I52+'BLAZE SHIELD II'!$H$6)*LN(J52))+('BLAZE SHIELD II'!$H$7*('CALCULO MORTERO'!I52^2)+'BLAZE SHIELD II'!$H$8*'CALCULO MORTERO'!I52+'BLAZE SHIELD II'!$H$9)),0)+IF(AND(L52="Blaze Shield II",M52="Software Idiem",C52="C"),((('BLAZE SHIELD II'!$L$4*('CALCULO MORTERO'!I52^2)+'BLAZE SHIELD II'!$L$5*'CALCULO MORTERO'!I52+'BLAZE SHIELD II'!$L$6)*LN(J52))+('BLAZE SHIELD II'!$L$7*('CALCULO MORTERO'!I52^2)+'BLAZE SHIELD II'!$L$8*'CALCULO MORTERO'!I52+'BLAZE SHIELD II'!$L$9)),0)+IF(AND(L52="Blaze Shield II",M52="Software Idiem",C52="L"),((('BLAZE SHIELD II'!$L$4*('CALCULO MORTERO'!I52^2)+'BLAZE SHIELD II'!$L$5*'CALCULO MORTERO'!I52+'BLAZE SHIELD II'!$L$6)*LN(J52))+('BLAZE SHIELD II'!$L$7*('CALCULO MORTERO'!I52^2)+'BLAZE SHIELD II'!$L$8*'CALCULO MORTERO'!I52+'BLAZE SHIELD II'!$L$9)),0)+IF(AND(L52="Blaze Shield II",M52="Software Idiem",C52="IN",G52=3),((('BLAZE SHIELD II'!$H$14*('CALCULO MORTERO'!I52^2)+'BLAZE SHIELD II'!$H$15*'CALCULO MORTERO'!I52+'BLAZE SHIELD II'!$H$16)*LN(J52))+('BLAZE SHIELD II'!$H$17*('CALCULO MORTERO'!I52^2)+'BLAZE SHIELD II'!$H$18*'CALCULO MORTERO'!I52+'BLAZE SHIELD II'!$H$19)),0),0)+ROUND(IF(AND(L52="Cafco 400",M52="Software Idiem",C52="IN",G52=4),((('CAFCO 400 '!$H$7*(J52^4)+'CAFCO 400 '!$H$8*(J52^3)+'CAFCO 400 '!$H$9*(J52^2)+'CAFCO 400 '!$H$10*J52+'CAFCO 400 '!$H$11)*U52^2)+(('CAFCO 400 '!$H$12*(J52^3)+'CAFCO 400 '!$H$13*(J52^2)+'CAFCO 400 '!$H$14*J52+'CAFCO 400 '!$H$15)*U52)+('CAFCO 400 '!$H$16*(J52^2)+'CAFCO 400 '!$H$17*J52+'CAFCO 400 '!$H$18)),0)+IF(AND(L52="Cafco 400",M52="Software Idiem",C52="Cj"),(((('CAFCO 400 '!$D$7*LN(J52)+'CAFCO 400 '!$D$8)*U52^2)+(('CAFCO 400 '!$D$9*LN(J52)+'CAFCO 400 '!$D$10)*U52)+('CAFCO 400 '!$D$11*LN(J52)+'CAFCO 400 '!$D$12))),0)+IF(AND(L52="Cafco 400",M52="Software Idiem",C52="C"),((('CAFCO 400 '!$L$7*(J52^3)+'CAFCO 400 '!$L$8*(J52^2)+'CAFCO 400 '!$L$9*J52+'CAFCO 400 '!$L$10)*U52^2)+(('CAFCO 400 '!$L$11*(J52^3)+'CAFCO 400 '!$L$12*(J52^2)+'CAFCO 400 '!$L$13*J52+'CAFCO 400 '!$L$14)*U52)+('CAFCO 400 '!$L$15*LN(J52)+'CAFCO 400 '!$L$16)),0)+IF(AND(L52="Cafco 400",M52="Software Idiem",C52="L"),((('CAFCO 400 '!$L$7*(J52^3)+'CAFCO 400 '!$L$8*(J52^2)+'CAFCO 400 '!$L$9*J52+'CAFCO 400 '!$L$10)*U52^2)+(('CAFCO 400 '!$L$11*(J52^3)+'CAFCO 400 '!$L$12*(J52^2)+'CAFCO 400 '!$L$13*J52+'CAFCO 400 '!$L$14)*U52)+('CAFCO 400 '!$L$15*LN(J52)+'CAFCO 400 '!$L$16)),0)+IF(AND(L52="Cafco 400",M52="Software Idiem",C52="IN",G52=3),((('CAFCO 400 '!$D$23*(J52^2)+'CAFCO 400 '!$D$24*(J52)+'CAFCO 400 '!$D$25)*U52^2)+(('CAFCO 400 '!$D$26*(J52^2)+'CAFCO 400 '!$D$27*J52+'CAFCO 400 '!$D$28)*U52)+('CAFCO 400 '!$D$29*(J52^2)+'CAFCO 400 '!$D$30*J52+'CAFCO 400 '!$D$31)),0),0)+IF(AND(L52="Cafco 300",J52&gt;=95,J52&lt;=240,C52="Cj",I52=90),VLOOKUP(T52,'CAFCO 300 IDIEM TABLAS'!$B$4:$D$23,2,FALSE),0)+IF(AND(L52="Cafco 300",J52&gt;=95,J52&lt;=240,C52="Cj",I52=120),VLOOKUP(T52,'CAFCO 300 IDIEM TABLAS'!$B$4:$D$23,3,FALSE),0)+IF(AND(L52="Cafco 300",J52&gt;=95,J52&lt;=400,G52=3,C52="IN",I52=90),VLOOKUP(T52,'CAFCO 300 IDIEM TABLAS'!$F$4:$H$35,2,FALSE),0)+IF(AND(L52="Cafco 300",J52&gt;=95,J52&lt;=400,G52=3,C52="IN",I52=120),VLOOKUP(T52,'CAFCO 300 IDIEM TABLAS'!$F$4:$H$35,3,FALSE),0)+IF(AND(L52="Cafco 300",J52&gt;=95,J52&lt;=450,G52=4,C52="IN",I52=90),VLOOKUP(T52,'CAFCO 300 IDIEM TABLAS'!$J$4:$L$40,2,FALSE),0)+IF(AND(L52="Cafco 300",J52&gt;=95,J52&lt;=450,G52=4,C52="IN",I52=120),VLOOKUP(T52,'CAFCO 300 IDIEM TABLAS'!$J$4:$L$40,3,FALSE),0)+IF(AND(M52="Ensayo Idiem",L52="Cafco 400",C52="IN",G52=4,I52=90),VLOOKUP(T52,'CAFCO 400 ENSAYO'!$B$7:$D$43,2,FALSE),0)+IF(AND(M52="Ensayo Idiem",L52="Cafco 400",C52="IN",G52=4,I52=120),VLOOKUP(T52,'CAFCO 400 ENSAYO'!$B$7:$D$43,3,FALSE),0)</f>
        <v>0</v>
      </c>
      <c r="O52" s="96">
        <f t="shared" si="1"/>
        <v>0</v>
      </c>
      <c r="P52" s="95" t="str">
        <f t="shared" si="2"/>
        <v>CERT.</v>
      </c>
      <c r="Q52" s="95" t="str">
        <f t="shared" si="3"/>
        <v>CERT.</v>
      </c>
      <c r="R52" s="95" t="str">
        <f t="shared" si="4"/>
        <v>NO CERT.</v>
      </c>
      <c r="S52" s="95" t="str">
        <f t="shared" si="0"/>
        <v>NO CERT.</v>
      </c>
      <c r="T52" s="119">
        <f>+IF(J52=LOOKUP(J52,'CAFCO 300 IDIEM TABLAS'!$J$4:$J$40),'CALCULO MORTERO'!J52,MROUND('CALCULO MORTERO'!J52,10))</f>
        <v>330</v>
      </c>
      <c r="U52" s="118" t="e">
        <f t="shared" si="5"/>
        <v>#VALUE!</v>
      </c>
      <c r="Y52" s="4"/>
      <c r="Z52" s="4"/>
      <c r="AA52" s="4"/>
    </row>
    <row r="53" spans="1:27" x14ac:dyDescent="0.25">
      <c r="A53" s="118" t="str">
        <f>+CUBICACION!D52</f>
        <v>VIGA</v>
      </c>
      <c r="B53" s="819" t="str">
        <f>+CUBICACION!E52</f>
        <v>200X100X4</v>
      </c>
      <c r="C53" s="675" t="str">
        <f>+CUBICACION!F52</f>
        <v>CJ</v>
      </c>
      <c r="D53" s="118"/>
      <c r="E53" s="118"/>
      <c r="F53" s="820"/>
      <c r="G53" s="675">
        <f>+CUBICACION!J52</f>
        <v>4</v>
      </c>
      <c r="H53" s="118"/>
      <c r="I53" s="821" t="str">
        <f>+CUBICACION!L52</f>
        <v>F-60</v>
      </c>
      <c r="J53" s="64">
        <f>+CUBICACION!M52</f>
        <v>250</v>
      </c>
      <c r="K53" s="822">
        <f>+CUBICACION!N52</f>
        <v>1.2</v>
      </c>
      <c r="L53" s="118" t="str">
        <f>+CUBICACION!O52</f>
        <v>Fire Tex 5090</v>
      </c>
      <c r="M53" s="823" t="str">
        <f>+CUBICACION!P52</f>
        <v>Software Idiem</v>
      </c>
      <c r="N53" s="902">
        <f>ROUND(IF(AND(L53="Blaze Shield II",M53="Software Idiem",C53="IN",G53=4),((('BLAZE SHIELD II'!$D$4*('CALCULO MORTERO'!I53^2)+'BLAZE SHIELD II'!$D$5*'CALCULO MORTERO'!I53+'BLAZE SHIELD II'!$D$6)*LN(J53))+('BLAZE SHIELD II'!$D$7*('CALCULO MORTERO'!I53^2)+'BLAZE SHIELD II'!$D$8*'CALCULO MORTERO'!I53+'BLAZE SHIELD II'!$D$9)),0)+IF(AND(L53="Blaze Shield II",M53="Software Idiem",C53="Cj"),((('BLAZE SHIELD II'!$H$4*('CALCULO MORTERO'!I53^2)+'BLAZE SHIELD II'!$H$5*'CALCULO MORTERO'!I53+'BLAZE SHIELD II'!$H$6)*LN(J53))+('BLAZE SHIELD II'!$H$7*('CALCULO MORTERO'!I53^2)+'BLAZE SHIELD II'!$H$8*'CALCULO MORTERO'!I53+'BLAZE SHIELD II'!$H$9)),0)+IF(AND(L53="Blaze Shield II",M53="Software Idiem",C53="C"),((('BLAZE SHIELD II'!$L$4*('CALCULO MORTERO'!I53^2)+'BLAZE SHIELD II'!$L$5*'CALCULO MORTERO'!I53+'BLAZE SHIELD II'!$L$6)*LN(J53))+('BLAZE SHIELD II'!$L$7*('CALCULO MORTERO'!I53^2)+'BLAZE SHIELD II'!$L$8*'CALCULO MORTERO'!I53+'BLAZE SHIELD II'!$L$9)),0)+IF(AND(L53="Blaze Shield II",M53="Software Idiem",C53="L"),((('BLAZE SHIELD II'!$L$4*('CALCULO MORTERO'!I53^2)+'BLAZE SHIELD II'!$L$5*'CALCULO MORTERO'!I53+'BLAZE SHIELD II'!$L$6)*LN(J53))+('BLAZE SHIELD II'!$L$7*('CALCULO MORTERO'!I53^2)+'BLAZE SHIELD II'!$L$8*'CALCULO MORTERO'!I53+'BLAZE SHIELD II'!$L$9)),0)+IF(AND(L53="Blaze Shield II",M53="Software Idiem",C53="IN",G53=3),((('BLAZE SHIELD II'!$H$14*('CALCULO MORTERO'!I53^2)+'BLAZE SHIELD II'!$H$15*'CALCULO MORTERO'!I53+'BLAZE SHIELD II'!$H$16)*LN(J53))+('BLAZE SHIELD II'!$H$17*('CALCULO MORTERO'!I53^2)+'BLAZE SHIELD II'!$H$18*'CALCULO MORTERO'!I53+'BLAZE SHIELD II'!$H$19)),0),0)+ROUND(IF(AND(L53="Cafco 400",M53="Software Idiem",C53="IN",G53=4),((('CAFCO 400 '!$H$7*(J53^4)+'CAFCO 400 '!$H$8*(J53^3)+'CAFCO 400 '!$H$9*(J53^2)+'CAFCO 400 '!$H$10*J53+'CAFCO 400 '!$H$11)*U53^2)+(('CAFCO 400 '!$H$12*(J53^3)+'CAFCO 400 '!$H$13*(J53^2)+'CAFCO 400 '!$H$14*J53+'CAFCO 400 '!$H$15)*U53)+('CAFCO 400 '!$H$16*(J53^2)+'CAFCO 400 '!$H$17*J53+'CAFCO 400 '!$H$18)),0)+IF(AND(L53="Cafco 400",M53="Software Idiem",C53="Cj"),(((('CAFCO 400 '!$D$7*LN(J53)+'CAFCO 400 '!$D$8)*U53^2)+(('CAFCO 400 '!$D$9*LN(J53)+'CAFCO 400 '!$D$10)*U53)+('CAFCO 400 '!$D$11*LN(J53)+'CAFCO 400 '!$D$12))),0)+IF(AND(L53="Cafco 400",M53="Software Idiem",C53="C"),((('CAFCO 400 '!$L$7*(J53^3)+'CAFCO 400 '!$L$8*(J53^2)+'CAFCO 400 '!$L$9*J53+'CAFCO 400 '!$L$10)*U53^2)+(('CAFCO 400 '!$L$11*(J53^3)+'CAFCO 400 '!$L$12*(J53^2)+'CAFCO 400 '!$L$13*J53+'CAFCO 400 '!$L$14)*U53)+('CAFCO 400 '!$L$15*LN(J53)+'CAFCO 400 '!$L$16)),0)+IF(AND(L53="Cafco 400",M53="Software Idiem",C53="L"),((('CAFCO 400 '!$L$7*(J53^3)+'CAFCO 400 '!$L$8*(J53^2)+'CAFCO 400 '!$L$9*J53+'CAFCO 400 '!$L$10)*U53^2)+(('CAFCO 400 '!$L$11*(J53^3)+'CAFCO 400 '!$L$12*(J53^2)+'CAFCO 400 '!$L$13*J53+'CAFCO 400 '!$L$14)*U53)+('CAFCO 400 '!$L$15*LN(J53)+'CAFCO 400 '!$L$16)),0)+IF(AND(L53="Cafco 400",M53="Software Idiem",C53="IN",G53=3),((('CAFCO 400 '!$D$23*(J53^2)+'CAFCO 400 '!$D$24*(J53)+'CAFCO 400 '!$D$25)*U53^2)+(('CAFCO 400 '!$D$26*(J53^2)+'CAFCO 400 '!$D$27*J53+'CAFCO 400 '!$D$28)*U53)+('CAFCO 400 '!$D$29*(J53^2)+'CAFCO 400 '!$D$30*J53+'CAFCO 400 '!$D$31)),0),0)+IF(AND(L53="Cafco 300",J53&gt;=95,J53&lt;=240,C53="Cj",I53=90),VLOOKUP(T53,'CAFCO 300 IDIEM TABLAS'!$B$4:$D$23,2,FALSE),0)+IF(AND(L53="Cafco 300",J53&gt;=95,J53&lt;=240,C53="Cj",I53=120),VLOOKUP(T53,'CAFCO 300 IDIEM TABLAS'!$B$4:$D$23,3,FALSE),0)+IF(AND(L53="Cafco 300",J53&gt;=95,J53&lt;=400,G53=3,C53="IN",I53=90),VLOOKUP(T53,'CAFCO 300 IDIEM TABLAS'!$F$4:$H$35,2,FALSE),0)+IF(AND(L53="Cafco 300",J53&gt;=95,J53&lt;=400,G53=3,C53="IN",I53=120),VLOOKUP(T53,'CAFCO 300 IDIEM TABLAS'!$F$4:$H$35,3,FALSE),0)+IF(AND(L53="Cafco 300",J53&gt;=95,J53&lt;=450,G53=4,C53="IN",I53=90),VLOOKUP(T53,'CAFCO 300 IDIEM TABLAS'!$J$4:$L$40,2,FALSE),0)+IF(AND(L53="Cafco 300",J53&gt;=95,J53&lt;=450,G53=4,C53="IN",I53=120),VLOOKUP(T53,'CAFCO 300 IDIEM TABLAS'!$J$4:$L$40,3,FALSE),0)+IF(AND(M53="Ensayo Idiem",L53="Cafco 400",C53="IN",G53=4,I53=90),VLOOKUP(T53,'CAFCO 400 ENSAYO'!$B$7:$D$43,2,FALSE),0)+IF(AND(M53="Ensayo Idiem",L53="Cafco 400",C53="IN",G53=4,I53=120),VLOOKUP(T53,'CAFCO 400 ENSAYO'!$B$7:$D$43,3,FALSE),0)</f>
        <v>0</v>
      </c>
      <c r="O53" s="96">
        <f>((IF(L53="Blaze Shield II",((K53*N53*0.43)/38),IF(L53="Cafco 400",((K53*N53*0.43)/23),IF(L53="Cafco 300",((K53*N53*0.43)/31.16),0)))))</f>
        <v>0</v>
      </c>
      <c r="P53" s="95" t="str">
        <f t="shared" si="2"/>
        <v>CERT.</v>
      </c>
      <c r="Q53" s="95" t="str">
        <f t="shared" si="3"/>
        <v>CERT.</v>
      </c>
      <c r="R53" s="95" t="str">
        <f t="shared" si="4"/>
        <v>NO CERT.</v>
      </c>
      <c r="S53" s="95" t="str">
        <f t="shared" si="0"/>
        <v>NO CERT.</v>
      </c>
      <c r="T53" s="119">
        <f>+IF(J53=LOOKUP(J53,'CAFCO 300 IDIEM TABLAS'!$J$4:$J$40),'CALCULO MORTERO'!J53,MROUND('CALCULO MORTERO'!J53,10))</f>
        <v>250</v>
      </c>
      <c r="U53" s="118" t="e">
        <f>+I53*60</f>
        <v>#VALUE!</v>
      </c>
      <c r="Y53" s="4"/>
      <c r="Z53" s="4"/>
      <c r="AA53" s="4"/>
    </row>
    <row r="54" spans="1:27" ht="15.6" customHeight="1" x14ac:dyDescent="0.25">
      <c r="A54" s="118" t="str">
        <f>+CUBICACION!D53</f>
        <v>VIGA</v>
      </c>
      <c r="B54" s="819">
        <f>+CUBICACION!I53</f>
        <v>3400</v>
      </c>
      <c r="C54" s="675" t="str">
        <f>+CUBICACION!F53</f>
        <v>CJ</v>
      </c>
      <c r="D54" s="118"/>
      <c r="E54" s="118"/>
      <c r="F54" s="820"/>
      <c r="G54" s="675">
        <f>+CUBICACION!J53</f>
        <v>4</v>
      </c>
      <c r="H54" s="118"/>
      <c r="I54" s="821" t="str">
        <f>+CUBICACION!L53</f>
        <v>F-60</v>
      </c>
      <c r="J54" s="64">
        <f>+CUBICACION!M53</f>
        <v>333</v>
      </c>
      <c r="K54" s="822">
        <f>+CUBICACION!N53</f>
        <v>2.72</v>
      </c>
      <c r="L54" s="118" t="str">
        <f>+CUBICACION!O53</f>
        <v>Fire Tex 5090</v>
      </c>
      <c r="M54" s="823" t="str">
        <f>+CUBICACION!P53</f>
        <v>Software Idiem</v>
      </c>
      <c r="N54" s="902">
        <f>ROUND(IF(AND(L54="Blaze Shield II",M54="Software Idiem",C54="IN",G54=4),((('BLAZE SHIELD II'!$D$4*('CALCULO MORTERO'!I54^2)+'BLAZE SHIELD II'!$D$5*'CALCULO MORTERO'!I54+'BLAZE SHIELD II'!$D$6)*LN(J54))+('BLAZE SHIELD II'!$D$7*('CALCULO MORTERO'!I54^2)+'BLAZE SHIELD II'!$D$8*'CALCULO MORTERO'!I54+'BLAZE SHIELD II'!$D$9)),0)+IF(AND(L54="Blaze Shield II",M54="Software Idiem",C54="Cj"),((('BLAZE SHIELD II'!$H$4*('CALCULO MORTERO'!I54^2)+'BLAZE SHIELD II'!$H$5*'CALCULO MORTERO'!I54+'BLAZE SHIELD II'!$H$6)*LN(J54))+('BLAZE SHIELD II'!$H$7*('CALCULO MORTERO'!I54^2)+'BLAZE SHIELD II'!$H$8*'CALCULO MORTERO'!I54+'BLAZE SHIELD II'!$H$9)),0)+IF(AND(L54="Blaze Shield II",M54="Software Idiem",C54="C"),((('BLAZE SHIELD II'!$L$4*('CALCULO MORTERO'!I54^2)+'BLAZE SHIELD II'!$L$5*'CALCULO MORTERO'!I54+'BLAZE SHIELD II'!$L$6)*LN(J54))+('BLAZE SHIELD II'!$L$7*('CALCULO MORTERO'!I54^2)+'BLAZE SHIELD II'!$L$8*'CALCULO MORTERO'!I54+'BLAZE SHIELD II'!$L$9)),0)+IF(AND(L54="Blaze Shield II",M54="Software Idiem",C54="L"),((('BLAZE SHIELD II'!$L$4*('CALCULO MORTERO'!I54^2)+'BLAZE SHIELD II'!$L$5*'CALCULO MORTERO'!I54+'BLAZE SHIELD II'!$L$6)*LN(J54))+('BLAZE SHIELD II'!$L$7*('CALCULO MORTERO'!I54^2)+'BLAZE SHIELD II'!$L$8*'CALCULO MORTERO'!I54+'BLAZE SHIELD II'!$L$9)),0)+IF(AND(L54="Blaze Shield II",M54="Software Idiem",C54="IN",G54=3),((('BLAZE SHIELD II'!$H$14*('CALCULO MORTERO'!I54^2)+'BLAZE SHIELD II'!$H$15*'CALCULO MORTERO'!I54+'BLAZE SHIELD II'!$H$16)*LN(J54))+('BLAZE SHIELD II'!$H$17*('CALCULO MORTERO'!I54^2)+'BLAZE SHIELD II'!$H$18*'CALCULO MORTERO'!I54+'BLAZE SHIELD II'!$H$19)),0),0)+ROUND(IF(AND(L54="Cafco 400",M54="Software Idiem",C54="IN",G54=4),((('CAFCO 400 '!$H$7*(J54^4)+'CAFCO 400 '!$H$8*(J54^3)+'CAFCO 400 '!$H$9*(J54^2)+'CAFCO 400 '!$H$10*J54+'CAFCO 400 '!$H$11)*U54^2)+(('CAFCO 400 '!$H$12*(J54^3)+'CAFCO 400 '!$H$13*(J54^2)+'CAFCO 400 '!$H$14*J54+'CAFCO 400 '!$H$15)*U54)+('CAFCO 400 '!$H$16*(J54^2)+'CAFCO 400 '!$H$17*J54+'CAFCO 400 '!$H$18)),0)+IF(AND(L54="Cafco 400",M54="Software Idiem",C54="Cj"),(((('CAFCO 400 '!$D$7*LN(J54)+'CAFCO 400 '!$D$8)*U54^2)+(('CAFCO 400 '!$D$9*LN(J54)+'CAFCO 400 '!$D$10)*U54)+('CAFCO 400 '!$D$11*LN(J54)+'CAFCO 400 '!$D$12))),0)+IF(AND(L54="Cafco 400",M54="Software Idiem",C54="C"),((('CAFCO 400 '!$L$7*(J54^3)+'CAFCO 400 '!$L$8*(J54^2)+'CAFCO 400 '!$L$9*J54+'CAFCO 400 '!$L$10)*U54^2)+(('CAFCO 400 '!$L$11*(J54^3)+'CAFCO 400 '!$L$12*(J54^2)+'CAFCO 400 '!$L$13*J54+'CAFCO 400 '!$L$14)*U54)+('CAFCO 400 '!$L$15*LN(J54)+'CAFCO 400 '!$L$16)),0)+IF(AND(L54="Cafco 400",M54="Software Idiem",C54="L"),((('CAFCO 400 '!$L$7*(J54^3)+'CAFCO 400 '!$L$8*(J54^2)+'CAFCO 400 '!$L$9*J54+'CAFCO 400 '!$L$10)*U54^2)+(('CAFCO 400 '!$L$11*(J54^3)+'CAFCO 400 '!$L$12*(J54^2)+'CAFCO 400 '!$L$13*J54+'CAFCO 400 '!$L$14)*U54)+('CAFCO 400 '!$L$15*LN(J54)+'CAFCO 400 '!$L$16)),0)+IF(AND(L54="Cafco 400",M54="Software Idiem",C54="IN",G54=3),((('CAFCO 400 '!$D$23*(J54^2)+'CAFCO 400 '!$D$24*(J54)+'CAFCO 400 '!$D$25)*U54^2)+(('CAFCO 400 '!$D$26*(J54^2)+'CAFCO 400 '!$D$27*J54+'CAFCO 400 '!$D$28)*U54)+('CAFCO 400 '!$D$29*(J54^2)+'CAFCO 400 '!$D$30*J54+'CAFCO 400 '!$D$31)),0),0)+IF(AND(L54="Cafco 300",J54&gt;=95,J54&lt;=240,C54="Cj",I54=90),VLOOKUP(T54,'CAFCO 300 IDIEM TABLAS'!$B$4:$D$23,2,FALSE),0)+IF(AND(L54="Cafco 300",J54&gt;=95,J54&lt;=240,C54="Cj",I54=120),VLOOKUP(T54,'CAFCO 300 IDIEM TABLAS'!$B$4:$D$23,3,FALSE),0)+IF(AND(L54="Cafco 300",J54&gt;=95,J54&lt;=400,G54=3,C54="IN",I54=90),VLOOKUP(T54,'CAFCO 300 IDIEM TABLAS'!$F$4:$H$35,2,FALSE),0)+IF(AND(L54="Cafco 300",J54&gt;=95,J54&lt;=400,G54=3,C54="IN",I54=120),VLOOKUP(T54,'CAFCO 300 IDIEM TABLAS'!$F$4:$H$35,3,FALSE),0)+IF(AND(L54="Cafco 300",J54&gt;=95,J54&lt;=450,G54=4,C54="IN",I54=90),VLOOKUP(T54,'CAFCO 300 IDIEM TABLAS'!$J$4:$L$40,2,FALSE),0)+IF(AND(L54="Cafco 300",J54&gt;=95,J54&lt;=450,G54=4,C54="IN",I54=120),VLOOKUP(T54,'CAFCO 300 IDIEM TABLAS'!$J$4:$L$40,3,FALSE),0)+IF(AND(M54="Ensayo Idiem",L54="Cafco 400",C54="IN",G54=4,I54=90),VLOOKUP(T54,'CAFCO 400 ENSAYO'!$B$7:$D$43,2,FALSE),0)+IF(AND(M54="Ensayo Idiem",L54="Cafco 400",C54="IN",G54=4,I54=120),VLOOKUP(T54,'CAFCO 400 ENSAYO'!$B$7:$D$43,3,FALSE),0)</f>
        <v>0</v>
      </c>
      <c r="O54" s="96">
        <f t="shared" si="1"/>
        <v>0</v>
      </c>
      <c r="P54" s="95" t="str">
        <f t="shared" si="2"/>
        <v>CERT.</v>
      </c>
      <c r="Q54" s="95" t="str">
        <f t="shared" si="3"/>
        <v>CERT.</v>
      </c>
      <c r="R54" s="95" t="str">
        <f t="shared" si="4"/>
        <v>NO CERT.</v>
      </c>
      <c r="S54" s="95" t="str">
        <f t="shared" si="0"/>
        <v>NO CERT.</v>
      </c>
      <c r="T54" s="119">
        <f>+IF(J54=LOOKUP(J54,'CAFCO 300 IDIEM TABLAS'!$J$4:$J$40),'CALCULO MORTERO'!J54,MROUND('CALCULO MORTERO'!J54,10))</f>
        <v>330</v>
      </c>
      <c r="U54" s="118" t="e">
        <f t="shared" si="5"/>
        <v>#VALUE!</v>
      </c>
      <c r="Y54" s="4"/>
      <c r="Z54" s="4"/>
      <c r="AA54" s="4"/>
    </row>
    <row r="55" spans="1:27" x14ac:dyDescent="0.25">
      <c r="A55" s="118" t="str">
        <f>+CUBICACION!D54</f>
        <v>PILAR</v>
      </c>
      <c r="B55" s="819" t="str">
        <f>+CUBICACION!E54</f>
        <v>100X100X3</v>
      </c>
      <c r="C55" s="675" t="str">
        <f>+CUBICACION!F54</f>
        <v>CJ</v>
      </c>
      <c r="D55" s="118"/>
      <c r="E55" s="118"/>
      <c r="F55" s="820"/>
      <c r="G55" s="675">
        <f>+CUBICACION!J54</f>
        <v>4</v>
      </c>
      <c r="H55" s="118"/>
      <c r="I55" s="821" t="str">
        <f>+CUBICACION!L54</f>
        <v>F-60</v>
      </c>
      <c r="J55" s="64">
        <f>+CUBICACION!M54</f>
        <v>333</v>
      </c>
      <c r="K55" s="822">
        <f>+CUBICACION!N54</f>
        <v>0.6</v>
      </c>
      <c r="L55" s="118" t="str">
        <f>+CUBICACION!O54</f>
        <v>Fire Tex 5090</v>
      </c>
      <c r="M55" s="823" t="str">
        <f>+CUBICACION!P54</f>
        <v>Software Idiem</v>
      </c>
      <c r="N55" s="902">
        <f>ROUND(IF(AND(L55="Blaze Shield II",M55="Software Idiem",C55="IN",G55=4),((('BLAZE SHIELD II'!$D$4*('CALCULO MORTERO'!I55^2)+'BLAZE SHIELD II'!$D$5*'CALCULO MORTERO'!I55+'BLAZE SHIELD II'!$D$6)*LN(J55))+('BLAZE SHIELD II'!$D$7*('CALCULO MORTERO'!I55^2)+'BLAZE SHIELD II'!$D$8*'CALCULO MORTERO'!I55+'BLAZE SHIELD II'!$D$9)),0)+IF(AND(L55="Blaze Shield II",M55="Software Idiem",C55="Cj"),((('BLAZE SHIELD II'!$H$4*('CALCULO MORTERO'!I55^2)+'BLAZE SHIELD II'!$H$5*'CALCULO MORTERO'!I55+'BLAZE SHIELD II'!$H$6)*LN(J55))+('BLAZE SHIELD II'!$H$7*('CALCULO MORTERO'!I55^2)+'BLAZE SHIELD II'!$H$8*'CALCULO MORTERO'!I55+'BLAZE SHIELD II'!$H$9)),0)+IF(AND(L55="Blaze Shield II",M55="Software Idiem",C55="C"),((('BLAZE SHIELD II'!$L$4*('CALCULO MORTERO'!I55^2)+'BLAZE SHIELD II'!$L$5*'CALCULO MORTERO'!I55+'BLAZE SHIELD II'!$L$6)*LN(J55))+('BLAZE SHIELD II'!$L$7*('CALCULO MORTERO'!I55^2)+'BLAZE SHIELD II'!$L$8*'CALCULO MORTERO'!I55+'BLAZE SHIELD II'!$L$9)),0)+IF(AND(L55="Blaze Shield II",M55="Software Idiem",C55="L"),((('BLAZE SHIELD II'!$L$4*('CALCULO MORTERO'!I55^2)+'BLAZE SHIELD II'!$L$5*'CALCULO MORTERO'!I55+'BLAZE SHIELD II'!$L$6)*LN(J55))+('BLAZE SHIELD II'!$L$7*('CALCULO MORTERO'!I55^2)+'BLAZE SHIELD II'!$L$8*'CALCULO MORTERO'!I55+'BLAZE SHIELD II'!$L$9)),0)+IF(AND(L55="Blaze Shield II",M55="Software Idiem",C55="IN",G55=3),((('BLAZE SHIELD II'!$H$14*('CALCULO MORTERO'!I55^2)+'BLAZE SHIELD II'!$H$15*'CALCULO MORTERO'!I55+'BLAZE SHIELD II'!$H$16)*LN(J55))+('BLAZE SHIELD II'!$H$17*('CALCULO MORTERO'!I55^2)+'BLAZE SHIELD II'!$H$18*'CALCULO MORTERO'!I55+'BLAZE SHIELD II'!$H$19)),0),0)+ROUND(IF(AND(L55="Cafco 400",M55="Software Idiem",C55="IN",G55=4),((('CAFCO 400 '!$H$7*(J55^4)+'CAFCO 400 '!$H$8*(J55^3)+'CAFCO 400 '!$H$9*(J55^2)+'CAFCO 400 '!$H$10*J55+'CAFCO 400 '!$H$11)*U55^2)+(('CAFCO 400 '!$H$12*(J55^3)+'CAFCO 400 '!$H$13*(J55^2)+'CAFCO 400 '!$H$14*J55+'CAFCO 400 '!$H$15)*U55)+('CAFCO 400 '!$H$16*(J55^2)+'CAFCO 400 '!$H$17*J55+'CAFCO 400 '!$H$18)),0)+IF(AND(L55="Cafco 400",M55="Software Idiem",C55="Cj"),(((('CAFCO 400 '!$D$7*LN(J55)+'CAFCO 400 '!$D$8)*U55^2)+(('CAFCO 400 '!$D$9*LN(J55)+'CAFCO 400 '!$D$10)*U55)+('CAFCO 400 '!$D$11*LN(J55)+'CAFCO 400 '!$D$12))),0)+IF(AND(L55="Cafco 400",M55="Software Idiem",C55="C"),((('CAFCO 400 '!$L$7*(J55^3)+'CAFCO 400 '!$L$8*(J55^2)+'CAFCO 400 '!$L$9*J55+'CAFCO 400 '!$L$10)*U55^2)+(('CAFCO 400 '!$L$11*(J55^3)+'CAFCO 400 '!$L$12*(J55^2)+'CAFCO 400 '!$L$13*J55+'CAFCO 400 '!$L$14)*U55)+('CAFCO 400 '!$L$15*LN(J55)+'CAFCO 400 '!$L$16)),0)+IF(AND(L55="Cafco 400",M55="Software Idiem",C55="L"),((('CAFCO 400 '!$L$7*(J55^3)+'CAFCO 400 '!$L$8*(J55^2)+'CAFCO 400 '!$L$9*J55+'CAFCO 400 '!$L$10)*U55^2)+(('CAFCO 400 '!$L$11*(J55^3)+'CAFCO 400 '!$L$12*(J55^2)+'CAFCO 400 '!$L$13*J55+'CAFCO 400 '!$L$14)*U55)+('CAFCO 400 '!$L$15*LN(J55)+'CAFCO 400 '!$L$16)),0)+IF(AND(L55="Cafco 400",M55="Software Idiem",C55="IN",G55=3),((('CAFCO 400 '!$D$23*(J55^2)+'CAFCO 400 '!$D$24*(J55)+'CAFCO 400 '!$D$25)*U55^2)+(('CAFCO 400 '!$D$26*(J55^2)+'CAFCO 400 '!$D$27*J55+'CAFCO 400 '!$D$28)*U55)+('CAFCO 400 '!$D$29*(J55^2)+'CAFCO 400 '!$D$30*J55+'CAFCO 400 '!$D$31)),0),0)+IF(AND(L55="Cafco 300",J55&gt;=95,J55&lt;=240,C55="Cj",I55=90),VLOOKUP(T55,'CAFCO 300 IDIEM TABLAS'!$B$4:$D$23,2,FALSE),0)+IF(AND(L55="Cafco 300",J55&gt;=95,J55&lt;=240,C55="Cj",I55=120),VLOOKUP(T55,'CAFCO 300 IDIEM TABLAS'!$B$4:$D$23,3,FALSE),0)+IF(AND(L55="Cafco 300",J55&gt;=95,J55&lt;=400,G55=3,C55="IN",I55=90),VLOOKUP(T55,'CAFCO 300 IDIEM TABLAS'!$F$4:$H$35,2,FALSE),0)+IF(AND(L55="Cafco 300",J55&gt;=95,J55&lt;=400,G55=3,C55="IN",I55=120),VLOOKUP(T55,'CAFCO 300 IDIEM TABLAS'!$F$4:$H$35,3,FALSE),0)+IF(AND(L55="Cafco 300",J55&gt;=95,J55&lt;=450,G55=4,C55="IN",I55=90),VLOOKUP(T55,'CAFCO 300 IDIEM TABLAS'!$J$4:$L$40,2,FALSE),0)+IF(AND(L55="Cafco 300",J55&gt;=95,J55&lt;=450,G55=4,C55="IN",I55=120),VLOOKUP(T55,'CAFCO 300 IDIEM TABLAS'!$J$4:$L$40,3,FALSE),0)+IF(AND(M55="Ensayo Idiem",L55="Cafco 400",C55="IN",G55=4,I55=90),VLOOKUP(T55,'CAFCO 400 ENSAYO'!$B$7:$D$43,2,FALSE),0)+IF(AND(M55="Ensayo Idiem",L55="Cafco 400",C55="IN",G55=4,I55=120),VLOOKUP(T55,'CAFCO 400 ENSAYO'!$B$7:$D$43,3,FALSE),0)</f>
        <v>0</v>
      </c>
      <c r="O55" s="96">
        <f t="shared" si="1"/>
        <v>0</v>
      </c>
      <c r="P55" s="95" t="str">
        <f t="shared" si="2"/>
        <v>CERT.</v>
      </c>
      <c r="Q55" s="95" t="str">
        <f t="shared" si="3"/>
        <v>CERT.</v>
      </c>
      <c r="R55" s="95" t="str">
        <f t="shared" si="4"/>
        <v>NO CERT.</v>
      </c>
      <c r="S55" s="95" t="str">
        <f t="shared" si="0"/>
        <v>NO CERT.</v>
      </c>
      <c r="T55" s="119">
        <f>+IF(J55=LOOKUP(J55,'CAFCO 300 IDIEM TABLAS'!$J$4:$J$40),'CALCULO MORTERO'!J55,MROUND('CALCULO MORTERO'!J55,10))</f>
        <v>330</v>
      </c>
      <c r="U55" s="118" t="e">
        <f t="shared" si="5"/>
        <v>#VALUE!</v>
      </c>
      <c r="Y55" s="4"/>
      <c r="Z55" s="4"/>
      <c r="AA55" s="4"/>
    </row>
    <row r="56" spans="1:27" ht="15.6" customHeight="1" x14ac:dyDescent="0.25">
      <c r="A56" s="118" t="str">
        <f>+CUBICACION!D55</f>
        <v>PILAR</v>
      </c>
      <c r="B56" s="819" t="str">
        <f>+CUBICACION!E55</f>
        <v>100X100X3</v>
      </c>
      <c r="C56" s="675" t="str">
        <f>+CUBICACION!F55</f>
        <v>CJ</v>
      </c>
      <c r="D56" s="118"/>
      <c r="E56" s="118"/>
      <c r="F56" s="820"/>
      <c r="G56" s="675">
        <f>+CUBICACION!J55</f>
        <v>4</v>
      </c>
      <c r="H56" s="118"/>
      <c r="I56" s="821" t="str">
        <f>+CUBICACION!L55</f>
        <v>F-60</v>
      </c>
      <c r="J56" s="64">
        <f>+CUBICACION!M55</f>
        <v>333</v>
      </c>
      <c r="K56" s="822">
        <f>+CUBICACION!N55</f>
        <v>1.6</v>
      </c>
      <c r="L56" s="118" t="str">
        <f>+CUBICACION!O55</f>
        <v>Fire Tex 5090</v>
      </c>
      <c r="M56" s="823" t="str">
        <f>+CUBICACION!P55</f>
        <v>Software Idiem</v>
      </c>
      <c r="N56" s="902">
        <f>ROUND(IF(AND(L56="Blaze Shield II",M56="Software Idiem",C56="IN",G56=4),((('BLAZE SHIELD II'!$D$4*('CALCULO MORTERO'!I56^2)+'BLAZE SHIELD II'!$D$5*'CALCULO MORTERO'!I56+'BLAZE SHIELD II'!$D$6)*LN(J56))+('BLAZE SHIELD II'!$D$7*('CALCULO MORTERO'!I56^2)+'BLAZE SHIELD II'!$D$8*'CALCULO MORTERO'!I56+'BLAZE SHIELD II'!$D$9)),0)+IF(AND(L56="Blaze Shield II",M56="Software Idiem",C56="Cj"),((('BLAZE SHIELD II'!$H$4*('CALCULO MORTERO'!I56^2)+'BLAZE SHIELD II'!$H$5*'CALCULO MORTERO'!I56+'BLAZE SHIELD II'!$H$6)*LN(J56))+('BLAZE SHIELD II'!$H$7*('CALCULO MORTERO'!I56^2)+'BLAZE SHIELD II'!$H$8*'CALCULO MORTERO'!I56+'BLAZE SHIELD II'!$H$9)),0)+IF(AND(L56="Blaze Shield II",M56="Software Idiem",C56="C"),((('BLAZE SHIELD II'!$L$4*('CALCULO MORTERO'!I56^2)+'BLAZE SHIELD II'!$L$5*'CALCULO MORTERO'!I56+'BLAZE SHIELD II'!$L$6)*LN(J56))+('BLAZE SHIELD II'!$L$7*('CALCULO MORTERO'!I56^2)+'BLAZE SHIELD II'!$L$8*'CALCULO MORTERO'!I56+'BLAZE SHIELD II'!$L$9)),0)+IF(AND(L56="Blaze Shield II",M56="Software Idiem",C56="L"),((('BLAZE SHIELD II'!$L$4*('CALCULO MORTERO'!I56^2)+'BLAZE SHIELD II'!$L$5*'CALCULO MORTERO'!I56+'BLAZE SHIELD II'!$L$6)*LN(J56))+('BLAZE SHIELD II'!$L$7*('CALCULO MORTERO'!I56^2)+'BLAZE SHIELD II'!$L$8*'CALCULO MORTERO'!I56+'BLAZE SHIELD II'!$L$9)),0)+IF(AND(L56="Blaze Shield II",M56="Software Idiem",C56="IN",G56=3),((('BLAZE SHIELD II'!$H$14*('CALCULO MORTERO'!I56^2)+'BLAZE SHIELD II'!$H$15*'CALCULO MORTERO'!I56+'BLAZE SHIELD II'!$H$16)*LN(J56))+('BLAZE SHIELD II'!$H$17*('CALCULO MORTERO'!I56^2)+'BLAZE SHIELD II'!$H$18*'CALCULO MORTERO'!I56+'BLAZE SHIELD II'!$H$19)),0),0)+ROUND(IF(AND(L56="Cafco 400",M56="Software Idiem",C56="IN",G56=4),((('CAFCO 400 '!$H$7*(J56^4)+'CAFCO 400 '!$H$8*(J56^3)+'CAFCO 400 '!$H$9*(J56^2)+'CAFCO 400 '!$H$10*J56+'CAFCO 400 '!$H$11)*U56^2)+(('CAFCO 400 '!$H$12*(J56^3)+'CAFCO 400 '!$H$13*(J56^2)+'CAFCO 400 '!$H$14*J56+'CAFCO 400 '!$H$15)*U56)+('CAFCO 400 '!$H$16*(J56^2)+'CAFCO 400 '!$H$17*J56+'CAFCO 400 '!$H$18)),0)+IF(AND(L56="Cafco 400",M56="Software Idiem",C56="Cj"),(((('CAFCO 400 '!$D$7*LN(J56)+'CAFCO 400 '!$D$8)*U56^2)+(('CAFCO 400 '!$D$9*LN(J56)+'CAFCO 400 '!$D$10)*U56)+('CAFCO 400 '!$D$11*LN(J56)+'CAFCO 400 '!$D$12))),0)+IF(AND(L56="Cafco 400",M56="Software Idiem",C56="C"),((('CAFCO 400 '!$L$7*(J56^3)+'CAFCO 400 '!$L$8*(J56^2)+'CAFCO 400 '!$L$9*J56+'CAFCO 400 '!$L$10)*U56^2)+(('CAFCO 400 '!$L$11*(J56^3)+'CAFCO 400 '!$L$12*(J56^2)+'CAFCO 400 '!$L$13*J56+'CAFCO 400 '!$L$14)*U56)+('CAFCO 400 '!$L$15*LN(J56)+'CAFCO 400 '!$L$16)),0)+IF(AND(L56="Cafco 400",M56="Software Idiem",C56="L"),((('CAFCO 400 '!$L$7*(J56^3)+'CAFCO 400 '!$L$8*(J56^2)+'CAFCO 400 '!$L$9*J56+'CAFCO 400 '!$L$10)*U56^2)+(('CAFCO 400 '!$L$11*(J56^3)+'CAFCO 400 '!$L$12*(J56^2)+'CAFCO 400 '!$L$13*J56+'CAFCO 400 '!$L$14)*U56)+('CAFCO 400 '!$L$15*LN(J56)+'CAFCO 400 '!$L$16)),0)+IF(AND(L56="Cafco 400",M56="Software Idiem",C56="IN",G56=3),((('CAFCO 400 '!$D$23*(J56^2)+'CAFCO 400 '!$D$24*(J56)+'CAFCO 400 '!$D$25)*U56^2)+(('CAFCO 400 '!$D$26*(J56^2)+'CAFCO 400 '!$D$27*J56+'CAFCO 400 '!$D$28)*U56)+('CAFCO 400 '!$D$29*(J56^2)+'CAFCO 400 '!$D$30*J56+'CAFCO 400 '!$D$31)),0),0)+IF(AND(L56="Cafco 300",J56&gt;=95,J56&lt;=240,C56="Cj",I56=90),VLOOKUP(T56,'CAFCO 300 IDIEM TABLAS'!$B$4:$D$23,2,FALSE),0)+IF(AND(L56="Cafco 300",J56&gt;=95,J56&lt;=240,C56="Cj",I56=120),VLOOKUP(T56,'CAFCO 300 IDIEM TABLAS'!$B$4:$D$23,3,FALSE),0)+IF(AND(L56="Cafco 300",J56&gt;=95,J56&lt;=400,G56=3,C56="IN",I56=90),VLOOKUP(T56,'CAFCO 300 IDIEM TABLAS'!$F$4:$H$35,2,FALSE),0)+IF(AND(L56="Cafco 300",J56&gt;=95,J56&lt;=400,G56=3,C56="IN",I56=120),VLOOKUP(T56,'CAFCO 300 IDIEM TABLAS'!$F$4:$H$35,3,FALSE),0)+IF(AND(L56="Cafco 300",J56&gt;=95,J56&lt;=450,G56=4,C56="IN",I56=90),VLOOKUP(T56,'CAFCO 300 IDIEM TABLAS'!$J$4:$L$40,2,FALSE),0)+IF(AND(L56="Cafco 300",J56&gt;=95,J56&lt;=450,G56=4,C56="IN",I56=120),VLOOKUP(T56,'CAFCO 300 IDIEM TABLAS'!$J$4:$L$40,3,FALSE),0)+IF(AND(M56="Ensayo Idiem",L56="Cafco 400",C56="IN",G56=4,I56=90),VLOOKUP(T56,'CAFCO 400 ENSAYO'!$B$7:$D$43,2,FALSE),0)+IF(AND(M56="Ensayo Idiem",L56="Cafco 400",C56="IN",G56=4,I56=120),VLOOKUP(T56,'CAFCO 400 ENSAYO'!$B$7:$D$43,3,FALSE),0)</f>
        <v>0</v>
      </c>
      <c r="O56" s="96">
        <f t="shared" si="1"/>
        <v>0</v>
      </c>
      <c r="P56" s="95" t="str">
        <f t="shared" si="2"/>
        <v>CERT.</v>
      </c>
      <c r="Q56" s="95" t="str">
        <f t="shared" si="3"/>
        <v>CERT.</v>
      </c>
      <c r="R56" s="95" t="str">
        <f t="shared" si="4"/>
        <v>NO CERT.</v>
      </c>
      <c r="S56" s="95" t="str">
        <f t="shared" si="0"/>
        <v>NO CERT.</v>
      </c>
      <c r="T56" s="119">
        <f>+IF(J56=LOOKUP(J56,'CAFCO 300 IDIEM TABLAS'!$J$4:$J$40),'CALCULO MORTERO'!J56,MROUND('CALCULO MORTERO'!J56,10))</f>
        <v>330</v>
      </c>
      <c r="U56" s="118" t="e">
        <f t="shared" si="5"/>
        <v>#VALUE!</v>
      </c>
      <c r="Y56" s="4"/>
      <c r="Z56" s="4"/>
      <c r="AA56" s="4"/>
    </row>
    <row r="57" spans="1:27" x14ac:dyDescent="0.25">
      <c r="A57" s="118" t="str">
        <f>+CUBICACION!D56</f>
        <v>ARRIOSTRAMINETO VERTICAL</v>
      </c>
      <c r="B57" s="819" t="str">
        <f>+CUBICACION!E56</f>
        <v>100X100X3</v>
      </c>
      <c r="C57" s="675" t="str">
        <f>+CUBICACION!F56</f>
        <v>CJ</v>
      </c>
      <c r="D57" s="118"/>
      <c r="E57" s="118"/>
      <c r="F57" s="820"/>
      <c r="G57" s="675">
        <f>+CUBICACION!J56</f>
        <v>4</v>
      </c>
      <c r="H57" s="118"/>
      <c r="I57" s="821" t="str">
        <f>+CUBICACION!L56</f>
        <v>F-60</v>
      </c>
      <c r="J57" s="64">
        <f>+CUBICACION!M56</f>
        <v>333</v>
      </c>
      <c r="K57" s="822">
        <f>+CUBICACION!N56</f>
        <v>11.52</v>
      </c>
      <c r="L57" s="118" t="str">
        <f>+CUBICACION!O56</f>
        <v>Fire Tex 5090</v>
      </c>
      <c r="M57" s="823" t="str">
        <f>+CUBICACION!P56</f>
        <v>Software Idiem</v>
      </c>
      <c r="N57" s="902">
        <f>ROUND(IF(AND(L57="Blaze Shield II",M57="Software Idiem",C57="IN",G57=4),((('BLAZE SHIELD II'!$D$4*('CALCULO MORTERO'!I57^2)+'BLAZE SHIELD II'!$D$5*'CALCULO MORTERO'!I57+'BLAZE SHIELD II'!$D$6)*LN(J57))+('BLAZE SHIELD II'!$D$7*('CALCULO MORTERO'!I57^2)+'BLAZE SHIELD II'!$D$8*'CALCULO MORTERO'!I57+'BLAZE SHIELD II'!$D$9)),0)+IF(AND(L57="Blaze Shield II",M57="Software Idiem",C57="Cj"),((('BLAZE SHIELD II'!$H$4*('CALCULO MORTERO'!I57^2)+'BLAZE SHIELD II'!$H$5*'CALCULO MORTERO'!I57+'BLAZE SHIELD II'!$H$6)*LN(J57))+('BLAZE SHIELD II'!$H$7*('CALCULO MORTERO'!I57^2)+'BLAZE SHIELD II'!$H$8*'CALCULO MORTERO'!I57+'BLAZE SHIELD II'!$H$9)),0)+IF(AND(L57="Blaze Shield II",M57="Software Idiem",C57="C"),((('BLAZE SHIELD II'!$L$4*('CALCULO MORTERO'!I57^2)+'BLAZE SHIELD II'!$L$5*'CALCULO MORTERO'!I57+'BLAZE SHIELD II'!$L$6)*LN(J57))+('BLAZE SHIELD II'!$L$7*('CALCULO MORTERO'!I57^2)+'BLAZE SHIELD II'!$L$8*'CALCULO MORTERO'!I57+'BLAZE SHIELD II'!$L$9)),0)+IF(AND(L57="Blaze Shield II",M57="Software Idiem",C57="L"),((('BLAZE SHIELD II'!$L$4*('CALCULO MORTERO'!I57^2)+'BLAZE SHIELD II'!$L$5*'CALCULO MORTERO'!I57+'BLAZE SHIELD II'!$L$6)*LN(J57))+('BLAZE SHIELD II'!$L$7*('CALCULO MORTERO'!I57^2)+'BLAZE SHIELD II'!$L$8*'CALCULO MORTERO'!I57+'BLAZE SHIELD II'!$L$9)),0)+IF(AND(L57="Blaze Shield II",M57="Software Idiem",C57="IN",G57=3),((('BLAZE SHIELD II'!$H$14*('CALCULO MORTERO'!I57^2)+'BLAZE SHIELD II'!$H$15*'CALCULO MORTERO'!I57+'BLAZE SHIELD II'!$H$16)*LN(J57))+('BLAZE SHIELD II'!$H$17*('CALCULO MORTERO'!I57^2)+'BLAZE SHIELD II'!$H$18*'CALCULO MORTERO'!I57+'BLAZE SHIELD II'!$H$19)),0),0)+ROUND(IF(AND(L57="Cafco 400",M57="Software Idiem",C57="IN",G57=4),((('CAFCO 400 '!$H$7*(J57^4)+'CAFCO 400 '!$H$8*(J57^3)+'CAFCO 400 '!$H$9*(J57^2)+'CAFCO 400 '!$H$10*J57+'CAFCO 400 '!$H$11)*U57^2)+(('CAFCO 400 '!$H$12*(J57^3)+'CAFCO 400 '!$H$13*(J57^2)+'CAFCO 400 '!$H$14*J57+'CAFCO 400 '!$H$15)*U57)+('CAFCO 400 '!$H$16*(J57^2)+'CAFCO 400 '!$H$17*J57+'CAFCO 400 '!$H$18)),0)+IF(AND(L57="Cafco 400",M57="Software Idiem",C57="Cj"),(((('CAFCO 400 '!$D$7*LN(J57)+'CAFCO 400 '!$D$8)*U57^2)+(('CAFCO 400 '!$D$9*LN(J57)+'CAFCO 400 '!$D$10)*U57)+('CAFCO 400 '!$D$11*LN(J57)+'CAFCO 400 '!$D$12))),0)+IF(AND(L57="Cafco 400",M57="Software Idiem",C57="C"),((('CAFCO 400 '!$L$7*(J57^3)+'CAFCO 400 '!$L$8*(J57^2)+'CAFCO 400 '!$L$9*J57+'CAFCO 400 '!$L$10)*U57^2)+(('CAFCO 400 '!$L$11*(J57^3)+'CAFCO 400 '!$L$12*(J57^2)+'CAFCO 400 '!$L$13*J57+'CAFCO 400 '!$L$14)*U57)+('CAFCO 400 '!$L$15*LN(J57)+'CAFCO 400 '!$L$16)),0)+IF(AND(L57="Cafco 400",M57="Software Idiem",C57="L"),((('CAFCO 400 '!$L$7*(J57^3)+'CAFCO 400 '!$L$8*(J57^2)+'CAFCO 400 '!$L$9*J57+'CAFCO 400 '!$L$10)*U57^2)+(('CAFCO 400 '!$L$11*(J57^3)+'CAFCO 400 '!$L$12*(J57^2)+'CAFCO 400 '!$L$13*J57+'CAFCO 400 '!$L$14)*U57)+('CAFCO 400 '!$L$15*LN(J57)+'CAFCO 400 '!$L$16)),0)+IF(AND(L57="Cafco 400",M57="Software Idiem",C57="IN",G57=3),((('CAFCO 400 '!$D$23*(J57^2)+'CAFCO 400 '!$D$24*(J57)+'CAFCO 400 '!$D$25)*U57^2)+(('CAFCO 400 '!$D$26*(J57^2)+'CAFCO 400 '!$D$27*J57+'CAFCO 400 '!$D$28)*U57)+('CAFCO 400 '!$D$29*(J57^2)+'CAFCO 400 '!$D$30*J57+'CAFCO 400 '!$D$31)),0),0)+IF(AND(L57="Cafco 300",J57&gt;=95,J57&lt;=240,C57="Cj",I57=90),VLOOKUP(T57,'CAFCO 300 IDIEM TABLAS'!$B$4:$D$23,2,FALSE),0)+IF(AND(L57="Cafco 300",J57&gt;=95,J57&lt;=240,C57="Cj",I57=120),VLOOKUP(T57,'CAFCO 300 IDIEM TABLAS'!$B$4:$D$23,3,FALSE),0)+IF(AND(L57="Cafco 300",J57&gt;=95,J57&lt;=400,G57=3,C57="IN",I57=90),VLOOKUP(T57,'CAFCO 300 IDIEM TABLAS'!$F$4:$H$35,2,FALSE),0)+IF(AND(L57="Cafco 300",J57&gt;=95,J57&lt;=400,G57=3,C57="IN",I57=120),VLOOKUP(T57,'CAFCO 300 IDIEM TABLAS'!$F$4:$H$35,3,FALSE),0)+IF(AND(L57="Cafco 300",J57&gt;=95,J57&lt;=450,G57=4,C57="IN",I57=90),VLOOKUP(T57,'CAFCO 300 IDIEM TABLAS'!$J$4:$L$40,2,FALSE),0)+IF(AND(L57="Cafco 300",J57&gt;=95,J57&lt;=450,G57=4,C57="IN",I57=120),VLOOKUP(T57,'CAFCO 300 IDIEM TABLAS'!$J$4:$L$40,3,FALSE),0)+IF(AND(M57="Ensayo Idiem",L57="Cafco 400",C57="IN",G57=4,I57=90),VLOOKUP(T57,'CAFCO 400 ENSAYO'!$B$7:$D$43,2,FALSE),0)+IF(AND(M57="Ensayo Idiem",L57="Cafco 400",C57="IN",G57=4,I57=120),VLOOKUP(T57,'CAFCO 400 ENSAYO'!$B$7:$D$43,3,FALSE),0)</f>
        <v>0</v>
      </c>
      <c r="O57" s="96">
        <f t="shared" si="1"/>
        <v>0</v>
      </c>
      <c r="P57" s="95" t="str">
        <f t="shared" si="2"/>
        <v>CERT.</v>
      </c>
      <c r="Q57" s="95" t="str">
        <f t="shared" si="3"/>
        <v>CERT.</v>
      </c>
      <c r="R57" s="95" t="str">
        <f t="shared" si="4"/>
        <v>NO CERT.</v>
      </c>
      <c r="S57" s="95" t="str">
        <f t="shared" si="0"/>
        <v>NO CERT.</v>
      </c>
      <c r="T57" s="119">
        <f>+IF(J57=LOOKUP(J57,'CAFCO 300 IDIEM TABLAS'!$J$4:$J$40),'CALCULO MORTERO'!J57,MROUND('CALCULO MORTERO'!J57,10))</f>
        <v>330</v>
      </c>
      <c r="U57" s="118" t="e">
        <f t="shared" si="5"/>
        <v>#VALUE!</v>
      </c>
      <c r="Y57" s="4"/>
      <c r="Z57" s="4"/>
      <c r="AA57" s="4"/>
    </row>
    <row r="58" spans="1:27" ht="15.6" customHeight="1" x14ac:dyDescent="0.25">
      <c r="A58" s="118" t="str">
        <f>+CUBICACION!D57</f>
        <v>PILAR</v>
      </c>
      <c r="B58" s="819" t="str">
        <f>+CUBICACION!E57</f>
        <v>100X100X3</v>
      </c>
      <c r="C58" s="675" t="str">
        <f>+CUBICACION!F57</f>
        <v>CJ</v>
      </c>
      <c r="D58" s="118"/>
      <c r="E58" s="118"/>
      <c r="F58" s="820"/>
      <c r="G58" s="675">
        <f>+CUBICACION!J57</f>
        <v>4</v>
      </c>
      <c r="H58" s="118"/>
      <c r="I58" s="821" t="str">
        <f>+CUBICACION!L57</f>
        <v>F-60</v>
      </c>
      <c r="J58" s="64">
        <f>+CUBICACION!M57</f>
        <v>333</v>
      </c>
      <c r="K58" s="822">
        <f>+CUBICACION!N57</f>
        <v>1.2</v>
      </c>
      <c r="L58" s="118" t="str">
        <f>+CUBICACION!O57</f>
        <v>Fire Tex 5090</v>
      </c>
      <c r="M58" s="823" t="str">
        <f>+CUBICACION!P57</f>
        <v>Software Idiem</v>
      </c>
      <c r="N58" s="902">
        <f>ROUND(IF(AND(L58="Blaze Shield II",M58="Software Idiem",C58="IN",G58=4),((('BLAZE SHIELD II'!$D$4*('CALCULO MORTERO'!I58^2)+'BLAZE SHIELD II'!$D$5*'CALCULO MORTERO'!I58+'BLAZE SHIELD II'!$D$6)*LN(J58))+('BLAZE SHIELD II'!$D$7*('CALCULO MORTERO'!I58^2)+'BLAZE SHIELD II'!$D$8*'CALCULO MORTERO'!I58+'BLAZE SHIELD II'!$D$9)),0)+IF(AND(L58="Blaze Shield II",M58="Software Idiem",C58="Cj"),((('BLAZE SHIELD II'!$H$4*('CALCULO MORTERO'!I58^2)+'BLAZE SHIELD II'!$H$5*'CALCULO MORTERO'!I58+'BLAZE SHIELD II'!$H$6)*LN(J58))+('BLAZE SHIELD II'!$H$7*('CALCULO MORTERO'!I58^2)+'BLAZE SHIELD II'!$H$8*'CALCULO MORTERO'!I58+'BLAZE SHIELD II'!$H$9)),0)+IF(AND(L58="Blaze Shield II",M58="Software Idiem",C58="C"),((('BLAZE SHIELD II'!$L$4*('CALCULO MORTERO'!I58^2)+'BLAZE SHIELD II'!$L$5*'CALCULO MORTERO'!I58+'BLAZE SHIELD II'!$L$6)*LN(J58))+('BLAZE SHIELD II'!$L$7*('CALCULO MORTERO'!I58^2)+'BLAZE SHIELD II'!$L$8*'CALCULO MORTERO'!I58+'BLAZE SHIELD II'!$L$9)),0)+IF(AND(L58="Blaze Shield II",M58="Software Idiem",C58="L"),((('BLAZE SHIELD II'!$L$4*('CALCULO MORTERO'!I58^2)+'BLAZE SHIELD II'!$L$5*'CALCULO MORTERO'!I58+'BLAZE SHIELD II'!$L$6)*LN(J58))+('BLAZE SHIELD II'!$L$7*('CALCULO MORTERO'!I58^2)+'BLAZE SHIELD II'!$L$8*'CALCULO MORTERO'!I58+'BLAZE SHIELD II'!$L$9)),0)+IF(AND(L58="Blaze Shield II",M58="Software Idiem",C58="IN",G58=3),((('BLAZE SHIELD II'!$H$14*('CALCULO MORTERO'!I58^2)+'BLAZE SHIELD II'!$H$15*'CALCULO MORTERO'!I58+'BLAZE SHIELD II'!$H$16)*LN(J58))+('BLAZE SHIELD II'!$H$17*('CALCULO MORTERO'!I58^2)+'BLAZE SHIELD II'!$H$18*'CALCULO MORTERO'!I58+'BLAZE SHIELD II'!$H$19)),0),0)+ROUND(IF(AND(L58="Cafco 400",M58="Software Idiem",C58="IN",G58=4),((('CAFCO 400 '!$H$7*(J58^4)+'CAFCO 400 '!$H$8*(J58^3)+'CAFCO 400 '!$H$9*(J58^2)+'CAFCO 400 '!$H$10*J58+'CAFCO 400 '!$H$11)*U58^2)+(('CAFCO 400 '!$H$12*(J58^3)+'CAFCO 400 '!$H$13*(J58^2)+'CAFCO 400 '!$H$14*J58+'CAFCO 400 '!$H$15)*U58)+('CAFCO 400 '!$H$16*(J58^2)+'CAFCO 400 '!$H$17*J58+'CAFCO 400 '!$H$18)),0)+IF(AND(L58="Cafco 400",M58="Software Idiem",C58="Cj"),(((('CAFCO 400 '!$D$7*LN(J58)+'CAFCO 400 '!$D$8)*U58^2)+(('CAFCO 400 '!$D$9*LN(J58)+'CAFCO 400 '!$D$10)*U58)+('CAFCO 400 '!$D$11*LN(J58)+'CAFCO 400 '!$D$12))),0)+IF(AND(L58="Cafco 400",M58="Software Idiem",C58="C"),((('CAFCO 400 '!$L$7*(J58^3)+'CAFCO 400 '!$L$8*(J58^2)+'CAFCO 400 '!$L$9*J58+'CAFCO 400 '!$L$10)*U58^2)+(('CAFCO 400 '!$L$11*(J58^3)+'CAFCO 400 '!$L$12*(J58^2)+'CAFCO 400 '!$L$13*J58+'CAFCO 400 '!$L$14)*U58)+('CAFCO 400 '!$L$15*LN(J58)+'CAFCO 400 '!$L$16)),0)+IF(AND(L58="Cafco 400",M58="Software Idiem",C58="L"),((('CAFCO 400 '!$L$7*(J58^3)+'CAFCO 400 '!$L$8*(J58^2)+'CAFCO 400 '!$L$9*J58+'CAFCO 400 '!$L$10)*U58^2)+(('CAFCO 400 '!$L$11*(J58^3)+'CAFCO 400 '!$L$12*(J58^2)+'CAFCO 400 '!$L$13*J58+'CAFCO 400 '!$L$14)*U58)+('CAFCO 400 '!$L$15*LN(J58)+'CAFCO 400 '!$L$16)),0)+IF(AND(L58="Cafco 400",M58="Software Idiem",C58="IN",G58=3),((('CAFCO 400 '!$D$23*(J58^2)+'CAFCO 400 '!$D$24*(J58)+'CAFCO 400 '!$D$25)*U58^2)+(('CAFCO 400 '!$D$26*(J58^2)+'CAFCO 400 '!$D$27*J58+'CAFCO 400 '!$D$28)*U58)+('CAFCO 400 '!$D$29*(J58^2)+'CAFCO 400 '!$D$30*J58+'CAFCO 400 '!$D$31)),0),0)+IF(AND(L58="Cafco 300",J58&gt;=95,J58&lt;=240,C58="Cj",I58=90),VLOOKUP(T58,'CAFCO 300 IDIEM TABLAS'!$B$4:$D$23,2,FALSE),0)+IF(AND(L58="Cafco 300",J58&gt;=95,J58&lt;=240,C58="Cj",I58=120),VLOOKUP(T58,'CAFCO 300 IDIEM TABLAS'!$B$4:$D$23,3,FALSE),0)+IF(AND(L58="Cafco 300",J58&gt;=95,J58&lt;=400,G58=3,C58="IN",I58=90),VLOOKUP(T58,'CAFCO 300 IDIEM TABLAS'!$F$4:$H$35,2,FALSE),0)+IF(AND(L58="Cafco 300",J58&gt;=95,J58&lt;=400,G58=3,C58="IN",I58=120),VLOOKUP(T58,'CAFCO 300 IDIEM TABLAS'!$F$4:$H$35,3,FALSE),0)+IF(AND(L58="Cafco 300",J58&gt;=95,J58&lt;=450,G58=4,C58="IN",I58=90),VLOOKUP(T58,'CAFCO 300 IDIEM TABLAS'!$J$4:$L$40,2,FALSE),0)+IF(AND(L58="Cafco 300",J58&gt;=95,J58&lt;=450,G58=4,C58="IN",I58=120),VLOOKUP(T58,'CAFCO 300 IDIEM TABLAS'!$J$4:$L$40,3,FALSE),0)+IF(AND(M58="Ensayo Idiem",L58="Cafco 400",C58="IN",G58=4,I58=90),VLOOKUP(T58,'CAFCO 400 ENSAYO'!$B$7:$D$43,2,FALSE),0)+IF(AND(M58="Ensayo Idiem",L58="Cafco 400",C58="IN",G58=4,I58=120),VLOOKUP(T58,'CAFCO 400 ENSAYO'!$B$7:$D$43,3,FALSE),0)</f>
        <v>0</v>
      </c>
      <c r="O58" s="96">
        <f t="shared" si="1"/>
        <v>0</v>
      </c>
      <c r="P58" s="95" t="str">
        <f t="shared" si="2"/>
        <v>CERT.</v>
      </c>
      <c r="Q58" s="95" t="str">
        <f t="shared" si="3"/>
        <v>CERT.</v>
      </c>
      <c r="R58" s="95" t="str">
        <f t="shared" si="4"/>
        <v>NO CERT.</v>
      </c>
      <c r="S58" s="95" t="str">
        <f t="shared" si="0"/>
        <v>NO CERT.</v>
      </c>
      <c r="T58" s="119">
        <f>+IF(J58=LOOKUP(J58,'CAFCO 300 IDIEM TABLAS'!$J$4:$J$40),'CALCULO MORTERO'!J58,MROUND('CALCULO MORTERO'!J58,10))</f>
        <v>330</v>
      </c>
      <c r="U58" s="118" t="e">
        <f t="shared" si="5"/>
        <v>#VALUE!</v>
      </c>
      <c r="Y58" s="4"/>
      <c r="Z58" s="4"/>
      <c r="AA58" s="4"/>
    </row>
    <row r="59" spans="1:27" x14ac:dyDescent="0.25">
      <c r="A59" s="118" t="str">
        <f>+CUBICACION!D58</f>
        <v>PILAR</v>
      </c>
      <c r="B59" s="819" t="str">
        <f>+CUBICACION!E58</f>
        <v>MM 400X200X4</v>
      </c>
      <c r="C59" s="675" t="str">
        <f>+CUBICACION!F58</f>
        <v>CJ</v>
      </c>
      <c r="D59" s="118"/>
      <c r="E59" s="118"/>
      <c r="F59" s="820"/>
      <c r="G59" s="675">
        <f>+CUBICACION!J58</f>
        <v>4</v>
      </c>
      <c r="H59" s="118"/>
      <c r="I59" s="821" t="str">
        <f>+CUBICACION!L58</f>
        <v>F-60</v>
      </c>
      <c r="J59" s="64">
        <f>+CUBICACION!M58</f>
        <v>236</v>
      </c>
      <c r="K59" s="822">
        <f>+CUBICACION!N58</f>
        <v>57.6</v>
      </c>
      <c r="L59" s="118" t="str">
        <f>+CUBICACION!O58</f>
        <v>Fire Tex 5090</v>
      </c>
      <c r="M59" s="823" t="str">
        <f>+CUBICACION!P58</f>
        <v>Software Idiem</v>
      </c>
      <c r="N59" s="902">
        <f>ROUND(IF(AND(L59="Blaze Shield II",M59="Software Idiem",C59="IN",G59=4),((('BLAZE SHIELD II'!$D$4*('CALCULO MORTERO'!I59^2)+'BLAZE SHIELD II'!$D$5*'CALCULO MORTERO'!I59+'BLAZE SHIELD II'!$D$6)*LN(J59))+('BLAZE SHIELD II'!$D$7*('CALCULO MORTERO'!I59^2)+'BLAZE SHIELD II'!$D$8*'CALCULO MORTERO'!I59+'BLAZE SHIELD II'!$D$9)),0)+IF(AND(L59="Blaze Shield II",M59="Software Idiem",C59="Cj"),((('BLAZE SHIELD II'!$H$4*('CALCULO MORTERO'!I59^2)+'BLAZE SHIELD II'!$H$5*'CALCULO MORTERO'!I59+'BLAZE SHIELD II'!$H$6)*LN(J59))+('BLAZE SHIELD II'!$H$7*('CALCULO MORTERO'!I59^2)+'BLAZE SHIELD II'!$H$8*'CALCULO MORTERO'!I59+'BLAZE SHIELD II'!$H$9)),0)+IF(AND(L59="Blaze Shield II",M59="Software Idiem",C59="C"),((('BLAZE SHIELD II'!$L$4*('CALCULO MORTERO'!I59^2)+'BLAZE SHIELD II'!$L$5*'CALCULO MORTERO'!I59+'BLAZE SHIELD II'!$L$6)*LN(J59))+('BLAZE SHIELD II'!$L$7*('CALCULO MORTERO'!I59^2)+'BLAZE SHIELD II'!$L$8*'CALCULO MORTERO'!I59+'BLAZE SHIELD II'!$L$9)),0)+IF(AND(L59="Blaze Shield II",M59="Software Idiem",C59="L"),((('BLAZE SHIELD II'!$L$4*('CALCULO MORTERO'!I59^2)+'BLAZE SHIELD II'!$L$5*'CALCULO MORTERO'!I59+'BLAZE SHIELD II'!$L$6)*LN(J59))+('BLAZE SHIELD II'!$L$7*('CALCULO MORTERO'!I59^2)+'BLAZE SHIELD II'!$L$8*'CALCULO MORTERO'!I59+'BLAZE SHIELD II'!$L$9)),0)+IF(AND(L59="Blaze Shield II",M59="Software Idiem",C59="IN",G59=3),((('BLAZE SHIELD II'!$H$14*('CALCULO MORTERO'!I59^2)+'BLAZE SHIELD II'!$H$15*'CALCULO MORTERO'!I59+'BLAZE SHIELD II'!$H$16)*LN(J59))+('BLAZE SHIELD II'!$H$17*('CALCULO MORTERO'!I59^2)+'BLAZE SHIELD II'!$H$18*'CALCULO MORTERO'!I59+'BLAZE SHIELD II'!$H$19)),0),0)+ROUND(IF(AND(L59="Cafco 400",M59="Software Idiem",C59="IN",G59=4),((('CAFCO 400 '!$H$7*(J59^4)+'CAFCO 400 '!$H$8*(J59^3)+'CAFCO 400 '!$H$9*(J59^2)+'CAFCO 400 '!$H$10*J59+'CAFCO 400 '!$H$11)*U59^2)+(('CAFCO 400 '!$H$12*(J59^3)+'CAFCO 400 '!$H$13*(J59^2)+'CAFCO 400 '!$H$14*J59+'CAFCO 400 '!$H$15)*U59)+('CAFCO 400 '!$H$16*(J59^2)+'CAFCO 400 '!$H$17*J59+'CAFCO 400 '!$H$18)),0)+IF(AND(L59="Cafco 400",M59="Software Idiem",C59="Cj"),(((('CAFCO 400 '!$D$7*LN(J59)+'CAFCO 400 '!$D$8)*U59^2)+(('CAFCO 400 '!$D$9*LN(J59)+'CAFCO 400 '!$D$10)*U59)+('CAFCO 400 '!$D$11*LN(J59)+'CAFCO 400 '!$D$12))),0)+IF(AND(L59="Cafco 400",M59="Software Idiem",C59="C"),((('CAFCO 400 '!$L$7*(J59^3)+'CAFCO 400 '!$L$8*(J59^2)+'CAFCO 400 '!$L$9*J59+'CAFCO 400 '!$L$10)*U59^2)+(('CAFCO 400 '!$L$11*(J59^3)+'CAFCO 400 '!$L$12*(J59^2)+'CAFCO 400 '!$L$13*J59+'CAFCO 400 '!$L$14)*U59)+('CAFCO 400 '!$L$15*LN(J59)+'CAFCO 400 '!$L$16)),0)+IF(AND(L59="Cafco 400",M59="Software Idiem",C59="L"),((('CAFCO 400 '!$L$7*(J59^3)+'CAFCO 400 '!$L$8*(J59^2)+'CAFCO 400 '!$L$9*J59+'CAFCO 400 '!$L$10)*U59^2)+(('CAFCO 400 '!$L$11*(J59^3)+'CAFCO 400 '!$L$12*(J59^2)+'CAFCO 400 '!$L$13*J59+'CAFCO 400 '!$L$14)*U59)+('CAFCO 400 '!$L$15*LN(J59)+'CAFCO 400 '!$L$16)),0)+IF(AND(L59="Cafco 400",M59="Software Idiem",C59="IN",G59=3),((('CAFCO 400 '!$D$23*(J59^2)+'CAFCO 400 '!$D$24*(J59)+'CAFCO 400 '!$D$25)*U59^2)+(('CAFCO 400 '!$D$26*(J59^2)+'CAFCO 400 '!$D$27*J59+'CAFCO 400 '!$D$28)*U59)+('CAFCO 400 '!$D$29*(J59^2)+'CAFCO 400 '!$D$30*J59+'CAFCO 400 '!$D$31)),0),0)+IF(AND(L59="Cafco 300",J59&gt;=95,J59&lt;=240,C59="Cj",I59=90),VLOOKUP(T59,'CAFCO 300 IDIEM TABLAS'!$B$4:$D$23,2,FALSE),0)+IF(AND(L59="Cafco 300",J59&gt;=95,J59&lt;=240,C59="Cj",I59=120),VLOOKUP(T59,'CAFCO 300 IDIEM TABLAS'!$B$4:$D$23,3,FALSE),0)+IF(AND(L59="Cafco 300",J59&gt;=95,J59&lt;=400,G59=3,C59="IN",I59=90),VLOOKUP(T59,'CAFCO 300 IDIEM TABLAS'!$F$4:$H$35,2,FALSE),0)+IF(AND(L59="Cafco 300",J59&gt;=95,J59&lt;=400,G59=3,C59="IN",I59=120),VLOOKUP(T59,'CAFCO 300 IDIEM TABLAS'!$F$4:$H$35,3,FALSE),0)+IF(AND(L59="Cafco 300",J59&gt;=95,J59&lt;=450,G59=4,C59="IN",I59=90),VLOOKUP(T59,'CAFCO 300 IDIEM TABLAS'!$J$4:$L$40,2,FALSE),0)+IF(AND(L59="Cafco 300",J59&gt;=95,J59&lt;=450,G59=4,C59="IN",I59=120),VLOOKUP(T59,'CAFCO 300 IDIEM TABLAS'!$J$4:$L$40,3,FALSE),0)+IF(AND(M59="Ensayo Idiem",L59="Cafco 400",C59="IN",G59=4,I59=90),VLOOKUP(T59,'CAFCO 400 ENSAYO'!$B$7:$D$43,2,FALSE),0)+IF(AND(M59="Ensayo Idiem",L59="Cafco 400",C59="IN",G59=4,I59=120),VLOOKUP(T59,'CAFCO 400 ENSAYO'!$B$7:$D$43,3,FALSE),0)</f>
        <v>0</v>
      </c>
      <c r="O59" s="96">
        <f t="shared" si="1"/>
        <v>0</v>
      </c>
      <c r="P59" s="95" t="str">
        <f t="shared" si="2"/>
        <v>CERT.</v>
      </c>
      <c r="Q59" s="95" t="str">
        <f t="shared" si="3"/>
        <v>CERT.</v>
      </c>
      <c r="R59" s="95" t="str">
        <f t="shared" si="4"/>
        <v>NO CERT.</v>
      </c>
      <c r="S59" s="95" t="str">
        <f t="shared" si="0"/>
        <v>NO CERT.</v>
      </c>
      <c r="T59" s="119">
        <f>+IF(J59=LOOKUP(J59,'CAFCO 300 IDIEM TABLAS'!$J$4:$J$40),'CALCULO MORTERO'!J59,MROUND('CALCULO MORTERO'!J59,10))</f>
        <v>240</v>
      </c>
      <c r="U59" s="118" t="e">
        <f t="shared" si="5"/>
        <v>#VALUE!</v>
      </c>
      <c r="Y59" s="4"/>
      <c r="Z59" s="4"/>
      <c r="AA59" s="4"/>
    </row>
    <row r="60" spans="1:27" ht="15.6" customHeight="1" x14ac:dyDescent="0.25">
      <c r="A60" s="118" t="str">
        <f>+CUBICACION!D59</f>
        <v>VIGA</v>
      </c>
      <c r="B60" s="819" t="str">
        <f>+CUBICACION!E59</f>
        <v>100X100X3</v>
      </c>
      <c r="C60" s="675" t="str">
        <f>+CUBICACION!F59</f>
        <v>CJ</v>
      </c>
      <c r="D60" s="118"/>
      <c r="E60" s="118"/>
      <c r="F60" s="820"/>
      <c r="G60" s="675">
        <f>+CUBICACION!J59</f>
        <v>4</v>
      </c>
      <c r="H60" s="118"/>
      <c r="I60" s="821" t="str">
        <f>+CUBICACION!L59</f>
        <v>F-60</v>
      </c>
      <c r="J60" s="64">
        <f>+CUBICACION!M59</f>
        <v>333</v>
      </c>
      <c r="K60" s="822">
        <f>+CUBICACION!N59</f>
        <v>11.683999999999999</v>
      </c>
      <c r="L60" s="118" t="str">
        <f>+CUBICACION!O59</f>
        <v>Fire Tex 5090</v>
      </c>
      <c r="M60" s="823" t="str">
        <f>+CUBICACION!P59</f>
        <v>Software Idiem</v>
      </c>
      <c r="N60" s="902">
        <f>ROUND(IF(AND(L60="Blaze Shield II",M60="Software Idiem",C60="IN",G60=4),((('BLAZE SHIELD II'!$D$4*('CALCULO MORTERO'!I60^2)+'BLAZE SHIELD II'!$D$5*'CALCULO MORTERO'!I60+'BLAZE SHIELD II'!$D$6)*LN(J60))+('BLAZE SHIELD II'!$D$7*('CALCULO MORTERO'!I60^2)+'BLAZE SHIELD II'!$D$8*'CALCULO MORTERO'!I60+'BLAZE SHIELD II'!$D$9)),0)+IF(AND(L60="Blaze Shield II",M60="Software Idiem",C60="Cj"),((('BLAZE SHIELD II'!$H$4*('CALCULO MORTERO'!I60^2)+'BLAZE SHIELD II'!$H$5*'CALCULO MORTERO'!I60+'BLAZE SHIELD II'!$H$6)*LN(J60))+('BLAZE SHIELD II'!$H$7*('CALCULO MORTERO'!I60^2)+'BLAZE SHIELD II'!$H$8*'CALCULO MORTERO'!I60+'BLAZE SHIELD II'!$H$9)),0)+IF(AND(L60="Blaze Shield II",M60="Software Idiem",C60="C"),((('BLAZE SHIELD II'!$L$4*('CALCULO MORTERO'!I60^2)+'BLAZE SHIELD II'!$L$5*'CALCULO MORTERO'!I60+'BLAZE SHIELD II'!$L$6)*LN(J60))+('BLAZE SHIELD II'!$L$7*('CALCULO MORTERO'!I60^2)+'BLAZE SHIELD II'!$L$8*'CALCULO MORTERO'!I60+'BLAZE SHIELD II'!$L$9)),0)+IF(AND(L60="Blaze Shield II",M60="Software Idiem",C60="L"),((('BLAZE SHIELD II'!$L$4*('CALCULO MORTERO'!I60^2)+'BLAZE SHIELD II'!$L$5*'CALCULO MORTERO'!I60+'BLAZE SHIELD II'!$L$6)*LN(J60))+('BLAZE SHIELD II'!$L$7*('CALCULO MORTERO'!I60^2)+'BLAZE SHIELD II'!$L$8*'CALCULO MORTERO'!I60+'BLAZE SHIELD II'!$L$9)),0)+IF(AND(L60="Blaze Shield II",M60="Software Idiem",C60="IN",G60=3),((('BLAZE SHIELD II'!$H$14*('CALCULO MORTERO'!I60^2)+'BLAZE SHIELD II'!$H$15*'CALCULO MORTERO'!I60+'BLAZE SHIELD II'!$H$16)*LN(J60))+('BLAZE SHIELD II'!$H$17*('CALCULO MORTERO'!I60^2)+'BLAZE SHIELD II'!$H$18*'CALCULO MORTERO'!I60+'BLAZE SHIELD II'!$H$19)),0),0)+ROUND(IF(AND(L60="Cafco 400",M60="Software Idiem",C60="IN",G60=4),((('CAFCO 400 '!$H$7*(J60^4)+'CAFCO 400 '!$H$8*(J60^3)+'CAFCO 400 '!$H$9*(J60^2)+'CAFCO 400 '!$H$10*J60+'CAFCO 400 '!$H$11)*U60^2)+(('CAFCO 400 '!$H$12*(J60^3)+'CAFCO 400 '!$H$13*(J60^2)+'CAFCO 400 '!$H$14*J60+'CAFCO 400 '!$H$15)*U60)+('CAFCO 400 '!$H$16*(J60^2)+'CAFCO 400 '!$H$17*J60+'CAFCO 400 '!$H$18)),0)+IF(AND(L60="Cafco 400",M60="Software Idiem",C60="Cj"),(((('CAFCO 400 '!$D$7*LN(J60)+'CAFCO 400 '!$D$8)*U60^2)+(('CAFCO 400 '!$D$9*LN(J60)+'CAFCO 400 '!$D$10)*U60)+('CAFCO 400 '!$D$11*LN(J60)+'CAFCO 400 '!$D$12))),0)+IF(AND(L60="Cafco 400",M60="Software Idiem",C60="C"),((('CAFCO 400 '!$L$7*(J60^3)+'CAFCO 400 '!$L$8*(J60^2)+'CAFCO 400 '!$L$9*J60+'CAFCO 400 '!$L$10)*U60^2)+(('CAFCO 400 '!$L$11*(J60^3)+'CAFCO 400 '!$L$12*(J60^2)+'CAFCO 400 '!$L$13*J60+'CAFCO 400 '!$L$14)*U60)+('CAFCO 400 '!$L$15*LN(J60)+'CAFCO 400 '!$L$16)),0)+IF(AND(L60="Cafco 400",M60="Software Idiem",C60="L"),((('CAFCO 400 '!$L$7*(J60^3)+'CAFCO 400 '!$L$8*(J60^2)+'CAFCO 400 '!$L$9*J60+'CAFCO 400 '!$L$10)*U60^2)+(('CAFCO 400 '!$L$11*(J60^3)+'CAFCO 400 '!$L$12*(J60^2)+'CAFCO 400 '!$L$13*J60+'CAFCO 400 '!$L$14)*U60)+('CAFCO 400 '!$L$15*LN(J60)+'CAFCO 400 '!$L$16)),0)+IF(AND(L60="Cafco 400",M60="Software Idiem",C60="IN",G60=3),((('CAFCO 400 '!$D$23*(J60^2)+'CAFCO 400 '!$D$24*(J60)+'CAFCO 400 '!$D$25)*U60^2)+(('CAFCO 400 '!$D$26*(J60^2)+'CAFCO 400 '!$D$27*J60+'CAFCO 400 '!$D$28)*U60)+('CAFCO 400 '!$D$29*(J60^2)+'CAFCO 400 '!$D$30*J60+'CAFCO 400 '!$D$31)),0),0)+IF(AND(L60="Cafco 300",J60&gt;=95,J60&lt;=240,C60="Cj",I60=90),VLOOKUP(T60,'CAFCO 300 IDIEM TABLAS'!$B$4:$D$23,2,FALSE),0)+IF(AND(L60="Cafco 300",J60&gt;=95,J60&lt;=240,C60="Cj",I60=120),VLOOKUP(T60,'CAFCO 300 IDIEM TABLAS'!$B$4:$D$23,3,FALSE),0)+IF(AND(L60="Cafco 300",J60&gt;=95,J60&lt;=400,G60=3,C60="IN",I60=90),VLOOKUP(T60,'CAFCO 300 IDIEM TABLAS'!$F$4:$H$35,2,FALSE),0)+IF(AND(L60="Cafco 300",J60&gt;=95,J60&lt;=400,G60=3,C60="IN",I60=120),VLOOKUP(T60,'CAFCO 300 IDIEM TABLAS'!$F$4:$H$35,3,FALSE),0)+IF(AND(L60="Cafco 300",J60&gt;=95,J60&lt;=450,G60=4,C60="IN",I60=90),VLOOKUP(T60,'CAFCO 300 IDIEM TABLAS'!$J$4:$L$40,2,FALSE),0)+IF(AND(L60="Cafco 300",J60&gt;=95,J60&lt;=450,G60=4,C60="IN",I60=120),VLOOKUP(T60,'CAFCO 300 IDIEM TABLAS'!$J$4:$L$40,3,FALSE),0)+IF(AND(M60="Ensayo Idiem",L60="Cafco 400",C60="IN",G60=4,I60=90),VLOOKUP(T60,'CAFCO 400 ENSAYO'!$B$7:$D$43,2,FALSE),0)+IF(AND(M60="Ensayo Idiem",L60="Cafco 400",C60="IN",G60=4,I60=120),VLOOKUP(T60,'CAFCO 400 ENSAYO'!$B$7:$D$43,3,FALSE),0)</f>
        <v>0</v>
      </c>
      <c r="O60" s="96">
        <f t="shared" si="1"/>
        <v>0</v>
      </c>
      <c r="P60" s="95" t="str">
        <f t="shared" si="2"/>
        <v>CERT.</v>
      </c>
      <c r="Q60" s="95" t="str">
        <f t="shared" si="3"/>
        <v>CERT.</v>
      </c>
      <c r="R60" s="95" t="str">
        <f t="shared" si="4"/>
        <v>NO CERT.</v>
      </c>
      <c r="S60" s="95" t="str">
        <f t="shared" si="0"/>
        <v>NO CERT.</v>
      </c>
      <c r="T60" s="119">
        <f>+IF(J60=LOOKUP(J60,'CAFCO 300 IDIEM TABLAS'!$J$4:$J$40),'CALCULO MORTERO'!J60,MROUND('CALCULO MORTERO'!J60,10))</f>
        <v>330</v>
      </c>
      <c r="U60" s="118" t="e">
        <f t="shared" si="5"/>
        <v>#VALUE!</v>
      </c>
      <c r="Y60" s="4"/>
      <c r="Z60" s="4"/>
      <c r="AA60" s="4"/>
    </row>
    <row r="61" spans="1:27" x14ac:dyDescent="0.25">
      <c r="A61" s="118" t="str">
        <f>+CUBICACION!D60</f>
        <v>VIGA BAJO LOSA</v>
      </c>
      <c r="B61" s="819" t="str">
        <f>+CUBICACION!E60</f>
        <v>200X100X8,5X5,6</v>
      </c>
      <c r="C61" s="675" t="str">
        <f>+CUBICACION!F60</f>
        <v>CJ</v>
      </c>
      <c r="D61" s="118"/>
      <c r="E61" s="118"/>
      <c r="F61" s="820"/>
      <c r="G61" s="675">
        <f>+CUBICACION!J60</f>
        <v>3</v>
      </c>
      <c r="H61" s="118"/>
      <c r="I61" s="821">
        <f>+CUBICACION!L60</f>
        <v>60</v>
      </c>
      <c r="J61" s="64">
        <f>+CUBICACION!M60</f>
        <v>265</v>
      </c>
      <c r="K61" s="822">
        <f>+CUBICACION!N60</f>
        <v>21.118829999999999</v>
      </c>
      <c r="L61" s="118" t="str">
        <f>+CUBICACION!O60</f>
        <v>Blaze Shield II</v>
      </c>
      <c r="M61" s="823" t="str">
        <f>+CUBICACION!P60</f>
        <v>Software Idiem</v>
      </c>
      <c r="N61" s="902">
        <f>ROUND(IF(AND(L61="Blaze Shield II",M61="Software Idiem",C61="IN",G61=4),((('BLAZE SHIELD II'!$D$4*('CALCULO MORTERO'!I61^2)+'BLAZE SHIELD II'!$D$5*'CALCULO MORTERO'!I61+'BLAZE SHIELD II'!$D$6)*LN(J61))+('BLAZE SHIELD II'!$D$7*('CALCULO MORTERO'!I61^2)+'BLAZE SHIELD II'!$D$8*'CALCULO MORTERO'!I61+'BLAZE SHIELD II'!$D$9)),0)+IF(AND(L61="Blaze Shield II",M61="Software Idiem",C61="Cj"),((('BLAZE SHIELD II'!$H$4*('CALCULO MORTERO'!I61^2)+'BLAZE SHIELD II'!$H$5*'CALCULO MORTERO'!I61+'BLAZE SHIELD II'!$H$6)*LN(J61))+('BLAZE SHIELD II'!$H$7*('CALCULO MORTERO'!I61^2)+'BLAZE SHIELD II'!$H$8*'CALCULO MORTERO'!I61+'BLAZE SHIELD II'!$H$9)),0)+IF(AND(L61="Blaze Shield II",M61="Software Idiem",C61="C"),((('BLAZE SHIELD II'!$L$4*('CALCULO MORTERO'!I61^2)+'BLAZE SHIELD II'!$L$5*'CALCULO MORTERO'!I61+'BLAZE SHIELD II'!$L$6)*LN(J61))+('BLAZE SHIELD II'!$L$7*('CALCULO MORTERO'!I61^2)+'BLAZE SHIELD II'!$L$8*'CALCULO MORTERO'!I61+'BLAZE SHIELD II'!$L$9)),0)+IF(AND(L61="Blaze Shield II",M61="Software Idiem",C61="L"),((('BLAZE SHIELD II'!$L$4*('CALCULO MORTERO'!I61^2)+'BLAZE SHIELD II'!$L$5*'CALCULO MORTERO'!I61+'BLAZE SHIELD II'!$L$6)*LN(J61))+('BLAZE SHIELD II'!$L$7*('CALCULO MORTERO'!I61^2)+'BLAZE SHIELD II'!$L$8*'CALCULO MORTERO'!I61+'BLAZE SHIELD II'!$L$9)),0)+IF(AND(L61="Blaze Shield II",M61="Software Idiem",C61="IN",G61=3),((('BLAZE SHIELD II'!$H$14*('CALCULO MORTERO'!I61^2)+'BLAZE SHIELD II'!$H$15*'CALCULO MORTERO'!I61+'BLAZE SHIELD II'!$H$16)*LN(J61))+('BLAZE SHIELD II'!$H$17*('CALCULO MORTERO'!I61^2)+'BLAZE SHIELD II'!$H$18*'CALCULO MORTERO'!I61+'BLAZE SHIELD II'!$H$19)),0),0)+ROUND(IF(AND(L61="Cafco 400",M61="Software Idiem",C61="IN",G61=4),((('CAFCO 400 '!$H$7*(J61^4)+'CAFCO 400 '!$H$8*(J61^3)+'CAFCO 400 '!$H$9*(J61^2)+'CAFCO 400 '!$H$10*J61+'CAFCO 400 '!$H$11)*U61^2)+(('CAFCO 400 '!$H$12*(J61^3)+'CAFCO 400 '!$H$13*(J61^2)+'CAFCO 400 '!$H$14*J61+'CAFCO 400 '!$H$15)*U61)+('CAFCO 400 '!$H$16*(J61^2)+'CAFCO 400 '!$H$17*J61+'CAFCO 400 '!$H$18)),0)+IF(AND(L61="Cafco 400",M61="Software Idiem",C61="Cj"),(((('CAFCO 400 '!$D$7*LN(J61)+'CAFCO 400 '!$D$8)*U61^2)+(('CAFCO 400 '!$D$9*LN(J61)+'CAFCO 400 '!$D$10)*U61)+('CAFCO 400 '!$D$11*LN(J61)+'CAFCO 400 '!$D$12))),0)+IF(AND(L61="Cafco 400",M61="Software Idiem",C61="C"),((('CAFCO 400 '!$L$7*(J61^3)+'CAFCO 400 '!$L$8*(J61^2)+'CAFCO 400 '!$L$9*J61+'CAFCO 400 '!$L$10)*U61^2)+(('CAFCO 400 '!$L$11*(J61^3)+'CAFCO 400 '!$L$12*(J61^2)+'CAFCO 400 '!$L$13*J61+'CAFCO 400 '!$L$14)*U61)+('CAFCO 400 '!$L$15*LN(J61)+'CAFCO 400 '!$L$16)),0)+IF(AND(L61="Cafco 400",M61="Software Idiem",C61="L"),((('CAFCO 400 '!$L$7*(J61^3)+'CAFCO 400 '!$L$8*(J61^2)+'CAFCO 400 '!$L$9*J61+'CAFCO 400 '!$L$10)*U61^2)+(('CAFCO 400 '!$L$11*(J61^3)+'CAFCO 400 '!$L$12*(J61^2)+'CAFCO 400 '!$L$13*J61+'CAFCO 400 '!$L$14)*U61)+('CAFCO 400 '!$L$15*LN(J61)+'CAFCO 400 '!$L$16)),0)+IF(AND(L61="Cafco 400",M61="Software Idiem",C61="IN",G61=3),((('CAFCO 400 '!$D$23*(J61^2)+'CAFCO 400 '!$D$24*(J61)+'CAFCO 400 '!$D$25)*U61^2)+(('CAFCO 400 '!$D$26*(J61^2)+'CAFCO 400 '!$D$27*J61+'CAFCO 400 '!$D$28)*U61)+('CAFCO 400 '!$D$29*(J61^2)+'CAFCO 400 '!$D$30*J61+'CAFCO 400 '!$D$31)),0),0)+IF(AND(L61="Cafco 300",J61&gt;=95,J61&lt;=240,C61="Cj",I61=90),VLOOKUP(T61,'CAFCO 300 IDIEM TABLAS'!$B$4:$D$23,2,FALSE),0)+IF(AND(L61="Cafco 300",J61&gt;=95,J61&lt;=240,C61="Cj",I61=120),VLOOKUP(T61,'CAFCO 300 IDIEM TABLAS'!$B$4:$D$23,3,FALSE),0)+IF(AND(L61="Cafco 300",J61&gt;=95,J61&lt;=400,G61=3,C61="IN",I61=90),VLOOKUP(T61,'CAFCO 300 IDIEM TABLAS'!$F$4:$H$35,2,FALSE),0)+IF(AND(L61="Cafco 300",J61&gt;=95,J61&lt;=400,G61=3,C61="IN",I61=120),VLOOKUP(T61,'CAFCO 300 IDIEM TABLAS'!$F$4:$H$35,3,FALSE),0)+IF(AND(L61="Cafco 300",J61&gt;=95,J61&lt;=450,G61=4,C61="IN",I61=90),VLOOKUP(T61,'CAFCO 300 IDIEM TABLAS'!$J$4:$L$40,2,FALSE),0)+IF(AND(L61="Cafco 300",J61&gt;=95,J61&lt;=450,G61=4,C61="IN",I61=120),VLOOKUP(T61,'CAFCO 300 IDIEM TABLAS'!$J$4:$L$40,3,FALSE),0)+IF(AND(M61="Ensayo Idiem",L61="Cafco 400",C61="IN",G61=4,I61=90),VLOOKUP(T61,'CAFCO 400 ENSAYO'!$B$7:$D$43,2,FALSE),0)+IF(AND(M61="Ensayo Idiem",L61="Cafco 400",C61="IN",G61=4,I61=120),VLOOKUP(T61,'CAFCO 400 ENSAYO'!$B$7:$D$43,3,FALSE),0)</f>
        <v>35</v>
      </c>
      <c r="O61" s="96">
        <f t="shared" si="1"/>
        <v>8.3641681973684214</v>
      </c>
      <c r="P61" s="95" t="str">
        <f t="shared" si="2"/>
        <v>CERT.</v>
      </c>
      <c r="Q61" s="95" t="str">
        <f t="shared" si="3"/>
        <v>CERT.</v>
      </c>
      <c r="R61" s="95" t="str">
        <f t="shared" si="4"/>
        <v>NO CERT.</v>
      </c>
      <c r="S61" s="95" t="str">
        <f t="shared" si="0"/>
        <v>NO CERT.</v>
      </c>
      <c r="T61" s="119">
        <f>+IF(J61=LOOKUP(J61,'CAFCO 300 IDIEM TABLAS'!$J$4:$J$40),'CALCULO MORTERO'!J61,MROUND('CALCULO MORTERO'!J61,10))</f>
        <v>270</v>
      </c>
      <c r="U61" s="118">
        <f t="shared" si="5"/>
        <v>3600</v>
      </c>
      <c r="Y61" s="4"/>
      <c r="Z61" s="4"/>
      <c r="AA61" s="4"/>
    </row>
    <row r="62" spans="1:27" ht="15.6" customHeight="1" x14ac:dyDescent="0.25">
      <c r="A62" s="118" t="str">
        <f>+CUBICACION!D61</f>
        <v>PILAR</v>
      </c>
      <c r="B62" s="819" t="str">
        <f>+CUBICACION!E61</f>
        <v>150X150X5</v>
      </c>
      <c r="C62" s="675" t="str">
        <f>+CUBICACION!F61</f>
        <v>CJ</v>
      </c>
      <c r="D62" s="118"/>
      <c r="E62" s="118"/>
      <c r="F62" s="820"/>
      <c r="G62" s="675">
        <f>+CUBICACION!J61</f>
        <v>4</v>
      </c>
      <c r="H62" s="118"/>
      <c r="I62" s="821" t="str">
        <f>+CUBICACION!L61</f>
        <v>F-60</v>
      </c>
      <c r="J62" s="64">
        <f>+CUBICACION!M61</f>
        <v>200</v>
      </c>
      <c r="K62" s="822">
        <f>+CUBICACION!N61</f>
        <v>4.8</v>
      </c>
      <c r="L62" s="118" t="str">
        <f>+CUBICACION!O61</f>
        <v>Fire Tex 5090</v>
      </c>
      <c r="M62" s="823" t="str">
        <f>+CUBICACION!P61</f>
        <v>Software Idiem</v>
      </c>
      <c r="N62" s="902">
        <f>ROUND(IF(AND(L62="Blaze Shield II",M62="Software Idiem",C62="IN",G62=4),((('BLAZE SHIELD II'!$D$4*('CALCULO MORTERO'!I62^2)+'BLAZE SHIELD II'!$D$5*'CALCULO MORTERO'!I62+'BLAZE SHIELD II'!$D$6)*LN(J62))+('BLAZE SHIELD II'!$D$7*('CALCULO MORTERO'!I62^2)+'BLAZE SHIELD II'!$D$8*'CALCULO MORTERO'!I62+'BLAZE SHIELD II'!$D$9)),0)+IF(AND(L62="Blaze Shield II",M62="Software Idiem",C62="Cj"),((('BLAZE SHIELD II'!$H$4*('CALCULO MORTERO'!I62^2)+'BLAZE SHIELD II'!$H$5*'CALCULO MORTERO'!I62+'BLAZE SHIELD II'!$H$6)*LN(J62))+('BLAZE SHIELD II'!$H$7*('CALCULO MORTERO'!I62^2)+'BLAZE SHIELD II'!$H$8*'CALCULO MORTERO'!I62+'BLAZE SHIELD II'!$H$9)),0)+IF(AND(L62="Blaze Shield II",M62="Software Idiem",C62="C"),((('BLAZE SHIELD II'!$L$4*('CALCULO MORTERO'!I62^2)+'BLAZE SHIELD II'!$L$5*'CALCULO MORTERO'!I62+'BLAZE SHIELD II'!$L$6)*LN(J62))+('BLAZE SHIELD II'!$L$7*('CALCULO MORTERO'!I62^2)+'BLAZE SHIELD II'!$L$8*'CALCULO MORTERO'!I62+'BLAZE SHIELD II'!$L$9)),0)+IF(AND(L62="Blaze Shield II",M62="Software Idiem",C62="L"),((('BLAZE SHIELD II'!$L$4*('CALCULO MORTERO'!I62^2)+'BLAZE SHIELD II'!$L$5*'CALCULO MORTERO'!I62+'BLAZE SHIELD II'!$L$6)*LN(J62))+('BLAZE SHIELD II'!$L$7*('CALCULO MORTERO'!I62^2)+'BLAZE SHIELD II'!$L$8*'CALCULO MORTERO'!I62+'BLAZE SHIELD II'!$L$9)),0)+IF(AND(L62="Blaze Shield II",M62="Software Idiem",C62="IN",G62=3),((('BLAZE SHIELD II'!$H$14*('CALCULO MORTERO'!I62^2)+'BLAZE SHIELD II'!$H$15*'CALCULO MORTERO'!I62+'BLAZE SHIELD II'!$H$16)*LN(J62))+('BLAZE SHIELD II'!$H$17*('CALCULO MORTERO'!I62^2)+'BLAZE SHIELD II'!$H$18*'CALCULO MORTERO'!I62+'BLAZE SHIELD II'!$H$19)),0),0)+ROUND(IF(AND(L62="Cafco 400",M62="Software Idiem",C62="IN",G62=4),((('CAFCO 400 '!$H$7*(J62^4)+'CAFCO 400 '!$H$8*(J62^3)+'CAFCO 400 '!$H$9*(J62^2)+'CAFCO 400 '!$H$10*J62+'CAFCO 400 '!$H$11)*U62^2)+(('CAFCO 400 '!$H$12*(J62^3)+'CAFCO 400 '!$H$13*(J62^2)+'CAFCO 400 '!$H$14*J62+'CAFCO 400 '!$H$15)*U62)+('CAFCO 400 '!$H$16*(J62^2)+'CAFCO 400 '!$H$17*J62+'CAFCO 400 '!$H$18)),0)+IF(AND(L62="Cafco 400",M62="Software Idiem",C62="Cj"),(((('CAFCO 400 '!$D$7*LN(J62)+'CAFCO 400 '!$D$8)*U62^2)+(('CAFCO 400 '!$D$9*LN(J62)+'CAFCO 400 '!$D$10)*U62)+('CAFCO 400 '!$D$11*LN(J62)+'CAFCO 400 '!$D$12))),0)+IF(AND(L62="Cafco 400",M62="Software Idiem",C62="C"),((('CAFCO 400 '!$L$7*(J62^3)+'CAFCO 400 '!$L$8*(J62^2)+'CAFCO 400 '!$L$9*J62+'CAFCO 400 '!$L$10)*U62^2)+(('CAFCO 400 '!$L$11*(J62^3)+'CAFCO 400 '!$L$12*(J62^2)+'CAFCO 400 '!$L$13*J62+'CAFCO 400 '!$L$14)*U62)+('CAFCO 400 '!$L$15*LN(J62)+'CAFCO 400 '!$L$16)),0)+IF(AND(L62="Cafco 400",M62="Software Idiem",C62="L"),((('CAFCO 400 '!$L$7*(J62^3)+'CAFCO 400 '!$L$8*(J62^2)+'CAFCO 400 '!$L$9*J62+'CAFCO 400 '!$L$10)*U62^2)+(('CAFCO 400 '!$L$11*(J62^3)+'CAFCO 400 '!$L$12*(J62^2)+'CAFCO 400 '!$L$13*J62+'CAFCO 400 '!$L$14)*U62)+('CAFCO 400 '!$L$15*LN(J62)+'CAFCO 400 '!$L$16)),0)+IF(AND(L62="Cafco 400",M62="Software Idiem",C62="IN",G62=3),((('CAFCO 400 '!$D$23*(J62^2)+'CAFCO 400 '!$D$24*(J62)+'CAFCO 400 '!$D$25)*U62^2)+(('CAFCO 400 '!$D$26*(J62^2)+'CAFCO 400 '!$D$27*J62+'CAFCO 400 '!$D$28)*U62)+('CAFCO 400 '!$D$29*(J62^2)+'CAFCO 400 '!$D$30*J62+'CAFCO 400 '!$D$31)),0),0)+IF(AND(L62="Cafco 300",J62&gt;=95,J62&lt;=240,C62="Cj",I62=90),VLOOKUP(T62,'CAFCO 300 IDIEM TABLAS'!$B$4:$D$23,2,FALSE),0)+IF(AND(L62="Cafco 300",J62&gt;=95,J62&lt;=240,C62="Cj",I62=120),VLOOKUP(T62,'CAFCO 300 IDIEM TABLAS'!$B$4:$D$23,3,FALSE),0)+IF(AND(L62="Cafco 300",J62&gt;=95,J62&lt;=400,G62=3,C62="IN",I62=90),VLOOKUP(T62,'CAFCO 300 IDIEM TABLAS'!$F$4:$H$35,2,FALSE),0)+IF(AND(L62="Cafco 300",J62&gt;=95,J62&lt;=400,G62=3,C62="IN",I62=120),VLOOKUP(T62,'CAFCO 300 IDIEM TABLAS'!$F$4:$H$35,3,FALSE),0)+IF(AND(L62="Cafco 300",J62&gt;=95,J62&lt;=450,G62=4,C62="IN",I62=90),VLOOKUP(T62,'CAFCO 300 IDIEM TABLAS'!$J$4:$L$40,2,FALSE),0)+IF(AND(L62="Cafco 300",J62&gt;=95,J62&lt;=450,G62=4,C62="IN",I62=120),VLOOKUP(T62,'CAFCO 300 IDIEM TABLAS'!$J$4:$L$40,3,FALSE),0)+IF(AND(M62="Ensayo Idiem",L62="Cafco 400",C62="IN",G62=4,I62=90),VLOOKUP(T62,'CAFCO 400 ENSAYO'!$B$7:$D$43,2,FALSE),0)+IF(AND(M62="Ensayo Idiem",L62="Cafco 400",C62="IN",G62=4,I62=120),VLOOKUP(T62,'CAFCO 400 ENSAYO'!$B$7:$D$43,3,FALSE),0)</f>
        <v>0</v>
      </c>
      <c r="O62" s="96">
        <f t="shared" si="1"/>
        <v>0</v>
      </c>
      <c r="P62" s="95" t="str">
        <f t="shared" si="2"/>
        <v>CERT.</v>
      </c>
      <c r="Q62" s="95" t="str">
        <f t="shared" si="3"/>
        <v>CERT.</v>
      </c>
      <c r="R62" s="95" t="str">
        <f t="shared" si="4"/>
        <v>NO CERT.</v>
      </c>
      <c r="S62" s="95" t="str">
        <f t="shared" si="0"/>
        <v>NO CERT.</v>
      </c>
      <c r="T62" s="119">
        <f>+IF(J62=LOOKUP(J62,'CAFCO 300 IDIEM TABLAS'!$J$4:$J$40),'CALCULO MORTERO'!J62,MROUND('CALCULO MORTERO'!J62,10))</f>
        <v>200</v>
      </c>
      <c r="U62" s="118" t="e">
        <f t="shared" si="5"/>
        <v>#VALUE!</v>
      </c>
      <c r="Y62" s="4"/>
      <c r="Z62" s="4"/>
      <c r="AA62" s="4"/>
    </row>
    <row r="63" spans="1:27" x14ac:dyDescent="0.25">
      <c r="A63" s="118" t="str">
        <f>+CUBICACION!D62</f>
        <v>ARRIOSTRAMINETO VERTICAL</v>
      </c>
      <c r="B63" s="819" t="str">
        <f>+CUBICACION!E62</f>
        <v>100X100X3</v>
      </c>
      <c r="C63" s="675" t="str">
        <f>+CUBICACION!F62</f>
        <v>CJ</v>
      </c>
      <c r="D63" s="118"/>
      <c r="E63" s="118"/>
      <c r="F63" s="820"/>
      <c r="G63" s="675">
        <f>+CUBICACION!J62</f>
        <v>4</v>
      </c>
      <c r="H63" s="118"/>
      <c r="I63" s="821" t="str">
        <f>+CUBICACION!L62</f>
        <v>F-60</v>
      </c>
      <c r="J63" s="64">
        <f>+CUBICACION!M62</f>
        <v>333</v>
      </c>
      <c r="K63" s="822">
        <f>+CUBICACION!N62</f>
        <v>11.52</v>
      </c>
      <c r="L63" s="118" t="str">
        <f>+CUBICACION!O62</f>
        <v>Fire Tex 5090</v>
      </c>
      <c r="M63" s="823" t="str">
        <f>+CUBICACION!P62</f>
        <v>Software Idiem</v>
      </c>
      <c r="N63" s="902">
        <f>ROUND(IF(AND(L63="Blaze Shield II",M63="Software Idiem",C63="IN",G63=4),((('BLAZE SHIELD II'!$D$4*('CALCULO MORTERO'!I63^2)+'BLAZE SHIELD II'!$D$5*'CALCULO MORTERO'!I63+'BLAZE SHIELD II'!$D$6)*LN(J63))+('BLAZE SHIELD II'!$D$7*('CALCULO MORTERO'!I63^2)+'BLAZE SHIELD II'!$D$8*'CALCULO MORTERO'!I63+'BLAZE SHIELD II'!$D$9)),0)+IF(AND(L63="Blaze Shield II",M63="Software Idiem",C63="Cj"),((('BLAZE SHIELD II'!$H$4*('CALCULO MORTERO'!I63^2)+'BLAZE SHIELD II'!$H$5*'CALCULO MORTERO'!I63+'BLAZE SHIELD II'!$H$6)*LN(J63))+('BLAZE SHIELD II'!$H$7*('CALCULO MORTERO'!I63^2)+'BLAZE SHIELD II'!$H$8*'CALCULO MORTERO'!I63+'BLAZE SHIELD II'!$H$9)),0)+IF(AND(L63="Blaze Shield II",M63="Software Idiem",C63="C"),((('BLAZE SHIELD II'!$L$4*('CALCULO MORTERO'!I63^2)+'BLAZE SHIELD II'!$L$5*'CALCULO MORTERO'!I63+'BLAZE SHIELD II'!$L$6)*LN(J63))+('BLAZE SHIELD II'!$L$7*('CALCULO MORTERO'!I63^2)+'BLAZE SHIELD II'!$L$8*'CALCULO MORTERO'!I63+'BLAZE SHIELD II'!$L$9)),0)+IF(AND(L63="Blaze Shield II",M63="Software Idiem",C63="L"),((('BLAZE SHIELD II'!$L$4*('CALCULO MORTERO'!I63^2)+'BLAZE SHIELD II'!$L$5*'CALCULO MORTERO'!I63+'BLAZE SHIELD II'!$L$6)*LN(J63))+('BLAZE SHIELD II'!$L$7*('CALCULO MORTERO'!I63^2)+'BLAZE SHIELD II'!$L$8*'CALCULO MORTERO'!I63+'BLAZE SHIELD II'!$L$9)),0)+IF(AND(L63="Blaze Shield II",M63="Software Idiem",C63="IN",G63=3),((('BLAZE SHIELD II'!$H$14*('CALCULO MORTERO'!I63^2)+'BLAZE SHIELD II'!$H$15*'CALCULO MORTERO'!I63+'BLAZE SHIELD II'!$H$16)*LN(J63))+('BLAZE SHIELD II'!$H$17*('CALCULO MORTERO'!I63^2)+'BLAZE SHIELD II'!$H$18*'CALCULO MORTERO'!I63+'BLAZE SHIELD II'!$H$19)),0),0)+ROUND(IF(AND(L63="Cafco 400",M63="Software Idiem",C63="IN",G63=4),((('CAFCO 400 '!$H$7*(J63^4)+'CAFCO 400 '!$H$8*(J63^3)+'CAFCO 400 '!$H$9*(J63^2)+'CAFCO 400 '!$H$10*J63+'CAFCO 400 '!$H$11)*U63^2)+(('CAFCO 400 '!$H$12*(J63^3)+'CAFCO 400 '!$H$13*(J63^2)+'CAFCO 400 '!$H$14*J63+'CAFCO 400 '!$H$15)*U63)+('CAFCO 400 '!$H$16*(J63^2)+'CAFCO 400 '!$H$17*J63+'CAFCO 400 '!$H$18)),0)+IF(AND(L63="Cafco 400",M63="Software Idiem",C63="Cj"),(((('CAFCO 400 '!$D$7*LN(J63)+'CAFCO 400 '!$D$8)*U63^2)+(('CAFCO 400 '!$D$9*LN(J63)+'CAFCO 400 '!$D$10)*U63)+('CAFCO 400 '!$D$11*LN(J63)+'CAFCO 400 '!$D$12))),0)+IF(AND(L63="Cafco 400",M63="Software Idiem",C63="C"),((('CAFCO 400 '!$L$7*(J63^3)+'CAFCO 400 '!$L$8*(J63^2)+'CAFCO 400 '!$L$9*J63+'CAFCO 400 '!$L$10)*U63^2)+(('CAFCO 400 '!$L$11*(J63^3)+'CAFCO 400 '!$L$12*(J63^2)+'CAFCO 400 '!$L$13*J63+'CAFCO 400 '!$L$14)*U63)+('CAFCO 400 '!$L$15*LN(J63)+'CAFCO 400 '!$L$16)),0)+IF(AND(L63="Cafco 400",M63="Software Idiem",C63="L"),((('CAFCO 400 '!$L$7*(J63^3)+'CAFCO 400 '!$L$8*(J63^2)+'CAFCO 400 '!$L$9*J63+'CAFCO 400 '!$L$10)*U63^2)+(('CAFCO 400 '!$L$11*(J63^3)+'CAFCO 400 '!$L$12*(J63^2)+'CAFCO 400 '!$L$13*J63+'CAFCO 400 '!$L$14)*U63)+('CAFCO 400 '!$L$15*LN(J63)+'CAFCO 400 '!$L$16)),0)+IF(AND(L63="Cafco 400",M63="Software Idiem",C63="IN",G63=3),((('CAFCO 400 '!$D$23*(J63^2)+'CAFCO 400 '!$D$24*(J63)+'CAFCO 400 '!$D$25)*U63^2)+(('CAFCO 400 '!$D$26*(J63^2)+'CAFCO 400 '!$D$27*J63+'CAFCO 400 '!$D$28)*U63)+('CAFCO 400 '!$D$29*(J63^2)+'CAFCO 400 '!$D$30*J63+'CAFCO 400 '!$D$31)),0),0)+IF(AND(L63="Cafco 300",J63&gt;=95,J63&lt;=240,C63="Cj",I63=90),VLOOKUP(T63,'CAFCO 300 IDIEM TABLAS'!$B$4:$D$23,2,FALSE),0)+IF(AND(L63="Cafco 300",J63&gt;=95,J63&lt;=240,C63="Cj",I63=120),VLOOKUP(T63,'CAFCO 300 IDIEM TABLAS'!$B$4:$D$23,3,FALSE),0)+IF(AND(L63="Cafco 300",J63&gt;=95,J63&lt;=400,G63=3,C63="IN",I63=90),VLOOKUP(T63,'CAFCO 300 IDIEM TABLAS'!$F$4:$H$35,2,FALSE),0)+IF(AND(L63="Cafco 300",J63&gt;=95,J63&lt;=400,G63=3,C63="IN",I63=120),VLOOKUP(T63,'CAFCO 300 IDIEM TABLAS'!$F$4:$H$35,3,FALSE),0)+IF(AND(L63="Cafco 300",J63&gt;=95,J63&lt;=450,G63=4,C63="IN",I63=90),VLOOKUP(T63,'CAFCO 300 IDIEM TABLAS'!$J$4:$L$40,2,FALSE),0)+IF(AND(L63="Cafco 300",J63&gt;=95,J63&lt;=450,G63=4,C63="IN",I63=120),VLOOKUP(T63,'CAFCO 300 IDIEM TABLAS'!$J$4:$L$40,3,FALSE),0)+IF(AND(M63="Ensayo Idiem",L63="Cafco 400",C63="IN",G63=4,I63=90),VLOOKUP(T63,'CAFCO 400 ENSAYO'!$B$7:$D$43,2,FALSE),0)+IF(AND(M63="Ensayo Idiem",L63="Cafco 400",C63="IN",G63=4,I63=120),VLOOKUP(T63,'CAFCO 400 ENSAYO'!$B$7:$D$43,3,FALSE),0)</f>
        <v>0</v>
      </c>
      <c r="O63" s="96">
        <f t="shared" si="1"/>
        <v>0</v>
      </c>
      <c r="P63" s="95" t="str">
        <f t="shared" si="2"/>
        <v>CERT.</v>
      </c>
      <c r="Q63" s="95" t="str">
        <f t="shared" si="3"/>
        <v>CERT.</v>
      </c>
      <c r="R63" s="95" t="str">
        <f t="shared" si="4"/>
        <v>NO CERT.</v>
      </c>
      <c r="S63" s="95" t="str">
        <f t="shared" si="0"/>
        <v>NO CERT.</v>
      </c>
      <c r="T63" s="119">
        <f>+IF(J63=LOOKUP(J63,'CAFCO 300 IDIEM TABLAS'!$J$4:$J$40),'CALCULO MORTERO'!J63,MROUND('CALCULO MORTERO'!J63,10))</f>
        <v>330</v>
      </c>
      <c r="U63" s="118" t="e">
        <f t="shared" si="5"/>
        <v>#VALUE!</v>
      </c>
      <c r="Y63" s="4"/>
      <c r="Z63" s="4"/>
      <c r="AA63" s="4"/>
    </row>
    <row r="64" spans="1:27" ht="15.6" customHeight="1" x14ac:dyDescent="0.25">
      <c r="A64" s="118" t="str">
        <f>+CUBICACION!D63</f>
        <v>ARRIOSTRAMINETO VERTICAL</v>
      </c>
      <c r="B64" s="819" t="str">
        <f>+CUBICACION!E63</f>
        <v>100X100X3</v>
      </c>
      <c r="C64" s="675" t="str">
        <f>+CUBICACION!F63</f>
        <v>CJ</v>
      </c>
      <c r="D64" s="118"/>
      <c r="E64" s="118"/>
      <c r="F64" s="820"/>
      <c r="G64" s="675">
        <f>+CUBICACION!J63</f>
        <v>4</v>
      </c>
      <c r="H64" s="118"/>
      <c r="I64" s="821" t="str">
        <f>+CUBICACION!L63</f>
        <v>F-60</v>
      </c>
      <c r="J64" s="64">
        <f>+CUBICACION!M63</f>
        <v>333</v>
      </c>
      <c r="K64" s="822">
        <f>+CUBICACION!N63</f>
        <v>10.72</v>
      </c>
      <c r="L64" s="118" t="str">
        <f>+CUBICACION!O63</f>
        <v>Fire Tex 5090</v>
      </c>
      <c r="M64" s="823" t="str">
        <f>+CUBICACION!P63</f>
        <v>Software Idiem</v>
      </c>
      <c r="N64" s="902">
        <f>ROUND(IF(AND(L64="Blaze Shield II",M64="Software Idiem",C64="IN",G64=4),((('BLAZE SHIELD II'!$D$4*('CALCULO MORTERO'!I64^2)+'BLAZE SHIELD II'!$D$5*'CALCULO MORTERO'!I64+'BLAZE SHIELD II'!$D$6)*LN(J64))+('BLAZE SHIELD II'!$D$7*('CALCULO MORTERO'!I64^2)+'BLAZE SHIELD II'!$D$8*'CALCULO MORTERO'!I64+'BLAZE SHIELD II'!$D$9)),0)+IF(AND(L64="Blaze Shield II",M64="Software Idiem",C64="Cj"),((('BLAZE SHIELD II'!$H$4*('CALCULO MORTERO'!I64^2)+'BLAZE SHIELD II'!$H$5*'CALCULO MORTERO'!I64+'BLAZE SHIELD II'!$H$6)*LN(J64))+('BLAZE SHIELD II'!$H$7*('CALCULO MORTERO'!I64^2)+'BLAZE SHIELD II'!$H$8*'CALCULO MORTERO'!I64+'BLAZE SHIELD II'!$H$9)),0)+IF(AND(L64="Blaze Shield II",M64="Software Idiem",C64="C"),((('BLAZE SHIELD II'!$L$4*('CALCULO MORTERO'!I64^2)+'BLAZE SHIELD II'!$L$5*'CALCULO MORTERO'!I64+'BLAZE SHIELD II'!$L$6)*LN(J64))+('BLAZE SHIELD II'!$L$7*('CALCULO MORTERO'!I64^2)+'BLAZE SHIELD II'!$L$8*'CALCULO MORTERO'!I64+'BLAZE SHIELD II'!$L$9)),0)+IF(AND(L64="Blaze Shield II",M64="Software Idiem",C64="L"),((('BLAZE SHIELD II'!$L$4*('CALCULO MORTERO'!I64^2)+'BLAZE SHIELD II'!$L$5*'CALCULO MORTERO'!I64+'BLAZE SHIELD II'!$L$6)*LN(J64))+('BLAZE SHIELD II'!$L$7*('CALCULO MORTERO'!I64^2)+'BLAZE SHIELD II'!$L$8*'CALCULO MORTERO'!I64+'BLAZE SHIELD II'!$L$9)),0)+IF(AND(L64="Blaze Shield II",M64="Software Idiem",C64="IN",G64=3),((('BLAZE SHIELD II'!$H$14*('CALCULO MORTERO'!I64^2)+'BLAZE SHIELD II'!$H$15*'CALCULO MORTERO'!I64+'BLAZE SHIELD II'!$H$16)*LN(J64))+('BLAZE SHIELD II'!$H$17*('CALCULO MORTERO'!I64^2)+'BLAZE SHIELD II'!$H$18*'CALCULO MORTERO'!I64+'BLAZE SHIELD II'!$H$19)),0),0)+ROUND(IF(AND(L64="Cafco 400",M64="Software Idiem",C64="IN",G64=4),((('CAFCO 400 '!$H$7*(J64^4)+'CAFCO 400 '!$H$8*(J64^3)+'CAFCO 400 '!$H$9*(J64^2)+'CAFCO 400 '!$H$10*J64+'CAFCO 400 '!$H$11)*U64^2)+(('CAFCO 400 '!$H$12*(J64^3)+'CAFCO 400 '!$H$13*(J64^2)+'CAFCO 400 '!$H$14*J64+'CAFCO 400 '!$H$15)*U64)+('CAFCO 400 '!$H$16*(J64^2)+'CAFCO 400 '!$H$17*J64+'CAFCO 400 '!$H$18)),0)+IF(AND(L64="Cafco 400",M64="Software Idiem",C64="Cj"),(((('CAFCO 400 '!$D$7*LN(J64)+'CAFCO 400 '!$D$8)*U64^2)+(('CAFCO 400 '!$D$9*LN(J64)+'CAFCO 400 '!$D$10)*U64)+('CAFCO 400 '!$D$11*LN(J64)+'CAFCO 400 '!$D$12))),0)+IF(AND(L64="Cafco 400",M64="Software Idiem",C64="C"),((('CAFCO 400 '!$L$7*(J64^3)+'CAFCO 400 '!$L$8*(J64^2)+'CAFCO 400 '!$L$9*J64+'CAFCO 400 '!$L$10)*U64^2)+(('CAFCO 400 '!$L$11*(J64^3)+'CAFCO 400 '!$L$12*(J64^2)+'CAFCO 400 '!$L$13*J64+'CAFCO 400 '!$L$14)*U64)+('CAFCO 400 '!$L$15*LN(J64)+'CAFCO 400 '!$L$16)),0)+IF(AND(L64="Cafco 400",M64="Software Idiem",C64="L"),((('CAFCO 400 '!$L$7*(J64^3)+'CAFCO 400 '!$L$8*(J64^2)+'CAFCO 400 '!$L$9*J64+'CAFCO 400 '!$L$10)*U64^2)+(('CAFCO 400 '!$L$11*(J64^3)+'CAFCO 400 '!$L$12*(J64^2)+'CAFCO 400 '!$L$13*J64+'CAFCO 400 '!$L$14)*U64)+('CAFCO 400 '!$L$15*LN(J64)+'CAFCO 400 '!$L$16)),0)+IF(AND(L64="Cafco 400",M64="Software Idiem",C64="IN",G64=3),((('CAFCO 400 '!$D$23*(J64^2)+'CAFCO 400 '!$D$24*(J64)+'CAFCO 400 '!$D$25)*U64^2)+(('CAFCO 400 '!$D$26*(J64^2)+'CAFCO 400 '!$D$27*J64+'CAFCO 400 '!$D$28)*U64)+('CAFCO 400 '!$D$29*(J64^2)+'CAFCO 400 '!$D$30*J64+'CAFCO 400 '!$D$31)),0),0)+IF(AND(L64="Cafco 300",J64&gt;=95,J64&lt;=240,C64="Cj",I64=90),VLOOKUP(T64,'CAFCO 300 IDIEM TABLAS'!$B$4:$D$23,2,FALSE),0)+IF(AND(L64="Cafco 300",J64&gt;=95,J64&lt;=240,C64="Cj",I64=120),VLOOKUP(T64,'CAFCO 300 IDIEM TABLAS'!$B$4:$D$23,3,FALSE),0)+IF(AND(L64="Cafco 300",J64&gt;=95,J64&lt;=400,G64=3,C64="IN",I64=90),VLOOKUP(T64,'CAFCO 300 IDIEM TABLAS'!$F$4:$H$35,2,FALSE),0)+IF(AND(L64="Cafco 300",J64&gt;=95,J64&lt;=400,G64=3,C64="IN",I64=120),VLOOKUP(T64,'CAFCO 300 IDIEM TABLAS'!$F$4:$H$35,3,FALSE),0)+IF(AND(L64="Cafco 300",J64&gt;=95,J64&lt;=450,G64=4,C64="IN",I64=90),VLOOKUP(T64,'CAFCO 300 IDIEM TABLAS'!$J$4:$L$40,2,FALSE),0)+IF(AND(L64="Cafco 300",J64&gt;=95,J64&lt;=450,G64=4,C64="IN",I64=120),VLOOKUP(T64,'CAFCO 300 IDIEM TABLAS'!$J$4:$L$40,3,FALSE),0)+IF(AND(M64="Ensayo Idiem",L64="Cafco 400",C64="IN",G64=4,I64=90),VLOOKUP(T64,'CAFCO 400 ENSAYO'!$B$7:$D$43,2,FALSE),0)+IF(AND(M64="Ensayo Idiem",L64="Cafco 400",C64="IN",G64=4,I64=120),VLOOKUP(T64,'CAFCO 400 ENSAYO'!$B$7:$D$43,3,FALSE),0)</f>
        <v>0</v>
      </c>
      <c r="O64" s="96">
        <f t="shared" si="1"/>
        <v>0</v>
      </c>
      <c r="P64" s="95" t="str">
        <f t="shared" si="2"/>
        <v>CERT.</v>
      </c>
      <c r="Q64" s="95" t="str">
        <f t="shared" si="3"/>
        <v>CERT.</v>
      </c>
      <c r="R64" s="95" t="str">
        <f t="shared" si="4"/>
        <v>NO CERT.</v>
      </c>
      <c r="S64" s="95" t="str">
        <f t="shared" si="0"/>
        <v>NO CERT.</v>
      </c>
      <c r="T64" s="119">
        <f>+IF(J64=LOOKUP(J64,'CAFCO 300 IDIEM TABLAS'!$J$4:$J$40),'CALCULO MORTERO'!J64,MROUND('CALCULO MORTERO'!J64,10))</f>
        <v>330</v>
      </c>
      <c r="U64" s="118" t="e">
        <f t="shared" si="5"/>
        <v>#VALUE!</v>
      </c>
      <c r="Y64" s="4"/>
      <c r="Z64" s="4"/>
      <c r="AA64" s="4"/>
    </row>
    <row r="65" spans="1:27" x14ac:dyDescent="0.25">
      <c r="A65" s="118" t="str">
        <f>+CUBICACION!D64</f>
        <v>ARRIOSTRAMINETO VERTICAL</v>
      </c>
      <c r="B65" s="819" t="str">
        <f>+CUBICACION!E64</f>
        <v>100X100X3</v>
      </c>
      <c r="C65" s="675" t="str">
        <f>+CUBICACION!F64</f>
        <v>CJ</v>
      </c>
      <c r="D65" s="118"/>
      <c r="E65" s="118"/>
      <c r="F65" s="820"/>
      <c r="G65" s="675">
        <f>+CUBICACION!J64</f>
        <v>4</v>
      </c>
      <c r="H65" s="118"/>
      <c r="I65" s="821" t="str">
        <f>+CUBICACION!L64</f>
        <v>F-60</v>
      </c>
      <c r="J65" s="64">
        <f>+CUBICACION!M64</f>
        <v>333</v>
      </c>
      <c r="K65" s="822">
        <f>+CUBICACION!N64</f>
        <v>4.6399999999999997</v>
      </c>
      <c r="L65" s="118" t="str">
        <f>+CUBICACION!O64</f>
        <v>Fire Tex 5090</v>
      </c>
      <c r="M65" s="823" t="str">
        <f>+CUBICACION!P64</f>
        <v>Software Idiem</v>
      </c>
      <c r="N65" s="902">
        <f>ROUND(IF(AND(L65="Blaze Shield II",M65="Software Idiem",C65="IN",G65=4),((('BLAZE SHIELD II'!$D$4*('CALCULO MORTERO'!I65^2)+'BLAZE SHIELD II'!$D$5*'CALCULO MORTERO'!I65+'BLAZE SHIELD II'!$D$6)*LN(J65))+('BLAZE SHIELD II'!$D$7*('CALCULO MORTERO'!I65^2)+'BLAZE SHIELD II'!$D$8*'CALCULO MORTERO'!I65+'BLAZE SHIELD II'!$D$9)),0)+IF(AND(L65="Blaze Shield II",M65="Software Idiem",C65="Cj"),((('BLAZE SHIELD II'!$H$4*('CALCULO MORTERO'!I65^2)+'BLAZE SHIELD II'!$H$5*'CALCULO MORTERO'!I65+'BLAZE SHIELD II'!$H$6)*LN(J65))+('BLAZE SHIELD II'!$H$7*('CALCULO MORTERO'!I65^2)+'BLAZE SHIELD II'!$H$8*'CALCULO MORTERO'!I65+'BLAZE SHIELD II'!$H$9)),0)+IF(AND(L65="Blaze Shield II",M65="Software Idiem",C65="C"),((('BLAZE SHIELD II'!$L$4*('CALCULO MORTERO'!I65^2)+'BLAZE SHIELD II'!$L$5*'CALCULO MORTERO'!I65+'BLAZE SHIELD II'!$L$6)*LN(J65))+('BLAZE SHIELD II'!$L$7*('CALCULO MORTERO'!I65^2)+'BLAZE SHIELD II'!$L$8*'CALCULO MORTERO'!I65+'BLAZE SHIELD II'!$L$9)),0)+IF(AND(L65="Blaze Shield II",M65="Software Idiem",C65="L"),((('BLAZE SHIELD II'!$L$4*('CALCULO MORTERO'!I65^2)+'BLAZE SHIELD II'!$L$5*'CALCULO MORTERO'!I65+'BLAZE SHIELD II'!$L$6)*LN(J65))+('BLAZE SHIELD II'!$L$7*('CALCULO MORTERO'!I65^2)+'BLAZE SHIELD II'!$L$8*'CALCULO MORTERO'!I65+'BLAZE SHIELD II'!$L$9)),0)+IF(AND(L65="Blaze Shield II",M65="Software Idiem",C65="IN",G65=3),((('BLAZE SHIELD II'!$H$14*('CALCULO MORTERO'!I65^2)+'BLAZE SHIELD II'!$H$15*'CALCULO MORTERO'!I65+'BLAZE SHIELD II'!$H$16)*LN(J65))+('BLAZE SHIELD II'!$H$17*('CALCULO MORTERO'!I65^2)+'BLAZE SHIELD II'!$H$18*'CALCULO MORTERO'!I65+'BLAZE SHIELD II'!$H$19)),0),0)+ROUND(IF(AND(L65="Cafco 400",M65="Software Idiem",C65="IN",G65=4),((('CAFCO 400 '!$H$7*(J65^4)+'CAFCO 400 '!$H$8*(J65^3)+'CAFCO 400 '!$H$9*(J65^2)+'CAFCO 400 '!$H$10*J65+'CAFCO 400 '!$H$11)*U65^2)+(('CAFCO 400 '!$H$12*(J65^3)+'CAFCO 400 '!$H$13*(J65^2)+'CAFCO 400 '!$H$14*J65+'CAFCO 400 '!$H$15)*U65)+('CAFCO 400 '!$H$16*(J65^2)+'CAFCO 400 '!$H$17*J65+'CAFCO 400 '!$H$18)),0)+IF(AND(L65="Cafco 400",M65="Software Idiem",C65="Cj"),(((('CAFCO 400 '!$D$7*LN(J65)+'CAFCO 400 '!$D$8)*U65^2)+(('CAFCO 400 '!$D$9*LN(J65)+'CAFCO 400 '!$D$10)*U65)+('CAFCO 400 '!$D$11*LN(J65)+'CAFCO 400 '!$D$12))),0)+IF(AND(L65="Cafco 400",M65="Software Idiem",C65="C"),((('CAFCO 400 '!$L$7*(J65^3)+'CAFCO 400 '!$L$8*(J65^2)+'CAFCO 400 '!$L$9*J65+'CAFCO 400 '!$L$10)*U65^2)+(('CAFCO 400 '!$L$11*(J65^3)+'CAFCO 400 '!$L$12*(J65^2)+'CAFCO 400 '!$L$13*J65+'CAFCO 400 '!$L$14)*U65)+('CAFCO 400 '!$L$15*LN(J65)+'CAFCO 400 '!$L$16)),0)+IF(AND(L65="Cafco 400",M65="Software Idiem",C65="L"),((('CAFCO 400 '!$L$7*(J65^3)+'CAFCO 400 '!$L$8*(J65^2)+'CAFCO 400 '!$L$9*J65+'CAFCO 400 '!$L$10)*U65^2)+(('CAFCO 400 '!$L$11*(J65^3)+'CAFCO 400 '!$L$12*(J65^2)+'CAFCO 400 '!$L$13*J65+'CAFCO 400 '!$L$14)*U65)+('CAFCO 400 '!$L$15*LN(J65)+'CAFCO 400 '!$L$16)),0)+IF(AND(L65="Cafco 400",M65="Software Idiem",C65="IN",G65=3),((('CAFCO 400 '!$D$23*(J65^2)+'CAFCO 400 '!$D$24*(J65)+'CAFCO 400 '!$D$25)*U65^2)+(('CAFCO 400 '!$D$26*(J65^2)+'CAFCO 400 '!$D$27*J65+'CAFCO 400 '!$D$28)*U65)+('CAFCO 400 '!$D$29*(J65^2)+'CAFCO 400 '!$D$30*J65+'CAFCO 400 '!$D$31)),0),0)+IF(AND(L65="Cafco 300",J65&gt;=95,J65&lt;=240,C65="Cj",I65=90),VLOOKUP(T65,'CAFCO 300 IDIEM TABLAS'!$B$4:$D$23,2,FALSE),0)+IF(AND(L65="Cafco 300",J65&gt;=95,J65&lt;=240,C65="Cj",I65=120),VLOOKUP(T65,'CAFCO 300 IDIEM TABLAS'!$B$4:$D$23,3,FALSE),0)+IF(AND(L65="Cafco 300",J65&gt;=95,J65&lt;=400,G65=3,C65="IN",I65=90),VLOOKUP(T65,'CAFCO 300 IDIEM TABLAS'!$F$4:$H$35,2,FALSE),0)+IF(AND(L65="Cafco 300",J65&gt;=95,J65&lt;=400,G65=3,C65="IN",I65=120),VLOOKUP(T65,'CAFCO 300 IDIEM TABLAS'!$F$4:$H$35,3,FALSE),0)+IF(AND(L65="Cafco 300",J65&gt;=95,J65&lt;=450,G65=4,C65="IN",I65=90),VLOOKUP(T65,'CAFCO 300 IDIEM TABLAS'!$J$4:$L$40,2,FALSE),0)+IF(AND(L65="Cafco 300",J65&gt;=95,J65&lt;=450,G65=4,C65="IN",I65=120),VLOOKUP(T65,'CAFCO 300 IDIEM TABLAS'!$J$4:$L$40,3,FALSE),0)+IF(AND(M65="Ensayo Idiem",L65="Cafco 400",C65="IN",G65=4,I65=90),VLOOKUP(T65,'CAFCO 400 ENSAYO'!$B$7:$D$43,2,FALSE),0)+IF(AND(M65="Ensayo Idiem",L65="Cafco 400",C65="IN",G65=4,I65=120),VLOOKUP(T65,'CAFCO 400 ENSAYO'!$B$7:$D$43,3,FALSE),0)</f>
        <v>0</v>
      </c>
      <c r="O65" s="96">
        <f t="shared" si="1"/>
        <v>0</v>
      </c>
      <c r="P65" s="95" t="str">
        <f t="shared" si="2"/>
        <v>CERT.</v>
      </c>
      <c r="Q65" s="95" t="str">
        <f t="shared" si="3"/>
        <v>CERT.</v>
      </c>
      <c r="R65" s="95" t="str">
        <f t="shared" si="4"/>
        <v>NO CERT.</v>
      </c>
      <c r="S65" s="95" t="str">
        <f t="shared" si="0"/>
        <v>NO CERT.</v>
      </c>
      <c r="T65" s="119">
        <f>+IF(J65=LOOKUP(J65,'CAFCO 300 IDIEM TABLAS'!$J$4:$J$40),'CALCULO MORTERO'!J65,MROUND('CALCULO MORTERO'!J65,10))</f>
        <v>330</v>
      </c>
      <c r="U65" s="118" t="e">
        <f t="shared" si="5"/>
        <v>#VALUE!</v>
      </c>
      <c r="Y65" s="4"/>
      <c r="Z65" s="4"/>
      <c r="AA65" s="4"/>
    </row>
    <row r="66" spans="1:27" ht="15.6" customHeight="1" x14ac:dyDescent="0.25">
      <c r="A66" s="118" t="str">
        <f>+CUBICACION!D65</f>
        <v>ARRIOSTRAMINETO VERTICAL</v>
      </c>
      <c r="B66" s="819" t="str">
        <f>+CUBICACION!E65</f>
        <v>100X100X3</v>
      </c>
      <c r="C66" s="675" t="str">
        <f>+CUBICACION!F65</f>
        <v>CJ</v>
      </c>
      <c r="D66" s="118"/>
      <c r="E66" s="118"/>
      <c r="F66" s="820"/>
      <c r="G66" s="675">
        <f>+CUBICACION!J65</f>
        <v>4</v>
      </c>
      <c r="H66" s="118"/>
      <c r="I66" s="821" t="str">
        <f>+CUBICACION!L65</f>
        <v>F-60</v>
      </c>
      <c r="J66" s="64">
        <f>+CUBICACION!M65</f>
        <v>333</v>
      </c>
      <c r="K66" s="822">
        <f>+CUBICACION!N65</f>
        <v>4.2</v>
      </c>
      <c r="L66" s="118" t="str">
        <f>+CUBICACION!O65</f>
        <v>Fire Tex 5090</v>
      </c>
      <c r="M66" s="823" t="str">
        <f>+CUBICACION!P65</f>
        <v>Software Idiem</v>
      </c>
      <c r="N66" s="902">
        <f>ROUND(IF(AND(L66="Blaze Shield II",M66="Software Idiem",C66="IN",G66=4),((('BLAZE SHIELD II'!$D$4*('CALCULO MORTERO'!I66^2)+'BLAZE SHIELD II'!$D$5*'CALCULO MORTERO'!I66+'BLAZE SHIELD II'!$D$6)*LN(J66))+('BLAZE SHIELD II'!$D$7*('CALCULO MORTERO'!I66^2)+'BLAZE SHIELD II'!$D$8*'CALCULO MORTERO'!I66+'BLAZE SHIELD II'!$D$9)),0)+IF(AND(L66="Blaze Shield II",M66="Software Idiem",C66="Cj"),((('BLAZE SHIELD II'!$H$4*('CALCULO MORTERO'!I66^2)+'BLAZE SHIELD II'!$H$5*'CALCULO MORTERO'!I66+'BLAZE SHIELD II'!$H$6)*LN(J66))+('BLAZE SHIELD II'!$H$7*('CALCULO MORTERO'!I66^2)+'BLAZE SHIELD II'!$H$8*'CALCULO MORTERO'!I66+'BLAZE SHIELD II'!$H$9)),0)+IF(AND(L66="Blaze Shield II",M66="Software Idiem",C66="C"),((('BLAZE SHIELD II'!$L$4*('CALCULO MORTERO'!I66^2)+'BLAZE SHIELD II'!$L$5*'CALCULO MORTERO'!I66+'BLAZE SHIELD II'!$L$6)*LN(J66))+('BLAZE SHIELD II'!$L$7*('CALCULO MORTERO'!I66^2)+'BLAZE SHIELD II'!$L$8*'CALCULO MORTERO'!I66+'BLAZE SHIELD II'!$L$9)),0)+IF(AND(L66="Blaze Shield II",M66="Software Idiem",C66="L"),((('BLAZE SHIELD II'!$L$4*('CALCULO MORTERO'!I66^2)+'BLAZE SHIELD II'!$L$5*'CALCULO MORTERO'!I66+'BLAZE SHIELD II'!$L$6)*LN(J66))+('BLAZE SHIELD II'!$L$7*('CALCULO MORTERO'!I66^2)+'BLAZE SHIELD II'!$L$8*'CALCULO MORTERO'!I66+'BLAZE SHIELD II'!$L$9)),0)+IF(AND(L66="Blaze Shield II",M66="Software Idiem",C66="IN",G66=3),((('BLAZE SHIELD II'!$H$14*('CALCULO MORTERO'!I66^2)+'BLAZE SHIELD II'!$H$15*'CALCULO MORTERO'!I66+'BLAZE SHIELD II'!$H$16)*LN(J66))+('BLAZE SHIELD II'!$H$17*('CALCULO MORTERO'!I66^2)+'BLAZE SHIELD II'!$H$18*'CALCULO MORTERO'!I66+'BLAZE SHIELD II'!$H$19)),0),0)+ROUND(IF(AND(L66="Cafco 400",M66="Software Idiem",C66="IN",G66=4),((('CAFCO 400 '!$H$7*(J66^4)+'CAFCO 400 '!$H$8*(J66^3)+'CAFCO 400 '!$H$9*(J66^2)+'CAFCO 400 '!$H$10*J66+'CAFCO 400 '!$H$11)*U66^2)+(('CAFCO 400 '!$H$12*(J66^3)+'CAFCO 400 '!$H$13*(J66^2)+'CAFCO 400 '!$H$14*J66+'CAFCO 400 '!$H$15)*U66)+('CAFCO 400 '!$H$16*(J66^2)+'CAFCO 400 '!$H$17*J66+'CAFCO 400 '!$H$18)),0)+IF(AND(L66="Cafco 400",M66="Software Idiem",C66="Cj"),(((('CAFCO 400 '!$D$7*LN(J66)+'CAFCO 400 '!$D$8)*U66^2)+(('CAFCO 400 '!$D$9*LN(J66)+'CAFCO 400 '!$D$10)*U66)+('CAFCO 400 '!$D$11*LN(J66)+'CAFCO 400 '!$D$12))),0)+IF(AND(L66="Cafco 400",M66="Software Idiem",C66="C"),((('CAFCO 400 '!$L$7*(J66^3)+'CAFCO 400 '!$L$8*(J66^2)+'CAFCO 400 '!$L$9*J66+'CAFCO 400 '!$L$10)*U66^2)+(('CAFCO 400 '!$L$11*(J66^3)+'CAFCO 400 '!$L$12*(J66^2)+'CAFCO 400 '!$L$13*J66+'CAFCO 400 '!$L$14)*U66)+('CAFCO 400 '!$L$15*LN(J66)+'CAFCO 400 '!$L$16)),0)+IF(AND(L66="Cafco 400",M66="Software Idiem",C66="L"),((('CAFCO 400 '!$L$7*(J66^3)+'CAFCO 400 '!$L$8*(J66^2)+'CAFCO 400 '!$L$9*J66+'CAFCO 400 '!$L$10)*U66^2)+(('CAFCO 400 '!$L$11*(J66^3)+'CAFCO 400 '!$L$12*(J66^2)+'CAFCO 400 '!$L$13*J66+'CAFCO 400 '!$L$14)*U66)+('CAFCO 400 '!$L$15*LN(J66)+'CAFCO 400 '!$L$16)),0)+IF(AND(L66="Cafco 400",M66="Software Idiem",C66="IN",G66=3),((('CAFCO 400 '!$D$23*(J66^2)+'CAFCO 400 '!$D$24*(J66)+'CAFCO 400 '!$D$25)*U66^2)+(('CAFCO 400 '!$D$26*(J66^2)+'CAFCO 400 '!$D$27*J66+'CAFCO 400 '!$D$28)*U66)+('CAFCO 400 '!$D$29*(J66^2)+'CAFCO 400 '!$D$30*J66+'CAFCO 400 '!$D$31)),0),0)+IF(AND(L66="Cafco 300",J66&gt;=95,J66&lt;=240,C66="Cj",I66=90),VLOOKUP(T66,'CAFCO 300 IDIEM TABLAS'!$B$4:$D$23,2,FALSE),0)+IF(AND(L66="Cafco 300",J66&gt;=95,J66&lt;=240,C66="Cj",I66=120),VLOOKUP(T66,'CAFCO 300 IDIEM TABLAS'!$B$4:$D$23,3,FALSE),0)+IF(AND(L66="Cafco 300",J66&gt;=95,J66&lt;=400,G66=3,C66="IN",I66=90),VLOOKUP(T66,'CAFCO 300 IDIEM TABLAS'!$F$4:$H$35,2,FALSE),0)+IF(AND(L66="Cafco 300",J66&gt;=95,J66&lt;=400,G66=3,C66="IN",I66=120),VLOOKUP(T66,'CAFCO 300 IDIEM TABLAS'!$F$4:$H$35,3,FALSE),0)+IF(AND(L66="Cafco 300",J66&gt;=95,J66&lt;=450,G66=4,C66="IN",I66=90),VLOOKUP(T66,'CAFCO 300 IDIEM TABLAS'!$J$4:$L$40,2,FALSE),0)+IF(AND(L66="Cafco 300",J66&gt;=95,J66&lt;=450,G66=4,C66="IN",I66=120),VLOOKUP(T66,'CAFCO 300 IDIEM TABLAS'!$J$4:$L$40,3,FALSE),0)+IF(AND(M66="Ensayo Idiem",L66="Cafco 400",C66="IN",G66=4,I66=90),VLOOKUP(T66,'CAFCO 400 ENSAYO'!$B$7:$D$43,2,FALSE),0)+IF(AND(M66="Ensayo Idiem",L66="Cafco 400",C66="IN",G66=4,I66=120),VLOOKUP(T66,'CAFCO 400 ENSAYO'!$B$7:$D$43,3,FALSE),0)</f>
        <v>0</v>
      </c>
      <c r="O66" s="96">
        <f t="shared" si="1"/>
        <v>0</v>
      </c>
      <c r="P66" s="95" t="str">
        <f t="shared" si="2"/>
        <v>CERT.</v>
      </c>
      <c r="Q66" s="95" t="str">
        <f t="shared" si="3"/>
        <v>CERT.</v>
      </c>
      <c r="R66" s="95" t="str">
        <f t="shared" si="4"/>
        <v>NO CERT.</v>
      </c>
      <c r="S66" s="95" t="str">
        <f t="shared" si="0"/>
        <v>NO CERT.</v>
      </c>
      <c r="T66" s="119">
        <f>+IF(J66=LOOKUP(J66,'CAFCO 300 IDIEM TABLAS'!$J$4:$J$40),'CALCULO MORTERO'!J66,MROUND('CALCULO MORTERO'!J66,10))</f>
        <v>330</v>
      </c>
      <c r="U66" s="118" t="e">
        <f t="shared" si="5"/>
        <v>#VALUE!</v>
      </c>
      <c r="Y66" s="4"/>
      <c r="Z66" s="4"/>
      <c r="AA66" s="4"/>
    </row>
    <row r="67" spans="1:27" x14ac:dyDescent="0.25">
      <c r="A67" s="118" t="str">
        <f>+CUBICACION!D66</f>
        <v>PILAR</v>
      </c>
      <c r="B67" s="819" t="str">
        <f>+CUBICACION!E66</f>
        <v>MM 400X200X4</v>
      </c>
      <c r="C67" s="675" t="str">
        <f>+CUBICACION!F66</f>
        <v>CJ</v>
      </c>
      <c r="D67" s="118"/>
      <c r="E67" s="118"/>
      <c r="F67" s="820"/>
      <c r="G67" s="675">
        <f>+CUBICACION!J66</f>
        <v>4</v>
      </c>
      <c r="H67" s="118"/>
      <c r="I67" s="821" t="str">
        <f>+CUBICACION!L66</f>
        <v>F-60</v>
      </c>
      <c r="J67" s="64">
        <f>+CUBICACION!M66</f>
        <v>236</v>
      </c>
      <c r="K67" s="822">
        <f>+CUBICACION!N66</f>
        <v>50.4</v>
      </c>
      <c r="L67" s="118" t="str">
        <f>+CUBICACION!O66</f>
        <v>Fire Tex 5090</v>
      </c>
      <c r="M67" s="823" t="str">
        <f>+CUBICACION!P66</f>
        <v>Software Idiem</v>
      </c>
      <c r="N67" s="902">
        <f>ROUND(IF(AND(L67="Blaze Shield II",M67="Software Idiem",C67="IN",G67=4),((('BLAZE SHIELD II'!$D$4*('CALCULO MORTERO'!I67^2)+'BLAZE SHIELD II'!$D$5*'CALCULO MORTERO'!I67+'BLAZE SHIELD II'!$D$6)*LN(J67))+('BLAZE SHIELD II'!$D$7*('CALCULO MORTERO'!I67^2)+'BLAZE SHIELD II'!$D$8*'CALCULO MORTERO'!I67+'BLAZE SHIELD II'!$D$9)),0)+IF(AND(L67="Blaze Shield II",M67="Software Idiem",C67="Cj"),((('BLAZE SHIELD II'!$H$4*('CALCULO MORTERO'!I67^2)+'BLAZE SHIELD II'!$H$5*'CALCULO MORTERO'!I67+'BLAZE SHIELD II'!$H$6)*LN(J67))+('BLAZE SHIELD II'!$H$7*('CALCULO MORTERO'!I67^2)+'BLAZE SHIELD II'!$H$8*'CALCULO MORTERO'!I67+'BLAZE SHIELD II'!$H$9)),0)+IF(AND(L67="Blaze Shield II",M67="Software Idiem",C67="C"),((('BLAZE SHIELD II'!$L$4*('CALCULO MORTERO'!I67^2)+'BLAZE SHIELD II'!$L$5*'CALCULO MORTERO'!I67+'BLAZE SHIELD II'!$L$6)*LN(J67))+('BLAZE SHIELD II'!$L$7*('CALCULO MORTERO'!I67^2)+'BLAZE SHIELD II'!$L$8*'CALCULO MORTERO'!I67+'BLAZE SHIELD II'!$L$9)),0)+IF(AND(L67="Blaze Shield II",M67="Software Idiem",C67="L"),((('BLAZE SHIELD II'!$L$4*('CALCULO MORTERO'!I67^2)+'BLAZE SHIELD II'!$L$5*'CALCULO MORTERO'!I67+'BLAZE SHIELD II'!$L$6)*LN(J67))+('BLAZE SHIELD II'!$L$7*('CALCULO MORTERO'!I67^2)+'BLAZE SHIELD II'!$L$8*'CALCULO MORTERO'!I67+'BLAZE SHIELD II'!$L$9)),0)+IF(AND(L67="Blaze Shield II",M67="Software Idiem",C67="IN",G67=3),((('BLAZE SHIELD II'!$H$14*('CALCULO MORTERO'!I67^2)+'BLAZE SHIELD II'!$H$15*'CALCULO MORTERO'!I67+'BLAZE SHIELD II'!$H$16)*LN(J67))+('BLAZE SHIELD II'!$H$17*('CALCULO MORTERO'!I67^2)+'BLAZE SHIELD II'!$H$18*'CALCULO MORTERO'!I67+'BLAZE SHIELD II'!$H$19)),0),0)+ROUND(IF(AND(L67="Cafco 400",M67="Software Idiem",C67="IN",G67=4),((('CAFCO 400 '!$H$7*(J67^4)+'CAFCO 400 '!$H$8*(J67^3)+'CAFCO 400 '!$H$9*(J67^2)+'CAFCO 400 '!$H$10*J67+'CAFCO 400 '!$H$11)*U67^2)+(('CAFCO 400 '!$H$12*(J67^3)+'CAFCO 400 '!$H$13*(J67^2)+'CAFCO 400 '!$H$14*J67+'CAFCO 400 '!$H$15)*U67)+('CAFCO 400 '!$H$16*(J67^2)+'CAFCO 400 '!$H$17*J67+'CAFCO 400 '!$H$18)),0)+IF(AND(L67="Cafco 400",M67="Software Idiem",C67="Cj"),(((('CAFCO 400 '!$D$7*LN(J67)+'CAFCO 400 '!$D$8)*U67^2)+(('CAFCO 400 '!$D$9*LN(J67)+'CAFCO 400 '!$D$10)*U67)+('CAFCO 400 '!$D$11*LN(J67)+'CAFCO 400 '!$D$12))),0)+IF(AND(L67="Cafco 400",M67="Software Idiem",C67="C"),((('CAFCO 400 '!$L$7*(J67^3)+'CAFCO 400 '!$L$8*(J67^2)+'CAFCO 400 '!$L$9*J67+'CAFCO 400 '!$L$10)*U67^2)+(('CAFCO 400 '!$L$11*(J67^3)+'CAFCO 400 '!$L$12*(J67^2)+'CAFCO 400 '!$L$13*J67+'CAFCO 400 '!$L$14)*U67)+('CAFCO 400 '!$L$15*LN(J67)+'CAFCO 400 '!$L$16)),0)+IF(AND(L67="Cafco 400",M67="Software Idiem",C67="L"),((('CAFCO 400 '!$L$7*(J67^3)+'CAFCO 400 '!$L$8*(J67^2)+'CAFCO 400 '!$L$9*J67+'CAFCO 400 '!$L$10)*U67^2)+(('CAFCO 400 '!$L$11*(J67^3)+'CAFCO 400 '!$L$12*(J67^2)+'CAFCO 400 '!$L$13*J67+'CAFCO 400 '!$L$14)*U67)+('CAFCO 400 '!$L$15*LN(J67)+'CAFCO 400 '!$L$16)),0)+IF(AND(L67="Cafco 400",M67="Software Idiem",C67="IN",G67=3),((('CAFCO 400 '!$D$23*(J67^2)+'CAFCO 400 '!$D$24*(J67)+'CAFCO 400 '!$D$25)*U67^2)+(('CAFCO 400 '!$D$26*(J67^2)+'CAFCO 400 '!$D$27*J67+'CAFCO 400 '!$D$28)*U67)+('CAFCO 400 '!$D$29*(J67^2)+'CAFCO 400 '!$D$30*J67+'CAFCO 400 '!$D$31)),0),0)+IF(AND(L67="Cafco 300",J67&gt;=95,J67&lt;=240,C67="Cj",I67=90),VLOOKUP(T67,'CAFCO 300 IDIEM TABLAS'!$B$4:$D$23,2,FALSE),0)+IF(AND(L67="Cafco 300",J67&gt;=95,J67&lt;=240,C67="Cj",I67=120),VLOOKUP(T67,'CAFCO 300 IDIEM TABLAS'!$B$4:$D$23,3,FALSE),0)+IF(AND(L67="Cafco 300",J67&gt;=95,J67&lt;=400,G67=3,C67="IN",I67=90),VLOOKUP(T67,'CAFCO 300 IDIEM TABLAS'!$F$4:$H$35,2,FALSE),0)+IF(AND(L67="Cafco 300",J67&gt;=95,J67&lt;=400,G67=3,C67="IN",I67=120),VLOOKUP(T67,'CAFCO 300 IDIEM TABLAS'!$F$4:$H$35,3,FALSE),0)+IF(AND(L67="Cafco 300",J67&gt;=95,J67&lt;=450,G67=4,C67="IN",I67=90),VLOOKUP(T67,'CAFCO 300 IDIEM TABLAS'!$J$4:$L$40,2,FALSE),0)+IF(AND(L67="Cafco 300",J67&gt;=95,J67&lt;=450,G67=4,C67="IN",I67=120),VLOOKUP(T67,'CAFCO 300 IDIEM TABLAS'!$J$4:$L$40,3,FALSE),0)+IF(AND(M67="Ensayo Idiem",L67="Cafco 400",C67="IN",G67=4,I67=90),VLOOKUP(T67,'CAFCO 400 ENSAYO'!$B$7:$D$43,2,FALSE),0)+IF(AND(M67="Ensayo Idiem",L67="Cafco 400",C67="IN",G67=4,I67=120),VLOOKUP(T67,'CAFCO 400 ENSAYO'!$B$7:$D$43,3,FALSE),0)</f>
        <v>0</v>
      </c>
      <c r="O67" s="96">
        <f t="shared" si="1"/>
        <v>0</v>
      </c>
      <c r="P67" s="95" t="str">
        <f t="shared" si="2"/>
        <v>CERT.</v>
      </c>
      <c r="Q67" s="95" t="str">
        <f t="shared" si="3"/>
        <v>CERT.</v>
      </c>
      <c r="R67" s="95" t="str">
        <f t="shared" si="4"/>
        <v>NO CERT.</v>
      </c>
      <c r="S67" s="95" t="str">
        <f t="shared" si="0"/>
        <v>NO CERT.</v>
      </c>
      <c r="T67" s="119">
        <f>+IF(J67=LOOKUP(J67,'CAFCO 300 IDIEM TABLAS'!$J$4:$J$40),'CALCULO MORTERO'!J67,MROUND('CALCULO MORTERO'!J67,10))</f>
        <v>240</v>
      </c>
      <c r="U67" s="118" t="e">
        <f t="shared" si="5"/>
        <v>#VALUE!</v>
      </c>
      <c r="Y67" s="4"/>
      <c r="Z67" s="4"/>
      <c r="AA67" s="4"/>
    </row>
    <row r="68" spans="1:27" ht="15.6" customHeight="1" x14ac:dyDescent="0.25">
      <c r="A68" s="118" t="str">
        <f>+CUBICACION!D67</f>
        <v>VIGA</v>
      </c>
      <c r="B68" s="819" t="str">
        <f>+CUBICACION!E67</f>
        <v>100X100X3</v>
      </c>
      <c r="C68" s="675" t="str">
        <f>+CUBICACION!F67</f>
        <v>CJ</v>
      </c>
      <c r="D68" s="118"/>
      <c r="E68" s="118"/>
      <c r="F68" s="820"/>
      <c r="G68" s="675">
        <f>+CUBICACION!J67</f>
        <v>4</v>
      </c>
      <c r="H68" s="118"/>
      <c r="I68" s="821" t="str">
        <f>+CUBICACION!L67</f>
        <v>F-60</v>
      </c>
      <c r="J68" s="64">
        <f>+CUBICACION!M67</f>
        <v>333</v>
      </c>
      <c r="K68" s="822">
        <f>+CUBICACION!N67</f>
        <v>23.367999999999999</v>
      </c>
      <c r="L68" s="118" t="str">
        <f>+CUBICACION!O67</f>
        <v>Fire Tex 5090</v>
      </c>
      <c r="M68" s="823" t="str">
        <f>+CUBICACION!P67</f>
        <v>Software Idiem</v>
      </c>
      <c r="N68" s="902">
        <f>ROUND(IF(AND(L68="Blaze Shield II",M68="Software Idiem",C68="IN",G68=4),((('BLAZE SHIELD II'!$D$4*('CALCULO MORTERO'!I68^2)+'BLAZE SHIELD II'!$D$5*'CALCULO MORTERO'!I68+'BLAZE SHIELD II'!$D$6)*LN(J68))+('BLAZE SHIELD II'!$D$7*('CALCULO MORTERO'!I68^2)+'BLAZE SHIELD II'!$D$8*'CALCULO MORTERO'!I68+'BLAZE SHIELD II'!$D$9)),0)+IF(AND(L68="Blaze Shield II",M68="Software Idiem",C68="Cj"),((('BLAZE SHIELD II'!$H$4*('CALCULO MORTERO'!I68^2)+'BLAZE SHIELD II'!$H$5*'CALCULO MORTERO'!I68+'BLAZE SHIELD II'!$H$6)*LN(J68))+('BLAZE SHIELD II'!$H$7*('CALCULO MORTERO'!I68^2)+'BLAZE SHIELD II'!$H$8*'CALCULO MORTERO'!I68+'BLAZE SHIELD II'!$H$9)),0)+IF(AND(L68="Blaze Shield II",M68="Software Idiem",C68="C"),((('BLAZE SHIELD II'!$L$4*('CALCULO MORTERO'!I68^2)+'BLAZE SHIELD II'!$L$5*'CALCULO MORTERO'!I68+'BLAZE SHIELD II'!$L$6)*LN(J68))+('BLAZE SHIELD II'!$L$7*('CALCULO MORTERO'!I68^2)+'BLAZE SHIELD II'!$L$8*'CALCULO MORTERO'!I68+'BLAZE SHIELD II'!$L$9)),0)+IF(AND(L68="Blaze Shield II",M68="Software Idiem",C68="L"),((('BLAZE SHIELD II'!$L$4*('CALCULO MORTERO'!I68^2)+'BLAZE SHIELD II'!$L$5*'CALCULO MORTERO'!I68+'BLAZE SHIELD II'!$L$6)*LN(J68))+('BLAZE SHIELD II'!$L$7*('CALCULO MORTERO'!I68^2)+'BLAZE SHIELD II'!$L$8*'CALCULO MORTERO'!I68+'BLAZE SHIELD II'!$L$9)),0)+IF(AND(L68="Blaze Shield II",M68="Software Idiem",C68="IN",G68=3),((('BLAZE SHIELD II'!$H$14*('CALCULO MORTERO'!I68^2)+'BLAZE SHIELD II'!$H$15*'CALCULO MORTERO'!I68+'BLAZE SHIELD II'!$H$16)*LN(J68))+('BLAZE SHIELD II'!$H$17*('CALCULO MORTERO'!I68^2)+'BLAZE SHIELD II'!$H$18*'CALCULO MORTERO'!I68+'BLAZE SHIELD II'!$H$19)),0),0)+ROUND(IF(AND(L68="Cafco 400",M68="Software Idiem",C68="IN",G68=4),((('CAFCO 400 '!$H$7*(J68^4)+'CAFCO 400 '!$H$8*(J68^3)+'CAFCO 400 '!$H$9*(J68^2)+'CAFCO 400 '!$H$10*J68+'CAFCO 400 '!$H$11)*U68^2)+(('CAFCO 400 '!$H$12*(J68^3)+'CAFCO 400 '!$H$13*(J68^2)+'CAFCO 400 '!$H$14*J68+'CAFCO 400 '!$H$15)*U68)+('CAFCO 400 '!$H$16*(J68^2)+'CAFCO 400 '!$H$17*J68+'CAFCO 400 '!$H$18)),0)+IF(AND(L68="Cafco 400",M68="Software Idiem",C68="Cj"),(((('CAFCO 400 '!$D$7*LN(J68)+'CAFCO 400 '!$D$8)*U68^2)+(('CAFCO 400 '!$D$9*LN(J68)+'CAFCO 400 '!$D$10)*U68)+('CAFCO 400 '!$D$11*LN(J68)+'CAFCO 400 '!$D$12))),0)+IF(AND(L68="Cafco 400",M68="Software Idiem",C68="C"),((('CAFCO 400 '!$L$7*(J68^3)+'CAFCO 400 '!$L$8*(J68^2)+'CAFCO 400 '!$L$9*J68+'CAFCO 400 '!$L$10)*U68^2)+(('CAFCO 400 '!$L$11*(J68^3)+'CAFCO 400 '!$L$12*(J68^2)+'CAFCO 400 '!$L$13*J68+'CAFCO 400 '!$L$14)*U68)+('CAFCO 400 '!$L$15*LN(J68)+'CAFCO 400 '!$L$16)),0)+IF(AND(L68="Cafco 400",M68="Software Idiem",C68="L"),((('CAFCO 400 '!$L$7*(J68^3)+'CAFCO 400 '!$L$8*(J68^2)+'CAFCO 400 '!$L$9*J68+'CAFCO 400 '!$L$10)*U68^2)+(('CAFCO 400 '!$L$11*(J68^3)+'CAFCO 400 '!$L$12*(J68^2)+'CAFCO 400 '!$L$13*J68+'CAFCO 400 '!$L$14)*U68)+('CAFCO 400 '!$L$15*LN(J68)+'CAFCO 400 '!$L$16)),0)+IF(AND(L68="Cafco 400",M68="Software Idiem",C68="IN",G68=3),((('CAFCO 400 '!$D$23*(J68^2)+'CAFCO 400 '!$D$24*(J68)+'CAFCO 400 '!$D$25)*U68^2)+(('CAFCO 400 '!$D$26*(J68^2)+'CAFCO 400 '!$D$27*J68+'CAFCO 400 '!$D$28)*U68)+('CAFCO 400 '!$D$29*(J68^2)+'CAFCO 400 '!$D$30*J68+'CAFCO 400 '!$D$31)),0),0)+IF(AND(L68="Cafco 300",J68&gt;=95,J68&lt;=240,C68="Cj",I68=90),VLOOKUP(T68,'CAFCO 300 IDIEM TABLAS'!$B$4:$D$23,2,FALSE),0)+IF(AND(L68="Cafco 300",J68&gt;=95,J68&lt;=240,C68="Cj",I68=120),VLOOKUP(T68,'CAFCO 300 IDIEM TABLAS'!$B$4:$D$23,3,FALSE),0)+IF(AND(L68="Cafco 300",J68&gt;=95,J68&lt;=400,G68=3,C68="IN",I68=90),VLOOKUP(T68,'CAFCO 300 IDIEM TABLAS'!$F$4:$H$35,2,FALSE),0)+IF(AND(L68="Cafco 300",J68&gt;=95,J68&lt;=400,G68=3,C68="IN",I68=120),VLOOKUP(T68,'CAFCO 300 IDIEM TABLAS'!$F$4:$H$35,3,FALSE),0)+IF(AND(L68="Cafco 300",J68&gt;=95,J68&lt;=450,G68=4,C68="IN",I68=90),VLOOKUP(T68,'CAFCO 300 IDIEM TABLAS'!$J$4:$L$40,2,FALSE),0)+IF(AND(L68="Cafco 300",J68&gt;=95,J68&lt;=450,G68=4,C68="IN",I68=120),VLOOKUP(T68,'CAFCO 300 IDIEM TABLAS'!$J$4:$L$40,3,FALSE),0)+IF(AND(M68="Ensayo Idiem",L68="Cafco 400",C68="IN",G68=4,I68=90),VLOOKUP(T68,'CAFCO 400 ENSAYO'!$B$7:$D$43,2,FALSE),0)+IF(AND(M68="Ensayo Idiem",L68="Cafco 400",C68="IN",G68=4,I68=120),VLOOKUP(T68,'CAFCO 400 ENSAYO'!$B$7:$D$43,3,FALSE),0)</f>
        <v>0</v>
      </c>
      <c r="O68" s="96">
        <f t="shared" si="1"/>
        <v>0</v>
      </c>
      <c r="P68" s="95" t="str">
        <f t="shared" si="2"/>
        <v>CERT.</v>
      </c>
      <c r="Q68" s="95" t="str">
        <f t="shared" si="3"/>
        <v>CERT.</v>
      </c>
      <c r="R68" s="95" t="str">
        <f t="shared" si="4"/>
        <v>NO CERT.</v>
      </c>
      <c r="S68" s="95" t="str">
        <f t="shared" si="0"/>
        <v>NO CERT.</v>
      </c>
      <c r="T68" s="119">
        <f>+IF(J68=LOOKUP(J68,'CAFCO 300 IDIEM TABLAS'!$J$4:$J$40),'CALCULO MORTERO'!J68,MROUND('CALCULO MORTERO'!J68,10))</f>
        <v>330</v>
      </c>
      <c r="U68" s="118" t="e">
        <f t="shared" si="5"/>
        <v>#VALUE!</v>
      </c>
      <c r="Y68" s="4"/>
      <c r="Z68" s="4"/>
      <c r="AA68" s="4"/>
    </row>
    <row r="69" spans="1:27" x14ac:dyDescent="0.25">
      <c r="A69" s="118" t="str">
        <f>+CUBICACION!D68</f>
        <v>VIGA</v>
      </c>
      <c r="B69" s="819" t="str">
        <f>+CUBICACION!E68</f>
        <v>200X100X4</v>
      </c>
      <c r="C69" s="675" t="str">
        <f>+CUBICACION!F68</f>
        <v>CJ</v>
      </c>
      <c r="D69" s="118"/>
      <c r="E69" s="118"/>
      <c r="F69" s="820"/>
      <c r="G69" s="675">
        <f>+CUBICACION!J68</f>
        <v>4</v>
      </c>
      <c r="H69" s="118"/>
      <c r="I69" s="821" t="str">
        <f>+CUBICACION!L68</f>
        <v>F-60</v>
      </c>
      <c r="J69" s="64">
        <f>+CUBICACION!M68</f>
        <v>250</v>
      </c>
      <c r="K69" s="822">
        <f>+CUBICACION!N68</f>
        <v>1.2</v>
      </c>
      <c r="L69" s="118" t="str">
        <f>+CUBICACION!O68</f>
        <v>Fire Tex 5090</v>
      </c>
      <c r="M69" s="823" t="str">
        <f>+CUBICACION!P68</f>
        <v>Software Idiem</v>
      </c>
      <c r="N69" s="902">
        <f>ROUND(IF(AND(L69="Blaze Shield II",M69="Software Idiem",C69="IN",G69=4),((('BLAZE SHIELD II'!$D$4*('CALCULO MORTERO'!I69^2)+'BLAZE SHIELD II'!$D$5*'CALCULO MORTERO'!I69+'BLAZE SHIELD II'!$D$6)*LN(J69))+('BLAZE SHIELD II'!$D$7*('CALCULO MORTERO'!I69^2)+'BLAZE SHIELD II'!$D$8*'CALCULO MORTERO'!I69+'BLAZE SHIELD II'!$D$9)),0)+IF(AND(L69="Blaze Shield II",M69="Software Idiem",C69="Cj"),((('BLAZE SHIELD II'!$H$4*('CALCULO MORTERO'!I69^2)+'BLAZE SHIELD II'!$H$5*'CALCULO MORTERO'!I69+'BLAZE SHIELD II'!$H$6)*LN(J69))+('BLAZE SHIELD II'!$H$7*('CALCULO MORTERO'!I69^2)+'BLAZE SHIELD II'!$H$8*'CALCULO MORTERO'!I69+'BLAZE SHIELD II'!$H$9)),0)+IF(AND(L69="Blaze Shield II",M69="Software Idiem",C69="C"),((('BLAZE SHIELD II'!$L$4*('CALCULO MORTERO'!I69^2)+'BLAZE SHIELD II'!$L$5*'CALCULO MORTERO'!I69+'BLAZE SHIELD II'!$L$6)*LN(J69))+('BLAZE SHIELD II'!$L$7*('CALCULO MORTERO'!I69^2)+'BLAZE SHIELD II'!$L$8*'CALCULO MORTERO'!I69+'BLAZE SHIELD II'!$L$9)),0)+IF(AND(L69="Blaze Shield II",M69="Software Idiem",C69="L"),((('BLAZE SHIELD II'!$L$4*('CALCULO MORTERO'!I69^2)+'BLAZE SHIELD II'!$L$5*'CALCULO MORTERO'!I69+'BLAZE SHIELD II'!$L$6)*LN(J69))+('BLAZE SHIELD II'!$L$7*('CALCULO MORTERO'!I69^2)+'BLAZE SHIELD II'!$L$8*'CALCULO MORTERO'!I69+'BLAZE SHIELD II'!$L$9)),0)+IF(AND(L69="Blaze Shield II",M69="Software Idiem",C69="IN",G69=3),((('BLAZE SHIELD II'!$H$14*('CALCULO MORTERO'!I69^2)+'BLAZE SHIELD II'!$H$15*'CALCULO MORTERO'!I69+'BLAZE SHIELD II'!$H$16)*LN(J69))+('BLAZE SHIELD II'!$H$17*('CALCULO MORTERO'!I69^2)+'BLAZE SHIELD II'!$H$18*'CALCULO MORTERO'!I69+'BLAZE SHIELD II'!$H$19)),0),0)+ROUND(IF(AND(L69="Cafco 400",M69="Software Idiem",C69="IN",G69=4),((('CAFCO 400 '!$H$7*(J69^4)+'CAFCO 400 '!$H$8*(J69^3)+'CAFCO 400 '!$H$9*(J69^2)+'CAFCO 400 '!$H$10*J69+'CAFCO 400 '!$H$11)*U69^2)+(('CAFCO 400 '!$H$12*(J69^3)+'CAFCO 400 '!$H$13*(J69^2)+'CAFCO 400 '!$H$14*J69+'CAFCO 400 '!$H$15)*U69)+('CAFCO 400 '!$H$16*(J69^2)+'CAFCO 400 '!$H$17*J69+'CAFCO 400 '!$H$18)),0)+IF(AND(L69="Cafco 400",M69="Software Idiem",C69="Cj"),(((('CAFCO 400 '!$D$7*LN(J69)+'CAFCO 400 '!$D$8)*U69^2)+(('CAFCO 400 '!$D$9*LN(J69)+'CAFCO 400 '!$D$10)*U69)+('CAFCO 400 '!$D$11*LN(J69)+'CAFCO 400 '!$D$12))),0)+IF(AND(L69="Cafco 400",M69="Software Idiem",C69="C"),((('CAFCO 400 '!$L$7*(J69^3)+'CAFCO 400 '!$L$8*(J69^2)+'CAFCO 400 '!$L$9*J69+'CAFCO 400 '!$L$10)*U69^2)+(('CAFCO 400 '!$L$11*(J69^3)+'CAFCO 400 '!$L$12*(J69^2)+'CAFCO 400 '!$L$13*J69+'CAFCO 400 '!$L$14)*U69)+('CAFCO 400 '!$L$15*LN(J69)+'CAFCO 400 '!$L$16)),0)+IF(AND(L69="Cafco 400",M69="Software Idiem",C69="L"),((('CAFCO 400 '!$L$7*(J69^3)+'CAFCO 400 '!$L$8*(J69^2)+'CAFCO 400 '!$L$9*J69+'CAFCO 400 '!$L$10)*U69^2)+(('CAFCO 400 '!$L$11*(J69^3)+'CAFCO 400 '!$L$12*(J69^2)+'CAFCO 400 '!$L$13*J69+'CAFCO 400 '!$L$14)*U69)+('CAFCO 400 '!$L$15*LN(J69)+'CAFCO 400 '!$L$16)),0)+IF(AND(L69="Cafco 400",M69="Software Idiem",C69="IN",G69=3),((('CAFCO 400 '!$D$23*(J69^2)+'CAFCO 400 '!$D$24*(J69)+'CAFCO 400 '!$D$25)*U69^2)+(('CAFCO 400 '!$D$26*(J69^2)+'CAFCO 400 '!$D$27*J69+'CAFCO 400 '!$D$28)*U69)+('CAFCO 400 '!$D$29*(J69^2)+'CAFCO 400 '!$D$30*J69+'CAFCO 400 '!$D$31)),0),0)+IF(AND(L69="Cafco 300",J69&gt;=95,J69&lt;=240,C69="Cj",I69=90),VLOOKUP(T69,'CAFCO 300 IDIEM TABLAS'!$B$4:$D$23,2,FALSE),0)+IF(AND(L69="Cafco 300",J69&gt;=95,J69&lt;=240,C69="Cj",I69=120),VLOOKUP(T69,'CAFCO 300 IDIEM TABLAS'!$B$4:$D$23,3,FALSE),0)+IF(AND(L69="Cafco 300",J69&gt;=95,J69&lt;=400,G69=3,C69="IN",I69=90),VLOOKUP(T69,'CAFCO 300 IDIEM TABLAS'!$F$4:$H$35,2,FALSE),0)+IF(AND(L69="Cafco 300",J69&gt;=95,J69&lt;=400,G69=3,C69="IN",I69=120),VLOOKUP(T69,'CAFCO 300 IDIEM TABLAS'!$F$4:$H$35,3,FALSE),0)+IF(AND(L69="Cafco 300",J69&gt;=95,J69&lt;=450,G69=4,C69="IN",I69=90),VLOOKUP(T69,'CAFCO 300 IDIEM TABLAS'!$J$4:$L$40,2,FALSE),0)+IF(AND(L69="Cafco 300",J69&gt;=95,J69&lt;=450,G69=4,C69="IN",I69=120),VLOOKUP(T69,'CAFCO 300 IDIEM TABLAS'!$J$4:$L$40,3,FALSE),0)+IF(AND(M69="Ensayo Idiem",L69="Cafco 400",C69="IN",G69=4,I69=90),VLOOKUP(T69,'CAFCO 400 ENSAYO'!$B$7:$D$43,2,FALSE),0)+IF(AND(M69="Ensayo Idiem",L69="Cafco 400",C69="IN",G69=4,I69=120),VLOOKUP(T69,'CAFCO 400 ENSAYO'!$B$7:$D$43,3,FALSE),0)</f>
        <v>0</v>
      </c>
      <c r="O69" s="96">
        <f t="shared" si="1"/>
        <v>0</v>
      </c>
      <c r="P69" s="95" t="str">
        <f t="shared" si="2"/>
        <v>CERT.</v>
      </c>
      <c r="Q69" s="95" t="str">
        <f t="shared" si="3"/>
        <v>CERT.</v>
      </c>
      <c r="R69" s="95" t="str">
        <f t="shared" si="4"/>
        <v>NO CERT.</v>
      </c>
      <c r="S69" s="95" t="str">
        <f t="shared" si="0"/>
        <v>NO CERT.</v>
      </c>
      <c r="T69" s="119">
        <f>+IF(J69=LOOKUP(J69,'CAFCO 300 IDIEM TABLAS'!$J$4:$J$40),'CALCULO MORTERO'!J69,MROUND('CALCULO MORTERO'!J69,10))</f>
        <v>250</v>
      </c>
      <c r="U69" s="118" t="e">
        <f t="shared" si="5"/>
        <v>#VALUE!</v>
      </c>
      <c r="Y69" s="4"/>
      <c r="Z69" s="4"/>
      <c r="AA69" s="4"/>
    </row>
    <row r="70" spans="1:27" ht="15.6" customHeight="1" x14ac:dyDescent="0.25">
      <c r="A70" s="118" t="str">
        <f>+CUBICACION!D69</f>
        <v>ARRIOSTRAMINETO VERTICAL</v>
      </c>
      <c r="B70" s="819" t="str">
        <f>+CUBICACION!E69</f>
        <v>100X100X3</v>
      </c>
      <c r="C70" s="675" t="str">
        <f>+CUBICACION!F69</f>
        <v>CJ</v>
      </c>
      <c r="D70" s="118"/>
      <c r="E70" s="118"/>
      <c r="F70" s="820"/>
      <c r="G70" s="675">
        <f>+CUBICACION!J69</f>
        <v>4</v>
      </c>
      <c r="H70" s="118"/>
      <c r="I70" s="821" t="str">
        <f>+CUBICACION!L69</f>
        <v>F-60</v>
      </c>
      <c r="J70" s="64">
        <f>+CUBICACION!M69</f>
        <v>333</v>
      </c>
      <c r="K70" s="822">
        <f>+CUBICACION!N69</f>
        <v>22.08</v>
      </c>
      <c r="L70" s="118" t="str">
        <f>+CUBICACION!O69</f>
        <v>Fire Tex 5090</v>
      </c>
      <c r="M70" s="823" t="str">
        <f>+CUBICACION!P69</f>
        <v>Software Idiem</v>
      </c>
      <c r="N70" s="902">
        <f>ROUND(IF(AND(L70="Blaze Shield II",M70="Software Idiem",C70="IN",G70=4),((('BLAZE SHIELD II'!$D$4*('CALCULO MORTERO'!I70^2)+'BLAZE SHIELD II'!$D$5*'CALCULO MORTERO'!I70+'BLAZE SHIELD II'!$D$6)*LN(J70))+('BLAZE SHIELD II'!$D$7*('CALCULO MORTERO'!I70^2)+'BLAZE SHIELD II'!$D$8*'CALCULO MORTERO'!I70+'BLAZE SHIELD II'!$D$9)),0)+IF(AND(L70="Blaze Shield II",M70="Software Idiem",C70="Cj"),((('BLAZE SHIELD II'!$H$4*('CALCULO MORTERO'!I70^2)+'BLAZE SHIELD II'!$H$5*'CALCULO MORTERO'!I70+'BLAZE SHIELD II'!$H$6)*LN(J70))+('BLAZE SHIELD II'!$H$7*('CALCULO MORTERO'!I70^2)+'BLAZE SHIELD II'!$H$8*'CALCULO MORTERO'!I70+'BLAZE SHIELD II'!$H$9)),0)+IF(AND(L70="Blaze Shield II",M70="Software Idiem",C70="C"),((('BLAZE SHIELD II'!$L$4*('CALCULO MORTERO'!I70^2)+'BLAZE SHIELD II'!$L$5*'CALCULO MORTERO'!I70+'BLAZE SHIELD II'!$L$6)*LN(J70))+('BLAZE SHIELD II'!$L$7*('CALCULO MORTERO'!I70^2)+'BLAZE SHIELD II'!$L$8*'CALCULO MORTERO'!I70+'BLAZE SHIELD II'!$L$9)),0)+IF(AND(L70="Blaze Shield II",M70="Software Idiem",C70="L"),((('BLAZE SHIELD II'!$L$4*('CALCULO MORTERO'!I70^2)+'BLAZE SHIELD II'!$L$5*'CALCULO MORTERO'!I70+'BLAZE SHIELD II'!$L$6)*LN(J70))+('BLAZE SHIELD II'!$L$7*('CALCULO MORTERO'!I70^2)+'BLAZE SHIELD II'!$L$8*'CALCULO MORTERO'!I70+'BLAZE SHIELD II'!$L$9)),0)+IF(AND(L70="Blaze Shield II",M70="Software Idiem",C70="IN",G70=3),((('BLAZE SHIELD II'!$H$14*('CALCULO MORTERO'!I70^2)+'BLAZE SHIELD II'!$H$15*'CALCULO MORTERO'!I70+'BLAZE SHIELD II'!$H$16)*LN(J70))+('BLAZE SHIELD II'!$H$17*('CALCULO MORTERO'!I70^2)+'BLAZE SHIELD II'!$H$18*'CALCULO MORTERO'!I70+'BLAZE SHIELD II'!$H$19)),0),0)+ROUND(IF(AND(L70="Cafco 400",M70="Software Idiem",C70="IN",G70=4),((('CAFCO 400 '!$H$7*(J70^4)+'CAFCO 400 '!$H$8*(J70^3)+'CAFCO 400 '!$H$9*(J70^2)+'CAFCO 400 '!$H$10*J70+'CAFCO 400 '!$H$11)*U70^2)+(('CAFCO 400 '!$H$12*(J70^3)+'CAFCO 400 '!$H$13*(J70^2)+'CAFCO 400 '!$H$14*J70+'CAFCO 400 '!$H$15)*U70)+('CAFCO 400 '!$H$16*(J70^2)+'CAFCO 400 '!$H$17*J70+'CAFCO 400 '!$H$18)),0)+IF(AND(L70="Cafco 400",M70="Software Idiem",C70="Cj"),(((('CAFCO 400 '!$D$7*LN(J70)+'CAFCO 400 '!$D$8)*U70^2)+(('CAFCO 400 '!$D$9*LN(J70)+'CAFCO 400 '!$D$10)*U70)+('CAFCO 400 '!$D$11*LN(J70)+'CAFCO 400 '!$D$12))),0)+IF(AND(L70="Cafco 400",M70="Software Idiem",C70="C"),((('CAFCO 400 '!$L$7*(J70^3)+'CAFCO 400 '!$L$8*(J70^2)+'CAFCO 400 '!$L$9*J70+'CAFCO 400 '!$L$10)*U70^2)+(('CAFCO 400 '!$L$11*(J70^3)+'CAFCO 400 '!$L$12*(J70^2)+'CAFCO 400 '!$L$13*J70+'CAFCO 400 '!$L$14)*U70)+('CAFCO 400 '!$L$15*LN(J70)+'CAFCO 400 '!$L$16)),0)+IF(AND(L70="Cafco 400",M70="Software Idiem",C70="L"),((('CAFCO 400 '!$L$7*(J70^3)+'CAFCO 400 '!$L$8*(J70^2)+'CAFCO 400 '!$L$9*J70+'CAFCO 400 '!$L$10)*U70^2)+(('CAFCO 400 '!$L$11*(J70^3)+'CAFCO 400 '!$L$12*(J70^2)+'CAFCO 400 '!$L$13*J70+'CAFCO 400 '!$L$14)*U70)+('CAFCO 400 '!$L$15*LN(J70)+'CAFCO 400 '!$L$16)),0)+IF(AND(L70="Cafco 400",M70="Software Idiem",C70="IN",G70=3),((('CAFCO 400 '!$D$23*(J70^2)+'CAFCO 400 '!$D$24*(J70)+'CAFCO 400 '!$D$25)*U70^2)+(('CAFCO 400 '!$D$26*(J70^2)+'CAFCO 400 '!$D$27*J70+'CAFCO 400 '!$D$28)*U70)+('CAFCO 400 '!$D$29*(J70^2)+'CAFCO 400 '!$D$30*J70+'CAFCO 400 '!$D$31)),0),0)+IF(AND(L70="Cafco 300",J70&gt;=95,J70&lt;=240,C70="Cj",I70=90),VLOOKUP(T70,'CAFCO 300 IDIEM TABLAS'!$B$4:$D$23,2,FALSE),0)+IF(AND(L70="Cafco 300",J70&gt;=95,J70&lt;=240,C70="Cj",I70=120),VLOOKUP(T70,'CAFCO 300 IDIEM TABLAS'!$B$4:$D$23,3,FALSE),0)+IF(AND(L70="Cafco 300",J70&gt;=95,J70&lt;=400,G70=3,C70="IN",I70=90),VLOOKUP(T70,'CAFCO 300 IDIEM TABLAS'!$F$4:$H$35,2,FALSE),0)+IF(AND(L70="Cafco 300",J70&gt;=95,J70&lt;=400,G70=3,C70="IN",I70=120),VLOOKUP(T70,'CAFCO 300 IDIEM TABLAS'!$F$4:$H$35,3,FALSE),0)+IF(AND(L70="Cafco 300",J70&gt;=95,J70&lt;=450,G70=4,C70="IN",I70=90),VLOOKUP(T70,'CAFCO 300 IDIEM TABLAS'!$J$4:$L$40,2,FALSE),0)+IF(AND(L70="Cafco 300",J70&gt;=95,J70&lt;=450,G70=4,C70="IN",I70=120),VLOOKUP(T70,'CAFCO 300 IDIEM TABLAS'!$J$4:$L$40,3,FALSE),0)+IF(AND(M70="Ensayo Idiem",L70="Cafco 400",C70="IN",G70=4,I70=90),VLOOKUP(T70,'CAFCO 400 ENSAYO'!$B$7:$D$43,2,FALSE),0)+IF(AND(M70="Ensayo Idiem",L70="Cafco 400",C70="IN",G70=4,I70=120),VLOOKUP(T70,'CAFCO 400 ENSAYO'!$B$7:$D$43,3,FALSE),0)</f>
        <v>0</v>
      </c>
      <c r="O70" s="96">
        <f t="shared" si="1"/>
        <v>0</v>
      </c>
      <c r="P70" s="95" t="str">
        <f t="shared" si="2"/>
        <v>CERT.</v>
      </c>
      <c r="Q70" s="95" t="str">
        <f t="shared" si="3"/>
        <v>CERT.</v>
      </c>
      <c r="R70" s="95" t="str">
        <f t="shared" si="4"/>
        <v>NO CERT.</v>
      </c>
      <c r="S70" s="95" t="str">
        <f t="shared" si="0"/>
        <v>NO CERT.</v>
      </c>
      <c r="T70" s="119">
        <f>+IF(J70=LOOKUP(J70,'CAFCO 300 IDIEM TABLAS'!$J$4:$J$40),'CALCULO MORTERO'!J70,MROUND('CALCULO MORTERO'!J70,10))</f>
        <v>330</v>
      </c>
      <c r="U70" s="118" t="e">
        <f t="shared" si="5"/>
        <v>#VALUE!</v>
      </c>
      <c r="Y70" s="4"/>
      <c r="Z70" s="4"/>
      <c r="AA70" s="4"/>
    </row>
    <row r="71" spans="1:27" x14ac:dyDescent="0.25">
      <c r="A71" s="118" t="str">
        <f>+CUBICACION!D70</f>
        <v>ARRIOSTRAMINETO VERTICAL</v>
      </c>
      <c r="B71" s="819" t="str">
        <f>+CUBICACION!E70</f>
        <v>100X100X3</v>
      </c>
      <c r="C71" s="675" t="str">
        <f>+CUBICACION!F70</f>
        <v>CJ</v>
      </c>
      <c r="D71" s="118"/>
      <c r="E71" s="118"/>
      <c r="F71" s="820"/>
      <c r="G71" s="675">
        <f>+CUBICACION!J70</f>
        <v>4</v>
      </c>
      <c r="H71" s="118"/>
      <c r="I71" s="821" t="str">
        <f>+CUBICACION!L70</f>
        <v>F-60</v>
      </c>
      <c r="J71" s="64">
        <f>+CUBICACION!M70</f>
        <v>333</v>
      </c>
      <c r="K71" s="822">
        <f>+CUBICACION!N70</f>
        <v>9.2799999999999994</v>
      </c>
      <c r="L71" s="118" t="str">
        <f>+CUBICACION!O70</f>
        <v>Fire Tex 5090</v>
      </c>
      <c r="M71" s="823" t="str">
        <f>+CUBICACION!P70</f>
        <v>Software Idiem</v>
      </c>
      <c r="N71" s="902">
        <f>ROUND(IF(AND(L71="Blaze Shield II",M71="Software Idiem",C71="IN",G71=4),((('BLAZE SHIELD II'!$D$4*('CALCULO MORTERO'!I71^2)+'BLAZE SHIELD II'!$D$5*'CALCULO MORTERO'!I71+'BLAZE SHIELD II'!$D$6)*LN(J71))+('BLAZE SHIELD II'!$D$7*('CALCULO MORTERO'!I71^2)+'BLAZE SHIELD II'!$D$8*'CALCULO MORTERO'!I71+'BLAZE SHIELD II'!$D$9)),0)+IF(AND(L71="Blaze Shield II",M71="Software Idiem",C71="Cj"),((('BLAZE SHIELD II'!$H$4*('CALCULO MORTERO'!I71^2)+'BLAZE SHIELD II'!$H$5*'CALCULO MORTERO'!I71+'BLAZE SHIELD II'!$H$6)*LN(J71))+('BLAZE SHIELD II'!$H$7*('CALCULO MORTERO'!I71^2)+'BLAZE SHIELD II'!$H$8*'CALCULO MORTERO'!I71+'BLAZE SHIELD II'!$H$9)),0)+IF(AND(L71="Blaze Shield II",M71="Software Idiem",C71="C"),((('BLAZE SHIELD II'!$L$4*('CALCULO MORTERO'!I71^2)+'BLAZE SHIELD II'!$L$5*'CALCULO MORTERO'!I71+'BLAZE SHIELD II'!$L$6)*LN(J71))+('BLAZE SHIELD II'!$L$7*('CALCULO MORTERO'!I71^2)+'BLAZE SHIELD II'!$L$8*'CALCULO MORTERO'!I71+'BLAZE SHIELD II'!$L$9)),0)+IF(AND(L71="Blaze Shield II",M71="Software Idiem",C71="L"),((('BLAZE SHIELD II'!$L$4*('CALCULO MORTERO'!I71^2)+'BLAZE SHIELD II'!$L$5*'CALCULO MORTERO'!I71+'BLAZE SHIELD II'!$L$6)*LN(J71))+('BLAZE SHIELD II'!$L$7*('CALCULO MORTERO'!I71^2)+'BLAZE SHIELD II'!$L$8*'CALCULO MORTERO'!I71+'BLAZE SHIELD II'!$L$9)),0)+IF(AND(L71="Blaze Shield II",M71="Software Idiem",C71="IN",G71=3),((('BLAZE SHIELD II'!$H$14*('CALCULO MORTERO'!I71^2)+'BLAZE SHIELD II'!$H$15*'CALCULO MORTERO'!I71+'BLAZE SHIELD II'!$H$16)*LN(J71))+('BLAZE SHIELD II'!$H$17*('CALCULO MORTERO'!I71^2)+'BLAZE SHIELD II'!$H$18*'CALCULO MORTERO'!I71+'BLAZE SHIELD II'!$H$19)),0),0)+ROUND(IF(AND(L71="Cafco 400",M71="Software Idiem",C71="IN",G71=4),((('CAFCO 400 '!$H$7*(J71^4)+'CAFCO 400 '!$H$8*(J71^3)+'CAFCO 400 '!$H$9*(J71^2)+'CAFCO 400 '!$H$10*J71+'CAFCO 400 '!$H$11)*U71^2)+(('CAFCO 400 '!$H$12*(J71^3)+'CAFCO 400 '!$H$13*(J71^2)+'CAFCO 400 '!$H$14*J71+'CAFCO 400 '!$H$15)*U71)+('CAFCO 400 '!$H$16*(J71^2)+'CAFCO 400 '!$H$17*J71+'CAFCO 400 '!$H$18)),0)+IF(AND(L71="Cafco 400",M71="Software Idiem",C71="Cj"),(((('CAFCO 400 '!$D$7*LN(J71)+'CAFCO 400 '!$D$8)*U71^2)+(('CAFCO 400 '!$D$9*LN(J71)+'CAFCO 400 '!$D$10)*U71)+('CAFCO 400 '!$D$11*LN(J71)+'CAFCO 400 '!$D$12))),0)+IF(AND(L71="Cafco 400",M71="Software Idiem",C71="C"),((('CAFCO 400 '!$L$7*(J71^3)+'CAFCO 400 '!$L$8*(J71^2)+'CAFCO 400 '!$L$9*J71+'CAFCO 400 '!$L$10)*U71^2)+(('CAFCO 400 '!$L$11*(J71^3)+'CAFCO 400 '!$L$12*(J71^2)+'CAFCO 400 '!$L$13*J71+'CAFCO 400 '!$L$14)*U71)+('CAFCO 400 '!$L$15*LN(J71)+'CAFCO 400 '!$L$16)),0)+IF(AND(L71="Cafco 400",M71="Software Idiem",C71="L"),((('CAFCO 400 '!$L$7*(J71^3)+'CAFCO 400 '!$L$8*(J71^2)+'CAFCO 400 '!$L$9*J71+'CAFCO 400 '!$L$10)*U71^2)+(('CAFCO 400 '!$L$11*(J71^3)+'CAFCO 400 '!$L$12*(J71^2)+'CAFCO 400 '!$L$13*J71+'CAFCO 400 '!$L$14)*U71)+('CAFCO 400 '!$L$15*LN(J71)+'CAFCO 400 '!$L$16)),0)+IF(AND(L71="Cafco 400",M71="Software Idiem",C71="IN",G71=3),((('CAFCO 400 '!$D$23*(J71^2)+'CAFCO 400 '!$D$24*(J71)+'CAFCO 400 '!$D$25)*U71^2)+(('CAFCO 400 '!$D$26*(J71^2)+'CAFCO 400 '!$D$27*J71+'CAFCO 400 '!$D$28)*U71)+('CAFCO 400 '!$D$29*(J71^2)+'CAFCO 400 '!$D$30*J71+'CAFCO 400 '!$D$31)),0),0)+IF(AND(L71="Cafco 300",J71&gt;=95,J71&lt;=240,C71="Cj",I71=90),VLOOKUP(T71,'CAFCO 300 IDIEM TABLAS'!$B$4:$D$23,2,FALSE),0)+IF(AND(L71="Cafco 300",J71&gt;=95,J71&lt;=240,C71="Cj",I71=120),VLOOKUP(T71,'CAFCO 300 IDIEM TABLAS'!$B$4:$D$23,3,FALSE),0)+IF(AND(L71="Cafco 300",J71&gt;=95,J71&lt;=400,G71=3,C71="IN",I71=90),VLOOKUP(T71,'CAFCO 300 IDIEM TABLAS'!$F$4:$H$35,2,FALSE),0)+IF(AND(L71="Cafco 300",J71&gt;=95,J71&lt;=400,G71=3,C71="IN",I71=120),VLOOKUP(T71,'CAFCO 300 IDIEM TABLAS'!$F$4:$H$35,3,FALSE),0)+IF(AND(L71="Cafco 300",J71&gt;=95,J71&lt;=450,G71=4,C71="IN",I71=90),VLOOKUP(T71,'CAFCO 300 IDIEM TABLAS'!$J$4:$L$40,2,FALSE),0)+IF(AND(L71="Cafco 300",J71&gt;=95,J71&lt;=450,G71=4,C71="IN",I71=120),VLOOKUP(T71,'CAFCO 300 IDIEM TABLAS'!$J$4:$L$40,3,FALSE),0)+IF(AND(M71="Ensayo Idiem",L71="Cafco 400",C71="IN",G71=4,I71=90),VLOOKUP(T71,'CAFCO 400 ENSAYO'!$B$7:$D$43,2,FALSE),0)+IF(AND(M71="Ensayo Idiem",L71="Cafco 400",C71="IN",G71=4,I71=120),VLOOKUP(T71,'CAFCO 400 ENSAYO'!$B$7:$D$43,3,FALSE),0)</f>
        <v>0</v>
      </c>
      <c r="O71" s="96">
        <f t="shared" si="1"/>
        <v>0</v>
      </c>
      <c r="P71" s="95" t="str">
        <f t="shared" si="2"/>
        <v>CERT.</v>
      </c>
      <c r="Q71" s="95" t="str">
        <f t="shared" si="3"/>
        <v>CERT.</v>
      </c>
      <c r="R71" s="95" t="str">
        <f t="shared" si="4"/>
        <v>NO CERT.</v>
      </c>
      <c r="S71" s="95" t="str">
        <f t="shared" si="0"/>
        <v>NO CERT.</v>
      </c>
      <c r="T71" s="119">
        <f>+IF(J71=LOOKUP(J71,'CAFCO 300 IDIEM TABLAS'!$J$4:$J$40),'CALCULO MORTERO'!J71,MROUND('CALCULO MORTERO'!J71,10))</f>
        <v>330</v>
      </c>
      <c r="U71" s="118" t="e">
        <f t="shared" si="5"/>
        <v>#VALUE!</v>
      </c>
      <c r="Y71" s="4"/>
      <c r="Z71" s="4"/>
      <c r="AA71" s="4"/>
    </row>
    <row r="72" spans="1:27" ht="15.6" customHeight="1" x14ac:dyDescent="0.25">
      <c r="A72" s="118" t="str">
        <f>+CUBICACION!D71</f>
        <v>VIGA</v>
      </c>
      <c r="B72" s="819" t="str">
        <f>+CUBICACION!E71</f>
        <v>M1 MM400X200X4</v>
      </c>
      <c r="C72" s="675" t="str">
        <f>+CUBICACION!F71</f>
        <v>CJ</v>
      </c>
      <c r="D72" s="118"/>
      <c r="E72" s="118"/>
      <c r="F72" s="820"/>
      <c r="G72" s="675">
        <f>+CUBICACION!J71</f>
        <v>4</v>
      </c>
      <c r="H72" s="118"/>
      <c r="I72" s="821" t="str">
        <f>+CUBICACION!L71</f>
        <v>F-60</v>
      </c>
      <c r="J72" s="64">
        <f>+CUBICACION!M71</f>
        <v>236</v>
      </c>
      <c r="K72" s="822">
        <f>+CUBICACION!N71</f>
        <v>168.48</v>
      </c>
      <c r="L72" s="118" t="str">
        <f>+CUBICACION!O71</f>
        <v>Fire Tex 5090</v>
      </c>
      <c r="M72" s="823" t="str">
        <f>+CUBICACION!P71</f>
        <v>Software Idiem</v>
      </c>
      <c r="N72" s="902">
        <f>ROUND(IF(AND(L72="Blaze Shield II",M72="Software Idiem",C72="IN",G72=4),((('BLAZE SHIELD II'!$D$4*('CALCULO MORTERO'!I72^2)+'BLAZE SHIELD II'!$D$5*'CALCULO MORTERO'!I72+'BLAZE SHIELD II'!$D$6)*LN(J72))+('BLAZE SHIELD II'!$D$7*('CALCULO MORTERO'!I72^2)+'BLAZE SHIELD II'!$D$8*'CALCULO MORTERO'!I72+'BLAZE SHIELD II'!$D$9)),0)+IF(AND(L72="Blaze Shield II",M72="Software Idiem",C72="Cj"),((('BLAZE SHIELD II'!$H$4*('CALCULO MORTERO'!I72^2)+'BLAZE SHIELD II'!$H$5*'CALCULO MORTERO'!I72+'BLAZE SHIELD II'!$H$6)*LN(J72))+('BLAZE SHIELD II'!$H$7*('CALCULO MORTERO'!I72^2)+'BLAZE SHIELD II'!$H$8*'CALCULO MORTERO'!I72+'BLAZE SHIELD II'!$H$9)),0)+IF(AND(L72="Blaze Shield II",M72="Software Idiem",C72="C"),((('BLAZE SHIELD II'!$L$4*('CALCULO MORTERO'!I72^2)+'BLAZE SHIELD II'!$L$5*'CALCULO MORTERO'!I72+'BLAZE SHIELD II'!$L$6)*LN(J72))+('BLAZE SHIELD II'!$L$7*('CALCULO MORTERO'!I72^2)+'BLAZE SHIELD II'!$L$8*'CALCULO MORTERO'!I72+'BLAZE SHIELD II'!$L$9)),0)+IF(AND(L72="Blaze Shield II",M72="Software Idiem",C72="L"),((('BLAZE SHIELD II'!$L$4*('CALCULO MORTERO'!I72^2)+'BLAZE SHIELD II'!$L$5*'CALCULO MORTERO'!I72+'BLAZE SHIELD II'!$L$6)*LN(J72))+('BLAZE SHIELD II'!$L$7*('CALCULO MORTERO'!I72^2)+'BLAZE SHIELD II'!$L$8*'CALCULO MORTERO'!I72+'BLAZE SHIELD II'!$L$9)),0)+IF(AND(L72="Blaze Shield II",M72="Software Idiem",C72="IN",G72=3),((('BLAZE SHIELD II'!$H$14*('CALCULO MORTERO'!I72^2)+'BLAZE SHIELD II'!$H$15*'CALCULO MORTERO'!I72+'BLAZE SHIELD II'!$H$16)*LN(J72))+('BLAZE SHIELD II'!$H$17*('CALCULO MORTERO'!I72^2)+'BLAZE SHIELD II'!$H$18*'CALCULO MORTERO'!I72+'BLAZE SHIELD II'!$H$19)),0),0)+ROUND(IF(AND(L72="Cafco 400",M72="Software Idiem",C72="IN",G72=4),((('CAFCO 400 '!$H$7*(J72^4)+'CAFCO 400 '!$H$8*(J72^3)+'CAFCO 400 '!$H$9*(J72^2)+'CAFCO 400 '!$H$10*J72+'CAFCO 400 '!$H$11)*U72^2)+(('CAFCO 400 '!$H$12*(J72^3)+'CAFCO 400 '!$H$13*(J72^2)+'CAFCO 400 '!$H$14*J72+'CAFCO 400 '!$H$15)*U72)+('CAFCO 400 '!$H$16*(J72^2)+'CAFCO 400 '!$H$17*J72+'CAFCO 400 '!$H$18)),0)+IF(AND(L72="Cafco 400",M72="Software Idiem",C72="Cj"),(((('CAFCO 400 '!$D$7*LN(J72)+'CAFCO 400 '!$D$8)*U72^2)+(('CAFCO 400 '!$D$9*LN(J72)+'CAFCO 400 '!$D$10)*U72)+('CAFCO 400 '!$D$11*LN(J72)+'CAFCO 400 '!$D$12))),0)+IF(AND(L72="Cafco 400",M72="Software Idiem",C72="C"),((('CAFCO 400 '!$L$7*(J72^3)+'CAFCO 400 '!$L$8*(J72^2)+'CAFCO 400 '!$L$9*J72+'CAFCO 400 '!$L$10)*U72^2)+(('CAFCO 400 '!$L$11*(J72^3)+'CAFCO 400 '!$L$12*(J72^2)+'CAFCO 400 '!$L$13*J72+'CAFCO 400 '!$L$14)*U72)+('CAFCO 400 '!$L$15*LN(J72)+'CAFCO 400 '!$L$16)),0)+IF(AND(L72="Cafco 400",M72="Software Idiem",C72="L"),((('CAFCO 400 '!$L$7*(J72^3)+'CAFCO 400 '!$L$8*(J72^2)+'CAFCO 400 '!$L$9*J72+'CAFCO 400 '!$L$10)*U72^2)+(('CAFCO 400 '!$L$11*(J72^3)+'CAFCO 400 '!$L$12*(J72^2)+'CAFCO 400 '!$L$13*J72+'CAFCO 400 '!$L$14)*U72)+('CAFCO 400 '!$L$15*LN(J72)+'CAFCO 400 '!$L$16)),0)+IF(AND(L72="Cafco 400",M72="Software Idiem",C72="IN",G72=3),((('CAFCO 400 '!$D$23*(J72^2)+'CAFCO 400 '!$D$24*(J72)+'CAFCO 400 '!$D$25)*U72^2)+(('CAFCO 400 '!$D$26*(J72^2)+'CAFCO 400 '!$D$27*J72+'CAFCO 400 '!$D$28)*U72)+('CAFCO 400 '!$D$29*(J72^2)+'CAFCO 400 '!$D$30*J72+'CAFCO 400 '!$D$31)),0),0)+IF(AND(L72="Cafco 300",J72&gt;=95,J72&lt;=240,C72="Cj",I72=90),VLOOKUP(T72,'CAFCO 300 IDIEM TABLAS'!$B$4:$D$23,2,FALSE),0)+IF(AND(L72="Cafco 300",J72&gt;=95,J72&lt;=240,C72="Cj",I72=120),VLOOKUP(T72,'CAFCO 300 IDIEM TABLAS'!$B$4:$D$23,3,FALSE),0)+IF(AND(L72="Cafco 300",J72&gt;=95,J72&lt;=400,G72=3,C72="IN",I72=90),VLOOKUP(T72,'CAFCO 300 IDIEM TABLAS'!$F$4:$H$35,2,FALSE),0)+IF(AND(L72="Cafco 300",J72&gt;=95,J72&lt;=400,G72=3,C72="IN",I72=120),VLOOKUP(T72,'CAFCO 300 IDIEM TABLAS'!$F$4:$H$35,3,FALSE),0)+IF(AND(L72="Cafco 300",J72&gt;=95,J72&lt;=450,G72=4,C72="IN",I72=90),VLOOKUP(T72,'CAFCO 300 IDIEM TABLAS'!$J$4:$L$40,2,FALSE),0)+IF(AND(L72="Cafco 300",J72&gt;=95,J72&lt;=450,G72=4,C72="IN",I72=120),VLOOKUP(T72,'CAFCO 300 IDIEM TABLAS'!$J$4:$L$40,3,FALSE),0)+IF(AND(M72="Ensayo Idiem",L72="Cafco 400",C72="IN",G72=4,I72=90),VLOOKUP(T72,'CAFCO 400 ENSAYO'!$B$7:$D$43,2,FALSE),0)+IF(AND(M72="Ensayo Idiem",L72="Cafco 400",C72="IN",G72=4,I72=120),VLOOKUP(T72,'CAFCO 400 ENSAYO'!$B$7:$D$43,3,FALSE),0)</f>
        <v>0</v>
      </c>
      <c r="O72" s="96">
        <f t="shared" si="1"/>
        <v>0</v>
      </c>
      <c r="P72" s="95" t="str">
        <f t="shared" si="2"/>
        <v>CERT.</v>
      </c>
      <c r="Q72" s="95" t="str">
        <f t="shared" si="3"/>
        <v>CERT.</v>
      </c>
      <c r="R72" s="95" t="str">
        <f t="shared" si="4"/>
        <v>NO CERT.</v>
      </c>
      <c r="S72" s="95" t="str">
        <f t="shared" si="0"/>
        <v>NO CERT.</v>
      </c>
      <c r="T72" s="119">
        <f>+IF(J72=LOOKUP(J72,'CAFCO 300 IDIEM TABLAS'!$J$4:$J$40),'CALCULO MORTERO'!J72,MROUND('CALCULO MORTERO'!J72,10))</f>
        <v>240</v>
      </c>
      <c r="U72" s="118" t="e">
        <f t="shared" si="5"/>
        <v>#VALUE!</v>
      </c>
      <c r="Y72" s="4"/>
      <c r="Z72" s="4"/>
      <c r="AA72" s="4"/>
    </row>
    <row r="73" spans="1:27" x14ac:dyDescent="0.25">
      <c r="A73" s="118" t="str">
        <f>+CUBICACION!D72</f>
        <v>PILAR</v>
      </c>
      <c r="B73" s="819" t="str">
        <f>+CUBICACION!E72</f>
        <v>200X100X4</v>
      </c>
      <c r="C73" s="675" t="str">
        <f>+CUBICACION!F72</f>
        <v>CJ</v>
      </c>
      <c r="D73" s="118"/>
      <c r="E73" s="118"/>
      <c r="F73" s="820"/>
      <c r="G73" s="675">
        <f>+CUBICACION!J72</f>
        <v>4</v>
      </c>
      <c r="H73" s="118"/>
      <c r="I73" s="821" t="str">
        <f>+CUBICACION!L72</f>
        <v>F-60</v>
      </c>
      <c r="J73" s="64">
        <f>+CUBICACION!M72</f>
        <v>250</v>
      </c>
      <c r="K73" s="822">
        <f>+CUBICACION!N72</f>
        <v>12.78</v>
      </c>
      <c r="L73" s="118" t="str">
        <f>+CUBICACION!O72</f>
        <v>Fire Tex 5090</v>
      </c>
      <c r="M73" s="823" t="str">
        <f>+CUBICACION!P72</f>
        <v>Software Idiem</v>
      </c>
      <c r="N73" s="902">
        <f>ROUND(IF(AND(L73="Blaze Shield II",M73="Software Idiem",C73="IN",G73=4),((('BLAZE SHIELD II'!$D$4*('CALCULO MORTERO'!I73^2)+'BLAZE SHIELD II'!$D$5*'CALCULO MORTERO'!I73+'BLAZE SHIELD II'!$D$6)*LN(J73))+('BLAZE SHIELD II'!$D$7*('CALCULO MORTERO'!I73^2)+'BLAZE SHIELD II'!$D$8*'CALCULO MORTERO'!I73+'BLAZE SHIELD II'!$D$9)),0)+IF(AND(L73="Blaze Shield II",M73="Software Idiem",C73="Cj"),((('BLAZE SHIELD II'!$H$4*('CALCULO MORTERO'!I73^2)+'BLAZE SHIELD II'!$H$5*'CALCULO MORTERO'!I73+'BLAZE SHIELD II'!$H$6)*LN(J73))+('BLAZE SHIELD II'!$H$7*('CALCULO MORTERO'!I73^2)+'BLAZE SHIELD II'!$H$8*'CALCULO MORTERO'!I73+'BLAZE SHIELD II'!$H$9)),0)+IF(AND(L73="Blaze Shield II",M73="Software Idiem",C73="C"),((('BLAZE SHIELD II'!$L$4*('CALCULO MORTERO'!I73^2)+'BLAZE SHIELD II'!$L$5*'CALCULO MORTERO'!I73+'BLAZE SHIELD II'!$L$6)*LN(J73))+('BLAZE SHIELD II'!$L$7*('CALCULO MORTERO'!I73^2)+'BLAZE SHIELD II'!$L$8*'CALCULO MORTERO'!I73+'BLAZE SHIELD II'!$L$9)),0)+IF(AND(L73="Blaze Shield II",M73="Software Idiem",C73="L"),((('BLAZE SHIELD II'!$L$4*('CALCULO MORTERO'!I73^2)+'BLAZE SHIELD II'!$L$5*'CALCULO MORTERO'!I73+'BLAZE SHIELD II'!$L$6)*LN(J73))+('BLAZE SHIELD II'!$L$7*('CALCULO MORTERO'!I73^2)+'BLAZE SHIELD II'!$L$8*'CALCULO MORTERO'!I73+'BLAZE SHIELD II'!$L$9)),0)+IF(AND(L73="Blaze Shield II",M73="Software Idiem",C73="IN",G73=3),((('BLAZE SHIELD II'!$H$14*('CALCULO MORTERO'!I73^2)+'BLAZE SHIELD II'!$H$15*'CALCULO MORTERO'!I73+'BLAZE SHIELD II'!$H$16)*LN(J73))+('BLAZE SHIELD II'!$H$17*('CALCULO MORTERO'!I73^2)+'BLAZE SHIELD II'!$H$18*'CALCULO MORTERO'!I73+'BLAZE SHIELD II'!$H$19)),0),0)+ROUND(IF(AND(L73="Cafco 400",M73="Software Idiem",C73="IN",G73=4),((('CAFCO 400 '!$H$7*(J73^4)+'CAFCO 400 '!$H$8*(J73^3)+'CAFCO 400 '!$H$9*(J73^2)+'CAFCO 400 '!$H$10*J73+'CAFCO 400 '!$H$11)*U73^2)+(('CAFCO 400 '!$H$12*(J73^3)+'CAFCO 400 '!$H$13*(J73^2)+'CAFCO 400 '!$H$14*J73+'CAFCO 400 '!$H$15)*U73)+('CAFCO 400 '!$H$16*(J73^2)+'CAFCO 400 '!$H$17*J73+'CAFCO 400 '!$H$18)),0)+IF(AND(L73="Cafco 400",M73="Software Idiem",C73="Cj"),(((('CAFCO 400 '!$D$7*LN(J73)+'CAFCO 400 '!$D$8)*U73^2)+(('CAFCO 400 '!$D$9*LN(J73)+'CAFCO 400 '!$D$10)*U73)+('CAFCO 400 '!$D$11*LN(J73)+'CAFCO 400 '!$D$12))),0)+IF(AND(L73="Cafco 400",M73="Software Idiem",C73="C"),((('CAFCO 400 '!$L$7*(J73^3)+'CAFCO 400 '!$L$8*(J73^2)+'CAFCO 400 '!$L$9*J73+'CAFCO 400 '!$L$10)*U73^2)+(('CAFCO 400 '!$L$11*(J73^3)+'CAFCO 400 '!$L$12*(J73^2)+'CAFCO 400 '!$L$13*J73+'CAFCO 400 '!$L$14)*U73)+('CAFCO 400 '!$L$15*LN(J73)+'CAFCO 400 '!$L$16)),0)+IF(AND(L73="Cafco 400",M73="Software Idiem",C73="L"),((('CAFCO 400 '!$L$7*(J73^3)+'CAFCO 400 '!$L$8*(J73^2)+'CAFCO 400 '!$L$9*J73+'CAFCO 400 '!$L$10)*U73^2)+(('CAFCO 400 '!$L$11*(J73^3)+'CAFCO 400 '!$L$12*(J73^2)+'CAFCO 400 '!$L$13*J73+'CAFCO 400 '!$L$14)*U73)+('CAFCO 400 '!$L$15*LN(J73)+'CAFCO 400 '!$L$16)),0)+IF(AND(L73="Cafco 400",M73="Software Idiem",C73="IN",G73=3),((('CAFCO 400 '!$D$23*(J73^2)+'CAFCO 400 '!$D$24*(J73)+'CAFCO 400 '!$D$25)*U73^2)+(('CAFCO 400 '!$D$26*(J73^2)+'CAFCO 400 '!$D$27*J73+'CAFCO 400 '!$D$28)*U73)+('CAFCO 400 '!$D$29*(J73^2)+'CAFCO 400 '!$D$30*J73+'CAFCO 400 '!$D$31)),0),0)+IF(AND(L73="Cafco 300",J73&gt;=95,J73&lt;=240,C73="Cj",I73=90),VLOOKUP(T73,'CAFCO 300 IDIEM TABLAS'!$B$4:$D$23,2,FALSE),0)+IF(AND(L73="Cafco 300",J73&gt;=95,J73&lt;=240,C73="Cj",I73=120),VLOOKUP(T73,'CAFCO 300 IDIEM TABLAS'!$B$4:$D$23,3,FALSE),0)+IF(AND(L73="Cafco 300",J73&gt;=95,J73&lt;=400,G73=3,C73="IN",I73=90),VLOOKUP(T73,'CAFCO 300 IDIEM TABLAS'!$F$4:$H$35,2,FALSE),0)+IF(AND(L73="Cafco 300",J73&gt;=95,J73&lt;=400,G73=3,C73="IN",I73=120),VLOOKUP(T73,'CAFCO 300 IDIEM TABLAS'!$F$4:$H$35,3,FALSE),0)+IF(AND(L73="Cafco 300",J73&gt;=95,J73&lt;=450,G73=4,C73="IN",I73=90),VLOOKUP(T73,'CAFCO 300 IDIEM TABLAS'!$J$4:$L$40,2,FALSE),0)+IF(AND(L73="Cafco 300",J73&gt;=95,J73&lt;=450,G73=4,C73="IN",I73=120),VLOOKUP(T73,'CAFCO 300 IDIEM TABLAS'!$J$4:$L$40,3,FALSE),0)+IF(AND(M73="Ensayo Idiem",L73="Cafco 400",C73="IN",G73=4,I73=90),VLOOKUP(T73,'CAFCO 400 ENSAYO'!$B$7:$D$43,2,FALSE),0)+IF(AND(M73="Ensayo Idiem",L73="Cafco 400",C73="IN",G73=4,I73=120),VLOOKUP(T73,'CAFCO 400 ENSAYO'!$B$7:$D$43,3,FALSE),0)</f>
        <v>0</v>
      </c>
      <c r="O73" s="96">
        <f t="shared" si="1"/>
        <v>0</v>
      </c>
      <c r="P73" s="95" t="str">
        <f t="shared" si="2"/>
        <v>CERT.</v>
      </c>
      <c r="Q73" s="95" t="str">
        <f t="shared" si="3"/>
        <v>CERT.</v>
      </c>
      <c r="R73" s="95" t="str">
        <f t="shared" si="4"/>
        <v>NO CERT.</v>
      </c>
      <c r="S73" s="95" t="str">
        <f t="shared" si="0"/>
        <v>NO CERT.</v>
      </c>
      <c r="T73" s="119">
        <f>+IF(J73=LOOKUP(J73,'CAFCO 300 IDIEM TABLAS'!$J$4:$J$40),'CALCULO MORTERO'!J73,MROUND('CALCULO MORTERO'!J73,10))</f>
        <v>250</v>
      </c>
      <c r="U73" s="118" t="e">
        <f t="shared" si="5"/>
        <v>#VALUE!</v>
      </c>
      <c r="Y73" s="4"/>
      <c r="Z73" s="4"/>
      <c r="AA73" s="4"/>
    </row>
    <row r="74" spans="1:27" ht="15.6" customHeight="1" x14ac:dyDescent="0.25">
      <c r="A74" s="118" t="str">
        <f>+CUBICACION!D73</f>
        <v>PILAR</v>
      </c>
      <c r="B74" s="819" t="str">
        <f>+CUBICACION!E73</f>
        <v>150X150X5</v>
      </c>
      <c r="C74" s="675" t="str">
        <f>+CUBICACION!F73</f>
        <v>CJ</v>
      </c>
      <c r="D74" s="118"/>
      <c r="E74" s="118"/>
      <c r="F74" s="820"/>
      <c r="G74" s="675">
        <f>+CUBICACION!J73</f>
        <v>4</v>
      </c>
      <c r="H74" s="118"/>
      <c r="I74" s="821" t="str">
        <f>+CUBICACION!L73</f>
        <v>F-60</v>
      </c>
      <c r="J74" s="64">
        <f>+CUBICACION!M73</f>
        <v>200</v>
      </c>
      <c r="K74" s="822">
        <f>+CUBICACION!N73</f>
        <v>4.5</v>
      </c>
      <c r="L74" s="118" t="str">
        <f>+CUBICACION!O73</f>
        <v>Fire Tex 5090</v>
      </c>
      <c r="M74" s="823" t="str">
        <f>+CUBICACION!P73</f>
        <v>Software Idiem</v>
      </c>
      <c r="N74" s="902">
        <f>ROUND(IF(AND(L74="Blaze Shield II",M74="Software Idiem",C74="IN",G74=4),((('BLAZE SHIELD II'!$D$4*('CALCULO MORTERO'!I74^2)+'BLAZE SHIELD II'!$D$5*'CALCULO MORTERO'!I74+'BLAZE SHIELD II'!$D$6)*LN(J74))+('BLAZE SHIELD II'!$D$7*('CALCULO MORTERO'!I74^2)+'BLAZE SHIELD II'!$D$8*'CALCULO MORTERO'!I74+'BLAZE SHIELD II'!$D$9)),0)+IF(AND(L74="Blaze Shield II",M74="Software Idiem",C74="Cj"),((('BLAZE SHIELD II'!$H$4*('CALCULO MORTERO'!I74^2)+'BLAZE SHIELD II'!$H$5*'CALCULO MORTERO'!I74+'BLAZE SHIELD II'!$H$6)*LN(J74))+('BLAZE SHIELD II'!$H$7*('CALCULO MORTERO'!I74^2)+'BLAZE SHIELD II'!$H$8*'CALCULO MORTERO'!I74+'BLAZE SHIELD II'!$H$9)),0)+IF(AND(L74="Blaze Shield II",M74="Software Idiem",C74="C"),((('BLAZE SHIELD II'!$L$4*('CALCULO MORTERO'!I74^2)+'BLAZE SHIELD II'!$L$5*'CALCULO MORTERO'!I74+'BLAZE SHIELD II'!$L$6)*LN(J74))+('BLAZE SHIELD II'!$L$7*('CALCULO MORTERO'!I74^2)+'BLAZE SHIELD II'!$L$8*'CALCULO MORTERO'!I74+'BLAZE SHIELD II'!$L$9)),0)+IF(AND(L74="Blaze Shield II",M74="Software Idiem",C74="L"),((('BLAZE SHIELD II'!$L$4*('CALCULO MORTERO'!I74^2)+'BLAZE SHIELD II'!$L$5*'CALCULO MORTERO'!I74+'BLAZE SHIELD II'!$L$6)*LN(J74))+('BLAZE SHIELD II'!$L$7*('CALCULO MORTERO'!I74^2)+'BLAZE SHIELD II'!$L$8*'CALCULO MORTERO'!I74+'BLAZE SHIELD II'!$L$9)),0)+IF(AND(L74="Blaze Shield II",M74="Software Idiem",C74="IN",G74=3),((('BLAZE SHIELD II'!$H$14*('CALCULO MORTERO'!I74^2)+'BLAZE SHIELD II'!$H$15*'CALCULO MORTERO'!I74+'BLAZE SHIELD II'!$H$16)*LN(J74))+('BLAZE SHIELD II'!$H$17*('CALCULO MORTERO'!I74^2)+'BLAZE SHIELD II'!$H$18*'CALCULO MORTERO'!I74+'BLAZE SHIELD II'!$H$19)),0),0)+ROUND(IF(AND(L74="Cafco 400",M74="Software Idiem",C74="IN",G74=4),((('CAFCO 400 '!$H$7*(J74^4)+'CAFCO 400 '!$H$8*(J74^3)+'CAFCO 400 '!$H$9*(J74^2)+'CAFCO 400 '!$H$10*J74+'CAFCO 400 '!$H$11)*U74^2)+(('CAFCO 400 '!$H$12*(J74^3)+'CAFCO 400 '!$H$13*(J74^2)+'CAFCO 400 '!$H$14*J74+'CAFCO 400 '!$H$15)*U74)+('CAFCO 400 '!$H$16*(J74^2)+'CAFCO 400 '!$H$17*J74+'CAFCO 400 '!$H$18)),0)+IF(AND(L74="Cafco 400",M74="Software Idiem",C74="Cj"),(((('CAFCO 400 '!$D$7*LN(J74)+'CAFCO 400 '!$D$8)*U74^2)+(('CAFCO 400 '!$D$9*LN(J74)+'CAFCO 400 '!$D$10)*U74)+('CAFCO 400 '!$D$11*LN(J74)+'CAFCO 400 '!$D$12))),0)+IF(AND(L74="Cafco 400",M74="Software Idiem",C74="C"),((('CAFCO 400 '!$L$7*(J74^3)+'CAFCO 400 '!$L$8*(J74^2)+'CAFCO 400 '!$L$9*J74+'CAFCO 400 '!$L$10)*U74^2)+(('CAFCO 400 '!$L$11*(J74^3)+'CAFCO 400 '!$L$12*(J74^2)+'CAFCO 400 '!$L$13*J74+'CAFCO 400 '!$L$14)*U74)+('CAFCO 400 '!$L$15*LN(J74)+'CAFCO 400 '!$L$16)),0)+IF(AND(L74="Cafco 400",M74="Software Idiem",C74="L"),((('CAFCO 400 '!$L$7*(J74^3)+'CAFCO 400 '!$L$8*(J74^2)+'CAFCO 400 '!$L$9*J74+'CAFCO 400 '!$L$10)*U74^2)+(('CAFCO 400 '!$L$11*(J74^3)+'CAFCO 400 '!$L$12*(J74^2)+'CAFCO 400 '!$L$13*J74+'CAFCO 400 '!$L$14)*U74)+('CAFCO 400 '!$L$15*LN(J74)+'CAFCO 400 '!$L$16)),0)+IF(AND(L74="Cafco 400",M74="Software Idiem",C74="IN",G74=3),((('CAFCO 400 '!$D$23*(J74^2)+'CAFCO 400 '!$D$24*(J74)+'CAFCO 400 '!$D$25)*U74^2)+(('CAFCO 400 '!$D$26*(J74^2)+'CAFCO 400 '!$D$27*J74+'CAFCO 400 '!$D$28)*U74)+('CAFCO 400 '!$D$29*(J74^2)+'CAFCO 400 '!$D$30*J74+'CAFCO 400 '!$D$31)),0),0)+IF(AND(L74="Cafco 300",J74&gt;=95,J74&lt;=240,C74="Cj",I74=90),VLOOKUP(T74,'CAFCO 300 IDIEM TABLAS'!$B$4:$D$23,2,FALSE),0)+IF(AND(L74="Cafco 300",J74&gt;=95,J74&lt;=240,C74="Cj",I74=120),VLOOKUP(T74,'CAFCO 300 IDIEM TABLAS'!$B$4:$D$23,3,FALSE),0)+IF(AND(L74="Cafco 300",J74&gt;=95,J74&lt;=400,G74=3,C74="IN",I74=90),VLOOKUP(T74,'CAFCO 300 IDIEM TABLAS'!$F$4:$H$35,2,FALSE),0)+IF(AND(L74="Cafco 300",J74&gt;=95,J74&lt;=400,G74=3,C74="IN",I74=120),VLOOKUP(T74,'CAFCO 300 IDIEM TABLAS'!$F$4:$H$35,3,FALSE),0)+IF(AND(L74="Cafco 300",J74&gt;=95,J74&lt;=450,G74=4,C74="IN",I74=90),VLOOKUP(T74,'CAFCO 300 IDIEM TABLAS'!$J$4:$L$40,2,FALSE),0)+IF(AND(L74="Cafco 300",J74&gt;=95,J74&lt;=450,G74=4,C74="IN",I74=120),VLOOKUP(T74,'CAFCO 300 IDIEM TABLAS'!$J$4:$L$40,3,FALSE),0)+IF(AND(M74="Ensayo Idiem",L74="Cafco 400",C74="IN",G74=4,I74=90),VLOOKUP(T74,'CAFCO 400 ENSAYO'!$B$7:$D$43,2,FALSE),0)+IF(AND(M74="Ensayo Idiem",L74="Cafco 400",C74="IN",G74=4,I74=120),VLOOKUP(T74,'CAFCO 400 ENSAYO'!$B$7:$D$43,3,FALSE),0)</f>
        <v>0</v>
      </c>
      <c r="O74" s="96">
        <f t="shared" si="1"/>
        <v>0</v>
      </c>
      <c r="P74" s="95" t="str">
        <f t="shared" si="2"/>
        <v>CERT.</v>
      </c>
      <c r="Q74" s="95" t="str">
        <f t="shared" si="3"/>
        <v>CERT.</v>
      </c>
      <c r="R74" s="95" t="str">
        <f t="shared" si="4"/>
        <v>NO CERT.</v>
      </c>
      <c r="S74" s="95" t="str">
        <f t="shared" ref="S74:S137" si="6">IF(AND(C74="Cj",I74=90,T74&lt;=240),"CERT.",IF(AND(C74="Cj",I74=120,T74&lt;=240),"CERT.",IF(AND(C74="IN",G74=3,I74=90,T74&lt;=400),"CERT.",IF(AND(C74="IN",G74=3,I74=120,T74&lt;=400),"CERT.",IF(AND(C74="IN",G74=4,I74=90,T74&lt;=450),"CERT.",IF(AND(C74="IN",G74=4,I74=120,T74&lt;=450),"CERT.","NO CERT."))))))</f>
        <v>NO CERT.</v>
      </c>
      <c r="T74" s="119">
        <f>+IF(J74=LOOKUP(J74,'CAFCO 300 IDIEM TABLAS'!$J$4:$J$40),'CALCULO MORTERO'!J74,MROUND('CALCULO MORTERO'!J74,10))</f>
        <v>200</v>
      </c>
      <c r="U74" s="118" t="e">
        <f t="shared" ref="U74:U137" si="7">+I74*60</f>
        <v>#VALUE!</v>
      </c>
      <c r="Y74" s="4"/>
      <c r="Z74" s="4"/>
      <c r="AA74" s="4"/>
    </row>
    <row r="75" spans="1:27" x14ac:dyDescent="0.25">
      <c r="A75" s="118" t="str">
        <f>+CUBICACION!D74</f>
        <v>VIGA</v>
      </c>
      <c r="B75" s="819" t="str">
        <f>+CUBICACION!E74</f>
        <v>100X100X3</v>
      </c>
      <c r="C75" s="675" t="str">
        <f>+CUBICACION!F74</f>
        <v>CJ</v>
      </c>
      <c r="D75" s="118"/>
      <c r="E75" s="118"/>
      <c r="F75" s="820"/>
      <c r="G75" s="675">
        <f>+CUBICACION!J74</f>
        <v>4</v>
      </c>
      <c r="H75" s="118"/>
      <c r="I75" s="821" t="str">
        <f>+CUBICACION!L74</f>
        <v>F-60</v>
      </c>
      <c r="J75" s="64">
        <f>+CUBICACION!M74</f>
        <v>333</v>
      </c>
      <c r="K75" s="822">
        <f>+CUBICACION!N74</f>
        <v>1.6559999999999999</v>
      </c>
      <c r="L75" s="118" t="str">
        <f>+CUBICACION!O74</f>
        <v>Fire Tex 5090</v>
      </c>
      <c r="M75" s="823" t="str">
        <f>+CUBICACION!P74</f>
        <v>Software Idiem</v>
      </c>
      <c r="N75" s="902">
        <f>ROUND(IF(AND(L75="Blaze Shield II",M75="Software Idiem",C75="IN",G75=4),((('BLAZE SHIELD II'!$D$4*('CALCULO MORTERO'!I75^2)+'BLAZE SHIELD II'!$D$5*'CALCULO MORTERO'!I75+'BLAZE SHIELD II'!$D$6)*LN(J75))+('BLAZE SHIELD II'!$D$7*('CALCULO MORTERO'!I75^2)+'BLAZE SHIELD II'!$D$8*'CALCULO MORTERO'!I75+'BLAZE SHIELD II'!$D$9)),0)+IF(AND(L75="Blaze Shield II",M75="Software Idiem",C75="Cj"),((('BLAZE SHIELD II'!$H$4*('CALCULO MORTERO'!I75^2)+'BLAZE SHIELD II'!$H$5*'CALCULO MORTERO'!I75+'BLAZE SHIELD II'!$H$6)*LN(J75))+('BLAZE SHIELD II'!$H$7*('CALCULO MORTERO'!I75^2)+'BLAZE SHIELD II'!$H$8*'CALCULO MORTERO'!I75+'BLAZE SHIELD II'!$H$9)),0)+IF(AND(L75="Blaze Shield II",M75="Software Idiem",C75="C"),((('BLAZE SHIELD II'!$L$4*('CALCULO MORTERO'!I75^2)+'BLAZE SHIELD II'!$L$5*'CALCULO MORTERO'!I75+'BLAZE SHIELD II'!$L$6)*LN(J75))+('BLAZE SHIELD II'!$L$7*('CALCULO MORTERO'!I75^2)+'BLAZE SHIELD II'!$L$8*'CALCULO MORTERO'!I75+'BLAZE SHIELD II'!$L$9)),0)+IF(AND(L75="Blaze Shield II",M75="Software Idiem",C75="L"),((('BLAZE SHIELD II'!$L$4*('CALCULO MORTERO'!I75^2)+'BLAZE SHIELD II'!$L$5*'CALCULO MORTERO'!I75+'BLAZE SHIELD II'!$L$6)*LN(J75))+('BLAZE SHIELD II'!$L$7*('CALCULO MORTERO'!I75^2)+'BLAZE SHIELD II'!$L$8*'CALCULO MORTERO'!I75+'BLAZE SHIELD II'!$L$9)),0)+IF(AND(L75="Blaze Shield II",M75="Software Idiem",C75="IN",G75=3),((('BLAZE SHIELD II'!$H$14*('CALCULO MORTERO'!I75^2)+'BLAZE SHIELD II'!$H$15*'CALCULO MORTERO'!I75+'BLAZE SHIELD II'!$H$16)*LN(J75))+('BLAZE SHIELD II'!$H$17*('CALCULO MORTERO'!I75^2)+'BLAZE SHIELD II'!$H$18*'CALCULO MORTERO'!I75+'BLAZE SHIELD II'!$H$19)),0),0)+ROUND(IF(AND(L75="Cafco 400",M75="Software Idiem",C75="IN",G75=4),((('CAFCO 400 '!$H$7*(J75^4)+'CAFCO 400 '!$H$8*(J75^3)+'CAFCO 400 '!$H$9*(J75^2)+'CAFCO 400 '!$H$10*J75+'CAFCO 400 '!$H$11)*U75^2)+(('CAFCO 400 '!$H$12*(J75^3)+'CAFCO 400 '!$H$13*(J75^2)+'CAFCO 400 '!$H$14*J75+'CAFCO 400 '!$H$15)*U75)+('CAFCO 400 '!$H$16*(J75^2)+'CAFCO 400 '!$H$17*J75+'CAFCO 400 '!$H$18)),0)+IF(AND(L75="Cafco 400",M75="Software Idiem",C75="Cj"),(((('CAFCO 400 '!$D$7*LN(J75)+'CAFCO 400 '!$D$8)*U75^2)+(('CAFCO 400 '!$D$9*LN(J75)+'CAFCO 400 '!$D$10)*U75)+('CAFCO 400 '!$D$11*LN(J75)+'CAFCO 400 '!$D$12))),0)+IF(AND(L75="Cafco 400",M75="Software Idiem",C75="C"),((('CAFCO 400 '!$L$7*(J75^3)+'CAFCO 400 '!$L$8*(J75^2)+'CAFCO 400 '!$L$9*J75+'CAFCO 400 '!$L$10)*U75^2)+(('CAFCO 400 '!$L$11*(J75^3)+'CAFCO 400 '!$L$12*(J75^2)+'CAFCO 400 '!$L$13*J75+'CAFCO 400 '!$L$14)*U75)+('CAFCO 400 '!$L$15*LN(J75)+'CAFCO 400 '!$L$16)),0)+IF(AND(L75="Cafco 400",M75="Software Idiem",C75="L"),((('CAFCO 400 '!$L$7*(J75^3)+'CAFCO 400 '!$L$8*(J75^2)+'CAFCO 400 '!$L$9*J75+'CAFCO 400 '!$L$10)*U75^2)+(('CAFCO 400 '!$L$11*(J75^3)+'CAFCO 400 '!$L$12*(J75^2)+'CAFCO 400 '!$L$13*J75+'CAFCO 400 '!$L$14)*U75)+('CAFCO 400 '!$L$15*LN(J75)+'CAFCO 400 '!$L$16)),0)+IF(AND(L75="Cafco 400",M75="Software Idiem",C75="IN",G75=3),((('CAFCO 400 '!$D$23*(J75^2)+'CAFCO 400 '!$D$24*(J75)+'CAFCO 400 '!$D$25)*U75^2)+(('CAFCO 400 '!$D$26*(J75^2)+'CAFCO 400 '!$D$27*J75+'CAFCO 400 '!$D$28)*U75)+('CAFCO 400 '!$D$29*(J75^2)+'CAFCO 400 '!$D$30*J75+'CAFCO 400 '!$D$31)),0),0)+IF(AND(L75="Cafco 300",J75&gt;=95,J75&lt;=240,C75="Cj",I75=90),VLOOKUP(T75,'CAFCO 300 IDIEM TABLAS'!$B$4:$D$23,2,FALSE),0)+IF(AND(L75="Cafco 300",J75&gt;=95,J75&lt;=240,C75="Cj",I75=120),VLOOKUP(T75,'CAFCO 300 IDIEM TABLAS'!$B$4:$D$23,3,FALSE),0)+IF(AND(L75="Cafco 300",J75&gt;=95,J75&lt;=400,G75=3,C75="IN",I75=90),VLOOKUP(T75,'CAFCO 300 IDIEM TABLAS'!$F$4:$H$35,2,FALSE),0)+IF(AND(L75="Cafco 300",J75&gt;=95,J75&lt;=400,G75=3,C75="IN",I75=120),VLOOKUP(T75,'CAFCO 300 IDIEM TABLAS'!$F$4:$H$35,3,FALSE),0)+IF(AND(L75="Cafco 300",J75&gt;=95,J75&lt;=450,G75=4,C75="IN",I75=90),VLOOKUP(T75,'CAFCO 300 IDIEM TABLAS'!$J$4:$L$40,2,FALSE),0)+IF(AND(L75="Cafco 300",J75&gt;=95,J75&lt;=450,G75=4,C75="IN",I75=120),VLOOKUP(T75,'CAFCO 300 IDIEM TABLAS'!$J$4:$L$40,3,FALSE),0)+IF(AND(M75="Ensayo Idiem",L75="Cafco 400",C75="IN",G75=4,I75=90),VLOOKUP(T75,'CAFCO 400 ENSAYO'!$B$7:$D$43,2,FALSE),0)+IF(AND(M75="Ensayo Idiem",L75="Cafco 400",C75="IN",G75=4,I75=120),VLOOKUP(T75,'CAFCO 400 ENSAYO'!$B$7:$D$43,3,FALSE),0)</f>
        <v>0</v>
      </c>
      <c r="O75" s="96">
        <f t="shared" ref="O75:O138" si="8">((IF(L75="Blaze Shield II",((K75*N75*0.43)/38),IF(L75="Cafco 400",((K75*N75*0.43)/23),IF(L75="Cafco 300",((K75*N75*0.43)/31.16),0)))))</f>
        <v>0</v>
      </c>
      <c r="P75" s="95" t="str">
        <f t="shared" ref="P75:P138" si="9">IF(AND(M75="Software Idiem"),IF(AND(C75="IN",G75=4,J75&gt;=50,J75&lt;=500),"CERT.",IF(AND(C75="Cj",J75&gt;=50,J75&lt;=500),"CERT.",IF(AND(C75="C",J75&gt;=50,J75&lt;=1000),"CERT.",IF(AND(C75="L",J75&gt;=50,J75&lt;=1000),"CERT.",IF(AND(C75="IN",G75=3,J75&gt;=50,J75&lt;=500),"CERT.","NO CERT."))))),"N/A")</f>
        <v>CERT.</v>
      </c>
      <c r="Q75" s="95" t="str">
        <f t="shared" ref="Q75:Q138" si="10">IF(AND(M75="Software Idiem"),IF(AND(C75="IN",G75=4,J75&gt;=50,J75&lt;=500),"CERT.",IF(AND(C75="Cj",J75&gt;=50,J75&lt;=500),"CERT.",IF(AND(C75="C",J75&gt;=50,J75&lt;=1000),"CERT.",IF(AND(C75="L",J75&gt;=50,J75&lt;=1000),"CERT.",IF(AND(C75="IN",G75=3,J75&gt;=50,J75&lt;=500),"CERT.","NO CERT."))))),"N/A")</f>
        <v>CERT.</v>
      </c>
      <c r="R75" s="95" t="str">
        <f t="shared" ref="R75:R138" si="11">IF(AND(C75="IN",G75=4,J75&gt;=95,J75&lt;=450,I75=90),"CERT.",IF(AND(C75="IN",G75=4,J75&gt;=95,J75&lt;=450,I75=120),"CERT.","NO CERT."))</f>
        <v>NO CERT.</v>
      </c>
      <c r="S75" s="95" t="str">
        <f t="shared" si="6"/>
        <v>NO CERT.</v>
      </c>
      <c r="T75" s="119">
        <f>+IF(J75=LOOKUP(J75,'CAFCO 300 IDIEM TABLAS'!$J$4:$J$40),'CALCULO MORTERO'!J75,MROUND('CALCULO MORTERO'!J75,10))</f>
        <v>330</v>
      </c>
      <c r="U75" s="118" t="e">
        <f t="shared" si="7"/>
        <v>#VALUE!</v>
      </c>
      <c r="Y75" s="4"/>
      <c r="Z75" s="4"/>
      <c r="AA75" s="4"/>
    </row>
    <row r="76" spans="1:27" ht="15.6" customHeight="1" x14ac:dyDescent="0.25">
      <c r="A76" s="118" t="str">
        <f>+CUBICACION!D75</f>
        <v>VIGA</v>
      </c>
      <c r="B76" s="819" t="str">
        <f>+CUBICACION!E75</f>
        <v>100X100X3</v>
      </c>
      <c r="C76" s="675" t="str">
        <f>+CUBICACION!F75</f>
        <v>CJ</v>
      </c>
      <c r="D76" s="118"/>
      <c r="E76" s="118"/>
      <c r="F76" s="820"/>
      <c r="G76" s="675">
        <f>+CUBICACION!J75</f>
        <v>4</v>
      </c>
      <c r="H76" s="118"/>
      <c r="I76" s="821" t="str">
        <f>+CUBICACION!L75</f>
        <v>F-60</v>
      </c>
      <c r="J76" s="64">
        <f>+CUBICACION!M75</f>
        <v>333</v>
      </c>
      <c r="K76" s="822">
        <f>+CUBICACION!N75</f>
        <v>0.8</v>
      </c>
      <c r="L76" s="118" t="str">
        <f>+CUBICACION!O75</f>
        <v>Fire Tex 5090</v>
      </c>
      <c r="M76" s="823" t="str">
        <f>+CUBICACION!P75</f>
        <v>Software Idiem</v>
      </c>
      <c r="N76" s="902">
        <f>ROUND(IF(AND(L76="Blaze Shield II",M76="Software Idiem",C76="IN",G76=4),((('BLAZE SHIELD II'!$D$4*('CALCULO MORTERO'!I76^2)+'BLAZE SHIELD II'!$D$5*'CALCULO MORTERO'!I76+'BLAZE SHIELD II'!$D$6)*LN(J76))+('BLAZE SHIELD II'!$D$7*('CALCULO MORTERO'!I76^2)+'BLAZE SHIELD II'!$D$8*'CALCULO MORTERO'!I76+'BLAZE SHIELD II'!$D$9)),0)+IF(AND(L76="Blaze Shield II",M76="Software Idiem",C76="Cj"),((('BLAZE SHIELD II'!$H$4*('CALCULO MORTERO'!I76^2)+'BLAZE SHIELD II'!$H$5*'CALCULO MORTERO'!I76+'BLAZE SHIELD II'!$H$6)*LN(J76))+('BLAZE SHIELD II'!$H$7*('CALCULO MORTERO'!I76^2)+'BLAZE SHIELD II'!$H$8*'CALCULO MORTERO'!I76+'BLAZE SHIELD II'!$H$9)),0)+IF(AND(L76="Blaze Shield II",M76="Software Idiem",C76="C"),((('BLAZE SHIELD II'!$L$4*('CALCULO MORTERO'!I76^2)+'BLAZE SHIELD II'!$L$5*'CALCULO MORTERO'!I76+'BLAZE SHIELD II'!$L$6)*LN(J76))+('BLAZE SHIELD II'!$L$7*('CALCULO MORTERO'!I76^2)+'BLAZE SHIELD II'!$L$8*'CALCULO MORTERO'!I76+'BLAZE SHIELD II'!$L$9)),0)+IF(AND(L76="Blaze Shield II",M76="Software Idiem",C76="L"),((('BLAZE SHIELD II'!$L$4*('CALCULO MORTERO'!I76^2)+'BLAZE SHIELD II'!$L$5*'CALCULO MORTERO'!I76+'BLAZE SHIELD II'!$L$6)*LN(J76))+('BLAZE SHIELD II'!$L$7*('CALCULO MORTERO'!I76^2)+'BLAZE SHIELD II'!$L$8*'CALCULO MORTERO'!I76+'BLAZE SHIELD II'!$L$9)),0)+IF(AND(L76="Blaze Shield II",M76="Software Idiem",C76="IN",G76=3),((('BLAZE SHIELD II'!$H$14*('CALCULO MORTERO'!I76^2)+'BLAZE SHIELD II'!$H$15*'CALCULO MORTERO'!I76+'BLAZE SHIELD II'!$H$16)*LN(J76))+('BLAZE SHIELD II'!$H$17*('CALCULO MORTERO'!I76^2)+'BLAZE SHIELD II'!$H$18*'CALCULO MORTERO'!I76+'BLAZE SHIELD II'!$H$19)),0),0)+ROUND(IF(AND(L76="Cafco 400",M76="Software Idiem",C76="IN",G76=4),((('CAFCO 400 '!$H$7*(J76^4)+'CAFCO 400 '!$H$8*(J76^3)+'CAFCO 400 '!$H$9*(J76^2)+'CAFCO 400 '!$H$10*J76+'CAFCO 400 '!$H$11)*U76^2)+(('CAFCO 400 '!$H$12*(J76^3)+'CAFCO 400 '!$H$13*(J76^2)+'CAFCO 400 '!$H$14*J76+'CAFCO 400 '!$H$15)*U76)+('CAFCO 400 '!$H$16*(J76^2)+'CAFCO 400 '!$H$17*J76+'CAFCO 400 '!$H$18)),0)+IF(AND(L76="Cafco 400",M76="Software Idiem",C76="Cj"),(((('CAFCO 400 '!$D$7*LN(J76)+'CAFCO 400 '!$D$8)*U76^2)+(('CAFCO 400 '!$D$9*LN(J76)+'CAFCO 400 '!$D$10)*U76)+('CAFCO 400 '!$D$11*LN(J76)+'CAFCO 400 '!$D$12))),0)+IF(AND(L76="Cafco 400",M76="Software Idiem",C76="C"),((('CAFCO 400 '!$L$7*(J76^3)+'CAFCO 400 '!$L$8*(J76^2)+'CAFCO 400 '!$L$9*J76+'CAFCO 400 '!$L$10)*U76^2)+(('CAFCO 400 '!$L$11*(J76^3)+'CAFCO 400 '!$L$12*(J76^2)+'CAFCO 400 '!$L$13*J76+'CAFCO 400 '!$L$14)*U76)+('CAFCO 400 '!$L$15*LN(J76)+'CAFCO 400 '!$L$16)),0)+IF(AND(L76="Cafco 400",M76="Software Idiem",C76="L"),((('CAFCO 400 '!$L$7*(J76^3)+'CAFCO 400 '!$L$8*(J76^2)+'CAFCO 400 '!$L$9*J76+'CAFCO 400 '!$L$10)*U76^2)+(('CAFCO 400 '!$L$11*(J76^3)+'CAFCO 400 '!$L$12*(J76^2)+'CAFCO 400 '!$L$13*J76+'CAFCO 400 '!$L$14)*U76)+('CAFCO 400 '!$L$15*LN(J76)+'CAFCO 400 '!$L$16)),0)+IF(AND(L76="Cafco 400",M76="Software Idiem",C76="IN",G76=3),((('CAFCO 400 '!$D$23*(J76^2)+'CAFCO 400 '!$D$24*(J76)+'CAFCO 400 '!$D$25)*U76^2)+(('CAFCO 400 '!$D$26*(J76^2)+'CAFCO 400 '!$D$27*J76+'CAFCO 400 '!$D$28)*U76)+('CAFCO 400 '!$D$29*(J76^2)+'CAFCO 400 '!$D$30*J76+'CAFCO 400 '!$D$31)),0),0)+IF(AND(L76="Cafco 300",J76&gt;=95,J76&lt;=240,C76="Cj",I76=90),VLOOKUP(T76,'CAFCO 300 IDIEM TABLAS'!$B$4:$D$23,2,FALSE),0)+IF(AND(L76="Cafco 300",J76&gt;=95,J76&lt;=240,C76="Cj",I76=120),VLOOKUP(T76,'CAFCO 300 IDIEM TABLAS'!$B$4:$D$23,3,FALSE),0)+IF(AND(L76="Cafco 300",J76&gt;=95,J76&lt;=400,G76=3,C76="IN",I76=90),VLOOKUP(T76,'CAFCO 300 IDIEM TABLAS'!$F$4:$H$35,2,FALSE),0)+IF(AND(L76="Cafco 300",J76&gt;=95,J76&lt;=400,G76=3,C76="IN",I76=120),VLOOKUP(T76,'CAFCO 300 IDIEM TABLAS'!$F$4:$H$35,3,FALSE),0)+IF(AND(L76="Cafco 300",J76&gt;=95,J76&lt;=450,G76=4,C76="IN",I76=90),VLOOKUP(T76,'CAFCO 300 IDIEM TABLAS'!$J$4:$L$40,2,FALSE),0)+IF(AND(L76="Cafco 300",J76&gt;=95,J76&lt;=450,G76=4,C76="IN",I76=120),VLOOKUP(T76,'CAFCO 300 IDIEM TABLAS'!$J$4:$L$40,3,FALSE),0)+IF(AND(M76="Ensayo Idiem",L76="Cafco 400",C76="IN",G76=4,I76=90),VLOOKUP(T76,'CAFCO 400 ENSAYO'!$B$7:$D$43,2,FALSE),0)+IF(AND(M76="Ensayo Idiem",L76="Cafco 400",C76="IN",G76=4,I76=120),VLOOKUP(T76,'CAFCO 400 ENSAYO'!$B$7:$D$43,3,FALSE),0)</f>
        <v>0</v>
      </c>
      <c r="O76" s="96">
        <f t="shared" si="8"/>
        <v>0</v>
      </c>
      <c r="P76" s="95" t="str">
        <f t="shared" si="9"/>
        <v>CERT.</v>
      </c>
      <c r="Q76" s="95" t="str">
        <f t="shared" si="10"/>
        <v>CERT.</v>
      </c>
      <c r="R76" s="95" t="str">
        <f t="shared" si="11"/>
        <v>NO CERT.</v>
      </c>
      <c r="S76" s="95" t="str">
        <f t="shared" si="6"/>
        <v>NO CERT.</v>
      </c>
      <c r="T76" s="119">
        <f>+IF(J76=LOOKUP(J76,'CAFCO 300 IDIEM TABLAS'!$J$4:$J$40),'CALCULO MORTERO'!J76,MROUND('CALCULO MORTERO'!J76,10))</f>
        <v>330</v>
      </c>
      <c r="U76" s="118" t="e">
        <f t="shared" si="7"/>
        <v>#VALUE!</v>
      </c>
      <c r="Y76" s="4"/>
      <c r="Z76" s="4"/>
      <c r="AA76" s="4"/>
    </row>
    <row r="77" spans="1:27" x14ac:dyDescent="0.25">
      <c r="A77" s="118" t="str">
        <f>+CUBICACION!D76</f>
        <v>PILAR</v>
      </c>
      <c r="B77" s="819" t="str">
        <f>+CUBICACION!E76</f>
        <v>100X100X3</v>
      </c>
      <c r="C77" s="675" t="str">
        <f>+CUBICACION!F76</f>
        <v>CJ</v>
      </c>
      <c r="D77" s="118"/>
      <c r="E77" s="118"/>
      <c r="F77" s="820"/>
      <c r="G77" s="675">
        <f>+CUBICACION!J76</f>
        <v>4</v>
      </c>
      <c r="H77" s="118"/>
      <c r="I77" s="821" t="str">
        <f>+CUBICACION!L76</f>
        <v>F-60</v>
      </c>
      <c r="J77" s="64">
        <f>+CUBICACION!M76</f>
        <v>333</v>
      </c>
      <c r="K77" s="822">
        <f>+CUBICACION!N76</f>
        <v>1.6</v>
      </c>
      <c r="L77" s="118" t="str">
        <f>+CUBICACION!O76</f>
        <v>Fire Tex 5090</v>
      </c>
      <c r="M77" s="823" t="str">
        <f>+CUBICACION!P76</f>
        <v>Software Idiem</v>
      </c>
      <c r="N77" s="902">
        <f>ROUND(IF(AND(L77="Blaze Shield II",M77="Software Idiem",C77="IN",G77=4),((('BLAZE SHIELD II'!$D$4*('CALCULO MORTERO'!I77^2)+'BLAZE SHIELD II'!$D$5*'CALCULO MORTERO'!I77+'BLAZE SHIELD II'!$D$6)*LN(J77))+('BLAZE SHIELD II'!$D$7*('CALCULO MORTERO'!I77^2)+'BLAZE SHIELD II'!$D$8*'CALCULO MORTERO'!I77+'BLAZE SHIELD II'!$D$9)),0)+IF(AND(L77="Blaze Shield II",M77="Software Idiem",C77="Cj"),((('BLAZE SHIELD II'!$H$4*('CALCULO MORTERO'!I77^2)+'BLAZE SHIELD II'!$H$5*'CALCULO MORTERO'!I77+'BLAZE SHIELD II'!$H$6)*LN(J77))+('BLAZE SHIELD II'!$H$7*('CALCULO MORTERO'!I77^2)+'BLAZE SHIELD II'!$H$8*'CALCULO MORTERO'!I77+'BLAZE SHIELD II'!$H$9)),0)+IF(AND(L77="Blaze Shield II",M77="Software Idiem",C77="C"),((('BLAZE SHIELD II'!$L$4*('CALCULO MORTERO'!I77^2)+'BLAZE SHIELD II'!$L$5*'CALCULO MORTERO'!I77+'BLAZE SHIELD II'!$L$6)*LN(J77))+('BLAZE SHIELD II'!$L$7*('CALCULO MORTERO'!I77^2)+'BLAZE SHIELD II'!$L$8*'CALCULO MORTERO'!I77+'BLAZE SHIELD II'!$L$9)),0)+IF(AND(L77="Blaze Shield II",M77="Software Idiem",C77="L"),((('BLAZE SHIELD II'!$L$4*('CALCULO MORTERO'!I77^2)+'BLAZE SHIELD II'!$L$5*'CALCULO MORTERO'!I77+'BLAZE SHIELD II'!$L$6)*LN(J77))+('BLAZE SHIELD II'!$L$7*('CALCULO MORTERO'!I77^2)+'BLAZE SHIELD II'!$L$8*'CALCULO MORTERO'!I77+'BLAZE SHIELD II'!$L$9)),0)+IF(AND(L77="Blaze Shield II",M77="Software Idiem",C77="IN",G77=3),((('BLAZE SHIELD II'!$H$14*('CALCULO MORTERO'!I77^2)+'BLAZE SHIELD II'!$H$15*'CALCULO MORTERO'!I77+'BLAZE SHIELD II'!$H$16)*LN(J77))+('BLAZE SHIELD II'!$H$17*('CALCULO MORTERO'!I77^2)+'BLAZE SHIELD II'!$H$18*'CALCULO MORTERO'!I77+'BLAZE SHIELD II'!$H$19)),0),0)+ROUND(IF(AND(L77="Cafco 400",M77="Software Idiem",C77="IN",G77=4),((('CAFCO 400 '!$H$7*(J77^4)+'CAFCO 400 '!$H$8*(J77^3)+'CAFCO 400 '!$H$9*(J77^2)+'CAFCO 400 '!$H$10*J77+'CAFCO 400 '!$H$11)*U77^2)+(('CAFCO 400 '!$H$12*(J77^3)+'CAFCO 400 '!$H$13*(J77^2)+'CAFCO 400 '!$H$14*J77+'CAFCO 400 '!$H$15)*U77)+('CAFCO 400 '!$H$16*(J77^2)+'CAFCO 400 '!$H$17*J77+'CAFCO 400 '!$H$18)),0)+IF(AND(L77="Cafco 400",M77="Software Idiem",C77="Cj"),(((('CAFCO 400 '!$D$7*LN(J77)+'CAFCO 400 '!$D$8)*U77^2)+(('CAFCO 400 '!$D$9*LN(J77)+'CAFCO 400 '!$D$10)*U77)+('CAFCO 400 '!$D$11*LN(J77)+'CAFCO 400 '!$D$12))),0)+IF(AND(L77="Cafco 400",M77="Software Idiem",C77="C"),((('CAFCO 400 '!$L$7*(J77^3)+'CAFCO 400 '!$L$8*(J77^2)+'CAFCO 400 '!$L$9*J77+'CAFCO 400 '!$L$10)*U77^2)+(('CAFCO 400 '!$L$11*(J77^3)+'CAFCO 400 '!$L$12*(J77^2)+'CAFCO 400 '!$L$13*J77+'CAFCO 400 '!$L$14)*U77)+('CAFCO 400 '!$L$15*LN(J77)+'CAFCO 400 '!$L$16)),0)+IF(AND(L77="Cafco 400",M77="Software Idiem",C77="L"),((('CAFCO 400 '!$L$7*(J77^3)+'CAFCO 400 '!$L$8*(J77^2)+'CAFCO 400 '!$L$9*J77+'CAFCO 400 '!$L$10)*U77^2)+(('CAFCO 400 '!$L$11*(J77^3)+'CAFCO 400 '!$L$12*(J77^2)+'CAFCO 400 '!$L$13*J77+'CAFCO 400 '!$L$14)*U77)+('CAFCO 400 '!$L$15*LN(J77)+'CAFCO 400 '!$L$16)),0)+IF(AND(L77="Cafco 400",M77="Software Idiem",C77="IN",G77=3),((('CAFCO 400 '!$D$23*(J77^2)+'CAFCO 400 '!$D$24*(J77)+'CAFCO 400 '!$D$25)*U77^2)+(('CAFCO 400 '!$D$26*(J77^2)+'CAFCO 400 '!$D$27*J77+'CAFCO 400 '!$D$28)*U77)+('CAFCO 400 '!$D$29*(J77^2)+'CAFCO 400 '!$D$30*J77+'CAFCO 400 '!$D$31)),0),0)+IF(AND(L77="Cafco 300",J77&gt;=95,J77&lt;=240,C77="Cj",I77=90),VLOOKUP(T77,'CAFCO 300 IDIEM TABLAS'!$B$4:$D$23,2,FALSE),0)+IF(AND(L77="Cafco 300",J77&gt;=95,J77&lt;=240,C77="Cj",I77=120),VLOOKUP(T77,'CAFCO 300 IDIEM TABLAS'!$B$4:$D$23,3,FALSE),0)+IF(AND(L77="Cafco 300",J77&gt;=95,J77&lt;=400,G77=3,C77="IN",I77=90),VLOOKUP(T77,'CAFCO 300 IDIEM TABLAS'!$F$4:$H$35,2,FALSE),0)+IF(AND(L77="Cafco 300",J77&gt;=95,J77&lt;=400,G77=3,C77="IN",I77=120),VLOOKUP(T77,'CAFCO 300 IDIEM TABLAS'!$F$4:$H$35,3,FALSE),0)+IF(AND(L77="Cafco 300",J77&gt;=95,J77&lt;=450,G77=4,C77="IN",I77=90),VLOOKUP(T77,'CAFCO 300 IDIEM TABLAS'!$J$4:$L$40,2,FALSE),0)+IF(AND(L77="Cafco 300",J77&gt;=95,J77&lt;=450,G77=4,C77="IN",I77=120),VLOOKUP(T77,'CAFCO 300 IDIEM TABLAS'!$J$4:$L$40,3,FALSE),0)+IF(AND(M77="Ensayo Idiem",L77="Cafco 400",C77="IN",G77=4,I77=90),VLOOKUP(T77,'CAFCO 400 ENSAYO'!$B$7:$D$43,2,FALSE),0)+IF(AND(M77="Ensayo Idiem",L77="Cafco 400",C77="IN",G77=4,I77=120),VLOOKUP(T77,'CAFCO 400 ENSAYO'!$B$7:$D$43,3,FALSE),0)</f>
        <v>0</v>
      </c>
      <c r="O77" s="96">
        <f t="shared" si="8"/>
        <v>0</v>
      </c>
      <c r="P77" s="95" t="str">
        <f t="shared" si="9"/>
        <v>CERT.</v>
      </c>
      <c r="Q77" s="95" t="str">
        <f t="shared" si="10"/>
        <v>CERT.</v>
      </c>
      <c r="R77" s="95" t="str">
        <f t="shared" si="11"/>
        <v>NO CERT.</v>
      </c>
      <c r="S77" s="95" t="str">
        <f t="shared" si="6"/>
        <v>NO CERT.</v>
      </c>
      <c r="T77" s="119">
        <f>+IF(J77=LOOKUP(J77,'CAFCO 300 IDIEM TABLAS'!$J$4:$J$40),'CALCULO MORTERO'!J77,MROUND('CALCULO MORTERO'!J77,10))</f>
        <v>330</v>
      </c>
      <c r="U77" s="118" t="e">
        <f t="shared" si="7"/>
        <v>#VALUE!</v>
      </c>
      <c r="Y77" s="4"/>
      <c r="Z77" s="4"/>
      <c r="AA77" s="4"/>
    </row>
    <row r="78" spans="1:27" ht="15.6" customHeight="1" x14ac:dyDescent="0.25">
      <c r="A78" s="118" t="str">
        <f>+CUBICACION!D77</f>
        <v>VIGA</v>
      </c>
      <c r="B78" s="819" t="str">
        <f>+CUBICACION!E77</f>
        <v>100X100X3</v>
      </c>
      <c r="C78" s="675" t="str">
        <f>+CUBICACION!F77</f>
        <v>CJ</v>
      </c>
      <c r="D78" s="118"/>
      <c r="E78" s="118"/>
      <c r="F78" s="820"/>
      <c r="G78" s="675">
        <f>+CUBICACION!J77</f>
        <v>4</v>
      </c>
      <c r="H78" s="118"/>
      <c r="I78" s="821" t="str">
        <f>+CUBICACION!L77</f>
        <v>F-60</v>
      </c>
      <c r="J78" s="64">
        <f>+CUBICACION!M77</f>
        <v>333</v>
      </c>
      <c r="K78" s="822">
        <f>+CUBICACION!N77</f>
        <v>2.8</v>
      </c>
      <c r="L78" s="118" t="str">
        <f>+CUBICACION!O77</f>
        <v>Fire Tex 5090</v>
      </c>
      <c r="M78" s="823" t="str">
        <f>+CUBICACION!P77</f>
        <v>Software Idiem</v>
      </c>
      <c r="N78" s="902">
        <f>ROUND(IF(AND(L78="Blaze Shield II",M78="Software Idiem",C78="IN",G78=4),((('BLAZE SHIELD II'!$D$4*('CALCULO MORTERO'!I78^2)+'BLAZE SHIELD II'!$D$5*'CALCULO MORTERO'!I78+'BLAZE SHIELD II'!$D$6)*LN(J78))+('BLAZE SHIELD II'!$D$7*('CALCULO MORTERO'!I78^2)+'BLAZE SHIELD II'!$D$8*'CALCULO MORTERO'!I78+'BLAZE SHIELD II'!$D$9)),0)+IF(AND(L78="Blaze Shield II",M78="Software Idiem",C78="Cj"),((('BLAZE SHIELD II'!$H$4*('CALCULO MORTERO'!I78^2)+'BLAZE SHIELD II'!$H$5*'CALCULO MORTERO'!I78+'BLAZE SHIELD II'!$H$6)*LN(J78))+('BLAZE SHIELD II'!$H$7*('CALCULO MORTERO'!I78^2)+'BLAZE SHIELD II'!$H$8*'CALCULO MORTERO'!I78+'BLAZE SHIELD II'!$H$9)),0)+IF(AND(L78="Blaze Shield II",M78="Software Idiem",C78="C"),((('BLAZE SHIELD II'!$L$4*('CALCULO MORTERO'!I78^2)+'BLAZE SHIELD II'!$L$5*'CALCULO MORTERO'!I78+'BLAZE SHIELD II'!$L$6)*LN(J78))+('BLAZE SHIELD II'!$L$7*('CALCULO MORTERO'!I78^2)+'BLAZE SHIELD II'!$L$8*'CALCULO MORTERO'!I78+'BLAZE SHIELD II'!$L$9)),0)+IF(AND(L78="Blaze Shield II",M78="Software Idiem",C78="L"),((('BLAZE SHIELD II'!$L$4*('CALCULO MORTERO'!I78^2)+'BLAZE SHIELD II'!$L$5*'CALCULO MORTERO'!I78+'BLAZE SHIELD II'!$L$6)*LN(J78))+('BLAZE SHIELD II'!$L$7*('CALCULO MORTERO'!I78^2)+'BLAZE SHIELD II'!$L$8*'CALCULO MORTERO'!I78+'BLAZE SHIELD II'!$L$9)),0)+IF(AND(L78="Blaze Shield II",M78="Software Idiem",C78="IN",G78=3),((('BLAZE SHIELD II'!$H$14*('CALCULO MORTERO'!I78^2)+'BLAZE SHIELD II'!$H$15*'CALCULO MORTERO'!I78+'BLAZE SHIELD II'!$H$16)*LN(J78))+('BLAZE SHIELD II'!$H$17*('CALCULO MORTERO'!I78^2)+'BLAZE SHIELD II'!$H$18*'CALCULO MORTERO'!I78+'BLAZE SHIELD II'!$H$19)),0),0)+ROUND(IF(AND(L78="Cafco 400",M78="Software Idiem",C78="IN",G78=4),((('CAFCO 400 '!$H$7*(J78^4)+'CAFCO 400 '!$H$8*(J78^3)+'CAFCO 400 '!$H$9*(J78^2)+'CAFCO 400 '!$H$10*J78+'CAFCO 400 '!$H$11)*U78^2)+(('CAFCO 400 '!$H$12*(J78^3)+'CAFCO 400 '!$H$13*(J78^2)+'CAFCO 400 '!$H$14*J78+'CAFCO 400 '!$H$15)*U78)+('CAFCO 400 '!$H$16*(J78^2)+'CAFCO 400 '!$H$17*J78+'CAFCO 400 '!$H$18)),0)+IF(AND(L78="Cafco 400",M78="Software Idiem",C78="Cj"),(((('CAFCO 400 '!$D$7*LN(J78)+'CAFCO 400 '!$D$8)*U78^2)+(('CAFCO 400 '!$D$9*LN(J78)+'CAFCO 400 '!$D$10)*U78)+('CAFCO 400 '!$D$11*LN(J78)+'CAFCO 400 '!$D$12))),0)+IF(AND(L78="Cafco 400",M78="Software Idiem",C78="C"),((('CAFCO 400 '!$L$7*(J78^3)+'CAFCO 400 '!$L$8*(J78^2)+'CAFCO 400 '!$L$9*J78+'CAFCO 400 '!$L$10)*U78^2)+(('CAFCO 400 '!$L$11*(J78^3)+'CAFCO 400 '!$L$12*(J78^2)+'CAFCO 400 '!$L$13*J78+'CAFCO 400 '!$L$14)*U78)+('CAFCO 400 '!$L$15*LN(J78)+'CAFCO 400 '!$L$16)),0)+IF(AND(L78="Cafco 400",M78="Software Idiem",C78="L"),((('CAFCO 400 '!$L$7*(J78^3)+'CAFCO 400 '!$L$8*(J78^2)+'CAFCO 400 '!$L$9*J78+'CAFCO 400 '!$L$10)*U78^2)+(('CAFCO 400 '!$L$11*(J78^3)+'CAFCO 400 '!$L$12*(J78^2)+'CAFCO 400 '!$L$13*J78+'CAFCO 400 '!$L$14)*U78)+('CAFCO 400 '!$L$15*LN(J78)+'CAFCO 400 '!$L$16)),0)+IF(AND(L78="Cafco 400",M78="Software Idiem",C78="IN",G78=3),((('CAFCO 400 '!$D$23*(J78^2)+'CAFCO 400 '!$D$24*(J78)+'CAFCO 400 '!$D$25)*U78^2)+(('CAFCO 400 '!$D$26*(J78^2)+'CAFCO 400 '!$D$27*J78+'CAFCO 400 '!$D$28)*U78)+('CAFCO 400 '!$D$29*(J78^2)+'CAFCO 400 '!$D$30*J78+'CAFCO 400 '!$D$31)),0),0)+IF(AND(L78="Cafco 300",J78&gt;=95,J78&lt;=240,C78="Cj",I78=90),VLOOKUP(T78,'CAFCO 300 IDIEM TABLAS'!$B$4:$D$23,2,FALSE),0)+IF(AND(L78="Cafco 300",J78&gt;=95,J78&lt;=240,C78="Cj",I78=120),VLOOKUP(T78,'CAFCO 300 IDIEM TABLAS'!$B$4:$D$23,3,FALSE),0)+IF(AND(L78="Cafco 300",J78&gt;=95,J78&lt;=400,G78=3,C78="IN",I78=90),VLOOKUP(T78,'CAFCO 300 IDIEM TABLAS'!$F$4:$H$35,2,FALSE),0)+IF(AND(L78="Cafco 300",J78&gt;=95,J78&lt;=400,G78=3,C78="IN",I78=120),VLOOKUP(T78,'CAFCO 300 IDIEM TABLAS'!$F$4:$H$35,3,FALSE),0)+IF(AND(L78="Cafco 300",J78&gt;=95,J78&lt;=450,G78=4,C78="IN",I78=90),VLOOKUP(T78,'CAFCO 300 IDIEM TABLAS'!$J$4:$L$40,2,FALSE),0)+IF(AND(L78="Cafco 300",J78&gt;=95,J78&lt;=450,G78=4,C78="IN",I78=120),VLOOKUP(T78,'CAFCO 300 IDIEM TABLAS'!$J$4:$L$40,3,FALSE),0)+IF(AND(M78="Ensayo Idiem",L78="Cafco 400",C78="IN",G78=4,I78=90),VLOOKUP(T78,'CAFCO 400 ENSAYO'!$B$7:$D$43,2,FALSE),0)+IF(AND(M78="Ensayo Idiem",L78="Cafco 400",C78="IN",G78=4,I78=120),VLOOKUP(T78,'CAFCO 400 ENSAYO'!$B$7:$D$43,3,FALSE),0)</f>
        <v>0</v>
      </c>
      <c r="O78" s="96">
        <f t="shared" si="8"/>
        <v>0</v>
      </c>
      <c r="P78" s="95" t="str">
        <f t="shared" si="9"/>
        <v>CERT.</v>
      </c>
      <c r="Q78" s="95" t="str">
        <f t="shared" si="10"/>
        <v>CERT.</v>
      </c>
      <c r="R78" s="95" t="str">
        <f t="shared" si="11"/>
        <v>NO CERT.</v>
      </c>
      <c r="S78" s="95" t="str">
        <f t="shared" si="6"/>
        <v>NO CERT.</v>
      </c>
      <c r="T78" s="119">
        <f>+IF(J78=LOOKUP(J78,'CAFCO 300 IDIEM TABLAS'!$J$4:$J$40),'CALCULO MORTERO'!J78,MROUND('CALCULO MORTERO'!J78,10))</f>
        <v>330</v>
      </c>
      <c r="U78" s="118" t="e">
        <f t="shared" si="7"/>
        <v>#VALUE!</v>
      </c>
      <c r="Y78" s="4"/>
      <c r="Z78" s="4"/>
      <c r="AA78" s="4"/>
    </row>
    <row r="79" spans="1:27" x14ac:dyDescent="0.25">
      <c r="A79" s="118" t="str">
        <f>+CUBICACION!D78</f>
        <v>PILAR</v>
      </c>
      <c r="B79" s="819" t="str">
        <f>+CUBICACION!E78</f>
        <v>150X150X5</v>
      </c>
      <c r="C79" s="675" t="str">
        <f>+CUBICACION!F78</f>
        <v>CJ</v>
      </c>
      <c r="D79" s="118"/>
      <c r="E79" s="118"/>
      <c r="F79" s="820"/>
      <c r="G79" s="675">
        <f>+CUBICACION!J78</f>
        <v>4</v>
      </c>
      <c r="H79" s="118"/>
      <c r="I79" s="821" t="str">
        <f>+CUBICACION!L78</f>
        <v>F-60</v>
      </c>
      <c r="J79" s="64">
        <f>+CUBICACION!M78</f>
        <v>200</v>
      </c>
      <c r="K79" s="822">
        <f>+CUBICACION!N78</f>
        <v>2.4</v>
      </c>
      <c r="L79" s="118" t="str">
        <f>+CUBICACION!O78</f>
        <v>Fire Tex 5090</v>
      </c>
      <c r="M79" s="823" t="str">
        <f>+CUBICACION!P78</f>
        <v>Software Idiem</v>
      </c>
      <c r="N79" s="902">
        <f>ROUND(IF(AND(L79="Blaze Shield II",M79="Software Idiem",C79="IN",G79=4),((('BLAZE SHIELD II'!$D$4*('CALCULO MORTERO'!I79^2)+'BLAZE SHIELD II'!$D$5*'CALCULO MORTERO'!I79+'BLAZE SHIELD II'!$D$6)*LN(J79))+('BLAZE SHIELD II'!$D$7*('CALCULO MORTERO'!I79^2)+'BLAZE SHIELD II'!$D$8*'CALCULO MORTERO'!I79+'BLAZE SHIELD II'!$D$9)),0)+IF(AND(L79="Blaze Shield II",M79="Software Idiem",C79="Cj"),((('BLAZE SHIELD II'!$H$4*('CALCULO MORTERO'!I79^2)+'BLAZE SHIELD II'!$H$5*'CALCULO MORTERO'!I79+'BLAZE SHIELD II'!$H$6)*LN(J79))+('BLAZE SHIELD II'!$H$7*('CALCULO MORTERO'!I79^2)+'BLAZE SHIELD II'!$H$8*'CALCULO MORTERO'!I79+'BLAZE SHIELD II'!$H$9)),0)+IF(AND(L79="Blaze Shield II",M79="Software Idiem",C79="C"),((('BLAZE SHIELD II'!$L$4*('CALCULO MORTERO'!I79^2)+'BLAZE SHIELD II'!$L$5*'CALCULO MORTERO'!I79+'BLAZE SHIELD II'!$L$6)*LN(J79))+('BLAZE SHIELD II'!$L$7*('CALCULO MORTERO'!I79^2)+'BLAZE SHIELD II'!$L$8*'CALCULO MORTERO'!I79+'BLAZE SHIELD II'!$L$9)),0)+IF(AND(L79="Blaze Shield II",M79="Software Idiem",C79="L"),((('BLAZE SHIELD II'!$L$4*('CALCULO MORTERO'!I79^2)+'BLAZE SHIELD II'!$L$5*'CALCULO MORTERO'!I79+'BLAZE SHIELD II'!$L$6)*LN(J79))+('BLAZE SHIELD II'!$L$7*('CALCULO MORTERO'!I79^2)+'BLAZE SHIELD II'!$L$8*'CALCULO MORTERO'!I79+'BLAZE SHIELD II'!$L$9)),0)+IF(AND(L79="Blaze Shield II",M79="Software Idiem",C79="IN",G79=3),((('BLAZE SHIELD II'!$H$14*('CALCULO MORTERO'!I79^2)+'BLAZE SHIELD II'!$H$15*'CALCULO MORTERO'!I79+'BLAZE SHIELD II'!$H$16)*LN(J79))+('BLAZE SHIELD II'!$H$17*('CALCULO MORTERO'!I79^2)+'BLAZE SHIELD II'!$H$18*'CALCULO MORTERO'!I79+'BLAZE SHIELD II'!$H$19)),0),0)+ROUND(IF(AND(L79="Cafco 400",M79="Software Idiem",C79="IN",G79=4),((('CAFCO 400 '!$H$7*(J79^4)+'CAFCO 400 '!$H$8*(J79^3)+'CAFCO 400 '!$H$9*(J79^2)+'CAFCO 400 '!$H$10*J79+'CAFCO 400 '!$H$11)*U79^2)+(('CAFCO 400 '!$H$12*(J79^3)+'CAFCO 400 '!$H$13*(J79^2)+'CAFCO 400 '!$H$14*J79+'CAFCO 400 '!$H$15)*U79)+('CAFCO 400 '!$H$16*(J79^2)+'CAFCO 400 '!$H$17*J79+'CAFCO 400 '!$H$18)),0)+IF(AND(L79="Cafco 400",M79="Software Idiem",C79="Cj"),(((('CAFCO 400 '!$D$7*LN(J79)+'CAFCO 400 '!$D$8)*U79^2)+(('CAFCO 400 '!$D$9*LN(J79)+'CAFCO 400 '!$D$10)*U79)+('CAFCO 400 '!$D$11*LN(J79)+'CAFCO 400 '!$D$12))),0)+IF(AND(L79="Cafco 400",M79="Software Idiem",C79="C"),((('CAFCO 400 '!$L$7*(J79^3)+'CAFCO 400 '!$L$8*(J79^2)+'CAFCO 400 '!$L$9*J79+'CAFCO 400 '!$L$10)*U79^2)+(('CAFCO 400 '!$L$11*(J79^3)+'CAFCO 400 '!$L$12*(J79^2)+'CAFCO 400 '!$L$13*J79+'CAFCO 400 '!$L$14)*U79)+('CAFCO 400 '!$L$15*LN(J79)+'CAFCO 400 '!$L$16)),0)+IF(AND(L79="Cafco 400",M79="Software Idiem",C79="L"),((('CAFCO 400 '!$L$7*(J79^3)+'CAFCO 400 '!$L$8*(J79^2)+'CAFCO 400 '!$L$9*J79+'CAFCO 400 '!$L$10)*U79^2)+(('CAFCO 400 '!$L$11*(J79^3)+'CAFCO 400 '!$L$12*(J79^2)+'CAFCO 400 '!$L$13*J79+'CAFCO 400 '!$L$14)*U79)+('CAFCO 400 '!$L$15*LN(J79)+'CAFCO 400 '!$L$16)),0)+IF(AND(L79="Cafco 400",M79="Software Idiem",C79="IN",G79=3),((('CAFCO 400 '!$D$23*(J79^2)+'CAFCO 400 '!$D$24*(J79)+'CAFCO 400 '!$D$25)*U79^2)+(('CAFCO 400 '!$D$26*(J79^2)+'CAFCO 400 '!$D$27*J79+'CAFCO 400 '!$D$28)*U79)+('CAFCO 400 '!$D$29*(J79^2)+'CAFCO 400 '!$D$30*J79+'CAFCO 400 '!$D$31)),0),0)+IF(AND(L79="Cafco 300",J79&gt;=95,J79&lt;=240,C79="Cj",I79=90),VLOOKUP(T79,'CAFCO 300 IDIEM TABLAS'!$B$4:$D$23,2,FALSE),0)+IF(AND(L79="Cafco 300",J79&gt;=95,J79&lt;=240,C79="Cj",I79=120),VLOOKUP(T79,'CAFCO 300 IDIEM TABLAS'!$B$4:$D$23,3,FALSE),0)+IF(AND(L79="Cafco 300",J79&gt;=95,J79&lt;=400,G79=3,C79="IN",I79=90),VLOOKUP(T79,'CAFCO 300 IDIEM TABLAS'!$F$4:$H$35,2,FALSE),0)+IF(AND(L79="Cafco 300",J79&gt;=95,J79&lt;=400,G79=3,C79="IN",I79=120),VLOOKUP(T79,'CAFCO 300 IDIEM TABLAS'!$F$4:$H$35,3,FALSE),0)+IF(AND(L79="Cafco 300",J79&gt;=95,J79&lt;=450,G79=4,C79="IN",I79=90),VLOOKUP(T79,'CAFCO 300 IDIEM TABLAS'!$J$4:$L$40,2,FALSE),0)+IF(AND(L79="Cafco 300",J79&gt;=95,J79&lt;=450,G79=4,C79="IN",I79=120),VLOOKUP(T79,'CAFCO 300 IDIEM TABLAS'!$J$4:$L$40,3,FALSE),0)+IF(AND(M79="Ensayo Idiem",L79="Cafco 400",C79="IN",G79=4,I79=90),VLOOKUP(T79,'CAFCO 400 ENSAYO'!$B$7:$D$43,2,FALSE),0)+IF(AND(M79="Ensayo Idiem",L79="Cafco 400",C79="IN",G79=4,I79=120),VLOOKUP(T79,'CAFCO 400 ENSAYO'!$B$7:$D$43,3,FALSE),0)</f>
        <v>0</v>
      </c>
      <c r="O79" s="96">
        <f t="shared" si="8"/>
        <v>0</v>
      </c>
      <c r="P79" s="95" t="str">
        <f t="shared" si="9"/>
        <v>CERT.</v>
      </c>
      <c r="Q79" s="95" t="str">
        <f t="shared" si="10"/>
        <v>CERT.</v>
      </c>
      <c r="R79" s="95" t="str">
        <f t="shared" si="11"/>
        <v>NO CERT.</v>
      </c>
      <c r="S79" s="95" t="str">
        <f t="shared" si="6"/>
        <v>NO CERT.</v>
      </c>
      <c r="T79" s="119">
        <f>+IF(J79=LOOKUP(J79,'CAFCO 300 IDIEM TABLAS'!$J$4:$J$40),'CALCULO MORTERO'!J79,MROUND('CALCULO MORTERO'!J79,10))</f>
        <v>200</v>
      </c>
      <c r="U79" s="118" t="e">
        <f t="shared" si="7"/>
        <v>#VALUE!</v>
      </c>
      <c r="Y79" s="4"/>
      <c r="Z79" s="4"/>
      <c r="AA79" s="4"/>
    </row>
    <row r="80" spans="1:27" ht="15.6" customHeight="1" x14ac:dyDescent="0.25">
      <c r="A80" s="118" t="str">
        <f>+CUBICACION!D79</f>
        <v>PILAR</v>
      </c>
      <c r="B80" s="819" t="str">
        <f>+CUBICACION!E79</f>
        <v>150X150X5</v>
      </c>
      <c r="C80" s="675" t="str">
        <f>+CUBICACION!F79</f>
        <v>CJ</v>
      </c>
      <c r="D80" s="118"/>
      <c r="E80" s="118"/>
      <c r="F80" s="820"/>
      <c r="G80" s="675">
        <f>+CUBICACION!J79</f>
        <v>4</v>
      </c>
      <c r="H80" s="118"/>
      <c r="I80" s="821" t="str">
        <f>+CUBICACION!L79</f>
        <v>F-60</v>
      </c>
      <c r="J80" s="64">
        <f>+CUBICACION!M79</f>
        <v>200</v>
      </c>
      <c r="K80" s="822">
        <f>+CUBICACION!N79</f>
        <v>2.4</v>
      </c>
      <c r="L80" s="118" t="str">
        <f>+CUBICACION!O79</f>
        <v>Fire Tex 5090</v>
      </c>
      <c r="M80" s="823" t="str">
        <f>+CUBICACION!P79</f>
        <v>Software Idiem</v>
      </c>
      <c r="N80" s="902">
        <f>ROUND(IF(AND(L80="Blaze Shield II",M80="Software Idiem",C80="IN",G80=4),((('BLAZE SHIELD II'!$D$4*('CALCULO MORTERO'!I80^2)+'BLAZE SHIELD II'!$D$5*'CALCULO MORTERO'!I80+'BLAZE SHIELD II'!$D$6)*LN(J80))+('BLAZE SHIELD II'!$D$7*('CALCULO MORTERO'!I80^2)+'BLAZE SHIELD II'!$D$8*'CALCULO MORTERO'!I80+'BLAZE SHIELD II'!$D$9)),0)+IF(AND(L80="Blaze Shield II",M80="Software Idiem",C80="Cj"),((('BLAZE SHIELD II'!$H$4*('CALCULO MORTERO'!I80^2)+'BLAZE SHIELD II'!$H$5*'CALCULO MORTERO'!I80+'BLAZE SHIELD II'!$H$6)*LN(J80))+('BLAZE SHIELD II'!$H$7*('CALCULO MORTERO'!I80^2)+'BLAZE SHIELD II'!$H$8*'CALCULO MORTERO'!I80+'BLAZE SHIELD II'!$H$9)),0)+IF(AND(L80="Blaze Shield II",M80="Software Idiem",C80="C"),((('BLAZE SHIELD II'!$L$4*('CALCULO MORTERO'!I80^2)+'BLAZE SHIELD II'!$L$5*'CALCULO MORTERO'!I80+'BLAZE SHIELD II'!$L$6)*LN(J80))+('BLAZE SHIELD II'!$L$7*('CALCULO MORTERO'!I80^2)+'BLAZE SHIELD II'!$L$8*'CALCULO MORTERO'!I80+'BLAZE SHIELD II'!$L$9)),0)+IF(AND(L80="Blaze Shield II",M80="Software Idiem",C80="L"),((('BLAZE SHIELD II'!$L$4*('CALCULO MORTERO'!I80^2)+'BLAZE SHIELD II'!$L$5*'CALCULO MORTERO'!I80+'BLAZE SHIELD II'!$L$6)*LN(J80))+('BLAZE SHIELD II'!$L$7*('CALCULO MORTERO'!I80^2)+'BLAZE SHIELD II'!$L$8*'CALCULO MORTERO'!I80+'BLAZE SHIELD II'!$L$9)),0)+IF(AND(L80="Blaze Shield II",M80="Software Idiem",C80="IN",G80=3),((('BLAZE SHIELD II'!$H$14*('CALCULO MORTERO'!I80^2)+'BLAZE SHIELD II'!$H$15*'CALCULO MORTERO'!I80+'BLAZE SHIELD II'!$H$16)*LN(J80))+('BLAZE SHIELD II'!$H$17*('CALCULO MORTERO'!I80^2)+'BLAZE SHIELD II'!$H$18*'CALCULO MORTERO'!I80+'BLAZE SHIELD II'!$H$19)),0),0)+ROUND(IF(AND(L80="Cafco 400",M80="Software Idiem",C80="IN",G80=4),((('CAFCO 400 '!$H$7*(J80^4)+'CAFCO 400 '!$H$8*(J80^3)+'CAFCO 400 '!$H$9*(J80^2)+'CAFCO 400 '!$H$10*J80+'CAFCO 400 '!$H$11)*U80^2)+(('CAFCO 400 '!$H$12*(J80^3)+'CAFCO 400 '!$H$13*(J80^2)+'CAFCO 400 '!$H$14*J80+'CAFCO 400 '!$H$15)*U80)+('CAFCO 400 '!$H$16*(J80^2)+'CAFCO 400 '!$H$17*J80+'CAFCO 400 '!$H$18)),0)+IF(AND(L80="Cafco 400",M80="Software Idiem",C80="Cj"),(((('CAFCO 400 '!$D$7*LN(J80)+'CAFCO 400 '!$D$8)*U80^2)+(('CAFCO 400 '!$D$9*LN(J80)+'CAFCO 400 '!$D$10)*U80)+('CAFCO 400 '!$D$11*LN(J80)+'CAFCO 400 '!$D$12))),0)+IF(AND(L80="Cafco 400",M80="Software Idiem",C80="C"),((('CAFCO 400 '!$L$7*(J80^3)+'CAFCO 400 '!$L$8*(J80^2)+'CAFCO 400 '!$L$9*J80+'CAFCO 400 '!$L$10)*U80^2)+(('CAFCO 400 '!$L$11*(J80^3)+'CAFCO 400 '!$L$12*(J80^2)+'CAFCO 400 '!$L$13*J80+'CAFCO 400 '!$L$14)*U80)+('CAFCO 400 '!$L$15*LN(J80)+'CAFCO 400 '!$L$16)),0)+IF(AND(L80="Cafco 400",M80="Software Idiem",C80="L"),((('CAFCO 400 '!$L$7*(J80^3)+'CAFCO 400 '!$L$8*(J80^2)+'CAFCO 400 '!$L$9*J80+'CAFCO 400 '!$L$10)*U80^2)+(('CAFCO 400 '!$L$11*(J80^3)+'CAFCO 400 '!$L$12*(J80^2)+'CAFCO 400 '!$L$13*J80+'CAFCO 400 '!$L$14)*U80)+('CAFCO 400 '!$L$15*LN(J80)+'CAFCO 400 '!$L$16)),0)+IF(AND(L80="Cafco 400",M80="Software Idiem",C80="IN",G80=3),((('CAFCO 400 '!$D$23*(J80^2)+'CAFCO 400 '!$D$24*(J80)+'CAFCO 400 '!$D$25)*U80^2)+(('CAFCO 400 '!$D$26*(J80^2)+'CAFCO 400 '!$D$27*J80+'CAFCO 400 '!$D$28)*U80)+('CAFCO 400 '!$D$29*(J80^2)+'CAFCO 400 '!$D$30*J80+'CAFCO 400 '!$D$31)),0),0)+IF(AND(L80="Cafco 300",J80&gt;=95,J80&lt;=240,C80="Cj",I80=90),VLOOKUP(T80,'CAFCO 300 IDIEM TABLAS'!$B$4:$D$23,2,FALSE),0)+IF(AND(L80="Cafco 300",J80&gt;=95,J80&lt;=240,C80="Cj",I80=120),VLOOKUP(T80,'CAFCO 300 IDIEM TABLAS'!$B$4:$D$23,3,FALSE),0)+IF(AND(L80="Cafco 300",J80&gt;=95,J80&lt;=400,G80=3,C80="IN",I80=90),VLOOKUP(T80,'CAFCO 300 IDIEM TABLAS'!$F$4:$H$35,2,FALSE),0)+IF(AND(L80="Cafco 300",J80&gt;=95,J80&lt;=400,G80=3,C80="IN",I80=120),VLOOKUP(T80,'CAFCO 300 IDIEM TABLAS'!$F$4:$H$35,3,FALSE),0)+IF(AND(L80="Cafco 300",J80&gt;=95,J80&lt;=450,G80=4,C80="IN",I80=90),VLOOKUP(T80,'CAFCO 300 IDIEM TABLAS'!$J$4:$L$40,2,FALSE),0)+IF(AND(L80="Cafco 300",J80&gt;=95,J80&lt;=450,G80=4,C80="IN",I80=120),VLOOKUP(T80,'CAFCO 300 IDIEM TABLAS'!$J$4:$L$40,3,FALSE),0)+IF(AND(M80="Ensayo Idiem",L80="Cafco 400",C80="IN",G80=4,I80=90),VLOOKUP(T80,'CAFCO 400 ENSAYO'!$B$7:$D$43,2,FALSE),0)+IF(AND(M80="Ensayo Idiem",L80="Cafco 400",C80="IN",G80=4,I80=120),VLOOKUP(T80,'CAFCO 400 ENSAYO'!$B$7:$D$43,3,FALSE),0)</f>
        <v>0</v>
      </c>
      <c r="O80" s="96">
        <f t="shared" si="8"/>
        <v>0</v>
      </c>
      <c r="P80" s="95" t="str">
        <f t="shared" si="9"/>
        <v>CERT.</v>
      </c>
      <c r="Q80" s="95" t="str">
        <f t="shared" si="10"/>
        <v>CERT.</v>
      </c>
      <c r="R80" s="95" t="str">
        <f t="shared" si="11"/>
        <v>NO CERT.</v>
      </c>
      <c r="S80" s="95" t="str">
        <f t="shared" si="6"/>
        <v>NO CERT.</v>
      </c>
      <c r="T80" s="119">
        <f>+IF(J80=LOOKUP(J80,'CAFCO 300 IDIEM TABLAS'!$J$4:$J$40),'CALCULO MORTERO'!J80,MROUND('CALCULO MORTERO'!J80,10))</f>
        <v>200</v>
      </c>
      <c r="U80" s="118" t="e">
        <f t="shared" si="7"/>
        <v>#VALUE!</v>
      </c>
      <c r="Y80" s="4"/>
      <c r="Z80" s="4"/>
      <c r="AA80" s="4"/>
    </row>
    <row r="81" spans="1:27" x14ac:dyDescent="0.25">
      <c r="A81" s="118" t="str">
        <f>+CUBICACION!D80</f>
        <v>VIGA BAJO LOSA</v>
      </c>
      <c r="B81" s="819" t="str">
        <f>+CUBICACION!E80</f>
        <v>240X120X9,8X6,2</v>
      </c>
      <c r="C81" s="675" t="str">
        <f>+CUBICACION!F80</f>
        <v>IN</v>
      </c>
      <c r="D81" s="118"/>
      <c r="E81" s="118"/>
      <c r="F81" s="820"/>
      <c r="G81" s="675">
        <f>+CUBICACION!J80</f>
        <v>3</v>
      </c>
      <c r="H81" s="118"/>
      <c r="I81" s="821">
        <f>+CUBICACION!L80</f>
        <v>60</v>
      </c>
      <c r="J81" s="64">
        <f>+CUBICACION!M80</f>
        <v>233</v>
      </c>
      <c r="K81" s="822">
        <f>+CUBICACION!N80</f>
        <v>10.10055</v>
      </c>
      <c r="L81" s="118" t="str">
        <f>+CUBICACION!O80</f>
        <v>Blaze Shield II</v>
      </c>
      <c r="M81" s="823" t="str">
        <f>+CUBICACION!P80</f>
        <v>Software Idiem</v>
      </c>
      <c r="N81" s="902">
        <f>ROUND(IF(AND(L81="Blaze Shield II",M81="Software Idiem",C81="IN",G81=4),((('BLAZE SHIELD II'!$D$4*('CALCULO MORTERO'!I81^2)+'BLAZE SHIELD II'!$D$5*'CALCULO MORTERO'!I81+'BLAZE SHIELD II'!$D$6)*LN(J81))+('BLAZE SHIELD II'!$D$7*('CALCULO MORTERO'!I81^2)+'BLAZE SHIELD II'!$D$8*'CALCULO MORTERO'!I81+'BLAZE SHIELD II'!$D$9)),0)+IF(AND(L81="Blaze Shield II",M81="Software Idiem",C81="Cj"),((('BLAZE SHIELD II'!$H$4*('CALCULO MORTERO'!I81^2)+'BLAZE SHIELD II'!$H$5*'CALCULO MORTERO'!I81+'BLAZE SHIELD II'!$H$6)*LN(J81))+('BLAZE SHIELD II'!$H$7*('CALCULO MORTERO'!I81^2)+'BLAZE SHIELD II'!$H$8*'CALCULO MORTERO'!I81+'BLAZE SHIELD II'!$H$9)),0)+IF(AND(L81="Blaze Shield II",M81="Software Idiem",C81="C"),((('BLAZE SHIELD II'!$L$4*('CALCULO MORTERO'!I81^2)+'BLAZE SHIELD II'!$L$5*'CALCULO MORTERO'!I81+'BLAZE SHIELD II'!$L$6)*LN(J81))+('BLAZE SHIELD II'!$L$7*('CALCULO MORTERO'!I81^2)+'BLAZE SHIELD II'!$L$8*'CALCULO MORTERO'!I81+'BLAZE SHIELD II'!$L$9)),0)+IF(AND(L81="Blaze Shield II",M81="Software Idiem",C81="L"),((('BLAZE SHIELD II'!$L$4*('CALCULO MORTERO'!I81^2)+'BLAZE SHIELD II'!$L$5*'CALCULO MORTERO'!I81+'BLAZE SHIELD II'!$L$6)*LN(J81))+('BLAZE SHIELD II'!$L$7*('CALCULO MORTERO'!I81^2)+'BLAZE SHIELD II'!$L$8*'CALCULO MORTERO'!I81+'BLAZE SHIELD II'!$L$9)),0)+IF(AND(L81="Blaze Shield II",M81="Software Idiem",C81="IN",G81=3),((('BLAZE SHIELD II'!$H$14*('CALCULO MORTERO'!I81^2)+'BLAZE SHIELD II'!$H$15*'CALCULO MORTERO'!I81+'BLAZE SHIELD II'!$H$16)*LN(J81))+('BLAZE SHIELD II'!$H$17*('CALCULO MORTERO'!I81^2)+'BLAZE SHIELD II'!$H$18*'CALCULO MORTERO'!I81+'BLAZE SHIELD II'!$H$19)),0),0)+ROUND(IF(AND(L81="Cafco 400",M81="Software Idiem",C81="IN",G81=4),((('CAFCO 400 '!$H$7*(J81^4)+'CAFCO 400 '!$H$8*(J81^3)+'CAFCO 400 '!$H$9*(J81^2)+'CAFCO 400 '!$H$10*J81+'CAFCO 400 '!$H$11)*U81^2)+(('CAFCO 400 '!$H$12*(J81^3)+'CAFCO 400 '!$H$13*(J81^2)+'CAFCO 400 '!$H$14*J81+'CAFCO 400 '!$H$15)*U81)+('CAFCO 400 '!$H$16*(J81^2)+'CAFCO 400 '!$H$17*J81+'CAFCO 400 '!$H$18)),0)+IF(AND(L81="Cafco 400",M81="Software Idiem",C81="Cj"),(((('CAFCO 400 '!$D$7*LN(J81)+'CAFCO 400 '!$D$8)*U81^2)+(('CAFCO 400 '!$D$9*LN(J81)+'CAFCO 400 '!$D$10)*U81)+('CAFCO 400 '!$D$11*LN(J81)+'CAFCO 400 '!$D$12))),0)+IF(AND(L81="Cafco 400",M81="Software Idiem",C81="C"),((('CAFCO 400 '!$L$7*(J81^3)+'CAFCO 400 '!$L$8*(J81^2)+'CAFCO 400 '!$L$9*J81+'CAFCO 400 '!$L$10)*U81^2)+(('CAFCO 400 '!$L$11*(J81^3)+'CAFCO 400 '!$L$12*(J81^2)+'CAFCO 400 '!$L$13*J81+'CAFCO 400 '!$L$14)*U81)+('CAFCO 400 '!$L$15*LN(J81)+'CAFCO 400 '!$L$16)),0)+IF(AND(L81="Cafco 400",M81="Software Idiem",C81="L"),((('CAFCO 400 '!$L$7*(J81^3)+'CAFCO 400 '!$L$8*(J81^2)+'CAFCO 400 '!$L$9*J81+'CAFCO 400 '!$L$10)*U81^2)+(('CAFCO 400 '!$L$11*(J81^3)+'CAFCO 400 '!$L$12*(J81^2)+'CAFCO 400 '!$L$13*J81+'CAFCO 400 '!$L$14)*U81)+('CAFCO 400 '!$L$15*LN(J81)+'CAFCO 400 '!$L$16)),0)+IF(AND(L81="Cafco 400",M81="Software Idiem",C81="IN",G81=3),((('CAFCO 400 '!$D$23*(J81^2)+'CAFCO 400 '!$D$24*(J81)+'CAFCO 400 '!$D$25)*U81^2)+(('CAFCO 400 '!$D$26*(J81^2)+'CAFCO 400 '!$D$27*J81+'CAFCO 400 '!$D$28)*U81)+('CAFCO 400 '!$D$29*(J81^2)+'CAFCO 400 '!$D$30*J81+'CAFCO 400 '!$D$31)),0),0)+IF(AND(L81="Cafco 300",J81&gt;=95,J81&lt;=240,C81="Cj",I81=90),VLOOKUP(T81,'CAFCO 300 IDIEM TABLAS'!$B$4:$D$23,2,FALSE),0)+IF(AND(L81="Cafco 300",J81&gt;=95,J81&lt;=240,C81="Cj",I81=120),VLOOKUP(T81,'CAFCO 300 IDIEM TABLAS'!$B$4:$D$23,3,FALSE),0)+IF(AND(L81="Cafco 300",J81&gt;=95,J81&lt;=400,G81=3,C81="IN",I81=90),VLOOKUP(T81,'CAFCO 300 IDIEM TABLAS'!$F$4:$H$35,2,FALSE),0)+IF(AND(L81="Cafco 300",J81&gt;=95,J81&lt;=400,G81=3,C81="IN",I81=120),VLOOKUP(T81,'CAFCO 300 IDIEM TABLAS'!$F$4:$H$35,3,FALSE),0)+IF(AND(L81="Cafco 300",J81&gt;=95,J81&lt;=450,G81=4,C81="IN",I81=90),VLOOKUP(T81,'CAFCO 300 IDIEM TABLAS'!$J$4:$L$40,2,FALSE),0)+IF(AND(L81="Cafco 300",J81&gt;=95,J81&lt;=450,G81=4,C81="IN",I81=120),VLOOKUP(T81,'CAFCO 300 IDIEM TABLAS'!$J$4:$L$40,3,FALSE),0)+IF(AND(M81="Ensayo Idiem",L81="Cafco 400",C81="IN",G81=4,I81=90),VLOOKUP(T81,'CAFCO 400 ENSAYO'!$B$7:$D$43,2,FALSE),0)+IF(AND(M81="Ensayo Idiem",L81="Cafco 400",C81="IN",G81=4,I81=120),VLOOKUP(T81,'CAFCO 400 ENSAYO'!$B$7:$D$43,3,FALSE),0)</f>
        <v>21</v>
      </c>
      <c r="O81" s="96">
        <f t="shared" si="8"/>
        <v>2.400209644736842</v>
      </c>
      <c r="P81" s="95" t="str">
        <f t="shared" si="9"/>
        <v>CERT.</v>
      </c>
      <c r="Q81" s="95" t="str">
        <f t="shared" si="10"/>
        <v>CERT.</v>
      </c>
      <c r="R81" s="95" t="str">
        <f t="shared" si="11"/>
        <v>NO CERT.</v>
      </c>
      <c r="S81" s="95" t="str">
        <f t="shared" si="6"/>
        <v>NO CERT.</v>
      </c>
      <c r="T81" s="119">
        <f>+IF(J81=LOOKUP(J81,'CAFCO 300 IDIEM TABLAS'!$J$4:$J$40),'CALCULO MORTERO'!J81,MROUND('CALCULO MORTERO'!J81,10))</f>
        <v>230</v>
      </c>
      <c r="U81" s="118">
        <f t="shared" si="7"/>
        <v>3600</v>
      </c>
      <c r="Y81" s="4"/>
      <c r="Z81" s="4"/>
      <c r="AA81" s="4"/>
    </row>
    <row r="82" spans="1:27" ht="15.6" customHeight="1" x14ac:dyDescent="0.25">
      <c r="A82" s="118" t="str">
        <f>+CUBICACION!D81</f>
        <v>PILAR</v>
      </c>
      <c r="B82" s="819" t="str">
        <f>+CUBICACION!E81</f>
        <v>150X150X5</v>
      </c>
      <c r="C82" s="675" t="str">
        <f>+CUBICACION!F81</f>
        <v>CJ</v>
      </c>
      <c r="D82" s="118"/>
      <c r="E82" s="118"/>
      <c r="F82" s="820"/>
      <c r="G82" s="675">
        <f>+CUBICACION!J81</f>
        <v>4</v>
      </c>
      <c r="H82" s="118"/>
      <c r="I82" s="821" t="str">
        <f>+CUBICACION!L81</f>
        <v>F-60</v>
      </c>
      <c r="J82" s="64">
        <f>+CUBICACION!M81</f>
        <v>200</v>
      </c>
      <c r="K82" s="822">
        <f>+CUBICACION!N81</f>
        <v>2.4</v>
      </c>
      <c r="L82" s="118" t="str">
        <f>+CUBICACION!O81</f>
        <v>Fire Tex 5090</v>
      </c>
      <c r="M82" s="823" t="str">
        <f>+CUBICACION!P81</f>
        <v>Software Idiem</v>
      </c>
      <c r="N82" s="902">
        <f>ROUND(IF(AND(L82="Blaze Shield II",M82="Software Idiem",C82="IN",G82=4),((('BLAZE SHIELD II'!$D$4*('CALCULO MORTERO'!I82^2)+'BLAZE SHIELD II'!$D$5*'CALCULO MORTERO'!I82+'BLAZE SHIELD II'!$D$6)*LN(J82))+('BLAZE SHIELD II'!$D$7*('CALCULO MORTERO'!I82^2)+'BLAZE SHIELD II'!$D$8*'CALCULO MORTERO'!I82+'BLAZE SHIELD II'!$D$9)),0)+IF(AND(L82="Blaze Shield II",M82="Software Idiem",C82="Cj"),((('BLAZE SHIELD II'!$H$4*('CALCULO MORTERO'!I82^2)+'BLAZE SHIELD II'!$H$5*'CALCULO MORTERO'!I82+'BLAZE SHIELD II'!$H$6)*LN(J82))+('BLAZE SHIELD II'!$H$7*('CALCULO MORTERO'!I82^2)+'BLAZE SHIELD II'!$H$8*'CALCULO MORTERO'!I82+'BLAZE SHIELD II'!$H$9)),0)+IF(AND(L82="Blaze Shield II",M82="Software Idiem",C82="C"),((('BLAZE SHIELD II'!$L$4*('CALCULO MORTERO'!I82^2)+'BLAZE SHIELD II'!$L$5*'CALCULO MORTERO'!I82+'BLAZE SHIELD II'!$L$6)*LN(J82))+('BLAZE SHIELD II'!$L$7*('CALCULO MORTERO'!I82^2)+'BLAZE SHIELD II'!$L$8*'CALCULO MORTERO'!I82+'BLAZE SHIELD II'!$L$9)),0)+IF(AND(L82="Blaze Shield II",M82="Software Idiem",C82="L"),((('BLAZE SHIELD II'!$L$4*('CALCULO MORTERO'!I82^2)+'BLAZE SHIELD II'!$L$5*'CALCULO MORTERO'!I82+'BLAZE SHIELD II'!$L$6)*LN(J82))+('BLAZE SHIELD II'!$L$7*('CALCULO MORTERO'!I82^2)+'BLAZE SHIELD II'!$L$8*'CALCULO MORTERO'!I82+'BLAZE SHIELD II'!$L$9)),0)+IF(AND(L82="Blaze Shield II",M82="Software Idiem",C82="IN",G82=3),((('BLAZE SHIELD II'!$H$14*('CALCULO MORTERO'!I82^2)+'BLAZE SHIELD II'!$H$15*'CALCULO MORTERO'!I82+'BLAZE SHIELD II'!$H$16)*LN(J82))+('BLAZE SHIELD II'!$H$17*('CALCULO MORTERO'!I82^2)+'BLAZE SHIELD II'!$H$18*'CALCULO MORTERO'!I82+'BLAZE SHIELD II'!$H$19)),0),0)+ROUND(IF(AND(L82="Cafco 400",M82="Software Idiem",C82="IN",G82=4),((('CAFCO 400 '!$H$7*(J82^4)+'CAFCO 400 '!$H$8*(J82^3)+'CAFCO 400 '!$H$9*(J82^2)+'CAFCO 400 '!$H$10*J82+'CAFCO 400 '!$H$11)*U82^2)+(('CAFCO 400 '!$H$12*(J82^3)+'CAFCO 400 '!$H$13*(J82^2)+'CAFCO 400 '!$H$14*J82+'CAFCO 400 '!$H$15)*U82)+('CAFCO 400 '!$H$16*(J82^2)+'CAFCO 400 '!$H$17*J82+'CAFCO 400 '!$H$18)),0)+IF(AND(L82="Cafco 400",M82="Software Idiem",C82="Cj"),(((('CAFCO 400 '!$D$7*LN(J82)+'CAFCO 400 '!$D$8)*U82^2)+(('CAFCO 400 '!$D$9*LN(J82)+'CAFCO 400 '!$D$10)*U82)+('CAFCO 400 '!$D$11*LN(J82)+'CAFCO 400 '!$D$12))),0)+IF(AND(L82="Cafco 400",M82="Software Idiem",C82="C"),((('CAFCO 400 '!$L$7*(J82^3)+'CAFCO 400 '!$L$8*(J82^2)+'CAFCO 400 '!$L$9*J82+'CAFCO 400 '!$L$10)*U82^2)+(('CAFCO 400 '!$L$11*(J82^3)+'CAFCO 400 '!$L$12*(J82^2)+'CAFCO 400 '!$L$13*J82+'CAFCO 400 '!$L$14)*U82)+('CAFCO 400 '!$L$15*LN(J82)+'CAFCO 400 '!$L$16)),0)+IF(AND(L82="Cafco 400",M82="Software Idiem",C82="L"),((('CAFCO 400 '!$L$7*(J82^3)+'CAFCO 400 '!$L$8*(J82^2)+'CAFCO 400 '!$L$9*J82+'CAFCO 400 '!$L$10)*U82^2)+(('CAFCO 400 '!$L$11*(J82^3)+'CAFCO 400 '!$L$12*(J82^2)+'CAFCO 400 '!$L$13*J82+'CAFCO 400 '!$L$14)*U82)+('CAFCO 400 '!$L$15*LN(J82)+'CAFCO 400 '!$L$16)),0)+IF(AND(L82="Cafco 400",M82="Software Idiem",C82="IN",G82=3),((('CAFCO 400 '!$D$23*(J82^2)+'CAFCO 400 '!$D$24*(J82)+'CAFCO 400 '!$D$25)*U82^2)+(('CAFCO 400 '!$D$26*(J82^2)+'CAFCO 400 '!$D$27*J82+'CAFCO 400 '!$D$28)*U82)+('CAFCO 400 '!$D$29*(J82^2)+'CAFCO 400 '!$D$30*J82+'CAFCO 400 '!$D$31)),0),0)+IF(AND(L82="Cafco 300",J82&gt;=95,J82&lt;=240,C82="Cj",I82=90),VLOOKUP(T82,'CAFCO 300 IDIEM TABLAS'!$B$4:$D$23,2,FALSE),0)+IF(AND(L82="Cafco 300",J82&gt;=95,J82&lt;=240,C82="Cj",I82=120),VLOOKUP(T82,'CAFCO 300 IDIEM TABLAS'!$B$4:$D$23,3,FALSE),0)+IF(AND(L82="Cafco 300",J82&gt;=95,J82&lt;=400,G82=3,C82="IN",I82=90),VLOOKUP(T82,'CAFCO 300 IDIEM TABLAS'!$F$4:$H$35,2,FALSE),0)+IF(AND(L82="Cafco 300",J82&gt;=95,J82&lt;=400,G82=3,C82="IN",I82=120),VLOOKUP(T82,'CAFCO 300 IDIEM TABLAS'!$F$4:$H$35,3,FALSE),0)+IF(AND(L82="Cafco 300",J82&gt;=95,J82&lt;=450,G82=4,C82="IN",I82=90),VLOOKUP(T82,'CAFCO 300 IDIEM TABLAS'!$J$4:$L$40,2,FALSE),0)+IF(AND(L82="Cafco 300",J82&gt;=95,J82&lt;=450,G82=4,C82="IN",I82=120),VLOOKUP(T82,'CAFCO 300 IDIEM TABLAS'!$J$4:$L$40,3,FALSE),0)+IF(AND(M82="Ensayo Idiem",L82="Cafco 400",C82="IN",G82=4,I82=90),VLOOKUP(T82,'CAFCO 400 ENSAYO'!$B$7:$D$43,2,FALSE),0)+IF(AND(M82="Ensayo Idiem",L82="Cafco 400",C82="IN",G82=4,I82=120),VLOOKUP(T82,'CAFCO 400 ENSAYO'!$B$7:$D$43,3,FALSE),0)</f>
        <v>0</v>
      </c>
      <c r="O82" s="96">
        <f t="shared" si="8"/>
        <v>0</v>
      </c>
      <c r="P82" s="95" t="str">
        <f t="shared" si="9"/>
        <v>CERT.</v>
      </c>
      <c r="Q82" s="95" t="str">
        <f t="shared" si="10"/>
        <v>CERT.</v>
      </c>
      <c r="R82" s="95" t="str">
        <f t="shared" si="11"/>
        <v>NO CERT.</v>
      </c>
      <c r="S82" s="95" t="str">
        <f t="shared" si="6"/>
        <v>NO CERT.</v>
      </c>
      <c r="T82" s="119">
        <f>+IF(J82=LOOKUP(J82,'CAFCO 300 IDIEM TABLAS'!$J$4:$J$40),'CALCULO MORTERO'!J82,MROUND('CALCULO MORTERO'!J82,10))</f>
        <v>200</v>
      </c>
      <c r="U82" s="118" t="e">
        <f t="shared" si="7"/>
        <v>#VALUE!</v>
      </c>
      <c r="Y82" s="4"/>
      <c r="Z82" s="4"/>
      <c r="AA82" s="4"/>
    </row>
    <row r="83" spans="1:27" x14ac:dyDescent="0.25">
      <c r="A83" s="118" t="str">
        <f>+CUBICACION!D82</f>
        <v>VIGA BAJO LOSA</v>
      </c>
      <c r="B83" s="819" t="str">
        <f>+CUBICACION!E82</f>
        <v>240X120X9,8X6,2</v>
      </c>
      <c r="C83" s="675" t="str">
        <f>+CUBICACION!F82</f>
        <v>IN</v>
      </c>
      <c r="D83" s="118"/>
      <c r="E83" s="118"/>
      <c r="F83" s="820"/>
      <c r="G83" s="675">
        <f>+CUBICACION!J82</f>
        <v>3</v>
      </c>
      <c r="H83" s="118"/>
      <c r="I83" s="821">
        <f>+CUBICACION!L82</f>
        <v>60</v>
      </c>
      <c r="J83" s="64">
        <f>+CUBICACION!M82</f>
        <v>233</v>
      </c>
      <c r="K83" s="822">
        <f>+CUBICACION!N82</f>
        <v>10.10055</v>
      </c>
      <c r="L83" s="118" t="str">
        <f>+CUBICACION!O82</f>
        <v>Blaze Shield II</v>
      </c>
      <c r="M83" s="823" t="str">
        <f>+CUBICACION!P82</f>
        <v>Software Idiem</v>
      </c>
      <c r="N83" s="902">
        <f>ROUND(IF(AND(L83="Blaze Shield II",M83="Software Idiem",C83="IN",G83=4),((('BLAZE SHIELD II'!$D$4*('CALCULO MORTERO'!I83^2)+'BLAZE SHIELD II'!$D$5*'CALCULO MORTERO'!I83+'BLAZE SHIELD II'!$D$6)*LN(J83))+('BLAZE SHIELD II'!$D$7*('CALCULO MORTERO'!I83^2)+'BLAZE SHIELD II'!$D$8*'CALCULO MORTERO'!I83+'BLAZE SHIELD II'!$D$9)),0)+IF(AND(L83="Blaze Shield II",M83="Software Idiem",C83="Cj"),((('BLAZE SHIELD II'!$H$4*('CALCULO MORTERO'!I83^2)+'BLAZE SHIELD II'!$H$5*'CALCULO MORTERO'!I83+'BLAZE SHIELD II'!$H$6)*LN(J83))+('BLAZE SHIELD II'!$H$7*('CALCULO MORTERO'!I83^2)+'BLAZE SHIELD II'!$H$8*'CALCULO MORTERO'!I83+'BLAZE SHIELD II'!$H$9)),0)+IF(AND(L83="Blaze Shield II",M83="Software Idiem",C83="C"),((('BLAZE SHIELD II'!$L$4*('CALCULO MORTERO'!I83^2)+'BLAZE SHIELD II'!$L$5*'CALCULO MORTERO'!I83+'BLAZE SHIELD II'!$L$6)*LN(J83))+('BLAZE SHIELD II'!$L$7*('CALCULO MORTERO'!I83^2)+'BLAZE SHIELD II'!$L$8*'CALCULO MORTERO'!I83+'BLAZE SHIELD II'!$L$9)),0)+IF(AND(L83="Blaze Shield II",M83="Software Idiem",C83="L"),((('BLAZE SHIELD II'!$L$4*('CALCULO MORTERO'!I83^2)+'BLAZE SHIELD II'!$L$5*'CALCULO MORTERO'!I83+'BLAZE SHIELD II'!$L$6)*LN(J83))+('BLAZE SHIELD II'!$L$7*('CALCULO MORTERO'!I83^2)+'BLAZE SHIELD II'!$L$8*'CALCULO MORTERO'!I83+'BLAZE SHIELD II'!$L$9)),0)+IF(AND(L83="Blaze Shield II",M83="Software Idiem",C83="IN",G83=3),((('BLAZE SHIELD II'!$H$14*('CALCULO MORTERO'!I83^2)+'BLAZE SHIELD II'!$H$15*'CALCULO MORTERO'!I83+'BLAZE SHIELD II'!$H$16)*LN(J83))+('BLAZE SHIELD II'!$H$17*('CALCULO MORTERO'!I83^2)+'BLAZE SHIELD II'!$H$18*'CALCULO MORTERO'!I83+'BLAZE SHIELD II'!$H$19)),0),0)+ROUND(IF(AND(L83="Cafco 400",M83="Software Idiem",C83="IN",G83=4),((('CAFCO 400 '!$H$7*(J83^4)+'CAFCO 400 '!$H$8*(J83^3)+'CAFCO 400 '!$H$9*(J83^2)+'CAFCO 400 '!$H$10*J83+'CAFCO 400 '!$H$11)*U83^2)+(('CAFCO 400 '!$H$12*(J83^3)+'CAFCO 400 '!$H$13*(J83^2)+'CAFCO 400 '!$H$14*J83+'CAFCO 400 '!$H$15)*U83)+('CAFCO 400 '!$H$16*(J83^2)+'CAFCO 400 '!$H$17*J83+'CAFCO 400 '!$H$18)),0)+IF(AND(L83="Cafco 400",M83="Software Idiem",C83="Cj"),(((('CAFCO 400 '!$D$7*LN(J83)+'CAFCO 400 '!$D$8)*U83^2)+(('CAFCO 400 '!$D$9*LN(J83)+'CAFCO 400 '!$D$10)*U83)+('CAFCO 400 '!$D$11*LN(J83)+'CAFCO 400 '!$D$12))),0)+IF(AND(L83="Cafco 400",M83="Software Idiem",C83="C"),((('CAFCO 400 '!$L$7*(J83^3)+'CAFCO 400 '!$L$8*(J83^2)+'CAFCO 400 '!$L$9*J83+'CAFCO 400 '!$L$10)*U83^2)+(('CAFCO 400 '!$L$11*(J83^3)+'CAFCO 400 '!$L$12*(J83^2)+'CAFCO 400 '!$L$13*J83+'CAFCO 400 '!$L$14)*U83)+('CAFCO 400 '!$L$15*LN(J83)+'CAFCO 400 '!$L$16)),0)+IF(AND(L83="Cafco 400",M83="Software Idiem",C83="L"),((('CAFCO 400 '!$L$7*(J83^3)+'CAFCO 400 '!$L$8*(J83^2)+'CAFCO 400 '!$L$9*J83+'CAFCO 400 '!$L$10)*U83^2)+(('CAFCO 400 '!$L$11*(J83^3)+'CAFCO 400 '!$L$12*(J83^2)+'CAFCO 400 '!$L$13*J83+'CAFCO 400 '!$L$14)*U83)+('CAFCO 400 '!$L$15*LN(J83)+'CAFCO 400 '!$L$16)),0)+IF(AND(L83="Cafco 400",M83="Software Idiem",C83="IN",G83=3),((('CAFCO 400 '!$D$23*(J83^2)+'CAFCO 400 '!$D$24*(J83)+'CAFCO 400 '!$D$25)*U83^2)+(('CAFCO 400 '!$D$26*(J83^2)+'CAFCO 400 '!$D$27*J83+'CAFCO 400 '!$D$28)*U83)+('CAFCO 400 '!$D$29*(J83^2)+'CAFCO 400 '!$D$30*J83+'CAFCO 400 '!$D$31)),0),0)+IF(AND(L83="Cafco 300",J83&gt;=95,J83&lt;=240,C83="Cj",I83=90),VLOOKUP(T83,'CAFCO 300 IDIEM TABLAS'!$B$4:$D$23,2,FALSE),0)+IF(AND(L83="Cafco 300",J83&gt;=95,J83&lt;=240,C83="Cj",I83=120),VLOOKUP(T83,'CAFCO 300 IDIEM TABLAS'!$B$4:$D$23,3,FALSE),0)+IF(AND(L83="Cafco 300",J83&gt;=95,J83&lt;=400,G83=3,C83="IN",I83=90),VLOOKUP(T83,'CAFCO 300 IDIEM TABLAS'!$F$4:$H$35,2,FALSE),0)+IF(AND(L83="Cafco 300",J83&gt;=95,J83&lt;=400,G83=3,C83="IN",I83=120),VLOOKUP(T83,'CAFCO 300 IDIEM TABLAS'!$F$4:$H$35,3,FALSE),0)+IF(AND(L83="Cafco 300",J83&gt;=95,J83&lt;=450,G83=4,C83="IN",I83=90),VLOOKUP(T83,'CAFCO 300 IDIEM TABLAS'!$J$4:$L$40,2,FALSE),0)+IF(AND(L83="Cafco 300",J83&gt;=95,J83&lt;=450,G83=4,C83="IN",I83=120),VLOOKUP(T83,'CAFCO 300 IDIEM TABLAS'!$J$4:$L$40,3,FALSE),0)+IF(AND(M83="Ensayo Idiem",L83="Cafco 400",C83="IN",G83=4,I83=90),VLOOKUP(T83,'CAFCO 400 ENSAYO'!$B$7:$D$43,2,FALSE),0)+IF(AND(M83="Ensayo Idiem",L83="Cafco 400",C83="IN",G83=4,I83=120),VLOOKUP(T83,'CAFCO 400 ENSAYO'!$B$7:$D$43,3,FALSE),0)</f>
        <v>21</v>
      </c>
      <c r="O83" s="96">
        <f t="shared" si="8"/>
        <v>2.400209644736842</v>
      </c>
      <c r="P83" s="95" t="str">
        <f t="shared" si="9"/>
        <v>CERT.</v>
      </c>
      <c r="Q83" s="95" t="str">
        <f t="shared" si="10"/>
        <v>CERT.</v>
      </c>
      <c r="R83" s="95" t="str">
        <f t="shared" si="11"/>
        <v>NO CERT.</v>
      </c>
      <c r="S83" s="95" t="str">
        <f t="shared" si="6"/>
        <v>NO CERT.</v>
      </c>
      <c r="T83" s="119">
        <f>+IF(J83=LOOKUP(J83,'CAFCO 300 IDIEM TABLAS'!$J$4:$J$40),'CALCULO MORTERO'!J83,MROUND('CALCULO MORTERO'!J83,10))</f>
        <v>230</v>
      </c>
      <c r="U83" s="118">
        <f t="shared" si="7"/>
        <v>3600</v>
      </c>
      <c r="Y83" s="4"/>
      <c r="Z83" s="4"/>
      <c r="AA83" s="4"/>
    </row>
    <row r="84" spans="1:27" ht="15.6" customHeight="1" x14ac:dyDescent="0.25">
      <c r="A84" s="118" t="str">
        <f>+CUBICACION!D83</f>
        <v>ARRIOSTRAMINETO VERTICAL</v>
      </c>
      <c r="B84" s="819" t="str">
        <f>+CUBICACION!E83</f>
        <v>100X100X3</v>
      </c>
      <c r="C84" s="675" t="str">
        <f>+CUBICACION!F83</f>
        <v>CJ</v>
      </c>
      <c r="D84" s="118"/>
      <c r="E84" s="118"/>
      <c r="F84" s="820"/>
      <c r="G84" s="675">
        <f>+CUBICACION!J83</f>
        <v>4</v>
      </c>
      <c r="H84" s="118"/>
      <c r="I84" s="821" t="str">
        <f>+CUBICACION!L83</f>
        <v>F-60</v>
      </c>
      <c r="J84" s="64">
        <f>+CUBICACION!M83</f>
        <v>333</v>
      </c>
      <c r="K84" s="822">
        <f>+CUBICACION!N83</f>
        <v>6.32</v>
      </c>
      <c r="L84" s="118" t="str">
        <f>+CUBICACION!O83</f>
        <v>Fire Tex 5090</v>
      </c>
      <c r="M84" s="823" t="str">
        <f>+CUBICACION!P83</f>
        <v>Software Idiem</v>
      </c>
      <c r="N84" s="902">
        <f>ROUND(IF(AND(L84="Blaze Shield II",M84="Software Idiem",C84="IN",G84=4),((('BLAZE SHIELD II'!$D$4*('CALCULO MORTERO'!I84^2)+'BLAZE SHIELD II'!$D$5*'CALCULO MORTERO'!I84+'BLAZE SHIELD II'!$D$6)*LN(J84))+('BLAZE SHIELD II'!$D$7*('CALCULO MORTERO'!I84^2)+'BLAZE SHIELD II'!$D$8*'CALCULO MORTERO'!I84+'BLAZE SHIELD II'!$D$9)),0)+IF(AND(L84="Blaze Shield II",M84="Software Idiem",C84="Cj"),((('BLAZE SHIELD II'!$H$4*('CALCULO MORTERO'!I84^2)+'BLAZE SHIELD II'!$H$5*'CALCULO MORTERO'!I84+'BLAZE SHIELD II'!$H$6)*LN(J84))+('BLAZE SHIELD II'!$H$7*('CALCULO MORTERO'!I84^2)+'BLAZE SHIELD II'!$H$8*'CALCULO MORTERO'!I84+'BLAZE SHIELD II'!$H$9)),0)+IF(AND(L84="Blaze Shield II",M84="Software Idiem",C84="C"),((('BLAZE SHIELD II'!$L$4*('CALCULO MORTERO'!I84^2)+'BLAZE SHIELD II'!$L$5*'CALCULO MORTERO'!I84+'BLAZE SHIELD II'!$L$6)*LN(J84))+('BLAZE SHIELD II'!$L$7*('CALCULO MORTERO'!I84^2)+'BLAZE SHIELD II'!$L$8*'CALCULO MORTERO'!I84+'BLAZE SHIELD II'!$L$9)),0)+IF(AND(L84="Blaze Shield II",M84="Software Idiem",C84="L"),((('BLAZE SHIELD II'!$L$4*('CALCULO MORTERO'!I84^2)+'BLAZE SHIELD II'!$L$5*'CALCULO MORTERO'!I84+'BLAZE SHIELD II'!$L$6)*LN(J84))+('BLAZE SHIELD II'!$L$7*('CALCULO MORTERO'!I84^2)+'BLAZE SHIELD II'!$L$8*'CALCULO MORTERO'!I84+'BLAZE SHIELD II'!$L$9)),0)+IF(AND(L84="Blaze Shield II",M84="Software Idiem",C84="IN",G84=3),((('BLAZE SHIELD II'!$H$14*('CALCULO MORTERO'!I84^2)+'BLAZE SHIELD II'!$H$15*'CALCULO MORTERO'!I84+'BLAZE SHIELD II'!$H$16)*LN(J84))+('BLAZE SHIELD II'!$H$17*('CALCULO MORTERO'!I84^2)+'BLAZE SHIELD II'!$H$18*'CALCULO MORTERO'!I84+'BLAZE SHIELD II'!$H$19)),0),0)+ROUND(IF(AND(L84="Cafco 400",M84="Software Idiem",C84="IN",G84=4),((('CAFCO 400 '!$H$7*(J84^4)+'CAFCO 400 '!$H$8*(J84^3)+'CAFCO 400 '!$H$9*(J84^2)+'CAFCO 400 '!$H$10*J84+'CAFCO 400 '!$H$11)*U84^2)+(('CAFCO 400 '!$H$12*(J84^3)+'CAFCO 400 '!$H$13*(J84^2)+'CAFCO 400 '!$H$14*J84+'CAFCO 400 '!$H$15)*U84)+('CAFCO 400 '!$H$16*(J84^2)+'CAFCO 400 '!$H$17*J84+'CAFCO 400 '!$H$18)),0)+IF(AND(L84="Cafco 400",M84="Software Idiem",C84="Cj"),(((('CAFCO 400 '!$D$7*LN(J84)+'CAFCO 400 '!$D$8)*U84^2)+(('CAFCO 400 '!$D$9*LN(J84)+'CAFCO 400 '!$D$10)*U84)+('CAFCO 400 '!$D$11*LN(J84)+'CAFCO 400 '!$D$12))),0)+IF(AND(L84="Cafco 400",M84="Software Idiem",C84="C"),((('CAFCO 400 '!$L$7*(J84^3)+'CAFCO 400 '!$L$8*(J84^2)+'CAFCO 400 '!$L$9*J84+'CAFCO 400 '!$L$10)*U84^2)+(('CAFCO 400 '!$L$11*(J84^3)+'CAFCO 400 '!$L$12*(J84^2)+'CAFCO 400 '!$L$13*J84+'CAFCO 400 '!$L$14)*U84)+('CAFCO 400 '!$L$15*LN(J84)+'CAFCO 400 '!$L$16)),0)+IF(AND(L84="Cafco 400",M84="Software Idiem",C84="L"),((('CAFCO 400 '!$L$7*(J84^3)+'CAFCO 400 '!$L$8*(J84^2)+'CAFCO 400 '!$L$9*J84+'CAFCO 400 '!$L$10)*U84^2)+(('CAFCO 400 '!$L$11*(J84^3)+'CAFCO 400 '!$L$12*(J84^2)+'CAFCO 400 '!$L$13*J84+'CAFCO 400 '!$L$14)*U84)+('CAFCO 400 '!$L$15*LN(J84)+'CAFCO 400 '!$L$16)),0)+IF(AND(L84="Cafco 400",M84="Software Idiem",C84="IN",G84=3),((('CAFCO 400 '!$D$23*(J84^2)+'CAFCO 400 '!$D$24*(J84)+'CAFCO 400 '!$D$25)*U84^2)+(('CAFCO 400 '!$D$26*(J84^2)+'CAFCO 400 '!$D$27*J84+'CAFCO 400 '!$D$28)*U84)+('CAFCO 400 '!$D$29*(J84^2)+'CAFCO 400 '!$D$30*J84+'CAFCO 400 '!$D$31)),0),0)+IF(AND(L84="Cafco 300",J84&gt;=95,J84&lt;=240,C84="Cj",I84=90),VLOOKUP(T84,'CAFCO 300 IDIEM TABLAS'!$B$4:$D$23,2,FALSE),0)+IF(AND(L84="Cafco 300",J84&gt;=95,J84&lt;=240,C84="Cj",I84=120),VLOOKUP(T84,'CAFCO 300 IDIEM TABLAS'!$B$4:$D$23,3,FALSE),0)+IF(AND(L84="Cafco 300",J84&gt;=95,J84&lt;=400,G84=3,C84="IN",I84=90),VLOOKUP(T84,'CAFCO 300 IDIEM TABLAS'!$F$4:$H$35,2,FALSE),0)+IF(AND(L84="Cafco 300",J84&gt;=95,J84&lt;=400,G84=3,C84="IN",I84=120),VLOOKUP(T84,'CAFCO 300 IDIEM TABLAS'!$F$4:$H$35,3,FALSE),0)+IF(AND(L84="Cafco 300",J84&gt;=95,J84&lt;=450,G84=4,C84="IN",I84=90),VLOOKUP(T84,'CAFCO 300 IDIEM TABLAS'!$J$4:$L$40,2,FALSE),0)+IF(AND(L84="Cafco 300",J84&gt;=95,J84&lt;=450,G84=4,C84="IN",I84=120),VLOOKUP(T84,'CAFCO 300 IDIEM TABLAS'!$J$4:$L$40,3,FALSE),0)+IF(AND(M84="Ensayo Idiem",L84="Cafco 400",C84="IN",G84=4,I84=90),VLOOKUP(T84,'CAFCO 400 ENSAYO'!$B$7:$D$43,2,FALSE),0)+IF(AND(M84="Ensayo Idiem",L84="Cafco 400",C84="IN",G84=4,I84=120),VLOOKUP(T84,'CAFCO 400 ENSAYO'!$B$7:$D$43,3,FALSE),0)</f>
        <v>0</v>
      </c>
      <c r="O84" s="96">
        <f t="shared" si="8"/>
        <v>0</v>
      </c>
      <c r="P84" s="95" t="str">
        <f t="shared" si="9"/>
        <v>CERT.</v>
      </c>
      <c r="Q84" s="95" t="str">
        <f t="shared" si="10"/>
        <v>CERT.</v>
      </c>
      <c r="R84" s="95" t="str">
        <f t="shared" si="11"/>
        <v>NO CERT.</v>
      </c>
      <c r="S84" s="95" t="str">
        <f t="shared" si="6"/>
        <v>NO CERT.</v>
      </c>
      <c r="T84" s="119">
        <f>+IF(J84=LOOKUP(J84,'CAFCO 300 IDIEM TABLAS'!$J$4:$J$40),'CALCULO MORTERO'!J84,MROUND('CALCULO MORTERO'!J84,10))</f>
        <v>330</v>
      </c>
      <c r="U84" s="118" t="e">
        <f t="shared" si="7"/>
        <v>#VALUE!</v>
      </c>
      <c r="Y84" s="4"/>
      <c r="Z84" s="4"/>
      <c r="AA84" s="4"/>
    </row>
    <row r="85" spans="1:27" x14ac:dyDescent="0.25">
      <c r="A85" s="118" t="str">
        <f>+CUBICACION!D84</f>
        <v>PILAR</v>
      </c>
      <c r="B85" s="819" t="str">
        <f>+CUBICACION!E84</f>
        <v>150X150X5</v>
      </c>
      <c r="C85" s="675" t="str">
        <f>+CUBICACION!F84</f>
        <v>CJ</v>
      </c>
      <c r="D85" s="118"/>
      <c r="E85" s="118"/>
      <c r="F85" s="820"/>
      <c r="G85" s="675">
        <f>+CUBICACION!J84</f>
        <v>4</v>
      </c>
      <c r="H85" s="118"/>
      <c r="I85" s="821" t="str">
        <f>+CUBICACION!L84</f>
        <v>F-60</v>
      </c>
      <c r="J85" s="64">
        <f>+CUBICACION!M84</f>
        <v>200</v>
      </c>
      <c r="K85" s="822">
        <f>+CUBICACION!N84</f>
        <v>2.4</v>
      </c>
      <c r="L85" s="118" t="str">
        <f>+CUBICACION!O84</f>
        <v>Fire Tex 5090</v>
      </c>
      <c r="M85" s="823" t="str">
        <f>+CUBICACION!P84</f>
        <v>Software Idiem</v>
      </c>
      <c r="N85" s="902">
        <f>ROUND(IF(AND(L85="Blaze Shield II",M85="Software Idiem",C85="IN",G85=4),((('BLAZE SHIELD II'!$D$4*('CALCULO MORTERO'!I85^2)+'BLAZE SHIELD II'!$D$5*'CALCULO MORTERO'!I85+'BLAZE SHIELD II'!$D$6)*LN(J85))+('BLAZE SHIELD II'!$D$7*('CALCULO MORTERO'!I85^2)+'BLAZE SHIELD II'!$D$8*'CALCULO MORTERO'!I85+'BLAZE SHIELD II'!$D$9)),0)+IF(AND(L85="Blaze Shield II",M85="Software Idiem",C85="Cj"),((('BLAZE SHIELD II'!$H$4*('CALCULO MORTERO'!I85^2)+'BLAZE SHIELD II'!$H$5*'CALCULO MORTERO'!I85+'BLAZE SHIELD II'!$H$6)*LN(J85))+('BLAZE SHIELD II'!$H$7*('CALCULO MORTERO'!I85^2)+'BLAZE SHIELD II'!$H$8*'CALCULO MORTERO'!I85+'BLAZE SHIELD II'!$H$9)),0)+IF(AND(L85="Blaze Shield II",M85="Software Idiem",C85="C"),((('BLAZE SHIELD II'!$L$4*('CALCULO MORTERO'!I85^2)+'BLAZE SHIELD II'!$L$5*'CALCULO MORTERO'!I85+'BLAZE SHIELD II'!$L$6)*LN(J85))+('BLAZE SHIELD II'!$L$7*('CALCULO MORTERO'!I85^2)+'BLAZE SHIELD II'!$L$8*'CALCULO MORTERO'!I85+'BLAZE SHIELD II'!$L$9)),0)+IF(AND(L85="Blaze Shield II",M85="Software Idiem",C85="L"),((('BLAZE SHIELD II'!$L$4*('CALCULO MORTERO'!I85^2)+'BLAZE SHIELD II'!$L$5*'CALCULO MORTERO'!I85+'BLAZE SHIELD II'!$L$6)*LN(J85))+('BLAZE SHIELD II'!$L$7*('CALCULO MORTERO'!I85^2)+'BLAZE SHIELD II'!$L$8*'CALCULO MORTERO'!I85+'BLAZE SHIELD II'!$L$9)),0)+IF(AND(L85="Blaze Shield II",M85="Software Idiem",C85="IN",G85=3),((('BLAZE SHIELD II'!$H$14*('CALCULO MORTERO'!I85^2)+'BLAZE SHIELD II'!$H$15*'CALCULO MORTERO'!I85+'BLAZE SHIELD II'!$H$16)*LN(J85))+('BLAZE SHIELD II'!$H$17*('CALCULO MORTERO'!I85^2)+'BLAZE SHIELD II'!$H$18*'CALCULO MORTERO'!I85+'BLAZE SHIELD II'!$H$19)),0),0)+ROUND(IF(AND(L85="Cafco 400",M85="Software Idiem",C85="IN",G85=4),((('CAFCO 400 '!$H$7*(J85^4)+'CAFCO 400 '!$H$8*(J85^3)+'CAFCO 400 '!$H$9*(J85^2)+'CAFCO 400 '!$H$10*J85+'CAFCO 400 '!$H$11)*U85^2)+(('CAFCO 400 '!$H$12*(J85^3)+'CAFCO 400 '!$H$13*(J85^2)+'CAFCO 400 '!$H$14*J85+'CAFCO 400 '!$H$15)*U85)+('CAFCO 400 '!$H$16*(J85^2)+'CAFCO 400 '!$H$17*J85+'CAFCO 400 '!$H$18)),0)+IF(AND(L85="Cafco 400",M85="Software Idiem",C85="Cj"),(((('CAFCO 400 '!$D$7*LN(J85)+'CAFCO 400 '!$D$8)*U85^2)+(('CAFCO 400 '!$D$9*LN(J85)+'CAFCO 400 '!$D$10)*U85)+('CAFCO 400 '!$D$11*LN(J85)+'CAFCO 400 '!$D$12))),0)+IF(AND(L85="Cafco 400",M85="Software Idiem",C85="C"),((('CAFCO 400 '!$L$7*(J85^3)+'CAFCO 400 '!$L$8*(J85^2)+'CAFCO 400 '!$L$9*J85+'CAFCO 400 '!$L$10)*U85^2)+(('CAFCO 400 '!$L$11*(J85^3)+'CAFCO 400 '!$L$12*(J85^2)+'CAFCO 400 '!$L$13*J85+'CAFCO 400 '!$L$14)*U85)+('CAFCO 400 '!$L$15*LN(J85)+'CAFCO 400 '!$L$16)),0)+IF(AND(L85="Cafco 400",M85="Software Idiem",C85="L"),((('CAFCO 400 '!$L$7*(J85^3)+'CAFCO 400 '!$L$8*(J85^2)+'CAFCO 400 '!$L$9*J85+'CAFCO 400 '!$L$10)*U85^2)+(('CAFCO 400 '!$L$11*(J85^3)+'CAFCO 400 '!$L$12*(J85^2)+'CAFCO 400 '!$L$13*J85+'CAFCO 400 '!$L$14)*U85)+('CAFCO 400 '!$L$15*LN(J85)+'CAFCO 400 '!$L$16)),0)+IF(AND(L85="Cafco 400",M85="Software Idiem",C85="IN",G85=3),((('CAFCO 400 '!$D$23*(J85^2)+'CAFCO 400 '!$D$24*(J85)+'CAFCO 400 '!$D$25)*U85^2)+(('CAFCO 400 '!$D$26*(J85^2)+'CAFCO 400 '!$D$27*J85+'CAFCO 400 '!$D$28)*U85)+('CAFCO 400 '!$D$29*(J85^2)+'CAFCO 400 '!$D$30*J85+'CAFCO 400 '!$D$31)),0),0)+IF(AND(L85="Cafco 300",J85&gt;=95,J85&lt;=240,C85="Cj",I85=90),VLOOKUP(T85,'CAFCO 300 IDIEM TABLAS'!$B$4:$D$23,2,FALSE),0)+IF(AND(L85="Cafco 300",J85&gt;=95,J85&lt;=240,C85="Cj",I85=120),VLOOKUP(T85,'CAFCO 300 IDIEM TABLAS'!$B$4:$D$23,3,FALSE),0)+IF(AND(L85="Cafco 300",J85&gt;=95,J85&lt;=400,G85=3,C85="IN",I85=90),VLOOKUP(T85,'CAFCO 300 IDIEM TABLAS'!$F$4:$H$35,2,FALSE),0)+IF(AND(L85="Cafco 300",J85&gt;=95,J85&lt;=400,G85=3,C85="IN",I85=120),VLOOKUP(T85,'CAFCO 300 IDIEM TABLAS'!$F$4:$H$35,3,FALSE),0)+IF(AND(L85="Cafco 300",J85&gt;=95,J85&lt;=450,G85=4,C85="IN",I85=90),VLOOKUP(T85,'CAFCO 300 IDIEM TABLAS'!$J$4:$L$40,2,FALSE),0)+IF(AND(L85="Cafco 300",J85&gt;=95,J85&lt;=450,G85=4,C85="IN",I85=120),VLOOKUP(T85,'CAFCO 300 IDIEM TABLAS'!$J$4:$L$40,3,FALSE),0)+IF(AND(M85="Ensayo Idiem",L85="Cafco 400",C85="IN",G85=4,I85=90),VLOOKUP(T85,'CAFCO 400 ENSAYO'!$B$7:$D$43,2,FALSE),0)+IF(AND(M85="Ensayo Idiem",L85="Cafco 400",C85="IN",G85=4,I85=120),VLOOKUP(T85,'CAFCO 400 ENSAYO'!$B$7:$D$43,3,FALSE),0)</f>
        <v>0</v>
      </c>
      <c r="O85" s="96">
        <f t="shared" si="8"/>
        <v>0</v>
      </c>
      <c r="P85" s="95" t="str">
        <f t="shared" si="9"/>
        <v>CERT.</v>
      </c>
      <c r="Q85" s="95" t="str">
        <f t="shared" si="10"/>
        <v>CERT.</v>
      </c>
      <c r="R85" s="95" t="str">
        <f t="shared" si="11"/>
        <v>NO CERT.</v>
      </c>
      <c r="S85" s="95" t="str">
        <f t="shared" si="6"/>
        <v>NO CERT.</v>
      </c>
      <c r="T85" s="119">
        <f>+IF(J85=LOOKUP(J85,'CAFCO 300 IDIEM TABLAS'!$J$4:$J$40),'CALCULO MORTERO'!J85,MROUND('CALCULO MORTERO'!J85,10))</f>
        <v>200</v>
      </c>
      <c r="U85" s="118" t="e">
        <f t="shared" si="7"/>
        <v>#VALUE!</v>
      </c>
      <c r="Y85" s="4"/>
      <c r="Z85" s="4"/>
      <c r="AA85" s="4"/>
    </row>
    <row r="86" spans="1:27" ht="15.6" customHeight="1" x14ac:dyDescent="0.25">
      <c r="A86" s="118" t="str">
        <f>+CUBICACION!D85</f>
        <v>VIGA BAJO LOSA</v>
      </c>
      <c r="B86" s="819" t="str">
        <f>+CUBICACION!E85</f>
        <v>240X120X9,8X6,2</v>
      </c>
      <c r="C86" s="675" t="str">
        <f>+CUBICACION!F85</f>
        <v>IN</v>
      </c>
      <c r="D86" s="118"/>
      <c r="E86" s="118"/>
      <c r="F86" s="820"/>
      <c r="G86" s="675">
        <f>+CUBICACION!J85</f>
        <v>3</v>
      </c>
      <c r="H86" s="118"/>
      <c r="I86" s="821">
        <f>+CUBICACION!L85</f>
        <v>60</v>
      </c>
      <c r="J86" s="64">
        <f>+CUBICACION!M85</f>
        <v>233</v>
      </c>
      <c r="K86" s="822">
        <f>+CUBICACION!N85</f>
        <v>10.10055</v>
      </c>
      <c r="L86" s="118" t="str">
        <f>+CUBICACION!O85</f>
        <v>Blaze Shield II</v>
      </c>
      <c r="M86" s="823" t="str">
        <f>+CUBICACION!P85</f>
        <v>Software Idiem</v>
      </c>
      <c r="N86" s="902">
        <f>ROUND(IF(AND(L86="Blaze Shield II",M86="Software Idiem",C86="IN",G86=4),((('BLAZE SHIELD II'!$D$4*('CALCULO MORTERO'!I86^2)+'BLAZE SHIELD II'!$D$5*'CALCULO MORTERO'!I86+'BLAZE SHIELD II'!$D$6)*LN(J86))+('BLAZE SHIELD II'!$D$7*('CALCULO MORTERO'!I86^2)+'BLAZE SHIELD II'!$D$8*'CALCULO MORTERO'!I86+'BLAZE SHIELD II'!$D$9)),0)+IF(AND(L86="Blaze Shield II",M86="Software Idiem",C86="Cj"),((('BLAZE SHIELD II'!$H$4*('CALCULO MORTERO'!I86^2)+'BLAZE SHIELD II'!$H$5*'CALCULO MORTERO'!I86+'BLAZE SHIELD II'!$H$6)*LN(J86))+('BLAZE SHIELD II'!$H$7*('CALCULO MORTERO'!I86^2)+'BLAZE SHIELD II'!$H$8*'CALCULO MORTERO'!I86+'BLAZE SHIELD II'!$H$9)),0)+IF(AND(L86="Blaze Shield II",M86="Software Idiem",C86="C"),((('BLAZE SHIELD II'!$L$4*('CALCULO MORTERO'!I86^2)+'BLAZE SHIELD II'!$L$5*'CALCULO MORTERO'!I86+'BLAZE SHIELD II'!$L$6)*LN(J86))+('BLAZE SHIELD II'!$L$7*('CALCULO MORTERO'!I86^2)+'BLAZE SHIELD II'!$L$8*'CALCULO MORTERO'!I86+'BLAZE SHIELD II'!$L$9)),0)+IF(AND(L86="Blaze Shield II",M86="Software Idiem",C86="L"),((('BLAZE SHIELD II'!$L$4*('CALCULO MORTERO'!I86^2)+'BLAZE SHIELD II'!$L$5*'CALCULO MORTERO'!I86+'BLAZE SHIELD II'!$L$6)*LN(J86))+('BLAZE SHIELD II'!$L$7*('CALCULO MORTERO'!I86^2)+'BLAZE SHIELD II'!$L$8*'CALCULO MORTERO'!I86+'BLAZE SHIELD II'!$L$9)),0)+IF(AND(L86="Blaze Shield II",M86="Software Idiem",C86="IN",G86=3),((('BLAZE SHIELD II'!$H$14*('CALCULO MORTERO'!I86^2)+'BLAZE SHIELD II'!$H$15*'CALCULO MORTERO'!I86+'BLAZE SHIELD II'!$H$16)*LN(J86))+('BLAZE SHIELD II'!$H$17*('CALCULO MORTERO'!I86^2)+'BLAZE SHIELD II'!$H$18*'CALCULO MORTERO'!I86+'BLAZE SHIELD II'!$H$19)),0),0)+ROUND(IF(AND(L86="Cafco 400",M86="Software Idiem",C86="IN",G86=4),((('CAFCO 400 '!$H$7*(J86^4)+'CAFCO 400 '!$H$8*(J86^3)+'CAFCO 400 '!$H$9*(J86^2)+'CAFCO 400 '!$H$10*J86+'CAFCO 400 '!$H$11)*U86^2)+(('CAFCO 400 '!$H$12*(J86^3)+'CAFCO 400 '!$H$13*(J86^2)+'CAFCO 400 '!$H$14*J86+'CAFCO 400 '!$H$15)*U86)+('CAFCO 400 '!$H$16*(J86^2)+'CAFCO 400 '!$H$17*J86+'CAFCO 400 '!$H$18)),0)+IF(AND(L86="Cafco 400",M86="Software Idiem",C86="Cj"),(((('CAFCO 400 '!$D$7*LN(J86)+'CAFCO 400 '!$D$8)*U86^2)+(('CAFCO 400 '!$D$9*LN(J86)+'CAFCO 400 '!$D$10)*U86)+('CAFCO 400 '!$D$11*LN(J86)+'CAFCO 400 '!$D$12))),0)+IF(AND(L86="Cafco 400",M86="Software Idiem",C86="C"),((('CAFCO 400 '!$L$7*(J86^3)+'CAFCO 400 '!$L$8*(J86^2)+'CAFCO 400 '!$L$9*J86+'CAFCO 400 '!$L$10)*U86^2)+(('CAFCO 400 '!$L$11*(J86^3)+'CAFCO 400 '!$L$12*(J86^2)+'CAFCO 400 '!$L$13*J86+'CAFCO 400 '!$L$14)*U86)+('CAFCO 400 '!$L$15*LN(J86)+'CAFCO 400 '!$L$16)),0)+IF(AND(L86="Cafco 400",M86="Software Idiem",C86="L"),((('CAFCO 400 '!$L$7*(J86^3)+'CAFCO 400 '!$L$8*(J86^2)+'CAFCO 400 '!$L$9*J86+'CAFCO 400 '!$L$10)*U86^2)+(('CAFCO 400 '!$L$11*(J86^3)+'CAFCO 400 '!$L$12*(J86^2)+'CAFCO 400 '!$L$13*J86+'CAFCO 400 '!$L$14)*U86)+('CAFCO 400 '!$L$15*LN(J86)+'CAFCO 400 '!$L$16)),0)+IF(AND(L86="Cafco 400",M86="Software Idiem",C86="IN",G86=3),((('CAFCO 400 '!$D$23*(J86^2)+'CAFCO 400 '!$D$24*(J86)+'CAFCO 400 '!$D$25)*U86^2)+(('CAFCO 400 '!$D$26*(J86^2)+'CAFCO 400 '!$D$27*J86+'CAFCO 400 '!$D$28)*U86)+('CAFCO 400 '!$D$29*(J86^2)+'CAFCO 400 '!$D$30*J86+'CAFCO 400 '!$D$31)),0),0)+IF(AND(L86="Cafco 300",J86&gt;=95,J86&lt;=240,C86="Cj",I86=90),VLOOKUP(T86,'CAFCO 300 IDIEM TABLAS'!$B$4:$D$23,2,FALSE),0)+IF(AND(L86="Cafco 300",J86&gt;=95,J86&lt;=240,C86="Cj",I86=120),VLOOKUP(T86,'CAFCO 300 IDIEM TABLAS'!$B$4:$D$23,3,FALSE),0)+IF(AND(L86="Cafco 300",J86&gt;=95,J86&lt;=400,G86=3,C86="IN",I86=90),VLOOKUP(T86,'CAFCO 300 IDIEM TABLAS'!$F$4:$H$35,2,FALSE),0)+IF(AND(L86="Cafco 300",J86&gt;=95,J86&lt;=400,G86=3,C86="IN",I86=120),VLOOKUP(T86,'CAFCO 300 IDIEM TABLAS'!$F$4:$H$35,3,FALSE),0)+IF(AND(L86="Cafco 300",J86&gt;=95,J86&lt;=450,G86=4,C86="IN",I86=90),VLOOKUP(T86,'CAFCO 300 IDIEM TABLAS'!$J$4:$L$40,2,FALSE),0)+IF(AND(L86="Cafco 300",J86&gt;=95,J86&lt;=450,G86=4,C86="IN",I86=120),VLOOKUP(T86,'CAFCO 300 IDIEM TABLAS'!$J$4:$L$40,3,FALSE),0)+IF(AND(M86="Ensayo Idiem",L86="Cafco 400",C86="IN",G86=4,I86=90),VLOOKUP(T86,'CAFCO 400 ENSAYO'!$B$7:$D$43,2,FALSE),0)+IF(AND(M86="Ensayo Idiem",L86="Cafco 400",C86="IN",G86=4,I86=120),VLOOKUP(T86,'CAFCO 400 ENSAYO'!$B$7:$D$43,3,FALSE),0)</f>
        <v>21</v>
      </c>
      <c r="O86" s="96">
        <f t="shared" si="8"/>
        <v>2.400209644736842</v>
      </c>
      <c r="P86" s="95" t="str">
        <f t="shared" si="9"/>
        <v>CERT.</v>
      </c>
      <c r="Q86" s="95" t="str">
        <f t="shared" si="10"/>
        <v>CERT.</v>
      </c>
      <c r="R86" s="95" t="str">
        <f t="shared" si="11"/>
        <v>NO CERT.</v>
      </c>
      <c r="S86" s="95" t="str">
        <f t="shared" si="6"/>
        <v>NO CERT.</v>
      </c>
      <c r="T86" s="119">
        <f>+IF(J86=LOOKUP(J86,'CAFCO 300 IDIEM TABLAS'!$J$4:$J$40),'CALCULO MORTERO'!J86,MROUND('CALCULO MORTERO'!J86,10))</f>
        <v>230</v>
      </c>
      <c r="U86" s="118">
        <f t="shared" si="7"/>
        <v>3600</v>
      </c>
      <c r="Y86" s="4"/>
      <c r="Z86" s="4"/>
      <c r="AA86" s="4"/>
    </row>
    <row r="87" spans="1:27" x14ac:dyDescent="0.25">
      <c r="A87" s="118" t="str">
        <f>+CUBICACION!D86</f>
        <v>PILAR</v>
      </c>
      <c r="B87" s="819" t="str">
        <f>+CUBICACION!E86</f>
        <v>150X150X5</v>
      </c>
      <c r="C87" s="675" t="str">
        <f>+CUBICACION!F86</f>
        <v>CJ</v>
      </c>
      <c r="D87" s="118"/>
      <c r="E87" s="118"/>
      <c r="F87" s="820"/>
      <c r="G87" s="675">
        <f>+CUBICACION!J86</f>
        <v>4</v>
      </c>
      <c r="H87" s="118"/>
      <c r="I87" s="821" t="str">
        <f>+CUBICACION!L86</f>
        <v>F-60</v>
      </c>
      <c r="J87" s="64">
        <f>+CUBICACION!M86</f>
        <v>200</v>
      </c>
      <c r="K87" s="822">
        <f>+CUBICACION!N86</f>
        <v>2.4</v>
      </c>
      <c r="L87" s="118" t="str">
        <f>+CUBICACION!O86</f>
        <v>Fire Tex 5090</v>
      </c>
      <c r="M87" s="823" t="str">
        <f>+CUBICACION!P86</f>
        <v>Software Idiem</v>
      </c>
      <c r="N87" s="902">
        <f>ROUND(IF(AND(L87="Blaze Shield II",M87="Software Idiem",C87="IN",G87=4),((('BLAZE SHIELD II'!$D$4*('CALCULO MORTERO'!I87^2)+'BLAZE SHIELD II'!$D$5*'CALCULO MORTERO'!I87+'BLAZE SHIELD II'!$D$6)*LN(J87))+('BLAZE SHIELD II'!$D$7*('CALCULO MORTERO'!I87^2)+'BLAZE SHIELD II'!$D$8*'CALCULO MORTERO'!I87+'BLAZE SHIELD II'!$D$9)),0)+IF(AND(L87="Blaze Shield II",M87="Software Idiem",C87="Cj"),((('BLAZE SHIELD II'!$H$4*('CALCULO MORTERO'!I87^2)+'BLAZE SHIELD II'!$H$5*'CALCULO MORTERO'!I87+'BLAZE SHIELD II'!$H$6)*LN(J87))+('BLAZE SHIELD II'!$H$7*('CALCULO MORTERO'!I87^2)+'BLAZE SHIELD II'!$H$8*'CALCULO MORTERO'!I87+'BLAZE SHIELD II'!$H$9)),0)+IF(AND(L87="Blaze Shield II",M87="Software Idiem",C87="C"),((('BLAZE SHIELD II'!$L$4*('CALCULO MORTERO'!I87^2)+'BLAZE SHIELD II'!$L$5*'CALCULO MORTERO'!I87+'BLAZE SHIELD II'!$L$6)*LN(J87))+('BLAZE SHIELD II'!$L$7*('CALCULO MORTERO'!I87^2)+'BLAZE SHIELD II'!$L$8*'CALCULO MORTERO'!I87+'BLAZE SHIELD II'!$L$9)),0)+IF(AND(L87="Blaze Shield II",M87="Software Idiem",C87="L"),((('BLAZE SHIELD II'!$L$4*('CALCULO MORTERO'!I87^2)+'BLAZE SHIELD II'!$L$5*'CALCULO MORTERO'!I87+'BLAZE SHIELD II'!$L$6)*LN(J87))+('BLAZE SHIELD II'!$L$7*('CALCULO MORTERO'!I87^2)+'BLAZE SHIELD II'!$L$8*'CALCULO MORTERO'!I87+'BLAZE SHIELD II'!$L$9)),0)+IF(AND(L87="Blaze Shield II",M87="Software Idiem",C87="IN",G87=3),((('BLAZE SHIELD II'!$H$14*('CALCULO MORTERO'!I87^2)+'BLAZE SHIELD II'!$H$15*'CALCULO MORTERO'!I87+'BLAZE SHIELD II'!$H$16)*LN(J87))+('BLAZE SHIELD II'!$H$17*('CALCULO MORTERO'!I87^2)+'BLAZE SHIELD II'!$H$18*'CALCULO MORTERO'!I87+'BLAZE SHIELD II'!$H$19)),0),0)+ROUND(IF(AND(L87="Cafco 400",M87="Software Idiem",C87="IN",G87=4),((('CAFCO 400 '!$H$7*(J87^4)+'CAFCO 400 '!$H$8*(J87^3)+'CAFCO 400 '!$H$9*(J87^2)+'CAFCO 400 '!$H$10*J87+'CAFCO 400 '!$H$11)*U87^2)+(('CAFCO 400 '!$H$12*(J87^3)+'CAFCO 400 '!$H$13*(J87^2)+'CAFCO 400 '!$H$14*J87+'CAFCO 400 '!$H$15)*U87)+('CAFCO 400 '!$H$16*(J87^2)+'CAFCO 400 '!$H$17*J87+'CAFCO 400 '!$H$18)),0)+IF(AND(L87="Cafco 400",M87="Software Idiem",C87="Cj"),(((('CAFCO 400 '!$D$7*LN(J87)+'CAFCO 400 '!$D$8)*U87^2)+(('CAFCO 400 '!$D$9*LN(J87)+'CAFCO 400 '!$D$10)*U87)+('CAFCO 400 '!$D$11*LN(J87)+'CAFCO 400 '!$D$12))),0)+IF(AND(L87="Cafco 400",M87="Software Idiem",C87="C"),((('CAFCO 400 '!$L$7*(J87^3)+'CAFCO 400 '!$L$8*(J87^2)+'CAFCO 400 '!$L$9*J87+'CAFCO 400 '!$L$10)*U87^2)+(('CAFCO 400 '!$L$11*(J87^3)+'CAFCO 400 '!$L$12*(J87^2)+'CAFCO 400 '!$L$13*J87+'CAFCO 400 '!$L$14)*U87)+('CAFCO 400 '!$L$15*LN(J87)+'CAFCO 400 '!$L$16)),0)+IF(AND(L87="Cafco 400",M87="Software Idiem",C87="L"),((('CAFCO 400 '!$L$7*(J87^3)+'CAFCO 400 '!$L$8*(J87^2)+'CAFCO 400 '!$L$9*J87+'CAFCO 400 '!$L$10)*U87^2)+(('CAFCO 400 '!$L$11*(J87^3)+'CAFCO 400 '!$L$12*(J87^2)+'CAFCO 400 '!$L$13*J87+'CAFCO 400 '!$L$14)*U87)+('CAFCO 400 '!$L$15*LN(J87)+'CAFCO 400 '!$L$16)),0)+IF(AND(L87="Cafco 400",M87="Software Idiem",C87="IN",G87=3),((('CAFCO 400 '!$D$23*(J87^2)+'CAFCO 400 '!$D$24*(J87)+'CAFCO 400 '!$D$25)*U87^2)+(('CAFCO 400 '!$D$26*(J87^2)+'CAFCO 400 '!$D$27*J87+'CAFCO 400 '!$D$28)*U87)+('CAFCO 400 '!$D$29*(J87^2)+'CAFCO 400 '!$D$30*J87+'CAFCO 400 '!$D$31)),0),0)+IF(AND(L87="Cafco 300",J87&gt;=95,J87&lt;=240,C87="Cj",I87=90),VLOOKUP(T87,'CAFCO 300 IDIEM TABLAS'!$B$4:$D$23,2,FALSE),0)+IF(AND(L87="Cafco 300",J87&gt;=95,J87&lt;=240,C87="Cj",I87=120),VLOOKUP(T87,'CAFCO 300 IDIEM TABLAS'!$B$4:$D$23,3,FALSE),0)+IF(AND(L87="Cafco 300",J87&gt;=95,J87&lt;=400,G87=3,C87="IN",I87=90),VLOOKUP(T87,'CAFCO 300 IDIEM TABLAS'!$F$4:$H$35,2,FALSE),0)+IF(AND(L87="Cafco 300",J87&gt;=95,J87&lt;=400,G87=3,C87="IN",I87=120),VLOOKUP(T87,'CAFCO 300 IDIEM TABLAS'!$F$4:$H$35,3,FALSE),0)+IF(AND(L87="Cafco 300",J87&gt;=95,J87&lt;=450,G87=4,C87="IN",I87=90),VLOOKUP(T87,'CAFCO 300 IDIEM TABLAS'!$J$4:$L$40,2,FALSE),0)+IF(AND(L87="Cafco 300",J87&gt;=95,J87&lt;=450,G87=4,C87="IN",I87=120),VLOOKUP(T87,'CAFCO 300 IDIEM TABLAS'!$J$4:$L$40,3,FALSE),0)+IF(AND(M87="Ensayo Idiem",L87="Cafco 400",C87="IN",G87=4,I87=90),VLOOKUP(T87,'CAFCO 400 ENSAYO'!$B$7:$D$43,2,FALSE),0)+IF(AND(M87="Ensayo Idiem",L87="Cafco 400",C87="IN",G87=4,I87=120),VLOOKUP(T87,'CAFCO 400 ENSAYO'!$B$7:$D$43,3,FALSE),0)</f>
        <v>0</v>
      </c>
      <c r="O87" s="96">
        <f t="shared" si="8"/>
        <v>0</v>
      </c>
      <c r="P87" s="95" t="str">
        <f t="shared" si="9"/>
        <v>CERT.</v>
      </c>
      <c r="Q87" s="95" t="str">
        <f t="shared" si="10"/>
        <v>CERT.</v>
      </c>
      <c r="R87" s="95" t="str">
        <f t="shared" si="11"/>
        <v>NO CERT.</v>
      </c>
      <c r="S87" s="95" t="str">
        <f t="shared" si="6"/>
        <v>NO CERT.</v>
      </c>
      <c r="T87" s="119">
        <f>+IF(J87=LOOKUP(J87,'CAFCO 300 IDIEM TABLAS'!$J$4:$J$40),'CALCULO MORTERO'!J87,MROUND('CALCULO MORTERO'!J87,10))</f>
        <v>200</v>
      </c>
      <c r="U87" s="118" t="e">
        <f t="shared" si="7"/>
        <v>#VALUE!</v>
      </c>
      <c r="Y87" s="4"/>
      <c r="Z87" s="4"/>
      <c r="AA87" s="4"/>
    </row>
    <row r="88" spans="1:27" ht="15.6" customHeight="1" x14ac:dyDescent="0.25">
      <c r="A88" s="118" t="str">
        <f>+CUBICACION!D87</f>
        <v>VIGA BAJO LOSA</v>
      </c>
      <c r="B88" s="819" t="str">
        <f>+CUBICACION!E87</f>
        <v>240X120X9,8X6,2</v>
      </c>
      <c r="C88" s="675" t="str">
        <f>+CUBICACION!F87</f>
        <v>IN</v>
      </c>
      <c r="D88" s="118"/>
      <c r="E88" s="118"/>
      <c r="F88" s="820"/>
      <c r="G88" s="675">
        <f>+CUBICACION!J87</f>
        <v>3</v>
      </c>
      <c r="H88" s="118"/>
      <c r="I88" s="821">
        <f>+CUBICACION!L87</f>
        <v>60</v>
      </c>
      <c r="J88" s="64">
        <f>+CUBICACION!M87</f>
        <v>233</v>
      </c>
      <c r="K88" s="822">
        <f>+CUBICACION!N87</f>
        <v>10.10055</v>
      </c>
      <c r="L88" s="118" t="str">
        <f>+CUBICACION!O87</f>
        <v>Blaze Shield II</v>
      </c>
      <c r="M88" s="823" t="str">
        <f>+CUBICACION!P87</f>
        <v>Software Idiem</v>
      </c>
      <c r="N88" s="902">
        <f>ROUND(IF(AND(L88="Blaze Shield II",M88="Software Idiem",C88="IN",G88=4),((('BLAZE SHIELD II'!$D$4*('CALCULO MORTERO'!I88^2)+'BLAZE SHIELD II'!$D$5*'CALCULO MORTERO'!I88+'BLAZE SHIELD II'!$D$6)*LN(J88))+('BLAZE SHIELD II'!$D$7*('CALCULO MORTERO'!I88^2)+'BLAZE SHIELD II'!$D$8*'CALCULO MORTERO'!I88+'BLAZE SHIELD II'!$D$9)),0)+IF(AND(L88="Blaze Shield II",M88="Software Idiem",C88="Cj"),((('BLAZE SHIELD II'!$H$4*('CALCULO MORTERO'!I88^2)+'BLAZE SHIELD II'!$H$5*'CALCULO MORTERO'!I88+'BLAZE SHIELD II'!$H$6)*LN(J88))+('BLAZE SHIELD II'!$H$7*('CALCULO MORTERO'!I88^2)+'BLAZE SHIELD II'!$H$8*'CALCULO MORTERO'!I88+'BLAZE SHIELD II'!$H$9)),0)+IF(AND(L88="Blaze Shield II",M88="Software Idiem",C88="C"),((('BLAZE SHIELD II'!$L$4*('CALCULO MORTERO'!I88^2)+'BLAZE SHIELD II'!$L$5*'CALCULO MORTERO'!I88+'BLAZE SHIELD II'!$L$6)*LN(J88))+('BLAZE SHIELD II'!$L$7*('CALCULO MORTERO'!I88^2)+'BLAZE SHIELD II'!$L$8*'CALCULO MORTERO'!I88+'BLAZE SHIELD II'!$L$9)),0)+IF(AND(L88="Blaze Shield II",M88="Software Idiem",C88="L"),((('BLAZE SHIELD II'!$L$4*('CALCULO MORTERO'!I88^2)+'BLAZE SHIELD II'!$L$5*'CALCULO MORTERO'!I88+'BLAZE SHIELD II'!$L$6)*LN(J88))+('BLAZE SHIELD II'!$L$7*('CALCULO MORTERO'!I88^2)+'BLAZE SHIELD II'!$L$8*'CALCULO MORTERO'!I88+'BLAZE SHIELD II'!$L$9)),0)+IF(AND(L88="Blaze Shield II",M88="Software Idiem",C88="IN",G88=3),((('BLAZE SHIELD II'!$H$14*('CALCULO MORTERO'!I88^2)+'BLAZE SHIELD II'!$H$15*'CALCULO MORTERO'!I88+'BLAZE SHIELD II'!$H$16)*LN(J88))+('BLAZE SHIELD II'!$H$17*('CALCULO MORTERO'!I88^2)+'BLAZE SHIELD II'!$H$18*'CALCULO MORTERO'!I88+'BLAZE SHIELD II'!$H$19)),0),0)+ROUND(IF(AND(L88="Cafco 400",M88="Software Idiem",C88="IN",G88=4),((('CAFCO 400 '!$H$7*(J88^4)+'CAFCO 400 '!$H$8*(J88^3)+'CAFCO 400 '!$H$9*(J88^2)+'CAFCO 400 '!$H$10*J88+'CAFCO 400 '!$H$11)*U88^2)+(('CAFCO 400 '!$H$12*(J88^3)+'CAFCO 400 '!$H$13*(J88^2)+'CAFCO 400 '!$H$14*J88+'CAFCO 400 '!$H$15)*U88)+('CAFCO 400 '!$H$16*(J88^2)+'CAFCO 400 '!$H$17*J88+'CAFCO 400 '!$H$18)),0)+IF(AND(L88="Cafco 400",M88="Software Idiem",C88="Cj"),(((('CAFCO 400 '!$D$7*LN(J88)+'CAFCO 400 '!$D$8)*U88^2)+(('CAFCO 400 '!$D$9*LN(J88)+'CAFCO 400 '!$D$10)*U88)+('CAFCO 400 '!$D$11*LN(J88)+'CAFCO 400 '!$D$12))),0)+IF(AND(L88="Cafco 400",M88="Software Idiem",C88="C"),((('CAFCO 400 '!$L$7*(J88^3)+'CAFCO 400 '!$L$8*(J88^2)+'CAFCO 400 '!$L$9*J88+'CAFCO 400 '!$L$10)*U88^2)+(('CAFCO 400 '!$L$11*(J88^3)+'CAFCO 400 '!$L$12*(J88^2)+'CAFCO 400 '!$L$13*J88+'CAFCO 400 '!$L$14)*U88)+('CAFCO 400 '!$L$15*LN(J88)+'CAFCO 400 '!$L$16)),0)+IF(AND(L88="Cafco 400",M88="Software Idiem",C88="L"),((('CAFCO 400 '!$L$7*(J88^3)+'CAFCO 400 '!$L$8*(J88^2)+'CAFCO 400 '!$L$9*J88+'CAFCO 400 '!$L$10)*U88^2)+(('CAFCO 400 '!$L$11*(J88^3)+'CAFCO 400 '!$L$12*(J88^2)+'CAFCO 400 '!$L$13*J88+'CAFCO 400 '!$L$14)*U88)+('CAFCO 400 '!$L$15*LN(J88)+'CAFCO 400 '!$L$16)),0)+IF(AND(L88="Cafco 400",M88="Software Idiem",C88="IN",G88=3),((('CAFCO 400 '!$D$23*(J88^2)+'CAFCO 400 '!$D$24*(J88)+'CAFCO 400 '!$D$25)*U88^2)+(('CAFCO 400 '!$D$26*(J88^2)+'CAFCO 400 '!$D$27*J88+'CAFCO 400 '!$D$28)*U88)+('CAFCO 400 '!$D$29*(J88^2)+'CAFCO 400 '!$D$30*J88+'CAFCO 400 '!$D$31)),0),0)+IF(AND(L88="Cafco 300",J88&gt;=95,J88&lt;=240,C88="Cj",I88=90),VLOOKUP(T88,'CAFCO 300 IDIEM TABLAS'!$B$4:$D$23,2,FALSE),0)+IF(AND(L88="Cafco 300",J88&gt;=95,J88&lt;=240,C88="Cj",I88=120),VLOOKUP(T88,'CAFCO 300 IDIEM TABLAS'!$B$4:$D$23,3,FALSE),0)+IF(AND(L88="Cafco 300",J88&gt;=95,J88&lt;=400,G88=3,C88="IN",I88=90),VLOOKUP(T88,'CAFCO 300 IDIEM TABLAS'!$F$4:$H$35,2,FALSE),0)+IF(AND(L88="Cafco 300",J88&gt;=95,J88&lt;=400,G88=3,C88="IN",I88=120),VLOOKUP(T88,'CAFCO 300 IDIEM TABLAS'!$F$4:$H$35,3,FALSE),0)+IF(AND(L88="Cafco 300",J88&gt;=95,J88&lt;=450,G88=4,C88="IN",I88=90),VLOOKUP(T88,'CAFCO 300 IDIEM TABLAS'!$J$4:$L$40,2,FALSE),0)+IF(AND(L88="Cafco 300",J88&gt;=95,J88&lt;=450,G88=4,C88="IN",I88=120),VLOOKUP(T88,'CAFCO 300 IDIEM TABLAS'!$J$4:$L$40,3,FALSE),0)+IF(AND(M88="Ensayo Idiem",L88="Cafco 400",C88="IN",G88=4,I88=90),VLOOKUP(T88,'CAFCO 400 ENSAYO'!$B$7:$D$43,2,FALSE),0)+IF(AND(M88="Ensayo Idiem",L88="Cafco 400",C88="IN",G88=4,I88=120),VLOOKUP(T88,'CAFCO 400 ENSAYO'!$B$7:$D$43,3,FALSE),0)</f>
        <v>21</v>
      </c>
      <c r="O88" s="96">
        <f t="shared" si="8"/>
        <v>2.400209644736842</v>
      </c>
      <c r="P88" s="95" t="str">
        <f t="shared" si="9"/>
        <v>CERT.</v>
      </c>
      <c r="Q88" s="95" t="str">
        <f t="shared" si="10"/>
        <v>CERT.</v>
      </c>
      <c r="R88" s="95" t="str">
        <f t="shared" si="11"/>
        <v>NO CERT.</v>
      </c>
      <c r="S88" s="95" t="str">
        <f t="shared" si="6"/>
        <v>NO CERT.</v>
      </c>
      <c r="T88" s="119">
        <f>+IF(J88=LOOKUP(J88,'CAFCO 300 IDIEM TABLAS'!$J$4:$J$40),'CALCULO MORTERO'!J88,MROUND('CALCULO MORTERO'!J88,10))</f>
        <v>230</v>
      </c>
      <c r="U88" s="118">
        <f t="shared" si="7"/>
        <v>3600</v>
      </c>
      <c r="Y88" s="4"/>
      <c r="Z88" s="4"/>
      <c r="AA88" s="4"/>
    </row>
    <row r="89" spans="1:27" x14ac:dyDescent="0.25">
      <c r="A89" s="118" t="str">
        <f>+CUBICACION!D88</f>
        <v>ARRIOSTRAMINETO VERTICAL</v>
      </c>
      <c r="B89" s="819" t="str">
        <f>+CUBICACION!E88</f>
        <v>100X100X3</v>
      </c>
      <c r="C89" s="675" t="str">
        <f>+CUBICACION!F88</f>
        <v>CJ</v>
      </c>
      <c r="D89" s="118"/>
      <c r="E89" s="118"/>
      <c r="F89" s="820"/>
      <c r="G89" s="675">
        <f>+CUBICACION!J88</f>
        <v>4</v>
      </c>
      <c r="H89" s="118"/>
      <c r="I89" s="821" t="str">
        <f>+CUBICACION!L88</f>
        <v>F-60</v>
      </c>
      <c r="J89" s="64">
        <f>+CUBICACION!M88</f>
        <v>333</v>
      </c>
      <c r="K89" s="822">
        <f>+CUBICACION!N88</f>
        <v>6.32</v>
      </c>
      <c r="L89" s="118" t="str">
        <f>+CUBICACION!O88</f>
        <v>Fire Tex 5090</v>
      </c>
      <c r="M89" s="823" t="str">
        <f>+CUBICACION!P88</f>
        <v>Software Idiem</v>
      </c>
      <c r="N89" s="902">
        <f>ROUND(IF(AND(L89="Blaze Shield II",M89="Software Idiem",C89="IN",G89=4),((('BLAZE SHIELD II'!$D$4*('CALCULO MORTERO'!I89^2)+'BLAZE SHIELD II'!$D$5*'CALCULO MORTERO'!I89+'BLAZE SHIELD II'!$D$6)*LN(J89))+('BLAZE SHIELD II'!$D$7*('CALCULO MORTERO'!I89^2)+'BLAZE SHIELD II'!$D$8*'CALCULO MORTERO'!I89+'BLAZE SHIELD II'!$D$9)),0)+IF(AND(L89="Blaze Shield II",M89="Software Idiem",C89="Cj"),((('BLAZE SHIELD II'!$H$4*('CALCULO MORTERO'!I89^2)+'BLAZE SHIELD II'!$H$5*'CALCULO MORTERO'!I89+'BLAZE SHIELD II'!$H$6)*LN(J89))+('BLAZE SHIELD II'!$H$7*('CALCULO MORTERO'!I89^2)+'BLAZE SHIELD II'!$H$8*'CALCULO MORTERO'!I89+'BLAZE SHIELD II'!$H$9)),0)+IF(AND(L89="Blaze Shield II",M89="Software Idiem",C89="C"),((('BLAZE SHIELD II'!$L$4*('CALCULO MORTERO'!I89^2)+'BLAZE SHIELD II'!$L$5*'CALCULO MORTERO'!I89+'BLAZE SHIELD II'!$L$6)*LN(J89))+('BLAZE SHIELD II'!$L$7*('CALCULO MORTERO'!I89^2)+'BLAZE SHIELD II'!$L$8*'CALCULO MORTERO'!I89+'BLAZE SHIELD II'!$L$9)),0)+IF(AND(L89="Blaze Shield II",M89="Software Idiem",C89="L"),((('BLAZE SHIELD II'!$L$4*('CALCULO MORTERO'!I89^2)+'BLAZE SHIELD II'!$L$5*'CALCULO MORTERO'!I89+'BLAZE SHIELD II'!$L$6)*LN(J89))+('BLAZE SHIELD II'!$L$7*('CALCULO MORTERO'!I89^2)+'BLAZE SHIELD II'!$L$8*'CALCULO MORTERO'!I89+'BLAZE SHIELD II'!$L$9)),0)+IF(AND(L89="Blaze Shield II",M89="Software Idiem",C89="IN",G89=3),((('BLAZE SHIELD II'!$H$14*('CALCULO MORTERO'!I89^2)+'BLAZE SHIELD II'!$H$15*'CALCULO MORTERO'!I89+'BLAZE SHIELD II'!$H$16)*LN(J89))+('BLAZE SHIELD II'!$H$17*('CALCULO MORTERO'!I89^2)+'BLAZE SHIELD II'!$H$18*'CALCULO MORTERO'!I89+'BLAZE SHIELD II'!$H$19)),0),0)+ROUND(IF(AND(L89="Cafco 400",M89="Software Idiem",C89="IN",G89=4),((('CAFCO 400 '!$H$7*(J89^4)+'CAFCO 400 '!$H$8*(J89^3)+'CAFCO 400 '!$H$9*(J89^2)+'CAFCO 400 '!$H$10*J89+'CAFCO 400 '!$H$11)*U89^2)+(('CAFCO 400 '!$H$12*(J89^3)+'CAFCO 400 '!$H$13*(J89^2)+'CAFCO 400 '!$H$14*J89+'CAFCO 400 '!$H$15)*U89)+('CAFCO 400 '!$H$16*(J89^2)+'CAFCO 400 '!$H$17*J89+'CAFCO 400 '!$H$18)),0)+IF(AND(L89="Cafco 400",M89="Software Idiem",C89="Cj"),(((('CAFCO 400 '!$D$7*LN(J89)+'CAFCO 400 '!$D$8)*U89^2)+(('CAFCO 400 '!$D$9*LN(J89)+'CAFCO 400 '!$D$10)*U89)+('CAFCO 400 '!$D$11*LN(J89)+'CAFCO 400 '!$D$12))),0)+IF(AND(L89="Cafco 400",M89="Software Idiem",C89="C"),((('CAFCO 400 '!$L$7*(J89^3)+'CAFCO 400 '!$L$8*(J89^2)+'CAFCO 400 '!$L$9*J89+'CAFCO 400 '!$L$10)*U89^2)+(('CAFCO 400 '!$L$11*(J89^3)+'CAFCO 400 '!$L$12*(J89^2)+'CAFCO 400 '!$L$13*J89+'CAFCO 400 '!$L$14)*U89)+('CAFCO 400 '!$L$15*LN(J89)+'CAFCO 400 '!$L$16)),0)+IF(AND(L89="Cafco 400",M89="Software Idiem",C89="L"),((('CAFCO 400 '!$L$7*(J89^3)+'CAFCO 400 '!$L$8*(J89^2)+'CAFCO 400 '!$L$9*J89+'CAFCO 400 '!$L$10)*U89^2)+(('CAFCO 400 '!$L$11*(J89^3)+'CAFCO 400 '!$L$12*(J89^2)+'CAFCO 400 '!$L$13*J89+'CAFCO 400 '!$L$14)*U89)+('CAFCO 400 '!$L$15*LN(J89)+'CAFCO 400 '!$L$16)),0)+IF(AND(L89="Cafco 400",M89="Software Idiem",C89="IN",G89=3),((('CAFCO 400 '!$D$23*(J89^2)+'CAFCO 400 '!$D$24*(J89)+'CAFCO 400 '!$D$25)*U89^2)+(('CAFCO 400 '!$D$26*(J89^2)+'CAFCO 400 '!$D$27*J89+'CAFCO 400 '!$D$28)*U89)+('CAFCO 400 '!$D$29*(J89^2)+'CAFCO 400 '!$D$30*J89+'CAFCO 400 '!$D$31)),0),0)+IF(AND(L89="Cafco 300",J89&gt;=95,J89&lt;=240,C89="Cj",I89=90),VLOOKUP(T89,'CAFCO 300 IDIEM TABLAS'!$B$4:$D$23,2,FALSE),0)+IF(AND(L89="Cafco 300",J89&gt;=95,J89&lt;=240,C89="Cj",I89=120),VLOOKUP(T89,'CAFCO 300 IDIEM TABLAS'!$B$4:$D$23,3,FALSE),0)+IF(AND(L89="Cafco 300",J89&gt;=95,J89&lt;=400,G89=3,C89="IN",I89=90),VLOOKUP(T89,'CAFCO 300 IDIEM TABLAS'!$F$4:$H$35,2,FALSE),0)+IF(AND(L89="Cafco 300",J89&gt;=95,J89&lt;=400,G89=3,C89="IN",I89=120),VLOOKUP(T89,'CAFCO 300 IDIEM TABLAS'!$F$4:$H$35,3,FALSE),0)+IF(AND(L89="Cafco 300",J89&gt;=95,J89&lt;=450,G89=4,C89="IN",I89=90),VLOOKUP(T89,'CAFCO 300 IDIEM TABLAS'!$J$4:$L$40,2,FALSE),0)+IF(AND(L89="Cafco 300",J89&gt;=95,J89&lt;=450,G89=4,C89="IN",I89=120),VLOOKUP(T89,'CAFCO 300 IDIEM TABLAS'!$J$4:$L$40,3,FALSE),0)+IF(AND(M89="Ensayo Idiem",L89="Cafco 400",C89="IN",G89=4,I89=90),VLOOKUP(T89,'CAFCO 400 ENSAYO'!$B$7:$D$43,2,FALSE),0)+IF(AND(M89="Ensayo Idiem",L89="Cafco 400",C89="IN",G89=4,I89=120),VLOOKUP(T89,'CAFCO 400 ENSAYO'!$B$7:$D$43,3,FALSE),0)</f>
        <v>0</v>
      </c>
      <c r="O89" s="96">
        <f t="shared" si="8"/>
        <v>0</v>
      </c>
      <c r="P89" s="95" t="str">
        <f t="shared" si="9"/>
        <v>CERT.</v>
      </c>
      <c r="Q89" s="95" t="str">
        <f t="shared" si="10"/>
        <v>CERT.</v>
      </c>
      <c r="R89" s="95" t="str">
        <f t="shared" si="11"/>
        <v>NO CERT.</v>
      </c>
      <c r="S89" s="95" t="str">
        <f t="shared" si="6"/>
        <v>NO CERT.</v>
      </c>
      <c r="T89" s="119">
        <f>+IF(J89=LOOKUP(J89,'CAFCO 300 IDIEM TABLAS'!$J$4:$J$40),'CALCULO MORTERO'!J89,MROUND('CALCULO MORTERO'!J89,10))</f>
        <v>330</v>
      </c>
      <c r="U89" s="118" t="e">
        <f t="shared" si="7"/>
        <v>#VALUE!</v>
      </c>
      <c r="Y89" s="4"/>
      <c r="Z89" s="4"/>
      <c r="AA89" s="4"/>
    </row>
    <row r="90" spans="1:27" ht="15.6" customHeight="1" x14ac:dyDescent="0.25">
      <c r="A90" s="118" t="str">
        <f>+CUBICACION!D89</f>
        <v>ARRIOSTRAMINETO VERTICAL</v>
      </c>
      <c r="B90" s="819" t="str">
        <f>+CUBICACION!E89</f>
        <v>100X100X3</v>
      </c>
      <c r="C90" s="675" t="str">
        <f>+CUBICACION!F89</f>
        <v>CJ</v>
      </c>
      <c r="D90" s="118"/>
      <c r="E90" s="118"/>
      <c r="F90" s="820"/>
      <c r="G90" s="675">
        <f>+CUBICACION!J89</f>
        <v>4</v>
      </c>
      <c r="H90" s="118"/>
      <c r="I90" s="821" t="str">
        <f>+CUBICACION!L89</f>
        <v>F-60</v>
      </c>
      <c r="J90" s="64">
        <f>+CUBICACION!M89</f>
        <v>333</v>
      </c>
      <c r="K90" s="822">
        <f>+CUBICACION!N89</f>
        <v>5</v>
      </c>
      <c r="L90" s="118" t="str">
        <f>+CUBICACION!O89</f>
        <v>Fire Tex 5090</v>
      </c>
      <c r="M90" s="823" t="str">
        <f>+CUBICACION!P89</f>
        <v>Software Idiem</v>
      </c>
      <c r="N90" s="902">
        <f>ROUND(IF(AND(L90="Blaze Shield II",M90="Software Idiem",C90="IN",G90=4),((('BLAZE SHIELD II'!$D$4*('CALCULO MORTERO'!I90^2)+'BLAZE SHIELD II'!$D$5*'CALCULO MORTERO'!I90+'BLAZE SHIELD II'!$D$6)*LN(J90))+('BLAZE SHIELD II'!$D$7*('CALCULO MORTERO'!I90^2)+'BLAZE SHIELD II'!$D$8*'CALCULO MORTERO'!I90+'BLAZE SHIELD II'!$D$9)),0)+IF(AND(L90="Blaze Shield II",M90="Software Idiem",C90="Cj"),((('BLAZE SHIELD II'!$H$4*('CALCULO MORTERO'!I90^2)+'BLAZE SHIELD II'!$H$5*'CALCULO MORTERO'!I90+'BLAZE SHIELD II'!$H$6)*LN(J90))+('BLAZE SHIELD II'!$H$7*('CALCULO MORTERO'!I90^2)+'BLAZE SHIELD II'!$H$8*'CALCULO MORTERO'!I90+'BLAZE SHIELD II'!$H$9)),0)+IF(AND(L90="Blaze Shield II",M90="Software Idiem",C90="C"),((('BLAZE SHIELD II'!$L$4*('CALCULO MORTERO'!I90^2)+'BLAZE SHIELD II'!$L$5*'CALCULO MORTERO'!I90+'BLAZE SHIELD II'!$L$6)*LN(J90))+('BLAZE SHIELD II'!$L$7*('CALCULO MORTERO'!I90^2)+'BLAZE SHIELD II'!$L$8*'CALCULO MORTERO'!I90+'BLAZE SHIELD II'!$L$9)),0)+IF(AND(L90="Blaze Shield II",M90="Software Idiem",C90="L"),((('BLAZE SHIELD II'!$L$4*('CALCULO MORTERO'!I90^2)+'BLAZE SHIELD II'!$L$5*'CALCULO MORTERO'!I90+'BLAZE SHIELD II'!$L$6)*LN(J90))+('BLAZE SHIELD II'!$L$7*('CALCULO MORTERO'!I90^2)+'BLAZE SHIELD II'!$L$8*'CALCULO MORTERO'!I90+'BLAZE SHIELD II'!$L$9)),0)+IF(AND(L90="Blaze Shield II",M90="Software Idiem",C90="IN",G90=3),((('BLAZE SHIELD II'!$H$14*('CALCULO MORTERO'!I90^2)+'BLAZE SHIELD II'!$H$15*'CALCULO MORTERO'!I90+'BLAZE SHIELD II'!$H$16)*LN(J90))+('BLAZE SHIELD II'!$H$17*('CALCULO MORTERO'!I90^2)+'BLAZE SHIELD II'!$H$18*'CALCULO MORTERO'!I90+'BLAZE SHIELD II'!$H$19)),0),0)+ROUND(IF(AND(L90="Cafco 400",M90="Software Idiem",C90="IN",G90=4),((('CAFCO 400 '!$H$7*(J90^4)+'CAFCO 400 '!$H$8*(J90^3)+'CAFCO 400 '!$H$9*(J90^2)+'CAFCO 400 '!$H$10*J90+'CAFCO 400 '!$H$11)*U90^2)+(('CAFCO 400 '!$H$12*(J90^3)+'CAFCO 400 '!$H$13*(J90^2)+'CAFCO 400 '!$H$14*J90+'CAFCO 400 '!$H$15)*U90)+('CAFCO 400 '!$H$16*(J90^2)+'CAFCO 400 '!$H$17*J90+'CAFCO 400 '!$H$18)),0)+IF(AND(L90="Cafco 400",M90="Software Idiem",C90="Cj"),(((('CAFCO 400 '!$D$7*LN(J90)+'CAFCO 400 '!$D$8)*U90^2)+(('CAFCO 400 '!$D$9*LN(J90)+'CAFCO 400 '!$D$10)*U90)+('CAFCO 400 '!$D$11*LN(J90)+'CAFCO 400 '!$D$12))),0)+IF(AND(L90="Cafco 400",M90="Software Idiem",C90="C"),((('CAFCO 400 '!$L$7*(J90^3)+'CAFCO 400 '!$L$8*(J90^2)+'CAFCO 400 '!$L$9*J90+'CAFCO 400 '!$L$10)*U90^2)+(('CAFCO 400 '!$L$11*(J90^3)+'CAFCO 400 '!$L$12*(J90^2)+'CAFCO 400 '!$L$13*J90+'CAFCO 400 '!$L$14)*U90)+('CAFCO 400 '!$L$15*LN(J90)+'CAFCO 400 '!$L$16)),0)+IF(AND(L90="Cafco 400",M90="Software Idiem",C90="L"),((('CAFCO 400 '!$L$7*(J90^3)+'CAFCO 400 '!$L$8*(J90^2)+'CAFCO 400 '!$L$9*J90+'CAFCO 400 '!$L$10)*U90^2)+(('CAFCO 400 '!$L$11*(J90^3)+'CAFCO 400 '!$L$12*(J90^2)+'CAFCO 400 '!$L$13*J90+'CAFCO 400 '!$L$14)*U90)+('CAFCO 400 '!$L$15*LN(J90)+'CAFCO 400 '!$L$16)),0)+IF(AND(L90="Cafco 400",M90="Software Idiem",C90="IN",G90=3),((('CAFCO 400 '!$D$23*(J90^2)+'CAFCO 400 '!$D$24*(J90)+'CAFCO 400 '!$D$25)*U90^2)+(('CAFCO 400 '!$D$26*(J90^2)+'CAFCO 400 '!$D$27*J90+'CAFCO 400 '!$D$28)*U90)+('CAFCO 400 '!$D$29*(J90^2)+'CAFCO 400 '!$D$30*J90+'CAFCO 400 '!$D$31)),0),0)+IF(AND(L90="Cafco 300",J90&gt;=95,J90&lt;=240,C90="Cj",I90=90),VLOOKUP(T90,'CAFCO 300 IDIEM TABLAS'!$B$4:$D$23,2,FALSE),0)+IF(AND(L90="Cafco 300",J90&gt;=95,J90&lt;=240,C90="Cj",I90=120),VLOOKUP(T90,'CAFCO 300 IDIEM TABLAS'!$B$4:$D$23,3,FALSE),0)+IF(AND(L90="Cafco 300",J90&gt;=95,J90&lt;=400,G90=3,C90="IN",I90=90),VLOOKUP(T90,'CAFCO 300 IDIEM TABLAS'!$F$4:$H$35,2,FALSE),0)+IF(AND(L90="Cafco 300",J90&gt;=95,J90&lt;=400,G90=3,C90="IN",I90=120),VLOOKUP(T90,'CAFCO 300 IDIEM TABLAS'!$F$4:$H$35,3,FALSE),0)+IF(AND(L90="Cafco 300",J90&gt;=95,J90&lt;=450,G90=4,C90="IN",I90=90),VLOOKUP(T90,'CAFCO 300 IDIEM TABLAS'!$J$4:$L$40,2,FALSE),0)+IF(AND(L90="Cafco 300",J90&gt;=95,J90&lt;=450,G90=4,C90="IN",I90=120),VLOOKUP(T90,'CAFCO 300 IDIEM TABLAS'!$J$4:$L$40,3,FALSE),0)+IF(AND(M90="Ensayo Idiem",L90="Cafco 400",C90="IN",G90=4,I90=90),VLOOKUP(T90,'CAFCO 400 ENSAYO'!$B$7:$D$43,2,FALSE),0)+IF(AND(M90="Ensayo Idiem",L90="Cafco 400",C90="IN",G90=4,I90=120),VLOOKUP(T90,'CAFCO 400 ENSAYO'!$B$7:$D$43,3,FALSE),0)</f>
        <v>0</v>
      </c>
      <c r="O90" s="96">
        <f t="shared" si="8"/>
        <v>0</v>
      </c>
      <c r="P90" s="95" t="str">
        <f t="shared" si="9"/>
        <v>CERT.</v>
      </c>
      <c r="Q90" s="95" t="str">
        <f t="shared" si="10"/>
        <v>CERT.</v>
      </c>
      <c r="R90" s="95" t="str">
        <f t="shared" si="11"/>
        <v>NO CERT.</v>
      </c>
      <c r="S90" s="95" t="str">
        <f t="shared" si="6"/>
        <v>NO CERT.</v>
      </c>
      <c r="T90" s="119">
        <f>+IF(J90=LOOKUP(J90,'CAFCO 300 IDIEM TABLAS'!$J$4:$J$40),'CALCULO MORTERO'!J90,MROUND('CALCULO MORTERO'!J90,10))</f>
        <v>330</v>
      </c>
      <c r="U90" s="118" t="e">
        <f t="shared" si="7"/>
        <v>#VALUE!</v>
      </c>
      <c r="Y90" s="4"/>
      <c r="Z90" s="4"/>
      <c r="AA90" s="4"/>
    </row>
    <row r="91" spans="1:27" x14ac:dyDescent="0.25">
      <c r="A91" s="118" t="str">
        <f>+CUBICACION!D90</f>
        <v>PILAR</v>
      </c>
      <c r="B91" s="819" t="str">
        <f>+CUBICACION!E90</f>
        <v>100X100X3</v>
      </c>
      <c r="C91" s="675" t="str">
        <f>+CUBICACION!F90</f>
        <v>CJ</v>
      </c>
      <c r="D91" s="118"/>
      <c r="E91" s="118"/>
      <c r="F91" s="820"/>
      <c r="G91" s="675">
        <f>+CUBICACION!J90</f>
        <v>4</v>
      </c>
      <c r="H91" s="118"/>
      <c r="I91" s="821" t="str">
        <f>+CUBICACION!L90</f>
        <v>F-60</v>
      </c>
      <c r="J91" s="64">
        <f>+CUBICACION!M90</f>
        <v>333</v>
      </c>
      <c r="K91" s="822">
        <f>+CUBICACION!N90</f>
        <v>1.2</v>
      </c>
      <c r="L91" s="118" t="str">
        <f>+CUBICACION!O90</f>
        <v>Fire Tex 5090</v>
      </c>
      <c r="M91" s="823" t="str">
        <f>+CUBICACION!P90</f>
        <v>Software Idiem</v>
      </c>
      <c r="N91" s="902">
        <f>ROUND(IF(AND(L91="Blaze Shield II",M91="Software Idiem",C91="IN",G91=4),((('BLAZE SHIELD II'!$D$4*('CALCULO MORTERO'!I91^2)+'BLAZE SHIELD II'!$D$5*'CALCULO MORTERO'!I91+'BLAZE SHIELD II'!$D$6)*LN(J91))+('BLAZE SHIELD II'!$D$7*('CALCULO MORTERO'!I91^2)+'BLAZE SHIELD II'!$D$8*'CALCULO MORTERO'!I91+'BLAZE SHIELD II'!$D$9)),0)+IF(AND(L91="Blaze Shield II",M91="Software Idiem",C91="Cj"),((('BLAZE SHIELD II'!$H$4*('CALCULO MORTERO'!I91^2)+'BLAZE SHIELD II'!$H$5*'CALCULO MORTERO'!I91+'BLAZE SHIELD II'!$H$6)*LN(J91))+('BLAZE SHIELD II'!$H$7*('CALCULO MORTERO'!I91^2)+'BLAZE SHIELD II'!$H$8*'CALCULO MORTERO'!I91+'BLAZE SHIELD II'!$H$9)),0)+IF(AND(L91="Blaze Shield II",M91="Software Idiem",C91="C"),((('BLAZE SHIELD II'!$L$4*('CALCULO MORTERO'!I91^2)+'BLAZE SHIELD II'!$L$5*'CALCULO MORTERO'!I91+'BLAZE SHIELD II'!$L$6)*LN(J91))+('BLAZE SHIELD II'!$L$7*('CALCULO MORTERO'!I91^2)+'BLAZE SHIELD II'!$L$8*'CALCULO MORTERO'!I91+'BLAZE SHIELD II'!$L$9)),0)+IF(AND(L91="Blaze Shield II",M91="Software Idiem",C91="L"),((('BLAZE SHIELD II'!$L$4*('CALCULO MORTERO'!I91^2)+'BLAZE SHIELD II'!$L$5*'CALCULO MORTERO'!I91+'BLAZE SHIELD II'!$L$6)*LN(J91))+('BLAZE SHIELD II'!$L$7*('CALCULO MORTERO'!I91^2)+'BLAZE SHIELD II'!$L$8*'CALCULO MORTERO'!I91+'BLAZE SHIELD II'!$L$9)),0)+IF(AND(L91="Blaze Shield II",M91="Software Idiem",C91="IN",G91=3),((('BLAZE SHIELD II'!$H$14*('CALCULO MORTERO'!I91^2)+'BLAZE SHIELD II'!$H$15*'CALCULO MORTERO'!I91+'BLAZE SHIELD II'!$H$16)*LN(J91))+('BLAZE SHIELD II'!$H$17*('CALCULO MORTERO'!I91^2)+'BLAZE SHIELD II'!$H$18*'CALCULO MORTERO'!I91+'BLAZE SHIELD II'!$H$19)),0),0)+ROUND(IF(AND(L91="Cafco 400",M91="Software Idiem",C91="IN",G91=4),((('CAFCO 400 '!$H$7*(J91^4)+'CAFCO 400 '!$H$8*(J91^3)+'CAFCO 400 '!$H$9*(J91^2)+'CAFCO 400 '!$H$10*J91+'CAFCO 400 '!$H$11)*U91^2)+(('CAFCO 400 '!$H$12*(J91^3)+'CAFCO 400 '!$H$13*(J91^2)+'CAFCO 400 '!$H$14*J91+'CAFCO 400 '!$H$15)*U91)+('CAFCO 400 '!$H$16*(J91^2)+'CAFCO 400 '!$H$17*J91+'CAFCO 400 '!$H$18)),0)+IF(AND(L91="Cafco 400",M91="Software Idiem",C91="Cj"),(((('CAFCO 400 '!$D$7*LN(J91)+'CAFCO 400 '!$D$8)*U91^2)+(('CAFCO 400 '!$D$9*LN(J91)+'CAFCO 400 '!$D$10)*U91)+('CAFCO 400 '!$D$11*LN(J91)+'CAFCO 400 '!$D$12))),0)+IF(AND(L91="Cafco 400",M91="Software Idiem",C91="C"),((('CAFCO 400 '!$L$7*(J91^3)+'CAFCO 400 '!$L$8*(J91^2)+'CAFCO 400 '!$L$9*J91+'CAFCO 400 '!$L$10)*U91^2)+(('CAFCO 400 '!$L$11*(J91^3)+'CAFCO 400 '!$L$12*(J91^2)+'CAFCO 400 '!$L$13*J91+'CAFCO 400 '!$L$14)*U91)+('CAFCO 400 '!$L$15*LN(J91)+'CAFCO 400 '!$L$16)),0)+IF(AND(L91="Cafco 400",M91="Software Idiem",C91="L"),((('CAFCO 400 '!$L$7*(J91^3)+'CAFCO 400 '!$L$8*(J91^2)+'CAFCO 400 '!$L$9*J91+'CAFCO 400 '!$L$10)*U91^2)+(('CAFCO 400 '!$L$11*(J91^3)+'CAFCO 400 '!$L$12*(J91^2)+'CAFCO 400 '!$L$13*J91+'CAFCO 400 '!$L$14)*U91)+('CAFCO 400 '!$L$15*LN(J91)+'CAFCO 400 '!$L$16)),0)+IF(AND(L91="Cafco 400",M91="Software Idiem",C91="IN",G91=3),((('CAFCO 400 '!$D$23*(J91^2)+'CAFCO 400 '!$D$24*(J91)+'CAFCO 400 '!$D$25)*U91^2)+(('CAFCO 400 '!$D$26*(J91^2)+'CAFCO 400 '!$D$27*J91+'CAFCO 400 '!$D$28)*U91)+('CAFCO 400 '!$D$29*(J91^2)+'CAFCO 400 '!$D$30*J91+'CAFCO 400 '!$D$31)),0),0)+IF(AND(L91="Cafco 300",J91&gt;=95,J91&lt;=240,C91="Cj",I91=90),VLOOKUP(T91,'CAFCO 300 IDIEM TABLAS'!$B$4:$D$23,2,FALSE),0)+IF(AND(L91="Cafco 300",J91&gt;=95,J91&lt;=240,C91="Cj",I91=120),VLOOKUP(T91,'CAFCO 300 IDIEM TABLAS'!$B$4:$D$23,3,FALSE),0)+IF(AND(L91="Cafco 300",J91&gt;=95,J91&lt;=400,G91=3,C91="IN",I91=90),VLOOKUP(T91,'CAFCO 300 IDIEM TABLAS'!$F$4:$H$35,2,FALSE),0)+IF(AND(L91="Cafco 300",J91&gt;=95,J91&lt;=400,G91=3,C91="IN",I91=120),VLOOKUP(T91,'CAFCO 300 IDIEM TABLAS'!$F$4:$H$35,3,FALSE),0)+IF(AND(L91="Cafco 300",J91&gt;=95,J91&lt;=450,G91=4,C91="IN",I91=90),VLOOKUP(T91,'CAFCO 300 IDIEM TABLAS'!$J$4:$L$40,2,FALSE),0)+IF(AND(L91="Cafco 300",J91&gt;=95,J91&lt;=450,G91=4,C91="IN",I91=120),VLOOKUP(T91,'CAFCO 300 IDIEM TABLAS'!$J$4:$L$40,3,FALSE),0)+IF(AND(M91="Ensayo Idiem",L91="Cafco 400",C91="IN",G91=4,I91=90),VLOOKUP(T91,'CAFCO 400 ENSAYO'!$B$7:$D$43,2,FALSE),0)+IF(AND(M91="Ensayo Idiem",L91="Cafco 400",C91="IN",G91=4,I91=120),VLOOKUP(T91,'CAFCO 400 ENSAYO'!$B$7:$D$43,3,FALSE),0)</f>
        <v>0</v>
      </c>
      <c r="O91" s="96">
        <f t="shared" si="8"/>
        <v>0</v>
      </c>
      <c r="P91" s="95" t="str">
        <f t="shared" si="9"/>
        <v>CERT.</v>
      </c>
      <c r="Q91" s="95" t="str">
        <f t="shared" si="10"/>
        <v>CERT.</v>
      </c>
      <c r="R91" s="95" t="str">
        <f t="shared" si="11"/>
        <v>NO CERT.</v>
      </c>
      <c r="S91" s="95" t="str">
        <f t="shared" si="6"/>
        <v>NO CERT.</v>
      </c>
      <c r="T91" s="119">
        <f>+IF(J91=LOOKUP(J91,'CAFCO 300 IDIEM TABLAS'!$J$4:$J$40),'CALCULO MORTERO'!J91,MROUND('CALCULO MORTERO'!J91,10))</f>
        <v>330</v>
      </c>
      <c r="U91" s="118" t="e">
        <f t="shared" si="7"/>
        <v>#VALUE!</v>
      </c>
      <c r="Y91" s="4"/>
      <c r="Z91" s="4"/>
      <c r="AA91" s="4"/>
    </row>
    <row r="92" spans="1:27" ht="15.6" customHeight="1" x14ac:dyDescent="0.25">
      <c r="A92" s="118" t="str">
        <f>+CUBICACION!D91</f>
        <v>PILAR</v>
      </c>
      <c r="B92" s="819" t="str">
        <f>+CUBICACION!E91</f>
        <v>200X100X4</v>
      </c>
      <c r="C92" s="675" t="str">
        <f>+CUBICACION!F91</f>
        <v>CJ</v>
      </c>
      <c r="D92" s="118"/>
      <c r="E92" s="118"/>
      <c r="F92" s="820"/>
      <c r="G92" s="675">
        <f>+CUBICACION!J91</f>
        <v>4</v>
      </c>
      <c r="H92" s="118"/>
      <c r="I92" s="821" t="str">
        <f>+CUBICACION!L91</f>
        <v>F-60</v>
      </c>
      <c r="J92" s="64">
        <f>+CUBICACION!M91</f>
        <v>250</v>
      </c>
      <c r="K92" s="822">
        <f>+CUBICACION!N91</f>
        <v>4.26</v>
      </c>
      <c r="L92" s="118" t="str">
        <f>+CUBICACION!O91</f>
        <v>Fire Tex 5090</v>
      </c>
      <c r="M92" s="823" t="str">
        <f>+CUBICACION!P91</f>
        <v>Software Idiem</v>
      </c>
      <c r="N92" s="902">
        <f>ROUND(IF(AND(L92="Blaze Shield II",M92="Software Idiem",C92="IN",G92=4),((('BLAZE SHIELD II'!$D$4*('CALCULO MORTERO'!I92^2)+'BLAZE SHIELD II'!$D$5*'CALCULO MORTERO'!I92+'BLAZE SHIELD II'!$D$6)*LN(J92))+('BLAZE SHIELD II'!$D$7*('CALCULO MORTERO'!I92^2)+'BLAZE SHIELD II'!$D$8*'CALCULO MORTERO'!I92+'BLAZE SHIELD II'!$D$9)),0)+IF(AND(L92="Blaze Shield II",M92="Software Idiem",C92="Cj"),((('BLAZE SHIELD II'!$H$4*('CALCULO MORTERO'!I92^2)+'BLAZE SHIELD II'!$H$5*'CALCULO MORTERO'!I92+'BLAZE SHIELD II'!$H$6)*LN(J92))+('BLAZE SHIELD II'!$H$7*('CALCULO MORTERO'!I92^2)+'BLAZE SHIELD II'!$H$8*'CALCULO MORTERO'!I92+'BLAZE SHIELD II'!$H$9)),0)+IF(AND(L92="Blaze Shield II",M92="Software Idiem",C92="C"),((('BLAZE SHIELD II'!$L$4*('CALCULO MORTERO'!I92^2)+'BLAZE SHIELD II'!$L$5*'CALCULO MORTERO'!I92+'BLAZE SHIELD II'!$L$6)*LN(J92))+('BLAZE SHIELD II'!$L$7*('CALCULO MORTERO'!I92^2)+'BLAZE SHIELD II'!$L$8*'CALCULO MORTERO'!I92+'BLAZE SHIELD II'!$L$9)),0)+IF(AND(L92="Blaze Shield II",M92="Software Idiem",C92="L"),((('BLAZE SHIELD II'!$L$4*('CALCULO MORTERO'!I92^2)+'BLAZE SHIELD II'!$L$5*'CALCULO MORTERO'!I92+'BLAZE SHIELD II'!$L$6)*LN(J92))+('BLAZE SHIELD II'!$L$7*('CALCULO MORTERO'!I92^2)+'BLAZE SHIELD II'!$L$8*'CALCULO MORTERO'!I92+'BLAZE SHIELD II'!$L$9)),0)+IF(AND(L92="Blaze Shield II",M92="Software Idiem",C92="IN",G92=3),((('BLAZE SHIELD II'!$H$14*('CALCULO MORTERO'!I92^2)+'BLAZE SHIELD II'!$H$15*'CALCULO MORTERO'!I92+'BLAZE SHIELD II'!$H$16)*LN(J92))+('BLAZE SHIELD II'!$H$17*('CALCULO MORTERO'!I92^2)+'BLAZE SHIELD II'!$H$18*'CALCULO MORTERO'!I92+'BLAZE SHIELD II'!$H$19)),0),0)+ROUND(IF(AND(L92="Cafco 400",M92="Software Idiem",C92="IN",G92=4),((('CAFCO 400 '!$H$7*(J92^4)+'CAFCO 400 '!$H$8*(J92^3)+'CAFCO 400 '!$H$9*(J92^2)+'CAFCO 400 '!$H$10*J92+'CAFCO 400 '!$H$11)*U92^2)+(('CAFCO 400 '!$H$12*(J92^3)+'CAFCO 400 '!$H$13*(J92^2)+'CAFCO 400 '!$H$14*J92+'CAFCO 400 '!$H$15)*U92)+('CAFCO 400 '!$H$16*(J92^2)+'CAFCO 400 '!$H$17*J92+'CAFCO 400 '!$H$18)),0)+IF(AND(L92="Cafco 400",M92="Software Idiem",C92="Cj"),(((('CAFCO 400 '!$D$7*LN(J92)+'CAFCO 400 '!$D$8)*U92^2)+(('CAFCO 400 '!$D$9*LN(J92)+'CAFCO 400 '!$D$10)*U92)+('CAFCO 400 '!$D$11*LN(J92)+'CAFCO 400 '!$D$12))),0)+IF(AND(L92="Cafco 400",M92="Software Idiem",C92="C"),((('CAFCO 400 '!$L$7*(J92^3)+'CAFCO 400 '!$L$8*(J92^2)+'CAFCO 400 '!$L$9*J92+'CAFCO 400 '!$L$10)*U92^2)+(('CAFCO 400 '!$L$11*(J92^3)+'CAFCO 400 '!$L$12*(J92^2)+'CAFCO 400 '!$L$13*J92+'CAFCO 400 '!$L$14)*U92)+('CAFCO 400 '!$L$15*LN(J92)+'CAFCO 400 '!$L$16)),0)+IF(AND(L92="Cafco 400",M92="Software Idiem",C92="L"),((('CAFCO 400 '!$L$7*(J92^3)+'CAFCO 400 '!$L$8*(J92^2)+'CAFCO 400 '!$L$9*J92+'CAFCO 400 '!$L$10)*U92^2)+(('CAFCO 400 '!$L$11*(J92^3)+'CAFCO 400 '!$L$12*(J92^2)+'CAFCO 400 '!$L$13*J92+'CAFCO 400 '!$L$14)*U92)+('CAFCO 400 '!$L$15*LN(J92)+'CAFCO 400 '!$L$16)),0)+IF(AND(L92="Cafco 400",M92="Software Idiem",C92="IN",G92=3),((('CAFCO 400 '!$D$23*(J92^2)+'CAFCO 400 '!$D$24*(J92)+'CAFCO 400 '!$D$25)*U92^2)+(('CAFCO 400 '!$D$26*(J92^2)+'CAFCO 400 '!$D$27*J92+'CAFCO 400 '!$D$28)*U92)+('CAFCO 400 '!$D$29*(J92^2)+'CAFCO 400 '!$D$30*J92+'CAFCO 400 '!$D$31)),0),0)+IF(AND(L92="Cafco 300",J92&gt;=95,J92&lt;=240,C92="Cj",I92=90),VLOOKUP(T92,'CAFCO 300 IDIEM TABLAS'!$B$4:$D$23,2,FALSE),0)+IF(AND(L92="Cafco 300",J92&gt;=95,J92&lt;=240,C92="Cj",I92=120),VLOOKUP(T92,'CAFCO 300 IDIEM TABLAS'!$B$4:$D$23,3,FALSE),0)+IF(AND(L92="Cafco 300",J92&gt;=95,J92&lt;=400,G92=3,C92="IN",I92=90),VLOOKUP(T92,'CAFCO 300 IDIEM TABLAS'!$F$4:$H$35,2,FALSE),0)+IF(AND(L92="Cafco 300",J92&gt;=95,J92&lt;=400,G92=3,C92="IN",I92=120),VLOOKUP(T92,'CAFCO 300 IDIEM TABLAS'!$F$4:$H$35,3,FALSE),0)+IF(AND(L92="Cafco 300",J92&gt;=95,J92&lt;=450,G92=4,C92="IN",I92=90),VLOOKUP(T92,'CAFCO 300 IDIEM TABLAS'!$J$4:$L$40,2,FALSE),0)+IF(AND(L92="Cafco 300",J92&gt;=95,J92&lt;=450,G92=4,C92="IN",I92=120),VLOOKUP(T92,'CAFCO 300 IDIEM TABLAS'!$J$4:$L$40,3,FALSE),0)+IF(AND(M92="Ensayo Idiem",L92="Cafco 400",C92="IN",G92=4,I92=90),VLOOKUP(T92,'CAFCO 400 ENSAYO'!$B$7:$D$43,2,FALSE),0)+IF(AND(M92="Ensayo Idiem",L92="Cafco 400",C92="IN",G92=4,I92=120),VLOOKUP(T92,'CAFCO 400 ENSAYO'!$B$7:$D$43,3,FALSE),0)</f>
        <v>0</v>
      </c>
      <c r="O92" s="96">
        <f t="shared" si="8"/>
        <v>0</v>
      </c>
      <c r="P92" s="95" t="str">
        <f t="shared" si="9"/>
        <v>CERT.</v>
      </c>
      <c r="Q92" s="95" t="str">
        <f t="shared" si="10"/>
        <v>CERT.</v>
      </c>
      <c r="R92" s="95" t="str">
        <f t="shared" si="11"/>
        <v>NO CERT.</v>
      </c>
      <c r="S92" s="95" t="str">
        <f t="shared" si="6"/>
        <v>NO CERT.</v>
      </c>
      <c r="T92" s="119">
        <f>+IF(J92=LOOKUP(J92,'CAFCO 300 IDIEM TABLAS'!$J$4:$J$40),'CALCULO MORTERO'!J92,MROUND('CALCULO MORTERO'!J92,10))</f>
        <v>250</v>
      </c>
      <c r="U92" s="118" t="e">
        <f t="shared" si="7"/>
        <v>#VALUE!</v>
      </c>
      <c r="Y92" s="4"/>
      <c r="Z92" s="4"/>
      <c r="AA92" s="4"/>
    </row>
    <row r="93" spans="1:27" x14ac:dyDescent="0.25">
      <c r="A93" s="118" t="str">
        <f>+CUBICACION!D92</f>
        <v>COSTANERA</v>
      </c>
      <c r="B93" s="819" t="str">
        <f>+CUBICACION!E92</f>
        <v>125X50X15X2</v>
      </c>
      <c r="C93" s="675" t="str">
        <f>+CUBICACION!F92</f>
        <v>C</v>
      </c>
      <c r="D93" s="118"/>
      <c r="E93" s="118"/>
      <c r="F93" s="820"/>
      <c r="G93" s="675">
        <f>+CUBICACION!J92</f>
        <v>3</v>
      </c>
      <c r="H93" s="118"/>
      <c r="I93" s="821">
        <f>+CUBICACION!L92</f>
        <v>60</v>
      </c>
      <c r="J93" s="64">
        <f>+CUBICACION!M92</f>
        <v>1057</v>
      </c>
      <c r="K93" s="822">
        <f>+CUBICACION!N92</f>
        <v>311.96280000000002</v>
      </c>
      <c r="L93" s="118" t="str">
        <f>+CUBICACION!O92</f>
        <v>Blaze Shield II</v>
      </c>
      <c r="M93" s="823" t="str">
        <f>+CUBICACION!P92</f>
        <v>Software Idiem</v>
      </c>
      <c r="N93" s="902">
        <f>ROUND(IF(AND(L93="Blaze Shield II",M93="Software Idiem",C93="IN",G93=4),((('BLAZE SHIELD II'!$D$4*('CALCULO MORTERO'!I93^2)+'BLAZE SHIELD II'!$D$5*'CALCULO MORTERO'!I93+'BLAZE SHIELD II'!$D$6)*LN(J93))+('BLAZE SHIELD II'!$D$7*('CALCULO MORTERO'!I93^2)+'BLAZE SHIELD II'!$D$8*'CALCULO MORTERO'!I93+'BLAZE SHIELD II'!$D$9)),0)+IF(AND(L93="Blaze Shield II",M93="Software Idiem",C93="Cj"),((('BLAZE SHIELD II'!$H$4*('CALCULO MORTERO'!I93^2)+'BLAZE SHIELD II'!$H$5*'CALCULO MORTERO'!I93+'BLAZE SHIELD II'!$H$6)*LN(J93))+('BLAZE SHIELD II'!$H$7*('CALCULO MORTERO'!I93^2)+'BLAZE SHIELD II'!$H$8*'CALCULO MORTERO'!I93+'BLAZE SHIELD II'!$H$9)),0)+IF(AND(L93="Blaze Shield II",M93="Software Idiem",C93="C"),((('BLAZE SHIELD II'!$L$4*('CALCULO MORTERO'!I93^2)+'BLAZE SHIELD II'!$L$5*'CALCULO MORTERO'!I93+'BLAZE SHIELD II'!$L$6)*LN(J93))+('BLAZE SHIELD II'!$L$7*('CALCULO MORTERO'!I93^2)+'BLAZE SHIELD II'!$L$8*'CALCULO MORTERO'!I93+'BLAZE SHIELD II'!$L$9)),0)+IF(AND(L93="Blaze Shield II",M93="Software Idiem",C93="L"),((('BLAZE SHIELD II'!$L$4*('CALCULO MORTERO'!I93^2)+'BLAZE SHIELD II'!$L$5*'CALCULO MORTERO'!I93+'BLAZE SHIELD II'!$L$6)*LN(J93))+('BLAZE SHIELD II'!$L$7*('CALCULO MORTERO'!I93^2)+'BLAZE SHIELD II'!$L$8*'CALCULO MORTERO'!I93+'BLAZE SHIELD II'!$L$9)),0)+IF(AND(L93="Blaze Shield II",M93="Software Idiem",C93="IN",G93=3),((('BLAZE SHIELD II'!$H$14*('CALCULO MORTERO'!I93^2)+'BLAZE SHIELD II'!$H$15*'CALCULO MORTERO'!I93+'BLAZE SHIELD II'!$H$16)*LN(J93))+('BLAZE SHIELD II'!$H$17*('CALCULO MORTERO'!I93^2)+'BLAZE SHIELD II'!$H$18*'CALCULO MORTERO'!I93+'BLAZE SHIELD II'!$H$19)),0),0)+ROUND(IF(AND(L93="Cafco 400",M93="Software Idiem",C93="IN",G93=4),((('CAFCO 400 '!$H$7*(J93^4)+'CAFCO 400 '!$H$8*(J93^3)+'CAFCO 400 '!$H$9*(J93^2)+'CAFCO 400 '!$H$10*J93+'CAFCO 400 '!$H$11)*U93^2)+(('CAFCO 400 '!$H$12*(J93^3)+'CAFCO 400 '!$H$13*(J93^2)+'CAFCO 400 '!$H$14*J93+'CAFCO 400 '!$H$15)*U93)+('CAFCO 400 '!$H$16*(J93^2)+'CAFCO 400 '!$H$17*J93+'CAFCO 400 '!$H$18)),0)+IF(AND(L93="Cafco 400",M93="Software Idiem",C93="Cj"),(((('CAFCO 400 '!$D$7*LN(J93)+'CAFCO 400 '!$D$8)*U93^2)+(('CAFCO 400 '!$D$9*LN(J93)+'CAFCO 400 '!$D$10)*U93)+('CAFCO 400 '!$D$11*LN(J93)+'CAFCO 400 '!$D$12))),0)+IF(AND(L93="Cafco 400",M93="Software Idiem",C93="C"),((('CAFCO 400 '!$L$7*(J93^3)+'CAFCO 400 '!$L$8*(J93^2)+'CAFCO 400 '!$L$9*J93+'CAFCO 400 '!$L$10)*U93^2)+(('CAFCO 400 '!$L$11*(J93^3)+'CAFCO 400 '!$L$12*(J93^2)+'CAFCO 400 '!$L$13*J93+'CAFCO 400 '!$L$14)*U93)+('CAFCO 400 '!$L$15*LN(J93)+'CAFCO 400 '!$L$16)),0)+IF(AND(L93="Cafco 400",M93="Software Idiem",C93="L"),((('CAFCO 400 '!$L$7*(J93^3)+'CAFCO 400 '!$L$8*(J93^2)+'CAFCO 400 '!$L$9*J93+'CAFCO 400 '!$L$10)*U93^2)+(('CAFCO 400 '!$L$11*(J93^3)+'CAFCO 400 '!$L$12*(J93^2)+'CAFCO 400 '!$L$13*J93+'CAFCO 400 '!$L$14)*U93)+('CAFCO 400 '!$L$15*LN(J93)+'CAFCO 400 '!$L$16)),0)+IF(AND(L93="Cafco 400",M93="Software Idiem",C93="IN",G93=3),((('CAFCO 400 '!$D$23*(J93^2)+'CAFCO 400 '!$D$24*(J93)+'CAFCO 400 '!$D$25)*U93^2)+(('CAFCO 400 '!$D$26*(J93^2)+'CAFCO 400 '!$D$27*J93+'CAFCO 400 '!$D$28)*U93)+('CAFCO 400 '!$D$29*(J93^2)+'CAFCO 400 '!$D$30*J93+'CAFCO 400 '!$D$31)),0),0)+IF(AND(L93="Cafco 300",J93&gt;=95,J93&lt;=240,C93="Cj",I93=90),VLOOKUP(T93,'CAFCO 300 IDIEM TABLAS'!$B$4:$D$23,2,FALSE),0)+IF(AND(L93="Cafco 300",J93&gt;=95,J93&lt;=240,C93="Cj",I93=120),VLOOKUP(T93,'CAFCO 300 IDIEM TABLAS'!$B$4:$D$23,3,FALSE),0)+IF(AND(L93="Cafco 300",J93&gt;=95,J93&lt;=400,G93=3,C93="IN",I93=90),VLOOKUP(T93,'CAFCO 300 IDIEM TABLAS'!$F$4:$H$35,2,FALSE),0)+IF(AND(L93="Cafco 300",J93&gt;=95,J93&lt;=400,G93=3,C93="IN",I93=120),VLOOKUP(T93,'CAFCO 300 IDIEM TABLAS'!$F$4:$H$35,3,FALSE),0)+IF(AND(L93="Cafco 300",J93&gt;=95,J93&lt;=450,G93=4,C93="IN",I93=90),VLOOKUP(T93,'CAFCO 300 IDIEM TABLAS'!$J$4:$L$40,2,FALSE),0)+IF(AND(L93="Cafco 300",J93&gt;=95,J93&lt;=450,G93=4,C93="IN",I93=120),VLOOKUP(T93,'CAFCO 300 IDIEM TABLAS'!$J$4:$L$40,3,FALSE),0)+IF(AND(M93="Ensayo Idiem",L93="Cafco 400",C93="IN",G93=4,I93=90),VLOOKUP(T93,'CAFCO 400 ENSAYO'!$B$7:$D$43,2,FALSE),0)+IF(AND(M93="Ensayo Idiem",L93="Cafco 400",C93="IN",G93=4,I93=120),VLOOKUP(T93,'CAFCO 400 ENSAYO'!$B$7:$D$43,3,FALSE),0)</f>
        <v>54</v>
      </c>
      <c r="O93" s="96">
        <f t="shared" si="8"/>
        <v>190.62568989473684</v>
      </c>
      <c r="P93" s="95" t="str">
        <f t="shared" si="9"/>
        <v>NO CERT.</v>
      </c>
      <c r="Q93" s="95" t="str">
        <f t="shared" si="10"/>
        <v>NO CERT.</v>
      </c>
      <c r="R93" s="95" t="str">
        <f t="shared" si="11"/>
        <v>NO CERT.</v>
      </c>
      <c r="S93" s="95" t="str">
        <f t="shared" si="6"/>
        <v>NO CERT.</v>
      </c>
      <c r="T93" s="119">
        <f>+IF(J93=LOOKUP(J93,'CAFCO 300 IDIEM TABLAS'!$J$4:$J$40),'CALCULO MORTERO'!J93,MROUND('CALCULO MORTERO'!J93,10))</f>
        <v>1060</v>
      </c>
      <c r="U93" s="118">
        <f t="shared" si="7"/>
        <v>3600</v>
      </c>
      <c r="Y93" s="4"/>
      <c r="Z93" s="4"/>
      <c r="AA93" s="4"/>
    </row>
    <row r="94" spans="1:27" ht="15.6" customHeight="1" x14ac:dyDescent="0.25">
      <c r="A94" s="118" t="str">
        <f>+CUBICACION!D93</f>
        <v>PUNTAL</v>
      </c>
      <c r="B94" s="819" t="str">
        <f>+CUBICACION!E93</f>
        <v>100X100X3</v>
      </c>
      <c r="C94" s="675" t="str">
        <f>+CUBICACION!F93</f>
        <v>CJ</v>
      </c>
      <c r="D94" s="118"/>
      <c r="E94" s="118"/>
      <c r="F94" s="820"/>
      <c r="G94" s="675">
        <f>+CUBICACION!J93</f>
        <v>4</v>
      </c>
      <c r="H94" s="118"/>
      <c r="I94" s="821" t="str">
        <f>+CUBICACION!L93</f>
        <v>F-60</v>
      </c>
      <c r="J94" s="64">
        <f>+CUBICACION!M93</f>
        <v>333</v>
      </c>
      <c r="K94" s="822">
        <f>+CUBICACION!N93</f>
        <v>23.367999999999999</v>
      </c>
      <c r="L94" s="118" t="str">
        <f>+CUBICACION!O93</f>
        <v>Fire Tex 5090</v>
      </c>
      <c r="M94" s="823" t="str">
        <f>+CUBICACION!P93</f>
        <v>Software Idiem</v>
      </c>
      <c r="N94" s="902">
        <f>ROUND(IF(AND(L94="Blaze Shield II",M94="Software Idiem",C94="IN",G94=4),((('BLAZE SHIELD II'!$D$4*('CALCULO MORTERO'!I94^2)+'BLAZE SHIELD II'!$D$5*'CALCULO MORTERO'!I94+'BLAZE SHIELD II'!$D$6)*LN(J94))+('BLAZE SHIELD II'!$D$7*('CALCULO MORTERO'!I94^2)+'BLAZE SHIELD II'!$D$8*'CALCULO MORTERO'!I94+'BLAZE SHIELD II'!$D$9)),0)+IF(AND(L94="Blaze Shield II",M94="Software Idiem",C94="Cj"),((('BLAZE SHIELD II'!$H$4*('CALCULO MORTERO'!I94^2)+'BLAZE SHIELD II'!$H$5*'CALCULO MORTERO'!I94+'BLAZE SHIELD II'!$H$6)*LN(J94))+('BLAZE SHIELD II'!$H$7*('CALCULO MORTERO'!I94^2)+'BLAZE SHIELD II'!$H$8*'CALCULO MORTERO'!I94+'BLAZE SHIELD II'!$H$9)),0)+IF(AND(L94="Blaze Shield II",M94="Software Idiem",C94="C"),((('BLAZE SHIELD II'!$L$4*('CALCULO MORTERO'!I94^2)+'BLAZE SHIELD II'!$L$5*'CALCULO MORTERO'!I94+'BLAZE SHIELD II'!$L$6)*LN(J94))+('BLAZE SHIELD II'!$L$7*('CALCULO MORTERO'!I94^2)+'BLAZE SHIELD II'!$L$8*'CALCULO MORTERO'!I94+'BLAZE SHIELD II'!$L$9)),0)+IF(AND(L94="Blaze Shield II",M94="Software Idiem",C94="L"),((('BLAZE SHIELD II'!$L$4*('CALCULO MORTERO'!I94^2)+'BLAZE SHIELD II'!$L$5*'CALCULO MORTERO'!I94+'BLAZE SHIELD II'!$L$6)*LN(J94))+('BLAZE SHIELD II'!$L$7*('CALCULO MORTERO'!I94^2)+'BLAZE SHIELD II'!$L$8*'CALCULO MORTERO'!I94+'BLAZE SHIELD II'!$L$9)),0)+IF(AND(L94="Blaze Shield II",M94="Software Idiem",C94="IN",G94=3),((('BLAZE SHIELD II'!$H$14*('CALCULO MORTERO'!I94^2)+'BLAZE SHIELD II'!$H$15*'CALCULO MORTERO'!I94+'BLAZE SHIELD II'!$H$16)*LN(J94))+('BLAZE SHIELD II'!$H$17*('CALCULO MORTERO'!I94^2)+'BLAZE SHIELD II'!$H$18*'CALCULO MORTERO'!I94+'BLAZE SHIELD II'!$H$19)),0),0)+ROUND(IF(AND(L94="Cafco 400",M94="Software Idiem",C94="IN",G94=4),((('CAFCO 400 '!$H$7*(J94^4)+'CAFCO 400 '!$H$8*(J94^3)+'CAFCO 400 '!$H$9*(J94^2)+'CAFCO 400 '!$H$10*J94+'CAFCO 400 '!$H$11)*U94^2)+(('CAFCO 400 '!$H$12*(J94^3)+'CAFCO 400 '!$H$13*(J94^2)+'CAFCO 400 '!$H$14*J94+'CAFCO 400 '!$H$15)*U94)+('CAFCO 400 '!$H$16*(J94^2)+'CAFCO 400 '!$H$17*J94+'CAFCO 400 '!$H$18)),0)+IF(AND(L94="Cafco 400",M94="Software Idiem",C94="Cj"),(((('CAFCO 400 '!$D$7*LN(J94)+'CAFCO 400 '!$D$8)*U94^2)+(('CAFCO 400 '!$D$9*LN(J94)+'CAFCO 400 '!$D$10)*U94)+('CAFCO 400 '!$D$11*LN(J94)+'CAFCO 400 '!$D$12))),0)+IF(AND(L94="Cafco 400",M94="Software Idiem",C94="C"),((('CAFCO 400 '!$L$7*(J94^3)+'CAFCO 400 '!$L$8*(J94^2)+'CAFCO 400 '!$L$9*J94+'CAFCO 400 '!$L$10)*U94^2)+(('CAFCO 400 '!$L$11*(J94^3)+'CAFCO 400 '!$L$12*(J94^2)+'CAFCO 400 '!$L$13*J94+'CAFCO 400 '!$L$14)*U94)+('CAFCO 400 '!$L$15*LN(J94)+'CAFCO 400 '!$L$16)),0)+IF(AND(L94="Cafco 400",M94="Software Idiem",C94="L"),((('CAFCO 400 '!$L$7*(J94^3)+'CAFCO 400 '!$L$8*(J94^2)+'CAFCO 400 '!$L$9*J94+'CAFCO 400 '!$L$10)*U94^2)+(('CAFCO 400 '!$L$11*(J94^3)+'CAFCO 400 '!$L$12*(J94^2)+'CAFCO 400 '!$L$13*J94+'CAFCO 400 '!$L$14)*U94)+('CAFCO 400 '!$L$15*LN(J94)+'CAFCO 400 '!$L$16)),0)+IF(AND(L94="Cafco 400",M94="Software Idiem",C94="IN",G94=3),((('CAFCO 400 '!$D$23*(J94^2)+'CAFCO 400 '!$D$24*(J94)+'CAFCO 400 '!$D$25)*U94^2)+(('CAFCO 400 '!$D$26*(J94^2)+'CAFCO 400 '!$D$27*J94+'CAFCO 400 '!$D$28)*U94)+('CAFCO 400 '!$D$29*(J94^2)+'CAFCO 400 '!$D$30*J94+'CAFCO 400 '!$D$31)),0),0)+IF(AND(L94="Cafco 300",J94&gt;=95,J94&lt;=240,C94="Cj",I94=90),VLOOKUP(T94,'CAFCO 300 IDIEM TABLAS'!$B$4:$D$23,2,FALSE),0)+IF(AND(L94="Cafco 300",J94&gt;=95,J94&lt;=240,C94="Cj",I94=120),VLOOKUP(T94,'CAFCO 300 IDIEM TABLAS'!$B$4:$D$23,3,FALSE),0)+IF(AND(L94="Cafco 300",J94&gt;=95,J94&lt;=400,G94=3,C94="IN",I94=90),VLOOKUP(T94,'CAFCO 300 IDIEM TABLAS'!$F$4:$H$35,2,FALSE),0)+IF(AND(L94="Cafco 300",J94&gt;=95,J94&lt;=400,G94=3,C94="IN",I94=120),VLOOKUP(T94,'CAFCO 300 IDIEM TABLAS'!$F$4:$H$35,3,FALSE),0)+IF(AND(L94="Cafco 300",J94&gt;=95,J94&lt;=450,G94=4,C94="IN",I94=90),VLOOKUP(T94,'CAFCO 300 IDIEM TABLAS'!$J$4:$L$40,2,FALSE),0)+IF(AND(L94="Cafco 300",J94&gt;=95,J94&lt;=450,G94=4,C94="IN",I94=120),VLOOKUP(T94,'CAFCO 300 IDIEM TABLAS'!$J$4:$L$40,3,FALSE),0)+IF(AND(M94="Ensayo Idiem",L94="Cafco 400",C94="IN",G94=4,I94=90),VLOOKUP(T94,'CAFCO 400 ENSAYO'!$B$7:$D$43,2,FALSE),0)+IF(AND(M94="Ensayo Idiem",L94="Cafco 400",C94="IN",G94=4,I94=120),VLOOKUP(T94,'CAFCO 400 ENSAYO'!$B$7:$D$43,3,FALSE),0)</f>
        <v>0</v>
      </c>
      <c r="O94" s="96">
        <f t="shared" si="8"/>
        <v>0</v>
      </c>
      <c r="P94" s="95" t="str">
        <f t="shared" si="9"/>
        <v>CERT.</v>
      </c>
      <c r="Q94" s="95" t="str">
        <f t="shared" si="10"/>
        <v>CERT.</v>
      </c>
      <c r="R94" s="95" t="str">
        <f t="shared" si="11"/>
        <v>NO CERT.</v>
      </c>
      <c r="S94" s="95" t="str">
        <f t="shared" si="6"/>
        <v>NO CERT.</v>
      </c>
      <c r="T94" s="119">
        <f>+IF(J94=LOOKUP(J94,'CAFCO 300 IDIEM TABLAS'!$J$4:$J$40),'CALCULO MORTERO'!J94,MROUND('CALCULO MORTERO'!J94,10))</f>
        <v>330</v>
      </c>
      <c r="U94" s="118" t="e">
        <f t="shared" si="7"/>
        <v>#VALUE!</v>
      </c>
      <c r="Y94" s="4"/>
      <c r="Z94" s="4"/>
      <c r="AA94" s="4"/>
    </row>
    <row r="95" spans="1:27" x14ac:dyDescent="0.25">
      <c r="A95" s="118" t="str">
        <f>+CUBICACION!D94</f>
        <v>LOSA</v>
      </c>
      <c r="B95" s="819" t="str">
        <f>+CUBICACION!E94</f>
        <v>-</v>
      </c>
      <c r="C95" s="675" t="str">
        <f>+CUBICACION!F94</f>
        <v>-</v>
      </c>
      <c r="D95" s="118"/>
      <c r="E95" s="118"/>
      <c r="F95" s="820"/>
      <c r="G95" s="675">
        <f>+CUBICACION!J94</f>
        <v>1</v>
      </c>
      <c r="H95" s="118"/>
      <c r="I95" s="821">
        <f>+CUBICACION!L94</f>
        <v>60</v>
      </c>
      <c r="J95" s="64" t="str">
        <f>+CUBICACION!M94</f>
        <v>-</v>
      </c>
      <c r="K95" s="822">
        <f>+CUBICACION!N94</f>
        <v>324.75599999999997</v>
      </c>
      <c r="L95" s="118" t="str">
        <f>+CUBICACION!O94</f>
        <v>Blaze Shield II</v>
      </c>
      <c r="M95" s="823" t="str">
        <f>+CUBICACION!P94</f>
        <v>Software Idiem</v>
      </c>
      <c r="N95" s="902">
        <v>15</v>
      </c>
      <c r="O95" s="96">
        <f t="shared" si="8"/>
        <v>55.123057894736824</v>
      </c>
      <c r="P95" s="95" t="str">
        <f t="shared" si="9"/>
        <v>NO CERT.</v>
      </c>
      <c r="Q95" s="95" t="str">
        <f t="shared" si="10"/>
        <v>NO CERT.</v>
      </c>
      <c r="R95" s="95" t="str">
        <f t="shared" si="11"/>
        <v>NO CERT.</v>
      </c>
      <c r="S95" s="95" t="e">
        <f t="shared" si="6"/>
        <v>#N/A</v>
      </c>
      <c r="T95" s="119" t="e">
        <f>+IF(J95=LOOKUP(J95,'CAFCO 300 IDIEM TABLAS'!$J$4:$J$40),'CALCULO MORTERO'!J95,MROUND('CALCULO MORTERO'!J95,10))</f>
        <v>#N/A</v>
      </c>
      <c r="U95" s="118">
        <f t="shared" si="7"/>
        <v>3600</v>
      </c>
      <c r="Y95" s="4"/>
      <c r="Z95" s="4"/>
      <c r="AA95" s="4"/>
    </row>
    <row r="96" spans="1:27" ht="15.6" customHeight="1" x14ac:dyDescent="0.25">
      <c r="A96" s="118" t="str">
        <f>+CUBICACION!D95</f>
        <v>LOSA</v>
      </c>
      <c r="B96" s="819" t="str">
        <f>+CUBICACION!E95</f>
        <v>-</v>
      </c>
      <c r="C96" s="675" t="str">
        <f>+CUBICACION!F95</f>
        <v>-</v>
      </c>
      <c r="D96" s="118"/>
      <c r="E96" s="118"/>
      <c r="F96" s="820"/>
      <c r="G96" s="675">
        <f>+CUBICACION!J95</f>
        <v>1</v>
      </c>
      <c r="H96" s="118"/>
      <c r="I96" s="821">
        <f>+CUBICACION!L95</f>
        <v>60</v>
      </c>
      <c r="J96" s="64" t="str">
        <f>+CUBICACION!M95</f>
        <v>-</v>
      </c>
      <c r="K96" s="822">
        <f>+CUBICACION!N95</f>
        <v>3.8250000000000002</v>
      </c>
      <c r="L96" s="118" t="str">
        <f>+CUBICACION!O95</f>
        <v>Blaze Shield II</v>
      </c>
      <c r="M96" s="823" t="str">
        <f>+CUBICACION!P95</f>
        <v>Software Idiem</v>
      </c>
      <c r="N96" s="902">
        <v>15</v>
      </c>
      <c r="O96" s="96">
        <f t="shared" si="8"/>
        <v>0.64924342105263155</v>
      </c>
      <c r="P96" s="95" t="str">
        <f t="shared" si="9"/>
        <v>NO CERT.</v>
      </c>
      <c r="Q96" s="95" t="str">
        <f t="shared" si="10"/>
        <v>NO CERT.</v>
      </c>
      <c r="R96" s="95" t="str">
        <f t="shared" si="11"/>
        <v>NO CERT.</v>
      </c>
      <c r="S96" s="95" t="e">
        <f t="shared" si="6"/>
        <v>#N/A</v>
      </c>
      <c r="T96" s="119" t="e">
        <f>+IF(J96=LOOKUP(J96,'CAFCO 300 IDIEM TABLAS'!$J$4:$J$40),'CALCULO MORTERO'!J96,MROUND('CALCULO MORTERO'!J96,10))</f>
        <v>#N/A</v>
      </c>
      <c r="U96" s="118">
        <f t="shared" si="7"/>
        <v>3600</v>
      </c>
      <c r="Y96" s="4"/>
      <c r="Z96" s="4"/>
      <c r="AA96" s="4"/>
    </row>
    <row r="97" spans="1:27" x14ac:dyDescent="0.25">
      <c r="A97" s="118" t="str">
        <f>+CUBICACION!D96</f>
        <v>VIGA BAJO LOSA</v>
      </c>
      <c r="B97" s="819" t="str">
        <f>+CUBICACION!E96</f>
        <v>200X100X8,5X5,6</v>
      </c>
      <c r="C97" s="675" t="str">
        <f>+CUBICACION!F96</f>
        <v>IN</v>
      </c>
      <c r="D97" s="118"/>
      <c r="E97" s="118"/>
      <c r="F97" s="820"/>
      <c r="G97" s="675">
        <f>+CUBICACION!J96</f>
        <v>3</v>
      </c>
      <c r="H97" s="118"/>
      <c r="I97" s="821">
        <f>+CUBICACION!L96</f>
        <v>60</v>
      </c>
      <c r="J97" s="64">
        <f>+CUBICACION!M96</f>
        <v>265</v>
      </c>
      <c r="K97" s="822">
        <f>+CUBICACION!N96</f>
        <v>100.85850000000001</v>
      </c>
      <c r="L97" s="118" t="str">
        <f>+CUBICACION!O96</f>
        <v>Blaze Shield II</v>
      </c>
      <c r="M97" s="823" t="str">
        <f>+CUBICACION!P96</f>
        <v>Software Idiem</v>
      </c>
      <c r="N97" s="902">
        <f>ROUND(IF(AND(L97="Blaze Shield II",M97="Software Idiem",C97="IN",G97=4),((('BLAZE SHIELD II'!$D$4*('CALCULO MORTERO'!I97^2)+'BLAZE SHIELD II'!$D$5*'CALCULO MORTERO'!I97+'BLAZE SHIELD II'!$D$6)*LN(J97))+('BLAZE SHIELD II'!$D$7*('CALCULO MORTERO'!I97^2)+'BLAZE SHIELD II'!$D$8*'CALCULO MORTERO'!I97+'BLAZE SHIELD II'!$D$9)),0)+IF(AND(L97="Blaze Shield II",M97="Software Idiem",C97="Cj"),((('BLAZE SHIELD II'!$H$4*('CALCULO MORTERO'!I97^2)+'BLAZE SHIELD II'!$H$5*'CALCULO MORTERO'!I97+'BLAZE SHIELD II'!$H$6)*LN(J97))+('BLAZE SHIELD II'!$H$7*('CALCULO MORTERO'!I97^2)+'BLAZE SHIELD II'!$H$8*'CALCULO MORTERO'!I97+'BLAZE SHIELD II'!$H$9)),0)+IF(AND(L97="Blaze Shield II",M97="Software Idiem",C97="C"),((('BLAZE SHIELD II'!$L$4*('CALCULO MORTERO'!I97^2)+'BLAZE SHIELD II'!$L$5*'CALCULO MORTERO'!I97+'BLAZE SHIELD II'!$L$6)*LN(J97))+('BLAZE SHIELD II'!$L$7*('CALCULO MORTERO'!I97^2)+'BLAZE SHIELD II'!$L$8*'CALCULO MORTERO'!I97+'BLAZE SHIELD II'!$L$9)),0)+IF(AND(L97="Blaze Shield II",M97="Software Idiem",C97="L"),((('BLAZE SHIELD II'!$L$4*('CALCULO MORTERO'!I97^2)+'BLAZE SHIELD II'!$L$5*'CALCULO MORTERO'!I97+'BLAZE SHIELD II'!$L$6)*LN(J97))+('BLAZE SHIELD II'!$L$7*('CALCULO MORTERO'!I97^2)+'BLAZE SHIELD II'!$L$8*'CALCULO MORTERO'!I97+'BLAZE SHIELD II'!$L$9)),0)+IF(AND(L97="Blaze Shield II",M97="Software Idiem",C97="IN",G97=3),((('BLAZE SHIELD II'!$H$14*('CALCULO MORTERO'!I97^2)+'BLAZE SHIELD II'!$H$15*'CALCULO MORTERO'!I97+'BLAZE SHIELD II'!$H$16)*LN(J97))+('BLAZE SHIELD II'!$H$17*('CALCULO MORTERO'!I97^2)+'BLAZE SHIELD II'!$H$18*'CALCULO MORTERO'!I97+'BLAZE SHIELD II'!$H$19)),0),0)+ROUND(IF(AND(L97="Cafco 400",M97="Software Idiem",C97="IN",G97=4),((('CAFCO 400 '!$H$7*(J97^4)+'CAFCO 400 '!$H$8*(J97^3)+'CAFCO 400 '!$H$9*(J97^2)+'CAFCO 400 '!$H$10*J97+'CAFCO 400 '!$H$11)*U97^2)+(('CAFCO 400 '!$H$12*(J97^3)+'CAFCO 400 '!$H$13*(J97^2)+'CAFCO 400 '!$H$14*J97+'CAFCO 400 '!$H$15)*U97)+('CAFCO 400 '!$H$16*(J97^2)+'CAFCO 400 '!$H$17*J97+'CAFCO 400 '!$H$18)),0)+IF(AND(L97="Cafco 400",M97="Software Idiem",C97="Cj"),(((('CAFCO 400 '!$D$7*LN(J97)+'CAFCO 400 '!$D$8)*U97^2)+(('CAFCO 400 '!$D$9*LN(J97)+'CAFCO 400 '!$D$10)*U97)+('CAFCO 400 '!$D$11*LN(J97)+'CAFCO 400 '!$D$12))),0)+IF(AND(L97="Cafco 400",M97="Software Idiem",C97="C"),((('CAFCO 400 '!$L$7*(J97^3)+'CAFCO 400 '!$L$8*(J97^2)+'CAFCO 400 '!$L$9*J97+'CAFCO 400 '!$L$10)*U97^2)+(('CAFCO 400 '!$L$11*(J97^3)+'CAFCO 400 '!$L$12*(J97^2)+'CAFCO 400 '!$L$13*J97+'CAFCO 400 '!$L$14)*U97)+('CAFCO 400 '!$L$15*LN(J97)+'CAFCO 400 '!$L$16)),0)+IF(AND(L97="Cafco 400",M97="Software Idiem",C97="L"),((('CAFCO 400 '!$L$7*(J97^3)+'CAFCO 400 '!$L$8*(J97^2)+'CAFCO 400 '!$L$9*J97+'CAFCO 400 '!$L$10)*U97^2)+(('CAFCO 400 '!$L$11*(J97^3)+'CAFCO 400 '!$L$12*(J97^2)+'CAFCO 400 '!$L$13*J97+'CAFCO 400 '!$L$14)*U97)+('CAFCO 400 '!$L$15*LN(J97)+'CAFCO 400 '!$L$16)),0)+IF(AND(L97="Cafco 400",M97="Software Idiem",C97="IN",G97=3),((('CAFCO 400 '!$D$23*(J97^2)+'CAFCO 400 '!$D$24*(J97)+'CAFCO 400 '!$D$25)*U97^2)+(('CAFCO 400 '!$D$26*(J97^2)+'CAFCO 400 '!$D$27*J97+'CAFCO 400 '!$D$28)*U97)+('CAFCO 400 '!$D$29*(J97^2)+'CAFCO 400 '!$D$30*J97+'CAFCO 400 '!$D$31)),0),0)+IF(AND(L97="Cafco 300",J97&gt;=95,J97&lt;=240,C97="Cj",I97=90),VLOOKUP(T97,'CAFCO 300 IDIEM TABLAS'!$B$4:$D$23,2,FALSE),0)+IF(AND(L97="Cafco 300",J97&gt;=95,J97&lt;=240,C97="Cj",I97=120),VLOOKUP(T97,'CAFCO 300 IDIEM TABLAS'!$B$4:$D$23,3,FALSE),0)+IF(AND(L97="Cafco 300",J97&gt;=95,J97&lt;=400,G97=3,C97="IN",I97=90),VLOOKUP(T97,'CAFCO 300 IDIEM TABLAS'!$F$4:$H$35,2,FALSE),0)+IF(AND(L97="Cafco 300",J97&gt;=95,J97&lt;=400,G97=3,C97="IN",I97=120),VLOOKUP(T97,'CAFCO 300 IDIEM TABLAS'!$F$4:$H$35,3,FALSE),0)+IF(AND(L97="Cafco 300",J97&gt;=95,J97&lt;=450,G97=4,C97="IN",I97=90),VLOOKUP(T97,'CAFCO 300 IDIEM TABLAS'!$J$4:$L$40,2,FALSE),0)+IF(AND(L97="Cafco 300",J97&gt;=95,J97&lt;=450,G97=4,C97="IN",I97=120),VLOOKUP(T97,'CAFCO 300 IDIEM TABLAS'!$J$4:$L$40,3,FALSE),0)+IF(AND(M97="Ensayo Idiem",L97="Cafco 400",C97="IN",G97=4,I97=90),VLOOKUP(T97,'CAFCO 400 ENSAYO'!$B$7:$D$43,2,FALSE),0)+IF(AND(M97="Ensayo Idiem",L97="Cafco 400",C97="IN",G97=4,I97=120),VLOOKUP(T97,'CAFCO 400 ENSAYO'!$B$7:$D$43,3,FALSE),0)</f>
        <v>22</v>
      </c>
      <c r="O97" s="96">
        <f t="shared" si="8"/>
        <v>25.108458157894738</v>
      </c>
      <c r="P97" s="95" t="str">
        <f t="shared" si="9"/>
        <v>CERT.</v>
      </c>
      <c r="Q97" s="95" t="str">
        <f t="shared" si="10"/>
        <v>CERT.</v>
      </c>
      <c r="R97" s="95" t="str">
        <f t="shared" si="11"/>
        <v>NO CERT.</v>
      </c>
      <c r="S97" s="95" t="str">
        <f t="shared" si="6"/>
        <v>NO CERT.</v>
      </c>
      <c r="T97" s="119">
        <f>+IF(J97=LOOKUP(J97,'CAFCO 300 IDIEM TABLAS'!$J$4:$J$40),'CALCULO MORTERO'!J97,MROUND('CALCULO MORTERO'!J97,10))</f>
        <v>270</v>
      </c>
      <c r="U97" s="118">
        <f t="shared" si="7"/>
        <v>3600</v>
      </c>
      <c r="Y97" s="4"/>
      <c r="Z97" s="4"/>
      <c r="AA97" s="4"/>
    </row>
    <row r="98" spans="1:27" ht="15.6" customHeight="1" x14ac:dyDescent="0.25">
      <c r="A98" s="118" t="str">
        <f>+CUBICACION!D97</f>
        <v>VIGA BAJO LOSA</v>
      </c>
      <c r="B98" s="819" t="str">
        <f>+CUBICACION!E97</f>
        <v>200X100X8,5X5,6</v>
      </c>
      <c r="C98" s="675" t="str">
        <f>+CUBICACION!F97</f>
        <v>IN</v>
      </c>
      <c r="D98" s="118"/>
      <c r="E98" s="118"/>
      <c r="F98" s="820"/>
      <c r="G98" s="675">
        <f>+CUBICACION!J97</f>
        <v>3</v>
      </c>
      <c r="H98" s="118"/>
      <c r="I98" s="821">
        <f>+CUBICACION!L97</f>
        <v>60</v>
      </c>
      <c r="J98" s="64">
        <f>+CUBICACION!M97</f>
        <v>265</v>
      </c>
      <c r="K98" s="822">
        <f>+CUBICACION!N97</f>
        <v>1.991142</v>
      </c>
      <c r="L98" s="118" t="str">
        <f>+CUBICACION!O97</f>
        <v>Blaze Shield II</v>
      </c>
      <c r="M98" s="823" t="str">
        <f>+CUBICACION!P97</f>
        <v>Software Idiem</v>
      </c>
      <c r="N98" s="902">
        <f>ROUND(IF(AND(L98="Blaze Shield II",M98="Software Idiem",C98="IN",G98=4),((('BLAZE SHIELD II'!$D$4*('CALCULO MORTERO'!I98^2)+'BLAZE SHIELD II'!$D$5*'CALCULO MORTERO'!I98+'BLAZE SHIELD II'!$D$6)*LN(J98))+('BLAZE SHIELD II'!$D$7*('CALCULO MORTERO'!I98^2)+'BLAZE SHIELD II'!$D$8*'CALCULO MORTERO'!I98+'BLAZE SHIELD II'!$D$9)),0)+IF(AND(L98="Blaze Shield II",M98="Software Idiem",C98="Cj"),((('BLAZE SHIELD II'!$H$4*('CALCULO MORTERO'!I98^2)+'BLAZE SHIELD II'!$H$5*'CALCULO MORTERO'!I98+'BLAZE SHIELD II'!$H$6)*LN(J98))+('BLAZE SHIELD II'!$H$7*('CALCULO MORTERO'!I98^2)+'BLAZE SHIELD II'!$H$8*'CALCULO MORTERO'!I98+'BLAZE SHIELD II'!$H$9)),0)+IF(AND(L98="Blaze Shield II",M98="Software Idiem",C98="C"),((('BLAZE SHIELD II'!$L$4*('CALCULO MORTERO'!I98^2)+'BLAZE SHIELD II'!$L$5*'CALCULO MORTERO'!I98+'BLAZE SHIELD II'!$L$6)*LN(J98))+('BLAZE SHIELD II'!$L$7*('CALCULO MORTERO'!I98^2)+'BLAZE SHIELD II'!$L$8*'CALCULO MORTERO'!I98+'BLAZE SHIELD II'!$L$9)),0)+IF(AND(L98="Blaze Shield II",M98="Software Idiem",C98="L"),((('BLAZE SHIELD II'!$L$4*('CALCULO MORTERO'!I98^2)+'BLAZE SHIELD II'!$L$5*'CALCULO MORTERO'!I98+'BLAZE SHIELD II'!$L$6)*LN(J98))+('BLAZE SHIELD II'!$L$7*('CALCULO MORTERO'!I98^2)+'BLAZE SHIELD II'!$L$8*'CALCULO MORTERO'!I98+'BLAZE SHIELD II'!$L$9)),0)+IF(AND(L98="Blaze Shield II",M98="Software Idiem",C98="IN",G98=3),((('BLAZE SHIELD II'!$H$14*('CALCULO MORTERO'!I98^2)+'BLAZE SHIELD II'!$H$15*'CALCULO MORTERO'!I98+'BLAZE SHIELD II'!$H$16)*LN(J98))+('BLAZE SHIELD II'!$H$17*('CALCULO MORTERO'!I98^2)+'BLAZE SHIELD II'!$H$18*'CALCULO MORTERO'!I98+'BLAZE SHIELD II'!$H$19)),0),0)+ROUND(IF(AND(L98="Cafco 400",M98="Software Idiem",C98="IN",G98=4),((('CAFCO 400 '!$H$7*(J98^4)+'CAFCO 400 '!$H$8*(J98^3)+'CAFCO 400 '!$H$9*(J98^2)+'CAFCO 400 '!$H$10*J98+'CAFCO 400 '!$H$11)*U98^2)+(('CAFCO 400 '!$H$12*(J98^3)+'CAFCO 400 '!$H$13*(J98^2)+'CAFCO 400 '!$H$14*J98+'CAFCO 400 '!$H$15)*U98)+('CAFCO 400 '!$H$16*(J98^2)+'CAFCO 400 '!$H$17*J98+'CAFCO 400 '!$H$18)),0)+IF(AND(L98="Cafco 400",M98="Software Idiem",C98="Cj"),(((('CAFCO 400 '!$D$7*LN(J98)+'CAFCO 400 '!$D$8)*U98^2)+(('CAFCO 400 '!$D$9*LN(J98)+'CAFCO 400 '!$D$10)*U98)+('CAFCO 400 '!$D$11*LN(J98)+'CAFCO 400 '!$D$12))),0)+IF(AND(L98="Cafco 400",M98="Software Idiem",C98="C"),((('CAFCO 400 '!$L$7*(J98^3)+'CAFCO 400 '!$L$8*(J98^2)+'CAFCO 400 '!$L$9*J98+'CAFCO 400 '!$L$10)*U98^2)+(('CAFCO 400 '!$L$11*(J98^3)+'CAFCO 400 '!$L$12*(J98^2)+'CAFCO 400 '!$L$13*J98+'CAFCO 400 '!$L$14)*U98)+('CAFCO 400 '!$L$15*LN(J98)+'CAFCO 400 '!$L$16)),0)+IF(AND(L98="Cafco 400",M98="Software Idiem",C98="L"),((('CAFCO 400 '!$L$7*(J98^3)+'CAFCO 400 '!$L$8*(J98^2)+'CAFCO 400 '!$L$9*J98+'CAFCO 400 '!$L$10)*U98^2)+(('CAFCO 400 '!$L$11*(J98^3)+'CAFCO 400 '!$L$12*(J98^2)+'CAFCO 400 '!$L$13*J98+'CAFCO 400 '!$L$14)*U98)+('CAFCO 400 '!$L$15*LN(J98)+'CAFCO 400 '!$L$16)),0)+IF(AND(L98="Cafco 400",M98="Software Idiem",C98="IN",G98=3),((('CAFCO 400 '!$D$23*(J98^2)+'CAFCO 400 '!$D$24*(J98)+'CAFCO 400 '!$D$25)*U98^2)+(('CAFCO 400 '!$D$26*(J98^2)+'CAFCO 400 '!$D$27*J98+'CAFCO 400 '!$D$28)*U98)+('CAFCO 400 '!$D$29*(J98^2)+'CAFCO 400 '!$D$30*J98+'CAFCO 400 '!$D$31)),0),0)+IF(AND(L98="Cafco 300",J98&gt;=95,J98&lt;=240,C98="Cj",I98=90),VLOOKUP(T98,'CAFCO 300 IDIEM TABLAS'!$B$4:$D$23,2,FALSE),0)+IF(AND(L98="Cafco 300",J98&gt;=95,J98&lt;=240,C98="Cj",I98=120),VLOOKUP(T98,'CAFCO 300 IDIEM TABLAS'!$B$4:$D$23,3,FALSE),0)+IF(AND(L98="Cafco 300",J98&gt;=95,J98&lt;=400,G98=3,C98="IN",I98=90),VLOOKUP(T98,'CAFCO 300 IDIEM TABLAS'!$F$4:$H$35,2,FALSE),0)+IF(AND(L98="Cafco 300",J98&gt;=95,J98&lt;=400,G98=3,C98="IN",I98=120),VLOOKUP(T98,'CAFCO 300 IDIEM TABLAS'!$F$4:$H$35,3,FALSE),0)+IF(AND(L98="Cafco 300",J98&gt;=95,J98&lt;=450,G98=4,C98="IN",I98=90),VLOOKUP(T98,'CAFCO 300 IDIEM TABLAS'!$J$4:$L$40,2,FALSE),0)+IF(AND(L98="Cafco 300",J98&gt;=95,J98&lt;=450,G98=4,C98="IN",I98=120),VLOOKUP(T98,'CAFCO 300 IDIEM TABLAS'!$J$4:$L$40,3,FALSE),0)+IF(AND(M98="Ensayo Idiem",L98="Cafco 400",C98="IN",G98=4,I98=90),VLOOKUP(T98,'CAFCO 400 ENSAYO'!$B$7:$D$43,2,FALSE),0)+IF(AND(M98="Ensayo Idiem",L98="Cafco 400",C98="IN",G98=4,I98=120),VLOOKUP(T98,'CAFCO 400 ENSAYO'!$B$7:$D$43,3,FALSE),0)</f>
        <v>22</v>
      </c>
      <c r="O98" s="96">
        <f t="shared" si="8"/>
        <v>0.49568956105263157</v>
      </c>
      <c r="P98" s="95" t="str">
        <f t="shared" si="9"/>
        <v>CERT.</v>
      </c>
      <c r="Q98" s="95" t="str">
        <f t="shared" si="10"/>
        <v>CERT.</v>
      </c>
      <c r="R98" s="95" t="str">
        <f t="shared" si="11"/>
        <v>NO CERT.</v>
      </c>
      <c r="S98" s="95" t="str">
        <f t="shared" si="6"/>
        <v>NO CERT.</v>
      </c>
      <c r="T98" s="119">
        <f>+IF(J98=LOOKUP(J98,'CAFCO 300 IDIEM TABLAS'!$J$4:$J$40),'CALCULO MORTERO'!J98,MROUND('CALCULO MORTERO'!J98,10))</f>
        <v>270</v>
      </c>
      <c r="U98" s="118">
        <f t="shared" si="7"/>
        <v>3600</v>
      </c>
      <c r="Y98" s="4"/>
      <c r="Z98" s="4"/>
      <c r="AA98" s="4"/>
    </row>
    <row r="99" spans="1:27" x14ac:dyDescent="0.25">
      <c r="A99" s="118" t="str">
        <f>+CUBICACION!D98</f>
        <v>VIGA BAJO LOSA</v>
      </c>
      <c r="B99" s="819" t="str">
        <f>+CUBICACION!E98</f>
        <v>240X120X9,8X6,2</v>
      </c>
      <c r="C99" s="675" t="str">
        <f>+CUBICACION!F98</f>
        <v>IN</v>
      </c>
      <c r="D99" s="118"/>
      <c r="E99" s="118"/>
      <c r="F99" s="820"/>
      <c r="G99" s="675">
        <f>+CUBICACION!J98</f>
        <v>3</v>
      </c>
      <c r="H99" s="118"/>
      <c r="I99" s="821">
        <f>+CUBICACION!L98</f>
        <v>60</v>
      </c>
      <c r="J99" s="64">
        <f>+CUBICACION!M98</f>
        <v>233</v>
      </c>
      <c r="K99" s="822">
        <f>+CUBICACION!N98</f>
        <v>20.2011</v>
      </c>
      <c r="L99" s="118" t="str">
        <f>+CUBICACION!O98</f>
        <v>Blaze Shield II</v>
      </c>
      <c r="M99" s="823" t="str">
        <f>+CUBICACION!P98</f>
        <v>Software Idiem</v>
      </c>
      <c r="N99" s="902">
        <f>ROUND(IF(AND(L99="Blaze Shield II",M99="Software Idiem",C99="IN",G99=4),((('BLAZE SHIELD II'!$D$4*('CALCULO MORTERO'!I99^2)+'BLAZE SHIELD II'!$D$5*'CALCULO MORTERO'!I99+'BLAZE SHIELD II'!$D$6)*LN(J99))+('BLAZE SHIELD II'!$D$7*('CALCULO MORTERO'!I99^2)+'BLAZE SHIELD II'!$D$8*'CALCULO MORTERO'!I99+'BLAZE SHIELD II'!$D$9)),0)+IF(AND(L99="Blaze Shield II",M99="Software Idiem",C99="Cj"),((('BLAZE SHIELD II'!$H$4*('CALCULO MORTERO'!I99^2)+'BLAZE SHIELD II'!$H$5*'CALCULO MORTERO'!I99+'BLAZE SHIELD II'!$H$6)*LN(J99))+('BLAZE SHIELD II'!$H$7*('CALCULO MORTERO'!I99^2)+'BLAZE SHIELD II'!$H$8*'CALCULO MORTERO'!I99+'BLAZE SHIELD II'!$H$9)),0)+IF(AND(L99="Blaze Shield II",M99="Software Idiem",C99="C"),((('BLAZE SHIELD II'!$L$4*('CALCULO MORTERO'!I99^2)+'BLAZE SHIELD II'!$L$5*'CALCULO MORTERO'!I99+'BLAZE SHIELD II'!$L$6)*LN(J99))+('BLAZE SHIELD II'!$L$7*('CALCULO MORTERO'!I99^2)+'BLAZE SHIELD II'!$L$8*'CALCULO MORTERO'!I99+'BLAZE SHIELD II'!$L$9)),0)+IF(AND(L99="Blaze Shield II",M99="Software Idiem",C99="L"),((('BLAZE SHIELD II'!$L$4*('CALCULO MORTERO'!I99^2)+'BLAZE SHIELD II'!$L$5*'CALCULO MORTERO'!I99+'BLAZE SHIELD II'!$L$6)*LN(J99))+('BLAZE SHIELD II'!$L$7*('CALCULO MORTERO'!I99^2)+'BLAZE SHIELD II'!$L$8*'CALCULO MORTERO'!I99+'BLAZE SHIELD II'!$L$9)),0)+IF(AND(L99="Blaze Shield II",M99="Software Idiem",C99="IN",G99=3),((('BLAZE SHIELD II'!$H$14*('CALCULO MORTERO'!I99^2)+'BLAZE SHIELD II'!$H$15*'CALCULO MORTERO'!I99+'BLAZE SHIELD II'!$H$16)*LN(J99))+('BLAZE SHIELD II'!$H$17*('CALCULO MORTERO'!I99^2)+'BLAZE SHIELD II'!$H$18*'CALCULO MORTERO'!I99+'BLAZE SHIELD II'!$H$19)),0),0)+ROUND(IF(AND(L99="Cafco 400",M99="Software Idiem",C99="IN",G99=4),((('CAFCO 400 '!$H$7*(J99^4)+'CAFCO 400 '!$H$8*(J99^3)+'CAFCO 400 '!$H$9*(J99^2)+'CAFCO 400 '!$H$10*J99+'CAFCO 400 '!$H$11)*U99^2)+(('CAFCO 400 '!$H$12*(J99^3)+'CAFCO 400 '!$H$13*(J99^2)+'CAFCO 400 '!$H$14*J99+'CAFCO 400 '!$H$15)*U99)+('CAFCO 400 '!$H$16*(J99^2)+'CAFCO 400 '!$H$17*J99+'CAFCO 400 '!$H$18)),0)+IF(AND(L99="Cafco 400",M99="Software Idiem",C99="Cj"),(((('CAFCO 400 '!$D$7*LN(J99)+'CAFCO 400 '!$D$8)*U99^2)+(('CAFCO 400 '!$D$9*LN(J99)+'CAFCO 400 '!$D$10)*U99)+('CAFCO 400 '!$D$11*LN(J99)+'CAFCO 400 '!$D$12))),0)+IF(AND(L99="Cafco 400",M99="Software Idiem",C99="C"),((('CAFCO 400 '!$L$7*(J99^3)+'CAFCO 400 '!$L$8*(J99^2)+'CAFCO 400 '!$L$9*J99+'CAFCO 400 '!$L$10)*U99^2)+(('CAFCO 400 '!$L$11*(J99^3)+'CAFCO 400 '!$L$12*(J99^2)+'CAFCO 400 '!$L$13*J99+'CAFCO 400 '!$L$14)*U99)+('CAFCO 400 '!$L$15*LN(J99)+'CAFCO 400 '!$L$16)),0)+IF(AND(L99="Cafco 400",M99="Software Idiem",C99="L"),((('CAFCO 400 '!$L$7*(J99^3)+'CAFCO 400 '!$L$8*(J99^2)+'CAFCO 400 '!$L$9*J99+'CAFCO 400 '!$L$10)*U99^2)+(('CAFCO 400 '!$L$11*(J99^3)+'CAFCO 400 '!$L$12*(J99^2)+'CAFCO 400 '!$L$13*J99+'CAFCO 400 '!$L$14)*U99)+('CAFCO 400 '!$L$15*LN(J99)+'CAFCO 400 '!$L$16)),0)+IF(AND(L99="Cafco 400",M99="Software Idiem",C99="IN",G99=3),((('CAFCO 400 '!$D$23*(J99^2)+'CAFCO 400 '!$D$24*(J99)+'CAFCO 400 '!$D$25)*U99^2)+(('CAFCO 400 '!$D$26*(J99^2)+'CAFCO 400 '!$D$27*J99+'CAFCO 400 '!$D$28)*U99)+('CAFCO 400 '!$D$29*(J99^2)+'CAFCO 400 '!$D$30*J99+'CAFCO 400 '!$D$31)),0),0)+IF(AND(L99="Cafco 300",J99&gt;=95,J99&lt;=240,C99="Cj",I99=90),VLOOKUP(T99,'CAFCO 300 IDIEM TABLAS'!$B$4:$D$23,2,FALSE),0)+IF(AND(L99="Cafco 300",J99&gt;=95,J99&lt;=240,C99="Cj",I99=120),VLOOKUP(T99,'CAFCO 300 IDIEM TABLAS'!$B$4:$D$23,3,FALSE),0)+IF(AND(L99="Cafco 300",J99&gt;=95,J99&lt;=400,G99=3,C99="IN",I99=90),VLOOKUP(T99,'CAFCO 300 IDIEM TABLAS'!$F$4:$H$35,2,FALSE),0)+IF(AND(L99="Cafco 300",J99&gt;=95,J99&lt;=400,G99=3,C99="IN",I99=120),VLOOKUP(T99,'CAFCO 300 IDIEM TABLAS'!$F$4:$H$35,3,FALSE),0)+IF(AND(L99="Cafco 300",J99&gt;=95,J99&lt;=450,G99=4,C99="IN",I99=90),VLOOKUP(T99,'CAFCO 300 IDIEM TABLAS'!$J$4:$L$40,2,FALSE),0)+IF(AND(L99="Cafco 300",J99&gt;=95,J99&lt;=450,G99=4,C99="IN",I99=120),VLOOKUP(T99,'CAFCO 300 IDIEM TABLAS'!$J$4:$L$40,3,FALSE),0)+IF(AND(M99="Ensayo Idiem",L99="Cafco 400",C99="IN",G99=4,I99=90),VLOOKUP(T99,'CAFCO 400 ENSAYO'!$B$7:$D$43,2,FALSE),0)+IF(AND(M99="Ensayo Idiem",L99="Cafco 400",C99="IN",G99=4,I99=120),VLOOKUP(T99,'CAFCO 400 ENSAYO'!$B$7:$D$43,3,FALSE),0)</f>
        <v>21</v>
      </c>
      <c r="O99" s="96">
        <f t="shared" si="8"/>
        <v>4.8004192894736839</v>
      </c>
      <c r="P99" s="95" t="str">
        <f t="shared" si="9"/>
        <v>CERT.</v>
      </c>
      <c r="Q99" s="95" t="str">
        <f t="shared" si="10"/>
        <v>CERT.</v>
      </c>
      <c r="R99" s="95" t="str">
        <f t="shared" si="11"/>
        <v>NO CERT.</v>
      </c>
      <c r="S99" s="95" t="str">
        <f t="shared" si="6"/>
        <v>NO CERT.</v>
      </c>
      <c r="T99" s="119">
        <f>+IF(J99=LOOKUP(J99,'CAFCO 300 IDIEM TABLAS'!$J$4:$J$40),'CALCULO MORTERO'!J99,MROUND('CALCULO MORTERO'!J99,10))</f>
        <v>230</v>
      </c>
      <c r="U99" s="118">
        <f t="shared" si="7"/>
        <v>3600</v>
      </c>
      <c r="Y99" s="4"/>
      <c r="Z99" s="4"/>
      <c r="AA99" s="4"/>
    </row>
    <row r="100" spans="1:27" ht="15.6" customHeight="1" x14ac:dyDescent="0.25">
      <c r="A100" s="118">
        <f>+CUBICACION!D99</f>
        <v>0</v>
      </c>
      <c r="B100" s="819">
        <f>+CUBICACION!E99</f>
        <v>0</v>
      </c>
      <c r="C100" s="675">
        <f>+CUBICACION!F99</f>
        <v>0</v>
      </c>
      <c r="D100" s="118"/>
      <c r="E100" s="118"/>
      <c r="F100" s="820"/>
      <c r="G100" s="675">
        <f>+CUBICACION!J99</f>
        <v>3</v>
      </c>
      <c r="H100" s="118"/>
      <c r="I100" s="821">
        <f>+CUBICACION!L99</f>
        <v>0</v>
      </c>
      <c r="J100" s="64">
        <f>+CUBICACION!M99</f>
        <v>0</v>
      </c>
      <c r="K100" s="822" t="str">
        <f>+CUBICACION!N99</f>
        <v/>
      </c>
      <c r="L100" s="118">
        <f>+CUBICACION!O99</f>
        <v>0</v>
      </c>
      <c r="M100" s="823" t="str">
        <f>+CUBICACION!P99</f>
        <v>Software Idiem</v>
      </c>
      <c r="N100" s="902">
        <f>ROUND(IF(AND(L100="Blaze Shield II",M100="Software Idiem",C100="IN",G100=4),((('BLAZE SHIELD II'!$D$4*('CALCULO MORTERO'!I100^2)+'BLAZE SHIELD II'!$D$5*'CALCULO MORTERO'!I100+'BLAZE SHIELD II'!$D$6)*LN(J100))+('BLAZE SHIELD II'!$D$7*('CALCULO MORTERO'!I100^2)+'BLAZE SHIELD II'!$D$8*'CALCULO MORTERO'!I100+'BLAZE SHIELD II'!$D$9)),0)+IF(AND(L100="Blaze Shield II",M100="Software Idiem",C100="Cj"),((('BLAZE SHIELD II'!$H$4*('CALCULO MORTERO'!I100^2)+'BLAZE SHIELD II'!$H$5*'CALCULO MORTERO'!I100+'BLAZE SHIELD II'!$H$6)*LN(J100))+('BLAZE SHIELD II'!$H$7*('CALCULO MORTERO'!I100^2)+'BLAZE SHIELD II'!$H$8*'CALCULO MORTERO'!I100+'BLAZE SHIELD II'!$H$9)),0)+IF(AND(L100="Blaze Shield II",M100="Software Idiem",C100="C"),((('BLAZE SHIELD II'!$L$4*('CALCULO MORTERO'!I100^2)+'BLAZE SHIELD II'!$L$5*'CALCULO MORTERO'!I100+'BLAZE SHIELD II'!$L$6)*LN(J100))+('BLAZE SHIELD II'!$L$7*('CALCULO MORTERO'!I100^2)+'BLAZE SHIELD II'!$L$8*'CALCULO MORTERO'!I100+'BLAZE SHIELD II'!$L$9)),0)+IF(AND(L100="Blaze Shield II",M100="Software Idiem",C100="L"),((('BLAZE SHIELD II'!$L$4*('CALCULO MORTERO'!I100^2)+'BLAZE SHIELD II'!$L$5*'CALCULO MORTERO'!I100+'BLAZE SHIELD II'!$L$6)*LN(J100))+('BLAZE SHIELD II'!$L$7*('CALCULO MORTERO'!I100^2)+'BLAZE SHIELD II'!$L$8*'CALCULO MORTERO'!I100+'BLAZE SHIELD II'!$L$9)),0)+IF(AND(L100="Blaze Shield II",M100="Software Idiem",C100="IN",G100=3),((('BLAZE SHIELD II'!$H$14*('CALCULO MORTERO'!I100^2)+'BLAZE SHIELD II'!$H$15*'CALCULO MORTERO'!I100+'BLAZE SHIELD II'!$H$16)*LN(J100))+('BLAZE SHIELD II'!$H$17*('CALCULO MORTERO'!I100^2)+'BLAZE SHIELD II'!$H$18*'CALCULO MORTERO'!I100+'BLAZE SHIELD II'!$H$19)),0),0)+ROUND(IF(AND(L100="Cafco 400",M100="Software Idiem",C100="IN",G100=4),((('CAFCO 400 '!$H$7*(J100^4)+'CAFCO 400 '!$H$8*(J100^3)+'CAFCO 400 '!$H$9*(J100^2)+'CAFCO 400 '!$H$10*J100+'CAFCO 400 '!$H$11)*U100^2)+(('CAFCO 400 '!$H$12*(J100^3)+'CAFCO 400 '!$H$13*(J100^2)+'CAFCO 400 '!$H$14*J100+'CAFCO 400 '!$H$15)*U100)+('CAFCO 400 '!$H$16*(J100^2)+'CAFCO 400 '!$H$17*J100+'CAFCO 400 '!$H$18)),0)+IF(AND(L100="Cafco 400",M100="Software Idiem",C100="Cj"),(((('CAFCO 400 '!$D$7*LN(J100)+'CAFCO 400 '!$D$8)*U100^2)+(('CAFCO 400 '!$D$9*LN(J100)+'CAFCO 400 '!$D$10)*U100)+('CAFCO 400 '!$D$11*LN(J100)+'CAFCO 400 '!$D$12))),0)+IF(AND(L100="Cafco 400",M100="Software Idiem",C100="C"),((('CAFCO 400 '!$L$7*(J100^3)+'CAFCO 400 '!$L$8*(J100^2)+'CAFCO 400 '!$L$9*J100+'CAFCO 400 '!$L$10)*U100^2)+(('CAFCO 400 '!$L$11*(J100^3)+'CAFCO 400 '!$L$12*(J100^2)+'CAFCO 400 '!$L$13*J100+'CAFCO 400 '!$L$14)*U100)+('CAFCO 400 '!$L$15*LN(J100)+'CAFCO 400 '!$L$16)),0)+IF(AND(L100="Cafco 400",M100="Software Idiem",C100="L"),((('CAFCO 400 '!$L$7*(J100^3)+'CAFCO 400 '!$L$8*(J100^2)+'CAFCO 400 '!$L$9*J100+'CAFCO 400 '!$L$10)*U100^2)+(('CAFCO 400 '!$L$11*(J100^3)+'CAFCO 400 '!$L$12*(J100^2)+'CAFCO 400 '!$L$13*J100+'CAFCO 400 '!$L$14)*U100)+('CAFCO 400 '!$L$15*LN(J100)+'CAFCO 400 '!$L$16)),0)+IF(AND(L100="Cafco 400",M100="Software Idiem",C100="IN",G100=3),((('CAFCO 400 '!$D$23*(J100^2)+'CAFCO 400 '!$D$24*(J100)+'CAFCO 400 '!$D$25)*U100^2)+(('CAFCO 400 '!$D$26*(J100^2)+'CAFCO 400 '!$D$27*J100+'CAFCO 400 '!$D$28)*U100)+('CAFCO 400 '!$D$29*(J100^2)+'CAFCO 400 '!$D$30*J100+'CAFCO 400 '!$D$31)),0),0)+IF(AND(L100="Cafco 300",J100&gt;=95,J100&lt;=240,C100="Cj",I100=90),VLOOKUP(T100,'CAFCO 300 IDIEM TABLAS'!$B$4:$D$23,2,FALSE),0)+IF(AND(L100="Cafco 300",J100&gt;=95,J100&lt;=240,C100="Cj",I100=120),VLOOKUP(T100,'CAFCO 300 IDIEM TABLAS'!$B$4:$D$23,3,FALSE),0)+IF(AND(L100="Cafco 300",J100&gt;=95,J100&lt;=400,G100=3,C100="IN",I100=90),VLOOKUP(T100,'CAFCO 300 IDIEM TABLAS'!$F$4:$H$35,2,FALSE),0)+IF(AND(L100="Cafco 300",J100&gt;=95,J100&lt;=400,G100=3,C100="IN",I100=120),VLOOKUP(T100,'CAFCO 300 IDIEM TABLAS'!$F$4:$H$35,3,FALSE),0)+IF(AND(L100="Cafco 300",J100&gt;=95,J100&lt;=450,G100=4,C100="IN",I100=90),VLOOKUP(T100,'CAFCO 300 IDIEM TABLAS'!$J$4:$L$40,2,FALSE),0)+IF(AND(L100="Cafco 300",J100&gt;=95,J100&lt;=450,G100=4,C100="IN",I100=120),VLOOKUP(T100,'CAFCO 300 IDIEM TABLAS'!$J$4:$L$40,3,FALSE),0)+IF(AND(M100="Ensayo Idiem",L100="Cafco 400",C100="IN",G100=4,I100=90),VLOOKUP(T100,'CAFCO 400 ENSAYO'!$B$7:$D$43,2,FALSE),0)+IF(AND(M100="Ensayo Idiem",L100="Cafco 400",C100="IN",G100=4,I100=120),VLOOKUP(T100,'CAFCO 400 ENSAYO'!$B$7:$D$43,3,FALSE),0)</f>
        <v>0</v>
      </c>
      <c r="O100" s="96">
        <f t="shared" si="8"/>
        <v>0</v>
      </c>
      <c r="P100" s="95" t="str">
        <f t="shared" si="9"/>
        <v>NO CERT.</v>
      </c>
      <c r="Q100" s="95" t="str">
        <f t="shared" si="10"/>
        <v>NO CERT.</v>
      </c>
      <c r="R100" s="95" t="str">
        <f t="shared" si="11"/>
        <v>NO CERT.</v>
      </c>
      <c r="S100" s="95" t="e">
        <f t="shared" si="6"/>
        <v>#N/A</v>
      </c>
      <c r="T100" s="119" t="e">
        <f>+IF(J100=LOOKUP(J100,'CAFCO 300 IDIEM TABLAS'!$J$4:$J$40),'CALCULO MORTERO'!J100,MROUND('CALCULO MORTERO'!J100,10))</f>
        <v>#N/A</v>
      </c>
      <c r="U100" s="118">
        <f t="shared" si="7"/>
        <v>0</v>
      </c>
      <c r="Y100" s="4"/>
      <c r="Z100" s="4"/>
      <c r="AA100" s="4"/>
    </row>
    <row r="101" spans="1:27" x14ac:dyDescent="0.25">
      <c r="A101" s="118">
        <f>+CUBICACION!D100</f>
        <v>0</v>
      </c>
      <c r="B101" s="819">
        <f>+CUBICACION!E100</f>
        <v>0</v>
      </c>
      <c r="C101" s="675">
        <f>+CUBICACION!F100</f>
        <v>0</v>
      </c>
      <c r="D101" s="118"/>
      <c r="E101" s="118"/>
      <c r="F101" s="820"/>
      <c r="G101" s="675">
        <f>+CUBICACION!J100</f>
        <v>4</v>
      </c>
      <c r="H101" s="118"/>
      <c r="I101" s="821">
        <f>+CUBICACION!L100</f>
        <v>0</v>
      </c>
      <c r="J101" s="64">
        <f>+CUBICACION!M100</f>
        <v>0</v>
      </c>
      <c r="K101" s="822" t="str">
        <f>+CUBICACION!N100</f>
        <v/>
      </c>
      <c r="L101" s="118">
        <f>+CUBICACION!O100</f>
        <v>0</v>
      </c>
      <c r="M101" s="823" t="str">
        <f>+CUBICACION!P100</f>
        <v>Software Idiem</v>
      </c>
      <c r="N101" s="902">
        <f>ROUND(IF(AND(L101="Blaze Shield II",M101="Software Idiem",C101="IN",G101=4),((('BLAZE SHIELD II'!$D$4*('CALCULO MORTERO'!I101^2)+'BLAZE SHIELD II'!$D$5*'CALCULO MORTERO'!I101+'BLAZE SHIELD II'!$D$6)*LN(J101))+('BLAZE SHIELD II'!$D$7*('CALCULO MORTERO'!I101^2)+'BLAZE SHIELD II'!$D$8*'CALCULO MORTERO'!I101+'BLAZE SHIELD II'!$D$9)),0)+IF(AND(L101="Blaze Shield II",M101="Software Idiem",C101="Cj"),((('BLAZE SHIELD II'!$H$4*('CALCULO MORTERO'!I101^2)+'BLAZE SHIELD II'!$H$5*'CALCULO MORTERO'!I101+'BLAZE SHIELD II'!$H$6)*LN(J101))+('BLAZE SHIELD II'!$H$7*('CALCULO MORTERO'!I101^2)+'BLAZE SHIELD II'!$H$8*'CALCULO MORTERO'!I101+'BLAZE SHIELD II'!$H$9)),0)+IF(AND(L101="Blaze Shield II",M101="Software Idiem",C101="C"),((('BLAZE SHIELD II'!$L$4*('CALCULO MORTERO'!I101^2)+'BLAZE SHIELD II'!$L$5*'CALCULO MORTERO'!I101+'BLAZE SHIELD II'!$L$6)*LN(J101))+('BLAZE SHIELD II'!$L$7*('CALCULO MORTERO'!I101^2)+'BLAZE SHIELD II'!$L$8*'CALCULO MORTERO'!I101+'BLAZE SHIELD II'!$L$9)),0)+IF(AND(L101="Blaze Shield II",M101="Software Idiem",C101="L"),((('BLAZE SHIELD II'!$L$4*('CALCULO MORTERO'!I101^2)+'BLAZE SHIELD II'!$L$5*'CALCULO MORTERO'!I101+'BLAZE SHIELD II'!$L$6)*LN(J101))+('BLAZE SHIELD II'!$L$7*('CALCULO MORTERO'!I101^2)+'BLAZE SHIELD II'!$L$8*'CALCULO MORTERO'!I101+'BLAZE SHIELD II'!$L$9)),0)+IF(AND(L101="Blaze Shield II",M101="Software Idiem",C101="IN",G101=3),((('BLAZE SHIELD II'!$H$14*('CALCULO MORTERO'!I101^2)+'BLAZE SHIELD II'!$H$15*'CALCULO MORTERO'!I101+'BLAZE SHIELD II'!$H$16)*LN(J101))+('BLAZE SHIELD II'!$H$17*('CALCULO MORTERO'!I101^2)+'BLAZE SHIELD II'!$H$18*'CALCULO MORTERO'!I101+'BLAZE SHIELD II'!$H$19)),0),0)+ROUND(IF(AND(L101="Cafco 400",M101="Software Idiem",C101="IN",G101=4),((('CAFCO 400 '!$H$7*(J101^4)+'CAFCO 400 '!$H$8*(J101^3)+'CAFCO 400 '!$H$9*(J101^2)+'CAFCO 400 '!$H$10*J101+'CAFCO 400 '!$H$11)*U101^2)+(('CAFCO 400 '!$H$12*(J101^3)+'CAFCO 400 '!$H$13*(J101^2)+'CAFCO 400 '!$H$14*J101+'CAFCO 400 '!$H$15)*U101)+('CAFCO 400 '!$H$16*(J101^2)+'CAFCO 400 '!$H$17*J101+'CAFCO 400 '!$H$18)),0)+IF(AND(L101="Cafco 400",M101="Software Idiem",C101="Cj"),(((('CAFCO 400 '!$D$7*LN(J101)+'CAFCO 400 '!$D$8)*U101^2)+(('CAFCO 400 '!$D$9*LN(J101)+'CAFCO 400 '!$D$10)*U101)+('CAFCO 400 '!$D$11*LN(J101)+'CAFCO 400 '!$D$12))),0)+IF(AND(L101="Cafco 400",M101="Software Idiem",C101="C"),((('CAFCO 400 '!$L$7*(J101^3)+'CAFCO 400 '!$L$8*(J101^2)+'CAFCO 400 '!$L$9*J101+'CAFCO 400 '!$L$10)*U101^2)+(('CAFCO 400 '!$L$11*(J101^3)+'CAFCO 400 '!$L$12*(J101^2)+'CAFCO 400 '!$L$13*J101+'CAFCO 400 '!$L$14)*U101)+('CAFCO 400 '!$L$15*LN(J101)+'CAFCO 400 '!$L$16)),0)+IF(AND(L101="Cafco 400",M101="Software Idiem",C101="L"),((('CAFCO 400 '!$L$7*(J101^3)+'CAFCO 400 '!$L$8*(J101^2)+'CAFCO 400 '!$L$9*J101+'CAFCO 400 '!$L$10)*U101^2)+(('CAFCO 400 '!$L$11*(J101^3)+'CAFCO 400 '!$L$12*(J101^2)+'CAFCO 400 '!$L$13*J101+'CAFCO 400 '!$L$14)*U101)+('CAFCO 400 '!$L$15*LN(J101)+'CAFCO 400 '!$L$16)),0)+IF(AND(L101="Cafco 400",M101="Software Idiem",C101="IN",G101=3),((('CAFCO 400 '!$D$23*(J101^2)+'CAFCO 400 '!$D$24*(J101)+'CAFCO 400 '!$D$25)*U101^2)+(('CAFCO 400 '!$D$26*(J101^2)+'CAFCO 400 '!$D$27*J101+'CAFCO 400 '!$D$28)*U101)+('CAFCO 400 '!$D$29*(J101^2)+'CAFCO 400 '!$D$30*J101+'CAFCO 400 '!$D$31)),0),0)+IF(AND(L101="Cafco 300",J101&gt;=95,J101&lt;=240,C101="Cj",I101=90),VLOOKUP(T101,'CAFCO 300 IDIEM TABLAS'!$B$4:$D$23,2,FALSE),0)+IF(AND(L101="Cafco 300",J101&gt;=95,J101&lt;=240,C101="Cj",I101=120),VLOOKUP(T101,'CAFCO 300 IDIEM TABLAS'!$B$4:$D$23,3,FALSE),0)+IF(AND(L101="Cafco 300",J101&gt;=95,J101&lt;=400,G101=3,C101="IN",I101=90),VLOOKUP(T101,'CAFCO 300 IDIEM TABLAS'!$F$4:$H$35,2,FALSE),0)+IF(AND(L101="Cafco 300",J101&gt;=95,J101&lt;=400,G101=3,C101="IN",I101=120),VLOOKUP(T101,'CAFCO 300 IDIEM TABLAS'!$F$4:$H$35,3,FALSE),0)+IF(AND(L101="Cafco 300",J101&gt;=95,J101&lt;=450,G101=4,C101="IN",I101=90),VLOOKUP(T101,'CAFCO 300 IDIEM TABLAS'!$J$4:$L$40,2,FALSE),0)+IF(AND(L101="Cafco 300",J101&gt;=95,J101&lt;=450,G101=4,C101="IN",I101=120),VLOOKUP(T101,'CAFCO 300 IDIEM TABLAS'!$J$4:$L$40,3,FALSE),0)+IF(AND(M101="Ensayo Idiem",L101="Cafco 400",C101="IN",G101=4,I101=90),VLOOKUP(T101,'CAFCO 400 ENSAYO'!$B$7:$D$43,2,FALSE),0)+IF(AND(M101="Ensayo Idiem",L101="Cafco 400",C101="IN",G101=4,I101=120),VLOOKUP(T101,'CAFCO 400 ENSAYO'!$B$7:$D$43,3,FALSE),0)</f>
        <v>0</v>
      </c>
      <c r="O101" s="96">
        <f t="shared" si="8"/>
        <v>0</v>
      </c>
      <c r="P101" s="95" t="str">
        <f t="shared" si="9"/>
        <v>NO CERT.</v>
      </c>
      <c r="Q101" s="95" t="str">
        <f t="shared" si="10"/>
        <v>NO CERT.</v>
      </c>
      <c r="R101" s="95" t="str">
        <f t="shared" si="11"/>
        <v>NO CERT.</v>
      </c>
      <c r="S101" s="95" t="e">
        <f t="shared" si="6"/>
        <v>#N/A</v>
      </c>
      <c r="T101" s="119" t="e">
        <f>+IF(J101=LOOKUP(J101,'CAFCO 300 IDIEM TABLAS'!$J$4:$J$40),'CALCULO MORTERO'!J101,MROUND('CALCULO MORTERO'!J101,10))</f>
        <v>#N/A</v>
      </c>
      <c r="U101" s="118">
        <f t="shared" si="7"/>
        <v>0</v>
      </c>
      <c r="Y101" s="4"/>
      <c r="Z101" s="4"/>
      <c r="AA101" s="4"/>
    </row>
    <row r="102" spans="1:27" ht="15.6" customHeight="1" x14ac:dyDescent="0.25">
      <c r="A102" s="118">
        <f>+CUBICACION!D101</f>
        <v>0</v>
      </c>
      <c r="B102" s="819">
        <f>+CUBICACION!E101</f>
        <v>0</v>
      </c>
      <c r="C102" s="675">
        <f>+CUBICACION!F101</f>
        <v>0</v>
      </c>
      <c r="D102" s="118"/>
      <c r="E102" s="118"/>
      <c r="F102" s="820"/>
      <c r="G102" s="675">
        <f>+CUBICACION!J101</f>
        <v>4</v>
      </c>
      <c r="H102" s="118"/>
      <c r="I102" s="821">
        <f>+CUBICACION!L101</f>
        <v>0</v>
      </c>
      <c r="J102" s="64">
        <f>+CUBICACION!M101</f>
        <v>0</v>
      </c>
      <c r="K102" s="822" t="str">
        <f>+CUBICACION!N101</f>
        <v/>
      </c>
      <c r="L102" s="118">
        <f>+CUBICACION!O101</f>
        <v>0</v>
      </c>
      <c r="M102" s="823" t="str">
        <f>+CUBICACION!P101</f>
        <v>Software Idiem</v>
      </c>
      <c r="N102" s="902">
        <f>ROUND(IF(AND(L102="Blaze Shield II",M102="Software Idiem",C102="IN",G102=4),((('BLAZE SHIELD II'!$D$4*('CALCULO MORTERO'!I102^2)+'BLAZE SHIELD II'!$D$5*'CALCULO MORTERO'!I102+'BLAZE SHIELD II'!$D$6)*LN(J102))+('BLAZE SHIELD II'!$D$7*('CALCULO MORTERO'!I102^2)+'BLAZE SHIELD II'!$D$8*'CALCULO MORTERO'!I102+'BLAZE SHIELD II'!$D$9)),0)+IF(AND(L102="Blaze Shield II",M102="Software Idiem",C102="Cj"),((('BLAZE SHIELD II'!$H$4*('CALCULO MORTERO'!I102^2)+'BLAZE SHIELD II'!$H$5*'CALCULO MORTERO'!I102+'BLAZE SHIELD II'!$H$6)*LN(J102))+('BLAZE SHIELD II'!$H$7*('CALCULO MORTERO'!I102^2)+'BLAZE SHIELD II'!$H$8*'CALCULO MORTERO'!I102+'BLAZE SHIELD II'!$H$9)),0)+IF(AND(L102="Blaze Shield II",M102="Software Idiem",C102="C"),((('BLAZE SHIELD II'!$L$4*('CALCULO MORTERO'!I102^2)+'BLAZE SHIELD II'!$L$5*'CALCULO MORTERO'!I102+'BLAZE SHIELD II'!$L$6)*LN(J102))+('BLAZE SHIELD II'!$L$7*('CALCULO MORTERO'!I102^2)+'BLAZE SHIELD II'!$L$8*'CALCULO MORTERO'!I102+'BLAZE SHIELD II'!$L$9)),0)+IF(AND(L102="Blaze Shield II",M102="Software Idiem",C102="L"),((('BLAZE SHIELD II'!$L$4*('CALCULO MORTERO'!I102^2)+'BLAZE SHIELD II'!$L$5*'CALCULO MORTERO'!I102+'BLAZE SHIELD II'!$L$6)*LN(J102))+('BLAZE SHIELD II'!$L$7*('CALCULO MORTERO'!I102^2)+'BLAZE SHIELD II'!$L$8*'CALCULO MORTERO'!I102+'BLAZE SHIELD II'!$L$9)),0)+IF(AND(L102="Blaze Shield II",M102="Software Idiem",C102="IN",G102=3),((('BLAZE SHIELD II'!$H$14*('CALCULO MORTERO'!I102^2)+'BLAZE SHIELD II'!$H$15*'CALCULO MORTERO'!I102+'BLAZE SHIELD II'!$H$16)*LN(J102))+('BLAZE SHIELD II'!$H$17*('CALCULO MORTERO'!I102^2)+'BLAZE SHIELD II'!$H$18*'CALCULO MORTERO'!I102+'BLAZE SHIELD II'!$H$19)),0),0)+ROUND(IF(AND(L102="Cafco 400",M102="Software Idiem",C102="IN",G102=4),((('CAFCO 400 '!$H$7*(J102^4)+'CAFCO 400 '!$H$8*(J102^3)+'CAFCO 400 '!$H$9*(J102^2)+'CAFCO 400 '!$H$10*J102+'CAFCO 400 '!$H$11)*U102^2)+(('CAFCO 400 '!$H$12*(J102^3)+'CAFCO 400 '!$H$13*(J102^2)+'CAFCO 400 '!$H$14*J102+'CAFCO 400 '!$H$15)*U102)+('CAFCO 400 '!$H$16*(J102^2)+'CAFCO 400 '!$H$17*J102+'CAFCO 400 '!$H$18)),0)+IF(AND(L102="Cafco 400",M102="Software Idiem",C102="Cj"),(((('CAFCO 400 '!$D$7*LN(J102)+'CAFCO 400 '!$D$8)*U102^2)+(('CAFCO 400 '!$D$9*LN(J102)+'CAFCO 400 '!$D$10)*U102)+('CAFCO 400 '!$D$11*LN(J102)+'CAFCO 400 '!$D$12))),0)+IF(AND(L102="Cafco 400",M102="Software Idiem",C102="C"),((('CAFCO 400 '!$L$7*(J102^3)+'CAFCO 400 '!$L$8*(J102^2)+'CAFCO 400 '!$L$9*J102+'CAFCO 400 '!$L$10)*U102^2)+(('CAFCO 400 '!$L$11*(J102^3)+'CAFCO 400 '!$L$12*(J102^2)+'CAFCO 400 '!$L$13*J102+'CAFCO 400 '!$L$14)*U102)+('CAFCO 400 '!$L$15*LN(J102)+'CAFCO 400 '!$L$16)),0)+IF(AND(L102="Cafco 400",M102="Software Idiem",C102="L"),((('CAFCO 400 '!$L$7*(J102^3)+'CAFCO 400 '!$L$8*(J102^2)+'CAFCO 400 '!$L$9*J102+'CAFCO 400 '!$L$10)*U102^2)+(('CAFCO 400 '!$L$11*(J102^3)+'CAFCO 400 '!$L$12*(J102^2)+'CAFCO 400 '!$L$13*J102+'CAFCO 400 '!$L$14)*U102)+('CAFCO 400 '!$L$15*LN(J102)+'CAFCO 400 '!$L$16)),0)+IF(AND(L102="Cafco 400",M102="Software Idiem",C102="IN",G102=3),((('CAFCO 400 '!$D$23*(J102^2)+'CAFCO 400 '!$D$24*(J102)+'CAFCO 400 '!$D$25)*U102^2)+(('CAFCO 400 '!$D$26*(J102^2)+'CAFCO 400 '!$D$27*J102+'CAFCO 400 '!$D$28)*U102)+('CAFCO 400 '!$D$29*(J102^2)+'CAFCO 400 '!$D$30*J102+'CAFCO 400 '!$D$31)),0),0)+IF(AND(L102="Cafco 300",J102&gt;=95,J102&lt;=240,C102="Cj",I102=90),VLOOKUP(T102,'CAFCO 300 IDIEM TABLAS'!$B$4:$D$23,2,FALSE),0)+IF(AND(L102="Cafco 300",J102&gt;=95,J102&lt;=240,C102="Cj",I102=120),VLOOKUP(T102,'CAFCO 300 IDIEM TABLAS'!$B$4:$D$23,3,FALSE),0)+IF(AND(L102="Cafco 300",J102&gt;=95,J102&lt;=400,G102=3,C102="IN",I102=90),VLOOKUP(T102,'CAFCO 300 IDIEM TABLAS'!$F$4:$H$35,2,FALSE),0)+IF(AND(L102="Cafco 300",J102&gt;=95,J102&lt;=400,G102=3,C102="IN",I102=120),VLOOKUP(T102,'CAFCO 300 IDIEM TABLAS'!$F$4:$H$35,3,FALSE),0)+IF(AND(L102="Cafco 300",J102&gt;=95,J102&lt;=450,G102=4,C102="IN",I102=90),VLOOKUP(T102,'CAFCO 300 IDIEM TABLAS'!$J$4:$L$40,2,FALSE),0)+IF(AND(L102="Cafco 300",J102&gt;=95,J102&lt;=450,G102=4,C102="IN",I102=120),VLOOKUP(T102,'CAFCO 300 IDIEM TABLAS'!$J$4:$L$40,3,FALSE),0)+IF(AND(M102="Ensayo Idiem",L102="Cafco 400",C102="IN",G102=4,I102=90),VLOOKUP(T102,'CAFCO 400 ENSAYO'!$B$7:$D$43,2,FALSE),0)+IF(AND(M102="Ensayo Idiem",L102="Cafco 400",C102="IN",G102=4,I102=120),VLOOKUP(T102,'CAFCO 400 ENSAYO'!$B$7:$D$43,3,FALSE),0)</f>
        <v>0</v>
      </c>
      <c r="O102" s="96">
        <f t="shared" si="8"/>
        <v>0</v>
      </c>
      <c r="P102" s="95" t="str">
        <f t="shared" si="9"/>
        <v>NO CERT.</v>
      </c>
      <c r="Q102" s="95" t="str">
        <f t="shared" si="10"/>
        <v>NO CERT.</v>
      </c>
      <c r="R102" s="95" t="str">
        <f t="shared" si="11"/>
        <v>NO CERT.</v>
      </c>
      <c r="S102" s="95" t="e">
        <f t="shared" si="6"/>
        <v>#N/A</v>
      </c>
      <c r="T102" s="119" t="e">
        <f>+IF(J102=LOOKUP(J102,'CAFCO 300 IDIEM TABLAS'!$J$4:$J$40),'CALCULO MORTERO'!J102,MROUND('CALCULO MORTERO'!J102,10))</f>
        <v>#N/A</v>
      </c>
      <c r="U102" s="118">
        <f t="shared" si="7"/>
        <v>0</v>
      </c>
      <c r="Y102" s="4"/>
      <c r="Z102" s="4"/>
      <c r="AA102" s="4"/>
    </row>
    <row r="103" spans="1:27" x14ac:dyDescent="0.25">
      <c r="A103" s="118">
        <f>+CUBICACION!D102</f>
        <v>0</v>
      </c>
      <c r="B103" s="819">
        <f>+CUBICACION!E102</f>
        <v>0</v>
      </c>
      <c r="C103" s="675">
        <f>+CUBICACION!F102</f>
        <v>0</v>
      </c>
      <c r="D103" s="118"/>
      <c r="E103" s="118"/>
      <c r="F103" s="820"/>
      <c r="G103" s="675">
        <f>+CUBICACION!J102</f>
        <v>4</v>
      </c>
      <c r="H103" s="118"/>
      <c r="I103" s="821">
        <f>+CUBICACION!L102</f>
        <v>0</v>
      </c>
      <c r="J103" s="64">
        <f>+CUBICACION!M102</f>
        <v>0</v>
      </c>
      <c r="K103" s="822" t="str">
        <f>+CUBICACION!N102</f>
        <v/>
      </c>
      <c r="L103" s="118">
        <f>+CUBICACION!O102</f>
        <v>0</v>
      </c>
      <c r="M103" s="823" t="str">
        <f>+CUBICACION!P102</f>
        <v>Software Idiem</v>
      </c>
      <c r="N103" s="902">
        <f>ROUND(IF(AND(L103="Blaze Shield II",M103="Software Idiem",C103="IN",G103=4),((('BLAZE SHIELD II'!$D$4*('CALCULO MORTERO'!I103^2)+'BLAZE SHIELD II'!$D$5*'CALCULO MORTERO'!I103+'BLAZE SHIELD II'!$D$6)*LN(J103))+('BLAZE SHIELD II'!$D$7*('CALCULO MORTERO'!I103^2)+'BLAZE SHIELD II'!$D$8*'CALCULO MORTERO'!I103+'BLAZE SHIELD II'!$D$9)),0)+IF(AND(L103="Blaze Shield II",M103="Software Idiem",C103="Cj"),((('BLAZE SHIELD II'!$H$4*('CALCULO MORTERO'!I103^2)+'BLAZE SHIELD II'!$H$5*'CALCULO MORTERO'!I103+'BLAZE SHIELD II'!$H$6)*LN(J103))+('BLAZE SHIELD II'!$H$7*('CALCULO MORTERO'!I103^2)+'BLAZE SHIELD II'!$H$8*'CALCULO MORTERO'!I103+'BLAZE SHIELD II'!$H$9)),0)+IF(AND(L103="Blaze Shield II",M103="Software Idiem",C103="C"),((('BLAZE SHIELD II'!$L$4*('CALCULO MORTERO'!I103^2)+'BLAZE SHIELD II'!$L$5*'CALCULO MORTERO'!I103+'BLAZE SHIELD II'!$L$6)*LN(J103))+('BLAZE SHIELD II'!$L$7*('CALCULO MORTERO'!I103^2)+'BLAZE SHIELD II'!$L$8*'CALCULO MORTERO'!I103+'BLAZE SHIELD II'!$L$9)),0)+IF(AND(L103="Blaze Shield II",M103="Software Idiem",C103="L"),((('BLAZE SHIELD II'!$L$4*('CALCULO MORTERO'!I103^2)+'BLAZE SHIELD II'!$L$5*'CALCULO MORTERO'!I103+'BLAZE SHIELD II'!$L$6)*LN(J103))+('BLAZE SHIELD II'!$L$7*('CALCULO MORTERO'!I103^2)+'BLAZE SHIELD II'!$L$8*'CALCULO MORTERO'!I103+'BLAZE SHIELD II'!$L$9)),0)+IF(AND(L103="Blaze Shield II",M103="Software Idiem",C103="IN",G103=3),((('BLAZE SHIELD II'!$H$14*('CALCULO MORTERO'!I103^2)+'BLAZE SHIELD II'!$H$15*'CALCULO MORTERO'!I103+'BLAZE SHIELD II'!$H$16)*LN(J103))+('BLAZE SHIELD II'!$H$17*('CALCULO MORTERO'!I103^2)+'BLAZE SHIELD II'!$H$18*'CALCULO MORTERO'!I103+'BLAZE SHIELD II'!$H$19)),0),0)+ROUND(IF(AND(L103="Cafco 400",M103="Software Idiem",C103="IN",G103=4),((('CAFCO 400 '!$H$7*(J103^4)+'CAFCO 400 '!$H$8*(J103^3)+'CAFCO 400 '!$H$9*(J103^2)+'CAFCO 400 '!$H$10*J103+'CAFCO 400 '!$H$11)*U103^2)+(('CAFCO 400 '!$H$12*(J103^3)+'CAFCO 400 '!$H$13*(J103^2)+'CAFCO 400 '!$H$14*J103+'CAFCO 400 '!$H$15)*U103)+('CAFCO 400 '!$H$16*(J103^2)+'CAFCO 400 '!$H$17*J103+'CAFCO 400 '!$H$18)),0)+IF(AND(L103="Cafco 400",M103="Software Idiem",C103="Cj"),(((('CAFCO 400 '!$D$7*LN(J103)+'CAFCO 400 '!$D$8)*U103^2)+(('CAFCO 400 '!$D$9*LN(J103)+'CAFCO 400 '!$D$10)*U103)+('CAFCO 400 '!$D$11*LN(J103)+'CAFCO 400 '!$D$12))),0)+IF(AND(L103="Cafco 400",M103="Software Idiem",C103="C"),((('CAFCO 400 '!$L$7*(J103^3)+'CAFCO 400 '!$L$8*(J103^2)+'CAFCO 400 '!$L$9*J103+'CAFCO 400 '!$L$10)*U103^2)+(('CAFCO 400 '!$L$11*(J103^3)+'CAFCO 400 '!$L$12*(J103^2)+'CAFCO 400 '!$L$13*J103+'CAFCO 400 '!$L$14)*U103)+('CAFCO 400 '!$L$15*LN(J103)+'CAFCO 400 '!$L$16)),0)+IF(AND(L103="Cafco 400",M103="Software Idiem",C103="L"),((('CAFCO 400 '!$L$7*(J103^3)+'CAFCO 400 '!$L$8*(J103^2)+'CAFCO 400 '!$L$9*J103+'CAFCO 400 '!$L$10)*U103^2)+(('CAFCO 400 '!$L$11*(J103^3)+'CAFCO 400 '!$L$12*(J103^2)+'CAFCO 400 '!$L$13*J103+'CAFCO 400 '!$L$14)*U103)+('CAFCO 400 '!$L$15*LN(J103)+'CAFCO 400 '!$L$16)),0)+IF(AND(L103="Cafco 400",M103="Software Idiem",C103="IN",G103=3),((('CAFCO 400 '!$D$23*(J103^2)+'CAFCO 400 '!$D$24*(J103)+'CAFCO 400 '!$D$25)*U103^2)+(('CAFCO 400 '!$D$26*(J103^2)+'CAFCO 400 '!$D$27*J103+'CAFCO 400 '!$D$28)*U103)+('CAFCO 400 '!$D$29*(J103^2)+'CAFCO 400 '!$D$30*J103+'CAFCO 400 '!$D$31)),0),0)+IF(AND(L103="Cafco 300",J103&gt;=95,J103&lt;=240,C103="Cj",I103=90),VLOOKUP(T103,'CAFCO 300 IDIEM TABLAS'!$B$4:$D$23,2,FALSE),0)+IF(AND(L103="Cafco 300",J103&gt;=95,J103&lt;=240,C103="Cj",I103=120),VLOOKUP(T103,'CAFCO 300 IDIEM TABLAS'!$B$4:$D$23,3,FALSE),0)+IF(AND(L103="Cafco 300",J103&gt;=95,J103&lt;=400,G103=3,C103="IN",I103=90),VLOOKUP(T103,'CAFCO 300 IDIEM TABLAS'!$F$4:$H$35,2,FALSE),0)+IF(AND(L103="Cafco 300",J103&gt;=95,J103&lt;=400,G103=3,C103="IN",I103=120),VLOOKUP(T103,'CAFCO 300 IDIEM TABLAS'!$F$4:$H$35,3,FALSE),0)+IF(AND(L103="Cafco 300",J103&gt;=95,J103&lt;=450,G103=4,C103="IN",I103=90),VLOOKUP(T103,'CAFCO 300 IDIEM TABLAS'!$J$4:$L$40,2,FALSE),0)+IF(AND(L103="Cafco 300",J103&gt;=95,J103&lt;=450,G103=4,C103="IN",I103=120),VLOOKUP(T103,'CAFCO 300 IDIEM TABLAS'!$J$4:$L$40,3,FALSE),0)+IF(AND(M103="Ensayo Idiem",L103="Cafco 400",C103="IN",G103=4,I103=90),VLOOKUP(T103,'CAFCO 400 ENSAYO'!$B$7:$D$43,2,FALSE),0)+IF(AND(M103="Ensayo Idiem",L103="Cafco 400",C103="IN",G103=4,I103=120),VLOOKUP(T103,'CAFCO 400 ENSAYO'!$B$7:$D$43,3,FALSE),0)</f>
        <v>0</v>
      </c>
      <c r="O103" s="96">
        <f t="shared" si="8"/>
        <v>0</v>
      </c>
      <c r="P103" s="95" t="str">
        <f t="shared" si="9"/>
        <v>NO CERT.</v>
      </c>
      <c r="Q103" s="95" t="str">
        <f t="shared" si="10"/>
        <v>NO CERT.</v>
      </c>
      <c r="R103" s="95" t="str">
        <f t="shared" si="11"/>
        <v>NO CERT.</v>
      </c>
      <c r="S103" s="95" t="e">
        <f t="shared" si="6"/>
        <v>#N/A</v>
      </c>
      <c r="T103" s="119" t="e">
        <f>+IF(J103=LOOKUP(J103,'CAFCO 300 IDIEM TABLAS'!$J$4:$J$40),'CALCULO MORTERO'!J103,MROUND('CALCULO MORTERO'!J103,10))</f>
        <v>#N/A</v>
      </c>
      <c r="U103" s="118">
        <f t="shared" si="7"/>
        <v>0</v>
      </c>
      <c r="Y103" s="4"/>
      <c r="Z103" s="4"/>
      <c r="AA103" s="4"/>
    </row>
    <row r="104" spans="1:27" ht="15.6" customHeight="1" x14ac:dyDescent="0.25">
      <c r="A104" s="118">
        <f>+CUBICACION!D103</f>
        <v>0</v>
      </c>
      <c r="B104" s="819">
        <f>+CUBICACION!E103</f>
        <v>0</v>
      </c>
      <c r="C104" s="675">
        <f>+CUBICACION!F103</f>
        <v>0</v>
      </c>
      <c r="D104" s="118"/>
      <c r="E104" s="118"/>
      <c r="F104" s="820"/>
      <c r="G104" s="675">
        <f>+CUBICACION!J103</f>
        <v>4</v>
      </c>
      <c r="H104" s="118"/>
      <c r="I104" s="821">
        <f>+CUBICACION!L103</f>
        <v>0</v>
      </c>
      <c r="J104" s="64">
        <f>+CUBICACION!M103</f>
        <v>0</v>
      </c>
      <c r="K104" s="822" t="str">
        <f>+CUBICACION!N103</f>
        <v/>
      </c>
      <c r="L104" s="118">
        <f>+CUBICACION!O103</f>
        <v>0</v>
      </c>
      <c r="M104" s="823" t="str">
        <f>+CUBICACION!P103</f>
        <v>Software Idiem</v>
      </c>
      <c r="N104" s="902">
        <f>ROUND(IF(AND(L104="Blaze Shield II",M104="Software Idiem",C104="IN",G104=4),((('BLAZE SHIELD II'!$D$4*('CALCULO MORTERO'!I104^2)+'BLAZE SHIELD II'!$D$5*'CALCULO MORTERO'!I104+'BLAZE SHIELD II'!$D$6)*LN(J104))+('BLAZE SHIELD II'!$D$7*('CALCULO MORTERO'!I104^2)+'BLAZE SHIELD II'!$D$8*'CALCULO MORTERO'!I104+'BLAZE SHIELD II'!$D$9)),0)+IF(AND(L104="Blaze Shield II",M104="Software Idiem",C104="Cj"),((('BLAZE SHIELD II'!$H$4*('CALCULO MORTERO'!I104^2)+'BLAZE SHIELD II'!$H$5*'CALCULO MORTERO'!I104+'BLAZE SHIELD II'!$H$6)*LN(J104))+('BLAZE SHIELD II'!$H$7*('CALCULO MORTERO'!I104^2)+'BLAZE SHIELD II'!$H$8*'CALCULO MORTERO'!I104+'BLAZE SHIELD II'!$H$9)),0)+IF(AND(L104="Blaze Shield II",M104="Software Idiem",C104="C"),((('BLAZE SHIELD II'!$L$4*('CALCULO MORTERO'!I104^2)+'BLAZE SHIELD II'!$L$5*'CALCULO MORTERO'!I104+'BLAZE SHIELD II'!$L$6)*LN(J104))+('BLAZE SHIELD II'!$L$7*('CALCULO MORTERO'!I104^2)+'BLAZE SHIELD II'!$L$8*'CALCULO MORTERO'!I104+'BLAZE SHIELD II'!$L$9)),0)+IF(AND(L104="Blaze Shield II",M104="Software Idiem",C104="L"),((('BLAZE SHIELD II'!$L$4*('CALCULO MORTERO'!I104^2)+'BLAZE SHIELD II'!$L$5*'CALCULO MORTERO'!I104+'BLAZE SHIELD II'!$L$6)*LN(J104))+('BLAZE SHIELD II'!$L$7*('CALCULO MORTERO'!I104^2)+'BLAZE SHIELD II'!$L$8*'CALCULO MORTERO'!I104+'BLAZE SHIELD II'!$L$9)),0)+IF(AND(L104="Blaze Shield II",M104="Software Idiem",C104="IN",G104=3),((('BLAZE SHIELD II'!$H$14*('CALCULO MORTERO'!I104^2)+'BLAZE SHIELD II'!$H$15*'CALCULO MORTERO'!I104+'BLAZE SHIELD II'!$H$16)*LN(J104))+('BLAZE SHIELD II'!$H$17*('CALCULO MORTERO'!I104^2)+'BLAZE SHIELD II'!$H$18*'CALCULO MORTERO'!I104+'BLAZE SHIELD II'!$H$19)),0),0)+ROUND(IF(AND(L104="Cafco 400",M104="Software Idiem",C104="IN",G104=4),((('CAFCO 400 '!$H$7*(J104^4)+'CAFCO 400 '!$H$8*(J104^3)+'CAFCO 400 '!$H$9*(J104^2)+'CAFCO 400 '!$H$10*J104+'CAFCO 400 '!$H$11)*U104^2)+(('CAFCO 400 '!$H$12*(J104^3)+'CAFCO 400 '!$H$13*(J104^2)+'CAFCO 400 '!$H$14*J104+'CAFCO 400 '!$H$15)*U104)+('CAFCO 400 '!$H$16*(J104^2)+'CAFCO 400 '!$H$17*J104+'CAFCO 400 '!$H$18)),0)+IF(AND(L104="Cafco 400",M104="Software Idiem",C104="Cj"),(((('CAFCO 400 '!$D$7*LN(J104)+'CAFCO 400 '!$D$8)*U104^2)+(('CAFCO 400 '!$D$9*LN(J104)+'CAFCO 400 '!$D$10)*U104)+('CAFCO 400 '!$D$11*LN(J104)+'CAFCO 400 '!$D$12))),0)+IF(AND(L104="Cafco 400",M104="Software Idiem",C104="C"),((('CAFCO 400 '!$L$7*(J104^3)+'CAFCO 400 '!$L$8*(J104^2)+'CAFCO 400 '!$L$9*J104+'CAFCO 400 '!$L$10)*U104^2)+(('CAFCO 400 '!$L$11*(J104^3)+'CAFCO 400 '!$L$12*(J104^2)+'CAFCO 400 '!$L$13*J104+'CAFCO 400 '!$L$14)*U104)+('CAFCO 400 '!$L$15*LN(J104)+'CAFCO 400 '!$L$16)),0)+IF(AND(L104="Cafco 400",M104="Software Idiem",C104="L"),((('CAFCO 400 '!$L$7*(J104^3)+'CAFCO 400 '!$L$8*(J104^2)+'CAFCO 400 '!$L$9*J104+'CAFCO 400 '!$L$10)*U104^2)+(('CAFCO 400 '!$L$11*(J104^3)+'CAFCO 400 '!$L$12*(J104^2)+'CAFCO 400 '!$L$13*J104+'CAFCO 400 '!$L$14)*U104)+('CAFCO 400 '!$L$15*LN(J104)+'CAFCO 400 '!$L$16)),0)+IF(AND(L104="Cafco 400",M104="Software Idiem",C104="IN",G104=3),((('CAFCO 400 '!$D$23*(J104^2)+'CAFCO 400 '!$D$24*(J104)+'CAFCO 400 '!$D$25)*U104^2)+(('CAFCO 400 '!$D$26*(J104^2)+'CAFCO 400 '!$D$27*J104+'CAFCO 400 '!$D$28)*U104)+('CAFCO 400 '!$D$29*(J104^2)+'CAFCO 400 '!$D$30*J104+'CAFCO 400 '!$D$31)),0),0)+IF(AND(L104="Cafco 300",J104&gt;=95,J104&lt;=240,C104="Cj",I104=90),VLOOKUP(T104,'CAFCO 300 IDIEM TABLAS'!$B$4:$D$23,2,FALSE),0)+IF(AND(L104="Cafco 300",J104&gt;=95,J104&lt;=240,C104="Cj",I104=120),VLOOKUP(T104,'CAFCO 300 IDIEM TABLAS'!$B$4:$D$23,3,FALSE),0)+IF(AND(L104="Cafco 300",J104&gt;=95,J104&lt;=400,G104=3,C104="IN",I104=90),VLOOKUP(T104,'CAFCO 300 IDIEM TABLAS'!$F$4:$H$35,2,FALSE),0)+IF(AND(L104="Cafco 300",J104&gt;=95,J104&lt;=400,G104=3,C104="IN",I104=120),VLOOKUP(T104,'CAFCO 300 IDIEM TABLAS'!$F$4:$H$35,3,FALSE),0)+IF(AND(L104="Cafco 300",J104&gt;=95,J104&lt;=450,G104=4,C104="IN",I104=90),VLOOKUP(T104,'CAFCO 300 IDIEM TABLAS'!$J$4:$L$40,2,FALSE),0)+IF(AND(L104="Cafco 300",J104&gt;=95,J104&lt;=450,G104=4,C104="IN",I104=120),VLOOKUP(T104,'CAFCO 300 IDIEM TABLAS'!$J$4:$L$40,3,FALSE),0)+IF(AND(M104="Ensayo Idiem",L104="Cafco 400",C104="IN",G104=4,I104=90),VLOOKUP(T104,'CAFCO 400 ENSAYO'!$B$7:$D$43,2,FALSE),0)+IF(AND(M104="Ensayo Idiem",L104="Cafco 400",C104="IN",G104=4,I104=120),VLOOKUP(T104,'CAFCO 400 ENSAYO'!$B$7:$D$43,3,FALSE),0)</f>
        <v>0</v>
      </c>
      <c r="O104" s="96">
        <f t="shared" si="8"/>
        <v>0</v>
      </c>
      <c r="P104" s="95" t="str">
        <f t="shared" si="9"/>
        <v>NO CERT.</v>
      </c>
      <c r="Q104" s="95" t="str">
        <f t="shared" si="10"/>
        <v>NO CERT.</v>
      </c>
      <c r="R104" s="95" t="str">
        <f t="shared" si="11"/>
        <v>NO CERT.</v>
      </c>
      <c r="S104" s="95" t="e">
        <f t="shared" si="6"/>
        <v>#N/A</v>
      </c>
      <c r="T104" s="119" t="e">
        <f>+IF(J104=LOOKUP(J104,'CAFCO 300 IDIEM TABLAS'!$J$4:$J$40),'CALCULO MORTERO'!J104,MROUND('CALCULO MORTERO'!J104,10))</f>
        <v>#N/A</v>
      </c>
      <c r="U104" s="118">
        <f t="shared" si="7"/>
        <v>0</v>
      </c>
      <c r="Y104" s="4"/>
      <c r="Z104" s="4"/>
      <c r="AA104" s="4"/>
    </row>
    <row r="105" spans="1:27" x14ac:dyDescent="0.25">
      <c r="A105" s="118">
        <f>+CUBICACION!D104</f>
        <v>0</v>
      </c>
      <c r="B105" s="819">
        <f>+CUBICACION!E104</f>
        <v>0</v>
      </c>
      <c r="C105" s="675">
        <f>+CUBICACION!F104</f>
        <v>0</v>
      </c>
      <c r="D105" s="118"/>
      <c r="E105" s="118"/>
      <c r="F105" s="820"/>
      <c r="G105" s="675">
        <f>+CUBICACION!J104</f>
        <v>4</v>
      </c>
      <c r="H105" s="118"/>
      <c r="I105" s="821">
        <f>+CUBICACION!L104</f>
        <v>0</v>
      </c>
      <c r="J105" s="64">
        <f>+CUBICACION!M104</f>
        <v>0</v>
      </c>
      <c r="K105" s="822" t="str">
        <f>+CUBICACION!N104</f>
        <v/>
      </c>
      <c r="L105" s="118">
        <f>+CUBICACION!O104</f>
        <v>0</v>
      </c>
      <c r="M105" s="823" t="str">
        <f>+CUBICACION!P104</f>
        <v>Software Idiem</v>
      </c>
      <c r="N105" s="902">
        <f>ROUND(IF(AND(L105="Blaze Shield II",M105="Software Idiem",C105="IN",G105=4),((('BLAZE SHIELD II'!$D$4*('CALCULO MORTERO'!I105^2)+'BLAZE SHIELD II'!$D$5*'CALCULO MORTERO'!I105+'BLAZE SHIELD II'!$D$6)*LN(J105))+('BLAZE SHIELD II'!$D$7*('CALCULO MORTERO'!I105^2)+'BLAZE SHIELD II'!$D$8*'CALCULO MORTERO'!I105+'BLAZE SHIELD II'!$D$9)),0)+IF(AND(L105="Blaze Shield II",M105="Software Idiem",C105="Cj"),((('BLAZE SHIELD II'!$H$4*('CALCULO MORTERO'!I105^2)+'BLAZE SHIELD II'!$H$5*'CALCULO MORTERO'!I105+'BLAZE SHIELD II'!$H$6)*LN(J105))+('BLAZE SHIELD II'!$H$7*('CALCULO MORTERO'!I105^2)+'BLAZE SHIELD II'!$H$8*'CALCULO MORTERO'!I105+'BLAZE SHIELD II'!$H$9)),0)+IF(AND(L105="Blaze Shield II",M105="Software Idiem",C105="C"),((('BLAZE SHIELD II'!$L$4*('CALCULO MORTERO'!I105^2)+'BLAZE SHIELD II'!$L$5*'CALCULO MORTERO'!I105+'BLAZE SHIELD II'!$L$6)*LN(J105))+('BLAZE SHIELD II'!$L$7*('CALCULO MORTERO'!I105^2)+'BLAZE SHIELD II'!$L$8*'CALCULO MORTERO'!I105+'BLAZE SHIELD II'!$L$9)),0)+IF(AND(L105="Blaze Shield II",M105="Software Idiem",C105="L"),((('BLAZE SHIELD II'!$L$4*('CALCULO MORTERO'!I105^2)+'BLAZE SHIELD II'!$L$5*'CALCULO MORTERO'!I105+'BLAZE SHIELD II'!$L$6)*LN(J105))+('BLAZE SHIELD II'!$L$7*('CALCULO MORTERO'!I105^2)+'BLAZE SHIELD II'!$L$8*'CALCULO MORTERO'!I105+'BLAZE SHIELD II'!$L$9)),0)+IF(AND(L105="Blaze Shield II",M105="Software Idiem",C105="IN",G105=3),((('BLAZE SHIELD II'!$H$14*('CALCULO MORTERO'!I105^2)+'BLAZE SHIELD II'!$H$15*'CALCULO MORTERO'!I105+'BLAZE SHIELD II'!$H$16)*LN(J105))+('BLAZE SHIELD II'!$H$17*('CALCULO MORTERO'!I105^2)+'BLAZE SHIELD II'!$H$18*'CALCULO MORTERO'!I105+'BLAZE SHIELD II'!$H$19)),0),0)+ROUND(IF(AND(L105="Cafco 400",M105="Software Idiem",C105="IN",G105=4),((('CAFCO 400 '!$H$7*(J105^4)+'CAFCO 400 '!$H$8*(J105^3)+'CAFCO 400 '!$H$9*(J105^2)+'CAFCO 400 '!$H$10*J105+'CAFCO 400 '!$H$11)*U105^2)+(('CAFCO 400 '!$H$12*(J105^3)+'CAFCO 400 '!$H$13*(J105^2)+'CAFCO 400 '!$H$14*J105+'CAFCO 400 '!$H$15)*U105)+('CAFCO 400 '!$H$16*(J105^2)+'CAFCO 400 '!$H$17*J105+'CAFCO 400 '!$H$18)),0)+IF(AND(L105="Cafco 400",M105="Software Idiem",C105="Cj"),(((('CAFCO 400 '!$D$7*LN(J105)+'CAFCO 400 '!$D$8)*U105^2)+(('CAFCO 400 '!$D$9*LN(J105)+'CAFCO 400 '!$D$10)*U105)+('CAFCO 400 '!$D$11*LN(J105)+'CAFCO 400 '!$D$12))),0)+IF(AND(L105="Cafco 400",M105="Software Idiem",C105="C"),((('CAFCO 400 '!$L$7*(J105^3)+'CAFCO 400 '!$L$8*(J105^2)+'CAFCO 400 '!$L$9*J105+'CAFCO 400 '!$L$10)*U105^2)+(('CAFCO 400 '!$L$11*(J105^3)+'CAFCO 400 '!$L$12*(J105^2)+'CAFCO 400 '!$L$13*J105+'CAFCO 400 '!$L$14)*U105)+('CAFCO 400 '!$L$15*LN(J105)+'CAFCO 400 '!$L$16)),0)+IF(AND(L105="Cafco 400",M105="Software Idiem",C105="L"),((('CAFCO 400 '!$L$7*(J105^3)+'CAFCO 400 '!$L$8*(J105^2)+'CAFCO 400 '!$L$9*J105+'CAFCO 400 '!$L$10)*U105^2)+(('CAFCO 400 '!$L$11*(J105^3)+'CAFCO 400 '!$L$12*(J105^2)+'CAFCO 400 '!$L$13*J105+'CAFCO 400 '!$L$14)*U105)+('CAFCO 400 '!$L$15*LN(J105)+'CAFCO 400 '!$L$16)),0)+IF(AND(L105="Cafco 400",M105="Software Idiem",C105="IN",G105=3),((('CAFCO 400 '!$D$23*(J105^2)+'CAFCO 400 '!$D$24*(J105)+'CAFCO 400 '!$D$25)*U105^2)+(('CAFCO 400 '!$D$26*(J105^2)+'CAFCO 400 '!$D$27*J105+'CAFCO 400 '!$D$28)*U105)+('CAFCO 400 '!$D$29*(J105^2)+'CAFCO 400 '!$D$30*J105+'CAFCO 400 '!$D$31)),0),0)+IF(AND(L105="Cafco 300",J105&gt;=95,J105&lt;=240,C105="Cj",I105=90),VLOOKUP(T105,'CAFCO 300 IDIEM TABLAS'!$B$4:$D$23,2,FALSE),0)+IF(AND(L105="Cafco 300",J105&gt;=95,J105&lt;=240,C105="Cj",I105=120),VLOOKUP(T105,'CAFCO 300 IDIEM TABLAS'!$B$4:$D$23,3,FALSE),0)+IF(AND(L105="Cafco 300",J105&gt;=95,J105&lt;=400,G105=3,C105="IN",I105=90),VLOOKUP(T105,'CAFCO 300 IDIEM TABLAS'!$F$4:$H$35,2,FALSE),0)+IF(AND(L105="Cafco 300",J105&gt;=95,J105&lt;=400,G105=3,C105="IN",I105=120),VLOOKUP(T105,'CAFCO 300 IDIEM TABLAS'!$F$4:$H$35,3,FALSE),0)+IF(AND(L105="Cafco 300",J105&gt;=95,J105&lt;=450,G105=4,C105="IN",I105=90),VLOOKUP(T105,'CAFCO 300 IDIEM TABLAS'!$J$4:$L$40,2,FALSE),0)+IF(AND(L105="Cafco 300",J105&gt;=95,J105&lt;=450,G105=4,C105="IN",I105=120),VLOOKUP(T105,'CAFCO 300 IDIEM TABLAS'!$J$4:$L$40,3,FALSE),0)+IF(AND(M105="Ensayo Idiem",L105="Cafco 400",C105="IN",G105=4,I105=90),VLOOKUP(T105,'CAFCO 400 ENSAYO'!$B$7:$D$43,2,FALSE),0)+IF(AND(M105="Ensayo Idiem",L105="Cafco 400",C105="IN",G105=4,I105=120),VLOOKUP(T105,'CAFCO 400 ENSAYO'!$B$7:$D$43,3,FALSE),0)</f>
        <v>0</v>
      </c>
      <c r="O105" s="96">
        <f t="shared" si="8"/>
        <v>0</v>
      </c>
      <c r="P105" s="95" t="str">
        <f t="shared" si="9"/>
        <v>NO CERT.</v>
      </c>
      <c r="Q105" s="95" t="str">
        <f t="shared" si="10"/>
        <v>NO CERT.</v>
      </c>
      <c r="R105" s="95" t="str">
        <f t="shared" si="11"/>
        <v>NO CERT.</v>
      </c>
      <c r="S105" s="95" t="e">
        <f t="shared" si="6"/>
        <v>#N/A</v>
      </c>
      <c r="T105" s="119" t="e">
        <f>+IF(J105=LOOKUP(J105,'CAFCO 300 IDIEM TABLAS'!$J$4:$J$40),'CALCULO MORTERO'!J105,MROUND('CALCULO MORTERO'!J105,10))</f>
        <v>#N/A</v>
      </c>
      <c r="U105" s="118">
        <f t="shared" si="7"/>
        <v>0</v>
      </c>
      <c r="Y105" s="4"/>
      <c r="Z105" s="4"/>
      <c r="AA105" s="4"/>
    </row>
    <row r="106" spans="1:27" ht="15.6" customHeight="1" x14ac:dyDescent="0.25">
      <c r="A106" s="118">
        <f>+CUBICACION!D105</f>
        <v>0</v>
      </c>
      <c r="B106" s="819">
        <f>+CUBICACION!E105</f>
        <v>0</v>
      </c>
      <c r="C106" s="675">
        <f>+CUBICACION!F105</f>
        <v>0</v>
      </c>
      <c r="D106" s="118"/>
      <c r="E106" s="118"/>
      <c r="F106" s="820"/>
      <c r="G106" s="675">
        <f>+CUBICACION!J105</f>
        <v>4</v>
      </c>
      <c r="H106" s="118"/>
      <c r="I106" s="821">
        <f>+CUBICACION!L105</f>
        <v>0</v>
      </c>
      <c r="J106" s="64">
        <f>+CUBICACION!M105</f>
        <v>0</v>
      </c>
      <c r="K106" s="822" t="str">
        <f>+CUBICACION!N105</f>
        <v/>
      </c>
      <c r="L106" s="118">
        <f>+CUBICACION!O105</f>
        <v>0</v>
      </c>
      <c r="M106" s="823" t="str">
        <f>+CUBICACION!P105</f>
        <v>Software Idiem</v>
      </c>
      <c r="N106" s="902">
        <f>ROUND(IF(AND(L106="Blaze Shield II",M106="Software Idiem",C106="IN",G106=4),((('BLAZE SHIELD II'!$D$4*('CALCULO MORTERO'!I106^2)+'BLAZE SHIELD II'!$D$5*'CALCULO MORTERO'!I106+'BLAZE SHIELD II'!$D$6)*LN(J106))+('BLAZE SHIELD II'!$D$7*('CALCULO MORTERO'!I106^2)+'BLAZE SHIELD II'!$D$8*'CALCULO MORTERO'!I106+'BLAZE SHIELD II'!$D$9)),0)+IF(AND(L106="Blaze Shield II",M106="Software Idiem",C106="Cj"),((('BLAZE SHIELD II'!$H$4*('CALCULO MORTERO'!I106^2)+'BLAZE SHIELD II'!$H$5*'CALCULO MORTERO'!I106+'BLAZE SHIELD II'!$H$6)*LN(J106))+('BLAZE SHIELD II'!$H$7*('CALCULO MORTERO'!I106^2)+'BLAZE SHIELD II'!$H$8*'CALCULO MORTERO'!I106+'BLAZE SHIELD II'!$H$9)),0)+IF(AND(L106="Blaze Shield II",M106="Software Idiem",C106="C"),((('BLAZE SHIELD II'!$L$4*('CALCULO MORTERO'!I106^2)+'BLAZE SHIELD II'!$L$5*'CALCULO MORTERO'!I106+'BLAZE SHIELD II'!$L$6)*LN(J106))+('BLAZE SHIELD II'!$L$7*('CALCULO MORTERO'!I106^2)+'BLAZE SHIELD II'!$L$8*'CALCULO MORTERO'!I106+'BLAZE SHIELD II'!$L$9)),0)+IF(AND(L106="Blaze Shield II",M106="Software Idiem",C106="L"),((('BLAZE SHIELD II'!$L$4*('CALCULO MORTERO'!I106^2)+'BLAZE SHIELD II'!$L$5*'CALCULO MORTERO'!I106+'BLAZE SHIELD II'!$L$6)*LN(J106))+('BLAZE SHIELD II'!$L$7*('CALCULO MORTERO'!I106^2)+'BLAZE SHIELD II'!$L$8*'CALCULO MORTERO'!I106+'BLAZE SHIELD II'!$L$9)),0)+IF(AND(L106="Blaze Shield II",M106="Software Idiem",C106="IN",G106=3),((('BLAZE SHIELD II'!$H$14*('CALCULO MORTERO'!I106^2)+'BLAZE SHIELD II'!$H$15*'CALCULO MORTERO'!I106+'BLAZE SHIELD II'!$H$16)*LN(J106))+('BLAZE SHIELD II'!$H$17*('CALCULO MORTERO'!I106^2)+'BLAZE SHIELD II'!$H$18*'CALCULO MORTERO'!I106+'BLAZE SHIELD II'!$H$19)),0),0)+ROUND(IF(AND(L106="Cafco 400",M106="Software Idiem",C106="IN",G106=4),((('CAFCO 400 '!$H$7*(J106^4)+'CAFCO 400 '!$H$8*(J106^3)+'CAFCO 400 '!$H$9*(J106^2)+'CAFCO 400 '!$H$10*J106+'CAFCO 400 '!$H$11)*U106^2)+(('CAFCO 400 '!$H$12*(J106^3)+'CAFCO 400 '!$H$13*(J106^2)+'CAFCO 400 '!$H$14*J106+'CAFCO 400 '!$H$15)*U106)+('CAFCO 400 '!$H$16*(J106^2)+'CAFCO 400 '!$H$17*J106+'CAFCO 400 '!$H$18)),0)+IF(AND(L106="Cafco 400",M106="Software Idiem",C106="Cj"),(((('CAFCO 400 '!$D$7*LN(J106)+'CAFCO 400 '!$D$8)*U106^2)+(('CAFCO 400 '!$D$9*LN(J106)+'CAFCO 400 '!$D$10)*U106)+('CAFCO 400 '!$D$11*LN(J106)+'CAFCO 400 '!$D$12))),0)+IF(AND(L106="Cafco 400",M106="Software Idiem",C106="C"),((('CAFCO 400 '!$L$7*(J106^3)+'CAFCO 400 '!$L$8*(J106^2)+'CAFCO 400 '!$L$9*J106+'CAFCO 400 '!$L$10)*U106^2)+(('CAFCO 400 '!$L$11*(J106^3)+'CAFCO 400 '!$L$12*(J106^2)+'CAFCO 400 '!$L$13*J106+'CAFCO 400 '!$L$14)*U106)+('CAFCO 400 '!$L$15*LN(J106)+'CAFCO 400 '!$L$16)),0)+IF(AND(L106="Cafco 400",M106="Software Idiem",C106="L"),((('CAFCO 400 '!$L$7*(J106^3)+'CAFCO 400 '!$L$8*(J106^2)+'CAFCO 400 '!$L$9*J106+'CAFCO 400 '!$L$10)*U106^2)+(('CAFCO 400 '!$L$11*(J106^3)+'CAFCO 400 '!$L$12*(J106^2)+'CAFCO 400 '!$L$13*J106+'CAFCO 400 '!$L$14)*U106)+('CAFCO 400 '!$L$15*LN(J106)+'CAFCO 400 '!$L$16)),0)+IF(AND(L106="Cafco 400",M106="Software Idiem",C106="IN",G106=3),((('CAFCO 400 '!$D$23*(J106^2)+'CAFCO 400 '!$D$24*(J106)+'CAFCO 400 '!$D$25)*U106^2)+(('CAFCO 400 '!$D$26*(J106^2)+'CAFCO 400 '!$D$27*J106+'CAFCO 400 '!$D$28)*U106)+('CAFCO 400 '!$D$29*(J106^2)+'CAFCO 400 '!$D$30*J106+'CAFCO 400 '!$D$31)),0),0)+IF(AND(L106="Cafco 300",J106&gt;=95,J106&lt;=240,C106="Cj",I106=90),VLOOKUP(T106,'CAFCO 300 IDIEM TABLAS'!$B$4:$D$23,2,FALSE),0)+IF(AND(L106="Cafco 300",J106&gt;=95,J106&lt;=240,C106="Cj",I106=120),VLOOKUP(T106,'CAFCO 300 IDIEM TABLAS'!$B$4:$D$23,3,FALSE),0)+IF(AND(L106="Cafco 300",J106&gt;=95,J106&lt;=400,G106=3,C106="IN",I106=90),VLOOKUP(T106,'CAFCO 300 IDIEM TABLAS'!$F$4:$H$35,2,FALSE),0)+IF(AND(L106="Cafco 300",J106&gt;=95,J106&lt;=400,G106=3,C106="IN",I106=120),VLOOKUP(T106,'CAFCO 300 IDIEM TABLAS'!$F$4:$H$35,3,FALSE),0)+IF(AND(L106="Cafco 300",J106&gt;=95,J106&lt;=450,G106=4,C106="IN",I106=90),VLOOKUP(T106,'CAFCO 300 IDIEM TABLAS'!$J$4:$L$40,2,FALSE),0)+IF(AND(L106="Cafco 300",J106&gt;=95,J106&lt;=450,G106=4,C106="IN",I106=120),VLOOKUP(T106,'CAFCO 300 IDIEM TABLAS'!$J$4:$L$40,3,FALSE),0)+IF(AND(M106="Ensayo Idiem",L106="Cafco 400",C106="IN",G106=4,I106=90),VLOOKUP(T106,'CAFCO 400 ENSAYO'!$B$7:$D$43,2,FALSE),0)+IF(AND(M106="Ensayo Idiem",L106="Cafco 400",C106="IN",G106=4,I106=120),VLOOKUP(T106,'CAFCO 400 ENSAYO'!$B$7:$D$43,3,FALSE),0)</f>
        <v>0</v>
      </c>
      <c r="O106" s="96">
        <f t="shared" si="8"/>
        <v>0</v>
      </c>
      <c r="P106" s="95" t="str">
        <f t="shared" si="9"/>
        <v>NO CERT.</v>
      </c>
      <c r="Q106" s="95" t="str">
        <f t="shared" si="10"/>
        <v>NO CERT.</v>
      </c>
      <c r="R106" s="95" t="str">
        <f t="shared" si="11"/>
        <v>NO CERT.</v>
      </c>
      <c r="S106" s="95" t="e">
        <f t="shared" si="6"/>
        <v>#N/A</v>
      </c>
      <c r="T106" s="119" t="e">
        <f>+IF(J106=LOOKUP(J106,'CAFCO 300 IDIEM TABLAS'!$J$4:$J$40),'CALCULO MORTERO'!J106,MROUND('CALCULO MORTERO'!J106,10))</f>
        <v>#N/A</v>
      </c>
      <c r="U106" s="118">
        <f t="shared" si="7"/>
        <v>0</v>
      </c>
      <c r="Y106" s="4"/>
      <c r="Z106" s="4"/>
      <c r="AA106" s="4"/>
    </row>
    <row r="107" spans="1:27" x14ac:dyDescent="0.25">
      <c r="A107" s="118">
        <f>+CUBICACION!D106</f>
        <v>0</v>
      </c>
      <c r="B107" s="819">
        <f>+CUBICACION!E106</f>
        <v>0</v>
      </c>
      <c r="C107" s="675">
        <f>+CUBICACION!F106</f>
        <v>0</v>
      </c>
      <c r="D107" s="118"/>
      <c r="E107" s="118"/>
      <c r="F107" s="820"/>
      <c r="G107" s="675">
        <f>+CUBICACION!J106</f>
        <v>4</v>
      </c>
      <c r="H107" s="118"/>
      <c r="I107" s="821">
        <f>+CUBICACION!L106</f>
        <v>0</v>
      </c>
      <c r="J107" s="64">
        <f>+CUBICACION!M106</f>
        <v>0</v>
      </c>
      <c r="K107" s="822" t="str">
        <f>+CUBICACION!N106</f>
        <v/>
      </c>
      <c r="L107" s="118">
        <f>+CUBICACION!O106</f>
        <v>0</v>
      </c>
      <c r="M107" s="823" t="str">
        <f>+CUBICACION!P106</f>
        <v>Software Idiem</v>
      </c>
      <c r="N107" s="902">
        <f>ROUND(IF(AND(L107="Blaze Shield II",M107="Software Idiem",C107="IN",G107=4),((('BLAZE SHIELD II'!$D$4*('CALCULO MORTERO'!I107^2)+'BLAZE SHIELD II'!$D$5*'CALCULO MORTERO'!I107+'BLAZE SHIELD II'!$D$6)*LN(J107))+('BLAZE SHIELD II'!$D$7*('CALCULO MORTERO'!I107^2)+'BLAZE SHIELD II'!$D$8*'CALCULO MORTERO'!I107+'BLAZE SHIELD II'!$D$9)),0)+IF(AND(L107="Blaze Shield II",M107="Software Idiem",C107="Cj"),((('BLAZE SHIELD II'!$H$4*('CALCULO MORTERO'!I107^2)+'BLAZE SHIELD II'!$H$5*'CALCULO MORTERO'!I107+'BLAZE SHIELD II'!$H$6)*LN(J107))+('BLAZE SHIELD II'!$H$7*('CALCULO MORTERO'!I107^2)+'BLAZE SHIELD II'!$H$8*'CALCULO MORTERO'!I107+'BLAZE SHIELD II'!$H$9)),0)+IF(AND(L107="Blaze Shield II",M107="Software Idiem",C107="C"),((('BLAZE SHIELD II'!$L$4*('CALCULO MORTERO'!I107^2)+'BLAZE SHIELD II'!$L$5*'CALCULO MORTERO'!I107+'BLAZE SHIELD II'!$L$6)*LN(J107))+('BLAZE SHIELD II'!$L$7*('CALCULO MORTERO'!I107^2)+'BLAZE SHIELD II'!$L$8*'CALCULO MORTERO'!I107+'BLAZE SHIELD II'!$L$9)),0)+IF(AND(L107="Blaze Shield II",M107="Software Idiem",C107="L"),((('BLAZE SHIELD II'!$L$4*('CALCULO MORTERO'!I107^2)+'BLAZE SHIELD II'!$L$5*'CALCULO MORTERO'!I107+'BLAZE SHIELD II'!$L$6)*LN(J107))+('BLAZE SHIELD II'!$L$7*('CALCULO MORTERO'!I107^2)+'BLAZE SHIELD II'!$L$8*'CALCULO MORTERO'!I107+'BLAZE SHIELD II'!$L$9)),0)+IF(AND(L107="Blaze Shield II",M107="Software Idiem",C107="IN",G107=3),((('BLAZE SHIELD II'!$H$14*('CALCULO MORTERO'!I107^2)+'BLAZE SHIELD II'!$H$15*'CALCULO MORTERO'!I107+'BLAZE SHIELD II'!$H$16)*LN(J107))+('BLAZE SHIELD II'!$H$17*('CALCULO MORTERO'!I107^2)+'BLAZE SHIELD II'!$H$18*'CALCULO MORTERO'!I107+'BLAZE SHIELD II'!$H$19)),0),0)+ROUND(IF(AND(L107="Cafco 400",M107="Software Idiem",C107="IN",G107=4),((('CAFCO 400 '!$H$7*(J107^4)+'CAFCO 400 '!$H$8*(J107^3)+'CAFCO 400 '!$H$9*(J107^2)+'CAFCO 400 '!$H$10*J107+'CAFCO 400 '!$H$11)*U107^2)+(('CAFCO 400 '!$H$12*(J107^3)+'CAFCO 400 '!$H$13*(J107^2)+'CAFCO 400 '!$H$14*J107+'CAFCO 400 '!$H$15)*U107)+('CAFCO 400 '!$H$16*(J107^2)+'CAFCO 400 '!$H$17*J107+'CAFCO 400 '!$H$18)),0)+IF(AND(L107="Cafco 400",M107="Software Idiem",C107="Cj"),(((('CAFCO 400 '!$D$7*LN(J107)+'CAFCO 400 '!$D$8)*U107^2)+(('CAFCO 400 '!$D$9*LN(J107)+'CAFCO 400 '!$D$10)*U107)+('CAFCO 400 '!$D$11*LN(J107)+'CAFCO 400 '!$D$12))),0)+IF(AND(L107="Cafco 400",M107="Software Idiem",C107="C"),((('CAFCO 400 '!$L$7*(J107^3)+'CAFCO 400 '!$L$8*(J107^2)+'CAFCO 400 '!$L$9*J107+'CAFCO 400 '!$L$10)*U107^2)+(('CAFCO 400 '!$L$11*(J107^3)+'CAFCO 400 '!$L$12*(J107^2)+'CAFCO 400 '!$L$13*J107+'CAFCO 400 '!$L$14)*U107)+('CAFCO 400 '!$L$15*LN(J107)+'CAFCO 400 '!$L$16)),0)+IF(AND(L107="Cafco 400",M107="Software Idiem",C107="L"),((('CAFCO 400 '!$L$7*(J107^3)+'CAFCO 400 '!$L$8*(J107^2)+'CAFCO 400 '!$L$9*J107+'CAFCO 400 '!$L$10)*U107^2)+(('CAFCO 400 '!$L$11*(J107^3)+'CAFCO 400 '!$L$12*(J107^2)+'CAFCO 400 '!$L$13*J107+'CAFCO 400 '!$L$14)*U107)+('CAFCO 400 '!$L$15*LN(J107)+'CAFCO 400 '!$L$16)),0)+IF(AND(L107="Cafco 400",M107="Software Idiem",C107="IN",G107=3),((('CAFCO 400 '!$D$23*(J107^2)+'CAFCO 400 '!$D$24*(J107)+'CAFCO 400 '!$D$25)*U107^2)+(('CAFCO 400 '!$D$26*(J107^2)+'CAFCO 400 '!$D$27*J107+'CAFCO 400 '!$D$28)*U107)+('CAFCO 400 '!$D$29*(J107^2)+'CAFCO 400 '!$D$30*J107+'CAFCO 400 '!$D$31)),0),0)+IF(AND(L107="Cafco 300",J107&gt;=95,J107&lt;=240,C107="Cj",I107=90),VLOOKUP(T107,'CAFCO 300 IDIEM TABLAS'!$B$4:$D$23,2,FALSE),0)+IF(AND(L107="Cafco 300",J107&gt;=95,J107&lt;=240,C107="Cj",I107=120),VLOOKUP(T107,'CAFCO 300 IDIEM TABLAS'!$B$4:$D$23,3,FALSE),0)+IF(AND(L107="Cafco 300",J107&gt;=95,J107&lt;=400,G107=3,C107="IN",I107=90),VLOOKUP(T107,'CAFCO 300 IDIEM TABLAS'!$F$4:$H$35,2,FALSE),0)+IF(AND(L107="Cafco 300",J107&gt;=95,J107&lt;=400,G107=3,C107="IN",I107=120),VLOOKUP(T107,'CAFCO 300 IDIEM TABLAS'!$F$4:$H$35,3,FALSE),0)+IF(AND(L107="Cafco 300",J107&gt;=95,J107&lt;=450,G107=4,C107="IN",I107=90),VLOOKUP(T107,'CAFCO 300 IDIEM TABLAS'!$J$4:$L$40,2,FALSE),0)+IF(AND(L107="Cafco 300",J107&gt;=95,J107&lt;=450,G107=4,C107="IN",I107=120),VLOOKUP(T107,'CAFCO 300 IDIEM TABLAS'!$J$4:$L$40,3,FALSE),0)+IF(AND(M107="Ensayo Idiem",L107="Cafco 400",C107="IN",G107=4,I107=90),VLOOKUP(T107,'CAFCO 400 ENSAYO'!$B$7:$D$43,2,FALSE),0)+IF(AND(M107="Ensayo Idiem",L107="Cafco 400",C107="IN",G107=4,I107=120),VLOOKUP(T107,'CAFCO 400 ENSAYO'!$B$7:$D$43,3,FALSE),0)</f>
        <v>0</v>
      </c>
      <c r="O107" s="96">
        <f t="shared" si="8"/>
        <v>0</v>
      </c>
      <c r="P107" s="95" t="str">
        <f t="shared" si="9"/>
        <v>NO CERT.</v>
      </c>
      <c r="Q107" s="95" t="str">
        <f t="shared" si="10"/>
        <v>NO CERT.</v>
      </c>
      <c r="R107" s="95" t="str">
        <f t="shared" si="11"/>
        <v>NO CERT.</v>
      </c>
      <c r="S107" s="95" t="e">
        <f t="shared" si="6"/>
        <v>#N/A</v>
      </c>
      <c r="T107" s="119" t="e">
        <f>+IF(J107=LOOKUP(J107,'CAFCO 300 IDIEM TABLAS'!$J$4:$J$40),'CALCULO MORTERO'!J107,MROUND('CALCULO MORTERO'!J107,10))</f>
        <v>#N/A</v>
      </c>
      <c r="U107" s="118">
        <f t="shared" si="7"/>
        <v>0</v>
      </c>
      <c r="Y107" s="4"/>
      <c r="Z107" s="4"/>
      <c r="AA107" s="4"/>
    </row>
    <row r="108" spans="1:27" ht="15.6" customHeight="1" x14ac:dyDescent="0.25">
      <c r="A108" s="118">
        <f>+CUBICACION!D107</f>
        <v>0</v>
      </c>
      <c r="B108" s="819">
        <f>+CUBICACION!E107</f>
        <v>0</v>
      </c>
      <c r="C108" s="675">
        <f>+CUBICACION!F107</f>
        <v>0</v>
      </c>
      <c r="D108" s="118"/>
      <c r="E108" s="118"/>
      <c r="F108" s="820"/>
      <c r="G108" s="675">
        <f>+CUBICACION!J107</f>
        <v>4</v>
      </c>
      <c r="H108" s="118"/>
      <c r="I108" s="821">
        <f>+CUBICACION!L107</f>
        <v>0</v>
      </c>
      <c r="J108" s="64">
        <f>+CUBICACION!M107</f>
        <v>0</v>
      </c>
      <c r="K108" s="822" t="str">
        <f>+CUBICACION!N107</f>
        <v/>
      </c>
      <c r="L108" s="118">
        <f>+CUBICACION!O107</f>
        <v>0</v>
      </c>
      <c r="M108" s="823" t="str">
        <f>+CUBICACION!P107</f>
        <v>Software Idiem</v>
      </c>
      <c r="N108" s="902">
        <f>ROUND(IF(AND(L108="Blaze Shield II",M108="Software Idiem",C108="IN",G108=4),((('BLAZE SHIELD II'!$D$4*('CALCULO MORTERO'!I108^2)+'BLAZE SHIELD II'!$D$5*'CALCULO MORTERO'!I108+'BLAZE SHIELD II'!$D$6)*LN(J108))+('BLAZE SHIELD II'!$D$7*('CALCULO MORTERO'!I108^2)+'BLAZE SHIELD II'!$D$8*'CALCULO MORTERO'!I108+'BLAZE SHIELD II'!$D$9)),0)+IF(AND(L108="Blaze Shield II",M108="Software Idiem",C108="Cj"),((('BLAZE SHIELD II'!$H$4*('CALCULO MORTERO'!I108^2)+'BLAZE SHIELD II'!$H$5*'CALCULO MORTERO'!I108+'BLAZE SHIELD II'!$H$6)*LN(J108))+('BLAZE SHIELD II'!$H$7*('CALCULO MORTERO'!I108^2)+'BLAZE SHIELD II'!$H$8*'CALCULO MORTERO'!I108+'BLAZE SHIELD II'!$H$9)),0)+IF(AND(L108="Blaze Shield II",M108="Software Idiem",C108="C"),((('BLAZE SHIELD II'!$L$4*('CALCULO MORTERO'!I108^2)+'BLAZE SHIELD II'!$L$5*'CALCULO MORTERO'!I108+'BLAZE SHIELD II'!$L$6)*LN(J108))+('BLAZE SHIELD II'!$L$7*('CALCULO MORTERO'!I108^2)+'BLAZE SHIELD II'!$L$8*'CALCULO MORTERO'!I108+'BLAZE SHIELD II'!$L$9)),0)+IF(AND(L108="Blaze Shield II",M108="Software Idiem",C108="L"),((('BLAZE SHIELD II'!$L$4*('CALCULO MORTERO'!I108^2)+'BLAZE SHIELD II'!$L$5*'CALCULO MORTERO'!I108+'BLAZE SHIELD II'!$L$6)*LN(J108))+('BLAZE SHIELD II'!$L$7*('CALCULO MORTERO'!I108^2)+'BLAZE SHIELD II'!$L$8*'CALCULO MORTERO'!I108+'BLAZE SHIELD II'!$L$9)),0)+IF(AND(L108="Blaze Shield II",M108="Software Idiem",C108="IN",G108=3),((('BLAZE SHIELD II'!$H$14*('CALCULO MORTERO'!I108^2)+'BLAZE SHIELD II'!$H$15*'CALCULO MORTERO'!I108+'BLAZE SHIELD II'!$H$16)*LN(J108))+('BLAZE SHIELD II'!$H$17*('CALCULO MORTERO'!I108^2)+'BLAZE SHIELD II'!$H$18*'CALCULO MORTERO'!I108+'BLAZE SHIELD II'!$H$19)),0),0)+ROUND(IF(AND(L108="Cafco 400",M108="Software Idiem",C108="IN",G108=4),((('CAFCO 400 '!$H$7*(J108^4)+'CAFCO 400 '!$H$8*(J108^3)+'CAFCO 400 '!$H$9*(J108^2)+'CAFCO 400 '!$H$10*J108+'CAFCO 400 '!$H$11)*U108^2)+(('CAFCO 400 '!$H$12*(J108^3)+'CAFCO 400 '!$H$13*(J108^2)+'CAFCO 400 '!$H$14*J108+'CAFCO 400 '!$H$15)*U108)+('CAFCO 400 '!$H$16*(J108^2)+'CAFCO 400 '!$H$17*J108+'CAFCO 400 '!$H$18)),0)+IF(AND(L108="Cafco 400",M108="Software Idiem",C108="Cj"),(((('CAFCO 400 '!$D$7*LN(J108)+'CAFCO 400 '!$D$8)*U108^2)+(('CAFCO 400 '!$D$9*LN(J108)+'CAFCO 400 '!$D$10)*U108)+('CAFCO 400 '!$D$11*LN(J108)+'CAFCO 400 '!$D$12))),0)+IF(AND(L108="Cafco 400",M108="Software Idiem",C108="C"),((('CAFCO 400 '!$L$7*(J108^3)+'CAFCO 400 '!$L$8*(J108^2)+'CAFCO 400 '!$L$9*J108+'CAFCO 400 '!$L$10)*U108^2)+(('CAFCO 400 '!$L$11*(J108^3)+'CAFCO 400 '!$L$12*(J108^2)+'CAFCO 400 '!$L$13*J108+'CAFCO 400 '!$L$14)*U108)+('CAFCO 400 '!$L$15*LN(J108)+'CAFCO 400 '!$L$16)),0)+IF(AND(L108="Cafco 400",M108="Software Idiem",C108="L"),((('CAFCO 400 '!$L$7*(J108^3)+'CAFCO 400 '!$L$8*(J108^2)+'CAFCO 400 '!$L$9*J108+'CAFCO 400 '!$L$10)*U108^2)+(('CAFCO 400 '!$L$11*(J108^3)+'CAFCO 400 '!$L$12*(J108^2)+'CAFCO 400 '!$L$13*J108+'CAFCO 400 '!$L$14)*U108)+('CAFCO 400 '!$L$15*LN(J108)+'CAFCO 400 '!$L$16)),0)+IF(AND(L108="Cafco 400",M108="Software Idiem",C108="IN",G108=3),((('CAFCO 400 '!$D$23*(J108^2)+'CAFCO 400 '!$D$24*(J108)+'CAFCO 400 '!$D$25)*U108^2)+(('CAFCO 400 '!$D$26*(J108^2)+'CAFCO 400 '!$D$27*J108+'CAFCO 400 '!$D$28)*U108)+('CAFCO 400 '!$D$29*(J108^2)+'CAFCO 400 '!$D$30*J108+'CAFCO 400 '!$D$31)),0),0)+IF(AND(L108="Cafco 300",J108&gt;=95,J108&lt;=240,C108="Cj",I108=90),VLOOKUP(T108,'CAFCO 300 IDIEM TABLAS'!$B$4:$D$23,2,FALSE),0)+IF(AND(L108="Cafco 300",J108&gt;=95,J108&lt;=240,C108="Cj",I108=120),VLOOKUP(T108,'CAFCO 300 IDIEM TABLAS'!$B$4:$D$23,3,FALSE),0)+IF(AND(L108="Cafco 300",J108&gt;=95,J108&lt;=400,G108=3,C108="IN",I108=90),VLOOKUP(T108,'CAFCO 300 IDIEM TABLAS'!$F$4:$H$35,2,FALSE),0)+IF(AND(L108="Cafco 300",J108&gt;=95,J108&lt;=400,G108=3,C108="IN",I108=120),VLOOKUP(T108,'CAFCO 300 IDIEM TABLAS'!$F$4:$H$35,3,FALSE),0)+IF(AND(L108="Cafco 300",J108&gt;=95,J108&lt;=450,G108=4,C108="IN",I108=90),VLOOKUP(T108,'CAFCO 300 IDIEM TABLAS'!$J$4:$L$40,2,FALSE),0)+IF(AND(L108="Cafco 300",J108&gt;=95,J108&lt;=450,G108=4,C108="IN",I108=120),VLOOKUP(T108,'CAFCO 300 IDIEM TABLAS'!$J$4:$L$40,3,FALSE),0)+IF(AND(M108="Ensayo Idiem",L108="Cafco 400",C108="IN",G108=4,I108=90),VLOOKUP(T108,'CAFCO 400 ENSAYO'!$B$7:$D$43,2,FALSE),0)+IF(AND(M108="Ensayo Idiem",L108="Cafco 400",C108="IN",G108=4,I108=120),VLOOKUP(T108,'CAFCO 400 ENSAYO'!$B$7:$D$43,3,FALSE),0)</f>
        <v>0</v>
      </c>
      <c r="O108" s="96">
        <f t="shared" si="8"/>
        <v>0</v>
      </c>
      <c r="P108" s="95" t="str">
        <f t="shared" si="9"/>
        <v>NO CERT.</v>
      </c>
      <c r="Q108" s="95" t="str">
        <f t="shared" si="10"/>
        <v>NO CERT.</v>
      </c>
      <c r="R108" s="95" t="str">
        <f t="shared" si="11"/>
        <v>NO CERT.</v>
      </c>
      <c r="S108" s="95" t="e">
        <f t="shared" si="6"/>
        <v>#N/A</v>
      </c>
      <c r="T108" s="119" t="e">
        <f>+IF(J108=LOOKUP(J108,'CAFCO 300 IDIEM TABLAS'!$J$4:$J$40),'CALCULO MORTERO'!J108,MROUND('CALCULO MORTERO'!J108,10))</f>
        <v>#N/A</v>
      </c>
      <c r="U108" s="118">
        <f t="shared" si="7"/>
        <v>0</v>
      </c>
      <c r="Y108" s="4"/>
      <c r="Z108" s="4"/>
      <c r="AA108" s="4"/>
    </row>
    <row r="109" spans="1:27" x14ac:dyDescent="0.25">
      <c r="A109" s="118">
        <f>+CUBICACION!D108</f>
        <v>0</v>
      </c>
      <c r="B109" s="819">
        <f>+CUBICACION!E108</f>
        <v>0</v>
      </c>
      <c r="C109" s="675">
        <f>+CUBICACION!F108</f>
        <v>0</v>
      </c>
      <c r="D109" s="118"/>
      <c r="E109" s="118"/>
      <c r="F109" s="820"/>
      <c r="G109" s="675">
        <f>+CUBICACION!J108</f>
        <v>4</v>
      </c>
      <c r="H109" s="118"/>
      <c r="I109" s="821">
        <f>+CUBICACION!L108</f>
        <v>0</v>
      </c>
      <c r="J109" s="64">
        <f>+CUBICACION!M108</f>
        <v>0</v>
      </c>
      <c r="K109" s="822" t="str">
        <f>+CUBICACION!N108</f>
        <v/>
      </c>
      <c r="L109" s="118">
        <f>+CUBICACION!O108</f>
        <v>0</v>
      </c>
      <c r="M109" s="823" t="str">
        <f>+CUBICACION!P108</f>
        <v>Software Idiem</v>
      </c>
      <c r="N109" s="902">
        <f>ROUND(IF(AND(L109="Blaze Shield II",M109="Software Idiem",C109="IN",G109=4),((('BLAZE SHIELD II'!$D$4*('CALCULO MORTERO'!I109^2)+'BLAZE SHIELD II'!$D$5*'CALCULO MORTERO'!I109+'BLAZE SHIELD II'!$D$6)*LN(J109))+('BLAZE SHIELD II'!$D$7*('CALCULO MORTERO'!I109^2)+'BLAZE SHIELD II'!$D$8*'CALCULO MORTERO'!I109+'BLAZE SHIELD II'!$D$9)),0)+IF(AND(L109="Blaze Shield II",M109="Software Idiem",C109="Cj"),((('BLAZE SHIELD II'!$H$4*('CALCULO MORTERO'!I109^2)+'BLAZE SHIELD II'!$H$5*'CALCULO MORTERO'!I109+'BLAZE SHIELD II'!$H$6)*LN(J109))+('BLAZE SHIELD II'!$H$7*('CALCULO MORTERO'!I109^2)+'BLAZE SHIELD II'!$H$8*'CALCULO MORTERO'!I109+'BLAZE SHIELD II'!$H$9)),0)+IF(AND(L109="Blaze Shield II",M109="Software Idiem",C109="C"),((('BLAZE SHIELD II'!$L$4*('CALCULO MORTERO'!I109^2)+'BLAZE SHIELD II'!$L$5*'CALCULO MORTERO'!I109+'BLAZE SHIELD II'!$L$6)*LN(J109))+('BLAZE SHIELD II'!$L$7*('CALCULO MORTERO'!I109^2)+'BLAZE SHIELD II'!$L$8*'CALCULO MORTERO'!I109+'BLAZE SHIELD II'!$L$9)),0)+IF(AND(L109="Blaze Shield II",M109="Software Idiem",C109="L"),((('BLAZE SHIELD II'!$L$4*('CALCULO MORTERO'!I109^2)+'BLAZE SHIELD II'!$L$5*'CALCULO MORTERO'!I109+'BLAZE SHIELD II'!$L$6)*LN(J109))+('BLAZE SHIELD II'!$L$7*('CALCULO MORTERO'!I109^2)+'BLAZE SHIELD II'!$L$8*'CALCULO MORTERO'!I109+'BLAZE SHIELD II'!$L$9)),0)+IF(AND(L109="Blaze Shield II",M109="Software Idiem",C109="IN",G109=3),((('BLAZE SHIELD II'!$H$14*('CALCULO MORTERO'!I109^2)+'BLAZE SHIELD II'!$H$15*'CALCULO MORTERO'!I109+'BLAZE SHIELD II'!$H$16)*LN(J109))+('BLAZE SHIELD II'!$H$17*('CALCULO MORTERO'!I109^2)+'BLAZE SHIELD II'!$H$18*'CALCULO MORTERO'!I109+'BLAZE SHIELD II'!$H$19)),0),0)+ROUND(IF(AND(L109="Cafco 400",M109="Software Idiem",C109="IN",G109=4),((('CAFCO 400 '!$H$7*(J109^4)+'CAFCO 400 '!$H$8*(J109^3)+'CAFCO 400 '!$H$9*(J109^2)+'CAFCO 400 '!$H$10*J109+'CAFCO 400 '!$H$11)*U109^2)+(('CAFCO 400 '!$H$12*(J109^3)+'CAFCO 400 '!$H$13*(J109^2)+'CAFCO 400 '!$H$14*J109+'CAFCO 400 '!$H$15)*U109)+('CAFCO 400 '!$H$16*(J109^2)+'CAFCO 400 '!$H$17*J109+'CAFCO 400 '!$H$18)),0)+IF(AND(L109="Cafco 400",M109="Software Idiem",C109="Cj"),(((('CAFCO 400 '!$D$7*LN(J109)+'CAFCO 400 '!$D$8)*U109^2)+(('CAFCO 400 '!$D$9*LN(J109)+'CAFCO 400 '!$D$10)*U109)+('CAFCO 400 '!$D$11*LN(J109)+'CAFCO 400 '!$D$12))),0)+IF(AND(L109="Cafco 400",M109="Software Idiem",C109="C"),((('CAFCO 400 '!$L$7*(J109^3)+'CAFCO 400 '!$L$8*(J109^2)+'CAFCO 400 '!$L$9*J109+'CAFCO 400 '!$L$10)*U109^2)+(('CAFCO 400 '!$L$11*(J109^3)+'CAFCO 400 '!$L$12*(J109^2)+'CAFCO 400 '!$L$13*J109+'CAFCO 400 '!$L$14)*U109)+('CAFCO 400 '!$L$15*LN(J109)+'CAFCO 400 '!$L$16)),0)+IF(AND(L109="Cafco 400",M109="Software Idiem",C109="L"),((('CAFCO 400 '!$L$7*(J109^3)+'CAFCO 400 '!$L$8*(J109^2)+'CAFCO 400 '!$L$9*J109+'CAFCO 400 '!$L$10)*U109^2)+(('CAFCO 400 '!$L$11*(J109^3)+'CAFCO 400 '!$L$12*(J109^2)+'CAFCO 400 '!$L$13*J109+'CAFCO 400 '!$L$14)*U109)+('CAFCO 400 '!$L$15*LN(J109)+'CAFCO 400 '!$L$16)),0)+IF(AND(L109="Cafco 400",M109="Software Idiem",C109="IN",G109=3),((('CAFCO 400 '!$D$23*(J109^2)+'CAFCO 400 '!$D$24*(J109)+'CAFCO 400 '!$D$25)*U109^2)+(('CAFCO 400 '!$D$26*(J109^2)+'CAFCO 400 '!$D$27*J109+'CAFCO 400 '!$D$28)*U109)+('CAFCO 400 '!$D$29*(J109^2)+'CAFCO 400 '!$D$30*J109+'CAFCO 400 '!$D$31)),0),0)+IF(AND(L109="Cafco 300",J109&gt;=95,J109&lt;=240,C109="Cj",I109=90),VLOOKUP(T109,'CAFCO 300 IDIEM TABLAS'!$B$4:$D$23,2,FALSE),0)+IF(AND(L109="Cafco 300",J109&gt;=95,J109&lt;=240,C109="Cj",I109=120),VLOOKUP(T109,'CAFCO 300 IDIEM TABLAS'!$B$4:$D$23,3,FALSE),0)+IF(AND(L109="Cafco 300",J109&gt;=95,J109&lt;=400,G109=3,C109="IN",I109=90),VLOOKUP(T109,'CAFCO 300 IDIEM TABLAS'!$F$4:$H$35,2,FALSE),0)+IF(AND(L109="Cafco 300",J109&gt;=95,J109&lt;=400,G109=3,C109="IN",I109=120),VLOOKUP(T109,'CAFCO 300 IDIEM TABLAS'!$F$4:$H$35,3,FALSE),0)+IF(AND(L109="Cafco 300",J109&gt;=95,J109&lt;=450,G109=4,C109="IN",I109=90),VLOOKUP(T109,'CAFCO 300 IDIEM TABLAS'!$J$4:$L$40,2,FALSE),0)+IF(AND(L109="Cafco 300",J109&gt;=95,J109&lt;=450,G109=4,C109="IN",I109=120),VLOOKUP(T109,'CAFCO 300 IDIEM TABLAS'!$J$4:$L$40,3,FALSE),0)+IF(AND(M109="Ensayo Idiem",L109="Cafco 400",C109="IN",G109=4,I109=90),VLOOKUP(T109,'CAFCO 400 ENSAYO'!$B$7:$D$43,2,FALSE),0)+IF(AND(M109="Ensayo Idiem",L109="Cafco 400",C109="IN",G109=4,I109=120),VLOOKUP(T109,'CAFCO 400 ENSAYO'!$B$7:$D$43,3,FALSE),0)</f>
        <v>0</v>
      </c>
      <c r="O109" s="96">
        <f t="shared" si="8"/>
        <v>0</v>
      </c>
      <c r="P109" s="95" t="str">
        <f t="shared" si="9"/>
        <v>NO CERT.</v>
      </c>
      <c r="Q109" s="95" t="str">
        <f t="shared" si="10"/>
        <v>NO CERT.</v>
      </c>
      <c r="R109" s="95" t="str">
        <f t="shared" si="11"/>
        <v>NO CERT.</v>
      </c>
      <c r="S109" s="95" t="e">
        <f t="shared" si="6"/>
        <v>#N/A</v>
      </c>
      <c r="T109" s="119" t="e">
        <f>+IF(J109=LOOKUP(J109,'CAFCO 300 IDIEM TABLAS'!$J$4:$J$40),'CALCULO MORTERO'!J109,MROUND('CALCULO MORTERO'!J109,10))</f>
        <v>#N/A</v>
      </c>
      <c r="U109" s="118">
        <f t="shared" si="7"/>
        <v>0</v>
      </c>
      <c r="Y109" s="4"/>
      <c r="Z109" s="4"/>
      <c r="AA109" s="4"/>
    </row>
    <row r="110" spans="1:27" ht="15.6" customHeight="1" x14ac:dyDescent="0.25">
      <c r="A110" s="118">
        <f>+CUBICACION!D109</f>
        <v>0</v>
      </c>
      <c r="B110" s="819">
        <f>+CUBICACION!E109</f>
        <v>0</v>
      </c>
      <c r="C110" s="675">
        <f>+CUBICACION!F109</f>
        <v>0</v>
      </c>
      <c r="D110" s="118"/>
      <c r="E110" s="118"/>
      <c r="F110" s="820"/>
      <c r="G110" s="675">
        <f>+CUBICACION!J109</f>
        <v>4</v>
      </c>
      <c r="H110" s="118"/>
      <c r="I110" s="821">
        <f>+CUBICACION!L109</f>
        <v>0</v>
      </c>
      <c r="J110" s="64">
        <f>+CUBICACION!M109</f>
        <v>0</v>
      </c>
      <c r="K110" s="822" t="str">
        <f>+CUBICACION!N109</f>
        <v/>
      </c>
      <c r="L110" s="118">
        <f>+CUBICACION!O109</f>
        <v>0</v>
      </c>
      <c r="M110" s="823" t="str">
        <f>+CUBICACION!P109</f>
        <v>Software Idiem</v>
      </c>
      <c r="N110" s="902">
        <f>ROUND(IF(AND(L110="Blaze Shield II",M110="Software Idiem",C110="IN",G110=4),((('BLAZE SHIELD II'!$D$4*('CALCULO MORTERO'!I110^2)+'BLAZE SHIELD II'!$D$5*'CALCULO MORTERO'!I110+'BLAZE SHIELD II'!$D$6)*LN(J110))+('BLAZE SHIELD II'!$D$7*('CALCULO MORTERO'!I110^2)+'BLAZE SHIELD II'!$D$8*'CALCULO MORTERO'!I110+'BLAZE SHIELD II'!$D$9)),0)+IF(AND(L110="Blaze Shield II",M110="Software Idiem",C110="Cj"),((('BLAZE SHIELD II'!$H$4*('CALCULO MORTERO'!I110^2)+'BLAZE SHIELD II'!$H$5*'CALCULO MORTERO'!I110+'BLAZE SHIELD II'!$H$6)*LN(J110))+('BLAZE SHIELD II'!$H$7*('CALCULO MORTERO'!I110^2)+'BLAZE SHIELD II'!$H$8*'CALCULO MORTERO'!I110+'BLAZE SHIELD II'!$H$9)),0)+IF(AND(L110="Blaze Shield II",M110="Software Idiem",C110="C"),((('BLAZE SHIELD II'!$L$4*('CALCULO MORTERO'!I110^2)+'BLAZE SHIELD II'!$L$5*'CALCULO MORTERO'!I110+'BLAZE SHIELD II'!$L$6)*LN(J110))+('BLAZE SHIELD II'!$L$7*('CALCULO MORTERO'!I110^2)+'BLAZE SHIELD II'!$L$8*'CALCULO MORTERO'!I110+'BLAZE SHIELD II'!$L$9)),0)+IF(AND(L110="Blaze Shield II",M110="Software Idiem",C110="L"),((('BLAZE SHIELD II'!$L$4*('CALCULO MORTERO'!I110^2)+'BLAZE SHIELD II'!$L$5*'CALCULO MORTERO'!I110+'BLAZE SHIELD II'!$L$6)*LN(J110))+('BLAZE SHIELD II'!$L$7*('CALCULO MORTERO'!I110^2)+'BLAZE SHIELD II'!$L$8*'CALCULO MORTERO'!I110+'BLAZE SHIELD II'!$L$9)),0)+IF(AND(L110="Blaze Shield II",M110="Software Idiem",C110="IN",G110=3),((('BLAZE SHIELD II'!$H$14*('CALCULO MORTERO'!I110^2)+'BLAZE SHIELD II'!$H$15*'CALCULO MORTERO'!I110+'BLAZE SHIELD II'!$H$16)*LN(J110))+('BLAZE SHIELD II'!$H$17*('CALCULO MORTERO'!I110^2)+'BLAZE SHIELD II'!$H$18*'CALCULO MORTERO'!I110+'BLAZE SHIELD II'!$H$19)),0),0)+ROUND(IF(AND(L110="Cafco 400",M110="Software Idiem",C110="IN",G110=4),((('CAFCO 400 '!$H$7*(J110^4)+'CAFCO 400 '!$H$8*(J110^3)+'CAFCO 400 '!$H$9*(J110^2)+'CAFCO 400 '!$H$10*J110+'CAFCO 400 '!$H$11)*U110^2)+(('CAFCO 400 '!$H$12*(J110^3)+'CAFCO 400 '!$H$13*(J110^2)+'CAFCO 400 '!$H$14*J110+'CAFCO 400 '!$H$15)*U110)+('CAFCO 400 '!$H$16*(J110^2)+'CAFCO 400 '!$H$17*J110+'CAFCO 400 '!$H$18)),0)+IF(AND(L110="Cafco 400",M110="Software Idiem",C110="Cj"),(((('CAFCO 400 '!$D$7*LN(J110)+'CAFCO 400 '!$D$8)*U110^2)+(('CAFCO 400 '!$D$9*LN(J110)+'CAFCO 400 '!$D$10)*U110)+('CAFCO 400 '!$D$11*LN(J110)+'CAFCO 400 '!$D$12))),0)+IF(AND(L110="Cafco 400",M110="Software Idiem",C110="C"),((('CAFCO 400 '!$L$7*(J110^3)+'CAFCO 400 '!$L$8*(J110^2)+'CAFCO 400 '!$L$9*J110+'CAFCO 400 '!$L$10)*U110^2)+(('CAFCO 400 '!$L$11*(J110^3)+'CAFCO 400 '!$L$12*(J110^2)+'CAFCO 400 '!$L$13*J110+'CAFCO 400 '!$L$14)*U110)+('CAFCO 400 '!$L$15*LN(J110)+'CAFCO 400 '!$L$16)),0)+IF(AND(L110="Cafco 400",M110="Software Idiem",C110="L"),((('CAFCO 400 '!$L$7*(J110^3)+'CAFCO 400 '!$L$8*(J110^2)+'CAFCO 400 '!$L$9*J110+'CAFCO 400 '!$L$10)*U110^2)+(('CAFCO 400 '!$L$11*(J110^3)+'CAFCO 400 '!$L$12*(J110^2)+'CAFCO 400 '!$L$13*J110+'CAFCO 400 '!$L$14)*U110)+('CAFCO 400 '!$L$15*LN(J110)+'CAFCO 400 '!$L$16)),0)+IF(AND(L110="Cafco 400",M110="Software Idiem",C110="IN",G110=3),((('CAFCO 400 '!$D$23*(J110^2)+'CAFCO 400 '!$D$24*(J110)+'CAFCO 400 '!$D$25)*U110^2)+(('CAFCO 400 '!$D$26*(J110^2)+'CAFCO 400 '!$D$27*J110+'CAFCO 400 '!$D$28)*U110)+('CAFCO 400 '!$D$29*(J110^2)+'CAFCO 400 '!$D$30*J110+'CAFCO 400 '!$D$31)),0),0)+IF(AND(L110="Cafco 300",J110&gt;=95,J110&lt;=240,C110="Cj",I110=90),VLOOKUP(T110,'CAFCO 300 IDIEM TABLAS'!$B$4:$D$23,2,FALSE),0)+IF(AND(L110="Cafco 300",J110&gt;=95,J110&lt;=240,C110="Cj",I110=120),VLOOKUP(T110,'CAFCO 300 IDIEM TABLAS'!$B$4:$D$23,3,FALSE),0)+IF(AND(L110="Cafco 300",J110&gt;=95,J110&lt;=400,G110=3,C110="IN",I110=90),VLOOKUP(T110,'CAFCO 300 IDIEM TABLAS'!$F$4:$H$35,2,FALSE),0)+IF(AND(L110="Cafco 300",J110&gt;=95,J110&lt;=400,G110=3,C110="IN",I110=120),VLOOKUP(T110,'CAFCO 300 IDIEM TABLAS'!$F$4:$H$35,3,FALSE),0)+IF(AND(L110="Cafco 300",J110&gt;=95,J110&lt;=450,G110=4,C110="IN",I110=90),VLOOKUP(T110,'CAFCO 300 IDIEM TABLAS'!$J$4:$L$40,2,FALSE),0)+IF(AND(L110="Cafco 300",J110&gt;=95,J110&lt;=450,G110=4,C110="IN",I110=120),VLOOKUP(T110,'CAFCO 300 IDIEM TABLAS'!$J$4:$L$40,3,FALSE),0)+IF(AND(M110="Ensayo Idiem",L110="Cafco 400",C110="IN",G110=4,I110=90),VLOOKUP(T110,'CAFCO 400 ENSAYO'!$B$7:$D$43,2,FALSE),0)+IF(AND(M110="Ensayo Idiem",L110="Cafco 400",C110="IN",G110=4,I110=120),VLOOKUP(T110,'CAFCO 400 ENSAYO'!$B$7:$D$43,3,FALSE),0)</f>
        <v>0</v>
      </c>
      <c r="O110" s="96">
        <f t="shared" si="8"/>
        <v>0</v>
      </c>
      <c r="P110" s="95" t="str">
        <f t="shared" si="9"/>
        <v>NO CERT.</v>
      </c>
      <c r="Q110" s="95" t="str">
        <f t="shared" si="10"/>
        <v>NO CERT.</v>
      </c>
      <c r="R110" s="95" t="str">
        <f t="shared" si="11"/>
        <v>NO CERT.</v>
      </c>
      <c r="S110" s="95" t="e">
        <f t="shared" si="6"/>
        <v>#N/A</v>
      </c>
      <c r="T110" s="119" t="e">
        <f>+IF(J110=LOOKUP(J110,'CAFCO 300 IDIEM TABLAS'!$J$4:$J$40),'CALCULO MORTERO'!J110,MROUND('CALCULO MORTERO'!J110,10))</f>
        <v>#N/A</v>
      </c>
      <c r="U110" s="118">
        <f t="shared" si="7"/>
        <v>0</v>
      </c>
      <c r="Y110" s="4"/>
      <c r="Z110" s="4"/>
      <c r="AA110" s="4"/>
    </row>
    <row r="111" spans="1:27" x14ac:dyDescent="0.25">
      <c r="A111" s="118">
        <f>+CUBICACION!D110</f>
        <v>0</v>
      </c>
      <c r="B111" s="819">
        <f>+CUBICACION!E110</f>
        <v>0</v>
      </c>
      <c r="C111" s="675">
        <f>+CUBICACION!F110</f>
        <v>0</v>
      </c>
      <c r="D111" s="118"/>
      <c r="E111" s="118"/>
      <c r="F111" s="820"/>
      <c r="G111" s="675">
        <f>+CUBICACION!J110</f>
        <v>4</v>
      </c>
      <c r="H111" s="118"/>
      <c r="I111" s="821">
        <f>+CUBICACION!L110</f>
        <v>0</v>
      </c>
      <c r="J111" s="64">
        <f>+CUBICACION!M110</f>
        <v>0</v>
      </c>
      <c r="K111" s="822" t="str">
        <f>+CUBICACION!N110</f>
        <v/>
      </c>
      <c r="L111" s="118">
        <f>+CUBICACION!O110</f>
        <v>0</v>
      </c>
      <c r="M111" s="823" t="str">
        <f>+CUBICACION!P110</f>
        <v>Software Idiem</v>
      </c>
      <c r="N111" s="902">
        <f>ROUND(IF(AND(L111="Blaze Shield II",M111="Software Idiem",C111="IN",G111=4),((('BLAZE SHIELD II'!$D$4*('CALCULO MORTERO'!I111^2)+'BLAZE SHIELD II'!$D$5*'CALCULO MORTERO'!I111+'BLAZE SHIELD II'!$D$6)*LN(J111))+('BLAZE SHIELD II'!$D$7*('CALCULO MORTERO'!I111^2)+'BLAZE SHIELD II'!$D$8*'CALCULO MORTERO'!I111+'BLAZE SHIELD II'!$D$9)),0)+IF(AND(L111="Blaze Shield II",M111="Software Idiem",C111="Cj"),((('BLAZE SHIELD II'!$H$4*('CALCULO MORTERO'!I111^2)+'BLAZE SHIELD II'!$H$5*'CALCULO MORTERO'!I111+'BLAZE SHIELD II'!$H$6)*LN(J111))+('BLAZE SHIELD II'!$H$7*('CALCULO MORTERO'!I111^2)+'BLAZE SHIELD II'!$H$8*'CALCULO MORTERO'!I111+'BLAZE SHIELD II'!$H$9)),0)+IF(AND(L111="Blaze Shield II",M111="Software Idiem",C111="C"),((('BLAZE SHIELD II'!$L$4*('CALCULO MORTERO'!I111^2)+'BLAZE SHIELD II'!$L$5*'CALCULO MORTERO'!I111+'BLAZE SHIELD II'!$L$6)*LN(J111))+('BLAZE SHIELD II'!$L$7*('CALCULO MORTERO'!I111^2)+'BLAZE SHIELD II'!$L$8*'CALCULO MORTERO'!I111+'BLAZE SHIELD II'!$L$9)),0)+IF(AND(L111="Blaze Shield II",M111="Software Idiem",C111="L"),((('BLAZE SHIELD II'!$L$4*('CALCULO MORTERO'!I111^2)+'BLAZE SHIELD II'!$L$5*'CALCULO MORTERO'!I111+'BLAZE SHIELD II'!$L$6)*LN(J111))+('BLAZE SHIELD II'!$L$7*('CALCULO MORTERO'!I111^2)+'BLAZE SHIELD II'!$L$8*'CALCULO MORTERO'!I111+'BLAZE SHIELD II'!$L$9)),0)+IF(AND(L111="Blaze Shield II",M111="Software Idiem",C111="IN",G111=3),((('BLAZE SHIELD II'!$H$14*('CALCULO MORTERO'!I111^2)+'BLAZE SHIELD II'!$H$15*'CALCULO MORTERO'!I111+'BLAZE SHIELD II'!$H$16)*LN(J111))+('BLAZE SHIELD II'!$H$17*('CALCULO MORTERO'!I111^2)+'BLAZE SHIELD II'!$H$18*'CALCULO MORTERO'!I111+'BLAZE SHIELD II'!$H$19)),0),0)+ROUND(IF(AND(L111="Cafco 400",M111="Software Idiem",C111="IN",G111=4),((('CAFCO 400 '!$H$7*(J111^4)+'CAFCO 400 '!$H$8*(J111^3)+'CAFCO 400 '!$H$9*(J111^2)+'CAFCO 400 '!$H$10*J111+'CAFCO 400 '!$H$11)*U111^2)+(('CAFCO 400 '!$H$12*(J111^3)+'CAFCO 400 '!$H$13*(J111^2)+'CAFCO 400 '!$H$14*J111+'CAFCO 400 '!$H$15)*U111)+('CAFCO 400 '!$H$16*(J111^2)+'CAFCO 400 '!$H$17*J111+'CAFCO 400 '!$H$18)),0)+IF(AND(L111="Cafco 400",M111="Software Idiem",C111="Cj"),(((('CAFCO 400 '!$D$7*LN(J111)+'CAFCO 400 '!$D$8)*U111^2)+(('CAFCO 400 '!$D$9*LN(J111)+'CAFCO 400 '!$D$10)*U111)+('CAFCO 400 '!$D$11*LN(J111)+'CAFCO 400 '!$D$12))),0)+IF(AND(L111="Cafco 400",M111="Software Idiem",C111="C"),((('CAFCO 400 '!$L$7*(J111^3)+'CAFCO 400 '!$L$8*(J111^2)+'CAFCO 400 '!$L$9*J111+'CAFCO 400 '!$L$10)*U111^2)+(('CAFCO 400 '!$L$11*(J111^3)+'CAFCO 400 '!$L$12*(J111^2)+'CAFCO 400 '!$L$13*J111+'CAFCO 400 '!$L$14)*U111)+('CAFCO 400 '!$L$15*LN(J111)+'CAFCO 400 '!$L$16)),0)+IF(AND(L111="Cafco 400",M111="Software Idiem",C111="L"),((('CAFCO 400 '!$L$7*(J111^3)+'CAFCO 400 '!$L$8*(J111^2)+'CAFCO 400 '!$L$9*J111+'CAFCO 400 '!$L$10)*U111^2)+(('CAFCO 400 '!$L$11*(J111^3)+'CAFCO 400 '!$L$12*(J111^2)+'CAFCO 400 '!$L$13*J111+'CAFCO 400 '!$L$14)*U111)+('CAFCO 400 '!$L$15*LN(J111)+'CAFCO 400 '!$L$16)),0)+IF(AND(L111="Cafco 400",M111="Software Idiem",C111="IN",G111=3),((('CAFCO 400 '!$D$23*(J111^2)+'CAFCO 400 '!$D$24*(J111)+'CAFCO 400 '!$D$25)*U111^2)+(('CAFCO 400 '!$D$26*(J111^2)+'CAFCO 400 '!$D$27*J111+'CAFCO 400 '!$D$28)*U111)+('CAFCO 400 '!$D$29*(J111^2)+'CAFCO 400 '!$D$30*J111+'CAFCO 400 '!$D$31)),0),0)+IF(AND(L111="Cafco 300",J111&gt;=95,J111&lt;=240,C111="Cj",I111=90),VLOOKUP(T111,'CAFCO 300 IDIEM TABLAS'!$B$4:$D$23,2,FALSE),0)+IF(AND(L111="Cafco 300",J111&gt;=95,J111&lt;=240,C111="Cj",I111=120),VLOOKUP(T111,'CAFCO 300 IDIEM TABLAS'!$B$4:$D$23,3,FALSE),0)+IF(AND(L111="Cafco 300",J111&gt;=95,J111&lt;=400,G111=3,C111="IN",I111=90),VLOOKUP(T111,'CAFCO 300 IDIEM TABLAS'!$F$4:$H$35,2,FALSE),0)+IF(AND(L111="Cafco 300",J111&gt;=95,J111&lt;=400,G111=3,C111="IN",I111=120),VLOOKUP(T111,'CAFCO 300 IDIEM TABLAS'!$F$4:$H$35,3,FALSE),0)+IF(AND(L111="Cafco 300",J111&gt;=95,J111&lt;=450,G111=4,C111="IN",I111=90),VLOOKUP(T111,'CAFCO 300 IDIEM TABLAS'!$J$4:$L$40,2,FALSE),0)+IF(AND(L111="Cafco 300",J111&gt;=95,J111&lt;=450,G111=4,C111="IN",I111=120),VLOOKUP(T111,'CAFCO 300 IDIEM TABLAS'!$J$4:$L$40,3,FALSE),0)+IF(AND(M111="Ensayo Idiem",L111="Cafco 400",C111="IN",G111=4,I111=90),VLOOKUP(T111,'CAFCO 400 ENSAYO'!$B$7:$D$43,2,FALSE),0)+IF(AND(M111="Ensayo Idiem",L111="Cafco 400",C111="IN",G111=4,I111=120),VLOOKUP(T111,'CAFCO 400 ENSAYO'!$B$7:$D$43,3,FALSE),0)</f>
        <v>0</v>
      </c>
      <c r="O111" s="96">
        <f t="shared" si="8"/>
        <v>0</v>
      </c>
      <c r="P111" s="95" t="str">
        <f t="shared" si="9"/>
        <v>NO CERT.</v>
      </c>
      <c r="Q111" s="95" t="str">
        <f t="shared" si="10"/>
        <v>NO CERT.</v>
      </c>
      <c r="R111" s="95" t="str">
        <f t="shared" si="11"/>
        <v>NO CERT.</v>
      </c>
      <c r="S111" s="95" t="e">
        <f t="shared" si="6"/>
        <v>#N/A</v>
      </c>
      <c r="T111" s="119" t="e">
        <f>+IF(J111=LOOKUP(J111,'CAFCO 300 IDIEM TABLAS'!$J$4:$J$40),'CALCULO MORTERO'!J111,MROUND('CALCULO MORTERO'!J111,10))</f>
        <v>#N/A</v>
      </c>
      <c r="U111" s="118">
        <f t="shared" si="7"/>
        <v>0</v>
      </c>
      <c r="Y111" s="4"/>
      <c r="Z111" s="4"/>
      <c r="AA111" s="4"/>
    </row>
    <row r="112" spans="1:27" ht="15.6" customHeight="1" x14ac:dyDescent="0.25">
      <c r="A112" s="118">
        <f>+CUBICACION!D111</f>
        <v>0</v>
      </c>
      <c r="B112" s="819">
        <f>+CUBICACION!E111</f>
        <v>0</v>
      </c>
      <c r="C112" s="675">
        <f>+CUBICACION!F111</f>
        <v>0</v>
      </c>
      <c r="D112" s="118"/>
      <c r="E112" s="118"/>
      <c r="F112" s="820"/>
      <c r="G112" s="675">
        <f>+CUBICACION!J111</f>
        <v>4</v>
      </c>
      <c r="H112" s="118"/>
      <c r="I112" s="821">
        <f>+CUBICACION!L111</f>
        <v>0</v>
      </c>
      <c r="J112" s="64">
        <f>+CUBICACION!M111</f>
        <v>0</v>
      </c>
      <c r="K112" s="822" t="str">
        <f>+CUBICACION!N111</f>
        <v/>
      </c>
      <c r="L112" s="118">
        <f>+CUBICACION!O111</f>
        <v>0</v>
      </c>
      <c r="M112" s="823" t="str">
        <f>+CUBICACION!P111</f>
        <v>Software Idiem</v>
      </c>
      <c r="N112" s="902">
        <f>ROUND(IF(AND(L112="Blaze Shield II",M112="Software Idiem",C112="IN",G112=4),((('BLAZE SHIELD II'!$D$4*('CALCULO MORTERO'!I112^2)+'BLAZE SHIELD II'!$D$5*'CALCULO MORTERO'!I112+'BLAZE SHIELD II'!$D$6)*LN(J112))+('BLAZE SHIELD II'!$D$7*('CALCULO MORTERO'!I112^2)+'BLAZE SHIELD II'!$D$8*'CALCULO MORTERO'!I112+'BLAZE SHIELD II'!$D$9)),0)+IF(AND(L112="Blaze Shield II",M112="Software Idiem",C112="Cj"),((('BLAZE SHIELD II'!$H$4*('CALCULO MORTERO'!I112^2)+'BLAZE SHIELD II'!$H$5*'CALCULO MORTERO'!I112+'BLAZE SHIELD II'!$H$6)*LN(J112))+('BLAZE SHIELD II'!$H$7*('CALCULO MORTERO'!I112^2)+'BLAZE SHIELD II'!$H$8*'CALCULO MORTERO'!I112+'BLAZE SHIELD II'!$H$9)),0)+IF(AND(L112="Blaze Shield II",M112="Software Idiem",C112="C"),((('BLAZE SHIELD II'!$L$4*('CALCULO MORTERO'!I112^2)+'BLAZE SHIELD II'!$L$5*'CALCULO MORTERO'!I112+'BLAZE SHIELD II'!$L$6)*LN(J112))+('BLAZE SHIELD II'!$L$7*('CALCULO MORTERO'!I112^2)+'BLAZE SHIELD II'!$L$8*'CALCULO MORTERO'!I112+'BLAZE SHIELD II'!$L$9)),0)+IF(AND(L112="Blaze Shield II",M112="Software Idiem",C112="L"),((('BLAZE SHIELD II'!$L$4*('CALCULO MORTERO'!I112^2)+'BLAZE SHIELD II'!$L$5*'CALCULO MORTERO'!I112+'BLAZE SHIELD II'!$L$6)*LN(J112))+('BLAZE SHIELD II'!$L$7*('CALCULO MORTERO'!I112^2)+'BLAZE SHIELD II'!$L$8*'CALCULO MORTERO'!I112+'BLAZE SHIELD II'!$L$9)),0)+IF(AND(L112="Blaze Shield II",M112="Software Idiem",C112="IN",G112=3),((('BLAZE SHIELD II'!$H$14*('CALCULO MORTERO'!I112^2)+'BLAZE SHIELD II'!$H$15*'CALCULO MORTERO'!I112+'BLAZE SHIELD II'!$H$16)*LN(J112))+('BLAZE SHIELD II'!$H$17*('CALCULO MORTERO'!I112^2)+'BLAZE SHIELD II'!$H$18*'CALCULO MORTERO'!I112+'BLAZE SHIELD II'!$H$19)),0),0)+ROUND(IF(AND(L112="Cafco 400",M112="Software Idiem",C112="IN",G112=4),((('CAFCO 400 '!$H$7*(J112^4)+'CAFCO 400 '!$H$8*(J112^3)+'CAFCO 400 '!$H$9*(J112^2)+'CAFCO 400 '!$H$10*J112+'CAFCO 400 '!$H$11)*U112^2)+(('CAFCO 400 '!$H$12*(J112^3)+'CAFCO 400 '!$H$13*(J112^2)+'CAFCO 400 '!$H$14*J112+'CAFCO 400 '!$H$15)*U112)+('CAFCO 400 '!$H$16*(J112^2)+'CAFCO 400 '!$H$17*J112+'CAFCO 400 '!$H$18)),0)+IF(AND(L112="Cafco 400",M112="Software Idiem",C112="Cj"),(((('CAFCO 400 '!$D$7*LN(J112)+'CAFCO 400 '!$D$8)*U112^2)+(('CAFCO 400 '!$D$9*LN(J112)+'CAFCO 400 '!$D$10)*U112)+('CAFCO 400 '!$D$11*LN(J112)+'CAFCO 400 '!$D$12))),0)+IF(AND(L112="Cafco 400",M112="Software Idiem",C112="C"),((('CAFCO 400 '!$L$7*(J112^3)+'CAFCO 400 '!$L$8*(J112^2)+'CAFCO 400 '!$L$9*J112+'CAFCO 400 '!$L$10)*U112^2)+(('CAFCO 400 '!$L$11*(J112^3)+'CAFCO 400 '!$L$12*(J112^2)+'CAFCO 400 '!$L$13*J112+'CAFCO 400 '!$L$14)*U112)+('CAFCO 400 '!$L$15*LN(J112)+'CAFCO 400 '!$L$16)),0)+IF(AND(L112="Cafco 400",M112="Software Idiem",C112="L"),((('CAFCO 400 '!$L$7*(J112^3)+'CAFCO 400 '!$L$8*(J112^2)+'CAFCO 400 '!$L$9*J112+'CAFCO 400 '!$L$10)*U112^2)+(('CAFCO 400 '!$L$11*(J112^3)+'CAFCO 400 '!$L$12*(J112^2)+'CAFCO 400 '!$L$13*J112+'CAFCO 400 '!$L$14)*U112)+('CAFCO 400 '!$L$15*LN(J112)+'CAFCO 400 '!$L$16)),0)+IF(AND(L112="Cafco 400",M112="Software Idiem",C112="IN",G112=3),((('CAFCO 400 '!$D$23*(J112^2)+'CAFCO 400 '!$D$24*(J112)+'CAFCO 400 '!$D$25)*U112^2)+(('CAFCO 400 '!$D$26*(J112^2)+'CAFCO 400 '!$D$27*J112+'CAFCO 400 '!$D$28)*U112)+('CAFCO 400 '!$D$29*(J112^2)+'CAFCO 400 '!$D$30*J112+'CAFCO 400 '!$D$31)),0),0)+IF(AND(L112="Cafco 300",J112&gt;=95,J112&lt;=240,C112="Cj",I112=90),VLOOKUP(T112,'CAFCO 300 IDIEM TABLAS'!$B$4:$D$23,2,FALSE),0)+IF(AND(L112="Cafco 300",J112&gt;=95,J112&lt;=240,C112="Cj",I112=120),VLOOKUP(T112,'CAFCO 300 IDIEM TABLAS'!$B$4:$D$23,3,FALSE),0)+IF(AND(L112="Cafco 300",J112&gt;=95,J112&lt;=400,G112=3,C112="IN",I112=90),VLOOKUP(T112,'CAFCO 300 IDIEM TABLAS'!$F$4:$H$35,2,FALSE),0)+IF(AND(L112="Cafco 300",J112&gt;=95,J112&lt;=400,G112=3,C112="IN",I112=120),VLOOKUP(T112,'CAFCO 300 IDIEM TABLAS'!$F$4:$H$35,3,FALSE),0)+IF(AND(L112="Cafco 300",J112&gt;=95,J112&lt;=450,G112=4,C112="IN",I112=90),VLOOKUP(T112,'CAFCO 300 IDIEM TABLAS'!$J$4:$L$40,2,FALSE),0)+IF(AND(L112="Cafco 300",J112&gt;=95,J112&lt;=450,G112=4,C112="IN",I112=120),VLOOKUP(T112,'CAFCO 300 IDIEM TABLAS'!$J$4:$L$40,3,FALSE),0)+IF(AND(M112="Ensayo Idiem",L112="Cafco 400",C112="IN",G112=4,I112=90),VLOOKUP(T112,'CAFCO 400 ENSAYO'!$B$7:$D$43,2,FALSE),0)+IF(AND(M112="Ensayo Idiem",L112="Cafco 400",C112="IN",G112=4,I112=120),VLOOKUP(T112,'CAFCO 400 ENSAYO'!$B$7:$D$43,3,FALSE),0)</f>
        <v>0</v>
      </c>
      <c r="O112" s="96">
        <f t="shared" si="8"/>
        <v>0</v>
      </c>
      <c r="P112" s="95" t="str">
        <f t="shared" si="9"/>
        <v>NO CERT.</v>
      </c>
      <c r="Q112" s="95" t="str">
        <f t="shared" si="10"/>
        <v>NO CERT.</v>
      </c>
      <c r="R112" s="95" t="str">
        <f t="shared" si="11"/>
        <v>NO CERT.</v>
      </c>
      <c r="S112" s="95" t="e">
        <f t="shared" si="6"/>
        <v>#N/A</v>
      </c>
      <c r="T112" s="119" t="e">
        <f>+IF(J112=LOOKUP(J112,'CAFCO 300 IDIEM TABLAS'!$J$4:$J$40),'CALCULO MORTERO'!J112,MROUND('CALCULO MORTERO'!J112,10))</f>
        <v>#N/A</v>
      </c>
      <c r="U112" s="118">
        <f t="shared" si="7"/>
        <v>0</v>
      </c>
      <c r="Y112" s="4"/>
      <c r="Z112" s="4"/>
      <c r="AA112" s="4"/>
    </row>
    <row r="113" spans="1:27" x14ac:dyDescent="0.25">
      <c r="A113" s="118">
        <f>+CUBICACION!D112</f>
        <v>0</v>
      </c>
      <c r="B113" s="819">
        <f>+CUBICACION!E112</f>
        <v>0</v>
      </c>
      <c r="C113" s="675">
        <f>+CUBICACION!F112</f>
        <v>0</v>
      </c>
      <c r="D113" s="118"/>
      <c r="E113" s="118"/>
      <c r="F113" s="820"/>
      <c r="G113" s="675">
        <f>+CUBICACION!J112</f>
        <v>4</v>
      </c>
      <c r="H113" s="118"/>
      <c r="I113" s="821">
        <f>+CUBICACION!L112</f>
        <v>0</v>
      </c>
      <c r="J113" s="64">
        <f>+CUBICACION!M112</f>
        <v>0</v>
      </c>
      <c r="K113" s="822" t="str">
        <f>+CUBICACION!N112</f>
        <v/>
      </c>
      <c r="L113" s="118">
        <f>+CUBICACION!O112</f>
        <v>0</v>
      </c>
      <c r="M113" s="823" t="str">
        <f>+CUBICACION!P112</f>
        <v>Software Idiem</v>
      </c>
      <c r="N113" s="902">
        <f>ROUND(IF(AND(L113="Blaze Shield II",M113="Software Idiem",C113="IN",G113=4),((('BLAZE SHIELD II'!$D$4*('CALCULO MORTERO'!I113^2)+'BLAZE SHIELD II'!$D$5*'CALCULO MORTERO'!I113+'BLAZE SHIELD II'!$D$6)*LN(J113))+('BLAZE SHIELD II'!$D$7*('CALCULO MORTERO'!I113^2)+'BLAZE SHIELD II'!$D$8*'CALCULO MORTERO'!I113+'BLAZE SHIELD II'!$D$9)),0)+IF(AND(L113="Blaze Shield II",M113="Software Idiem",C113="Cj"),((('BLAZE SHIELD II'!$H$4*('CALCULO MORTERO'!I113^2)+'BLAZE SHIELD II'!$H$5*'CALCULO MORTERO'!I113+'BLAZE SHIELD II'!$H$6)*LN(J113))+('BLAZE SHIELD II'!$H$7*('CALCULO MORTERO'!I113^2)+'BLAZE SHIELD II'!$H$8*'CALCULO MORTERO'!I113+'BLAZE SHIELD II'!$H$9)),0)+IF(AND(L113="Blaze Shield II",M113="Software Idiem",C113="C"),((('BLAZE SHIELD II'!$L$4*('CALCULO MORTERO'!I113^2)+'BLAZE SHIELD II'!$L$5*'CALCULO MORTERO'!I113+'BLAZE SHIELD II'!$L$6)*LN(J113))+('BLAZE SHIELD II'!$L$7*('CALCULO MORTERO'!I113^2)+'BLAZE SHIELD II'!$L$8*'CALCULO MORTERO'!I113+'BLAZE SHIELD II'!$L$9)),0)+IF(AND(L113="Blaze Shield II",M113="Software Idiem",C113="L"),((('BLAZE SHIELD II'!$L$4*('CALCULO MORTERO'!I113^2)+'BLAZE SHIELD II'!$L$5*'CALCULO MORTERO'!I113+'BLAZE SHIELD II'!$L$6)*LN(J113))+('BLAZE SHIELD II'!$L$7*('CALCULO MORTERO'!I113^2)+'BLAZE SHIELD II'!$L$8*'CALCULO MORTERO'!I113+'BLAZE SHIELD II'!$L$9)),0)+IF(AND(L113="Blaze Shield II",M113="Software Idiem",C113="IN",G113=3),((('BLAZE SHIELD II'!$H$14*('CALCULO MORTERO'!I113^2)+'BLAZE SHIELD II'!$H$15*'CALCULO MORTERO'!I113+'BLAZE SHIELD II'!$H$16)*LN(J113))+('BLAZE SHIELD II'!$H$17*('CALCULO MORTERO'!I113^2)+'BLAZE SHIELD II'!$H$18*'CALCULO MORTERO'!I113+'BLAZE SHIELD II'!$H$19)),0),0)+ROUND(IF(AND(L113="Cafco 400",M113="Software Idiem",C113="IN",G113=4),((('CAFCO 400 '!$H$7*(J113^4)+'CAFCO 400 '!$H$8*(J113^3)+'CAFCO 400 '!$H$9*(J113^2)+'CAFCO 400 '!$H$10*J113+'CAFCO 400 '!$H$11)*U113^2)+(('CAFCO 400 '!$H$12*(J113^3)+'CAFCO 400 '!$H$13*(J113^2)+'CAFCO 400 '!$H$14*J113+'CAFCO 400 '!$H$15)*U113)+('CAFCO 400 '!$H$16*(J113^2)+'CAFCO 400 '!$H$17*J113+'CAFCO 400 '!$H$18)),0)+IF(AND(L113="Cafco 400",M113="Software Idiem",C113="Cj"),(((('CAFCO 400 '!$D$7*LN(J113)+'CAFCO 400 '!$D$8)*U113^2)+(('CAFCO 400 '!$D$9*LN(J113)+'CAFCO 400 '!$D$10)*U113)+('CAFCO 400 '!$D$11*LN(J113)+'CAFCO 400 '!$D$12))),0)+IF(AND(L113="Cafco 400",M113="Software Idiem",C113="C"),((('CAFCO 400 '!$L$7*(J113^3)+'CAFCO 400 '!$L$8*(J113^2)+'CAFCO 400 '!$L$9*J113+'CAFCO 400 '!$L$10)*U113^2)+(('CAFCO 400 '!$L$11*(J113^3)+'CAFCO 400 '!$L$12*(J113^2)+'CAFCO 400 '!$L$13*J113+'CAFCO 400 '!$L$14)*U113)+('CAFCO 400 '!$L$15*LN(J113)+'CAFCO 400 '!$L$16)),0)+IF(AND(L113="Cafco 400",M113="Software Idiem",C113="L"),((('CAFCO 400 '!$L$7*(J113^3)+'CAFCO 400 '!$L$8*(J113^2)+'CAFCO 400 '!$L$9*J113+'CAFCO 400 '!$L$10)*U113^2)+(('CAFCO 400 '!$L$11*(J113^3)+'CAFCO 400 '!$L$12*(J113^2)+'CAFCO 400 '!$L$13*J113+'CAFCO 400 '!$L$14)*U113)+('CAFCO 400 '!$L$15*LN(J113)+'CAFCO 400 '!$L$16)),0)+IF(AND(L113="Cafco 400",M113="Software Idiem",C113="IN",G113=3),((('CAFCO 400 '!$D$23*(J113^2)+'CAFCO 400 '!$D$24*(J113)+'CAFCO 400 '!$D$25)*U113^2)+(('CAFCO 400 '!$D$26*(J113^2)+'CAFCO 400 '!$D$27*J113+'CAFCO 400 '!$D$28)*U113)+('CAFCO 400 '!$D$29*(J113^2)+'CAFCO 400 '!$D$30*J113+'CAFCO 400 '!$D$31)),0),0)+IF(AND(L113="Cafco 300",J113&gt;=95,J113&lt;=240,C113="Cj",I113=90),VLOOKUP(T113,'CAFCO 300 IDIEM TABLAS'!$B$4:$D$23,2,FALSE),0)+IF(AND(L113="Cafco 300",J113&gt;=95,J113&lt;=240,C113="Cj",I113=120),VLOOKUP(T113,'CAFCO 300 IDIEM TABLAS'!$B$4:$D$23,3,FALSE),0)+IF(AND(L113="Cafco 300",J113&gt;=95,J113&lt;=400,G113=3,C113="IN",I113=90),VLOOKUP(T113,'CAFCO 300 IDIEM TABLAS'!$F$4:$H$35,2,FALSE),0)+IF(AND(L113="Cafco 300",J113&gt;=95,J113&lt;=400,G113=3,C113="IN",I113=120),VLOOKUP(T113,'CAFCO 300 IDIEM TABLAS'!$F$4:$H$35,3,FALSE),0)+IF(AND(L113="Cafco 300",J113&gt;=95,J113&lt;=450,G113=4,C113="IN",I113=90),VLOOKUP(T113,'CAFCO 300 IDIEM TABLAS'!$J$4:$L$40,2,FALSE),0)+IF(AND(L113="Cafco 300",J113&gt;=95,J113&lt;=450,G113=4,C113="IN",I113=120),VLOOKUP(T113,'CAFCO 300 IDIEM TABLAS'!$J$4:$L$40,3,FALSE),0)+IF(AND(M113="Ensayo Idiem",L113="Cafco 400",C113="IN",G113=4,I113=90),VLOOKUP(T113,'CAFCO 400 ENSAYO'!$B$7:$D$43,2,FALSE),0)+IF(AND(M113="Ensayo Idiem",L113="Cafco 400",C113="IN",G113=4,I113=120),VLOOKUP(T113,'CAFCO 400 ENSAYO'!$B$7:$D$43,3,FALSE),0)</f>
        <v>0</v>
      </c>
      <c r="O113" s="96">
        <f t="shared" si="8"/>
        <v>0</v>
      </c>
      <c r="P113" s="95" t="str">
        <f t="shared" si="9"/>
        <v>NO CERT.</v>
      </c>
      <c r="Q113" s="95" t="str">
        <f t="shared" si="10"/>
        <v>NO CERT.</v>
      </c>
      <c r="R113" s="95" t="str">
        <f t="shared" si="11"/>
        <v>NO CERT.</v>
      </c>
      <c r="S113" s="95" t="e">
        <f t="shared" si="6"/>
        <v>#N/A</v>
      </c>
      <c r="T113" s="119" t="e">
        <f>+IF(J113=LOOKUP(J113,'CAFCO 300 IDIEM TABLAS'!$J$4:$J$40),'CALCULO MORTERO'!J113,MROUND('CALCULO MORTERO'!J113,10))</f>
        <v>#N/A</v>
      </c>
      <c r="U113" s="118">
        <f t="shared" si="7"/>
        <v>0</v>
      </c>
      <c r="Y113" s="4"/>
      <c r="Z113" s="4"/>
      <c r="AA113" s="4"/>
    </row>
    <row r="114" spans="1:27" ht="15.6" customHeight="1" x14ac:dyDescent="0.25">
      <c r="A114" s="118">
        <f>+CUBICACION!D113</f>
        <v>0</v>
      </c>
      <c r="B114" s="819">
        <f>+CUBICACION!E113</f>
        <v>0</v>
      </c>
      <c r="C114" s="675">
        <f>+CUBICACION!F113</f>
        <v>0</v>
      </c>
      <c r="D114" s="118"/>
      <c r="E114" s="118"/>
      <c r="F114" s="820"/>
      <c r="G114" s="675">
        <f>+CUBICACION!J113</f>
        <v>4</v>
      </c>
      <c r="H114" s="118"/>
      <c r="I114" s="821">
        <f>+CUBICACION!L113</f>
        <v>0</v>
      </c>
      <c r="J114" s="64">
        <f>+CUBICACION!M113</f>
        <v>0</v>
      </c>
      <c r="K114" s="822" t="str">
        <f>+CUBICACION!N113</f>
        <v/>
      </c>
      <c r="L114" s="118">
        <f>+CUBICACION!O113</f>
        <v>0</v>
      </c>
      <c r="M114" s="823" t="str">
        <f>+CUBICACION!P113</f>
        <v>Software Idiem</v>
      </c>
      <c r="N114" s="902">
        <f>ROUND(IF(AND(L114="Blaze Shield II",M114="Software Idiem",C114="IN",G114=4),((('BLAZE SHIELD II'!$D$4*('CALCULO MORTERO'!I114^2)+'BLAZE SHIELD II'!$D$5*'CALCULO MORTERO'!I114+'BLAZE SHIELD II'!$D$6)*LN(J114))+('BLAZE SHIELD II'!$D$7*('CALCULO MORTERO'!I114^2)+'BLAZE SHIELD II'!$D$8*'CALCULO MORTERO'!I114+'BLAZE SHIELD II'!$D$9)),0)+IF(AND(L114="Blaze Shield II",M114="Software Idiem",C114="Cj"),((('BLAZE SHIELD II'!$H$4*('CALCULO MORTERO'!I114^2)+'BLAZE SHIELD II'!$H$5*'CALCULO MORTERO'!I114+'BLAZE SHIELD II'!$H$6)*LN(J114))+('BLAZE SHIELD II'!$H$7*('CALCULO MORTERO'!I114^2)+'BLAZE SHIELD II'!$H$8*'CALCULO MORTERO'!I114+'BLAZE SHIELD II'!$H$9)),0)+IF(AND(L114="Blaze Shield II",M114="Software Idiem",C114="C"),((('BLAZE SHIELD II'!$L$4*('CALCULO MORTERO'!I114^2)+'BLAZE SHIELD II'!$L$5*'CALCULO MORTERO'!I114+'BLAZE SHIELD II'!$L$6)*LN(J114))+('BLAZE SHIELD II'!$L$7*('CALCULO MORTERO'!I114^2)+'BLAZE SHIELD II'!$L$8*'CALCULO MORTERO'!I114+'BLAZE SHIELD II'!$L$9)),0)+IF(AND(L114="Blaze Shield II",M114="Software Idiem",C114="L"),((('BLAZE SHIELD II'!$L$4*('CALCULO MORTERO'!I114^2)+'BLAZE SHIELD II'!$L$5*'CALCULO MORTERO'!I114+'BLAZE SHIELD II'!$L$6)*LN(J114))+('BLAZE SHIELD II'!$L$7*('CALCULO MORTERO'!I114^2)+'BLAZE SHIELD II'!$L$8*'CALCULO MORTERO'!I114+'BLAZE SHIELD II'!$L$9)),0)+IF(AND(L114="Blaze Shield II",M114="Software Idiem",C114="IN",G114=3),((('BLAZE SHIELD II'!$H$14*('CALCULO MORTERO'!I114^2)+'BLAZE SHIELD II'!$H$15*'CALCULO MORTERO'!I114+'BLAZE SHIELD II'!$H$16)*LN(J114))+('BLAZE SHIELD II'!$H$17*('CALCULO MORTERO'!I114^2)+'BLAZE SHIELD II'!$H$18*'CALCULO MORTERO'!I114+'BLAZE SHIELD II'!$H$19)),0),0)+ROUND(IF(AND(L114="Cafco 400",M114="Software Idiem",C114="IN",G114=4),((('CAFCO 400 '!$H$7*(J114^4)+'CAFCO 400 '!$H$8*(J114^3)+'CAFCO 400 '!$H$9*(J114^2)+'CAFCO 400 '!$H$10*J114+'CAFCO 400 '!$H$11)*U114^2)+(('CAFCO 400 '!$H$12*(J114^3)+'CAFCO 400 '!$H$13*(J114^2)+'CAFCO 400 '!$H$14*J114+'CAFCO 400 '!$H$15)*U114)+('CAFCO 400 '!$H$16*(J114^2)+'CAFCO 400 '!$H$17*J114+'CAFCO 400 '!$H$18)),0)+IF(AND(L114="Cafco 400",M114="Software Idiem",C114="Cj"),(((('CAFCO 400 '!$D$7*LN(J114)+'CAFCO 400 '!$D$8)*U114^2)+(('CAFCO 400 '!$D$9*LN(J114)+'CAFCO 400 '!$D$10)*U114)+('CAFCO 400 '!$D$11*LN(J114)+'CAFCO 400 '!$D$12))),0)+IF(AND(L114="Cafco 400",M114="Software Idiem",C114="C"),((('CAFCO 400 '!$L$7*(J114^3)+'CAFCO 400 '!$L$8*(J114^2)+'CAFCO 400 '!$L$9*J114+'CAFCO 400 '!$L$10)*U114^2)+(('CAFCO 400 '!$L$11*(J114^3)+'CAFCO 400 '!$L$12*(J114^2)+'CAFCO 400 '!$L$13*J114+'CAFCO 400 '!$L$14)*U114)+('CAFCO 400 '!$L$15*LN(J114)+'CAFCO 400 '!$L$16)),0)+IF(AND(L114="Cafco 400",M114="Software Idiem",C114="L"),((('CAFCO 400 '!$L$7*(J114^3)+'CAFCO 400 '!$L$8*(J114^2)+'CAFCO 400 '!$L$9*J114+'CAFCO 400 '!$L$10)*U114^2)+(('CAFCO 400 '!$L$11*(J114^3)+'CAFCO 400 '!$L$12*(J114^2)+'CAFCO 400 '!$L$13*J114+'CAFCO 400 '!$L$14)*U114)+('CAFCO 400 '!$L$15*LN(J114)+'CAFCO 400 '!$L$16)),0)+IF(AND(L114="Cafco 400",M114="Software Idiem",C114="IN",G114=3),((('CAFCO 400 '!$D$23*(J114^2)+'CAFCO 400 '!$D$24*(J114)+'CAFCO 400 '!$D$25)*U114^2)+(('CAFCO 400 '!$D$26*(J114^2)+'CAFCO 400 '!$D$27*J114+'CAFCO 400 '!$D$28)*U114)+('CAFCO 400 '!$D$29*(J114^2)+'CAFCO 400 '!$D$30*J114+'CAFCO 400 '!$D$31)),0),0)+IF(AND(L114="Cafco 300",J114&gt;=95,J114&lt;=240,C114="Cj",I114=90),VLOOKUP(T114,'CAFCO 300 IDIEM TABLAS'!$B$4:$D$23,2,FALSE),0)+IF(AND(L114="Cafco 300",J114&gt;=95,J114&lt;=240,C114="Cj",I114=120),VLOOKUP(T114,'CAFCO 300 IDIEM TABLAS'!$B$4:$D$23,3,FALSE),0)+IF(AND(L114="Cafco 300",J114&gt;=95,J114&lt;=400,G114=3,C114="IN",I114=90),VLOOKUP(T114,'CAFCO 300 IDIEM TABLAS'!$F$4:$H$35,2,FALSE),0)+IF(AND(L114="Cafco 300",J114&gt;=95,J114&lt;=400,G114=3,C114="IN",I114=120),VLOOKUP(T114,'CAFCO 300 IDIEM TABLAS'!$F$4:$H$35,3,FALSE),0)+IF(AND(L114="Cafco 300",J114&gt;=95,J114&lt;=450,G114=4,C114="IN",I114=90),VLOOKUP(T114,'CAFCO 300 IDIEM TABLAS'!$J$4:$L$40,2,FALSE),0)+IF(AND(L114="Cafco 300",J114&gt;=95,J114&lt;=450,G114=4,C114="IN",I114=120),VLOOKUP(T114,'CAFCO 300 IDIEM TABLAS'!$J$4:$L$40,3,FALSE),0)+IF(AND(M114="Ensayo Idiem",L114="Cafco 400",C114="IN",G114=4,I114=90),VLOOKUP(T114,'CAFCO 400 ENSAYO'!$B$7:$D$43,2,FALSE),0)+IF(AND(M114="Ensayo Idiem",L114="Cafco 400",C114="IN",G114=4,I114=120),VLOOKUP(T114,'CAFCO 400 ENSAYO'!$B$7:$D$43,3,FALSE),0)</f>
        <v>0</v>
      </c>
      <c r="O114" s="96">
        <f t="shared" si="8"/>
        <v>0</v>
      </c>
      <c r="P114" s="95" t="str">
        <f t="shared" si="9"/>
        <v>NO CERT.</v>
      </c>
      <c r="Q114" s="95" t="str">
        <f t="shared" si="10"/>
        <v>NO CERT.</v>
      </c>
      <c r="R114" s="95" t="str">
        <f t="shared" si="11"/>
        <v>NO CERT.</v>
      </c>
      <c r="S114" s="95" t="e">
        <f t="shared" si="6"/>
        <v>#N/A</v>
      </c>
      <c r="T114" s="119" t="e">
        <f>+IF(J114=LOOKUP(J114,'CAFCO 300 IDIEM TABLAS'!$J$4:$J$40),'CALCULO MORTERO'!J114,MROUND('CALCULO MORTERO'!J114,10))</f>
        <v>#N/A</v>
      </c>
      <c r="U114" s="118">
        <f t="shared" si="7"/>
        <v>0</v>
      </c>
      <c r="Y114" s="4"/>
      <c r="Z114" s="4"/>
      <c r="AA114" s="4"/>
    </row>
    <row r="115" spans="1:27" x14ac:dyDescent="0.25">
      <c r="A115" s="118">
        <f>+CUBICACION!D114</f>
        <v>0</v>
      </c>
      <c r="B115" s="819">
        <f>+CUBICACION!E114</f>
        <v>0</v>
      </c>
      <c r="C115" s="675">
        <f>+CUBICACION!F114</f>
        <v>0</v>
      </c>
      <c r="D115" s="118"/>
      <c r="E115" s="118"/>
      <c r="F115" s="820"/>
      <c r="G115" s="675">
        <f>+CUBICACION!J114</f>
        <v>4</v>
      </c>
      <c r="H115" s="118"/>
      <c r="I115" s="821">
        <f>+CUBICACION!L114</f>
        <v>0</v>
      </c>
      <c r="J115" s="64">
        <f>+CUBICACION!M114</f>
        <v>0</v>
      </c>
      <c r="K115" s="822" t="str">
        <f>+CUBICACION!N114</f>
        <v/>
      </c>
      <c r="L115" s="118">
        <f>+CUBICACION!O114</f>
        <v>0</v>
      </c>
      <c r="M115" s="823" t="str">
        <f>+CUBICACION!P114</f>
        <v>Software Idiem</v>
      </c>
      <c r="N115" s="902">
        <f>ROUND(IF(AND(L115="Blaze Shield II",M115="Software Idiem",C115="IN",G115=4),((('BLAZE SHIELD II'!$D$4*('CALCULO MORTERO'!I115^2)+'BLAZE SHIELD II'!$D$5*'CALCULO MORTERO'!I115+'BLAZE SHIELD II'!$D$6)*LN(J115))+('BLAZE SHIELD II'!$D$7*('CALCULO MORTERO'!I115^2)+'BLAZE SHIELD II'!$D$8*'CALCULO MORTERO'!I115+'BLAZE SHIELD II'!$D$9)),0)+IF(AND(L115="Blaze Shield II",M115="Software Idiem",C115="Cj"),((('BLAZE SHIELD II'!$H$4*('CALCULO MORTERO'!I115^2)+'BLAZE SHIELD II'!$H$5*'CALCULO MORTERO'!I115+'BLAZE SHIELD II'!$H$6)*LN(J115))+('BLAZE SHIELD II'!$H$7*('CALCULO MORTERO'!I115^2)+'BLAZE SHIELD II'!$H$8*'CALCULO MORTERO'!I115+'BLAZE SHIELD II'!$H$9)),0)+IF(AND(L115="Blaze Shield II",M115="Software Idiem",C115="C"),((('BLAZE SHIELD II'!$L$4*('CALCULO MORTERO'!I115^2)+'BLAZE SHIELD II'!$L$5*'CALCULO MORTERO'!I115+'BLAZE SHIELD II'!$L$6)*LN(J115))+('BLAZE SHIELD II'!$L$7*('CALCULO MORTERO'!I115^2)+'BLAZE SHIELD II'!$L$8*'CALCULO MORTERO'!I115+'BLAZE SHIELD II'!$L$9)),0)+IF(AND(L115="Blaze Shield II",M115="Software Idiem",C115="L"),((('BLAZE SHIELD II'!$L$4*('CALCULO MORTERO'!I115^2)+'BLAZE SHIELD II'!$L$5*'CALCULO MORTERO'!I115+'BLAZE SHIELD II'!$L$6)*LN(J115))+('BLAZE SHIELD II'!$L$7*('CALCULO MORTERO'!I115^2)+'BLAZE SHIELD II'!$L$8*'CALCULO MORTERO'!I115+'BLAZE SHIELD II'!$L$9)),0)+IF(AND(L115="Blaze Shield II",M115="Software Idiem",C115="IN",G115=3),((('BLAZE SHIELD II'!$H$14*('CALCULO MORTERO'!I115^2)+'BLAZE SHIELD II'!$H$15*'CALCULO MORTERO'!I115+'BLAZE SHIELD II'!$H$16)*LN(J115))+('BLAZE SHIELD II'!$H$17*('CALCULO MORTERO'!I115^2)+'BLAZE SHIELD II'!$H$18*'CALCULO MORTERO'!I115+'BLAZE SHIELD II'!$H$19)),0),0)+ROUND(IF(AND(L115="Cafco 400",M115="Software Idiem",C115="IN",G115=4),((('CAFCO 400 '!$H$7*(J115^4)+'CAFCO 400 '!$H$8*(J115^3)+'CAFCO 400 '!$H$9*(J115^2)+'CAFCO 400 '!$H$10*J115+'CAFCO 400 '!$H$11)*U115^2)+(('CAFCO 400 '!$H$12*(J115^3)+'CAFCO 400 '!$H$13*(J115^2)+'CAFCO 400 '!$H$14*J115+'CAFCO 400 '!$H$15)*U115)+('CAFCO 400 '!$H$16*(J115^2)+'CAFCO 400 '!$H$17*J115+'CAFCO 400 '!$H$18)),0)+IF(AND(L115="Cafco 400",M115="Software Idiem",C115="Cj"),(((('CAFCO 400 '!$D$7*LN(J115)+'CAFCO 400 '!$D$8)*U115^2)+(('CAFCO 400 '!$D$9*LN(J115)+'CAFCO 400 '!$D$10)*U115)+('CAFCO 400 '!$D$11*LN(J115)+'CAFCO 400 '!$D$12))),0)+IF(AND(L115="Cafco 400",M115="Software Idiem",C115="C"),((('CAFCO 400 '!$L$7*(J115^3)+'CAFCO 400 '!$L$8*(J115^2)+'CAFCO 400 '!$L$9*J115+'CAFCO 400 '!$L$10)*U115^2)+(('CAFCO 400 '!$L$11*(J115^3)+'CAFCO 400 '!$L$12*(J115^2)+'CAFCO 400 '!$L$13*J115+'CAFCO 400 '!$L$14)*U115)+('CAFCO 400 '!$L$15*LN(J115)+'CAFCO 400 '!$L$16)),0)+IF(AND(L115="Cafco 400",M115="Software Idiem",C115="L"),((('CAFCO 400 '!$L$7*(J115^3)+'CAFCO 400 '!$L$8*(J115^2)+'CAFCO 400 '!$L$9*J115+'CAFCO 400 '!$L$10)*U115^2)+(('CAFCO 400 '!$L$11*(J115^3)+'CAFCO 400 '!$L$12*(J115^2)+'CAFCO 400 '!$L$13*J115+'CAFCO 400 '!$L$14)*U115)+('CAFCO 400 '!$L$15*LN(J115)+'CAFCO 400 '!$L$16)),0)+IF(AND(L115="Cafco 400",M115="Software Idiem",C115="IN",G115=3),((('CAFCO 400 '!$D$23*(J115^2)+'CAFCO 400 '!$D$24*(J115)+'CAFCO 400 '!$D$25)*U115^2)+(('CAFCO 400 '!$D$26*(J115^2)+'CAFCO 400 '!$D$27*J115+'CAFCO 400 '!$D$28)*U115)+('CAFCO 400 '!$D$29*(J115^2)+'CAFCO 400 '!$D$30*J115+'CAFCO 400 '!$D$31)),0),0)+IF(AND(L115="Cafco 300",J115&gt;=95,J115&lt;=240,C115="Cj",I115=90),VLOOKUP(T115,'CAFCO 300 IDIEM TABLAS'!$B$4:$D$23,2,FALSE),0)+IF(AND(L115="Cafco 300",J115&gt;=95,J115&lt;=240,C115="Cj",I115=120),VLOOKUP(T115,'CAFCO 300 IDIEM TABLAS'!$B$4:$D$23,3,FALSE),0)+IF(AND(L115="Cafco 300",J115&gt;=95,J115&lt;=400,G115=3,C115="IN",I115=90),VLOOKUP(T115,'CAFCO 300 IDIEM TABLAS'!$F$4:$H$35,2,FALSE),0)+IF(AND(L115="Cafco 300",J115&gt;=95,J115&lt;=400,G115=3,C115="IN",I115=120),VLOOKUP(T115,'CAFCO 300 IDIEM TABLAS'!$F$4:$H$35,3,FALSE),0)+IF(AND(L115="Cafco 300",J115&gt;=95,J115&lt;=450,G115=4,C115="IN",I115=90),VLOOKUP(T115,'CAFCO 300 IDIEM TABLAS'!$J$4:$L$40,2,FALSE),0)+IF(AND(L115="Cafco 300",J115&gt;=95,J115&lt;=450,G115=4,C115="IN",I115=120),VLOOKUP(T115,'CAFCO 300 IDIEM TABLAS'!$J$4:$L$40,3,FALSE),0)+IF(AND(M115="Ensayo Idiem",L115="Cafco 400",C115="IN",G115=4,I115=90),VLOOKUP(T115,'CAFCO 400 ENSAYO'!$B$7:$D$43,2,FALSE),0)+IF(AND(M115="Ensayo Idiem",L115="Cafco 400",C115="IN",G115=4,I115=120),VLOOKUP(T115,'CAFCO 400 ENSAYO'!$B$7:$D$43,3,FALSE),0)</f>
        <v>0</v>
      </c>
      <c r="O115" s="96">
        <f t="shared" ref="O115:O125" si="12">((IF(L115="Blaze Shield II",((K115*N115*0.43)/38),IF(L115="Cafco 400",((K115*N115*0.43)/23),IF(L115="Cafco 300",((K115*N115*0.43)/31.16),0)))))</f>
        <v>0</v>
      </c>
      <c r="P115" s="95" t="str">
        <f t="shared" si="9"/>
        <v>NO CERT.</v>
      </c>
      <c r="Q115" s="95" t="str">
        <f t="shared" si="10"/>
        <v>NO CERT.</v>
      </c>
      <c r="R115" s="95" t="str">
        <f t="shared" si="11"/>
        <v>NO CERT.</v>
      </c>
      <c r="S115" s="95" t="e">
        <f t="shared" si="6"/>
        <v>#N/A</v>
      </c>
      <c r="T115" s="119" t="e">
        <f>+IF(J115=LOOKUP(J115,'CAFCO 300 IDIEM TABLAS'!$J$4:$J$40),'CALCULO MORTERO'!J115,MROUND('CALCULO MORTERO'!J115,10))</f>
        <v>#N/A</v>
      </c>
      <c r="U115" s="118">
        <f t="shared" si="7"/>
        <v>0</v>
      </c>
      <c r="Y115" s="4"/>
      <c r="Z115" s="4"/>
      <c r="AA115" s="4"/>
    </row>
    <row r="116" spans="1:27" ht="15.6" customHeight="1" x14ac:dyDescent="0.25">
      <c r="A116" s="118">
        <f>+CUBICACION!D115</f>
        <v>0</v>
      </c>
      <c r="B116" s="819">
        <f>+CUBICACION!E115</f>
        <v>0</v>
      </c>
      <c r="C116" s="675">
        <f>+CUBICACION!F115</f>
        <v>0</v>
      </c>
      <c r="D116" s="118"/>
      <c r="E116" s="118"/>
      <c r="F116" s="820"/>
      <c r="G116" s="675">
        <f>+CUBICACION!J115</f>
        <v>4</v>
      </c>
      <c r="H116" s="118"/>
      <c r="I116" s="821">
        <f>+CUBICACION!L115</f>
        <v>0</v>
      </c>
      <c r="J116" s="64">
        <f>+CUBICACION!M115</f>
        <v>0</v>
      </c>
      <c r="K116" s="822" t="str">
        <f>+CUBICACION!N115</f>
        <v/>
      </c>
      <c r="L116" s="118">
        <f>+CUBICACION!O115</f>
        <v>0</v>
      </c>
      <c r="M116" s="823" t="str">
        <f>+CUBICACION!P115</f>
        <v>Software Idiem</v>
      </c>
      <c r="N116" s="902">
        <f>ROUND(IF(AND(L116="Blaze Shield II",M116="Software Idiem",C116="IN",G116=4),((('BLAZE SHIELD II'!$D$4*('CALCULO MORTERO'!I116^2)+'BLAZE SHIELD II'!$D$5*'CALCULO MORTERO'!I116+'BLAZE SHIELD II'!$D$6)*LN(J116))+('BLAZE SHIELD II'!$D$7*('CALCULO MORTERO'!I116^2)+'BLAZE SHIELD II'!$D$8*'CALCULO MORTERO'!I116+'BLAZE SHIELD II'!$D$9)),0)+IF(AND(L116="Blaze Shield II",M116="Software Idiem",C116="Cj"),((('BLAZE SHIELD II'!$H$4*('CALCULO MORTERO'!I116^2)+'BLAZE SHIELD II'!$H$5*'CALCULO MORTERO'!I116+'BLAZE SHIELD II'!$H$6)*LN(J116))+('BLAZE SHIELD II'!$H$7*('CALCULO MORTERO'!I116^2)+'BLAZE SHIELD II'!$H$8*'CALCULO MORTERO'!I116+'BLAZE SHIELD II'!$H$9)),0)+IF(AND(L116="Blaze Shield II",M116="Software Idiem",C116="C"),((('BLAZE SHIELD II'!$L$4*('CALCULO MORTERO'!I116^2)+'BLAZE SHIELD II'!$L$5*'CALCULO MORTERO'!I116+'BLAZE SHIELD II'!$L$6)*LN(J116))+('BLAZE SHIELD II'!$L$7*('CALCULO MORTERO'!I116^2)+'BLAZE SHIELD II'!$L$8*'CALCULO MORTERO'!I116+'BLAZE SHIELD II'!$L$9)),0)+IF(AND(L116="Blaze Shield II",M116="Software Idiem",C116="L"),((('BLAZE SHIELD II'!$L$4*('CALCULO MORTERO'!I116^2)+'BLAZE SHIELD II'!$L$5*'CALCULO MORTERO'!I116+'BLAZE SHIELD II'!$L$6)*LN(J116))+('BLAZE SHIELD II'!$L$7*('CALCULO MORTERO'!I116^2)+'BLAZE SHIELD II'!$L$8*'CALCULO MORTERO'!I116+'BLAZE SHIELD II'!$L$9)),0)+IF(AND(L116="Blaze Shield II",M116="Software Idiem",C116="IN",G116=3),((('BLAZE SHIELD II'!$H$14*('CALCULO MORTERO'!I116^2)+'BLAZE SHIELD II'!$H$15*'CALCULO MORTERO'!I116+'BLAZE SHIELD II'!$H$16)*LN(J116))+('BLAZE SHIELD II'!$H$17*('CALCULO MORTERO'!I116^2)+'BLAZE SHIELD II'!$H$18*'CALCULO MORTERO'!I116+'BLAZE SHIELD II'!$H$19)),0),0)+ROUND(IF(AND(L116="Cafco 400",M116="Software Idiem",C116="IN",G116=4),((('CAFCO 400 '!$H$7*(J116^4)+'CAFCO 400 '!$H$8*(J116^3)+'CAFCO 400 '!$H$9*(J116^2)+'CAFCO 400 '!$H$10*J116+'CAFCO 400 '!$H$11)*U116^2)+(('CAFCO 400 '!$H$12*(J116^3)+'CAFCO 400 '!$H$13*(J116^2)+'CAFCO 400 '!$H$14*J116+'CAFCO 400 '!$H$15)*U116)+('CAFCO 400 '!$H$16*(J116^2)+'CAFCO 400 '!$H$17*J116+'CAFCO 400 '!$H$18)),0)+IF(AND(L116="Cafco 400",M116="Software Idiem",C116="Cj"),(((('CAFCO 400 '!$D$7*LN(J116)+'CAFCO 400 '!$D$8)*U116^2)+(('CAFCO 400 '!$D$9*LN(J116)+'CAFCO 400 '!$D$10)*U116)+('CAFCO 400 '!$D$11*LN(J116)+'CAFCO 400 '!$D$12))),0)+IF(AND(L116="Cafco 400",M116="Software Idiem",C116="C"),((('CAFCO 400 '!$L$7*(J116^3)+'CAFCO 400 '!$L$8*(J116^2)+'CAFCO 400 '!$L$9*J116+'CAFCO 400 '!$L$10)*U116^2)+(('CAFCO 400 '!$L$11*(J116^3)+'CAFCO 400 '!$L$12*(J116^2)+'CAFCO 400 '!$L$13*J116+'CAFCO 400 '!$L$14)*U116)+('CAFCO 400 '!$L$15*LN(J116)+'CAFCO 400 '!$L$16)),0)+IF(AND(L116="Cafco 400",M116="Software Idiem",C116="L"),((('CAFCO 400 '!$L$7*(J116^3)+'CAFCO 400 '!$L$8*(J116^2)+'CAFCO 400 '!$L$9*J116+'CAFCO 400 '!$L$10)*U116^2)+(('CAFCO 400 '!$L$11*(J116^3)+'CAFCO 400 '!$L$12*(J116^2)+'CAFCO 400 '!$L$13*J116+'CAFCO 400 '!$L$14)*U116)+('CAFCO 400 '!$L$15*LN(J116)+'CAFCO 400 '!$L$16)),0)+IF(AND(L116="Cafco 400",M116="Software Idiem",C116="IN",G116=3),((('CAFCO 400 '!$D$23*(J116^2)+'CAFCO 400 '!$D$24*(J116)+'CAFCO 400 '!$D$25)*U116^2)+(('CAFCO 400 '!$D$26*(J116^2)+'CAFCO 400 '!$D$27*J116+'CAFCO 400 '!$D$28)*U116)+('CAFCO 400 '!$D$29*(J116^2)+'CAFCO 400 '!$D$30*J116+'CAFCO 400 '!$D$31)),0),0)+IF(AND(L116="Cafco 300",J116&gt;=95,J116&lt;=240,C116="Cj",I116=90),VLOOKUP(T116,'CAFCO 300 IDIEM TABLAS'!$B$4:$D$23,2,FALSE),0)+IF(AND(L116="Cafco 300",J116&gt;=95,J116&lt;=240,C116="Cj",I116=120),VLOOKUP(T116,'CAFCO 300 IDIEM TABLAS'!$B$4:$D$23,3,FALSE),0)+IF(AND(L116="Cafco 300",J116&gt;=95,J116&lt;=400,G116=3,C116="IN",I116=90),VLOOKUP(T116,'CAFCO 300 IDIEM TABLAS'!$F$4:$H$35,2,FALSE),0)+IF(AND(L116="Cafco 300",J116&gt;=95,J116&lt;=400,G116=3,C116="IN",I116=120),VLOOKUP(T116,'CAFCO 300 IDIEM TABLAS'!$F$4:$H$35,3,FALSE),0)+IF(AND(L116="Cafco 300",J116&gt;=95,J116&lt;=450,G116=4,C116="IN",I116=90),VLOOKUP(T116,'CAFCO 300 IDIEM TABLAS'!$J$4:$L$40,2,FALSE),0)+IF(AND(L116="Cafco 300",J116&gt;=95,J116&lt;=450,G116=4,C116="IN",I116=120),VLOOKUP(T116,'CAFCO 300 IDIEM TABLAS'!$J$4:$L$40,3,FALSE),0)+IF(AND(M116="Ensayo Idiem",L116="Cafco 400",C116="IN",G116=4,I116=90),VLOOKUP(T116,'CAFCO 400 ENSAYO'!$B$7:$D$43,2,FALSE),0)+IF(AND(M116="Ensayo Idiem",L116="Cafco 400",C116="IN",G116=4,I116=120),VLOOKUP(T116,'CAFCO 400 ENSAYO'!$B$7:$D$43,3,FALSE),0)</f>
        <v>0</v>
      </c>
      <c r="O116" s="96">
        <f t="shared" si="12"/>
        <v>0</v>
      </c>
      <c r="P116" s="95" t="str">
        <f t="shared" si="9"/>
        <v>NO CERT.</v>
      </c>
      <c r="Q116" s="95" t="str">
        <f t="shared" si="10"/>
        <v>NO CERT.</v>
      </c>
      <c r="R116" s="95" t="str">
        <f t="shared" si="11"/>
        <v>NO CERT.</v>
      </c>
      <c r="S116" s="95" t="e">
        <f t="shared" si="6"/>
        <v>#N/A</v>
      </c>
      <c r="T116" s="119" t="e">
        <f>+IF(J116=LOOKUP(J116,'CAFCO 300 IDIEM TABLAS'!$J$4:$J$40),'CALCULO MORTERO'!J116,MROUND('CALCULO MORTERO'!J116,10))</f>
        <v>#N/A</v>
      </c>
      <c r="U116" s="118">
        <f t="shared" si="7"/>
        <v>0</v>
      </c>
      <c r="Y116" s="4"/>
      <c r="Z116" s="4"/>
      <c r="AA116" s="4"/>
    </row>
    <row r="117" spans="1:27" x14ac:dyDescent="0.25">
      <c r="A117" s="118">
        <f>+CUBICACION!D116</f>
        <v>0</v>
      </c>
      <c r="B117" s="819">
        <f>+CUBICACION!E116</f>
        <v>0</v>
      </c>
      <c r="C117" s="675">
        <f>+CUBICACION!F116</f>
        <v>0</v>
      </c>
      <c r="D117" s="118"/>
      <c r="E117" s="118"/>
      <c r="F117" s="820"/>
      <c r="G117" s="675">
        <f>+CUBICACION!J116</f>
        <v>4</v>
      </c>
      <c r="H117" s="118"/>
      <c r="I117" s="821">
        <f>+CUBICACION!L116</f>
        <v>0</v>
      </c>
      <c r="J117" s="64">
        <f>+CUBICACION!M116</f>
        <v>0</v>
      </c>
      <c r="K117" s="822" t="str">
        <f>+CUBICACION!N116</f>
        <v/>
      </c>
      <c r="L117" s="118">
        <f>+CUBICACION!O116</f>
        <v>0</v>
      </c>
      <c r="M117" s="823" t="str">
        <f>+CUBICACION!P116</f>
        <v>Software Idiem</v>
      </c>
      <c r="N117" s="902">
        <f>ROUND(IF(AND(L117="Blaze Shield II",M117="Software Idiem",C117="IN",G117=4),((('BLAZE SHIELD II'!$D$4*('CALCULO MORTERO'!I117^2)+'BLAZE SHIELD II'!$D$5*'CALCULO MORTERO'!I117+'BLAZE SHIELD II'!$D$6)*LN(J117))+('BLAZE SHIELD II'!$D$7*('CALCULO MORTERO'!I117^2)+'BLAZE SHIELD II'!$D$8*'CALCULO MORTERO'!I117+'BLAZE SHIELD II'!$D$9)),0)+IF(AND(L117="Blaze Shield II",M117="Software Idiem",C117="Cj"),((('BLAZE SHIELD II'!$H$4*('CALCULO MORTERO'!I117^2)+'BLAZE SHIELD II'!$H$5*'CALCULO MORTERO'!I117+'BLAZE SHIELD II'!$H$6)*LN(J117))+('BLAZE SHIELD II'!$H$7*('CALCULO MORTERO'!I117^2)+'BLAZE SHIELD II'!$H$8*'CALCULO MORTERO'!I117+'BLAZE SHIELD II'!$H$9)),0)+IF(AND(L117="Blaze Shield II",M117="Software Idiem",C117="C"),((('BLAZE SHIELD II'!$L$4*('CALCULO MORTERO'!I117^2)+'BLAZE SHIELD II'!$L$5*'CALCULO MORTERO'!I117+'BLAZE SHIELD II'!$L$6)*LN(J117))+('BLAZE SHIELD II'!$L$7*('CALCULO MORTERO'!I117^2)+'BLAZE SHIELD II'!$L$8*'CALCULO MORTERO'!I117+'BLAZE SHIELD II'!$L$9)),0)+IF(AND(L117="Blaze Shield II",M117="Software Idiem",C117="L"),((('BLAZE SHIELD II'!$L$4*('CALCULO MORTERO'!I117^2)+'BLAZE SHIELD II'!$L$5*'CALCULO MORTERO'!I117+'BLAZE SHIELD II'!$L$6)*LN(J117))+('BLAZE SHIELD II'!$L$7*('CALCULO MORTERO'!I117^2)+'BLAZE SHIELD II'!$L$8*'CALCULO MORTERO'!I117+'BLAZE SHIELD II'!$L$9)),0)+IF(AND(L117="Blaze Shield II",M117="Software Idiem",C117="IN",G117=3),((('BLAZE SHIELD II'!$H$14*('CALCULO MORTERO'!I117^2)+'BLAZE SHIELD II'!$H$15*'CALCULO MORTERO'!I117+'BLAZE SHIELD II'!$H$16)*LN(J117))+('BLAZE SHIELD II'!$H$17*('CALCULO MORTERO'!I117^2)+'BLAZE SHIELD II'!$H$18*'CALCULO MORTERO'!I117+'BLAZE SHIELD II'!$H$19)),0),0)+ROUND(IF(AND(L117="Cafco 400",M117="Software Idiem",C117="IN",G117=4),((('CAFCO 400 '!$H$7*(J117^4)+'CAFCO 400 '!$H$8*(J117^3)+'CAFCO 400 '!$H$9*(J117^2)+'CAFCO 400 '!$H$10*J117+'CAFCO 400 '!$H$11)*U117^2)+(('CAFCO 400 '!$H$12*(J117^3)+'CAFCO 400 '!$H$13*(J117^2)+'CAFCO 400 '!$H$14*J117+'CAFCO 400 '!$H$15)*U117)+('CAFCO 400 '!$H$16*(J117^2)+'CAFCO 400 '!$H$17*J117+'CAFCO 400 '!$H$18)),0)+IF(AND(L117="Cafco 400",M117="Software Idiem",C117="Cj"),(((('CAFCO 400 '!$D$7*LN(J117)+'CAFCO 400 '!$D$8)*U117^2)+(('CAFCO 400 '!$D$9*LN(J117)+'CAFCO 400 '!$D$10)*U117)+('CAFCO 400 '!$D$11*LN(J117)+'CAFCO 400 '!$D$12))),0)+IF(AND(L117="Cafco 400",M117="Software Idiem",C117="C"),((('CAFCO 400 '!$L$7*(J117^3)+'CAFCO 400 '!$L$8*(J117^2)+'CAFCO 400 '!$L$9*J117+'CAFCO 400 '!$L$10)*U117^2)+(('CAFCO 400 '!$L$11*(J117^3)+'CAFCO 400 '!$L$12*(J117^2)+'CAFCO 400 '!$L$13*J117+'CAFCO 400 '!$L$14)*U117)+('CAFCO 400 '!$L$15*LN(J117)+'CAFCO 400 '!$L$16)),0)+IF(AND(L117="Cafco 400",M117="Software Idiem",C117="L"),((('CAFCO 400 '!$L$7*(J117^3)+'CAFCO 400 '!$L$8*(J117^2)+'CAFCO 400 '!$L$9*J117+'CAFCO 400 '!$L$10)*U117^2)+(('CAFCO 400 '!$L$11*(J117^3)+'CAFCO 400 '!$L$12*(J117^2)+'CAFCO 400 '!$L$13*J117+'CAFCO 400 '!$L$14)*U117)+('CAFCO 400 '!$L$15*LN(J117)+'CAFCO 400 '!$L$16)),0)+IF(AND(L117="Cafco 400",M117="Software Idiem",C117="IN",G117=3),((('CAFCO 400 '!$D$23*(J117^2)+'CAFCO 400 '!$D$24*(J117)+'CAFCO 400 '!$D$25)*U117^2)+(('CAFCO 400 '!$D$26*(J117^2)+'CAFCO 400 '!$D$27*J117+'CAFCO 400 '!$D$28)*U117)+('CAFCO 400 '!$D$29*(J117^2)+'CAFCO 400 '!$D$30*J117+'CAFCO 400 '!$D$31)),0),0)+IF(AND(L117="Cafco 300",J117&gt;=95,J117&lt;=240,C117="Cj",I117=90),VLOOKUP(T117,'CAFCO 300 IDIEM TABLAS'!$B$4:$D$23,2,FALSE),0)+IF(AND(L117="Cafco 300",J117&gt;=95,J117&lt;=240,C117="Cj",I117=120),VLOOKUP(T117,'CAFCO 300 IDIEM TABLAS'!$B$4:$D$23,3,FALSE),0)+IF(AND(L117="Cafco 300",J117&gt;=95,J117&lt;=400,G117=3,C117="IN",I117=90),VLOOKUP(T117,'CAFCO 300 IDIEM TABLAS'!$F$4:$H$35,2,FALSE),0)+IF(AND(L117="Cafco 300",J117&gt;=95,J117&lt;=400,G117=3,C117="IN",I117=120),VLOOKUP(T117,'CAFCO 300 IDIEM TABLAS'!$F$4:$H$35,3,FALSE),0)+IF(AND(L117="Cafco 300",J117&gt;=95,J117&lt;=450,G117=4,C117="IN",I117=90),VLOOKUP(T117,'CAFCO 300 IDIEM TABLAS'!$J$4:$L$40,2,FALSE),0)+IF(AND(L117="Cafco 300",J117&gt;=95,J117&lt;=450,G117=4,C117="IN",I117=120),VLOOKUP(T117,'CAFCO 300 IDIEM TABLAS'!$J$4:$L$40,3,FALSE),0)+IF(AND(M117="Ensayo Idiem",L117="Cafco 400",C117="IN",G117=4,I117=90),VLOOKUP(T117,'CAFCO 400 ENSAYO'!$B$7:$D$43,2,FALSE),0)+IF(AND(M117="Ensayo Idiem",L117="Cafco 400",C117="IN",G117=4,I117=120),VLOOKUP(T117,'CAFCO 400 ENSAYO'!$B$7:$D$43,3,FALSE),0)</f>
        <v>0</v>
      </c>
      <c r="O117" s="96">
        <f t="shared" si="12"/>
        <v>0</v>
      </c>
      <c r="P117" s="95" t="str">
        <f t="shared" si="9"/>
        <v>NO CERT.</v>
      </c>
      <c r="Q117" s="95" t="str">
        <f t="shared" si="10"/>
        <v>NO CERT.</v>
      </c>
      <c r="R117" s="95" t="str">
        <f t="shared" si="11"/>
        <v>NO CERT.</v>
      </c>
      <c r="S117" s="95" t="e">
        <f t="shared" si="6"/>
        <v>#N/A</v>
      </c>
      <c r="T117" s="119" t="e">
        <f>+IF(J117=LOOKUP(J117,'CAFCO 300 IDIEM TABLAS'!$J$4:$J$40),'CALCULO MORTERO'!J117,MROUND('CALCULO MORTERO'!J117,10))</f>
        <v>#N/A</v>
      </c>
      <c r="U117" s="118">
        <f t="shared" si="7"/>
        <v>0</v>
      </c>
      <c r="Y117" s="4"/>
      <c r="Z117" s="4"/>
      <c r="AA117" s="4"/>
    </row>
    <row r="118" spans="1:27" ht="15.6" customHeight="1" x14ac:dyDescent="0.25">
      <c r="A118" s="118">
        <f>+CUBICACION!D117</f>
        <v>0</v>
      </c>
      <c r="B118" s="819">
        <f>+CUBICACION!E117</f>
        <v>0</v>
      </c>
      <c r="C118" s="675">
        <f>+CUBICACION!F117</f>
        <v>0</v>
      </c>
      <c r="D118" s="118"/>
      <c r="E118" s="118"/>
      <c r="F118" s="820"/>
      <c r="G118" s="675">
        <f>+CUBICACION!J117</f>
        <v>4</v>
      </c>
      <c r="H118" s="118"/>
      <c r="I118" s="821">
        <f>+CUBICACION!L117</f>
        <v>0</v>
      </c>
      <c r="J118" s="64">
        <f>+CUBICACION!M117</f>
        <v>0</v>
      </c>
      <c r="K118" s="822" t="str">
        <f>+CUBICACION!N117</f>
        <v/>
      </c>
      <c r="L118" s="118">
        <f>+CUBICACION!O117</f>
        <v>0</v>
      </c>
      <c r="M118" s="823" t="str">
        <f>+CUBICACION!P117</f>
        <v>Software Idiem</v>
      </c>
      <c r="N118" s="902">
        <f>ROUND(IF(AND(L118="Blaze Shield II",M118="Software Idiem",C118="IN",G118=4),((('BLAZE SHIELD II'!$D$4*('CALCULO MORTERO'!I118^2)+'BLAZE SHIELD II'!$D$5*'CALCULO MORTERO'!I118+'BLAZE SHIELD II'!$D$6)*LN(J118))+('BLAZE SHIELD II'!$D$7*('CALCULO MORTERO'!I118^2)+'BLAZE SHIELD II'!$D$8*'CALCULO MORTERO'!I118+'BLAZE SHIELD II'!$D$9)),0)+IF(AND(L118="Blaze Shield II",M118="Software Idiem",C118="Cj"),((('BLAZE SHIELD II'!$H$4*('CALCULO MORTERO'!I118^2)+'BLAZE SHIELD II'!$H$5*'CALCULO MORTERO'!I118+'BLAZE SHIELD II'!$H$6)*LN(J118))+('BLAZE SHIELD II'!$H$7*('CALCULO MORTERO'!I118^2)+'BLAZE SHIELD II'!$H$8*'CALCULO MORTERO'!I118+'BLAZE SHIELD II'!$H$9)),0)+IF(AND(L118="Blaze Shield II",M118="Software Idiem",C118="C"),((('BLAZE SHIELD II'!$L$4*('CALCULO MORTERO'!I118^2)+'BLAZE SHIELD II'!$L$5*'CALCULO MORTERO'!I118+'BLAZE SHIELD II'!$L$6)*LN(J118))+('BLAZE SHIELD II'!$L$7*('CALCULO MORTERO'!I118^2)+'BLAZE SHIELD II'!$L$8*'CALCULO MORTERO'!I118+'BLAZE SHIELD II'!$L$9)),0)+IF(AND(L118="Blaze Shield II",M118="Software Idiem",C118="L"),((('BLAZE SHIELD II'!$L$4*('CALCULO MORTERO'!I118^2)+'BLAZE SHIELD II'!$L$5*'CALCULO MORTERO'!I118+'BLAZE SHIELD II'!$L$6)*LN(J118))+('BLAZE SHIELD II'!$L$7*('CALCULO MORTERO'!I118^2)+'BLAZE SHIELD II'!$L$8*'CALCULO MORTERO'!I118+'BLAZE SHIELD II'!$L$9)),0)+IF(AND(L118="Blaze Shield II",M118="Software Idiem",C118="IN",G118=3),((('BLAZE SHIELD II'!$H$14*('CALCULO MORTERO'!I118^2)+'BLAZE SHIELD II'!$H$15*'CALCULO MORTERO'!I118+'BLAZE SHIELD II'!$H$16)*LN(J118))+('BLAZE SHIELD II'!$H$17*('CALCULO MORTERO'!I118^2)+'BLAZE SHIELD II'!$H$18*'CALCULO MORTERO'!I118+'BLAZE SHIELD II'!$H$19)),0),0)+ROUND(IF(AND(L118="Cafco 400",M118="Software Idiem",C118="IN",G118=4),((('CAFCO 400 '!$H$7*(J118^4)+'CAFCO 400 '!$H$8*(J118^3)+'CAFCO 400 '!$H$9*(J118^2)+'CAFCO 400 '!$H$10*J118+'CAFCO 400 '!$H$11)*U118^2)+(('CAFCO 400 '!$H$12*(J118^3)+'CAFCO 400 '!$H$13*(J118^2)+'CAFCO 400 '!$H$14*J118+'CAFCO 400 '!$H$15)*U118)+('CAFCO 400 '!$H$16*(J118^2)+'CAFCO 400 '!$H$17*J118+'CAFCO 400 '!$H$18)),0)+IF(AND(L118="Cafco 400",M118="Software Idiem",C118="Cj"),(((('CAFCO 400 '!$D$7*LN(J118)+'CAFCO 400 '!$D$8)*U118^2)+(('CAFCO 400 '!$D$9*LN(J118)+'CAFCO 400 '!$D$10)*U118)+('CAFCO 400 '!$D$11*LN(J118)+'CAFCO 400 '!$D$12))),0)+IF(AND(L118="Cafco 400",M118="Software Idiem",C118="C"),((('CAFCO 400 '!$L$7*(J118^3)+'CAFCO 400 '!$L$8*(J118^2)+'CAFCO 400 '!$L$9*J118+'CAFCO 400 '!$L$10)*U118^2)+(('CAFCO 400 '!$L$11*(J118^3)+'CAFCO 400 '!$L$12*(J118^2)+'CAFCO 400 '!$L$13*J118+'CAFCO 400 '!$L$14)*U118)+('CAFCO 400 '!$L$15*LN(J118)+'CAFCO 400 '!$L$16)),0)+IF(AND(L118="Cafco 400",M118="Software Idiem",C118="L"),((('CAFCO 400 '!$L$7*(J118^3)+'CAFCO 400 '!$L$8*(J118^2)+'CAFCO 400 '!$L$9*J118+'CAFCO 400 '!$L$10)*U118^2)+(('CAFCO 400 '!$L$11*(J118^3)+'CAFCO 400 '!$L$12*(J118^2)+'CAFCO 400 '!$L$13*J118+'CAFCO 400 '!$L$14)*U118)+('CAFCO 400 '!$L$15*LN(J118)+'CAFCO 400 '!$L$16)),0)+IF(AND(L118="Cafco 400",M118="Software Idiem",C118="IN",G118=3),((('CAFCO 400 '!$D$23*(J118^2)+'CAFCO 400 '!$D$24*(J118)+'CAFCO 400 '!$D$25)*U118^2)+(('CAFCO 400 '!$D$26*(J118^2)+'CAFCO 400 '!$D$27*J118+'CAFCO 400 '!$D$28)*U118)+('CAFCO 400 '!$D$29*(J118^2)+'CAFCO 400 '!$D$30*J118+'CAFCO 400 '!$D$31)),0),0)+IF(AND(L118="Cafco 300",J118&gt;=95,J118&lt;=240,C118="Cj",I118=90),VLOOKUP(T118,'CAFCO 300 IDIEM TABLAS'!$B$4:$D$23,2,FALSE),0)+IF(AND(L118="Cafco 300",J118&gt;=95,J118&lt;=240,C118="Cj",I118=120),VLOOKUP(T118,'CAFCO 300 IDIEM TABLAS'!$B$4:$D$23,3,FALSE),0)+IF(AND(L118="Cafco 300",J118&gt;=95,J118&lt;=400,G118=3,C118="IN",I118=90),VLOOKUP(T118,'CAFCO 300 IDIEM TABLAS'!$F$4:$H$35,2,FALSE),0)+IF(AND(L118="Cafco 300",J118&gt;=95,J118&lt;=400,G118=3,C118="IN",I118=120),VLOOKUP(T118,'CAFCO 300 IDIEM TABLAS'!$F$4:$H$35,3,FALSE),0)+IF(AND(L118="Cafco 300",J118&gt;=95,J118&lt;=450,G118=4,C118="IN",I118=90),VLOOKUP(T118,'CAFCO 300 IDIEM TABLAS'!$J$4:$L$40,2,FALSE),0)+IF(AND(L118="Cafco 300",J118&gt;=95,J118&lt;=450,G118=4,C118="IN",I118=120),VLOOKUP(T118,'CAFCO 300 IDIEM TABLAS'!$J$4:$L$40,3,FALSE),0)+IF(AND(M118="Ensayo Idiem",L118="Cafco 400",C118="IN",G118=4,I118=90),VLOOKUP(T118,'CAFCO 400 ENSAYO'!$B$7:$D$43,2,FALSE),0)+IF(AND(M118="Ensayo Idiem",L118="Cafco 400",C118="IN",G118=4,I118=120),VLOOKUP(T118,'CAFCO 400 ENSAYO'!$B$7:$D$43,3,FALSE),0)</f>
        <v>0</v>
      </c>
      <c r="O118" s="96">
        <f t="shared" si="12"/>
        <v>0</v>
      </c>
      <c r="P118" s="95" t="str">
        <f t="shared" si="9"/>
        <v>NO CERT.</v>
      </c>
      <c r="Q118" s="95" t="str">
        <f t="shared" si="10"/>
        <v>NO CERT.</v>
      </c>
      <c r="R118" s="95" t="str">
        <f t="shared" si="11"/>
        <v>NO CERT.</v>
      </c>
      <c r="S118" s="95" t="e">
        <f t="shared" si="6"/>
        <v>#N/A</v>
      </c>
      <c r="T118" s="119" t="e">
        <f>+IF(J118=LOOKUP(J118,'CAFCO 300 IDIEM TABLAS'!$J$4:$J$40),'CALCULO MORTERO'!J118,MROUND('CALCULO MORTERO'!J118,10))</f>
        <v>#N/A</v>
      </c>
      <c r="U118" s="118">
        <f t="shared" si="7"/>
        <v>0</v>
      </c>
      <c r="Y118" s="4"/>
      <c r="Z118" s="4"/>
      <c r="AA118" s="4"/>
    </row>
    <row r="119" spans="1:27" x14ac:dyDescent="0.25">
      <c r="A119" s="118">
        <f>+CUBICACION!D118</f>
        <v>0</v>
      </c>
      <c r="B119" s="819">
        <f>+CUBICACION!E118</f>
        <v>0</v>
      </c>
      <c r="C119" s="675">
        <f>+CUBICACION!F118</f>
        <v>0</v>
      </c>
      <c r="D119" s="118"/>
      <c r="E119" s="118"/>
      <c r="F119" s="820"/>
      <c r="G119" s="675">
        <f>+CUBICACION!J118</f>
        <v>4</v>
      </c>
      <c r="H119" s="118"/>
      <c r="I119" s="821">
        <f>+CUBICACION!L118</f>
        <v>0</v>
      </c>
      <c r="J119" s="64">
        <f>+CUBICACION!M118</f>
        <v>0</v>
      </c>
      <c r="K119" s="822" t="str">
        <f>+CUBICACION!N118</f>
        <v/>
      </c>
      <c r="L119" s="118">
        <f>+CUBICACION!O118</f>
        <v>0</v>
      </c>
      <c r="M119" s="823" t="str">
        <f>+CUBICACION!P118</f>
        <v>Software Idiem</v>
      </c>
      <c r="N119" s="902">
        <f>ROUND(IF(AND(L119="Blaze Shield II",M119="Software Idiem",C119="IN",G119=4),((('BLAZE SHIELD II'!$D$4*('CALCULO MORTERO'!I119^2)+'BLAZE SHIELD II'!$D$5*'CALCULO MORTERO'!I119+'BLAZE SHIELD II'!$D$6)*LN(J119))+('BLAZE SHIELD II'!$D$7*('CALCULO MORTERO'!I119^2)+'BLAZE SHIELD II'!$D$8*'CALCULO MORTERO'!I119+'BLAZE SHIELD II'!$D$9)),0)+IF(AND(L119="Blaze Shield II",M119="Software Idiem",C119="Cj"),((('BLAZE SHIELD II'!$H$4*('CALCULO MORTERO'!I119^2)+'BLAZE SHIELD II'!$H$5*'CALCULO MORTERO'!I119+'BLAZE SHIELD II'!$H$6)*LN(J119))+('BLAZE SHIELD II'!$H$7*('CALCULO MORTERO'!I119^2)+'BLAZE SHIELD II'!$H$8*'CALCULO MORTERO'!I119+'BLAZE SHIELD II'!$H$9)),0)+IF(AND(L119="Blaze Shield II",M119="Software Idiem",C119="C"),((('BLAZE SHIELD II'!$L$4*('CALCULO MORTERO'!I119^2)+'BLAZE SHIELD II'!$L$5*'CALCULO MORTERO'!I119+'BLAZE SHIELD II'!$L$6)*LN(J119))+('BLAZE SHIELD II'!$L$7*('CALCULO MORTERO'!I119^2)+'BLAZE SHIELD II'!$L$8*'CALCULO MORTERO'!I119+'BLAZE SHIELD II'!$L$9)),0)+IF(AND(L119="Blaze Shield II",M119="Software Idiem",C119="L"),((('BLAZE SHIELD II'!$L$4*('CALCULO MORTERO'!I119^2)+'BLAZE SHIELD II'!$L$5*'CALCULO MORTERO'!I119+'BLAZE SHIELD II'!$L$6)*LN(J119))+('BLAZE SHIELD II'!$L$7*('CALCULO MORTERO'!I119^2)+'BLAZE SHIELD II'!$L$8*'CALCULO MORTERO'!I119+'BLAZE SHIELD II'!$L$9)),0)+IF(AND(L119="Blaze Shield II",M119="Software Idiem",C119="IN",G119=3),((('BLAZE SHIELD II'!$H$14*('CALCULO MORTERO'!I119^2)+'BLAZE SHIELD II'!$H$15*'CALCULO MORTERO'!I119+'BLAZE SHIELD II'!$H$16)*LN(J119))+('BLAZE SHIELD II'!$H$17*('CALCULO MORTERO'!I119^2)+'BLAZE SHIELD II'!$H$18*'CALCULO MORTERO'!I119+'BLAZE SHIELD II'!$H$19)),0),0)+ROUND(IF(AND(L119="Cafco 400",M119="Software Idiem",C119="IN",G119=4),((('CAFCO 400 '!$H$7*(J119^4)+'CAFCO 400 '!$H$8*(J119^3)+'CAFCO 400 '!$H$9*(J119^2)+'CAFCO 400 '!$H$10*J119+'CAFCO 400 '!$H$11)*U119^2)+(('CAFCO 400 '!$H$12*(J119^3)+'CAFCO 400 '!$H$13*(J119^2)+'CAFCO 400 '!$H$14*J119+'CAFCO 400 '!$H$15)*U119)+('CAFCO 400 '!$H$16*(J119^2)+'CAFCO 400 '!$H$17*J119+'CAFCO 400 '!$H$18)),0)+IF(AND(L119="Cafco 400",M119="Software Idiem",C119="Cj"),(((('CAFCO 400 '!$D$7*LN(J119)+'CAFCO 400 '!$D$8)*U119^2)+(('CAFCO 400 '!$D$9*LN(J119)+'CAFCO 400 '!$D$10)*U119)+('CAFCO 400 '!$D$11*LN(J119)+'CAFCO 400 '!$D$12))),0)+IF(AND(L119="Cafco 400",M119="Software Idiem",C119="C"),((('CAFCO 400 '!$L$7*(J119^3)+'CAFCO 400 '!$L$8*(J119^2)+'CAFCO 400 '!$L$9*J119+'CAFCO 400 '!$L$10)*U119^2)+(('CAFCO 400 '!$L$11*(J119^3)+'CAFCO 400 '!$L$12*(J119^2)+'CAFCO 400 '!$L$13*J119+'CAFCO 400 '!$L$14)*U119)+('CAFCO 400 '!$L$15*LN(J119)+'CAFCO 400 '!$L$16)),0)+IF(AND(L119="Cafco 400",M119="Software Idiem",C119="L"),((('CAFCO 400 '!$L$7*(J119^3)+'CAFCO 400 '!$L$8*(J119^2)+'CAFCO 400 '!$L$9*J119+'CAFCO 400 '!$L$10)*U119^2)+(('CAFCO 400 '!$L$11*(J119^3)+'CAFCO 400 '!$L$12*(J119^2)+'CAFCO 400 '!$L$13*J119+'CAFCO 400 '!$L$14)*U119)+('CAFCO 400 '!$L$15*LN(J119)+'CAFCO 400 '!$L$16)),0)+IF(AND(L119="Cafco 400",M119="Software Idiem",C119="IN",G119=3),((('CAFCO 400 '!$D$23*(J119^2)+'CAFCO 400 '!$D$24*(J119)+'CAFCO 400 '!$D$25)*U119^2)+(('CAFCO 400 '!$D$26*(J119^2)+'CAFCO 400 '!$D$27*J119+'CAFCO 400 '!$D$28)*U119)+('CAFCO 400 '!$D$29*(J119^2)+'CAFCO 400 '!$D$30*J119+'CAFCO 400 '!$D$31)),0),0)+IF(AND(L119="Cafco 300",J119&gt;=95,J119&lt;=240,C119="Cj",I119=90),VLOOKUP(T119,'CAFCO 300 IDIEM TABLAS'!$B$4:$D$23,2,FALSE),0)+IF(AND(L119="Cafco 300",J119&gt;=95,J119&lt;=240,C119="Cj",I119=120),VLOOKUP(T119,'CAFCO 300 IDIEM TABLAS'!$B$4:$D$23,3,FALSE),0)+IF(AND(L119="Cafco 300",J119&gt;=95,J119&lt;=400,G119=3,C119="IN",I119=90),VLOOKUP(T119,'CAFCO 300 IDIEM TABLAS'!$F$4:$H$35,2,FALSE),0)+IF(AND(L119="Cafco 300",J119&gt;=95,J119&lt;=400,G119=3,C119="IN",I119=120),VLOOKUP(T119,'CAFCO 300 IDIEM TABLAS'!$F$4:$H$35,3,FALSE),0)+IF(AND(L119="Cafco 300",J119&gt;=95,J119&lt;=450,G119=4,C119="IN",I119=90),VLOOKUP(T119,'CAFCO 300 IDIEM TABLAS'!$J$4:$L$40,2,FALSE),0)+IF(AND(L119="Cafco 300",J119&gt;=95,J119&lt;=450,G119=4,C119="IN",I119=120),VLOOKUP(T119,'CAFCO 300 IDIEM TABLAS'!$J$4:$L$40,3,FALSE),0)+IF(AND(M119="Ensayo Idiem",L119="Cafco 400",C119="IN",G119=4,I119=90),VLOOKUP(T119,'CAFCO 400 ENSAYO'!$B$7:$D$43,2,FALSE),0)+IF(AND(M119="Ensayo Idiem",L119="Cafco 400",C119="IN",G119=4,I119=120),VLOOKUP(T119,'CAFCO 400 ENSAYO'!$B$7:$D$43,3,FALSE),0)</f>
        <v>0</v>
      </c>
      <c r="O119" s="96">
        <f t="shared" ref="O119:O124" si="13">((IF(L119="Blaze Shield II",((K119*N119*0.43)/38),IF(L119="Cafco 400",((K119*N119*0.43)/23),IF(L119="Cafco 300",((K119*N119*0.43)/31.16),0)))))</f>
        <v>0</v>
      </c>
      <c r="P119" s="95" t="str">
        <f t="shared" ref="P119:P124" si="14">IF(AND(M119="Software Idiem"),IF(AND(C119="IN",G119=4,J119&gt;=50,J119&lt;=500),"CERT.",IF(AND(C119="Cj",J119&gt;=50,J119&lt;=500),"CERT.",IF(AND(C119="C",J119&gt;=50,J119&lt;=1000),"CERT.",IF(AND(C119="L",J119&gt;=50,J119&lt;=1000),"CERT.",IF(AND(C119="IN",G119=3,J119&gt;=50,J119&lt;=500),"CERT.","NO CERT."))))),"N/A")</f>
        <v>NO CERT.</v>
      </c>
      <c r="Q119" s="95" t="str">
        <f t="shared" ref="Q119:Q124" si="15">IF(AND(M119="Software Idiem"),IF(AND(C119="IN",G119=4,J119&gt;=50,J119&lt;=500),"CERT.",IF(AND(C119="Cj",J119&gt;=50,J119&lt;=500),"CERT.",IF(AND(C119="C",J119&gt;=50,J119&lt;=1000),"CERT.",IF(AND(C119="L",J119&gt;=50,J119&lt;=1000),"CERT.",IF(AND(C119="IN",G119=3,J119&gt;=50,J119&lt;=500),"CERT.","NO CERT."))))),"N/A")</f>
        <v>NO CERT.</v>
      </c>
      <c r="R119" s="95" t="str">
        <f t="shared" ref="R119:R124" si="16">IF(AND(C119="IN",G119=4,J119&gt;=95,J119&lt;=450,I119=90),"CERT.",IF(AND(C119="IN",G119=4,J119&gt;=95,J119&lt;=450,I119=120),"CERT.","NO CERT."))</f>
        <v>NO CERT.</v>
      </c>
      <c r="S119" s="95" t="e">
        <f t="shared" ref="S119:S124" si="17">IF(AND(C119="Cj",I119=90,T119&lt;=240),"CERT.",IF(AND(C119="Cj",I119=120,T119&lt;=240),"CERT.",IF(AND(C119="IN",G119=3,I119=90,T119&lt;=400),"CERT.",IF(AND(C119="IN",G119=3,I119=120,T119&lt;=400),"CERT.",IF(AND(C119="IN",G119=4,I119=90,T119&lt;=450),"CERT.",IF(AND(C119="IN",G119=4,I119=120,T119&lt;=450),"CERT.","NO CERT."))))))</f>
        <v>#N/A</v>
      </c>
      <c r="T119" s="119" t="e">
        <f>+IF(J119=LOOKUP(J119,'CAFCO 300 IDIEM TABLAS'!$J$4:$J$40),'CALCULO MORTERO'!J119,MROUND('CALCULO MORTERO'!J119,10))</f>
        <v>#N/A</v>
      </c>
      <c r="U119" s="118">
        <f t="shared" ref="U119:U124" si="18">+I119*60</f>
        <v>0</v>
      </c>
      <c r="Y119" s="4"/>
      <c r="Z119" s="4"/>
      <c r="AA119" s="4"/>
    </row>
    <row r="120" spans="1:27" ht="15.6" customHeight="1" x14ac:dyDescent="0.25">
      <c r="A120" s="118">
        <f>+CUBICACION!D119</f>
        <v>0</v>
      </c>
      <c r="B120" s="819">
        <f>+CUBICACION!E119</f>
        <v>0</v>
      </c>
      <c r="C120" s="675">
        <f>+CUBICACION!F119</f>
        <v>0</v>
      </c>
      <c r="D120" s="118"/>
      <c r="E120" s="118"/>
      <c r="F120" s="820"/>
      <c r="G120" s="675">
        <f>+CUBICACION!J119</f>
        <v>4</v>
      </c>
      <c r="H120" s="118"/>
      <c r="I120" s="821">
        <f>+CUBICACION!L119</f>
        <v>0</v>
      </c>
      <c r="J120" s="64">
        <f>+CUBICACION!M119</f>
        <v>0</v>
      </c>
      <c r="K120" s="822" t="str">
        <f>+CUBICACION!N119</f>
        <v/>
      </c>
      <c r="L120" s="118">
        <f>+CUBICACION!O119</f>
        <v>0</v>
      </c>
      <c r="M120" s="823" t="str">
        <f>+CUBICACION!P119</f>
        <v>Software Idiem</v>
      </c>
      <c r="N120" s="902">
        <f>ROUND(IF(AND(L120="Blaze Shield II",M120="Software Idiem",C120="IN",G120=4),((('BLAZE SHIELD II'!$D$4*('CALCULO MORTERO'!I120^2)+'BLAZE SHIELD II'!$D$5*'CALCULO MORTERO'!I120+'BLAZE SHIELD II'!$D$6)*LN(J120))+('BLAZE SHIELD II'!$D$7*('CALCULO MORTERO'!I120^2)+'BLAZE SHIELD II'!$D$8*'CALCULO MORTERO'!I120+'BLAZE SHIELD II'!$D$9)),0)+IF(AND(L120="Blaze Shield II",M120="Software Idiem",C120="Cj"),((('BLAZE SHIELD II'!$H$4*('CALCULO MORTERO'!I120^2)+'BLAZE SHIELD II'!$H$5*'CALCULO MORTERO'!I120+'BLAZE SHIELD II'!$H$6)*LN(J120))+('BLAZE SHIELD II'!$H$7*('CALCULO MORTERO'!I120^2)+'BLAZE SHIELD II'!$H$8*'CALCULO MORTERO'!I120+'BLAZE SHIELD II'!$H$9)),0)+IF(AND(L120="Blaze Shield II",M120="Software Idiem",C120="C"),((('BLAZE SHIELD II'!$L$4*('CALCULO MORTERO'!I120^2)+'BLAZE SHIELD II'!$L$5*'CALCULO MORTERO'!I120+'BLAZE SHIELD II'!$L$6)*LN(J120))+('BLAZE SHIELD II'!$L$7*('CALCULO MORTERO'!I120^2)+'BLAZE SHIELD II'!$L$8*'CALCULO MORTERO'!I120+'BLAZE SHIELD II'!$L$9)),0)+IF(AND(L120="Blaze Shield II",M120="Software Idiem",C120="L"),((('BLAZE SHIELD II'!$L$4*('CALCULO MORTERO'!I120^2)+'BLAZE SHIELD II'!$L$5*'CALCULO MORTERO'!I120+'BLAZE SHIELD II'!$L$6)*LN(J120))+('BLAZE SHIELD II'!$L$7*('CALCULO MORTERO'!I120^2)+'BLAZE SHIELD II'!$L$8*'CALCULO MORTERO'!I120+'BLAZE SHIELD II'!$L$9)),0)+IF(AND(L120="Blaze Shield II",M120="Software Idiem",C120="IN",G120=3),((('BLAZE SHIELD II'!$H$14*('CALCULO MORTERO'!I120^2)+'BLAZE SHIELD II'!$H$15*'CALCULO MORTERO'!I120+'BLAZE SHIELD II'!$H$16)*LN(J120))+('BLAZE SHIELD II'!$H$17*('CALCULO MORTERO'!I120^2)+'BLAZE SHIELD II'!$H$18*'CALCULO MORTERO'!I120+'BLAZE SHIELD II'!$H$19)),0),0)+ROUND(IF(AND(L120="Cafco 400",M120="Software Idiem",C120="IN",G120=4),((('CAFCO 400 '!$H$7*(J120^4)+'CAFCO 400 '!$H$8*(J120^3)+'CAFCO 400 '!$H$9*(J120^2)+'CAFCO 400 '!$H$10*J120+'CAFCO 400 '!$H$11)*U120^2)+(('CAFCO 400 '!$H$12*(J120^3)+'CAFCO 400 '!$H$13*(J120^2)+'CAFCO 400 '!$H$14*J120+'CAFCO 400 '!$H$15)*U120)+('CAFCO 400 '!$H$16*(J120^2)+'CAFCO 400 '!$H$17*J120+'CAFCO 400 '!$H$18)),0)+IF(AND(L120="Cafco 400",M120="Software Idiem",C120="Cj"),(((('CAFCO 400 '!$D$7*LN(J120)+'CAFCO 400 '!$D$8)*U120^2)+(('CAFCO 400 '!$D$9*LN(J120)+'CAFCO 400 '!$D$10)*U120)+('CAFCO 400 '!$D$11*LN(J120)+'CAFCO 400 '!$D$12))),0)+IF(AND(L120="Cafco 400",M120="Software Idiem",C120="C"),((('CAFCO 400 '!$L$7*(J120^3)+'CAFCO 400 '!$L$8*(J120^2)+'CAFCO 400 '!$L$9*J120+'CAFCO 400 '!$L$10)*U120^2)+(('CAFCO 400 '!$L$11*(J120^3)+'CAFCO 400 '!$L$12*(J120^2)+'CAFCO 400 '!$L$13*J120+'CAFCO 400 '!$L$14)*U120)+('CAFCO 400 '!$L$15*LN(J120)+'CAFCO 400 '!$L$16)),0)+IF(AND(L120="Cafco 400",M120="Software Idiem",C120="L"),((('CAFCO 400 '!$L$7*(J120^3)+'CAFCO 400 '!$L$8*(J120^2)+'CAFCO 400 '!$L$9*J120+'CAFCO 400 '!$L$10)*U120^2)+(('CAFCO 400 '!$L$11*(J120^3)+'CAFCO 400 '!$L$12*(J120^2)+'CAFCO 400 '!$L$13*J120+'CAFCO 400 '!$L$14)*U120)+('CAFCO 400 '!$L$15*LN(J120)+'CAFCO 400 '!$L$16)),0)+IF(AND(L120="Cafco 400",M120="Software Idiem",C120="IN",G120=3),((('CAFCO 400 '!$D$23*(J120^2)+'CAFCO 400 '!$D$24*(J120)+'CAFCO 400 '!$D$25)*U120^2)+(('CAFCO 400 '!$D$26*(J120^2)+'CAFCO 400 '!$D$27*J120+'CAFCO 400 '!$D$28)*U120)+('CAFCO 400 '!$D$29*(J120^2)+'CAFCO 400 '!$D$30*J120+'CAFCO 400 '!$D$31)),0),0)+IF(AND(L120="Cafco 300",J120&gt;=95,J120&lt;=240,C120="Cj",I120=90),VLOOKUP(T120,'CAFCO 300 IDIEM TABLAS'!$B$4:$D$23,2,FALSE),0)+IF(AND(L120="Cafco 300",J120&gt;=95,J120&lt;=240,C120="Cj",I120=120),VLOOKUP(T120,'CAFCO 300 IDIEM TABLAS'!$B$4:$D$23,3,FALSE),0)+IF(AND(L120="Cafco 300",J120&gt;=95,J120&lt;=400,G120=3,C120="IN",I120=90),VLOOKUP(T120,'CAFCO 300 IDIEM TABLAS'!$F$4:$H$35,2,FALSE),0)+IF(AND(L120="Cafco 300",J120&gt;=95,J120&lt;=400,G120=3,C120="IN",I120=120),VLOOKUP(T120,'CAFCO 300 IDIEM TABLAS'!$F$4:$H$35,3,FALSE),0)+IF(AND(L120="Cafco 300",J120&gt;=95,J120&lt;=450,G120=4,C120="IN",I120=90),VLOOKUP(T120,'CAFCO 300 IDIEM TABLAS'!$J$4:$L$40,2,FALSE),0)+IF(AND(L120="Cafco 300",J120&gt;=95,J120&lt;=450,G120=4,C120="IN",I120=120),VLOOKUP(T120,'CAFCO 300 IDIEM TABLAS'!$J$4:$L$40,3,FALSE),0)+IF(AND(M120="Ensayo Idiem",L120="Cafco 400",C120="IN",G120=4,I120=90),VLOOKUP(T120,'CAFCO 400 ENSAYO'!$B$7:$D$43,2,FALSE),0)+IF(AND(M120="Ensayo Idiem",L120="Cafco 400",C120="IN",G120=4,I120=120),VLOOKUP(T120,'CAFCO 400 ENSAYO'!$B$7:$D$43,3,FALSE),0)</f>
        <v>0</v>
      </c>
      <c r="O120" s="96">
        <f t="shared" si="13"/>
        <v>0</v>
      </c>
      <c r="P120" s="95" t="str">
        <f t="shared" si="14"/>
        <v>NO CERT.</v>
      </c>
      <c r="Q120" s="95" t="str">
        <f t="shared" si="15"/>
        <v>NO CERT.</v>
      </c>
      <c r="R120" s="95" t="str">
        <f t="shared" si="16"/>
        <v>NO CERT.</v>
      </c>
      <c r="S120" s="95" t="e">
        <f t="shared" si="17"/>
        <v>#N/A</v>
      </c>
      <c r="T120" s="119" t="e">
        <f>+IF(J120=LOOKUP(J120,'CAFCO 300 IDIEM TABLAS'!$J$4:$J$40),'CALCULO MORTERO'!J120,MROUND('CALCULO MORTERO'!J120,10))</f>
        <v>#N/A</v>
      </c>
      <c r="U120" s="118">
        <f t="shared" si="18"/>
        <v>0</v>
      </c>
      <c r="Y120" s="4"/>
      <c r="Z120" s="4"/>
      <c r="AA120" s="4"/>
    </row>
    <row r="121" spans="1:27" x14ac:dyDescent="0.25">
      <c r="A121" s="118">
        <f>+CUBICACION!D120</f>
        <v>0</v>
      </c>
      <c r="B121" s="819">
        <f>+CUBICACION!E120</f>
        <v>0</v>
      </c>
      <c r="C121" s="675">
        <f>+CUBICACION!F120</f>
        <v>0</v>
      </c>
      <c r="D121" s="118"/>
      <c r="E121" s="118"/>
      <c r="F121" s="820"/>
      <c r="G121" s="675">
        <f>+CUBICACION!J120</f>
        <v>4</v>
      </c>
      <c r="H121" s="118"/>
      <c r="I121" s="821">
        <f>+CUBICACION!L120</f>
        <v>0</v>
      </c>
      <c r="J121" s="64">
        <f>+CUBICACION!M120</f>
        <v>0</v>
      </c>
      <c r="K121" s="822" t="str">
        <f>+CUBICACION!N120</f>
        <v/>
      </c>
      <c r="L121" s="118">
        <f>+CUBICACION!O120</f>
        <v>0</v>
      </c>
      <c r="M121" s="823" t="str">
        <f>+CUBICACION!P120</f>
        <v>Software Idiem</v>
      </c>
      <c r="N121" s="902">
        <f>ROUND(IF(AND(L121="Blaze Shield II",M121="Software Idiem",C121="IN",G121=4),((('BLAZE SHIELD II'!$D$4*('CALCULO MORTERO'!I121^2)+'BLAZE SHIELD II'!$D$5*'CALCULO MORTERO'!I121+'BLAZE SHIELD II'!$D$6)*LN(J121))+('BLAZE SHIELD II'!$D$7*('CALCULO MORTERO'!I121^2)+'BLAZE SHIELD II'!$D$8*'CALCULO MORTERO'!I121+'BLAZE SHIELD II'!$D$9)),0)+IF(AND(L121="Blaze Shield II",M121="Software Idiem",C121="Cj"),((('BLAZE SHIELD II'!$H$4*('CALCULO MORTERO'!I121^2)+'BLAZE SHIELD II'!$H$5*'CALCULO MORTERO'!I121+'BLAZE SHIELD II'!$H$6)*LN(J121))+('BLAZE SHIELD II'!$H$7*('CALCULO MORTERO'!I121^2)+'BLAZE SHIELD II'!$H$8*'CALCULO MORTERO'!I121+'BLAZE SHIELD II'!$H$9)),0)+IF(AND(L121="Blaze Shield II",M121="Software Idiem",C121="C"),((('BLAZE SHIELD II'!$L$4*('CALCULO MORTERO'!I121^2)+'BLAZE SHIELD II'!$L$5*'CALCULO MORTERO'!I121+'BLAZE SHIELD II'!$L$6)*LN(J121))+('BLAZE SHIELD II'!$L$7*('CALCULO MORTERO'!I121^2)+'BLAZE SHIELD II'!$L$8*'CALCULO MORTERO'!I121+'BLAZE SHIELD II'!$L$9)),0)+IF(AND(L121="Blaze Shield II",M121="Software Idiem",C121="L"),((('BLAZE SHIELD II'!$L$4*('CALCULO MORTERO'!I121^2)+'BLAZE SHIELD II'!$L$5*'CALCULO MORTERO'!I121+'BLAZE SHIELD II'!$L$6)*LN(J121))+('BLAZE SHIELD II'!$L$7*('CALCULO MORTERO'!I121^2)+'BLAZE SHIELD II'!$L$8*'CALCULO MORTERO'!I121+'BLAZE SHIELD II'!$L$9)),0)+IF(AND(L121="Blaze Shield II",M121="Software Idiem",C121="IN",G121=3),((('BLAZE SHIELD II'!$H$14*('CALCULO MORTERO'!I121^2)+'BLAZE SHIELD II'!$H$15*'CALCULO MORTERO'!I121+'BLAZE SHIELD II'!$H$16)*LN(J121))+('BLAZE SHIELD II'!$H$17*('CALCULO MORTERO'!I121^2)+'BLAZE SHIELD II'!$H$18*'CALCULO MORTERO'!I121+'BLAZE SHIELD II'!$H$19)),0),0)+ROUND(IF(AND(L121="Cafco 400",M121="Software Idiem",C121="IN",G121=4),((('CAFCO 400 '!$H$7*(J121^4)+'CAFCO 400 '!$H$8*(J121^3)+'CAFCO 400 '!$H$9*(J121^2)+'CAFCO 400 '!$H$10*J121+'CAFCO 400 '!$H$11)*U121^2)+(('CAFCO 400 '!$H$12*(J121^3)+'CAFCO 400 '!$H$13*(J121^2)+'CAFCO 400 '!$H$14*J121+'CAFCO 400 '!$H$15)*U121)+('CAFCO 400 '!$H$16*(J121^2)+'CAFCO 400 '!$H$17*J121+'CAFCO 400 '!$H$18)),0)+IF(AND(L121="Cafco 400",M121="Software Idiem",C121="Cj"),(((('CAFCO 400 '!$D$7*LN(J121)+'CAFCO 400 '!$D$8)*U121^2)+(('CAFCO 400 '!$D$9*LN(J121)+'CAFCO 400 '!$D$10)*U121)+('CAFCO 400 '!$D$11*LN(J121)+'CAFCO 400 '!$D$12))),0)+IF(AND(L121="Cafco 400",M121="Software Idiem",C121="C"),((('CAFCO 400 '!$L$7*(J121^3)+'CAFCO 400 '!$L$8*(J121^2)+'CAFCO 400 '!$L$9*J121+'CAFCO 400 '!$L$10)*U121^2)+(('CAFCO 400 '!$L$11*(J121^3)+'CAFCO 400 '!$L$12*(J121^2)+'CAFCO 400 '!$L$13*J121+'CAFCO 400 '!$L$14)*U121)+('CAFCO 400 '!$L$15*LN(J121)+'CAFCO 400 '!$L$16)),0)+IF(AND(L121="Cafco 400",M121="Software Idiem",C121="L"),((('CAFCO 400 '!$L$7*(J121^3)+'CAFCO 400 '!$L$8*(J121^2)+'CAFCO 400 '!$L$9*J121+'CAFCO 400 '!$L$10)*U121^2)+(('CAFCO 400 '!$L$11*(J121^3)+'CAFCO 400 '!$L$12*(J121^2)+'CAFCO 400 '!$L$13*J121+'CAFCO 400 '!$L$14)*U121)+('CAFCO 400 '!$L$15*LN(J121)+'CAFCO 400 '!$L$16)),0)+IF(AND(L121="Cafco 400",M121="Software Idiem",C121="IN",G121=3),((('CAFCO 400 '!$D$23*(J121^2)+'CAFCO 400 '!$D$24*(J121)+'CAFCO 400 '!$D$25)*U121^2)+(('CAFCO 400 '!$D$26*(J121^2)+'CAFCO 400 '!$D$27*J121+'CAFCO 400 '!$D$28)*U121)+('CAFCO 400 '!$D$29*(J121^2)+'CAFCO 400 '!$D$30*J121+'CAFCO 400 '!$D$31)),0),0)+IF(AND(L121="Cafco 300",J121&gt;=95,J121&lt;=240,C121="Cj",I121=90),VLOOKUP(T121,'CAFCO 300 IDIEM TABLAS'!$B$4:$D$23,2,FALSE),0)+IF(AND(L121="Cafco 300",J121&gt;=95,J121&lt;=240,C121="Cj",I121=120),VLOOKUP(T121,'CAFCO 300 IDIEM TABLAS'!$B$4:$D$23,3,FALSE),0)+IF(AND(L121="Cafco 300",J121&gt;=95,J121&lt;=400,G121=3,C121="IN",I121=90),VLOOKUP(T121,'CAFCO 300 IDIEM TABLAS'!$F$4:$H$35,2,FALSE),0)+IF(AND(L121="Cafco 300",J121&gt;=95,J121&lt;=400,G121=3,C121="IN",I121=120),VLOOKUP(T121,'CAFCO 300 IDIEM TABLAS'!$F$4:$H$35,3,FALSE),0)+IF(AND(L121="Cafco 300",J121&gt;=95,J121&lt;=450,G121=4,C121="IN",I121=90),VLOOKUP(T121,'CAFCO 300 IDIEM TABLAS'!$J$4:$L$40,2,FALSE),0)+IF(AND(L121="Cafco 300",J121&gt;=95,J121&lt;=450,G121=4,C121="IN",I121=120),VLOOKUP(T121,'CAFCO 300 IDIEM TABLAS'!$J$4:$L$40,3,FALSE),0)+IF(AND(M121="Ensayo Idiem",L121="Cafco 400",C121="IN",G121=4,I121=90),VLOOKUP(T121,'CAFCO 400 ENSAYO'!$B$7:$D$43,2,FALSE),0)+IF(AND(M121="Ensayo Idiem",L121="Cafco 400",C121="IN",G121=4,I121=120),VLOOKUP(T121,'CAFCO 400 ENSAYO'!$B$7:$D$43,3,FALSE),0)</f>
        <v>0</v>
      </c>
      <c r="O121" s="96">
        <f t="shared" si="13"/>
        <v>0</v>
      </c>
      <c r="P121" s="95" t="str">
        <f t="shared" si="14"/>
        <v>NO CERT.</v>
      </c>
      <c r="Q121" s="95" t="str">
        <f t="shared" si="15"/>
        <v>NO CERT.</v>
      </c>
      <c r="R121" s="95" t="str">
        <f t="shared" si="16"/>
        <v>NO CERT.</v>
      </c>
      <c r="S121" s="95" t="e">
        <f t="shared" si="17"/>
        <v>#N/A</v>
      </c>
      <c r="T121" s="119" t="e">
        <f>+IF(J121=LOOKUP(J121,'CAFCO 300 IDIEM TABLAS'!$J$4:$J$40),'CALCULO MORTERO'!J121,MROUND('CALCULO MORTERO'!J121,10))</f>
        <v>#N/A</v>
      </c>
      <c r="U121" s="118">
        <f t="shared" si="18"/>
        <v>0</v>
      </c>
      <c r="Y121" s="4"/>
      <c r="Z121" s="4"/>
      <c r="AA121" s="4"/>
    </row>
    <row r="122" spans="1:27" ht="15.6" customHeight="1" x14ac:dyDescent="0.25">
      <c r="A122" s="118">
        <f>+CUBICACION!D121</f>
        <v>0</v>
      </c>
      <c r="B122" s="819">
        <f>+CUBICACION!E121</f>
        <v>0</v>
      </c>
      <c r="C122" s="675">
        <f>+CUBICACION!F121</f>
        <v>0</v>
      </c>
      <c r="D122" s="118"/>
      <c r="E122" s="118"/>
      <c r="F122" s="820"/>
      <c r="G122" s="675">
        <f>+CUBICACION!J121</f>
        <v>4</v>
      </c>
      <c r="H122" s="118"/>
      <c r="I122" s="821">
        <f>+CUBICACION!L121</f>
        <v>0</v>
      </c>
      <c r="J122" s="64">
        <f>+CUBICACION!M121</f>
        <v>0</v>
      </c>
      <c r="K122" s="822" t="str">
        <f>+CUBICACION!N121</f>
        <v/>
      </c>
      <c r="L122" s="118">
        <f>+CUBICACION!O121</f>
        <v>0</v>
      </c>
      <c r="M122" s="823" t="str">
        <f>+CUBICACION!P121</f>
        <v>Software Idiem</v>
      </c>
      <c r="N122" s="902">
        <f>ROUND(IF(AND(L122="Blaze Shield II",M122="Software Idiem",C122="IN",G122=4),((('BLAZE SHIELD II'!$D$4*('CALCULO MORTERO'!I122^2)+'BLAZE SHIELD II'!$D$5*'CALCULO MORTERO'!I122+'BLAZE SHIELD II'!$D$6)*LN(J122))+('BLAZE SHIELD II'!$D$7*('CALCULO MORTERO'!I122^2)+'BLAZE SHIELD II'!$D$8*'CALCULO MORTERO'!I122+'BLAZE SHIELD II'!$D$9)),0)+IF(AND(L122="Blaze Shield II",M122="Software Idiem",C122="Cj"),((('BLAZE SHIELD II'!$H$4*('CALCULO MORTERO'!I122^2)+'BLAZE SHIELD II'!$H$5*'CALCULO MORTERO'!I122+'BLAZE SHIELD II'!$H$6)*LN(J122))+('BLAZE SHIELD II'!$H$7*('CALCULO MORTERO'!I122^2)+'BLAZE SHIELD II'!$H$8*'CALCULO MORTERO'!I122+'BLAZE SHIELD II'!$H$9)),0)+IF(AND(L122="Blaze Shield II",M122="Software Idiem",C122="C"),((('BLAZE SHIELD II'!$L$4*('CALCULO MORTERO'!I122^2)+'BLAZE SHIELD II'!$L$5*'CALCULO MORTERO'!I122+'BLAZE SHIELD II'!$L$6)*LN(J122))+('BLAZE SHIELD II'!$L$7*('CALCULO MORTERO'!I122^2)+'BLAZE SHIELD II'!$L$8*'CALCULO MORTERO'!I122+'BLAZE SHIELD II'!$L$9)),0)+IF(AND(L122="Blaze Shield II",M122="Software Idiem",C122="L"),((('BLAZE SHIELD II'!$L$4*('CALCULO MORTERO'!I122^2)+'BLAZE SHIELD II'!$L$5*'CALCULO MORTERO'!I122+'BLAZE SHIELD II'!$L$6)*LN(J122))+('BLAZE SHIELD II'!$L$7*('CALCULO MORTERO'!I122^2)+'BLAZE SHIELD II'!$L$8*'CALCULO MORTERO'!I122+'BLAZE SHIELD II'!$L$9)),0)+IF(AND(L122="Blaze Shield II",M122="Software Idiem",C122="IN",G122=3),((('BLAZE SHIELD II'!$H$14*('CALCULO MORTERO'!I122^2)+'BLAZE SHIELD II'!$H$15*'CALCULO MORTERO'!I122+'BLAZE SHIELD II'!$H$16)*LN(J122))+('BLAZE SHIELD II'!$H$17*('CALCULO MORTERO'!I122^2)+'BLAZE SHIELD II'!$H$18*'CALCULO MORTERO'!I122+'BLAZE SHIELD II'!$H$19)),0),0)+ROUND(IF(AND(L122="Cafco 400",M122="Software Idiem",C122="IN",G122=4),((('CAFCO 400 '!$H$7*(J122^4)+'CAFCO 400 '!$H$8*(J122^3)+'CAFCO 400 '!$H$9*(J122^2)+'CAFCO 400 '!$H$10*J122+'CAFCO 400 '!$H$11)*U122^2)+(('CAFCO 400 '!$H$12*(J122^3)+'CAFCO 400 '!$H$13*(J122^2)+'CAFCO 400 '!$H$14*J122+'CAFCO 400 '!$H$15)*U122)+('CAFCO 400 '!$H$16*(J122^2)+'CAFCO 400 '!$H$17*J122+'CAFCO 400 '!$H$18)),0)+IF(AND(L122="Cafco 400",M122="Software Idiem",C122="Cj"),(((('CAFCO 400 '!$D$7*LN(J122)+'CAFCO 400 '!$D$8)*U122^2)+(('CAFCO 400 '!$D$9*LN(J122)+'CAFCO 400 '!$D$10)*U122)+('CAFCO 400 '!$D$11*LN(J122)+'CAFCO 400 '!$D$12))),0)+IF(AND(L122="Cafco 400",M122="Software Idiem",C122="C"),((('CAFCO 400 '!$L$7*(J122^3)+'CAFCO 400 '!$L$8*(J122^2)+'CAFCO 400 '!$L$9*J122+'CAFCO 400 '!$L$10)*U122^2)+(('CAFCO 400 '!$L$11*(J122^3)+'CAFCO 400 '!$L$12*(J122^2)+'CAFCO 400 '!$L$13*J122+'CAFCO 400 '!$L$14)*U122)+('CAFCO 400 '!$L$15*LN(J122)+'CAFCO 400 '!$L$16)),0)+IF(AND(L122="Cafco 400",M122="Software Idiem",C122="L"),((('CAFCO 400 '!$L$7*(J122^3)+'CAFCO 400 '!$L$8*(J122^2)+'CAFCO 400 '!$L$9*J122+'CAFCO 400 '!$L$10)*U122^2)+(('CAFCO 400 '!$L$11*(J122^3)+'CAFCO 400 '!$L$12*(J122^2)+'CAFCO 400 '!$L$13*J122+'CAFCO 400 '!$L$14)*U122)+('CAFCO 400 '!$L$15*LN(J122)+'CAFCO 400 '!$L$16)),0)+IF(AND(L122="Cafco 400",M122="Software Idiem",C122="IN",G122=3),((('CAFCO 400 '!$D$23*(J122^2)+'CAFCO 400 '!$D$24*(J122)+'CAFCO 400 '!$D$25)*U122^2)+(('CAFCO 400 '!$D$26*(J122^2)+'CAFCO 400 '!$D$27*J122+'CAFCO 400 '!$D$28)*U122)+('CAFCO 400 '!$D$29*(J122^2)+'CAFCO 400 '!$D$30*J122+'CAFCO 400 '!$D$31)),0),0)+IF(AND(L122="Cafco 300",J122&gt;=95,J122&lt;=240,C122="Cj",I122=90),VLOOKUP(T122,'CAFCO 300 IDIEM TABLAS'!$B$4:$D$23,2,FALSE),0)+IF(AND(L122="Cafco 300",J122&gt;=95,J122&lt;=240,C122="Cj",I122=120),VLOOKUP(T122,'CAFCO 300 IDIEM TABLAS'!$B$4:$D$23,3,FALSE),0)+IF(AND(L122="Cafco 300",J122&gt;=95,J122&lt;=400,G122=3,C122="IN",I122=90),VLOOKUP(T122,'CAFCO 300 IDIEM TABLAS'!$F$4:$H$35,2,FALSE),0)+IF(AND(L122="Cafco 300",J122&gt;=95,J122&lt;=400,G122=3,C122="IN",I122=120),VLOOKUP(T122,'CAFCO 300 IDIEM TABLAS'!$F$4:$H$35,3,FALSE),0)+IF(AND(L122="Cafco 300",J122&gt;=95,J122&lt;=450,G122=4,C122="IN",I122=90),VLOOKUP(T122,'CAFCO 300 IDIEM TABLAS'!$J$4:$L$40,2,FALSE),0)+IF(AND(L122="Cafco 300",J122&gt;=95,J122&lt;=450,G122=4,C122="IN",I122=120),VLOOKUP(T122,'CAFCO 300 IDIEM TABLAS'!$J$4:$L$40,3,FALSE),0)+IF(AND(M122="Ensayo Idiem",L122="Cafco 400",C122="IN",G122=4,I122=90),VLOOKUP(T122,'CAFCO 400 ENSAYO'!$B$7:$D$43,2,FALSE),0)+IF(AND(M122="Ensayo Idiem",L122="Cafco 400",C122="IN",G122=4,I122=120),VLOOKUP(T122,'CAFCO 400 ENSAYO'!$B$7:$D$43,3,FALSE),0)</f>
        <v>0</v>
      </c>
      <c r="O122" s="96">
        <f t="shared" si="13"/>
        <v>0</v>
      </c>
      <c r="P122" s="95" t="str">
        <f t="shared" si="14"/>
        <v>NO CERT.</v>
      </c>
      <c r="Q122" s="95" t="str">
        <f t="shared" si="15"/>
        <v>NO CERT.</v>
      </c>
      <c r="R122" s="95" t="str">
        <f t="shared" si="16"/>
        <v>NO CERT.</v>
      </c>
      <c r="S122" s="95" t="e">
        <f t="shared" si="17"/>
        <v>#N/A</v>
      </c>
      <c r="T122" s="119" t="e">
        <f>+IF(J122=LOOKUP(J122,'CAFCO 300 IDIEM TABLAS'!$J$4:$J$40),'CALCULO MORTERO'!J122,MROUND('CALCULO MORTERO'!J122,10))</f>
        <v>#N/A</v>
      </c>
      <c r="U122" s="118">
        <f t="shared" si="18"/>
        <v>0</v>
      </c>
      <c r="Y122" s="4"/>
      <c r="Z122" s="4"/>
      <c r="AA122" s="4"/>
    </row>
    <row r="123" spans="1:27" x14ac:dyDescent="0.25">
      <c r="A123" s="118">
        <f>+CUBICACION!D122</f>
        <v>0</v>
      </c>
      <c r="B123" s="819">
        <f>+CUBICACION!E122</f>
        <v>0</v>
      </c>
      <c r="C123" s="675">
        <f>+CUBICACION!F122</f>
        <v>0</v>
      </c>
      <c r="D123" s="118"/>
      <c r="E123" s="118"/>
      <c r="F123" s="820"/>
      <c r="G123" s="675">
        <f>+CUBICACION!J122</f>
        <v>4</v>
      </c>
      <c r="H123" s="118"/>
      <c r="I123" s="821">
        <f>+CUBICACION!L122</f>
        <v>0</v>
      </c>
      <c r="J123" s="64">
        <f>+CUBICACION!M122</f>
        <v>0</v>
      </c>
      <c r="K123" s="822" t="str">
        <f>+CUBICACION!N122</f>
        <v/>
      </c>
      <c r="L123" s="118">
        <f>+CUBICACION!O122</f>
        <v>0</v>
      </c>
      <c r="M123" s="823" t="str">
        <f>+CUBICACION!P122</f>
        <v>Software Idiem</v>
      </c>
      <c r="N123" s="902">
        <f>ROUND(IF(AND(L123="Blaze Shield II",M123="Software Idiem",C123="IN",G123=4),((('BLAZE SHIELD II'!$D$4*('CALCULO MORTERO'!I123^2)+'BLAZE SHIELD II'!$D$5*'CALCULO MORTERO'!I123+'BLAZE SHIELD II'!$D$6)*LN(J123))+('BLAZE SHIELD II'!$D$7*('CALCULO MORTERO'!I123^2)+'BLAZE SHIELD II'!$D$8*'CALCULO MORTERO'!I123+'BLAZE SHIELD II'!$D$9)),0)+IF(AND(L123="Blaze Shield II",M123="Software Idiem",C123="Cj"),((('BLAZE SHIELD II'!$H$4*('CALCULO MORTERO'!I123^2)+'BLAZE SHIELD II'!$H$5*'CALCULO MORTERO'!I123+'BLAZE SHIELD II'!$H$6)*LN(J123))+('BLAZE SHIELD II'!$H$7*('CALCULO MORTERO'!I123^2)+'BLAZE SHIELD II'!$H$8*'CALCULO MORTERO'!I123+'BLAZE SHIELD II'!$H$9)),0)+IF(AND(L123="Blaze Shield II",M123="Software Idiem",C123="C"),((('BLAZE SHIELD II'!$L$4*('CALCULO MORTERO'!I123^2)+'BLAZE SHIELD II'!$L$5*'CALCULO MORTERO'!I123+'BLAZE SHIELD II'!$L$6)*LN(J123))+('BLAZE SHIELD II'!$L$7*('CALCULO MORTERO'!I123^2)+'BLAZE SHIELD II'!$L$8*'CALCULO MORTERO'!I123+'BLAZE SHIELD II'!$L$9)),0)+IF(AND(L123="Blaze Shield II",M123="Software Idiem",C123="L"),((('BLAZE SHIELD II'!$L$4*('CALCULO MORTERO'!I123^2)+'BLAZE SHIELD II'!$L$5*'CALCULO MORTERO'!I123+'BLAZE SHIELD II'!$L$6)*LN(J123))+('BLAZE SHIELD II'!$L$7*('CALCULO MORTERO'!I123^2)+'BLAZE SHIELD II'!$L$8*'CALCULO MORTERO'!I123+'BLAZE SHIELD II'!$L$9)),0)+IF(AND(L123="Blaze Shield II",M123="Software Idiem",C123="IN",G123=3),((('BLAZE SHIELD II'!$H$14*('CALCULO MORTERO'!I123^2)+'BLAZE SHIELD II'!$H$15*'CALCULO MORTERO'!I123+'BLAZE SHIELD II'!$H$16)*LN(J123))+('BLAZE SHIELD II'!$H$17*('CALCULO MORTERO'!I123^2)+'BLAZE SHIELD II'!$H$18*'CALCULO MORTERO'!I123+'BLAZE SHIELD II'!$H$19)),0),0)+ROUND(IF(AND(L123="Cafco 400",M123="Software Idiem",C123="IN",G123=4),((('CAFCO 400 '!$H$7*(J123^4)+'CAFCO 400 '!$H$8*(J123^3)+'CAFCO 400 '!$H$9*(J123^2)+'CAFCO 400 '!$H$10*J123+'CAFCO 400 '!$H$11)*U123^2)+(('CAFCO 400 '!$H$12*(J123^3)+'CAFCO 400 '!$H$13*(J123^2)+'CAFCO 400 '!$H$14*J123+'CAFCO 400 '!$H$15)*U123)+('CAFCO 400 '!$H$16*(J123^2)+'CAFCO 400 '!$H$17*J123+'CAFCO 400 '!$H$18)),0)+IF(AND(L123="Cafco 400",M123="Software Idiem",C123="Cj"),(((('CAFCO 400 '!$D$7*LN(J123)+'CAFCO 400 '!$D$8)*U123^2)+(('CAFCO 400 '!$D$9*LN(J123)+'CAFCO 400 '!$D$10)*U123)+('CAFCO 400 '!$D$11*LN(J123)+'CAFCO 400 '!$D$12))),0)+IF(AND(L123="Cafco 400",M123="Software Idiem",C123="C"),((('CAFCO 400 '!$L$7*(J123^3)+'CAFCO 400 '!$L$8*(J123^2)+'CAFCO 400 '!$L$9*J123+'CAFCO 400 '!$L$10)*U123^2)+(('CAFCO 400 '!$L$11*(J123^3)+'CAFCO 400 '!$L$12*(J123^2)+'CAFCO 400 '!$L$13*J123+'CAFCO 400 '!$L$14)*U123)+('CAFCO 400 '!$L$15*LN(J123)+'CAFCO 400 '!$L$16)),0)+IF(AND(L123="Cafco 400",M123="Software Idiem",C123="L"),((('CAFCO 400 '!$L$7*(J123^3)+'CAFCO 400 '!$L$8*(J123^2)+'CAFCO 400 '!$L$9*J123+'CAFCO 400 '!$L$10)*U123^2)+(('CAFCO 400 '!$L$11*(J123^3)+'CAFCO 400 '!$L$12*(J123^2)+'CAFCO 400 '!$L$13*J123+'CAFCO 400 '!$L$14)*U123)+('CAFCO 400 '!$L$15*LN(J123)+'CAFCO 400 '!$L$16)),0)+IF(AND(L123="Cafco 400",M123="Software Idiem",C123="IN",G123=3),((('CAFCO 400 '!$D$23*(J123^2)+'CAFCO 400 '!$D$24*(J123)+'CAFCO 400 '!$D$25)*U123^2)+(('CAFCO 400 '!$D$26*(J123^2)+'CAFCO 400 '!$D$27*J123+'CAFCO 400 '!$D$28)*U123)+('CAFCO 400 '!$D$29*(J123^2)+'CAFCO 400 '!$D$30*J123+'CAFCO 400 '!$D$31)),0),0)+IF(AND(L123="Cafco 300",J123&gt;=95,J123&lt;=240,C123="Cj",I123=90),VLOOKUP(T123,'CAFCO 300 IDIEM TABLAS'!$B$4:$D$23,2,FALSE),0)+IF(AND(L123="Cafco 300",J123&gt;=95,J123&lt;=240,C123="Cj",I123=120),VLOOKUP(T123,'CAFCO 300 IDIEM TABLAS'!$B$4:$D$23,3,FALSE),0)+IF(AND(L123="Cafco 300",J123&gt;=95,J123&lt;=400,G123=3,C123="IN",I123=90),VLOOKUP(T123,'CAFCO 300 IDIEM TABLAS'!$F$4:$H$35,2,FALSE),0)+IF(AND(L123="Cafco 300",J123&gt;=95,J123&lt;=400,G123=3,C123="IN",I123=120),VLOOKUP(T123,'CAFCO 300 IDIEM TABLAS'!$F$4:$H$35,3,FALSE),0)+IF(AND(L123="Cafco 300",J123&gt;=95,J123&lt;=450,G123=4,C123="IN",I123=90),VLOOKUP(T123,'CAFCO 300 IDIEM TABLAS'!$J$4:$L$40,2,FALSE),0)+IF(AND(L123="Cafco 300",J123&gt;=95,J123&lt;=450,G123=4,C123="IN",I123=120),VLOOKUP(T123,'CAFCO 300 IDIEM TABLAS'!$J$4:$L$40,3,FALSE),0)+IF(AND(M123="Ensayo Idiem",L123="Cafco 400",C123="IN",G123=4,I123=90),VLOOKUP(T123,'CAFCO 400 ENSAYO'!$B$7:$D$43,2,FALSE),0)+IF(AND(M123="Ensayo Idiem",L123="Cafco 400",C123="IN",G123=4,I123=120),VLOOKUP(T123,'CAFCO 400 ENSAYO'!$B$7:$D$43,3,FALSE),0)</f>
        <v>0</v>
      </c>
      <c r="O123" s="96">
        <f t="shared" si="13"/>
        <v>0</v>
      </c>
      <c r="P123" s="95" t="str">
        <f t="shared" si="14"/>
        <v>NO CERT.</v>
      </c>
      <c r="Q123" s="95" t="str">
        <f t="shared" si="15"/>
        <v>NO CERT.</v>
      </c>
      <c r="R123" s="95" t="str">
        <f t="shared" si="16"/>
        <v>NO CERT.</v>
      </c>
      <c r="S123" s="95" t="e">
        <f t="shared" si="17"/>
        <v>#N/A</v>
      </c>
      <c r="T123" s="119" t="e">
        <f>+IF(J123=LOOKUP(J123,'CAFCO 300 IDIEM TABLAS'!$J$4:$J$40),'CALCULO MORTERO'!J123,MROUND('CALCULO MORTERO'!J123,10))</f>
        <v>#N/A</v>
      </c>
      <c r="U123" s="118">
        <f t="shared" si="18"/>
        <v>0</v>
      </c>
      <c r="Y123" s="4"/>
      <c r="Z123" s="4"/>
      <c r="AA123" s="4"/>
    </row>
    <row r="124" spans="1:27" ht="15.6" customHeight="1" x14ac:dyDescent="0.25">
      <c r="A124" s="118">
        <f>+CUBICACION!D123</f>
        <v>0</v>
      </c>
      <c r="B124" s="819">
        <f>+CUBICACION!E123</f>
        <v>0</v>
      </c>
      <c r="C124" s="675">
        <f>+CUBICACION!F123</f>
        <v>0</v>
      </c>
      <c r="D124" s="118"/>
      <c r="E124" s="118"/>
      <c r="F124" s="820"/>
      <c r="G124" s="675">
        <f>+CUBICACION!J123</f>
        <v>4</v>
      </c>
      <c r="H124" s="118"/>
      <c r="I124" s="821">
        <f>+CUBICACION!L123</f>
        <v>0</v>
      </c>
      <c r="J124" s="64">
        <f>+CUBICACION!M123</f>
        <v>0</v>
      </c>
      <c r="K124" s="822" t="str">
        <f>+CUBICACION!N123</f>
        <v/>
      </c>
      <c r="L124" s="118">
        <f>+CUBICACION!O123</f>
        <v>0</v>
      </c>
      <c r="M124" s="823" t="str">
        <f>+CUBICACION!P123</f>
        <v>Software Idiem</v>
      </c>
      <c r="N124" s="902">
        <f>ROUND(IF(AND(L124="Blaze Shield II",M124="Software Idiem",C124="IN",G124=4),((('BLAZE SHIELD II'!$D$4*('CALCULO MORTERO'!I124^2)+'BLAZE SHIELD II'!$D$5*'CALCULO MORTERO'!I124+'BLAZE SHIELD II'!$D$6)*LN(J124))+('BLAZE SHIELD II'!$D$7*('CALCULO MORTERO'!I124^2)+'BLAZE SHIELD II'!$D$8*'CALCULO MORTERO'!I124+'BLAZE SHIELD II'!$D$9)),0)+IF(AND(L124="Blaze Shield II",M124="Software Idiem",C124="Cj"),((('BLAZE SHIELD II'!$H$4*('CALCULO MORTERO'!I124^2)+'BLAZE SHIELD II'!$H$5*'CALCULO MORTERO'!I124+'BLAZE SHIELD II'!$H$6)*LN(J124))+('BLAZE SHIELD II'!$H$7*('CALCULO MORTERO'!I124^2)+'BLAZE SHIELD II'!$H$8*'CALCULO MORTERO'!I124+'BLAZE SHIELD II'!$H$9)),0)+IF(AND(L124="Blaze Shield II",M124="Software Idiem",C124="C"),((('BLAZE SHIELD II'!$L$4*('CALCULO MORTERO'!I124^2)+'BLAZE SHIELD II'!$L$5*'CALCULO MORTERO'!I124+'BLAZE SHIELD II'!$L$6)*LN(J124))+('BLAZE SHIELD II'!$L$7*('CALCULO MORTERO'!I124^2)+'BLAZE SHIELD II'!$L$8*'CALCULO MORTERO'!I124+'BLAZE SHIELD II'!$L$9)),0)+IF(AND(L124="Blaze Shield II",M124="Software Idiem",C124="L"),((('BLAZE SHIELD II'!$L$4*('CALCULO MORTERO'!I124^2)+'BLAZE SHIELD II'!$L$5*'CALCULO MORTERO'!I124+'BLAZE SHIELD II'!$L$6)*LN(J124))+('BLAZE SHIELD II'!$L$7*('CALCULO MORTERO'!I124^2)+'BLAZE SHIELD II'!$L$8*'CALCULO MORTERO'!I124+'BLAZE SHIELD II'!$L$9)),0)+IF(AND(L124="Blaze Shield II",M124="Software Idiem",C124="IN",G124=3),((('BLAZE SHIELD II'!$H$14*('CALCULO MORTERO'!I124^2)+'BLAZE SHIELD II'!$H$15*'CALCULO MORTERO'!I124+'BLAZE SHIELD II'!$H$16)*LN(J124))+('BLAZE SHIELD II'!$H$17*('CALCULO MORTERO'!I124^2)+'BLAZE SHIELD II'!$H$18*'CALCULO MORTERO'!I124+'BLAZE SHIELD II'!$H$19)),0),0)+ROUND(IF(AND(L124="Cafco 400",M124="Software Idiem",C124="IN",G124=4),((('CAFCO 400 '!$H$7*(J124^4)+'CAFCO 400 '!$H$8*(J124^3)+'CAFCO 400 '!$H$9*(J124^2)+'CAFCO 400 '!$H$10*J124+'CAFCO 400 '!$H$11)*U124^2)+(('CAFCO 400 '!$H$12*(J124^3)+'CAFCO 400 '!$H$13*(J124^2)+'CAFCO 400 '!$H$14*J124+'CAFCO 400 '!$H$15)*U124)+('CAFCO 400 '!$H$16*(J124^2)+'CAFCO 400 '!$H$17*J124+'CAFCO 400 '!$H$18)),0)+IF(AND(L124="Cafco 400",M124="Software Idiem",C124="Cj"),(((('CAFCO 400 '!$D$7*LN(J124)+'CAFCO 400 '!$D$8)*U124^2)+(('CAFCO 400 '!$D$9*LN(J124)+'CAFCO 400 '!$D$10)*U124)+('CAFCO 400 '!$D$11*LN(J124)+'CAFCO 400 '!$D$12))),0)+IF(AND(L124="Cafco 400",M124="Software Idiem",C124="C"),((('CAFCO 400 '!$L$7*(J124^3)+'CAFCO 400 '!$L$8*(J124^2)+'CAFCO 400 '!$L$9*J124+'CAFCO 400 '!$L$10)*U124^2)+(('CAFCO 400 '!$L$11*(J124^3)+'CAFCO 400 '!$L$12*(J124^2)+'CAFCO 400 '!$L$13*J124+'CAFCO 400 '!$L$14)*U124)+('CAFCO 400 '!$L$15*LN(J124)+'CAFCO 400 '!$L$16)),0)+IF(AND(L124="Cafco 400",M124="Software Idiem",C124="L"),((('CAFCO 400 '!$L$7*(J124^3)+'CAFCO 400 '!$L$8*(J124^2)+'CAFCO 400 '!$L$9*J124+'CAFCO 400 '!$L$10)*U124^2)+(('CAFCO 400 '!$L$11*(J124^3)+'CAFCO 400 '!$L$12*(J124^2)+'CAFCO 400 '!$L$13*J124+'CAFCO 400 '!$L$14)*U124)+('CAFCO 400 '!$L$15*LN(J124)+'CAFCO 400 '!$L$16)),0)+IF(AND(L124="Cafco 400",M124="Software Idiem",C124="IN",G124=3),((('CAFCO 400 '!$D$23*(J124^2)+'CAFCO 400 '!$D$24*(J124)+'CAFCO 400 '!$D$25)*U124^2)+(('CAFCO 400 '!$D$26*(J124^2)+'CAFCO 400 '!$D$27*J124+'CAFCO 400 '!$D$28)*U124)+('CAFCO 400 '!$D$29*(J124^2)+'CAFCO 400 '!$D$30*J124+'CAFCO 400 '!$D$31)),0),0)+IF(AND(L124="Cafco 300",J124&gt;=95,J124&lt;=240,C124="Cj",I124=90),VLOOKUP(T124,'CAFCO 300 IDIEM TABLAS'!$B$4:$D$23,2,FALSE),0)+IF(AND(L124="Cafco 300",J124&gt;=95,J124&lt;=240,C124="Cj",I124=120),VLOOKUP(T124,'CAFCO 300 IDIEM TABLAS'!$B$4:$D$23,3,FALSE),0)+IF(AND(L124="Cafco 300",J124&gt;=95,J124&lt;=400,G124=3,C124="IN",I124=90),VLOOKUP(T124,'CAFCO 300 IDIEM TABLAS'!$F$4:$H$35,2,FALSE),0)+IF(AND(L124="Cafco 300",J124&gt;=95,J124&lt;=400,G124=3,C124="IN",I124=120),VLOOKUP(T124,'CAFCO 300 IDIEM TABLAS'!$F$4:$H$35,3,FALSE),0)+IF(AND(L124="Cafco 300",J124&gt;=95,J124&lt;=450,G124=4,C124="IN",I124=90),VLOOKUP(T124,'CAFCO 300 IDIEM TABLAS'!$J$4:$L$40,2,FALSE),0)+IF(AND(L124="Cafco 300",J124&gt;=95,J124&lt;=450,G124=4,C124="IN",I124=120),VLOOKUP(T124,'CAFCO 300 IDIEM TABLAS'!$J$4:$L$40,3,FALSE),0)+IF(AND(M124="Ensayo Idiem",L124="Cafco 400",C124="IN",G124=4,I124=90),VLOOKUP(T124,'CAFCO 400 ENSAYO'!$B$7:$D$43,2,FALSE),0)+IF(AND(M124="Ensayo Idiem",L124="Cafco 400",C124="IN",G124=4,I124=120),VLOOKUP(T124,'CAFCO 400 ENSAYO'!$B$7:$D$43,3,FALSE),0)</f>
        <v>0</v>
      </c>
      <c r="O124" s="96">
        <f t="shared" si="13"/>
        <v>0</v>
      </c>
      <c r="P124" s="95" t="str">
        <f t="shared" si="14"/>
        <v>NO CERT.</v>
      </c>
      <c r="Q124" s="95" t="str">
        <f t="shared" si="15"/>
        <v>NO CERT.</v>
      </c>
      <c r="R124" s="95" t="str">
        <f t="shared" si="16"/>
        <v>NO CERT.</v>
      </c>
      <c r="S124" s="95" t="e">
        <f t="shared" si="17"/>
        <v>#N/A</v>
      </c>
      <c r="T124" s="119" t="e">
        <f>+IF(J124=LOOKUP(J124,'CAFCO 300 IDIEM TABLAS'!$J$4:$J$40),'CALCULO MORTERO'!J124,MROUND('CALCULO MORTERO'!J124,10))</f>
        <v>#N/A</v>
      </c>
      <c r="U124" s="118">
        <f t="shared" si="18"/>
        <v>0</v>
      </c>
      <c r="Y124" s="4"/>
      <c r="Z124" s="4"/>
      <c r="AA124" s="4"/>
    </row>
    <row r="125" spans="1:27" x14ac:dyDescent="0.25">
      <c r="A125" s="118">
        <f>+CUBICACION!D119</f>
        <v>0</v>
      </c>
      <c r="B125" s="819">
        <f>+CUBICACION!E119</f>
        <v>0</v>
      </c>
      <c r="C125" s="675">
        <f>+CUBICACION!F119</f>
        <v>0</v>
      </c>
      <c r="D125" s="118"/>
      <c r="E125" s="118"/>
      <c r="F125" s="820"/>
      <c r="G125" s="675">
        <f>+CUBICACION!J119</f>
        <v>4</v>
      </c>
      <c r="H125" s="118"/>
      <c r="I125" s="821">
        <f>+CUBICACION!L119</f>
        <v>0</v>
      </c>
      <c r="J125" s="64">
        <f>+CUBICACION!M119</f>
        <v>0</v>
      </c>
      <c r="K125" s="822" t="str">
        <f>+CUBICACION!N119</f>
        <v/>
      </c>
      <c r="L125" s="118">
        <f>+CUBICACION!O119</f>
        <v>0</v>
      </c>
      <c r="M125" s="823" t="str">
        <f>+CUBICACION!P119</f>
        <v>Software Idiem</v>
      </c>
      <c r="N125" s="902">
        <f>ROUND(IF(AND(L125="Blaze Shield II",M125="Software Idiem",C125="IN",G125=4),((('BLAZE SHIELD II'!$D$4*('CALCULO MORTERO'!I125^2)+'BLAZE SHIELD II'!$D$5*'CALCULO MORTERO'!I125+'BLAZE SHIELD II'!$D$6)*LN(J125))+('BLAZE SHIELD II'!$D$7*('CALCULO MORTERO'!I125^2)+'BLAZE SHIELD II'!$D$8*'CALCULO MORTERO'!I125+'BLAZE SHIELD II'!$D$9)),0)+IF(AND(L125="Blaze Shield II",M125="Software Idiem",C125="Cj"),((('BLAZE SHIELD II'!$H$4*('CALCULO MORTERO'!I125^2)+'BLAZE SHIELD II'!$H$5*'CALCULO MORTERO'!I125+'BLAZE SHIELD II'!$H$6)*LN(J125))+('BLAZE SHIELD II'!$H$7*('CALCULO MORTERO'!I125^2)+'BLAZE SHIELD II'!$H$8*'CALCULO MORTERO'!I125+'BLAZE SHIELD II'!$H$9)),0)+IF(AND(L125="Blaze Shield II",M125="Software Idiem",C125="C"),((('BLAZE SHIELD II'!$L$4*('CALCULO MORTERO'!I125^2)+'BLAZE SHIELD II'!$L$5*'CALCULO MORTERO'!I125+'BLAZE SHIELD II'!$L$6)*LN(J125))+('BLAZE SHIELD II'!$L$7*('CALCULO MORTERO'!I125^2)+'BLAZE SHIELD II'!$L$8*'CALCULO MORTERO'!I125+'BLAZE SHIELD II'!$L$9)),0)+IF(AND(L125="Blaze Shield II",M125="Software Idiem",C125="L"),((('BLAZE SHIELD II'!$L$4*('CALCULO MORTERO'!I125^2)+'BLAZE SHIELD II'!$L$5*'CALCULO MORTERO'!I125+'BLAZE SHIELD II'!$L$6)*LN(J125))+('BLAZE SHIELD II'!$L$7*('CALCULO MORTERO'!I125^2)+'BLAZE SHIELD II'!$L$8*'CALCULO MORTERO'!I125+'BLAZE SHIELD II'!$L$9)),0)+IF(AND(L125="Blaze Shield II",M125="Software Idiem",C125="IN",G125=3),((('BLAZE SHIELD II'!$H$14*('CALCULO MORTERO'!I125^2)+'BLAZE SHIELD II'!$H$15*'CALCULO MORTERO'!I125+'BLAZE SHIELD II'!$H$16)*LN(J125))+('BLAZE SHIELD II'!$H$17*('CALCULO MORTERO'!I125^2)+'BLAZE SHIELD II'!$H$18*'CALCULO MORTERO'!I125+'BLAZE SHIELD II'!$H$19)),0),0)+ROUND(IF(AND(L125="Cafco 400",M125="Software Idiem",C125="IN",G125=4),((('CAFCO 400 '!$H$7*(J125^4)+'CAFCO 400 '!$H$8*(J125^3)+'CAFCO 400 '!$H$9*(J125^2)+'CAFCO 400 '!$H$10*J125+'CAFCO 400 '!$H$11)*U125^2)+(('CAFCO 400 '!$H$12*(J125^3)+'CAFCO 400 '!$H$13*(J125^2)+'CAFCO 400 '!$H$14*J125+'CAFCO 400 '!$H$15)*U125)+('CAFCO 400 '!$H$16*(J125^2)+'CAFCO 400 '!$H$17*J125+'CAFCO 400 '!$H$18)),0)+IF(AND(L125="Cafco 400",M125="Software Idiem",C125="Cj"),(((('CAFCO 400 '!$D$7*LN(J125)+'CAFCO 400 '!$D$8)*U125^2)+(('CAFCO 400 '!$D$9*LN(J125)+'CAFCO 400 '!$D$10)*U125)+('CAFCO 400 '!$D$11*LN(J125)+'CAFCO 400 '!$D$12))),0)+IF(AND(L125="Cafco 400",M125="Software Idiem",C125="C"),((('CAFCO 400 '!$L$7*(J125^3)+'CAFCO 400 '!$L$8*(J125^2)+'CAFCO 400 '!$L$9*J125+'CAFCO 400 '!$L$10)*U125^2)+(('CAFCO 400 '!$L$11*(J125^3)+'CAFCO 400 '!$L$12*(J125^2)+'CAFCO 400 '!$L$13*J125+'CAFCO 400 '!$L$14)*U125)+('CAFCO 400 '!$L$15*LN(J125)+'CAFCO 400 '!$L$16)),0)+IF(AND(L125="Cafco 400",M125="Software Idiem",C125="L"),((('CAFCO 400 '!$L$7*(J125^3)+'CAFCO 400 '!$L$8*(J125^2)+'CAFCO 400 '!$L$9*J125+'CAFCO 400 '!$L$10)*U125^2)+(('CAFCO 400 '!$L$11*(J125^3)+'CAFCO 400 '!$L$12*(J125^2)+'CAFCO 400 '!$L$13*J125+'CAFCO 400 '!$L$14)*U125)+('CAFCO 400 '!$L$15*LN(J125)+'CAFCO 400 '!$L$16)),0)+IF(AND(L125="Cafco 400",M125="Software Idiem",C125="IN",G125=3),((('CAFCO 400 '!$D$23*(J125^2)+'CAFCO 400 '!$D$24*(J125)+'CAFCO 400 '!$D$25)*U125^2)+(('CAFCO 400 '!$D$26*(J125^2)+'CAFCO 400 '!$D$27*J125+'CAFCO 400 '!$D$28)*U125)+('CAFCO 400 '!$D$29*(J125^2)+'CAFCO 400 '!$D$30*J125+'CAFCO 400 '!$D$31)),0),0)+IF(AND(L125="Cafco 300",J125&gt;=95,J125&lt;=240,C125="Cj",I125=90),VLOOKUP(T125,'CAFCO 300 IDIEM TABLAS'!$B$4:$D$23,2,FALSE),0)+IF(AND(L125="Cafco 300",J125&gt;=95,J125&lt;=240,C125="Cj",I125=120),VLOOKUP(T125,'CAFCO 300 IDIEM TABLAS'!$B$4:$D$23,3,FALSE),0)+IF(AND(L125="Cafco 300",J125&gt;=95,J125&lt;=400,G125=3,C125="IN",I125=90),VLOOKUP(T125,'CAFCO 300 IDIEM TABLAS'!$F$4:$H$35,2,FALSE),0)+IF(AND(L125="Cafco 300",J125&gt;=95,J125&lt;=400,G125=3,C125="IN",I125=120),VLOOKUP(T125,'CAFCO 300 IDIEM TABLAS'!$F$4:$H$35,3,FALSE),0)+IF(AND(L125="Cafco 300",J125&gt;=95,J125&lt;=450,G125=4,C125="IN",I125=90),VLOOKUP(T125,'CAFCO 300 IDIEM TABLAS'!$J$4:$L$40,2,FALSE),0)+IF(AND(L125="Cafco 300",J125&gt;=95,J125&lt;=450,G125=4,C125="IN",I125=120),VLOOKUP(T125,'CAFCO 300 IDIEM TABLAS'!$J$4:$L$40,3,FALSE),0)+IF(AND(M125="Ensayo Idiem",L125="Cafco 400",C125="IN",G125=4,I125=90),VLOOKUP(T125,'CAFCO 400 ENSAYO'!$B$7:$D$43,2,FALSE),0)+IF(AND(M125="Ensayo Idiem",L125="Cafco 400",C125="IN",G125=4,I125=120),VLOOKUP(T125,'CAFCO 400 ENSAYO'!$B$7:$D$43,3,FALSE),0)</f>
        <v>0</v>
      </c>
      <c r="O125" s="96">
        <f t="shared" si="12"/>
        <v>0</v>
      </c>
      <c r="P125" s="95" t="str">
        <f t="shared" si="9"/>
        <v>NO CERT.</v>
      </c>
      <c r="Q125" s="95" t="str">
        <f t="shared" si="10"/>
        <v>NO CERT.</v>
      </c>
      <c r="R125" s="95" t="str">
        <f t="shared" si="11"/>
        <v>NO CERT.</v>
      </c>
      <c r="S125" s="95" t="e">
        <f t="shared" si="6"/>
        <v>#N/A</v>
      </c>
      <c r="T125" s="119" t="e">
        <f>+IF(J125=LOOKUP(J125,'CAFCO 300 IDIEM TABLAS'!$J$4:$J$40),'CALCULO MORTERO'!J125,MROUND('CALCULO MORTERO'!J125,10))</f>
        <v>#N/A</v>
      </c>
      <c r="U125" s="118">
        <f t="shared" si="7"/>
        <v>0</v>
      </c>
      <c r="Y125" s="4"/>
      <c r="Z125" s="4"/>
      <c r="AA125" s="4"/>
    </row>
    <row r="126" spans="1:27" ht="15.6" customHeight="1" x14ac:dyDescent="0.25">
      <c r="A126" s="118">
        <f>+CUBICACION!D120</f>
        <v>0</v>
      </c>
      <c r="B126" s="819">
        <f>+CUBICACION!E120</f>
        <v>0</v>
      </c>
      <c r="C126" s="675">
        <f>+CUBICACION!F120</f>
        <v>0</v>
      </c>
      <c r="D126" s="118"/>
      <c r="E126" s="118"/>
      <c r="F126" s="820"/>
      <c r="G126" s="675">
        <f>+CUBICACION!J120</f>
        <v>4</v>
      </c>
      <c r="H126" s="118"/>
      <c r="I126" s="821">
        <f>+CUBICACION!L120</f>
        <v>0</v>
      </c>
      <c r="J126" s="64">
        <f>+CUBICACION!M120</f>
        <v>0</v>
      </c>
      <c r="K126" s="822" t="str">
        <f>+CUBICACION!N120</f>
        <v/>
      </c>
      <c r="L126" s="118">
        <f>+CUBICACION!O120</f>
        <v>0</v>
      </c>
      <c r="M126" s="823" t="str">
        <f>+CUBICACION!P120</f>
        <v>Software Idiem</v>
      </c>
      <c r="N126" s="902">
        <f>ROUND(IF(AND(L126="Blaze Shield II",M126="Software Idiem",C126="IN",G126=4),((('BLAZE SHIELD II'!$D$4*('CALCULO MORTERO'!I126^2)+'BLAZE SHIELD II'!$D$5*'CALCULO MORTERO'!I126+'BLAZE SHIELD II'!$D$6)*LN(J126))+('BLAZE SHIELD II'!$D$7*('CALCULO MORTERO'!I126^2)+'BLAZE SHIELD II'!$D$8*'CALCULO MORTERO'!I126+'BLAZE SHIELD II'!$D$9)),0)+IF(AND(L126="Blaze Shield II",M126="Software Idiem",C126="Cj"),((('BLAZE SHIELD II'!$H$4*('CALCULO MORTERO'!I126^2)+'BLAZE SHIELD II'!$H$5*'CALCULO MORTERO'!I126+'BLAZE SHIELD II'!$H$6)*LN(J126))+('BLAZE SHIELD II'!$H$7*('CALCULO MORTERO'!I126^2)+'BLAZE SHIELD II'!$H$8*'CALCULO MORTERO'!I126+'BLAZE SHIELD II'!$H$9)),0)+IF(AND(L126="Blaze Shield II",M126="Software Idiem",C126="C"),((('BLAZE SHIELD II'!$L$4*('CALCULO MORTERO'!I126^2)+'BLAZE SHIELD II'!$L$5*'CALCULO MORTERO'!I126+'BLAZE SHIELD II'!$L$6)*LN(J126))+('BLAZE SHIELD II'!$L$7*('CALCULO MORTERO'!I126^2)+'BLAZE SHIELD II'!$L$8*'CALCULO MORTERO'!I126+'BLAZE SHIELD II'!$L$9)),0)+IF(AND(L126="Blaze Shield II",M126="Software Idiem",C126="L"),((('BLAZE SHIELD II'!$L$4*('CALCULO MORTERO'!I126^2)+'BLAZE SHIELD II'!$L$5*'CALCULO MORTERO'!I126+'BLAZE SHIELD II'!$L$6)*LN(J126))+('BLAZE SHIELD II'!$L$7*('CALCULO MORTERO'!I126^2)+'BLAZE SHIELD II'!$L$8*'CALCULO MORTERO'!I126+'BLAZE SHIELD II'!$L$9)),0)+IF(AND(L126="Blaze Shield II",M126="Software Idiem",C126="IN",G126=3),((('BLAZE SHIELD II'!$H$14*('CALCULO MORTERO'!I126^2)+'BLAZE SHIELD II'!$H$15*'CALCULO MORTERO'!I126+'BLAZE SHIELD II'!$H$16)*LN(J126))+('BLAZE SHIELD II'!$H$17*('CALCULO MORTERO'!I126^2)+'BLAZE SHIELD II'!$H$18*'CALCULO MORTERO'!I126+'BLAZE SHIELD II'!$H$19)),0),0)+ROUND(IF(AND(L126="Cafco 400",M126="Software Idiem",C126="IN",G126=4),((('CAFCO 400 '!$H$7*(J126^4)+'CAFCO 400 '!$H$8*(J126^3)+'CAFCO 400 '!$H$9*(J126^2)+'CAFCO 400 '!$H$10*J126+'CAFCO 400 '!$H$11)*U126^2)+(('CAFCO 400 '!$H$12*(J126^3)+'CAFCO 400 '!$H$13*(J126^2)+'CAFCO 400 '!$H$14*J126+'CAFCO 400 '!$H$15)*U126)+('CAFCO 400 '!$H$16*(J126^2)+'CAFCO 400 '!$H$17*J126+'CAFCO 400 '!$H$18)),0)+IF(AND(L126="Cafco 400",M126="Software Idiem",C126="Cj"),(((('CAFCO 400 '!$D$7*LN(J126)+'CAFCO 400 '!$D$8)*U126^2)+(('CAFCO 400 '!$D$9*LN(J126)+'CAFCO 400 '!$D$10)*U126)+('CAFCO 400 '!$D$11*LN(J126)+'CAFCO 400 '!$D$12))),0)+IF(AND(L126="Cafco 400",M126="Software Idiem",C126="C"),((('CAFCO 400 '!$L$7*(J126^3)+'CAFCO 400 '!$L$8*(J126^2)+'CAFCO 400 '!$L$9*J126+'CAFCO 400 '!$L$10)*U126^2)+(('CAFCO 400 '!$L$11*(J126^3)+'CAFCO 400 '!$L$12*(J126^2)+'CAFCO 400 '!$L$13*J126+'CAFCO 400 '!$L$14)*U126)+('CAFCO 400 '!$L$15*LN(J126)+'CAFCO 400 '!$L$16)),0)+IF(AND(L126="Cafco 400",M126="Software Idiem",C126="L"),((('CAFCO 400 '!$L$7*(J126^3)+'CAFCO 400 '!$L$8*(J126^2)+'CAFCO 400 '!$L$9*J126+'CAFCO 400 '!$L$10)*U126^2)+(('CAFCO 400 '!$L$11*(J126^3)+'CAFCO 400 '!$L$12*(J126^2)+'CAFCO 400 '!$L$13*J126+'CAFCO 400 '!$L$14)*U126)+('CAFCO 400 '!$L$15*LN(J126)+'CAFCO 400 '!$L$16)),0)+IF(AND(L126="Cafco 400",M126="Software Idiem",C126="IN",G126=3),((('CAFCO 400 '!$D$23*(J126^2)+'CAFCO 400 '!$D$24*(J126)+'CAFCO 400 '!$D$25)*U126^2)+(('CAFCO 400 '!$D$26*(J126^2)+'CAFCO 400 '!$D$27*J126+'CAFCO 400 '!$D$28)*U126)+('CAFCO 400 '!$D$29*(J126^2)+'CAFCO 400 '!$D$30*J126+'CAFCO 400 '!$D$31)),0),0)+IF(AND(L126="Cafco 300",J126&gt;=95,J126&lt;=240,C126="Cj",I126=90),VLOOKUP(T126,'CAFCO 300 IDIEM TABLAS'!$B$4:$D$23,2,FALSE),0)+IF(AND(L126="Cafco 300",J126&gt;=95,J126&lt;=240,C126="Cj",I126=120),VLOOKUP(T126,'CAFCO 300 IDIEM TABLAS'!$B$4:$D$23,3,FALSE),0)+IF(AND(L126="Cafco 300",J126&gt;=95,J126&lt;=400,G126=3,C126="IN",I126=90),VLOOKUP(T126,'CAFCO 300 IDIEM TABLAS'!$F$4:$H$35,2,FALSE),0)+IF(AND(L126="Cafco 300",J126&gt;=95,J126&lt;=400,G126=3,C126="IN",I126=120),VLOOKUP(T126,'CAFCO 300 IDIEM TABLAS'!$F$4:$H$35,3,FALSE),0)+IF(AND(L126="Cafco 300",J126&gt;=95,J126&lt;=450,G126=4,C126="IN",I126=90),VLOOKUP(T126,'CAFCO 300 IDIEM TABLAS'!$J$4:$L$40,2,FALSE),0)+IF(AND(L126="Cafco 300",J126&gt;=95,J126&lt;=450,G126=4,C126="IN",I126=120),VLOOKUP(T126,'CAFCO 300 IDIEM TABLAS'!$J$4:$L$40,3,FALSE),0)+IF(AND(M126="Ensayo Idiem",L126="Cafco 400",C126="IN",G126=4,I126=90),VLOOKUP(T126,'CAFCO 400 ENSAYO'!$B$7:$D$43,2,FALSE),0)+IF(AND(M126="Ensayo Idiem",L126="Cafco 400",C126="IN",G126=4,I126=120),VLOOKUP(T126,'CAFCO 400 ENSAYO'!$B$7:$D$43,3,FALSE),0)</f>
        <v>0</v>
      </c>
      <c r="O126" s="96">
        <f t="shared" si="8"/>
        <v>0</v>
      </c>
      <c r="P126" s="95" t="str">
        <f t="shared" si="9"/>
        <v>NO CERT.</v>
      </c>
      <c r="Q126" s="95" t="str">
        <f t="shared" si="10"/>
        <v>NO CERT.</v>
      </c>
      <c r="R126" s="95" t="str">
        <f t="shared" si="11"/>
        <v>NO CERT.</v>
      </c>
      <c r="S126" s="95" t="e">
        <f t="shared" si="6"/>
        <v>#N/A</v>
      </c>
      <c r="T126" s="119" t="e">
        <f>+IF(J126=LOOKUP(J126,'CAFCO 300 IDIEM TABLAS'!$J$4:$J$40),'CALCULO MORTERO'!J126,MROUND('CALCULO MORTERO'!J126,10))</f>
        <v>#N/A</v>
      </c>
      <c r="U126" s="118">
        <f t="shared" si="7"/>
        <v>0</v>
      </c>
      <c r="Y126" s="4"/>
      <c r="Z126" s="4"/>
      <c r="AA126" s="4"/>
    </row>
    <row r="127" spans="1:27" x14ac:dyDescent="0.25">
      <c r="A127" s="118">
        <f>+CUBICACION!D121</f>
        <v>0</v>
      </c>
      <c r="B127" s="819">
        <f>+CUBICACION!E121</f>
        <v>0</v>
      </c>
      <c r="C127" s="675">
        <f>+CUBICACION!F121</f>
        <v>0</v>
      </c>
      <c r="D127" s="118"/>
      <c r="E127" s="118"/>
      <c r="F127" s="820"/>
      <c r="G127" s="675">
        <f>+CUBICACION!J121</f>
        <v>4</v>
      </c>
      <c r="H127" s="118"/>
      <c r="I127" s="821">
        <f>+CUBICACION!L121</f>
        <v>0</v>
      </c>
      <c r="J127" s="64">
        <f>+CUBICACION!M121</f>
        <v>0</v>
      </c>
      <c r="K127" s="822" t="str">
        <f>+CUBICACION!N121</f>
        <v/>
      </c>
      <c r="L127" s="118">
        <f>+CUBICACION!O121</f>
        <v>0</v>
      </c>
      <c r="M127" s="823" t="str">
        <f>+CUBICACION!P121</f>
        <v>Software Idiem</v>
      </c>
      <c r="N127" s="902">
        <f>ROUND(IF(AND(L127="Blaze Shield II",M127="Software Idiem",C127="IN",G127=4),((('BLAZE SHIELD II'!$D$4*('CALCULO MORTERO'!I127^2)+'BLAZE SHIELD II'!$D$5*'CALCULO MORTERO'!I127+'BLAZE SHIELD II'!$D$6)*LN(J127))+('BLAZE SHIELD II'!$D$7*('CALCULO MORTERO'!I127^2)+'BLAZE SHIELD II'!$D$8*'CALCULO MORTERO'!I127+'BLAZE SHIELD II'!$D$9)),0)+IF(AND(L127="Blaze Shield II",M127="Software Idiem",C127="Cj"),((('BLAZE SHIELD II'!$H$4*('CALCULO MORTERO'!I127^2)+'BLAZE SHIELD II'!$H$5*'CALCULO MORTERO'!I127+'BLAZE SHIELD II'!$H$6)*LN(J127))+('BLAZE SHIELD II'!$H$7*('CALCULO MORTERO'!I127^2)+'BLAZE SHIELD II'!$H$8*'CALCULO MORTERO'!I127+'BLAZE SHIELD II'!$H$9)),0)+IF(AND(L127="Blaze Shield II",M127="Software Idiem",C127="C"),((('BLAZE SHIELD II'!$L$4*('CALCULO MORTERO'!I127^2)+'BLAZE SHIELD II'!$L$5*'CALCULO MORTERO'!I127+'BLAZE SHIELD II'!$L$6)*LN(J127))+('BLAZE SHIELD II'!$L$7*('CALCULO MORTERO'!I127^2)+'BLAZE SHIELD II'!$L$8*'CALCULO MORTERO'!I127+'BLAZE SHIELD II'!$L$9)),0)+IF(AND(L127="Blaze Shield II",M127="Software Idiem",C127="L"),((('BLAZE SHIELD II'!$L$4*('CALCULO MORTERO'!I127^2)+'BLAZE SHIELD II'!$L$5*'CALCULO MORTERO'!I127+'BLAZE SHIELD II'!$L$6)*LN(J127))+('BLAZE SHIELD II'!$L$7*('CALCULO MORTERO'!I127^2)+'BLAZE SHIELD II'!$L$8*'CALCULO MORTERO'!I127+'BLAZE SHIELD II'!$L$9)),0)+IF(AND(L127="Blaze Shield II",M127="Software Idiem",C127="IN",G127=3),((('BLAZE SHIELD II'!$H$14*('CALCULO MORTERO'!I127^2)+'BLAZE SHIELD II'!$H$15*'CALCULO MORTERO'!I127+'BLAZE SHIELD II'!$H$16)*LN(J127))+('BLAZE SHIELD II'!$H$17*('CALCULO MORTERO'!I127^2)+'BLAZE SHIELD II'!$H$18*'CALCULO MORTERO'!I127+'BLAZE SHIELD II'!$H$19)),0),0)+ROUND(IF(AND(L127="Cafco 400",M127="Software Idiem",C127="IN",G127=4),((('CAFCO 400 '!$H$7*(J127^4)+'CAFCO 400 '!$H$8*(J127^3)+'CAFCO 400 '!$H$9*(J127^2)+'CAFCO 400 '!$H$10*J127+'CAFCO 400 '!$H$11)*U127^2)+(('CAFCO 400 '!$H$12*(J127^3)+'CAFCO 400 '!$H$13*(J127^2)+'CAFCO 400 '!$H$14*J127+'CAFCO 400 '!$H$15)*U127)+('CAFCO 400 '!$H$16*(J127^2)+'CAFCO 400 '!$H$17*J127+'CAFCO 400 '!$H$18)),0)+IF(AND(L127="Cafco 400",M127="Software Idiem",C127="Cj"),(((('CAFCO 400 '!$D$7*LN(J127)+'CAFCO 400 '!$D$8)*U127^2)+(('CAFCO 400 '!$D$9*LN(J127)+'CAFCO 400 '!$D$10)*U127)+('CAFCO 400 '!$D$11*LN(J127)+'CAFCO 400 '!$D$12))),0)+IF(AND(L127="Cafco 400",M127="Software Idiem",C127="C"),((('CAFCO 400 '!$L$7*(J127^3)+'CAFCO 400 '!$L$8*(J127^2)+'CAFCO 400 '!$L$9*J127+'CAFCO 400 '!$L$10)*U127^2)+(('CAFCO 400 '!$L$11*(J127^3)+'CAFCO 400 '!$L$12*(J127^2)+'CAFCO 400 '!$L$13*J127+'CAFCO 400 '!$L$14)*U127)+('CAFCO 400 '!$L$15*LN(J127)+'CAFCO 400 '!$L$16)),0)+IF(AND(L127="Cafco 400",M127="Software Idiem",C127="L"),((('CAFCO 400 '!$L$7*(J127^3)+'CAFCO 400 '!$L$8*(J127^2)+'CAFCO 400 '!$L$9*J127+'CAFCO 400 '!$L$10)*U127^2)+(('CAFCO 400 '!$L$11*(J127^3)+'CAFCO 400 '!$L$12*(J127^2)+'CAFCO 400 '!$L$13*J127+'CAFCO 400 '!$L$14)*U127)+('CAFCO 400 '!$L$15*LN(J127)+'CAFCO 400 '!$L$16)),0)+IF(AND(L127="Cafco 400",M127="Software Idiem",C127="IN",G127=3),((('CAFCO 400 '!$D$23*(J127^2)+'CAFCO 400 '!$D$24*(J127)+'CAFCO 400 '!$D$25)*U127^2)+(('CAFCO 400 '!$D$26*(J127^2)+'CAFCO 400 '!$D$27*J127+'CAFCO 400 '!$D$28)*U127)+('CAFCO 400 '!$D$29*(J127^2)+'CAFCO 400 '!$D$30*J127+'CAFCO 400 '!$D$31)),0),0)+IF(AND(L127="Cafco 300",J127&gt;=95,J127&lt;=240,C127="Cj",I127=90),VLOOKUP(T127,'CAFCO 300 IDIEM TABLAS'!$B$4:$D$23,2,FALSE),0)+IF(AND(L127="Cafco 300",J127&gt;=95,J127&lt;=240,C127="Cj",I127=120),VLOOKUP(T127,'CAFCO 300 IDIEM TABLAS'!$B$4:$D$23,3,FALSE),0)+IF(AND(L127="Cafco 300",J127&gt;=95,J127&lt;=400,G127=3,C127="IN",I127=90),VLOOKUP(T127,'CAFCO 300 IDIEM TABLAS'!$F$4:$H$35,2,FALSE),0)+IF(AND(L127="Cafco 300",J127&gt;=95,J127&lt;=400,G127=3,C127="IN",I127=120),VLOOKUP(T127,'CAFCO 300 IDIEM TABLAS'!$F$4:$H$35,3,FALSE),0)+IF(AND(L127="Cafco 300",J127&gt;=95,J127&lt;=450,G127=4,C127="IN",I127=90),VLOOKUP(T127,'CAFCO 300 IDIEM TABLAS'!$J$4:$L$40,2,FALSE),0)+IF(AND(L127="Cafco 300",J127&gt;=95,J127&lt;=450,G127=4,C127="IN",I127=120),VLOOKUP(T127,'CAFCO 300 IDIEM TABLAS'!$J$4:$L$40,3,FALSE),0)+IF(AND(M127="Ensayo Idiem",L127="Cafco 400",C127="IN",G127=4,I127=90),VLOOKUP(T127,'CAFCO 400 ENSAYO'!$B$7:$D$43,2,FALSE),0)+IF(AND(M127="Ensayo Idiem",L127="Cafco 400",C127="IN",G127=4,I127=120),VLOOKUP(T127,'CAFCO 400 ENSAYO'!$B$7:$D$43,3,FALSE),0)</f>
        <v>0</v>
      </c>
      <c r="O127" s="96">
        <f t="shared" si="8"/>
        <v>0</v>
      </c>
      <c r="P127" s="95" t="str">
        <f t="shared" si="9"/>
        <v>NO CERT.</v>
      </c>
      <c r="Q127" s="95" t="str">
        <f t="shared" si="10"/>
        <v>NO CERT.</v>
      </c>
      <c r="R127" s="95" t="str">
        <f t="shared" si="11"/>
        <v>NO CERT.</v>
      </c>
      <c r="S127" s="95" t="e">
        <f t="shared" si="6"/>
        <v>#N/A</v>
      </c>
      <c r="T127" s="119" t="e">
        <f>+IF(J127=LOOKUP(J127,'CAFCO 300 IDIEM TABLAS'!$J$4:$J$40),'CALCULO MORTERO'!J127,MROUND('CALCULO MORTERO'!J127,10))</f>
        <v>#N/A</v>
      </c>
      <c r="U127" s="118">
        <f t="shared" si="7"/>
        <v>0</v>
      </c>
      <c r="Y127" s="4"/>
      <c r="Z127" s="4"/>
      <c r="AA127" s="4"/>
    </row>
    <row r="128" spans="1:27" ht="15.6" customHeight="1" x14ac:dyDescent="0.25">
      <c r="A128" s="118">
        <f>+CUBICACION!D122</f>
        <v>0</v>
      </c>
      <c r="B128" s="819">
        <f>+CUBICACION!E122</f>
        <v>0</v>
      </c>
      <c r="C128" s="675">
        <f>+CUBICACION!F122</f>
        <v>0</v>
      </c>
      <c r="D128" s="118"/>
      <c r="E128" s="118"/>
      <c r="F128" s="820"/>
      <c r="G128" s="675">
        <f>+CUBICACION!J122</f>
        <v>4</v>
      </c>
      <c r="H128" s="118"/>
      <c r="I128" s="821">
        <f>+CUBICACION!L122</f>
        <v>0</v>
      </c>
      <c r="J128" s="64">
        <f>+CUBICACION!M122</f>
        <v>0</v>
      </c>
      <c r="K128" s="822" t="str">
        <f>+CUBICACION!N122</f>
        <v/>
      </c>
      <c r="L128" s="118">
        <f>+CUBICACION!O122</f>
        <v>0</v>
      </c>
      <c r="M128" s="823" t="str">
        <f>+CUBICACION!P122</f>
        <v>Software Idiem</v>
      </c>
      <c r="N128" s="902">
        <f>ROUND(IF(AND(L128="Blaze Shield II",M128="Software Idiem",C128="IN",G128=4),((('BLAZE SHIELD II'!$D$4*('CALCULO MORTERO'!I128^2)+'BLAZE SHIELD II'!$D$5*'CALCULO MORTERO'!I128+'BLAZE SHIELD II'!$D$6)*LN(J128))+('BLAZE SHIELD II'!$D$7*('CALCULO MORTERO'!I128^2)+'BLAZE SHIELD II'!$D$8*'CALCULO MORTERO'!I128+'BLAZE SHIELD II'!$D$9)),0)+IF(AND(L128="Blaze Shield II",M128="Software Idiem",C128="Cj"),((('BLAZE SHIELD II'!$H$4*('CALCULO MORTERO'!I128^2)+'BLAZE SHIELD II'!$H$5*'CALCULO MORTERO'!I128+'BLAZE SHIELD II'!$H$6)*LN(J128))+('BLAZE SHIELD II'!$H$7*('CALCULO MORTERO'!I128^2)+'BLAZE SHIELD II'!$H$8*'CALCULO MORTERO'!I128+'BLAZE SHIELD II'!$H$9)),0)+IF(AND(L128="Blaze Shield II",M128="Software Idiem",C128="C"),((('BLAZE SHIELD II'!$L$4*('CALCULO MORTERO'!I128^2)+'BLAZE SHIELD II'!$L$5*'CALCULO MORTERO'!I128+'BLAZE SHIELD II'!$L$6)*LN(J128))+('BLAZE SHIELD II'!$L$7*('CALCULO MORTERO'!I128^2)+'BLAZE SHIELD II'!$L$8*'CALCULO MORTERO'!I128+'BLAZE SHIELD II'!$L$9)),0)+IF(AND(L128="Blaze Shield II",M128="Software Idiem",C128="L"),((('BLAZE SHIELD II'!$L$4*('CALCULO MORTERO'!I128^2)+'BLAZE SHIELD II'!$L$5*'CALCULO MORTERO'!I128+'BLAZE SHIELD II'!$L$6)*LN(J128))+('BLAZE SHIELD II'!$L$7*('CALCULO MORTERO'!I128^2)+'BLAZE SHIELD II'!$L$8*'CALCULO MORTERO'!I128+'BLAZE SHIELD II'!$L$9)),0)+IF(AND(L128="Blaze Shield II",M128="Software Idiem",C128="IN",G128=3),((('BLAZE SHIELD II'!$H$14*('CALCULO MORTERO'!I128^2)+'BLAZE SHIELD II'!$H$15*'CALCULO MORTERO'!I128+'BLAZE SHIELD II'!$H$16)*LN(J128))+('BLAZE SHIELD II'!$H$17*('CALCULO MORTERO'!I128^2)+'BLAZE SHIELD II'!$H$18*'CALCULO MORTERO'!I128+'BLAZE SHIELD II'!$H$19)),0),0)+ROUND(IF(AND(L128="Cafco 400",M128="Software Idiem",C128="IN",G128=4),((('CAFCO 400 '!$H$7*(J128^4)+'CAFCO 400 '!$H$8*(J128^3)+'CAFCO 400 '!$H$9*(J128^2)+'CAFCO 400 '!$H$10*J128+'CAFCO 400 '!$H$11)*U128^2)+(('CAFCO 400 '!$H$12*(J128^3)+'CAFCO 400 '!$H$13*(J128^2)+'CAFCO 400 '!$H$14*J128+'CAFCO 400 '!$H$15)*U128)+('CAFCO 400 '!$H$16*(J128^2)+'CAFCO 400 '!$H$17*J128+'CAFCO 400 '!$H$18)),0)+IF(AND(L128="Cafco 400",M128="Software Idiem",C128="Cj"),(((('CAFCO 400 '!$D$7*LN(J128)+'CAFCO 400 '!$D$8)*U128^2)+(('CAFCO 400 '!$D$9*LN(J128)+'CAFCO 400 '!$D$10)*U128)+('CAFCO 400 '!$D$11*LN(J128)+'CAFCO 400 '!$D$12))),0)+IF(AND(L128="Cafco 400",M128="Software Idiem",C128="C"),((('CAFCO 400 '!$L$7*(J128^3)+'CAFCO 400 '!$L$8*(J128^2)+'CAFCO 400 '!$L$9*J128+'CAFCO 400 '!$L$10)*U128^2)+(('CAFCO 400 '!$L$11*(J128^3)+'CAFCO 400 '!$L$12*(J128^2)+'CAFCO 400 '!$L$13*J128+'CAFCO 400 '!$L$14)*U128)+('CAFCO 400 '!$L$15*LN(J128)+'CAFCO 400 '!$L$16)),0)+IF(AND(L128="Cafco 400",M128="Software Idiem",C128="L"),((('CAFCO 400 '!$L$7*(J128^3)+'CAFCO 400 '!$L$8*(J128^2)+'CAFCO 400 '!$L$9*J128+'CAFCO 400 '!$L$10)*U128^2)+(('CAFCO 400 '!$L$11*(J128^3)+'CAFCO 400 '!$L$12*(J128^2)+'CAFCO 400 '!$L$13*J128+'CAFCO 400 '!$L$14)*U128)+('CAFCO 400 '!$L$15*LN(J128)+'CAFCO 400 '!$L$16)),0)+IF(AND(L128="Cafco 400",M128="Software Idiem",C128="IN",G128=3),((('CAFCO 400 '!$D$23*(J128^2)+'CAFCO 400 '!$D$24*(J128)+'CAFCO 400 '!$D$25)*U128^2)+(('CAFCO 400 '!$D$26*(J128^2)+'CAFCO 400 '!$D$27*J128+'CAFCO 400 '!$D$28)*U128)+('CAFCO 400 '!$D$29*(J128^2)+'CAFCO 400 '!$D$30*J128+'CAFCO 400 '!$D$31)),0),0)+IF(AND(L128="Cafco 300",J128&gt;=95,J128&lt;=240,C128="Cj",I128=90),VLOOKUP(T128,'CAFCO 300 IDIEM TABLAS'!$B$4:$D$23,2,FALSE),0)+IF(AND(L128="Cafco 300",J128&gt;=95,J128&lt;=240,C128="Cj",I128=120),VLOOKUP(T128,'CAFCO 300 IDIEM TABLAS'!$B$4:$D$23,3,FALSE),0)+IF(AND(L128="Cafco 300",J128&gt;=95,J128&lt;=400,G128=3,C128="IN",I128=90),VLOOKUP(T128,'CAFCO 300 IDIEM TABLAS'!$F$4:$H$35,2,FALSE),0)+IF(AND(L128="Cafco 300",J128&gt;=95,J128&lt;=400,G128=3,C128="IN",I128=120),VLOOKUP(T128,'CAFCO 300 IDIEM TABLAS'!$F$4:$H$35,3,FALSE),0)+IF(AND(L128="Cafco 300",J128&gt;=95,J128&lt;=450,G128=4,C128="IN",I128=90),VLOOKUP(T128,'CAFCO 300 IDIEM TABLAS'!$J$4:$L$40,2,FALSE),0)+IF(AND(L128="Cafco 300",J128&gt;=95,J128&lt;=450,G128=4,C128="IN",I128=120),VLOOKUP(T128,'CAFCO 300 IDIEM TABLAS'!$J$4:$L$40,3,FALSE),0)+IF(AND(M128="Ensayo Idiem",L128="Cafco 400",C128="IN",G128=4,I128=90),VLOOKUP(T128,'CAFCO 400 ENSAYO'!$B$7:$D$43,2,FALSE),0)+IF(AND(M128="Ensayo Idiem",L128="Cafco 400",C128="IN",G128=4,I128=120),VLOOKUP(T128,'CAFCO 400 ENSAYO'!$B$7:$D$43,3,FALSE),0)</f>
        <v>0</v>
      </c>
      <c r="O128" s="96">
        <f t="shared" si="8"/>
        <v>0</v>
      </c>
      <c r="P128" s="95" t="str">
        <f t="shared" si="9"/>
        <v>NO CERT.</v>
      </c>
      <c r="Q128" s="95" t="str">
        <f t="shared" si="10"/>
        <v>NO CERT.</v>
      </c>
      <c r="R128" s="95" t="str">
        <f t="shared" si="11"/>
        <v>NO CERT.</v>
      </c>
      <c r="S128" s="95" t="e">
        <f t="shared" si="6"/>
        <v>#N/A</v>
      </c>
      <c r="T128" s="119" t="e">
        <f>+IF(J128=LOOKUP(J128,'CAFCO 300 IDIEM TABLAS'!$J$4:$J$40),'CALCULO MORTERO'!J128,MROUND('CALCULO MORTERO'!J128,10))</f>
        <v>#N/A</v>
      </c>
      <c r="U128" s="118">
        <f t="shared" si="7"/>
        <v>0</v>
      </c>
      <c r="Y128" s="4"/>
      <c r="Z128" s="4"/>
      <c r="AA128" s="4"/>
    </row>
    <row r="129" spans="1:27" x14ac:dyDescent="0.25">
      <c r="A129" s="118">
        <f>+CUBICACION!D123</f>
        <v>0</v>
      </c>
      <c r="B129" s="819">
        <f>+CUBICACION!E123</f>
        <v>0</v>
      </c>
      <c r="C129" s="675">
        <f>+CUBICACION!F123</f>
        <v>0</v>
      </c>
      <c r="D129" s="118"/>
      <c r="E129" s="118"/>
      <c r="F129" s="820"/>
      <c r="G129" s="675">
        <f>+CUBICACION!J123</f>
        <v>4</v>
      </c>
      <c r="H129" s="118"/>
      <c r="I129" s="821">
        <f>+CUBICACION!L123</f>
        <v>0</v>
      </c>
      <c r="J129" s="64">
        <f>+CUBICACION!M123</f>
        <v>0</v>
      </c>
      <c r="K129" s="822" t="str">
        <f>+CUBICACION!N123</f>
        <v/>
      </c>
      <c r="L129" s="118">
        <f>+CUBICACION!O123</f>
        <v>0</v>
      </c>
      <c r="M129" s="823" t="str">
        <f>+CUBICACION!P123</f>
        <v>Software Idiem</v>
      </c>
      <c r="N129" s="902">
        <f>ROUND(IF(AND(L129="Blaze Shield II",M129="Software Idiem",C129="IN",G129=4),((('BLAZE SHIELD II'!$D$4*('CALCULO MORTERO'!I129^2)+'BLAZE SHIELD II'!$D$5*'CALCULO MORTERO'!I129+'BLAZE SHIELD II'!$D$6)*LN(J129))+('BLAZE SHIELD II'!$D$7*('CALCULO MORTERO'!I129^2)+'BLAZE SHIELD II'!$D$8*'CALCULO MORTERO'!I129+'BLAZE SHIELD II'!$D$9)),0)+IF(AND(L129="Blaze Shield II",M129="Software Idiem",C129="Cj"),((('BLAZE SHIELD II'!$H$4*('CALCULO MORTERO'!I129^2)+'BLAZE SHIELD II'!$H$5*'CALCULO MORTERO'!I129+'BLAZE SHIELD II'!$H$6)*LN(J129))+('BLAZE SHIELD II'!$H$7*('CALCULO MORTERO'!I129^2)+'BLAZE SHIELD II'!$H$8*'CALCULO MORTERO'!I129+'BLAZE SHIELD II'!$H$9)),0)+IF(AND(L129="Blaze Shield II",M129="Software Idiem",C129="C"),((('BLAZE SHIELD II'!$L$4*('CALCULO MORTERO'!I129^2)+'BLAZE SHIELD II'!$L$5*'CALCULO MORTERO'!I129+'BLAZE SHIELD II'!$L$6)*LN(J129))+('BLAZE SHIELD II'!$L$7*('CALCULO MORTERO'!I129^2)+'BLAZE SHIELD II'!$L$8*'CALCULO MORTERO'!I129+'BLAZE SHIELD II'!$L$9)),0)+IF(AND(L129="Blaze Shield II",M129="Software Idiem",C129="L"),((('BLAZE SHIELD II'!$L$4*('CALCULO MORTERO'!I129^2)+'BLAZE SHIELD II'!$L$5*'CALCULO MORTERO'!I129+'BLAZE SHIELD II'!$L$6)*LN(J129))+('BLAZE SHIELD II'!$L$7*('CALCULO MORTERO'!I129^2)+'BLAZE SHIELD II'!$L$8*'CALCULO MORTERO'!I129+'BLAZE SHIELD II'!$L$9)),0)+IF(AND(L129="Blaze Shield II",M129="Software Idiem",C129="IN",G129=3),((('BLAZE SHIELD II'!$H$14*('CALCULO MORTERO'!I129^2)+'BLAZE SHIELD II'!$H$15*'CALCULO MORTERO'!I129+'BLAZE SHIELD II'!$H$16)*LN(J129))+('BLAZE SHIELD II'!$H$17*('CALCULO MORTERO'!I129^2)+'BLAZE SHIELD II'!$H$18*'CALCULO MORTERO'!I129+'BLAZE SHIELD II'!$H$19)),0),0)+ROUND(IF(AND(L129="Cafco 400",M129="Software Idiem",C129="IN",G129=4),((('CAFCO 400 '!$H$7*(J129^4)+'CAFCO 400 '!$H$8*(J129^3)+'CAFCO 400 '!$H$9*(J129^2)+'CAFCO 400 '!$H$10*J129+'CAFCO 400 '!$H$11)*U129^2)+(('CAFCO 400 '!$H$12*(J129^3)+'CAFCO 400 '!$H$13*(J129^2)+'CAFCO 400 '!$H$14*J129+'CAFCO 400 '!$H$15)*U129)+('CAFCO 400 '!$H$16*(J129^2)+'CAFCO 400 '!$H$17*J129+'CAFCO 400 '!$H$18)),0)+IF(AND(L129="Cafco 400",M129="Software Idiem",C129="Cj"),(((('CAFCO 400 '!$D$7*LN(J129)+'CAFCO 400 '!$D$8)*U129^2)+(('CAFCO 400 '!$D$9*LN(J129)+'CAFCO 400 '!$D$10)*U129)+('CAFCO 400 '!$D$11*LN(J129)+'CAFCO 400 '!$D$12))),0)+IF(AND(L129="Cafco 400",M129="Software Idiem",C129="C"),((('CAFCO 400 '!$L$7*(J129^3)+'CAFCO 400 '!$L$8*(J129^2)+'CAFCO 400 '!$L$9*J129+'CAFCO 400 '!$L$10)*U129^2)+(('CAFCO 400 '!$L$11*(J129^3)+'CAFCO 400 '!$L$12*(J129^2)+'CAFCO 400 '!$L$13*J129+'CAFCO 400 '!$L$14)*U129)+('CAFCO 400 '!$L$15*LN(J129)+'CAFCO 400 '!$L$16)),0)+IF(AND(L129="Cafco 400",M129="Software Idiem",C129="L"),((('CAFCO 400 '!$L$7*(J129^3)+'CAFCO 400 '!$L$8*(J129^2)+'CAFCO 400 '!$L$9*J129+'CAFCO 400 '!$L$10)*U129^2)+(('CAFCO 400 '!$L$11*(J129^3)+'CAFCO 400 '!$L$12*(J129^2)+'CAFCO 400 '!$L$13*J129+'CAFCO 400 '!$L$14)*U129)+('CAFCO 400 '!$L$15*LN(J129)+'CAFCO 400 '!$L$16)),0)+IF(AND(L129="Cafco 400",M129="Software Idiem",C129="IN",G129=3),((('CAFCO 400 '!$D$23*(J129^2)+'CAFCO 400 '!$D$24*(J129)+'CAFCO 400 '!$D$25)*U129^2)+(('CAFCO 400 '!$D$26*(J129^2)+'CAFCO 400 '!$D$27*J129+'CAFCO 400 '!$D$28)*U129)+('CAFCO 400 '!$D$29*(J129^2)+'CAFCO 400 '!$D$30*J129+'CAFCO 400 '!$D$31)),0),0)+IF(AND(L129="Cafco 300",J129&gt;=95,J129&lt;=240,C129="Cj",I129=90),VLOOKUP(T129,'CAFCO 300 IDIEM TABLAS'!$B$4:$D$23,2,FALSE),0)+IF(AND(L129="Cafco 300",J129&gt;=95,J129&lt;=240,C129="Cj",I129=120),VLOOKUP(T129,'CAFCO 300 IDIEM TABLAS'!$B$4:$D$23,3,FALSE),0)+IF(AND(L129="Cafco 300",J129&gt;=95,J129&lt;=400,G129=3,C129="IN",I129=90),VLOOKUP(T129,'CAFCO 300 IDIEM TABLAS'!$F$4:$H$35,2,FALSE),0)+IF(AND(L129="Cafco 300",J129&gt;=95,J129&lt;=400,G129=3,C129="IN",I129=120),VLOOKUP(T129,'CAFCO 300 IDIEM TABLAS'!$F$4:$H$35,3,FALSE),0)+IF(AND(L129="Cafco 300",J129&gt;=95,J129&lt;=450,G129=4,C129="IN",I129=90),VLOOKUP(T129,'CAFCO 300 IDIEM TABLAS'!$J$4:$L$40,2,FALSE),0)+IF(AND(L129="Cafco 300",J129&gt;=95,J129&lt;=450,G129=4,C129="IN",I129=120),VLOOKUP(T129,'CAFCO 300 IDIEM TABLAS'!$J$4:$L$40,3,FALSE),0)+IF(AND(M129="Ensayo Idiem",L129="Cafco 400",C129="IN",G129=4,I129=90),VLOOKUP(T129,'CAFCO 400 ENSAYO'!$B$7:$D$43,2,FALSE),0)+IF(AND(M129="Ensayo Idiem",L129="Cafco 400",C129="IN",G129=4,I129=120),VLOOKUP(T129,'CAFCO 400 ENSAYO'!$B$7:$D$43,3,FALSE),0)</f>
        <v>0</v>
      </c>
      <c r="O129" s="96">
        <f t="shared" si="8"/>
        <v>0</v>
      </c>
      <c r="P129" s="95" t="str">
        <f t="shared" si="9"/>
        <v>NO CERT.</v>
      </c>
      <c r="Q129" s="95" t="str">
        <f t="shared" si="10"/>
        <v>NO CERT.</v>
      </c>
      <c r="R129" s="95" t="str">
        <f t="shared" si="11"/>
        <v>NO CERT.</v>
      </c>
      <c r="S129" s="95" t="e">
        <f t="shared" si="6"/>
        <v>#N/A</v>
      </c>
      <c r="T129" s="119" t="e">
        <f>+IF(J129=LOOKUP(J129,'CAFCO 300 IDIEM TABLAS'!$J$4:$J$40),'CALCULO MORTERO'!J129,MROUND('CALCULO MORTERO'!J129,10))</f>
        <v>#N/A</v>
      </c>
      <c r="U129" s="118">
        <f t="shared" si="7"/>
        <v>0</v>
      </c>
      <c r="Y129" s="4"/>
      <c r="Z129" s="4"/>
      <c r="AA129" s="4"/>
    </row>
    <row r="130" spans="1:27" ht="15.6" customHeight="1" x14ac:dyDescent="0.25">
      <c r="A130" s="118">
        <f>+CUBICACION!D124</f>
        <v>0</v>
      </c>
      <c r="B130" s="819">
        <f>+CUBICACION!E124</f>
        <v>0</v>
      </c>
      <c r="C130" s="675">
        <f>+CUBICACION!F124</f>
        <v>0</v>
      </c>
      <c r="D130" s="118"/>
      <c r="E130" s="118"/>
      <c r="F130" s="820"/>
      <c r="G130" s="675">
        <f>+CUBICACION!J124</f>
        <v>4</v>
      </c>
      <c r="H130" s="118"/>
      <c r="I130" s="821">
        <f>+CUBICACION!L124</f>
        <v>0</v>
      </c>
      <c r="J130" s="64">
        <f>+CUBICACION!M124</f>
        <v>0</v>
      </c>
      <c r="K130" s="822" t="str">
        <f>+CUBICACION!N124</f>
        <v/>
      </c>
      <c r="L130" s="118">
        <f>+CUBICACION!O124</f>
        <v>0</v>
      </c>
      <c r="M130" s="823" t="str">
        <f>+CUBICACION!P124</f>
        <v>Software Idiem</v>
      </c>
      <c r="N130" s="902">
        <f>ROUND(IF(AND(L130="Blaze Shield II",M130="Software Idiem",C130="IN",G130=4),((('BLAZE SHIELD II'!$D$4*('CALCULO MORTERO'!I130^2)+'BLAZE SHIELD II'!$D$5*'CALCULO MORTERO'!I130+'BLAZE SHIELD II'!$D$6)*LN(J130))+('BLAZE SHIELD II'!$D$7*('CALCULO MORTERO'!I130^2)+'BLAZE SHIELD II'!$D$8*'CALCULO MORTERO'!I130+'BLAZE SHIELD II'!$D$9)),0)+IF(AND(L130="Blaze Shield II",M130="Software Idiem",C130="Cj"),((('BLAZE SHIELD II'!$H$4*('CALCULO MORTERO'!I130^2)+'BLAZE SHIELD II'!$H$5*'CALCULO MORTERO'!I130+'BLAZE SHIELD II'!$H$6)*LN(J130))+('BLAZE SHIELD II'!$H$7*('CALCULO MORTERO'!I130^2)+'BLAZE SHIELD II'!$H$8*'CALCULO MORTERO'!I130+'BLAZE SHIELD II'!$H$9)),0)+IF(AND(L130="Blaze Shield II",M130="Software Idiem",C130="C"),((('BLAZE SHIELD II'!$L$4*('CALCULO MORTERO'!I130^2)+'BLAZE SHIELD II'!$L$5*'CALCULO MORTERO'!I130+'BLAZE SHIELD II'!$L$6)*LN(J130))+('BLAZE SHIELD II'!$L$7*('CALCULO MORTERO'!I130^2)+'BLAZE SHIELD II'!$L$8*'CALCULO MORTERO'!I130+'BLAZE SHIELD II'!$L$9)),0)+IF(AND(L130="Blaze Shield II",M130="Software Idiem",C130="L"),((('BLAZE SHIELD II'!$L$4*('CALCULO MORTERO'!I130^2)+'BLAZE SHIELD II'!$L$5*'CALCULO MORTERO'!I130+'BLAZE SHIELD II'!$L$6)*LN(J130))+('BLAZE SHIELD II'!$L$7*('CALCULO MORTERO'!I130^2)+'BLAZE SHIELD II'!$L$8*'CALCULO MORTERO'!I130+'BLAZE SHIELD II'!$L$9)),0)+IF(AND(L130="Blaze Shield II",M130="Software Idiem",C130="IN",G130=3),((('BLAZE SHIELD II'!$H$14*('CALCULO MORTERO'!I130^2)+'BLAZE SHIELD II'!$H$15*'CALCULO MORTERO'!I130+'BLAZE SHIELD II'!$H$16)*LN(J130))+('BLAZE SHIELD II'!$H$17*('CALCULO MORTERO'!I130^2)+'BLAZE SHIELD II'!$H$18*'CALCULO MORTERO'!I130+'BLAZE SHIELD II'!$H$19)),0),0)+ROUND(IF(AND(L130="Cafco 400",M130="Software Idiem",C130="IN",G130=4),((('CAFCO 400 '!$H$7*(J130^4)+'CAFCO 400 '!$H$8*(J130^3)+'CAFCO 400 '!$H$9*(J130^2)+'CAFCO 400 '!$H$10*J130+'CAFCO 400 '!$H$11)*U130^2)+(('CAFCO 400 '!$H$12*(J130^3)+'CAFCO 400 '!$H$13*(J130^2)+'CAFCO 400 '!$H$14*J130+'CAFCO 400 '!$H$15)*U130)+('CAFCO 400 '!$H$16*(J130^2)+'CAFCO 400 '!$H$17*J130+'CAFCO 400 '!$H$18)),0)+IF(AND(L130="Cafco 400",M130="Software Idiem",C130="Cj"),(((('CAFCO 400 '!$D$7*LN(J130)+'CAFCO 400 '!$D$8)*U130^2)+(('CAFCO 400 '!$D$9*LN(J130)+'CAFCO 400 '!$D$10)*U130)+('CAFCO 400 '!$D$11*LN(J130)+'CAFCO 400 '!$D$12))),0)+IF(AND(L130="Cafco 400",M130="Software Idiem",C130="C"),((('CAFCO 400 '!$L$7*(J130^3)+'CAFCO 400 '!$L$8*(J130^2)+'CAFCO 400 '!$L$9*J130+'CAFCO 400 '!$L$10)*U130^2)+(('CAFCO 400 '!$L$11*(J130^3)+'CAFCO 400 '!$L$12*(J130^2)+'CAFCO 400 '!$L$13*J130+'CAFCO 400 '!$L$14)*U130)+('CAFCO 400 '!$L$15*LN(J130)+'CAFCO 400 '!$L$16)),0)+IF(AND(L130="Cafco 400",M130="Software Idiem",C130="L"),((('CAFCO 400 '!$L$7*(J130^3)+'CAFCO 400 '!$L$8*(J130^2)+'CAFCO 400 '!$L$9*J130+'CAFCO 400 '!$L$10)*U130^2)+(('CAFCO 400 '!$L$11*(J130^3)+'CAFCO 400 '!$L$12*(J130^2)+'CAFCO 400 '!$L$13*J130+'CAFCO 400 '!$L$14)*U130)+('CAFCO 400 '!$L$15*LN(J130)+'CAFCO 400 '!$L$16)),0)+IF(AND(L130="Cafco 400",M130="Software Idiem",C130="IN",G130=3),((('CAFCO 400 '!$D$23*(J130^2)+'CAFCO 400 '!$D$24*(J130)+'CAFCO 400 '!$D$25)*U130^2)+(('CAFCO 400 '!$D$26*(J130^2)+'CAFCO 400 '!$D$27*J130+'CAFCO 400 '!$D$28)*U130)+('CAFCO 400 '!$D$29*(J130^2)+'CAFCO 400 '!$D$30*J130+'CAFCO 400 '!$D$31)),0),0)+IF(AND(L130="Cafco 300",J130&gt;=95,J130&lt;=240,C130="Cj",I130=90),VLOOKUP(T130,'CAFCO 300 IDIEM TABLAS'!$B$4:$D$23,2,FALSE),0)+IF(AND(L130="Cafco 300",J130&gt;=95,J130&lt;=240,C130="Cj",I130=120),VLOOKUP(T130,'CAFCO 300 IDIEM TABLAS'!$B$4:$D$23,3,FALSE),0)+IF(AND(L130="Cafco 300",J130&gt;=95,J130&lt;=400,G130=3,C130="IN",I130=90),VLOOKUP(T130,'CAFCO 300 IDIEM TABLAS'!$F$4:$H$35,2,FALSE),0)+IF(AND(L130="Cafco 300",J130&gt;=95,J130&lt;=400,G130=3,C130="IN",I130=120),VLOOKUP(T130,'CAFCO 300 IDIEM TABLAS'!$F$4:$H$35,3,FALSE),0)+IF(AND(L130="Cafco 300",J130&gt;=95,J130&lt;=450,G130=4,C130="IN",I130=90),VLOOKUP(T130,'CAFCO 300 IDIEM TABLAS'!$J$4:$L$40,2,FALSE),0)+IF(AND(L130="Cafco 300",J130&gt;=95,J130&lt;=450,G130=4,C130="IN",I130=120),VLOOKUP(T130,'CAFCO 300 IDIEM TABLAS'!$J$4:$L$40,3,FALSE),0)+IF(AND(M130="Ensayo Idiem",L130="Cafco 400",C130="IN",G130=4,I130=90),VLOOKUP(T130,'CAFCO 400 ENSAYO'!$B$7:$D$43,2,FALSE),0)+IF(AND(M130="Ensayo Idiem",L130="Cafco 400",C130="IN",G130=4,I130=120),VLOOKUP(T130,'CAFCO 400 ENSAYO'!$B$7:$D$43,3,FALSE),0)</f>
        <v>0</v>
      </c>
      <c r="O130" s="96">
        <f t="shared" si="8"/>
        <v>0</v>
      </c>
      <c r="P130" s="95" t="str">
        <f t="shared" si="9"/>
        <v>NO CERT.</v>
      </c>
      <c r="Q130" s="95" t="str">
        <f t="shared" si="10"/>
        <v>NO CERT.</v>
      </c>
      <c r="R130" s="95" t="str">
        <f t="shared" si="11"/>
        <v>NO CERT.</v>
      </c>
      <c r="S130" s="95" t="e">
        <f t="shared" si="6"/>
        <v>#N/A</v>
      </c>
      <c r="T130" s="119" t="e">
        <f>+IF(J130=LOOKUP(J130,'CAFCO 300 IDIEM TABLAS'!$J$4:$J$40),'CALCULO MORTERO'!J130,MROUND('CALCULO MORTERO'!J130,10))</f>
        <v>#N/A</v>
      </c>
      <c r="U130" s="118">
        <f t="shared" si="7"/>
        <v>0</v>
      </c>
      <c r="Y130" s="4"/>
      <c r="Z130" s="4"/>
      <c r="AA130" s="4"/>
    </row>
    <row r="131" spans="1:27" x14ac:dyDescent="0.25">
      <c r="A131" s="118">
        <f>+CUBICACION!D125</f>
        <v>0</v>
      </c>
      <c r="B131" s="819">
        <f>+CUBICACION!E125</f>
        <v>0</v>
      </c>
      <c r="C131" s="675">
        <f>+CUBICACION!F125</f>
        <v>0</v>
      </c>
      <c r="D131" s="118"/>
      <c r="E131" s="118"/>
      <c r="F131" s="820"/>
      <c r="G131" s="675">
        <f>+CUBICACION!J125</f>
        <v>4</v>
      </c>
      <c r="H131" s="118"/>
      <c r="I131" s="821">
        <f>+CUBICACION!L125</f>
        <v>0</v>
      </c>
      <c r="J131" s="64">
        <f>+CUBICACION!M125</f>
        <v>0</v>
      </c>
      <c r="K131" s="822" t="str">
        <f>+CUBICACION!N125</f>
        <v/>
      </c>
      <c r="L131" s="118">
        <f>+CUBICACION!O125</f>
        <v>0</v>
      </c>
      <c r="M131" s="823" t="str">
        <f>+CUBICACION!P125</f>
        <v>Software Idiem</v>
      </c>
      <c r="N131" s="902">
        <f>ROUND(IF(AND(L131="Blaze Shield II",M131="Software Idiem",C131="IN",G131=4),((('BLAZE SHIELD II'!$D$4*('CALCULO MORTERO'!I131^2)+'BLAZE SHIELD II'!$D$5*'CALCULO MORTERO'!I131+'BLAZE SHIELD II'!$D$6)*LN(J131))+('BLAZE SHIELD II'!$D$7*('CALCULO MORTERO'!I131^2)+'BLAZE SHIELD II'!$D$8*'CALCULO MORTERO'!I131+'BLAZE SHIELD II'!$D$9)),0)+IF(AND(L131="Blaze Shield II",M131="Software Idiem",C131="Cj"),((('BLAZE SHIELD II'!$H$4*('CALCULO MORTERO'!I131^2)+'BLAZE SHIELD II'!$H$5*'CALCULO MORTERO'!I131+'BLAZE SHIELD II'!$H$6)*LN(J131))+('BLAZE SHIELD II'!$H$7*('CALCULO MORTERO'!I131^2)+'BLAZE SHIELD II'!$H$8*'CALCULO MORTERO'!I131+'BLAZE SHIELD II'!$H$9)),0)+IF(AND(L131="Blaze Shield II",M131="Software Idiem",C131="C"),((('BLAZE SHIELD II'!$L$4*('CALCULO MORTERO'!I131^2)+'BLAZE SHIELD II'!$L$5*'CALCULO MORTERO'!I131+'BLAZE SHIELD II'!$L$6)*LN(J131))+('BLAZE SHIELD II'!$L$7*('CALCULO MORTERO'!I131^2)+'BLAZE SHIELD II'!$L$8*'CALCULO MORTERO'!I131+'BLAZE SHIELD II'!$L$9)),0)+IF(AND(L131="Blaze Shield II",M131="Software Idiem",C131="L"),((('BLAZE SHIELD II'!$L$4*('CALCULO MORTERO'!I131^2)+'BLAZE SHIELD II'!$L$5*'CALCULO MORTERO'!I131+'BLAZE SHIELD II'!$L$6)*LN(J131))+('BLAZE SHIELD II'!$L$7*('CALCULO MORTERO'!I131^2)+'BLAZE SHIELD II'!$L$8*'CALCULO MORTERO'!I131+'BLAZE SHIELD II'!$L$9)),0)+IF(AND(L131="Blaze Shield II",M131="Software Idiem",C131="IN",G131=3),((('BLAZE SHIELD II'!$H$14*('CALCULO MORTERO'!I131^2)+'BLAZE SHIELD II'!$H$15*'CALCULO MORTERO'!I131+'BLAZE SHIELD II'!$H$16)*LN(J131))+('BLAZE SHIELD II'!$H$17*('CALCULO MORTERO'!I131^2)+'BLAZE SHIELD II'!$H$18*'CALCULO MORTERO'!I131+'BLAZE SHIELD II'!$H$19)),0),0)+ROUND(IF(AND(L131="Cafco 400",M131="Software Idiem",C131="IN",G131=4),((('CAFCO 400 '!$H$7*(J131^4)+'CAFCO 400 '!$H$8*(J131^3)+'CAFCO 400 '!$H$9*(J131^2)+'CAFCO 400 '!$H$10*J131+'CAFCO 400 '!$H$11)*U131^2)+(('CAFCO 400 '!$H$12*(J131^3)+'CAFCO 400 '!$H$13*(J131^2)+'CAFCO 400 '!$H$14*J131+'CAFCO 400 '!$H$15)*U131)+('CAFCO 400 '!$H$16*(J131^2)+'CAFCO 400 '!$H$17*J131+'CAFCO 400 '!$H$18)),0)+IF(AND(L131="Cafco 400",M131="Software Idiem",C131="Cj"),(((('CAFCO 400 '!$D$7*LN(J131)+'CAFCO 400 '!$D$8)*U131^2)+(('CAFCO 400 '!$D$9*LN(J131)+'CAFCO 400 '!$D$10)*U131)+('CAFCO 400 '!$D$11*LN(J131)+'CAFCO 400 '!$D$12))),0)+IF(AND(L131="Cafco 400",M131="Software Idiem",C131="C"),((('CAFCO 400 '!$L$7*(J131^3)+'CAFCO 400 '!$L$8*(J131^2)+'CAFCO 400 '!$L$9*J131+'CAFCO 400 '!$L$10)*U131^2)+(('CAFCO 400 '!$L$11*(J131^3)+'CAFCO 400 '!$L$12*(J131^2)+'CAFCO 400 '!$L$13*J131+'CAFCO 400 '!$L$14)*U131)+('CAFCO 400 '!$L$15*LN(J131)+'CAFCO 400 '!$L$16)),0)+IF(AND(L131="Cafco 400",M131="Software Idiem",C131="L"),((('CAFCO 400 '!$L$7*(J131^3)+'CAFCO 400 '!$L$8*(J131^2)+'CAFCO 400 '!$L$9*J131+'CAFCO 400 '!$L$10)*U131^2)+(('CAFCO 400 '!$L$11*(J131^3)+'CAFCO 400 '!$L$12*(J131^2)+'CAFCO 400 '!$L$13*J131+'CAFCO 400 '!$L$14)*U131)+('CAFCO 400 '!$L$15*LN(J131)+'CAFCO 400 '!$L$16)),0)+IF(AND(L131="Cafco 400",M131="Software Idiem",C131="IN",G131=3),((('CAFCO 400 '!$D$23*(J131^2)+'CAFCO 400 '!$D$24*(J131)+'CAFCO 400 '!$D$25)*U131^2)+(('CAFCO 400 '!$D$26*(J131^2)+'CAFCO 400 '!$D$27*J131+'CAFCO 400 '!$D$28)*U131)+('CAFCO 400 '!$D$29*(J131^2)+'CAFCO 400 '!$D$30*J131+'CAFCO 400 '!$D$31)),0),0)+IF(AND(L131="Cafco 300",J131&gt;=95,J131&lt;=240,C131="Cj",I131=90),VLOOKUP(T131,'CAFCO 300 IDIEM TABLAS'!$B$4:$D$23,2,FALSE),0)+IF(AND(L131="Cafco 300",J131&gt;=95,J131&lt;=240,C131="Cj",I131=120),VLOOKUP(T131,'CAFCO 300 IDIEM TABLAS'!$B$4:$D$23,3,FALSE),0)+IF(AND(L131="Cafco 300",J131&gt;=95,J131&lt;=400,G131=3,C131="IN",I131=90),VLOOKUP(T131,'CAFCO 300 IDIEM TABLAS'!$F$4:$H$35,2,FALSE),0)+IF(AND(L131="Cafco 300",J131&gt;=95,J131&lt;=400,G131=3,C131="IN",I131=120),VLOOKUP(T131,'CAFCO 300 IDIEM TABLAS'!$F$4:$H$35,3,FALSE),0)+IF(AND(L131="Cafco 300",J131&gt;=95,J131&lt;=450,G131=4,C131="IN",I131=90),VLOOKUP(T131,'CAFCO 300 IDIEM TABLAS'!$J$4:$L$40,2,FALSE),0)+IF(AND(L131="Cafco 300",J131&gt;=95,J131&lt;=450,G131=4,C131="IN",I131=120),VLOOKUP(T131,'CAFCO 300 IDIEM TABLAS'!$J$4:$L$40,3,FALSE),0)+IF(AND(M131="Ensayo Idiem",L131="Cafco 400",C131="IN",G131=4,I131=90),VLOOKUP(T131,'CAFCO 400 ENSAYO'!$B$7:$D$43,2,FALSE),0)+IF(AND(M131="Ensayo Idiem",L131="Cafco 400",C131="IN",G131=4,I131=120),VLOOKUP(T131,'CAFCO 400 ENSAYO'!$B$7:$D$43,3,FALSE),0)</f>
        <v>0</v>
      </c>
      <c r="O131" s="96">
        <f t="shared" si="8"/>
        <v>0</v>
      </c>
      <c r="P131" s="95" t="str">
        <f t="shared" si="9"/>
        <v>NO CERT.</v>
      </c>
      <c r="Q131" s="95" t="str">
        <f t="shared" si="10"/>
        <v>NO CERT.</v>
      </c>
      <c r="R131" s="95" t="str">
        <f t="shared" si="11"/>
        <v>NO CERT.</v>
      </c>
      <c r="S131" s="95" t="e">
        <f t="shared" si="6"/>
        <v>#N/A</v>
      </c>
      <c r="T131" s="119" t="e">
        <f>+IF(J131=LOOKUP(J131,'CAFCO 300 IDIEM TABLAS'!$J$4:$J$40),'CALCULO MORTERO'!J131,MROUND('CALCULO MORTERO'!J131,10))</f>
        <v>#N/A</v>
      </c>
      <c r="U131" s="118">
        <f t="shared" si="7"/>
        <v>0</v>
      </c>
      <c r="Y131" s="4"/>
      <c r="Z131" s="4"/>
      <c r="AA131" s="4"/>
    </row>
    <row r="132" spans="1:27" ht="15.6" customHeight="1" x14ac:dyDescent="0.25">
      <c r="A132" s="118">
        <f>+CUBICACION!D126</f>
        <v>0</v>
      </c>
      <c r="B132" s="819">
        <f>+CUBICACION!E126</f>
        <v>0</v>
      </c>
      <c r="C132" s="675">
        <f>+CUBICACION!F126</f>
        <v>0</v>
      </c>
      <c r="D132" s="118"/>
      <c r="E132" s="118"/>
      <c r="F132" s="820"/>
      <c r="G132" s="675">
        <f>+CUBICACION!J126</f>
        <v>4</v>
      </c>
      <c r="H132" s="118"/>
      <c r="I132" s="821">
        <f>+CUBICACION!L126</f>
        <v>0</v>
      </c>
      <c r="J132" s="64">
        <f>+CUBICACION!M126</f>
        <v>0</v>
      </c>
      <c r="K132" s="822" t="str">
        <f>+CUBICACION!N126</f>
        <v/>
      </c>
      <c r="L132" s="118">
        <f>+CUBICACION!O126</f>
        <v>0</v>
      </c>
      <c r="M132" s="823" t="str">
        <f>+CUBICACION!P126</f>
        <v>Software Idiem</v>
      </c>
      <c r="N132" s="902">
        <f>ROUND(IF(AND(L132="Blaze Shield II",M132="Software Idiem",C132="IN",G132=4),((('BLAZE SHIELD II'!$D$4*('CALCULO MORTERO'!I132^2)+'BLAZE SHIELD II'!$D$5*'CALCULO MORTERO'!I132+'BLAZE SHIELD II'!$D$6)*LN(J132))+('BLAZE SHIELD II'!$D$7*('CALCULO MORTERO'!I132^2)+'BLAZE SHIELD II'!$D$8*'CALCULO MORTERO'!I132+'BLAZE SHIELD II'!$D$9)),0)+IF(AND(L132="Blaze Shield II",M132="Software Idiem",C132="Cj"),((('BLAZE SHIELD II'!$H$4*('CALCULO MORTERO'!I132^2)+'BLAZE SHIELD II'!$H$5*'CALCULO MORTERO'!I132+'BLAZE SHIELD II'!$H$6)*LN(J132))+('BLAZE SHIELD II'!$H$7*('CALCULO MORTERO'!I132^2)+'BLAZE SHIELD II'!$H$8*'CALCULO MORTERO'!I132+'BLAZE SHIELD II'!$H$9)),0)+IF(AND(L132="Blaze Shield II",M132="Software Idiem",C132="C"),((('BLAZE SHIELD II'!$L$4*('CALCULO MORTERO'!I132^2)+'BLAZE SHIELD II'!$L$5*'CALCULO MORTERO'!I132+'BLAZE SHIELD II'!$L$6)*LN(J132))+('BLAZE SHIELD II'!$L$7*('CALCULO MORTERO'!I132^2)+'BLAZE SHIELD II'!$L$8*'CALCULO MORTERO'!I132+'BLAZE SHIELD II'!$L$9)),0)+IF(AND(L132="Blaze Shield II",M132="Software Idiem",C132="L"),((('BLAZE SHIELD II'!$L$4*('CALCULO MORTERO'!I132^2)+'BLAZE SHIELD II'!$L$5*'CALCULO MORTERO'!I132+'BLAZE SHIELD II'!$L$6)*LN(J132))+('BLAZE SHIELD II'!$L$7*('CALCULO MORTERO'!I132^2)+'BLAZE SHIELD II'!$L$8*'CALCULO MORTERO'!I132+'BLAZE SHIELD II'!$L$9)),0)+IF(AND(L132="Blaze Shield II",M132="Software Idiem",C132="IN",G132=3),((('BLAZE SHIELD II'!$H$14*('CALCULO MORTERO'!I132^2)+'BLAZE SHIELD II'!$H$15*'CALCULO MORTERO'!I132+'BLAZE SHIELD II'!$H$16)*LN(J132))+('BLAZE SHIELD II'!$H$17*('CALCULO MORTERO'!I132^2)+'BLAZE SHIELD II'!$H$18*'CALCULO MORTERO'!I132+'BLAZE SHIELD II'!$H$19)),0),0)+ROUND(IF(AND(L132="Cafco 400",M132="Software Idiem",C132="IN",G132=4),((('CAFCO 400 '!$H$7*(J132^4)+'CAFCO 400 '!$H$8*(J132^3)+'CAFCO 400 '!$H$9*(J132^2)+'CAFCO 400 '!$H$10*J132+'CAFCO 400 '!$H$11)*U132^2)+(('CAFCO 400 '!$H$12*(J132^3)+'CAFCO 400 '!$H$13*(J132^2)+'CAFCO 400 '!$H$14*J132+'CAFCO 400 '!$H$15)*U132)+('CAFCO 400 '!$H$16*(J132^2)+'CAFCO 400 '!$H$17*J132+'CAFCO 400 '!$H$18)),0)+IF(AND(L132="Cafco 400",M132="Software Idiem",C132="Cj"),(((('CAFCO 400 '!$D$7*LN(J132)+'CAFCO 400 '!$D$8)*U132^2)+(('CAFCO 400 '!$D$9*LN(J132)+'CAFCO 400 '!$D$10)*U132)+('CAFCO 400 '!$D$11*LN(J132)+'CAFCO 400 '!$D$12))),0)+IF(AND(L132="Cafco 400",M132="Software Idiem",C132="C"),((('CAFCO 400 '!$L$7*(J132^3)+'CAFCO 400 '!$L$8*(J132^2)+'CAFCO 400 '!$L$9*J132+'CAFCO 400 '!$L$10)*U132^2)+(('CAFCO 400 '!$L$11*(J132^3)+'CAFCO 400 '!$L$12*(J132^2)+'CAFCO 400 '!$L$13*J132+'CAFCO 400 '!$L$14)*U132)+('CAFCO 400 '!$L$15*LN(J132)+'CAFCO 400 '!$L$16)),0)+IF(AND(L132="Cafco 400",M132="Software Idiem",C132="L"),((('CAFCO 400 '!$L$7*(J132^3)+'CAFCO 400 '!$L$8*(J132^2)+'CAFCO 400 '!$L$9*J132+'CAFCO 400 '!$L$10)*U132^2)+(('CAFCO 400 '!$L$11*(J132^3)+'CAFCO 400 '!$L$12*(J132^2)+'CAFCO 400 '!$L$13*J132+'CAFCO 400 '!$L$14)*U132)+('CAFCO 400 '!$L$15*LN(J132)+'CAFCO 400 '!$L$16)),0)+IF(AND(L132="Cafco 400",M132="Software Idiem",C132="IN",G132=3),((('CAFCO 400 '!$D$23*(J132^2)+'CAFCO 400 '!$D$24*(J132)+'CAFCO 400 '!$D$25)*U132^2)+(('CAFCO 400 '!$D$26*(J132^2)+'CAFCO 400 '!$D$27*J132+'CAFCO 400 '!$D$28)*U132)+('CAFCO 400 '!$D$29*(J132^2)+'CAFCO 400 '!$D$30*J132+'CAFCO 400 '!$D$31)),0),0)+IF(AND(L132="Cafco 300",J132&gt;=95,J132&lt;=240,C132="Cj",I132=90),VLOOKUP(T132,'CAFCO 300 IDIEM TABLAS'!$B$4:$D$23,2,FALSE),0)+IF(AND(L132="Cafco 300",J132&gt;=95,J132&lt;=240,C132="Cj",I132=120),VLOOKUP(T132,'CAFCO 300 IDIEM TABLAS'!$B$4:$D$23,3,FALSE),0)+IF(AND(L132="Cafco 300",J132&gt;=95,J132&lt;=400,G132=3,C132="IN",I132=90),VLOOKUP(T132,'CAFCO 300 IDIEM TABLAS'!$F$4:$H$35,2,FALSE),0)+IF(AND(L132="Cafco 300",J132&gt;=95,J132&lt;=400,G132=3,C132="IN",I132=120),VLOOKUP(T132,'CAFCO 300 IDIEM TABLAS'!$F$4:$H$35,3,FALSE),0)+IF(AND(L132="Cafco 300",J132&gt;=95,J132&lt;=450,G132=4,C132="IN",I132=90),VLOOKUP(T132,'CAFCO 300 IDIEM TABLAS'!$J$4:$L$40,2,FALSE),0)+IF(AND(L132="Cafco 300",J132&gt;=95,J132&lt;=450,G132=4,C132="IN",I132=120),VLOOKUP(T132,'CAFCO 300 IDIEM TABLAS'!$J$4:$L$40,3,FALSE),0)+IF(AND(M132="Ensayo Idiem",L132="Cafco 400",C132="IN",G132=4,I132=90),VLOOKUP(T132,'CAFCO 400 ENSAYO'!$B$7:$D$43,2,FALSE),0)+IF(AND(M132="Ensayo Idiem",L132="Cafco 400",C132="IN",G132=4,I132=120),VLOOKUP(T132,'CAFCO 400 ENSAYO'!$B$7:$D$43,3,FALSE),0)</f>
        <v>0</v>
      </c>
      <c r="O132" s="96">
        <f t="shared" si="8"/>
        <v>0</v>
      </c>
      <c r="P132" s="95" t="str">
        <f t="shared" si="9"/>
        <v>NO CERT.</v>
      </c>
      <c r="Q132" s="95" t="str">
        <f t="shared" si="10"/>
        <v>NO CERT.</v>
      </c>
      <c r="R132" s="95" t="str">
        <f t="shared" si="11"/>
        <v>NO CERT.</v>
      </c>
      <c r="S132" s="95" t="e">
        <f t="shared" si="6"/>
        <v>#N/A</v>
      </c>
      <c r="T132" s="119" t="e">
        <f>+IF(J132=LOOKUP(J132,'CAFCO 300 IDIEM TABLAS'!$J$4:$J$40),'CALCULO MORTERO'!J132,MROUND('CALCULO MORTERO'!J132,10))</f>
        <v>#N/A</v>
      </c>
      <c r="U132" s="118">
        <f t="shared" si="7"/>
        <v>0</v>
      </c>
      <c r="Y132" s="4"/>
      <c r="Z132" s="4"/>
      <c r="AA132" s="4"/>
    </row>
    <row r="133" spans="1:27" x14ac:dyDescent="0.25">
      <c r="A133" s="118">
        <f>+CUBICACION!D127</f>
        <v>0</v>
      </c>
      <c r="B133" s="819">
        <f>+CUBICACION!E127</f>
        <v>0</v>
      </c>
      <c r="C133" s="675">
        <f>+CUBICACION!F127</f>
        <v>0</v>
      </c>
      <c r="D133" s="118"/>
      <c r="E133" s="118"/>
      <c r="F133" s="820"/>
      <c r="G133" s="675">
        <f>+CUBICACION!J127</f>
        <v>4</v>
      </c>
      <c r="H133" s="118"/>
      <c r="I133" s="821">
        <f>+CUBICACION!L127</f>
        <v>0</v>
      </c>
      <c r="J133" s="64">
        <f>+CUBICACION!M127</f>
        <v>0</v>
      </c>
      <c r="K133" s="822" t="str">
        <f>+CUBICACION!N127</f>
        <v/>
      </c>
      <c r="L133" s="118">
        <f>+CUBICACION!O127</f>
        <v>0</v>
      </c>
      <c r="M133" s="823" t="str">
        <f>+CUBICACION!P127</f>
        <v>Software Idiem</v>
      </c>
      <c r="N133" s="902">
        <f>ROUND(IF(AND(L133="Blaze Shield II",M133="Software Idiem",C133="IN",G133=4),((('BLAZE SHIELD II'!$D$4*('CALCULO MORTERO'!I133^2)+'BLAZE SHIELD II'!$D$5*'CALCULO MORTERO'!I133+'BLAZE SHIELD II'!$D$6)*LN(J133))+('BLAZE SHIELD II'!$D$7*('CALCULO MORTERO'!I133^2)+'BLAZE SHIELD II'!$D$8*'CALCULO MORTERO'!I133+'BLAZE SHIELD II'!$D$9)),0)+IF(AND(L133="Blaze Shield II",M133="Software Idiem",C133="Cj"),((('BLAZE SHIELD II'!$H$4*('CALCULO MORTERO'!I133^2)+'BLAZE SHIELD II'!$H$5*'CALCULO MORTERO'!I133+'BLAZE SHIELD II'!$H$6)*LN(J133))+('BLAZE SHIELD II'!$H$7*('CALCULO MORTERO'!I133^2)+'BLAZE SHIELD II'!$H$8*'CALCULO MORTERO'!I133+'BLAZE SHIELD II'!$H$9)),0)+IF(AND(L133="Blaze Shield II",M133="Software Idiem",C133="C"),((('BLAZE SHIELD II'!$L$4*('CALCULO MORTERO'!I133^2)+'BLAZE SHIELD II'!$L$5*'CALCULO MORTERO'!I133+'BLAZE SHIELD II'!$L$6)*LN(J133))+('BLAZE SHIELD II'!$L$7*('CALCULO MORTERO'!I133^2)+'BLAZE SHIELD II'!$L$8*'CALCULO MORTERO'!I133+'BLAZE SHIELD II'!$L$9)),0)+IF(AND(L133="Blaze Shield II",M133="Software Idiem",C133="L"),((('BLAZE SHIELD II'!$L$4*('CALCULO MORTERO'!I133^2)+'BLAZE SHIELD II'!$L$5*'CALCULO MORTERO'!I133+'BLAZE SHIELD II'!$L$6)*LN(J133))+('BLAZE SHIELD II'!$L$7*('CALCULO MORTERO'!I133^2)+'BLAZE SHIELD II'!$L$8*'CALCULO MORTERO'!I133+'BLAZE SHIELD II'!$L$9)),0)+IF(AND(L133="Blaze Shield II",M133="Software Idiem",C133="IN",G133=3),((('BLAZE SHIELD II'!$H$14*('CALCULO MORTERO'!I133^2)+'BLAZE SHIELD II'!$H$15*'CALCULO MORTERO'!I133+'BLAZE SHIELD II'!$H$16)*LN(J133))+('BLAZE SHIELD II'!$H$17*('CALCULO MORTERO'!I133^2)+'BLAZE SHIELD II'!$H$18*'CALCULO MORTERO'!I133+'BLAZE SHIELD II'!$H$19)),0),0)+ROUND(IF(AND(L133="Cafco 400",M133="Software Idiem",C133="IN",G133=4),((('CAFCO 400 '!$H$7*(J133^4)+'CAFCO 400 '!$H$8*(J133^3)+'CAFCO 400 '!$H$9*(J133^2)+'CAFCO 400 '!$H$10*J133+'CAFCO 400 '!$H$11)*U133^2)+(('CAFCO 400 '!$H$12*(J133^3)+'CAFCO 400 '!$H$13*(J133^2)+'CAFCO 400 '!$H$14*J133+'CAFCO 400 '!$H$15)*U133)+('CAFCO 400 '!$H$16*(J133^2)+'CAFCO 400 '!$H$17*J133+'CAFCO 400 '!$H$18)),0)+IF(AND(L133="Cafco 400",M133="Software Idiem",C133="Cj"),(((('CAFCO 400 '!$D$7*LN(J133)+'CAFCO 400 '!$D$8)*U133^2)+(('CAFCO 400 '!$D$9*LN(J133)+'CAFCO 400 '!$D$10)*U133)+('CAFCO 400 '!$D$11*LN(J133)+'CAFCO 400 '!$D$12))),0)+IF(AND(L133="Cafco 400",M133="Software Idiem",C133="C"),((('CAFCO 400 '!$L$7*(J133^3)+'CAFCO 400 '!$L$8*(J133^2)+'CAFCO 400 '!$L$9*J133+'CAFCO 400 '!$L$10)*U133^2)+(('CAFCO 400 '!$L$11*(J133^3)+'CAFCO 400 '!$L$12*(J133^2)+'CAFCO 400 '!$L$13*J133+'CAFCO 400 '!$L$14)*U133)+('CAFCO 400 '!$L$15*LN(J133)+'CAFCO 400 '!$L$16)),0)+IF(AND(L133="Cafco 400",M133="Software Idiem",C133="L"),((('CAFCO 400 '!$L$7*(J133^3)+'CAFCO 400 '!$L$8*(J133^2)+'CAFCO 400 '!$L$9*J133+'CAFCO 400 '!$L$10)*U133^2)+(('CAFCO 400 '!$L$11*(J133^3)+'CAFCO 400 '!$L$12*(J133^2)+'CAFCO 400 '!$L$13*J133+'CAFCO 400 '!$L$14)*U133)+('CAFCO 400 '!$L$15*LN(J133)+'CAFCO 400 '!$L$16)),0)+IF(AND(L133="Cafco 400",M133="Software Idiem",C133="IN",G133=3),((('CAFCO 400 '!$D$23*(J133^2)+'CAFCO 400 '!$D$24*(J133)+'CAFCO 400 '!$D$25)*U133^2)+(('CAFCO 400 '!$D$26*(J133^2)+'CAFCO 400 '!$D$27*J133+'CAFCO 400 '!$D$28)*U133)+('CAFCO 400 '!$D$29*(J133^2)+'CAFCO 400 '!$D$30*J133+'CAFCO 400 '!$D$31)),0),0)+IF(AND(L133="Cafco 300",J133&gt;=95,J133&lt;=240,C133="Cj",I133=90),VLOOKUP(T133,'CAFCO 300 IDIEM TABLAS'!$B$4:$D$23,2,FALSE),0)+IF(AND(L133="Cafco 300",J133&gt;=95,J133&lt;=240,C133="Cj",I133=120),VLOOKUP(T133,'CAFCO 300 IDIEM TABLAS'!$B$4:$D$23,3,FALSE),0)+IF(AND(L133="Cafco 300",J133&gt;=95,J133&lt;=400,G133=3,C133="IN",I133=90),VLOOKUP(T133,'CAFCO 300 IDIEM TABLAS'!$F$4:$H$35,2,FALSE),0)+IF(AND(L133="Cafco 300",J133&gt;=95,J133&lt;=400,G133=3,C133="IN",I133=120),VLOOKUP(T133,'CAFCO 300 IDIEM TABLAS'!$F$4:$H$35,3,FALSE),0)+IF(AND(L133="Cafco 300",J133&gt;=95,J133&lt;=450,G133=4,C133="IN",I133=90),VLOOKUP(T133,'CAFCO 300 IDIEM TABLAS'!$J$4:$L$40,2,FALSE),0)+IF(AND(L133="Cafco 300",J133&gt;=95,J133&lt;=450,G133=4,C133="IN",I133=120),VLOOKUP(T133,'CAFCO 300 IDIEM TABLAS'!$J$4:$L$40,3,FALSE),0)+IF(AND(M133="Ensayo Idiem",L133="Cafco 400",C133="IN",G133=4,I133=90),VLOOKUP(T133,'CAFCO 400 ENSAYO'!$B$7:$D$43,2,FALSE),0)+IF(AND(M133="Ensayo Idiem",L133="Cafco 400",C133="IN",G133=4,I133=120),VLOOKUP(T133,'CAFCO 400 ENSAYO'!$B$7:$D$43,3,FALSE),0)</f>
        <v>0</v>
      </c>
      <c r="O133" s="96">
        <f t="shared" si="8"/>
        <v>0</v>
      </c>
      <c r="P133" s="95" t="str">
        <f t="shared" si="9"/>
        <v>NO CERT.</v>
      </c>
      <c r="Q133" s="95" t="str">
        <f t="shared" si="10"/>
        <v>NO CERT.</v>
      </c>
      <c r="R133" s="95" t="str">
        <f t="shared" si="11"/>
        <v>NO CERT.</v>
      </c>
      <c r="S133" s="95" t="e">
        <f t="shared" si="6"/>
        <v>#N/A</v>
      </c>
      <c r="T133" s="119" t="e">
        <f>+IF(J133=LOOKUP(J133,'CAFCO 300 IDIEM TABLAS'!$J$4:$J$40),'CALCULO MORTERO'!J133,MROUND('CALCULO MORTERO'!J133,10))</f>
        <v>#N/A</v>
      </c>
      <c r="U133" s="118">
        <f t="shared" si="7"/>
        <v>0</v>
      </c>
      <c r="Y133" s="4"/>
      <c r="Z133" s="4"/>
      <c r="AA133" s="4"/>
    </row>
    <row r="134" spans="1:27" ht="15.6" customHeight="1" x14ac:dyDescent="0.25">
      <c r="A134" s="118">
        <f>+CUBICACION!D128</f>
        <v>0</v>
      </c>
      <c r="B134" s="819">
        <f>+CUBICACION!E128</f>
        <v>0</v>
      </c>
      <c r="C134" s="675">
        <f>+CUBICACION!F128</f>
        <v>0</v>
      </c>
      <c r="D134" s="118"/>
      <c r="E134" s="118"/>
      <c r="F134" s="820"/>
      <c r="G134" s="675">
        <f>+CUBICACION!J128</f>
        <v>4</v>
      </c>
      <c r="H134" s="118"/>
      <c r="I134" s="821">
        <f>+CUBICACION!L128</f>
        <v>0</v>
      </c>
      <c r="J134" s="64">
        <f>+CUBICACION!M128</f>
        <v>0</v>
      </c>
      <c r="K134" s="822" t="str">
        <f>+CUBICACION!N128</f>
        <v/>
      </c>
      <c r="L134" s="118">
        <f>+CUBICACION!O128</f>
        <v>0</v>
      </c>
      <c r="M134" s="823" t="str">
        <f>+CUBICACION!P128</f>
        <v>Software Idiem</v>
      </c>
      <c r="N134" s="902">
        <f>ROUND(IF(AND(L134="Blaze Shield II",M134="Software Idiem",C134="IN",G134=4),((('BLAZE SHIELD II'!$D$4*('CALCULO MORTERO'!I134^2)+'BLAZE SHIELD II'!$D$5*'CALCULO MORTERO'!I134+'BLAZE SHIELD II'!$D$6)*LN(J134))+('BLAZE SHIELD II'!$D$7*('CALCULO MORTERO'!I134^2)+'BLAZE SHIELD II'!$D$8*'CALCULO MORTERO'!I134+'BLAZE SHIELD II'!$D$9)),0)+IF(AND(L134="Blaze Shield II",M134="Software Idiem",C134="Cj"),((('BLAZE SHIELD II'!$H$4*('CALCULO MORTERO'!I134^2)+'BLAZE SHIELD II'!$H$5*'CALCULO MORTERO'!I134+'BLAZE SHIELD II'!$H$6)*LN(J134))+('BLAZE SHIELD II'!$H$7*('CALCULO MORTERO'!I134^2)+'BLAZE SHIELD II'!$H$8*'CALCULO MORTERO'!I134+'BLAZE SHIELD II'!$H$9)),0)+IF(AND(L134="Blaze Shield II",M134="Software Idiem",C134="C"),((('BLAZE SHIELD II'!$L$4*('CALCULO MORTERO'!I134^2)+'BLAZE SHIELD II'!$L$5*'CALCULO MORTERO'!I134+'BLAZE SHIELD II'!$L$6)*LN(J134))+('BLAZE SHIELD II'!$L$7*('CALCULO MORTERO'!I134^2)+'BLAZE SHIELD II'!$L$8*'CALCULO MORTERO'!I134+'BLAZE SHIELD II'!$L$9)),0)+IF(AND(L134="Blaze Shield II",M134="Software Idiem",C134="L"),((('BLAZE SHIELD II'!$L$4*('CALCULO MORTERO'!I134^2)+'BLAZE SHIELD II'!$L$5*'CALCULO MORTERO'!I134+'BLAZE SHIELD II'!$L$6)*LN(J134))+('BLAZE SHIELD II'!$L$7*('CALCULO MORTERO'!I134^2)+'BLAZE SHIELD II'!$L$8*'CALCULO MORTERO'!I134+'BLAZE SHIELD II'!$L$9)),0)+IF(AND(L134="Blaze Shield II",M134="Software Idiem",C134="IN",G134=3),((('BLAZE SHIELD II'!$H$14*('CALCULO MORTERO'!I134^2)+'BLAZE SHIELD II'!$H$15*'CALCULO MORTERO'!I134+'BLAZE SHIELD II'!$H$16)*LN(J134))+('BLAZE SHIELD II'!$H$17*('CALCULO MORTERO'!I134^2)+'BLAZE SHIELD II'!$H$18*'CALCULO MORTERO'!I134+'BLAZE SHIELD II'!$H$19)),0),0)+ROUND(IF(AND(L134="Cafco 400",M134="Software Idiem",C134="IN",G134=4),((('CAFCO 400 '!$H$7*(J134^4)+'CAFCO 400 '!$H$8*(J134^3)+'CAFCO 400 '!$H$9*(J134^2)+'CAFCO 400 '!$H$10*J134+'CAFCO 400 '!$H$11)*U134^2)+(('CAFCO 400 '!$H$12*(J134^3)+'CAFCO 400 '!$H$13*(J134^2)+'CAFCO 400 '!$H$14*J134+'CAFCO 400 '!$H$15)*U134)+('CAFCO 400 '!$H$16*(J134^2)+'CAFCO 400 '!$H$17*J134+'CAFCO 400 '!$H$18)),0)+IF(AND(L134="Cafco 400",M134="Software Idiem",C134="Cj"),(((('CAFCO 400 '!$D$7*LN(J134)+'CAFCO 400 '!$D$8)*U134^2)+(('CAFCO 400 '!$D$9*LN(J134)+'CAFCO 400 '!$D$10)*U134)+('CAFCO 400 '!$D$11*LN(J134)+'CAFCO 400 '!$D$12))),0)+IF(AND(L134="Cafco 400",M134="Software Idiem",C134="C"),((('CAFCO 400 '!$L$7*(J134^3)+'CAFCO 400 '!$L$8*(J134^2)+'CAFCO 400 '!$L$9*J134+'CAFCO 400 '!$L$10)*U134^2)+(('CAFCO 400 '!$L$11*(J134^3)+'CAFCO 400 '!$L$12*(J134^2)+'CAFCO 400 '!$L$13*J134+'CAFCO 400 '!$L$14)*U134)+('CAFCO 400 '!$L$15*LN(J134)+'CAFCO 400 '!$L$16)),0)+IF(AND(L134="Cafco 400",M134="Software Idiem",C134="L"),((('CAFCO 400 '!$L$7*(J134^3)+'CAFCO 400 '!$L$8*(J134^2)+'CAFCO 400 '!$L$9*J134+'CAFCO 400 '!$L$10)*U134^2)+(('CAFCO 400 '!$L$11*(J134^3)+'CAFCO 400 '!$L$12*(J134^2)+'CAFCO 400 '!$L$13*J134+'CAFCO 400 '!$L$14)*U134)+('CAFCO 400 '!$L$15*LN(J134)+'CAFCO 400 '!$L$16)),0)+IF(AND(L134="Cafco 400",M134="Software Idiem",C134="IN",G134=3),((('CAFCO 400 '!$D$23*(J134^2)+'CAFCO 400 '!$D$24*(J134)+'CAFCO 400 '!$D$25)*U134^2)+(('CAFCO 400 '!$D$26*(J134^2)+'CAFCO 400 '!$D$27*J134+'CAFCO 400 '!$D$28)*U134)+('CAFCO 400 '!$D$29*(J134^2)+'CAFCO 400 '!$D$30*J134+'CAFCO 400 '!$D$31)),0),0)+IF(AND(L134="Cafco 300",J134&gt;=95,J134&lt;=240,C134="Cj",I134=90),VLOOKUP(T134,'CAFCO 300 IDIEM TABLAS'!$B$4:$D$23,2,FALSE),0)+IF(AND(L134="Cafco 300",J134&gt;=95,J134&lt;=240,C134="Cj",I134=120),VLOOKUP(T134,'CAFCO 300 IDIEM TABLAS'!$B$4:$D$23,3,FALSE),0)+IF(AND(L134="Cafco 300",J134&gt;=95,J134&lt;=400,G134=3,C134="IN",I134=90),VLOOKUP(T134,'CAFCO 300 IDIEM TABLAS'!$F$4:$H$35,2,FALSE),0)+IF(AND(L134="Cafco 300",J134&gt;=95,J134&lt;=400,G134=3,C134="IN",I134=120),VLOOKUP(T134,'CAFCO 300 IDIEM TABLAS'!$F$4:$H$35,3,FALSE),0)+IF(AND(L134="Cafco 300",J134&gt;=95,J134&lt;=450,G134=4,C134="IN",I134=90),VLOOKUP(T134,'CAFCO 300 IDIEM TABLAS'!$J$4:$L$40,2,FALSE),0)+IF(AND(L134="Cafco 300",J134&gt;=95,J134&lt;=450,G134=4,C134="IN",I134=120),VLOOKUP(T134,'CAFCO 300 IDIEM TABLAS'!$J$4:$L$40,3,FALSE),0)+IF(AND(M134="Ensayo Idiem",L134="Cafco 400",C134="IN",G134=4,I134=90),VLOOKUP(T134,'CAFCO 400 ENSAYO'!$B$7:$D$43,2,FALSE),0)+IF(AND(M134="Ensayo Idiem",L134="Cafco 400",C134="IN",G134=4,I134=120),VLOOKUP(T134,'CAFCO 400 ENSAYO'!$B$7:$D$43,3,FALSE),0)</f>
        <v>0</v>
      </c>
      <c r="O134" s="96">
        <f t="shared" si="8"/>
        <v>0</v>
      </c>
      <c r="P134" s="95" t="str">
        <f t="shared" si="9"/>
        <v>NO CERT.</v>
      </c>
      <c r="Q134" s="95" t="str">
        <f t="shared" si="10"/>
        <v>NO CERT.</v>
      </c>
      <c r="R134" s="95" t="str">
        <f t="shared" si="11"/>
        <v>NO CERT.</v>
      </c>
      <c r="S134" s="95" t="e">
        <f t="shared" si="6"/>
        <v>#N/A</v>
      </c>
      <c r="T134" s="119" t="e">
        <f>+IF(J134=LOOKUP(J134,'CAFCO 300 IDIEM TABLAS'!$J$4:$J$40),'CALCULO MORTERO'!J134,MROUND('CALCULO MORTERO'!J134,10))</f>
        <v>#N/A</v>
      </c>
      <c r="U134" s="118">
        <f t="shared" si="7"/>
        <v>0</v>
      </c>
      <c r="Y134" s="4"/>
      <c r="Z134" s="4"/>
      <c r="AA134" s="4"/>
    </row>
    <row r="135" spans="1:27" x14ac:dyDescent="0.25">
      <c r="A135" s="118">
        <f>+CUBICACION!D129</f>
        <v>0</v>
      </c>
      <c r="B135" s="819">
        <f>+CUBICACION!E129</f>
        <v>0</v>
      </c>
      <c r="C135" s="675">
        <f>+CUBICACION!F129</f>
        <v>0</v>
      </c>
      <c r="D135" s="118"/>
      <c r="E135" s="118"/>
      <c r="F135" s="820"/>
      <c r="G135" s="675">
        <f>+CUBICACION!J129</f>
        <v>4</v>
      </c>
      <c r="H135" s="118"/>
      <c r="I135" s="821">
        <f>+CUBICACION!L129</f>
        <v>0</v>
      </c>
      <c r="J135" s="64">
        <f>+CUBICACION!M129</f>
        <v>0</v>
      </c>
      <c r="K135" s="822" t="str">
        <f>+CUBICACION!N129</f>
        <v/>
      </c>
      <c r="L135" s="118">
        <f>+CUBICACION!O129</f>
        <v>0</v>
      </c>
      <c r="M135" s="823" t="str">
        <f>+CUBICACION!P129</f>
        <v>Software Idiem</v>
      </c>
      <c r="N135" s="902">
        <f>ROUND(IF(AND(L135="Blaze Shield II",M135="Software Idiem",C135="IN",G135=4),((('BLAZE SHIELD II'!$D$4*('CALCULO MORTERO'!I135^2)+'BLAZE SHIELD II'!$D$5*'CALCULO MORTERO'!I135+'BLAZE SHIELD II'!$D$6)*LN(J135))+('BLAZE SHIELD II'!$D$7*('CALCULO MORTERO'!I135^2)+'BLAZE SHIELD II'!$D$8*'CALCULO MORTERO'!I135+'BLAZE SHIELD II'!$D$9)),0)+IF(AND(L135="Blaze Shield II",M135="Software Idiem",C135="Cj"),((('BLAZE SHIELD II'!$H$4*('CALCULO MORTERO'!I135^2)+'BLAZE SHIELD II'!$H$5*'CALCULO MORTERO'!I135+'BLAZE SHIELD II'!$H$6)*LN(J135))+('BLAZE SHIELD II'!$H$7*('CALCULO MORTERO'!I135^2)+'BLAZE SHIELD II'!$H$8*'CALCULO MORTERO'!I135+'BLAZE SHIELD II'!$H$9)),0)+IF(AND(L135="Blaze Shield II",M135="Software Idiem",C135="C"),((('BLAZE SHIELD II'!$L$4*('CALCULO MORTERO'!I135^2)+'BLAZE SHIELD II'!$L$5*'CALCULO MORTERO'!I135+'BLAZE SHIELD II'!$L$6)*LN(J135))+('BLAZE SHIELD II'!$L$7*('CALCULO MORTERO'!I135^2)+'BLAZE SHIELD II'!$L$8*'CALCULO MORTERO'!I135+'BLAZE SHIELD II'!$L$9)),0)+IF(AND(L135="Blaze Shield II",M135="Software Idiem",C135="L"),((('BLAZE SHIELD II'!$L$4*('CALCULO MORTERO'!I135^2)+'BLAZE SHIELD II'!$L$5*'CALCULO MORTERO'!I135+'BLAZE SHIELD II'!$L$6)*LN(J135))+('BLAZE SHIELD II'!$L$7*('CALCULO MORTERO'!I135^2)+'BLAZE SHIELD II'!$L$8*'CALCULO MORTERO'!I135+'BLAZE SHIELD II'!$L$9)),0)+IF(AND(L135="Blaze Shield II",M135="Software Idiem",C135="IN",G135=3),((('BLAZE SHIELD II'!$H$14*('CALCULO MORTERO'!I135^2)+'BLAZE SHIELD II'!$H$15*'CALCULO MORTERO'!I135+'BLAZE SHIELD II'!$H$16)*LN(J135))+('BLAZE SHIELD II'!$H$17*('CALCULO MORTERO'!I135^2)+'BLAZE SHIELD II'!$H$18*'CALCULO MORTERO'!I135+'BLAZE SHIELD II'!$H$19)),0),0)+ROUND(IF(AND(L135="Cafco 400",M135="Software Idiem",C135="IN",G135=4),((('CAFCO 400 '!$H$7*(J135^4)+'CAFCO 400 '!$H$8*(J135^3)+'CAFCO 400 '!$H$9*(J135^2)+'CAFCO 400 '!$H$10*J135+'CAFCO 400 '!$H$11)*U135^2)+(('CAFCO 400 '!$H$12*(J135^3)+'CAFCO 400 '!$H$13*(J135^2)+'CAFCO 400 '!$H$14*J135+'CAFCO 400 '!$H$15)*U135)+('CAFCO 400 '!$H$16*(J135^2)+'CAFCO 400 '!$H$17*J135+'CAFCO 400 '!$H$18)),0)+IF(AND(L135="Cafco 400",M135="Software Idiem",C135="Cj"),(((('CAFCO 400 '!$D$7*LN(J135)+'CAFCO 400 '!$D$8)*U135^2)+(('CAFCO 400 '!$D$9*LN(J135)+'CAFCO 400 '!$D$10)*U135)+('CAFCO 400 '!$D$11*LN(J135)+'CAFCO 400 '!$D$12))),0)+IF(AND(L135="Cafco 400",M135="Software Idiem",C135="C"),((('CAFCO 400 '!$L$7*(J135^3)+'CAFCO 400 '!$L$8*(J135^2)+'CAFCO 400 '!$L$9*J135+'CAFCO 400 '!$L$10)*U135^2)+(('CAFCO 400 '!$L$11*(J135^3)+'CAFCO 400 '!$L$12*(J135^2)+'CAFCO 400 '!$L$13*J135+'CAFCO 400 '!$L$14)*U135)+('CAFCO 400 '!$L$15*LN(J135)+'CAFCO 400 '!$L$16)),0)+IF(AND(L135="Cafco 400",M135="Software Idiem",C135="L"),((('CAFCO 400 '!$L$7*(J135^3)+'CAFCO 400 '!$L$8*(J135^2)+'CAFCO 400 '!$L$9*J135+'CAFCO 400 '!$L$10)*U135^2)+(('CAFCO 400 '!$L$11*(J135^3)+'CAFCO 400 '!$L$12*(J135^2)+'CAFCO 400 '!$L$13*J135+'CAFCO 400 '!$L$14)*U135)+('CAFCO 400 '!$L$15*LN(J135)+'CAFCO 400 '!$L$16)),0)+IF(AND(L135="Cafco 400",M135="Software Idiem",C135="IN",G135=3),((('CAFCO 400 '!$D$23*(J135^2)+'CAFCO 400 '!$D$24*(J135)+'CAFCO 400 '!$D$25)*U135^2)+(('CAFCO 400 '!$D$26*(J135^2)+'CAFCO 400 '!$D$27*J135+'CAFCO 400 '!$D$28)*U135)+('CAFCO 400 '!$D$29*(J135^2)+'CAFCO 400 '!$D$30*J135+'CAFCO 400 '!$D$31)),0),0)+IF(AND(L135="Cafco 300",J135&gt;=95,J135&lt;=240,C135="Cj",I135=90),VLOOKUP(T135,'CAFCO 300 IDIEM TABLAS'!$B$4:$D$23,2,FALSE),0)+IF(AND(L135="Cafco 300",J135&gt;=95,J135&lt;=240,C135="Cj",I135=120),VLOOKUP(T135,'CAFCO 300 IDIEM TABLAS'!$B$4:$D$23,3,FALSE),0)+IF(AND(L135="Cafco 300",J135&gt;=95,J135&lt;=400,G135=3,C135="IN",I135=90),VLOOKUP(T135,'CAFCO 300 IDIEM TABLAS'!$F$4:$H$35,2,FALSE),0)+IF(AND(L135="Cafco 300",J135&gt;=95,J135&lt;=400,G135=3,C135="IN",I135=120),VLOOKUP(T135,'CAFCO 300 IDIEM TABLAS'!$F$4:$H$35,3,FALSE),0)+IF(AND(L135="Cafco 300",J135&gt;=95,J135&lt;=450,G135=4,C135="IN",I135=90),VLOOKUP(T135,'CAFCO 300 IDIEM TABLAS'!$J$4:$L$40,2,FALSE),0)+IF(AND(L135="Cafco 300",J135&gt;=95,J135&lt;=450,G135=4,C135="IN",I135=120),VLOOKUP(T135,'CAFCO 300 IDIEM TABLAS'!$J$4:$L$40,3,FALSE),0)+IF(AND(M135="Ensayo Idiem",L135="Cafco 400",C135="IN",G135=4,I135=90),VLOOKUP(T135,'CAFCO 400 ENSAYO'!$B$7:$D$43,2,FALSE),0)+IF(AND(M135="Ensayo Idiem",L135="Cafco 400",C135="IN",G135=4,I135=120),VLOOKUP(T135,'CAFCO 400 ENSAYO'!$B$7:$D$43,3,FALSE),0)</f>
        <v>0</v>
      </c>
      <c r="O135" s="96">
        <f t="shared" si="8"/>
        <v>0</v>
      </c>
      <c r="P135" s="95" t="str">
        <f t="shared" si="9"/>
        <v>NO CERT.</v>
      </c>
      <c r="Q135" s="95" t="str">
        <f t="shared" si="10"/>
        <v>NO CERT.</v>
      </c>
      <c r="R135" s="95" t="str">
        <f t="shared" si="11"/>
        <v>NO CERT.</v>
      </c>
      <c r="S135" s="95" t="e">
        <f t="shared" si="6"/>
        <v>#N/A</v>
      </c>
      <c r="T135" s="119" t="e">
        <f>+IF(J135=LOOKUP(J135,'CAFCO 300 IDIEM TABLAS'!$J$4:$J$40),'CALCULO MORTERO'!J135,MROUND('CALCULO MORTERO'!J135,10))</f>
        <v>#N/A</v>
      </c>
      <c r="U135" s="118">
        <f t="shared" si="7"/>
        <v>0</v>
      </c>
      <c r="Y135" s="4"/>
      <c r="Z135" s="4"/>
      <c r="AA135" s="4"/>
    </row>
    <row r="136" spans="1:27" ht="15.6" customHeight="1" x14ac:dyDescent="0.25">
      <c r="A136" s="118">
        <f>+CUBICACION!D130</f>
        <v>0</v>
      </c>
      <c r="B136" s="819">
        <f>+CUBICACION!E130</f>
        <v>0</v>
      </c>
      <c r="C136" s="675">
        <f>+CUBICACION!F130</f>
        <v>0</v>
      </c>
      <c r="D136" s="118"/>
      <c r="E136" s="118"/>
      <c r="F136" s="820"/>
      <c r="G136" s="675">
        <f>+CUBICACION!J130</f>
        <v>4</v>
      </c>
      <c r="H136" s="118"/>
      <c r="I136" s="821">
        <f>+CUBICACION!L130</f>
        <v>0</v>
      </c>
      <c r="J136" s="64">
        <f>+CUBICACION!M130</f>
        <v>0</v>
      </c>
      <c r="K136" s="822" t="str">
        <f>+CUBICACION!N130</f>
        <v/>
      </c>
      <c r="L136" s="118">
        <f>+CUBICACION!O130</f>
        <v>0</v>
      </c>
      <c r="M136" s="823" t="str">
        <f>+CUBICACION!P130</f>
        <v>Software Idiem</v>
      </c>
      <c r="N136" s="902">
        <f>ROUND(IF(AND(L136="Blaze Shield II",M136="Software Idiem",C136="IN",G136=4),((('BLAZE SHIELD II'!$D$4*('CALCULO MORTERO'!I136^2)+'BLAZE SHIELD II'!$D$5*'CALCULO MORTERO'!I136+'BLAZE SHIELD II'!$D$6)*LN(J136))+('BLAZE SHIELD II'!$D$7*('CALCULO MORTERO'!I136^2)+'BLAZE SHIELD II'!$D$8*'CALCULO MORTERO'!I136+'BLAZE SHIELD II'!$D$9)),0)+IF(AND(L136="Blaze Shield II",M136="Software Idiem",C136="Cj"),((('BLAZE SHIELD II'!$H$4*('CALCULO MORTERO'!I136^2)+'BLAZE SHIELD II'!$H$5*'CALCULO MORTERO'!I136+'BLAZE SHIELD II'!$H$6)*LN(J136))+('BLAZE SHIELD II'!$H$7*('CALCULO MORTERO'!I136^2)+'BLAZE SHIELD II'!$H$8*'CALCULO MORTERO'!I136+'BLAZE SHIELD II'!$H$9)),0)+IF(AND(L136="Blaze Shield II",M136="Software Idiem",C136="C"),((('BLAZE SHIELD II'!$L$4*('CALCULO MORTERO'!I136^2)+'BLAZE SHIELD II'!$L$5*'CALCULO MORTERO'!I136+'BLAZE SHIELD II'!$L$6)*LN(J136))+('BLAZE SHIELD II'!$L$7*('CALCULO MORTERO'!I136^2)+'BLAZE SHIELD II'!$L$8*'CALCULO MORTERO'!I136+'BLAZE SHIELD II'!$L$9)),0)+IF(AND(L136="Blaze Shield II",M136="Software Idiem",C136="L"),((('BLAZE SHIELD II'!$L$4*('CALCULO MORTERO'!I136^2)+'BLAZE SHIELD II'!$L$5*'CALCULO MORTERO'!I136+'BLAZE SHIELD II'!$L$6)*LN(J136))+('BLAZE SHIELD II'!$L$7*('CALCULO MORTERO'!I136^2)+'BLAZE SHIELD II'!$L$8*'CALCULO MORTERO'!I136+'BLAZE SHIELD II'!$L$9)),0)+IF(AND(L136="Blaze Shield II",M136="Software Idiem",C136="IN",G136=3),((('BLAZE SHIELD II'!$H$14*('CALCULO MORTERO'!I136^2)+'BLAZE SHIELD II'!$H$15*'CALCULO MORTERO'!I136+'BLAZE SHIELD II'!$H$16)*LN(J136))+('BLAZE SHIELD II'!$H$17*('CALCULO MORTERO'!I136^2)+'BLAZE SHIELD II'!$H$18*'CALCULO MORTERO'!I136+'BLAZE SHIELD II'!$H$19)),0),0)+ROUND(IF(AND(L136="Cafco 400",M136="Software Idiem",C136="IN",G136=4),((('CAFCO 400 '!$H$7*(J136^4)+'CAFCO 400 '!$H$8*(J136^3)+'CAFCO 400 '!$H$9*(J136^2)+'CAFCO 400 '!$H$10*J136+'CAFCO 400 '!$H$11)*U136^2)+(('CAFCO 400 '!$H$12*(J136^3)+'CAFCO 400 '!$H$13*(J136^2)+'CAFCO 400 '!$H$14*J136+'CAFCO 400 '!$H$15)*U136)+('CAFCO 400 '!$H$16*(J136^2)+'CAFCO 400 '!$H$17*J136+'CAFCO 400 '!$H$18)),0)+IF(AND(L136="Cafco 400",M136="Software Idiem",C136="Cj"),(((('CAFCO 400 '!$D$7*LN(J136)+'CAFCO 400 '!$D$8)*U136^2)+(('CAFCO 400 '!$D$9*LN(J136)+'CAFCO 400 '!$D$10)*U136)+('CAFCO 400 '!$D$11*LN(J136)+'CAFCO 400 '!$D$12))),0)+IF(AND(L136="Cafco 400",M136="Software Idiem",C136="C"),((('CAFCO 400 '!$L$7*(J136^3)+'CAFCO 400 '!$L$8*(J136^2)+'CAFCO 400 '!$L$9*J136+'CAFCO 400 '!$L$10)*U136^2)+(('CAFCO 400 '!$L$11*(J136^3)+'CAFCO 400 '!$L$12*(J136^2)+'CAFCO 400 '!$L$13*J136+'CAFCO 400 '!$L$14)*U136)+('CAFCO 400 '!$L$15*LN(J136)+'CAFCO 400 '!$L$16)),0)+IF(AND(L136="Cafco 400",M136="Software Idiem",C136="L"),((('CAFCO 400 '!$L$7*(J136^3)+'CAFCO 400 '!$L$8*(J136^2)+'CAFCO 400 '!$L$9*J136+'CAFCO 400 '!$L$10)*U136^2)+(('CAFCO 400 '!$L$11*(J136^3)+'CAFCO 400 '!$L$12*(J136^2)+'CAFCO 400 '!$L$13*J136+'CAFCO 400 '!$L$14)*U136)+('CAFCO 400 '!$L$15*LN(J136)+'CAFCO 400 '!$L$16)),0)+IF(AND(L136="Cafco 400",M136="Software Idiem",C136="IN",G136=3),((('CAFCO 400 '!$D$23*(J136^2)+'CAFCO 400 '!$D$24*(J136)+'CAFCO 400 '!$D$25)*U136^2)+(('CAFCO 400 '!$D$26*(J136^2)+'CAFCO 400 '!$D$27*J136+'CAFCO 400 '!$D$28)*U136)+('CAFCO 400 '!$D$29*(J136^2)+'CAFCO 400 '!$D$30*J136+'CAFCO 400 '!$D$31)),0),0)+IF(AND(L136="Cafco 300",J136&gt;=95,J136&lt;=240,C136="Cj",I136=90),VLOOKUP(T136,'CAFCO 300 IDIEM TABLAS'!$B$4:$D$23,2,FALSE),0)+IF(AND(L136="Cafco 300",J136&gt;=95,J136&lt;=240,C136="Cj",I136=120),VLOOKUP(T136,'CAFCO 300 IDIEM TABLAS'!$B$4:$D$23,3,FALSE),0)+IF(AND(L136="Cafco 300",J136&gt;=95,J136&lt;=400,G136=3,C136="IN",I136=90),VLOOKUP(T136,'CAFCO 300 IDIEM TABLAS'!$F$4:$H$35,2,FALSE),0)+IF(AND(L136="Cafco 300",J136&gt;=95,J136&lt;=400,G136=3,C136="IN",I136=120),VLOOKUP(T136,'CAFCO 300 IDIEM TABLAS'!$F$4:$H$35,3,FALSE),0)+IF(AND(L136="Cafco 300",J136&gt;=95,J136&lt;=450,G136=4,C136="IN",I136=90),VLOOKUP(T136,'CAFCO 300 IDIEM TABLAS'!$J$4:$L$40,2,FALSE),0)+IF(AND(L136="Cafco 300",J136&gt;=95,J136&lt;=450,G136=4,C136="IN",I136=120),VLOOKUP(T136,'CAFCO 300 IDIEM TABLAS'!$J$4:$L$40,3,FALSE),0)+IF(AND(M136="Ensayo Idiem",L136="Cafco 400",C136="IN",G136=4,I136=90),VLOOKUP(T136,'CAFCO 400 ENSAYO'!$B$7:$D$43,2,FALSE),0)+IF(AND(M136="Ensayo Idiem",L136="Cafco 400",C136="IN",G136=4,I136=120),VLOOKUP(T136,'CAFCO 400 ENSAYO'!$B$7:$D$43,3,FALSE),0)</f>
        <v>0</v>
      </c>
      <c r="O136" s="96">
        <f t="shared" si="8"/>
        <v>0</v>
      </c>
      <c r="P136" s="95" t="str">
        <f t="shared" si="9"/>
        <v>NO CERT.</v>
      </c>
      <c r="Q136" s="95" t="str">
        <f t="shared" si="10"/>
        <v>NO CERT.</v>
      </c>
      <c r="R136" s="95" t="str">
        <f t="shared" si="11"/>
        <v>NO CERT.</v>
      </c>
      <c r="S136" s="95" t="e">
        <f t="shared" si="6"/>
        <v>#N/A</v>
      </c>
      <c r="T136" s="119" t="e">
        <f>+IF(J136=LOOKUP(J136,'CAFCO 300 IDIEM TABLAS'!$J$4:$J$40),'CALCULO MORTERO'!J136,MROUND('CALCULO MORTERO'!J136,10))</f>
        <v>#N/A</v>
      </c>
      <c r="U136" s="118">
        <f t="shared" si="7"/>
        <v>0</v>
      </c>
      <c r="Y136" s="4"/>
      <c r="Z136" s="4"/>
      <c r="AA136" s="4"/>
    </row>
    <row r="137" spans="1:27" x14ac:dyDescent="0.25">
      <c r="A137" s="118">
        <f>+CUBICACION!D131</f>
        <v>0</v>
      </c>
      <c r="B137" s="819">
        <f>+CUBICACION!E131</f>
        <v>0</v>
      </c>
      <c r="C137" s="675">
        <f>+CUBICACION!F131</f>
        <v>0</v>
      </c>
      <c r="D137" s="118"/>
      <c r="E137" s="118"/>
      <c r="F137" s="820"/>
      <c r="G137" s="675">
        <f>+CUBICACION!J131</f>
        <v>4</v>
      </c>
      <c r="H137" s="118"/>
      <c r="I137" s="821">
        <f>+CUBICACION!L131</f>
        <v>0</v>
      </c>
      <c r="J137" s="64">
        <f>+CUBICACION!M131</f>
        <v>0</v>
      </c>
      <c r="K137" s="822" t="str">
        <f>+CUBICACION!N131</f>
        <v/>
      </c>
      <c r="L137" s="118">
        <f>+CUBICACION!O131</f>
        <v>0</v>
      </c>
      <c r="M137" s="823" t="str">
        <f>+CUBICACION!P131</f>
        <v>Software Idiem</v>
      </c>
      <c r="N137" s="902">
        <f>ROUND(IF(AND(L137="Blaze Shield II",M137="Software Idiem",C137="IN",G137=4),((('BLAZE SHIELD II'!$D$4*('CALCULO MORTERO'!I137^2)+'BLAZE SHIELD II'!$D$5*'CALCULO MORTERO'!I137+'BLAZE SHIELD II'!$D$6)*LN(J137))+('BLAZE SHIELD II'!$D$7*('CALCULO MORTERO'!I137^2)+'BLAZE SHIELD II'!$D$8*'CALCULO MORTERO'!I137+'BLAZE SHIELD II'!$D$9)),0)+IF(AND(L137="Blaze Shield II",M137="Software Idiem",C137="Cj"),((('BLAZE SHIELD II'!$H$4*('CALCULO MORTERO'!I137^2)+'BLAZE SHIELD II'!$H$5*'CALCULO MORTERO'!I137+'BLAZE SHIELD II'!$H$6)*LN(J137))+('BLAZE SHIELD II'!$H$7*('CALCULO MORTERO'!I137^2)+'BLAZE SHIELD II'!$H$8*'CALCULO MORTERO'!I137+'BLAZE SHIELD II'!$H$9)),0)+IF(AND(L137="Blaze Shield II",M137="Software Idiem",C137="C"),((('BLAZE SHIELD II'!$L$4*('CALCULO MORTERO'!I137^2)+'BLAZE SHIELD II'!$L$5*'CALCULO MORTERO'!I137+'BLAZE SHIELD II'!$L$6)*LN(J137))+('BLAZE SHIELD II'!$L$7*('CALCULO MORTERO'!I137^2)+'BLAZE SHIELD II'!$L$8*'CALCULO MORTERO'!I137+'BLAZE SHIELD II'!$L$9)),0)+IF(AND(L137="Blaze Shield II",M137="Software Idiem",C137="L"),((('BLAZE SHIELD II'!$L$4*('CALCULO MORTERO'!I137^2)+'BLAZE SHIELD II'!$L$5*'CALCULO MORTERO'!I137+'BLAZE SHIELD II'!$L$6)*LN(J137))+('BLAZE SHIELD II'!$L$7*('CALCULO MORTERO'!I137^2)+'BLAZE SHIELD II'!$L$8*'CALCULO MORTERO'!I137+'BLAZE SHIELD II'!$L$9)),0)+IF(AND(L137="Blaze Shield II",M137="Software Idiem",C137="IN",G137=3),((('BLAZE SHIELD II'!$H$14*('CALCULO MORTERO'!I137^2)+'BLAZE SHIELD II'!$H$15*'CALCULO MORTERO'!I137+'BLAZE SHIELD II'!$H$16)*LN(J137))+('BLAZE SHIELD II'!$H$17*('CALCULO MORTERO'!I137^2)+'BLAZE SHIELD II'!$H$18*'CALCULO MORTERO'!I137+'BLAZE SHIELD II'!$H$19)),0),0)+ROUND(IF(AND(L137="Cafco 400",M137="Software Idiem",C137="IN",G137=4),((('CAFCO 400 '!$H$7*(J137^4)+'CAFCO 400 '!$H$8*(J137^3)+'CAFCO 400 '!$H$9*(J137^2)+'CAFCO 400 '!$H$10*J137+'CAFCO 400 '!$H$11)*U137^2)+(('CAFCO 400 '!$H$12*(J137^3)+'CAFCO 400 '!$H$13*(J137^2)+'CAFCO 400 '!$H$14*J137+'CAFCO 400 '!$H$15)*U137)+('CAFCO 400 '!$H$16*(J137^2)+'CAFCO 400 '!$H$17*J137+'CAFCO 400 '!$H$18)),0)+IF(AND(L137="Cafco 400",M137="Software Idiem",C137="Cj"),(((('CAFCO 400 '!$D$7*LN(J137)+'CAFCO 400 '!$D$8)*U137^2)+(('CAFCO 400 '!$D$9*LN(J137)+'CAFCO 400 '!$D$10)*U137)+('CAFCO 400 '!$D$11*LN(J137)+'CAFCO 400 '!$D$12))),0)+IF(AND(L137="Cafco 400",M137="Software Idiem",C137="C"),((('CAFCO 400 '!$L$7*(J137^3)+'CAFCO 400 '!$L$8*(J137^2)+'CAFCO 400 '!$L$9*J137+'CAFCO 400 '!$L$10)*U137^2)+(('CAFCO 400 '!$L$11*(J137^3)+'CAFCO 400 '!$L$12*(J137^2)+'CAFCO 400 '!$L$13*J137+'CAFCO 400 '!$L$14)*U137)+('CAFCO 400 '!$L$15*LN(J137)+'CAFCO 400 '!$L$16)),0)+IF(AND(L137="Cafco 400",M137="Software Idiem",C137="L"),((('CAFCO 400 '!$L$7*(J137^3)+'CAFCO 400 '!$L$8*(J137^2)+'CAFCO 400 '!$L$9*J137+'CAFCO 400 '!$L$10)*U137^2)+(('CAFCO 400 '!$L$11*(J137^3)+'CAFCO 400 '!$L$12*(J137^2)+'CAFCO 400 '!$L$13*J137+'CAFCO 400 '!$L$14)*U137)+('CAFCO 400 '!$L$15*LN(J137)+'CAFCO 400 '!$L$16)),0)+IF(AND(L137="Cafco 400",M137="Software Idiem",C137="IN",G137=3),((('CAFCO 400 '!$D$23*(J137^2)+'CAFCO 400 '!$D$24*(J137)+'CAFCO 400 '!$D$25)*U137^2)+(('CAFCO 400 '!$D$26*(J137^2)+'CAFCO 400 '!$D$27*J137+'CAFCO 400 '!$D$28)*U137)+('CAFCO 400 '!$D$29*(J137^2)+'CAFCO 400 '!$D$30*J137+'CAFCO 400 '!$D$31)),0),0)+IF(AND(L137="Cafco 300",J137&gt;=95,J137&lt;=240,C137="Cj",I137=90),VLOOKUP(T137,'CAFCO 300 IDIEM TABLAS'!$B$4:$D$23,2,FALSE),0)+IF(AND(L137="Cafco 300",J137&gt;=95,J137&lt;=240,C137="Cj",I137=120),VLOOKUP(T137,'CAFCO 300 IDIEM TABLAS'!$B$4:$D$23,3,FALSE),0)+IF(AND(L137="Cafco 300",J137&gt;=95,J137&lt;=400,G137=3,C137="IN",I137=90),VLOOKUP(T137,'CAFCO 300 IDIEM TABLAS'!$F$4:$H$35,2,FALSE),0)+IF(AND(L137="Cafco 300",J137&gt;=95,J137&lt;=400,G137=3,C137="IN",I137=120),VLOOKUP(T137,'CAFCO 300 IDIEM TABLAS'!$F$4:$H$35,3,FALSE),0)+IF(AND(L137="Cafco 300",J137&gt;=95,J137&lt;=450,G137=4,C137="IN",I137=90),VLOOKUP(T137,'CAFCO 300 IDIEM TABLAS'!$J$4:$L$40,2,FALSE),0)+IF(AND(L137="Cafco 300",J137&gt;=95,J137&lt;=450,G137=4,C137="IN",I137=120),VLOOKUP(T137,'CAFCO 300 IDIEM TABLAS'!$J$4:$L$40,3,FALSE),0)+IF(AND(M137="Ensayo Idiem",L137="Cafco 400",C137="IN",G137=4,I137=90),VLOOKUP(T137,'CAFCO 400 ENSAYO'!$B$7:$D$43,2,FALSE),0)+IF(AND(M137="Ensayo Idiem",L137="Cafco 400",C137="IN",G137=4,I137=120),VLOOKUP(T137,'CAFCO 400 ENSAYO'!$B$7:$D$43,3,FALSE),0)</f>
        <v>0</v>
      </c>
      <c r="O137" s="96">
        <f t="shared" si="8"/>
        <v>0</v>
      </c>
      <c r="P137" s="95" t="str">
        <f t="shared" si="9"/>
        <v>NO CERT.</v>
      </c>
      <c r="Q137" s="95" t="str">
        <f t="shared" si="10"/>
        <v>NO CERT.</v>
      </c>
      <c r="R137" s="95" t="str">
        <f t="shared" si="11"/>
        <v>NO CERT.</v>
      </c>
      <c r="S137" s="95" t="e">
        <f t="shared" si="6"/>
        <v>#N/A</v>
      </c>
      <c r="T137" s="119" t="e">
        <f>+IF(J137=LOOKUP(J137,'CAFCO 300 IDIEM TABLAS'!$J$4:$J$40),'CALCULO MORTERO'!J137,MROUND('CALCULO MORTERO'!J137,10))</f>
        <v>#N/A</v>
      </c>
      <c r="U137" s="118">
        <f t="shared" si="7"/>
        <v>0</v>
      </c>
      <c r="Y137" s="4"/>
      <c r="Z137" s="4"/>
      <c r="AA137" s="4"/>
    </row>
    <row r="138" spans="1:27" ht="15.6" customHeight="1" x14ac:dyDescent="0.25">
      <c r="A138" s="118">
        <f>+CUBICACION!D132</f>
        <v>0</v>
      </c>
      <c r="B138" s="819">
        <f>+CUBICACION!E132</f>
        <v>0</v>
      </c>
      <c r="C138" s="675">
        <f>+CUBICACION!F132</f>
        <v>0</v>
      </c>
      <c r="D138" s="118"/>
      <c r="E138" s="118"/>
      <c r="F138" s="820"/>
      <c r="G138" s="675">
        <f>+CUBICACION!J132</f>
        <v>0</v>
      </c>
      <c r="H138" s="118"/>
      <c r="I138" s="821">
        <f>+CUBICACION!L132</f>
        <v>0</v>
      </c>
      <c r="J138" s="64">
        <f>+CUBICACION!M132</f>
        <v>0</v>
      </c>
      <c r="K138" s="822" t="str">
        <f>+CUBICACION!N132</f>
        <v/>
      </c>
      <c r="L138" s="118">
        <f>+CUBICACION!O132</f>
        <v>0</v>
      </c>
      <c r="M138" s="823">
        <f>+CUBICACION!P132</f>
        <v>0</v>
      </c>
      <c r="N138" s="902">
        <f>ROUND(IF(AND(L138="Blaze Shield II",M138="Software Idiem",C138="IN",G138=4),((('BLAZE SHIELD II'!$D$4*('CALCULO MORTERO'!I138^2)+'BLAZE SHIELD II'!$D$5*'CALCULO MORTERO'!I138+'BLAZE SHIELD II'!$D$6)*LN(J138))+('BLAZE SHIELD II'!$D$7*('CALCULO MORTERO'!I138^2)+'BLAZE SHIELD II'!$D$8*'CALCULO MORTERO'!I138+'BLAZE SHIELD II'!$D$9)),0)+IF(AND(L138="Blaze Shield II",M138="Software Idiem",C138="Cj"),((('BLAZE SHIELD II'!$H$4*('CALCULO MORTERO'!I138^2)+'BLAZE SHIELD II'!$H$5*'CALCULO MORTERO'!I138+'BLAZE SHIELD II'!$H$6)*LN(J138))+('BLAZE SHIELD II'!$H$7*('CALCULO MORTERO'!I138^2)+'BLAZE SHIELD II'!$H$8*'CALCULO MORTERO'!I138+'BLAZE SHIELD II'!$H$9)),0)+IF(AND(L138="Blaze Shield II",M138="Software Idiem",C138="C"),((('BLAZE SHIELD II'!$L$4*('CALCULO MORTERO'!I138^2)+'BLAZE SHIELD II'!$L$5*'CALCULO MORTERO'!I138+'BLAZE SHIELD II'!$L$6)*LN(J138))+('BLAZE SHIELD II'!$L$7*('CALCULO MORTERO'!I138^2)+'BLAZE SHIELD II'!$L$8*'CALCULO MORTERO'!I138+'BLAZE SHIELD II'!$L$9)),0)+IF(AND(L138="Blaze Shield II",M138="Software Idiem",C138="L"),((('BLAZE SHIELD II'!$L$4*('CALCULO MORTERO'!I138^2)+'BLAZE SHIELD II'!$L$5*'CALCULO MORTERO'!I138+'BLAZE SHIELD II'!$L$6)*LN(J138))+('BLAZE SHIELD II'!$L$7*('CALCULO MORTERO'!I138^2)+'BLAZE SHIELD II'!$L$8*'CALCULO MORTERO'!I138+'BLAZE SHIELD II'!$L$9)),0)+IF(AND(L138="Blaze Shield II",M138="Software Idiem",C138="IN",G138=3),((('BLAZE SHIELD II'!$H$14*('CALCULO MORTERO'!I138^2)+'BLAZE SHIELD II'!$H$15*'CALCULO MORTERO'!I138+'BLAZE SHIELD II'!$H$16)*LN(J138))+('BLAZE SHIELD II'!$H$17*('CALCULO MORTERO'!I138^2)+'BLAZE SHIELD II'!$H$18*'CALCULO MORTERO'!I138+'BLAZE SHIELD II'!$H$19)),0),0)+ROUND(IF(AND(L138="Cafco 400",M138="Software Idiem",C138="IN",G138=4),((('CAFCO 400 '!$H$7*(J138^4)+'CAFCO 400 '!$H$8*(J138^3)+'CAFCO 400 '!$H$9*(J138^2)+'CAFCO 400 '!$H$10*J138+'CAFCO 400 '!$H$11)*U138^2)+(('CAFCO 400 '!$H$12*(J138^3)+'CAFCO 400 '!$H$13*(J138^2)+'CAFCO 400 '!$H$14*J138+'CAFCO 400 '!$H$15)*U138)+('CAFCO 400 '!$H$16*(J138^2)+'CAFCO 400 '!$H$17*J138+'CAFCO 400 '!$H$18)),0)+IF(AND(L138="Cafco 400",M138="Software Idiem",C138="Cj"),(((('CAFCO 400 '!$D$7*LN(J138)+'CAFCO 400 '!$D$8)*U138^2)+(('CAFCO 400 '!$D$9*LN(J138)+'CAFCO 400 '!$D$10)*U138)+('CAFCO 400 '!$D$11*LN(J138)+'CAFCO 400 '!$D$12))),0)+IF(AND(L138="Cafco 400",M138="Software Idiem",C138="C"),((('CAFCO 400 '!$L$7*(J138^3)+'CAFCO 400 '!$L$8*(J138^2)+'CAFCO 400 '!$L$9*J138+'CAFCO 400 '!$L$10)*U138^2)+(('CAFCO 400 '!$L$11*(J138^3)+'CAFCO 400 '!$L$12*(J138^2)+'CAFCO 400 '!$L$13*J138+'CAFCO 400 '!$L$14)*U138)+('CAFCO 400 '!$L$15*LN(J138)+'CAFCO 400 '!$L$16)),0)+IF(AND(L138="Cafco 400",M138="Software Idiem",C138="L"),((('CAFCO 400 '!$L$7*(J138^3)+'CAFCO 400 '!$L$8*(J138^2)+'CAFCO 400 '!$L$9*J138+'CAFCO 400 '!$L$10)*U138^2)+(('CAFCO 400 '!$L$11*(J138^3)+'CAFCO 400 '!$L$12*(J138^2)+'CAFCO 400 '!$L$13*J138+'CAFCO 400 '!$L$14)*U138)+('CAFCO 400 '!$L$15*LN(J138)+'CAFCO 400 '!$L$16)),0)+IF(AND(L138="Cafco 400",M138="Software Idiem",C138="IN",G138=3),((('CAFCO 400 '!$D$23*(J138^2)+'CAFCO 400 '!$D$24*(J138)+'CAFCO 400 '!$D$25)*U138^2)+(('CAFCO 400 '!$D$26*(J138^2)+'CAFCO 400 '!$D$27*J138+'CAFCO 400 '!$D$28)*U138)+('CAFCO 400 '!$D$29*(J138^2)+'CAFCO 400 '!$D$30*J138+'CAFCO 400 '!$D$31)),0),0)+IF(AND(L138="Cafco 300",J138&gt;=95,J138&lt;=240,C138="Cj",I138=90),VLOOKUP(T138,'CAFCO 300 IDIEM TABLAS'!$B$4:$D$23,2,FALSE),0)+IF(AND(L138="Cafco 300",J138&gt;=95,J138&lt;=240,C138="Cj",I138=120),VLOOKUP(T138,'CAFCO 300 IDIEM TABLAS'!$B$4:$D$23,3,FALSE),0)+IF(AND(L138="Cafco 300",J138&gt;=95,J138&lt;=400,G138=3,C138="IN",I138=90),VLOOKUP(T138,'CAFCO 300 IDIEM TABLAS'!$F$4:$H$35,2,FALSE),0)+IF(AND(L138="Cafco 300",J138&gt;=95,J138&lt;=400,G138=3,C138="IN",I138=120),VLOOKUP(T138,'CAFCO 300 IDIEM TABLAS'!$F$4:$H$35,3,FALSE),0)+IF(AND(L138="Cafco 300",J138&gt;=95,J138&lt;=450,G138=4,C138="IN",I138=90),VLOOKUP(T138,'CAFCO 300 IDIEM TABLAS'!$J$4:$L$40,2,FALSE),0)+IF(AND(L138="Cafco 300",J138&gt;=95,J138&lt;=450,G138=4,C138="IN",I138=120),VLOOKUP(T138,'CAFCO 300 IDIEM TABLAS'!$J$4:$L$40,3,FALSE),0)+IF(AND(M138="Ensayo Idiem",L138="Cafco 400",C138="IN",G138=4,I138=90),VLOOKUP(T138,'CAFCO 400 ENSAYO'!$B$7:$D$43,2,FALSE),0)+IF(AND(M138="Ensayo Idiem",L138="Cafco 400",C138="IN",G138=4,I138=120),VLOOKUP(T138,'CAFCO 400 ENSAYO'!$B$7:$D$43,3,FALSE),0)</f>
        <v>0</v>
      </c>
      <c r="O138" s="96">
        <f t="shared" si="8"/>
        <v>0</v>
      </c>
      <c r="P138" s="95" t="str">
        <f t="shared" si="9"/>
        <v>N/A</v>
      </c>
      <c r="Q138" s="95" t="str">
        <f t="shared" si="10"/>
        <v>N/A</v>
      </c>
      <c r="R138" s="95" t="str">
        <f t="shared" si="11"/>
        <v>NO CERT.</v>
      </c>
      <c r="S138" s="95" t="e">
        <f t="shared" ref="S138:S201" si="19">IF(AND(C138="Cj",I138=90,T138&lt;=240),"CERT.",IF(AND(C138="Cj",I138=120,T138&lt;=240),"CERT.",IF(AND(C138="IN",G138=3,I138=90,T138&lt;=400),"CERT.",IF(AND(C138="IN",G138=3,I138=120,T138&lt;=400),"CERT.",IF(AND(C138="IN",G138=4,I138=90,T138&lt;=450),"CERT.",IF(AND(C138="IN",G138=4,I138=120,T138&lt;=450),"CERT.","NO CERT."))))))</f>
        <v>#N/A</v>
      </c>
      <c r="T138" s="119" t="e">
        <f>+IF(J138=LOOKUP(J138,'CAFCO 300 IDIEM TABLAS'!$J$4:$J$40),'CALCULO MORTERO'!J138,MROUND('CALCULO MORTERO'!J138,10))</f>
        <v>#N/A</v>
      </c>
      <c r="U138" s="118">
        <f t="shared" ref="U138:U201" si="20">+I138*60</f>
        <v>0</v>
      </c>
      <c r="Y138" s="4"/>
      <c r="Z138" s="4"/>
      <c r="AA138" s="4"/>
    </row>
    <row r="139" spans="1:27" x14ac:dyDescent="0.25">
      <c r="A139" s="118">
        <f>+CUBICACION!D133</f>
        <v>0</v>
      </c>
      <c r="B139" s="819">
        <f>+CUBICACION!E133</f>
        <v>0</v>
      </c>
      <c r="C139" s="675">
        <f>+CUBICACION!F133</f>
        <v>0</v>
      </c>
      <c r="D139" s="118"/>
      <c r="E139" s="118"/>
      <c r="F139" s="820"/>
      <c r="G139" s="675">
        <f>+CUBICACION!J133</f>
        <v>0</v>
      </c>
      <c r="H139" s="118"/>
      <c r="I139" s="821">
        <f>+CUBICACION!L133</f>
        <v>0</v>
      </c>
      <c r="J139" s="64">
        <f>+CUBICACION!M133</f>
        <v>0</v>
      </c>
      <c r="K139" s="822" t="str">
        <f>+CUBICACION!N133</f>
        <v/>
      </c>
      <c r="L139" s="118">
        <f>+CUBICACION!O133</f>
        <v>0</v>
      </c>
      <c r="M139" s="823">
        <f>+CUBICACION!P133</f>
        <v>0</v>
      </c>
      <c r="N139" s="902">
        <f>ROUND(IF(AND(L139="Blaze Shield II",M139="Software Idiem",C139="IN",G139=4),((('BLAZE SHIELD II'!$D$4*('CALCULO MORTERO'!I139^2)+'BLAZE SHIELD II'!$D$5*'CALCULO MORTERO'!I139+'BLAZE SHIELD II'!$D$6)*LN(J139))+('BLAZE SHIELD II'!$D$7*('CALCULO MORTERO'!I139^2)+'BLAZE SHIELD II'!$D$8*'CALCULO MORTERO'!I139+'BLAZE SHIELD II'!$D$9)),0)+IF(AND(L139="Blaze Shield II",M139="Software Idiem",C139="Cj"),((('BLAZE SHIELD II'!$H$4*('CALCULO MORTERO'!I139^2)+'BLAZE SHIELD II'!$H$5*'CALCULO MORTERO'!I139+'BLAZE SHIELD II'!$H$6)*LN(J139))+('BLAZE SHIELD II'!$H$7*('CALCULO MORTERO'!I139^2)+'BLAZE SHIELD II'!$H$8*'CALCULO MORTERO'!I139+'BLAZE SHIELD II'!$H$9)),0)+IF(AND(L139="Blaze Shield II",M139="Software Idiem",C139="C"),((('BLAZE SHIELD II'!$L$4*('CALCULO MORTERO'!I139^2)+'BLAZE SHIELD II'!$L$5*'CALCULO MORTERO'!I139+'BLAZE SHIELD II'!$L$6)*LN(J139))+('BLAZE SHIELD II'!$L$7*('CALCULO MORTERO'!I139^2)+'BLAZE SHIELD II'!$L$8*'CALCULO MORTERO'!I139+'BLAZE SHIELD II'!$L$9)),0)+IF(AND(L139="Blaze Shield II",M139="Software Idiem",C139="L"),((('BLAZE SHIELD II'!$L$4*('CALCULO MORTERO'!I139^2)+'BLAZE SHIELD II'!$L$5*'CALCULO MORTERO'!I139+'BLAZE SHIELD II'!$L$6)*LN(J139))+('BLAZE SHIELD II'!$L$7*('CALCULO MORTERO'!I139^2)+'BLAZE SHIELD II'!$L$8*'CALCULO MORTERO'!I139+'BLAZE SHIELD II'!$L$9)),0)+IF(AND(L139="Blaze Shield II",M139="Software Idiem",C139="IN",G139=3),((('BLAZE SHIELD II'!$H$14*('CALCULO MORTERO'!I139^2)+'BLAZE SHIELD II'!$H$15*'CALCULO MORTERO'!I139+'BLAZE SHIELD II'!$H$16)*LN(J139))+('BLAZE SHIELD II'!$H$17*('CALCULO MORTERO'!I139^2)+'BLAZE SHIELD II'!$H$18*'CALCULO MORTERO'!I139+'BLAZE SHIELD II'!$H$19)),0),0)+ROUND(IF(AND(L139="Cafco 400",M139="Software Idiem",C139="IN",G139=4),((('CAFCO 400 '!$H$7*(J139^4)+'CAFCO 400 '!$H$8*(J139^3)+'CAFCO 400 '!$H$9*(J139^2)+'CAFCO 400 '!$H$10*J139+'CAFCO 400 '!$H$11)*U139^2)+(('CAFCO 400 '!$H$12*(J139^3)+'CAFCO 400 '!$H$13*(J139^2)+'CAFCO 400 '!$H$14*J139+'CAFCO 400 '!$H$15)*U139)+('CAFCO 400 '!$H$16*(J139^2)+'CAFCO 400 '!$H$17*J139+'CAFCO 400 '!$H$18)),0)+IF(AND(L139="Cafco 400",M139="Software Idiem",C139="Cj"),(((('CAFCO 400 '!$D$7*LN(J139)+'CAFCO 400 '!$D$8)*U139^2)+(('CAFCO 400 '!$D$9*LN(J139)+'CAFCO 400 '!$D$10)*U139)+('CAFCO 400 '!$D$11*LN(J139)+'CAFCO 400 '!$D$12))),0)+IF(AND(L139="Cafco 400",M139="Software Idiem",C139="C"),((('CAFCO 400 '!$L$7*(J139^3)+'CAFCO 400 '!$L$8*(J139^2)+'CAFCO 400 '!$L$9*J139+'CAFCO 400 '!$L$10)*U139^2)+(('CAFCO 400 '!$L$11*(J139^3)+'CAFCO 400 '!$L$12*(J139^2)+'CAFCO 400 '!$L$13*J139+'CAFCO 400 '!$L$14)*U139)+('CAFCO 400 '!$L$15*LN(J139)+'CAFCO 400 '!$L$16)),0)+IF(AND(L139="Cafco 400",M139="Software Idiem",C139="L"),((('CAFCO 400 '!$L$7*(J139^3)+'CAFCO 400 '!$L$8*(J139^2)+'CAFCO 400 '!$L$9*J139+'CAFCO 400 '!$L$10)*U139^2)+(('CAFCO 400 '!$L$11*(J139^3)+'CAFCO 400 '!$L$12*(J139^2)+'CAFCO 400 '!$L$13*J139+'CAFCO 400 '!$L$14)*U139)+('CAFCO 400 '!$L$15*LN(J139)+'CAFCO 400 '!$L$16)),0)+IF(AND(L139="Cafco 400",M139="Software Idiem",C139="IN",G139=3),((('CAFCO 400 '!$D$23*(J139^2)+'CAFCO 400 '!$D$24*(J139)+'CAFCO 400 '!$D$25)*U139^2)+(('CAFCO 400 '!$D$26*(J139^2)+'CAFCO 400 '!$D$27*J139+'CAFCO 400 '!$D$28)*U139)+('CAFCO 400 '!$D$29*(J139^2)+'CAFCO 400 '!$D$30*J139+'CAFCO 400 '!$D$31)),0),0)+IF(AND(L139="Cafco 300",J139&gt;=95,J139&lt;=240,C139="Cj",I139=90),VLOOKUP(T139,'CAFCO 300 IDIEM TABLAS'!$B$4:$D$23,2,FALSE),0)+IF(AND(L139="Cafco 300",J139&gt;=95,J139&lt;=240,C139="Cj",I139=120),VLOOKUP(T139,'CAFCO 300 IDIEM TABLAS'!$B$4:$D$23,3,FALSE),0)+IF(AND(L139="Cafco 300",J139&gt;=95,J139&lt;=400,G139=3,C139="IN",I139=90),VLOOKUP(T139,'CAFCO 300 IDIEM TABLAS'!$F$4:$H$35,2,FALSE),0)+IF(AND(L139="Cafco 300",J139&gt;=95,J139&lt;=400,G139=3,C139="IN",I139=120),VLOOKUP(T139,'CAFCO 300 IDIEM TABLAS'!$F$4:$H$35,3,FALSE),0)+IF(AND(L139="Cafco 300",J139&gt;=95,J139&lt;=450,G139=4,C139="IN",I139=90),VLOOKUP(T139,'CAFCO 300 IDIEM TABLAS'!$J$4:$L$40,2,FALSE),0)+IF(AND(L139="Cafco 300",J139&gt;=95,J139&lt;=450,G139=4,C139="IN",I139=120),VLOOKUP(T139,'CAFCO 300 IDIEM TABLAS'!$J$4:$L$40,3,FALSE),0)+IF(AND(M139="Ensayo Idiem",L139="Cafco 400",C139="IN",G139=4,I139=90),VLOOKUP(T139,'CAFCO 400 ENSAYO'!$B$7:$D$43,2,FALSE),0)+IF(AND(M139="Ensayo Idiem",L139="Cafco 400",C139="IN",G139=4,I139=120),VLOOKUP(T139,'CAFCO 400 ENSAYO'!$B$7:$D$43,3,FALSE),0)</f>
        <v>0</v>
      </c>
      <c r="O139" s="96">
        <f t="shared" ref="O139:O202" si="21">((IF(L139="Blaze Shield II",((K139*N139*0.43)/38),IF(L139="Cafco 400",((K139*N139*0.43)/23),IF(L139="Cafco 300",((K139*N139*0.43)/31.16),0)))))</f>
        <v>0</v>
      </c>
      <c r="P139" s="95" t="str">
        <f t="shared" ref="P139:P202" si="22">IF(AND(M139="Software Idiem"),IF(AND(C139="IN",G139=4,J139&gt;=50,J139&lt;=500),"CERT.",IF(AND(C139="Cj",J139&gt;=50,J139&lt;=500),"CERT.",IF(AND(C139="C",J139&gt;=50,J139&lt;=1000),"CERT.",IF(AND(C139="L",J139&gt;=50,J139&lt;=1000),"CERT.",IF(AND(C139="IN",G139=3,J139&gt;=50,J139&lt;=500),"CERT.","NO CERT."))))),"N/A")</f>
        <v>N/A</v>
      </c>
      <c r="Q139" s="95" t="str">
        <f t="shared" ref="Q139:Q202" si="23">IF(AND(M139="Software Idiem"),IF(AND(C139="IN",G139=4,J139&gt;=50,J139&lt;=500),"CERT.",IF(AND(C139="Cj",J139&gt;=50,J139&lt;=500),"CERT.",IF(AND(C139="C",J139&gt;=50,J139&lt;=1000),"CERT.",IF(AND(C139="L",J139&gt;=50,J139&lt;=1000),"CERT.",IF(AND(C139="IN",G139=3,J139&gt;=50,J139&lt;=500),"CERT.","NO CERT."))))),"N/A")</f>
        <v>N/A</v>
      </c>
      <c r="R139" s="95" t="str">
        <f t="shared" ref="R139:R202" si="24">IF(AND(C139="IN",G139=4,J139&gt;=95,J139&lt;=450,I139=90),"CERT.",IF(AND(C139="IN",G139=4,J139&gt;=95,J139&lt;=450,I139=120),"CERT.","NO CERT."))</f>
        <v>NO CERT.</v>
      </c>
      <c r="S139" s="95" t="e">
        <f t="shared" si="19"/>
        <v>#N/A</v>
      </c>
      <c r="T139" s="119" t="e">
        <f>+IF(J139=LOOKUP(J139,'CAFCO 300 IDIEM TABLAS'!$J$4:$J$40),'CALCULO MORTERO'!J139,MROUND('CALCULO MORTERO'!J139,10))</f>
        <v>#N/A</v>
      </c>
      <c r="U139" s="118">
        <f t="shared" si="20"/>
        <v>0</v>
      </c>
      <c r="Y139" s="4"/>
      <c r="Z139" s="4"/>
      <c r="AA139" s="4"/>
    </row>
    <row r="140" spans="1:27" ht="15.6" customHeight="1" x14ac:dyDescent="0.25">
      <c r="A140" s="118">
        <f>+CUBICACION!D134</f>
        <v>0</v>
      </c>
      <c r="B140" s="819">
        <f>+CUBICACION!E134</f>
        <v>0</v>
      </c>
      <c r="C140" s="675">
        <f>+CUBICACION!F134</f>
        <v>0</v>
      </c>
      <c r="D140" s="118"/>
      <c r="E140" s="118"/>
      <c r="F140" s="820"/>
      <c r="G140" s="675">
        <f>+CUBICACION!J134</f>
        <v>0</v>
      </c>
      <c r="H140" s="118"/>
      <c r="I140" s="821">
        <f>+CUBICACION!L134</f>
        <v>0</v>
      </c>
      <c r="J140" s="64">
        <f>+CUBICACION!M134</f>
        <v>0</v>
      </c>
      <c r="K140" s="822" t="str">
        <f>+CUBICACION!N134</f>
        <v/>
      </c>
      <c r="L140" s="118">
        <f>+CUBICACION!O134</f>
        <v>0</v>
      </c>
      <c r="M140" s="823">
        <f>+CUBICACION!P134</f>
        <v>0</v>
      </c>
      <c r="N140" s="902">
        <f>ROUND(IF(AND(L140="Blaze Shield II",M140="Software Idiem",C140="IN",G140=4),((('BLAZE SHIELD II'!$D$4*('CALCULO MORTERO'!I140^2)+'BLAZE SHIELD II'!$D$5*'CALCULO MORTERO'!I140+'BLAZE SHIELD II'!$D$6)*LN(J140))+('BLAZE SHIELD II'!$D$7*('CALCULO MORTERO'!I140^2)+'BLAZE SHIELD II'!$D$8*'CALCULO MORTERO'!I140+'BLAZE SHIELD II'!$D$9)),0)+IF(AND(L140="Blaze Shield II",M140="Software Idiem",C140="Cj"),((('BLAZE SHIELD II'!$H$4*('CALCULO MORTERO'!I140^2)+'BLAZE SHIELD II'!$H$5*'CALCULO MORTERO'!I140+'BLAZE SHIELD II'!$H$6)*LN(J140))+('BLAZE SHIELD II'!$H$7*('CALCULO MORTERO'!I140^2)+'BLAZE SHIELD II'!$H$8*'CALCULO MORTERO'!I140+'BLAZE SHIELD II'!$H$9)),0)+IF(AND(L140="Blaze Shield II",M140="Software Idiem",C140="C"),((('BLAZE SHIELD II'!$L$4*('CALCULO MORTERO'!I140^2)+'BLAZE SHIELD II'!$L$5*'CALCULO MORTERO'!I140+'BLAZE SHIELD II'!$L$6)*LN(J140))+('BLAZE SHIELD II'!$L$7*('CALCULO MORTERO'!I140^2)+'BLAZE SHIELD II'!$L$8*'CALCULO MORTERO'!I140+'BLAZE SHIELD II'!$L$9)),0)+IF(AND(L140="Blaze Shield II",M140="Software Idiem",C140="L"),((('BLAZE SHIELD II'!$L$4*('CALCULO MORTERO'!I140^2)+'BLAZE SHIELD II'!$L$5*'CALCULO MORTERO'!I140+'BLAZE SHIELD II'!$L$6)*LN(J140))+('BLAZE SHIELD II'!$L$7*('CALCULO MORTERO'!I140^2)+'BLAZE SHIELD II'!$L$8*'CALCULO MORTERO'!I140+'BLAZE SHIELD II'!$L$9)),0)+IF(AND(L140="Blaze Shield II",M140="Software Idiem",C140="IN",G140=3),((('BLAZE SHIELD II'!$H$14*('CALCULO MORTERO'!I140^2)+'BLAZE SHIELD II'!$H$15*'CALCULO MORTERO'!I140+'BLAZE SHIELD II'!$H$16)*LN(J140))+('BLAZE SHIELD II'!$H$17*('CALCULO MORTERO'!I140^2)+'BLAZE SHIELD II'!$H$18*'CALCULO MORTERO'!I140+'BLAZE SHIELD II'!$H$19)),0),0)+ROUND(IF(AND(L140="Cafco 400",M140="Software Idiem",C140="IN",G140=4),((('CAFCO 400 '!$H$7*(J140^4)+'CAFCO 400 '!$H$8*(J140^3)+'CAFCO 400 '!$H$9*(J140^2)+'CAFCO 400 '!$H$10*J140+'CAFCO 400 '!$H$11)*U140^2)+(('CAFCO 400 '!$H$12*(J140^3)+'CAFCO 400 '!$H$13*(J140^2)+'CAFCO 400 '!$H$14*J140+'CAFCO 400 '!$H$15)*U140)+('CAFCO 400 '!$H$16*(J140^2)+'CAFCO 400 '!$H$17*J140+'CAFCO 400 '!$H$18)),0)+IF(AND(L140="Cafco 400",M140="Software Idiem",C140="Cj"),(((('CAFCO 400 '!$D$7*LN(J140)+'CAFCO 400 '!$D$8)*U140^2)+(('CAFCO 400 '!$D$9*LN(J140)+'CAFCO 400 '!$D$10)*U140)+('CAFCO 400 '!$D$11*LN(J140)+'CAFCO 400 '!$D$12))),0)+IF(AND(L140="Cafco 400",M140="Software Idiem",C140="C"),((('CAFCO 400 '!$L$7*(J140^3)+'CAFCO 400 '!$L$8*(J140^2)+'CAFCO 400 '!$L$9*J140+'CAFCO 400 '!$L$10)*U140^2)+(('CAFCO 400 '!$L$11*(J140^3)+'CAFCO 400 '!$L$12*(J140^2)+'CAFCO 400 '!$L$13*J140+'CAFCO 400 '!$L$14)*U140)+('CAFCO 400 '!$L$15*LN(J140)+'CAFCO 400 '!$L$16)),0)+IF(AND(L140="Cafco 400",M140="Software Idiem",C140="L"),((('CAFCO 400 '!$L$7*(J140^3)+'CAFCO 400 '!$L$8*(J140^2)+'CAFCO 400 '!$L$9*J140+'CAFCO 400 '!$L$10)*U140^2)+(('CAFCO 400 '!$L$11*(J140^3)+'CAFCO 400 '!$L$12*(J140^2)+'CAFCO 400 '!$L$13*J140+'CAFCO 400 '!$L$14)*U140)+('CAFCO 400 '!$L$15*LN(J140)+'CAFCO 400 '!$L$16)),0)+IF(AND(L140="Cafco 400",M140="Software Idiem",C140="IN",G140=3),((('CAFCO 400 '!$D$23*(J140^2)+'CAFCO 400 '!$D$24*(J140)+'CAFCO 400 '!$D$25)*U140^2)+(('CAFCO 400 '!$D$26*(J140^2)+'CAFCO 400 '!$D$27*J140+'CAFCO 400 '!$D$28)*U140)+('CAFCO 400 '!$D$29*(J140^2)+'CAFCO 400 '!$D$30*J140+'CAFCO 400 '!$D$31)),0),0)+IF(AND(L140="Cafco 300",J140&gt;=95,J140&lt;=240,C140="Cj",I140=90),VLOOKUP(T140,'CAFCO 300 IDIEM TABLAS'!$B$4:$D$23,2,FALSE),0)+IF(AND(L140="Cafco 300",J140&gt;=95,J140&lt;=240,C140="Cj",I140=120),VLOOKUP(T140,'CAFCO 300 IDIEM TABLAS'!$B$4:$D$23,3,FALSE),0)+IF(AND(L140="Cafco 300",J140&gt;=95,J140&lt;=400,G140=3,C140="IN",I140=90),VLOOKUP(T140,'CAFCO 300 IDIEM TABLAS'!$F$4:$H$35,2,FALSE),0)+IF(AND(L140="Cafco 300",J140&gt;=95,J140&lt;=400,G140=3,C140="IN",I140=120),VLOOKUP(T140,'CAFCO 300 IDIEM TABLAS'!$F$4:$H$35,3,FALSE),0)+IF(AND(L140="Cafco 300",J140&gt;=95,J140&lt;=450,G140=4,C140="IN",I140=90),VLOOKUP(T140,'CAFCO 300 IDIEM TABLAS'!$J$4:$L$40,2,FALSE),0)+IF(AND(L140="Cafco 300",J140&gt;=95,J140&lt;=450,G140=4,C140="IN",I140=120),VLOOKUP(T140,'CAFCO 300 IDIEM TABLAS'!$J$4:$L$40,3,FALSE),0)+IF(AND(M140="Ensayo Idiem",L140="Cafco 400",C140="IN",G140=4,I140=90),VLOOKUP(T140,'CAFCO 400 ENSAYO'!$B$7:$D$43,2,FALSE),0)+IF(AND(M140="Ensayo Idiem",L140="Cafco 400",C140="IN",G140=4,I140=120),VLOOKUP(T140,'CAFCO 400 ENSAYO'!$B$7:$D$43,3,FALSE),0)</f>
        <v>0</v>
      </c>
      <c r="O140" s="96">
        <f t="shared" si="21"/>
        <v>0</v>
      </c>
      <c r="P140" s="95" t="str">
        <f t="shared" si="22"/>
        <v>N/A</v>
      </c>
      <c r="Q140" s="95" t="str">
        <f t="shared" si="23"/>
        <v>N/A</v>
      </c>
      <c r="R140" s="95" t="str">
        <f t="shared" si="24"/>
        <v>NO CERT.</v>
      </c>
      <c r="S140" s="95" t="e">
        <f t="shared" si="19"/>
        <v>#N/A</v>
      </c>
      <c r="T140" s="119" t="e">
        <f>+IF(J140=LOOKUP(J140,'CAFCO 300 IDIEM TABLAS'!$J$4:$J$40),'CALCULO MORTERO'!J140,MROUND('CALCULO MORTERO'!J140,10))</f>
        <v>#N/A</v>
      </c>
      <c r="U140" s="118">
        <f t="shared" si="20"/>
        <v>0</v>
      </c>
      <c r="Y140" s="4"/>
      <c r="Z140" s="4"/>
      <c r="AA140" s="4"/>
    </row>
    <row r="141" spans="1:27" x14ac:dyDescent="0.25">
      <c r="A141" s="118">
        <f>+CUBICACION!D135</f>
        <v>0</v>
      </c>
      <c r="B141" s="819">
        <f>+CUBICACION!E135</f>
        <v>0</v>
      </c>
      <c r="C141" s="675">
        <f>+CUBICACION!F135</f>
        <v>0</v>
      </c>
      <c r="D141" s="118"/>
      <c r="E141" s="118"/>
      <c r="F141" s="820"/>
      <c r="G141" s="675">
        <f>+CUBICACION!J135</f>
        <v>0</v>
      </c>
      <c r="H141" s="118"/>
      <c r="I141" s="821">
        <f>+CUBICACION!L135</f>
        <v>0</v>
      </c>
      <c r="J141" s="64">
        <f>+CUBICACION!M135</f>
        <v>0</v>
      </c>
      <c r="K141" s="822" t="str">
        <f>+CUBICACION!N135</f>
        <v/>
      </c>
      <c r="L141" s="118">
        <f>+CUBICACION!O135</f>
        <v>0</v>
      </c>
      <c r="M141" s="823">
        <f>+CUBICACION!P135</f>
        <v>0</v>
      </c>
      <c r="N141" s="902">
        <f>ROUND(IF(AND(L141="Blaze Shield II",M141="Software Idiem",C141="IN",G141=4),((('BLAZE SHIELD II'!$D$4*('CALCULO MORTERO'!I141^2)+'BLAZE SHIELD II'!$D$5*'CALCULO MORTERO'!I141+'BLAZE SHIELD II'!$D$6)*LN(J141))+('BLAZE SHIELD II'!$D$7*('CALCULO MORTERO'!I141^2)+'BLAZE SHIELD II'!$D$8*'CALCULO MORTERO'!I141+'BLAZE SHIELD II'!$D$9)),0)+IF(AND(L141="Blaze Shield II",M141="Software Idiem",C141="Cj"),((('BLAZE SHIELD II'!$H$4*('CALCULO MORTERO'!I141^2)+'BLAZE SHIELD II'!$H$5*'CALCULO MORTERO'!I141+'BLAZE SHIELD II'!$H$6)*LN(J141))+('BLAZE SHIELD II'!$H$7*('CALCULO MORTERO'!I141^2)+'BLAZE SHIELD II'!$H$8*'CALCULO MORTERO'!I141+'BLAZE SHIELD II'!$H$9)),0)+IF(AND(L141="Blaze Shield II",M141="Software Idiem",C141="C"),((('BLAZE SHIELD II'!$L$4*('CALCULO MORTERO'!I141^2)+'BLAZE SHIELD II'!$L$5*'CALCULO MORTERO'!I141+'BLAZE SHIELD II'!$L$6)*LN(J141))+('BLAZE SHIELD II'!$L$7*('CALCULO MORTERO'!I141^2)+'BLAZE SHIELD II'!$L$8*'CALCULO MORTERO'!I141+'BLAZE SHIELD II'!$L$9)),0)+IF(AND(L141="Blaze Shield II",M141="Software Idiem",C141="L"),((('BLAZE SHIELD II'!$L$4*('CALCULO MORTERO'!I141^2)+'BLAZE SHIELD II'!$L$5*'CALCULO MORTERO'!I141+'BLAZE SHIELD II'!$L$6)*LN(J141))+('BLAZE SHIELD II'!$L$7*('CALCULO MORTERO'!I141^2)+'BLAZE SHIELD II'!$L$8*'CALCULO MORTERO'!I141+'BLAZE SHIELD II'!$L$9)),0)+IF(AND(L141="Blaze Shield II",M141="Software Idiem",C141="IN",G141=3),((('BLAZE SHIELD II'!$H$14*('CALCULO MORTERO'!I141^2)+'BLAZE SHIELD II'!$H$15*'CALCULO MORTERO'!I141+'BLAZE SHIELD II'!$H$16)*LN(J141))+('BLAZE SHIELD II'!$H$17*('CALCULO MORTERO'!I141^2)+'BLAZE SHIELD II'!$H$18*'CALCULO MORTERO'!I141+'BLAZE SHIELD II'!$H$19)),0),0)+ROUND(IF(AND(L141="Cafco 400",M141="Software Idiem",C141="IN",G141=4),((('CAFCO 400 '!$H$7*(J141^4)+'CAFCO 400 '!$H$8*(J141^3)+'CAFCO 400 '!$H$9*(J141^2)+'CAFCO 400 '!$H$10*J141+'CAFCO 400 '!$H$11)*U141^2)+(('CAFCO 400 '!$H$12*(J141^3)+'CAFCO 400 '!$H$13*(J141^2)+'CAFCO 400 '!$H$14*J141+'CAFCO 400 '!$H$15)*U141)+('CAFCO 400 '!$H$16*(J141^2)+'CAFCO 400 '!$H$17*J141+'CAFCO 400 '!$H$18)),0)+IF(AND(L141="Cafco 400",M141="Software Idiem",C141="Cj"),(((('CAFCO 400 '!$D$7*LN(J141)+'CAFCO 400 '!$D$8)*U141^2)+(('CAFCO 400 '!$D$9*LN(J141)+'CAFCO 400 '!$D$10)*U141)+('CAFCO 400 '!$D$11*LN(J141)+'CAFCO 400 '!$D$12))),0)+IF(AND(L141="Cafco 400",M141="Software Idiem",C141="C"),((('CAFCO 400 '!$L$7*(J141^3)+'CAFCO 400 '!$L$8*(J141^2)+'CAFCO 400 '!$L$9*J141+'CAFCO 400 '!$L$10)*U141^2)+(('CAFCO 400 '!$L$11*(J141^3)+'CAFCO 400 '!$L$12*(J141^2)+'CAFCO 400 '!$L$13*J141+'CAFCO 400 '!$L$14)*U141)+('CAFCO 400 '!$L$15*LN(J141)+'CAFCO 400 '!$L$16)),0)+IF(AND(L141="Cafco 400",M141="Software Idiem",C141="L"),((('CAFCO 400 '!$L$7*(J141^3)+'CAFCO 400 '!$L$8*(J141^2)+'CAFCO 400 '!$L$9*J141+'CAFCO 400 '!$L$10)*U141^2)+(('CAFCO 400 '!$L$11*(J141^3)+'CAFCO 400 '!$L$12*(J141^2)+'CAFCO 400 '!$L$13*J141+'CAFCO 400 '!$L$14)*U141)+('CAFCO 400 '!$L$15*LN(J141)+'CAFCO 400 '!$L$16)),0)+IF(AND(L141="Cafco 400",M141="Software Idiem",C141="IN",G141=3),((('CAFCO 400 '!$D$23*(J141^2)+'CAFCO 400 '!$D$24*(J141)+'CAFCO 400 '!$D$25)*U141^2)+(('CAFCO 400 '!$D$26*(J141^2)+'CAFCO 400 '!$D$27*J141+'CAFCO 400 '!$D$28)*U141)+('CAFCO 400 '!$D$29*(J141^2)+'CAFCO 400 '!$D$30*J141+'CAFCO 400 '!$D$31)),0),0)+IF(AND(L141="Cafco 300",J141&gt;=95,J141&lt;=240,C141="Cj",I141=90),VLOOKUP(T141,'CAFCO 300 IDIEM TABLAS'!$B$4:$D$23,2,FALSE),0)+IF(AND(L141="Cafco 300",J141&gt;=95,J141&lt;=240,C141="Cj",I141=120),VLOOKUP(T141,'CAFCO 300 IDIEM TABLAS'!$B$4:$D$23,3,FALSE),0)+IF(AND(L141="Cafco 300",J141&gt;=95,J141&lt;=400,G141=3,C141="IN",I141=90),VLOOKUP(T141,'CAFCO 300 IDIEM TABLAS'!$F$4:$H$35,2,FALSE),0)+IF(AND(L141="Cafco 300",J141&gt;=95,J141&lt;=400,G141=3,C141="IN",I141=120),VLOOKUP(T141,'CAFCO 300 IDIEM TABLAS'!$F$4:$H$35,3,FALSE),0)+IF(AND(L141="Cafco 300",J141&gt;=95,J141&lt;=450,G141=4,C141="IN",I141=90),VLOOKUP(T141,'CAFCO 300 IDIEM TABLAS'!$J$4:$L$40,2,FALSE),0)+IF(AND(L141="Cafco 300",J141&gt;=95,J141&lt;=450,G141=4,C141="IN",I141=120),VLOOKUP(T141,'CAFCO 300 IDIEM TABLAS'!$J$4:$L$40,3,FALSE),0)+IF(AND(M141="Ensayo Idiem",L141="Cafco 400",C141="IN",G141=4,I141=90),VLOOKUP(T141,'CAFCO 400 ENSAYO'!$B$7:$D$43,2,FALSE),0)+IF(AND(M141="Ensayo Idiem",L141="Cafco 400",C141="IN",G141=4,I141=120),VLOOKUP(T141,'CAFCO 400 ENSAYO'!$B$7:$D$43,3,FALSE),0)</f>
        <v>0</v>
      </c>
      <c r="O141" s="96">
        <f t="shared" si="21"/>
        <v>0</v>
      </c>
      <c r="P141" s="95" t="str">
        <f t="shared" si="22"/>
        <v>N/A</v>
      </c>
      <c r="Q141" s="95" t="str">
        <f t="shared" si="23"/>
        <v>N/A</v>
      </c>
      <c r="R141" s="95" t="str">
        <f t="shared" si="24"/>
        <v>NO CERT.</v>
      </c>
      <c r="S141" s="95" t="e">
        <f t="shared" si="19"/>
        <v>#N/A</v>
      </c>
      <c r="T141" s="119" t="e">
        <f>+IF(J141=LOOKUP(J141,'CAFCO 300 IDIEM TABLAS'!$J$4:$J$40),'CALCULO MORTERO'!J141,MROUND('CALCULO MORTERO'!J141,10))</f>
        <v>#N/A</v>
      </c>
      <c r="U141" s="118">
        <f t="shared" si="20"/>
        <v>0</v>
      </c>
      <c r="Y141" s="4"/>
      <c r="Z141" s="4"/>
      <c r="AA141" s="4"/>
    </row>
    <row r="142" spans="1:27" ht="15.6" customHeight="1" x14ac:dyDescent="0.25">
      <c r="A142" s="118">
        <f>+CUBICACION!D136</f>
        <v>0</v>
      </c>
      <c r="B142" s="819">
        <f>+CUBICACION!E136</f>
        <v>0</v>
      </c>
      <c r="C142" s="675">
        <f>+CUBICACION!F136</f>
        <v>0</v>
      </c>
      <c r="D142" s="118"/>
      <c r="E142" s="118"/>
      <c r="F142" s="820"/>
      <c r="G142" s="675">
        <f>+CUBICACION!J136</f>
        <v>0</v>
      </c>
      <c r="H142" s="118"/>
      <c r="I142" s="821">
        <f>+CUBICACION!L136</f>
        <v>0</v>
      </c>
      <c r="J142" s="64">
        <f>+CUBICACION!M136</f>
        <v>0</v>
      </c>
      <c r="K142" s="822" t="str">
        <f>+CUBICACION!N136</f>
        <v/>
      </c>
      <c r="L142" s="118">
        <f>+CUBICACION!O136</f>
        <v>0</v>
      </c>
      <c r="M142" s="823">
        <f>+CUBICACION!P136</f>
        <v>0</v>
      </c>
      <c r="N142" s="902">
        <f>ROUND(IF(AND(L142="Blaze Shield II",M142="Software Idiem",C142="IN",G142=4),((('BLAZE SHIELD II'!$D$4*('CALCULO MORTERO'!I142^2)+'BLAZE SHIELD II'!$D$5*'CALCULO MORTERO'!I142+'BLAZE SHIELD II'!$D$6)*LN(J142))+('BLAZE SHIELD II'!$D$7*('CALCULO MORTERO'!I142^2)+'BLAZE SHIELD II'!$D$8*'CALCULO MORTERO'!I142+'BLAZE SHIELD II'!$D$9)),0)+IF(AND(L142="Blaze Shield II",M142="Software Idiem",C142="Cj"),((('BLAZE SHIELD II'!$H$4*('CALCULO MORTERO'!I142^2)+'BLAZE SHIELD II'!$H$5*'CALCULO MORTERO'!I142+'BLAZE SHIELD II'!$H$6)*LN(J142))+('BLAZE SHIELD II'!$H$7*('CALCULO MORTERO'!I142^2)+'BLAZE SHIELD II'!$H$8*'CALCULO MORTERO'!I142+'BLAZE SHIELD II'!$H$9)),0)+IF(AND(L142="Blaze Shield II",M142="Software Idiem",C142="C"),((('BLAZE SHIELD II'!$L$4*('CALCULO MORTERO'!I142^2)+'BLAZE SHIELD II'!$L$5*'CALCULO MORTERO'!I142+'BLAZE SHIELD II'!$L$6)*LN(J142))+('BLAZE SHIELD II'!$L$7*('CALCULO MORTERO'!I142^2)+'BLAZE SHIELD II'!$L$8*'CALCULO MORTERO'!I142+'BLAZE SHIELD II'!$L$9)),0)+IF(AND(L142="Blaze Shield II",M142="Software Idiem",C142="L"),((('BLAZE SHIELD II'!$L$4*('CALCULO MORTERO'!I142^2)+'BLAZE SHIELD II'!$L$5*'CALCULO MORTERO'!I142+'BLAZE SHIELD II'!$L$6)*LN(J142))+('BLAZE SHIELD II'!$L$7*('CALCULO MORTERO'!I142^2)+'BLAZE SHIELD II'!$L$8*'CALCULO MORTERO'!I142+'BLAZE SHIELD II'!$L$9)),0)+IF(AND(L142="Blaze Shield II",M142="Software Idiem",C142="IN",G142=3),((('BLAZE SHIELD II'!$H$14*('CALCULO MORTERO'!I142^2)+'BLAZE SHIELD II'!$H$15*'CALCULO MORTERO'!I142+'BLAZE SHIELD II'!$H$16)*LN(J142))+('BLAZE SHIELD II'!$H$17*('CALCULO MORTERO'!I142^2)+'BLAZE SHIELD II'!$H$18*'CALCULO MORTERO'!I142+'BLAZE SHIELD II'!$H$19)),0),0)+ROUND(IF(AND(L142="Cafco 400",M142="Software Idiem",C142="IN",G142=4),((('CAFCO 400 '!$H$7*(J142^4)+'CAFCO 400 '!$H$8*(J142^3)+'CAFCO 400 '!$H$9*(J142^2)+'CAFCO 400 '!$H$10*J142+'CAFCO 400 '!$H$11)*U142^2)+(('CAFCO 400 '!$H$12*(J142^3)+'CAFCO 400 '!$H$13*(J142^2)+'CAFCO 400 '!$H$14*J142+'CAFCO 400 '!$H$15)*U142)+('CAFCO 400 '!$H$16*(J142^2)+'CAFCO 400 '!$H$17*J142+'CAFCO 400 '!$H$18)),0)+IF(AND(L142="Cafco 400",M142="Software Idiem",C142="Cj"),(((('CAFCO 400 '!$D$7*LN(J142)+'CAFCO 400 '!$D$8)*U142^2)+(('CAFCO 400 '!$D$9*LN(J142)+'CAFCO 400 '!$D$10)*U142)+('CAFCO 400 '!$D$11*LN(J142)+'CAFCO 400 '!$D$12))),0)+IF(AND(L142="Cafco 400",M142="Software Idiem",C142="C"),((('CAFCO 400 '!$L$7*(J142^3)+'CAFCO 400 '!$L$8*(J142^2)+'CAFCO 400 '!$L$9*J142+'CAFCO 400 '!$L$10)*U142^2)+(('CAFCO 400 '!$L$11*(J142^3)+'CAFCO 400 '!$L$12*(J142^2)+'CAFCO 400 '!$L$13*J142+'CAFCO 400 '!$L$14)*U142)+('CAFCO 400 '!$L$15*LN(J142)+'CAFCO 400 '!$L$16)),0)+IF(AND(L142="Cafco 400",M142="Software Idiem",C142="L"),((('CAFCO 400 '!$L$7*(J142^3)+'CAFCO 400 '!$L$8*(J142^2)+'CAFCO 400 '!$L$9*J142+'CAFCO 400 '!$L$10)*U142^2)+(('CAFCO 400 '!$L$11*(J142^3)+'CAFCO 400 '!$L$12*(J142^2)+'CAFCO 400 '!$L$13*J142+'CAFCO 400 '!$L$14)*U142)+('CAFCO 400 '!$L$15*LN(J142)+'CAFCO 400 '!$L$16)),0)+IF(AND(L142="Cafco 400",M142="Software Idiem",C142="IN",G142=3),((('CAFCO 400 '!$D$23*(J142^2)+'CAFCO 400 '!$D$24*(J142)+'CAFCO 400 '!$D$25)*U142^2)+(('CAFCO 400 '!$D$26*(J142^2)+'CAFCO 400 '!$D$27*J142+'CAFCO 400 '!$D$28)*U142)+('CAFCO 400 '!$D$29*(J142^2)+'CAFCO 400 '!$D$30*J142+'CAFCO 400 '!$D$31)),0),0)+IF(AND(L142="Cafco 300",J142&gt;=95,J142&lt;=240,C142="Cj",I142=90),VLOOKUP(T142,'CAFCO 300 IDIEM TABLAS'!$B$4:$D$23,2,FALSE),0)+IF(AND(L142="Cafco 300",J142&gt;=95,J142&lt;=240,C142="Cj",I142=120),VLOOKUP(T142,'CAFCO 300 IDIEM TABLAS'!$B$4:$D$23,3,FALSE),0)+IF(AND(L142="Cafco 300",J142&gt;=95,J142&lt;=400,G142=3,C142="IN",I142=90),VLOOKUP(T142,'CAFCO 300 IDIEM TABLAS'!$F$4:$H$35,2,FALSE),0)+IF(AND(L142="Cafco 300",J142&gt;=95,J142&lt;=400,G142=3,C142="IN",I142=120),VLOOKUP(T142,'CAFCO 300 IDIEM TABLAS'!$F$4:$H$35,3,FALSE),0)+IF(AND(L142="Cafco 300",J142&gt;=95,J142&lt;=450,G142=4,C142="IN",I142=90),VLOOKUP(T142,'CAFCO 300 IDIEM TABLAS'!$J$4:$L$40,2,FALSE),0)+IF(AND(L142="Cafco 300",J142&gt;=95,J142&lt;=450,G142=4,C142="IN",I142=120),VLOOKUP(T142,'CAFCO 300 IDIEM TABLAS'!$J$4:$L$40,3,FALSE),0)+IF(AND(M142="Ensayo Idiem",L142="Cafco 400",C142="IN",G142=4,I142=90),VLOOKUP(T142,'CAFCO 400 ENSAYO'!$B$7:$D$43,2,FALSE),0)+IF(AND(M142="Ensayo Idiem",L142="Cafco 400",C142="IN",G142=4,I142=120),VLOOKUP(T142,'CAFCO 400 ENSAYO'!$B$7:$D$43,3,FALSE),0)</f>
        <v>0</v>
      </c>
      <c r="O142" s="96">
        <f t="shared" si="21"/>
        <v>0</v>
      </c>
      <c r="P142" s="95" t="str">
        <f t="shared" si="22"/>
        <v>N/A</v>
      </c>
      <c r="Q142" s="95" t="str">
        <f t="shared" si="23"/>
        <v>N/A</v>
      </c>
      <c r="R142" s="95" t="str">
        <f t="shared" si="24"/>
        <v>NO CERT.</v>
      </c>
      <c r="S142" s="95" t="e">
        <f t="shared" si="19"/>
        <v>#N/A</v>
      </c>
      <c r="T142" s="119" t="e">
        <f>+IF(J142=LOOKUP(J142,'CAFCO 300 IDIEM TABLAS'!$J$4:$J$40),'CALCULO MORTERO'!J142,MROUND('CALCULO MORTERO'!J142,10))</f>
        <v>#N/A</v>
      </c>
      <c r="U142" s="118">
        <f t="shared" si="20"/>
        <v>0</v>
      </c>
      <c r="Y142" s="4"/>
      <c r="Z142" s="4"/>
      <c r="AA142" s="4"/>
    </row>
    <row r="143" spans="1:27" x14ac:dyDescent="0.25">
      <c r="A143" s="118">
        <f>+CUBICACION!D137</f>
        <v>0</v>
      </c>
      <c r="B143" s="819">
        <f>+CUBICACION!E137</f>
        <v>0</v>
      </c>
      <c r="C143" s="675">
        <f>+CUBICACION!F137</f>
        <v>0</v>
      </c>
      <c r="D143" s="118"/>
      <c r="E143" s="118"/>
      <c r="F143" s="820"/>
      <c r="G143" s="675">
        <f>+CUBICACION!J137</f>
        <v>0</v>
      </c>
      <c r="H143" s="118"/>
      <c r="I143" s="821">
        <f>+CUBICACION!L137</f>
        <v>0</v>
      </c>
      <c r="J143" s="64">
        <f>+CUBICACION!M137</f>
        <v>0</v>
      </c>
      <c r="K143" s="822" t="str">
        <f>+CUBICACION!N137</f>
        <v/>
      </c>
      <c r="L143" s="118">
        <f>+CUBICACION!O137</f>
        <v>0</v>
      </c>
      <c r="M143" s="823">
        <f>+CUBICACION!P137</f>
        <v>0</v>
      </c>
      <c r="N143" s="902">
        <f>ROUND(IF(AND(L143="Blaze Shield II",M143="Software Idiem",C143="IN",G143=4),((('BLAZE SHIELD II'!$D$4*('CALCULO MORTERO'!I143^2)+'BLAZE SHIELD II'!$D$5*'CALCULO MORTERO'!I143+'BLAZE SHIELD II'!$D$6)*LN(J143))+('BLAZE SHIELD II'!$D$7*('CALCULO MORTERO'!I143^2)+'BLAZE SHIELD II'!$D$8*'CALCULO MORTERO'!I143+'BLAZE SHIELD II'!$D$9)),0)+IF(AND(L143="Blaze Shield II",M143="Software Idiem",C143="Cj"),((('BLAZE SHIELD II'!$H$4*('CALCULO MORTERO'!I143^2)+'BLAZE SHIELD II'!$H$5*'CALCULO MORTERO'!I143+'BLAZE SHIELD II'!$H$6)*LN(J143))+('BLAZE SHIELD II'!$H$7*('CALCULO MORTERO'!I143^2)+'BLAZE SHIELD II'!$H$8*'CALCULO MORTERO'!I143+'BLAZE SHIELD II'!$H$9)),0)+IF(AND(L143="Blaze Shield II",M143="Software Idiem",C143="C"),((('BLAZE SHIELD II'!$L$4*('CALCULO MORTERO'!I143^2)+'BLAZE SHIELD II'!$L$5*'CALCULO MORTERO'!I143+'BLAZE SHIELD II'!$L$6)*LN(J143))+('BLAZE SHIELD II'!$L$7*('CALCULO MORTERO'!I143^2)+'BLAZE SHIELD II'!$L$8*'CALCULO MORTERO'!I143+'BLAZE SHIELD II'!$L$9)),0)+IF(AND(L143="Blaze Shield II",M143="Software Idiem",C143="L"),((('BLAZE SHIELD II'!$L$4*('CALCULO MORTERO'!I143^2)+'BLAZE SHIELD II'!$L$5*'CALCULO MORTERO'!I143+'BLAZE SHIELD II'!$L$6)*LN(J143))+('BLAZE SHIELD II'!$L$7*('CALCULO MORTERO'!I143^2)+'BLAZE SHIELD II'!$L$8*'CALCULO MORTERO'!I143+'BLAZE SHIELD II'!$L$9)),0)+IF(AND(L143="Blaze Shield II",M143="Software Idiem",C143="IN",G143=3),((('BLAZE SHIELD II'!$H$14*('CALCULO MORTERO'!I143^2)+'BLAZE SHIELD II'!$H$15*'CALCULO MORTERO'!I143+'BLAZE SHIELD II'!$H$16)*LN(J143))+('BLAZE SHIELD II'!$H$17*('CALCULO MORTERO'!I143^2)+'BLAZE SHIELD II'!$H$18*'CALCULO MORTERO'!I143+'BLAZE SHIELD II'!$H$19)),0),0)+ROUND(IF(AND(L143="Cafco 400",M143="Software Idiem",C143="IN",G143=4),((('CAFCO 400 '!$H$7*(J143^4)+'CAFCO 400 '!$H$8*(J143^3)+'CAFCO 400 '!$H$9*(J143^2)+'CAFCO 400 '!$H$10*J143+'CAFCO 400 '!$H$11)*U143^2)+(('CAFCO 400 '!$H$12*(J143^3)+'CAFCO 400 '!$H$13*(J143^2)+'CAFCO 400 '!$H$14*J143+'CAFCO 400 '!$H$15)*U143)+('CAFCO 400 '!$H$16*(J143^2)+'CAFCO 400 '!$H$17*J143+'CAFCO 400 '!$H$18)),0)+IF(AND(L143="Cafco 400",M143="Software Idiem",C143="Cj"),(((('CAFCO 400 '!$D$7*LN(J143)+'CAFCO 400 '!$D$8)*U143^2)+(('CAFCO 400 '!$D$9*LN(J143)+'CAFCO 400 '!$D$10)*U143)+('CAFCO 400 '!$D$11*LN(J143)+'CAFCO 400 '!$D$12))),0)+IF(AND(L143="Cafco 400",M143="Software Idiem",C143="C"),((('CAFCO 400 '!$L$7*(J143^3)+'CAFCO 400 '!$L$8*(J143^2)+'CAFCO 400 '!$L$9*J143+'CAFCO 400 '!$L$10)*U143^2)+(('CAFCO 400 '!$L$11*(J143^3)+'CAFCO 400 '!$L$12*(J143^2)+'CAFCO 400 '!$L$13*J143+'CAFCO 400 '!$L$14)*U143)+('CAFCO 400 '!$L$15*LN(J143)+'CAFCO 400 '!$L$16)),0)+IF(AND(L143="Cafco 400",M143="Software Idiem",C143="L"),((('CAFCO 400 '!$L$7*(J143^3)+'CAFCO 400 '!$L$8*(J143^2)+'CAFCO 400 '!$L$9*J143+'CAFCO 400 '!$L$10)*U143^2)+(('CAFCO 400 '!$L$11*(J143^3)+'CAFCO 400 '!$L$12*(J143^2)+'CAFCO 400 '!$L$13*J143+'CAFCO 400 '!$L$14)*U143)+('CAFCO 400 '!$L$15*LN(J143)+'CAFCO 400 '!$L$16)),0)+IF(AND(L143="Cafco 400",M143="Software Idiem",C143="IN",G143=3),((('CAFCO 400 '!$D$23*(J143^2)+'CAFCO 400 '!$D$24*(J143)+'CAFCO 400 '!$D$25)*U143^2)+(('CAFCO 400 '!$D$26*(J143^2)+'CAFCO 400 '!$D$27*J143+'CAFCO 400 '!$D$28)*U143)+('CAFCO 400 '!$D$29*(J143^2)+'CAFCO 400 '!$D$30*J143+'CAFCO 400 '!$D$31)),0),0)+IF(AND(L143="Cafco 300",J143&gt;=95,J143&lt;=240,C143="Cj",I143=90),VLOOKUP(T143,'CAFCO 300 IDIEM TABLAS'!$B$4:$D$23,2,FALSE),0)+IF(AND(L143="Cafco 300",J143&gt;=95,J143&lt;=240,C143="Cj",I143=120),VLOOKUP(T143,'CAFCO 300 IDIEM TABLAS'!$B$4:$D$23,3,FALSE),0)+IF(AND(L143="Cafco 300",J143&gt;=95,J143&lt;=400,G143=3,C143="IN",I143=90),VLOOKUP(T143,'CAFCO 300 IDIEM TABLAS'!$F$4:$H$35,2,FALSE),0)+IF(AND(L143="Cafco 300",J143&gt;=95,J143&lt;=400,G143=3,C143="IN",I143=120),VLOOKUP(T143,'CAFCO 300 IDIEM TABLAS'!$F$4:$H$35,3,FALSE),0)+IF(AND(L143="Cafco 300",J143&gt;=95,J143&lt;=450,G143=4,C143="IN",I143=90),VLOOKUP(T143,'CAFCO 300 IDIEM TABLAS'!$J$4:$L$40,2,FALSE),0)+IF(AND(L143="Cafco 300",J143&gt;=95,J143&lt;=450,G143=4,C143="IN",I143=120),VLOOKUP(T143,'CAFCO 300 IDIEM TABLAS'!$J$4:$L$40,3,FALSE),0)+IF(AND(M143="Ensayo Idiem",L143="Cafco 400",C143="IN",G143=4,I143=90),VLOOKUP(T143,'CAFCO 400 ENSAYO'!$B$7:$D$43,2,FALSE),0)+IF(AND(M143="Ensayo Idiem",L143="Cafco 400",C143="IN",G143=4,I143=120),VLOOKUP(T143,'CAFCO 400 ENSAYO'!$B$7:$D$43,3,FALSE),0)</f>
        <v>0</v>
      </c>
      <c r="O143" s="96">
        <f t="shared" si="21"/>
        <v>0</v>
      </c>
      <c r="P143" s="95" t="str">
        <f t="shared" si="22"/>
        <v>N/A</v>
      </c>
      <c r="Q143" s="95" t="str">
        <f t="shared" si="23"/>
        <v>N/A</v>
      </c>
      <c r="R143" s="95" t="str">
        <f t="shared" si="24"/>
        <v>NO CERT.</v>
      </c>
      <c r="S143" s="95" t="e">
        <f t="shared" si="19"/>
        <v>#N/A</v>
      </c>
      <c r="T143" s="119" t="e">
        <f>+IF(J143=LOOKUP(J143,'CAFCO 300 IDIEM TABLAS'!$J$4:$J$40),'CALCULO MORTERO'!J143,MROUND('CALCULO MORTERO'!J143,10))</f>
        <v>#N/A</v>
      </c>
      <c r="U143" s="118">
        <f t="shared" si="20"/>
        <v>0</v>
      </c>
      <c r="Y143" s="4"/>
      <c r="Z143" s="4"/>
      <c r="AA143" s="4"/>
    </row>
    <row r="144" spans="1:27" ht="15.6" customHeight="1" x14ac:dyDescent="0.25">
      <c r="A144" s="118">
        <f>+CUBICACION!D138</f>
        <v>0</v>
      </c>
      <c r="B144" s="819">
        <f>+CUBICACION!E138</f>
        <v>0</v>
      </c>
      <c r="C144" s="675">
        <f>+CUBICACION!F138</f>
        <v>0</v>
      </c>
      <c r="D144" s="118"/>
      <c r="E144" s="118"/>
      <c r="F144" s="820"/>
      <c r="G144" s="675">
        <f>+CUBICACION!J138</f>
        <v>0</v>
      </c>
      <c r="H144" s="118"/>
      <c r="I144" s="821">
        <f>+CUBICACION!L138</f>
        <v>0</v>
      </c>
      <c r="J144" s="64">
        <f>+CUBICACION!M138</f>
        <v>0</v>
      </c>
      <c r="K144" s="822" t="str">
        <f>+CUBICACION!N138</f>
        <v/>
      </c>
      <c r="L144" s="118">
        <f>+CUBICACION!O138</f>
        <v>0</v>
      </c>
      <c r="M144" s="823">
        <f>+CUBICACION!P138</f>
        <v>0</v>
      </c>
      <c r="N144" s="902">
        <f>ROUND(IF(AND(L144="Blaze Shield II",M144="Software Idiem",C144="IN",G144=4),((('BLAZE SHIELD II'!$D$4*('CALCULO MORTERO'!I144^2)+'BLAZE SHIELD II'!$D$5*'CALCULO MORTERO'!I144+'BLAZE SHIELD II'!$D$6)*LN(J144))+('BLAZE SHIELD II'!$D$7*('CALCULO MORTERO'!I144^2)+'BLAZE SHIELD II'!$D$8*'CALCULO MORTERO'!I144+'BLAZE SHIELD II'!$D$9)),0)+IF(AND(L144="Blaze Shield II",M144="Software Idiem",C144="Cj"),((('BLAZE SHIELD II'!$H$4*('CALCULO MORTERO'!I144^2)+'BLAZE SHIELD II'!$H$5*'CALCULO MORTERO'!I144+'BLAZE SHIELD II'!$H$6)*LN(J144))+('BLAZE SHIELD II'!$H$7*('CALCULO MORTERO'!I144^2)+'BLAZE SHIELD II'!$H$8*'CALCULO MORTERO'!I144+'BLAZE SHIELD II'!$H$9)),0)+IF(AND(L144="Blaze Shield II",M144="Software Idiem",C144="C"),((('BLAZE SHIELD II'!$L$4*('CALCULO MORTERO'!I144^2)+'BLAZE SHIELD II'!$L$5*'CALCULO MORTERO'!I144+'BLAZE SHIELD II'!$L$6)*LN(J144))+('BLAZE SHIELD II'!$L$7*('CALCULO MORTERO'!I144^2)+'BLAZE SHIELD II'!$L$8*'CALCULO MORTERO'!I144+'BLAZE SHIELD II'!$L$9)),0)+IF(AND(L144="Blaze Shield II",M144="Software Idiem",C144="L"),((('BLAZE SHIELD II'!$L$4*('CALCULO MORTERO'!I144^2)+'BLAZE SHIELD II'!$L$5*'CALCULO MORTERO'!I144+'BLAZE SHIELD II'!$L$6)*LN(J144))+('BLAZE SHIELD II'!$L$7*('CALCULO MORTERO'!I144^2)+'BLAZE SHIELD II'!$L$8*'CALCULO MORTERO'!I144+'BLAZE SHIELD II'!$L$9)),0)+IF(AND(L144="Blaze Shield II",M144="Software Idiem",C144="IN",G144=3),((('BLAZE SHIELD II'!$H$14*('CALCULO MORTERO'!I144^2)+'BLAZE SHIELD II'!$H$15*'CALCULO MORTERO'!I144+'BLAZE SHIELD II'!$H$16)*LN(J144))+('BLAZE SHIELD II'!$H$17*('CALCULO MORTERO'!I144^2)+'BLAZE SHIELD II'!$H$18*'CALCULO MORTERO'!I144+'BLAZE SHIELD II'!$H$19)),0),0)+ROUND(IF(AND(L144="Cafco 400",M144="Software Idiem",C144="IN",G144=4),((('CAFCO 400 '!$H$7*(J144^4)+'CAFCO 400 '!$H$8*(J144^3)+'CAFCO 400 '!$H$9*(J144^2)+'CAFCO 400 '!$H$10*J144+'CAFCO 400 '!$H$11)*U144^2)+(('CAFCO 400 '!$H$12*(J144^3)+'CAFCO 400 '!$H$13*(J144^2)+'CAFCO 400 '!$H$14*J144+'CAFCO 400 '!$H$15)*U144)+('CAFCO 400 '!$H$16*(J144^2)+'CAFCO 400 '!$H$17*J144+'CAFCO 400 '!$H$18)),0)+IF(AND(L144="Cafco 400",M144="Software Idiem",C144="Cj"),(((('CAFCO 400 '!$D$7*LN(J144)+'CAFCO 400 '!$D$8)*U144^2)+(('CAFCO 400 '!$D$9*LN(J144)+'CAFCO 400 '!$D$10)*U144)+('CAFCO 400 '!$D$11*LN(J144)+'CAFCO 400 '!$D$12))),0)+IF(AND(L144="Cafco 400",M144="Software Idiem",C144="C"),((('CAFCO 400 '!$L$7*(J144^3)+'CAFCO 400 '!$L$8*(J144^2)+'CAFCO 400 '!$L$9*J144+'CAFCO 400 '!$L$10)*U144^2)+(('CAFCO 400 '!$L$11*(J144^3)+'CAFCO 400 '!$L$12*(J144^2)+'CAFCO 400 '!$L$13*J144+'CAFCO 400 '!$L$14)*U144)+('CAFCO 400 '!$L$15*LN(J144)+'CAFCO 400 '!$L$16)),0)+IF(AND(L144="Cafco 400",M144="Software Idiem",C144="L"),((('CAFCO 400 '!$L$7*(J144^3)+'CAFCO 400 '!$L$8*(J144^2)+'CAFCO 400 '!$L$9*J144+'CAFCO 400 '!$L$10)*U144^2)+(('CAFCO 400 '!$L$11*(J144^3)+'CAFCO 400 '!$L$12*(J144^2)+'CAFCO 400 '!$L$13*J144+'CAFCO 400 '!$L$14)*U144)+('CAFCO 400 '!$L$15*LN(J144)+'CAFCO 400 '!$L$16)),0)+IF(AND(L144="Cafco 400",M144="Software Idiem",C144="IN",G144=3),((('CAFCO 400 '!$D$23*(J144^2)+'CAFCO 400 '!$D$24*(J144)+'CAFCO 400 '!$D$25)*U144^2)+(('CAFCO 400 '!$D$26*(J144^2)+'CAFCO 400 '!$D$27*J144+'CAFCO 400 '!$D$28)*U144)+('CAFCO 400 '!$D$29*(J144^2)+'CAFCO 400 '!$D$30*J144+'CAFCO 400 '!$D$31)),0),0)+IF(AND(L144="Cafco 300",J144&gt;=95,J144&lt;=240,C144="Cj",I144=90),VLOOKUP(T144,'CAFCO 300 IDIEM TABLAS'!$B$4:$D$23,2,FALSE),0)+IF(AND(L144="Cafco 300",J144&gt;=95,J144&lt;=240,C144="Cj",I144=120),VLOOKUP(T144,'CAFCO 300 IDIEM TABLAS'!$B$4:$D$23,3,FALSE),0)+IF(AND(L144="Cafco 300",J144&gt;=95,J144&lt;=400,G144=3,C144="IN",I144=90),VLOOKUP(T144,'CAFCO 300 IDIEM TABLAS'!$F$4:$H$35,2,FALSE),0)+IF(AND(L144="Cafco 300",J144&gt;=95,J144&lt;=400,G144=3,C144="IN",I144=120),VLOOKUP(T144,'CAFCO 300 IDIEM TABLAS'!$F$4:$H$35,3,FALSE),0)+IF(AND(L144="Cafco 300",J144&gt;=95,J144&lt;=450,G144=4,C144="IN",I144=90),VLOOKUP(T144,'CAFCO 300 IDIEM TABLAS'!$J$4:$L$40,2,FALSE),0)+IF(AND(L144="Cafco 300",J144&gt;=95,J144&lt;=450,G144=4,C144="IN",I144=120),VLOOKUP(T144,'CAFCO 300 IDIEM TABLAS'!$J$4:$L$40,3,FALSE),0)+IF(AND(M144="Ensayo Idiem",L144="Cafco 400",C144="IN",G144=4,I144=90),VLOOKUP(T144,'CAFCO 400 ENSAYO'!$B$7:$D$43,2,FALSE),0)+IF(AND(M144="Ensayo Idiem",L144="Cafco 400",C144="IN",G144=4,I144=120),VLOOKUP(T144,'CAFCO 400 ENSAYO'!$B$7:$D$43,3,FALSE),0)</f>
        <v>0</v>
      </c>
      <c r="O144" s="96">
        <f t="shared" si="21"/>
        <v>0</v>
      </c>
      <c r="P144" s="95" t="str">
        <f t="shared" si="22"/>
        <v>N/A</v>
      </c>
      <c r="Q144" s="95" t="str">
        <f t="shared" si="23"/>
        <v>N/A</v>
      </c>
      <c r="R144" s="95" t="str">
        <f t="shared" si="24"/>
        <v>NO CERT.</v>
      </c>
      <c r="S144" s="95" t="e">
        <f t="shared" si="19"/>
        <v>#N/A</v>
      </c>
      <c r="T144" s="119" t="e">
        <f>+IF(J144=LOOKUP(J144,'CAFCO 300 IDIEM TABLAS'!$J$4:$J$40),'CALCULO MORTERO'!J144,MROUND('CALCULO MORTERO'!J144,10))</f>
        <v>#N/A</v>
      </c>
      <c r="U144" s="118">
        <f t="shared" si="20"/>
        <v>0</v>
      </c>
      <c r="Y144" s="4"/>
      <c r="Z144" s="4"/>
      <c r="AA144" s="4"/>
    </row>
    <row r="145" spans="1:27" x14ac:dyDescent="0.25">
      <c r="A145" s="118">
        <f>+CUBICACION!D139</f>
        <v>0</v>
      </c>
      <c r="B145" s="819">
        <f>+CUBICACION!E139</f>
        <v>0</v>
      </c>
      <c r="C145" s="675">
        <f>+CUBICACION!F139</f>
        <v>0</v>
      </c>
      <c r="D145" s="118"/>
      <c r="E145" s="118"/>
      <c r="F145" s="820"/>
      <c r="G145" s="675">
        <f>+CUBICACION!J139</f>
        <v>0</v>
      </c>
      <c r="H145" s="118"/>
      <c r="I145" s="821">
        <f>+CUBICACION!L139</f>
        <v>0</v>
      </c>
      <c r="J145" s="64">
        <f>+CUBICACION!M139</f>
        <v>0</v>
      </c>
      <c r="K145" s="822" t="str">
        <f>+CUBICACION!N139</f>
        <v/>
      </c>
      <c r="L145" s="118">
        <f>+CUBICACION!O139</f>
        <v>0</v>
      </c>
      <c r="M145" s="823">
        <f>+CUBICACION!P139</f>
        <v>0</v>
      </c>
      <c r="N145" s="902">
        <f>ROUND(IF(AND(L145="Blaze Shield II",M145="Software Idiem",C145="IN",G145=4),((('BLAZE SHIELD II'!$D$4*('CALCULO MORTERO'!I145^2)+'BLAZE SHIELD II'!$D$5*'CALCULO MORTERO'!I145+'BLAZE SHIELD II'!$D$6)*LN(J145))+('BLAZE SHIELD II'!$D$7*('CALCULO MORTERO'!I145^2)+'BLAZE SHIELD II'!$D$8*'CALCULO MORTERO'!I145+'BLAZE SHIELD II'!$D$9)),0)+IF(AND(L145="Blaze Shield II",M145="Software Idiem",C145="Cj"),((('BLAZE SHIELD II'!$H$4*('CALCULO MORTERO'!I145^2)+'BLAZE SHIELD II'!$H$5*'CALCULO MORTERO'!I145+'BLAZE SHIELD II'!$H$6)*LN(J145))+('BLAZE SHIELD II'!$H$7*('CALCULO MORTERO'!I145^2)+'BLAZE SHIELD II'!$H$8*'CALCULO MORTERO'!I145+'BLAZE SHIELD II'!$H$9)),0)+IF(AND(L145="Blaze Shield II",M145="Software Idiem",C145="C"),((('BLAZE SHIELD II'!$L$4*('CALCULO MORTERO'!I145^2)+'BLAZE SHIELD II'!$L$5*'CALCULO MORTERO'!I145+'BLAZE SHIELD II'!$L$6)*LN(J145))+('BLAZE SHIELD II'!$L$7*('CALCULO MORTERO'!I145^2)+'BLAZE SHIELD II'!$L$8*'CALCULO MORTERO'!I145+'BLAZE SHIELD II'!$L$9)),0)+IF(AND(L145="Blaze Shield II",M145="Software Idiem",C145="L"),((('BLAZE SHIELD II'!$L$4*('CALCULO MORTERO'!I145^2)+'BLAZE SHIELD II'!$L$5*'CALCULO MORTERO'!I145+'BLAZE SHIELD II'!$L$6)*LN(J145))+('BLAZE SHIELD II'!$L$7*('CALCULO MORTERO'!I145^2)+'BLAZE SHIELD II'!$L$8*'CALCULO MORTERO'!I145+'BLAZE SHIELD II'!$L$9)),0)+IF(AND(L145="Blaze Shield II",M145="Software Idiem",C145="IN",G145=3),((('BLAZE SHIELD II'!$H$14*('CALCULO MORTERO'!I145^2)+'BLAZE SHIELD II'!$H$15*'CALCULO MORTERO'!I145+'BLAZE SHIELD II'!$H$16)*LN(J145))+('BLAZE SHIELD II'!$H$17*('CALCULO MORTERO'!I145^2)+'BLAZE SHIELD II'!$H$18*'CALCULO MORTERO'!I145+'BLAZE SHIELD II'!$H$19)),0),0)+ROUND(IF(AND(L145="Cafco 400",M145="Software Idiem",C145="IN",G145=4),((('CAFCO 400 '!$H$7*(J145^4)+'CAFCO 400 '!$H$8*(J145^3)+'CAFCO 400 '!$H$9*(J145^2)+'CAFCO 400 '!$H$10*J145+'CAFCO 400 '!$H$11)*U145^2)+(('CAFCO 400 '!$H$12*(J145^3)+'CAFCO 400 '!$H$13*(J145^2)+'CAFCO 400 '!$H$14*J145+'CAFCO 400 '!$H$15)*U145)+('CAFCO 400 '!$H$16*(J145^2)+'CAFCO 400 '!$H$17*J145+'CAFCO 400 '!$H$18)),0)+IF(AND(L145="Cafco 400",M145="Software Idiem",C145="Cj"),(((('CAFCO 400 '!$D$7*LN(J145)+'CAFCO 400 '!$D$8)*U145^2)+(('CAFCO 400 '!$D$9*LN(J145)+'CAFCO 400 '!$D$10)*U145)+('CAFCO 400 '!$D$11*LN(J145)+'CAFCO 400 '!$D$12))),0)+IF(AND(L145="Cafco 400",M145="Software Idiem",C145="C"),((('CAFCO 400 '!$L$7*(J145^3)+'CAFCO 400 '!$L$8*(J145^2)+'CAFCO 400 '!$L$9*J145+'CAFCO 400 '!$L$10)*U145^2)+(('CAFCO 400 '!$L$11*(J145^3)+'CAFCO 400 '!$L$12*(J145^2)+'CAFCO 400 '!$L$13*J145+'CAFCO 400 '!$L$14)*U145)+('CAFCO 400 '!$L$15*LN(J145)+'CAFCO 400 '!$L$16)),0)+IF(AND(L145="Cafco 400",M145="Software Idiem",C145="L"),((('CAFCO 400 '!$L$7*(J145^3)+'CAFCO 400 '!$L$8*(J145^2)+'CAFCO 400 '!$L$9*J145+'CAFCO 400 '!$L$10)*U145^2)+(('CAFCO 400 '!$L$11*(J145^3)+'CAFCO 400 '!$L$12*(J145^2)+'CAFCO 400 '!$L$13*J145+'CAFCO 400 '!$L$14)*U145)+('CAFCO 400 '!$L$15*LN(J145)+'CAFCO 400 '!$L$16)),0)+IF(AND(L145="Cafco 400",M145="Software Idiem",C145="IN",G145=3),((('CAFCO 400 '!$D$23*(J145^2)+'CAFCO 400 '!$D$24*(J145)+'CAFCO 400 '!$D$25)*U145^2)+(('CAFCO 400 '!$D$26*(J145^2)+'CAFCO 400 '!$D$27*J145+'CAFCO 400 '!$D$28)*U145)+('CAFCO 400 '!$D$29*(J145^2)+'CAFCO 400 '!$D$30*J145+'CAFCO 400 '!$D$31)),0),0)+IF(AND(L145="Cafco 300",J145&gt;=95,J145&lt;=240,C145="Cj",I145=90),VLOOKUP(T145,'CAFCO 300 IDIEM TABLAS'!$B$4:$D$23,2,FALSE),0)+IF(AND(L145="Cafco 300",J145&gt;=95,J145&lt;=240,C145="Cj",I145=120),VLOOKUP(T145,'CAFCO 300 IDIEM TABLAS'!$B$4:$D$23,3,FALSE),0)+IF(AND(L145="Cafco 300",J145&gt;=95,J145&lt;=400,G145=3,C145="IN",I145=90),VLOOKUP(T145,'CAFCO 300 IDIEM TABLAS'!$F$4:$H$35,2,FALSE),0)+IF(AND(L145="Cafco 300",J145&gt;=95,J145&lt;=400,G145=3,C145="IN",I145=120),VLOOKUP(T145,'CAFCO 300 IDIEM TABLAS'!$F$4:$H$35,3,FALSE),0)+IF(AND(L145="Cafco 300",J145&gt;=95,J145&lt;=450,G145=4,C145="IN",I145=90),VLOOKUP(T145,'CAFCO 300 IDIEM TABLAS'!$J$4:$L$40,2,FALSE),0)+IF(AND(L145="Cafco 300",J145&gt;=95,J145&lt;=450,G145=4,C145="IN",I145=120),VLOOKUP(T145,'CAFCO 300 IDIEM TABLAS'!$J$4:$L$40,3,FALSE),0)+IF(AND(M145="Ensayo Idiem",L145="Cafco 400",C145="IN",G145=4,I145=90),VLOOKUP(T145,'CAFCO 400 ENSAYO'!$B$7:$D$43,2,FALSE),0)+IF(AND(M145="Ensayo Idiem",L145="Cafco 400",C145="IN",G145=4,I145=120),VLOOKUP(T145,'CAFCO 400 ENSAYO'!$B$7:$D$43,3,FALSE),0)</f>
        <v>0</v>
      </c>
      <c r="O145" s="96">
        <f t="shared" si="21"/>
        <v>0</v>
      </c>
      <c r="P145" s="95" t="str">
        <f t="shared" si="22"/>
        <v>N/A</v>
      </c>
      <c r="Q145" s="95" t="str">
        <f t="shared" si="23"/>
        <v>N/A</v>
      </c>
      <c r="R145" s="95" t="str">
        <f t="shared" si="24"/>
        <v>NO CERT.</v>
      </c>
      <c r="S145" s="95" t="e">
        <f t="shared" si="19"/>
        <v>#N/A</v>
      </c>
      <c r="T145" s="119" t="e">
        <f>+IF(J145=LOOKUP(J145,'CAFCO 300 IDIEM TABLAS'!$J$4:$J$40),'CALCULO MORTERO'!J145,MROUND('CALCULO MORTERO'!J145,10))</f>
        <v>#N/A</v>
      </c>
      <c r="U145" s="118">
        <f t="shared" si="20"/>
        <v>0</v>
      </c>
      <c r="Y145" s="4"/>
      <c r="Z145" s="4"/>
      <c r="AA145" s="4"/>
    </row>
    <row r="146" spans="1:27" ht="15.6" customHeight="1" x14ac:dyDescent="0.25">
      <c r="A146" s="118">
        <f>+CUBICACION!D140</f>
        <v>0</v>
      </c>
      <c r="B146" s="819">
        <f>+CUBICACION!E140</f>
        <v>0</v>
      </c>
      <c r="C146" s="675">
        <f>+CUBICACION!F140</f>
        <v>0</v>
      </c>
      <c r="D146" s="118"/>
      <c r="E146" s="118"/>
      <c r="F146" s="820"/>
      <c r="G146" s="675">
        <f>+CUBICACION!J140</f>
        <v>0</v>
      </c>
      <c r="H146" s="118"/>
      <c r="I146" s="821">
        <f>+CUBICACION!L140</f>
        <v>0</v>
      </c>
      <c r="J146" s="64">
        <f>+CUBICACION!M140</f>
        <v>0</v>
      </c>
      <c r="K146" s="822" t="str">
        <f>+CUBICACION!N140</f>
        <v/>
      </c>
      <c r="L146" s="118">
        <f>+CUBICACION!O140</f>
        <v>0</v>
      </c>
      <c r="M146" s="823">
        <f>+CUBICACION!P140</f>
        <v>0</v>
      </c>
      <c r="N146" s="902">
        <f>ROUND(IF(AND(L146="Blaze Shield II",M146="Software Idiem",C146="IN",G146=4),((('BLAZE SHIELD II'!$D$4*('CALCULO MORTERO'!I146^2)+'BLAZE SHIELD II'!$D$5*'CALCULO MORTERO'!I146+'BLAZE SHIELD II'!$D$6)*LN(J146))+('BLAZE SHIELD II'!$D$7*('CALCULO MORTERO'!I146^2)+'BLAZE SHIELD II'!$D$8*'CALCULO MORTERO'!I146+'BLAZE SHIELD II'!$D$9)),0)+IF(AND(L146="Blaze Shield II",M146="Software Idiem",C146="Cj"),((('BLAZE SHIELD II'!$H$4*('CALCULO MORTERO'!I146^2)+'BLAZE SHIELD II'!$H$5*'CALCULO MORTERO'!I146+'BLAZE SHIELD II'!$H$6)*LN(J146))+('BLAZE SHIELD II'!$H$7*('CALCULO MORTERO'!I146^2)+'BLAZE SHIELD II'!$H$8*'CALCULO MORTERO'!I146+'BLAZE SHIELD II'!$H$9)),0)+IF(AND(L146="Blaze Shield II",M146="Software Idiem",C146="C"),((('BLAZE SHIELD II'!$L$4*('CALCULO MORTERO'!I146^2)+'BLAZE SHIELD II'!$L$5*'CALCULO MORTERO'!I146+'BLAZE SHIELD II'!$L$6)*LN(J146))+('BLAZE SHIELD II'!$L$7*('CALCULO MORTERO'!I146^2)+'BLAZE SHIELD II'!$L$8*'CALCULO MORTERO'!I146+'BLAZE SHIELD II'!$L$9)),0)+IF(AND(L146="Blaze Shield II",M146="Software Idiem",C146="L"),((('BLAZE SHIELD II'!$L$4*('CALCULO MORTERO'!I146^2)+'BLAZE SHIELD II'!$L$5*'CALCULO MORTERO'!I146+'BLAZE SHIELD II'!$L$6)*LN(J146))+('BLAZE SHIELD II'!$L$7*('CALCULO MORTERO'!I146^2)+'BLAZE SHIELD II'!$L$8*'CALCULO MORTERO'!I146+'BLAZE SHIELD II'!$L$9)),0)+IF(AND(L146="Blaze Shield II",M146="Software Idiem",C146="IN",G146=3),((('BLAZE SHIELD II'!$H$14*('CALCULO MORTERO'!I146^2)+'BLAZE SHIELD II'!$H$15*'CALCULO MORTERO'!I146+'BLAZE SHIELD II'!$H$16)*LN(J146))+('BLAZE SHIELD II'!$H$17*('CALCULO MORTERO'!I146^2)+'BLAZE SHIELD II'!$H$18*'CALCULO MORTERO'!I146+'BLAZE SHIELD II'!$H$19)),0),0)+ROUND(IF(AND(L146="Cafco 400",M146="Software Idiem",C146="IN",G146=4),((('CAFCO 400 '!$H$7*(J146^4)+'CAFCO 400 '!$H$8*(J146^3)+'CAFCO 400 '!$H$9*(J146^2)+'CAFCO 400 '!$H$10*J146+'CAFCO 400 '!$H$11)*U146^2)+(('CAFCO 400 '!$H$12*(J146^3)+'CAFCO 400 '!$H$13*(J146^2)+'CAFCO 400 '!$H$14*J146+'CAFCO 400 '!$H$15)*U146)+('CAFCO 400 '!$H$16*(J146^2)+'CAFCO 400 '!$H$17*J146+'CAFCO 400 '!$H$18)),0)+IF(AND(L146="Cafco 400",M146="Software Idiem",C146="Cj"),(((('CAFCO 400 '!$D$7*LN(J146)+'CAFCO 400 '!$D$8)*U146^2)+(('CAFCO 400 '!$D$9*LN(J146)+'CAFCO 400 '!$D$10)*U146)+('CAFCO 400 '!$D$11*LN(J146)+'CAFCO 400 '!$D$12))),0)+IF(AND(L146="Cafco 400",M146="Software Idiem",C146="C"),((('CAFCO 400 '!$L$7*(J146^3)+'CAFCO 400 '!$L$8*(J146^2)+'CAFCO 400 '!$L$9*J146+'CAFCO 400 '!$L$10)*U146^2)+(('CAFCO 400 '!$L$11*(J146^3)+'CAFCO 400 '!$L$12*(J146^2)+'CAFCO 400 '!$L$13*J146+'CAFCO 400 '!$L$14)*U146)+('CAFCO 400 '!$L$15*LN(J146)+'CAFCO 400 '!$L$16)),0)+IF(AND(L146="Cafco 400",M146="Software Idiem",C146="L"),((('CAFCO 400 '!$L$7*(J146^3)+'CAFCO 400 '!$L$8*(J146^2)+'CAFCO 400 '!$L$9*J146+'CAFCO 400 '!$L$10)*U146^2)+(('CAFCO 400 '!$L$11*(J146^3)+'CAFCO 400 '!$L$12*(J146^2)+'CAFCO 400 '!$L$13*J146+'CAFCO 400 '!$L$14)*U146)+('CAFCO 400 '!$L$15*LN(J146)+'CAFCO 400 '!$L$16)),0)+IF(AND(L146="Cafco 400",M146="Software Idiem",C146="IN",G146=3),((('CAFCO 400 '!$D$23*(J146^2)+'CAFCO 400 '!$D$24*(J146)+'CAFCO 400 '!$D$25)*U146^2)+(('CAFCO 400 '!$D$26*(J146^2)+'CAFCO 400 '!$D$27*J146+'CAFCO 400 '!$D$28)*U146)+('CAFCO 400 '!$D$29*(J146^2)+'CAFCO 400 '!$D$30*J146+'CAFCO 400 '!$D$31)),0),0)+IF(AND(L146="Cafco 300",J146&gt;=95,J146&lt;=240,C146="Cj",I146=90),VLOOKUP(T146,'CAFCO 300 IDIEM TABLAS'!$B$4:$D$23,2,FALSE),0)+IF(AND(L146="Cafco 300",J146&gt;=95,J146&lt;=240,C146="Cj",I146=120),VLOOKUP(T146,'CAFCO 300 IDIEM TABLAS'!$B$4:$D$23,3,FALSE),0)+IF(AND(L146="Cafco 300",J146&gt;=95,J146&lt;=400,G146=3,C146="IN",I146=90),VLOOKUP(T146,'CAFCO 300 IDIEM TABLAS'!$F$4:$H$35,2,FALSE),0)+IF(AND(L146="Cafco 300",J146&gt;=95,J146&lt;=400,G146=3,C146="IN",I146=120),VLOOKUP(T146,'CAFCO 300 IDIEM TABLAS'!$F$4:$H$35,3,FALSE),0)+IF(AND(L146="Cafco 300",J146&gt;=95,J146&lt;=450,G146=4,C146="IN",I146=90),VLOOKUP(T146,'CAFCO 300 IDIEM TABLAS'!$J$4:$L$40,2,FALSE),0)+IF(AND(L146="Cafco 300",J146&gt;=95,J146&lt;=450,G146=4,C146="IN",I146=120),VLOOKUP(T146,'CAFCO 300 IDIEM TABLAS'!$J$4:$L$40,3,FALSE),0)+IF(AND(M146="Ensayo Idiem",L146="Cafco 400",C146="IN",G146=4,I146=90),VLOOKUP(T146,'CAFCO 400 ENSAYO'!$B$7:$D$43,2,FALSE),0)+IF(AND(M146="Ensayo Idiem",L146="Cafco 400",C146="IN",G146=4,I146=120),VLOOKUP(T146,'CAFCO 400 ENSAYO'!$B$7:$D$43,3,FALSE),0)</f>
        <v>0</v>
      </c>
      <c r="O146" s="96">
        <f t="shared" si="21"/>
        <v>0</v>
      </c>
      <c r="P146" s="95" t="str">
        <f t="shared" si="22"/>
        <v>N/A</v>
      </c>
      <c r="Q146" s="95" t="str">
        <f t="shared" si="23"/>
        <v>N/A</v>
      </c>
      <c r="R146" s="95" t="str">
        <f t="shared" si="24"/>
        <v>NO CERT.</v>
      </c>
      <c r="S146" s="95" t="e">
        <f t="shared" si="19"/>
        <v>#N/A</v>
      </c>
      <c r="T146" s="119" t="e">
        <f>+IF(J146=LOOKUP(J146,'CAFCO 300 IDIEM TABLAS'!$J$4:$J$40),'CALCULO MORTERO'!J146,MROUND('CALCULO MORTERO'!J146,10))</f>
        <v>#N/A</v>
      </c>
      <c r="U146" s="118">
        <f t="shared" si="20"/>
        <v>0</v>
      </c>
      <c r="Y146" s="4"/>
      <c r="Z146" s="4"/>
      <c r="AA146" s="4"/>
    </row>
    <row r="147" spans="1:27" x14ac:dyDescent="0.25">
      <c r="A147" s="118">
        <f>+CUBICACION!D141</f>
        <v>0</v>
      </c>
      <c r="B147" s="819">
        <f>+CUBICACION!E141</f>
        <v>0</v>
      </c>
      <c r="C147" s="675">
        <f>+CUBICACION!F141</f>
        <v>0</v>
      </c>
      <c r="D147" s="118"/>
      <c r="E147" s="118"/>
      <c r="F147" s="820"/>
      <c r="G147" s="675">
        <f>+CUBICACION!J141</f>
        <v>0</v>
      </c>
      <c r="H147" s="118"/>
      <c r="I147" s="821">
        <f>+CUBICACION!L141</f>
        <v>0</v>
      </c>
      <c r="J147" s="64">
        <f>+CUBICACION!M141</f>
        <v>0</v>
      </c>
      <c r="K147" s="822" t="str">
        <f>+CUBICACION!N141</f>
        <v/>
      </c>
      <c r="L147" s="118">
        <f>+CUBICACION!O141</f>
        <v>0</v>
      </c>
      <c r="M147" s="823">
        <f>+CUBICACION!P141</f>
        <v>0</v>
      </c>
      <c r="N147" s="902">
        <f>ROUND(IF(AND(L147="Blaze Shield II",M147="Software Idiem",C147="IN",G147=4),((('BLAZE SHIELD II'!$D$4*('CALCULO MORTERO'!I147^2)+'BLAZE SHIELD II'!$D$5*'CALCULO MORTERO'!I147+'BLAZE SHIELD II'!$D$6)*LN(J147))+('BLAZE SHIELD II'!$D$7*('CALCULO MORTERO'!I147^2)+'BLAZE SHIELD II'!$D$8*'CALCULO MORTERO'!I147+'BLAZE SHIELD II'!$D$9)),0)+IF(AND(L147="Blaze Shield II",M147="Software Idiem",C147="Cj"),((('BLAZE SHIELD II'!$H$4*('CALCULO MORTERO'!I147^2)+'BLAZE SHIELD II'!$H$5*'CALCULO MORTERO'!I147+'BLAZE SHIELD II'!$H$6)*LN(J147))+('BLAZE SHIELD II'!$H$7*('CALCULO MORTERO'!I147^2)+'BLAZE SHIELD II'!$H$8*'CALCULO MORTERO'!I147+'BLAZE SHIELD II'!$H$9)),0)+IF(AND(L147="Blaze Shield II",M147="Software Idiem",C147="C"),((('BLAZE SHIELD II'!$L$4*('CALCULO MORTERO'!I147^2)+'BLAZE SHIELD II'!$L$5*'CALCULO MORTERO'!I147+'BLAZE SHIELD II'!$L$6)*LN(J147))+('BLAZE SHIELD II'!$L$7*('CALCULO MORTERO'!I147^2)+'BLAZE SHIELD II'!$L$8*'CALCULO MORTERO'!I147+'BLAZE SHIELD II'!$L$9)),0)+IF(AND(L147="Blaze Shield II",M147="Software Idiem",C147="L"),((('BLAZE SHIELD II'!$L$4*('CALCULO MORTERO'!I147^2)+'BLAZE SHIELD II'!$L$5*'CALCULO MORTERO'!I147+'BLAZE SHIELD II'!$L$6)*LN(J147))+('BLAZE SHIELD II'!$L$7*('CALCULO MORTERO'!I147^2)+'BLAZE SHIELD II'!$L$8*'CALCULO MORTERO'!I147+'BLAZE SHIELD II'!$L$9)),0)+IF(AND(L147="Blaze Shield II",M147="Software Idiem",C147="IN",G147=3),((('BLAZE SHIELD II'!$H$14*('CALCULO MORTERO'!I147^2)+'BLAZE SHIELD II'!$H$15*'CALCULO MORTERO'!I147+'BLAZE SHIELD II'!$H$16)*LN(J147))+('BLAZE SHIELD II'!$H$17*('CALCULO MORTERO'!I147^2)+'BLAZE SHIELD II'!$H$18*'CALCULO MORTERO'!I147+'BLAZE SHIELD II'!$H$19)),0),0)+ROUND(IF(AND(L147="Cafco 400",M147="Software Idiem",C147="IN",G147=4),((('CAFCO 400 '!$H$7*(J147^4)+'CAFCO 400 '!$H$8*(J147^3)+'CAFCO 400 '!$H$9*(J147^2)+'CAFCO 400 '!$H$10*J147+'CAFCO 400 '!$H$11)*U147^2)+(('CAFCO 400 '!$H$12*(J147^3)+'CAFCO 400 '!$H$13*(J147^2)+'CAFCO 400 '!$H$14*J147+'CAFCO 400 '!$H$15)*U147)+('CAFCO 400 '!$H$16*(J147^2)+'CAFCO 400 '!$H$17*J147+'CAFCO 400 '!$H$18)),0)+IF(AND(L147="Cafco 400",M147="Software Idiem",C147="Cj"),(((('CAFCO 400 '!$D$7*LN(J147)+'CAFCO 400 '!$D$8)*U147^2)+(('CAFCO 400 '!$D$9*LN(J147)+'CAFCO 400 '!$D$10)*U147)+('CAFCO 400 '!$D$11*LN(J147)+'CAFCO 400 '!$D$12))),0)+IF(AND(L147="Cafco 400",M147="Software Idiem",C147="C"),((('CAFCO 400 '!$L$7*(J147^3)+'CAFCO 400 '!$L$8*(J147^2)+'CAFCO 400 '!$L$9*J147+'CAFCO 400 '!$L$10)*U147^2)+(('CAFCO 400 '!$L$11*(J147^3)+'CAFCO 400 '!$L$12*(J147^2)+'CAFCO 400 '!$L$13*J147+'CAFCO 400 '!$L$14)*U147)+('CAFCO 400 '!$L$15*LN(J147)+'CAFCO 400 '!$L$16)),0)+IF(AND(L147="Cafco 400",M147="Software Idiem",C147="L"),((('CAFCO 400 '!$L$7*(J147^3)+'CAFCO 400 '!$L$8*(J147^2)+'CAFCO 400 '!$L$9*J147+'CAFCO 400 '!$L$10)*U147^2)+(('CAFCO 400 '!$L$11*(J147^3)+'CAFCO 400 '!$L$12*(J147^2)+'CAFCO 400 '!$L$13*J147+'CAFCO 400 '!$L$14)*U147)+('CAFCO 400 '!$L$15*LN(J147)+'CAFCO 400 '!$L$16)),0)+IF(AND(L147="Cafco 400",M147="Software Idiem",C147="IN",G147=3),((('CAFCO 400 '!$D$23*(J147^2)+'CAFCO 400 '!$D$24*(J147)+'CAFCO 400 '!$D$25)*U147^2)+(('CAFCO 400 '!$D$26*(J147^2)+'CAFCO 400 '!$D$27*J147+'CAFCO 400 '!$D$28)*U147)+('CAFCO 400 '!$D$29*(J147^2)+'CAFCO 400 '!$D$30*J147+'CAFCO 400 '!$D$31)),0),0)+IF(AND(L147="Cafco 300",J147&gt;=95,J147&lt;=240,C147="Cj",I147=90),VLOOKUP(T147,'CAFCO 300 IDIEM TABLAS'!$B$4:$D$23,2,FALSE),0)+IF(AND(L147="Cafco 300",J147&gt;=95,J147&lt;=240,C147="Cj",I147=120),VLOOKUP(T147,'CAFCO 300 IDIEM TABLAS'!$B$4:$D$23,3,FALSE),0)+IF(AND(L147="Cafco 300",J147&gt;=95,J147&lt;=400,G147=3,C147="IN",I147=90),VLOOKUP(T147,'CAFCO 300 IDIEM TABLAS'!$F$4:$H$35,2,FALSE),0)+IF(AND(L147="Cafco 300",J147&gt;=95,J147&lt;=400,G147=3,C147="IN",I147=120),VLOOKUP(T147,'CAFCO 300 IDIEM TABLAS'!$F$4:$H$35,3,FALSE),0)+IF(AND(L147="Cafco 300",J147&gt;=95,J147&lt;=450,G147=4,C147="IN",I147=90),VLOOKUP(T147,'CAFCO 300 IDIEM TABLAS'!$J$4:$L$40,2,FALSE),0)+IF(AND(L147="Cafco 300",J147&gt;=95,J147&lt;=450,G147=4,C147="IN",I147=120),VLOOKUP(T147,'CAFCO 300 IDIEM TABLAS'!$J$4:$L$40,3,FALSE),0)+IF(AND(M147="Ensayo Idiem",L147="Cafco 400",C147="IN",G147=4,I147=90),VLOOKUP(T147,'CAFCO 400 ENSAYO'!$B$7:$D$43,2,FALSE),0)+IF(AND(M147="Ensayo Idiem",L147="Cafco 400",C147="IN",G147=4,I147=120),VLOOKUP(T147,'CAFCO 400 ENSAYO'!$B$7:$D$43,3,FALSE),0)</f>
        <v>0</v>
      </c>
      <c r="O147" s="96">
        <f t="shared" si="21"/>
        <v>0</v>
      </c>
      <c r="P147" s="95" t="str">
        <f t="shared" si="22"/>
        <v>N/A</v>
      </c>
      <c r="Q147" s="95" t="str">
        <f t="shared" si="23"/>
        <v>N/A</v>
      </c>
      <c r="R147" s="95" t="str">
        <f t="shared" si="24"/>
        <v>NO CERT.</v>
      </c>
      <c r="S147" s="95" t="e">
        <f t="shared" si="19"/>
        <v>#N/A</v>
      </c>
      <c r="T147" s="119" t="e">
        <f>+IF(J147=LOOKUP(J147,'CAFCO 300 IDIEM TABLAS'!$J$4:$J$40),'CALCULO MORTERO'!J147,MROUND('CALCULO MORTERO'!J147,10))</f>
        <v>#N/A</v>
      </c>
      <c r="U147" s="118">
        <f t="shared" si="20"/>
        <v>0</v>
      </c>
      <c r="Y147" s="4"/>
      <c r="Z147" s="4"/>
      <c r="AA147" s="4"/>
    </row>
    <row r="148" spans="1:27" ht="15.6" customHeight="1" x14ac:dyDescent="0.25">
      <c r="A148" s="118">
        <f>+CUBICACION!D142</f>
        <v>0</v>
      </c>
      <c r="B148" s="819">
        <f>+CUBICACION!E142</f>
        <v>0</v>
      </c>
      <c r="C148" s="675">
        <f>+CUBICACION!F142</f>
        <v>0</v>
      </c>
      <c r="D148" s="118"/>
      <c r="E148" s="118"/>
      <c r="F148" s="820"/>
      <c r="G148" s="675">
        <f>+CUBICACION!J142</f>
        <v>0</v>
      </c>
      <c r="H148" s="118"/>
      <c r="I148" s="821">
        <f>+CUBICACION!L142</f>
        <v>0</v>
      </c>
      <c r="J148" s="64">
        <f>+CUBICACION!M142</f>
        <v>0</v>
      </c>
      <c r="K148" s="822" t="str">
        <f>+CUBICACION!N142</f>
        <v/>
      </c>
      <c r="L148" s="118">
        <f>+CUBICACION!O142</f>
        <v>0</v>
      </c>
      <c r="M148" s="823">
        <f>+CUBICACION!P142</f>
        <v>0</v>
      </c>
      <c r="N148" s="902">
        <f>ROUND(IF(AND(L148="Blaze Shield II",M148="Software Idiem",C148="IN",G148=4),((('BLAZE SHIELD II'!$D$4*('CALCULO MORTERO'!I148^2)+'BLAZE SHIELD II'!$D$5*'CALCULO MORTERO'!I148+'BLAZE SHIELD II'!$D$6)*LN(J148))+('BLAZE SHIELD II'!$D$7*('CALCULO MORTERO'!I148^2)+'BLAZE SHIELD II'!$D$8*'CALCULO MORTERO'!I148+'BLAZE SHIELD II'!$D$9)),0)+IF(AND(L148="Blaze Shield II",M148="Software Idiem",C148="Cj"),((('BLAZE SHIELD II'!$H$4*('CALCULO MORTERO'!I148^2)+'BLAZE SHIELD II'!$H$5*'CALCULO MORTERO'!I148+'BLAZE SHIELD II'!$H$6)*LN(J148))+('BLAZE SHIELD II'!$H$7*('CALCULO MORTERO'!I148^2)+'BLAZE SHIELD II'!$H$8*'CALCULO MORTERO'!I148+'BLAZE SHIELD II'!$H$9)),0)+IF(AND(L148="Blaze Shield II",M148="Software Idiem",C148="C"),((('BLAZE SHIELD II'!$L$4*('CALCULO MORTERO'!I148^2)+'BLAZE SHIELD II'!$L$5*'CALCULO MORTERO'!I148+'BLAZE SHIELD II'!$L$6)*LN(J148))+('BLAZE SHIELD II'!$L$7*('CALCULO MORTERO'!I148^2)+'BLAZE SHIELD II'!$L$8*'CALCULO MORTERO'!I148+'BLAZE SHIELD II'!$L$9)),0)+IF(AND(L148="Blaze Shield II",M148="Software Idiem",C148="L"),((('BLAZE SHIELD II'!$L$4*('CALCULO MORTERO'!I148^2)+'BLAZE SHIELD II'!$L$5*'CALCULO MORTERO'!I148+'BLAZE SHIELD II'!$L$6)*LN(J148))+('BLAZE SHIELD II'!$L$7*('CALCULO MORTERO'!I148^2)+'BLAZE SHIELD II'!$L$8*'CALCULO MORTERO'!I148+'BLAZE SHIELD II'!$L$9)),0)+IF(AND(L148="Blaze Shield II",M148="Software Idiem",C148="IN",G148=3),((('BLAZE SHIELD II'!$H$14*('CALCULO MORTERO'!I148^2)+'BLAZE SHIELD II'!$H$15*'CALCULO MORTERO'!I148+'BLAZE SHIELD II'!$H$16)*LN(J148))+('BLAZE SHIELD II'!$H$17*('CALCULO MORTERO'!I148^2)+'BLAZE SHIELD II'!$H$18*'CALCULO MORTERO'!I148+'BLAZE SHIELD II'!$H$19)),0),0)+ROUND(IF(AND(L148="Cafco 400",M148="Software Idiem",C148="IN",G148=4),((('CAFCO 400 '!$H$7*(J148^4)+'CAFCO 400 '!$H$8*(J148^3)+'CAFCO 400 '!$H$9*(J148^2)+'CAFCO 400 '!$H$10*J148+'CAFCO 400 '!$H$11)*U148^2)+(('CAFCO 400 '!$H$12*(J148^3)+'CAFCO 400 '!$H$13*(J148^2)+'CAFCO 400 '!$H$14*J148+'CAFCO 400 '!$H$15)*U148)+('CAFCO 400 '!$H$16*(J148^2)+'CAFCO 400 '!$H$17*J148+'CAFCO 400 '!$H$18)),0)+IF(AND(L148="Cafco 400",M148="Software Idiem",C148="Cj"),(((('CAFCO 400 '!$D$7*LN(J148)+'CAFCO 400 '!$D$8)*U148^2)+(('CAFCO 400 '!$D$9*LN(J148)+'CAFCO 400 '!$D$10)*U148)+('CAFCO 400 '!$D$11*LN(J148)+'CAFCO 400 '!$D$12))),0)+IF(AND(L148="Cafco 400",M148="Software Idiem",C148="C"),((('CAFCO 400 '!$L$7*(J148^3)+'CAFCO 400 '!$L$8*(J148^2)+'CAFCO 400 '!$L$9*J148+'CAFCO 400 '!$L$10)*U148^2)+(('CAFCO 400 '!$L$11*(J148^3)+'CAFCO 400 '!$L$12*(J148^2)+'CAFCO 400 '!$L$13*J148+'CAFCO 400 '!$L$14)*U148)+('CAFCO 400 '!$L$15*LN(J148)+'CAFCO 400 '!$L$16)),0)+IF(AND(L148="Cafco 400",M148="Software Idiem",C148="L"),((('CAFCO 400 '!$L$7*(J148^3)+'CAFCO 400 '!$L$8*(J148^2)+'CAFCO 400 '!$L$9*J148+'CAFCO 400 '!$L$10)*U148^2)+(('CAFCO 400 '!$L$11*(J148^3)+'CAFCO 400 '!$L$12*(J148^2)+'CAFCO 400 '!$L$13*J148+'CAFCO 400 '!$L$14)*U148)+('CAFCO 400 '!$L$15*LN(J148)+'CAFCO 400 '!$L$16)),0)+IF(AND(L148="Cafco 400",M148="Software Idiem",C148="IN",G148=3),((('CAFCO 400 '!$D$23*(J148^2)+'CAFCO 400 '!$D$24*(J148)+'CAFCO 400 '!$D$25)*U148^2)+(('CAFCO 400 '!$D$26*(J148^2)+'CAFCO 400 '!$D$27*J148+'CAFCO 400 '!$D$28)*U148)+('CAFCO 400 '!$D$29*(J148^2)+'CAFCO 400 '!$D$30*J148+'CAFCO 400 '!$D$31)),0),0)+IF(AND(L148="Cafco 300",J148&gt;=95,J148&lt;=240,C148="Cj",I148=90),VLOOKUP(T148,'CAFCO 300 IDIEM TABLAS'!$B$4:$D$23,2,FALSE),0)+IF(AND(L148="Cafco 300",J148&gt;=95,J148&lt;=240,C148="Cj",I148=120),VLOOKUP(T148,'CAFCO 300 IDIEM TABLAS'!$B$4:$D$23,3,FALSE),0)+IF(AND(L148="Cafco 300",J148&gt;=95,J148&lt;=400,G148=3,C148="IN",I148=90),VLOOKUP(T148,'CAFCO 300 IDIEM TABLAS'!$F$4:$H$35,2,FALSE),0)+IF(AND(L148="Cafco 300",J148&gt;=95,J148&lt;=400,G148=3,C148="IN",I148=120),VLOOKUP(T148,'CAFCO 300 IDIEM TABLAS'!$F$4:$H$35,3,FALSE),0)+IF(AND(L148="Cafco 300",J148&gt;=95,J148&lt;=450,G148=4,C148="IN",I148=90),VLOOKUP(T148,'CAFCO 300 IDIEM TABLAS'!$J$4:$L$40,2,FALSE),0)+IF(AND(L148="Cafco 300",J148&gt;=95,J148&lt;=450,G148=4,C148="IN",I148=120),VLOOKUP(T148,'CAFCO 300 IDIEM TABLAS'!$J$4:$L$40,3,FALSE),0)+IF(AND(M148="Ensayo Idiem",L148="Cafco 400",C148="IN",G148=4,I148=90),VLOOKUP(T148,'CAFCO 400 ENSAYO'!$B$7:$D$43,2,FALSE),0)+IF(AND(M148="Ensayo Idiem",L148="Cafco 400",C148="IN",G148=4,I148=120),VLOOKUP(T148,'CAFCO 400 ENSAYO'!$B$7:$D$43,3,FALSE),0)</f>
        <v>0</v>
      </c>
      <c r="O148" s="96">
        <f t="shared" si="21"/>
        <v>0</v>
      </c>
      <c r="P148" s="95" t="str">
        <f t="shared" si="22"/>
        <v>N/A</v>
      </c>
      <c r="Q148" s="95" t="str">
        <f t="shared" si="23"/>
        <v>N/A</v>
      </c>
      <c r="R148" s="95" t="str">
        <f t="shared" si="24"/>
        <v>NO CERT.</v>
      </c>
      <c r="S148" s="95" t="e">
        <f t="shared" si="19"/>
        <v>#N/A</v>
      </c>
      <c r="T148" s="119" t="e">
        <f>+IF(J148=LOOKUP(J148,'CAFCO 300 IDIEM TABLAS'!$J$4:$J$40),'CALCULO MORTERO'!J148,MROUND('CALCULO MORTERO'!J148,10))</f>
        <v>#N/A</v>
      </c>
      <c r="U148" s="118">
        <f t="shared" si="20"/>
        <v>0</v>
      </c>
      <c r="Y148" s="4"/>
      <c r="Z148" s="4"/>
      <c r="AA148" s="4"/>
    </row>
    <row r="149" spans="1:27" x14ac:dyDescent="0.25">
      <c r="A149" s="118">
        <f>+CUBICACION!D143</f>
        <v>0</v>
      </c>
      <c r="B149" s="819">
        <f>+CUBICACION!E143</f>
        <v>0</v>
      </c>
      <c r="C149" s="675">
        <f>+CUBICACION!F143</f>
        <v>0</v>
      </c>
      <c r="D149" s="118"/>
      <c r="E149" s="118"/>
      <c r="F149" s="820"/>
      <c r="G149" s="675">
        <f>+CUBICACION!J143</f>
        <v>0</v>
      </c>
      <c r="H149" s="118"/>
      <c r="I149" s="821">
        <f>+CUBICACION!L143</f>
        <v>0</v>
      </c>
      <c r="J149" s="64">
        <f>+CUBICACION!M143</f>
        <v>0</v>
      </c>
      <c r="K149" s="822" t="str">
        <f>+CUBICACION!N143</f>
        <v/>
      </c>
      <c r="L149" s="118">
        <f>+CUBICACION!O143</f>
        <v>0</v>
      </c>
      <c r="M149" s="823">
        <f>+CUBICACION!P143</f>
        <v>0</v>
      </c>
      <c r="N149" s="902">
        <f>ROUND(IF(AND(L149="Blaze Shield II",M149="Software Idiem",C149="IN",G149=4),((('BLAZE SHIELD II'!$D$4*('CALCULO MORTERO'!I149^2)+'BLAZE SHIELD II'!$D$5*'CALCULO MORTERO'!I149+'BLAZE SHIELD II'!$D$6)*LN(J149))+('BLAZE SHIELD II'!$D$7*('CALCULO MORTERO'!I149^2)+'BLAZE SHIELD II'!$D$8*'CALCULO MORTERO'!I149+'BLAZE SHIELD II'!$D$9)),0)+IF(AND(L149="Blaze Shield II",M149="Software Idiem",C149="Cj"),((('BLAZE SHIELD II'!$H$4*('CALCULO MORTERO'!I149^2)+'BLAZE SHIELD II'!$H$5*'CALCULO MORTERO'!I149+'BLAZE SHIELD II'!$H$6)*LN(J149))+('BLAZE SHIELD II'!$H$7*('CALCULO MORTERO'!I149^2)+'BLAZE SHIELD II'!$H$8*'CALCULO MORTERO'!I149+'BLAZE SHIELD II'!$H$9)),0)+IF(AND(L149="Blaze Shield II",M149="Software Idiem",C149="C"),((('BLAZE SHIELD II'!$L$4*('CALCULO MORTERO'!I149^2)+'BLAZE SHIELD II'!$L$5*'CALCULO MORTERO'!I149+'BLAZE SHIELD II'!$L$6)*LN(J149))+('BLAZE SHIELD II'!$L$7*('CALCULO MORTERO'!I149^2)+'BLAZE SHIELD II'!$L$8*'CALCULO MORTERO'!I149+'BLAZE SHIELD II'!$L$9)),0)+IF(AND(L149="Blaze Shield II",M149="Software Idiem",C149="L"),((('BLAZE SHIELD II'!$L$4*('CALCULO MORTERO'!I149^2)+'BLAZE SHIELD II'!$L$5*'CALCULO MORTERO'!I149+'BLAZE SHIELD II'!$L$6)*LN(J149))+('BLAZE SHIELD II'!$L$7*('CALCULO MORTERO'!I149^2)+'BLAZE SHIELD II'!$L$8*'CALCULO MORTERO'!I149+'BLAZE SHIELD II'!$L$9)),0)+IF(AND(L149="Blaze Shield II",M149="Software Idiem",C149="IN",G149=3),((('BLAZE SHIELD II'!$H$14*('CALCULO MORTERO'!I149^2)+'BLAZE SHIELD II'!$H$15*'CALCULO MORTERO'!I149+'BLAZE SHIELD II'!$H$16)*LN(J149))+('BLAZE SHIELD II'!$H$17*('CALCULO MORTERO'!I149^2)+'BLAZE SHIELD II'!$H$18*'CALCULO MORTERO'!I149+'BLAZE SHIELD II'!$H$19)),0),0)+ROUND(IF(AND(L149="Cafco 400",M149="Software Idiem",C149="IN",G149=4),((('CAFCO 400 '!$H$7*(J149^4)+'CAFCO 400 '!$H$8*(J149^3)+'CAFCO 400 '!$H$9*(J149^2)+'CAFCO 400 '!$H$10*J149+'CAFCO 400 '!$H$11)*U149^2)+(('CAFCO 400 '!$H$12*(J149^3)+'CAFCO 400 '!$H$13*(J149^2)+'CAFCO 400 '!$H$14*J149+'CAFCO 400 '!$H$15)*U149)+('CAFCO 400 '!$H$16*(J149^2)+'CAFCO 400 '!$H$17*J149+'CAFCO 400 '!$H$18)),0)+IF(AND(L149="Cafco 400",M149="Software Idiem",C149="Cj"),(((('CAFCO 400 '!$D$7*LN(J149)+'CAFCO 400 '!$D$8)*U149^2)+(('CAFCO 400 '!$D$9*LN(J149)+'CAFCO 400 '!$D$10)*U149)+('CAFCO 400 '!$D$11*LN(J149)+'CAFCO 400 '!$D$12))),0)+IF(AND(L149="Cafco 400",M149="Software Idiem",C149="C"),((('CAFCO 400 '!$L$7*(J149^3)+'CAFCO 400 '!$L$8*(J149^2)+'CAFCO 400 '!$L$9*J149+'CAFCO 400 '!$L$10)*U149^2)+(('CAFCO 400 '!$L$11*(J149^3)+'CAFCO 400 '!$L$12*(J149^2)+'CAFCO 400 '!$L$13*J149+'CAFCO 400 '!$L$14)*U149)+('CAFCO 400 '!$L$15*LN(J149)+'CAFCO 400 '!$L$16)),0)+IF(AND(L149="Cafco 400",M149="Software Idiem",C149="L"),((('CAFCO 400 '!$L$7*(J149^3)+'CAFCO 400 '!$L$8*(J149^2)+'CAFCO 400 '!$L$9*J149+'CAFCO 400 '!$L$10)*U149^2)+(('CAFCO 400 '!$L$11*(J149^3)+'CAFCO 400 '!$L$12*(J149^2)+'CAFCO 400 '!$L$13*J149+'CAFCO 400 '!$L$14)*U149)+('CAFCO 400 '!$L$15*LN(J149)+'CAFCO 400 '!$L$16)),0)+IF(AND(L149="Cafco 400",M149="Software Idiem",C149="IN",G149=3),((('CAFCO 400 '!$D$23*(J149^2)+'CAFCO 400 '!$D$24*(J149)+'CAFCO 400 '!$D$25)*U149^2)+(('CAFCO 400 '!$D$26*(J149^2)+'CAFCO 400 '!$D$27*J149+'CAFCO 400 '!$D$28)*U149)+('CAFCO 400 '!$D$29*(J149^2)+'CAFCO 400 '!$D$30*J149+'CAFCO 400 '!$D$31)),0),0)+IF(AND(L149="Cafco 300",J149&gt;=95,J149&lt;=240,C149="Cj",I149=90),VLOOKUP(T149,'CAFCO 300 IDIEM TABLAS'!$B$4:$D$23,2,FALSE),0)+IF(AND(L149="Cafco 300",J149&gt;=95,J149&lt;=240,C149="Cj",I149=120),VLOOKUP(T149,'CAFCO 300 IDIEM TABLAS'!$B$4:$D$23,3,FALSE),0)+IF(AND(L149="Cafco 300",J149&gt;=95,J149&lt;=400,G149=3,C149="IN",I149=90),VLOOKUP(T149,'CAFCO 300 IDIEM TABLAS'!$F$4:$H$35,2,FALSE),0)+IF(AND(L149="Cafco 300",J149&gt;=95,J149&lt;=400,G149=3,C149="IN",I149=120),VLOOKUP(T149,'CAFCO 300 IDIEM TABLAS'!$F$4:$H$35,3,FALSE),0)+IF(AND(L149="Cafco 300",J149&gt;=95,J149&lt;=450,G149=4,C149="IN",I149=90),VLOOKUP(T149,'CAFCO 300 IDIEM TABLAS'!$J$4:$L$40,2,FALSE),0)+IF(AND(L149="Cafco 300",J149&gt;=95,J149&lt;=450,G149=4,C149="IN",I149=120),VLOOKUP(T149,'CAFCO 300 IDIEM TABLAS'!$J$4:$L$40,3,FALSE),0)+IF(AND(M149="Ensayo Idiem",L149="Cafco 400",C149="IN",G149=4,I149=90),VLOOKUP(T149,'CAFCO 400 ENSAYO'!$B$7:$D$43,2,FALSE),0)+IF(AND(M149="Ensayo Idiem",L149="Cafco 400",C149="IN",G149=4,I149=120),VLOOKUP(T149,'CAFCO 400 ENSAYO'!$B$7:$D$43,3,FALSE),0)</f>
        <v>0</v>
      </c>
      <c r="O149" s="96">
        <f t="shared" si="21"/>
        <v>0</v>
      </c>
      <c r="P149" s="95" t="str">
        <f t="shared" si="22"/>
        <v>N/A</v>
      </c>
      <c r="Q149" s="95" t="str">
        <f t="shared" si="23"/>
        <v>N/A</v>
      </c>
      <c r="R149" s="95" t="str">
        <f t="shared" si="24"/>
        <v>NO CERT.</v>
      </c>
      <c r="S149" s="95" t="e">
        <f t="shared" si="19"/>
        <v>#N/A</v>
      </c>
      <c r="T149" s="119" t="e">
        <f>+IF(J149=LOOKUP(J149,'CAFCO 300 IDIEM TABLAS'!$J$4:$J$40),'CALCULO MORTERO'!J149,MROUND('CALCULO MORTERO'!J149,10))</f>
        <v>#N/A</v>
      </c>
      <c r="U149" s="118">
        <f t="shared" si="20"/>
        <v>0</v>
      </c>
      <c r="Y149" s="4"/>
      <c r="Z149" s="4"/>
      <c r="AA149" s="4"/>
    </row>
    <row r="150" spans="1:27" ht="15.6" customHeight="1" x14ac:dyDescent="0.25">
      <c r="A150" s="118">
        <f>+CUBICACION!D144</f>
        <v>0</v>
      </c>
      <c r="B150" s="819">
        <f>+CUBICACION!E144</f>
        <v>0</v>
      </c>
      <c r="C150" s="675">
        <f>+CUBICACION!F144</f>
        <v>0</v>
      </c>
      <c r="D150" s="118"/>
      <c r="E150" s="118"/>
      <c r="F150" s="820"/>
      <c r="G150" s="675">
        <f>+CUBICACION!J144</f>
        <v>0</v>
      </c>
      <c r="H150" s="118"/>
      <c r="I150" s="821">
        <f>+CUBICACION!L144</f>
        <v>0</v>
      </c>
      <c r="J150" s="64">
        <f>+CUBICACION!M144</f>
        <v>0</v>
      </c>
      <c r="K150" s="822" t="str">
        <f>+CUBICACION!N144</f>
        <v/>
      </c>
      <c r="L150" s="118">
        <f>+CUBICACION!O144</f>
        <v>0</v>
      </c>
      <c r="M150" s="823">
        <f>+CUBICACION!P144</f>
        <v>0</v>
      </c>
      <c r="N150" s="902">
        <f>ROUND(IF(AND(L150="Blaze Shield II",M150="Software Idiem",C150="IN",G150=4),((('BLAZE SHIELD II'!$D$4*('CALCULO MORTERO'!I150^2)+'BLAZE SHIELD II'!$D$5*'CALCULO MORTERO'!I150+'BLAZE SHIELD II'!$D$6)*LN(J150))+('BLAZE SHIELD II'!$D$7*('CALCULO MORTERO'!I150^2)+'BLAZE SHIELD II'!$D$8*'CALCULO MORTERO'!I150+'BLAZE SHIELD II'!$D$9)),0)+IF(AND(L150="Blaze Shield II",M150="Software Idiem",C150="Cj"),((('BLAZE SHIELD II'!$H$4*('CALCULO MORTERO'!I150^2)+'BLAZE SHIELD II'!$H$5*'CALCULO MORTERO'!I150+'BLAZE SHIELD II'!$H$6)*LN(J150))+('BLAZE SHIELD II'!$H$7*('CALCULO MORTERO'!I150^2)+'BLAZE SHIELD II'!$H$8*'CALCULO MORTERO'!I150+'BLAZE SHIELD II'!$H$9)),0)+IF(AND(L150="Blaze Shield II",M150="Software Idiem",C150="C"),((('BLAZE SHIELD II'!$L$4*('CALCULO MORTERO'!I150^2)+'BLAZE SHIELD II'!$L$5*'CALCULO MORTERO'!I150+'BLAZE SHIELD II'!$L$6)*LN(J150))+('BLAZE SHIELD II'!$L$7*('CALCULO MORTERO'!I150^2)+'BLAZE SHIELD II'!$L$8*'CALCULO MORTERO'!I150+'BLAZE SHIELD II'!$L$9)),0)+IF(AND(L150="Blaze Shield II",M150="Software Idiem",C150="L"),((('BLAZE SHIELD II'!$L$4*('CALCULO MORTERO'!I150^2)+'BLAZE SHIELD II'!$L$5*'CALCULO MORTERO'!I150+'BLAZE SHIELD II'!$L$6)*LN(J150))+('BLAZE SHIELD II'!$L$7*('CALCULO MORTERO'!I150^2)+'BLAZE SHIELD II'!$L$8*'CALCULO MORTERO'!I150+'BLAZE SHIELD II'!$L$9)),0)+IF(AND(L150="Blaze Shield II",M150="Software Idiem",C150="IN",G150=3),((('BLAZE SHIELD II'!$H$14*('CALCULO MORTERO'!I150^2)+'BLAZE SHIELD II'!$H$15*'CALCULO MORTERO'!I150+'BLAZE SHIELD II'!$H$16)*LN(J150))+('BLAZE SHIELD II'!$H$17*('CALCULO MORTERO'!I150^2)+'BLAZE SHIELD II'!$H$18*'CALCULO MORTERO'!I150+'BLAZE SHIELD II'!$H$19)),0),0)+ROUND(IF(AND(L150="Cafco 400",M150="Software Idiem",C150="IN",G150=4),((('CAFCO 400 '!$H$7*(J150^4)+'CAFCO 400 '!$H$8*(J150^3)+'CAFCO 400 '!$H$9*(J150^2)+'CAFCO 400 '!$H$10*J150+'CAFCO 400 '!$H$11)*U150^2)+(('CAFCO 400 '!$H$12*(J150^3)+'CAFCO 400 '!$H$13*(J150^2)+'CAFCO 400 '!$H$14*J150+'CAFCO 400 '!$H$15)*U150)+('CAFCO 400 '!$H$16*(J150^2)+'CAFCO 400 '!$H$17*J150+'CAFCO 400 '!$H$18)),0)+IF(AND(L150="Cafco 400",M150="Software Idiem",C150="Cj"),(((('CAFCO 400 '!$D$7*LN(J150)+'CAFCO 400 '!$D$8)*U150^2)+(('CAFCO 400 '!$D$9*LN(J150)+'CAFCO 400 '!$D$10)*U150)+('CAFCO 400 '!$D$11*LN(J150)+'CAFCO 400 '!$D$12))),0)+IF(AND(L150="Cafco 400",M150="Software Idiem",C150="C"),((('CAFCO 400 '!$L$7*(J150^3)+'CAFCO 400 '!$L$8*(J150^2)+'CAFCO 400 '!$L$9*J150+'CAFCO 400 '!$L$10)*U150^2)+(('CAFCO 400 '!$L$11*(J150^3)+'CAFCO 400 '!$L$12*(J150^2)+'CAFCO 400 '!$L$13*J150+'CAFCO 400 '!$L$14)*U150)+('CAFCO 400 '!$L$15*LN(J150)+'CAFCO 400 '!$L$16)),0)+IF(AND(L150="Cafco 400",M150="Software Idiem",C150="L"),((('CAFCO 400 '!$L$7*(J150^3)+'CAFCO 400 '!$L$8*(J150^2)+'CAFCO 400 '!$L$9*J150+'CAFCO 400 '!$L$10)*U150^2)+(('CAFCO 400 '!$L$11*(J150^3)+'CAFCO 400 '!$L$12*(J150^2)+'CAFCO 400 '!$L$13*J150+'CAFCO 400 '!$L$14)*U150)+('CAFCO 400 '!$L$15*LN(J150)+'CAFCO 400 '!$L$16)),0)+IF(AND(L150="Cafco 400",M150="Software Idiem",C150="IN",G150=3),((('CAFCO 400 '!$D$23*(J150^2)+'CAFCO 400 '!$D$24*(J150)+'CAFCO 400 '!$D$25)*U150^2)+(('CAFCO 400 '!$D$26*(J150^2)+'CAFCO 400 '!$D$27*J150+'CAFCO 400 '!$D$28)*U150)+('CAFCO 400 '!$D$29*(J150^2)+'CAFCO 400 '!$D$30*J150+'CAFCO 400 '!$D$31)),0),0)+IF(AND(L150="Cafco 300",J150&gt;=95,J150&lt;=240,C150="Cj",I150=90),VLOOKUP(T150,'CAFCO 300 IDIEM TABLAS'!$B$4:$D$23,2,FALSE),0)+IF(AND(L150="Cafco 300",J150&gt;=95,J150&lt;=240,C150="Cj",I150=120),VLOOKUP(T150,'CAFCO 300 IDIEM TABLAS'!$B$4:$D$23,3,FALSE),0)+IF(AND(L150="Cafco 300",J150&gt;=95,J150&lt;=400,G150=3,C150="IN",I150=90),VLOOKUP(T150,'CAFCO 300 IDIEM TABLAS'!$F$4:$H$35,2,FALSE),0)+IF(AND(L150="Cafco 300",J150&gt;=95,J150&lt;=400,G150=3,C150="IN",I150=120),VLOOKUP(T150,'CAFCO 300 IDIEM TABLAS'!$F$4:$H$35,3,FALSE),0)+IF(AND(L150="Cafco 300",J150&gt;=95,J150&lt;=450,G150=4,C150="IN",I150=90),VLOOKUP(T150,'CAFCO 300 IDIEM TABLAS'!$J$4:$L$40,2,FALSE),0)+IF(AND(L150="Cafco 300",J150&gt;=95,J150&lt;=450,G150=4,C150="IN",I150=120),VLOOKUP(T150,'CAFCO 300 IDIEM TABLAS'!$J$4:$L$40,3,FALSE),0)+IF(AND(M150="Ensayo Idiem",L150="Cafco 400",C150="IN",G150=4,I150=90),VLOOKUP(T150,'CAFCO 400 ENSAYO'!$B$7:$D$43,2,FALSE),0)+IF(AND(M150="Ensayo Idiem",L150="Cafco 400",C150="IN",G150=4,I150=120),VLOOKUP(T150,'CAFCO 400 ENSAYO'!$B$7:$D$43,3,FALSE),0)</f>
        <v>0</v>
      </c>
      <c r="O150" s="96">
        <f t="shared" si="21"/>
        <v>0</v>
      </c>
      <c r="P150" s="95" t="str">
        <f t="shared" si="22"/>
        <v>N/A</v>
      </c>
      <c r="Q150" s="95" t="str">
        <f t="shared" si="23"/>
        <v>N/A</v>
      </c>
      <c r="R150" s="95" t="str">
        <f t="shared" si="24"/>
        <v>NO CERT.</v>
      </c>
      <c r="S150" s="95" t="e">
        <f t="shared" si="19"/>
        <v>#N/A</v>
      </c>
      <c r="T150" s="119" t="e">
        <f>+IF(J150=LOOKUP(J150,'CAFCO 300 IDIEM TABLAS'!$J$4:$J$40),'CALCULO MORTERO'!J150,MROUND('CALCULO MORTERO'!J150,10))</f>
        <v>#N/A</v>
      </c>
      <c r="U150" s="118">
        <f t="shared" si="20"/>
        <v>0</v>
      </c>
      <c r="Y150" s="4"/>
      <c r="Z150" s="4"/>
      <c r="AA150" s="4"/>
    </row>
    <row r="151" spans="1:27" x14ac:dyDescent="0.25">
      <c r="A151" s="118">
        <f>+CUBICACION!D145</f>
        <v>0</v>
      </c>
      <c r="B151" s="819">
        <f>+CUBICACION!E145</f>
        <v>0</v>
      </c>
      <c r="C151" s="675">
        <f>+CUBICACION!F145</f>
        <v>0</v>
      </c>
      <c r="D151" s="118"/>
      <c r="E151" s="118"/>
      <c r="F151" s="820"/>
      <c r="G151" s="675">
        <f>+CUBICACION!J145</f>
        <v>0</v>
      </c>
      <c r="H151" s="118"/>
      <c r="I151" s="821">
        <f>+CUBICACION!L145</f>
        <v>0</v>
      </c>
      <c r="J151" s="64">
        <f>+CUBICACION!M145</f>
        <v>0</v>
      </c>
      <c r="K151" s="822" t="str">
        <f>+CUBICACION!N145</f>
        <v/>
      </c>
      <c r="L151" s="118">
        <f>+CUBICACION!O145</f>
        <v>0</v>
      </c>
      <c r="M151" s="823">
        <f>+CUBICACION!P145</f>
        <v>0</v>
      </c>
      <c r="N151" s="902">
        <f>ROUND(IF(AND(L151="Blaze Shield II",M151="Software Idiem",C151="IN",G151=4),((('BLAZE SHIELD II'!$D$4*('CALCULO MORTERO'!I151^2)+'BLAZE SHIELD II'!$D$5*'CALCULO MORTERO'!I151+'BLAZE SHIELD II'!$D$6)*LN(J151))+('BLAZE SHIELD II'!$D$7*('CALCULO MORTERO'!I151^2)+'BLAZE SHIELD II'!$D$8*'CALCULO MORTERO'!I151+'BLAZE SHIELD II'!$D$9)),0)+IF(AND(L151="Blaze Shield II",M151="Software Idiem",C151="Cj"),((('BLAZE SHIELD II'!$H$4*('CALCULO MORTERO'!I151^2)+'BLAZE SHIELD II'!$H$5*'CALCULO MORTERO'!I151+'BLAZE SHIELD II'!$H$6)*LN(J151))+('BLAZE SHIELD II'!$H$7*('CALCULO MORTERO'!I151^2)+'BLAZE SHIELD II'!$H$8*'CALCULO MORTERO'!I151+'BLAZE SHIELD II'!$H$9)),0)+IF(AND(L151="Blaze Shield II",M151="Software Idiem",C151="C"),((('BLAZE SHIELD II'!$L$4*('CALCULO MORTERO'!I151^2)+'BLAZE SHIELD II'!$L$5*'CALCULO MORTERO'!I151+'BLAZE SHIELD II'!$L$6)*LN(J151))+('BLAZE SHIELD II'!$L$7*('CALCULO MORTERO'!I151^2)+'BLAZE SHIELD II'!$L$8*'CALCULO MORTERO'!I151+'BLAZE SHIELD II'!$L$9)),0)+IF(AND(L151="Blaze Shield II",M151="Software Idiem",C151="L"),((('BLAZE SHIELD II'!$L$4*('CALCULO MORTERO'!I151^2)+'BLAZE SHIELD II'!$L$5*'CALCULO MORTERO'!I151+'BLAZE SHIELD II'!$L$6)*LN(J151))+('BLAZE SHIELD II'!$L$7*('CALCULO MORTERO'!I151^2)+'BLAZE SHIELD II'!$L$8*'CALCULO MORTERO'!I151+'BLAZE SHIELD II'!$L$9)),0)+IF(AND(L151="Blaze Shield II",M151="Software Idiem",C151="IN",G151=3),((('BLAZE SHIELD II'!$H$14*('CALCULO MORTERO'!I151^2)+'BLAZE SHIELD II'!$H$15*'CALCULO MORTERO'!I151+'BLAZE SHIELD II'!$H$16)*LN(J151))+('BLAZE SHIELD II'!$H$17*('CALCULO MORTERO'!I151^2)+'BLAZE SHIELD II'!$H$18*'CALCULO MORTERO'!I151+'BLAZE SHIELD II'!$H$19)),0),0)+ROUND(IF(AND(L151="Cafco 400",M151="Software Idiem",C151="IN",G151=4),((('CAFCO 400 '!$H$7*(J151^4)+'CAFCO 400 '!$H$8*(J151^3)+'CAFCO 400 '!$H$9*(J151^2)+'CAFCO 400 '!$H$10*J151+'CAFCO 400 '!$H$11)*U151^2)+(('CAFCO 400 '!$H$12*(J151^3)+'CAFCO 400 '!$H$13*(J151^2)+'CAFCO 400 '!$H$14*J151+'CAFCO 400 '!$H$15)*U151)+('CAFCO 400 '!$H$16*(J151^2)+'CAFCO 400 '!$H$17*J151+'CAFCO 400 '!$H$18)),0)+IF(AND(L151="Cafco 400",M151="Software Idiem",C151="Cj"),(((('CAFCO 400 '!$D$7*LN(J151)+'CAFCO 400 '!$D$8)*U151^2)+(('CAFCO 400 '!$D$9*LN(J151)+'CAFCO 400 '!$D$10)*U151)+('CAFCO 400 '!$D$11*LN(J151)+'CAFCO 400 '!$D$12))),0)+IF(AND(L151="Cafco 400",M151="Software Idiem",C151="C"),((('CAFCO 400 '!$L$7*(J151^3)+'CAFCO 400 '!$L$8*(J151^2)+'CAFCO 400 '!$L$9*J151+'CAFCO 400 '!$L$10)*U151^2)+(('CAFCO 400 '!$L$11*(J151^3)+'CAFCO 400 '!$L$12*(J151^2)+'CAFCO 400 '!$L$13*J151+'CAFCO 400 '!$L$14)*U151)+('CAFCO 400 '!$L$15*LN(J151)+'CAFCO 400 '!$L$16)),0)+IF(AND(L151="Cafco 400",M151="Software Idiem",C151="L"),((('CAFCO 400 '!$L$7*(J151^3)+'CAFCO 400 '!$L$8*(J151^2)+'CAFCO 400 '!$L$9*J151+'CAFCO 400 '!$L$10)*U151^2)+(('CAFCO 400 '!$L$11*(J151^3)+'CAFCO 400 '!$L$12*(J151^2)+'CAFCO 400 '!$L$13*J151+'CAFCO 400 '!$L$14)*U151)+('CAFCO 400 '!$L$15*LN(J151)+'CAFCO 400 '!$L$16)),0)+IF(AND(L151="Cafco 400",M151="Software Idiem",C151="IN",G151=3),((('CAFCO 400 '!$D$23*(J151^2)+'CAFCO 400 '!$D$24*(J151)+'CAFCO 400 '!$D$25)*U151^2)+(('CAFCO 400 '!$D$26*(J151^2)+'CAFCO 400 '!$D$27*J151+'CAFCO 400 '!$D$28)*U151)+('CAFCO 400 '!$D$29*(J151^2)+'CAFCO 400 '!$D$30*J151+'CAFCO 400 '!$D$31)),0),0)+IF(AND(L151="Cafco 300",J151&gt;=95,J151&lt;=240,C151="Cj",I151=90),VLOOKUP(T151,'CAFCO 300 IDIEM TABLAS'!$B$4:$D$23,2,FALSE),0)+IF(AND(L151="Cafco 300",J151&gt;=95,J151&lt;=240,C151="Cj",I151=120),VLOOKUP(T151,'CAFCO 300 IDIEM TABLAS'!$B$4:$D$23,3,FALSE),0)+IF(AND(L151="Cafco 300",J151&gt;=95,J151&lt;=400,G151=3,C151="IN",I151=90),VLOOKUP(T151,'CAFCO 300 IDIEM TABLAS'!$F$4:$H$35,2,FALSE),0)+IF(AND(L151="Cafco 300",J151&gt;=95,J151&lt;=400,G151=3,C151="IN",I151=120),VLOOKUP(T151,'CAFCO 300 IDIEM TABLAS'!$F$4:$H$35,3,FALSE),0)+IF(AND(L151="Cafco 300",J151&gt;=95,J151&lt;=450,G151=4,C151="IN",I151=90),VLOOKUP(T151,'CAFCO 300 IDIEM TABLAS'!$J$4:$L$40,2,FALSE),0)+IF(AND(L151="Cafco 300",J151&gt;=95,J151&lt;=450,G151=4,C151="IN",I151=120),VLOOKUP(T151,'CAFCO 300 IDIEM TABLAS'!$J$4:$L$40,3,FALSE),0)+IF(AND(M151="Ensayo Idiem",L151="Cafco 400",C151="IN",G151=4,I151=90),VLOOKUP(T151,'CAFCO 400 ENSAYO'!$B$7:$D$43,2,FALSE),0)+IF(AND(M151="Ensayo Idiem",L151="Cafco 400",C151="IN",G151=4,I151=120),VLOOKUP(T151,'CAFCO 400 ENSAYO'!$B$7:$D$43,3,FALSE),0)</f>
        <v>0</v>
      </c>
      <c r="O151" s="96">
        <f t="shared" si="21"/>
        <v>0</v>
      </c>
      <c r="P151" s="95" t="str">
        <f t="shared" si="22"/>
        <v>N/A</v>
      </c>
      <c r="Q151" s="95" t="str">
        <f t="shared" si="23"/>
        <v>N/A</v>
      </c>
      <c r="R151" s="95" t="str">
        <f t="shared" si="24"/>
        <v>NO CERT.</v>
      </c>
      <c r="S151" s="95" t="e">
        <f t="shared" si="19"/>
        <v>#N/A</v>
      </c>
      <c r="T151" s="119" t="e">
        <f>+IF(J151=LOOKUP(J151,'CAFCO 300 IDIEM TABLAS'!$J$4:$J$40),'CALCULO MORTERO'!J151,MROUND('CALCULO MORTERO'!J151,10))</f>
        <v>#N/A</v>
      </c>
      <c r="U151" s="118">
        <f t="shared" si="20"/>
        <v>0</v>
      </c>
      <c r="Y151" s="4"/>
      <c r="Z151" s="4"/>
      <c r="AA151" s="4"/>
    </row>
    <row r="152" spans="1:27" ht="15.6" customHeight="1" x14ac:dyDescent="0.25">
      <c r="A152" s="118">
        <f>+CUBICACION!D146</f>
        <v>0</v>
      </c>
      <c r="B152" s="819">
        <f>+CUBICACION!E146</f>
        <v>0</v>
      </c>
      <c r="C152" s="675">
        <f>+CUBICACION!F146</f>
        <v>0</v>
      </c>
      <c r="D152" s="118"/>
      <c r="E152" s="118"/>
      <c r="F152" s="820"/>
      <c r="G152" s="675">
        <f>+CUBICACION!J146</f>
        <v>0</v>
      </c>
      <c r="H152" s="118"/>
      <c r="I152" s="821">
        <f>+CUBICACION!L146</f>
        <v>0</v>
      </c>
      <c r="J152" s="64">
        <f>+CUBICACION!M146</f>
        <v>0</v>
      </c>
      <c r="K152" s="822" t="str">
        <f>+CUBICACION!N146</f>
        <v/>
      </c>
      <c r="L152" s="118">
        <f>+CUBICACION!O146</f>
        <v>0</v>
      </c>
      <c r="M152" s="823">
        <f>+CUBICACION!P146</f>
        <v>0</v>
      </c>
      <c r="N152" s="902">
        <f>ROUND(IF(AND(L152="Blaze Shield II",M152="Software Idiem",C152="IN",G152=4),((('BLAZE SHIELD II'!$D$4*('CALCULO MORTERO'!I152^2)+'BLAZE SHIELD II'!$D$5*'CALCULO MORTERO'!I152+'BLAZE SHIELD II'!$D$6)*LN(J152))+('BLAZE SHIELD II'!$D$7*('CALCULO MORTERO'!I152^2)+'BLAZE SHIELD II'!$D$8*'CALCULO MORTERO'!I152+'BLAZE SHIELD II'!$D$9)),0)+IF(AND(L152="Blaze Shield II",M152="Software Idiem",C152="Cj"),((('BLAZE SHIELD II'!$H$4*('CALCULO MORTERO'!I152^2)+'BLAZE SHIELD II'!$H$5*'CALCULO MORTERO'!I152+'BLAZE SHIELD II'!$H$6)*LN(J152))+('BLAZE SHIELD II'!$H$7*('CALCULO MORTERO'!I152^2)+'BLAZE SHIELD II'!$H$8*'CALCULO MORTERO'!I152+'BLAZE SHIELD II'!$H$9)),0)+IF(AND(L152="Blaze Shield II",M152="Software Idiem",C152="C"),((('BLAZE SHIELD II'!$L$4*('CALCULO MORTERO'!I152^2)+'BLAZE SHIELD II'!$L$5*'CALCULO MORTERO'!I152+'BLAZE SHIELD II'!$L$6)*LN(J152))+('BLAZE SHIELD II'!$L$7*('CALCULO MORTERO'!I152^2)+'BLAZE SHIELD II'!$L$8*'CALCULO MORTERO'!I152+'BLAZE SHIELD II'!$L$9)),0)+IF(AND(L152="Blaze Shield II",M152="Software Idiem",C152="L"),((('BLAZE SHIELD II'!$L$4*('CALCULO MORTERO'!I152^2)+'BLAZE SHIELD II'!$L$5*'CALCULO MORTERO'!I152+'BLAZE SHIELD II'!$L$6)*LN(J152))+('BLAZE SHIELD II'!$L$7*('CALCULO MORTERO'!I152^2)+'BLAZE SHIELD II'!$L$8*'CALCULO MORTERO'!I152+'BLAZE SHIELD II'!$L$9)),0)+IF(AND(L152="Blaze Shield II",M152="Software Idiem",C152="IN",G152=3),((('BLAZE SHIELD II'!$H$14*('CALCULO MORTERO'!I152^2)+'BLAZE SHIELD II'!$H$15*'CALCULO MORTERO'!I152+'BLAZE SHIELD II'!$H$16)*LN(J152))+('BLAZE SHIELD II'!$H$17*('CALCULO MORTERO'!I152^2)+'BLAZE SHIELD II'!$H$18*'CALCULO MORTERO'!I152+'BLAZE SHIELD II'!$H$19)),0),0)+ROUND(IF(AND(L152="Cafco 400",M152="Software Idiem",C152="IN",G152=4),((('CAFCO 400 '!$H$7*(J152^4)+'CAFCO 400 '!$H$8*(J152^3)+'CAFCO 400 '!$H$9*(J152^2)+'CAFCO 400 '!$H$10*J152+'CAFCO 400 '!$H$11)*U152^2)+(('CAFCO 400 '!$H$12*(J152^3)+'CAFCO 400 '!$H$13*(J152^2)+'CAFCO 400 '!$H$14*J152+'CAFCO 400 '!$H$15)*U152)+('CAFCO 400 '!$H$16*(J152^2)+'CAFCO 400 '!$H$17*J152+'CAFCO 400 '!$H$18)),0)+IF(AND(L152="Cafco 400",M152="Software Idiem",C152="Cj"),(((('CAFCO 400 '!$D$7*LN(J152)+'CAFCO 400 '!$D$8)*U152^2)+(('CAFCO 400 '!$D$9*LN(J152)+'CAFCO 400 '!$D$10)*U152)+('CAFCO 400 '!$D$11*LN(J152)+'CAFCO 400 '!$D$12))),0)+IF(AND(L152="Cafco 400",M152="Software Idiem",C152="C"),((('CAFCO 400 '!$L$7*(J152^3)+'CAFCO 400 '!$L$8*(J152^2)+'CAFCO 400 '!$L$9*J152+'CAFCO 400 '!$L$10)*U152^2)+(('CAFCO 400 '!$L$11*(J152^3)+'CAFCO 400 '!$L$12*(J152^2)+'CAFCO 400 '!$L$13*J152+'CAFCO 400 '!$L$14)*U152)+('CAFCO 400 '!$L$15*LN(J152)+'CAFCO 400 '!$L$16)),0)+IF(AND(L152="Cafco 400",M152="Software Idiem",C152="L"),((('CAFCO 400 '!$L$7*(J152^3)+'CAFCO 400 '!$L$8*(J152^2)+'CAFCO 400 '!$L$9*J152+'CAFCO 400 '!$L$10)*U152^2)+(('CAFCO 400 '!$L$11*(J152^3)+'CAFCO 400 '!$L$12*(J152^2)+'CAFCO 400 '!$L$13*J152+'CAFCO 400 '!$L$14)*U152)+('CAFCO 400 '!$L$15*LN(J152)+'CAFCO 400 '!$L$16)),0)+IF(AND(L152="Cafco 400",M152="Software Idiem",C152="IN",G152=3),((('CAFCO 400 '!$D$23*(J152^2)+'CAFCO 400 '!$D$24*(J152)+'CAFCO 400 '!$D$25)*U152^2)+(('CAFCO 400 '!$D$26*(J152^2)+'CAFCO 400 '!$D$27*J152+'CAFCO 400 '!$D$28)*U152)+('CAFCO 400 '!$D$29*(J152^2)+'CAFCO 400 '!$D$30*J152+'CAFCO 400 '!$D$31)),0),0)+IF(AND(L152="Cafco 300",J152&gt;=95,J152&lt;=240,C152="Cj",I152=90),VLOOKUP(T152,'CAFCO 300 IDIEM TABLAS'!$B$4:$D$23,2,FALSE),0)+IF(AND(L152="Cafco 300",J152&gt;=95,J152&lt;=240,C152="Cj",I152=120),VLOOKUP(T152,'CAFCO 300 IDIEM TABLAS'!$B$4:$D$23,3,FALSE),0)+IF(AND(L152="Cafco 300",J152&gt;=95,J152&lt;=400,G152=3,C152="IN",I152=90),VLOOKUP(T152,'CAFCO 300 IDIEM TABLAS'!$F$4:$H$35,2,FALSE),0)+IF(AND(L152="Cafco 300",J152&gt;=95,J152&lt;=400,G152=3,C152="IN",I152=120),VLOOKUP(T152,'CAFCO 300 IDIEM TABLAS'!$F$4:$H$35,3,FALSE),0)+IF(AND(L152="Cafco 300",J152&gt;=95,J152&lt;=450,G152=4,C152="IN",I152=90),VLOOKUP(T152,'CAFCO 300 IDIEM TABLAS'!$J$4:$L$40,2,FALSE),0)+IF(AND(L152="Cafco 300",J152&gt;=95,J152&lt;=450,G152=4,C152="IN",I152=120),VLOOKUP(T152,'CAFCO 300 IDIEM TABLAS'!$J$4:$L$40,3,FALSE),0)+IF(AND(M152="Ensayo Idiem",L152="Cafco 400",C152="IN",G152=4,I152=90),VLOOKUP(T152,'CAFCO 400 ENSAYO'!$B$7:$D$43,2,FALSE),0)+IF(AND(M152="Ensayo Idiem",L152="Cafco 400",C152="IN",G152=4,I152=120),VLOOKUP(T152,'CAFCO 400 ENSAYO'!$B$7:$D$43,3,FALSE),0)</f>
        <v>0</v>
      </c>
      <c r="O152" s="96">
        <f t="shared" si="21"/>
        <v>0</v>
      </c>
      <c r="P152" s="95" t="str">
        <f t="shared" si="22"/>
        <v>N/A</v>
      </c>
      <c r="Q152" s="95" t="str">
        <f t="shared" si="23"/>
        <v>N/A</v>
      </c>
      <c r="R152" s="95" t="str">
        <f t="shared" si="24"/>
        <v>NO CERT.</v>
      </c>
      <c r="S152" s="95" t="e">
        <f t="shared" si="19"/>
        <v>#N/A</v>
      </c>
      <c r="T152" s="119" t="e">
        <f>+IF(J152=LOOKUP(J152,'CAFCO 300 IDIEM TABLAS'!$J$4:$J$40),'CALCULO MORTERO'!J152,MROUND('CALCULO MORTERO'!J152,10))</f>
        <v>#N/A</v>
      </c>
      <c r="U152" s="118">
        <f t="shared" si="20"/>
        <v>0</v>
      </c>
      <c r="Y152" s="4"/>
      <c r="Z152" s="4"/>
      <c r="AA152" s="4"/>
    </row>
    <row r="153" spans="1:27" x14ac:dyDescent="0.25">
      <c r="A153" s="118">
        <f>+CUBICACION!D147</f>
        <v>0</v>
      </c>
      <c r="B153" s="819">
        <f>+CUBICACION!E147</f>
        <v>0</v>
      </c>
      <c r="C153" s="675">
        <f>+CUBICACION!F147</f>
        <v>0</v>
      </c>
      <c r="D153" s="118"/>
      <c r="E153" s="118"/>
      <c r="F153" s="820"/>
      <c r="G153" s="675">
        <f>+CUBICACION!J147</f>
        <v>0</v>
      </c>
      <c r="H153" s="118"/>
      <c r="I153" s="821">
        <f>+CUBICACION!L147</f>
        <v>0</v>
      </c>
      <c r="J153" s="64">
        <f>+CUBICACION!M147</f>
        <v>0</v>
      </c>
      <c r="K153" s="822" t="str">
        <f>+CUBICACION!N147</f>
        <v/>
      </c>
      <c r="L153" s="118">
        <f>+CUBICACION!O147</f>
        <v>0</v>
      </c>
      <c r="M153" s="823">
        <f>+CUBICACION!P147</f>
        <v>0</v>
      </c>
      <c r="N153" s="902">
        <f>ROUND(IF(AND(L153="Blaze Shield II",M153="Software Idiem",C153="IN",G153=4),((('BLAZE SHIELD II'!$D$4*('CALCULO MORTERO'!I153^2)+'BLAZE SHIELD II'!$D$5*'CALCULO MORTERO'!I153+'BLAZE SHIELD II'!$D$6)*LN(J153))+('BLAZE SHIELD II'!$D$7*('CALCULO MORTERO'!I153^2)+'BLAZE SHIELD II'!$D$8*'CALCULO MORTERO'!I153+'BLAZE SHIELD II'!$D$9)),0)+IF(AND(L153="Blaze Shield II",M153="Software Idiem",C153="Cj"),((('BLAZE SHIELD II'!$H$4*('CALCULO MORTERO'!I153^2)+'BLAZE SHIELD II'!$H$5*'CALCULO MORTERO'!I153+'BLAZE SHIELD II'!$H$6)*LN(J153))+('BLAZE SHIELD II'!$H$7*('CALCULO MORTERO'!I153^2)+'BLAZE SHIELD II'!$H$8*'CALCULO MORTERO'!I153+'BLAZE SHIELD II'!$H$9)),0)+IF(AND(L153="Blaze Shield II",M153="Software Idiem",C153="C"),((('BLAZE SHIELD II'!$L$4*('CALCULO MORTERO'!I153^2)+'BLAZE SHIELD II'!$L$5*'CALCULO MORTERO'!I153+'BLAZE SHIELD II'!$L$6)*LN(J153))+('BLAZE SHIELD II'!$L$7*('CALCULO MORTERO'!I153^2)+'BLAZE SHIELD II'!$L$8*'CALCULO MORTERO'!I153+'BLAZE SHIELD II'!$L$9)),0)+IF(AND(L153="Blaze Shield II",M153="Software Idiem",C153="L"),((('BLAZE SHIELD II'!$L$4*('CALCULO MORTERO'!I153^2)+'BLAZE SHIELD II'!$L$5*'CALCULO MORTERO'!I153+'BLAZE SHIELD II'!$L$6)*LN(J153))+('BLAZE SHIELD II'!$L$7*('CALCULO MORTERO'!I153^2)+'BLAZE SHIELD II'!$L$8*'CALCULO MORTERO'!I153+'BLAZE SHIELD II'!$L$9)),0)+IF(AND(L153="Blaze Shield II",M153="Software Idiem",C153="IN",G153=3),((('BLAZE SHIELD II'!$H$14*('CALCULO MORTERO'!I153^2)+'BLAZE SHIELD II'!$H$15*'CALCULO MORTERO'!I153+'BLAZE SHIELD II'!$H$16)*LN(J153))+('BLAZE SHIELD II'!$H$17*('CALCULO MORTERO'!I153^2)+'BLAZE SHIELD II'!$H$18*'CALCULO MORTERO'!I153+'BLAZE SHIELD II'!$H$19)),0),0)+ROUND(IF(AND(L153="Cafco 400",M153="Software Idiem",C153="IN",G153=4),((('CAFCO 400 '!$H$7*(J153^4)+'CAFCO 400 '!$H$8*(J153^3)+'CAFCO 400 '!$H$9*(J153^2)+'CAFCO 400 '!$H$10*J153+'CAFCO 400 '!$H$11)*U153^2)+(('CAFCO 400 '!$H$12*(J153^3)+'CAFCO 400 '!$H$13*(J153^2)+'CAFCO 400 '!$H$14*J153+'CAFCO 400 '!$H$15)*U153)+('CAFCO 400 '!$H$16*(J153^2)+'CAFCO 400 '!$H$17*J153+'CAFCO 400 '!$H$18)),0)+IF(AND(L153="Cafco 400",M153="Software Idiem",C153="Cj"),(((('CAFCO 400 '!$D$7*LN(J153)+'CAFCO 400 '!$D$8)*U153^2)+(('CAFCO 400 '!$D$9*LN(J153)+'CAFCO 400 '!$D$10)*U153)+('CAFCO 400 '!$D$11*LN(J153)+'CAFCO 400 '!$D$12))),0)+IF(AND(L153="Cafco 400",M153="Software Idiem",C153="C"),((('CAFCO 400 '!$L$7*(J153^3)+'CAFCO 400 '!$L$8*(J153^2)+'CAFCO 400 '!$L$9*J153+'CAFCO 400 '!$L$10)*U153^2)+(('CAFCO 400 '!$L$11*(J153^3)+'CAFCO 400 '!$L$12*(J153^2)+'CAFCO 400 '!$L$13*J153+'CAFCO 400 '!$L$14)*U153)+('CAFCO 400 '!$L$15*LN(J153)+'CAFCO 400 '!$L$16)),0)+IF(AND(L153="Cafco 400",M153="Software Idiem",C153="L"),((('CAFCO 400 '!$L$7*(J153^3)+'CAFCO 400 '!$L$8*(J153^2)+'CAFCO 400 '!$L$9*J153+'CAFCO 400 '!$L$10)*U153^2)+(('CAFCO 400 '!$L$11*(J153^3)+'CAFCO 400 '!$L$12*(J153^2)+'CAFCO 400 '!$L$13*J153+'CAFCO 400 '!$L$14)*U153)+('CAFCO 400 '!$L$15*LN(J153)+'CAFCO 400 '!$L$16)),0)+IF(AND(L153="Cafco 400",M153="Software Idiem",C153="IN",G153=3),((('CAFCO 400 '!$D$23*(J153^2)+'CAFCO 400 '!$D$24*(J153)+'CAFCO 400 '!$D$25)*U153^2)+(('CAFCO 400 '!$D$26*(J153^2)+'CAFCO 400 '!$D$27*J153+'CAFCO 400 '!$D$28)*U153)+('CAFCO 400 '!$D$29*(J153^2)+'CAFCO 400 '!$D$30*J153+'CAFCO 400 '!$D$31)),0),0)+IF(AND(L153="Cafco 300",J153&gt;=95,J153&lt;=240,C153="Cj",I153=90),VLOOKUP(T153,'CAFCO 300 IDIEM TABLAS'!$B$4:$D$23,2,FALSE),0)+IF(AND(L153="Cafco 300",J153&gt;=95,J153&lt;=240,C153="Cj",I153=120),VLOOKUP(T153,'CAFCO 300 IDIEM TABLAS'!$B$4:$D$23,3,FALSE),0)+IF(AND(L153="Cafco 300",J153&gt;=95,J153&lt;=400,G153=3,C153="IN",I153=90),VLOOKUP(T153,'CAFCO 300 IDIEM TABLAS'!$F$4:$H$35,2,FALSE),0)+IF(AND(L153="Cafco 300",J153&gt;=95,J153&lt;=400,G153=3,C153="IN",I153=120),VLOOKUP(T153,'CAFCO 300 IDIEM TABLAS'!$F$4:$H$35,3,FALSE),0)+IF(AND(L153="Cafco 300",J153&gt;=95,J153&lt;=450,G153=4,C153="IN",I153=90),VLOOKUP(T153,'CAFCO 300 IDIEM TABLAS'!$J$4:$L$40,2,FALSE),0)+IF(AND(L153="Cafco 300",J153&gt;=95,J153&lt;=450,G153=4,C153="IN",I153=120),VLOOKUP(T153,'CAFCO 300 IDIEM TABLAS'!$J$4:$L$40,3,FALSE),0)+IF(AND(M153="Ensayo Idiem",L153="Cafco 400",C153="IN",G153=4,I153=90),VLOOKUP(T153,'CAFCO 400 ENSAYO'!$B$7:$D$43,2,FALSE),0)+IF(AND(M153="Ensayo Idiem",L153="Cafco 400",C153="IN",G153=4,I153=120),VLOOKUP(T153,'CAFCO 400 ENSAYO'!$B$7:$D$43,3,FALSE),0)</f>
        <v>0</v>
      </c>
      <c r="O153" s="96">
        <f t="shared" si="21"/>
        <v>0</v>
      </c>
      <c r="P153" s="95" t="str">
        <f t="shared" si="22"/>
        <v>N/A</v>
      </c>
      <c r="Q153" s="95" t="str">
        <f t="shared" si="23"/>
        <v>N/A</v>
      </c>
      <c r="R153" s="95" t="str">
        <f t="shared" si="24"/>
        <v>NO CERT.</v>
      </c>
      <c r="S153" s="95" t="e">
        <f t="shared" si="19"/>
        <v>#N/A</v>
      </c>
      <c r="T153" s="119" t="e">
        <f>+IF(J153=LOOKUP(J153,'CAFCO 300 IDIEM TABLAS'!$J$4:$J$40),'CALCULO MORTERO'!J153,MROUND('CALCULO MORTERO'!J153,10))</f>
        <v>#N/A</v>
      </c>
      <c r="U153" s="118">
        <f t="shared" si="20"/>
        <v>0</v>
      </c>
      <c r="Y153" s="4"/>
      <c r="Z153" s="4"/>
      <c r="AA153" s="4"/>
    </row>
    <row r="154" spans="1:27" ht="15.6" customHeight="1" x14ac:dyDescent="0.25">
      <c r="A154" s="118">
        <f>+CUBICACION!D148</f>
        <v>0</v>
      </c>
      <c r="B154" s="819">
        <f>+CUBICACION!E148</f>
        <v>0</v>
      </c>
      <c r="C154" s="675">
        <f>+CUBICACION!F148</f>
        <v>0</v>
      </c>
      <c r="D154" s="118"/>
      <c r="E154" s="118"/>
      <c r="F154" s="820"/>
      <c r="G154" s="675">
        <f>+CUBICACION!J148</f>
        <v>0</v>
      </c>
      <c r="H154" s="118"/>
      <c r="I154" s="821">
        <f>+CUBICACION!L148</f>
        <v>0</v>
      </c>
      <c r="J154" s="64">
        <f>+CUBICACION!M148</f>
        <v>0</v>
      </c>
      <c r="K154" s="822" t="str">
        <f>+CUBICACION!N148</f>
        <v/>
      </c>
      <c r="L154" s="118">
        <f>+CUBICACION!O148</f>
        <v>0</v>
      </c>
      <c r="M154" s="823">
        <f>+CUBICACION!P148</f>
        <v>0</v>
      </c>
      <c r="N154" s="902">
        <f>ROUND(IF(AND(L154="Blaze Shield II",M154="Software Idiem",C154="IN",G154=4),((('BLAZE SHIELD II'!$D$4*('CALCULO MORTERO'!I154^2)+'BLAZE SHIELD II'!$D$5*'CALCULO MORTERO'!I154+'BLAZE SHIELD II'!$D$6)*LN(J154))+('BLAZE SHIELD II'!$D$7*('CALCULO MORTERO'!I154^2)+'BLAZE SHIELD II'!$D$8*'CALCULO MORTERO'!I154+'BLAZE SHIELD II'!$D$9)),0)+IF(AND(L154="Blaze Shield II",M154="Software Idiem",C154="Cj"),((('BLAZE SHIELD II'!$H$4*('CALCULO MORTERO'!I154^2)+'BLAZE SHIELD II'!$H$5*'CALCULO MORTERO'!I154+'BLAZE SHIELD II'!$H$6)*LN(J154))+('BLAZE SHIELD II'!$H$7*('CALCULO MORTERO'!I154^2)+'BLAZE SHIELD II'!$H$8*'CALCULO MORTERO'!I154+'BLAZE SHIELD II'!$H$9)),0)+IF(AND(L154="Blaze Shield II",M154="Software Idiem",C154="C"),((('BLAZE SHIELD II'!$L$4*('CALCULO MORTERO'!I154^2)+'BLAZE SHIELD II'!$L$5*'CALCULO MORTERO'!I154+'BLAZE SHIELD II'!$L$6)*LN(J154))+('BLAZE SHIELD II'!$L$7*('CALCULO MORTERO'!I154^2)+'BLAZE SHIELD II'!$L$8*'CALCULO MORTERO'!I154+'BLAZE SHIELD II'!$L$9)),0)+IF(AND(L154="Blaze Shield II",M154="Software Idiem",C154="L"),((('BLAZE SHIELD II'!$L$4*('CALCULO MORTERO'!I154^2)+'BLAZE SHIELD II'!$L$5*'CALCULO MORTERO'!I154+'BLAZE SHIELD II'!$L$6)*LN(J154))+('BLAZE SHIELD II'!$L$7*('CALCULO MORTERO'!I154^2)+'BLAZE SHIELD II'!$L$8*'CALCULO MORTERO'!I154+'BLAZE SHIELD II'!$L$9)),0)+IF(AND(L154="Blaze Shield II",M154="Software Idiem",C154="IN",G154=3),((('BLAZE SHIELD II'!$H$14*('CALCULO MORTERO'!I154^2)+'BLAZE SHIELD II'!$H$15*'CALCULO MORTERO'!I154+'BLAZE SHIELD II'!$H$16)*LN(J154))+('BLAZE SHIELD II'!$H$17*('CALCULO MORTERO'!I154^2)+'BLAZE SHIELD II'!$H$18*'CALCULO MORTERO'!I154+'BLAZE SHIELD II'!$H$19)),0),0)+ROUND(IF(AND(L154="Cafco 400",M154="Software Idiem",C154="IN",G154=4),((('CAFCO 400 '!$H$7*(J154^4)+'CAFCO 400 '!$H$8*(J154^3)+'CAFCO 400 '!$H$9*(J154^2)+'CAFCO 400 '!$H$10*J154+'CAFCO 400 '!$H$11)*U154^2)+(('CAFCO 400 '!$H$12*(J154^3)+'CAFCO 400 '!$H$13*(J154^2)+'CAFCO 400 '!$H$14*J154+'CAFCO 400 '!$H$15)*U154)+('CAFCO 400 '!$H$16*(J154^2)+'CAFCO 400 '!$H$17*J154+'CAFCO 400 '!$H$18)),0)+IF(AND(L154="Cafco 400",M154="Software Idiem",C154="Cj"),(((('CAFCO 400 '!$D$7*LN(J154)+'CAFCO 400 '!$D$8)*U154^2)+(('CAFCO 400 '!$D$9*LN(J154)+'CAFCO 400 '!$D$10)*U154)+('CAFCO 400 '!$D$11*LN(J154)+'CAFCO 400 '!$D$12))),0)+IF(AND(L154="Cafco 400",M154="Software Idiem",C154="C"),((('CAFCO 400 '!$L$7*(J154^3)+'CAFCO 400 '!$L$8*(J154^2)+'CAFCO 400 '!$L$9*J154+'CAFCO 400 '!$L$10)*U154^2)+(('CAFCO 400 '!$L$11*(J154^3)+'CAFCO 400 '!$L$12*(J154^2)+'CAFCO 400 '!$L$13*J154+'CAFCO 400 '!$L$14)*U154)+('CAFCO 400 '!$L$15*LN(J154)+'CAFCO 400 '!$L$16)),0)+IF(AND(L154="Cafco 400",M154="Software Idiem",C154="L"),((('CAFCO 400 '!$L$7*(J154^3)+'CAFCO 400 '!$L$8*(J154^2)+'CAFCO 400 '!$L$9*J154+'CAFCO 400 '!$L$10)*U154^2)+(('CAFCO 400 '!$L$11*(J154^3)+'CAFCO 400 '!$L$12*(J154^2)+'CAFCO 400 '!$L$13*J154+'CAFCO 400 '!$L$14)*U154)+('CAFCO 400 '!$L$15*LN(J154)+'CAFCO 400 '!$L$16)),0)+IF(AND(L154="Cafco 400",M154="Software Idiem",C154="IN",G154=3),((('CAFCO 400 '!$D$23*(J154^2)+'CAFCO 400 '!$D$24*(J154)+'CAFCO 400 '!$D$25)*U154^2)+(('CAFCO 400 '!$D$26*(J154^2)+'CAFCO 400 '!$D$27*J154+'CAFCO 400 '!$D$28)*U154)+('CAFCO 400 '!$D$29*(J154^2)+'CAFCO 400 '!$D$30*J154+'CAFCO 400 '!$D$31)),0),0)+IF(AND(L154="Cafco 300",J154&gt;=95,J154&lt;=240,C154="Cj",I154=90),VLOOKUP(T154,'CAFCO 300 IDIEM TABLAS'!$B$4:$D$23,2,FALSE),0)+IF(AND(L154="Cafco 300",J154&gt;=95,J154&lt;=240,C154="Cj",I154=120),VLOOKUP(T154,'CAFCO 300 IDIEM TABLAS'!$B$4:$D$23,3,FALSE),0)+IF(AND(L154="Cafco 300",J154&gt;=95,J154&lt;=400,G154=3,C154="IN",I154=90),VLOOKUP(T154,'CAFCO 300 IDIEM TABLAS'!$F$4:$H$35,2,FALSE),0)+IF(AND(L154="Cafco 300",J154&gt;=95,J154&lt;=400,G154=3,C154="IN",I154=120),VLOOKUP(T154,'CAFCO 300 IDIEM TABLAS'!$F$4:$H$35,3,FALSE),0)+IF(AND(L154="Cafco 300",J154&gt;=95,J154&lt;=450,G154=4,C154="IN",I154=90),VLOOKUP(T154,'CAFCO 300 IDIEM TABLAS'!$J$4:$L$40,2,FALSE),0)+IF(AND(L154="Cafco 300",J154&gt;=95,J154&lt;=450,G154=4,C154="IN",I154=120),VLOOKUP(T154,'CAFCO 300 IDIEM TABLAS'!$J$4:$L$40,3,FALSE),0)+IF(AND(M154="Ensayo Idiem",L154="Cafco 400",C154="IN",G154=4,I154=90),VLOOKUP(T154,'CAFCO 400 ENSAYO'!$B$7:$D$43,2,FALSE),0)+IF(AND(M154="Ensayo Idiem",L154="Cafco 400",C154="IN",G154=4,I154=120),VLOOKUP(T154,'CAFCO 400 ENSAYO'!$B$7:$D$43,3,FALSE),0)</f>
        <v>0</v>
      </c>
      <c r="O154" s="96">
        <f t="shared" si="21"/>
        <v>0</v>
      </c>
      <c r="P154" s="95" t="str">
        <f t="shared" si="22"/>
        <v>N/A</v>
      </c>
      <c r="Q154" s="95" t="str">
        <f t="shared" si="23"/>
        <v>N/A</v>
      </c>
      <c r="R154" s="95" t="str">
        <f t="shared" si="24"/>
        <v>NO CERT.</v>
      </c>
      <c r="S154" s="95" t="e">
        <f t="shared" si="19"/>
        <v>#N/A</v>
      </c>
      <c r="T154" s="119" t="e">
        <f>+IF(J154=LOOKUP(J154,'CAFCO 300 IDIEM TABLAS'!$J$4:$J$40),'CALCULO MORTERO'!J154,MROUND('CALCULO MORTERO'!J154,10))</f>
        <v>#N/A</v>
      </c>
      <c r="U154" s="118">
        <f t="shared" si="20"/>
        <v>0</v>
      </c>
      <c r="Y154" s="4"/>
      <c r="Z154" s="4"/>
      <c r="AA154" s="4"/>
    </row>
    <row r="155" spans="1:27" x14ac:dyDescent="0.25">
      <c r="A155" s="118">
        <f>+CUBICACION!D149</f>
        <v>0</v>
      </c>
      <c r="B155" s="819">
        <f>+CUBICACION!E149</f>
        <v>0</v>
      </c>
      <c r="C155" s="675">
        <f>+CUBICACION!F149</f>
        <v>0</v>
      </c>
      <c r="D155" s="118"/>
      <c r="E155" s="118"/>
      <c r="F155" s="820"/>
      <c r="G155" s="675">
        <f>+CUBICACION!J149</f>
        <v>0</v>
      </c>
      <c r="H155" s="118"/>
      <c r="I155" s="821">
        <f>+CUBICACION!L149</f>
        <v>0</v>
      </c>
      <c r="J155" s="64">
        <f>+CUBICACION!M149</f>
        <v>0</v>
      </c>
      <c r="K155" s="822" t="str">
        <f>+CUBICACION!N149</f>
        <v/>
      </c>
      <c r="L155" s="118">
        <f>+CUBICACION!O149</f>
        <v>0</v>
      </c>
      <c r="M155" s="823">
        <f>+CUBICACION!P149</f>
        <v>0</v>
      </c>
      <c r="N155" s="902">
        <f>ROUND(IF(AND(L155="Blaze Shield II",M155="Software Idiem",C155="IN",G155=4),((('BLAZE SHIELD II'!$D$4*('CALCULO MORTERO'!I155^2)+'BLAZE SHIELD II'!$D$5*'CALCULO MORTERO'!I155+'BLAZE SHIELD II'!$D$6)*LN(J155))+('BLAZE SHIELD II'!$D$7*('CALCULO MORTERO'!I155^2)+'BLAZE SHIELD II'!$D$8*'CALCULO MORTERO'!I155+'BLAZE SHIELD II'!$D$9)),0)+IF(AND(L155="Blaze Shield II",M155="Software Idiem",C155="Cj"),((('BLAZE SHIELD II'!$H$4*('CALCULO MORTERO'!I155^2)+'BLAZE SHIELD II'!$H$5*'CALCULO MORTERO'!I155+'BLAZE SHIELD II'!$H$6)*LN(J155))+('BLAZE SHIELD II'!$H$7*('CALCULO MORTERO'!I155^2)+'BLAZE SHIELD II'!$H$8*'CALCULO MORTERO'!I155+'BLAZE SHIELD II'!$H$9)),0)+IF(AND(L155="Blaze Shield II",M155="Software Idiem",C155="C"),((('BLAZE SHIELD II'!$L$4*('CALCULO MORTERO'!I155^2)+'BLAZE SHIELD II'!$L$5*'CALCULO MORTERO'!I155+'BLAZE SHIELD II'!$L$6)*LN(J155))+('BLAZE SHIELD II'!$L$7*('CALCULO MORTERO'!I155^2)+'BLAZE SHIELD II'!$L$8*'CALCULO MORTERO'!I155+'BLAZE SHIELD II'!$L$9)),0)+IF(AND(L155="Blaze Shield II",M155="Software Idiem",C155="L"),((('BLAZE SHIELD II'!$L$4*('CALCULO MORTERO'!I155^2)+'BLAZE SHIELD II'!$L$5*'CALCULO MORTERO'!I155+'BLAZE SHIELD II'!$L$6)*LN(J155))+('BLAZE SHIELD II'!$L$7*('CALCULO MORTERO'!I155^2)+'BLAZE SHIELD II'!$L$8*'CALCULO MORTERO'!I155+'BLAZE SHIELD II'!$L$9)),0)+IF(AND(L155="Blaze Shield II",M155="Software Idiem",C155="IN",G155=3),((('BLAZE SHIELD II'!$H$14*('CALCULO MORTERO'!I155^2)+'BLAZE SHIELD II'!$H$15*'CALCULO MORTERO'!I155+'BLAZE SHIELD II'!$H$16)*LN(J155))+('BLAZE SHIELD II'!$H$17*('CALCULO MORTERO'!I155^2)+'BLAZE SHIELD II'!$H$18*'CALCULO MORTERO'!I155+'BLAZE SHIELD II'!$H$19)),0),0)+ROUND(IF(AND(L155="Cafco 400",M155="Software Idiem",C155="IN",G155=4),((('CAFCO 400 '!$H$7*(J155^4)+'CAFCO 400 '!$H$8*(J155^3)+'CAFCO 400 '!$H$9*(J155^2)+'CAFCO 400 '!$H$10*J155+'CAFCO 400 '!$H$11)*U155^2)+(('CAFCO 400 '!$H$12*(J155^3)+'CAFCO 400 '!$H$13*(J155^2)+'CAFCO 400 '!$H$14*J155+'CAFCO 400 '!$H$15)*U155)+('CAFCO 400 '!$H$16*(J155^2)+'CAFCO 400 '!$H$17*J155+'CAFCO 400 '!$H$18)),0)+IF(AND(L155="Cafco 400",M155="Software Idiem",C155="Cj"),(((('CAFCO 400 '!$D$7*LN(J155)+'CAFCO 400 '!$D$8)*U155^2)+(('CAFCO 400 '!$D$9*LN(J155)+'CAFCO 400 '!$D$10)*U155)+('CAFCO 400 '!$D$11*LN(J155)+'CAFCO 400 '!$D$12))),0)+IF(AND(L155="Cafco 400",M155="Software Idiem",C155="C"),((('CAFCO 400 '!$L$7*(J155^3)+'CAFCO 400 '!$L$8*(J155^2)+'CAFCO 400 '!$L$9*J155+'CAFCO 400 '!$L$10)*U155^2)+(('CAFCO 400 '!$L$11*(J155^3)+'CAFCO 400 '!$L$12*(J155^2)+'CAFCO 400 '!$L$13*J155+'CAFCO 400 '!$L$14)*U155)+('CAFCO 400 '!$L$15*LN(J155)+'CAFCO 400 '!$L$16)),0)+IF(AND(L155="Cafco 400",M155="Software Idiem",C155="L"),((('CAFCO 400 '!$L$7*(J155^3)+'CAFCO 400 '!$L$8*(J155^2)+'CAFCO 400 '!$L$9*J155+'CAFCO 400 '!$L$10)*U155^2)+(('CAFCO 400 '!$L$11*(J155^3)+'CAFCO 400 '!$L$12*(J155^2)+'CAFCO 400 '!$L$13*J155+'CAFCO 400 '!$L$14)*U155)+('CAFCO 400 '!$L$15*LN(J155)+'CAFCO 400 '!$L$16)),0)+IF(AND(L155="Cafco 400",M155="Software Idiem",C155="IN",G155=3),((('CAFCO 400 '!$D$23*(J155^2)+'CAFCO 400 '!$D$24*(J155)+'CAFCO 400 '!$D$25)*U155^2)+(('CAFCO 400 '!$D$26*(J155^2)+'CAFCO 400 '!$D$27*J155+'CAFCO 400 '!$D$28)*U155)+('CAFCO 400 '!$D$29*(J155^2)+'CAFCO 400 '!$D$30*J155+'CAFCO 400 '!$D$31)),0),0)+IF(AND(L155="Cafco 300",J155&gt;=95,J155&lt;=240,C155="Cj",I155=90),VLOOKUP(T155,'CAFCO 300 IDIEM TABLAS'!$B$4:$D$23,2,FALSE),0)+IF(AND(L155="Cafco 300",J155&gt;=95,J155&lt;=240,C155="Cj",I155=120),VLOOKUP(T155,'CAFCO 300 IDIEM TABLAS'!$B$4:$D$23,3,FALSE),0)+IF(AND(L155="Cafco 300",J155&gt;=95,J155&lt;=400,G155=3,C155="IN",I155=90),VLOOKUP(T155,'CAFCO 300 IDIEM TABLAS'!$F$4:$H$35,2,FALSE),0)+IF(AND(L155="Cafco 300",J155&gt;=95,J155&lt;=400,G155=3,C155="IN",I155=120),VLOOKUP(T155,'CAFCO 300 IDIEM TABLAS'!$F$4:$H$35,3,FALSE),0)+IF(AND(L155="Cafco 300",J155&gt;=95,J155&lt;=450,G155=4,C155="IN",I155=90),VLOOKUP(T155,'CAFCO 300 IDIEM TABLAS'!$J$4:$L$40,2,FALSE),0)+IF(AND(L155="Cafco 300",J155&gt;=95,J155&lt;=450,G155=4,C155="IN",I155=120),VLOOKUP(T155,'CAFCO 300 IDIEM TABLAS'!$J$4:$L$40,3,FALSE),0)+IF(AND(M155="Ensayo Idiem",L155="Cafco 400",C155="IN",G155=4,I155=90),VLOOKUP(T155,'CAFCO 400 ENSAYO'!$B$7:$D$43,2,FALSE),0)+IF(AND(M155="Ensayo Idiem",L155="Cafco 400",C155="IN",G155=4,I155=120),VLOOKUP(T155,'CAFCO 400 ENSAYO'!$B$7:$D$43,3,FALSE),0)</f>
        <v>0</v>
      </c>
      <c r="O155" s="96">
        <f t="shared" si="21"/>
        <v>0</v>
      </c>
      <c r="P155" s="95" t="str">
        <f t="shared" si="22"/>
        <v>N/A</v>
      </c>
      <c r="Q155" s="95" t="str">
        <f t="shared" si="23"/>
        <v>N/A</v>
      </c>
      <c r="R155" s="95" t="str">
        <f t="shared" si="24"/>
        <v>NO CERT.</v>
      </c>
      <c r="S155" s="95" t="e">
        <f t="shared" si="19"/>
        <v>#N/A</v>
      </c>
      <c r="T155" s="119" t="e">
        <f>+IF(J155=LOOKUP(J155,'CAFCO 300 IDIEM TABLAS'!$J$4:$J$40),'CALCULO MORTERO'!J155,MROUND('CALCULO MORTERO'!J155,10))</f>
        <v>#N/A</v>
      </c>
      <c r="U155" s="118">
        <f t="shared" si="20"/>
        <v>0</v>
      </c>
      <c r="Y155" s="4"/>
      <c r="Z155" s="4"/>
      <c r="AA155" s="4"/>
    </row>
    <row r="156" spans="1:27" ht="15.6" customHeight="1" x14ac:dyDescent="0.25">
      <c r="A156" s="118">
        <f>+CUBICACION!D150</f>
        <v>0</v>
      </c>
      <c r="B156" s="819">
        <f>+CUBICACION!E150</f>
        <v>0</v>
      </c>
      <c r="C156" s="675">
        <f>+CUBICACION!F150</f>
        <v>0</v>
      </c>
      <c r="D156" s="118"/>
      <c r="E156" s="118"/>
      <c r="F156" s="820"/>
      <c r="G156" s="675">
        <f>+CUBICACION!J150</f>
        <v>0</v>
      </c>
      <c r="H156" s="118"/>
      <c r="I156" s="821">
        <f>+CUBICACION!L150</f>
        <v>0</v>
      </c>
      <c r="J156" s="64">
        <f>+CUBICACION!M150</f>
        <v>0</v>
      </c>
      <c r="K156" s="822" t="str">
        <f>+CUBICACION!N150</f>
        <v/>
      </c>
      <c r="L156" s="118">
        <f>+CUBICACION!O150</f>
        <v>0</v>
      </c>
      <c r="M156" s="823">
        <f>+CUBICACION!P150</f>
        <v>0</v>
      </c>
      <c r="N156" s="902">
        <f>ROUND(IF(AND(L156="Blaze Shield II",M156="Software Idiem",C156="IN",G156=4),((('BLAZE SHIELD II'!$D$4*('CALCULO MORTERO'!I156^2)+'BLAZE SHIELD II'!$D$5*'CALCULO MORTERO'!I156+'BLAZE SHIELD II'!$D$6)*LN(J156))+('BLAZE SHIELD II'!$D$7*('CALCULO MORTERO'!I156^2)+'BLAZE SHIELD II'!$D$8*'CALCULO MORTERO'!I156+'BLAZE SHIELD II'!$D$9)),0)+IF(AND(L156="Blaze Shield II",M156="Software Idiem",C156="Cj"),((('BLAZE SHIELD II'!$H$4*('CALCULO MORTERO'!I156^2)+'BLAZE SHIELD II'!$H$5*'CALCULO MORTERO'!I156+'BLAZE SHIELD II'!$H$6)*LN(J156))+('BLAZE SHIELD II'!$H$7*('CALCULO MORTERO'!I156^2)+'BLAZE SHIELD II'!$H$8*'CALCULO MORTERO'!I156+'BLAZE SHIELD II'!$H$9)),0)+IF(AND(L156="Blaze Shield II",M156="Software Idiem",C156="C"),((('BLAZE SHIELD II'!$L$4*('CALCULO MORTERO'!I156^2)+'BLAZE SHIELD II'!$L$5*'CALCULO MORTERO'!I156+'BLAZE SHIELD II'!$L$6)*LN(J156))+('BLAZE SHIELD II'!$L$7*('CALCULO MORTERO'!I156^2)+'BLAZE SHIELD II'!$L$8*'CALCULO MORTERO'!I156+'BLAZE SHIELD II'!$L$9)),0)+IF(AND(L156="Blaze Shield II",M156="Software Idiem",C156="L"),((('BLAZE SHIELD II'!$L$4*('CALCULO MORTERO'!I156^2)+'BLAZE SHIELD II'!$L$5*'CALCULO MORTERO'!I156+'BLAZE SHIELD II'!$L$6)*LN(J156))+('BLAZE SHIELD II'!$L$7*('CALCULO MORTERO'!I156^2)+'BLAZE SHIELD II'!$L$8*'CALCULO MORTERO'!I156+'BLAZE SHIELD II'!$L$9)),0)+IF(AND(L156="Blaze Shield II",M156="Software Idiem",C156="IN",G156=3),((('BLAZE SHIELD II'!$H$14*('CALCULO MORTERO'!I156^2)+'BLAZE SHIELD II'!$H$15*'CALCULO MORTERO'!I156+'BLAZE SHIELD II'!$H$16)*LN(J156))+('BLAZE SHIELD II'!$H$17*('CALCULO MORTERO'!I156^2)+'BLAZE SHIELD II'!$H$18*'CALCULO MORTERO'!I156+'BLAZE SHIELD II'!$H$19)),0),0)+ROUND(IF(AND(L156="Cafco 400",M156="Software Idiem",C156="IN",G156=4),((('CAFCO 400 '!$H$7*(J156^4)+'CAFCO 400 '!$H$8*(J156^3)+'CAFCO 400 '!$H$9*(J156^2)+'CAFCO 400 '!$H$10*J156+'CAFCO 400 '!$H$11)*U156^2)+(('CAFCO 400 '!$H$12*(J156^3)+'CAFCO 400 '!$H$13*(J156^2)+'CAFCO 400 '!$H$14*J156+'CAFCO 400 '!$H$15)*U156)+('CAFCO 400 '!$H$16*(J156^2)+'CAFCO 400 '!$H$17*J156+'CAFCO 400 '!$H$18)),0)+IF(AND(L156="Cafco 400",M156="Software Idiem",C156="Cj"),(((('CAFCO 400 '!$D$7*LN(J156)+'CAFCO 400 '!$D$8)*U156^2)+(('CAFCO 400 '!$D$9*LN(J156)+'CAFCO 400 '!$D$10)*U156)+('CAFCO 400 '!$D$11*LN(J156)+'CAFCO 400 '!$D$12))),0)+IF(AND(L156="Cafco 400",M156="Software Idiem",C156="C"),((('CAFCO 400 '!$L$7*(J156^3)+'CAFCO 400 '!$L$8*(J156^2)+'CAFCO 400 '!$L$9*J156+'CAFCO 400 '!$L$10)*U156^2)+(('CAFCO 400 '!$L$11*(J156^3)+'CAFCO 400 '!$L$12*(J156^2)+'CAFCO 400 '!$L$13*J156+'CAFCO 400 '!$L$14)*U156)+('CAFCO 400 '!$L$15*LN(J156)+'CAFCO 400 '!$L$16)),0)+IF(AND(L156="Cafco 400",M156="Software Idiem",C156="L"),((('CAFCO 400 '!$L$7*(J156^3)+'CAFCO 400 '!$L$8*(J156^2)+'CAFCO 400 '!$L$9*J156+'CAFCO 400 '!$L$10)*U156^2)+(('CAFCO 400 '!$L$11*(J156^3)+'CAFCO 400 '!$L$12*(J156^2)+'CAFCO 400 '!$L$13*J156+'CAFCO 400 '!$L$14)*U156)+('CAFCO 400 '!$L$15*LN(J156)+'CAFCO 400 '!$L$16)),0)+IF(AND(L156="Cafco 400",M156="Software Idiem",C156="IN",G156=3),((('CAFCO 400 '!$D$23*(J156^2)+'CAFCO 400 '!$D$24*(J156)+'CAFCO 400 '!$D$25)*U156^2)+(('CAFCO 400 '!$D$26*(J156^2)+'CAFCO 400 '!$D$27*J156+'CAFCO 400 '!$D$28)*U156)+('CAFCO 400 '!$D$29*(J156^2)+'CAFCO 400 '!$D$30*J156+'CAFCO 400 '!$D$31)),0),0)+IF(AND(L156="Cafco 300",J156&gt;=95,J156&lt;=240,C156="Cj",I156=90),VLOOKUP(T156,'CAFCO 300 IDIEM TABLAS'!$B$4:$D$23,2,FALSE),0)+IF(AND(L156="Cafco 300",J156&gt;=95,J156&lt;=240,C156="Cj",I156=120),VLOOKUP(T156,'CAFCO 300 IDIEM TABLAS'!$B$4:$D$23,3,FALSE),0)+IF(AND(L156="Cafco 300",J156&gt;=95,J156&lt;=400,G156=3,C156="IN",I156=90),VLOOKUP(T156,'CAFCO 300 IDIEM TABLAS'!$F$4:$H$35,2,FALSE),0)+IF(AND(L156="Cafco 300",J156&gt;=95,J156&lt;=400,G156=3,C156="IN",I156=120),VLOOKUP(T156,'CAFCO 300 IDIEM TABLAS'!$F$4:$H$35,3,FALSE),0)+IF(AND(L156="Cafco 300",J156&gt;=95,J156&lt;=450,G156=4,C156="IN",I156=90),VLOOKUP(T156,'CAFCO 300 IDIEM TABLAS'!$J$4:$L$40,2,FALSE),0)+IF(AND(L156="Cafco 300",J156&gt;=95,J156&lt;=450,G156=4,C156="IN",I156=120),VLOOKUP(T156,'CAFCO 300 IDIEM TABLAS'!$J$4:$L$40,3,FALSE),0)+IF(AND(M156="Ensayo Idiem",L156="Cafco 400",C156="IN",G156=4,I156=90),VLOOKUP(T156,'CAFCO 400 ENSAYO'!$B$7:$D$43,2,FALSE),0)+IF(AND(M156="Ensayo Idiem",L156="Cafco 400",C156="IN",G156=4,I156=120),VLOOKUP(T156,'CAFCO 400 ENSAYO'!$B$7:$D$43,3,FALSE),0)</f>
        <v>0</v>
      </c>
      <c r="O156" s="96">
        <f t="shared" si="21"/>
        <v>0</v>
      </c>
      <c r="P156" s="95" t="str">
        <f t="shared" si="22"/>
        <v>N/A</v>
      </c>
      <c r="Q156" s="95" t="str">
        <f t="shared" si="23"/>
        <v>N/A</v>
      </c>
      <c r="R156" s="95" t="str">
        <f t="shared" si="24"/>
        <v>NO CERT.</v>
      </c>
      <c r="S156" s="95" t="e">
        <f t="shared" si="19"/>
        <v>#N/A</v>
      </c>
      <c r="T156" s="119" t="e">
        <f>+IF(J156=LOOKUP(J156,'CAFCO 300 IDIEM TABLAS'!$J$4:$J$40),'CALCULO MORTERO'!J156,MROUND('CALCULO MORTERO'!J156,10))</f>
        <v>#N/A</v>
      </c>
      <c r="U156" s="118">
        <f t="shared" si="20"/>
        <v>0</v>
      </c>
      <c r="Y156" s="4"/>
      <c r="Z156" s="4"/>
      <c r="AA156" s="4"/>
    </row>
    <row r="157" spans="1:27" x14ac:dyDescent="0.25">
      <c r="A157" s="118">
        <f>+CUBICACION!D151</f>
        <v>0</v>
      </c>
      <c r="B157" s="819">
        <f>+CUBICACION!E151</f>
        <v>0</v>
      </c>
      <c r="C157" s="675">
        <f>+CUBICACION!F151</f>
        <v>0</v>
      </c>
      <c r="D157" s="118"/>
      <c r="E157" s="118"/>
      <c r="F157" s="820"/>
      <c r="G157" s="675">
        <f>+CUBICACION!J151</f>
        <v>0</v>
      </c>
      <c r="H157" s="118"/>
      <c r="I157" s="821">
        <f>+CUBICACION!L151</f>
        <v>0</v>
      </c>
      <c r="J157" s="64">
        <f>+CUBICACION!M151</f>
        <v>0</v>
      </c>
      <c r="K157" s="822" t="str">
        <f>+CUBICACION!N151</f>
        <v/>
      </c>
      <c r="L157" s="118">
        <f>+CUBICACION!O151</f>
        <v>0</v>
      </c>
      <c r="M157" s="823">
        <f>+CUBICACION!P151</f>
        <v>0</v>
      </c>
      <c r="N157" s="902">
        <f>ROUND(IF(AND(L157="Blaze Shield II",M157="Software Idiem",C157="IN",G157=4),((('BLAZE SHIELD II'!$D$4*('CALCULO MORTERO'!I157^2)+'BLAZE SHIELD II'!$D$5*'CALCULO MORTERO'!I157+'BLAZE SHIELD II'!$D$6)*LN(J157))+('BLAZE SHIELD II'!$D$7*('CALCULO MORTERO'!I157^2)+'BLAZE SHIELD II'!$D$8*'CALCULO MORTERO'!I157+'BLAZE SHIELD II'!$D$9)),0)+IF(AND(L157="Blaze Shield II",M157="Software Idiem",C157="Cj"),((('BLAZE SHIELD II'!$H$4*('CALCULO MORTERO'!I157^2)+'BLAZE SHIELD II'!$H$5*'CALCULO MORTERO'!I157+'BLAZE SHIELD II'!$H$6)*LN(J157))+('BLAZE SHIELD II'!$H$7*('CALCULO MORTERO'!I157^2)+'BLAZE SHIELD II'!$H$8*'CALCULO MORTERO'!I157+'BLAZE SHIELD II'!$H$9)),0)+IF(AND(L157="Blaze Shield II",M157="Software Idiem",C157="C"),((('BLAZE SHIELD II'!$L$4*('CALCULO MORTERO'!I157^2)+'BLAZE SHIELD II'!$L$5*'CALCULO MORTERO'!I157+'BLAZE SHIELD II'!$L$6)*LN(J157))+('BLAZE SHIELD II'!$L$7*('CALCULO MORTERO'!I157^2)+'BLAZE SHIELD II'!$L$8*'CALCULO MORTERO'!I157+'BLAZE SHIELD II'!$L$9)),0)+IF(AND(L157="Blaze Shield II",M157="Software Idiem",C157="L"),((('BLAZE SHIELD II'!$L$4*('CALCULO MORTERO'!I157^2)+'BLAZE SHIELD II'!$L$5*'CALCULO MORTERO'!I157+'BLAZE SHIELD II'!$L$6)*LN(J157))+('BLAZE SHIELD II'!$L$7*('CALCULO MORTERO'!I157^2)+'BLAZE SHIELD II'!$L$8*'CALCULO MORTERO'!I157+'BLAZE SHIELD II'!$L$9)),0)+IF(AND(L157="Blaze Shield II",M157="Software Idiem",C157="IN",G157=3),((('BLAZE SHIELD II'!$H$14*('CALCULO MORTERO'!I157^2)+'BLAZE SHIELD II'!$H$15*'CALCULO MORTERO'!I157+'BLAZE SHIELD II'!$H$16)*LN(J157))+('BLAZE SHIELD II'!$H$17*('CALCULO MORTERO'!I157^2)+'BLAZE SHIELD II'!$H$18*'CALCULO MORTERO'!I157+'BLAZE SHIELD II'!$H$19)),0),0)+ROUND(IF(AND(L157="Cafco 400",M157="Software Idiem",C157="IN",G157=4),((('CAFCO 400 '!$H$7*(J157^4)+'CAFCO 400 '!$H$8*(J157^3)+'CAFCO 400 '!$H$9*(J157^2)+'CAFCO 400 '!$H$10*J157+'CAFCO 400 '!$H$11)*U157^2)+(('CAFCO 400 '!$H$12*(J157^3)+'CAFCO 400 '!$H$13*(J157^2)+'CAFCO 400 '!$H$14*J157+'CAFCO 400 '!$H$15)*U157)+('CAFCO 400 '!$H$16*(J157^2)+'CAFCO 400 '!$H$17*J157+'CAFCO 400 '!$H$18)),0)+IF(AND(L157="Cafco 400",M157="Software Idiem",C157="Cj"),(((('CAFCO 400 '!$D$7*LN(J157)+'CAFCO 400 '!$D$8)*U157^2)+(('CAFCO 400 '!$D$9*LN(J157)+'CAFCO 400 '!$D$10)*U157)+('CAFCO 400 '!$D$11*LN(J157)+'CAFCO 400 '!$D$12))),0)+IF(AND(L157="Cafco 400",M157="Software Idiem",C157="C"),((('CAFCO 400 '!$L$7*(J157^3)+'CAFCO 400 '!$L$8*(J157^2)+'CAFCO 400 '!$L$9*J157+'CAFCO 400 '!$L$10)*U157^2)+(('CAFCO 400 '!$L$11*(J157^3)+'CAFCO 400 '!$L$12*(J157^2)+'CAFCO 400 '!$L$13*J157+'CAFCO 400 '!$L$14)*U157)+('CAFCO 400 '!$L$15*LN(J157)+'CAFCO 400 '!$L$16)),0)+IF(AND(L157="Cafco 400",M157="Software Idiem",C157="L"),((('CAFCO 400 '!$L$7*(J157^3)+'CAFCO 400 '!$L$8*(J157^2)+'CAFCO 400 '!$L$9*J157+'CAFCO 400 '!$L$10)*U157^2)+(('CAFCO 400 '!$L$11*(J157^3)+'CAFCO 400 '!$L$12*(J157^2)+'CAFCO 400 '!$L$13*J157+'CAFCO 400 '!$L$14)*U157)+('CAFCO 400 '!$L$15*LN(J157)+'CAFCO 400 '!$L$16)),0)+IF(AND(L157="Cafco 400",M157="Software Idiem",C157="IN",G157=3),((('CAFCO 400 '!$D$23*(J157^2)+'CAFCO 400 '!$D$24*(J157)+'CAFCO 400 '!$D$25)*U157^2)+(('CAFCO 400 '!$D$26*(J157^2)+'CAFCO 400 '!$D$27*J157+'CAFCO 400 '!$D$28)*U157)+('CAFCO 400 '!$D$29*(J157^2)+'CAFCO 400 '!$D$30*J157+'CAFCO 400 '!$D$31)),0),0)+IF(AND(L157="Cafco 300",J157&gt;=95,J157&lt;=240,C157="Cj",I157=90),VLOOKUP(T157,'CAFCO 300 IDIEM TABLAS'!$B$4:$D$23,2,FALSE),0)+IF(AND(L157="Cafco 300",J157&gt;=95,J157&lt;=240,C157="Cj",I157=120),VLOOKUP(T157,'CAFCO 300 IDIEM TABLAS'!$B$4:$D$23,3,FALSE),0)+IF(AND(L157="Cafco 300",J157&gt;=95,J157&lt;=400,G157=3,C157="IN",I157=90),VLOOKUP(T157,'CAFCO 300 IDIEM TABLAS'!$F$4:$H$35,2,FALSE),0)+IF(AND(L157="Cafco 300",J157&gt;=95,J157&lt;=400,G157=3,C157="IN",I157=120),VLOOKUP(T157,'CAFCO 300 IDIEM TABLAS'!$F$4:$H$35,3,FALSE),0)+IF(AND(L157="Cafco 300",J157&gt;=95,J157&lt;=450,G157=4,C157="IN",I157=90),VLOOKUP(T157,'CAFCO 300 IDIEM TABLAS'!$J$4:$L$40,2,FALSE),0)+IF(AND(L157="Cafco 300",J157&gt;=95,J157&lt;=450,G157=4,C157="IN",I157=120),VLOOKUP(T157,'CAFCO 300 IDIEM TABLAS'!$J$4:$L$40,3,FALSE),0)+IF(AND(M157="Ensayo Idiem",L157="Cafco 400",C157="IN",G157=4,I157=90),VLOOKUP(T157,'CAFCO 400 ENSAYO'!$B$7:$D$43,2,FALSE),0)+IF(AND(M157="Ensayo Idiem",L157="Cafco 400",C157="IN",G157=4,I157=120),VLOOKUP(T157,'CAFCO 400 ENSAYO'!$B$7:$D$43,3,FALSE),0)</f>
        <v>0</v>
      </c>
      <c r="O157" s="96">
        <f t="shared" si="21"/>
        <v>0</v>
      </c>
      <c r="P157" s="95" t="str">
        <f t="shared" si="22"/>
        <v>N/A</v>
      </c>
      <c r="Q157" s="95" t="str">
        <f t="shared" si="23"/>
        <v>N/A</v>
      </c>
      <c r="R157" s="95" t="str">
        <f t="shared" si="24"/>
        <v>NO CERT.</v>
      </c>
      <c r="S157" s="95" t="e">
        <f t="shared" si="19"/>
        <v>#N/A</v>
      </c>
      <c r="T157" s="119" t="e">
        <f>+IF(J157=LOOKUP(J157,'CAFCO 300 IDIEM TABLAS'!$J$4:$J$40),'CALCULO MORTERO'!J157,MROUND('CALCULO MORTERO'!J157,10))</f>
        <v>#N/A</v>
      </c>
      <c r="U157" s="118">
        <f t="shared" si="20"/>
        <v>0</v>
      </c>
      <c r="Y157" s="4"/>
      <c r="Z157" s="4"/>
      <c r="AA157" s="4"/>
    </row>
    <row r="158" spans="1:27" ht="15.6" customHeight="1" x14ac:dyDescent="0.25">
      <c r="A158" s="118">
        <f>+CUBICACION!D152</f>
        <v>0</v>
      </c>
      <c r="B158" s="819">
        <f>+CUBICACION!E152</f>
        <v>0</v>
      </c>
      <c r="C158" s="675">
        <f>+CUBICACION!F152</f>
        <v>0</v>
      </c>
      <c r="D158" s="118"/>
      <c r="E158" s="118"/>
      <c r="F158" s="820"/>
      <c r="G158" s="675">
        <f>+CUBICACION!J152</f>
        <v>0</v>
      </c>
      <c r="H158" s="118"/>
      <c r="I158" s="821">
        <f>+CUBICACION!L152</f>
        <v>0</v>
      </c>
      <c r="J158" s="64">
        <f>+CUBICACION!M152</f>
        <v>0</v>
      </c>
      <c r="K158" s="822" t="str">
        <f>+CUBICACION!N152</f>
        <v/>
      </c>
      <c r="L158" s="118">
        <f>+CUBICACION!O152</f>
        <v>0</v>
      </c>
      <c r="M158" s="823">
        <f>+CUBICACION!P152</f>
        <v>0</v>
      </c>
      <c r="N158" s="902">
        <f>ROUND(IF(AND(L158="Blaze Shield II",M158="Software Idiem",C158="IN",G158=4),((('BLAZE SHIELD II'!$D$4*('CALCULO MORTERO'!I158^2)+'BLAZE SHIELD II'!$D$5*'CALCULO MORTERO'!I158+'BLAZE SHIELD II'!$D$6)*LN(J158))+('BLAZE SHIELD II'!$D$7*('CALCULO MORTERO'!I158^2)+'BLAZE SHIELD II'!$D$8*'CALCULO MORTERO'!I158+'BLAZE SHIELD II'!$D$9)),0)+IF(AND(L158="Blaze Shield II",M158="Software Idiem",C158="Cj"),((('BLAZE SHIELD II'!$H$4*('CALCULO MORTERO'!I158^2)+'BLAZE SHIELD II'!$H$5*'CALCULO MORTERO'!I158+'BLAZE SHIELD II'!$H$6)*LN(J158))+('BLAZE SHIELD II'!$H$7*('CALCULO MORTERO'!I158^2)+'BLAZE SHIELD II'!$H$8*'CALCULO MORTERO'!I158+'BLAZE SHIELD II'!$H$9)),0)+IF(AND(L158="Blaze Shield II",M158="Software Idiem",C158="C"),((('BLAZE SHIELD II'!$L$4*('CALCULO MORTERO'!I158^2)+'BLAZE SHIELD II'!$L$5*'CALCULO MORTERO'!I158+'BLAZE SHIELD II'!$L$6)*LN(J158))+('BLAZE SHIELD II'!$L$7*('CALCULO MORTERO'!I158^2)+'BLAZE SHIELD II'!$L$8*'CALCULO MORTERO'!I158+'BLAZE SHIELD II'!$L$9)),0)+IF(AND(L158="Blaze Shield II",M158="Software Idiem",C158="L"),((('BLAZE SHIELD II'!$L$4*('CALCULO MORTERO'!I158^2)+'BLAZE SHIELD II'!$L$5*'CALCULO MORTERO'!I158+'BLAZE SHIELD II'!$L$6)*LN(J158))+('BLAZE SHIELD II'!$L$7*('CALCULO MORTERO'!I158^2)+'BLAZE SHIELD II'!$L$8*'CALCULO MORTERO'!I158+'BLAZE SHIELD II'!$L$9)),0)+IF(AND(L158="Blaze Shield II",M158="Software Idiem",C158="IN",G158=3),((('BLAZE SHIELD II'!$H$14*('CALCULO MORTERO'!I158^2)+'BLAZE SHIELD II'!$H$15*'CALCULO MORTERO'!I158+'BLAZE SHIELD II'!$H$16)*LN(J158))+('BLAZE SHIELD II'!$H$17*('CALCULO MORTERO'!I158^2)+'BLAZE SHIELD II'!$H$18*'CALCULO MORTERO'!I158+'BLAZE SHIELD II'!$H$19)),0),0)+ROUND(IF(AND(L158="Cafco 400",M158="Software Idiem",C158="IN",G158=4),((('CAFCO 400 '!$H$7*(J158^4)+'CAFCO 400 '!$H$8*(J158^3)+'CAFCO 400 '!$H$9*(J158^2)+'CAFCO 400 '!$H$10*J158+'CAFCO 400 '!$H$11)*U158^2)+(('CAFCO 400 '!$H$12*(J158^3)+'CAFCO 400 '!$H$13*(J158^2)+'CAFCO 400 '!$H$14*J158+'CAFCO 400 '!$H$15)*U158)+('CAFCO 400 '!$H$16*(J158^2)+'CAFCO 400 '!$H$17*J158+'CAFCO 400 '!$H$18)),0)+IF(AND(L158="Cafco 400",M158="Software Idiem",C158="Cj"),(((('CAFCO 400 '!$D$7*LN(J158)+'CAFCO 400 '!$D$8)*U158^2)+(('CAFCO 400 '!$D$9*LN(J158)+'CAFCO 400 '!$D$10)*U158)+('CAFCO 400 '!$D$11*LN(J158)+'CAFCO 400 '!$D$12))),0)+IF(AND(L158="Cafco 400",M158="Software Idiem",C158="C"),((('CAFCO 400 '!$L$7*(J158^3)+'CAFCO 400 '!$L$8*(J158^2)+'CAFCO 400 '!$L$9*J158+'CAFCO 400 '!$L$10)*U158^2)+(('CAFCO 400 '!$L$11*(J158^3)+'CAFCO 400 '!$L$12*(J158^2)+'CAFCO 400 '!$L$13*J158+'CAFCO 400 '!$L$14)*U158)+('CAFCO 400 '!$L$15*LN(J158)+'CAFCO 400 '!$L$16)),0)+IF(AND(L158="Cafco 400",M158="Software Idiem",C158="L"),((('CAFCO 400 '!$L$7*(J158^3)+'CAFCO 400 '!$L$8*(J158^2)+'CAFCO 400 '!$L$9*J158+'CAFCO 400 '!$L$10)*U158^2)+(('CAFCO 400 '!$L$11*(J158^3)+'CAFCO 400 '!$L$12*(J158^2)+'CAFCO 400 '!$L$13*J158+'CAFCO 400 '!$L$14)*U158)+('CAFCO 400 '!$L$15*LN(J158)+'CAFCO 400 '!$L$16)),0)+IF(AND(L158="Cafco 400",M158="Software Idiem",C158="IN",G158=3),((('CAFCO 400 '!$D$23*(J158^2)+'CAFCO 400 '!$D$24*(J158)+'CAFCO 400 '!$D$25)*U158^2)+(('CAFCO 400 '!$D$26*(J158^2)+'CAFCO 400 '!$D$27*J158+'CAFCO 400 '!$D$28)*U158)+('CAFCO 400 '!$D$29*(J158^2)+'CAFCO 400 '!$D$30*J158+'CAFCO 400 '!$D$31)),0),0)+IF(AND(L158="Cafco 300",J158&gt;=95,J158&lt;=240,C158="Cj",I158=90),VLOOKUP(T158,'CAFCO 300 IDIEM TABLAS'!$B$4:$D$23,2,FALSE),0)+IF(AND(L158="Cafco 300",J158&gt;=95,J158&lt;=240,C158="Cj",I158=120),VLOOKUP(T158,'CAFCO 300 IDIEM TABLAS'!$B$4:$D$23,3,FALSE),0)+IF(AND(L158="Cafco 300",J158&gt;=95,J158&lt;=400,G158=3,C158="IN",I158=90),VLOOKUP(T158,'CAFCO 300 IDIEM TABLAS'!$F$4:$H$35,2,FALSE),0)+IF(AND(L158="Cafco 300",J158&gt;=95,J158&lt;=400,G158=3,C158="IN",I158=120),VLOOKUP(T158,'CAFCO 300 IDIEM TABLAS'!$F$4:$H$35,3,FALSE),0)+IF(AND(L158="Cafco 300",J158&gt;=95,J158&lt;=450,G158=4,C158="IN",I158=90),VLOOKUP(T158,'CAFCO 300 IDIEM TABLAS'!$J$4:$L$40,2,FALSE),0)+IF(AND(L158="Cafco 300",J158&gt;=95,J158&lt;=450,G158=4,C158="IN",I158=120),VLOOKUP(T158,'CAFCO 300 IDIEM TABLAS'!$J$4:$L$40,3,FALSE),0)+IF(AND(M158="Ensayo Idiem",L158="Cafco 400",C158="IN",G158=4,I158=90),VLOOKUP(T158,'CAFCO 400 ENSAYO'!$B$7:$D$43,2,FALSE),0)+IF(AND(M158="Ensayo Idiem",L158="Cafco 400",C158="IN",G158=4,I158=120),VLOOKUP(T158,'CAFCO 400 ENSAYO'!$B$7:$D$43,3,FALSE),0)</f>
        <v>0</v>
      </c>
      <c r="O158" s="96">
        <f t="shared" si="21"/>
        <v>0</v>
      </c>
      <c r="P158" s="95" t="str">
        <f t="shared" si="22"/>
        <v>N/A</v>
      </c>
      <c r="Q158" s="95" t="str">
        <f t="shared" si="23"/>
        <v>N/A</v>
      </c>
      <c r="R158" s="95" t="str">
        <f t="shared" si="24"/>
        <v>NO CERT.</v>
      </c>
      <c r="S158" s="95" t="e">
        <f t="shared" si="19"/>
        <v>#N/A</v>
      </c>
      <c r="T158" s="119" t="e">
        <f>+IF(J158=LOOKUP(J158,'CAFCO 300 IDIEM TABLAS'!$J$4:$J$40),'CALCULO MORTERO'!J158,MROUND('CALCULO MORTERO'!J158,10))</f>
        <v>#N/A</v>
      </c>
      <c r="U158" s="118">
        <f t="shared" si="20"/>
        <v>0</v>
      </c>
      <c r="Y158" s="4"/>
      <c r="Z158" s="4"/>
      <c r="AA158" s="4"/>
    </row>
    <row r="159" spans="1:27" x14ac:dyDescent="0.25">
      <c r="A159" s="118">
        <f>+CUBICACION!D153</f>
        <v>0</v>
      </c>
      <c r="B159" s="819">
        <f>+CUBICACION!E153</f>
        <v>0</v>
      </c>
      <c r="C159" s="675">
        <f>+CUBICACION!F153</f>
        <v>0</v>
      </c>
      <c r="D159" s="118"/>
      <c r="E159" s="118"/>
      <c r="F159" s="820"/>
      <c r="G159" s="675">
        <f>+CUBICACION!J153</f>
        <v>0</v>
      </c>
      <c r="H159" s="118"/>
      <c r="I159" s="821">
        <f>+CUBICACION!L153</f>
        <v>0</v>
      </c>
      <c r="J159" s="64">
        <f>+CUBICACION!M153</f>
        <v>0</v>
      </c>
      <c r="K159" s="822" t="str">
        <f>+CUBICACION!N153</f>
        <v/>
      </c>
      <c r="L159" s="118">
        <f>+CUBICACION!O153</f>
        <v>0</v>
      </c>
      <c r="M159" s="823">
        <f>+CUBICACION!P153</f>
        <v>0</v>
      </c>
      <c r="N159" s="902">
        <f>ROUND(IF(AND(L159="Blaze Shield II",M159="Software Idiem",C159="IN",G159=4),((('BLAZE SHIELD II'!$D$4*('CALCULO MORTERO'!I159^2)+'BLAZE SHIELD II'!$D$5*'CALCULO MORTERO'!I159+'BLAZE SHIELD II'!$D$6)*LN(J159))+('BLAZE SHIELD II'!$D$7*('CALCULO MORTERO'!I159^2)+'BLAZE SHIELD II'!$D$8*'CALCULO MORTERO'!I159+'BLAZE SHIELD II'!$D$9)),0)+IF(AND(L159="Blaze Shield II",M159="Software Idiem",C159="Cj"),((('BLAZE SHIELD II'!$H$4*('CALCULO MORTERO'!I159^2)+'BLAZE SHIELD II'!$H$5*'CALCULO MORTERO'!I159+'BLAZE SHIELD II'!$H$6)*LN(J159))+('BLAZE SHIELD II'!$H$7*('CALCULO MORTERO'!I159^2)+'BLAZE SHIELD II'!$H$8*'CALCULO MORTERO'!I159+'BLAZE SHIELD II'!$H$9)),0)+IF(AND(L159="Blaze Shield II",M159="Software Idiem",C159="C"),((('BLAZE SHIELD II'!$L$4*('CALCULO MORTERO'!I159^2)+'BLAZE SHIELD II'!$L$5*'CALCULO MORTERO'!I159+'BLAZE SHIELD II'!$L$6)*LN(J159))+('BLAZE SHIELD II'!$L$7*('CALCULO MORTERO'!I159^2)+'BLAZE SHIELD II'!$L$8*'CALCULO MORTERO'!I159+'BLAZE SHIELD II'!$L$9)),0)+IF(AND(L159="Blaze Shield II",M159="Software Idiem",C159="L"),((('BLAZE SHIELD II'!$L$4*('CALCULO MORTERO'!I159^2)+'BLAZE SHIELD II'!$L$5*'CALCULO MORTERO'!I159+'BLAZE SHIELD II'!$L$6)*LN(J159))+('BLAZE SHIELD II'!$L$7*('CALCULO MORTERO'!I159^2)+'BLAZE SHIELD II'!$L$8*'CALCULO MORTERO'!I159+'BLAZE SHIELD II'!$L$9)),0)+IF(AND(L159="Blaze Shield II",M159="Software Idiem",C159="IN",G159=3),((('BLAZE SHIELD II'!$H$14*('CALCULO MORTERO'!I159^2)+'BLAZE SHIELD II'!$H$15*'CALCULO MORTERO'!I159+'BLAZE SHIELD II'!$H$16)*LN(J159))+('BLAZE SHIELD II'!$H$17*('CALCULO MORTERO'!I159^2)+'BLAZE SHIELD II'!$H$18*'CALCULO MORTERO'!I159+'BLAZE SHIELD II'!$H$19)),0),0)+ROUND(IF(AND(L159="Cafco 400",M159="Software Idiem",C159="IN",G159=4),((('CAFCO 400 '!$H$7*(J159^4)+'CAFCO 400 '!$H$8*(J159^3)+'CAFCO 400 '!$H$9*(J159^2)+'CAFCO 400 '!$H$10*J159+'CAFCO 400 '!$H$11)*U159^2)+(('CAFCO 400 '!$H$12*(J159^3)+'CAFCO 400 '!$H$13*(J159^2)+'CAFCO 400 '!$H$14*J159+'CAFCO 400 '!$H$15)*U159)+('CAFCO 400 '!$H$16*(J159^2)+'CAFCO 400 '!$H$17*J159+'CAFCO 400 '!$H$18)),0)+IF(AND(L159="Cafco 400",M159="Software Idiem",C159="Cj"),(((('CAFCO 400 '!$D$7*LN(J159)+'CAFCO 400 '!$D$8)*U159^2)+(('CAFCO 400 '!$D$9*LN(J159)+'CAFCO 400 '!$D$10)*U159)+('CAFCO 400 '!$D$11*LN(J159)+'CAFCO 400 '!$D$12))),0)+IF(AND(L159="Cafco 400",M159="Software Idiem",C159="C"),((('CAFCO 400 '!$L$7*(J159^3)+'CAFCO 400 '!$L$8*(J159^2)+'CAFCO 400 '!$L$9*J159+'CAFCO 400 '!$L$10)*U159^2)+(('CAFCO 400 '!$L$11*(J159^3)+'CAFCO 400 '!$L$12*(J159^2)+'CAFCO 400 '!$L$13*J159+'CAFCO 400 '!$L$14)*U159)+('CAFCO 400 '!$L$15*LN(J159)+'CAFCO 400 '!$L$16)),0)+IF(AND(L159="Cafco 400",M159="Software Idiem",C159="L"),((('CAFCO 400 '!$L$7*(J159^3)+'CAFCO 400 '!$L$8*(J159^2)+'CAFCO 400 '!$L$9*J159+'CAFCO 400 '!$L$10)*U159^2)+(('CAFCO 400 '!$L$11*(J159^3)+'CAFCO 400 '!$L$12*(J159^2)+'CAFCO 400 '!$L$13*J159+'CAFCO 400 '!$L$14)*U159)+('CAFCO 400 '!$L$15*LN(J159)+'CAFCO 400 '!$L$16)),0)+IF(AND(L159="Cafco 400",M159="Software Idiem",C159="IN",G159=3),((('CAFCO 400 '!$D$23*(J159^2)+'CAFCO 400 '!$D$24*(J159)+'CAFCO 400 '!$D$25)*U159^2)+(('CAFCO 400 '!$D$26*(J159^2)+'CAFCO 400 '!$D$27*J159+'CAFCO 400 '!$D$28)*U159)+('CAFCO 400 '!$D$29*(J159^2)+'CAFCO 400 '!$D$30*J159+'CAFCO 400 '!$D$31)),0),0)+IF(AND(L159="Cafco 300",J159&gt;=95,J159&lt;=240,C159="Cj",I159=90),VLOOKUP(T159,'CAFCO 300 IDIEM TABLAS'!$B$4:$D$23,2,FALSE),0)+IF(AND(L159="Cafco 300",J159&gt;=95,J159&lt;=240,C159="Cj",I159=120),VLOOKUP(T159,'CAFCO 300 IDIEM TABLAS'!$B$4:$D$23,3,FALSE),0)+IF(AND(L159="Cafco 300",J159&gt;=95,J159&lt;=400,G159=3,C159="IN",I159=90),VLOOKUP(T159,'CAFCO 300 IDIEM TABLAS'!$F$4:$H$35,2,FALSE),0)+IF(AND(L159="Cafco 300",J159&gt;=95,J159&lt;=400,G159=3,C159="IN",I159=120),VLOOKUP(T159,'CAFCO 300 IDIEM TABLAS'!$F$4:$H$35,3,FALSE),0)+IF(AND(L159="Cafco 300",J159&gt;=95,J159&lt;=450,G159=4,C159="IN",I159=90),VLOOKUP(T159,'CAFCO 300 IDIEM TABLAS'!$J$4:$L$40,2,FALSE),0)+IF(AND(L159="Cafco 300",J159&gt;=95,J159&lt;=450,G159=4,C159="IN",I159=120),VLOOKUP(T159,'CAFCO 300 IDIEM TABLAS'!$J$4:$L$40,3,FALSE),0)+IF(AND(M159="Ensayo Idiem",L159="Cafco 400",C159="IN",G159=4,I159=90),VLOOKUP(T159,'CAFCO 400 ENSAYO'!$B$7:$D$43,2,FALSE),0)+IF(AND(M159="Ensayo Idiem",L159="Cafco 400",C159="IN",G159=4,I159=120),VLOOKUP(T159,'CAFCO 400 ENSAYO'!$B$7:$D$43,3,FALSE),0)</f>
        <v>0</v>
      </c>
      <c r="O159" s="96">
        <f t="shared" si="21"/>
        <v>0</v>
      </c>
      <c r="P159" s="95" t="str">
        <f t="shared" si="22"/>
        <v>N/A</v>
      </c>
      <c r="Q159" s="95" t="str">
        <f t="shared" si="23"/>
        <v>N/A</v>
      </c>
      <c r="R159" s="95" t="str">
        <f t="shared" si="24"/>
        <v>NO CERT.</v>
      </c>
      <c r="S159" s="95" t="e">
        <f t="shared" si="19"/>
        <v>#N/A</v>
      </c>
      <c r="T159" s="119" t="e">
        <f>+IF(J159=LOOKUP(J159,'CAFCO 300 IDIEM TABLAS'!$J$4:$J$40),'CALCULO MORTERO'!J159,MROUND('CALCULO MORTERO'!J159,10))</f>
        <v>#N/A</v>
      </c>
      <c r="U159" s="118">
        <f t="shared" si="20"/>
        <v>0</v>
      </c>
      <c r="Y159" s="4"/>
      <c r="Z159" s="4"/>
      <c r="AA159" s="4"/>
    </row>
    <row r="160" spans="1:27" ht="15.6" customHeight="1" x14ac:dyDescent="0.25">
      <c r="A160" s="118">
        <f>+CUBICACION!D154</f>
        <v>0</v>
      </c>
      <c r="B160" s="819">
        <f>+CUBICACION!E154</f>
        <v>0</v>
      </c>
      <c r="C160" s="675">
        <f>+CUBICACION!F154</f>
        <v>0</v>
      </c>
      <c r="D160" s="118"/>
      <c r="E160" s="118"/>
      <c r="F160" s="820"/>
      <c r="G160" s="675">
        <f>+CUBICACION!J154</f>
        <v>0</v>
      </c>
      <c r="H160" s="118"/>
      <c r="I160" s="821">
        <f>+CUBICACION!L154</f>
        <v>0</v>
      </c>
      <c r="J160" s="64">
        <f>+CUBICACION!M154</f>
        <v>0</v>
      </c>
      <c r="K160" s="822" t="str">
        <f>+CUBICACION!N154</f>
        <v/>
      </c>
      <c r="L160" s="118">
        <f>+CUBICACION!O154</f>
        <v>0</v>
      </c>
      <c r="M160" s="823">
        <f>+CUBICACION!P154</f>
        <v>0</v>
      </c>
      <c r="N160" s="902">
        <f>ROUND(IF(AND(L160="Blaze Shield II",M160="Software Idiem",C160="IN",G160=4),((('BLAZE SHIELD II'!$D$4*('CALCULO MORTERO'!I160^2)+'BLAZE SHIELD II'!$D$5*'CALCULO MORTERO'!I160+'BLAZE SHIELD II'!$D$6)*LN(J160))+('BLAZE SHIELD II'!$D$7*('CALCULO MORTERO'!I160^2)+'BLAZE SHIELD II'!$D$8*'CALCULO MORTERO'!I160+'BLAZE SHIELD II'!$D$9)),0)+IF(AND(L160="Blaze Shield II",M160="Software Idiem",C160="Cj"),((('BLAZE SHIELD II'!$H$4*('CALCULO MORTERO'!I160^2)+'BLAZE SHIELD II'!$H$5*'CALCULO MORTERO'!I160+'BLAZE SHIELD II'!$H$6)*LN(J160))+('BLAZE SHIELD II'!$H$7*('CALCULO MORTERO'!I160^2)+'BLAZE SHIELD II'!$H$8*'CALCULO MORTERO'!I160+'BLAZE SHIELD II'!$H$9)),0)+IF(AND(L160="Blaze Shield II",M160="Software Idiem",C160="C"),((('BLAZE SHIELD II'!$L$4*('CALCULO MORTERO'!I160^2)+'BLAZE SHIELD II'!$L$5*'CALCULO MORTERO'!I160+'BLAZE SHIELD II'!$L$6)*LN(J160))+('BLAZE SHIELD II'!$L$7*('CALCULO MORTERO'!I160^2)+'BLAZE SHIELD II'!$L$8*'CALCULO MORTERO'!I160+'BLAZE SHIELD II'!$L$9)),0)+IF(AND(L160="Blaze Shield II",M160="Software Idiem",C160="L"),((('BLAZE SHIELD II'!$L$4*('CALCULO MORTERO'!I160^2)+'BLAZE SHIELD II'!$L$5*'CALCULO MORTERO'!I160+'BLAZE SHIELD II'!$L$6)*LN(J160))+('BLAZE SHIELD II'!$L$7*('CALCULO MORTERO'!I160^2)+'BLAZE SHIELD II'!$L$8*'CALCULO MORTERO'!I160+'BLAZE SHIELD II'!$L$9)),0)+IF(AND(L160="Blaze Shield II",M160="Software Idiem",C160="IN",G160=3),((('BLAZE SHIELD II'!$H$14*('CALCULO MORTERO'!I160^2)+'BLAZE SHIELD II'!$H$15*'CALCULO MORTERO'!I160+'BLAZE SHIELD II'!$H$16)*LN(J160))+('BLAZE SHIELD II'!$H$17*('CALCULO MORTERO'!I160^2)+'BLAZE SHIELD II'!$H$18*'CALCULO MORTERO'!I160+'BLAZE SHIELD II'!$H$19)),0),0)+ROUND(IF(AND(L160="Cafco 400",M160="Software Idiem",C160="IN",G160=4),((('CAFCO 400 '!$H$7*(J160^4)+'CAFCO 400 '!$H$8*(J160^3)+'CAFCO 400 '!$H$9*(J160^2)+'CAFCO 400 '!$H$10*J160+'CAFCO 400 '!$H$11)*U160^2)+(('CAFCO 400 '!$H$12*(J160^3)+'CAFCO 400 '!$H$13*(J160^2)+'CAFCO 400 '!$H$14*J160+'CAFCO 400 '!$H$15)*U160)+('CAFCO 400 '!$H$16*(J160^2)+'CAFCO 400 '!$H$17*J160+'CAFCO 400 '!$H$18)),0)+IF(AND(L160="Cafco 400",M160="Software Idiem",C160="Cj"),(((('CAFCO 400 '!$D$7*LN(J160)+'CAFCO 400 '!$D$8)*U160^2)+(('CAFCO 400 '!$D$9*LN(J160)+'CAFCO 400 '!$D$10)*U160)+('CAFCO 400 '!$D$11*LN(J160)+'CAFCO 400 '!$D$12))),0)+IF(AND(L160="Cafco 400",M160="Software Idiem",C160="C"),((('CAFCO 400 '!$L$7*(J160^3)+'CAFCO 400 '!$L$8*(J160^2)+'CAFCO 400 '!$L$9*J160+'CAFCO 400 '!$L$10)*U160^2)+(('CAFCO 400 '!$L$11*(J160^3)+'CAFCO 400 '!$L$12*(J160^2)+'CAFCO 400 '!$L$13*J160+'CAFCO 400 '!$L$14)*U160)+('CAFCO 400 '!$L$15*LN(J160)+'CAFCO 400 '!$L$16)),0)+IF(AND(L160="Cafco 400",M160="Software Idiem",C160="L"),((('CAFCO 400 '!$L$7*(J160^3)+'CAFCO 400 '!$L$8*(J160^2)+'CAFCO 400 '!$L$9*J160+'CAFCO 400 '!$L$10)*U160^2)+(('CAFCO 400 '!$L$11*(J160^3)+'CAFCO 400 '!$L$12*(J160^2)+'CAFCO 400 '!$L$13*J160+'CAFCO 400 '!$L$14)*U160)+('CAFCO 400 '!$L$15*LN(J160)+'CAFCO 400 '!$L$16)),0)+IF(AND(L160="Cafco 400",M160="Software Idiem",C160="IN",G160=3),((('CAFCO 400 '!$D$23*(J160^2)+'CAFCO 400 '!$D$24*(J160)+'CAFCO 400 '!$D$25)*U160^2)+(('CAFCO 400 '!$D$26*(J160^2)+'CAFCO 400 '!$D$27*J160+'CAFCO 400 '!$D$28)*U160)+('CAFCO 400 '!$D$29*(J160^2)+'CAFCO 400 '!$D$30*J160+'CAFCO 400 '!$D$31)),0),0)+IF(AND(L160="Cafco 300",J160&gt;=95,J160&lt;=240,C160="Cj",I160=90),VLOOKUP(T160,'CAFCO 300 IDIEM TABLAS'!$B$4:$D$23,2,FALSE),0)+IF(AND(L160="Cafco 300",J160&gt;=95,J160&lt;=240,C160="Cj",I160=120),VLOOKUP(T160,'CAFCO 300 IDIEM TABLAS'!$B$4:$D$23,3,FALSE),0)+IF(AND(L160="Cafco 300",J160&gt;=95,J160&lt;=400,G160=3,C160="IN",I160=90),VLOOKUP(T160,'CAFCO 300 IDIEM TABLAS'!$F$4:$H$35,2,FALSE),0)+IF(AND(L160="Cafco 300",J160&gt;=95,J160&lt;=400,G160=3,C160="IN",I160=120),VLOOKUP(T160,'CAFCO 300 IDIEM TABLAS'!$F$4:$H$35,3,FALSE),0)+IF(AND(L160="Cafco 300",J160&gt;=95,J160&lt;=450,G160=4,C160="IN",I160=90),VLOOKUP(T160,'CAFCO 300 IDIEM TABLAS'!$J$4:$L$40,2,FALSE),0)+IF(AND(L160="Cafco 300",J160&gt;=95,J160&lt;=450,G160=4,C160="IN",I160=120),VLOOKUP(T160,'CAFCO 300 IDIEM TABLAS'!$J$4:$L$40,3,FALSE),0)+IF(AND(M160="Ensayo Idiem",L160="Cafco 400",C160="IN",G160=4,I160=90),VLOOKUP(T160,'CAFCO 400 ENSAYO'!$B$7:$D$43,2,FALSE),0)+IF(AND(M160="Ensayo Idiem",L160="Cafco 400",C160="IN",G160=4,I160=120),VLOOKUP(T160,'CAFCO 400 ENSAYO'!$B$7:$D$43,3,FALSE),0)</f>
        <v>0</v>
      </c>
      <c r="O160" s="96">
        <f t="shared" si="21"/>
        <v>0</v>
      </c>
      <c r="P160" s="95" t="str">
        <f t="shared" si="22"/>
        <v>N/A</v>
      </c>
      <c r="Q160" s="95" t="str">
        <f t="shared" si="23"/>
        <v>N/A</v>
      </c>
      <c r="R160" s="95" t="str">
        <f t="shared" si="24"/>
        <v>NO CERT.</v>
      </c>
      <c r="S160" s="95" t="e">
        <f t="shared" si="19"/>
        <v>#N/A</v>
      </c>
      <c r="T160" s="119" t="e">
        <f>+IF(J160=LOOKUP(J160,'CAFCO 300 IDIEM TABLAS'!$J$4:$J$40),'CALCULO MORTERO'!J160,MROUND('CALCULO MORTERO'!J160,10))</f>
        <v>#N/A</v>
      </c>
      <c r="U160" s="118">
        <f t="shared" si="20"/>
        <v>0</v>
      </c>
      <c r="Y160" s="4"/>
      <c r="Z160" s="4"/>
      <c r="AA160" s="4"/>
    </row>
    <row r="161" spans="1:27" x14ac:dyDescent="0.25">
      <c r="A161" s="118">
        <f>+CUBICACION!D155</f>
        <v>0</v>
      </c>
      <c r="B161" s="819">
        <f>+CUBICACION!E155</f>
        <v>0</v>
      </c>
      <c r="C161" s="675">
        <f>+CUBICACION!F155</f>
        <v>0</v>
      </c>
      <c r="D161" s="118"/>
      <c r="E161" s="118"/>
      <c r="F161" s="820"/>
      <c r="G161" s="675">
        <f>+CUBICACION!J155</f>
        <v>0</v>
      </c>
      <c r="H161" s="118"/>
      <c r="I161" s="821">
        <f>+CUBICACION!L155</f>
        <v>0</v>
      </c>
      <c r="J161" s="64">
        <f>+CUBICACION!M155</f>
        <v>0</v>
      </c>
      <c r="K161" s="822" t="str">
        <f>+CUBICACION!N155</f>
        <v/>
      </c>
      <c r="L161" s="118">
        <f>+CUBICACION!O155</f>
        <v>0</v>
      </c>
      <c r="M161" s="823">
        <f>+CUBICACION!P155</f>
        <v>0</v>
      </c>
      <c r="N161" s="902">
        <f>ROUND(IF(AND(L161="Blaze Shield II",M161="Software Idiem",C161="IN",G161=4),((('BLAZE SHIELD II'!$D$4*('CALCULO MORTERO'!I161^2)+'BLAZE SHIELD II'!$D$5*'CALCULO MORTERO'!I161+'BLAZE SHIELD II'!$D$6)*LN(J161))+('BLAZE SHIELD II'!$D$7*('CALCULO MORTERO'!I161^2)+'BLAZE SHIELD II'!$D$8*'CALCULO MORTERO'!I161+'BLAZE SHIELD II'!$D$9)),0)+IF(AND(L161="Blaze Shield II",M161="Software Idiem",C161="Cj"),((('BLAZE SHIELD II'!$H$4*('CALCULO MORTERO'!I161^2)+'BLAZE SHIELD II'!$H$5*'CALCULO MORTERO'!I161+'BLAZE SHIELD II'!$H$6)*LN(J161))+('BLAZE SHIELD II'!$H$7*('CALCULO MORTERO'!I161^2)+'BLAZE SHIELD II'!$H$8*'CALCULO MORTERO'!I161+'BLAZE SHIELD II'!$H$9)),0)+IF(AND(L161="Blaze Shield II",M161="Software Idiem",C161="C"),((('BLAZE SHIELD II'!$L$4*('CALCULO MORTERO'!I161^2)+'BLAZE SHIELD II'!$L$5*'CALCULO MORTERO'!I161+'BLAZE SHIELD II'!$L$6)*LN(J161))+('BLAZE SHIELD II'!$L$7*('CALCULO MORTERO'!I161^2)+'BLAZE SHIELD II'!$L$8*'CALCULO MORTERO'!I161+'BLAZE SHIELD II'!$L$9)),0)+IF(AND(L161="Blaze Shield II",M161="Software Idiem",C161="L"),((('BLAZE SHIELD II'!$L$4*('CALCULO MORTERO'!I161^2)+'BLAZE SHIELD II'!$L$5*'CALCULO MORTERO'!I161+'BLAZE SHIELD II'!$L$6)*LN(J161))+('BLAZE SHIELD II'!$L$7*('CALCULO MORTERO'!I161^2)+'BLAZE SHIELD II'!$L$8*'CALCULO MORTERO'!I161+'BLAZE SHIELD II'!$L$9)),0)+IF(AND(L161="Blaze Shield II",M161="Software Idiem",C161="IN",G161=3),((('BLAZE SHIELD II'!$H$14*('CALCULO MORTERO'!I161^2)+'BLAZE SHIELD II'!$H$15*'CALCULO MORTERO'!I161+'BLAZE SHIELD II'!$H$16)*LN(J161))+('BLAZE SHIELD II'!$H$17*('CALCULO MORTERO'!I161^2)+'BLAZE SHIELD II'!$H$18*'CALCULO MORTERO'!I161+'BLAZE SHIELD II'!$H$19)),0),0)+ROUND(IF(AND(L161="Cafco 400",M161="Software Idiem",C161="IN",G161=4),((('CAFCO 400 '!$H$7*(J161^4)+'CAFCO 400 '!$H$8*(J161^3)+'CAFCO 400 '!$H$9*(J161^2)+'CAFCO 400 '!$H$10*J161+'CAFCO 400 '!$H$11)*U161^2)+(('CAFCO 400 '!$H$12*(J161^3)+'CAFCO 400 '!$H$13*(J161^2)+'CAFCO 400 '!$H$14*J161+'CAFCO 400 '!$H$15)*U161)+('CAFCO 400 '!$H$16*(J161^2)+'CAFCO 400 '!$H$17*J161+'CAFCO 400 '!$H$18)),0)+IF(AND(L161="Cafco 400",M161="Software Idiem",C161="Cj"),(((('CAFCO 400 '!$D$7*LN(J161)+'CAFCO 400 '!$D$8)*U161^2)+(('CAFCO 400 '!$D$9*LN(J161)+'CAFCO 400 '!$D$10)*U161)+('CAFCO 400 '!$D$11*LN(J161)+'CAFCO 400 '!$D$12))),0)+IF(AND(L161="Cafco 400",M161="Software Idiem",C161="C"),((('CAFCO 400 '!$L$7*(J161^3)+'CAFCO 400 '!$L$8*(J161^2)+'CAFCO 400 '!$L$9*J161+'CAFCO 400 '!$L$10)*U161^2)+(('CAFCO 400 '!$L$11*(J161^3)+'CAFCO 400 '!$L$12*(J161^2)+'CAFCO 400 '!$L$13*J161+'CAFCO 400 '!$L$14)*U161)+('CAFCO 400 '!$L$15*LN(J161)+'CAFCO 400 '!$L$16)),0)+IF(AND(L161="Cafco 400",M161="Software Idiem",C161="L"),((('CAFCO 400 '!$L$7*(J161^3)+'CAFCO 400 '!$L$8*(J161^2)+'CAFCO 400 '!$L$9*J161+'CAFCO 400 '!$L$10)*U161^2)+(('CAFCO 400 '!$L$11*(J161^3)+'CAFCO 400 '!$L$12*(J161^2)+'CAFCO 400 '!$L$13*J161+'CAFCO 400 '!$L$14)*U161)+('CAFCO 400 '!$L$15*LN(J161)+'CAFCO 400 '!$L$16)),0)+IF(AND(L161="Cafco 400",M161="Software Idiem",C161="IN",G161=3),((('CAFCO 400 '!$D$23*(J161^2)+'CAFCO 400 '!$D$24*(J161)+'CAFCO 400 '!$D$25)*U161^2)+(('CAFCO 400 '!$D$26*(J161^2)+'CAFCO 400 '!$D$27*J161+'CAFCO 400 '!$D$28)*U161)+('CAFCO 400 '!$D$29*(J161^2)+'CAFCO 400 '!$D$30*J161+'CAFCO 400 '!$D$31)),0),0)+IF(AND(L161="Cafco 300",J161&gt;=95,J161&lt;=240,C161="Cj",I161=90),VLOOKUP(T161,'CAFCO 300 IDIEM TABLAS'!$B$4:$D$23,2,FALSE),0)+IF(AND(L161="Cafco 300",J161&gt;=95,J161&lt;=240,C161="Cj",I161=120),VLOOKUP(T161,'CAFCO 300 IDIEM TABLAS'!$B$4:$D$23,3,FALSE),0)+IF(AND(L161="Cafco 300",J161&gt;=95,J161&lt;=400,G161=3,C161="IN",I161=90),VLOOKUP(T161,'CAFCO 300 IDIEM TABLAS'!$F$4:$H$35,2,FALSE),0)+IF(AND(L161="Cafco 300",J161&gt;=95,J161&lt;=400,G161=3,C161="IN",I161=120),VLOOKUP(T161,'CAFCO 300 IDIEM TABLAS'!$F$4:$H$35,3,FALSE),0)+IF(AND(L161="Cafco 300",J161&gt;=95,J161&lt;=450,G161=4,C161="IN",I161=90),VLOOKUP(T161,'CAFCO 300 IDIEM TABLAS'!$J$4:$L$40,2,FALSE),0)+IF(AND(L161="Cafco 300",J161&gt;=95,J161&lt;=450,G161=4,C161="IN",I161=120),VLOOKUP(T161,'CAFCO 300 IDIEM TABLAS'!$J$4:$L$40,3,FALSE),0)+IF(AND(M161="Ensayo Idiem",L161="Cafco 400",C161="IN",G161=4,I161=90),VLOOKUP(T161,'CAFCO 400 ENSAYO'!$B$7:$D$43,2,FALSE),0)+IF(AND(M161="Ensayo Idiem",L161="Cafco 400",C161="IN",G161=4,I161=120),VLOOKUP(T161,'CAFCO 400 ENSAYO'!$B$7:$D$43,3,FALSE),0)</f>
        <v>0</v>
      </c>
      <c r="O161" s="96">
        <f t="shared" si="21"/>
        <v>0</v>
      </c>
      <c r="P161" s="95" t="str">
        <f t="shared" si="22"/>
        <v>N/A</v>
      </c>
      <c r="Q161" s="95" t="str">
        <f t="shared" si="23"/>
        <v>N/A</v>
      </c>
      <c r="R161" s="95" t="str">
        <f t="shared" si="24"/>
        <v>NO CERT.</v>
      </c>
      <c r="S161" s="95" t="e">
        <f t="shared" si="19"/>
        <v>#N/A</v>
      </c>
      <c r="T161" s="119" t="e">
        <f>+IF(J161=LOOKUP(J161,'CAFCO 300 IDIEM TABLAS'!$J$4:$J$40),'CALCULO MORTERO'!J161,MROUND('CALCULO MORTERO'!J161,10))</f>
        <v>#N/A</v>
      </c>
      <c r="U161" s="118">
        <f t="shared" si="20"/>
        <v>0</v>
      </c>
      <c r="Y161" s="4"/>
      <c r="Z161" s="4"/>
      <c r="AA161" s="4"/>
    </row>
    <row r="162" spans="1:27" ht="15.6" customHeight="1" x14ac:dyDescent="0.25">
      <c r="A162" s="118">
        <f>+CUBICACION!D156</f>
        <v>0</v>
      </c>
      <c r="B162" s="819">
        <f>+CUBICACION!E156</f>
        <v>0</v>
      </c>
      <c r="C162" s="675">
        <f>+CUBICACION!F156</f>
        <v>0</v>
      </c>
      <c r="D162" s="118"/>
      <c r="E162" s="118"/>
      <c r="F162" s="820"/>
      <c r="G162" s="675">
        <f>+CUBICACION!J156</f>
        <v>0</v>
      </c>
      <c r="H162" s="118"/>
      <c r="I162" s="821">
        <f>+CUBICACION!L156</f>
        <v>0</v>
      </c>
      <c r="J162" s="64">
        <f>+CUBICACION!M156</f>
        <v>0</v>
      </c>
      <c r="K162" s="822" t="str">
        <f>+CUBICACION!N156</f>
        <v/>
      </c>
      <c r="L162" s="118">
        <f>+CUBICACION!O156</f>
        <v>0</v>
      </c>
      <c r="M162" s="823">
        <f>+CUBICACION!P156</f>
        <v>0</v>
      </c>
      <c r="N162" s="902">
        <f>ROUND(IF(AND(L162="Blaze Shield II",M162="Software Idiem",C162="IN",G162=4),((('BLAZE SHIELD II'!$D$4*('CALCULO MORTERO'!I162^2)+'BLAZE SHIELD II'!$D$5*'CALCULO MORTERO'!I162+'BLAZE SHIELD II'!$D$6)*LN(J162))+('BLAZE SHIELD II'!$D$7*('CALCULO MORTERO'!I162^2)+'BLAZE SHIELD II'!$D$8*'CALCULO MORTERO'!I162+'BLAZE SHIELD II'!$D$9)),0)+IF(AND(L162="Blaze Shield II",M162="Software Idiem",C162="Cj"),((('BLAZE SHIELD II'!$H$4*('CALCULO MORTERO'!I162^2)+'BLAZE SHIELD II'!$H$5*'CALCULO MORTERO'!I162+'BLAZE SHIELD II'!$H$6)*LN(J162))+('BLAZE SHIELD II'!$H$7*('CALCULO MORTERO'!I162^2)+'BLAZE SHIELD II'!$H$8*'CALCULO MORTERO'!I162+'BLAZE SHIELD II'!$H$9)),0)+IF(AND(L162="Blaze Shield II",M162="Software Idiem",C162="C"),((('BLAZE SHIELD II'!$L$4*('CALCULO MORTERO'!I162^2)+'BLAZE SHIELD II'!$L$5*'CALCULO MORTERO'!I162+'BLAZE SHIELD II'!$L$6)*LN(J162))+('BLAZE SHIELD II'!$L$7*('CALCULO MORTERO'!I162^2)+'BLAZE SHIELD II'!$L$8*'CALCULO MORTERO'!I162+'BLAZE SHIELD II'!$L$9)),0)+IF(AND(L162="Blaze Shield II",M162="Software Idiem",C162="L"),((('BLAZE SHIELD II'!$L$4*('CALCULO MORTERO'!I162^2)+'BLAZE SHIELD II'!$L$5*'CALCULO MORTERO'!I162+'BLAZE SHIELD II'!$L$6)*LN(J162))+('BLAZE SHIELD II'!$L$7*('CALCULO MORTERO'!I162^2)+'BLAZE SHIELD II'!$L$8*'CALCULO MORTERO'!I162+'BLAZE SHIELD II'!$L$9)),0)+IF(AND(L162="Blaze Shield II",M162="Software Idiem",C162="IN",G162=3),((('BLAZE SHIELD II'!$H$14*('CALCULO MORTERO'!I162^2)+'BLAZE SHIELD II'!$H$15*'CALCULO MORTERO'!I162+'BLAZE SHIELD II'!$H$16)*LN(J162))+('BLAZE SHIELD II'!$H$17*('CALCULO MORTERO'!I162^2)+'BLAZE SHIELD II'!$H$18*'CALCULO MORTERO'!I162+'BLAZE SHIELD II'!$H$19)),0),0)+ROUND(IF(AND(L162="Cafco 400",M162="Software Idiem",C162="IN",G162=4),((('CAFCO 400 '!$H$7*(J162^4)+'CAFCO 400 '!$H$8*(J162^3)+'CAFCO 400 '!$H$9*(J162^2)+'CAFCO 400 '!$H$10*J162+'CAFCO 400 '!$H$11)*U162^2)+(('CAFCO 400 '!$H$12*(J162^3)+'CAFCO 400 '!$H$13*(J162^2)+'CAFCO 400 '!$H$14*J162+'CAFCO 400 '!$H$15)*U162)+('CAFCO 400 '!$H$16*(J162^2)+'CAFCO 400 '!$H$17*J162+'CAFCO 400 '!$H$18)),0)+IF(AND(L162="Cafco 400",M162="Software Idiem",C162="Cj"),(((('CAFCO 400 '!$D$7*LN(J162)+'CAFCO 400 '!$D$8)*U162^2)+(('CAFCO 400 '!$D$9*LN(J162)+'CAFCO 400 '!$D$10)*U162)+('CAFCO 400 '!$D$11*LN(J162)+'CAFCO 400 '!$D$12))),0)+IF(AND(L162="Cafco 400",M162="Software Idiem",C162="C"),((('CAFCO 400 '!$L$7*(J162^3)+'CAFCO 400 '!$L$8*(J162^2)+'CAFCO 400 '!$L$9*J162+'CAFCO 400 '!$L$10)*U162^2)+(('CAFCO 400 '!$L$11*(J162^3)+'CAFCO 400 '!$L$12*(J162^2)+'CAFCO 400 '!$L$13*J162+'CAFCO 400 '!$L$14)*U162)+('CAFCO 400 '!$L$15*LN(J162)+'CAFCO 400 '!$L$16)),0)+IF(AND(L162="Cafco 400",M162="Software Idiem",C162="L"),((('CAFCO 400 '!$L$7*(J162^3)+'CAFCO 400 '!$L$8*(J162^2)+'CAFCO 400 '!$L$9*J162+'CAFCO 400 '!$L$10)*U162^2)+(('CAFCO 400 '!$L$11*(J162^3)+'CAFCO 400 '!$L$12*(J162^2)+'CAFCO 400 '!$L$13*J162+'CAFCO 400 '!$L$14)*U162)+('CAFCO 400 '!$L$15*LN(J162)+'CAFCO 400 '!$L$16)),0)+IF(AND(L162="Cafco 400",M162="Software Idiem",C162="IN",G162=3),((('CAFCO 400 '!$D$23*(J162^2)+'CAFCO 400 '!$D$24*(J162)+'CAFCO 400 '!$D$25)*U162^2)+(('CAFCO 400 '!$D$26*(J162^2)+'CAFCO 400 '!$D$27*J162+'CAFCO 400 '!$D$28)*U162)+('CAFCO 400 '!$D$29*(J162^2)+'CAFCO 400 '!$D$30*J162+'CAFCO 400 '!$D$31)),0),0)+IF(AND(L162="Cafco 300",J162&gt;=95,J162&lt;=240,C162="Cj",I162=90),VLOOKUP(T162,'CAFCO 300 IDIEM TABLAS'!$B$4:$D$23,2,FALSE),0)+IF(AND(L162="Cafco 300",J162&gt;=95,J162&lt;=240,C162="Cj",I162=120),VLOOKUP(T162,'CAFCO 300 IDIEM TABLAS'!$B$4:$D$23,3,FALSE),0)+IF(AND(L162="Cafco 300",J162&gt;=95,J162&lt;=400,G162=3,C162="IN",I162=90),VLOOKUP(T162,'CAFCO 300 IDIEM TABLAS'!$F$4:$H$35,2,FALSE),0)+IF(AND(L162="Cafco 300",J162&gt;=95,J162&lt;=400,G162=3,C162="IN",I162=120),VLOOKUP(T162,'CAFCO 300 IDIEM TABLAS'!$F$4:$H$35,3,FALSE),0)+IF(AND(L162="Cafco 300",J162&gt;=95,J162&lt;=450,G162=4,C162="IN",I162=90),VLOOKUP(T162,'CAFCO 300 IDIEM TABLAS'!$J$4:$L$40,2,FALSE),0)+IF(AND(L162="Cafco 300",J162&gt;=95,J162&lt;=450,G162=4,C162="IN",I162=120),VLOOKUP(T162,'CAFCO 300 IDIEM TABLAS'!$J$4:$L$40,3,FALSE),0)+IF(AND(M162="Ensayo Idiem",L162="Cafco 400",C162="IN",G162=4,I162=90),VLOOKUP(T162,'CAFCO 400 ENSAYO'!$B$7:$D$43,2,FALSE),0)+IF(AND(M162="Ensayo Idiem",L162="Cafco 400",C162="IN",G162=4,I162=120),VLOOKUP(T162,'CAFCO 400 ENSAYO'!$B$7:$D$43,3,FALSE),0)</f>
        <v>0</v>
      </c>
      <c r="O162" s="96">
        <f t="shared" si="21"/>
        <v>0</v>
      </c>
      <c r="P162" s="95" t="str">
        <f t="shared" si="22"/>
        <v>N/A</v>
      </c>
      <c r="Q162" s="95" t="str">
        <f t="shared" si="23"/>
        <v>N/A</v>
      </c>
      <c r="R162" s="95" t="str">
        <f t="shared" si="24"/>
        <v>NO CERT.</v>
      </c>
      <c r="S162" s="95" t="e">
        <f t="shared" si="19"/>
        <v>#N/A</v>
      </c>
      <c r="T162" s="119" t="e">
        <f>+IF(J162=LOOKUP(J162,'CAFCO 300 IDIEM TABLAS'!$J$4:$J$40),'CALCULO MORTERO'!J162,MROUND('CALCULO MORTERO'!J162,10))</f>
        <v>#N/A</v>
      </c>
      <c r="U162" s="118">
        <f t="shared" si="20"/>
        <v>0</v>
      </c>
      <c r="Y162" s="4"/>
      <c r="Z162" s="4"/>
      <c r="AA162" s="4"/>
    </row>
    <row r="163" spans="1:27" x14ac:dyDescent="0.25">
      <c r="A163" s="118">
        <f>+CUBICACION!D157</f>
        <v>0</v>
      </c>
      <c r="B163" s="819">
        <f>+CUBICACION!E157</f>
        <v>0</v>
      </c>
      <c r="C163" s="675">
        <f>+CUBICACION!F157</f>
        <v>0</v>
      </c>
      <c r="D163" s="118"/>
      <c r="E163" s="118"/>
      <c r="F163" s="820"/>
      <c r="G163" s="675">
        <f>+CUBICACION!J157</f>
        <v>0</v>
      </c>
      <c r="H163" s="118"/>
      <c r="I163" s="821">
        <f>+CUBICACION!L157</f>
        <v>0</v>
      </c>
      <c r="J163" s="64">
        <f>+CUBICACION!M157</f>
        <v>0</v>
      </c>
      <c r="K163" s="822" t="str">
        <f>+CUBICACION!N157</f>
        <v/>
      </c>
      <c r="L163" s="118">
        <f>+CUBICACION!O157</f>
        <v>0</v>
      </c>
      <c r="M163" s="823">
        <f>+CUBICACION!P157</f>
        <v>0</v>
      </c>
      <c r="N163" s="902">
        <f>ROUND(IF(AND(L163="Blaze Shield II",M163="Software Idiem",C163="IN",G163=4),((('BLAZE SHIELD II'!$D$4*('CALCULO MORTERO'!I163^2)+'BLAZE SHIELD II'!$D$5*'CALCULO MORTERO'!I163+'BLAZE SHIELD II'!$D$6)*LN(J163))+('BLAZE SHIELD II'!$D$7*('CALCULO MORTERO'!I163^2)+'BLAZE SHIELD II'!$D$8*'CALCULO MORTERO'!I163+'BLAZE SHIELD II'!$D$9)),0)+IF(AND(L163="Blaze Shield II",M163="Software Idiem",C163="Cj"),((('BLAZE SHIELD II'!$H$4*('CALCULO MORTERO'!I163^2)+'BLAZE SHIELD II'!$H$5*'CALCULO MORTERO'!I163+'BLAZE SHIELD II'!$H$6)*LN(J163))+('BLAZE SHIELD II'!$H$7*('CALCULO MORTERO'!I163^2)+'BLAZE SHIELD II'!$H$8*'CALCULO MORTERO'!I163+'BLAZE SHIELD II'!$H$9)),0)+IF(AND(L163="Blaze Shield II",M163="Software Idiem",C163="C"),((('BLAZE SHIELD II'!$L$4*('CALCULO MORTERO'!I163^2)+'BLAZE SHIELD II'!$L$5*'CALCULO MORTERO'!I163+'BLAZE SHIELD II'!$L$6)*LN(J163))+('BLAZE SHIELD II'!$L$7*('CALCULO MORTERO'!I163^2)+'BLAZE SHIELD II'!$L$8*'CALCULO MORTERO'!I163+'BLAZE SHIELD II'!$L$9)),0)+IF(AND(L163="Blaze Shield II",M163="Software Idiem",C163="L"),((('BLAZE SHIELD II'!$L$4*('CALCULO MORTERO'!I163^2)+'BLAZE SHIELD II'!$L$5*'CALCULO MORTERO'!I163+'BLAZE SHIELD II'!$L$6)*LN(J163))+('BLAZE SHIELD II'!$L$7*('CALCULO MORTERO'!I163^2)+'BLAZE SHIELD II'!$L$8*'CALCULO MORTERO'!I163+'BLAZE SHIELD II'!$L$9)),0)+IF(AND(L163="Blaze Shield II",M163="Software Idiem",C163="IN",G163=3),((('BLAZE SHIELD II'!$H$14*('CALCULO MORTERO'!I163^2)+'BLAZE SHIELD II'!$H$15*'CALCULO MORTERO'!I163+'BLAZE SHIELD II'!$H$16)*LN(J163))+('BLAZE SHIELD II'!$H$17*('CALCULO MORTERO'!I163^2)+'BLAZE SHIELD II'!$H$18*'CALCULO MORTERO'!I163+'BLAZE SHIELD II'!$H$19)),0),0)+ROUND(IF(AND(L163="Cafco 400",M163="Software Idiem",C163="IN",G163=4),((('CAFCO 400 '!$H$7*(J163^4)+'CAFCO 400 '!$H$8*(J163^3)+'CAFCO 400 '!$H$9*(J163^2)+'CAFCO 400 '!$H$10*J163+'CAFCO 400 '!$H$11)*U163^2)+(('CAFCO 400 '!$H$12*(J163^3)+'CAFCO 400 '!$H$13*(J163^2)+'CAFCO 400 '!$H$14*J163+'CAFCO 400 '!$H$15)*U163)+('CAFCO 400 '!$H$16*(J163^2)+'CAFCO 400 '!$H$17*J163+'CAFCO 400 '!$H$18)),0)+IF(AND(L163="Cafco 400",M163="Software Idiem",C163="Cj"),(((('CAFCO 400 '!$D$7*LN(J163)+'CAFCO 400 '!$D$8)*U163^2)+(('CAFCO 400 '!$D$9*LN(J163)+'CAFCO 400 '!$D$10)*U163)+('CAFCO 400 '!$D$11*LN(J163)+'CAFCO 400 '!$D$12))),0)+IF(AND(L163="Cafco 400",M163="Software Idiem",C163="C"),((('CAFCO 400 '!$L$7*(J163^3)+'CAFCO 400 '!$L$8*(J163^2)+'CAFCO 400 '!$L$9*J163+'CAFCO 400 '!$L$10)*U163^2)+(('CAFCO 400 '!$L$11*(J163^3)+'CAFCO 400 '!$L$12*(J163^2)+'CAFCO 400 '!$L$13*J163+'CAFCO 400 '!$L$14)*U163)+('CAFCO 400 '!$L$15*LN(J163)+'CAFCO 400 '!$L$16)),0)+IF(AND(L163="Cafco 400",M163="Software Idiem",C163="L"),((('CAFCO 400 '!$L$7*(J163^3)+'CAFCO 400 '!$L$8*(J163^2)+'CAFCO 400 '!$L$9*J163+'CAFCO 400 '!$L$10)*U163^2)+(('CAFCO 400 '!$L$11*(J163^3)+'CAFCO 400 '!$L$12*(J163^2)+'CAFCO 400 '!$L$13*J163+'CAFCO 400 '!$L$14)*U163)+('CAFCO 400 '!$L$15*LN(J163)+'CAFCO 400 '!$L$16)),0)+IF(AND(L163="Cafco 400",M163="Software Idiem",C163="IN",G163=3),((('CAFCO 400 '!$D$23*(J163^2)+'CAFCO 400 '!$D$24*(J163)+'CAFCO 400 '!$D$25)*U163^2)+(('CAFCO 400 '!$D$26*(J163^2)+'CAFCO 400 '!$D$27*J163+'CAFCO 400 '!$D$28)*U163)+('CAFCO 400 '!$D$29*(J163^2)+'CAFCO 400 '!$D$30*J163+'CAFCO 400 '!$D$31)),0),0)+IF(AND(L163="Cafco 300",J163&gt;=95,J163&lt;=240,C163="Cj",I163=90),VLOOKUP(T163,'CAFCO 300 IDIEM TABLAS'!$B$4:$D$23,2,FALSE),0)+IF(AND(L163="Cafco 300",J163&gt;=95,J163&lt;=240,C163="Cj",I163=120),VLOOKUP(T163,'CAFCO 300 IDIEM TABLAS'!$B$4:$D$23,3,FALSE),0)+IF(AND(L163="Cafco 300",J163&gt;=95,J163&lt;=400,G163=3,C163="IN",I163=90),VLOOKUP(T163,'CAFCO 300 IDIEM TABLAS'!$F$4:$H$35,2,FALSE),0)+IF(AND(L163="Cafco 300",J163&gt;=95,J163&lt;=400,G163=3,C163="IN",I163=120),VLOOKUP(T163,'CAFCO 300 IDIEM TABLAS'!$F$4:$H$35,3,FALSE),0)+IF(AND(L163="Cafco 300",J163&gt;=95,J163&lt;=450,G163=4,C163="IN",I163=90),VLOOKUP(T163,'CAFCO 300 IDIEM TABLAS'!$J$4:$L$40,2,FALSE),0)+IF(AND(L163="Cafco 300",J163&gt;=95,J163&lt;=450,G163=4,C163="IN",I163=120),VLOOKUP(T163,'CAFCO 300 IDIEM TABLAS'!$J$4:$L$40,3,FALSE),0)+IF(AND(M163="Ensayo Idiem",L163="Cafco 400",C163="IN",G163=4,I163=90),VLOOKUP(T163,'CAFCO 400 ENSAYO'!$B$7:$D$43,2,FALSE),0)+IF(AND(M163="Ensayo Idiem",L163="Cafco 400",C163="IN",G163=4,I163=120),VLOOKUP(T163,'CAFCO 400 ENSAYO'!$B$7:$D$43,3,FALSE),0)</f>
        <v>0</v>
      </c>
      <c r="O163" s="96">
        <f t="shared" si="21"/>
        <v>0</v>
      </c>
      <c r="P163" s="95" t="str">
        <f t="shared" si="22"/>
        <v>N/A</v>
      </c>
      <c r="Q163" s="95" t="str">
        <f t="shared" si="23"/>
        <v>N/A</v>
      </c>
      <c r="R163" s="95" t="str">
        <f t="shared" si="24"/>
        <v>NO CERT.</v>
      </c>
      <c r="S163" s="95" t="e">
        <f t="shared" si="19"/>
        <v>#N/A</v>
      </c>
      <c r="T163" s="119" t="e">
        <f>+IF(J163=LOOKUP(J163,'CAFCO 300 IDIEM TABLAS'!$J$4:$J$40),'CALCULO MORTERO'!J163,MROUND('CALCULO MORTERO'!J163,10))</f>
        <v>#N/A</v>
      </c>
      <c r="U163" s="118">
        <f t="shared" si="20"/>
        <v>0</v>
      </c>
      <c r="Y163" s="4"/>
      <c r="Z163" s="4"/>
      <c r="AA163" s="4"/>
    </row>
    <row r="164" spans="1:27" ht="15.6" customHeight="1" x14ac:dyDescent="0.25">
      <c r="A164" s="118">
        <f>+CUBICACION!D158</f>
        <v>0</v>
      </c>
      <c r="B164" s="819">
        <f>+CUBICACION!E158</f>
        <v>0</v>
      </c>
      <c r="C164" s="675">
        <f>+CUBICACION!F158</f>
        <v>0</v>
      </c>
      <c r="D164" s="118"/>
      <c r="E164" s="118"/>
      <c r="F164" s="820"/>
      <c r="G164" s="675">
        <f>+CUBICACION!J158</f>
        <v>0</v>
      </c>
      <c r="H164" s="118"/>
      <c r="I164" s="821">
        <f>+CUBICACION!L158</f>
        <v>0</v>
      </c>
      <c r="J164" s="64">
        <f>+CUBICACION!M158</f>
        <v>0</v>
      </c>
      <c r="K164" s="822" t="str">
        <f>+CUBICACION!N158</f>
        <v/>
      </c>
      <c r="L164" s="118">
        <f>+CUBICACION!O158</f>
        <v>0</v>
      </c>
      <c r="M164" s="823">
        <f>+CUBICACION!P158</f>
        <v>0</v>
      </c>
      <c r="N164" s="902">
        <f>ROUND(IF(AND(L164="Blaze Shield II",M164="Software Idiem",C164="IN",G164=4),((('BLAZE SHIELD II'!$D$4*('CALCULO MORTERO'!I164^2)+'BLAZE SHIELD II'!$D$5*'CALCULO MORTERO'!I164+'BLAZE SHIELD II'!$D$6)*LN(J164))+('BLAZE SHIELD II'!$D$7*('CALCULO MORTERO'!I164^2)+'BLAZE SHIELD II'!$D$8*'CALCULO MORTERO'!I164+'BLAZE SHIELD II'!$D$9)),0)+IF(AND(L164="Blaze Shield II",M164="Software Idiem",C164="Cj"),((('BLAZE SHIELD II'!$H$4*('CALCULO MORTERO'!I164^2)+'BLAZE SHIELD II'!$H$5*'CALCULO MORTERO'!I164+'BLAZE SHIELD II'!$H$6)*LN(J164))+('BLAZE SHIELD II'!$H$7*('CALCULO MORTERO'!I164^2)+'BLAZE SHIELD II'!$H$8*'CALCULO MORTERO'!I164+'BLAZE SHIELD II'!$H$9)),0)+IF(AND(L164="Blaze Shield II",M164="Software Idiem",C164="C"),((('BLAZE SHIELD II'!$L$4*('CALCULO MORTERO'!I164^2)+'BLAZE SHIELD II'!$L$5*'CALCULO MORTERO'!I164+'BLAZE SHIELD II'!$L$6)*LN(J164))+('BLAZE SHIELD II'!$L$7*('CALCULO MORTERO'!I164^2)+'BLAZE SHIELD II'!$L$8*'CALCULO MORTERO'!I164+'BLAZE SHIELD II'!$L$9)),0)+IF(AND(L164="Blaze Shield II",M164="Software Idiem",C164="L"),((('BLAZE SHIELD II'!$L$4*('CALCULO MORTERO'!I164^2)+'BLAZE SHIELD II'!$L$5*'CALCULO MORTERO'!I164+'BLAZE SHIELD II'!$L$6)*LN(J164))+('BLAZE SHIELD II'!$L$7*('CALCULO MORTERO'!I164^2)+'BLAZE SHIELD II'!$L$8*'CALCULO MORTERO'!I164+'BLAZE SHIELD II'!$L$9)),0)+IF(AND(L164="Blaze Shield II",M164="Software Idiem",C164="IN",G164=3),((('BLAZE SHIELD II'!$H$14*('CALCULO MORTERO'!I164^2)+'BLAZE SHIELD II'!$H$15*'CALCULO MORTERO'!I164+'BLAZE SHIELD II'!$H$16)*LN(J164))+('BLAZE SHIELD II'!$H$17*('CALCULO MORTERO'!I164^2)+'BLAZE SHIELD II'!$H$18*'CALCULO MORTERO'!I164+'BLAZE SHIELD II'!$H$19)),0),0)+ROUND(IF(AND(L164="Cafco 400",M164="Software Idiem",C164="IN",G164=4),((('CAFCO 400 '!$H$7*(J164^4)+'CAFCO 400 '!$H$8*(J164^3)+'CAFCO 400 '!$H$9*(J164^2)+'CAFCO 400 '!$H$10*J164+'CAFCO 400 '!$H$11)*U164^2)+(('CAFCO 400 '!$H$12*(J164^3)+'CAFCO 400 '!$H$13*(J164^2)+'CAFCO 400 '!$H$14*J164+'CAFCO 400 '!$H$15)*U164)+('CAFCO 400 '!$H$16*(J164^2)+'CAFCO 400 '!$H$17*J164+'CAFCO 400 '!$H$18)),0)+IF(AND(L164="Cafco 400",M164="Software Idiem",C164="Cj"),(((('CAFCO 400 '!$D$7*LN(J164)+'CAFCO 400 '!$D$8)*U164^2)+(('CAFCO 400 '!$D$9*LN(J164)+'CAFCO 400 '!$D$10)*U164)+('CAFCO 400 '!$D$11*LN(J164)+'CAFCO 400 '!$D$12))),0)+IF(AND(L164="Cafco 400",M164="Software Idiem",C164="C"),((('CAFCO 400 '!$L$7*(J164^3)+'CAFCO 400 '!$L$8*(J164^2)+'CAFCO 400 '!$L$9*J164+'CAFCO 400 '!$L$10)*U164^2)+(('CAFCO 400 '!$L$11*(J164^3)+'CAFCO 400 '!$L$12*(J164^2)+'CAFCO 400 '!$L$13*J164+'CAFCO 400 '!$L$14)*U164)+('CAFCO 400 '!$L$15*LN(J164)+'CAFCO 400 '!$L$16)),0)+IF(AND(L164="Cafco 400",M164="Software Idiem",C164="L"),((('CAFCO 400 '!$L$7*(J164^3)+'CAFCO 400 '!$L$8*(J164^2)+'CAFCO 400 '!$L$9*J164+'CAFCO 400 '!$L$10)*U164^2)+(('CAFCO 400 '!$L$11*(J164^3)+'CAFCO 400 '!$L$12*(J164^2)+'CAFCO 400 '!$L$13*J164+'CAFCO 400 '!$L$14)*U164)+('CAFCO 400 '!$L$15*LN(J164)+'CAFCO 400 '!$L$16)),0)+IF(AND(L164="Cafco 400",M164="Software Idiem",C164="IN",G164=3),((('CAFCO 400 '!$D$23*(J164^2)+'CAFCO 400 '!$D$24*(J164)+'CAFCO 400 '!$D$25)*U164^2)+(('CAFCO 400 '!$D$26*(J164^2)+'CAFCO 400 '!$D$27*J164+'CAFCO 400 '!$D$28)*U164)+('CAFCO 400 '!$D$29*(J164^2)+'CAFCO 400 '!$D$30*J164+'CAFCO 400 '!$D$31)),0),0)+IF(AND(L164="Cafco 300",J164&gt;=95,J164&lt;=240,C164="Cj",I164=90),VLOOKUP(T164,'CAFCO 300 IDIEM TABLAS'!$B$4:$D$23,2,FALSE),0)+IF(AND(L164="Cafco 300",J164&gt;=95,J164&lt;=240,C164="Cj",I164=120),VLOOKUP(T164,'CAFCO 300 IDIEM TABLAS'!$B$4:$D$23,3,FALSE),0)+IF(AND(L164="Cafco 300",J164&gt;=95,J164&lt;=400,G164=3,C164="IN",I164=90),VLOOKUP(T164,'CAFCO 300 IDIEM TABLAS'!$F$4:$H$35,2,FALSE),0)+IF(AND(L164="Cafco 300",J164&gt;=95,J164&lt;=400,G164=3,C164="IN",I164=120),VLOOKUP(T164,'CAFCO 300 IDIEM TABLAS'!$F$4:$H$35,3,FALSE),0)+IF(AND(L164="Cafco 300",J164&gt;=95,J164&lt;=450,G164=4,C164="IN",I164=90),VLOOKUP(T164,'CAFCO 300 IDIEM TABLAS'!$J$4:$L$40,2,FALSE),0)+IF(AND(L164="Cafco 300",J164&gt;=95,J164&lt;=450,G164=4,C164="IN",I164=120),VLOOKUP(T164,'CAFCO 300 IDIEM TABLAS'!$J$4:$L$40,3,FALSE),0)+IF(AND(M164="Ensayo Idiem",L164="Cafco 400",C164="IN",G164=4,I164=90),VLOOKUP(T164,'CAFCO 400 ENSAYO'!$B$7:$D$43,2,FALSE),0)+IF(AND(M164="Ensayo Idiem",L164="Cafco 400",C164="IN",G164=4,I164=120),VLOOKUP(T164,'CAFCO 400 ENSAYO'!$B$7:$D$43,3,FALSE),0)</f>
        <v>0</v>
      </c>
      <c r="O164" s="96">
        <f t="shared" si="21"/>
        <v>0</v>
      </c>
      <c r="P164" s="95" t="str">
        <f t="shared" si="22"/>
        <v>N/A</v>
      </c>
      <c r="Q164" s="95" t="str">
        <f t="shared" si="23"/>
        <v>N/A</v>
      </c>
      <c r="R164" s="95" t="str">
        <f t="shared" si="24"/>
        <v>NO CERT.</v>
      </c>
      <c r="S164" s="95" t="e">
        <f t="shared" si="19"/>
        <v>#N/A</v>
      </c>
      <c r="T164" s="119" t="e">
        <f>+IF(J164=LOOKUP(J164,'CAFCO 300 IDIEM TABLAS'!$J$4:$J$40),'CALCULO MORTERO'!J164,MROUND('CALCULO MORTERO'!J164,10))</f>
        <v>#N/A</v>
      </c>
      <c r="U164" s="118">
        <f t="shared" si="20"/>
        <v>0</v>
      </c>
      <c r="Y164" s="4"/>
      <c r="Z164" s="4"/>
      <c r="AA164" s="4"/>
    </row>
    <row r="165" spans="1:27" x14ac:dyDescent="0.25">
      <c r="A165" s="118">
        <f>+CUBICACION!D159</f>
        <v>0</v>
      </c>
      <c r="B165" s="819">
        <f>+CUBICACION!E159</f>
        <v>0</v>
      </c>
      <c r="C165" s="675">
        <f>+CUBICACION!F159</f>
        <v>0</v>
      </c>
      <c r="D165" s="118"/>
      <c r="E165" s="118"/>
      <c r="F165" s="820"/>
      <c r="G165" s="675">
        <f>+CUBICACION!J159</f>
        <v>0</v>
      </c>
      <c r="H165" s="118"/>
      <c r="I165" s="821">
        <f>+CUBICACION!L159</f>
        <v>0</v>
      </c>
      <c r="J165" s="64">
        <f>+CUBICACION!M159</f>
        <v>0</v>
      </c>
      <c r="K165" s="822" t="str">
        <f>+CUBICACION!N159</f>
        <v/>
      </c>
      <c r="L165" s="118">
        <f>+CUBICACION!O159</f>
        <v>0</v>
      </c>
      <c r="M165" s="823">
        <f>+CUBICACION!P159</f>
        <v>0</v>
      </c>
      <c r="N165" s="902">
        <f>ROUND(IF(AND(L165="Blaze Shield II",M165="Software Idiem",C165="IN",G165=4),((('BLAZE SHIELD II'!$D$4*('CALCULO MORTERO'!I165^2)+'BLAZE SHIELD II'!$D$5*'CALCULO MORTERO'!I165+'BLAZE SHIELD II'!$D$6)*LN(J165))+('BLAZE SHIELD II'!$D$7*('CALCULO MORTERO'!I165^2)+'BLAZE SHIELD II'!$D$8*'CALCULO MORTERO'!I165+'BLAZE SHIELD II'!$D$9)),0)+IF(AND(L165="Blaze Shield II",M165="Software Idiem",C165="Cj"),((('BLAZE SHIELD II'!$H$4*('CALCULO MORTERO'!I165^2)+'BLAZE SHIELD II'!$H$5*'CALCULO MORTERO'!I165+'BLAZE SHIELD II'!$H$6)*LN(J165))+('BLAZE SHIELD II'!$H$7*('CALCULO MORTERO'!I165^2)+'BLAZE SHIELD II'!$H$8*'CALCULO MORTERO'!I165+'BLAZE SHIELD II'!$H$9)),0)+IF(AND(L165="Blaze Shield II",M165="Software Idiem",C165="C"),((('BLAZE SHIELD II'!$L$4*('CALCULO MORTERO'!I165^2)+'BLAZE SHIELD II'!$L$5*'CALCULO MORTERO'!I165+'BLAZE SHIELD II'!$L$6)*LN(J165))+('BLAZE SHIELD II'!$L$7*('CALCULO MORTERO'!I165^2)+'BLAZE SHIELD II'!$L$8*'CALCULO MORTERO'!I165+'BLAZE SHIELD II'!$L$9)),0)+IF(AND(L165="Blaze Shield II",M165="Software Idiem",C165="L"),((('BLAZE SHIELD II'!$L$4*('CALCULO MORTERO'!I165^2)+'BLAZE SHIELD II'!$L$5*'CALCULO MORTERO'!I165+'BLAZE SHIELD II'!$L$6)*LN(J165))+('BLAZE SHIELD II'!$L$7*('CALCULO MORTERO'!I165^2)+'BLAZE SHIELD II'!$L$8*'CALCULO MORTERO'!I165+'BLAZE SHIELD II'!$L$9)),0)+IF(AND(L165="Blaze Shield II",M165="Software Idiem",C165="IN",G165=3),((('BLAZE SHIELD II'!$H$14*('CALCULO MORTERO'!I165^2)+'BLAZE SHIELD II'!$H$15*'CALCULO MORTERO'!I165+'BLAZE SHIELD II'!$H$16)*LN(J165))+('BLAZE SHIELD II'!$H$17*('CALCULO MORTERO'!I165^2)+'BLAZE SHIELD II'!$H$18*'CALCULO MORTERO'!I165+'BLAZE SHIELD II'!$H$19)),0),0)+ROUND(IF(AND(L165="Cafco 400",M165="Software Idiem",C165="IN",G165=4),((('CAFCO 400 '!$H$7*(J165^4)+'CAFCO 400 '!$H$8*(J165^3)+'CAFCO 400 '!$H$9*(J165^2)+'CAFCO 400 '!$H$10*J165+'CAFCO 400 '!$H$11)*U165^2)+(('CAFCO 400 '!$H$12*(J165^3)+'CAFCO 400 '!$H$13*(J165^2)+'CAFCO 400 '!$H$14*J165+'CAFCO 400 '!$H$15)*U165)+('CAFCO 400 '!$H$16*(J165^2)+'CAFCO 400 '!$H$17*J165+'CAFCO 400 '!$H$18)),0)+IF(AND(L165="Cafco 400",M165="Software Idiem",C165="Cj"),(((('CAFCO 400 '!$D$7*LN(J165)+'CAFCO 400 '!$D$8)*U165^2)+(('CAFCO 400 '!$D$9*LN(J165)+'CAFCO 400 '!$D$10)*U165)+('CAFCO 400 '!$D$11*LN(J165)+'CAFCO 400 '!$D$12))),0)+IF(AND(L165="Cafco 400",M165="Software Idiem",C165="C"),((('CAFCO 400 '!$L$7*(J165^3)+'CAFCO 400 '!$L$8*(J165^2)+'CAFCO 400 '!$L$9*J165+'CAFCO 400 '!$L$10)*U165^2)+(('CAFCO 400 '!$L$11*(J165^3)+'CAFCO 400 '!$L$12*(J165^2)+'CAFCO 400 '!$L$13*J165+'CAFCO 400 '!$L$14)*U165)+('CAFCO 400 '!$L$15*LN(J165)+'CAFCO 400 '!$L$16)),0)+IF(AND(L165="Cafco 400",M165="Software Idiem",C165="L"),((('CAFCO 400 '!$L$7*(J165^3)+'CAFCO 400 '!$L$8*(J165^2)+'CAFCO 400 '!$L$9*J165+'CAFCO 400 '!$L$10)*U165^2)+(('CAFCO 400 '!$L$11*(J165^3)+'CAFCO 400 '!$L$12*(J165^2)+'CAFCO 400 '!$L$13*J165+'CAFCO 400 '!$L$14)*U165)+('CAFCO 400 '!$L$15*LN(J165)+'CAFCO 400 '!$L$16)),0)+IF(AND(L165="Cafco 400",M165="Software Idiem",C165="IN",G165=3),((('CAFCO 400 '!$D$23*(J165^2)+'CAFCO 400 '!$D$24*(J165)+'CAFCO 400 '!$D$25)*U165^2)+(('CAFCO 400 '!$D$26*(J165^2)+'CAFCO 400 '!$D$27*J165+'CAFCO 400 '!$D$28)*U165)+('CAFCO 400 '!$D$29*(J165^2)+'CAFCO 400 '!$D$30*J165+'CAFCO 400 '!$D$31)),0),0)+IF(AND(L165="Cafco 300",J165&gt;=95,J165&lt;=240,C165="Cj",I165=90),VLOOKUP(T165,'CAFCO 300 IDIEM TABLAS'!$B$4:$D$23,2,FALSE),0)+IF(AND(L165="Cafco 300",J165&gt;=95,J165&lt;=240,C165="Cj",I165=120),VLOOKUP(T165,'CAFCO 300 IDIEM TABLAS'!$B$4:$D$23,3,FALSE),0)+IF(AND(L165="Cafco 300",J165&gt;=95,J165&lt;=400,G165=3,C165="IN",I165=90),VLOOKUP(T165,'CAFCO 300 IDIEM TABLAS'!$F$4:$H$35,2,FALSE),0)+IF(AND(L165="Cafco 300",J165&gt;=95,J165&lt;=400,G165=3,C165="IN",I165=120),VLOOKUP(T165,'CAFCO 300 IDIEM TABLAS'!$F$4:$H$35,3,FALSE),0)+IF(AND(L165="Cafco 300",J165&gt;=95,J165&lt;=450,G165=4,C165="IN",I165=90),VLOOKUP(T165,'CAFCO 300 IDIEM TABLAS'!$J$4:$L$40,2,FALSE),0)+IF(AND(L165="Cafco 300",J165&gt;=95,J165&lt;=450,G165=4,C165="IN",I165=120),VLOOKUP(T165,'CAFCO 300 IDIEM TABLAS'!$J$4:$L$40,3,FALSE),0)+IF(AND(M165="Ensayo Idiem",L165="Cafco 400",C165="IN",G165=4,I165=90),VLOOKUP(T165,'CAFCO 400 ENSAYO'!$B$7:$D$43,2,FALSE),0)+IF(AND(M165="Ensayo Idiem",L165="Cafco 400",C165="IN",G165=4,I165=120),VLOOKUP(T165,'CAFCO 400 ENSAYO'!$B$7:$D$43,3,FALSE),0)</f>
        <v>0</v>
      </c>
      <c r="O165" s="96">
        <f t="shared" si="21"/>
        <v>0</v>
      </c>
      <c r="P165" s="95" t="str">
        <f t="shared" si="22"/>
        <v>N/A</v>
      </c>
      <c r="Q165" s="95" t="str">
        <f t="shared" si="23"/>
        <v>N/A</v>
      </c>
      <c r="R165" s="95" t="str">
        <f t="shared" si="24"/>
        <v>NO CERT.</v>
      </c>
      <c r="S165" s="95" t="e">
        <f t="shared" si="19"/>
        <v>#N/A</v>
      </c>
      <c r="T165" s="119" t="e">
        <f>+IF(J165=LOOKUP(J165,'CAFCO 300 IDIEM TABLAS'!$J$4:$J$40),'CALCULO MORTERO'!J165,MROUND('CALCULO MORTERO'!J165,10))</f>
        <v>#N/A</v>
      </c>
      <c r="U165" s="118">
        <f t="shared" si="20"/>
        <v>0</v>
      </c>
      <c r="Y165" s="4"/>
      <c r="Z165" s="4"/>
      <c r="AA165" s="4"/>
    </row>
    <row r="166" spans="1:27" ht="15.6" customHeight="1" x14ac:dyDescent="0.25">
      <c r="A166" s="118">
        <f>+CUBICACION!D160</f>
        <v>0</v>
      </c>
      <c r="B166" s="819">
        <f>+CUBICACION!E160</f>
        <v>0</v>
      </c>
      <c r="C166" s="675">
        <f>+CUBICACION!F160</f>
        <v>0</v>
      </c>
      <c r="D166" s="118"/>
      <c r="E166" s="118"/>
      <c r="F166" s="820"/>
      <c r="G166" s="675">
        <f>+CUBICACION!J160</f>
        <v>0</v>
      </c>
      <c r="H166" s="118"/>
      <c r="I166" s="821">
        <f>+CUBICACION!L160</f>
        <v>0</v>
      </c>
      <c r="J166" s="64">
        <f>+CUBICACION!M160</f>
        <v>0</v>
      </c>
      <c r="K166" s="822" t="str">
        <f>+CUBICACION!N160</f>
        <v/>
      </c>
      <c r="L166" s="118">
        <f>+CUBICACION!O160</f>
        <v>0</v>
      </c>
      <c r="M166" s="823">
        <f>+CUBICACION!P160</f>
        <v>0</v>
      </c>
      <c r="N166" s="902">
        <f>ROUND(IF(AND(L166="Blaze Shield II",M166="Software Idiem",C166="IN",G166=4),((('BLAZE SHIELD II'!$D$4*('CALCULO MORTERO'!I166^2)+'BLAZE SHIELD II'!$D$5*'CALCULO MORTERO'!I166+'BLAZE SHIELD II'!$D$6)*LN(J166))+('BLAZE SHIELD II'!$D$7*('CALCULO MORTERO'!I166^2)+'BLAZE SHIELD II'!$D$8*'CALCULO MORTERO'!I166+'BLAZE SHIELD II'!$D$9)),0)+IF(AND(L166="Blaze Shield II",M166="Software Idiem",C166="Cj"),((('BLAZE SHIELD II'!$H$4*('CALCULO MORTERO'!I166^2)+'BLAZE SHIELD II'!$H$5*'CALCULO MORTERO'!I166+'BLAZE SHIELD II'!$H$6)*LN(J166))+('BLAZE SHIELD II'!$H$7*('CALCULO MORTERO'!I166^2)+'BLAZE SHIELD II'!$H$8*'CALCULO MORTERO'!I166+'BLAZE SHIELD II'!$H$9)),0)+IF(AND(L166="Blaze Shield II",M166="Software Idiem",C166="C"),((('BLAZE SHIELD II'!$L$4*('CALCULO MORTERO'!I166^2)+'BLAZE SHIELD II'!$L$5*'CALCULO MORTERO'!I166+'BLAZE SHIELD II'!$L$6)*LN(J166))+('BLAZE SHIELD II'!$L$7*('CALCULO MORTERO'!I166^2)+'BLAZE SHIELD II'!$L$8*'CALCULO MORTERO'!I166+'BLAZE SHIELD II'!$L$9)),0)+IF(AND(L166="Blaze Shield II",M166="Software Idiem",C166="L"),((('BLAZE SHIELD II'!$L$4*('CALCULO MORTERO'!I166^2)+'BLAZE SHIELD II'!$L$5*'CALCULO MORTERO'!I166+'BLAZE SHIELD II'!$L$6)*LN(J166))+('BLAZE SHIELD II'!$L$7*('CALCULO MORTERO'!I166^2)+'BLAZE SHIELD II'!$L$8*'CALCULO MORTERO'!I166+'BLAZE SHIELD II'!$L$9)),0)+IF(AND(L166="Blaze Shield II",M166="Software Idiem",C166="IN",G166=3),((('BLAZE SHIELD II'!$H$14*('CALCULO MORTERO'!I166^2)+'BLAZE SHIELD II'!$H$15*'CALCULO MORTERO'!I166+'BLAZE SHIELD II'!$H$16)*LN(J166))+('BLAZE SHIELD II'!$H$17*('CALCULO MORTERO'!I166^2)+'BLAZE SHIELD II'!$H$18*'CALCULO MORTERO'!I166+'BLAZE SHIELD II'!$H$19)),0),0)+ROUND(IF(AND(L166="Cafco 400",M166="Software Idiem",C166="IN",G166=4),((('CAFCO 400 '!$H$7*(J166^4)+'CAFCO 400 '!$H$8*(J166^3)+'CAFCO 400 '!$H$9*(J166^2)+'CAFCO 400 '!$H$10*J166+'CAFCO 400 '!$H$11)*U166^2)+(('CAFCO 400 '!$H$12*(J166^3)+'CAFCO 400 '!$H$13*(J166^2)+'CAFCO 400 '!$H$14*J166+'CAFCO 400 '!$H$15)*U166)+('CAFCO 400 '!$H$16*(J166^2)+'CAFCO 400 '!$H$17*J166+'CAFCO 400 '!$H$18)),0)+IF(AND(L166="Cafco 400",M166="Software Idiem",C166="Cj"),(((('CAFCO 400 '!$D$7*LN(J166)+'CAFCO 400 '!$D$8)*U166^2)+(('CAFCO 400 '!$D$9*LN(J166)+'CAFCO 400 '!$D$10)*U166)+('CAFCO 400 '!$D$11*LN(J166)+'CAFCO 400 '!$D$12))),0)+IF(AND(L166="Cafco 400",M166="Software Idiem",C166="C"),((('CAFCO 400 '!$L$7*(J166^3)+'CAFCO 400 '!$L$8*(J166^2)+'CAFCO 400 '!$L$9*J166+'CAFCO 400 '!$L$10)*U166^2)+(('CAFCO 400 '!$L$11*(J166^3)+'CAFCO 400 '!$L$12*(J166^2)+'CAFCO 400 '!$L$13*J166+'CAFCO 400 '!$L$14)*U166)+('CAFCO 400 '!$L$15*LN(J166)+'CAFCO 400 '!$L$16)),0)+IF(AND(L166="Cafco 400",M166="Software Idiem",C166="L"),((('CAFCO 400 '!$L$7*(J166^3)+'CAFCO 400 '!$L$8*(J166^2)+'CAFCO 400 '!$L$9*J166+'CAFCO 400 '!$L$10)*U166^2)+(('CAFCO 400 '!$L$11*(J166^3)+'CAFCO 400 '!$L$12*(J166^2)+'CAFCO 400 '!$L$13*J166+'CAFCO 400 '!$L$14)*U166)+('CAFCO 400 '!$L$15*LN(J166)+'CAFCO 400 '!$L$16)),0)+IF(AND(L166="Cafco 400",M166="Software Idiem",C166="IN",G166=3),((('CAFCO 400 '!$D$23*(J166^2)+'CAFCO 400 '!$D$24*(J166)+'CAFCO 400 '!$D$25)*U166^2)+(('CAFCO 400 '!$D$26*(J166^2)+'CAFCO 400 '!$D$27*J166+'CAFCO 400 '!$D$28)*U166)+('CAFCO 400 '!$D$29*(J166^2)+'CAFCO 400 '!$D$30*J166+'CAFCO 400 '!$D$31)),0),0)+IF(AND(L166="Cafco 300",J166&gt;=95,J166&lt;=240,C166="Cj",I166=90),VLOOKUP(T166,'CAFCO 300 IDIEM TABLAS'!$B$4:$D$23,2,FALSE),0)+IF(AND(L166="Cafco 300",J166&gt;=95,J166&lt;=240,C166="Cj",I166=120),VLOOKUP(T166,'CAFCO 300 IDIEM TABLAS'!$B$4:$D$23,3,FALSE),0)+IF(AND(L166="Cafco 300",J166&gt;=95,J166&lt;=400,G166=3,C166="IN",I166=90),VLOOKUP(T166,'CAFCO 300 IDIEM TABLAS'!$F$4:$H$35,2,FALSE),0)+IF(AND(L166="Cafco 300",J166&gt;=95,J166&lt;=400,G166=3,C166="IN",I166=120),VLOOKUP(T166,'CAFCO 300 IDIEM TABLAS'!$F$4:$H$35,3,FALSE),0)+IF(AND(L166="Cafco 300",J166&gt;=95,J166&lt;=450,G166=4,C166="IN",I166=90),VLOOKUP(T166,'CAFCO 300 IDIEM TABLAS'!$J$4:$L$40,2,FALSE),0)+IF(AND(L166="Cafco 300",J166&gt;=95,J166&lt;=450,G166=4,C166="IN",I166=120),VLOOKUP(T166,'CAFCO 300 IDIEM TABLAS'!$J$4:$L$40,3,FALSE),0)+IF(AND(M166="Ensayo Idiem",L166="Cafco 400",C166="IN",G166=4,I166=90),VLOOKUP(T166,'CAFCO 400 ENSAYO'!$B$7:$D$43,2,FALSE),0)+IF(AND(M166="Ensayo Idiem",L166="Cafco 400",C166="IN",G166=4,I166=120),VLOOKUP(T166,'CAFCO 400 ENSAYO'!$B$7:$D$43,3,FALSE),0)</f>
        <v>0</v>
      </c>
      <c r="O166" s="96">
        <f t="shared" si="21"/>
        <v>0</v>
      </c>
      <c r="P166" s="95" t="str">
        <f t="shared" si="22"/>
        <v>N/A</v>
      </c>
      <c r="Q166" s="95" t="str">
        <f t="shared" si="23"/>
        <v>N/A</v>
      </c>
      <c r="R166" s="95" t="str">
        <f t="shared" si="24"/>
        <v>NO CERT.</v>
      </c>
      <c r="S166" s="95" t="e">
        <f t="shared" si="19"/>
        <v>#N/A</v>
      </c>
      <c r="T166" s="119" t="e">
        <f>+IF(J166=LOOKUP(J166,'CAFCO 300 IDIEM TABLAS'!$J$4:$J$40),'CALCULO MORTERO'!J166,MROUND('CALCULO MORTERO'!J166,10))</f>
        <v>#N/A</v>
      </c>
      <c r="U166" s="118">
        <f t="shared" si="20"/>
        <v>0</v>
      </c>
      <c r="Y166" s="4"/>
      <c r="Z166" s="4"/>
      <c r="AA166" s="4"/>
    </row>
    <row r="167" spans="1:27" x14ac:dyDescent="0.25">
      <c r="A167" s="118">
        <f>+CUBICACION!D161</f>
        <v>0</v>
      </c>
      <c r="B167" s="819">
        <f>+CUBICACION!E161</f>
        <v>0</v>
      </c>
      <c r="C167" s="675">
        <f>+CUBICACION!F161</f>
        <v>0</v>
      </c>
      <c r="D167" s="118"/>
      <c r="E167" s="118"/>
      <c r="F167" s="820"/>
      <c r="G167" s="675">
        <f>+CUBICACION!J161</f>
        <v>0</v>
      </c>
      <c r="H167" s="118"/>
      <c r="I167" s="821">
        <f>+CUBICACION!L161</f>
        <v>0</v>
      </c>
      <c r="J167" s="64">
        <f>+CUBICACION!M161</f>
        <v>0</v>
      </c>
      <c r="K167" s="822" t="str">
        <f>+CUBICACION!N161</f>
        <v/>
      </c>
      <c r="L167" s="118">
        <f>+CUBICACION!O161</f>
        <v>0</v>
      </c>
      <c r="M167" s="823">
        <f>+CUBICACION!P161</f>
        <v>0</v>
      </c>
      <c r="N167" s="902">
        <f>ROUND(IF(AND(L167="Blaze Shield II",M167="Software Idiem",C167="IN",G167=4),((('BLAZE SHIELD II'!$D$4*('CALCULO MORTERO'!I167^2)+'BLAZE SHIELD II'!$D$5*'CALCULO MORTERO'!I167+'BLAZE SHIELD II'!$D$6)*LN(J167))+('BLAZE SHIELD II'!$D$7*('CALCULO MORTERO'!I167^2)+'BLAZE SHIELD II'!$D$8*'CALCULO MORTERO'!I167+'BLAZE SHIELD II'!$D$9)),0)+IF(AND(L167="Blaze Shield II",M167="Software Idiem",C167="Cj"),((('BLAZE SHIELD II'!$H$4*('CALCULO MORTERO'!I167^2)+'BLAZE SHIELD II'!$H$5*'CALCULO MORTERO'!I167+'BLAZE SHIELD II'!$H$6)*LN(J167))+('BLAZE SHIELD II'!$H$7*('CALCULO MORTERO'!I167^2)+'BLAZE SHIELD II'!$H$8*'CALCULO MORTERO'!I167+'BLAZE SHIELD II'!$H$9)),0)+IF(AND(L167="Blaze Shield II",M167="Software Idiem",C167="C"),((('BLAZE SHIELD II'!$L$4*('CALCULO MORTERO'!I167^2)+'BLAZE SHIELD II'!$L$5*'CALCULO MORTERO'!I167+'BLAZE SHIELD II'!$L$6)*LN(J167))+('BLAZE SHIELD II'!$L$7*('CALCULO MORTERO'!I167^2)+'BLAZE SHIELD II'!$L$8*'CALCULO MORTERO'!I167+'BLAZE SHIELD II'!$L$9)),0)+IF(AND(L167="Blaze Shield II",M167="Software Idiem",C167="L"),((('BLAZE SHIELD II'!$L$4*('CALCULO MORTERO'!I167^2)+'BLAZE SHIELD II'!$L$5*'CALCULO MORTERO'!I167+'BLAZE SHIELD II'!$L$6)*LN(J167))+('BLAZE SHIELD II'!$L$7*('CALCULO MORTERO'!I167^2)+'BLAZE SHIELD II'!$L$8*'CALCULO MORTERO'!I167+'BLAZE SHIELD II'!$L$9)),0)+IF(AND(L167="Blaze Shield II",M167="Software Idiem",C167="IN",G167=3),((('BLAZE SHIELD II'!$H$14*('CALCULO MORTERO'!I167^2)+'BLAZE SHIELD II'!$H$15*'CALCULO MORTERO'!I167+'BLAZE SHIELD II'!$H$16)*LN(J167))+('BLAZE SHIELD II'!$H$17*('CALCULO MORTERO'!I167^2)+'BLAZE SHIELD II'!$H$18*'CALCULO MORTERO'!I167+'BLAZE SHIELD II'!$H$19)),0),0)+ROUND(IF(AND(L167="Cafco 400",M167="Software Idiem",C167="IN",G167=4),((('CAFCO 400 '!$H$7*(J167^4)+'CAFCO 400 '!$H$8*(J167^3)+'CAFCO 400 '!$H$9*(J167^2)+'CAFCO 400 '!$H$10*J167+'CAFCO 400 '!$H$11)*U167^2)+(('CAFCO 400 '!$H$12*(J167^3)+'CAFCO 400 '!$H$13*(J167^2)+'CAFCO 400 '!$H$14*J167+'CAFCO 400 '!$H$15)*U167)+('CAFCO 400 '!$H$16*(J167^2)+'CAFCO 400 '!$H$17*J167+'CAFCO 400 '!$H$18)),0)+IF(AND(L167="Cafco 400",M167="Software Idiem",C167="Cj"),(((('CAFCO 400 '!$D$7*LN(J167)+'CAFCO 400 '!$D$8)*U167^2)+(('CAFCO 400 '!$D$9*LN(J167)+'CAFCO 400 '!$D$10)*U167)+('CAFCO 400 '!$D$11*LN(J167)+'CAFCO 400 '!$D$12))),0)+IF(AND(L167="Cafco 400",M167="Software Idiem",C167="C"),((('CAFCO 400 '!$L$7*(J167^3)+'CAFCO 400 '!$L$8*(J167^2)+'CAFCO 400 '!$L$9*J167+'CAFCO 400 '!$L$10)*U167^2)+(('CAFCO 400 '!$L$11*(J167^3)+'CAFCO 400 '!$L$12*(J167^2)+'CAFCO 400 '!$L$13*J167+'CAFCO 400 '!$L$14)*U167)+('CAFCO 400 '!$L$15*LN(J167)+'CAFCO 400 '!$L$16)),0)+IF(AND(L167="Cafco 400",M167="Software Idiem",C167="L"),((('CAFCO 400 '!$L$7*(J167^3)+'CAFCO 400 '!$L$8*(J167^2)+'CAFCO 400 '!$L$9*J167+'CAFCO 400 '!$L$10)*U167^2)+(('CAFCO 400 '!$L$11*(J167^3)+'CAFCO 400 '!$L$12*(J167^2)+'CAFCO 400 '!$L$13*J167+'CAFCO 400 '!$L$14)*U167)+('CAFCO 400 '!$L$15*LN(J167)+'CAFCO 400 '!$L$16)),0)+IF(AND(L167="Cafco 400",M167="Software Idiem",C167="IN",G167=3),((('CAFCO 400 '!$D$23*(J167^2)+'CAFCO 400 '!$D$24*(J167)+'CAFCO 400 '!$D$25)*U167^2)+(('CAFCO 400 '!$D$26*(J167^2)+'CAFCO 400 '!$D$27*J167+'CAFCO 400 '!$D$28)*U167)+('CAFCO 400 '!$D$29*(J167^2)+'CAFCO 400 '!$D$30*J167+'CAFCO 400 '!$D$31)),0),0)+IF(AND(L167="Cafco 300",J167&gt;=95,J167&lt;=240,C167="Cj",I167=90),VLOOKUP(T167,'CAFCO 300 IDIEM TABLAS'!$B$4:$D$23,2,FALSE),0)+IF(AND(L167="Cafco 300",J167&gt;=95,J167&lt;=240,C167="Cj",I167=120),VLOOKUP(T167,'CAFCO 300 IDIEM TABLAS'!$B$4:$D$23,3,FALSE),0)+IF(AND(L167="Cafco 300",J167&gt;=95,J167&lt;=400,G167=3,C167="IN",I167=90),VLOOKUP(T167,'CAFCO 300 IDIEM TABLAS'!$F$4:$H$35,2,FALSE),0)+IF(AND(L167="Cafco 300",J167&gt;=95,J167&lt;=400,G167=3,C167="IN",I167=120),VLOOKUP(T167,'CAFCO 300 IDIEM TABLAS'!$F$4:$H$35,3,FALSE),0)+IF(AND(L167="Cafco 300",J167&gt;=95,J167&lt;=450,G167=4,C167="IN",I167=90),VLOOKUP(T167,'CAFCO 300 IDIEM TABLAS'!$J$4:$L$40,2,FALSE),0)+IF(AND(L167="Cafco 300",J167&gt;=95,J167&lt;=450,G167=4,C167="IN",I167=120),VLOOKUP(T167,'CAFCO 300 IDIEM TABLAS'!$J$4:$L$40,3,FALSE),0)+IF(AND(M167="Ensayo Idiem",L167="Cafco 400",C167="IN",G167=4,I167=90),VLOOKUP(T167,'CAFCO 400 ENSAYO'!$B$7:$D$43,2,FALSE),0)+IF(AND(M167="Ensayo Idiem",L167="Cafco 400",C167="IN",G167=4,I167=120),VLOOKUP(T167,'CAFCO 400 ENSAYO'!$B$7:$D$43,3,FALSE),0)</f>
        <v>0</v>
      </c>
      <c r="O167" s="96">
        <f t="shared" si="21"/>
        <v>0</v>
      </c>
      <c r="P167" s="95" t="str">
        <f t="shared" si="22"/>
        <v>N/A</v>
      </c>
      <c r="Q167" s="95" t="str">
        <f t="shared" si="23"/>
        <v>N/A</v>
      </c>
      <c r="R167" s="95" t="str">
        <f t="shared" si="24"/>
        <v>NO CERT.</v>
      </c>
      <c r="S167" s="95" t="e">
        <f t="shared" si="19"/>
        <v>#N/A</v>
      </c>
      <c r="T167" s="119" t="e">
        <f>+IF(J167=LOOKUP(J167,'CAFCO 300 IDIEM TABLAS'!$J$4:$J$40),'CALCULO MORTERO'!J167,MROUND('CALCULO MORTERO'!J167,10))</f>
        <v>#N/A</v>
      </c>
      <c r="U167" s="118">
        <f t="shared" si="20"/>
        <v>0</v>
      </c>
      <c r="Y167" s="4"/>
      <c r="Z167" s="4"/>
      <c r="AA167" s="4"/>
    </row>
    <row r="168" spans="1:27" ht="15.6" customHeight="1" x14ac:dyDescent="0.25">
      <c r="A168" s="118">
        <f>+CUBICACION!D162</f>
        <v>0</v>
      </c>
      <c r="B168" s="819">
        <f>+CUBICACION!E162</f>
        <v>0</v>
      </c>
      <c r="C168" s="675">
        <f>+CUBICACION!F162</f>
        <v>0</v>
      </c>
      <c r="D168" s="118"/>
      <c r="E168" s="118"/>
      <c r="F168" s="820"/>
      <c r="G168" s="675">
        <f>+CUBICACION!J162</f>
        <v>0</v>
      </c>
      <c r="H168" s="118"/>
      <c r="I168" s="821">
        <f>+CUBICACION!L162</f>
        <v>0</v>
      </c>
      <c r="J168" s="64">
        <f>+CUBICACION!M162</f>
        <v>0</v>
      </c>
      <c r="K168" s="822" t="str">
        <f>+CUBICACION!N162</f>
        <v/>
      </c>
      <c r="L168" s="118">
        <f>+CUBICACION!O162</f>
        <v>0</v>
      </c>
      <c r="M168" s="823">
        <f>+CUBICACION!P162</f>
        <v>0</v>
      </c>
      <c r="N168" s="902">
        <f>ROUND(IF(AND(L168="Blaze Shield II",M168="Software Idiem",C168="IN",G168=4),((('BLAZE SHIELD II'!$D$4*('CALCULO MORTERO'!I168^2)+'BLAZE SHIELD II'!$D$5*'CALCULO MORTERO'!I168+'BLAZE SHIELD II'!$D$6)*LN(J168))+('BLAZE SHIELD II'!$D$7*('CALCULO MORTERO'!I168^2)+'BLAZE SHIELD II'!$D$8*'CALCULO MORTERO'!I168+'BLAZE SHIELD II'!$D$9)),0)+IF(AND(L168="Blaze Shield II",M168="Software Idiem",C168="Cj"),((('BLAZE SHIELD II'!$H$4*('CALCULO MORTERO'!I168^2)+'BLAZE SHIELD II'!$H$5*'CALCULO MORTERO'!I168+'BLAZE SHIELD II'!$H$6)*LN(J168))+('BLAZE SHIELD II'!$H$7*('CALCULO MORTERO'!I168^2)+'BLAZE SHIELD II'!$H$8*'CALCULO MORTERO'!I168+'BLAZE SHIELD II'!$H$9)),0)+IF(AND(L168="Blaze Shield II",M168="Software Idiem",C168="C"),((('BLAZE SHIELD II'!$L$4*('CALCULO MORTERO'!I168^2)+'BLAZE SHIELD II'!$L$5*'CALCULO MORTERO'!I168+'BLAZE SHIELD II'!$L$6)*LN(J168))+('BLAZE SHIELD II'!$L$7*('CALCULO MORTERO'!I168^2)+'BLAZE SHIELD II'!$L$8*'CALCULO MORTERO'!I168+'BLAZE SHIELD II'!$L$9)),0)+IF(AND(L168="Blaze Shield II",M168="Software Idiem",C168="L"),((('BLAZE SHIELD II'!$L$4*('CALCULO MORTERO'!I168^2)+'BLAZE SHIELD II'!$L$5*'CALCULO MORTERO'!I168+'BLAZE SHIELD II'!$L$6)*LN(J168))+('BLAZE SHIELD II'!$L$7*('CALCULO MORTERO'!I168^2)+'BLAZE SHIELD II'!$L$8*'CALCULO MORTERO'!I168+'BLAZE SHIELD II'!$L$9)),0)+IF(AND(L168="Blaze Shield II",M168="Software Idiem",C168="IN",G168=3),((('BLAZE SHIELD II'!$H$14*('CALCULO MORTERO'!I168^2)+'BLAZE SHIELD II'!$H$15*'CALCULO MORTERO'!I168+'BLAZE SHIELD II'!$H$16)*LN(J168))+('BLAZE SHIELD II'!$H$17*('CALCULO MORTERO'!I168^2)+'BLAZE SHIELD II'!$H$18*'CALCULO MORTERO'!I168+'BLAZE SHIELD II'!$H$19)),0),0)+ROUND(IF(AND(L168="Cafco 400",M168="Software Idiem",C168="IN",G168=4),((('CAFCO 400 '!$H$7*(J168^4)+'CAFCO 400 '!$H$8*(J168^3)+'CAFCO 400 '!$H$9*(J168^2)+'CAFCO 400 '!$H$10*J168+'CAFCO 400 '!$H$11)*U168^2)+(('CAFCO 400 '!$H$12*(J168^3)+'CAFCO 400 '!$H$13*(J168^2)+'CAFCO 400 '!$H$14*J168+'CAFCO 400 '!$H$15)*U168)+('CAFCO 400 '!$H$16*(J168^2)+'CAFCO 400 '!$H$17*J168+'CAFCO 400 '!$H$18)),0)+IF(AND(L168="Cafco 400",M168="Software Idiem",C168="Cj"),(((('CAFCO 400 '!$D$7*LN(J168)+'CAFCO 400 '!$D$8)*U168^2)+(('CAFCO 400 '!$D$9*LN(J168)+'CAFCO 400 '!$D$10)*U168)+('CAFCO 400 '!$D$11*LN(J168)+'CAFCO 400 '!$D$12))),0)+IF(AND(L168="Cafco 400",M168="Software Idiem",C168="C"),((('CAFCO 400 '!$L$7*(J168^3)+'CAFCO 400 '!$L$8*(J168^2)+'CAFCO 400 '!$L$9*J168+'CAFCO 400 '!$L$10)*U168^2)+(('CAFCO 400 '!$L$11*(J168^3)+'CAFCO 400 '!$L$12*(J168^2)+'CAFCO 400 '!$L$13*J168+'CAFCO 400 '!$L$14)*U168)+('CAFCO 400 '!$L$15*LN(J168)+'CAFCO 400 '!$L$16)),0)+IF(AND(L168="Cafco 400",M168="Software Idiem",C168="L"),((('CAFCO 400 '!$L$7*(J168^3)+'CAFCO 400 '!$L$8*(J168^2)+'CAFCO 400 '!$L$9*J168+'CAFCO 400 '!$L$10)*U168^2)+(('CAFCO 400 '!$L$11*(J168^3)+'CAFCO 400 '!$L$12*(J168^2)+'CAFCO 400 '!$L$13*J168+'CAFCO 400 '!$L$14)*U168)+('CAFCO 400 '!$L$15*LN(J168)+'CAFCO 400 '!$L$16)),0)+IF(AND(L168="Cafco 400",M168="Software Idiem",C168="IN",G168=3),((('CAFCO 400 '!$D$23*(J168^2)+'CAFCO 400 '!$D$24*(J168)+'CAFCO 400 '!$D$25)*U168^2)+(('CAFCO 400 '!$D$26*(J168^2)+'CAFCO 400 '!$D$27*J168+'CAFCO 400 '!$D$28)*U168)+('CAFCO 400 '!$D$29*(J168^2)+'CAFCO 400 '!$D$30*J168+'CAFCO 400 '!$D$31)),0),0)+IF(AND(L168="Cafco 300",J168&gt;=95,J168&lt;=240,C168="Cj",I168=90),VLOOKUP(T168,'CAFCO 300 IDIEM TABLAS'!$B$4:$D$23,2,FALSE),0)+IF(AND(L168="Cafco 300",J168&gt;=95,J168&lt;=240,C168="Cj",I168=120),VLOOKUP(T168,'CAFCO 300 IDIEM TABLAS'!$B$4:$D$23,3,FALSE),0)+IF(AND(L168="Cafco 300",J168&gt;=95,J168&lt;=400,G168=3,C168="IN",I168=90),VLOOKUP(T168,'CAFCO 300 IDIEM TABLAS'!$F$4:$H$35,2,FALSE),0)+IF(AND(L168="Cafco 300",J168&gt;=95,J168&lt;=400,G168=3,C168="IN",I168=120),VLOOKUP(T168,'CAFCO 300 IDIEM TABLAS'!$F$4:$H$35,3,FALSE),0)+IF(AND(L168="Cafco 300",J168&gt;=95,J168&lt;=450,G168=4,C168="IN",I168=90),VLOOKUP(T168,'CAFCO 300 IDIEM TABLAS'!$J$4:$L$40,2,FALSE),0)+IF(AND(L168="Cafco 300",J168&gt;=95,J168&lt;=450,G168=4,C168="IN",I168=120),VLOOKUP(T168,'CAFCO 300 IDIEM TABLAS'!$J$4:$L$40,3,FALSE),0)+IF(AND(M168="Ensayo Idiem",L168="Cafco 400",C168="IN",G168=4,I168=90),VLOOKUP(T168,'CAFCO 400 ENSAYO'!$B$7:$D$43,2,FALSE),0)+IF(AND(M168="Ensayo Idiem",L168="Cafco 400",C168="IN",G168=4,I168=120),VLOOKUP(T168,'CAFCO 400 ENSAYO'!$B$7:$D$43,3,FALSE),0)</f>
        <v>0</v>
      </c>
      <c r="O168" s="96">
        <f t="shared" si="21"/>
        <v>0</v>
      </c>
      <c r="P168" s="95" t="str">
        <f t="shared" si="22"/>
        <v>N/A</v>
      </c>
      <c r="Q168" s="95" t="str">
        <f t="shared" si="23"/>
        <v>N/A</v>
      </c>
      <c r="R168" s="95" t="str">
        <f t="shared" si="24"/>
        <v>NO CERT.</v>
      </c>
      <c r="S168" s="95" t="e">
        <f t="shared" si="19"/>
        <v>#N/A</v>
      </c>
      <c r="T168" s="119" t="e">
        <f>+IF(J168=LOOKUP(J168,'CAFCO 300 IDIEM TABLAS'!$J$4:$J$40),'CALCULO MORTERO'!J168,MROUND('CALCULO MORTERO'!J168,10))</f>
        <v>#N/A</v>
      </c>
      <c r="U168" s="118">
        <f t="shared" si="20"/>
        <v>0</v>
      </c>
      <c r="Y168" s="4"/>
      <c r="Z168" s="4"/>
      <c r="AA168" s="4"/>
    </row>
    <row r="169" spans="1:27" x14ac:dyDescent="0.25">
      <c r="A169" s="118">
        <f>+CUBICACION!D163</f>
        <v>0</v>
      </c>
      <c r="B169" s="819">
        <f>+CUBICACION!E163</f>
        <v>0</v>
      </c>
      <c r="C169" s="675">
        <f>+CUBICACION!F163</f>
        <v>0</v>
      </c>
      <c r="D169" s="118"/>
      <c r="E169" s="118"/>
      <c r="F169" s="820"/>
      <c r="G169" s="675">
        <f>+CUBICACION!J163</f>
        <v>0</v>
      </c>
      <c r="H169" s="118"/>
      <c r="I169" s="821">
        <f>+CUBICACION!L163</f>
        <v>0</v>
      </c>
      <c r="J169" s="64">
        <f>+CUBICACION!M163</f>
        <v>0</v>
      </c>
      <c r="K169" s="822" t="str">
        <f>+CUBICACION!N163</f>
        <v/>
      </c>
      <c r="L169" s="118">
        <f>+CUBICACION!O163</f>
        <v>0</v>
      </c>
      <c r="M169" s="823">
        <f>+CUBICACION!P163</f>
        <v>0</v>
      </c>
      <c r="N169" s="902">
        <f>ROUND(IF(AND(L169="Blaze Shield II",M169="Software Idiem",C169="IN",G169=4),((('BLAZE SHIELD II'!$D$4*('CALCULO MORTERO'!I169^2)+'BLAZE SHIELD II'!$D$5*'CALCULO MORTERO'!I169+'BLAZE SHIELD II'!$D$6)*LN(J169))+('BLAZE SHIELD II'!$D$7*('CALCULO MORTERO'!I169^2)+'BLAZE SHIELD II'!$D$8*'CALCULO MORTERO'!I169+'BLAZE SHIELD II'!$D$9)),0)+IF(AND(L169="Blaze Shield II",M169="Software Idiem",C169="Cj"),((('BLAZE SHIELD II'!$H$4*('CALCULO MORTERO'!I169^2)+'BLAZE SHIELD II'!$H$5*'CALCULO MORTERO'!I169+'BLAZE SHIELD II'!$H$6)*LN(J169))+('BLAZE SHIELD II'!$H$7*('CALCULO MORTERO'!I169^2)+'BLAZE SHIELD II'!$H$8*'CALCULO MORTERO'!I169+'BLAZE SHIELD II'!$H$9)),0)+IF(AND(L169="Blaze Shield II",M169="Software Idiem",C169="C"),((('BLAZE SHIELD II'!$L$4*('CALCULO MORTERO'!I169^2)+'BLAZE SHIELD II'!$L$5*'CALCULO MORTERO'!I169+'BLAZE SHIELD II'!$L$6)*LN(J169))+('BLAZE SHIELD II'!$L$7*('CALCULO MORTERO'!I169^2)+'BLAZE SHIELD II'!$L$8*'CALCULO MORTERO'!I169+'BLAZE SHIELD II'!$L$9)),0)+IF(AND(L169="Blaze Shield II",M169="Software Idiem",C169="L"),((('BLAZE SHIELD II'!$L$4*('CALCULO MORTERO'!I169^2)+'BLAZE SHIELD II'!$L$5*'CALCULO MORTERO'!I169+'BLAZE SHIELD II'!$L$6)*LN(J169))+('BLAZE SHIELD II'!$L$7*('CALCULO MORTERO'!I169^2)+'BLAZE SHIELD II'!$L$8*'CALCULO MORTERO'!I169+'BLAZE SHIELD II'!$L$9)),0)+IF(AND(L169="Blaze Shield II",M169="Software Idiem",C169="IN",G169=3),((('BLAZE SHIELD II'!$H$14*('CALCULO MORTERO'!I169^2)+'BLAZE SHIELD II'!$H$15*'CALCULO MORTERO'!I169+'BLAZE SHIELD II'!$H$16)*LN(J169))+('BLAZE SHIELD II'!$H$17*('CALCULO MORTERO'!I169^2)+'BLAZE SHIELD II'!$H$18*'CALCULO MORTERO'!I169+'BLAZE SHIELD II'!$H$19)),0),0)+ROUND(IF(AND(L169="Cafco 400",M169="Software Idiem",C169="IN",G169=4),((('CAFCO 400 '!$H$7*(J169^4)+'CAFCO 400 '!$H$8*(J169^3)+'CAFCO 400 '!$H$9*(J169^2)+'CAFCO 400 '!$H$10*J169+'CAFCO 400 '!$H$11)*U169^2)+(('CAFCO 400 '!$H$12*(J169^3)+'CAFCO 400 '!$H$13*(J169^2)+'CAFCO 400 '!$H$14*J169+'CAFCO 400 '!$H$15)*U169)+('CAFCO 400 '!$H$16*(J169^2)+'CAFCO 400 '!$H$17*J169+'CAFCO 400 '!$H$18)),0)+IF(AND(L169="Cafco 400",M169="Software Idiem",C169="Cj"),(((('CAFCO 400 '!$D$7*LN(J169)+'CAFCO 400 '!$D$8)*U169^2)+(('CAFCO 400 '!$D$9*LN(J169)+'CAFCO 400 '!$D$10)*U169)+('CAFCO 400 '!$D$11*LN(J169)+'CAFCO 400 '!$D$12))),0)+IF(AND(L169="Cafco 400",M169="Software Idiem",C169="C"),((('CAFCO 400 '!$L$7*(J169^3)+'CAFCO 400 '!$L$8*(J169^2)+'CAFCO 400 '!$L$9*J169+'CAFCO 400 '!$L$10)*U169^2)+(('CAFCO 400 '!$L$11*(J169^3)+'CAFCO 400 '!$L$12*(J169^2)+'CAFCO 400 '!$L$13*J169+'CAFCO 400 '!$L$14)*U169)+('CAFCO 400 '!$L$15*LN(J169)+'CAFCO 400 '!$L$16)),0)+IF(AND(L169="Cafco 400",M169="Software Idiem",C169="L"),((('CAFCO 400 '!$L$7*(J169^3)+'CAFCO 400 '!$L$8*(J169^2)+'CAFCO 400 '!$L$9*J169+'CAFCO 400 '!$L$10)*U169^2)+(('CAFCO 400 '!$L$11*(J169^3)+'CAFCO 400 '!$L$12*(J169^2)+'CAFCO 400 '!$L$13*J169+'CAFCO 400 '!$L$14)*U169)+('CAFCO 400 '!$L$15*LN(J169)+'CAFCO 400 '!$L$16)),0)+IF(AND(L169="Cafco 400",M169="Software Idiem",C169="IN",G169=3),((('CAFCO 400 '!$D$23*(J169^2)+'CAFCO 400 '!$D$24*(J169)+'CAFCO 400 '!$D$25)*U169^2)+(('CAFCO 400 '!$D$26*(J169^2)+'CAFCO 400 '!$D$27*J169+'CAFCO 400 '!$D$28)*U169)+('CAFCO 400 '!$D$29*(J169^2)+'CAFCO 400 '!$D$30*J169+'CAFCO 400 '!$D$31)),0),0)+IF(AND(L169="Cafco 300",J169&gt;=95,J169&lt;=240,C169="Cj",I169=90),VLOOKUP(T169,'CAFCO 300 IDIEM TABLAS'!$B$4:$D$23,2,FALSE),0)+IF(AND(L169="Cafco 300",J169&gt;=95,J169&lt;=240,C169="Cj",I169=120),VLOOKUP(T169,'CAFCO 300 IDIEM TABLAS'!$B$4:$D$23,3,FALSE),0)+IF(AND(L169="Cafco 300",J169&gt;=95,J169&lt;=400,G169=3,C169="IN",I169=90),VLOOKUP(T169,'CAFCO 300 IDIEM TABLAS'!$F$4:$H$35,2,FALSE),0)+IF(AND(L169="Cafco 300",J169&gt;=95,J169&lt;=400,G169=3,C169="IN",I169=120),VLOOKUP(T169,'CAFCO 300 IDIEM TABLAS'!$F$4:$H$35,3,FALSE),0)+IF(AND(L169="Cafco 300",J169&gt;=95,J169&lt;=450,G169=4,C169="IN",I169=90),VLOOKUP(T169,'CAFCO 300 IDIEM TABLAS'!$J$4:$L$40,2,FALSE),0)+IF(AND(L169="Cafco 300",J169&gt;=95,J169&lt;=450,G169=4,C169="IN",I169=120),VLOOKUP(T169,'CAFCO 300 IDIEM TABLAS'!$J$4:$L$40,3,FALSE),0)+IF(AND(M169="Ensayo Idiem",L169="Cafco 400",C169="IN",G169=4,I169=90),VLOOKUP(T169,'CAFCO 400 ENSAYO'!$B$7:$D$43,2,FALSE),0)+IF(AND(M169="Ensayo Idiem",L169="Cafco 400",C169="IN",G169=4,I169=120),VLOOKUP(T169,'CAFCO 400 ENSAYO'!$B$7:$D$43,3,FALSE),0)</f>
        <v>0</v>
      </c>
      <c r="O169" s="96">
        <f t="shared" si="21"/>
        <v>0</v>
      </c>
      <c r="P169" s="95" t="str">
        <f t="shared" si="22"/>
        <v>N/A</v>
      </c>
      <c r="Q169" s="95" t="str">
        <f t="shared" si="23"/>
        <v>N/A</v>
      </c>
      <c r="R169" s="95" t="str">
        <f t="shared" si="24"/>
        <v>NO CERT.</v>
      </c>
      <c r="S169" s="95" t="e">
        <f t="shared" si="19"/>
        <v>#N/A</v>
      </c>
      <c r="T169" s="119" t="e">
        <f>+IF(J169=LOOKUP(J169,'CAFCO 300 IDIEM TABLAS'!$J$4:$J$40),'CALCULO MORTERO'!J169,MROUND('CALCULO MORTERO'!J169,10))</f>
        <v>#N/A</v>
      </c>
      <c r="U169" s="118">
        <f t="shared" si="20"/>
        <v>0</v>
      </c>
      <c r="Y169" s="4"/>
      <c r="Z169" s="4"/>
      <c r="AA169" s="4"/>
    </row>
    <row r="170" spans="1:27" ht="15.6" customHeight="1" x14ac:dyDescent="0.25">
      <c r="A170" s="118">
        <f>+CUBICACION!D164</f>
        <v>0</v>
      </c>
      <c r="B170" s="819">
        <f>+CUBICACION!E164</f>
        <v>0</v>
      </c>
      <c r="C170" s="675">
        <f>+CUBICACION!F164</f>
        <v>0</v>
      </c>
      <c r="D170" s="118"/>
      <c r="E170" s="118"/>
      <c r="F170" s="820"/>
      <c r="G170" s="675">
        <f>+CUBICACION!J164</f>
        <v>0</v>
      </c>
      <c r="H170" s="118"/>
      <c r="I170" s="821">
        <f>+CUBICACION!L164</f>
        <v>0</v>
      </c>
      <c r="J170" s="64">
        <f>+CUBICACION!M164</f>
        <v>0</v>
      </c>
      <c r="K170" s="822" t="str">
        <f>+CUBICACION!N164</f>
        <v/>
      </c>
      <c r="L170" s="118">
        <f>+CUBICACION!O164</f>
        <v>0</v>
      </c>
      <c r="M170" s="823">
        <f>+CUBICACION!P164</f>
        <v>0</v>
      </c>
      <c r="N170" s="902">
        <f>ROUND(IF(AND(L170="Blaze Shield II",M170="Software Idiem",C170="IN",G170=4),((('BLAZE SHIELD II'!$D$4*('CALCULO MORTERO'!I170^2)+'BLAZE SHIELD II'!$D$5*'CALCULO MORTERO'!I170+'BLAZE SHIELD II'!$D$6)*LN(J170))+('BLAZE SHIELD II'!$D$7*('CALCULO MORTERO'!I170^2)+'BLAZE SHIELD II'!$D$8*'CALCULO MORTERO'!I170+'BLAZE SHIELD II'!$D$9)),0)+IF(AND(L170="Blaze Shield II",M170="Software Idiem",C170="Cj"),((('BLAZE SHIELD II'!$H$4*('CALCULO MORTERO'!I170^2)+'BLAZE SHIELD II'!$H$5*'CALCULO MORTERO'!I170+'BLAZE SHIELD II'!$H$6)*LN(J170))+('BLAZE SHIELD II'!$H$7*('CALCULO MORTERO'!I170^2)+'BLAZE SHIELD II'!$H$8*'CALCULO MORTERO'!I170+'BLAZE SHIELD II'!$H$9)),0)+IF(AND(L170="Blaze Shield II",M170="Software Idiem",C170="C"),((('BLAZE SHIELD II'!$L$4*('CALCULO MORTERO'!I170^2)+'BLAZE SHIELD II'!$L$5*'CALCULO MORTERO'!I170+'BLAZE SHIELD II'!$L$6)*LN(J170))+('BLAZE SHIELD II'!$L$7*('CALCULO MORTERO'!I170^2)+'BLAZE SHIELD II'!$L$8*'CALCULO MORTERO'!I170+'BLAZE SHIELD II'!$L$9)),0)+IF(AND(L170="Blaze Shield II",M170="Software Idiem",C170="L"),((('BLAZE SHIELD II'!$L$4*('CALCULO MORTERO'!I170^2)+'BLAZE SHIELD II'!$L$5*'CALCULO MORTERO'!I170+'BLAZE SHIELD II'!$L$6)*LN(J170))+('BLAZE SHIELD II'!$L$7*('CALCULO MORTERO'!I170^2)+'BLAZE SHIELD II'!$L$8*'CALCULO MORTERO'!I170+'BLAZE SHIELD II'!$L$9)),0)+IF(AND(L170="Blaze Shield II",M170="Software Idiem",C170="IN",G170=3),((('BLAZE SHIELD II'!$H$14*('CALCULO MORTERO'!I170^2)+'BLAZE SHIELD II'!$H$15*'CALCULO MORTERO'!I170+'BLAZE SHIELD II'!$H$16)*LN(J170))+('BLAZE SHIELD II'!$H$17*('CALCULO MORTERO'!I170^2)+'BLAZE SHIELD II'!$H$18*'CALCULO MORTERO'!I170+'BLAZE SHIELD II'!$H$19)),0),0)+ROUND(IF(AND(L170="Cafco 400",M170="Software Idiem",C170="IN",G170=4),((('CAFCO 400 '!$H$7*(J170^4)+'CAFCO 400 '!$H$8*(J170^3)+'CAFCO 400 '!$H$9*(J170^2)+'CAFCO 400 '!$H$10*J170+'CAFCO 400 '!$H$11)*U170^2)+(('CAFCO 400 '!$H$12*(J170^3)+'CAFCO 400 '!$H$13*(J170^2)+'CAFCO 400 '!$H$14*J170+'CAFCO 400 '!$H$15)*U170)+('CAFCO 400 '!$H$16*(J170^2)+'CAFCO 400 '!$H$17*J170+'CAFCO 400 '!$H$18)),0)+IF(AND(L170="Cafco 400",M170="Software Idiem",C170="Cj"),(((('CAFCO 400 '!$D$7*LN(J170)+'CAFCO 400 '!$D$8)*U170^2)+(('CAFCO 400 '!$D$9*LN(J170)+'CAFCO 400 '!$D$10)*U170)+('CAFCO 400 '!$D$11*LN(J170)+'CAFCO 400 '!$D$12))),0)+IF(AND(L170="Cafco 400",M170="Software Idiem",C170="C"),((('CAFCO 400 '!$L$7*(J170^3)+'CAFCO 400 '!$L$8*(J170^2)+'CAFCO 400 '!$L$9*J170+'CAFCO 400 '!$L$10)*U170^2)+(('CAFCO 400 '!$L$11*(J170^3)+'CAFCO 400 '!$L$12*(J170^2)+'CAFCO 400 '!$L$13*J170+'CAFCO 400 '!$L$14)*U170)+('CAFCO 400 '!$L$15*LN(J170)+'CAFCO 400 '!$L$16)),0)+IF(AND(L170="Cafco 400",M170="Software Idiem",C170="L"),((('CAFCO 400 '!$L$7*(J170^3)+'CAFCO 400 '!$L$8*(J170^2)+'CAFCO 400 '!$L$9*J170+'CAFCO 400 '!$L$10)*U170^2)+(('CAFCO 400 '!$L$11*(J170^3)+'CAFCO 400 '!$L$12*(J170^2)+'CAFCO 400 '!$L$13*J170+'CAFCO 400 '!$L$14)*U170)+('CAFCO 400 '!$L$15*LN(J170)+'CAFCO 400 '!$L$16)),0)+IF(AND(L170="Cafco 400",M170="Software Idiem",C170="IN",G170=3),((('CAFCO 400 '!$D$23*(J170^2)+'CAFCO 400 '!$D$24*(J170)+'CAFCO 400 '!$D$25)*U170^2)+(('CAFCO 400 '!$D$26*(J170^2)+'CAFCO 400 '!$D$27*J170+'CAFCO 400 '!$D$28)*U170)+('CAFCO 400 '!$D$29*(J170^2)+'CAFCO 400 '!$D$30*J170+'CAFCO 400 '!$D$31)),0),0)+IF(AND(L170="Cafco 300",J170&gt;=95,J170&lt;=240,C170="Cj",I170=90),VLOOKUP(T170,'CAFCO 300 IDIEM TABLAS'!$B$4:$D$23,2,FALSE),0)+IF(AND(L170="Cafco 300",J170&gt;=95,J170&lt;=240,C170="Cj",I170=120),VLOOKUP(T170,'CAFCO 300 IDIEM TABLAS'!$B$4:$D$23,3,FALSE),0)+IF(AND(L170="Cafco 300",J170&gt;=95,J170&lt;=400,G170=3,C170="IN",I170=90),VLOOKUP(T170,'CAFCO 300 IDIEM TABLAS'!$F$4:$H$35,2,FALSE),0)+IF(AND(L170="Cafco 300",J170&gt;=95,J170&lt;=400,G170=3,C170="IN",I170=120),VLOOKUP(T170,'CAFCO 300 IDIEM TABLAS'!$F$4:$H$35,3,FALSE),0)+IF(AND(L170="Cafco 300",J170&gt;=95,J170&lt;=450,G170=4,C170="IN",I170=90),VLOOKUP(T170,'CAFCO 300 IDIEM TABLAS'!$J$4:$L$40,2,FALSE),0)+IF(AND(L170="Cafco 300",J170&gt;=95,J170&lt;=450,G170=4,C170="IN",I170=120),VLOOKUP(T170,'CAFCO 300 IDIEM TABLAS'!$J$4:$L$40,3,FALSE),0)+IF(AND(M170="Ensayo Idiem",L170="Cafco 400",C170="IN",G170=4,I170=90),VLOOKUP(T170,'CAFCO 400 ENSAYO'!$B$7:$D$43,2,FALSE),0)+IF(AND(M170="Ensayo Idiem",L170="Cafco 400",C170="IN",G170=4,I170=120),VLOOKUP(T170,'CAFCO 400 ENSAYO'!$B$7:$D$43,3,FALSE),0)</f>
        <v>0</v>
      </c>
      <c r="O170" s="96">
        <f t="shared" si="21"/>
        <v>0</v>
      </c>
      <c r="P170" s="95" t="str">
        <f t="shared" si="22"/>
        <v>N/A</v>
      </c>
      <c r="Q170" s="95" t="str">
        <f t="shared" si="23"/>
        <v>N/A</v>
      </c>
      <c r="R170" s="95" t="str">
        <f t="shared" si="24"/>
        <v>NO CERT.</v>
      </c>
      <c r="S170" s="95" t="e">
        <f t="shared" si="19"/>
        <v>#N/A</v>
      </c>
      <c r="T170" s="119" t="e">
        <f>+IF(J170=LOOKUP(J170,'CAFCO 300 IDIEM TABLAS'!$J$4:$J$40),'CALCULO MORTERO'!J170,MROUND('CALCULO MORTERO'!J170,10))</f>
        <v>#N/A</v>
      </c>
      <c r="U170" s="118">
        <f t="shared" si="20"/>
        <v>0</v>
      </c>
      <c r="Y170" s="4"/>
      <c r="Z170" s="4"/>
      <c r="AA170" s="4"/>
    </row>
    <row r="171" spans="1:27" x14ac:dyDescent="0.25">
      <c r="A171" s="118">
        <f>+CUBICACION!D165</f>
        <v>0</v>
      </c>
      <c r="B171" s="819">
        <f>+CUBICACION!E165</f>
        <v>0</v>
      </c>
      <c r="C171" s="675">
        <f>+CUBICACION!F165</f>
        <v>0</v>
      </c>
      <c r="D171" s="118"/>
      <c r="E171" s="118"/>
      <c r="F171" s="820"/>
      <c r="G171" s="675">
        <f>+CUBICACION!J165</f>
        <v>0</v>
      </c>
      <c r="H171" s="118"/>
      <c r="I171" s="821">
        <f>+CUBICACION!L165</f>
        <v>0</v>
      </c>
      <c r="J171" s="64">
        <f>+CUBICACION!M165</f>
        <v>0</v>
      </c>
      <c r="K171" s="822" t="str">
        <f>+CUBICACION!N165</f>
        <v/>
      </c>
      <c r="L171" s="118">
        <f>+CUBICACION!O165</f>
        <v>0</v>
      </c>
      <c r="M171" s="823">
        <f>+CUBICACION!P165</f>
        <v>0</v>
      </c>
      <c r="N171" s="902">
        <f>ROUND(IF(AND(L171="Blaze Shield II",M171="Software Idiem",C171="IN",G171=4),((('BLAZE SHIELD II'!$D$4*('CALCULO MORTERO'!I171^2)+'BLAZE SHIELD II'!$D$5*'CALCULO MORTERO'!I171+'BLAZE SHIELD II'!$D$6)*LN(J171))+('BLAZE SHIELD II'!$D$7*('CALCULO MORTERO'!I171^2)+'BLAZE SHIELD II'!$D$8*'CALCULO MORTERO'!I171+'BLAZE SHIELD II'!$D$9)),0)+IF(AND(L171="Blaze Shield II",M171="Software Idiem",C171="Cj"),((('BLAZE SHIELD II'!$H$4*('CALCULO MORTERO'!I171^2)+'BLAZE SHIELD II'!$H$5*'CALCULO MORTERO'!I171+'BLAZE SHIELD II'!$H$6)*LN(J171))+('BLAZE SHIELD II'!$H$7*('CALCULO MORTERO'!I171^2)+'BLAZE SHIELD II'!$H$8*'CALCULO MORTERO'!I171+'BLAZE SHIELD II'!$H$9)),0)+IF(AND(L171="Blaze Shield II",M171="Software Idiem",C171="C"),((('BLAZE SHIELD II'!$L$4*('CALCULO MORTERO'!I171^2)+'BLAZE SHIELD II'!$L$5*'CALCULO MORTERO'!I171+'BLAZE SHIELD II'!$L$6)*LN(J171))+('BLAZE SHIELD II'!$L$7*('CALCULO MORTERO'!I171^2)+'BLAZE SHIELD II'!$L$8*'CALCULO MORTERO'!I171+'BLAZE SHIELD II'!$L$9)),0)+IF(AND(L171="Blaze Shield II",M171="Software Idiem",C171="L"),((('BLAZE SHIELD II'!$L$4*('CALCULO MORTERO'!I171^2)+'BLAZE SHIELD II'!$L$5*'CALCULO MORTERO'!I171+'BLAZE SHIELD II'!$L$6)*LN(J171))+('BLAZE SHIELD II'!$L$7*('CALCULO MORTERO'!I171^2)+'BLAZE SHIELD II'!$L$8*'CALCULO MORTERO'!I171+'BLAZE SHIELD II'!$L$9)),0)+IF(AND(L171="Blaze Shield II",M171="Software Idiem",C171="IN",G171=3),((('BLAZE SHIELD II'!$H$14*('CALCULO MORTERO'!I171^2)+'BLAZE SHIELD II'!$H$15*'CALCULO MORTERO'!I171+'BLAZE SHIELD II'!$H$16)*LN(J171))+('BLAZE SHIELD II'!$H$17*('CALCULO MORTERO'!I171^2)+'BLAZE SHIELD II'!$H$18*'CALCULO MORTERO'!I171+'BLAZE SHIELD II'!$H$19)),0),0)+ROUND(IF(AND(L171="Cafco 400",M171="Software Idiem",C171="IN",G171=4),((('CAFCO 400 '!$H$7*(J171^4)+'CAFCO 400 '!$H$8*(J171^3)+'CAFCO 400 '!$H$9*(J171^2)+'CAFCO 400 '!$H$10*J171+'CAFCO 400 '!$H$11)*U171^2)+(('CAFCO 400 '!$H$12*(J171^3)+'CAFCO 400 '!$H$13*(J171^2)+'CAFCO 400 '!$H$14*J171+'CAFCO 400 '!$H$15)*U171)+('CAFCO 400 '!$H$16*(J171^2)+'CAFCO 400 '!$H$17*J171+'CAFCO 400 '!$H$18)),0)+IF(AND(L171="Cafco 400",M171="Software Idiem",C171="Cj"),(((('CAFCO 400 '!$D$7*LN(J171)+'CAFCO 400 '!$D$8)*U171^2)+(('CAFCO 400 '!$D$9*LN(J171)+'CAFCO 400 '!$D$10)*U171)+('CAFCO 400 '!$D$11*LN(J171)+'CAFCO 400 '!$D$12))),0)+IF(AND(L171="Cafco 400",M171="Software Idiem",C171="C"),((('CAFCO 400 '!$L$7*(J171^3)+'CAFCO 400 '!$L$8*(J171^2)+'CAFCO 400 '!$L$9*J171+'CAFCO 400 '!$L$10)*U171^2)+(('CAFCO 400 '!$L$11*(J171^3)+'CAFCO 400 '!$L$12*(J171^2)+'CAFCO 400 '!$L$13*J171+'CAFCO 400 '!$L$14)*U171)+('CAFCO 400 '!$L$15*LN(J171)+'CAFCO 400 '!$L$16)),0)+IF(AND(L171="Cafco 400",M171="Software Idiem",C171="L"),((('CAFCO 400 '!$L$7*(J171^3)+'CAFCO 400 '!$L$8*(J171^2)+'CAFCO 400 '!$L$9*J171+'CAFCO 400 '!$L$10)*U171^2)+(('CAFCO 400 '!$L$11*(J171^3)+'CAFCO 400 '!$L$12*(J171^2)+'CAFCO 400 '!$L$13*J171+'CAFCO 400 '!$L$14)*U171)+('CAFCO 400 '!$L$15*LN(J171)+'CAFCO 400 '!$L$16)),0)+IF(AND(L171="Cafco 400",M171="Software Idiem",C171="IN",G171=3),((('CAFCO 400 '!$D$23*(J171^2)+'CAFCO 400 '!$D$24*(J171)+'CAFCO 400 '!$D$25)*U171^2)+(('CAFCO 400 '!$D$26*(J171^2)+'CAFCO 400 '!$D$27*J171+'CAFCO 400 '!$D$28)*U171)+('CAFCO 400 '!$D$29*(J171^2)+'CAFCO 400 '!$D$30*J171+'CAFCO 400 '!$D$31)),0),0)+IF(AND(L171="Cafco 300",J171&gt;=95,J171&lt;=240,C171="Cj",I171=90),VLOOKUP(T171,'CAFCO 300 IDIEM TABLAS'!$B$4:$D$23,2,FALSE),0)+IF(AND(L171="Cafco 300",J171&gt;=95,J171&lt;=240,C171="Cj",I171=120),VLOOKUP(T171,'CAFCO 300 IDIEM TABLAS'!$B$4:$D$23,3,FALSE),0)+IF(AND(L171="Cafco 300",J171&gt;=95,J171&lt;=400,G171=3,C171="IN",I171=90),VLOOKUP(T171,'CAFCO 300 IDIEM TABLAS'!$F$4:$H$35,2,FALSE),0)+IF(AND(L171="Cafco 300",J171&gt;=95,J171&lt;=400,G171=3,C171="IN",I171=120),VLOOKUP(T171,'CAFCO 300 IDIEM TABLAS'!$F$4:$H$35,3,FALSE),0)+IF(AND(L171="Cafco 300",J171&gt;=95,J171&lt;=450,G171=4,C171="IN",I171=90),VLOOKUP(T171,'CAFCO 300 IDIEM TABLAS'!$J$4:$L$40,2,FALSE),0)+IF(AND(L171="Cafco 300",J171&gt;=95,J171&lt;=450,G171=4,C171="IN",I171=120),VLOOKUP(T171,'CAFCO 300 IDIEM TABLAS'!$J$4:$L$40,3,FALSE),0)+IF(AND(M171="Ensayo Idiem",L171="Cafco 400",C171="IN",G171=4,I171=90),VLOOKUP(T171,'CAFCO 400 ENSAYO'!$B$7:$D$43,2,FALSE),0)+IF(AND(M171="Ensayo Idiem",L171="Cafco 400",C171="IN",G171=4,I171=120),VLOOKUP(T171,'CAFCO 400 ENSAYO'!$B$7:$D$43,3,FALSE),0)</f>
        <v>0</v>
      </c>
      <c r="O171" s="96">
        <f t="shared" si="21"/>
        <v>0</v>
      </c>
      <c r="P171" s="95" t="str">
        <f t="shared" si="22"/>
        <v>N/A</v>
      </c>
      <c r="Q171" s="95" t="str">
        <f t="shared" si="23"/>
        <v>N/A</v>
      </c>
      <c r="R171" s="95" t="str">
        <f t="shared" si="24"/>
        <v>NO CERT.</v>
      </c>
      <c r="S171" s="95" t="e">
        <f t="shared" si="19"/>
        <v>#N/A</v>
      </c>
      <c r="T171" s="119" t="e">
        <f>+IF(J171=LOOKUP(J171,'CAFCO 300 IDIEM TABLAS'!$J$4:$J$40),'CALCULO MORTERO'!J171,MROUND('CALCULO MORTERO'!J171,10))</f>
        <v>#N/A</v>
      </c>
      <c r="U171" s="118">
        <f t="shared" si="20"/>
        <v>0</v>
      </c>
      <c r="Y171" s="4"/>
      <c r="Z171" s="4"/>
      <c r="AA171" s="4"/>
    </row>
    <row r="172" spans="1:27" ht="15.6" customHeight="1" x14ac:dyDescent="0.25">
      <c r="A172" s="118">
        <f>+CUBICACION!D166</f>
        <v>0</v>
      </c>
      <c r="B172" s="819">
        <f>+CUBICACION!E166</f>
        <v>0</v>
      </c>
      <c r="C172" s="675">
        <f>+CUBICACION!F166</f>
        <v>0</v>
      </c>
      <c r="D172" s="118"/>
      <c r="E172" s="118"/>
      <c r="F172" s="820"/>
      <c r="G172" s="675">
        <f>+CUBICACION!J166</f>
        <v>0</v>
      </c>
      <c r="H172" s="118"/>
      <c r="I172" s="821">
        <f>+CUBICACION!L166</f>
        <v>0</v>
      </c>
      <c r="J172" s="64">
        <f>+CUBICACION!M166</f>
        <v>0</v>
      </c>
      <c r="K172" s="822" t="str">
        <f>+CUBICACION!N166</f>
        <v/>
      </c>
      <c r="L172" s="118">
        <f>+CUBICACION!O166</f>
        <v>0</v>
      </c>
      <c r="M172" s="823">
        <f>+CUBICACION!P166</f>
        <v>0</v>
      </c>
      <c r="N172" s="902">
        <f>ROUND(IF(AND(L172="Blaze Shield II",M172="Software Idiem",C172="IN",G172=4),((('BLAZE SHIELD II'!$D$4*('CALCULO MORTERO'!I172^2)+'BLAZE SHIELD II'!$D$5*'CALCULO MORTERO'!I172+'BLAZE SHIELD II'!$D$6)*LN(J172))+('BLAZE SHIELD II'!$D$7*('CALCULO MORTERO'!I172^2)+'BLAZE SHIELD II'!$D$8*'CALCULO MORTERO'!I172+'BLAZE SHIELD II'!$D$9)),0)+IF(AND(L172="Blaze Shield II",M172="Software Idiem",C172="Cj"),((('BLAZE SHIELD II'!$H$4*('CALCULO MORTERO'!I172^2)+'BLAZE SHIELD II'!$H$5*'CALCULO MORTERO'!I172+'BLAZE SHIELD II'!$H$6)*LN(J172))+('BLAZE SHIELD II'!$H$7*('CALCULO MORTERO'!I172^2)+'BLAZE SHIELD II'!$H$8*'CALCULO MORTERO'!I172+'BLAZE SHIELD II'!$H$9)),0)+IF(AND(L172="Blaze Shield II",M172="Software Idiem",C172="C"),((('BLAZE SHIELD II'!$L$4*('CALCULO MORTERO'!I172^2)+'BLAZE SHIELD II'!$L$5*'CALCULO MORTERO'!I172+'BLAZE SHIELD II'!$L$6)*LN(J172))+('BLAZE SHIELD II'!$L$7*('CALCULO MORTERO'!I172^2)+'BLAZE SHIELD II'!$L$8*'CALCULO MORTERO'!I172+'BLAZE SHIELD II'!$L$9)),0)+IF(AND(L172="Blaze Shield II",M172="Software Idiem",C172="L"),((('BLAZE SHIELD II'!$L$4*('CALCULO MORTERO'!I172^2)+'BLAZE SHIELD II'!$L$5*'CALCULO MORTERO'!I172+'BLAZE SHIELD II'!$L$6)*LN(J172))+('BLAZE SHIELD II'!$L$7*('CALCULO MORTERO'!I172^2)+'BLAZE SHIELD II'!$L$8*'CALCULO MORTERO'!I172+'BLAZE SHIELD II'!$L$9)),0)+IF(AND(L172="Blaze Shield II",M172="Software Idiem",C172="IN",G172=3),((('BLAZE SHIELD II'!$H$14*('CALCULO MORTERO'!I172^2)+'BLAZE SHIELD II'!$H$15*'CALCULO MORTERO'!I172+'BLAZE SHIELD II'!$H$16)*LN(J172))+('BLAZE SHIELD II'!$H$17*('CALCULO MORTERO'!I172^2)+'BLAZE SHIELD II'!$H$18*'CALCULO MORTERO'!I172+'BLAZE SHIELD II'!$H$19)),0),0)+ROUND(IF(AND(L172="Cafco 400",M172="Software Idiem",C172="IN",G172=4),((('CAFCO 400 '!$H$7*(J172^4)+'CAFCO 400 '!$H$8*(J172^3)+'CAFCO 400 '!$H$9*(J172^2)+'CAFCO 400 '!$H$10*J172+'CAFCO 400 '!$H$11)*U172^2)+(('CAFCO 400 '!$H$12*(J172^3)+'CAFCO 400 '!$H$13*(J172^2)+'CAFCO 400 '!$H$14*J172+'CAFCO 400 '!$H$15)*U172)+('CAFCO 400 '!$H$16*(J172^2)+'CAFCO 400 '!$H$17*J172+'CAFCO 400 '!$H$18)),0)+IF(AND(L172="Cafco 400",M172="Software Idiem",C172="Cj"),(((('CAFCO 400 '!$D$7*LN(J172)+'CAFCO 400 '!$D$8)*U172^2)+(('CAFCO 400 '!$D$9*LN(J172)+'CAFCO 400 '!$D$10)*U172)+('CAFCO 400 '!$D$11*LN(J172)+'CAFCO 400 '!$D$12))),0)+IF(AND(L172="Cafco 400",M172="Software Idiem",C172="C"),((('CAFCO 400 '!$L$7*(J172^3)+'CAFCO 400 '!$L$8*(J172^2)+'CAFCO 400 '!$L$9*J172+'CAFCO 400 '!$L$10)*U172^2)+(('CAFCO 400 '!$L$11*(J172^3)+'CAFCO 400 '!$L$12*(J172^2)+'CAFCO 400 '!$L$13*J172+'CAFCO 400 '!$L$14)*U172)+('CAFCO 400 '!$L$15*LN(J172)+'CAFCO 400 '!$L$16)),0)+IF(AND(L172="Cafco 400",M172="Software Idiem",C172="L"),((('CAFCO 400 '!$L$7*(J172^3)+'CAFCO 400 '!$L$8*(J172^2)+'CAFCO 400 '!$L$9*J172+'CAFCO 400 '!$L$10)*U172^2)+(('CAFCO 400 '!$L$11*(J172^3)+'CAFCO 400 '!$L$12*(J172^2)+'CAFCO 400 '!$L$13*J172+'CAFCO 400 '!$L$14)*U172)+('CAFCO 400 '!$L$15*LN(J172)+'CAFCO 400 '!$L$16)),0)+IF(AND(L172="Cafco 400",M172="Software Idiem",C172="IN",G172=3),((('CAFCO 400 '!$D$23*(J172^2)+'CAFCO 400 '!$D$24*(J172)+'CAFCO 400 '!$D$25)*U172^2)+(('CAFCO 400 '!$D$26*(J172^2)+'CAFCO 400 '!$D$27*J172+'CAFCO 400 '!$D$28)*U172)+('CAFCO 400 '!$D$29*(J172^2)+'CAFCO 400 '!$D$30*J172+'CAFCO 400 '!$D$31)),0),0)+IF(AND(L172="Cafco 300",J172&gt;=95,J172&lt;=240,C172="Cj",I172=90),VLOOKUP(T172,'CAFCO 300 IDIEM TABLAS'!$B$4:$D$23,2,FALSE),0)+IF(AND(L172="Cafco 300",J172&gt;=95,J172&lt;=240,C172="Cj",I172=120),VLOOKUP(T172,'CAFCO 300 IDIEM TABLAS'!$B$4:$D$23,3,FALSE),0)+IF(AND(L172="Cafco 300",J172&gt;=95,J172&lt;=400,G172=3,C172="IN",I172=90),VLOOKUP(T172,'CAFCO 300 IDIEM TABLAS'!$F$4:$H$35,2,FALSE),0)+IF(AND(L172="Cafco 300",J172&gt;=95,J172&lt;=400,G172=3,C172="IN",I172=120),VLOOKUP(T172,'CAFCO 300 IDIEM TABLAS'!$F$4:$H$35,3,FALSE),0)+IF(AND(L172="Cafco 300",J172&gt;=95,J172&lt;=450,G172=4,C172="IN",I172=90),VLOOKUP(T172,'CAFCO 300 IDIEM TABLAS'!$J$4:$L$40,2,FALSE),0)+IF(AND(L172="Cafco 300",J172&gt;=95,J172&lt;=450,G172=4,C172="IN",I172=120),VLOOKUP(T172,'CAFCO 300 IDIEM TABLAS'!$J$4:$L$40,3,FALSE),0)+IF(AND(M172="Ensayo Idiem",L172="Cafco 400",C172="IN",G172=4,I172=90),VLOOKUP(T172,'CAFCO 400 ENSAYO'!$B$7:$D$43,2,FALSE),0)+IF(AND(M172="Ensayo Idiem",L172="Cafco 400",C172="IN",G172=4,I172=120),VLOOKUP(T172,'CAFCO 400 ENSAYO'!$B$7:$D$43,3,FALSE),0)</f>
        <v>0</v>
      </c>
      <c r="O172" s="96">
        <f t="shared" si="21"/>
        <v>0</v>
      </c>
      <c r="P172" s="95" t="str">
        <f t="shared" si="22"/>
        <v>N/A</v>
      </c>
      <c r="Q172" s="95" t="str">
        <f t="shared" si="23"/>
        <v>N/A</v>
      </c>
      <c r="R172" s="95" t="str">
        <f t="shared" si="24"/>
        <v>NO CERT.</v>
      </c>
      <c r="S172" s="95" t="e">
        <f t="shared" si="19"/>
        <v>#N/A</v>
      </c>
      <c r="T172" s="119" t="e">
        <f>+IF(J172=LOOKUP(J172,'CAFCO 300 IDIEM TABLAS'!$J$4:$J$40),'CALCULO MORTERO'!J172,MROUND('CALCULO MORTERO'!J172,10))</f>
        <v>#N/A</v>
      </c>
      <c r="U172" s="118">
        <f t="shared" si="20"/>
        <v>0</v>
      </c>
      <c r="Y172" s="4"/>
      <c r="Z172" s="4"/>
      <c r="AA172" s="4"/>
    </row>
    <row r="173" spans="1:27" x14ac:dyDescent="0.25">
      <c r="A173" s="118">
        <f>+CUBICACION!D167</f>
        <v>0</v>
      </c>
      <c r="B173" s="819">
        <f>+CUBICACION!E167</f>
        <v>0</v>
      </c>
      <c r="C173" s="675">
        <f>+CUBICACION!F167</f>
        <v>0</v>
      </c>
      <c r="D173" s="118"/>
      <c r="E173" s="118"/>
      <c r="F173" s="820"/>
      <c r="G173" s="675">
        <f>+CUBICACION!J167</f>
        <v>0</v>
      </c>
      <c r="H173" s="118"/>
      <c r="I173" s="821">
        <f>+CUBICACION!L167</f>
        <v>0</v>
      </c>
      <c r="J173" s="64">
        <f>+CUBICACION!M167</f>
        <v>0</v>
      </c>
      <c r="K173" s="822" t="str">
        <f>+CUBICACION!N167</f>
        <v/>
      </c>
      <c r="L173" s="118">
        <f>+CUBICACION!O167</f>
        <v>0</v>
      </c>
      <c r="M173" s="823">
        <f>+CUBICACION!P167</f>
        <v>0</v>
      </c>
      <c r="N173" s="902">
        <f>ROUND(IF(AND(L173="Blaze Shield II",M173="Software Idiem",C173="IN",G173=4),((('BLAZE SHIELD II'!$D$4*('CALCULO MORTERO'!I173^2)+'BLAZE SHIELD II'!$D$5*'CALCULO MORTERO'!I173+'BLAZE SHIELD II'!$D$6)*LN(J173))+('BLAZE SHIELD II'!$D$7*('CALCULO MORTERO'!I173^2)+'BLAZE SHIELD II'!$D$8*'CALCULO MORTERO'!I173+'BLAZE SHIELD II'!$D$9)),0)+IF(AND(L173="Blaze Shield II",M173="Software Idiem",C173="Cj"),((('BLAZE SHIELD II'!$H$4*('CALCULO MORTERO'!I173^2)+'BLAZE SHIELD II'!$H$5*'CALCULO MORTERO'!I173+'BLAZE SHIELD II'!$H$6)*LN(J173))+('BLAZE SHIELD II'!$H$7*('CALCULO MORTERO'!I173^2)+'BLAZE SHIELD II'!$H$8*'CALCULO MORTERO'!I173+'BLAZE SHIELD II'!$H$9)),0)+IF(AND(L173="Blaze Shield II",M173="Software Idiem",C173="C"),((('BLAZE SHIELD II'!$L$4*('CALCULO MORTERO'!I173^2)+'BLAZE SHIELD II'!$L$5*'CALCULO MORTERO'!I173+'BLAZE SHIELD II'!$L$6)*LN(J173))+('BLAZE SHIELD II'!$L$7*('CALCULO MORTERO'!I173^2)+'BLAZE SHIELD II'!$L$8*'CALCULO MORTERO'!I173+'BLAZE SHIELD II'!$L$9)),0)+IF(AND(L173="Blaze Shield II",M173="Software Idiem",C173="L"),((('BLAZE SHIELD II'!$L$4*('CALCULO MORTERO'!I173^2)+'BLAZE SHIELD II'!$L$5*'CALCULO MORTERO'!I173+'BLAZE SHIELD II'!$L$6)*LN(J173))+('BLAZE SHIELD II'!$L$7*('CALCULO MORTERO'!I173^2)+'BLAZE SHIELD II'!$L$8*'CALCULO MORTERO'!I173+'BLAZE SHIELD II'!$L$9)),0)+IF(AND(L173="Blaze Shield II",M173="Software Idiem",C173="IN",G173=3),((('BLAZE SHIELD II'!$H$14*('CALCULO MORTERO'!I173^2)+'BLAZE SHIELD II'!$H$15*'CALCULO MORTERO'!I173+'BLAZE SHIELD II'!$H$16)*LN(J173))+('BLAZE SHIELD II'!$H$17*('CALCULO MORTERO'!I173^2)+'BLAZE SHIELD II'!$H$18*'CALCULO MORTERO'!I173+'BLAZE SHIELD II'!$H$19)),0),0)+ROUND(IF(AND(L173="Cafco 400",M173="Software Idiem",C173="IN",G173=4),((('CAFCO 400 '!$H$7*(J173^4)+'CAFCO 400 '!$H$8*(J173^3)+'CAFCO 400 '!$H$9*(J173^2)+'CAFCO 400 '!$H$10*J173+'CAFCO 400 '!$H$11)*U173^2)+(('CAFCO 400 '!$H$12*(J173^3)+'CAFCO 400 '!$H$13*(J173^2)+'CAFCO 400 '!$H$14*J173+'CAFCO 400 '!$H$15)*U173)+('CAFCO 400 '!$H$16*(J173^2)+'CAFCO 400 '!$H$17*J173+'CAFCO 400 '!$H$18)),0)+IF(AND(L173="Cafco 400",M173="Software Idiem",C173="Cj"),(((('CAFCO 400 '!$D$7*LN(J173)+'CAFCO 400 '!$D$8)*U173^2)+(('CAFCO 400 '!$D$9*LN(J173)+'CAFCO 400 '!$D$10)*U173)+('CAFCO 400 '!$D$11*LN(J173)+'CAFCO 400 '!$D$12))),0)+IF(AND(L173="Cafco 400",M173="Software Idiem",C173="C"),((('CAFCO 400 '!$L$7*(J173^3)+'CAFCO 400 '!$L$8*(J173^2)+'CAFCO 400 '!$L$9*J173+'CAFCO 400 '!$L$10)*U173^2)+(('CAFCO 400 '!$L$11*(J173^3)+'CAFCO 400 '!$L$12*(J173^2)+'CAFCO 400 '!$L$13*J173+'CAFCO 400 '!$L$14)*U173)+('CAFCO 400 '!$L$15*LN(J173)+'CAFCO 400 '!$L$16)),0)+IF(AND(L173="Cafco 400",M173="Software Idiem",C173="L"),((('CAFCO 400 '!$L$7*(J173^3)+'CAFCO 400 '!$L$8*(J173^2)+'CAFCO 400 '!$L$9*J173+'CAFCO 400 '!$L$10)*U173^2)+(('CAFCO 400 '!$L$11*(J173^3)+'CAFCO 400 '!$L$12*(J173^2)+'CAFCO 400 '!$L$13*J173+'CAFCO 400 '!$L$14)*U173)+('CAFCO 400 '!$L$15*LN(J173)+'CAFCO 400 '!$L$16)),0)+IF(AND(L173="Cafco 400",M173="Software Idiem",C173="IN",G173=3),((('CAFCO 400 '!$D$23*(J173^2)+'CAFCO 400 '!$D$24*(J173)+'CAFCO 400 '!$D$25)*U173^2)+(('CAFCO 400 '!$D$26*(J173^2)+'CAFCO 400 '!$D$27*J173+'CAFCO 400 '!$D$28)*U173)+('CAFCO 400 '!$D$29*(J173^2)+'CAFCO 400 '!$D$30*J173+'CAFCO 400 '!$D$31)),0),0)+IF(AND(L173="Cafco 300",J173&gt;=95,J173&lt;=240,C173="Cj",I173=90),VLOOKUP(T173,'CAFCO 300 IDIEM TABLAS'!$B$4:$D$23,2,FALSE),0)+IF(AND(L173="Cafco 300",J173&gt;=95,J173&lt;=240,C173="Cj",I173=120),VLOOKUP(T173,'CAFCO 300 IDIEM TABLAS'!$B$4:$D$23,3,FALSE),0)+IF(AND(L173="Cafco 300",J173&gt;=95,J173&lt;=400,G173=3,C173="IN",I173=90),VLOOKUP(T173,'CAFCO 300 IDIEM TABLAS'!$F$4:$H$35,2,FALSE),0)+IF(AND(L173="Cafco 300",J173&gt;=95,J173&lt;=400,G173=3,C173="IN",I173=120),VLOOKUP(T173,'CAFCO 300 IDIEM TABLAS'!$F$4:$H$35,3,FALSE),0)+IF(AND(L173="Cafco 300",J173&gt;=95,J173&lt;=450,G173=4,C173="IN",I173=90),VLOOKUP(T173,'CAFCO 300 IDIEM TABLAS'!$J$4:$L$40,2,FALSE),0)+IF(AND(L173="Cafco 300",J173&gt;=95,J173&lt;=450,G173=4,C173="IN",I173=120),VLOOKUP(T173,'CAFCO 300 IDIEM TABLAS'!$J$4:$L$40,3,FALSE),0)+IF(AND(M173="Ensayo Idiem",L173="Cafco 400",C173="IN",G173=4,I173=90),VLOOKUP(T173,'CAFCO 400 ENSAYO'!$B$7:$D$43,2,FALSE),0)+IF(AND(M173="Ensayo Idiem",L173="Cafco 400",C173="IN",G173=4,I173=120),VLOOKUP(T173,'CAFCO 400 ENSAYO'!$B$7:$D$43,3,FALSE),0)</f>
        <v>0</v>
      </c>
      <c r="O173" s="96">
        <f t="shared" si="21"/>
        <v>0</v>
      </c>
      <c r="P173" s="95" t="str">
        <f t="shared" si="22"/>
        <v>N/A</v>
      </c>
      <c r="Q173" s="95" t="str">
        <f t="shared" si="23"/>
        <v>N/A</v>
      </c>
      <c r="R173" s="95" t="str">
        <f t="shared" si="24"/>
        <v>NO CERT.</v>
      </c>
      <c r="S173" s="95" t="e">
        <f t="shared" si="19"/>
        <v>#N/A</v>
      </c>
      <c r="T173" s="119" t="e">
        <f>+IF(J173=LOOKUP(J173,'CAFCO 300 IDIEM TABLAS'!$J$4:$J$40),'CALCULO MORTERO'!J173,MROUND('CALCULO MORTERO'!J173,10))</f>
        <v>#N/A</v>
      </c>
      <c r="U173" s="118">
        <f t="shared" si="20"/>
        <v>0</v>
      </c>
      <c r="Y173" s="4"/>
      <c r="Z173" s="4"/>
      <c r="AA173" s="4"/>
    </row>
    <row r="174" spans="1:27" ht="15.6" customHeight="1" x14ac:dyDescent="0.25">
      <c r="A174" s="118">
        <f>+CUBICACION!D168</f>
        <v>0</v>
      </c>
      <c r="B174" s="819">
        <f>+CUBICACION!E168</f>
        <v>0</v>
      </c>
      <c r="C174" s="675">
        <f>+CUBICACION!F168</f>
        <v>0</v>
      </c>
      <c r="D174" s="118"/>
      <c r="E174" s="118"/>
      <c r="F174" s="820"/>
      <c r="G174" s="675">
        <f>+CUBICACION!J168</f>
        <v>0</v>
      </c>
      <c r="H174" s="118"/>
      <c r="I174" s="821">
        <f>+CUBICACION!L168</f>
        <v>0</v>
      </c>
      <c r="J174" s="64">
        <f>+CUBICACION!M168</f>
        <v>0</v>
      </c>
      <c r="K174" s="822" t="str">
        <f>+CUBICACION!N168</f>
        <v/>
      </c>
      <c r="L174" s="118">
        <f>+CUBICACION!O168</f>
        <v>0</v>
      </c>
      <c r="M174" s="823">
        <f>+CUBICACION!P168</f>
        <v>0</v>
      </c>
      <c r="N174" s="902">
        <f>ROUND(IF(AND(L174="Blaze Shield II",M174="Software Idiem",C174="IN",G174=4),((('BLAZE SHIELD II'!$D$4*('CALCULO MORTERO'!I174^2)+'BLAZE SHIELD II'!$D$5*'CALCULO MORTERO'!I174+'BLAZE SHIELD II'!$D$6)*LN(J174))+('BLAZE SHIELD II'!$D$7*('CALCULO MORTERO'!I174^2)+'BLAZE SHIELD II'!$D$8*'CALCULO MORTERO'!I174+'BLAZE SHIELD II'!$D$9)),0)+IF(AND(L174="Blaze Shield II",M174="Software Idiem",C174="Cj"),((('BLAZE SHIELD II'!$H$4*('CALCULO MORTERO'!I174^2)+'BLAZE SHIELD II'!$H$5*'CALCULO MORTERO'!I174+'BLAZE SHIELD II'!$H$6)*LN(J174))+('BLAZE SHIELD II'!$H$7*('CALCULO MORTERO'!I174^2)+'BLAZE SHIELD II'!$H$8*'CALCULO MORTERO'!I174+'BLAZE SHIELD II'!$H$9)),0)+IF(AND(L174="Blaze Shield II",M174="Software Idiem",C174="C"),((('BLAZE SHIELD II'!$L$4*('CALCULO MORTERO'!I174^2)+'BLAZE SHIELD II'!$L$5*'CALCULO MORTERO'!I174+'BLAZE SHIELD II'!$L$6)*LN(J174))+('BLAZE SHIELD II'!$L$7*('CALCULO MORTERO'!I174^2)+'BLAZE SHIELD II'!$L$8*'CALCULO MORTERO'!I174+'BLAZE SHIELD II'!$L$9)),0)+IF(AND(L174="Blaze Shield II",M174="Software Idiem",C174="L"),((('BLAZE SHIELD II'!$L$4*('CALCULO MORTERO'!I174^2)+'BLAZE SHIELD II'!$L$5*'CALCULO MORTERO'!I174+'BLAZE SHIELD II'!$L$6)*LN(J174))+('BLAZE SHIELD II'!$L$7*('CALCULO MORTERO'!I174^2)+'BLAZE SHIELD II'!$L$8*'CALCULO MORTERO'!I174+'BLAZE SHIELD II'!$L$9)),0)+IF(AND(L174="Blaze Shield II",M174="Software Idiem",C174="IN",G174=3),((('BLAZE SHIELD II'!$H$14*('CALCULO MORTERO'!I174^2)+'BLAZE SHIELD II'!$H$15*'CALCULO MORTERO'!I174+'BLAZE SHIELD II'!$H$16)*LN(J174))+('BLAZE SHIELD II'!$H$17*('CALCULO MORTERO'!I174^2)+'BLAZE SHIELD II'!$H$18*'CALCULO MORTERO'!I174+'BLAZE SHIELD II'!$H$19)),0),0)+ROUND(IF(AND(L174="Cafco 400",M174="Software Idiem",C174="IN",G174=4),((('CAFCO 400 '!$H$7*(J174^4)+'CAFCO 400 '!$H$8*(J174^3)+'CAFCO 400 '!$H$9*(J174^2)+'CAFCO 400 '!$H$10*J174+'CAFCO 400 '!$H$11)*U174^2)+(('CAFCO 400 '!$H$12*(J174^3)+'CAFCO 400 '!$H$13*(J174^2)+'CAFCO 400 '!$H$14*J174+'CAFCO 400 '!$H$15)*U174)+('CAFCO 400 '!$H$16*(J174^2)+'CAFCO 400 '!$H$17*J174+'CAFCO 400 '!$H$18)),0)+IF(AND(L174="Cafco 400",M174="Software Idiem",C174="Cj"),(((('CAFCO 400 '!$D$7*LN(J174)+'CAFCO 400 '!$D$8)*U174^2)+(('CAFCO 400 '!$D$9*LN(J174)+'CAFCO 400 '!$D$10)*U174)+('CAFCO 400 '!$D$11*LN(J174)+'CAFCO 400 '!$D$12))),0)+IF(AND(L174="Cafco 400",M174="Software Idiem",C174="C"),((('CAFCO 400 '!$L$7*(J174^3)+'CAFCO 400 '!$L$8*(J174^2)+'CAFCO 400 '!$L$9*J174+'CAFCO 400 '!$L$10)*U174^2)+(('CAFCO 400 '!$L$11*(J174^3)+'CAFCO 400 '!$L$12*(J174^2)+'CAFCO 400 '!$L$13*J174+'CAFCO 400 '!$L$14)*U174)+('CAFCO 400 '!$L$15*LN(J174)+'CAFCO 400 '!$L$16)),0)+IF(AND(L174="Cafco 400",M174="Software Idiem",C174="L"),((('CAFCO 400 '!$L$7*(J174^3)+'CAFCO 400 '!$L$8*(J174^2)+'CAFCO 400 '!$L$9*J174+'CAFCO 400 '!$L$10)*U174^2)+(('CAFCO 400 '!$L$11*(J174^3)+'CAFCO 400 '!$L$12*(J174^2)+'CAFCO 400 '!$L$13*J174+'CAFCO 400 '!$L$14)*U174)+('CAFCO 400 '!$L$15*LN(J174)+'CAFCO 400 '!$L$16)),0)+IF(AND(L174="Cafco 400",M174="Software Idiem",C174="IN",G174=3),((('CAFCO 400 '!$D$23*(J174^2)+'CAFCO 400 '!$D$24*(J174)+'CAFCO 400 '!$D$25)*U174^2)+(('CAFCO 400 '!$D$26*(J174^2)+'CAFCO 400 '!$D$27*J174+'CAFCO 400 '!$D$28)*U174)+('CAFCO 400 '!$D$29*(J174^2)+'CAFCO 400 '!$D$30*J174+'CAFCO 400 '!$D$31)),0),0)+IF(AND(L174="Cafco 300",J174&gt;=95,J174&lt;=240,C174="Cj",I174=90),VLOOKUP(T174,'CAFCO 300 IDIEM TABLAS'!$B$4:$D$23,2,FALSE),0)+IF(AND(L174="Cafco 300",J174&gt;=95,J174&lt;=240,C174="Cj",I174=120),VLOOKUP(T174,'CAFCO 300 IDIEM TABLAS'!$B$4:$D$23,3,FALSE),0)+IF(AND(L174="Cafco 300",J174&gt;=95,J174&lt;=400,G174=3,C174="IN",I174=90),VLOOKUP(T174,'CAFCO 300 IDIEM TABLAS'!$F$4:$H$35,2,FALSE),0)+IF(AND(L174="Cafco 300",J174&gt;=95,J174&lt;=400,G174=3,C174="IN",I174=120),VLOOKUP(T174,'CAFCO 300 IDIEM TABLAS'!$F$4:$H$35,3,FALSE),0)+IF(AND(L174="Cafco 300",J174&gt;=95,J174&lt;=450,G174=4,C174="IN",I174=90),VLOOKUP(T174,'CAFCO 300 IDIEM TABLAS'!$J$4:$L$40,2,FALSE),0)+IF(AND(L174="Cafco 300",J174&gt;=95,J174&lt;=450,G174=4,C174="IN",I174=120),VLOOKUP(T174,'CAFCO 300 IDIEM TABLAS'!$J$4:$L$40,3,FALSE),0)+IF(AND(M174="Ensayo Idiem",L174="Cafco 400",C174="IN",G174=4,I174=90),VLOOKUP(T174,'CAFCO 400 ENSAYO'!$B$7:$D$43,2,FALSE),0)+IF(AND(M174="Ensayo Idiem",L174="Cafco 400",C174="IN",G174=4,I174=120),VLOOKUP(T174,'CAFCO 400 ENSAYO'!$B$7:$D$43,3,FALSE),0)</f>
        <v>0</v>
      </c>
      <c r="O174" s="96">
        <f t="shared" si="21"/>
        <v>0</v>
      </c>
      <c r="P174" s="95" t="str">
        <f t="shared" si="22"/>
        <v>N/A</v>
      </c>
      <c r="Q174" s="95" t="str">
        <f t="shared" si="23"/>
        <v>N/A</v>
      </c>
      <c r="R174" s="95" t="str">
        <f t="shared" si="24"/>
        <v>NO CERT.</v>
      </c>
      <c r="S174" s="95" t="e">
        <f t="shared" si="19"/>
        <v>#N/A</v>
      </c>
      <c r="T174" s="119" t="e">
        <f>+IF(J174=LOOKUP(J174,'CAFCO 300 IDIEM TABLAS'!$J$4:$J$40),'CALCULO MORTERO'!J174,MROUND('CALCULO MORTERO'!J174,10))</f>
        <v>#N/A</v>
      </c>
      <c r="U174" s="118">
        <f t="shared" si="20"/>
        <v>0</v>
      </c>
      <c r="Y174" s="4"/>
      <c r="Z174" s="4"/>
      <c r="AA174" s="4"/>
    </row>
    <row r="175" spans="1:27" x14ac:dyDescent="0.25">
      <c r="A175" s="118">
        <f>+CUBICACION!D169</f>
        <v>0</v>
      </c>
      <c r="B175" s="819">
        <f>+CUBICACION!E169</f>
        <v>0</v>
      </c>
      <c r="C175" s="675">
        <f>+CUBICACION!F169</f>
        <v>0</v>
      </c>
      <c r="D175" s="118"/>
      <c r="E175" s="118"/>
      <c r="F175" s="820"/>
      <c r="G175" s="675">
        <f>+CUBICACION!J169</f>
        <v>0</v>
      </c>
      <c r="H175" s="118"/>
      <c r="I175" s="821">
        <f>+CUBICACION!L169</f>
        <v>0</v>
      </c>
      <c r="J175" s="64">
        <f>+CUBICACION!M169</f>
        <v>0</v>
      </c>
      <c r="K175" s="822" t="str">
        <f>+CUBICACION!N169</f>
        <v/>
      </c>
      <c r="L175" s="118">
        <f>+CUBICACION!O169</f>
        <v>0</v>
      </c>
      <c r="M175" s="823">
        <f>+CUBICACION!P169</f>
        <v>0</v>
      </c>
      <c r="N175" s="902">
        <f>ROUND(IF(AND(L175="Blaze Shield II",M175="Software Idiem",C175="IN",G175=4),((('BLAZE SHIELD II'!$D$4*('CALCULO MORTERO'!I175^2)+'BLAZE SHIELD II'!$D$5*'CALCULO MORTERO'!I175+'BLAZE SHIELD II'!$D$6)*LN(J175))+('BLAZE SHIELD II'!$D$7*('CALCULO MORTERO'!I175^2)+'BLAZE SHIELD II'!$D$8*'CALCULO MORTERO'!I175+'BLAZE SHIELD II'!$D$9)),0)+IF(AND(L175="Blaze Shield II",M175="Software Idiem",C175="Cj"),((('BLAZE SHIELD II'!$H$4*('CALCULO MORTERO'!I175^2)+'BLAZE SHIELD II'!$H$5*'CALCULO MORTERO'!I175+'BLAZE SHIELD II'!$H$6)*LN(J175))+('BLAZE SHIELD II'!$H$7*('CALCULO MORTERO'!I175^2)+'BLAZE SHIELD II'!$H$8*'CALCULO MORTERO'!I175+'BLAZE SHIELD II'!$H$9)),0)+IF(AND(L175="Blaze Shield II",M175="Software Idiem",C175="C"),((('BLAZE SHIELD II'!$L$4*('CALCULO MORTERO'!I175^2)+'BLAZE SHIELD II'!$L$5*'CALCULO MORTERO'!I175+'BLAZE SHIELD II'!$L$6)*LN(J175))+('BLAZE SHIELD II'!$L$7*('CALCULO MORTERO'!I175^2)+'BLAZE SHIELD II'!$L$8*'CALCULO MORTERO'!I175+'BLAZE SHIELD II'!$L$9)),0)+IF(AND(L175="Blaze Shield II",M175="Software Idiem",C175="L"),((('BLAZE SHIELD II'!$L$4*('CALCULO MORTERO'!I175^2)+'BLAZE SHIELD II'!$L$5*'CALCULO MORTERO'!I175+'BLAZE SHIELD II'!$L$6)*LN(J175))+('BLAZE SHIELD II'!$L$7*('CALCULO MORTERO'!I175^2)+'BLAZE SHIELD II'!$L$8*'CALCULO MORTERO'!I175+'BLAZE SHIELD II'!$L$9)),0)+IF(AND(L175="Blaze Shield II",M175="Software Idiem",C175="IN",G175=3),((('BLAZE SHIELD II'!$H$14*('CALCULO MORTERO'!I175^2)+'BLAZE SHIELD II'!$H$15*'CALCULO MORTERO'!I175+'BLAZE SHIELD II'!$H$16)*LN(J175))+('BLAZE SHIELD II'!$H$17*('CALCULO MORTERO'!I175^2)+'BLAZE SHIELD II'!$H$18*'CALCULO MORTERO'!I175+'BLAZE SHIELD II'!$H$19)),0),0)+ROUND(IF(AND(L175="Cafco 400",M175="Software Idiem",C175="IN",G175=4),((('CAFCO 400 '!$H$7*(J175^4)+'CAFCO 400 '!$H$8*(J175^3)+'CAFCO 400 '!$H$9*(J175^2)+'CAFCO 400 '!$H$10*J175+'CAFCO 400 '!$H$11)*U175^2)+(('CAFCO 400 '!$H$12*(J175^3)+'CAFCO 400 '!$H$13*(J175^2)+'CAFCO 400 '!$H$14*J175+'CAFCO 400 '!$H$15)*U175)+('CAFCO 400 '!$H$16*(J175^2)+'CAFCO 400 '!$H$17*J175+'CAFCO 400 '!$H$18)),0)+IF(AND(L175="Cafco 400",M175="Software Idiem",C175="Cj"),(((('CAFCO 400 '!$D$7*LN(J175)+'CAFCO 400 '!$D$8)*U175^2)+(('CAFCO 400 '!$D$9*LN(J175)+'CAFCO 400 '!$D$10)*U175)+('CAFCO 400 '!$D$11*LN(J175)+'CAFCO 400 '!$D$12))),0)+IF(AND(L175="Cafco 400",M175="Software Idiem",C175="C"),((('CAFCO 400 '!$L$7*(J175^3)+'CAFCO 400 '!$L$8*(J175^2)+'CAFCO 400 '!$L$9*J175+'CAFCO 400 '!$L$10)*U175^2)+(('CAFCO 400 '!$L$11*(J175^3)+'CAFCO 400 '!$L$12*(J175^2)+'CAFCO 400 '!$L$13*J175+'CAFCO 400 '!$L$14)*U175)+('CAFCO 400 '!$L$15*LN(J175)+'CAFCO 400 '!$L$16)),0)+IF(AND(L175="Cafco 400",M175="Software Idiem",C175="L"),((('CAFCO 400 '!$L$7*(J175^3)+'CAFCO 400 '!$L$8*(J175^2)+'CAFCO 400 '!$L$9*J175+'CAFCO 400 '!$L$10)*U175^2)+(('CAFCO 400 '!$L$11*(J175^3)+'CAFCO 400 '!$L$12*(J175^2)+'CAFCO 400 '!$L$13*J175+'CAFCO 400 '!$L$14)*U175)+('CAFCO 400 '!$L$15*LN(J175)+'CAFCO 400 '!$L$16)),0)+IF(AND(L175="Cafco 400",M175="Software Idiem",C175="IN",G175=3),((('CAFCO 400 '!$D$23*(J175^2)+'CAFCO 400 '!$D$24*(J175)+'CAFCO 400 '!$D$25)*U175^2)+(('CAFCO 400 '!$D$26*(J175^2)+'CAFCO 400 '!$D$27*J175+'CAFCO 400 '!$D$28)*U175)+('CAFCO 400 '!$D$29*(J175^2)+'CAFCO 400 '!$D$30*J175+'CAFCO 400 '!$D$31)),0),0)+IF(AND(L175="Cafco 300",J175&gt;=95,J175&lt;=240,C175="Cj",I175=90),VLOOKUP(T175,'CAFCO 300 IDIEM TABLAS'!$B$4:$D$23,2,FALSE),0)+IF(AND(L175="Cafco 300",J175&gt;=95,J175&lt;=240,C175="Cj",I175=120),VLOOKUP(T175,'CAFCO 300 IDIEM TABLAS'!$B$4:$D$23,3,FALSE),0)+IF(AND(L175="Cafco 300",J175&gt;=95,J175&lt;=400,G175=3,C175="IN",I175=90),VLOOKUP(T175,'CAFCO 300 IDIEM TABLAS'!$F$4:$H$35,2,FALSE),0)+IF(AND(L175="Cafco 300",J175&gt;=95,J175&lt;=400,G175=3,C175="IN",I175=120),VLOOKUP(T175,'CAFCO 300 IDIEM TABLAS'!$F$4:$H$35,3,FALSE),0)+IF(AND(L175="Cafco 300",J175&gt;=95,J175&lt;=450,G175=4,C175="IN",I175=90),VLOOKUP(T175,'CAFCO 300 IDIEM TABLAS'!$J$4:$L$40,2,FALSE),0)+IF(AND(L175="Cafco 300",J175&gt;=95,J175&lt;=450,G175=4,C175="IN",I175=120),VLOOKUP(T175,'CAFCO 300 IDIEM TABLAS'!$J$4:$L$40,3,FALSE),0)+IF(AND(M175="Ensayo Idiem",L175="Cafco 400",C175="IN",G175=4,I175=90),VLOOKUP(T175,'CAFCO 400 ENSAYO'!$B$7:$D$43,2,FALSE),0)+IF(AND(M175="Ensayo Idiem",L175="Cafco 400",C175="IN",G175=4,I175=120),VLOOKUP(T175,'CAFCO 400 ENSAYO'!$B$7:$D$43,3,FALSE),0)</f>
        <v>0</v>
      </c>
      <c r="O175" s="96">
        <f t="shared" si="21"/>
        <v>0</v>
      </c>
      <c r="P175" s="95" t="str">
        <f t="shared" si="22"/>
        <v>N/A</v>
      </c>
      <c r="Q175" s="95" t="str">
        <f t="shared" si="23"/>
        <v>N/A</v>
      </c>
      <c r="R175" s="95" t="str">
        <f t="shared" si="24"/>
        <v>NO CERT.</v>
      </c>
      <c r="S175" s="95" t="e">
        <f t="shared" si="19"/>
        <v>#N/A</v>
      </c>
      <c r="T175" s="119" t="e">
        <f>+IF(J175=LOOKUP(J175,'CAFCO 300 IDIEM TABLAS'!$J$4:$J$40),'CALCULO MORTERO'!J175,MROUND('CALCULO MORTERO'!J175,10))</f>
        <v>#N/A</v>
      </c>
      <c r="U175" s="118">
        <f t="shared" si="20"/>
        <v>0</v>
      </c>
      <c r="Y175" s="4"/>
      <c r="Z175" s="4"/>
      <c r="AA175" s="4"/>
    </row>
    <row r="176" spans="1:27" ht="15.6" customHeight="1" x14ac:dyDescent="0.25">
      <c r="A176" s="118">
        <f>+CUBICACION!D170</f>
        <v>0</v>
      </c>
      <c r="B176" s="819">
        <f>+CUBICACION!E170</f>
        <v>0</v>
      </c>
      <c r="C176" s="675">
        <f>+CUBICACION!F170</f>
        <v>0</v>
      </c>
      <c r="D176" s="118"/>
      <c r="E176" s="118"/>
      <c r="F176" s="820"/>
      <c r="G176" s="675">
        <f>+CUBICACION!J170</f>
        <v>0</v>
      </c>
      <c r="H176" s="118"/>
      <c r="I176" s="821">
        <f>+CUBICACION!L170</f>
        <v>0</v>
      </c>
      <c r="J176" s="64">
        <f>+CUBICACION!M170</f>
        <v>0</v>
      </c>
      <c r="K176" s="822" t="str">
        <f>+CUBICACION!N170</f>
        <v/>
      </c>
      <c r="L176" s="118">
        <f>+CUBICACION!O170</f>
        <v>0</v>
      </c>
      <c r="M176" s="823">
        <f>+CUBICACION!P170</f>
        <v>0</v>
      </c>
      <c r="N176" s="902">
        <f>ROUND(IF(AND(L176="Blaze Shield II",M176="Software Idiem",C176="IN",G176=4),((('BLAZE SHIELD II'!$D$4*('CALCULO MORTERO'!I176^2)+'BLAZE SHIELD II'!$D$5*'CALCULO MORTERO'!I176+'BLAZE SHIELD II'!$D$6)*LN(J176))+('BLAZE SHIELD II'!$D$7*('CALCULO MORTERO'!I176^2)+'BLAZE SHIELD II'!$D$8*'CALCULO MORTERO'!I176+'BLAZE SHIELD II'!$D$9)),0)+IF(AND(L176="Blaze Shield II",M176="Software Idiem",C176="Cj"),((('BLAZE SHIELD II'!$H$4*('CALCULO MORTERO'!I176^2)+'BLAZE SHIELD II'!$H$5*'CALCULO MORTERO'!I176+'BLAZE SHIELD II'!$H$6)*LN(J176))+('BLAZE SHIELD II'!$H$7*('CALCULO MORTERO'!I176^2)+'BLAZE SHIELD II'!$H$8*'CALCULO MORTERO'!I176+'BLAZE SHIELD II'!$H$9)),0)+IF(AND(L176="Blaze Shield II",M176="Software Idiem",C176="C"),((('BLAZE SHIELD II'!$L$4*('CALCULO MORTERO'!I176^2)+'BLAZE SHIELD II'!$L$5*'CALCULO MORTERO'!I176+'BLAZE SHIELD II'!$L$6)*LN(J176))+('BLAZE SHIELD II'!$L$7*('CALCULO MORTERO'!I176^2)+'BLAZE SHIELD II'!$L$8*'CALCULO MORTERO'!I176+'BLAZE SHIELD II'!$L$9)),0)+IF(AND(L176="Blaze Shield II",M176="Software Idiem",C176="L"),((('BLAZE SHIELD II'!$L$4*('CALCULO MORTERO'!I176^2)+'BLAZE SHIELD II'!$L$5*'CALCULO MORTERO'!I176+'BLAZE SHIELD II'!$L$6)*LN(J176))+('BLAZE SHIELD II'!$L$7*('CALCULO MORTERO'!I176^2)+'BLAZE SHIELD II'!$L$8*'CALCULO MORTERO'!I176+'BLAZE SHIELD II'!$L$9)),0)+IF(AND(L176="Blaze Shield II",M176="Software Idiem",C176="IN",G176=3),((('BLAZE SHIELD II'!$H$14*('CALCULO MORTERO'!I176^2)+'BLAZE SHIELD II'!$H$15*'CALCULO MORTERO'!I176+'BLAZE SHIELD II'!$H$16)*LN(J176))+('BLAZE SHIELD II'!$H$17*('CALCULO MORTERO'!I176^2)+'BLAZE SHIELD II'!$H$18*'CALCULO MORTERO'!I176+'BLAZE SHIELD II'!$H$19)),0),0)+ROUND(IF(AND(L176="Cafco 400",M176="Software Idiem",C176="IN",G176=4),((('CAFCO 400 '!$H$7*(J176^4)+'CAFCO 400 '!$H$8*(J176^3)+'CAFCO 400 '!$H$9*(J176^2)+'CAFCO 400 '!$H$10*J176+'CAFCO 400 '!$H$11)*U176^2)+(('CAFCO 400 '!$H$12*(J176^3)+'CAFCO 400 '!$H$13*(J176^2)+'CAFCO 400 '!$H$14*J176+'CAFCO 400 '!$H$15)*U176)+('CAFCO 400 '!$H$16*(J176^2)+'CAFCO 400 '!$H$17*J176+'CAFCO 400 '!$H$18)),0)+IF(AND(L176="Cafco 400",M176="Software Idiem",C176="Cj"),(((('CAFCO 400 '!$D$7*LN(J176)+'CAFCO 400 '!$D$8)*U176^2)+(('CAFCO 400 '!$D$9*LN(J176)+'CAFCO 400 '!$D$10)*U176)+('CAFCO 400 '!$D$11*LN(J176)+'CAFCO 400 '!$D$12))),0)+IF(AND(L176="Cafco 400",M176="Software Idiem",C176="C"),((('CAFCO 400 '!$L$7*(J176^3)+'CAFCO 400 '!$L$8*(J176^2)+'CAFCO 400 '!$L$9*J176+'CAFCO 400 '!$L$10)*U176^2)+(('CAFCO 400 '!$L$11*(J176^3)+'CAFCO 400 '!$L$12*(J176^2)+'CAFCO 400 '!$L$13*J176+'CAFCO 400 '!$L$14)*U176)+('CAFCO 400 '!$L$15*LN(J176)+'CAFCO 400 '!$L$16)),0)+IF(AND(L176="Cafco 400",M176="Software Idiem",C176="L"),((('CAFCO 400 '!$L$7*(J176^3)+'CAFCO 400 '!$L$8*(J176^2)+'CAFCO 400 '!$L$9*J176+'CAFCO 400 '!$L$10)*U176^2)+(('CAFCO 400 '!$L$11*(J176^3)+'CAFCO 400 '!$L$12*(J176^2)+'CAFCO 400 '!$L$13*J176+'CAFCO 400 '!$L$14)*U176)+('CAFCO 400 '!$L$15*LN(J176)+'CAFCO 400 '!$L$16)),0)+IF(AND(L176="Cafco 400",M176="Software Idiem",C176="IN",G176=3),((('CAFCO 400 '!$D$23*(J176^2)+'CAFCO 400 '!$D$24*(J176)+'CAFCO 400 '!$D$25)*U176^2)+(('CAFCO 400 '!$D$26*(J176^2)+'CAFCO 400 '!$D$27*J176+'CAFCO 400 '!$D$28)*U176)+('CAFCO 400 '!$D$29*(J176^2)+'CAFCO 400 '!$D$30*J176+'CAFCO 400 '!$D$31)),0),0)+IF(AND(L176="Cafco 300",J176&gt;=95,J176&lt;=240,C176="Cj",I176=90),VLOOKUP(T176,'CAFCO 300 IDIEM TABLAS'!$B$4:$D$23,2,FALSE),0)+IF(AND(L176="Cafco 300",J176&gt;=95,J176&lt;=240,C176="Cj",I176=120),VLOOKUP(T176,'CAFCO 300 IDIEM TABLAS'!$B$4:$D$23,3,FALSE),0)+IF(AND(L176="Cafco 300",J176&gt;=95,J176&lt;=400,G176=3,C176="IN",I176=90),VLOOKUP(T176,'CAFCO 300 IDIEM TABLAS'!$F$4:$H$35,2,FALSE),0)+IF(AND(L176="Cafco 300",J176&gt;=95,J176&lt;=400,G176=3,C176="IN",I176=120),VLOOKUP(T176,'CAFCO 300 IDIEM TABLAS'!$F$4:$H$35,3,FALSE),0)+IF(AND(L176="Cafco 300",J176&gt;=95,J176&lt;=450,G176=4,C176="IN",I176=90),VLOOKUP(T176,'CAFCO 300 IDIEM TABLAS'!$J$4:$L$40,2,FALSE),0)+IF(AND(L176="Cafco 300",J176&gt;=95,J176&lt;=450,G176=4,C176="IN",I176=120),VLOOKUP(T176,'CAFCO 300 IDIEM TABLAS'!$J$4:$L$40,3,FALSE),0)+IF(AND(M176="Ensayo Idiem",L176="Cafco 400",C176="IN",G176=4,I176=90),VLOOKUP(T176,'CAFCO 400 ENSAYO'!$B$7:$D$43,2,FALSE),0)+IF(AND(M176="Ensayo Idiem",L176="Cafco 400",C176="IN",G176=4,I176=120),VLOOKUP(T176,'CAFCO 400 ENSAYO'!$B$7:$D$43,3,FALSE),0)</f>
        <v>0</v>
      </c>
      <c r="O176" s="96">
        <f t="shared" si="21"/>
        <v>0</v>
      </c>
      <c r="P176" s="95" t="str">
        <f t="shared" si="22"/>
        <v>N/A</v>
      </c>
      <c r="Q176" s="95" t="str">
        <f t="shared" si="23"/>
        <v>N/A</v>
      </c>
      <c r="R176" s="95" t="str">
        <f t="shared" si="24"/>
        <v>NO CERT.</v>
      </c>
      <c r="S176" s="95" t="e">
        <f t="shared" si="19"/>
        <v>#N/A</v>
      </c>
      <c r="T176" s="119" t="e">
        <f>+IF(J176=LOOKUP(J176,'CAFCO 300 IDIEM TABLAS'!$J$4:$J$40),'CALCULO MORTERO'!J176,MROUND('CALCULO MORTERO'!J176,10))</f>
        <v>#N/A</v>
      </c>
      <c r="U176" s="118">
        <f t="shared" si="20"/>
        <v>0</v>
      </c>
      <c r="Y176" s="4"/>
      <c r="Z176" s="4"/>
      <c r="AA176" s="4"/>
    </row>
    <row r="177" spans="1:27" x14ac:dyDescent="0.25">
      <c r="A177" s="118">
        <f>+CUBICACION!D171</f>
        <v>0</v>
      </c>
      <c r="B177" s="819">
        <f>+CUBICACION!E171</f>
        <v>0</v>
      </c>
      <c r="C177" s="675">
        <f>+CUBICACION!F171</f>
        <v>0</v>
      </c>
      <c r="D177" s="118"/>
      <c r="E177" s="118"/>
      <c r="F177" s="820"/>
      <c r="G177" s="675">
        <f>+CUBICACION!J171</f>
        <v>0</v>
      </c>
      <c r="H177" s="118"/>
      <c r="I177" s="821">
        <f>+CUBICACION!L171</f>
        <v>0</v>
      </c>
      <c r="J177" s="64">
        <f>+CUBICACION!M171</f>
        <v>0</v>
      </c>
      <c r="K177" s="822" t="str">
        <f>+CUBICACION!N171</f>
        <v/>
      </c>
      <c r="L177" s="118">
        <f>+CUBICACION!O171</f>
        <v>0</v>
      </c>
      <c r="M177" s="823">
        <f>+CUBICACION!P171</f>
        <v>0</v>
      </c>
      <c r="N177" s="902">
        <f>ROUND(IF(AND(L177="Blaze Shield II",M177="Software Idiem",C177="IN",G177=4),((('BLAZE SHIELD II'!$D$4*('CALCULO MORTERO'!I177^2)+'BLAZE SHIELD II'!$D$5*'CALCULO MORTERO'!I177+'BLAZE SHIELD II'!$D$6)*LN(J177))+('BLAZE SHIELD II'!$D$7*('CALCULO MORTERO'!I177^2)+'BLAZE SHIELD II'!$D$8*'CALCULO MORTERO'!I177+'BLAZE SHIELD II'!$D$9)),0)+IF(AND(L177="Blaze Shield II",M177="Software Idiem",C177="Cj"),((('BLAZE SHIELD II'!$H$4*('CALCULO MORTERO'!I177^2)+'BLAZE SHIELD II'!$H$5*'CALCULO MORTERO'!I177+'BLAZE SHIELD II'!$H$6)*LN(J177))+('BLAZE SHIELD II'!$H$7*('CALCULO MORTERO'!I177^2)+'BLAZE SHIELD II'!$H$8*'CALCULO MORTERO'!I177+'BLAZE SHIELD II'!$H$9)),0)+IF(AND(L177="Blaze Shield II",M177="Software Idiem",C177="C"),((('BLAZE SHIELD II'!$L$4*('CALCULO MORTERO'!I177^2)+'BLAZE SHIELD II'!$L$5*'CALCULO MORTERO'!I177+'BLAZE SHIELD II'!$L$6)*LN(J177))+('BLAZE SHIELD II'!$L$7*('CALCULO MORTERO'!I177^2)+'BLAZE SHIELD II'!$L$8*'CALCULO MORTERO'!I177+'BLAZE SHIELD II'!$L$9)),0)+IF(AND(L177="Blaze Shield II",M177="Software Idiem",C177="L"),((('BLAZE SHIELD II'!$L$4*('CALCULO MORTERO'!I177^2)+'BLAZE SHIELD II'!$L$5*'CALCULO MORTERO'!I177+'BLAZE SHIELD II'!$L$6)*LN(J177))+('BLAZE SHIELD II'!$L$7*('CALCULO MORTERO'!I177^2)+'BLAZE SHIELD II'!$L$8*'CALCULO MORTERO'!I177+'BLAZE SHIELD II'!$L$9)),0)+IF(AND(L177="Blaze Shield II",M177="Software Idiem",C177="IN",G177=3),((('BLAZE SHIELD II'!$H$14*('CALCULO MORTERO'!I177^2)+'BLAZE SHIELD II'!$H$15*'CALCULO MORTERO'!I177+'BLAZE SHIELD II'!$H$16)*LN(J177))+('BLAZE SHIELD II'!$H$17*('CALCULO MORTERO'!I177^2)+'BLAZE SHIELD II'!$H$18*'CALCULO MORTERO'!I177+'BLAZE SHIELD II'!$H$19)),0),0)+ROUND(IF(AND(L177="Cafco 400",M177="Software Idiem",C177="IN",G177=4),((('CAFCO 400 '!$H$7*(J177^4)+'CAFCO 400 '!$H$8*(J177^3)+'CAFCO 400 '!$H$9*(J177^2)+'CAFCO 400 '!$H$10*J177+'CAFCO 400 '!$H$11)*U177^2)+(('CAFCO 400 '!$H$12*(J177^3)+'CAFCO 400 '!$H$13*(J177^2)+'CAFCO 400 '!$H$14*J177+'CAFCO 400 '!$H$15)*U177)+('CAFCO 400 '!$H$16*(J177^2)+'CAFCO 400 '!$H$17*J177+'CAFCO 400 '!$H$18)),0)+IF(AND(L177="Cafco 400",M177="Software Idiem",C177="Cj"),(((('CAFCO 400 '!$D$7*LN(J177)+'CAFCO 400 '!$D$8)*U177^2)+(('CAFCO 400 '!$D$9*LN(J177)+'CAFCO 400 '!$D$10)*U177)+('CAFCO 400 '!$D$11*LN(J177)+'CAFCO 400 '!$D$12))),0)+IF(AND(L177="Cafco 400",M177="Software Idiem",C177="C"),((('CAFCO 400 '!$L$7*(J177^3)+'CAFCO 400 '!$L$8*(J177^2)+'CAFCO 400 '!$L$9*J177+'CAFCO 400 '!$L$10)*U177^2)+(('CAFCO 400 '!$L$11*(J177^3)+'CAFCO 400 '!$L$12*(J177^2)+'CAFCO 400 '!$L$13*J177+'CAFCO 400 '!$L$14)*U177)+('CAFCO 400 '!$L$15*LN(J177)+'CAFCO 400 '!$L$16)),0)+IF(AND(L177="Cafco 400",M177="Software Idiem",C177="L"),((('CAFCO 400 '!$L$7*(J177^3)+'CAFCO 400 '!$L$8*(J177^2)+'CAFCO 400 '!$L$9*J177+'CAFCO 400 '!$L$10)*U177^2)+(('CAFCO 400 '!$L$11*(J177^3)+'CAFCO 400 '!$L$12*(J177^2)+'CAFCO 400 '!$L$13*J177+'CAFCO 400 '!$L$14)*U177)+('CAFCO 400 '!$L$15*LN(J177)+'CAFCO 400 '!$L$16)),0)+IF(AND(L177="Cafco 400",M177="Software Idiem",C177="IN",G177=3),((('CAFCO 400 '!$D$23*(J177^2)+'CAFCO 400 '!$D$24*(J177)+'CAFCO 400 '!$D$25)*U177^2)+(('CAFCO 400 '!$D$26*(J177^2)+'CAFCO 400 '!$D$27*J177+'CAFCO 400 '!$D$28)*U177)+('CAFCO 400 '!$D$29*(J177^2)+'CAFCO 400 '!$D$30*J177+'CAFCO 400 '!$D$31)),0),0)+IF(AND(L177="Cafco 300",J177&gt;=95,J177&lt;=240,C177="Cj",I177=90),VLOOKUP(T177,'CAFCO 300 IDIEM TABLAS'!$B$4:$D$23,2,FALSE),0)+IF(AND(L177="Cafco 300",J177&gt;=95,J177&lt;=240,C177="Cj",I177=120),VLOOKUP(T177,'CAFCO 300 IDIEM TABLAS'!$B$4:$D$23,3,FALSE),0)+IF(AND(L177="Cafco 300",J177&gt;=95,J177&lt;=400,G177=3,C177="IN",I177=90),VLOOKUP(T177,'CAFCO 300 IDIEM TABLAS'!$F$4:$H$35,2,FALSE),0)+IF(AND(L177="Cafco 300",J177&gt;=95,J177&lt;=400,G177=3,C177="IN",I177=120),VLOOKUP(T177,'CAFCO 300 IDIEM TABLAS'!$F$4:$H$35,3,FALSE),0)+IF(AND(L177="Cafco 300",J177&gt;=95,J177&lt;=450,G177=4,C177="IN",I177=90),VLOOKUP(T177,'CAFCO 300 IDIEM TABLAS'!$J$4:$L$40,2,FALSE),0)+IF(AND(L177="Cafco 300",J177&gt;=95,J177&lt;=450,G177=4,C177="IN",I177=120),VLOOKUP(T177,'CAFCO 300 IDIEM TABLAS'!$J$4:$L$40,3,FALSE),0)+IF(AND(M177="Ensayo Idiem",L177="Cafco 400",C177="IN",G177=4,I177=90),VLOOKUP(T177,'CAFCO 400 ENSAYO'!$B$7:$D$43,2,FALSE),0)+IF(AND(M177="Ensayo Idiem",L177="Cafco 400",C177="IN",G177=4,I177=120),VLOOKUP(T177,'CAFCO 400 ENSAYO'!$B$7:$D$43,3,FALSE),0)</f>
        <v>0</v>
      </c>
      <c r="O177" s="96">
        <f t="shared" si="21"/>
        <v>0</v>
      </c>
      <c r="P177" s="95" t="str">
        <f t="shared" si="22"/>
        <v>N/A</v>
      </c>
      <c r="Q177" s="95" t="str">
        <f t="shared" si="23"/>
        <v>N/A</v>
      </c>
      <c r="R177" s="95" t="str">
        <f t="shared" si="24"/>
        <v>NO CERT.</v>
      </c>
      <c r="S177" s="95" t="e">
        <f t="shared" si="19"/>
        <v>#N/A</v>
      </c>
      <c r="T177" s="119" t="e">
        <f>+IF(J177=LOOKUP(J177,'CAFCO 300 IDIEM TABLAS'!$J$4:$J$40),'CALCULO MORTERO'!J177,MROUND('CALCULO MORTERO'!J177,10))</f>
        <v>#N/A</v>
      </c>
      <c r="U177" s="118">
        <f t="shared" si="20"/>
        <v>0</v>
      </c>
      <c r="Y177" s="4"/>
      <c r="Z177" s="4"/>
      <c r="AA177" s="4"/>
    </row>
    <row r="178" spans="1:27" ht="15.6" customHeight="1" x14ac:dyDescent="0.25">
      <c r="A178" s="118">
        <f>+CUBICACION!D172</f>
        <v>0</v>
      </c>
      <c r="B178" s="819">
        <f>+CUBICACION!E172</f>
        <v>0</v>
      </c>
      <c r="C178" s="675">
        <f>+CUBICACION!F172</f>
        <v>0</v>
      </c>
      <c r="D178" s="118"/>
      <c r="E178" s="118"/>
      <c r="F178" s="820"/>
      <c r="G178" s="675">
        <f>+CUBICACION!J172</f>
        <v>0</v>
      </c>
      <c r="H178" s="118"/>
      <c r="I178" s="821">
        <f>+CUBICACION!L172</f>
        <v>0</v>
      </c>
      <c r="J178" s="64">
        <f>+CUBICACION!M172</f>
        <v>0</v>
      </c>
      <c r="K178" s="822" t="str">
        <f>+CUBICACION!N172</f>
        <v/>
      </c>
      <c r="L178" s="118">
        <f>+CUBICACION!O172</f>
        <v>0</v>
      </c>
      <c r="M178" s="823">
        <f>+CUBICACION!P172</f>
        <v>0</v>
      </c>
      <c r="N178" s="902">
        <f>ROUND(IF(AND(L178="Blaze Shield II",M178="Software Idiem",C178="IN",G178=4),((('BLAZE SHIELD II'!$D$4*('CALCULO MORTERO'!I178^2)+'BLAZE SHIELD II'!$D$5*'CALCULO MORTERO'!I178+'BLAZE SHIELD II'!$D$6)*LN(J178))+('BLAZE SHIELD II'!$D$7*('CALCULO MORTERO'!I178^2)+'BLAZE SHIELD II'!$D$8*'CALCULO MORTERO'!I178+'BLAZE SHIELD II'!$D$9)),0)+IF(AND(L178="Blaze Shield II",M178="Software Idiem",C178="Cj"),((('BLAZE SHIELD II'!$H$4*('CALCULO MORTERO'!I178^2)+'BLAZE SHIELD II'!$H$5*'CALCULO MORTERO'!I178+'BLAZE SHIELD II'!$H$6)*LN(J178))+('BLAZE SHIELD II'!$H$7*('CALCULO MORTERO'!I178^2)+'BLAZE SHIELD II'!$H$8*'CALCULO MORTERO'!I178+'BLAZE SHIELD II'!$H$9)),0)+IF(AND(L178="Blaze Shield II",M178="Software Idiem",C178="C"),((('BLAZE SHIELD II'!$L$4*('CALCULO MORTERO'!I178^2)+'BLAZE SHIELD II'!$L$5*'CALCULO MORTERO'!I178+'BLAZE SHIELD II'!$L$6)*LN(J178))+('BLAZE SHIELD II'!$L$7*('CALCULO MORTERO'!I178^2)+'BLAZE SHIELD II'!$L$8*'CALCULO MORTERO'!I178+'BLAZE SHIELD II'!$L$9)),0)+IF(AND(L178="Blaze Shield II",M178="Software Idiem",C178="L"),((('BLAZE SHIELD II'!$L$4*('CALCULO MORTERO'!I178^2)+'BLAZE SHIELD II'!$L$5*'CALCULO MORTERO'!I178+'BLAZE SHIELD II'!$L$6)*LN(J178))+('BLAZE SHIELD II'!$L$7*('CALCULO MORTERO'!I178^2)+'BLAZE SHIELD II'!$L$8*'CALCULO MORTERO'!I178+'BLAZE SHIELD II'!$L$9)),0)+IF(AND(L178="Blaze Shield II",M178="Software Idiem",C178="IN",G178=3),((('BLAZE SHIELD II'!$H$14*('CALCULO MORTERO'!I178^2)+'BLAZE SHIELD II'!$H$15*'CALCULO MORTERO'!I178+'BLAZE SHIELD II'!$H$16)*LN(J178))+('BLAZE SHIELD II'!$H$17*('CALCULO MORTERO'!I178^2)+'BLAZE SHIELD II'!$H$18*'CALCULO MORTERO'!I178+'BLAZE SHIELD II'!$H$19)),0),0)+ROUND(IF(AND(L178="Cafco 400",M178="Software Idiem",C178="IN",G178=4),((('CAFCO 400 '!$H$7*(J178^4)+'CAFCO 400 '!$H$8*(J178^3)+'CAFCO 400 '!$H$9*(J178^2)+'CAFCO 400 '!$H$10*J178+'CAFCO 400 '!$H$11)*U178^2)+(('CAFCO 400 '!$H$12*(J178^3)+'CAFCO 400 '!$H$13*(J178^2)+'CAFCO 400 '!$H$14*J178+'CAFCO 400 '!$H$15)*U178)+('CAFCO 400 '!$H$16*(J178^2)+'CAFCO 400 '!$H$17*J178+'CAFCO 400 '!$H$18)),0)+IF(AND(L178="Cafco 400",M178="Software Idiem",C178="Cj"),(((('CAFCO 400 '!$D$7*LN(J178)+'CAFCO 400 '!$D$8)*U178^2)+(('CAFCO 400 '!$D$9*LN(J178)+'CAFCO 400 '!$D$10)*U178)+('CAFCO 400 '!$D$11*LN(J178)+'CAFCO 400 '!$D$12))),0)+IF(AND(L178="Cafco 400",M178="Software Idiem",C178="C"),((('CAFCO 400 '!$L$7*(J178^3)+'CAFCO 400 '!$L$8*(J178^2)+'CAFCO 400 '!$L$9*J178+'CAFCO 400 '!$L$10)*U178^2)+(('CAFCO 400 '!$L$11*(J178^3)+'CAFCO 400 '!$L$12*(J178^2)+'CAFCO 400 '!$L$13*J178+'CAFCO 400 '!$L$14)*U178)+('CAFCO 400 '!$L$15*LN(J178)+'CAFCO 400 '!$L$16)),0)+IF(AND(L178="Cafco 400",M178="Software Idiem",C178="L"),((('CAFCO 400 '!$L$7*(J178^3)+'CAFCO 400 '!$L$8*(J178^2)+'CAFCO 400 '!$L$9*J178+'CAFCO 400 '!$L$10)*U178^2)+(('CAFCO 400 '!$L$11*(J178^3)+'CAFCO 400 '!$L$12*(J178^2)+'CAFCO 400 '!$L$13*J178+'CAFCO 400 '!$L$14)*U178)+('CAFCO 400 '!$L$15*LN(J178)+'CAFCO 400 '!$L$16)),0)+IF(AND(L178="Cafco 400",M178="Software Idiem",C178="IN",G178=3),((('CAFCO 400 '!$D$23*(J178^2)+'CAFCO 400 '!$D$24*(J178)+'CAFCO 400 '!$D$25)*U178^2)+(('CAFCO 400 '!$D$26*(J178^2)+'CAFCO 400 '!$D$27*J178+'CAFCO 400 '!$D$28)*U178)+('CAFCO 400 '!$D$29*(J178^2)+'CAFCO 400 '!$D$30*J178+'CAFCO 400 '!$D$31)),0),0)+IF(AND(L178="Cafco 300",J178&gt;=95,J178&lt;=240,C178="Cj",I178=90),VLOOKUP(T178,'CAFCO 300 IDIEM TABLAS'!$B$4:$D$23,2,FALSE),0)+IF(AND(L178="Cafco 300",J178&gt;=95,J178&lt;=240,C178="Cj",I178=120),VLOOKUP(T178,'CAFCO 300 IDIEM TABLAS'!$B$4:$D$23,3,FALSE),0)+IF(AND(L178="Cafco 300",J178&gt;=95,J178&lt;=400,G178=3,C178="IN",I178=90),VLOOKUP(T178,'CAFCO 300 IDIEM TABLAS'!$F$4:$H$35,2,FALSE),0)+IF(AND(L178="Cafco 300",J178&gt;=95,J178&lt;=400,G178=3,C178="IN",I178=120),VLOOKUP(T178,'CAFCO 300 IDIEM TABLAS'!$F$4:$H$35,3,FALSE),0)+IF(AND(L178="Cafco 300",J178&gt;=95,J178&lt;=450,G178=4,C178="IN",I178=90),VLOOKUP(T178,'CAFCO 300 IDIEM TABLAS'!$J$4:$L$40,2,FALSE),0)+IF(AND(L178="Cafco 300",J178&gt;=95,J178&lt;=450,G178=4,C178="IN",I178=120),VLOOKUP(T178,'CAFCO 300 IDIEM TABLAS'!$J$4:$L$40,3,FALSE),0)+IF(AND(M178="Ensayo Idiem",L178="Cafco 400",C178="IN",G178=4,I178=90),VLOOKUP(T178,'CAFCO 400 ENSAYO'!$B$7:$D$43,2,FALSE),0)+IF(AND(M178="Ensayo Idiem",L178="Cafco 400",C178="IN",G178=4,I178=120),VLOOKUP(T178,'CAFCO 400 ENSAYO'!$B$7:$D$43,3,FALSE),0)</f>
        <v>0</v>
      </c>
      <c r="O178" s="96">
        <f t="shared" si="21"/>
        <v>0</v>
      </c>
      <c r="P178" s="95" t="str">
        <f t="shared" si="22"/>
        <v>N/A</v>
      </c>
      <c r="Q178" s="95" t="str">
        <f t="shared" si="23"/>
        <v>N/A</v>
      </c>
      <c r="R178" s="95" t="str">
        <f t="shared" si="24"/>
        <v>NO CERT.</v>
      </c>
      <c r="S178" s="95" t="e">
        <f t="shared" si="19"/>
        <v>#N/A</v>
      </c>
      <c r="T178" s="119" t="e">
        <f>+IF(J178=LOOKUP(J178,'CAFCO 300 IDIEM TABLAS'!$J$4:$J$40),'CALCULO MORTERO'!J178,MROUND('CALCULO MORTERO'!J178,10))</f>
        <v>#N/A</v>
      </c>
      <c r="U178" s="118">
        <f t="shared" si="20"/>
        <v>0</v>
      </c>
      <c r="Y178" s="4"/>
      <c r="Z178" s="4"/>
      <c r="AA178" s="4"/>
    </row>
    <row r="179" spans="1:27" x14ac:dyDescent="0.25">
      <c r="A179" s="118">
        <f>+CUBICACION!D173</f>
        <v>0</v>
      </c>
      <c r="B179" s="819">
        <f>+CUBICACION!E173</f>
        <v>0</v>
      </c>
      <c r="C179" s="675">
        <f>+CUBICACION!F173</f>
        <v>0</v>
      </c>
      <c r="D179" s="118"/>
      <c r="E179" s="118"/>
      <c r="F179" s="820"/>
      <c r="G179" s="675">
        <f>+CUBICACION!J173</f>
        <v>0</v>
      </c>
      <c r="H179" s="118"/>
      <c r="I179" s="821">
        <f>+CUBICACION!L173</f>
        <v>0</v>
      </c>
      <c r="J179" s="64">
        <f>+CUBICACION!M173</f>
        <v>0</v>
      </c>
      <c r="K179" s="822" t="str">
        <f>+CUBICACION!N173</f>
        <v/>
      </c>
      <c r="L179" s="118">
        <f>+CUBICACION!O173</f>
        <v>0</v>
      </c>
      <c r="M179" s="823">
        <f>+CUBICACION!P173</f>
        <v>0</v>
      </c>
      <c r="N179" s="902">
        <f>ROUND(IF(AND(L179="Blaze Shield II",M179="Software Idiem",C179="IN",G179=4),((('BLAZE SHIELD II'!$D$4*('CALCULO MORTERO'!I179^2)+'BLAZE SHIELD II'!$D$5*'CALCULO MORTERO'!I179+'BLAZE SHIELD II'!$D$6)*LN(J179))+('BLAZE SHIELD II'!$D$7*('CALCULO MORTERO'!I179^2)+'BLAZE SHIELD II'!$D$8*'CALCULO MORTERO'!I179+'BLAZE SHIELD II'!$D$9)),0)+IF(AND(L179="Blaze Shield II",M179="Software Idiem",C179="Cj"),((('BLAZE SHIELD II'!$H$4*('CALCULO MORTERO'!I179^2)+'BLAZE SHIELD II'!$H$5*'CALCULO MORTERO'!I179+'BLAZE SHIELD II'!$H$6)*LN(J179))+('BLAZE SHIELD II'!$H$7*('CALCULO MORTERO'!I179^2)+'BLAZE SHIELD II'!$H$8*'CALCULO MORTERO'!I179+'BLAZE SHIELD II'!$H$9)),0)+IF(AND(L179="Blaze Shield II",M179="Software Idiem",C179="C"),((('BLAZE SHIELD II'!$L$4*('CALCULO MORTERO'!I179^2)+'BLAZE SHIELD II'!$L$5*'CALCULO MORTERO'!I179+'BLAZE SHIELD II'!$L$6)*LN(J179))+('BLAZE SHIELD II'!$L$7*('CALCULO MORTERO'!I179^2)+'BLAZE SHIELD II'!$L$8*'CALCULO MORTERO'!I179+'BLAZE SHIELD II'!$L$9)),0)+IF(AND(L179="Blaze Shield II",M179="Software Idiem",C179="L"),((('BLAZE SHIELD II'!$L$4*('CALCULO MORTERO'!I179^2)+'BLAZE SHIELD II'!$L$5*'CALCULO MORTERO'!I179+'BLAZE SHIELD II'!$L$6)*LN(J179))+('BLAZE SHIELD II'!$L$7*('CALCULO MORTERO'!I179^2)+'BLAZE SHIELD II'!$L$8*'CALCULO MORTERO'!I179+'BLAZE SHIELD II'!$L$9)),0)+IF(AND(L179="Blaze Shield II",M179="Software Idiem",C179="IN",G179=3),((('BLAZE SHIELD II'!$H$14*('CALCULO MORTERO'!I179^2)+'BLAZE SHIELD II'!$H$15*'CALCULO MORTERO'!I179+'BLAZE SHIELD II'!$H$16)*LN(J179))+('BLAZE SHIELD II'!$H$17*('CALCULO MORTERO'!I179^2)+'BLAZE SHIELD II'!$H$18*'CALCULO MORTERO'!I179+'BLAZE SHIELD II'!$H$19)),0),0)+ROUND(IF(AND(L179="Cafco 400",M179="Software Idiem",C179="IN",G179=4),((('CAFCO 400 '!$H$7*(J179^4)+'CAFCO 400 '!$H$8*(J179^3)+'CAFCO 400 '!$H$9*(J179^2)+'CAFCO 400 '!$H$10*J179+'CAFCO 400 '!$H$11)*U179^2)+(('CAFCO 400 '!$H$12*(J179^3)+'CAFCO 400 '!$H$13*(J179^2)+'CAFCO 400 '!$H$14*J179+'CAFCO 400 '!$H$15)*U179)+('CAFCO 400 '!$H$16*(J179^2)+'CAFCO 400 '!$H$17*J179+'CAFCO 400 '!$H$18)),0)+IF(AND(L179="Cafco 400",M179="Software Idiem",C179="Cj"),(((('CAFCO 400 '!$D$7*LN(J179)+'CAFCO 400 '!$D$8)*U179^2)+(('CAFCO 400 '!$D$9*LN(J179)+'CAFCO 400 '!$D$10)*U179)+('CAFCO 400 '!$D$11*LN(J179)+'CAFCO 400 '!$D$12))),0)+IF(AND(L179="Cafco 400",M179="Software Idiem",C179="C"),((('CAFCO 400 '!$L$7*(J179^3)+'CAFCO 400 '!$L$8*(J179^2)+'CAFCO 400 '!$L$9*J179+'CAFCO 400 '!$L$10)*U179^2)+(('CAFCO 400 '!$L$11*(J179^3)+'CAFCO 400 '!$L$12*(J179^2)+'CAFCO 400 '!$L$13*J179+'CAFCO 400 '!$L$14)*U179)+('CAFCO 400 '!$L$15*LN(J179)+'CAFCO 400 '!$L$16)),0)+IF(AND(L179="Cafco 400",M179="Software Idiem",C179="L"),((('CAFCO 400 '!$L$7*(J179^3)+'CAFCO 400 '!$L$8*(J179^2)+'CAFCO 400 '!$L$9*J179+'CAFCO 400 '!$L$10)*U179^2)+(('CAFCO 400 '!$L$11*(J179^3)+'CAFCO 400 '!$L$12*(J179^2)+'CAFCO 400 '!$L$13*J179+'CAFCO 400 '!$L$14)*U179)+('CAFCO 400 '!$L$15*LN(J179)+'CAFCO 400 '!$L$16)),0)+IF(AND(L179="Cafco 400",M179="Software Idiem",C179="IN",G179=3),((('CAFCO 400 '!$D$23*(J179^2)+'CAFCO 400 '!$D$24*(J179)+'CAFCO 400 '!$D$25)*U179^2)+(('CAFCO 400 '!$D$26*(J179^2)+'CAFCO 400 '!$D$27*J179+'CAFCO 400 '!$D$28)*U179)+('CAFCO 400 '!$D$29*(J179^2)+'CAFCO 400 '!$D$30*J179+'CAFCO 400 '!$D$31)),0),0)+IF(AND(L179="Cafco 300",J179&gt;=95,J179&lt;=240,C179="Cj",I179=90),VLOOKUP(T179,'CAFCO 300 IDIEM TABLAS'!$B$4:$D$23,2,FALSE),0)+IF(AND(L179="Cafco 300",J179&gt;=95,J179&lt;=240,C179="Cj",I179=120),VLOOKUP(T179,'CAFCO 300 IDIEM TABLAS'!$B$4:$D$23,3,FALSE),0)+IF(AND(L179="Cafco 300",J179&gt;=95,J179&lt;=400,G179=3,C179="IN",I179=90),VLOOKUP(T179,'CAFCO 300 IDIEM TABLAS'!$F$4:$H$35,2,FALSE),0)+IF(AND(L179="Cafco 300",J179&gt;=95,J179&lt;=400,G179=3,C179="IN",I179=120),VLOOKUP(T179,'CAFCO 300 IDIEM TABLAS'!$F$4:$H$35,3,FALSE),0)+IF(AND(L179="Cafco 300",J179&gt;=95,J179&lt;=450,G179=4,C179="IN",I179=90),VLOOKUP(T179,'CAFCO 300 IDIEM TABLAS'!$J$4:$L$40,2,FALSE),0)+IF(AND(L179="Cafco 300",J179&gt;=95,J179&lt;=450,G179=4,C179="IN",I179=120),VLOOKUP(T179,'CAFCO 300 IDIEM TABLAS'!$J$4:$L$40,3,FALSE),0)+IF(AND(M179="Ensayo Idiem",L179="Cafco 400",C179="IN",G179=4,I179=90),VLOOKUP(T179,'CAFCO 400 ENSAYO'!$B$7:$D$43,2,FALSE),0)+IF(AND(M179="Ensayo Idiem",L179="Cafco 400",C179="IN",G179=4,I179=120),VLOOKUP(T179,'CAFCO 400 ENSAYO'!$B$7:$D$43,3,FALSE),0)</f>
        <v>0</v>
      </c>
      <c r="O179" s="96">
        <f t="shared" si="21"/>
        <v>0</v>
      </c>
      <c r="P179" s="95" t="str">
        <f t="shared" si="22"/>
        <v>N/A</v>
      </c>
      <c r="Q179" s="95" t="str">
        <f t="shared" si="23"/>
        <v>N/A</v>
      </c>
      <c r="R179" s="95" t="str">
        <f t="shared" si="24"/>
        <v>NO CERT.</v>
      </c>
      <c r="S179" s="95" t="e">
        <f t="shared" si="19"/>
        <v>#N/A</v>
      </c>
      <c r="T179" s="119" t="e">
        <f>+IF(J179=LOOKUP(J179,'CAFCO 300 IDIEM TABLAS'!$J$4:$J$40),'CALCULO MORTERO'!J179,MROUND('CALCULO MORTERO'!J179,10))</f>
        <v>#N/A</v>
      </c>
      <c r="U179" s="118">
        <f t="shared" si="20"/>
        <v>0</v>
      </c>
      <c r="Y179" s="4"/>
      <c r="Z179" s="4"/>
      <c r="AA179" s="4"/>
    </row>
    <row r="180" spans="1:27" ht="15.6" customHeight="1" x14ac:dyDescent="0.25">
      <c r="A180" s="118">
        <f>+CUBICACION!D174</f>
        <v>0</v>
      </c>
      <c r="B180" s="819">
        <f>+CUBICACION!E174</f>
        <v>0</v>
      </c>
      <c r="C180" s="675">
        <f>+CUBICACION!F174</f>
        <v>0</v>
      </c>
      <c r="D180" s="118"/>
      <c r="E180" s="118"/>
      <c r="F180" s="820"/>
      <c r="G180" s="675">
        <f>+CUBICACION!J174</f>
        <v>0</v>
      </c>
      <c r="H180" s="118"/>
      <c r="I180" s="821">
        <f>+CUBICACION!L174</f>
        <v>0</v>
      </c>
      <c r="J180" s="64">
        <f>+CUBICACION!M174</f>
        <v>0</v>
      </c>
      <c r="K180" s="822" t="str">
        <f>+CUBICACION!N174</f>
        <v/>
      </c>
      <c r="L180" s="118">
        <f>+CUBICACION!O174</f>
        <v>0</v>
      </c>
      <c r="M180" s="823">
        <f>+CUBICACION!P174</f>
        <v>0</v>
      </c>
      <c r="N180" s="902">
        <f>ROUND(IF(AND(L180="Blaze Shield II",M180="Software Idiem",C180="IN",G180=4),((('BLAZE SHIELD II'!$D$4*('CALCULO MORTERO'!I180^2)+'BLAZE SHIELD II'!$D$5*'CALCULO MORTERO'!I180+'BLAZE SHIELD II'!$D$6)*LN(J180))+('BLAZE SHIELD II'!$D$7*('CALCULO MORTERO'!I180^2)+'BLAZE SHIELD II'!$D$8*'CALCULO MORTERO'!I180+'BLAZE SHIELD II'!$D$9)),0)+IF(AND(L180="Blaze Shield II",M180="Software Idiem",C180="Cj"),((('BLAZE SHIELD II'!$H$4*('CALCULO MORTERO'!I180^2)+'BLAZE SHIELD II'!$H$5*'CALCULO MORTERO'!I180+'BLAZE SHIELD II'!$H$6)*LN(J180))+('BLAZE SHIELD II'!$H$7*('CALCULO MORTERO'!I180^2)+'BLAZE SHIELD II'!$H$8*'CALCULO MORTERO'!I180+'BLAZE SHIELD II'!$H$9)),0)+IF(AND(L180="Blaze Shield II",M180="Software Idiem",C180="C"),((('BLAZE SHIELD II'!$L$4*('CALCULO MORTERO'!I180^2)+'BLAZE SHIELD II'!$L$5*'CALCULO MORTERO'!I180+'BLAZE SHIELD II'!$L$6)*LN(J180))+('BLAZE SHIELD II'!$L$7*('CALCULO MORTERO'!I180^2)+'BLAZE SHIELD II'!$L$8*'CALCULO MORTERO'!I180+'BLAZE SHIELD II'!$L$9)),0)+IF(AND(L180="Blaze Shield II",M180="Software Idiem",C180="L"),((('BLAZE SHIELD II'!$L$4*('CALCULO MORTERO'!I180^2)+'BLAZE SHIELD II'!$L$5*'CALCULO MORTERO'!I180+'BLAZE SHIELD II'!$L$6)*LN(J180))+('BLAZE SHIELD II'!$L$7*('CALCULO MORTERO'!I180^2)+'BLAZE SHIELD II'!$L$8*'CALCULO MORTERO'!I180+'BLAZE SHIELD II'!$L$9)),0)+IF(AND(L180="Blaze Shield II",M180="Software Idiem",C180="IN",G180=3),((('BLAZE SHIELD II'!$H$14*('CALCULO MORTERO'!I180^2)+'BLAZE SHIELD II'!$H$15*'CALCULO MORTERO'!I180+'BLAZE SHIELD II'!$H$16)*LN(J180))+('BLAZE SHIELD II'!$H$17*('CALCULO MORTERO'!I180^2)+'BLAZE SHIELD II'!$H$18*'CALCULO MORTERO'!I180+'BLAZE SHIELD II'!$H$19)),0),0)+ROUND(IF(AND(L180="Cafco 400",M180="Software Idiem",C180="IN",G180=4),((('CAFCO 400 '!$H$7*(J180^4)+'CAFCO 400 '!$H$8*(J180^3)+'CAFCO 400 '!$H$9*(J180^2)+'CAFCO 400 '!$H$10*J180+'CAFCO 400 '!$H$11)*U180^2)+(('CAFCO 400 '!$H$12*(J180^3)+'CAFCO 400 '!$H$13*(J180^2)+'CAFCO 400 '!$H$14*J180+'CAFCO 400 '!$H$15)*U180)+('CAFCO 400 '!$H$16*(J180^2)+'CAFCO 400 '!$H$17*J180+'CAFCO 400 '!$H$18)),0)+IF(AND(L180="Cafco 400",M180="Software Idiem",C180="Cj"),(((('CAFCO 400 '!$D$7*LN(J180)+'CAFCO 400 '!$D$8)*U180^2)+(('CAFCO 400 '!$D$9*LN(J180)+'CAFCO 400 '!$D$10)*U180)+('CAFCO 400 '!$D$11*LN(J180)+'CAFCO 400 '!$D$12))),0)+IF(AND(L180="Cafco 400",M180="Software Idiem",C180="C"),((('CAFCO 400 '!$L$7*(J180^3)+'CAFCO 400 '!$L$8*(J180^2)+'CAFCO 400 '!$L$9*J180+'CAFCO 400 '!$L$10)*U180^2)+(('CAFCO 400 '!$L$11*(J180^3)+'CAFCO 400 '!$L$12*(J180^2)+'CAFCO 400 '!$L$13*J180+'CAFCO 400 '!$L$14)*U180)+('CAFCO 400 '!$L$15*LN(J180)+'CAFCO 400 '!$L$16)),0)+IF(AND(L180="Cafco 400",M180="Software Idiem",C180="L"),((('CAFCO 400 '!$L$7*(J180^3)+'CAFCO 400 '!$L$8*(J180^2)+'CAFCO 400 '!$L$9*J180+'CAFCO 400 '!$L$10)*U180^2)+(('CAFCO 400 '!$L$11*(J180^3)+'CAFCO 400 '!$L$12*(J180^2)+'CAFCO 400 '!$L$13*J180+'CAFCO 400 '!$L$14)*U180)+('CAFCO 400 '!$L$15*LN(J180)+'CAFCO 400 '!$L$16)),0)+IF(AND(L180="Cafco 400",M180="Software Idiem",C180="IN",G180=3),((('CAFCO 400 '!$D$23*(J180^2)+'CAFCO 400 '!$D$24*(J180)+'CAFCO 400 '!$D$25)*U180^2)+(('CAFCO 400 '!$D$26*(J180^2)+'CAFCO 400 '!$D$27*J180+'CAFCO 400 '!$D$28)*U180)+('CAFCO 400 '!$D$29*(J180^2)+'CAFCO 400 '!$D$30*J180+'CAFCO 400 '!$D$31)),0),0)+IF(AND(L180="Cafco 300",J180&gt;=95,J180&lt;=240,C180="Cj",I180=90),VLOOKUP(T180,'CAFCO 300 IDIEM TABLAS'!$B$4:$D$23,2,FALSE),0)+IF(AND(L180="Cafco 300",J180&gt;=95,J180&lt;=240,C180="Cj",I180=120),VLOOKUP(T180,'CAFCO 300 IDIEM TABLAS'!$B$4:$D$23,3,FALSE),0)+IF(AND(L180="Cafco 300",J180&gt;=95,J180&lt;=400,G180=3,C180="IN",I180=90),VLOOKUP(T180,'CAFCO 300 IDIEM TABLAS'!$F$4:$H$35,2,FALSE),0)+IF(AND(L180="Cafco 300",J180&gt;=95,J180&lt;=400,G180=3,C180="IN",I180=120),VLOOKUP(T180,'CAFCO 300 IDIEM TABLAS'!$F$4:$H$35,3,FALSE),0)+IF(AND(L180="Cafco 300",J180&gt;=95,J180&lt;=450,G180=4,C180="IN",I180=90),VLOOKUP(T180,'CAFCO 300 IDIEM TABLAS'!$J$4:$L$40,2,FALSE),0)+IF(AND(L180="Cafco 300",J180&gt;=95,J180&lt;=450,G180=4,C180="IN",I180=120),VLOOKUP(T180,'CAFCO 300 IDIEM TABLAS'!$J$4:$L$40,3,FALSE),0)+IF(AND(M180="Ensayo Idiem",L180="Cafco 400",C180="IN",G180=4,I180=90),VLOOKUP(T180,'CAFCO 400 ENSAYO'!$B$7:$D$43,2,FALSE),0)+IF(AND(M180="Ensayo Idiem",L180="Cafco 400",C180="IN",G180=4,I180=120),VLOOKUP(T180,'CAFCO 400 ENSAYO'!$B$7:$D$43,3,FALSE),0)</f>
        <v>0</v>
      </c>
      <c r="O180" s="96">
        <f t="shared" si="21"/>
        <v>0</v>
      </c>
      <c r="P180" s="95" t="str">
        <f t="shared" si="22"/>
        <v>N/A</v>
      </c>
      <c r="Q180" s="95" t="str">
        <f t="shared" si="23"/>
        <v>N/A</v>
      </c>
      <c r="R180" s="95" t="str">
        <f t="shared" si="24"/>
        <v>NO CERT.</v>
      </c>
      <c r="S180" s="95" t="e">
        <f t="shared" si="19"/>
        <v>#N/A</v>
      </c>
      <c r="T180" s="119" t="e">
        <f>+IF(J180=LOOKUP(J180,'CAFCO 300 IDIEM TABLAS'!$J$4:$J$40),'CALCULO MORTERO'!J180,MROUND('CALCULO MORTERO'!J180,10))</f>
        <v>#N/A</v>
      </c>
      <c r="U180" s="118">
        <f t="shared" si="20"/>
        <v>0</v>
      </c>
      <c r="Y180" s="4"/>
      <c r="Z180" s="4"/>
      <c r="AA180" s="4"/>
    </row>
    <row r="181" spans="1:27" x14ac:dyDescent="0.25">
      <c r="A181" s="118">
        <f>+CUBICACION!D175</f>
        <v>0</v>
      </c>
      <c r="B181" s="819">
        <f>+CUBICACION!E175</f>
        <v>0</v>
      </c>
      <c r="C181" s="675">
        <f>+CUBICACION!F175</f>
        <v>0</v>
      </c>
      <c r="D181" s="118"/>
      <c r="E181" s="118"/>
      <c r="F181" s="820"/>
      <c r="G181" s="675">
        <f>+CUBICACION!J175</f>
        <v>0</v>
      </c>
      <c r="H181" s="118"/>
      <c r="I181" s="821">
        <f>+CUBICACION!L175</f>
        <v>0</v>
      </c>
      <c r="J181" s="64">
        <f>+CUBICACION!M175</f>
        <v>0</v>
      </c>
      <c r="K181" s="822" t="str">
        <f>+CUBICACION!N175</f>
        <v/>
      </c>
      <c r="L181" s="118">
        <f>+CUBICACION!O175</f>
        <v>0</v>
      </c>
      <c r="M181" s="823">
        <f>+CUBICACION!P175</f>
        <v>0</v>
      </c>
      <c r="N181" s="902">
        <f>ROUND(IF(AND(L181="Blaze Shield II",M181="Software Idiem",C181="IN",G181=4),((('BLAZE SHIELD II'!$D$4*('CALCULO MORTERO'!I181^2)+'BLAZE SHIELD II'!$D$5*'CALCULO MORTERO'!I181+'BLAZE SHIELD II'!$D$6)*LN(J181))+('BLAZE SHIELD II'!$D$7*('CALCULO MORTERO'!I181^2)+'BLAZE SHIELD II'!$D$8*'CALCULO MORTERO'!I181+'BLAZE SHIELD II'!$D$9)),0)+IF(AND(L181="Blaze Shield II",M181="Software Idiem",C181="Cj"),((('BLAZE SHIELD II'!$H$4*('CALCULO MORTERO'!I181^2)+'BLAZE SHIELD II'!$H$5*'CALCULO MORTERO'!I181+'BLAZE SHIELD II'!$H$6)*LN(J181))+('BLAZE SHIELD II'!$H$7*('CALCULO MORTERO'!I181^2)+'BLAZE SHIELD II'!$H$8*'CALCULO MORTERO'!I181+'BLAZE SHIELD II'!$H$9)),0)+IF(AND(L181="Blaze Shield II",M181="Software Idiem",C181="C"),((('BLAZE SHIELD II'!$L$4*('CALCULO MORTERO'!I181^2)+'BLAZE SHIELD II'!$L$5*'CALCULO MORTERO'!I181+'BLAZE SHIELD II'!$L$6)*LN(J181))+('BLAZE SHIELD II'!$L$7*('CALCULO MORTERO'!I181^2)+'BLAZE SHIELD II'!$L$8*'CALCULO MORTERO'!I181+'BLAZE SHIELD II'!$L$9)),0)+IF(AND(L181="Blaze Shield II",M181="Software Idiem",C181="L"),((('BLAZE SHIELD II'!$L$4*('CALCULO MORTERO'!I181^2)+'BLAZE SHIELD II'!$L$5*'CALCULO MORTERO'!I181+'BLAZE SHIELD II'!$L$6)*LN(J181))+('BLAZE SHIELD II'!$L$7*('CALCULO MORTERO'!I181^2)+'BLAZE SHIELD II'!$L$8*'CALCULO MORTERO'!I181+'BLAZE SHIELD II'!$L$9)),0)+IF(AND(L181="Blaze Shield II",M181="Software Idiem",C181="IN",G181=3),((('BLAZE SHIELD II'!$H$14*('CALCULO MORTERO'!I181^2)+'BLAZE SHIELD II'!$H$15*'CALCULO MORTERO'!I181+'BLAZE SHIELD II'!$H$16)*LN(J181))+('BLAZE SHIELD II'!$H$17*('CALCULO MORTERO'!I181^2)+'BLAZE SHIELD II'!$H$18*'CALCULO MORTERO'!I181+'BLAZE SHIELD II'!$H$19)),0),0)+ROUND(IF(AND(L181="Cafco 400",M181="Software Idiem",C181="IN",G181=4),((('CAFCO 400 '!$H$7*(J181^4)+'CAFCO 400 '!$H$8*(J181^3)+'CAFCO 400 '!$H$9*(J181^2)+'CAFCO 400 '!$H$10*J181+'CAFCO 400 '!$H$11)*U181^2)+(('CAFCO 400 '!$H$12*(J181^3)+'CAFCO 400 '!$H$13*(J181^2)+'CAFCO 400 '!$H$14*J181+'CAFCO 400 '!$H$15)*U181)+('CAFCO 400 '!$H$16*(J181^2)+'CAFCO 400 '!$H$17*J181+'CAFCO 400 '!$H$18)),0)+IF(AND(L181="Cafco 400",M181="Software Idiem",C181="Cj"),(((('CAFCO 400 '!$D$7*LN(J181)+'CAFCO 400 '!$D$8)*U181^2)+(('CAFCO 400 '!$D$9*LN(J181)+'CAFCO 400 '!$D$10)*U181)+('CAFCO 400 '!$D$11*LN(J181)+'CAFCO 400 '!$D$12))),0)+IF(AND(L181="Cafco 400",M181="Software Idiem",C181="C"),((('CAFCO 400 '!$L$7*(J181^3)+'CAFCO 400 '!$L$8*(J181^2)+'CAFCO 400 '!$L$9*J181+'CAFCO 400 '!$L$10)*U181^2)+(('CAFCO 400 '!$L$11*(J181^3)+'CAFCO 400 '!$L$12*(J181^2)+'CAFCO 400 '!$L$13*J181+'CAFCO 400 '!$L$14)*U181)+('CAFCO 400 '!$L$15*LN(J181)+'CAFCO 400 '!$L$16)),0)+IF(AND(L181="Cafco 400",M181="Software Idiem",C181="L"),((('CAFCO 400 '!$L$7*(J181^3)+'CAFCO 400 '!$L$8*(J181^2)+'CAFCO 400 '!$L$9*J181+'CAFCO 400 '!$L$10)*U181^2)+(('CAFCO 400 '!$L$11*(J181^3)+'CAFCO 400 '!$L$12*(J181^2)+'CAFCO 400 '!$L$13*J181+'CAFCO 400 '!$L$14)*U181)+('CAFCO 400 '!$L$15*LN(J181)+'CAFCO 400 '!$L$16)),0)+IF(AND(L181="Cafco 400",M181="Software Idiem",C181="IN",G181=3),((('CAFCO 400 '!$D$23*(J181^2)+'CAFCO 400 '!$D$24*(J181)+'CAFCO 400 '!$D$25)*U181^2)+(('CAFCO 400 '!$D$26*(J181^2)+'CAFCO 400 '!$D$27*J181+'CAFCO 400 '!$D$28)*U181)+('CAFCO 400 '!$D$29*(J181^2)+'CAFCO 400 '!$D$30*J181+'CAFCO 400 '!$D$31)),0),0)+IF(AND(L181="Cafco 300",J181&gt;=95,J181&lt;=240,C181="Cj",I181=90),VLOOKUP(T181,'CAFCO 300 IDIEM TABLAS'!$B$4:$D$23,2,FALSE),0)+IF(AND(L181="Cafco 300",J181&gt;=95,J181&lt;=240,C181="Cj",I181=120),VLOOKUP(T181,'CAFCO 300 IDIEM TABLAS'!$B$4:$D$23,3,FALSE),0)+IF(AND(L181="Cafco 300",J181&gt;=95,J181&lt;=400,G181=3,C181="IN",I181=90),VLOOKUP(T181,'CAFCO 300 IDIEM TABLAS'!$F$4:$H$35,2,FALSE),0)+IF(AND(L181="Cafco 300",J181&gt;=95,J181&lt;=400,G181=3,C181="IN",I181=120),VLOOKUP(T181,'CAFCO 300 IDIEM TABLAS'!$F$4:$H$35,3,FALSE),0)+IF(AND(L181="Cafco 300",J181&gt;=95,J181&lt;=450,G181=4,C181="IN",I181=90),VLOOKUP(T181,'CAFCO 300 IDIEM TABLAS'!$J$4:$L$40,2,FALSE),0)+IF(AND(L181="Cafco 300",J181&gt;=95,J181&lt;=450,G181=4,C181="IN",I181=120),VLOOKUP(T181,'CAFCO 300 IDIEM TABLAS'!$J$4:$L$40,3,FALSE),0)+IF(AND(M181="Ensayo Idiem",L181="Cafco 400",C181="IN",G181=4,I181=90),VLOOKUP(T181,'CAFCO 400 ENSAYO'!$B$7:$D$43,2,FALSE),0)+IF(AND(M181="Ensayo Idiem",L181="Cafco 400",C181="IN",G181=4,I181=120),VLOOKUP(T181,'CAFCO 400 ENSAYO'!$B$7:$D$43,3,FALSE),0)</f>
        <v>0</v>
      </c>
      <c r="O181" s="96">
        <f t="shared" si="21"/>
        <v>0</v>
      </c>
      <c r="P181" s="95" t="str">
        <f t="shared" si="22"/>
        <v>N/A</v>
      </c>
      <c r="Q181" s="95" t="str">
        <f t="shared" si="23"/>
        <v>N/A</v>
      </c>
      <c r="R181" s="95" t="str">
        <f t="shared" si="24"/>
        <v>NO CERT.</v>
      </c>
      <c r="S181" s="95" t="e">
        <f t="shared" si="19"/>
        <v>#N/A</v>
      </c>
      <c r="T181" s="119" t="e">
        <f>+IF(J181=LOOKUP(J181,'CAFCO 300 IDIEM TABLAS'!$J$4:$J$40),'CALCULO MORTERO'!J181,MROUND('CALCULO MORTERO'!J181,10))</f>
        <v>#N/A</v>
      </c>
      <c r="U181" s="118">
        <f t="shared" si="20"/>
        <v>0</v>
      </c>
      <c r="Y181" s="4"/>
      <c r="Z181" s="4"/>
      <c r="AA181" s="4"/>
    </row>
    <row r="182" spans="1:27" ht="15.6" customHeight="1" x14ac:dyDescent="0.25">
      <c r="A182" s="118">
        <f>+CUBICACION!D176</f>
        <v>0</v>
      </c>
      <c r="B182" s="819">
        <f>+CUBICACION!E176</f>
        <v>0</v>
      </c>
      <c r="C182" s="675">
        <f>+CUBICACION!F176</f>
        <v>0</v>
      </c>
      <c r="D182" s="118"/>
      <c r="E182" s="118"/>
      <c r="F182" s="820"/>
      <c r="G182" s="675">
        <f>+CUBICACION!J176</f>
        <v>0</v>
      </c>
      <c r="H182" s="118"/>
      <c r="I182" s="821">
        <f>+CUBICACION!L176</f>
        <v>0</v>
      </c>
      <c r="J182" s="64">
        <f>+CUBICACION!M176</f>
        <v>0</v>
      </c>
      <c r="K182" s="822" t="str">
        <f>+CUBICACION!N176</f>
        <v/>
      </c>
      <c r="L182" s="118">
        <f>+CUBICACION!O176</f>
        <v>0</v>
      </c>
      <c r="M182" s="823">
        <f>+CUBICACION!P176</f>
        <v>0</v>
      </c>
      <c r="N182" s="902">
        <f>ROUND(IF(AND(L182="Blaze Shield II",M182="Software Idiem",C182="IN",G182=4),((('BLAZE SHIELD II'!$D$4*('CALCULO MORTERO'!I182^2)+'BLAZE SHIELD II'!$D$5*'CALCULO MORTERO'!I182+'BLAZE SHIELD II'!$D$6)*LN(J182))+('BLAZE SHIELD II'!$D$7*('CALCULO MORTERO'!I182^2)+'BLAZE SHIELD II'!$D$8*'CALCULO MORTERO'!I182+'BLAZE SHIELD II'!$D$9)),0)+IF(AND(L182="Blaze Shield II",M182="Software Idiem",C182="Cj"),((('BLAZE SHIELD II'!$H$4*('CALCULO MORTERO'!I182^2)+'BLAZE SHIELD II'!$H$5*'CALCULO MORTERO'!I182+'BLAZE SHIELD II'!$H$6)*LN(J182))+('BLAZE SHIELD II'!$H$7*('CALCULO MORTERO'!I182^2)+'BLAZE SHIELD II'!$H$8*'CALCULO MORTERO'!I182+'BLAZE SHIELD II'!$H$9)),0)+IF(AND(L182="Blaze Shield II",M182="Software Idiem",C182="C"),((('BLAZE SHIELD II'!$L$4*('CALCULO MORTERO'!I182^2)+'BLAZE SHIELD II'!$L$5*'CALCULO MORTERO'!I182+'BLAZE SHIELD II'!$L$6)*LN(J182))+('BLAZE SHIELD II'!$L$7*('CALCULO MORTERO'!I182^2)+'BLAZE SHIELD II'!$L$8*'CALCULO MORTERO'!I182+'BLAZE SHIELD II'!$L$9)),0)+IF(AND(L182="Blaze Shield II",M182="Software Idiem",C182="L"),((('BLAZE SHIELD II'!$L$4*('CALCULO MORTERO'!I182^2)+'BLAZE SHIELD II'!$L$5*'CALCULO MORTERO'!I182+'BLAZE SHIELD II'!$L$6)*LN(J182))+('BLAZE SHIELD II'!$L$7*('CALCULO MORTERO'!I182^2)+'BLAZE SHIELD II'!$L$8*'CALCULO MORTERO'!I182+'BLAZE SHIELD II'!$L$9)),0)+IF(AND(L182="Blaze Shield II",M182="Software Idiem",C182="IN",G182=3),((('BLAZE SHIELD II'!$H$14*('CALCULO MORTERO'!I182^2)+'BLAZE SHIELD II'!$H$15*'CALCULO MORTERO'!I182+'BLAZE SHIELD II'!$H$16)*LN(J182))+('BLAZE SHIELD II'!$H$17*('CALCULO MORTERO'!I182^2)+'BLAZE SHIELD II'!$H$18*'CALCULO MORTERO'!I182+'BLAZE SHIELD II'!$H$19)),0),0)+ROUND(IF(AND(L182="Cafco 400",M182="Software Idiem",C182="IN",G182=4),((('CAFCO 400 '!$H$7*(J182^4)+'CAFCO 400 '!$H$8*(J182^3)+'CAFCO 400 '!$H$9*(J182^2)+'CAFCO 400 '!$H$10*J182+'CAFCO 400 '!$H$11)*U182^2)+(('CAFCO 400 '!$H$12*(J182^3)+'CAFCO 400 '!$H$13*(J182^2)+'CAFCO 400 '!$H$14*J182+'CAFCO 400 '!$H$15)*U182)+('CAFCO 400 '!$H$16*(J182^2)+'CAFCO 400 '!$H$17*J182+'CAFCO 400 '!$H$18)),0)+IF(AND(L182="Cafco 400",M182="Software Idiem",C182="Cj"),(((('CAFCO 400 '!$D$7*LN(J182)+'CAFCO 400 '!$D$8)*U182^2)+(('CAFCO 400 '!$D$9*LN(J182)+'CAFCO 400 '!$D$10)*U182)+('CAFCO 400 '!$D$11*LN(J182)+'CAFCO 400 '!$D$12))),0)+IF(AND(L182="Cafco 400",M182="Software Idiem",C182="C"),((('CAFCO 400 '!$L$7*(J182^3)+'CAFCO 400 '!$L$8*(J182^2)+'CAFCO 400 '!$L$9*J182+'CAFCO 400 '!$L$10)*U182^2)+(('CAFCO 400 '!$L$11*(J182^3)+'CAFCO 400 '!$L$12*(J182^2)+'CAFCO 400 '!$L$13*J182+'CAFCO 400 '!$L$14)*U182)+('CAFCO 400 '!$L$15*LN(J182)+'CAFCO 400 '!$L$16)),0)+IF(AND(L182="Cafco 400",M182="Software Idiem",C182="L"),((('CAFCO 400 '!$L$7*(J182^3)+'CAFCO 400 '!$L$8*(J182^2)+'CAFCO 400 '!$L$9*J182+'CAFCO 400 '!$L$10)*U182^2)+(('CAFCO 400 '!$L$11*(J182^3)+'CAFCO 400 '!$L$12*(J182^2)+'CAFCO 400 '!$L$13*J182+'CAFCO 400 '!$L$14)*U182)+('CAFCO 400 '!$L$15*LN(J182)+'CAFCO 400 '!$L$16)),0)+IF(AND(L182="Cafco 400",M182="Software Idiem",C182="IN",G182=3),((('CAFCO 400 '!$D$23*(J182^2)+'CAFCO 400 '!$D$24*(J182)+'CAFCO 400 '!$D$25)*U182^2)+(('CAFCO 400 '!$D$26*(J182^2)+'CAFCO 400 '!$D$27*J182+'CAFCO 400 '!$D$28)*U182)+('CAFCO 400 '!$D$29*(J182^2)+'CAFCO 400 '!$D$30*J182+'CAFCO 400 '!$D$31)),0),0)+IF(AND(L182="Cafco 300",J182&gt;=95,J182&lt;=240,C182="Cj",I182=90),VLOOKUP(T182,'CAFCO 300 IDIEM TABLAS'!$B$4:$D$23,2,FALSE),0)+IF(AND(L182="Cafco 300",J182&gt;=95,J182&lt;=240,C182="Cj",I182=120),VLOOKUP(T182,'CAFCO 300 IDIEM TABLAS'!$B$4:$D$23,3,FALSE),0)+IF(AND(L182="Cafco 300",J182&gt;=95,J182&lt;=400,G182=3,C182="IN",I182=90),VLOOKUP(T182,'CAFCO 300 IDIEM TABLAS'!$F$4:$H$35,2,FALSE),0)+IF(AND(L182="Cafco 300",J182&gt;=95,J182&lt;=400,G182=3,C182="IN",I182=120),VLOOKUP(T182,'CAFCO 300 IDIEM TABLAS'!$F$4:$H$35,3,FALSE),0)+IF(AND(L182="Cafco 300",J182&gt;=95,J182&lt;=450,G182=4,C182="IN",I182=90),VLOOKUP(T182,'CAFCO 300 IDIEM TABLAS'!$J$4:$L$40,2,FALSE),0)+IF(AND(L182="Cafco 300",J182&gt;=95,J182&lt;=450,G182=4,C182="IN",I182=120),VLOOKUP(T182,'CAFCO 300 IDIEM TABLAS'!$J$4:$L$40,3,FALSE),0)+IF(AND(M182="Ensayo Idiem",L182="Cafco 400",C182="IN",G182=4,I182=90),VLOOKUP(T182,'CAFCO 400 ENSAYO'!$B$7:$D$43,2,FALSE),0)+IF(AND(M182="Ensayo Idiem",L182="Cafco 400",C182="IN",G182=4,I182=120),VLOOKUP(T182,'CAFCO 400 ENSAYO'!$B$7:$D$43,3,FALSE),0)</f>
        <v>0</v>
      </c>
      <c r="O182" s="96">
        <f t="shared" si="21"/>
        <v>0</v>
      </c>
      <c r="P182" s="95" t="str">
        <f t="shared" si="22"/>
        <v>N/A</v>
      </c>
      <c r="Q182" s="95" t="str">
        <f t="shared" si="23"/>
        <v>N/A</v>
      </c>
      <c r="R182" s="95" t="str">
        <f t="shared" si="24"/>
        <v>NO CERT.</v>
      </c>
      <c r="S182" s="95" t="e">
        <f t="shared" si="19"/>
        <v>#N/A</v>
      </c>
      <c r="T182" s="119" t="e">
        <f>+IF(J182=LOOKUP(J182,'CAFCO 300 IDIEM TABLAS'!$J$4:$J$40),'CALCULO MORTERO'!J182,MROUND('CALCULO MORTERO'!J182,10))</f>
        <v>#N/A</v>
      </c>
      <c r="U182" s="118">
        <f t="shared" si="20"/>
        <v>0</v>
      </c>
      <c r="Y182" s="4"/>
      <c r="Z182" s="4"/>
      <c r="AA182" s="4"/>
    </row>
    <row r="183" spans="1:27" x14ac:dyDescent="0.25">
      <c r="A183" s="118">
        <f>+CUBICACION!D177</f>
        <v>0</v>
      </c>
      <c r="B183" s="819">
        <f>+CUBICACION!E177</f>
        <v>0</v>
      </c>
      <c r="C183" s="675">
        <f>+CUBICACION!F177</f>
        <v>0</v>
      </c>
      <c r="D183" s="118"/>
      <c r="E183" s="118"/>
      <c r="F183" s="820"/>
      <c r="G183" s="675">
        <f>+CUBICACION!J177</f>
        <v>0</v>
      </c>
      <c r="H183" s="118"/>
      <c r="I183" s="821">
        <f>+CUBICACION!L177</f>
        <v>0</v>
      </c>
      <c r="J183" s="64">
        <f>+CUBICACION!M177</f>
        <v>0</v>
      </c>
      <c r="K183" s="822" t="str">
        <f>+CUBICACION!N177</f>
        <v/>
      </c>
      <c r="L183" s="118">
        <f>+CUBICACION!O177</f>
        <v>0</v>
      </c>
      <c r="M183" s="823">
        <f>+CUBICACION!P177</f>
        <v>0</v>
      </c>
      <c r="N183" s="902">
        <f>ROUND(IF(AND(L183="Blaze Shield II",M183="Software Idiem",C183="IN",G183=4),((('BLAZE SHIELD II'!$D$4*('CALCULO MORTERO'!I183^2)+'BLAZE SHIELD II'!$D$5*'CALCULO MORTERO'!I183+'BLAZE SHIELD II'!$D$6)*LN(J183))+('BLAZE SHIELD II'!$D$7*('CALCULO MORTERO'!I183^2)+'BLAZE SHIELD II'!$D$8*'CALCULO MORTERO'!I183+'BLAZE SHIELD II'!$D$9)),0)+IF(AND(L183="Blaze Shield II",M183="Software Idiem",C183="Cj"),((('BLAZE SHIELD II'!$H$4*('CALCULO MORTERO'!I183^2)+'BLAZE SHIELD II'!$H$5*'CALCULO MORTERO'!I183+'BLAZE SHIELD II'!$H$6)*LN(J183))+('BLAZE SHIELD II'!$H$7*('CALCULO MORTERO'!I183^2)+'BLAZE SHIELD II'!$H$8*'CALCULO MORTERO'!I183+'BLAZE SHIELD II'!$H$9)),0)+IF(AND(L183="Blaze Shield II",M183="Software Idiem",C183="C"),((('BLAZE SHIELD II'!$L$4*('CALCULO MORTERO'!I183^2)+'BLAZE SHIELD II'!$L$5*'CALCULO MORTERO'!I183+'BLAZE SHIELD II'!$L$6)*LN(J183))+('BLAZE SHIELD II'!$L$7*('CALCULO MORTERO'!I183^2)+'BLAZE SHIELD II'!$L$8*'CALCULO MORTERO'!I183+'BLAZE SHIELD II'!$L$9)),0)+IF(AND(L183="Blaze Shield II",M183="Software Idiem",C183="L"),((('BLAZE SHIELD II'!$L$4*('CALCULO MORTERO'!I183^2)+'BLAZE SHIELD II'!$L$5*'CALCULO MORTERO'!I183+'BLAZE SHIELD II'!$L$6)*LN(J183))+('BLAZE SHIELD II'!$L$7*('CALCULO MORTERO'!I183^2)+'BLAZE SHIELD II'!$L$8*'CALCULO MORTERO'!I183+'BLAZE SHIELD II'!$L$9)),0)+IF(AND(L183="Blaze Shield II",M183="Software Idiem",C183="IN",G183=3),((('BLAZE SHIELD II'!$H$14*('CALCULO MORTERO'!I183^2)+'BLAZE SHIELD II'!$H$15*'CALCULO MORTERO'!I183+'BLAZE SHIELD II'!$H$16)*LN(J183))+('BLAZE SHIELD II'!$H$17*('CALCULO MORTERO'!I183^2)+'BLAZE SHIELD II'!$H$18*'CALCULO MORTERO'!I183+'BLAZE SHIELD II'!$H$19)),0),0)+ROUND(IF(AND(L183="Cafco 400",M183="Software Idiem",C183="IN",G183=4),((('CAFCO 400 '!$H$7*(J183^4)+'CAFCO 400 '!$H$8*(J183^3)+'CAFCO 400 '!$H$9*(J183^2)+'CAFCO 400 '!$H$10*J183+'CAFCO 400 '!$H$11)*U183^2)+(('CAFCO 400 '!$H$12*(J183^3)+'CAFCO 400 '!$H$13*(J183^2)+'CAFCO 400 '!$H$14*J183+'CAFCO 400 '!$H$15)*U183)+('CAFCO 400 '!$H$16*(J183^2)+'CAFCO 400 '!$H$17*J183+'CAFCO 400 '!$H$18)),0)+IF(AND(L183="Cafco 400",M183="Software Idiem",C183="Cj"),(((('CAFCO 400 '!$D$7*LN(J183)+'CAFCO 400 '!$D$8)*U183^2)+(('CAFCO 400 '!$D$9*LN(J183)+'CAFCO 400 '!$D$10)*U183)+('CAFCO 400 '!$D$11*LN(J183)+'CAFCO 400 '!$D$12))),0)+IF(AND(L183="Cafco 400",M183="Software Idiem",C183="C"),((('CAFCO 400 '!$L$7*(J183^3)+'CAFCO 400 '!$L$8*(J183^2)+'CAFCO 400 '!$L$9*J183+'CAFCO 400 '!$L$10)*U183^2)+(('CAFCO 400 '!$L$11*(J183^3)+'CAFCO 400 '!$L$12*(J183^2)+'CAFCO 400 '!$L$13*J183+'CAFCO 400 '!$L$14)*U183)+('CAFCO 400 '!$L$15*LN(J183)+'CAFCO 400 '!$L$16)),0)+IF(AND(L183="Cafco 400",M183="Software Idiem",C183="L"),((('CAFCO 400 '!$L$7*(J183^3)+'CAFCO 400 '!$L$8*(J183^2)+'CAFCO 400 '!$L$9*J183+'CAFCO 400 '!$L$10)*U183^2)+(('CAFCO 400 '!$L$11*(J183^3)+'CAFCO 400 '!$L$12*(J183^2)+'CAFCO 400 '!$L$13*J183+'CAFCO 400 '!$L$14)*U183)+('CAFCO 400 '!$L$15*LN(J183)+'CAFCO 400 '!$L$16)),0)+IF(AND(L183="Cafco 400",M183="Software Idiem",C183="IN",G183=3),((('CAFCO 400 '!$D$23*(J183^2)+'CAFCO 400 '!$D$24*(J183)+'CAFCO 400 '!$D$25)*U183^2)+(('CAFCO 400 '!$D$26*(J183^2)+'CAFCO 400 '!$D$27*J183+'CAFCO 400 '!$D$28)*U183)+('CAFCO 400 '!$D$29*(J183^2)+'CAFCO 400 '!$D$30*J183+'CAFCO 400 '!$D$31)),0),0)+IF(AND(L183="Cafco 300",J183&gt;=95,J183&lt;=240,C183="Cj",I183=90),VLOOKUP(T183,'CAFCO 300 IDIEM TABLAS'!$B$4:$D$23,2,FALSE),0)+IF(AND(L183="Cafco 300",J183&gt;=95,J183&lt;=240,C183="Cj",I183=120),VLOOKUP(T183,'CAFCO 300 IDIEM TABLAS'!$B$4:$D$23,3,FALSE),0)+IF(AND(L183="Cafco 300",J183&gt;=95,J183&lt;=400,G183=3,C183="IN",I183=90),VLOOKUP(T183,'CAFCO 300 IDIEM TABLAS'!$F$4:$H$35,2,FALSE),0)+IF(AND(L183="Cafco 300",J183&gt;=95,J183&lt;=400,G183=3,C183="IN",I183=120),VLOOKUP(T183,'CAFCO 300 IDIEM TABLAS'!$F$4:$H$35,3,FALSE),0)+IF(AND(L183="Cafco 300",J183&gt;=95,J183&lt;=450,G183=4,C183="IN",I183=90),VLOOKUP(T183,'CAFCO 300 IDIEM TABLAS'!$J$4:$L$40,2,FALSE),0)+IF(AND(L183="Cafco 300",J183&gt;=95,J183&lt;=450,G183=4,C183="IN",I183=120),VLOOKUP(T183,'CAFCO 300 IDIEM TABLAS'!$J$4:$L$40,3,FALSE),0)+IF(AND(M183="Ensayo Idiem",L183="Cafco 400",C183="IN",G183=4,I183=90),VLOOKUP(T183,'CAFCO 400 ENSAYO'!$B$7:$D$43,2,FALSE),0)+IF(AND(M183="Ensayo Idiem",L183="Cafco 400",C183="IN",G183=4,I183=120),VLOOKUP(T183,'CAFCO 400 ENSAYO'!$B$7:$D$43,3,FALSE),0)</f>
        <v>0</v>
      </c>
      <c r="O183" s="96">
        <f t="shared" si="21"/>
        <v>0</v>
      </c>
      <c r="P183" s="95" t="str">
        <f t="shared" si="22"/>
        <v>N/A</v>
      </c>
      <c r="Q183" s="95" t="str">
        <f t="shared" si="23"/>
        <v>N/A</v>
      </c>
      <c r="R183" s="95" t="str">
        <f t="shared" si="24"/>
        <v>NO CERT.</v>
      </c>
      <c r="S183" s="95" t="e">
        <f t="shared" si="19"/>
        <v>#N/A</v>
      </c>
      <c r="T183" s="119" t="e">
        <f>+IF(J183=LOOKUP(J183,'CAFCO 300 IDIEM TABLAS'!$J$4:$J$40),'CALCULO MORTERO'!J183,MROUND('CALCULO MORTERO'!J183,10))</f>
        <v>#N/A</v>
      </c>
      <c r="U183" s="118">
        <f t="shared" si="20"/>
        <v>0</v>
      </c>
      <c r="Y183" s="4"/>
      <c r="Z183" s="4"/>
      <c r="AA183" s="4"/>
    </row>
    <row r="184" spans="1:27" ht="15.6" customHeight="1" x14ac:dyDescent="0.25">
      <c r="A184" s="118">
        <f>+CUBICACION!D178</f>
        <v>0</v>
      </c>
      <c r="B184" s="819">
        <f>+CUBICACION!E178</f>
        <v>0</v>
      </c>
      <c r="C184" s="675">
        <f>+CUBICACION!F178</f>
        <v>0</v>
      </c>
      <c r="D184" s="118"/>
      <c r="E184" s="118"/>
      <c r="F184" s="820"/>
      <c r="G184" s="675">
        <f>+CUBICACION!J178</f>
        <v>0</v>
      </c>
      <c r="H184" s="118"/>
      <c r="I184" s="821">
        <f>+CUBICACION!L178</f>
        <v>0</v>
      </c>
      <c r="J184" s="64">
        <f>+CUBICACION!M178</f>
        <v>0</v>
      </c>
      <c r="K184" s="822" t="str">
        <f>+CUBICACION!N178</f>
        <v/>
      </c>
      <c r="L184" s="118">
        <f>+CUBICACION!O178</f>
        <v>0</v>
      </c>
      <c r="M184" s="823">
        <f>+CUBICACION!P178</f>
        <v>0</v>
      </c>
      <c r="N184" s="902">
        <f>ROUND(IF(AND(L184="Blaze Shield II",M184="Software Idiem",C184="IN",G184=4),((('BLAZE SHIELD II'!$D$4*('CALCULO MORTERO'!I184^2)+'BLAZE SHIELD II'!$D$5*'CALCULO MORTERO'!I184+'BLAZE SHIELD II'!$D$6)*LN(J184))+('BLAZE SHIELD II'!$D$7*('CALCULO MORTERO'!I184^2)+'BLAZE SHIELD II'!$D$8*'CALCULO MORTERO'!I184+'BLAZE SHIELD II'!$D$9)),0)+IF(AND(L184="Blaze Shield II",M184="Software Idiem",C184="Cj"),((('BLAZE SHIELD II'!$H$4*('CALCULO MORTERO'!I184^2)+'BLAZE SHIELD II'!$H$5*'CALCULO MORTERO'!I184+'BLAZE SHIELD II'!$H$6)*LN(J184))+('BLAZE SHIELD II'!$H$7*('CALCULO MORTERO'!I184^2)+'BLAZE SHIELD II'!$H$8*'CALCULO MORTERO'!I184+'BLAZE SHIELD II'!$H$9)),0)+IF(AND(L184="Blaze Shield II",M184="Software Idiem",C184="C"),((('BLAZE SHIELD II'!$L$4*('CALCULO MORTERO'!I184^2)+'BLAZE SHIELD II'!$L$5*'CALCULO MORTERO'!I184+'BLAZE SHIELD II'!$L$6)*LN(J184))+('BLAZE SHIELD II'!$L$7*('CALCULO MORTERO'!I184^2)+'BLAZE SHIELD II'!$L$8*'CALCULO MORTERO'!I184+'BLAZE SHIELD II'!$L$9)),0)+IF(AND(L184="Blaze Shield II",M184="Software Idiem",C184="L"),((('BLAZE SHIELD II'!$L$4*('CALCULO MORTERO'!I184^2)+'BLAZE SHIELD II'!$L$5*'CALCULO MORTERO'!I184+'BLAZE SHIELD II'!$L$6)*LN(J184))+('BLAZE SHIELD II'!$L$7*('CALCULO MORTERO'!I184^2)+'BLAZE SHIELD II'!$L$8*'CALCULO MORTERO'!I184+'BLAZE SHIELD II'!$L$9)),0)+IF(AND(L184="Blaze Shield II",M184="Software Idiem",C184="IN",G184=3),((('BLAZE SHIELD II'!$H$14*('CALCULO MORTERO'!I184^2)+'BLAZE SHIELD II'!$H$15*'CALCULO MORTERO'!I184+'BLAZE SHIELD II'!$H$16)*LN(J184))+('BLAZE SHIELD II'!$H$17*('CALCULO MORTERO'!I184^2)+'BLAZE SHIELD II'!$H$18*'CALCULO MORTERO'!I184+'BLAZE SHIELD II'!$H$19)),0),0)+ROUND(IF(AND(L184="Cafco 400",M184="Software Idiem",C184="IN",G184=4),((('CAFCO 400 '!$H$7*(J184^4)+'CAFCO 400 '!$H$8*(J184^3)+'CAFCO 400 '!$H$9*(J184^2)+'CAFCO 400 '!$H$10*J184+'CAFCO 400 '!$H$11)*U184^2)+(('CAFCO 400 '!$H$12*(J184^3)+'CAFCO 400 '!$H$13*(J184^2)+'CAFCO 400 '!$H$14*J184+'CAFCO 400 '!$H$15)*U184)+('CAFCO 400 '!$H$16*(J184^2)+'CAFCO 400 '!$H$17*J184+'CAFCO 400 '!$H$18)),0)+IF(AND(L184="Cafco 400",M184="Software Idiem",C184="Cj"),(((('CAFCO 400 '!$D$7*LN(J184)+'CAFCO 400 '!$D$8)*U184^2)+(('CAFCO 400 '!$D$9*LN(J184)+'CAFCO 400 '!$D$10)*U184)+('CAFCO 400 '!$D$11*LN(J184)+'CAFCO 400 '!$D$12))),0)+IF(AND(L184="Cafco 400",M184="Software Idiem",C184="C"),((('CAFCO 400 '!$L$7*(J184^3)+'CAFCO 400 '!$L$8*(J184^2)+'CAFCO 400 '!$L$9*J184+'CAFCO 400 '!$L$10)*U184^2)+(('CAFCO 400 '!$L$11*(J184^3)+'CAFCO 400 '!$L$12*(J184^2)+'CAFCO 400 '!$L$13*J184+'CAFCO 400 '!$L$14)*U184)+('CAFCO 400 '!$L$15*LN(J184)+'CAFCO 400 '!$L$16)),0)+IF(AND(L184="Cafco 400",M184="Software Idiem",C184="L"),((('CAFCO 400 '!$L$7*(J184^3)+'CAFCO 400 '!$L$8*(J184^2)+'CAFCO 400 '!$L$9*J184+'CAFCO 400 '!$L$10)*U184^2)+(('CAFCO 400 '!$L$11*(J184^3)+'CAFCO 400 '!$L$12*(J184^2)+'CAFCO 400 '!$L$13*J184+'CAFCO 400 '!$L$14)*U184)+('CAFCO 400 '!$L$15*LN(J184)+'CAFCO 400 '!$L$16)),0)+IF(AND(L184="Cafco 400",M184="Software Idiem",C184="IN",G184=3),((('CAFCO 400 '!$D$23*(J184^2)+'CAFCO 400 '!$D$24*(J184)+'CAFCO 400 '!$D$25)*U184^2)+(('CAFCO 400 '!$D$26*(J184^2)+'CAFCO 400 '!$D$27*J184+'CAFCO 400 '!$D$28)*U184)+('CAFCO 400 '!$D$29*(J184^2)+'CAFCO 400 '!$D$30*J184+'CAFCO 400 '!$D$31)),0),0)+IF(AND(L184="Cafco 300",J184&gt;=95,J184&lt;=240,C184="Cj",I184=90),VLOOKUP(T184,'CAFCO 300 IDIEM TABLAS'!$B$4:$D$23,2,FALSE),0)+IF(AND(L184="Cafco 300",J184&gt;=95,J184&lt;=240,C184="Cj",I184=120),VLOOKUP(T184,'CAFCO 300 IDIEM TABLAS'!$B$4:$D$23,3,FALSE),0)+IF(AND(L184="Cafco 300",J184&gt;=95,J184&lt;=400,G184=3,C184="IN",I184=90),VLOOKUP(T184,'CAFCO 300 IDIEM TABLAS'!$F$4:$H$35,2,FALSE),0)+IF(AND(L184="Cafco 300",J184&gt;=95,J184&lt;=400,G184=3,C184="IN",I184=120),VLOOKUP(T184,'CAFCO 300 IDIEM TABLAS'!$F$4:$H$35,3,FALSE),0)+IF(AND(L184="Cafco 300",J184&gt;=95,J184&lt;=450,G184=4,C184="IN",I184=90),VLOOKUP(T184,'CAFCO 300 IDIEM TABLAS'!$J$4:$L$40,2,FALSE),0)+IF(AND(L184="Cafco 300",J184&gt;=95,J184&lt;=450,G184=4,C184="IN",I184=120),VLOOKUP(T184,'CAFCO 300 IDIEM TABLAS'!$J$4:$L$40,3,FALSE),0)+IF(AND(M184="Ensayo Idiem",L184="Cafco 400",C184="IN",G184=4,I184=90),VLOOKUP(T184,'CAFCO 400 ENSAYO'!$B$7:$D$43,2,FALSE),0)+IF(AND(M184="Ensayo Idiem",L184="Cafco 400",C184="IN",G184=4,I184=120),VLOOKUP(T184,'CAFCO 400 ENSAYO'!$B$7:$D$43,3,FALSE),0)</f>
        <v>0</v>
      </c>
      <c r="O184" s="96">
        <f t="shared" si="21"/>
        <v>0</v>
      </c>
      <c r="P184" s="95" t="str">
        <f t="shared" si="22"/>
        <v>N/A</v>
      </c>
      <c r="Q184" s="95" t="str">
        <f t="shared" si="23"/>
        <v>N/A</v>
      </c>
      <c r="R184" s="95" t="str">
        <f t="shared" si="24"/>
        <v>NO CERT.</v>
      </c>
      <c r="S184" s="95" t="e">
        <f t="shared" si="19"/>
        <v>#N/A</v>
      </c>
      <c r="T184" s="119" t="e">
        <f>+IF(J184=LOOKUP(J184,'CAFCO 300 IDIEM TABLAS'!$J$4:$J$40),'CALCULO MORTERO'!J184,MROUND('CALCULO MORTERO'!J184,10))</f>
        <v>#N/A</v>
      </c>
      <c r="U184" s="118">
        <f t="shared" si="20"/>
        <v>0</v>
      </c>
      <c r="Y184" s="4"/>
      <c r="Z184" s="4"/>
      <c r="AA184" s="4"/>
    </row>
    <row r="185" spans="1:27" x14ac:dyDescent="0.25">
      <c r="A185" s="118">
        <f>+CUBICACION!D179</f>
        <v>0</v>
      </c>
      <c r="B185" s="819">
        <f>+CUBICACION!E179</f>
        <v>0</v>
      </c>
      <c r="C185" s="675">
        <f>+CUBICACION!F179</f>
        <v>0</v>
      </c>
      <c r="D185" s="118"/>
      <c r="E185" s="118"/>
      <c r="F185" s="820"/>
      <c r="G185" s="675">
        <f>+CUBICACION!J179</f>
        <v>0</v>
      </c>
      <c r="H185" s="118"/>
      <c r="I185" s="821">
        <f>+CUBICACION!L179</f>
        <v>0</v>
      </c>
      <c r="J185" s="64">
        <f>+CUBICACION!M179</f>
        <v>0</v>
      </c>
      <c r="K185" s="822" t="str">
        <f>+CUBICACION!N179</f>
        <v/>
      </c>
      <c r="L185" s="118">
        <f>+CUBICACION!O179</f>
        <v>0</v>
      </c>
      <c r="M185" s="823">
        <f>+CUBICACION!P179</f>
        <v>0</v>
      </c>
      <c r="N185" s="902">
        <f>ROUND(IF(AND(L185="Blaze Shield II",M185="Software Idiem",C185="IN",G185=4),((('BLAZE SHIELD II'!$D$4*('CALCULO MORTERO'!I185^2)+'BLAZE SHIELD II'!$D$5*'CALCULO MORTERO'!I185+'BLAZE SHIELD II'!$D$6)*LN(J185))+('BLAZE SHIELD II'!$D$7*('CALCULO MORTERO'!I185^2)+'BLAZE SHIELD II'!$D$8*'CALCULO MORTERO'!I185+'BLAZE SHIELD II'!$D$9)),0)+IF(AND(L185="Blaze Shield II",M185="Software Idiem",C185="Cj"),((('BLAZE SHIELD II'!$H$4*('CALCULO MORTERO'!I185^2)+'BLAZE SHIELD II'!$H$5*'CALCULO MORTERO'!I185+'BLAZE SHIELD II'!$H$6)*LN(J185))+('BLAZE SHIELD II'!$H$7*('CALCULO MORTERO'!I185^2)+'BLAZE SHIELD II'!$H$8*'CALCULO MORTERO'!I185+'BLAZE SHIELD II'!$H$9)),0)+IF(AND(L185="Blaze Shield II",M185="Software Idiem",C185="C"),((('BLAZE SHIELD II'!$L$4*('CALCULO MORTERO'!I185^2)+'BLAZE SHIELD II'!$L$5*'CALCULO MORTERO'!I185+'BLAZE SHIELD II'!$L$6)*LN(J185))+('BLAZE SHIELD II'!$L$7*('CALCULO MORTERO'!I185^2)+'BLAZE SHIELD II'!$L$8*'CALCULO MORTERO'!I185+'BLAZE SHIELD II'!$L$9)),0)+IF(AND(L185="Blaze Shield II",M185="Software Idiem",C185="L"),((('BLAZE SHIELD II'!$L$4*('CALCULO MORTERO'!I185^2)+'BLAZE SHIELD II'!$L$5*'CALCULO MORTERO'!I185+'BLAZE SHIELD II'!$L$6)*LN(J185))+('BLAZE SHIELD II'!$L$7*('CALCULO MORTERO'!I185^2)+'BLAZE SHIELD II'!$L$8*'CALCULO MORTERO'!I185+'BLAZE SHIELD II'!$L$9)),0)+IF(AND(L185="Blaze Shield II",M185="Software Idiem",C185="IN",G185=3),((('BLAZE SHIELD II'!$H$14*('CALCULO MORTERO'!I185^2)+'BLAZE SHIELD II'!$H$15*'CALCULO MORTERO'!I185+'BLAZE SHIELD II'!$H$16)*LN(J185))+('BLAZE SHIELD II'!$H$17*('CALCULO MORTERO'!I185^2)+'BLAZE SHIELD II'!$H$18*'CALCULO MORTERO'!I185+'BLAZE SHIELD II'!$H$19)),0),0)+ROUND(IF(AND(L185="Cafco 400",M185="Software Idiem",C185="IN",G185=4),((('CAFCO 400 '!$H$7*(J185^4)+'CAFCO 400 '!$H$8*(J185^3)+'CAFCO 400 '!$H$9*(J185^2)+'CAFCO 400 '!$H$10*J185+'CAFCO 400 '!$H$11)*U185^2)+(('CAFCO 400 '!$H$12*(J185^3)+'CAFCO 400 '!$H$13*(J185^2)+'CAFCO 400 '!$H$14*J185+'CAFCO 400 '!$H$15)*U185)+('CAFCO 400 '!$H$16*(J185^2)+'CAFCO 400 '!$H$17*J185+'CAFCO 400 '!$H$18)),0)+IF(AND(L185="Cafco 400",M185="Software Idiem",C185="Cj"),(((('CAFCO 400 '!$D$7*LN(J185)+'CAFCO 400 '!$D$8)*U185^2)+(('CAFCO 400 '!$D$9*LN(J185)+'CAFCO 400 '!$D$10)*U185)+('CAFCO 400 '!$D$11*LN(J185)+'CAFCO 400 '!$D$12))),0)+IF(AND(L185="Cafco 400",M185="Software Idiem",C185="C"),((('CAFCO 400 '!$L$7*(J185^3)+'CAFCO 400 '!$L$8*(J185^2)+'CAFCO 400 '!$L$9*J185+'CAFCO 400 '!$L$10)*U185^2)+(('CAFCO 400 '!$L$11*(J185^3)+'CAFCO 400 '!$L$12*(J185^2)+'CAFCO 400 '!$L$13*J185+'CAFCO 400 '!$L$14)*U185)+('CAFCO 400 '!$L$15*LN(J185)+'CAFCO 400 '!$L$16)),0)+IF(AND(L185="Cafco 400",M185="Software Idiem",C185="L"),((('CAFCO 400 '!$L$7*(J185^3)+'CAFCO 400 '!$L$8*(J185^2)+'CAFCO 400 '!$L$9*J185+'CAFCO 400 '!$L$10)*U185^2)+(('CAFCO 400 '!$L$11*(J185^3)+'CAFCO 400 '!$L$12*(J185^2)+'CAFCO 400 '!$L$13*J185+'CAFCO 400 '!$L$14)*U185)+('CAFCO 400 '!$L$15*LN(J185)+'CAFCO 400 '!$L$16)),0)+IF(AND(L185="Cafco 400",M185="Software Idiem",C185="IN",G185=3),((('CAFCO 400 '!$D$23*(J185^2)+'CAFCO 400 '!$D$24*(J185)+'CAFCO 400 '!$D$25)*U185^2)+(('CAFCO 400 '!$D$26*(J185^2)+'CAFCO 400 '!$D$27*J185+'CAFCO 400 '!$D$28)*U185)+('CAFCO 400 '!$D$29*(J185^2)+'CAFCO 400 '!$D$30*J185+'CAFCO 400 '!$D$31)),0),0)+IF(AND(L185="Cafco 300",J185&gt;=95,J185&lt;=240,C185="Cj",I185=90),VLOOKUP(T185,'CAFCO 300 IDIEM TABLAS'!$B$4:$D$23,2,FALSE),0)+IF(AND(L185="Cafco 300",J185&gt;=95,J185&lt;=240,C185="Cj",I185=120),VLOOKUP(T185,'CAFCO 300 IDIEM TABLAS'!$B$4:$D$23,3,FALSE),0)+IF(AND(L185="Cafco 300",J185&gt;=95,J185&lt;=400,G185=3,C185="IN",I185=90),VLOOKUP(T185,'CAFCO 300 IDIEM TABLAS'!$F$4:$H$35,2,FALSE),0)+IF(AND(L185="Cafco 300",J185&gt;=95,J185&lt;=400,G185=3,C185="IN",I185=120),VLOOKUP(T185,'CAFCO 300 IDIEM TABLAS'!$F$4:$H$35,3,FALSE),0)+IF(AND(L185="Cafco 300",J185&gt;=95,J185&lt;=450,G185=4,C185="IN",I185=90),VLOOKUP(T185,'CAFCO 300 IDIEM TABLAS'!$J$4:$L$40,2,FALSE),0)+IF(AND(L185="Cafco 300",J185&gt;=95,J185&lt;=450,G185=4,C185="IN",I185=120),VLOOKUP(T185,'CAFCO 300 IDIEM TABLAS'!$J$4:$L$40,3,FALSE),0)+IF(AND(M185="Ensayo Idiem",L185="Cafco 400",C185="IN",G185=4,I185=90),VLOOKUP(T185,'CAFCO 400 ENSAYO'!$B$7:$D$43,2,FALSE),0)+IF(AND(M185="Ensayo Idiem",L185="Cafco 400",C185="IN",G185=4,I185=120),VLOOKUP(T185,'CAFCO 400 ENSAYO'!$B$7:$D$43,3,FALSE),0)</f>
        <v>0</v>
      </c>
      <c r="O185" s="96">
        <f t="shared" si="21"/>
        <v>0</v>
      </c>
      <c r="P185" s="95" t="str">
        <f t="shared" si="22"/>
        <v>N/A</v>
      </c>
      <c r="Q185" s="95" t="str">
        <f t="shared" si="23"/>
        <v>N/A</v>
      </c>
      <c r="R185" s="95" t="str">
        <f t="shared" si="24"/>
        <v>NO CERT.</v>
      </c>
      <c r="S185" s="95" t="e">
        <f t="shared" si="19"/>
        <v>#N/A</v>
      </c>
      <c r="T185" s="119" t="e">
        <f>+IF(J185=LOOKUP(J185,'CAFCO 300 IDIEM TABLAS'!$J$4:$J$40),'CALCULO MORTERO'!J185,MROUND('CALCULO MORTERO'!J185,10))</f>
        <v>#N/A</v>
      </c>
      <c r="U185" s="118">
        <f t="shared" si="20"/>
        <v>0</v>
      </c>
      <c r="Y185" s="4"/>
      <c r="Z185" s="4"/>
      <c r="AA185" s="4"/>
    </row>
    <row r="186" spans="1:27" ht="15.6" customHeight="1" x14ac:dyDescent="0.25">
      <c r="A186" s="118">
        <f>+CUBICACION!D180</f>
        <v>0</v>
      </c>
      <c r="B186" s="819">
        <f>+CUBICACION!E180</f>
        <v>0</v>
      </c>
      <c r="C186" s="675">
        <f>+CUBICACION!F180</f>
        <v>0</v>
      </c>
      <c r="D186" s="118"/>
      <c r="E186" s="118"/>
      <c r="F186" s="820"/>
      <c r="G186" s="675">
        <f>+CUBICACION!J180</f>
        <v>0</v>
      </c>
      <c r="H186" s="118"/>
      <c r="I186" s="821">
        <f>+CUBICACION!L180</f>
        <v>0</v>
      </c>
      <c r="J186" s="64">
        <f>+CUBICACION!M180</f>
        <v>0</v>
      </c>
      <c r="K186" s="822" t="str">
        <f>+CUBICACION!N180</f>
        <v/>
      </c>
      <c r="L186" s="118">
        <f>+CUBICACION!O180</f>
        <v>0</v>
      </c>
      <c r="M186" s="823">
        <f>+CUBICACION!P180</f>
        <v>0</v>
      </c>
      <c r="N186" s="902">
        <f>ROUND(IF(AND(L186="Blaze Shield II",M186="Software Idiem",C186="IN",G186=4),((('BLAZE SHIELD II'!$D$4*('CALCULO MORTERO'!I186^2)+'BLAZE SHIELD II'!$D$5*'CALCULO MORTERO'!I186+'BLAZE SHIELD II'!$D$6)*LN(J186))+('BLAZE SHIELD II'!$D$7*('CALCULO MORTERO'!I186^2)+'BLAZE SHIELD II'!$D$8*'CALCULO MORTERO'!I186+'BLAZE SHIELD II'!$D$9)),0)+IF(AND(L186="Blaze Shield II",M186="Software Idiem",C186="Cj"),((('BLAZE SHIELD II'!$H$4*('CALCULO MORTERO'!I186^2)+'BLAZE SHIELD II'!$H$5*'CALCULO MORTERO'!I186+'BLAZE SHIELD II'!$H$6)*LN(J186))+('BLAZE SHIELD II'!$H$7*('CALCULO MORTERO'!I186^2)+'BLAZE SHIELD II'!$H$8*'CALCULO MORTERO'!I186+'BLAZE SHIELD II'!$H$9)),0)+IF(AND(L186="Blaze Shield II",M186="Software Idiem",C186="C"),((('BLAZE SHIELD II'!$L$4*('CALCULO MORTERO'!I186^2)+'BLAZE SHIELD II'!$L$5*'CALCULO MORTERO'!I186+'BLAZE SHIELD II'!$L$6)*LN(J186))+('BLAZE SHIELD II'!$L$7*('CALCULO MORTERO'!I186^2)+'BLAZE SHIELD II'!$L$8*'CALCULO MORTERO'!I186+'BLAZE SHIELD II'!$L$9)),0)+IF(AND(L186="Blaze Shield II",M186="Software Idiem",C186="L"),((('BLAZE SHIELD II'!$L$4*('CALCULO MORTERO'!I186^2)+'BLAZE SHIELD II'!$L$5*'CALCULO MORTERO'!I186+'BLAZE SHIELD II'!$L$6)*LN(J186))+('BLAZE SHIELD II'!$L$7*('CALCULO MORTERO'!I186^2)+'BLAZE SHIELD II'!$L$8*'CALCULO MORTERO'!I186+'BLAZE SHIELD II'!$L$9)),0)+IF(AND(L186="Blaze Shield II",M186="Software Idiem",C186="IN",G186=3),((('BLAZE SHIELD II'!$H$14*('CALCULO MORTERO'!I186^2)+'BLAZE SHIELD II'!$H$15*'CALCULO MORTERO'!I186+'BLAZE SHIELD II'!$H$16)*LN(J186))+('BLAZE SHIELD II'!$H$17*('CALCULO MORTERO'!I186^2)+'BLAZE SHIELD II'!$H$18*'CALCULO MORTERO'!I186+'BLAZE SHIELD II'!$H$19)),0),0)+ROUND(IF(AND(L186="Cafco 400",M186="Software Idiem",C186="IN",G186=4),((('CAFCO 400 '!$H$7*(J186^4)+'CAFCO 400 '!$H$8*(J186^3)+'CAFCO 400 '!$H$9*(J186^2)+'CAFCO 400 '!$H$10*J186+'CAFCO 400 '!$H$11)*U186^2)+(('CAFCO 400 '!$H$12*(J186^3)+'CAFCO 400 '!$H$13*(J186^2)+'CAFCO 400 '!$H$14*J186+'CAFCO 400 '!$H$15)*U186)+('CAFCO 400 '!$H$16*(J186^2)+'CAFCO 400 '!$H$17*J186+'CAFCO 400 '!$H$18)),0)+IF(AND(L186="Cafco 400",M186="Software Idiem",C186="Cj"),(((('CAFCO 400 '!$D$7*LN(J186)+'CAFCO 400 '!$D$8)*U186^2)+(('CAFCO 400 '!$D$9*LN(J186)+'CAFCO 400 '!$D$10)*U186)+('CAFCO 400 '!$D$11*LN(J186)+'CAFCO 400 '!$D$12))),0)+IF(AND(L186="Cafco 400",M186="Software Idiem",C186="C"),((('CAFCO 400 '!$L$7*(J186^3)+'CAFCO 400 '!$L$8*(J186^2)+'CAFCO 400 '!$L$9*J186+'CAFCO 400 '!$L$10)*U186^2)+(('CAFCO 400 '!$L$11*(J186^3)+'CAFCO 400 '!$L$12*(J186^2)+'CAFCO 400 '!$L$13*J186+'CAFCO 400 '!$L$14)*U186)+('CAFCO 400 '!$L$15*LN(J186)+'CAFCO 400 '!$L$16)),0)+IF(AND(L186="Cafco 400",M186="Software Idiem",C186="L"),((('CAFCO 400 '!$L$7*(J186^3)+'CAFCO 400 '!$L$8*(J186^2)+'CAFCO 400 '!$L$9*J186+'CAFCO 400 '!$L$10)*U186^2)+(('CAFCO 400 '!$L$11*(J186^3)+'CAFCO 400 '!$L$12*(J186^2)+'CAFCO 400 '!$L$13*J186+'CAFCO 400 '!$L$14)*U186)+('CAFCO 400 '!$L$15*LN(J186)+'CAFCO 400 '!$L$16)),0)+IF(AND(L186="Cafco 400",M186="Software Idiem",C186="IN",G186=3),((('CAFCO 400 '!$D$23*(J186^2)+'CAFCO 400 '!$D$24*(J186)+'CAFCO 400 '!$D$25)*U186^2)+(('CAFCO 400 '!$D$26*(J186^2)+'CAFCO 400 '!$D$27*J186+'CAFCO 400 '!$D$28)*U186)+('CAFCO 400 '!$D$29*(J186^2)+'CAFCO 400 '!$D$30*J186+'CAFCO 400 '!$D$31)),0),0)+IF(AND(L186="Cafco 300",J186&gt;=95,J186&lt;=240,C186="Cj",I186=90),VLOOKUP(T186,'CAFCO 300 IDIEM TABLAS'!$B$4:$D$23,2,FALSE),0)+IF(AND(L186="Cafco 300",J186&gt;=95,J186&lt;=240,C186="Cj",I186=120),VLOOKUP(T186,'CAFCO 300 IDIEM TABLAS'!$B$4:$D$23,3,FALSE),0)+IF(AND(L186="Cafco 300",J186&gt;=95,J186&lt;=400,G186=3,C186="IN",I186=90),VLOOKUP(T186,'CAFCO 300 IDIEM TABLAS'!$F$4:$H$35,2,FALSE),0)+IF(AND(L186="Cafco 300",J186&gt;=95,J186&lt;=400,G186=3,C186="IN",I186=120),VLOOKUP(T186,'CAFCO 300 IDIEM TABLAS'!$F$4:$H$35,3,FALSE),0)+IF(AND(L186="Cafco 300",J186&gt;=95,J186&lt;=450,G186=4,C186="IN",I186=90),VLOOKUP(T186,'CAFCO 300 IDIEM TABLAS'!$J$4:$L$40,2,FALSE),0)+IF(AND(L186="Cafco 300",J186&gt;=95,J186&lt;=450,G186=4,C186="IN",I186=120),VLOOKUP(T186,'CAFCO 300 IDIEM TABLAS'!$J$4:$L$40,3,FALSE),0)+IF(AND(M186="Ensayo Idiem",L186="Cafco 400",C186="IN",G186=4,I186=90),VLOOKUP(T186,'CAFCO 400 ENSAYO'!$B$7:$D$43,2,FALSE),0)+IF(AND(M186="Ensayo Idiem",L186="Cafco 400",C186="IN",G186=4,I186=120),VLOOKUP(T186,'CAFCO 400 ENSAYO'!$B$7:$D$43,3,FALSE),0)</f>
        <v>0</v>
      </c>
      <c r="O186" s="96">
        <f t="shared" si="21"/>
        <v>0</v>
      </c>
      <c r="P186" s="95" t="str">
        <f t="shared" si="22"/>
        <v>N/A</v>
      </c>
      <c r="Q186" s="95" t="str">
        <f t="shared" si="23"/>
        <v>N/A</v>
      </c>
      <c r="R186" s="95" t="str">
        <f t="shared" si="24"/>
        <v>NO CERT.</v>
      </c>
      <c r="S186" s="95" t="e">
        <f t="shared" si="19"/>
        <v>#N/A</v>
      </c>
      <c r="T186" s="119" t="e">
        <f>+IF(J186=LOOKUP(J186,'CAFCO 300 IDIEM TABLAS'!$J$4:$J$40),'CALCULO MORTERO'!J186,MROUND('CALCULO MORTERO'!J186,10))</f>
        <v>#N/A</v>
      </c>
      <c r="U186" s="118">
        <f t="shared" si="20"/>
        <v>0</v>
      </c>
      <c r="Y186" s="4"/>
      <c r="Z186" s="4"/>
      <c r="AA186" s="4"/>
    </row>
    <row r="187" spans="1:27" x14ac:dyDescent="0.25">
      <c r="A187" s="118">
        <f>+CUBICACION!D181</f>
        <v>0</v>
      </c>
      <c r="B187" s="819">
        <f>+CUBICACION!E181</f>
        <v>0</v>
      </c>
      <c r="C187" s="675">
        <f>+CUBICACION!F181</f>
        <v>0</v>
      </c>
      <c r="D187" s="118"/>
      <c r="E187" s="118"/>
      <c r="F187" s="820"/>
      <c r="G187" s="675">
        <f>+CUBICACION!J181</f>
        <v>0</v>
      </c>
      <c r="H187" s="118"/>
      <c r="I187" s="821">
        <f>+CUBICACION!L181</f>
        <v>0</v>
      </c>
      <c r="J187" s="64">
        <f>+CUBICACION!M181</f>
        <v>0</v>
      </c>
      <c r="K187" s="822" t="str">
        <f>+CUBICACION!N181</f>
        <v/>
      </c>
      <c r="L187" s="118">
        <f>+CUBICACION!O181</f>
        <v>0</v>
      </c>
      <c r="M187" s="823">
        <f>+CUBICACION!P181</f>
        <v>0</v>
      </c>
      <c r="N187" s="902">
        <f>ROUND(IF(AND(L187="Blaze Shield II",M187="Software Idiem",C187="IN",G187=4),((('BLAZE SHIELD II'!$D$4*('CALCULO MORTERO'!I187^2)+'BLAZE SHIELD II'!$D$5*'CALCULO MORTERO'!I187+'BLAZE SHIELD II'!$D$6)*LN(J187))+('BLAZE SHIELD II'!$D$7*('CALCULO MORTERO'!I187^2)+'BLAZE SHIELD II'!$D$8*'CALCULO MORTERO'!I187+'BLAZE SHIELD II'!$D$9)),0)+IF(AND(L187="Blaze Shield II",M187="Software Idiem",C187="Cj"),((('BLAZE SHIELD II'!$H$4*('CALCULO MORTERO'!I187^2)+'BLAZE SHIELD II'!$H$5*'CALCULO MORTERO'!I187+'BLAZE SHIELD II'!$H$6)*LN(J187))+('BLAZE SHIELD II'!$H$7*('CALCULO MORTERO'!I187^2)+'BLAZE SHIELD II'!$H$8*'CALCULO MORTERO'!I187+'BLAZE SHIELD II'!$H$9)),0)+IF(AND(L187="Blaze Shield II",M187="Software Idiem",C187="C"),((('BLAZE SHIELD II'!$L$4*('CALCULO MORTERO'!I187^2)+'BLAZE SHIELD II'!$L$5*'CALCULO MORTERO'!I187+'BLAZE SHIELD II'!$L$6)*LN(J187))+('BLAZE SHIELD II'!$L$7*('CALCULO MORTERO'!I187^2)+'BLAZE SHIELD II'!$L$8*'CALCULO MORTERO'!I187+'BLAZE SHIELD II'!$L$9)),0)+IF(AND(L187="Blaze Shield II",M187="Software Idiem",C187="L"),((('BLAZE SHIELD II'!$L$4*('CALCULO MORTERO'!I187^2)+'BLAZE SHIELD II'!$L$5*'CALCULO MORTERO'!I187+'BLAZE SHIELD II'!$L$6)*LN(J187))+('BLAZE SHIELD II'!$L$7*('CALCULO MORTERO'!I187^2)+'BLAZE SHIELD II'!$L$8*'CALCULO MORTERO'!I187+'BLAZE SHIELD II'!$L$9)),0)+IF(AND(L187="Blaze Shield II",M187="Software Idiem",C187="IN",G187=3),((('BLAZE SHIELD II'!$H$14*('CALCULO MORTERO'!I187^2)+'BLAZE SHIELD II'!$H$15*'CALCULO MORTERO'!I187+'BLAZE SHIELD II'!$H$16)*LN(J187))+('BLAZE SHIELD II'!$H$17*('CALCULO MORTERO'!I187^2)+'BLAZE SHIELD II'!$H$18*'CALCULO MORTERO'!I187+'BLAZE SHIELD II'!$H$19)),0),0)+ROUND(IF(AND(L187="Cafco 400",M187="Software Idiem",C187="IN",G187=4),((('CAFCO 400 '!$H$7*(J187^4)+'CAFCO 400 '!$H$8*(J187^3)+'CAFCO 400 '!$H$9*(J187^2)+'CAFCO 400 '!$H$10*J187+'CAFCO 400 '!$H$11)*U187^2)+(('CAFCO 400 '!$H$12*(J187^3)+'CAFCO 400 '!$H$13*(J187^2)+'CAFCO 400 '!$H$14*J187+'CAFCO 400 '!$H$15)*U187)+('CAFCO 400 '!$H$16*(J187^2)+'CAFCO 400 '!$H$17*J187+'CAFCO 400 '!$H$18)),0)+IF(AND(L187="Cafco 400",M187="Software Idiem",C187="Cj"),(((('CAFCO 400 '!$D$7*LN(J187)+'CAFCO 400 '!$D$8)*U187^2)+(('CAFCO 400 '!$D$9*LN(J187)+'CAFCO 400 '!$D$10)*U187)+('CAFCO 400 '!$D$11*LN(J187)+'CAFCO 400 '!$D$12))),0)+IF(AND(L187="Cafco 400",M187="Software Idiem",C187="C"),((('CAFCO 400 '!$L$7*(J187^3)+'CAFCO 400 '!$L$8*(J187^2)+'CAFCO 400 '!$L$9*J187+'CAFCO 400 '!$L$10)*U187^2)+(('CAFCO 400 '!$L$11*(J187^3)+'CAFCO 400 '!$L$12*(J187^2)+'CAFCO 400 '!$L$13*J187+'CAFCO 400 '!$L$14)*U187)+('CAFCO 400 '!$L$15*LN(J187)+'CAFCO 400 '!$L$16)),0)+IF(AND(L187="Cafco 400",M187="Software Idiem",C187="L"),((('CAFCO 400 '!$L$7*(J187^3)+'CAFCO 400 '!$L$8*(J187^2)+'CAFCO 400 '!$L$9*J187+'CAFCO 400 '!$L$10)*U187^2)+(('CAFCO 400 '!$L$11*(J187^3)+'CAFCO 400 '!$L$12*(J187^2)+'CAFCO 400 '!$L$13*J187+'CAFCO 400 '!$L$14)*U187)+('CAFCO 400 '!$L$15*LN(J187)+'CAFCO 400 '!$L$16)),0)+IF(AND(L187="Cafco 400",M187="Software Idiem",C187="IN",G187=3),((('CAFCO 400 '!$D$23*(J187^2)+'CAFCO 400 '!$D$24*(J187)+'CAFCO 400 '!$D$25)*U187^2)+(('CAFCO 400 '!$D$26*(J187^2)+'CAFCO 400 '!$D$27*J187+'CAFCO 400 '!$D$28)*U187)+('CAFCO 400 '!$D$29*(J187^2)+'CAFCO 400 '!$D$30*J187+'CAFCO 400 '!$D$31)),0),0)+IF(AND(L187="Cafco 300",J187&gt;=95,J187&lt;=240,C187="Cj",I187=90),VLOOKUP(T187,'CAFCO 300 IDIEM TABLAS'!$B$4:$D$23,2,FALSE),0)+IF(AND(L187="Cafco 300",J187&gt;=95,J187&lt;=240,C187="Cj",I187=120),VLOOKUP(T187,'CAFCO 300 IDIEM TABLAS'!$B$4:$D$23,3,FALSE),0)+IF(AND(L187="Cafco 300",J187&gt;=95,J187&lt;=400,G187=3,C187="IN",I187=90),VLOOKUP(T187,'CAFCO 300 IDIEM TABLAS'!$F$4:$H$35,2,FALSE),0)+IF(AND(L187="Cafco 300",J187&gt;=95,J187&lt;=400,G187=3,C187="IN",I187=120),VLOOKUP(T187,'CAFCO 300 IDIEM TABLAS'!$F$4:$H$35,3,FALSE),0)+IF(AND(L187="Cafco 300",J187&gt;=95,J187&lt;=450,G187=4,C187="IN",I187=90),VLOOKUP(T187,'CAFCO 300 IDIEM TABLAS'!$J$4:$L$40,2,FALSE),0)+IF(AND(L187="Cafco 300",J187&gt;=95,J187&lt;=450,G187=4,C187="IN",I187=120),VLOOKUP(T187,'CAFCO 300 IDIEM TABLAS'!$J$4:$L$40,3,FALSE),0)+IF(AND(M187="Ensayo Idiem",L187="Cafco 400",C187="IN",G187=4,I187=90),VLOOKUP(T187,'CAFCO 400 ENSAYO'!$B$7:$D$43,2,FALSE),0)+IF(AND(M187="Ensayo Idiem",L187="Cafco 400",C187="IN",G187=4,I187=120),VLOOKUP(T187,'CAFCO 400 ENSAYO'!$B$7:$D$43,3,FALSE),0)</f>
        <v>0</v>
      </c>
      <c r="O187" s="96">
        <f t="shared" si="21"/>
        <v>0</v>
      </c>
      <c r="P187" s="95" t="str">
        <f t="shared" si="22"/>
        <v>N/A</v>
      </c>
      <c r="Q187" s="95" t="str">
        <f t="shared" si="23"/>
        <v>N/A</v>
      </c>
      <c r="R187" s="95" t="str">
        <f t="shared" si="24"/>
        <v>NO CERT.</v>
      </c>
      <c r="S187" s="95" t="e">
        <f t="shared" si="19"/>
        <v>#N/A</v>
      </c>
      <c r="T187" s="119" t="e">
        <f>+IF(J187=LOOKUP(J187,'CAFCO 300 IDIEM TABLAS'!$J$4:$J$40),'CALCULO MORTERO'!J187,MROUND('CALCULO MORTERO'!J187,10))</f>
        <v>#N/A</v>
      </c>
      <c r="U187" s="118">
        <f t="shared" si="20"/>
        <v>0</v>
      </c>
      <c r="Y187" s="4"/>
      <c r="Z187" s="4"/>
      <c r="AA187" s="4"/>
    </row>
    <row r="188" spans="1:27" ht="15.6" customHeight="1" x14ac:dyDescent="0.25">
      <c r="A188" s="118">
        <f>+CUBICACION!D182</f>
        <v>0</v>
      </c>
      <c r="B188" s="819">
        <f>+CUBICACION!E182</f>
        <v>0</v>
      </c>
      <c r="C188" s="675">
        <f>+CUBICACION!F182</f>
        <v>0</v>
      </c>
      <c r="D188" s="118"/>
      <c r="E188" s="118"/>
      <c r="F188" s="820"/>
      <c r="G188" s="675">
        <f>+CUBICACION!J182</f>
        <v>0</v>
      </c>
      <c r="H188" s="118"/>
      <c r="I188" s="821">
        <f>+CUBICACION!L182</f>
        <v>0</v>
      </c>
      <c r="J188" s="64">
        <f>+CUBICACION!M182</f>
        <v>0</v>
      </c>
      <c r="K188" s="822" t="str">
        <f>+CUBICACION!N182</f>
        <v/>
      </c>
      <c r="L188" s="118">
        <f>+CUBICACION!O182</f>
        <v>0</v>
      </c>
      <c r="M188" s="823">
        <f>+CUBICACION!P182</f>
        <v>0</v>
      </c>
      <c r="N188" s="902">
        <f>ROUND(IF(AND(L188="Blaze Shield II",M188="Software Idiem",C188="IN",G188=4),((('BLAZE SHIELD II'!$D$4*('CALCULO MORTERO'!I188^2)+'BLAZE SHIELD II'!$D$5*'CALCULO MORTERO'!I188+'BLAZE SHIELD II'!$D$6)*LN(J188))+('BLAZE SHIELD II'!$D$7*('CALCULO MORTERO'!I188^2)+'BLAZE SHIELD II'!$D$8*'CALCULO MORTERO'!I188+'BLAZE SHIELD II'!$D$9)),0)+IF(AND(L188="Blaze Shield II",M188="Software Idiem",C188="Cj"),((('BLAZE SHIELD II'!$H$4*('CALCULO MORTERO'!I188^2)+'BLAZE SHIELD II'!$H$5*'CALCULO MORTERO'!I188+'BLAZE SHIELD II'!$H$6)*LN(J188))+('BLAZE SHIELD II'!$H$7*('CALCULO MORTERO'!I188^2)+'BLAZE SHIELD II'!$H$8*'CALCULO MORTERO'!I188+'BLAZE SHIELD II'!$H$9)),0)+IF(AND(L188="Blaze Shield II",M188="Software Idiem",C188="C"),((('BLAZE SHIELD II'!$L$4*('CALCULO MORTERO'!I188^2)+'BLAZE SHIELD II'!$L$5*'CALCULO MORTERO'!I188+'BLAZE SHIELD II'!$L$6)*LN(J188))+('BLAZE SHIELD II'!$L$7*('CALCULO MORTERO'!I188^2)+'BLAZE SHIELD II'!$L$8*'CALCULO MORTERO'!I188+'BLAZE SHIELD II'!$L$9)),0)+IF(AND(L188="Blaze Shield II",M188="Software Idiem",C188="L"),((('BLAZE SHIELD II'!$L$4*('CALCULO MORTERO'!I188^2)+'BLAZE SHIELD II'!$L$5*'CALCULO MORTERO'!I188+'BLAZE SHIELD II'!$L$6)*LN(J188))+('BLAZE SHIELD II'!$L$7*('CALCULO MORTERO'!I188^2)+'BLAZE SHIELD II'!$L$8*'CALCULO MORTERO'!I188+'BLAZE SHIELD II'!$L$9)),0)+IF(AND(L188="Blaze Shield II",M188="Software Idiem",C188="IN",G188=3),((('BLAZE SHIELD II'!$H$14*('CALCULO MORTERO'!I188^2)+'BLAZE SHIELD II'!$H$15*'CALCULO MORTERO'!I188+'BLAZE SHIELD II'!$H$16)*LN(J188))+('BLAZE SHIELD II'!$H$17*('CALCULO MORTERO'!I188^2)+'BLAZE SHIELD II'!$H$18*'CALCULO MORTERO'!I188+'BLAZE SHIELD II'!$H$19)),0),0)+ROUND(IF(AND(L188="Cafco 400",M188="Software Idiem",C188="IN",G188=4),((('CAFCO 400 '!$H$7*(J188^4)+'CAFCO 400 '!$H$8*(J188^3)+'CAFCO 400 '!$H$9*(J188^2)+'CAFCO 400 '!$H$10*J188+'CAFCO 400 '!$H$11)*U188^2)+(('CAFCO 400 '!$H$12*(J188^3)+'CAFCO 400 '!$H$13*(J188^2)+'CAFCO 400 '!$H$14*J188+'CAFCO 400 '!$H$15)*U188)+('CAFCO 400 '!$H$16*(J188^2)+'CAFCO 400 '!$H$17*J188+'CAFCO 400 '!$H$18)),0)+IF(AND(L188="Cafco 400",M188="Software Idiem",C188="Cj"),(((('CAFCO 400 '!$D$7*LN(J188)+'CAFCO 400 '!$D$8)*U188^2)+(('CAFCO 400 '!$D$9*LN(J188)+'CAFCO 400 '!$D$10)*U188)+('CAFCO 400 '!$D$11*LN(J188)+'CAFCO 400 '!$D$12))),0)+IF(AND(L188="Cafco 400",M188="Software Idiem",C188="C"),((('CAFCO 400 '!$L$7*(J188^3)+'CAFCO 400 '!$L$8*(J188^2)+'CAFCO 400 '!$L$9*J188+'CAFCO 400 '!$L$10)*U188^2)+(('CAFCO 400 '!$L$11*(J188^3)+'CAFCO 400 '!$L$12*(J188^2)+'CAFCO 400 '!$L$13*J188+'CAFCO 400 '!$L$14)*U188)+('CAFCO 400 '!$L$15*LN(J188)+'CAFCO 400 '!$L$16)),0)+IF(AND(L188="Cafco 400",M188="Software Idiem",C188="L"),((('CAFCO 400 '!$L$7*(J188^3)+'CAFCO 400 '!$L$8*(J188^2)+'CAFCO 400 '!$L$9*J188+'CAFCO 400 '!$L$10)*U188^2)+(('CAFCO 400 '!$L$11*(J188^3)+'CAFCO 400 '!$L$12*(J188^2)+'CAFCO 400 '!$L$13*J188+'CAFCO 400 '!$L$14)*U188)+('CAFCO 400 '!$L$15*LN(J188)+'CAFCO 400 '!$L$16)),0)+IF(AND(L188="Cafco 400",M188="Software Idiem",C188="IN",G188=3),((('CAFCO 400 '!$D$23*(J188^2)+'CAFCO 400 '!$D$24*(J188)+'CAFCO 400 '!$D$25)*U188^2)+(('CAFCO 400 '!$D$26*(J188^2)+'CAFCO 400 '!$D$27*J188+'CAFCO 400 '!$D$28)*U188)+('CAFCO 400 '!$D$29*(J188^2)+'CAFCO 400 '!$D$30*J188+'CAFCO 400 '!$D$31)),0),0)+IF(AND(L188="Cafco 300",J188&gt;=95,J188&lt;=240,C188="Cj",I188=90),VLOOKUP(T188,'CAFCO 300 IDIEM TABLAS'!$B$4:$D$23,2,FALSE),0)+IF(AND(L188="Cafco 300",J188&gt;=95,J188&lt;=240,C188="Cj",I188=120),VLOOKUP(T188,'CAFCO 300 IDIEM TABLAS'!$B$4:$D$23,3,FALSE),0)+IF(AND(L188="Cafco 300",J188&gt;=95,J188&lt;=400,G188=3,C188="IN",I188=90),VLOOKUP(T188,'CAFCO 300 IDIEM TABLAS'!$F$4:$H$35,2,FALSE),0)+IF(AND(L188="Cafco 300",J188&gt;=95,J188&lt;=400,G188=3,C188="IN",I188=120),VLOOKUP(T188,'CAFCO 300 IDIEM TABLAS'!$F$4:$H$35,3,FALSE),0)+IF(AND(L188="Cafco 300",J188&gt;=95,J188&lt;=450,G188=4,C188="IN",I188=90),VLOOKUP(T188,'CAFCO 300 IDIEM TABLAS'!$J$4:$L$40,2,FALSE),0)+IF(AND(L188="Cafco 300",J188&gt;=95,J188&lt;=450,G188=4,C188="IN",I188=120),VLOOKUP(T188,'CAFCO 300 IDIEM TABLAS'!$J$4:$L$40,3,FALSE),0)+IF(AND(M188="Ensayo Idiem",L188="Cafco 400",C188="IN",G188=4,I188=90),VLOOKUP(T188,'CAFCO 400 ENSAYO'!$B$7:$D$43,2,FALSE),0)+IF(AND(M188="Ensayo Idiem",L188="Cafco 400",C188="IN",G188=4,I188=120),VLOOKUP(T188,'CAFCO 400 ENSAYO'!$B$7:$D$43,3,FALSE),0)</f>
        <v>0</v>
      </c>
      <c r="O188" s="96">
        <f t="shared" si="21"/>
        <v>0</v>
      </c>
      <c r="P188" s="95" t="str">
        <f t="shared" si="22"/>
        <v>N/A</v>
      </c>
      <c r="Q188" s="95" t="str">
        <f t="shared" si="23"/>
        <v>N/A</v>
      </c>
      <c r="R188" s="95" t="str">
        <f t="shared" si="24"/>
        <v>NO CERT.</v>
      </c>
      <c r="S188" s="95" t="e">
        <f t="shared" si="19"/>
        <v>#N/A</v>
      </c>
      <c r="T188" s="119" t="e">
        <f>+IF(J188=LOOKUP(J188,'CAFCO 300 IDIEM TABLAS'!$J$4:$J$40),'CALCULO MORTERO'!J188,MROUND('CALCULO MORTERO'!J188,10))</f>
        <v>#N/A</v>
      </c>
      <c r="U188" s="118">
        <f t="shared" si="20"/>
        <v>0</v>
      </c>
      <c r="Y188" s="4"/>
      <c r="Z188" s="4"/>
      <c r="AA188" s="4"/>
    </row>
    <row r="189" spans="1:27" x14ac:dyDescent="0.25">
      <c r="A189" s="118">
        <f>+CUBICACION!D183</f>
        <v>0</v>
      </c>
      <c r="B189" s="819">
        <f>+CUBICACION!E183</f>
        <v>0</v>
      </c>
      <c r="C189" s="675">
        <f>+CUBICACION!F183</f>
        <v>0</v>
      </c>
      <c r="D189" s="118"/>
      <c r="E189" s="118"/>
      <c r="F189" s="820"/>
      <c r="G189" s="675">
        <f>+CUBICACION!J183</f>
        <v>0</v>
      </c>
      <c r="H189" s="118"/>
      <c r="I189" s="821">
        <f>+CUBICACION!L183</f>
        <v>0</v>
      </c>
      <c r="J189" s="64">
        <f>+CUBICACION!M183</f>
        <v>0</v>
      </c>
      <c r="K189" s="822" t="str">
        <f>+CUBICACION!N183</f>
        <v/>
      </c>
      <c r="L189" s="118">
        <f>+CUBICACION!O183</f>
        <v>0</v>
      </c>
      <c r="M189" s="823">
        <f>+CUBICACION!P183</f>
        <v>0</v>
      </c>
      <c r="N189" s="902">
        <f>ROUND(IF(AND(L189="Blaze Shield II",M189="Software Idiem",C189="IN",G189=4),((('BLAZE SHIELD II'!$D$4*('CALCULO MORTERO'!I189^2)+'BLAZE SHIELD II'!$D$5*'CALCULO MORTERO'!I189+'BLAZE SHIELD II'!$D$6)*LN(J189))+('BLAZE SHIELD II'!$D$7*('CALCULO MORTERO'!I189^2)+'BLAZE SHIELD II'!$D$8*'CALCULO MORTERO'!I189+'BLAZE SHIELD II'!$D$9)),0)+IF(AND(L189="Blaze Shield II",M189="Software Idiem",C189="Cj"),((('BLAZE SHIELD II'!$H$4*('CALCULO MORTERO'!I189^2)+'BLAZE SHIELD II'!$H$5*'CALCULO MORTERO'!I189+'BLAZE SHIELD II'!$H$6)*LN(J189))+('BLAZE SHIELD II'!$H$7*('CALCULO MORTERO'!I189^2)+'BLAZE SHIELD II'!$H$8*'CALCULO MORTERO'!I189+'BLAZE SHIELD II'!$H$9)),0)+IF(AND(L189="Blaze Shield II",M189="Software Idiem",C189="C"),((('BLAZE SHIELD II'!$L$4*('CALCULO MORTERO'!I189^2)+'BLAZE SHIELD II'!$L$5*'CALCULO MORTERO'!I189+'BLAZE SHIELD II'!$L$6)*LN(J189))+('BLAZE SHIELD II'!$L$7*('CALCULO MORTERO'!I189^2)+'BLAZE SHIELD II'!$L$8*'CALCULO MORTERO'!I189+'BLAZE SHIELD II'!$L$9)),0)+IF(AND(L189="Blaze Shield II",M189="Software Idiem",C189="L"),((('BLAZE SHIELD II'!$L$4*('CALCULO MORTERO'!I189^2)+'BLAZE SHIELD II'!$L$5*'CALCULO MORTERO'!I189+'BLAZE SHIELD II'!$L$6)*LN(J189))+('BLAZE SHIELD II'!$L$7*('CALCULO MORTERO'!I189^2)+'BLAZE SHIELD II'!$L$8*'CALCULO MORTERO'!I189+'BLAZE SHIELD II'!$L$9)),0)+IF(AND(L189="Blaze Shield II",M189="Software Idiem",C189="IN",G189=3),((('BLAZE SHIELD II'!$H$14*('CALCULO MORTERO'!I189^2)+'BLAZE SHIELD II'!$H$15*'CALCULO MORTERO'!I189+'BLAZE SHIELD II'!$H$16)*LN(J189))+('BLAZE SHIELD II'!$H$17*('CALCULO MORTERO'!I189^2)+'BLAZE SHIELD II'!$H$18*'CALCULO MORTERO'!I189+'BLAZE SHIELD II'!$H$19)),0),0)+ROUND(IF(AND(L189="Cafco 400",M189="Software Idiem",C189="IN",G189=4),((('CAFCO 400 '!$H$7*(J189^4)+'CAFCO 400 '!$H$8*(J189^3)+'CAFCO 400 '!$H$9*(J189^2)+'CAFCO 400 '!$H$10*J189+'CAFCO 400 '!$H$11)*U189^2)+(('CAFCO 400 '!$H$12*(J189^3)+'CAFCO 400 '!$H$13*(J189^2)+'CAFCO 400 '!$H$14*J189+'CAFCO 400 '!$H$15)*U189)+('CAFCO 400 '!$H$16*(J189^2)+'CAFCO 400 '!$H$17*J189+'CAFCO 400 '!$H$18)),0)+IF(AND(L189="Cafco 400",M189="Software Idiem",C189="Cj"),(((('CAFCO 400 '!$D$7*LN(J189)+'CAFCO 400 '!$D$8)*U189^2)+(('CAFCO 400 '!$D$9*LN(J189)+'CAFCO 400 '!$D$10)*U189)+('CAFCO 400 '!$D$11*LN(J189)+'CAFCO 400 '!$D$12))),0)+IF(AND(L189="Cafco 400",M189="Software Idiem",C189="C"),((('CAFCO 400 '!$L$7*(J189^3)+'CAFCO 400 '!$L$8*(J189^2)+'CAFCO 400 '!$L$9*J189+'CAFCO 400 '!$L$10)*U189^2)+(('CAFCO 400 '!$L$11*(J189^3)+'CAFCO 400 '!$L$12*(J189^2)+'CAFCO 400 '!$L$13*J189+'CAFCO 400 '!$L$14)*U189)+('CAFCO 400 '!$L$15*LN(J189)+'CAFCO 400 '!$L$16)),0)+IF(AND(L189="Cafco 400",M189="Software Idiem",C189="L"),((('CAFCO 400 '!$L$7*(J189^3)+'CAFCO 400 '!$L$8*(J189^2)+'CAFCO 400 '!$L$9*J189+'CAFCO 400 '!$L$10)*U189^2)+(('CAFCO 400 '!$L$11*(J189^3)+'CAFCO 400 '!$L$12*(J189^2)+'CAFCO 400 '!$L$13*J189+'CAFCO 400 '!$L$14)*U189)+('CAFCO 400 '!$L$15*LN(J189)+'CAFCO 400 '!$L$16)),0)+IF(AND(L189="Cafco 400",M189="Software Idiem",C189="IN",G189=3),((('CAFCO 400 '!$D$23*(J189^2)+'CAFCO 400 '!$D$24*(J189)+'CAFCO 400 '!$D$25)*U189^2)+(('CAFCO 400 '!$D$26*(J189^2)+'CAFCO 400 '!$D$27*J189+'CAFCO 400 '!$D$28)*U189)+('CAFCO 400 '!$D$29*(J189^2)+'CAFCO 400 '!$D$30*J189+'CAFCO 400 '!$D$31)),0),0)+IF(AND(L189="Cafco 300",J189&gt;=95,J189&lt;=240,C189="Cj",I189=90),VLOOKUP(T189,'CAFCO 300 IDIEM TABLAS'!$B$4:$D$23,2,FALSE),0)+IF(AND(L189="Cafco 300",J189&gt;=95,J189&lt;=240,C189="Cj",I189=120),VLOOKUP(T189,'CAFCO 300 IDIEM TABLAS'!$B$4:$D$23,3,FALSE),0)+IF(AND(L189="Cafco 300",J189&gt;=95,J189&lt;=400,G189=3,C189="IN",I189=90),VLOOKUP(T189,'CAFCO 300 IDIEM TABLAS'!$F$4:$H$35,2,FALSE),0)+IF(AND(L189="Cafco 300",J189&gt;=95,J189&lt;=400,G189=3,C189="IN",I189=120),VLOOKUP(T189,'CAFCO 300 IDIEM TABLAS'!$F$4:$H$35,3,FALSE),0)+IF(AND(L189="Cafco 300",J189&gt;=95,J189&lt;=450,G189=4,C189="IN",I189=90),VLOOKUP(T189,'CAFCO 300 IDIEM TABLAS'!$J$4:$L$40,2,FALSE),0)+IF(AND(L189="Cafco 300",J189&gt;=95,J189&lt;=450,G189=4,C189="IN",I189=120),VLOOKUP(T189,'CAFCO 300 IDIEM TABLAS'!$J$4:$L$40,3,FALSE),0)+IF(AND(M189="Ensayo Idiem",L189="Cafco 400",C189="IN",G189=4,I189=90),VLOOKUP(T189,'CAFCO 400 ENSAYO'!$B$7:$D$43,2,FALSE),0)+IF(AND(M189="Ensayo Idiem",L189="Cafco 400",C189="IN",G189=4,I189=120),VLOOKUP(T189,'CAFCO 400 ENSAYO'!$B$7:$D$43,3,FALSE),0)</f>
        <v>0</v>
      </c>
      <c r="O189" s="96">
        <f t="shared" si="21"/>
        <v>0</v>
      </c>
      <c r="P189" s="95" t="str">
        <f t="shared" si="22"/>
        <v>N/A</v>
      </c>
      <c r="Q189" s="95" t="str">
        <f t="shared" si="23"/>
        <v>N/A</v>
      </c>
      <c r="R189" s="95" t="str">
        <f t="shared" si="24"/>
        <v>NO CERT.</v>
      </c>
      <c r="S189" s="95" t="e">
        <f t="shared" si="19"/>
        <v>#N/A</v>
      </c>
      <c r="T189" s="119" t="e">
        <f>+IF(J189=LOOKUP(J189,'CAFCO 300 IDIEM TABLAS'!$J$4:$J$40),'CALCULO MORTERO'!J189,MROUND('CALCULO MORTERO'!J189,10))</f>
        <v>#N/A</v>
      </c>
      <c r="U189" s="118">
        <f t="shared" si="20"/>
        <v>0</v>
      </c>
      <c r="Y189" s="4"/>
      <c r="Z189" s="4"/>
      <c r="AA189" s="4"/>
    </row>
    <row r="190" spans="1:27" ht="15.6" customHeight="1" x14ac:dyDescent="0.25">
      <c r="A190" s="118">
        <f>+CUBICACION!D184</f>
        <v>0</v>
      </c>
      <c r="B190" s="819">
        <f>+CUBICACION!E184</f>
        <v>0</v>
      </c>
      <c r="C190" s="675">
        <f>+CUBICACION!F184</f>
        <v>0</v>
      </c>
      <c r="D190" s="118"/>
      <c r="E190" s="118"/>
      <c r="F190" s="820"/>
      <c r="G190" s="675">
        <f>+CUBICACION!J184</f>
        <v>0</v>
      </c>
      <c r="H190" s="118"/>
      <c r="I190" s="821">
        <f>+CUBICACION!L184</f>
        <v>0</v>
      </c>
      <c r="J190" s="64">
        <f>+CUBICACION!M184</f>
        <v>0</v>
      </c>
      <c r="K190" s="822" t="str">
        <f>+CUBICACION!N184</f>
        <v/>
      </c>
      <c r="L190" s="118">
        <f>+CUBICACION!O184</f>
        <v>0</v>
      </c>
      <c r="M190" s="823">
        <f>+CUBICACION!P184</f>
        <v>0</v>
      </c>
      <c r="N190" s="902">
        <f>ROUND(IF(AND(L190="Blaze Shield II",M190="Software Idiem",C190="IN",G190=4),((('BLAZE SHIELD II'!$D$4*('CALCULO MORTERO'!I190^2)+'BLAZE SHIELD II'!$D$5*'CALCULO MORTERO'!I190+'BLAZE SHIELD II'!$D$6)*LN(J190))+('BLAZE SHIELD II'!$D$7*('CALCULO MORTERO'!I190^2)+'BLAZE SHIELD II'!$D$8*'CALCULO MORTERO'!I190+'BLAZE SHIELD II'!$D$9)),0)+IF(AND(L190="Blaze Shield II",M190="Software Idiem",C190="Cj"),((('BLAZE SHIELD II'!$H$4*('CALCULO MORTERO'!I190^2)+'BLAZE SHIELD II'!$H$5*'CALCULO MORTERO'!I190+'BLAZE SHIELD II'!$H$6)*LN(J190))+('BLAZE SHIELD II'!$H$7*('CALCULO MORTERO'!I190^2)+'BLAZE SHIELD II'!$H$8*'CALCULO MORTERO'!I190+'BLAZE SHIELD II'!$H$9)),0)+IF(AND(L190="Blaze Shield II",M190="Software Idiem",C190="C"),((('BLAZE SHIELD II'!$L$4*('CALCULO MORTERO'!I190^2)+'BLAZE SHIELD II'!$L$5*'CALCULO MORTERO'!I190+'BLAZE SHIELD II'!$L$6)*LN(J190))+('BLAZE SHIELD II'!$L$7*('CALCULO MORTERO'!I190^2)+'BLAZE SHIELD II'!$L$8*'CALCULO MORTERO'!I190+'BLAZE SHIELD II'!$L$9)),0)+IF(AND(L190="Blaze Shield II",M190="Software Idiem",C190="L"),((('BLAZE SHIELD II'!$L$4*('CALCULO MORTERO'!I190^2)+'BLAZE SHIELD II'!$L$5*'CALCULO MORTERO'!I190+'BLAZE SHIELD II'!$L$6)*LN(J190))+('BLAZE SHIELD II'!$L$7*('CALCULO MORTERO'!I190^2)+'BLAZE SHIELD II'!$L$8*'CALCULO MORTERO'!I190+'BLAZE SHIELD II'!$L$9)),0)+IF(AND(L190="Blaze Shield II",M190="Software Idiem",C190="IN",G190=3),((('BLAZE SHIELD II'!$H$14*('CALCULO MORTERO'!I190^2)+'BLAZE SHIELD II'!$H$15*'CALCULO MORTERO'!I190+'BLAZE SHIELD II'!$H$16)*LN(J190))+('BLAZE SHIELD II'!$H$17*('CALCULO MORTERO'!I190^2)+'BLAZE SHIELD II'!$H$18*'CALCULO MORTERO'!I190+'BLAZE SHIELD II'!$H$19)),0),0)+ROUND(IF(AND(L190="Cafco 400",M190="Software Idiem",C190="IN",G190=4),((('CAFCO 400 '!$H$7*(J190^4)+'CAFCO 400 '!$H$8*(J190^3)+'CAFCO 400 '!$H$9*(J190^2)+'CAFCO 400 '!$H$10*J190+'CAFCO 400 '!$H$11)*U190^2)+(('CAFCO 400 '!$H$12*(J190^3)+'CAFCO 400 '!$H$13*(J190^2)+'CAFCO 400 '!$H$14*J190+'CAFCO 400 '!$H$15)*U190)+('CAFCO 400 '!$H$16*(J190^2)+'CAFCO 400 '!$H$17*J190+'CAFCO 400 '!$H$18)),0)+IF(AND(L190="Cafco 400",M190="Software Idiem",C190="Cj"),(((('CAFCO 400 '!$D$7*LN(J190)+'CAFCO 400 '!$D$8)*U190^2)+(('CAFCO 400 '!$D$9*LN(J190)+'CAFCO 400 '!$D$10)*U190)+('CAFCO 400 '!$D$11*LN(J190)+'CAFCO 400 '!$D$12))),0)+IF(AND(L190="Cafco 400",M190="Software Idiem",C190="C"),((('CAFCO 400 '!$L$7*(J190^3)+'CAFCO 400 '!$L$8*(J190^2)+'CAFCO 400 '!$L$9*J190+'CAFCO 400 '!$L$10)*U190^2)+(('CAFCO 400 '!$L$11*(J190^3)+'CAFCO 400 '!$L$12*(J190^2)+'CAFCO 400 '!$L$13*J190+'CAFCO 400 '!$L$14)*U190)+('CAFCO 400 '!$L$15*LN(J190)+'CAFCO 400 '!$L$16)),0)+IF(AND(L190="Cafco 400",M190="Software Idiem",C190="L"),((('CAFCO 400 '!$L$7*(J190^3)+'CAFCO 400 '!$L$8*(J190^2)+'CAFCO 400 '!$L$9*J190+'CAFCO 400 '!$L$10)*U190^2)+(('CAFCO 400 '!$L$11*(J190^3)+'CAFCO 400 '!$L$12*(J190^2)+'CAFCO 400 '!$L$13*J190+'CAFCO 400 '!$L$14)*U190)+('CAFCO 400 '!$L$15*LN(J190)+'CAFCO 400 '!$L$16)),0)+IF(AND(L190="Cafco 400",M190="Software Idiem",C190="IN",G190=3),((('CAFCO 400 '!$D$23*(J190^2)+'CAFCO 400 '!$D$24*(J190)+'CAFCO 400 '!$D$25)*U190^2)+(('CAFCO 400 '!$D$26*(J190^2)+'CAFCO 400 '!$D$27*J190+'CAFCO 400 '!$D$28)*U190)+('CAFCO 400 '!$D$29*(J190^2)+'CAFCO 400 '!$D$30*J190+'CAFCO 400 '!$D$31)),0),0)+IF(AND(L190="Cafco 300",J190&gt;=95,J190&lt;=240,C190="Cj",I190=90),VLOOKUP(T190,'CAFCO 300 IDIEM TABLAS'!$B$4:$D$23,2,FALSE),0)+IF(AND(L190="Cafco 300",J190&gt;=95,J190&lt;=240,C190="Cj",I190=120),VLOOKUP(T190,'CAFCO 300 IDIEM TABLAS'!$B$4:$D$23,3,FALSE),0)+IF(AND(L190="Cafco 300",J190&gt;=95,J190&lt;=400,G190=3,C190="IN",I190=90),VLOOKUP(T190,'CAFCO 300 IDIEM TABLAS'!$F$4:$H$35,2,FALSE),0)+IF(AND(L190="Cafco 300",J190&gt;=95,J190&lt;=400,G190=3,C190="IN",I190=120),VLOOKUP(T190,'CAFCO 300 IDIEM TABLAS'!$F$4:$H$35,3,FALSE),0)+IF(AND(L190="Cafco 300",J190&gt;=95,J190&lt;=450,G190=4,C190="IN",I190=90),VLOOKUP(T190,'CAFCO 300 IDIEM TABLAS'!$J$4:$L$40,2,FALSE),0)+IF(AND(L190="Cafco 300",J190&gt;=95,J190&lt;=450,G190=4,C190="IN",I190=120),VLOOKUP(T190,'CAFCO 300 IDIEM TABLAS'!$J$4:$L$40,3,FALSE),0)+IF(AND(M190="Ensayo Idiem",L190="Cafco 400",C190="IN",G190=4,I190=90),VLOOKUP(T190,'CAFCO 400 ENSAYO'!$B$7:$D$43,2,FALSE),0)+IF(AND(M190="Ensayo Idiem",L190="Cafco 400",C190="IN",G190=4,I190=120),VLOOKUP(T190,'CAFCO 400 ENSAYO'!$B$7:$D$43,3,FALSE),0)</f>
        <v>0</v>
      </c>
      <c r="O190" s="96">
        <f t="shared" si="21"/>
        <v>0</v>
      </c>
      <c r="P190" s="95" t="str">
        <f t="shared" si="22"/>
        <v>N/A</v>
      </c>
      <c r="Q190" s="95" t="str">
        <f t="shared" si="23"/>
        <v>N/A</v>
      </c>
      <c r="R190" s="95" t="str">
        <f t="shared" si="24"/>
        <v>NO CERT.</v>
      </c>
      <c r="S190" s="95" t="e">
        <f t="shared" si="19"/>
        <v>#N/A</v>
      </c>
      <c r="T190" s="119" t="e">
        <f>+IF(J190=LOOKUP(J190,'CAFCO 300 IDIEM TABLAS'!$J$4:$J$40),'CALCULO MORTERO'!J190,MROUND('CALCULO MORTERO'!J190,10))</f>
        <v>#N/A</v>
      </c>
      <c r="U190" s="118">
        <f t="shared" si="20"/>
        <v>0</v>
      </c>
      <c r="Y190" s="4"/>
      <c r="Z190" s="4"/>
      <c r="AA190" s="4"/>
    </row>
    <row r="191" spans="1:27" x14ac:dyDescent="0.25">
      <c r="A191" s="118">
        <f>+CUBICACION!D185</f>
        <v>0</v>
      </c>
      <c r="B191" s="819">
        <f>+CUBICACION!E185</f>
        <v>0</v>
      </c>
      <c r="C191" s="675">
        <f>+CUBICACION!F185</f>
        <v>0</v>
      </c>
      <c r="D191" s="118"/>
      <c r="E191" s="118"/>
      <c r="F191" s="820"/>
      <c r="G191" s="675">
        <f>+CUBICACION!J185</f>
        <v>0</v>
      </c>
      <c r="H191" s="118"/>
      <c r="I191" s="821">
        <f>+CUBICACION!L185</f>
        <v>0</v>
      </c>
      <c r="J191" s="64">
        <f>+CUBICACION!M185</f>
        <v>0</v>
      </c>
      <c r="K191" s="822" t="str">
        <f>+CUBICACION!N185</f>
        <v/>
      </c>
      <c r="L191" s="118">
        <f>+CUBICACION!O185</f>
        <v>0</v>
      </c>
      <c r="M191" s="823">
        <f>+CUBICACION!P185</f>
        <v>0</v>
      </c>
      <c r="N191" s="902">
        <f>ROUND(IF(AND(L191="Blaze Shield II",M191="Software Idiem",C191="IN",G191=4),((('BLAZE SHIELD II'!$D$4*('CALCULO MORTERO'!I191^2)+'BLAZE SHIELD II'!$D$5*'CALCULO MORTERO'!I191+'BLAZE SHIELD II'!$D$6)*LN(J191))+('BLAZE SHIELD II'!$D$7*('CALCULO MORTERO'!I191^2)+'BLAZE SHIELD II'!$D$8*'CALCULO MORTERO'!I191+'BLAZE SHIELD II'!$D$9)),0)+IF(AND(L191="Blaze Shield II",M191="Software Idiem",C191="Cj"),((('BLAZE SHIELD II'!$H$4*('CALCULO MORTERO'!I191^2)+'BLAZE SHIELD II'!$H$5*'CALCULO MORTERO'!I191+'BLAZE SHIELD II'!$H$6)*LN(J191))+('BLAZE SHIELD II'!$H$7*('CALCULO MORTERO'!I191^2)+'BLAZE SHIELD II'!$H$8*'CALCULO MORTERO'!I191+'BLAZE SHIELD II'!$H$9)),0)+IF(AND(L191="Blaze Shield II",M191="Software Idiem",C191="C"),((('BLAZE SHIELD II'!$L$4*('CALCULO MORTERO'!I191^2)+'BLAZE SHIELD II'!$L$5*'CALCULO MORTERO'!I191+'BLAZE SHIELD II'!$L$6)*LN(J191))+('BLAZE SHIELD II'!$L$7*('CALCULO MORTERO'!I191^2)+'BLAZE SHIELD II'!$L$8*'CALCULO MORTERO'!I191+'BLAZE SHIELD II'!$L$9)),0)+IF(AND(L191="Blaze Shield II",M191="Software Idiem",C191="L"),((('BLAZE SHIELD II'!$L$4*('CALCULO MORTERO'!I191^2)+'BLAZE SHIELD II'!$L$5*'CALCULO MORTERO'!I191+'BLAZE SHIELD II'!$L$6)*LN(J191))+('BLAZE SHIELD II'!$L$7*('CALCULO MORTERO'!I191^2)+'BLAZE SHIELD II'!$L$8*'CALCULO MORTERO'!I191+'BLAZE SHIELD II'!$L$9)),0)+IF(AND(L191="Blaze Shield II",M191="Software Idiem",C191="IN",G191=3),((('BLAZE SHIELD II'!$H$14*('CALCULO MORTERO'!I191^2)+'BLAZE SHIELD II'!$H$15*'CALCULO MORTERO'!I191+'BLAZE SHIELD II'!$H$16)*LN(J191))+('BLAZE SHIELD II'!$H$17*('CALCULO MORTERO'!I191^2)+'BLAZE SHIELD II'!$H$18*'CALCULO MORTERO'!I191+'BLAZE SHIELD II'!$H$19)),0),0)+ROUND(IF(AND(L191="Cafco 400",M191="Software Idiem",C191="IN",G191=4),((('CAFCO 400 '!$H$7*(J191^4)+'CAFCO 400 '!$H$8*(J191^3)+'CAFCO 400 '!$H$9*(J191^2)+'CAFCO 400 '!$H$10*J191+'CAFCO 400 '!$H$11)*U191^2)+(('CAFCO 400 '!$H$12*(J191^3)+'CAFCO 400 '!$H$13*(J191^2)+'CAFCO 400 '!$H$14*J191+'CAFCO 400 '!$H$15)*U191)+('CAFCO 400 '!$H$16*(J191^2)+'CAFCO 400 '!$H$17*J191+'CAFCO 400 '!$H$18)),0)+IF(AND(L191="Cafco 400",M191="Software Idiem",C191="Cj"),(((('CAFCO 400 '!$D$7*LN(J191)+'CAFCO 400 '!$D$8)*U191^2)+(('CAFCO 400 '!$D$9*LN(J191)+'CAFCO 400 '!$D$10)*U191)+('CAFCO 400 '!$D$11*LN(J191)+'CAFCO 400 '!$D$12))),0)+IF(AND(L191="Cafco 400",M191="Software Idiem",C191="C"),((('CAFCO 400 '!$L$7*(J191^3)+'CAFCO 400 '!$L$8*(J191^2)+'CAFCO 400 '!$L$9*J191+'CAFCO 400 '!$L$10)*U191^2)+(('CAFCO 400 '!$L$11*(J191^3)+'CAFCO 400 '!$L$12*(J191^2)+'CAFCO 400 '!$L$13*J191+'CAFCO 400 '!$L$14)*U191)+('CAFCO 400 '!$L$15*LN(J191)+'CAFCO 400 '!$L$16)),0)+IF(AND(L191="Cafco 400",M191="Software Idiem",C191="L"),((('CAFCO 400 '!$L$7*(J191^3)+'CAFCO 400 '!$L$8*(J191^2)+'CAFCO 400 '!$L$9*J191+'CAFCO 400 '!$L$10)*U191^2)+(('CAFCO 400 '!$L$11*(J191^3)+'CAFCO 400 '!$L$12*(J191^2)+'CAFCO 400 '!$L$13*J191+'CAFCO 400 '!$L$14)*U191)+('CAFCO 400 '!$L$15*LN(J191)+'CAFCO 400 '!$L$16)),0)+IF(AND(L191="Cafco 400",M191="Software Idiem",C191="IN",G191=3),((('CAFCO 400 '!$D$23*(J191^2)+'CAFCO 400 '!$D$24*(J191)+'CAFCO 400 '!$D$25)*U191^2)+(('CAFCO 400 '!$D$26*(J191^2)+'CAFCO 400 '!$D$27*J191+'CAFCO 400 '!$D$28)*U191)+('CAFCO 400 '!$D$29*(J191^2)+'CAFCO 400 '!$D$30*J191+'CAFCO 400 '!$D$31)),0),0)+IF(AND(L191="Cafco 300",J191&gt;=95,J191&lt;=240,C191="Cj",I191=90),VLOOKUP(T191,'CAFCO 300 IDIEM TABLAS'!$B$4:$D$23,2,FALSE),0)+IF(AND(L191="Cafco 300",J191&gt;=95,J191&lt;=240,C191="Cj",I191=120),VLOOKUP(T191,'CAFCO 300 IDIEM TABLAS'!$B$4:$D$23,3,FALSE),0)+IF(AND(L191="Cafco 300",J191&gt;=95,J191&lt;=400,G191=3,C191="IN",I191=90),VLOOKUP(T191,'CAFCO 300 IDIEM TABLAS'!$F$4:$H$35,2,FALSE),0)+IF(AND(L191="Cafco 300",J191&gt;=95,J191&lt;=400,G191=3,C191="IN",I191=120),VLOOKUP(T191,'CAFCO 300 IDIEM TABLAS'!$F$4:$H$35,3,FALSE),0)+IF(AND(L191="Cafco 300",J191&gt;=95,J191&lt;=450,G191=4,C191="IN",I191=90),VLOOKUP(T191,'CAFCO 300 IDIEM TABLAS'!$J$4:$L$40,2,FALSE),0)+IF(AND(L191="Cafco 300",J191&gt;=95,J191&lt;=450,G191=4,C191="IN",I191=120),VLOOKUP(T191,'CAFCO 300 IDIEM TABLAS'!$J$4:$L$40,3,FALSE),0)+IF(AND(M191="Ensayo Idiem",L191="Cafco 400",C191="IN",G191=4,I191=90),VLOOKUP(T191,'CAFCO 400 ENSAYO'!$B$7:$D$43,2,FALSE),0)+IF(AND(M191="Ensayo Idiem",L191="Cafco 400",C191="IN",G191=4,I191=120),VLOOKUP(T191,'CAFCO 400 ENSAYO'!$B$7:$D$43,3,FALSE),0)</f>
        <v>0</v>
      </c>
      <c r="O191" s="96">
        <f t="shared" si="21"/>
        <v>0</v>
      </c>
      <c r="P191" s="95" t="str">
        <f t="shared" si="22"/>
        <v>N/A</v>
      </c>
      <c r="Q191" s="95" t="str">
        <f t="shared" si="23"/>
        <v>N/A</v>
      </c>
      <c r="R191" s="95" t="str">
        <f t="shared" si="24"/>
        <v>NO CERT.</v>
      </c>
      <c r="S191" s="95" t="e">
        <f t="shared" si="19"/>
        <v>#N/A</v>
      </c>
      <c r="T191" s="119" t="e">
        <f>+IF(J191=LOOKUP(J191,'CAFCO 300 IDIEM TABLAS'!$J$4:$J$40),'CALCULO MORTERO'!J191,MROUND('CALCULO MORTERO'!J191,10))</f>
        <v>#N/A</v>
      </c>
      <c r="U191" s="118">
        <f t="shared" si="20"/>
        <v>0</v>
      </c>
      <c r="Y191" s="4"/>
      <c r="Z191" s="4"/>
      <c r="AA191" s="4"/>
    </row>
    <row r="192" spans="1:27" ht="15.6" customHeight="1" x14ac:dyDescent="0.25">
      <c r="A192" s="118">
        <f>+CUBICACION!D186</f>
        <v>0</v>
      </c>
      <c r="B192" s="819">
        <f>+CUBICACION!E186</f>
        <v>0</v>
      </c>
      <c r="C192" s="675">
        <f>+CUBICACION!F186</f>
        <v>0</v>
      </c>
      <c r="D192" s="118"/>
      <c r="E192" s="118"/>
      <c r="F192" s="820"/>
      <c r="G192" s="675">
        <f>+CUBICACION!J186</f>
        <v>0</v>
      </c>
      <c r="H192" s="118"/>
      <c r="I192" s="821">
        <f>+CUBICACION!L186</f>
        <v>0</v>
      </c>
      <c r="J192" s="64">
        <f>+CUBICACION!M186</f>
        <v>0</v>
      </c>
      <c r="K192" s="822" t="str">
        <f>+CUBICACION!N186</f>
        <v/>
      </c>
      <c r="L192" s="118">
        <f>+CUBICACION!O186</f>
        <v>0</v>
      </c>
      <c r="M192" s="823">
        <f>+CUBICACION!P186</f>
        <v>0</v>
      </c>
      <c r="N192" s="902">
        <f>ROUND(IF(AND(L192="Blaze Shield II",M192="Software Idiem",C192="IN",G192=4),((('BLAZE SHIELD II'!$D$4*('CALCULO MORTERO'!I192^2)+'BLAZE SHIELD II'!$D$5*'CALCULO MORTERO'!I192+'BLAZE SHIELD II'!$D$6)*LN(J192))+('BLAZE SHIELD II'!$D$7*('CALCULO MORTERO'!I192^2)+'BLAZE SHIELD II'!$D$8*'CALCULO MORTERO'!I192+'BLAZE SHIELD II'!$D$9)),0)+IF(AND(L192="Blaze Shield II",M192="Software Idiem",C192="Cj"),((('BLAZE SHIELD II'!$H$4*('CALCULO MORTERO'!I192^2)+'BLAZE SHIELD II'!$H$5*'CALCULO MORTERO'!I192+'BLAZE SHIELD II'!$H$6)*LN(J192))+('BLAZE SHIELD II'!$H$7*('CALCULO MORTERO'!I192^2)+'BLAZE SHIELD II'!$H$8*'CALCULO MORTERO'!I192+'BLAZE SHIELD II'!$H$9)),0)+IF(AND(L192="Blaze Shield II",M192="Software Idiem",C192="C"),((('BLAZE SHIELD II'!$L$4*('CALCULO MORTERO'!I192^2)+'BLAZE SHIELD II'!$L$5*'CALCULO MORTERO'!I192+'BLAZE SHIELD II'!$L$6)*LN(J192))+('BLAZE SHIELD II'!$L$7*('CALCULO MORTERO'!I192^2)+'BLAZE SHIELD II'!$L$8*'CALCULO MORTERO'!I192+'BLAZE SHIELD II'!$L$9)),0)+IF(AND(L192="Blaze Shield II",M192="Software Idiem",C192="L"),((('BLAZE SHIELD II'!$L$4*('CALCULO MORTERO'!I192^2)+'BLAZE SHIELD II'!$L$5*'CALCULO MORTERO'!I192+'BLAZE SHIELD II'!$L$6)*LN(J192))+('BLAZE SHIELD II'!$L$7*('CALCULO MORTERO'!I192^2)+'BLAZE SHIELD II'!$L$8*'CALCULO MORTERO'!I192+'BLAZE SHIELD II'!$L$9)),0)+IF(AND(L192="Blaze Shield II",M192="Software Idiem",C192="IN",G192=3),((('BLAZE SHIELD II'!$H$14*('CALCULO MORTERO'!I192^2)+'BLAZE SHIELD II'!$H$15*'CALCULO MORTERO'!I192+'BLAZE SHIELD II'!$H$16)*LN(J192))+('BLAZE SHIELD II'!$H$17*('CALCULO MORTERO'!I192^2)+'BLAZE SHIELD II'!$H$18*'CALCULO MORTERO'!I192+'BLAZE SHIELD II'!$H$19)),0),0)+ROUND(IF(AND(L192="Cafco 400",M192="Software Idiem",C192="IN",G192=4),((('CAFCO 400 '!$H$7*(J192^4)+'CAFCO 400 '!$H$8*(J192^3)+'CAFCO 400 '!$H$9*(J192^2)+'CAFCO 400 '!$H$10*J192+'CAFCO 400 '!$H$11)*U192^2)+(('CAFCO 400 '!$H$12*(J192^3)+'CAFCO 400 '!$H$13*(J192^2)+'CAFCO 400 '!$H$14*J192+'CAFCO 400 '!$H$15)*U192)+('CAFCO 400 '!$H$16*(J192^2)+'CAFCO 400 '!$H$17*J192+'CAFCO 400 '!$H$18)),0)+IF(AND(L192="Cafco 400",M192="Software Idiem",C192="Cj"),(((('CAFCO 400 '!$D$7*LN(J192)+'CAFCO 400 '!$D$8)*U192^2)+(('CAFCO 400 '!$D$9*LN(J192)+'CAFCO 400 '!$D$10)*U192)+('CAFCO 400 '!$D$11*LN(J192)+'CAFCO 400 '!$D$12))),0)+IF(AND(L192="Cafco 400",M192="Software Idiem",C192="C"),((('CAFCO 400 '!$L$7*(J192^3)+'CAFCO 400 '!$L$8*(J192^2)+'CAFCO 400 '!$L$9*J192+'CAFCO 400 '!$L$10)*U192^2)+(('CAFCO 400 '!$L$11*(J192^3)+'CAFCO 400 '!$L$12*(J192^2)+'CAFCO 400 '!$L$13*J192+'CAFCO 400 '!$L$14)*U192)+('CAFCO 400 '!$L$15*LN(J192)+'CAFCO 400 '!$L$16)),0)+IF(AND(L192="Cafco 400",M192="Software Idiem",C192="L"),((('CAFCO 400 '!$L$7*(J192^3)+'CAFCO 400 '!$L$8*(J192^2)+'CAFCO 400 '!$L$9*J192+'CAFCO 400 '!$L$10)*U192^2)+(('CAFCO 400 '!$L$11*(J192^3)+'CAFCO 400 '!$L$12*(J192^2)+'CAFCO 400 '!$L$13*J192+'CAFCO 400 '!$L$14)*U192)+('CAFCO 400 '!$L$15*LN(J192)+'CAFCO 400 '!$L$16)),0)+IF(AND(L192="Cafco 400",M192="Software Idiem",C192="IN",G192=3),((('CAFCO 400 '!$D$23*(J192^2)+'CAFCO 400 '!$D$24*(J192)+'CAFCO 400 '!$D$25)*U192^2)+(('CAFCO 400 '!$D$26*(J192^2)+'CAFCO 400 '!$D$27*J192+'CAFCO 400 '!$D$28)*U192)+('CAFCO 400 '!$D$29*(J192^2)+'CAFCO 400 '!$D$30*J192+'CAFCO 400 '!$D$31)),0),0)+IF(AND(L192="Cafco 300",J192&gt;=95,J192&lt;=240,C192="Cj",I192=90),VLOOKUP(T192,'CAFCO 300 IDIEM TABLAS'!$B$4:$D$23,2,FALSE),0)+IF(AND(L192="Cafco 300",J192&gt;=95,J192&lt;=240,C192="Cj",I192=120),VLOOKUP(T192,'CAFCO 300 IDIEM TABLAS'!$B$4:$D$23,3,FALSE),0)+IF(AND(L192="Cafco 300",J192&gt;=95,J192&lt;=400,G192=3,C192="IN",I192=90),VLOOKUP(T192,'CAFCO 300 IDIEM TABLAS'!$F$4:$H$35,2,FALSE),0)+IF(AND(L192="Cafco 300",J192&gt;=95,J192&lt;=400,G192=3,C192="IN",I192=120),VLOOKUP(T192,'CAFCO 300 IDIEM TABLAS'!$F$4:$H$35,3,FALSE),0)+IF(AND(L192="Cafco 300",J192&gt;=95,J192&lt;=450,G192=4,C192="IN",I192=90),VLOOKUP(T192,'CAFCO 300 IDIEM TABLAS'!$J$4:$L$40,2,FALSE),0)+IF(AND(L192="Cafco 300",J192&gt;=95,J192&lt;=450,G192=4,C192="IN",I192=120),VLOOKUP(T192,'CAFCO 300 IDIEM TABLAS'!$J$4:$L$40,3,FALSE),0)+IF(AND(M192="Ensayo Idiem",L192="Cafco 400",C192="IN",G192=4,I192=90),VLOOKUP(T192,'CAFCO 400 ENSAYO'!$B$7:$D$43,2,FALSE),0)+IF(AND(M192="Ensayo Idiem",L192="Cafco 400",C192="IN",G192=4,I192=120),VLOOKUP(T192,'CAFCO 400 ENSAYO'!$B$7:$D$43,3,FALSE),0)</f>
        <v>0</v>
      </c>
      <c r="O192" s="96">
        <f t="shared" si="21"/>
        <v>0</v>
      </c>
      <c r="P192" s="95" t="str">
        <f t="shared" si="22"/>
        <v>N/A</v>
      </c>
      <c r="Q192" s="95" t="str">
        <f t="shared" si="23"/>
        <v>N/A</v>
      </c>
      <c r="R192" s="95" t="str">
        <f t="shared" si="24"/>
        <v>NO CERT.</v>
      </c>
      <c r="S192" s="95" t="e">
        <f t="shared" si="19"/>
        <v>#N/A</v>
      </c>
      <c r="T192" s="119" t="e">
        <f>+IF(J192=LOOKUP(J192,'CAFCO 300 IDIEM TABLAS'!$J$4:$J$40),'CALCULO MORTERO'!J192,MROUND('CALCULO MORTERO'!J192,10))</f>
        <v>#N/A</v>
      </c>
      <c r="U192" s="118">
        <f t="shared" si="20"/>
        <v>0</v>
      </c>
      <c r="Y192" s="4"/>
      <c r="Z192" s="4"/>
      <c r="AA192" s="4"/>
    </row>
    <row r="193" spans="1:27" x14ac:dyDescent="0.25">
      <c r="A193" s="118">
        <f>+CUBICACION!D187</f>
        <v>0</v>
      </c>
      <c r="B193" s="819">
        <f>+CUBICACION!E187</f>
        <v>0</v>
      </c>
      <c r="C193" s="675">
        <f>+CUBICACION!F187</f>
        <v>0</v>
      </c>
      <c r="D193" s="118"/>
      <c r="E193" s="118"/>
      <c r="F193" s="820"/>
      <c r="G193" s="675">
        <f>+CUBICACION!J187</f>
        <v>0</v>
      </c>
      <c r="H193" s="118"/>
      <c r="I193" s="821">
        <f>+CUBICACION!L187</f>
        <v>0</v>
      </c>
      <c r="J193" s="64">
        <f>+CUBICACION!M187</f>
        <v>0</v>
      </c>
      <c r="K193" s="822" t="str">
        <f>+CUBICACION!N187</f>
        <v/>
      </c>
      <c r="L193" s="118">
        <f>+CUBICACION!O187</f>
        <v>0</v>
      </c>
      <c r="M193" s="823">
        <f>+CUBICACION!P187</f>
        <v>0</v>
      </c>
      <c r="N193" s="902">
        <f>ROUND(IF(AND(L193="Blaze Shield II",M193="Software Idiem",C193="IN",G193=4),((('BLAZE SHIELD II'!$D$4*('CALCULO MORTERO'!I193^2)+'BLAZE SHIELD II'!$D$5*'CALCULO MORTERO'!I193+'BLAZE SHIELD II'!$D$6)*LN(J193))+('BLAZE SHIELD II'!$D$7*('CALCULO MORTERO'!I193^2)+'BLAZE SHIELD II'!$D$8*'CALCULO MORTERO'!I193+'BLAZE SHIELD II'!$D$9)),0)+IF(AND(L193="Blaze Shield II",M193="Software Idiem",C193="Cj"),((('BLAZE SHIELD II'!$H$4*('CALCULO MORTERO'!I193^2)+'BLAZE SHIELD II'!$H$5*'CALCULO MORTERO'!I193+'BLAZE SHIELD II'!$H$6)*LN(J193))+('BLAZE SHIELD II'!$H$7*('CALCULO MORTERO'!I193^2)+'BLAZE SHIELD II'!$H$8*'CALCULO MORTERO'!I193+'BLAZE SHIELD II'!$H$9)),0)+IF(AND(L193="Blaze Shield II",M193="Software Idiem",C193="C"),((('BLAZE SHIELD II'!$L$4*('CALCULO MORTERO'!I193^2)+'BLAZE SHIELD II'!$L$5*'CALCULO MORTERO'!I193+'BLAZE SHIELD II'!$L$6)*LN(J193))+('BLAZE SHIELD II'!$L$7*('CALCULO MORTERO'!I193^2)+'BLAZE SHIELD II'!$L$8*'CALCULO MORTERO'!I193+'BLAZE SHIELD II'!$L$9)),0)+IF(AND(L193="Blaze Shield II",M193="Software Idiem",C193="L"),((('BLAZE SHIELD II'!$L$4*('CALCULO MORTERO'!I193^2)+'BLAZE SHIELD II'!$L$5*'CALCULO MORTERO'!I193+'BLAZE SHIELD II'!$L$6)*LN(J193))+('BLAZE SHIELD II'!$L$7*('CALCULO MORTERO'!I193^2)+'BLAZE SHIELD II'!$L$8*'CALCULO MORTERO'!I193+'BLAZE SHIELD II'!$L$9)),0)+IF(AND(L193="Blaze Shield II",M193="Software Idiem",C193="IN",G193=3),((('BLAZE SHIELD II'!$H$14*('CALCULO MORTERO'!I193^2)+'BLAZE SHIELD II'!$H$15*'CALCULO MORTERO'!I193+'BLAZE SHIELD II'!$H$16)*LN(J193))+('BLAZE SHIELD II'!$H$17*('CALCULO MORTERO'!I193^2)+'BLAZE SHIELD II'!$H$18*'CALCULO MORTERO'!I193+'BLAZE SHIELD II'!$H$19)),0),0)+ROUND(IF(AND(L193="Cafco 400",M193="Software Idiem",C193="IN",G193=4),((('CAFCO 400 '!$H$7*(J193^4)+'CAFCO 400 '!$H$8*(J193^3)+'CAFCO 400 '!$H$9*(J193^2)+'CAFCO 400 '!$H$10*J193+'CAFCO 400 '!$H$11)*U193^2)+(('CAFCO 400 '!$H$12*(J193^3)+'CAFCO 400 '!$H$13*(J193^2)+'CAFCO 400 '!$H$14*J193+'CAFCO 400 '!$H$15)*U193)+('CAFCO 400 '!$H$16*(J193^2)+'CAFCO 400 '!$H$17*J193+'CAFCO 400 '!$H$18)),0)+IF(AND(L193="Cafco 400",M193="Software Idiem",C193="Cj"),(((('CAFCO 400 '!$D$7*LN(J193)+'CAFCO 400 '!$D$8)*U193^2)+(('CAFCO 400 '!$D$9*LN(J193)+'CAFCO 400 '!$D$10)*U193)+('CAFCO 400 '!$D$11*LN(J193)+'CAFCO 400 '!$D$12))),0)+IF(AND(L193="Cafco 400",M193="Software Idiem",C193="C"),((('CAFCO 400 '!$L$7*(J193^3)+'CAFCO 400 '!$L$8*(J193^2)+'CAFCO 400 '!$L$9*J193+'CAFCO 400 '!$L$10)*U193^2)+(('CAFCO 400 '!$L$11*(J193^3)+'CAFCO 400 '!$L$12*(J193^2)+'CAFCO 400 '!$L$13*J193+'CAFCO 400 '!$L$14)*U193)+('CAFCO 400 '!$L$15*LN(J193)+'CAFCO 400 '!$L$16)),0)+IF(AND(L193="Cafco 400",M193="Software Idiem",C193="L"),((('CAFCO 400 '!$L$7*(J193^3)+'CAFCO 400 '!$L$8*(J193^2)+'CAFCO 400 '!$L$9*J193+'CAFCO 400 '!$L$10)*U193^2)+(('CAFCO 400 '!$L$11*(J193^3)+'CAFCO 400 '!$L$12*(J193^2)+'CAFCO 400 '!$L$13*J193+'CAFCO 400 '!$L$14)*U193)+('CAFCO 400 '!$L$15*LN(J193)+'CAFCO 400 '!$L$16)),0)+IF(AND(L193="Cafco 400",M193="Software Idiem",C193="IN",G193=3),((('CAFCO 400 '!$D$23*(J193^2)+'CAFCO 400 '!$D$24*(J193)+'CAFCO 400 '!$D$25)*U193^2)+(('CAFCO 400 '!$D$26*(J193^2)+'CAFCO 400 '!$D$27*J193+'CAFCO 400 '!$D$28)*U193)+('CAFCO 400 '!$D$29*(J193^2)+'CAFCO 400 '!$D$30*J193+'CAFCO 400 '!$D$31)),0),0)+IF(AND(L193="Cafco 300",J193&gt;=95,J193&lt;=240,C193="Cj",I193=90),VLOOKUP(T193,'CAFCO 300 IDIEM TABLAS'!$B$4:$D$23,2,FALSE),0)+IF(AND(L193="Cafco 300",J193&gt;=95,J193&lt;=240,C193="Cj",I193=120),VLOOKUP(T193,'CAFCO 300 IDIEM TABLAS'!$B$4:$D$23,3,FALSE),0)+IF(AND(L193="Cafco 300",J193&gt;=95,J193&lt;=400,G193=3,C193="IN",I193=90),VLOOKUP(T193,'CAFCO 300 IDIEM TABLAS'!$F$4:$H$35,2,FALSE),0)+IF(AND(L193="Cafco 300",J193&gt;=95,J193&lt;=400,G193=3,C193="IN",I193=120),VLOOKUP(T193,'CAFCO 300 IDIEM TABLAS'!$F$4:$H$35,3,FALSE),0)+IF(AND(L193="Cafco 300",J193&gt;=95,J193&lt;=450,G193=4,C193="IN",I193=90),VLOOKUP(T193,'CAFCO 300 IDIEM TABLAS'!$J$4:$L$40,2,FALSE),0)+IF(AND(L193="Cafco 300",J193&gt;=95,J193&lt;=450,G193=4,C193="IN",I193=120),VLOOKUP(T193,'CAFCO 300 IDIEM TABLAS'!$J$4:$L$40,3,FALSE),0)+IF(AND(M193="Ensayo Idiem",L193="Cafco 400",C193="IN",G193=4,I193=90),VLOOKUP(T193,'CAFCO 400 ENSAYO'!$B$7:$D$43,2,FALSE),0)+IF(AND(M193="Ensayo Idiem",L193="Cafco 400",C193="IN",G193=4,I193=120),VLOOKUP(T193,'CAFCO 400 ENSAYO'!$B$7:$D$43,3,FALSE),0)</f>
        <v>0</v>
      </c>
      <c r="O193" s="96">
        <f t="shared" si="21"/>
        <v>0</v>
      </c>
      <c r="P193" s="95" t="str">
        <f t="shared" si="22"/>
        <v>N/A</v>
      </c>
      <c r="Q193" s="95" t="str">
        <f t="shared" si="23"/>
        <v>N/A</v>
      </c>
      <c r="R193" s="95" t="str">
        <f t="shared" si="24"/>
        <v>NO CERT.</v>
      </c>
      <c r="S193" s="95" t="e">
        <f t="shared" si="19"/>
        <v>#N/A</v>
      </c>
      <c r="T193" s="119" t="e">
        <f>+IF(J193=LOOKUP(J193,'CAFCO 300 IDIEM TABLAS'!$J$4:$J$40),'CALCULO MORTERO'!J193,MROUND('CALCULO MORTERO'!J193,10))</f>
        <v>#N/A</v>
      </c>
      <c r="U193" s="118">
        <f t="shared" si="20"/>
        <v>0</v>
      </c>
      <c r="Y193" s="4"/>
      <c r="Z193" s="4"/>
      <c r="AA193" s="4"/>
    </row>
    <row r="194" spans="1:27" ht="15.6" customHeight="1" x14ac:dyDescent="0.25">
      <c r="A194" s="118">
        <f>+CUBICACION!D188</f>
        <v>0</v>
      </c>
      <c r="B194" s="819">
        <f>+CUBICACION!E188</f>
        <v>0</v>
      </c>
      <c r="C194" s="675">
        <f>+CUBICACION!F188</f>
        <v>0</v>
      </c>
      <c r="D194" s="118"/>
      <c r="E194" s="118"/>
      <c r="F194" s="820"/>
      <c r="G194" s="675">
        <f>+CUBICACION!J188</f>
        <v>0</v>
      </c>
      <c r="H194" s="118"/>
      <c r="I194" s="821">
        <f>+CUBICACION!L188</f>
        <v>0</v>
      </c>
      <c r="J194" s="64">
        <f>+CUBICACION!M188</f>
        <v>0</v>
      </c>
      <c r="K194" s="822" t="str">
        <f>+CUBICACION!N188</f>
        <v/>
      </c>
      <c r="L194" s="118">
        <f>+CUBICACION!O188</f>
        <v>0</v>
      </c>
      <c r="M194" s="823">
        <f>+CUBICACION!P188</f>
        <v>0</v>
      </c>
      <c r="N194" s="902">
        <f>ROUND(IF(AND(L194="Blaze Shield II",M194="Software Idiem",C194="IN",G194=4),((('BLAZE SHIELD II'!$D$4*('CALCULO MORTERO'!I194^2)+'BLAZE SHIELD II'!$D$5*'CALCULO MORTERO'!I194+'BLAZE SHIELD II'!$D$6)*LN(J194))+('BLAZE SHIELD II'!$D$7*('CALCULO MORTERO'!I194^2)+'BLAZE SHIELD II'!$D$8*'CALCULO MORTERO'!I194+'BLAZE SHIELD II'!$D$9)),0)+IF(AND(L194="Blaze Shield II",M194="Software Idiem",C194="Cj"),((('BLAZE SHIELD II'!$H$4*('CALCULO MORTERO'!I194^2)+'BLAZE SHIELD II'!$H$5*'CALCULO MORTERO'!I194+'BLAZE SHIELD II'!$H$6)*LN(J194))+('BLAZE SHIELD II'!$H$7*('CALCULO MORTERO'!I194^2)+'BLAZE SHIELD II'!$H$8*'CALCULO MORTERO'!I194+'BLAZE SHIELD II'!$H$9)),0)+IF(AND(L194="Blaze Shield II",M194="Software Idiem",C194="C"),((('BLAZE SHIELD II'!$L$4*('CALCULO MORTERO'!I194^2)+'BLAZE SHIELD II'!$L$5*'CALCULO MORTERO'!I194+'BLAZE SHIELD II'!$L$6)*LN(J194))+('BLAZE SHIELD II'!$L$7*('CALCULO MORTERO'!I194^2)+'BLAZE SHIELD II'!$L$8*'CALCULO MORTERO'!I194+'BLAZE SHIELD II'!$L$9)),0)+IF(AND(L194="Blaze Shield II",M194="Software Idiem",C194="L"),((('BLAZE SHIELD II'!$L$4*('CALCULO MORTERO'!I194^2)+'BLAZE SHIELD II'!$L$5*'CALCULO MORTERO'!I194+'BLAZE SHIELD II'!$L$6)*LN(J194))+('BLAZE SHIELD II'!$L$7*('CALCULO MORTERO'!I194^2)+'BLAZE SHIELD II'!$L$8*'CALCULO MORTERO'!I194+'BLAZE SHIELD II'!$L$9)),0)+IF(AND(L194="Blaze Shield II",M194="Software Idiem",C194="IN",G194=3),((('BLAZE SHIELD II'!$H$14*('CALCULO MORTERO'!I194^2)+'BLAZE SHIELD II'!$H$15*'CALCULO MORTERO'!I194+'BLAZE SHIELD II'!$H$16)*LN(J194))+('BLAZE SHIELD II'!$H$17*('CALCULO MORTERO'!I194^2)+'BLAZE SHIELD II'!$H$18*'CALCULO MORTERO'!I194+'BLAZE SHIELD II'!$H$19)),0),0)+ROUND(IF(AND(L194="Cafco 400",M194="Software Idiem",C194="IN",G194=4),((('CAFCO 400 '!$H$7*(J194^4)+'CAFCO 400 '!$H$8*(J194^3)+'CAFCO 400 '!$H$9*(J194^2)+'CAFCO 400 '!$H$10*J194+'CAFCO 400 '!$H$11)*U194^2)+(('CAFCO 400 '!$H$12*(J194^3)+'CAFCO 400 '!$H$13*(J194^2)+'CAFCO 400 '!$H$14*J194+'CAFCO 400 '!$H$15)*U194)+('CAFCO 400 '!$H$16*(J194^2)+'CAFCO 400 '!$H$17*J194+'CAFCO 400 '!$H$18)),0)+IF(AND(L194="Cafco 400",M194="Software Idiem",C194="Cj"),(((('CAFCO 400 '!$D$7*LN(J194)+'CAFCO 400 '!$D$8)*U194^2)+(('CAFCO 400 '!$D$9*LN(J194)+'CAFCO 400 '!$D$10)*U194)+('CAFCO 400 '!$D$11*LN(J194)+'CAFCO 400 '!$D$12))),0)+IF(AND(L194="Cafco 400",M194="Software Idiem",C194="C"),((('CAFCO 400 '!$L$7*(J194^3)+'CAFCO 400 '!$L$8*(J194^2)+'CAFCO 400 '!$L$9*J194+'CAFCO 400 '!$L$10)*U194^2)+(('CAFCO 400 '!$L$11*(J194^3)+'CAFCO 400 '!$L$12*(J194^2)+'CAFCO 400 '!$L$13*J194+'CAFCO 400 '!$L$14)*U194)+('CAFCO 400 '!$L$15*LN(J194)+'CAFCO 400 '!$L$16)),0)+IF(AND(L194="Cafco 400",M194="Software Idiem",C194="L"),((('CAFCO 400 '!$L$7*(J194^3)+'CAFCO 400 '!$L$8*(J194^2)+'CAFCO 400 '!$L$9*J194+'CAFCO 400 '!$L$10)*U194^2)+(('CAFCO 400 '!$L$11*(J194^3)+'CAFCO 400 '!$L$12*(J194^2)+'CAFCO 400 '!$L$13*J194+'CAFCO 400 '!$L$14)*U194)+('CAFCO 400 '!$L$15*LN(J194)+'CAFCO 400 '!$L$16)),0)+IF(AND(L194="Cafco 400",M194="Software Idiem",C194="IN",G194=3),((('CAFCO 400 '!$D$23*(J194^2)+'CAFCO 400 '!$D$24*(J194)+'CAFCO 400 '!$D$25)*U194^2)+(('CAFCO 400 '!$D$26*(J194^2)+'CAFCO 400 '!$D$27*J194+'CAFCO 400 '!$D$28)*U194)+('CAFCO 400 '!$D$29*(J194^2)+'CAFCO 400 '!$D$30*J194+'CAFCO 400 '!$D$31)),0),0)+IF(AND(L194="Cafco 300",J194&gt;=95,J194&lt;=240,C194="Cj",I194=90),VLOOKUP(T194,'CAFCO 300 IDIEM TABLAS'!$B$4:$D$23,2,FALSE),0)+IF(AND(L194="Cafco 300",J194&gt;=95,J194&lt;=240,C194="Cj",I194=120),VLOOKUP(T194,'CAFCO 300 IDIEM TABLAS'!$B$4:$D$23,3,FALSE),0)+IF(AND(L194="Cafco 300",J194&gt;=95,J194&lt;=400,G194=3,C194="IN",I194=90),VLOOKUP(T194,'CAFCO 300 IDIEM TABLAS'!$F$4:$H$35,2,FALSE),0)+IF(AND(L194="Cafco 300",J194&gt;=95,J194&lt;=400,G194=3,C194="IN",I194=120),VLOOKUP(T194,'CAFCO 300 IDIEM TABLAS'!$F$4:$H$35,3,FALSE),0)+IF(AND(L194="Cafco 300",J194&gt;=95,J194&lt;=450,G194=4,C194="IN",I194=90),VLOOKUP(T194,'CAFCO 300 IDIEM TABLAS'!$J$4:$L$40,2,FALSE),0)+IF(AND(L194="Cafco 300",J194&gt;=95,J194&lt;=450,G194=4,C194="IN",I194=120),VLOOKUP(T194,'CAFCO 300 IDIEM TABLAS'!$J$4:$L$40,3,FALSE),0)+IF(AND(M194="Ensayo Idiem",L194="Cafco 400",C194="IN",G194=4,I194=90),VLOOKUP(T194,'CAFCO 400 ENSAYO'!$B$7:$D$43,2,FALSE),0)+IF(AND(M194="Ensayo Idiem",L194="Cafco 400",C194="IN",G194=4,I194=120),VLOOKUP(T194,'CAFCO 400 ENSAYO'!$B$7:$D$43,3,FALSE),0)</f>
        <v>0</v>
      </c>
      <c r="O194" s="96">
        <f t="shared" si="21"/>
        <v>0</v>
      </c>
      <c r="P194" s="95" t="str">
        <f t="shared" si="22"/>
        <v>N/A</v>
      </c>
      <c r="Q194" s="95" t="str">
        <f t="shared" si="23"/>
        <v>N/A</v>
      </c>
      <c r="R194" s="95" t="str">
        <f t="shared" si="24"/>
        <v>NO CERT.</v>
      </c>
      <c r="S194" s="95" t="e">
        <f t="shared" si="19"/>
        <v>#N/A</v>
      </c>
      <c r="T194" s="119" t="e">
        <f>+IF(J194=LOOKUP(J194,'CAFCO 300 IDIEM TABLAS'!$J$4:$J$40),'CALCULO MORTERO'!J194,MROUND('CALCULO MORTERO'!J194,10))</f>
        <v>#N/A</v>
      </c>
      <c r="U194" s="118">
        <f t="shared" si="20"/>
        <v>0</v>
      </c>
      <c r="Y194" s="4"/>
      <c r="Z194" s="4"/>
      <c r="AA194" s="4"/>
    </row>
    <row r="195" spans="1:27" x14ac:dyDescent="0.25">
      <c r="A195" s="118">
        <f>+CUBICACION!D189</f>
        <v>0</v>
      </c>
      <c r="B195" s="819">
        <f>+CUBICACION!E189</f>
        <v>0</v>
      </c>
      <c r="C195" s="675">
        <f>+CUBICACION!F189</f>
        <v>0</v>
      </c>
      <c r="D195" s="118"/>
      <c r="E195" s="118"/>
      <c r="F195" s="820"/>
      <c r="G195" s="675">
        <f>+CUBICACION!J189</f>
        <v>0</v>
      </c>
      <c r="H195" s="118"/>
      <c r="I195" s="821">
        <f>+CUBICACION!L189</f>
        <v>0</v>
      </c>
      <c r="J195" s="64">
        <f>+CUBICACION!M189</f>
        <v>0</v>
      </c>
      <c r="K195" s="822" t="str">
        <f>+CUBICACION!N189</f>
        <v/>
      </c>
      <c r="L195" s="118">
        <f>+CUBICACION!O189</f>
        <v>0</v>
      </c>
      <c r="M195" s="823">
        <f>+CUBICACION!P189</f>
        <v>0</v>
      </c>
      <c r="N195" s="902">
        <f>ROUND(IF(AND(L195="Blaze Shield II",M195="Software Idiem",C195="IN",G195=4),((('BLAZE SHIELD II'!$D$4*('CALCULO MORTERO'!I195^2)+'BLAZE SHIELD II'!$D$5*'CALCULO MORTERO'!I195+'BLAZE SHIELD II'!$D$6)*LN(J195))+('BLAZE SHIELD II'!$D$7*('CALCULO MORTERO'!I195^2)+'BLAZE SHIELD II'!$D$8*'CALCULO MORTERO'!I195+'BLAZE SHIELD II'!$D$9)),0)+IF(AND(L195="Blaze Shield II",M195="Software Idiem",C195="Cj"),((('BLAZE SHIELD II'!$H$4*('CALCULO MORTERO'!I195^2)+'BLAZE SHIELD II'!$H$5*'CALCULO MORTERO'!I195+'BLAZE SHIELD II'!$H$6)*LN(J195))+('BLAZE SHIELD II'!$H$7*('CALCULO MORTERO'!I195^2)+'BLAZE SHIELD II'!$H$8*'CALCULO MORTERO'!I195+'BLAZE SHIELD II'!$H$9)),0)+IF(AND(L195="Blaze Shield II",M195="Software Idiem",C195="C"),((('BLAZE SHIELD II'!$L$4*('CALCULO MORTERO'!I195^2)+'BLAZE SHIELD II'!$L$5*'CALCULO MORTERO'!I195+'BLAZE SHIELD II'!$L$6)*LN(J195))+('BLAZE SHIELD II'!$L$7*('CALCULO MORTERO'!I195^2)+'BLAZE SHIELD II'!$L$8*'CALCULO MORTERO'!I195+'BLAZE SHIELD II'!$L$9)),0)+IF(AND(L195="Blaze Shield II",M195="Software Idiem",C195="L"),((('BLAZE SHIELD II'!$L$4*('CALCULO MORTERO'!I195^2)+'BLAZE SHIELD II'!$L$5*'CALCULO MORTERO'!I195+'BLAZE SHIELD II'!$L$6)*LN(J195))+('BLAZE SHIELD II'!$L$7*('CALCULO MORTERO'!I195^2)+'BLAZE SHIELD II'!$L$8*'CALCULO MORTERO'!I195+'BLAZE SHIELD II'!$L$9)),0)+IF(AND(L195="Blaze Shield II",M195="Software Idiem",C195="IN",G195=3),((('BLAZE SHIELD II'!$H$14*('CALCULO MORTERO'!I195^2)+'BLAZE SHIELD II'!$H$15*'CALCULO MORTERO'!I195+'BLAZE SHIELD II'!$H$16)*LN(J195))+('BLAZE SHIELD II'!$H$17*('CALCULO MORTERO'!I195^2)+'BLAZE SHIELD II'!$H$18*'CALCULO MORTERO'!I195+'BLAZE SHIELD II'!$H$19)),0),0)+ROUND(IF(AND(L195="Cafco 400",M195="Software Idiem",C195="IN",G195=4),((('CAFCO 400 '!$H$7*(J195^4)+'CAFCO 400 '!$H$8*(J195^3)+'CAFCO 400 '!$H$9*(J195^2)+'CAFCO 400 '!$H$10*J195+'CAFCO 400 '!$H$11)*U195^2)+(('CAFCO 400 '!$H$12*(J195^3)+'CAFCO 400 '!$H$13*(J195^2)+'CAFCO 400 '!$H$14*J195+'CAFCO 400 '!$H$15)*U195)+('CAFCO 400 '!$H$16*(J195^2)+'CAFCO 400 '!$H$17*J195+'CAFCO 400 '!$H$18)),0)+IF(AND(L195="Cafco 400",M195="Software Idiem",C195="Cj"),(((('CAFCO 400 '!$D$7*LN(J195)+'CAFCO 400 '!$D$8)*U195^2)+(('CAFCO 400 '!$D$9*LN(J195)+'CAFCO 400 '!$D$10)*U195)+('CAFCO 400 '!$D$11*LN(J195)+'CAFCO 400 '!$D$12))),0)+IF(AND(L195="Cafco 400",M195="Software Idiem",C195="C"),((('CAFCO 400 '!$L$7*(J195^3)+'CAFCO 400 '!$L$8*(J195^2)+'CAFCO 400 '!$L$9*J195+'CAFCO 400 '!$L$10)*U195^2)+(('CAFCO 400 '!$L$11*(J195^3)+'CAFCO 400 '!$L$12*(J195^2)+'CAFCO 400 '!$L$13*J195+'CAFCO 400 '!$L$14)*U195)+('CAFCO 400 '!$L$15*LN(J195)+'CAFCO 400 '!$L$16)),0)+IF(AND(L195="Cafco 400",M195="Software Idiem",C195="L"),((('CAFCO 400 '!$L$7*(J195^3)+'CAFCO 400 '!$L$8*(J195^2)+'CAFCO 400 '!$L$9*J195+'CAFCO 400 '!$L$10)*U195^2)+(('CAFCO 400 '!$L$11*(J195^3)+'CAFCO 400 '!$L$12*(J195^2)+'CAFCO 400 '!$L$13*J195+'CAFCO 400 '!$L$14)*U195)+('CAFCO 400 '!$L$15*LN(J195)+'CAFCO 400 '!$L$16)),0)+IF(AND(L195="Cafco 400",M195="Software Idiem",C195="IN",G195=3),((('CAFCO 400 '!$D$23*(J195^2)+'CAFCO 400 '!$D$24*(J195)+'CAFCO 400 '!$D$25)*U195^2)+(('CAFCO 400 '!$D$26*(J195^2)+'CAFCO 400 '!$D$27*J195+'CAFCO 400 '!$D$28)*U195)+('CAFCO 400 '!$D$29*(J195^2)+'CAFCO 400 '!$D$30*J195+'CAFCO 400 '!$D$31)),0),0)+IF(AND(L195="Cafco 300",J195&gt;=95,J195&lt;=240,C195="Cj",I195=90),VLOOKUP(T195,'CAFCO 300 IDIEM TABLAS'!$B$4:$D$23,2,FALSE),0)+IF(AND(L195="Cafco 300",J195&gt;=95,J195&lt;=240,C195="Cj",I195=120),VLOOKUP(T195,'CAFCO 300 IDIEM TABLAS'!$B$4:$D$23,3,FALSE),0)+IF(AND(L195="Cafco 300",J195&gt;=95,J195&lt;=400,G195=3,C195="IN",I195=90),VLOOKUP(T195,'CAFCO 300 IDIEM TABLAS'!$F$4:$H$35,2,FALSE),0)+IF(AND(L195="Cafco 300",J195&gt;=95,J195&lt;=400,G195=3,C195="IN",I195=120),VLOOKUP(T195,'CAFCO 300 IDIEM TABLAS'!$F$4:$H$35,3,FALSE),0)+IF(AND(L195="Cafco 300",J195&gt;=95,J195&lt;=450,G195=4,C195="IN",I195=90),VLOOKUP(T195,'CAFCO 300 IDIEM TABLAS'!$J$4:$L$40,2,FALSE),0)+IF(AND(L195="Cafco 300",J195&gt;=95,J195&lt;=450,G195=4,C195="IN",I195=120),VLOOKUP(T195,'CAFCO 300 IDIEM TABLAS'!$J$4:$L$40,3,FALSE),0)+IF(AND(M195="Ensayo Idiem",L195="Cafco 400",C195="IN",G195=4,I195=90),VLOOKUP(T195,'CAFCO 400 ENSAYO'!$B$7:$D$43,2,FALSE),0)+IF(AND(M195="Ensayo Idiem",L195="Cafco 400",C195="IN",G195=4,I195=120),VLOOKUP(T195,'CAFCO 400 ENSAYO'!$B$7:$D$43,3,FALSE),0)</f>
        <v>0</v>
      </c>
      <c r="O195" s="96">
        <f t="shared" si="21"/>
        <v>0</v>
      </c>
      <c r="P195" s="95" t="str">
        <f t="shared" si="22"/>
        <v>N/A</v>
      </c>
      <c r="Q195" s="95" t="str">
        <f t="shared" si="23"/>
        <v>N/A</v>
      </c>
      <c r="R195" s="95" t="str">
        <f t="shared" si="24"/>
        <v>NO CERT.</v>
      </c>
      <c r="S195" s="95" t="e">
        <f t="shared" si="19"/>
        <v>#N/A</v>
      </c>
      <c r="T195" s="119" t="e">
        <f>+IF(J195=LOOKUP(J195,'CAFCO 300 IDIEM TABLAS'!$J$4:$J$40),'CALCULO MORTERO'!J195,MROUND('CALCULO MORTERO'!J195,10))</f>
        <v>#N/A</v>
      </c>
      <c r="U195" s="118">
        <f t="shared" si="20"/>
        <v>0</v>
      </c>
      <c r="Y195" s="4"/>
      <c r="Z195" s="4"/>
      <c r="AA195" s="4"/>
    </row>
    <row r="196" spans="1:27" ht="15.6" customHeight="1" x14ac:dyDescent="0.25">
      <c r="A196" s="118">
        <f>+CUBICACION!D190</f>
        <v>0</v>
      </c>
      <c r="B196" s="819">
        <f>+CUBICACION!E190</f>
        <v>0</v>
      </c>
      <c r="C196" s="675">
        <f>+CUBICACION!F190</f>
        <v>0</v>
      </c>
      <c r="D196" s="118"/>
      <c r="E196" s="118"/>
      <c r="F196" s="820"/>
      <c r="G196" s="675">
        <f>+CUBICACION!J190</f>
        <v>0</v>
      </c>
      <c r="H196" s="118"/>
      <c r="I196" s="821">
        <f>+CUBICACION!L190</f>
        <v>0</v>
      </c>
      <c r="J196" s="64">
        <f>+CUBICACION!M190</f>
        <v>0</v>
      </c>
      <c r="K196" s="822" t="str">
        <f>+CUBICACION!N190</f>
        <v/>
      </c>
      <c r="L196" s="118">
        <f>+CUBICACION!O190</f>
        <v>0</v>
      </c>
      <c r="M196" s="823">
        <f>+CUBICACION!P190</f>
        <v>0</v>
      </c>
      <c r="N196" s="902">
        <f>ROUND(IF(AND(L196="Blaze Shield II",M196="Software Idiem",C196="IN",G196=4),((('BLAZE SHIELD II'!$D$4*('CALCULO MORTERO'!I196^2)+'BLAZE SHIELD II'!$D$5*'CALCULO MORTERO'!I196+'BLAZE SHIELD II'!$D$6)*LN(J196))+('BLAZE SHIELD II'!$D$7*('CALCULO MORTERO'!I196^2)+'BLAZE SHIELD II'!$D$8*'CALCULO MORTERO'!I196+'BLAZE SHIELD II'!$D$9)),0)+IF(AND(L196="Blaze Shield II",M196="Software Idiem",C196="Cj"),((('BLAZE SHIELD II'!$H$4*('CALCULO MORTERO'!I196^2)+'BLAZE SHIELD II'!$H$5*'CALCULO MORTERO'!I196+'BLAZE SHIELD II'!$H$6)*LN(J196))+('BLAZE SHIELD II'!$H$7*('CALCULO MORTERO'!I196^2)+'BLAZE SHIELD II'!$H$8*'CALCULO MORTERO'!I196+'BLAZE SHIELD II'!$H$9)),0)+IF(AND(L196="Blaze Shield II",M196="Software Idiem",C196="C"),((('BLAZE SHIELD II'!$L$4*('CALCULO MORTERO'!I196^2)+'BLAZE SHIELD II'!$L$5*'CALCULO MORTERO'!I196+'BLAZE SHIELD II'!$L$6)*LN(J196))+('BLAZE SHIELD II'!$L$7*('CALCULO MORTERO'!I196^2)+'BLAZE SHIELD II'!$L$8*'CALCULO MORTERO'!I196+'BLAZE SHIELD II'!$L$9)),0)+IF(AND(L196="Blaze Shield II",M196="Software Idiem",C196="L"),((('BLAZE SHIELD II'!$L$4*('CALCULO MORTERO'!I196^2)+'BLAZE SHIELD II'!$L$5*'CALCULO MORTERO'!I196+'BLAZE SHIELD II'!$L$6)*LN(J196))+('BLAZE SHIELD II'!$L$7*('CALCULO MORTERO'!I196^2)+'BLAZE SHIELD II'!$L$8*'CALCULO MORTERO'!I196+'BLAZE SHIELD II'!$L$9)),0)+IF(AND(L196="Blaze Shield II",M196="Software Idiem",C196="IN",G196=3),((('BLAZE SHIELD II'!$H$14*('CALCULO MORTERO'!I196^2)+'BLAZE SHIELD II'!$H$15*'CALCULO MORTERO'!I196+'BLAZE SHIELD II'!$H$16)*LN(J196))+('BLAZE SHIELD II'!$H$17*('CALCULO MORTERO'!I196^2)+'BLAZE SHIELD II'!$H$18*'CALCULO MORTERO'!I196+'BLAZE SHIELD II'!$H$19)),0),0)+ROUND(IF(AND(L196="Cafco 400",M196="Software Idiem",C196="IN",G196=4),((('CAFCO 400 '!$H$7*(J196^4)+'CAFCO 400 '!$H$8*(J196^3)+'CAFCO 400 '!$H$9*(J196^2)+'CAFCO 400 '!$H$10*J196+'CAFCO 400 '!$H$11)*U196^2)+(('CAFCO 400 '!$H$12*(J196^3)+'CAFCO 400 '!$H$13*(J196^2)+'CAFCO 400 '!$H$14*J196+'CAFCO 400 '!$H$15)*U196)+('CAFCO 400 '!$H$16*(J196^2)+'CAFCO 400 '!$H$17*J196+'CAFCO 400 '!$H$18)),0)+IF(AND(L196="Cafco 400",M196="Software Idiem",C196="Cj"),(((('CAFCO 400 '!$D$7*LN(J196)+'CAFCO 400 '!$D$8)*U196^2)+(('CAFCO 400 '!$D$9*LN(J196)+'CAFCO 400 '!$D$10)*U196)+('CAFCO 400 '!$D$11*LN(J196)+'CAFCO 400 '!$D$12))),0)+IF(AND(L196="Cafco 400",M196="Software Idiem",C196="C"),((('CAFCO 400 '!$L$7*(J196^3)+'CAFCO 400 '!$L$8*(J196^2)+'CAFCO 400 '!$L$9*J196+'CAFCO 400 '!$L$10)*U196^2)+(('CAFCO 400 '!$L$11*(J196^3)+'CAFCO 400 '!$L$12*(J196^2)+'CAFCO 400 '!$L$13*J196+'CAFCO 400 '!$L$14)*U196)+('CAFCO 400 '!$L$15*LN(J196)+'CAFCO 400 '!$L$16)),0)+IF(AND(L196="Cafco 400",M196="Software Idiem",C196="L"),((('CAFCO 400 '!$L$7*(J196^3)+'CAFCO 400 '!$L$8*(J196^2)+'CAFCO 400 '!$L$9*J196+'CAFCO 400 '!$L$10)*U196^2)+(('CAFCO 400 '!$L$11*(J196^3)+'CAFCO 400 '!$L$12*(J196^2)+'CAFCO 400 '!$L$13*J196+'CAFCO 400 '!$L$14)*U196)+('CAFCO 400 '!$L$15*LN(J196)+'CAFCO 400 '!$L$16)),0)+IF(AND(L196="Cafco 400",M196="Software Idiem",C196="IN",G196=3),((('CAFCO 400 '!$D$23*(J196^2)+'CAFCO 400 '!$D$24*(J196)+'CAFCO 400 '!$D$25)*U196^2)+(('CAFCO 400 '!$D$26*(J196^2)+'CAFCO 400 '!$D$27*J196+'CAFCO 400 '!$D$28)*U196)+('CAFCO 400 '!$D$29*(J196^2)+'CAFCO 400 '!$D$30*J196+'CAFCO 400 '!$D$31)),0),0)+IF(AND(L196="Cafco 300",J196&gt;=95,J196&lt;=240,C196="Cj",I196=90),VLOOKUP(T196,'CAFCO 300 IDIEM TABLAS'!$B$4:$D$23,2,FALSE),0)+IF(AND(L196="Cafco 300",J196&gt;=95,J196&lt;=240,C196="Cj",I196=120),VLOOKUP(T196,'CAFCO 300 IDIEM TABLAS'!$B$4:$D$23,3,FALSE),0)+IF(AND(L196="Cafco 300",J196&gt;=95,J196&lt;=400,G196=3,C196="IN",I196=90),VLOOKUP(T196,'CAFCO 300 IDIEM TABLAS'!$F$4:$H$35,2,FALSE),0)+IF(AND(L196="Cafco 300",J196&gt;=95,J196&lt;=400,G196=3,C196="IN",I196=120),VLOOKUP(T196,'CAFCO 300 IDIEM TABLAS'!$F$4:$H$35,3,FALSE),0)+IF(AND(L196="Cafco 300",J196&gt;=95,J196&lt;=450,G196=4,C196="IN",I196=90),VLOOKUP(T196,'CAFCO 300 IDIEM TABLAS'!$J$4:$L$40,2,FALSE),0)+IF(AND(L196="Cafco 300",J196&gt;=95,J196&lt;=450,G196=4,C196="IN",I196=120),VLOOKUP(T196,'CAFCO 300 IDIEM TABLAS'!$J$4:$L$40,3,FALSE),0)+IF(AND(M196="Ensayo Idiem",L196="Cafco 400",C196="IN",G196=4,I196=90),VLOOKUP(T196,'CAFCO 400 ENSAYO'!$B$7:$D$43,2,FALSE),0)+IF(AND(M196="Ensayo Idiem",L196="Cafco 400",C196="IN",G196=4,I196=120),VLOOKUP(T196,'CAFCO 400 ENSAYO'!$B$7:$D$43,3,FALSE),0)</f>
        <v>0</v>
      </c>
      <c r="O196" s="96">
        <f t="shared" si="21"/>
        <v>0</v>
      </c>
      <c r="P196" s="95" t="str">
        <f t="shared" si="22"/>
        <v>N/A</v>
      </c>
      <c r="Q196" s="95" t="str">
        <f t="shared" si="23"/>
        <v>N/A</v>
      </c>
      <c r="R196" s="95" t="str">
        <f t="shared" si="24"/>
        <v>NO CERT.</v>
      </c>
      <c r="S196" s="95" t="e">
        <f t="shared" si="19"/>
        <v>#N/A</v>
      </c>
      <c r="T196" s="119" t="e">
        <f>+IF(J196=LOOKUP(J196,'CAFCO 300 IDIEM TABLAS'!$J$4:$J$40),'CALCULO MORTERO'!J196,MROUND('CALCULO MORTERO'!J196,10))</f>
        <v>#N/A</v>
      </c>
      <c r="U196" s="118">
        <f t="shared" si="20"/>
        <v>0</v>
      </c>
      <c r="Y196" s="4"/>
      <c r="Z196" s="4"/>
      <c r="AA196" s="4"/>
    </row>
    <row r="197" spans="1:27" x14ac:dyDescent="0.25">
      <c r="A197" s="118">
        <f>+CUBICACION!D191</f>
        <v>0</v>
      </c>
      <c r="B197" s="819">
        <f>+CUBICACION!E191</f>
        <v>0</v>
      </c>
      <c r="C197" s="675">
        <f>+CUBICACION!F191</f>
        <v>0</v>
      </c>
      <c r="D197" s="118"/>
      <c r="E197" s="118"/>
      <c r="F197" s="820"/>
      <c r="G197" s="675">
        <f>+CUBICACION!J191</f>
        <v>0</v>
      </c>
      <c r="H197" s="118"/>
      <c r="I197" s="821">
        <f>+CUBICACION!L191</f>
        <v>0</v>
      </c>
      <c r="J197" s="64">
        <f>+CUBICACION!M191</f>
        <v>0</v>
      </c>
      <c r="K197" s="822" t="str">
        <f>+CUBICACION!N191</f>
        <v/>
      </c>
      <c r="L197" s="118">
        <f>+CUBICACION!O191</f>
        <v>0</v>
      </c>
      <c r="M197" s="823">
        <f>+CUBICACION!P191</f>
        <v>0</v>
      </c>
      <c r="N197" s="902">
        <f>ROUND(IF(AND(L197="Blaze Shield II",M197="Software Idiem",C197="IN",G197=4),((('BLAZE SHIELD II'!$D$4*('CALCULO MORTERO'!I197^2)+'BLAZE SHIELD II'!$D$5*'CALCULO MORTERO'!I197+'BLAZE SHIELD II'!$D$6)*LN(J197))+('BLAZE SHIELD II'!$D$7*('CALCULO MORTERO'!I197^2)+'BLAZE SHIELD II'!$D$8*'CALCULO MORTERO'!I197+'BLAZE SHIELD II'!$D$9)),0)+IF(AND(L197="Blaze Shield II",M197="Software Idiem",C197="Cj"),((('BLAZE SHIELD II'!$H$4*('CALCULO MORTERO'!I197^2)+'BLAZE SHIELD II'!$H$5*'CALCULO MORTERO'!I197+'BLAZE SHIELD II'!$H$6)*LN(J197))+('BLAZE SHIELD II'!$H$7*('CALCULO MORTERO'!I197^2)+'BLAZE SHIELD II'!$H$8*'CALCULO MORTERO'!I197+'BLAZE SHIELD II'!$H$9)),0)+IF(AND(L197="Blaze Shield II",M197="Software Idiem",C197="C"),((('BLAZE SHIELD II'!$L$4*('CALCULO MORTERO'!I197^2)+'BLAZE SHIELD II'!$L$5*'CALCULO MORTERO'!I197+'BLAZE SHIELD II'!$L$6)*LN(J197))+('BLAZE SHIELD II'!$L$7*('CALCULO MORTERO'!I197^2)+'BLAZE SHIELD II'!$L$8*'CALCULO MORTERO'!I197+'BLAZE SHIELD II'!$L$9)),0)+IF(AND(L197="Blaze Shield II",M197="Software Idiem",C197="L"),((('BLAZE SHIELD II'!$L$4*('CALCULO MORTERO'!I197^2)+'BLAZE SHIELD II'!$L$5*'CALCULO MORTERO'!I197+'BLAZE SHIELD II'!$L$6)*LN(J197))+('BLAZE SHIELD II'!$L$7*('CALCULO MORTERO'!I197^2)+'BLAZE SHIELD II'!$L$8*'CALCULO MORTERO'!I197+'BLAZE SHIELD II'!$L$9)),0)+IF(AND(L197="Blaze Shield II",M197="Software Idiem",C197="IN",G197=3),((('BLAZE SHIELD II'!$H$14*('CALCULO MORTERO'!I197^2)+'BLAZE SHIELD II'!$H$15*'CALCULO MORTERO'!I197+'BLAZE SHIELD II'!$H$16)*LN(J197))+('BLAZE SHIELD II'!$H$17*('CALCULO MORTERO'!I197^2)+'BLAZE SHIELD II'!$H$18*'CALCULO MORTERO'!I197+'BLAZE SHIELD II'!$H$19)),0),0)+ROUND(IF(AND(L197="Cafco 400",M197="Software Idiem",C197="IN",G197=4),((('CAFCO 400 '!$H$7*(J197^4)+'CAFCO 400 '!$H$8*(J197^3)+'CAFCO 400 '!$H$9*(J197^2)+'CAFCO 400 '!$H$10*J197+'CAFCO 400 '!$H$11)*U197^2)+(('CAFCO 400 '!$H$12*(J197^3)+'CAFCO 400 '!$H$13*(J197^2)+'CAFCO 400 '!$H$14*J197+'CAFCO 400 '!$H$15)*U197)+('CAFCO 400 '!$H$16*(J197^2)+'CAFCO 400 '!$H$17*J197+'CAFCO 400 '!$H$18)),0)+IF(AND(L197="Cafco 400",M197="Software Idiem",C197="Cj"),(((('CAFCO 400 '!$D$7*LN(J197)+'CAFCO 400 '!$D$8)*U197^2)+(('CAFCO 400 '!$D$9*LN(J197)+'CAFCO 400 '!$D$10)*U197)+('CAFCO 400 '!$D$11*LN(J197)+'CAFCO 400 '!$D$12))),0)+IF(AND(L197="Cafco 400",M197="Software Idiem",C197="C"),((('CAFCO 400 '!$L$7*(J197^3)+'CAFCO 400 '!$L$8*(J197^2)+'CAFCO 400 '!$L$9*J197+'CAFCO 400 '!$L$10)*U197^2)+(('CAFCO 400 '!$L$11*(J197^3)+'CAFCO 400 '!$L$12*(J197^2)+'CAFCO 400 '!$L$13*J197+'CAFCO 400 '!$L$14)*U197)+('CAFCO 400 '!$L$15*LN(J197)+'CAFCO 400 '!$L$16)),0)+IF(AND(L197="Cafco 400",M197="Software Idiem",C197="L"),((('CAFCO 400 '!$L$7*(J197^3)+'CAFCO 400 '!$L$8*(J197^2)+'CAFCO 400 '!$L$9*J197+'CAFCO 400 '!$L$10)*U197^2)+(('CAFCO 400 '!$L$11*(J197^3)+'CAFCO 400 '!$L$12*(J197^2)+'CAFCO 400 '!$L$13*J197+'CAFCO 400 '!$L$14)*U197)+('CAFCO 400 '!$L$15*LN(J197)+'CAFCO 400 '!$L$16)),0)+IF(AND(L197="Cafco 400",M197="Software Idiem",C197="IN",G197=3),((('CAFCO 400 '!$D$23*(J197^2)+'CAFCO 400 '!$D$24*(J197)+'CAFCO 400 '!$D$25)*U197^2)+(('CAFCO 400 '!$D$26*(J197^2)+'CAFCO 400 '!$D$27*J197+'CAFCO 400 '!$D$28)*U197)+('CAFCO 400 '!$D$29*(J197^2)+'CAFCO 400 '!$D$30*J197+'CAFCO 400 '!$D$31)),0),0)+IF(AND(L197="Cafco 300",J197&gt;=95,J197&lt;=240,C197="Cj",I197=90),VLOOKUP(T197,'CAFCO 300 IDIEM TABLAS'!$B$4:$D$23,2,FALSE),0)+IF(AND(L197="Cafco 300",J197&gt;=95,J197&lt;=240,C197="Cj",I197=120),VLOOKUP(T197,'CAFCO 300 IDIEM TABLAS'!$B$4:$D$23,3,FALSE),0)+IF(AND(L197="Cafco 300",J197&gt;=95,J197&lt;=400,G197=3,C197="IN",I197=90),VLOOKUP(T197,'CAFCO 300 IDIEM TABLAS'!$F$4:$H$35,2,FALSE),0)+IF(AND(L197="Cafco 300",J197&gt;=95,J197&lt;=400,G197=3,C197="IN",I197=120),VLOOKUP(T197,'CAFCO 300 IDIEM TABLAS'!$F$4:$H$35,3,FALSE),0)+IF(AND(L197="Cafco 300",J197&gt;=95,J197&lt;=450,G197=4,C197="IN",I197=90),VLOOKUP(T197,'CAFCO 300 IDIEM TABLAS'!$J$4:$L$40,2,FALSE),0)+IF(AND(L197="Cafco 300",J197&gt;=95,J197&lt;=450,G197=4,C197="IN",I197=120),VLOOKUP(T197,'CAFCO 300 IDIEM TABLAS'!$J$4:$L$40,3,FALSE),0)+IF(AND(M197="Ensayo Idiem",L197="Cafco 400",C197="IN",G197=4,I197=90),VLOOKUP(T197,'CAFCO 400 ENSAYO'!$B$7:$D$43,2,FALSE),0)+IF(AND(M197="Ensayo Idiem",L197="Cafco 400",C197="IN",G197=4,I197=120),VLOOKUP(T197,'CAFCO 400 ENSAYO'!$B$7:$D$43,3,FALSE),0)</f>
        <v>0</v>
      </c>
      <c r="O197" s="96">
        <f t="shared" si="21"/>
        <v>0</v>
      </c>
      <c r="P197" s="95" t="str">
        <f t="shared" si="22"/>
        <v>N/A</v>
      </c>
      <c r="Q197" s="95" t="str">
        <f t="shared" si="23"/>
        <v>N/A</v>
      </c>
      <c r="R197" s="95" t="str">
        <f t="shared" si="24"/>
        <v>NO CERT.</v>
      </c>
      <c r="S197" s="95" t="e">
        <f t="shared" si="19"/>
        <v>#N/A</v>
      </c>
      <c r="T197" s="119" t="e">
        <f>+IF(J197=LOOKUP(J197,'CAFCO 300 IDIEM TABLAS'!$J$4:$J$40),'CALCULO MORTERO'!J197,MROUND('CALCULO MORTERO'!J197,10))</f>
        <v>#N/A</v>
      </c>
      <c r="U197" s="118">
        <f t="shared" si="20"/>
        <v>0</v>
      </c>
      <c r="Y197" s="4"/>
      <c r="Z197" s="4"/>
      <c r="AA197" s="4"/>
    </row>
    <row r="198" spans="1:27" ht="15.6" customHeight="1" x14ac:dyDescent="0.25">
      <c r="A198" s="118">
        <f>+CUBICACION!D192</f>
        <v>0</v>
      </c>
      <c r="B198" s="819">
        <f>+CUBICACION!E192</f>
        <v>0</v>
      </c>
      <c r="C198" s="675">
        <f>+CUBICACION!F192</f>
        <v>0</v>
      </c>
      <c r="D198" s="118"/>
      <c r="E198" s="118"/>
      <c r="F198" s="820"/>
      <c r="G198" s="675">
        <f>+CUBICACION!J192</f>
        <v>0</v>
      </c>
      <c r="H198" s="118"/>
      <c r="I198" s="821">
        <f>+CUBICACION!L192</f>
        <v>0</v>
      </c>
      <c r="J198" s="64">
        <f>+CUBICACION!M192</f>
        <v>0</v>
      </c>
      <c r="K198" s="822" t="str">
        <f>+CUBICACION!N192</f>
        <v/>
      </c>
      <c r="L198" s="118">
        <f>+CUBICACION!O192</f>
        <v>0</v>
      </c>
      <c r="M198" s="823">
        <f>+CUBICACION!P192</f>
        <v>0</v>
      </c>
      <c r="N198" s="902">
        <f>ROUND(IF(AND(L198="Blaze Shield II",M198="Software Idiem",C198="IN",G198=4),((('BLAZE SHIELD II'!$D$4*('CALCULO MORTERO'!I198^2)+'BLAZE SHIELD II'!$D$5*'CALCULO MORTERO'!I198+'BLAZE SHIELD II'!$D$6)*LN(J198))+('BLAZE SHIELD II'!$D$7*('CALCULO MORTERO'!I198^2)+'BLAZE SHIELD II'!$D$8*'CALCULO MORTERO'!I198+'BLAZE SHIELD II'!$D$9)),0)+IF(AND(L198="Blaze Shield II",M198="Software Idiem",C198="Cj"),((('BLAZE SHIELD II'!$H$4*('CALCULO MORTERO'!I198^2)+'BLAZE SHIELD II'!$H$5*'CALCULO MORTERO'!I198+'BLAZE SHIELD II'!$H$6)*LN(J198))+('BLAZE SHIELD II'!$H$7*('CALCULO MORTERO'!I198^2)+'BLAZE SHIELD II'!$H$8*'CALCULO MORTERO'!I198+'BLAZE SHIELD II'!$H$9)),0)+IF(AND(L198="Blaze Shield II",M198="Software Idiem",C198="C"),((('BLAZE SHIELD II'!$L$4*('CALCULO MORTERO'!I198^2)+'BLAZE SHIELD II'!$L$5*'CALCULO MORTERO'!I198+'BLAZE SHIELD II'!$L$6)*LN(J198))+('BLAZE SHIELD II'!$L$7*('CALCULO MORTERO'!I198^2)+'BLAZE SHIELD II'!$L$8*'CALCULO MORTERO'!I198+'BLAZE SHIELD II'!$L$9)),0)+IF(AND(L198="Blaze Shield II",M198="Software Idiem",C198="L"),((('BLAZE SHIELD II'!$L$4*('CALCULO MORTERO'!I198^2)+'BLAZE SHIELD II'!$L$5*'CALCULO MORTERO'!I198+'BLAZE SHIELD II'!$L$6)*LN(J198))+('BLAZE SHIELD II'!$L$7*('CALCULO MORTERO'!I198^2)+'BLAZE SHIELD II'!$L$8*'CALCULO MORTERO'!I198+'BLAZE SHIELD II'!$L$9)),0)+IF(AND(L198="Blaze Shield II",M198="Software Idiem",C198="IN",G198=3),((('BLAZE SHIELD II'!$H$14*('CALCULO MORTERO'!I198^2)+'BLAZE SHIELD II'!$H$15*'CALCULO MORTERO'!I198+'BLAZE SHIELD II'!$H$16)*LN(J198))+('BLAZE SHIELD II'!$H$17*('CALCULO MORTERO'!I198^2)+'BLAZE SHIELD II'!$H$18*'CALCULO MORTERO'!I198+'BLAZE SHIELD II'!$H$19)),0),0)+ROUND(IF(AND(L198="Cafco 400",M198="Software Idiem",C198="IN",G198=4),((('CAFCO 400 '!$H$7*(J198^4)+'CAFCO 400 '!$H$8*(J198^3)+'CAFCO 400 '!$H$9*(J198^2)+'CAFCO 400 '!$H$10*J198+'CAFCO 400 '!$H$11)*U198^2)+(('CAFCO 400 '!$H$12*(J198^3)+'CAFCO 400 '!$H$13*(J198^2)+'CAFCO 400 '!$H$14*J198+'CAFCO 400 '!$H$15)*U198)+('CAFCO 400 '!$H$16*(J198^2)+'CAFCO 400 '!$H$17*J198+'CAFCO 400 '!$H$18)),0)+IF(AND(L198="Cafco 400",M198="Software Idiem",C198="Cj"),(((('CAFCO 400 '!$D$7*LN(J198)+'CAFCO 400 '!$D$8)*U198^2)+(('CAFCO 400 '!$D$9*LN(J198)+'CAFCO 400 '!$D$10)*U198)+('CAFCO 400 '!$D$11*LN(J198)+'CAFCO 400 '!$D$12))),0)+IF(AND(L198="Cafco 400",M198="Software Idiem",C198="C"),((('CAFCO 400 '!$L$7*(J198^3)+'CAFCO 400 '!$L$8*(J198^2)+'CAFCO 400 '!$L$9*J198+'CAFCO 400 '!$L$10)*U198^2)+(('CAFCO 400 '!$L$11*(J198^3)+'CAFCO 400 '!$L$12*(J198^2)+'CAFCO 400 '!$L$13*J198+'CAFCO 400 '!$L$14)*U198)+('CAFCO 400 '!$L$15*LN(J198)+'CAFCO 400 '!$L$16)),0)+IF(AND(L198="Cafco 400",M198="Software Idiem",C198="L"),((('CAFCO 400 '!$L$7*(J198^3)+'CAFCO 400 '!$L$8*(J198^2)+'CAFCO 400 '!$L$9*J198+'CAFCO 400 '!$L$10)*U198^2)+(('CAFCO 400 '!$L$11*(J198^3)+'CAFCO 400 '!$L$12*(J198^2)+'CAFCO 400 '!$L$13*J198+'CAFCO 400 '!$L$14)*U198)+('CAFCO 400 '!$L$15*LN(J198)+'CAFCO 400 '!$L$16)),0)+IF(AND(L198="Cafco 400",M198="Software Idiem",C198="IN",G198=3),((('CAFCO 400 '!$D$23*(J198^2)+'CAFCO 400 '!$D$24*(J198)+'CAFCO 400 '!$D$25)*U198^2)+(('CAFCO 400 '!$D$26*(J198^2)+'CAFCO 400 '!$D$27*J198+'CAFCO 400 '!$D$28)*U198)+('CAFCO 400 '!$D$29*(J198^2)+'CAFCO 400 '!$D$30*J198+'CAFCO 400 '!$D$31)),0),0)+IF(AND(L198="Cafco 300",J198&gt;=95,J198&lt;=240,C198="Cj",I198=90),VLOOKUP(T198,'CAFCO 300 IDIEM TABLAS'!$B$4:$D$23,2,FALSE),0)+IF(AND(L198="Cafco 300",J198&gt;=95,J198&lt;=240,C198="Cj",I198=120),VLOOKUP(T198,'CAFCO 300 IDIEM TABLAS'!$B$4:$D$23,3,FALSE),0)+IF(AND(L198="Cafco 300",J198&gt;=95,J198&lt;=400,G198=3,C198="IN",I198=90),VLOOKUP(T198,'CAFCO 300 IDIEM TABLAS'!$F$4:$H$35,2,FALSE),0)+IF(AND(L198="Cafco 300",J198&gt;=95,J198&lt;=400,G198=3,C198="IN",I198=120),VLOOKUP(T198,'CAFCO 300 IDIEM TABLAS'!$F$4:$H$35,3,FALSE),0)+IF(AND(L198="Cafco 300",J198&gt;=95,J198&lt;=450,G198=4,C198="IN",I198=90),VLOOKUP(T198,'CAFCO 300 IDIEM TABLAS'!$J$4:$L$40,2,FALSE),0)+IF(AND(L198="Cafco 300",J198&gt;=95,J198&lt;=450,G198=4,C198="IN",I198=120),VLOOKUP(T198,'CAFCO 300 IDIEM TABLAS'!$J$4:$L$40,3,FALSE),0)+IF(AND(M198="Ensayo Idiem",L198="Cafco 400",C198="IN",G198=4,I198=90),VLOOKUP(T198,'CAFCO 400 ENSAYO'!$B$7:$D$43,2,FALSE),0)+IF(AND(M198="Ensayo Idiem",L198="Cafco 400",C198="IN",G198=4,I198=120),VLOOKUP(T198,'CAFCO 400 ENSAYO'!$B$7:$D$43,3,FALSE),0)</f>
        <v>0</v>
      </c>
      <c r="O198" s="96">
        <f t="shared" si="21"/>
        <v>0</v>
      </c>
      <c r="P198" s="95" t="str">
        <f t="shared" si="22"/>
        <v>N/A</v>
      </c>
      <c r="Q198" s="95" t="str">
        <f t="shared" si="23"/>
        <v>N/A</v>
      </c>
      <c r="R198" s="95" t="str">
        <f t="shared" si="24"/>
        <v>NO CERT.</v>
      </c>
      <c r="S198" s="95" t="e">
        <f t="shared" si="19"/>
        <v>#N/A</v>
      </c>
      <c r="T198" s="119" t="e">
        <f>+IF(J198=LOOKUP(J198,'CAFCO 300 IDIEM TABLAS'!$J$4:$J$40),'CALCULO MORTERO'!J198,MROUND('CALCULO MORTERO'!J198,10))</f>
        <v>#N/A</v>
      </c>
      <c r="U198" s="118">
        <f t="shared" si="20"/>
        <v>0</v>
      </c>
      <c r="Y198" s="4"/>
      <c r="Z198" s="4"/>
      <c r="AA198" s="4"/>
    </row>
    <row r="199" spans="1:27" x14ac:dyDescent="0.25">
      <c r="A199" s="118">
        <f>+CUBICACION!D193</f>
        <v>0</v>
      </c>
      <c r="B199" s="819">
        <f>+CUBICACION!E193</f>
        <v>0</v>
      </c>
      <c r="C199" s="675">
        <f>+CUBICACION!F193</f>
        <v>0</v>
      </c>
      <c r="D199" s="118"/>
      <c r="E199" s="118"/>
      <c r="F199" s="820"/>
      <c r="G199" s="675">
        <f>+CUBICACION!J193</f>
        <v>0</v>
      </c>
      <c r="H199" s="118"/>
      <c r="I199" s="821">
        <f>+CUBICACION!L193</f>
        <v>0</v>
      </c>
      <c r="J199" s="64">
        <f>+CUBICACION!M193</f>
        <v>0</v>
      </c>
      <c r="K199" s="822" t="str">
        <f>+CUBICACION!N193</f>
        <v/>
      </c>
      <c r="L199" s="118">
        <f>+CUBICACION!O193</f>
        <v>0</v>
      </c>
      <c r="M199" s="823">
        <f>+CUBICACION!P193</f>
        <v>0</v>
      </c>
      <c r="N199" s="902">
        <f>ROUND(IF(AND(L199="Blaze Shield II",M199="Software Idiem",C199="IN",G199=4),((('BLAZE SHIELD II'!$D$4*('CALCULO MORTERO'!I199^2)+'BLAZE SHIELD II'!$D$5*'CALCULO MORTERO'!I199+'BLAZE SHIELD II'!$D$6)*LN(J199))+('BLAZE SHIELD II'!$D$7*('CALCULO MORTERO'!I199^2)+'BLAZE SHIELD II'!$D$8*'CALCULO MORTERO'!I199+'BLAZE SHIELD II'!$D$9)),0)+IF(AND(L199="Blaze Shield II",M199="Software Idiem",C199="Cj"),((('BLAZE SHIELD II'!$H$4*('CALCULO MORTERO'!I199^2)+'BLAZE SHIELD II'!$H$5*'CALCULO MORTERO'!I199+'BLAZE SHIELD II'!$H$6)*LN(J199))+('BLAZE SHIELD II'!$H$7*('CALCULO MORTERO'!I199^2)+'BLAZE SHIELD II'!$H$8*'CALCULO MORTERO'!I199+'BLAZE SHIELD II'!$H$9)),0)+IF(AND(L199="Blaze Shield II",M199="Software Idiem",C199="C"),((('BLAZE SHIELD II'!$L$4*('CALCULO MORTERO'!I199^2)+'BLAZE SHIELD II'!$L$5*'CALCULO MORTERO'!I199+'BLAZE SHIELD II'!$L$6)*LN(J199))+('BLAZE SHIELD II'!$L$7*('CALCULO MORTERO'!I199^2)+'BLAZE SHIELD II'!$L$8*'CALCULO MORTERO'!I199+'BLAZE SHIELD II'!$L$9)),0)+IF(AND(L199="Blaze Shield II",M199="Software Idiem",C199="L"),((('BLAZE SHIELD II'!$L$4*('CALCULO MORTERO'!I199^2)+'BLAZE SHIELD II'!$L$5*'CALCULO MORTERO'!I199+'BLAZE SHIELD II'!$L$6)*LN(J199))+('BLAZE SHIELD II'!$L$7*('CALCULO MORTERO'!I199^2)+'BLAZE SHIELD II'!$L$8*'CALCULO MORTERO'!I199+'BLAZE SHIELD II'!$L$9)),0)+IF(AND(L199="Blaze Shield II",M199="Software Idiem",C199="IN",G199=3),((('BLAZE SHIELD II'!$H$14*('CALCULO MORTERO'!I199^2)+'BLAZE SHIELD II'!$H$15*'CALCULO MORTERO'!I199+'BLAZE SHIELD II'!$H$16)*LN(J199))+('BLAZE SHIELD II'!$H$17*('CALCULO MORTERO'!I199^2)+'BLAZE SHIELD II'!$H$18*'CALCULO MORTERO'!I199+'BLAZE SHIELD II'!$H$19)),0),0)+ROUND(IF(AND(L199="Cafco 400",M199="Software Idiem",C199="IN",G199=4),((('CAFCO 400 '!$H$7*(J199^4)+'CAFCO 400 '!$H$8*(J199^3)+'CAFCO 400 '!$H$9*(J199^2)+'CAFCO 400 '!$H$10*J199+'CAFCO 400 '!$H$11)*U199^2)+(('CAFCO 400 '!$H$12*(J199^3)+'CAFCO 400 '!$H$13*(J199^2)+'CAFCO 400 '!$H$14*J199+'CAFCO 400 '!$H$15)*U199)+('CAFCO 400 '!$H$16*(J199^2)+'CAFCO 400 '!$H$17*J199+'CAFCO 400 '!$H$18)),0)+IF(AND(L199="Cafco 400",M199="Software Idiem",C199="Cj"),(((('CAFCO 400 '!$D$7*LN(J199)+'CAFCO 400 '!$D$8)*U199^2)+(('CAFCO 400 '!$D$9*LN(J199)+'CAFCO 400 '!$D$10)*U199)+('CAFCO 400 '!$D$11*LN(J199)+'CAFCO 400 '!$D$12))),0)+IF(AND(L199="Cafco 400",M199="Software Idiem",C199="C"),((('CAFCO 400 '!$L$7*(J199^3)+'CAFCO 400 '!$L$8*(J199^2)+'CAFCO 400 '!$L$9*J199+'CAFCO 400 '!$L$10)*U199^2)+(('CAFCO 400 '!$L$11*(J199^3)+'CAFCO 400 '!$L$12*(J199^2)+'CAFCO 400 '!$L$13*J199+'CAFCO 400 '!$L$14)*U199)+('CAFCO 400 '!$L$15*LN(J199)+'CAFCO 400 '!$L$16)),0)+IF(AND(L199="Cafco 400",M199="Software Idiem",C199="L"),((('CAFCO 400 '!$L$7*(J199^3)+'CAFCO 400 '!$L$8*(J199^2)+'CAFCO 400 '!$L$9*J199+'CAFCO 400 '!$L$10)*U199^2)+(('CAFCO 400 '!$L$11*(J199^3)+'CAFCO 400 '!$L$12*(J199^2)+'CAFCO 400 '!$L$13*J199+'CAFCO 400 '!$L$14)*U199)+('CAFCO 400 '!$L$15*LN(J199)+'CAFCO 400 '!$L$16)),0)+IF(AND(L199="Cafco 400",M199="Software Idiem",C199="IN",G199=3),((('CAFCO 400 '!$D$23*(J199^2)+'CAFCO 400 '!$D$24*(J199)+'CAFCO 400 '!$D$25)*U199^2)+(('CAFCO 400 '!$D$26*(J199^2)+'CAFCO 400 '!$D$27*J199+'CAFCO 400 '!$D$28)*U199)+('CAFCO 400 '!$D$29*(J199^2)+'CAFCO 400 '!$D$30*J199+'CAFCO 400 '!$D$31)),0),0)+IF(AND(L199="Cafco 300",J199&gt;=95,J199&lt;=240,C199="Cj",I199=90),VLOOKUP(T199,'CAFCO 300 IDIEM TABLAS'!$B$4:$D$23,2,FALSE),0)+IF(AND(L199="Cafco 300",J199&gt;=95,J199&lt;=240,C199="Cj",I199=120),VLOOKUP(T199,'CAFCO 300 IDIEM TABLAS'!$B$4:$D$23,3,FALSE),0)+IF(AND(L199="Cafco 300",J199&gt;=95,J199&lt;=400,G199=3,C199="IN",I199=90),VLOOKUP(T199,'CAFCO 300 IDIEM TABLAS'!$F$4:$H$35,2,FALSE),0)+IF(AND(L199="Cafco 300",J199&gt;=95,J199&lt;=400,G199=3,C199="IN",I199=120),VLOOKUP(T199,'CAFCO 300 IDIEM TABLAS'!$F$4:$H$35,3,FALSE),0)+IF(AND(L199="Cafco 300",J199&gt;=95,J199&lt;=450,G199=4,C199="IN",I199=90),VLOOKUP(T199,'CAFCO 300 IDIEM TABLAS'!$J$4:$L$40,2,FALSE),0)+IF(AND(L199="Cafco 300",J199&gt;=95,J199&lt;=450,G199=4,C199="IN",I199=120),VLOOKUP(T199,'CAFCO 300 IDIEM TABLAS'!$J$4:$L$40,3,FALSE),0)+IF(AND(M199="Ensayo Idiem",L199="Cafco 400",C199="IN",G199=4,I199=90),VLOOKUP(T199,'CAFCO 400 ENSAYO'!$B$7:$D$43,2,FALSE),0)+IF(AND(M199="Ensayo Idiem",L199="Cafco 400",C199="IN",G199=4,I199=120),VLOOKUP(T199,'CAFCO 400 ENSAYO'!$B$7:$D$43,3,FALSE),0)</f>
        <v>0</v>
      </c>
      <c r="O199" s="96">
        <f t="shared" si="21"/>
        <v>0</v>
      </c>
      <c r="P199" s="95" t="str">
        <f t="shared" si="22"/>
        <v>N/A</v>
      </c>
      <c r="Q199" s="95" t="str">
        <f t="shared" si="23"/>
        <v>N/A</v>
      </c>
      <c r="R199" s="95" t="str">
        <f t="shared" si="24"/>
        <v>NO CERT.</v>
      </c>
      <c r="S199" s="95" t="e">
        <f t="shared" si="19"/>
        <v>#N/A</v>
      </c>
      <c r="T199" s="119" t="e">
        <f>+IF(J199=LOOKUP(J199,'CAFCO 300 IDIEM TABLAS'!$J$4:$J$40),'CALCULO MORTERO'!J199,MROUND('CALCULO MORTERO'!J199,10))</f>
        <v>#N/A</v>
      </c>
      <c r="U199" s="118">
        <f t="shared" si="20"/>
        <v>0</v>
      </c>
      <c r="Y199" s="4"/>
      <c r="Z199" s="4"/>
      <c r="AA199" s="4"/>
    </row>
    <row r="200" spans="1:27" ht="15.6" customHeight="1" x14ac:dyDescent="0.25">
      <c r="A200" s="118">
        <f>+CUBICACION!D194</f>
        <v>0</v>
      </c>
      <c r="B200" s="819">
        <f>+CUBICACION!E194</f>
        <v>0</v>
      </c>
      <c r="C200" s="675">
        <f>+CUBICACION!F194</f>
        <v>0</v>
      </c>
      <c r="D200" s="118"/>
      <c r="E200" s="118"/>
      <c r="F200" s="820"/>
      <c r="G200" s="675">
        <f>+CUBICACION!J194</f>
        <v>0</v>
      </c>
      <c r="H200" s="118"/>
      <c r="I200" s="821">
        <f>+CUBICACION!L194</f>
        <v>0</v>
      </c>
      <c r="J200" s="64">
        <f>+CUBICACION!M194</f>
        <v>0</v>
      </c>
      <c r="K200" s="822" t="str">
        <f>+CUBICACION!N194</f>
        <v/>
      </c>
      <c r="L200" s="118">
        <f>+CUBICACION!O194</f>
        <v>0</v>
      </c>
      <c r="M200" s="823">
        <f>+CUBICACION!P194</f>
        <v>0</v>
      </c>
      <c r="N200" s="902">
        <f>ROUND(IF(AND(L200="Blaze Shield II",M200="Software Idiem",C200="IN",G200=4),((('BLAZE SHIELD II'!$D$4*('CALCULO MORTERO'!I200^2)+'BLAZE SHIELD II'!$D$5*'CALCULO MORTERO'!I200+'BLAZE SHIELD II'!$D$6)*LN(J200))+('BLAZE SHIELD II'!$D$7*('CALCULO MORTERO'!I200^2)+'BLAZE SHIELD II'!$D$8*'CALCULO MORTERO'!I200+'BLAZE SHIELD II'!$D$9)),0)+IF(AND(L200="Blaze Shield II",M200="Software Idiem",C200="Cj"),((('BLAZE SHIELD II'!$H$4*('CALCULO MORTERO'!I200^2)+'BLAZE SHIELD II'!$H$5*'CALCULO MORTERO'!I200+'BLAZE SHIELD II'!$H$6)*LN(J200))+('BLAZE SHIELD II'!$H$7*('CALCULO MORTERO'!I200^2)+'BLAZE SHIELD II'!$H$8*'CALCULO MORTERO'!I200+'BLAZE SHIELD II'!$H$9)),0)+IF(AND(L200="Blaze Shield II",M200="Software Idiem",C200="C"),((('BLAZE SHIELD II'!$L$4*('CALCULO MORTERO'!I200^2)+'BLAZE SHIELD II'!$L$5*'CALCULO MORTERO'!I200+'BLAZE SHIELD II'!$L$6)*LN(J200))+('BLAZE SHIELD II'!$L$7*('CALCULO MORTERO'!I200^2)+'BLAZE SHIELD II'!$L$8*'CALCULO MORTERO'!I200+'BLAZE SHIELD II'!$L$9)),0)+IF(AND(L200="Blaze Shield II",M200="Software Idiem",C200="L"),((('BLAZE SHIELD II'!$L$4*('CALCULO MORTERO'!I200^2)+'BLAZE SHIELD II'!$L$5*'CALCULO MORTERO'!I200+'BLAZE SHIELD II'!$L$6)*LN(J200))+('BLAZE SHIELD II'!$L$7*('CALCULO MORTERO'!I200^2)+'BLAZE SHIELD II'!$L$8*'CALCULO MORTERO'!I200+'BLAZE SHIELD II'!$L$9)),0)+IF(AND(L200="Blaze Shield II",M200="Software Idiem",C200="IN",G200=3),((('BLAZE SHIELD II'!$H$14*('CALCULO MORTERO'!I200^2)+'BLAZE SHIELD II'!$H$15*'CALCULO MORTERO'!I200+'BLAZE SHIELD II'!$H$16)*LN(J200))+('BLAZE SHIELD II'!$H$17*('CALCULO MORTERO'!I200^2)+'BLAZE SHIELD II'!$H$18*'CALCULO MORTERO'!I200+'BLAZE SHIELD II'!$H$19)),0),0)+ROUND(IF(AND(L200="Cafco 400",M200="Software Idiem",C200="IN",G200=4),((('CAFCO 400 '!$H$7*(J200^4)+'CAFCO 400 '!$H$8*(J200^3)+'CAFCO 400 '!$H$9*(J200^2)+'CAFCO 400 '!$H$10*J200+'CAFCO 400 '!$H$11)*U200^2)+(('CAFCO 400 '!$H$12*(J200^3)+'CAFCO 400 '!$H$13*(J200^2)+'CAFCO 400 '!$H$14*J200+'CAFCO 400 '!$H$15)*U200)+('CAFCO 400 '!$H$16*(J200^2)+'CAFCO 400 '!$H$17*J200+'CAFCO 400 '!$H$18)),0)+IF(AND(L200="Cafco 400",M200="Software Idiem",C200="Cj"),(((('CAFCO 400 '!$D$7*LN(J200)+'CAFCO 400 '!$D$8)*U200^2)+(('CAFCO 400 '!$D$9*LN(J200)+'CAFCO 400 '!$D$10)*U200)+('CAFCO 400 '!$D$11*LN(J200)+'CAFCO 400 '!$D$12))),0)+IF(AND(L200="Cafco 400",M200="Software Idiem",C200="C"),((('CAFCO 400 '!$L$7*(J200^3)+'CAFCO 400 '!$L$8*(J200^2)+'CAFCO 400 '!$L$9*J200+'CAFCO 400 '!$L$10)*U200^2)+(('CAFCO 400 '!$L$11*(J200^3)+'CAFCO 400 '!$L$12*(J200^2)+'CAFCO 400 '!$L$13*J200+'CAFCO 400 '!$L$14)*U200)+('CAFCO 400 '!$L$15*LN(J200)+'CAFCO 400 '!$L$16)),0)+IF(AND(L200="Cafco 400",M200="Software Idiem",C200="L"),((('CAFCO 400 '!$L$7*(J200^3)+'CAFCO 400 '!$L$8*(J200^2)+'CAFCO 400 '!$L$9*J200+'CAFCO 400 '!$L$10)*U200^2)+(('CAFCO 400 '!$L$11*(J200^3)+'CAFCO 400 '!$L$12*(J200^2)+'CAFCO 400 '!$L$13*J200+'CAFCO 400 '!$L$14)*U200)+('CAFCO 400 '!$L$15*LN(J200)+'CAFCO 400 '!$L$16)),0)+IF(AND(L200="Cafco 400",M200="Software Idiem",C200="IN",G200=3),((('CAFCO 400 '!$D$23*(J200^2)+'CAFCO 400 '!$D$24*(J200)+'CAFCO 400 '!$D$25)*U200^2)+(('CAFCO 400 '!$D$26*(J200^2)+'CAFCO 400 '!$D$27*J200+'CAFCO 400 '!$D$28)*U200)+('CAFCO 400 '!$D$29*(J200^2)+'CAFCO 400 '!$D$30*J200+'CAFCO 400 '!$D$31)),0),0)+IF(AND(L200="Cafco 300",J200&gt;=95,J200&lt;=240,C200="Cj",I200=90),VLOOKUP(T200,'CAFCO 300 IDIEM TABLAS'!$B$4:$D$23,2,FALSE),0)+IF(AND(L200="Cafco 300",J200&gt;=95,J200&lt;=240,C200="Cj",I200=120),VLOOKUP(T200,'CAFCO 300 IDIEM TABLAS'!$B$4:$D$23,3,FALSE),0)+IF(AND(L200="Cafco 300",J200&gt;=95,J200&lt;=400,G200=3,C200="IN",I200=90),VLOOKUP(T200,'CAFCO 300 IDIEM TABLAS'!$F$4:$H$35,2,FALSE),0)+IF(AND(L200="Cafco 300",J200&gt;=95,J200&lt;=400,G200=3,C200="IN",I200=120),VLOOKUP(T200,'CAFCO 300 IDIEM TABLAS'!$F$4:$H$35,3,FALSE),0)+IF(AND(L200="Cafco 300",J200&gt;=95,J200&lt;=450,G200=4,C200="IN",I200=90),VLOOKUP(T200,'CAFCO 300 IDIEM TABLAS'!$J$4:$L$40,2,FALSE),0)+IF(AND(L200="Cafco 300",J200&gt;=95,J200&lt;=450,G200=4,C200="IN",I200=120),VLOOKUP(T200,'CAFCO 300 IDIEM TABLAS'!$J$4:$L$40,3,FALSE),0)+IF(AND(M200="Ensayo Idiem",L200="Cafco 400",C200="IN",G200=4,I200=90),VLOOKUP(T200,'CAFCO 400 ENSAYO'!$B$7:$D$43,2,FALSE),0)+IF(AND(M200="Ensayo Idiem",L200="Cafco 400",C200="IN",G200=4,I200=120),VLOOKUP(T200,'CAFCO 400 ENSAYO'!$B$7:$D$43,3,FALSE),0)</f>
        <v>0</v>
      </c>
      <c r="O200" s="96">
        <f t="shared" si="21"/>
        <v>0</v>
      </c>
      <c r="P200" s="95" t="str">
        <f t="shared" si="22"/>
        <v>N/A</v>
      </c>
      <c r="Q200" s="95" t="str">
        <f t="shared" si="23"/>
        <v>N/A</v>
      </c>
      <c r="R200" s="95" t="str">
        <f t="shared" si="24"/>
        <v>NO CERT.</v>
      </c>
      <c r="S200" s="95" t="e">
        <f t="shared" si="19"/>
        <v>#N/A</v>
      </c>
      <c r="T200" s="119" t="e">
        <f>+IF(J200=LOOKUP(J200,'CAFCO 300 IDIEM TABLAS'!$J$4:$J$40),'CALCULO MORTERO'!J200,MROUND('CALCULO MORTERO'!J200,10))</f>
        <v>#N/A</v>
      </c>
      <c r="U200" s="118">
        <f t="shared" si="20"/>
        <v>0</v>
      </c>
      <c r="Y200" s="4"/>
      <c r="Z200" s="4"/>
      <c r="AA200" s="4"/>
    </row>
    <row r="201" spans="1:27" x14ac:dyDescent="0.25">
      <c r="A201" s="118">
        <f>+CUBICACION!D195</f>
        <v>0</v>
      </c>
      <c r="B201" s="819">
        <f>+CUBICACION!E195</f>
        <v>0</v>
      </c>
      <c r="C201" s="675">
        <f>+CUBICACION!F195</f>
        <v>0</v>
      </c>
      <c r="D201" s="118"/>
      <c r="E201" s="118"/>
      <c r="F201" s="820"/>
      <c r="G201" s="675">
        <f>+CUBICACION!J195</f>
        <v>0</v>
      </c>
      <c r="H201" s="118"/>
      <c r="I201" s="821">
        <f>+CUBICACION!L195</f>
        <v>0</v>
      </c>
      <c r="J201" s="64">
        <f>+CUBICACION!M195</f>
        <v>0</v>
      </c>
      <c r="K201" s="822" t="str">
        <f>+CUBICACION!N195</f>
        <v/>
      </c>
      <c r="L201" s="118">
        <f>+CUBICACION!O195</f>
        <v>0</v>
      </c>
      <c r="M201" s="823">
        <f>+CUBICACION!P195</f>
        <v>0</v>
      </c>
      <c r="N201" s="902">
        <f>ROUND(IF(AND(L201="Blaze Shield II",M201="Software Idiem",C201="IN",G201=4),((('BLAZE SHIELD II'!$D$4*('CALCULO MORTERO'!I201^2)+'BLAZE SHIELD II'!$D$5*'CALCULO MORTERO'!I201+'BLAZE SHIELD II'!$D$6)*LN(J201))+('BLAZE SHIELD II'!$D$7*('CALCULO MORTERO'!I201^2)+'BLAZE SHIELD II'!$D$8*'CALCULO MORTERO'!I201+'BLAZE SHIELD II'!$D$9)),0)+IF(AND(L201="Blaze Shield II",M201="Software Idiem",C201="Cj"),((('BLAZE SHIELD II'!$H$4*('CALCULO MORTERO'!I201^2)+'BLAZE SHIELD II'!$H$5*'CALCULO MORTERO'!I201+'BLAZE SHIELD II'!$H$6)*LN(J201))+('BLAZE SHIELD II'!$H$7*('CALCULO MORTERO'!I201^2)+'BLAZE SHIELD II'!$H$8*'CALCULO MORTERO'!I201+'BLAZE SHIELD II'!$H$9)),0)+IF(AND(L201="Blaze Shield II",M201="Software Idiem",C201="C"),((('BLAZE SHIELD II'!$L$4*('CALCULO MORTERO'!I201^2)+'BLAZE SHIELD II'!$L$5*'CALCULO MORTERO'!I201+'BLAZE SHIELD II'!$L$6)*LN(J201))+('BLAZE SHIELD II'!$L$7*('CALCULO MORTERO'!I201^2)+'BLAZE SHIELD II'!$L$8*'CALCULO MORTERO'!I201+'BLAZE SHIELD II'!$L$9)),0)+IF(AND(L201="Blaze Shield II",M201="Software Idiem",C201="L"),((('BLAZE SHIELD II'!$L$4*('CALCULO MORTERO'!I201^2)+'BLAZE SHIELD II'!$L$5*'CALCULO MORTERO'!I201+'BLAZE SHIELD II'!$L$6)*LN(J201))+('BLAZE SHIELD II'!$L$7*('CALCULO MORTERO'!I201^2)+'BLAZE SHIELD II'!$L$8*'CALCULO MORTERO'!I201+'BLAZE SHIELD II'!$L$9)),0)+IF(AND(L201="Blaze Shield II",M201="Software Idiem",C201="IN",G201=3),((('BLAZE SHIELD II'!$H$14*('CALCULO MORTERO'!I201^2)+'BLAZE SHIELD II'!$H$15*'CALCULO MORTERO'!I201+'BLAZE SHIELD II'!$H$16)*LN(J201))+('BLAZE SHIELD II'!$H$17*('CALCULO MORTERO'!I201^2)+'BLAZE SHIELD II'!$H$18*'CALCULO MORTERO'!I201+'BLAZE SHIELD II'!$H$19)),0),0)+ROUND(IF(AND(L201="Cafco 400",M201="Software Idiem",C201="IN",G201=4),((('CAFCO 400 '!$H$7*(J201^4)+'CAFCO 400 '!$H$8*(J201^3)+'CAFCO 400 '!$H$9*(J201^2)+'CAFCO 400 '!$H$10*J201+'CAFCO 400 '!$H$11)*U201^2)+(('CAFCO 400 '!$H$12*(J201^3)+'CAFCO 400 '!$H$13*(J201^2)+'CAFCO 400 '!$H$14*J201+'CAFCO 400 '!$H$15)*U201)+('CAFCO 400 '!$H$16*(J201^2)+'CAFCO 400 '!$H$17*J201+'CAFCO 400 '!$H$18)),0)+IF(AND(L201="Cafco 400",M201="Software Idiem",C201="Cj"),(((('CAFCO 400 '!$D$7*LN(J201)+'CAFCO 400 '!$D$8)*U201^2)+(('CAFCO 400 '!$D$9*LN(J201)+'CAFCO 400 '!$D$10)*U201)+('CAFCO 400 '!$D$11*LN(J201)+'CAFCO 400 '!$D$12))),0)+IF(AND(L201="Cafco 400",M201="Software Idiem",C201="C"),((('CAFCO 400 '!$L$7*(J201^3)+'CAFCO 400 '!$L$8*(J201^2)+'CAFCO 400 '!$L$9*J201+'CAFCO 400 '!$L$10)*U201^2)+(('CAFCO 400 '!$L$11*(J201^3)+'CAFCO 400 '!$L$12*(J201^2)+'CAFCO 400 '!$L$13*J201+'CAFCO 400 '!$L$14)*U201)+('CAFCO 400 '!$L$15*LN(J201)+'CAFCO 400 '!$L$16)),0)+IF(AND(L201="Cafco 400",M201="Software Idiem",C201="L"),((('CAFCO 400 '!$L$7*(J201^3)+'CAFCO 400 '!$L$8*(J201^2)+'CAFCO 400 '!$L$9*J201+'CAFCO 400 '!$L$10)*U201^2)+(('CAFCO 400 '!$L$11*(J201^3)+'CAFCO 400 '!$L$12*(J201^2)+'CAFCO 400 '!$L$13*J201+'CAFCO 400 '!$L$14)*U201)+('CAFCO 400 '!$L$15*LN(J201)+'CAFCO 400 '!$L$16)),0)+IF(AND(L201="Cafco 400",M201="Software Idiem",C201="IN",G201=3),((('CAFCO 400 '!$D$23*(J201^2)+'CAFCO 400 '!$D$24*(J201)+'CAFCO 400 '!$D$25)*U201^2)+(('CAFCO 400 '!$D$26*(J201^2)+'CAFCO 400 '!$D$27*J201+'CAFCO 400 '!$D$28)*U201)+('CAFCO 400 '!$D$29*(J201^2)+'CAFCO 400 '!$D$30*J201+'CAFCO 400 '!$D$31)),0),0)+IF(AND(L201="Cafco 300",J201&gt;=95,J201&lt;=240,C201="Cj",I201=90),VLOOKUP(T201,'CAFCO 300 IDIEM TABLAS'!$B$4:$D$23,2,FALSE),0)+IF(AND(L201="Cafco 300",J201&gt;=95,J201&lt;=240,C201="Cj",I201=120),VLOOKUP(T201,'CAFCO 300 IDIEM TABLAS'!$B$4:$D$23,3,FALSE),0)+IF(AND(L201="Cafco 300",J201&gt;=95,J201&lt;=400,G201=3,C201="IN",I201=90),VLOOKUP(T201,'CAFCO 300 IDIEM TABLAS'!$F$4:$H$35,2,FALSE),0)+IF(AND(L201="Cafco 300",J201&gt;=95,J201&lt;=400,G201=3,C201="IN",I201=120),VLOOKUP(T201,'CAFCO 300 IDIEM TABLAS'!$F$4:$H$35,3,FALSE),0)+IF(AND(L201="Cafco 300",J201&gt;=95,J201&lt;=450,G201=4,C201="IN",I201=90),VLOOKUP(T201,'CAFCO 300 IDIEM TABLAS'!$J$4:$L$40,2,FALSE),0)+IF(AND(L201="Cafco 300",J201&gt;=95,J201&lt;=450,G201=4,C201="IN",I201=120),VLOOKUP(T201,'CAFCO 300 IDIEM TABLAS'!$J$4:$L$40,3,FALSE),0)+IF(AND(M201="Ensayo Idiem",L201="Cafco 400",C201="IN",G201=4,I201=90),VLOOKUP(T201,'CAFCO 400 ENSAYO'!$B$7:$D$43,2,FALSE),0)+IF(AND(M201="Ensayo Idiem",L201="Cafco 400",C201="IN",G201=4,I201=120),VLOOKUP(T201,'CAFCO 400 ENSAYO'!$B$7:$D$43,3,FALSE),0)</f>
        <v>0</v>
      </c>
      <c r="O201" s="96">
        <f t="shared" si="21"/>
        <v>0</v>
      </c>
      <c r="P201" s="95" t="str">
        <f t="shared" si="22"/>
        <v>N/A</v>
      </c>
      <c r="Q201" s="95" t="str">
        <f t="shared" si="23"/>
        <v>N/A</v>
      </c>
      <c r="R201" s="95" t="str">
        <f t="shared" si="24"/>
        <v>NO CERT.</v>
      </c>
      <c r="S201" s="95" t="e">
        <f t="shared" si="19"/>
        <v>#N/A</v>
      </c>
      <c r="T201" s="119" t="e">
        <f>+IF(J201=LOOKUP(J201,'CAFCO 300 IDIEM TABLAS'!$J$4:$J$40),'CALCULO MORTERO'!J201,MROUND('CALCULO MORTERO'!J201,10))</f>
        <v>#N/A</v>
      </c>
      <c r="U201" s="118">
        <f t="shared" si="20"/>
        <v>0</v>
      </c>
      <c r="Y201" s="4"/>
      <c r="Z201" s="4"/>
      <c r="AA201" s="4"/>
    </row>
    <row r="202" spans="1:27" ht="15.6" customHeight="1" x14ac:dyDescent="0.25">
      <c r="A202" s="118">
        <f>+CUBICACION!D196</f>
        <v>0</v>
      </c>
      <c r="B202" s="819">
        <f>+CUBICACION!E196</f>
        <v>0</v>
      </c>
      <c r="C202" s="675">
        <f>+CUBICACION!F196</f>
        <v>0</v>
      </c>
      <c r="D202" s="118"/>
      <c r="E202" s="118"/>
      <c r="F202" s="820"/>
      <c r="G202" s="675">
        <f>+CUBICACION!J196</f>
        <v>0</v>
      </c>
      <c r="H202" s="118"/>
      <c r="I202" s="821">
        <f>+CUBICACION!L196</f>
        <v>0</v>
      </c>
      <c r="J202" s="64">
        <f>+CUBICACION!M196</f>
        <v>0</v>
      </c>
      <c r="K202" s="822" t="str">
        <f>+CUBICACION!N196</f>
        <v/>
      </c>
      <c r="L202" s="118">
        <f>+CUBICACION!O196</f>
        <v>0</v>
      </c>
      <c r="M202" s="823">
        <f>+CUBICACION!P196</f>
        <v>0</v>
      </c>
      <c r="N202" s="902">
        <f>ROUND(IF(AND(L202="Blaze Shield II",M202="Software Idiem",C202="IN",G202=4),((('BLAZE SHIELD II'!$D$4*('CALCULO MORTERO'!I202^2)+'BLAZE SHIELD II'!$D$5*'CALCULO MORTERO'!I202+'BLAZE SHIELD II'!$D$6)*LN(J202))+('BLAZE SHIELD II'!$D$7*('CALCULO MORTERO'!I202^2)+'BLAZE SHIELD II'!$D$8*'CALCULO MORTERO'!I202+'BLAZE SHIELD II'!$D$9)),0)+IF(AND(L202="Blaze Shield II",M202="Software Idiem",C202="Cj"),((('BLAZE SHIELD II'!$H$4*('CALCULO MORTERO'!I202^2)+'BLAZE SHIELD II'!$H$5*'CALCULO MORTERO'!I202+'BLAZE SHIELD II'!$H$6)*LN(J202))+('BLAZE SHIELD II'!$H$7*('CALCULO MORTERO'!I202^2)+'BLAZE SHIELD II'!$H$8*'CALCULO MORTERO'!I202+'BLAZE SHIELD II'!$H$9)),0)+IF(AND(L202="Blaze Shield II",M202="Software Idiem",C202="C"),((('BLAZE SHIELD II'!$L$4*('CALCULO MORTERO'!I202^2)+'BLAZE SHIELD II'!$L$5*'CALCULO MORTERO'!I202+'BLAZE SHIELD II'!$L$6)*LN(J202))+('BLAZE SHIELD II'!$L$7*('CALCULO MORTERO'!I202^2)+'BLAZE SHIELD II'!$L$8*'CALCULO MORTERO'!I202+'BLAZE SHIELD II'!$L$9)),0)+IF(AND(L202="Blaze Shield II",M202="Software Idiem",C202="L"),((('BLAZE SHIELD II'!$L$4*('CALCULO MORTERO'!I202^2)+'BLAZE SHIELD II'!$L$5*'CALCULO MORTERO'!I202+'BLAZE SHIELD II'!$L$6)*LN(J202))+('BLAZE SHIELD II'!$L$7*('CALCULO MORTERO'!I202^2)+'BLAZE SHIELD II'!$L$8*'CALCULO MORTERO'!I202+'BLAZE SHIELD II'!$L$9)),0)+IF(AND(L202="Blaze Shield II",M202="Software Idiem",C202="IN",G202=3),((('BLAZE SHIELD II'!$H$14*('CALCULO MORTERO'!I202^2)+'BLAZE SHIELD II'!$H$15*'CALCULO MORTERO'!I202+'BLAZE SHIELD II'!$H$16)*LN(J202))+('BLAZE SHIELD II'!$H$17*('CALCULO MORTERO'!I202^2)+'BLAZE SHIELD II'!$H$18*'CALCULO MORTERO'!I202+'BLAZE SHIELD II'!$H$19)),0),0)+ROUND(IF(AND(L202="Cafco 400",M202="Software Idiem",C202="IN",G202=4),((('CAFCO 400 '!$H$7*(J202^4)+'CAFCO 400 '!$H$8*(J202^3)+'CAFCO 400 '!$H$9*(J202^2)+'CAFCO 400 '!$H$10*J202+'CAFCO 400 '!$H$11)*U202^2)+(('CAFCO 400 '!$H$12*(J202^3)+'CAFCO 400 '!$H$13*(J202^2)+'CAFCO 400 '!$H$14*J202+'CAFCO 400 '!$H$15)*U202)+('CAFCO 400 '!$H$16*(J202^2)+'CAFCO 400 '!$H$17*J202+'CAFCO 400 '!$H$18)),0)+IF(AND(L202="Cafco 400",M202="Software Idiem",C202="Cj"),(((('CAFCO 400 '!$D$7*LN(J202)+'CAFCO 400 '!$D$8)*U202^2)+(('CAFCO 400 '!$D$9*LN(J202)+'CAFCO 400 '!$D$10)*U202)+('CAFCO 400 '!$D$11*LN(J202)+'CAFCO 400 '!$D$12))),0)+IF(AND(L202="Cafco 400",M202="Software Idiem",C202="C"),((('CAFCO 400 '!$L$7*(J202^3)+'CAFCO 400 '!$L$8*(J202^2)+'CAFCO 400 '!$L$9*J202+'CAFCO 400 '!$L$10)*U202^2)+(('CAFCO 400 '!$L$11*(J202^3)+'CAFCO 400 '!$L$12*(J202^2)+'CAFCO 400 '!$L$13*J202+'CAFCO 400 '!$L$14)*U202)+('CAFCO 400 '!$L$15*LN(J202)+'CAFCO 400 '!$L$16)),0)+IF(AND(L202="Cafco 400",M202="Software Idiem",C202="L"),((('CAFCO 400 '!$L$7*(J202^3)+'CAFCO 400 '!$L$8*(J202^2)+'CAFCO 400 '!$L$9*J202+'CAFCO 400 '!$L$10)*U202^2)+(('CAFCO 400 '!$L$11*(J202^3)+'CAFCO 400 '!$L$12*(J202^2)+'CAFCO 400 '!$L$13*J202+'CAFCO 400 '!$L$14)*U202)+('CAFCO 400 '!$L$15*LN(J202)+'CAFCO 400 '!$L$16)),0)+IF(AND(L202="Cafco 400",M202="Software Idiem",C202="IN",G202=3),((('CAFCO 400 '!$D$23*(J202^2)+'CAFCO 400 '!$D$24*(J202)+'CAFCO 400 '!$D$25)*U202^2)+(('CAFCO 400 '!$D$26*(J202^2)+'CAFCO 400 '!$D$27*J202+'CAFCO 400 '!$D$28)*U202)+('CAFCO 400 '!$D$29*(J202^2)+'CAFCO 400 '!$D$30*J202+'CAFCO 400 '!$D$31)),0),0)+IF(AND(L202="Cafco 300",J202&gt;=95,J202&lt;=240,C202="Cj",I202=90),VLOOKUP(T202,'CAFCO 300 IDIEM TABLAS'!$B$4:$D$23,2,FALSE),0)+IF(AND(L202="Cafco 300",J202&gt;=95,J202&lt;=240,C202="Cj",I202=120),VLOOKUP(T202,'CAFCO 300 IDIEM TABLAS'!$B$4:$D$23,3,FALSE),0)+IF(AND(L202="Cafco 300",J202&gt;=95,J202&lt;=400,G202=3,C202="IN",I202=90),VLOOKUP(T202,'CAFCO 300 IDIEM TABLAS'!$F$4:$H$35,2,FALSE),0)+IF(AND(L202="Cafco 300",J202&gt;=95,J202&lt;=400,G202=3,C202="IN",I202=120),VLOOKUP(T202,'CAFCO 300 IDIEM TABLAS'!$F$4:$H$35,3,FALSE),0)+IF(AND(L202="Cafco 300",J202&gt;=95,J202&lt;=450,G202=4,C202="IN",I202=90),VLOOKUP(T202,'CAFCO 300 IDIEM TABLAS'!$J$4:$L$40,2,FALSE),0)+IF(AND(L202="Cafco 300",J202&gt;=95,J202&lt;=450,G202=4,C202="IN",I202=120),VLOOKUP(T202,'CAFCO 300 IDIEM TABLAS'!$J$4:$L$40,3,FALSE),0)+IF(AND(M202="Ensayo Idiem",L202="Cafco 400",C202="IN",G202=4,I202=90),VLOOKUP(T202,'CAFCO 400 ENSAYO'!$B$7:$D$43,2,FALSE),0)+IF(AND(M202="Ensayo Idiem",L202="Cafco 400",C202="IN",G202=4,I202=120),VLOOKUP(T202,'CAFCO 400 ENSAYO'!$B$7:$D$43,3,FALSE),0)</f>
        <v>0</v>
      </c>
      <c r="O202" s="96">
        <f t="shared" si="21"/>
        <v>0</v>
      </c>
      <c r="P202" s="95" t="str">
        <f t="shared" si="22"/>
        <v>N/A</v>
      </c>
      <c r="Q202" s="95" t="str">
        <f t="shared" si="23"/>
        <v>N/A</v>
      </c>
      <c r="R202" s="95" t="str">
        <f t="shared" si="24"/>
        <v>NO CERT.</v>
      </c>
      <c r="S202" s="95" t="e">
        <f t="shared" ref="S202:S265" si="25">IF(AND(C202="Cj",I202=90,T202&lt;=240),"CERT.",IF(AND(C202="Cj",I202=120,T202&lt;=240),"CERT.",IF(AND(C202="IN",G202=3,I202=90,T202&lt;=400),"CERT.",IF(AND(C202="IN",G202=3,I202=120,T202&lt;=400),"CERT.",IF(AND(C202="IN",G202=4,I202=90,T202&lt;=450),"CERT.",IF(AND(C202="IN",G202=4,I202=120,T202&lt;=450),"CERT.","NO CERT."))))))</f>
        <v>#N/A</v>
      </c>
      <c r="T202" s="119" t="e">
        <f>+IF(J202=LOOKUP(J202,'CAFCO 300 IDIEM TABLAS'!$J$4:$J$40),'CALCULO MORTERO'!J202,MROUND('CALCULO MORTERO'!J202,10))</f>
        <v>#N/A</v>
      </c>
      <c r="U202" s="118">
        <f t="shared" ref="U202:U265" si="26">+I202*60</f>
        <v>0</v>
      </c>
      <c r="Y202" s="4"/>
      <c r="Z202" s="4"/>
      <c r="AA202" s="4"/>
    </row>
    <row r="203" spans="1:27" x14ac:dyDescent="0.25">
      <c r="A203" s="118">
        <f>+CUBICACION!D197</f>
        <v>0</v>
      </c>
      <c r="B203" s="819">
        <f>+CUBICACION!E197</f>
        <v>0</v>
      </c>
      <c r="C203" s="675">
        <f>+CUBICACION!F197</f>
        <v>0</v>
      </c>
      <c r="D203" s="118"/>
      <c r="E203" s="118"/>
      <c r="F203" s="820"/>
      <c r="G203" s="675">
        <f>+CUBICACION!J197</f>
        <v>0</v>
      </c>
      <c r="H203" s="118"/>
      <c r="I203" s="821">
        <f>+CUBICACION!L197</f>
        <v>0</v>
      </c>
      <c r="J203" s="64">
        <f>+CUBICACION!M197</f>
        <v>0</v>
      </c>
      <c r="K203" s="822" t="str">
        <f>+CUBICACION!N197</f>
        <v/>
      </c>
      <c r="L203" s="118">
        <f>+CUBICACION!O197</f>
        <v>0</v>
      </c>
      <c r="M203" s="823">
        <f>+CUBICACION!P197</f>
        <v>0</v>
      </c>
      <c r="N203" s="902">
        <f>ROUND(IF(AND(L203="Blaze Shield II",M203="Software Idiem",C203="IN",G203=4),((('BLAZE SHIELD II'!$D$4*('CALCULO MORTERO'!I203^2)+'BLAZE SHIELD II'!$D$5*'CALCULO MORTERO'!I203+'BLAZE SHIELD II'!$D$6)*LN(J203))+('BLAZE SHIELD II'!$D$7*('CALCULO MORTERO'!I203^2)+'BLAZE SHIELD II'!$D$8*'CALCULO MORTERO'!I203+'BLAZE SHIELD II'!$D$9)),0)+IF(AND(L203="Blaze Shield II",M203="Software Idiem",C203="Cj"),((('BLAZE SHIELD II'!$H$4*('CALCULO MORTERO'!I203^2)+'BLAZE SHIELD II'!$H$5*'CALCULO MORTERO'!I203+'BLAZE SHIELD II'!$H$6)*LN(J203))+('BLAZE SHIELD II'!$H$7*('CALCULO MORTERO'!I203^2)+'BLAZE SHIELD II'!$H$8*'CALCULO MORTERO'!I203+'BLAZE SHIELD II'!$H$9)),0)+IF(AND(L203="Blaze Shield II",M203="Software Idiem",C203="C"),((('BLAZE SHIELD II'!$L$4*('CALCULO MORTERO'!I203^2)+'BLAZE SHIELD II'!$L$5*'CALCULO MORTERO'!I203+'BLAZE SHIELD II'!$L$6)*LN(J203))+('BLAZE SHIELD II'!$L$7*('CALCULO MORTERO'!I203^2)+'BLAZE SHIELD II'!$L$8*'CALCULO MORTERO'!I203+'BLAZE SHIELD II'!$L$9)),0)+IF(AND(L203="Blaze Shield II",M203="Software Idiem",C203="L"),((('BLAZE SHIELD II'!$L$4*('CALCULO MORTERO'!I203^2)+'BLAZE SHIELD II'!$L$5*'CALCULO MORTERO'!I203+'BLAZE SHIELD II'!$L$6)*LN(J203))+('BLAZE SHIELD II'!$L$7*('CALCULO MORTERO'!I203^2)+'BLAZE SHIELD II'!$L$8*'CALCULO MORTERO'!I203+'BLAZE SHIELD II'!$L$9)),0)+IF(AND(L203="Blaze Shield II",M203="Software Idiem",C203="IN",G203=3),((('BLAZE SHIELD II'!$H$14*('CALCULO MORTERO'!I203^2)+'BLAZE SHIELD II'!$H$15*'CALCULO MORTERO'!I203+'BLAZE SHIELD II'!$H$16)*LN(J203))+('BLAZE SHIELD II'!$H$17*('CALCULO MORTERO'!I203^2)+'BLAZE SHIELD II'!$H$18*'CALCULO MORTERO'!I203+'BLAZE SHIELD II'!$H$19)),0),0)+ROUND(IF(AND(L203="Cafco 400",M203="Software Idiem",C203="IN",G203=4),((('CAFCO 400 '!$H$7*(J203^4)+'CAFCO 400 '!$H$8*(J203^3)+'CAFCO 400 '!$H$9*(J203^2)+'CAFCO 400 '!$H$10*J203+'CAFCO 400 '!$H$11)*U203^2)+(('CAFCO 400 '!$H$12*(J203^3)+'CAFCO 400 '!$H$13*(J203^2)+'CAFCO 400 '!$H$14*J203+'CAFCO 400 '!$H$15)*U203)+('CAFCO 400 '!$H$16*(J203^2)+'CAFCO 400 '!$H$17*J203+'CAFCO 400 '!$H$18)),0)+IF(AND(L203="Cafco 400",M203="Software Idiem",C203="Cj"),(((('CAFCO 400 '!$D$7*LN(J203)+'CAFCO 400 '!$D$8)*U203^2)+(('CAFCO 400 '!$D$9*LN(J203)+'CAFCO 400 '!$D$10)*U203)+('CAFCO 400 '!$D$11*LN(J203)+'CAFCO 400 '!$D$12))),0)+IF(AND(L203="Cafco 400",M203="Software Idiem",C203="C"),((('CAFCO 400 '!$L$7*(J203^3)+'CAFCO 400 '!$L$8*(J203^2)+'CAFCO 400 '!$L$9*J203+'CAFCO 400 '!$L$10)*U203^2)+(('CAFCO 400 '!$L$11*(J203^3)+'CAFCO 400 '!$L$12*(J203^2)+'CAFCO 400 '!$L$13*J203+'CAFCO 400 '!$L$14)*U203)+('CAFCO 400 '!$L$15*LN(J203)+'CAFCO 400 '!$L$16)),0)+IF(AND(L203="Cafco 400",M203="Software Idiem",C203="L"),((('CAFCO 400 '!$L$7*(J203^3)+'CAFCO 400 '!$L$8*(J203^2)+'CAFCO 400 '!$L$9*J203+'CAFCO 400 '!$L$10)*U203^2)+(('CAFCO 400 '!$L$11*(J203^3)+'CAFCO 400 '!$L$12*(J203^2)+'CAFCO 400 '!$L$13*J203+'CAFCO 400 '!$L$14)*U203)+('CAFCO 400 '!$L$15*LN(J203)+'CAFCO 400 '!$L$16)),0)+IF(AND(L203="Cafco 400",M203="Software Idiem",C203="IN",G203=3),((('CAFCO 400 '!$D$23*(J203^2)+'CAFCO 400 '!$D$24*(J203)+'CAFCO 400 '!$D$25)*U203^2)+(('CAFCO 400 '!$D$26*(J203^2)+'CAFCO 400 '!$D$27*J203+'CAFCO 400 '!$D$28)*U203)+('CAFCO 400 '!$D$29*(J203^2)+'CAFCO 400 '!$D$30*J203+'CAFCO 400 '!$D$31)),0),0)+IF(AND(L203="Cafco 300",J203&gt;=95,J203&lt;=240,C203="Cj",I203=90),VLOOKUP(T203,'CAFCO 300 IDIEM TABLAS'!$B$4:$D$23,2,FALSE),0)+IF(AND(L203="Cafco 300",J203&gt;=95,J203&lt;=240,C203="Cj",I203=120),VLOOKUP(T203,'CAFCO 300 IDIEM TABLAS'!$B$4:$D$23,3,FALSE),0)+IF(AND(L203="Cafco 300",J203&gt;=95,J203&lt;=400,G203=3,C203="IN",I203=90),VLOOKUP(T203,'CAFCO 300 IDIEM TABLAS'!$F$4:$H$35,2,FALSE),0)+IF(AND(L203="Cafco 300",J203&gt;=95,J203&lt;=400,G203=3,C203="IN",I203=120),VLOOKUP(T203,'CAFCO 300 IDIEM TABLAS'!$F$4:$H$35,3,FALSE),0)+IF(AND(L203="Cafco 300",J203&gt;=95,J203&lt;=450,G203=4,C203="IN",I203=90),VLOOKUP(T203,'CAFCO 300 IDIEM TABLAS'!$J$4:$L$40,2,FALSE),0)+IF(AND(L203="Cafco 300",J203&gt;=95,J203&lt;=450,G203=4,C203="IN",I203=120),VLOOKUP(T203,'CAFCO 300 IDIEM TABLAS'!$J$4:$L$40,3,FALSE),0)+IF(AND(M203="Ensayo Idiem",L203="Cafco 400",C203="IN",G203=4,I203=90),VLOOKUP(T203,'CAFCO 400 ENSAYO'!$B$7:$D$43,2,FALSE),0)+IF(AND(M203="Ensayo Idiem",L203="Cafco 400",C203="IN",G203=4,I203=120),VLOOKUP(T203,'CAFCO 400 ENSAYO'!$B$7:$D$43,3,FALSE),0)</f>
        <v>0</v>
      </c>
      <c r="O203" s="96">
        <f t="shared" ref="O203:O266" si="27">((IF(L203="Blaze Shield II",((K203*N203*0.43)/38),IF(L203="Cafco 400",((K203*N203*0.43)/23),IF(L203="Cafco 300",((K203*N203*0.43)/31.16),0)))))</f>
        <v>0</v>
      </c>
      <c r="P203" s="95" t="str">
        <f t="shared" ref="P203:P266" si="28">IF(AND(M203="Software Idiem"),IF(AND(C203="IN",G203=4,J203&gt;=50,J203&lt;=500),"CERT.",IF(AND(C203="Cj",J203&gt;=50,J203&lt;=500),"CERT.",IF(AND(C203="C",J203&gt;=50,J203&lt;=1000),"CERT.",IF(AND(C203="L",J203&gt;=50,J203&lt;=1000),"CERT.",IF(AND(C203="IN",G203=3,J203&gt;=50,J203&lt;=500),"CERT.","NO CERT."))))),"N/A")</f>
        <v>N/A</v>
      </c>
      <c r="Q203" s="95" t="str">
        <f t="shared" ref="Q203:Q266" si="29">IF(AND(M203="Software Idiem"),IF(AND(C203="IN",G203=4,J203&gt;=50,J203&lt;=500),"CERT.",IF(AND(C203="Cj",J203&gt;=50,J203&lt;=500),"CERT.",IF(AND(C203="C",J203&gt;=50,J203&lt;=1000),"CERT.",IF(AND(C203="L",J203&gt;=50,J203&lt;=1000),"CERT.",IF(AND(C203="IN",G203=3,J203&gt;=50,J203&lt;=500),"CERT.","NO CERT."))))),"N/A")</f>
        <v>N/A</v>
      </c>
      <c r="R203" s="95" t="str">
        <f t="shared" ref="R203:R266" si="30">IF(AND(C203="IN",G203=4,J203&gt;=95,J203&lt;=450,I203=90),"CERT.",IF(AND(C203="IN",G203=4,J203&gt;=95,J203&lt;=450,I203=120),"CERT.","NO CERT."))</f>
        <v>NO CERT.</v>
      </c>
      <c r="S203" s="95" t="e">
        <f t="shared" si="25"/>
        <v>#N/A</v>
      </c>
      <c r="T203" s="119" t="e">
        <f>+IF(J203=LOOKUP(J203,'CAFCO 300 IDIEM TABLAS'!$J$4:$J$40),'CALCULO MORTERO'!J203,MROUND('CALCULO MORTERO'!J203,10))</f>
        <v>#N/A</v>
      </c>
      <c r="U203" s="118">
        <f t="shared" si="26"/>
        <v>0</v>
      </c>
      <c r="Y203" s="4"/>
      <c r="Z203" s="4"/>
      <c r="AA203" s="4"/>
    </row>
    <row r="204" spans="1:27" ht="15.6" customHeight="1" x14ac:dyDescent="0.25">
      <c r="A204" s="118">
        <f>+CUBICACION!D198</f>
        <v>0</v>
      </c>
      <c r="B204" s="819">
        <f>+CUBICACION!E198</f>
        <v>0</v>
      </c>
      <c r="C204" s="675">
        <f>+CUBICACION!F198</f>
        <v>0</v>
      </c>
      <c r="D204" s="118"/>
      <c r="E204" s="118"/>
      <c r="F204" s="820"/>
      <c r="G204" s="675">
        <f>+CUBICACION!J198</f>
        <v>0</v>
      </c>
      <c r="H204" s="118"/>
      <c r="I204" s="821">
        <f>+CUBICACION!L198</f>
        <v>0</v>
      </c>
      <c r="J204" s="64">
        <f>+CUBICACION!M198</f>
        <v>0</v>
      </c>
      <c r="K204" s="822" t="str">
        <f>+CUBICACION!N198</f>
        <v/>
      </c>
      <c r="L204" s="118">
        <f>+CUBICACION!O198</f>
        <v>0</v>
      </c>
      <c r="M204" s="823">
        <f>+CUBICACION!P198</f>
        <v>0</v>
      </c>
      <c r="N204" s="902">
        <f>ROUND(IF(AND(L204="Blaze Shield II",M204="Software Idiem",C204="IN",G204=4),((('BLAZE SHIELD II'!$D$4*('CALCULO MORTERO'!I204^2)+'BLAZE SHIELD II'!$D$5*'CALCULO MORTERO'!I204+'BLAZE SHIELD II'!$D$6)*LN(J204))+('BLAZE SHIELD II'!$D$7*('CALCULO MORTERO'!I204^2)+'BLAZE SHIELD II'!$D$8*'CALCULO MORTERO'!I204+'BLAZE SHIELD II'!$D$9)),0)+IF(AND(L204="Blaze Shield II",M204="Software Idiem",C204="Cj"),((('BLAZE SHIELD II'!$H$4*('CALCULO MORTERO'!I204^2)+'BLAZE SHIELD II'!$H$5*'CALCULO MORTERO'!I204+'BLAZE SHIELD II'!$H$6)*LN(J204))+('BLAZE SHIELD II'!$H$7*('CALCULO MORTERO'!I204^2)+'BLAZE SHIELD II'!$H$8*'CALCULO MORTERO'!I204+'BLAZE SHIELD II'!$H$9)),0)+IF(AND(L204="Blaze Shield II",M204="Software Idiem",C204="C"),((('BLAZE SHIELD II'!$L$4*('CALCULO MORTERO'!I204^2)+'BLAZE SHIELD II'!$L$5*'CALCULO MORTERO'!I204+'BLAZE SHIELD II'!$L$6)*LN(J204))+('BLAZE SHIELD II'!$L$7*('CALCULO MORTERO'!I204^2)+'BLAZE SHIELD II'!$L$8*'CALCULO MORTERO'!I204+'BLAZE SHIELD II'!$L$9)),0)+IF(AND(L204="Blaze Shield II",M204="Software Idiem",C204="L"),((('BLAZE SHIELD II'!$L$4*('CALCULO MORTERO'!I204^2)+'BLAZE SHIELD II'!$L$5*'CALCULO MORTERO'!I204+'BLAZE SHIELD II'!$L$6)*LN(J204))+('BLAZE SHIELD II'!$L$7*('CALCULO MORTERO'!I204^2)+'BLAZE SHIELD II'!$L$8*'CALCULO MORTERO'!I204+'BLAZE SHIELD II'!$L$9)),0)+IF(AND(L204="Blaze Shield II",M204="Software Idiem",C204="IN",G204=3),((('BLAZE SHIELD II'!$H$14*('CALCULO MORTERO'!I204^2)+'BLAZE SHIELD II'!$H$15*'CALCULO MORTERO'!I204+'BLAZE SHIELD II'!$H$16)*LN(J204))+('BLAZE SHIELD II'!$H$17*('CALCULO MORTERO'!I204^2)+'BLAZE SHIELD II'!$H$18*'CALCULO MORTERO'!I204+'BLAZE SHIELD II'!$H$19)),0),0)+ROUND(IF(AND(L204="Cafco 400",M204="Software Idiem",C204="IN",G204=4),((('CAFCO 400 '!$H$7*(J204^4)+'CAFCO 400 '!$H$8*(J204^3)+'CAFCO 400 '!$H$9*(J204^2)+'CAFCO 400 '!$H$10*J204+'CAFCO 400 '!$H$11)*U204^2)+(('CAFCO 400 '!$H$12*(J204^3)+'CAFCO 400 '!$H$13*(J204^2)+'CAFCO 400 '!$H$14*J204+'CAFCO 400 '!$H$15)*U204)+('CAFCO 400 '!$H$16*(J204^2)+'CAFCO 400 '!$H$17*J204+'CAFCO 400 '!$H$18)),0)+IF(AND(L204="Cafco 400",M204="Software Idiem",C204="Cj"),(((('CAFCO 400 '!$D$7*LN(J204)+'CAFCO 400 '!$D$8)*U204^2)+(('CAFCO 400 '!$D$9*LN(J204)+'CAFCO 400 '!$D$10)*U204)+('CAFCO 400 '!$D$11*LN(J204)+'CAFCO 400 '!$D$12))),0)+IF(AND(L204="Cafco 400",M204="Software Idiem",C204="C"),((('CAFCO 400 '!$L$7*(J204^3)+'CAFCO 400 '!$L$8*(J204^2)+'CAFCO 400 '!$L$9*J204+'CAFCO 400 '!$L$10)*U204^2)+(('CAFCO 400 '!$L$11*(J204^3)+'CAFCO 400 '!$L$12*(J204^2)+'CAFCO 400 '!$L$13*J204+'CAFCO 400 '!$L$14)*U204)+('CAFCO 400 '!$L$15*LN(J204)+'CAFCO 400 '!$L$16)),0)+IF(AND(L204="Cafco 400",M204="Software Idiem",C204="L"),((('CAFCO 400 '!$L$7*(J204^3)+'CAFCO 400 '!$L$8*(J204^2)+'CAFCO 400 '!$L$9*J204+'CAFCO 400 '!$L$10)*U204^2)+(('CAFCO 400 '!$L$11*(J204^3)+'CAFCO 400 '!$L$12*(J204^2)+'CAFCO 400 '!$L$13*J204+'CAFCO 400 '!$L$14)*U204)+('CAFCO 400 '!$L$15*LN(J204)+'CAFCO 400 '!$L$16)),0)+IF(AND(L204="Cafco 400",M204="Software Idiem",C204="IN",G204=3),((('CAFCO 400 '!$D$23*(J204^2)+'CAFCO 400 '!$D$24*(J204)+'CAFCO 400 '!$D$25)*U204^2)+(('CAFCO 400 '!$D$26*(J204^2)+'CAFCO 400 '!$D$27*J204+'CAFCO 400 '!$D$28)*U204)+('CAFCO 400 '!$D$29*(J204^2)+'CAFCO 400 '!$D$30*J204+'CAFCO 400 '!$D$31)),0),0)+IF(AND(L204="Cafco 300",J204&gt;=95,J204&lt;=240,C204="Cj",I204=90),VLOOKUP(T204,'CAFCO 300 IDIEM TABLAS'!$B$4:$D$23,2,FALSE),0)+IF(AND(L204="Cafco 300",J204&gt;=95,J204&lt;=240,C204="Cj",I204=120),VLOOKUP(T204,'CAFCO 300 IDIEM TABLAS'!$B$4:$D$23,3,FALSE),0)+IF(AND(L204="Cafco 300",J204&gt;=95,J204&lt;=400,G204=3,C204="IN",I204=90),VLOOKUP(T204,'CAFCO 300 IDIEM TABLAS'!$F$4:$H$35,2,FALSE),0)+IF(AND(L204="Cafco 300",J204&gt;=95,J204&lt;=400,G204=3,C204="IN",I204=120),VLOOKUP(T204,'CAFCO 300 IDIEM TABLAS'!$F$4:$H$35,3,FALSE),0)+IF(AND(L204="Cafco 300",J204&gt;=95,J204&lt;=450,G204=4,C204="IN",I204=90),VLOOKUP(T204,'CAFCO 300 IDIEM TABLAS'!$J$4:$L$40,2,FALSE),0)+IF(AND(L204="Cafco 300",J204&gt;=95,J204&lt;=450,G204=4,C204="IN",I204=120),VLOOKUP(T204,'CAFCO 300 IDIEM TABLAS'!$J$4:$L$40,3,FALSE),0)+IF(AND(M204="Ensayo Idiem",L204="Cafco 400",C204="IN",G204=4,I204=90),VLOOKUP(T204,'CAFCO 400 ENSAYO'!$B$7:$D$43,2,FALSE),0)+IF(AND(M204="Ensayo Idiem",L204="Cafco 400",C204="IN",G204=4,I204=120),VLOOKUP(T204,'CAFCO 400 ENSAYO'!$B$7:$D$43,3,FALSE),0)</f>
        <v>0</v>
      </c>
      <c r="O204" s="96">
        <f t="shared" si="27"/>
        <v>0</v>
      </c>
      <c r="P204" s="95" t="str">
        <f t="shared" si="28"/>
        <v>N/A</v>
      </c>
      <c r="Q204" s="95" t="str">
        <f t="shared" si="29"/>
        <v>N/A</v>
      </c>
      <c r="R204" s="95" t="str">
        <f t="shared" si="30"/>
        <v>NO CERT.</v>
      </c>
      <c r="S204" s="95" t="e">
        <f t="shared" si="25"/>
        <v>#N/A</v>
      </c>
      <c r="T204" s="119" t="e">
        <f>+IF(J204=LOOKUP(J204,'CAFCO 300 IDIEM TABLAS'!$J$4:$J$40),'CALCULO MORTERO'!J204,MROUND('CALCULO MORTERO'!J204,10))</f>
        <v>#N/A</v>
      </c>
      <c r="U204" s="118">
        <f t="shared" si="26"/>
        <v>0</v>
      </c>
      <c r="Y204" s="4"/>
      <c r="Z204" s="4"/>
      <c r="AA204" s="4"/>
    </row>
    <row r="205" spans="1:27" x14ac:dyDescent="0.25">
      <c r="A205" s="118">
        <f>+CUBICACION!D199</f>
        <v>0</v>
      </c>
      <c r="B205" s="819">
        <f>+CUBICACION!E199</f>
        <v>0</v>
      </c>
      <c r="C205" s="675">
        <f>+CUBICACION!F199</f>
        <v>0</v>
      </c>
      <c r="D205" s="118"/>
      <c r="E205" s="118"/>
      <c r="F205" s="820"/>
      <c r="G205" s="675">
        <f>+CUBICACION!J199</f>
        <v>0</v>
      </c>
      <c r="H205" s="118"/>
      <c r="I205" s="821">
        <f>+CUBICACION!L199</f>
        <v>0</v>
      </c>
      <c r="J205" s="64">
        <f>+CUBICACION!M199</f>
        <v>0</v>
      </c>
      <c r="K205" s="822" t="str">
        <f>+CUBICACION!N199</f>
        <v/>
      </c>
      <c r="L205" s="118">
        <f>+CUBICACION!O199</f>
        <v>0</v>
      </c>
      <c r="M205" s="823">
        <f>+CUBICACION!P199</f>
        <v>0</v>
      </c>
      <c r="N205" s="902">
        <f>ROUND(IF(AND(L205="Blaze Shield II",M205="Software Idiem",C205="IN",G205=4),((('BLAZE SHIELD II'!$D$4*('CALCULO MORTERO'!I205^2)+'BLAZE SHIELD II'!$D$5*'CALCULO MORTERO'!I205+'BLAZE SHIELD II'!$D$6)*LN(J205))+('BLAZE SHIELD II'!$D$7*('CALCULO MORTERO'!I205^2)+'BLAZE SHIELD II'!$D$8*'CALCULO MORTERO'!I205+'BLAZE SHIELD II'!$D$9)),0)+IF(AND(L205="Blaze Shield II",M205="Software Idiem",C205="Cj"),((('BLAZE SHIELD II'!$H$4*('CALCULO MORTERO'!I205^2)+'BLAZE SHIELD II'!$H$5*'CALCULO MORTERO'!I205+'BLAZE SHIELD II'!$H$6)*LN(J205))+('BLAZE SHIELD II'!$H$7*('CALCULO MORTERO'!I205^2)+'BLAZE SHIELD II'!$H$8*'CALCULO MORTERO'!I205+'BLAZE SHIELD II'!$H$9)),0)+IF(AND(L205="Blaze Shield II",M205="Software Idiem",C205="C"),((('BLAZE SHIELD II'!$L$4*('CALCULO MORTERO'!I205^2)+'BLAZE SHIELD II'!$L$5*'CALCULO MORTERO'!I205+'BLAZE SHIELD II'!$L$6)*LN(J205))+('BLAZE SHIELD II'!$L$7*('CALCULO MORTERO'!I205^2)+'BLAZE SHIELD II'!$L$8*'CALCULO MORTERO'!I205+'BLAZE SHIELD II'!$L$9)),0)+IF(AND(L205="Blaze Shield II",M205="Software Idiem",C205="L"),((('BLAZE SHIELD II'!$L$4*('CALCULO MORTERO'!I205^2)+'BLAZE SHIELD II'!$L$5*'CALCULO MORTERO'!I205+'BLAZE SHIELD II'!$L$6)*LN(J205))+('BLAZE SHIELD II'!$L$7*('CALCULO MORTERO'!I205^2)+'BLAZE SHIELD II'!$L$8*'CALCULO MORTERO'!I205+'BLAZE SHIELD II'!$L$9)),0)+IF(AND(L205="Blaze Shield II",M205="Software Idiem",C205="IN",G205=3),((('BLAZE SHIELD II'!$H$14*('CALCULO MORTERO'!I205^2)+'BLAZE SHIELD II'!$H$15*'CALCULO MORTERO'!I205+'BLAZE SHIELD II'!$H$16)*LN(J205))+('BLAZE SHIELD II'!$H$17*('CALCULO MORTERO'!I205^2)+'BLAZE SHIELD II'!$H$18*'CALCULO MORTERO'!I205+'BLAZE SHIELD II'!$H$19)),0),0)+ROUND(IF(AND(L205="Cafco 400",M205="Software Idiem",C205="IN",G205=4),((('CAFCO 400 '!$H$7*(J205^4)+'CAFCO 400 '!$H$8*(J205^3)+'CAFCO 400 '!$H$9*(J205^2)+'CAFCO 400 '!$H$10*J205+'CAFCO 400 '!$H$11)*U205^2)+(('CAFCO 400 '!$H$12*(J205^3)+'CAFCO 400 '!$H$13*(J205^2)+'CAFCO 400 '!$H$14*J205+'CAFCO 400 '!$H$15)*U205)+('CAFCO 400 '!$H$16*(J205^2)+'CAFCO 400 '!$H$17*J205+'CAFCO 400 '!$H$18)),0)+IF(AND(L205="Cafco 400",M205="Software Idiem",C205="Cj"),(((('CAFCO 400 '!$D$7*LN(J205)+'CAFCO 400 '!$D$8)*U205^2)+(('CAFCO 400 '!$D$9*LN(J205)+'CAFCO 400 '!$D$10)*U205)+('CAFCO 400 '!$D$11*LN(J205)+'CAFCO 400 '!$D$12))),0)+IF(AND(L205="Cafco 400",M205="Software Idiem",C205="C"),((('CAFCO 400 '!$L$7*(J205^3)+'CAFCO 400 '!$L$8*(J205^2)+'CAFCO 400 '!$L$9*J205+'CAFCO 400 '!$L$10)*U205^2)+(('CAFCO 400 '!$L$11*(J205^3)+'CAFCO 400 '!$L$12*(J205^2)+'CAFCO 400 '!$L$13*J205+'CAFCO 400 '!$L$14)*U205)+('CAFCO 400 '!$L$15*LN(J205)+'CAFCO 400 '!$L$16)),0)+IF(AND(L205="Cafco 400",M205="Software Idiem",C205="L"),((('CAFCO 400 '!$L$7*(J205^3)+'CAFCO 400 '!$L$8*(J205^2)+'CAFCO 400 '!$L$9*J205+'CAFCO 400 '!$L$10)*U205^2)+(('CAFCO 400 '!$L$11*(J205^3)+'CAFCO 400 '!$L$12*(J205^2)+'CAFCO 400 '!$L$13*J205+'CAFCO 400 '!$L$14)*U205)+('CAFCO 400 '!$L$15*LN(J205)+'CAFCO 400 '!$L$16)),0)+IF(AND(L205="Cafco 400",M205="Software Idiem",C205="IN",G205=3),((('CAFCO 400 '!$D$23*(J205^2)+'CAFCO 400 '!$D$24*(J205)+'CAFCO 400 '!$D$25)*U205^2)+(('CAFCO 400 '!$D$26*(J205^2)+'CAFCO 400 '!$D$27*J205+'CAFCO 400 '!$D$28)*U205)+('CAFCO 400 '!$D$29*(J205^2)+'CAFCO 400 '!$D$30*J205+'CAFCO 400 '!$D$31)),0),0)+IF(AND(L205="Cafco 300",J205&gt;=95,J205&lt;=240,C205="Cj",I205=90),VLOOKUP(T205,'CAFCO 300 IDIEM TABLAS'!$B$4:$D$23,2,FALSE),0)+IF(AND(L205="Cafco 300",J205&gt;=95,J205&lt;=240,C205="Cj",I205=120),VLOOKUP(T205,'CAFCO 300 IDIEM TABLAS'!$B$4:$D$23,3,FALSE),0)+IF(AND(L205="Cafco 300",J205&gt;=95,J205&lt;=400,G205=3,C205="IN",I205=90),VLOOKUP(T205,'CAFCO 300 IDIEM TABLAS'!$F$4:$H$35,2,FALSE),0)+IF(AND(L205="Cafco 300",J205&gt;=95,J205&lt;=400,G205=3,C205="IN",I205=120),VLOOKUP(T205,'CAFCO 300 IDIEM TABLAS'!$F$4:$H$35,3,FALSE),0)+IF(AND(L205="Cafco 300",J205&gt;=95,J205&lt;=450,G205=4,C205="IN",I205=90),VLOOKUP(T205,'CAFCO 300 IDIEM TABLAS'!$J$4:$L$40,2,FALSE),0)+IF(AND(L205="Cafco 300",J205&gt;=95,J205&lt;=450,G205=4,C205="IN",I205=120),VLOOKUP(T205,'CAFCO 300 IDIEM TABLAS'!$J$4:$L$40,3,FALSE),0)+IF(AND(M205="Ensayo Idiem",L205="Cafco 400",C205="IN",G205=4,I205=90),VLOOKUP(T205,'CAFCO 400 ENSAYO'!$B$7:$D$43,2,FALSE),0)+IF(AND(M205="Ensayo Idiem",L205="Cafco 400",C205="IN",G205=4,I205=120),VLOOKUP(T205,'CAFCO 400 ENSAYO'!$B$7:$D$43,3,FALSE),0)</f>
        <v>0</v>
      </c>
      <c r="O205" s="96">
        <f t="shared" si="27"/>
        <v>0</v>
      </c>
      <c r="P205" s="95" t="str">
        <f t="shared" si="28"/>
        <v>N/A</v>
      </c>
      <c r="Q205" s="95" t="str">
        <f t="shared" si="29"/>
        <v>N/A</v>
      </c>
      <c r="R205" s="95" t="str">
        <f t="shared" si="30"/>
        <v>NO CERT.</v>
      </c>
      <c r="S205" s="95" t="e">
        <f t="shared" si="25"/>
        <v>#N/A</v>
      </c>
      <c r="T205" s="119" t="e">
        <f>+IF(J205=LOOKUP(J205,'CAFCO 300 IDIEM TABLAS'!$J$4:$J$40),'CALCULO MORTERO'!J205,MROUND('CALCULO MORTERO'!J205,10))</f>
        <v>#N/A</v>
      </c>
      <c r="U205" s="118">
        <f t="shared" si="26"/>
        <v>0</v>
      </c>
      <c r="Y205" s="4"/>
      <c r="Z205" s="4"/>
      <c r="AA205" s="4"/>
    </row>
    <row r="206" spans="1:27" ht="15.6" customHeight="1" x14ac:dyDescent="0.25">
      <c r="A206" s="118">
        <f>+CUBICACION!D200</f>
        <v>0</v>
      </c>
      <c r="B206" s="819">
        <f>+CUBICACION!E200</f>
        <v>0</v>
      </c>
      <c r="C206" s="675">
        <f>+CUBICACION!F200</f>
        <v>0</v>
      </c>
      <c r="D206" s="118"/>
      <c r="E206" s="118"/>
      <c r="F206" s="820"/>
      <c r="G206" s="675">
        <f>+CUBICACION!J200</f>
        <v>0</v>
      </c>
      <c r="H206" s="118"/>
      <c r="I206" s="821">
        <f>+CUBICACION!L200</f>
        <v>0</v>
      </c>
      <c r="J206" s="64">
        <f>+CUBICACION!M200</f>
        <v>0</v>
      </c>
      <c r="K206" s="822" t="str">
        <f>+CUBICACION!N200</f>
        <v/>
      </c>
      <c r="L206" s="118">
        <f>+CUBICACION!O200</f>
        <v>0</v>
      </c>
      <c r="M206" s="823">
        <f>+CUBICACION!P200</f>
        <v>0</v>
      </c>
      <c r="N206" s="902">
        <f>ROUND(IF(AND(L206="Blaze Shield II",M206="Software Idiem",C206="IN",G206=4),((('BLAZE SHIELD II'!$D$4*('CALCULO MORTERO'!I206^2)+'BLAZE SHIELD II'!$D$5*'CALCULO MORTERO'!I206+'BLAZE SHIELD II'!$D$6)*LN(J206))+('BLAZE SHIELD II'!$D$7*('CALCULO MORTERO'!I206^2)+'BLAZE SHIELD II'!$D$8*'CALCULO MORTERO'!I206+'BLAZE SHIELD II'!$D$9)),0)+IF(AND(L206="Blaze Shield II",M206="Software Idiem",C206="Cj"),((('BLAZE SHIELD II'!$H$4*('CALCULO MORTERO'!I206^2)+'BLAZE SHIELD II'!$H$5*'CALCULO MORTERO'!I206+'BLAZE SHIELD II'!$H$6)*LN(J206))+('BLAZE SHIELD II'!$H$7*('CALCULO MORTERO'!I206^2)+'BLAZE SHIELD II'!$H$8*'CALCULO MORTERO'!I206+'BLAZE SHIELD II'!$H$9)),0)+IF(AND(L206="Blaze Shield II",M206="Software Idiem",C206="C"),((('BLAZE SHIELD II'!$L$4*('CALCULO MORTERO'!I206^2)+'BLAZE SHIELD II'!$L$5*'CALCULO MORTERO'!I206+'BLAZE SHIELD II'!$L$6)*LN(J206))+('BLAZE SHIELD II'!$L$7*('CALCULO MORTERO'!I206^2)+'BLAZE SHIELD II'!$L$8*'CALCULO MORTERO'!I206+'BLAZE SHIELD II'!$L$9)),0)+IF(AND(L206="Blaze Shield II",M206="Software Idiem",C206="L"),((('BLAZE SHIELD II'!$L$4*('CALCULO MORTERO'!I206^2)+'BLAZE SHIELD II'!$L$5*'CALCULO MORTERO'!I206+'BLAZE SHIELD II'!$L$6)*LN(J206))+('BLAZE SHIELD II'!$L$7*('CALCULO MORTERO'!I206^2)+'BLAZE SHIELD II'!$L$8*'CALCULO MORTERO'!I206+'BLAZE SHIELD II'!$L$9)),0)+IF(AND(L206="Blaze Shield II",M206="Software Idiem",C206="IN",G206=3),((('BLAZE SHIELD II'!$H$14*('CALCULO MORTERO'!I206^2)+'BLAZE SHIELD II'!$H$15*'CALCULO MORTERO'!I206+'BLAZE SHIELD II'!$H$16)*LN(J206))+('BLAZE SHIELD II'!$H$17*('CALCULO MORTERO'!I206^2)+'BLAZE SHIELD II'!$H$18*'CALCULO MORTERO'!I206+'BLAZE SHIELD II'!$H$19)),0),0)+ROUND(IF(AND(L206="Cafco 400",M206="Software Idiem",C206="IN",G206=4),((('CAFCO 400 '!$H$7*(J206^4)+'CAFCO 400 '!$H$8*(J206^3)+'CAFCO 400 '!$H$9*(J206^2)+'CAFCO 400 '!$H$10*J206+'CAFCO 400 '!$H$11)*U206^2)+(('CAFCO 400 '!$H$12*(J206^3)+'CAFCO 400 '!$H$13*(J206^2)+'CAFCO 400 '!$H$14*J206+'CAFCO 400 '!$H$15)*U206)+('CAFCO 400 '!$H$16*(J206^2)+'CAFCO 400 '!$H$17*J206+'CAFCO 400 '!$H$18)),0)+IF(AND(L206="Cafco 400",M206="Software Idiem",C206="Cj"),(((('CAFCO 400 '!$D$7*LN(J206)+'CAFCO 400 '!$D$8)*U206^2)+(('CAFCO 400 '!$D$9*LN(J206)+'CAFCO 400 '!$D$10)*U206)+('CAFCO 400 '!$D$11*LN(J206)+'CAFCO 400 '!$D$12))),0)+IF(AND(L206="Cafco 400",M206="Software Idiem",C206="C"),((('CAFCO 400 '!$L$7*(J206^3)+'CAFCO 400 '!$L$8*(J206^2)+'CAFCO 400 '!$L$9*J206+'CAFCO 400 '!$L$10)*U206^2)+(('CAFCO 400 '!$L$11*(J206^3)+'CAFCO 400 '!$L$12*(J206^2)+'CAFCO 400 '!$L$13*J206+'CAFCO 400 '!$L$14)*U206)+('CAFCO 400 '!$L$15*LN(J206)+'CAFCO 400 '!$L$16)),0)+IF(AND(L206="Cafco 400",M206="Software Idiem",C206="L"),((('CAFCO 400 '!$L$7*(J206^3)+'CAFCO 400 '!$L$8*(J206^2)+'CAFCO 400 '!$L$9*J206+'CAFCO 400 '!$L$10)*U206^2)+(('CAFCO 400 '!$L$11*(J206^3)+'CAFCO 400 '!$L$12*(J206^2)+'CAFCO 400 '!$L$13*J206+'CAFCO 400 '!$L$14)*U206)+('CAFCO 400 '!$L$15*LN(J206)+'CAFCO 400 '!$L$16)),0)+IF(AND(L206="Cafco 400",M206="Software Idiem",C206="IN",G206=3),((('CAFCO 400 '!$D$23*(J206^2)+'CAFCO 400 '!$D$24*(J206)+'CAFCO 400 '!$D$25)*U206^2)+(('CAFCO 400 '!$D$26*(J206^2)+'CAFCO 400 '!$D$27*J206+'CAFCO 400 '!$D$28)*U206)+('CAFCO 400 '!$D$29*(J206^2)+'CAFCO 400 '!$D$30*J206+'CAFCO 400 '!$D$31)),0),0)+IF(AND(L206="Cafco 300",J206&gt;=95,J206&lt;=240,C206="Cj",I206=90),VLOOKUP(T206,'CAFCO 300 IDIEM TABLAS'!$B$4:$D$23,2,FALSE),0)+IF(AND(L206="Cafco 300",J206&gt;=95,J206&lt;=240,C206="Cj",I206=120),VLOOKUP(T206,'CAFCO 300 IDIEM TABLAS'!$B$4:$D$23,3,FALSE),0)+IF(AND(L206="Cafco 300",J206&gt;=95,J206&lt;=400,G206=3,C206="IN",I206=90),VLOOKUP(T206,'CAFCO 300 IDIEM TABLAS'!$F$4:$H$35,2,FALSE),0)+IF(AND(L206="Cafco 300",J206&gt;=95,J206&lt;=400,G206=3,C206="IN",I206=120),VLOOKUP(T206,'CAFCO 300 IDIEM TABLAS'!$F$4:$H$35,3,FALSE),0)+IF(AND(L206="Cafco 300",J206&gt;=95,J206&lt;=450,G206=4,C206="IN",I206=90),VLOOKUP(T206,'CAFCO 300 IDIEM TABLAS'!$J$4:$L$40,2,FALSE),0)+IF(AND(L206="Cafco 300",J206&gt;=95,J206&lt;=450,G206=4,C206="IN",I206=120),VLOOKUP(T206,'CAFCO 300 IDIEM TABLAS'!$J$4:$L$40,3,FALSE),0)+IF(AND(M206="Ensayo Idiem",L206="Cafco 400",C206="IN",G206=4,I206=90),VLOOKUP(T206,'CAFCO 400 ENSAYO'!$B$7:$D$43,2,FALSE),0)+IF(AND(M206="Ensayo Idiem",L206="Cafco 400",C206="IN",G206=4,I206=120),VLOOKUP(T206,'CAFCO 400 ENSAYO'!$B$7:$D$43,3,FALSE),0)</f>
        <v>0</v>
      </c>
      <c r="O206" s="96">
        <f t="shared" si="27"/>
        <v>0</v>
      </c>
      <c r="P206" s="95" t="str">
        <f t="shared" si="28"/>
        <v>N/A</v>
      </c>
      <c r="Q206" s="95" t="str">
        <f t="shared" si="29"/>
        <v>N/A</v>
      </c>
      <c r="R206" s="95" t="str">
        <f t="shared" si="30"/>
        <v>NO CERT.</v>
      </c>
      <c r="S206" s="95" t="e">
        <f t="shared" si="25"/>
        <v>#N/A</v>
      </c>
      <c r="T206" s="119" t="e">
        <f>+IF(J206=LOOKUP(J206,'CAFCO 300 IDIEM TABLAS'!$J$4:$J$40),'CALCULO MORTERO'!J206,MROUND('CALCULO MORTERO'!J206,10))</f>
        <v>#N/A</v>
      </c>
      <c r="U206" s="118">
        <f t="shared" si="26"/>
        <v>0</v>
      </c>
      <c r="Y206" s="4"/>
      <c r="Z206" s="4"/>
      <c r="AA206" s="4"/>
    </row>
    <row r="207" spans="1:27" x14ac:dyDescent="0.25">
      <c r="A207" s="118">
        <f>+CUBICACION!D201</f>
        <v>0</v>
      </c>
      <c r="B207" s="819">
        <f>+CUBICACION!E201</f>
        <v>0</v>
      </c>
      <c r="C207" s="675">
        <f>+CUBICACION!F201</f>
        <v>0</v>
      </c>
      <c r="D207" s="118"/>
      <c r="E207" s="118"/>
      <c r="F207" s="820"/>
      <c r="G207" s="675">
        <f>+CUBICACION!J201</f>
        <v>0</v>
      </c>
      <c r="H207" s="118"/>
      <c r="I207" s="821">
        <f>+CUBICACION!L201</f>
        <v>0</v>
      </c>
      <c r="J207" s="64">
        <f>+CUBICACION!M201</f>
        <v>0</v>
      </c>
      <c r="K207" s="822" t="str">
        <f>+CUBICACION!N201</f>
        <v/>
      </c>
      <c r="L207" s="118">
        <f>+CUBICACION!O201</f>
        <v>0</v>
      </c>
      <c r="M207" s="823">
        <f>+CUBICACION!P201</f>
        <v>0</v>
      </c>
      <c r="N207" s="902">
        <f>ROUND(IF(AND(L207="Blaze Shield II",M207="Software Idiem",C207="IN",G207=4),((('BLAZE SHIELD II'!$D$4*('CALCULO MORTERO'!I207^2)+'BLAZE SHIELD II'!$D$5*'CALCULO MORTERO'!I207+'BLAZE SHIELD II'!$D$6)*LN(J207))+('BLAZE SHIELD II'!$D$7*('CALCULO MORTERO'!I207^2)+'BLAZE SHIELD II'!$D$8*'CALCULO MORTERO'!I207+'BLAZE SHIELD II'!$D$9)),0)+IF(AND(L207="Blaze Shield II",M207="Software Idiem",C207="Cj"),((('BLAZE SHIELD II'!$H$4*('CALCULO MORTERO'!I207^2)+'BLAZE SHIELD II'!$H$5*'CALCULO MORTERO'!I207+'BLAZE SHIELD II'!$H$6)*LN(J207))+('BLAZE SHIELD II'!$H$7*('CALCULO MORTERO'!I207^2)+'BLAZE SHIELD II'!$H$8*'CALCULO MORTERO'!I207+'BLAZE SHIELD II'!$H$9)),0)+IF(AND(L207="Blaze Shield II",M207="Software Idiem",C207="C"),((('BLAZE SHIELD II'!$L$4*('CALCULO MORTERO'!I207^2)+'BLAZE SHIELD II'!$L$5*'CALCULO MORTERO'!I207+'BLAZE SHIELD II'!$L$6)*LN(J207))+('BLAZE SHIELD II'!$L$7*('CALCULO MORTERO'!I207^2)+'BLAZE SHIELD II'!$L$8*'CALCULO MORTERO'!I207+'BLAZE SHIELD II'!$L$9)),0)+IF(AND(L207="Blaze Shield II",M207="Software Idiem",C207="L"),((('BLAZE SHIELD II'!$L$4*('CALCULO MORTERO'!I207^2)+'BLAZE SHIELD II'!$L$5*'CALCULO MORTERO'!I207+'BLAZE SHIELD II'!$L$6)*LN(J207))+('BLAZE SHIELD II'!$L$7*('CALCULO MORTERO'!I207^2)+'BLAZE SHIELD II'!$L$8*'CALCULO MORTERO'!I207+'BLAZE SHIELD II'!$L$9)),0)+IF(AND(L207="Blaze Shield II",M207="Software Idiem",C207="IN",G207=3),((('BLAZE SHIELD II'!$H$14*('CALCULO MORTERO'!I207^2)+'BLAZE SHIELD II'!$H$15*'CALCULO MORTERO'!I207+'BLAZE SHIELD II'!$H$16)*LN(J207))+('BLAZE SHIELD II'!$H$17*('CALCULO MORTERO'!I207^2)+'BLAZE SHIELD II'!$H$18*'CALCULO MORTERO'!I207+'BLAZE SHIELD II'!$H$19)),0),0)+ROUND(IF(AND(L207="Cafco 400",M207="Software Idiem",C207="IN",G207=4),((('CAFCO 400 '!$H$7*(J207^4)+'CAFCO 400 '!$H$8*(J207^3)+'CAFCO 400 '!$H$9*(J207^2)+'CAFCO 400 '!$H$10*J207+'CAFCO 400 '!$H$11)*U207^2)+(('CAFCO 400 '!$H$12*(J207^3)+'CAFCO 400 '!$H$13*(J207^2)+'CAFCO 400 '!$H$14*J207+'CAFCO 400 '!$H$15)*U207)+('CAFCO 400 '!$H$16*(J207^2)+'CAFCO 400 '!$H$17*J207+'CAFCO 400 '!$H$18)),0)+IF(AND(L207="Cafco 400",M207="Software Idiem",C207="Cj"),(((('CAFCO 400 '!$D$7*LN(J207)+'CAFCO 400 '!$D$8)*U207^2)+(('CAFCO 400 '!$D$9*LN(J207)+'CAFCO 400 '!$D$10)*U207)+('CAFCO 400 '!$D$11*LN(J207)+'CAFCO 400 '!$D$12))),0)+IF(AND(L207="Cafco 400",M207="Software Idiem",C207="C"),((('CAFCO 400 '!$L$7*(J207^3)+'CAFCO 400 '!$L$8*(J207^2)+'CAFCO 400 '!$L$9*J207+'CAFCO 400 '!$L$10)*U207^2)+(('CAFCO 400 '!$L$11*(J207^3)+'CAFCO 400 '!$L$12*(J207^2)+'CAFCO 400 '!$L$13*J207+'CAFCO 400 '!$L$14)*U207)+('CAFCO 400 '!$L$15*LN(J207)+'CAFCO 400 '!$L$16)),0)+IF(AND(L207="Cafco 400",M207="Software Idiem",C207="L"),((('CAFCO 400 '!$L$7*(J207^3)+'CAFCO 400 '!$L$8*(J207^2)+'CAFCO 400 '!$L$9*J207+'CAFCO 400 '!$L$10)*U207^2)+(('CAFCO 400 '!$L$11*(J207^3)+'CAFCO 400 '!$L$12*(J207^2)+'CAFCO 400 '!$L$13*J207+'CAFCO 400 '!$L$14)*U207)+('CAFCO 400 '!$L$15*LN(J207)+'CAFCO 400 '!$L$16)),0)+IF(AND(L207="Cafco 400",M207="Software Idiem",C207="IN",G207=3),((('CAFCO 400 '!$D$23*(J207^2)+'CAFCO 400 '!$D$24*(J207)+'CAFCO 400 '!$D$25)*U207^2)+(('CAFCO 400 '!$D$26*(J207^2)+'CAFCO 400 '!$D$27*J207+'CAFCO 400 '!$D$28)*U207)+('CAFCO 400 '!$D$29*(J207^2)+'CAFCO 400 '!$D$30*J207+'CAFCO 400 '!$D$31)),0),0)+IF(AND(L207="Cafco 300",J207&gt;=95,J207&lt;=240,C207="Cj",I207=90),VLOOKUP(T207,'CAFCO 300 IDIEM TABLAS'!$B$4:$D$23,2,FALSE),0)+IF(AND(L207="Cafco 300",J207&gt;=95,J207&lt;=240,C207="Cj",I207=120),VLOOKUP(T207,'CAFCO 300 IDIEM TABLAS'!$B$4:$D$23,3,FALSE),0)+IF(AND(L207="Cafco 300",J207&gt;=95,J207&lt;=400,G207=3,C207="IN",I207=90),VLOOKUP(T207,'CAFCO 300 IDIEM TABLAS'!$F$4:$H$35,2,FALSE),0)+IF(AND(L207="Cafco 300",J207&gt;=95,J207&lt;=400,G207=3,C207="IN",I207=120),VLOOKUP(T207,'CAFCO 300 IDIEM TABLAS'!$F$4:$H$35,3,FALSE),0)+IF(AND(L207="Cafco 300",J207&gt;=95,J207&lt;=450,G207=4,C207="IN",I207=90),VLOOKUP(T207,'CAFCO 300 IDIEM TABLAS'!$J$4:$L$40,2,FALSE),0)+IF(AND(L207="Cafco 300",J207&gt;=95,J207&lt;=450,G207=4,C207="IN",I207=120),VLOOKUP(T207,'CAFCO 300 IDIEM TABLAS'!$J$4:$L$40,3,FALSE),0)+IF(AND(M207="Ensayo Idiem",L207="Cafco 400",C207="IN",G207=4,I207=90),VLOOKUP(T207,'CAFCO 400 ENSAYO'!$B$7:$D$43,2,FALSE),0)+IF(AND(M207="Ensayo Idiem",L207="Cafco 400",C207="IN",G207=4,I207=120),VLOOKUP(T207,'CAFCO 400 ENSAYO'!$B$7:$D$43,3,FALSE),0)</f>
        <v>0</v>
      </c>
      <c r="O207" s="96">
        <f t="shared" si="27"/>
        <v>0</v>
      </c>
      <c r="P207" s="95" t="str">
        <f t="shared" si="28"/>
        <v>N/A</v>
      </c>
      <c r="Q207" s="95" t="str">
        <f t="shared" si="29"/>
        <v>N/A</v>
      </c>
      <c r="R207" s="95" t="str">
        <f t="shared" si="30"/>
        <v>NO CERT.</v>
      </c>
      <c r="S207" s="95" t="e">
        <f t="shared" si="25"/>
        <v>#N/A</v>
      </c>
      <c r="T207" s="119" t="e">
        <f>+IF(J207=LOOKUP(J207,'CAFCO 300 IDIEM TABLAS'!$J$4:$J$40),'CALCULO MORTERO'!J207,MROUND('CALCULO MORTERO'!J207,10))</f>
        <v>#N/A</v>
      </c>
      <c r="U207" s="118">
        <f t="shared" si="26"/>
        <v>0</v>
      </c>
      <c r="Y207" s="4"/>
      <c r="Z207" s="4"/>
      <c r="AA207" s="4"/>
    </row>
    <row r="208" spans="1:27" ht="15.6" customHeight="1" x14ac:dyDescent="0.25">
      <c r="A208" s="118">
        <f>+CUBICACION!D202</f>
        <v>0</v>
      </c>
      <c r="B208" s="819">
        <f>+CUBICACION!E202</f>
        <v>0</v>
      </c>
      <c r="C208" s="675">
        <f>+CUBICACION!F202</f>
        <v>0</v>
      </c>
      <c r="D208" s="118"/>
      <c r="E208" s="118"/>
      <c r="F208" s="820"/>
      <c r="G208" s="675">
        <f>+CUBICACION!J202</f>
        <v>0</v>
      </c>
      <c r="H208" s="118"/>
      <c r="I208" s="821">
        <f>+CUBICACION!L202</f>
        <v>0</v>
      </c>
      <c r="J208" s="64">
        <f>+CUBICACION!M202</f>
        <v>0</v>
      </c>
      <c r="K208" s="822" t="str">
        <f>+CUBICACION!N202</f>
        <v/>
      </c>
      <c r="L208" s="118">
        <f>+CUBICACION!O202</f>
        <v>0</v>
      </c>
      <c r="M208" s="823">
        <f>+CUBICACION!P202</f>
        <v>0</v>
      </c>
      <c r="N208" s="902">
        <f>ROUND(IF(AND(L208="Blaze Shield II",M208="Software Idiem",C208="IN",G208=4),((('BLAZE SHIELD II'!$D$4*('CALCULO MORTERO'!I208^2)+'BLAZE SHIELD II'!$D$5*'CALCULO MORTERO'!I208+'BLAZE SHIELD II'!$D$6)*LN(J208))+('BLAZE SHIELD II'!$D$7*('CALCULO MORTERO'!I208^2)+'BLAZE SHIELD II'!$D$8*'CALCULO MORTERO'!I208+'BLAZE SHIELD II'!$D$9)),0)+IF(AND(L208="Blaze Shield II",M208="Software Idiem",C208="Cj"),((('BLAZE SHIELD II'!$H$4*('CALCULO MORTERO'!I208^2)+'BLAZE SHIELD II'!$H$5*'CALCULO MORTERO'!I208+'BLAZE SHIELD II'!$H$6)*LN(J208))+('BLAZE SHIELD II'!$H$7*('CALCULO MORTERO'!I208^2)+'BLAZE SHIELD II'!$H$8*'CALCULO MORTERO'!I208+'BLAZE SHIELD II'!$H$9)),0)+IF(AND(L208="Blaze Shield II",M208="Software Idiem",C208="C"),((('BLAZE SHIELD II'!$L$4*('CALCULO MORTERO'!I208^2)+'BLAZE SHIELD II'!$L$5*'CALCULO MORTERO'!I208+'BLAZE SHIELD II'!$L$6)*LN(J208))+('BLAZE SHIELD II'!$L$7*('CALCULO MORTERO'!I208^2)+'BLAZE SHIELD II'!$L$8*'CALCULO MORTERO'!I208+'BLAZE SHIELD II'!$L$9)),0)+IF(AND(L208="Blaze Shield II",M208="Software Idiem",C208="L"),((('BLAZE SHIELD II'!$L$4*('CALCULO MORTERO'!I208^2)+'BLAZE SHIELD II'!$L$5*'CALCULO MORTERO'!I208+'BLAZE SHIELD II'!$L$6)*LN(J208))+('BLAZE SHIELD II'!$L$7*('CALCULO MORTERO'!I208^2)+'BLAZE SHIELD II'!$L$8*'CALCULO MORTERO'!I208+'BLAZE SHIELD II'!$L$9)),0)+IF(AND(L208="Blaze Shield II",M208="Software Idiem",C208="IN",G208=3),((('BLAZE SHIELD II'!$H$14*('CALCULO MORTERO'!I208^2)+'BLAZE SHIELD II'!$H$15*'CALCULO MORTERO'!I208+'BLAZE SHIELD II'!$H$16)*LN(J208))+('BLAZE SHIELD II'!$H$17*('CALCULO MORTERO'!I208^2)+'BLAZE SHIELD II'!$H$18*'CALCULO MORTERO'!I208+'BLAZE SHIELD II'!$H$19)),0),0)+ROUND(IF(AND(L208="Cafco 400",M208="Software Idiem",C208="IN",G208=4),((('CAFCO 400 '!$H$7*(J208^4)+'CAFCO 400 '!$H$8*(J208^3)+'CAFCO 400 '!$H$9*(J208^2)+'CAFCO 400 '!$H$10*J208+'CAFCO 400 '!$H$11)*U208^2)+(('CAFCO 400 '!$H$12*(J208^3)+'CAFCO 400 '!$H$13*(J208^2)+'CAFCO 400 '!$H$14*J208+'CAFCO 400 '!$H$15)*U208)+('CAFCO 400 '!$H$16*(J208^2)+'CAFCO 400 '!$H$17*J208+'CAFCO 400 '!$H$18)),0)+IF(AND(L208="Cafco 400",M208="Software Idiem",C208="Cj"),(((('CAFCO 400 '!$D$7*LN(J208)+'CAFCO 400 '!$D$8)*U208^2)+(('CAFCO 400 '!$D$9*LN(J208)+'CAFCO 400 '!$D$10)*U208)+('CAFCO 400 '!$D$11*LN(J208)+'CAFCO 400 '!$D$12))),0)+IF(AND(L208="Cafco 400",M208="Software Idiem",C208="C"),((('CAFCO 400 '!$L$7*(J208^3)+'CAFCO 400 '!$L$8*(J208^2)+'CAFCO 400 '!$L$9*J208+'CAFCO 400 '!$L$10)*U208^2)+(('CAFCO 400 '!$L$11*(J208^3)+'CAFCO 400 '!$L$12*(J208^2)+'CAFCO 400 '!$L$13*J208+'CAFCO 400 '!$L$14)*U208)+('CAFCO 400 '!$L$15*LN(J208)+'CAFCO 400 '!$L$16)),0)+IF(AND(L208="Cafco 400",M208="Software Idiem",C208="L"),((('CAFCO 400 '!$L$7*(J208^3)+'CAFCO 400 '!$L$8*(J208^2)+'CAFCO 400 '!$L$9*J208+'CAFCO 400 '!$L$10)*U208^2)+(('CAFCO 400 '!$L$11*(J208^3)+'CAFCO 400 '!$L$12*(J208^2)+'CAFCO 400 '!$L$13*J208+'CAFCO 400 '!$L$14)*U208)+('CAFCO 400 '!$L$15*LN(J208)+'CAFCO 400 '!$L$16)),0)+IF(AND(L208="Cafco 400",M208="Software Idiem",C208="IN",G208=3),((('CAFCO 400 '!$D$23*(J208^2)+'CAFCO 400 '!$D$24*(J208)+'CAFCO 400 '!$D$25)*U208^2)+(('CAFCO 400 '!$D$26*(J208^2)+'CAFCO 400 '!$D$27*J208+'CAFCO 400 '!$D$28)*U208)+('CAFCO 400 '!$D$29*(J208^2)+'CAFCO 400 '!$D$30*J208+'CAFCO 400 '!$D$31)),0),0)+IF(AND(L208="Cafco 300",J208&gt;=95,J208&lt;=240,C208="Cj",I208=90),VLOOKUP(T208,'CAFCO 300 IDIEM TABLAS'!$B$4:$D$23,2,FALSE),0)+IF(AND(L208="Cafco 300",J208&gt;=95,J208&lt;=240,C208="Cj",I208=120),VLOOKUP(T208,'CAFCO 300 IDIEM TABLAS'!$B$4:$D$23,3,FALSE),0)+IF(AND(L208="Cafco 300",J208&gt;=95,J208&lt;=400,G208=3,C208="IN",I208=90),VLOOKUP(T208,'CAFCO 300 IDIEM TABLAS'!$F$4:$H$35,2,FALSE),0)+IF(AND(L208="Cafco 300",J208&gt;=95,J208&lt;=400,G208=3,C208="IN",I208=120),VLOOKUP(T208,'CAFCO 300 IDIEM TABLAS'!$F$4:$H$35,3,FALSE),0)+IF(AND(L208="Cafco 300",J208&gt;=95,J208&lt;=450,G208=4,C208="IN",I208=90),VLOOKUP(T208,'CAFCO 300 IDIEM TABLAS'!$J$4:$L$40,2,FALSE),0)+IF(AND(L208="Cafco 300",J208&gt;=95,J208&lt;=450,G208=4,C208="IN",I208=120),VLOOKUP(T208,'CAFCO 300 IDIEM TABLAS'!$J$4:$L$40,3,FALSE),0)+IF(AND(M208="Ensayo Idiem",L208="Cafco 400",C208="IN",G208=4,I208=90),VLOOKUP(T208,'CAFCO 400 ENSAYO'!$B$7:$D$43,2,FALSE),0)+IF(AND(M208="Ensayo Idiem",L208="Cafco 400",C208="IN",G208=4,I208=120),VLOOKUP(T208,'CAFCO 400 ENSAYO'!$B$7:$D$43,3,FALSE),0)</f>
        <v>0</v>
      </c>
      <c r="O208" s="96">
        <f t="shared" si="27"/>
        <v>0</v>
      </c>
      <c r="P208" s="95" t="str">
        <f t="shared" si="28"/>
        <v>N/A</v>
      </c>
      <c r="Q208" s="95" t="str">
        <f t="shared" si="29"/>
        <v>N/A</v>
      </c>
      <c r="R208" s="95" t="str">
        <f t="shared" si="30"/>
        <v>NO CERT.</v>
      </c>
      <c r="S208" s="95" t="e">
        <f t="shared" si="25"/>
        <v>#N/A</v>
      </c>
      <c r="T208" s="119" t="e">
        <f>+IF(J208=LOOKUP(J208,'CAFCO 300 IDIEM TABLAS'!$J$4:$J$40),'CALCULO MORTERO'!J208,MROUND('CALCULO MORTERO'!J208,10))</f>
        <v>#N/A</v>
      </c>
      <c r="U208" s="118">
        <f t="shared" si="26"/>
        <v>0</v>
      </c>
      <c r="Y208" s="4"/>
      <c r="Z208" s="4"/>
      <c r="AA208" s="4"/>
    </row>
    <row r="209" spans="1:27" x14ac:dyDescent="0.25">
      <c r="A209" s="118">
        <f>+CUBICACION!D203</f>
        <v>0</v>
      </c>
      <c r="B209" s="819">
        <f>+CUBICACION!E203</f>
        <v>0</v>
      </c>
      <c r="C209" s="675">
        <f>+CUBICACION!F203</f>
        <v>0</v>
      </c>
      <c r="D209" s="118"/>
      <c r="E209" s="118"/>
      <c r="F209" s="820"/>
      <c r="G209" s="675">
        <f>+CUBICACION!J203</f>
        <v>0</v>
      </c>
      <c r="H209" s="118"/>
      <c r="I209" s="821">
        <f>+CUBICACION!L203</f>
        <v>0</v>
      </c>
      <c r="J209" s="64">
        <f>+CUBICACION!M203</f>
        <v>0</v>
      </c>
      <c r="K209" s="822" t="str">
        <f>+CUBICACION!N203</f>
        <v/>
      </c>
      <c r="L209" s="118">
        <f>+CUBICACION!O203</f>
        <v>0</v>
      </c>
      <c r="M209" s="823">
        <f>+CUBICACION!P203</f>
        <v>0</v>
      </c>
      <c r="N209" s="902">
        <f>ROUND(IF(AND(L209="Blaze Shield II",M209="Software Idiem",C209="IN",G209=4),((('BLAZE SHIELD II'!$D$4*('CALCULO MORTERO'!I209^2)+'BLAZE SHIELD II'!$D$5*'CALCULO MORTERO'!I209+'BLAZE SHIELD II'!$D$6)*LN(J209))+('BLAZE SHIELD II'!$D$7*('CALCULO MORTERO'!I209^2)+'BLAZE SHIELD II'!$D$8*'CALCULO MORTERO'!I209+'BLAZE SHIELD II'!$D$9)),0)+IF(AND(L209="Blaze Shield II",M209="Software Idiem",C209="Cj"),((('BLAZE SHIELD II'!$H$4*('CALCULO MORTERO'!I209^2)+'BLAZE SHIELD II'!$H$5*'CALCULO MORTERO'!I209+'BLAZE SHIELD II'!$H$6)*LN(J209))+('BLAZE SHIELD II'!$H$7*('CALCULO MORTERO'!I209^2)+'BLAZE SHIELD II'!$H$8*'CALCULO MORTERO'!I209+'BLAZE SHIELD II'!$H$9)),0)+IF(AND(L209="Blaze Shield II",M209="Software Idiem",C209="C"),((('BLAZE SHIELD II'!$L$4*('CALCULO MORTERO'!I209^2)+'BLAZE SHIELD II'!$L$5*'CALCULO MORTERO'!I209+'BLAZE SHIELD II'!$L$6)*LN(J209))+('BLAZE SHIELD II'!$L$7*('CALCULO MORTERO'!I209^2)+'BLAZE SHIELD II'!$L$8*'CALCULO MORTERO'!I209+'BLAZE SHIELD II'!$L$9)),0)+IF(AND(L209="Blaze Shield II",M209="Software Idiem",C209="L"),((('BLAZE SHIELD II'!$L$4*('CALCULO MORTERO'!I209^2)+'BLAZE SHIELD II'!$L$5*'CALCULO MORTERO'!I209+'BLAZE SHIELD II'!$L$6)*LN(J209))+('BLAZE SHIELD II'!$L$7*('CALCULO MORTERO'!I209^2)+'BLAZE SHIELD II'!$L$8*'CALCULO MORTERO'!I209+'BLAZE SHIELD II'!$L$9)),0)+IF(AND(L209="Blaze Shield II",M209="Software Idiem",C209="IN",G209=3),((('BLAZE SHIELD II'!$H$14*('CALCULO MORTERO'!I209^2)+'BLAZE SHIELD II'!$H$15*'CALCULO MORTERO'!I209+'BLAZE SHIELD II'!$H$16)*LN(J209))+('BLAZE SHIELD II'!$H$17*('CALCULO MORTERO'!I209^2)+'BLAZE SHIELD II'!$H$18*'CALCULO MORTERO'!I209+'BLAZE SHIELD II'!$H$19)),0),0)+ROUND(IF(AND(L209="Cafco 400",M209="Software Idiem",C209="IN",G209=4),((('CAFCO 400 '!$H$7*(J209^4)+'CAFCO 400 '!$H$8*(J209^3)+'CAFCO 400 '!$H$9*(J209^2)+'CAFCO 400 '!$H$10*J209+'CAFCO 400 '!$H$11)*U209^2)+(('CAFCO 400 '!$H$12*(J209^3)+'CAFCO 400 '!$H$13*(J209^2)+'CAFCO 400 '!$H$14*J209+'CAFCO 400 '!$H$15)*U209)+('CAFCO 400 '!$H$16*(J209^2)+'CAFCO 400 '!$H$17*J209+'CAFCO 400 '!$H$18)),0)+IF(AND(L209="Cafco 400",M209="Software Idiem",C209="Cj"),(((('CAFCO 400 '!$D$7*LN(J209)+'CAFCO 400 '!$D$8)*U209^2)+(('CAFCO 400 '!$D$9*LN(J209)+'CAFCO 400 '!$D$10)*U209)+('CAFCO 400 '!$D$11*LN(J209)+'CAFCO 400 '!$D$12))),0)+IF(AND(L209="Cafco 400",M209="Software Idiem",C209="C"),((('CAFCO 400 '!$L$7*(J209^3)+'CAFCO 400 '!$L$8*(J209^2)+'CAFCO 400 '!$L$9*J209+'CAFCO 400 '!$L$10)*U209^2)+(('CAFCO 400 '!$L$11*(J209^3)+'CAFCO 400 '!$L$12*(J209^2)+'CAFCO 400 '!$L$13*J209+'CAFCO 400 '!$L$14)*U209)+('CAFCO 400 '!$L$15*LN(J209)+'CAFCO 400 '!$L$16)),0)+IF(AND(L209="Cafco 400",M209="Software Idiem",C209="L"),((('CAFCO 400 '!$L$7*(J209^3)+'CAFCO 400 '!$L$8*(J209^2)+'CAFCO 400 '!$L$9*J209+'CAFCO 400 '!$L$10)*U209^2)+(('CAFCO 400 '!$L$11*(J209^3)+'CAFCO 400 '!$L$12*(J209^2)+'CAFCO 400 '!$L$13*J209+'CAFCO 400 '!$L$14)*U209)+('CAFCO 400 '!$L$15*LN(J209)+'CAFCO 400 '!$L$16)),0)+IF(AND(L209="Cafco 400",M209="Software Idiem",C209="IN",G209=3),((('CAFCO 400 '!$D$23*(J209^2)+'CAFCO 400 '!$D$24*(J209)+'CAFCO 400 '!$D$25)*U209^2)+(('CAFCO 400 '!$D$26*(J209^2)+'CAFCO 400 '!$D$27*J209+'CAFCO 400 '!$D$28)*U209)+('CAFCO 400 '!$D$29*(J209^2)+'CAFCO 400 '!$D$30*J209+'CAFCO 400 '!$D$31)),0),0)+IF(AND(L209="Cafco 300",J209&gt;=95,J209&lt;=240,C209="Cj",I209=90),VLOOKUP(T209,'CAFCO 300 IDIEM TABLAS'!$B$4:$D$23,2,FALSE),0)+IF(AND(L209="Cafco 300",J209&gt;=95,J209&lt;=240,C209="Cj",I209=120),VLOOKUP(T209,'CAFCO 300 IDIEM TABLAS'!$B$4:$D$23,3,FALSE),0)+IF(AND(L209="Cafco 300",J209&gt;=95,J209&lt;=400,G209=3,C209="IN",I209=90),VLOOKUP(T209,'CAFCO 300 IDIEM TABLAS'!$F$4:$H$35,2,FALSE),0)+IF(AND(L209="Cafco 300",J209&gt;=95,J209&lt;=400,G209=3,C209="IN",I209=120),VLOOKUP(T209,'CAFCO 300 IDIEM TABLAS'!$F$4:$H$35,3,FALSE),0)+IF(AND(L209="Cafco 300",J209&gt;=95,J209&lt;=450,G209=4,C209="IN",I209=90),VLOOKUP(T209,'CAFCO 300 IDIEM TABLAS'!$J$4:$L$40,2,FALSE),0)+IF(AND(L209="Cafco 300",J209&gt;=95,J209&lt;=450,G209=4,C209="IN",I209=120),VLOOKUP(T209,'CAFCO 300 IDIEM TABLAS'!$J$4:$L$40,3,FALSE),0)+IF(AND(M209="Ensayo Idiem",L209="Cafco 400",C209="IN",G209=4,I209=90),VLOOKUP(T209,'CAFCO 400 ENSAYO'!$B$7:$D$43,2,FALSE),0)+IF(AND(M209="Ensayo Idiem",L209="Cafco 400",C209="IN",G209=4,I209=120),VLOOKUP(T209,'CAFCO 400 ENSAYO'!$B$7:$D$43,3,FALSE),0)</f>
        <v>0</v>
      </c>
      <c r="O209" s="96">
        <f t="shared" si="27"/>
        <v>0</v>
      </c>
      <c r="P209" s="95" t="str">
        <f t="shared" si="28"/>
        <v>N/A</v>
      </c>
      <c r="Q209" s="95" t="str">
        <f t="shared" si="29"/>
        <v>N/A</v>
      </c>
      <c r="R209" s="95" t="str">
        <f t="shared" si="30"/>
        <v>NO CERT.</v>
      </c>
      <c r="S209" s="95" t="e">
        <f t="shared" si="25"/>
        <v>#N/A</v>
      </c>
      <c r="T209" s="119" t="e">
        <f>+IF(J209=LOOKUP(J209,'CAFCO 300 IDIEM TABLAS'!$J$4:$J$40),'CALCULO MORTERO'!J209,MROUND('CALCULO MORTERO'!J209,10))</f>
        <v>#N/A</v>
      </c>
      <c r="U209" s="118">
        <f t="shared" si="26"/>
        <v>0</v>
      </c>
      <c r="Y209" s="4"/>
      <c r="Z209" s="4"/>
      <c r="AA209" s="4"/>
    </row>
    <row r="210" spans="1:27" ht="15.6" customHeight="1" x14ac:dyDescent="0.25">
      <c r="A210" s="118">
        <f>+CUBICACION!D204</f>
        <v>0</v>
      </c>
      <c r="B210" s="819">
        <f>+CUBICACION!E204</f>
        <v>0</v>
      </c>
      <c r="C210" s="675">
        <f>+CUBICACION!F204</f>
        <v>0</v>
      </c>
      <c r="D210" s="118"/>
      <c r="E210" s="118"/>
      <c r="F210" s="820"/>
      <c r="G210" s="675">
        <f>+CUBICACION!J204</f>
        <v>0</v>
      </c>
      <c r="H210" s="118"/>
      <c r="I210" s="821">
        <f>+CUBICACION!L204</f>
        <v>0</v>
      </c>
      <c r="J210" s="64">
        <f>+CUBICACION!M204</f>
        <v>0</v>
      </c>
      <c r="K210" s="822" t="str">
        <f>+CUBICACION!N204</f>
        <v/>
      </c>
      <c r="L210" s="118">
        <f>+CUBICACION!O204</f>
        <v>0</v>
      </c>
      <c r="M210" s="823">
        <f>+CUBICACION!P204</f>
        <v>0</v>
      </c>
      <c r="N210" s="902">
        <f>ROUND(IF(AND(L210="Blaze Shield II",M210="Software Idiem",C210="IN",G210=4),((('BLAZE SHIELD II'!$D$4*('CALCULO MORTERO'!I210^2)+'BLAZE SHIELD II'!$D$5*'CALCULO MORTERO'!I210+'BLAZE SHIELD II'!$D$6)*LN(J210))+('BLAZE SHIELD II'!$D$7*('CALCULO MORTERO'!I210^2)+'BLAZE SHIELD II'!$D$8*'CALCULO MORTERO'!I210+'BLAZE SHIELD II'!$D$9)),0)+IF(AND(L210="Blaze Shield II",M210="Software Idiem",C210="Cj"),((('BLAZE SHIELD II'!$H$4*('CALCULO MORTERO'!I210^2)+'BLAZE SHIELD II'!$H$5*'CALCULO MORTERO'!I210+'BLAZE SHIELD II'!$H$6)*LN(J210))+('BLAZE SHIELD II'!$H$7*('CALCULO MORTERO'!I210^2)+'BLAZE SHIELD II'!$H$8*'CALCULO MORTERO'!I210+'BLAZE SHIELD II'!$H$9)),0)+IF(AND(L210="Blaze Shield II",M210="Software Idiem",C210="C"),((('BLAZE SHIELD II'!$L$4*('CALCULO MORTERO'!I210^2)+'BLAZE SHIELD II'!$L$5*'CALCULO MORTERO'!I210+'BLAZE SHIELD II'!$L$6)*LN(J210))+('BLAZE SHIELD II'!$L$7*('CALCULO MORTERO'!I210^2)+'BLAZE SHIELD II'!$L$8*'CALCULO MORTERO'!I210+'BLAZE SHIELD II'!$L$9)),0)+IF(AND(L210="Blaze Shield II",M210="Software Idiem",C210="L"),((('BLAZE SHIELD II'!$L$4*('CALCULO MORTERO'!I210^2)+'BLAZE SHIELD II'!$L$5*'CALCULO MORTERO'!I210+'BLAZE SHIELD II'!$L$6)*LN(J210))+('BLAZE SHIELD II'!$L$7*('CALCULO MORTERO'!I210^2)+'BLAZE SHIELD II'!$L$8*'CALCULO MORTERO'!I210+'BLAZE SHIELD II'!$L$9)),0)+IF(AND(L210="Blaze Shield II",M210="Software Idiem",C210="IN",G210=3),((('BLAZE SHIELD II'!$H$14*('CALCULO MORTERO'!I210^2)+'BLAZE SHIELD II'!$H$15*'CALCULO MORTERO'!I210+'BLAZE SHIELD II'!$H$16)*LN(J210))+('BLAZE SHIELD II'!$H$17*('CALCULO MORTERO'!I210^2)+'BLAZE SHIELD II'!$H$18*'CALCULO MORTERO'!I210+'BLAZE SHIELD II'!$H$19)),0),0)+ROUND(IF(AND(L210="Cafco 400",M210="Software Idiem",C210="IN",G210=4),((('CAFCO 400 '!$H$7*(J210^4)+'CAFCO 400 '!$H$8*(J210^3)+'CAFCO 400 '!$H$9*(J210^2)+'CAFCO 400 '!$H$10*J210+'CAFCO 400 '!$H$11)*U210^2)+(('CAFCO 400 '!$H$12*(J210^3)+'CAFCO 400 '!$H$13*(J210^2)+'CAFCO 400 '!$H$14*J210+'CAFCO 400 '!$H$15)*U210)+('CAFCO 400 '!$H$16*(J210^2)+'CAFCO 400 '!$H$17*J210+'CAFCO 400 '!$H$18)),0)+IF(AND(L210="Cafco 400",M210="Software Idiem",C210="Cj"),(((('CAFCO 400 '!$D$7*LN(J210)+'CAFCO 400 '!$D$8)*U210^2)+(('CAFCO 400 '!$D$9*LN(J210)+'CAFCO 400 '!$D$10)*U210)+('CAFCO 400 '!$D$11*LN(J210)+'CAFCO 400 '!$D$12))),0)+IF(AND(L210="Cafco 400",M210="Software Idiem",C210="C"),((('CAFCO 400 '!$L$7*(J210^3)+'CAFCO 400 '!$L$8*(J210^2)+'CAFCO 400 '!$L$9*J210+'CAFCO 400 '!$L$10)*U210^2)+(('CAFCO 400 '!$L$11*(J210^3)+'CAFCO 400 '!$L$12*(J210^2)+'CAFCO 400 '!$L$13*J210+'CAFCO 400 '!$L$14)*U210)+('CAFCO 400 '!$L$15*LN(J210)+'CAFCO 400 '!$L$16)),0)+IF(AND(L210="Cafco 400",M210="Software Idiem",C210="L"),((('CAFCO 400 '!$L$7*(J210^3)+'CAFCO 400 '!$L$8*(J210^2)+'CAFCO 400 '!$L$9*J210+'CAFCO 400 '!$L$10)*U210^2)+(('CAFCO 400 '!$L$11*(J210^3)+'CAFCO 400 '!$L$12*(J210^2)+'CAFCO 400 '!$L$13*J210+'CAFCO 400 '!$L$14)*U210)+('CAFCO 400 '!$L$15*LN(J210)+'CAFCO 400 '!$L$16)),0)+IF(AND(L210="Cafco 400",M210="Software Idiem",C210="IN",G210=3),((('CAFCO 400 '!$D$23*(J210^2)+'CAFCO 400 '!$D$24*(J210)+'CAFCO 400 '!$D$25)*U210^2)+(('CAFCO 400 '!$D$26*(J210^2)+'CAFCO 400 '!$D$27*J210+'CAFCO 400 '!$D$28)*U210)+('CAFCO 400 '!$D$29*(J210^2)+'CAFCO 400 '!$D$30*J210+'CAFCO 400 '!$D$31)),0),0)+IF(AND(L210="Cafco 300",J210&gt;=95,J210&lt;=240,C210="Cj",I210=90),VLOOKUP(T210,'CAFCO 300 IDIEM TABLAS'!$B$4:$D$23,2,FALSE),0)+IF(AND(L210="Cafco 300",J210&gt;=95,J210&lt;=240,C210="Cj",I210=120),VLOOKUP(T210,'CAFCO 300 IDIEM TABLAS'!$B$4:$D$23,3,FALSE),0)+IF(AND(L210="Cafco 300",J210&gt;=95,J210&lt;=400,G210=3,C210="IN",I210=90),VLOOKUP(T210,'CAFCO 300 IDIEM TABLAS'!$F$4:$H$35,2,FALSE),0)+IF(AND(L210="Cafco 300",J210&gt;=95,J210&lt;=400,G210=3,C210="IN",I210=120),VLOOKUP(T210,'CAFCO 300 IDIEM TABLAS'!$F$4:$H$35,3,FALSE),0)+IF(AND(L210="Cafco 300",J210&gt;=95,J210&lt;=450,G210=4,C210="IN",I210=90),VLOOKUP(T210,'CAFCO 300 IDIEM TABLAS'!$J$4:$L$40,2,FALSE),0)+IF(AND(L210="Cafco 300",J210&gt;=95,J210&lt;=450,G210=4,C210="IN",I210=120),VLOOKUP(T210,'CAFCO 300 IDIEM TABLAS'!$J$4:$L$40,3,FALSE),0)+IF(AND(M210="Ensayo Idiem",L210="Cafco 400",C210="IN",G210=4,I210=90),VLOOKUP(T210,'CAFCO 400 ENSAYO'!$B$7:$D$43,2,FALSE),0)+IF(AND(M210="Ensayo Idiem",L210="Cafco 400",C210="IN",G210=4,I210=120),VLOOKUP(T210,'CAFCO 400 ENSAYO'!$B$7:$D$43,3,FALSE),0)</f>
        <v>0</v>
      </c>
      <c r="O210" s="96">
        <f t="shared" si="27"/>
        <v>0</v>
      </c>
      <c r="P210" s="95" t="str">
        <f t="shared" si="28"/>
        <v>N/A</v>
      </c>
      <c r="Q210" s="95" t="str">
        <f t="shared" si="29"/>
        <v>N/A</v>
      </c>
      <c r="R210" s="95" t="str">
        <f t="shared" si="30"/>
        <v>NO CERT.</v>
      </c>
      <c r="S210" s="95" t="e">
        <f t="shared" si="25"/>
        <v>#N/A</v>
      </c>
      <c r="T210" s="119" t="e">
        <f>+IF(J210=LOOKUP(J210,'CAFCO 300 IDIEM TABLAS'!$J$4:$J$40),'CALCULO MORTERO'!J210,MROUND('CALCULO MORTERO'!J210,10))</f>
        <v>#N/A</v>
      </c>
      <c r="U210" s="118">
        <f t="shared" si="26"/>
        <v>0</v>
      </c>
      <c r="Y210" s="4"/>
      <c r="Z210" s="4"/>
      <c r="AA210" s="4"/>
    </row>
    <row r="211" spans="1:27" x14ac:dyDescent="0.25">
      <c r="A211" s="118">
        <f>+CUBICACION!D205</f>
        <v>0</v>
      </c>
      <c r="B211" s="819">
        <f>+CUBICACION!E205</f>
        <v>0</v>
      </c>
      <c r="C211" s="675">
        <f>+CUBICACION!F205</f>
        <v>0</v>
      </c>
      <c r="D211" s="118"/>
      <c r="E211" s="118"/>
      <c r="F211" s="820"/>
      <c r="G211" s="675">
        <f>+CUBICACION!J205</f>
        <v>0</v>
      </c>
      <c r="H211" s="118"/>
      <c r="I211" s="821">
        <f>+CUBICACION!L205</f>
        <v>0</v>
      </c>
      <c r="J211" s="64">
        <f>+CUBICACION!M205</f>
        <v>0</v>
      </c>
      <c r="K211" s="822" t="str">
        <f>+CUBICACION!N205</f>
        <v/>
      </c>
      <c r="L211" s="118">
        <f>+CUBICACION!O205</f>
        <v>0</v>
      </c>
      <c r="M211" s="823">
        <f>+CUBICACION!P205</f>
        <v>0</v>
      </c>
      <c r="N211" s="902">
        <f>ROUND(IF(AND(L211="Blaze Shield II",M211="Software Idiem",C211="IN",G211=4),((('BLAZE SHIELD II'!$D$4*('CALCULO MORTERO'!I211^2)+'BLAZE SHIELD II'!$D$5*'CALCULO MORTERO'!I211+'BLAZE SHIELD II'!$D$6)*LN(J211))+('BLAZE SHIELD II'!$D$7*('CALCULO MORTERO'!I211^2)+'BLAZE SHIELD II'!$D$8*'CALCULO MORTERO'!I211+'BLAZE SHIELD II'!$D$9)),0)+IF(AND(L211="Blaze Shield II",M211="Software Idiem",C211="Cj"),((('BLAZE SHIELD II'!$H$4*('CALCULO MORTERO'!I211^2)+'BLAZE SHIELD II'!$H$5*'CALCULO MORTERO'!I211+'BLAZE SHIELD II'!$H$6)*LN(J211))+('BLAZE SHIELD II'!$H$7*('CALCULO MORTERO'!I211^2)+'BLAZE SHIELD II'!$H$8*'CALCULO MORTERO'!I211+'BLAZE SHIELD II'!$H$9)),0)+IF(AND(L211="Blaze Shield II",M211="Software Idiem",C211="C"),((('BLAZE SHIELD II'!$L$4*('CALCULO MORTERO'!I211^2)+'BLAZE SHIELD II'!$L$5*'CALCULO MORTERO'!I211+'BLAZE SHIELD II'!$L$6)*LN(J211))+('BLAZE SHIELD II'!$L$7*('CALCULO MORTERO'!I211^2)+'BLAZE SHIELD II'!$L$8*'CALCULO MORTERO'!I211+'BLAZE SHIELD II'!$L$9)),0)+IF(AND(L211="Blaze Shield II",M211="Software Idiem",C211="L"),((('BLAZE SHIELD II'!$L$4*('CALCULO MORTERO'!I211^2)+'BLAZE SHIELD II'!$L$5*'CALCULO MORTERO'!I211+'BLAZE SHIELD II'!$L$6)*LN(J211))+('BLAZE SHIELD II'!$L$7*('CALCULO MORTERO'!I211^2)+'BLAZE SHIELD II'!$L$8*'CALCULO MORTERO'!I211+'BLAZE SHIELD II'!$L$9)),0)+IF(AND(L211="Blaze Shield II",M211="Software Idiem",C211="IN",G211=3),((('BLAZE SHIELD II'!$H$14*('CALCULO MORTERO'!I211^2)+'BLAZE SHIELD II'!$H$15*'CALCULO MORTERO'!I211+'BLAZE SHIELD II'!$H$16)*LN(J211))+('BLAZE SHIELD II'!$H$17*('CALCULO MORTERO'!I211^2)+'BLAZE SHIELD II'!$H$18*'CALCULO MORTERO'!I211+'BLAZE SHIELD II'!$H$19)),0),0)+ROUND(IF(AND(L211="Cafco 400",M211="Software Idiem",C211="IN",G211=4),((('CAFCO 400 '!$H$7*(J211^4)+'CAFCO 400 '!$H$8*(J211^3)+'CAFCO 400 '!$H$9*(J211^2)+'CAFCO 400 '!$H$10*J211+'CAFCO 400 '!$H$11)*U211^2)+(('CAFCO 400 '!$H$12*(J211^3)+'CAFCO 400 '!$H$13*(J211^2)+'CAFCO 400 '!$H$14*J211+'CAFCO 400 '!$H$15)*U211)+('CAFCO 400 '!$H$16*(J211^2)+'CAFCO 400 '!$H$17*J211+'CAFCO 400 '!$H$18)),0)+IF(AND(L211="Cafco 400",M211="Software Idiem",C211="Cj"),(((('CAFCO 400 '!$D$7*LN(J211)+'CAFCO 400 '!$D$8)*U211^2)+(('CAFCO 400 '!$D$9*LN(J211)+'CAFCO 400 '!$D$10)*U211)+('CAFCO 400 '!$D$11*LN(J211)+'CAFCO 400 '!$D$12))),0)+IF(AND(L211="Cafco 400",M211="Software Idiem",C211="C"),((('CAFCO 400 '!$L$7*(J211^3)+'CAFCO 400 '!$L$8*(J211^2)+'CAFCO 400 '!$L$9*J211+'CAFCO 400 '!$L$10)*U211^2)+(('CAFCO 400 '!$L$11*(J211^3)+'CAFCO 400 '!$L$12*(J211^2)+'CAFCO 400 '!$L$13*J211+'CAFCO 400 '!$L$14)*U211)+('CAFCO 400 '!$L$15*LN(J211)+'CAFCO 400 '!$L$16)),0)+IF(AND(L211="Cafco 400",M211="Software Idiem",C211="L"),((('CAFCO 400 '!$L$7*(J211^3)+'CAFCO 400 '!$L$8*(J211^2)+'CAFCO 400 '!$L$9*J211+'CAFCO 400 '!$L$10)*U211^2)+(('CAFCO 400 '!$L$11*(J211^3)+'CAFCO 400 '!$L$12*(J211^2)+'CAFCO 400 '!$L$13*J211+'CAFCO 400 '!$L$14)*U211)+('CAFCO 400 '!$L$15*LN(J211)+'CAFCO 400 '!$L$16)),0)+IF(AND(L211="Cafco 400",M211="Software Idiem",C211="IN",G211=3),((('CAFCO 400 '!$D$23*(J211^2)+'CAFCO 400 '!$D$24*(J211)+'CAFCO 400 '!$D$25)*U211^2)+(('CAFCO 400 '!$D$26*(J211^2)+'CAFCO 400 '!$D$27*J211+'CAFCO 400 '!$D$28)*U211)+('CAFCO 400 '!$D$29*(J211^2)+'CAFCO 400 '!$D$30*J211+'CAFCO 400 '!$D$31)),0),0)+IF(AND(L211="Cafco 300",J211&gt;=95,J211&lt;=240,C211="Cj",I211=90),VLOOKUP(T211,'CAFCO 300 IDIEM TABLAS'!$B$4:$D$23,2,FALSE),0)+IF(AND(L211="Cafco 300",J211&gt;=95,J211&lt;=240,C211="Cj",I211=120),VLOOKUP(T211,'CAFCO 300 IDIEM TABLAS'!$B$4:$D$23,3,FALSE),0)+IF(AND(L211="Cafco 300",J211&gt;=95,J211&lt;=400,G211=3,C211="IN",I211=90),VLOOKUP(T211,'CAFCO 300 IDIEM TABLAS'!$F$4:$H$35,2,FALSE),0)+IF(AND(L211="Cafco 300",J211&gt;=95,J211&lt;=400,G211=3,C211="IN",I211=120),VLOOKUP(T211,'CAFCO 300 IDIEM TABLAS'!$F$4:$H$35,3,FALSE),0)+IF(AND(L211="Cafco 300",J211&gt;=95,J211&lt;=450,G211=4,C211="IN",I211=90),VLOOKUP(T211,'CAFCO 300 IDIEM TABLAS'!$J$4:$L$40,2,FALSE),0)+IF(AND(L211="Cafco 300",J211&gt;=95,J211&lt;=450,G211=4,C211="IN",I211=120),VLOOKUP(T211,'CAFCO 300 IDIEM TABLAS'!$J$4:$L$40,3,FALSE),0)+IF(AND(M211="Ensayo Idiem",L211="Cafco 400",C211="IN",G211=4,I211=90),VLOOKUP(T211,'CAFCO 400 ENSAYO'!$B$7:$D$43,2,FALSE),0)+IF(AND(M211="Ensayo Idiem",L211="Cafco 400",C211="IN",G211=4,I211=120),VLOOKUP(T211,'CAFCO 400 ENSAYO'!$B$7:$D$43,3,FALSE),0)</f>
        <v>0</v>
      </c>
      <c r="O211" s="96">
        <f t="shared" si="27"/>
        <v>0</v>
      </c>
      <c r="P211" s="95" t="str">
        <f t="shared" si="28"/>
        <v>N/A</v>
      </c>
      <c r="Q211" s="95" t="str">
        <f t="shared" si="29"/>
        <v>N/A</v>
      </c>
      <c r="R211" s="95" t="str">
        <f t="shared" si="30"/>
        <v>NO CERT.</v>
      </c>
      <c r="S211" s="95" t="e">
        <f t="shared" si="25"/>
        <v>#N/A</v>
      </c>
      <c r="T211" s="119" t="e">
        <f>+IF(J211=LOOKUP(J211,'CAFCO 300 IDIEM TABLAS'!$J$4:$J$40),'CALCULO MORTERO'!J211,MROUND('CALCULO MORTERO'!J211,10))</f>
        <v>#N/A</v>
      </c>
      <c r="U211" s="118">
        <f t="shared" si="26"/>
        <v>0</v>
      </c>
      <c r="Y211" s="4"/>
      <c r="Z211" s="4"/>
      <c r="AA211" s="4"/>
    </row>
    <row r="212" spans="1:27" ht="15.6" customHeight="1" x14ac:dyDescent="0.25">
      <c r="A212" s="118">
        <f>+CUBICACION!D206</f>
        <v>0</v>
      </c>
      <c r="B212" s="819">
        <f>+CUBICACION!E206</f>
        <v>0</v>
      </c>
      <c r="C212" s="675">
        <f>+CUBICACION!F206</f>
        <v>0</v>
      </c>
      <c r="D212" s="118"/>
      <c r="E212" s="118"/>
      <c r="F212" s="820"/>
      <c r="G212" s="675">
        <f>+CUBICACION!J206</f>
        <v>0</v>
      </c>
      <c r="H212" s="118"/>
      <c r="I212" s="821">
        <f>+CUBICACION!L206</f>
        <v>0</v>
      </c>
      <c r="J212" s="64">
        <f>+CUBICACION!M206</f>
        <v>0</v>
      </c>
      <c r="K212" s="822" t="str">
        <f>+CUBICACION!N206</f>
        <v/>
      </c>
      <c r="L212" s="118">
        <f>+CUBICACION!O206</f>
        <v>0</v>
      </c>
      <c r="M212" s="823">
        <f>+CUBICACION!P206</f>
        <v>0</v>
      </c>
      <c r="N212" s="902">
        <f>ROUND(IF(AND(L212="Blaze Shield II",M212="Software Idiem",C212="IN",G212=4),((('BLAZE SHIELD II'!$D$4*('CALCULO MORTERO'!I212^2)+'BLAZE SHIELD II'!$D$5*'CALCULO MORTERO'!I212+'BLAZE SHIELD II'!$D$6)*LN(J212))+('BLAZE SHIELD II'!$D$7*('CALCULO MORTERO'!I212^2)+'BLAZE SHIELD II'!$D$8*'CALCULO MORTERO'!I212+'BLAZE SHIELD II'!$D$9)),0)+IF(AND(L212="Blaze Shield II",M212="Software Idiem",C212="Cj"),((('BLAZE SHIELD II'!$H$4*('CALCULO MORTERO'!I212^2)+'BLAZE SHIELD II'!$H$5*'CALCULO MORTERO'!I212+'BLAZE SHIELD II'!$H$6)*LN(J212))+('BLAZE SHIELD II'!$H$7*('CALCULO MORTERO'!I212^2)+'BLAZE SHIELD II'!$H$8*'CALCULO MORTERO'!I212+'BLAZE SHIELD II'!$H$9)),0)+IF(AND(L212="Blaze Shield II",M212="Software Idiem",C212="C"),((('BLAZE SHIELD II'!$L$4*('CALCULO MORTERO'!I212^2)+'BLAZE SHIELD II'!$L$5*'CALCULO MORTERO'!I212+'BLAZE SHIELD II'!$L$6)*LN(J212))+('BLAZE SHIELD II'!$L$7*('CALCULO MORTERO'!I212^2)+'BLAZE SHIELD II'!$L$8*'CALCULO MORTERO'!I212+'BLAZE SHIELD II'!$L$9)),0)+IF(AND(L212="Blaze Shield II",M212="Software Idiem",C212="L"),((('BLAZE SHIELD II'!$L$4*('CALCULO MORTERO'!I212^2)+'BLAZE SHIELD II'!$L$5*'CALCULO MORTERO'!I212+'BLAZE SHIELD II'!$L$6)*LN(J212))+('BLAZE SHIELD II'!$L$7*('CALCULO MORTERO'!I212^2)+'BLAZE SHIELD II'!$L$8*'CALCULO MORTERO'!I212+'BLAZE SHIELD II'!$L$9)),0)+IF(AND(L212="Blaze Shield II",M212="Software Idiem",C212="IN",G212=3),((('BLAZE SHIELD II'!$H$14*('CALCULO MORTERO'!I212^2)+'BLAZE SHIELD II'!$H$15*'CALCULO MORTERO'!I212+'BLAZE SHIELD II'!$H$16)*LN(J212))+('BLAZE SHIELD II'!$H$17*('CALCULO MORTERO'!I212^2)+'BLAZE SHIELD II'!$H$18*'CALCULO MORTERO'!I212+'BLAZE SHIELD II'!$H$19)),0),0)+ROUND(IF(AND(L212="Cafco 400",M212="Software Idiem",C212="IN",G212=4),((('CAFCO 400 '!$H$7*(J212^4)+'CAFCO 400 '!$H$8*(J212^3)+'CAFCO 400 '!$H$9*(J212^2)+'CAFCO 400 '!$H$10*J212+'CAFCO 400 '!$H$11)*U212^2)+(('CAFCO 400 '!$H$12*(J212^3)+'CAFCO 400 '!$H$13*(J212^2)+'CAFCO 400 '!$H$14*J212+'CAFCO 400 '!$H$15)*U212)+('CAFCO 400 '!$H$16*(J212^2)+'CAFCO 400 '!$H$17*J212+'CAFCO 400 '!$H$18)),0)+IF(AND(L212="Cafco 400",M212="Software Idiem",C212="Cj"),(((('CAFCO 400 '!$D$7*LN(J212)+'CAFCO 400 '!$D$8)*U212^2)+(('CAFCO 400 '!$D$9*LN(J212)+'CAFCO 400 '!$D$10)*U212)+('CAFCO 400 '!$D$11*LN(J212)+'CAFCO 400 '!$D$12))),0)+IF(AND(L212="Cafco 400",M212="Software Idiem",C212="C"),((('CAFCO 400 '!$L$7*(J212^3)+'CAFCO 400 '!$L$8*(J212^2)+'CAFCO 400 '!$L$9*J212+'CAFCO 400 '!$L$10)*U212^2)+(('CAFCO 400 '!$L$11*(J212^3)+'CAFCO 400 '!$L$12*(J212^2)+'CAFCO 400 '!$L$13*J212+'CAFCO 400 '!$L$14)*U212)+('CAFCO 400 '!$L$15*LN(J212)+'CAFCO 400 '!$L$16)),0)+IF(AND(L212="Cafco 400",M212="Software Idiem",C212="L"),((('CAFCO 400 '!$L$7*(J212^3)+'CAFCO 400 '!$L$8*(J212^2)+'CAFCO 400 '!$L$9*J212+'CAFCO 400 '!$L$10)*U212^2)+(('CAFCO 400 '!$L$11*(J212^3)+'CAFCO 400 '!$L$12*(J212^2)+'CAFCO 400 '!$L$13*J212+'CAFCO 400 '!$L$14)*U212)+('CAFCO 400 '!$L$15*LN(J212)+'CAFCO 400 '!$L$16)),0)+IF(AND(L212="Cafco 400",M212="Software Idiem",C212="IN",G212=3),((('CAFCO 400 '!$D$23*(J212^2)+'CAFCO 400 '!$D$24*(J212)+'CAFCO 400 '!$D$25)*U212^2)+(('CAFCO 400 '!$D$26*(J212^2)+'CAFCO 400 '!$D$27*J212+'CAFCO 400 '!$D$28)*U212)+('CAFCO 400 '!$D$29*(J212^2)+'CAFCO 400 '!$D$30*J212+'CAFCO 400 '!$D$31)),0),0)+IF(AND(L212="Cafco 300",J212&gt;=95,J212&lt;=240,C212="Cj",I212=90),VLOOKUP(T212,'CAFCO 300 IDIEM TABLAS'!$B$4:$D$23,2,FALSE),0)+IF(AND(L212="Cafco 300",J212&gt;=95,J212&lt;=240,C212="Cj",I212=120),VLOOKUP(T212,'CAFCO 300 IDIEM TABLAS'!$B$4:$D$23,3,FALSE),0)+IF(AND(L212="Cafco 300",J212&gt;=95,J212&lt;=400,G212=3,C212="IN",I212=90),VLOOKUP(T212,'CAFCO 300 IDIEM TABLAS'!$F$4:$H$35,2,FALSE),0)+IF(AND(L212="Cafco 300",J212&gt;=95,J212&lt;=400,G212=3,C212="IN",I212=120),VLOOKUP(T212,'CAFCO 300 IDIEM TABLAS'!$F$4:$H$35,3,FALSE),0)+IF(AND(L212="Cafco 300",J212&gt;=95,J212&lt;=450,G212=4,C212="IN",I212=90),VLOOKUP(T212,'CAFCO 300 IDIEM TABLAS'!$J$4:$L$40,2,FALSE),0)+IF(AND(L212="Cafco 300",J212&gt;=95,J212&lt;=450,G212=4,C212="IN",I212=120),VLOOKUP(T212,'CAFCO 300 IDIEM TABLAS'!$J$4:$L$40,3,FALSE),0)+IF(AND(M212="Ensayo Idiem",L212="Cafco 400",C212="IN",G212=4,I212=90),VLOOKUP(T212,'CAFCO 400 ENSAYO'!$B$7:$D$43,2,FALSE),0)+IF(AND(M212="Ensayo Idiem",L212="Cafco 400",C212="IN",G212=4,I212=120),VLOOKUP(T212,'CAFCO 400 ENSAYO'!$B$7:$D$43,3,FALSE),0)</f>
        <v>0</v>
      </c>
      <c r="O212" s="96">
        <f t="shared" si="27"/>
        <v>0</v>
      </c>
      <c r="P212" s="95" t="str">
        <f t="shared" si="28"/>
        <v>N/A</v>
      </c>
      <c r="Q212" s="95" t="str">
        <f t="shared" si="29"/>
        <v>N/A</v>
      </c>
      <c r="R212" s="95" t="str">
        <f t="shared" si="30"/>
        <v>NO CERT.</v>
      </c>
      <c r="S212" s="95" t="e">
        <f t="shared" si="25"/>
        <v>#N/A</v>
      </c>
      <c r="T212" s="119" t="e">
        <f>+IF(J212=LOOKUP(J212,'CAFCO 300 IDIEM TABLAS'!$J$4:$J$40),'CALCULO MORTERO'!J212,MROUND('CALCULO MORTERO'!J212,10))</f>
        <v>#N/A</v>
      </c>
      <c r="U212" s="118">
        <f t="shared" si="26"/>
        <v>0</v>
      </c>
      <c r="Y212" s="4"/>
      <c r="Z212" s="4"/>
      <c r="AA212" s="4"/>
    </row>
    <row r="213" spans="1:27" x14ac:dyDescent="0.25">
      <c r="A213" s="118">
        <f>+CUBICACION!D207</f>
        <v>0</v>
      </c>
      <c r="B213" s="819">
        <f>+CUBICACION!E207</f>
        <v>0</v>
      </c>
      <c r="C213" s="675">
        <f>+CUBICACION!F207</f>
        <v>0</v>
      </c>
      <c r="D213" s="118"/>
      <c r="E213" s="118"/>
      <c r="F213" s="820"/>
      <c r="G213" s="675">
        <f>+CUBICACION!J207</f>
        <v>0</v>
      </c>
      <c r="H213" s="118"/>
      <c r="I213" s="821">
        <f>+CUBICACION!L207</f>
        <v>0</v>
      </c>
      <c r="J213" s="64">
        <f>+CUBICACION!M207</f>
        <v>0</v>
      </c>
      <c r="K213" s="822" t="str">
        <f>+CUBICACION!N207</f>
        <v/>
      </c>
      <c r="L213" s="118">
        <f>+CUBICACION!O207</f>
        <v>0</v>
      </c>
      <c r="M213" s="823">
        <f>+CUBICACION!P207</f>
        <v>0</v>
      </c>
      <c r="N213" s="902">
        <f>ROUND(IF(AND(L213="Blaze Shield II",M213="Software Idiem",C213="IN",G213=4),((('BLAZE SHIELD II'!$D$4*('CALCULO MORTERO'!I213^2)+'BLAZE SHIELD II'!$D$5*'CALCULO MORTERO'!I213+'BLAZE SHIELD II'!$D$6)*LN(J213))+('BLAZE SHIELD II'!$D$7*('CALCULO MORTERO'!I213^2)+'BLAZE SHIELD II'!$D$8*'CALCULO MORTERO'!I213+'BLAZE SHIELD II'!$D$9)),0)+IF(AND(L213="Blaze Shield II",M213="Software Idiem",C213="Cj"),((('BLAZE SHIELD II'!$H$4*('CALCULO MORTERO'!I213^2)+'BLAZE SHIELD II'!$H$5*'CALCULO MORTERO'!I213+'BLAZE SHIELD II'!$H$6)*LN(J213))+('BLAZE SHIELD II'!$H$7*('CALCULO MORTERO'!I213^2)+'BLAZE SHIELD II'!$H$8*'CALCULO MORTERO'!I213+'BLAZE SHIELD II'!$H$9)),0)+IF(AND(L213="Blaze Shield II",M213="Software Idiem",C213="C"),((('BLAZE SHIELD II'!$L$4*('CALCULO MORTERO'!I213^2)+'BLAZE SHIELD II'!$L$5*'CALCULO MORTERO'!I213+'BLAZE SHIELD II'!$L$6)*LN(J213))+('BLAZE SHIELD II'!$L$7*('CALCULO MORTERO'!I213^2)+'BLAZE SHIELD II'!$L$8*'CALCULO MORTERO'!I213+'BLAZE SHIELD II'!$L$9)),0)+IF(AND(L213="Blaze Shield II",M213="Software Idiem",C213="L"),((('BLAZE SHIELD II'!$L$4*('CALCULO MORTERO'!I213^2)+'BLAZE SHIELD II'!$L$5*'CALCULO MORTERO'!I213+'BLAZE SHIELD II'!$L$6)*LN(J213))+('BLAZE SHIELD II'!$L$7*('CALCULO MORTERO'!I213^2)+'BLAZE SHIELD II'!$L$8*'CALCULO MORTERO'!I213+'BLAZE SHIELD II'!$L$9)),0)+IF(AND(L213="Blaze Shield II",M213="Software Idiem",C213="IN",G213=3),((('BLAZE SHIELD II'!$H$14*('CALCULO MORTERO'!I213^2)+'BLAZE SHIELD II'!$H$15*'CALCULO MORTERO'!I213+'BLAZE SHIELD II'!$H$16)*LN(J213))+('BLAZE SHIELD II'!$H$17*('CALCULO MORTERO'!I213^2)+'BLAZE SHIELD II'!$H$18*'CALCULO MORTERO'!I213+'BLAZE SHIELD II'!$H$19)),0),0)+ROUND(IF(AND(L213="Cafco 400",M213="Software Idiem",C213="IN",G213=4),((('CAFCO 400 '!$H$7*(J213^4)+'CAFCO 400 '!$H$8*(J213^3)+'CAFCO 400 '!$H$9*(J213^2)+'CAFCO 400 '!$H$10*J213+'CAFCO 400 '!$H$11)*U213^2)+(('CAFCO 400 '!$H$12*(J213^3)+'CAFCO 400 '!$H$13*(J213^2)+'CAFCO 400 '!$H$14*J213+'CAFCO 400 '!$H$15)*U213)+('CAFCO 400 '!$H$16*(J213^2)+'CAFCO 400 '!$H$17*J213+'CAFCO 400 '!$H$18)),0)+IF(AND(L213="Cafco 400",M213="Software Idiem",C213="Cj"),(((('CAFCO 400 '!$D$7*LN(J213)+'CAFCO 400 '!$D$8)*U213^2)+(('CAFCO 400 '!$D$9*LN(J213)+'CAFCO 400 '!$D$10)*U213)+('CAFCO 400 '!$D$11*LN(J213)+'CAFCO 400 '!$D$12))),0)+IF(AND(L213="Cafco 400",M213="Software Idiem",C213="C"),((('CAFCO 400 '!$L$7*(J213^3)+'CAFCO 400 '!$L$8*(J213^2)+'CAFCO 400 '!$L$9*J213+'CAFCO 400 '!$L$10)*U213^2)+(('CAFCO 400 '!$L$11*(J213^3)+'CAFCO 400 '!$L$12*(J213^2)+'CAFCO 400 '!$L$13*J213+'CAFCO 400 '!$L$14)*U213)+('CAFCO 400 '!$L$15*LN(J213)+'CAFCO 400 '!$L$16)),0)+IF(AND(L213="Cafco 400",M213="Software Idiem",C213="L"),((('CAFCO 400 '!$L$7*(J213^3)+'CAFCO 400 '!$L$8*(J213^2)+'CAFCO 400 '!$L$9*J213+'CAFCO 400 '!$L$10)*U213^2)+(('CAFCO 400 '!$L$11*(J213^3)+'CAFCO 400 '!$L$12*(J213^2)+'CAFCO 400 '!$L$13*J213+'CAFCO 400 '!$L$14)*U213)+('CAFCO 400 '!$L$15*LN(J213)+'CAFCO 400 '!$L$16)),0)+IF(AND(L213="Cafco 400",M213="Software Idiem",C213="IN",G213=3),((('CAFCO 400 '!$D$23*(J213^2)+'CAFCO 400 '!$D$24*(J213)+'CAFCO 400 '!$D$25)*U213^2)+(('CAFCO 400 '!$D$26*(J213^2)+'CAFCO 400 '!$D$27*J213+'CAFCO 400 '!$D$28)*U213)+('CAFCO 400 '!$D$29*(J213^2)+'CAFCO 400 '!$D$30*J213+'CAFCO 400 '!$D$31)),0),0)+IF(AND(L213="Cafco 300",J213&gt;=95,J213&lt;=240,C213="Cj",I213=90),VLOOKUP(T213,'CAFCO 300 IDIEM TABLAS'!$B$4:$D$23,2,FALSE),0)+IF(AND(L213="Cafco 300",J213&gt;=95,J213&lt;=240,C213="Cj",I213=120),VLOOKUP(T213,'CAFCO 300 IDIEM TABLAS'!$B$4:$D$23,3,FALSE),0)+IF(AND(L213="Cafco 300",J213&gt;=95,J213&lt;=400,G213=3,C213="IN",I213=90),VLOOKUP(T213,'CAFCO 300 IDIEM TABLAS'!$F$4:$H$35,2,FALSE),0)+IF(AND(L213="Cafco 300",J213&gt;=95,J213&lt;=400,G213=3,C213="IN",I213=120),VLOOKUP(T213,'CAFCO 300 IDIEM TABLAS'!$F$4:$H$35,3,FALSE),0)+IF(AND(L213="Cafco 300",J213&gt;=95,J213&lt;=450,G213=4,C213="IN",I213=90),VLOOKUP(T213,'CAFCO 300 IDIEM TABLAS'!$J$4:$L$40,2,FALSE),0)+IF(AND(L213="Cafco 300",J213&gt;=95,J213&lt;=450,G213=4,C213="IN",I213=120),VLOOKUP(T213,'CAFCO 300 IDIEM TABLAS'!$J$4:$L$40,3,FALSE),0)+IF(AND(M213="Ensayo Idiem",L213="Cafco 400",C213="IN",G213=4,I213=90),VLOOKUP(T213,'CAFCO 400 ENSAYO'!$B$7:$D$43,2,FALSE),0)+IF(AND(M213="Ensayo Idiem",L213="Cafco 400",C213="IN",G213=4,I213=120),VLOOKUP(T213,'CAFCO 400 ENSAYO'!$B$7:$D$43,3,FALSE),0)</f>
        <v>0</v>
      </c>
      <c r="O213" s="96">
        <f t="shared" si="27"/>
        <v>0</v>
      </c>
      <c r="P213" s="95" t="str">
        <f t="shared" si="28"/>
        <v>N/A</v>
      </c>
      <c r="Q213" s="95" t="str">
        <f t="shared" si="29"/>
        <v>N/A</v>
      </c>
      <c r="R213" s="95" t="str">
        <f t="shared" si="30"/>
        <v>NO CERT.</v>
      </c>
      <c r="S213" s="95" t="e">
        <f t="shared" si="25"/>
        <v>#N/A</v>
      </c>
      <c r="T213" s="119" t="e">
        <f>+IF(J213=LOOKUP(J213,'CAFCO 300 IDIEM TABLAS'!$J$4:$J$40),'CALCULO MORTERO'!J213,MROUND('CALCULO MORTERO'!J213,10))</f>
        <v>#N/A</v>
      </c>
      <c r="U213" s="118">
        <f t="shared" si="26"/>
        <v>0</v>
      </c>
      <c r="Y213" s="4"/>
      <c r="Z213" s="4"/>
      <c r="AA213" s="4"/>
    </row>
    <row r="214" spans="1:27" ht="15.6" customHeight="1" x14ac:dyDescent="0.25">
      <c r="A214" s="118">
        <f>+CUBICACION!D208</f>
        <v>0</v>
      </c>
      <c r="B214" s="819">
        <f>+CUBICACION!E208</f>
        <v>0</v>
      </c>
      <c r="C214" s="675">
        <f>+CUBICACION!F208</f>
        <v>0</v>
      </c>
      <c r="D214" s="118"/>
      <c r="E214" s="118"/>
      <c r="F214" s="820"/>
      <c r="G214" s="675">
        <f>+CUBICACION!J208</f>
        <v>0</v>
      </c>
      <c r="H214" s="118"/>
      <c r="I214" s="821">
        <f>+CUBICACION!L208</f>
        <v>0</v>
      </c>
      <c r="J214" s="64">
        <f>+CUBICACION!M208</f>
        <v>0</v>
      </c>
      <c r="K214" s="822" t="str">
        <f>+CUBICACION!N208</f>
        <v/>
      </c>
      <c r="L214" s="118">
        <f>+CUBICACION!O208</f>
        <v>0</v>
      </c>
      <c r="M214" s="823">
        <f>+CUBICACION!P208</f>
        <v>0</v>
      </c>
      <c r="N214" s="902">
        <f>ROUND(IF(AND(L214="Blaze Shield II",M214="Software Idiem",C214="IN",G214=4),((('BLAZE SHIELD II'!$D$4*('CALCULO MORTERO'!I214^2)+'BLAZE SHIELD II'!$D$5*'CALCULO MORTERO'!I214+'BLAZE SHIELD II'!$D$6)*LN(J214))+('BLAZE SHIELD II'!$D$7*('CALCULO MORTERO'!I214^2)+'BLAZE SHIELD II'!$D$8*'CALCULO MORTERO'!I214+'BLAZE SHIELD II'!$D$9)),0)+IF(AND(L214="Blaze Shield II",M214="Software Idiem",C214="Cj"),((('BLAZE SHIELD II'!$H$4*('CALCULO MORTERO'!I214^2)+'BLAZE SHIELD II'!$H$5*'CALCULO MORTERO'!I214+'BLAZE SHIELD II'!$H$6)*LN(J214))+('BLAZE SHIELD II'!$H$7*('CALCULO MORTERO'!I214^2)+'BLAZE SHIELD II'!$H$8*'CALCULO MORTERO'!I214+'BLAZE SHIELD II'!$H$9)),0)+IF(AND(L214="Blaze Shield II",M214="Software Idiem",C214="C"),((('BLAZE SHIELD II'!$L$4*('CALCULO MORTERO'!I214^2)+'BLAZE SHIELD II'!$L$5*'CALCULO MORTERO'!I214+'BLAZE SHIELD II'!$L$6)*LN(J214))+('BLAZE SHIELD II'!$L$7*('CALCULO MORTERO'!I214^2)+'BLAZE SHIELD II'!$L$8*'CALCULO MORTERO'!I214+'BLAZE SHIELD II'!$L$9)),0)+IF(AND(L214="Blaze Shield II",M214="Software Idiem",C214="L"),((('BLAZE SHIELD II'!$L$4*('CALCULO MORTERO'!I214^2)+'BLAZE SHIELD II'!$L$5*'CALCULO MORTERO'!I214+'BLAZE SHIELD II'!$L$6)*LN(J214))+('BLAZE SHIELD II'!$L$7*('CALCULO MORTERO'!I214^2)+'BLAZE SHIELD II'!$L$8*'CALCULO MORTERO'!I214+'BLAZE SHIELD II'!$L$9)),0)+IF(AND(L214="Blaze Shield II",M214="Software Idiem",C214="IN",G214=3),((('BLAZE SHIELD II'!$H$14*('CALCULO MORTERO'!I214^2)+'BLAZE SHIELD II'!$H$15*'CALCULO MORTERO'!I214+'BLAZE SHIELD II'!$H$16)*LN(J214))+('BLAZE SHIELD II'!$H$17*('CALCULO MORTERO'!I214^2)+'BLAZE SHIELD II'!$H$18*'CALCULO MORTERO'!I214+'BLAZE SHIELD II'!$H$19)),0),0)+ROUND(IF(AND(L214="Cafco 400",M214="Software Idiem",C214="IN",G214=4),((('CAFCO 400 '!$H$7*(J214^4)+'CAFCO 400 '!$H$8*(J214^3)+'CAFCO 400 '!$H$9*(J214^2)+'CAFCO 400 '!$H$10*J214+'CAFCO 400 '!$H$11)*U214^2)+(('CAFCO 400 '!$H$12*(J214^3)+'CAFCO 400 '!$H$13*(J214^2)+'CAFCO 400 '!$H$14*J214+'CAFCO 400 '!$H$15)*U214)+('CAFCO 400 '!$H$16*(J214^2)+'CAFCO 400 '!$H$17*J214+'CAFCO 400 '!$H$18)),0)+IF(AND(L214="Cafco 400",M214="Software Idiem",C214="Cj"),(((('CAFCO 400 '!$D$7*LN(J214)+'CAFCO 400 '!$D$8)*U214^2)+(('CAFCO 400 '!$D$9*LN(J214)+'CAFCO 400 '!$D$10)*U214)+('CAFCO 400 '!$D$11*LN(J214)+'CAFCO 400 '!$D$12))),0)+IF(AND(L214="Cafco 400",M214="Software Idiem",C214="C"),((('CAFCO 400 '!$L$7*(J214^3)+'CAFCO 400 '!$L$8*(J214^2)+'CAFCO 400 '!$L$9*J214+'CAFCO 400 '!$L$10)*U214^2)+(('CAFCO 400 '!$L$11*(J214^3)+'CAFCO 400 '!$L$12*(J214^2)+'CAFCO 400 '!$L$13*J214+'CAFCO 400 '!$L$14)*U214)+('CAFCO 400 '!$L$15*LN(J214)+'CAFCO 400 '!$L$16)),0)+IF(AND(L214="Cafco 400",M214="Software Idiem",C214="L"),((('CAFCO 400 '!$L$7*(J214^3)+'CAFCO 400 '!$L$8*(J214^2)+'CAFCO 400 '!$L$9*J214+'CAFCO 400 '!$L$10)*U214^2)+(('CAFCO 400 '!$L$11*(J214^3)+'CAFCO 400 '!$L$12*(J214^2)+'CAFCO 400 '!$L$13*J214+'CAFCO 400 '!$L$14)*U214)+('CAFCO 400 '!$L$15*LN(J214)+'CAFCO 400 '!$L$16)),0)+IF(AND(L214="Cafco 400",M214="Software Idiem",C214="IN",G214=3),((('CAFCO 400 '!$D$23*(J214^2)+'CAFCO 400 '!$D$24*(J214)+'CAFCO 400 '!$D$25)*U214^2)+(('CAFCO 400 '!$D$26*(J214^2)+'CAFCO 400 '!$D$27*J214+'CAFCO 400 '!$D$28)*U214)+('CAFCO 400 '!$D$29*(J214^2)+'CAFCO 400 '!$D$30*J214+'CAFCO 400 '!$D$31)),0),0)+IF(AND(L214="Cafco 300",J214&gt;=95,J214&lt;=240,C214="Cj",I214=90),VLOOKUP(T214,'CAFCO 300 IDIEM TABLAS'!$B$4:$D$23,2,FALSE),0)+IF(AND(L214="Cafco 300",J214&gt;=95,J214&lt;=240,C214="Cj",I214=120),VLOOKUP(T214,'CAFCO 300 IDIEM TABLAS'!$B$4:$D$23,3,FALSE),0)+IF(AND(L214="Cafco 300",J214&gt;=95,J214&lt;=400,G214=3,C214="IN",I214=90),VLOOKUP(T214,'CAFCO 300 IDIEM TABLAS'!$F$4:$H$35,2,FALSE),0)+IF(AND(L214="Cafco 300",J214&gt;=95,J214&lt;=400,G214=3,C214="IN",I214=120),VLOOKUP(T214,'CAFCO 300 IDIEM TABLAS'!$F$4:$H$35,3,FALSE),0)+IF(AND(L214="Cafco 300",J214&gt;=95,J214&lt;=450,G214=4,C214="IN",I214=90),VLOOKUP(T214,'CAFCO 300 IDIEM TABLAS'!$J$4:$L$40,2,FALSE),0)+IF(AND(L214="Cafco 300",J214&gt;=95,J214&lt;=450,G214=4,C214="IN",I214=120),VLOOKUP(T214,'CAFCO 300 IDIEM TABLAS'!$J$4:$L$40,3,FALSE),0)+IF(AND(M214="Ensayo Idiem",L214="Cafco 400",C214="IN",G214=4,I214=90),VLOOKUP(T214,'CAFCO 400 ENSAYO'!$B$7:$D$43,2,FALSE),0)+IF(AND(M214="Ensayo Idiem",L214="Cafco 400",C214="IN",G214=4,I214=120),VLOOKUP(T214,'CAFCO 400 ENSAYO'!$B$7:$D$43,3,FALSE),0)</f>
        <v>0</v>
      </c>
      <c r="O214" s="96">
        <f t="shared" si="27"/>
        <v>0</v>
      </c>
      <c r="P214" s="95" t="str">
        <f t="shared" si="28"/>
        <v>N/A</v>
      </c>
      <c r="Q214" s="95" t="str">
        <f t="shared" si="29"/>
        <v>N/A</v>
      </c>
      <c r="R214" s="95" t="str">
        <f t="shared" si="30"/>
        <v>NO CERT.</v>
      </c>
      <c r="S214" s="95" t="e">
        <f t="shared" si="25"/>
        <v>#N/A</v>
      </c>
      <c r="T214" s="119" t="e">
        <f>+IF(J214=LOOKUP(J214,'CAFCO 300 IDIEM TABLAS'!$J$4:$J$40),'CALCULO MORTERO'!J214,MROUND('CALCULO MORTERO'!J214,10))</f>
        <v>#N/A</v>
      </c>
      <c r="U214" s="118">
        <f t="shared" si="26"/>
        <v>0</v>
      </c>
      <c r="Y214" s="4"/>
      <c r="Z214" s="4"/>
      <c r="AA214" s="4"/>
    </row>
    <row r="215" spans="1:27" x14ac:dyDescent="0.25">
      <c r="A215" s="118">
        <f>+CUBICACION!D209</f>
        <v>0</v>
      </c>
      <c r="B215" s="819">
        <f>+CUBICACION!E209</f>
        <v>0</v>
      </c>
      <c r="C215" s="675">
        <f>+CUBICACION!F209</f>
        <v>0</v>
      </c>
      <c r="D215" s="118"/>
      <c r="E215" s="118"/>
      <c r="F215" s="820"/>
      <c r="G215" s="675">
        <f>+CUBICACION!J209</f>
        <v>0</v>
      </c>
      <c r="H215" s="118"/>
      <c r="I215" s="821">
        <f>+CUBICACION!L209</f>
        <v>0</v>
      </c>
      <c r="J215" s="64">
        <f>+CUBICACION!M209</f>
        <v>0</v>
      </c>
      <c r="K215" s="822" t="str">
        <f>+CUBICACION!N209</f>
        <v/>
      </c>
      <c r="L215" s="118">
        <f>+CUBICACION!O209</f>
        <v>0</v>
      </c>
      <c r="M215" s="823">
        <f>+CUBICACION!P209</f>
        <v>0</v>
      </c>
      <c r="N215" s="902">
        <f>ROUND(IF(AND(L215="Blaze Shield II",M215="Software Idiem",C215="IN",G215=4),((('BLAZE SHIELD II'!$D$4*('CALCULO MORTERO'!I215^2)+'BLAZE SHIELD II'!$D$5*'CALCULO MORTERO'!I215+'BLAZE SHIELD II'!$D$6)*LN(J215))+('BLAZE SHIELD II'!$D$7*('CALCULO MORTERO'!I215^2)+'BLAZE SHIELD II'!$D$8*'CALCULO MORTERO'!I215+'BLAZE SHIELD II'!$D$9)),0)+IF(AND(L215="Blaze Shield II",M215="Software Idiem",C215="Cj"),((('BLAZE SHIELD II'!$H$4*('CALCULO MORTERO'!I215^2)+'BLAZE SHIELD II'!$H$5*'CALCULO MORTERO'!I215+'BLAZE SHIELD II'!$H$6)*LN(J215))+('BLAZE SHIELD II'!$H$7*('CALCULO MORTERO'!I215^2)+'BLAZE SHIELD II'!$H$8*'CALCULO MORTERO'!I215+'BLAZE SHIELD II'!$H$9)),0)+IF(AND(L215="Blaze Shield II",M215="Software Idiem",C215="C"),((('BLAZE SHIELD II'!$L$4*('CALCULO MORTERO'!I215^2)+'BLAZE SHIELD II'!$L$5*'CALCULO MORTERO'!I215+'BLAZE SHIELD II'!$L$6)*LN(J215))+('BLAZE SHIELD II'!$L$7*('CALCULO MORTERO'!I215^2)+'BLAZE SHIELD II'!$L$8*'CALCULO MORTERO'!I215+'BLAZE SHIELD II'!$L$9)),0)+IF(AND(L215="Blaze Shield II",M215="Software Idiem",C215="L"),((('BLAZE SHIELD II'!$L$4*('CALCULO MORTERO'!I215^2)+'BLAZE SHIELD II'!$L$5*'CALCULO MORTERO'!I215+'BLAZE SHIELD II'!$L$6)*LN(J215))+('BLAZE SHIELD II'!$L$7*('CALCULO MORTERO'!I215^2)+'BLAZE SHIELD II'!$L$8*'CALCULO MORTERO'!I215+'BLAZE SHIELD II'!$L$9)),0)+IF(AND(L215="Blaze Shield II",M215="Software Idiem",C215="IN",G215=3),((('BLAZE SHIELD II'!$H$14*('CALCULO MORTERO'!I215^2)+'BLAZE SHIELD II'!$H$15*'CALCULO MORTERO'!I215+'BLAZE SHIELD II'!$H$16)*LN(J215))+('BLAZE SHIELD II'!$H$17*('CALCULO MORTERO'!I215^2)+'BLAZE SHIELD II'!$H$18*'CALCULO MORTERO'!I215+'BLAZE SHIELD II'!$H$19)),0),0)+ROUND(IF(AND(L215="Cafco 400",M215="Software Idiem",C215="IN",G215=4),((('CAFCO 400 '!$H$7*(J215^4)+'CAFCO 400 '!$H$8*(J215^3)+'CAFCO 400 '!$H$9*(J215^2)+'CAFCO 400 '!$H$10*J215+'CAFCO 400 '!$H$11)*U215^2)+(('CAFCO 400 '!$H$12*(J215^3)+'CAFCO 400 '!$H$13*(J215^2)+'CAFCO 400 '!$H$14*J215+'CAFCO 400 '!$H$15)*U215)+('CAFCO 400 '!$H$16*(J215^2)+'CAFCO 400 '!$H$17*J215+'CAFCO 400 '!$H$18)),0)+IF(AND(L215="Cafco 400",M215="Software Idiem",C215="Cj"),(((('CAFCO 400 '!$D$7*LN(J215)+'CAFCO 400 '!$D$8)*U215^2)+(('CAFCO 400 '!$D$9*LN(J215)+'CAFCO 400 '!$D$10)*U215)+('CAFCO 400 '!$D$11*LN(J215)+'CAFCO 400 '!$D$12))),0)+IF(AND(L215="Cafco 400",M215="Software Idiem",C215="C"),((('CAFCO 400 '!$L$7*(J215^3)+'CAFCO 400 '!$L$8*(J215^2)+'CAFCO 400 '!$L$9*J215+'CAFCO 400 '!$L$10)*U215^2)+(('CAFCO 400 '!$L$11*(J215^3)+'CAFCO 400 '!$L$12*(J215^2)+'CAFCO 400 '!$L$13*J215+'CAFCO 400 '!$L$14)*U215)+('CAFCO 400 '!$L$15*LN(J215)+'CAFCO 400 '!$L$16)),0)+IF(AND(L215="Cafco 400",M215="Software Idiem",C215="L"),((('CAFCO 400 '!$L$7*(J215^3)+'CAFCO 400 '!$L$8*(J215^2)+'CAFCO 400 '!$L$9*J215+'CAFCO 400 '!$L$10)*U215^2)+(('CAFCO 400 '!$L$11*(J215^3)+'CAFCO 400 '!$L$12*(J215^2)+'CAFCO 400 '!$L$13*J215+'CAFCO 400 '!$L$14)*U215)+('CAFCO 400 '!$L$15*LN(J215)+'CAFCO 400 '!$L$16)),0)+IF(AND(L215="Cafco 400",M215="Software Idiem",C215="IN",G215=3),((('CAFCO 400 '!$D$23*(J215^2)+'CAFCO 400 '!$D$24*(J215)+'CAFCO 400 '!$D$25)*U215^2)+(('CAFCO 400 '!$D$26*(J215^2)+'CAFCO 400 '!$D$27*J215+'CAFCO 400 '!$D$28)*U215)+('CAFCO 400 '!$D$29*(J215^2)+'CAFCO 400 '!$D$30*J215+'CAFCO 400 '!$D$31)),0),0)+IF(AND(L215="Cafco 300",J215&gt;=95,J215&lt;=240,C215="Cj",I215=90),VLOOKUP(T215,'CAFCO 300 IDIEM TABLAS'!$B$4:$D$23,2,FALSE),0)+IF(AND(L215="Cafco 300",J215&gt;=95,J215&lt;=240,C215="Cj",I215=120),VLOOKUP(T215,'CAFCO 300 IDIEM TABLAS'!$B$4:$D$23,3,FALSE),0)+IF(AND(L215="Cafco 300",J215&gt;=95,J215&lt;=400,G215=3,C215="IN",I215=90),VLOOKUP(T215,'CAFCO 300 IDIEM TABLAS'!$F$4:$H$35,2,FALSE),0)+IF(AND(L215="Cafco 300",J215&gt;=95,J215&lt;=400,G215=3,C215="IN",I215=120),VLOOKUP(T215,'CAFCO 300 IDIEM TABLAS'!$F$4:$H$35,3,FALSE),0)+IF(AND(L215="Cafco 300",J215&gt;=95,J215&lt;=450,G215=4,C215="IN",I215=90),VLOOKUP(T215,'CAFCO 300 IDIEM TABLAS'!$J$4:$L$40,2,FALSE),0)+IF(AND(L215="Cafco 300",J215&gt;=95,J215&lt;=450,G215=4,C215="IN",I215=120),VLOOKUP(T215,'CAFCO 300 IDIEM TABLAS'!$J$4:$L$40,3,FALSE),0)+IF(AND(M215="Ensayo Idiem",L215="Cafco 400",C215="IN",G215=4,I215=90),VLOOKUP(T215,'CAFCO 400 ENSAYO'!$B$7:$D$43,2,FALSE),0)+IF(AND(M215="Ensayo Idiem",L215="Cafco 400",C215="IN",G215=4,I215=120),VLOOKUP(T215,'CAFCO 400 ENSAYO'!$B$7:$D$43,3,FALSE),0)</f>
        <v>0</v>
      </c>
      <c r="O215" s="96">
        <f t="shared" si="27"/>
        <v>0</v>
      </c>
      <c r="P215" s="95" t="str">
        <f t="shared" si="28"/>
        <v>N/A</v>
      </c>
      <c r="Q215" s="95" t="str">
        <f t="shared" si="29"/>
        <v>N/A</v>
      </c>
      <c r="R215" s="95" t="str">
        <f t="shared" si="30"/>
        <v>NO CERT.</v>
      </c>
      <c r="S215" s="95" t="e">
        <f t="shared" si="25"/>
        <v>#N/A</v>
      </c>
      <c r="T215" s="119" t="e">
        <f>+IF(J215=LOOKUP(J215,'CAFCO 300 IDIEM TABLAS'!$J$4:$J$40),'CALCULO MORTERO'!J215,MROUND('CALCULO MORTERO'!J215,10))</f>
        <v>#N/A</v>
      </c>
      <c r="U215" s="118">
        <f t="shared" si="26"/>
        <v>0</v>
      </c>
      <c r="Y215" s="4"/>
      <c r="Z215" s="4"/>
      <c r="AA215" s="4"/>
    </row>
    <row r="216" spans="1:27" ht="15.6" customHeight="1" x14ac:dyDescent="0.25">
      <c r="A216" s="118">
        <f>+CUBICACION!D210</f>
        <v>0</v>
      </c>
      <c r="B216" s="819">
        <f>+CUBICACION!E210</f>
        <v>0</v>
      </c>
      <c r="C216" s="675">
        <f>+CUBICACION!F210</f>
        <v>0</v>
      </c>
      <c r="D216" s="118"/>
      <c r="E216" s="118"/>
      <c r="F216" s="820"/>
      <c r="G216" s="675">
        <f>+CUBICACION!J210</f>
        <v>0</v>
      </c>
      <c r="H216" s="118"/>
      <c r="I216" s="821">
        <f>+CUBICACION!L210</f>
        <v>0</v>
      </c>
      <c r="J216" s="64">
        <f>+CUBICACION!M210</f>
        <v>0</v>
      </c>
      <c r="K216" s="822" t="str">
        <f>+CUBICACION!N210</f>
        <v/>
      </c>
      <c r="L216" s="118">
        <f>+CUBICACION!O210</f>
        <v>0</v>
      </c>
      <c r="M216" s="823">
        <f>+CUBICACION!P210</f>
        <v>0</v>
      </c>
      <c r="N216" s="902">
        <f>ROUND(IF(AND(L216="Blaze Shield II",M216="Software Idiem",C216="IN",G216=4),((('BLAZE SHIELD II'!$D$4*('CALCULO MORTERO'!I216^2)+'BLAZE SHIELD II'!$D$5*'CALCULO MORTERO'!I216+'BLAZE SHIELD II'!$D$6)*LN(J216))+('BLAZE SHIELD II'!$D$7*('CALCULO MORTERO'!I216^2)+'BLAZE SHIELD II'!$D$8*'CALCULO MORTERO'!I216+'BLAZE SHIELD II'!$D$9)),0)+IF(AND(L216="Blaze Shield II",M216="Software Idiem",C216="Cj"),((('BLAZE SHIELD II'!$H$4*('CALCULO MORTERO'!I216^2)+'BLAZE SHIELD II'!$H$5*'CALCULO MORTERO'!I216+'BLAZE SHIELD II'!$H$6)*LN(J216))+('BLAZE SHIELD II'!$H$7*('CALCULO MORTERO'!I216^2)+'BLAZE SHIELD II'!$H$8*'CALCULO MORTERO'!I216+'BLAZE SHIELD II'!$H$9)),0)+IF(AND(L216="Blaze Shield II",M216="Software Idiem",C216="C"),((('BLAZE SHIELD II'!$L$4*('CALCULO MORTERO'!I216^2)+'BLAZE SHIELD II'!$L$5*'CALCULO MORTERO'!I216+'BLAZE SHIELD II'!$L$6)*LN(J216))+('BLAZE SHIELD II'!$L$7*('CALCULO MORTERO'!I216^2)+'BLAZE SHIELD II'!$L$8*'CALCULO MORTERO'!I216+'BLAZE SHIELD II'!$L$9)),0)+IF(AND(L216="Blaze Shield II",M216="Software Idiem",C216="L"),((('BLAZE SHIELD II'!$L$4*('CALCULO MORTERO'!I216^2)+'BLAZE SHIELD II'!$L$5*'CALCULO MORTERO'!I216+'BLAZE SHIELD II'!$L$6)*LN(J216))+('BLAZE SHIELD II'!$L$7*('CALCULO MORTERO'!I216^2)+'BLAZE SHIELD II'!$L$8*'CALCULO MORTERO'!I216+'BLAZE SHIELD II'!$L$9)),0)+IF(AND(L216="Blaze Shield II",M216="Software Idiem",C216="IN",G216=3),((('BLAZE SHIELD II'!$H$14*('CALCULO MORTERO'!I216^2)+'BLAZE SHIELD II'!$H$15*'CALCULO MORTERO'!I216+'BLAZE SHIELD II'!$H$16)*LN(J216))+('BLAZE SHIELD II'!$H$17*('CALCULO MORTERO'!I216^2)+'BLAZE SHIELD II'!$H$18*'CALCULO MORTERO'!I216+'BLAZE SHIELD II'!$H$19)),0),0)+ROUND(IF(AND(L216="Cafco 400",M216="Software Idiem",C216="IN",G216=4),((('CAFCO 400 '!$H$7*(J216^4)+'CAFCO 400 '!$H$8*(J216^3)+'CAFCO 400 '!$H$9*(J216^2)+'CAFCO 400 '!$H$10*J216+'CAFCO 400 '!$H$11)*U216^2)+(('CAFCO 400 '!$H$12*(J216^3)+'CAFCO 400 '!$H$13*(J216^2)+'CAFCO 400 '!$H$14*J216+'CAFCO 400 '!$H$15)*U216)+('CAFCO 400 '!$H$16*(J216^2)+'CAFCO 400 '!$H$17*J216+'CAFCO 400 '!$H$18)),0)+IF(AND(L216="Cafco 400",M216="Software Idiem",C216="Cj"),(((('CAFCO 400 '!$D$7*LN(J216)+'CAFCO 400 '!$D$8)*U216^2)+(('CAFCO 400 '!$D$9*LN(J216)+'CAFCO 400 '!$D$10)*U216)+('CAFCO 400 '!$D$11*LN(J216)+'CAFCO 400 '!$D$12))),0)+IF(AND(L216="Cafco 400",M216="Software Idiem",C216="C"),((('CAFCO 400 '!$L$7*(J216^3)+'CAFCO 400 '!$L$8*(J216^2)+'CAFCO 400 '!$L$9*J216+'CAFCO 400 '!$L$10)*U216^2)+(('CAFCO 400 '!$L$11*(J216^3)+'CAFCO 400 '!$L$12*(J216^2)+'CAFCO 400 '!$L$13*J216+'CAFCO 400 '!$L$14)*U216)+('CAFCO 400 '!$L$15*LN(J216)+'CAFCO 400 '!$L$16)),0)+IF(AND(L216="Cafco 400",M216="Software Idiem",C216="L"),((('CAFCO 400 '!$L$7*(J216^3)+'CAFCO 400 '!$L$8*(J216^2)+'CAFCO 400 '!$L$9*J216+'CAFCO 400 '!$L$10)*U216^2)+(('CAFCO 400 '!$L$11*(J216^3)+'CAFCO 400 '!$L$12*(J216^2)+'CAFCO 400 '!$L$13*J216+'CAFCO 400 '!$L$14)*U216)+('CAFCO 400 '!$L$15*LN(J216)+'CAFCO 400 '!$L$16)),0)+IF(AND(L216="Cafco 400",M216="Software Idiem",C216="IN",G216=3),((('CAFCO 400 '!$D$23*(J216^2)+'CAFCO 400 '!$D$24*(J216)+'CAFCO 400 '!$D$25)*U216^2)+(('CAFCO 400 '!$D$26*(J216^2)+'CAFCO 400 '!$D$27*J216+'CAFCO 400 '!$D$28)*U216)+('CAFCO 400 '!$D$29*(J216^2)+'CAFCO 400 '!$D$30*J216+'CAFCO 400 '!$D$31)),0),0)+IF(AND(L216="Cafco 300",J216&gt;=95,J216&lt;=240,C216="Cj",I216=90),VLOOKUP(T216,'CAFCO 300 IDIEM TABLAS'!$B$4:$D$23,2,FALSE),0)+IF(AND(L216="Cafco 300",J216&gt;=95,J216&lt;=240,C216="Cj",I216=120),VLOOKUP(T216,'CAFCO 300 IDIEM TABLAS'!$B$4:$D$23,3,FALSE),0)+IF(AND(L216="Cafco 300",J216&gt;=95,J216&lt;=400,G216=3,C216="IN",I216=90),VLOOKUP(T216,'CAFCO 300 IDIEM TABLAS'!$F$4:$H$35,2,FALSE),0)+IF(AND(L216="Cafco 300",J216&gt;=95,J216&lt;=400,G216=3,C216="IN",I216=120),VLOOKUP(T216,'CAFCO 300 IDIEM TABLAS'!$F$4:$H$35,3,FALSE),0)+IF(AND(L216="Cafco 300",J216&gt;=95,J216&lt;=450,G216=4,C216="IN",I216=90),VLOOKUP(T216,'CAFCO 300 IDIEM TABLAS'!$J$4:$L$40,2,FALSE),0)+IF(AND(L216="Cafco 300",J216&gt;=95,J216&lt;=450,G216=4,C216="IN",I216=120),VLOOKUP(T216,'CAFCO 300 IDIEM TABLAS'!$J$4:$L$40,3,FALSE),0)+IF(AND(M216="Ensayo Idiem",L216="Cafco 400",C216="IN",G216=4,I216=90),VLOOKUP(T216,'CAFCO 400 ENSAYO'!$B$7:$D$43,2,FALSE),0)+IF(AND(M216="Ensayo Idiem",L216="Cafco 400",C216="IN",G216=4,I216=120),VLOOKUP(T216,'CAFCO 400 ENSAYO'!$B$7:$D$43,3,FALSE),0)</f>
        <v>0</v>
      </c>
      <c r="O216" s="96">
        <f t="shared" si="27"/>
        <v>0</v>
      </c>
      <c r="P216" s="95" t="str">
        <f t="shared" si="28"/>
        <v>N/A</v>
      </c>
      <c r="Q216" s="95" t="str">
        <f t="shared" si="29"/>
        <v>N/A</v>
      </c>
      <c r="R216" s="95" t="str">
        <f t="shared" si="30"/>
        <v>NO CERT.</v>
      </c>
      <c r="S216" s="95" t="e">
        <f t="shared" si="25"/>
        <v>#N/A</v>
      </c>
      <c r="T216" s="119" t="e">
        <f>+IF(J216=LOOKUP(J216,'CAFCO 300 IDIEM TABLAS'!$J$4:$J$40),'CALCULO MORTERO'!J216,MROUND('CALCULO MORTERO'!J216,10))</f>
        <v>#N/A</v>
      </c>
      <c r="U216" s="118">
        <f t="shared" si="26"/>
        <v>0</v>
      </c>
      <c r="Y216" s="4"/>
      <c r="Z216" s="4"/>
      <c r="AA216" s="4"/>
    </row>
    <row r="217" spans="1:27" x14ac:dyDescent="0.25">
      <c r="A217" s="118">
        <f>+CUBICACION!D211</f>
        <v>0</v>
      </c>
      <c r="B217" s="819">
        <f>+CUBICACION!E211</f>
        <v>0</v>
      </c>
      <c r="C217" s="675">
        <f>+CUBICACION!F211</f>
        <v>0</v>
      </c>
      <c r="D217" s="118"/>
      <c r="E217" s="118"/>
      <c r="F217" s="820"/>
      <c r="G217" s="675">
        <f>+CUBICACION!J211</f>
        <v>0</v>
      </c>
      <c r="H217" s="118"/>
      <c r="I217" s="821">
        <f>+CUBICACION!L211</f>
        <v>0</v>
      </c>
      <c r="J217" s="64">
        <f>+CUBICACION!M211</f>
        <v>0</v>
      </c>
      <c r="K217" s="822" t="str">
        <f>+CUBICACION!N211</f>
        <v/>
      </c>
      <c r="L217" s="118">
        <f>+CUBICACION!O211</f>
        <v>0</v>
      </c>
      <c r="M217" s="823">
        <f>+CUBICACION!P211</f>
        <v>0</v>
      </c>
      <c r="N217" s="902">
        <f>ROUND(IF(AND(L217="Blaze Shield II",M217="Software Idiem",C217="IN",G217=4),((('BLAZE SHIELD II'!$D$4*('CALCULO MORTERO'!I217^2)+'BLAZE SHIELD II'!$D$5*'CALCULO MORTERO'!I217+'BLAZE SHIELD II'!$D$6)*LN(J217))+('BLAZE SHIELD II'!$D$7*('CALCULO MORTERO'!I217^2)+'BLAZE SHIELD II'!$D$8*'CALCULO MORTERO'!I217+'BLAZE SHIELD II'!$D$9)),0)+IF(AND(L217="Blaze Shield II",M217="Software Idiem",C217="Cj"),((('BLAZE SHIELD II'!$H$4*('CALCULO MORTERO'!I217^2)+'BLAZE SHIELD II'!$H$5*'CALCULO MORTERO'!I217+'BLAZE SHIELD II'!$H$6)*LN(J217))+('BLAZE SHIELD II'!$H$7*('CALCULO MORTERO'!I217^2)+'BLAZE SHIELD II'!$H$8*'CALCULO MORTERO'!I217+'BLAZE SHIELD II'!$H$9)),0)+IF(AND(L217="Blaze Shield II",M217="Software Idiem",C217="C"),((('BLAZE SHIELD II'!$L$4*('CALCULO MORTERO'!I217^2)+'BLAZE SHIELD II'!$L$5*'CALCULO MORTERO'!I217+'BLAZE SHIELD II'!$L$6)*LN(J217))+('BLAZE SHIELD II'!$L$7*('CALCULO MORTERO'!I217^2)+'BLAZE SHIELD II'!$L$8*'CALCULO MORTERO'!I217+'BLAZE SHIELD II'!$L$9)),0)+IF(AND(L217="Blaze Shield II",M217="Software Idiem",C217="L"),((('BLAZE SHIELD II'!$L$4*('CALCULO MORTERO'!I217^2)+'BLAZE SHIELD II'!$L$5*'CALCULO MORTERO'!I217+'BLAZE SHIELD II'!$L$6)*LN(J217))+('BLAZE SHIELD II'!$L$7*('CALCULO MORTERO'!I217^2)+'BLAZE SHIELD II'!$L$8*'CALCULO MORTERO'!I217+'BLAZE SHIELD II'!$L$9)),0)+IF(AND(L217="Blaze Shield II",M217="Software Idiem",C217="IN",G217=3),((('BLAZE SHIELD II'!$H$14*('CALCULO MORTERO'!I217^2)+'BLAZE SHIELD II'!$H$15*'CALCULO MORTERO'!I217+'BLAZE SHIELD II'!$H$16)*LN(J217))+('BLAZE SHIELD II'!$H$17*('CALCULO MORTERO'!I217^2)+'BLAZE SHIELD II'!$H$18*'CALCULO MORTERO'!I217+'BLAZE SHIELD II'!$H$19)),0),0)+ROUND(IF(AND(L217="Cafco 400",M217="Software Idiem",C217="IN",G217=4),((('CAFCO 400 '!$H$7*(J217^4)+'CAFCO 400 '!$H$8*(J217^3)+'CAFCO 400 '!$H$9*(J217^2)+'CAFCO 400 '!$H$10*J217+'CAFCO 400 '!$H$11)*U217^2)+(('CAFCO 400 '!$H$12*(J217^3)+'CAFCO 400 '!$H$13*(J217^2)+'CAFCO 400 '!$H$14*J217+'CAFCO 400 '!$H$15)*U217)+('CAFCO 400 '!$H$16*(J217^2)+'CAFCO 400 '!$H$17*J217+'CAFCO 400 '!$H$18)),0)+IF(AND(L217="Cafco 400",M217="Software Idiem",C217="Cj"),(((('CAFCO 400 '!$D$7*LN(J217)+'CAFCO 400 '!$D$8)*U217^2)+(('CAFCO 400 '!$D$9*LN(J217)+'CAFCO 400 '!$D$10)*U217)+('CAFCO 400 '!$D$11*LN(J217)+'CAFCO 400 '!$D$12))),0)+IF(AND(L217="Cafco 400",M217="Software Idiem",C217="C"),((('CAFCO 400 '!$L$7*(J217^3)+'CAFCO 400 '!$L$8*(J217^2)+'CAFCO 400 '!$L$9*J217+'CAFCO 400 '!$L$10)*U217^2)+(('CAFCO 400 '!$L$11*(J217^3)+'CAFCO 400 '!$L$12*(J217^2)+'CAFCO 400 '!$L$13*J217+'CAFCO 400 '!$L$14)*U217)+('CAFCO 400 '!$L$15*LN(J217)+'CAFCO 400 '!$L$16)),0)+IF(AND(L217="Cafco 400",M217="Software Idiem",C217="L"),((('CAFCO 400 '!$L$7*(J217^3)+'CAFCO 400 '!$L$8*(J217^2)+'CAFCO 400 '!$L$9*J217+'CAFCO 400 '!$L$10)*U217^2)+(('CAFCO 400 '!$L$11*(J217^3)+'CAFCO 400 '!$L$12*(J217^2)+'CAFCO 400 '!$L$13*J217+'CAFCO 400 '!$L$14)*U217)+('CAFCO 400 '!$L$15*LN(J217)+'CAFCO 400 '!$L$16)),0)+IF(AND(L217="Cafco 400",M217="Software Idiem",C217="IN",G217=3),((('CAFCO 400 '!$D$23*(J217^2)+'CAFCO 400 '!$D$24*(J217)+'CAFCO 400 '!$D$25)*U217^2)+(('CAFCO 400 '!$D$26*(J217^2)+'CAFCO 400 '!$D$27*J217+'CAFCO 400 '!$D$28)*U217)+('CAFCO 400 '!$D$29*(J217^2)+'CAFCO 400 '!$D$30*J217+'CAFCO 400 '!$D$31)),0),0)+IF(AND(L217="Cafco 300",J217&gt;=95,J217&lt;=240,C217="Cj",I217=90),VLOOKUP(T217,'CAFCO 300 IDIEM TABLAS'!$B$4:$D$23,2,FALSE),0)+IF(AND(L217="Cafco 300",J217&gt;=95,J217&lt;=240,C217="Cj",I217=120),VLOOKUP(T217,'CAFCO 300 IDIEM TABLAS'!$B$4:$D$23,3,FALSE),0)+IF(AND(L217="Cafco 300",J217&gt;=95,J217&lt;=400,G217=3,C217="IN",I217=90),VLOOKUP(T217,'CAFCO 300 IDIEM TABLAS'!$F$4:$H$35,2,FALSE),0)+IF(AND(L217="Cafco 300",J217&gt;=95,J217&lt;=400,G217=3,C217="IN",I217=120),VLOOKUP(T217,'CAFCO 300 IDIEM TABLAS'!$F$4:$H$35,3,FALSE),0)+IF(AND(L217="Cafco 300",J217&gt;=95,J217&lt;=450,G217=4,C217="IN",I217=90),VLOOKUP(T217,'CAFCO 300 IDIEM TABLAS'!$J$4:$L$40,2,FALSE),0)+IF(AND(L217="Cafco 300",J217&gt;=95,J217&lt;=450,G217=4,C217="IN",I217=120),VLOOKUP(T217,'CAFCO 300 IDIEM TABLAS'!$J$4:$L$40,3,FALSE),0)+IF(AND(M217="Ensayo Idiem",L217="Cafco 400",C217="IN",G217=4,I217=90),VLOOKUP(T217,'CAFCO 400 ENSAYO'!$B$7:$D$43,2,FALSE),0)+IF(AND(M217="Ensayo Idiem",L217="Cafco 400",C217="IN",G217=4,I217=120),VLOOKUP(T217,'CAFCO 400 ENSAYO'!$B$7:$D$43,3,FALSE),0)</f>
        <v>0</v>
      </c>
      <c r="O217" s="96">
        <f t="shared" si="27"/>
        <v>0</v>
      </c>
      <c r="P217" s="95" t="str">
        <f t="shared" si="28"/>
        <v>N/A</v>
      </c>
      <c r="Q217" s="95" t="str">
        <f t="shared" si="29"/>
        <v>N/A</v>
      </c>
      <c r="R217" s="95" t="str">
        <f t="shared" si="30"/>
        <v>NO CERT.</v>
      </c>
      <c r="S217" s="95" t="e">
        <f t="shared" si="25"/>
        <v>#N/A</v>
      </c>
      <c r="T217" s="119" t="e">
        <f>+IF(J217=LOOKUP(J217,'CAFCO 300 IDIEM TABLAS'!$J$4:$J$40),'CALCULO MORTERO'!J217,MROUND('CALCULO MORTERO'!J217,10))</f>
        <v>#N/A</v>
      </c>
      <c r="U217" s="118">
        <f t="shared" si="26"/>
        <v>0</v>
      </c>
      <c r="Y217" s="4"/>
      <c r="Z217" s="4"/>
      <c r="AA217" s="4"/>
    </row>
    <row r="218" spans="1:27" ht="15.6" customHeight="1" x14ac:dyDescent="0.25">
      <c r="A218" s="118">
        <f>+CUBICACION!D212</f>
        <v>0</v>
      </c>
      <c r="B218" s="819">
        <f>+CUBICACION!E212</f>
        <v>0</v>
      </c>
      <c r="C218" s="675">
        <f>+CUBICACION!F212</f>
        <v>0</v>
      </c>
      <c r="D218" s="118"/>
      <c r="E218" s="118"/>
      <c r="F218" s="820"/>
      <c r="G218" s="675">
        <f>+CUBICACION!J212</f>
        <v>0</v>
      </c>
      <c r="H218" s="118"/>
      <c r="I218" s="821">
        <f>+CUBICACION!L212</f>
        <v>0</v>
      </c>
      <c r="J218" s="64">
        <f>+CUBICACION!M212</f>
        <v>0</v>
      </c>
      <c r="K218" s="822" t="str">
        <f>+CUBICACION!N212</f>
        <v/>
      </c>
      <c r="L218" s="118">
        <f>+CUBICACION!O212</f>
        <v>0</v>
      </c>
      <c r="M218" s="823">
        <f>+CUBICACION!P212</f>
        <v>0</v>
      </c>
      <c r="N218" s="902">
        <f>ROUND(IF(AND(L218="Blaze Shield II",M218="Software Idiem",C218="IN",G218=4),((('BLAZE SHIELD II'!$D$4*('CALCULO MORTERO'!I218^2)+'BLAZE SHIELD II'!$D$5*'CALCULO MORTERO'!I218+'BLAZE SHIELD II'!$D$6)*LN(J218))+('BLAZE SHIELD II'!$D$7*('CALCULO MORTERO'!I218^2)+'BLAZE SHIELD II'!$D$8*'CALCULO MORTERO'!I218+'BLAZE SHIELD II'!$D$9)),0)+IF(AND(L218="Blaze Shield II",M218="Software Idiem",C218="Cj"),((('BLAZE SHIELD II'!$H$4*('CALCULO MORTERO'!I218^2)+'BLAZE SHIELD II'!$H$5*'CALCULO MORTERO'!I218+'BLAZE SHIELD II'!$H$6)*LN(J218))+('BLAZE SHIELD II'!$H$7*('CALCULO MORTERO'!I218^2)+'BLAZE SHIELD II'!$H$8*'CALCULO MORTERO'!I218+'BLAZE SHIELD II'!$H$9)),0)+IF(AND(L218="Blaze Shield II",M218="Software Idiem",C218="C"),((('BLAZE SHIELD II'!$L$4*('CALCULO MORTERO'!I218^2)+'BLAZE SHIELD II'!$L$5*'CALCULO MORTERO'!I218+'BLAZE SHIELD II'!$L$6)*LN(J218))+('BLAZE SHIELD II'!$L$7*('CALCULO MORTERO'!I218^2)+'BLAZE SHIELD II'!$L$8*'CALCULO MORTERO'!I218+'BLAZE SHIELD II'!$L$9)),0)+IF(AND(L218="Blaze Shield II",M218="Software Idiem",C218="L"),((('BLAZE SHIELD II'!$L$4*('CALCULO MORTERO'!I218^2)+'BLAZE SHIELD II'!$L$5*'CALCULO MORTERO'!I218+'BLAZE SHIELD II'!$L$6)*LN(J218))+('BLAZE SHIELD II'!$L$7*('CALCULO MORTERO'!I218^2)+'BLAZE SHIELD II'!$L$8*'CALCULO MORTERO'!I218+'BLAZE SHIELD II'!$L$9)),0)+IF(AND(L218="Blaze Shield II",M218="Software Idiem",C218="IN",G218=3),((('BLAZE SHIELD II'!$H$14*('CALCULO MORTERO'!I218^2)+'BLAZE SHIELD II'!$H$15*'CALCULO MORTERO'!I218+'BLAZE SHIELD II'!$H$16)*LN(J218))+('BLAZE SHIELD II'!$H$17*('CALCULO MORTERO'!I218^2)+'BLAZE SHIELD II'!$H$18*'CALCULO MORTERO'!I218+'BLAZE SHIELD II'!$H$19)),0),0)+ROUND(IF(AND(L218="Cafco 400",M218="Software Idiem",C218="IN",G218=4),((('CAFCO 400 '!$H$7*(J218^4)+'CAFCO 400 '!$H$8*(J218^3)+'CAFCO 400 '!$H$9*(J218^2)+'CAFCO 400 '!$H$10*J218+'CAFCO 400 '!$H$11)*U218^2)+(('CAFCO 400 '!$H$12*(J218^3)+'CAFCO 400 '!$H$13*(J218^2)+'CAFCO 400 '!$H$14*J218+'CAFCO 400 '!$H$15)*U218)+('CAFCO 400 '!$H$16*(J218^2)+'CAFCO 400 '!$H$17*J218+'CAFCO 400 '!$H$18)),0)+IF(AND(L218="Cafco 400",M218="Software Idiem",C218="Cj"),(((('CAFCO 400 '!$D$7*LN(J218)+'CAFCO 400 '!$D$8)*U218^2)+(('CAFCO 400 '!$D$9*LN(J218)+'CAFCO 400 '!$D$10)*U218)+('CAFCO 400 '!$D$11*LN(J218)+'CAFCO 400 '!$D$12))),0)+IF(AND(L218="Cafco 400",M218="Software Idiem",C218="C"),((('CAFCO 400 '!$L$7*(J218^3)+'CAFCO 400 '!$L$8*(J218^2)+'CAFCO 400 '!$L$9*J218+'CAFCO 400 '!$L$10)*U218^2)+(('CAFCO 400 '!$L$11*(J218^3)+'CAFCO 400 '!$L$12*(J218^2)+'CAFCO 400 '!$L$13*J218+'CAFCO 400 '!$L$14)*U218)+('CAFCO 400 '!$L$15*LN(J218)+'CAFCO 400 '!$L$16)),0)+IF(AND(L218="Cafco 400",M218="Software Idiem",C218="L"),((('CAFCO 400 '!$L$7*(J218^3)+'CAFCO 400 '!$L$8*(J218^2)+'CAFCO 400 '!$L$9*J218+'CAFCO 400 '!$L$10)*U218^2)+(('CAFCO 400 '!$L$11*(J218^3)+'CAFCO 400 '!$L$12*(J218^2)+'CAFCO 400 '!$L$13*J218+'CAFCO 400 '!$L$14)*U218)+('CAFCO 400 '!$L$15*LN(J218)+'CAFCO 400 '!$L$16)),0)+IF(AND(L218="Cafco 400",M218="Software Idiem",C218="IN",G218=3),((('CAFCO 400 '!$D$23*(J218^2)+'CAFCO 400 '!$D$24*(J218)+'CAFCO 400 '!$D$25)*U218^2)+(('CAFCO 400 '!$D$26*(J218^2)+'CAFCO 400 '!$D$27*J218+'CAFCO 400 '!$D$28)*U218)+('CAFCO 400 '!$D$29*(J218^2)+'CAFCO 400 '!$D$30*J218+'CAFCO 400 '!$D$31)),0),0)+IF(AND(L218="Cafco 300",J218&gt;=95,J218&lt;=240,C218="Cj",I218=90),VLOOKUP(T218,'CAFCO 300 IDIEM TABLAS'!$B$4:$D$23,2,FALSE),0)+IF(AND(L218="Cafco 300",J218&gt;=95,J218&lt;=240,C218="Cj",I218=120),VLOOKUP(T218,'CAFCO 300 IDIEM TABLAS'!$B$4:$D$23,3,FALSE),0)+IF(AND(L218="Cafco 300",J218&gt;=95,J218&lt;=400,G218=3,C218="IN",I218=90),VLOOKUP(T218,'CAFCO 300 IDIEM TABLAS'!$F$4:$H$35,2,FALSE),0)+IF(AND(L218="Cafco 300",J218&gt;=95,J218&lt;=400,G218=3,C218="IN",I218=120),VLOOKUP(T218,'CAFCO 300 IDIEM TABLAS'!$F$4:$H$35,3,FALSE),0)+IF(AND(L218="Cafco 300",J218&gt;=95,J218&lt;=450,G218=4,C218="IN",I218=90),VLOOKUP(T218,'CAFCO 300 IDIEM TABLAS'!$J$4:$L$40,2,FALSE),0)+IF(AND(L218="Cafco 300",J218&gt;=95,J218&lt;=450,G218=4,C218="IN",I218=120),VLOOKUP(T218,'CAFCO 300 IDIEM TABLAS'!$J$4:$L$40,3,FALSE),0)+IF(AND(M218="Ensayo Idiem",L218="Cafco 400",C218="IN",G218=4,I218=90),VLOOKUP(T218,'CAFCO 400 ENSAYO'!$B$7:$D$43,2,FALSE),0)+IF(AND(M218="Ensayo Idiem",L218="Cafco 400",C218="IN",G218=4,I218=120),VLOOKUP(T218,'CAFCO 400 ENSAYO'!$B$7:$D$43,3,FALSE),0)</f>
        <v>0</v>
      </c>
      <c r="O218" s="96">
        <f t="shared" si="27"/>
        <v>0</v>
      </c>
      <c r="P218" s="95" t="str">
        <f t="shared" si="28"/>
        <v>N/A</v>
      </c>
      <c r="Q218" s="95" t="str">
        <f t="shared" si="29"/>
        <v>N/A</v>
      </c>
      <c r="R218" s="95" t="str">
        <f t="shared" si="30"/>
        <v>NO CERT.</v>
      </c>
      <c r="S218" s="95" t="e">
        <f t="shared" si="25"/>
        <v>#N/A</v>
      </c>
      <c r="T218" s="119" t="e">
        <f>+IF(J218=LOOKUP(J218,'CAFCO 300 IDIEM TABLAS'!$J$4:$J$40),'CALCULO MORTERO'!J218,MROUND('CALCULO MORTERO'!J218,10))</f>
        <v>#N/A</v>
      </c>
      <c r="U218" s="118">
        <f t="shared" si="26"/>
        <v>0</v>
      </c>
      <c r="Y218" s="4"/>
      <c r="Z218" s="4"/>
      <c r="AA218" s="4"/>
    </row>
    <row r="219" spans="1:27" x14ac:dyDescent="0.25">
      <c r="A219" s="118">
        <f>+CUBICACION!D213</f>
        <v>0</v>
      </c>
      <c r="B219" s="819">
        <f>+CUBICACION!E213</f>
        <v>0</v>
      </c>
      <c r="C219" s="675">
        <f>+CUBICACION!F213</f>
        <v>0</v>
      </c>
      <c r="D219" s="118"/>
      <c r="E219" s="118"/>
      <c r="F219" s="820"/>
      <c r="G219" s="675">
        <f>+CUBICACION!J213</f>
        <v>0</v>
      </c>
      <c r="H219" s="118"/>
      <c r="I219" s="821">
        <f>+CUBICACION!L213</f>
        <v>0</v>
      </c>
      <c r="J219" s="64">
        <f>+CUBICACION!M213</f>
        <v>0</v>
      </c>
      <c r="K219" s="822" t="str">
        <f>+CUBICACION!N213</f>
        <v/>
      </c>
      <c r="L219" s="118">
        <f>+CUBICACION!O213</f>
        <v>0</v>
      </c>
      <c r="M219" s="823">
        <f>+CUBICACION!P213</f>
        <v>0</v>
      </c>
      <c r="N219" s="902">
        <f>ROUND(IF(AND(L219="Blaze Shield II",M219="Software Idiem",C219="IN",G219=4),((('BLAZE SHIELD II'!$D$4*('CALCULO MORTERO'!I219^2)+'BLAZE SHIELD II'!$D$5*'CALCULO MORTERO'!I219+'BLAZE SHIELD II'!$D$6)*LN(J219))+('BLAZE SHIELD II'!$D$7*('CALCULO MORTERO'!I219^2)+'BLAZE SHIELD II'!$D$8*'CALCULO MORTERO'!I219+'BLAZE SHIELD II'!$D$9)),0)+IF(AND(L219="Blaze Shield II",M219="Software Idiem",C219="Cj"),((('BLAZE SHIELD II'!$H$4*('CALCULO MORTERO'!I219^2)+'BLAZE SHIELD II'!$H$5*'CALCULO MORTERO'!I219+'BLAZE SHIELD II'!$H$6)*LN(J219))+('BLAZE SHIELD II'!$H$7*('CALCULO MORTERO'!I219^2)+'BLAZE SHIELD II'!$H$8*'CALCULO MORTERO'!I219+'BLAZE SHIELD II'!$H$9)),0)+IF(AND(L219="Blaze Shield II",M219="Software Idiem",C219="C"),((('BLAZE SHIELD II'!$L$4*('CALCULO MORTERO'!I219^2)+'BLAZE SHIELD II'!$L$5*'CALCULO MORTERO'!I219+'BLAZE SHIELD II'!$L$6)*LN(J219))+('BLAZE SHIELD II'!$L$7*('CALCULO MORTERO'!I219^2)+'BLAZE SHIELD II'!$L$8*'CALCULO MORTERO'!I219+'BLAZE SHIELD II'!$L$9)),0)+IF(AND(L219="Blaze Shield II",M219="Software Idiem",C219="L"),((('BLAZE SHIELD II'!$L$4*('CALCULO MORTERO'!I219^2)+'BLAZE SHIELD II'!$L$5*'CALCULO MORTERO'!I219+'BLAZE SHIELD II'!$L$6)*LN(J219))+('BLAZE SHIELD II'!$L$7*('CALCULO MORTERO'!I219^2)+'BLAZE SHIELD II'!$L$8*'CALCULO MORTERO'!I219+'BLAZE SHIELD II'!$L$9)),0)+IF(AND(L219="Blaze Shield II",M219="Software Idiem",C219="IN",G219=3),((('BLAZE SHIELD II'!$H$14*('CALCULO MORTERO'!I219^2)+'BLAZE SHIELD II'!$H$15*'CALCULO MORTERO'!I219+'BLAZE SHIELD II'!$H$16)*LN(J219))+('BLAZE SHIELD II'!$H$17*('CALCULO MORTERO'!I219^2)+'BLAZE SHIELD II'!$H$18*'CALCULO MORTERO'!I219+'BLAZE SHIELD II'!$H$19)),0),0)+ROUND(IF(AND(L219="Cafco 400",M219="Software Idiem",C219="IN",G219=4),((('CAFCO 400 '!$H$7*(J219^4)+'CAFCO 400 '!$H$8*(J219^3)+'CAFCO 400 '!$H$9*(J219^2)+'CAFCO 400 '!$H$10*J219+'CAFCO 400 '!$H$11)*U219^2)+(('CAFCO 400 '!$H$12*(J219^3)+'CAFCO 400 '!$H$13*(J219^2)+'CAFCO 400 '!$H$14*J219+'CAFCO 400 '!$H$15)*U219)+('CAFCO 400 '!$H$16*(J219^2)+'CAFCO 400 '!$H$17*J219+'CAFCO 400 '!$H$18)),0)+IF(AND(L219="Cafco 400",M219="Software Idiem",C219="Cj"),(((('CAFCO 400 '!$D$7*LN(J219)+'CAFCO 400 '!$D$8)*U219^2)+(('CAFCO 400 '!$D$9*LN(J219)+'CAFCO 400 '!$D$10)*U219)+('CAFCO 400 '!$D$11*LN(J219)+'CAFCO 400 '!$D$12))),0)+IF(AND(L219="Cafco 400",M219="Software Idiem",C219="C"),((('CAFCO 400 '!$L$7*(J219^3)+'CAFCO 400 '!$L$8*(J219^2)+'CAFCO 400 '!$L$9*J219+'CAFCO 400 '!$L$10)*U219^2)+(('CAFCO 400 '!$L$11*(J219^3)+'CAFCO 400 '!$L$12*(J219^2)+'CAFCO 400 '!$L$13*J219+'CAFCO 400 '!$L$14)*U219)+('CAFCO 400 '!$L$15*LN(J219)+'CAFCO 400 '!$L$16)),0)+IF(AND(L219="Cafco 400",M219="Software Idiem",C219="L"),((('CAFCO 400 '!$L$7*(J219^3)+'CAFCO 400 '!$L$8*(J219^2)+'CAFCO 400 '!$L$9*J219+'CAFCO 400 '!$L$10)*U219^2)+(('CAFCO 400 '!$L$11*(J219^3)+'CAFCO 400 '!$L$12*(J219^2)+'CAFCO 400 '!$L$13*J219+'CAFCO 400 '!$L$14)*U219)+('CAFCO 400 '!$L$15*LN(J219)+'CAFCO 400 '!$L$16)),0)+IF(AND(L219="Cafco 400",M219="Software Idiem",C219="IN",G219=3),((('CAFCO 400 '!$D$23*(J219^2)+'CAFCO 400 '!$D$24*(J219)+'CAFCO 400 '!$D$25)*U219^2)+(('CAFCO 400 '!$D$26*(J219^2)+'CAFCO 400 '!$D$27*J219+'CAFCO 400 '!$D$28)*U219)+('CAFCO 400 '!$D$29*(J219^2)+'CAFCO 400 '!$D$30*J219+'CAFCO 400 '!$D$31)),0),0)+IF(AND(L219="Cafco 300",J219&gt;=95,J219&lt;=240,C219="Cj",I219=90),VLOOKUP(T219,'CAFCO 300 IDIEM TABLAS'!$B$4:$D$23,2,FALSE),0)+IF(AND(L219="Cafco 300",J219&gt;=95,J219&lt;=240,C219="Cj",I219=120),VLOOKUP(T219,'CAFCO 300 IDIEM TABLAS'!$B$4:$D$23,3,FALSE),0)+IF(AND(L219="Cafco 300",J219&gt;=95,J219&lt;=400,G219=3,C219="IN",I219=90),VLOOKUP(T219,'CAFCO 300 IDIEM TABLAS'!$F$4:$H$35,2,FALSE),0)+IF(AND(L219="Cafco 300",J219&gt;=95,J219&lt;=400,G219=3,C219="IN",I219=120),VLOOKUP(T219,'CAFCO 300 IDIEM TABLAS'!$F$4:$H$35,3,FALSE),0)+IF(AND(L219="Cafco 300",J219&gt;=95,J219&lt;=450,G219=4,C219="IN",I219=90),VLOOKUP(T219,'CAFCO 300 IDIEM TABLAS'!$J$4:$L$40,2,FALSE),0)+IF(AND(L219="Cafco 300",J219&gt;=95,J219&lt;=450,G219=4,C219="IN",I219=120),VLOOKUP(T219,'CAFCO 300 IDIEM TABLAS'!$J$4:$L$40,3,FALSE),0)+IF(AND(M219="Ensayo Idiem",L219="Cafco 400",C219="IN",G219=4,I219=90),VLOOKUP(T219,'CAFCO 400 ENSAYO'!$B$7:$D$43,2,FALSE),0)+IF(AND(M219="Ensayo Idiem",L219="Cafco 400",C219="IN",G219=4,I219=120),VLOOKUP(T219,'CAFCO 400 ENSAYO'!$B$7:$D$43,3,FALSE),0)</f>
        <v>0</v>
      </c>
      <c r="O219" s="96">
        <f t="shared" si="27"/>
        <v>0</v>
      </c>
      <c r="P219" s="95" t="str">
        <f t="shared" si="28"/>
        <v>N/A</v>
      </c>
      <c r="Q219" s="95" t="str">
        <f t="shared" si="29"/>
        <v>N/A</v>
      </c>
      <c r="R219" s="95" t="str">
        <f t="shared" si="30"/>
        <v>NO CERT.</v>
      </c>
      <c r="S219" s="95" t="e">
        <f t="shared" si="25"/>
        <v>#N/A</v>
      </c>
      <c r="T219" s="119" t="e">
        <f>+IF(J219=LOOKUP(J219,'CAFCO 300 IDIEM TABLAS'!$J$4:$J$40),'CALCULO MORTERO'!J219,MROUND('CALCULO MORTERO'!J219,10))</f>
        <v>#N/A</v>
      </c>
      <c r="U219" s="118">
        <f t="shared" si="26"/>
        <v>0</v>
      </c>
      <c r="Y219" s="4"/>
      <c r="Z219" s="4"/>
      <c r="AA219" s="4"/>
    </row>
    <row r="220" spans="1:27" ht="15.6" customHeight="1" x14ac:dyDescent="0.25">
      <c r="A220" s="118">
        <f>+CUBICACION!D214</f>
        <v>0</v>
      </c>
      <c r="B220" s="819">
        <f>+CUBICACION!E214</f>
        <v>0</v>
      </c>
      <c r="C220" s="675">
        <f>+CUBICACION!F214</f>
        <v>0</v>
      </c>
      <c r="D220" s="118"/>
      <c r="E220" s="118"/>
      <c r="F220" s="820"/>
      <c r="G220" s="675">
        <f>+CUBICACION!J214</f>
        <v>0</v>
      </c>
      <c r="H220" s="118"/>
      <c r="I220" s="821">
        <f>+CUBICACION!L214</f>
        <v>0</v>
      </c>
      <c r="J220" s="64">
        <f>+CUBICACION!M214</f>
        <v>0</v>
      </c>
      <c r="K220" s="822" t="str">
        <f>+CUBICACION!N214</f>
        <v/>
      </c>
      <c r="L220" s="118">
        <f>+CUBICACION!O214</f>
        <v>0</v>
      </c>
      <c r="M220" s="823">
        <f>+CUBICACION!P214</f>
        <v>0</v>
      </c>
      <c r="N220" s="902">
        <f>ROUND(IF(AND(L220="Blaze Shield II",M220="Software Idiem",C220="IN",G220=4),((('BLAZE SHIELD II'!$D$4*('CALCULO MORTERO'!I220^2)+'BLAZE SHIELD II'!$D$5*'CALCULO MORTERO'!I220+'BLAZE SHIELD II'!$D$6)*LN(J220))+('BLAZE SHIELD II'!$D$7*('CALCULO MORTERO'!I220^2)+'BLAZE SHIELD II'!$D$8*'CALCULO MORTERO'!I220+'BLAZE SHIELD II'!$D$9)),0)+IF(AND(L220="Blaze Shield II",M220="Software Idiem",C220="Cj"),((('BLAZE SHIELD II'!$H$4*('CALCULO MORTERO'!I220^2)+'BLAZE SHIELD II'!$H$5*'CALCULO MORTERO'!I220+'BLAZE SHIELD II'!$H$6)*LN(J220))+('BLAZE SHIELD II'!$H$7*('CALCULO MORTERO'!I220^2)+'BLAZE SHIELD II'!$H$8*'CALCULO MORTERO'!I220+'BLAZE SHIELD II'!$H$9)),0)+IF(AND(L220="Blaze Shield II",M220="Software Idiem",C220="C"),((('BLAZE SHIELD II'!$L$4*('CALCULO MORTERO'!I220^2)+'BLAZE SHIELD II'!$L$5*'CALCULO MORTERO'!I220+'BLAZE SHIELD II'!$L$6)*LN(J220))+('BLAZE SHIELD II'!$L$7*('CALCULO MORTERO'!I220^2)+'BLAZE SHIELD II'!$L$8*'CALCULO MORTERO'!I220+'BLAZE SHIELD II'!$L$9)),0)+IF(AND(L220="Blaze Shield II",M220="Software Idiem",C220="L"),((('BLAZE SHIELD II'!$L$4*('CALCULO MORTERO'!I220^2)+'BLAZE SHIELD II'!$L$5*'CALCULO MORTERO'!I220+'BLAZE SHIELD II'!$L$6)*LN(J220))+('BLAZE SHIELD II'!$L$7*('CALCULO MORTERO'!I220^2)+'BLAZE SHIELD II'!$L$8*'CALCULO MORTERO'!I220+'BLAZE SHIELD II'!$L$9)),0)+IF(AND(L220="Blaze Shield II",M220="Software Idiem",C220="IN",G220=3),((('BLAZE SHIELD II'!$H$14*('CALCULO MORTERO'!I220^2)+'BLAZE SHIELD II'!$H$15*'CALCULO MORTERO'!I220+'BLAZE SHIELD II'!$H$16)*LN(J220))+('BLAZE SHIELD II'!$H$17*('CALCULO MORTERO'!I220^2)+'BLAZE SHIELD II'!$H$18*'CALCULO MORTERO'!I220+'BLAZE SHIELD II'!$H$19)),0),0)+ROUND(IF(AND(L220="Cafco 400",M220="Software Idiem",C220="IN",G220=4),((('CAFCO 400 '!$H$7*(J220^4)+'CAFCO 400 '!$H$8*(J220^3)+'CAFCO 400 '!$H$9*(J220^2)+'CAFCO 400 '!$H$10*J220+'CAFCO 400 '!$H$11)*U220^2)+(('CAFCO 400 '!$H$12*(J220^3)+'CAFCO 400 '!$H$13*(J220^2)+'CAFCO 400 '!$H$14*J220+'CAFCO 400 '!$H$15)*U220)+('CAFCO 400 '!$H$16*(J220^2)+'CAFCO 400 '!$H$17*J220+'CAFCO 400 '!$H$18)),0)+IF(AND(L220="Cafco 400",M220="Software Idiem",C220="Cj"),(((('CAFCO 400 '!$D$7*LN(J220)+'CAFCO 400 '!$D$8)*U220^2)+(('CAFCO 400 '!$D$9*LN(J220)+'CAFCO 400 '!$D$10)*U220)+('CAFCO 400 '!$D$11*LN(J220)+'CAFCO 400 '!$D$12))),0)+IF(AND(L220="Cafco 400",M220="Software Idiem",C220="C"),((('CAFCO 400 '!$L$7*(J220^3)+'CAFCO 400 '!$L$8*(J220^2)+'CAFCO 400 '!$L$9*J220+'CAFCO 400 '!$L$10)*U220^2)+(('CAFCO 400 '!$L$11*(J220^3)+'CAFCO 400 '!$L$12*(J220^2)+'CAFCO 400 '!$L$13*J220+'CAFCO 400 '!$L$14)*U220)+('CAFCO 400 '!$L$15*LN(J220)+'CAFCO 400 '!$L$16)),0)+IF(AND(L220="Cafco 400",M220="Software Idiem",C220="L"),((('CAFCO 400 '!$L$7*(J220^3)+'CAFCO 400 '!$L$8*(J220^2)+'CAFCO 400 '!$L$9*J220+'CAFCO 400 '!$L$10)*U220^2)+(('CAFCO 400 '!$L$11*(J220^3)+'CAFCO 400 '!$L$12*(J220^2)+'CAFCO 400 '!$L$13*J220+'CAFCO 400 '!$L$14)*U220)+('CAFCO 400 '!$L$15*LN(J220)+'CAFCO 400 '!$L$16)),0)+IF(AND(L220="Cafco 400",M220="Software Idiem",C220="IN",G220=3),((('CAFCO 400 '!$D$23*(J220^2)+'CAFCO 400 '!$D$24*(J220)+'CAFCO 400 '!$D$25)*U220^2)+(('CAFCO 400 '!$D$26*(J220^2)+'CAFCO 400 '!$D$27*J220+'CAFCO 400 '!$D$28)*U220)+('CAFCO 400 '!$D$29*(J220^2)+'CAFCO 400 '!$D$30*J220+'CAFCO 400 '!$D$31)),0),0)+IF(AND(L220="Cafco 300",J220&gt;=95,J220&lt;=240,C220="Cj",I220=90),VLOOKUP(T220,'CAFCO 300 IDIEM TABLAS'!$B$4:$D$23,2,FALSE),0)+IF(AND(L220="Cafco 300",J220&gt;=95,J220&lt;=240,C220="Cj",I220=120),VLOOKUP(T220,'CAFCO 300 IDIEM TABLAS'!$B$4:$D$23,3,FALSE),0)+IF(AND(L220="Cafco 300",J220&gt;=95,J220&lt;=400,G220=3,C220="IN",I220=90),VLOOKUP(T220,'CAFCO 300 IDIEM TABLAS'!$F$4:$H$35,2,FALSE),0)+IF(AND(L220="Cafco 300",J220&gt;=95,J220&lt;=400,G220=3,C220="IN",I220=120),VLOOKUP(T220,'CAFCO 300 IDIEM TABLAS'!$F$4:$H$35,3,FALSE),0)+IF(AND(L220="Cafco 300",J220&gt;=95,J220&lt;=450,G220=4,C220="IN",I220=90),VLOOKUP(T220,'CAFCO 300 IDIEM TABLAS'!$J$4:$L$40,2,FALSE),0)+IF(AND(L220="Cafco 300",J220&gt;=95,J220&lt;=450,G220=4,C220="IN",I220=120),VLOOKUP(T220,'CAFCO 300 IDIEM TABLAS'!$J$4:$L$40,3,FALSE),0)+IF(AND(M220="Ensayo Idiem",L220="Cafco 400",C220="IN",G220=4,I220=90),VLOOKUP(T220,'CAFCO 400 ENSAYO'!$B$7:$D$43,2,FALSE),0)+IF(AND(M220="Ensayo Idiem",L220="Cafco 400",C220="IN",G220=4,I220=120),VLOOKUP(T220,'CAFCO 400 ENSAYO'!$B$7:$D$43,3,FALSE),0)</f>
        <v>0</v>
      </c>
      <c r="O220" s="96">
        <f t="shared" si="27"/>
        <v>0</v>
      </c>
      <c r="P220" s="95" t="str">
        <f t="shared" si="28"/>
        <v>N/A</v>
      </c>
      <c r="Q220" s="95" t="str">
        <f t="shared" si="29"/>
        <v>N/A</v>
      </c>
      <c r="R220" s="95" t="str">
        <f t="shared" si="30"/>
        <v>NO CERT.</v>
      </c>
      <c r="S220" s="95" t="e">
        <f t="shared" si="25"/>
        <v>#N/A</v>
      </c>
      <c r="T220" s="119" t="e">
        <f>+IF(J220=LOOKUP(J220,'CAFCO 300 IDIEM TABLAS'!$J$4:$J$40),'CALCULO MORTERO'!J220,MROUND('CALCULO MORTERO'!J220,10))</f>
        <v>#N/A</v>
      </c>
      <c r="U220" s="118">
        <f t="shared" si="26"/>
        <v>0</v>
      </c>
      <c r="Y220" s="4"/>
      <c r="Z220" s="4"/>
      <c r="AA220" s="4"/>
    </row>
    <row r="221" spans="1:27" x14ac:dyDescent="0.25">
      <c r="A221" s="118">
        <f>+CUBICACION!D215</f>
        <v>0</v>
      </c>
      <c r="B221" s="819">
        <f>+CUBICACION!E215</f>
        <v>0</v>
      </c>
      <c r="C221" s="675">
        <f>+CUBICACION!F215</f>
        <v>0</v>
      </c>
      <c r="D221" s="118"/>
      <c r="E221" s="118"/>
      <c r="F221" s="820"/>
      <c r="G221" s="675">
        <f>+CUBICACION!J215</f>
        <v>0</v>
      </c>
      <c r="H221" s="118"/>
      <c r="I221" s="821">
        <f>+CUBICACION!L215</f>
        <v>0</v>
      </c>
      <c r="J221" s="64">
        <f>+CUBICACION!M215</f>
        <v>0</v>
      </c>
      <c r="K221" s="822" t="str">
        <f>+CUBICACION!N215</f>
        <v/>
      </c>
      <c r="L221" s="118">
        <f>+CUBICACION!O215</f>
        <v>0</v>
      </c>
      <c r="M221" s="823">
        <f>+CUBICACION!P215</f>
        <v>0</v>
      </c>
      <c r="N221" s="902">
        <f>ROUND(IF(AND(L221="Blaze Shield II",M221="Software Idiem",C221="IN",G221=4),((('BLAZE SHIELD II'!$D$4*('CALCULO MORTERO'!I221^2)+'BLAZE SHIELD II'!$D$5*'CALCULO MORTERO'!I221+'BLAZE SHIELD II'!$D$6)*LN(J221))+('BLAZE SHIELD II'!$D$7*('CALCULO MORTERO'!I221^2)+'BLAZE SHIELD II'!$D$8*'CALCULO MORTERO'!I221+'BLAZE SHIELD II'!$D$9)),0)+IF(AND(L221="Blaze Shield II",M221="Software Idiem",C221="Cj"),((('BLAZE SHIELD II'!$H$4*('CALCULO MORTERO'!I221^2)+'BLAZE SHIELD II'!$H$5*'CALCULO MORTERO'!I221+'BLAZE SHIELD II'!$H$6)*LN(J221))+('BLAZE SHIELD II'!$H$7*('CALCULO MORTERO'!I221^2)+'BLAZE SHIELD II'!$H$8*'CALCULO MORTERO'!I221+'BLAZE SHIELD II'!$H$9)),0)+IF(AND(L221="Blaze Shield II",M221="Software Idiem",C221="C"),((('BLAZE SHIELD II'!$L$4*('CALCULO MORTERO'!I221^2)+'BLAZE SHIELD II'!$L$5*'CALCULO MORTERO'!I221+'BLAZE SHIELD II'!$L$6)*LN(J221))+('BLAZE SHIELD II'!$L$7*('CALCULO MORTERO'!I221^2)+'BLAZE SHIELD II'!$L$8*'CALCULO MORTERO'!I221+'BLAZE SHIELD II'!$L$9)),0)+IF(AND(L221="Blaze Shield II",M221="Software Idiem",C221="L"),((('BLAZE SHIELD II'!$L$4*('CALCULO MORTERO'!I221^2)+'BLAZE SHIELD II'!$L$5*'CALCULO MORTERO'!I221+'BLAZE SHIELD II'!$L$6)*LN(J221))+('BLAZE SHIELD II'!$L$7*('CALCULO MORTERO'!I221^2)+'BLAZE SHIELD II'!$L$8*'CALCULO MORTERO'!I221+'BLAZE SHIELD II'!$L$9)),0)+IF(AND(L221="Blaze Shield II",M221="Software Idiem",C221="IN",G221=3),((('BLAZE SHIELD II'!$H$14*('CALCULO MORTERO'!I221^2)+'BLAZE SHIELD II'!$H$15*'CALCULO MORTERO'!I221+'BLAZE SHIELD II'!$H$16)*LN(J221))+('BLAZE SHIELD II'!$H$17*('CALCULO MORTERO'!I221^2)+'BLAZE SHIELD II'!$H$18*'CALCULO MORTERO'!I221+'BLAZE SHIELD II'!$H$19)),0),0)+ROUND(IF(AND(L221="Cafco 400",M221="Software Idiem",C221="IN",G221=4),((('CAFCO 400 '!$H$7*(J221^4)+'CAFCO 400 '!$H$8*(J221^3)+'CAFCO 400 '!$H$9*(J221^2)+'CAFCO 400 '!$H$10*J221+'CAFCO 400 '!$H$11)*U221^2)+(('CAFCO 400 '!$H$12*(J221^3)+'CAFCO 400 '!$H$13*(J221^2)+'CAFCO 400 '!$H$14*J221+'CAFCO 400 '!$H$15)*U221)+('CAFCO 400 '!$H$16*(J221^2)+'CAFCO 400 '!$H$17*J221+'CAFCO 400 '!$H$18)),0)+IF(AND(L221="Cafco 400",M221="Software Idiem",C221="Cj"),(((('CAFCO 400 '!$D$7*LN(J221)+'CAFCO 400 '!$D$8)*U221^2)+(('CAFCO 400 '!$D$9*LN(J221)+'CAFCO 400 '!$D$10)*U221)+('CAFCO 400 '!$D$11*LN(J221)+'CAFCO 400 '!$D$12))),0)+IF(AND(L221="Cafco 400",M221="Software Idiem",C221="C"),((('CAFCO 400 '!$L$7*(J221^3)+'CAFCO 400 '!$L$8*(J221^2)+'CAFCO 400 '!$L$9*J221+'CAFCO 400 '!$L$10)*U221^2)+(('CAFCO 400 '!$L$11*(J221^3)+'CAFCO 400 '!$L$12*(J221^2)+'CAFCO 400 '!$L$13*J221+'CAFCO 400 '!$L$14)*U221)+('CAFCO 400 '!$L$15*LN(J221)+'CAFCO 400 '!$L$16)),0)+IF(AND(L221="Cafco 400",M221="Software Idiem",C221="L"),((('CAFCO 400 '!$L$7*(J221^3)+'CAFCO 400 '!$L$8*(J221^2)+'CAFCO 400 '!$L$9*J221+'CAFCO 400 '!$L$10)*U221^2)+(('CAFCO 400 '!$L$11*(J221^3)+'CAFCO 400 '!$L$12*(J221^2)+'CAFCO 400 '!$L$13*J221+'CAFCO 400 '!$L$14)*U221)+('CAFCO 400 '!$L$15*LN(J221)+'CAFCO 400 '!$L$16)),0)+IF(AND(L221="Cafco 400",M221="Software Idiem",C221="IN",G221=3),((('CAFCO 400 '!$D$23*(J221^2)+'CAFCO 400 '!$D$24*(J221)+'CAFCO 400 '!$D$25)*U221^2)+(('CAFCO 400 '!$D$26*(J221^2)+'CAFCO 400 '!$D$27*J221+'CAFCO 400 '!$D$28)*U221)+('CAFCO 400 '!$D$29*(J221^2)+'CAFCO 400 '!$D$30*J221+'CAFCO 400 '!$D$31)),0),0)+IF(AND(L221="Cafco 300",J221&gt;=95,J221&lt;=240,C221="Cj",I221=90),VLOOKUP(T221,'CAFCO 300 IDIEM TABLAS'!$B$4:$D$23,2,FALSE),0)+IF(AND(L221="Cafco 300",J221&gt;=95,J221&lt;=240,C221="Cj",I221=120),VLOOKUP(T221,'CAFCO 300 IDIEM TABLAS'!$B$4:$D$23,3,FALSE),0)+IF(AND(L221="Cafco 300",J221&gt;=95,J221&lt;=400,G221=3,C221="IN",I221=90),VLOOKUP(T221,'CAFCO 300 IDIEM TABLAS'!$F$4:$H$35,2,FALSE),0)+IF(AND(L221="Cafco 300",J221&gt;=95,J221&lt;=400,G221=3,C221="IN",I221=120),VLOOKUP(T221,'CAFCO 300 IDIEM TABLAS'!$F$4:$H$35,3,FALSE),0)+IF(AND(L221="Cafco 300",J221&gt;=95,J221&lt;=450,G221=4,C221="IN",I221=90),VLOOKUP(T221,'CAFCO 300 IDIEM TABLAS'!$J$4:$L$40,2,FALSE),0)+IF(AND(L221="Cafco 300",J221&gt;=95,J221&lt;=450,G221=4,C221="IN",I221=120),VLOOKUP(T221,'CAFCO 300 IDIEM TABLAS'!$J$4:$L$40,3,FALSE),0)+IF(AND(M221="Ensayo Idiem",L221="Cafco 400",C221="IN",G221=4,I221=90),VLOOKUP(T221,'CAFCO 400 ENSAYO'!$B$7:$D$43,2,FALSE),0)+IF(AND(M221="Ensayo Idiem",L221="Cafco 400",C221="IN",G221=4,I221=120),VLOOKUP(T221,'CAFCO 400 ENSAYO'!$B$7:$D$43,3,FALSE),0)</f>
        <v>0</v>
      </c>
      <c r="O221" s="96">
        <f t="shared" si="27"/>
        <v>0</v>
      </c>
      <c r="P221" s="95" t="str">
        <f t="shared" si="28"/>
        <v>N/A</v>
      </c>
      <c r="Q221" s="95" t="str">
        <f t="shared" si="29"/>
        <v>N/A</v>
      </c>
      <c r="R221" s="95" t="str">
        <f t="shared" si="30"/>
        <v>NO CERT.</v>
      </c>
      <c r="S221" s="95" t="e">
        <f t="shared" si="25"/>
        <v>#N/A</v>
      </c>
      <c r="T221" s="119" t="e">
        <f>+IF(J221=LOOKUP(J221,'CAFCO 300 IDIEM TABLAS'!$J$4:$J$40),'CALCULO MORTERO'!J221,MROUND('CALCULO MORTERO'!J221,10))</f>
        <v>#N/A</v>
      </c>
      <c r="U221" s="118">
        <f t="shared" si="26"/>
        <v>0</v>
      </c>
      <c r="Y221" s="4"/>
      <c r="Z221" s="4"/>
      <c r="AA221" s="4"/>
    </row>
    <row r="222" spans="1:27" ht="15.6" customHeight="1" x14ac:dyDescent="0.25">
      <c r="A222" s="118">
        <f>+CUBICACION!D216</f>
        <v>0</v>
      </c>
      <c r="B222" s="819">
        <f>+CUBICACION!E216</f>
        <v>0</v>
      </c>
      <c r="C222" s="675">
        <f>+CUBICACION!F216</f>
        <v>0</v>
      </c>
      <c r="D222" s="118"/>
      <c r="E222" s="118"/>
      <c r="F222" s="820"/>
      <c r="G222" s="675">
        <f>+CUBICACION!J216</f>
        <v>0</v>
      </c>
      <c r="H222" s="118"/>
      <c r="I222" s="821">
        <f>+CUBICACION!L216</f>
        <v>0</v>
      </c>
      <c r="J222" s="64">
        <f>+CUBICACION!M216</f>
        <v>0</v>
      </c>
      <c r="K222" s="822" t="str">
        <f>+CUBICACION!N216</f>
        <v/>
      </c>
      <c r="L222" s="118">
        <f>+CUBICACION!O216</f>
        <v>0</v>
      </c>
      <c r="M222" s="823">
        <f>+CUBICACION!P216</f>
        <v>0</v>
      </c>
      <c r="N222" s="902">
        <f>ROUND(IF(AND(L222="Blaze Shield II",M222="Software Idiem",C222="IN",G222=4),((('BLAZE SHIELD II'!$D$4*('CALCULO MORTERO'!I222^2)+'BLAZE SHIELD II'!$D$5*'CALCULO MORTERO'!I222+'BLAZE SHIELD II'!$D$6)*LN(J222))+('BLAZE SHIELD II'!$D$7*('CALCULO MORTERO'!I222^2)+'BLAZE SHIELD II'!$D$8*'CALCULO MORTERO'!I222+'BLAZE SHIELD II'!$D$9)),0)+IF(AND(L222="Blaze Shield II",M222="Software Idiem",C222="Cj"),((('BLAZE SHIELD II'!$H$4*('CALCULO MORTERO'!I222^2)+'BLAZE SHIELD II'!$H$5*'CALCULO MORTERO'!I222+'BLAZE SHIELD II'!$H$6)*LN(J222))+('BLAZE SHIELD II'!$H$7*('CALCULO MORTERO'!I222^2)+'BLAZE SHIELD II'!$H$8*'CALCULO MORTERO'!I222+'BLAZE SHIELD II'!$H$9)),0)+IF(AND(L222="Blaze Shield II",M222="Software Idiem",C222="C"),((('BLAZE SHIELD II'!$L$4*('CALCULO MORTERO'!I222^2)+'BLAZE SHIELD II'!$L$5*'CALCULO MORTERO'!I222+'BLAZE SHIELD II'!$L$6)*LN(J222))+('BLAZE SHIELD II'!$L$7*('CALCULO MORTERO'!I222^2)+'BLAZE SHIELD II'!$L$8*'CALCULO MORTERO'!I222+'BLAZE SHIELD II'!$L$9)),0)+IF(AND(L222="Blaze Shield II",M222="Software Idiem",C222="L"),((('BLAZE SHIELD II'!$L$4*('CALCULO MORTERO'!I222^2)+'BLAZE SHIELD II'!$L$5*'CALCULO MORTERO'!I222+'BLAZE SHIELD II'!$L$6)*LN(J222))+('BLAZE SHIELD II'!$L$7*('CALCULO MORTERO'!I222^2)+'BLAZE SHIELD II'!$L$8*'CALCULO MORTERO'!I222+'BLAZE SHIELD II'!$L$9)),0)+IF(AND(L222="Blaze Shield II",M222="Software Idiem",C222="IN",G222=3),((('BLAZE SHIELD II'!$H$14*('CALCULO MORTERO'!I222^2)+'BLAZE SHIELD II'!$H$15*'CALCULO MORTERO'!I222+'BLAZE SHIELD II'!$H$16)*LN(J222))+('BLAZE SHIELD II'!$H$17*('CALCULO MORTERO'!I222^2)+'BLAZE SHIELD II'!$H$18*'CALCULO MORTERO'!I222+'BLAZE SHIELD II'!$H$19)),0),0)+ROUND(IF(AND(L222="Cafco 400",M222="Software Idiem",C222="IN",G222=4),((('CAFCO 400 '!$H$7*(J222^4)+'CAFCO 400 '!$H$8*(J222^3)+'CAFCO 400 '!$H$9*(J222^2)+'CAFCO 400 '!$H$10*J222+'CAFCO 400 '!$H$11)*U222^2)+(('CAFCO 400 '!$H$12*(J222^3)+'CAFCO 400 '!$H$13*(J222^2)+'CAFCO 400 '!$H$14*J222+'CAFCO 400 '!$H$15)*U222)+('CAFCO 400 '!$H$16*(J222^2)+'CAFCO 400 '!$H$17*J222+'CAFCO 400 '!$H$18)),0)+IF(AND(L222="Cafco 400",M222="Software Idiem",C222="Cj"),(((('CAFCO 400 '!$D$7*LN(J222)+'CAFCO 400 '!$D$8)*U222^2)+(('CAFCO 400 '!$D$9*LN(J222)+'CAFCO 400 '!$D$10)*U222)+('CAFCO 400 '!$D$11*LN(J222)+'CAFCO 400 '!$D$12))),0)+IF(AND(L222="Cafco 400",M222="Software Idiem",C222="C"),((('CAFCO 400 '!$L$7*(J222^3)+'CAFCO 400 '!$L$8*(J222^2)+'CAFCO 400 '!$L$9*J222+'CAFCO 400 '!$L$10)*U222^2)+(('CAFCO 400 '!$L$11*(J222^3)+'CAFCO 400 '!$L$12*(J222^2)+'CAFCO 400 '!$L$13*J222+'CAFCO 400 '!$L$14)*U222)+('CAFCO 400 '!$L$15*LN(J222)+'CAFCO 400 '!$L$16)),0)+IF(AND(L222="Cafco 400",M222="Software Idiem",C222="L"),((('CAFCO 400 '!$L$7*(J222^3)+'CAFCO 400 '!$L$8*(J222^2)+'CAFCO 400 '!$L$9*J222+'CAFCO 400 '!$L$10)*U222^2)+(('CAFCO 400 '!$L$11*(J222^3)+'CAFCO 400 '!$L$12*(J222^2)+'CAFCO 400 '!$L$13*J222+'CAFCO 400 '!$L$14)*U222)+('CAFCO 400 '!$L$15*LN(J222)+'CAFCO 400 '!$L$16)),0)+IF(AND(L222="Cafco 400",M222="Software Idiem",C222="IN",G222=3),((('CAFCO 400 '!$D$23*(J222^2)+'CAFCO 400 '!$D$24*(J222)+'CAFCO 400 '!$D$25)*U222^2)+(('CAFCO 400 '!$D$26*(J222^2)+'CAFCO 400 '!$D$27*J222+'CAFCO 400 '!$D$28)*U222)+('CAFCO 400 '!$D$29*(J222^2)+'CAFCO 400 '!$D$30*J222+'CAFCO 400 '!$D$31)),0),0)+IF(AND(L222="Cafco 300",J222&gt;=95,J222&lt;=240,C222="Cj",I222=90),VLOOKUP(T222,'CAFCO 300 IDIEM TABLAS'!$B$4:$D$23,2,FALSE),0)+IF(AND(L222="Cafco 300",J222&gt;=95,J222&lt;=240,C222="Cj",I222=120),VLOOKUP(T222,'CAFCO 300 IDIEM TABLAS'!$B$4:$D$23,3,FALSE),0)+IF(AND(L222="Cafco 300",J222&gt;=95,J222&lt;=400,G222=3,C222="IN",I222=90),VLOOKUP(T222,'CAFCO 300 IDIEM TABLAS'!$F$4:$H$35,2,FALSE),0)+IF(AND(L222="Cafco 300",J222&gt;=95,J222&lt;=400,G222=3,C222="IN",I222=120),VLOOKUP(T222,'CAFCO 300 IDIEM TABLAS'!$F$4:$H$35,3,FALSE),0)+IF(AND(L222="Cafco 300",J222&gt;=95,J222&lt;=450,G222=4,C222="IN",I222=90),VLOOKUP(T222,'CAFCO 300 IDIEM TABLAS'!$J$4:$L$40,2,FALSE),0)+IF(AND(L222="Cafco 300",J222&gt;=95,J222&lt;=450,G222=4,C222="IN",I222=120),VLOOKUP(T222,'CAFCO 300 IDIEM TABLAS'!$J$4:$L$40,3,FALSE),0)+IF(AND(M222="Ensayo Idiem",L222="Cafco 400",C222="IN",G222=4,I222=90),VLOOKUP(T222,'CAFCO 400 ENSAYO'!$B$7:$D$43,2,FALSE),0)+IF(AND(M222="Ensayo Idiem",L222="Cafco 400",C222="IN",G222=4,I222=120),VLOOKUP(T222,'CAFCO 400 ENSAYO'!$B$7:$D$43,3,FALSE),0)</f>
        <v>0</v>
      </c>
      <c r="O222" s="96">
        <f t="shared" si="27"/>
        <v>0</v>
      </c>
      <c r="P222" s="95" t="str">
        <f t="shared" si="28"/>
        <v>N/A</v>
      </c>
      <c r="Q222" s="95" t="str">
        <f t="shared" si="29"/>
        <v>N/A</v>
      </c>
      <c r="R222" s="95" t="str">
        <f t="shared" si="30"/>
        <v>NO CERT.</v>
      </c>
      <c r="S222" s="95" t="e">
        <f t="shared" si="25"/>
        <v>#N/A</v>
      </c>
      <c r="T222" s="119" t="e">
        <f>+IF(J222=LOOKUP(J222,'CAFCO 300 IDIEM TABLAS'!$J$4:$J$40),'CALCULO MORTERO'!J222,MROUND('CALCULO MORTERO'!J222,10))</f>
        <v>#N/A</v>
      </c>
      <c r="U222" s="118">
        <f t="shared" si="26"/>
        <v>0</v>
      </c>
      <c r="Y222" s="4"/>
      <c r="Z222" s="4"/>
      <c r="AA222" s="4"/>
    </row>
    <row r="223" spans="1:27" x14ac:dyDescent="0.25">
      <c r="A223" s="118">
        <f>+CUBICACION!D217</f>
        <v>0</v>
      </c>
      <c r="B223" s="819">
        <f>+CUBICACION!E217</f>
        <v>0</v>
      </c>
      <c r="C223" s="675">
        <f>+CUBICACION!F217</f>
        <v>0</v>
      </c>
      <c r="D223" s="118"/>
      <c r="E223" s="118"/>
      <c r="F223" s="820"/>
      <c r="G223" s="675">
        <f>+CUBICACION!J217</f>
        <v>0</v>
      </c>
      <c r="H223" s="118"/>
      <c r="I223" s="821">
        <f>+CUBICACION!L217</f>
        <v>0</v>
      </c>
      <c r="J223" s="64">
        <f>+CUBICACION!M217</f>
        <v>0</v>
      </c>
      <c r="K223" s="822" t="str">
        <f>+CUBICACION!N217</f>
        <v/>
      </c>
      <c r="L223" s="118">
        <f>+CUBICACION!O217</f>
        <v>0</v>
      </c>
      <c r="M223" s="823">
        <f>+CUBICACION!P217</f>
        <v>0</v>
      </c>
      <c r="N223" s="902">
        <f>ROUND(IF(AND(L223="Blaze Shield II",M223="Software Idiem",C223="IN",G223=4),((('BLAZE SHIELD II'!$D$4*('CALCULO MORTERO'!I223^2)+'BLAZE SHIELD II'!$D$5*'CALCULO MORTERO'!I223+'BLAZE SHIELD II'!$D$6)*LN(J223))+('BLAZE SHIELD II'!$D$7*('CALCULO MORTERO'!I223^2)+'BLAZE SHIELD II'!$D$8*'CALCULO MORTERO'!I223+'BLAZE SHIELD II'!$D$9)),0)+IF(AND(L223="Blaze Shield II",M223="Software Idiem",C223="Cj"),((('BLAZE SHIELD II'!$H$4*('CALCULO MORTERO'!I223^2)+'BLAZE SHIELD II'!$H$5*'CALCULO MORTERO'!I223+'BLAZE SHIELD II'!$H$6)*LN(J223))+('BLAZE SHIELD II'!$H$7*('CALCULO MORTERO'!I223^2)+'BLAZE SHIELD II'!$H$8*'CALCULO MORTERO'!I223+'BLAZE SHIELD II'!$H$9)),0)+IF(AND(L223="Blaze Shield II",M223="Software Idiem",C223="C"),((('BLAZE SHIELD II'!$L$4*('CALCULO MORTERO'!I223^2)+'BLAZE SHIELD II'!$L$5*'CALCULO MORTERO'!I223+'BLAZE SHIELD II'!$L$6)*LN(J223))+('BLAZE SHIELD II'!$L$7*('CALCULO MORTERO'!I223^2)+'BLAZE SHIELD II'!$L$8*'CALCULO MORTERO'!I223+'BLAZE SHIELD II'!$L$9)),0)+IF(AND(L223="Blaze Shield II",M223="Software Idiem",C223="L"),((('BLAZE SHIELD II'!$L$4*('CALCULO MORTERO'!I223^2)+'BLAZE SHIELD II'!$L$5*'CALCULO MORTERO'!I223+'BLAZE SHIELD II'!$L$6)*LN(J223))+('BLAZE SHIELD II'!$L$7*('CALCULO MORTERO'!I223^2)+'BLAZE SHIELD II'!$L$8*'CALCULO MORTERO'!I223+'BLAZE SHIELD II'!$L$9)),0)+IF(AND(L223="Blaze Shield II",M223="Software Idiem",C223="IN",G223=3),((('BLAZE SHIELD II'!$H$14*('CALCULO MORTERO'!I223^2)+'BLAZE SHIELD II'!$H$15*'CALCULO MORTERO'!I223+'BLAZE SHIELD II'!$H$16)*LN(J223))+('BLAZE SHIELD II'!$H$17*('CALCULO MORTERO'!I223^2)+'BLAZE SHIELD II'!$H$18*'CALCULO MORTERO'!I223+'BLAZE SHIELD II'!$H$19)),0),0)+ROUND(IF(AND(L223="Cafco 400",M223="Software Idiem",C223="IN",G223=4),((('CAFCO 400 '!$H$7*(J223^4)+'CAFCO 400 '!$H$8*(J223^3)+'CAFCO 400 '!$H$9*(J223^2)+'CAFCO 400 '!$H$10*J223+'CAFCO 400 '!$H$11)*U223^2)+(('CAFCO 400 '!$H$12*(J223^3)+'CAFCO 400 '!$H$13*(J223^2)+'CAFCO 400 '!$H$14*J223+'CAFCO 400 '!$H$15)*U223)+('CAFCO 400 '!$H$16*(J223^2)+'CAFCO 400 '!$H$17*J223+'CAFCO 400 '!$H$18)),0)+IF(AND(L223="Cafco 400",M223="Software Idiem",C223="Cj"),(((('CAFCO 400 '!$D$7*LN(J223)+'CAFCO 400 '!$D$8)*U223^2)+(('CAFCO 400 '!$D$9*LN(J223)+'CAFCO 400 '!$D$10)*U223)+('CAFCO 400 '!$D$11*LN(J223)+'CAFCO 400 '!$D$12))),0)+IF(AND(L223="Cafco 400",M223="Software Idiem",C223="C"),((('CAFCO 400 '!$L$7*(J223^3)+'CAFCO 400 '!$L$8*(J223^2)+'CAFCO 400 '!$L$9*J223+'CAFCO 400 '!$L$10)*U223^2)+(('CAFCO 400 '!$L$11*(J223^3)+'CAFCO 400 '!$L$12*(J223^2)+'CAFCO 400 '!$L$13*J223+'CAFCO 400 '!$L$14)*U223)+('CAFCO 400 '!$L$15*LN(J223)+'CAFCO 400 '!$L$16)),0)+IF(AND(L223="Cafco 400",M223="Software Idiem",C223="L"),((('CAFCO 400 '!$L$7*(J223^3)+'CAFCO 400 '!$L$8*(J223^2)+'CAFCO 400 '!$L$9*J223+'CAFCO 400 '!$L$10)*U223^2)+(('CAFCO 400 '!$L$11*(J223^3)+'CAFCO 400 '!$L$12*(J223^2)+'CAFCO 400 '!$L$13*J223+'CAFCO 400 '!$L$14)*U223)+('CAFCO 400 '!$L$15*LN(J223)+'CAFCO 400 '!$L$16)),0)+IF(AND(L223="Cafco 400",M223="Software Idiem",C223="IN",G223=3),((('CAFCO 400 '!$D$23*(J223^2)+'CAFCO 400 '!$D$24*(J223)+'CAFCO 400 '!$D$25)*U223^2)+(('CAFCO 400 '!$D$26*(J223^2)+'CAFCO 400 '!$D$27*J223+'CAFCO 400 '!$D$28)*U223)+('CAFCO 400 '!$D$29*(J223^2)+'CAFCO 400 '!$D$30*J223+'CAFCO 400 '!$D$31)),0),0)+IF(AND(L223="Cafco 300",J223&gt;=95,J223&lt;=240,C223="Cj",I223=90),VLOOKUP(T223,'CAFCO 300 IDIEM TABLAS'!$B$4:$D$23,2,FALSE),0)+IF(AND(L223="Cafco 300",J223&gt;=95,J223&lt;=240,C223="Cj",I223=120),VLOOKUP(T223,'CAFCO 300 IDIEM TABLAS'!$B$4:$D$23,3,FALSE),0)+IF(AND(L223="Cafco 300",J223&gt;=95,J223&lt;=400,G223=3,C223="IN",I223=90),VLOOKUP(T223,'CAFCO 300 IDIEM TABLAS'!$F$4:$H$35,2,FALSE),0)+IF(AND(L223="Cafco 300",J223&gt;=95,J223&lt;=400,G223=3,C223="IN",I223=120),VLOOKUP(T223,'CAFCO 300 IDIEM TABLAS'!$F$4:$H$35,3,FALSE),0)+IF(AND(L223="Cafco 300",J223&gt;=95,J223&lt;=450,G223=4,C223="IN",I223=90),VLOOKUP(T223,'CAFCO 300 IDIEM TABLAS'!$J$4:$L$40,2,FALSE),0)+IF(AND(L223="Cafco 300",J223&gt;=95,J223&lt;=450,G223=4,C223="IN",I223=120),VLOOKUP(T223,'CAFCO 300 IDIEM TABLAS'!$J$4:$L$40,3,FALSE),0)+IF(AND(M223="Ensayo Idiem",L223="Cafco 400",C223="IN",G223=4,I223=90),VLOOKUP(T223,'CAFCO 400 ENSAYO'!$B$7:$D$43,2,FALSE),0)+IF(AND(M223="Ensayo Idiem",L223="Cafco 400",C223="IN",G223=4,I223=120),VLOOKUP(T223,'CAFCO 400 ENSAYO'!$B$7:$D$43,3,FALSE),0)</f>
        <v>0</v>
      </c>
      <c r="O223" s="96">
        <f t="shared" si="27"/>
        <v>0</v>
      </c>
      <c r="P223" s="95" t="str">
        <f t="shared" si="28"/>
        <v>N/A</v>
      </c>
      <c r="Q223" s="95" t="str">
        <f t="shared" si="29"/>
        <v>N/A</v>
      </c>
      <c r="R223" s="95" t="str">
        <f t="shared" si="30"/>
        <v>NO CERT.</v>
      </c>
      <c r="S223" s="95" t="e">
        <f t="shared" si="25"/>
        <v>#N/A</v>
      </c>
      <c r="T223" s="119" t="e">
        <f>+IF(J223=LOOKUP(J223,'CAFCO 300 IDIEM TABLAS'!$J$4:$J$40),'CALCULO MORTERO'!J223,MROUND('CALCULO MORTERO'!J223,10))</f>
        <v>#N/A</v>
      </c>
      <c r="U223" s="118">
        <f t="shared" si="26"/>
        <v>0</v>
      </c>
      <c r="Y223" s="4"/>
      <c r="Z223" s="4"/>
      <c r="AA223" s="4"/>
    </row>
    <row r="224" spans="1:27" ht="15.6" customHeight="1" x14ac:dyDescent="0.25">
      <c r="A224" s="118">
        <f>+CUBICACION!D218</f>
        <v>0</v>
      </c>
      <c r="B224" s="819">
        <f>+CUBICACION!E218</f>
        <v>0</v>
      </c>
      <c r="C224" s="675">
        <f>+CUBICACION!F218</f>
        <v>0</v>
      </c>
      <c r="D224" s="118"/>
      <c r="E224" s="118"/>
      <c r="F224" s="820"/>
      <c r="G224" s="675">
        <f>+CUBICACION!J218</f>
        <v>0</v>
      </c>
      <c r="H224" s="118"/>
      <c r="I224" s="821">
        <f>+CUBICACION!L218</f>
        <v>0</v>
      </c>
      <c r="J224" s="64">
        <f>+CUBICACION!M218</f>
        <v>0</v>
      </c>
      <c r="K224" s="822" t="str">
        <f>+CUBICACION!N218</f>
        <v/>
      </c>
      <c r="L224" s="118">
        <f>+CUBICACION!O218</f>
        <v>0</v>
      </c>
      <c r="M224" s="823">
        <f>+CUBICACION!P218</f>
        <v>0</v>
      </c>
      <c r="N224" s="902">
        <f>ROUND(IF(AND(L224="Blaze Shield II",M224="Software Idiem",C224="IN",G224=4),((('BLAZE SHIELD II'!$D$4*('CALCULO MORTERO'!I224^2)+'BLAZE SHIELD II'!$D$5*'CALCULO MORTERO'!I224+'BLAZE SHIELD II'!$D$6)*LN(J224))+('BLAZE SHIELD II'!$D$7*('CALCULO MORTERO'!I224^2)+'BLAZE SHIELD II'!$D$8*'CALCULO MORTERO'!I224+'BLAZE SHIELD II'!$D$9)),0)+IF(AND(L224="Blaze Shield II",M224="Software Idiem",C224="Cj"),((('BLAZE SHIELD II'!$H$4*('CALCULO MORTERO'!I224^2)+'BLAZE SHIELD II'!$H$5*'CALCULO MORTERO'!I224+'BLAZE SHIELD II'!$H$6)*LN(J224))+('BLAZE SHIELD II'!$H$7*('CALCULO MORTERO'!I224^2)+'BLAZE SHIELD II'!$H$8*'CALCULO MORTERO'!I224+'BLAZE SHIELD II'!$H$9)),0)+IF(AND(L224="Blaze Shield II",M224="Software Idiem",C224="C"),((('BLAZE SHIELD II'!$L$4*('CALCULO MORTERO'!I224^2)+'BLAZE SHIELD II'!$L$5*'CALCULO MORTERO'!I224+'BLAZE SHIELD II'!$L$6)*LN(J224))+('BLAZE SHIELD II'!$L$7*('CALCULO MORTERO'!I224^2)+'BLAZE SHIELD II'!$L$8*'CALCULO MORTERO'!I224+'BLAZE SHIELD II'!$L$9)),0)+IF(AND(L224="Blaze Shield II",M224="Software Idiem",C224="L"),((('BLAZE SHIELD II'!$L$4*('CALCULO MORTERO'!I224^2)+'BLAZE SHIELD II'!$L$5*'CALCULO MORTERO'!I224+'BLAZE SHIELD II'!$L$6)*LN(J224))+('BLAZE SHIELD II'!$L$7*('CALCULO MORTERO'!I224^2)+'BLAZE SHIELD II'!$L$8*'CALCULO MORTERO'!I224+'BLAZE SHIELD II'!$L$9)),0)+IF(AND(L224="Blaze Shield II",M224="Software Idiem",C224="IN",G224=3),((('BLAZE SHIELD II'!$H$14*('CALCULO MORTERO'!I224^2)+'BLAZE SHIELD II'!$H$15*'CALCULO MORTERO'!I224+'BLAZE SHIELD II'!$H$16)*LN(J224))+('BLAZE SHIELD II'!$H$17*('CALCULO MORTERO'!I224^2)+'BLAZE SHIELD II'!$H$18*'CALCULO MORTERO'!I224+'BLAZE SHIELD II'!$H$19)),0),0)+ROUND(IF(AND(L224="Cafco 400",M224="Software Idiem",C224="IN",G224=4),((('CAFCO 400 '!$H$7*(J224^4)+'CAFCO 400 '!$H$8*(J224^3)+'CAFCO 400 '!$H$9*(J224^2)+'CAFCO 400 '!$H$10*J224+'CAFCO 400 '!$H$11)*U224^2)+(('CAFCO 400 '!$H$12*(J224^3)+'CAFCO 400 '!$H$13*(J224^2)+'CAFCO 400 '!$H$14*J224+'CAFCO 400 '!$H$15)*U224)+('CAFCO 400 '!$H$16*(J224^2)+'CAFCO 400 '!$H$17*J224+'CAFCO 400 '!$H$18)),0)+IF(AND(L224="Cafco 400",M224="Software Idiem",C224="Cj"),(((('CAFCO 400 '!$D$7*LN(J224)+'CAFCO 400 '!$D$8)*U224^2)+(('CAFCO 400 '!$D$9*LN(J224)+'CAFCO 400 '!$D$10)*U224)+('CAFCO 400 '!$D$11*LN(J224)+'CAFCO 400 '!$D$12))),0)+IF(AND(L224="Cafco 400",M224="Software Idiem",C224="C"),((('CAFCO 400 '!$L$7*(J224^3)+'CAFCO 400 '!$L$8*(J224^2)+'CAFCO 400 '!$L$9*J224+'CAFCO 400 '!$L$10)*U224^2)+(('CAFCO 400 '!$L$11*(J224^3)+'CAFCO 400 '!$L$12*(J224^2)+'CAFCO 400 '!$L$13*J224+'CAFCO 400 '!$L$14)*U224)+('CAFCO 400 '!$L$15*LN(J224)+'CAFCO 400 '!$L$16)),0)+IF(AND(L224="Cafco 400",M224="Software Idiem",C224="L"),((('CAFCO 400 '!$L$7*(J224^3)+'CAFCO 400 '!$L$8*(J224^2)+'CAFCO 400 '!$L$9*J224+'CAFCO 400 '!$L$10)*U224^2)+(('CAFCO 400 '!$L$11*(J224^3)+'CAFCO 400 '!$L$12*(J224^2)+'CAFCO 400 '!$L$13*J224+'CAFCO 400 '!$L$14)*U224)+('CAFCO 400 '!$L$15*LN(J224)+'CAFCO 400 '!$L$16)),0)+IF(AND(L224="Cafco 400",M224="Software Idiem",C224="IN",G224=3),((('CAFCO 400 '!$D$23*(J224^2)+'CAFCO 400 '!$D$24*(J224)+'CAFCO 400 '!$D$25)*U224^2)+(('CAFCO 400 '!$D$26*(J224^2)+'CAFCO 400 '!$D$27*J224+'CAFCO 400 '!$D$28)*U224)+('CAFCO 400 '!$D$29*(J224^2)+'CAFCO 400 '!$D$30*J224+'CAFCO 400 '!$D$31)),0),0)+IF(AND(L224="Cafco 300",J224&gt;=95,J224&lt;=240,C224="Cj",I224=90),VLOOKUP(T224,'CAFCO 300 IDIEM TABLAS'!$B$4:$D$23,2,FALSE),0)+IF(AND(L224="Cafco 300",J224&gt;=95,J224&lt;=240,C224="Cj",I224=120),VLOOKUP(T224,'CAFCO 300 IDIEM TABLAS'!$B$4:$D$23,3,FALSE),0)+IF(AND(L224="Cafco 300",J224&gt;=95,J224&lt;=400,G224=3,C224="IN",I224=90),VLOOKUP(T224,'CAFCO 300 IDIEM TABLAS'!$F$4:$H$35,2,FALSE),0)+IF(AND(L224="Cafco 300",J224&gt;=95,J224&lt;=400,G224=3,C224="IN",I224=120),VLOOKUP(T224,'CAFCO 300 IDIEM TABLAS'!$F$4:$H$35,3,FALSE),0)+IF(AND(L224="Cafco 300",J224&gt;=95,J224&lt;=450,G224=4,C224="IN",I224=90),VLOOKUP(T224,'CAFCO 300 IDIEM TABLAS'!$J$4:$L$40,2,FALSE),0)+IF(AND(L224="Cafco 300",J224&gt;=95,J224&lt;=450,G224=4,C224="IN",I224=120),VLOOKUP(T224,'CAFCO 300 IDIEM TABLAS'!$J$4:$L$40,3,FALSE),0)+IF(AND(M224="Ensayo Idiem",L224="Cafco 400",C224="IN",G224=4,I224=90),VLOOKUP(T224,'CAFCO 400 ENSAYO'!$B$7:$D$43,2,FALSE),0)+IF(AND(M224="Ensayo Idiem",L224="Cafco 400",C224="IN",G224=4,I224=120),VLOOKUP(T224,'CAFCO 400 ENSAYO'!$B$7:$D$43,3,FALSE),0)</f>
        <v>0</v>
      </c>
      <c r="O224" s="96">
        <f t="shared" si="27"/>
        <v>0</v>
      </c>
      <c r="P224" s="95" t="str">
        <f t="shared" si="28"/>
        <v>N/A</v>
      </c>
      <c r="Q224" s="95" t="str">
        <f t="shared" si="29"/>
        <v>N/A</v>
      </c>
      <c r="R224" s="95" t="str">
        <f t="shared" si="30"/>
        <v>NO CERT.</v>
      </c>
      <c r="S224" s="95" t="e">
        <f t="shared" si="25"/>
        <v>#N/A</v>
      </c>
      <c r="T224" s="119" t="e">
        <f>+IF(J224=LOOKUP(J224,'CAFCO 300 IDIEM TABLAS'!$J$4:$J$40),'CALCULO MORTERO'!J224,MROUND('CALCULO MORTERO'!J224,10))</f>
        <v>#N/A</v>
      </c>
      <c r="U224" s="118">
        <f t="shared" si="26"/>
        <v>0</v>
      </c>
      <c r="Y224" s="4"/>
      <c r="Z224" s="4"/>
      <c r="AA224" s="4"/>
    </row>
    <row r="225" spans="1:27" x14ac:dyDescent="0.25">
      <c r="A225" s="118">
        <f>+CUBICACION!D219</f>
        <v>0</v>
      </c>
      <c r="B225" s="819">
        <f>+CUBICACION!E219</f>
        <v>0</v>
      </c>
      <c r="C225" s="675">
        <f>+CUBICACION!F219</f>
        <v>0</v>
      </c>
      <c r="D225" s="118"/>
      <c r="E225" s="118"/>
      <c r="F225" s="820"/>
      <c r="G225" s="675">
        <f>+CUBICACION!J219</f>
        <v>0</v>
      </c>
      <c r="H225" s="118"/>
      <c r="I225" s="821">
        <f>+CUBICACION!L219</f>
        <v>0</v>
      </c>
      <c r="J225" s="64">
        <f>+CUBICACION!M219</f>
        <v>0</v>
      </c>
      <c r="K225" s="822" t="str">
        <f>+CUBICACION!N219</f>
        <v/>
      </c>
      <c r="L225" s="118">
        <f>+CUBICACION!O219</f>
        <v>0</v>
      </c>
      <c r="M225" s="823">
        <f>+CUBICACION!P219</f>
        <v>0</v>
      </c>
      <c r="N225" s="902">
        <f>ROUND(IF(AND(L225="Blaze Shield II",M225="Software Idiem",C225="IN",G225=4),((('BLAZE SHIELD II'!$D$4*('CALCULO MORTERO'!I225^2)+'BLAZE SHIELD II'!$D$5*'CALCULO MORTERO'!I225+'BLAZE SHIELD II'!$D$6)*LN(J225))+('BLAZE SHIELD II'!$D$7*('CALCULO MORTERO'!I225^2)+'BLAZE SHIELD II'!$D$8*'CALCULO MORTERO'!I225+'BLAZE SHIELD II'!$D$9)),0)+IF(AND(L225="Blaze Shield II",M225="Software Idiem",C225="Cj"),((('BLAZE SHIELD II'!$H$4*('CALCULO MORTERO'!I225^2)+'BLAZE SHIELD II'!$H$5*'CALCULO MORTERO'!I225+'BLAZE SHIELD II'!$H$6)*LN(J225))+('BLAZE SHIELD II'!$H$7*('CALCULO MORTERO'!I225^2)+'BLAZE SHIELD II'!$H$8*'CALCULO MORTERO'!I225+'BLAZE SHIELD II'!$H$9)),0)+IF(AND(L225="Blaze Shield II",M225="Software Idiem",C225="C"),((('BLAZE SHIELD II'!$L$4*('CALCULO MORTERO'!I225^2)+'BLAZE SHIELD II'!$L$5*'CALCULO MORTERO'!I225+'BLAZE SHIELD II'!$L$6)*LN(J225))+('BLAZE SHIELD II'!$L$7*('CALCULO MORTERO'!I225^2)+'BLAZE SHIELD II'!$L$8*'CALCULO MORTERO'!I225+'BLAZE SHIELD II'!$L$9)),0)+IF(AND(L225="Blaze Shield II",M225="Software Idiem",C225="L"),((('BLAZE SHIELD II'!$L$4*('CALCULO MORTERO'!I225^2)+'BLAZE SHIELD II'!$L$5*'CALCULO MORTERO'!I225+'BLAZE SHIELD II'!$L$6)*LN(J225))+('BLAZE SHIELD II'!$L$7*('CALCULO MORTERO'!I225^2)+'BLAZE SHIELD II'!$L$8*'CALCULO MORTERO'!I225+'BLAZE SHIELD II'!$L$9)),0)+IF(AND(L225="Blaze Shield II",M225="Software Idiem",C225="IN",G225=3),((('BLAZE SHIELD II'!$H$14*('CALCULO MORTERO'!I225^2)+'BLAZE SHIELD II'!$H$15*'CALCULO MORTERO'!I225+'BLAZE SHIELD II'!$H$16)*LN(J225))+('BLAZE SHIELD II'!$H$17*('CALCULO MORTERO'!I225^2)+'BLAZE SHIELD II'!$H$18*'CALCULO MORTERO'!I225+'BLAZE SHIELD II'!$H$19)),0),0)+ROUND(IF(AND(L225="Cafco 400",M225="Software Idiem",C225="IN",G225=4),((('CAFCO 400 '!$H$7*(J225^4)+'CAFCO 400 '!$H$8*(J225^3)+'CAFCO 400 '!$H$9*(J225^2)+'CAFCO 400 '!$H$10*J225+'CAFCO 400 '!$H$11)*U225^2)+(('CAFCO 400 '!$H$12*(J225^3)+'CAFCO 400 '!$H$13*(J225^2)+'CAFCO 400 '!$H$14*J225+'CAFCO 400 '!$H$15)*U225)+('CAFCO 400 '!$H$16*(J225^2)+'CAFCO 400 '!$H$17*J225+'CAFCO 400 '!$H$18)),0)+IF(AND(L225="Cafco 400",M225="Software Idiem",C225="Cj"),(((('CAFCO 400 '!$D$7*LN(J225)+'CAFCO 400 '!$D$8)*U225^2)+(('CAFCO 400 '!$D$9*LN(J225)+'CAFCO 400 '!$D$10)*U225)+('CAFCO 400 '!$D$11*LN(J225)+'CAFCO 400 '!$D$12))),0)+IF(AND(L225="Cafco 400",M225="Software Idiem",C225="C"),((('CAFCO 400 '!$L$7*(J225^3)+'CAFCO 400 '!$L$8*(J225^2)+'CAFCO 400 '!$L$9*J225+'CAFCO 400 '!$L$10)*U225^2)+(('CAFCO 400 '!$L$11*(J225^3)+'CAFCO 400 '!$L$12*(J225^2)+'CAFCO 400 '!$L$13*J225+'CAFCO 400 '!$L$14)*U225)+('CAFCO 400 '!$L$15*LN(J225)+'CAFCO 400 '!$L$16)),0)+IF(AND(L225="Cafco 400",M225="Software Idiem",C225="L"),((('CAFCO 400 '!$L$7*(J225^3)+'CAFCO 400 '!$L$8*(J225^2)+'CAFCO 400 '!$L$9*J225+'CAFCO 400 '!$L$10)*U225^2)+(('CAFCO 400 '!$L$11*(J225^3)+'CAFCO 400 '!$L$12*(J225^2)+'CAFCO 400 '!$L$13*J225+'CAFCO 400 '!$L$14)*U225)+('CAFCO 400 '!$L$15*LN(J225)+'CAFCO 400 '!$L$16)),0)+IF(AND(L225="Cafco 400",M225="Software Idiem",C225="IN",G225=3),((('CAFCO 400 '!$D$23*(J225^2)+'CAFCO 400 '!$D$24*(J225)+'CAFCO 400 '!$D$25)*U225^2)+(('CAFCO 400 '!$D$26*(J225^2)+'CAFCO 400 '!$D$27*J225+'CAFCO 400 '!$D$28)*U225)+('CAFCO 400 '!$D$29*(J225^2)+'CAFCO 400 '!$D$30*J225+'CAFCO 400 '!$D$31)),0),0)+IF(AND(L225="Cafco 300",J225&gt;=95,J225&lt;=240,C225="Cj",I225=90),VLOOKUP(T225,'CAFCO 300 IDIEM TABLAS'!$B$4:$D$23,2,FALSE),0)+IF(AND(L225="Cafco 300",J225&gt;=95,J225&lt;=240,C225="Cj",I225=120),VLOOKUP(T225,'CAFCO 300 IDIEM TABLAS'!$B$4:$D$23,3,FALSE),0)+IF(AND(L225="Cafco 300",J225&gt;=95,J225&lt;=400,G225=3,C225="IN",I225=90),VLOOKUP(T225,'CAFCO 300 IDIEM TABLAS'!$F$4:$H$35,2,FALSE),0)+IF(AND(L225="Cafco 300",J225&gt;=95,J225&lt;=400,G225=3,C225="IN",I225=120),VLOOKUP(T225,'CAFCO 300 IDIEM TABLAS'!$F$4:$H$35,3,FALSE),0)+IF(AND(L225="Cafco 300",J225&gt;=95,J225&lt;=450,G225=4,C225="IN",I225=90),VLOOKUP(T225,'CAFCO 300 IDIEM TABLAS'!$J$4:$L$40,2,FALSE),0)+IF(AND(L225="Cafco 300",J225&gt;=95,J225&lt;=450,G225=4,C225="IN",I225=120),VLOOKUP(T225,'CAFCO 300 IDIEM TABLAS'!$J$4:$L$40,3,FALSE),0)+IF(AND(M225="Ensayo Idiem",L225="Cafco 400",C225="IN",G225=4,I225=90),VLOOKUP(T225,'CAFCO 400 ENSAYO'!$B$7:$D$43,2,FALSE),0)+IF(AND(M225="Ensayo Idiem",L225="Cafco 400",C225="IN",G225=4,I225=120),VLOOKUP(T225,'CAFCO 400 ENSAYO'!$B$7:$D$43,3,FALSE),0)</f>
        <v>0</v>
      </c>
      <c r="O225" s="96">
        <f t="shared" si="27"/>
        <v>0</v>
      </c>
      <c r="P225" s="95" t="str">
        <f t="shared" si="28"/>
        <v>N/A</v>
      </c>
      <c r="Q225" s="95" t="str">
        <f t="shared" si="29"/>
        <v>N/A</v>
      </c>
      <c r="R225" s="95" t="str">
        <f t="shared" si="30"/>
        <v>NO CERT.</v>
      </c>
      <c r="S225" s="95" t="e">
        <f t="shared" si="25"/>
        <v>#N/A</v>
      </c>
      <c r="T225" s="119" t="e">
        <f>+IF(J225=LOOKUP(J225,'CAFCO 300 IDIEM TABLAS'!$J$4:$J$40),'CALCULO MORTERO'!J225,MROUND('CALCULO MORTERO'!J225,10))</f>
        <v>#N/A</v>
      </c>
      <c r="U225" s="118">
        <f t="shared" si="26"/>
        <v>0</v>
      </c>
      <c r="Y225" s="4"/>
      <c r="Z225" s="4"/>
      <c r="AA225" s="4"/>
    </row>
    <row r="226" spans="1:27" ht="15.6" customHeight="1" x14ac:dyDescent="0.25">
      <c r="A226" s="118">
        <f>+CUBICACION!D220</f>
        <v>0</v>
      </c>
      <c r="B226" s="819">
        <f>+CUBICACION!E220</f>
        <v>0</v>
      </c>
      <c r="C226" s="675">
        <f>+CUBICACION!F220</f>
        <v>0</v>
      </c>
      <c r="D226" s="118"/>
      <c r="E226" s="118"/>
      <c r="F226" s="820"/>
      <c r="G226" s="675">
        <f>+CUBICACION!J220</f>
        <v>0</v>
      </c>
      <c r="H226" s="118"/>
      <c r="I226" s="821">
        <f>+CUBICACION!L220</f>
        <v>0</v>
      </c>
      <c r="J226" s="64">
        <f>+CUBICACION!M220</f>
        <v>0</v>
      </c>
      <c r="K226" s="822" t="str">
        <f>+CUBICACION!N220</f>
        <v/>
      </c>
      <c r="L226" s="118">
        <f>+CUBICACION!O220</f>
        <v>0</v>
      </c>
      <c r="M226" s="823">
        <f>+CUBICACION!P220</f>
        <v>0</v>
      </c>
      <c r="N226" s="902">
        <f>ROUND(IF(AND(L226="Blaze Shield II",M226="Software Idiem",C226="IN",G226=4),((('BLAZE SHIELD II'!$D$4*('CALCULO MORTERO'!I226^2)+'BLAZE SHIELD II'!$D$5*'CALCULO MORTERO'!I226+'BLAZE SHIELD II'!$D$6)*LN(J226))+('BLAZE SHIELD II'!$D$7*('CALCULO MORTERO'!I226^2)+'BLAZE SHIELD II'!$D$8*'CALCULO MORTERO'!I226+'BLAZE SHIELD II'!$D$9)),0)+IF(AND(L226="Blaze Shield II",M226="Software Idiem",C226="Cj"),((('BLAZE SHIELD II'!$H$4*('CALCULO MORTERO'!I226^2)+'BLAZE SHIELD II'!$H$5*'CALCULO MORTERO'!I226+'BLAZE SHIELD II'!$H$6)*LN(J226))+('BLAZE SHIELD II'!$H$7*('CALCULO MORTERO'!I226^2)+'BLAZE SHIELD II'!$H$8*'CALCULO MORTERO'!I226+'BLAZE SHIELD II'!$H$9)),0)+IF(AND(L226="Blaze Shield II",M226="Software Idiem",C226="C"),((('BLAZE SHIELD II'!$L$4*('CALCULO MORTERO'!I226^2)+'BLAZE SHIELD II'!$L$5*'CALCULO MORTERO'!I226+'BLAZE SHIELD II'!$L$6)*LN(J226))+('BLAZE SHIELD II'!$L$7*('CALCULO MORTERO'!I226^2)+'BLAZE SHIELD II'!$L$8*'CALCULO MORTERO'!I226+'BLAZE SHIELD II'!$L$9)),0)+IF(AND(L226="Blaze Shield II",M226="Software Idiem",C226="L"),((('BLAZE SHIELD II'!$L$4*('CALCULO MORTERO'!I226^2)+'BLAZE SHIELD II'!$L$5*'CALCULO MORTERO'!I226+'BLAZE SHIELD II'!$L$6)*LN(J226))+('BLAZE SHIELD II'!$L$7*('CALCULO MORTERO'!I226^2)+'BLAZE SHIELD II'!$L$8*'CALCULO MORTERO'!I226+'BLAZE SHIELD II'!$L$9)),0)+IF(AND(L226="Blaze Shield II",M226="Software Idiem",C226="IN",G226=3),((('BLAZE SHIELD II'!$H$14*('CALCULO MORTERO'!I226^2)+'BLAZE SHIELD II'!$H$15*'CALCULO MORTERO'!I226+'BLAZE SHIELD II'!$H$16)*LN(J226))+('BLAZE SHIELD II'!$H$17*('CALCULO MORTERO'!I226^2)+'BLAZE SHIELD II'!$H$18*'CALCULO MORTERO'!I226+'BLAZE SHIELD II'!$H$19)),0),0)+ROUND(IF(AND(L226="Cafco 400",M226="Software Idiem",C226="IN",G226=4),((('CAFCO 400 '!$H$7*(J226^4)+'CAFCO 400 '!$H$8*(J226^3)+'CAFCO 400 '!$H$9*(J226^2)+'CAFCO 400 '!$H$10*J226+'CAFCO 400 '!$H$11)*U226^2)+(('CAFCO 400 '!$H$12*(J226^3)+'CAFCO 400 '!$H$13*(J226^2)+'CAFCO 400 '!$H$14*J226+'CAFCO 400 '!$H$15)*U226)+('CAFCO 400 '!$H$16*(J226^2)+'CAFCO 400 '!$H$17*J226+'CAFCO 400 '!$H$18)),0)+IF(AND(L226="Cafco 400",M226="Software Idiem",C226="Cj"),(((('CAFCO 400 '!$D$7*LN(J226)+'CAFCO 400 '!$D$8)*U226^2)+(('CAFCO 400 '!$D$9*LN(J226)+'CAFCO 400 '!$D$10)*U226)+('CAFCO 400 '!$D$11*LN(J226)+'CAFCO 400 '!$D$12))),0)+IF(AND(L226="Cafco 400",M226="Software Idiem",C226="C"),((('CAFCO 400 '!$L$7*(J226^3)+'CAFCO 400 '!$L$8*(J226^2)+'CAFCO 400 '!$L$9*J226+'CAFCO 400 '!$L$10)*U226^2)+(('CAFCO 400 '!$L$11*(J226^3)+'CAFCO 400 '!$L$12*(J226^2)+'CAFCO 400 '!$L$13*J226+'CAFCO 400 '!$L$14)*U226)+('CAFCO 400 '!$L$15*LN(J226)+'CAFCO 400 '!$L$16)),0)+IF(AND(L226="Cafco 400",M226="Software Idiem",C226="L"),((('CAFCO 400 '!$L$7*(J226^3)+'CAFCO 400 '!$L$8*(J226^2)+'CAFCO 400 '!$L$9*J226+'CAFCO 400 '!$L$10)*U226^2)+(('CAFCO 400 '!$L$11*(J226^3)+'CAFCO 400 '!$L$12*(J226^2)+'CAFCO 400 '!$L$13*J226+'CAFCO 400 '!$L$14)*U226)+('CAFCO 400 '!$L$15*LN(J226)+'CAFCO 400 '!$L$16)),0)+IF(AND(L226="Cafco 400",M226="Software Idiem",C226="IN",G226=3),((('CAFCO 400 '!$D$23*(J226^2)+'CAFCO 400 '!$D$24*(J226)+'CAFCO 400 '!$D$25)*U226^2)+(('CAFCO 400 '!$D$26*(J226^2)+'CAFCO 400 '!$D$27*J226+'CAFCO 400 '!$D$28)*U226)+('CAFCO 400 '!$D$29*(J226^2)+'CAFCO 400 '!$D$30*J226+'CAFCO 400 '!$D$31)),0),0)+IF(AND(L226="Cafco 300",J226&gt;=95,J226&lt;=240,C226="Cj",I226=90),VLOOKUP(T226,'CAFCO 300 IDIEM TABLAS'!$B$4:$D$23,2,FALSE),0)+IF(AND(L226="Cafco 300",J226&gt;=95,J226&lt;=240,C226="Cj",I226=120),VLOOKUP(T226,'CAFCO 300 IDIEM TABLAS'!$B$4:$D$23,3,FALSE),0)+IF(AND(L226="Cafco 300",J226&gt;=95,J226&lt;=400,G226=3,C226="IN",I226=90),VLOOKUP(T226,'CAFCO 300 IDIEM TABLAS'!$F$4:$H$35,2,FALSE),0)+IF(AND(L226="Cafco 300",J226&gt;=95,J226&lt;=400,G226=3,C226="IN",I226=120),VLOOKUP(T226,'CAFCO 300 IDIEM TABLAS'!$F$4:$H$35,3,FALSE),0)+IF(AND(L226="Cafco 300",J226&gt;=95,J226&lt;=450,G226=4,C226="IN",I226=90),VLOOKUP(T226,'CAFCO 300 IDIEM TABLAS'!$J$4:$L$40,2,FALSE),0)+IF(AND(L226="Cafco 300",J226&gt;=95,J226&lt;=450,G226=4,C226="IN",I226=120),VLOOKUP(T226,'CAFCO 300 IDIEM TABLAS'!$J$4:$L$40,3,FALSE),0)+IF(AND(M226="Ensayo Idiem",L226="Cafco 400",C226="IN",G226=4,I226=90),VLOOKUP(T226,'CAFCO 400 ENSAYO'!$B$7:$D$43,2,FALSE),0)+IF(AND(M226="Ensayo Idiem",L226="Cafco 400",C226="IN",G226=4,I226=120),VLOOKUP(T226,'CAFCO 400 ENSAYO'!$B$7:$D$43,3,FALSE),0)</f>
        <v>0</v>
      </c>
      <c r="O226" s="96">
        <f t="shared" si="27"/>
        <v>0</v>
      </c>
      <c r="P226" s="95" t="str">
        <f t="shared" si="28"/>
        <v>N/A</v>
      </c>
      <c r="Q226" s="95" t="str">
        <f t="shared" si="29"/>
        <v>N/A</v>
      </c>
      <c r="R226" s="95" t="str">
        <f t="shared" si="30"/>
        <v>NO CERT.</v>
      </c>
      <c r="S226" s="95" t="e">
        <f t="shared" si="25"/>
        <v>#N/A</v>
      </c>
      <c r="T226" s="119" t="e">
        <f>+IF(J226=LOOKUP(J226,'CAFCO 300 IDIEM TABLAS'!$J$4:$J$40),'CALCULO MORTERO'!J226,MROUND('CALCULO MORTERO'!J226,10))</f>
        <v>#N/A</v>
      </c>
      <c r="U226" s="118">
        <f t="shared" si="26"/>
        <v>0</v>
      </c>
      <c r="Y226" s="4"/>
      <c r="Z226" s="4"/>
      <c r="AA226" s="4"/>
    </row>
    <row r="227" spans="1:27" x14ac:dyDescent="0.25">
      <c r="A227" s="118">
        <f>+CUBICACION!D221</f>
        <v>0</v>
      </c>
      <c r="B227" s="819">
        <f>+CUBICACION!E221</f>
        <v>0</v>
      </c>
      <c r="C227" s="675">
        <f>+CUBICACION!F221</f>
        <v>0</v>
      </c>
      <c r="D227" s="118"/>
      <c r="E227" s="118"/>
      <c r="F227" s="820"/>
      <c r="G227" s="675">
        <f>+CUBICACION!J221</f>
        <v>0</v>
      </c>
      <c r="H227" s="118"/>
      <c r="I227" s="821">
        <f>+CUBICACION!L221</f>
        <v>0</v>
      </c>
      <c r="J227" s="64">
        <f>+CUBICACION!M221</f>
        <v>0</v>
      </c>
      <c r="K227" s="822" t="str">
        <f>+CUBICACION!N221</f>
        <v/>
      </c>
      <c r="L227" s="118">
        <f>+CUBICACION!O221</f>
        <v>0</v>
      </c>
      <c r="M227" s="823">
        <f>+CUBICACION!P221</f>
        <v>0</v>
      </c>
      <c r="N227" s="902">
        <f>ROUND(IF(AND(L227="Blaze Shield II",M227="Software Idiem",C227="IN",G227=4),((('BLAZE SHIELD II'!$D$4*('CALCULO MORTERO'!I227^2)+'BLAZE SHIELD II'!$D$5*'CALCULO MORTERO'!I227+'BLAZE SHIELD II'!$D$6)*LN(J227))+('BLAZE SHIELD II'!$D$7*('CALCULO MORTERO'!I227^2)+'BLAZE SHIELD II'!$D$8*'CALCULO MORTERO'!I227+'BLAZE SHIELD II'!$D$9)),0)+IF(AND(L227="Blaze Shield II",M227="Software Idiem",C227="Cj"),((('BLAZE SHIELD II'!$H$4*('CALCULO MORTERO'!I227^2)+'BLAZE SHIELD II'!$H$5*'CALCULO MORTERO'!I227+'BLAZE SHIELD II'!$H$6)*LN(J227))+('BLAZE SHIELD II'!$H$7*('CALCULO MORTERO'!I227^2)+'BLAZE SHIELD II'!$H$8*'CALCULO MORTERO'!I227+'BLAZE SHIELD II'!$H$9)),0)+IF(AND(L227="Blaze Shield II",M227="Software Idiem",C227="C"),((('BLAZE SHIELD II'!$L$4*('CALCULO MORTERO'!I227^2)+'BLAZE SHIELD II'!$L$5*'CALCULO MORTERO'!I227+'BLAZE SHIELD II'!$L$6)*LN(J227))+('BLAZE SHIELD II'!$L$7*('CALCULO MORTERO'!I227^2)+'BLAZE SHIELD II'!$L$8*'CALCULO MORTERO'!I227+'BLAZE SHIELD II'!$L$9)),0)+IF(AND(L227="Blaze Shield II",M227="Software Idiem",C227="L"),((('BLAZE SHIELD II'!$L$4*('CALCULO MORTERO'!I227^2)+'BLAZE SHIELD II'!$L$5*'CALCULO MORTERO'!I227+'BLAZE SHIELD II'!$L$6)*LN(J227))+('BLAZE SHIELD II'!$L$7*('CALCULO MORTERO'!I227^2)+'BLAZE SHIELD II'!$L$8*'CALCULO MORTERO'!I227+'BLAZE SHIELD II'!$L$9)),0)+IF(AND(L227="Blaze Shield II",M227="Software Idiem",C227="IN",G227=3),((('BLAZE SHIELD II'!$H$14*('CALCULO MORTERO'!I227^2)+'BLAZE SHIELD II'!$H$15*'CALCULO MORTERO'!I227+'BLAZE SHIELD II'!$H$16)*LN(J227))+('BLAZE SHIELD II'!$H$17*('CALCULO MORTERO'!I227^2)+'BLAZE SHIELD II'!$H$18*'CALCULO MORTERO'!I227+'BLAZE SHIELD II'!$H$19)),0),0)+ROUND(IF(AND(L227="Cafco 400",M227="Software Idiem",C227="IN",G227=4),((('CAFCO 400 '!$H$7*(J227^4)+'CAFCO 400 '!$H$8*(J227^3)+'CAFCO 400 '!$H$9*(J227^2)+'CAFCO 400 '!$H$10*J227+'CAFCO 400 '!$H$11)*U227^2)+(('CAFCO 400 '!$H$12*(J227^3)+'CAFCO 400 '!$H$13*(J227^2)+'CAFCO 400 '!$H$14*J227+'CAFCO 400 '!$H$15)*U227)+('CAFCO 400 '!$H$16*(J227^2)+'CAFCO 400 '!$H$17*J227+'CAFCO 400 '!$H$18)),0)+IF(AND(L227="Cafco 400",M227="Software Idiem",C227="Cj"),(((('CAFCO 400 '!$D$7*LN(J227)+'CAFCO 400 '!$D$8)*U227^2)+(('CAFCO 400 '!$D$9*LN(J227)+'CAFCO 400 '!$D$10)*U227)+('CAFCO 400 '!$D$11*LN(J227)+'CAFCO 400 '!$D$12))),0)+IF(AND(L227="Cafco 400",M227="Software Idiem",C227="C"),((('CAFCO 400 '!$L$7*(J227^3)+'CAFCO 400 '!$L$8*(J227^2)+'CAFCO 400 '!$L$9*J227+'CAFCO 400 '!$L$10)*U227^2)+(('CAFCO 400 '!$L$11*(J227^3)+'CAFCO 400 '!$L$12*(J227^2)+'CAFCO 400 '!$L$13*J227+'CAFCO 400 '!$L$14)*U227)+('CAFCO 400 '!$L$15*LN(J227)+'CAFCO 400 '!$L$16)),0)+IF(AND(L227="Cafco 400",M227="Software Idiem",C227="L"),((('CAFCO 400 '!$L$7*(J227^3)+'CAFCO 400 '!$L$8*(J227^2)+'CAFCO 400 '!$L$9*J227+'CAFCO 400 '!$L$10)*U227^2)+(('CAFCO 400 '!$L$11*(J227^3)+'CAFCO 400 '!$L$12*(J227^2)+'CAFCO 400 '!$L$13*J227+'CAFCO 400 '!$L$14)*U227)+('CAFCO 400 '!$L$15*LN(J227)+'CAFCO 400 '!$L$16)),0)+IF(AND(L227="Cafco 400",M227="Software Idiem",C227="IN",G227=3),((('CAFCO 400 '!$D$23*(J227^2)+'CAFCO 400 '!$D$24*(J227)+'CAFCO 400 '!$D$25)*U227^2)+(('CAFCO 400 '!$D$26*(J227^2)+'CAFCO 400 '!$D$27*J227+'CAFCO 400 '!$D$28)*U227)+('CAFCO 400 '!$D$29*(J227^2)+'CAFCO 400 '!$D$30*J227+'CAFCO 400 '!$D$31)),0),0)+IF(AND(L227="Cafco 300",J227&gt;=95,J227&lt;=240,C227="Cj",I227=90),VLOOKUP(T227,'CAFCO 300 IDIEM TABLAS'!$B$4:$D$23,2,FALSE),0)+IF(AND(L227="Cafco 300",J227&gt;=95,J227&lt;=240,C227="Cj",I227=120),VLOOKUP(T227,'CAFCO 300 IDIEM TABLAS'!$B$4:$D$23,3,FALSE),0)+IF(AND(L227="Cafco 300",J227&gt;=95,J227&lt;=400,G227=3,C227="IN",I227=90),VLOOKUP(T227,'CAFCO 300 IDIEM TABLAS'!$F$4:$H$35,2,FALSE),0)+IF(AND(L227="Cafco 300",J227&gt;=95,J227&lt;=400,G227=3,C227="IN",I227=120),VLOOKUP(T227,'CAFCO 300 IDIEM TABLAS'!$F$4:$H$35,3,FALSE),0)+IF(AND(L227="Cafco 300",J227&gt;=95,J227&lt;=450,G227=4,C227="IN",I227=90),VLOOKUP(T227,'CAFCO 300 IDIEM TABLAS'!$J$4:$L$40,2,FALSE),0)+IF(AND(L227="Cafco 300",J227&gt;=95,J227&lt;=450,G227=4,C227="IN",I227=120),VLOOKUP(T227,'CAFCO 300 IDIEM TABLAS'!$J$4:$L$40,3,FALSE),0)+IF(AND(M227="Ensayo Idiem",L227="Cafco 400",C227="IN",G227=4,I227=90),VLOOKUP(T227,'CAFCO 400 ENSAYO'!$B$7:$D$43,2,FALSE),0)+IF(AND(M227="Ensayo Idiem",L227="Cafco 400",C227="IN",G227=4,I227=120),VLOOKUP(T227,'CAFCO 400 ENSAYO'!$B$7:$D$43,3,FALSE),0)</f>
        <v>0</v>
      </c>
      <c r="O227" s="96">
        <f t="shared" si="27"/>
        <v>0</v>
      </c>
      <c r="P227" s="95" t="str">
        <f t="shared" si="28"/>
        <v>N/A</v>
      </c>
      <c r="Q227" s="95" t="str">
        <f t="shared" si="29"/>
        <v>N/A</v>
      </c>
      <c r="R227" s="95" t="str">
        <f t="shared" si="30"/>
        <v>NO CERT.</v>
      </c>
      <c r="S227" s="95" t="e">
        <f t="shared" si="25"/>
        <v>#N/A</v>
      </c>
      <c r="T227" s="119" t="e">
        <f>+IF(J227=LOOKUP(J227,'CAFCO 300 IDIEM TABLAS'!$J$4:$J$40),'CALCULO MORTERO'!J227,MROUND('CALCULO MORTERO'!J227,10))</f>
        <v>#N/A</v>
      </c>
      <c r="U227" s="118">
        <f t="shared" si="26"/>
        <v>0</v>
      </c>
      <c r="Y227" s="4"/>
      <c r="Z227" s="4"/>
      <c r="AA227" s="4"/>
    </row>
    <row r="228" spans="1:27" ht="15.6" customHeight="1" x14ac:dyDescent="0.25">
      <c r="A228" s="118">
        <f>+CUBICACION!D222</f>
        <v>0</v>
      </c>
      <c r="B228" s="819">
        <f>+CUBICACION!E222</f>
        <v>0</v>
      </c>
      <c r="C228" s="675">
        <f>+CUBICACION!F222</f>
        <v>0</v>
      </c>
      <c r="D228" s="118"/>
      <c r="E228" s="118"/>
      <c r="F228" s="820"/>
      <c r="G228" s="675">
        <f>+CUBICACION!J222</f>
        <v>0</v>
      </c>
      <c r="H228" s="118"/>
      <c r="I228" s="821">
        <f>+CUBICACION!L222</f>
        <v>0</v>
      </c>
      <c r="J228" s="64">
        <f>+CUBICACION!M222</f>
        <v>0</v>
      </c>
      <c r="K228" s="822" t="str">
        <f>+CUBICACION!N222</f>
        <v/>
      </c>
      <c r="L228" s="118">
        <f>+CUBICACION!O222</f>
        <v>0</v>
      </c>
      <c r="M228" s="823">
        <f>+CUBICACION!P222</f>
        <v>0</v>
      </c>
      <c r="N228" s="902">
        <f>ROUND(IF(AND(L228="Blaze Shield II",M228="Software Idiem",C228="IN",G228=4),((('BLAZE SHIELD II'!$D$4*('CALCULO MORTERO'!I228^2)+'BLAZE SHIELD II'!$D$5*'CALCULO MORTERO'!I228+'BLAZE SHIELD II'!$D$6)*LN(J228))+('BLAZE SHIELD II'!$D$7*('CALCULO MORTERO'!I228^2)+'BLAZE SHIELD II'!$D$8*'CALCULO MORTERO'!I228+'BLAZE SHIELD II'!$D$9)),0)+IF(AND(L228="Blaze Shield II",M228="Software Idiem",C228="Cj"),((('BLAZE SHIELD II'!$H$4*('CALCULO MORTERO'!I228^2)+'BLAZE SHIELD II'!$H$5*'CALCULO MORTERO'!I228+'BLAZE SHIELD II'!$H$6)*LN(J228))+('BLAZE SHIELD II'!$H$7*('CALCULO MORTERO'!I228^2)+'BLAZE SHIELD II'!$H$8*'CALCULO MORTERO'!I228+'BLAZE SHIELD II'!$H$9)),0)+IF(AND(L228="Blaze Shield II",M228="Software Idiem",C228="C"),((('BLAZE SHIELD II'!$L$4*('CALCULO MORTERO'!I228^2)+'BLAZE SHIELD II'!$L$5*'CALCULO MORTERO'!I228+'BLAZE SHIELD II'!$L$6)*LN(J228))+('BLAZE SHIELD II'!$L$7*('CALCULO MORTERO'!I228^2)+'BLAZE SHIELD II'!$L$8*'CALCULO MORTERO'!I228+'BLAZE SHIELD II'!$L$9)),0)+IF(AND(L228="Blaze Shield II",M228="Software Idiem",C228="L"),((('BLAZE SHIELD II'!$L$4*('CALCULO MORTERO'!I228^2)+'BLAZE SHIELD II'!$L$5*'CALCULO MORTERO'!I228+'BLAZE SHIELD II'!$L$6)*LN(J228))+('BLAZE SHIELD II'!$L$7*('CALCULO MORTERO'!I228^2)+'BLAZE SHIELD II'!$L$8*'CALCULO MORTERO'!I228+'BLAZE SHIELD II'!$L$9)),0)+IF(AND(L228="Blaze Shield II",M228="Software Idiem",C228="IN",G228=3),((('BLAZE SHIELD II'!$H$14*('CALCULO MORTERO'!I228^2)+'BLAZE SHIELD II'!$H$15*'CALCULO MORTERO'!I228+'BLAZE SHIELD II'!$H$16)*LN(J228))+('BLAZE SHIELD II'!$H$17*('CALCULO MORTERO'!I228^2)+'BLAZE SHIELD II'!$H$18*'CALCULO MORTERO'!I228+'BLAZE SHIELD II'!$H$19)),0),0)+ROUND(IF(AND(L228="Cafco 400",M228="Software Idiem",C228="IN",G228=4),((('CAFCO 400 '!$H$7*(J228^4)+'CAFCO 400 '!$H$8*(J228^3)+'CAFCO 400 '!$H$9*(J228^2)+'CAFCO 400 '!$H$10*J228+'CAFCO 400 '!$H$11)*U228^2)+(('CAFCO 400 '!$H$12*(J228^3)+'CAFCO 400 '!$H$13*(J228^2)+'CAFCO 400 '!$H$14*J228+'CAFCO 400 '!$H$15)*U228)+('CAFCO 400 '!$H$16*(J228^2)+'CAFCO 400 '!$H$17*J228+'CAFCO 400 '!$H$18)),0)+IF(AND(L228="Cafco 400",M228="Software Idiem",C228="Cj"),(((('CAFCO 400 '!$D$7*LN(J228)+'CAFCO 400 '!$D$8)*U228^2)+(('CAFCO 400 '!$D$9*LN(J228)+'CAFCO 400 '!$D$10)*U228)+('CAFCO 400 '!$D$11*LN(J228)+'CAFCO 400 '!$D$12))),0)+IF(AND(L228="Cafco 400",M228="Software Idiem",C228="C"),((('CAFCO 400 '!$L$7*(J228^3)+'CAFCO 400 '!$L$8*(J228^2)+'CAFCO 400 '!$L$9*J228+'CAFCO 400 '!$L$10)*U228^2)+(('CAFCO 400 '!$L$11*(J228^3)+'CAFCO 400 '!$L$12*(J228^2)+'CAFCO 400 '!$L$13*J228+'CAFCO 400 '!$L$14)*U228)+('CAFCO 400 '!$L$15*LN(J228)+'CAFCO 400 '!$L$16)),0)+IF(AND(L228="Cafco 400",M228="Software Idiem",C228="L"),((('CAFCO 400 '!$L$7*(J228^3)+'CAFCO 400 '!$L$8*(J228^2)+'CAFCO 400 '!$L$9*J228+'CAFCO 400 '!$L$10)*U228^2)+(('CAFCO 400 '!$L$11*(J228^3)+'CAFCO 400 '!$L$12*(J228^2)+'CAFCO 400 '!$L$13*J228+'CAFCO 400 '!$L$14)*U228)+('CAFCO 400 '!$L$15*LN(J228)+'CAFCO 400 '!$L$16)),0)+IF(AND(L228="Cafco 400",M228="Software Idiem",C228="IN",G228=3),((('CAFCO 400 '!$D$23*(J228^2)+'CAFCO 400 '!$D$24*(J228)+'CAFCO 400 '!$D$25)*U228^2)+(('CAFCO 400 '!$D$26*(J228^2)+'CAFCO 400 '!$D$27*J228+'CAFCO 400 '!$D$28)*U228)+('CAFCO 400 '!$D$29*(J228^2)+'CAFCO 400 '!$D$30*J228+'CAFCO 400 '!$D$31)),0),0)+IF(AND(L228="Cafco 300",J228&gt;=95,J228&lt;=240,C228="Cj",I228=90),VLOOKUP(T228,'CAFCO 300 IDIEM TABLAS'!$B$4:$D$23,2,FALSE),0)+IF(AND(L228="Cafco 300",J228&gt;=95,J228&lt;=240,C228="Cj",I228=120),VLOOKUP(T228,'CAFCO 300 IDIEM TABLAS'!$B$4:$D$23,3,FALSE),0)+IF(AND(L228="Cafco 300",J228&gt;=95,J228&lt;=400,G228=3,C228="IN",I228=90),VLOOKUP(T228,'CAFCO 300 IDIEM TABLAS'!$F$4:$H$35,2,FALSE),0)+IF(AND(L228="Cafco 300",J228&gt;=95,J228&lt;=400,G228=3,C228="IN",I228=120),VLOOKUP(T228,'CAFCO 300 IDIEM TABLAS'!$F$4:$H$35,3,FALSE),0)+IF(AND(L228="Cafco 300",J228&gt;=95,J228&lt;=450,G228=4,C228="IN",I228=90),VLOOKUP(T228,'CAFCO 300 IDIEM TABLAS'!$J$4:$L$40,2,FALSE),0)+IF(AND(L228="Cafco 300",J228&gt;=95,J228&lt;=450,G228=4,C228="IN",I228=120),VLOOKUP(T228,'CAFCO 300 IDIEM TABLAS'!$J$4:$L$40,3,FALSE),0)+IF(AND(M228="Ensayo Idiem",L228="Cafco 400",C228="IN",G228=4,I228=90),VLOOKUP(T228,'CAFCO 400 ENSAYO'!$B$7:$D$43,2,FALSE),0)+IF(AND(M228="Ensayo Idiem",L228="Cafco 400",C228="IN",G228=4,I228=120),VLOOKUP(T228,'CAFCO 400 ENSAYO'!$B$7:$D$43,3,FALSE),0)</f>
        <v>0</v>
      </c>
      <c r="O228" s="96">
        <f t="shared" si="27"/>
        <v>0</v>
      </c>
      <c r="P228" s="95" t="str">
        <f t="shared" si="28"/>
        <v>N/A</v>
      </c>
      <c r="Q228" s="95" t="str">
        <f t="shared" si="29"/>
        <v>N/A</v>
      </c>
      <c r="R228" s="95" t="str">
        <f t="shared" si="30"/>
        <v>NO CERT.</v>
      </c>
      <c r="S228" s="95" t="e">
        <f t="shared" si="25"/>
        <v>#N/A</v>
      </c>
      <c r="T228" s="119" t="e">
        <f>+IF(J228=LOOKUP(J228,'CAFCO 300 IDIEM TABLAS'!$J$4:$J$40),'CALCULO MORTERO'!J228,MROUND('CALCULO MORTERO'!J228,10))</f>
        <v>#N/A</v>
      </c>
      <c r="U228" s="118">
        <f t="shared" si="26"/>
        <v>0</v>
      </c>
      <c r="Y228" s="4"/>
      <c r="Z228" s="4"/>
      <c r="AA228" s="4"/>
    </row>
    <row r="229" spans="1:27" x14ac:dyDescent="0.25">
      <c r="A229" s="118">
        <f>+CUBICACION!D223</f>
        <v>0</v>
      </c>
      <c r="B229" s="819">
        <f>+CUBICACION!E223</f>
        <v>0</v>
      </c>
      <c r="C229" s="675">
        <f>+CUBICACION!F223</f>
        <v>0</v>
      </c>
      <c r="D229" s="118"/>
      <c r="E229" s="118"/>
      <c r="F229" s="820"/>
      <c r="G229" s="675">
        <f>+CUBICACION!J223</f>
        <v>0</v>
      </c>
      <c r="H229" s="118"/>
      <c r="I229" s="821">
        <f>+CUBICACION!L223</f>
        <v>0</v>
      </c>
      <c r="J229" s="64">
        <f>+CUBICACION!M223</f>
        <v>0</v>
      </c>
      <c r="K229" s="822" t="str">
        <f>+CUBICACION!N223</f>
        <v/>
      </c>
      <c r="L229" s="118">
        <f>+CUBICACION!O223</f>
        <v>0</v>
      </c>
      <c r="M229" s="823">
        <f>+CUBICACION!P223</f>
        <v>0</v>
      </c>
      <c r="N229" s="902">
        <f>ROUND(IF(AND(L229="Blaze Shield II",M229="Software Idiem",C229="IN",G229=4),((('BLAZE SHIELD II'!$D$4*('CALCULO MORTERO'!I229^2)+'BLAZE SHIELD II'!$D$5*'CALCULO MORTERO'!I229+'BLAZE SHIELD II'!$D$6)*LN(J229))+('BLAZE SHIELD II'!$D$7*('CALCULO MORTERO'!I229^2)+'BLAZE SHIELD II'!$D$8*'CALCULO MORTERO'!I229+'BLAZE SHIELD II'!$D$9)),0)+IF(AND(L229="Blaze Shield II",M229="Software Idiem",C229="Cj"),((('BLAZE SHIELD II'!$H$4*('CALCULO MORTERO'!I229^2)+'BLAZE SHIELD II'!$H$5*'CALCULO MORTERO'!I229+'BLAZE SHIELD II'!$H$6)*LN(J229))+('BLAZE SHIELD II'!$H$7*('CALCULO MORTERO'!I229^2)+'BLAZE SHIELD II'!$H$8*'CALCULO MORTERO'!I229+'BLAZE SHIELD II'!$H$9)),0)+IF(AND(L229="Blaze Shield II",M229="Software Idiem",C229="C"),((('BLAZE SHIELD II'!$L$4*('CALCULO MORTERO'!I229^2)+'BLAZE SHIELD II'!$L$5*'CALCULO MORTERO'!I229+'BLAZE SHIELD II'!$L$6)*LN(J229))+('BLAZE SHIELD II'!$L$7*('CALCULO MORTERO'!I229^2)+'BLAZE SHIELD II'!$L$8*'CALCULO MORTERO'!I229+'BLAZE SHIELD II'!$L$9)),0)+IF(AND(L229="Blaze Shield II",M229="Software Idiem",C229="L"),((('BLAZE SHIELD II'!$L$4*('CALCULO MORTERO'!I229^2)+'BLAZE SHIELD II'!$L$5*'CALCULO MORTERO'!I229+'BLAZE SHIELD II'!$L$6)*LN(J229))+('BLAZE SHIELD II'!$L$7*('CALCULO MORTERO'!I229^2)+'BLAZE SHIELD II'!$L$8*'CALCULO MORTERO'!I229+'BLAZE SHIELD II'!$L$9)),0)+IF(AND(L229="Blaze Shield II",M229="Software Idiem",C229="IN",G229=3),((('BLAZE SHIELD II'!$H$14*('CALCULO MORTERO'!I229^2)+'BLAZE SHIELD II'!$H$15*'CALCULO MORTERO'!I229+'BLAZE SHIELD II'!$H$16)*LN(J229))+('BLAZE SHIELD II'!$H$17*('CALCULO MORTERO'!I229^2)+'BLAZE SHIELD II'!$H$18*'CALCULO MORTERO'!I229+'BLAZE SHIELD II'!$H$19)),0),0)+ROUND(IF(AND(L229="Cafco 400",M229="Software Idiem",C229="IN",G229=4),((('CAFCO 400 '!$H$7*(J229^4)+'CAFCO 400 '!$H$8*(J229^3)+'CAFCO 400 '!$H$9*(J229^2)+'CAFCO 400 '!$H$10*J229+'CAFCO 400 '!$H$11)*U229^2)+(('CAFCO 400 '!$H$12*(J229^3)+'CAFCO 400 '!$H$13*(J229^2)+'CAFCO 400 '!$H$14*J229+'CAFCO 400 '!$H$15)*U229)+('CAFCO 400 '!$H$16*(J229^2)+'CAFCO 400 '!$H$17*J229+'CAFCO 400 '!$H$18)),0)+IF(AND(L229="Cafco 400",M229="Software Idiem",C229="Cj"),(((('CAFCO 400 '!$D$7*LN(J229)+'CAFCO 400 '!$D$8)*U229^2)+(('CAFCO 400 '!$D$9*LN(J229)+'CAFCO 400 '!$D$10)*U229)+('CAFCO 400 '!$D$11*LN(J229)+'CAFCO 400 '!$D$12))),0)+IF(AND(L229="Cafco 400",M229="Software Idiem",C229="C"),((('CAFCO 400 '!$L$7*(J229^3)+'CAFCO 400 '!$L$8*(J229^2)+'CAFCO 400 '!$L$9*J229+'CAFCO 400 '!$L$10)*U229^2)+(('CAFCO 400 '!$L$11*(J229^3)+'CAFCO 400 '!$L$12*(J229^2)+'CAFCO 400 '!$L$13*J229+'CAFCO 400 '!$L$14)*U229)+('CAFCO 400 '!$L$15*LN(J229)+'CAFCO 400 '!$L$16)),0)+IF(AND(L229="Cafco 400",M229="Software Idiem",C229="L"),((('CAFCO 400 '!$L$7*(J229^3)+'CAFCO 400 '!$L$8*(J229^2)+'CAFCO 400 '!$L$9*J229+'CAFCO 400 '!$L$10)*U229^2)+(('CAFCO 400 '!$L$11*(J229^3)+'CAFCO 400 '!$L$12*(J229^2)+'CAFCO 400 '!$L$13*J229+'CAFCO 400 '!$L$14)*U229)+('CAFCO 400 '!$L$15*LN(J229)+'CAFCO 400 '!$L$16)),0)+IF(AND(L229="Cafco 400",M229="Software Idiem",C229="IN",G229=3),((('CAFCO 400 '!$D$23*(J229^2)+'CAFCO 400 '!$D$24*(J229)+'CAFCO 400 '!$D$25)*U229^2)+(('CAFCO 400 '!$D$26*(J229^2)+'CAFCO 400 '!$D$27*J229+'CAFCO 400 '!$D$28)*U229)+('CAFCO 400 '!$D$29*(J229^2)+'CAFCO 400 '!$D$30*J229+'CAFCO 400 '!$D$31)),0),0)+IF(AND(L229="Cafco 300",J229&gt;=95,J229&lt;=240,C229="Cj",I229=90),VLOOKUP(T229,'CAFCO 300 IDIEM TABLAS'!$B$4:$D$23,2,FALSE),0)+IF(AND(L229="Cafco 300",J229&gt;=95,J229&lt;=240,C229="Cj",I229=120),VLOOKUP(T229,'CAFCO 300 IDIEM TABLAS'!$B$4:$D$23,3,FALSE),0)+IF(AND(L229="Cafco 300",J229&gt;=95,J229&lt;=400,G229=3,C229="IN",I229=90),VLOOKUP(T229,'CAFCO 300 IDIEM TABLAS'!$F$4:$H$35,2,FALSE),0)+IF(AND(L229="Cafco 300",J229&gt;=95,J229&lt;=400,G229=3,C229="IN",I229=120),VLOOKUP(T229,'CAFCO 300 IDIEM TABLAS'!$F$4:$H$35,3,FALSE),0)+IF(AND(L229="Cafco 300",J229&gt;=95,J229&lt;=450,G229=4,C229="IN",I229=90),VLOOKUP(T229,'CAFCO 300 IDIEM TABLAS'!$J$4:$L$40,2,FALSE),0)+IF(AND(L229="Cafco 300",J229&gt;=95,J229&lt;=450,G229=4,C229="IN",I229=120),VLOOKUP(T229,'CAFCO 300 IDIEM TABLAS'!$J$4:$L$40,3,FALSE),0)+IF(AND(M229="Ensayo Idiem",L229="Cafco 400",C229="IN",G229=4,I229=90),VLOOKUP(T229,'CAFCO 400 ENSAYO'!$B$7:$D$43,2,FALSE),0)+IF(AND(M229="Ensayo Idiem",L229="Cafco 400",C229="IN",G229=4,I229=120),VLOOKUP(T229,'CAFCO 400 ENSAYO'!$B$7:$D$43,3,FALSE),0)</f>
        <v>0</v>
      </c>
      <c r="O229" s="96">
        <f t="shared" si="27"/>
        <v>0</v>
      </c>
      <c r="P229" s="95" t="str">
        <f t="shared" si="28"/>
        <v>N/A</v>
      </c>
      <c r="Q229" s="95" t="str">
        <f t="shared" si="29"/>
        <v>N/A</v>
      </c>
      <c r="R229" s="95" t="str">
        <f t="shared" si="30"/>
        <v>NO CERT.</v>
      </c>
      <c r="S229" s="95" t="e">
        <f t="shared" si="25"/>
        <v>#N/A</v>
      </c>
      <c r="T229" s="119" t="e">
        <f>+IF(J229=LOOKUP(J229,'CAFCO 300 IDIEM TABLAS'!$J$4:$J$40),'CALCULO MORTERO'!J229,MROUND('CALCULO MORTERO'!J229,10))</f>
        <v>#N/A</v>
      </c>
      <c r="U229" s="118">
        <f t="shared" si="26"/>
        <v>0</v>
      </c>
      <c r="Y229" s="4"/>
      <c r="Z229" s="4"/>
      <c r="AA229" s="4"/>
    </row>
    <row r="230" spans="1:27" ht="15.6" customHeight="1" x14ac:dyDescent="0.25">
      <c r="A230" s="118">
        <f>+CUBICACION!D224</f>
        <v>0</v>
      </c>
      <c r="B230" s="819">
        <f>+CUBICACION!E224</f>
        <v>0</v>
      </c>
      <c r="C230" s="675">
        <f>+CUBICACION!F224</f>
        <v>0</v>
      </c>
      <c r="D230" s="118"/>
      <c r="E230" s="118"/>
      <c r="F230" s="820"/>
      <c r="G230" s="675">
        <f>+CUBICACION!J224</f>
        <v>0</v>
      </c>
      <c r="H230" s="118"/>
      <c r="I230" s="821">
        <f>+CUBICACION!L224</f>
        <v>0</v>
      </c>
      <c r="J230" s="64">
        <f>+CUBICACION!M224</f>
        <v>0</v>
      </c>
      <c r="K230" s="822" t="str">
        <f>+CUBICACION!N224</f>
        <v/>
      </c>
      <c r="L230" s="118">
        <f>+CUBICACION!O224</f>
        <v>0</v>
      </c>
      <c r="M230" s="823">
        <f>+CUBICACION!P224</f>
        <v>0</v>
      </c>
      <c r="N230" s="902">
        <f>ROUND(IF(AND(L230="Blaze Shield II",M230="Software Idiem",C230="IN",G230=4),((('BLAZE SHIELD II'!$D$4*('CALCULO MORTERO'!I230^2)+'BLAZE SHIELD II'!$D$5*'CALCULO MORTERO'!I230+'BLAZE SHIELD II'!$D$6)*LN(J230))+('BLAZE SHIELD II'!$D$7*('CALCULO MORTERO'!I230^2)+'BLAZE SHIELD II'!$D$8*'CALCULO MORTERO'!I230+'BLAZE SHIELD II'!$D$9)),0)+IF(AND(L230="Blaze Shield II",M230="Software Idiem",C230="Cj"),((('BLAZE SHIELD II'!$H$4*('CALCULO MORTERO'!I230^2)+'BLAZE SHIELD II'!$H$5*'CALCULO MORTERO'!I230+'BLAZE SHIELD II'!$H$6)*LN(J230))+('BLAZE SHIELD II'!$H$7*('CALCULO MORTERO'!I230^2)+'BLAZE SHIELD II'!$H$8*'CALCULO MORTERO'!I230+'BLAZE SHIELD II'!$H$9)),0)+IF(AND(L230="Blaze Shield II",M230="Software Idiem",C230="C"),((('BLAZE SHIELD II'!$L$4*('CALCULO MORTERO'!I230^2)+'BLAZE SHIELD II'!$L$5*'CALCULO MORTERO'!I230+'BLAZE SHIELD II'!$L$6)*LN(J230))+('BLAZE SHIELD II'!$L$7*('CALCULO MORTERO'!I230^2)+'BLAZE SHIELD II'!$L$8*'CALCULO MORTERO'!I230+'BLAZE SHIELD II'!$L$9)),0)+IF(AND(L230="Blaze Shield II",M230="Software Idiem",C230="L"),((('BLAZE SHIELD II'!$L$4*('CALCULO MORTERO'!I230^2)+'BLAZE SHIELD II'!$L$5*'CALCULO MORTERO'!I230+'BLAZE SHIELD II'!$L$6)*LN(J230))+('BLAZE SHIELD II'!$L$7*('CALCULO MORTERO'!I230^2)+'BLAZE SHIELD II'!$L$8*'CALCULO MORTERO'!I230+'BLAZE SHIELD II'!$L$9)),0)+IF(AND(L230="Blaze Shield II",M230="Software Idiem",C230="IN",G230=3),((('BLAZE SHIELD II'!$H$14*('CALCULO MORTERO'!I230^2)+'BLAZE SHIELD II'!$H$15*'CALCULO MORTERO'!I230+'BLAZE SHIELD II'!$H$16)*LN(J230))+('BLAZE SHIELD II'!$H$17*('CALCULO MORTERO'!I230^2)+'BLAZE SHIELD II'!$H$18*'CALCULO MORTERO'!I230+'BLAZE SHIELD II'!$H$19)),0),0)+ROUND(IF(AND(L230="Cafco 400",M230="Software Idiem",C230="IN",G230=4),((('CAFCO 400 '!$H$7*(J230^4)+'CAFCO 400 '!$H$8*(J230^3)+'CAFCO 400 '!$H$9*(J230^2)+'CAFCO 400 '!$H$10*J230+'CAFCO 400 '!$H$11)*U230^2)+(('CAFCO 400 '!$H$12*(J230^3)+'CAFCO 400 '!$H$13*(J230^2)+'CAFCO 400 '!$H$14*J230+'CAFCO 400 '!$H$15)*U230)+('CAFCO 400 '!$H$16*(J230^2)+'CAFCO 400 '!$H$17*J230+'CAFCO 400 '!$H$18)),0)+IF(AND(L230="Cafco 400",M230="Software Idiem",C230="Cj"),(((('CAFCO 400 '!$D$7*LN(J230)+'CAFCO 400 '!$D$8)*U230^2)+(('CAFCO 400 '!$D$9*LN(J230)+'CAFCO 400 '!$D$10)*U230)+('CAFCO 400 '!$D$11*LN(J230)+'CAFCO 400 '!$D$12))),0)+IF(AND(L230="Cafco 400",M230="Software Idiem",C230="C"),((('CAFCO 400 '!$L$7*(J230^3)+'CAFCO 400 '!$L$8*(J230^2)+'CAFCO 400 '!$L$9*J230+'CAFCO 400 '!$L$10)*U230^2)+(('CAFCO 400 '!$L$11*(J230^3)+'CAFCO 400 '!$L$12*(J230^2)+'CAFCO 400 '!$L$13*J230+'CAFCO 400 '!$L$14)*U230)+('CAFCO 400 '!$L$15*LN(J230)+'CAFCO 400 '!$L$16)),0)+IF(AND(L230="Cafco 400",M230="Software Idiem",C230="L"),((('CAFCO 400 '!$L$7*(J230^3)+'CAFCO 400 '!$L$8*(J230^2)+'CAFCO 400 '!$L$9*J230+'CAFCO 400 '!$L$10)*U230^2)+(('CAFCO 400 '!$L$11*(J230^3)+'CAFCO 400 '!$L$12*(J230^2)+'CAFCO 400 '!$L$13*J230+'CAFCO 400 '!$L$14)*U230)+('CAFCO 400 '!$L$15*LN(J230)+'CAFCO 400 '!$L$16)),0)+IF(AND(L230="Cafco 400",M230="Software Idiem",C230="IN",G230=3),((('CAFCO 400 '!$D$23*(J230^2)+'CAFCO 400 '!$D$24*(J230)+'CAFCO 400 '!$D$25)*U230^2)+(('CAFCO 400 '!$D$26*(J230^2)+'CAFCO 400 '!$D$27*J230+'CAFCO 400 '!$D$28)*U230)+('CAFCO 400 '!$D$29*(J230^2)+'CAFCO 400 '!$D$30*J230+'CAFCO 400 '!$D$31)),0),0)+IF(AND(L230="Cafco 300",J230&gt;=95,J230&lt;=240,C230="Cj",I230=90),VLOOKUP(T230,'CAFCO 300 IDIEM TABLAS'!$B$4:$D$23,2,FALSE),0)+IF(AND(L230="Cafco 300",J230&gt;=95,J230&lt;=240,C230="Cj",I230=120),VLOOKUP(T230,'CAFCO 300 IDIEM TABLAS'!$B$4:$D$23,3,FALSE),0)+IF(AND(L230="Cafco 300",J230&gt;=95,J230&lt;=400,G230=3,C230="IN",I230=90),VLOOKUP(T230,'CAFCO 300 IDIEM TABLAS'!$F$4:$H$35,2,FALSE),0)+IF(AND(L230="Cafco 300",J230&gt;=95,J230&lt;=400,G230=3,C230="IN",I230=120),VLOOKUP(T230,'CAFCO 300 IDIEM TABLAS'!$F$4:$H$35,3,FALSE),0)+IF(AND(L230="Cafco 300",J230&gt;=95,J230&lt;=450,G230=4,C230="IN",I230=90),VLOOKUP(T230,'CAFCO 300 IDIEM TABLAS'!$J$4:$L$40,2,FALSE),0)+IF(AND(L230="Cafco 300",J230&gt;=95,J230&lt;=450,G230=4,C230="IN",I230=120),VLOOKUP(T230,'CAFCO 300 IDIEM TABLAS'!$J$4:$L$40,3,FALSE),0)+IF(AND(M230="Ensayo Idiem",L230="Cafco 400",C230="IN",G230=4,I230=90),VLOOKUP(T230,'CAFCO 400 ENSAYO'!$B$7:$D$43,2,FALSE),0)+IF(AND(M230="Ensayo Idiem",L230="Cafco 400",C230="IN",G230=4,I230=120),VLOOKUP(T230,'CAFCO 400 ENSAYO'!$B$7:$D$43,3,FALSE),0)</f>
        <v>0</v>
      </c>
      <c r="O230" s="96">
        <f t="shared" si="27"/>
        <v>0</v>
      </c>
      <c r="P230" s="95" t="str">
        <f t="shared" si="28"/>
        <v>N/A</v>
      </c>
      <c r="Q230" s="95" t="str">
        <f t="shared" si="29"/>
        <v>N/A</v>
      </c>
      <c r="R230" s="95" t="str">
        <f t="shared" si="30"/>
        <v>NO CERT.</v>
      </c>
      <c r="S230" s="95" t="e">
        <f t="shared" si="25"/>
        <v>#N/A</v>
      </c>
      <c r="T230" s="119" t="e">
        <f>+IF(J230=LOOKUP(J230,'CAFCO 300 IDIEM TABLAS'!$J$4:$J$40),'CALCULO MORTERO'!J230,MROUND('CALCULO MORTERO'!J230,10))</f>
        <v>#N/A</v>
      </c>
      <c r="U230" s="118">
        <f t="shared" si="26"/>
        <v>0</v>
      </c>
      <c r="Y230" s="4"/>
      <c r="Z230" s="4"/>
      <c r="AA230" s="4"/>
    </row>
    <row r="231" spans="1:27" x14ac:dyDescent="0.25">
      <c r="A231" s="118">
        <f>+CUBICACION!D225</f>
        <v>0</v>
      </c>
      <c r="B231" s="819">
        <f>+CUBICACION!E225</f>
        <v>0</v>
      </c>
      <c r="C231" s="675">
        <f>+CUBICACION!F225</f>
        <v>0</v>
      </c>
      <c r="D231" s="118"/>
      <c r="E231" s="118"/>
      <c r="F231" s="820"/>
      <c r="G231" s="675">
        <f>+CUBICACION!J225</f>
        <v>0</v>
      </c>
      <c r="H231" s="118"/>
      <c r="I231" s="821">
        <f>+CUBICACION!L225</f>
        <v>0</v>
      </c>
      <c r="J231" s="64">
        <f>+CUBICACION!M225</f>
        <v>0</v>
      </c>
      <c r="K231" s="822" t="str">
        <f>+CUBICACION!N225</f>
        <v/>
      </c>
      <c r="L231" s="118">
        <f>+CUBICACION!O225</f>
        <v>0</v>
      </c>
      <c r="M231" s="823">
        <f>+CUBICACION!P225</f>
        <v>0</v>
      </c>
      <c r="N231" s="902">
        <f>ROUND(IF(AND(L231="Blaze Shield II",M231="Software Idiem",C231="IN",G231=4),((('BLAZE SHIELD II'!$D$4*('CALCULO MORTERO'!I231^2)+'BLAZE SHIELD II'!$D$5*'CALCULO MORTERO'!I231+'BLAZE SHIELD II'!$D$6)*LN(J231))+('BLAZE SHIELD II'!$D$7*('CALCULO MORTERO'!I231^2)+'BLAZE SHIELD II'!$D$8*'CALCULO MORTERO'!I231+'BLAZE SHIELD II'!$D$9)),0)+IF(AND(L231="Blaze Shield II",M231="Software Idiem",C231="Cj"),((('BLAZE SHIELD II'!$H$4*('CALCULO MORTERO'!I231^2)+'BLAZE SHIELD II'!$H$5*'CALCULO MORTERO'!I231+'BLAZE SHIELD II'!$H$6)*LN(J231))+('BLAZE SHIELD II'!$H$7*('CALCULO MORTERO'!I231^2)+'BLAZE SHIELD II'!$H$8*'CALCULO MORTERO'!I231+'BLAZE SHIELD II'!$H$9)),0)+IF(AND(L231="Blaze Shield II",M231="Software Idiem",C231="C"),((('BLAZE SHIELD II'!$L$4*('CALCULO MORTERO'!I231^2)+'BLAZE SHIELD II'!$L$5*'CALCULO MORTERO'!I231+'BLAZE SHIELD II'!$L$6)*LN(J231))+('BLAZE SHIELD II'!$L$7*('CALCULO MORTERO'!I231^2)+'BLAZE SHIELD II'!$L$8*'CALCULO MORTERO'!I231+'BLAZE SHIELD II'!$L$9)),0)+IF(AND(L231="Blaze Shield II",M231="Software Idiem",C231="L"),((('BLAZE SHIELD II'!$L$4*('CALCULO MORTERO'!I231^2)+'BLAZE SHIELD II'!$L$5*'CALCULO MORTERO'!I231+'BLAZE SHIELD II'!$L$6)*LN(J231))+('BLAZE SHIELD II'!$L$7*('CALCULO MORTERO'!I231^2)+'BLAZE SHIELD II'!$L$8*'CALCULO MORTERO'!I231+'BLAZE SHIELD II'!$L$9)),0)+IF(AND(L231="Blaze Shield II",M231="Software Idiem",C231="IN",G231=3),((('BLAZE SHIELD II'!$H$14*('CALCULO MORTERO'!I231^2)+'BLAZE SHIELD II'!$H$15*'CALCULO MORTERO'!I231+'BLAZE SHIELD II'!$H$16)*LN(J231))+('BLAZE SHIELD II'!$H$17*('CALCULO MORTERO'!I231^2)+'BLAZE SHIELD II'!$H$18*'CALCULO MORTERO'!I231+'BLAZE SHIELD II'!$H$19)),0),0)+ROUND(IF(AND(L231="Cafco 400",M231="Software Idiem",C231="IN",G231=4),((('CAFCO 400 '!$H$7*(J231^4)+'CAFCO 400 '!$H$8*(J231^3)+'CAFCO 400 '!$H$9*(J231^2)+'CAFCO 400 '!$H$10*J231+'CAFCO 400 '!$H$11)*U231^2)+(('CAFCO 400 '!$H$12*(J231^3)+'CAFCO 400 '!$H$13*(J231^2)+'CAFCO 400 '!$H$14*J231+'CAFCO 400 '!$H$15)*U231)+('CAFCO 400 '!$H$16*(J231^2)+'CAFCO 400 '!$H$17*J231+'CAFCO 400 '!$H$18)),0)+IF(AND(L231="Cafco 400",M231="Software Idiem",C231="Cj"),(((('CAFCO 400 '!$D$7*LN(J231)+'CAFCO 400 '!$D$8)*U231^2)+(('CAFCO 400 '!$D$9*LN(J231)+'CAFCO 400 '!$D$10)*U231)+('CAFCO 400 '!$D$11*LN(J231)+'CAFCO 400 '!$D$12))),0)+IF(AND(L231="Cafco 400",M231="Software Idiem",C231="C"),((('CAFCO 400 '!$L$7*(J231^3)+'CAFCO 400 '!$L$8*(J231^2)+'CAFCO 400 '!$L$9*J231+'CAFCO 400 '!$L$10)*U231^2)+(('CAFCO 400 '!$L$11*(J231^3)+'CAFCO 400 '!$L$12*(J231^2)+'CAFCO 400 '!$L$13*J231+'CAFCO 400 '!$L$14)*U231)+('CAFCO 400 '!$L$15*LN(J231)+'CAFCO 400 '!$L$16)),0)+IF(AND(L231="Cafco 400",M231="Software Idiem",C231="L"),((('CAFCO 400 '!$L$7*(J231^3)+'CAFCO 400 '!$L$8*(J231^2)+'CAFCO 400 '!$L$9*J231+'CAFCO 400 '!$L$10)*U231^2)+(('CAFCO 400 '!$L$11*(J231^3)+'CAFCO 400 '!$L$12*(J231^2)+'CAFCO 400 '!$L$13*J231+'CAFCO 400 '!$L$14)*U231)+('CAFCO 400 '!$L$15*LN(J231)+'CAFCO 400 '!$L$16)),0)+IF(AND(L231="Cafco 400",M231="Software Idiem",C231="IN",G231=3),((('CAFCO 400 '!$D$23*(J231^2)+'CAFCO 400 '!$D$24*(J231)+'CAFCO 400 '!$D$25)*U231^2)+(('CAFCO 400 '!$D$26*(J231^2)+'CAFCO 400 '!$D$27*J231+'CAFCO 400 '!$D$28)*U231)+('CAFCO 400 '!$D$29*(J231^2)+'CAFCO 400 '!$D$30*J231+'CAFCO 400 '!$D$31)),0),0)+IF(AND(L231="Cafco 300",J231&gt;=95,J231&lt;=240,C231="Cj",I231=90),VLOOKUP(T231,'CAFCO 300 IDIEM TABLAS'!$B$4:$D$23,2,FALSE),0)+IF(AND(L231="Cafco 300",J231&gt;=95,J231&lt;=240,C231="Cj",I231=120),VLOOKUP(T231,'CAFCO 300 IDIEM TABLAS'!$B$4:$D$23,3,FALSE),0)+IF(AND(L231="Cafco 300",J231&gt;=95,J231&lt;=400,G231=3,C231="IN",I231=90),VLOOKUP(T231,'CAFCO 300 IDIEM TABLAS'!$F$4:$H$35,2,FALSE),0)+IF(AND(L231="Cafco 300",J231&gt;=95,J231&lt;=400,G231=3,C231="IN",I231=120),VLOOKUP(T231,'CAFCO 300 IDIEM TABLAS'!$F$4:$H$35,3,FALSE),0)+IF(AND(L231="Cafco 300",J231&gt;=95,J231&lt;=450,G231=4,C231="IN",I231=90),VLOOKUP(T231,'CAFCO 300 IDIEM TABLAS'!$J$4:$L$40,2,FALSE),0)+IF(AND(L231="Cafco 300",J231&gt;=95,J231&lt;=450,G231=4,C231="IN",I231=120),VLOOKUP(T231,'CAFCO 300 IDIEM TABLAS'!$J$4:$L$40,3,FALSE),0)+IF(AND(M231="Ensayo Idiem",L231="Cafco 400",C231="IN",G231=4,I231=90),VLOOKUP(T231,'CAFCO 400 ENSAYO'!$B$7:$D$43,2,FALSE),0)+IF(AND(M231="Ensayo Idiem",L231="Cafco 400",C231="IN",G231=4,I231=120),VLOOKUP(T231,'CAFCO 400 ENSAYO'!$B$7:$D$43,3,FALSE),0)</f>
        <v>0</v>
      </c>
      <c r="O231" s="96">
        <f t="shared" si="27"/>
        <v>0</v>
      </c>
      <c r="P231" s="95" t="str">
        <f t="shared" si="28"/>
        <v>N/A</v>
      </c>
      <c r="Q231" s="95" t="str">
        <f t="shared" si="29"/>
        <v>N/A</v>
      </c>
      <c r="R231" s="95" t="str">
        <f t="shared" si="30"/>
        <v>NO CERT.</v>
      </c>
      <c r="S231" s="95" t="e">
        <f t="shared" si="25"/>
        <v>#N/A</v>
      </c>
      <c r="T231" s="119" t="e">
        <f>+IF(J231=LOOKUP(J231,'CAFCO 300 IDIEM TABLAS'!$J$4:$J$40),'CALCULO MORTERO'!J231,MROUND('CALCULO MORTERO'!J231,10))</f>
        <v>#N/A</v>
      </c>
      <c r="U231" s="118">
        <f t="shared" si="26"/>
        <v>0</v>
      </c>
      <c r="Y231" s="4"/>
      <c r="Z231" s="4"/>
      <c r="AA231" s="4"/>
    </row>
    <row r="232" spans="1:27" ht="15.6" customHeight="1" x14ac:dyDescent="0.25">
      <c r="A232" s="118">
        <f>+CUBICACION!D226</f>
        <v>0</v>
      </c>
      <c r="B232" s="819">
        <f>+CUBICACION!E226</f>
        <v>0</v>
      </c>
      <c r="C232" s="675">
        <f>+CUBICACION!F226</f>
        <v>0</v>
      </c>
      <c r="D232" s="118"/>
      <c r="E232" s="118"/>
      <c r="F232" s="820"/>
      <c r="G232" s="675">
        <f>+CUBICACION!J226</f>
        <v>0</v>
      </c>
      <c r="H232" s="118"/>
      <c r="I232" s="821">
        <f>+CUBICACION!L226</f>
        <v>0</v>
      </c>
      <c r="J232" s="64">
        <f>+CUBICACION!M226</f>
        <v>0</v>
      </c>
      <c r="K232" s="822" t="str">
        <f>+CUBICACION!N226</f>
        <v/>
      </c>
      <c r="L232" s="118">
        <f>+CUBICACION!O226</f>
        <v>0</v>
      </c>
      <c r="M232" s="823">
        <f>+CUBICACION!P226</f>
        <v>0</v>
      </c>
      <c r="N232" s="902">
        <f>ROUND(IF(AND(L232="Blaze Shield II",M232="Software Idiem",C232="IN",G232=4),((('BLAZE SHIELD II'!$D$4*('CALCULO MORTERO'!I232^2)+'BLAZE SHIELD II'!$D$5*'CALCULO MORTERO'!I232+'BLAZE SHIELD II'!$D$6)*LN(J232))+('BLAZE SHIELD II'!$D$7*('CALCULO MORTERO'!I232^2)+'BLAZE SHIELD II'!$D$8*'CALCULO MORTERO'!I232+'BLAZE SHIELD II'!$D$9)),0)+IF(AND(L232="Blaze Shield II",M232="Software Idiem",C232="Cj"),((('BLAZE SHIELD II'!$H$4*('CALCULO MORTERO'!I232^2)+'BLAZE SHIELD II'!$H$5*'CALCULO MORTERO'!I232+'BLAZE SHIELD II'!$H$6)*LN(J232))+('BLAZE SHIELD II'!$H$7*('CALCULO MORTERO'!I232^2)+'BLAZE SHIELD II'!$H$8*'CALCULO MORTERO'!I232+'BLAZE SHIELD II'!$H$9)),0)+IF(AND(L232="Blaze Shield II",M232="Software Idiem",C232="C"),((('BLAZE SHIELD II'!$L$4*('CALCULO MORTERO'!I232^2)+'BLAZE SHIELD II'!$L$5*'CALCULO MORTERO'!I232+'BLAZE SHIELD II'!$L$6)*LN(J232))+('BLAZE SHIELD II'!$L$7*('CALCULO MORTERO'!I232^2)+'BLAZE SHIELD II'!$L$8*'CALCULO MORTERO'!I232+'BLAZE SHIELD II'!$L$9)),0)+IF(AND(L232="Blaze Shield II",M232="Software Idiem",C232="L"),((('BLAZE SHIELD II'!$L$4*('CALCULO MORTERO'!I232^2)+'BLAZE SHIELD II'!$L$5*'CALCULO MORTERO'!I232+'BLAZE SHIELD II'!$L$6)*LN(J232))+('BLAZE SHIELD II'!$L$7*('CALCULO MORTERO'!I232^2)+'BLAZE SHIELD II'!$L$8*'CALCULO MORTERO'!I232+'BLAZE SHIELD II'!$L$9)),0)+IF(AND(L232="Blaze Shield II",M232="Software Idiem",C232="IN",G232=3),((('BLAZE SHIELD II'!$H$14*('CALCULO MORTERO'!I232^2)+'BLAZE SHIELD II'!$H$15*'CALCULO MORTERO'!I232+'BLAZE SHIELD II'!$H$16)*LN(J232))+('BLAZE SHIELD II'!$H$17*('CALCULO MORTERO'!I232^2)+'BLAZE SHIELD II'!$H$18*'CALCULO MORTERO'!I232+'BLAZE SHIELD II'!$H$19)),0),0)+ROUND(IF(AND(L232="Cafco 400",M232="Software Idiem",C232="IN",G232=4),((('CAFCO 400 '!$H$7*(J232^4)+'CAFCO 400 '!$H$8*(J232^3)+'CAFCO 400 '!$H$9*(J232^2)+'CAFCO 400 '!$H$10*J232+'CAFCO 400 '!$H$11)*U232^2)+(('CAFCO 400 '!$H$12*(J232^3)+'CAFCO 400 '!$H$13*(J232^2)+'CAFCO 400 '!$H$14*J232+'CAFCO 400 '!$H$15)*U232)+('CAFCO 400 '!$H$16*(J232^2)+'CAFCO 400 '!$H$17*J232+'CAFCO 400 '!$H$18)),0)+IF(AND(L232="Cafco 400",M232="Software Idiem",C232="Cj"),(((('CAFCO 400 '!$D$7*LN(J232)+'CAFCO 400 '!$D$8)*U232^2)+(('CAFCO 400 '!$D$9*LN(J232)+'CAFCO 400 '!$D$10)*U232)+('CAFCO 400 '!$D$11*LN(J232)+'CAFCO 400 '!$D$12))),0)+IF(AND(L232="Cafco 400",M232="Software Idiem",C232="C"),((('CAFCO 400 '!$L$7*(J232^3)+'CAFCO 400 '!$L$8*(J232^2)+'CAFCO 400 '!$L$9*J232+'CAFCO 400 '!$L$10)*U232^2)+(('CAFCO 400 '!$L$11*(J232^3)+'CAFCO 400 '!$L$12*(J232^2)+'CAFCO 400 '!$L$13*J232+'CAFCO 400 '!$L$14)*U232)+('CAFCO 400 '!$L$15*LN(J232)+'CAFCO 400 '!$L$16)),0)+IF(AND(L232="Cafco 400",M232="Software Idiem",C232="L"),((('CAFCO 400 '!$L$7*(J232^3)+'CAFCO 400 '!$L$8*(J232^2)+'CAFCO 400 '!$L$9*J232+'CAFCO 400 '!$L$10)*U232^2)+(('CAFCO 400 '!$L$11*(J232^3)+'CAFCO 400 '!$L$12*(J232^2)+'CAFCO 400 '!$L$13*J232+'CAFCO 400 '!$L$14)*U232)+('CAFCO 400 '!$L$15*LN(J232)+'CAFCO 400 '!$L$16)),0)+IF(AND(L232="Cafco 400",M232="Software Idiem",C232="IN",G232=3),((('CAFCO 400 '!$D$23*(J232^2)+'CAFCO 400 '!$D$24*(J232)+'CAFCO 400 '!$D$25)*U232^2)+(('CAFCO 400 '!$D$26*(J232^2)+'CAFCO 400 '!$D$27*J232+'CAFCO 400 '!$D$28)*U232)+('CAFCO 400 '!$D$29*(J232^2)+'CAFCO 400 '!$D$30*J232+'CAFCO 400 '!$D$31)),0),0)+IF(AND(L232="Cafco 300",J232&gt;=95,J232&lt;=240,C232="Cj",I232=90),VLOOKUP(T232,'CAFCO 300 IDIEM TABLAS'!$B$4:$D$23,2,FALSE),0)+IF(AND(L232="Cafco 300",J232&gt;=95,J232&lt;=240,C232="Cj",I232=120),VLOOKUP(T232,'CAFCO 300 IDIEM TABLAS'!$B$4:$D$23,3,FALSE),0)+IF(AND(L232="Cafco 300",J232&gt;=95,J232&lt;=400,G232=3,C232="IN",I232=90),VLOOKUP(T232,'CAFCO 300 IDIEM TABLAS'!$F$4:$H$35,2,FALSE),0)+IF(AND(L232="Cafco 300",J232&gt;=95,J232&lt;=400,G232=3,C232="IN",I232=120),VLOOKUP(T232,'CAFCO 300 IDIEM TABLAS'!$F$4:$H$35,3,FALSE),0)+IF(AND(L232="Cafco 300",J232&gt;=95,J232&lt;=450,G232=4,C232="IN",I232=90),VLOOKUP(T232,'CAFCO 300 IDIEM TABLAS'!$J$4:$L$40,2,FALSE),0)+IF(AND(L232="Cafco 300",J232&gt;=95,J232&lt;=450,G232=4,C232="IN",I232=120),VLOOKUP(T232,'CAFCO 300 IDIEM TABLAS'!$J$4:$L$40,3,FALSE),0)+IF(AND(M232="Ensayo Idiem",L232="Cafco 400",C232="IN",G232=4,I232=90),VLOOKUP(T232,'CAFCO 400 ENSAYO'!$B$7:$D$43,2,FALSE),0)+IF(AND(M232="Ensayo Idiem",L232="Cafco 400",C232="IN",G232=4,I232=120),VLOOKUP(T232,'CAFCO 400 ENSAYO'!$B$7:$D$43,3,FALSE),0)</f>
        <v>0</v>
      </c>
      <c r="O232" s="96">
        <f t="shared" si="27"/>
        <v>0</v>
      </c>
      <c r="P232" s="95" t="str">
        <f t="shared" si="28"/>
        <v>N/A</v>
      </c>
      <c r="Q232" s="95" t="str">
        <f t="shared" si="29"/>
        <v>N/A</v>
      </c>
      <c r="R232" s="95" t="str">
        <f t="shared" si="30"/>
        <v>NO CERT.</v>
      </c>
      <c r="S232" s="95" t="e">
        <f t="shared" si="25"/>
        <v>#N/A</v>
      </c>
      <c r="T232" s="119" t="e">
        <f>+IF(J232=LOOKUP(J232,'CAFCO 300 IDIEM TABLAS'!$J$4:$J$40),'CALCULO MORTERO'!J232,MROUND('CALCULO MORTERO'!J232,10))</f>
        <v>#N/A</v>
      </c>
      <c r="U232" s="118">
        <f t="shared" si="26"/>
        <v>0</v>
      </c>
      <c r="Y232" s="4"/>
      <c r="Z232" s="4"/>
      <c r="AA232" s="4"/>
    </row>
    <row r="233" spans="1:27" x14ac:dyDescent="0.25">
      <c r="A233" s="118">
        <f>+CUBICACION!D227</f>
        <v>0</v>
      </c>
      <c r="B233" s="819">
        <f>+CUBICACION!E227</f>
        <v>0</v>
      </c>
      <c r="C233" s="675">
        <f>+CUBICACION!F227</f>
        <v>0</v>
      </c>
      <c r="D233" s="118"/>
      <c r="E233" s="118"/>
      <c r="F233" s="820"/>
      <c r="G233" s="675">
        <f>+CUBICACION!J227</f>
        <v>0</v>
      </c>
      <c r="H233" s="118"/>
      <c r="I233" s="821">
        <f>+CUBICACION!L227</f>
        <v>0</v>
      </c>
      <c r="J233" s="64">
        <f>+CUBICACION!M227</f>
        <v>0</v>
      </c>
      <c r="K233" s="822" t="str">
        <f>+CUBICACION!N227</f>
        <v/>
      </c>
      <c r="L233" s="118">
        <f>+CUBICACION!O227</f>
        <v>0</v>
      </c>
      <c r="M233" s="823">
        <f>+CUBICACION!P227</f>
        <v>0</v>
      </c>
      <c r="N233" s="902">
        <f>ROUND(IF(AND(L233="Blaze Shield II",M233="Software Idiem",C233="IN",G233=4),((('BLAZE SHIELD II'!$D$4*('CALCULO MORTERO'!I233^2)+'BLAZE SHIELD II'!$D$5*'CALCULO MORTERO'!I233+'BLAZE SHIELD II'!$D$6)*LN(J233))+('BLAZE SHIELD II'!$D$7*('CALCULO MORTERO'!I233^2)+'BLAZE SHIELD II'!$D$8*'CALCULO MORTERO'!I233+'BLAZE SHIELD II'!$D$9)),0)+IF(AND(L233="Blaze Shield II",M233="Software Idiem",C233="Cj"),((('BLAZE SHIELD II'!$H$4*('CALCULO MORTERO'!I233^2)+'BLAZE SHIELD II'!$H$5*'CALCULO MORTERO'!I233+'BLAZE SHIELD II'!$H$6)*LN(J233))+('BLAZE SHIELD II'!$H$7*('CALCULO MORTERO'!I233^2)+'BLAZE SHIELD II'!$H$8*'CALCULO MORTERO'!I233+'BLAZE SHIELD II'!$H$9)),0)+IF(AND(L233="Blaze Shield II",M233="Software Idiem",C233="C"),((('BLAZE SHIELD II'!$L$4*('CALCULO MORTERO'!I233^2)+'BLAZE SHIELD II'!$L$5*'CALCULO MORTERO'!I233+'BLAZE SHIELD II'!$L$6)*LN(J233))+('BLAZE SHIELD II'!$L$7*('CALCULO MORTERO'!I233^2)+'BLAZE SHIELD II'!$L$8*'CALCULO MORTERO'!I233+'BLAZE SHIELD II'!$L$9)),0)+IF(AND(L233="Blaze Shield II",M233="Software Idiem",C233="L"),((('BLAZE SHIELD II'!$L$4*('CALCULO MORTERO'!I233^2)+'BLAZE SHIELD II'!$L$5*'CALCULO MORTERO'!I233+'BLAZE SHIELD II'!$L$6)*LN(J233))+('BLAZE SHIELD II'!$L$7*('CALCULO MORTERO'!I233^2)+'BLAZE SHIELD II'!$L$8*'CALCULO MORTERO'!I233+'BLAZE SHIELD II'!$L$9)),0)+IF(AND(L233="Blaze Shield II",M233="Software Idiem",C233="IN",G233=3),((('BLAZE SHIELD II'!$H$14*('CALCULO MORTERO'!I233^2)+'BLAZE SHIELD II'!$H$15*'CALCULO MORTERO'!I233+'BLAZE SHIELD II'!$H$16)*LN(J233))+('BLAZE SHIELD II'!$H$17*('CALCULO MORTERO'!I233^2)+'BLAZE SHIELD II'!$H$18*'CALCULO MORTERO'!I233+'BLAZE SHIELD II'!$H$19)),0),0)+ROUND(IF(AND(L233="Cafco 400",M233="Software Idiem",C233="IN",G233=4),((('CAFCO 400 '!$H$7*(J233^4)+'CAFCO 400 '!$H$8*(J233^3)+'CAFCO 400 '!$H$9*(J233^2)+'CAFCO 400 '!$H$10*J233+'CAFCO 400 '!$H$11)*U233^2)+(('CAFCO 400 '!$H$12*(J233^3)+'CAFCO 400 '!$H$13*(J233^2)+'CAFCO 400 '!$H$14*J233+'CAFCO 400 '!$H$15)*U233)+('CAFCO 400 '!$H$16*(J233^2)+'CAFCO 400 '!$H$17*J233+'CAFCO 400 '!$H$18)),0)+IF(AND(L233="Cafco 400",M233="Software Idiem",C233="Cj"),(((('CAFCO 400 '!$D$7*LN(J233)+'CAFCO 400 '!$D$8)*U233^2)+(('CAFCO 400 '!$D$9*LN(J233)+'CAFCO 400 '!$D$10)*U233)+('CAFCO 400 '!$D$11*LN(J233)+'CAFCO 400 '!$D$12))),0)+IF(AND(L233="Cafco 400",M233="Software Idiem",C233="C"),((('CAFCO 400 '!$L$7*(J233^3)+'CAFCO 400 '!$L$8*(J233^2)+'CAFCO 400 '!$L$9*J233+'CAFCO 400 '!$L$10)*U233^2)+(('CAFCO 400 '!$L$11*(J233^3)+'CAFCO 400 '!$L$12*(J233^2)+'CAFCO 400 '!$L$13*J233+'CAFCO 400 '!$L$14)*U233)+('CAFCO 400 '!$L$15*LN(J233)+'CAFCO 400 '!$L$16)),0)+IF(AND(L233="Cafco 400",M233="Software Idiem",C233="L"),((('CAFCO 400 '!$L$7*(J233^3)+'CAFCO 400 '!$L$8*(J233^2)+'CAFCO 400 '!$L$9*J233+'CAFCO 400 '!$L$10)*U233^2)+(('CAFCO 400 '!$L$11*(J233^3)+'CAFCO 400 '!$L$12*(J233^2)+'CAFCO 400 '!$L$13*J233+'CAFCO 400 '!$L$14)*U233)+('CAFCO 400 '!$L$15*LN(J233)+'CAFCO 400 '!$L$16)),0)+IF(AND(L233="Cafco 400",M233="Software Idiem",C233="IN",G233=3),((('CAFCO 400 '!$D$23*(J233^2)+'CAFCO 400 '!$D$24*(J233)+'CAFCO 400 '!$D$25)*U233^2)+(('CAFCO 400 '!$D$26*(J233^2)+'CAFCO 400 '!$D$27*J233+'CAFCO 400 '!$D$28)*U233)+('CAFCO 400 '!$D$29*(J233^2)+'CAFCO 400 '!$D$30*J233+'CAFCO 400 '!$D$31)),0),0)+IF(AND(L233="Cafco 300",J233&gt;=95,J233&lt;=240,C233="Cj",I233=90),VLOOKUP(T233,'CAFCO 300 IDIEM TABLAS'!$B$4:$D$23,2,FALSE),0)+IF(AND(L233="Cafco 300",J233&gt;=95,J233&lt;=240,C233="Cj",I233=120),VLOOKUP(T233,'CAFCO 300 IDIEM TABLAS'!$B$4:$D$23,3,FALSE),0)+IF(AND(L233="Cafco 300",J233&gt;=95,J233&lt;=400,G233=3,C233="IN",I233=90),VLOOKUP(T233,'CAFCO 300 IDIEM TABLAS'!$F$4:$H$35,2,FALSE),0)+IF(AND(L233="Cafco 300",J233&gt;=95,J233&lt;=400,G233=3,C233="IN",I233=120),VLOOKUP(T233,'CAFCO 300 IDIEM TABLAS'!$F$4:$H$35,3,FALSE),0)+IF(AND(L233="Cafco 300",J233&gt;=95,J233&lt;=450,G233=4,C233="IN",I233=90),VLOOKUP(T233,'CAFCO 300 IDIEM TABLAS'!$J$4:$L$40,2,FALSE),0)+IF(AND(L233="Cafco 300",J233&gt;=95,J233&lt;=450,G233=4,C233="IN",I233=120),VLOOKUP(T233,'CAFCO 300 IDIEM TABLAS'!$J$4:$L$40,3,FALSE),0)+IF(AND(M233="Ensayo Idiem",L233="Cafco 400",C233="IN",G233=4,I233=90),VLOOKUP(T233,'CAFCO 400 ENSAYO'!$B$7:$D$43,2,FALSE),0)+IF(AND(M233="Ensayo Idiem",L233="Cafco 400",C233="IN",G233=4,I233=120),VLOOKUP(T233,'CAFCO 400 ENSAYO'!$B$7:$D$43,3,FALSE),0)</f>
        <v>0</v>
      </c>
      <c r="O233" s="96">
        <f t="shared" si="27"/>
        <v>0</v>
      </c>
      <c r="P233" s="95" t="str">
        <f t="shared" si="28"/>
        <v>N/A</v>
      </c>
      <c r="Q233" s="95" t="str">
        <f t="shared" si="29"/>
        <v>N/A</v>
      </c>
      <c r="R233" s="95" t="str">
        <f t="shared" si="30"/>
        <v>NO CERT.</v>
      </c>
      <c r="S233" s="95" t="e">
        <f t="shared" si="25"/>
        <v>#N/A</v>
      </c>
      <c r="T233" s="119" t="e">
        <f>+IF(J233=LOOKUP(J233,'CAFCO 300 IDIEM TABLAS'!$J$4:$J$40),'CALCULO MORTERO'!J233,MROUND('CALCULO MORTERO'!J233,10))</f>
        <v>#N/A</v>
      </c>
      <c r="U233" s="118">
        <f t="shared" si="26"/>
        <v>0</v>
      </c>
      <c r="Y233" s="4"/>
      <c r="Z233" s="4"/>
      <c r="AA233" s="4"/>
    </row>
    <row r="234" spans="1:27" ht="15.6" customHeight="1" x14ac:dyDescent="0.25">
      <c r="A234" s="118">
        <f>+CUBICACION!D228</f>
        <v>0</v>
      </c>
      <c r="B234" s="819">
        <f>+CUBICACION!E228</f>
        <v>0</v>
      </c>
      <c r="C234" s="675">
        <f>+CUBICACION!F228</f>
        <v>0</v>
      </c>
      <c r="D234" s="118"/>
      <c r="E234" s="118"/>
      <c r="F234" s="820"/>
      <c r="G234" s="675">
        <f>+CUBICACION!J228</f>
        <v>0</v>
      </c>
      <c r="H234" s="118"/>
      <c r="I234" s="821">
        <f>+CUBICACION!L228</f>
        <v>0</v>
      </c>
      <c r="J234" s="64">
        <f>+CUBICACION!M228</f>
        <v>0</v>
      </c>
      <c r="K234" s="822" t="str">
        <f>+CUBICACION!N228</f>
        <v/>
      </c>
      <c r="L234" s="118">
        <f>+CUBICACION!O228</f>
        <v>0</v>
      </c>
      <c r="M234" s="823">
        <f>+CUBICACION!P228</f>
        <v>0</v>
      </c>
      <c r="N234" s="902">
        <f>ROUND(IF(AND(L234="Blaze Shield II",M234="Software Idiem",C234="IN",G234=4),((('BLAZE SHIELD II'!$D$4*('CALCULO MORTERO'!I234^2)+'BLAZE SHIELD II'!$D$5*'CALCULO MORTERO'!I234+'BLAZE SHIELD II'!$D$6)*LN(J234))+('BLAZE SHIELD II'!$D$7*('CALCULO MORTERO'!I234^2)+'BLAZE SHIELD II'!$D$8*'CALCULO MORTERO'!I234+'BLAZE SHIELD II'!$D$9)),0)+IF(AND(L234="Blaze Shield II",M234="Software Idiem",C234="Cj"),((('BLAZE SHIELD II'!$H$4*('CALCULO MORTERO'!I234^2)+'BLAZE SHIELD II'!$H$5*'CALCULO MORTERO'!I234+'BLAZE SHIELD II'!$H$6)*LN(J234))+('BLAZE SHIELD II'!$H$7*('CALCULO MORTERO'!I234^2)+'BLAZE SHIELD II'!$H$8*'CALCULO MORTERO'!I234+'BLAZE SHIELD II'!$H$9)),0)+IF(AND(L234="Blaze Shield II",M234="Software Idiem",C234="C"),((('BLAZE SHIELD II'!$L$4*('CALCULO MORTERO'!I234^2)+'BLAZE SHIELD II'!$L$5*'CALCULO MORTERO'!I234+'BLAZE SHIELD II'!$L$6)*LN(J234))+('BLAZE SHIELD II'!$L$7*('CALCULO MORTERO'!I234^2)+'BLAZE SHIELD II'!$L$8*'CALCULO MORTERO'!I234+'BLAZE SHIELD II'!$L$9)),0)+IF(AND(L234="Blaze Shield II",M234="Software Idiem",C234="L"),((('BLAZE SHIELD II'!$L$4*('CALCULO MORTERO'!I234^2)+'BLAZE SHIELD II'!$L$5*'CALCULO MORTERO'!I234+'BLAZE SHIELD II'!$L$6)*LN(J234))+('BLAZE SHIELD II'!$L$7*('CALCULO MORTERO'!I234^2)+'BLAZE SHIELD II'!$L$8*'CALCULO MORTERO'!I234+'BLAZE SHIELD II'!$L$9)),0)+IF(AND(L234="Blaze Shield II",M234="Software Idiem",C234="IN",G234=3),((('BLAZE SHIELD II'!$H$14*('CALCULO MORTERO'!I234^2)+'BLAZE SHIELD II'!$H$15*'CALCULO MORTERO'!I234+'BLAZE SHIELD II'!$H$16)*LN(J234))+('BLAZE SHIELD II'!$H$17*('CALCULO MORTERO'!I234^2)+'BLAZE SHIELD II'!$H$18*'CALCULO MORTERO'!I234+'BLAZE SHIELD II'!$H$19)),0),0)+ROUND(IF(AND(L234="Cafco 400",M234="Software Idiem",C234="IN",G234=4),((('CAFCO 400 '!$H$7*(J234^4)+'CAFCO 400 '!$H$8*(J234^3)+'CAFCO 400 '!$H$9*(J234^2)+'CAFCO 400 '!$H$10*J234+'CAFCO 400 '!$H$11)*U234^2)+(('CAFCO 400 '!$H$12*(J234^3)+'CAFCO 400 '!$H$13*(J234^2)+'CAFCO 400 '!$H$14*J234+'CAFCO 400 '!$H$15)*U234)+('CAFCO 400 '!$H$16*(J234^2)+'CAFCO 400 '!$H$17*J234+'CAFCO 400 '!$H$18)),0)+IF(AND(L234="Cafco 400",M234="Software Idiem",C234="Cj"),(((('CAFCO 400 '!$D$7*LN(J234)+'CAFCO 400 '!$D$8)*U234^2)+(('CAFCO 400 '!$D$9*LN(J234)+'CAFCO 400 '!$D$10)*U234)+('CAFCO 400 '!$D$11*LN(J234)+'CAFCO 400 '!$D$12))),0)+IF(AND(L234="Cafco 400",M234="Software Idiem",C234="C"),((('CAFCO 400 '!$L$7*(J234^3)+'CAFCO 400 '!$L$8*(J234^2)+'CAFCO 400 '!$L$9*J234+'CAFCO 400 '!$L$10)*U234^2)+(('CAFCO 400 '!$L$11*(J234^3)+'CAFCO 400 '!$L$12*(J234^2)+'CAFCO 400 '!$L$13*J234+'CAFCO 400 '!$L$14)*U234)+('CAFCO 400 '!$L$15*LN(J234)+'CAFCO 400 '!$L$16)),0)+IF(AND(L234="Cafco 400",M234="Software Idiem",C234="L"),((('CAFCO 400 '!$L$7*(J234^3)+'CAFCO 400 '!$L$8*(J234^2)+'CAFCO 400 '!$L$9*J234+'CAFCO 400 '!$L$10)*U234^2)+(('CAFCO 400 '!$L$11*(J234^3)+'CAFCO 400 '!$L$12*(J234^2)+'CAFCO 400 '!$L$13*J234+'CAFCO 400 '!$L$14)*U234)+('CAFCO 400 '!$L$15*LN(J234)+'CAFCO 400 '!$L$16)),0)+IF(AND(L234="Cafco 400",M234="Software Idiem",C234="IN",G234=3),((('CAFCO 400 '!$D$23*(J234^2)+'CAFCO 400 '!$D$24*(J234)+'CAFCO 400 '!$D$25)*U234^2)+(('CAFCO 400 '!$D$26*(J234^2)+'CAFCO 400 '!$D$27*J234+'CAFCO 400 '!$D$28)*U234)+('CAFCO 400 '!$D$29*(J234^2)+'CAFCO 400 '!$D$30*J234+'CAFCO 400 '!$D$31)),0),0)+IF(AND(L234="Cafco 300",J234&gt;=95,J234&lt;=240,C234="Cj",I234=90),VLOOKUP(T234,'CAFCO 300 IDIEM TABLAS'!$B$4:$D$23,2,FALSE),0)+IF(AND(L234="Cafco 300",J234&gt;=95,J234&lt;=240,C234="Cj",I234=120),VLOOKUP(T234,'CAFCO 300 IDIEM TABLAS'!$B$4:$D$23,3,FALSE),0)+IF(AND(L234="Cafco 300",J234&gt;=95,J234&lt;=400,G234=3,C234="IN",I234=90),VLOOKUP(T234,'CAFCO 300 IDIEM TABLAS'!$F$4:$H$35,2,FALSE),0)+IF(AND(L234="Cafco 300",J234&gt;=95,J234&lt;=400,G234=3,C234="IN",I234=120),VLOOKUP(T234,'CAFCO 300 IDIEM TABLAS'!$F$4:$H$35,3,FALSE),0)+IF(AND(L234="Cafco 300",J234&gt;=95,J234&lt;=450,G234=4,C234="IN",I234=90),VLOOKUP(T234,'CAFCO 300 IDIEM TABLAS'!$J$4:$L$40,2,FALSE),0)+IF(AND(L234="Cafco 300",J234&gt;=95,J234&lt;=450,G234=4,C234="IN",I234=120),VLOOKUP(T234,'CAFCO 300 IDIEM TABLAS'!$J$4:$L$40,3,FALSE),0)+IF(AND(M234="Ensayo Idiem",L234="Cafco 400",C234="IN",G234=4,I234=90),VLOOKUP(T234,'CAFCO 400 ENSAYO'!$B$7:$D$43,2,FALSE),0)+IF(AND(M234="Ensayo Idiem",L234="Cafco 400",C234="IN",G234=4,I234=120),VLOOKUP(T234,'CAFCO 400 ENSAYO'!$B$7:$D$43,3,FALSE),0)</f>
        <v>0</v>
      </c>
      <c r="O234" s="96">
        <f t="shared" si="27"/>
        <v>0</v>
      </c>
      <c r="P234" s="95" t="str">
        <f t="shared" si="28"/>
        <v>N/A</v>
      </c>
      <c r="Q234" s="95" t="str">
        <f t="shared" si="29"/>
        <v>N/A</v>
      </c>
      <c r="R234" s="95" t="str">
        <f t="shared" si="30"/>
        <v>NO CERT.</v>
      </c>
      <c r="S234" s="95" t="e">
        <f t="shared" si="25"/>
        <v>#N/A</v>
      </c>
      <c r="T234" s="119" t="e">
        <f>+IF(J234=LOOKUP(J234,'CAFCO 300 IDIEM TABLAS'!$J$4:$J$40),'CALCULO MORTERO'!J234,MROUND('CALCULO MORTERO'!J234,10))</f>
        <v>#N/A</v>
      </c>
      <c r="U234" s="118">
        <f t="shared" si="26"/>
        <v>0</v>
      </c>
      <c r="Y234" s="4"/>
      <c r="Z234" s="4"/>
      <c r="AA234" s="4"/>
    </row>
    <row r="235" spans="1:27" x14ac:dyDescent="0.25">
      <c r="A235" s="118">
        <f>+CUBICACION!D229</f>
        <v>0</v>
      </c>
      <c r="B235" s="819">
        <f>+CUBICACION!E229</f>
        <v>0</v>
      </c>
      <c r="C235" s="675">
        <f>+CUBICACION!F229</f>
        <v>0</v>
      </c>
      <c r="D235" s="118"/>
      <c r="E235" s="118"/>
      <c r="F235" s="820"/>
      <c r="G235" s="675">
        <f>+CUBICACION!J229</f>
        <v>0</v>
      </c>
      <c r="H235" s="118"/>
      <c r="I235" s="821">
        <f>+CUBICACION!L229</f>
        <v>0</v>
      </c>
      <c r="J235" s="64">
        <f>+CUBICACION!M229</f>
        <v>0</v>
      </c>
      <c r="K235" s="822" t="str">
        <f>+CUBICACION!N229</f>
        <v/>
      </c>
      <c r="L235" s="118">
        <f>+CUBICACION!O229</f>
        <v>0</v>
      </c>
      <c r="M235" s="823">
        <f>+CUBICACION!P229</f>
        <v>0</v>
      </c>
      <c r="N235" s="902">
        <f>ROUND(IF(AND(L235="Blaze Shield II",M235="Software Idiem",C235="IN",G235=4),((('BLAZE SHIELD II'!$D$4*('CALCULO MORTERO'!I235^2)+'BLAZE SHIELD II'!$D$5*'CALCULO MORTERO'!I235+'BLAZE SHIELD II'!$D$6)*LN(J235))+('BLAZE SHIELD II'!$D$7*('CALCULO MORTERO'!I235^2)+'BLAZE SHIELD II'!$D$8*'CALCULO MORTERO'!I235+'BLAZE SHIELD II'!$D$9)),0)+IF(AND(L235="Blaze Shield II",M235="Software Idiem",C235="Cj"),((('BLAZE SHIELD II'!$H$4*('CALCULO MORTERO'!I235^2)+'BLAZE SHIELD II'!$H$5*'CALCULO MORTERO'!I235+'BLAZE SHIELD II'!$H$6)*LN(J235))+('BLAZE SHIELD II'!$H$7*('CALCULO MORTERO'!I235^2)+'BLAZE SHIELD II'!$H$8*'CALCULO MORTERO'!I235+'BLAZE SHIELD II'!$H$9)),0)+IF(AND(L235="Blaze Shield II",M235="Software Idiem",C235="C"),((('BLAZE SHIELD II'!$L$4*('CALCULO MORTERO'!I235^2)+'BLAZE SHIELD II'!$L$5*'CALCULO MORTERO'!I235+'BLAZE SHIELD II'!$L$6)*LN(J235))+('BLAZE SHIELD II'!$L$7*('CALCULO MORTERO'!I235^2)+'BLAZE SHIELD II'!$L$8*'CALCULO MORTERO'!I235+'BLAZE SHIELD II'!$L$9)),0)+IF(AND(L235="Blaze Shield II",M235="Software Idiem",C235="L"),((('BLAZE SHIELD II'!$L$4*('CALCULO MORTERO'!I235^2)+'BLAZE SHIELD II'!$L$5*'CALCULO MORTERO'!I235+'BLAZE SHIELD II'!$L$6)*LN(J235))+('BLAZE SHIELD II'!$L$7*('CALCULO MORTERO'!I235^2)+'BLAZE SHIELD II'!$L$8*'CALCULO MORTERO'!I235+'BLAZE SHIELD II'!$L$9)),0)+IF(AND(L235="Blaze Shield II",M235="Software Idiem",C235="IN",G235=3),((('BLAZE SHIELD II'!$H$14*('CALCULO MORTERO'!I235^2)+'BLAZE SHIELD II'!$H$15*'CALCULO MORTERO'!I235+'BLAZE SHIELD II'!$H$16)*LN(J235))+('BLAZE SHIELD II'!$H$17*('CALCULO MORTERO'!I235^2)+'BLAZE SHIELD II'!$H$18*'CALCULO MORTERO'!I235+'BLAZE SHIELD II'!$H$19)),0),0)+ROUND(IF(AND(L235="Cafco 400",M235="Software Idiem",C235="IN",G235=4),((('CAFCO 400 '!$H$7*(J235^4)+'CAFCO 400 '!$H$8*(J235^3)+'CAFCO 400 '!$H$9*(J235^2)+'CAFCO 400 '!$H$10*J235+'CAFCO 400 '!$H$11)*U235^2)+(('CAFCO 400 '!$H$12*(J235^3)+'CAFCO 400 '!$H$13*(J235^2)+'CAFCO 400 '!$H$14*J235+'CAFCO 400 '!$H$15)*U235)+('CAFCO 400 '!$H$16*(J235^2)+'CAFCO 400 '!$H$17*J235+'CAFCO 400 '!$H$18)),0)+IF(AND(L235="Cafco 400",M235="Software Idiem",C235="Cj"),(((('CAFCO 400 '!$D$7*LN(J235)+'CAFCO 400 '!$D$8)*U235^2)+(('CAFCO 400 '!$D$9*LN(J235)+'CAFCO 400 '!$D$10)*U235)+('CAFCO 400 '!$D$11*LN(J235)+'CAFCO 400 '!$D$12))),0)+IF(AND(L235="Cafco 400",M235="Software Idiem",C235="C"),((('CAFCO 400 '!$L$7*(J235^3)+'CAFCO 400 '!$L$8*(J235^2)+'CAFCO 400 '!$L$9*J235+'CAFCO 400 '!$L$10)*U235^2)+(('CAFCO 400 '!$L$11*(J235^3)+'CAFCO 400 '!$L$12*(J235^2)+'CAFCO 400 '!$L$13*J235+'CAFCO 400 '!$L$14)*U235)+('CAFCO 400 '!$L$15*LN(J235)+'CAFCO 400 '!$L$16)),0)+IF(AND(L235="Cafco 400",M235="Software Idiem",C235="L"),((('CAFCO 400 '!$L$7*(J235^3)+'CAFCO 400 '!$L$8*(J235^2)+'CAFCO 400 '!$L$9*J235+'CAFCO 400 '!$L$10)*U235^2)+(('CAFCO 400 '!$L$11*(J235^3)+'CAFCO 400 '!$L$12*(J235^2)+'CAFCO 400 '!$L$13*J235+'CAFCO 400 '!$L$14)*U235)+('CAFCO 400 '!$L$15*LN(J235)+'CAFCO 400 '!$L$16)),0)+IF(AND(L235="Cafco 400",M235="Software Idiem",C235="IN",G235=3),((('CAFCO 400 '!$D$23*(J235^2)+'CAFCO 400 '!$D$24*(J235)+'CAFCO 400 '!$D$25)*U235^2)+(('CAFCO 400 '!$D$26*(J235^2)+'CAFCO 400 '!$D$27*J235+'CAFCO 400 '!$D$28)*U235)+('CAFCO 400 '!$D$29*(J235^2)+'CAFCO 400 '!$D$30*J235+'CAFCO 400 '!$D$31)),0),0)+IF(AND(L235="Cafco 300",J235&gt;=95,J235&lt;=240,C235="Cj",I235=90),VLOOKUP(T235,'CAFCO 300 IDIEM TABLAS'!$B$4:$D$23,2,FALSE),0)+IF(AND(L235="Cafco 300",J235&gt;=95,J235&lt;=240,C235="Cj",I235=120),VLOOKUP(T235,'CAFCO 300 IDIEM TABLAS'!$B$4:$D$23,3,FALSE),0)+IF(AND(L235="Cafco 300",J235&gt;=95,J235&lt;=400,G235=3,C235="IN",I235=90),VLOOKUP(T235,'CAFCO 300 IDIEM TABLAS'!$F$4:$H$35,2,FALSE),0)+IF(AND(L235="Cafco 300",J235&gt;=95,J235&lt;=400,G235=3,C235="IN",I235=120),VLOOKUP(T235,'CAFCO 300 IDIEM TABLAS'!$F$4:$H$35,3,FALSE),0)+IF(AND(L235="Cafco 300",J235&gt;=95,J235&lt;=450,G235=4,C235="IN",I235=90),VLOOKUP(T235,'CAFCO 300 IDIEM TABLAS'!$J$4:$L$40,2,FALSE),0)+IF(AND(L235="Cafco 300",J235&gt;=95,J235&lt;=450,G235=4,C235="IN",I235=120),VLOOKUP(T235,'CAFCO 300 IDIEM TABLAS'!$J$4:$L$40,3,FALSE),0)+IF(AND(M235="Ensayo Idiem",L235="Cafco 400",C235="IN",G235=4,I235=90),VLOOKUP(T235,'CAFCO 400 ENSAYO'!$B$7:$D$43,2,FALSE),0)+IF(AND(M235="Ensayo Idiem",L235="Cafco 400",C235="IN",G235=4,I235=120),VLOOKUP(T235,'CAFCO 400 ENSAYO'!$B$7:$D$43,3,FALSE),0)</f>
        <v>0</v>
      </c>
      <c r="O235" s="96">
        <f t="shared" si="27"/>
        <v>0</v>
      </c>
      <c r="P235" s="95" t="str">
        <f t="shared" si="28"/>
        <v>N/A</v>
      </c>
      <c r="Q235" s="95" t="str">
        <f t="shared" si="29"/>
        <v>N/A</v>
      </c>
      <c r="R235" s="95" t="str">
        <f t="shared" si="30"/>
        <v>NO CERT.</v>
      </c>
      <c r="S235" s="95" t="e">
        <f t="shared" si="25"/>
        <v>#N/A</v>
      </c>
      <c r="T235" s="119" t="e">
        <f>+IF(J235=LOOKUP(J235,'CAFCO 300 IDIEM TABLAS'!$J$4:$J$40),'CALCULO MORTERO'!J235,MROUND('CALCULO MORTERO'!J235,10))</f>
        <v>#N/A</v>
      </c>
      <c r="U235" s="118">
        <f t="shared" si="26"/>
        <v>0</v>
      </c>
      <c r="Y235" s="4"/>
      <c r="Z235" s="4"/>
      <c r="AA235" s="4"/>
    </row>
    <row r="236" spans="1:27" ht="15.6" customHeight="1" x14ac:dyDescent="0.25">
      <c r="A236" s="118">
        <f>+CUBICACION!D230</f>
        <v>0</v>
      </c>
      <c r="B236" s="819">
        <f>+CUBICACION!E230</f>
        <v>0</v>
      </c>
      <c r="C236" s="675">
        <f>+CUBICACION!F230</f>
        <v>0</v>
      </c>
      <c r="D236" s="118"/>
      <c r="E236" s="118"/>
      <c r="F236" s="820"/>
      <c r="G236" s="675">
        <f>+CUBICACION!J230</f>
        <v>0</v>
      </c>
      <c r="H236" s="118"/>
      <c r="I236" s="821">
        <f>+CUBICACION!L230</f>
        <v>0</v>
      </c>
      <c r="J236" s="64">
        <f>+CUBICACION!M230</f>
        <v>0</v>
      </c>
      <c r="K236" s="822" t="str">
        <f>+CUBICACION!N230</f>
        <v/>
      </c>
      <c r="L236" s="118">
        <f>+CUBICACION!O230</f>
        <v>0</v>
      </c>
      <c r="M236" s="823">
        <f>+CUBICACION!P230</f>
        <v>0</v>
      </c>
      <c r="N236" s="902">
        <f>ROUND(IF(AND(L236="Blaze Shield II",M236="Software Idiem",C236="IN",G236=4),((('BLAZE SHIELD II'!$D$4*('CALCULO MORTERO'!I236^2)+'BLAZE SHIELD II'!$D$5*'CALCULO MORTERO'!I236+'BLAZE SHIELD II'!$D$6)*LN(J236))+('BLAZE SHIELD II'!$D$7*('CALCULO MORTERO'!I236^2)+'BLAZE SHIELD II'!$D$8*'CALCULO MORTERO'!I236+'BLAZE SHIELD II'!$D$9)),0)+IF(AND(L236="Blaze Shield II",M236="Software Idiem",C236="Cj"),((('BLAZE SHIELD II'!$H$4*('CALCULO MORTERO'!I236^2)+'BLAZE SHIELD II'!$H$5*'CALCULO MORTERO'!I236+'BLAZE SHIELD II'!$H$6)*LN(J236))+('BLAZE SHIELD II'!$H$7*('CALCULO MORTERO'!I236^2)+'BLAZE SHIELD II'!$H$8*'CALCULO MORTERO'!I236+'BLAZE SHIELD II'!$H$9)),0)+IF(AND(L236="Blaze Shield II",M236="Software Idiem",C236="C"),((('BLAZE SHIELD II'!$L$4*('CALCULO MORTERO'!I236^2)+'BLAZE SHIELD II'!$L$5*'CALCULO MORTERO'!I236+'BLAZE SHIELD II'!$L$6)*LN(J236))+('BLAZE SHIELD II'!$L$7*('CALCULO MORTERO'!I236^2)+'BLAZE SHIELD II'!$L$8*'CALCULO MORTERO'!I236+'BLAZE SHIELD II'!$L$9)),0)+IF(AND(L236="Blaze Shield II",M236="Software Idiem",C236="L"),((('BLAZE SHIELD II'!$L$4*('CALCULO MORTERO'!I236^2)+'BLAZE SHIELD II'!$L$5*'CALCULO MORTERO'!I236+'BLAZE SHIELD II'!$L$6)*LN(J236))+('BLAZE SHIELD II'!$L$7*('CALCULO MORTERO'!I236^2)+'BLAZE SHIELD II'!$L$8*'CALCULO MORTERO'!I236+'BLAZE SHIELD II'!$L$9)),0)+IF(AND(L236="Blaze Shield II",M236="Software Idiem",C236="IN",G236=3),((('BLAZE SHIELD II'!$H$14*('CALCULO MORTERO'!I236^2)+'BLAZE SHIELD II'!$H$15*'CALCULO MORTERO'!I236+'BLAZE SHIELD II'!$H$16)*LN(J236))+('BLAZE SHIELD II'!$H$17*('CALCULO MORTERO'!I236^2)+'BLAZE SHIELD II'!$H$18*'CALCULO MORTERO'!I236+'BLAZE SHIELD II'!$H$19)),0),0)+ROUND(IF(AND(L236="Cafco 400",M236="Software Idiem",C236="IN",G236=4),((('CAFCO 400 '!$H$7*(J236^4)+'CAFCO 400 '!$H$8*(J236^3)+'CAFCO 400 '!$H$9*(J236^2)+'CAFCO 400 '!$H$10*J236+'CAFCO 400 '!$H$11)*U236^2)+(('CAFCO 400 '!$H$12*(J236^3)+'CAFCO 400 '!$H$13*(J236^2)+'CAFCO 400 '!$H$14*J236+'CAFCO 400 '!$H$15)*U236)+('CAFCO 400 '!$H$16*(J236^2)+'CAFCO 400 '!$H$17*J236+'CAFCO 400 '!$H$18)),0)+IF(AND(L236="Cafco 400",M236="Software Idiem",C236="Cj"),(((('CAFCO 400 '!$D$7*LN(J236)+'CAFCO 400 '!$D$8)*U236^2)+(('CAFCO 400 '!$D$9*LN(J236)+'CAFCO 400 '!$D$10)*U236)+('CAFCO 400 '!$D$11*LN(J236)+'CAFCO 400 '!$D$12))),0)+IF(AND(L236="Cafco 400",M236="Software Idiem",C236="C"),((('CAFCO 400 '!$L$7*(J236^3)+'CAFCO 400 '!$L$8*(J236^2)+'CAFCO 400 '!$L$9*J236+'CAFCO 400 '!$L$10)*U236^2)+(('CAFCO 400 '!$L$11*(J236^3)+'CAFCO 400 '!$L$12*(J236^2)+'CAFCO 400 '!$L$13*J236+'CAFCO 400 '!$L$14)*U236)+('CAFCO 400 '!$L$15*LN(J236)+'CAFCO 400 '!$L$16)),0)+IF(AND(L236="Cafco 400",M236="Software Idiem",C236="L"),((('CAFCO 400 '!$L$7*(J236^3)+'CAFCO 400 '!$L$8*(J236^2)+'CAFCO 400 '!$L$9*J236+'CAFCO 400 '!$L$10)*U236^2)+(('CAFCO 400 '!$L$11*(J236^3)+'CAFCO 400 '!$L$12*(J236^2)+'CAFCO 400 '!$L$13*J236+'CAFCO 400 '!$L$14)*U236)+('CAFCO 400 '!$L$15*LN(J236)+'CAFCO 400 '!$L$16)),0)+IF(AND(L236="Cafco 400",M236="Software Idiem",C236="IN",G236=3),((('CAFCO 400 '!$D$23*(J236^2)+'CAFCO 400 '!$D$24*(J236)+'CAFCO 400 '!$D$25)*U236^2)+(('CAFCO 400 '!$D$26*(J236^2)+'CAFCO 400 '!$D$27*J236+'CAFCO 400 '!$D$28)*U236)+('CAFCO 400 '!$D$29*(J236^2)+'CAFCO 400 '!$D$30*J236+'CAFCO 400 '!$D$31)),0),0)+IF(AND(L236="Cafco 300",J236&gt;=95,J236&lt;=240,C236="Cj",I236=90),VLOOKUP(T236,'CAFCO 300 IDIEM TABLAS'!$B$4:$D$23,2,FALSE),0)+IF(AND(L236="Cafco 300",J236&gt;=95,J236&lt;=240,C236="Cj",I236=120),VLOOKUP(T236,'CAFCO 300 IDIEM TABLAS'!$B$4:$D$23,3,FALSE),0)+IF(AND(L236="Cafco 300",J236&gt;=95,J236&lt;=400,G236=3,C236="IN",I236=90),VLOOKUP(T236,'CAFCO 300 IDIEM TABLAS'!$F$4:$H$35,2,FALSE),0)+IF(AND(L236="Cafco 300",J236&gt;=95,J236&lt;=400,G236=3,C236="IN",I236=120),VLOOKUP(T236,'CAFCO 300 IDIEM TABLAS'!$F$4:$H$35,3,FALSE),0)+IF(AND(L236="Cafco 300",J236&gt;=95,J236&lt;=450,G236=4,C236="IN",I236=90),VLOOKUP(T236,'CAFCO 300 IDIEM TABLAS'!$J$4:$L$40,2,FALSE),0)+IF(AND(L236="Cafco 300",J236&gt;=95,J236&lt;=450,G236=4,C236="IN",I236=120),VLOOKUP(T236,'CAFCO 300 IDIEM TABLAS'!$J$4:$L$40,3,FALSE),0)+IF(AND(M236="Ensayo Idiem",L236="Cafco 400",C236="IN",G236=4,I236=90),VLOOKUP(T236,'CAFCO 400 ENSAYO'!$B$7:$D$43,2,FALSE),0)+IF(AND(M236="Ensayo Idiem",L236="Cafco 400",C236="IN",G236=4,I236=120),VLOOKUP(T236,'CAFCO 400 ENSAYO'!$B$7:$D$43,3,FALSE),0)</f>
        <v>0</v>
      </c>
      <c r="O236" s="96">
        <f t="shared" si="27"/>
        <v>0</v>
      </c>
      <c r="P236" s="95" t="str">
        <f t="shared" si="28"/>
        <v>N/A</v>
      </c>
      <c r="Q236" s="95" t="str">
        <f t="shared" si="29"/>
        <v>N/A</v>
      </c>
      <c r="R236" s="95" t="str">
        <f t="shared" si="30"/>
        <v>NO CERT.</v>
      </c>
      <c r="S236" s="95" t="e">
        <f t="shared" si="25"/>
        <v>#N/A</v>
      </c>
      <c r="T236" s="119" t="e">
        <f>+IF(J236=LOOKUP(J236,'CAFCO 300 IDIEM TABLAS'!$J$4:$J$40),'CALCULO MORTERO'!J236,MROUND('CALCULO MORTERO'!J236,10))</f>
        <v>#N/A</v>
      </c>
      <c r="U236" s="118">
        <f t="shared" si="26"/>
        <v>0</v>
      </c>
      <c r="Y236" s="4"/>
      <c r="Z236" s="4"/>
      <c r="AA236" s="4"/>
    </row>
    <row r="237" spans="1:27" x14ac:dyDescent="0.25">
      <c r="A237" s="118">
        <f>+CUBICACION!D231</f>
        <v>0</v>
      </c>
      <c r="B237" s="819">
        <f>+CUBICACION!E231</f>
        <v>0</v>
      </c>
      <c r="C237" s="675">
        <f>+CUBICACION!F231</f>
        <v>0</v>
      </c>
      <c r="D237" s="118"/>
      <c r="E237" s="118"/>
      <c r="F237" s="820"/>
      <c r="G237" s="675">
        <f>+CUBICACION!J231</f>
        <v>0</v>
      </c>
      <c r="H237" s="118"/>
      <c r="I237" s="821">
        <f>+CUBICACION!L231</f>
        <v>0</v>
      </c>
      <c r="J237" s="64">
        <f>+CUBICACION!M231</f>
        <v>0</v>
      </c>
      <c r="K237" s="822" t="str">
        <f>+CUBICACION!N231</f>
        <v/>
      </c>
      <c r="L237" s="118">
        <f>+CUBICACION!O231</f>
        <v>0</v>
      </c>
      <c r="M237" s="823">
        <f>+CUBICACION!P231</f>
        <v>0</v>
      </c>
      <c r="N237" s="902">
        <f>ROUND(IF(AND(L237="Blaze Shield II",M237="Software Idiem",C237="IN",G237=4),((('BLAZE SHIELD II'!$D$4*('CALCULO MORTERO'!I237^2)+'BLAZE SHIELD II'!$D$5*'CALCULO MORTERO'!I237+'BLAZE SHIELD II'!$D$6)*LN(J237))+('BLAZE SHIELD II'!$D$7*('CALCULO MORTERO'!I237^2)+'BLAZE SHIELD II'!$D$8*'CALCULO MORTERO'!I237+'BLAZE SHIELD II'!$D$9)),0)+IF(AND(L237="Blaze Shield II",M237="Software Idiem",C237="Cj"),((('BLAZE SHIELD II'!$H$4*('CALCULO MORTERO'!I237^2)+'BLAZE SHIELD II'!$H$5*'CALCULO MORTERO'!I237+'BLAZE SHIELD II'!$H$6)*LN(J237))+('BLAZE SHIELD II'!$H$7*('CALCULO MORTERO'!I237^2)+'BLAZE SHIELD II'!$H$8*'CALCULO MORTERO'!I237+'BLAZE SHIELD II'!$H$9)),0)+IF(AND(L237="Blaze Shield II",M237="Software Idiem",C237="C"),((('BLAZE SHIELD II'!$L$4*('CALCULO MORTERO'!I237^2)+'BLAZE SHIELD II'!$L$5*'CALCULO MORTERO'!I237+'BLAZE SHIELD II'!$L$6)*LN(J237))+('BLAZE SHIELD II'!$L$7*('CALCULO MORTERO'!I237^2)+'BLAZE SHIELD II'!$L$8*'CALCULO MORTERO'!I237+'BLAZE SHIELD II'!$L$9)),0)+IF(AND(L237="Blaze Shield II",M237="Software Idiem",C237="L"),((('BLAZE SHIELD II'!$L$4*('CALCULO MORTERO'!I237^2)+'BLAZE SHIELD II'!$L$5*'CALCULO MORTERO'!I237+'BLAZE SHIELD II'!$L$6)*LN(J237))+('BLAZE SHIELD II'!$L$7*('CALCULO MORTERO'!I237^2)+'BLAZE SHIELD II'!$L$8*'CALCULO MORTERO'!I237+'BLAZE SHIELD II'!$L$9)),0)+IF(AND(L237="Blaze Shield II",M237="Software Idiem",C237="IN",G237=3),((('BLAZE SHIELD II'!$H$14*('CALCULO MORTERO'!I237^2)+'BLAZE SHIELD II'!$H$15*'CALCULO MORTERO'!I237+'BLAZE SHIELD II'!$H$16)*LN(J237))+('BLAZE SHIELD II'!$H$17*('CALCULO MORTERO'!I237^2)+'BLAZE SHIELD II'!$H$18*'CALCULO MORTERO'!I237+'BLAZE SHIELD II'!$H$19)),0),0)+ROUND(IF(AND(L237="Cafco 400",M237="Software Idiem",C237="IN",G237=4),((('CAFCO 400 '!$H$7*(J237^4)+'CAFCO 400 '!$H$8*(J237^3)+'CAFCO 400 '!$H$9*(J237^2)+'CAFCO 400 '!$H$10*J237+'CAFCO 400 '!$H$11)*U237^2)+(('CAFCO 400 '!$H$12*(J237^3)+'CAFCO 400 '!$H$13*(J237^2)+'CAFCO 400 '!$H$14*J237+'CAFCO 400 '!$H$15)*U237)+('CAFCO 400 '!$H$16*(J237^2)+'CAFCO 400 '!$H$17*J237+'CAFCO 400 '!$H$18)),0)+IF(AND(L237="Cafco 400",M237="Software Idiem",C237="Cj"),(((('CAFCO 400 '!$D$7*LN(J237)+'CAFCO 400 '!$D$8)*U237^2)+(('CAFCO 400 '!$D$9*LN(J237)+'CAFCO 400 '!$D$10)*U237)+('CAFCO 400 '!$D$11*LN(J237)+'CAFCO 400 '!$D$12))),0)+IF(AND(L237="Cafco 400",M237="Software Idiem",C237="C"),((('CAFCO 400 '!$L$7*(J237^3)+'CAFCO 400 '!$L$8*(J237^2)+'CAFCO 400 '!$L$9*J237+'CAFCO 400 '!$L$10)*U237^2)+(('CAFCO 400 '!$L$11*(J237^3)+'CAFCO 400 '!$L$12*(J237^2)+'CAFCO 400 '!$L$13*J237+'CAFCO 400 '!$L$14)*U237)+('CAFCO 400 '!$L$15*LN(J237)+'CAFCO 400 '!$L$16)),0)+IF(AND(L237="Cafco 400",M237="Software Idiem",C237="L"),((('CAFCO 400 '!$L$7*(J237^3)+'CAFCO 400 '!$L$8*(J237^2)+'CAFCO 400 '!$L$9*J237+'CAFCO 400 '!$L$10)*U237^2)+(('CAFCO 400 '!$L$11*(J237^3)+'CAFCO 400 '!$L$12*(J237^2)+'CAFCO 400 '!$L$13*J237+'CAFCO 400 '!$L$14)*U237)+('CAFCO 400 '!$L$15*LN(J237)+'CAFCO 400 '!$L$16)),0)+IF(AND(L237="Cafco 400",M237="Software Idiem",C237="IN",G237=3),((('CAFCO 400 '!$D$23*(J237^2)+'CAFCO 400 '!$D$24*(J237)+'CAFCO 400 '!$D$25)*U237^2)+(('CAFCO 400 '!$D$26*(J237^2)+'CAFCO 400 '!$D$27*J237+'CAFCO 400 '!$D$28)*U237)+('CAFCO 400 '!$D$29*(J237^2)+'CAFCO 400 '!$D$30*J237+'CAFCO 400 '!$D$31)),0),0)+IF(AND(L237="Cafco 300",J237&gt;=95,J237&lt;=240,C237="Cj",I237=90),VLOOKUP(T237,'CAFCO 300 IDIEM TABLAS'!$B$4:$D$23,2,FALSE),0)+IF(AND(L237="Cafco 300",J237&gt;=95,J237&lt;=240,C237="Cj",I237=120),VLOOKUP(T237,'CAFCO 300 IDIEM TABLAS'!$B$4:$D$23,3,FALSE),0)+IF(AND(L237="Cafco 300",J237&gt;=95,J237&lt;=400,G237=3,C237="IN",I237=90),VLOOKUP(T237,'CAFCO 300 IDIEM TABLAS'!$F$4:$H$35,2,FALSE),0)+IF(AND(L237="Cafco 300",J237&gt;=95,J237&lt;=400,G237=3,C237="IN",I237=120),VLOOKUP(T237,'CAFCO 300 IDIEM TABLAS'!$F$4:$H$35,3,FALSE),0)+IF(AND(L237="Cafco 300",J237&gt;=95,J237&lt;=450,G237=4,C237="IN",I237=90),VLOOKUP(T237,'CAFCO 300 IDIEM TABLAS'!$J$4:$L$40,2,FALSE),0)+IF(AND(L237="Cafco 300",J237&gt;=95,J237&lt;=450,G237=4,C237="IN",I237=120),VLOOKUP(T237,'CAFCO 300 IDIEM TABLAS'!$J$4:$L$40,3,FALSE),0)+IF(AND(M237="Ensayo Idiem",L237="Cafco 400",C237="IN",G237=4,I237=90),VLOOKUP(T237,'CAFCO 400 ENSAYO'!$B$7:$D$43,2,FALSE),0)+IF(AND(M237="Ensayo Idiem",L237="Cafco 400",C237="IN",G237=4,I237=120),VLOOKUP(T237,'CAFCO 400 ENSAYO'!$B$7:$D$43,3,FALSE),0)</f>
        <v>0</v>
      </c>
      <c r="O237" s="96">
        <f t="shared" si="27"/>
        <v>0</v>
      </c>
      <c r="P237" s="95" t="str">
        <f t="shared" si="28"/>
        <v>N/A</v>
      </c>
      <c r="Q237" s="95" t="str">
        <f t="shared" si="29"/>
        <v>N/A</v>
      </c>
      <c r="R237" s="95" t="str">
        <f t="shared" si="30"/>
        <v>NO CERT.</v>
      </c>
      <c r="S237" s="95" t="e">
        <f t="shared" si="25"/>
        <v>#N/A</v>
      </c>
      <c r="T237" s="119" t="e">
        <f>+IF(J237=LOOKUP(J237,'CAFCO 300 IDIEM TABLAS'!$J$4:$J$40),'CALCULO MORTERO'!J237,MROUND('CALCULO MORTERO'!J237,10))</f>
        <v>#N/A</v>
      </c>
      <c r="U237" s="118">
        <f t="shared" si="26"/>
        <v>0</v>
      </c>
      <c r="Y237" s="4"/>
      <c r="Z237" s="4"/>
      <c r="AA237" s="4"/>
    </row>
    <row r="238" spans="1:27" ht="15.6" customHeight="1" x14ac:dyDescent="0.25">
      <c r="A238" s="118">
        <f>+CUBICACION!D232</f>
        <v>0</v>
      </c>
      <c r="B238" s="819">
        <f>+CUBICACION!E232</f>
        <v>0</v>
      </c>
      <c r="C238" s="675">
        <f>+CUBICACION!F232</f>
        <v>0</v>
      </c>
      <c r="D238" s="118"/>
      <c r="E238" s="118"/>
      <c r="F238" s="820"/>
      <c r="G238" s="675">
        <f>+CUBICACION!J232</f>
        <v>0</v>
      </c>
      <c r="H238" s="118"/>
      <c r="I238" s="821">
        <f>+CUBICACION!L232</f>
        <v>0</v>
      </c>
      <c r="J238" s="64">
        <f>+CUBICACION!M232</f>
        <v>0</v>
      </c>
      <c r="K238" s="822" t="str">
        <f>+CUBICACION!N232</f>
        <v/>
      </c>
      <c r="L238" s="118">
        <f>+CUBICACION!O232</f>
        <v>0</v>
      </c>
      <c r="M238" s="823">
        <f>+CUBICACION!P232</f>
        <v>0</v>
      </c>
      <c r="N238" s="902">
        <f>ROUND(IF(AND(L238="Blaze Shield II",M238="Software Idiem",C238="IN",G238=4),((('BLAZE SHIELD II'!$D$4*('CALCULO MORTERO'!I238^2)+'BLAZE SHIELD II'!$D$5*'CALCULO MORTERO'!I238+'BLAZE SHIELD II'!$D$6)*LN(J238))+('BLAZE SHIELD II'!$D$7*('CALCULO MORTERO'!I238^2)+'BLAZE SHIELD II'!$D$8*'CALCULO MORTERO'!I238+'BLAZE SHIELD II'!$D$9)),0)+IF(AND(L238="Blaze Shield II",M238="Software Idiem",C238="Cj"),((('BLAZE SHIELD II'!$H$4*('CALCULO MORTERO'!I238^2)+'BLAZE SHIELD II'!$H$5*'CALCULO MORTERO'!I238+'BLAZE SHIELD II'!$H$6)*LN(J238))+('BLAZE SHIELD II'!$H$7*('CALCULO MORTERO'!I238^2)+'BLAZE SHIELD II'!$H$8*'CALCULO MORTERO'!I238+'BLAZE SHIELD II'!$H$9)),0)+IF(AND(L238="Blaze Shield II",M238="Software Idiem",C238="C"),((('BLAZE SHIELD II'!$L$4*('CALCULO MORTERO'!I238^2)+'BLAZE SHIELD II'!$L$5*'CALCULO MORTERO'!I238+'BLAZE SHIELD II'!$L$6)*LN(J238))+('BLAZE SHIELD II'!$L$7*('CALCULO MORTERO'!I238^2)+'BLAZE SHIELD II'!$L$8*'CALCULO MORTERO'!I238+'BLAZE SHIELD II'!$L$9)),0)+IF(AND(L238="Blaze Shield II",M238="Software Idiem",C238="L"),((('BLAZE SHIELD II'!$L$4*('CALCULO MORTERO'!I238^2)+'BLAZE SHIELD II'!$L$5*'CALCULO MORTERO'!I238+'BLAZE SHIELD II'!$L$6)*LN(J238))+('BLAZE SHIELD II'!$L$7*('CALCULO MORTERO'!I238^2)+'BLAZE SHIELD II'!$L$8*'CALCULO MORTERO'!I238+'BLAZE SHIELD II'!$L$9)),0)+IF(AND(L238="Blaze Shield II",M238="Software Idiem",C238="IN",G238=3),((('BLAZE SHIELD II'!$H$14*('CALCULO MORTERO'!I238^2)+'BLAZE SHIELD II'!$H$15*'CALCULO MORTERO'!I238+'BLAZE SHIELD II'!$H$16)*LN(J238))+('BLAZE SHIELD II'!$H$17*('CALCULO MORTERO'!I238^2)+'BLAZE SHIELD II'!$H$18*'CALCULO MORTERO'!I238+'BLAZE SHIELD II'!$H$19)),0),0)+ROUND(IF(AND(L238="Cafco 400",M238="Software Idiem",C238="IN",G238=4),((('CAFCO 400 '!$H$7*(J238^4)+'CAFCO 400 '!$H$8*(J238^3)+'CAFCO 400 '!$H$9*(J238^2)+'CAFCO 400 '!$H$10*J238+'CAFCO 400 '!$H$11)*U238^2)+(('CAFCO 400 '!$H$12*(J238^3)+'CAFCO 400 '!$H$13*(J238^2)+'CAFCO 400 '!$H$14*J238+'CAFCO 400 '!$H$15)*U238)+('CAFCO 400 '!$H$16*(J238^2)+'CAFCO 400 '!$H$17*J238+'CAFCO 400 '!$H$18)),0)+IF(AND(L238="Cafco 400",M238="Software Idiem",C238="Cj"),(((('CAFCO 400 '!$D$7*LN(J238)+'CAFCO 400 '!$D$8)*U238^2)+(('CAFCO 400 '!$D$9*LN(J238)+'CAFCO 400 '!$D$10)*U238)+('CAFCO 400 '!$D$11*LN(J238)+'CAFCO 400 '!$D$12))),0)+IF(AND(L238="Cafco 400",M238="Software Idiem",C238="C"),((('CAFCO 400 '!$L$7*(J238^3)+'CAFCO 400 '!$L$8*(J238^2)+'CAFCO 400 '!$L$9*J238+'CAFCO 400 '!$L$10)*U238^2)+(('CAFCO 400 '!$L$11*(J238^3)+'CAFCO 400 '!$L$12*(J238^2)+'CAFCO 400 '!$L$13*J238+'CAFCO 400 '!$L$14)*U238)+('CAFCO 400 '!$L$15*LN(J238)+'CAFCO 400 '!$L$16)),0)+IF(AND(L238="Cafco 400",M238="Software Idiem",C238="L"),((('CAFCO 400 '!$L$7*(J238^3)+'CAFCO 400 '!$L$8*(J238^2)+'CAFCO 400 '!$L$9*J238+'CAFCO 400 '!$L$10)*U238^2)+(('CAFCO 400 '!$L$11*(J238^3)+'CAFCO 400 '!$L$12*(J238^2)+'CAFCO 400 '!$L$13*J238+'CAFCO 400 '!$L$14)*U238)+('CAFCO 400 '!$L$15*LN(J238)+'CAFCO 400 '!$L$16)),0)+IF(AND(L238="Cafco 400",M238="Software Idiem",C238="IN",G238=3),((('CAFCO 400 '!$D$23*(J238^2)+'CAFCO 400 '!$D$24*(J238)+'CAFCO 400 '!$D$25)*U238^2)+(('CAFCO 400 '!$D$26*(J238^2)+'CAFCO 400 '!$D$27*J238+'CAFCO 400 '!$D$28)*U238)+('CAFCO 400 '!$D$29*(J238^2)+'CAFCO 400 '!$D$30*J238+'CAFCO 400 '!$D$31)),0),0)+IF(AND(L238="Cafco 300",J238&gt;=95,J238&lt;=240,C238="Cj",I238=90),VLOOKUP(T238,'CAFCO 300 IDIEM TABLAS'!$B$4:$D$23,2,FALSE),0)+IF(AND(L238="Cafco 300",J238&gt;=95,J238&lt;=240,C238="Cj",I238=120),VLOOKUP(T238,'CAFCO 300 IDIEM TABLAS'!$B$4:$D$23,3,FALSE),0)+IF(AND(L238="Cafco 300",J238&gt;=95,J238&lt;=400,G238=3,C238="IN",I238=90),VLOOKUP(T238,'CAFCO 300 IDIEM TABLAS'!$F$4:$H$35,2,FALSE),0)+IF(AND(L238="Cafco 300",J238&gt;=95,J238&lt;=400,G238=3,C238="IN",I238=120),VLOOKUP(T238,'CAFCO 300 IDIEM TABLAS'!$F$4:$H$35,3,FALSE),0)+IF(AND(L238="Cafco 300",J238&gt;=95,J238&lt;=450,G238=4,C238="IN",I238=90),VLOOKUP(T238,'CAFCO 300 IDIEM TABLAS'!$J$4:$L$40,2,FALSE),0)+IF(AND(L238="Cafco 300",J238&gt;=95,J238&lt;=450,G238=4,C238="IN",I238=120),VLOOKUP(T238,'CAFCO 300 IDIEM TABLAS'!$J$4:$L$40,3,FALSE),0)+IF(AND(M238="Ensayo Idiem",L238="Cafco 400",C238="IN",G238=4,I238=90),VLOOKUP(T238,'CAFCO 400 ENSAYO'!$B$7:$D$43,2,FALSE),0)+IF(AND(M238="Ensayo Idiem",L238="Cafco 400",C238="IN",G238=4,I238=120),VLOOKUP(T238,'CAFCO 400 ENSAYO'!$B$7:$D$43,3,FALSE),0)</f>
        <v>0</v>
      </c>
      <c r="O238" s="96">
        <f t="shared" si="27"/>
        <v>0</v>
      </c>
      <c r="P238" s="95" t="str">
        <f t="shared" si="28"/>
        <v>N/A</v>
      </c>
      <c r="Q238" s="95" t="str">
        <f t="shared" si="29"/>
        <v>N/A</v>
      </c>
      <c r="R238" s="95" t="str">
        <f t="shared" si="30"/>
        <v>NO CERT.</v>
      </c>
      <c r="S238" s="95" t="e">
        <f t="shared" si="25"/>
        <v>#N/A</v>
      </c>
      <c r="T238" s="119" t="e">
        <f>+IF(J238=LOOKUP(J238,'CAFCO 300 IDIEM TABLAS'!$J$4:$J$40),'CALCULO MORTERO'!J238,MROUND('CALCULO MORTERO'!J238,10))</f>
        <v>#N/A</v>
      </c>
      <c r="U238" s="118">
        <f t="shared" si="26"/>
        <v>0</v>
      </c>
      <c r="Y238" s="4"/>
      <c r="Z238" s="4"/>
      <c r="AA238" s="4"/>
    </row>
    <row r="239" spans="1:27" x14ac:dyDescent="0.25">
      <c r="A239" s="118">
        <f>+CUBICACION!D233</f>
        <v>0</v>
      </c>
      <c r="B239" s="819">
        <f>+CUBICACION!E233</f>
        <v>0</v>
      </c>
      <c r="C239" s="675">
        <f>+CUBICACION!F233</f>
        <v>0</v>
      </c>
      <c r="D239" s="118"/>
      <c r="E239" s="118"/>
      <c r="F239" s="820"/>
      <c r="G239" s="675">
        <f>+CUBICACION!J233</f>
        <v>0</v>
      </c>
      <c r="H239" s="118"/>
      <c r="I239" s="821">
        <f>+CUBICACION!L233</f>
        <v>0</v>
      </c>
      <c r="J239" s="64">
        <f>+CUBICACION!M233</f>
        <v>0</v>
      </c>
      <c r="K239" s="822" t="str">
        <f>+CUBICACION!N233</f>
        <v/>
      </c>
      <c r="L239" s="118">
        <f>+CUBICACION!O233</f>
        <v>0</v>
      </c>
      <c r="M239" s="823">
        <f>+CUBICACION!P233</f>
        <v>0</v>
      </c>
      <c r="N239" s="902">
        <f>ROUND(IF(AND(L239="Blaze Shield II",M239="Software Idiem",C239="IN",G239=4),((('BLAZE SHIELD II'!$D$4*('CALCULO MORTERO'!I239^2)+'BLAZE SHIELD II'!$D$5*'CALCULO MORTERO'!I239+'BLAZE SHIELD II'!$D$6)*LN(J239))+('BLAZE SHIELD II'!$D$7*('CALCULO MORTERO'!I239^2)+'BLAZE SHIELD II'!$D$8*'CALCULO MORTERO'!I239+'BLAZE SHIELD II'!$D$9)),0)+IF(AND(L239="Blaze Shield II",M239="Software Idiem",C239="Cj"),((('BLAZE SHIELD II'!$H$4*('CALCULO MORTERO'!I239^2)+'BLAZE SHIELD II'!$H$5*'CALCULO MORTERO'!I239+'BLAZE SHIELD II'!$H$6)*LN(J239))+('BLAZE SHIELD II'!$H$7*('CALCULO MORTERO'!I239^2)+'BLAZE SHIELD II'!$H$8*'CALCULO MORTERO'!I239+'BLAZE SHIELD II'!$H$9)),0)+IF(AND(L239="Blaze Shield II",M239="Software Idiem",C239="C"),((('BLAZE SHIELD II'!$L$4*('CALCULO MORTERO'!I239^2)+'BLAZE SHIELD II'!$L$5*'CALCULO MORTERO'!I239+'BLAZE SHIELD II'!$L$6)*LN(J239))+('BLAZE SHIELD II'!$L$7*('CALCULO MORTERO'!I239^2)+'BLAZE SHIELD II'!$L$8*'CALCULO MORTERO'!I239+'BLAZE SHIELD II'!$L$9)),0)+IF(AND(L239="Blaze Shield II",M239="Software Idiem",C239="L"),((('BLAZE SHIELD II'!$L$4*('CALCULO MORTERO'!I239^2)+'BLAZE SHIELD II'!$L$5*'CALCULO MORTERO'!I239+'BLAZE SHIELD II'!$L$6)*LN(J239))+('BLAZE SHIELD II'!$L$7*('CALCULO MORTERO'!I239^2)+'BLAZE SHIELD II'!$L$8*'CALCULO MORTERO'!I239+'BLAZE SHIELD II'!$L$9)),0)+IF(AND(L239="Blaze Shield II",M239="Software Idiem",C239="IN",G239=3),((('BLAZE SHIELD II'!$H$14*('CALCULO MORTERO'!I239^2)+'BLAZE SHIELD II'!$H$15*'CALCULO MORTERO'!I239+'BLAZE SHIELD II'!$H$16)*LN(J239))+('BLAZE SHIELD II'!$H$17*('CALCULO MORTERO'!I239^2)+'BLAZE SHIELD II'!$H$18*'CALCULO MORTERO'!I239+'BLAZE SHIELD II'!$H$19)),0),0)+ROUND(IF(AND(L239="Cafco 400",M239="Software Idiem",C239="IN",G239=4),((('CAFCO 400 '!$H$7*(J239^4)+'CAFCO 400 '!$H$8*(J239^3)+'CAFCO 400 '!$H$9*(J239^2)+'CAFCO 400 '!$H$10*J239+'CAFCO 400 '!$H$11)*U239^2)+(('CAFCO 400 '!$H$12*(J239^3)+'CAFCO 400 '!$H$13*(J239^2)+'CAFCO 400 '!$H$14*J239+'CAFCO 400 '!$H$15)*U239)+('CAFCO 400 '!$H$16*(J239^2)+'CAFCO 400 '!$H$17*J239+'CAFCO 400 '!$H$18)),0)+IF(AND(L239="Cafco 400",M239="Software Idiem",C239="Cj"),(((('CAFCO 400 '!$D$7*LN(J239)+'CAFCO 400 '!$D$8)*U239^2)+(('CAFCO 400 '!$D$9*LN(J239)+'CAFCO 400 '!$D$10)*U239)+('CAFCO 400 '!$D$11*LN(J239)+'CAFCO 400 '!$D$12))),0)+IF(AND(L239="Cafco 400",M239="Software Idiem",C239="C"),((('CAFCO 400 '!$L$7*(J239^3)+'CAFCO 400 '!$L$8*(J239^2)+'CAFCO 400 '!$L$9*J239+'CAFCO 400 '!$L$10)*U239^2)+(('CAFCO 400 '!$L$11*(J239^3)+'CAFCO 400 '!$L$12*(J239^2)+'CAFCO 400 '!$L$13*J239+'CAFCO 400 '!$L$14)*U239)+('CAFCO 400 '!$L$15*LN(J239)+'CAFCO 400 '!$L$16)),0)+IF(AND(L239="Cafco 400",M239="Software Idiem",C239="L"),((('CAFCO 400 '!$L$7*(J239^3)+'CAFCO 400 '!$L$8*(J239^2)+'CAFCO 400 '!$L$9*J239+'CAFCO 400 '!$L$10)*U239^2)+(('CAFCO 400 '!$L$11*(J239^3)+'CAFCO 400 '!$L$12*(J239^2)+'CAFCO 400 '!$L$13*J239+'CAFCO 400 '!$L$14)*U239)+('CAFCO 400 '!$L$15*LN(J239)+'CAFCO 400 '!$L$16)),0)+IF(AND(L239="Cafco 400",M239="Software Idiem",C239="IN",G239=3),((('CAFCO 400 '!$D$23*(J239^2)+'CAFCO 400 '!$D$24*(J239)+'CAFCO 400 '!$D$25)*U239^2)+(('CAFCO 400 '!$D$26*(J239^2)+'CAFCO 400 '!$D$27*J239+'CAFCO 400 '!$D$28)*U239)+('CAFCO 400 '!$D$29*(J239^2)+'CAFCO 400 '!$D$30*J239+'CAFCO 400 '!$D$31)),0),0)+IF(AND(L239="Cafco 300",J239&gt;=95,J239&lt;=240,C239="Cj",I239=90),VLOOKUP(T239,'CAFCO 300 IDIEM TABLAS'!$B$4:$D$23,2,FALSE),0)+IF(AND(L239="Cafco 300",J239&gt;=95,J239&lt;=240,C239="Cj",I239=120),VLOOKUP(T239,'CAFCO 300 IDIEM TABLAS'!$B$4:$D$23,3,FALSE),0)+IF(AND(L239="Cafco 300",J239&gt;=95,J239&lt;=400,G239=3,C239="IN",I239=90),VLOOKUP(T239,'CAFCO 300 IDIEM TABLAS'!$F$4:$H$35,2,FALSE),0)+IF(AND(L239="Cafco 300",J239&gt;=95,J239&lt;=400,G239=3,C239="IN",I239=120),VLOOKUP(T239,'CAFCO 300 IDIEM TABLAS'!$F$4:$H$35,3,FALSE),0)+IF(AND(L239="Cafco 300",J239&gt;=95,J239&lt;=450,G239=4,C239="IN",I239=90),VLOOKUP(T239,'CAFCO 300 IDIEM TABLAS'!$J$4:$L$40,2,FALSE),0)+IF(AND(L239="Cafco 300",J239&gt;=95,J239&lt;=450,G239=4,C239="IN",I239=120),VLOOKUP(T239,'CAFCO 300 IDIEM TABLAS'!$J$4:$L$40,3,FALSE),0)+IF(AND(M239="Ensayo Idiem",L239="Cafco 400",C239="IN",G239=4,I239=90),VLOOKUP(T239,'CAFCO 400 ENSAYO'!$B$7:$D$43,2,FALSE),0)+IF(AND(M239="Ensayo Idiem",L239="Cafco 400",C239="IN",G239=4,I239=120),VLOOKUP(T239,'CAFCO 400 ENSAYO'!$B$7:$D$43,3,FALSE),0)</f>
        <v>0</v>
      </c>
      <c r="O239" s="96">
        <f t="shared" si="27"/>
        <v>0</v>
      </c>
      <c r="P239" s="95" t="str">
        <f t="shared" si="28"/>
        <v>N/A</v>
      </c>
      <c r="Q239" s="95" t="str">
        <f t="shared" si="29"/>
        <v>N/A</v>
      </c>
      <c r="R239" s="95" t="str">
        <f t="shared" si="30"/>
        <v>NO CERT.</v>
      </c>
      <c r="S239" s="95" t="e">
        <f t="shared" si="25"/>
        <v>#N/A</v>
      </c>
      <c r="T239" s="119" t="e">
        <f>+IF(J239=LOOKUP(J239,'CAFCO 300 IDIEM TABLAS'!$J$4:$J$40),'CALCULO MORTERO'!J239,MROUND('CALCULO MORTERO'!J239,10))</f>
        <v>#N/A</v>
      </c>
      <c r="U239" s="118">
        <f t="shared" si="26"/>
        <v>0</v>
      </c>
      <c r="Y239" s="4"/>
      <c r="Z239" s="4"/>
      <c r="AA239" s="4"/>
    </row>
    <row r="240" spans="1:27" ht="15.6" customHeight="1" x14ac:dyDescent="0.25">
      <c r="A240" s="118">
        <f>+CUBICACION!D234</f>
        <v>0</v>
      </c>
      <c r="B240" s="819">
        <f>+CUBICACION!E234</f>
        <v>0</v>
      </c>
      <c r="C240" s="675">
        <f>+CUBICACION!F234</f>
        <v>0</v>
      </c>
      <c r="D240" s="118"/>
      <c r="E240" s="118"/>
      <c r="F240" s="820"/>
      <c r="G240" s="675">
        <f>+CUBICACION!J234</f>
        <v>0</v>
      </c>
      <c r="H240" s="118"/>
      <c r="I240" s="821">
        <f>+CUBICACION!L234</f>
        <v>0</v>
      </c>
      <c r="J240" s="64">
        <f>+CUBICACION!M234</f>
        <v>0</v>
      </c>
      <c r="K240" s="822" t="str">
        <f>+CUBICACION!N234</f>
        <v/>
      </c>
      <c r="L240" s="118">
        <f>+CUBICACION!O234</f>
        <v>0</v>
      </c>
      <c r="M240" s="823">
        <f>+CUBICACION!P234</f>
        <v>0</v>
      </c>
      <c r="N240" s="902">
        <f>ROUND(IF(AND(L240="Blaze Shield II",M240="Software Idiem",C240="IN",G240=4),((('BLAZE SHIELD II'!$D$4*('CALCULO MORTERO'!I240^2)+'BLAZE SHIELD II'!$D$5*'CALCULO MORTERO'!I240+'BLAZE SHIELD II'!$D$6)*LN(J240))+('BLAZE SHIELD II'!$D$7*('CALCULO MORTERO'!I240^2)+'BLAZE SHIELD II'!$D$8*'CALCULO MORTERO'!I240+'BLAZE SHIELD II'!$D$9)),0)+IF(AND(L240="Blaze Shield II",M240="Software Idiem",C240="Cj"),((('BLAZE SHIELD II'!$H$4*('CALCULO MORTERO'!I240^2)+'BLAZE SHIELD II'!$H$5*'CALCULO MORTERO'!I240+'BLAZE SHIELD II'!$H$6)*LN(J240))+('BLAZE SHIELD II'!$H$7*('CALCULO MORTERO'!I240^2)+'BLAZE SHIELD II'!$H$8*'CALCULO MORTERO'!I240+'BLAZE SHIELD II'!$H$9)),0)+IF(AND(L240="Blaze Shield II",M240="Software Idiem",C240="C"),((('BLAZE SHIELD II'!$L$4*('CALCULO MORTERO'!I240^2)+'BLAZE SHIELD II'!$L$5*'CALCULO MORTERO'!I240+'BLAZE SHIELD II'!$L$6)*LN(J240))+('BLAZE SHIELD II'!$L$7*('CALCULO MORTERO'!I240^2)+'BLAZE SHIELD II'!$L$8*'CALCULO MORTERO'!I240+'BLAZE SHIELD II'!$L$9)),0)+IF(AND(L240="Blaze Shield II",M240="Software Idiem",C240="L"),((('BLAZE SHIELD II'!$L$4*('CALCULO MORTERO'!I240^2)+'BLAZE SHIELD II'!$L$5*'CALCULO MORTERO'!I240+'BLAZE SHIELD II'!$L$6)*LN(J240))+('BLAZE SHIELD II'!$L$7*('CALCULO MORTERO'!I240^2)+'BLAZE SHIELD II'!$L$8*'CALCULO MORTERO'!I240+'BLAZE SHIELD II'!$L$9)),0)+IF(AND(L240="Blaze Shield II",M240="Software Idiem",C240="IN",G240=3),((('BLAZE SHIELD II'!$H$14*('CALCULO MORTERO'!I240^2)+'BLAZE SHIELD II'!$H$15*'CALCULO MORTERO'!I240+'BLAZE SHIELD II'!$H$16)*LN(J240))+('BLAZE SHIELD II'!$H$17*('CALCULO MORTERO'!I240^2)+'BLAZE SHIELD II'!$H$18*'CALCULO MORTERO'!I240+'BLAZE SHIELD II'!$H$19)),0),0)+ROUND(IF(AND(L240="Cafco 400",M240="Software Idiem",C240="IN",G240=4),((('CAFCO 400 '!$H$7*(J240^4)+'CAFCO 400 '!$H$8*(J240^3)+'CAFCO 400 '!$H$9*(J240^2)+'CAFCO 400 '!$H$10*J240+'CAFCO 400 '!$H$11)*U240^2)+(('CAFCO 400 '!$H$12*(J240^3)+'CAFCO 400 '!$H$13*(J240^2)+'CAFCO 400 '!$H$14*J240+'CAFCO 400 '!$H$15)*U240)+('CAFCO 400 '!$H$16*(J240^2)+'CAFCO 400 '!$H$17*J240+'CAFCO 400 '!$H$18)),0)+IF(AND(L240="Cafco 400",M240="Software Idiem",C240="Cj"),(((('CAFCO 400 '!$D$7*LN(J240)+'CAFCO 400 '!$D$8)*U240^2)+(('CAFCO 400 '!$D$9*LN(J240)+'CAFCO 400 '!$D$10)*U240)+('CAFCO 400 '!$D$11*LN(J240)+'CAFCO 400 '!$D$12))),0)+IF(AND(L240="Cafco 400",M240="Software Idiem",C240="C"),((('CAFCO 400 '!$L$7*(J240^3)+'CAFCO 400 '!$L$8*(J240^2)+'CAFCO 400 '!$L$9*J240+'CAFCO 400 '!$L$10)*U240^2)+(('CAFCO 400 '!$L$11*(J240^3)+'CAFCO 400 '!$L$12*(J240^2)+'CAFCO 400 '!$L$13*J240+'CAFCO 400 '!$L$14)*U240)+('CAFCO 400 '!$L$15*LN(J240)+'CAFCO 400 '!$L$16)),0)+IF(AND(L240="Cafco 400",M240="Software Idiem",C240="L"),((('CAFCO 400 '!$L$7*(J240^3)+'CAFCO 400 '!$L$8*(J240^2)+'CAFCO 400 '!$L$9*J240+'CAFCO 400 '!$L$10)*U240^2)+(('CAFCO 400 '!$L$11*(J240^3)+'CAFCO 400 '!$L$12*(J240^2)+'CAFCO 400 '!$L$13*J240+'CAFCO 400 '!$L$14)*U240)+('CAFCO 400 '!$L$15*LN(J240)+'CAFCO 400 '!$L$16)),0)+IF(AND(L240="Cafco 400",M240="Software Idiem",C240="IN",G240=3),((('CAFCO 400 '!$D$23*(J240^2)+'CAFCO 400 '!$D$24*(J240)+'CAFCO 400 '!$D$25)*U240^2)+(('CAFCO 400 '!$D$26*(J240^2)+'CAFCO 400 '!$D$27*J240+'CAFCO 400 '!$D$28)*U240)+('CAFCO 400 '!$D$29*(J240^2)+'CAFCO 400 '!$D$30*J240+'CAFCO 400 '!$D$31)),0),0)+IF(AND(L240="Cafco 300",J240&gt;=95,J240&lt;=240,C240="Cj",I240=90),VLOOKUP(T240,'CAFCO 300 IDIEM TABLAS'!$B$4:$D$23,2,FALSE),0)+IF(AND(L240="Cafco 300",J240&gt;=95,J240&lt;=240,C240="Cj",I240=120),VLOOKUP(T240,'CAFCO 300 IDIEM TABLAS'!$B$4:$D$23,3,FALSE),0)+IF(AND(L240="Cafco 300",J240&gt;=95,J240&lt;=400,G240=3,C240="IN",I240=90),VLOOKUP(T240,'CAFCO 300 IDIEM TABLAS'!$F$4:$H$35,2,FALSE),0)+IF(AND(L240="Cafco 300",J240&gt;=95,J240&lt;=400,G240=3,C240="IN",I240=120),VLOOKUP(T240,'CAFCO 300 IDIEM TABLAS'!$F$4:$H$35,3,FALSE),0)+IF(AND(L240="Cafco 300",J240&gt;=95,J240&lt;=450,G240=4,C240="IN",I240=90),VLOOKUP(T240,'CAFCO 300 IDIEM TABLAS'!$J$4:$L$40,2,FALSE),0)+IF(AND(L240="Cafco 300",J240&gt;=95,J240&lt;=450,G240=4,C240="IN",I240=120),VLOOKUP(T240,'CAFCO 300 IDIEM TABLAS'!$J$4:$L$40,3,FALSE),0)+IF(AND(M240="Ensayo Idiem",L240="Cafco 400",C240="IN",G240=4,I240=90),VLOOKUP(T240,'CAFCO 400 ENSAYO'!$B$7:$D$43,2,FALSE),0)+IF(AND(M240="Ensayo Idiem",L240="Cafco 400",C240="IN",G240=4,I240=120),VLOOKUP(T240,'CAFCO 400 ENSAYO'!$B$7:$D$43,3,FALSE),0)</f>
        <v>0</v>
      </c>
      <c r="O240" s="96">
        <f t="shared" si="27"/>
        <v>0</v>
      </c>
      <c r="P240" s="95" t="str">
        <f t="shared" si="28"/>
        <v>N/A</v>
      </c>
      <c r="Q240" s="95" t="str">
        <f t="shared" si="29"/>
        <v>N/A</v>
      </c>
      <c r="R240" s="95" t="str">
        <f t="shared" si="30"/>
        <v>NO CERT.</v>
      </c>
      <c r="S240" s="95" t="e">
        <f t="shared" si="25"/>
        <v>#N/A</v>
      </c>
      <c r="T240" s="119" t="e">
        <f>+IF(J240=LOOKUP(J240,'CAFCO 300 IDIEM TABLAS'!$J$4:$J$40),'CALCULO MORTERO'!J240,MROUND('CALCULO MORTERO'!J240,10))</f>
        <v>#N/A</v>
      </c>
      <c r="U240" s="118">
        <f t="shared" si="26"/>
        <v>0</v>
      </c>
      <c r="Y240" s="4"/>
      <c r="Z240" s="4"/>
      <c r="AA240" s="4"/>
    </row>
    <row r="241" spans="1:27" x14ac:dyDescent="0.25">
      <c r="A241" s="118">
        <f>+CUBICACION!D235</f>
        <v>0</v>
      </c>
      <c r="B241" s="819">
        <f>+CUBICACION!E235</f>
        <v>0</v>
      </c>
      <c r="C241" s="675">
        <f>+CUBICACION!F235</f>
        <v>0</v>
      </c>
      <c r="D241" s="118"/>
      <c r="E241" s="118"/>
      <c r="F241" s="820"/>
      <c r="G241" s="675">
        <f>+CUBICACION!J235</f>
        <v>0</v>
      </c>
      <c r="H241" s="118"/>
      <c r="I241" s="821">
        <f>+CUBICACION!L235</f>
        <v>0</v>
      </c>
      <c r="J241" s="64">
        <f>+CUBICACION!M235</f>
        <v>0</v>
      </c>
      <c r="K241" s="822" t="str">
        <f>+CUBICACION!N235</f>
        <v/>
      </c>
      <c r="L241" s="118">
        <f>+CUBICACION!O235</f>
        <v>0</v>
      </c>
      <c r="M241" s="823">
        <f>+CUBICACION!P235</f>
        <v>0</v>
      </c>
      <c r="N241" s="902">
        <f>ROUND(IF(AND(L241="Blaze Shield II",M241="Software Idiem",C241="IN",G241=4),((('BLAZE SHIELD II'!$D$4*('CALCULO MORTERO'!I241^2)+'BLAZE SHIELD II'!$D$5*'CALCULO MORTERO'!I241+'BLAZE SHIELD II'!$D$6)*LN(J241))+('BLAZE SHIELD II'!$D$7*('CALCULO MORTERO'!I241^2)+'BLAZE SHIELD II'!$D$8*'CALCULO MORTERO'!I241+'BLAZE SHIELD II'!$D$9)),0)+IF(AND(L241="Blaze Shield II",M241="Software Idiem",C241="Cj"),((('BLAZE SHIELD II'!$H$4*('CALCULO MORTERO'!I241^2)+'BLAZE SHIELD II'!$H$5*'CALCULO MORTERO'!I241+'BLAZE SHIELD II'!$H$6)*LN(J241))+('BLAZE SHIELD II'!$H$7*('CALCULO MORTERO'!I241^2)+'BLAZE SHIELD II'!$H$8*'CALCULO MORTERO'!I241+'BLAZE SHIELD II'!$H$9)),0)+IF(AND(L241="Blaze Shield II",M241="Software Idiem",C241="C"),((('BLAZE SHIELD II'!$L$4*('CALCULO MORTERO'!I241^2)+'BLAZE SHIELD II'!$L$5*'CALCULO MORTERO'!I241+'BLAZE SHIELD II'!$L$6)*LN(J241))+('BLAZE SHIELD II'!$L$7*('CALCULO MORTERO'!I241^2)+'BLAZE SHIELD II'!$L$8*'CALCULO MORTERO'!I241+'BLAZE SHIELD II'!$L$9)),0)+IF(AND(L241="Blaze Shield II",M241="Software Idiem",C241="L"),((('BLAZE SHIELD II'!$L$4*('CALCULO MORTERO'!I241^2)+'BLAZE SHIELD II'!$L$5*'CALCULO MORTERO'!I241+'BLAZE SHIELD II'!$L$6)*LN(J241))+('BLAZE SHIELD II'!$L$7*('CALCULO MORTERO'!I241^2)+'BLAZE SHIELD II'!$L$8*'CALCULO MORTERO'!I241+'BLAZE SHIELD II'!$L$9)),0)+IF(AND(L241="Blaze Shield II",M241="Software Idiem",C241="IN",G241=3),((('BLAZE SHIELD II'!$H$14*('CALCULO MORTERO'!I241^2)+'BLAZE SHIELD II'!$H$15*'CALCULO MORTERO'!I241+'BLAZE SHIELD II'!$H$16)*LN(J241))+('BLAZE SHIELD II'!$H$17*('CALCULO MORTERO'!I241^2)+'BLAZE SHIELD II'!$H$18*'CALCULO MORTERO'!I241+'BLAZE SHIELD II'!$H$19)),0),0)+ROUND(IF(AND(L241="Cafco 400",M241="Software Idiem",C241="IN",G241=4),((('CAFCO 400 '!$H$7*(J241^4)+'CAFCO 400 '!$H$8*(J241^3)+'CAFCO 400 '!$H$9*(J241^2)+'CAFCO 400 '!$H$10*J241+'CAFCO 400 '!$H$11)*U241^2)+(('CAFCO 400 '!$H$12*(J241^3)+'CAFCO 400 '!$H$13*(J241^2)+'CAFCO 400 '!$H$14*J241+'CAFCO 400 '!$H$15)*U241)+('CAFCO 400 '!$H$16*(J241^2)+'CAFCO 400 '!$H$17*J241+'CAFCO 400 '!$H$18)),0)+IF(AND(L241="Cafco 400",M241="Software Idiem",C241="Cj"),(((('CAFCO 400 '!$D$7*LN(J241)+'CAFCO 400 '!$D$8)*U241^2)+(('CAFCO 400 '!$D$9*LN(J241)+'CAFCO 400 '!$D$10)*U241)+('CAFCO 400 '!$D$11*LN(J241)+'CAFCO 400 '!$D$12))),0)+IF(AND(L241="Cafco 400",M241="Software Idiem",C241="C"),((('CAFCO 400 '!$L$7*(J241^3)+'CAFCO 400 '!$L$8*(J241^2)+'CAFCO 400 '!$L$9*J241+'CAFCO 400 '!$L$10)*U241^2)+(('CAFCO 400 '!$L$11*(J241^3)+'CAFCO 400 '!$L$12*(J241^2)+'CAFCO 400 '!$L$13*J241+'CAFCO 400 '!$L$14)*U241)+('CAFCO 400 '!$L$15*LN(J241)+'CAFCO 400 '!$L$16)),0)+IF(AND(L241="Cafco 400",M241="Software Idiem",C241="L"),((('CAFCO 400 '!$L$7*(J241^3)+'CAFCO 400 '!$L$8*(J241^2)+'CAFCO 400 '!$L$9*J241+'CAFCO 400 '!$L$10)*U241^2)+(('CAFCO 400 '!$L$11*(J241^3)+'CAFCO 400 '!$L$12*(J241^2)+'CAFCO 400 '!$L$13*J241+'CAFCO 400 '!$L$14)*U241)+('CAFCO 400 '!$L$15*LN(J241)+'CAFCO 400 '!$L$16)),0)+IF(AND(L241="Cafco 400",M241="Software Idiem",C241="IN",G241=3),((('CAFCO 400 '!$D$23*(J241^2)+'CAFCO 400 '!$D$24*(J241)+'CAFCO 400 '!$D$25)*U241^2)+(('CAFCO 400 '!$D$26*(J241^2)+'CAFCO 400 '!$D$27*J241+'CAFCO 400 '!$D$28)*U241)+('CAFCO 400 '!$D$29*(J241^2)+'CAFCO 400 '!$D$30*J241+'CAFCO 400 '!$D$31)),0),0)+IF(AND(L241="Cafco 300",J241&gt;=95,J241&lt;=240,C241="Cj",I241=90),VLOOKUP(T241,'CAFCO 300 IDIEM TABLAS'!$B$4:$D$23,2,FALSE),0)+IF(AND(L241="Cafco 300",J241&gt;=95,J241&lt;=240,C241="Cj",I241=120),VLOOKUP(T241,'CAFCO 300 IDIEM TABLAS'!$B$4:$D$23,3,FALSE),0)+IF(AND(L241="Cafco 300",J241&gt;=95,J241&lt;=400,G241=3,C241="IN",I241=90),VLOOKUP(T241,'CAFCO 300 IDIEM TABLAS'!$F$4:$H$35,2,FALSE),0)+IF(AND(L241="Cafco 300",J241&gt;=95,J241&lt;=400,G241=3,C241="IN",I241=120),VLOOKUP(T241,'CAFCO 300 IDIEM TABLAS'!$F$4:$H$35,3,FALSE),0)+IF(AND(L241="Cafco 300",J241&gt;=95,J241&lt;=450,G241=4,C241="IN",I241=90),VLOOKUP(T241,'CAFCO 300 IDIEM TABLAS'!$J$4:$L$40,2,FALSE),0)+IF(AND(L241="Cafco 300",J241&gt;=95,J241&lt;=450,G241=4,C241="IN",I241=120),VLOOKUP(T241,'CAFCO 300 IDIEM TABLAS'!$J$4:$L$40,3,FALSE),0)+IF(AND(M241="Ensayo Idiem",L241="Cafco 400",C241="IN",G241=4,I241=90),VLOOKUP(T241,'CAFCO 400 ENSAYO'!$B$7:$D$43,2,FALSE),0)+IF(AND(M241="Ensayo Idiem",L241="Cafco 400",C241="IN",G241=4,I241=120),VLOOKUP(T241,'CAFCO 400 ENSAYO'!$B$7:$D$43,3,FALSE),0)</f>
        <v>0</v>
      </c>
      <c r="O241" s="96">
        <f t="shared" si="27"/>
        <v>0</v>
      </c>
      <c r="P241" s="95" t="str">
        <f t="shared" si="28"/>
        <v>N/A</v>
      </c>
      <c r="Q241" s="95" t="str">
        <f t="shared" si="29"/>
        <v>N/A</v>
      </c>
      <c r="R241" s="95" t="str">
        <f t="shared" si="30"/>
        <v>NO CERT.</v>
      </c>
      <c r="S241" s="95" t="e">
        <f t="shared" si="25"/>
        <v>#N/A</v>
      </c>
      <c r="T241" s="119" t="e">
        <f>+IF(J241=LOOKUP(J241,'CAFCO 300 IDIEM TABLAS'!$J$4:$J$40),'CALCULO MORTERO'!J241,MROUND('CALCULO MORTERO'!J241,10))</f>
        <v>#N/A</v>
      </c>
      <c r="U241" s="118">
        <f t="shared" si="26"/>
        <v>0</v>
      </c>
      <c r="Y241" s="4"/>
      <c r="Z241" s="4"/>
      <c r="AA241" s="4"/>
    </row>
    <row r="242" spans="1:27" ht="15.6" customHeight="1" x14ac:dyDescent="0.25">
      <c r="A242" s="118">
        <f>+CUBICACION!D236</f>
        <v>0</v>
      </c>
      <c r="B242" s="819">
        <f>+CUBICACION!E236</f>
        <v>0</v>
      </c>
      <c r="C242" s="675">
        <f>+CUBICACION!F236</f>
        <v>0</v>
      </c>
      <c r="D242" s="118"/>
      <c r="E242" s="118"/>
      <c r="F242" s="820"/>
      <c r="G242" s="675">
        <f>+CUBICACION!J236</f>
        <v>0</v>
      </c>
      <c r="H242" s="118"/>
      <c r="I242" s="821">
        <f>+CUBICACION!L236</f>
        <v>0</v>
      </c>
      <c r="J242" s="64">
        <f>+CUBICACION!M236</f>
        <v>0</v>
      </c>
      <c r="K242" s="822" t="str">
        <f>+CUBICACION!N236</f>
        <v/>
      </c>
      <c r="L242" s="118">
        <f>+CUBICACION!O236</f>
        <v>0</v>
      </c>
      <c r="M242" s="823">
        <f>+CUBICACION!P236</f>
        <v>0</v>
      </c>
      <c r="N242" s="902">
        <f>ROUND(IF(AND(L242="Blaze Shield II",M242="Software Idiem",C242="IN",G242=4),((('BLAZE SHIELD II'!$D$4*('CALCULO MORTERO'!I242^2)+'BLAZE SHIELD II'!$D$5*'CALCULO MORTERO'!I242+'BLAZE SHIELD II'!$D$6)*LN(J242))+('BLAZE SHIELD II'!$D$7*('CALCULO MORTERO'!I242^2)+'BLAZE SHIELD II'!$D$8*'CALCULO MORTERO'!I242+'BLAZE SHIELD II'!$D$9)),0)+IF(AND(L242="Blaze Shield II",M242="Software Idiem",C242="Cj"),((('BLAZE SHIELD II'!$H$4*('CALCULO MORTERO'!I242^2)+'BLAZE SHIELD II'!$H$5*'CALCULO MORTERO'!I242+'BLAZE SHIELD II'!$H$6)*LN(J242))+('BLAZE SHIELD II'!$H$7*('CALCULO MORTERO'!I242^2)+'BLAZE SHIELD II'!$H$8*'CALCULO MORTERO'!I242+'BLAZE SHIELD II'!$H$9)),0)+IF(AND(L242="Blaze Shield II",M242="Software Idiem",C242="C"),((('BLAZE SHIELD II'!$L$4*('CALCULO MORTERO'!I242^2)+'BLAZE SHIELD II'!$L$5*'CALCULO MORTERO'!I242+'BLAZE SHIELD II'!$L$6)*LN(J242))+('BLAZE SHIELD II'!$L$7*('CALCULO MORTERO'!I242^2)+'BLAZE SHIELD II'!$L$8*'CALCULO MORTERO'!I242+'BLAZE SHIELD II'!$L$9)),0)+IF(AND(L242="Blaze Shield II",M242="Software Idiem",C242="L"),((('BLAZE SHIELD II'!$L$4*('CALCULO MORTERO'!I242^2)+'BLAZE SHIELD II'!$L$5*'CALCULO MORTERO'!I242+'BLAZE SHIELD II'!$L$6)*LN(J242))+('BLAZE SHIELD II'!$L$7*('CALCULO MORTERO'!I242^2)+'BLAZE SHIELD II'!$L$8*'CALCULO MORTERO'!I242+'BLAZE SHIELD II'!$L$9)),0)+IF(AND(L242="Blaze Shield II",M242="Software Idiem",C242="IN",G242=3),((('BLAZE SHIELD II'!$H$14*('CALCULO MORTERO'!I242^2)+'BLAZE SHIELD II'!$H$15*'CALCULO MORTERO'!I242+'BLAZE SHIELD II'!$H$16)*LN(J242))+('BLAZE SHIELD II'!$H$17*('CALCULO MORTERO'!I242^2)+'BLAZE SHIELD II'!$H$18*'CALCULO MORTERO'!I242+'BLAZE SHIELD II'!$H$19)),0),0)+ROUND(IF(AND(L242="Cafco 400",M242="Software Idiem",C242="IN",G242=4),((('CAFCO 400 '!$H$7*(J242^4)+'CAFCO 400 '!$H$8*(J242^3)+'CAFCO 400 '!$H$9*(J242^2)+'CAFCO 400 '!$H$10*J242+'CAFCO 400 '!$H$11)*U242^2)+(('CAFCO 400 '!$H$12*(J242^3)+'CAFCO 400 '!$H$13*(J242^2)+'CAFCO 400 '!$H$14*J242+'CAFCO 400 '!$H$15)*U242)+('CAFCO 400 '!$H$16*(J242^2)+'CAFCO 400 '!$H$17*J242+'CAFCO 400 '!$H$18)),0)+IF(AND(L242="Cafco 400",M242="Software Idiem",C242="Cj"),(((('CAFCO 400 '!$D$7*LN(J242)+'CAFCO 400 '!$D$8)*U242^2)+(('CAFCO 400 '!$D$9*LN(J242)+'CAFCO 400 '!$D$10)*U242)+('CAFCO 400 '!$D$11*LN(J242)+'CAFCO 400 '!$D$12))),0)+IF(AND(L242="Cafco 400",M242="Software Idiem",C242="C"),((('CAFCO 400 '!$L$7*(J242^3)+'CAFCO 400 '!$L$8*(J242^2)+'CAFCO 400 '!$L$9*J242+'CAFCO 400 '!$L$10)*U242^2)+(('CAFCO 400 '!$L$11*(J242^3)+'CAFCO 400 '!$L$12*(J242^2)+'CAFCO 400 '!$L$13*J242+'CAFCO 400 '!$L$14)*U242)+('CAFCO 400 '!$L$15*LN(J242)+'CAFCO 400 '!$L$16)),0)+IF(AND(L242="Cafco 400",M242="Software Idiem",C242="L"),((('CAFCO 400 '!$L$7*(J242^3)+'CAFCO 400 '!$L$8*(J242^2)+'CAFCO 400 '!$L$9*J242+'CAFCO 400 '!$L$10)*U242^2)+(('CAFCO 400 '!$L$11*(J242^3)+'CAFCO 400 '!$L$12*(J242^2)+'CAFCO 400 '!$L$13*J242+'CAFCO 400 '!$L$14)*U242)+('CAFCO 400 '!$L$15*LN(J242)+'CAFCO 400 '!$L$16)),0)+IF(AND(L242="Cafco 400",M242="Software Idiem",C242="IN",G242=3),((('CAFCO 400 '!$D$23*(J242^2)+'CAFCO 400 '!$D$24*(J242)+'CAFCO 400 '!$D$25)*U242^2)+(('CAFCO 400 '!$D$26*(J242^2)+'CAFCO 400 '!$D$27*J242+'CAFCO 400 '!$D$28)*U242)+('CAFCO 400 '!$D$29*(J242^2)+'CAFCO 400 '!$D$30*J242+'CAFCO 400 '!$D$31)),0),0)+IF(AND(L242="Cafco 300",J242&gt;=95,J242&lt;=240,C242="Cj",I242=90),VLOOKUP(T242,'CAFCO 300 IDIEM TABLAS'!$B$4:$D$23,2,FALSE),0)+IF(AND(L242="Cafco 300",J242&gt;=95,J242&lt;=240,C242="Cj",I242=120),VLOOKUP(T242,'CAFCO 300 IDIEM TABLAS'!$B$4:$D$23,3,FALSE),0)+IF(AND(L242="Cafco 300",J242&gt;=95,J242&lt;=400,G242=3,C242="IN",I242=90),VLOOKUP(T242,'CAFCO 300 IDIEM TABLAS'!$F$4:$H$35,2,FALSE),0)+IF(AND(L242="Cafco 300",J242&gt;=95,J242&lt;=400,G242=3,C242="IN",I242=120),VLOOKUP(T242,'CAFCO 300 IDIEM TABLAS'!$F$4:$H$35,3,FALSE),0)+IF(AND(L242="Cafco 300",J242&gt;=95,J242&lt;=450,G242=4,C242="IN",I242=90),VLOOKUP(T242,'CAFCO 300 IDIEM TABLAS'!$J$4:$L$40,2,FALSE),0)+IF(AND(L242="Cafco 300",J242&gt;=95,J242&lt;=450,G242=4,C242="IN",I242=120),VLOOKUP(T242,'CAFCO 300 IDIEM TABLAS'!$J$4:$L$40,3,FALSE),0)+IF(AND(M242="Ensayo Idiem",L242="Cafco 400",C242="IN",G242=4,I242=90),VLOOKUP(T242,'CAFCO 400 ENSAYO'!$B$7:$D$43,2,FALSE),0)+IF(AND(M242="Ensayo Idiem",L242="Cafco 400",C242="IN",G242=4,I242=120),VLOOKUP(T242,'CAFCO 400 ENSAYO'!$B$7:$D$43,3,FALSE),0)</f>
        <v>0</v>
      </c>
      <c r="O242" s="96">
        <f t="shared" si="27"/>
        <v>0</v>
      </c>
      <c r="P242" s="95" t="str">
        <f t="shared" si="28"/>
        <v>N/A</v>
      </c>
      <c r="Q242" s="95" t="str">
        <f t="shared" si="29"/>
        <v>N/A</v>
      </c>
      <c r="R242" s="95" t="str">
        <f t="shared" si="30"/>
        <v>NO CERT.</v>
      </c>
      <c r="S242" s="95" t="e">
        <f t="shared" si="25"/>
        <v>#N/A</v>
      </c>
      <c r="T242" s="119" t="e">
        <f>+IF(J242=LOOKUP(J242,'CAFCO 300 IDIEM TABLAS'!$J$4:$J$40),'CALCULO MORTERO'!J242,MROUND('CALCULO MORTERO'!J242,10))</f>
        <v>#N/A</v>
      </c>
      <c r="U242" s="118">
        <f t="shared" si="26"/>
        <v>0</v>
      </c>
      <c r="Y242" s="4"/>
      <c r="Z242" s="4"/>
      <c r="AA242" s="4"/>
    </row>
    <row r="243" spans="1:27" x14ac:dyDescent="0.25">
      <c r="A243" s="118">
        <f>+CUBICACION!D237</f>
        <v>0</v>
      </c>
      <c r="B243" s="819">
        <f>+CUBICACION!E237</f>
        <v>0</v>
      </c>
      <c r="C243" s="675">
        <f>+CUBICACION!F237</f>
        <v>0</v>
      </c>
      <c r="D243" s="118"/>
      <c r="E243" s="118"/>
      <c r="F243" s="820"/>
      <c r="G243" s="675">
        <f>+CUBICACION!J237</f>
        <v>0</v>
      </c>
      <c r="H243" s="118"/>
      <c r="I243" s="821">
        <f>+CUBICACION!L237</f>
        <v>0</v>
      </c>
      <c r="J243" s="64">
        <f>+CUBICACION!M237</f>
        <v>0</v>
      </c>
      <c r="K243" s="822" t="str">
        <f>+CUBICACION!N237</f>
        <v/>
      </c>
      <c r="L243" s="118">
        <f>+CUBICACION!O237</f>
        <v>0</v>
      </c>
      <c r="M243" s="823">
        <f>+CUBICACION!P237</f>
        <v>0</v>
      </c>
      <c r="N243" s="902">
        <f>ROUND(IF(AND(L243="Blaze Shield II",M243="Software Idiem",C243="IN",G243=4),((('BLAZE SHIELD II'!$D$4*('CALCULO MORTERO'!I243^2)+'BLAZE SHIELD II'!$D$5*'CALCULO MORTERO'!I243+'BLAZE SHIELD II'!$D$6)*LN(J243))+('BLAZE SHIELD II'!$D$7*('CALCULO MORTERO'!I243^2)+'BLAZE SHIELD II'!$D$8*'CALCULO MORTERO'!I243+'BLAZE SHIELD II'!$D$9)),0)+IF(AND(L243="Blaze Shield II",M243="Software Idiem",C243="Cj"),((('BLAZE SHIELD II'!$H$4*('CALCULO MORTERO'!I243^2)+'BLAZE SHIELD II'!$H$5*'CALCULO MORTERO'!I243+'BLAZE SHIELD II'!$H$6)*LN(J243))+('BLAZE SHIELD II'!$H$7*('CALCULO MORTERO'!I243^2)+'BLAZE SHIELD II'!$H$8*'CALCULO MORTERO'!I243+'BLAZE SHIELD II'!$H$9)),0)+IF(AND(L243="Blaze Shield II",M243="Software Idiem",C243="C"),((('BLAZE SHIELD II'!$L$4*('CALCULO MORTERO'!I243^2)+'BLAZE SHIELD II'!$L$5*'CALCULO MORTERO'!I243+'BLAZE SHIELD II'!$L$6)*LN(J243))+('BLAZE SHIELD II'!$L$7*('CALCULO MORTERO'!I243^2)+'BLAZE SHIELD II'!$L$8*'CALCULO MORTERO'!I243+'BLAZE SHIELD II'!$L$9)),0)+IF(AND(L243="Blaze Shield II",M243="Software Idiem",C243="L"),((('BLAZE SHIELD II'!$L$4*('CALCULO MORTERO'!I243^2)+'BLAZE SHIELD II'!$L$5*'CALCULO MORTERO'!I243+'BLAZE SHIELD II'!$L$6)*LN(J243))+('BLAZE SHIELD II'!$L$7*('CALCULO MORTERO'!I243^2)+'BLAZE SHIELD II'!$L$8*'CALCULO MORTERO'!I243+'BLAZE SHIELD II'!$L$9)),0)+IF(AND(L243="Blaze Shield II",M243="Software Idiem",C243="IN",G243=3),((('BLAZE SHIELD II'!$H$14*('CALCULO MORTERO'!I243^2)+'BLAZE SHIELD II'!$H$15*'CALCULO MORTERO'!I243+'BLAZE SHIELD II'!$H$16)*LN(J243))+('BLAZE SHIELD II'!$H$17*('CALCULO MORTERO'!I243^2)+'BLAZE SHIELD II'!$H$18*'CALCULO MORTERO'!I243+'BLAZE SHIELD II'!$H$19)),0),0)+ROUND(IF(AND(L243="Cafco 400",M243="Software Idiem",C243="IN",G243=4),((('CAFCO 400 '!$H$7*(J243^4)+'CAFCO 400 '!$H$8*(J243^3)+'CAFCO 400 '!$H$9*(J243^2)+'CAFCO 400 '!$H$10*J243+'CAFCO 400 '!$H$11)*U243^2)+(('CAFCO 400 '!$H$12*(J243^3)+'CAFCO 400 '!$H$13*(J243^2)+'CAFCO 400 '!$H$14*J243+'CAFCO 400 '!$H$15)*U243)+('CAFCO 400 '!$H$16*(J243^2)+'CAFCO 400 '!$H$17*J243+'CAFCO 400 '!$H$18)),0)+IF(AND(L243="Cafco 400",M243="Software Idiem",C243="Cj"),(((('CAFCO 400 '!$D$7*LN(J243)+'CAFCO 400 '!$D$8)*U243^2)+(('CAFCO 400 '!$D$9*LN(J243)+'CAFCO 400 '!$D$10)*U243)+('CAFCO 400 '!$D$11*LN(J243)+'CAFCO 400 '!$D$12))),0)+IF(AND(L243="Cafco 400",M243="Software Idiem",C243="C"),((('CAFCO 400 '!$L$7*(J243^3)+'CAFCO 400 '!$L$8*(J243^2)+'CAFCO 400 '!$L$9*J243+'CAFCO 400 '!$L$10)*U243^2)+(('CAFCO 400 '!$L$11*(J243^3)+'CAFCO 400 '!$L$12*(J243^2)+'CAFCO 400 '!$L$13*J243+'CAFCO 400 '!$L$14)*U243)+('CAFCO 400 '!$L$15*LN(J243)+'CAFCO 400 '!$L$16)),0)+IF(AND(L243="Cafco 400",M243="Software Idiem",C243="L"),((('CAFCO 400 '!$L$7*(J243^3)+'CAFCO 400 '!$L$8*(J243^2)+'CAFCO 400 '!$L$9*J243+'CAFCO 400 '!$L$10)*U243^2)+(('CAFCO 400 '!$L$11*(J243^3)+'CAFCO 400 '!$L$12*(J243^2)+'CAFCO 400 '!$L$13*J243+'CAFCO 400 '!$L$14)*U243)+('CAFCO 400 '!$L$15*LN(J243)+'CAFCO 400 '!$L$16)),0)+IF(AND(L243="Cafco 400",M243="Software Idiem",C243="IN",G243=3),((('CAFCO 400 '!$D$23*(J243^2)+'CAFCO 400 '!$D$24*(J243)+'CAFCO 400 '!$D$25)*U243^2)+(('CAFCO 400 '!$D$26*(J243^2)+'CAFCO 400 '!$D$27*J243+'CAFCO 400 '!$D$28)*U243)+('CAFCO 400 '!$D$29*(J243^2)+'CAFCO 400 '!$D$30*J243+'CAFCO 400 '!$D$31)),0),0)+IF(AND(L243="Cafco 300",J243&gt;=95,J243&lt;=240,C243="Cj",I243=90),VLOOKUP(T243,'CAFCO 300 IDIEM TABLAS'!$B$4:$D$23,2,FALSE),0)+IF(AND(L243="Cafco 300",J243&gt;=95,J243&lt;=240,C243="Cj",I243=120),VLOOKUP(T243,'CAFCO 300 IDIEM TABLAS'!$B$4:$D$23,3,FALSE),0)+IF(AND(L243="Cafco 300",J243&gt;=95,J243&lt;=400,G243=3,C243="IN",I243=90),VLOOKUP(T243,'CAFCO 300 IDIEM TABLAS'!$F$4:$H$35,2,FALSE),0)+IF(AND(L243="Cafco 300",J243&gt;=95,J243&lt;=400,G243=3,C243="IN",I243=120),VLOOKUP(T243,'CAFCO 300 IDIEM TABLAS'!$F$4:$H$35,3,FALSE),0)+IF(AND(L243="Cafco 300",J243&gt;=95,J243&lt;=450,G243=4,C243="IN",I243=90),VLOOKUP(T243,'CAFCO 300 IDIEM TABLAS'!$J$4:$L$40,2,FALSE),0)+IF(AND(L243="Cafco 300",J243&gt;=95,J243&lt;=450,G243=4,C243="IN",I243=120),VLOOKUP(T243,'CAFCO 300 IDIEM TABLAS'!$J$4:$L$40,3,FALSE),0)+IF(AND(M243="Ensayo Idiem",L243="Cafco 400",C243="IN",G243=4,I243=90),VLOOKUP(T243,'CAFCO 400 ENSAYO'!$B$7:$D$43,2,FALSE),0)+IF(AND(M243="Ensayo Idiem",L243="Cafco 400",C243="IN",G243=4,I243=120),VLOOKUP(T243,'CAFCO 400 ENSAYO'!$B$7:$D$43,3,FALSE),0)</f>
        <v>0</v>
      </c>
      <c r="O243" s="96">
        <f t="shared" si="27"/>
        <v>0</v>
      </c>
      <c r="P243" s="95" t="str">
        <f t="shared" si="28"/>
        <v>N/A</v>
      </c>
      <c r="Q243" s="95" t="str">
        <f t="shared" si="29"/>
        <v>N/A</v>
      </c>
      <c r="R243" s="95" t="str">
        <f t="shared" si="30"/>
        <v>NO CERT.</v>
      </c>
      <c r="S243" s="95" t="e">
        <f t="shared" si="25"/>
        <v>#N/A</v>
      </c>
      <c r="T243" s="119" t="e">
        <f>+IF(J243=LOOKUP(J243,'CAFCO 300 IDIEM TABLAS'!$J$4:$J$40),'CALCULO MORTERO'!J243,MROUND('CALCULO MORTERO'!J243,10))</f>
        <v>#N/A</v>
      </c>
      <c r="U243" s="118">
        <f t="shared" si="26"/>
        <v>0</v>
      </c>
      <c r="Y243" s="4"/>
      <c r="Z243" s="4"/>
      <c r="AA243" s="4"/>
    </row>
    <row r="244" spans="1:27" ht="15.6" customHeight="1" x14ac:dyDescent="0.25">
      <c r="A244" s="118">
        <f>+CUBICACION!D238</f>
        <v>0</v>
      </c>
      <c r="B244" s="819">
        <f>+CUBICACION!E238</f>
        <v>0</v>
      </c>
      <c r="C244" s="675">
        <f>+CUBICACION!F238</f>
        <v>0</v>
      </c>
      <c r="D244" s="118"/>
      <c r="E244" s="118"/>
      <c r="F244" s="820"/>
      <c r="G244" s="675">
        <f>+CUBICACION!J238</f>
        <v>0</v>
      </c>
      <c r="H244" s="118"/>
      <c r="I244" s="821">
        <f>+CUBICACION!L238</f>
        <v>0</v>
      </c>
      <c r="J244" s="64">
        <f>+CUBICACION!M238</f>
        <v>0</v>
      </c>
      <c r="K244" s="822" t="str">
        <f>+CUBICACION!N238</f>
        <v/>
      </c>
      <c r="L244" s="118">
        <f>+CUBICACION!O238</f>
        <v>0</v>
      </c>
      <c r="M244" s="823">
        <f>+CUBICACION!P238</f>
        <v>0</v>
      </c>
      <c r="N244" s="902">
        <f>ROUND(IF(AND(L244="Blaze Shield II",M244="Software Idiem",C244="IN",G244=4),((('BLAZE SHIELD II'!$D$4*('CALCULO MORTERO'!I244^2)+'BLAZE SHIELD II'!$D$5*'CALCULO MORTERO'!I244+'BLAZE SHIELD II'!$D$6)*LN(J244))+('BLAZE SHIELD II'!$D$7*('CALCULO MORTERO'!I244^2)+'BLAZE SHIELD II'!$D$8*'CALCULO MORTERO'!I244+'BLAZE SHIELD II'!$D$9)),0)+IF(AND(L244="Blaze Shield II",M244="Software Idiem",C244="Cj"),((('BLAZE SHIELD II'!$H$4*('CALCULO MORTERO'!I244^2)+'BLAZE SHIELD II'!$H$5*'CALCULO MORTERO'!I244+'BLAZE SHIELD II'!$H$6)*LN(J244))+('BLAZE SHIELD II'!$H$7*('CALCULO MORTERO'!I244^2)+'BLAZE SHIELD II'!$H$8*'CALCULO MORTERO'!I244+'BLAZE SHIELD II'!$H$9)),0)+IF(AND(L244="Blaze Shield II",M244="Software Idiem",C244="C"),((('BLAZE SHIELD II'!$L$4*('CALCULO MORTERO'!I244^2)+'BLAZE SHIELD II'!$L$5*'CALCULO MORTERO'!I244+'BLAZE SHIELD II'!$L$6)*LN(J244))+('BLAZE SHIELD II'!$L$7*('CALCULO MORTERO'!I244^2)+'BLAZE SHIELD II'!$L$8*'CALCULO MORTERO'!I244+'BLAZE SHIELD II'!$L$9)),0)+IF(AND(L244="Blaze Shield II",M244="Software Idiem",C244="L"),((('BLAZE SHIELD II'!$L$4*('CALCULO MORTERO'!I244^2)+'BLAZE SHIELD II'!$L$5*'CALCULO MORTERO'!I244+'BLAZE SHIELD II'!$L$6)*LN(J244))+('BLAZE SHIELD II'!$L$7*('CALCULO MORTERO'!I244^2)+'BLAZE SHIELD II'!$L$8*'CALCULO MORTERO'!I244+'BLAZE SHIELD II'!$L$9)),0)+IF(AND(L244="Blaze Shield II",M244="Software Idiem",C244="IN",G244=3),((('BLAZE SHIELD II'!$H$14*('CALCULO MORTERO'!I244^2)+'BLAZE SHIELD II'!$H$15*'CALCULO MORTERO'!I244+'BLAZE SHIELD II'!$H$16)*LN(J244))+('BLAZE SHIELD II'!$H$17*('CALCULO MORTERO'!I244^2)+'BLAZE SHIELD II'!$H$18*'CALCULO MORTERO'!I244+'BLAZE SHIELD II'!$H$19)),0),0)+ROUND(IF(AND(L244="Cafco 400",M244="Software Idiem",C244="IN",G244=4),((('CAFCO 400 '!$H$7*(J244^4)+'CAFCO 400 '!$H$8*(J244^3)+'CAFCO 400 '!$H$9*(J244^2)+'CAFCO 400 '!$H$10*J244+'CAFCO 400 '!$H$11)*U244^2)+(('CAFCO 400 '!$H$12*(J244^3)+'CAFCO 400 '!$H$13*(J244^2)+'CAFCO 400 '!$H$14*J244+'CAFCO 400 '!$H$15)*U244)+('CAFCO 400 '!$H$16*(J244^2)+'CAFCO 400 '!$H$17*J244+'CAFCO 400 '!$H$18)),0)+IF(AND(L244="Cafco 400",M244="Software Idiem",C244="Cj"),(((('CAFCO 400 '!$D$7*LN(J244)+'CAFCO 400 '!$D$8)*U244^2)+(('CAFCO 400 '!$D$9*LN(J244)+'CAFCO 400 '!$D$10)*U244)+('CAFCO 400 '!$D$11*LN(J244)+'CAFCO 400 '!$D$12))),0)+IF(AND(L244="Cafco 400",M244="Software Idiem",C244="C"),((('CAFCO 400 '!$L$7*(J244^3)+'CAFCO 400 '!$L$8*(J244^2)+'CAFCO 400 '!$L$9*J244+'CAFCO 400 '!$L$10)*U244^2)+(('CAFCO 400 '!$L$11*(J244^3)+'CAFCO 400 '!$L$12*(J244^2)+'CAFCO 400 '!$L$13*J244+'CAFCO 400 '!$L$14)*U244)+('CAFCO 400 '!$L$15*LN(J244)+'CAFCO 400 '!$L$16)),0)+IF(AND(L244="Cafco 400",M244="Software Idiem",C244="L"),((('CAFCO 400 '!$L$7*(J244^3)+'CAFCO 400 '!$L$8*(J244^2)+'CAFCO 400 '!$L$9*J244+'CAFCO 400 '!$L$10)*U244^2)+(('CAFCO 400 '!$L$11*(J244^3)+'CAFCO 400 '!$L$12*(J244^2)+'CAFCO 400 '!$L$13*J244+'CAFCO 400 '!$L$14)*U244)+('CAFCO 400 '!$L$15*LN(J244)+'CAFCO 400 '!$L$16)),0)+IF(AND(L244="Cafco 400",M244="Software Idiem",C244="IN",G244=3),((('CAFCO 400 '!$D$23*(J244^2)+'CAFCO 400 '!$D$24*(J244)+'CAFCO 400 '!$D$25)*U244^2)+(('CAFCO 400 '!$D$26*(J244^2)+'CAFCO 400 '!$D$27*J244+'CAFCO 400 '!$D$28)*U244)+('CAFCO 400 '!$D$29*(J244^2)+'CAFCO 400 '!$D$30*J244+'CAFCO 400 '!$D$31)),0),0)+IF(AND(L244="Cafco 300",J244&gt;=95,J244&lt;=240,C244="Cj",I244=90),VLOOKUP(T244,'CAFCO 300 IDIEM TABLAS'!$B$4:$D$23,2,FALSE),0)+IF(AND(L244="Cafco 300",J244&gt;=95,J244&lt;=240,C244="Cj",I244=120),VLOOKUP(T244,'CAFCO 300 IDIEM TABLAS'!$B$4:$D$23,3,FALSE),0)+IF(AND(L244="Cafco 300",J244&gt;=95,J244&lt;=400,G244=3,C244="IN",I244=90),VLOOKUP(T244,'CAFCO 300 IDIEM TABLAS'!$F$4:$H$35,2,FALSE),0)+IF(AND(L244="Cafco 300",J244&gt;=95,J244&lt;=400,G244=3,C244="IN",I244=120),VLOOKUP(T244,'CAFCO 300 IDIEM TABLAS'!$F$4:$H$35,3,FALSE),0)+IF(AND(L244="Cafco 300",J244&gt;=95,J244&lt;=450,G244=4,C244="IN",I244=90),VLOOKUP(T244,'CAFCO 300 IDIEM TABLAS'!$J$4:$L$40,2,FALSE),0)+IF(AND(L244="Cafco 300",J244&gt;=95,J244&lt;=450,G244=4,C244="IN",I244=120),VLOOKUP(T244,'CAFCO 300 IDIEM TABLAS'!$J$4:$L$40,3,FALSE),0)+IF(AND(M244="Ensayo Idiem",L244="Cafco 400",C244="IN",G244=4,I244=90),VLOOKUP(T244,'CAFCO 400 ENSAYO'!$B$7:$D$43,2,FALSE),0)+IF(AND(M244="Ensayo Idiem",L244="Cafco 400",C244="IN",G244=4,I244=120),VLOOKUP(T244,'CAFCO 400 ENSAYO'!$B$7:$D$43,3,FALSE),0)</f>
        <v>0</v>
      </c>
      <c r="O244" s="96">
        <f t="shared" si="27"/>
        <v>0</v>
      </c>
      <c r="P244" s="95" t="str">
        <f t="shared" si="28"/>
        <v>N/A</v>
      </c>
      <c r="Q244" s="95" t="str">
        <f t="shared" si="29"/>
        <v>N/A</v>
      </c>
      <c r="R244" s="95" t="str">
        <f t="shared" si="30"/>
        <v>NO CERT.</v>
      </c>
      <c r="S244" s="95" t="e">
        <f t="shared" si="25"/>
        <v>#N/A</v>
      </c>
      <c r="T244" s="119" t="e">
        <f>+IF(J244=LOOKUP(J244,'CAFCO 300 IDIEM TABLAS'!$J$4:$J$40),'CALCULO MORTERO'!J244,MROUND('CALCULO MORTERO'!J244,10))</f>
        <v>#N/A</v>
      </c>
      <c r="U244" s="118">
        <f t="shared" si="26"/>
        <v>0</v>
      </c>
      <c r="Y244" s="4"/>
      <c r="Z244" s="4"/>
      <c r="AA244" s="4"/>
    </row>
    <row r="245" spans="1:27" x14ac:dyDescent="0.25">
      <c r="A245" s="118">
        <f>+CUBICACION!D239</f>
        <v>0</v>
      </c>
      <c r="B245" s="819">
        <f>+CUBICACION!E239</f>
        <v>0</v>
      </c>
      <c r="C245" s="675">
        <f>+CUBICACION!F239</f>
        <v>0</v>
      </c>
      <c r="D245" s="118"/>
      <c r="E245" s="118"/>
      <c r="F245" s="820"/>
      <c r="G245" s="675">
        <f>+CUBICACION!J239</f>
        <v>0</v>
      </c>
      <c r="H245" s="118"/>
      <c r="I245" s="821">
        <f>+CUBICACION!L239</f>
        <v>0</v>
      </c>
      <c r="J245" s="64">
        <f>+CUBICACION!M239</f>
        <v>0</v>
      </c>
      <c r="K245" s="822" t="str">
        <f>+CUBICACION!N239</f>
        <v/>
      </c>
      <c r="L245" s="118">
        <f>+CUBICACION!O239</f>
        <v>0</v>
      </c>
      <c r="M245" s="823">
        <f>+CUBICACION!P239</f>
        <v>0</v>
      </c>
      <c r="N245" s="902">
        <f>ROUND(IF(AND(L245="Blaze Shield II",M245="Software Idiem",C245="IN",G245=4),((('BLAZE SHIELD II'!$D$4*('CALCULO MORTERO'!I245^2)+'BLAZE SHIELD II'!$D$5*'CALCULO MORTERO'!I245+'BLAZE SHIELD II'!$D$6)*LN(J245))+('BLAZE SHIELD II'!$D$7*('CALCULO MORTERO'!I245^2)+'BLAZE SHIELD II'!$D$8*'CALCULO MORTERO'!I245+'BLAZE SHIELD II'!$D$9)),0)+IF(AND(L245="Blaze Shield II",M245="Software Idiem",C245="Cj"),((('BLAZE SHIELD II'!$H$4*('CALCULO MORTERO'!I245^2)+'BLAZE SHIELD II'!$H$5*'CALCULO MORTERO'!I245+'BLAZE SHIELD II'!$H$6)*LN(J245))+('BLAZE SHIELD II'!$H$7*('CALCULO MORTERO'!I245^2)+'BLAZE SHIELD II'!$H$8*'CALCULO MORTERO'!I245+'BLAZE SHIELD II'!$H$9)),0)+IF(AND(L245="Blaze Shield II",M245="Software Idiem",C245="C"),((('BLAZE SHIELD II'!$L$4*('CALCULO MORTERO'!I245^2)+'BLAZE SHIELD II'!$L$5*'CALCULO MORTERO'!I245+'BLAZE SHIELD II'!$L$6)*LN(J245))+('BLAZE SHIELD II'!$L$7*('CALCULO MORTERO'!I245^2)+'BLAZE SHIELD II'!$L$8*'CALCULO MORTERO'!I245+'BLAZE SHIELD II'!$L$9)),0)+IF(AND(L245="Blaze Shield II",M245="Software Idiem",C245="L"),((('BLAZE SHIELD II'!$L$4*('CALCULO MORTERO'!I245^2)+'BLAZE SHIELD II'!$L$5*'CALCULO MORTERO'!I245+'BLAZE SHIELD II'!$L$6)*LN(J245))+('BLAZE SHIELD II'!$L$7*('CALCULO MORTERO'!I245^2)+'BLAZE SHIELD II'!$L$8*'CALCULO MORTERO'!I245+'BLAZE SHIELD II'!$L$9)),0)+IF(AND(L245="Blaze Shield II",M245="Software Idiem",C245="IN",G245=3),((('BLAZE SHIELD II'!$H$14*('CALCULO MORTERO'!I245^2)+'BLAZE SHIELD II'!$H$15*'CALCULO MORTERO'!I245+'BLAZE SHIELD II'!$H$16)*LN(J245))+('BLAZE SHIELD II'!$H$17*('CALCULO MORTERO'!I245^2)+'BLAZE SHIELD II'!$H$18*'CALCULO MORTERO'!I245+'BLAZE SHIELD II'!$H$19)),0),0)+ROUND(IF(AND(L245="Cafco 400",M245="Software Idiem",C245="IN",G245=4),((('CAFCO 400 '!$H$7*(J245^4)+'CAFCO 400 '!$H$8*(J245^3)+'CAFCO 400 '!$H$9*(J245^2)+'CAFCO 400 '!$H$10*J245+'CAFCO 400 '!$H$11)*U245^2)+(('CAFCO 400 '!$H$12*(J245^3)+'CAFCO 400 '!$H$13*(J245^2)+'CAFCO 400 '!$H$14*J245+'CAFCO 400 '!$H$15)*U245)+('CAFCO 400 '!$H$16*(J245^2)+'CAFCO 400 '!$H$17*J245+'CAFCO 400 '!$H$18)),0)+IF(AND(L245="Cafco 400",M245="Software Idiem",C245="Cj"),(((('CAFCO 400 '!$D$7*LN(J245)+'CAFCO 400 '!$D$8)*U245^2)+(('CAFCO 400 '!$D$9*LN(J245)+'CAFCO 400 '!$D$10)*U245)+('CAFCO 400 '!$D$11*LN(J245)+'CAFCO 400 '!$D$12))),0)+IF(AND(L245="Cafco 400",M245="Software Idiem",C245="C"),((('CAFCO 400 '!$L$7*(J245^3)+'CAFCO 400 '!$L$8*(J245^2)+'CAFCO 400 '!$L$9*J245+'CAFCO 400 '!$L$10)*U245^2)+(('CAFCO 400 '!$L$11*(J245^3)+'CAFCO 400 '!$L$12*(J245^2)+'CAFCO 400 '!$L$13*J245+'CAFCO 400 '!$L$14)*U245)+('CAFCO 400 '!$L$15*LN(J245)+'CAFCO 400 '!$L$16)),0)+IF(AND(L245="Cafco 400",M245="Software Idiem",C245="L"),((('CAFCO 400 '!$L$7*(J245^3)+'CAFCO 400 '!$L$8*(J245^2)+'CAFCO 400 '!$L$9*J245+'CAFCO 400 '!$L$10)*U245^2)+(('CAFCO 400 '!$L$11*(J245^3)+'CAFCO 400 '!$L$12*(J245^2)+'CAFCO 400 '!$L$13*J245+'CAFCO 400 '!$L$14)*U245)+('CAFCO 400 '!$L$15*LN(J245)+'CAFCO 400 '!$L$16)),0)+IF(AND(L245="Cafco 400",M245="Software Idiem",C245="IN",G245=3),((('CAFCO 400 '!$D$23*(J245^2)+'CAFCO 400 '!$D$24*(J245)+'CAFCO 400 '!$D$25)*U245^2)+(('CAFCO 400 '!$D$26*(J245^2)+'CAFCO 400 '!$D$27*J245+'CAFCO 400 '!$D$28)*U245)+('CAFCO 400 '!$D$29*(J245^2)+'CAFCO 400 '!$D$30*J245+'CAFCO 400 '!$D$31)),0),0)+IF(AND(L245="Cafco 300",J245&gt;=95,J245&lt;=240,C245="Cj",I245=90),VLOOKUP(T245,'CAFCO 300 IDIEM TABLAS'!$B$4:$D$23,2,FALSE),0)+IF(AND(L245="Cafco 300",J245&gt;=95,J245&lt;=240,C245="Cj",I245=120),VLOOKUP(T245,'CAFCO 300 IDIEM TABLAS'!$B$4:$D$23,3,FALSE),0)+IF(AND(L245="Cafco 300",J245&gt;=95,J245&lt;=400,G245=3,C245="IN",I245=90),VLOOKUP(T245,'CAFCO 300 IDIEM TABLAS'!$F$4:$H$35,2,FALSE),0)+IF(AND(L245="Cafco 300",J245&gt;=95,J245&lt;=400,G245=3,C245="IN",I245=120),VLOOKUP(T245,'CAFCO 300 IDIEM TABLAS'!$F$4:$H$35,3,FALSE),0)+IF(AND(L245="Cafco 300",J245&gt;=95,J245&lt;=450,G245=4,C245="IN",I245=90),VLOOKUP(T245,'CAFCO 300 IDIEM TABLAS'!$J$4:$L$40,2,FALSE),0)+IF(AND(L245="Cafco 300",J245&gt;=95,J245&lt;=450,G245=4,C245="IN",I245=120),VLOOKUP(T245,'CAFCO 300 IDIEM TABLAS'!$J$4:$L$40,3,FALSE),0)+IF(AND(M245="Ensayo Idiem",L245="Cafco 400",C245="IN",G245=4,I245=90),VLOOKUP(T245,'CAFCO 400 ENSAYO'!$B$7:$D$43,2,FALSE),0)+IF(AND(M245="Ensayo Idiem",L245="Cafco 400",C245="IN",G245=4,I245=120),VLOOKUP(T245,'CAFCO 400 ENSAYO'!$B$7:$D$43,3,FALSE),0)</f>
        <v>0</v>
      </c>
      <c r="O245" s="96">
        <f t="shared" si="27"/>
        <v>0</v>
      </c>
      <c r="P245" s="95" t="str">
        <f t="shared" si="28"/>
        <v>N/A</v>
      </c>
      <c r="Q245" s="95" t="str">
        <f t="shared" si="29"/>
        <v>N/A</v>
      </c>
      <c r="R245" s="95" t="str">
        <f t="shared" si="30"/>
        <v>NO CERT.</v>
      </c>
      <c r="S245" s="95" t="e">
        <f t="shared" si="25"/>
        <v>#N/A</v>
      </c>
      <c r="T245" s="119" t="e">
        <f>+IF(J245=LOOKUP(J245,'CAFCO 300 IDIEM TABLAS'!$J$4:$J$40),'CALCULO MORTERO'!J245,MROUND('CALCULO MORTERO'!J245,10))</f>
        <v>#N/A</v>
      </c>
      <c r="U245" s="118">
        <f t="shared" si="26"/>
        <v>0</v>
      </c>
      <c r="Y245" s="4"/>
      <c r="Z245" s="4"/>
      <c r="AA245" s="4"/>
    </row>
    <row r="246" spans="1:27" ht="15.6" customHeight="1" x14ac:dyDescent="0.25">
      <c r="A246" s="118">
        <f>+CUBICACION!D240</f>
        <v>0</v>
      </c>
      <c r="B246" s="819">
        <f>+CUBICACION!E240</f>
        <v>0</v>
      </c>
      <c r="C246" s="675">
        <f>+CUBICACION!F240</f>
        <v>0</v>
      </c>
      <c r="D246" s="118"/>
      <c r="E246" s="118"/>
      <c r="F246" s="820"/>
      <c r="G246" s="675">
        <f>+CUBICACION!J240</f>
        <v>0</v>
      </c>
      <c r="H246" s="118"/>
      <c r="I246" s="821">
        <f>+CUBICACION!L240</f>
        <v>0</v>
      </c>
      <c r="J246" s="64">
        <f>+CUBICACION!M240</f>
        <v>0</v>
      </c>
      <c r="K246" s="822" t="str">
        <f>+CUBICACION!N240</f>
        <v/>
      </c>
      <c r="L246" s="118">
        <f>+CUBICACION!O240</f>
        <v>0</v>
      </c>
      <c r="M246" s="823">
        <f>+CUBICACION!P240</f>
        <v>0</v>
      </c>
      <c r="N246" s="902">
        <f>ROUND(IF(AND(L246="Blaze Shield II",M246="Software Idiem",C246="IN",G246=4),((('BLAZE SHIELD II'!$D$4*('CALCULO MORTERO'!I246^2)+'BLAZE SHIELD II'!$D$5*'CALCULO MORTERO'!I246+'BLAZE SHIELD II'!$D$6)*LN(J246))+('BLAZE SHIELD II'!$D$7*('CALCULO MORTERO'!I246^2)+'BLAZE SHIELD II'!$D$8*'CALCULO MORTERO'!I246+'BLAZE SHIELD II'!$D$9)),0)+IF(AND(L246="Blaze Shield II",M246="Software Idiem",C246="Cj"),((('BLAZE SHIELD II'!$H$4*('CALCULO MORTERO'!I246^2)+'BLAZE SHIELD II'!$H$5*'CALCULO MORTERO'!I246+'BLAZE SHIELD II'!$H$6)*LN(J246))+('BLAZE SHIELD II'!$H$7*('CALCULO MORTERO'!I246^2)+'BLAZE SHIELD II'!$H$8*'CALCULO MORTERO'!I246+'BLAZE SHIELD II'!$H$9)),0)+IF(AND(L246="Blaze Shield II",M246="Software Idiem",C246="C"),((('BLAZE SHIELD II'!$L$4*('CALCULO MORTERO'!I246^2)+'BLAZE SHIELD II'!$L$5*'CALCULO MORTERO'!I246+'BLAZE SHIELD II'!$L$6)*LN(J246))+('BLAZE SHIELD II'!$L$7*('CALCULO MORTERO'!I246^2)+'BLAZE SHIELD II'!$L$8*'CALCULO MORTERO'!I246+'BLAZE SHIELD II'!$L$9)),0)+IF(AND(L246="Blaze Shield II",M246="Software Idiem",C246="L"),((('BLAZE SHIELD II'!$L$4*('CALCULO MORTERO'!I246^2)+'BLAZE SHIELD II'!$L$5*'CALCULO MORTERO'!I246+'BLAZE SHIELD II'!$L$6)*LN(J246))+('BLAZE SHIELD II'!$L$7*('CALCULO MORTERO'!I246^2)+'BLAZE SHIELD II'!$L$8*'CALCULO MORTERO'!I246+'BLAZE SHIELD II'!$L$9)),0)+IF(AND(L246="Blaze Shield II",M246="Software Idiem",C246="IN",G246=3),((('BLAZE SHIELD II'!$H$14*('CALCULO MORTERO'!I246^2)+'BLAZE SHIELD II'!$H$15*'CALCULO MORTERO'!I246+'BLAZE SHIELD II'!$H$16)*LN(J246))+('BLAZE SHIELD II'!$H$17*('CALCULO MORTERO'!I246^2)+'BLAZE SHIELD II'!$H$18*'CALCULO MORTERO'!I246+'BLAZE SHIELD II'!$H$19)),0),0)+ROUND(IF(AND(L246="Cafco 400",M246="Software Idiem",C246="IN",G246=4),((('CAFCO 400 '!$H$7*(J246^4)+'CAFCO 400 '!$H$8*(J246^3)+'CAFCO 400 '!$H$9*(J246^2)+'CAFCO 400 '!$H$10*J246+'CAFCO 400 '!$H$11)*U246^2)+(('CAFCO 400 '!$H$12*(J246^3)+'CAFCO 400 '!$H$13*(J246^2)+'CAFCO 400 '!$H$14*J246+'CAFCO 400 '!$H$15)*U246)+('CAFCO 400 '!$H$16*(J246^2)+'CAFCO 400 '!$H$17*J246+'CAFCO 400 '!$H$18)),0)+IF(AND(L246="Cafco 400",M246="Software Idiem",C246="Cj"),(((('CAFCO 400 '!$D$7*LN(J246)+'CAFCO 400 '!$D$8)*U246^2)+(('CAFCO 400 '!$D$9*LN(J246)+'CAFCO 400 '!$D$10)*U246)+('CAFCO 400 '!$D$11*LN(J246)+'CAFCO 400 '!$D$12))),0)+IF(AND(L246="Cafco 400",M246="Software Idiem",C246="C"),((('CAFCO 400 '!$L$7*(J246^3)+'CAFCO 400 '!$L$8*(J246^2)+'CAFCO 400 '!$L$9*J246+'CAFCO 400 '!$L$10)*U246^2)+(('CAFCO 400 '!$L$11*(J246^3)+'CAFCO 400 '!$L$12*(J246^2)+'CAFCO 400 '!$L$13*J246+'CAFCO 400 '!$L$14)*U246)+('CAFCO 400 '!$L$15*LN(J246)+'CAFCO 400 '!$L$16)),0)+IF(AND(L246="Cafco 400",M246="Software Idiem",C246="L"),((('CAFCO 400 '!$L$7*(J246^3)+'CAFCO 400 '!$L$8*(J246^2)+'CAFCO 400 '!$L$9*J246+'CAFCO 400 '!$L$10)*U246^2)+(('CAFCO 400 '!$L$11*(J246^3)+'CAFCO 400 '!$L$12*(J246^2)+'CAFCO 400 '!$L$13*J246+'CAFCO 400 '!$L$14)*U246)+('CAFCO 400 '!$L$15*LN(J246)+'CAFCO 400 '!$L$16)),0)+IF(AND(L246="Cafco 400",M246="Software Idiem",C246="IN",G246=3),((('CAFCO 400 '!$D$23*(J246^2)+'CAFCO 400 '!$D$24*(J246)+'CAFCO 400 '!$D$25)*U246^2)+(('CAFCO 400 '!$D$26*(J246^2)+'CAFCO 400 '!$D$27*J246+'CAFCO 400 '!$D$28)*U246)+('CAFCO 400 '!$D$29*(J246^2)+'CAFCO 400 '!$D$30*J246+'CAFCO 400 '!$D$31)),0),0)+IF(AND(L246="Cafco 300",J246&gt;=95,J246&lt;=240,C246="Cj",I246=90),VLOOKUP(T246,'CAFCO 300 IDIEM TABLAS'!$B$4:$D$23,2,FALSE),0)+IF(AND(L246="Cafco 300",J246&gt;=95,J246&lt;=240,C246="Cj",I246=120),VLOOKUP(T246,'CAFCO 300 IDIEM TABLAS'!$B$4:$D$23,3,FALSE),0)+IF(AND(L246="Cafco 300",J246&gt;=95,J246&lt;=400,G246=3,C246="IN",I246=90),VLOOKUP(T246,'CAFCO 300 IDIEM TABLAS'!$F$4:$H$35,2,FALSE),0)+IF(AND(L246="Cafco 300",J246&gt;=95,J246&lt;=400,G246=3,C246="IN",I246=120),VLOOKUP(T246,'CAFCO 300 IDIEM TABLAS'!$F$4:$H$35,3,FALSE),0)+IF(AND(L246="Cafco 300",J246&gt;=95,J246&lt;=450,G246=4,C246="IN",I246=90),VLOOKUP(T246,'CAFCO 300 IDIEM TABLAS'!$J$4:$L$40,2,FALSE),0)+IF(AND(L246="Cafco 300",J246&gt;=95,J246&lt;=450,G246=4,C246="IN",I246=120),VLOOKUP(T246,'CAFCO 300 IDIEM TABLAS'!$J$4:$L$40,3,FALSE),0)+IF(AND(M246="Ensayo Idiem",L246="Cafco 400",C246="IN",G246=4,I246=90),VLOOKUP(T246,'CAFCO 400 ENSAYO'!$B$7:$D$43,2,FALSE),0)+IF(AND(M246="Ensayo Idiem",L246="Cafco 400",C246="IN",G246=4,I246=120),VLOOKUP(T246,'CAFCO 400 ENSAYO'!$B$7:$D$43,3,FALSE),0)</f>
        <v>0</v>
      </c>
      <c r="O246" s="96">
        <f t="shared" si="27"/>
        <v>0</v>
      </c>
      <c r="P246" s="95" t="str">
        <f t="shared" si="28"/>
        <v>N/A</v>
      </c>
      <c r="Q246" s="95" t="str">
        <f t="shared" si="29"/>
        <v>N/A</v>
      </c>
      <c r="R246" s="95" t="str">
        <f t="shared" si="30"/>
        <v>NO CERT.</v>
      </c>
      <c r="S246" s="95" t="e">
        <f t="shared" si="25"/>
        <v>#N/A</v>
      </c>
      <c r="T246" s="119" t="e">
        <f>+IF(J246=LOOKUP(J246,'CAFCO 300 IDIEM TABLAS'!$J$4:$J$40),'CALCULO MORTERO'!J246,MROUND('CALCULO MORTERO'!J246,10))</f>
        <v>#N/A</v>
      </c>
      <c r="U246" s="118">
        <f t="shared" si="26"/>
        <v>0</v>
      </c>
      <c r="Y246" s="4"/>
      <c r="Z246" s="4"/>
      <c r="AA246" s="4"/>
    </row>
    <row r="247" spans="1:27" x14ac:dyDescent="0.25">
      <c r="A247" s="118">
        <f>+CUBICACION!D241</f>
        <v>0</v>
      </c>
      <c r="B247" s="819">
        <f>+CUBICACION!E241</f>
        <v>0</v>
      </c>
      <c r="C247" s="675">
        <f>+CUBICACION!F241</f>
        <v>0</v>
      </c>
      <c r="D247" s="118"/>
      <c r="E247" s="118"/>
      <c r="F247" s="820"/>
      <c r="G247" s="675">
        <f>+CUBICACION!J241</f>
        <v>0</v>
      </c>
      <c r="H247" s="118"/>
      <c r="I247" s="821">
        <f>+CUBICACION!L241</f>
        <v>0</v>
      </c>
      <c r="J247" s="64">
        <f>+CUBICACION!M241</f>
        <v>0</v>
      </c>
      <c r="K247" s="822" t="str">
        <f>+CUBICACION!N241</f>
        <v/>
      </c>
      <c r="L247" s="118">
        <f>+CUBICACION!O241</f>
        <v>0</v>
      </c>
      <c r="M247" s="823">
        <f>+CUBICACION!P241</f>
        <v>0</v>
      </c>
      <c r="N247" s="902">
        <f>ROUND(IF(AND(L247="Blaze Shield II",M247="Software Idiem",C247="IN",G247=4),((('BLAZE SHIELD II'!$D$4*('CALCULO MORTERO'!I247^2)+'BLAZE SHIELD II'!$D$5*'CALCULO MORTERO'!I247+'BLAZE SHIELD II'!$D$6)*LN(J247))+('BLAZE SHIELD II'!$D$7*('CALCULO MORTERO'!I247^2)+'BLAZE SHIELD II'!$D$8*'CALCULO MORTERO'!I247+'BLAZE SHIELD II'!$D$9)),0)+IF(AND(L247="Blaze Shield II",M247="Software Idiem",C247="Cj"),((('BLAZE SHIELD II'!$H$4*('CALCULO MORTERO'!I247^2)+'BLAZE SHIELD II'!$H$5*'CALCULO MORTERO'!I247+'BLAZE SHIELD II'!$H$6)*LN(J247))+('BLAZE SHIELD II'!$H$7*('CALCULO MORTERO'!I247^2)+'BLAZE SHIELD II'!$H$8*'CALCULO MORTERO'!I247+'BLAZE SHIELD II'!$H$9)),0)+IF(AND(L247="Blaze Shield II",M247="Software Idiem",C247="C"),((('BLAZE SHIELD II'!$L$4*('CALCULO MORTERO'!I247^2)+'BLAZE SHIELD II'!$L$5*'CALCULO MORTERO'!I247+'BLAZE SHIELD II'!$L$6)*LN(J247))+('BLAZE SHIELD II'!$L$7*('CALCULO MORTERO'!I247^2)+'BLAZE SHIELD II'!$L$8*'CALCULO MORTERO'!I247+'BLAZE SHIELD II'!$L$9)),0)+IF(AND(L247="Blaze Shield II",M247="Software Idiem",C247="L"),((('BLAZE SHIELD II'!$L$4*('CALCULO MORTERO'!I247^2)+'BLAZE SHIELD II'!$L$5*'CALCULO MORTERO'!I247+'BLAZE SHIELD II'!$L$6)*LN(J247))+('BLAZE SHIELD II'!$L$7*('CALCULO MORTERO'!I247^2)+'BLAZE SHIELD II'!$L$8*'CALCULO MORTERO'!I247+'BLAZE SHIELD II'!$L$9)),0)+IF(AND(L247="Blaze Shield II",M247="Software Idiem",C247="IN",G247=3),((('BLAZE SHIELD II'!$H$14*('CALCULO MORTERO'!I247^2)+'BLAZE SHIELD II'!$H$15*'CALCULO MORTERO'!I247+'BLAZE SHIELD II'!$H$16)*LN(J247))+('BLAZE SHIELD II'!$H$17*('CALCULO MORTERO'!I247^2)+'BLAZE SHIELD II'!$H$18*'CALCULO MORTERO'!I247+'BLAZE SHIELD II'!$H$19)),0),0)+ROUND(IF(AND(L247="Cafco 400",M247="Software Idiem",C247="IN",G247=4),((('CAFCO 400 '!$H$7*(J247^4)+'CAFCO 400 '!$H$8*(J247^3)+'CAFCO 400 '!$H$9*(J247^2)+'CAFCO 400 '!$H$10*J247+'CAFCO 400 '!$H$11)*U247^2)+(('CAFCO 400 '!$H$12*(J247^3)+'CAFCO 400 '!$H$13*(J247^2)+'CAFCO 400 '!$H$14*J247+'CAFCO 400 '!$H$15)*U247)+('CAFCO 400 '!$H$16*(J247^2)+'CAFCO 400 '!$H$17*J247+'CAFCO 400 '!$H$18)),0)+IF(AND(L247="Cafco 400",M247="Software Idiem",C247="Cj"),(((('CAFCO 400 '!$D$7*LN(J247)+'CAFCO 400 '!$D$8)*U247^2)+(('CAFCO 400 '!$D$9*LN(J247)+'CAFCO 400 '!$D$10)*U247)+('CAFCO 400 '!$D$11*LN(J247)+'CAFCO 400 '!$D$12))),0)+IF(AND(L247="Cafco 400",M247="Software Idiem",C247="C"),((('CAFCO 400 '!$L$7*(J247^3)+'CAFCO 400 '!$L$8*(J247^2)+'CAFCO 400 '!$L$9*J247+'CAFCO 400 '!$L$10)*U247^2)+(('CAFCO 400 '!$L$11*(J247^3)+'CAFCO 400 '!$L$12*(J247^2)+'CAFCO 400 '!$L$13*J247+'CAFCO 400 '!$L$14)*U247)+('CAFCO 400 '!$L$15*LN(J247)+'CAFCO 400 '!$L$16)),0)+IF(AND(L247="Cafco 400",M247="Software Idiem",C247="L"),((('CAFCO 400 '!$L$7*(J247^3)+'CAFCO 400 '!$L$8*(J247^2)+'CAFCO 400 '!$L$9*J247+'CAFCO 400 '!$L$10)*U247^2)+(('CAFCO 400 '!$L$11*(J247^3)+'CAFCO 400 '!$L$12*(J247^2)+'CAFCO 400 '!$L$13*J247+'CAFCO 400 '!$L$14)*U247)+('CAFCO 400 '!$L$15*LN(J247)+'CAFCO 400 '!$L$16)),0)+IF(AND(L247="Cafco 400",M247="Software Idiem",C247="IN",G247=3),((('CAFCO 400 '!$D$23*(J247^2)+'CAFCO 400 '!$D$24*(J247)+'CAFCO 400 '!$D$25)*U247^2)+(('CAFCO 400 '!$D$26*(J247^2)+'CAFCO 400 '!$D$27*J247+'CAFCO 400 '!$D$28)*U247)+('CAFCO 400 '!$D$29*(J247^2)+'CAFCO 400 '!$D$30*J247+'CAFCO 400 '!$D$31)),0),0)+IF(AND(L247="Cafco 300",J247&gt;=95,J247&lt;=240,C247="Cj",I247=90),VLOOKUP(T247,'CAFCO 300 IDIEM TABLAS'!$B$4:$D$23,2,FALSE),0)+IF(AND(L247="Cafco 300",J247&gt;=95,J247&lt;=240,C247="Cj",I247=120),VLOOKUP(T247,'CAFCO 300 IDIEM TABLAS'!$B$4:$D$23,3,FALSE),0)+IF(AND(L247="Cafco 300",J247&gt;=95,J247&lt;=400,G247=3,C247="IN",I247=90),VLOOKUP(T247,'CAFCO 300 IDIEM TABLAS'!$F$4:$H$35,2,FALSE),0)+IF(AND(L247="Cafco 300",J247&gt;=95,J247&lt;=400,G247=3,C247="IN",I247=120),VLOOKUP(T247,'CAFCO 300 IDIEM TABLAS'!$F$4:$H$35,3,FALSE),0)+IF(AND(L247="Cafco 300",J247&gt;=95,J247&lt;=450,G247=4,C247="IN",I247=90),VLOOKUP(T247,'CAFCO 300 IDIEM TABLAS'!$J$4:$L$40,2,FALSE),0)+IF(AND(L247="Cafco 300",J247&gt;=95,J247&lt;=450,G247=4,C247="IN",I247=120),VLOOKUP(T247,'CAFCO 300 IDIEM TABLAS'!$J$4:$L$40,3,FALSE),0)+IF(AND(M247="Ensayo Idiem",L247="Cafco 400",C247="IN",G247=4,I247=90),VLOOKUP(T247,'CAFCO 400 ENSAYO'!$B$7:$D$43,2,FALSE),0)+IF(AND(M247="Ensayo Idiem",L247="Cafco 400",C247="IN",G247=4,I247=120),VLOOKUP(T247,'CAFCO 400 ENSAYO'!$B$7:$D$43,3,FALSE),0)</f>
        <v>0</v>
      </c>
      <c r="O247" s="96">
        <f t="shared" si="27"/>
        <v>0</v>
      </c>
      <c r="P247" s="95" t="str">
        <f t="shared" si="28"/>
        <v>N/A</v>
      </c>
      <c r="Q247" s="95" t="str">
        <f t="shared" si="29"/>
        <v>N/A</v>
      </c>
      <c r="R247" s="95" t="str">
        <f t="shared" si="30"/>
        <v>NO CERT.</v>
      </c>
      <c r="S247" s="95" t="e">
        <f t="shared" si="25"/>
        <v>#N/A</v>
      </c>
      <c r="T247" s="119" t="e">
        <f>+IF(J247=LOOKUP(J247,'CAFCO 300 IDIEM TABLAS'!$J$4:$J$40),'CALCULO MORTERO'!J247,MROUND('CALCULO MORTERO'!J247,10))</f>
        <v>#N/A</v>
      </c>
      <c r="U247" s="118">
        <f t="shared" si="26"/>
        <v>0</v>
      </c>
      <c r="Y247" s="4"/>
      <c r="Z247" s="4"/>
      <c r="AA247" s="4"/>
    </row>
    <row r="248" spans="1:27" ht="15.6" customHeight="1" x14ac:dyDescent="0.25">
      <c r="A248" s="118">
        <f>+CUBICACION!D242</f>
        <v>0</v>
      </c>
      <c r="B248" s="819">
        <f>+CUBICACION!E242</f>
        <v>0</v>
      </c>
      <c r="C248" s="675">
        <f>+CUBICACION!F242</f>
        <v>0</v>
      </c>
      <c r="D248" s="118"/>
      <c r="E248" s="118"/>
      <c r="F248" s="820"/>
      <c r="G248" s="675">
        <f>+CUBICACION!J242</f>
        <v>0</v>
      </c>
      <c r="H248" s="118"/>
      <c r="I248" s="821">
        <f>+CUBICACION!L242</f>
        <v>0</v>
      </c>
      <c r="J248" s="64">
        <f>+CUBICACION!M242</f>
        <v>0</v>
      </c>
      <c r="K248" s="822" t="str">
        <f>+CUBICACION!N242</f>
        <v/>
      </c>
      <c r="L248" s="118">
        <f>+CUBICACION!O242</f>
        <v>0</v>
      </c>
      <c r="M248" s="823">
        <f>+CUBICACION!P242</f>
        <v>0</v>
      </c>
      <c r="N248" s="902">
        <f>ROUND(IF(AND(L248="Blaze Shield II",M248="Software Idiem",C248="IN",G248=4),((('BLAZE SHIELD II'!$D$4*('CALCULO MORTERO'!I248^2)+'BLAZE SHIELD II'!$D$5*'CALCULO MORTERO'!I248+'BLAZE SHIELD II'!$D$6)*LN(J248))+('BLAZE SHIELD II'!$D$7*('CALCULO MORTERO'!I248^2)+'BLAZE SHIELD II'!$D$8*'CALCULO MORTERO'!I248+'BLAZE SHIELD II'!$D$9)),0)+IF(AND(L248="Blaze Shield II",M248="Software Idiem",C248="Cj"),((('BLAZE SHIELD II'!$H$4*('CALCULO MORTERO'!I248^2)+'BLAZE SHIELD II'!$H$5*'CALCULO MORTERO'!I248+'BLAZE SHIELD II'!$H$6)*LN(J248))+('BLAZE SHIELD II'!$H$7*('CALCULO MORTERO'!I248^2)+'BLAZE SHIELD II'!$H$8*'CALCULO MORTERO'!I248+'BLAZE SHIELD II'!$H$9)),0)+IF(AND(L248="Blaze Shield II",M248="Software Idiem",C248="C"),((('BLAZE SHIELD II'!$L$4*('CALCULO MORTERO'!I248^2)+'BLAZE SHIELD II'!$L$5*'CALCULO MORTERO'!I248+'BLAZE SHIELD II'!$L$6)*LN(J248))+('BLAZE SHIELD II'!$L$7*('CALCULO MORTERO'!I248^2)+'BLAZE SHIELD II'!$L$8*'CALCULO MORTERO'!I248+'BLAZE SHIELD II'!$L$9)),0)+IF(AND(L248="Blaze Shield II",M248="Software Idiem",C248="L"),((('BLAZE SHIELD II'!$L$4*('CALCULO MORTERO'!I248^2)+'BLAZE SHIELD II'!$L$5*'CALCULO MORTERO'!I248+'BLAZE SHIELD II'!$L$6)*LN(J248))+('BLAZE SHIELD II'!$L$7*('CALCULO MORTERO'!I248^2)+'BLAZE SHIELD II'!$L$8*'CALCULO MORTERO'!I248+'BLAZE SHIELD II'!$L$9)),0)+IF(AND(L248="Blaze Shield II",M248="Software Idiem",C248="IN",G248=3),((('BLAZE SHIELD II'!$H$14*('CALCULO MORTERO'!I248^2)+'BLAZE SHIELD II'!$H$15*'CALCULO MORTERO'!I248+'BLAZE SHIELD II'!$H$16)*LN(J248))+('BLAZE SHIELD II'!$H$17*('CALCULO MORTERO'!I248^2)+'BLAZE SHIELD II'!$H$18*'CALCULO MORTERO'!I248+'BLAZE SHIELD II'!$H$19)),0),0)+ROUND(IF(AND(L248="Cafco 400",M248="Software Idiem",C248="IN",G248=4),((('CAFCO 400 '!$H$7*(J248^4)+'CAFCO 400 '!$H$8*(J248^3)+'CAFCO 400 '!$H$9*(J248^2)+'CAFCO 400 '!$H$10*J248+'CAFCO 400 '!$H$11)*U248^2)+(('CAFCO 400 '!$H$12*(J248^3)+'CAFCO 400 '!$H$13*(J248^2)+'CAFCO 400 '!$H$14*J248+'CAFCO 400 '!$H$15)*U248)+('CAFCO 400 '!$H$16*(J248^2)+'CAFCO 400 '!$H$17*J248+'CAFCO 400 '!$H$18)),0)+IF(AND(L248="Cafco 400",M248="Software Idiem",C248="Cj"),(((('CAFCO 400 '!$D$7*LN(J248)+'CAFCO 400 '!$D$8)*U248^2)+(('CAFCO 400 '!$D$9*LN(J248)+'CAFCO 400 '!$D$10)*U248)+('CAFCO 400 '!$D$11*LN(J248)+'CAFCO 400 '!$D$12))),0)+IF(AND(L248="Cafco 400",M248="Software Idiem",C248="C"),((('CAFCO 400 '!$L$7*(J248^3)+'CAFCO 400 '!$L$8*(J248^2)+'CAFCO 400 '!$L$9*J248+'CAFCO 400 '!$L$10)*U248^2)+(('CAFCO 400 '!$L$11*(J248^3)+'CAFCO 400 '!$L$12*(J248^2)+'CAFCO 400 '!$L$13*J248+'CAFCO 400 '!$L$14)*U248)+('CAFCO 400 '!$L$15*LN(J248)+'CAFCO 400 '!$L$16)),0)+IF(AND(L248="Cafco 400",M248="Software Idiem",C248="L"),((('CAFCO 400 '!$L$7*(J248^3)+'CAFCO 400 '!$L$8*(J248^2)+'CAFCO 400 '!$L$9*J248+'CAFCO 400 '!$L$10)*U248^2)+(('CAFCO 400 '!$L$11*(J248^3)+'CAFCO 400 '!$L$12*(J248^2)+'CAFCO 400 '!$L$13*J248+'CAFCO 400 '!$L$14)*U248)+('CAFCO 400 '!$L$15*LN(J248)+'CAFCO 400 '!$L$16)),0)+IF(AND(L248="Cafco 400",M248="Software Idiem",C248="IN",G248=3),((('CAFCO 400 '!$D$23*(J248^2)+'CAFCO 400 '!$D$24*(J248)+'CAFCO 400 '!$D$25)*U248^2)+(('CAFCO 400 '!$D$26*(J248^2)+'CAFCO 400 '!$D$27*J248+'CAFCO 400 '!$D$28)*U248)+('CAFCO 400 '!$D$29*(J248^2)+'CAFCO 400 '!$D$30*J248+'CAFCO 400 '!$D$31)),0),0)+IF(AND(L248="Cafco 300",J248&gt;=95,J248&lt;=240,C248="Cj",I248=90),VLOOKUP(T248,'CAFCO 300 IDIEM TABLAS'!$B$4:$D$23,2,FALSE),0)+IF(AND(L248="Cafco 300",J248&gt;=95,J248&lt;=240,C248="Cj",I248=120),VLOOKUP(T248,'CAFCO 300 IDIEM TABLAS'!$B$4:$D$23,3,FALSE),0)+IF(AND(L248="Cafco 300",J248&gt;=95,J248&lt;=400,G248=3,C248="IN",I248=90),VLOOKUP(T248,'CAFCO 300 IDIEM TABLAS'!$F$4:$H$35,2,FALSE),0)+IF(AND(L248="Cafco 300",J248&gt;=95,J248&lt;=400,G248=3,C248="IN",I248=120),VLOOKUP(T248,'CAFCO 300 IDIEM TABLAS'!$F$4:$H$35,3,FALSE),0)+IF(AND(L248="Cafco 300",J248&gt;=95,J248&lt;=450,G248=4,C248="IN",I248=90),VLOOKUP(T248,'CAFCO 300 IDIEM TABLAS'!$J$4:$L$40,2,FALSE),0)+IF(AND(L248="Cafco 300",J248&gt;=95,J248&lt;=450,G248=4,C248="IN",I248=120),VLOOKUP(T248,'CAFCO 300 IDIEM TABLAS'!$J$4:$L$40,3,FALSE),0)+IF(AND(M248="Ensayo Idiem",L248="Cafco 400",C248="IN",G248=4,I248=90),VLOOKUP(T248,'CAFCO 400 ENSAYO'!$B$7:$D$43,2,FALSE),0)+IF(AND(M248="Ensayo Idiem",L248="Cafco 400",C248="IN",G248=4,I248=120),VLOOKUP(T248,'CAFCO 400 ENSAYO'!$B$7:$D$43,3,FALSE),0)</f>
        <v>0</v>
      </c>
      <c r="O248" s="96">
        <f t="shared" si="27"/>
        <v>0</v>
      </c>
      <c r="P248" s="95" t="str">
        <f t="shared" si="28"/>
        <v>N/A</v>
      </c>
      <c r="Q248" s="95" t="str">
        <f t="shared" si="29"/>
        <v>N/A</v>
      </c>
      <c r="R248" s="95" t="str">
        <f t="shared" si="30"/>
        <v>NO CERT.</v>
      </c>
      <c r="S248" s="95" t="e">
        <f t="shared" si="25"/>
        <v>#N/A</v>
      </c>
      <c r="T248" s="119" t="e">
        <f>+IF(J248=LOOKUP(J248,'CAFCO 300 IDIEM TABLAS'!$J$4:$J$40),'CALCULO MORTERO'!J248,MROUND('CALCULO MORTERO'!J248,10))</f>
        <v>#N/A</v>
      </c>
      <c r="U248" s="118">
        <f t="shared" si="26"/>
        <v>0</v>
      </c>
      <c r="Y248" s="4"/>
      <c r="Z248" s="4"/>
      <c r="AA248" s="4"/>
    </row>
    <row r="249" spans="1:27" x14ac:dyDescent="0.25">
      <c r="A249" s="118">
        <f>+CUBICACION!D243</f>
        <v>0</v>
      </c>
      <c r="B249" s="819">
        <f>+CUBICACION!E243</f>
        <v>0</v>
      </c>
      <c r="C249" s="675">
        <f>+CUBICACION!F243</f>
        <v>0</v>
      </c>
      <c r="D249" s="118"/>
      <c r="E249" s="118"/>
      <c r="F249" s="820"/>
      <c r="G249" s="675">
        <f>+CUBICACION!J243</f>
        <v>0</v>
      </c>
      <c r="H249" s="118"/>
      <c r="I249" s="821">
        <f>+CUBICACION!L243</f>
        <v>0</v>
      </c>
      <c r="J249" s="64">
        <f>+CUBICACION!M243</f>
        <v>0</v>
      </c>
      <c r="K249" s="822" t="str">
        <f>+CUBICACION!N243</f>
        <v/>
      </c>
      <c r="L249" s="118">
        <f>+CUBICACION!O243</f>
        <v>0</v>
      </c>
      <c r="M249" s="823">
        <f>+CUBICACION!P243</f>
        <v>0</v>
      </c>
      <c r="N249" s="902">
        <f>ROUND(IF(AND(L249="Blaze Shield II",M249="Software Idiem",C249="IN",G249=4),((('BLAZE SHIELD II'!$D$4*('CALCULO MORTERO'!I249^2)+'BLAZE SHIELD II'!$D$5*'CALCULO MORTERO'!I249+'BLAZE SHIELD II'!$D$6)*LN(J249))+('BLAZE SHIELD II'!$D$7*('CALCULO MORTERO'!I249^2)+'BLAZE SHIELD II'!$D$8*'CALCULO MORTERO'!I249+'BLAZE SHIELD II'!$D$9)),0)+IF(AND(L249="Blaze Shield II",M249="Software Idiem",C249="Cj"),((('BLAZE SHIELD II'!$H$4*('CALCULO MORTERO'!I249^2)+'BLAZE SHIELD II'!$H$5*'CALCULO MORTERO'!I249+'BLAZE SHIELD II'!$H$6)*LN(J249))+('BLAZE SHIELD II'!$H$7*('CALCULO MORTERO'!I249^2)+'BLAZE SHIELD II'!$H$8*'CALCULO MORTERO'!I249+'BLAZE SHIELD II'!$H$9)),0)+IF(AND(L249="Blaze Shield II",M249="Software Idiem",C249="C"),((('BLAZE SHIELD II'!$L$4*('CALCULO MORTERO'!I249^2)+'BLAZE SHIELD II'!$L$5*'CALCULO MORTERO'!I249+'BLAZE SHIELD II'!$L$6)*LN(J249))+('BLAZE SHIELD II'!$L$7*('CALCULO MORTERO'!I249^2)+'BLAZE SHIELD II'!$L$8*'CALCULO MORTERO'!I249+'BLAZE SHIELD II'!$L$9)),0)+IF(AND(L249="Blaze Shield II",M249="Software Idiem",C249="L"),((('BLAZE SHIELD II'!$L$4*('CALCULO MORTERO'!I249^2)+'BLAZE SHIELD II'!$L$5*'CALCULO MORTERO'!I249+'BLAZE SHIELD II'!$L$6)*LN(J249))+('BLAZE SHIELD II'!$L$7*('CALCULO MORTERO'!I249^2)+'BLAZE SHIELD II'!$L$8*'CALCULO MORTERO'!I249+'BLAZE SHIELD II'!$L$9)),0)+IF(AND(L249="Blaze Shield II",M249="Software Idiem",C249="IN",G249=3),((('BLAZE SHIELD II'!$H$14*('CALCULO MORTERO'!I249^2)+'BLAZE SHIELD II'!$H$15*'CALCULO MORTERO'!I249+'BLAZE SHIELD II'!$H$16)*LN(J249))+('BLAZE SHIELD II'!$H$17*('CALCULO MORTERO'!I249^2)+'BLAZE SHIELD II'!$H$18*'CALCULO MORTERO'!I249+'BLAZE SHIELD II'!$H$19)),0),0)+ROUND(IF(AND(L249="Cafco 400",M249="Software Idiem",C249="IN",G249=4),((('CAFCO 400 '!$H$7*(J249^4)+'CAFCO 400 '!$H$8*(J249^3)+'CAFCO 400 '!$H$9*(J249^2)+'CAFCO 400 '!$H$10*J249+'CAFCO 400 '!$H$11)*U249^2)+(('CAFCO 400 '!$H$12*(J249^3)+'CAFCO 400 '!$H$13*(J249^2)+'CAFCO 400 '!$H$14*J249+'CAFCO 400 '!$H$15)*U249)+('CAFCO 400 '!$H$16*(J249^2)+'CAFCO 400 '!$H$17*J249+'CAFCO 400 '!$H$18)),0)+IF(AND(L249="Cafco 400",M249="Software Idiem",C249="Cj"),(((('CAFCO 400 '!$D$7*LN(J249)+'CAFCO 400 '!$D$8)*U249^2)+(('CAFCO 400 '!$D$9*LN(J249)+'CAFCO 400 '!$D$10)*U249)+('CAFCO 400 '!$D$11*LN(J249)+'CAFCO 400 '!$D$12))),0)+IF(AND(L249="Cafco 400",M249="Software Idiem",C249="C"),((('CAFCO 400 '!$L$7*(J249^3)+'CAFCO 400 '!$L$8*(J249^2)+'CAFCO 400 '!$L$9*J249+'CAFCO 400 '!$L$10)*U249^2)+(('CAFCO 400 '!$L$11*(J249^3)+'CAFCO 400 '!$L$12*(J249^2)+'CAFCO 400 '!$L$13*J249+'CAFCO 400 '!$L$14)*U249)+('CAFCO 400 '!$L$15*LN(J249)+'CAFCO 400 '!$L$16)),0)+IF(AND(L249="Cafco 400",M249="Software Idiem",C249="L"),((('CAFCO 400 '!$L$7*(J249^3)+'CAFCO 400 '!$L$8*(J249^2)+'CAFCO 400 '!$L$9*J249+'CAFCO 400 '!$L$10)*U249^2)+(('CAFCO 400 '!$L$11*(J249^3)+'CAFCO 400 '!$L$12*(J249^2)+'CAFCO 400 '!$L$13*J249+'CAFCO 400 '!$L$14)*U249)+('CAFCO 400 '!$L$15*LN(J249)+'CAFCO 400 '!$L$16)),0)+IF(AND(L249="Cafco 400",M249="Software Idiem",C249="IN",G249=3),((('CAFCO 400 '!$D$23*(J249^2)+'CAFCO 400 '!$D$24*(J249)+'CAFCO 400 '!$D$25)*U249^2)+(('CAFCO 400 '!$D$26*(J249^2)+'CAFCO 400 '!$D$27*J249+'CAFCO 400 '!$D$28)*U249)+('CAFCO 400 '!$D$29*(J249^2)+'CAFCO 400 '!$D$30*J249+'CAFCO 400 '!$D$31)),0),0)+IF(AND(L249="Cafco 300",J249&gt;=95,J249&lt;=240,C249="Cj",I249=90),VLOOKUP(T249,'CAFCO 300 IDIEM TABLAS'!$B$4:$D$23,2,FALSE),0)+IF(AND(L249="Cafco 300",J249&gt;=95,J249&lt;=240,C249="Cj",I249=120),VLOOKUP(T249,'CAFCO 300 IDIEM TABLAS'!$B$4:$D$23,3,FALSE),0)+IF(AND(L249="Cafco 300",J249&gt;=95,J249&lt;=400,G249=3,C249="IN",I249=90),VLOOKUP(T249,'CAFCO 300 IDIEM TABLAS'!$F$4:$H$35,2,FALSE),0)+IF(AND(L249="Cafco 300",J249&gt;=95,J249&lt;=400,G249=3,C249="IN",I249=120),VLOOKUP(T249,'CAFCO 300 IDIEM TABLAS'!$F$4:$H$35,3,FALSE),0)+IF(AND(L249="Cafco 300",J249&gt;=95,J249&lt;=450,G249=4,C249="IN",I249=90),VLOOKUP(T249,'CAFCO 300 IDIEM TABLAS'!$J$4:$L$40,2,FALSE),0)+IF(AND(L249="Cafco 300",J249&gt;=95,J249&lt;=450,G249=4,C249="IN",I249=120),VLOOKUP(T249,'CAFCO 300 IDIEM TABLAS'!$J$4:$L$40,3,FALSE),0)+IF(AND(M249="Ensayo Idiem",L249="Cafco 400",C249="IN",G249=4,I249=90),VLOOKUP(T249,'CAFCO 400 ENSAYO'!$B$7:$D$43,2,FALSE),0)+IF(AND(M249="Ensayo Idiem",L249="Cafco 400",C249="IN",G249=4,I249=120),VLOOKUP(T249,'CAFCO 400 ENSAYO'!$B$7:$D$43,3,FALSE),0)</f>
        <v>0</v>
      </c>
      <c r="O249" s="96">
        <f t="shared" si="27"/>
        <v>0</v>
      </c>
      <c r="P249" s="95" t="str">
        <f t="shared" si="28"/>
        <v>N/A</v>
      </c>
      <c r="Q249" s="95" t="str">
        <f t="shared" si="29"/>
        <v>N/A</v>
      </c>
      <c r="R249" s="95" t="str">
        <f t="shared" si="30"/>
        <v>NO CERT.</v>
      </c>
      <c r="S249" s="95" t="e">
        <f t="shared" si="25"/>
        <v>#N/A</v>
      </c>
      <c r="T249" s="119" t="e">
        <f>+IF(J249=LOOKUP(J249,'CAFCO 300 IDIEM TABLAS'!$J$4:$J$40),'CALCULO MORTERO'!J249,MROUND('CALCULO MORTERO'!J249,10))</f>
        <v>#N/A</v>
      </c>
      <c r="U249" s="118">
        <f t="shared" si="26"/>
        <v>0</v>
      </c>
      <c r="Y249" s="4"/>
      <c r="Z249" s="4"/>
      <c r="AA249" s="4"/>
    </row>
    <row r="250" spans="1:27" ht="15.6" customHeight="1" x14ac:dyDescent="0.25">
      <c r="A250" s="118">
        <f>+CUBICACION!D244</f>
        <v>0</v>
      </c>
      <c r="B250" s="819">
        <f>+CUBICACION!E244</f>
        <v>0</v>
      </c>
      <c r="C250" s="675">
        <f>+CUBICACION!F244</f>
        <v>0</v>
      </c>
      <c r="D250" s="118"/>
      <c r="E250" s="118"/>
      <c r="F250" s="820"/>
      <c r="G250" s="675">
        <f>+CUBICACION!J244</f>
        <v>0</v>
      </c>
      <c r="H250" s="118"/>
      <c r="I250" s="821">
        <f>+CUBICACION!L244</f>
        <v>0</v>
      </c>
      <c r="J250" s="64">
        <f>+CUBICACION!M244</f>
        <v>0</v>
      </c>
      <c r="K250" s="822" t="str">
        <f>+CUBICACION!N244</f>
        <v/>
      </c>
      <c r="L250" s="118">
        <f>+CUBICACION!O244</f>
        <v>0</v>
      </c>
      <c r="M250" s="823">
        <f>+CUBICACION!P244</f>
        <v>0</v>
      </c>
      <c r="N250" s="902">
        <f>ROUND(IF(AND(L250="Blaze Shield II",M250="Software Idiem",C250="IN",G250=4),((('BLAZE SHIELD II'!$D$4*('CALCULO MORTERO'!I250^2)+'BLAZE SHIELD II'!$D$5*'CALCULO MORTERO'!I250+'BLAZE SHIELD II'!$D$6)*LN(J250))+('BLAZE SHIELD II'!$D$7*('CALCULO MORTERO'!I250^2)+'BLAZE SHIELD II'!$D$8*'CALCULO MORTERO'!I250+'BLAZE SHIELD II'!$D$9)),0)+IF(AND(L250="Blaze Shield II",M250="Software Idiem",C250="Cj"),((('BLAZE SHIELD II'!$H$4*('CALCULO MORTERO'!I250^2)+'BLAZE SHIELD II'!$H$5*'CALCULO MORTERO'!I250+'BLAZE SHIELD II'!$H$6)*LN(J250))+('BLAZE SHIELD II'!$H$7*('CALCULO MORTERO'!I250^2)+'BLAZE SHIELD II'!$H$8*'CALCULO MORTERO'!I250+'BLAZE SHIELD II'!$H$9)),0)+IF(AND(L250="Blaze Shield II",M250="Software Idiem",C250="C"),((('BLAZE SHIELD II'!$L$4*('CALCULO MORTERO'!I250^2)+'BLAZE SHIELD II'!$L$5*'CALCULO MORTERO'!I250+'BLAZE SHIELD II'!$L$6)*LN(J250))+('BLAZE SHIELD II'!$L$7*('CALCULO MORTERO'!I250^2)+'BLAZE SHIELD II'!$L$8*'CALCULO MORTERO'!I250+'BLAZE SHIELD II'!$L$9)),0)+IF(AND(L250="Blaze Shield II",M250="Software Idiem",C250="L"),((('BLAZE SHIELD II'!$L$4*('CALCULO MORTERO'!I250^2)+'BLAZE SHIELD II'!$L$5*'CALCULO MORTERO'!I250+'BLAZE SHIELD II'!$L$6)*LN(J250))+('BLAZE SHIELD II'!$L$7*('CALCULO MORTERO'!I250^2)+'BLAZE SHIELD II'!$L$8*'CALCULO MORTERO'!I250+'BLAZE SHIELD II'!$L$9)),0)+IF(AND(L250="Blaze Shield II",M250="Software Idiem",C250="IN",G250=3),((('BLAZE SHIELD II'!$H$14*('CALCULO MORTERO'!I250^2)+'BLAZE SHIELD II'!$H$15*'CALCULO MORTERO'!I250+'BLAZE SHIELD II'!$H$16)*LN(J250))+('BLAZE SHIELD II'!$H$17*('CALCULO MORTERO'!I250^2)+'BLAZE SHIELD II'!$H$18*'CALCULO MORTERO'!I250+'BLAZE SHIELD II'!$H$19)),0),0)+ROUND(IF(AND(L250="Cafco 400",M250="Software Idiem",C250="IN",G250=4),((('CAFCO 400 '!$H$7*(J250^4)+'CAFCO 400 '!$H$8*(J250^3)+'CAFCO 400 '!$H$9*(J250^2)+'CAFCO 400 '!$H$10*J250+'CAFCO 400 '!$H$11)*U250^2)+(('CAFCO 400 '!$H$12*(J250^3)+'CAFCO 400 '!$H$13*(J250^2)+'CAFCO 400 '!$H$14*J250+'CAFCO 400 '!$H$15)*U250)+('CAFCO 400 '!$H$16*(J250^2)+'CAFCO 400 '!$H$17*J250+'CAFCO 400 '!$H$18)),0)+IF(AND(L250="Cafco 400",M250="Software Idiem",C250="Cj"),(((('CAFCO 400 '!$D$7*LN(J250)+'CAFCO 400 '!$D$8)*U250^2)+(('CAFCO 400 '!$D$9*LN(J250)+'CAFCO 400 '!$D$10)*U250)+('CAFCO 400 '!$D$11*LN(J250)+'CAFCO 400 '!$D$12))),0)+IF(AND(L250="Cafco 400",M250="Software Idiem",C250="C"),((('CAFCO 400 '!$L$7*(J250^3)+'CAFCO 400 '!$L$8*(J250^2)+'CAFCO 400 '!$L$9*J250+'CAFCO 400 '!$L$10)*U250^2)+(('CAFCO 400 '!$L$11*(J250^3)+'CAFCO 400 '!$L$12*(J250^2)+'CAFCO 400 '!$L$13*J250+'CAFCO 400 '!$L$14)*U250)+('CAFCO 400 '!$L$15*LN(J250)+'CAFCO 400 '!$L$16)),0)+IF(AND(L250="Cafco 400",M250="Software Idiem",C250="L"),((('CAFCO 400 '!$L$7*(J250^3)+'CAFCO 400 '!$L$8*(J250^2)+'CAFCO 400 '!$L$9*J250+'CAFCO 400 '!$L$10)*U250^2)+(('CAFCO 400 '!$L$11*(J250^3)+'CAFCO 400 '!$L$12*(J250^2)+'CAFCO 400 '!$L$13*J250+'CAFCO 400 '!$L$14)*U250)+('CAFCO 400 '!$L$15*LN(J250)+'CAFCO 400 '!$L$16)),0)+IF(AND(L250="Cafco 400",M250="Software Idiem",C250="IN",G250=3),((('CAFCO 400 '!$D$23*(J250^2)+'CAFCO 400 '!$D$24*(J250)+'CAFCO 400 '!$D$25)*U250^2)+(('CAFCO 400 '!$D$26*(J250^2)+'CAFCO 400 '!$D$27*J250+'CAFCO 400 '!$D$28)*U250)+('CAFCO 400 '!$D$29*(J250^2)+'CAFCO 400 '!$D$30*J250+'CAFCO 400 '!$D$31)),0),0)+IF(AND(L250="Cafco 300",J250&gt;=95,J250&lt;=240,C250="Cj",I250=90),VLOOKUP(T250,'CAFCO 300 IDIEM TABLAS'!$B$4:$D$23,2,FALSE),0)+IF(AND(L250="Cafco 300",J250&gt;=95,J250&lt;=240,C250="Cj",I250=120),VLOOKUP(T250,'CAFCO 300 IDIEM TABLAS'!$B$4:$D$23,3,FALSE),0)+IF(AND(L250="Cafco 300",J250&gt;=95,J250&lt;=400,G250=3,C250="IN",I250=90),VLOOKUP(T250,'CAFCO 300 IDIEM TABLAS'!$F$4:$H$35,2,FALSE),0)+IF(AND(L250="Cafco 300",J250&gt;=95,J250&lt;=400,G250=3,C250="IN",I250=120),VLOOKUP(T250,'CAFCO 300 IDIEM TABLAS'!$F$4:$H$35,3,FALSE),0)+IF(AND(L250="Cafco 300",J250&gt;=95,J250&lt;=450,G250=4,C250="IN",I250=90),VLOOKUP(T250,'CAFCO 300 IDIEM TABLAS'!$J$4:$L$40,2,FALSE),0)+IF(AND(L250="Cafco 300",J250&gt;=95,J250&lt;=450,G250=4,C250="IN",I250=120),VLOOKUP(T250,'CAFCO 300 IDIEM TABLAS'!$J$4:$L$40,3,FALSE),0)+IF(AND(M250="Ensayo Idiem",L250="Cafco 400",C250="IN",G250=4,I250=90),VLOOKUP(T250,'CAFCO 400 ENSAYO'!$B$7:$D$43,2,FALSE),0)+IF(AND(M250="Ensayo Idiem",L250="Cafco 400",C250="IN",G250=4,I250=120),VLOOKUP(T250,'CAFCO 400 ENSAYO'!$B$7:$D$43,3,FALSE),0)</f>
        <v>0</v>
      </c>
      <c r="O250" s="96">
        <f t="shared" si="27"/>
        <v>0</v>
      </c>
      <c r="P250" s="95" t="str">
        <f t="shared" si="28"/>
        <v>N/A</v>
      </c>
      <c r="Q250" s="95" t="str">
        <f t="shared" si="29"/>
        <v>N/A</v>
      </c>
      <c r="R250" s="95" t="str">
        <f t="shared" si="30"/>
        <v>NO CERT.</v>
      </c>
      <c r="S250" s="95" t="e">
        <f t="shared" si="25"/>
        <v>#N/A</v>
      </c>
      <c r="T250" s="119" t="e">
        <f>+IF(J250=LOOKUP(J250,'CAFCO 300 IDIEM TABLAS'!$J$4:$J$40),'CALCULO MORTERO'!J250,MROUND('CALCULO MORTERO'!J250,10))</f>
        <v>#N/A</v>
      </c>
      <c r="U250" s="118">
        <f t="shared" si="26"/>
        <v>0</v>
      </c>
      <c r="Y250" s="4"/>
      <c r="Z250" s="4"/>
      <c r="AA250" s="4"/>
    </row>
    <row r="251" spans="1:27" x14ac:dyDescent="0.25">
      <c r="A251" s="118">
        <f>+CUBICACION!D245</f>
        <v>0</v>
      </c>
      <c r="B251" s="819">
        <f>+CUBICACION!E245</f>
        <v>0</v>
      </c>
      <c r="C251" s="675">
        <f>+CUBICACION!F245</f>
        <v>0</v>
      </c>
      <c r="D251" s="118"/>
      <c r="E251" s="118"/>
      <c r="F251" s="820"/>
      <c r="G251" s="675">
        <f>+CUBICACION!J245</f>
        <v>0</v>
      </c>
      <c r="H251" s="118"/>
      <c r="I251" s="821">
        <f>+CUBICACION!L245</f>
        <v>0</v>
      </c>
      <c r="J251" s="64">
        <f>+CUBICACION!M245</f>
        <v>0</v>
      </c>
      <c r="K251" s="822" t="str">
        <f>+CUBICACION!N245</f>
        <v/>
      </c>
      <c r="L251" s="118">
        <f>+CUBICACION!O245</f>
        <v>0</v>
      </c>
      <c r="M251" s="823">
        <f>+CUBICACION!P245</f>
        <v>0</v>
      </c>
      <c r="N251" s="902">
        <f>ROUND(IF(AND(L251="Blaze Shield II",M251="Software Idiem",C251="IN",G251=4),((('BLAZE SHIELD II'!$D$4*('CALCULO MORTERO'!I251^2)+'BLAZE SHIELD II'!$D$5*'CALCULO MORTERO'!I251+'BLAZE SHIELD II'!$D$6)*LN(J251))+('BLAZE SHIELD II'!$D$7*('CALCULO MORTERO'!I251^2)+'BLAZE SHIELD II'!$D$8*'CALCULO MORTERO'!I251+'BLAZE SHIELD II'!$D$9)),0)+IF(AND(L251="Blaze Shield II",M251="Software Idiem",C251="Cj"),((('BLAZE SHIELD II'!$H$4*('CALCULO MORTERO'!I251^2)+'BLAZE SHIELD II'!$H$5*'CALCULO MORTERO'!I251+'BLAZE SHIELD II'!$H$6)*LN(J251))+('BLAZE SHIELD II'!$H$7*('CALCULO MORTERO'!I251^2)+'BLAZE SHIELD II'!$H$8*'CALCULO MORTERO'!I251+'BLAZE SHIELD II'!$H$9)),0)+IF(AND(L251="Blaze Shield II",M251="Software Idiem",C251="C"),((('BLAZE SHIELD II'!$L$4*('CALCULO MORTERO'!I251^2)+'BLAZE SHIELD II'!$L$5*'CALCULO MORTERO'!I251+'BLAZE SHIELD II'!$L$6)*LN(J251))+('BLAZE SHIELD II'!$L$7*('CALCULO MORTERO'!I251^2)+'BLAZE SHIELD II'!$L$8*'CALCULO MORTERO'!I251+'BLAZE SHIELD II'!$L$9)),0)+IF(AND(L251="Blaze Shield II",M251="Software Idiem",C251="L"),((('BLAZE SHIELD II'!$L$4*('CALCULO MORTERO'!I251^2)+'BLAZE SHIELD II'!$L$5*'CALCULO MORTERO'!I251+'BLAZE SHIELD II'!$L$6)*LN(J251))+('BLAZE SHIELD II'!$L$7*('CALCULO MORTERO'!I251^2)+'BLAZE SHIELD II'!$L$8*'CALCULO MORTERO'!I251+'BLAZE SHIELD II'!$L$9)),0)+IF(AND(L251="Blaze Shield II",M251="Software Idiem",C251="IN",G251=3),((('BLAZE SHIELD II'!$H$14*('CALCULO MORTERO'!I251^2)+'BLAZE SHIELD II'!$H$15*'CALCULO MORTERO'!I251+'BLAZE SHIELD II'!$H$16)*LN(J251))+('BLAZE SHIELD II'!$H$17*('CALCULO MORTERO'!I251^2)+'BLAZE SHIELD II'!$H$18*'CALCULO MORTERO'!I251+'BLAZE SHIELD II'!$H$19)),0),0)+ROUND(IF(AND(L251="Cafco 400",M251="Software Idiem",C251="IN",G251=4),((('CAFCO 400 '!$H$7*(J251^4)+'CAFCO 400 '!$H$8*(J251^3)+'CAFCO 400 '!$H$9*(J251^2)+'CAFCO 400 '!$H$10*J251+'CAFCO 400 '!$H$11)*U251^2)+(('CAFCO 400 '!$H$12*(J251^3)+'CAFCO 400 '!$H$13*(J251^2)+'CAFCO 400 '!$H$14*J251+'CAFCO 400 '!$H$15)*U251)+('CAFCO 400 '!$H$16*(J251^2)+'CAFCO 400 '!$H$17*J251+'CAFCO 400 '!$H$18)),0)+IF(AND(L251="Cafco 400",M251="Software Idiem",C251="Cj"),(((('CAFCO 400 '!$D$7*LN(J251)+'CAFCO 400 '!$D$8)*U251^2)+(('CAFCO 400 '!$D$9*LN(J251)+'CAFCO 400 '!$D$10)*U251)+('CAFCO 400 '!$D$11*LN(J251)+'CAFCO 400 '!$D$12))),0)+IF(AND(L251="Cafco 400",M251="Software Idiem",C251="C"),((('CAFCO 400 '!$L$7*(J251^3)+'CAFCO 400 '!$L$8*(J251^2)+'CAFCO 400 '!$L$9*J251+'CAFCO 400 '!$L$10)*U251^2)+(('CAFCO 400 '!$L$11*(J251^3)+'CAFCO 400 '!$L$12*(J251^2)+'CAFCO 400 '!$L$13*J251+'CAFCO 400 '!$L$14)*U251)+('CAFCO 400 '!$L$15*LN(J251)+'CAFCO 400 '!$L$16)),0)+IF(AND(L251="Cafco 400",M251="Software Idiem",C251="L"),((('CAFCO 400 '!$L$7*(J251^3)+'CAFCO 400 '!$L$8*(J251^2)+'CAFCO 400 '!$L$9*J251+'CAFCO 400 '!$L$10)*U251^2)+(('CAFCO 400 '!$L$11*(J251^3)+'CAFCO 400 '!$L$12*(J251^2)+'CAFCO 400 '!$L$13*J251+'CAFCO 400 '!$L$14)*U251)+('CAFCO 400 '!$L$15*LN(J251)+'CAFCO 400 '!$L$16)),0)+IF(AND(L251="Cafco 400",M251="Software Idiem",C251="IN",G251=3),((('CAFCO 400 '!$D$23*(J251^2)+'CAFCO 400 '!$D$24*(J251)+'CAFCO 400 '!$D$25)*U251^2)+(('CAFCO 400 '!$D$26*(J251^2)+'CAFCO 400 '!$D$27*J251+'CAFCO 400 '!$D$28)*U251)+('CAFCO 400 '!$D$29*(J251^2)+'CAFCO 400 '!$D$30*J251+'CAFCO 400 '!$D$31)),0),0)+IF(AND(L251="Cafco 300",J251&gt;=95,J251&lt;=240,C251="Cj",I251=90),VLOOKUP(T251,'CAFCO 300 IDIEM TABLAS'!$B$4:$D$23,2,FALSE),0)+IF(AND(L251="Cafco 300",J251&gt;=95,J251&lt;=240,C251="Cj",I251=120),VLOOKUP(T251,'CAFCO 300 IDIEM TABLAS'!$B$4:$D$23,3,FALSE),0)+IF(AND(L251="Cafco 300",J251&gt;=95,J251&lt;=400,G251=3,C251="IN",I251=90),VLOOKUP(T251,'CAFCO 300 IDIEM TABLAS'!$F$4:$H$35,2,FALSE),0)+IF(AND(L251="Cafco 300",J251&gt;=95,J251&lt;=400,G251=3,C251="IN",I251=120),VLOOKUP(T251,'CAFCO 300 IDIEM TABLAS'!$F$4:$H$35,3,FALSE),0)+IF(AND(L251="Cafco 300",J251&gt;=95,J251&lt;=450,G251=4,C251="IN",I251=90),VLOOKUP(T251,'CAFCO 300 IDIEM TABLAS'!$J$4:$L$40,2,FALSE),0)+IF(AND(L251="Cafco 300",J251&gt;=95,J251&lt;=450,G251=4,C251="IN",I251=120),VLOOKUP(T251,'CAFCO 300 IDIEM TABLAS'!$J$4:$L$40,3,FALSE),0)+IF(AND(M251="Ensayo Idiem",L251="Cafco 400",C251="IN",G251=4,I251=90),VLOOKUP(T251,'CAFCO 400 ENSAYO'!$B$7:$D$43,2,FALSE),0)+IF(AND(M251="Ensayo Idiem",L251="Cafco 400",C251="IN",G251=4,I251=120),VLOOKUP(T251,'CAFCO 400 ENSAYO'!$B$7:$D$43,3,FALSE),0)</f>
        <v>0</v>
      </c>
      <c r="O251" s="96">
        <f t="shared" si="27"/>
        <v>0</v>
      </c>
      <c r="P251" s="95" t="str">
        <f t="shared" si="28"/>
        <v>N/A</v>
      </c>
      <c r="Q251" s="95" t="str">
        <f t="shared" si="29"/>
        <v>N/A</v>
      </c>
      <c r="R251" s="95" t="str">
        <f t="shared" si="30"/>
        <v>NO CERT.</v>
      </c>
      <c r="S251" s="95" t="e">
        <f t="shared" si="25"/>
        <v>#N/A</v>
      </c>
      <c r="T251" s="119" t="e">
        <f>+IF(J251=LOOKUP(J251,'CAFCO 300 IDIEM TABLAS'!$J$4:$J$40),'CALCULO MORTERO'!J251,MROUND('CALCULO MORTERO'!J251,10))</f>
        <v>#N/A</v>
      </c>
      <c r="U251" s="118">
        <f t="shared" si="26"/>
        <v>0</v>
      </c>
      <c r="Y251" s="4"/>
      <c r="Z251" s="4"/>
      <c r="AA251" s="4"/>
    </row>
    <row r="252" spans="1:27" ht="15.6" customHeight="1" x14ac:dyDescent="0.25">
      <c r="A252" s="118">
        <f>+CUBICACION!D246</f>
        <v>0</v>
      </c>
      <c r="B252" s="819">
        <f>+CUBICACION!E246</f>
        <v>0</v>
      </c>
      <c r="C252" s="675">
        <f>+CUBICACION!F246</f>
        <v>0</v>
      </c>
      <c r="D252" s="118"/>
      <c r="E252" s="118"/>
      <c r="F252" s="820"/>
      <c r="G252" s="675">
        <f>+CUBICACION!J246</f>
        <v>0</v>
      </c>
      <c r="H252" s="118"/>
      <c r="I252" s="821">
        <f>+CUBICACION!L246</f>
        <v>0</v>
      </c>
      <c r="J252" s="64">
        <f>+CUBICACION!M246</f>
        <v>0</v>
      </c>
      <c r="K252" s="822" t="str">
        <f>+CUBICACION!N246</f>
        <v/>
      </c>
      <c r="L252" s="118">
        <f>+CUBICACION!O246</f>
        <v>0</v>
      </c>
      <c r="M252" s="823">
        <f>+CUBICACION!P246</f>
        <v>0</v>
      </c>
      <c r="N252" s="902">
        <f>ROUND(IF(AND(L252="Blaze Shield II",M252="Software Idiem",C252="IN",G252=4),((('BLAZE SHIELD II'!$D$4*('CALCULO MORTERO'!I252^2)+'BLAZE SHIELD II'!$D$5*'CALCULO MORTERO'!I252+'BLAZE SHIELD II'!$D$6)*LN(J252))+('BLAZE SHIELD II'!$D$7*('CALCULO MORTERO'!I252^2)+'BLAZE SHIELD II'!$D$8*'CALCULO MORTERO'!I252+'BLAZE SHIELD II'!$D$9)),0)+IF(AND(L252="Blaze Shield II",M252="Software Idiem",C252="Cj"),((('BLAZE SHIELD II'!$H$4*('CALCULO MORTERO'!I252^2)+'BLAZE SHIELD II'!$H$5*'CALCULO MORTERO'!I252+'BLAZE SHIELD II'!$H$6)*LN(J252))+('BLAZE SHIELD II'!$H$7*('CALCULO MORTERO'!I252^2)+'BLAZE SHIELD II'!$H$8*'CALCULO MORTERO'!I252+'BLAZE SHIELD II'!$H$9)),0)+IF(AND(L252="Blaze Shield II",M252="Software Idiem",C252="C"),((('BLAZE SHIELD II'!$L$4*('CALCULO MORTERO'!I252^2)+'BLAZE SHIELD II'!$L$5*'CALCULO MORTERO'!I252+'BLAZE SHIELD II'!$L$6)*LN(J252))+('BLAZE SHIELD II'!$L$7*('CALCULO MORTERO'!I252^2)+'BLAZE SHIELD II'!$L$8*'CALCULO MORTERO'!I252+'BLAZE SHIELD II'!$L$9)),0)+IF(AND(L252="Blaze Shield II",M252="Software Idiem",C252="L"),((('BLAZE SHIELD II'!$L$4*('CALCULO MORTERO'!I252^2)+'BLAZE SHIELD II'!$L$5*'CALCULO MORTERO'!I252+'BLAZE SHIELD II'!$L$6)*LN(J252))+('BLAZE SHIELD II'!$L$7*('CALCULO MORTERO'!I252^2)+'BLAZE SHIELD II'!$L$8*'CALCULO MORTERO'!I252+'BLAZE SHIELD II'!$L$9)),0)+IF(AND(L252="Blaze Shield II",M252="Software Idiem",C252="IN",G252=3),((('BLAZE SHIELD II'!$H$14*('CALCULO MORTERO'!I252^2)+'BLAZE SHIELD II'!$H$15*'CALCULO MORTERO'!I252+'BLAZE SHIELD II'!$H$16)*LN(J252))+('BLAZE SHIELD II'!$H$17*('CALCULO MORTERO'!I252^2)+'BLAZE SHIELD II'!$H$18*'CALCULO MORTERO'!I252+'BLAZE SHIELD II'!$H$19)),0),0)+ROUND(IF(AND(L252="Cafco 400",M252="Software Idiem",C252="IN",G252=4),((('CAFCO 400 '!$H$7*(J252^4)+'CAFCO 400 '!$H$8*(J252^3)+'CAFCO 400 '!$H$9*(J252^2)+'CAFCO 400 '!$H$10*J252+'CAFCO 400 '!$H$11)*U252^2)+(('CAFCO 400 '!$H$12*(J252^3)+'CAFCO 400 '!$H$13*(J252^2)+'CAFCO 400 '!$H$14*J252+'CAFCO 400 '!$H$15)*U252)+('CAFCO 400 '!$H$16*(J252^2)+'CAFCO 400 '!$H$17*J252+'CAFCO 400 '!$H$18)),0)+IF(AND(L252="Cafco 400",M252="Software Idiem",C252="Cj"),(((('CAFCO 400 '!$D$7*LN(J252)+'CAFCO 400 '!$D$8)*U252^2)+(('CAFCO 400 '!$D$9*LN(J252)+'CAFCO 400 '!$D$10)*U252)+('CAFCO 400 '!$D$11*LN(J252)+'CAFCO 400 '!$D$12))),0)+IF(AND(L252="Cafco 400",M252="Software Idiem",C252="C"),((('CAFCO 400 '!$L$7*(J252^3)+'CAFCO 400 '!$L$8*(J252^2)+'CAFCO 400 '!$L$9*J252+'CAFCO 400 '!$L$10)*U252^2)+(('CAFCO 400 '!$L$11*(J252^3)+'CAFCO 400 '!$L$12*(J252^2)+'CAFCO 400 '!$L$13*J252+'CAFCO 400 '!$L$14)*U252)+('CAFCO 400 '!$L$15*LN(J252)+'CAFCO 400 '!$L$16)),0)+IF(AND(L252="Cafco 400",M252="Software Idiem",C252="L"),((('CAFCO 400 '!$L$7*(J252^3)+'CAFCO 400 '!$L$8*(J252^2)+'CAFCO 400 '!$L$9*J252+'CAFCO 400 '!$L$10)*U252^2)+(('CAFCO 400 '!$L$11*(J252^3)+'CAFCO 400 '!$L$12*(J252^2)+'CAFCO 400 '!$L$13*J252+'CAFCO 400 '!$L$14)*U252)+('CAFCO 400 '!$L$15*LN(J252)+'CAFCO 400 '!$L$16)),0)+IF(AND(L252="Cafco 400",M252="Software Idiem",C252="IN",G252=3),((('CAFCO 400 '!$D$23*(J252^2)+'CAFCO 400 '!$D$24*(J252)+'CAFCO 400 '!$D$25)*U252^2)+(('CAFCO 400 '!$D$26*(J252^2)+'CAFCO 400 '!$D$27*J252+'CAFCO 400 '!$D$28)*U252)+('CAFCO 400 '!$D$29*(J252^2)+'CAFCO 400 '!$D$30*J252+'CAFCO 400 '!$D$31)),0),0)+IF(AND(L252="Cafco 300",J252&gt;=95,J252&lt;=240,C252="Cj",I252=90),VLOOKUP(T252,'CAFCO 300 IDIEM TABLAS'!$B$4:$D$23,2,FALSE),0)+IF(AND(L252="Cafco 300",J252&gt;=95,J252&lt;=240,C252="Cj",I252=120),VLOOKUP(T252,'CAFCO 300 IDIEM TABLAS'!$B$4:$D$23,3,FALSE),0)+IF(AND(L252="Cafco 300",J252&gt;=95,J252&lt;=400,G252=3,C252="IN",I252=90),VLOOKUP(T252,'CAFCO 300 IDIEM TABLAS'!$F$4:$H$35,2,FALSE),0)+IF(AND(L252="Cafco 300",J252&gt;=95,J252&lt;=400,G252=3,C252="IN",I252=120),VLOOKUP(T252,'CAFCO 300 IDIEM TABLAS'!$F$4:$H$35,3,FALSE),0)+IF(AND(L252="Cafco 300",J252&gt;=95,J252&lt;=450,G252=4,C252="IN",I252=90),VLOOKUP(T252,'CAFCO 300 IDIEM TABLAS'!$J$4:$L$40,2,FALSE),0)+IF(AND(L252="Cafco 300",J252&gt;=95,J252&lt;=450,G252=4,C252="IN",I252=120),VLOOKUP(T252,'CAFCO 300 IDIEM TABLAS'!$J$4:$L$40,3,FALSE),0)+IF(AND(M252="Ensayo Idiem",L252="Cafco 400",C252="IN",G252=4,I252=90),VLOOKUP(T252,'CAFCO 400 ENSAYO'!$B$7:$D$43,2,FALSE),0)+IF(AND(M252="Ensayo Idiem",L252="Cafco 400",C252="IN",G252=4,I252=120),VLOOKUP(T252,'CAFCO 400 ENSAYO'!$B$7:$D$43,3,FALSE),0)</f>
        <v>0</v>
      </c>
      <c r="O252" s="96">
        <f t="shared" si="27"/>
        <v>0</v>
      </c>
      <c r="P252" s="95" t="str">
        <f t="shared" si="28"/>
        <v>N/A</v>
      </c>
      <c r="Q252" s="95" t="str">
        <f t="shared" si="29"/>
        <v>N/A</v>
      </c>
      <c r="R252" s="95" t="str">
        <f t="shared" si="30"/>
        <v>NO CERT.</v>
      </c>
      <c r="S252" s="95" t="e">
        <f t="shared" si="25"/>
        <v>#N/A</v>
      </c>
      <c r="T252" s="119" t="e">
        <f>+IF(J252=LOOKUP(J252,'CAFCO 300 IDIEM TABLAS'!$J$4:$J$40),'CALCULO MORTERO'!J252,MROUND('CALCULO MORTERO'!J252,10))</f>
        <v>#N/A</v>
      </c>
      <c r="U252" s="118">
        <f t="shared" si="26"/>
        <v>0</v>
      </c>
      <c r="Y252" s="4"/>
      <c r="Z252" s="4"/>
      <c r="AA252" s="4"/>
    </row>
    <row r="253" spans="1:27" x14ac:dyDescent="0.25">
      <c r="A253" s="118">
        <f>+CUBICACION!D247</f>
        <v>0</v>
      </c>
      <c r="B253" s="819">
        <f>+CUBICACION!E247</f>
        <v>0</v>
      </c>
      <c r="C253" s="675">
        <f>+CUBICACION!F247</f>
        <v>0</v>
      </c>
      <c r="D253" s="118"/>
      <c r="E253" s="118"/>
      <c r="F253" s="820"/>
      <c r="G253" s="675">
        <f>+CUBICACION!J247</f>
        <v>0</v>
      </c>
      <c r="H253" s="118"/>
      <c r="I253" s="821">
        <f>+CUBICACION!L247</f>
        <v>0</v>
      </c>
      <c r="J253" s="64">
        <f>+CUBICACION!M247</f>
        <v>0</v>
      </c>
      <c r="K253" s="822" t="str">
        <f>+CUBICACION!N247</f>
        <v/>
      </c>
      <c r="L253" s="118">
        <f>+CUBICACION!O247</f>
        <v>0</v>
      </c>
      <c r="M253" s="823">
        <f>+CUBICACION!P247</f>
        <v>0</v>
      </c>
      <c r="N253" s="902">
        <f>ROUND(IF(AND(L253="Blaze Shield II",M253="Software Idiem",C253="IN",G253=4),((('BLAZE SHIELD II'!$D$4*('CALCULO MORTERO'!I253^2)+'BLAZE SHIELD II'!$D$5*'CALCULO MORTERO'!I253+'BLAZE SHIELD II'!$D$6)*LN(J253))+('BLAZE SHIELD II'!$D$7*('CALCULO MORTERO'!I253^2)+'BLAZE SHIELD II'!$D$8*'CALCULO MORTERO'!I253+'BLAZE SHIELD II'!$D$9)),0)+IF(AND(L253="Blaze Shield II",M253="Software Idiem",C253="Cj"),((('BLAZE SHIELD II'!$H$4*('CALCULO MORTERO'!I253^2)+'BLAZE SHIELD II'!$H$5*'CALCULO MORTERO'!I253+'BLAZE SHIELD II'!$H$6)*LN(J253))+('BLAZE SHIELD II'!$H$7*('CALCULO MORTERO'!I253^2)+'BLAZE SHIELD II'!$H$8*'CALCULO MORTERO'!I253+'BLAZE SHIELD II'!$H$9)),0)+IF(AND(L253="Blaze Shield II",M253="Software Idiem",C253="C"),((('BLAZE SHIELD II'!$L$4*('CALCULO MORTERO'!I253^2)+'BLAZE SHIELD II'!$L$5*'CALCULO MORTERO'!I253+'BLAZE SHIELD II'!$L$6)*LN(J253))+('BLAZE SHIELD II'!$L$7*('CALCULO MORTERO'!I253^2)+'BLAZE SHIELD II'!$L$8*'CALCULO MORTERO'!I253+'BLAZE SHIELD II'!$L$9)),0)+IF(AND(L253="Blaze Shield II",M253="Software Idiem",C253="L"),((('BLAZE SHIELD II'!$L$4*('CALCULO MORTERO'!I253^2)+'BLAZE SHIELD II'!$L$5*'CALCULO MORTERO'!I253+'BLAZE SHIELD II'!$L$6)*LN(J253))+('BLAZE SHIELD II'!$L$7*('CALCULO MORTERO'!I253^2)+'BLAZE SHIELD II'!$L$8*'CALCULO MORTERO'!I253+'BLAZE SHIELD II'!$L$9)),0)+IF(AND(L253="Blaze Shield II",M253="Software Idiem",C253="IN",G253=3),((('BLAZE SHIELD II'!$H$14*('CALCULO MORTERO'!I253^2)+'BLAZE SHIELD II'!$H$15*'CALCULO MORTERO'!I253+'BLAZE SHIELD II'!$H$16)*LN(J253))+('BLAZE SHIELD II'!$H$17*('CALCULO MORTERO'!I253^2)+'BLAZE SHIELD II'!$H$18*'CALCULO MORTERO'!I253+'BLAZE SHIELD II'!$H$19)),0),0)+ROUND(IF(AND(L253="Cafco 400",M253="Software Idiem",C253="IN",G253=4),((('CAFCO 400 '!$H$7*(J253^4)+'CAFCO 400 '!$H$8*(J253^3)+'CAFCO 400 '!$H$9*(J253^2)+'CAFCO 400 '!$H$10*J253+'CAFCO 400 '!$H$11)*U253^2)+(('CAFCO 400 '!$H$12*(J253^3)+'CAFCO 400 '!$H$13*(J253^2)+'CAFCO 400 '!$H$14*J253+'CAFCO 400 '!$H$15)*U253)+('CAFCO 400 '!$H$16*(J253^2)+'CAFCO 400 '!$H$17*J253+'CAFCO 400 '!$H$18)),0)+IF(AND(L253="Cafco 400",M253="Software Idiem",C253="Cj"),(((('CAFCO 400 '!$D$7*LN(J253)+'CAFCO 400 '!$D$8)*U253^2)+(('CAFCO 400 '!$D$9*LN(J253)+'CAFCO 400 '!$D$10)*U253)+('CAFCO 400 '!$D$11*LN(J253)+'CAFCO 400 '!$D$12))),0)+IF(AND(L253="Cafco 400",M253="Software Idiem",C253="C"),((('CAFCO 400 '!$L$7*(J253^3)+'CAFCO 400 '!$L$8*(J253^2)+'CAFCO 400 '!$L$9*J253+'CAFCO 400 '!$L$10)*U253^2)+(('CAFCO 400 '!$L$11*(J253^3)+'CAFCO 400 '!$L$12*(J253^2)+'CAFCO 400 '!$L$13*J253+'CAFCO 400 '!$L$14)*U253)+('CAFCO 400 '!$L$15*LN(J253)+'CAFCO 400 '!$L$16)),0)+IF(AND(L253="Cafco 400",M253="Software Idiem",C253="L"),((('CAFCO 400 '!$L$7*(J253^3)+'CAFCO 400 '!$L$8*(J253^2)+'CAFCO 400 '!$L$9*J253+'CAFCO 400 '!$L$10)*U253^2)+(('CAFCO 400 '!$L$11*(J253^3)+'CAFCO 400 '!$L$12*(J253^2)+'CAFCO 400 '!$L$13*J253+'CAFCO 400 '!$L$14)*U253)+('CAFCO 400 '!$L$15*LN(J253)+'CAFCO 400 '!$L$16)),0)+IF(AND(L253="Cafco 400",M253="Software Idiem",C253="IN",G253=3),((('CAFCO 400 '!$D$23*(J253^2)+'CAFCO 400 '!$D$24*(J253)+'CAFCO 400 '!$D$25)*U253^2)+(('CAFCO 400 '!$D$26*(J253^2)+'CAFCO 400 '!$D$27*J253+'CAFCO 400 '!$D$28)*U253)+('CAFCO 400 '!$D$29*(J253^2)+'CAFCO 400 '!$D$30*J253+'CAFCO 400 '!$D$31)),0),0)+IF(AND(L253="Cafco 300",J253&gt;=95,J253&lt;=240,C253="Cj",I253=90),VLOOKUP(T253,'CAFCO 300 IDIEM TABLAS'!$B$4:$D$23,2,FALSE),0)+IF(AND(L253="Cafco 300",J253&gt;=95,J253&lt;=240,C253="Cj",I253=120),VLOOKUP(T253,'CAFCO 300 IDIEM TABLAS'!$B$4:$D$23,3,FALSE),0)+IF(AND(L253="Cafco 300",J253&gt;=95,J253&lt;=400,G253=3,C253="IN",I253=90),VLOOKUP(T253,'CAFCO 300 IDIEM TABLAS'!$F$4:$H$35,2,FALSE),0)+IF(AND(L253="Cafco 300",J253&gt;=95,J253&lt;=400,G253=3,C253="IN",I253=120),VLOOKUP(T253,'CAFCO 300 IDIEM TABLAS'!$F$4:$H$35,3,FALSE),0)+IF(AND(L253="Cafco 300",J253&gt;=95,J253&lt;=450,G253=4,C253="IN",I253=90),VLOOKUP(T253,'CAFCO 300 IDIEM TABLAS'!$J$4:$L$40,2,FALSE),0)+IF(AND(L253="Cafco 300",J253&gt;=95,J253&lt;=450,G253=4,C253="IN",I253=120),VLOOKUP(T253,'CAFCO 300 IDIEM TABLAS'!$J$4:$L$40,3,FALSE),0)+IF(AND(M253="Ensayo Idiem",L253="Cafco 400",C253="IN",G253=4,I253=90),VLOOKUP(T253,'CAFCO 400 ENSAYO'!$B$7:$D$43,2,FALSE),0)+IF(AND(M253="Ensayo Idiem",L253="Cafco 400",C253="IN",G253=4,I253=120),VLOOKUP(T253,'CAFCO 400 ENSAYO'!$B$7:$D$43,3,FALSE),0)</f>
        <v>0</v>
      </c>
      <c r="O253" s="96">
        <f t="shared" si="27"/>
        <v>0</v>
      </c>
      <c r="P253" s="95" t="str">
        <f t="shared" si="28"/>
        <v>N/A</v>
      </c>
      <c r="Q253" s="95" t="str">
        <f t="shared" si="29"/>
        <v>N/A</v>
      </c>
      <c r="R253" s="95" t="str">
        <f t="shared" si="30"/>
        <v>NO CERT.</v>
      </c>
      <c r="S253" s="95" t="e">
        <f t="shared" si="25"/>
        <v>#N/A</v>
      </c>
      <c r="T253" s="119" t="e">
        <f>+IF(J253=LOOKUP(J253,'CAFCO 300 IDIEM TABLAS'!$J$4:$J$40),'CALCULO MORTERO'!J253,MROUND('CALCULO MORTERO'!J253,10))</f>
        <v>#N/A</v>
      </c>
      <c r="U253" s="118">
        <f t="shared" si="26"/>
        <v>0</v>
      </c>
      <c r="Y253" s="4"/>
      <c r="Z253" s="4"/>
      <c r="AA253" s="4"/>
    </row>
    <row r="254" spans="1:27" ht="15.6" customHeight="1" x14ac:dyDescent="0.25">
      <c r="A254" s="118">
        <f>+CUBICACION!D248</f>
        <v>0</v>
      </c>
      <c r="B254" s="819">
        <f>+CUBICACION!E248</f>
        <v>0</v>
      </c>
      <c r="C254" s="675">
        <f>+CUBICACION!F248</f>
        <v>0</v>
      </c>
      <c r="D254" s="118"/>
      <c r="E254" s="118"/>
      <c r="F254" s="820"/>
      <c r="G254" s="675">
        <f>+CUBICACION!J248</f>
        <v>0</v>
      </c>
      <c r="H254" s="118"/>
      <c r="I254" s="821">
        <f>+CUBICACION!L248</f>
        <v>0</v>
      </c>
      <c r="J254" s="64">
        <f>+CUBICACION!M248</f>
        <v>0</v>
      </c>
      <c r="K254" s="822" t="str">
        <f>+CUBICACION!N248</f>
        <v/>
      </c>
      <c r="L254" s="118">
        <f>+CUBICACION!O248</f>
        <v>0</v>
      </c>
      <c r="M254" s="823">
        <f>+CUBICACION!P248</f>
        <v>0</v>
      </c>
      <c r="N254" s="902">
        <f>ROUND(IF(AND(L254="Blaze Shield II",M254="Software Idiem",C254="IN",G254=4),((('BLAZE SHIELD II'!$D$4*('CALCULO MORTERO'!I254^2)+'BLAZE SHIELD II'!$D$5*'CALCULO MORTERO'!I254+'BLAZE SHIELD II'!$D$6)*LN(J254))+('BLAZE SHIELD II'!$D$7*('CALCULO MORTERO'!I254^2)+'BLAZE SHIELD II'!$D$8*'CALCULO MORTERO'!I254+'BLAZE SHIELD II'!$D$9)),0)+IF(AND(L254="Blaze Shield II",M254="Software Idiem",C254="Cj"),((('BLAZE SHIELD II'!$H$4*('CALCULO MORTERO'!I254^2)+'BLAZE SHIELD II'!$H$5*'CALCULO MORTERO'!I254+'BLAZE SHIELD II'!$H$6)*LN(J254))+('BLAZE SHIELD II'!$H$7*('CALCULO MORTERO'!I254^2)+'BLAZE SHIELD II'!$H$8*'CALCULO MORTERO'!I254+'BLAZE SHIELD II'!$H$9)),0)+IF(AND(L254="Blaze Shield II",M254="Software Idiem",C254="C"),((('BLAZE SHIELD II'!$L$4*('CALCULO MORTERO'!I254^2)+'BLAZE SHIELD II'!$L$5*'CALCULO MORTERO'!I254+'BLAZE SHIELD II'!$L$6)*LN(J254))+('BLAZE SHIELD II'!$L$7*('CALCULO MORTERO'!I254^2)+'BLAZE SHIELD II'!$L$8*'CALCULO MORTERO'!I254+'BLAZE SHIELD II'!$L$9)),0)+IF(AND(L254="Blaze Shield II",M254="Software Idiem",C254="L"),((('BLAZE SHIELD II'!$L$4*('CALCULO MORTERO'!I254^2)+'BLAZE SHIELD II'!$L$5*'CALCULO MORTERO'!I254+'BLAZE SHIELD II'!$L$6)*LN(J254))+('BLAZE SHIELD II'!$L$7*('CALCULO MORTERO'!I254^2)+'BLAZE SHIELD II'!$L$8*'CALCULO MORTERO'!I254+'BLAZE SHIELD II'!$L$9)),0)+IF(AND(L254="Blaze Shield II",M254="Software Idiem",C254="IN",G254=3),((('BLAZE SHIELD II'!$H$14*('CALCULO MORTERO'!I254^2)+'BLAZE SHIELD II'!$H$15*'CALCULO MORTERO'!I254+'BLAZE SHIELD II'!$H$16)*LN(J254))+('BLAZE SHIELD II'!$H$17*('CALCULO MORTERO'!I254^2)+'BLAZE SHIELD II'!$H$18*'CALCULO MORTERO'!I254+'BLAZE SHIELD II'!$H$19)),0),0)+ROUND(IF(AND(L254="Cafco 400",M254="Software Idiem",C254="IN",G254=4),((('CAFCO 400 '!$H$7*(J254^4)+'CAFCO 400 '!$H$8*(J254^3)+'CAFCO 400 '!$H$9*(J254^2)+'CAFCO 400 '!$H$10*J254+'CAFCO 400 '!$H$11)*U254^2)+(('CAFCO 400 '!$H$12*(J254^3)+'CAFCO 400 '!$H$13*(J254^2)+'CAFCO 400 '!$H$14*J254+'CAFCO 400 '!$H$15)*U254)+('CAFCO 400 '!$H$16*(J254^2)+'CAFCO 400 '!$H$17*J254+'CAFCO 400 '!$H$18)),0)+IF(AND(L254="Cafco 400",M254="Software Idiem",C254="Cj"),(((('CAFCO 400 '!$D$7*LN(J254)+'CAFCO 400 '!$D$8)*U254^2)+(('CAFCO 400 '!$D$9*LN(J254)+'CAFCO 400 '!$D$10)*U254)+('CAFCO 400 '!$D$11*LN(J254)+'CAFCO 400 '!$D$12))),0)+IF(AND(L254="Cafco 400",M254="Software Idiem",C254="C"),((('CAFCO 400 '!$L$7*(J254^3)+'CAFCO 400 '!$L$8*(J254^2)+'CAFCO 400 '!$L$9*J254+'CAFCO 400 '!$L$10)*U254^2)+(('CAFCO 400 '!$L$11*(J254^3)+'CAFCO 400 '!$L$12*(J254^2)+'CAFCO 400 '!$L$13*J254+'CAFCO 400 '!$L$14)*U254)+('CAFCO 400 '!$L$15*LN(J254)+'CAFCO 400 '!$L$16)),0)+IF(AND(L254="Cafco 400",M254="Software Idiem",C254="L"),((('CAFCO 400 '!$L$7*(J254^3)+'CAFCO 400 '!$L$8*(J254^2)+'CAFCO 400 '!$L$9*J254+'CAFCO 400 '!$L$10)*U254^2)+(('CAFCO 400 '!$L$11*(J254^3)+'CAFCO 400 '!$L$12*(J254^2)+'CAFCO 400 '!$L$13*J254+'CAFCO 400 '!$L$14)*U254)+('CAFCO 400 '!$L$15*LN(J254)+'CAFCO 400 '!$L$16)),0)+IF(AND(L254="Cafco 400",M254="Software Idiem",C254="IN",G254=3),((('CAFCO 400 '!$D$23*(J254^2)+'CAFCO 400 '!$D$24*(J254)+'CAFCO 400 '!$D$25)*U254^2)+(('CAFCO 400 '!$D$26*(J254^2)+'CAFCO 400 '!$D$27*J254+'CAFCO 400 '!$D$28)*U254)+('CAFCO 400 '!$D$29*(J254^2)+'CAFCO 400 '!$D$30*J254+'CAFCO 400 '!$D$31)),0),0)+IF(AND(L254="Cafco 300",J254&gt;=95,J254&lt;=240,C254="Cj",I254=90),VLOOKUP(T254,'CAFCO 300 IDIEM TABLAS'!$B$4:$D$23,2,FALSE),0)+IF(AND(L254="Cafco 300",J254&gt;=95,J254&lt;=240,C254="Cj",I254=120),VLOOKUP(T254,'CAFCO 300 IDIEM TABLAS'!$B$4:$D$23,3,FALSE),0)+IF(AND(L254="Cafco 300",J254&gt;=95,J254&lt;=400,G254=3,C254="IN",I254=90),VLOOKUP(T254,'CAFCO 300 IDIEM TABLAS'!$F$4:$H$35,2,FALSE),0)+IF(AND(L254="Cafco 300",J254&gt;=95,J254&lt;=400,G254=3,C254="IN",I254=120),VLOOKUP(T254,'CAFCO 300 IDIEM TABLAS'!$F$4:$H$35,3,FALSE),0)+IF(AND(L254="Cafco 300",J254&gt;=95,J254&lt;=450,G254=4,C254="IN",I254=90),VLOOKUP(T254,'CAFCO 300 IDIEM TABLAS'!$J$4:$L$40,2,FALSE),0)+IF(AND(L254="Cafco 300",J254&gt;=95,J254&lt;=450,G254=4,C254="IN",I254=120),VLOOKUP(T254,'CAFCO 300 IDIEM TABLAS'!$J$4:$L$40,3,FALSE),0)+IF(AND(M254="Ensayo Idiem",L254="Cafco 400",C254="IN",G254=4,I254=90),VLOOKUP(T254,'CAFCO 400 ENSAYO'!$B$7:$D$43,2,FALSE),0)+IF(AND(M254="Ensayo Idiem",L254="Cafco 400",C254="IN",G254=4,I254=120),VLOOKUP(T254,'CAFCO 400 ENSAYO'!$B$7:$D$43,3,FALSE),0)</f>
        <v>0</v>
      </c>
      <c r="O254" s="96">
        <f t="shared" si="27"/>
        <v>0</v>
      </c>
      <c r="P254" s="95" t="str">
        <f t="shared" si="28"/>
        <v>N/A</v>
      </c>
      <c r="Q254" s="95" t="str">
        <f t="shared" si="29"/>
        <v>N/A</v>
      </c>
      <c r="R254" s="95" t="str">
        <f t="shared" si="30"/>
        <v>NO CERT.</v>
      </c>
      <c r="S254" s="95" t="e">
        <f t="shared" si="25"/>
        <v>#N/A</v>
      </c>
      <c r="T254" s="119" t="e">
        <f>+IF(J254=LOOKUP(J254,'CAFCO 300 IDIEM TABLAS'!$J$4:$J$40),'CALCULO MORTERO'!J254,MROUND('CALCULO MORTERO'!J254,10))</f>
        <v>#N/A</v>
      </c>
      <c r="U254" s="118">
        <f t="shared" si="26"/>
        <v>0</v>
      </c>
      <c r="Y254" s="4"/>
      <c r="Z254" s="4"/>
      <c r="AA254" s="4"/>
    </row>
    <row r="255" spans="1:27" x14ac:dyDescent="0.25">
      <c r="A255" s="118">
        <f>+CUBICACION!D249</f>
        <v>0</v>
      </c>
      <c r="B255" s="819">
        <f>+CUBICACION!E249</f>
        <v>0</v>
      </c>
      <c r="C255" s="675">
        <f>+CUBICACION!F249</f>
        <v>0</v>
      </c>
      <c r="D255" s="118"/>
      <c r="E255" s="118"/>
      <c r="F255" s="820"/>
      <c r="G255" s="675">
        <f>+CUBICACION!J249</f>
        <v>0</v>
      </c>
      <c r="H255" s="118"/>
      <c r="I255" s="821">
        <f>+CUBICACION!L249</f>
        <v>0</v>
      </c>
      <c r="J255" s="64">
        <f>+CUBICACION!M249</f>
        <v>0</v>
      </c>
      <c r="K255" s="822" t="str">
        <f>+CUBICACION!N249</f>
        <v/>
      </c>
      <c r="L255" s="118">
        <f>+CUBICACION!O249</f>
        <v>0</v>
      </c>
      <c r="M255" s="823">
        <f>+CUBICACION!P249</f>
        <v>0</v>
      </c>
      <c r="N255" s="902">
        <f>ROUND(IF(AND(L255="Blaze Shield II",M255="Software Idiem",C255="IN",G255=4),((('BLAZE SHIELD II'!$D$4*('CALCULO MORTERO'!I255^2)+'BLAZE SHIELD II'!$D$5*'CALCULO MORTERO'!I255+'BLAZE SHIELD II'!$D$6)*LN(J255))+('BLAZE SHIELD II'!$D$7*('CALCULO MORTERO'!I255^2)+'BLAZE SHIELD II'!$D$8*'CALCULO MORTERO'!I255+'BLAZE SHIELD II'!$D$9)),0)+IF(AND(L255="Blaze Shield II",M255="Software Idiem",C255="Cj"),((('BLAZE SHIELD II'!$H$4*('CALCULO MORTERO'!I255^2)+'BLAZE SHIELD II'!$H$5*'CALCULO MORTERO'!I255+'BLAZE SHIELD II'!$H$6)*LN(J255))+('BLAZE SHIELD II'!$H$7*('CALCULO MORTERO'!I255^2)+'BLAZE SHIELD II'!$H$8*'CALCULO MORTERO'!I255+'BLAZE SHIELD II'!$H$9)),0)+IF(AND(L255="Blaze Shield II",M255="Software Idiem",C255="C"),((('BLAZE SHIELD II'!$L$4*('CALCULO MORTERO'!I255^2)+'BLAZE SHIELD II'!$L$5*'CALCULO MORTERO'!I255+'BLAZE SHIELD II'!$L$6)*LN(J255))+('BLAZE SHIELD II'!$L$7*('CALCULO MORTERO'!I255^2)+'BLAZE SHIELD II'!$L$8*'CALCULO MORTERO'!I255+'BLAZE SHIELD II'!$L$9)),0)+IF(AND(L255="Blaze Shield II",M255="Software Idiem",C255="L"),((('BLAZE SHIELD II'!$L$4*('CALCULO MORTERO'!I255^2)+'BLAZE SHIELD II'!$L$5*'CALCULO MORTERO'!I255+'BLAZE SHIELD II'!$L$6)*LN(J255))+('BLAZE SHIELD II'!$L$7*('CALCULO MORTERO'!I255^2)+'BLAZE SHIELD II'!$L$8*'CALCULO MORTERO'!I255+'BLAZE SHIELD II'!$L$9)),0)+IF(AND(L255="Blaze Shield II",M255="Software Idiem",C255="IN",G255=3),((('BLAZE SHIELD II'!$H$14*('CALCULO MORTERO'!I255^2)+'BLAZE SHIELD II'!$H$15*'CALCULO MORTERO'!I255+'BLAZE SHIELD II'!$H$16)*LN(J255))+('BLAZE SHIELD II'!$H$17*('CALCULO MORTERO'!I255^2)+'BLAZE SHIELD II'!$H$18*'CALCULO MORTERO'!I255+'BLAZE SHIELD II'!$H$19)),0),0)+ROUND(IF(AND(L255="Cafco 400",M255="Software Idiem",C255="IN",G255=4),((('CAFCO 400 '!$H$7*(J255^4)+'CAFCO 400 '!$H$8*(J255^3)+'CAFCO 400 '!$H$9*(J255^2)+'CAFCO 400 '!$H$10*J255+'CAFCO 400 '!$H$11)*U255^2)+(('CAFCO 400 '!$H$12*(J255^3)+'CAFCO 400 '!$H$13*(J255^2)+'CAFCO 400 '!$H$14*J255+'CAFCO 400 '!$H$15)*U255)+('CAFCO 400 '!$H$16*(J255^2)+'CAFCO 400 '!$H$17*J255+'CAFCO 400 '!$H$18)),0)+IF(AND(L255="Cafco 400",M255="Software Idiem",C255="Cj"),(((('CAFCO 400 '!$D$7*LN(J255)+'CAFCO 400 '!$D$8)*U255^2)+(('CAFCO 400 '!$D$9*LN(J255)+'CAFCO 400 '!$D$10)*U255)+('CAFCO 400 '!$D$11*LN(J255)+'CAFCO 400 '!$D$12))),0)+IF(AND(L255="Cafco 400",M255="Software Idiem",C255="C"),((('CAFCO 400 '!$L$7*(J255^3)+'CAFCO 400 '!$L$8*(J255^2)+'CAFCO 400 '!$L$9*J255+'CAFCO 400 '!$L$10)*U255^2)+(('CAFCO 400 '!$L$11*(J255^3)+'CAFCO 400 '!$L$12*(J255^2)+'CAFCO 400 '!$L$13*J255+'CAFCO 400 '!$L$14)*U255)+('CAFCO 400 '!$L$15*LN(J255)+'CAFCO 400 '!$L$16)),0)+IF(AND(L255="Cafco 400",M255="Software Idiem",C255="L"),((('CAFCO 400 '!$L$7*(J255^3)+'CAFCO 400 '!$L$8*(J255^2)+'CAFCO 400 '!$L$9*J255+'CAFCO 400 '!$L$10)*U255^2)+(('CAFCO 400 '!$L$11*(J255^3)+'CAFCO 400 '!$L$12*(J255^2)+'CAFCO 400 '!$L$13*J255+'CAFCO 400 '!$L$14)*U255)+('CAFCO 400 '!$L$15*LN(J255)+'CAFCO 400 '!$L$16)),0)+IF(AND(L255="Cafco 400",M255="Software Idiem",C255="IN",G255=3),((('CAFCO 400 '!$D$23*(J255^2)+'CAFCO 400 '!$D$24*(J255)+'CAFCO 400 '!$D$25)*U255^2)+(('CAFCO 400 '!$D$26*(J255^2)+'CAFCO 400 '!$D$27*J255+'CAFCO 400 '!$D$28)*U255)+('CAFCO 400 '!$D$29*(J255^2)+'CAFCO 400 '!$D$30*J255+'CAFCO 400 '!$D$31)),0),0)+IF(AND(L255="Cafco 300",J255&gt;=95,J255&lt;=240,C255="Cj",I255=90),VLOOKUP(T255,'CAFCO 300 IDIEM TABLAS'!$B$4:$D$23,2,FALSE),0)+IF(AND(L255="Cafco 300",J255&gt;=95,J255&lt;=240,C255="Cj",I255=120),VLOOKUP(T255,'CAFCO 300 IDIEM TABLAS'!$B$4:$D$23,3,FALSE),0)+IF(AND(L255="Cafco 300",J255&gt;=95,J255&lt;=400,G255=3,C255="IN",I255=90),VLOOKUP(T255,'CAFCO 300 IDIEM TABLAS'!$F$4:$H$35,2,FALSE),0)+IF(AND(L255="Cafco 300",J255&gt;=95,J255&lt;=400,G255=3,C255="IN",I255=120),VLOOKUP(T255,'CAFCO 300 IDIEM TABLAS'!$F$4:$H$35,3,FALSE),0)+IF(AND(L255="Cafco 300",J255&gt;=95,J255&lt;=450,G255=4,C255="IN",I255=90),VLOOKUP(T255,'CAFCO 300 IDIEM TABLAS'!$J$4:$L$40,2,FALSE),0)+IF(AND(L255="Cafco 300",J255&gt;=95,J255&lt;=450,G255=4,C255="IN",I255=120),VLOOKUP(T255,'CAFCO 300 IDIEM TABLAS'!$J$4:$L$40,3,FALSE),0)+IF(AND(M255="Ensayo Idiem",L255="Cafco 400",C255="IN",G255=4,I255=90),VLOOKUP(T255,'CAFCO 400 ENSAYO'!$B$7:$D$43,2,FALSE),0)+IF(AND(M255="Ensayo Idiem",L255="Cafco 400",C255="IN",G255=4,I255=120),VLOOKUP(T255,'CAFCO 400 ENSAYO'!$B$7:$D$43,3,FALSE),0)</f>
        <v>0</v>
      </c>
      <c r="O255" s="96">
        <f t="shared" si="27"/>
        <v>0</v>
      </c>
      <c r="P255" s="95" t="str">
        <f t="shared" si="28"/>
        <v>N/A</v>
      </c>
      <c r="Q255" s="95" t="str">
        <f t="shared" si="29"/>
        <v>N/A</v>
      </c>
      <c r="R255" s="95" t="str">
        <f t="shared" si="30"/>
        <v>NO CERT.</v>
      </c>
      <c r="S255" s="95" t="e">
        <f t="shared" si="25"/>
        <v>#N/A</v>
      </c>
      <c r="T255" s="119" t="e">
        <f>+IF(J255=LOOKUP(J255,'CAFCO 300 IDIEM TABLAS'!$J$4:$J$40),'CALCULO MORTERO'!J255,MROUND('CALCULO MORTERO'!J255,10))</f>
        <v>#N/A</v>
      </c>
      <c r="U255" s="118">
        <f t="shared" si="26"/>
        <v>0</v>
      </c>
      <c r="Y255" s="4"/>
      <c r="Z255" s="4"/>
      <c r="AA255" s="4"/>
    </row>
    <row r="256" spans="1:27" ht="15.6" customHeight="1" x14ac:dyDescent="0.25">
      <c r="A256" s="118">
        <f>+CUBICACION!D250</f>
        <v>0</v>
      </c>
      <c r="B256" s="819">
        <f>+CUBICACION!E250</f>
        <v>0</v>
      </c>
      <c r="C256" s="675">
        <f>+CUBICACION!F250</f>
        <v>0</v>
      </c>
      <c r="D256" s="118"/>
      <c r="E256" s="118"/>
      <c r="F256" s="820"/>
      <c r="G256" s="675">
        <f>+CUBICACION!J250</f>
        <v>0</v>
      </c>
      <c r="H256" s="118"/>
      <c r="I256" s="821">
        <f>+CUBICACION!L250</f>
        <v>0</v>
      </c>
      <c r="J256" s="64">
        <f>+CUBICACION!M250</f>
        <v>0</v>
      </c>
      <c r="K256" s="822" t="str">
        <f>+CUBICACION!N250</f>
        <v/>
      </c>
      <c r="L256" s="118">
        <f>+CUBICACION!O250</f>
        <v>0</v>
      </c>
      <c r="M256" s="823">
        <f>+CUBICACION!P250</f>
        <v>0</v>
      </c>
      <c r="N256" s="902">
        <f>ROUND(IF(AND(L256="Blaze Shield II",M256="Software Idiem",C256="IN",G256=4),((('BLAZE SHIELD II'!$D$4*('CALCULO MORTERO'!I256^2)+'BLAZE SHIELD II'!$D$5*'CALCULO MORTERO'!I256+'BLAZE SHIELD II'!$D$6)*LN(J256))+('BLAZE SHIELD II'!$D$7*('CALCULO MORTERO'!I256^2)+'BLAZE SHIELD II'!$D$8*'CALCULO MORTERO'!I256+'BLAZE SHIELD II'!$D$9)),0)+IF(AND(L256="Blaze Shield II",M256="Software Idiem",C256="Cj"),((('BLAZE SHIELD II'!$H$4*('CALCULO MORTERO'!I256^2)+'BLAZE SHIELD II'!$H$5*'CALCULO MORTERO'!I256+'BLAZE SHIELD II'!$H$6)*LN(J256))+('BLAZE SHIELD II'!$H$7*('CALCULO MORTERO'!I256^2)+'BLAZE SHIELD II'!$H$8*'CALCULO MORTERO'!I256+'BLAZE SHIELD II'!$H$9)),0)+IF(AND(L256="Blaze Shield II",M256="Software Idiem",C256="C"),((('BLAZE SHIELD II'!$L$4*('CALCULO MORTERO'!I256^2)+'BLAZE SHIELD II'!$L$5*'CALCULO MORTERO'!I256+'BLAZE SHIELD II'!$L$6)*LN(J256))+('BLAZE SHIELD II'!$L$7*('CALCULO MORTERO'!I256^2)+'BLAZE SHIELD II'!$L$8*'CALCULO MORTERO'!I256+'BLAZE SHIELD II'!$L$9)),0)+IF(AND(L256="Blaze Shield II",M256="Software Idiem",C256="L"),((('BLAZE SHIELD II'!$L$4*('CALCULO MORTERO'!I256^2)+'BLAZE SHIELD II'!$L$5*'CALCULO MORTERO'!I256+'BLAZE SHIELD II'!$L$6)*LN(J256))+('BLAZE SHIELD II'!$L$7*('CALCULO MORTERO'!I256^2)+'BLAZE SHIELD II'!$L$8*'CALCULO MORTERO'!I256+'BLAZE SHIELD II'!$L$9)),0)+IF(AND(L256="Blaze Shield II",M256="Software Idiem",C256="IN",G256=3),((('BLAZE SHIELD II'!$H$14*('CALCULO MORTERO'!I256^2)+'BLAZE SHIELD II'!$H$15*'CALCULO MORTERO'!I256+'BLAZE SHIELD II'!$H$16)*LN(J256))+('BLAZE SHIELD II'!$H$17*('CALCULO MORTERO'!I256^2)+'BLAZE SHIELD II'!$H$18*'CALCULO MORTERO'!I256+'BLAZE SHIELD II'!$H$19)),0),0)+ROUND(IF(AND(L256="Cafco 400",M256="Software Idiem",C256="IN",G256=4),((('CAFCO 400 '!$H$7*(J256^4)+'CAFCO 400 '!$H$8*(J256^3)+'CAFCO 400 '!$H$9*(J256^2)+'CAFCO 400 '!$H$10*J256+'CAFCO 400 '!$H$11)*U256^2)+(('CAFCO 400 '!$H$12*(J256^3)+'CAFCO 400 '!$H$13*(J256^2)+'CAFCO 400 '!$H$14*J256+'CAFCO 400 '!$H$15)*U256)+('CAFCO 400 '!$H$16*(J256^2)+'CAFCO 400 '!$H$17*J256+'CAFCO 400 '!$H$18)),0)+IF(AND(L256="Cafco 400",M256="Software Idiem",C256="Cj"),(((('CAFCO 400 '!$D$7*LN(J256)+'CAFCO 400 '!$D$8)*U256^2)+(('CAFCO 400 '!$D$9*LN(J256)+'CAFCO 400 '!$D$10)*U256)+('CAFCO 400 '!$D$11*LN(J256)+'CAFCO 400 '!$D$12))),0)+IF(AND(L256="Cafco 400",M256="Software Idiem",C256="C"),((('CAFCO 400 '!$L$7*(J256^3)+'CAFCO 400 '!$L$8*(J256^2)+'CAFCO 400 '!$L$9*J256+'CAFCO 400 '!$L$10)*U256^2)+(('CAFCO 400 '!$L$11*(J256^3)+'CAFCO 400 '!$L$12*(J256^2)+'CAFCO 400 '!$L$13*J256+'CAFCO 400 '!$L$14)*U256)+('CAFCO 400 '!$L$15*LN(J256)+'CAFCO 400 '!$L$16)),0)+IF(AND(L256="Cafco 400",M256="Software Idiem",C256="L"),((('CAFCO 400 '!$L$7*(J256^3)+'CAFCO 400 '!$L$8*(J256^2)+'CAFCO 400 '!$L$9*J256+'CAFCO 400 '!$L$10)*U256^2)+(('CAFCO 400 '!$L$11*(J256^3)+'CAFCO 400 '!$L$12*(J256^2)+'CAFCO 400 '!$L$13*J256+'CAFCO 400 '!$L$14)*U256)+('CAFCO 400 '!$L$15*LN(J256)+'CAFCO 400 '!$L$16)),0)+IF(AND(L256="Cafco 400",M256="Software Idiem",C256="IN",G256=3),((('CAFCO 400 '!$D$23*(J256^2)+'CAFCO 400 '!$D$24*(J256)+'CAFCO 400 '!$D$25)*U256^2)+(('CAFCO 400 '!$D$26*(J256^2)+'CAFCO 400 '!$D$27*J256+'CAFCO 400 '!$D$28)*U256)+('CAFCO 400 '!$D$29*(J256^2)+'CAFCO 400 '!$D$30*J256+'CAFCO 400 '!$D$31)),0),0)+IF(AND(L256="Cafco 300",J256&gt;=95,J256&lt;=240,C256="Cj",I256=90),VLOOKUP(T256,'CAFCO 300 IDIEM TABLAS'!$B$4:$D$23,2,FALSE),0)+IF(AND(L256="Cafco 300",J256&gt;=95,J256&lt;=240,C256="Cj",I256=120),VLOOKUP(T256,'CAFCO 300 IDIEM TABLAS'!$B$4:$D$23,3,FALSE),0)+IF(AND(L256="Cafco 300",J256&gt;=95,J256&lt;=400,G256=3,C256="IN",I256=90),VLOOKUP(T256,'CAFCO 300 IDIEM TABLAS'!$F$4:$H$35,2,FALSE),0)+IF(AND(L256="Cafco 300",J256&gt;=95,J256&lt;=400,G256=3,C256="IN",I256=120),VLOOKUP(T256,'CAFCO 300 IDIEM TABLAS'!$F$4:$H$35,3,FALSE),0)+IF(AND(L256="Cafco 300",J256&gt;=95,J256&lt;=450,G256=4,C256="IN",I256=90),VLOOKUP(T256,'CAFCO 300 IDIEM TABLAS'!$J$4:$L$40,2,FALSE),0)+IF(AND(L256="Cafco 300",J256&gt;=95,J256&lt;=450,G256=4,C256="IN",I256=120),VLOOKUP(T256,'CAFCO 300 IDIEM TABLAS'!$J$4:$L$40,3,FALSE),0)+IF(AND(M256="Ensayo Idiem",L256="Cafco 400",C256="IN",G256=4,I256=90),VLOOKUP(T256,'CAFCO 400 ENSAYO'!$B$7:$D$43,2,FALSE),0)+IF(AND(M256="Ensayo Idiem",L256="Cafco 400",C256="IN",G256=4,I256=120),VLOOKUP(T256,'CAFCO 400 ENSAYO'!$B$7:$D$43,3,FALSE),0)</f>
        <v>0</v>
      </c>
      <c r="O256" s="96">
        <f t="shared" si="27"/>
        <v>0</v>
      </c>
      <c r="P256" s="95" t="str">
        <f t="shared" si="28"/>
        <v>N/A</v>
      </c>
      <c r="Q256" s="95" t="str">
        <f t="shared" si="29"/>
        <v>N/A</v>
      </c>
      <c r="R256" s="95" t="str">
        <f t="shared" si="30"/>
        <v>NO CERT.</v>
      </c>
      <c r="S256" s="95" t="e">
        <f t="shared" si="25"/>
        <v>#N/A</v>
      </c>
      <c r="T256" s="119" t="e">
        <f>+IF(J256=LOOKUP(J256,'CAFCO 300 IDIEM TABLAS'!$J$4:$J$40),'CALCULO MORTERO'!J256,MROUND('CALCULO MORTERO'!J256,10))</f>
        <v>#N/A</v>
      </c>
      <c r="U256" s="118">
        <f t="shared" si="26"/>
        <v>0</v>
      </c>
      <c r="Y256" s="4"/>
      <c r="Z256" s="4"/>
      <c r="AA256" s="4"/>
    </row>
    <row r="257" spans="1:27" x14ac:dyDescent="0.25">
      <c r="A257" s="118">
        <f>+CUBICACION!D251</f>
        <v>0</v>
      </c>
      <c r="B257" s="819">
        <f>+CUBICACION!E251</f>
        <v>0</v>
      </c>
      <c r="C257" s="675">
        <f>+CUBICACION!F251</f>
        <v>0</v>
      </c>
      <c r="D257" s="118"/>
      <c r="E257" s="118"/>
      <c r="F257" s="820"/>
      <c r="G257" s="675">
        <f>+CUBICACION!J251</f>
        <v>0</v>
      </c>
      <c r="H257" s="118"/>
      <c r="I257" s="821">
        <f>+CUBICACION!L251</f>
        <v>0</v>
      </c>
      <c r="J257" s="64">
        <f>+CUBICACION!M251</f>
        <v>0</v>
      </c>
      <c r="K257" s="822" t="str">
        <f>+CUBICACION!N251</f>
        <v/>
      </c>
      <c r="L257" s="118">
        <f>+CUBICACION!O251</f>
        <v>0</v>
      </c>
      <c r="M257" s="823">
        <f>+CUBICACION!P251</f>
        <v>0</v>
      </c>
      <c r="N257" s="902">
        <f>ROUND(IF(AND(L257="Blaze Shield II",M257="Software Idiem",C257="IN",G257=4),((('BLAZE SHIELD II'!$D$4*('CALCULO MORTERO'!I257^2)+'BLAZE SHIELD II'!$D$5*'CALCULO MORTERO'!I257+'BLAZE SHIELD II'!$D$6)*LN(J257))+('BLAZE SHIELD II'!$D$7*('CALCULO MORTERO'!I257^2)+'BLAZE SHIELD II'!$D$8*'CALCULO MORTERO'!I257+'BLAZE SHIELD II'!$D$9)),0)+IF(AND(L257="Blaze Shield II",M257="Software Idiem",C257="Cj"),((('BLAZE SHIELD II'!$H$4*('CALCULO MORTERO'!I257^2)+'BLAZE SHIELD II'!$H$5*'CALCULO MORTERO'!I257+'BLAZE SHIELD II'!$H$6)*LN(J257))+('BLAZE SHIELD II'!$H$7*('CALCULO MORTERO'!I257^2)+'BLAZE SHIELD II'!$H$8*'CALCULO MORTERO'!I257+'BLAZE SHIELD II'!$H$9)),0)+IF(AND(L257="Blaze Shield II",M257="Software Idiem",C257="C"),((('BLAZE SHIELD II'!$L$4*('CALCULO MORTERO'!I257^2)+'BLAZE SHIELD II'!$L$5*'CALCULO MORTERO'!I257+'BLAZE SHIELD II'!$L$6)*LN(J257))+('BLAZE SHIELD II'!$L$7*('CALCULO MORTERO'!I257^2)+'BLAZE SHIELD II'!$L$8*'CALCULO MORTERO'!I257+'BLAZE SHIELD II'!$L$9)),0)+IF(AND(L257="Blaze Shield II",M257="Software Idiem",C257="L"),((('BLAZE SHIELD II'!$L$4*('CALCULO MORTERO'!I257^2)+'BLAZE SHIELD II'!$L$5*'CALCULO MORTERO'!I257+'BLAZE SHIELD II'!$L$6)*LN(J257))+('BLAZE SHIELD II'!$L$7*('CALCULO MORTERO'!I257^2)+'BLAZE SHIELD II'!$L$8*'CALCULO MORTERO'!I257+'BLAZE SHIELD II'!$L$9)),0)+IF(AND(L257="Blaze Shield II",M257="Software Idiem",C257="IN",G257=3),((('BLAZE SHIELD II'!$H$14*('CALCULO MORTERO'!I257^2)+'BLAZE SHIELD II'!$H$15*'CALCULO MORTERO'!I257+'BLAZE SHIELD II'!$H$16)*LN(J257))+('BLAZE SHIELD II'!$H$17*('CALCULO MORTERO'!I257^2)+'BLAZE SHIELD II'!$H$18*'CALCULO MORTERO'!I257+'BLAZE SHIELD II'!$H$19)),0),0)+ROUND(IF(AND(L257="Cafco 400",M257="Software Idiem",C257="IN",G257=4),((('CAFCO 400 '!$H$7*(J257^4)+'CAFCO 400 '!$H$8*(J257^3)+'CAFCO 400 '!$H$9*(J257^2)+'CAFCO 400 '!$H$10*J257+'CAFCO 400 '!$H$11)*U257^2)+(('CAFCO 400 '!$H$12*(J257^3)+'CAFCO 400 '!$H$13*(J257^2)+'CAFCO 400 '!$H$14*J257+'CAFCO 400 '!$H$15)*U257)+('CAFCO 400 '!$H$16*(J257^2)+'CAFCO 400 '!$H$17*J257+'CAFCO 400 '!$H$18)),0)+IF(AND(L257="Cafco 400",M257="Software Idiem",C257="Cj"),(((('CAFCO 400 '!$D$7*LN(J257)+'CAFCO 400 '!$D$8)*U257^2)+(('CAFCO 400 '!$D$9*LN(J257)+'CAFCO 400 '!$D$10)*U257)+('CAFCO 400 '!$D$11*LN(J257)+'CAFCO 400 '!$D$12))),0)+IF(AND(L257="Cafco 400",M257="Software Idiem",C257="C"),((('CAFCO 400 '!$L$7*(J257^3)+'CAFCO 400 '!$L$8*(J257^2)+'CAFCO 400 '!$L$9*J257+'CAFCO 400 '!$L$10)*U257^2)+(('CAFCO 400 '!$L$11*(J257^3)+'CAFCO 400 '!$L$12*(J257^2)+'CAFCO 400 '!$L$13*J257+'CAFCO 400 '!$L$14)*U257)+('CAFCO 400 '!$L$15*LN(J257)+'CAFCO 400 '!$L$16)),0)+IF(AND(L257="Cafco 400",M257="Software Idiem",C257="L"),((('CAFCO 400 '!$L$7*(J257^3)+'CAFCO 400 '!$L$8*(J257^2)+'CAFCO 400 '!$L$9*J257+'CAFCO 400 '!$L$10)*U257^2)+(('CAFCO 400 '!$L$11*(J257^3)+'CAFCO 400 '!$L$12*(J257^2)+'CAFCO 400 '!$L$13*J257+'CAFCO 400 '!$L$14)*U257)+('CAFCO 400 '!$L$15*LN(J257)+'CAFCO 400 '!$L$16)),0)+IF(AND(L257="Cafco 400",M257="Software Idiem",C257="IN",G257=3),((('CAFCO 400 '!$D$23*(J257^2)+'CAFCO 400 '!$D$24*(J257)+'CAFCO 400 '!$D$25)*U257^2)+(('CAFCO 400 '!$D$26*(J257^2)+'CAFCO 400 '!$D$27*J257+'CAFCO 400 '!$D$28)*U257)+('CAFCO 400 '!$D$29*(J257^2)+'CAFCO 400 '!$D$30*J257+'CAFCO 400 '!$D$31)),0),0)+IF(AND(L257="Cafco 300",J257&gt;=95,J257&lt;=240,C257="Cj",I257=90),VLOOKUP(T257,'CAFCO 300 IDIEM TABLAS'!$B$4:$D$23,2,FALSE),0)+IF(AND(L257="Cafco 300",J257&gt;=95,J257&lt;=240,C257="Cj",I257=120),VLOOKUP(T257,'CAFCO 300 IDIEM TABLAS'!$B$4:$D$23,3,FALSE),0)+IF(AND(L257="Cafco 300",J257&gt;=95,J257&lt;=400,G257=3,C257="IN",I257=90),VLOOKUP(T257,'CAFCO 300 IDIEM TABLAS'!$F$4:$H$35,2,FALSE),0)+IF(AND(L257="Cafco 300",J257&gt;=95,J257&lt;=400,G257=3,C257="IN",I257=120),VLOOKUP(T257,'CAFCO 300 IDIEM TABLAS'!$F$4:$H$35,3,FALSE),0)+IF(AND(L257="Cafco 300",J257&gt;=95,J257&lt;=450,G257=4,C257="IN",I257=90),VLOOKUP(T257,'CAFCO 300 IDIEM TABLAS'!$J$4:$L$40,2,FALSE),0)+IF(AND(L257="Cafco 300",J257&gt;=95,J257&lt;=450,G257=4,C257="IN",I257=120),VLOOKUP(T257,'CAFCO 300 IDIEM TABLAS'!$J$4:$L$40,3,FALSE),0)+IF(AND(M257="Ensayo Idiem",L257="Cafco 400",C257="IN",G257=4,I257=90),VLOOKUP(T257,'CAFCO 400 ENSAYO'!$B$7:$D$43,2,FALSE),0)+IF(AND(M257="Ensayo Idiem",L257="Cafco 400",C257="IN",G257=4,I257=120),VLOOKUP(T257,'CAFCO 400 ENSAYO'!$B$7:$D$43,3,FALSE),0)</f>
        <v>0</v>
      </c>
      <c r="O257" s="96">
        <f t="shared" si="27"/>
        <v>0</v>
      </c>
      <c r="P257" s="95" t="str">
        <f t="shared" si="28"/>
        <v>N/A</v>
      </c>
      <c r="Q257" s="95" t="str">
        <f t="shared" si="29"/>
        <v>N/A</v>
      </c>
      <c r="R257" s="95" t="str">
        <f t="shared" si="30"/>
        <v>NO CERT.</v>
      </c>
      <c r="S257" s="95" t="e">
        <f t="shared" si="25"/>
        <v>#N/A</v>
      </c>
      <c r="T257" s="119" t="e">
        <f>+IF(J257=LOOKUP(J257,'CAFCO 300 IDIEM TABLAS'!$J$4:$J$40),'CALCULO MORTERO'!J257,MROUND('CALCULO MORTERO'!J257,10))</f>
        <v>#N/A</v>
      </c>
      <c r="U257" s="118">
        <f t="shared" si="26"/>
        <v>0</v>
      </c>
      <c r="Y257" s="4"/>
      <c r="Z257" s="4"/>
      <c r="AA257" s="4"/>
    </row>
    <row r="258" spans="1:27" ht="15.6" customHeight="1" x14ac:dyDescent="0.25">
      <c r="A258" s="118">
        <f>+CUBICACION!D252</f>
        <v>0</v>
      </c>
      <c r="B258" s="819">
        <f>+CUBICACION!E252</f>
        <v>0</v>
      </c>
      <c r="C258" s="675">
        <f>+CUBICACION!F252</f>
        <v>0</v>
      </c>
      <c r="D258" s="118"/>
      <c r="E258" s="118"/>
      <c r="F258" s="820"/>
      <c r="G258" s="675">
        <f>+CUBICACION!J252</f>
        <v>0</v>
      </c>
      <c r="H258" s="118"/>
      <c r="I258" s="821">
        <f>+CUBICACION!L252</f>
        <v>0</v>
      </c>
      <c r="J258" s="64">
        <f>+CUBICACION!M252</f>
        <v>0</v>
      </c>
      <c r="K258" s="822" t="str">
        <f>+CUBICACION!N252</f>
        <v/>
      </c>
      <c r="L258" s="118">
        <f>+CUBICACION!O252</f>
        <v>0</v>
      </c>
      <c r="M258" s="823">
        <f>+CUBICACION!P252</f>
        <v>0</v>
      </c>
      <c r="N258" s="902">
        <f>ROUND(IF(AND(L258="Blaze Shield II",M258="Software Idiem",C258="IN",G258=4),((('BLAZE SHIELD II'!$D$4*('CALCULO MORTERO'!I258^2)+'BLAZE SHIELD II'!$D$5*'CALCULO MORTERO'!I258+'BLAZE SHIELD II'!$D$6)*LN(J258))+('BLAZE SHIELD II'!$D$7*('CALCULO MORTERO'!I258^2)+'BLAZE SHIELD II'!$D$8*'CALCULO MORTERO'!I258+'BLAZE SHIELD II'!$D$9)),0)+IF(AND(L258="Blaze Shield II",M258="Software Idiem",C258="Cj"),((('BLAZE SHIELD II'!$H$4*('CALCULO MORTERO'!I258^2)+'BLAZE SHIELD II'!$H$5*'CALCULO MORTERO'!I258+'BLAZE SHIELD II'!$H$6)*LN(J258))+('BLAZE SHIELD II'!$H$7*('CALCULO MORTERO'!I258^2)+'BLAZE SHIELD II'!$H$8*'CALCULO MORTERO'!I258+'BLAZE SHIELD II'!$H$9)),0)+IF(AND(L258="Blaze Shield II",M258="Software Idiem",C258="C"),((('BLAZE SHIELD II'!$L$4*('CALCULO MORTERO'!I258^2)+'BLAZE SHIELD II'!$L$5*'CALCULO MORTERO'!I258+'BLAZE SHIELD II'!$L$6)*LN(J258))+('BLAZE SHIELD II'!$L$7*('CALCULO MORTERO'!I258^2)+'BLAZE SHIELD II'!$L$8*'CALCULO MORTERO'!I258+'BLAZE SHIELD II'!$L$9)),0)+IF(AND(L258="Blaze Shield II",M258="Software Idiem",C258="L"),((('BLAZE SHIELD II'!$L$4*('CALCULO MORTERO'!I258^2)+'BLAZE SHIELD II'!$L$5*'CALCULO MORTERO'!I258+'BLAZE SHIELD II'!$L$6)*LN(J258))+('BLAZE SHIELD II'!$L$7*('CALCULO MORTERO'!I258^2)+'BLAZE SHIELD II'!$L$8*'CALCULO MORTERO'!I258+'BLAZE SHIELD II'!$L$9)),0)+IF(AND(L258="Blaze Shield II",M258="Software Idiem",C258="IN",G258=3),((('BLAZE SHIELD II'!$H$14*('CALCULO MORTERO'!I258^2)+'BLAZE SHIELD II'!$H$15*'CALCULO MORTERO'!I258+'BLAZE SHIELD II'!$H$16)*LN(J258))+('BLAZE SHIELD II'!$H$17*('CALCULO MORTERO'!I258^2)+'BLAZE SHIELD II'!$H$18*'CALCULO MORTERO'!I258+'BLAZE SHIELD II'!$H$19)),0),0)+ROUND(IF(AND(L258="Cafco 400",M258="Software Idiem",C258="IN",G258=4),((('CAFCO 400 '!$H$7*(J258^4)+'CAFCO 400 '!$H$8*(J258^3)+'CAFCO 400 '!$H$9*(J258^2)+'CAFCO 400 '!$H$10*J258+'CAFCO 400 '!$H$11)*U258^2)+(('CAFCO 400 '!$H$12*(J258^3)+'CAFCO 400 '!$H$13*(J258^2)+'CAFCO 400 '!$H$14*J258+'CAFCO 400 '!$H$15)*U258)+('CAFCO 400 '!$H$16*(J258^2)+'CAFCO 400 '!$H$17*J258+'CAFCO 400 '!$H$18)),0)+IF(AND(L258="Cafco 400",M258="Software Idiem",C258="Cj"),(((('CAFCO 400 '!$D$7*LN(J258)+'CAFCO 400 '!$D$8)*U258^2)+(('CAFCO 400 '!$D$9*LN(J258)+'CAFCO 400 '!$D$10)*U258)+('CAFCO 400 '!$D$11*LN(J258)+'CAFCO 400 '!$D$12))),0)+IF(AND(L258="Cafco 400",M258="Software Idiem",C258="C"),((('CAFCO 400 '!$L$7*(J258^3)+'CAFCO 400 '!$L$8*(J258^2)+'CAFCO 400 '!$L$9*J258+'CAFCO 400 '!$L$10)*U258^2)+(('CAFCO 400 '!$L$11*(J258^3)+'CAFCO 400 '!$L$12*(J258^2)+'CAFCO 400 '!$L$13*J258+'CAFCO 400 '!$L$14)*U258)+('CAFCO 400 '!$L$15*LN(J258)+'CAFCO 400 '!$L$16)),0)+IF(AND(L258="Cafco 400",M258="Software Idiem",C258="L"),((('CAFCO 400 '!$L$7*(J258^3)+'CAFCO 400 '!$L$8*(J258^2)+'CAFCO 400 '!$L$9*J258+'CAFCO 400 '!$L$10)*U258^2)+(('CAFCO 400 '!$L$11*(J258^3)+'CAFCO 400 '!$L$12*(J258^2)+'CAFCO 400 '!$L$13*J258+'CAFCO 400 '!$L$14)*U258)+('CAFCO 400 '!$L$15*LN(J258)+'CAFCO 400 '!$L$16)),0)+IF(AND(L258="Cafco 400",M258="Software Idiem",C258="IN",G258=3),((('CAFCO 400 '!$D$23*(J258^2)+'CAFCO 400 '!$D$24*(J258)+'CAFCO 400 '!$D$25)*U258^2)+(('CAFCO 400 '!$D$26*(J258^2)+'CAFCO 400 '!$D$27*J258+'CAFCO 400 '!$D$28)*U258)+('CAFCO 400 '!$D$29*(J258^2)+'CAFCO 400 '!$D$30*J258+'CAFCO 400 '!$D$31)),0),0)+IF(AND(L258="Cafco 300",J258&gt;=95,J258&lt;=240,C258="Cj",I258=90),VLOOKUP(T258,'CAFCO 300 IDIEM TABLAS'!$B$4:$D$23,2,FALSE),0)+IF(AND(L258="Cafco 300",J258&gt;=95,J258&lt;=240,C258="Cj",I258=120),VLOOKUP(T258,'CAFCO 300 IDIEM TABLAS'!$B$4:$D$23,3,FALSE),0)+IF(AND(L258="Cafco 300",J258&gt;=95,J258&lt;=400,G258=3,C258="IN",I258=90),VLOOKUP(T258,'CAFCO 300 IDIEM TABLAS'!$F$4:$H$35,2,FALSE),0)+IF(AND(L258="Cafco 300",J258&gt;=95,J258&lt;=400,G258=3,C258="IN",I258=120),VLOOKUP(T258,'CAFCO 300 IDIEM TABLAS'!$F$4:$H$35,3,FALSE),0)+IF(AND(L258="Cafco 300",J258&gt;=95,J258&lt;=450,G258=4,C258="IN",I258=90),VLOOKUP(T258,'CAFCO 300 IDIEM TABLAS'!$J$4:$L$40,2,FALSE),0)+IF(AND(L258="Cafco 300",J258&gt;=95,J258&lt;=450,G258=4,C258="IN",I258=120),VLOOKUP(T258,'CAFCO 300 IDIEM TABLAS'!$J$4:$L$40,3,FALSE),0)+IF(AND(M258="Ensayo Idiem",L258="Cafco 400",C258="IN",G258=4,I258=90),VLOOKUP(T258,'CAFCO 400 ENSAYO'!$B$7:$D$43,2,FALSE),0)+IF(AND(M258="Ensayo Idiem",L258="Cafco 400",C258="IN",G258=4,I258=120),VLOOKUP(T258,'CAFCO 400 ENSAYO'!$B$7:$D$43,3,FALSE),0)</f>
        <v>0</v>
      </c>
      <c r="O258" s="96">
        <f t="shared" si="27"/>
        <v>0</v>
      </c>
      <c r="P258" s="95" t="str">
        <f t="shared" si="28"/>
        <v>N/A</v>
      </c>
      <c r="Q258" s="95" t="str">
        <f t="shared" si="29"/>
        <v>N/A</v>
      </c>
      <c r="R258" s="95" t="str">
        <f t="shared" si="30"/>
        <v>NO CERT.</v>
      </c>
      <c r="S258" s="95" t="e">
        <f t="shared" si="25"/>
        <v>#N/A</v>
      </c>
      <c r="T258" s="119" t="e">
        <f>+IF(J258=LOOKUP(J258,'CAFCO 300 IDIEM TABLAS'!$J$4:$J$40),'CALCULO MORTERO'!J258,MROUND('CALCULO MORTERO'!J258,10))</f>
        <v>#N/A</v>
      </c>
      <c r="U258" s="118">
        <f t="shared" si="26"/>
        <v>0</v>
      </c>
      <c r="Y258" s="4"/>
      <c r="Z258" s="4"/>
      <c r="AA258" s="4"/>
    </row>
    <row r="259" spans="1:27" x14ac:dyDescent="0.25">
      <c r="A259" s="118">
        <f>+CUBICACION!D253</f>
        <v>0</v>
      </c>
      <c r="B259" s="819">
        <f>+CUBICACION!E253</f>
        <v>0</v>
      </c>
      <c r="C259" s="675">
        <f>+CUBICACION!F253</f>
        <v>0</v>
      </c>
      <c r="D259" s="118"/>
      <c r="E259" s="118"/>
      <c r="F259" s="820"/>
      <c r="G259" s="675">
        <f>+CUBICACION!J253</f>
        <v>0</v>
      </c>
      <c r="H259" s="118"/>
      <c r="I259" s="821">
        <f>+CUBICACION!L253</f>
        <v>0</v>
      </c>
      <c r="J259" s="64">
        <f>+CUBICACION!M253</f>
        <v>0</v>
      </c>
      <c r="K259" s="822" t="str">
        <f>+CUBICACION!N253</f>
        <v/>
      </c>
      <c r="L259" s="118">
        <f>+CUBICACION!O253</f>
        <v>0</v>
      </c>
      <c r="M259" s="823">
        <f>+CUBICACION!P253</f>
        <v>0</v>
      </c>
      <c r="N259" s="902">
        <f>ROUND(IF(AND(L259="Blaze Shield II",M259="Software Idiem",C259="IN",G259=4),((('BLAZE SHIELD II'!$D$4*('CALCULO MORTERO'!I259^2)+'BLAZE SHIELD II'!$D$5*'CALCULO MORTERO'!I259+'BLAZE SHIELD II'!$D$6)*LN(J259))+('BLAZE SHIELD II'!$D$7*('CALCULO MORTERO'!I259^2)+'BLAZE SHIELD II'!$D$8*'CALCULO MORTERO'!I259+'BLAZE SHIELD II'!$D$9)),0)+IF(AND(L259="Blaze Shield II",M259="Software Idiem",C259="Cj"),((('BLAZE SHIELD II'!$H$4*('CALCULO MORTERO'!I259^2)+'BLAZE SHIELD II'!$H$5*'CALCULO MORTERO'!I259+'BLAZE SHIELD II'!$H$6)*LN(J259))+('BLAZE SHIELD II'!$H$7*('CALCULO MORTERO'!I259^2)+'BLAZE SHIELD II'!$H$8*'CALCULO MORTERO'!I259+'BLAZE SHIELD II'!$H$9)),0)+IF(AND(L259="Blaze Shield II",M259="Software Idiem",C259="C"),((('BLAZE SHIELD II'!$L$4*('CALCULO MORTERO'!I259^2)+'BLAZE SHIELD II'!$L$5*'CALCULO MORTERO'!I259+'BLAZE SHIELD II'!$L$6)*LN(J259))+('BLAZE SHIELD II'!$L$7*('CALCULO MORTERO'!I259^2)+'BLAZE SHIELD II'!$L$8*'CALCULO MORTERO'!I259+'BLAZE SHIELD II'!$L$9)),0)+IF(AND(L259="Blaze Shield II",M259="Software Idiem",C259="L"),((('BLAZE SHIELD II'!$L$4*('CALCULO MORTERO'!I259^2)+'BLAZE SHIELD II'!$L$5*'CALCULO MORTERO'!I259+'BLAZE SHIELD II'!$L$6)*LN(J259))+('BLAZE SHIELD II'!$L$7*('CALCULO MORTERO'!I259^2)+'BLAZE SHIELD II'!$L$8*'CALCULO MORTERO'!I259+'BLAZE SHIELD II'!$L$9)),0)+IF(AND(L259="Blaze Shield II",M259="Software Idiem",C259="IN",G259=3),((('BLAZE SHIELD II'!$H$14*('CALCULO MORTERO'!I259^2)+'BLAZE SHIELD II'!$H$15*'CALCULO MORTERO'!I259+'BLAZE SHIELD II'!$H$16)*LN(J259))+('BLAZE SHIELD II'!$H$17*('CALCULO MORTERO'!I259^2)+'BLAZE SHIELD II'!$H$18*'CALCULO MORTERO'!I259+'BLAZE SHIELD II'!$H$19)),0),0)+ROUND(IF(AND(L259="Cafco 400",M259="Software Idiem",C259="IN",G259=4),((('CAFCO 400 '!$H$7*(J259^4)+'CAFCO 400 '!$H$8*(J259^3)+'CAFCO 400 '!$H$9*(J259^2)+'CAFCO 400 '!$H$10*J259+'CAFCO 400 '!$H$11)*U259^2)+(('CAFCO 400 '!$H$12*(J259^3)+'CAFCO 400 '!$H$13*(J259^2)+'CAFCO 400 '!$H$14*J259+'CAFCO 400 '!$H$15)*U259)+('CAFCO 400 '!$H$16*(J259^2)+'CAFCO 400 '!$H$17*J259+'CAFCO 400 '!$H$18)),0)+IF(AND(L259="Cafco 400",M259="Software Idiem",C259="Cj"),(((('CAFCO 400 '!$D$7*LN(J259)+'CAFCO 400 '!$D$8)*U259^2)+(('CAFCO 400 '!$D$9*LN(J259)+'CAFCO 400 '!$D$10)*U259)+('CAFCO 400 '!$D$11*LN(J259)+'CAFCO 400 '!$D$12))),0)+IF(AND(L259="Cafco 400",M259="Software Idiem",C259="C"),((('CAFCO 400 '!$L$7*(J259^3)+'CAFCO 400 '!$L$8*(J259^2)+'CAFCO 400 '!$L$9*J259+'CAFCO 400 '!$L$10)*U259^2)+(('CAFCO 400 '!$L$11*(J259^3)+'CAFCO 400 '!$L$12*(J259^2)+'CAFCO 400 '!$L$13*J259+'CAFCO 400 '!$L$14)*U259)+('CAFCO 400 '!$L$15*LN(J259)+'CAFCO 400 '!$L$16)),0)+IF(AND(L259="Cafco 400",M259="Software Idiem",C259="L"),((('CAFCO 400 '!$L$7*(J259^3)+'CAFCO 400 '!$L$8*(J259^2)+'CAFCO 400 '!$L$9*J259+'CAFCO 400 '!$L$10)*U259^2)+(('CAFCO 400 '!$L$11*(J259^3)+'CAFCO 400 '!$L$12*(J259^2)+'CAFCO 400 '!$L$13*J259+'CAFCO 400 '!$L$14)*U259)+('CAFCO 400 '!$L$15*LN(J259)+'CAFCO 400 '!$L$16)),0)+IF(AND(L259="Cafco 400",M259="Software Idiem",C259="IN",G259=3),((('CAFCO 400 '!$D$23*(J259^2)+'CAFCO 400 '!$D$24*(J259)+'CAFCO 400 '!$D$25)*U259^2)+(('CAFCO 400 '!$D$26*(J259^2)+'CAFCO 400 '!$D$27*J259+'CAFCO 400 '!$D$28)*U259)+('CAFCO 400 '!$D$29*(J259^2)+'CAFCO 400 '!$D$30*J259+'CAFCO 400 '!$D$31)),0),0)+IF(AND(L259="Cafco 300",J259&gt;=95,J259&lt;=240,C259="Cj",I259=90),VLOOKUP(T259,'CAFCO 300 IDIEM TABLAS'!$B$4:$D$23,2,FALSE),0)+IF(AND(L259="Cafco 300",J259&gt;=95,J259&lt;=240,C259="Cj",I259=120),VLOOKUP(T259,'CAFCO 300 IDIEM TABLAS'!$B$4:$D$23,3,FALSE),0)+IF(AND(L259="Cafco 300",J259&gt;=95,J259&lt;=400,G259=3,C259="IN",I259=90),VLOOKUP(T259,'CAFCO 300 IDIEM TABLAS'!$F$4:$H$35,2,FALSE),0)+IF(AND(L259="Cafco 300",J259&gt;=95,J259&lt;=400,G259=3,C259="IN",I259=120),VLOOKUP(T259,'CAFCO 300 IDIEM TABLAS'!$F$4:$H$35,3,FALSE),0)+IF(AND(L259="Cafco 300",J259&gt;=95,J259&lt;=450,G259=4,C259="IN",I259=90),VLOOKUP(T259,'CAFCO 300 IDIEM TABLAS'!$J$4:$L$40,2,FALSE),0)+IF(AND(L259="Cafco 300",J259&gt;=95,J259&lt;=450,G259=4,C259="IN",I259=120),VLOOKUP(T259,'CAFCO 300 IDIEM TABLAS'!$J$4:$L$40,3,FALSE),0)+IF(AND(M259="Ensayo Idiem",L259="Cafco 400",C259="IN",G259=4,I259=90),VLOOKUP(T259,'CAFCO 400 ENSAYO'!$B$7:$D$43,2,FALSE),0)+IF(AND(M259="Ensayo Idiem",L259="Cafco 400",C259="IN",G259=4,I259=120),VLOOKUP(T259,'CAFCO 400 ENSAYO'!$B$7:$D$43,3,FALSE),0)</f>
        <v>0</v>
      </c>
      <c r="O259" s="96">
        <f t="shared" si="27"/>
        <v>0</v>
      </c>
      <c r="P259" s="95" t="str">
        <f t="shared" si="28"/>
        <v>N/A</v>
      </c>
      <c r="Q259" s="95" t="str">
        <f t="shared" si="29"/>
        <v>N/A</v>
      </c>
      <c r="R259" s="95" t="str">
        <f t="shared" si="30"/>
        <v>NO CERT.</v>
      </c>
      <c r="S259" s="95" t="e">
        <f t="shared" si="25"/>
        <v>#N/A</v>
      </c>
      <c r="T259" s="119" t="e">
        <f>+IF(J259=LOOKUP(J259,'CAFCO 300 IDIEM TABLAS'!$J$4:$J$40),'CALCULO MORTERO'!J259,MROUND('CALCULO MORTERO'!J259,10))</f>
        <v>#N/A</v>
      </c>
      <c r="U259" s="118">
        <f t="shared" si="26"/>
        <v>0</v>
      </c>
      <c r="Y259" s="4"/>
      <c r="Z259" s="4"/>
      <c r="AA259" s="4"/>
    </row>
    <row r="260" spans="1:27" ht="15.6" customHeight="1" x14ac:dyDescent="0.25">
      <c r="A260" s="118">
        <f>+CUBICACION!D254</f>
        <v>0</v>
      </c>
      <c r="B260" s="819">
        <f>+CUBICACION!E254</f>
        <v>0</v>
      </c>
      <c r="C260" s="675">
        <f>+CUBICACION!F254</f>
        <v>0</v>
      </c>
      <c r="D260" s="118"/>
      <c r="E260" s="118"/>
      <c r="F260" s="820"/>
      <c r="G260" s="675">
        <f>+CUBICACION!J254</f>
        <v>0</v>
      </c>
      <c r="H260" s="118"/>
      <c r="I260" s="821">
        <f>+CUBICACION!L254</f>
        <v>0</v>
      </c>
      <c r="J260" s="64">
        <f>+CUBICACION!M254</f>
        <v>0</v>
      </c>
      <c r="K260" s="822" t="str">
        <f>+CUBICACION!N254</f>
        <v/>
      </c>
      <c r="L260" s="118">
        <f>+CUBICACION!O254</f>
        <v>0</v>
      </c>
      <c r="M260" s="823">
        <f>+CUBICACION!P254</f>
        <v>0</v>
      </c>
      <c r="N260" s="902">
        <f>ROUND(IF(AND(L260="Blaze Shield II",M260="Software Idiem",C260="IN",G260=4),((('BLAZE SHIELD II'!$D$4*('CALCULO MORTERO'!I260^2)+'BLAZE SHIELD II'!$D$5*'CALCULO MORTERO'!I260+'BLAZE SHIELD II'!$D$6)*LN(J260))+('BLAZE SHIELD II'!$D$7*('CALCULO MORTERO'!I260^2)+'BLAZE SHIELD II'!$D$8*'CALCULO MORTERO'!I260+'BLAZE SHIELD II'!$D$9)),0)+IF(AND(L260="Blaze Shield II",M260="Software Idiem",C260="Cj"),((('BLAZE SHIELD II'!$H$4*('CALCULO MORTERO'!I260^2)+'BLAZE SHIELD II'!$H$5*'CALCULO MORTERO'!I260+'BLAZE SHIELD II'!$H$6)*LN(J260))+('BLAZE SHIELD II'!$H$7*('CALCULO MORTERO'!I260^2)+'BLAZE SHIELD II'!$H$8*'CALCULO MORTERO'!I260+'BLAZE SHIELD II'!$H$9)),0)+IF(AND(L260="Blaze Shield II",M260="Software Idiem",C260="C"),((('BLAZE SHIELD II'!$L$4*('CALCULO MORTERO'!I260^2)+'BLAZE SHIELD II'!$L$5*'CALCULO MORTERO'!I260+'BLAZE SHIELD II'!$L$6)*LN(J260))+('BLAZE SHIELD II'!$L$7*('CALCULO MORTERO'!I260^2)+'BLAZE SHIELD II'!$L$8*'CALCULO MORTERO'!I260+'BLAZE SHIELD II'!$L$9)),0)+IF(AND(L260="Blaze Shield II",M260="Software Idiem",C260="L"),((('BLAZE SHIELD II'!$L$4*('CALCULO MORTERO'!I260^2)+'BLAZE SHIELD II'!$L$5*'CALCULO MORTERO'!I260+'BLAZE SHIELD II'!$L$6)*LN(J260))+('BLAZE SHIELD II'!$L$7*('CALCULO MORTERO'!I260^2)+'BLAZE SHIELD II'!$L$8*'CALCULO MORTERO'!I260+'BLAZE SHIELD II'!$L$9)),0)+IF(AND(L260="Blaze Shield II",M260="Software Idiem",C260="IN",G260=3),((('BLAZE SHIELD II'!$H$14*('CALCULO MORTERO'!I260^2)+'BLAZE SHIELD II'!$H$15*'CALCULO MORTERO'!I260+'BLAZE SHIELD II'!$H$16)*LN(J260))+('BLAZE SHIELD II'!$H$17*('CALCULO MORTERO'!I260^2)+'BLAZE SHIELD II'!$H$18*'CALCULO MORTERO'!I260+'BLAZE SHIELD II'!$H$19)),0),0)+ROUND(IF(AND(L260="Cafco 400",M260="Software Idiem",C260="IN",G260=4),((('CAFCO 400 '!$H$7*(J260^4)+'CAFCO 400 '!$H$8*(J260^3)+'CAFCO 400 '!$H$9*(J260^2)+'CAFCO 400 '!$H$10*J260+'CAFCO 400 '!$H$11)*U260^2)+(('CAFCO 400 '!$H$12*(J260^3)+'CAFCO 400 '!$H$13*(J260^2)+'CAFCO 400 '!$H$14*J260+'CAFCO 400 '!$H$15)*U260)+('CAFCO 400 '!$H$16*(J260^2)+'CAFCO 400 '!$H$17*J260+'CAFCO 400 '!$H$18)),0)+IF(AND(L260="Cafco 400",M260="Software Idiem",C260="Cj"),(((('CAFCO 400 '!$D$7*LN(J260)+'CAFCO 400 '!$D$8)*U260^2)+(('CAFCO 400 '!$D$9*LN(J260)+'CAFCO 400 '!$D$10)*U260)+('CAFCO 400 '!$D$11*LN(J260)+'CAFCO 400 '!$D$12))),0)+IF(AND(L260="Cafco 400",M260="Software Idiem",C260="C"),((('CAFCO 400 '!$L$7*(J260^3)+'CAFCO 400 '!$L$8*(J260^2)+'CAFCO 400 '!$L$9*J260+'CAFCO 400 '!$L$10)*U260^2)+(('CAFCO 400 '!$L$11*(J260^3)+'CAFCO 400 '!$L$12*(J260^2)+'CAFCO 400 '!$L$13*J260+'CAFCO 400 '!$L$14)*U260)+('CAFCO 400 '!$L$15*LN(J260)+'CAFCO 400 '!$L$16)),0)+IF(AND(L260="Cafco 400",M260="Software Idiem",C260="L"),((('CAFCO 400 '!$L$7*(J260^3)+'CAFCO 400 '!$L$8*(J260^2)+'CAFCO 400 '!$L$9*J260+'CAFCO 400 '!$L$10)*U260^2)+(('CAFCO 400 '!$L$11*(J260^3)+'CAFCO 400 '!$L$12*(J260^2)+'CAFCO 400 '!$L$13*J260+'CAFCO 400 '!$L$14)*U260)+('CAFCO 400 '!$L$15*LN(J260)+'CAFCO 400 '!$L$16)),0)+IF(AND(L260="Cafco 400",M260="Software Idiem",C260="IN",G260=3),((('CAFCO 400 '!$D$23*(J260^2)+'CAFCO 400 '!$D$24*(J260)+'CAFCO 400 '!$D$25)*U260^2)+(('CAFCO 400 '!$D$26*(J260^2)+'CAFCO 400 '!$D$27*J260+'CAFCO 400 '!$D$28)*U260)+('CAFCO 400 '!$D$29*(J260^2)+'CAFCO 400 '!$D$30*J260+'CAFCO 400 '!$D$31)),0),0)+IF(AND(L260="Cafco 300",J260&gt;=95,J260&lt;=240,C260="Cj",I260=90),VLOOKUP(T260,'CAFCO 300 IDIEM TABLAS'!$B$4:$D$23,2,FALSE),0)+IF(AND(L260="Cafco 300",J260&gt;=95,J260&lt;=240,C260="Cj",I260=120),VLOOKUP(T260,'CAFCO 300 IDIEM TABLAS'!$B$4:$D$23,3,FALSE),0)+IF(AND(L260="Cafco 300",J260&gt;=95,J260&lt;=400,G260=3,C260="IN",I260=90),VLOOKUP(T260,'CAFCO 300 IDIEM TABLAS'!$F$4:$H$35,2,FALSE),0)+IF(AND(L260="Cafco 300",J260&gt;=95,J260&lt;=400,G260=3,C260="IN",I260=120),VLOOKUP(T260,'CAFCO 300 IDIEM TABLAS'!$F$4:$H$35,3,FALSE),0)+IF(AND(L260="Cafco 300",J260&gt;=95,J260&lt;=450,G260=4,C260="IN",I260=90),VLOOKUP(T260,'CAFCO 300 IDIEM TABLAS'!$J$4:$L$40,2,FALSE),0)+IF(AND(L260="Cafco 300",J260&gt;=95,J260&lt;=450,G260=4,C260="IN",I260=120),VLOOKUP(T260,'CAFCO 300 IDIEM TABLAS'!$J$4:$L$40,3,FALSE),0)+IF(AND(M260="Ensayo Idiem",L260="Cafco 400",C260="IN",G260=4,I260=90),VLOOKUP(T260,'CAFCO 400 ENSAYO'!$B$7:$D$43,2,FALSE),0)+IF(AND(M260="Ensayo Idiem",L260="Cafco 400",C260="IN",G260=4,I260=120),VLOOKUP(T260,'CAFCO 400 ENSAYO'!$B$7:$D$43,3,FALSE),0)</f>
        <v>0</v>
      </c>
      <c r="O260" s="96">
        <f t="shared" si="27"/>
        <v>0</v>
      </c>
      <c r="P260" s="95" t="str">
        <f t="shared" si="28"/>
        <v>N/A</v>
      </c>
      <c r="Q260" s="95" t="str">
        <f t="shared" si="29"/>
        <v>N/A</v>
      </c>
      <c r="R260" s="95" t="str">
        <f t="shared" si="30"/>
        <v>NO CERT.</v>
      </c>
      <c r="S260" s="95" t="e">
        <f t="shared" si="25"/>
        <v>#N/A</v>
      </c>
      <c r="T260" s="119" t="e">
        <f>+IF(J260=LOOKUP(J260,'CAFCO 300 IDIEM TABLAS'!$J$4:$J$40),'CALCULO MORTERO'!J260,MROUND('CALCULO MORTERO'!J260,10))</f>
        <v>#N/A</v>
      </c>
      <c r="U260" s="118">
        <f t="shared" si="26"/>
        <v>0</v>
      </c>
      <c r="Y260" s="4"/>
      <c r="Z260" s="4"/>
      <c r="AA260" s="4"/>
    </row>
    <row r="261" spans="1:27" x14ac:dyDescent="0.25">
      <c r="A261" s="118">
        <f>+CUBICACION!D255</f>
        <v>0</v>
      </c>
      <c r="B261" s="819">
        <f>+CUBICACION!E255</f>
        <v>0</v>
      </c>
      <c r="C261" s="675">
        <f>+CUBICACION!F255</f>
        <v>0</v>
      </c>
      <c r="D261" s="118"/>
      <c r="E261" s="118"/>
      <c r="F261" s="820"/>
      <c r="G261" s="675">
        <f>+CUBICACION!J255</f>
        <v>0</v>
      </c>
      <c r="H261" s="118"/>
      <c r="I261" s="821">
        <f>+CUBICACION!L255</f>
        <v>0</v>
      </c>
      <c r="J261" s="64">
        <f>+CUBICACION!M255</f>
        <v>0</v>
      </c>
      <c r="K261" s="822" t="str">
        <f>+CUBICACION!N255</f>
        <v/>
      </c>
      <c r="L261" s="118">
        <f>+CUBICACION!O255</f>
        <v>0</v>
      </c>
      <c r="M261" s="823">
        <f>+CUBICACION!P255</f>
        <v>0</v>
      </c>
      <c r="N261" s="902">
        <f>ROUND(IF(AND(L261="Blaze Shield II",M261="Software Idiem",C261="IN",G261=4),((('BLAZE SHIELD II'!$D$4*('CALCULO MORTERO'!I261^2)+'BLAZE SHIELD II'!$D$5*'CALCULO MORTERO'!I261+'BLAZE SHIELD II'!$D$6)*LN(J261))+('BLAZE SHIELD II'!$D$7*('CALCULO MORTERO'!I261^2)+'BLAZE SHIELD II'!$D$8*'CALCULO MORTERO'!I261+'BLAZE SHIELD II'!$D$9)),0)+IF(AND(L261="Blaze Shield II",M261="Software Idiem",C261="Cj"),((('BLAZE SHIELD II'!$H$4*('CALCULO MORTERO'!I261^2)+'BLAZE SHIELD II'!$H$5*'CALCULO MORTERO'!I261+'BLAZE SHIELD II'!$H$6)*LN(J261))+('BLAZE SHIELD II'!$H$7*('CALCULO MORTERO'!I261^2)+'BLAZE SHIELD II'!$H$8*'CALCULO MORTERO'!I261+'BLAZE SHIELD II'!$H$9)),0)+IF(AND(L261="Blaze Shield II",M261="Software Idiem",C261="C"),((('BLAZE SHIELD II'!$L$4*('CALCULO MORTERO'!I261^2)+'BLAZE SHIELD II'!$L$5*'CALCULO MORTERO'!I261+'BLAZE SHIELD II'!$L$6)*LN(J261))+('BLAZE SHIELD II'!$L$7*('CALCULO MORTERO'!I261^2)+'BLAZE SHIELD II'!$L$8*'CALCULO MORTERO'!I261+'BLAZE SHIELD II'!$L$9)),0)+IF(AND(L261="Blaze Shield II",M261="Software Idiem",C261="L"),((('BLAZE SHIELD II'!$L$4*('CALCULO MORTERO'!I261^2)+'BLAZE SHIELD II'!$L$5*'CALCULO MORTERO'!I261+'BLAZE SHIELD II'!$L$6)*LN(J261))+('BLAZE SHIELD II'!$L$7*('CALCULO MORTERO'!I261^2)+'BLAZE SHIELD II'!$L$8*'CALCULO MORTERO'!I261+'BLAZE SHIELD II'!$L$9)),0)+IF(AND(L261="Blaze Shield II",M261="Software Idiem",C261="IN",G261=3),((('BLAZE SHIELD II'!$H$14*('CALCULO MORTERO'!I261^2)+'BLAZE SHIELD II'!$H$15*'CALCULO MORTERO'!I261+'BLAZE SHIELD II'!$H$16)*LN(J261))+('BLAZE SHIELD II'!$H$17*('CALCULO MORTERO'!I261^2)+'BLAZE SHIELD II'!$H$18*'CALCULO MORTERO'!I261+'BLAZE SHIELD II'!$H$19)),0),0)+ROUND(IF(AND(L261="Cafco 400",M261="Software Idiem",C261="IN",G261=4),((('CAFCO 400 '!$H$7*(J261^4)+'CAFCO 400 '!$H$8*(J261^3)+'CAFCO 400 '!$H$9*(J261^2)+'CAFCO 400 '!$H$10*J261+'CAFCO 400 '!$H$11)*U261^2)+(('CAFCO 400 '!$H$12*(J261^3)+'CAFCO 400 '!$H$13*(J261^2)+'CAFCO 400 '!$H$14*J261+'CAFCO 400 '!$H$15)*U261)+('CAFCO 400 '!$H$16*(J261^2)+'CAFCO 400 '!$H$17*J261+'CAFCO 400 '!$H$18)),0)+IF(AND(L261="Cafco 400",M261="Software Idiem",C261="Cj"),(((('CAFCO 400 '!$D$7*LN(J261)+'CAFCO 400 '!$D$8)*U261^2)+(('CAFCO 400 '!$D$9*LN(J261)+'CAFCO 400 '!$D$10)*U261)+('CAFCO 400 '!$D$11*LN(J261)+'CAFCO 400 '!$D$12))),0)+IF(AND(L261="Cafco 400",M261="Software Idiem",C261="C"),((('CAFCO 400 '!$L$7*(J261^3)+'CAFCO 400 '!$L$8*(J261^2)+'CAFCO 400 '!$L$9*J261+'CAFCO 400 '!$L$10)*U261^2)+(('CAFCO 400 '!$L$11*(J261^3)+'CAFCO 400 '!$L$12*(J261^2)+'CAFCO 400 '!$L$13*J261+'CAFCO 400 '!$L$14)*U261)+('CAFCO 400 '!$L$15*LN(J261)+'CAFCO 400 '!$L$16)),0)+IF(AND(L261="Cafco 400",M261="Software Idiem",C261="L"),((('CAFCO 400 '!$L$7*(J261^3)+'CAFCO 400 '!$L$8*(J261^2)+'CAFCO 400 '!$L$9*J261+'CAFCO 400 '!$L$10)*U261^2)+(('CAFCO 400 '!$L$11*(J261^3)+'CAFCO 400 '!$L$12*(J261^2)+'CAFCO 400 '!$L$13*J261+'CAFCO 400 '!$L$14)*U261)+('CAFCO 400 '!$L$15*LN(J261)+'CAFCO 400 '!$L$16)),0)+IF(AND(L261="Cafco 400",M261="Software Idiem",C261="IN",G261=3),((('CAFCO 400 '!$D$23*(J261^2)+'CAFCO 400 '!$D$24*(J261)+'CAFCO 400 '!$D$25)*U261^2)+(('CAFCO 400 '!$D$26*(J261^2)+'CAFCO 400 '!$D$27*J261+'CAFCO 400 '!$D$28)*U261)+('CAFCO 400 '!$D$29*(J261^2)+'CAFCO 400 '!$D$30*J261+'CAFCO 400 '!$D$31)),0),0)+IF(AND(L261="Cafco 300",J261&gt;=95,J261&lt;=240,C261="Cj",I261=90),VLOOKUP(T261,'CAFCO 300 IDIEM TABLAS'!$B$4:$D$23,2,FALSE),0)+IF(AND(L261="Cafco 300",J261&gt;=95,J261&lt;=240,C261="Cj",I261=120),VLOOKUP(T261,'CAFCO 300 IDIEM TABLAS'!$B$4:$D$23,3,FALSE),0)+IF(AND(L261="Cafco 300",J261&gt;=95,J261&lt;=400,G261=3,C261="IN",I261=90),VLOOKUP(T261,'CAFCO 300 IDIEM TABLAS'!$F$4:$H$35,2,FALSE),0)+IF(AND(L261="Cafco 300",J261&gt;=95,J261&lt;=400,G261=3,C261="IN",I261=120),VLOOKUP(T261,'CAFCO 300 IDIEM TABLAS'!$F$4:$H$35,3,FALSE),0)+IF(AND(L261="Cafco 300",J261&gt;=95,J261&lt;=450,G261=4,C261="IN",I261=90),VLOOKUP(T261,'CAFCO 300 IDIEM TABLAS'!$J$4:$L$40,2,FALSE),0)+IF(AND(L261="Cafco 300",J261&gt;=95,J261&lt;=450,G261=4,C261="IN",I261=120),VLOOKUP(T261,'CAFCO 300 IDIEM TABLAS'!$J$4:$L$40,3,FALSE),0)+IF(AND(M261="Ensayo Idiem",L261="Cafco 400",C261="IN",G261=4,I261=90),VLOOKUP(T261,'CAFCO 400 ENSAYO'!$B$7:$D$43,2,FALSE),0)+IF(AND(M261="Ensayo Idiem",L261="Cafco 400",C261="IN",G261=4,I261=120),VLOOKUP(T261,'CAFCO 400 ENSAYO'!$B$7:$D$43,3,FALSE),0)</f>
        <v>0</v>
      </c>
      <c r="O261" s="96">
        <f t="shared" si="27"/>
        <v>0</v>
      </c>
      <c r="P261" s="95" t="str">
        <f t="shared" si="28"/>
        <v>N/A</v>
      </c>
      <c r="Q261" s="95" t="str">
        <f t="shared" si="29"/>
        <v>N/A</v>
      </c>
      <c r="R261" s="95" t="str">
        <f t="shared" si="30"/>
        <v>NO CERT.</v>
      </c>
      <c r="S261" s="95" t="e">
        <f t="shared" si="25"/>
        <v>#N/A</v>
      </c>
      <c r="T261" s="119" t="e">
        <f>+IF(J261=LOOKUP(J261,'CAFCO 300 IDIEM TABLAS'!$J$4:$J$40),'CALCULO MORTERO'!J261,MROUND('CALCULO MORTERO'!J261,10))</f>
        <v>#N/A</v>
      </c>
      <c r="U261" s="118">
        <f t="shared" si="26"/>
        <v>0</v>
      </c>
      <c r="Y261" s="4"/>
      <c r="Z261" s="4"/>
      <c r="AA261" s="4"/>
    </row>
    <row r="262" spans="1:27" ht="15.6" customHeight="1" x14ac:dyDescent="0.25">
      <c r="A262" s="118">
        <f>+CUBICACION!D256</f>
        <v>0</v>
      </c>
      <c r="B262" s="819">
        <f>+CUBICACION!E256</f>
        <v>0</v>
      </c>
      <c r="C262" s="675">
        <f>+CUBICACION!F256</f>
        <v>0</v>
      </c>
      <c r="D262" s="118"/>
      <c r="E262" s="118"/>
      <c r="F262" s="820"/>
      <c r="G262" s="675">
        <f>+CUBICACION!J256</f>
        <v>0</v>
      </c>
      <c r="H262" s="118"/>
      <c r="I262" s="821">
        <f>+CUBICACION!L256</f>
        <v>0</v>
      </c>
      <c r="J262" s="64">
        <f>+CUBICACION!M256</f>
        <v>0</v>
      </c>
      <c r="K262" s="822" t="str">
        <f>+CUBICACION!N256</f>
        <v/>
      </c>
      <c r="L262" s="118">
        <f>+CUBICACION!O256</f>
        <v>0</v>
      </c>
      <c r="M262" s="823">
        <f>+CUBICACION!P256</f>
        <v>0</v>
      </c>
      <c r="N262" s="902">
        <f>ROUND(IF(AND(L262="Blaze Shield II",M262="Software Idiem",C262="IN",G262=4),((('BLAZE SHIELD II'!$D$4*('CALCULO MORTERO'!I262^2)+'BLAZE SHIELD II'!$D$5*'CALCULO MORTERO'!I262+'BLAZE SHIELD II'!$D$6)*LN(J262))+('BLAZE SHIELD II'!$D$7*('CALCULO MORTERO'!I262^2)+'BLAZE SHIELD II'!$D$8*'CALCULO MORTERO'!I262+'BLAZE SHIELD II'!$D$9)),0)+IF(AND(L262="Blaze Shield II",M262="Software Idiem",C262="Cj"),((('BLAZE SHIELD II'!$H$4*('CALCULO MORTERO'!I262^2)+'BLAZE SHIELD II'!$H$5*'CALCULO MORTERO'!I262+'BLAZE SHIELD II'!$H$6)*LN(J262))+('BLAZE SHIELD II'!$H$7*('CALCULO MORTERO'!I262^2)+'BLAZE SHIELD II'!$H$8*'CALCULO MORTERO'!I262+'BLAZE SHIELD II'!$H$9)),0)+IF(AND(L262="Blaze Shield II",M262="Software Idiem",C262="C"),((('BLAZE SHIELD II'!$L$4*('CALCULO MORTERO'!I262^2)+'BLAZE SHIELD II'!$L$5*'CALCULO MORTERO'!I262+'BLAZE SHIELD II'!$L$6)*LN(J262))+('BLAZE SHIELD II'!$L$7*('CALCULO MORTERO'!I262^2)+'BLAZE SHIELD II'!$L$8*'CALCULO MORTERO'!I262+'BLAZE SHIELD II'!$L$9)),0)+IF(AND(L262="Blaze Shield II",M262="Software Idiem",C262="L"),((('BLAZE SHIELD II'!$L$4*('CALCULO MORTERO'!I262^2)+'BLAZE SHIELD II'!$L$5*'CALCULO MORTERO'!I262+'BLAZE SHIELD II'!$L$6)*LN(J262))+('BLAZE SHIELD II'!$L$7*('CALCULO MORTERO'!I262^2)+'BLAZE SHIELD II'!$L$8*'CALCULO MORTERO'!I262+'BLAZE SHIELD II'!$L$9)),0)+IF(AND(L262="Blaze Shield II",M262="Software Idiem",C262="IN",G262=3),((('BLAZE SHIELD II'!$H$14*('CALCULO MORTERO'!I262^2)+'BLAZE SHIELD II'!$H$15*'CALCULO MORTERO'!I262+'BLAZE SHIELD II'!$H$16)*LN(J262))+('BLAZE SHIELD II'!$H$17*('CALCULO MORTERO'!I262^2)+'BLAZE SHIELD II'!$H$18*'CALCULO MORTERO'!I262+'BLAZE SHIELD II'!$H$19)),0),0)+ROUND(IF(AND(L262="Cafco 400",M262="Software Idiem",C262="IN",G262=4),((('CAFCO 400 '!$H$7*(J262^4)+'CAFCO 400 '!$H$8*(J262^3)+'CAFCO 400 '!$H$9*(J262^2)+'CAFCO 400 '!$H$10*J262+'CAFCO 400 '!$H$11)*U262^2)+(('CAFCO 400 '!$H$12*(J262^3)+'CAFCO 400 '!$H$13*(J262^2)+'CAFCO 400 '!$H$14*J262+'CAFCO 400 '!$H$15)*U262)+('CAFCO 400 '!$H$16*(J262^2)+'CAFCO 400 '!$H$17*J262+'CAFCO 400 '!$H$18)),0)+IF(AND(L262="Cafco 400",M262="Software Idiem",C262="Cj"),(((('CAFCO 400 '!$D$7*LN(J262)+'CAFCO 400 '!$D$8)*U262^2)+(('CAFCO 400 '!$D$9*LN(J262)+'CAFCO 400 '!$D$10)*U262)+('CAFCO 400 '!$D$11*LN(J262)+'CAFCO 400 '!$D$12))),0)+IF(AND(L262="Cafco 400",M262="Software Idiem",C262="C"),((('CAFCO 400 '!$L$7*(J262^3)+'CAFCO 400 '!$L$8*(J262^2)+'CAFCO 400 '!$L$9*J262+'CAFCO 400 '!$L$10)*U262^2)+(('CAFCO 400 '!$L$11*(J262^3)+'CAFCO 400 '!$L$12*(J262^2)+'CAFCO 400 '!$L$13*J262+'CAFCO 400 '!$L$14)*U262)+('CAFCO 400 '!$L$15*LN(J262)+'CAFCO 400 '!$L$16)),0)+IF(AND(L262="Cafco 400",M262="Software Idiem",C262="L"),((('CAFCO 400 '!$L$7*(J262^3)+'CAFCO 400 '!$L$8*(J262^2)+'CAFCO 400 '!$L$9*J262+'CAFCO 400 '!$L$10)*U262^2)+(('CAFCO 400 '!$L$11*(J262^3)+'CAFCO 400 '!$L$12*(J262^2)+'CAFCO 400 '!$L$13*J262+'CAFCO 400 '!$L$14)*U262)+('CAFCO 400 '!$L$15*LN(J262)+'CAFCO 400 '!$L$16)),0)+IF(AND(L262="Cafco 400",M262="Software Idiem",C262="IN",G262=3),((('CAFCO 400 '!$D$23*(J262^2)+'CAFCO 400 '!$D$24*(J262)+'CAFCO 400 '!$D$25)*U262^2)+(('CAFCO 400 '!$D$26*(J262^2)+'CAFCO 400 '!$D$27*J262+'CAFCO 400 '!$D$28)*U262)+('CAFCO 400 '!$D$29*(J262^2)+'CAFCO 400 '!$D$30*J262+'CAFCO 400 '!$D$31)),0),0)+IF(AND(L262="Cafco 300",J262&gt;=95,J262&lt;=240,C262="Cj",I262=90),VLOOKUP(T262,'CAFCO 300 IDIEM TABLAS'!$B$4:$D$23,2,FALSE),0)+IF(AND(L262="Cafco 300",J262&gt;=95,J262&lt;=240,C262="Cj",I262=120),VLOOKUP(T262,'CAFCO 300 IDIEM TABLAS'!$B$4:$D$23,3,FALSE),0)+IF(AND(L262="Cafco 300",J262&gt;=95,J262&lt;=400,G262=3,C262="IN",I262=90),VLOOKUP(T262,'CAFCO 300 IDIEM TABLAS'!$F$4:$H$35,2,FALSE),0)+IF(AND(L262="Cafco 300",J262&gt;=95,J262&lt;=400,G262=3,C262="IN",I262=120),VLOOKUP(T262,'CAFCO 300 IDIEM TABLAS'!$F$4:$H$35,3,FALSE),0)+IF(AND(L262="Cafco 300",J262&gt;=95,J262&lt;=450,G262=4,C262="IN",I262=90),VLOOKUP(T262,'CAFCO 300 IDIEM TABLAS'!$J$4:$L$40,2,FALSE),0)+IF(AND(L262="Cafco 300",J262&gt;=95,J262&lt;=450,G262=4,C262="IN",I262=120),VLOOKUP(T262,'CAFCO 300 IDIEM TABLAS'!$J$4:$L$40,3,FALSE),0)+IF(AND(M262="Ensayo Idiem",L262="Cafco 400",C262="IN",G262=4,I262=90),VLOOKUP(T262,'CAFCO 400 ENSAYO'!$B$7:$D$43,2,FALSE),0)+IF(AND(M262="Ensayo Idiem",L262="Cafco 400",C262="IN",G262=4,I262=120),VLOOKUP(T262,'CAFCO 400 ENSAYO'!$B$7:$D$43,3,FALSE),0)</f>
        <v>0</v>
      </c>
      <c r="O262" s="96">
        <f t="shared" si="27"/>
        <v>0</v>
      </c>
      <c r="P262" s="95" t="str">
        <f t="shared" si="28"/>
        <v>N/A</v>
      </c>
      <c r="Q262" s="95" t="str">
        <f t="shared" si="29"/>
        <v>N/A</v>
      </c>
      <c r="R262" s="95" t="str">
        <f t="shared" si="30"/>
        <v>NO CERT.</v>
      </c>
      <c r="S262" s="95" t="e">
        <f t="shared" si="25"/>
        <v>#N/A</v>
      </c>
      <c r="T262" s="119" t="e">
        <f>+IF(J262=LOOKUP(J262,'CAFCO 300 IDIEM TABLAS'!$J$4:$J$40),'CALCULO MORTERO'!J262,MROUND('CALCULO MORTERO'!J262,10))</f>
        <v>#N/A</v>
      </c>
      <c r="U262" s="118">
        <f t="shared" si="26"/>
        <v>0</v>
      </c>
      <c r="Y262" s="4"/>
      <c r="Z262" s="4"/>
      <c r="AA262" s="4"/>
    </row>
    <row r="263" spans="1:27" x14ac:dyDescent="0.25">
      <c r="A263" s="118">
        <f>+CUBICACION!D257</f>
        <v>0</v>
      </c>
      <c r="B263" s="819">
        <f>+CUBICACION!E257</f>
        <v>0</v>
      </c>
      <c r="C263" s="675">
        <f>+CUBICACION!F257</f>
        <v>0</v>
      </c>
      <c r="D263" s="118"/>
      <c r="E263" s="118"/>
      <c r="F263" s="820"/>
      <c r="G263" s="675">
        <f>+CUBICACION!J257</f>
        <v>0</v>
      </c>
      <c r="H263" s="118"/>
      <c r="I263" s="821">
        <f>+CUBICACION!L257</f>
        <v>0</v>
      </c>
      <c r="J263" s="64">
        <f>+CUBICACION!M257</f>
        <v>0</v>
      </c>
      <c r="K263" s="822" t="str">
        <f>+CUBICACION!N257</f>
        <v/>
      </c>
      <c r="L263" s="118">
        <f>+CUBICACION!O257</f>
        <v>0</v>
      </c>
      <c r="M263" s="823">
        <f>+CUBICACION!P257</f>
        <v>0</v>
      </c>
      <c r="N263" s="902">
        <f>ROUND(IF(AND(L263="Blaze Shield II",M263="Software Idiem",C263="IN",G263=4),((('BLAZE SHIELD II'!$D$4*('CALCULO MORTERO'!I263^2)+'BLAZE SHIELD II'!$D$5*'CALCULO MORTERO'!I263+'BLAZE SHIELD II'!$D$6)*LN(J263))+('BLAZE SHIELD II'!$D$7*('CALCULO MORTERO'!I263^2)+'BLAZE SHIELD II'!$D$8*'CALCULO MORTERO'!I263+'BLAZE SHIELD II'!$D$9)),0)+IF(AND(L263="Blaze Shield II",M263="Software Idiem",C263="Cj"),((('BLAZE SHIELD II'!$H$4*('CALCULO MORTERO'!I263^2)+'BLAZE SHIELD II'!$H$5*'CALCULO MORTERO'!I263+'BLAZE SHIELD II'!$H$6)*LN(J263))+('BLAZE SHIELD II'!$H$7*('CALCULO MORTERO'!I263^2)+'BLAZE SHIELD II'!$H$8*'CALCULO MORTERO'!I263+'BLAZE SHIELD II'!$H$9)),0)+IF(AND(L263="Blaze Shield II",M263="Software Idiem",C263="C"),((('BLAZE SHIELD II'!$L$4*('CALCULO MORTERO'!I263^2)+'BLAZE SHIELD II'!$L$5*'CALCULO MORTERO'!I263+'BLAZE SHIELD II'!$L$6)*LN(J263))+('BLAZE SHIELD II'!$L$7*('CALCULO MORTERO'!I263^2)+'BLAZE SHIELD II'!$L$8*'CALCULO MORTERO'!I263+'BLAZE SHIELD II'!$L$9)),0)+IF(AND(L263="Blaze Shield II",M263="Software Idiem",C263="L"),((('BLAZE SHIELD II'!$L$4*('CALCULO MORTERO'!I263^2)+'BLAZE SHIELD II'!$L$5*'CALCULO MORTERO'!I263+'BLAZE SHIELD II'!$L$6)*LN(J263))+('BLAZE SHIELD II'!$L$7*('CALCULO MORTERO'!I263^2)+'BLAZE SHIELD II'!$L$8*'CALCULO MORTERO'!I263+'BLAZE SHIELD II'!$L$9)),0)+IF(AND(L263="Blaze Shield II",M263="Software Idiem",C263="IN",G263=3),((('BLAZE SHIELD II'!$H$14*('CALCULO MORTERO'!I263^2)+'BLAZE SHIELD II'!$H$15*'CALCULO MORTERO'!I263+'BLAZE SHIELD II'!$H$16)*LN(J263))+('BLAZE SHIELD II'!$H$17*('CALCULO MORTERO'!I263^2)+'BLAZE SHIELD II'!$H$18*'CALCULO MORTERO'!I263+'BLAZE SHIELD II'!$H$19)),0),0)+ROUND(IF(AND(L263="Cafco 400",M263="Software Idiem",C263="IN",G263=4),((('CAFCO 400 '!$H$7*(J263^4)+'CAFCO 400 '!$H$8*(J263^3)+'CAFCO 400 '!$H$9*(J263^2)+'CAFCO 400 '!$H$10*J263+'CAFCO 400 '!$H$11)*U263^2)+(('CAFCO 400 '!$H$12*(J263^3)+'CAFCO 400 '!$H$13*(J263^2)+'CAFCO 400 '!$H$14*J263+'CAFCO 400 '!$H$15)*U263)+('CAFCO 400 '!$H$16*(J263^2)+'CAFCO 400 '!$H$17*J263+'CAFCO 400 '!$H$18)),0)+IF(AND(L263="Cafco 400",M263="Software Idiem",C263="Cj"),(((('CAFCO 400 '!$D$7*LN(J263)+'CAFCO 400 '!$D$8)*U263^2)+(('CAFCO 400 '!$D$9*LN(J263)+'CAFCO 400 '!$D$10)*U263)+('CAFCO 400 '!$D$11*LN(J263)+'CAFCO 400 '!$D$12))),0)+IF(AND(L263="Cafco 400",M263="Software Idiem",C263="C"),((('CAFCO 400 '!$L$7*(J263^3)+'CAFCO 400 '!$L$8*(J263^2)+'CAFCO 400 '!$L$9*J263+'CAFCO 400 '!$L$10)*U263^2)+(('CAFCO 400 '!$L$11*(J263^3)+'CAFCO 400 '!$L$12*(J263^2)+'CAFCO 400 '!$L$13*J263+'CAFCO 400 '!$L$14)*U263)+('CAFCO 400 '!$L$15*LN(J263)+'CAFCO 400 '!$L$16)),0)+IF(AND(L263="Cafco 400",M263="Software Idiem",C263="L"),((('CAFCO 400 '!$L$7*(J263^3)+'CAFCO 400 '!$L$8*(J263^2)+'CAFCO 400 '!$L$9*J263+'CAFCO 400 '!$L$10)*U263^2)+(('CAFCO 400 '!$L$11*(J263^3)+'CAFCO 400 '!$L$12*(J263^2)+'CAFCO 400 '!$L$13*J263+'CAFCO 400 '!$L$14)*U263)+('CAFCO 400 '!$L$15*LN(J263)+'CAFCO 400 '!$L$16)),0)+IF(AND(L263="Cafco 400",M263="Software Idiem",C263="IN",G263=3),((('CAFCO 400 '!$D$23*(J263^2)+'CAFCO 400 '!$D$24*(J263)+'CAFCO 400 '!$D$25)*U263^2)+(('CAFCO 400 '!$D$26*(J263^2)+'CAFCO 400 '!$D$27*J263+'CAFCO 400 '!$D$28)*U263)+('CAFCO 400 '!$D$29*(J263^2)+'CAFCO 400 '!$D$30*J263+'CAFCO 400 '!$D$31)),0),0)+IF(AND(L263="Cafco 300",J263&gt;=95,J263&lt;=240,C263="Cj",I263=90),VLOOKUP(T263,'CAFCO 300 IDIEM TABLAS'!$B$4:$D$23,2,FALSE),0)+IF(AND(L263="Cafco 300",J263&gt;=95,J263&lt;=240,C263="Cj",I263=120),VLOOKUP(T263,'CAFCO 300 IDIEM TABLAS'!$B$4:$D$23,3,FALSE),0)+IF(AND(L263="Cafco 300",J263&gt;=95,J263&lt;=400,G263=3,C263="IN",I263=90),VLOOKUP(T263,'CAFCO 300 IDIEM TABLAS'!$F$4:$H$35,2,FALSE),0)+IF(AND(L263="Cafco 300",J263&gt;=95,J263&lt;=400,G263=3,C263="IN",I263=120),VLOOKUP(T263,'CAFCO 300 IDIEM TABLAS'!$F$4:$H$35,3,FALSE),0)+IF(AND(L263="Cafco 300",J263&gt;=95,J263&lt;=450,G263=4,C263="IN",I263=90),VLOOKUP(T263,'CAFCO 300 IDIEM TABLAS'!$J$4:$L$40,2,FALSE),0)+IF(AND(L263="Cafco 300",J263&gt;=95,J263&lt;=450,G263=4,C263="IN",I263=120),VLOOKUP(T263,'CAFCO 300 IDIEM TABLAS'!$J$4:$L$40,3,FALSE),0)+IF(AND(M263="Ensayo Idiem",L263="Cafco 400",C263="IN",G263=4,I263=90),VLOOKUP(T263,'CAFCO 400 ENSAYO'!$B$7:$D$43,2,FALSE),0)+IF(AND(M263="Ensayo Idiem",L263="Cafco 400",C263="IN",G263=4,I263=120),VLOOKUP(T263,'CAFCO 400 ENSAYO'!$B$7:$D$43,3,FALSE),0)</f>
        <v>0</v>
      </c>
      <c r="O263" s="96">
        <f t="shared" si="27"/>
        <v>0</v>
      </c>
      <c r="P263" s="95" t="str">
        <f t="shared" si="28"/>
        <v>N/A</v>
      </c>
      <c r="Q263" s="95" t="str">
        <f t="shared" si="29"/>
        <v>N/A</v>
      </c>
      <c r="R263" s="95" t="str">
        <f t="shared" si="30"/>
        <v>NO CERT.</v>
      </c>
      <c r="S263" s="95" t="e">
        <f t="shared" si="25"/>
        <v>#N/A</v>
      </c>
      <c r="T263" s="119" t="e">
        <f>+IF(J263=LOOKUP(J263,'CAFCO 300 IDIEM TABLAS'!$J$4:$J$40),'CALCULO MORTERO'!J263,MROUND('CALCULO MORTERO'!J263,10))</f>
        <v>#N/A</v>
      </c>
      <c r="U263" s="118">
        <f t="shared" si="26"/>
        <v>0</v>
      </c>
      <c r="Y263" s="4"/>
      <c r="Z263" s="4"/>
      <c r="AA263" s="4"/>
    </row>
    <row r="264" spans="1:27" ht="15.6" customHeight="1" x14ac:dyDescent="0.25">
      <c r="A264" s="118">
        <f>+CUBICACION!D258</f>
        <v>0</v>
      </c>
      <c r="B264" s="819">
        <f>+CUBICACION!E258</f>
        <v>0</v>
      </c>
      <c r="C264" s="675">
        <f>+CUBICACION!F258</f>
        <v>0</v>
      </c>
      <c r="D264" s="118"/>
      <c r="E264" s="118"/>
      <c r="F264" s="820"/>
      <c r="G264" s="675">
        <f>+CUBICACION!J258</f>
        <v>0</v>
      </c>
      <c r="H264" s="118"/>
      <c r="I264" s="821">
        <f>+CUBICACION!L258</f>
        <v>0</v>
      </c>
      <c r="J264" s="64">
        <f>+CUBICACION!M258</f>
        <v>0</v>
      </c>
      <c r="K264" s="822" t="str">
        <f>+CUBICACION!N258</f>
        <v/>
      </c>
      <c r="L264" s="118">
        <f>+CUBICACION!O258</f>
        <v>0</v>
      </c>
      <c r="M264" s="823">
        <f>+CUBICACION!P258</f>
        <v>0</v>
      </c>
      <c r="N264" s="902">
        <f>ROUND(IF(AND(L264="Blaze Shield II",M264="Software Idiem",C264="IN",G264=4),((('BLAZE SHIELD II'!$D$4*('CALCULO MORTERO'!I264^2)+'BLAZE SHIELD II'!$D$5*'CALCULO MORTERO'!I264+'BLAZE SHIELD II'!$D$6)*LN(J264))+('BLAZE SHIELD II'!$D$7*('CALCULO MORTERO'!I264^2)+'BLAZE SHIELD II'!$D$8*'CALCULO MORTERO'!I264+'BLAZE SHIELD II'!$D$9)),0)+IF(AND(L264="Blaze Shield II",M264="Software Idiem",C264="Cj"),((('BLAZE SHIELD II'!$H$4*('CALCULO MORTERO'!I264^2)+'BLAZE SHIELD II'!$H$5*'CALCULO MORTERO'!I264+'BLAZE SHIELD II'!$H$6)*LN(J264))+('BLAZE SHIELD II'!$H$7*('CALCULO MORTERO'!I264^2)+'BLAZE SHIELD II'!$H$8*'CALCULO MORTERO'!I264+'BLAZE SHIELD II'!$H$9)),0)+IF(AND(L264="Blaze Shield II",M264="Software Idiem",C264="C"),((('BLAZE SHIELD II'!$L$4*('CALCULO MORTERO'!I264^2)+'BLAZE SHIELD II'!$L$5*'CALCULO MORTERO'!I264+'BLAZE SHIELD II'!$L$6)*LN(J264))+('BLAZE SHIELD II'!$L$7*('CALCULO MORTERO'!I264^2)+'BLAZE SHIELD II'!$L$8*'CALCULO MORTERO'!I264+'BLAZE SHIELD II'!$L$9)),0)+IF(AND(L264="Blaze Shield II",M264="Software Idiem",C264="L"),((('BLAZE SHIELD II'!$L$4*('CALCULO MORTERO'!I264^2)+'BLAZE SHIELD II'!$L$5*'CALCULO MORTERO'!I264+'BLAZE SHIELD II'!$L$6)*LN(J264))+('BLAZE SHIELD II'!$L$7*('CALCULO MORTERO'!I264^2)+'BLAZE SHIELD II'!$L$8*'CALCULO MORTERO'!I264+'BLAZE SHIELD II'!$L$9)),0)+IF(AND(L264="Blaze Shield II",M264="Software Idiem",C264="IN",G264=3),((('BLAZE SHIELD II'!$H$14*('CALCULO MORTERO'!I264^2)+'BLAZE SHIELD II'!$H$15*'CALCULO MORTERO'!I264+'BLAZE SHIELD II'!$H$16)*LN(J264))+('BLAZE SHIELD II'!$H$17*('CALCULO MORTERO'!I264^2)+'BLAZE SHIELD II'!$H$18*'CALCULO MORTERO'!I264+'BLAZE SHIELD II'!$H$19)),0),0)+ROUND(IF(AND(L264="Cafco 400",M264="Software Idiem",C264="IN",G264=4),((('CAFCO 400 '!$H$7*(J264^4)+'CAFCO 400 '!$H$8*(J264^3)+'CAFCO 400 '!$H$9*(J264^2)+'CAFCO 400 '!$H$10*J264+'CAFCO 400 '!$H$11)*U264^2)+(('CAFCO 400 '!$H$12*(J264^3)+'CAFCO 400 '!$H$13*(J264^2)+'CAFCO 400 '!$H$14*J264+'CAFCO 400 '!$H$15)*U264)+('CAFCO 400 '!$H$16*(J264^2)+'CAFCO 400 '!$H$17*J264+'CAFCO 400 '!$H$18)),0)+IF(AND(L264="Cafco 400",M264="Software Idiem",C264="Cj"),(((('CAFCO 400 '!$D$7*LN(J264)+'CAFCO 400 '!$D$8)*U264^2)+(('CAFCO 400 '!$D$9*LN(J264)+'CAFCO 400 '!$D$10)*U264)+('CAFCO 400 '!$D$11*LN(J264)+'CAFCO 400 '!$D$12))),0)+IF(AND(L264="Cafco 400",M264="Software Idiem",C264="C"),((('CAFCO 400 '!$L$7*(J264^3)+'CAFCO 400 '!$L$8*(J264^2)+'CAFCO 400 '!$L$9*J264+'CAFCO 400 '!$L$10)*U264^2)+(('CAFCO 400 '!$L$11*(J264^3)+'CAFCO 400 '!$L$12*(J264^2)+'CAFCO 400 '!$L$13*J264+'CAFCO 400 '!$L$14)*U264)+('CAFCO 400 '!$L$15*LN(J264)+'CAFCO 400 '!$L$16)),0)+IF(AND(L264="Cafco 400",M264="Software Idiem",C264="L"),((('CAFCO 400 '!$L$7*(J264^3)+'CAFCO 400 '!$L$8*(J264^2)+'CAFCO 400 '!$L$9*J264+'CAFCO 400 '!$L$10)*U264^2)+(('CAFCO 400 '!$L$11*(J264^3)+'CAFCO 400 '!$L$12*(J264^2)+'CAFCO 400 '!$L$13*J264+'CAFCO 400 '!$L$14)*U264)+('CAFCO 400 '!$L$15*LN(J264)+'CAFCO 400 '!$L$16)),0)+IF(AND(L264="Cafco 400",M264="Software Idiem",C264="IN",G264=3),((('CAFCO 400 '!$D$23*(J264^2)+'CAFCO 400 '!$D$24*(J264)+'CAFCO 400 '!$D$25)*U264^2)+(('CAFCO 400 '!$D$26*(J264^2)+'CAFCO 400 '!$D$27*J264+'CAFCO 400 '!$D$28)*U264)+('CAFCO 400 '!$D$29*(J264^2)+'CAFCO 400 '!$D$30*J264+'CAFCO 400 '!$D$31)),0),0)+IF(AND(L264="Cafco 300",J264&gt;=95,J264&lt;=240,C264="Cj",I264=90),VLOOKUP(T264,'CAFCO 300 IDIEM TABLAS'!$B$4:$D$23,2,FALSE),0)+IF(AND(L264="Cafco 300",J264&gt;=95,J264&lt;=240,C264="Cj",I264=120),VLOOKUP(T264,'CAFCO 300 IDIEM TABLAS'!$B$4:$D$23,3,FALSE),0)+IF(AND(L264="Cafco 300",J264&gt;=95,J264&lt;=400,G264=3,C264="IN",I264=90),VLOOKUP(T264,'CAFCO 300 IDIEM TABLAS'!$F$4:$H$35,2,FALSE),0)+IF(AND(L264="Cafco 300",J264&gt;=95,J264&lt;=400,G264=3,C264="IN",I264=120),VLOOKUP(T264,'CAFCO 300 IDIEM TABLAS'!$F$4:$H$35,3,FALSE),0)+IF(AND(L264="Cafco 300",J264&gt;=95,J264&lt;=450,G264=4,C264="IN",I264=90),VLOOKUP(T264,'CAFCO 300 IDIEM TABLAS'!$J$4:$L$40,2,FALSE),0)+IF(AND(L264="Cafco 300",J264&gt;=95,J264&lt;=450,G264=4,C264="IN",I264=120),VLOOKUP(T264,'CAFCO 300 IDIEM TABLAS'!$J$4:$L$40,3,FALSE),0)+IF(AND(M264="Ensayo Idiem",L264="Cafco 400",C264="IN",G264=4,I264=90),VLOOKUP(T264,'CAFCO 400 ENSAYO'!$B$7:$D$43,2,FALSE),0)+IF(AND(M264="Ensayo Idiem",L264="Cafco 400",C264="IN",G264=4,I264=120),VLOOKUP(T264,'CAFCO 400 ENSAYO'!$B$7:$D$43,3,FALSE),0)</f>
        <v>0</v>
      </c>
      <c r="O264" s="96">
        <f t="shared" si="27"/>
        <v>0</v>
      </c>
      <c r="P264" s="95" t="str">
        <f t="shared" si="28"/>
        <v>N/A</v>
      </c>
      <c r="Q264" s="95" t="str">
        <f t="shared" si="29"/>
        <v>N/A</v>
      </c>
      <c r="R264" s="95" t="str">
        <f t="shared" si="30"/>
        <v>NO CERT.</v>
      </c>
      <c r="S264" s="95" t="e">
        <f t="shared" si="25"/>
        <v>#N/A</v>
      </c>
      <c r="T264" s="119" t="e">
        <f>+IF(J264=LOOKUP(J264,'CAFCO 300 IDIEM TABLAS'!$J$4:$J$40),'CALCULO MORTERO'!J264,MROUND('CALCULO MORTERO'!J264,10))</f>
        <v>#N/A</v>
      </c>
      <c r="U264" s="118">
        <f t="shared" si="26"/>
        <v>0</v>
      </c>
      <c r="Y264" s="4"/>
      <c r="Z264" s="4"/>
      <c r="AA264" s="4"/>
    </row>
    <row r="265" spans="1:27" x14ac:dyDescent="0.25">
      <c r="A265" s="118">
        <f>+CUBICACION!D259</f>
        <v>0</v>
      </c>
      <c r="B265" s="819">
        <f>+CUBICACION!E259</f>
        <v>0</v>
      </c>
      <c r="C265" s="675">
        <f>+CUBICACION!F259</f>
        <v>0</v>
      </c>
      <c r="D265" s="118"/>
      <c r="E265" s="118"/>
      <c r="F265" s="820"/>
      <c r="G265" s="675">
        <f>+CUBICACION!J259</f>
        <v>0</v>
      </c>
      <c r="H265" s="118"/>
      <c r="I265" s="821">
        <f>+CUBICACION!L259</f>
        <v>0</v>
      </c>
      <c r="J265" s="64">
        <f>+CUBICACION!M259</f>
        <v>0</v>
      </c>
      <c r="K265" s="822" t="str">
        <f>+CUBICACION!N259</f>
        <v/>
      </c>
      <c r="L265" s="118">
        <f>+CUBICACION!O259</f>
        <v>0</v>
      </c>
      <c r="M265" s="823">
        <f>+CUBICACION!P259</f>
        <v>0</v>
      </c>
      <c r="N265" s="902">
        <f>ROUND(IF(AND(L265="Blaze Shield II",M265="Software Idiem",C265="IN",G265=4),((('BLAZE SHIELD II'!$D$4*('CALCULO MORTERO'!I265^2)+'BLAZE SHIELD II'!$D$5*'CALCULO MORTERO'!I265+'BLAZE SHIELD II'!$D$6)*LN(J265))+('BLAZE SHIELD II'!$D$7*('CALCULO MORTERO'!I265^2)+'BLAZE SHIELD II'!$D$8*'CALCULO MORTERO'!I265+'BLAZE SHIELD II'!$D$9)),0)+IF(AND(L265="Blaze Shield II",M265="Software Idiem",C265="Cj"),((('BLAZE SHIELD II'!$H$4*('CALCULO MORTERO'!I265^2)+'BLAZE SHIELD II'!$H$5*'CALCULO MORTERO'!I265+'BLAZE SHIELD II'!$H$6)*LN(J265))+('BLAZE SHIELD II'!$H$7*('CALCULO MORTERO'!I265^2)+'BLAZE SHIELD II'!$H$8*'CALCULO MORTERO'!I265+'BLAZE SHIELD II'!$H$9)),0)+IF(AND(L265="Blaze Shield II",M265="Software Idiem",C265="C"),((('BLAZE SHIELD II'!$L$4*('CALCULO MORTERO'!I265^2)+'BLAZE SHIELD II'!$L$5*'CALCULO MORTERO'!I265+'BLAZE SHIELD II'!$L$6)*LN(J265))+('BLAZE SHIELD II'!$L$7*('CALCULO MORTERO'!I265^2)+'BLAZE SHIELD II'!$L$8*'CALCULO MORTERO'!I265+'BLAZE SHIELD II'!$L$9)),0)+IF(AND(L265="Blaze Shield II",M265="Software Idiem",C265="L"),((('BLAZE SHIELD II'!$L$4*('CALCULO MORTERO'!I265^2)+'BLAZE SHIELD II'!$L$5*'CALCULO MORTERO'!I265+'BLAZE SHIELD II'!$L$6)*LN(J265))+('BLAZE SHIELD II'!$L$7*('CALCULO MORTERO'!I265^2)+'BLAZE SHIELD II'!$L$8*'CALCULO MORTERO'!I265+'BLAZE SHIELD II'!$L$9)),0)+IF(AND(L265="Blaze Shield II",M265="Software Idiem",C265="IN",G265=3),((('BLAZE SHIELD II'!$H$14*('CALCULO MORTERO'!I265^2)+'BLAZE SHIELD II'!$H$15*'CALCULO MORTERO'!I265+'BLAZE SHIELD II'!$H$16)*LN(J265))+('BLAZE SHIELD II'!$H$17*('CALCULO MORTERO'!I265^2)+'BLAZE SHIELD II'!$H$18*'CALCULO MORTERO'!I265+'BLAZE SHIELD II'!$H$19)),0),0)+ROUND(IF(AND(L265="Cafco 400",M265="Software Idiem",C265="IN",G265=4),((('CAFCO 400 '!$H$7*(J265^4)+'CAFCO 400 '!$H$8*(J265^3)+'CAFCO 400 '!$H$9*(J265^2)+'CAFCO 400 '!$H$10*J265+'CAFCO 400 '!$H$11)*U265^2)+(('CAFCO 400 '!$H$12*(J265^3)+'CAFCO 400 '!$H$13*(J265^2)+'CAFCO 400 '!$H$14*J265+'CAFCO 400 '!$H$15)*U265)+('CAFCO 400 '!$H$16*(J265^2)+'CAFCO 400 '!$H$17*J265+'CAFCO 400 '!$H$18)),0)+IF(AND(L265="Cafco 400",M265="Software Idiem",C265="Cj"),(((('CAFCO 400 '!$D$7*LN(J265)+'CAFCO 400 '!$D$8)*U265^2)+(('CAFCO 400 '!$D$9*LN(J265)+'CAFCO 400 '!$D$10)*U265)+('CAFCO 400 '!$D$11*LN(J265)+'CAFCO 400 '!$D$12))),0)+IF(AND(L265="Cafco 400",M265="Software Idiem",C265="C"),((('CAFCO 400 '!$L$7*(J265^3)+'CAFCO 400 '!$L$8*(J265^2)+'CAFCO 400 '!$L$9*J265+'CAFCO 400 '!$L$10)*U265^2)+(('CAFCO 400 '!$L$11*(J265^3)+'CAFCO 400 '!$L$12*(J265^2)+'CAFCO 400 '!$L$13*J265+'CAFCO 400 '!$L$14)*U265)+('CAFCO 400 '!$L$15*LN(J265)+'CAFCO 400 '!$L$16)),0)+IF(AND(L265="Cafco 400",M265="Software Idiem",C265="L"),((('CAFCO 400 '!$L$7*(J265^3)+'CAFCO 400 '!$L$8*(J265^2)+'CAFCO 400 '!$L$9*J265+'CAFCO 400 '!$L$10)*U265^2)+(('CAFCO 400 '!$L$11*(J265^3)+'CAFCO 400 '!$L$12*(J265^2)+'CAFCO 400 '!$L$13*J265+'CAFCO 400 '!$L$14)*U265)+('CAFCO 400 '!$L$15*LN(J265)+'CAFCO 400 '!$L$16)),0)+IF(AND(L265="Cafco 400",M265="Software Idiem",C265="IN",G265=3),((('CAFCO 400 '!$D$23*(J265^2)+'CAFCO 400 '!$D$24*(J265)+'CAFCO 400 '!$D$25)*U265^2)+(('CAFCO 400 '!$D$26*(J265^2)+'CAFCO 400 '!$D$27*J265+'CAFCO 400 '!$D$28)*U265)+('CAFCO 400 '!$D$29*(J265^2)+'CAFCO 400 '!$D$30*J265+'CAFCO 400 '!$D$31)),0),0)+IF(AND(L265="Cafco 300",J265&gt;=95,J265&lt;=240,C265="Cj",I265=90),VLOOKUP(T265,'CAFCO 300 IDIEM TABLAS'!$B$4:$D$23,2,FALSE),0)+IF(AND(L265="Cafco 300",J265&gt;=95,J265&lt;=240,C265="Cj",I265=120),VLOOKUP(T265,'CAFCO 300 IDIEM TABLAS'!$B$4:$D$23,3,FALSE),0)+IF(AND(L265="Cafco 300",J265&gt;=95,J265&lt;=400,G265=3,C265="IN",I265=90),VLOOKUP(T265,'CAFCO 300 IDIEM TABLAS'!$F$4:$H$35,2,FALSE),0)+IF(AND(L265="Cafco 300",J265&gt;=95,J265&lt;=400,G265=3,C265="IN",I265=120),VLOOKUP(T265,'CAFCO 300 IDIEM TABLAS'!$F$4:$H$35,3,FALSE),0)+IF(AND(L265="Cafco 300",J265&gt;=95,J265&lt;=450,G265=4,C265="IN",I265=90),VLOOKUP(T265,'CAFCO 300 IDIEM TABLAS'!$J$4:$L$40,2,FALSE),0)+IF(AND(L265="Cafco 300",J265&gt;=95,J265&lt;=450,G265=4,C265="IN",I265=120),VLOOKUP(T265,'CAFCO 300 IDIEM TABLAS'!$J$4:$L$40,3,FALSE),0)+IF(AND(M265="Ensayo Idiem",L265="Cafco 400",C265="IN",G265=4,I265=90),VLOOKUP(T265,'CAFCO 400 ENSAYO'!$B$7:$D$43,2,FALSE),0)+IF(AND(M265="Ensayo Idiem",L265="Cafco 400",C265="IN",G265=4,I265=120),VLOOKUP(T265,'CAFCO 400 ENSAYO'!$B$7:$D$43,3,FALSE),0)</f>
        <v>0</v>
      </c>
      <c r="O265" s="96">
        <f t="shared" si="27"/>
        <v>0</v>
      </c>
      <c r="P265" s="95" t="str">
        <f t="shared" si="28"/>
        <v>N/A</v>
      </c>
      <c r="Q265" s="95" t="str">
        <f t="shared" si="29"/>
        <v>N/A</v>
      </c>
      <c r="R265" s="95" t="str">
        <f t="shared" si="30"/>
        <v>NO CERT.</v>
      </c>
      <c r="S265" s="95" t="e">
        <f t="shared" si="25"/>
        <v>#N/A</v>
      </c>
      <c r="T265" s="119" t="e">
        <f>+IF(J265=LOOKUP(J265,'CAFCO 300 IDIEM TABLAS'!$J$4:$J$40),'CALCULO MORTERO'!J265,MROUND('CALCULO MORTERO'!J265,10))</f>
        <v>#N/A</v>
      </c>
      <c r="U265" s="118">
        <f t="shared" si="26"/>
        <v>0</v>
      </c>
      <c r="Y265" s="4"/>
      <c r="Z265" s="4"/>
      <c r="AA265" s="4"/>
    </row>
    <row r="266" spans="1:27" ht="15.6" customHeight="1" x14ac:dyDescent="0.25">
      <c r="A266" s="118">
        <f>+CUBICACION!D260</f>
        <v>0</v>
      </c>
      <c r="B266" s="819">
        <f>+CUBICACION!E260</f>
        <v>0</v>
      </c>
      <c r="C266" s="675">
        <f>+CUBICACION!F260</f>
        <v>0</v>
      </c>
      <c r="D266" s="118"/>
      <c r="E266" s="118"/>
      <c r="F266" s="820"/>
      <c r="G266" s="675">
        <f>+CUBICACION!J260</f>
        <v>0</v>
      </c>
      <c r="H266" s="118"/>
      <c r="I266" s="821">
        <f>+CUBICACION!L260</f>
        <v>0</v>
      </c>
      <c r="J266" s="64">
        <f>+CUBICACION!M260</f>
        <v>0</v>
      </c>
      <c r="K266" s="822" t="str">
        <f>+CUBICACION!N260</f>
        <v/>
      </c>
      <c r="L266" s="118">
        <f>+CUBICACION!O260</f>
        <v>0</v>
      </c>
      <c r="M266" s="823">
        <f>+CUBICACION!P260</f>
        <v>0</v>
      </c>
      <c r="N266" s="902">
        <f>ROUND(IF(AND(L266="Blaze Shield II",M266="Software Idiem",C266="IN",G266=4),((('BLAZE SHIELD II'!$D$4*('CALCULO MORTERO'!I266^2)+'BLAZE SHIELD II'!$D$5*'CALCULO MORTERO'!I266+'BLAZE SHIELD II'!$D$6)*LN(J266))+('BLAZE SHIELD II'!$D$7*('CALCULO MORTERO'!I266^2)+'BLAZE SHIELD II'!$D$8*'CALCULO MORTERO'!I266+'BLAZE SHIELD II'!$D$9)),0)+IF(AND(L266="Blaze Shield II",M266="Software Idiem",C266="Cj"),((('BLAZE SHIELD II'!$H$4*('CALCULO MORTERO'!I266^2)+'BLAZE SHIELD II'!$H$5*'CALCULO MORTERO'!I266+'BLAZE SHIELD II'!$H$6)*LN(J266))+('BLAZE SHIELD II'!$H$7*('CALCULO MORTERO'!I266^2)+'BLAZE SHIELD II'!$H$8*'CALCULO MORTERO'!I266+'BLAZE SHIELD II'!$H$9)),0)+IF(AND(L266="Blaze Shield II",M266="Software Idiem",C266="C"),((('BLAZE SHIELD II'!$L$4*('CALCULO MORTERO'!I266^2)+'BLAZE SHIELD II'!$L$5*'CALCULO MORTERO'!I266+'BLAZE SHIELD II'!$L$6)*LN(J266))+('BLAZE SHIELD II'!$L$7*('CALCULO MORTERO'!I266^2)+'BLAZE SHIELD II'!$L$8*'CALCULO MORTERO'!I266+'BLAZE SHIELD II'!$L$9)),0)+IF(AND(L266="Blaze Shield II",M266="Software Idiem",C266="L"),((('BLAZE SHIELD II'!$L$4*('CALCULO MORTERO'!I266^2)+'BLAZE SHIELD II'!$L$5*'CALCULO MORTERO'!I266+'BLAZE SHIELD II'!$L$6)*LN(J266))+('BLAZE SHIELD II'!$L$7*('CALCULO MORTERO'!I266^2)+'BLAZE SHIELD II'!$L$8*'CALCULO MORTERO'!I266+'BLAZE SHIELD II'!$L$9)),0)+IF(AND(L266="Blaze Shield II",M266="Software Idiem",C266="IN",G266=3),((('BLAZE SHIELD II'!$H$14*('CALCULO MORTERO'!I266^2)+'BLAZE SHIELD II'!$H$15*'CALCULO MORTERO'!I266+'BLAZE SHIELD II'!$H$16)*LN(J266))+('BLAZE SHIELD II'!$H$17*('CALCULO MORTERO'!I266^2)+'BLAZE SHIELD II'!$H$18*'CALCULO MORTERO'!I266+'BLAZE SHIELD II'!$H$19)),0),0)+ROUND(IF(AND(L266="Cafco 400",M266="Software Idiem",C266="IN",G266=4),((('CAFCO 400 '!$H$7*(J266^4)+'CAFCO 400 '!$H$8*(J266^3)+'CAFCO 400 '!$H$9*(J266^2)+'CAFCO 400 '!$H$10*J266+'CAFCO 400 '!$H$11)*U266^2)+(('CAFCO 400 '!$H$12*(J266^3)+'CAFCO 400 '!$H$13*(J266^2)+'CAFCO 400 '!$H$14*J266+'CAFCO 400 '!$H$15)*U266)+('CAFCO 400 '!$H$16*(J266^2)+'CAFCO 400 '!$H$17*J266+'CAFCO 400 '!$H$18)),0)+IF(AND(L266="Cafco 400",M266="Software Idiem",C266="Cj"),(((('CAFCO 400 '!$D$7*LN(J266)+'CAFCO 400 '!$D$8)*U266^2)+(('CAFCO 400 '!$D$9*LN(J266)+'CAFCO 400 '!$D$10)*U266)+('CAFCO 400 '!$D$11*LN(J266)+'CAFCO 400 '!$D$12))),0)+IF(AND(L266="Cafco 400",M266="Software Idiem",C266="C"),((('CAFCO 400 '!$L$7*(J266^3)+'CAFCO 400 '!$L$8*(J266^2)+'CAFCO 400 '!$L$9*J266+'CAFCO 400 '!$L$10)*U266^2)+(('CAFCO 400 '!$L$11*(J266^3)+'CAFCO 400 '!$L$12*(J266^2)+'CAFCO 400 '!$L$13*J266+'CAFCO 400 '!$L$14)*U266)+('CAFCO 400 '!$L$15*LN(J266)+'CAFCO 400 '!$L$16)),0)+IF(AND(L266="Cafco 400",M266="Software Idiem",C266="L"),((('CAFCO 400 '!$L$7*(J266^3)+'CAFCO 400 '!$L$8*(J266^2)+'CAFCO 400 '!$L$9*J266+'CAFCO 400 '!$L$10)*U266^2)+(('CAFCO 400 '!$L$11*(J266^3)+'CAFCO 400 '!$L$12*(J266^2)+'CAFCO 400 '!$L$13*J266+'CAFCO 400 '!$L$14)*U266)+('CAFCO 400 '!$L$15*LN(J266)+'CAFCO 400 '!$L$16)),0)+IF(AND(L266="Cafco 400",M266="Software Idiem",C266="IN",G266=3),((('CAFCO 400 '!$D$23*(J266^2)+'CAFCO 400 '!$D$24*(J266)+'CAFCO 400 '!$D$25)*U266^2)+(('CAFCO 400 '!$D$26*(J266^2)+'CAFCO 400 '!$D$27*J266+'CAFCO 400 '!$D$28)*U266)+('CAFCO 400 '!$D$29*(J266^2)+'CAFCO 400 '!$D$30*J266+'CAFCO 400 '!$D$31)),0),0)+IF(AND(L266="Cafco 300",J266&gt;=95,J266&lt;=240,C266="Cj",I266=90),VLOOKUP(T266,'CAFCO 300 IDIEM TABLAS'!$B$4:$D$23,2,FALSE),0)+IF(AND(L266="Cafco 300",J266&gt;=95,J266&lt;=240,C266="Cj",I266=120),VLOOKUP(T266,'CAFCO 300 IDIEM TABLAS'!$B$4:$D$23,3,FALSE),0)+IF(AND(L266="Cafco 300",J266&gt;=95,J266&lt;=400,G266=3,C266="IN",I266=90),VLOOKUP(T266,'CAFCO 300 IDIEM TABLAS'!$F$4:$H$35,2,FALSE),0)+IF(AND(L266="Cafco 300",J266&gt;=95,J266&lt;=400,G266=3,C266="IN",I266=120),VLOOKUP(T266,'CAFCO 300 IDIEM TABLAS'!$F$4:$H$35,3,FALSE),0)+IF(AND(L266="Cafco 300",J266&gt;=95,J266&lt;=450,G266=4,C266="IN",I266=90),VLOOKUP(T266,'CAFCO 300 IDIEM TABLAS'!$J$4:$L$40,2,FALSE),0)+IF(AND(L266="Cafco 300",J266&gt;=95,J266&lt;=450,G266=4,C266="IN",I266=120),VLOOKUP(T266,'CAFCO 300 IDIEM TABLAS'!$J$4:$L$40,3,FALSE),0)+IF(AND(M266="Ensayo Idiem",L266="Cafco 400",C266="IN",G266=4,I266=90),VLOOKUP(T266,'CAFCO 400 ENSAYO'!$B$7:$D$43,2,FALSE),0)+IF(AND(M266="Ensayo Idiem",L266="Cafco 400",C266="IN",G266=4,I266=120),VLOOKUP(T266,'CAFCO 400 ENSAYO'!$B$7:$D$43,3,FALSE),0)</f>
        <v>0</v>
      </c>
      <c r="O266" s="96">
        <f t="shared" si="27"/>
        <v>0</v>
      </c>
      <c r="P266" s="95" t="str">
        <f t="shared" si="28"/>
        <v>N/A</v>
      </c>
      <c r="Q266" s="95" t="str">
        <f t="shared" si="29"/>
        <v>N/A</v>
      </c>
      <c r="R266" s="95" t="str">
        <f t="shared" si="30"/>
        <v>NO CERT.</v>
      </c>
      <c r="S266" s="95" t="e">
        <f t="shared" ref="S266:S329" si="31">IF(AND(C266="Cj",I266=90,T266&lt;=240),"CERT.",IF(AND(C266="Cj",I266=120,T266&lt;=240),"CERT.",IF(AND(C266="IN",G266=3,I266=90,T266&lt;=400),"CERT.",IF(AND(C266="IN",G266=3,I266=120,T266&lt;=400),"CERT.",IF(AND(C266="IN",G266=4,I266=90,T266&lt;=450),"CERT.",IF(AND(C266="IN",G266=4,I266=120,T266&lt;=450),"CERT.","NO CERT."))))))</f>
        <v>#N/A</v>
      </c>
      <c r="T266" s="119" t="e">
        <f>+IF(J266=LOOKUP(J266,'CAFCO 300 IDIEM TABLAS'!$J$4:$J$40),'CALCULO MORTERO'!J266,MROUND('CALCULO MORTERO'!J266,10))</f>
        <v>#N/A</v>
      </c>
      <c r="U266" s="118">
        <f t="shared" ref="U266:U329" si="32">+I266*60</f>
        <v>0</v>
      </c>
      <c r="Y266" s="4"/>
      <c r="Z266" s="4"/>
      <c r="AA266" s="4"/>
    </row>
    <row r="267" spans="1:27" x14ac:dyDescent="0.25">
      <c r="A267" s="118">
        <f>+CUBICACION!D261</f>
        <v>0</v>
      </c>
      <c r="B267" s="819">
        <f>+CUBICACION!E261</f>
        <v>0</v>
      </c>
      <c r="C267" s="675">
        <f>+CUBICACION!F261</f>
        <v>0</v>
      </c>
      <c r="D267" s="118"/>
      <c r="E267" s="118"/>
      <c r="F267" s="820"/>
      <c r="G267" s="675">
        <f>+CUBICACION!J261</f>
        <v>0</v>
      </c>
      <c r="H267" s="118"/>
      <c r="I267" s="821">
        <f>+CUBICACION!L261</f>
        <v>0</v>
      </c>
      <c r="J267" s="64">
        <f>+CUBICACION!M261</f>
        <v>0</v>
      </c>
      <c r="K267" s="822" t="str">
        <f>+CUBICACION!N261</f>
        <v/>
      </c>
      <c r="L267" s="118">
        <f>+CUBICACION!O261</f>
        <v>0</v>
      </c>
      <c r="M267" s="823">
        <f>+CUBICACION!P261</f>
        <v>0</v>
      </c>
      <c r="N267" s="902">
        <f>ROUND(IF(AND(L267="Blaze Shield II",M267="Software Idiem",C267="IN",G267=4),((('BLAZE SHIELD II'!$D$4*('CALCULO MORTERO'!I267^2)+'BLAZE SHIELD II'!$D$5*'CALCULO MORTERO'!I267+'BLAZE SHIELD II'!$D$6)*LN(J267))+('BLAZE SHIELD II'!$D$7*('CALCULO MORTERO'!I267^2)+'BLAZE SHIELD II'!$D$8*'CALCULO MORTERO'!I267+'BLAZE SHIELD II'!$D$9)),0)+IF(AND(L267="Blaze Shield II",M267="Software Idiem",C267="Cj"),((('BLAZE SHIELD II'!$H$4*('CALCULO MORTERO'!I267^2)+'BLAZE SHIELD II'!$H$5*'CALCULO MORTERO'!I267+'BLAZE SHIELD II'!$H$6)*LN(J267))+('BLAZE SHIELD II'!$H$7*('CALCULO MORTERO'!I267^2)+'BLAZE SHIELD II'!$H$8*'CALCULO MORTERO'!I267+'BLAZE SHIELD II'!$H$9)),0)+IF(AND(L267="Blaze Shield II",M267="Software Idiem",C267="C"),((('BLAZE SHIELD II'!$L$4*('CALCULO MORTERO'!I267^2)+'BLAZE SHIELD II'!$L$5*'CALCULO MORTERO'!I267+'BLAZE SHIELD II'!$L$6)*LN(J267))+('BLAZE SHIELD II'!$L$7*('CALCULO MORTERO'!I267^2)+'BLAZE SHIELD II'!$L$8*'CALCULO MORTERO'!I267+'BLAZE SHIELD II'!$L$9)),0)+IF(AND(L267="Blaze Shield II",M267="Software Idiem",C267="L"),((('BLAZE SHIELD II'!$L$4*('CALCULO MORTERO'!I267^2)+'BLAZE SHIELD II'!$L$5*'CALCULO MORTERO'!I267+'BLAZE SHIELD II'!$L$6)*LN(J267))+('BLAZE SHIELD II'!$L$7*('CALCULO MORTERO'!I267^2)+'BLAZE SHIELD II'!$L$8*'CALCULO MORTERO'!I267+'BLAZE SHIELD II'!$L$9)),0)+IF(AND(L267="Blaze Shield II",M267="Software Idiem",C267="IN",G267=3),((('BLAZE SHIELD II'!$H$14*('CALCULO MORTERO'!I267^2)+'BLAZE SHIELD II'!$H$15*'CALCULO MORTERO'!I267+'BLAZE SHIELD II'!$H$16)*LN(J267))+('BLAZE SHIELD II'!$H$17*('CALCULO MORTERO'!I267^2)+'BLAZE SHIELD II'!$H$18*'CALCULO MORTERO'!I267+'BLAZE SHIELD II'!$H$19)),0),0)+ROUND(IF(AND(L267="Cafco 400",M267="Software Idiem",C267="IN",G267=4),((('CAFCO 400 '!$H$7*(J267^4)+'CAFCO 400 '!$H$8*(J267^3)+'CAFCO 400 '!$H$9*(J267^2)+'CAFCO 400 '!$H$10*J267+'CAFCO 400 '!$H$11)*U267^2)+(('CAFCO 400 '!$H$12*(J267^3)+'CAFCO 400 '!$H$13*(J267^2)+'CAFCO 400 '!$H$14*J267+'CAFCO 400 '!$H$15)*U267)+('CAFCO 400 '!$H$16*(J267^2)+'CAFCO 400 '!$H$17*J267+'CAFCO 400 '!$H$18)),0)+IF(AND(L267="Cafco 400",M267="Software Idiem",C267="Cj"),(((('CAFCO 400 '!$D$7*LN(J267)+'CAFCO 400 '!$D$8)*U267^2)+(('CAFCO 400 '!$D$9*LN(J267)+'CAFCO 400 '!$D$10)*U267)+('CAFCO 400 '!$D$11*LN(J267)+'CAFCO 400 '!$D$12))),0)+IF(AND(L267="Cafco 400",M267="Software Idiem",C267="C"),((('CAFCO 400 '!$L$7*(J267^3)+'CAFCO 400 '!$L$8*(J267^2)+'CAFCO 400 '!$L$9*J267+'CAFCO 400 '!$L$10)*U267^2)+(('CAFCO 400 '!$L$11*(J267^3)+'CAFCO 400 '!$L$12*(J267^2)+'CAFCO 400 '!$L$13*J267+'CAFCO 400 '!$L$14)*U267)+('CAFCO 400 '!$L$15*LN(J267)+'CAFCO 400 '!$L$16)),0)+IF(AND(L267="Cafco 400",M267="Software Idiem",C267="L"),((('CAFCO 400 '!$L$7*(J267^3)+'CAFCO 400 '!$L$8*(J267^2)+'CAFCO 400 '!$L$9*J267+'CAFCO 400 '!$L$10)*U267^2)+(('CAFCO 400 '!$L$11*(J267^3)+'CAFCO 400 '!$L$12*(J267^2)+'CAFCO 400 '!$L$13*J267+'CAFCO 400 '!$L$14)*U267)+('CAFCO 400 '!$L$15*LN(J267)+'CAFCO 400 '!$L$16)),0)+IF(AND(L267="Cafco 400",M267="Software Idiem",C267="IN",G267=3),((('CAFCO 400 '!$D$23*(J267^2)+'CAFCO 400 '!$D$24*(J267)+'CAFCO 400 '!$D$25)*U267^2)+(('CAFCO 400 '!$D$26*(J267^2)+'CAFCO 400 '!$D$27*J267+'CAFCO 400 '!$D$28)*U267)+('CAFCO 400 '!$D$29*(J267^2)+'CAFCO 400 '!$D$30*J267+'CAFCO 400 '!$D$31)),0),0)+IF(AND(L267="Cafco 300",J267&gt;=95,J267&lt;=240,C267="Cj",I267=90),VLOOKUP(T267,'CAFCO 300 IDIEM TABLAS'!$B$4:$D$23,2,FALSE),0)+IF(AND(L267="Cafco 300",J267&gt;=95,J267&lt;=240,C267="Cj",I267=120),VLOOKUP(T267,'CAFCO 300 IDIEM TABLAS'!$B$4:$D$23,3,FALSE),0)+IF(AND(L267="Cafco 300",J267&gt;=95,J267&lt;=400,G267=3,C267="IN",I267=90),VLOOKUP(T267,'CAFCO 300 IDIEM TABLAS'!$F$4:$H$35,2,FALSE),0)+IF(AND(L267="Cafco 300",J267&gt;=95,J267&lt;=400,G267=3,C267="IN",I267=120),VLOOKUP(T267,'CAFCO 300 IDIEM TABLAS'!$F$4:$H$35,3,FALSE),0)+IF(AND(L267="Cafco 300",J267&gt;=95,J267&lt;=450,G267=4,C267="IN",I267=90),VLOOKUP(T267,'CAFCO 300 IDIEM TABLAS'!$J$4:$L$40,2,FALSE),0)+IF(AND(L267="Cafco 300",J267&gt;=95,J267&lt;=450,G267=4,C267="IN",I267=120),VLOOKUP(T267,'CAFCO 300 IDIEM TABLAS'!$J$4:$L$40,3,FALSE),0)+IF(AND(M267="Ensayo Idiem",L267="Cafco 400",C267="IN",G267=4,I267=90),VLOOKUP(T267,'CAFCO 400 ENSAYO'!$B$7:$D$43,2,FALSE),0)+IF(AND(M267="Ensayo Idiem",L267="Cafco 400",C267="IN",G267=4,I267=120),VLOOKUP(T267,'CAFCO 400 ENSAYO'!$B$7:$D$43,3,FALSE),0)</f>
        <v>0</v>
      </c>
      <c r="O267" s="96">
        <f t="shared" ref="O267:O330" si="33">((IF(L267="Blaze Shield II",((K267*N267*0.43)/38),IF(L267="Cafco 400",((K267*N267*0.43)/23),IF(L267="Cafco 300",((K267*N267*0.43)/31.16),0)))))</f>
        <v>0</v>
      </c>
      <c r="P267" s="95" t="str">
        <f t="shared" ref="P267:P330" si="34">IF(AND(M267="Software Idiem"),IF(AND(C267="IN",G267=4,J267&gt;=50,J267&lt;=500),"CERT.",IF(AND(C267="Cj",J267&gt;=50,J267&lt;=500),"CERT.",IF(AND(C267="C",J267&gt;=50,J267&lt;=1000),"CERT.",IF(AND(C267="L",J267&gt;=50,J267&lt;=1000),"CERT.",IF(AND(C267="IN",G267=3,J267&gt;=50,J267&lt;=500),"CERT.","NO CERT."))))),"N/A")</f>
        <v>N/A</v>
      </c>
      <c r="Q267" s="95" t="str">
        <f t="shared" ref="Q267:Q330" si="35">IF(AND(M267="Software Idiem"),IF(AND(C267="IN",G267=4,J267&gt;=50,J267&lt;=500),"CERT.",IF(AND(C267="Cj",J267&gt;=50,J267&lt;=500),"CERT.",IF(AND(C267="C",J267&gt;=50,J267&lt;=1000),"CERT.",IF(AND(C267="L",J267&gt;=50,J267&lt;=1000),"CERT.",IF(AND(C267="IN",G267=3,J267&gt;=50,J267&lt;=500),"CERT.","NO CERT."))))),"N/A")</f>
        <v>N/A</v>
      </c>
      <c r="R267" s="95" t="str">
        <f t="shared" ref="R267:R330" si="36">IF(AND(C267="IN",G267=4,J267&gt;=95,J267&lt;=450,I267=90),"CERT.",IF(AND(C267="IN",G267=4,J267&gt;=95,J267&lt;=450,I267=120),"CERT.","NO CERT."))</f>
        <v>NO CERT.</v>
      </c>
      <c r="S267" s="95" t="e">
        <f t="shared" si="31"/>
        <v>#N/A</v>
      </c>
      <c r="T267" s="119" t="e">
        <f>+IF(J267=LOOKUP(J267,'CAFCO 300 IDIEM TABLAS'!$J$4:$J$40),'CALCULO MORTERO'!J267,MROUND('CALCULO MORTERO'!J267,10))</f>
        <v>#N/A</v>
      </c>
      <c r="U267" s="118">
        <f t="shared" si="32"/>
        <v>0</v>
      </c>
      <c r="Y267" s="4"/>
      <c r="Z267" s="4"/>
      <c r="AA267" s="4"/>
    </row>
    <row r="268" spans="1:27" ht="15.6" customHeight="1" x14ac:dyDescent="0.25">
      <c r="A268" s="118">
        <f>+CUBICACION!D262</f>
        <v>0</v>
      </c>
      <c r="B268" s="819">
        <f>+CUBICACION!E262</f>
        <v>0</v>
      </c>
      <c r="C268" s="675">
        <f>+CUBICACION!F262</f>
        <v>0</v>
      </c>
      <c r="D268" s="118"/>
      <c r="E268" s="118"/>
      <c r="F268" s="820"/>
      <c r="G268" s="675">
        <f>+CUBICACION!J262</f>
        <v>0</v>
      </c>
      <c r="H268" s="118"/>
      <c r="I268" s="821">
        <f>+CUBICACION!L262</f>
        <v>0</v>
      </c>
      <c r="J268" s="64">
        <f>+CUBICACION!M262</f>
        <v>0</v>
      </c>
      <c r="K268" s="822" t="str">
        <f>+CUBICACION!N262</f>
        <v/>
      </c>
      <c r="L268" s="118">
        <f>+CUBICACION!O262</f>
        <v>0</v>
      </c>
      <c r="M268" s="823">
        <f>+CUBICACION!P262</f>
        <v>0</v>
      </c>
      <c r="N268" s="902">
        <f>ROUND(IF(AND(L268="Blaze Shield II",M268="Software Idiem",C268="IN",G268=4),((('BLAZE SHIELD II'!$D$4*('CALCULO MORTERO'!I268^2)+'BLAZE SHIELD II'!$D$5*'CALCULO MORTERO'!I268+'BLAZE SHIELD II'!$D$6)*LN(J268))+('BLAZE SHIELD II'!$D$7*('CALCULO MORTERO'!I268^2)+'BLAZE SHIELD II'!$D$8*'CALCULO MORTERO'!I268+'BLAZE SHIELD II'!$D$9)),0)+IF(AND(L268="Blaze Shield II",M268="Software Idiem",C268="Cj"),((('BLAZE SHIELD II'!$H$4*('CALCULO MORTERO'!I268^2)+'BLAZE SHIELD II'!$H$5*'CALCULO MORTERO'!I268+'BLAZE SHIELD II'!$H$6)*LN(J268))+('BLAZE SHIELD II'!$H$7*('CALCULO MORTERO'!I268^2)+'BLAZE SHIELD II'!$H$8*'CALCULO MORTERO'!I268+'BLAZE SHIELD II'!$H$9)),0)+IF(AND(L268="Blaze Shield II",M268="Software Idiem",C268="C"),((('BLAZE SHIELD II'!$L$4*('CALCULO MORTERO'!I268^2)+'BLAZE SHIELD II'!$L$5*'CALCULO MORTERO'!I268+'BLAZE SHIELD II'!$L$6)*LN(J268))+('BLAZE SHIELD II'!$L$7*('CALCULO MORTERO'!I268^2)+'BLAZE SHIELD II'!$L$8*'CALCULO MORTERO'!I268+'BLAZE SHIELD II'!$L$9)),0)+IF(AND(L268="Blaze Shield II",M268="Software Idiem",C268="L"),((('BLAZE SHIELD II'!$L$4*('CALCULO MORTERO'!I268^2)+'BLAZE SHIELD II'!$L$5*'CALCULO MORTERO'!I268+'BLAZE SHIELD II'!$L$6)*LN(J268))+('BLAZE SHIELD II'!$L$7*('CALCULO MORTERO'!I268^2)+'BLAZE SHIELD II'!$L$8*'CALCULO MORTERO'!I268+'BLAZE SHIELD II'!$L$9)),0)+IF(AND(L268="Blaze Shield II",M268="Software Idiem",C268="IN",G268=3),((('BLAZE SHIELD II'!$H$14*('CALCULO MORTERO'!I268^2)+'BLAZE SHIELD II'!$H$15*'CALCULO MORTERO'!I268+'BLAZE SHIELD II'!$H$16)*LN(J268))+('BLAZE SHIELD II'!$H$17*('CALCULO MORTERO'!I268^2)+'BLAZE SHIELD II'!$H$18*'CALCULO MORTERO'!I268+'BLAZE SHIELD II'!$H$19)),0),0)+ROUND(IF(AND(L268="Cafco 400",M268="Software Idiem",C268="IN",G268=4),((('CAFCO 400 '!$H$7*(J268^4)+'CAFCO 400 '!$H$8*(J268^3)+'CAFCO 400 '!$H$9*(J268^2)+'CAFCO 400 '!$H$10*J268+'CAFCO 400 '!$H$11)*U268^2)+(('CAFCO 400 '!$H$12*(J268^3)+'CAFCO 400 '!$H$13*(J268^2)+'CAFCO 400 '!$H$14*J268+'CAFCO 400 '!$H$15)*U268)+('CAFCO 400 '!$H$16*(J268^2)+'CAFCO 400 '!$H$17*J268+'CAFCO 400 '!$H$18)),0)+IF(AND(L268="Cafco 400",M268="Software Idiem",C268="Cj"),(((('CAFCO 400 '!$D$7*LN(J268)+'CAFCO 400 '!$D$8)*U268^2)+(('CAFCO 400 '!$D$9*LN(J268)+'CAFCO 400 '!$D$10)*U268)+('CAFCO 400 '!$D$11*LN(J268)+'CAFCO 400 '!$D$12))),0)+IF(AND(L268="Cafco 400",M268="Software Idiem",C268="C"),((('CAFCO 400 '!$L$7*(J268^3)+'CAFCO 400 '!$L$8*(J268^2)+'CAFCO 400 '!$L$9*J268+'CAFCO 400 '!$L$10)*U268^2)+(('CAFCO 400 '!$L$11*(J268^3)+'CAFCO 400 '!$L$12*(J268^2)+'CAFCO 400 '!$L$13*J268+'CAFCO 400 '!$L$14)*U268)+('CAFCO 400 '!$L$15*LN(J268)+'CAFCO 400 '!$L$16)),0)+IF(AND(L268="Cafco 400",M268="Software Idiem",C268="L"),((('CAFCO 400 '!$L$7*(J268^3)+'CAFCO 400 '!$L$8*(J268^2)+'CAFCO 400 '!$L$9*J268+'CAFCO 400 '!$L$10)*U268^2)+(('CAFCO 400 '!$L$11*(J268^3)+'CAFCO 400 '!$L$12*(J268^2)+'CAFCO 400 '!$L$13*J268+'CAFCO 400 '!$L$14)*U268)+('CAFCO 400 '!$L$15*LN(J268)+'CAFCO 400 '!$L$16)),0)+IF(AND(L268="Cafco 400",M268="Software Idiem",C268="IN",G268=3),((('CAFCO 400 '!$D$23*(J268^2)+'CAFCO 400 '!$D$24*(J268)+'CAFCO 400 '!$D$25)*U268^2)+(('CAFCO 400 '!$D$26*(J268^2)+'CAFCO 400 '!$D$27*J268+'CAFCO 400 '!$D$28)*U268)+('CAFCO 400 '!$D$29*(J268^2)+'CAFCO 400 '!$D$30*J268+'CAFCO 400 '!$D$31)),0),0)+IF(AND(L268="Cafco 300",J268&gt;=95,J268&lt;=240,C268="Cj",I268=90),VLOOKUP(T268,'CAFCO 300 IDIEM TABLAS'!$B$4:$D$23,2,FALSE),0)+IF(AND(L268="Cafco 300",J268&gt;=95,J268&lt;=240,C268="Cj",I268=120),VLOOKUP(T268,'CAFCO 300 IDIEM TABLAS'!$B$4:$D$23,3,FALSE),0)+IF(AND(L268="Cafco 300",J268&gt;=95,J268&lt;=400,G268=3,C268="IN",I268=90),VLOOKUP(T268,'CAFCO 300 IDIEM TABLAS'!$F$4:$H$35,2,FALSE),0)+IF(AND(L268="Cafco 300",J268&gt;=95,J268&lt;=400,G268=3,C268="IN",I268=120),VLOOKUP(T268,'CAFCO 300 IDIEM TABLAS'!$F$4:$H$35,3,FALSE),0)+IF(AND(L268="Cafco 300",J268&gt;=95,J268&lt;=450,G268=4,C268="IN",I268=90),VLOOKUP(T268,'CAFCO 300 IDIEM TABLAS'!$J$4:$L$40,2,FALSE),0)+IF(AND(L268="Cafco 300",J268&gt;=95,J268&lt;=450,G268=4,C268="IN",I268=120),VLOOKUP(T268,'CAFCO 300 IDIEM TABLAS'!$J$4:$L$40,3,FALSE),0)+IF(AND(M268="Ensayo Idiem",L268="Cafco 400",C268="IN",G268=4,I268=90),VLOOKUP(T268,'CAFCO 400 ENSAYO'!$B$7:$D$43,2,FALSE),0)+IF(AND(M268="Ensayo Idiem",L268="Cafco 400",C268="IN",G268=4,I268=120),VLOOKUP(T268,'CAFCO 400 ENSAYO'!$B$7:$D$43,3,FALSE),0)</f>
        <v>0</v>
      </c>
      <c r="O268" s="96">
        <f t="shared" si="33"/>
        <v>0</v>
      </c>
      <c r="P268" s="95" t="str">
        <f t="shared" si="34"/>
        <v>N/A</v>
      </c>
      <c r="Q268" s="95" t="str">
        <f t="shared" si="35"/>
        <v>N/A</v>
      </c>
      <c r="R268" s="95" t="str">
        <f t="shared" si="36"/>
        <v>NO CERT.</v>
      </c>
      <c r="S268" s="95" t="e">
        <f t="shared" si="31"/>
        <v>#N/A</v>
      </c>
      <c r="T268" s="119" t="e">
        <f>+IF(J268=LOOKUP(J268,'CAFCO 300 IDIEM TABLAS'!$J$4:$J$40),'CALCULO MORTERO'!J268,MROUND('CALCULO MORTERO'!J268,10))</f>
        <v>#N/A</v>
      </c>
      <c r="U268" s="118">
        <f t="shared" si="32"/>
        <v>0</v>
      </c>
      <c r="Y268" s="4"/>
      <c r="Z268" s="4"/>
      <c r="AA268" s="4"/>
    </row>
    <row r="269" spans="1:27" x14ac:dyDescent="0.25">
      <c r="A269" s="118">
        <f>+CUBICACION!D263</f>
        <v>0</v>
      </c>
      <c r="B269" s="819">
        <f>+CUBICACION!E263</f>
        <v>0</v>
      </c>
      <c r="C269" s="675">
        <f>+CUBICACION!F263</f>
        <v>0</v>
      </c>
      <c r="D269" s="118"/>
      <c r="E269" s="118"/>
      <c r="F269" s="820"/>
      <c r="G269" s="675">
        <f>+CUBICACION!J263</f>
        <v>0</v>
      </c>
      <c r="H269" s="118"/>
      <c r="I269" s="821">
        <f>+CUBICACION!L263</f>
        <v>0</v>
      </c>
      <c r="J269" s="64">
        <f>+CUBICACION!M263</f>
        <v>0</v>
      </c>
      <c r="K269" s="822" t="str">
        <f>+CUBICACION!N263</f>
        <v/>
      </c>
      <c r="L269" s="118">
        <f>+CUBICACION!O263</f>
        <v>0</v>
      </c>
      <c r="M269" s="823">
        <f>+CUBICACION!P263</f>
        <v>0</v>
      </c>
      <c r="N269" s="902">
        <f>ROUND(IF(AND(L269="Blaze Shield II",M269="Software Idiem",C269="IN",G269=4),((('BLAZE SHIELD II'!$D$4*('CALCULO MORTERO'!I269^2)+'BLAZE SHIELD II'!$D$5*'CALCULO MORTERO'!I269+'BLAZE SHIELD II'!$D$6)*LN(J269))+('BLAZE SHIELD II'!$D$7*('CALCULO MORTERO'!I269^2)+'BLAZE SHIELD II'!$D$8*'CALCULO MORTERO'!I269+'BLAZE SHIELD II'!$D$9)),0)+IF(AND(L269="Blaze Shield II",M269="Software Idiem",C269="Cj"),((('BLAZE SHIELD II'!$H$4*('CALCULO MORTERO'!I269^2)+'BLAZE SHIELD II'!$H$5*'CALCULO MORTERO'!I269+'BLAZE SHIELD II'!$H$6)*LN(J269))+('BLAZE SHIELD II'!$H$7*('CALCULO MORTERO'!I269^2)+'BLAZE SHIELD II'!$H$8*'CALCULO MORTERO'!I269+'BLAZE SHIELD II'!$H$9)),0)+IF(AND(L269="Blaze Shield II",M269="Software Idiem",C269="C"),((('BLAZE SHIELD II'!$L$4*('CALCULO MORTERO'!I269^2)+'BLAZE SHIELD II'!$L$5*'CALCULO MORTERO'!I269+'BLAZE SHIELD II'!$L$6)*LN(J269))+('BLAZE SHIELD II'!$L$7*('CALCULO MORTERO'!I269^2)+'BLAZE SHIELD II'!$L$8*'CALCULO MORTERO'!I269+'BLAZE SHIELD II'!$L$9)),0)+IF(AND(L269="Blaze Shield II",M269="Software Idiem",C269="L"),((('BLAZE SHIELD II'!$L$4*('CALCULO MORTERO'!I269^2)+'BLAZE SHIELD II'!$L$5*'CALCULO MORTERO'!I269+'BLAZE SHIELD II'!$L$6)*LN(J269))+('BLAZE SHIELD II'!$L$7*('CALCULO MORTERO'!I269^2)+'BLAZE SHIELD II'!$L$8*'CALCULO MORTERO'!I269+'BLAZE SHIELD II'!$L$9)),0)+IF(AND(L269="Blaze Shield II",M269="Software Idiem",C269="IN",G269=3),((('BLAZE SHIELD II'!$H$14*('CALCULO MORTERO'!I269^2)+'BLAZE SHIELD II'!$H$15*'CALCULO MORTERO'!I269+'BLAZE SHIELD II'!$H$16)*LN(J269))+('BLAZE SHIELD II'!$H$17*('CALCULO MORTERO'!I269^2)+'BLAZE SHIELD II'!$H$18*'CALCULO MORTERO'!I269+'BLAZE SHIELD II'!$H$19)),0),0)+ROUND(IF(AND(L269="Cafco 400",M269="Software Idiem",C269="IN",G269=4),((('CAFCO 400 '!$H$7*(J269^4)+'CAFCO 400 '!$H$8*(J269^3)+'CAFCO 400 '!$H$9*(J269^2)+'CAFCO 400 '!$H$10*J269+'CAFCO 400 '!$H$11)*U269^2)+(('CAFCO 400 '!$H$12*(J269^3)+'CAFCO 400 '!$H$13*(J269^2)+'CAFCO 400 '!$H$14*J269+'CAFCO 400 '!$H$15)*U269)+('CAFCO 400 '!$H$16*(J269^2)+'CAFCO 400 '!$H$17*J269+'CAFCO 400 '!$H$18)),0)+IF(AND(L269="Cafco 400",M269="Software Idiem",C269="Cj"),(((('CAFCO 400 '!$D$7*LN(J269)+'CAFCO 400 '!$D$8)*U269^2)+(('CAFCO 400 '!$D$9*LN(J269)+'CAFCO 400 '!$D$10)*U269)+('CAFCO 400 '!$D$11*LN(J269)+'CAFCO 400 '!$D$12))),0)+IF(AND(L269="Cafco 400",M269="Software Idiem",C269="C"),((('CAFCO 400 '!$L$7*(J269^3)+'CAFCO 400 '!$L$8*(J269^2)+'CAFCO 400 '!$L$9*J269+'CAFCO 400 '!$L$10)*U269^2)+(('CAFCO 400 '!$L$11*(J269^3)+'CAFCO 400 '!$L$12*(J269^2)+'CAFCO 400 '!$L$13*J269+'CAFCO 400 '!$L$14)*U269)+('CAFCO 400 '!$L$15*LN(J269)+'CAFCO 400 '!$L$16)),0)+IF(AND(L269="Cafco 400",M269="Software Idiem",C269="L"),((('CAFCO 400 '!$L$7*(J269^3)+'CAFCO 400 '!$L$8*(J269^2)+'CAFCO 400 '!$L$9*J269+'CAFCO 400 '!$L$10)*U269^2)+(('CAFCO 400 '!$L$11*(J269^3)+'CAFCO 400 '!$L$12*(J269^2)+'CAFCO 400 '!$L$13*J269+'CAFCO 400 '!$L$14)*U269)+('CAFCO 400 '!$L$15*LN(J269)+'CAFCO 400 '!$L$16)),0)+IF(AND(L269="Cafco 400",M269="Software Idiem",C269="IN",G269=3),((('CAFCO 400 '!$D$23*(J269^2)+'CAFCO 400 '!$D$24*(J269)+'CAFCO 400 '!$D$25)*U269^2)+(('CAFCO 400 '!$D$26*(J269^2)+'CAFCO 400 '!$D$27*J269+'CAFCO 400 '!$D$28)*U269)+('CAFCO 400 '!$D$29*(J269^2)+'CAFCO 400 '!$D$30*J269+'CAFCO 400 '!$D$31)),0),0)+IF(AND(L269="Cafco 300",J269&gt;=95,J269&lt;=240,C269="Cj",I269=90),VLOOKUP(T269,'CAFCO 300 IDIEM TABLAS'!$B$4:$D$23,2,FALSE),0)+IF(AND(L269="Cafco 300",J269&gt;=95,J269&lt;=240,C269="Cj",I269=120),VLOOKUP(T269,'CAFCO 300 IDIEM TABLAS'!$B$4:$D$23,3,FALSE),0)+IF(AND(L269="Cafco 300",J269&gt;=95,J269&lt;=400,G269=3,C269="IN",I269=90),VLOOKUP(T269,'CAFCO 300 IDIEM TABLAS'!$F$4:$H$35,2,FALSE),0)+IF(AND(L269="Cafco 300",J269&gt;=95,J269&lt;=400,G269=3,C269="IN",I269=120),VLOOKUP(T269,'CAFCO 300 IDIEM TABLAS'!$F$4:$H$35,3,FALSE),0)+IF(AND(L269="Cafco 300",J269&gt;=95,J269&lt;=450,G269=4,C269="IN",I269=90),VLOOKUP(T269,'CAFCO 300 IDIEM TABLAS'!$J$4:$L$40,2,FALSE),0)+IF(AND(L269="Cafco 300",J269&gt;=95,J269&lt;=450,G269=4,C269="IN",I269=120),VLOOKUP(T269,'CAFCO 300 IDIEM TABLAS'!$J$4:$L$40,3,FALSE),0)+IF(AND(M269="Ensayo Idiem",L269="Cafco 400",C269="IN",G269=4,I269=90),VLOOKUP(T269,'CAFCO 400 ENSAYO'!$B$7:$D$43,2,FALSE),0)+IF(AND(M269="Ensayo Idiem",L269="Cafco 400",C269="IN",G269=4,I269=120),VLOOKUP(T269,'CAFCO 400 ENSAYO'!$B$7:$D$43,3,FALSE),0)</f>
        <v>0</v>
      </c>
      <c r="O269" s="96">
        <f t="shared" si="33"/>
        <v>0</v>
      </c>
      <c r="P269" s="95" t="str">
        <f t="shared" si="34"/>
        <v>N/A</v>
      </c>
      <c r="Q269" s="95" t="str">
        <f t="shared" si="35"/>
        <v>N/A</v>
      </c>
      <c r="R269" s="95" t="str">
        <f t="shared" si="36"/>
        <v>NO CERT.</v>
      </c>
      <c r="S269" s="95" t="e">
        <f t="shared" si="31"/>
        <v>#N/A</v>
      </c>
      <c r="T269" s="119" t="e">
        <f>+IF(J269=LOOKUP(J269,'CAFCO 300 IDIEM TABLAS'!$J$4:$J$40),'CALCULO MORTERO'!J269,MROUND('CALCULO MORTERO'!J269,10))</f>
        <v>#N/A</v>
      </c>
      <c r="U269" s="118">
        <f t="shared" si="32"/>
        <v>0</v>
      </c>
      <c r="Y269" s="4"/>
      <c r="Z269" s="4"/>
      <c r="AA269" s="4"/>
    </row>
    <row r="270" spans="1:27" ht="15.6" customHeight="1" x14ac:dyDescent="0.25">
      <c r="A270" s="118">
        <f>+CUBICACION!D264</f>
        <v>0</v>
      </c>
      <c r="B270" s="819">
        <f>+CUBICACION!E264</f>
        <v>0</v>
      </c>
      <c r="C270" s="675">
        <f>+CUBICACION!F264</f>
        <v>0</v>
      </c>
      <c r="D270" s="118"/>
      <c r="E270" s="118"/>
      <c r="F270" s="820"/>
      <c r="G270" s="675">
        <f>+CUBICACION!J264</f>
        <v>0</v>
      </c>
      <c r="H270" s="118"/>
      <c r="I270" s="821">
        <f>+CUBICACION!L264</f>
        <v>0</v>
      </c>
      <c r="J270" s="64">
        <f>+CUBICACION!M264</f>
        <v>0</v>
      </c>
      <c r="K270" s="822" t="str">
        <f>+CUBICACION!N264</f>
        <v/>
      </c>
      <c r="L270" s="118">
        <f>+CUBICACION!O264</f>
        <v>0</v>
      </c>
      <c r="M270" s="823">
        <f>+CUBICACION!P264</f>
        <v>0</v>
      </c>
      <c r="N270" s="902">
        <f>ROUND(IF(AND(L270="Blaze Shield II",M270="Software Idiem",C270="IN",G270=4),((('BLAZE SHIELD II'!$D$4*('CALCULO MORTERO'!I270^2)+'BLAZE SHIELD II'!$D$5*'CALCULO MORTERO'!I270+'BLAZE SHIELD II'!$D$6)*LN(J270))+('BLAZE SHIELD II'!$D$7*('CALCULO MORTERO'!I270^2)+'BLAZE SHIELD II'!$D$8*'CALCULO MORTERO'!I270+'BLAZE SHIELD II'!$D$9)),0)+IF(AND(L270="Blaze Shield II",M270="Software Idiem",C270="Cj"),((('BLAZE SHIELD II'!$H$4*('CALCULO MORTERO'!I270^2)+'BLAZE SHIELD II'!$H$5*'CALCULO MORTERO'!I270+'BLAZE SHIELD II'!$H$6)*LN(J270))+('BLAZE SHIELD II'!$H$7*('CALCULO MORTERO'!I270^2)+'BLAZE SHIELD II'!$H$8*'CALCULO MORTERO'!I270+'BLAZE SHIELD II'!$H$9)),0)+IF(AND(L270="Blaze Shield II",M270="Software Idiem",C270="C"),((('BLAZE SHIELD II'!$L$4*('CALCULO MORTERO'!I270^2)+'BLAZE SHIELD II'!$L$5*'CALCULO MORTERO'!I270+'BLAZE SHIELD II'!$L$6)*LN(J270))+('BLAZE SHIELD II'!$L$7*('CALCULO MORTERO'!I270^2)+'BLAZE SHIELD II'!$L$8*'CALCULO MORTERO'!I270+'BLAZE SHIELD II'!$L$9)),0)+IF(AND(L270="Blaze Shield II",M270="Software Idiem",C270="L"),((('BLAZE SHIELD II'!$L$4*('CALCULO MORTERO'!I270^2)+'BLAZE SHIELD II'!$L$5*'CALCULO MORTERO'!I270+'BLAZE SHIELD II'!$L$6)*LN(J270))+('BLAZE SHIELD II'!$L$7*('CALCULO MORTERO'!I270^2)+'BLAZE SHIELD II'!$L$8*'CALCULO MORTERO'!I270+'BLAZE SHIELD II'!$L$9)),0)+IF(AND(L270="Blaze Shield II",M270="Software Idiem",C270="IN",G270=3),((('BLAZE SHIELD II'!$H$14*('CALCULO MORTERO'!I270^2)+'BLAZE SHIELD II'!$H$15*'CALCULO MORTERO'!I270+'BLAZE SHIELD II'!$H$16)*LN(J270))+('BLAZE SHIELD II'!$H$17*('CALCULO MORTERO'!I270^2)+'BLAZE SHIELD II'!$H$18*'CALCULO MORTERO'!I270+'BLAZE SHIELD II'!$H$19)),0),0)+ROUND(IF(AND(L270="Cafco 400",M270="Software Idiem",C270="IN",G270=4),((('CAFCO 400 '!$H$7*(J270^4)+'CAFCO 400 '!$H$8*(J270^3)+'CAFCO 400 '!$H$9*(J270^2)+'CAFCO 400 '!$H$10*J270+'CAFCO 400 '!$H$11)*U270^2)+(('CAFCO 400 '!$H$12*(J270^3)+'CAFCO 400 '!$H$13*(J270^2)+'CAFCO 400 '!$H$14*J270+'CAFCO 400 '!$H$15)*U270)+('CAFCO 400 '!$H$16*(J270^2)+'CAFCO 400 '!$H$17*J270+'CAFCO 400 '!$H$18)),0)+IF(AND(L270="Cafco 400",M270="Software Idiem",C270="Cj"),(((('CAFCO 400 '!$D$7*LN(J270)+'CAFCO 400 '!$D$8)*U270^2)+(('CAFCO 400 '!$D$9*LN(J270)+'CAFCO 400 '!$D$10)*U270)+('CAFCO 400 '!$D$11*LN(J270)+'CAFCO 400 '!$D$12))),0)+IF(AND(L270="Cafco 400",M270="Software Idiem",C270="C"),((('CAFCO 400 '!$L$7*(J270^3)+'CAFCO 400 '!$L$8*(J270^2)+'CAFCO 400 '!$L$9*J270+'CAFCO 400 '!$L$10)*U270^2)+(('CAFCO 400 '!$L$11*(J270^3)+'CAFCO 400 '!$L$12*(J270^2)+'CAFCO 400 '!$L$13*J270+'CAFCO 400 '!$L$14)*U270)+('CAFCO 400 '!$L$15*LN(J270)+'CAFCO 400 '!$L$16)),0)+IF(AND(L270="Cafco 400",M270="Software Idiem",C270="L"),((('CAFCO 400 '!$L$7*(J270^3)+'CAFCO 400 '!$L$8*(J270^2)+'CAFCO 400 '!$L$9*J270+'CAFCO 400 '!$L$10)*U270^2)+(('CAFCO 400 '!$L$11*(J270^3)+'CAFCO 400 '!$L$12*(J270^2)+'CAFCO 400 '!$L$13*J270+'CAFCO 400 '!$L$14)*U270)+('CAFCO 400 '!$L$15*LN(J270)+'CAFCO 400 '!$L$16)),0)+IF(AND(L270="Cafco 400",M270="Software Idiem",C270="IN",G270=3),((('CAFCO 400 '!$D$23*(J270^2)+'CAFCO 400 '!$D$24*(J270)+'CAFCO 400 '!$D$25)*U270^2)+(('CAFCO 400 '!$D$26*(J270^2)+'CAFCO 400 '!$D$27*J270+'CAFCO 400 '!$D$28)*U270)+('CAFCO 400 '!$D$29*(J270^2)+'CAFCO 400 '!$D$30*J270+'CAFCO 400 '!$D$31)),0),0)+IF(AND(L270="Cafco 300",J270&gt;=95,J270&lt;=240,C270="Cj",I270=90),VLOOKUP(T270,'CAFCO 300 IDIEM TABLAS'!$B$4:$D$23,2,FALSE),0)+IF(AND(L270="Cafco 300",J270&gt;=95,J270&lt;=240,C270="Cj",I270=120),VLOOKUP(T270,'CAFCO 300 IDIEM TABLAS'!$B$4:$D$23,3,FALSE),0)+IF(AND(L270="Cafco 300",J270&gt;=95,J270&lt;=400,G270=3,C270="IN",I270=90),VLOOKUP(T270,'CAFCO 300 IDIEM TABLAS'!$F$4:$H$35,2,FALSE),0)+IF(AND(L270="Cafco 300",J270&gt;=95,J270&lt;=400,G270=3,C270="IN",I270=120),VLOOKUP(T270,'CAFCO 300 IDIEM TABLAS'!$F$4:$H$35,3,FALSE),0)+IF(AND(L270="Cafco 300",J270&gt;=95,J270&lt;=450,G270=4,C270="IN",I270=90),VLOOKUP(T270,'CAFCO 300 IDIEM TABLAS'!$J$4:$L$40,2,FALSE),0)+IF(AND(L270="Cafco 300",J270&gt;=95,J270&lt;=450,G270=4,C270="IN",I270=120),VLOOKUP(T270,'CAFCO 300 IDIEM TABLAS'!$J$4:$L$40,3,FALSE),0)+IF(AND(M270="Ensayo Idiem",L270="Cafco 400",C270="IN",G270=4,I270=90),VLOOKUP(T270,'CAFCO 400 ENSAYO'!$B$7:$D$43,2,FALSE),0)+IF(AND(M270="Ensayo Idiem",L270="Cafco 400",C270="IN",G270=4,I270=120),VLOOKUP(T270,'CAFCO 400 ENSAYO'!$B$7:$D$43,3,FALSE),0)</f>
        <v>0</v>
      </c>
      <c r="O270" s="96">
        <f t="shared" si="33"/>
        <v>0</v>
      </c>
      <c r="P270" s="95" t="str">
        <f t="shared" si="34"/>
        <v>N/A</v>
      </c>
      <c r="Q270" s="95" t="str">
        <f t="shared" si="35"/>
        <v>N/A</v>
      </c>
      <c r="R270" s="95" t="str">
        <f t="shared" si="36"/>
        <v>NO CERT.</v>
      </c>
      <c r="S270" s="95" t="e">
        <f t="shared" si="31"/>
        <v>#N/A</v>
      </c>
      <c r="T270" s="119" t="e">
        <f>+IF(J270=LOOKUP(J270,'CAFCO 300 IDIEM TABLAS'!$J$4:$J$40),'CALCULO MORTERO'!J270,MROUND('CALCULO MORTERO'!J270,10))</f>
        <v>#N/A</v>
      </c>
      <c r="U270" s="118">
        <f t="shared" si="32"/>
        <v>0</v>
      </c>
      <c r="Y270" s="4"/>
      <c r="Z270" s="4"/>
      <c r="AA270" s="4"/>
    </row>
    <row r="271" spans="1:27" x14ac:dyDescent="0.25">
      <c r="A271" s="118">
        <f>+CUBICACION!D265</f>
        <v>0</v>
      </c>
      <c r="B271" s="819">
        <f>+CUBICACION!E265</f>
        <v>0</v>
      </c>
      <c r="C271" s="675">
        <f>+CUBICACION!F265</f>
        <v>0</v>
      </c>
      <c r="D271" s="118"/>
      <c r="E271" s="118"/>
      <c r="F271" s="820"/>
      <c r="G271" s="675">
        <f>+CUBICACION!J265</f>
        <v>0</v>
      </c>
      <c r="H271" s="118"/>
      <c r="I271" s="821">
        <f>+CUBICACION!L265</f>
        <v>0</v>
      </c>
      <c r="J271" s="64">
        <f>+CUBICACION!M265</f>
        <v>0</v>
      </c>
      <c r="K271" s="822" t="str">
        <f>+CUBICACION!N265</f>
        <v/>
      </c>
      <c r="L271" s="118">
        <f>+CUBICACION!O265</f>
        <v>0</v>
      </c>
      <c r="M271" s="823">
        <f>+CUBICACION!P265</f>
        <v>0</v>
      </c>
      <c r="N271" s="902">
        <f>ROUND(IF(AND(L271="Blaze Shield II",M271="Software Idiem",C271="IN",G271=4),((('BLAZE SHIELD II'!$D$4*('CALCULO MORTERO'!I271^2)+'BLAZE SHIELD II'!$D$5*'CALCULO MORTERO'!I271+'BLAZE SHIELD II'!$D$6)*LN(J271))+('BLAZE SHIELD II'!$D$7*('CALCULO MORTERO'!I271^2)+'BLAZE SHIELD II'!$D$8*'CALCULO MORTERO'!I271+'BLAZE SHIELD II'!$D$9)),0)+IF(AND(L271="Blaze Shield II",M271="Software Idiem",C271="Cj"),((('BLAZE SHIELD II'!$H$4*('CALCULO MORTERO'!I271^2)+'BLAZE SHIELD II'!$H$5*'CALCULO MORTERO'!I271+'BLAZE SHIELD II'!$H$6)*LN(J271))+('BLAZE SHIELD II'!$H$7*('CALCULO MORTERO'!I271^2)+'BLAZE SHIELD II'!$H$8*'CALCULO MORTERO'!I271+'BLAZE SHIELD II'!$H$9)),0)+IF(AND(L271="Blaze Shield II",M271="Software Idiem",C271="C"),((('BLAZE SHIELD II'!$L$4*('CALCULO MORTERO'!I271^2)+'BLAZE SHIELD II'!$L$5*'CALCULO MORTERO'!I271+'BLAZE SHIELD II'!$L$6)*LN(J271))+('BLAZE SHIELD II'!$L$7*('CALCULO MORTERO'!I271^2)+'BLAZE SHIELD II'!$L$8*'CALCULO MORTERO'!I271+'BLAZE SHIELD II'!$L$9)),0)+IF(AND(L271="Blaze Shield II",M271="Software Idiem",C271="L"),((('BLAZE SHIELD II'!$L$4*('CALCULO MORTERO'!I271^2)+'BLAZE SHIELD II'!$L$5*'CALCULO MORTERO'!I271+'BLAZE SHIELD II'!$L$6)*LN(J271))+('BLAZE SHIELD II'!$L$7*('CALCULO MORTERO'!I271^2)+'BLAZE SHIELD II'!$L$8*'CALCULO MORTERO'!I271+'BLAZE SHIELD II'!$L$9)),0)+IF(AND(L271="Blaze Shield II",M271="Software Idiem",C271="IN",G271=3),((('BLAZE SHIELD II'!$H$14*('CALCULO MORTERO'!I271^2)+'BLAZE SHIELD II'!$H$15*'CALCULO MORTERO'!I271+'BLAZE SHIELD II'!$H$16)*LN(J271))+('BLAZE SHIELD II'!$H$17*('CALCULO MORTERO'!I271^2)+'BLAZE SHIELD II'!$H$18*'CALCULO MORTERO'!I271+'BLAZE SHIELD II'!$H$19)),0),0)+ROUND(IF(AND(L271="Cafco 400",M271="Software Idiem",C271="IN",G271=4),((('CAFCO 400 '!$H$7*(J271^4)+'CAFCO 400 '!$H$8*(J271^3)+'CAFCO 400 '!$H$9*(J271^2)+'CAFCO 400 '!$H$10*J271+'CAFCO 400 '!$H$11)*U271^2)+(('CAFCO 400 '!$H$12*(J271^3)+'CAFCO 400 '!$H$13*(J271^2)+'CAFCO 400 '!$H$14*J271+'CAFCO 400 '!$H$15)*U271)+('CAFCO 400 '!$H$16*(J271^2)+'CAFCO 400 '!$H$17*J271+'CAFCO 400 '!$H$18)),0)+IF(AND(L271="Cafco 400",M271="Software Idiem",C271="Cj"),(((('CAFCO 400 '!$D$7*LN(J271)+'CAFCO 400 '!$D$8)*U271^2)+(('CAFCO 400 '!$D$9*LN(J271)+'CAFCO 400 '!$D$10)*U271)+('CAFCO 400 '!$D$11*LN(J271)+'CAFCO 400 '!$D$12))),0)+IF(AND(L271="Cafco 400",M271="Software Idiem",C271="C"),((('CAFCO 400 '!$L$7*(J271^3)+'CAFCO 400 '!$L$8*(J271^2)+'CAFCO 400 '!$L$9*J271+'CAFCO 400 '!$L$10)*U271^2)+(('CAFCO 400 '!$L$11*(J271^3)+'CAFCO 400 '!$L$12*(J271^2)+'CAFCO 400 '!$L$13*J271+'CAFCO 400 '!$L$14)*U271)+('CAFCO 400 '!$L$15*LN(J271)+'CAFCO 400 '!$L$16)),0)+IF(AND(L271="Cafco 400",M271="Software Idiem",C271="L"),((('CAFCO 400 '!$L$7*(J271^3)+'CAFCO 400 '!$L$8*(J271^2)+'CAFCO 400 '!$L$9*J271+'CAFCO 400 '!$L$10)*U271^2)+(('CAFCO 400 '!$L$11*(J271^3)+'CAFCO 400 '!$L$12*(J271^2)+'CAFCO 400 '!$L$13*J271+'CAFCO 400 '!$L$14)*U271)+('CAFCO 400 '!$L$15*LN(J271)+'CAFCO 400 '!$L$16)),0)+IF(AND(L271="Cafco 400",M271="Software Idiem",C271="IN",G271=3),((('CAFCO 400 '!$D$23*(J271^2)+'CAFCO 400 '!$D$24*(J271)+'CAFCO 400 '!$D$25)*U271^2)+(('CAFCO 400 '!$D$26*(J271^2)+'CAFCO 400 '!$D$27*J271+'CAFCO 400 '!$D$28)*U271)+('CAFCO 400 '!$D$29*(J271^2)+'CAFCO 400 '!$D$30*J271+'CAFCO 400 '!$D$31)),0),0)+IF(AND(L271="Cafco 300",J271&gt;=95,J271&lt;=240,C271="Cj",I271=90),VLOOKUP(T271,'CAFCO 300 IDIEM TABLAS'!$B$4:$D$23,2,FALSE),0)+IF(AND(L271="Cafco 300",J271&gt;=95,J271&lt;=240,C271="Cj",I271=120),VLOOKUP(T271,'CAFCO 300 IDIEM TABLAS'!$B$4:$D$23,3,FALSE),0)+IF(AND(L271="Cafco 300",J271&gt;=95,J271&lt;=400,G271=3,C271="IN",I271=90),VLOOKUP(T271,'CAFCO 300 IDIEM TABLAS'!$F$4:$H$35,2,FALSE),0)+IF(AND(L271="Cafco 300",J271&gt;=95,J271&lt;=400,G271=3,C271="IN",I271=120),VLOOKUP(T271,'CAFCO 300 IDIEM TABLAS'!$F$4:$H$35,3,FALSE),0)+IF(AND(L271="Cafco 300",J271&gt;=95,J271&lt;=450,G271=4,C271="IN",I271=90),VLOOKUP(T271,'CAFCO 300 IDIEM TABLAS'!$J$4:$L$40,2,FALSE),0)+IF(AND(L271="Cafco 300",J271&gt;=95,J271&lt;=450,G271=4,C271="IN",I271=120),VLOOKUP(T271,'CAFCO 300 IDIEM TABLAS'!$J$4:$L$40,3,FALSE),0)+IF(AND(M271="Ensayo Idiem",L271="Cafco 400",C271="IN",G271=4,I271=90),VLOOKUP(T271,'CAFCO 400 ENSAYO'!$B$7:$D$43,2,FALSE),0)+IF(AND(M271="Ensayo Idiem",L271="Cafco 400",C271="IN",G271=4,I271=120),VLOOKUP(T271,'CAFCO 400 ENSAYO'!$B$7:$D$43,3,FALSE),0)</f>
        <v>0</v>
      </c>
      <c r="O271" s="96">
        <f t="shared" si="33"/>
        <v>0</v>
      </c>
      <c r="P271" s="95" t="str">
        <f t="shared" si="34"/>
        <v>N/A</v>
      </c>
      <c r="Q271" s="95" t="str">
        <f t="shared" si="35"/>
        <v>N/A</v>
      </c>
      <c r="R271" s="95" t="str">
        <f t="shared" si="36"/>
        <v>NO CERT.</v>
      </c>
      <c r="S271" s="95" t="e">
        <f t="shared" si="31"/>
        <v>#N/A</v>
      </c>
      <c r="T271" s="119" t="e">
        <f>+IF(J271=LOOKUP(J271,'CAFCO 300 IDIEM TABLAS'!$J$4:$J$40),'CALCULO MORTERO'!J271,MROUND('CALCULO MORTERO'!J271,10))</f>
        <v>#N/A</v>
      </c>
      <c r="U271" s="118">
        <f t="shared" si="32"/>
        <v>0</v>
      </c>
      <c r="Y271" s="4"/>
      <c r="Z271" s="4"/>
      <c r="AA271" s="4"/>
    </row>
    <row r="272" spans="1:27" ht="15.6" customHeight="1" x14ac:dyDescent="0.25">
      <c r="A272" s="118">
        <f>+CUBICACION!D266</f>
        <v>0</v>
      </c>
      <c r="B272" s="819">
        <f>+CUBICACION!E266</f>
        <v>0</v>
      </c>
      <c r="C272" s="675">
        <f>+CUBICACION!F266</f>
        <v>0</v>
      </c>
      <c r="D272" s="118"/>
      <c r="E272" s="118"/>
      <c r="F272" s="820"/>
      <c r="G272" s="675">
        <f>+CUBICACION!J266</f>
        <v>0</v>
      </c>
      <c r="H272" s="118"/>
      <c r="I272" s="821">
        <f>+CUBICACION!L266</f>
        <v>0</v>
      </c>
      <c r="J272" s="64">
        <f>+CUBICACION!M266</f>
        <v>0</v>
      </c>
      <c r="K272" s="822" t="str">
        <f>+CUBICACION!N266</f>
        <v/>
      </c>
      <c r="L272" s="118">
        <f>+CUBICACION!O266</f>
        <v>0</v>
      </c>
      <c r="M272" s="823">
        <f>+CUBICACION!P266</f>
        <v>0</v>
      </c>
      <c r="N272" s="902">
        <f>ROUND(IF(AND(L272="Blaze Shield II",M272="Software Idiem",C272="IN",G272=4),((('BLAZE SHIELD II'!$D$4*('CALCULO MORTERO'!I272^2)+'BLAZE SHIELD II'!$D$5*'CALCULO MORTERO'!I272+'BLAZE SHIELD II'!$D$6)*LN(J272))+('BLAZE SHIELD II'!$D$7*('CALCULO MORTERO'!I272^2)+'BLAZE SHIELD II'!$D$8*'CALCULO MORTERO'!I272+'BLAZE SHIELD II'!$D$9)),0)+IF(AND(L272="Blaze Shield II",M272="Software Idiem",C272="Cj"),((('BLAZE SHIELD II'!$H$4*('CALCULO MORTERO'!I272^2)+'BLAZE SHIELD II'!$H$5*'CALCULO MORTERO'!I272+'BLAZE SHIELD II'!$H$6)*LN(J272))+('BLAZE SHIELD II'!$H$7*('CALCULO MORTERO'!I272^2)+'BLAZE SHIELD II'!$H$8*'CALCULO MORTERO'!I272+'BLAZE SHIELD II'!$H$9)),0)+IF(AND(L272="Blaze Shield II",M272="Software Idiem",C272="C"),((('BLAZE SHIELD II'!$L$4*('CALCULO MORTERO'!I272^2)+'BLAZE SHIELD II'!$L$5*'CALCULO MORTERO'!I272+'BLAZE SHIELD II'!$L$6)*LN(J272))+('BLAZE SHIELD II'!$L$7*('CALCULO MORTERO'!I272^2)+'BLAZE SHIELD II'!$L$8*'CALCULO MORTERO'!I272+'BLAZE SHIELD II'!$L$9)),0)+IF(AND(L272="Blaze Shield II",M272="Software Idiem",C272="L"),((('BLAZE SHIELD II'!$L$4*('CALCULO MORTERO'!I272^2)+'BLAZE SHIELD II'!$L$5*'CALCULO MORTERO'!I272+'BLAZE SHIELD II'!$L$6)*LN(J272))+('BLAZE SHIELD II'!$L$7*('CALCULO MORTERO'!I272^2)+'BLAZE SHIELD II'!$L$8*'CALCULO MORTERO'!I272+'BLAZE SHIELD II'!$L$9)),0)+IF(AND(L272="Blaze Shield II",M272="Software Idiem",C272="IN",G272=3),((('BLAZE SHIELD II'!$H$14*('CALCULO MORTERO'!I272^2)+'BLAZE SHIELD II'!$H$15*'CALCULO MORTERO'!I272+'BLAZE SHIELD II'!$H$16)*LN(J272))+('BLAZE SHIELD II'!$H$17*('CALCULO MORTERO'!I272^2)+'BLAZE SHIELD II'!$H$18*'CALCULO MORTERO'!I272+'BLAZE SHIELD II'!$H$19)),0),0)+ROUND(IF(AND(L272="Cafco 400",M272="Software Idiem",C272="IN",G272=4),((('CAFCO 400 '!$H$7*(J272^4)+'CAFCO 400 '!$H$8*(J272^3)+'CAFCO 400 '!$H$9*(J272^2)+'CAFCO 400 '!$H$10*J272+'CAFCO 400 '!$H$11)*U272^2)+(('CAFCO 400 '!$H$12*(J272^3)+'CAFCO 400 '!$H$13*(J272^2)+'CAFCO 400 '!$H$14*J272+'CAFCO 400 '!$H$15)*U272)+('CAFCO 400 '!$H$16*(J272^2)+'CAFCO 400 '!$H$17*J272+'CAFCO 400 '!$H$18)),0)+IF(AND(L272="Cafco 400",M272="Software Idiem",C272="Cj"),(((('CAFCO 400 '!$D$7*LN(J272)+'CAFCO 400 '!$D$8)*U272^2)+(('CAFCO 400 '!$D$9*LN(J272)+'CAFCO 400 '!$D$10)*U272)+('CAFCO 400 '!$D$11*LN(J272)+'CAFCO 400 '!$D$12))),0)+IF(AND(L272="Cafco 400",M272="Software Idiem",C272="C"),((('CAFCO 400 '!$L$7*(J272^3)+'CAFCO 400 '!$L$8*(J272^2)+'CAFCO 400 '!$L$9*J272+'CAFCO 400 '!$L$10)*U272^2)+(('CAFCO 400 '!$L$11*(J272^3)+'CAFCO 400 '!$L$12*(J272^2)+'CAFCO 400 '!$L$13*J272+'CAFCO 400 '!$L$14)*U272)+('CAFCO 400 '!$L$15*LN(J272)+'CAFCO 400 '!$L$16)),0)+IF(AND(L272="Cafco 400",M272="Software Idiem",C272="L"),((('CAFCO 400 '!$L$7*(J272^3)+'CAFCO 400 '!$L$8*(J272^2)+'CAFCO 400 '!$L$9*J272+'CAFCO 400 '!$L$10)*U272^2)+(('CAFCO 400 '!$L$11*(J272^3)+'CAFCO 400 '!$L$12*(J272^2)+'CAFCO 400 '!$L$13*J272+'CAFCO 400 '!$L$14)*U272)+('CAFCO 400 '!$L$15*LN(J272)+'CAFCO 400 '!$L$16)),0)+IF(AND(L272="Cafco 400",M272="Software Idiem",C272="IN",G272=3),((('CAFCO 400 '!$D$23*(J272^2)+'CAFCO 400 '!$D$24*(J272)+'CAFCO 400 '!$D$25)*U272^2)+(('CAFCO 400 '!$D$26*(J272^2)+'CAFCO 400 '!$D$27*J272+'CAFCO 400 '!$D$28)*U272)+('CAFCO 400 '!$D$29*(J272^2)+'CAFCO 400 '!$D$30*J272+'CAFCO 400 '!$D$31)),0),0)+IF(AND(L272="Cafco 300",J272&gt;=95,J272&lt;=240,C272="Cj",I272=90),VLOOKUP(T272,'CAFCO 300 IDIEM TABLAS'!$B$4:$D$23,2,FALSE),0)+IF(AND(L272="Cafco 300",J272&gt;=95,J272&lt;=240,C272="Cj",I272=120),VLOOKUP(T272,'CAFCO 300 IDIEM TABLAS'!$B$4:$D$23,3,FALSE),0)+IF(AND(L272="Cafco 300",J272&gt;=95,J272&lt;=400,G272=3,C272="IN",I272=90),VLOOKUP(T272,'CAFCO 300 IDIEM TABLAS'!$F$4:$H$35,2,FALSE),0)+IF(AND(L272="Cafco 300",J272&gt;=95,J272&lt;=400,G272=3,C272="IN",I272=120),VLOOKUP(T272,'CAFCO 300 IDIEM TABLAS'!$F$4:$H$35,3,FALSE),0)+IF(AND(L272="Cafco 300",J272&gt;=95,J272&lt;=450,G272=4,C272="IN",I272=90),VLOOKUP(T272,'CAFCO 300 IDIEM TABLAS'!$J$4:$L$40,2,FALSE),0)+IF(AND(L272="Cafco 300",J272&gt;=95,J272&lt;=450,G272=4,C272="IN",I272=120),VLOOKUP(T272,'CAFCO 300 IDIEM TABLAS'!$J$4:$L$40,3,FALSE),0)+IF(AND(M272="Ensayo Idiem",L272="Cafco 400",C272="IN",G272=4,I272=90),VLOOKUP(T272,'CAFCO 400 ENSAYO'!$B$7:$D$43,2,FALSE),0)+IF(AND(M272="Ensayo Idiem",L272="Cafco 400",C272="IN",G272=4,I272=120),VLOOKUP(T272,'CAFCO 400 ENSAYO'!$B$7:$D$43,3,FALSE),0)</f>
        <v>0</v>
      </c>
      <c r="O272" s="96">
        <f t="shared" si="33"/>
        <v>0</v>
      </c>
      <c r="P272" s="95" t="str">
        <f t="shared" si="34"/>
        <v>N/A</v>
      </c>
      <c r="Q272" s="95" t="str">
        <f t="shared" si="35"/>
        <v>N/A</v>
      </c>
      <c r="R272" s="95" t="str">
        <f t="shared" si="36"/>
        <v>NO CERT.</v>
      </c>
      <c r="S272" s="95" t="e">
        <f t="shared" si="31"/>
        <v>#N/A</v>
      </c>
      <c r="T272" s="119" t="e">
        <f>+IF(J272=LOOKUP(J272,'CAFCO 300 IDIEM TABLAS'!$J$4:$J$40),'CALCULO MORTERO'!J272,MROUND('CALCULO MORTERO'!J272,10))</f>
        <v>#N/A</v>
      </c>
      <c r="U272" s="118">
        <f t="shared" si="32"/>
        <v>0</v>
      </c>
      <c r="Y272" s="4"/>
      <c r="Z272" s="4"/>
      <c r="AA272" s="4"/>
    </row>
    <row r="273" spans="1:27" x14ac:dyDescent="0.25">
      <c r="A273" s="118">
        <f>+CUBICACION!D267</f>
        <v>0</v>
      </c>
      <c r="B273" s="819">
        <f>+CUBICACION!E267</f>
        <v>0</v>
      </c>
      <c r="C273" s="675">
        <f>+CUBICACION!F267</f>
        <v>0</v>
      </c>
      <c r="D273" s="118"/>
      <c r="E273" s="118"/>
      <c r="F273" s="820"/>
      <c r="G273" s="675">
        <f>+CUBICACION!J267</f>
        <v>0</v>
      </c>
      <c r="H273" s="118"/>
      <c r="I273" s="821">
        <f>+CUBICACION!L267</f>
        <v>0</v>
      </c>
      <c r="J273" s="64">
        <f>+CUBICACION!M267</f>
        <v>0</v>
      </c>
      <c r="K273" s="822" t="str">
        <f>+CUBICACION!N267</f>
        <v/>
      </c>
      <c r="L273" s="118">
        <f>+CUBICACION!O267</f>
        <v>0</v>
      </c>
      <c r="M273" s="823">
        <f>+CUBICACION!P267</f>
        <v>0</v>
      </c>
      <c r="N273" s="902">
        <f>ROUND(IF(AND(L273="Blaze Shield II",M273="Software Idiem",C273="IN",G273=4),((('BLAZE SHIELD II'!$D$4*('CALCULO MORTERO'!I273^2)+'BLAZE SHIELD II'!$D$5*'CALCULO MORTERO'!I273+'BLAZE SHIELD II'!$D$6)*LN(J273))+('BLAZE SHIELD II'!$D$7*('CALCULO MORTERO'!I273^2)+'BLAZE SHIELD II'!$D$8*'CALCULO MORTERO'!I273+'BLAZE SHIELD II'!$D$9)),0)+IF(AND(L273="Blaze Shield II",M273="Software Idiem",C273="Cj"),((('BLAZE SHIELD II'!$H$4*('CALCULO MORTERO'!I273^2)+'BLAZE SHIELD II'!$H$5*'CALCULO MORTERO'!I273+'BLAZE SHIELD II'!$H$6)*LN(J273))+('BLAZE SHIELD II'!$H$7*('CALCULO MORTERO'!I273^2)+'BLAZE SHIELD II'!$H$8*'CALCULO MORTERO'!I273+'BLAZE SHIELD II'!$H$9)),0)+IF(AND(L273="Blaze Shield II",M273="Software Idiem",C273="C"),((('BLAZE SHIELD II'!$L$4*('CALCULO MORTERO'!I273^2)+'BLAZE SHIELD II'!$L$5*'CALCULO MORTERO'!I273+'BLAZE SHIELD II'!$L$6)*LN(J273))+('BLAZE SHIELD II'!$L$7*('CALCULO MORTERO'!I273^2)+'BLAZE SHIELD II'!$L$8*'CALCULO MORTERO'!I273+'BLAZE SHIELD II'!$L$9)),0)+IF(AND(L273="Blaze Shield II",M273="Software Idiem",C273="L"),((('BLAZE SHIELD II'!$L$4*('CALCULO MORTERO'!I273^2)+'BLAZE SHIELD II'!$L$5*'CALCULO MORTERO'!I273+'BLAZE SHIELD II'!$L$6)*LN(J273))+('BLAZE SHIELD II'!$L$7*('CALCULO MORTERO'!I273^2)+'BLAZE SHIELD II'!$L$8*'CALCULO MORTERO'!I273+'BLAZE SHIELD II'!$L$9)),0)+IF(AND(L273="Blaze Shield II",M273="Software Idiem",C273="IN",G273=3),((('BLAZE SHIELD II'!$H$14*('CALCULO MORTERO'!I273^2)+'BLAZE SHIELD II'!$H$15*'CALCULO MORTERO'!I273+'BLAZE SHIELD II'!$H$16)*LN(J273))+('BLAZE SHIELD II'!$H$17*('CALCULO MORTERO'!I273^2)+'BLAZE SHIELD II'!$H$18*'CALCULO MORTERO'!I273+'BLAZE SHIELD II'!$H$19)),0),0)+ROUND(IF(AND(L273="Cafco 400",M273="Software Idiem",C273="IN",G273=4),((('CAFCO 400 '!$H$7*(J273^4)+'CAFCO 400 '!$H$8*(J273^3)+'CAFCO 400 '!$H$9*(J273^2)+'CAFCO 400 '!$H$10*J273+'CAFCO 400 '!$H$11)*U273^2)+(('CAFCO 400 '!$H$12*(J273^3)+'CAFCO 400 '!$H$13*(J273^2)+'CAFCO 400 '!$H$14*J273+'CAFCO 400 '!$H$15)*U273)+('CAFCO 400 '!$H$16*(J273^2)+'CAFCO 400 '!$H$17*J273+'CAFCO 400 '!$H$18)),0)+IF(AND(L273="Cafco 400",M273="Software Idiem",C273="Cj"),(((('CAFCO 400 '!$D$7*LN(J273)+'CAFCO 400 '!$D$8)*U273^2)+(('CAFCO 400 '!$D$9*LN(J273)+'CAFCO 400 '!$D$10)*U273)+('CAFCO 400 '!$D$11*LN(J273)+'CAFCO 400 '!$D$12))),0)+IF(AND(L273="Cafco 400",M273="Software Idiem",C273="C"),((('CAFCO 400 '!$L$7*(J273^3)+'CAFCO 400 '!$L$8*(J273^2)+'CAFCO 400 '!$L$9*J273+'CAFCO 400 '!$L$10)*U273^2)+(('CAFCO 400 '!$L$11*(J273^3)+'CAFCO 400 '!$L$12*(J273^2)+'CAFCO 400 '!$L$13*J273+'CAFCO 400 '!$L$14)*U273)+('CAFCO 400 '!$L$15*LN(J273)+'CAFCO 400 '!$L$16)),0)+IF(AND(L273="Cafco 400",M273="Software Idiem",C273="L"),((('CAFCO 400 '!$L$7*(J273^3)+'CAFCO 400 '!$L$8*(J273^2)+'CAFCO 400 '!$L$9*J273+'CAFCO 400 '!$L$10)*U273^2)+(('CAFCO 400 '!$L$11*(J273^3)+'CAFCO 400 '!$L$12*(J273^2)+'CAFCO 400 '!$L$13*J273+'CAFCO 400 '!$L$14)*U273)+('CAFCO 400 '!$L$15*LN(J273)+'CAFCO 400 '!$L$16)),0)+IF(AND(L273="Cafco 400",M273="Software Idiem",C273="IN",G273=3),((('CAFCO 400 '!$D$23*(J273^2)+'CAFCO 400 '!$D$24*(J273)+'CAFCO 400 '!$D$25)*U273^2)+(('CAFCO 400 '!$D$26*(J273^2)+'CAFCO 400 '!$D$27*J273+'CAFCO 400 '!$D$28)*U273)+('CAFCO 400 '!$D$29*(J273^2)+'CAFCO 400 '!$D$30*J273+'CAFCO 400 '!$D$31)),0),0)+IF(AND(L273="Cafco 300",J273&gt;=95,J273&lt;=240,C273="Cj",I273=90),VLOOKUP(T273,'CAFCO 300 IDIEM TABLAS'!$B$4:$D$23,2,FALSE),0)+IF(AND(L273="Cafco 300",J273&gt;=95,J273&lt;=240,C273="Cj",I273=120),VLOOKUP(T273,'CAFCO 300 IDIEM TABLAS'!$B$4:$D$23,3,FALSE),0)+IF(AND(L273="Cafco 300",J273&gt;=95,J273&lt;=400,G273=3,C273="IN",I273=90),VLOOKUP(T273,'CAFCO 300 IDIEM TABLAS'!$F$4:$H$35,2,FALSE),0)+IF(AND(L273="Cafco 300",J273&gt;=95,J273&lt;=400,G273=3,C273="IN",I273=120),VLOOKUP(T273,'CAFCO 300 IDIEM TABLAS'!$F$4:$H$35,3,FALSE),0)+IF(AND(L273="Cafco 300",J273&gt;=95,J273&lt;=450,G273=4,C273="IN",I273=90),VLOOKUP(T273,'CAFCO 300 IDIEM TABLAS'!$J$4:$L$40,2,FALSE),0)+IF(AND(L273="Cafco 300",J273&gt;=95,J273&lt;=450,G273=4,C273="IN",I273=120),VLOOKUP(T273,'CAFCO 300 IDIEM TABLAS'!$J$4:$L$40,3,FALSE),0)+IF(AND(M273="Ensayo Idiem",L273="Cafco 400",C273="IN",G273=4,I273=90),VLOOKUP(T273,'CAFCO 400 ENSAYO'!$B$7:$D$43,2,FALSE),0)+IF(AND(M273="Ensayo Idiem",L273="Cafco 400",C273="IN",G273=4,I273=120),VLOOKUP(T273,'CAFCO 400 ENSAYO'!$B$7:$D$43,3,FALSE),0)</f>
        <v>0</v>
      </c>
      <c r="O273" s="96">
        <f t="shared" si="33"/>
        <v>0</v>
      </c>
      <c r="P273" s="95" t="str">
        <f t="shared" si="34"/>
        <v>N/A</v>
      </c>
      <c r="Q273" s="95" t="str">
        <f t="shared" si="35"/>
        <v>N/A</v>
      </c>
      <c r="R273" s="95" t="str">
        <f t="shared" si="36"/>
        <v>NO CERT.</v>
      </c>
      <c r="S273" s="95" t="e">
        <f t="shared" si="31"/>
        <v>#N/A</v>
      </c>
      <c r="T273" s="119" t="e">
        <f>+IF(J273=LOOKUP(J273,'CAFCO 300 IDIEM TABLAS'!$J$4:$J$40),'CALCULO MORTERO'!J273,MROUND('CALCULO MORTERO'!J273,10))</f>
        <v>#N/A</v>
      </c>
      <c r="U273" s="118">
        <f t="shared" si="32"/>
        <v>0</v>
      </c>
      <c r="Y273" s="4"/>
      <c r="Z273" s="4"/>
      <c r="AA273" s="4"/>
    </row>
    <row r="274" spans="1:27" ht="15.6" customHeight="1" x14ac:dyDescent="0.25">
      <c r="A274" s="118">
        <f>+CUBICACION!D268</f>
        <v>0</v>
      </c>
      <c r="B274" s="819">
        <f>+CUBICACION!E268</f>
        <v>0</v>
      </c>
      <c r="C274" s="675">
        <f>+CUBICACION!F268</f>
        <v>0</v>
      </c>
      <c r="D274" s="118"/>
      <c r="E274" s="118"/>
      <c r="F274" s="820"/>
      <c r="G274" s="675">
        <f>+CUBICACION!J268</f>
        <v>0</v>
      </c>
      <c r="H274" s="118"/>
      <c r="I274" s="821">
        <f>+CUBICACION!L268</f>
        <v>0</v>
      </c>
      <c r="J274" s="64">
        <f>+CUBICACION!M268</f>
        <v>0</v>
      </c>
      <c r="K274" s="822" t="str">
        <f>+CUBICACION!N268</f>
        <v/>
      </c>
      <c r="L274" s="118">
        <f>+CUBICACION!O268</f>
        <v>0</v>
      </c>
      <c r="M274" s="823">
        <f>+CUBICACION!P268</f>
        <v>0</v>
      </c>
      <c r="N274" s="902">
        <f>ROUND(IF(AND(L274="Blaze Shield II",M274="Software Idiem",C274="IN",G274=4),((('BLAZE SHIELD II'!$D$4*('CALCULO MORTERO'!I274^2)+'BLAZE SHIELD II'!$D$5*'CALCULO MORTERO'!I274+'BLAZE SHIELD II'!$D$6)*LN(J274))+('BLAZE SHIELD II'!$D$7*('CALCULO MORTERO'!I274^2)+'BLAZE SHIELD II'!$D$8*'CALCULO MORTERO'!I274+'BLAZE SHIELD II'!$D$9)),0)+IF(AND(L274="Blaze Shield II",M274="Software Idiem",C274="Cj"),((('BLAZE SHIELD II'!$H$4*('CALCULO MORTERO'!I274^2)+'BLAZE SHIELD II'!$H$5*'CALCULO MORTERO'!I274+'BLAZE SHIELD II'!$H$6)*LN(J274))+('BLAZE SHIELD II'!$H$7*('CALCULO MORTERO'!I274^2)+'BLAZE SHIELD II'!$H$8*'CALCULO MORTERO'!I274+'BLAZE SHIELD II'!$H$9)),0)+IF(AND(L274="Blaze Shield II",M274="Software Idiem",C274="C"),((('BLAZE SHIELD II'!$L$4*('CALCULO MORTERO'!I274^2)+'BLAZE SHIELD II'!$L$5*'CALCULO MORTERO'!I274+'BLAZE SHIELD II'!$L$6)*LN(J274))+('BLAZE SHIELD II'!$L$7*('CALCULO MORTERO'!I274^2)+'BLAZE SHIELD II'!$L$8*'CALCULO MORTERO'!I274+'BLAZE SHIELD II'!$L$9)),0)+IF(AND(L274="Blaze Shield II",M274="Software Idiem",C274="L"),((('BLAZE SHIELD II'!$L$4*('CALCULO MORTERO'!I274^2)+'BLAZE SHIELD II'!$L$5*'CALCULO MORTERO'!I274+'BLAZE SHIELD II'!$L$6)*LN(J274))+('BLAZE SHIELD II'!$L$7*('CALCULO MORTERO'!I274^2)+'BLAZE SHIELD II'!$L$8*'CALCULO MORTERO'!I274+'BLAZE SHIELD II'!$L$9)),0)+IF(AND(L274="Blaze Shield II",M274="Software Idiem",C274="IN",G274=3),((('BLAZE SHIELD II'!$H$14*('CALCULO MORTERO'!I274^2)+'BLAZE SHIELD II'!$H$15*'CALCULO MORTERO'!I274+'BLAZE SHIELD II'!$H$16)*LN(J274))+('BLAZE SHIELD II'!$H$17*('CALCULO MORTERO'!I274^2)+'BLAZE SHIELD II'!$H$18*'CALCULO MORTERO'!I274+'BLAZE SHIELD II'!$H$19)),0),0)+ROUND(IF(AND(L274="Cafco 400",M274="Software Idiem",C274="IN",G274=4),((('CAFCO 400 '!$H$7*(J274^4)+'CAFCO 400 '!$H$8*(J274^3)+'CAFCO 400 '!$H$9*(J274^2)+'CAFCO 400 '!$H$10*J274+'CAFCO 400 '!$H$11)*U274^2)+(('CAFCO 400 '!$H$12*(J274^3)+'CAFCO 400 '!$H$13*(J274^2)+'CAFCO 400 '!$H$14*J274+'CAFCO 400 '!$H$15)*U274)+('CAFCO 400 '!$H$16*(J274^2)+'CAFCO 400 '!$H$17*J274+'CAFCO 400 '!$H$18)),0)+IF(AND(L274="Cafco 400",M274="Software Idiem",C274="Cj"),(((('CAFCO 400 '!$D$7*LN(J274)+'CAFCO 400 '!$D$8)*U274^2)+(('CAFCO 400 '!$D$9*LN(J274)+'CAFCO 400 '!$D$10)*U274)+('CAFCO 400 '!$D$11*LN(J274)+'CAFCO 400 '!$D$12))),0)+IF(AND(L274="Cafco 400",M274="Software Idiem",C274="C"),((('CAFCO 400 '!$L$7*(J274^3)+'CAFCO 400 '!$L$8*(J274^2)+'CAFCO 400 '!$L$9*J274+'CAFCO 400 '!$L$10)*U274^2)+(('CAFCO 400 '!$L$11*(J274^3)+'CAFCO 400 '!$L$12*(J274^2)+'CAFCO 400 '!$L$13*J274+'CAFCO 400 '!$L$14)*U274)+('CAFCO 400 '!$L$15*LN(J274)+'CAFCO 400 '!$L$16)),0)+IF(AND(L274="Cafco 400",M274="Software Idiem",C274="L"),((('CAFCO 400 '!$L$7*(J274^3)+'CAFCO 400 '!$L$8*(J274^2)+'CAFCO 400 '!$L$9*J274+'CAFCO 400 '!$L$10)*U274^2)+(('CAFCO 400 '!$L$11*(J274^3)+'CAFCO 400 '!$L$12*(J274^2)+'CAFCO 400 '!$L$13*J274+'CAFCO 400 '!$L$14)*U274)+('CAFCO 400 '!$L$15*LN(J274)+'CAFCO 400 '!$L$16)),0)+IF(AND(L274="Cafco 400",M274="Software Idiem",C274="IN",G274=3),((('CAFCO 400 '!$D$23*(J274^2)+'CAFCO 400 '!$D$24*(J274)+'CAFCO 400 '!$D$25)*U274^2)+(('CAFCO 400 '!$D$26*(J274^2)+'CAFCO 400 '!$D$27*J274+'CAFCO 400 '!$D$28)*U274)+('CAFCO 400 '!$D$29*(J274^2)+'CAFCO 400 '!$D$30*J274+'CAFCO 400 '!$D$31)),0),0)+IF(AND(L274="Cafco 300",J274&gt;=95,J274&lt;=240,C274="Cj",I274=90),VLOOKUP(T274,'CAFCO 300 IDIEM TABLAS'!$B$4:$D$23,2,FALSE),0)+IF(AND(L274="Cafco 300",J274&gt;=95,J274&lt;=240,C274="Cj",I274=120),VLOOKUP(T274,'CAFCO 300 IDIEM TABLAS'!$B$4:$D$23,3,FALSE),0)+IF(AND(L274="Cafco 300",J274&gt;=95,J274&lt;=400,G274=3,C274="IN",I274=90),VLOOKUP(T274,'CAFCO 300 IDIEM TABLAS'!$F$4:$H$35,2,FALSE),0)+IF(AND(L274="Cafco 300",J274&gt;=95,J274&lt;=400,G274=3,C274="IN",I274=120),VLOOKUP(T274,'CAFCO 300 IDIEM TABLAS'!$F$4:$H$35,3,FALSE),0)+IF(AND(L274="Cafco 300",J274&gt;=95,J274&lt;=450,G274=4,C274="IN",I274=90),VLOOKUP(T274,'CAFCO 300 IDIEM TABLAS'!$J$4:$L$40,2,FALSE),0)+IF(AND(L274="Cafco 300",J274&gt;=95,J274&lt;=450,G274=4,C274="IN",I274=120),VLOOKUP(T274,'CAFCO 300 IDIEM TABLAS'!$J$4:$L$40,3,FALSE),0)+IF(AND(M274="Ensayo Idiem",L274="Cafco 400",C274="IN",G274=4,I274=90),VLOOKUP(T274,'CAFCO 400 ENSAYO'!$B$7:$D$43,2,FALSE),0)+IF(AND(M274="Ensayo Idiem",L274="Cafco 400",C274="IN",G274=4,I274=120),VLOOKUP(T274,'CAFCO 400 ENSAYO'!$B$7:$D$43,3,FALSE),0)</f>
        <v>0</v>
      </c>
      <c r="O274" s="96">
        <f t="shared" si="33"/>
        <v>0</v>
      </c>
      <c r="P274" s="95" t="str">
        <f t="shared" si="34"/>
        <v>N/A</v>
      </c>
      <c r="Q274" s="95" t="str">
        <f t="shared" si="35"/>
        <v>N/A</v>
      </c>
      <c r="R274" s="95" t="str">
        <f t="shared" si="36"/>
        <v>NO CERT.</v>
      </c>
      <c r="S274" s="95" t="e">
        <f t="shared" si="31"/>
        <v>#N/A</v>
      </c>
      <c r="T274" s="119" t="e">
        <f>+IF(J274=LOOKUP(J274,'CAFCO 300 IDIEM TABLAS'!$J$4:$J$40),'CALCULO MORTERO'!J274,MROUND('CALCULO MORTERO'!J274,10))</f>
        <v>#N/A</v>
      </c>
      <c r="U274" s="118">
        <f t="shared" si="32"/>
        <v>0</v>
      </c>
      <c r="Y274" s="4"/>
      <c r="Z274" s="4"/>
      <c r="AA274" s="4"/>
    </row>
    <row r="275" spans="1:27" x14ac:dyDescent="0.25">
      <c r="A275" s="118">
        <f>+CUBICACION!D269</f>
        <v>0</v>
      </c>
      <c r="B275" s="819">
        <f>+CUBICACION!E269</f>
        <v>0</v>
      </c>
      <c r="C275" s="675">
        <f>+CUBICACION!F269</f>
        <v>0</v>
      </c>
      <c r="D275" s="118"/>
      <c r="E275" s="118"/>
      <c r="F275" s="820"/>
      <c r="G275" s="675">
        <f>+CUBICACION!J269</f>
        <v>0</v>
      </c>
      <c r="H275" s="118"/>
      <c r="I275" s="821">
        <f>+CUBICACION!L269</f>
        <v>0</v>
      </c>
      <c r="J275" s="64">
        <f>+CUBICACION!M269</f>
        <v>0</v>
      </c>
      <c r="K275" s="822" t="str">
        <f>+CUBICACION!N269</f>
        <v/>
      </c>
      <c r="L275" s="118">
        <f>+CUBICACION!O269</f>
        <v>0</v>
      </c>
      <c r="M275" s="823">
        <f>+CUBICACION!P269</f>
        <v>0</v>
      </c>
      <c r="N275" s="902">
        <f>ROUND(IF(AND(L275="Blaze Shield II",M275="Software Idiem",C275="IN",G275=4),((('BLAZE SHIELD II'!$D$4*('CALCULO MORTERO'!I275^2)+'BLAZE SHIELD II'!$D$5*'CALCULO MORTERO'!I275+'BLAZE SHIELD II'!$D$6)*LN(J275))+('BLAZE SHIELD II'!$D$7*('CALCULO MORTERO'!I275^2)+'BLAZE SHIELD II'!$D$8*'CALCULO MORTERO'!I275+'BLAZE SHIELD II'!$D$9)),0)+IF(AND(L275="Blaze Shield II",M275="Software Idiem",C275="Cj"),((('BLAZE SHIELD II'!$H$4*('CALCULO MORTERO'!I275^2)+'BLAZE SHIELD II'!$H$5*'CALCULO MORTERO'!I275+'BLAZE SHIELD II'!$H$6)*LN(J275))+('BLAZE SHIELD II'!$H$7*('CALCULO MORTERO'!I275^2)+'BLAZE SHIELD II'!$H$8*'CALCULO MORTERO'!I275+'BLAZE SHIELD II'!$H$9)),0)+IF(AND(L275="Blaze Shield II",M275="Software Idiem",C275="C"),((('BLAZE SHIELD II'!$L$4*('CALCULO MORTERO'!I275^2)+'BLAZE SHIELD II'!$L$5*'CALCULO MORTERO'!I275+'BLAZE SHIELD II'!$L$6)*LN(J275))+('BLAZE SHIELD II'!$L$7*('CALCULO MORTERO'!I275^2)+'BLAZE SHIELD II'!$L$8*'CALCULO MORTERO'!I275+'BLAZE SHIELD II'!$L$9)),0)+IF(AND(L275="Blaze Shield II",M275="Software Idiem",C275="L"),((('BLAZE SHIELD II'!$L$4*('CALCULO MORTERO'!I275^2)+'BLAZE SHIELD II'!$L$5*'CALCULO MORTERO'!I275+'BLAZE SHIELD II'!$L$6)*LN(J275))+('BLAZE SHIELD II'!$L$7*('CALCULO MORTERO'!I275^2)+'BLAZE SHIELD II'!$L$8*'CALCULO MORTERO'!I275+'BLAZE SHIELD II'!$L$9)),0)+IF(AND(L275="Blaze Shield II",M275="Software Idiem",C275="IN",G275=3),((('BLAZE SHIELD II'!$H$14*('CALCULO MORTERO'!I275^2)+'BLAZE SHIELD II'!$H$15*'CALCULO MORTERO'!I275+'BLAZE SHIELD II'!$H$16)*LN(J275))+('BLAZE SHIELD II'!$H$17*('CALCULO MORTERO'!I275^2)+'BLAZE SHIELD II'!$H$18*'CALCULO MORTERO'!I275+'BLAZE SHIELD II'!$H$19)),0),0)+ROUND(IF(AND(L275="Cafco 400",M275="Software Idiem",C275="IN",G275=4),((('CAFCO 400 '!$H$7*(J275^4)+'CAFCO 400 '!$H$8*(J275^3)+'CAFCO 400 '!$H$9*(J275^2)+'CAFCO 400 '!$H$10*J275+'CAFCO 400 '!$H$11)*U275^2)+(('CAFCO 400 '!$H$12*(J275^3)+'CAFCO 400 '!$H$13*(J275^2)+'CAFCO 400 '!$H$14*J275+'CAFCO 400 '!$H$15)*U275)+('CAFCO 400 '!$H$16*(J275^2)+'CAFCO 400 '!$H$17*J275+'CAFCO 400 '!$H$18)),0)+IF(AND(L275="Cafco 400",M275="Software Idiem",C275="Cj"),(((('CAFCO 400 '!$D$7*LN(J275)+'CAFCO 400 '!$D$8)*U275^2)+(('CAFCO 400 '!$D$9*LN(J275)+'CAFCO 400 '!$D$10)*U275)+('CAFCO 400 '!$D$11*LN(J275)+'CAFCO 400 '!$D$12))),0)+IF(AND(L275="Cafco 400",M275="Software Idiem",C275="C"),((('CAFCO 400 '!$L$7*(J275^3)+'CAFCO 400 '!$L$8*(J275^2)+'CAFCO 400 '!$L$9*J275+'CAFCO 400 '!$L$10)*U275^2)+(('CAFCO 400 '!$L$11*(J275^3)+'CAFCO 400 '!$L$12*(J275^2)+'CAFCO 400 '!$L$13*J275+'CAFCO 400 '!$L$14)*U275)+('CAFCO 400 '!$L$15*LN(J275)+'CAFCO 400 '!$L$16)),0)+IF(AND(L275="Cafco 400",M275="Software Idiem",C275="L"),((('CAFCO 400 '!$L$7*(J275^3)+'CAFCO 400 '!$L$8*(J275^2)+'CAFCO 400 '!$L$9*J275+'CAFCO 400 '!$L$10)*U275^2)+(('CAFCO 400 '!$L$11*(J275^3)+'CAFCO 400 '!$L$12*(J275^2)+'CAFCO 400 '!$L$13*J275+'CAFCO 400 '!$L$14)*U275)+('CAFCO 400 '!$L$15*LN(J275)+'CAFCO 400 '!$L$16)),0)+IF(AND(L275="Cafco 400",M275="Software Idiem",C275="IN",G275=3),((('CAFCO 400 '!$D$23*(J275^2)+'CAFCO 400 '!$D$24*(J275)+'CAFCO 400 '!$D$25)*U275^2)+(('CAFCO 400 '!$D$26*(J275^2)+'CAFCO 400 '!$D$27*J275+'CAFCO 400 '!$D$28)*U275)+('CAFCO 400 '!$D$29*(J275^2)+'CAFCO 400 '!$D$30*J275+'CAFCO 400 '!$D$31)),0),0)+IF(AND(L275="Cafco 300",J275&gt;=95,J275&lt;=240,C275="Cj",I275=90),VLOOKUP(T275,'CAFCO 300 IDIEM TABLAS'!$B$4:$D$23,2,FALSE),0)+IF(AND(L275="Cafco 300",J275&gt;=95,J275&lt;=240,C275="Cj",I275=120),VLOOKUP(T275,'CAFCO 300 IDIEM TABLAS'!$B$4:$D$23,3,FALSE),0)+IF(AND(L275="Cafco 300",J275&gt;=95,J275&lt;=400,G275=3,C275="IN",I275=90),VLOOKUP(T275,'CAFCO 300 IDIEM TABLAS'!$F$4:$H$35,2,FALSE),0)+IF(AND(L275="Cafco 300",J275&gt;=95,J275&lt;=400,G275=3,C275="IN",I275=120),VLOOKUP(T275,'CAFCO 300 IDIEM TABLAS'!$F$4:$H$35,3,FALSE),0)+IF(AND(L275="Cafco 300",J275&gt;=95,J275&lt;=450,G275=4,C275="IN",I275=90),VLOOKUP(T275,'CAFCO 300 IDIEM TABLAS'!$J$4:$L$40,2,FALSE),0)+IF(AND(L275="Cafco 300",J275&gt;=95,J275&lt;=450,G275=4,C275="IN",I275=120),VLOOKUP(T275,'CAFCO 300 IDIEM TABLAS'!$J$4:$L$40,3,FALSE),0)+IF(AND(M275="Ensayo Idiem",L275="Cafco 400",C275="IN",G275=4,I275=90),VLOOKUP(T275,'CAFCO 400 ENSAYO'!$B$7:$D$43,2,FALSE),0)+IF(AND(M275="Ensayo Idiem",L275="Cafco 400",C275="IN",G275=4,I275=120),VLOOKUP(T275,'CAFCO 400 ENSAYO'!$B$7:$D$43,3,FALSE),0)</f>
        <v>0</v>
      </c>
      <c r="O275" s="96">
        <f t="shared" si="33"/>
        <v>0</v>
      </c>
      <c r="P275" s="95" t="str">
        <f t="shared" si="34"/>
        <v>N/A</v>
      </c>
      <c r="Q275" s="95" t="str">
        <f t="shared" si="35"/>
        <v>N/A</v>
      </c>
      <c r="R275" s="95" t="str">
        <f t="shared" si="36"/>
        <v>NO CERT.</v>
      </c>
      <c r="S275" s="95" t="e">
        <f t="shared" si="31"/>
        <v>#N/A</v>
      </c>
      <c r="T275" s="119" t="e">
        <f>+IF(J275=LOOKUP(J275,'CAFCO 300 IDIEM TABLAS'!$J$4:$J$40),'CALCULO MORTERO'!J275,MROUND('CALCULO MORTERO'!J275,10))</f>
        <v>#N/A</v>
      </c>
      <c r="U275" s="118">
        <f t="shared" si="32"/>
        <v>0</v>
      </c>
      <c r="Y275" s="4"/>
      <c r="Z275" s="4"/>
      <c r="AA275" s="4"/>
    </row>
    <row r="276" spans="1:27" ht="15.6" customHeight="1" x14ac:dyDescent="0.25">
      <c r="A276" s="118">
        <f>+CUBICACION!D270</f>
        <v>0</v>
      </c>
      <c r="B276" s="819">
        <f>+CUBICACION!E270</f>
        <v>0</v>
      </c>
      <c r="C276" s="675">
        <f>+CUBICACION!F270</f>
        <v>0</v>
      </c>
      <c r="D276" s="118"/>
      <c r="E276" s="118"/>
      <c r="F276" s="820"/>
      <c r="G276" s="675">
        <f>+CUBICACION!J270</f>
        <v>0</v>
      </c>
      <c r="H276" s="118"/>
      <c r="I276" s="821">
        <f>+CUBICACION!L270</f>
        <v>0</v>
      </c>
      <c r="J276" s="64">
        <f>+CUBICACION!M270</f>
        <v>0</v>
      </c>
      <c r="K276" s="822" t="str">
        <f>+CUBICACION!N270</f>
        <v/>
      </c>
      <c r="L276" s="118">
        <f>+CUBICACION!O270</f>
        <v>0</v>
      </c>
      <c r="M276" s="823">
        <f>+CUBICACION!P270</f>
        <v>0</v>
      </c>
      <c r="N276" s="902">
        <f>ROUND(IF(AND(L276="Blaze Shield II",M276="Software Idiem",C276="IN",G276=4),((('BLAZE SHIELD II'!$D$4*('CALCULO MORTERO'!I276^2)+'BLAZE SHIELD II'!$D$5*'CALCULO MORTERO'!I276+'BLAZE SHIELD II'!$D$6)*LN(J276))+('BLAZE SHIELD II'!$D$7*('CALCULO MORTERO'!I276^2)+'BLAZE SHIELD II'!$D$8*'CALCULO MORTERO'!I276+'BLAZE SHIELD II'!$D$9)),0)+IF(AND(L276="Blaze Shield II",M276="Software Idiem",C276="Cj"),((('BLAZE SHIELD II'!$H$4*('CALCULO MORTERO'!I276^2)+'BLAZE SHIELD II'!$H$5*'CALCULO MORTERO'!I276+'BLAZE SHIELD II'!$H$6)*LN(J276))+('BLAZE SHIELD II'!$H$7*('CALCULO MORTERO'!I276^2)+'BLAZE SHIELD II'!$H$8*'CALCULO MORTERO'!I276+'BLAZE SHIELD II'!$H$9)),0)+IF(AND(L276="Blaze Shield II",M276="Software Idiem",C276="C"),((('BLAZE SHIELD II'!$L$4*('CALCULO MORTERO'!I276^2)+'BLAZE SHIELD II'!$L$5*'CALCULO MORTERO'!I276+'BLAZE SHIELD II'!$L$6)*LN(J276))+('BLAZE SHIELD II'!$L$7*('CALCULO MORTERO'!I276^2)+'BLAZE SHIELD II'!$L$8*'CALCULO MORTERO'!I276+'BLAZE SHIELD II'!$L$9)),0)+IF(AND(L276="Blaze Shield II",M276="Software Idiem",C276="L"),((('BLAZE SHIELD II'!$L$4*('CALCULO MORTERO'!I276^2)+'BLAZE SHIELD II'!$L$5*'CALCULO MORTERO'!I276+'BLAZE SHIELD II'!$L$6)*LN(J276))+('BLAZE SHIELD II'!$L$7*('CALCULO MORTERO'!I276^2)+'BLAZE SHIELD II'!$L$8*'CALCULO MORTERO'!I276+'BLAZE SHIELD II'!$L$9)),0)+IF(AND(L276="Blaze Shield II",M276="Software Idiem",C276="IN",G276=3),((('BLAZE SHIELD II'!$H$14*('CALCULO MORTERO'!I276^2)+'BLAZE SHIELD II'!$H$15*'CALCULO MORTERO'!I276+'BLAZE SHIELD II'!$H$16)*LN(J276))+('BLAZE SHIELD II'!$H$17*('CALCULO MORTERO'!I276^2)+'BLAZE SHIELD II'!$H$18*'CALCULO MORTERO'!I276+'BLAZE SHIELD II'!$H$19)),0),0)+ROUND(IF(AND(L276="Cafco 400",M276="Software Idiem",C276="IN",G276=4),((('CAFCO 400 '!$H$7*(J276^4)+'CAFCO 400 '!$H$8*(J276^3)+'CAFCO 400 '!$H$9*(J276^2)+'CAFCO 400 '!$H$10*J276+'CAFCO 400 '!$H$11)*U276^2)+(('CAFCO 400 '!$H$12*(J276^3)+'CAFCO 400 '!$H$13*(J276^2)+'CAFCO 400 '!$H$14*J276+'CAFCO 400 '!$H$15)*U276)+('CAFCO 400 '!$H$16*(J276^2)+'CAFCO 400 '!$H$17*J276+'CAFCO 400 '!$H$18)),0)+IF(AND(L276="Cafco 400",M276="Software Idiem",C276="Cj"),(((('CAFCO 400 '!$D$7*LN(J276)+'CAFCO 400 '!$D$8)*U276^2)+(('CAFCO 400 '!$D$9*LN(J276)+'CAFCO 400 '!$D$10)*U276)+('CAFCO 400 '!$D$11*LN(J276)+'CAFCO 400 '!$D$12))),0)+IF(AND(L276="Cafco 400",M276="Software Idiem",C276="C"),((('CAFCO 400 '!$L$7*(J276^3)+'CAFCO 400 '!$L$8*(J276^2)+'CAFCO 400 '!$L$9*J276+'CAFCO 400 '!$L$10)*U276^2)+(('CAFCO 400 '!$L$11*(J276^3)+'CAFCO 400 '!$L$12*(J276^2)+'CAFCO 400 '!$L$13*J276+'CAFCO 400 '!$L$14)*U276)+('CAFCO 400 '!$L$15*LN(J276)+'CAFCO 400 '!$L$16)),0)+IF(AND(L276="Cafco 400",M276="Software Idiem",C276="L"),((('CAFCO 400 '!$L$7*(J276^3)+'CAFCO 400 '!$L$8*(J276^2)+'CAFCO 400 '!$L$9*J276+'CAFCO 400 '!$L$10)*U276^2)+(('CAFCO 400 '!$L$11*(J276^3)+'CAFCO 400 '!$L$12*(J276^2)+'CAFCO 400 '!$L$13*J276+'CAFCO 400 '!$L$14)*U276)+('CAFCO 400 '!$L$15*LN(J276)+'CAFCO 400 '!$L$16)),0)+IF(AND(L276="Cafco 400",M276="Software Idiem",C276="IN",G276=3),((('CAFCO 400 '!$D$23*(J276^2)+'CAFCO 400 '!$D$24*(J276)+'CAFCO 400 '!$D$25)*U276^2)+(('CAFCO 400 '!$D$26*(J276^2)+'CAFCO 400 '!$D$27*J276+'CAFCO 400 '!$D$28)*U276)+('CAFCO 400 '!$D$29*(J276^2)+'CAFCO 400 '!$D$30*J276+'CAFCO 400 '!$D$31)),0),0)+IF(AND(L276="Cafco 300",J276&gt;=95,J276&lt;=240,C276="Cj",I276=90),VLOOKUP(T276,'CAFCO 300 IDIEM TABLAS'!$B$4:$D$23,2,FALSE),0)+IF(AND(L276="Cafco 300",J276&gt;=95,J276&lt;=240,C276="Cj",I276=120),VLOOKUP(T276,'CAFCO 300 IDIEM TABLAS'!$B$4:$D$23,3,FALSE),0)+IF(AND(L276="Cafco 300",J276&gt;=95,J276&lt;=400,G276=3,C276="IN",I276=90),VLOOKUP(T276,'CAFCO 300 IDIEM TABLAS'!$F$4:$H$35,2,FALSE),0)+IF(AND(L276="Cafco 300",J276&gt;=95,J276&lt;=400,G276=3,C276="IN",I276=120),VLOOKUP(T276,'CAFCO 300 IDIEM TABLAS'!$F$4:$H$35,3,FALSE),0)+IF(AND(L276="Cafco 300",J276&gt;=95,J276&lt;=450,G276=4,C276="IN",I276=90),VLOOKUP(T276,'CAFCO 300 IDIEM TABLAS'!$J$4:$L$40,2,FALSE),0)+IF(AND(L276="Cafco 300",J276&gt;=95,J276&lt;=450,G276=4,C276="IN",I276=120),VLOOKUP(T276,'CAFCO 300 IDIEM TABLAS'!$J$4:$L$40,3,FALSE),0)+IF(AND(M276="Ensayo Idiem",L276="Cafco 400",C276="IN",G276=4,I276=90),VLOOKUP(T276,'CAFCO 400 ENSAYO'!$B$7:$D$43,2,FALSE),0)+IF(AND(M276="Ensayo Idiem",L276="Cafco 400",C276="IN",G276=4,I276=120),VLOOKUP(T276,'CAFCO 400 ENSAYO'!$B$7:$D$43,3,FALSE),0)</f>
        <v>0</v>
      </c>
      <c r="O276" s="96">
        <f t="shared" si="33"/>
        <v>0</v>
      </c>
      <c r="P276" s="95" t="str">
        <f t="shared" si="34"/>
        <v>N/A</v>
      </c>
      <c r="Q276" s="95" t="str">
        <f t="shared" si="35"/>
        <v>N/A</v>
      </c>
      <c r="R276" s="95" t="str">
        <f t="shared" si="36"/>
        <v>NO CERT.</v>
      </c>
      <c r="S276" s="95" t="e">
        <f t="shared" si="31"/>
        <v>#N/A</v>
      </c>
      <c r="T276" s="119" t="e">
        <f>+IF(J276=LOOKUP(J276,'CAFCO 300 IDIEM TABLAS'!$J$4:$J$40),'CALCULO MORTERO'!J276,MROUND('CALCULO MORTERO'!J276,10))</f>
        <v>#N/A</v>
      </c>
      <c r="U276" s="118">
        <f t="shared" si="32"/>
        <v>0</v>
      </c>
      <c r="Y276" s="4"/>
      <c r="Z276" s="4"/>
      <c r="AA276" s="4"/>
    </row>
    <row r="277" spans="1:27" x14ac:dyDescent="0.25">
      <c r="A277" s="118">
        <f>+CUBICACION!D271</f>
        <v>0</v>
      </c>
      <c r="B277" s="819">
        <f>+CUBICACION!E271</f>
        <v>0</v>
      </c>
      <c r="C277" s="675">
        <f>+CUBICACION!F271</f>
        <v>0</v>
      </c>
      <c r="D277" s="118"/>
      <c r="E277" s="118"/>
      <c r="F277" s="820"/>
      <c r="G277" s="675">
        <f>+CUBICACION!J271</f>
        <v>0</v>
      </c>
      <c r="H277" s="118"/>
      <c r="I277" s="821">
        <f>+CUBICACION!L271</f>
        <v>0</v>
      </c>
      <c r="J277" s="64">
        <f>+CUBICACION!M271</f>
        <v>0</v>
      </c>
      <c r="K277" s="822" t="str">
        <f>+CUBICACION!N271</f>
        <v/>
      </c>
      <c r="L277" s="118">
        <f>+CUBICACION!O271</f>
        <v>0</v>
      </c>
      <c r="M277" s="823">
        <f>+CUBICACION!P271</f>
        <v>0</v>
      </c>
      <c r="N277" s="902">
        <f>ROUND(IF(AND(L277="Blaze Shield II",M277="Software Idiem",C277="IN",G277=4),((('BLAZE SHIELD II'!$D$4*('CALCULO MORTERO'!I277^2)+'BLAZE SHIELD II'!$D$5*'CALCULO MORTERO'!I277+'BLAZE SHIELD II'!$D$6)*LN(J277))+('BLAZE SHIELD II'!$D$7*('CALCULO MORTERO'!I277^2)+'BLAZE SHIELD II'!$D$8*'CALCULO MORTERO'!I277+'BLAZE SHIELD II'!$D$9)),0)+IF(AND(L277="Blaze Shield II",M277="Software Idiem",C277="Cj"),((('BLAZE SHIELD II'!$H$4*('CALCULO MORTERO'!I277^2)+'BLAZE SHIELD II'!$H$5*'CALCULO MORTERO'!I277+'BLAZE SHIELD II'!$H$6)*LN(J277))+('BLAZE SHIELD II'!$H$7*('CALCULO MORTERO'!I277^2)+'BLAZE SHIELD II'!$H$8*'CALCULO MORTERO'!I277+'BLAZE SHIELD II'!$H$9)),0)+IF(AND(L277="Blaze Shield II",M277="Software Idiem",C277="C"),((('BLAZE SHIELD II'!$L$4*('CALCULO MORTERO'!I277^2)+'BLAZE SHIELD II'!$L$5*'CALCULO MORTERO'!I277+'BLAZE SHIELD II'!$L$6)*LN(J277))+('BLAZE SHIELD II'!$L$7*('CALCULO MORTERO'!I277^2)+'BLAZE SHIELD II'!$L$8*'CALCULO MORTERO'!I277+'BLAZE SHIELD II'!$L$9)),0)+IF(AND(L277="Blaze Shield II",M277="Software Idiem",C277="L"),((('BLAZE SHIELD II'!$L$4*('CALCULO MORTERO'!I277^2)+'BLAZE SHIELD II'!$L$5*'CALCULO MORTERO'!I277+'BLAZE SHIELD II'!$L$6)*LN(J277))+('BLAZE SHIELD II'!$L$7*('CALCULO MORTERO'!I277^2)+'BLAZE SHIELD II'!$L$8*'CALCULO MORTERO'!I277+'BLAZE SHIELD II'!$L$9)),0)+IF(AND(L277="Blaze Shield II",M277="Software Idiem",C277="IN",G277=3),((('BLAZE SHIELD II'!$H$14*('CALCULO MORTERO'!I277^2)+'BLAZE SHIELD II'!$H$15*'CALCULO MORTERO'!I277+'BLAZE SHIELD II'!$H$16)*LN(J277))+('BLAZE SHIELD II'!$H$17*('CALCULO MORTERO'!I277^2)+'BLAZE SHIELD II'!$H$18*'CALCULO MORTERO'!I277+'BLAZE SHIELD II'!$H$19)),0),0)+ROUND(IF(AND(L277="Cafco 400",M277="Software Idiem",C277="IN",G277=4),((('CAFCO 400 '!$H$7*(J277^4)+'CAFCO 400 '!$H$8*(J277^3)+'CAFCO 400 '!$H$9*(J277^2)+'CAFCO 400 '!$H$10*J277+'CAFCO 400 '!$H$11)*U277^2)+(('CAFCO 400 '!$H$12*(J277^3)+'CAFCO 400 '!$H$13*(J277^2)+'CAFCO 400 '!$H$14*J277+'CAFCO 400 '!$H$15)*U277)+('CAFCO 400 '!$H$16*(J277^2)+'CAFCO 400 '!$H$17*J277+'CAFCO 400 '!$H$18)),0)+IF(AND(L277="Cafco 400",M277="Software Idiem",C277="Cj"),(((('CAFCO 400 '!$D$7*LN(J277)+'CAFCO 400 '!$D$8)*U277^2)+(('CAFCO 400 '!$D$9*LN(J277)+'CAFCO 400 '!$D$10)*U277)+('CAFCO 400 '!$D$11*LN(J277)+'CAFCO 400 '!$D$12))),0)+IF(AND(L277="Cafco 400",M277="Software Idiem",C277="C"),((('CAFCO 400 '!$L$7*(J277^3)+'CAFCO 400 '!$L$8*(J277^2)+'CAFCO 400 '!$L$9*J277+'CAFCO 400 '!$L$10)*U277^2)+(('CAFCO 400 '!$L$11*(J277^3)+'CAFCO 400 '!$L$12*(J277^2)+'CAFCO 400 '!$L$13*J277+'CAFCO 400 '!$L$14)*U277)+('CAFCO 400 '!$L$15*LN(J277)+'CAFCO 400 '!$L$16)),0)+IF(AND(L277="Cafco 400",M277="Software Idiem",C277="L"),((('CAFCO 400 '!$L$7*(J277^3)+'CAFCO 400 '!$L$8*(J277^2)+'CAFCO 400 '!$L$9*J277+'CAFCO 400 '!$L$10)*U277^2)+(('CAFCO 400 '!$L$11*(J277^3)+'CAFCO 400 '!$L$12*(J277^2)+'CAFCO 400 '!$L$13*J277+'CAFCO 400 '!$L$14)*U277)+('CAFCO 400 '!$L$15*LN(J277)+'CAFCO 400 '!$L$16)),0)+IF(AND(L277="Cafco 400",M277="Software Idiem",C277="IN",G277=3),((('CAFCO 400 '!$D$23*(J277^2)+'CAFCO 400 '!$D$24*(J277)+'CAFCO 400 '!$D$25)*U277^2)+(('CAFCO 400 '!$D$26*(J277^2)+'CAFCO 400 '!$D$27*J277+'CAFCO 400 '!$D$28)*U277)+('CAFCO 400 '!$D$29*(J277^2)+'CAFCO 400 '!$D$30*J277+'CAFCO 400 '!$D$31)),0),0)+IF(AND(L277="Cafco 300",J277&gt;=95,J277&lt;=240,C277="Cj",I277=90),VLOOKUP(T277,'CAFCO 300 IDIEM TABLAS'!$B$4:$D$23,2,FALSE),0)+IF(AND(L277="Cafco 300",J277&gt;=95,J277&lt;=240,C277="Cj",I277=120),VLOOKUP(T277,'CAFCO 300 IDIEM TABLAS'!$B$4:$D$23,3,FALSE),0)+IF(AND(L277="Cafco 300",J277&gt;=95,J277&lt;=400,G277=3,C277="IN",I277=90),VLOOKUP(T277,'CAFCO 300 IDIEM TABLAS'!$F$4:$H$35,2,FALSE),0)+IF(AND(L277="Cafco 300",J277&gt;=95,J277&lt;=400,G277=3,C277="IN",I277=120),VLOOKUP(T277,'CAFCO 300 IDIEM TABLAS'!$F$4:$H$35,3,FALSE),0)+IF(AND(L277="Cafco 300",J277&gt;=95,J277&lt;=450,G277=4,C277="IN",I277=90),VLOOKUP(T277,'CAFCO 300 IDIEM TABLAS'!$J$4:$L$40,2,FALSE),0)+IF(AND(L277="Cafco 300",J277&gt;=95,J277&lt;=450,G277=4,C277="IN",I277=120),VLOOKUP(T277,'CAFCO 300 IDIEM TABLAS'!$J$4:$L$40,3,FALSE),0)+IF(AND(M277="Ensayo Idiem",L277="Cafco 400",C277="IN",G277=4,I277=90),VLOOKUP(T277,'CAFCO 400 ENSAYO'!$B$7:$D$43,2,FALSE),0)+IF(AND(M277="Ensayo Idiem",L277="Cafco 400",C277="IN",G277=4,I277=120),VLOOKUP(T277,'CAFCO 400 ENSAYO'!$B$7:$D$43,3,FALSE),0)</f>
        <v>0</v>
      </c>
      <c r="O277" s="96">
        <f t="shared" si="33"/>
        <v>0</v>
      </c>
      <c r="P277" s="95" t="str">
        <f t="shared" si="34"/>
        <v>N/A</v>
      </c>
      <c r="Q277" s="95" t="str">
        <f t="shared" si="35"/>
        <v>N/A</v>
      </c>
      <c r="R277" s="95" t="str">
        <f t="shared" si="36"/>
        <v>NO CERT.</v>
      </c>
      <c r="S277" s="95" t="e">
        <f t="shared" si="31"/>
        <v>#N/A</v>
      </c>
      <c r="T277" s="119" t="e">
        <f>+IF(J277=LOOKUP(J277,'CAFCO 300 IDIEM TABLAS'!$J$4:$J$40),'CALCULO MORTERO'!J277,MROUND('CALCULO MORTERO'!J277,10))</f>
        <v>#N/A</v>
      </c>
      <c r="U277" s="118">
        <f t="shared" si="32"/>
        <v>0</v>
      </c>
      <c r="Y277" s="4"/>
      <c r="Z277" s="4"/>
      <c r="AA277" s="4"/>
    </row>
    <row r="278" spans="1:27" ht="15.6" customHeight="1" x14ac:dyDescent="0.25">
      <c r="A278" s="118">
        <f>+CUBICACION!D272</f>
        <v>0</v>
      </c>
      <c r="B278" s="819">
        <f>+CUBICACION!E272</f>
        <v>0</v>
      </c>
      <c r="C278" s="675">
        <f>+CUBICACION!F272</f>
        <v>0</v>
      </c>
      <c r="D278" s="118"/>
      <c r="E278" s="118"/>
      <c r="F278" s="820"/>
      <c r="G278" s="675">
        <f>+CUBICACION!J272</f>
        <v>0</v>
      </c>
      <c r="H278" s="118"/>
      <c r="I278" s="821">
        <f>+CUBICACION!L272</f>
        <v>0</v>
      </c>
      <c r="J278" s="64">
        <f>+CUBICACION!M272</f>
        <v>0</v>
      </c>
      <c r="K278" s="822" t="str">
        <f>+CUBICACION!N272</f>
        <v/>
      </c>
      <c r="L278" s="118">
        <f>+CUBICACION!O272</f>
        <v>0</v>
      </c>
      <c r="M278" s="823">
        <f>+CUBICACION!P272</f>
        <v>0</v>
      </c>
      <c r="N278" s="902">
        <f>ROUND(IF(AND(L278="Blaze Shield II",M278="Software Idiem",C278="IN",G278=4),((('BLAZE SHIELD II'!$D$4*('CALCULO MORTERO'!I278^2)+'BLAZE SHIELD II'!$D$5*'CALCULO MORTERO'!I278+'BLAZE SHIELD II'!$D$6)*LN(J278))+('BLAZE SHIELD II'!$D$7*('CALCULO MORTERO'!I278^2)+'BLAZE SHIELD II'!$D$8*'CALCULO MORTERO'!I278+'BLAZE SHIELD II'!$D$9)),0)+IF(AND(L278="Blaze Shield II",M278="Software Idiem",C278="Cj"),((('BLAZE SHIELD II'!$H$4*('CALCULO MORTERO'!I278^2)+'BLAZE SHIELD II'!$H$5*'CALCULO MORTERO'!I278+'BLAZE SHIELD II'!$H$6)*LN(J278))+('BLAZE SHIELD II'!$H$7*('CALCULO MORTERO'!I278^2)+'BLAZE SHIELD II'!$H$8*'CALCULO MORTERO'!I278+'BLAZE SHIELD II'!$H$9)),0)+IF(AND(L278="Blaze Shield II",M278="Software Idiem",C278="C"),((('BLAZE SHIELD II'!$L$4*('CALCULO MORTERO'!I278^2)+'BLAZE SHIELD II'!$L$5*'CALCULO MORTERO'!I278+'BLAZE SHIELD II'!$L$6)*LN(J278))+('BLAZE SHIELD II'!$L$7*('CALCULO MORTERO'!I278^2)+'BLAZE SHIELD II'!$L$8*'CALCULO MORTERO'!I278+'BLAZE SHIELD II'!$L$9)),0)+IF(AND(L278="Blaze Shield II",M278="Software Idiem",C278="L"),((('BLAZE SHIELD II'!$L$4*('CALCULO MORTERO'!I278^2)+'BLAZE SHIELD II'!$L$5*'CALCULO MORTERO'!I278+'BLAZE SHIELD II'!$L$6)*LN(J278))+('BLAZE SHIELD II'!$L$7*('CALCULO MORTERO'!I278^2)+'BLAZE SHIELD II'!$L$8*'CALCULO MORTERO'!I278+'BLAZE SHIELD II'!$L$9)),0)+IF(AND(L278="Blaze Shield II",M278="Software Idiem",C278="IN",G278=3),((('BLAZE SHIELD II'!$H$14*('CALCULO MORTERO'!I278^2)+'BLAZE SHIELD II'!$H$15*'CALCULO MORTERO'!I278+'BLAZE SHIELD II'!$H$16)*LN(J278))+('BLAZE SHIELD II'!$H$17*('CALCULO MORTERO'!I278^2)+'BLAZE SHIELD II'!$H$18*'CALCULO MORTERO'!I278+'BLAZE SHIELD II'!$H$19)),0),0)+ROUND(IF(AND(L278="Cafco 400",M278="Software Idiem",C278="IN",G278=4),((('CAFCO 400 '!$H$7*(J278^4)+'CAFCO 400 '!$H$8*(J278^3)+'CAFCO 400 '!$H$9*(J278^2)+'CAFCO 400 '!$H$10*J278+'CAFCO 400 '!$H$11)*U278^2)+(('CAFCO 400 '!$H$12*(J278^3)+'CAFCO 400 '!$H$13*(J278^2)+'CAFCO 400 '!$H$14*J278+'CAFCO 400 '!$H$15)*U278)+('CAFCO 400 '!$H$16*(J278^2)+'CAFCO 400 '!$H$17*J278+'CAFCO 400 '!$H$18)),0)+IF(AND(L278="Cafco 400",M278="Software Idiem",C278="Cj"),(((('CAFCO 400 '!$D$7*LN(J278)+'CAFCO 400 '!$D$8)*U278^2)+(('CAFCO 400 '!$D$9*LN(J278)+'CAFCO 400 '!$D$10)*U278)+('CAFCO 400 '!$D$11*LN(J278)+'CAFCO 400 '!$D$12))),0)+IF(AND(L278="Cafco 400",M278="Software Idiem",C278="C"),((('CAFCO 400 '!$L$7*(J278^3)+'CAFCO 400 '!$L$8*(J278^2)+'CAFCO 400 '!$L$9*J278+'CAFCO 400 '!$L$10)*U278^2)+(('CAFCO 400 '!$L$11*(J278^3)+'CAFCO 400 '!$L$12*(J278^2)+'CAFCO 400 '!$L$13*J278+'CAFCO 400 '!$L$14)*U278)+('CAFCO 400 '!$L$15*LN(J278)+'CAFCO 400 '!$L$16)),0)+IF(AND(L278="Cafco 400",M278="Software Idiem",C278="L"),((('CAFCO 400 '!$L$7*(J278^3)+'CAFCO 400 '!$L$8*(J278^2)+'CAFCO 400 '!$L$9*J278+'CAFCO 400 '!$L$10)*U278^2)+(('CAFCO 400 '!$L$11*(J278^3)+'CAFCO 400 '!$L$12*(J278^2)+'CAFCO 400 '!$L$13*J278+'CAFCO 400 '!$L$14)*U278)+('CAFCO 400 '!$L$15*LN(J278)+'CAFCO 400 '!$L$16)),0)+IF(AND(L278="Cafco 400",M278="Software Idiem",C278="IN",G278=3),((('CAFCO 400 '!$D$23*(J278^2)+'CAFCO 400 '!$D$24*(J278)+'CAFCO 400 '!$D$25)*U278^2)+(('CAFCO 400 '!$D$26*(J278^2)+'CAFCO 400 '!$D$27*J278+'CAFCO 400 '!$D$28)*U278)+('CAFCO 400 '!$D$29*(J278^2)+'CAFCO 400 '!$D$30*J278+'CAFCO 400 '!$D$31)),0),0)+IF(AND(L278="Cafco 300",J278&gt;=95,J278&lt;=240,C278="Cj",I278=90),VLOOKUP(T278,'CAFCO 300 IDIEM TABLAS'!$B$4:$D$23,2,FALSE),0)+IF(AND(L278="Cafco 300",J278&gt;=95,J278&lt;=240,C278="Cj",I278=120),VLOOKUP(T278,'CAFCO 300 IDIEM TABLAS'!$B$4:$D$23,3,FALSE),0)+IF(AND(L278="Cafco 300",J278&gt;=95,J278&lt;=400,G278=3,C278="IN",I278=90),VLOOKUP(T278,'CAFCO 300 IDIEM TABLAS'!$F$4:$H$35,2,FALSE),0)+IF(AND(L278="Cafco 300",J278&gt;=95,J278&lt;=400,G278=3,C278="IN",I278=120),VLOOKUP(T278,'CAFCO 300 IDIEM TABLAS'!$F$4:$H$35,3,FALSE),0)+IF(AND(L278="Cafco 300",J278&gt;=95,J278&lt;=450,G278=4,C278="IN",I278=90),VLOOKUP(T278,'CAFCO 300 IDIEM TABLAS'!$J$4:$L$40,2,FALSE),0)+IF(AND(L278="Cafco 300",J278&gt;=95,J278&lt;=450,G278=4,C278="IN",I278=120),VLOOKUP(T278,'CAFCO 300 IDIEM TABLAS'!$J$4:$L$40,3,FALSE),0)+IF(AND(M278="Ensayo Idiem",L278="Cafco 400",C278="IN",G278=4,I278=90),VLOOKUP(T278,'CAFCO 400 ENSAYO'!$B$7:$D$43,2,FALSE),0)+IF(AND(M278="Ensayo Idiem",L278="Cafco 400",C278="IN",G278=4,I278=120),VLOOKUP(T278,'CAFCO 400 ENSAYO'!$B$7:$D$43,3,FALSE),0)</f>
        <v>0</v>
      </c>
      <c r="O278" s="96">
        <f t="shared" si="33"/>
        <v>0</v>
      </c>
      <c r="P278" s="95" t="str">
        <f t="shared" si="34"/>
        <v>N/A</v>
      </c>
      <c r="Q278" s="95" t="str">
        <f t="shared" si="35"/>
        <v>N/A</v>
      </c>
      <c r="R278" s="95" t="str">
        <f t="shared" si="36"/>
        <v>NO CERT.</v>
      </c>
      <c r="S278" s="95" t="e">
        <f t="shared" si="31"/>
        <v>#N/A</v>
      </c>
      <c r="T278" s="119" t="e">
        <f>+IF(J278=LOOKUP(J278,'CAFCO 300 IDIEM TABLAS'!$J$4:$J$40),'CALCULO MORTERO'!J278,MROUND('CALCULO MORTERO'!J278,10))</f>
        <v>#N/A</v>
      </c>
      <c r="U278" s="118">
        <f t="shared" si="32"/>
        <v>0</v>
      </c>
      <c r="Y278" s="4"/>
      <c r="Z278" s="4"/>
      <c r="AA278" s="4"/>
    </row>
    <row r="279" spans="1:27" x14ac:dyDescent="0.25">
      <c r="A279" s="118">
        <f>+CUBICACION!D273</f>
        <v>0</v>
      </c>
      <c r="B279" s="819">
        <f>+CUBICACION!E273</f>
        <v>0</v>
      </c>
      <c r="C279" s="675">
        <f>+CUBICACION!F273</f>
        <v>0</v>
      </c>
      <c r="D279" s="118"/>
      <c r="E279" s="118"/>
      <c r="F279" s="820"/>
      <c r="G279" s="675">
        <f>+CUBICACION!J273</f>
        <v>0</v>
      </c>
      <c r="H279" s="118"/>
      <c r="I279" s="821">
        <f>+CUBICACION!L273</f>
        <v>0</v>
      </c>
      <c r="J279" s="64">
        <f>+CUBICACION!M273</f>
        <v>0</v>
      </c>
      <c r="K279" s="822" t="str">
        <f>+CUBICACION!N273</f>
        <v/>
      </c>
      <c r="L279" s="118">
        <f>+CUBICACION!O273</f>
        <v>0</v>
      </c>
      <c r="M279" s="823">
        <f>+CUBICACION!P273</f>
        <v>0</v>
      </c>
      <c r="N279" s="902">
        <f>ROUND(IF(AND(L279="Blaze Shield II",M279="Software Idiem",C279="IN",G279=4),((('BLAZE SHIELD II'!$D$4*('CALCULO MORTERO'!I279^2)+'BLAZE SHIELD II'!$D$5*'CALCULO MORTERO'!I279+'BLAZE SHIELD II'!$D$6)*LN(J279))+('BLAZE SHIELD II'!$D$7*('CALCULO MORTERO'!I279^2)+'BLAZE SHIELD II'!$D$8*'CALCULO MORTERO'!I279+'BLAZE SHIELD II'!$D$9)),0)+IF(AND(L279="Blaze Shield II",M279="Software Idiem",C279="Cj"),((('BLAZE SHIELD II'!$H$4*('CALCULO MORTERO'!I279^2)+'BLAZE SHIELD II'!$H$5*'CALCULO MORTERO'!I279+'BLAZE SHIELD II'!$H$6)*LN(J279))+('BLAZE SHIELD II'!$H$7*('CALCULO MORTERO'!I279^2)+'BLAZE SHIELD II'!$H$8*'CALCULO MORTERO'!I279+'BLAZE SHIELD II'!$H$9)),0)+IF(AND(L279="Blaze Shield II",M279="Software Idiem",C279="C"),((('BLAZE SHIELD II'!$L$4*('CALCULO MORTERO'!I279^2)+'BLAZE SHIELD II'!$L$5*'CALCULO MORTERO'!I279+'BLAZE SHIELD II'!$L$6)*LN(J279))+('BLAZE SHIELD II'!$L$7*('CALCULO MORTERO'!I279^2)+'BLAZE SHIELD II'!$L$8*'CALCULO MORTERO'!I279+'BLAZE SHIELD II'!$L$9)),0)+IF(AND(L279="Blaze Shield II",M279="Software Idiem",C279="L"),((('BLAZE SHIELD II'!$L$4*('CALCULO MORTERO'!I279^2)+'BLAZE SHIELD II'!$L$5*'CALCULO MORTERO'!I279+'BLAZE SHIELD II'!$L$6)*LN(J279))+('BLAZE SHIELD II'!$L$7*('CALCULO MORTERO'!I279^2)+'BLAZE SHIELD II'!$L$8*'CALCULO MORTERO'!I279+'BLAZE SHIELD II'!$L$9)),0)+IF(AND(L279="Blaze Shield II",M279="Software Idiem",C279="IN",G279=3),((('BLAZE SHIELD II'!$H$14*('CALCULO MORTERO'!I279^2)+'BLAZE SHIELD II'!$H$15*'CALCULO MORTERO'!I279+'BLAZE SHIELD II'!$H$16)*LN(J279))+('BLAZE SHIELD II'!$H$17*('CALCULO MORTERO'!I279^2)+'BLAZE SHIELD II'!$H$18*'CALCULO MORTERO'!I279+'BLAZE SHIELD II'!$H$19)),0),0)+ROUND(IF(AND(L279="Cafco 400",M279="Software Idiem",C279="IN",G279=4),((('CAFCO 400 '!$H$7*(J279^4)+'CAFCO 400 '!$H$8*(J279^3)+'CAFCO 400 '!$H$9*(J279^2)+'CAFCO 400 '!$H$10*J279+'CAFCO 400 '!$H$11)*U279^2)+(('CAFCO 400 '!$H$12*(J279^3)+'CAFCO 400 '!$H$13*(J279^2)+'CAFCO 400 '!$H$14*J279+'CAFCO 400 '!$H$15)*U279)+('CAFCO 400 '!$H$16*(J279^2)+'CAFCO 400 '!$H$17*J279+'CAFCO 400 '!$H$18)),0)+IF(AND(L279="Cafco 400",M279="Software Idiem",C279="Cj"),(((('CAFCO 400 '!$D$7*LN(J279)+'CAFCO 400 '!$D$8)*U279^2)+(('CAFCO 400 '!$D$9*LN(J279)+'CAFCO 400 '!$D$10)*U279)+('CAFCO 400 '!$D$11*LN(J279)+'CAFCO 400 '!$D$12))),0)+IF(AND(L279="Cafco 400",M279="Software Idiem",C279="C"),((('CAFCO 400 '!$L$7*(J279^3)+'CAFCO 400 '!$L$8*(J279^2)+'CAFCO 400 '!$L$9*J279+'CAFCO 400 '!$L$10)*U279^2)+(('CAFCO 400 '!$L$11*(J279^3)+'CAFCO 400 '!$L$12*(J279^2)+'CAFCO 400 '!$L$13*J279+'CAFCO 400 '!$L$14)*U279)+('CAFCO 400 '!$L$15*LN(J279)+'CAFCO 400 '!$L$16)),0)+IF(AND(L279="Cafco 400",M279="Software Idiem",C279="L"),((('CAFCO 400 '!$L$7*(J279^3)+'CAFCO 400 '!$L$8*(J279^2)+'CAFCO 400 '!$L$9*J279+'CAFCO 400 '!$L$10)*U279^2)+(('CAFCO 400 '!$L$11*(J279^3)+'CAFCO 400 '!$L$12*(J279^2)+'CAFCO 400 '!$L$13*J279+'CAFCO 400 '!$L$14)*U279)+('CAFCO 400 '!$L$15*LN(J279)+'CAFCO 400 '!$L$16)),0)+IF(AND(L279="Cafco 400",M279="Software Idiem",C279="IN",G279=3),((('CAFCO 400 '!$D$23*(J279^2)+'CAFCO 400 '!$D$24*(J279)+'CAFCO 400 '!$D$25)*U279^2)+(('CAFCO 400 '!$D$26*(J279^2)+'CAFCO 400 '!$D$27*J279+'CAFCO 400 '!$D$28)*U279)+('CAFCO 400 '!$D$29*(J279^2)+'CAFCO 400 '!$D$30*J279+'CAFCO 400 '!$D$31)),0),0)+IF(AND(L279="Cafco 300",J279&gt;=95,J279&lt;=240,C279="Cj",I279=90),VLOOKUP(T279,'CAFCO 300 IDIEM TABLAS'!$B$4:$D$23,2,FALSE),0)+IF(AND(L279="Cafco 300",J279&gt;=95,J279&lt;=240,C279="Cj",I279=120),VLOOKUP(T279,'CAFCO 300 IDIEM TABLAS'!$B$4:$D$23,3,FALSE),0)+IF(AND(L279="Cafco 300",J279&gt;=95,J279&lt;=400,G279=3,C279="IN",I279=90),VLOOKUP(T279,'CAFCO 300 IDIEM TABLAS'!$F$4:$H$35,2,FALSE),0)+IF(AND(L279="Cafco 300",J279&gt;=95,J279&lt;=400,G279=3,C279="IN",I279=120),VLOOKUP(T279,'CAFCO 300 IDIEM TABLAS'!$F$4:$H$35,3,FALSE),0)+IF(AND(L279="Cafco 300",J279&gt;=95,J279&lt;=450,G279=4,C279="IN",I279=90),VLOOKUP(T279,'CAFCO 300 IDIEM TABLAS'!$J$4:$L$40,2,FALSE),0)+IF(AND(L279="Cafco 300",J279&gt;=95,J279&lt;=450,G279=4,C279="IN",I279=120),VLOOKUP(T279,'CAFCO 300 IDIEM TABLAS'!$J$4:$L$40,3,FALSE),0)+IF(AND(M279="Ensayo Idiem",L279="Cafco 400",C279="IN",G279=4,I279=90),VLOOKUP(T279,'CAFCO 400 ENSAYO'!$B$7:$D$43,2,FALSE),0)+IF(AND(M279="Ensayo Idiem",L279="Cafco 400",C279="IN",G279=4,I279=120),VLOOKUP(T279,'CAFCO 400 ENSAYO'!$B$7:$D$43,3,FALSE),0)</f>
        <v>0</v>
      </c>
      <c r="O279" s="96">
        <f t="shared" si="33"/>
        <v>0</v>
      </c>
      <c r="P279" s="95" t="str">
        <f t="shared" si="34"/>
        <v>N/A</v>
      </c>
      <c r="Q279" s="95" t="str">
        <f t="shared" si="35"/>
        <v>N/A</v>
      </c>
      <c r="R279" s="95" t="str">
        <f t="shared" si="36"/>
        <v>NO CERT.</v>
      </c>
      <c r="S279" s="95" t="e">
        <f t="shared" si="31"/>
        <v>#N/A</v>
      </c>
      <c r="T279" s="119" t="e">
        <f>+IF(J279=LOOKUP(J279,'CAFCO 300 IDIEM TABLAS'!$J$4:$J$40),'CALCULO MORTERO'!J279,MROUND('CALCULO MORTERO'!J279,10))</f>
        <v>#N/A</v>
      </c>
      <c r="U279" s="118">
        <f t="shared" si="32"/>
        <v>0</v>
      </c>
      <c r="Y279" s="4"/>
      <c r="Z279" s="4"/>
      <c r="AA279" s="4"/>
    </row>
    <row r="280" spans="1:27" ht="15.6" customHeight="1" x14ac:dyDescent="0.25">
      <c r="A280" s="118">
        <f>+CUBICACION!D274</f>
        <v>0</v>
      </c>
      <c r="B280" s="819">
        <f>+CUBICACION!E274</f>
        <v>0</v>
      </c>
      <c r="C280" s="675">
        <f>+CUBICACION!F274</f>
        <v>0</v>
      </c>
      <c r="D280" s="118"/>
      <c r="E280" s="118"/>
      <c r="F280" s="820"/>
      <c r="G280" s="675">
        <f>+CUBICACION!J274</f>
        <v>0</v>
      </c>
      <c r="H280" s="118"/>
      <c r="I280" s="821">
        <f>+CUBICACION!L274</f>
        <v>0</v>
      </c>
      <c r="J280" s="64">
        <f>+CUBICACION!M274</f>
        <v>0</v>
      </c>
      <c r="K280" s="822" t="str">
        <f>+CUBICACION!N274</f>
        <v/>
      </c>
      <c r="L280" s="118">
        <f>+CUBICACION!O274</f>
        <v>0</v>
      </c>
      <c r="M280" s="823">
        <f>+CUBICACION!P274</f>
        <v>0</v>
      </c>
      <c r="N280" s="902">
        <f>ROUND(IF(AND(L280="Blaze Shield II",M280="Software Idiem",C280="IN",G280=4),((('BLAZE SHIELD II'!$D$4*('CALCULO MORTERO'!I280^2)+'BLAZE SHIELD II'!$D$5*'CALCULO MORTERO'!I280+'BLAZE SHIELD II'!$D$6)*LN(J280))+('BLAZE SHIELD II'!$D$7*('CALCULO MORTERO'!I280^2)+'BLAZE SHIELD II'!$D$8*'CALCULO MORTERO'!I280+'BLAZE SHIELD II'!$D$9)),0)+IF(AND(L280="Blaze Shield II",M280="Software Idiem",C280="Cj"),((('BLAZE SHIELD II'!$H$4*('CALCULO MORTERO'!I280^2)+'BLAZE SHIELD II'!$H$5*'CALCULO MORTERO'!I280+'BLAZE SHIELD II'!$H$6)*LN(J280))+('BLAZE SHIELD II'!$H$7*('CALCULO MORTERO'!I280^2)+'BLAZE SHIELD II'!$H$8*'CALCULO MORTERO'!I280+'BLAZE SHIELD II'!$H$9)),0)+IF(AND(L280="Blaze Shield II",M280="Software Idiem",C280="C"),((('BLAZE SHIELD II'!$L$4*('CALCULO MORTERO'!I280^2)+'BLAZE SHIELD II'!$L$5*'CALCULO MORTERO'!I280+'BLAZE SHIELD II'!$L$6)*LN(J280))+('BLAZE SHIELD II'!$L$7*('CALCULO MORTERO'!I280^2)+'BLAZE SHIELD II'!$L$8*'CALCULO MORTERO'!I280+'BLAZE SHIELD II'!$L$9)),0)+IF(AND(L280="Blaze Shield II",M280="Software Idiem",C280="L"),((('BLAZE SHIELD II'!$L$4*('CALCULO MORTERO'!I280^2)+'BLAZE SHIELD II'!$L$5*'CALCULO MORTERO'!I280+'BLAZE SHIELD II'!$L$6)*LN(J280))+('BLAZE SHIELD II'!$L$7*('CALCULO MORTERO'!I280^2)+'BLAZE SHIELD II'!$L$8*'CALCULO MORTERO'!I280+'BLAZE SHIELD II'!$L$9)),0)+IF(AND(L280="Blaze Shield II",M280="Software Idiem",C280="IN",G280=3),((('BLAZE SHIELD II'!$H$14*('CALCULO MORTERO'!I280^2)+'BLAZE SHIELD II'!$H$15*'CALCULO MORTERO'!I280+'BLAZE SHIELD II'!$H$16)*LN(J280))+('BLAZE SHIELD II'!$H$17*('CALCULO MORTERO'!I280^2)+'BLAZE SHIELD II'!$H$18*'CALCULO MORTERO'!I280+'BLAZE SHIELD II'!$H$19)),0),0)+ROUND(IF(AND(L280="Cafco 400",M280="Software Idiem",C280="IN",G280=4),((('CAFCO 400 '!$H$7*(J280^4)+'CAFCO 400 '!$H$8*(J280^3)+'CAFCO 400 '!$H$9*(J280^2)+'CAFCO 400 '!$H$10*J280+'CAFCO 400 '!$H$11)*U280^2)+(('CAFCO 400 '!$H$12*(J280^3)+'CAFCO 400 '!$H$13*(J280^2)+'CAFCO 400 '!$H$14*J280+'CAFCO 400 '!$H$15)*U280)+('CAFCO 400 '!$H$16*(J280^2)+'CAFCO 400 '!$H$17*J280+'CAFCO 400 '!$H$18)),0)+IF(AND(L280="Cafco 400",M280="Software Idiem",C280="Cj"),(((('CAFCO 400 '!$D$7*LN(J280)+'CAFCO 400 '!$D$8)*U280^2)+(('CAFCO 400 '!$D$9*LN(J280)+'CAFCO 400 '!$D$10)*U280)+('CAFCO 400 '!$D$11*LN(J280)+'CAFCO 400 '!$D$12))),0)+IF(AND(L280="Cafco 400",M280="Software Idiem",C280="C"),((('CAFCO 400 '!$L$7*(J280^3)+'CAFCO 400 '!$L$8*(J280^2)+'CAFCO 400 '!$L$9*J280+'CAFCO 400 '!$L$10)*U280^2)+(('CAFCO 400 '!$L$11*(J280^3)+'CAFCO 400 '!$L$12*(J280^2)+'CAFCO 400 '!$L$13*J280+'CAFCO 400 '!$L$14)*U280)+('CAFCO 400 '!$L$15*LN(J280)+'CAFCO 400 '!$L$16)),0)+IF(AND(L280="Cafco 400",M280="Software Idiem",C280="L"),((('CAFCO 400 '!$L$7*(J280^3)+'CAFCO 400 '!$L$8*(J280^2)+'CAFCO 400 '!$L$9*J280+'CAFCO 400 '!$L$10)*U280^2)+(('CAFCO 400 '!$L$11*(J280^3)+'CAFCO 400 '!$L$12*(J280^2)+'CAFCO 400 '!$L$13*J280+'CAFCO 400 '!$L$14)*U280)+('CAFCO 400 '!$L$15*LN(J280)+'CAFCO 400 '!$L$16)),0)+IF(AND(L280="Cafco 400",M280="Software Idiem",C280="IN",G280=3),((('CAFCO 400 '!$D$23*(J280^2)+'CAFCO 400 '!$D$24*(J280)+'CAFCO 400 '!$D$25)*U280^2)+(('CAFCO 400 '!$D$26*(J280^2)+'CAFCO 400 '!$D$27*J280+'CAFCO 400 '!$D$28)*U280)+('CAFCO 400 '!$D$29*(J280^2)+'CAFCO 400 '!$D$30*J280+'CAFCO 400 '!$D$31)),0),0)+IF(AND(L280="Cafco 300",J280&gt;=95,J280&lt;=240,C280="Cj",I280=90),VLOOKUP(T280,'CAFCO 300 IDIEM TABLAS'!$B$4:$D$23,2,FALSE),0)+IF(AND(L280="Cafco 300",J280&gt;=95,J280&lt;=240,C280="Cj",I280=120),VLOOKUP(T280,'CAFCO 300 IDIEM TABLAS'!$B$4:$D$23,3,FALSE),0)+IF(AND(L280="Cafco 300",J280&gt;=95,J280&lt;=400,G280=3,C280="IN",I280=90),VLOOKUP(T280,'CAFCO 300 IDIEM TABLAS'!$F$4:$H$35,2,FALSE),0)+IF(AND(L280="Cafco 300",J280&gt;=95,J280&lt;=400,G280=3,C280="IN",I280=120),VLOOKUP(T280,'CAFCO 300 IDIEM TABLAS'!$F$4:$H$35,3,FALSE),0)+IF(AND(L280="Cafco 300",J280&gt;=95,J280&lt;=450,G280=4,C280="IN",I280=90),VLOOKUP(T280,'CAFCO 300 IDIEM TABLAS'!$J$4:$L$40,2,FALSE),0)+IF(AND(L280="Cafco 300",J280&gt;=95,J280&lt;=450,G280=4,C280="IN",I280=120),VLOOKUP(T280,'CAFCO 300 IDIEM TABLAS'!$J$4:$L$40,3,FALSE),0)+IF(AND(M280="Ensayo Idiem",L280="Cafco 400",C280="IN",G280=4,I280=90),VLOOKUP(T280,'CAFCO 400 ENSAYO'!$B$7:$D$43,2,FALSE),0)+IF(AND(M280="Ensayo Idiem",L280="Cafco 400",C280="IN",G280=4,I280=120),VLOOKUP(T280,'CAFCO 400 ENSAYO'!$B$7:$D$43,3,FALSE),0)</f>
        <v>0</v>
      </c>
      <c r="O280" s="96">
        <f t="shared" si="33"/>
        <v>0</v>
      </c>
      <c r="P280" s="95" t="str">
        <f t="shared" si="34"/>
        <v>N/A</v>
      </c>
      <c r="Q280" s="95" t="str">
        <f t="shared" si="35"/>
        <v>N/A</v>
      </c>
      <c r="R280" s="95" t="str">
        <f t="shared" si="36"/>
        <v>NO CERT.</v>
      </c>
      <c r="S280" s="95" t="e">
        <f t="shared" si="31"/>
        <v>#N/A</v>
      </c>
      <c r="T280" s="119" t="e">
        <f>+IF(J280=LOOKUP(J280,'CAFCO 300 IDIEM TABLAS'!$J$4:$J$40),'CALCULO MORTERO'!J280,MROUND('CALCULO MORTERO'!J280,10))</f>
        <v>#N/A</v>
      </c>
      <c r="U280" s="118">
        <f t="shared" si="32"/>
        <v>0</v>
      </c>
      <c r="Y280" s="4"/>
      <c r="Z280" s="4"/>
      <c r="AA280" s="4"/>
    </row>
    <row r="281" spans="1:27" x14ac:dyDescent="0.25">
      <c r="A281" s="118">
        <f>+CUBICACION!D275</f>
        <v>0</v>
      </c>
      <c r="B281" s="819">
        <f>+CUBICACION!E275</f>
        <v>0</v>
      </c>
      <c r="C281" s="675">
        <f>+CUBICACION!F275</f>
        <v>0</v>
      </c>
      <c r="D281" s="118"/>
      <c r="E281" s="118"/>
      <c r="F281" s="820"/>
      <c r="G281" s="675">
        <f>+CUBICACION!J275</f>
        <v>0</v>
      </c>
      <c r="H281" s="118"/>
      <c r="I281" s="821">
        <f>+CUBICACION!L275</f>
        <v>0</v>
      </c>
      <c r="J281" s="64">
        <f>+CUBICACION!M275</f>
        <v>0</v>
      </c>
      <c r="K281" s="822" t="str">
        <f>+CUBICACION!N275</f>
        <v/>
      </c>
      <c r="L281" s="118">
        <f>+CUBICACION!O275</f>
        <v>0</v>
      </c>
      <c r="M281" s="823">
        <f>+CUBICACION!P275</f>
        <v>0</v>
      </c>
      <c r="N281" s="902">
        <f>ROUND(IF(AND(L281="Blaze Shield II",M281="Software Idiem",C281="IN",G281=4),((('BLAZE SHIELD II'!$D$4*('CALCULO MORTERO'!I281^2)+'BLAZE SHIELD II'!$D$5*'CALCULO MORTERO'!I281+'BLAZE SHIELD II'!$D$6)*LN(J281))+('BLAZE SHIELD II'!$D$7*('CALCULO MORTERO'!I281^2)+'BLAZE SHIELD II'!$D$8*'CALCULO MORTERO'!I281+'BLAZE SHIELD II'!$D$9)),0)+IF(AND(L281="Blaze Shield II",M281="Software Idiem",C281="Cj"),((('BLAZE SHIELD II'!$H$4*('CALCULO MORTERO'!I281^2)+'BLAZE SHIELD II'!$H$5*'CALCULO MORTERO'!I281+'BLAZE SHIELD II'!$H$6)*LN(J281))+('BLAZE SHIELD II'!$H$7*('CALCULO MORTERO'!I281^2)+'BLAZE SHIELD II'!$H$8*'CALCULO MORTERO'!I281+'BLAZE SHIELD II'!$H$9)),0)+IF(AND(L281="Blaze Shield II",M281="Software Idiem",C281="C"),((('BLAZE SHIELD II'!$L$4*('CALCULO MORTERO'!I281^2)+'BLAZE SHIELD II'!$L$5*'CALCULO MORTERO'!I281+'BLAZE SHIELD II'!$L$6)*LN(J281))+('BLAZE SHIELD II'!$L$7*('CALCULO MORTERO'!I281^2)+'BLAZE SHIELD II'!$L$8*'CALCULO MORTERO'!I281+'BLAZE SHIELD II'!$L$9)),0)+IF(AND(L281="Blaze Shield II",M281="Software Idiem",C281="L"),((('BLAZE SHIELD II'!$L$4*('CALCULO MORTERO'!I281^2)+'BLAZE SHIELD II'!$L$5*'CALCULO MORTERO'!I281+'BLAZE SHIELD II'!$L$6)*LN(J281))+('BLAZE SHIELD II'!$L$7*('CALCULO MORTERO'!I281^2)+'BLAZE SHIELD II'!$L$8*'CALCULO MORTERO'!I281+'BLAZE SHIELD II'!$L$9)),0)+IF(AND(L281="Blaze Shield II",M281="Software Idiem",C281="IN",G281=3),((('BLAZE SHIELD II'!$H$14*('CALCULO MORTERO'!I281^2)+'BLAZE SHIELD II'!$H$15*'CALCULO MORTERO'!I281+'BLAZE SHIELD II'!$H$16)*LN(J281))+('BLAZE SHIELD II'!$H$17*('CALCULO MORTERO'!I281^2)+'BLAZE SHIELD II'!$H$18*'CALCULO MORTERO'!I281+'BLAZE SHIELD II'!$H$19)),0),0)+ROUND(IF(AND(L281="Cafco 400",M281="Software Idiem",C281="IN",G281=4),((('CAFCO 400 '!$H$7*(J281^4)+'CAFCO 400 '!$H$8*(J281^3)+'CAFCO 400 '!$H$9*(J281^2)+'CAFCO 400 '!$H$10*J281+'CAFCO 400 '!$H$11)*U281^2)+(('CAFCO 400 '!$H$12*(J281^3)+'CAFCO 400 '!$H$13*(J281^2)+'CAFCO 400 '!$H$14*J281+'CAFCO 400 '!$H$15)*U281)+('CAFCO 400 '!$H$16*(J281^2)+'CAFCO 400 '!$H$17*J281+'CAFCO 400 '!$H$18)),0)+IF(AND(L281="Cafco 400",M281="Software Idiem",C281="Cj"),(((('CAFCO 400 '!$D$7*LN(J281)+'CAFCO 400 '!$D$8)*U281^2)+(('CAFCO 400 '!$D$9*LN(J281)+'CAFCO 400 '!$D$10)*U281)+('CAFCO 400 '!$D$11*LN(J281)+'CAFCO 400 '!$D$12))),0)+IF(AND(L281="Cafco 400",M281="Software Idiem",C281="C"),((('CAFCO 400 '!$L$7*(J281^3)+'CAFCO 400 '!$L$8*(J281^2)+'CAFCO 400 '!$L$9*J281+'CAFCO 400 '!$L$10)*U281^2)+(('CAFCO 400 '!$L$11*(J281^3)+'CAFCO 400 '!$L$12*(J281^2)+'CAFCO 400 '!$L$13*J281+'CAFCO 400 '!$L$14)*U281)+('CAFCO 400 '!$L$15*LN(J281)+'CAFCO 400 '!$L$16)),0)+IF(AND(L281="Cafco 400",M281="Software Idiem",C281="L"),((('CAFCO 400 '!$L$7*(J281^3)+'CAFCO 400 '!$L$8*(J281^2)+'CAFCO 400 '!$L$9*J281+'CAFCO 400 '!$L$10)*U281^2)+(('CAFCO 400 '!$L$11*(J281^3)+'CAFCO 400 '!$L$12*(J281^2)+'CAFCO 400 '!$L$13*J281+'CAFCO 400 '!$L$14)*U281)+('CAFCO 400 '!$L$15*LN(J281)+'CAFCO 400 '!$L$16)),0)+IF(AND(L281="Cafco 400",M281="Software Idiem",C281="IN",G281=3),((('CAFCO 400 '!$D$23*(J281^2)+'CAFCO 400 '!$D$24*(J281)+'CAFCO 400 '!$D$25)*U281^2)+(('CAFCO 400 '!$D$26*(J281^2)+'CAFCO 400 '!$D$27*J281+'CAFCO 400 '!$D$28)*U281)+('CAFCO 400 '!$D$29*(J281^2)+'CAFCO 400 '!$D$30*J281+'CAFCO 400 '!$D$31)),0),0)+IF(AND(L281="Cafco 300",J281&gt;=95,J281&lt;=240,C281="Cj",I281=90),VLOOKUP(T281,'CAFCO 300 IDIEM TABLAS'!$B$4:$D$23,2,FALSE),0)+IF(AND(L281="Cafco 300",J281&gt;=95,J281&lt;=240,C281="Cj",I281=120),VLOOKUP(T281,'CAFCO 300 IDIEM TABLAS'!$B$4:$D$23,3,FALSE),0)+IF(AND(L281="Cafco 300",J281&gt;=95,J281&lt;=400,G281=3,C281="IN",I281=90),VLOOKUP(T281,'CAFCO 300 IDIEM TABLAS'!$F$4:$H$35,2,FALSE),0)+IF(AND(L281="Cafco 300",J281&gt;=95,J281&lt;=400,G281=3,C281="IN",I281=120),VLOOKUP(T281,'CAFCO 300 IDIEM TABLAS'!$F$4:$H$35,3,FALSE),0)+IF(AND(L281="Cafco 300",J281&gt;=95,J281&lt;=450,G281=4,C281="IN",I281=90),VLOOKUP(T281,'CAFCO 300 IDIEM TABLAS'!$J$4:$L$40,2,FALSE),0)+IF(AND(L281="Cafco 300",J281&gt;=95,J281&lt;=450,G281=4,C281="IN",I281=120),VLOOKUP(T281,'CAFCO 300 IDIEM TABLAS'!$J$4:$L$40,3,FALSE),0)+IF(AND(M281="Ensayo Idiem",L281="Cafco 400",C281="IN",G281=4,I281=90),VLOOKUP(T281,'CAFCO 400 ENSAYO'!$B$7:$D$43,2,FALSE),0)+IF(AND(M281="Ensayo Idiem",L281="Cafco 400",C281="IN",G281=4,I281=120),VLOOKUP(T281,'CAFCO 400 ENSAYO'!$B$7:$D$43,3,FALSE),0)</f>
        <v>0</v>
      </c>
      <c r="O281" s="96">
        <f t="shared" si="33"/>
        <v>0</v>
      </c>
      <c r="P281" s="95" t="str">
        <f t="shared" si="34"/>
        <v>N/A</v>
      </c>
      <c r="Q281" s="95" t="str">
        <f t="shared" si="35"/>
        <v>N/A</v>
      </c>
      <c r="R281" s="95" t="str">
        <f t="shared" si="36"/>
        <v>NO CERT.</v>
      </c>
      <c r="S281" s="95" t="e">
        <f t="shared" si="31"/>
        <v>#N/A</v>
      </c>
      <c r="T281" s="119" t="e">
        <f>+IF(J281=LOOKUP(J281,'CAFCO 300 IDIEM TABLAS'!$J$4:$J$40),'CALCULO MORTERO'!J281,MROUND('CALCULO MORTERO'!J281,10))</f>
        <v>#N/A</v>
      </c>
      <c r="U281" s="118">
        <f t="shared" si="32"/>
        <v>0</v>
      </c>
      <c r="Y281" s="4"/>
      <c r="Z281" s="4"/>
      <c r="AA281" s="4"/>
    </row>
    <row r="282" spans="1:27" ht="15.6" customHeight="1" x14ac:dyDescent="0.25">
      <c r="A282" s="118">
        <f>+CUBICACION!D276</f>
        <v>0</v>
      </c>
      <c r="B282" s="819">
        <f>+CUBICACION!E276</f>
        <v>0</v>
      </c>
      <c r="C282" s="675">
        <f>+CUBICACION!F276</f>
        <v>0</v>
      </c>
      <c r="D282" s="118"/>
      <c r="E282" s="118"/>
      <c r="F282" s="820"/>
      <c r="G282" s="675">
        <f>+CUBICACION!J276</f>
        <v>0</v>
      </c>
      <c r="H282" s="118"/>
      <c r="I282" s="821">
        <f>+CUBICACION!L276</f>
        <v>0</v>
      </c>
      <c r="J282" s="64">
        <f>+CUBICACION!M276</f>
        <v>0</v>
      </c>
      <c r="K282" s="822" t="str">
        <f>+CUBICACION!N276</f>
        <v/>
      </c>
      <c r="L282" s="118">
        <f>+CUBICACION!O276</f>
        <v>0</v>
      </c>
      <c r="M282" s="823">
        <f>+CUBICACION!P276</f>
        <v>0</v>
      </c>
      <c r="N282" s="902">
        <f>ROUND(IF(AND(L282="Blaze Shield II",M282="Software Idiem",C282="IN",G282=4),((('BLAZE SHIELD II'!$D$4*('CALCULO MORTERO'!I282^2)+'BLAZE SHIELD II'!$D$5*'CALCULO MORTERO'!I282+'BLAZE SHIELD II'!$D$6)*LN(J282))+('BLAZE SHIELD II'!$D$7*('CALCULO MORTERO'!I282^2)+'BLAZE SHIELD II'!$D$8*'CALCULO MORTERO'!I282+'BLAZE SHIELD II'!$D$9)),0)+IF(AND(L282="Blaze Shield II",M282="Software Idiem",C282="Cj"),((('BLAZE SHIELD II'!$H$4*('CALCULO MORTERO'!I282^2)+'BLAZE SHIELD II'!$H$5*'CALCULO MORTERO'!I282+'BLAZE SHIELD II'!$H$6)*LN(J282))+('BLAZE SHIELD II'!$H$7*('CALCULO MORTERO'!I282^2)+'BLAZE SHIELD II'!$H$8*'CALCULO MORTERO'!I282+'BLAZE SHIELD II'!$H$9)),0)+IF(AND(L282="Blaze Shield II",M282="Software Idiem",C282="C"),((('BLAZE SHIELD II'!$L$4*('CALCULO MORTERO'!I282^2)+'BLAZE SHIELD II'!$L$5*'CALCULO MORTERO'!I282+'BLAZE SHIELD II'!$L$6)*LN(J282))+('BLAZE SHIELD II'!$L$7*('CALCULO MORTERO'!I282^2)+'BLAZE SHIELD II'!$L$8*'CALCULO MORTERO'!I282+'BLAZE SHIELD II'!$L$9)),0)+IF(AND(L282="Blaze Shield II",M282="Software Idiem",C282="L"),((('BLAZE SHIELD II'!$L$4*('CALCULO MORTERO'!I282^2)+'BLAZE SHIELD II'!$L$5*'CALCULO MORTERO'!I282+'BLAZE SHIELD II'!$L$6)*LN(J282))+('BLAZE SHIELD II'!$L$7*('CALCULO MORTERO'!I282^2)+'BLAZE SHIELD II'!$L$8*'CALCULO MORTERO'!I282+'BLAZE SHIELD II'!$L$9)),0)+IF(AND(L282="Blaze Shield II",M282="Software Idiem",C282="IN",G282=3),((('BLAZE SHIELD II'!$H$14*('CALCULO MORTERO'!I282^2)+'BLAZE SHIELD II'!$H$15*'CALCULO MORTERO'!I282+'BLAZE SHIELD II'!$H$16)*LN(J282))+('BLAZE SHIELD II'!$H$17*('CALCULO MORTERO'!I282^2)+'BLAZE SHIELD II'!$H$18*'CALCULO MORTERO'!I282+'BLAZE SHIELD II'!$H$19)),0),0)+ROUND(IF(AND(L282="Cafco 400",M282="Software Idiem",C282="IN",G282=4),((('CAFCO 400 '!$H$7*(J282^4)+'CAFCO 400 '!$H$8*(J282^3)+'CAFCO 400 '!$H$9*(J282^2)+'CAFCO 400 '!$H$10*J282+'CAFCO 400 '!$H$11)*U282^2)+(('CAFCO 400 '!$H$12*(J282^3)+'CAFCO 400 '!$H$13*(J282^2)+'CAFCO 400 '!$H$14*J282+'CAFCO 400 '!$H$15)*U282)+('CAFCO 400 '!$H$16*(J282^2)+'CAFCO 400 '!$H$17*J282+'CAFCO 400 '!$H$18)),0)+IF(AND(L282="Cafco 400",M282="Software Idiem",C282="Cj"),(((('CAFCO 400 '!$D$7*LN(J282)+'CAFCO 400 '!$D$8)*U282^2)+(('CAFCO 400 '!$D$9*LN(J282)+'CAFCO 400 '!$D$10)*U282)+('CAFCO 400 '!$D$11*LN(J282)+'CAFCO 400 '!$D$12))),0)+IF(AND(L282="Cafco 400",M282="Software Idiem",C282="C"),((('CAFCO 400 '!$L$7*(J282^3)+'CAFCO 400 '!$L$8*(J282^2)+'CAFCO 400 '!$L$9*J282+'CAFCO 400 '!$L$10)*U282^2)+(('CAFCO 400 '!$L$11*(J282^3)+'CAFCO 400 '!$L$12*(J282^2)+'CAFCO 400 '!$L$13*J282+'CAFCO 400 '!$L$14)*U282)+('CAFCO 400 '!$L$15*LN(J282)+'CAFCO 400 '!$L$16)),0)+IF(AND(L282="Cafco 400",M282="Software Idiem",C282="L"),((('CAFCO 400 '!$L$7*(J282^3)+'CAFCO 400 '!$L$8*(J282^2)+'CAFCO 400 '!$L$9*J282+'CAFCO 400 '!$L$10)*U282^2)+(('CAFCO 400 '!$L$11*(J282^3)+'CAFCO 400 '!$L$12*(J282^2)+'CAFCO 400 '!$L$13*J282+'CAFCO 400 '!$L$14)*U282)+('CAFCO 400 '!$L$15*LN(J282)+'CAFCO 400 '!$L$16)),0)+IF(AND(L282="Cafco 400",M282="Software Idiem",C282="IN",G282=3),((('CAFCO 400 '!$D$23*(J282^2)+'CAFCO 400 '!$D$24*(J282)+'CAFCO 400 '!$D$25)*U282^2)+(('CAFCO 400 '!$D$26*(J282^2)+'CAFCO 400 '!$D$27*J282+'CAFCO 400 '!$D$28)*U282)+('CAFCO 400 '!$D$29*(J282^2)+'CAFCO 400 '!$D$30*J282+'CAFCO 400 '!$D$31)),0),0)+IF(AND(L282="Cafco 300",J282&gt;=95,J282&lt;=240,C282="Cj",I282=90),VLOOKUP(T282,'CAFCO 300 IDIEM TABLAS'!$B$4:$D$23,2,FALSE),0)+IF(AND(L282="Cafco 300",J282&gt;=95,J282&lt;=240,C282="Cj",I282=120),VLOOKUP(T282,'CAFCO 300 IDIEM TABLAS'!$B$4:$D$23,3,FALSE),0)+IF(AND(L282="Cafco 300",J282&gt;=95,J282&lt;=400,G282=3,C282="IN",I282=90),VLOOKUP(T282,'CAFCO 300 IDIEM TABLAS'!$F$4:$H$35,2,FALSE),0)+IF(AND(L282="Cafco 300",J282&gt;=95,J282&lt;=400,G282=3,C282="IN",I282=120),VLOOKUP(T282,'CAFCO 300 IDIEM TABLAS'!$F$4:$H$35,3,FALSE),0)+IF(AND(L282="Cafco 300",J282&gt;=95,J282&lt;=450,G282=4,C282="IN",I282=90),VLOOKUP(T282,'CAFCO 300 IDIEM TABLAS'!$J$4:$L$40,2,FALSE),0)+IF(AND(L282="Cafco 300",J282&gt;=95,J282&lt;=450,G282=4,C282="IN",I282=120),VLOOKUP(T282,'CAFCO 300 IDIEM TABLAS'!$J$4:$L$40,3,FALSE),0)+IF(AND(M282="Ensayo Idiem",L282="Cafco 400",C282="IN",G282=4,I282=90),VLOOKUP(T282,'CAFCO 400 ENSAYO'!$B$7:$D$43,2,FALSE),0)+IF(AND(M282="Ensayo Idiem",L282="Cafco 400",C282="IN",G282=4,I282=120),VLOOKUP(T282,'CAFCO 400 ENSAYO'!$B$7:$D$43,3,FALSE),0)</f>
        <v>0</v>
      </c>
      <c r="O282" s="96">
        <f t="shared" si="33"/>
        <v>0</v>
      </c>
      <c r="P282" s="95" t="str">
        <f t="shared" si="34"/>
        <v>N/A</v>
      </c>
      <c r="Q282" s="95" t="str">
        <f t="shared" si="35"/>
        <v>N/A</v>
      </c>
      <c r="R282" s="95" t="str">
        <f t="shared" si="36"/>
        <v>NO CERT.</v>
      </c>
      <c r="S282" s="95" t="e">
        <f t="shared" si="31"/>
        <v>#N/A</v>
      </c>
      <c r="T282" s="119" t="e">
        <f>+IF(J282=LOOKUP(J282,'CAFCO 300 IDIEM TABLAS'!$J$4:$J$40),'CALCULO MORTERO'!J282,MROUND('CALCULO MORTERO'!J282,10))</f>
        <v>#N/A</v>
      </c>
      <c r="U282" s="118">
        <f t="shared" si="32"/>
        <v>0</v>
      </c>
      <c r="Y282" s="4"/>
      <c r="Z282" s="4"/>
      <c r="AA282" s="4"/>
    </row>
    <row r="283" spans="1:27" x14ac:dyDescent="0.25">
      <c r="A283" s="118">
        <f>+CUBICACION!D277</f>
        <v>0</v>
      </c>
      <c r="B283" s="819">
        <f>+CUBICACION!E277</f>
        <v>0</v>
      </c>
      <c r="C283" s="675">
        <f>+CUBICACION!F277</f>
        <v>0</v>
      </c>
      <c r="D283" s="118"/>
      <c r="E283" s="118"/>
      <c r="F283" s="820"/>
      <c r="G283" s="675">
        <f>+CUBICACION!J277</f>
        <v>0</v>
      </c>
      <c r="H283" s="118"/>
      <c r="I283" s="821">
        <f>+CUBICACION!L277</f>
        <v>0</v>
      </c>
      <c r="J283" s="64">
        <f>+CUBICACION!M277</f>
        <v>0</v>
      </c>
      <c r="K283" s="822" t="str">
        <f>+CUBICACION!N277</f>
        <v/>
      </c>
      <c r="L283" s="118">
        <f>+CUBICACION!O277</f>
        <v>0</v>
      </c>
      <c r="M283" s="823">
        <f>+CUBICACION!P277</f>
        <v>0</v>
      </c>
      <c r="N283" s="902">
        <f>ROUND(IF(AND(L283="Blaze Shield II",M283="Software Idiem",C283="IN",G283=4),((('BLAZE SHIELD II'!$D$4*('CALCULO MORTERO'!I283^2)+'BLAZE SHIELD II'!$D$5*'CALCULO MORTERO'!I283+'BLAZE SHIELD II'!$D$6)*LN(J283))+('BLAZE SHIELD II'!$D$7*('CALCULO MORTERO'!I283^2)+'BLAZE SHIELD II'!$D$8*'CALCULO MORTERO'!I283+'BLAZE SHIELD II'!$D$9)),0)+IF(AND(L283="Blaze Shield II",M283="Software Idiem",C283="Cj"),((('BLAZE SHIELD II'!$H$4*('CALCULO MORTERO'!I283^2)+'BLAZE SHIELD II'!$H$5*'CALCULO MORTERO'!I283+'BLAZE SHIELD II'!$H$6)*LN(J283))+('BLAZE SHIELD II'!$H$7*('CALCULO MORTERO'!I283^2)+'BLAZE SHIELD II'!$H$8*'CALCULO MORTERO'!I283+'BLAZE SHIELD II'!$H$9)),0)+IF(AND(L283="Blaze Shield II",M283="Software Idiem",C283="C"),((('BLAZE SHIELD II'!$L$4*('CALCULO MORTERO'!I283^2)+'BLAZE SHIELD II'!$L$5*'CALCULO MORTERO'!I283+'BLAZE SHIELD II'!$L$6)*LN(J283))+('BLAZE SHIELD II'!$L$7*('CALCULO MORTERO'!I283^2)+'BLAZE SHIELD II'!$L$8*'CALCULO MORTERO'!I283+'BLAZE SHIELD II'!$L$9)),0)+IF(AND(L283="Blaze Shield II",M283="Software Idiem",C283="L"),((('BLAZE SHIELD II'!$L$4*('CALCULO MORTERO'!I283^2)+'BLAZE SHIELD II'!$L$5*'CALCULO MORTERO'!I283+'BLAZE SHIELD II'!$L$6)*LN(J283))+('BLAZE SHIELD II'!$L$7*('CALCULO MORTERO'!I283^2)+'BLAZE SHIELD II'!$L$8*'CALCULO MORTERO'!I283+'BLAZE SHIELD II'!$L$9)),0)+IF(AND(L283="Blaze Shield II",M283="Software Idiem",C283="IN",G283=3),((('BLAZE SHIELD II'!$H$14*('CALCULO MORTERO'!I283^2)+'BLAZE SHIELD II'!$H$15*'CALCULO MORTERO'!I283+'BLAZE SHIELD II'!$H$16)*LN(J283))+('BLAZE SHIELD II'!$H$17*('CALCULO MORTERO'!I283^2)+'BLAZE SHIELD II'!$H$18*'CALCULO MORTERO'!I283+'BLAZE SHIELD II'!$H$19)),0),0)+ROUND(IF(AND(L283="Cafco 400",M283="Software Idiem",C283="IN",G283=4),((('CAFCO 400 '!$H$7*(J283^4)+'CAFCO 400 '!$H$8*(J283^3)+'CAFCO 400 '!$H$9*(J283^2)+'CAFCO 400 '!$H$10*J283+'CAFCO 400 '!$H$11)*U283^2)+(('CAFCO 400 '!$H$12*(J283^3)+'CAFCO 400 '!$H$13*(J283^2)+'CAFCO 400 '!$H$14*J283+'CAFCO 400 '!$H$15)*U283)+('CAFCO 400 '!$H$16*(J283^2)+'CAFCO 400 '!$H$17*J283+'CAFCO 400 '!$H$18)),0)+IF(AND(L283="Cafco 400",M283="Software Idiem",C283="Cj"),(((('CAFCO 400 '!$D$7*LN(J283)+'CAFCO 400 '!$D$8)*U283^2)+(('CAFCO 400 '!$D$9*LN(J283)+'CAFCO 400 '!$D$10)*U283)+('CAFCO 400 '!$D$11*LN(J283)+'CAFCO 400 '!$D$12))),0)+IF(AND(L283="Cafco 400",M283="Software Idiem",C283="C"),((('CAFCO 400 '!$L$7*(J283^3)+'CAFCO 400 '!$L$8*(J283^2)+'CAFCO 400 '!$L$9*J283+'CAFCO 400 '!$L$10)*U283^2)+(('CAFCO 400 '!$L$11*(J283^3)+'CAFCO 400 '!$L$12*(J283^2)+'CAFCO 400 '!$L$13*J283+'CAFCO 400 '!$L$14)*U283)+('CAFCO 400 '!$L$15*LN(J283)+'CAFCO 400 '!$L$16)),0)+IF(AND(L283="Cafco 400",M283="Software Idiem",C283="L"),((('CAFCO 400 '!$L$7*(J283^3)+'CAFCO 400 '!$L$8*(J283^2)+'CAFCO 400 '!$L$9*J283+'CAFCO 400 '!$L$10)*U283^2)+(('CAFCO 400 '!$L$11*(J283^3)+'CAFCO 400 '!$L$12*(J283^2)+'CAFCO 400 '!$L$13*J283+'CAFCO 400 '!$L$14)*U283)+('CAFCO 400 '!$L$15*LN(J283)+'CAFCO 400 '!$L$16)),0)+IF(AND(L283="Cafco 400",M283="Software Idiem",C283="IN",G283=3),((('CAFCO 400 '!$D$23*(J283^2)+'CAFCO 400 '!$D$24*(J283)+'CAFCO 400 '!$D$25)*U283^2)+(('CAFCO 400 '!$D$26*(J283^2)+'CAFCO 400 '!$D$27*J283+'CAFCO 400 '!$D$28)*U283)+('CAFCO 400 '!$D$29*(J283^2)+'CAFCO 400 '!$D$30*J283+'CAFCO 400 '!$D$31)),0),0)+IF(AND(L283="Cafco 300",J283&gt;=95,J283&lt;=240,C283="Cj",I283=90),VLOOKUP(T283,'CAFCO 300 IDIEM TABLAS'!$B$4:$D$23,2,FALSE),0)+IF(AND(L283="Cafco 300",J283&gt;=95,J283&lt;=240,C283="Cj",I283=120),VLOOKUP(T283,'CAFCO 300 IDIEM TABLAS'!$B$4:$D$23,3,FALSE),0)+IF(AND(L283="Cafco 300",J283&gt;=95,J283&lt;=400,G283=3,C283="IN",I283=90),VLOOKUP(T283,'CAFCO 300 IDIEM TABLAS'!$F$4:$H$35,2,FALSE),0)+IF(AND(L283="Cafco 300",J283&gt;=95,J283&lt;=400,G283=3,C283="IN",I283=120),VLOOKUP(T283,'CAFCO 300 IDIEM TABLAS'!$F$4:$H$35,3,FALSE),0)+IF(AND(L283="Cafco 300",J283&gt;=95,J283&lt;=450,G283=4,C283="IN",I283=90),VLOOKUP(T283,'CAFCO 300 IDIEM TABLAS'!$J$4:$L$40,2,FALSE),0)+IF(AND(L283="Cafco 300",J283&gt;=95,J283&lt;=450,G283=4,C283="IN",I283=120),VLOOKUP(T283,'CAFCO 300 IDIEM TABLAS'!$J$4:$L$40,3,FALSE),0)+IF(AND(M283="Ensayo Idiem",L283="Cafco 400",C283="IN",G283=4,I283=90),VLOOKUP(T283,'CAFCO 400 ENSAYO'!$B$7:$D$43,2,FALSE),0)+IF(AND(M283="Ensayo Idiem",L283="Cafco 400",C283="IN",G283=4,I283=120),VLOOKUP(T283,'CAFCO 400 ENSAYO'!$B$7:$D$43,3,FALSE),0)</f>
        <v>0</v>
      </c>
      <c r="O283" s="96">
        <f t="shared" si="33"/>
        <v>0</v>
      </c>
      <c r="P283" s="95" t="str">
        <f t="shared" si="34"/>
        <v>N/A</v>
      </c>
      <c r="Q283" s="95" t="str">
        <f t="shared" si="35"/>
        <v>N/A</v>
      </c>
      <c r="R283" s="95" t="str">
        <f t="shared" si="36"/>
        <v>NO CERT.</v>
      </c>
      <c r="S283" s="95" t="e">
        <f t="shared" si="31"/>
        <v>#N/A</v>
      </c>
      <c r="T283" s="119" t="e">
        <f>+IF(J283=LOOKUP(J283,'CAFCO 300 IDIEM TABLAS'!$J$4:$J$40),'CALCULO MORTERO'!J283,MROUND('CALCULO MORTERO'!J283,10))</f>
        <v>#N/A</v>
      </c>
      <c r="U283" s="118">
        <f t="shared" si="32"/>
        <v>0</v>
      </c>
      <c r="Y283" s="4"/>
      <c r="Z283" s="4"/>
      <c r="AA283" s="4"/>
    </row>
    <row r="284" spans="1:27" ht="15.6" customHeight="1" x14ac:dyDescent="0.25">
      <c r="A284" s="118">
        <f>+CUBICACION!D278</f>
        <v>0</v>
      </c>
      <c r="B284" s="819">
        <f>+CUBICACION!E278</f>
        <v>0</v>
      </c>
      <c r="C284" s="675">
        <f>+CUBICACION!F278</f>
        <v>0</v>
      </c>
      <c r="D284" s="118"/>
      <c r="E284" s="118"/>
      <c r="F284" s="820"/>
      <c r="G284" s="675">
        <f>+CUBICACION!J278</f>
        <v>0</v>
      </c>
      <c r="H284" s="118"/>
      <c r="I284" s="821">
        <f>+CUBICACION!L278</f>
        <v>0</v>
      </c>
      <c r="J284" s="64">
        <f>+CUBICACION!M278</f>
        <v>0</v>
      </c>
      <c r="K284" s="822" t="str">
        <f>+CUBICACION!N278</f>
        <v/>
      </c>
      <c r="L284" s="118">
        <f>+CUBICACION!O278</f>
        <v>0</v>
      </c>
      <c r="M284" s="823">
        <f>+CUBICACION!P278</f>
        <v>0</v>
      </c>
      <c r="N284" s="902">
        <f>ROUND(IF(AND(L284="Blaze Shield II",M284="Software Idiem",C284="IN",G284=4),((('BLAZE SHIELD II'!$D$4*('CALCULO MORTERO'!I284^2)+'BLAZE SHIELD II'!$D$5*'CALCULO MORTERO'!I284+'BLAZE SHIELD II'!$D$6)*LN(J284))+('BLAZE SHIELD II'!$D$7*('CALCULO MORTERO'!I284^2)+'BLAZE SHIELD II'!$D$8*'CALCULO MORTERO'!I284+'BLAZE SHIELD II'!$D$9)),0)+IF(AND(L284="Blaze Shield II",M284="Software Idiem",C284="Cj"),((('BLAZE SHIELD II'!$H$4*('CALCULO MORTERO'!I284^2)+'BLAZE SHIELD II'!$H$5*'CALCULO MORTERO'!I284+'BLAZE SHIELD II'!$H$6)*LN(J284))+('BLAZE SHIELD II'!$H$7*('CALCULO MORTERO'!I284^2)+'BLAZE SHIELD II'!$H$8*'CALCULO MORTERO'!I284+'BLAZE SHIELD II'!$H$9)),0)+IF(AND(L284="Blaze Shield II",M284="Software Idiem",C284="C"),((('BLAZE SHIELD II'!$L$4*('CALCULO MORTERO'!I284^2)+'BLAZE SHIELD II'!$L$5*'CALCULO MORTERO'!I284+'BLAZE SHIELD II'!$L$6)*LN(J284))+('BLAZE SHIELD II'!$L$7*('CALCULO MORTERO'!I284^2)+'BLAZE SHIELD II'!$L$8*'CALCULO MORTERO'!I284+'BLAZE SHIELD II'!$L$9)),0)+IF(AND(L284="Blaze Shield II",M284="Software Idiem",C284="L"),((('BLAZE SHIELD II'!$L$4*('CALCULO MORTERO'!I284^2)+'BLAZE SHIELD II'!$L$5*'CALCULO MORTERO'!I284+'BLAZE SHIELD II'!$L$6)*LN(J284))+('BLAZE SHIELD II'!$L$7*('CALCULO MORTERO'!I284^2)+'BLAZE SHIELD II'!$L$8*'CALCULO MORTERO'!I284+'BLAZE SHIELD II'!$L$9)),0)+IF(AND(L284="Blaze Shield II",M284="Software Idiem",C284="IN",G284=3),((('BLAZE SHIELD II'!$H$14*('CALCULO MORTERO'!I284^2)+'BLAZE SHIELD II'!$H$15*'CALCULO MORTERO'!I284+'BLAZE SHIELD II'!$H$16)*LN(J284))+('BLAZE SHIELD II'!$H$17*('CALCULO MORTERO'!I284^2)+'BLAZE SHIELD II'!$H$18*'CALCULO MORTERO'!I284+'BLAZE SHIELD II'!$H$19)),0),0)+ROUND(IF(AND(L284="Cafco 400",M284="Software Idiem",C284="IN",G284=4),((('CAFCO 400 '!$H$7*(J284^4)+'CAFCO 400 '!$H$8*(J284^3)+'CAFCO 400 '!$H$9*(J284^2)+'CAFCO 400 '!$H$10*J284+'CAFCO 400 '!$H$11)*U284^2)+(('CAFCO 400 '!$H$12*(J284^3)+'CAFCO 400 '!$H$13*(J284^2)+'CAFCO 400 '!$H$14*J284+'CAFCO 400 '!$H$15)*U284)+('CAFCO 400 '!$H$16*(J284^2)+'CAFCO 400 '!$H$17*J284+'CAFCO 400 '!$H$18)),0)+IF(AND(L284="Cafco 400",M284="Software Idiem",C284="Cj"),(((('CAFCO 400 '!$D$7*LN(J284)+'CAFCO 400 '!$D$8)*U284^2)+(('CAFCO 400 '!$D$9*LN(J284)+'CAFCO 400 '!$D$10)*U284)+('CAFCO 400 '!$D$11*LN(J284)+'CAFCO 400 '!$D$12))),0)+IF(AND(L284="Cafco 400",M284="Software Idiem",C284="C"),((('CAFCO 400 '!$L$7*(J284^3)+'CAFCO 400 '!$L$8*(J284^2)+'CAFCO 400 '!$L$9*J284+'CAFCO 400 '!$L$10)*U284^2)+(('CAFCO 400 '!$L$11*(J284^3)+'CAFCO 400 '!$L$12*(J284^2)+'CAFCO 400 '!$L$13*J284+'CAFCO 400 '!$L$14)*U284)+('CAFCO 400 '!$L$15*LN(J284)+'CAFCO 400 '!$L$16)),0)+IF(AND(L284="Cafco 400",M284="Software Idiem",C284="L"),((('CAFCO 400 '!$L$7*(J284^3)+'CAFCO 400 '!$L$8*(J284^2)+'CAFCO 400 '!$L$9*J284+'CAFCO 400 '!$L$10)*U284^2)+(('CAFCO 400 '!$L$11*(J284^3)+'CAFCO 400 '!$L$12*(J284^2)+'CAFCO 400 '!$L$13*J284+'CAFCO 400 '!$L$14)*U284)+('CAFCO 400 '!$L$15*LN(J284)+'CAFCO 400 '!$L$16)),0)+IF(AND(L284="Cafco 400",M284="Software Idiem",C284="IN",G284=3),((('CAFCO 400 '!$D$23*(J284^2)+'CAFCO 400 '!$D$24*(J284)+'CAFCO 400 '!$D$25)*U284^2)+(('CAFCO 400 '!$D$26*(J284^2)+'CAFCO 400 '!$D$27*J284+'CAFCO 400 '!$D$28)*U284)+('CAFCO 400 '!$D$29*(J284^2)+'CAFCO 400 '!$D$30*J284+'CAFCO 400 '!$D$31)),0),0)+IF(AND(L284="Cafco 300",J284&gt;=95,J284&lt;=240,C284="Cj",I284=90),VLOOKUP(T284,'CAFCO 300 IDIEM TABLAS'!$B$4:$D$23,2,FALSE),0)+IF(AND(L284="Cafco 300",J284&gt;=95,J284&lt;=240,C284="Cj",I284=120),VLOOKUP(T284,'CAFCO 300 IDIEM TABLAS'!$B$4:$D$23,3,FALSE),0)+IF(AND(L284="Cafco 300",J284&gt;=95,J284&lt;=400,G284=3,C284="IN",I284=90),VLOOKUP(T284,'CAFCO 300 IDIEM TABLAS'!$F$4:$H$35,2,FALSE),0)+IF(AND(L284="Cafco 300",J284&gt;=95,J284&lt;=400,G284=3,C284="IN",I284=120),VLOOKUP(T284,'CAFCO 300 IDIEM TABLAS'!$F$4:$H$35,3,FALSE),0)+IF(AND(L284="Cafco 300",J284&gt;=95,J284&lt;=450,G284=4,C284="IN",I284=90),VLOOKUP(T284,'CAFCO 300 IDIEM TABLAS'!$J$4:$L$40,2,FALSE),0)+IF(AND(L284="Cafco 300",J284&gt;=95,J284&lt;=450,G284=4,C284="IN",I284=120),VLOOKUP(T284,'CAFCO 300 IDIEM TABLAS'!$J$4:$L$40,3,FALSE),0)+IF(AND(M284="Ensayo Idiem",L284="Cafco 400",C284="IN",G284=4,I284=90),VLOOKUP(T284,'CAFCO 400 ENSAYO'!$B$7:$D$43,2,FALSE),0)+IF(AND(M284="Ensayo Idiem",L284="Cafco 400",C284="IN",G284=4,I284=120),VLOOKUP(T284,'CAFCO 400 ENSAYO'!$B$7:$D$43,3,FALSE),0)</f>
        <v>0</v>
      </c>
      <c r="O284" s="96">
        <f t="shared" si="33"/>
        <v>0</v>
      </c>
      <c r="P284" s="95" t="str">
        <f t="shared" si="34"/>
        <v>N/A</v>
      </c>
      <c r="Q284" s="95" t="str">
        <f t="shared" si="35"/>
        <v>N/A</v>
      </c>
      <c r="R284" s="95" t="str">
        <f t="shared" si="36"/>
        <v>NO CERT.</v>
      </c>
      <c r="S284" s="95" t="e">
        <f t="shared" si="31"/>
        <v>#N/A</v>
      </c>
      <c r="T284" s="119" t="e">
        <f>+IF(J284=LOOKUP(J284,'CAFCO 300 IDIEM TABLAS'!$J$4:$J$40),'CALCULO MORTERO'!J284,MROUND('CALCULO MORTERO'!J284,10))</f>
        <v>#N/A</v>
      </c>
      <c r="U284" s="118">
        <f t="shared" si="32"/>
        <v>0</v>
      </c>
      <c r="Y284" s="4"/>
      <c r="Z284" s="4"/>
      <c r="AA284" s="4"/>
    </row>
    <row r="285" spans="1:27" x14ac:dyDescent="0.25">
      <c r="A285" s="118">
        <f>+CUBICACION!D279</f>
        <v>0</v>
      </c>
      <c r="B285" s="819">
        <f>+CUBICACION!E279</f>
        <v>0</v>
      </c>
      <c r="C285" s="675">
        <f>+CUBICACION!F279</f>
        <v>0</v>
      </c>
      <c r="D285" s="118"/>
      <c r="E285" s="118"/>
      <c r="F285" s="820"/>
      <c r="G285" s="675">
        <f>+CUBICACION!J279</f>
        <v>0</v>
      </c>
      <c r="H285" s="118"/>
      <c r="I285" s="821">
        <f>+CUBICACION!L279</f>
        <v>0</v>
      </c>
      <c r="J285" s="64">
        <f>+CUBICACION!M279</f>
        <v>0</v>
      </c>
      <c r="K285" s="822" t="str">
        <f>+CUBICACION!N279</f>
        <v/>
      </c>
      <c r="L285" s="118">
        <f>+CUBICACION!O279</f>
        <v>0</v>
      </c>
      <c r="M285" s="823">
        <f>+CUBICACION!P279</f>
        <v>0</v>
      </c>
      <c r="N285" s="902">
        <f>ROUND(IF(AND(L285="Blaze Shield II",M285="Software Idiem",C285="IN",G285=4),((('BLAZE SHIELD II'!$D$4*('CALCULO MORTERO'!I285^2)+'BLAZE SHIELD II'!$D$5*'CALCULO MORTERO'!I285+'BLAZE SHIELD II'!$D$6)*LN(J285))+('BLAZE SHIELD II'!$D$7*('CALCULO MORTERO'!I285^2)+'BLAZE SHIELD II'!$D$8*'CALCULO MORTERO'!I285+'BLAZE SHIELD II'!$D$9)),0)+IF(AND(L285="Blaze Shield II",M285="Software Idiem",C285="Cj"),((('BLAZE SHIELD II'!$H$4*('CALCULO MORTERO'!I285^2)+'BLAZE SHIELD II'!$H$5*'CALCULO MORTERO'!I285+'BLAZE SHIELD II'!$H$6)*LN(J285))+('BLAZE SHIELD II'!$H$7*('CALCULO MORTERO'!I285^2)+'BLAZE SHIELD II'!$H$8*'CALCULO MORTERO'!I285+'BLAZE SHIELD II'!$H$9)),0)+IF(AND(L285="Blaze Shield II",M285="Software Idiem",C285="C"),((('BLAZE SHIELD II'!$L$4*('CALCULO MORTERO'!I285^2)+'BLAZE SHIELD II'!$L$5*'CALCULO MORTERO'!I285+'BLAZE SHIELD II'!$L$6)*LN(J285))+('BLAZE SHIELD II'!$L$7*('CALCULO MORTERO'!I285^2)+'BLAZE SHIELD II'!$L$8*'CALCULO MORTERO'!I285+'BLAZE SHIELD II'!$L$9)),0)+IF(AND(L285="Blaze Shield II",M285="Software Idiem",C285="L"),((('BLAZE SHIELD II'!$L$4*('CALCULO MORTERO'!I285^2)+'BLAZE SHIELD II'!$L$5*'CALCULO MORTERO'!I285+'BLAZE SHIELD II'!$L$6)*LN(J285))+('BLAZE SHIELD II'!$L$7*('CALCULO MORTERO'!I285^2)+'BLAZE SHIELD II'!$L$8*'CALCULO MORTERO'!I285+'BLAZE SHIELD II'!$L$9)),0)+IF(AND(L285="Blaze Shield II",M285="Software Idiem",C285="IN",G285=3),((('BLAZE SHIELD II'!$H$14*('CALCULO MORTERO'!I285^2)+'BLAZE SHIELD II'!$H$15*'CALCULO MORTERO'!I285+'BLAZE SHIELD II'!$H$16)*LN(J285))+('BLAZE SHIELD II'!$H$17*('CALCULO MORTERO'!I285^2)+'BLAZE SHIELD II'!$H$18*'CALCULO MORTERO'!I285+'BLAZE SHIELD II'!$H$19)),0),0)+ROUND(IF(AND(L285="Cafco 400",M285="Software Idiem",C285="IN",G285=4),((('CAFCO 400 '!$H$7*(J285^4)+'CAFCO 400 '!$H$8*(J285^3)+'CAFCO 400 '!$H$9*(J285^2)+'CAFCO 400 '!$H$10*J285+'CAFCO 400 '!$H$11)*U285^2)+(('CAFCO 400 '!$H$12*(J285^3)+'CAFCO 400 '!$H$13*(J285^2)+'CAFCO 400 '!$H$14*J285+'CAFCO 400 '!$H$15)*U285)+('CAFCO 400 '!$H$16*(J285^2)+'CAFCO 400 '!$H$17*J285+'CAFCO 400 '!$H$18)),0)+IF(AND(L285="Cafco 400",M285="Software Idiem",C285="Cj"),(((('CAFCO 400 '!$D$7*LN(J285)+'CAFCO 400 '!$D$8)*U285^2)+(('CAFCO 400 '!$D$9*LN(J285)+'CAFCO 400 '!$D$10)*U285)+('CAFCO 400 '!$D$11*LN(J285)+'CAFCO 400 '!$D$12))),0)+IF(AND(L285="Cafco 400",M285="Software Idiem",C285="C"),((('CAFCO 400 '!$L$7*(J285^3)+'CAFCO 400 '!$L$8*(J285^2)+'CAFCO 400 '!$L$9*J285+'CAFCO 400 '!$L$10)*U285^2)+(('CAFCO 400 '!$L$11*(J285^3)+'CAFCO 400 '!$L$12*(J285^2)+'CAFCO 400 '!$L$13*J285+'CAFCO 400 '!$L$14)*U285)+('CAFCO 400 '!$L$15*LN(J285)+'CAFCO 400 '!$L$16)),0)+IF(AND(L285="Cafco 400",M285="Software Idiem",C285="L"),((('CAFCO 400 '!$L$7*(J285^3)+'CAFCO 400 '!$L$8*(J285^2)+'CAFCO 400 '!$L$9*J285+'CAFCO 400 '!$L$10)*U285^2)+(('CAFCO 400 '!$L$11*(J285^3)+'CAFCO 400 '!$L$12*(J285^2)+'CAFCO 400 '!$L$13*J285+'CAFCO 400 '!$L$14)*U285)+('CAFCO 400 '!$L$15*LN(J285)+'CAFCO 400 '!$L$16)),0)+IF(AND(L285="Cafco 400",M285="Software Idiem",C285="IN",G285=3),((('CAFCO 400 '!$D$23*(J285^2)+'CAFCO 400 '!$D$24*(J285)+'CAFCO 400 '!$D$25)*U285^2)+(('CAFCO 400 '!$D$26*(J285^2)+'CAFCO 400 '!$D$27*J285+'CAFCO 400 '!$D$28)*U285)+('CAFCO 400 '!$D$29*(J285^2)+'CAFCO 400 '!$D$30*J285+'CAFCO 400 '!$D$31)),0),0)+IF(AND(L285="Cafco 300",J285&gt;=95,J285&lt;=240,C285="Cj",I285=90),VLOOKUP(T285,'CAFCO 300 IDIEM TABLAS'!$B$4:$D$23,2,FALSE),0)+IF(AND(L285="Cafco 300",J285&gt;=95,J285&lt;=240,C285="Cj",I285=120),VLOOKUP(T285,'CAFCO 300 IDIEM TABLAS'!$B$4:$D$23,3,FALSE),0)+IF(AND(L285="Cafco 300",J285&gt;=95,J285&lt;=400,G285=3,C285="IN",I285=90),VLOOKUP(T285,'CAFCO 300 IDIEM TABLAS'!$F$4:$H$35,2,FALSE),0)+IF(AND(L285="Cafco 300",J285&gt;=95,J285&lt;=400,G285=3,C285="IN",I285=120),VLOOKUP(T285,'CAFCO 300 IDIEM TABLAS'!$F$4:$H$35,3,FALSE),0)+IF(AND(L285="Cafco 300",J285&gt;=95,J285&lt;=450,G285=4,C285="IN",I285=90),VLOOKUP(T285,'CAFCO 300 IDIEM TABLAS'!$J$4:$L$40,2,FALSE),0)+IF(AND(L285="Cafco 300",J285&gt;=95,J285&lt;=450,G285=4,C285="IN",I285=120),VLOOKUP(T285,'CAFCO 300 IDIEM TABLAS'!$J$4:$L$40,3,FALSE),0)+IF(AND(M285="Ensayo Idiem",L285="Cafco 400",C285="IN",G285=4,I285=90),VLOOKUP(T285,'CAFCO 400 ENSAYO'!$B$7:$D$43,2,FALSE),0)+IF(AND(M285="Ensayo Idiem",L285="Cafco 400",C285="IN",G285=4,I285=120),VLOOKUP(T285,'CAFCO 400 ENSAYO'!$B$7:$D$43,3,FALSE),0)</f>
        <v>0</v>
      </c>
      <c r="O285" s="96">
        <f t="shared" si="33"/>
        <v>0</v>
      </c>
      <c r="P285" s="95" t="str">
        <f t="shared" si="34"/>
        <v>N/A</v>
      </c>
      <c r="Q285" s="95" t="str">
        <f t="shared" si="35"/>
        <v>N/A</v>
      </c>
      <c r="R285" s="95" t="str">
        <f t="shared" si="36"/>
        <v>NO CERT.</v>
      </c>
      <c r="S285" s="95" t="e">
        <f t="shared" si="31"/>
        <v>#N/A</v>
      </c>
      <c r="T285" s="119" t="e">
        <f>+IF(J285=LOOKUP(J285,'CAFCO 300 IDIEM TABLAS'!$J$4:$J$40),'CALCULO MORTERO'!J285,MROUND('CALCULO MORTERO'!J285,10))</f>
        <v>#N/A</v>
      </c>
      <c r="U285" s="118">
        <f t="shared" si="32"/>
        <v>0</v>
      </c>
      <c r="Y285" s="4"/>
      <c r="Z285" s="4"/>
      <c r="AA285" s="4"/>
    </row>
    <row r="286" spans="1:27" ht="15.6" customHeight="1" x14ac:dyDescent="0.25">
      <c r="A286" s="118">
        <f>+CUBICACION!D280</f>
        <v>0</v>
      </c>
      <c r="B286" s="819">
        <f>+CUBICACION!E280</f>
        <v>0</v>
      </c>
      <c r="C286" s="675">
        <f>+CUBICACION!F280</f>
        <v>0</v>
      </c>
      <c r="D286" s="118"/>
      <c r="E286" s="118"/>
      <c r="F286" s="820"/>
      <c r="G286" s="675">
        <f>+CUBICACION!J280</f>
        <v>0</v>
      </c>
      <c r="H286" s="118"/>
      <c r="I286" s="821">
        <f>+CUBICACION!L280</f>
        <v>0</v>
      </c>
      <c r="J286" s="64">
        <f>+CUBICACION!M280</f>
        <v>0</v>
      </c>
      <c r="K286" s="822" t="str">
        <f>+CUBICACION!N280</f>
        <v/>
      </c>
      <c r="L286" s="118">
        <f>+CUBICACION!O280</f>
        <v>0</v>
      </c>
      <c r="M286" s="823">
        <f>+CUBICACION!P280</f>
        <v>0</v>
      </c>
      <c r="N286" s="902">
        <f>ROUND(IF(AND(L286="Blaze Shield II",M286="Software Idiem",C286="IN",G286=4),((('BLAZE SHIELD II'!$D$4*('CALCULO MORTERO'!I286^2)+'BLAZE SHIELD II'!$D$5*'CALCULO MORTERO'!I286+'BLAZE SHIELD II'!$D$6)*LN(J286))+('BLAZE SHIELD II'!$D$7*('CALCULO MORTERO'!I286^2)+'BLAZE SHIELD II'!$D$8*'CALCULO MORTERO'!I286+'BLAZE SHIELD II'!$D$9)),0)+IF(AND(L286="Blaze Shield II",M286="Software Idiem",C286="Cj"),((('BLAZE SHIELD II'!$H$4*('CALCULO MORTERO'!I286^2)+'BLAZE SHIELD II'!$H$5*'CALCULO MORTERO'!I286+'BLAZE SHIELD II'!$H$6)*LN(J286))+('BLAZE SHIELD II'!$H$7*('CALCULO MORTERO'!I286^2)+'BLAZE SHIELD II'!$H$8*'CALCULO MORTERO'!I286+'BLAZE SHIELD II'!$H$9)),0)+IF(AND(L286="Blaze Shield II",M286="Software Idiem",C286="C"),((('BLAZE SHIELD II'!$L$4*('CALCULO MORTERO'!I286^2)+'BLAZE SHIELD II'!$L$5*'CALCULO MORTERO'!I286+'BLAZE SHIELD II'!$L$6)*LN(J286))+('BLAZE SHIELD II'!$L$7*('CALCULO MORTERO'!I286^2)+'BLAZE SHIELD II'!$L$8*'CALCULO MORTERO'!I286+'BLAZE SHIELD II'!$L$9)),0)+IF(AND(L286="Blaze Shield II",M286="Software Idiem",C286="L"),((('BLAZE SHIELD II'!$L$4*('CALCULO MORTERO'!I286^2)+'BLAZE SHIELD II'!$L$5*'CALCULO MORTERO'!I286+'BLAZE SHIELD II'!$L$6)*LN(J286))+('BLAZE SHIELD II'!$L$7*('CALCULO MORTERO'!I286^2)+'BLAZE SHIELD II'!$L$8*'CALCULO MORTERO'!I286+'BLAZE SHIELD II'!$L$9)),0)+IF(AND(L286="Blaze Shield II",M286="Software Idiem",C286="IN",G286=3),((('BLAZE SHIELD II'!$H$14*('CALCULO MORTERO'!I286^2)+'BLAZE SHIELD II'!$H$15*'CALCULO MORTERO'!I286+'BLAZE SHIELD II'!$H$16)*LN(J286))+('BLAZE SHIELD II'!$H$17*('CALCULO MORTERO'!I286^2)+'BLAZE SHIELD II'!$H$18*'CALCULO MORTERO'!I286+'BLAZE SHIELD II'!$H$19)),0),0)+ROUND(IF(AND(L286="Cafco 400",M286="Software Idiem",C286="IN",G286=4),((('CAFCO 400 '!$H$7*(J286^4)+'CAFCO 400 '!$H$8*(J286^3)+'CAFCO 400 '!$H$9*(J286^2)+'CAFCO 400 '!$H$10*J286+'CAFCO 400 '!$H$11)*U286^2)+(('CAFCO 400 '!$H$12*(J286^3)+'CAFCO 400 '!$H$13*(J286^2)+'CAFCO 400 '!$H$14*J286+'CAFCO 400 '!$H$15)*U286)+('CAFCO 400 '!$H$16*(J286^2)+'CAFCO 400 '!$H$17*J286+'CAFCO 400 '!$H$18)),0)+IF(AND(L286="Cafco 400",M286="Software Idiem",C286="Cj"),(((('CAFCO 400 '!$D$7*LN(J286)+'CAFCO 400 '!$D$8)*U286^2)+(('CAFCO 400 '!$D$9*LN(J286)+'CAFCO 400 '!$D$10)*U286)+('CAFCO 400 '!$D$11*LN(J286)+'CAFCO 400 '!$D$12))),0)+IF(AND(L286="Cafco 400",M286="Software Idiem",C286="C"),((('CAFCO 400 '!$L$7*(J286^3)+'CAFCO 400 '!$L$8*(J286^2)+'CAFCO 400 '!$L$9*J286+'CAFCO 400 '!$L$10)*U286^2)+(('CAFCO 400 '!$L$11*(J286^3)+'CAFCO 400 '!$L$12*(J286^2)+'CAFCO 400 '!$L$13*J286+'CAFCO 400 '!$L$14)*U286)+('CAFCO 400 '!$L$15*LN(J286)+'CAFCO 400 '!$L$16)),0)+IF(AND(L286="Cafco 400",M286="Software Idiem",C286="L"),((('CAFCO 400 '!$L$7*(J286^3)+'CAFCO 400 '!$L$8*(J286^2)+'CAFCO 400 '!$L$9*J286+'CAFCO 400 '!$L$10)*U286^2)+(('CAFCO 400 '!$L$11*(J286^3)+'CAFCO 400 '!$L$12*(J286^2)+'CAFCO 400 '!$L$13*J286+'CAFCO 400 '!$L$14)*U286)+('CAFCO 400 '!$L$15*LN(J286)+'CAFCO 400 '!$L$16)),0)+IF(AND(L286="Cafco 400",M286="Software Idiem",C286="IN",G286=3),((('CAFCO 400 '!$D$23*(J286^2)+'CAFCO 400 '!$D$24*(J286)+'CAFCO 400 '!$D$25)*U286^2)+(('CAFCO 400 '!$D$26*(J286^2)+'CAFCO 400 '!$D$27*J286+'CAFCO 400 '!$D$28)*U286)+('CAFCO 400 '!$D$29*(J286^2)+'CAFCO 400 '!$D$30*J286+'CAFCO 400 '!$D$31)),0),0)+IF(AND(L286="Cafco 300",J286&gt;=95,J286&lt;=240,C286="Cj",I286=90),VLOOKUP(T286,'CAFCO 300 IDIEM TABLAS'!$B$4:$D$23,2,FALSE),0)+IF(AND(L286="Cafco 300",J286&gt;=95,J286&lt;=240,C286="Cj",I286=120),VLOOKUP(T286,'CAFCO 300 IDIEM TABLAS'!$B$4:$D$23,3,FALSE),0)+IF(AND(L286="Cafco 300",J286&gt;=95,J286&lt;=400,G286=3,C286="IN",I286=90),VLOOKUP(T286,'CAFCO 300 IDIEM TABLAS'!$F$4:$H$35,2,FALSE),0)+IF(AND(L286="Cafco 300",J286&gt;=95,J286&lt;=400,G286=3,C286="IN",I286=120),VLOOKUP(T286,'CAFCO 300 IDIEM TABLAS'!$F$4:$H$35,3,FALSE),0)+IF(AND(L286="Cafco 300",J286&gt;=95,J286&lt;=450,G286=4,C286="IN",I286=90),VLOOKUP(T286,'CAFCO 300 IDIEM TABLAS'!$J$4:$L$40,2,FALSE),0)+IF(AND(L286="Cafco 300",J286&gt;=95,J286&lt;=450,G286=4,C286="IN",I286=120),VLOOKUP(T286,'CAFCO 300 IDIEM TABLAS'!$J$4:$L$40,3,FALSE),0)+IF(AND(M286="Ensayo Idiem",L286="Cafco 400",C286="IN",G286=4,I286=90),VLOOKUP(T286,'CAFCO 400 ENSAYO'!$B$7:$D$43,2,FALSE),0)+IF(AND(M286="Ensayo Idiem",L286="Cafco 400",C286="IN",G286=4,I286=120),VLOOKUP(T286,'CAFCO 400 ENSAYO'!$B$7:$D$43,3,FALSE),0)</f>
        <v>0</v>
      </c>
      <c r="O286" s="96">
        <f t="shared" si="33"/>
        <v>0</v>
      </c>
      <c r="P286" s="95" t="str">
        <f t="shared" si="34"/>
        <v>N/A</v>
      </c>
      <c r="Q286" s="95" t="str">
        <f t="shared" si="35"/>
        <v>N/A</v>
      </c>
      <c r="R286" s="95" t="str">
        <f t="shared" si="36"/>
        <v>NO CERT.</v>
      </c>
      <c r="S286" s="95" t="e">
        <f t="shared" si="31"/>
        <v>#N/A</v>
      </c>
      <c r="T286" s="119" t="e">
        <f>+IF(J286=LOOKUP(J286,'CAFCO 300 IDIEM TABLAS'!$J$4:$J$40),'CALCULO MORTERO'!J286,MROUND('CALCULO MORTERO'!J286,10))</f>
        <v>#N/A</v>
      </c>
      <c r="U286" s="118">
        <f t="shared" si="32"/>
        <v>0</v>
      </c>
      <c r="Y286" s="4"/>
      <c r="Z286" s="4"/>
      <c r="AA286" s="4"/>
    </row>
    <row r="287" spans="1:27" x14ac:dyDescent="0.25">
      <c r="A287" s="118">
        <f>+CUBICACION!D281</f>
        <v>0</v>
      </c>
      <c r="B287" s="819">
        <f>+CUBICACION!E281</f>
        <v>0</v>
      </c>
      <c r="C287" s="675">
        <f>+CUBICACION!F281</f>
        <v>0</v>
      </c>
      <c r="D287" s="118"/>
      <c r="E287" s="118"/>
      <c r="F287" s="820"/>
      <c r="G287" s="675">
        <f>+CUBICACION!J281</f>
        <v>0</v>
      </c>
      <c r="H287" s="118"/>
      <c r="I287" s="821">
        <f>+CUBICACION!L281</f>
        <v>0</v>
      </c>
      <c r="J287" s="64">
        <f>+CUBICACION!M281</f>
        <v>0</v>
      </c>
      <c r="K287" s="822" t="str">
        <f>+CUBICACION!N281</f>
        <v/>
      </c>
      <c r="L287" s="118">
        <f>+CUBICACION!O281</f>
        <v>0</v>
      </c>
      <c r="M287" s="823">
        <f>+CUBICACION!P281</f>
        <v>0</v>
      </c>
      <c r="N287" s="902">
        <f>ROUND(IF(AND(L287="Blaze Shield II",M287="Software Idiem",C287="IN",G287=4),((('BLAZE SHIELD II'!$D$4*('CALCULO MORTERO'!I287^2)+'BLAZE SHIELD II'!$D$5*'CALCULO MORTERO'!I287+'BLAZE SHIELD II'!$D$6)*LN(J287))+('BLAZE SHIELD II'!$D$7*('CALCULO MORTERO'!I287^2)+'BLAZE SHIELD II'!$D$8*'CALCULO MORTERO'!I287+'BLAZE SHIELD II'!$D$9)),0)+IF(AND(L287="Blaze Shield II",M287="Software Idiem",C287="Cj"),((('BLAZE SHIELD II'!$H$4*('CALCULO MORTERO'!I287^2)+'BLAZE SHIELD II'!$H$5*'CALCULO MORTERO'!I287+'BLAZE SHIELD II'!$H$6)*LN(J287))+('BLAZE SHIELD II'!$H$7*('CALCULO MORTERO'!I287^2)+'BLAZE SHIELD II'!$H$8*'CALCULO MORTERO'!I287+'BLAZE SHIELD II'!$H$9)),0)+IF(AND(L287="Blaze Shield II",M287="Software Idiem",C287="C"),((('BLAZE SHIELD II'!$L$4*('CALCULO MORTERO'!I287^2)+'BLAZE SHIELD II'!$L$5*'CALCULO MORTERO'!I287+'BLAZE SHIELD II'!$L$6)*LN(J287))+('BLAZE SHIELD II'!$L$7*('CALCULO MORTERO'!I287^2)+'BLAZE SHIELD II'!$L$8*'CALCULO MORTERO'!I287+'BLAZE SHIELD II'!$L$9)),0)+IF(AND(L287="Blaze Shield II",M287="Software Idiem",C287="L"),((('BLAZE SHIELD II'!$L$4*('CALCULO MORTERO'!I287^2)+'BLAZE SHIELD II'!$L$5*'CALCULO MORTERO'!I287+'BLAZE SHIELD II'!$L$6)*LN(J287))+('BLAZE SHIELD II'!$L$7*('CALCULO MORTERO'!I287^2)+'BLAZE SHIELD II'!$L$8*'CALCULO MORTERO'!I287+'BLAZE SHIELD II'!$L$9)),0)+IF(AND(L287="Blaze Shield II",M287="Software Idiem",C287="IN",G287=3),((('BLAZE SHIELD II'!$H$14*('CALCULO MORTERO'!I287^2)+'BLAZE SHIELD II'!$H$15*'CALCULO MORTERO'!I287+'BLAZE SHIELD II'!$H$16)*LN(J287))+('BLAZE SHIELD II'!$H$17*('CALCULO MORTERO'!I287^2)+'BLAZE SHIELD II'!$H$18*'CALCULO MORTERO'!I287+'BLAZE SHIELD II'!$H$19)),0),0)+ROUND(IF(AND(L287="Cafco 400",M287="Software Idiem",C287="IN",G287=4),((('CAFCO 400 '!$H$7*(J287^4)+'CAFCO 400 '!$H$8*(J287^3)+'CAFCO 400 '!$H$9*(J287^2)+'CAFCO 400 '!$H$10*J287+'CAFCO 400 '!$H$11)*U287^2)+(('CAFCO 400 '!$H$12*(J287^3)+'CAFCO 400 '!$H$13*(J287^2)+'CAFCO 400 '!$H$14*J287+'CAFCO 400 '!$H$15)*U287)+('CAFCO 400 '!$H$16*(J287^2)+'CAFCO 400 '!$H$17*J287+'CAFCO 400 '!$H$18)),0)+IF(AND(L287="Cafco 400",M287="Software Idiem",C287="Cj"),(((('CAFCO 400 '!$D$7*LN(J287)+'CAFCO 400 '!$D$8)*U287^2)+(('CAFCO 400 '!$D$9*LN(J287)+'CAFCO 400 '!$D$10)*U287)+('CAFCO 400 '!$D$11*LN(J287)+'CAFCO 400 '!$D$12))),0)+IF(AND(L287="Cafco 400",M287="Software Idiem",C287="C"),((('CAFCO 400 '!$L$7*(J287^3)+'CAFCO 400 '!$L$8*(J287^2)+'CAFCO 400 '!$L$9*J287+'CAFCO 400 '!$L$10)*U287^2)+(('CAFCO 400 '!$L$11*(J287^3)+'CAFCO 400 '!$L$12*(J287^2)+'CAFCO 400 '!$L$13*J287+'CAFCO 400 '!$L$14)*U287)+('CAFCO 400 '!$L$15*LN(J287)+'CAFCO 400 '!$L$16)),0)+IF(AND(L287="Cafco 400",M287="Software Idiem",C287="L"),((('CAFCO 400 '!$L$7*(J287^3)+'CAFCO 400 '!$L$8*(J287^2)+'CAFCO 400 '!$L$9*J287+'CAFCO 400 '!$L$10)*U287^2)+(('CAFCO 400 '!$L$11*(J287^3)+'CAFCO 400 '!$L$12*(J287^2)+'CAFCO 400 '!$L$13*J287+'CAFCO 400 '!$L$14)*U287)+('CAFCO 400 '!$L$15*LN(J287)+'CAFCO 400 '!$L$16)),0)+IF(AND(L287="Cafco 400",M287="Software Idiem",C287="IN",G287=3),((('CAFCO 400 '!$D$23*(J287^2)+'CAFCO 400 '!$D$24*(J287)+'CAFCO 400 '!$D$25)*U287^2)+(('CAFCO 400 '!$D$26*(J287^2)+'CAFCO 400 '!$D$27*J287+'CAFCO 400 '!$D$28)*U287)+('CAFCO 400 '!$D$29*(J287^2)+'CAFCO 400 '!$D$30*J287+'CAFCO 400 '!$D$31)),0),0)+IF(AND(L287="Cafco 300",J287&gt;=95,J287&lt;=240,C287="Cj",I287=90),VLOOKUP(T287,'CAFCO 300 IDIEM TABLAS'!$B$4:$D$23,2,FALSE),0)+IF(AND(L287="Cafco 300",J287&gt;=95,J287&lt;=240,C287="Cj",I287=120),VLOOKUP(T287,'CAFCO 300 IDIEM TABLAS'!$B$4:$D$23,3,FALSE),0)+IF(AND(L287="Cafco 300",J287&gt;=95,J287&lt;=400,G287=3,C287="IN",I287=90),VLOOKUP(T287,'CAFCO 300 IDIEM TABLAS'!$F$4:$H$35,2,FALSE),0)+IF(AND(L287="Cafco 300",J287&gt;=95,J287&lt;=400,G287=3,C287="IN",I287=120),VLOOKUP(T287,'CAFCO 300 IDIEM TABLAS'!$F$4:$H$35,3,FALSE),0)+IF(AND(L287="Cafco 300",J287&gt;=95,J287&lt;=450,G287=4,C287="IN",I287=90),VLOOKUP(T287,'CAFCO 300 IDIEM TABLAS'!$J$4:$L$40,2,FALSE),0)+IF(AND(L287="Cafco 300",J287&gt;=95,J287&lt;=450,G287=4,C287="IN",I287=120),VLOOKUP(T287,'CAFCO 300 IDIEM TABLAS'!$J$4:$L$40,3,FALSE),0)+IF(AND(M287="Ensayo Idiem",L287="Cafco 400",C287="IN",G287=4,I287=90),VLOOKUP(T287,'CAFCO 400 ENSAYO'!$B$7:$D$43,2,FALSE),0)+IF(AND(M287="Ensayo Idiem",L287="Cafco 400",C287="IN",G287=4,I287=120),VLOOKUP(T287,'CAFCO 400 ENSAYO'!$B$7:$D$43,3,FALSE),0)</f>
        <v>0</v>
      </c>
      <c r="O287" s="96">
        <f t="shared" si="33"/>
        <v>0</v>
      </c>
      <c r="P287" s="95" t="str">
        <f t="shared" si="34"/>
        <v>N/A</v>
      </c>
      <c r="Q287" s="95" t="str">
        <f t="shared" si="35"/>
        <v>N/A</v>
      </c>
      <c r="R287" s="95" t="str">
        <f t="shared" si="36"/>
        <v>NO CERT.</v>
      </c>
      <c r="S287" s="95" t="e">
        <f t="shared" si="31"/>
        <v>#N/A</v>
      </c>
      <c r="T287" s="119" t="e">
        <f>+IF(J287=LOOKUP(J287,'CAFCO 300 IDIEM TABLAS'!$J$4:$J$40),'CALCULO MORTERO'!J287,MROUND('CALCULO MORTERO'!J287,10))</f>
        <v>#N/A</v>
      </c>
      <c r="U287" s="118">
        <f t="shared" si="32"/>
        <v>0</v>
      </c>
      <c r="Y287" s="4"/>
      <c r="Z287" s="4"/>
      <c r="AA287" s="4"/>
    </row>
    <row r="288" spans="1:27" ht="15.6" customHeight="1" x14ac:dyDescent="0.25">
      <c r="A288" s="118">
        <f>+CUBICACION!D282</f>
        <v>0</v>
      </c>
      <c r="B288" s="819">
        <f>+CUBICACION!E282</f>
        <v>0</v>
      </c>
      <c r="C288" s="675">
        <f>+CUBICACION!F282</f>
        <v>0</v>
      </c>
      <c r="D288" s="118"/>
      <c r="E288" s="118"/>
      <c r="F288" s="820"/>
      <c r="G288" s="675">
        <f>+CUBICACION!J282</f>
        <v>0</v>
      </c>
      <c r="H288" s="118"/>
      <c r="I288" s="821">
        <f>+CUBICACION!L282</f>
        <v>0</v>
      </c>
      <c r="J288" s="64">
        <f>+CUBICACION!M282</f>
        <v>0</v>
      </c>
      <c r="K288" s="822" t="str">
        <f>+CUBICACION!N282</f>
        <v/>
      </c>
      <c r="L288" s="118">
        <f>+CUBICACION!O282</f>
        <v>0</v>
      </c>
      <c r="M288" s="823">
        <f>+CUBICACION!P282</f>
        <v>0</v>
      </c>
      <c r="N288" s="902">
        <f>ROUND(IF(AND(L288="Blaze Shield II",M288="Software Idiem",C288="IN",G288=4),((('BLAZE SHIELD II'!$D$4*('CALCULO MORTERO'!I288^2)+'BLAZE SHIELD II'!$D$5*'CALCULO MORTERO'!I288+'BLAZE SHIELD II'!$D$6)*LN(J288))+('BLAZE SHIELD II'!$D$7*('CALCULO MORTERO'!I288^2)+'BLAZE SHIELD II'!$D$8*'CALCULO MORTERO'!I288+'BLAZE SHIELD II'!$D$9)),0)+IF(AND(L288="Blaze Shield II",M288="Software Idiem",C288="Cj"),((('BLAZE SHIELD II'!$H$4*('CALCULO MORTERO'!I288^2)+'BLAZE SHIELD II'!$H$5*'CALCULO MORTERO'!I288+'BLAZE SHIELD II'!$H$6)*LN(J288))+('BLAZE SHIELD II'!$H$7*('CALCULO MORTERO'!I288^2)+'BLAZE SHIELD II'!$H$8*'CALCULO MORTERO'!I288+'BLAZE SHIELD II'!$H$9)),0)+IF(AND(L288="Blaze Shield II",M288="Software Idiem",C288="C"),((('BLAZE SHIELD II'!$L$4*('CALCULO MORTERO'!I288^2)+'BLAZE SHIELD II'!$L$5*'CALCULO MORTERO'!I288+'BLAZE SHIELD II'!$L$6)*LN(J288))+('BLAZE SHIELD II'!$L$7*('CALCULO MORTERO'!I288^2)+'BLAZE SHIELD II'!$L$8*'CALCULO MORTERO'!I288+'BLAZE SHIELD II'!$L$9)),0)+IF(AND(L288="Blaze Shield II",M288="Software Idiem",C288="L"),((('BLAZE SHIELD II'!$L$4*('CALCULO MORTERO'!I288^2)+'BLAZE SHIELD II'!$L$5*'CALCULO MORTERO'!I288+'BLAZE SHIELD II'!$L$6)*LN(J288))+('BLAZE SHIELD II'!$L$7*('CALCULO MORTERO'!I288^2)+'BLAZE SHIELD II'!$L$8*'CALCULO MORTERO'!I288+'BLAZE SHIELD II'!$L$9)),0)+IF(AND(L288="Blaze Shield II",M288="Software Idiem",C288="IN",G288=3),((('BLAZE SHIELD II'!$H$14*('CALCULO MORTERO'!I288^2)+'BLAZE SHIELD II'!$H$15*'CALCULO MORTERO'!I288+'BLAZE SHIELD II'!$H$16)*LN(J288))+('BLAZE SHIELD II'!$H$17*('CALCULO MORTERO'!I288^2)+'BLAZE SHIELD II'!$H$18*'CALCULO MORTERO'!I288+'BLAZE SHIELD II'!$H$19)),0),0)+ROUND(IF(AND(L288="Cafco 400",M288="Software Idiem",C288="IN",G288=4),((('CAFCO 400 '!$H$7*(J288^4)+'CAFCO 400 '!$H$8*(J288^3)+'CAFCO 400 '!$H$9*(J288^2)+'CAFCO 400 '!$H$10*J288+'CAFCO 400 '!$H$11)*U288^2)+(('CAFCO 400 '!$H$12*(J288^3)+'CAFCO 400 '!$H$13*(J288^2)+'CAFCO 400 '!$H$14*J288+'CAFCO 400 '!$H$15)*U288)+('CAFCO 400 '!$H$16*(J288^2)+'CAFCO 400 '!$H$17*J288+'CAFCO 400 '!$H$18)),0)+IF(AND(L288="Cafco 400",M288="Software Idiem",C288="Cj"),(((('CAFCO 400 '!$D$7*LN(J288)+'CAFCO 400 '!$D$8)*U288^2)+(('CAFCO 400 '!$D$9*LN(J288)+'CAFCO 400 '!$D$10)*U288)+('CAFCO 400 '!$D$11*LN(J288)+'CAFCO 400 '!$D$12))),0)+IF(AND(L288="Cafco 400",M288="Software Idiem",C288="C"),((('CAFCO 400 '!$L$7*(J288^3)+'CAFCO 400 '!$L$8*(J288^2)+'CAFCO 400 '!$L$9*J288+'CAFCO 400 '!$L$10)*U288^2)+(('CAFCO 400 '!$L$11*(J288^3)+'CAFCO 400 '!$L$12*(J288^2)+'CAFCO 400 '!$L$13*J288+'CAFCO 400 '!$L$14)*U288)+('CAFCO 400 '!$L$15*LN(J288)+'CAFCO 400 '!$L$16)),0)+IF(AND(L288="Cafco 400",M288="Software Idiem",C288="L"),((('CAFCO 400 '!$L$7*(J288^3)+'CAFCO 400 '!$L$8*(J288^2)+'CAFCO 400 '!$L$9*J288+'CAFCO 400 '!$L$10)*U288^2)+(('CAFCO 400 '!$L$11*(J288^3)+'CAFCO 400 '!$L$12*(J288^2)+'CAFCO 400 '!$L$13*J288+'CAFCO 400 '!$L$14)*U288)+('CAFCO 400 '!$L$15*LN(J288)+'CAFCO 400 '!$L$16)),0)+IF(AND(L288="Cafco 400",M288="Software Idiem",C288="IN",G288=3),((('CAFCO 400 '!$D$23*(J288^2)+'CAFCO 400 '!$D$24*(J288)+'CAFCO 400 '!$D$25)*U288^2)+(('CAFCO 400 '!$D$26*(J288^2)+'CAFCO 400 '!$D$27*J288+'CAFCO 400 '!$D$28)*U288)+('CAFCO 400 '!$D$29*(J288^2)+'CAFCO 400 '!$D$30*J288+'CAFCO 400 '!$D$31)),0),0)+IF(AND(L288="Cafco 300",J288&gt;=95,J288&lt;=240,C288="Cj",I288=90),VLOOKUP(T288,'CAFCO 300 IDIEM TABLAS'!$B$4:$D$23,2,FALSE),0)+IF(AND(L288="Cafco 300",J288&gt;=95,J288&lt;=240,C288="Cj",I288=120),VLOOKUP(T288,'CAFCO 300 IDIEM TABLAS'!$B$4:$D$23,3,FALSE),0)+IF(AND(L288="Cafco 300",J288&gt;=95,J288&lt;=400,G288=3,C288="IN",I288=90),VLOOKUP(T288,'CAFCO 300 IDIEM TABLAS'!$F$4:$H$35,2,FALSE),0)+IF(AND(L288="Cafco 300",J288&gt;=95,J288&lt;=400,G288=3,C288="IN",I288=120),VLOOKUP(T288,'CAFCO 300 IDIEM TABLAS'!$F$4:$H$35,3,FALSE),0)+IF(AND(L288="Cafco 300",J288&gt;=95,J288&lt;=450,G288=4,C288="IN",I288=90),VLOOKUP(T288,'CAFCO 300 IDIEM TABLAS'!$J$4:$L$40,2,FALSE),0)+IF(AND(L288="Cafco 300",J288&gt;=95,J288&lt;=450,G288=4,C288="IN",I288=120),VLOOKUP(T288,'CAFCO 300 IDIEM TABLAS'!$J$4:$L$40,3,FALSE),0)+IF(AND(M288="Ensayo Idiem",L288="Cafco 400",C288="IN",G288=4,I288=90),VLOOKUP(T288,'CAFCO 400 ENSAYO'!$B$7:$D$43,2,FALSE),0)+IF(AND(M288="Ensayo Idiem",L288="Cafco 400",C288="IN",G288=4,I288=120),VLOOKUP(T288,'CAFCO 400 ENSAYO'!$B$7:$D$43,3,FALSE),0)</f>
        <v>0</v>
      </c>
      <c r="O288" s="96">
        <f t="shared" si="33"/>
        <v>0</v>
      </c>
      <c r="P288" s="95" t="str">
        <f t="shared" si="34"/>
        <v>N/A</v>
      </c>
      <c r="Q288" s="95" t="str">
        <f t="shared" si="35"/>
        <v>N/A</v>
      </c>
      <c r="R288" s="95" t="str">
        <f t="shared" si="36"/>
        <v>NO CERT.</v>
      </c>
      <c r="S288" s="95" t="e">
        <f t="shared" si="31"/>
        <v>#N/A</v>
      </c>
      <c r="T288" s="119" t="e">
        <f>+IF(J288=LOOKUP(J288,'CAFCO 300 IDIEM TABLAS'!$J$4:$J$40),'CALCULO MORTERO'!J288,MROUND('CALCULO MORTERO'!J288,10))</f>
        <v>#N/A</v>
      </c>
      <c r="U288" s="118">
        <f t="shared" si="32"/>
        <v>0</v>
      </c>
      <c r="Y288" s="4"/>
      <c r="Z288" s="4"/>
      <c r="AA288" s="4"/>
    </row>
    <row r="289" spans="1:27" x14ac:dyDescent="0.25">
      <c r="A289" s="118">
        <f>+CUBICACION!D283</f>
        <v>0</v>
      </c>
      <c r="B289" s="819">
        <f>+CUBICACION!E283</f>
        <v>0</v>
      </c>
      <c r="C289" s="675">
        <f>+CUBICACION!F283</f>
        <v>0</v>
      </c>
      <c r="D289" s="118"/>
      <c r="E289" s="118"/>
      <c r="F289" s="820"/>
      <c r="G289" s="675">
        <f>+CUBICACION!J283</f>
        <v>0</v>
      </c>
      <c r="H289" s="118"/>
      <c r="I289" s="821">
        <f>+CUBICACION!L283</f>
        <v>0</v>
      </c>
      <c r="J289" s="64">
        <f>+CUBICACION!M283</f>
        <v>0</v>
      </c>
      <c r="K289" s="822" t="str">
        <f>+CUBICACION!N283</f>
        <v/>
      </c>
      <c r="L289" s="118">
        <f>+CUBICACION!O283</f>
        <v>0</v>
      </c>
      <c r="M289" s="823">
        <f>+CUBICACION!P283</f>
        <v>0</v>
      </c>
      <c r="N289" s="902">
        <f>ROUND(IF(AND(L289="Blaze Shield II",M289="Software Idiem",C289="IN",G289=4),((('BLAZE SHIELD II'!$D$4*('CALCULO MORTERO'!I289^2)+'BLAZE SHIELD II'!$D$5*'CALCULO MORTERO'!I289+'BLAZE SHIELD II'!$D$6)*LN(J289))+('BLAZE SHIELD II'!$D$7*('CALCULO MORTERO'!I289^2)+'BLAZE SHIELD II'!$D$8*'CALCULO MORTERO'!I289+'BLAZE SHIELD II'!$D$9)),0)+IF(AND(L289="Blaze Shield II",M289="Software Idiem",C289="Cj"),((('BLAZE SHIELD II'!$H$4*('CALCULO MORTERO'!I289^2)+'BLAZE SHIELD II'!$H$5*'CALCULO MORTERO'!I289+'BLAZE SHIELD II'!$H$6)*LN(J289))+('BLAZE SHIELD II'!$H$7*('CALCULO MORTERO'!I289^2)+'BLAZE SHIELD II'!$H$8*'CALCULO MORTERO'!I289+'BLAZE SHIELD II'!$H$9)),0)+IF(AND(L289="Blaze Shield II",M289="Software Idiem",C289="C"),((('BLAZE SHIELD II'!$L$4*('CALCULO MORTERO'!I289^2)+'BLAZE SHIELD II'!$L$5*'CALCULO MORTERO'!I289+'BLAZE SHIELD II'!$L$6)*LN(J289))+('BLAZE SHIELD II'!$L$7*('CALCULO MORTERO'!I289^2)+'BLAZE SHIELD II'!$L$8*'CALCULO MORTERO'!I289+'BLAZE SHIELD II'!$L$9)),0)+IF(AND(L289="Blaze Shield II",M289="Software Idiem",C289="L"),((('BLAZE SHIELD II'!$L$4*('CALCULO MORTERO'!I289^2)+'BLAZE SHIELD II'!$L$5*'CALCULO MORTERO'!I289+'BLAZE SHIELD II'!$L$6)*LN(J289))+('BLAZE SHIELD II'!$L$7*('CALCULO MORTERO'!I289^2)+'BLAZE SHIELD II'!$L$8*'CALCULO MORTERO'!I289+'BLAZE SHIELD II'!$L$9)),0)+IF(AND(L289="Blaze Shield II",M289="Software Idiem",C289="IN",G289=3),((('BLAZE SHIELD II'!$H$14*('CALCULO MORTERO'!I289^2)+'BLAZE SHIELD II'!$H$15*'CALCULO MORTERO'!I289+'BLAZE SHIELD II'!$H$16)*LN(J289))+('BLAZE SHIELD II'!$H$17*('CALCULO MORTERO'!I289^2)+'BLAZE SHIELD II'!$H$18*'CALCULO MORTERO'!I289+'BLAZE SHIELD II'!$H$19)),0),0)+ROUND(IF(AND(L289="Cafco 400",M289="Software Idiem",C289="IN",G289=4),((('CAFCO 400 '!$H$7*(J289^4)+'CAFCO 400 '!$H$8*(J289^3)+'CAFCO 400 '!$H$9*(J289^2)+'CAFCO 400 '!$H$10*J289+'CAFCO 400 '!$H$11)*U289^2)+(('CAFCO 400 '!$H$12*(J289^3)+'CAFCO 400 '!$H$13*(J289^2)+'CAFCO 400 '!$H$14*J289+'CAFCO 400 '!$H$15)*U289)+('CAFCO 400 '!$H$16*(J289^2)+'CAFCO 400 '!$H$17*J289+'CAFCO 400 '!$H$18)),0)+IF(AND(L289="Cafco 400",M289="Software Idiem",C289="Cj"),(((('CAFCO 400 '!$D$7*LN(J289)+'CAFCO 400 '!$D$8)*U289^2)+(('CAFCO 400 '!$D$9*LN(J289)+'CAFCO 400 '!$D$10)*U289)+('CAFCO 400 '!$D$11*LN(J289)+'CAFCO 400 '!$D$12))),0)+IF(AND(L289="Cafco 400",M289="Software Idiem",C289="C"),((('CAFCO 400 '!$L$7*(J289^3)+'CAFCO 400 '!$L$8*(J289^2)+'CAFCO 400 '!$L$9*J289+'CAFCO 400 '!$L$10)*U289^2)+(('CAFCO 400 '!$L$11*(J289^3)+'CAFCO 400 '!$L$12*(J289^2)+'CAFCO 400 '!$L$13*J289+'CAFCO 400 '!$L$14)*U289)+('CAFCO 400 '!$L$15*LN(J289)+'CAFCO 400 '!$L$16)),0)+IF(AND(L289="Cafco 400",M289="Software Idiem",C289="L"),((('CAFCO 400 '!$L$7*(J289^3)+'CAFCO 400 '!$L$8*(J289^2)+'CAFCO 400 '!$L$9*J289+'CAFCO 400 '!$L$10)*U289^2)+(('CAFCO 400 '!$L$11*(J289^3)+'CAFCO 400 '!$L$12*(J289^2)+'CAFCO 400 '!$L$13*J289+'CAFCO 400 '!$L$14)*U289)+('CAFCO 400 '!$L$15*LN(J289)+'CAFCO 400 '!$L$16)),0)+IF(AND(L289="Cafco 400",M289="Software Idiem",C289="IN",G289=3),((('CAFCO 400 '!$D$23*(J289^2)+'CAFCO 400 '!$D$24*(J289)+'CAFCO 400 '!$D$25)*U289^2)+(('CAFCO 400 '!$D$26*(J289^2)+'CAFCO 400 '!$D$27*J289+'CAFCO 400 '!$D$28)*U289)+('CAFCO 400 '!$D$29*(J289^2)+'CAFCO 400 '!$D$30*J289+'CAFCO 400 '!$D$31)),0),0)+IF(AND(L289="Cafco 300",J289&gt;=95,J289&lt;=240,C289="Cj",I289=90),VLOOKUP(T289,'CAFCO 300 IDIEM TABLAS'!$B$4:$D$23,2,FALSE),0)+IF(AND(L289="Cafco 300",J289&gt;=95,J289&lt;=240,C289="Cj",I289=120),VLOOKUP(T289,'CAFCO 300 IDIEM TABLAS'!$B$4:$D$23,3,FALSE),0)+IF(AND(L289="Cafco 300",J289&gt;=95,J289&lt;=400,G289=3,C289="IN",I289=90),VLOOKUP(T289,'CAFCO 300 IDIEM TABLAS'!$F$4:$H$35,2,FALSE),0)+IF(AND(L289="Cafco 300",J289&gt;=95,J289&lt;=400,G289=3,C289="IN",I289=120),VLOOKUP(T289,'CAFCO 300 IDIEM TABLAS'!$F$4:$H$35,3,FALSE),0)+IF(AND(L289="Cafco 300",J289&gt;=95,J289&lt;=450,G289=4,C289="IN",I289=90),VLOOKUP(T289,'CAFCO 300 IDIEM TABLAS'!$J$4:$L$40,2,FALSE),0)+IF(AND(L289="Cafco 300",J289&gt;=95,J289&lt;=450,G289=4,C289="IN",I289=120),VLOOKUP(T289,'CAFCO 300 IDIEM TABLAS'!$J$4:$L$40,3,FALSE),0)+IF(AND(M289="Ensayo Idiem",L289="Cafco 400",C289="IN",G289=4,I289=90),VLOOKUP(T289,'CAFCO 400 ENSAYO'!$B$7:$D$43,2,FALSE),0)+IF(AND(M289="Ensayo Idiem",L289="Cafco 400",C289="IN",G289=4,I289=120),VLOOKUP(T289,'CAFCO 400 ENSAYO'!$B$7:$D$43,3,FALSE),0)</f>
        <v>0</v>
      </c>
      <c r="O289" s="96">
        <f t="shared" si="33"/>
        <v>0</v>
      </c>
      <c r="P289" s="95" t="str">
        <f t="shared" si="34"/>
        <v>N/A</v>
      </c>
      <c r="Q289" s="95" t="str">
        <f t="shared" si="35"/>
        <v>N/A</v>
      </c>
      <c r="R289" s="95" t="str">
        <f t="shared" si="36"/>
        <v>NO CERT.</v>
      </c>
      <c r="S289" s="95" t="e">
        <f t="shared" si="31"/>
        <v>#N/A</v>
      </c>
      <c r="T289" s="119" t="e">
        <f>+IF(J289=LOOKUP(J289,'CAFCO 300 IDIEM TABLAS'!$J$4:$J$40),'CALCULO MORTERO'!J289,MROUND('CALCULO MORTERO'!J289,10))</f>
        <v>#N/A</v>
      </c>
      <c r="U289" s="118">
        <f t="shared" si="32"/>
        <v>0</v>
      </c>
      <c r="Y289" s="4"/>
      <c r="Z289" s="4"/>
      <c r="AA289" s="4"/>
    </row>
    <row r="290" spans="1:27" ht="15.6" customHeight="1" x14ac:dyDescent="0.25">
      <c r="A290" s="118">
        <f>+CUBICACION!D284</f>
        <v>0</v>
      </c>
      <c r="B290" s="819">
        <f>+CUBICACION!E284</f>
        <v>0</v>
      </c>
      <c r="C290" s="675">
        <f>+CUBICACION!F284</f>
        <v>0</v>
      </c>
      <c r="D290" s="118"/>
      <c r="E290" s="118"/>
      <c r="F290" s="820"/>
      <c r="G290" s="675">
        <f>+CUBICACION!J284</f>
        <v>0</v>
      </c>
      <c r="H290" s="118"/>
      <c r="I290" s="821">
        <f>+CUBICACION!L284</f>
        <v>0</v>
      </c>
      <c r="J290" s="64">
        <f>+CUBICACION!M284</f>
        <v>0</v>
      </c>
      <c r="K290" s="822" t="str">
        <f>+CUBICACION!N284</f>
        <v/>
      </c>
      <c r="L290" s="118">
        <f>+CUBICACION!O284</f>
        <v>0</v>
      </c>
      <c r="M290" s="823">
        <f>+CUBICACION!P284</f>
        <v>0</v>
      </c>
      <c r="N290" s="902">
        <f>ROUND(IF(AND(L290="Blaze Shield II",M290="Software Idiem",C290="IN",G290=4),((('BLAZE SHIELD II'!$D$4*('CALCULO MORTERO'!I290^2)+'BLAZE SHIELD II'!$D$5*'CALCULO MORTERO'!I290+'BLAZE SHIELD II'!$D$6)*LN(J290))+('BLAZE SHIELD II'!$D$7*('CALCULO MORTERO'!I290^2)+'BLAZE SHIELD II'!$D$8*'CALCULO MORTERO'!I290+'BLAZE SHIELD II'!$D$9)),0)+IF(AND(L290="Blaze Shield II",M290="Software Idiem",C290="Cj"),((('BLAZE SHIELD II'!$H$4*('CALCULO MORTERO'!I290^2)+'BLAZE SHIELD II'!$H$5*'CALCULO MORTERO'!I290+'BLAZE SHIELD II'!$H$6)*LN(J290))+('BLAZE SHIELD II'!$H$7*('CALCULO MORTERO'!I290^2)+'BLAZE SHIELD II'!$H$8*'CALCULO MORTERO'!I290+'BLAZE SHIELD II'!$H$9)),0)+IF(AND(L290="Blaze Shield II",M290="Software Idiem",C290="C"),((('BLAZE SHIELD II'!$L$4*('CALCULO MORTERO'!I290^2)+'BLAZE SHIELD II'!$L$5*'CALCULO MORTERO'!I290+'BLAZE SHIELD II'!$L$6)*LN(J290))+('BLAZE SHIELD II'!$L$7*('CALCULO MORTERO'!I290^2)+'BLAZE SHIELD II'!$L$8*'CALCULO MORTERO'!I290+'BLAZE SHIELD II'!$L$9)),0)+IF(AND(L290="Blaze Shield II",M290="Software Idiem",C290="L"),((('BLAZE SHIELD II'!$L$4*('CALCULO MORTERO'!I290^2)+'BLAZE SHIELD II'!$L$5*'CALCULO MORTERO'!I290+'BLAZE SHIELD II'!$L$6)*LN(J290))+('BLAZE SHIELD II'!$L$7*('CALCULO MORTERO'!I290^2)+'BLAZE SHIELD II'!$L$8*'CALCULO MORTERO'!I290+'BLAZE SHIELD II'!$L$9)),0)+IF(AND(L290="Blaze Shield II",M290="Software Idiem",C290="IN",G290=3),((('BLAZE SHIELD II'!$H$14*('CALCULO MORTERO'!I290^2)+'BLAZE SHIELD II'!$H$15*'CALCULO MORTERO'!I290+'BLAZE SHIELD II'!$H$16)*LN(J290))+('BLAZE SHIELD II'!$H$17*('CALCULO MORTERO'!I290^2)+'BLAZE SHIELD II'!$H$18*'CALCULO MORTERO'!I290+'BLAZE SHIELD II'!$H$19)),0),0)+ROUND(IF(AND(L290="Cafco 400",M290="Software Idiem",C290="IN",G290=4),((('CAFCO 400 '!$H$7*(J290^4)+'CAFCO 400 '!$H$8*(J290^3)+'CAFCO 400 '!$H$9*(J290^2)+'CAFCO 400 '!$H$10*J290+'CAFCO 400 '!$H$11)*U290^2)+(('CAFCO 400 '!$H$12*(J290^3)+'CAFCO 400 '!$H$13*(J290^2)+'CAFCO 400 '!$H$14*J290+'CAFCO 400 '!$H$15)*U290)+('CAFCO 400 '!$H$16*(J290^2)+'CAFCO 400 '!$H$17*J290+'CAFCO 400 '!$H$18)),0)+IF(AND(L290="Cafco 400",M290="Software Idiem",C290="Cj"),(((('CAFCO 400 '!$D$7*LN(J290)+'CAFCO 400 '!$D$8)*U290^2)+(('CAFCO 400 '!$D$9*LN(J290)+'CAFCO 400 '!$D$10)*U290)+('CAFCO 400 '!$D$11*LN(J290)+'CAFCO 400 '!$D$12))),0)+IF(AND(L290="Cafco 400",M290="Software Idiem",C290="C"),((('CAFCO 400 '!$L$7*(J290^3)+'CAFCO 400 '!$L$8*(J290^2)+'CAFCO 400 '!$L$9*J290+'CAFCO 400 '!$L$10)*U290^2)+(('CAFCO 400 '!$L$11*(J290^3)+'CAFCO 400 '!$L$12*(J290^2)+'CAFCO 400 '!$L$13*J290+'CAFCO 400 '!$L$14)*U290)+('CAFCO 400 '!$L$15*LN(J290)+'CAFCO 400 '!$L$16)),0)+IF(AND(L290="Cafco 400",M290="Software Idiem",C290="L"),((('CAFCO 400 '!$L$7*(J290^3)+'CAFCO 400 '!$L$8*(J290^2)+'CAFCO 400 '!$L$9*J290+'CAFCO 400 '!$L$10)*U290^2)+(('CAFCO 400 '!$L$11*(J290^3)+'CAFCO 400 '!$L$12*(J290^2)+'CAFCO 400 '!$L$13*J290+'CAFCO 400 '!$L$14)*U290)+('CAFCO 400 '!$L$15*LN(J290)+'CAFCO 400 '!$L$16)),0)+IF(AND(L290="Cafco 400",M290="Software Idiem",C290="IN",G290=3),((('CAFCO 400 '!$D$23*(J290^2)+'CAFCO 400 '!$D$24*(J290)+'CAFCO 400 '!$D$25)*U290^2)+(('CAFCO 400 '!$D$26*(J290^2)+'CAFCO 400 '!$D$27*J290+'CAFCO 400 '!$D$28)*U290)+('CAFCO 400 '!$D$29*(J290^2)+'CAFCO 400 '!$D$30*J290+'CAFCO 400 '!$D$31)),0),0)+IF(AND(L290="Cafco 300",J290&gt;=95,J290&lt;=240,C290="Cj",I290=90),VLOOKUP(T290,'CAFCO 300 IDIEM TABLAS'!$B$4:$D$23,2,FALSE),0)+IF(AND(L290="Cafco 300",J290&gt;=95,J290&lt;=240,C290="Cj",I290=120),VLOOKUP(T290,'CAFCO 300 IDIEM TABLAS'!$B$4:$D$23,3,FALSE),0)+IF(AND(L290="Cafco 300",J290&gt;=95,J290&lt;=400,G290=3,C290="IN",I290=90),VLOOKUP(T290,'CAFCO 300 IDIEM TABLAS'!$F$4:$H$35,2,FALSE),0)+IF(AND(L290="Cafco 300",J290&gt;=95,J290&lt;=400,G290=3,C290="IN",I290=120),VLOOKUP(T290,'CAFCO 300 IDIEM TABLAS'!$F$4:$H$35,3,FALSE),0)+IF(AND(L290="Cafco 300",J290&gt;=95,J290&lt;=450,G290=4,C290="IN",I290=90),VLOOKUP(T290,'CAFCO 300 IDIEM TABLAS'!$J$4:$L$40,2,FALSE),0)+IF(AND(L290="Cafco 300",J290&gt;=95,J290&lt;=450,G290=4,C290="IN",I290=120),VLOOKUP(T290,'CAFCO 300 IDIEM TABLAS'!$J$4:$L$40,3,FALSE),0)+IF(AND(M290="Ensayo Idiem",L290="Cafco 400",C290="IN",G290=4,I290=90),VLOOKUP(T290,'CAFCO 400 ENSAYO'!$B$7:$D$43,2,FALSE),0)+IF(AND(M290="Ensayo Idiem",L290="Cafco 400",C290="IN",G290=4,I290=120),VLOOKUP(T290,'CAFCO 400 ENSAYO'!$B$7:$D$43,3,FALSE),0)</f>
        <v>0</v>
      </c>
      <c r="O290" s="96">
        <f t="shared" si="33"/>
        <v>0</v>
      </c>
      <c r="P290" s="95" t="str">
        <f t="shared" si="34"/>
        <v>N/A</v>
      </c>
      <c r="Q290" s="95" t="str">
        <f t="shared" si="35"/>
        <v>N/A</v>
      </c>
      <c r="R290" s="95" t="str">
        <f t="shared" si="36"/>
        <v>NO CERT.</v>
      </c>
      <c r="S290" s="95" t="e">
        <f t="shared" si="31"/>
        <v>#N/A</v>
      </c>
      <c r="T290" s="119" t="e">
        <f>+IF(J290=LOOKUP(J290,'CAFCO 300 IDIEM TABLAS'!$J$4:$J$40),'CALCULO MORTERO'!J290,MROUND('CALCULO MORTERO'!J290,10))</f>
        <v>#N/A</v>
      </c>
      <c r="U290" s="118">
        <f t="shared" si="32"/>
        <v>0</v>
      </c>
      <c r="Y290" s="4"/>
      <c r="Z290" s="4"/>
      <c r="AA290" s="4"/>
    </row>
    <row r="291" spans="1:27" x14ac:dyDescent="0.25">
      <c r="A291" s="118">
        <f>+CUBICACION!D285</f>
        <v>0</v>
      </c>
      <c r="B291" s="819">
        <f>+CUBICACION!E285</f>
        <v>0</v>
      </c>
      <c r="C291" s="675">
        <f>+CUBICACION!F285</f>
        <v>0</v>
      </c>
      <c r="D291" s="118"/>
      <c r="E291" s="118"/>
      <c r="F291" s="820"/>
      <c r="G291" s="675">
        <f>+CUBICACION!J285</f>
        <v>0</v>
      </c>
      <c r="H291" s="118"/>
      <c r="I291" s="821">
        <f>+CUBICACION!L285</f>
        <v>0</v>
      </c>
      <c r="J291" s="64">
        <f>+CUBICACION!M285</f>
        <v>0</v>
      </c>
      <c r="K291" s="822" t="str">
        <f>+CUBICACION!N285</f>
        <v/>
      </c>
      <c r="L291" s="118">
        <f>+CUBICACION!O285</f>
        <v>0</v>
      </c>
      <c r="M291" s="823">
        <f>+CUBICACION!P285</f>
        <v>0</v>
      </c>
      <c r="N291" s="902">
        <f>ROUND(IF(AND(L291="Blaze Shield II",M291="Software Idiem",C291="IN",G291=4),((('BLAZE SHIELD II'!$D$4*('CALCULO MORTERO'!I291^2)+'BLAZE SHIELD II'!$D$5*'CALCULO MORTERO'!I291+'BLAZE SHIELD II'!$D$6)*LN(J291))+('BLAZE SHIELD II'!$D$7*('CALCULO MORTERO'!I291^2)+'BLAZE SHIELD II'!$D$8*'CALCULO MORTERO'!I291+'BLAZE SHIELD II'!$D$9)),0)+IF(AND(L291="Blaze Shield II",M291="Software Idiem",C291="Cj"),((('BLAZE SHIELD II'!$H$4*('CALCULO MORTERO'!I291^2)+'BLAZE SHIELD II'!$H$5*'CALCULO MORTERO'!I291+'BLAZE SHIELD II'!$H$6)*LN(J291))+('BLAZE SHIELD II'!$H$7*('CALCULO MORTERO'!I291^2)+'BLAZE SHIELD II'!$H$8*'CALCULO MORTERO'!I291+'BLAZE SHIELD II'!$H$9)),0)+IF(AND(L291="Blaze Shield II",M291="Software Idiem",C291="C"),((('BLAZE SHIELD II'!$L$4*('CALCULO MORTERO'!I291^2)+'BLAZE SHIELD II'!$L$5*'CALCULO MORTERO'!I291+'BLAZE SHIELD II'!$L$6)*LN(J291))+('BLAZE SHIELD II'!$L$7*('CALCULO MORTERO'!I291^2)+'BLAZE SHIELD II'!$L$8*'CALCULO MORTERO'!I291+'BLAZE SHIELD II'!$L$9)),0)+IF(AND(L291="Blaze Shield II",M291="Software Idiem",C291="L"),((('BLAZE SHIELD II'!$L$4*('CALCULO MORTERO'!I291^2)+'BLAZE SHIELD II'!$L$5*'CALCULO MORTERO'!I291+'BLAZE SHIELD II'!$L$6)*LN(J291))+('BLAZE SHIELD II'!$L$7*('CALCULO MORTERO'!I291^2)+'BLAZE SHIELD II'!$L$8*'CALCULO MORTERO'!I291+'BLAZE SHIELD II'!$L$9)),0)+IF(AND(L291="Blaze Shield II",M291="Software Idiem",C291="IN",G291=3),((('BLAZE SHIELD II'!$H$14*('CALCULO MORTERO'!I291^2)+'BLAZE SHIELD II'!$H$15*'CALCULO MORTERO'!I291+'BLAZE SHIELD II'!$H$16)*LN(J291))+('BLAZE SHIELD II'!$H$17*('CALCULO MORTERO'!I291^2)+'BLAZE SHIELD II'!$H$18*'CALCULO MORTERO'!I291+'BLAZE SHIELD II'!$H$19)),0),0)+ROUND(IF(AND(L291="Cafco 400",M291="Software Idiem",C291="IN",G291=4),((('CAFCO 400 '!$H$7*(J291^4)+'CAFCO 400 '!$H$8*(J291^3)+'CAFCO 400 '!$H$9*(J291^2)+'CAFCO 400 '!$H$10*J291+'CAFCO 400 '!$H$11)*U291^2)+(('CAFCO 400 '!$H$12*(J291^3)+'CAFCO 400 '!$H$13*(J291^2)+'CAFCO 400 '!$H$14*J291+'CAFCO 400 '!$H$15)*U291)+('CAFCO 400 '!$H$16*(J291^2)+'CAFCO 400 '!$H$17*J291+'CAFCO 400 '!$H$18)),0)+IF(AND(L291="Cafco 400",M291="Software Idiem",C291="Cj"),(((('CAFCO 400 '!$D$7*LN(J291)+'CAFCO 400 '!$D$8)*U291^2)+(('CAFCO 400 '!$D$9*LN(J291)+'CAFCO 400 '!$D$10)*U291)+('CAFCO 400 '!$D$11*LN(J291)+'CAFCO 400 '!$D$12))),0)+IF(AND(L291="Cafco 400",M291="Software Idiem",C291="C"),((('CAFCO 400 '!$L$7*(J291^3)+'CAFCO 400 '!$L$8*(J291^2)+'CAFCO 400 '!$L$9*J291+'CAFCO 400 '!$L$10)*U291^2)+(('CAFCO 400 '!$L$11*(J291^3)+'CAFCO 400 '!$L$12*(J291^2)+'CAFCO 400 '!$L$13*J291+'CAFCO 400 '!$L$14)*U291)+('CAFCO 400 '!$L$15*LN(J291)+'CAFCO 400 '!$L$16)),0)+IF(AND(L291="Cafco 400",M291="Software Idiem",C291="L"),((('CAFCO 400 '!$L$7*(J291^3)+'CAFCO 400 '!$L$8*(J291^2)+'CAFCO 400 '!$L$9*J291+'CAFCO 400 '!$L$10)*U291^2)+(('CAFCO 400 '!$L$11*(J291^3)+'CAFCO 400 '!$L$12*(J291^2)+'CAFCO 400 '!$L$13*J291+'CAFCO 400 '!$L$14)*U291)+('CAFCO 400 '!$L$15*LN(J291)+'CAFCO 400 '!$L$16)),0)+IF(AND(L291="Cafco 400",M291="Software Idiem",C291="IN",G291=3),((('CAFCO 400 '!$D$23*(J291^2)+'CAFCO 400 '!$D$24*(J291)+'CAFCO 400 '!$D$25)*U291^2)+(('CAFCO 400 '!$D$26*(J291^2)+'CAFCO 400 '!$D$27*J291+'CAFCO 400 '!$D$28)*U291)+('CAFCO 400 '!$D$29*(J291^2)+'CAFCO 400 '!$D$30*J291+'CAFCO 400 '!$D$31)),0),0)+IF(AND(L291="Cafco 300",J291&gt;=95,J291&lt;=240,C291="Cj",I291=90),VLOOKUP(T291,'CAFCO 300 IDIEM TABLAS'!$B$4:$D$23,2,FALSE),0)+IF(AND(L291="Cafco 300",J291&gt;=95,J291&lt;=240,C291="Cj",I291=120),VLOOKUP(T291,'CAFCO 300 IDIEM TABLAS'!$B$4:$D$23,3,FALSE),0)+IF(AND(L291="Cafco 300",J291&gt;=95,J291&lt;=400,G291=3,C291="IN",I291=90),VLOOKUP(T291,'CAFCO 300 IDIEM TABLAS'!$F$4:$H$35,2,FALSE),0)+IF(AND(L291="Cafco 300",J291&gt;=95,J291&lt;=400,G291=3,C291="IN",I291=120),VLOOKUP(T291,'CAFCO 300 IDIEM TABLAS'!$F$4:$H$35,3,FALSE),0)+IF(AND(L291="Cafco 300",J291&gt;=95,J291&lt;=450,G291=4,C291="IN",I291=90),VLOOKUP(T291,'CAFCO 300 IDIEM TABLAS'!$J$4:$L$40,2,FALSE),0)+IF(AND(L291="Cafco 300",J291&gt;=95,J291&lt;=450,G291=4,C291="IN",I291=120),VLOOKUP(T291,'CAFCO 300 IDIEM TABLAS'!$J$4:$L$40,3,FALSE),0)+IF(AND(M291="Ensayo Idiem",L291="Cafco 400",C291="IN",G291=4,I291=90),VLOOKUP(T291,'CAFCO 400 ENSAYO'!$B$7:$D$43,2,FALSE),0)+IF(AND(M291="Ensayo Idiem",L291="Cafco 400",C291="IN",G291=4,I291=120),VLOOKUP(T291,'CAFCO 400 ENSAYO'!$B$7:$D$43,3,FALSE),0)</f>
        <v>0</v>
      </c>
      <c r="O291" s="96">
        <f t="shared" si="33"/>
        <v>0</v>
      </c>
      <c r="P291" s="95" t="str">
        <f t="shared" si="34"/>
        <v>N/A</v>
      </c>
      <c r="Q291" s="95" t="str">
        <f t="shared" si="35"/>
        <v>N/A</v>
      </c>
      <c r="R291" s="95" t="str">
        <f t="shared" si="36"/>
        <v>NO CERT.</v>
      </c>
      <c r="S291" s="95" t="e">
        <f t="shared" si="31"/>
        <v>#N/A</v>
      </c>
      <c r="T291" s="119" t="e">
        <f>+IF(J291=LOOKUP(J291,'CAFCO 300 IDIEM TABLAS'!$J$4:$J$40),'CALCULO MORTERO'!J291,MROUND('CALCULO MORTERO'!J291,10))</f>
        <v>#N/A</v>
      </c>
      <c r="U291" s="118">
        <f t="shared" si="32"/>
        <v>0</v>
      </c>
      <c r="Y291" s="4"/>
      <c r="Z291" s="4"/>
      <c r="AA291" s="4"/>
    </row>
    <row r="292" spans="1:27" ht="15.6" customHeight="1" x14ac:dyDescent="0.25">
      <c r="A292" s="118">
        <f>+CUBICACION!D286</f>
        <v>0</v>
      </c>
      <c r="B292" s="819">
        <f>+CUBICACION!E286</f>
        <v>0</v>
      </c>
      <c r="C292" s="675">
        <f>+CUBICACION!F286</f>
        <v>0</v>
      </c>
      <c r="D292" s="118"/>
      <c r="E292" s="118"/>
      <c r="F292" s="820"/>
      <c r="G292" s="675">
        <f>+CUBICACION!J286</f>
        <v>0</v>
      </c>
      <c r="H292" s="118"/>
      <c r="I292" s="821">
        <f>+CUBICACION!L286</f>
        <v>0</v>
      </c>
      <c r="J292" s="64">
        <f>+CUBICACION!M286</f>
        <v>0</v>
      </c>
      <c r="K292" s="822" t="str">
        <f>+CUBICACION!N286</f>
        <v/>
      </c>
      <c r="L292" s="118">
        <f>+CUBICACION!O286</f>
        <v>0</v>
      </c>
      <c r="M292" s="823">
        <f>+CUBICACION!P286</f>
        <v>0</v>
      </c>
      <c r="N292" s="902">
        <f>ROUND(IF(AND(L292="Blaze Shield II",M292="Software Idiem",C292="IN",G292=4),((('BLAZE SHIELD II'!$D$4*('CALCULO MORTERO'!I292^2)+'BLAZE SHIELD II'!$D$5*'CALCULO MORTERO'!I292+'BLAZE SHIELD II'!$D$6)*LN(J292))+('BLAZE SHIELD II'!$D$7*('CALCULO MORTERO'!I292^2)+'BLAZE SHIELD II'!$D$8*'CALCULO MORTERO'!I292+'BLAZE SHIELD II'!$D$9)),0)+IF(AND(L292="Blaze Shield II",M292="Software Idiem",C292="Cj"),((('BLAZE SHIELD II'!$H$4*('CALCULO MORTERO'!I292^2)+'BLAZE SHIELD II'!$H$5*'CALCULO MORTERO'!I292+'BLAZE SHIELD II'!$H$6)*LN(J292))+('BLAZE SHIELD II'!$H$7*('CALCULO MORTERO'!I292^2)+'BLAZE SHIELD II'!$H$8*'CALCULO MORTERO'!I292+'BLAZE SHIELD II'!$H$9)),0)+IF(AND(L292="Blaze Shield II",M292="Software Idiem",C292="C"),((('BLAZE SHIELD II'!$L$4*('CALCULO MORTERO'!I292^2)+'BLAZE SHIELD II'!$L$5*'CALCULO MORTERO'!I292+'BLAZE SHIELD II'!$L$6)*LN(J292))+('BLAZE SHIELD II'!$L$7*('CALCULO MORTERO'!I292^2)+'BLAZE SHIELD II'!$L$8*'CALCULO MORTERO'!I292+'BLAZE SHIELD II'!$L$9)),0)+IF(AND(L292="Blaze Shield II",M292="Software Idiem",C292="L"),((('BLAZE SHIELD II'!$L$4*('CALCULO MORTERO'!I292^2)+'BLAZE SHIELD II'!$L$5*'CALCULO MORTERO'!I292+'BLAZE SHIELD II'!$L$6)*LN(J292))+('BLAZE SHIELD II'!$L$7*('CALCULO MORTERO'!I292^2)+'BLAZE SHIELD II'!$L$8*'CALCULO MORTERO'!I292+'BLAZE SHIELD II'!$L$9)),0)+IF(AND(L292="Blaze Shield II",M292="Software Idiem",C292="IN",G292=3),((('BLAZE SHIELD II'!$H$14*('CALCULO MORTERO'!I292^2)+'BLAZE SHIELD II'!$H$15*'CALCULO MORTERO'!I292+'BLAZE SHIELD II'!$H$16)*LN(J292))+('BLAZE SHIELD II'!$H$17*('CALCULO MORTERO'!I292^2)+'BLAZE SHIELD II'!$H$18*'CALCULO MORTERO'!I292+'BLAZE SHIELD II'!$H$19)),0),0)+ROUND(IF(AND(L292="Cafco 400",M292="Software Idiem",C292="IN",G292=4),((('CAFCO 400 '!$H$7*(J292^4)+'CAFCO 400 '!$H$8*(J292^3)+'CAFCO 400 '!$H$9*(J292^2)+'CAFCO 400 '!$H$10*J292+'CAFCO 400 '!$H$11)*U292^2)+(('CAFCO 400 '!$H$12*(J292^3)+'CAFCO 400 '!$H$13*(J292^2)+'CAFCO 400 '!$H$14*J292+'CAFCO 400 '!$H$15)*U292)+('CAFCO 400 '!$H$16*(J292^2)+'CAFCO 400 '!$H$17*J292+'CAFCO 400 '!$H$18)),0)+IF(AND(L292="Cafco 400",M292="Software Idiem",C292="Cj"),(((('CAFCO 400 '!$D$7*LN(J292)+'CAFCO 400 '!$D$8)*U292^2)+(('CAFCO 400 '!$D$9*LN(J292)+'CAFCO 400 '!$D$10)*U292)+('CAFCO 400 '!$D$11*LN(J292)+'CAFCO 400 '!$D$12))),0)+IF(AND(L292="Cafco 400",M292="Software Idiem",C292="C"),((('CAFCO 400 '!$L$7*(J292^3)+'CAFCO 400 '!$L$8*(J292^2)+'CAFCO 400 '!$L$9*J292+'CAFCO 400 '!$L$10)*U292^2)+(('CAFCO 400 '!$L$11*(J292^3)+'CAFCO 400 '!$L$12*(J292^2)+'CAFCO 400 '!$L$13*J292+'CAFCO 400 '!$L$14)*U292)+('CAFCO 400 '!$L$15*LN(J292)+'CAFCO 400 '!$L$16)),0)+IF(AND(L292="Cafco 400",M292="Software Idiem",C292="L"),((('CAFCO 400 '!$L$7*(J292^3)+'CAFCO 400 '!$L$8*(J292^2)+'CAFCO 400 '!$L$9*J292+'CAFCO 400 '!$L$10)*U292^2)+(('CAFCO 400 '!$L$11*(J292^3)+'CAFCO 400 '!$L$12*(J292^2)+'CAFCO 400 '!$L$13*J292+'CAFCO 400 '!$L$14)*U292)+('CAFCO 400 '!$L$15*LN(J292)+'CAFCO 400 '!$L$16)),0)+IF(AND(L292="Cafco 400",M292="Software Idiem",C292="IN",G292=3),((('CAFCO 400 '!$D$23*(J292^2)+'CAFCO 400 '!$D$24*(J292)+'CAFCO 400 '!$D$25)*U292^2)+(('CAFCO 400 '!$D$26*(J292^2)+'CAFCO 400 '!$D$27*J292+'CAFCO 400 '!$D$28)*U292)+('CAFCO 400 '!$D$29*(J292^2)+'CAFCO 400 '!$D$30*J292+'CAFCO 400 '!$D$31)),0),0)+IF(AND(L292="Cafco 300",J292&gt;=95,J292&lt;=240,C292="Cj",I292=90),VLOOKUP(T292,'CAFCO 300 IDIEM TABLAS'!$B$4:$D$23,2,FALSE),0)+IF(AND(L292="Cafco 300",J292&gt;=95,J292&lt;=240,C292="Cj",I292=120),VLOOKUP(T292,'CAFCO 300 IDIEM TABLAS'!$B$4:$D$23,3,FALSE),0)+IF(AND(L292="Cafco 300",J292&gt;=95,J292&lt;=400,G292=3,C292="IN",I292=90),VLOOKUP(T292,'CAFCO 300 IDIEM TABLAS'!$F$4:$H$35,2,FALSE),0)+IF(AND(L292="Cafco 300",J292&gt;=95,J292&lt;=400,G292=3,C292="IN",I292=120),VLOOKUP(T292,'CAFCO 300 IDIEM TABLAS'!$F$4:$H$35,3,FALSE),0)+IF(AND(L292="Cafco 300",J292&gt;=95,J292&lt;=450,G292=4,C292="IN",I292=90),VLOOKUP(T292,'CAFCO 300 IDIEM TABLAS'!$J$4:$L$40,2,FALSE),0)+IF(AND(L292="Cafco 300",J292&gt;=95,J292&lt;=450,G292=4,C292="IN",I292=120),VLOOKUP(T292,'CAFCO 300 IDIEM TABLAS'!$J$4:$L$40,3,FALSE),0)+IF(AND(M292="Ensayo Idiem",L292="Cafco 400",C292="IN",G292=4,I292=90),VLOOKUP(T292,'CAFCO 400 ENSAYO'!$B$7:$D$43,2,FALSE),0)+IF(AND(M292="Ensayo Idiem",L292="Cafco 400",C292="IN",G292=4,I292=120),VLOOKUP(T292,'CAFCO 400 ENSAYO'!$B$7:$D$43,3,FALSE),0)</f>
        <v>0</v>
      </c>
      <c r="O292" s="96">
        <f t="shared" si="33"/>
        <v>0</v>
      </c>
      <c r="P292" s="95" t="str">
        <f t="shared" si="34"/>
        <v>N/A</v>
      </c>
      <c r="Q292" s="95" t="str">
        <f t="shared" si="35"/>
        <v>N/A</v>
      </c>
      <c r="R292" s="95" t="str">
        <f t="shared" si="36"/>
        <v>NO CERT.</v>
      </c>
      <c r="S292" s="95" t="e">
        <f t="shared" si="31"/>
        <v>#N/A</v>
      </c>
      <c r="T292" s="119" t="e">
        <f>+IF(J292=LOOKUP(J292,'CAFCO 300 IDIEM TABLAS'!$J$4:$J$40),'CALCULO MORTERO'!J292,MROUND('CALCULO MORTERO'!J292,10))</f>
        <v>#N/A</v>
      </c>
      <c r="U292" s="118">
        <f t="shared" si="32"/>
        <v>0</v>
      </c>
      <c r="Y292" s="4"/>
      <c r="Z292" s="4"/>
      <c r="AA292" s="4"/>
    </row>
    <row r="293" spans="1:27" x14ac:dyDescent="0.25">
      <c r="A293" s="118">
        <f>+CUBICACION!D287</f>
        <v>0</v>
      </c>
      <c r="B293" s="819">
        <f>+CUBICACION!E287</f>
        <v>0</v>
      </c>
      <c r="C293" s="675">
        <f>+CUBICACION!F287</f>
        <v>0</v>
      </c>
      <c r="D293" s="118"/>
      <c r="E293" s="118"/>
      <c r="F293" s="820"/>
      <c r="G293" s="675">
        <f>+CUBICACION!J287</f>
        <v>0</v>
      </c>
      <c r="H293" s="118"/>
      <c r="I293" s="821">
        <f>+CUBICACION!L287</f>
        <v>0</v>
      </c>
      <c r="J293" s="64">
        <f>+CUBICACION!M287</f>
        <v>0</v>
      </c>
      <c r="K293" s="822" t="str">
        <f>+CUBICACION!N287</f>
        <v/>
      </c>
      <c r="L293" s="118">
        <f>+CUBICACION!O287</f>
        <v>0</v>
      </c>
      <c r="M293" s="823">
        <f>+CUBICACION!P287</f>
        <v>0</v>
      </c>
      <c r="N293" s="902">
        <f>ROUND(IF(AND(L293="Blaze Shield II",M293="Software Idiem",C293="IN",G293=4),((('BLAZE SHIELD II'!$D$4*('CALCULO MORTERO'!I293^2)+'BLAZE SHIELD II'!$D$5*'CALCULO MORTERO'!I293+'BLAZE SHIELD II'!$D$6)*LN(J293))+('BLAZE SHIELD II'!$D$7*('CALCULO MORTERO'!I293^2)+'BLAZE SHIELD II'!$D$8*'CALCULO MORTERO'!I293+'BLAZE SHIELD II'!$D$9)),0)+IF(AND(L293="Blaze Shield II",M293="Software Idiem",C293="Cj"),((('BLAZE SHIELD II'!$H$4*('CALCULO MORTERO'!I293^2)+'BLAZE SHIELD II'!$H$5*'CALCULO MORTERO'!I293+'BLAZE SHIELD II'!$H$6)*LN(J293))+('BLAZE SHIELD II'!$H$7*('CALCULO MORTERO'!I293^2)+'BLAZE SHIELD II'!$H$8*'CALCULO MORTERO'!I293+'BLAZE SHIELD II'!$H$9)),0)+IF(AND(L293="Blaze Shield II",M293="Software Idiem",C293="C"),((('BLAZE SHIELD II'!$L$4*('CALCULO MORTERO'!I293^2)+'BLAZE SHIELD II'!$L$5*'CALCULO MORTERO'!I293+'BLAZE SHIELD II'!$L$6)*LN(J293))+('BLAZE SHIELD II'!$L$7*('CALCULO MORTERO'!I293^2)+'BLAZE SHIELD II'!$L$8*'CALCULO MORTERO'!I293+'BLAZE SHIELD II'!$L$9)),0)+IF(AND(L293="Blaze Shield II",M293="Software Idiem",C293="L"),((('BLAZE SHIELD II'!$L$4*('CALCULO MORTERO'!I293^2)+'BLAZE SHIELD II'!$L$5*'CALCULO MORTERO'!I293+'BLAZE SHIELD II'!$L$6)*LN(J293))+('BLAZE SHIELD II'!$L$7*('CALCULO MORTERO'!I293^2)+'BLAZE SHIELD II'!$L$8*'CALCULO MORTERO'!I293+'BLAZE SHIELD II'!$L$9)),0)+IF(AND(L293="Blaze Shield II",M293="Software Idiem",C293="IN",G293=3),((('BLAZE SHIELD II'!$H$14*('CALCULO MORTERO'!I293^2)+'BLAZE SHIELD II'!$H$15*'CALCULO MORTERO'!I293+'BLAZE SHIELD II'!$H$16)*LN(J293))+('BLAZE SHIELD II'!$H$17*('CALCULO MORTERO'!I293^2)+'BLAZE SHIELD II'!$H$18*'CALCULO MORTERO'!I293+'BLAZE SHIELD II'!$H$19)),0),0)+ROUND(IF(AND(L293="Cafco 400",M293="Software Idiem",C293="IN",G293=4),((('CAFCO 400 '!$H$7*(J293^4)+'CAFCO 400 '!$H$8*(J293^3)+'CAFCO 400 '!$H$9*(J293^2)+'CAFCO 400 '!$H$10*J293+'CAFCO 400 '!$H$11)*U293^2)+(('CAFCO 400 '!$H$12*(J293^3)+'CAFCO 400 '!$H$13*(J293^2)+'CAFCO 400 '!$H$14*J293+'CAFCO 400 '!$H$15)*U293)+('CAFCO 400 '!$H$16*(J293^2)+'CAFCO 400 '!$H$17*J293+'CAFCO 400 '!$H$18)),0)+IF(AND(L293="Cafco 400",M293="Software Idiem",C293="Cj"),(((('CAFCO 400 '!$D$7*LN(J293)+'CAFCO 400 '!$D$8)*U293^2)+(('CAFCO 400 '!$D$9*LN(J293)+'CAFCO 400 '!$D$10)*U293)+('CAFCO 400 '!$D$11*LN(J293)+'CAFCO 400 '!$D$12))),0)+IF(AND(L293="Cafco 400",M293="Software Idiem",C293="C"),((('CAFCO 400 '!$L$7*(J293^3)+'CAFCO 400 '!$L$8*(J293^2)+'CAFCO 400 '!$L$9*J293+'CAFCO 400 '!$L$10)*U293^2)+(('CAFCO 400 '!$L$11*(J293^3)+'CAFCO 400 '!$L$12*(J293^2)+'CAFCO 400 '!$L$13*J293+'CAFCO 400 '!$L$14)*U293)+('CAFCO 400 '!$L$15*LN(J293)+'CAFCO 400 '!$L$16)),0)+IF(AND(L293="Cafco 400",M293="Software Idiem",C293="L"),((('CAFCO 400 '!$L$7*(J293^3)+'CAFCO 400 '!$L$8*(J293^2)+'CAFCO 400 '!$L$9*J293+'CAFCO 400 '!$L$10)*U293^2)+(('CAFCO 400 '!$L$11*(J293^3)+'CAFCO 400 '!$L$12*(J293^2)+'CAFCO 400 '!$L$13*J293+'CAFCO 400 '!$L$14)*U293)+('CAFCO 400 '!$L$15*LN(J293)+'CAFCO 400 '!$L$16)),0)+IF(AND(L293="Cafco 400",M293="Software Idiem",C293="IN",G293=3),((('CAFCO 400 '!$D$23*(J293^2)+'CAFCO 400 '!$D$24*(J293)+'CAFCO 400 '!$D$25)*U293^2)+(('CAFCO 400 '!$D$26*(J293^2)+'CAFCO 400 '!$D$27*J293+'CAFCO 400 '!$D$28)*U293)+('CAFCO 400 '!$D$29*(J293^2)+'CAFCO 400 '!$D$30*J293+'CAFCO 400 '!$D$31)),0),0)+IF(AND(L293="Cafco 300",J293&gt;=95,J293&lt;=240,C293="Cj",I293=90),VLOOKUP(T293,'CAFCO 300 IDIEM TABLAS'!$B$4:$D$23,2,FALSE),0)+IF(AND(L293="Cafco 300",J293&gt;=95,J293&lt;=240,C293="Cj",I293=120),VLOOKUP(T293,'CAFCO 300 IDIEM TABLAS'!$B$4:$D$23,3,FALSE),0)+IF(AND(L293="Cafco 300",J293&gt;=95,J293&lt;=400,G293=3,C293="IN",I293=90),VLOOKUP(T293,'CAFCO 300 IDIEM TABLAS'!$F$4:$H$35,2,FALSE),0)+IF(AND(L293="Cafco 300",J293&gt;=95,J293&lt;=400,G293=3,C293="IN",I293=120),VLOOKUP(T293,'CAFCO 300 IDIEM TABLAS'!$F$4:$H$35,3,FALSE),0)+IF(AND(L293="Cafco 300",J293&gt;=95,J293&lt;=450,G293=4,C293="IN",I293=90),VLOOKUP(T293,'CAFCO 300 IDIEM TABLAS'!$J$4:$L$40,2,FALSE),0)+IF(AND(L293="Cafco 300",J293&gt;=95,J293&lt;=450,G293=4,C293="IN",I293=120),VLOOKUP(T293,'CAFCO 300 IDIEM TABLAS'!$J$4:$L$40,3,FALSE),0)+IF(AND(M293="Ensayo Idiem",L293="Cafco 400",C293="IN",G293=4,I293=90),VLOOKUP(T293,'CAFCO 400 ENSAYO'!$B$7:$D$43,2,FALSE),0)+IF(AND(M293="Ensayo Idiem",L293="Cafco 400",C293="IN",G293=4,I293=120),VLOOKUP(T293,'CAFCO 400 ENSAYO'!$B$7:$D$43,3,FALSE),0)</f>
        <v>0</v>
      </c>
      <c r="O293" s="96">
        <f t="shared" si="33"/>
        <v>0</v>
      </c>
      <c r="P293" s="95" t="str">
        <f t="shared" si="34"/>
        <v>N/A</v>
      </c>
      <c r="Q293" s="95" t="str">
        <f t="shared" si="35"/>
        <v>N/A</v>
      </c>
      <c r="R293" s="95" t="str">
        <f t="shared" si="36"/>
        <v>NO CERT.</v>
      </c>
      <c r="S293" s="95" t="e">
        <f t="shared" si="31"/>
        <v>#N/A</v>
      </c>
      <c r="T293" s="119" t="e">
        <f>+IF(J293=LOOKUP(J293,'CAFCO 300 IDIEM TABLAS'!$J$4:$J$40),'CALCULO MORTERO'!J293,MROUND('CALCULO MORTERO'!J293,10))</f>
        <v>#N/A</v>
      </c>
      <c r="U293" s="118">
        <f t="shared" si="32"/>
        <v>0</v>
      </c>
      <c r="Y293" s="4"/>
      <c r="Z293" s="4"/>
      <c r="AA293" s="4"/>
    </row>
    <row r="294" spans="1:27" ht="15.6" customHeight="1" x14ac:dyDescent="0.25">
      <c r="A294" s="118">
        <f>+CUBICACION!D288</f>
        <v>0</v>
      </c>
      <c r="B294" s="819">
        <f>+CUBICACION!E288</f>
        <v>0</v>
      </c>
      <c r="C294" s="675">
        <f>+CUBICACION!F288</f>
        <v>0</v>
      </c>
      <c r="D294" s="118"/>
      <c r="E294" s="118"/>
      <c r="F294" s="820"/>
      <c r="G294" s="675">
        <f>+CUBICACION!J288</f>
        <v>0</v>
      </c>
      <c r="H294" s="118"/>
      <c r="I294" s="821">
        <f>+CUBICACION!L288</f>
        <v>0</v>
      </c>
      <c r="J294" s="64">
        <f>+CUBICACION!M288</f>
        <v>0</v>
      </c>
      <c r="K294" s="822" t="str">
        <f>+CUBICACION!N288</f>
        <v/>
      </c>
      <c r="L294" s="118">
        <f>+CUBICACION!O288</f>
        <v>0</v>
      </c>
      <c r="M294" s="823">
        <f>+CUBICACION!P288</f>
        <v>0</v>
      </c>
      <c r="N294" s="902">
        <f>ROUND(IF(AND(L294="Blaze Shield II",M294="Software Idiem",C294="IN",G294=4),((('BLAZE SHIELD II'!$D$4*('CALCULO MORTERO'!I294^2)+'BLAZE SHIELD II'!$D$5*'CALCULO MORTERO'!I294+'BLAZE SHIELD II'!$D$6)*LN(J294))+('BLAZE SHIELD II'!$D$7*('CALCULO MORTERO'!I294^2)+'BLAZE SHIELD II'!$D$8*'CALCULO MORTERO'!I294+'BLAZE SHIELD II'!$D$9)),0)+IF(AND(L294="Blaze Shield II",M294="Software Idiem",C294="Cj"),((('BLAZE SHIELD II'!$H$4*('CALCULO MORTERO'!I294^2)+'BLAZE SHIELD II'!$H$5*'CALCULO MORTERO'!I294+'BLAZE SHIELD II'!$H$6)*LN(J294))+('BLAZE SHIELD II'!$H$7*('CALCULO MORTERO'!I294^2)+'BLAZE SHIELD II'!$H$8*'CALCULO MORTERO'!I294+'BLAZE SHIELD II'!$H$9)),0)+IF(AND(L294="Blaze Shield II",M294="Software Idiem",C294="C"),((('BLAZE SHIELD II'!$L$4*('CALCULO MORTERO'!I294^2)+'BLAZE SHIELD II'!$L$5*'CALCULO MORTERO'!I294+'BLAZE SHIELD II'!$L$6)*LN(J294))+('BLAZE SHIELD II'!$L$7*('CALCULO MORTERO'!I294^2)+'BLAZE SHIELD II'!$L$8*'CALCULO MORTERO'!I294+'BLAZE SHIELD II'!$L$9)),0)+IF(AND(L294="Blaze Shield II",M294="Software Idiem",C294="L"),((('BLAZE SHIELD II'!$L$4*('CALCULO MORTERO'!I294^2)+'BLAZE SHIELD II'!$L$5*'CALCULO MORTERO'!I294+'BLAZE SHIELD II'!$L$6)*LN(J294))+('BLAZE SHIELD II'!$L$7*('CALCULO MORTERO'!I294^2)+'BLAZE SHIELD II'!$L$8*'CALCULO MORTERO'!I294+'BLAZE SHIELD II'!$L$9)),0)+IF(AND(L294="Blaze Shield II",M294="Software Idiem",C294="IN",G294=3),((('BLAZE SHIELD II'!$H$14*('CALCULO MORTERO'!I294^2)+'BLAZE SHIELD II'!$H$15*'CALCULO MORTERO'!I294+'BLAZE SHIELD II'!$H$16)*LN(J294))+('BLAZE SHIELD II'!$H$17*('CALCULO MORTERO'!I294^2)+'BLAZE SHIELD II'!$H$18*'CALCULO MORTERO'!I294+'BLAZE SHIELD II'!$H$19)),0),0)+ROUND(IF(AND(L294="Cafco 400",M294="Software Idiem",C294="IN",G294=4),((('CAFCO 400 '!$H$7*(J294^4)+'CAFCO 400 '!$H$8*(J294^3)+'CAFCO 400 '!$H$9*(J294^2)+'CAFCO 400 '!$H$10*J294+'CAFCO 400 '!$H$11)*U294^2)+(('CAFCO 400 '!$H$12*(J294^3)+'CAFCO 400 '!$H$13*(J294^2)+'CAFCO 400 '!$H$14*J294+'CAFCO 400 '!$H$15)*U294)+('CAFCO 400 '!$H$16*(J294^2)+'CAFCO 400 '!$H$17*J294+'CAFCO 400 '!$H$18)),0)+IF(AND(L294="Cafco 400",M294="Software Idiem",C294="Cj"),(((('CAFCO 400 '!$D$7*LN(J294)+'CAFCO 400 '!$D$8)*U294^2)+(('CAFCO 400 '!$D$9*LN(J294)+'CAFCO 400 '!$D$10)*U294)+('CAFCO 400 '!$D$11*LN(J294)+'CAFCO 400 '!$D$12))),0)+IF(AND(L294="Cafco 400",M294="Software Idiem",C294="C"),((('CAFCO 400 '!$L$7*(J294^3)+'CAFCO 400 '!$L$8*(J294^2)+'CAFCO 400 '!$L$9*J294+'CAFCO 400 '!$L$10)*U294^2)+(('CAFCO 400 '!$L$11*(J294^3)+'CAFCO 400 '!$L$12*(J294^2)+'CAFCO 400 '!$L$13*J294+'CAFCO 400 '!$L$14)*U294)+('CAFCO 400 '!$L$15*LN(J294)+'CAFCO 400 '!$L$16)),0)+IF(AND(L294="Cafco 400",M294="Software Idiem",C294="L"),((('CAFCO 400 '!$L$7*(J294^3)+'CAFCO 400 '!$L$8*(J294^2)+'CAFCO 400 '!$L$9*J294+'CAFCO 400 '!$L$10)*U294^2)+(('CAFCO 400 '!$L$11*(J294^3)+'CAFCO 400 '!$L$12*(J294^2)+'CAFCO 400 '!$L$13*J294+'CAFCO 400 '!$L$14)*U294)+('CAFCO 400 '!$L$15*LN(J294)+'CAFCO 400 '!$L$16)),0)+IF(AND(L294="Cafco 400",M294="Software Idiem",C294="IN",G294=3),((('CAFCO 400 '!$D$23*(J294^2)+'CAFCO 400 '!$D$24*(J294)+'CAFCO 400 '!$D$25)*U294^2)+(('CAFCO 400 '!$D$26*(J294^2)+'CAFCO 400 '!$D$27*J294+'CAFCO 400 '!$D$28)*U294)+('CAFCO 400 '!$D$29*(J294^2)+'CAFCO 400 '!$D$30*J294+'CAFCO 400 '!$D$31)),0),0)+IF(AND(L294="Cafco 300",J294&gt;=95,J294&lt;=240,C294="Cj",I294=90),VLOOKUP(T294,'CAFCO 300 IDIEM TABLAS'!$B$4:$D$23,2,FALSE),0)+IF(AND(L294="Cafco 300",J294&gt;=95,J294&lt;=240,C294="Cj",I294=120),VLOOKUP(T294,'CAFCO 300 IDIEM TABLAS'!$B$4:$D$23,3,FALSE),0)+IF(AND(L294="Cafco 300",J294&gt;=95,J294&lt;=400,G294=3,C294="IN",I294=90),VLOOKUP(T294,'CAFCO 300 IDIEM TABLAS'!$F$4:$H$35,2,FALSE),0)+IF(AND(L294="Cafco 300",J294&gt;=95,J294&lt;=400,G294=3,C294="IN",I294=120),VLOOKUP(T294,'CAFCO 300 IDIEM TABLAS'!$F$4:$H$35,3,FALSE),0)+IF(AND(L294="Cafco 300",J294&gt;=95,J294&lt;=450,G294=4,C294="IN",I294=90),VLOOKUP(T294,'CAFCO 300 IDIEM TABLAS'!$J$4:$L$40,2,FALSE),0)+IF(AND(L294="Cafco 300",J294&gt;=95,J294&lt;=450,G294=4,C294="IN",I294=120),VLOOKUP(T294,'CAFCO 300 IDIEM TABLAS'!$J$4:$L$40,3,FALSE),0)+IF(AND(M294="Ensayo Idiem",L294="Cafco 400",C294="IN",G294=4,I294=90),VLOOKUP(T294,'CAFCO 400 ENSAYO'!$B$7:$D$43,2,FALSE),0)+IF(AND(M294="Ensayo Idiem",L294="Cafco 400",C294="IN",G294=4,I294=120),VLOOKUP(T294,'CAFCO 400 ENSAYO'!$B$7:$D$43,3,FALSE),0)</f>
        <v>0</v>
      </c>
      <c r="O294" s="96">
        <f t="shared" si="33"/>
        <v>0</v>
      </c>
      <c r="P294" s="95" t="str">
        <f t="shared" si="34"/>
        <v>N/A</v>
      </c>
      <c r="Q294" s="95" t="str">
        <f t="shared" si="35"/>
        <v>N/A</v>
      </c>
      <c r="R294" s="95" t="str">
        <f t="shared" si="36"/>
        <v>NO CERT.</v>
      </c>
      <c r="S294" s="95" t="e">
        <f t="shared" si="31"/>
        <v>#N/A</v>
      </c>
      <c r="T294" s="119" t="e">
        <f>+IF(J294=LOOKUP(J294,'CAFCO 300 IDIEM TABLAS'!$J$4:$J$40),'CALCULO MORTERO'!J294,MROUND('CALCULO MORTERO'!J294,10))</f>
        <v>#N/A</v>
      </c>
      <c r="U294" s="118">
        <f t="shared" si="32"/>
        <v>0</v>
      </c>
      <c r="Y294" s="4"/>
      <c r="Z294" s="4"/>
      <c r="AA294" s="4"/>
    </row>
    <row r="295" spans="1:27" x14ac:dyDescent="0.25">
      <c r="A295" s="118">
        <f>+CUBICACION!D289</f>
        <v>0</v>
      </c>
      <c r="B295" s="819">
        <f>+CUBICACION!E289</f>
        <v>0</v>
      </c>
      <c r="C295" s="675">
        <f>+CUBICACION!F289</f>
        <v>0</v>
      </c>
      <c r="D295" s="118"/>
      <c r="E295" s="118"/>
      <c r="F295" s="820"/>
      <c r="G295" s="675">
        <f>+CUBICACION!J289</f>
        <v>0</v>
      </c>
      <c r="H295" s="118"/>
      <c r="I295" s="821">
        <f>+CUBICACION!L289</f>
        <v>0</v>
      </c>
      <c r="J295" s="64">
        <f>+CUBICACION!M289</f>
        <v>0</v>
      </c>
      <c r="K295" s="822" t="str">
        <f>+CUBICACION!N289</f>
        <v/>
      </c>
      <c r="L295" s="118">
        <f>+CUBICACION!O289</f>
        <v>0</v>
      </c>
      <c r="M295" s="823">
        <f>+CUBICACION!P289</f>
        <v>0</v>
      </c>
      <c r="N295" s="902">
        <f>ROUND(IF(AND(L295="Blaze Shield II",M295="Software Idiem",C295="IN",G295=4),((('BLAZE SHIELD II'!$D$4*('CALCULO MORTERO'!I295^2)+'BLAZE SHIELD II'!$D$5*'CALCULO MORTERO'!I295+'BLAZE SHIELD II'!$D$6)*LN(J295))+('BLAZE SHIELD II'!$D$7*('CALCULO MORTERO'!I295^2)+'BLAZE SHIELD II'!$D$8*'CALCULO MORTERO'!I295+'BLAZE SHIELD II'!$D$9)),0)+IF(AND(L295="Blaze Shield II",M295="Software Idiem",C295="Cj"),((('BLAZE SHIELD II'!$H$4*('CALCULO MORTERO'!I295^2)+'BLAZE SHIELD II'!$H$5*'CALCULO MORTERO'!I295+'BLAZE SHIELD II'!$H$6)*LN(J295))+('BLAZE SHIELD II'!$H$7*('CALCULO MORTERO'!I295^2)+'BLAZE SHIELD II'!$H$8*'CALCULO MORTERO'!I295+'BLAZE SHIELD II'!$H$9)),0)+IF(AND(L295="Blaze Shield II",M295="Software Idiem",C295="C"),((('BLAZE SHIELD II'!$L$4*('CALCULO MORTERO'!I295^2)+'BLAZE SHIELD II'!$L$5*'CALCULO MORTERO'!I295+'BLAZE SHIELD II'!$L$6)*LN(J295))+('BLAZE SHIELD II'!$L$7*('CALCULO MORTERO'!I295^2)+'BLAZE SHIELD II'!$L$8*'CALCULO MORTERO'!I295+'BLAZE SHIELD II'!$L$9)),0)+IF(AND(L295="Blaze Shield II",M295="Software Idiem",C295="L"),((('BLAZE SHIELD II'!$L$4*('CALCULO MORTERO'!I295^2)+'BLAZE SHIELD II'!$L$5*'CALCULO MORTERO'!I295+'BLAZE SHIELD II'!$L$6)*LN(J295))+('BLAZE SHIELD II'!$L$7*('CALCULO MORTERO'!I295^2)+'BLAZE SHIELD II'!$L$8*'CALCULO MORTERO'!I295+'BLAZE SHIELD II'!$L$9)),0)+IF(AND(L295="Blaze Shield II",M295="Software Idiem",C295="IN",G295=3),((('BLAZE SHIELD II'!$H$14*('CALCULO MORTERO'!I295^2)+'BLAZE SHIELD II'!$H$15*'CALCULO MORTERO'!I295+'BLAZE SHIELD II'!$H$16)*LN(J295))+('BLAZE SHIELD II'!$H$17*('CALCULO MORTERO'!I295^2)+'BLAZE SHIELD II'!$H$18*'CALCULO MORTERO'!I295+'BLAZE SHIELD II'!$H$19)),0),0)+ROUND(IF(AND(L295="Cafco 400",M295="Software Idiem",C295="IN",G295=4),((('CAFCO 400 '!$H$7*(J295^4)+'CAFCO 400 '!$H$8*(J295^3)+'CAFCO 400 '!$H$9*(J295^2)+'CAFCO 400 '!$H$10*J295+'CAFCO 400 '!$H$11)*U295^2)+(('CAFCO 400 '!$H$12*(J295^3)+'CAFCO 400 '!$H$13*(J295^2)+'CAFCO 400 '!$H$14*J295+'CAFCO 400 '!$H$15)*U295)+('CAFCO 400 '!$H$16*(J295^2)+'CAFCO 400 '!$H$17*J295+'CAFCO 400 '!$H$18)),0)+IF(AND(L295="Cafco 400",M295="Software Idiem",C295="Cj"),(((('CAFCO 400 '!$D$7*LN(J295)+'CAFCO 400 '!$D$8)*U295^2)+(('CAFCO 400 '!$D$9*LN(J295)+'CAFCO 400 '!$D$10)*U295)+('CAFCO 400 '!$D$11*LN(J295)+'CAFCO 400 '!$D$12))),0)+IF(AND(L295="Cafco 400",M295="Software Idiem",C295="C"),((('CAFCO 400 '!$L$7*(J295^3)+'CAFCO 400 '!$L$8*(J295^2)+'CAFCO 400 '!$L$9*J295+'CAFCO 400 '!$L$10)*U295^2)+(('CAFCO 400 '!$L$11*(J295^3)+'CAFCO 400 '!$L$12*(J295^2)+'CAFCO 400 '!$L$13*J295+'CAFCO 400 '!$L$14)*U295)+('CAFCO 400 '!$L$15*LN(J295)+'CAFCO 400 '!$L$16)),0)+IF(AND(L295="Cafco 400",M295="Software Idiem",C295="L"),((('CAFCO 400 '!$L$7*(J295^3)+'CAFCO 400 '!$L$8*(J295^2)+'CAFCO 400 '!$L$9*J295+'CAFCO 400 '!$L$10)*U295^2)+(('CAFCO 400 '!$L$11*(J295^3)+'CAFCO 400 '!$L$12*(J295^2)+'CAFCO 400 '!$L$13*J295+'CAFCO 400 '!$L$14)*U295)+('CAFCO 400 '!$L$15*LN(J295)+'CAFCO 400 '!$L$16)),0)+IF(AND(L295="Cafco 400",M295="Software Idiem",C295="IN",G295=3),((('CAFCO 400 '!$D$23*(J295^2)+'CAFCO 400 '!$D$24*(J295)+'CAFCO 400 '!$D$25)*U295^2)+(('CAFCO 400 '!$D$26*(J295^2)+'CAFCO 400 '!$D$27*J295+'CAFCO 400 '!$D$28)*U295)+('CAFCO 400 '!$D$29*(J295^2)+'CAFCO 400 '!$D$30*J295+'CAFCO 400 '!$D$31)),0),0)+IF(AND(L295="Cafco 300",J295&gt;=95,J295&lt;=240,C295="Cj",I295=90),VLOOKUP(T295,'CAFCO 300 IDIEM TABLAS'!$B$4:$D$23,2,FALSE),0)+IF(AND(L295="Cafco 300",J295&gt;=95,J295&lt;=240,C295="Cj",I295=120),VLOOKUP(T295,'CAFCO 300 IDIEM TABLAS'!$B$4:$D$23,3,FALSE),0)+IF(AND(L295="Cafco 300",J295&gt;=95,J295&lt;=400,G295=3,C295="IN",I295=90),VLOOKUP(T295,'CAFCO 300 IDIEM TABLAS'!$F$4:$H$35,2,FALSE),0)+IF(AND(L295="Cafco 300",J295&gt;=95,J295&lt;=400,G295=3,C295="IN",I295=120),VLOOKUP(T295,'CAFCO 300 IDIEM TABLAS'!$F$4:$H$35,3,FALSE),0)+IF(AND(L295="Cafco 300",J295&gt;=95,J295&lt;=450,G295=4,C295="IN",I295=90),VLOOKUP(T295,'CAFCO 300 IDIEM TABLAS'!$J$4:$L$40,2,FALSE),0)+IF(AND(L295="Cafco 300",J295&gt;=95,J295&lt;=450,G295=4,C295="IN",I295=120),VLOOKUP(T295,'CAFCO 300 IDIEM TABLAS'!$J$4:$L$40,3,FALSE),0)+IF(AND(M295="Ensayo Idiem",L295="Cafco 400",C295="IN",G295=4,I295=90),VLOOKUP(T295,'CAFCO 400 ENSAYO'!$B$7:$D$43,2,FALSE),0)+IF(AND(M295="Ensayo Idiem",L295="Cafco 400",C295="IN",G295=4,I295=120),VLOOKUP(T295,'CAFCO 400 ENSAYO'!$B$7:$D$43,3,FALSE),0)</f>
        <v>0</v>
      </c>
      <c r="O295" s="96">
        <f t="shared" si="33"/>
        <v>0</v>
      </c>
      <c r="P295" s="95" t="str">
        <f t="shared" si="34"/>
        <v>N/A</v>
      </c>
      <c r="Q295" s="95" t="str">
        <f t="shared" si="35"/>
        <v>N/A</v>
      </c>
      <c r="R295" s="95" t="str">
        <f t="shared" si="36"/>
        <v>NO CERT.</v>
      </c>
      <c r="S295" s="95" t="e">
        <f t="shared" si="31"/>
        <v>#N/A</v>
      </c>
      <c r="T295" s="119" t="e">
        <f>+IF(J295=LOOKUP(J295,'CAFCO 300 IDIEM TABLAS'!$J$4:$J$40),'CALCULO MORTERO'!J295,MROUND('CALCULO MORTERO'!J295,10))</f>
        <v>#N/A</v>
      </c>
      <c r="U295" s="118">
        <f t="shared" si="32"/>
        <v>0</v>
      </c>
      <c r="Y295" s="4"/>
      <c r="Z295" s="4"/>
      <c r="AA295" s="4"/>
    </row>
    <row r="296" spans="1:27" ht="15.6" customHeight="1" x14ac:dyDescent="0.25">
      <c r="A296" s="118">
        <f>+CUBICACION!D290</f>
        <v>0</v>
      </c>
      <c r="B296" s="819">
        <f>+CUBICACION!E290</f>
        <v>0</v>
      </c>
      <c r="C296" s="675">
        <f>+CUBICACION!F290</f>
        <v>0</v>
      </c>
      <c r="D296" s="118"/>
      <c r="E296" s="118"/>
      <c r="F296" s="820"/>
      <c r="G296" s="675">
        <f>+CUBICACION!J290</f>
        <v>0</v>
      </c>
      <c r="H296" s="118"/>
      <c r="I296" s="821">
        <f>+CUBICACION!L290</f>
        <v>0</v>
      </c>
      <c r="J296" s="64">
        <f>+CUBICACION!M290</f>
        <v>0</v>
      </c>
      <c r="K296" s="822" t="str">
        <f>+CUBICACION!N290</f>
        <v/>
      </c>
      <c r="L296" s="118">
        <f>+CUBICACION!O290</f>
        <v>0</v>
      </c>
      <c r="M296" s="823">
        <f>+CUBICACION!P290</f>
        <v>0</v>
      </c>
      <c r="N296" s="902">
        <f>ROUND(IF(AND(L296="Blaze Shield II",M296="Software Idiem",C296="IN",G296=4),((('BLAZE SHIELD II'!$D$4*('CALCULO MORTERO'!I296^2)+'BLAZE SHIELD II'!$D$5*'CALCULO MORTERO'!I296+'BLAZE SHIELD II'!$D$6)*LN(J296))+('BLAZE SHIELD II'!$D$7*('CALCULO MORTERO'!I296^2)+'BLAZE SHIELD II'!$D$8*'CALCULO MORTERO'!I296+'BLAZE SHIELD II'!$D$9)),0)+IF(AND(L296="Blaze Shield II",M296="Software Idiem",C296="Cj"),((('BLAZE SHIELD II'!$H$4*('CALCULO MORTERO'!I296^2)+'BLAZE SHIELD II'!$H$5*'CALCULO MORTERO'!I296+'BLAZE SHIELD II'!$H$6)*LN(J296))+('BLAZE SHIELD II'!$H$7*('CALCULO MORTERO'!I296^2)+'BLAZE SHIELD II'!$H$8*'CALCULO MORTERO'!I296+'BLAZE SHIELD II'!$H$9)),0)+IF(AND(L296="Blaze Shield II",M296="Software Idiem",C296="C"),((('BLAZE SHIELD II'!$L$4*('CALCULO MORTERO'!I296^2)+'BLAZE SHIELD II'!$L$5*'CALCULO MORTERO'!I296+'BLAZE SHIELD II'!$L$6)*LN(J296))+('BLAZE SHIELD II'!$L$7*('CALCULO MORTERO'!I296^2)+'BLAZE SHIELD II'!$L$8*'CALCULO MORTERO'!I296+'BLAZE SHIELD II'!$L$9)),0)+IF(AND(L296="Blaze Shield II",M296="Software Idiem",C296="L"),((('BLAZE SHIELD II'!$L$4*('CALCULO MORTERO'!I296^2)+'BLAZE SHIELD II'!$L$5*'CALCULO MORTERO'!I296+'BLAZE SHIELD II'!$L$6)*LN(J296))+('BLAZE SHIELD II'!$L$7*('CALCULO MORTERO'!I296^2)+'BLAZE SHIELD II'!$L$8*'CALCULO MORTERO'!I296+'BLAZE SHIELD II'!$L$9)),0)+IF(AND(L296="Blaze Shield II",M296="Software Idiem",C296="IN",G296=3),((('BLAZE SHIELD II'!$H$14*('CALCULO MORTERO'!I296^2)+'BLAZE SHIELD II'!$H$15*'CALCULO MORTERO'!I296+'BLAZE SHIELD II'!$H$16)*LN(J296))+('BLAZE SHIELD II'!$H$17*('CALCULO MORTERO'!I296^2)+'BLAZE SHIELD II'!$H$18*'CALCULO MORTERO'!I296+'BLAZE SHIELD II'!$H$19)),0),0)+ROUND(IF(AND(L296="Cafco 400",M296="Software Idiem",C296="IN",G296=4),((('CAFCO 400 '!$H$7*(J296^4)+'CAFCO 400 '!$H$8*(J296^3)+'CAFCO 400 '!$H$9*(J296^2)+'CAFCO 400 '!$H$10*J296+'CAFCO 400 '!$H$11)*U296^2)+(('CAFCO 400 '!$H$12*(J296^3)+'CAFCO 400 '!$H$13*(J296^2)+'CAFCO 400 '!$H$14*J296+'CAFCO 400 '!$H$15)*U296)+('CAFCO 400 '!$H$16*(J296^2)+'CAFCO 400 '!$H$17*J296+'CAFCO 400 '!$H$18)),0)+IF(AND(L296="Cafco 400",M296="Software Idiem",C296="Cj"),(((('CAFCO 400 '!$D$7*LN(J296)+'CAFCO 400 '!$D$8)*U296^2)+(('CAFCO 400 '!$D$9*LN(J296)+'CAFCO 400 '!$D$10)*U296)+('CAFCO 400 '!$D$11*LN(J296)+'CAFCO 400 '!$D$12))),0)+IF(AND(L296="Cafco 400",M296="Software Idiem",C296="C"),((('CAFCO 400 '!$L$7*(J296^3)+'CAFCO 400 '!$L$8*(J296^2)+'CAFCO 400 '!$L$9*J296+'CAFCO 400 '!$L$10)*U296^2)+(('CAFCO 400 '!$L$11*(J296^3)+'CAFCO 400 '!$L$12*(J296^2)+'CAFCO 400 '!$L$13*J296+'CAFCO 400 '!$L$14)*U296)+('CAFCO 400 '!$L$15*LN(J296)+'CAFCO 400 '!$L$16)),0)+IF(AND(L296="Cafco 400",M296="Software Idiem",C296="L"),((('CAFCO 400 '!$L$7*(J296^3)+'CAFCO 400 '!$L$8*(J296^2)+'CAFCO 400 '!$L$9*J296+'CAFCO 400 '!$L$10)*U296^2)+(('CAFCO 400 '!$L$11*(J296^3)+'CAFCO 400 '!$L$12*(J296^2)+'CAFCO 400 '!$L$13*J296+'CAFCO 400 '!$L$14)*U296)+('CAFCO 400 '!$L$15*LN(J296)+'CAFCO 400 '!$L$16)),0)+IF(AND(L296="Cafco 400",M296="Software Idiem",C296="IN",G296=3),((('CAFCO 400 '!$D$23*(J296^2)+'CAFCO 400 '!$D$24*(J296)+'CAFCO 400 '!$D$25)*U296^2)+(('CAFCO 400 '!$D$26*(J296^2)+'CAFCO 400 '!$D$27*J296+'CAFCO 400 '!$D$28)*U296)+('CAFCO 400 '!$D$29*(J296^2)+'CAFCO 400 '!$D$30*J296+'CAFCO 400 '!$D$31)),0),0)+IF(AND(L296="Cafco 300",J296&gt;=95,J296&lt;=240,C296="Cj",I296=90),VLOOKUP(T296,'CAFCO 300 IDIEM TABLAS'!$B$4:$D$23,2,FALSE),0)+IF(AND(L296="Cafco 300",J296&gt;=95,J296&lt;=240,C296="Cj",I296=120),VLOOKUP(T296,'CAFCO 300 IDIEM TABLAS'!$B$4:$D$23,3,FALSE),0)+IF(AND(L296="Cafco 300",J296&gt;=95,J296&lt;=400,G296=3,C296="IN",I296=90),VLOOKUP(T296,'CAFCO 300 IDIEM TABLAS'!$F$4:$H$35,2,FALSE),0)+IF(AND(L296="Cafco 300",J296&gt;=95,J296&lt;=400,G296=3,C296="IN",I296=120),VLOOKUP(T296,'CAFCO 300 IDIEM TABLAS'!$F$4:$H$35,3,FALSE),0)+IF(AND(L296="Cafco 300",J296&gt;=95,J296&lt;=450,G296=4,C296="IN",I296=90),VLOOKUP(T296,'CAFCO 300 IDIEM TABLAS'!$J$4:$L$40,2,FALSE),0)+IF(AND(L296="Cafco 300",J296&gt;=95,J296&lt;=450,G296=4,C296="IN",I296=120),VLOOKUP(T296,'CAFCO 300 IDIEM TABLAS'!$J$4:$L$40,3,FALSE),0)+IF(AND(M296="Ensayo Idiem",L296="Cafco 400",C296="IN",G296=4,I296=90),VLOOKUP(T296,'CAFCO 400 ENSAYO'!$B$7:$D$43,2,FALSE),0)+IF(AND(M296="Ensayo Idiem",L296="Cafco 400",C296="IN",G296=4,I296=120),VLOOKUP(T296,'CAFCO 400 ENSAYO'!$B$7:$D$43,3,FALSE),0)</f>
        <v>0</v>
      </c>
      <c r="O296" s="96">
        <f t="shared" si="33"/>
        <v>0</v>
      </c>
      <c r="P296" s="95" t="str">
        <f t="shared" si="34"/>
        <v>N/A</v>
      </c>
      <c r="Q296" s="95" t="str">
        <f t="shared" si="35"/>
        <v>N/A</v>
      </c>
      <c r="R296" s="95" t="str">
        <f t="shared" si="36"/>
        <v>NO CERT.</v>
      </c>
      <c r="S296" s="95" t="e">
        <f t="shared" si="31"/>
        <v>#N/A</v>
      </c>
      <c r="T296" s="119" t="e">
        <f>+IF(J296=LOOKUP(J296,'CAFCO 300 IDIEM TABLAS'!$J$4:$J$40),'CALCULO MORTERO'!J296,MROUND('CALCULO MORTERO'!J296,10))</f>
        <v>#N/A</v>
      </c>
      <c r="U296" s="118">
        <f t="shared" si="32"/>
        <v>0</v>
      </c>
      <c r="Y296" s="4"/>
      <c r="Z296" s="4"/>
      <c r="AA296" s="4"/>
    </row>
    <row r="297" spans="1:27" x14ac:dyDescent="0.25">
      <c r="A297" s="118">
        <f>+CUBICACION!D291</f>
        <v>0</v>
      </c>
      <c r="B297" s="819">
        <f>+CUBICACION!E291</f>
        <v>0</v>
      </c>
      <c r="C297" s="675">
        <f>+CUBICACION!F291</f>
        <v>0</v>
      </c>
      <c r="D297" s="118"/>
      <c r="E297" s="118"/>
      <c r="F297" s="820"/>
      <c r="G297" s="675">
        <f>+CUBICACION!J291</f>
        <v>0</v>
      </c>
      <c r="H297" s="118"/>
      <c r="I297" s="821">
        <f>+CUBICACION!L291</f>
        <v>0</v>
      </c>
      <c r="J297" s="64">
        <f>+CUBICACION!M291</f>
        <v>0</v>
      </c>
      <c r="K297" s="822" t="str">
        <f>+CUBICACION!N291</f>
        <v/>
      </c>
      <c r="L297" s="118">
        <f>+CUBICACION!O291</f>
        <v>0</v>
      </c>
      <c r="M297" s="823">
        <f>+CUBICACION!P291</f>
        <v>0</v>
      </c>
      <c r="N297" s="902">
        <f>ROUND(IF(AND(L297="Blaze Shield II",M297="Software Idiem",C297="IN",G297=4),((('BLAZE SHIELD II'!$D$4*('CALCULO MORTERO'!I297^2)+'BLAZE SHIELD II'!$D$5*'CALCULO MORTERO'!I297+'BLAZE SHIELD II'!$D$6)*LN(J297))+('BLAZE SHIELD II'!$D$7*('CALCULO MORTERO'!I297^2)+'BLAZE SHIELD II'!$D$8*'CALCULO MORTERO'!I297+'BLAZE SHIELD II'!$D$9)),0)+IF(AND(L297="Blaze Shield II",M297="Software Idiem",C297="Cj"),((('BLAZE SHIELD II'!$H$4*('CALCULO MORTERO'!I297^2)+'BLAZE SHIELD II'!$H$5*'CALCULO MORTERO'!I297+'BLAZE SHIELD II'!$H$6)*LN(J297))+('BLAZE SHIELD II'!$H$7*('CALCULO MORTERO'!I297^2)+'BLAZE SHIELD II'!$H$8*'CALCULO MORTERO'!I297+'BLAZE SHIELD II'!$H$9)),0)+IF(AND(L297="Blaze Shield II",M297="Software Idiem",C297="C"),((('BLAZE SHIELD II'!$L$4*('CALCULO MORTERO'!I297^2)+'BLAZE SHIELD II'!$L$5*'CALCULO MORTERO'!I297+'BLAZE SHIELD II'!$L$6)*LN(J297))+('BLAZE SHIELD II'!$L$7*('CALCULO MORTERO'!I297^2)+'BLAZE SHIELD II'!$L$8*'CALCULO MORTERO'!I297+'BLAZE SHIELD II'!$L$9)),0)+IF(AND(L297="Blaze Shield II",M297="Software Idiem",C297="L"),((('BLAZE SHIELD II'!$L$4*('CALCULO MORTERO'!I297^2)+'BLAZE SHIELD II'!$L$5*'CALCULO MORTERO'!I297+'BLAZE SHIELD II'!$L$6)*LN(J297))+('BLAZE SHIELD II'!$L$7*('CALCULO MORTERO'!I297^2)+'BLAZE SHIELD II'!$L$8*'CALCULO MORTERO'!I297+'BLAZE SHIELD II'!$L$9)),0)+IF(AND(L297="Blaze Shield II",M297="Software Idiem",C297="IN",G297=3),((('BLAZE SHIELD II'!$H$14*('CALCULO MORTERO'!I297^2)+'BLAZE SHIELD II'!$H$15*'CALCULO MORTERO'!I297+'BLAZE SHIELD II'!$H$16)*LN(J297))+('BLAZE SHIELD II'!$H$17*('CALCULO MORTERO'!I297^2)+'BLAZE SHIELD II'!$H$18*'CALCULO MORTERO'!I297+'BLAZE SHIELD II'!$H$19)),0),0)+ROUND(IF(AND(L297="Cafco 400",M297="Software Idiem",C297="IN",G297=4),((('CAFCO 400 '!$H$7*(J297^4)+'CAFCO 400 '!$H$8*(J297^3)+'CAFCO 400 '!$H$9*(J297^2)+'CAFCO 400 '!$H$10*J297+'CAFCO 400 '!$H$11)*U297^2)+(('CAFCO 400 '!$H$12*(J297^3)+'CAFCO 400 '!$H$13*(J297^2)+'CAFCO 400 '!$H$14*J297+'CAFCO 400 '!$H$15)*U297)+('CAFCO 400 '!$H$16*(J297^2)+'CAFCO 400 '!$H$17*J297+'CAFCO 400 '!$H$18)),0)+IF(AND(L297="Cafco 400",M297="Software Idiem",C297="Cj"),(((('CAFCO 400 '!$D$7*LN(J297)+'CAFCO 400 '!$D$8)*U297^2)+(('CAFCO 400 '!$D$9*LN(J297)+'CAFCO 400 '!$D$10)*U297)+('CAFCO 400 '!$D$11*LN(J297)+'CAFCO 400 '!$D$12))),0)+IF(AND(L297="Cafco 400",M297="Software Idiem",C297="C"),((('CAFCO 400 '!$L$7*(J297^3)+'CAFCO 400 '!$L$8*(J297^2)+'CAFCO 400 '!$L$9*J297+'CAFCO 400 '!$L$10)*U297^2)+(('CAFCO 400 '!$L$11*(J297^3)+'CAFCO 400 '!$L$12*(J297^2)+'CAFCO 400 '!$L$13*J297+'CAFCO 400 '!$L$14)*U297)+('CAFCO 400 '!$L$15*LN(J297)+'CAFCO 400 '!$L$16)),0)+IF(AND(L297="Cafco 400",M297="Software Idiem",C297="L"),((('CAFCO 400 '!$L$7*(J297^3)+'CAFCO 400 '!$L$8*(J297^2)+'CAFCO 400 '!$L$9*J297+'CAFCO 400 '!$L$10)*U297^2)+(('CAFCO 400 '!$L$11*(J297^3)+'CAFCO 400 '!$L$12*(J297^2)+'CAFCO 400 '!$L$13*J297+'CAFCO 400 '!$L$14)*U297)+('CAFCO 400 '!$L$15*LN(J297)+'CAFCO 400 '!$L$16)),0)+IF(AND(L297="Cafco 400",M297="Software Idiem",C297="IN",G297=3),((('CAFCO 400 '!$D$23*(J297^2)+'CAFCO 400 '!$D$24*(J297)+'CAFCO 400 '!$D$25)*U297^2)+(('CAFCO 400 '!$D$26*(J297^2)+'CAFCO 400 '!$D$27*J297+'CAFCO 400 '!$D$28)*U297)+('CAFCO 400 '!$D$29*(J297^2)+'CAFCO 400 '!$D$30*J297+'CAFCO 400 '!$D$31)),0),0)+IF(AND(L297="Cafco 300",J297&gt;=95,J297&lt;=240,C297="Cj",I297=90),VLOOKUP(T297,'CAFCO 300 IDIEM TABLAS'!$B$4:$D$23,2,FALSE),0)+IF(AND(L297="Cafco 300",J297&gt;=95,J297&lt;=240,C297="Cj",I297=120),VLOOKUP(T297,'CAFCO 300 IDIEM TABLAS'!$B$4:$D$23,3,FALSE),0)+IF(AND(L297="Cafco 300",J297&gt;=95,J297&lt;=400,G297=3,C297="IN",I297=90),VLOOKUP(T297,'CAFCO 300 IDIEM TABLAS'!$F$4:$H$35,2,FALSE),0)+IF(AND(L297="Cafco 300",J297&gt;=95,J297&lt;=400,G297=3,C297="IN",I297=120),VLOOKUP(T297,'CAFCO 300 IDIEM TABLAS'!$F$4:$H$35,3,FALSE),0)+IF(AND(L297="Cafco 300",J297&gt;=95,J297&lt;=450,G297=4,C297="IN",I297=90),VLOOKUP(T297,'CAFCO 300 IDIEM TABLAS'!$J$4:$L$40,2,FALSE),0)+IF(AND(L297="Cafco 300",J297&gt;=95,J297&lt;=450,G297=4,C297="IN",I297=120),VLOOKUP(T297,'CAFCO 300 IDIEM TABLAS'!$J$4:$L$40,3,FALSE),0)+IF(AND(M297="Ensayo Idiem",L297="Cafco 400",C297="IN",G297=4,I297=90),VLOOKUP(T297,'CAFCO 400 ENSAYO'!$B$7:$D$43,2,FALSE),0)+IF(AND(M297="Ensayo Idiem",L297="Cafco 400",C297="IN",G297=4,I297=120),VLOOKUP(T297,'CAFCO 400 ENSAYO'!$B$7:$D$43,3,FALSE),0)</f>
        <v>0</v>
      </c>
      <c r="O297" s="96">
        <f t="shared" si="33"/>
        <v>0</v>
      </c>
      <c r="P297" s="95" t="str">
        <f t="shared" si="34"/>
        <v>N/A</v>
      </c>
      <c r="Q297" s="95" t="str">
        <f t="shared" si="35"/>
        <v>N/A</v>
      </c>
      <c r="R297" s="95" t="str">
        <f t="shared" si="36"/>
        <v>NO CERT.</v>
      </c>
      <c r="S297" s="95" t="e">
        <f t="shared" si="31"/>
        <v>#N/A</v>
      </c>
      <c r="T297" s="119" t="e">
        <f>+IF(J297=LOOKUP(J297,'CAFCO 300 IDIEM TABLAS'!$J$4:$J$40),'CALCULO MORTERO'!J297,MROUND('CALCULO MORTERO'!J297,10))</f>
        <v>#N/A</v>
      </c>
      <c r="U297" s="118">
        <f t="shared" si="32"/>
        <v>0</v>
      </c>
      <c r="Y297" s="4"/>
      <c r="Z297" s="4"/>
      <c r="AA297" s="4"/>
    </row>
    <row r="298" spans="1:27" ht="15.6" customHeight="1" x14ac:dyDescent="0.25">
      <c r="A298" s="118">
        <f>+CUBICACION!D292</f>
        <v>0</v>
      </c>
      <c r="B298" s="819">
        <f>+CUBICACION!E292</f>
        <v>0</v>
      </c>
      <c r="C298" s="675">
        <f>+CUBICACION!F292</f>
        <v>0</v>
      </c>
      <c r="D298" s="118"/>
      <c r="E298" s="118"/>
      <c r="F298" s="820"/>
      <c r="G298" s="675">
        <f>+CUBICACION!J292</f>
        <v>0</v>
      </c>
      <c r="H298" s="118"/>
      <c r="I298" s="821">
        <f>+CUBICACION!L292</f>
        <v>0</v>
      </c>
      <c r="J298" s="64">
        <f>+CUBICACION!M292</f>
        <v>0</v>
      </c>
      <c r="K298" s="822" t="str">
        <f>+CUBICACION!N292</f>
        <v/>
      </c>
      <c r="L298" s="118">
        <f>+CUBICACION!O292</f>
        <v>0</v>
      </c>
      <c r="M298" s="823">
        <f>+CUBICACION!P292</f>
        <v>0</v>
      </c>
      <c r="N298" s="902">
        <f>ROUND(IF(AND(L298="Blaze Shield II",M298="Software Idiem",C298="IN",G298=4),((('BLAZE SHIELD II'!$D$4*('CALCULO MORTERO'!I298^2)+'BLAZE SHIELD II'!$D$5*'CALCULO MORTERO'!I298+'BLAZE SHIELD II'!$D$6)*LN(J298))+('BLAZE SHIELD II'!$D$7*('CALCULO MORTERO'!I298^2)+'BLAZE SHIELD II'!$D$8*'CALCULO MORTERO'!I298+'BLAZE SHIELD II'!$D$9)),0)+IF(AND(L298="Blaze Shield II",M298="Software Idiem",C298="Cj"),((('BLAZE SHIELD II'!$H$4*('CALCULO MORTERO'!I298^2)+'BLAZE SHIELD II'!$H$5*'CALCULO MORTERO'!I298+'BLAZE SHIELD II'!$H$6)*LN(J298))+('BLAZE SHIELD II'!$H$7*('CALCULO MORTERO'!I298^2)+'BLAZE SHIELD II'!$H$8*'CALCULO MORTERO'!I298+'BLAZE SHIELD II'!$H$9)),0)+IF(AND(L298="Blaze Shield II",M298="Software Idiem",C298="C"),((('BLAZE SHIELD II'!$L$4*('CALCULO MORTERO'!I298^2)+'BLAZE SHIELD II'!$L$5*'CALCULO MORTERO'!I298+'BLAZE SHIELD II'!$L$6)*LN(J298))+('BLAZE SHIELD II'!$L$7*('CALCULO MORTERO'!I298^2)+'BLAZE SHIELD II'!$L$8*'CALCULO MORTERO'!I298+'BLAZE SHIELD II'!$L$9)),0)+IF(AND(L298="Blaze Shield II",M298="Software Idiem",C298="L"),((('BLAZE SHIELD II'!$L$4*('CALCULO MORTERO'!I298^2)+'BLAZE SHIELD II'!$L$5*'CALCULO MORTERO'!I298+'BLAZE SHIELD II'!$L$6)*LN(J298))+('BLAZE SHIELD II'!$L$7*('CALCULO MORTERO'!I298^2)+'BLAZE SHIELD II'!$L$8*'CALCULO MORTERO'!I298+'BLAZE SHIELD II'!$L$9)),0)+IF(AND(L298="Blaze Shield II",M298="Software Idiem",C298="IN",G298=3),((('BLAZE SHIELD II'!$H$14*('CALCULO MORTERO'!I298^2)+'BLAZE SHIELD II'!$H$15*'CALCULO MORTERO'!I298+'BLAZE SHIELD II'!$H$16)*LN(J298))+('BLAZE SHIELD II'!$H$17*('CALCULO MORTERO'!I298^2)+'BLAZE SHIELD II'!$H$18*'CALCULO MORTERO'!I298+'BLAZE SHIELD II'!$H$19)),0),0)+ROUND(IF(AND(L298="Cafco 400",M298="Software Idiem",C298="IN",G298=4),((('CAFCO 400 '!$H$7*(J298^4)+'CAFCO 400 '!$H$8*(J298^3)+'CAFCO 400 '!$H$9*(J298^2)+'CAFCO 400 '!$H$10*J298+'CAFCO 400 '!$H$11)*U298^2)+(('CAFCO 400 '!$H$12*(J298^3)+'CAFCO 400 '!$H$13*(J298^2)+'CAFCO 400 '!$H$14*J298+'CAFCO 400 '!$H$15)*U298)+('CAFCO 400 '!$H$16*(J298^2)+'CAFCO 400 '!$H$17*J298+'CAFCO 400 '!$H$18)),0)+IF(AND(L298="Cafco 400",M298="Software Idiem",C298="Cj"),(((('CAFCO 400 '!$D$7*LN(J298)+'CAFCO 400 '!$D$8)*U298^2)+(('CAFCO 400 '!$D$9*LN(J298)+'CAFCO 400 '!$D$10)*U298)+('CAFCO 400 '!$D$11*LN(J298)+'CAFCO 400 '!$D$12))),0)+IF(AND(L298="Cafco 400",M298="Software Idiem",C298="C"),((('CAFCO 400 '!$L$7*(J298^3)+'CAFCO 400 '!$L$8*(J298^2)+'CAFCO 400 '!$L$9*J298+'CAFCO 400 '!$L$10)*U298^2)+(('CAFCO 400 '!$L$11*(J298^3)+'CAFCO 400 '!$L$12*(J298^2)+'CAFCO 400 '!$L$13*J298+'CAFCO 400 '!$L$14)*U298)+('CAFCO 400 '!$L$15*LN(J298)+'CAFCO 400 '!$L$16)),0)+IF(AND(L298="Cafco 400",M298="Software Idiem",C298="L"),((('CAFCO 400 '!$L$7*(J298^3)+'CAFCO 400 '!$L$8*(J298^2)+'CAFCO 400 '!$L$9*J298+'CAFCO 400 '!$L$10)*U298^2)+(('CAFCO 400 '!$L$11*(J298^3)+'CAFCO 400 '!$L$12*(J298^2)+'CAFCO 400 '!$L$13*J298+'CAFCO 400 '!$L$14)*U298)+('CAFCO 400 '!$L$15*LN(J298)+'CAFCO 400 '!$L$16)),0)+IF(AND(L298="Cafco 400",M298="Software Idiem",C298="IN",G298=3),((('CAFCO 400 '!$D$23*(J298^2)+'CAFCO 400 '!$D$24*(J298)+'CAFCO 400 '!$D$25)*U298^2)+(('CAFCO 400 '!$D$26*(J298^2)+'CAFCO 400 '!$D$27*J298+'CAFCO 400 '!$D$28)*U298)+('CAFCO 400 '!$D$29*(J298^2)+'CAFCO 400 '!$D$30*J298+'CAFCO 400 '!$D$31)),0),0)+IF(AND(L298="Cafco 300",J298&gt;=95,J298&lt;=240,C298="Cj",I298=90),VLOOKUP(T298,'CAFCO 300 IDIEM TABLAS'!$B$4:$D$23,2,FALSE),0)+IF(AND(L298="Cafco 300",J298&gt;=95,J298&lt;=240,C298="Cj",I298=120),VLOOKUP(T298,'CAFCO 300 IDIEM TABLAS'!$B$4:$D$23,3,FALSE),0)+IF(AND(L298="Cafco 300",J298&gt;=95,J298&lt;=400,G298=3,C298="IN",I298=90),VLOOKUP(T298,'CAFCO 300 IDIEM TABLAS'!$F$4:$H$35,2,FALSE),0)+IF(AND(L298="Cafco 300",J298&gt;=95,J298&lt;=400,G298=3,C298="IN",I298=120),VLOOKUP(T298,'CAFCO 300 IDIEM TABLAS'!$F$4:$H$35,3,FALSE),0)+IF(AND(L298="Cafco 300",J298&gt;=95,J298&lt;=450,G298=4,C298="IN",I298=90),VLOOKUP(T298,'CAFCO 300 IDIEM TABLAS'!$J$4:$L$40,2,FALSE),0)+IF(AND(L298="Cafco 300",J298&gt;=95,J298&lt;=450,G298=4,C298="IN",I298=120),VLOOKUP(T298,'CAFCO 300 IDIEM TABLAS'!$J$4:$L$40,3,FALSE),0)+IF(AND(M298="Ensayo Idiem",L298="Cafco 400",C298="IN",G298=4,I298=90),VLOOKUP(T298,'CAFCO 400 ENSAYO'!$B$7:$D$43,2,FALSE),0)+IF(AND(M298="Ensayo Idiem",L298="Cafco 400",C298="IN",G298=4,I298=120),VLOOKUP(T298,'CAFCO 400 ENSAYO'!$B$7:$D$43,3,FALSE),0)</f>
        <v>0</v>
      </c>
      <c r="O298" s="96">
        <f t="shared" si="33"/>
        <v>0</v>
      </c>
      <c r="P298" s="95" t="str">
        <f t="shared" si="34"/>
        <v>N/A</v>
      </c>
      <c r="Q298" s="95" t="str">
        <f t="shared" si="35"/>
        <v>N/A</v>
      </c>
      <c r="R298" s="95" t="str">
        <f t="shared" si="36"/>
        <v>NO CERT.</v>
      </c>
      <c r="S298" s="95" t="e">
        <f t="shared" si="31"/>
        <v>#N/A</v>
      </c>
      <c r="T298" s="119" t="e">
        <f>+IF(J298=LOOKUP(J298,'CAFCO 300 IDIEM TABLAS'!$J$4:$J$40),'CALCULO MORTERO'!J298,MROUND('CALCULO MORTERO'!J298,10))</f>
        <v>#N/A</v>
      </c>
      <c r="U298" s="118">
        <f t="shared" si="32"/>
        <v>0</v>
      </c>
      <c r="Y298" s="4"/>
      <c r="Z298" s="4"/>
      <c r="AA298" s="4"/>
    </row>
    <row r="299" spans="1:27" x14ac:dyDescent="0.25">
      <c r="A299" s="118">
        <f>+CUBICACION!D293</f>
        <v>0</v>
      </c>
      <c r="B299" s="819">
        <f>+CUBICACION!E293</f>
        <v>0</v>
      </c>
      <c r="C299" s="675">
        <f>+CUBICACION!F293</f>
        <v>0</v>
      </c>
      <c r="D299" s="118"/>
      <c r="E299" s="118"/>
      <c r="F299" s="820"/>
      <c r="G299" s="675">
        <f>+CUBICACION!J293</f>
        <v>0</v>
      </c>
      <c r="H299" s="118"/>
      <c r="I299" s="821">
        <f>+CUBICACION!L293</f>
        <v>0</v>
      </c>
      <c r="J299" s="64">
        <f>+CUBICACION!M293</f>
        <v>0</v>
      </c>
      <c r="K299" s="822" t="str">
        <f>+CUBICACION!N293</f>
        <v/>
      </c>
      <c r="L299" s="118">
        <f>+CUBICACION!O293</f>
        <v>0</v>
      </c>
      <c r="M299" s="823">
        <f>+CUBICACION!P293</f>
        <v>0</v>
      </c>
      <c r="N299" s="902">
        <f>ROUND(IF(AND(L299="Blaze Shield II",M299="Software Idiem",C299="IN",G299=4),((('BLAZE SHIELD II'!$D$4*('CALCULO MORTERO'!I299^2)+'BLAZE SHIELD II'!$D$5*'CALCULO MORTERO'!I299+'BLAZE SHIELD II'!$D$6)*LN(J299))+('BLAZE SHIELD II'!$D$7*('CALCULO MORTERO'!I299^2)+'BLAZE SHIELD II'!$D$8*'CALCULO MORTERO'!I299+'BLAZE SHIELD II'!$D$9)),0)+IF(AND(L299="Blaze Shield II",M299="Software Idiem",C299="Cj"),((('BLAZE SHIELD II'!$H$4*('CALCULO MORTERO'!I299^2)+'BLAZE SHIELD II'!$H$5*'CALCULO MORTERO'!I299+'BLAZE SHIELD II'!$H$6)*LN(J299))+('BLAZE SHIELD II'!$H$7*('CALCULO MORTERO'!I299^2)+'BLAZE SHIELD II'!$H$8*'CALCULO MORTERO'!I299+'BLAZE SHIELD II'!$H$9)),0)+IF(AND(L299="Blaze Shield II",M299="Software Idiem",C299="C"),((('BLAZE SHIELD II'!$L$4*('CALCULO MORTERO'!I299^2)+'BLAZE SHIELD II'!$L$5*'CALCULO MORTERO'!I299+'BLAZE SHIELD II'!$L$6)*LN(J299))+('BLAZE SHIELD II'!$L$7*('CALCULO MORTERO'!I299^2)+'BLAZE SHIELD II'!$L$8*'CALCULO MORTERO'!I299+'BLAZE SHIELD II'!$L$9)),0)+IF(AND(L299="Blaze Shield II",M299="Software Idiem",C299="L"),((('BLAZE SHIELD II'!$L$4*('CALCULO MORTERO'!I299^2)+'BLAZE SHIELD II'!$L$5*'CALCULO MORTERO'!I299+'BLAZE SHIELD II'!$L$6)*LN(J299))+('BLAZE SHIELD II'!$L$7*('CALCULO MORTERO'!I299^2)+'BLAZE SHIELD II'!$L$8*'CALCULO MORTERO'!I299+'BLAZE SHIELD II'!$L$9)),0)+IF(AND(L299="Blaze Shield II",M299="Software Idiem",C299="IN",G299=3),((('BLAZE SHIELD II'!$H$14*('CALCULO MORTERO'!I299^2)+'BLAZE SHIELD II'!$H$15*'CALCULO MORTERO'!I299+'BLAZE SHIELD II'!$H$16)*LN(J299))+('BLAZE SHIELD II'!$H$17*('CALCULO MORTERO'!I299^2)+'BLAZE SHIELD II'!$H$18*'CALCULO MORTERO'!I299+'BLAZE SHIELD II'!$H$19)),0),0)+ROUND(IF(AND(L299="Cafco 400",M299="Software Idiem",C299="IN",G299=4),((('CAFCO 400 '!$H$7*(J299^4)+'CAFCO 400 '!$H$8*(J299^3)+'CAFCO 400 '!$H$9*(J299^2)+'CAFCO 400 '!$H$10*J299+'CAFCO 400 '!$H$11)*U299^2)+(('CAFCO 400 '!$H$12*(J299^3)+'CAFCO 400 '!$H$13*(J299^2)+'CAFCO 400 '!$H$14*J299+'CAFCO 400 '!$H$15)*U299)+('CAFCO 400 '!$H$16*(J299^2)+'CAFCO 400 '!$H$17*J299+'CAFCO 400 '!$H$18)),0)+IF(AND(L299="Cafco 400",M299="Software Idiem",C299="Cj"),(((('CAFCO 400 '!$D$7*LN(J299)+'CAFCO 400 '!$D$8)*U299^2)+(('CAFCO 400 '!$D$9*LN(J299)+'CAFCO 400 '!$D$10)*U299)+('CAFCO 400 '!$D$11*LN(J299)+'CAFCO 400 '!$D$12))),0)+IF(AND(L299="Cafco 400",M299="Software Idiem",C299="C"),((('CAFCO 400 '!$L$7*(J299^3)+'CAFCO 400 '!$L$8*(J299^2)+'CAFCO 400 '!$L$9*J299+'CAFCO 400 '!$L$10)*U299^2)+(('CAFCO 400 '!$L$11*(J299^3)+'CAFCO 400 '!$L$12*(J299^2)+'CAFCO 400 '!$L$13*J299+'CAFCO 400 '!$L$14)*U299)+('CAFCO 400 '!$L$15*LN(J299)+'CAFCO 400 '!$L$16)),0)+IF(AND(L299="Cafco 400",M299="Software Idiem",C299="L"),((('CAFCO 400 '!$L$7*(J299^3)+'CAFCO 400 '!$L$8*(J299^2)+'CAFCO 400 '!$L$9*J299+'CAFCO 400 '!$L$10)*U299^2)+(('CAFCO 400 '!$L$11*(J299^3)+'CAFCO 400 '!$L$12*(J299^2)+'CAFCO 400 '!$L$13*J299+'CAFCO 400 '!$L$14)*U299)+('CAFCO 400 '!$L$15*LN(J299)+'CAFCO 400 '!$L$16)),0)+IF(AND(L299="Cafco 400",M299="Software Idiem",C299="IN",G299=3),((('CAFCO 400 '!$D$23*(J299^2)+'CAFCO 400 '!$D$24*(J299)+'CAFCO 400 '!$D$25)*U299^2)+(('CAFCO 400 '!$D$26*(J299^2)+'CAFCO 400 '!$D$27*J299+'CAFCO 400 '!$D$28)*U299)+('CAFCO 400 '!$D$29*(J299^2)+'CAFCO 400 '!$D$30*J299+'CAFCO 400 '!$D$31)),0),0)+IF(AND(L299="Cafco 300",J299&gt;=95,J299&lt;=240,C299="Cj",I299=90),VLOOKUP(T299,'CAFCO 300 IDIEM TABLAS'!$B$4:$D$23,2,FALSE),0)+IF(AND(L299="Cafco 300",J299&gt;=95,J299&lt;=240,C299="Cj",I299=120),VLOOKUP(T299,'CAFCO 300 IDIEM TABLAS'!$B$4:$D$23,3,FALSE),0)+IF(AND(L299="Cafco 300",J299&gt;=95,J299&lt;=400,G299=3,C299="IN",I299=90),VLOOKUP(T299,'CAFCO 300 IDIEM TABLAS'!$F$4:$H$35,2,FALSE),0)+IF(AND(L299="Cafco 300",J299&gt;=95,J299&lt;=400,G299=3,C299="IN",I299=120),VLOOKUP(T299,'CAFCO 300 IDIEM TABLAS'!$F$4:$H$35,3,FALSE),0)+IF(AND(L299="Cafco 300",J299&gt;=95,J299&lt;=450,G299=4,C299="IN",I299=90),VLOOKUP(T299,'CAFCO 300 IDIEM TABLAS'!$J$4:$L$40,2,FALSE),0)+IF(AND(L299="Cafco 300",J299&gt;=95,J299&lt;=450,G299=4,C299="IN",I299=120),VLOOKUP(T299,'CAFCO 300 IDIEM TABLAS'!$J$4:$L$40,3,FALSE),0)+IF(AND(M299="Ensayo Idiem",L299="Cafco 400",C299="IN",G299=4,I299=90),VLOOKUP(T299,'CAFCO 400 ENSAYO'!$B$7:$D$43,2,FALSE),0)+IF(AND(M299="Ensayo Idiem",L299="Cafco 400",C299="IN",G299=4,I299=120),VLOOKUP(T299,'CAFCO 400 ENSAYO'!$B$7:$D$43,3,FALSE),0)</f>
        <v>0</v>
      </c>
      <c r="O299" s="96">
        <f t="shared" si="33"/>
        <v>0</v>
      </c>
      <c r="P299" s="95" t="str">
        <f t="shared" si="34"/>
        <v>N/A</v>
      </c>
      <c r="Q299" s="95" t="str">
        <f t="shared" si="35"/>
        <v>N/A</v>
      </c>
      <c r="R299" s="95" t="str">
        <f t="shared" si="36"/>
        <v>NO CERT.</v>
      </c>
      <c r="S299" s="95" t="e">
        <f t="shared" si="31"/>
        <v>#N/A</v>
      </c>
      <c r="T299" s="119" t="e">
        <f>+IF(J299=LOOKUP(J299,'CAFCO 300 IDIEM TABLAS'!$J$4:$J$40),'CALCULO MORTERO'!J299,MROUND('CALCULO MORTERO'!J299,10))</f>
        <v>#N/A</v>
      </c>
      <c r="U299" s="118">
        <f t="shared" si="32"/>
        <v>0</v>
      </c>
      <c r="Y299" s="4"/>
      <c r="Z299" s="4"/>
      <c r="AA299" s="4"/>
    </row>
    <row r="300" spans="1:27" ht="15.6" customHeight="1" x14ac:dyDescent="0.25">
      <c r="A300" s="118">
        <f>+CUBICACION!D294</f>
        <v>0</v>
      </c>
      <c r="B300" s="819">
        <f>+CUBICACION!E294</f>
        <v>0</v>
      </c>
      <c r="C300" s="675">
        <f>+CUBICACION!F294</f>
        <v>0</v>
      </c>
      <c r="D300" s="118"/>
      <c r="E300" s="118"/>
      <c r="F300" s="820"/>
      <c r="G300" s="675">
        <f>+CUBICACION!J294</f>
        <v>0</v>
      </c>
      <c r="H300" s="118"/>
      <c r="I300" s="821">
        <f>+CUBICACION!L294</f>
        <v>0</v>
      </c>
      <c r="J300" s="64">
        <f>+CUBICACION!M294</f>
        <v>0</v>
      </c>
      <c r="K300" s="822" t="str">
        <f>+CUBICACION!N294</f>
        <v/>
      </c>
      <c r="L300" s="118">
        <f>+CUBICACION!O294</f>
        <v>0</v>
      </c>
      <c r="M300" s="823">
        <f>+CUBICACION!P294</f>
        <v>0</v>
      </c>
      <c r="N300" s="902">
        <f>ROUND(IF(AND(L300="Blaze Shield II",M300="Software Idiem",C300="IN",G300=4),((('BLAZE SHIELD II'!$D$4*('CALCULO MORTERO'!I300^2)+'BLAZE SHIELD II'!$D$5*'CALCULO MORTERO'!I300+'BLAZE SHIELD II'!$D$6)*LN(J300))+('BLAZE SHIELD II'!$D$7*('CALCULO MORTERO'!I300^2)+'BLAZE SHIELD II'!$D$8*'CALCULO MORTERO'!I300+'BLAZE SHIELD II'!$D$9)),0)+IF(AND(L300="Blaze Shield II",M300="Software Idiem",C300="Cj"),((('BLAZE SHIELD II'!$H$4*('CALCULO MORTERO'!I300^2)+'BLAZE SHIELD II'!$H$5*'CALCULO MORTERO'!I300+'BLAZE SHIELD II'!$H$6)*LN(J300))+('BLAZE SHIELD II'!$H$7*('CALCULO MORTERO'!I300^2)+'BLAZE SHIELD II'!$H$8*'CALCULO MORTERO'!I300+'BLAZE SHIELD II'!$H$9)),0)+IF(AND(L300="Blaze Shield II",M300="Software Idiem",C300="C"),((('BLAZE SHIELD II'!$L$4*('CALCULO MORTERO'!I300^2)+'BLAZE SHIELD II'!$L$5*'CALCULO MORTERO'!I300+'BLAZE SHIELD II'!$L$6)*LN(J300))+('BLAZE SHIELD II'!$L$7*('CALCULO MORTERO'!I300^2)+'BLAZE SHIELD II'!$L$8*'CALCULO MORTERO'!I300+'BLAZE SHIELD II'!$L$9)),0)+IF(AND(L300="Blaze Shield II",M300="Software Idiem",C300="L"),((('BLAZE SHIELD II'!$L$4*('CALCULO MORTERO'!I300^2)+'BLAZE SHIELD II'!$L$5*'CALCULO MORTERO'!I300+'BLAZE SHIELD II'!$L$6)*LN(J300))+('BLAZE SHIELD II'!$L$7*('CALCULO MORTERO'!I300^2)+'BLAZE SHIELD II'!$L$8*'CALCULO MORTERO'!I300+'BLAZE SHIELD II'!$L$9)),0)+IF(AND(L300="Blaze Shield II",M300="Software Idiem",C300="IN",G300=3),((('BLAZE SHIELD II'!$H$14*('CALCULO MORTERO'!I300^2)+'BLAZE SHIELD II'!$H$15*'CALCULO MORTERO'!I300+'BLAZE SHIELD II'!$H$16)*LN(J300))+('BLAZE SHIELD II'!$H$17*('CALCULO MORTERO'!I300^2)+'BLAZE SHIELD II'!$H$18*'CALCULO MORTERO'!I300+'BLAZE SHIELD II'!$H$19)),0),0)+ROUND(IF(AND(L300="Cafco 400",M300="Software Idiem",C300="IN",G300=4),((('CAFCO 400 '!$H$7*(J300^4)+'CAFCO 400 '!$H$8*(J300^3)+'CAFCO 400 '!$H$9*(J300^2)+'CAFCO 400 '!$H$10*J300+'CAFCO 400 '!$H$11)*U300^2)+(('CAFCO 400 '!$H$12*(J300^3)+'CAFCO 400 '!$H$13*(J300^2)+'CAFCO 400 '!$H$14*J300+'CAFCO 400 '!$H$15)*U300)+('CAFCO 400 '!$H$16*(J300^2)+'CAFCO 400 '!$H$17*J300+'CAFCO 400 '!$H$18)),0)+IF(AND(L300="Cafco 400",M300="Software Idiem",C300="Cj"),(((('CAFCO 400 '!$D$7*LN(J300)+'CAFCO 400 '!$D$8)*U300^2)+(('CAFCO 400 '!$D$9*LN(J300)+'CAFCO 400 '!$D$10)*U300)+('CAFCO 400 '!$D$11*LN(J300)+'CAFCO 400 '!$D$12))),0)+IF(AND(L300="Cafco 400",M300="Software Idiem",C300="C"),((('CAFCO 400 '!$L$7*(J300^3)+'CAFCO 400 '!$L$8*(J300^2)+'CAFCO 400 '!$L$9*J300+'CAFCO 400 '!$L$10)*U300^2)+(('CAFCO 400 '!$L$11*(J300^3)+'CAFCO 400 '!$L$12*(J300^2)+'CAFCO 400 '!$L$13*J300+'CAFCO 400 '!$L$14)*U300)+('CAFCO 400 '!$L$15*LN(J300)+'CAFCO 400 '!$L$16)),0)+IF(AND(L300="Cafco 400",M300="Software Idiem",C300="L"),((('CAFCO 400 '!$L$7*(J300^3)+'CAFCO 400 '!$L$8*(J300^2)+'CAFCO 400 '!$L$9*J300+'CAFCO 400 '!$L$10)*U300^2)+(('CAFCO 400 '!$L$11*(J300^3)+'CAFCO 400 '!$L$12*(J300^2)+'CAFCO 400 '!$L$13*J300+'CAFCO 400 '!$L$14)*U300)+('CAFCO 400 '!$L$15*LN(J300)+'CAFCO 400 '!$L$16)),0)+IF(AND(L300="Cafco 400",M300="Software Idiem",C300="IN",G300=3),((('CAFCO 400 '!$D$23*(J300^2)+'CAFCO 400 '!$D$24*(J300)+'CAFCO 400 '!$D$25)*U300^2)+(('CAFCO 400 '!$D$26*(J300^2)+'CAFCO 400 '!$D$27*J300+'CAFCO 400 '!$D$28)*U300)+('CAFCO 400 '!$D$29*(J300^2)+'CAFCO 400 '!$D$30*J300+'CAFCO 400 '!$D$31)),0),0)+IF(AND(L300="Cafco 300",J300&gt;=95,J300&lt;=240,C300="Cj",I300=90),VLOOKUP(T300,'CAFCO 300 IDIEM TABLAS'!$B$4:$D$23,2,FALSE),0)+IF(AND(L300="Cafco 300",J300&gt;=95,J300&lt;=240,C300="Cj",I300=120),VLOOKUP(T300,'CAFCO 300 IDIEM TABLAS'!$B$4:$D$23,3,FALSE),0)+IF(AND(L300="Cafco 300",J300&gt;=95,J300&lt;=400,G300=3,C300="IN",I300=90),VLOOKUP(T300,'CAFCO 300 IDIEM TABLAS'!$F$4:$H$35,2,FALSE),0)+IF(AND(L300="Cafco 300",J300&gt;=95,J300&lt;=400,G300=3,C300="IN",I300=120),VLOOKUP(T300,'CAFCO 300 IDIEM TABLAS'!$F$4:$H$35,3,FALSE),0)+IF(AND(L300="Cafco 300",J300&gt;=95,J300&lt;=450,G300=4,C300="IN",I300=90),VLOOKUP(T300,'CAFCO 300 IDIEM TABLAS'!$J$4:$L$40,2,FALSE),0)+IF(AND(L300="Cafco 300",J300&gt;=95,J300&lt;=450,G300=4,C300="IN",I300=120),VLOOKUP(T300,'CAFCO 300 IDIEM TABLAS'!$J$4:$L$40,3,FALSE),0)+IF(AND(M300="Ensayo Idiem",L300="Cafco 400",C300="IN",G300=4,I300=90),VLOOKUP(T300,'CAFCO 400 ENSAYO'!$B$7:$D$43,2,FALSE),0)+IF(AND(M300="Ensayo Idiem",L300="Cafco 400",C300="IN",G300=4,I300=120),VLOOKUP(T300,'CAFCO 400 ENSAYO'!$B$7:$D$43,3,FALSE),0)</f>
        <v>0</v>
      </c>
      <c r="O300" s="96">
        <f t="shared" si="33"/>
        <v>0</v>
      </c>
      <c r="P300" s="95" t="str">
        <f t="shared" si="34"/>
        <v>N/A</v>
      </c>
      <c r="Q300" s="95" t="str">
        <f t="shared" si="35"/>
        <v>N/A</v>
      </c>
      <c r="R300" s="95" t="str">
        <f t="shared" si="36"/>
        <v>NO CERT.</v>
      </c>
      <c r="S300" s="95" t="e">
        <f t="shared" si="31"/>
        <v>#N/A</v>
      </c>
      <c r="T300" s="119" t="e">
        <f>+IF(J300=LOOKUP(J300,'CAFCO 300 IDIEM TABLAS'!$J$4:$J$40),'CALCULO MORTERO'!J300,MROUND('CALCULO MORTERO'!J300,10))</f>
        <v>#N/A</v>
      </c>
      <c r="U300" s="118">
        <f t="shared" si="32"/>
        <v>0</v>
      </c>
      <c r="Y300" s="4"/>
      <c r="Z300" s="4"/>
      <c r="AA300" s="4"/>
    </row>
    <row r="301" spans="1:27" x14ac:dyDescent="0.25">
      <c r="A301" s="118">
        <f>+CUBICACION!D295</f>
        <v>0</v>
      </c>
      <c r="B301" s="819">
        <f>+CUBICACION!E295</f>
        <v>0</v>
      </c>
      <c r="C301" s="675">
        <f>+CUBICACION!F295</f>
        <v>0</v>
      </c>
      <c r="D301" s="118"/>
      <c r="E301" s="118"/>
      <c r="F301" s="820"/>
      <c r="G301" s="675">
        <f>+CUBICACION!J295</f>
        <v>0</v>
      </c>
      <c r="H301" s="118"/>
      <c r="I301" s="821">
        <f>+CUBICACION!L295</f>
        <v>0</v>
      </c>
      <c r="J301" s="64">
        <f>+CUBICACION!M295</f>
        <v>0</v>
      </c>
      <c r="K301" s="822" t="str">
        <f>+CUBICACION!N295</f>
        <v/>
      </c>
      <c r="L301" s="118">
        <f>+CUBICACION!O295</f>
        <v>0</v>
      </c>
      <c r="M301" s="823">
        <f>+CUBICACION!P295</f>
        <v>0</v>
      </c>
      <c r="N301" s="902">
        <f>ROUND(IF(AND(L301="Blaze Shield II",M301="Software Idiem",C301="IN",G301=4),((('BLAZE SHIELD II'!$D$4*('CALCULO MORTERO'!I301^2)+'BLAZE SHIELD II'!$D$5*'CALCULO MORTERO'!I301+'BLAZE SHIELD II'!$D$6)*LN(J301))+('BLAZE SHIELD II'!$D$7*('CALCULO MORTERO'!I301^2)+'BLAZE SHIELD II'!$D$8*'CALCULO MORTERO'!I301+'BLAZE SHIELD II'!$D$9)),0)+IF(AND(L301="Blaze Shield II",M301="Software Idiem",C301="Cj"),((('BLAZE SHIELD II'!$H$4*('CALCULO MORTERO'!I301^2)+'BLAZE SHIELD II'!$H$5*'CALCULO MORTERO'!I301+'BLAZE SHIELD II'!$H$6)*LN(J301))+('BLAZE SHIELD II'!$H$7*('CALCULO MORTERO'!I301^2)+'BLAZE SHIELD II'!$H$8*'CALCULO MORTERO'!I301+'BLAZE SHIELD II'!$H$9)),0)+IF(AND(L301="Blaze Shield II",M301="Software Idiem",C301="C"),((('BLAZE SHIELD II'!$L$4*('CALCULO MORTERO'!I301^2)+'BLAZE SHIELD II'!$L$5*'CALCULO MORTERO'!I301+'BLAZE SHIELD II'!$L$6)*LN(J301))+('BLAZE SHIELD II'!$L$7*('CALCULO MORTERO'!I301^2)+'BLAZE SHIELD II'!$L$8*'CALCULO MORTERO'!I301+'BLAZE SHIELD II'!$L$9)),0)+IF(AND(L301="Blaze Shield II",M301="Software Idiem",C301="L"),((('BLAZE SHIELD II'!$L$4*('CALCULO MORTERO'!I301^2)+'BLAZE SHIELD II'!$L$5*'CALCULO MORTERO'!I301+'BLAZE SHIELD II'!$L$6)*LN(J301))+('BLAZE SHIELD II'!$L$7*('CALCULO MORTERO'!I301^2)+'BLAZE SHIELD II'!$L$8*'CALCULO MORTERO'!I301+'BLAZE SHIELD II'!$L$9)),0)+IF(AND(L301="Blaze Shield II",M301="Software Idiem",C301="IN",G301=3),((('BLAZE SHIELD II'!$H$14*('CALCULO MORTERO'!I301^2)+'BLAZE SHIELD II'!$H$15*'CALCULO MORTERO'!I301+'BLAZE SHIELD II'!$H$16)*LN(J301))+('BLAZE SHIELD II'!$H$17*('CALCULO MORTERO'!I301^2)+'BLAZE SHIELD II'!$H$18*'CALCULO MORTERO'!I301+'BLAZE SHIELD II'!$H$19)),0),0)+ROUND(IF(AND(L301="Cafco 400",M301="Software Idiem",C301="IN",G301=4),((('CAFCO 400 '!$H$7*(J301^4)+'CAFCO 400 '!$H$8*(J301^3)+'CAFCO 400 '!$H$9*(J301^2)+'CAFCO 400 '!$H$10*J301+'CAFCO 400 '!$H$11)*U301^2)+(('CAFCO 400 '!$H$12*(J301^3)+'CAFCO 400 '!$H$13*(J301^2)+'CAFCO 400 '!$H$14*J301+'CAFCO 400 '!$H$15)*U301)+('CAFCO 400 '!$H$16*(J301^2)+'CAFCO 400 '!$H$17*J301+'CAFCO 400 '!$H$18)),0)+IF(AND(L301="Cafco 400",M301="Software Idiem",C301="Cj"),(((('CAFCO 400 '!$D$7*LN(J301)+'CAFCO 400 '!$D$8)*U301^2)+(('CAFCO 400 '!$D$9*LN(J301)+'CAFCO 400 '!$D$10)*U301)+('CAFCO 400 '!$D$11*LN(J301)+'CAFCO 400 '!$D$12))),0)+IF(AND(L301="Cafco 400",M301="Software Idiem",C301="C"),((('CAFCO 400 '!$L$7*(J301^3)+'CAFCO 400 '!$L$8*(J301^2)+'CAFCO 400 '!$L$9*J301+'CAFCO 400 '!$L$10)*U301^2)+(('CAFCO 400 '!$L$11*(J301^3)+'CAFCO 400 '!$L$12*(J301^2)+'CAFCO 400 '!$L$13*J301+'CAFCO 400 '!$L$14)*U301)+('CAFCO 400 '!$L$15*LN(J301)+'CAFCO 400 '!$L$16)),0)+IF(AND(L301="Cafco 400",M301="Software Idiem",C301="L"),((('CAFCO 400 '!$L$7*(J301^3)+'CAFCO 400 '!$L$8*(J301^2)+'CAFCO 400 '!$L$9*J301+'CAFCO 400 '!$L$10)*U301^2)+(('CAFCO 400 '!$L$11*(J301^3)+'CAFCO 400 '!$L$12*(J301^2)+'CAFCO 400 '!$L$13*J301+'CAFCO 400 '!$L$14)*U301)+('CAFCO 400 '!$L$15*LN(J301)+'CAFCO 400 '!$L$16)),0)+IF(AND(L301="Cafco 400",M301="Software Idiem",C301="IN",G301=3),((('CAFCO 400 '!$D$23*(J301^2)+'CAFCO 400 '!$D$24*(J301)+'CAFCO 400 '!$D$25)*U301^2)+(('CAFCO 400 '!$D$26*(J301^2)+'CAFCO 400 '!$D$27*J301+'CAFCO 400 '!$D$28)*U301)+('CAFCO 400 '!$D$29*(J301^2)+'CAFCO 400 '!$D$30*J301+'CAFCO 400 '!$D$31)),0),0)+IF(AND(L301="Cafco 300",J301&gt;=95,J301&lt;=240,C301="Cj",I301=90),VLOOKUP(T301,'CAFCO 300 IDIEM TABLAS'!$B$4:$D$23,2,FALSE),0)+IF(AND(L301="Cafco 300",J301&gt;=95,J301&lt;=240,C301="Cj",I301=120),VLOOKUP(T301,'CAFCO 300 IDIEM TABLAS'!$B$4:$D$23,3,FALSE),0)+IF(AND(L301="Cafco 300",J301&gt;=95,J301&lt;=400,G301=3,C301="IN",I301=90),VLOOKUP(T301,'CAFCO 300 IDIEM TABLAS'!$F$4:$H$35,2,FALSE),0)+IF(AND(L301="Cafco 300",J301&gt;=95,J301&lt;=400,G301=3,C301="IN",I301=120),VLOOKUP(T301,'CAFCO 300 IDIEM TABLAS'!$F$4:$H$35,3,FALSE),0)+IF(AND(L301="Cafco 300",J301&gt;=95,J301&lt;=450,G301=4,C301="IN",I301=90),VLOOKUP(T301,'CAFCO 300 IDIEM TABLAS'!$J$4:$L$40,2,FALSE),0)+IF(AND(L301="Cafco 300",J301&gt;=95,J301&lt;=450,G301=4,C301="IN",I301=120),VLOOKUP(T301,'CAFCO 300 IDIEM TABLAS'!$J$4:$L$40,3,FALSE),0)+IF(AND(M301="Ensayo Idiem",L301="Cafco 400",C301="IN",G301=4,I301=90),VLOOKUP(T301,'CAFCO 400 ENSAYO'!$B$7:$D$43,2,FALSE),0)+IF(AND(M301="Ensayo Idiem",L301="Cafco 400",C301="IN",G301=4,I301=120),VLOOKUP(T301,'CAFCO 400 ENSAYO'!$B$7:$D$43,3,FALSE),0)</f>
        <v>0</v>
      </c>
      <c r="O301" s="96">
        <f t="shared" si="33"/>
        <v>0</v>
      </c>
      <c r="P301" s="95" t="str">
        <f t="shared" si="34"/>
        <v>N/A</v>
      </c>
      <c r="Q301" s="95" t="str">
        <f t="shared" si="35"/>
        <v>N/A</v>
      </c>
      <c r="R301" s="95" t="str">
        <f t="shared" si="36"/>
        <v>NO CERT.</v>
      </c>
      <c r="S301" s="95" t="e">
        <f t="shared" si="31"/>
        <v>#N/A</v>
      </c>
      <c r="T301" s="119" t="e">
        <f>+IF(J301=LOOKUP(J301,'CAFCO 300 IDIEM TABLAS'!$J$4:$J$40),'CALCULO MORTERO'!J301,MROUND('CALCULO MORTERO'!J301,10))</f>
        <v>#N/A</v>
      </c>
      <c r="U301" s="118">
        <f t="shared" si="32"/>
        <v>0</v>
      </c>
      <c r="Y301" s="4"/>
      <c r="Z301" s="4"/>
      <c r="AA301" s="4"/>
    </row>
    <row r="302" spans="1:27" ht="15.6" customHeight="1" x14ac:dyDescent="0.25">
      <c r="A302" s="118">
        <f>+CUBICACION!D296</f>
        <v>0</v>
      </c>
      <c r="B302" s="819">
        <f>+CUBICACION!E296</f>
        <v>0</v>
      </c>
      <c r="C302" s="675">
        <f>+CUBICACION!F296</f>
        <v>0</v>
      </c>
      <c r="D302" s="118"/>
      <c r="E302" s="118"/>
      <c r="F302" s="820"/>
      <c r="G302" s="675">
        <f>+CUBICACION!J296</f>
        <v>0</v>
      </c>
      <c r="H302" s="118"/>
      <c r="I302" s="821">
        <f>+CUBICACION!L296</f>
        <v>0</v>
      </c>
      <c r="J302" s="64">
        <f>+CUBICACION!M296</f>
        <v>0</v>
      </c>
      <c r="K302" s="822" t="str">
        <f>+CUBICACION!N296</f>
        <v/>
      </c>
      <c r="L302" s="118">
        <f>+CUBICACION!O296</f>
        <v>0</v>
      </c>
      <c r="M302" s="823">
        <f>+CUBICACION!P296</f>
        <v>0</v>
      </c>
      <c r="N302" s="902">
        <f>ROUND(IF(AND(L302="Blaze Shield II",M302="Software Idiem",C302="IN",G302=4),((('BLAZE SHIELD II'!$D$4*('CALCULO MORTERO'!I302^2)+'BLAZE SHIELD II'!$D$5*'CALCULO MORTERO'!I302+'BLAZE SHIELD II'!$D$6)*LN(J302))+('BLAZE SHIELD II'!$D$7*('CALCULO MORTERO'!I302^2)+'BLAZE SHIELD II'!$D$8*'CALCULO MORTERO'!I302+'BLAZE SHIELD II'!$D$9)),0)+IF(AND(L302="Blaze Shield II",M302="Software Idiem",C302="Cj"),((('BLAZE SHIELD II'!$H$4*('CALCULO MORTERO'!I302^2)+'BLAZE SHIELD II'!$H$5*'CALCULO MORTERO'!I302+'BLAZE SHIELD II'!$H$6)*LN(J302))+('BLAZE SHIELD II'!$H$7*('CALCULO MORTERO'!I302^2)+'BLAZE SHIELD II'!$H$8*'CALCULO MORTERO'!I302+'BLAZE SHIELD II'!$H$9)),0)+IF(AND(L302="Blaze Shield II",M302="Software Idiem",C302="C"),((('BLAZE SHIELD II'!$L$4*('CALCULO MORTERO'!I302^2)+'BLAZE SHIELD II'!$L$5*'CALCULO MORTERO'!I302+'BLAZE SHIELD II'!$L$6)*LN(J302))+('BLAZE SHIELD II'!$L$7*('CALCULO MORTERO'!I302^2)+'BLAZE SHIELD II'!$L$8*'CALCULO MORTERO'!I302+'BLAZE SHIELD II'!$L$9)),0)+IF(AND(L302="Blaze Shield II",M302="Software Idiem",C302="L"),((('BLAZE SHIELD II'!$L$4*('CALCULO MORTERO'!I302^2)+'BLAZE SHIELD II'!$L$5*'CALCULO MORTERO'!I302+'BLAZE SHIELD II'!$L$6)*LN(J302))+('BLAZE SHIELD II'!$L$7*('CALCULO MORTERO'!I302^2)+'BLAZE SHIELD II'!$L$8*'CALCULO MORTERO'!I302+'BLAZE SHIELD II'!$L$9)),0)+IF(AND(L302="Blaze Shield II",M302="Software Idiem",C302="IN",G302=3),((('BLAZE SHIELD II'!$H$14*('CALCULO MORTERO'!I302^2)+'BLAZE SHIELD II'!$H$15*'CALCULO MORTERO'!I302+'BLAZE SHIELD II'!$H$16)*LN(J302))+('BLAZE SHIELD II'!$H$17*('CALCULO MORTERO'!I302^2)+'BLAZE SHIELD II'!$H$18*'CALCULO MORTERO'!I302+'BLAZE SHIELD II'!$H$19)),0),0)+ROUND(IF(AND(L302="Cafco 400",M302="Software Idiem",C302="IN",G302=4),((('CAFCO 400 '!$H$7*(J302^4)+'CAFCO 400 '!$H$8*(J302^3)+'CAFCO 400 '!$H$9*(J302^2)+'CAFCO 400 '!$H$10*J302+'CAFCO 400 '!$H$11)*U302^2)+(('CAFCO 400 '!$H$12*(J302^3)+'CAFCO 400 '!$H$13*(J302^2)+'CAFCO 400 '!$H$14*J302+'CAFCO 400 '!$H$15)*U302)+('CAFCO 400 '!$H$16*(J302^2)+'CAFCO 400 '!$H$17*J302+'CAFCO 400 '!$H$18)),0)+IF(AND(L302="Cafco 400",M302="Software Idiem",C302="Cj"),(((('CAFCO 400 '!$D$7*LN(J302)+'CAFCO 400 '!$D$8)*U302^2)+(('CAFCO 400 '!$D$9*LN(J302)+'CAFCO 400 '!$D$10)*U302)+('CAFCO 400 '!$D$11*LN(J302)+'CAFCO 400 '!$D$12))),0)+IF(AND(L302="Cafco 400",M302="Software Idiem",C302="C"),((('CAFCO 400 '!$L$7*(J302^3)+'CAFCO 400 '!$L$8*(J302^2)+'CAFCO 400 '!$L$9*J302+'CAFCO 400 '!$L$10)*U302^2)+(('CAFCO 400 '!$L$11*(J302^3)+'CAFCO 400 '!$L$12*(J302^2)+'CAFCO 400 '!$L$13*J302+'CAFCO 400 '!$L$14)*U302)+('CAFCO 400 '!$L$15*LN(J302)+'CAFCO 400 '!$L$16)),0)+IF(AND(L302="Cafco 400",M302="Software Idiem",C302="L"),((('CAFCO 400 '!$L$7*(J302^3)+'CAFCO 400 '!$L$8*(J302^2)+'CAFCO 400 '!$L$9*J302+'CAFCO 400 '!$L$10)*U302^2)+(('CAFCO 400 '!$L$11*(J302^3)+'CAFCO 400 '!$L$12*(J302^2)+'CAFCO 400 '!$L$13*J302+'CAFCO 400 '!$L$14)*U302)+('CAFCO 400 '!$L$15*LN(J302)+'CAFCO 400 '!$L$16)),0)+IF(AND(L302="Cafco 400",M302="Software Idiem",C302="IN",G302=3),((('CAFCO 400 '!$D$23*(J302^2)+'CAFCO 400 '!$D$24*(J302)+'CAFCO 400 '!$D$25)*U302^2)+(('CAFCO 400 '!$D$26*(J302^2)+'CAFCO 400 '!$D$27*J302+'CAFCO 400 '!$D$28)*U302)+('CAFCO 400 '!$D$29*(J302^2)+'CAFCO 400 '!$D$30*J302+'CAFCO 400 '!$D$31)),0),0)+IF(AND(L302="Cafco 300",J302&gt;=95,J302&lt;=240,C302="Cj",I302=90),VLOOKUP(T302,'CAFCO 300 IDIEM TABLAS'!$B$4:$D$23,2,FALSE),0)+IF(AND(L302="Cafco 300",J302&gt;=95,J302&lt;=240,C302="Cj",I302=120),VLOOKUP(T302,'CAFCO 300 IDIEM TABLAS'!$B$4:$D$23,3,FALSE),0)+IF(AND(L302="Cafco 300",J302&gt;=95,J302&lt;=400,G302=3,C302="IN",I302=90),VLOOKUP(T302,'CAFCO 300 IDIEM TABLAS'!$F$4:$H$35,2,FALSE),0)+IF(AND(L302="Cafco 300",J302&gt;=95,J302&lt;=400,G302=3,C302="IN",I302=120),VLOOKUP(T302,'CAFCO 300 IDIEM TABLAS'!$F$4:$H$35,3,FALSE),0)+IF(AND(L302="Cafco 300",J302&gt;=95,J302&lt;=450,G302=4,C302="IN",I302=90),VLOOKUP(T302,'CAFCO 300 IDIEM TABLAS'!$J$4:$L$40,2,FALSE),0)+IF(AND(L302="Cafco 300",J302&gt;=95,J302&lt;=450,G302=4,C302="IN",I302=120),VLOOKUP(T302,'CAFCO 300 IDIEM TABLAS'!$J$4:$L$40,3,FALSE),0)+IF(AND(M302="Ensayo Idiem",L302="Cafco 400",C302="IN",G302=4,I302=90),VLOOKUP(T302,'CAFCO 400 ENSAYO'!$B$7:$D$43,2,FALSE),0)+IF(AND(M302="Ensayo Idiem",L302="Cafco 400",C302="IN",G302=4,I302=120),VLOOKUP(T302,'CAFCO 400 ENSAYO'!$B$7:$D$43,3,FALSE),0)</f>
        <v>0</v>
      </c>
      <c r="O302" s="96">
        <f t="shared" si="33"/>
        <v>0</v>
      </c>
      <c r="P302" s="95" t="str">
        <f t="shared" si="34"/>
        <v>N/A</v>
      </c>
      <c r="Q302" s="95" t="str">
        <f t="shared" si="35"/>
        <v>N/A</v>
      </c>
      <c r="R302" s="95" t="str">
        <f t="shared" si="36"/>
        <v>NO CERT.</v>
      </c>
      <c r="S302" s="95" t="e">
        <f t="shared" si="31"/>
        <v>#N/A</v>
      </c>
      <c r="T302" s="119" t="e">
        <f>+IF(J302=LOOKUP(J302,'CAFCO 300 IDIEM TABLAS'!$J$4:$J$40),'CALCULO MORTERO'!J302,MROUND('CALCULO MORTERO'!J302,10))</f>
        <v>#N/A</v>
      </c>
      <c r="U302" s="118">
        <f t="shared" si="32"/>
        <v>0</v>
      </c>
      <c r="Y302" s="4"/>
      <c r="Z302" s="4"/>
      <c r="AA302" s="4"/>
    </row>
    <row r="303" spans="1:27" x14ac:dyDescent="0.25">
      <c r="A303" s="118">
        <f>+CUBICACION!D297</f>
        <v>0</v>
      </c>
      <c r="B303" s="819">
        <f>+CUBICACION!E297</f>
        <v>0</v>
      </c>
      <c r="C303" s="675">
        <f>+CUBICACION!F297</f>
        <v>0</v>
      </c>
      <c r="D303" s="118"/>
      <c r="E303" s="118"/>
      <c r="F303" s="820"/>
      <c r="G303" s="675">
        <f>+CUBICACION!J297</f>
        <v>0</v>
      </c>
      <c r="H303" s="118"/>
      <c r="I303" s="821">
        <f>+CUBICACION!L297</f>
        <v>0</v>
      </c>
      <c r="J303" s="64">
        <f>+CUBICACION!M297</f>
        <v>0</v>
      </c>
      <c r="K303" s="822" t="str">
        <f>+CUBICACION!N297</f>
        <v/>
      </c>
      <c r="L303" s="118">
        <f>+CUBICACION!O297</f>
        <v>0</v>
      </c>
      <c r="M303" s="823">
        <f>+CUBICACION!P297</f>
        <v>0</v>
      </c>
      <c r="N303" s="902">
        <f>ROUND(IF(AND(L303="Blaze Shield II",M303="Software Idiem",C303="IN",G303=4),((('BLAZE SHIELD II'!$D$4*('CALCULO MORTERO'!I303^2)+'BLAZE SHIELD II'!$D$5*'CALCULO MORTERO'!I303+'BLAZE SHIELD II'!$D$6)*LN(J303))+('BLAZE SHIELD II'!$D$7*('CALCULO MORTERO'!I303^2)+'BLAZE SHIELD II'!$D$8*'CALCULO MORTERO'!I303+'BLAZE SHIELD II'!$D$9)),0)+IF(AND(L303="Blaze Shield II",M303="Software Idiem",C303="Cj"),((('BLAZE SHIELD II'!$H$4*('CALCULO MORTERO'!I303^2)+'BLAZE SHIELD II'!$H$5*'CALCULO MORTERO'!I303+'BLAZE SHIELD II'!$H$6)*LN(J303))+('BLAZE SHIELD II'!$H$7*('CALCULO MORTERO'!I303^2)+'BLAZE SHIELD II'!$H$8*'CALCULO MORTERO'!I303+'BLAZE SHIELD II'!$H$9)),0)+IF(AND(L303="Blaze Shield II",M303="Software Idiem",C303="C"),((('BLAZE SHIELD II'!$L$4*('CALCULO MORTERO'!I303^2)+'BLAZE SHIELD II'!$L$5*'CALCULO MORTERO'!I303+'BLAZE SHIELD II'!$L$6)*LN(J303))+('BLAZE SHIELD II'!$L$7*('CALCULO MORTERO'!I303^2)+'BLAZE SHIELD II'!$L$8*'CALCULO MORTERO'!I303+'BLAZE SHIELD II'!$L$9)),0)+IF(AND(L303="Blaze Shield II",M303="Software Idiem",C303="L"),((('BLAZE SHIELD II'!$L$4*('CALCULO MORTERO'!I303^2)+'BLAZE SHIELD II'!$L$5*'CALCULO MORTERO'!I303+'BLAZE SHIELD II'!$L$6)*LN(J303))+('BLAZE SHIELD II'!$L$7*('CALCULO MORTERO'!I303^2)+'BLAZE SHIELD II'!$L$8*'CALCULO MORTERO'!I303+'BLAZE SHIELD II'!$L$9)),0)+IF(AND(L303="Blaze Shield II",M303="Software Idiem",C303="IN",G303=3),((('BLAZE SHIELD II'!$H$14*('CALCULO MORTERO'!I303^2)+'BLAZE SHIELD II'!$H$15*'CALCULO MORTERO'!I303+'BLAZE SHIELD II'!$H$16)*LN(J303))+('BLAZE SHIELD II'!$H$17*('CALCULO MORTERO'!I303^2)+'BLAZE SHIELD II'!$H$18*'CALCULO MORTERO'!I303+'BLAZE SHIELD II'!$H$19)),0),0)+ROUND(IF(AND(L303="Cafco 400",M303="Software Idiem",C303="IN",G303=4),((('CAFCO 400 '!$H$7*(J303^4)+'CAFCO 400 '!$H$8*(J303^3)+'CAFCO 400 '!$H$9*(J303^2)+'CAFCO 400 '!$H$10*J303+'CAFCO 400 '!$H$11)*U303^2)+(('CAFCO 400 '!$H$12*(J303^3)+'CAFCO 400 '!$H$13*(J303^2)+'CAFCO 400 '!$H$14*J303+'CAFCO 400 '!$H$15)*U303)+('CAFCO 400 '!$H$16*(J303^2)+'CAFCO 400 '!$H$17*J303+'CAFCO 400 '!$H$18)),0)+IF(AND(L303="Cafco 400",M303="Software Idiem",C303="Cj"),(((('CAFCO 400 '!$D$7*LN(J303)+'CAFCO 400 '!$D$8)*U303^2)+(('CAFCO 400 '!$D$9*LN(J303)+'CAFCO 400 '!$D$10)*U303)+('CAFCO 400 '!$D$11*LN(J303)+'CAFCO 400 '!$D$12))),0)+IF(AND(L303="Cafco 400",M303="Software Idiem",C303="C"),((('CAFCO 400 '!$L$7*(J303^3)+'CAFCO 400 '!$L$8*(J303^2)+'CAFCO 400 '!$L$9*J303+'CAFCO 400 '!$L$10)*U303^2)+(('CAFCO 400 '!$L$11*(J303^3)+'CAFCO 400 '!$L$12*(J303^2)+'CAFCO 400 '!$L$13*J303+'CAFCO 400 '!$L$14)*U303)+('CAFCO 400 '!$L$15*LN(J303)+'CAFCO 400 '!$L$16)),0)+IF(AND(L303="Cafco 400",M303="Software Idiem",C303="L"),((('CAFCO 400 '!$L$7*(J303^3)+'CAFCO 400 '!$L$8*(J303^2)+'CAFCO 400 '!$L$9*J303+'CAFCO 400 '!$L$10)*U303^2)+(('CAFCO 400 '!$L$11*(J303^3)+'CAFCO 400 '!$L$12*(J303^2)+'CAFCO 400 '!$L$13*J303+'CAFCO 400 '!$L$14)*U303)+('CAFCO 400 '!$L$15*LN(J303)+'CAFCO 400 '!$L$16)),0)+IF(AND(L303="Cafco 400",M303="Software Idiem",C303="IN",G303=3),((('CAFCO 400 '!$D$23*(J303^2)+'CAFCO 400 '!$D$24*(J303)+'CAFCO 400 '!$D$25)*U303^2)+(('CAFCO 400 '!$D$26*(J303^2)+'CAFCO 400 '!$D$27*J303+'CAFCO 400 '!$D$28)*U303)+('CAFCO 400 '!$D$29*(J303^2)+'CAFCO 400 '!$D$30*J303+'CAFCO 400 '!$D$31)),0),0)+IF(AND(L303="Cafco 300",J303&gt;=95,J303&lt;=240,C303="Cj",I303=90),VLOOKUP(T303,'CAFCO 300 IDIEM TABLAS'!$B$4:$D$23,2,FALSE),0)+IF(AND(L303="Cafco 300",J303&gt;=95,J303&lt;=240,C303="Cj",I303=120),VLOOKUP(T303,'CAFCO 300 IDIEM TABLAS'!$B$4:$D$23,3,FALSE),0)+IF(AND(L303="Cafco 300",J303&gt;=95,J303&lt;=400,G303=3,C303="IN",I303=90),VLOOKUP(T303,'CAFCO 300 IDIEM TABLAS'!$F$4:$H$35,2,FALSE),0)+IF(AND(L303="Cafco 300",J303&gt;=95,J303&lt;=400,G303=3,C303="IN",I303=120),VLOOKUP(T303,'CAFCO 300 IDIEM TABLAS'!$F$4:$H$35,3,FALSE),0)+IF(AND(L303="Cafco 300",J303&gt;=95,J303&lt;=450,G303=4,C303="IN",I303=90),VLOOKUP(T303,'CAFCO 300 IDIEM TABLAS'!$J$4:$L$40,2,FALSE),0)+IF(AND(L303="Cafco 300",J303&gt;=95,J303&lt;=450,G303=4,C303="IN",I303=120),VLOOKUP(T303,'CAFCO 300 IDIEM TABLAS'!$J$4:$L$40,3,FALSE),0)+IF(AND(M303="Ensayo Idiem",L303="Cafco 400",C303="IN",G303=4,I303=90),VLOOKUP(T303,'CAFCO 400 ENSAYO'!$B$7:$D$43,2,FALSE),0)+IF(AND(M303="Ensayo Idiem",L303="Cafco 400",C303="IN",G303=4,I303=120),VLOOKUP(T303,'CAFCO 400 ENSAYO'!$B$7:$D$43,3,FALSE),0)</f>
        <v>0</v>
      </c>
      <c r="O303" s="96">
        <f t="shared" si="33"/>
        <v>0</v>
      </c>
      <c r="P303" s="95" t="str">
        <f t="shared" si="34"/>
        <v>N/A</v>
      </c>
      <c r="Q303" s="95" t="str">
        <f t="shared" si="35"/>
        <v>N/A</v>
      </c>
      <c r="R303" s="95" t="str">
        <f t="shared" si="36"/>
        <v>NO CERT.</v>
      </c>
      <c r="S303" s="95" t="e">
        <f t="shared" si="31"/>
        <v>#N/A</v>
      </c>
      <c r="T303" s="119" t="e">
        <f>+IF(J303=LOOKUP(J303,'CAFCO 300 IDIEM TABLAS'!$J$4:$J$40),'CALCULO MORTERO'!J303,MROUND('CALCULO MORTERO'!J303,10))</f>
        <v>#N/A</v>
      </c>
      <c r="U303" s="118">
        <f t="shared" si="32"/>
        <v>0</v>
      </c>
      <c r="Y303" s="4"/>
      <c r="Z303" s="4"/>
      <c r="AA303" s="4"/>
    </row>
    <row r="304" spans="1:27" ht="15.6" customHeight="1" x14ac:dyDescent="0.25">
      <c r="A304" s="118">
        <f>+CUBICACION!D298</f>
        <v>0</v>
      </c>
      <c r="B304" s="819">
        <f>+CUBICACION!E298</f>
        <v>0</v>
      </c>
      <c r="C304" s="675">
        <f>+CUBICACION!F298</f>
        <v>0</v>
      </c>
      <c r="D304" s="118"/>
      <c r="E304" s="118"/>
      <c r="F304" s="820"/>
      <c r="G304" s="675">
        <f>+CUBICACION!J298</f>
        <v>0</v>
      </c>
      <c r="H304" s="118"/>
      <c r="I304" s="821">
        <f>+CUBICACION!L298</f>
        <v>0</v>
      </c>
      <c r="J304" s="64">
        <f>+CUBICACION!M298</f>
        <v>0</v>
      </c>
      <c r="K304" s="822" t="str">
        <f>+CUBICACION!N298</f>
        <v/>
      </c>
      <c r="L304" s="118">
        <f>+CUBICACION!O298</f>
        <v>0</v>
      </c>
      <c r="M304" s="823">
        <f>+CUBICACION!P298</f>
        <v>0</v>
      </c>
      <c r="N304" s="902">
        <f>ROUND(IF(AND(L304="Blaze Shield II",M304="Software Idiem",C304="IN",G304=4),((('BLAZE SHIELD II'!$D$4*('CALCULO MORTERO'!I304^2)+'BLAZE SHIELD II'!$D$5*'CALCULO MORTERO'!I304+'BLAZE SHIELD II'!$D$6)*LN(J304))+('BLAZE SHIELD II'!$D$7*('CALCULO MORTERO'!I304^2)+'BLAZE SHIELD II'!$D$8*'CALCULO MORTERO'!I304+'BLAZE SHIELD II'!$D$9)),0)+IF(AND(L304="Blaze Shield II",M304="Software Idiem",C304="Cj"),((('BLAZE SHIELD II'!$H$4*('CALCULO MORTERO'!I304^2)+'BLAZE SHIELD II'!$H$5*'CALCULO MORTERO'!I304+'BLAZE SHIELD II'!$H$6)*LN(J304))+('BLAZE SHIELD II'!$H$7*('CALCULO MORTERO'!I304^2)+'BLAZE SHIELD II'!$H$8*'CALCULO MORTERO'!I304+'BLAZE SHIELD II'!$H$9)),0)+IF(AND(L304="Blaze Shield II",M304="Software Idiem",C304="C"),((('BLAZE SHIELD II'!$L$4*('CALCULO MORTERO'!I304^2)+'BLAZE SHIELD II'!$L$5*'CALCULO MORTERO'!I304+'BLAZE SHIELD II'!$L$6)*LN(J304))+('BLAZE SHIELD II'!$L$7*('CALCULO MORTERO'!I304^2)+'BLAZE SHIELD II'!$L$8*'CALCULO MORTERO'!I304+'BLAZE SHIELD II'!$L$9)),0)+IF(AND(L304="Blaze Shield II",M304="Software Idiem",C304="L"),((('BLAZE SHIELD II'!$L$4*('CALCULO MORTERO'!I304^2)+'BLAZE SHIELD II'!$L$5*'CALCULO MORTERO'!I304+'BLAZE SHIELD II'!$L$6)*LN(J304))+('BLAZE SHIELD II'!$L$7*('CALCULO MORTERO'!I304^2)+'BLAZE SHIELD II'!$L$8*'CALCULO MORTERO'!I304+'BLAZE SHIELD II'!$L$9)),0)+IF(AND(L304="Blaze Shield II",M304="Software Idiem",C304="IN",G304=3),((('BLAZE SHIELD II'!$H$14*('CALCULO MORTERO'!I304^2)+'BLAZE SHIELD II'!$H$15*'CALCULO MORTERO'!I304+'BLAZE SHIELD II'!$H$16)*LN(J304))+('BLAZE SHIELD II'!$H$17*('CALCULO MORTERO'!I304^2)+'BLAZE SHIELD II'!$H$18*'CALCULO MORTERO'!I304+'BLAZE SHIELD II'!$H$19)),0),0)+ROUND(IF(AND(L304="Cafco 400",M304="Software Idiem",C304="IN",G304=4),((('CAFCO 400 '!$H$7*(J304^4)+'CAFCO 400 '!$H$8*(J304^3)+'CAFCO 400 '!$H$9*(J304^2)+'CAFCO 400 '!$H$10*J304+'CAFCO 400 '!$H$11)*U304^2)+(('CAFCO 400 '!$H$12*(J304^3)+'CAFCO 400 '!$H$13*(J304^2)+'CAFCO 400 '!$H$14*J304+'CAFCO 400 '!$H$15)*U304)+('CAFCO 400 '!$H$16*(J304^2)+'CAFCO 400 '!$H$17*J304+'CAFCO 400 '!$H$18)),0)+IF(AND(L304="Cafco 400",M304="Software Idiem",C304="Cj"),(((('CAFCO 400 '!$D$7*LN(J304)+'CAFCO 400 '!$D$8)*U304^2)+(('CAFCO 400 '!$D$9*LN(J304)+'CAFCO 400 '!$D$10)*U304)+('CAFCO 400 '!$D$11*LN(J304)+'CAFCO 400 '!$D$12))),0)+IF(AND(L304="Cafco 400",M304="Software Idiem",C304="C"),((('CAFCO 400 '!$L$7*(J304^3)+'CAFCO 400 '!$L$8*(J304^2)+'CAFCO 400 '!$L$9*J304+'CAFCO 400 '!$L$10)*U304^2)+(('CAFCO 400 '!$L$11*(J304^3)+'CAFCO 400 '!$L$12*(J304^2)+'CAFCO 400 '!$L$13*J304+'CAFCO 400 '!$L$14)*U304)+('CAFCO 400 '!$L$15*LN(J304)+'CAFCO 400 '!$L$16)),0)+IF(AND(L304="Cafco 400",M304="Software Idiem",C304="L"),((('CAFCO 400 '!$L$7*(J304^3)+'CAFCO 400 '!$L$8*(J304^2)+'CAFCO 400 '!$L$9*J304+'CAFCO 400 '!$L$10)*U304^2)+(('CAFCO 400 '!$L$11*(J304^3)+'CAFCO 400 '!$L$12*(J304^2)+'CAFCO 400 '!$L$13*J304+'CAFCO 400 '!$L$14)*U304)+('CAFCO 400 '!$L$15*LN(J304)+'CAFCO 400 '!$L$16)),0)+IF(AND(L304="Cafco 400",M304="Software Idiem",C304="IN",G304=3),((('CAFCO 400 '!$D$23*(J304^2)+'CAFCO 400 '!$D$24*(J304)+'CAFCO 400 '!$D$25)*U304^2)+(('CAFCO 400 '!$D$26*(J304^2)+'CAFCO 400 '!$D$27*J304+'CAFCO 400 '!$D$28)*U304)+('CAFCO 400 '!$D$29*(J304^2)+'CAFCO 400 '!$D$30*J304+'CAFCO 400 '!$D$31)),0),0)+IF(AND(L304="Cafco 300",J304&gt;=95,J304&lt;=240,C304="Cj",I304=90),VLOOKUP(T304,'CAFCO 300 IDIEM TABLAS'!$B$4:$D$23,2,FALSE),0)+IF(AND(L304="Cafco 300",J304&gt;=95,J304&lt;=240,C304="Cj",I304=120),VLOOKUP(T304,'CAFCO 300 IDIEM TABLAS'!$B$4:$D$23,3,FALSE),0)+IF(AND(L304="Cafco 300",J304&gt;=95,J304&lt;=400,G304=3,C304="IN",I304=90),VLOOKUP(T304,'CAFCO 300 IDIEM TABLAS'!$F$4:$H$35,2,FALSE),0)+IF(AND(L304="Cafco 300",J304&gt;=95,J304&lt;=400,G304=3,C304="IN",I304=120),VLOOKUP(T304,'CAFCO 300 IDIEM TABLAS'!$F$4:$H$35,3,FALSE),0)+IF(AND(L304="Cafco 300",J304&gt;=95,J304&lt;=450,G304=4,C304="IN",I304=90),VLOOKUP(T304,'CAFCO 300 IDIEM TABLAS'!$J$4:$L$40,2,FALSE),0)+IF(AND(L304="Cafco 300",J304&gt;=95,J304&lt;=450,G304=4,C304="IN",I304=120),VLOOKUP(T304,'CAFCO 300 IDIEM TABLAS'!$J$4:$L$40,3,FALSE),0)+IF(AND(M304="Ensayo Idiem",L304="Cafco 400",C304="IN",G304=4,I304=90),VLOOKUP(T304,'CAFCO 400 ENSAYO'!$B$7:$D$43,2,FALSE),0)+IF(AND(M304="Ensayo Idiem",L304="Cafco 400",C304="IN",G304=4,I304=120),VLOOKUP(T304,'CAFCO 400 ENSAYO'!$B$7:$D$43,3,FALSE),0)</f>
        <v>0</v>
      </c>
      <c r="O304" s="96">
        <f t="shared" si="33"/>
        <v>0</v>
      </c>
      <c r="P304" s="95" t="str">
        <f t="shared" si="34"/>
        <v>N/A</v>
      </c>
      <c r="Q304" s="95" t="str">
        <f t="shared" si="35"/>
        <v>N/A</v>
      </c>
      <c r="R304" s="95" t="str">
        <f t="shared" si="36"/>
        <v>NO CERT.</v>
      </c>
      <c r="S304" s="95" t="e">
        <f t="shared" si="31"/>
        <v>#N/A</v>
      </c>
      <c r="T304" s="119" t="e">
        <f>+IF(J304=LOOKUP(J304,'CAFCO 300 IDIEM TABLAS'!$J$4:$J$40),'CALCULO MORTERO'!J304,MROUND('CALCULO MORTERO'!J304,10))</f>
        <v>#N/A</v>
      </c>
      <c r="U304" s="118">
        <f t="shared" si="32"/>
        <v>0</v>
      </c>
      <c r="Y304" s="4"/>
      <c r="Z304" s="4"/>
      <c r="AA304" s="4"/>
    </row>
    <row r="305" spans="1:27" x14ac:dyDescent="0.25">
      <c r="A305" s="118">
        <f>+CUBICACION!D299</f>
        <v>0</v>
      </c>
      <c r="B305" s="819">
        <f>+CUBICACION!E299</f>
        <v>0</v>
      </c>
      <c r="C305" s="675">
        <f>+CUBICACION!F299</f>
        <v>0</v>
      </c>
      <c r="D305" s="118"/>
      <c r="E305" s="118"/>
      <c r="F305" s="820"/>
      <c r="G305" s="675">
        <f>+CUBICACION!J299</f>
        <v>0</v>
      </c>
      <c r="H305" s="118"/>
      <c r="I305" s="821">
        <f>+CUBICACION!L299</f>
        <v>0</v>
      </c>
      <c r="J305" s="64">
        <f>+CUBICACION!M299</f>
        <v>0</v>
      </c>
      <c r="K305" s="822" t="str">
        <f>+CUBICACION!N299</f>
        <v/>
      </c>
      <c r="L305" s="118">
        <f>+CUBICACION!O299</f>
        <v>0</v>
      </c>
      <c r="M305" s="823">
        <f>+CUBICACION!P299</f>
        <v>0</v>
      </c>
      <c r="N305" s="902">
        <f>ROUND(IF(AND(L305="Blaze Shield II",M305="Software Idiem",C305="IN",G305=4),((('BLAZE SHIELD II'!$D$4*('CALCULO MORTERO'!I305^2)+'BLAZE SHIELD II'!$D$5*'CALCULO MORTERO'!I305+'BLAZE SHIELD II'!$D$6)*LN(J305))+('BLAZE SHIELD II'!$D$7*('CALCULO MORTERO'!I305^2)+'BLAZE SHIELD II'!$D$8*'CALCULO MORTERO'!I305+'BLAZE SHIELD II'!$D$9)),0)+IF(AND(L305="Blaze Shield II",M305="Software Idiem",C305="Cj"),((('BLAZE SHIELD II'!$H$4*('CALCULO MORTERO'!I305^2)+'BLAZE SHIELD II'!$H$5*'CALCULO MORTERO'!I305+'BLAZE SHIELD II'!$H$6)*LN(J305))+('BLAZE SHIELD II'!$H$7*('CALCULO MORTERO'!I305^2)+'BLAZE SHIELD II'!$H$8*'CALCULO MORTERO'!I305+'BLAZE SHIELD II'!$H$9)),0)+IF(AND(L305="Blaze Shield II",M305="Software Idiem",C305="C"),((('BLAZE SHIELD II'!$L$4*('CALCULO MORTERO'!I305^2)+'BLAZE SHIELD II'!$L$5*'CALCULO MORTERO'!I305+'BLAZE SHIELD II'!$L$6)*LN(J305))+('BLAZE SHIELD II'!$L$7*('CALCULO MORTERO'!I305^2)+'BLAZE SHIELD II'!$L$8*'CALCULO MORTERO'!I305+'BLAZE SHIELD II'!$L$9)),0)+IF(AND(L305="Blaze Shield II",M305="Software Idiem",C305="L"),((('BLAZE SHIELD II'!$L$4*('CALCULO MORTERO'!I305^2)+'BLAZE SHIELD II'!$L$5*'CALCULO MORTERO'!I305+'BLAZE SHIELD II'!$L$6)*LN(J305))+('BLAZE SHIELD II'!$L$7*('CALCULO MORTERO'!I305^2)+'BLAZE SHIELD II'!$L$8*'CALCULO MORTERO'!I305+'BLAZE SHIELD II'!$L$9)),0)+IF(AND(L305="Blaze Shield II",M305="Software Idiem",C305="IN",G305=3),((('BLAZE SHIELD II'!$H$14*('CALCULO MORTERO'!I305^2)+'BLAZE SHIELD II'!$H$15*'CALCULO MORTERO'!I305+'BLAZE SHIELD II'!$H$16)*LN(J305))+('BLAZE SHIELD II'!$H$17*('CALCULO MORTERO'!I305^2)+'BLAZE SHIELD II'!$H$18*'CALCULO MORTERO'!I305+'BLAZE SHIELD II'!$H$19)),0),0)+ROUND(IF(AND(L305="Cafco 400",M305="Software Idiem",C305="IN",G305=4),((('CAFCO 400 '!$H$7*(J305^4)+'CAFCO 400 '!$H$8*(J305^3)+'CAFCO 400 '!$H$9*(J305^2)+'CAFCO 400 '!$H$10*J305+'CAFCO 400 '!$H$11)*U305^2)+(('CAFCO 400 '!$H$12*(J305^3)+'CAFCO 400 '!$H$13*(J305^2)+'CAFCO 400 '!$H$14*J305+'CAFCO 400 '!$H$15)*U305)+('CAFCO 400 '!$H$16*(J305^2)+'CAFCO 400 '!$H$17*J305+'CAFCO 400 '!$H$18)),0)+IF(AND(L305="Cafco 400",M305="Software Idiem",C305="Cj"),(((('CAFCO 400 '!$D$7*LN(J305)+'CAFCO 400 '!$D$8)*U305^2)+(('CAFCO 400 '!$D$9*LN(J305)+'CAFCO 400 '!$D$10)*U305)+('CAFCO 400 '!$D$11*LN(J305)+'CAFCO 400 '!$D$12))),0)+IF(AND(L305="Cafco 400",M305="Software Idiem",C305="C"),((('CAFCO 400 '!$L$7*(J305^3)+'CAFCO 400 '!$L$8*(J305^2)+'CAFCO 400 '!$L$9*J305+'CAFCO 400 '!$L$10)*U305^2)+(('CAFCO 400 '!$L$11*(J305^3)+'CAFCO 400 '!$L$12*(J305^2)+'CAFCO 400 '!$L$13*J305+'CAFCO 400 '!$L$14)*U305)+('CAFCO 400 '!$L$15*LN(J305)+'CAFCO 400 '!$L$16)),0)+IF(AND(L305="Cafco 400",M305="Software Idiem",C305="L"),((('CAFCO 400 '!$L$7*(J305^3)+'CAFCO 400 '!$L$8*(J305^2)+'CAFCO 400 '!$L$9*J305+'CAFCO 400 '!$L$10)*U305^2)+(('CAFCO 400 '!$L$11*(J305^3)+'CAFCO 400 '!$L$12*(J305^2)+'CAFCO 400 '!$L$13*J305+'CAFCO 400 '!$L$14)*U305)+('CAFCO 400 '!$L$15*LN(J305)+'CAFCO 400 '!$L$16)),0)+IF(AND(L305="Cafco 400",M305="Software Idiem",C305="IN",G305=3),((('CAFCO 400 '!$D$23*(J305^2)+'CAFCO 400 '!$D$24*(J305)+'CAFCO 400 '!$D$25)*U305^2)+(('CAFCO 400 '!$D$26*(J305^2)+'CAFCO 400 '!$D$27*J305+'CAFCO 400 '!$D$28)*U305)+('CAFCO 400 '!$D$29*(J305^2)+'CAFCO 400 '!$D$30*J305+'CAFCO 400 '!$D$31)),0),0)+IF(AND(L305="Cafco 300",J305&gt;=95,J305&lt;=240,C305="Cj",I305=90),VLOOKUP(T305,'CAFCO 300 IDIEM TABLAS'!$B$4:$D$23,2,FALSE),0)+IF(AND(L305="Cafco 300",J305&gt;=95,J305&lt;=240,C305="Cj",I305=120),VLOOKUP(T305,'CAFCO 300 IDIEM TABLAS'!$B$4:$D$23,3,FALSE),0)+IF(AND(L305="Cafco 300",J305&gt;=95,J305&lt;=400,G305=3,C305="IN",I305=90),VLOOKUP(T305,'CAFCO 300 IDIEM TABLAS'!$F$4:$H$35,2,FALSE),0)+IF(AND(L305="Cafco 300",J305&gt;=95,J305&lt;=400,G305=3,C305="IN",I305=120),VLOOKUP(T305,'CAFCO 300 IDIEM TABLAS'!$F$4:$H$35,3,FALSE),0)+IF(AND(L305="Cafco 300",J305&gt;=95,J305&lt;=450,G305=4,C305="IN",I305=90),VLOOKUP(T305,'CAFCO 300 IDIEM TABLAS'!$J$4:$L$40,2,FALSE),0)+IF(AND(L305="Cafco 300",J305&gt;=95,J305&lt;=450,G305=4,C305="IN",I305=120),VLOOKUP(T305,'CAFCO 300 IDIEM TABLAS'!$J$4:$L$40,3,FALSE),0)+IF(AND(M305="Ensayo Idiem",L305="Cafco 400",C305="IN",G305=4,I305=90),VLOOKUP(T305,'CAFCO 400 ENSAYO'!$B$7:$D$43,2,FALSE),0)+IF(AND(M305="Ensayo Idiem",L305="Cafco 400",C305="IN",G305=4,I305=120),VLOOKUP(T305,'CAFCO 400 ENSAYO'!$B$7:$D$43,3,FALSE),0)</f>
        <v>0</v>
      </c>
      <c r="O305" s="96">
        <f t="shared" si="33"/>
        <v>0</v>
      </c>
      <c r="P305" s="95" t="str">
        <f t="shared" si="34"/>
        <v>N/A</v>
      </c>
      <c r="Q305" s="95" t="str">
        <f t="shared" si="35"/>
        <v>N/A</v>
      </c>
      <c r="R305" s="95" t="str">
        <f t="shared" si="36"/>
        <v>NO CERT.</v>
      </c>
      <c r="S305" s="95" t="e">
        <f t="shared" si="31"/>
        <v>#N/A</v>
      </c>
      <c r="T305" s="119" t="e">
        <f>+IF(J305=LOOKUP(J305,'CAFCO 300 IDIEM TABLAS'!$J$4:$J$40),'CALCULO MORTERO'!J305,MROUND('CALCULO MORTERO'!J305,10))</f>
        <v>#N/A</v>
      </c>
      <c r="U305" s="118">
        <f t="shared" si="32"/>
        <v>0</v>
      </c>
      <c r="Y305" s="4"/>
      <c r="Z305" s="4"/>
      <c r="AA305" s="4"/>
    </row>
    <row r="306" spans="1:27" ht="15.6" customHeight="1" x14ac:dyDescent="0.25">
      <c r="A306" s="118">
        <f>+CUBICACION!D300</f>
        <v>0</v>
      </c>
      <c r="B306" s="819">
        <f>+CUBICACION!E300</f>
        <v>0</v>
      </c>
      <c r="C306" s="675">
        <f>+CUBICACION!F300</f>
        <v>0</v>
      </c>
      <c r="D306" s="118"/>
      <c r="E306" s="118"/>
      <c r="F306" s="820"/>
      <c r="G306" s="675">
        <f>+CUBICACION!J300</f>
        <v>0</v>
      </c>
      <c r="H306" s="118"/>
      <c r="I306" s="821">
        <f>+CUBICACION!L300</f>
        <v>0</v>
      </c>
      <c r="J306" s="64">
        <f>+CUBICACION!M300</f>
        <v>0</v>
      </c>
      <c r="K306" s="822" t="str">
        <f>+CUBICACION!N300</f>
        <v/>
      </c>
      <c r="L306" s="118">
        <f>+CUBICACION!O300</f>
        <v>0</v>
      </c>
      <c r="M306" s="823">
        <f>+CUBICACION!P300</f>
        <v>0</v>
      </c>
      <c r="N306" s="902">
        <f>ROUND(IF(AND(L306="Blaze Shield II",M306="Software Idiem",C306="IN",G306=4),((('BLAZE SHIELD II'!$D$4*('CALCULO MORTERO'!I306^2)+'BLAZE SHIELD II'!$D$5*'CALCULO MORTERO'!I306+'BLAZE SHIELD II'!$D$6)*LN(J306))+('BLAZE SHIELD II'!$D$7*('CALCULO MORTERO'!I306^2)+'BLAZE SHIELD II'!$D$8*'CALCULO MORTERO'!I306+'BLAZE SHIELD II'!$D$9)),0)+IF(AND(L306="Blaze Shield II",M306="Software Idiem",C306="Cj"),((('BLAZE SHIELD II'!$H$4*('CALCULO MORTERO'!I306^2)+'BLAZE SHIELD II'!$H$5*'CALCULO MORTERO'!I306+'BLAZE SHIELD II'!$H$6)*LN(J306))+('BLAZE SHIELD II'!$H$7*('CALCULO MORTERO'!I306^2)+'BLAZE SHIELD II'!$H$8*'CALCULO MORTERO'!I306+'BLAZE SHIELD II'!$H$9)),0)+IF(AND(L306="Blaze Shield II",M306="Software Idiem",C306="C"),((('BLAZE SHIELD II'!$L$4*('CALCULO MORTERO'!I306^2)+'BLAZE SHIELD II'!$L$5*'CALCULO MORTERO'!I306+'BLAZE SHIELD II'!$L$6)*LN(J306))+('BLAZE SHIELD II'!$L$7*('CALCULO MORTERO'!I306^2)+'BLAZE SHIELD II'!$L$8*'CALCULO MORTERO'!I306+'BLAZE SHIELD II'!$L$9)),0)+IF(AND(L306="Blaze Shield II",M306="Software Idiem",C306="L"),((('BLAZE SHIELD II'!$L$4*('CALCULO MORTERO'!I306^2)+'BLAZE SHIELD II'!$L$5*'CALCULO MORTERO'!I306+'BLAZE SHIELD II'!$L$6)*LN(J306))+('BLAZE SHIELD II'!$L$7*('CALCULO MORTERO'!I306^2)+'BLAZE SHIELD II'!$L$8*'CALCULO MORTERO'!I306+'BLAZE SHIELD II'!$L$9)),0)+IF(AND(L306="Blaze Shield II",M306="Software Idiem",C306="IN",G306=3),((('BLAZE SHIELD II'!$H$14*('CALCULO MORTERO'!I306^2)+'BLAZE SHIELD II'!$H$15*'CALCULO MORTERO'!I306+'BLAZE SHIELD II'!$H$16)*LN(J306))+('BLAZE SHIELD II'!$H$17*('CALCULO MORTERO'!I306^2)+'BLAZE SHIELD II'!$H$18*'CALCULO MORTERO'!I306+'BLAZE SHIELD II'!$H$19)),0),0)+ROUND(IF(AND(L306="Cafco 400",M306="Software Idiem",C306="IN",G306=4),((('CAFCO 400 '!$H$7*(J306^4)+'CAFCO 400 '!$H$8*(J306^3)+'CAFCO 400 '!$H$9*(J306^2)+'CAFCO 400 '!$H$10*J306+'CAFCO 400 '!$H$11)*U306^2)+(('CAFCO 400 '!$H$12*(J306^3)+'CAFCO 400 '!$H$13*(J306^2)+'CAFCO 400 '!$H$14*J306+'CAFCO 400 '!$H$15)*U306)+('CAFCO 400 '!$H$16*(J306^2)+'CAFCO 400 '!$H$17*J306+'CAFCO 400 '!$H$18)),0)+IF(AND(L306="Cafco 400",M306="Software Idiem",C306="Cj"),(((('CAFCO 400 '!$D$7*LN(J306)+'CAFCO 400 '!$D$8)*U306^2)+(('CAFCO 400 '!$D$9*LN(J306)+'CAFCO 400 '!$D$10)*U306)+('CAFCO 400 '!$D$11*LN(J306)+'CAFCO 400 '!$D$12))),0)+IF(AND(L306="Cafco 400",M306="Software Idiem",C306="C"),((('CAFCO 400 '!$L$7*(J306^3)+'CAFCO 400 '!$L$8*(J306^2)+'CAFCO 400 '!$L$9*J306+'CAFCO 400 '!$L$10)*U306^2)+(('CAFCO 400 '!$L$11*(J306^3)+'CAFCO 400 '!$L$12*(J306^2)+'CAFCO 400 '!$L$13*J306+'CAFCO 400 '!$L$14)*U306)+('CAFCO 400 '!$L$15*LN(J306)+'CAFCO 400 '!$L$16)),0)+IF(AND(L306="Cafco 400",M306="Software Idiem",C306="L"),((('CAFCO 400 '!$L$7*(J306^3)+'CAFCO 400 '!$L$8*(J306^2)+'CAFCO 400 '!$L$9*J306+'CAFCO 400 '!$L$10)*U306^2)+(('CAFCO 400 '!$L$11*(J306^3)+'CAFCO 400 '!$L$12*(J306^2)+'CAFCO 400 '!$L$13*J306+'CAFCO 400 '!$L$14)*U306)+('CAFCO 400 '!$L$15*LN(J306)+'CAFCO 400 '!$L$16)),0)+IF(AND(L306="Cafco 400",M306="Software Idiem",C306="IN",G306=3),((('CAFCO 400 '!$D$23*(J306^2)+'CAFCO 400 '!$D$24*(J306)+'CAFCO 400 '!$D$25)*U306^2)+(('CAFCO 400 '!$D$26*(J306^2)+'CAFCO 400 '!$D$27*J306+'CAFCO 400 '!$D$28)*U306)+('CAFCO 400 '!$D$29*(J306^2)+'CAFCO 400 '!$D$30*J306+'CAFCO 400 '!$D$31)),0),0)+IF(AND(L306="Cafco 300",J306&gt;=95,J306&lt;=240,C306="Cj",I306=90),VLOOKUP(T306,'CAFCO 300 IDIEM TABLAS'!$B$4:$D$23,2,FALSE),0)+IF(AND(L306="Cafco 300",J306&gt;=95,J306&lt;=240,C306="Cj",I306=120),VLOOKUP(T306,'CAFCO 300 IDIEM TABLAS'!$B$4:$D$23,3,FALSE),0)+IF(AND(L306="Cafco 300",J306&gt;=95,J306&lt;=400,G306=3,C306="IN",I306=90),VLOOKUP(T306,'CAFCO 300 IDIEM TABLAS'!$F$4:$H$35,2,FALSE),0)+IF(AND(L306="Cafco 300",J306&gt;=95,J306&lt;=400,G306=3,C306="IN",I306=120),VLOOKUP(T306,'CAFCO 300 IDIEM TABLAS'!$F$4:$H$35,3,FALSE),0)+IF(AND(L306="Cafco 300",J306&gt;=95,J306&lt;=450,G306=4,C306="IN",I306=90),VLOOKUP(T306,'CAFCO 300 IDIEM TABLAS'!$J$4:$L$40,2,FALSE),0)+IF(AND(L306="Cafco 300",J306&gt;=95,J306&lt;=450,G306=4,C306="IN",I306=120),VLOOKUP(T306,'CAFCO 300 IDIEM TABLAS'!$J$4:$L$40,3,FALSE),0)+IF(AND(M306="Ensayo Idiem",L306="Cafco 400",C306="IN",G306=4,I306=90),VLOOKUP(T306,'CAFCO 400 ENSAYO'!$B$7:$D$43,2,FALSE),0)+IF(AND(M306="Ensayo Idiem",L306="Cafco 400",C306="IN",G306=4,I306=120),VLOOKUP(T306,'CAFCO 400 ENSAYO'!$B$7:$D$43,3,FALSE),0)</f>
        <v>0</v>
      </c>
      <c r="O306" s="96">
        <f t="shared" si="33"/>
        <v>0</v>
      </c>
      <c r="P306" s="95" t="str">
        <f t="shared" si="34"/>
        <v>N/A</v>
      </c>
      <c r="Q306" s="95" t="str">
        <f t="shared" si="35"/>
        <v>N/A</v>
      </c>
      <c r="R306" s="95" t="str">
        <f t="shared" si="36"/>
        <v>NO CERT.</v>
      </c>
      <c r="S306" s="95" t="e">
        <f t="shared" si="31"/>
        <v>#N/A</v>
      </c>
      <c r="T306" s="119" t="e">
        <f>+IF(J306=LOOKUP(J306,'CAFCO 300 IDIEM TABLAS'!$J$4:$J$40),'CALCULO MORTERO'!J306,MROUND('CALCULO MORTERO'!J306,10))</f>
        <v>#N/A</v>
      </c>
      <c r="U306" s="118">
        <f t="shared" si="32"/>
        <v>0</v>
      </c>
      <c r="Y306" s="4"/>
      <c r="Z306" s="4"/>
      <c r="AA306" s="4"/>
    </row>
    <row r="307" spans="1:27" x14ac:dyDescent="0.25">
      <c r="A307" s="118">
        <f>+CUBICACION!D301</f>
        <v>0</v>
      </c>
      <c r="B307" s="819">
        <f>+CUBICACION!E301</f>
        <v>0</v>
      </c>
      <c r="C307" s="675">
        <f>+CUBICACION!F301</f>
        <v>0</v>
      </c>
      <c r="D307" s="118"/>
      <c r="E307" s="118"/>
      <c r="F307" s="820"/>
      <c r="G307" s="675">
        <f>+CUBICACION!J301</f>
        <v>0</v>
      </c>
      <c r="H307" s="118"/>
      <c r="I307" s="821">
        <f>+CUBICACION!L301</f>
        <v>0</v>
      </c>
      <c r="J307" s="64">
        <f>+CUBICACION!M301</f>
        <v>0</v>
      </c>
      <c r="K307" s="822" t="str">
        <f>+CUBICACION!N301</f>
        <v/>
      </c>
      <c r="L307" s="118">
        <f>+CUBICACION!O301</f>
        <v>0</v>
      </c>
      <c r="M307" s="823">
        <f>+CUBICACION!P301</f>
        <v>0</v>
      </c>
      <c r="N307" s="902">
        <f>ROUND(IF(AND(L307="Blaze Shield II",M307="Software Idiem",C307="IN",G307=4),((('BLAZE SHIELD II'!$D$4*('CALCULO MORTERO'!I307^2)+'BLAZE SHIELD II'!$D$5*'CALCULO MORTERO'!I307+'BLAZE SHIELD II'!$D$6)*LN(J307))+('BLAZE SHIELD II'!$D$7*('CALCULO MORTERO'!I307^2)+'BLAZE SHIELD II'!$D$8*'CALCULO MORTERO'!I307+'BLAZE SHIELD II'!$D$9)),0)+IF(AND(L307="Blaze Shield II",M307="Software Idiem",C307="Cj"),((('BLAZE SHIELD II'!$H$4*('CALCULO MORTERO'!I307^2)+'BLAZE SHIELD II'!$H$5*'CALCULO MORTERO'!I307+'BLAZE SHIELD II'!$H$6)*LN(J307))+('BLAZE SHIELD II'!$H$7*('CALCULO MORTERO'!I307^2)+'BLAZE SHIELD II'!$H$8*'CALCULO MORTERO'!I307+'BLAZE SHIELD II'!$H$9)),0)+IF(AND(L307="Blaze Shield II",M307="Software Idiem",C307="C"),((('BLAZE SHIELD II'!$L$4*('CALCULO MORTERO'!I307^2)+'BLAZE SHIELD II'!$L$5*'CALCULO MORTERO'!I307+'BLAZE SHIELD II'!$L$6)*LN(J307))+('BLAZE SHIELD II'!$L$7*('CALCULO MORTERO'!I307^2)+'BLAZE SHIELD II'!$L$8*'CALCULO MORTERO'!I307+'BLAZE SHIELD II'!$L$9)),0)+IF(AND(L307="Blaze Shield II",M307="Software Idiem",C307="L"),((('BLAZE SHIELD II'!$L$4*('CALCULO MORTERO'!I307^2)+'BLAZE SHIELD II'!$L$5*'CALCULO MORTERO'!I307+'BLAZE SHIELD II'!$L$6)*LN(J307))+('BLAZE SHIELD II'!$L$7*('CALCULO MORTERO'!I307^2)+'BLAZE SHIELD II'!$L$8*'CALCULO MORTERO'!I307+'BLAZE SHIELD II'!$L$9)),0)+IF(AND(L307="Blaze Shield II",M307="Software Idiem",C307="IN",G307=3),((('BLAZE SHIELD II'!$H$14*('CALCULO MORTERO'!I307^2)+'BLAZE SHIELD II'!$H$15*'CALCULO MORTERO'!I307+'BLAZE SHIELD II'!$H$16)*LN(J307))+('BLAZE SHIELD II'!$H$17*('CALCULO MORTERO'!I307^2)+'BLAZE SHIELD II'!$H$18*'CALCULO MORTERO'!I307+'BLAZE SHIELD II'!$H$19)),0),0)+ROUND(IF(AND(L307="Cafco 400",M307="Software Idiem",C307="IN",G307=4),((('CAFCO 400 '!$H$7*(J307^4)+'CAFCO 400 '!$H$8*(J307^3)+'CAFCO 400 '!$H$9*(J307^2)+'CAFCO 400 '!$H$10*J307+'CAFCO 400 '!$H$11)*U307^2)+(('CAFCO 400 '!$H$12*(J307^3)+'CAFCO 400 '!$H$13*(J307^2)+'CAFCO 400 '!$H$14*J307+'CAFCO 400 '!$H$15)*U307)+('CAFCO 400 '!$H$16*(J307^2)+'CAFCO 400 '!$H$17*J307+'CAFCO 400 '!$H$18)),0)+IF(AND(L307="Cafco 400",M307="Software Idiem",C307="Cj"),(((('CAFCO 400 '!$D$7*LN(J307)+'CAFCO 400 '!$D$8)*U307^2)+(('CAFCO 400 '!$D$9*LN(J307)+'CAFCO 400 '!$D$10)*U307)+('CAFCO 400 '!$D$11*LN(J307)+'CAFCO 400 '!$D$12))),0)+IF(AND(L307="Cafco 400",M307="Software Idiem",C307="C"),((('CAFCO 400 '!$L$7*(J307^3)+'CAFCO 400 '!$L$8*(J307^2)+'CAFCO 400 '!$L$9*J307+'CAFCO 400 '!$L$10)*U307^2)+(('CAFCO 400 '!$L$11*(J307^3)+'CAFCO 400 '!$L$12*(J307^2)+'CAFCO 400 '!$L$13*J307+'CAFCO 400 '!$L$14)*U307)+('CAFCO 400 '!$L$15*LN(J307)+'CAFCO 400 '!$L$16)),0)+IF(AND(L307="Cafco 400",M307="Software Idiem",C307="L"),((('CAFCO 400 '!$L$7*(J307^3)+'CAFCO 400 '!$L$8*(J307^2)+'CAFCO 400 '!$L$9*J307+'CAFCO 400 '!$L$10)*U307^2)+(('CAFCO 400 '!$L$11*(J307^3)+'CAFCO 400 '!$L$12*(J307^2)+'CAFCO 400 '!$L$13*J307+'CAFCO 400 '!$L$14)*U307)+('CAFCO 400 '!$L$15*LN(J307)+'CAFCO 400 '!$L$16)),0)+IF(AND(L307="Cafco 400",M307="Software Idiem",C307="IN",G307=3),((('CAFCO 400 '!$D$23*(J307^2)+'CAFCO 400 '!$D$24*(J307)+'CAFCO 400 '!$D$25)*U307^2)+(('CAFCO 400 '!$D$26*(J307^2)+'CAFCO 400 '!$D$27*J307+'CAFCO 400 '!$D$28)*U307)+('CAFCO 400 '!$D$29*(J307^2)+'CAFCO 400 '!$D$30*J307+'CAFCO 400 '!$D$31)),0),0)+IF(AND(L307="Cafco 300",J307&gt;=95,J307&lt;=240,C307="Cj",I307=90),VLOOKUP(T307,'CAFCO 300 IDIEM TABLAS'!$B$4:$D$23,2,FALSE),0)+IF(AND(L307="Cafco 300",J307&gt;=95,J307&lt;=240,C307="Cj",I307=120),VLOOKUP(T307,'CAFCO 300 IDIEM TABLAS'!$B$4:$D$23,3,FALSE),0)+IF(AND(L307="Cafco 300",J307&gt;=95,J307&lt;=400,G307=3,C307="IN",I307=90),VLOOKUP(T307,'CAFCO 300 IDIEM TABLAS'!$F$4:$H$35,2,FALSE),0)+IF(AND(L307="Cafco 300",J307&gt;=95,J307&lt;=400,G307=3,C307="IN",I307=120),VLOOKUP(T307,'CAFCO 300 IDIEM TABLAS'!$F$4:$H$35,3,FALSE),0)+IF(AND(L307="Cafco 300",J307&gt;=95,J307&lt;=450,G307=4,C307="IN",I307=90),VLOOKUP(T307,'CAFCO 300 IDIEM TABLAS'!$J$4:$L$40,2,FALSE),0)+IF(AND(L307="Cafco 300",J307&gt;=95,J307&lt;=450,G307=4,C307="IN",I307=120),VLOOKUP(T307,'CAFCO 300 IDIEM TABLAS'!$J$4:$L$40,3,FALSE),0)+IF(AND(M307="Ensayo Idiem",L307="Cafco 400",C307="IN",G307=4,I307=90),VLOOKUP(T307,'CAFCO 400 ENSAYO'!$B$7:$D$43,2,FALSE),0)+IF(AND(M307="Ensayo Idiem",L307="Cafco 400",C307="IN",G307=4,I307=120),VLOOKUP(T307,'CAFCO 400 ENSAYO'!$B$7:$D$43,3,FALSE),0)</f>
        <v>0</v>
      </c>
      <c r="O307" s="96">
        <f t="shared" si="33"/>
        <v>0</v>
      </c>
      <c r="P307" s="95" t="str">
        <f t="shared" si="34"/>
        <v>N/A</v>
      </c>
      <c r="Q307" s="95" t="str">
        <f t="shared" si="35"/>
        <v>N/A</v>
      </c>
      <c r="R307" s="95" t="str">
        <f t="shared" si="36"/>
        <v>NO CERT.</v>
      </c>
      <c r="S307" s="95" t="e">
        <f t="shared" si="31"/>
        <v>#N/A</v>
      </c>
      <c r="T307" s="119" t="e">
        <f>+IF(J307=LOOKUP(J307,'CAFCO 300 IDIEM TABLAS'!$J$4:$J$40),'CALCULO MORTERO'!J307,MROUND('CALCULO MORTERO'!J307,10))</f>
        <v>#N/A</v>
      </c>
      <c r="U307" s="118">
        <f t="shared" si="32"/>
        <v>0</v>
      </c>
      <c r="Y307" s="4"/>
      <c r="Z307" s="4"/>
      <c r="AA307" s="4"/>
    </row>
    <row r="308" spans="1:27" ht="15.6" customHeight="1" x14ac:dyDescent="0.25">
      <c r="A308" s="118">
        <f>+CUBICACION!D302</f>
        <v>0</v>
      </c>
      <c r="B308" s="819">
        <f>+CUBICACION!E302</f>
        <v>0</v>
      </c>
      <c r="C308" s="675">
        <f>+CUBICACION!F302</f>
        <v>0</v>
      </c>
      <c r="D308" s="118"/>
      <c r="E308" s="118"/>
      <c r="F308" s="820"/>
      <c r="G308" s="675">
        <f>+CUBICACION!J302</f>
        <v>0</v>
      </c>
      <c r="H308" s="118"/>
      <c r="I308" s="821">
        <f>+CUBICACION!L302</f>
        <v>0</v>
      </c>
      <c r="J308" s="64">
        <f>+CUBICACION!M302</f>
        <v>0</v>
      </c>
      <c r="K308" s="822" t="str">
        <f>+CUBICACION!N302</f>
        <v/>
      </c>
      <c r="L308" s="118">
        <f>+CUBICACION!O302</f>
        <v>0</v>
      </c>
      <c r="M308" s="823">
        <f>+CUBICACION!P302</f>
        <v>0</v>
      </c>
      <c r="N308" s="902">
        <f>ROUND(IF(AND(L308="Blaze Shield II",M308="Software Idiem",C308="IN",G308=4),((('BLAZE SHIELD II'!$D$4*('CALCULO MORTERO'!I308^2)+'BLAZE SHIELD II'!$D$5*'CALCULO MORTERO'!I308+'BLAZE SHIELD II'!$D$6)*LN(J308))+('BLAZE SHIELD II'!$D$7*('CALCULO MORTERO'!I308^2)+'BLAZE SHIELD II'!$D$8*'CALCULO MORTERO'!I308+'BLAZE SHIELD II'!$D$9)),0)+IF(AND(L308="Blaze Shield II",M308="Software Idiem",C308="Cj"),((('BLAZE SHIELD II'!$H$4*('CALCULO MORTERO'!I308^2)+'BLAZE SHIELD II'!$H$5*'CALCULO MORTERO'!I308+'BLAZE SHIELD II'!$H$6)*LN(J308))+('BLAZE SHIELD II'!$H$7*('CALCULO MORTERO'!I308^2)+'BLAZE SHIELD II'!$H$8*'CALCULO MORTERO'!I308+'BLAZE SHIELD II'!$H$9)),0)+IF(AND(L308="Blaze Shield II",M308="Software Idiem",C308="C"),((('BLAZE SHIELD II'!$L$4*('CALCULO MORTERO'!I308^2)+'BLAZE SHIELD II'!$L$5*'CALCULO MORTERO'!I308+'BLAZE SHIELD II'!$L$6)*LN(J308))+('BLAZE SHIELD II'!$L$7*('CALCULO MORTERO'!I308^2)+'BLAZE SHIELD II'!$L$8*'CALCULO MORTERO'!I308+'BLAZE SHIELD II'!$L$9)),0)+IF(AND(L308="Blaze Shield II",M308="Software Idiem",C308="L"),((('BLAZE SHIELD II'!$L$4*('CALCULO MORTERO'!I308^2)+'BLAZE SHIELD II'!$L$5*'CALCULO MORTERO'!I308+'BLAZE SHIELD II'!$L$6)*LN(J308))+('BLAZE SHIELD II'!$L$7*('CALCULO MORTERO'!I308^2)+'BLAZE SHIELD II'!$L$8*'CALCULO MORTERO'!I308+'BLAZE SHIELD II'!$L$9)),0)+IF(AND(L308="Blaze Shield II",M308="Software Idiem",C308="IN",G308=3),((('BLAZE SHIELD II'!$H$14*('CALCULO MORTERO'!I308^2)+'BLAZE SHIELD II'!$H$15*'CALCULO MORTERO'!I308+'BLAZE SHIELD II'!$H$16)*LN(J308))+('BLAZE SHIELD II'!$H$17*('CALCULO MORTERO'!I308^2)+'BLAZE SHIELD II'!$H$18*'CALCULO MORTERO'!I308+'BLAZE SHIELD II'!$H$19)),0),0)+ROUND(IF(AND(L308="Cafco 400",M308="Software Idiem",C308="IN",G308=4),((('CAFCO 400 '!$H$7*(J308^4)+'CAFCO 400 '!$H$8*(J308^3)+'CAFCO 400 '!$H$9*(J308^2)+'CAFCO 400 '!$H$10*J308+'CAFCO 400 '!$H$11)*U308^2)+(('CAFCO 400 '!$H$12*(J308^3)+'CAFCO 400 '!$H$13*(J308^2)+'CAFCO 400 '!$H$14*J308+'CAFCO 400 '!$H$15)*U308)+('CAFCO 400 '!$H$16*(J308^2)+'CAFCO 400 '!$H$17*J308+'CAFCO 400 '!$H$18)),0)+IF(AND(L308="Cafco 400",M308="Software Idiem",C308="Cj"),(((('CAFCO 400 '!$D$7*LN(J308)+'CAFCO 400 '!$D$8)*U308^2)+(('CAFCO 400 '!$D$9*LN(J308)+'CAFCO 400 '!$D$10)*U308)+('CAFCO 400 '!$D$11*LN(J308)+'CAFCO 400 '!$D$12))),0)+IF(AND(L308="Cafco 400",M308="Software Idiem",C308="C"),((('CAFCO 400 '!$L$7*(J308^3)+'CAFCO 400 '!$L$8*(J308^2)+'CAFCO 400 '!$L$9*J308+'CAFCO 400 '!$L$10)*U308^2)+(('CAFCO 400 '!$L$11*(J308^3)+'CAFCO 400 '!$L$12*(J308^2)+'CAFCO 400 '!$L$13*J308+'CAFCO 400 '!$L$14)*U308)+('CAFCO 400 '!$L$15*LN(J308)+'CAFCO 400 '!$L$16)),0)+IF(AND(L308="Cafco 400",M308="Software Idiem",C308="L"),((('CAFCO 400 '!$L$7*(J308^3)+'CAFCO 400 '!$L$8*(J308^2)+'CAFCO 400 '!$L$9*J308+'CAFCO 400 '!$L$10)*U308^2)+(('CAFCO 400 '!$L$11*(J308^3)+'CAFCO 400 '!$L$12*(J308^2)+'CAFCO 400 '!$L$13*J308+'CAFCO 400 '!$L$14)*U308)+('CAFCO 400 '!$L$15*LN(J308)+'CAFCO 400 '!$L$16)),0)+IF(AND(L308="Cafco 400",M308="Software Idiem",C308="IN",G308=3),((('CAFCO 400 '!$D$23*(J308^2)+'CAFCO 400 '!$D$24*(J308)+'CAFCO 400 '!$D$25)*U308^2)+(('CAFCO 400 '!$D$26*(J308^2)+'CAFCO 400 '!$D$27*J308+'CAFCO 400 '!$D$28)*U308)+('CAFCO 400 '!$D$29*(J308^2)+'CAFCO 400 '!$D$30*J308+'CAFCO 400 '!$D$31)),0),0)+IF(AND(L308="Cafco 300",J308&gt;=95,J308&lt;=240,C308="Cj",I308=90),VLOOKUP(T308,'CAFCO 300 IDIEM TABLAS'!$B$4:$D$23,2,FALSE),0)+IF(AND(L308="Cafco 300",J308&gt;=95,J308&lt;=240,C308="Cj",I308=120),VLOOKUP(T308,'CAFCO 300 IDIEM TABLAS'!$B$4:$D$23,3,FALSE),0)+IF(AND(L308="Cafco 300",J308&gt;=95,J308&lt;=400,G308=3,C308="IN",I308=90),VLOOKUP(T308,'CAFCO 300 IDIEM TABLAS'!$F$4:$H$35,2,FALSE),0)+IF(AND(L308="Cafco 300",J308&gt;=95,J308&lt;=400,G308=3,C308="IN",I308=120),VLOOKUP(T308,'CAFCO 300 IDIEM TABLAS'!$F$4:$H$35,3,FALSE),0)+IF(AND(L308="Cafco 300",J308&gt;=95,J308&lt;=450,G308=4,C308="IN",I308=90),VLOOKUP(T308,'CAFCO 300 IDIEM TABLAS'!$J$4:$L$40,2,FALSE),0)+IF(AND(L308="Cafco 300",J308&gt;=95,J308&lt;=450,G308=4,C308="IN",I308=120),VLOOKUP(T308,'CAFCO 300 IDIEM TABLAS'!$J$4:$L$40,3,FALSE),0)+IF(AND(M308="Ensayo Idiem",L308="Cafco 400",C308="IN",G308=4,I308=90),VLOOKUP(T308,'CAFCO 400 ENSAYO'!$B$7:$D$43,2,FALSE),0)+IF(AND(M308="Ensayo Idiem",L308="Cafco 400",C308="IN",G308=4,I308=120),VLOOKUP(T308,'CAFCO 400 ENSAYO'!$B$7:$D$43,3,FALSE),0)</f>
        <v>0</v>
      </c>
      <c r="O308" s="96">
        <f t="shared" si="33"/>
        <v>0</v>
      </c>
      <c r="P308" s="95" t="str">
        <f t="shared" si="34"/>
        <v>N/A</v>
      </c>
      <c r="Q308" s="95" t="str">
        <f t="shared" si="35"/>
        <v>N/A</v>
      </c>
      <c r="R308" s="95" t="str">
        <f t="shared" si="36"/>
        <v>NO CERT.</v>
      </c>
      <c r="S308" s="95" t="e">
        <f t="shared" si="31"/>
        <v>#N/A</v>
      </c>
      <c r="T308" s="119" t="e">
        <f>+IF(J308=LOOKUP(J308,'CAFCO 300 IDIEM TABLAS'!$J$4:$J$40),'CALCULO MORTERO'!J308,MROUND('CALCULO MORTERO'!J308,10))</f>
        <v>#N/A</v>
      </c>
      <c r="U308" s="118">
        <f t="shared" si="32"/>
        <v>0</v>
      </c>
      <c r="Y308" s="4"/>
      <c r="Z308" s="4"/>
      <c r="AA308" s="4"/>
    </row>
    <row r="309" spans="1:27" x14ac:dyDescent="0.25">
      <c r="A309" s="118">
        <f>+CUBICACION!D303</f>
        <v>0</v>
      </c>
      <c r="B309" s="819">
        <f>+CUBICACION!E303</f>
        <v>0</v>
      </c>
      <c r="C309" s="675">
        <f>+CUBICACION!F303</f>
        <v>0</v>
      </c>
      <c r="D309" s="118"/>
      <c r="E309" s="118"/>
      <c r="F309" s="820"/>
      <c r="G309" s="675">
        <f>+CUBICACION!J303</f>
        <v>0</v>
      </c>
      <c r="H309" s="118"/>
      <c r="I309" s="821">
        <f>+CUBICACION!L303</f>
        <v>0</v>
      </c>
      <c r="J309" s="64">
        <f>+CUBICACION!M303</f>
        <v>0</v>
      </c>
      <c r="K309" s="822" t="str">
        <f>+CUBICACION!N303</f>
        <v/>
      </c>
      <c r="L309" s="118">
        <f>+CUBICACION!O303</f>
        <v>0</v>
      </c>
      <c r="M309" s="823">
        <f>+CUBICACION!P303</f>
        <v>0</v>
      </c>
      <c r="N309" s="902">
        <f>ROUND(IF(AND(L309="Blaze Shield II",M309="Software Idiem",C309="IN",G309=4),((('BLAZE SHIELD II'!$D$4*('CALCULO MORTERO'!I309^2)+'BLAZE SHIELD II'!$D$5*'CALCULO MORTERO'!I309+'BLAZE SHIELD II'!$D$6)*LN(J309))+('BLAZE SHIELD II'!$D$7*('CALCULO MORTERO'!I309^2)+'BLAZE SHIELD II'!$D$8*'CALCULO MORTERO'!I309+'BLAZE SHIELD II'!$D$9)),0)+IF(AND(L309="Blaze Shield II",M309="Software Idiem",C309="Cj"),((('BLAZE SHIELD II'!$H$4*('CALCULO MORTERO'!I309^2)+'BLAZE SHIELD II'!$H$5*'CALCULO MORTERO'!I309+'BLAZE SHIELD II'!$H$6)*LN(J309))+('BLAZE SHIELD II'!$H$7*('CALCULO MORTERO'!I309^2)+'BLAZE SHIELD II'!$H$8*'CALCULO MORTERO'!I309+'BLAZE SHIELD II'!$H$9)),0)+IF(AND(L309="Blaze Shield II",M309="Software Idiem",C309="C"),((('BLAZE SHIELD II'!$L$4*('CALCULO MORTERO'!I309^2)+'BLAZE SHIELD II'!$L$5*'CALCULO MORTERO'!I309+'BLAZE SHIELD II'!$L$6)*LN(J309))+('BLAZE SHIELD II'!$L$7*('CALCULO MORTERO'!I309^2)+'BLAZE SHIELD II'!$L$8*'CALCULO MORTERO'!I309+'BLAZE SHIELD II'!$L$9)),0)+IF(AND(L309="Blaze Shield II",M309="Software Idiem",C309="L"),((('BLAZE SHIELD II'!$L$4*('CALCULO MORTERO'!I309^2)+'BLAZE SHIELD II'!$L$5*'CALCULO MORTERO'!I309+'BLAZE SHIELD II'!$L$6)*LN(J309))+('BLAZE SHIELD II'!$L$7*('CALCULO MORTERO'!I309^2)+'BLAZE SHIELD II'!$L$8*'CALCULO MORTERO'!I309+'BLAZE SHIELD II'!$L$9)),0)+IF(AND(L309="Blaze Shield II",M309="Software Idiem",C309="IN",G309=3),((('BLAZE SHIELD II'!$H$14*('CALCULO MORTERO'!I309^2)+'BLAZE SHIELD II'!$H$15*'CALCULO MORTERO'!I309+'BLAZE SHIELD II'!$H$16)*LN(J309))+('BLAZE SHIELD II'!$H$17*('CALCULO MORTERO'!I309^2)+'BLAZE SHIELD II'!$H$18*'CALCULO MORTERO'!I309+'BLAZE SHIELD II'!$H$19)),0),0)+ROUND(IF(AND(L309="Cafco 400",M309="Software Idiem",C309="IN",G309=4),((('CAFCO 400 '!$H$7*(J309^4)+'CAFCO 400 '!$H$8*(J309^3)+'CAFCO 400 '!$H$9*(J309^2)+'CAFCO 400 '!$H$10*J309+'CAFCO 400 '!$H$11)*U309^2)+(('CAFCO 400 '!$H$12*(J309^3)+'CAFCO 400 '!$H$13*(J309^2)+'CAFCO 400 '!$H$14*J309+'CAFCO 400 '!$H$15)*U309)+('CAFCO 400 '!$H$16*(J309^2)+'CAFCO 400 '!$H$17*J309+'CAFCO 400 '!$H$18)),0)+IF(AND(L309="Cafco 400",M309="Software Idiem",C309="Cj"),(((('CAFCO 400 '!$D$7*LN(J309)+'CAFCO 400 '!$D$8)*U309^2)+(('CAFCO 400 '!$D$9*LN(J309)+'CAFCO 400 '!$D$10)*U309)+('CAFCO 400 '!$D$11*LN(J309)+'CAFCO 400 '!$D$12))),0)+IF(AND(L309="Cafco 400",M309="Software Idiem",C309="C"),((('CAFCO 400 '!$L$7*(J309^3)+'CAFCO 400 '!$L$8*(J309^2)+'CAFCO 400 '!$L$9*J309+'CAFCO 400 '!$L$10)*U309^2)+(('CAFCO 400 '!$L$11*(J309^3)+'CAFCO 400 '!$L$12*(J309^2)+'CAFCO 400 '!$L$13*J309+'CAFCO 400 '!$L$14)*U309)+('CAFCO 400 '!$L$15*LN(J309)+'CAFCO 400 '!$L$16)),0)+IF(AND(L309="Cafco 400",M309="Software Idiem",C309="L"),((('CAFCO 400 '!$L$7*(J309^3)+'CAFCO 400 '!$L$8*(J309^2)+'CAFCO 400 '!$L$9*J309+'CAFCO 400 '!$L$10)*U309^2)+(('CAFCO 400 '!$L$11*(J309^3)+'CAFCO 400 '!$L$12*(J309^2)+'CAFCO 400 '!$L$13*J309+'CAFCO 400 '!$L$14)*U309)+('CAFCO 400 '!$L$15*LN(J309)+'CAFCO 400 '!$L$16)),0)+IF(AND(L309="Cafco 400",M309="Software Idiem",C309="IN",G309=3),((('CAFCO 400 '!$D$23*(J309^2)+'CAFCO 400 '!$D$24*(J309)+'CAFCO 400 '!$D$25)*U309^2)+(('CAFCO 400 '!$D$26*(J309^2)+'CAFCO 400 '!$D$27*J309+'CAFCO 400 '!$D$28)*U309)+('CAFCO 400 '!$D$29*(J309^2)+'CAFCO 400 '!$D$30*J309+'CAFCO 400 '!$D$31)),0),0)+IF(AND(L309="Cafco 300",J309&gt;=95,J309&lt;=240,C309="Cj",I309=90),VLOOKUP(T309,'CAFCO 300 IDIEM TABLAS'!$B$4:$D$23,2,FALSE),0)+IF(AND(L309="Cafco 300",J309&gt;=95,J309&lt;=240,C309="Cj",I309=120),VLOOKUP(T309,'CAFCO 300 IDIEM TABLAS'!$B$4:$D$23,3,FALSE),0)+IF(AND(L309="Cafco 300",J309&gt;=95,J309&lt;=400,G309=3,C309="IN",I309=90),VLOOKUP(T309,'CAFCO 300 IDIEM TABLAS'!$F$4:$H$35,2,FALSE),0)+IF(AND(L309="Cafco 300",J309&gt;=95,J309&lt;=400,G309=3,C309="IN",I309=120),VLOOKUP(T309,'CAFCO 300 IDIEM TABLAS'!$F$4:$H$35,3,FALSE),0)+IF(AND(L309="Cafco 300",J309&gt;=95,J309&lt;=450,G309=4,C309="IN",I309=90),VLOOKUP(T309,'CAFCO 300 IDIEM TABLAS'!$J$4:$L$40,2,FALSE),0)+IF(AND(L309="Cafco 300",J309&gt;=95,J309&lt;=450,G309=4,C309="IN",I309=120),VLOOKUP(T309,'CAFCO 300 IDIEM TABLAS'!$J$4:$L$40,3,FALSE),0)+IF(AND(M309="Ensayo Idiem",L309="Cafco 400",C309="IN",G309=4,I309=90),VLOOKUP(T309,'CAFCO 400 ENSAYO'!$B$7:$D$43,2,FALSE),0)+IF(AND(M309="Ensayo Idiem",L309="Cafco 400",C309="IN",G309=4,I309=120),VLOOKUP(T309,'CAFCO 400 ENSAYO'!$B$7:$D$43,3,FALSE),0)</f>
        <v>0</v>
      </c>
      <c r="O309" s="96">
        <f t="shared" si="33"/>
        <v>0</v>
      </c>
      <c r="P309" s="95" t="str">
        <f t="shared" si="34"/>
        <v>N/A</v>
      </c>
      <c r="Q309" s="95" t="str">
        <f t="shared" si="35"/>
        <v>N/A</v>
      </c>
      <c r="R309" s="95" t="str">
        <f t="shared" si="36"/>
        <v>NO CERT.</v>
      </c>
      <c r="S309" s="95" t="e">
        <f t="shared" si="31"/>
        <v>#N/A</v>
      </c>
      <c r="T309" s="119" t="e">
        <f>+IF(J309=LOOKUP(J309,'CAFCO 300 IDIEM TABLAS'!$J$4:$J$40),'CALCULO MORTERO'!J309,MROUND('CALCULO MORTERO'!J309,10))</f>
        <v>#N/A</v>
      </c>
      <c r="U309" s="118">
        <f t="shared" si="32"/>
        <v>0</v>
      </c>
      <c r="Y309" s="4"/>
      <c r="Z309" s="4"/>
      <c r="AA309" s="4"/>
    </row>
    <row r="310" spans="1:27" ht="15.6" customHeight="1" x14ac:dyDescent="0.25">
      <c r="A310" s="118">
        <f>+CUBICACION!D304</f>
        <v>0</v>
      </c>
      <c r="B310" s="819">
        <f>+CUBICACION!E304</f>
        <v>0</v>
      </c>
      <c r="C310" s="675">
        <f>+CUBICACION!F304</f>
        <v>0</v>
      </c>
      <c r="D310" s="118"/>
      <c r="E310" s="118"/>
      <c r="F310" s="820"/>
      <c r="G310" s="675">
        <f>+CUBICACION!J304</f>
        <v>0</v>
      </c>
      <c r="H310" s="118"/>
      <c r="I310" s="821">
        <f>+CUBICACION!L304</f>
        <v>0</v>
      </c>
      <c r="J310" s="64">
        <f>+CUBICACION!M304</f>
        <v>0</v>
      </c>
      <c r="K310" s="822" t="str">
        <f>+CUBICACION!N304</f>
        <v/>
      </c>
      <c r="L310" s="118">
        <f>+CUBICACION!O304</f>
        <v>0</v>
      </c>
      <c r="M310" s="823">
        <f>+CUBICACION!P304</f>
        <v>0</v>
      </c>
      <c r="N310" s="902">
        <f>ROUND(IF(AND(L310="Blaze Shield II",M310="Software Idiem",C310="IN",G310=4),((('BLAZE SHIELD II'!$D$4*('CALCULO MORTERO'!I310^2)+'BLAZE SHIELD II'!$D$5*'CALCULO MORTERO'!I310+'BLAZE SHIELD II'!$D$6)*LN(J310))+('BLAZE SHIELD II'!$D$7*('CALCULO MORTERO'!I310^2)+'BLAZE SHIELD II'!$D$8*'CALCULO MORTERO'!I310+'BLAZE SHIELD II'!$D$9)),0)+IF(AND(L310="Blaze Shield II",M310="Software Idiem",C310="Cj"),((('BLAZE SHIELD II'!$H$4*('CALCULO MORTERO'!I310^2)+'BLAZE SHIELD II'!$H$5*'CALCULO MORTERO'!I310+'BLAZE SHIELD II'!$H$6)*LN(J310))+('BLAZE SHIELD II'!$H$7*('CALCULO MORTERO'!I310^2)+'BLAZE SHIELD II'!$H$8*'CALCULO MORTERO'!I310+'BLAZE SHIELD II'!$H$9)),0)+IF(AND(L310="Blaze Shield II",M310="Software Idiem",C310="C"),((('BLAZE SHIELD II'!$L$4*('CALCULO MORTERO'!I310^2)+'BLAZE SHIELD II'!$L$5*'CALCULO MORTERO'!I310+'BLAZE SHIELD II'!$L$6)*LN(J310))+('BLAZE SHIELD II'!$L$7*('CALCULO MORTERO'!I310^2)+'BLAZE SHIELD II'!$L$8*'CALCULO MORTERO'!I310+'BLAZE SHIELD II'!$L$9)),0)+IF(AND(L310="Blaze Shield II",M310="Software Idiem",C310="L"),((('BLAZE SHIELD II'!$L$4*('CALCULO MORTERO'!I310^2)+'BLAZE SHIELD II'!$L$5*'CALCULO MORTERO'!I310+'BLAZE SHIELD II'!$L$6)*LN(J310))+('BLAZE SHIELD II'!$L$7*('CALCULO MORTERO'!I310^2)+'BLAZE SHIELD II'!$L$8*'CALCULO MORTERO'!I310+'BLAZE SHIELD II'!$L$9)),0)+IF(AND(L310="Blaze Shield II",M310="Software Idiem",C310="IN",G310=3),((('BLAZE SHIELD II'!$H$14*('CALCULO MORTERO'!I310^2)+'BLAZE SHIELD II'!$H$15*'CALCULO MORTERO'!I310+'BLAZE SHIELD II'!$H$16)*LN(J310))+('BLAZE SHIELD II'!$H$17*('CALCULO MORTERO'!I310^2)+'BLAZE SHIELD II'!$H$18*'CALCULO MORTERO'!I310+'BLAZE SHIELD II'!$H$19)),0),0)+ROUND(IF(AND(L310="Cafco 400",M310="Software Idiem",C310="IN",G310=4),((('CAFCO 400 '!$H$7*(J310^4)+'CAFCO 400 '!$H$8*(J310^3)+'CAFCO 400 '!$H$9*(J310^2)+'CAFCO 400 '!$H$10*J310+'CAFCO 400 '!$H$11)*U310^2)+(('CAFCO 400 '!$H$12*(J310^3)+'CAFCO 400 '!$H$13*(J310^2)+'CAFCO 400 '!$H$14*J310+'CAFCO 400 '!$H$15)*U310)+('CAFCO 400 '!$H$16*(J310^2)+'CAFCO 400 '!$H$17*J310+'CAFCO 400 '!$H$18)),0)+IF(AND(L310="Cafco 400",M310="Software Idiem",C310="Cj"),(((('CAFCO 400 '!$D$7*LN(J310)+'CAFCO 400 '!$D$8)*U310^2)+(('CAFCO 400 '!$D$9*LN(J310)+'CAFCO 400 '!$D$10)*U310)+('CAFCO 400 '!$D$11*LN(J310)+'CAFCO 400 '!$D$12))),0)+IF(AND(L310="Cafco 400",M310="Software Idiem",C310="C"),((('CAFCO 400 '!$L$7*(J310^3)+'CAFCO 400 '!$L$8*(J310^2)+'CAFCO 400 '!$L$9*J310+'CAFCO 400 '!$L$10)*U310^2)+(('CAFCO 400 '!$L$11*(J310^3)+'CAFCO 400 '!$L$12*(J310^2)+'CAFCO 400 '!$L$13*J310+'CAFCO 400 '!$L$14)*U310)+('CAFCO 400 '!$L$15*LN(J310)+'CAFCO 400 '!$L$16)),0)+IF(AND(L310="Cafco 400",M310="Software Idiem",C310="L"),((('CAFCO 400 '!$L$7*(J310^3)+'CAFCO 400 '!$L$8*(J310^2)+'CAFCO 400 '!$L$9*J310+'CAFCO 400 '!$L$10)*U310^2)+(('CAFCO 400 '!$L$11*(J310^3)+'CAFCO 400 '!$L$12*(J310^2)+'CAFCO 400 '!$L$13*J310+'CAFCO 400 '!$L$14)*U310)+('CAFCO 400 '!$L$15*LN(J310)+'CAFCO 400 '!$L$16)),0)+IF(AND(L310="Cafco 400",M310="Software Idiem",C310="IN",G310=3),((('CAFCO 400 '!$D$23*(J310^2)+'CAFCO 400 '!$D$24*(J310)+'CAFCO 400 '!$D$25)*U310^2)+(('CAFCO 400 '!$D$26*(J310^2)+'CAFCO 400 '!$D$27*J310+'CAFCO 400 '!$D$28)*U310)+('CAFCO 400 '!$D$29*(J310^2)+'CAFCO 400 '!$D$30*J310+'CAFCO 400 '!$D$31)),0),0)+IF(AND(L310="Cafco 300",J310&gt;=95,J310&lt;=240,C310="Cj",I310=90),VLOOKUP(T310,'CAFCO 300 IDIEM TABLAS'!$B$4:$D$23,2,FALSE),0)+IF(AND(L310="Cafco 300",J310&gt;=95,J310&lt;=240,C310="Cj",I310=120),VLOOKUP(T310,'CAFCO 300 IDIEM TABLAS'!$B$4:$D$23,3,FALSE),0)+IF(AND(L310="Cafco 300",J310&gt;=95,J310&lt;=400,G310=3,C310="IN",I310=90),VLOOKUP(T310,'CAFCO 300 IDIEM TABLAS'!$F$4:$H$35,2,FALSE),0)+IF(AND(L310="Cafco 300",J310&gt;=95,J310&lt;=400,G310=3,C310="IN",I310=120),VLOOKUP(T310,'CAFCO 300 IDIEM TABLAS'!$F$4:$H$35,3,FALSE),0)+IF(AND(L310="Cafco 300",J310&gt;=95,J310&lt;=450,G310=4,C310="IN",I310=90),VLOOKUP(T310,'CAFCO 300 IDIEM TABLAS'!$J$4:$L$40,2,FALSE),0)+IF(AND(L310="Cafco 300",J310&gt;=95,J310&lt;=450,G310=4,C310="IN",I310=120),VLOOKUP(T310,'CAFCO 300 IDIEM TABLAS'!$J$4:$L$40,3,FALSE),0)+IF(AND(M310="Ensayo Idiem",L310="Cafco 400",C310="IN",G310=4,I310=90),VLOOKUP(T310,'CAFCO 400 ENSAYO'!$B$7:$D$43,2,FALSE),0)+IF(AND(M310="Ensayo Idiem",L310="Cafco 400",C310="IN",G310=4,I310=120),VLOOKUP(T310,'CAFCO 400 ENSAYO'!$B$7:$D$43,3,FALSE),0)</f>
        <v>0</v>
      </c>
      <c r="O310" s="96">
        <f t="shared" si="33"/>
        <v>0</v>
      </c>
      <c r="P310" s="95" t="str">
        <f t="shared" si="34"/>
        <v>N/A</v>
      </c>
      <c r="Q310" s="95" t="str">
        <f t="shared" si="35"/>
        <v>N/A</v>
      </c>
      <c r="R310" s="95" t="str">
        <f t="shared" si="36"/>
        <v>NO CERT.</v>
      </c>
      <c r="S310" s="95" t="e">
        <f t="shared" si="31"/>
        <v>#N/A</v>
      </c>
      <c r="T310" s="119" t="e">
        <f>+IF(J310=LOOKUP(J310,'CAFCO 300 IDIEM TABLAS'!$J$4:$J$40),'CALCULO MORTERO'!J310,MROUND('CALCULO MORTERO'!J310,10))</f>
        <v>#N/A</v>
      </c>
      <c r="U310" s="118">
        <f t="shared" si="32"/>
        <v>0</v>
      </c>
      <c r="Y310" s="4"/>
      <c r="Z310" s="4"/>
      <c r="AA310" s="4"/>
    </row>
    <row r="311" spans="1:27" x14ac:dyDescent="0.25">
      <c r="A311" s="118">
        <f>+CUBICACION!D305</f>
        <v>0</v>
      </c>
      <c r="B311" s="819">
        <f>+CUBICACION!E305</f>
        <v>0</v>
      </c>
      <c r="C311" s="675">
        <f>+CUBICACION!F305</f>
        <v>0</v>
      </c>
      <c r="D311" s="118"/>
      <c r="E311" s="118"/>
      <c r="F311" s="820"/>
      <c r="G311" s="675">
        <f>+CUBICACION!J305</f>
        <v>0</v>
      </c>
      <c r="H311" s="118"/>
      <c r="I311" s="821">
        <f>+CUBICACION!L305</f>
        <v>0</v>
      </c>
      <c r="J311" s="64">
        <f>+CUBICACION!M305</f>
        <v>0</v>
      </c>
      <c r="K311" s="822" t="str">
        <f>+CUBICACION!N305</f>
        <v/>
      </c>
      <c r="L311" s="118">
        <f>+CUBICACION!O305</f>
        <v>0</v>
      </c>
      <c r="M311" s="823">
        <f>+CUBICACION!P305</f>
        <v>0</v>
      </c>
      <c r="N311" s="902">
        <f>ROUND(IF(AND(L311="Blaze Shield II",M311="Software Idiem",C311="IN",G311=4),((('BLAZE SHIELD II'!$D$4*('CALCULO MORTERO'!I311^2)+'BLAZE SHIELD II'!$D$5*'CALCULO MORTERO'!I311+'BLAZE SHIELD II'!$D$6)*LN(J311))+('BLAZE SHIELD II'!$D$7*('CALCULO MORTERO'!I311^2)+'BLAZE SHIELD II'!$D$8*'CALCULO MORTERO'!I311+'BLAZE SHIELD II'!$D$9)),0)+IF(AND(L311="Blaze Shield II",M311="Software Idiem",C311="Cj"),((('BLAZE SHIELD II'!$H$4*('CALCULO MORTERO'!I311^2)+'BLAZE SHIELD II'!$H$5*'CALCULO MORTERO'!I311+'BLAZE SHIELD II'!$H$6)*LN(J311))+('BLAZE SHIELD II'!$H$7*('CALCULO MORTERO'!I311^2)+'BLAZE SHIELD II'!$H$8*'CALCULO MORTERO'!I311+'BLAZE SHIELD II'!$H$9)),0)+IF(AND(L311="Blaze Shield II",M311="Software Idiem",C311="C"),((('BLAZE SHIELD II'!$L$4*('CALCULO MORTERO'!I311^2)+'BLAZE SHIELD II'!$L$5*'CALCULO MORTERO'!I311+'BLAZE SHIELD II'!$L$6)*LN(J311))+('BLAZE SHIELD II'!$L$7*('CALCULO MORTERO'!I311^2)+'BLAZE SHIELD II'!$L$8*'CALCULO MORTERO'!I311+'BLAZE SHIELD II'!$L$9)),0)+IF(AND(L311="Blaze Shield II",M311="Software Idiem",C311="L"),((('BLAZE SHIELD II'!$L$4*('CALCULO MORTERO'!I311^2)+'BLAZE SHIELD II'!$L$5*'CALCULO MORTERO'!I311+'BLAZE SHIELD II'!$L$6)*LN(J311))+('BLAZE SHIELD II'!$L$7*('CALCULO MORTERO'!I311^2)+'BLAZE SHIELD II'!$L$8*'CALCULO MORTERO'!I311+'BLAZE SHIELD II'!$L$9)),0)+IF(AND(L311="Blaze Shield II",M311="Software Idiem",C311="IN",G311=3),((('BLAZE SHIELD II'!$H$14*('CALCULO MORTERO'!I311^2)+'BLAZE SHIELD II'!$H$15*'CALCULO MORTERO'!I311+'BLAZE SHIELD II'!$H$16)*LN(J311))+('BLAZE SHIELD II'!$H$17*('CALCULO MORTERO'!I311^2)+'BLAZE SHIELD II'!$H$18*'CALCULO MORTERO'!I311+'BLAZE SHIELD II'!$H$19)),0),0)+ROUND(IF(AND(L311="Cafco 400",M311="Software Idiem",C311="IN",G311=4),((('CAFCO 400 '!$H$7*(J311^4)+'CAFCO 400 '!$H$8*(J311^3)+'CAFCO 400 '!$H$9*(J311^2)+'CAFCO 400 '!$H$10*J311+'CAFCO 400 '!$H$11)*U311^2)+(('CAFCO 400 '!$H$12*(J311^3)+'CAFCO 400 '!$H$13*(J311^2)+'CAFCO 400 '!$H$14*J311+'CAFCO 400 '!$H$15)*U311)+('CAFCO 400 '!$H$16*(J311^2)+'CAFCO 400 '!$H$17*J311+'CAFCO 400 '!$H$18)),0)+IF(AND(L311="Cafco 400",M311="Software Idiem",C311="Cj"),(((('CAFCO 400 '!$D$7*LN(J311)+'CAFCO 400 '!$D$8)*U311^2)+(('CAFCO 400 '!$D$9*LN(J311)+'CAFCO 400 '!$D$10)*U311)+('CAFCO 400 '!$D$11*LN(J311)+'CAFCO 400 '!$D$12))),0)+IF(AND(L311="Cafco 400",M311="Software Idiem",C311="C"),((('CAFCO 400 '!$L$7*(J311^3)+'CAFCO 400 '!$L$8*(J311^2)+'CAFCO 400 '!$L$9*J311+'CAFCO 400 '!$L$10)*U311^2)+(('CAFCO 400 '!$L$11*(J311^3)+'CAFCO 400 '!$L$12*(J311^2)+'CAFCO 400 '!$L$13*J311+'CAFCO 400 '!$L$14)*U311)+('CAFCO 400 '!$L$15*LN(J311)+'CAFCO 400 '!$L$16)),0)+IF(AND(L311="Cafco 400",M311="Software Idiem",C311="L"),((('CAFCO 400 '!$L$7*(J311^3)+'CAFCO 400 '!$L$8*(J311^2)+'CAFCO 400 '!$L$9*J311+'CAFCO 400 '!$L$10)*U311^2)+(('CAFCO 400 '!$L$11*(J311^3)+'CAFCO 400 '!$L$12*(J311^2)+'CAFCO 400 '!$L$13*J311+'CAFCO 400 '!$L$14)*U311)+('CAFCO 400 '!$L$15*LN(J311)+'CAFCO 400 '!$L$16)),0)+IF(AND(L311="Cafco 400",M311="Software Idiem",C311="IN",G311=3),((('CAFCO 400 '!$D$23*(J311^2)+'CAFCO 400 '!$D$24*(J311)+'CAFCO 400 '!$D$25)*U311^2)+(('CAFCO 400 '!$D$26*(J311^2)+'CAFCO 400 '!$D$27*J311+'CAFCO 400 '!$D$28)*U311)+('CAFCO 400 '!$D$29*(J311^2)+'CAFCO 400 '!$D$30*J311+'CAFCO 400 '!$D$31)),0),0)+IF(AND(L311="Cafco 300",J311&gt;=95,J311&lt;=240,C311="Cj",I311=90),VLOOKUP(T311,'CAFCO 300 IDIEM TABLAS'!$B$4:$D$23,2,FALSE),0)+IF(AND(L311="Cafco 300",J311&gt;=95,J311&lt;=240,C311="Cj",I311=120),VLOOKUP(T311,'CAFCO 300 IDIEM TABLAS'!$B$4:$D$23,3,FALSE),0)+IF(AND(L311="Cafco 300",J311&gt;=95,J311&lt;=400,G311=3,C311="IN",I311=90),VLOOKUP(T311,'CAFCO 300 IDIEM TABLAS'!$F$4:$H$35,2,FALSE),0)+IF(AND(L311="Cafco 300",J311&gt;=95,J311&lt;=400,G311=3,C311="IN",I311=120),VLOOKUP(T311,'CAFCO 300 IDIEM TABLAS'!$F$4:$H$35,3,FALSE),0)+IF(AND(L311="Cafco 300",J311&gt;=95,J311&lt;=450,G311=4,C311="IN",I311=90),VLOOKUP(T311,'CAFCO 300 IDIEM TABLAS'!$J$4:$L$40,2,FALSE),0)+IF(AND(L311="Cafco 300",J311&gt;=95,J311&lt;=450,G311=4,C311="IN",I311=120),VLOOKUP(T311,'CAFCO 300 IDIEM TABLAS'!$J$4:$L$40,3,FALSE),0)+IF(AND(M311="Ensayo Idiem",L311="Cafco 400",C311="IN",G311=4,I311=90),VLOOKUP(T311,'CAFCO 400 ENSAYO'!$B$7:$D$43,2,FALSE),0)+IF(AND(M311="Ensayo Idiem",L311="Cafco 400",C311="IN",G311=4,I311=120),VLOOKUP(T311,'CAFCO 400 ENSAYO'!$B$7:$D$43,3,FALSE),0)</f>
        <v>0</v>
      </c>
      <c r="O311" s="96">
        <f t="shared" si="33"/>
        <v>0</v>
      </c>
      <c r="P311" s="95" t="str">
        <f t="shared" si="34"/>
        <v>N/A</v>
      </c>
      <c r="Q311" s="95" t="str">
        <f t="shared" si="35"/>
        <v>N/A</v>
      </c>
      <c r="R311" s="95" t="str">
        <f t="shared" si="36"/>
        <v>NO CERT.</v>
      </c>
      <c r="S311" s="95" t="e">
        <f t="shared" si="31"/>
        <v>#N/A</v>
      </c>
      <c r="T311" s="119" t="e">
        <f>+IF(J311=LOOKUP(J311,'CAFCO 300 IDIEM TABLAS'!$J$4:$J$40),'CALCULO MORTERO'!J311,MROUND('CALCULO MORTERO'!J311,10))</f>
        <v>#N/A</v>
      </c>
      <c r="U311" s="118">
        <f t="shared" si="32"/>
        <v>0</v>
      </c>
      <c r="Y311" s="4"/>
      <c r="Z311" s="4"/>
      <c r="AA311" s="4"/>
    </row>
    <row r="312" spans="1:27" ht="15.6" customHeight="1" x14ac:dyDescent="0.25">
      <c r="A312" s="118">
        <f>+CUBICACION!D306</f>
        <v>0</v>
      </c>
      <c r="B312" s="819">
        <f>+CUBICACION!E306</f>
        <v>0</v>
      </c>
      <c r="C312" s="675">
        <f>+CUBICACION!F306</f>
        <v>0</v>
      </c>
      <c r="D312" s="118"/>
      <c r="E312" s="118"/>
      <c r="F312" s="820"/>
      <c r="G312" s="675">
        <f>+CUBICACION!J306</f>
        <v>0</v>
      </c>
      <c r="H312" s="118"/>
      <c r="I312" s="821">
        <f>+CUBICACION!L306</f>
        <v>0</v>
      </c>
      <c r="J312" s="64">
        <f>+CUBICACION!M306</f>
        <v>0</v>
      </c>
      <c r="K312" s="822" t="str">
        <f>+CUBICACION!N306</f>
        <v/>
      </c>
      <c r="L312" s="118">
        <f>+CUBICACION!O306</f>
        <v>0</v>
      </c>
      <c r="M312" s="823">
        <f>+CUBICACION!P306</f>
        <v>0</v>
      </c>
      <c r="N312" s="902">
        <f>ROUND(IF(AND(L312="Blaze Shield II",M312="Software Idiem",C312="IN",G312=4),((('BLAZE SHIELD II'!$D$4*('CALCULO MORTERO'!I312^2)+'BLAZE SHIELD II'!$D$5*'CALCULO MORTERO'!I312+'BLAZE SHIELD II'!$D$6)*LN(J312))+('BLAZE SHIELD II'!$D$7*('CALCULO MORTERO'!I312^2)+'BLAZE SHIELD II'!$D$8*'CALCULO MORTERO'!I312+'BLAZE SHIELD II'!$D$9)),0)+IF(AND(L312="Blaze Shield II",M312="Software Idiem",C312="Cj"),((('BLAZE SHIELD II'!$H$4*('CALCULO MORTERO'!I312^2)+'BLAZE SHIELD II'!$H$5*'CALCULO MORTERO'!I312+'BLAZE SHIELD II'!$H$6)*LN(J312))+('BLAZE SHIELD II'!$H$7*('CALCULO MORTERO'!I312^2)+'BLAZE SHIELD II'!$H$8*'CALCULO MORTERO'!I312+'BLAZE SHIELD II'!$H$9)),0)+IF(AND(L312="Blaze Shield II",M312="Software Idiem",C312="C"),((('BLAZE SHIELD II'!$L$4*('CALCULO MORTERO'!I312^2)+'BLAZE SHIELD II'!$L$5*'CALCULO MORTERO'!I312+'BLAZE SHIELD II'!$L$6)*LN(J312))+('BLAZE SHIELD II'!$L$7*('CALCULO MORTERO'!I312^2)+'BLAZE SHIELD II'!$L$8*'CALCULO MORTERO'!I312+'BLAZE SHIELD II'!$L$9)),0)+IF(AND(L312="Blaze Shield II",M312="Software Idiem",C312="L"),((('BLAZE SHIELD II'!$L$4*('CALCULO MORTERO'!I312^2)+'BLAZE SHIELD II'!$L$5*'CALCULO MORTERO'!I312+'BLAZE SHIELD II'!$L$6)*LN(J312))+('BLAZE SHIELD II'!$L$7*('CALCULO MORTERO'!I312^2)+'BLAZE SHIELD II'!$L$8*'CALCULO MORTERO'!I312+'BLAZE SHIELD II'!$L$9)),0)+IF(AND(L312="Blaze Shield II",M312="Software Idiem",C312="IN",G312=3),((('BLAZE SHIELD II'!$H$14*('CALCULO MORTERO'!I312^2)+'BLAZE SHIELD II'!$H$15*'CALCULO MORTERO'!I312+'BLAZE SHIELD II'!$H$16)*LN(J312))+('BLAZE SHIELD II'!$H$17*('CALCULO MORTERO'!I312^2)+'BLAZE SHIELD II'!$H$18*'CALCULO MORTERO'!I312+'BLAZE SHIELD II'!$H$19)),0),0)+ROUND(IF(AND(L312="Cafco 400",M312="Software Idiem",C312="IN",G312=4),((('CAFCO 400 '!$H$7*(J312^4)+'CAFCO 400 '!$H$8*(J312^3)+'CAFCO 400 '!$H$9*(J312^2)+'CAFCO 400 '!$H$10*J312+'CAFCO 400 '!$H$11)*U312^2)+(('CAFCO 400 '!$H$12*(J312^3)+'CAFCO 400 '!$H$13*(J312^2)+'CAFCO 400 '!$H$14*J312+'CAFCO 400 '!$H$15)*U312)+('CAFCO 400 '!$H$16*(J312^2)+'CAFCO 400 '!$H$17*J312+'CAFCO 400 '!$H$18)),0)+IF(AND(L312="Cafco 400",M312="Software Idiem",C312="Cj"),(((('CAFCO 400 '!$D$7*LN(J312)+'CAFCO 400 '!$D$8)*U312^2)+(('CAFCO 400 '!$D$9*LN(J312)+'CAFCO 400 '!$D$10)*U312)+('CAFCO 400 '!$D$11*LN(J312)+'CAFCO 400 '!$D$12))),0)+IF(AND(L312="Cafco 400",M312="Software Idiem",C312="C"),((('CAFCO 400 '!$L$7*(J312^3)+'CAFCO 400 '!$L$8*(J312^2)+'CAFCO 400 '!$L$9*J312+'CAFCO 400 '!$L$10)*U312^2)+(('CAFCO 400 '!$L$11*(J312^3)+'CAFCO 400 '!$L$12*(J312^2)+'CAFCO 400 '!$L$13*J312+'CAFCO 400 '!$L$14)*U312)+('CAFCO 400 '!$L$15*LN(J312)+'CAFCO 400 '!$L$16)),0)+IF(AND(L312="Cafco 400",M312="Software Idiem",C312="L"),((('CAFCO 400 '!$L$7*(J312^3)+'CAFCO 400 '!$L$8*(J312^2)+'CAFCO 400 '!$L$9*J312+'CAFCO 400 '!$L$10)*U312^2)+(('CAFCO 400 '!$L$11*(J312^3)+'CAFCO 400 '!$L$12*(J312^2)+'CAFCO 400 '!$L$13*J312+'CAFCO 400 '!$L$14)*U312)+('CAFCO 400 '!$L$15*LN(J312)+'CAFCO 400 '!$L$16)),0)+IF(AND(L312="Cafco 400",M312="Software Idiem",C312="IN",G312=3),((('CAFCO 400 '!$D$23*(J312^2)+'CAFCO 400 '!$D$24*(J312)+'CAFCO 400 '!$D$25)*U312^2)+(('CAFCO 400 '!$D$26*(J312^2)+'CAFCO 400 '!$D$27*J312+'CAFCO 400 '!$D$28)*U312)+('CAFCO 400 '!$D$29*(J312^2)+'CAFCO 400 '!$D$30*J312+'CAFCO 400 '!$D$31)),0),0)+IF(AND(L312="Cafco 300",J312&gt;=95,J312&lt;=240,C312="Cj",I312=90),VLOOKUP(T312,'CAFCO 300 IDIEM TABLAS'!$B$4:$D$23,2,FALSE),0)+IF(AND(L312="Cafco 300",J312&gt;=95,J312&lt;=240,C312="Cj",I312=120),VLOOKUP(T312,'CAFCO 300 IDIEM TABLAS'!$B$4:$D$23,3,FALSE),0)+IF(AND(L312="Cafco 300",J312&gt;=95,J312&lt;=400,G312=3,C312="IN",I312=90),VLOOKUP(T312,'CAFCO 300 IDIEM TABLAS'!$F$4:$H$35,2,FALSE),0)+IF(AND(L312="Cafco 300",J312&gt;=95,J312&lt;=400,G312=3,C312="IN",I312=120),VLOOKUP(T312,'CAFCO 300 IDIEM TABLAS'!$F$4:$H$35,3,FALSE),0)+IF(AND(L312="Cafco 300",J312&gt;=95,J312&lt;=450,G312=4,C312="IN",I312=90),VLOOKUP(T312,'CAFCO 300 IDIEM TABLAS'!$J$4:$L$40,2,FALSE),0)+IF(AND(L312="Cafco 300",J312&gt;=95,J312&lt;=450,G312=4,C312="IN",I312=120),VLOOKUP(T312,'CAFCO 300 IDIEM TABLAS'!$J$4:$L$40,3,FALSE),0)+IF(AND(M312="Ensayo Idiem",L312="Cafco 400",C312="IN",G312=4,I312=90),VLOOKUP(T312,'CAFCO 400 ENSAYO'!$B$7:$D$43,2,FALSE),0)+IF(AND(M312="Ensayo Idiem",L312="Cafco 400",C312="IN",G312=4,I312=120),VLOOKUP(T312,'CAFCO 400 ENSAYO'!$B$7:$D$43,3,FALSE),0)</f>
        <v>0</v>
      </c>
      <c r="O312" s="96">
        <f t="shared" si="33"/>
        <v>0</v>
      </c>
      <c r="P312" s="95" t="str">
        <f t="shared" si="34"/>
        <v>N/A</v>
      </c>
      <c r="Q312" s="95" t="str">
        <f t="shared" si="35"/>
        <v>N/A</v>
      </c>
      <c r="R312" s="95" t="str">
        <f t="shared" si="36"/>
        <v>NO CERT.</v>
      </c>
      <c r="S312" s="95" t="e">
        <f t="shared" si="31"/>
        <v>#N/A</v>
      </c>
      <c r="T312" s="119" t="e">
        <f>+IF(J312=LOOKUP(J312,'CAFCO 300 IDIEM TABLAS'!$J$4:$J$40),'CALCULO MORTERO'!J312,MROUND('CALCULO MORTERO'!J312,10))</f>
        <v>#N/A</v>
      </c>
      <c r="U312" s="118">
        <f t="shared" si="32"/>
        <v>0</v>
      </c>
      <c r="Y312" s="4"/>
      <c r="Z312" s="4"/>
      <c r="AA312" s="4"/>
    </row>
    <row r="313" spans="1:27" x14ac:dyDescent="0.25">
      <c r="A313" s="118">
        <f>+CUBICACION!D307</f>
        <v>0</v>
      </c>
      <c r="B313" s="819">
        <f>+CUBICACION!E307</f>
        <v>0</v>
      </c>
      <c r="C313" s="675">
        <f>+CUBICACION!F307</f>
        <v>0</v>
      </c>
      <c r="D313" s="118"/>
      <c r="E313" s="118"/>
      <c r="F313" s="820"/>
      <c r="G313" s="675">
        <f>+CUBICACION!J307</f>
        <v>0</v>
      </c>
      <c r="H313" s="118"/>
      <c r="I313" s="821">
        <f>+CUBICACION!L307</f>
        <v>0</v>
      </c>
      <c r="J313" s="64">
        <f>+CUBICACION!M307</f>
        <v>0</v>
      </c>
      <c r="K313" s="822" t="str">
        <f>+CUBICACION!N307</f>
        <v/>
      </c>
      <c r="L313" s="118">
        <f>+CUBICACION!O307</f>
        <v>0</v>
      </c>
      <c r="M313" s="823">
        <f>+CUBICACION!P307</f>
        <v>0</v>
      </c>
      <c r="N313" s="902">
        <f>ROUND(IF(AND(L313="Blaze Shield II",M313="Software Idiem",C313="IN",G313=4),((('BLAZE SHIELD II'!$D$4*('CALCULO MORTERO'!I313^2)+'BLAZE SHIELD II'!$D$5*'CALCULO MORTERO'!I313+'BLAZE SHIELD II'!$D$6)*LN(J313))+('BLAZE SHIELD II'!$D$7*('CALCULO MORTERO'!I313^2)+'BLAZE SHIELD II'!$D$8*'CALCULO MORTERO'!I313+'BLAZE SHIELD II'!$D$9)),0)+IF(AND(L313="Blaze Shield II",M313="Software Idiem",C313="Cj"),((('BLAZE SHIELD II'!$H$4*('CALCULO MORTERO'!I313^2)+'BLAZE SHIELD II'!$H$5*'CALCULO MORTERO'!I313+'BLAZE SHIELD II'!$H$6)*LN(J313))+('BLAZE SHIELD II'!$H$7*('CALCULO MORTERO'!I313^2)+'BLAZE SHIELD II'!$H$8*'CALCULO MORTERO'!I313+'BLAZE SHIELD II'!$H$9)),0)+IF(AND(L313="Blaze Shield II",M313="Software Idiem",C313="C"),((('BLAZE SHIELD II'!$L$4*('CALCULO MORTERO'!I313^2)+'BLAZE SHIELD II'!$L$5*'CALCULO MORTERO'!I313+'BLAZE SHIELD II'!$L$6)*LN(J313))+('BLAZE SHIELD II'!$L$7*('CALCULO MORTERO'!I313^2)+'BLAZE SHIELD II'!$L$8*'CALCULO MORTERO'!I313+'BLAZE SHIELD II'!$L$9)),0)+IF(AND(L313="Blaze Shield II",M313="Software Idiem",C313="L"),((('BLAZE SHIELD II'!$L$4*('CALCULO MORTERO'!I313^2)+'BLAZE SHIELD II'!$L$5*'CALCULO MORTERO'!I313+'BLAZE SHIELD II'!$L$6)*LN(J313))+('BLAZE SHIELD II'!$L$7*('CALCULO MORTERO'!I313^2)+'BLAZE SHIELD II'!$L$8*'CALCULO MORTERO'!I313+'BLAZE SHIELD II'!$L$9)),0)+IF(AND(L313="Blaze Shield II",M313="Software Idiem",C313="IN",G313=3),((('BLAZE SHIELD II'!$H$14*('CALCULO MORTERO'!I313^2)+'BLAZE SHIELD II'!$H$15*'CALCULO MORTERO'!I313+'BLAZE SHIELD II'!$H$16)*LN(J313))+('BLAZE SHIELD II'!$H$17*('CALCULO MORTERO'!I313^2)+'BLAZE SHIELD II'!$H$18*'CALCULO MORTERO'!I313+'BLAZE SHIELD II'!$H$19)),0),0)+ROUND(IF(AND(L313="Cafco 400",M313="Software Idiem",C313="IN",G313=4),((('CAFCO 400 '!$H$7*(J313^4)+'CAFCO 400 '!$H$8*(J313^3)+'CAFCO 400 '!$H$9*(J313^2)+'CAFCO 400 '!$H$10*J313+'CAFCO 400 '!$H$11)*U313^2)+(('CAFCO 400 '!$H$12*(J313^3)+'CAFCO 400 '!$H$13*(J313^2)+'CAFCO 400 '!$H$14*J313+'CAFCO 400 '!$H$15)*U313)+('CAFCO 400 '!$H$16*(J313^2)+'CAFCO 400 '!$H$17*J313+'CAFCO 400 '!$H$18)),0)+IF(AND(L313="Cafco 400",M313="Software Idiem",C313="Cj"),(((('CAFCO 400 '!$D$7*LN(J313)+'CAFCO 400 '!$D$8)*U313^2)+(('CAFCO 400 '!$D$9*LN(J313)+'CAFCO 400 '!$D$10)*U313)+('CAFCO 400 '!$D$11*LN(J313)+'CAFCO 400 '!$D$12))),0)+IF(AND(L313="Cafco 400",M313="Software Idiem",C313="C"),((('CAFCO 400 '!$L$7*(J313^3)+'CAFCO 400 '!$L$8*(J313^2)+'CAFCO 400 '!$L$9*J313+'CAFCO 400 '!$L$10)*U313^2)+(('CAFCO 400 '!$L$11*(J313^3)+'CAFCO 400 '!$L$12*(J313^2)+'CAFCO 400 '!$L$13*J313+'CAFCO 400 '!$L$14)*U313)+('CAFCO 400 '!$L$15*LN(J313)+'CAFCO 400 '!$L$16)),0)+IF(AND(L313="Cafco 400",M313="Software Idiem",C313="L"),((('CAFCO 400 '!$L$7*(J313^3)+'CAFCO 400 '!$L$8*(J313^2)+'CAFCO 400 '!$L$9*J313+'CAFCO 400 '!$L$10)*U313^2)+(('CAFCO 400 '!$L$11*(J313^3)+'CAFCO 400 '!$L$12*(J313^2)+'CAFCO 400 '!$L$13*J313+'CAFCO 400 '!$L$14)*U313)+('CAFCO 400 '!$L$15*LN(J313)+'CAFCO 400 '!$L$16)),0)+IF(AND(L313="Cafco 400",M313="Software Idiem",C313="IN",G313=3),((('CAFCO 400 '!$D$23*(J313^2)+'CAFCO 400 '!$D$24*(J313)+'CAFCO 400 '!$D$25)*U313^2)+(('CAFCO 400 '!$D$26*(J313^2)+'CAFCO 400 '!$D$27*J313+'CAFCO 400 '!$D$28)*U313)+('CAFCO 400 '!$D$29*(J313^2)+'CAFCO 400 '!$D$30*J313+'CAFCO 400 '!$D$31)),0),0)+IF(AND(L313="Cafco 300",J313&gt;=95,J313&lt;=240,C313="Cj",I313=90),VLOOKUP(T313,'CAFCO 300 IDIEM TABLAS'!$B$4:$D$23,2,FALSE),0)+IF(AND(L313="Cafco 300",J313&gt;=95,J313&lt;=240,C313="Cj",I313=120),VLOOKUP(T313,'CAFCO 300 IDIEM TABLAS'!$B$4:$D$23,3,FALSE),0)+IF(AND(L313="Cafco 300",J313&gt;=95,J313&lt;=400,G313=3,C313="IN",I313=90),VLOOKUP(T313,'CAFCO 300 IDIEM TABLAS'!$F$4:$H$35,2,FALSE),0)+IF(AND(L313="Cafco 300",J313&gt;=95,J313&lt;=400,G313=3,C313="IN",I313=120),VLOOKUP(T313,'CAFCO 300 IDIEM TABLAS'!$F$4:$H$35,3,FALSE),0)+IF(AND(L313="Cafco 300",J313&gt;=95,J313&lt;=450,G313=4,C313="IN",I313=90),VLOOKUP(T313,'CAFCO 300 IDIEM TABLAS'!$J$4:$L$40,2,FALSE),0)+IF(AND(L313="Cafco 300",J313&gt;=95,J313&lt;=450,G313=4,C313="IN",I313=120),VLOOKUP(T313,'CAFCO 300 IDIEM TABLAS'!$J$4:$L$40,3,FALSE),0)+IF(AND(M313="Ensayo Idiem",L313="Cafco 400",C313="IN",G313=4,I313=90),VLOOKUP(T313,'CAFCO 400 ENSAYO'!$B$7:$D$43,2,FALSE),0)+IF(AND(M313="Ensayo Idiem",L313="Cafco 400",C313="IN",G313=4,I313=120),VLOOKUP(T313,'CAFCO 400 ENSAYO'!$B$7:$D$43,3,FALSE),0)</f>
        <v>0</v>
      </c>
      <c r="O313" s="96">
        <f t="shared" si="33"/>
        <v>0</v>
      </c>
      <c r="P313" s="95" t="str">
        <f t="shared" si="34"/>
        <v>N/A</v>
      </c>
      <c r="Q313" s="95" t="str">
        <f t="shared" si="35"/>
        <v>N/A</v>
      </c>
      <c r="R313" s="95" t="str">
        <f t="shared" si="36"/>
        <v>NO CERT.</v>
      </c>
      <c r="S313" s="95" t="e">
        <f t="shared" si="31"/>
        <v>#N/A</v>
      </c>
      <c r="T313" s="119" t="e">
        <f>+IF(J313=LOOKUP(J313,'CAFCO 300 IDIEM TABLAS'!$J$4:$J$40),'CALCULO MORTERO'!J313,MROUND('CALCULO MORTERO'!J313,10))</f>
        <v>#N/A</v>
      </c>
      <c r="U313" s="118">
        <f t="shared" si="32"/>
        <v>0</v>
      </c>
      <c r="Y313" s="4"/>
      <c r="Z313" s="4"/>
      <c r="AA313" s="4"/>
    </row>
    <row r="314" spans="1:27" ht="15.6" customHeight="1" x14ac:dyDescent="0.25">
      <c r="A314" s="118">
        <f>+CUBICACION!D308</f>
        <v>0</v>
      </c>
      <c r="B314" s="819">
        <f>+CUBICACION!E308</f>
        <v>0</v>
      </c>
      <c r="C314" s="675">
        <f>+CUBICACION!F308</f>
        <v>0</v>
      </c>
      <c r="D314" s="118"/>
      <c r="E314" s="118"/>
      <c r="F314" s="820"/>
      <c r="G314" s="675">
        <f>+CUBICACION!J308</f>
        <v>0</v>
      </c>
      <c r="H314" s="118"/>
      <c r="I314" s="821">
        <f>+CUBICACION!L308</f>
        <v>0</v>
      </c>
      <c r="J314" s="64">
        <f>+CUBICACION!M308</f>
        <v>0</v>
      </c>
      <c r="K314" s="822" t="str">
        <f>+CUBICACION!N308</f>
        <v/>
      </c>
      <c r="L314" s="118">
        <f>+CUBICACION!O308</f>
        <v>0</v>
      </c>
      <c r="M314" s="823">
        <f>+CUBICACION!P308</f>
        <v>0</v>
      </c>
      <c r="N314" s="902">
        <f>ROUND(IF(AND(L314="Blaze Shield II",M314="Software Idiem",C314="IN",G314=4),((('BLAZE SHIELD II'!$D$4*('CALCULO MORTERO'!I314^2)+'BLAZE SHIELD II'!$D$5*'CALCULO MORTERO'!I314+'BLAZE SHIELD II'!$D$6)*LN(J314))+('BLAZE SHIELD II'!$D$7*('CALCULO MORTERO'!I314^2)+'BLAZE SHIELD II'!$D$8*'CALCULO MORTERO'!I314+'BLAZE SHIELD II'!$D$9)),0)+IF(AND(L314="Blaze Shield II",M314="Software Idiem",C314="Cj"),((('BLAZE SHIELD II'!$H$4*('CALCULO MORTERO'!I314^2)+'BLAZE SHIELD II'!$H$5*'CALCULO MORTERO'!I314+'BLAZE SHIELD II'!$H$6)*LN(J314))+('BLAZE SHIELD II'!$H$7*('CALCULO MORTERO'!I314^2)+'BLAZE SHIELD II'!$H$8*'CALCULO MORTERO'!I314+'BLAZE SHIELD II'!$H$9)),0)+IF(AND(L314="Blaze Shield II",M314="Software Idiem",C314="C"),((('BLAZE SHIELD II'!$L$4*('CALCULO MORTERO'!I314^2)+'BLAZE SHIELD II'!$L$5*'CALCULO MORTERO'!I314+'BLAZE SHIELD II'!$L$6)*LN(J314))+('BLAZE SHIELD II'!$L$7*('CALCULO MORTERO'!I314^2)+'BLAZE SHIELD II'!$L$8*'CALCULO MORTERO'!I314+'BLAZE SHIELD II'!$L$9)),0)+IF(AND(L314="Blaze Shield II",M314="Software Idiem",C314="L"),((('BLAZE SHIELD II'!$L$4*('CALCULO MORTERO'!I314^2)+'BLAZE SHIELD II'!$L$5*'CALCULO MORTERO'!I314+'BLAZE SHIELD II'!$L$6)*LN(J314))+('BLAZE SHIELD II'!$L$7*('CALCULO MORTERO'!I314^2)+'BLAZE SHIELD II'!$L$8*'CALCULO MORTERO'!I314+'BLAZE SHIELD II'!$L$9)),0)+IF(AND(L314="Blaze Shield II",M314="Software Idiem",C314="IN",G314=3),((('BLAZE SHIELD II'!$H$14*('CALCULO MORTERO'!I314^2)+'BLAZE SHIELD II'!$H$15*'CALCULO MORTERO'!I314+'BLAZE SHIELD II'!$H$16)*LN(J314))+('BLAZE SHIELD II'!$H$17*('CALCULO MORTERO'!I314^2)+'BLAZE SHIELD II'!$H$18*'CALCULO MORTERO'!I314+'BLAZE SHIELD II'!$H$19)),0),0)+ROUND(IF(AND(L314="Cafco 400",M314="Software Idiem",C314="IN",G314=4),((('CAFCO 400 '!$H$7*(J314^4)+'CAFCO 400 '!$H$8*(J314^3)+'CAFCO 400 '!$H$9*(J314^2)+'CAFCO 400 '!$H$10*J314+'CAFCO 400 '!$H$11)*U314^2)+(('CAFCO 400 '!$H$12*(J314^3)+'CAFCO 400 '!$H$13*(J314^2)+'CAFCO 400 '!$H$14*J314+'CAFCO 400 '!$H$15)*U314)+('CAFCO 400 '!$H$16*(J314^2)+'CAFCO 400 '!$H$17*J314+'CAFCO 400 '!$H$18)),0)+IF(AND(L314="Cafco 400",M314="Software Idiem",C314="Cj"),(((('CAFCO 400 '!$D$7*LN(J314)+'CAFCO 400 '!$D$8)*U314^2)+(('CAFCO 400 '!$D$9*LN(J314)+'CAFCO 400 '!$D$10)*U314)+('CAFCO 400 '!$D$11*LN(J314)+'CAFCO 400 '!$D$12))),0)+IF(AND(L314="Cafco 400",M314="Software Idiem",C314="C"),((('CAFCO 400 '!$L$7*(J314^3)+'CAFCO 400 '!$L$8*(J314^2)+'CAFCO 400 '!$L$9*J314+'CAFCO 400 '!$L$10)*U314^2)+(('CAFCO 400 '!$L$11*(J314^3)+'CAFCO 400 '!$L$12*(J314^2)+'CAFCO 400 '!$L$13*J314+'CAFCO 400 '!$L$14)*U314)+('CAFCO 400 '!$L$15*LN(J314)+'CAFCO 400 '!$L$16)),0)+IF(AND(L314="Cafco 400",M314="Software Idiem",C314="L"),((('CAFCO 400 '!$L$7*(J314^3)+'CAFCO 400 '!$L$8*(J314^2)+'CAFCO 400 '!$L$9*J314+'CAFCO 400 '!$L$10)*U314^2)+(('CAFCO 400 '!$L$11*(J314^3)+'CAFCO 400 '!$L$12*(J314^2)+'CAFCO 400 '!$L$13*J314+'CAFCO 400 '!$L$14)*U314)+('CAFCO 400 '!$L$15*LN(J314)+'CAFCO 400 '!$L$16)),0)+IF(AND(L314="Cafco 400",M314="Software Idiem",C314="IN",G314=3),((('CAFCO 400 '!$D$23*(J314^2)+'CAFCO 400 '!$D$24*(J314)+'CAFCO 400 '!$D$25)*U314^2)+(('CAFCO 400 '!$D$26*(J314^2)+'CAFCO 400 '!$D$27*J314+'CAFCO 400 '!$D$28)*U314)+('CAFCO 400 '!$D$29*(J314^2)+'CAFCO 400 '!$D$30*J314+'CAFCO 400 '!$D$31)),0),0)+IF(AND(L314="Cafco 300",J314&gt;=95,J314&lt;=240,C314="Cj",I314=90),VLOOKUP(T314,'CAFCO 300 IDIEM TABLAS'!$B$4:$D$23,2,FALSE),0)+IF(AND(L314="Cafco 300",J314&gt;=95,J314&lt;=240,C314="Cj",I314=120),VLOOKUP(T314,'CAFCO 300 IDIEM TABLAS'!$B$4:$D$23,3,FALSE),0)+IF(AND(L314="Cafco 300",J314&gt;=95,J314&lt;=400,G314=3,C314="IN",I314=90),VLOOKUP(T314,'CAFCO 300 IDIEM TABLAS'!$F$4:$H$35,2,FALSE),0)+IF(AND(L314="Cafco 300",J314&gt;=95,J314&lt;=400,G314=3,C314="IN",I314=120),VLOOKUP(T314,'CAFCO 300 IDIEM TABLAS'!$F$4:$H$35,3,FALSE),0)+IF(AND(L314="Cafco 300",J314&gt;=95,J314&lt;=450,G314=4,C314="IN",I314=90),VLOOKUP(T314,'CAFCO 300 IDIEM TABLAS'!$J$4:$L$40,2,FALSE),0)+IF(AND(L314="Cafco 300",J314&gt;=95,J314&lt;=450,G314=4,C314="IN",I314=120),VLOOKUP(T314,'CAFCO 300 IDIEM TABLAS'!$J$4:$L$40,3,FALSE),0)+IF(AND(M314="Ensayo Idiem",L314="Cafco 400",C314="IN",G314=4,I314=90),VLOOKUP(T314,'CAFCO 400 ENSAYO'!$B$7:$D$43,2,FALSE),0)+IF(AND(M314="Ensayo Idiem",L314="Cafco 400",C314="IN",G314=4,I314=120),VLOOKUP(T314,'CAFCO 400 ENSAYO'!$B$7:$D$43,3,FALSE),0)</f>
        <v>0</v>
      </c>
      <c r="O314" s="96">
        <f t="shared" si="33"/>
        <v>0</v>
      </c>
      <c r="P314" s="95" t="str">
        <f t="shared" si="34"/>
        <v>N/A</v>
      </c>
      <c r="Q314" s="95" t="str">
        <f t="shared" si="35"/>
        <v>N/A</v>
      </c>
      <c r="R314" s="95" t="str">
        <f t="shared" si="36"/>
        <v>NO CERT.</v>
      </c>
      <c r="S314" s="95" t="e">
        <f t="shared" si="31"/>
        <v>#N/A</v>
      </c>
      <c r="T314" s="119" t="e">
        <f>+IF(J314=LOOKUP(J314,'CAFCO 300 IDIEM TABLAS'!$J$4:$J$40),'CALCULO MORTERO'!J314,MROUND('CALCULO MORTERO'!J314,10))</f>
        <v>#N/A</v>
      </c>
      <c r="U314" s="118">
        <f t="shared" si="32"/>
        <v>0</v>
      </c>
      <c r="Y314" s="4"/>
      <c r="Z314" s="4"/>
      <c r="AA314" s="4"/>
    </row>
    <row r="315" spans="1:27" x14ac:dyDescent="0.25">
      <c r="A315" s="118">
        <f>+CUBICACION!D309</f>
        <v>0</v>
      </c>
      <c r="B315" s="819">
        <f>+CUBICACION!E309</f>
        <v>0</v>
      </c>
      <c r="C315" s="675">
        <f>+CUBICACION!F309</f>
        <v>0</v>
      </c>
      <c r="D315" s="118"/>
      <c r="E315" s="118"/>
      <c r="F315" s="820"/>
      <c r="G315" s="675">
        <f>+CUBICACION!J309</f>
        <v>0</v>
      </c>
      <c r="H315" s="118"/>
      <c r="I315" s="821">
        <f>+CUBICACION!L309</f>
        <v>0</v>
      </c>
      <c r="J315" s="64">
        <f>+CUBICACION!M309</f>
        <v>0</v>
      </c>
      <c r="K315" s="822" t="str">
        <f>+CUBICACION!N309</f>
        <v/>
      </c>
      <c r="L315" s="118">
        <f>+CUBICACION!O309</f>
        <v>0</v>
      </c>
      <c r="M315" s="823">
        <f>+CUBICACION!P309</f>
        <v>0</v>
      </c>
      <c r="N315" s="902">
        <f>ROUND(IF(AND(L315="Blaze Shield II",M315="Software Idiem",C315="IN",G315=4),((('BLAZE SHIELD II'!$D$4*('CALCULO MORTERO'!I315^2)+'BLAZE SHIELD II'!$D$5*'CALCULO MORTERO'!I315+'BLAZE SHIELD II'!$D$6)*LN(J315))+('BLAZE SHIELD II'!$D$7*('CALCULO MORTERO'!I315^2)+'BLAZE SHIELD II'!$D$8*'CALCULO MORTERO'!I315+'BLAZE SHIELD II'!$D$9)),0)+IF(AND(L315="Blaze Shield II",M315="Software Idiem",C315="Cj"),((('BLAZE SHIELD II'!$H$4*('CALCULO MORTERO'!I315^2)+'BLAZE SHIELD II'!$H$5*'CALCULO MORTERO'!I315+'BLAZE SHIELD II'!$H$6)*LN(J315))+('BLAZE SHIELD II'!$H$7*('CALCULO MORTERO'!I315^2)+'BLAZE SHIELD II'!$H$8*'CALCULO MORTERO'!I315+'BLAZE SHIELD II'!$H$9)),0)+IF(AND(L315="Blaze Shield II",M315="Software Idiem",C315="C"),((('BLAZE SHIELD II'!$L$4*('CALCULO MORTERO'!I315^2)+'BLAZE SHIELD II'!$L$5*'CALCULO MORTERO'!I315+'BLAZE SHIELD II'!$L$6)*LN(J315))+('BLAZE SHIELD II'!$L$7*('CALCULO MORTERO'!I315^2)+'BLAZE SHIELD II'!$L$8*'CALCULO MORTERO'!I315+'BLAZE SHIELD II'!$L$9)),0)+IF(AND(L315="Blaze Shield II",M315="Software Idiem",C315="L"),((('BLAZE SHIELD II'!$L$4*('CALCULO MORTERO'!I315^2)+'BLAZE SHIELD II'!$L$5*'CALCULO MORTERO'!I315+'BLAZE SHIELD II'!$L$6)*LN(J315))+('BLAZE SHIELD II'!$L$7*('CALCULO MORTERO'!I315^2)+'BLAZE SHIELD II'!$L$8*'CALCULO MORTERO'!I315+'BLAZE SHIELD II'!$L$9)),0)+IF(AND(L315="Blaze Shield II",M315="Software Idiem",C315="IN",G315=3),((('BLAZE SHIELD II'!$H$14*('CALCULO MORTERO'!I315^2)+'BLAZE SHIELD II'!$H$15*'CALCULO MORTERO'!I315+'BLAZE SHIELD II'!$H$16)*LN(J315))+('BLAZE SHIELD II'!$H$17*('CALCULO MORTERO'!I315^2)+'BLAZE SHIELD II'!$H$18*'CALCULO MORTERO'!I315+'BLAZE SHIELD II'!$H$19)),0),0)+ROUND(IF(AND(L315="Cafco 400",M315="Software Idiem",C315="IN",G315=4),((('CAFCO 400 '!$H$7*(J315^4)+'CAFCO 400 '!$H$8*(J315^3)+'CAFCO 400 '!$H$9*(J315^2)+'CAFCO 400 '!$H$10*J315+'CAFCO 400 '!$H$11)*U315^2)+(('CAFCO 400 '!$H$12*(J315^3)+'CAFCO 400 '!$H$13*(J315^2)+'CAFCO 400 '!$H$14*J315+'CAFCO 400 '!$H$15)*U315)+('CAFCO 400 '!$H$16*(J315^2)+'CAFCO 400 '!$H$17*J315+'CAFCO 400 '!$H$18)),0)+IF(AND(L315="Cafco 400",M315="Software Idiem",C315="Cj"),(((('CAFCO 400 '!$D$7*LN(J315)+'CAFCO 400 '!$D$8)*U315^2)+(('CAFCO 400 '!$D$9*LN(J315)+'CAFCO 400 '!$D$10)*U315)+('CAFCO 400 '!$D$11*LN(J315)+'CAFCO 400 '!$D$12))),0)+IF(AND(L315="Cafco 400",M315="Software Idiem",C315="C"),((('CAFCO 400 '!$L$7*(J315^3)+'CAFCO 400 '!$L$8*(J315^2)+'CAFCO 400 '!$L$9*J315+'CAFCO 400 '!$L$10)*U315^2)+(('CAFCO 400 '!$L$11*(J315^3)+'CAFCO 400 '!$L$12*(J315^2)+'CAFCO 400 '!$L$13*J315+'CAFCO 400 '!$L$14)*U315)+('CAFCO 400 '!$L$15*LN(J315)+'CAFCO 400 '!$L$16)),0)+IF(AND(L315="Cafco 400",M315="Software Idiem",C315="L"),((('CAFCO 400 '!$L$7*(J315^3)+'CAFCO 400 '!$L$8*(J315^2)+'CAFCO 400 '!$L$9*J315+'CAFCO 400 '!$L$10)*U315^2)+(('CAFCO 400 '!$L$11*(J315^3)+'CAFCO 400 '!$L$12*(J315^2)+'CAFCO 400 '!$L$13*J315+'CAFCO 400 '!$L$14)*U315)+('CAFCO 400 '!$L$15*LN(J315)+'CAFCO 400 '!$L$16)),0)+IF(AND(L315="Cafco 400",M315="Software Idiem",C315="IN",G315=3),((('CAFCO 400 '!$D$23*(J315^2)+'CAFCO 400 '!$D$24*(J315)+'CAFCO 400 '!$D$25)*U315^2)+(('CAFCO 400 '!$D$26*(J315^2)+'CAFCO 400 '!$D$27*J315+'CAFCO 400 '!$D$28)*U315)+('CAFCO 400 '!$D$29*(J315^2)+'CAFCO 400 '!$D$30*J315+'CAFCO 400 '!$D$31)),0),0)+IF(AND(L315="Cafco 300",J315&gt;=95,J315&lt;=240,C315="Cj",I315=90),VLOOKUP(T315,'CAFCO 300 IDIEM TABLAS'!$B$4:$D$23,2,FALSE),0)+IF(AND(L315="Cafco 300",J315&gt;=95,J315&lt;=240,C315="Cj",I315=120),VLOOKUP(T315,'CAFCO 300 IDIEM TABLAS'!$B$4:$D$23,3,FALSE),0)+IF(AND(L315="Cafco 300",J315&gt;=95,J315&lt;=400,G315=3,C315="IN",I315=90),VLOOKUP(T315,'CAFCO 300 IDIEM TABLAS'!$F$4:$H$35,2,FALSE),0)+IF(AND(L315="Cafco 300",J315&gt;=95,J315&lt;=400,G315=3,C315="IN",I315=120),VLOOKUP(T315,'CAFCO 300 IDIEM TABLAS'!$F$4:$H$35,3,FALSE),0)+IF(AND(L315="Cafco 300",J315&gt;=95,J315&lt;=450,G315=4,C315="IN",I315=90),VLOOKUP(T315,'CAFCO 300 IDIEM TABLAS'!$J$4:$L$40,2,FALSE),0)+IF(AND(L315="Cafco 300",J315&gt;=95,J315&lt;=450,G315=4,C315="IN",I315=120),VLOOKUP(T315,'CAFCO 300 IDIEM TABLAS'!$J$4:$L$40,3,FALSE),0)+IF(AND(M315="Ensayo Idiem",L315="Cafco 400",C315="IN",G315=4,I315=90),VLOOKUP(T315,'CAFCO 400 ENSAYO'!$B$7:$D$43,2,FALSE),0)+IF(AND(M315="Ensayo Idiem",L315="Cafco 400",C315="IN",G315=4,I315=120),VLOOKUP(T315,'CAFCO 400 ENSAYO'!$B$7:$D$43,3,FALSE),0)</f>
        <v>0</v>
      </c>
      <c r="O315" s="96">
        <f t="shared" si="33"/>
        <v>0</v>
      </c>
      <c r="P315" s="95" t="str">
        <f t="shared" si="34"/>
        <v>N/A</v>
      </c>
      <c r="Q315" s="95" t="str">
        <f t="shared" si="35"/>
        <v>N/A</v>
      </c>
      <c r="R315" s="95" t="str">
        <f t="shared" si="36"/>
        <v>NO CERT.</v>
      </c>
      <c r="S315" s="95" t="e">
        <f t="shared" si="31"/>
        <v>#N/A</v>
      </c>
      <c r="T315" s="119" t="e">
        <f>+IF(J315=LOOKUP(J315,'CAFCO 300 IDIEM TABLAS'!$J$4:$J$40),'CALCULO MORTERO'!J315,MROUND('CALCULO MORTERO'!J315,10))</f>
        <v>#N/A</v>
      </c>
      <c r="U315" s="118">
        <f t="shared" si="32"/>
        <v>0</v>
      </c>
      <c r="Y315" s="4"/>
      <c r="Z315" s="4"/>
      <c r="AA315" s="4"/>
    </row>
    <row r="316" spans="1:27" ht="15.6" customHeight="1" x14ac:dyDescent="0.25">
      <c r="A316" s="118">
        <f>+CUBICACION!D310</f>
        <v>0</v>
      </c>
      <c r="B316" s="819">
        <f>+CUBICACION!E310</f>
        <v>0</v>
      </c>
      <c r="C316" s="675">
        <f>+CUBICACION!F310</f>
        <v>0</v>
      </c>
      <c r="D316" s="118"/>
      <c r="E316" s="118"/>
      <c r="F316" s="820"/>
      <c r="G316" s="675">
        <f>+CUBICACION!J310</f>
        <v>0</v>
      </c>
      <c r="H316" s="118"/>
      <c r="I316" s="821">
        <f>+CUBICACION!L310</f>
        <v>0</v>
      </c>
      <c r="J316" s="64">
        <f>+CUBICACION!M310</f>
        <v>0</v>
      </c>
      <c r="K316" s="822" t="str">
        <f>+CUBICACION!N310</f>
        <v/>
      </c>
      <c r="L316" s="118">
        <f>+CUBICACION!O310</f>
        <v>0</v>
      </c>
      <c r="M316" s="823">
        <f>+CUBICACION!P310</f>
        <v>0</v>
      </c>
      <c r="N316" s="902">
        <f>ROUND(IF(AND(L316="Blaze Shield II",M316="Software Idiem",C316="IN",G316=4),((('BLAZE SHIELD II'!$D$4*('CALCULO MORTERO'!I316^2)+'BLAZE SHIELD II'!$D$5*'CALCULO MORTERO'!I316+'BLAZE SHIELD II'!$D$6)*LN(J316))+('BLAZE SHIELD II'!$D$7*('CALCULO MORTERO'!I316^2)+'BLAZE SHIELD II'!$D$8*'CALCULO MORTERO'!I316+'BLAZE SHIELD II'!$D$9)),0)+IF(AND(L316="Blaze Shield II",M316="Software Idiem",C316="Cj"),((('BLAZE SHIELD II'!$H$4*('CALCULO MORTERO'!I316^2)+'BLAZE SHIELD II'!$H$5*'CALCULO MORTERO'!I316+'BLAZE SHIELD II'!$H$6)*LN(J316))+('BLAZE SHIELD II'!$H$7*('CALCULO MORTERO'!I316^2)+'BLAZE SHIELD II'!$H$8*'CALCULO MORTERO'!I316+'BLAZE SHIELD II'!$H$9)),0)+IF(AND(L316="Blaze Shield II",M316="Software Idiem",C316="C"),((('BLAZE SHIELD II'!$L$4*('CALCULO MORTERO'!I316^2)+'BLAZE SHIELD II'!$L$5*'CALCULO MORTERO'!I316+'BLAZE SHIELD II'!$L$6)*LN(J316))+('BLAZE SHIELD II'!$L$7*('CALCULO MORTERO'!I316^2)+'BLAZE SHIELD II'!$L$8*'CALCULO MORTERO'!I316+'BLAZE SHIELD II'!$L$9)),0)+IF(AND(L316="Blaze Shield II",M316="Software Idiem",C316="L"),((('BLAZE SHIELD II'!$L$4*('CALCULO MORTERO'!I316^2)+'BLAZE SHIELD II'!$L$5*'CALCULO MORTERO'!I316+'BLAZE SHIELD II'!$L$6)*LN(J316))+('BLAZE SHIELD II'!$L$7*('CALCULO MORTERO'!I316^2)+'BLAZE SHIELD II'!$L$8*'CALCULO MORTERO'!I316+'BLAZE SHIELD II'!$L$9)),0)+IF(AND(L316="Blaze Shield II",M316="Software Idiem",C316="IN",G316=3),((('BLAZE SHIELD II'!$H$14*('CALCULO MORTERO'!I316^2)+'BLAZE SHIELD II'!$H$15*'CALCULO MORTERO'!I316+'BLAZE SHIELD II'!$H$16)*LN(J316))+('BLAZE SHIELD II'!$H$17*('CALCULO MORTERO'!I316^2)+'BLAZE SHIELD II'!$H$18*'CALCULO MORTERO'!I316+'BLAZE SHIELD II'!$H$19)),0),0)+ROUND(IF(AND(L316="Cafco 400",M316="Software Idiem",C316="IN",G316=4),((('CAFCO 400 '!$H$7*(J316^4)+'CAFCO 400 '!$H$8*(J316^3)+'CAFCO 400 '!$H$9*(J316^2)+'CAFCO 400 '!$H$10*J316+'CAFCO 400 '!$H$11)*U316^2)+(('CAFCO 400 '!$H$12*(J316^3)+'CAFCO 400 '!$H$13*(J316^2)+'CAFCO 400 '!$H$14*J316+'CAFCO 400 '!$H$15)*U316)+('CAFCO 400 '!$H$16*(J316^2)+'CAFCO 400 '!$H$17*J316+'CAFCO 400 '!$H$18)),0)+IF(AND(L316="Cafco 400",M316="Software Idiem",C316="Cj"),(((('CAFCO 400 '!$D$7*LN(J316)+'CAFCO 400 '!$D$8)*U316^2)+(('CAFCO 400 '!$D$9*LN(J316)+'CAFCO 400 '!$D$10)*U316)+('CAFCO 400 '!$D$11*LN(J316)+'CAFCO 400 '!$D$12))),0)+IF(AND(L316="Cafco 400",M316="Software Idiem",C316="C"),((('CAFCO 400 '!$L$7*(J316^3)+'CAFCO 400 '!$L$8*(J316^2)+'CAFCO 400 '!$L$9*J316+'CAFCO 400 '!$L$10)*U316^2)+(('CAFCO 400 '!$L$11*(J316^3)+'CAFCO 400 '!$L$12*(J316^2)+'CAFCO 400 '!$L$13*J316+'CAFCO 400 '!$L$14)*U316)+('CAFCO 400 '!$L$15*LN(J316)+'CAFCO 400 '!$L$16)),0)+IF(AND(L316="Cafco 400",M316="Software Idiem",C316="L"),((('CAFCO 400 '!$L$7*(J316^3)+'CAFCO 400 '!$L$8*(J316^2)+'CAFCO 400 '!$L$9*J316+'CAFCO 400 '!$L$10)*U316^2)+(('CAFCO 400 '!$L$11*(J316^3)+'CAFCO 400 '!$L$12*(J316^2)+'CAFCO 400 '!$L$13*J316+'CAFCO 400 '!$L$14)*U316)+('CAFCO 400 '!$L$15*LN(J316)+'CAFCO 400 '!$L$16)),0)+IF(AND(L316="Cafco 400",M316="Software Idiem",C316="IN",G316=3),((('CAFCO 400 '!$D$23*(J316^2)+'CAFCO 400 '!$D$24*(J316)+'CAFCO 400 '!$D$25)*U316^2)+(('CAFCO 400 '!$D$26*(J316^2)+'CAFCO 400 '!$D$27*J316+'CAFCO 400 '!$D$28)*U316)+('CAFCO 400 '!$D$29*(J316^2)+'CAFCO 400 '!$D$30*J316+'CAFCO 400 '!$D$31)),0),0)+IF(AND(L316="Cafco 300",J316&gt;=95,J316&lt;=240,C316="Cj",I316=90),VLOOKUP(T316,'CAFCO 300 IDIEM TABLAS'!$B$4:$D$23,2,FALSE),0)+IF(AND(L316="Cafco 300",J316&gt;=95,J316&lt;=240,C316="Cj",I316=120),VLOOKUP(T316,'CAFCO 300 IDIEM TABLAS'!$B$4:$D$23,3,FALSE),0)+IF(AND(L316="Cafco 300",J316&gt;=95,J316&lt;=400,G316=3,C316="IN",I316=90),VLOOKUP(T316,'CAFCO 300 IDIEM TABLAS'!$F$4:$H$35,2,FALSE),0)+IF(AND(L316="Cafco 300",J316&gt;=95,J316&lt;=400,G316=3,C316="IN",I316=120),VLOOKUP(T316,'CAFCO 300 IDIEM TABLAS'!$F$4:$H$35,3,FALSE),0)+IF(AND(L316="Cafco 300",J316&gt;=95,J316&lt;=450,G316=4,C316="IN",I316=90),VLOOKUP(T316,'CAFCO 300 IDIEM TABLAS'!$J$4:$L$40,2,FALSE),0)+IF(AND(L316="Cafco 300",J316&gt;=95,J316&lt;=450,G316=4,C316="IN",I316=120),VLOOKUP(T316,'CAFCO 300 IDIEM TABLAS'!$J$4:$L$40,3,FALSE),0)+IF(AND(M316="Ensayo Idiem",L316="Cafco 400",C316="IN",G316=4,I316=90),VLOOKUP(T316,'CAFCO 400 ENSAYO'!$B$7:$D$43,2,FALSE),0)+IF(AND(M316="Ensayo Idiem",L316="Cafco 400",C316="IN",G316=4,I316=120),VLOOKUP(T316,'CAFCO 400 ENSAYO'!$B$7:$D$43,3,FALSE),0)</f>
        <v>0</v>
      </c>
      <c r="O316" s="96">
        <f t="shared" si="33"/>
        <v>0</v>
      </c>
      <c r="P316" s="95" t="str">
        <f t="shared" si="34"/>
        <v>N/A</v>
      </c>
      <c r="Q316" s="95" t="str">
        <f t="shared" si="35"/>
        <v>N/A</v>
      </c>
      <c r="R316" s="95" t="str">
        <f t="shared" si="36"/>
        <v>NO CERT.</v>
      </c>
      <c r="S316" s="95" t="e">
        <f t="shared" si="31"/>
        <v>#N/A</v>
      </c>
      <c r="T316" s="119" t="e">
        <f>+IF(J316=LOOKUP(J316,'CAFCO 300 IDIEM TABLAS'!$J$4:$J$40),'CALCULO MORTERO'!J316,MROUND('CALCULO MORTERO'!J316,10))</f>
        <v>#N/A</v>
      </c>
      <c r="U316" s="118">
        <f t="shared" si="32"/>
        <v>0</v>
      </c>
      <c r="Y316" s="4"/>
      <c r="Z316" s="4"/>
      <c r="AA316" s="4"/>
    </row>
    <row r="317" spans="1:27" x14ac:dyDescent="0.25">
      <c r="A317" s="118">
        <f>+CUBICACION!D311</f>
        <v>0</v>
      </c>
      <c r="B317" s="819">
        <f>+CUBICACION!E311</f>
        <v>0</v>
      </c>
      <c r="C317" s="675">
        <f>+CUBICACION!F311</f>
        <v>0</v>
      </c>
      <c r="D317" s="118"/>
      <c r="E317" s="118"/>
      <c r="F317" s="820"/>
      <c r="G317" s="675">
        <f>+CUBICACION!J311</f>
        <v>0</v>
      </c>
      <c r="H317" s="118"/>
      <c r="I317" s="821">
        <f>+CUBICACION!L311</f>
        <v>0</v>
      </c>
      <c r="J317" s="64">
        <f>+CUBICACION!M311</f>
        <v>0</v>
      </c>
      <c r="K317" s="822" t="str">
        <f>+CUBICACION!N311</f>
        <v/>
      </c>
      <c r="L317" s="118">
        <f>+CUBICACION!O311</f>
        <v>0</v>
      </c>
      <c r="M317" s="823">
        <f>+CUBICACION!P311</f>
        <v>0</v>
      </c>
      <c r="N317" s="902">
        <f>ROUND(IF(AND(L317="Blaze Shield II",M317="Software Idiem",C317="IN",G317=4),((('BLAZE SHIELD II'!$D$4*('CALCULO MORTERO'!I317^2)+'BLAZE SHIELD II'!$D$5*'CALCULO MORTERO'!I317+'BLAZE SHIELD II'!$D$6)*LN(J317))+('BLAZE SHIELD II'!$D$7*('CALCULO MORTERO'!I317^2)+'BLAZE SHIELD II'!$D$8*'CALCULO MORTERO'!I317+'BLAZE SHIELD II'!$D$9)),0)+IF(AND(L317="Blaze Shield II",M317="Software Idiem",C317="Cj"),((('BLAZE SHIELD II'!$H$4*('CALCULO MORTERO'!I317^2)+'BLAZE SHIELD II'!$H$5*'CALCULO MORTERO'!I317+'BLAZE SHIELD II'!$H$6)*LN(J317))+('BLAZE SHIELD II'!$H$7*('CALCULO MORTERO'!I317^2)+'BLAZE SHIELD II'!$H$8*'CALCULO MORTERO'!I317+'BLAZE SHIELD II'!$H$9)),0)+IF(AND(L317="Blaze Shield II",M317="Software Idiem",C317="C"),((('BLAZE SHIELD II'!$L$4*('CALCULO MORTERO'!I317^2)+'BLAZE SHIELD II'!$L$5*'CALCULO MORTERO'!I317+'BLAZE SHIELD II'!$L$6)*LN(J317))+('BLAZE SHIELD II'!$L$7*('CALCULO MORTERO'!I317^2)+'BLAZE SHIELD II'!$L$8*'CALCULO MORTERO'!I317+'BLAZE SHIELD II'!$L$9)),0)+IF(AND(L317="Blaze Shield II",M317="Software Idiem",C317="L"),((('BLAZE SHIELD II'!$L$4*('CALCULO MORTERO'!I317^2)+'BLAZE SHIELD II'!$L$5*'CALCULO MORTERO'!I317+'BLAZE SHIELD II'!$L$6)*LN(J317))+('BLAZE SHIELD II'!$L$7*('CALCULO MORTERO'!I317^2)+'BLAZE SHIELD II'!$L$8*'CALCULO MORTERO'!I317+'BLAZE SHIELD II'!$L$9)),0)+IF(AND(L317="Blaze Shield II",M317="Software Idiem",C317="IN",G317=3),((('BLAZE SHIELD II'!$H$14*('CALCULO MORTERO'!I317^2)+'BLAZE SHIELD II'!$H$15*'CALCULO MORTERO'!I317+'BLAZE SHIELD II'!$H$16)*LN(J317))+('BLAZE SHIELD II'!$H$17*('CALCULO MORTERO'!I317^2)+'BLAZE SHIELD II'!$H$18*'CALCULO MORTERO'!I317+'BLAZE SHIELD II'!$H$19)),0),0)+ROUND(IF(AND(L317="Cafco 400",M317="Software Idiem",C317="IN",G317=4),((('CAFCO 400 '!$H$7*(J317^4)+'CAFCO 400 '!$H$8*(J317^3)+'CAFCO 400 '!$H$9*(J317^2)+'CAFCO 400 '!$H$10*J317+'CAFCO 400 '!$H$11)*U317^2)+(('CAFCO 400 '!$H$12*(J317^3)+'CAFCO 400 '!$H$13*(J317^2)+'CAFCO 400 '!$H$14*J317+'CAFCO 400 '!$H$15)*U317)+('CAFCO 400 '!$H$16*(J317^2)+'CAFCO 400 '!$H$17*J317+'CAFCO 400 '!$H$18)),0)+IF(AND(L317="Cafco 400",M317="Software Idiem",C317="Cj"),(((('CAFCO 400 '!$D$7*LN(J317)+'CAFCO 400 '!$D$8)*U317^2)+(('CAFCO 400 '!$D$9*LN(J317)+'CAFCO 400 '!$D$10)*U317)+('CAFCO 400 '!$D$11*LN(J317)+'CAFCO 400 '!$D$12))),0)+IF(AND(L317="Cafco 400",M317="Software Idiem",C317="C"),((('CAFCO 400 '!$L$7*(J317^3)+'CAFCO 400 '!$L$8*(J317^2)+'CAFCO 400 '!$L$9*J317+'CAFCO 400 '!$L$10)*U317^2)+(('CAFCO 400 '!$L$11*(J317^3)+'CAFCO 400 '!$L$12*(J317^2)+'CAFCO 400 '!$L$13*J317+'CAFCO 400 '!$L$14)*U317)+('CAFCO 400 '!$L$15*LN(J317)+'CAFCO 400 '!$L$16)),0)+IF(AND(L317="Cafco 400",M317="Software Idiem",C317="L"),((('CAFCO 400 '!$L$7*(J317^3)+'CAFCO 400 '!$L$8*(J317^2)+'CAFCO 400 '!$L$9*J317+'CAFCO 400 '!$L$10)*U317^2)+(('CAFCO 400 '!$L$11*(J317^3)+'CAFCO 400 '!$L$12*(J317^2)+'CAFCO 400 '!$L$13*J317+'CAFCO 400 '!$L$14)*U317)+('CAFCO 400 '!$L$15*LN(J317)+'CAFCO 400 '!$L$16)),0)+IF(AND(L317="Cafco 400",M317="Software Idiem",C317="IN",G317=3),((('CAFCO 400 '!$D$23*(J317^2)+'CAFCO 400 '!$D$24*(J317)+'CAFCO 400 '!$D$25)*U317^2)+(('CAFCO 400 '!$D$26*(J317^2)+'CAFCO 400 '!$D$27*J317+'CAFCO 400 '!$D$28)*U317)+('CAFCO 400 '!$D$29*(J317^2)+'CAFCO 400 '!$D$30*J317+'CAFCO 400 '!$D$31)),0),0)+IF(AND(L317="Cafco 300",J317&gt;=95,J317&lt;=240,C317="Cj",I317=90),VLOOKUP(T317,'CAFCO 300 IDIEM TABLAS'!$B$4:$D$23,2,FALSE),0)+IF(AND(L317="Cafco 300",J317&gt;=95,J317&lt;=240,C317="Cj",I317=120),VLOOKUP(T317,'CAFCO 300 IDIEM TABLAS'!$B$4:$D$23,3,FALSE),0)+IF(AND(L317="Cafco 300",J317&gt;=95,J317&lt;=400,G317=3,C317="IN",I317=90),VLOOKUP(T317,'CAFCO 300 IDIEM TABLAS'!$F$4:$H$35,2,FALSE),0)+IF(AND(L317="Cafco 300",J317&gt;=95,J317&lt;=400,G317=3,C317="IN",I317=120),VLOOKUP(T317,'CAFCO 300 IDIEM TABLAS'!$F$4:$H$35,3,FALSE),0)+IF(AND(L317="Cafco 300",J317&gt;=95,J317&lt;=450,G317=4,C317="IN",I317=90),VLOOKUP(T317,'CAFCO 300 IDIEM TABLAS'!$J$4:$L$40,2,FALSE),0)+IF(AND(L317="Cafco 300",J317&gt;=95,J317&lt;=450,G317=4,C317="IN",I317=120),VLOOKUP(T317,'CAFCO 300 IDIEM TABLAS'!$J$4:$L$40,3,FALSE),0)+IF(AND(M317="Ensayo Idiem",L317="Cafco 400",C317="IN",G317=4,I317=90),VLOOKUP(T317,'CAFCO 400 ENSAYO'!$B$7:$D$43,2,FALSE),0)+IF(AND(M317="Ensayo Idiem",L317="Cafco 400",C317="IN",G317=4,I317=120),VLOOKUP(T317,'CAFCO 400 ENSAYO'!$B$7:$D$43,3,FALSE),0)</f>
        <v>0</v>
      </c>
      <c r="O317" s="96">
        <f t="shared" si="33"/>
        <v>0</v>
      </c>
      <c r="P317" s="95" t="str">
        <f t="shared" si="34"/>
        <v>N/A</v>
      </c>
      <c r="Q317" s="95" t="str">
        <f t="shared" si="35"/>
        <v>N/A</v>
      </c>
      <c r="R317" s="95" t="str">
        <f t="shared" si="36"/>
        <v>NO CERT.</v>
      </c>
      <c r="S317" s="95" t="e">
        <f t="shared" si="31"/>
        <v>#N/A</v>
      </c>
      <c r="T317" s="119" t="e">
        <f>+IF(J317=LOOKUP(J317,'CAFCO 300 IDIEM TABLAS'!$J$4:$J$40),'CALCULO MORTERO'!J317,MROUND('CALCULO MORTERO'!J317,10))</f>
        <v>#N/A</v>
      </c>
      <c r="U317" s="118">
        <f t="shared" si="32"/>
        <v>0</v>
      </c>
      <c r="Y317" s="4"/>
      <c r="Z317" s="4"/>
      <c r="AA317" s="4"/>
    </row>
    <row r="318" spans="1:27" ht="15.6" customHeight="1" x14ac:dyDescent="0.25">
      <c r="A318" s="118">
        <f>+CUBICACION!D312</f>
        <v>0</v>
      </c>
      <c r="B318" s="819">
        <f>+CUBICACION!E312</f>
        <v>0</v>
      </c>
      <c r="C318" s="675">
        <f>+CUBICACION!F312</f>
        <v>0</v>
      </c>
      <c r="D318" s="118"/>
      <c r="E318" s="118"/>
      <c r="F318" s="820"/>
      <c r="G318" s="675">
        <f>+CUBICACION!J312</f>
        <v>0</v>
      </c>
      <c r="H318" s="118"/>
      <c r="I318" s="821">
        <f>+CUBICACION!L312</f>
        <v>0</v>
      </c>
      <c r="J318" s="64">
        <f>+CUBICACION!M312</f>
        <v>0</v>
      </c>
      <c r="K318" s="822" t="str">
        <f>+CUBICACION!N312</f>
        <v/>
      </c>
      <c r="L318" s="118">
        <f>+CUBICACION!O312</f>
        <v>0</v>
      </c>
      <c r="M318" s="823">
        <f>+CUBICACION!P312</f>
        <v>0</v>
      </c>
      <c r="N318" s="902">
        <f>ROUND(IF(AND(L318="Blaze Shield II",M318="Software Idiem",C318="IN",G318=4),((('BLAZE SHIELD II'!$D$4*('CALCULO MORTERO'!I318^2)+'BLAZE SHIELD II'!$D$5*'CALCULO MORTERO'!I318+'BLAZE SHIELD II'!$D$6)*LN(J318))+('BLAZE SHIELD II'!$D$7*('CALCULO MORTERO'!I318^2)+'BLAZE SHIELD II'!$D$8*'CALCULO MORTERO'!I318+'BLAZE SHIELD II'!$D$9)),0)+IF(AND(L318="Blaze Shield II",M318="Software Idiem",C318="Cj"),((('BLAZE SHIELD II'!$H$4*('CALCULO MORTERO'!I318^2)+'BLAZE SHIELD II'!$H$5*'CALCULO MORTERO'!I318+'BLAZE SHIELD II'!$H$6)*LN(J318))+('BLAZE SHIELD II'!$H$7*('CALCULO MORTERO'!I318^2)+'BLAZE SHIELD II'!$H$8*'CALCULO MORTERO'!I318+'BLAZE SHIELD II'!$H$9)),0)+IF(AND(L318="Blaze Shield II",M318="Software Idiem",C318="C"),((('BLAZE SHIELD II'!$L$4*('CALCULO MORTERO'!I318^2)+'BLAZE SHIELD II'!$L$5*'CALCULO MORTERO'!I318+'BLAZE SHIELD II'!$L$6)*LN(J318))+('BLAZE SHIELD II'!$L$7*('CALCULO MORTERO'!I318^2)+'BLAZE SHIELD II'!$L$8*'CALCULO MORTERO'!I318+'BLAZE SHIELD II'!$L$9)),0)+IF(AND(L318="Blaze Shield II",M318="Software Idiem",C318="L"),((('BLAZE SHIELD II'!$L$4*('CALCULO MORTERO'!I318^2)+'BLAZE SHIELD II'!$L$5*'CALCULO MORTERO'!I318+'BLAZE SHIELD II'!$L$6)*LN(J318))+('BLAZE SHIELD II'!$L$7*('CALCULO MORTERO'!I318^2)+'BLAZE SHIELD II'!$L$8*'CALCULO MORTERO'!I318+'BLAZE SHIELD II'!$L$9)),0)+IF(AND(L318="Blaze Shield II",M318="Software Idiem",C318="IN",G318=3),((('BLAZE SHIELD II'!$H$14*('CALCULO MORTERO'!I318^2)+'BLAZE SHIELD II'!$H$15*'CALCULO MORTERO'!I318+'BLAZE SHIELD II'!$H$16)*LN(J318))+('BLAZE SHIELD II'!$H$17*('CALCULO MORTERO'!I318^2)+'BLAZE SHIELD II'!$H$18*'CALCULO MORTERO'!I318+'BLAZE SHIELD II'!$H$19)),0),0)+ROUND(IF(AND(L318="Cafco 400",M318="Software Idiem",C318="IN",G318=4),((('CAFCO 400 '!$H$7*(J318^4)+'CAFCO 400 '!$H$8*(J318^3)+'CAFCO 400 '!$H$9*(J318^2)+'CAFCO 400 '!$H$10*J318+'CAFCO 400 '!$H$11)*U318^2)+(('CAFCO 400 '!$H$12*(J318^3)+'CAFCO 400 '!$H$13*(J318^2)+'CAFCO 400 '!$H$14*J318+'CAFCO 400 '!$H$15)*U318)+('CAFCO 400 '!$H$16*(J318^2)+'CAFCO 400 '!$H$17*J318+'CAFCO 400 '!$H$18)),0)+IF(AND(L318="Cafco 400",M318="Software Idiem",C318="Cj"),(((('CAFCO 400 '!$D$7*LN(J318)+'CAFCO 400 '!$D$8)*U318^2)+(('CAFCO 400 '!$D$9*LN(J318)+'CAFCO 400 '!$D$10)*U318)+('CAFCO 400 '!$D$11*LN(J318)+'CAFCO 400 '!$D$12))),0)+IF(AND(L318="Cafco 400",M318="Software Idiem",C318="C"),((('CAFCO 400 '!$L$7*(J318^3)+'CAFCO 400 '!$L$8*(J318^2)+'CAFCO 400 '!$L$9*J318+'CAFCO 400 '!$L$10)*U318^2)+(('CAFCO 400 '!$L$11*(J318^3)+'CAFCO 400 '!$L$12*(J318^2)+'CAFCO 400 '!$L$13*J318+'CAFCO 400 '!$L$14)*U318)+('CAFCO 400 '!$L$15*LN(J318)+'CAFCO 400 '!$L$16)),0)+IF(AND(L318="Cafco 400",M318="Software Idiem",C318="L"),((('CAFCO 400 '!$L$7*(J318^3)+'CAFCO 400 '!$L$8*(J318^2)+'CAFCO 400 '!$L$9*J318+'CAFCO 400 '!$L$10)*U318^2)+(('CAFCO 400 '!$L$11*(J318^3)+'CAFCO 400 '!$L$12*(J318^2)+'CAFCO 400 '!$L$13*J318+'CAFCO 400 '!$L$14)*U318)+('CAFCO 400 '!$L$15*LN(J318)+'CAFCO 400 '!$L$16)),0)+IF(AND(L318="Cafco 400",M318="Software Idiem",C318="IN",G318=3),((('CAFCO 400 '!$D$23*(J318^2)+'CAFCO 400 '!$D$24*(J318)+'CAFCO 400 '!$D$25)*U318^2)+(('CAFCO 400 '!$D$26*(J318^2)+'CAFCO 400 '!$D$27*J318+'CAFCO 400 '!$D$28)*U318)+('CAFCO 400 '!$D$29*(J318^2)+'CAFCO 400 '!$D$30*J318+'CAFCO 400 '!$D$31)),0),0)+IF(AND(L318="Cafco 300",J318&gt;=95,J318&lt;=240,C318="Cj",I318=90),VLOOKUP(T318,'CAFCO 300 IDIEM TABLAS'!$B$4:$D$23,2,FALSE),0)+IF(AND(L318="Cafco 300",J318&gt;=95,J318&lt;=240,C318="Cj",I318=120),VLOOKUP(T318,'CAFCO 300 IDIEM TABLAS'!$B$4:$D$23,3,FALSE),0)+IF(AND(L318="Cafco 300",J318&gt;=95,J318&lt;=400,G318=3,C318="IN",I318=90),VLOOKUP(T318,'CAFCO 300 IDIEM TABLAS'!$F$4:$H$35,2,FALSE),0)+IF(AND(L318="Cafco 300",J318&gt;=95,J318&lt;=400,G318=3,C318="IN",I318=120),VLOOKUP(T318,'CAFCO 300 IDIEM TABLAS'!$F$4:$H$35,3,FALSE),0)+IF(AND(L318="Cafco 300",J318&gt;=95,J318&lt;=450,G318=4,C318="IN",I318=90),VLOOKUP(T318,'CAFCO 300 IDIEM TABLAS'!$J$4:$L$40,2,FALSE),0)+IF(AND(L318="Cafco 300",J318&gt;=95,J318&lt;=450,G318=4,C318="IN",I318=120),VLOOKUP(T318,'CAFCO 300 IDIEM TABLAS'!$J$4:$L$40,3,FALSE),0)+IF(AND(M318="Ensayo Idiem",L318="Cafco 400",C318="IN",G318=4,I318=90),VLOOKUP(T318,'CAFCO 400 ENSAYO'!$B$7:$D$43,2,FALSE),0)+IF(AND(M318="Ensayo Idiem",L318="Cafco 400",C318="IN",G318=4,I318=120),VLOOKUP(T318,'CAFCO 400 ENSAYO'!$B$7:$D$43,3,FALSE),0)</f>
        <v>0</v>
      </c>
      <c r="O318" s="96">
        <f t="shared" si="33"/>
        <v>0</v>
      </c>
      <c r="P318" s="95" t="str">
        <f t="shared" si="34"/>
        <v>N/A</v>
      </c>
      <c r="Q318" s="95" t="str">
        <f t="shared" si="35"/>
        <v>N/A</v>
      </c>
      <c r="R318" s="95" t="str">
        <f t="shared" si="36"/>
        <v>NO CERT.</v>
      </c>
      <c r="S318" s="95" t="e">
        <f t="shared" si="31"/>
        <v>#N/A</v>
      </c>
      <c r="T318" s="119" t="e">
        <f>+IF(J318=LOOKUP(J318,'CAFCO 300 IDIEM TABLAS'!$J$4:$J$40),'CALCULO MORTERO'!J318,MROUND('CALCULO MORTERO'!J318,10))</f>
        <v>#N/A</v>
      </c>
      <c r="U318" s="118">
        <f t="shared" si="32"/>
        <v>0</v>
      </c>
      <c r="Y318" s="4"/>
      <c r="Z318" s="4"/>
      <c r="AA318" s="4"/>
    </row>
    <row r="319" spans="1:27" x14ac:dyDescent="0.25">
      <c r="A319" s="118">
        <f>+CUBICACION!D313</f>
        <v>0</v>
      </c>
      <c r="B319" s="819">
        <f>+CUBICACION!E313</f>
        <v>0</v>
      </c>
      <c r="C319" s="675">
        <f>+CUBICACION!F313</f>
        <v>0</v>
      </c>
      <c r="D319" s="118"/>
      <c r="E319" s="118"/>
      <c r="F319" s="820"/>
      <c r="G319" s="675">
        <f>+CUBICACION!J313</f>
        <v>0</v>
      </c>
      <c r="H319" s="118"/>
      <c r="I319" s="821">
        <f>+CUBICACION!L313</f>
        <v>0</v>
      </c>
      <c r="J319" s="64">
        <f>+CUBICACION!M313</f>
        <v>0</v>
      </c>
      <c r="K319" s="822" t="str">
        <f>+CUBICACION!N313</f>
        <v/>
      </c>
      <c r="L319" s="118">
        <f>+CUBICACION!O313</f>
        <v>0</v>
      </c>
      <c r="M319" s="823">
        <f>+CUBICACION!P313</f>
        <v>0</v>
      </c>
      <c r="N319" s="902">
        <f>ROUND(IF(AND(L319="Blaze Shield II",M319="Software Idiem",C319="IN",G319=4),((('BLAZE SHIELD II'!$D$4*('CALCULO MORTERO'!I319^2)+'BLAZE SHIELD II'!$D$5*'CALCULO MORTERO'!I319+'BLAZE SHIELD II'!$D$6)*LN(J319))+('BLAZE SHIELD II'!$D$7*('CALCULO MORTERO'!I319^2)+'BLAZE SHIELD II'!$D$8*'CALCULO MORTERO'!I319+'BLAZE SHIELD II'!$D$9)),0)+IF(AND(L319="Blaze Shield II",M319="Software Idiem",C319="Cj"),((('BLAZE SHIELD II'!$H$4*('CALCULO MORTERO'!I319^2)+'BLAZE SHIELD II'!$H$5*'CALCULO MORTERO'!I319+'BLAZE SHIELD II'!$H$6)*LN(J319))+('BLAZE SHIELD II'!$H$7*('CALCULO MORTERO'!I319^2)+'BLAZE SHIELD II'!$H$8*'CALCULO MORTERO'!I319+'BLAZE SHIELD II'!$H$9)),0)+IF(AND(L319="Blaze Shield II",M319="Software Idiem",C319="C"),((('BLAZE SHIELD II'!$L$4*('CALCULO MORTERO'!I319^2)+'BLAZE SHIELD II'!$L$5*'CALCULO MORTERO'!I319+'BLAZE SHIELD II'!$L$6)*LN(J319))+('BLAZE SHIELD II'!$L$7*('CALCULO MORTERO'!I319^2)+'BLAZE SHIELD II'!$L$8*'CALCULO MORTERO'!I319+'BLAZE SHIELD II'!$L$9)),0)+IF(AND(L319="Blaze Shield II",M319="Software Idiem",C319="L"),((('BLAZE SHIELD II'!$L$4*('CALCULO MORTERO'!I319^2)+'BLAZE SHIELD II'!$L$5*'CALCULO MORTERO'!I319+'BLAZE SHIELD II'!$L$6)*LN(J319))+('BLAZE SHIELD II'!$L$7*('CALCULO MORTERO'!I319^2)+'BLAZE SHIELD II'!$L$8*'CALCULO MORTERO'!I319+'BLAZE SHIELD II'!$L$9)),0)+IF(AND(L319="Blaze Shield II",M319="Software Idiem",C319="IN",G319=3),((('BLAZE SHIELD II'!$H$14*('CALCULO MORTERO'!I319^2)+'BLAZE SHIELD II'!$H$15*'CALCULO MORTERO'!I319+'BLAZE SHIELD II'!$H$16)*LN(J319))+('BLAZE SHIELD II'!$H$17*('CALCULO MORTERO'!I319^2)+'BLAZE SHIELD II'!$H$18*'CALCULO MORTERO'!I319+'BLAZE SHIELD II'!$H$19)),0),0)+ROUND(IF(AND(L319="Cafco 400",M319="Software Idiem",C319="IN",G319=4),((('CAFCO 400 '!$H$7*(J319^4)+'CAFCO 400 '!$H$8*(J319^3)+'CAFCO 400 '!$H$9*(J319^2)+'CAFCO 400 '!$H$10*J319+'CAFCO 400 '!$H$11)*U319^2)+(('CAFCO 400 '!$H$12*(J319^3)+'CAFCO 400 '!$H$13*(J319^2)+'CAFCO 400 '!$H$14*J319+'CAFCO 400 '!$H$15)*U319)+('CAFCO 400 '!$H$16*(J319^2)+'CAFCO 400 '!$H$17*J319+'CAFCO 400 '!$H$18)),0)+IF(AND(L319="Cafco 400",M319="Software Idiem",C319="Cj"),(((('CAFCO 400 '!$D$7*LN(J319)+'CAFCO 400 '!$D$8)*U319^2)+(('CAFCO 400 '!$D$9*LN(J319)+'CAFCO 400 '!$D$10)*U319)+('CAFCO 400 '!$D$11*LN(J319)+'CAFCO 400 '!$D$12))),0)+IF(AND(L319="Cafco 400",M319="Software Idiem",C319="C"),((('CAFCO 400 '!$L$7*(J319^3)+'CAFCO 400 '!$L$8*(J319^2)+'CAFCO 400 '!$L$9*J319+'CAFCO 400 '!$L$10)*U319^2)+(('CAFCO 400 '!$L$11*(J319^3)+'CAFCO 400 '!$L$12*(J319^2)+'CAFCO 400 '!$L$13*J319+'CAFCO 400 '!$L$14)*U319)+('CAFCO 400 '!$L$15*LN(J319)+'CAFCO 400 '!$L$16)),0)+IF(AND(L319="Cafco 400",M319="Software Idiem",C319="L"),((('CAFCO 400 '!$L$7*(J319^3)+'CAFCO 400 '!$L$8*(J319^2)+'CAFCO 400 '!$L$9*J319+'CAFCO 400 '!$L$10)*U319^2)+(('CAFCO 400 '!$L$11*(J319^3)+'CAFCO 400 '!$L$12*(J319^2)+'CAFCO 400 '!$L$13*J319+'CAFCO 400 '!$L$14)*U319)+('CAFCO 400 '!$L$15*LN(J319)+'CAFCO 400 '!$L$16)),0)+IF(AND(L319="Cafco 400",M319="Software Idiem",C319="IN",G319=3),((('CAFCO 400 '!$D$23*(J319^2)+'CAFCO 400 '!$D$24*(J319)+'CAFCO 400 '!$D$25)*U319^2)+(('CAFCO 400 '!$D$26*(J319^2)+'CAFCO 400 '!$D$27*J319+'CAFCO 400 '!$D$28)*U319)+('CAFCO 400 '!$D$29*(J319^2)+'CAFCO 400 '!$D$30*J319+'CAFCO 400 '!$D$31)),0),0)+IF(AND(L319="Cafco 300",J319&gt;=95,J319&lt;=240,C319="Cj",I319=90),VLOOKUP(T319,'CAFCO 300 IDIEM TABLAS'!$B$4:$D$23,2,FALSE),0)+IF(AND(L319="Cafco 300",J319&gt;=95,J319&lt;=240,C319="Cj",I319=120),VLOOKUP(T319,'CAFCO 300 IDIEM TABLAS'!$B$4:$D$23,3,FALSE),0)+IF(AND(L319="Cafco 300",J319&gt;=95,J319&lt;=400,G319=3,C319="IN",I319=90),VLOOKUP(T319,'CAFCO 300 IDIEM TABLAS'!$F$4:$H$35,2,FALSE),0)+IF(AND(L319="Cafco 300",J319&gt;=95,J319&lt;=400,G319=3,C319="IN",I319=120),VLOOKUP(T319,'CAFCO 300 IDIEM TABLAS'!$F$4:$H$35,3,FALSE),0)+IF(AND(L319="Cafco 300",J319&gt;=95,J319&lt;=450,G319=4,C319="IN",I319=90),VLOOKUP(T319,'CAFCO 300 IDIEM TABLAS'!$J$4:$L$40,2,FALSE),0)+IF(AND(L319="Cafco 300",J319&gt;=95,J319&lt;=450,G319=4,C319="IN",I319=120),VLOOKUP(T319,'CAFCO 300 IDIEM TABLAS'!$J$4:$L$40,3,FALSE),0)+IF(AND(M319="Ensayo Idiem",L319="Cafco 400",C319="IN",G319=4,I319=90),VLOOKUP(T319,'CAFCO 400 ENSAYO'!$B$7:$D$43,2,FALSE),0)+IF(AND(M319="Ensayo Idiem",L319="Cafco 400",C319="IN",G319=4,I319=120),VLOOKUP(T319,'CAFCO 400 ENSAYO'!$B$7:$D$43,3,FALSE),0)</f>
        <v>0</v>
      </c>
      <c r="O319" s="96">
        <f t="shared" si="33"/>
        <v>0</v>
      </c>
      <c r="P319" s="95" t="str">
        <f t="shared" si="34"/>
        <v>N/A</v>
      </c>
      <c r="Q319" s="95" t="str">
        <f t="shared" si="35"/>
        <v>N/A</v>
      </c>
      <c r="R319" s="95" t="str">
        <f t="shared" si="36"/>
        <v>NO CERT.</v>
      </c>
      <c r="S319" s="95" t="e">
        <f t="shared" si="31"/>
        <v>#N/A</v>
      </c>
      <c r="T319" s="119" t="e">
        <f>+IF(J319=LOOKUP(J319,'CAFCO 300 IDIEM TABLAS'!$J$4:$J$40),'CALCULO MORTERO'!J319,MROUND('CALCULO MORTERO'!J319,10))</f>
        <v>#N/A</v>
      </c>
      <c r="U319" s="118">
        <f t="shared" si="32"/>
        <v>0</v>
      </c>
      <c r="Y319" s="4"/>
      <c r="Z319" s="4"/>
      <c r="AA319" s="4"/>
    </row>
    <row r="320" spans="1:27" ht="15.6" customHeight="1" x14ac:dyDescent="0.25">
      <c r="A320" s="118">
        <f>+CUBICACION!D314</f>
        <v>0</v>
      </c>
      <c r="B320" s="819">
        <f>+CUBICACION!E314</f>
        <v>0</v>
      </c>
      <c r="C320" s="675">
        <f>+CUBICACION!F314</f>
        <v>0</v>
      </c>
      <c r="D320" s="118"/>
      <c r="E320" s="118"/>
      <c r="F320" s="820"/>
      <c r="G320" s="675">
        <f>+CUBICACION!J314</f>
        <v>0</v>
      </c>
      <c r="H320" s="118"/>
      <c r="I320" s="821">
        <f>+CUBICACION!L314</f>
        <v>0</v>
      </c>
      <c r="J320" s="64">
        <f>+CUBICACION!M314</f>
        <v>0</v>
      </c>
      <c r="K320" s="822" t="str">
        <f>+CUBICACION!N314</f>
        <v/>
      </c>
      <c r="L320" s="118">
        <f>+CUBICACION!O314</f>
        <v>0</v>
      </c>
      <c r="M320" s="823">
        <f>+CUBICACION!P314</f>
        <v>0</v>
      </c>
      <c r="N320" s="902">
        <f>ROUND(IF(AND(L320="Blaze Shield II",M320="Software Idiem",C320="IN",G320=4),((('BLAZE SHIELD II'!$D$4*('CALCULO MORTERO'!I320^2)+'BLAZE SHIELD II'!$D$5*'CALCULO MORTERO'!I320+'BLAZE SHIELD II'!$D$6)*LN(J320))+('BLAZE SHIELD II'!$D$7*('CALCULO MORTERO'!I320^2)+'BLAZE SHIELD II'!$D$8*'CALCULO MORTERO'!I320+'BLAZE SHIELD II'!$D$9)),0)+IF(AND(L320="Blaze Shield II",M320="Software Idiem",C320="Cj"),((('BLAZE SHIELD II'!$H$4*('CALCULO MORTERO'!I320^2)+'BLAZE SHIELD II'!$H$5*'CALCULO MORTERO'!I320+'BLAZE SHIELD II'!$H$6)*LN(J320))+('BLAZE SHIELD II'!$H$7*('CALCULO MORTERO'!I320^2)+'BLAZE SHIELD II'!$H$8*'CALCULO MORTERO'!I320+'BLAZE SHIELD II'!$H$9)),0)+IF(AND(L320="Blaze Shield II",M320="Software Idiem",C320="C"),((('BLAZE SHIELD II'!$L$4*('CALCULO MORTERO'!I320^2)+'BLAZE SHIELD II'!$L$5*'CALCULO MORTERO'!I320+'BLAZE SHIELD II'!$L$6)*LN(J320))+('BLAZE SHIELD II'!$L$7*('CALCULO MORTERO'!I320^2)+'BLAZE SHIELD II'!$L$8*'CALCULO MORTERO'!I320+'BLAZE SHIELD II'!$L$9)),0)+IF(AND(L320="Blaze Shield II",M320="Software Idiem",C320="L"),((('BLAZE SHIELD II'!$L$4*('CALCULO MORTERO'!I320^2)+'BLAZE SHIELD II'!$L$5*'CALCULO MORTERO'!I320+'BLAZE SHIELD II'!$L$6)*LN(J320))+('BLAZE SHIELD II'!$L$7*('CALCULO MORTERO'!I320^2)+'BLAZE SHIELD II'!$L$8*'CALCULO MORTERO'!I320+'BLAZE SHIELD II'!$L$9)),0)+IF(AND(L320="Blaze Shield II",M320="Software Idiem",C320="IN",G320=3),((('BLAZE SHIELD II'!$H$14*('CALCULO MORTERO'!I320^2)+'BLAZE SHIELD II'!$H$15*'CALCULO MORTERO'!I320+'BLAZE SHIELD II'!$H$16)*LN(J320))+('BLAZE SHIELD II'!$H$17*('CALCULO MORTERO'!I320^2)+'BLAZE SHIELD II'!$H$18*'CALCULO MORTERO'!I320+'BLAZE SHIELD II'!$H$19)),0),0)+ROUND(IF(AND(L320="Cafco 400",M320="Software Idiem",C320="IN",G320=4),((('CAFCO 400 '!$H$7*(J320^4)+'CAFCO 400 '!$H$8*(J320^3)+'CAFCO 400 '!$H$9*(J320^2)+'CAFCO 400 '!$H$10*J320+'CAFCO 400 '!$H$11)*U320^2)+(('CAFCO 400 '!$H$12*(J320^3)+'CAFCO 400 '!$H$13*(J320^2)+'CAFCO 400 '!$H$14*J320+'CAFCO 400 '!$H$15)*U320)+('CAFCO 400 '!$H$16*(J320^2)+'CAFCO 400 '!$H$17*J320+'CAFCO 400 '!$H$18)),0)+IF(AND(L320="Cafco 400",M320="Software Idiem",C320="Cj"),(((('CAFCO 400 '!$D$7*LN(J320)+'CAFCO 400 '!$D$8)*U320^2)+(('CAFCO 400 '!$D$9*LN(J320)+'CAFCO 400 '!$D$10)*U320)+('CAFCO 400 '!$D$11*LN(J320)+'CAFCO 400 '!$D$12))),0)+IF(AND(L320="Cafco 400",M320="Software Idiem",C320="C"),((('CAFCO 400 '!$L$7*(J320^3)+'CAFCO 400 '!$L$8*(J320^2)+'CAFCO 400 '!$L$9*J320+'CAFCO 400 '!$L$10)*U320^2)+(('CAFCO 400 '!$L$11*(J320^3)+'CAFCO 400 '!$L$12*(J320^2)+'CAFCO 400 '!$L$13*J320+'CAFCO 400 '!$L$14)*U320)+('CAFCO 400 '!$L$15*LN(J320)+'CAFCO 400 '!$L$16)),0)+IF(AND(L320="Cafco 400",M320="Software Idiem",C320="L"),((('CAFCO 400 '!$L$7*(J320^3)+'CAFCO 400 '!$L$8*(J320^2)+'CAFCO 400 '!$L$9*J320+'CAFCO 400 '!$L$10)*U320^2)+(('CAFCO 400 '!$L$11*(J320^3)+'CAFCO 400 '!$L$12*(J320^2)+'CAFCO 400 '!$L$13*J320+'CAFCO 400 '!$L$14)*U320)+('CAFCO 400 '!$L$15*LN(J320)+'CAFCO 400 '!$L$16)),0)+IF(AND(L320="Cafco 400",M320="Software Idiem",C320="IN",G320=3),((('CAFCO 400 '!$D$23*(J320^2)+'CAFCO 400 '!$D$24*(J320)+'CAFCO 400 '!$D$25)*U320^2)+(('CAFCO 400 '!$D$26*(J320^2)+'CAFCO 400 '!$D$27*J320+'CAFCO 400 '!$D$28)*U320)+('CAFCO 400 '!$D$29*(J320^2)+'CAFCO 400 '!$D$30*J320+'CAFCO 400 '!$D$31)),0),0)+IF(AND(L320="Cafco 300",J320&gt;=95,J320&lt;=240,C320="Cj",I320=90),VLOOKUP(T320,'CAFCO 300 IDIEM TABLAS'!$B$4:$D$23,2,FALSE),0)+IF(AND(L320="Cafco 300",J320&gt;=95,J320&lt;=240,C320="Cj",I320=120),VLOOKUP(T320,'CAFCO 300 IDIEM TABLAS'!$B$4:$D$23,3,FALSE),0)+IF(AND(L320="Cafco 300",J320&gt;=95,J320&lt;=400,G320=3,C320="IN",I320=90),VLOOKUP(T320,'CAFCO 300 IDIEM TABLAS'!$F$4:$H$35,2,FALSE),0)+IF(AND(L320="Cafco 300",J320&gt;=95,J320&lt;=400,G320=3,C320="IN",I320=120),VLOOKUP(T320,'CAFCO 300 IDIEM TABLAS'!$F$4:$H$35,3,FALSE),0)+IF(AND(L320="Cafco 300",J320&gt;=95,J320&lt;=450,G320=4,C320="IN",I320=90),VLOOKUP(T320,'CAFCO 300 IDIEM TABLAS'!$J$4:$L$40,2,FALSE),0)+IF(AND(L320="Cafco 300",J320&gt;=95,J320&lt;=450,G320=4,C320="IN",I320=120),VLOOKUP(T320,'CAFCO 300 IDIEM TABLAS'!$J$4:$L$40,3,FALSE),0)+IF(AND(M320="Ensayo Idiem",L320="Cafco 400",C320="IN",G320=4,I320=90),VLOOKUP(T320,'CAFCO 400 ENSAYO'!$B$7:$D$43,2,FALSE),0)+IF(AND(M320="Ensayo Idiem",L320="Cafco 400",C320="IN",G320=4,I320=120),VLOOKUP(T320,'CAFCO 400 ENSAYO'!$B$7:$D$43,3,FALSE),0)</f>
        <v>0</v>
      </c>
      <c r="O320" s="96">
        <f t="shared" si="33"/>
        <v>0</v>
      </c>
      <c r="P320" s="95" t="str">
        <f t="shared" si="34"/>
        <v>N/A</v>
      </c>
      <c r="Q320" s="95" t="str">
        <f t="shared" si="35"/>
        <v>N/A</v>
      </c>
      <c r="R320" s="95" t="str">
        <f t="shared" si="36"/>
        <v>NO CERT.</v>
      </c>
      <c r="S320" s="95" t="e">
        <f t="shared" si="31"/>
        <v>#N/A</v>
      </c>
      <c r="T320" s="119" t="e">
        <f>+IF(J320=LOOKUP(J320,'CAFCO 300 IDIEM TABLAS'!$J$4:$J$40),'CALCULO MORTERO'!J320,MROUND('CALCULO MORTERO'!J320,10))</f>
        <v>#N/A</v>
      </c>
      <c r="U320" s="118">
        <f t="shared" si="32"/>
        <v>0</v>
      </c>
      <c r="Y320" s="4"/>
      <c r="Z320" s="4"/>
      <c r="AA320" s="4"/>
    </row>
    <row r="321" spans="1:27" x14ac:dyDescent="0.25">
      <c r="A321" s="118">
        <f>+CUBICACION!D315</f>
        <v>0</v>
      </c>
      <c r="B321" s="819">
        <f>+CUBICACION!E315</f>
        <v>0</v>
      </c>
      <c r="C321" s="675">
        <f>+CUBICACION!F315</f>
        <v>0</v>
      </c>
      <c r="D321" s="118"/>
      <c r="E321" s="118"/>
      <c r="F321" s="820"/>
      <c r="G321" s="675">
        <f>+CUBICACION!J315</f>
        <v>0</v>
      </c>
      <c r="H321" s="118"/>
      <c r="I321" s="821">
        <f>+CUBICACION!L315</f>
        <v>0</v>
      </c>
      <c r="J321" s="64">
        <f>+CUBICACION!M315</f>
        <v>0</v>
      </c>
      <c r="K321" s="822" t="str">
        <f>+CUBICACION!N315</f>
        <v/>
      </c>
      <c r="L321" s="118">
        <f>+CUBICACION!O315</f>
        <v>0</v>
      </c>
      <c r="M321" s="823">
        <f>+CUBICACION!P315</f>
        <v>0</v>
      </c>
      <c r="N321" s="902">
        <f>ROUND(IF(AND(L321="Blaze Shield II",M321="Software Idiem",C321="IN",G321=4),((('BLAZE SHIELD II'!$D$4*('CALCULO MORTERO'!I321^2)+'BLAZE SHIELD II'!$D$5*'CALCULO MORTERO'!I321+'BLAZE SHIELD II'!$D$6)*LN(J321))+('BLAZE SHIELD II'!$D$7*('CALCULO MORTERO'!I321^2)+'BLAZE SHIELD II'!$D$8*'CALCULO MORTERO'!I321+'BLAZE SHIELD II'!$D$9)),0)+IF(AND(L321="Blaze Shield II",M321="Software Idiem",C321="Cj"),((('BLAZE SHIELD II'!$H$4*('CALCULO MORTERO'!I321^2)+'BLAZE SHIELD II'!$H$5*'CALCULO MORTERO'!I321+'BLAZE SHIELD II'!$H$6)*LN(J321))+('BLAZE SHIELD II'!$H$7*('CALCULO MORTERO'!I321^2)+'BLAZE SHIELD II'!$H$8*'CALCULO MORTERO'!I321+'BLAZE SHIELD II'!$H$9)),0)+IF(AND(L321="Blaze Shield II",M321="Software Idiem",C321="C"),((('BLAZE SHIELD II'!$L$4*('CALCULO MORTERO'!I321^2)+'BLAZE SHIELD II'!$L$5*'CALCULO MORTERO'!I321+'BLAZE SHIELD II'!$L$6)*LN(J321))+('BLAZE SHIELD II'!$L$7*('CALCULO MORTERO'!I321^2)+'BLAZE SHIELD II'!$L$8*'CALCULO MORTERO'!I321+'BLAZE SHIELD II'!$L$9)),0)+IF(AND(L321="Blaze Shield II",M321="Software Idiem",C321="L"),((('BLAZE SHIELD II'!$L$4*('CALCULO MORTERO'!I321^2)+'BLAZE SHIELD II'!$L$5*'CALCULO MORTERO'!I321+'BLAZE SHIELD II'!$L$6)*LN(J321))+('BLAZE SHIELD II'!$L$7*('CALCULO MORTERO'!I321^2)+'BLAZE SHIELD II'!$L$8*'CALCULO MORTERO'!I321+'BLAZE SHIELD II'!$L$9)),0)+IF(AND(L321="Blaze Shield II",M321="Software Idiem",C321="IN",G321=3),((('BLAZE SHIELD II'!$H$14*('CALCULO MORTERO'!I321^2)+'BLAZE SHIELD II'!$H$15*'CALCULO MORTERO'!I321+'BLAZE SHIELD II'!$H$16)*LN(J321))+('BLAZE SHIELD II'!$H$17*('CALCULO MORTERO'!I321^2)+'BLAZE SHIELD II'!$H$18*'CALCULO MORTERO'!I321+'BLAZE SHIELD II'!$H$19)),0),0)+ROUND(IF(AND(L321="Cafco 400",M321="Software Idiem",C321="IN",G321=4),((('CAFCO 400 '!$H$7*(J321^4)+'CAFCO 400 '!$H$8*(J321^3)+'CAFCO 400 '!$H$9*(J321^2)+'CAFCO 400 '!$H$10*J321+'CAFCO 400 '!$H$11)*U321^2)+(('CAFCO 400 '!$H$12*(J321^3)+'CAFCO 400 '!$H$13*(J321^2)+'CAFCO 400 '!$H$14*J321+'CAFCO 400 '!$H$15)*U321)+('CAFCO 400 '!$H$16*(J321^2)+'CAFCO 400 '!$H$17*J321+'CAFCO 400 '!$H$18)),0)+IF(AND(L321="Cafco 400",M321="Software Idiem",C321="Cj"),(((('CAFCO 400 '!$D$7*LN(J321)+'CAFCO 400 '!$D$8)*U321^2)+(('CAFCO 400 '!$D$9*LN(J321)+'CAFCO 400 '!$D$10)*U321)+('CAFCO 400 '!$D$11*LN(J321)+'CAFCO 400 '!$D$12))),0)+IF(AND(L321="Cafco 400",M321="Software Idiem",C321="C"),((('CAFCO 400 '!$L$7*(J321^3)+'CAFCO 400 '!$L$8*(J321^2)+'CAFCO 400 '!$L$9*J321+'CAFCO 400 '!$L$10)*U321^2)+(('CAFCO 400 '!$L$11*(J321^3)+'CAFCO 400 '!$L$12*(J321^2)+'CAFCO 400 '!$L$13*J321+'CAFCO 400 '!$L$14)*U321)+('CAFCO 400 '!$L$15*LN(J321)+'CAFCO 400 '!$L$16)),0)+IF(AND(L321="Cafco 400",M321="Software Idiem",C321="L"),((('CAFCO 400 '!$L$7*(J321^3)+'CAFCO 400 '!$L$8*(J321^2)+'CAFCO 400 '!$L$9*J321+'CAFCO 400 '!$L$10)*U321^2)+(('CAFCO 400 '!$L$11*(J321^3)+'CAFCO 400 '!$L$12*(J321^2)+'CAFCO 400 '!$L$13*J321+'CAFCO 400 '!$L$14)*U321)+('CAFCO 400 '!$L$15*LN(J321)+'CAFCO 400 '!$L$16)),0)+IF(AND(L321="Cafco 400",M321="Software Idiem",C321="IN",G321=3),((('CAFCO 400 '!$D$23*(J321^2)+'CAFCO 400 '!$D$24*(J321)+'CAFCO 400 '!$D$25)*U321^2)+(('CAFCO 400 '!$D$26*(J321^2)+'CAFCO 400 '!$D$27*J321+'CAFCO 400 '!$D$28)*U321)+('CAFCO 400 '!$D$29*(J321^2)+'CAFCO 400 '!$D$30*J321+'CAFCO 400 '!$D$31)),0),0)+IF(AND(L321="Cafco 300",J321&gt;=95,J321&lt;=240,C321="Cj",I321=90),VLOOKUP(T321,'CAFCO 300 IDIEM TABLAS'!$B$4:$D$23,2,FALSE),0)+IF(AND(L321="Cafco 300",J321&gt;=95,J321&lt;=240,C321="Cj",I321=120),VLOOKUP(T321,'CAFCO 300 IDIEM TABLAS'!$B$4:$D$23,3,FALSE),0)+IF(AND(L321="Cafco 300",J321&gt;=95,J321&lt;=400,G321=3,C321="IN",I321=90),VLOOKUP(T321,'CAFCO 300 IDIEM TABLAS'!$F$4:$H$35,2,FALSE),0)+IF(AND(L321="Cafco 300",J321&gt;=95,J321&lt;=400,G321=3,C321="IN",I321=120),VLOOKUP(T321,'CAFCO 300 IDIEM TABLAS'!$F$4:$H$35,3,FALSE),0)+IF(AND(L321="Cafco 300",J321&gt;=95,J321&lt;=450,G321=4,C321="IN",I321=90),VLOOKUP(T321,'CAFCO 300 IDIEM TABLAS'!$J$4:$L$40,2,FALSE),0)+IF(AND(L321="Cafco 300",J321&gt;=95,J321&lt;=450,G321=4,C321="IN",I321=120),VLOOKUP(T321,'CAFCO 300 IDIEM TABLAS'!$J$4:$L$40,3,FALSE),0)+IF(AND(M321="Ensayo Idiem",L321="Cafco 400",C321="IN",G321=4,I321=90),VLOOKUP(T321,'CAFCO 400 ENSAYO'!$B$7:$D$43,2,FALSE),0)+IF(AND(M321="Ensayo Idiem",L321="Cafco 400",C321="IN",G321=4,I321=120),VLOOKUP(T321,'CAFCO 400 ENSAYO'!$B$7:$D$43,3,FALSE),0)</f>
        <v>0</v>
      </c>
      <c r="O321" s="96">
        <f t="shared" si="33"/>
        <v>0</v>
      </c>
      <c r="P321" s="95" t="str">
        <f t="shared" si="34"/>
        <v>N/A</v>
      </c>
      <c r="Q321" s="95" t="str">
        <f t="shared" si="35"/>
        <v>N/A</v>
      </c>
      <c r="R321" s="95" t="str">
        <f t="shared" si="36"/>
        <v>NO CERT.</v>
      </c>
      <c r="S321" s="95" t="e">
        <f t="shared" si="31"/>
        <v>#N/A</v>
      </c>
      <c r="T321" s="119" t="e">
        <f>+IF(J321=LOOKUP(J321,'CAFCO 300 IDIEM TABLAS'!$J$4:$J$40),'CALCULO MORTERO'!J321,MROUND('CALCULO MORTERO'!J321,10))</f>
        <v>#N/A</v>
      </c>
      <c r="U321" s="118">
        <f t="shared" si="32"/>
        <v>0</v>
      </c>
      <c r="Y321" s="4"/>
      <c r="Z321" s="4"/>
      <c r="AA321" s="4"/>
    </row>
    <row r="322" spans="1:27" ht="15.6" customHeight="1" x14ac:dyDescent="0.25">
      <c r="A322" s="118">
        <f>+CUBICACION!D316</f>
        <v>0</v>
      </c>
      <c r="B322" s="819">
        <f>+CUBICACION!E316</f>
        <v>0</v>
      </c>
      <c r="C322" s="675">
        <f>+CUBICACION!F316</f>
        <v>0</v>
      </c>
      <c r="D322" s="118"/>
      <c r="E322" s="118"/>
      <c r="F322" s="820"/>
      <c r="G322" s="675">
        <f>+CUBICACION!J316</f>
        <v>0</v>
      </c>
      <c r="H322" s="118"/>
      <c r="I322" s="821">
        <f>+CUBICACION!L316</f>
        <v>0</v>
      </c>
      <c r="J322" s="64">
        <f>+CUBICACION!M316</f>
        <v>0</v>
      </c>
      <c r="K322" s="822" t="str">
        <f>+CUBICACION!N316</f>
        <v/>
      </c>
      <c r="L322" s="118">
        <f>+CUBICACION!O316</f>
        <v>0</v>
      </c>
      <c r="M322" s="823">
        <f>+CUBICACION!P316</f>
        <v>0</v>
      </c>
      <c r="N322" s="902">
        <f>ROUND(IF(AND(L322="Blaze Shield II",M322="Software Idiem",C322="IN",G322=4),((('BLAZE SHIELD II'!$D$4*('CALCULO MORTERO'!I322^2)+'BLAZE SHIELD II'!$D$5*'CALCULO MORTERO'!I322+'BLAZE SHIELD II'!$D$6)*LN(J322))+('BLAZE SHIELD II'!$D$7*('CALCULO MORTERO'!I322^2)+'BLAZE SHIELD II'!$D$8*'CALCULO MORTERO'!I322+'BLAZE SHIELD II'!$D$9)),0)+IF(AND(L322="Blaze Shield II",M322="Software Idiem",C322="Cj"),((('BLAZE SHIELD II'!$H$4*('CALCULO MORTERO'!I322^2)+'BLAZE SHIELD II'!$H$5*'CALCULO MORTERO'!I322+'BLAZE SHIELD II'!$H$6)*LN(J322))+('BLAZE SHIELD II'!$H$7*('CALCULO MORTERO'!I322^2)+'BLAZE SHIELD II'!$H$8*'CALCULO MORTERO'!I322+'BLAZE SHIELD II'!$H$9)),0)+IF(AND(L322="Blaze Shield II",M322="Software Idiem",C322="C"),((('BLAZE SHIELD II'!$L$4*('CALCULO MORTERO'!I322^2)+'BLAZE SHIELD II'!$L$5*'CALCULO MORTERO'!I322+'BLAZE SHIELD II'!$L$6)*LN(J322))+('BLAZE SHIELD II'!$L$7*('CALCULO MORTERO'!I322^2)+'BLAZE SHIELD II'!$L$8*'CALCULO MORTERO'!I322+'BLAZE SHIELD II'!$L$9)),0)+IF(AND(L322="Blaze Shield II",M322="Software Idiem",C322="L"),((('BLAZE SHIELD II'!$L$4*('CALCULO MORTERO'!I322^2)+'BLAZE SHIELD II'!$L$5*'CALCULO MORTERO'!I322+'BLAZE SHIELD II'!$L$6)*LN(J322))+('BLAZE SHIELD II'!$L$7*('CALCULO MORTERO'!I322^2)+'BLAZE SHIELD II'!$L$8*'CALCULO MORTERO'!I322+'BLAZE SHIELD II'!$L$9)),0)+IF(AND(L322="Blaze Shield II",M322="Software Idiem",C322="IN",G322=3),((('BLAZE SHIELD II'!$H$14*('CALCULO MORTERO'!I322^2)+'BLAZE SHIELD II'!$H$15*'CALCULO MORTERO'!I322+'BLAZE SHIELD II'!$H$16)*LN(J322))+('BLAZE SHIELD II'!$H$17*('CALCULO MORTERO'!I322^2)+'BLAZE SHIELD II'!$H$18*'CALCULO MORTERO'!I322+'BLAZE SHIELD II'!$H$19)),0),0)+ROUND(IF(AND(L322="Cafco 400",M322="Software Idiem",C322="IN",G322=4),((('CAFCO 400 '!$H$7*(J322^4)+'CAFCO 400 '!$H$8*(J322^3)+'CAFCO 400 '!$H$9*(J322^2)+'CAFCO 400 '!$H$10*J322+'CAFCO 400 '!$H$11)*U322^2)+(('CAFCO 400 '!$H$12*(J322^3)+'CAFCO 400 '!$H$13*(J322^2)+'CAFCO 400 '!$H$14*J322+'CAFCO 400 '!$H$15)*U322)+('CAFCO 400 '!$H$16*(J322^2)+'CAFCO 400 '!$H$17*J322+'CAFCO 400 '!$H$18)),0)+IF(AND(L322="Cafco 400",M322="Software Idiem",C322="Cj"),(((('CAFCO 400 '!$D$7*LN(J322)+'CAFCO 400 '!$D$8)*U322^2)+(('CAFCO 400 '!$D$9*LN(J322)+'CAFCO 400 '!$D$10)*U322)+('CAFCO 400 '!$D$11*LN(J322)+'CAFCO 400 '!$D$12))),0)+IF(AND(L322="Cafco 400",M322="Software Idiem",C322="C"),((('CAFCO 400 '!$L$7*(J322^3)+'CAFCO 400 '!$L$8*(J322^2)+'CAFCO 400 '!$L$9*J322+'CAFCO 400 '!$L$10)*U322^2)+(('CAFCO 400 '!$L$11*(J322^3)+'CAFCO 400 '!$L$12*(J322^2)+'CAFCO 400 '!$L$13*J322+'CAFCO 400 '!$L$14)*U322)+('CAFCO 400 '!$L$15*LN(J322)+'CAFCO 400 '!$L$16)),0)+IF(AND(L322="Cafco 400",M322="Software Idiem",C322="L"),((('CAFCO 400 '!$L$7*(J322^3)+'CAFCO 400 '!$L$8*(J322^2)+'CAFCO 400 '!$L$9*J322+'CAFCO 400 '!$L$10)*U322^2)+(('CAFCO 400 '!$L$11*(J322^3)+'CAFCO 400 '!$L$12*(J322^2)+'CAFCO 400 '!$L$13*J322+'CAFCO 400 '!$L$14)*U322)+('CAFCO 400 '!$L$15*LN(J322)+'CAFCO 400 '!$L$16)),0)+IF(AND(L322="Cafco 400",M322="Software Idiem",C322="IN",G322=3),((('CAFCO 400 '!$D$23*(J322^2)+'CAFCO 400 '!$D$24*(J322)+'CAFCO 400 '!$D$25)*U322^2)+(('CAFCO 400 '!$D$26*(J322^2)+'CAFCO 400 '!$D$27*J322+'CAFCO 400 '!$D$28)*U322)+('CAFCO 400 '!$D$29*(J322^2)+'CAFCO 400 '!$D$30*J322+'CAFCO 400 '!$D$31)),0),0)+IF(AND(L322="Cafco 300",J322&gt;=95,J322&lt;=240,C322="Cj",I322=90),VLOOKUP(T322,'CAFCO 300 IDIEM TABLAS'!$B$4:$D$23,2,FALSE),0)+IF(AND(L322="Cafco 300",J322&gt;=95,J322&lt;=240,C322="Cj",I322=120),VLOOKUP(T322,'CAFCO 300 IDIEM TABLAS'!$B$4:$D$23,3,FALSE),0)+IF(AND(L322="Cafco 300",J322&gt;=95,J322&lt;=400,G322=3,C322="IN",I322=90),VLOOKUP(T322,'CAFCO 300 IDIEM TABLAS'!$F$4:$H$35,2,FALSE),0)+IF(AND(L322="Cafco 300",J322&gt;=95,J322&lt;=400,G322=3,C322="IN",I322=120),VLOOKUP(T322,'CAFCO 300 IDIEM TABLAS'!$F$4:$H$35,3,FALSE),0)+IF(AND(L322="Cafco 300",J322&gt;=95,J322&lt;=450,G322=4,C322="IN",I322=90),VLOOKUP(T322,'CAFCO 300 IDIEM TABLAS'!$J$4:$L$40,2,FALSE),0)+IF(AND(L322="Cafco 300",J322&gt;=95,J322&lt;=450,G322=4,C322="IN",I322=120),VLOOKUP(T322,'CAFCO 300 IDIEM TABLAS'!$J$4:$L$40,3,FALSE),0)+IF(AND(M322="Ensayo Idiem",L322="Cafco 400",C322="IN",G322=4,I322=90),VLOOKUP(T322,'CAFCO 400 ENSAYO'!$B$7:$D$43,2,FALSE),0)+IF(AND(M322="Ensayo Idiem",L322="Cafco 400",C322="IN",G322=4,I322=120),VLOOKUP(T322,'CAFCO 400 ENSAYO'!$B$7:$D$43,3,FALSE),0)</f>
        <v>0</v>
      </c>
      <c r="O322" s="96">
        <f t="shared" si="33"/>
        <v>0</v>
      </c>
      <c r="P322" s="95" t="str">
        <f t="shared" si="34"/>
        <v>N/A</v>
      </c>
      <c r="Q322" s="95" t="str">
        <f t="shared" si="35"/>
        <v>N/A</v>
      </c>
      <c r="R322" s="95" t="str">
        <f t="shared" si="36"/>
        <v>NO CERT.</v>
      </c>
      <c r="S322" s="95" t="e">
        <f t="shared" si="31"/>
        <v>#N/A</v>
      </c>
      <c r="T322" s="119" t="e">
        <f>+IF(J322=LOOKUP(J322,'CAFCO 300 IDIEM TABLAS'!$J$4:$J$40),'CALCULO MORTERO'!J322,MROUND('CALCULO MORTERO'!J322,10))</f>
        <v>#N/A</v>
      </c>
      <c r="U322" s="118">
        <f t="shared" si="32"/>
        <v>0</v>
      </c>
      <c r="Y322" s="4"/>
      <c r="Z322" s="4"/>
      <c r="AA322" s="4"/>
    </row>
    <row r="323" spans="1:27" x14ac:dyDescent="0.25">
      <c r="A323" s="118">
        <f>+CUBICACION!D317</f>
        <v>0</v>
      </c>
      <c r="B323" s="819">
        <f>+CUBICACION!E317</f>
        <v>0</v>
      </c>
      <c r="C323" s="675">
        <f>+CUBICACION!F317</f>
        <v>0</v>
      </c>
      <c r="D323" s="118"/>
      <c r="E323" s="118"/>
      <c r="F323" s="820"/>
      <c r="G323" s="675">
        <f>+CUBICACION!J317</f>
        <v>0</v>
      </c>
      <c r="H323" s="118"/>
      <c r="I323" s="821">
        <f>+CUBICACION!L317</f>
        <v>0</v>
      </c>
      <c r="J323" s="64">
        <f>+CUBICACION!M317</f>
        <v>0</v>
      </c>
      <c r="K323" s="822" t="str">
        <f>+CUBICACION!N317</f>
        <v/>
      </c>
      <c r="L323" s="118">
        <f>+CUBICACION!O317</f>
        <v>0</v>
      </c>
      <c r="M323" s="823">
        <f>+CUBICACION!P317</f>
        <v>0</v>
      </c>
      <c r="N323" s="902">
        <f>ROUND(IF(AND(L323="Blaze Shield II",M323="Software Idiem",C323="IN",G323=4),((('BLAZE SHIELD II'!$D$4*('CALCULO MORTERO'!I323^2)+'BLAZE SHIELD II'!$D$5*'CALCULO MORTERO'!I323+'BLAZE SHIELD II'!$D$6)*LN(J323))+('BLAZE SHIELD II'!$D$7*('CALCULO MORTERO'!I323^2)+'BLAZE SHIELD II'!$D$8*'CALCULO MORTERO'!I323+'BLAZE SHIELD II'!$D$9)),0)+IF(AND(L323="Blaze Shield II",M323="Software Idiem",C323="Cj"),((('BLAZE SHIELD II'!$H$4*('CALCULO MORTERO'!I323^2)+'BLAZE SHIELD II'!$H$5*'CALCULO MORTERO'!I323+'BLAZE SHIELD II'!$H$6)*LN(J323))+('BLAZE SHIELD II'!$H$7*('CALCULO MORTERO'!I323^2)+'BLAZE SHIELD II'!$H$8*'CALCULO MORTERO'!I323+'BLAZE SHIELD II'!$H$9)),0)+IF(AND(L323="Blaze Shield II",M323="Software Idiem",C323="C"),((('BLAZE SHIELD II'!$L$4*('CALCULO MORTERO'!I323^2)+'BLAZE SHIELD II'!$L$5*'CALCULO MORTERO'!I323+'BLAZE SHIELD II'!$L$6)*LN(J323))+('BLAZE SHIELD II'!$L$7*('CALCULO MORTERO'!I323^2)+'BLAZE SHIELD II'!$L$8*'CALCULO MORTERO'!I323+'BLAZE SHIELD II'!$L$9)),0)+IF(AND(L323="Blaze Shield II",M323="Software Idiem",C323="L"),((('BLAZE SHIELD II'!$L$4*('CALCULO MORTERO'!I323^2)+'BLAZE SHIELD II'!$L$5*'CALCULO MORTERO'!I323+'BLAZE SHIELD II'!$L$6)*LN(J323))+('BLAZE SHIELD II'!$L$7*('CALCULO MORTERO'!I323^2)+'BLAZE SHIELD II'!$L$8*'CALCULO MORTERO'!I323+'BLAZE SHIELD II'!$L$9)),0)+IF(AND(L323="Blaze Shield II",M323="Software Idiem",C323="IN",G323=3),((('BLAZE SHIELD II'!$H$14*('CALCULO MORTERO'!I323^2)+'BLAZE SHIELD II'!$H$15*'CALCULO MORTERO'!I323+'BLAZE SHIELD II'!$H$16)*LN(J323))+('BLAZE SHIELD II'!$H$17*('CALCULO MORTERO'!I323^2)+'BLAZE SHIELD II'!$H$18*'CALCULO MORTERO'!I323+'BLAZE SHIELD II'!$H$19)),0),0)+ROUND(IF(AND(L323="Cafco 400",M323="Software Idiem",C323="IN",G323=4),((('CAFCO 400 '!$H$7*(J323^4)+'CAFCO 400 '!$H$8*(J323^3)+'CAFCO 400 '!$H$9*(J323^2)+'CAFCO 400 '!$H$10*J323+'CAFCO 400 '!$H$11)*U323^2)+(('CAFCO 400 '!$H$12*(J323^3)+'CAFCO 400 '!$H$13*(J323^2)+'CAFCO 400 '!$H$14*J323+'CAFCO 400 '!$H$15)*U323)+('CAFCO 400 '!$H$16*(J323^2)+'CAFCO 400 '!$H$17*J323+'CAFCO 400 '!$H$18)),0)+IF(AND(L323="Cafco 400",M323="Software Idiem",C323="Cj"),(((('CAFCO 400 '!$D$7*LN(J323)+'CAFCO 400 '!$D$8)*U323^2)+(('CAFCO 400 '!$D$9*LN(J323)+'CAFCO 400 '!$D$10)*U323)+('CAFCO 400 '!$D$11*LN(J323)+'CAFCO 400 '!$D$12))),0)+IF(AND(L323="Cafco 400",M323="Software Idiem",C323="C"),((('CAFCO 400 '!$L$7*(J323^3)+'CAFCO 400 '!$L$8*(J323^2)+'CAFCO 400 '!$L$9*J323+'CAFCO 400 '!$L$10)*U323^2)+(('CAFCO 400 '!$L$11*(J323^3)+'CAFCO 400 '!$L$12*(J323^2)+'CAFCO 400 '!$L$13*J323+'CAFCO 400 '!$L$14)*U323)+('CAFCO 400 '!$L$15*LN(J323)+'CAFCO 400 '!$L$16)),0)+IF(AND(L323="Cafco 400",M323="Software Idiem",C323="L"),((('CAFCO 400 '!$L$7*(J323^3)+'CAFCO 400 '!$L$8*(J323^2)+'CAFCO 400 '!$L$9*J323+'CAFCO 400 '!$L$10)*U323^2)+(('CAFCO 400 '!$L$11*(J323^3)+'CAFCO 400 '!$L$12*(J323^2)+'CAFCO 400 '!$L$13*J323+'CAFCO 400 '!$L$14)*U323)+('CAFCO 400 '!$L$15*LN(J323)+'CAFCO 400 '!$L$16)),0)+IF(AND(L323="Cafco 400",M323="Software Idiem",C323="IN",G323=3),((('CAFCO 400 '!$D$23*(J323^2)+'CAFCO 400 '!$D$24*(J323)+'CAFCO 400 '!$D$25)*U323^2)+(('CAFCO 400 '!$D$26*(J323^2)+'CAFCO 400 '!$D$27*J323+'CAFCO 400 '!$D$28)*U323)+('CAFCO 400 '!$D$29*(J323^2)+'CAFCO 400 '!$D$30*J323+'CAFCO 400 '!$D$31)),0),0)+IF(AND(L323="Cafco 300",J323&gt;=95,J323&lt;=240,C323="Cj",I323=90),VLOOKUP(T323,'CAFCO 300 IDIEM TABLAS'!$B$4:$D$23,2,FALSE),0)+IF(AND(L323="Cafco 300",J323&gt;=95,J323&lt;=240,C323="Cj",I323=120),VLOOKUP(T323,'CAFCO 300 IDIEM TABLAS'!$B$4:$D$23,3,FALSE),0)+IF(AND(L323="Cafco 300",J323&gt;=95,J323&lt;=400,G323=3,C323="IN",I323=90),VLOOKUP(T323,'CAFCO 300 IDIEM TABLAS'!$F$4:$H$35,2,FALSE),0)+IF(AND(L323="Cafco 300",J323&gt;=95,J323&lt;=400,G323=3,C323="IN",I323=120),VLOOKUP(T323,'CAFCO 300 IDIEM TABLAS'!$F$4:$H$35,3,FALSE),0)+IF(AND(L323="Cafco 300",J323&gt;=95,J323&lt;=450,G323=4,C323="IN",I323=90),VLOOKUP(T323,'CAFCO 300 IDIEM TABLAS'!$J$4:$L$40,2,FALSE),0)+IF(AND(L323="Cafco 300",J323&gt;=95,J323&lt;=450,G323=4,C323="IN",I323=120),VLOOKUP(T323,'CAFCO 300 IDIEM TABLAS'!$J$4:$L$40,3,FALSE),0)+IF(AND(M323="Ensayo Idiem",L323="Cafco 400",C323="IN",G323=4,I323=90),VLOOKUP(T323,'CAFCO 400 ENSAYO'!$B$7:$D$43,2,FALSE),0)+IF(AND(M323="Ensayo Idiem",L323="Cafco 400",C323="IN",G323=4,I323=120),VLOOKUP(T323,'CAFCO 400 ENSAYO'!$B$7:$D$43,3,FALSE),0)</f>
        <v>0</v>
      </c>
      <c r="O323" s="96">
        <f t="shared" si="33"/>
        <v>0</v>
      </c>
      <c r="P323" s="95" t="str">
        <f t="shared" si="34"/>
        <v>N/A</v>
      </c>
      <c r="Q323" s="95" t="str">
        <f t="shared" si="35"/>
        <v>N/A</v>
      </c>
      <c r="R323" s="95" t="str">
        <f t="shared" si="36"/>
        <v>NO CERT.</v>
      </c>
      <c r="S323" s="95" t="e">
        <f t="shared" si="31"/>
        <v>#N/A</v>
      </c>
      <c r="T323" s="119" t="e">
        <f>+IF(J323=LOOKUP(J323,'CAFCO 300 IDIEM TABLAS'!$J$4:$J$40),'CALCULO MORTERO'!J323,MROUND('CALCULO MORTERO'!J323,10))</f>
        <v>#N/A</v>
      </c>
      <c r="U323" s="118">
        <f t="shared" si="32"/>
        <v>0</v>
      </c>
      <c r="Y323" s="4"/>
      <c r="Z323" s="4"/>
      <c r="AA323" s="4"/>
    </row>
    <row r="324" spans="1:27" ht="15.6" customHeight="1" x14ac:dyDescent="0.25">
      <c r="A324" s="118">
        <f>+CUBICACION!D318</f>
        <v>0</v>
      </c>
      <c r="B324" s="819">
        <f>+CUBICACION!E318</f>
        <v>0</v>
      </c>
      <c r="C324" s="675">
        <f>+CUBICACION!F318</f>
        <v>0</v>
      </c>
      <c r="D324" s="118"/>
      <c r="E324" s="118"/>
      <c r="F324" s="820"/>
      <c r="G324" s="675">
        <f>+CUBICACION!J318</f>
        <v>0</v>
      </c>
      <c r="H324" s="118"/>
      <c r="I324" s="821">
        <f>+CUBICACION!L318</f>
        <v>0</v>
      </c>
      <c r="J324" s="64">
        <f>+CUBICACION!M318</f>
        <v>0</v>
      </c>
      <c r="K324" s="822" t="str">
        <f>+CUBICACION!N318</f>
        <v/>
      </c>
      <c r="L324" s="118">
        <f>+CUBICACION!O318</f>
        <v>0</v>
      </c>
      <c r="M324" s="823">
        <f>+CUBICACION!P318</f>
        <v>0</v>
      </c>
      <c r="N324" s="902">
        <f>ROUND(IF(AND(L324="Blaze Shield II",M324="Software Idiem",C324="IN",G324=4),((('BLAZE SHIELD II'!$D$4*('CALCULO MORTERO'!I324^2)+'BLAZE SHIELD II'!$D$5*'CALCULO MORTERO'!I324+'BLAZE SHIELD II'!$D$6)*LN(J324))+('BLAZE SHIELD II'!$D$7*('CALCULO MORTERO'!I324^2)+'BLAZE SHIELD II'!$D$8*'CALCULO MORTERO'!I324+'BLAZE SHIELD II'!$D$9)),0)+IF(AND(L324="Blaze Shield II",M324="Software Idiem",C324="Cj"),((('BLAZE SHIELD II'!$H$4*('CALCULO MORTERO'!I324^2)+'BLAZE SHIELD II'!$H$5*'CALCULO MORTERO'!I324+'BLAZE SHIELD II'!$H$6)*LN(J324))+('BLAZE SHIELD II'!$H$7*('CALCULO MORTERO'!I324^2)+'BLAZE SHIELD II'!$H$8*'CALCULO MORTERO'!I324+'BLAZE SHIELD II'!$H$9)),0)+IF(AND(L324="Blaze Shield II",M324="Software Idiem",C324="C"),((('BLAZE SHIELD II'!$L$4*('CALCULO MORTERO'!I324^2)+'BLAZE SHIELD II'!$L$5*'CALCULO MORTERO'!I324+'BLAZE SHIELD II'!$L$6)*LN(J324))+('BLAZE SHIELD II'!$L$7*('CALCULO MORTERO'!I324^2)+'BLAZE SHIELD II'!$L$8*'CALCULO MORTERO'!I324+'BLAZE SHIELD II'!$L$9)),0)+IF(AND(L324="Blaze Shield II",M324="Software Idiem",C324="L"),((('BLAZE SHIELD II'!$L$4*('CALCULO MORTERO'!I324^2)+'BLAZE SHIELD II'!$L$5*'CALCULO MORTERO'!I324+'BLAZE SHIELD II'!$L$6)*LN(J324))+('BLAZE SHIELD II'!$L$7*('CALCULO MORTERO'!I324^2)+'BLAZE SHIELD II'!$L$8*'CALCULO MORTERO'!I324+'BLAZE SHIELD II'!$L$9)),0)+IF(AND(L324="Blaze Shield II",M324="Software Idiem",C324="IN",G324=3),((('BLAZE SHIELD II'!$H$14*('CALCULO MORTERO'!I324^2)+'BLAZE SHIELD II'!$H$15*'CALCULO MORTERO'!I324+'BLAZE SHIELD II'!$H$16)*LN(J324))+('BLAZE SHIELD II'!$H$17*('CALCULO MORTERO'!I324^2)+'BLAZE SHIELD II'!$H$18*'CALCULO MORTERO'!I324+'BLAZE SHIELD II'!$H$19)),0),0)+ROUND(IF(AND(L324="Cafco 400",M324="Software Idiem",C324="IN",G324=4),((('CAFCO 400 '!$H$7*(J324^4)+'CAFCO 400 '!$H$8*(J324^3)+'CAFCO 400 '!$H$9*(J324^2)+'CAFCO 400 '!$H$10*J324+'CAFCO 400 '!$H$11)*U324^2)+(('CAFCO 400 '!$H$12*(J324^3)+'CAFCO 400 '!$H$13*(J324^2)+'CAFCO 400 '!$H$14*J324+'CAFCO 400 '!$H$15)*U324)+('CAFCO 400 '!$H$16*(J324^2)+'CAFCO 400 '!$H$17*J324+'CAFCO 400 '!$H$18)),0)+IF(AND(L324="Cafco 400",M324="Software Idiem",C324="Cj"),(((('CAFCO 400 '!$D$7*LN(J324)+'CAFCO 400 '!$D$8)*U324^2)+(('CAFCO 400 '!$D$9*LN(J324)+'CAFCO 400 '!$D$10)*U324)+('CAFCO 400 '!$D$11*LN(J324)+'CAFCO 400 '!$D$12))),0)+IF(AND(L324="Cafco 400",M324="Software Idiem",C324="C"),((('CAFCO 400 '!$L$7*(J324^3)+'CAFCO 400 '!$L$8*(J324^2)+'CAFCO 400 '!$L$9*J324+'CAFCO 400 '!$L$10)*U324^2)+(('CAFCO 400 '!$L$11*(J324^3)+'CAFCO 400 '!$L$12*(J324^2)+'CAFCO 400 '!$L$13*J324+'CAFCO 400 '!$L$14)*U324)+('CAFCO 400 '!$L$15*LN(J324)+'CAFCO 400 '!$L$16)),0)+IF(AND(L324="Cafco 400",M324="Software Idiem",C324="L"),((('CAFCO 400 '!$L$7*(J324^3)+'CAFCO 400 '!$L$8*(J324^2)+'CAFCO 400 '!$L$9*J324+'CAFCO 400 '!$L$10)*U324^2)+(('CAFCO 400 '!$L$11*(J324^3)+'CAFCO 400 '!$L$12*(J324^2)+'CAFCO 400 '!$L$13*J324+'CAFCO 400 '!$L$14)*U324)+('CAFCO 400 '!$L$15*LN(J324)+'CAFCO 400 '!$L$16)),0)+IF(AND(L324="Cafco 400",M324="Software Idiem",C324="IN",G324=3),((('CAFCO 400 '!$D$23*(J324^2)+'CAFCO 400 '!$D$24*(J324)+'CAFCO 400 '!$D$25)*U324^2)+(('CAFCO 400 '!$D$26*(J324^2)+'CAFCO 400 '!$D$27*J324+'CAFCO 400 '!$D$28)*U324)+('CAFCO 400 '!$D$29*(J324^2)+'CAFCO 400 '!$D$30*J324+'CAFCO 400 '!$D$31)),0),0)+IF(AND(L324="Cafco 300",J324&gt;=95,J324&lt;=240,C324="Cj",I324=90),VLOOKUP(T324,'CAFCO 300 IDIEM TABLAS'!$B$4:$D$23,2,FALSE),0)+IF(AND(L324="Cafco 300",J324&gt;=95,J324&lt;=240,C324="Cj",I324=120),VLOOKUP(T324,'CAFCO 300 IDIEM TABLAS'!$B$4:$D$23,3,FALSE),0)+IF(AND(L324="Cafco 300",J324&gt;=95,J324&lt;=400,G324=3,C324="IN",I324=90),VLOOKUP(T324,'CAFCO 300 IDIEM TABLAS'!$F$4:$H$35,2,FALSE),0)+IF(AND(L324="Cafco 300",J324&gt;=95,J324&lt;=400,G324=3,C324="IN",I324=120),VLOOKUP(T324,'CAFCO 300 IDIEM TABLAS'!$F$4:$H$35,3,FALSE),0)+IF(AND(L324="Cafco 300",J324&gt;=95,J324&lt;=450,G324=4,C324="IN",I324=90),VLOOKUP(T324,'CAFCO 300 IDIEM TABLAS'!$J$4:$L$40,2,FALSE),0)+IF(AND(L324="Cafco 300",J324&gt;=95,J324&lt;=450,G324=4,C324="IN",I324=120),VLOOKUP(T324,'CAFCO 300 IDIEM TABLAS'!$J$4:$L$40,3,FALSE),0)+IF(AND(M324="Ensayo Idiem",L324="Cafco 400",C324="IN",G324=4,I324=90),VLOOKUP(T324,'CAFCO 400 ENSAYO'!$B$7:$D$43,2,FALSE),0)+IF(AND(M324="Ensayo Idiem",L324="Cafco 400",C324="IN",G324=4,I324=120),VLOOKUP(T324,'CAFCO 400 ENSAYO'!$B$7:$D$43,3,FALSE),0)</f>
        <v>0</v>
      </c>
      <c r="O324" s="96">
        <f t="shared" si="33"/>
        <v>0</v>
      </c>
      <c r="P324" s="95" t="str">
        <f t="shared" si="34"/>
        <v>N/A</v>
      </c>
      <c r="Q324" s="95" t="str">
        <f t="shared" si="35"/>
        <v>N/A</v>
      </c>
      <c r="R324" s="95" t="str">
        <f t="shared" si="36"/>
        <v>NO CERT.</v>
      </c>
      <c r="S324" s="95" t="e">
        <f t="shared" si="31"/>
        <v>#N/A</v>
      </c>
      <c r="T324" s="119" t="e">
        <f>+IF(J324=LOOKUP(J324,'CAFCO 300 IDIEM TABLAS'!$J$4:$J$40),'CALCULO MORTERO'!J324,MROUND('CALCULO MORTERO'!J324,10))</f>
        <v>#N/A</v>
      </c>
      <c r="U324" s="118">
        <f t="shared" si="32"/>
        <v>0</v>
      </c>
      <c r="Y324" s="4"/>
      <c r="Z324" s="4"/>
      <c r="AA324" s="4"/>
    </row>
    <row r="325" spans="1:27" x14ac:dyDescent="0.25">
      <c r="A325" s="118">
        <f>+CUBICACION!D319</f>
        <v>0</v>
      </c>
      <c r="B325" s="819">
        <f>+CUBICACION!E319</f>
        <v>0</v>
      </c>
      <c r="C325" s="675">
        <f>+CUBICACION!F319</f>
        <v>0</v>
      </c>
      <c r="D325" s="118"/>
      <c r="E325" s="118"/>
      <c r="F325" s="820"/>
      <c r="G325" s="675">
        <f>+CUBICACION!J319</f>
        <v>0</v>
      </c>
      <c r="H325" s="118"/>
      <c r="I325" s="821">
        <f>+CUBICACION!L319</f>
        <v>0</v>
      </c>
      <c r="J325" s="64">
        <f>+CUBICACION!M319</f>
        <v>0</v>
      </c>
      <c r="K325" s="822" t="str">
        <f>+CUBICACION!N319</f>
        <v/>
      </c>
      <c r="L325" s="118">
        <f>+CUBICACION!O319</f>
        <v>0</v>
      </c>
      <c r="M325" s="823">
        <f>+CUBICACION!P319</f>
        <v>0</v>
      </c>
      <c r="N325" s="902">
        <f>ROUND(IF(AND(L325="Blaze Shield II",M325="Software Idiem",C325="IN",G325=4),((('BLAZE SHIELD II'!$D$4*('CALCULO MORTERO'!I325^2)+'BLAZE SHIELD II'!$D$5*'CALCULO MORTERO'!I325+'BLAZE SHIELD II'!$D$6)*LN(J325))+('BLAZE SHIELD II'!$D$7*('CALCULO MORTERO'!I325^2)+'BLAZE SHIELD II'!$D$8*'CALCULO MORTERO'!I325+'BLAZE SHIELD II'!$D$9)),0)+IF(AND(L325="Blaze Shield II",M325="Software Idiem",C325="Cj"),((('BLAZE SHIELD II'!$H$4*('CALCULO MORTERO'!I325^2)+'BLAZE SHIELD II'!$H$5*'CALCULO MORTERO'!I325+'BLAZE SHIELD II'!$H$6)*LN(J325))+('BLAZE SHIELD II'!$H$7*('CALCULO MORTERO'!I325^2)+'BLAZE SHIELD II'!$H$8*'CALCULO MORTERO'!I325+'BLAZE SHIELD II'!$H$9)),0)+IF(AND(L325="Blaze Shield II",M325="Software Idiem",C325="C"),((('BLAZE SHIELD II'!$L$4*('CALCULO MORTERO'!I325^2)+'BLAZE SHIELD II'!$L$5*'CALCULO MORTERO'!I325+'BLAZE SHIELD II'!$L$6)*LN(J325))+('BLAZE SHIELD II'!$L$7*('CALCULO MORTERO'!I325^2)+'BLAZE SHIELD II'!$L$8*'CALCULO MORTERO'!I325+'BLAZE SHIELD II'!$L$9)),0)+IF(AND(L325="Blaze Shield II",M325="Software Idiem",C325="L"),((('BLAZE SHIELD II'!$L$4*('CALCULO MORTERO'!I325^2)+'BLAZE SHIELD II'!$L$5*'CALCULO MORTERO'!I325+'BLAZE SHIELD II'!$L$6)*LN(J325))+('BLAZE SHIELD II'!$L$7*('CALCULO MORTERO'!I325^2)+'BLAZE SHIELD II'!$L$8*'CALCULO MORTERO'!I325+'BLAZE SHIELD II'!$L$9)),0)+IF(AND(L325="Blaze Shield II",M325="Software Idiem",C325="IN",G325=3),((('BLAZE SHIELD II'!$H$14*('CALCULO MORTERO'!I325^2)+'BLAZE SHIELD II'!$H$15*'CALCULO MORTERO'!I325+'BLAZE SHIELD II'!$H$16)*LN(J325))+('BLAZE SHIELD II'!$H$17*('CALCULO MORTERO'!I325^2)+'BLAZE SHIELD II'!$H$18*'CALCULO MORTERO'!I325+'BLAZE SHIELD II'!$H$19)),0),0)+ROUND(IF(AND(L325="Cafco 400",M325="Software Idiem",C325="IN",G325=4),((('CAFCO 400 '!$H$7*(J325^4)+'CAFCO 400 '!$H$8*(J325^3)+'CAFCO 400 '!$H$9*(J325^2)+'CAFCO 400 '!$H$10*J325+'CAFCO 400 '!$H$11)*U325^2)+(('CAFCO 400 '!$H$12*(J325^3)+'CAFCO 400 '!$H$13*(J325^2)+'CAFCO 400 '!$H$14*J325+'CAFCO 400 '!$H$15)*U325)+('CAFCO 400 '!$H$16*(J325^2)+'CAFCO 400 '!$H$17*J325+'CAFCO 400 '!$H$18)),0)+IF(AND(L325="Cafco 400",M325="Software Idiem",C325="Cj"),(((('CAFCO 400 '!$D$7*LN(J325)+'CAFCO 400 '!$D$8)*U325^2)+(('CAFCO 400 '!$D$9*LN(J325)+'CAFCO 400 '!$D$10)*U325)+('CAFCO 400 '!$D$11*LN(J325)+'CAFCO 400 '!$D$12))),0)+IF(AND(L325="Cafco 400",M325="Software Idiem",C325="C"),((('CAFCO 400 '!$L$7*(J325^3)+'CAFCO 400 '!$L$8*(J325^2)+'CAFCO 400 '!$L$9*J325+'CAFCO 400 '!$L$10)*U325^2)+(('CAFCO 400 '!$L$11*(J325^3)+'CAFCO 400 '!$L$12*(J325^2)+'CAFCO 400 '!$L$13*J325+'CAFCO 400 '!$L$14)*U325)+('CAFCO 400 '!$L$15*LN(J325)+'CAFCO 400 '!$L$16)),0)+IF(AND(L325="Cafco 400",M325="Software Idiem",C325="L"),((('CAFCO 400 '!$L$7*(J325^3)+'CAFCO 400 '!$L$8*(J325^2)+'CAFCO 400 '!$L$9*J325+'CAFCO 400 '!$L$10)*U325^2)+(('CAFCO 400 '!$L$11*(J325^3)+'CAFCO 400 '!$L$12*(J325^2)+'CAFCO 400 '!$L$13*J325+'CAFCO 400 '!$L$14)*U325)+('CAFCO 400 '!$L$15*LN(J325)+'CAFCO 400 '!$L$16)),0)+IF(AND(L325="Cafco 400",M325="Software Idiem",C325="IN",G325=3),((('CAFCO 400 '!$D$23*(J325^2)+'CAFCO 400 '!$D$24*(J325)+'CAFCO 400 '!$D$25)*U325^2)+(('CAFCO 400 '!$D$26*(J325^2)+'CAFCO 400 '!$D$27*J325+'CAFCO 400 '!$D$28)*U325)+('CAFCO 400 '!$D$29*(J325^2)+'CAFCO 400 '!$D$30*J325+'CAFCO 400 '!$D$31)),0),0)+IF(AND(L325="Cafco 300",J325&gt;=95,J325&lt;=240,C325="Cj",I325=90),VLOOKUP(T325,'CAFCO 300 IDIEM TABLAS'!$B$4:$D$23,2,FALSE),0)+IF(AND(L325="Cafco 300",J325&gt;=95,J325&lt;=240,C325="Cj",I325=120),VLOOKUP(T325,'CAFCO 300 IDIEM TABLAS'!$B$4:$D$23,3,FALSE),0)+IF(AND(L325="Cafco 300",J325&gt;=95,J325&lt;=400,G325=3,C325="IN",I325=90),VLOOKUP(T325,'CAFCO 300 IDIEM TABLAS'!$F$4:$H$35,2,FALSE),0)+IF(AND(L325="Cafco 300",J325&gt;=95,J325&lt;=400,G325=3,C325="IN",I325=120),VLOOKUP(T325,'CAFCO 300 IDIEM TABLAS'!$F$4:$H$35,3,FALSE),0)+IF(AND(L325="Cafco 300",J325&gt;=95,J325&lt;=450,G325=4,C325="IN",I325=90),VLOOKUP(T325,'CAFCO 300 IDIEM TABLAS'!$J$4:$L$40,2,FALSE),0)+IF(AND(L325="Cafco 300",J325&gt;=95,J325&lt;=450,G325=4,C325="IN",I325=120),VLOOKUP(T325,'CAFCO 300 IDIEM TABLAS'!$J$4:$L$40,3,FALSE),0)+IF(AND(M325="Ensayo Idiem",L325="Cafco 400",C325="IN",G325=4,I325=90),VLOOKUP(T325,'CAFCO 400 ENSAYO'!$B$7:$D$43,2,FALSE),0)+IF(AND(M325="Ensayo Idiem",L325="Cafco 400",C325="IN",G325=4,I325=120),VLOOKUP(T325,'CAFCO 400 ENSAYO'!$B$7:$D$43,3,FALSE),0)</f>
        <v>0</v>
      </c>
      <c r="O325" s="96">
        <f t="shared" si="33"/>
        <v>0</v>
      </c>
      <c r="P325" s="95" t="str">
        <f t="shared" si="34"/>
        <v>N/A</v>
      </c>
      <c r="Q325" s="95" t="str">
        <f t="shared" si="35"/>
        <v>N/A</v>
      </c>
      <c r="R325" s="95" t="str">
        <f t="shared" si="36"/>
        <v>NO CERT.</v>
      </c>
      <c r="S325" s="95" t="e">
        <f t="shared" si="31"/>
        <v>#N/A</v>
      </c>
      <c r="T325" s="119" t="e">
        <f>+IF(J325=LOOKUP(J325,'CAFCO 300 IDIEM TABLAS'!$J$4:$J$40),'CALCULO MORTERO'!J325,MROUND('CALCULO MORTERO'!J325,10))</f>
        <v>#N/A</v>
      </c>
      <c r="U325" s="118">
        <f t="shared" si="32"/>
        <v>0</v>
      </c>
      <c r="Y325" s="4"/>
      <c r="Z325" s="4"/>
      <c r="AA325" s="4"/>
    </row>
    <row r="326" spans="1:27" ht="15.6" customHeight="1" x14ac:dyDescent="0.25">
      <c r="A326" s="118">
        <f>+CUBICACION!D320</f>
        <v>0</v>
      </c>
      <c r="B326" s="819">
        <f>+CUBICACION!E320</f>
        <v>0</v>
      </c>
      <c r="C326" s="675">
        <f>+CUBICACION!F320</f>
        <v>0</v>
      </c>
      <c r="D326" s="118"/>
      <c r="E326" s="118"/>
      <c r="F326" s="820"/>
      <c r="G326" s="675">
        <f>+CUBICACION!J320</f>
        <v>0</v>
      </c>
      <c r="H326" s="118"/>
      <c r="I326" s="821">
        <f>+CUBICACION!L320</f>
        <v>0</v>
      </c>
      <c r="J326" s="64">
        <f>+CUBICACION!M320</f>
        <v>0</v>
      </c>
      <c r="K326" s="822" t="str">
        <f>+CUBICACION!N320</f>
        <v/>
      </c>
      <c r="L326" s="118">
        <f>+CUBICACION!O320</f>
        <v>0</v>
      </c>
      <c r="M326" s="823">
        <f>+CUBICACION!P320</f>
        <v>0</v>
      </c>
      <c r="N326" s="902">
        <f>ROUND(IF(AND(L326="Blaze Shield II",M326="Software Idiem",C326="IN",G326=4),((('BLAZE SHIELD II'!$D$4*('CALCULO MORTERO'!I326^2)+'BLAZE SHIELD II'!$D$5*'CALCULO MORTERO'!I326+'BLAZE SHIELD II'!$D$6)*LN(J326))+('BLAZE SHIELD II'!$D$7*('CALCULO MORTERO'!I326^2)+'BLAZE SHIELD II'!$D$8*'CALCULO MORTERO'!I326+'BLAZE SHIELD II'!$D$9)),0)+IF(AND(L326="Blaze Shield II",M326="Software Idiem",C326="Cj"),((('BLAZE SHIELD II'!$H$4*('CALCULO MORTERO'!I326^2)+'BLAZE SHIELD II'!$H$5*'CALCULO MORTERO'!I326+'BLAZE SHIELD II'!$H$6)*LN(J326))+('BLAZE SHIELD II'!$H$7*('CALCULO MORTERO'!I326^2)+'BLAZE SHIELD II'!$H$8*'CALCULO MORTERO'!I326+'BLAZE SHIELD II'!$H$9)),0)+IF(AND(L326="Blaze Shield II",M326="Software Idiem",C326="C"),((('BLAZE SHIELD II'!$L$4*('CALCULO MORTERO'!I326^2)+'BLAZE SHIELD II'!$L$5*'CALCULO MORTERO'!I326+'BLAZE SHIELD II'!$L$6)*LN(J326))+('BLAZE SHIELD II'!$L$7*('CALCULO MORTERO'!I326^2)+'BLAZE SHIELD II'!$L$8*'CALCULO MORTERO'!I326+'BLAZE SHIELD II'!$L$9)),0)+IF(AND(L326="Blaze Shield II",M326="Software Idiem",C326="L"),((('BLAZE SHIELD II'!$L$4*('CALCULO MORTERO'!I326^2)+'BLAZE SHIELD II'!$L$5*'CALCULO MORTERO'!I326+'BLAZE SHIELD II'!$L$6)*LN(J326))+('BLAZE SHIELD II'!$L$7*('CALCULO MORTERO'!I326^2)+'BLAZE SHIELD II'!$L$8*'CALCULO MORTERO'!I326+'BLAZE SHIELD II'!$L$9)),0)+IF(AND(L326="Blaze Shield II",M326="Software Idiem",C326="IN",G326=3),((('BLAZE SHIELD II'!$H$14*('CALCULO MORTERO'!I326^2)+'BLAZE SHIELD II'!$H$15*'CALCULO MORTERO'!I326+'BLAZE SHIELD II'!$H$16)*LN(J326))+('BLAZE SHIELD II'!$H$17*('CALCULO MORTERO'!I326^2)+'BLAZE SHIELD II'!$H$18*'CALCULO MORTERO'!I326+'BLAZE SHIELD II'!$H$19)),0),0)+ROUND(IF(AND(L326="Cafco 400",M326="Software Idiem",C326="IN",G326=4),((('CAFCO 400 '!$H$7*(J326^4)+'CAFCO 400 '!$H$8*(J326^3)+'CAFCO 400 '!$H$9*(J326^2)+'CAFCO 400 '!$H$10*J326+'CAFCO 400 '!$H$11)*U326^2)+(('CAFCO 400 '!$H$12*(J326^3)+'CAFCO 400 '!$H$13*(J326^2)+'CAFCO 400 '!$H$14*J326+'CAFCO 400 '!$H$15)*U326)+('CAFCO 400 '!$H$16*(J326^2)+'CAFCO 400 '!$H$17*J326+'CAFCO 400 '!$H$18)),0)+IF(AND(L326="Cafco 400",M326="Software Idiem",C326="Cj"),(((('CAFCO 400 '!$D$7*LN(J326)+'CAFCO 400 '!$D$8)*U326^2)+(('CAFCO 400 '!$D$9*LN(J326)+'CAFCO 400 '!$D$10)*U326)+('CAFCO 400 '!$D$11*LN(J326)+'CAFCO 400 '!$D$12))),0)+IF(AND(L326="Cafco 400",M326="Software Idiem",C326="C"),((('CAFCO 400 '!$L$7*(J326^3)+'CAFCO 400 '!$L$8*(J326^2)+'CAFCO 400 '!$L$9*J326+'CAFCO 400 '!$L$10)*U326^2)+(('CAFCO 400 '!$L$11*(J326^3)+'CAFCO 400 '!$L$12*(J326^2)+'CAFCO 400 '!$L$13*J326+'CAFCO 400 '!$L$14)*U326)+('CAFCO 400 '!$L$15*LN(J326)+'CAFCO 400 '!$L$16)),0)+IF(AND(L326="Cafco 400",M326="Software Idiem",C326="L"),((('CAFCO 400 '!$L$7*(J326^3)+'CAFCO 400 '!$L$8*(J326^2)+'CAFCO 400 '!$L$9*J326+'CAFCO 400 '!$L$10)*U326^2)+(('CAFCO 400 '!$L$11*(J326^3)+'CAFCO 400 '!$L$12*(J326^2)+'CAFCO 400 '!$L$13*J326+'CAFCO 400 '!$L$14)*U326)+('CAFCO 400 '!$L$15*LN(J326)+'CAFCO 400 '!$L$16)),0)+IF(AND(L326="Cafco 400",M326="Software Idiem",C326="IN",G326=3),((('CAFCO 400 '!$D$23*(J326^2)+'CAFCO 400 '!$D$24*(J326)+'CAFCO 400 '!$D$25)*U326^2)+(('CAFCO 400 '!$D$26*(J326^2)+'CAFCO 400 '!$D$27*J326+'CAFCO 400 '!$D$28)*U326)+('CAFCO 400 '!$D$29*(J326^2)+'CAFCO 400 '!$D$30*J326+'CAFCO 400 '!$D$31)),0),0)+IF(AND(L326="Cafco 300",J326&gt;=95,J326&lt;=240,C326="Cj",I326=90),VLOOKUP(T326,'CAFCO 300 IDIEM TABLAS'!$B$4:$D$23,2,FALSE),0)+IF(AND(L326="Cafco 300",J326&gt;=95,J326&lt;=240,C326="Cj",I326=120),VLOOKUP(T326,'CAFCO 300 IDIEM TABLAS'!$B$4:$D$23,3,FALSE),0)+IF(AND(L326="Cafco 300",J326&gt;=95,J326&lt;=400,G326=3,C326="IN",I326=90),VLOOKUP(T326,'CAFCO 300 IDIEM TABLAS'!$F$4:$H$35,2,FALSE),0)+IF(AND(L326="Cafco 300",J326&gt;=95,J326&lt;=400,G326=3,C326="IN",I326=120),VLOOKUP(T326,'CAFCO 300 IDIEM TABLAS'!$F$4:$H$35,3,FALSE),0)+IF(AND(L326="Cafco 300",J326&gt;=95,J326&lt;=450,G326=4,C326="IN",I326=90),VLOOKUP(T326,'CAFCO 300 IDIEM TABLAS'!$J$4:$L$40,2,FALSE),0)+IF(AND(L326="Cafco 300",J326&gt;=95,J326&lt;=450,G326=4,C326="IN",I326=120),VLOOKUP(T326,'CAFCO 300 IDIEM TABLAS'!$J$4:$L$40,3,FALSE),0)+IF(AND(M326="Ensayo Idiem",L326="Cafco 400",C326="IN",G326=4,I326=90),VLOOKUP(T326,'CAFCO 400 ENSAYO'!$B$7:$D$43,2,FALSE),0)+IF(AND(M326="Ensayo Idiem",L326="Cafco 400",C326="IN",G326=4,I326=120),VLOOKUP(T326,'CAFCO 400 ENSAYO'!$B$7:$D$43,3,FALSE),0)</f>
        <v>0</v>
      </c>
      <c r="O326" s="96">
        <f t="shared" si="33"/>
        <v>0</v>
      </c>
      <c r="P326" s="95" t="str">
        <f t="shared" si="34"/>
        <v>N/A</v>
      </c>
      <c r="Q326" s="95" t="str">
        <f t="shared" si="35"/>
        <v>N/A</v>
      </c>
      <c r="R326" s="95" t="str">
        <f t="shared" si="36"/>
        <v>NO CERT.</v>
      </c>
      <c r="S326" s="95" t="e">
        <f t="shared" si="31"/>
        <v>#N/A</v>
      </c>
      <c r="T326" s="119" t="e">
        <f>+IF(J326=LOOKUP(J326,'CAFCO 300 IDIEM TABLAS'!$J$4:$J$40),'CALCULO MORTERO'!J326,MROUND('CALCULO MORTERO'!J326,10))</f>
        <v>#N/A</v>
      </c>
      <c r="U326" s="118">
        <f t="shared" si="32"/>
        <v>0</v>
      </c>
      <c r="Y326" s="4"/>
      <c r="Z326" s="4"/>
      <c r="AA326" s="4"/>
    </row>
    <row r="327" spans="1:27" x14ac:dyDescent="0.25">
      <c r="A327" s="118">
        <f>+CUBICACION!D321</f>
        <v>0</v>
      </c>
      <c r="B327" s="819">
        <f>+CUBICACION!E321</f>
        <v>0</v>
      </c>
      <c r="C327" s="675">
        <f>+CUBICACION!F321</f>
        <v>0</v>
      </c>
      <c r="D327" s="118"/>
      <c r="E327" s="118"/>
      <c r="F327" s="820"/>
      <c r="G327" s="675">
        <f>+CUBICACION!J321</f>
        <v>0</v>
      </c>
      <c r="H327" s="118"/>
      <c r="I327" s="821">
        <f>+CUBICACION!L321</f>
        <v>0</v>
      </c>
      <c r="J327" s="64">
        <f>+CUBICACION!M321</f>
        <v>0</v>
      </c>
      <c r="K327" s="822" t="str">
        <f>+CUBICACION!N321</f>
        <v/>
      </c>
      <c r="L327" s="118">
        <f>+CUBICACION!O321</f>
        <v>0</v>
      </c>
      <c r="M327" s="823">
        <f>+CUBICACION!P321</f>
        <v>0</v>
      </c>
      <c r="N327" s="902">
        <f>ROUND(IF(AND(L327="Blaze Shield II",M327="Software Idiem",C327="IN",G327=4),((('BLAZE SHIELD II'!$D$4*('CALCULO MORTERO'!I327^2)+'BLAZE SHIELD II'!$D$5*'CALCULO MORTERO'!I327+'BLAZE SHIELD II'!$D$6)*LN(J327))+('BLAZE SHIELD II'!$D$7*('CALCULO MORTERO'!I327^2)+'BLAZE SHIELD II'!$D$8*'CALCULO MORTERO'!I327+'BLAZE SHIELD II'!$D$9)),0)+IF(AND(L327="Blaze Shield II",M327="Software Idiem",C327="Cj"),((('BLAZE SHIELD II'!$H$4*('CALCULO MORTERO'!I327^2)+'BLAZE SHIELD II'!$H$5*'CALCULO MORTERO'!I327+'BLAZE SHIELD II'!$H$6)*LN(J327))+('BLAZE SHIELD II'!$H$7*('CALCULO MORTERO'!I327^2)+'BLAZE SHIELD II'!$H$8*'CALCULO MORTERO'!I327+'BLAZE SHIELD II'!$H$9)),0)+IF(AND(L327="Blaze Shield II",M327="Software Idiem",C327="C"),((('BLAZE SHIELD II'!$L$4*('CALCULO MORTERO'!I327^2)+'BLAZE SHIELD II'!$L$5*'CALCULO MORTERO'!I327+'BLAZE SHIELD II'!$L$6)*LN(J327))+('BLAZE SHIELD II'!$L$7*('CALCULO MORTERO'!I327^2)+'BLAZE SHIELD II'!$L$8*'CALCULO MORTERO'!I327+'BLAZE SHIELD II'!$L$9)),0)+IF(AND(L327="Blaze Shield II",M327="Software Idiem",C327="L"),((('BLAZE SHIELD II'!$L$4*('CALCULO MORTERO'!I327^2)+'BLAZE SHIELD II'!$L$5*'CALCULO MORTERO'!I327+'BLAZE SHIELD II'!$L$6)*LN(J327))+('BLAZE SHIELD II'!$L$7*('CALCULO MORTERO'!I327^2)+'BLAZE SHIELD II'!$L$8*'CALCULO MORTERO'!I327+'BLAZE SHIELD II'!$L$9)),0)+IF(AND(L327="Blaze Shield II",M327="Software Idiem",C327="IN",G327=3),((('BLAZE SHIELD II'!$H$14*('CALCULO MORTERO'!I327^2)+'BLAZE SHIELD II'!$H$15*'CALCULO MORTERO'!I327+'BLAZE SHIELD II'!$H$16)*LN(J327))+('BLAZE SHIELD II'!$H$17*('CALCULO MORTERO'!I327^2)+'BLAZE SHIELD II'!$H$18*'CALCULO MORTERO'!I327+'BLAZE SHIELD II'!$H$19)),0),0)+ROUND(IF(AND(L327="Cafco 400",M327="Software Idiem",C327="IN",G327=4),((('CAFCO 400 '!$H$7*(J327^4)+'CAFCO 400 '!$H$8*(J327^3)+'CAFCO 400 '!$H$9*(J327^2)+'CAFCO 400 '!$H$10*J327+'CAFCO 400 '!$H$11)*U327^2)+(('CAFCO 400 '!$H$12*(J327^3)+'CAFCO 400 '!$H$13*(J327^2)+'CAFCO 400 '!$H$14*J327+'CAFCO 400 '!$H$15)*U327)+('CAFCO 400 '!$H$16*(J327^2)+'CAFCO 400 '!$H$17*J327+'CAFCO 400 '!$H$18)),0)+IF(AND(L327="Cafco 400",M327="Software Idiem",C327="Cj"),(((('CAFCO 400 '!$D$7*LN(J327)+'CAFCO 400 '!$D$8)*U327^2)+(('CAFCO 400 '!$D$9*LN(J327)+'CAFCO 400 '!$D$10)*U327)+('CAFCO 400 '!$D$11*LN(J327)+'CAFCO 400 '!$D$12))),0)+IF(AND(L327="Cafco 400",M327="Software Idiem",C327="C"),((('CAFCO 400 '!$L$7*(J327^3)+'CAFCO 400 '!$L$8*(J327^2)+'CAFCO 400 '!$L$9*J327+'CAFCO 400 '!$L$10)*U327^2)+(('CAFCO 400 '!$L$11*(J327^3)+'CAFCO 400 '!$L$12*(J327^2)+'CAFCO 400 '!$L$13*J327+'CAFCO 400 '!$L$14)*U327)+('CAFCO 400 '!$L$15*LN(J327)+'CAFCO 400 '!$L$16)),0)+IF(AND(L327="Cafco 400",M327="Software Idiem",C327="L"),((('CAFCO 400 '!$L$7*(J327^3)+'CAFCO 400 '!$L$8*(J327^2)+'CAFCO 400 '!$L$9*J327+'CAFCO 400 '!$L$10)*U327^2)+(('CAFCO 400 '!$L$11*(J327^3)+'CAFCO 400 '!$L$12*(J327^2)+'CAFCO 400 '!$L$13*J327+'CAFCO 400 '!$L$14)*U327)+('CAFCO 400 '!$L$15*LN(J327)+'CAFCO 400 '!$L$16)),0)+IF(AND(L327="Cafco 400",M327="Software Idiem",C327="IN",G327=3),((('CAFCO 400 '!$D$23*(J327^2)+'CAFCO 400 '!$D$24*(J327)+'CAFCO 400 '!$D$25)*U327^2)+(('CAFCO 400 '!$D$26*(J327^2)+'CAFCO 400 '!$D$27*J327+'CAFCO 400 '!$D$28)*U327)+('CAFCO 400 '!$D$29*(J327^2)+'CAFCO 400 '!$D$30*J327+'CAFCO 400 '!$D$31)),0),0)+IF(AND(L327="Cafco 300",J327&gt;=95,J327&lt;=240,C327="Cj",I327=90),VLOOKUP(T327,'CAFCO 300 IDIEM TABLAS'!$B$4:$D$23,2,FALSE),0)+IF(AND(L327="Cafco 300",J327&gt;=95,J327&lt;=240,C327="Cj",I327=120),VLOOKUP(T327,'CAFCO 300 IDIEM TABLAS'!$B$4:$D$23,3,FALSE),0)+IF(AND(L327="Cafco 300",J327&gt;=95,J327&lt;=400,G327=3,C327="IN",I327=90),VLOOKUP(T327,'CAFCO 300 IDIEM TABLAS'!$F$4:$H$35,2,FALSE),0)+IF(AND(L327="Cafco 300",J327&gt;=95,J327&lt;=400,G327=3,C327="IN",I327=120),VLOOKUP(T327,'CAFCO 300 IDIEM TABLAS'!$F$4:$H$35,3,FALSE),0)+IF(AND(L327="Cafco 300",J327&gt;=95,J327&lt;=450,G327=4,C327="IN",I327=90),VLOOKUP(T327,'CAFCO 300 IDIEM TABLAS'!$J$4:$L$40,2,FALSE),0)+IF(AND(L327="Cafco 300",J327&gt;=95,J327&lt;=450,G327=4,C327="IN",I327=120),VLOOKUP(T327,'CAFCO 300 IDIEM TABLAS'!$J$4:$L$40,3,FALSE),0)+IF(AND(M327="Ensayo Idiem",L327="Cafco 400",C327="IN",G327=4,I327=90),VLOOKUP(T327,'CAFCO 400 ENSAYO'!$B$7:$D$43,2,FALSE),0)+IF(AND(M327="Ensayo Idiem",L327="Cafco 400",C327="IN",G327=4,I327=120),VLOOKUP(T327,'CAFCO 400 ENSAYO'!$B$7:$D$43,3,FALSE),0)</f>
        <v>0</v>
      </c>
      <c r="O327" s="96">
        <f t="shared" si="33"/>
        <v>0</v>
      </c>
      <c r="P327" s="95" t="str">
        <f t="shared" si="34"/>
        <v>N/A</v>
      </c>
      <c r="Q327" s="95" t="str">
        <f t="shared" si="35"/>
        <v>N/A</v>
      </c>
      <c r="R327" s="95" t="str">
        <f t="shared" si="36"/>
        <v>NO CERT.</v>
      </c>
      <c r="S327" s="95" t="e">
        <f t="shared" si="31"/>
        <v>#N/A</v>
      </c>
      <c r="T327" s="119" t="e">
        <f>+IF(J327=LOOKUP(J327,'CAFCO 300 IDIEM TABLAS'!$J$4:$J$40),'CALCULO MORTERO'!J327,MROUND('CALCULO MORTERO'!J327,10))</f>
        <v>#N/A</v>
      </c>
      <c r="U327" s="118">
        <f t="shared" si="32"/>
        <v>0</v>
      </c>
      <c r="Y327" s="4"/>
      <c r="Z327" s="4"/>
      <c r="AA327" s="4"/>
    </row>
    <row r="328" spans="1:27" ht="15.6" customHeight="1" x14ac:dyDescent="0.25">
      <c r="A328" s="118">
        <f>+CUBICACION!D322</f>
        <v>0</v>
      </c>
      <c r="B328" s="819">
        <f>+CUBICACION!E322</f>
        <v>0</v>
      </c>
      <c r="C328" s="675">
        <f>+CUBICACION!F322</f>
        <v>0</v>
      </c>
      <c r="D328" s="118"/>
      <c r="E328" s="118"/>
      <c r="F328" s="820"/>
      <c r="G328" s="675">
        <f>+CUBICACION!J322</f>
        <v>0</v>
      </c>
      <c r="H328" s="118"/>
      <c r="I328" s="821">
        <f>+CUBICACION!L322</f>
        <v>0</v>
      </c>
      <c r="J328" s="64">
        <f>+CUBICACION!M322</f>
        <v>0</v>
      </c>
      <c r="K328" s="822" t="str">
        <f>+CUBICACION!N322</f>
        <v/>
      </c>
      <c r="L328" s="118">
        <f>+CUBICACION!O322</f>
        <v>0</v>
      </c>
      <c r="M328" s="823">
        <f>+CUBICACION!P322</f>
        <v>0</v>
      </c>
      <c r="N328" s="902">
        <f>ROUND(IF(AND(L328="Blaze Shield II",M328="Software Idiem",C328="IN",G328=4),((('BLAZE SHIELD II'!$D$4*('CALCULO MORTERO'!I328^2)+'BLAZE SHIELD II'!$D$5*'CALCULO MORTERO'!I328+'BLAZE SHIELD II'!$D$6)*LN(J328))+('BLAZE SHIELD II'!$D$7*('CALCULO MORTERO'!I328^2)+'BLAZE SHIELD II'!$D$8*'CALCULO MORTERO'!I328+'BLAZE SHIELD II'!$D$9)),0)+IF(AND(L328="Blaze Shield II",M328="Software Idiem",C328="Cj"),((('BLAZE SHIELD II'!$H$4*('CALCULO MORTERO'!I328^2)+'BLAZE SHIELD II'!$H$5*'CALCULO MORTERO'!I328+'BLAZE SHIELD II'!$H$6)*LN(J328))+('BLAZE SHIELD II'!$H$7*('CALCULO MORTERO'!I328^2)+'BLAZE SHIELD II'!$H$8*'CALCULO MORTERO'!I328+'BLAZE SHIELD II'!$H$9)),0)+IF(AND(L328="Blaze Shield II",M328="Software Idiem",C328="C"),((('BLAZE SHIELD II'!$L$4*('CALCULO MORTERO'!I328^2)+'BLAZE SHIELD II'!$L$5*'CALCULO MORTERO'!I328+'BLAZE SHIELD II'!$L$6)*LN(J328))+('BLAZE SHIELD II'!$L$7*('CALCULO MORTERO'!I328^2)+'BLAZE SHIELD II'!$L$8*'CALCULO MORTERO'!I328+'BLAZE SHIELD II'!$L$9)),0)+IF(AND(L328="Blaze Shield II",M328="Software Idiem",C328="L"),((('BLAZE SHIELD II'!$L$4*('CALCULO MORTERO'!I328^2)+'BLAZE SHIELD II'!$L$5*'CALCULO MORTERO'!I328+'BLAZE SHIELD II'!$L$6)*LN(J328))+('BLAZE SHIELD II'!$L$7*('CALCULO MORTERO'!I328^2)+'BLAZE SHIELD II'!$L$8*'CALCULO MORTERO'!I328+'BLAZE SHIELD II'!$L$9)),0)+IF(AND(L328="Blaze Shield II",M328="Software Idiem",C328="IN",G328=3),((('BLAZE SHIELD II'!$H$14*('CALCULO MORTERO'!I328^2)+'BLAZE SHIELD II'!$H$15*'CALCULO MORTERO'!I328+'BLAZE SHIELD II'!$H$16)*LN(J328))+('BLAZE SHIELD II'!$H$17*('CALCULO MORTERO'!I328^2)+'BLAZE SHIELD II'!$H$18*'CALCULO MORTERO'!I328+'BLAZE SHIELD II'!$H$19)),0),0)+ROUND(IF(AND(L328="Cafco 400",M328="Software Idiem",C328="IN",G328=4),((('CAFCO 400 '!$H$7*(J328^4)+'CAFCO 400 '!$H$8*(J328^3)+'CAFCO 400 '!$H$9*(J328^2)+'CAFCO 400 '!$H$10*J328+'CAFCO 400 '!$H$11)*U328^2)+(('CAFCO 400 '!$H$12*(J328^3)+'CAFCO 400 '!$H$13*(J328^2)+'CAFCO 400 '!$H$14*J328+'CAFCO 400 '!$H$15)*U328)+('CAFCO 400 '!$H$16*(J328^2)+'CAFCO 400 '!$H$17*J328+'CAFCO 400 '!$H$18)),0)+IF(AND(L328="Cafco 400",M328="Software Idiem",C328="Cj"),(((('CAFCO 400 '!$D$7*LN(J328)+'CAFCO 400 '!$D$8)*U328^2)+(('CAFCO 400 '!$D$9*LN(J328)+'CAFCO 400 '!$D$10)*U328)+('CAFCO 400 '!$D$11*LN(J328)+'CAFCO 400 '!$D$12))),0)+IF(AND(L328="Cafco 400",M328="Software Idiem",C328="C"),((('CAFCO 400 '!$L$7*(J328^3)+'CAFCO 400 '!$L$8*(J328^2)+'CAFCO 400 '!$L$9*J328+'CAFCO 400 '!$L$10)*U328^2)+(('CAFCO 400 '!$L$11*(J328^3)+'CAFCO 400 '!$L$12*(J328^2)+'CAFCO 400 '!$L$13*J328+'CAFCO 400 '!$L$14)*U328)+('CAFCO 400 '!$L$15*LN(J328)+'CAFCO 400 '!$L$16)),0)+IF(AND(L328="Cafco 400",M328="Software Idiem",C328="L"),((('CAFCO 400 '!$L$7*(J328^3)+'CAFCO 400 '!$L$8*(J328^2)+'CAFCO 400 '!$L$9*J328+'CAFCO 400 '!$L$10)*U328^2)+(('CAFCO 400 '!$L$11*(J328^3)+'CAFCO 400 '!$L$12*(J328^2)+'CAFCO 400 '!$L$13*J328+'CAFCO 400 '!$L$14)*U328)+('CAFCO 400 '!$L$15*LN(J328)+'CAFCO 400 '!$L$16)),0)+IF(AND(L328="Cafco 400",M328="Software Idiem",C328="IN",G328=3),((('CAFCO 400 '!$D$23*(J328^2)+'CAFCO 400 '!$D$24*(J328)+'CAFCO 400 '!$D$25)*U328^2)+(('CAFCO 400 '!$D$26*(J328^2)+'CAFCO 400 '!$D$27*J328+'CAFCO 400 '!$D$28)*U328)+('CAFCO 400 '!$D$29*(J328^2)+'CAFCO 400 '!$D$30*J328+'CAFCO 400 '!$D$31)),0),0)+IF(AND(L328="Cafco 300",J328&gt;=95,J328&lt;=240,C328="Cj",I328=90),VLOOKUP(T328,'CAFCO 300 IDIEM TABLAS'!$B$4:$D$23,2,FALSE),0)+IF(AND(L328="Cafco 300",J328&gt;=95,J328&lt;=240,C328="Cj",I328=120),VLOOKUP(T328,'CAFCO 300 IDIEM TABLAS'!$B$4:$D$23,3,FALSE),0)+IF(AND(L328="Cafco 300",J328&gt;=95,J328&lt;=400,G328=3,C328="IN",I328=90),VLOOKUP(T328,'CAFCO 300 IDIEM TABLAS'!$F$4:$H$35,2,FALSE),0)+IF(AND(L328="Cafco 300",J328&gt;=95,J328&lt;=400,G328=3,C328="IN",I328=120),VLOOKUP(T328,'CAFCO 300 IDIEM TABLAS'!$F$4:$H$35,3,FALSE),0)+IF(AND(L328="Cafco 300",J328&gt;=95,J328&lt;=450,G328=4,C328="IN",I328=90),VLOOKUP(T328,'CAFCO 300 IDIEM TABLAS'!$J$4:$L$40,2,FALSE),0)+IF(AND(L328="Cafco 300",J328&gt;=95,J328&lt;=450,G328=4,C328="IN",I328=120),VLOOKUP(T328,'CAFCO 300 IDIEM TABLAS'!$J$4:$L$40,3,FALSE),0)+IF(AND(M328="Ensayo Idiem",L328="Cafco 400",C328="IN",G328=4,I328=90),VLOOKUP(T328,'CAFCO 400 ENSAYO'!$B$7:$D$43,2,FALSE),0)+IF(AND(M328="Ensayo Idiem",L328="Cafco 400",C328="IN",G328=4,I328=120),VLOOKUP(T328,'CAFCO 400 ENSAYO'!$B$7:$D$43,3,FALSE),0)</f>
        <v>0</v>
      </c>
      <c r="O328" s="96">
        <f t="shared" si="33"/>
        <v>0</v>
      </c>
      <c r="P328" s="95" t="str">
        <f t="shared" si="34"/>
        <v>N/A</v>
      </c>
      <c r="Q328" s="95" t="str">
        <f t="shared" si="35"/>
        <v>N/A</v>
      </c>
      <c r="R328" s="95" t="str">
        <f t="shared" si="36"/>
        <v>NO CERT.</v>
      </c>
      <c r="S328" s="95" t="e">
        <f t="shared" si="31"/>
        <v>#N/A</v>
      </c>
      <c r="T328" s="119" t="e">
        <f>+IF(J328=LOOKUP(J328,'CAFCO 300 IDIEM TABLAS'!$J$4:$J$40),'CALCULO MORTERO'!J328,MROUND('CALCULO MORTERO'!J328,10))</f>
        <v>#N/A</v>
      </c>
      <c r="U328" s="118">
        <f t="shared" si="32"/>
        <v>0</v>
      </c>
      <c r="Y328" s="4"/>
      <c r="Z328" s="4"/>
      <c r="AA328" s="4"/>
    </row>
    <row r="329" spans="1:27" x14ac:dyDescent="0.25">
      <c r="A329" s="118">
        <f>+CUBICACION!D323</f>
        <v>0</v>
      </c>
      <c r="B329" s="819">
        <f>+CUBICACION!E323</f>
        <v>0</v>
      </c>
      <c r="C329" s="675">
        <f>+CUBICACION!F323</f>
        <v>0</v>
      </c>
      <c r="D329" s="118"/>
      <c r="E329" s="118"/>
      <c r="F329" s="820"/>
      <c r="G329" s="675">
        <f>+CUBICACION!J323</f>
        <v>0</v>
      </c>
      <c r="H329" s="118"/>
      <c r="I329" s="821">
        <f>+CUBICACION!L323</f>
        <v>0</v>
      </c>
      <c r="J329" s="64">
        <f>+CUBICACION!M323</f>
        <v>0</v>
      </c>
      <c r="K329" s="822" t="str">
        <f>+CUBICACION!N323</f>
        <v/>
      </c>
      <c r="L329" s="118">
        <f>+CUBICACION!O323</f>
        <v>0</v>
      </c>
      <c r="M329" s="823">
        <f>+CUBICACION!P323</f>
        <v>0</v>
      </c>
      <c r="N329" s="902">
        <f>ROUND(IF(AND(L329="Blaze Shield II",M329="Software Idiem",C329="IN",G329=4),((('BLAZE SHIELD II'!$D$4*('CALCULO MORTERO'!I329^2)+'BLAZE SHIELD II'!$D$5*'CALCULO MORTERO'!I329+'BLAZE SHIELD II'!$D$6)*LN(J329))+('BLAZE SHIELD II'!$D$7*('CALCULO MORTERO'!I329^2)+'BLAZE SHIELD II'!$D$8*'CALCULO MORTERO'!I329+'BLAZE SHIELD II'!$D$9)),0)+IF(AND(L329="Blaze Shield II",M329="Software Idiem",C329="Cj"),((('BLAZE SHIELD II'!$H$4*('CALCULO MORTERO'!I329^2)+'BLAZE SHIELD II'!$H$5*'CALCULO MORTERO'!I329+'BLAZE SHIELD II'!$H$6)*LN(J329))+('BLAZE SHIELD II'!$H$7*('CALCULO MORTERO'!I329^2)+'BLAZE SHIELD II'!$H$8*'CALCULO MORTERO'!I329+'BLAZE SHIELD II'!$H$9)),0)+IF(AND(L329="Blaze Shield II",M329="Software Idiem",C329="C"),((('BLAZE SHIELD II'!$L$4*('CALCULO MORTERO'!I329^2)+'BLAZE SHIELD II'!$L$5*'CALCULO MORTERO'!I329+'BLAZE SHIELD II'!$L$6)*LN(J329))+('BLAZE SHIELD II'!$L$7*('CALCULO MORTERO'!I329^2)+'BLAZE SHIELD II'!$L$8*'CALCULO MORTERO'!I329+'BLAZE SHIELD II'!$L$9)),0)+IF(AND(L329="Blaze Shield II",M329="Software Idiem",C329="L"),((('BLAZE SHIELD II'!$L$4*('CALCULO MORTERO'!I329^2)+'BLAZE SHIELD II'!$L$5*'CALCULO MORTERO'!I329+'BLAZE SHIELD II'!$L$6)*LN(J329))+('BLAZE SHIELD II'!$L$7*('CALCULO MORTERO'!I329^2)+'BLAZE SHIELD II'!$L$8*'CALCULO MORTERO'!I329+'BLAZE SHIELD II'!$L$9)),0)+IF(AND(L329="Blaze Shield II",M329="Software Idiem",C329="IN",G329=3),((('BLAZE SHIELD II'!$H$14*('CALCULO MORTERO'!I329^2)+'BLAZE SHIELD II'!$H$15*'CALCULO MORTERO'!I329+'BLAZE SHIELD II'!$H$16)*LN(J329))+('BLAZE SHIELD II'!$H$17*('CALCULO MORTERO'!I329^2)+'BLAZE SHIELD II'!$H$18*'CALCULO MORTERO'!I329+'BLAZE SHIELD II'!$H$19)),0),0)+ROUND(IF(AND(L329="Cafco 400",M329="Software Idiem",C329="IN",G329=4),((('CAFCO 400 '!$H$7*(J329^4)+'CAFCO 400 '!$H$8*(J329^3)+'CAFCO 400 '!$H$9*(J329^2)+'CAFCO 400 '!$H$10*J329+'CAFCO 400 '!$H$11)*U329^2)+(('CAFCO 400 '!$H$12*(J329^3)+'CAFCO 400 '!$H$13*(J329^2)+'CAFCO 400 '!$H$14*J329+'CAFCO 400 '!$H$15)*U329)+('CAFCO 400 '!$H$16*(J329^2)+'CAFCO 400 '!$H$17*J329+'CAFCO 400 '!$H$18)),0)+IF(AND(L329="Cafco 400",M329="Software Idiem",C329="Cj"),(((('CAFCO 400 '!$D$7*LN(J329)+'CAFCO 400 '!$D$8)*U329^2)+(('CAFCO 400 '!$D$9*LN(J329)+'CAFCO 400 '!$D$10)*U329)+('CAFCO 400 '!$D$11*LN(J329)+'CAFCO 400 '!$D$12))),0)+IF(AND(L329="Cafco 400",M329="Software Idiem",C329="C"),((('CAFCO 400 '!$L$7*(J329^3)+'CAFCO 400 '!$L$8*(J329^2)+'CAFCO 400 '!$L$9*J329+'CAFCO 400 '!$L$10)*U329^2)+(('CAFCO 400 '!$L$11*(J329^3)+'CAFCO 400 '!$L$12*(J329^2)+'CAFCO 400 '!$L$13*J329+'CAFCO 400 '!$L$14)*U329)+('CAFCO 400 '!$L$15*LN(J329)+'CAFCO 400 '!$L$16)),0)+IF(AND(L329="Cafco 400",M329="Software Idiem",C329="L"),((('CAFCO 400 '!$L$7*(J329^3)+'CAFCO 400 '!$L$8*(J329^2)+'CAFCO 400 '!$L$9*J329+'CAFCO 400 '!$L$10)*U329^2)+(('CAFCO 400 '!$L$11*(J329^3)+'CAFCO 400 '!$L$12*(J329^2)+'CAFCO 400 '!$L$13*J329+'CAFCO 400 '!$L$14)*U329)+('CAFCO 400 '!$L$15*LN(J329)+'CAFCO 400 '!$L$16)),0)+IF(AND(L329="Cafco 400",M329="Software Idiem",C329="IN",G329=3),((('CAFCO 400 '!$D$23*(J329^2)+'CAFCO 400 '!$D$24*(J329)+'CAFCO 400 '!$D$25)*U329^2)+(('CAFCO 400 '!$D$26*(J329^2)+'CAFCO 400 '!$D$27*J329+'CAFCO 400 '!$D$28)*U329)+('CAFCO 400 '!$D$29*(J329^2)+'CAFCO 400 '!$D$30*J329+'CAFCO 400 '!$D$31)),0),0)+IF(AND(L329="Cafco 300",J329&gt;=95,J329&lt;=240,C329="Cj",I329=90),VLOOKUP(T329,'CAFCO 300 IDIEM TABLAS'!$B$4:$D$23,2,FALSE),0)+IF(AND(L329="Cafco 300",J329&gt;=95,J329&lt;=240,C329="Cj",I329=120),VLOOKUP(T329,'CAFCO 300 IDIEM TABLAS'!$B$4:$D$23,3,FALSE),0)+IF(AND(L329="Cafco 300",J329&gt;=95,J329&lt;=400,G329=3,C329="IN",I329=90),VLOOKUP(T329,'CAFCO 300 IDIEM TABLAS'!$F$4:$H$35,2,FALSE),0)+IF(AND(L329="Cafco 300",J329&gt;=95,J329&lt;=400,G329=3,C329="IN",I329=120),VLOOKUP(T329,'CAFCO 300 IDIEM TABLAS'!$F$4:$H$35,3,FALSE),0)+IF(AND(L329="Cafco 300",J329&gt;=95,J329&lt;=450,G329=4,C329="IN",I329=90),VLOOKUP(T329,'CAFCO 300 IDIEM TABLAS'!$J$4:$L$40,2,FALSE),0)+IF(AND(L329="Cafco 300",J329&gt;=95,J329&lt;=450,G329=4,C329="IN",I329=120),VLOOKUP(T329,'CAFCO 300 IDIEM TABLAS'!$J$4:$L$40,3,FALSE),0)+IF(AND(M329="Ensayo Idiem",L329="Cafco 400",C329="IN",G329=4,I329=90),VLOOKUP(T329,'CAFCO 400 ENSAYO'!$B$7:$D$43,2,FALSE),0)+IF(AND(M329="Ensayo Idiem",L329="Cafco 400",C329="IN",G329=4,I329=120),VLOOKUP(T329,'CAFCO 400 ENSAYO'!$B$7:$D$43,3,FALSE),0)</f>
        <v>0</v>
      </c>
      <c r="O329" s="96">
        <f t="shared" si="33"/>
        <v>0</v>
      </c>
      <c r="P329" s="95" t="str">
        <f t="shared" si="34"/>
        <v>N/A</v>
      </c>
      <c r="Q329" s="95" t="str">
        <f t="shared" si="35"/>
        <v>N/A</v>
      </c>
      <c r="R329" s="95" t="str">
        <f t="shared" si="36"/>
        <v>NO CERT.</v>
      </c>
      <c r="S329" s="95" t="e">
        <f t="shared" si="31"/>
        <v>#N/A</v>
      </c>
      <c r="T329" s="119" t="e">
        <f>+IF(J329=LOOKUP(J329,'CAFCO 300 IDIEM TABLAS'!$J$4:$J$40),'CALCULO MORTERO'!J329,MROUND('CALCULO MORTERO'!J329,10))</f>
        <v>#N/A</v>
      </c>
      <c r="U329" s="118">
        <f t="shared" si="32"/>
        <v>0</v>
      </c>
      <c r="Y329" s="4"/>
      <c r="Z329" s="4"/>
      <c r="AA329" s="4"/>
    </row>
    <row r="330" spans="1:27" ht="15.6" customHeight="1" x14ac:dyDescent="0.25">
      <c r="A330" s="118">
        <f>+CUBICACION!D324</f>
        <v>0</v>
      </c>
      <c r="B330" s="819">
        <f>+CUBICACION!E324</f>
        <v>0</v>
      </c>
      <c r="C330" s="675">
        <f>+CUBICACION!F324</f>
        <v>0</v>
      </c>
      <c r="D330" s="118"/>
      <c r="E330" s="118"/>
      <c r="F330" s="820"/>
      <c r="G330" s="675">
        <f>+CUBICACION!J324</f>
        <v>0</v>
      </c>
      <c r="H330" s="118"/>
      <c r="I330" s="821">
        <f>+CUBICACION!L324</f>
        <v>0</v>
      </c>
      <c r="J330" s="64">
        <f>+CUBICACION!M324</f>
        <v>0</v>
      </c>
      <c r="K330" s="822" t="str">
        <f>+CUBICACION!N324</f>
        <v/>
      </c>
      <c r="L330" s="118">
        <f>+CUBICACION!O324</f>
        <v>0</v>
      </c>
      <c r="M330" s="823">
        <f>+CUBICACION!P324</f>
        <v>0</v>
      </c>
      <c r="N330" s="902">
        <f>ROUND(IF(AND(L330="Blaze Shield II",M330="Software Idiem",C330="IN",G330=4),((('BLAZE SHIELD II'!$D$4*('CALCULO MORTERO'!I330^2)+'BLAZE SHIELD II'!$D$5*'CALCULO MORTERO'!I330+'BLAZE SHIELD II'!$D$6)*LN(J330))+('BLAZE SHIELD II'!$D$7*('CALCULO MORTERO'!I330^2)+'BLAZE SHIELD II'!$D$8*'CALCULO MORTERO'!I330+'BLAZE SHIELD II'!$D$9)),0)+IF(AND(L330="Blaze Shield II",M330="Software Idiem",C330="Cj"),((('BLAZE SHIELD II'!$H$4*('CALCULO MORTERO'!I330^2)+'BLAZE SHIELD II'!$H$5*'CALCULO MORTERO'!I330+'BLAZE SHIELD II'!$H$6)*LN(J330))+('BLAZE SHIELD II'!$H$7*('CALCULO MORTERO'!I330^2)+'BLAZE SHIELD II'!$H$8*'CALCULO MORTERO'!I330+'BLAZE SHIELD II'!$H$9)),0)+IF(AND(L330="Blaze Shield II",M330="Software Idiem",C330="C"),((('BLAZE SHIELD II'!$L$4*('CALCULO MORTERO'!I330^2)+'BLAZE SHIELD II'!$L$5*'CALCULO MORTERO'!I330+'BLAZE SHIELD II'!$L$6)*LN(J330))+('BLAZE SHIELD II'!$L$7*('CALCULO MORTERO'!I330^2)+'BLAZE SHIELD II'!$L$8*'CALCULO MORTERO'!I330+'BLAZE SHIELD II'!$L$9)),0)+IF(AND(L330="Blaze Shield II",M330="Software Idiem",C330="L"),((('BLAZE SHIELD II'!$L$4*('CALCULO MORTERO'!I330^2)+'BLAZE SHIELD II'!$L$5*'CALCULO MORTERO'!I330+'BLAZE SHIELD II'!$L$6)*LN(J330))+('BLAZE SHIELD II'!$L$7*('CALCULO MORTERO'!I330^2)+'BLAZE SHIELD II'!$L$8*'CALCULO MORTERO'!I330+'BLAZE SHIELD II'!$L$9)),0)+IF(AND(L330="Blaze Shield II",M330="Software Idiem",C330="IN",G330=3),((('BLAZE SHIELD II'!$H$14*('CALCULO MORTERO'!I330^2)+'BLAZE SHIELD II'!$H$15*'CALCULO MORTERO'!I330+'BLAZE SHIELD II'!$H$16)*LN(J330))+('BLAZE SHIELD II'!$H$17*('CALCULO MORTERO'!I330^2)+'BLAZE SHIELD II'!$H$18*'CALCULO MORTERO'!I330+'BLAZE SHIELD II'!$H$19)),0),0)+ROUND(IF(AND(L330="Cafco 400",M330="Software Idiem",C330="IN",G330=4),((('CAFCO 400 '!$H$7*(J330^4)+'CAFCO 400 '!$H$8*(J330^3)+'CAFCO 400 '!$H$9*(J330^2)+'CAFCO 400 '!$H$10*J330+'CAFCO 400 '!$H$11)*U330^2)+(('CAFCO 400 '!$H$12*(J330^3)+'CAFCO 400 '!$H$13*(J330^2)+'CAFCO 400 '!$H$14*J330+'CAFCO 400 '!$H$15)*U330)+('CAFCO 400 '!$H$16*(J330^2)+'CAFCO 400 '!$H$17*J330+'CAFCO 400 '!$H$18)),0)+IF(AND(L330="Cafco 400",M330="Software Idiem",C330="Cj"),(((('CAFCO 400 '!$D$7*LN(J330)+'CAFCO 400 '!$D$8)*U330^2)+(('CAFCO 400 '!$D$9*LN(J330)+'CAFCO 400 '!$D$10)*U330)+('CAFCO 400 '!$D$11*LN(J330)+'CAFCO 400 '!$D$12))),0)+IF(AND(L330="Cafco 400",M330="Software Idiem",C330="C"),((('CAFCO 400 '!$L$7*(J330^3)+'CAFCO 400 '!$L$8*(J330^2)+'CAFCO 400 '!$L$9*J330+'CAFCO 400 '!$L$10)*U330^2)+(('CAFCO 400 '!$L$11*(J330^3)+'CAFCO 400 '!$L$12*(J330^2)+'CAFCO 400 '!$L$13*J330+'CAFCO 400 '!$L$14)*U330)+('CAFCO 400 '!$L$15*LN(J330)+'CAFCO 400 '!$L$16)),0)+IF(AND(L330="Cafco 400",M330="Software Idiem",C330="L"),((('CAFCO 400 '!$L$7*(J330^3)+'CAFCO 400 '!$L$8*(J330^2)+'CAFCO 400 '!$L$9*J330+'CAFCO 400 '!$L$10)*U330^2)+(('CAFCO 400 '!$L$11*(J330^3)+'CAFCO 400 '!$L$12*(J330^2)+'CAFCO 400 '!$L$13*J330+'CAFCO 400 '!$L$14)*U330)+('CAFCO 400 '!$L$15*LN(J330)+'CAFCO 400 '!$L$16)),0)+IF(AND(L330="Cafco 400",M330="Software Idiem",C330="IN",G330=3),((('CAFCO 400 '!$D$23*(J330^2)+'CAFCO 400 '!$D$24*(J330)+'CAFCO 400 '!$D$25)*U330^2)+(('CAFCO 400 '!$D$26*(J330^2)+'CAFCO 400 '!$D$27*J330+'CAFCO 400 '!$D$28)*U330)+('CAFCO 400 '!$D$29*(J330^2)+'CAFCO 400 '!$D$30*J330+'CAFCO 400 '!$D$31)),0),0)+IF(AND(L330="Cafco 300",J330&gt;=95,J330&lt;=240,C330="Cj",I330=90),VLOOKUP(T330,'CAFCO 300 IDIEM TABLAS'!$B$4:$D$23,2,FALSE),0)+IF(AND(L330="Cafco 300",J330&gt;=95,J330&lt;=240,C330="Cj",I330=120),VLOOKUP(T330,'CAFCO 300 IDIEM TABLAS'!$B$4:$D$23,3,FALSE),0)+IF(AND(L330="Cafco 300",J330&gt;=95,J330&lt;=400,G330=3,C330="IN",I330=90),VLOOKUP(T330,'CAFCO 300 IDIEM TABLAS'!$F$4:$H$35,2,FALSE),0)+IF(AND(L330="Cafco 300",J330&gt;=95,J330&lt;=400,G330=3,C330="IN",I330=120),VLOOKUP(T330,'CAFCO 300 IDIEM TABLAS'!$F$4:$H$35,3,FALSE),0)+IF(AND(L330="Cafco 300",J330&gt;=95,J330&lt;=450,G330=4,C330="IN",I330=90),VLOOKUP(T330,'CAFCO 300 IDIEM TABLAS'!$J$4:$L$40,2,FALSE),0)+IF(AND(L330="Cafco 300",J330&gt;=95,J330&lt;=450,G330=4,C330="IN",I330=120),VLOOKUP(T330,'CAFCO 300 IDIEM TABLAS'!$J$4:$L$40,3,FALSE),0)+IF(AND(M330="Ensayo Idiem",L330="Cafco 400",C330="IN",G330=4,I330=90),VLOOKUP(T330,'CAFCO 400 ENSAYO'!$B$7:$D$43,2,FALSE),0)+IF(AND(M330="Ensayo Idiem",L330="Cafco 400",C330="IN",G330=4,I330=120),VLOOKUP(T330,'CAFCO 400 ENSAYO'!$B$7:$D$43,3,FALSE),0)</f>
        <v>0</v>
      </c>
      <c r="O330" s="96">
        <f t="shared" si="33"/>
        <v>0</v>
      </c>
      <c r="P330" s="95" t="str">
        <f t="shared" si="34"/>
        <v>N/A</v>
      </c>
      <c r="Q330" s="95" t="str">
        <f t="shared" si="35"/>
        <v>N/A</v>
      </c>
      <c r="R330" s="95" t="str">
        <f t="shared" si="36"/>
        <v>NO CERT.</v>
      </c>
      <c r="S330" s="95" t="e">
        <f t="shared" ref="S330:S369" si="37">IF(AND(C330="Cj",I330=90,T330&lt;=240),"CERT.",IF(AND(C330="Cj",I330=120,T330&lt;=240),"CERT.",IF(AND(C330="IN",G330=3,I330=90,T330&lt;=400),"CERT.",IF(AND(C330="IN",G330=3,I330=120,T330&lt;=400),"CERT.",IF(AND(C330="IN",G330=4,I330=90,T330&lt;=450),"CERT.",IF(AND(C330="IN",G330=4,I330=120,T330&lt;=450),"CERT.","NO CERT."))))))</f>
        <v>#N/A</v>
      </c>
      <c r="T330" s="119" t="e">
        <f>+IF(J330=LOOKUP(J330,'CAFCO 300 IDIEM TABLAS'!$J$4:$J$40),'CALCULO MORTERO'!J330,MROUND('CALCULO MORTERO'!J330,10))</f>
        <v>#N/A</v>
      </c>
      <c r="U330" s="118">
        <f t="shared" ref="U330:U369" si="38">+I330*60</f>
        <v>0</v>
      </c>
      <c r="Y330" s="4"/>
      <c r="Z330" s="4"/>
      <c r="AA330" s="4"/>
    </row>
    <row r="331" spans="1:27" x14ac:dyDescent="0.25">
      <c r="A331" s="118">
        <f>+CUBICACION!D325</f>
        <v>0</v>
      </c>
      <c r="B331" s="819">
        <f>+CUBICACION!E325</f>
        <v>0</v>
      </c>
      <c r="C331" s="675">
        <f>+CUBICACION!F325</f>
        <v>0</v>
      </c>
      <c r="D331" s="118"/>
      <c r="E331" s="118"/>
      <c r="F331" s="820"/>
      <c r="G331" s="675">
        <f>+CUBICACION!J325</f>
        <v>0</v>
      </c>
      <c r="H331" s="118"/>
      <c r="I331" s="821">
        <f>+CUBICACION!L325</f>
        <v>0</v>
      </c>
      <c r="J331" s="64">
        <f>+CUBICACION!M325</f>
        <v>0</v>
      </c>
      <c r="K331" s="822" t="str">
        <f>+CUBICACION!N325</f>
        <v/>
      </c>
      <c r="L331" s="118">
        <f>+CUBICACION!O325</f>
        <v>0</v>
      </c>
      <c r="M331" s="823">
        <f>+CUBICACION!P325</f>
        <v>0</v>
      </c>
      <c r="N331" s="902">
        <f>ROUND(IF(AND(L331="Blaze Shield II",M331="Software Idiem",C331="IN",G331=4),((('BLAZE SHIELD II'!$D$4*('CALCULO MORTERO'!I331^2)+'BLAZE SHIELD II'!$D$5*'CALCULO MORTERO'!I331+'BLAZE SHIELD II'!$D$6)*LN(J331))+('BLAZE SHIELD II'!$D$7*('CALCULO MORTERO'!I331^2)+'BLAZE SHIELD II'!$D$8*'CALCULO MORTERO'!I331+'BLAZE SHIELD II'!$D$9)),0)+IF(AND(L331="Blaze Shield II",M331="Software Idiem",C331="Cj"),((('BLAZE SHIELD II'!$H$4*('CALCULO MORTERO'!I331^2)+'BLAZE SHIELD II'!$H$5*'CALCULO MORTERO'!I331+'BLAZE SHIELD II'!$H$6)*LN(J331))+('BLAZE SHIELD II'!$H$7*('CALCULO MORTERO'!I331^2)+'BLAZE SHIELD II'!$H$8*'CALCULO MORTERO'!I331+'BLAZE SHIELD II'!$H$9)),0)+IF(AND(L331="Blaze Shield II",M331="Software Idiem",C331="C"),((('BLAZE SHIELD II'!$L$4*('CALCULO MORTERO'!I331^2)+'BLAZE SHIELD II'!$L$5*'CALCULO MORTERO'!I331+'BLAZE SHIELD II'!$L$6)*LN(J331))+('BLAZE SHIELD II'!$L$7*('CALCULO MORTERO'!I331^2)+'BLAZE SHIELD II'!$L$8*'CALCULO MORTERO'!I331+'BLAZE SHIELD II'!$L$9)),0)+IF(AND(L331="Blaze Shield II",M331="Software Idiem",C331="L"),((('BLAZE SHIELD II'!$L$4*('CALCULO MORTERO'!I331^2)+'BLAZE SHIELD II'!$L$5*'CALCULO MORTERO'!I331+'BLAZE SHIELD II'!$L$6)*LN(J331))+('BLAZE SHIELD II'!$L$7*('CALCULO MORTERO'!I331^2)+'BLAZE SHIELD II'!$L$8*'CALCULO MORTERO'!I331+'BLAZE SHIELD II'!$L$9)),0)+IF(AND(L331="Blaze Shield II",M331="Software Idiem",C331="IN",G331=3),((('BLAZE SHIELD II'!$H$14*('CALCULO MORTERO'!I331^2)+'BLAZE SHIELD II'!$H$15*'CALCULO MORTERO'!I331+'BLAZE SHIELD II'!$H$16)*LN(J331))+('BLAZE SHIELD II'!$H$17*('CALCULO MORTERO'!I331^2)+'BLAZE SHIELD II'!$H$18*'CALCULO MORTERO'!I331+'BLAZE SHIELD II'!$H$19)),0),0)+ROUND(IF(AND(L331="Cafco 400",M331="Software Idiem",C331="IN",G331=4),((('CAFCO 400 '!$H$7*(J331^4)+'CAFCO 400 '!$H$8*(J331^3)+'CAFCO 400 '!$H$9*(J331^2)+'CAFCO 400 '!$H$10*J331+'CAFCO 400 '!$H$11)*U331^2)+(('CAFCO 400 '!$H$12*(J331^3)+'CAFCO 400 '!$H$13*(J331^2)+'CAFCO 400 '!$H$14*J331+'CAFCO 400 '!$H$15)*U331)+('CAFCO 400 '!$H$16*(J331^2)+'CAFCO 400 '!$H$17*J331+'CAFCO 400 '!$H$18)),0)+IF(AND(L331="Cafco 400",M331="Software Idiem",C331="Cj"),(((('CAFCO 400 '!$D$7*LN(J331)+'CAFCO 400 '!$D$8)*U331^2)+(('CAFCO 400 '!$D$9*LN(J331)+'CAFCO 400 '!$D$10)*U331)+('CAFCO 400 '!$D$11*LN(J331)+'CAFCO 400 '!$D$12))),0)+IF(AND(L331="Cafco 400",M331="Software Idiem",C331="C"),((('CAFCO 400 '!$L$7*(J331^3)+'CAFCO 400 '!$L$8*(J331^2)+'CAFCO 400 '!$L$9*J331+'CAFCO 400 '!$L$10)*U331^2)+(('CAFCO 400 '!$L$11*(J331^3)+'CAFCO 400 '!$L$12*(J331^2)+'CAFCO 400 '!$L$13*J331+'CAFCO 400 '!$L$14)*U331)+('CAFCO 400 '!$L$15*LN(J331)+'CAFCO 400 '!$L$16)),0)+IF(AND(L331="Cafco 400",M331="Software Idiem",C331="L"),((('CAFCO 400 '!$L$7*(J331^3)+'CAFCO 400 '!$L$8*(J331^2)+'CAFCO 400 '!$L$9*J331+'CAFCO 400 '!$L$10)*U331^2)+(('CAFCO 400 '!$L$11*(J331^3)+'CAFCO 400 '!$L$12*(J331^2)+'CAFCO 400 '!$L$13*J331+'CAFCO 400 '!$L$14)*U331)+('CAFCO 400 '!$L$15*LN(J331)+'CAFCO 400 '!$L$16)),0)+IF(AND(L331="Cafco 400",M331="Software Idiem",C331="IN",G331=3),((('CAFCO 400 '!$D$23*(J331^2)+'CAFCO 400 '!$D$24*(J331)+'CAFCO 400 '!$D$25)*U331^2)+(('CAFCO 400 '!$D$26*(J331^2)+'CAFCO 400 '!$D$27*J331+'CAFCO 400 '!$D$28)*U331)+('CAFCO 400 '!$D$29*(J331^2)+'CAFCO 400 '!$D$30*J331+'CAFCO 400 '!$D$31)),0),0)+IF(AND(L331="Cafco 300",J331&gt;=95,J331&lt;=240,C331="Cj",I331=90),VLOOKUP(T331,'CAFCO 300 IDIEM TABLAS'!$B$4:$D$23,2,FALSE),0)+IF(AND(L331="Cafco 300",J331&gt;=95,J331&lt;=240,C331="Cj",I331=120),VLOOKUP(T331,'CAFCO 300 IDIEM TABLAS'!$B$4:$D$23,3,FALSE),0)+IF(AND(L331="Cafco 300",J331&gt;=95,J331&lt;=400,G331=3,C331="IN",I331=90),VLOOKUP(T331,'CAFCO 300 IDIEM TABLAS'!$F$4:$H$35,2,FALSE),0)+IF(AND(L331="Cafco 300",J331&gt;=95,J331&lt;=400,G331=3,C331="IN",I331=120),VLOOKUP(T331,'CAFCO 300 IDIEM TABLAS'!$F$4:$H$35,3,FALSE),0)+IF(AND(L331="Cafco 300",J331&gt;=95,J331&lt;=450,G331=4,C331="IN",I331=90),VLOOKUP(T331,'CAFCO 300 IDIEM TABLAS'!$J$4:$L$40,2,FALSE),0)+IF(AND(L331="Cafco 300",J331&gt;=95,J331&lt;=450,G331=4,C331="IN",I331=120),VLOOKUP(T331,'CAFCO 300 IDIEM TABLAS'!$J$4:$L$40,3,FALSE),0)+IF(AND(M331="Ensayo Idiem",L331="Cafco 400",C331="IN",G331=4,I331=90),VLOOKUP(T331,'CAFCO 400 ENSAYO'!$B$7:$D$43,2,FALSE),0)+IF(AND(M331="Ensayo Idiem",L331="Cafco 400",C331="IN",G331=4,I331=120),VLOOKUP(T331,'CAFCO 400 ENSAYO'!$B$7:$D$43,3,FALSE),0)</f>
        <v>0</v>
      </c>
      <c r="O331" s="96">
        <f t="shared" ref="O331:O394" si="39">((IF(L331="Blaze Shield II",((K331*N331*0.43)/38),IF(L331="Cafco 400",((K331*N331*0.43)/23),IF(L331="Cafco 300",((K331*N331*0.43)/31.16),0)))))</f>
        <v>0</v>
      </c>
      <c r="P331" s="95" t="str">
        <f t="shared" ref="P331:P369" si="40">IF(AND(M331="Software Idiem"),IF(AND(C331="IN",G331=4,J331&gt;=50,J331&lt;=500),"CERT.",IF(AND(C331="Cj",J331&gt;=50,J331&lt;=500),"CERT.",IF(AND(C331="C",J331&gt;=50,J331&lt;=1000),"CERT.",IF(AND(C331="L",J331&gt;=50,J331&lt;=1000),"CERT.",IF(AND(C331="IN",G331=3,J331&gt;=50,J331&lt;=500),"CERT.","NO CERT."))))),"N/A")</f>
        <v>N/A</v>
      </c>
      <c r="Q331" s="95" t="str">
        <f t="shared" ref="Q331:Q369" si="41">IF(AND(M331="Software Idiem"),IF(AND(C331="IN",G331=4,J331&gt;=50,J331&lt;=500),"CERT.",IF(AND(C331="Cj",J331&gt;=50,J331&lt;=500),"CERT.",IF(AND(C331="C",J331&gt;=50,J331&lt;=1000),"CERT.",IF(AND(C331="L",J331&gt;=50,J331&lt;=1000),"CERT.",IF(AND(C331="IN",G331=3,J331&gt;=50,J331&lt;=500),"CERT.","NO CERT."))))),"N/A")</f>
        <v>N/A</v>
      </c>
      <c r="R331" s="95" t="str">
        <f t="shared" ref="R331:R369" si="42">IF(AND(C331="IN",G331=4,J331&gt;=95,J331&lt;=450,I331=90),"CERT.",IF(AND(C331="IN",G331=4,J331&gt;=95,J331&lt;=450,I331=120),"CERT.","NO CERT."))</f>
        <v>NO CERT.</v>
      </c>
      <c r="S331" s="95" t="e">
        <f t="shared" si="37"/>
        <v>#N/A</v>
      </c>
      <c r="T331" s="119" t="e">
        <f>+IF(J331=LOOKUP(J331,'CAFCO 300 IDIEM TABLAS'!$J$4:$J$40),'CALCULO MORTERO'!J331,MROUND('CALCULO MORTERO'!J331,10))</f>
        <v>#N/A</v>
      </c>
      <c r="U331" s="118">
        <f t="shared" si="38"/>
        <v>0</v>
      </c>
      <c r="Y331" s="4"/>
      <c r="Z331" s="4"/>
      <c r="AA331" s="4"/>
    </row>
    <row r="332" spans="1:27" ht="15.6" customHeight="1" x14ac:dyDescent="0.25">
      <c r="A332" s="118">
        <f>+CUBICACION!D326</f>
        <v>0</v>
      </c>
      <c r="B332" s="819">
        <f>+CUBICACION!E326</f>
        <v>0</v>
      </c>
      <c r="C332" s="675">
        <f>+CUBICACION!F326</f>
        <v>0</v>
      </c>
      <c r="D332" s="118"/>
      <c r="E332" s="118"/>
      <c r="F332" s="820"/>
      <c r="G332" s="675">
        <f>+CUBICACION!J326</f>
        <v>0</v>
      </c>
      <c r="H332" s="118"/>
      <c r="I332" s="821">
        <f>+CUBICACION!L326</f>
        <v>0</v>
      </c>
      <c r="J332" s="64">
        <f>+CUBICACION!M326</f>
        <v>0</v>
      </c>
      <c r="K332" s="822" t="str">
        <f>+CUBICACION!N326</f>
        <v/>
      </c>
      <c r="L332" s="118">
        <f>+CUBICACION!O326</f>
        <v>0</v>
      </c>
      <c r="M332" s="823">
        <f>+CUBICACION!P326</f>
        <v>0</v>
      </c>
      <c r="N332" s="902">
        <f>ROUND(IF(AND(L332="Blaze Shield II",M332="Software Idiem",C332="IN",G332=4),((('BLAZE SHIELD II'!$D$4*('CALCULO MORTERO'!I332^2)+'BLAZE SHIELD II'!$D$5*'CALCULO MORTERO'!I332+'BLAZE SHIELD II'!$D$6)*LN(J332))+('BLAZE SHIELD II'!$D$7*('CALCULO MORTERO'!I332^2)+'BLAZE SHIELD II'!$D$8*'CALCULO MORTERO'!I332+'BLAZE SHIELD II'!$D$9)),0)+IF(AND(L332="Blaze Shield II",M332="Software Idiem",C332="Cj"),((('BLAZE SHIELD II'!$H$4*('CALCULO MORTERO'!I332^2)+'BLAZE SHIELD II'!$H$5*'CALCULO MORTERO'!I332+'BLAZE SHIELD II'!$H$6)*LN(J332))+('BLAZE SHIELD II'!$H$7*('CALCULO MORTERO'!I332^2)+'BLAZE SHIELD II'!$H$8*'CALCULO MORTERO'!I332+'BLAZE SHIELD II'!$H$9)),0)+IF(AND(L332="Blaze Shield II",M332="Software Idiem",C332="C"),((('BLAZE SHIELD II'!$L$4*('CALCULO MORTERO'!I332^2)+'BLAZE SHIELD II'!$L$5*'CALCULO MORTERO'!I332+'BLAZE SHIELD II'!$L$6)*LN(J332))+('BLAZE SHIELD II'!$L$7*('CALCULO MORTERO'!I332^2)+'BLAZE SHIELD II'!$L$8*'CALCULO MORTERO'!I332+'BLAZE SHIELD II'!$L$9)),0)+IF(AND(L332="Blaze Shield II",M332="Software Idiem",C332="L"),((('BLAZE SHIELD II'!$L$4*('CALCULO MORTERO'!I332^2)+'BLAZE SHIELD II'!$L$5*'CALCULO MORTERO'!I332+'BLAZE SHIELD II'!$L$6)*LN(J332))+('BLAZE SHIELD II'!$L$7*('CALCULO MORTERO'!I332^2)+'BLAZE SHIELD II'!$L$8*'CALCULO MORTERO'!I332+'BLAZE SHIELD II'!$L$9)),0)+IF(AND(L332="Blaze Shield II",M332="Software Idiem",C332="IN",G332=3),((('BLAZE SHIELD II'!$H$14*('CALCULO MORTERO'!I332^2)+'BLAZE SHIELD II'!$H$15*'CALCULO MORTERO'!I332+'BLAZE SHIELD II'!$H$16)*LN(J332))+('BLAZE SHIELD II'!$H$17*('CALCULO MORTERO'!I332^2)+'BLAZE SHIELD II'!$H$18*'CALCULO MORTERO'!I332+'BLAZE SHIELD II'!$H$19)),0),0)+ROUND(IF(AND(L332="Cafco 400",M332="Software Idiem",C332="IN",G332=4),((('CAFCO 400 '!$H$7*(J332^4)+'CAFCO 400 '!$H$8*(J332^3)+'CAFCO 400 '!$H$9*(J332^2)+'CAFCO 400 '!$H$10*J332+'CAFCO 400 '!$H$11)*U332^2)+(('CAFCO 400 '!$H$12*(J332^3)+'CAFCO 400 '!$H$13*(J332^2)+'CAFCO 400 '!$H$14*J332+'CAFCO 400 '!$H$15)*U332)+('CAFCO 400 '!$H$16*(J332^2)+'CAFCO 400 '!$H$17*J332+'CAFCO 400 '!$H$18)),0)+IF(AND(L332="Cafco 400",M332="Software Idiem",C332="Cj"),(((('CAFCO 400 '!$D$7*LN(J332)+'CAFCO 400 '!$D$8)*U332^2)+(('CAFCO 400 '!$D$9*LN(J332)+'CAFCO 400 '!$D$10)*U332)+('CAFCO 400 '!$D$11*LN(J332)+'CAFCO 400 '!$D$12))),0)+IF(AND(L332="Cafco 400",M332="Software Idiem",C332="C"),((('CAFCO 400 '!$L$7*(J332^3)+'CAFCO 400 '!$L$8*(J332^2)+'CAFCO 400 '!$L$9*J332+'CAFCO 400 '!$L$10)*U332^2)+(('CAFCO 400 '!$L$11*(J332^3)+'CAFCO 400 '!$L$12*(J332^2)+'CAFCO 400 '!$L$13*J332+'CAFCO 400 '!$L$14)*U332)+('CAFCO 400 '!$L$15*LN(J332)+'CAFCO 400 '!$L$16)),0)+IF(AND(L332="Cafco 400",M332="Software Idiem",C332="L"),((('CAFCO 400 '!$L$7*(J332^3)+'CAFCO 400 '!$L$8*(J332^2)+'CAFCO 400 '!$L$9*J332+'CAFCO 400 '!$L$10)*U332^2)+(('CAFCO 400 '!$L$11*(J332^3)+'CAFCO 400 '!$L$12*(J332^2)+'CAFCO 400 '!$L$13*J332+'CAFCO 400 '!$L$14)*U332)+('CAFCO 400 '!$L$15*LN(J332)+'CAFCO 400 '!$L$16)),0)+IF(AND(L332="Cafco 400",M332="Software Idiem",C332="IN",G332=3),((('CAFCO 400 '!$D$23*(J332^2)+'CAFCO 400 '!$D$24*(J332)+'CAFCO 400 '!$D$25)*U332^2)+(('CAFCO 400 '!$D$26*(J332^2)+'CAFCO 400 '!$D$27*J332+'CAFCO 400 '!$D$28)*U332)+('CAFCO 400 '!$D$29*(J332^2)+'CAFCO 400 '!$D$30*J332+'CAFCO 400 '!$D$31)),0),0)+IF(AND(L332="Cafco 300",J332&gt;=95,J332&lt;=240,C332="Cj",I332=90),VLOOKUP(T332,'CAFCO 300 IDIEM TABLAS'!$B$4:$D$23,2,FALSE),0)+IF(AND(L332="Cafco 300",J332&gt;=95,J332&lt;=240,C332="Cj",I332=120),VLOOKUP(T332,'CAFCO 300 IDIEM TABLAS'!$B$4:$D$23,3,FALSE),0)+IF(AND(L332="Cafco 300",J332&gt;=95,J332&lt;=400,G332=3,C332="IN",I332=90),VLOOKUP(T332,'CAFCO 300 IDIEM TABLAS'!$F$4:$H$35,2,FALSE),0)+IF(AND(L332="Cafco 300",J332&gt;=95,J332&lt;=400,G332=3,C332="IN",I332=120),VLOOKUP(T332,'CAFCO 300 IDIEM TABLAS'!$F$4:$H$35,3,FALSE),0)+IF(AND(L332="Cafco 300",J332&gt;=95,J332&lt;=450,G332=4,C332="IN",I332=90),VLOOKUP(T332,'CAFCO 300 IDIEM TABLAS'!$J$4:$L$40,2,FALSE),0)+IF(AND(L332="Cafco 300",J332&gt;=95,J332&lt;=450,G332=4,C332="IN",I332=120),VLOOKUP(T332,'CAFCO 300 IDIEM TABLAS'!$J$4:$L$40,3,FALSE),0)+IF(AND(M332="Ensayo Idiem",L332="Cafco 400",C332="IN",G332=4,I332=90),VLOOKUP(T332,'CAFCO 400 ENSAYO'!$B$7:$D$43,2,FALSE),0)+IF(AND(M332="Ensayo Idiem",L332="Cafco 400",C332="IN",G332=4,I332=120),VLOOKUP(T332,'CAFCO 400 ENSAYO'!$B$7:$D$43,3,FALSE),0)</f>
        <v>0</v>
      </c>
      <c r="O332" s="96">
        <f t="shared" si="39"/>
        <v>0</v>
      </c>
      <c r="P332" s="95" t="str">
        <f t="shared" si="40"/>
        <v>N/A</v>
      </c>
      <c r="Q332" s="95" t="str">
        <f t="shared" si="41"/>
        <v>N/A</v>
      </c>
      <c r="R332" s="95" t="str">
        <f t="shared" si="42"/>
        <v>NO CERT.</v>
      </c>
      <c r="S332" s="95" t="e">
        <f t="shared" si="37"/>
        <v>#N/A</v>
      </c>
      <c r="T332" s="119" t="e">
        <f>+IF(J332=LOOKUP(J332,'CAFCO 300 IDIEM TABLAS'!$J$4:$J$40),'CALCULO MORTERO'!J332,MROUND('CALCULO MORTERO'!J332,10))</f>
        <v>#N/A</v>
      </c>
      <c r="U332" s="118">
        <f t="shared" si="38"/>
        <v>0</v>
      </c>
      <c r="Y332" s="4"/>
      <c r="Z332" s="4"/>
      <c r="AA332" s="4"/>
    </row>
    <row r="333" spans="1:27" x14ac:dyDescent="0.25">
      <c r="A333" s="118">
        <f>+CUBICACION!D327</f>
        <v>0</v>
      </c>
      <c r="B333" s="819">
        <f>+CUBICACION!E327</f>
        <v>0</v>
      </c>
      <c r="C333" s="675">
        <f>+CUBICACION!F327</f>
        <v>0</v>
      </c>
      <c r="D333" s="118"/>
      <c r="E333" s="118"/>
      <c r="F333" s="820"/>
      <c r="G333" s="675">
        <f>+CUBICACION!J327</f>
        <v>0</v>
      </c>
      <c r="H333" s="118"/>
      <c r="I333" s="821">
        <f>+CUBICACION!L327</f>
        <v>0</v>
      </c>
      <c r="J333" s="64">
        <f>+CUBICACION!M327</f>
        <v>0</v>
      </c>
      <c r="K333" s="822" t="str">
        <f>+CUBICACION!N327</f>
        <v/>
      </c>
      <c r="L333" s="118">
        <f>+CUBICACION!O327</f>
        <v>0</v>
      </c>
      <c r="M333" s="823">
        <f>+CUBICACION!P327</f>
        <v>0</v>
      </c>
      <c r="N333" s="902">
        <f>ROUND(IF(AND(L333="Blaze Shield II",M333="Software Idiem",C333="IN",G333=4),((('BLAZE SHIELD II'!$D$4*('CALCULO MORTERO'!I333^2)+'BLAZE SHIELD II'!$D$5*'CALCULO MORTERO'!I333+'BLAZE SHIELD II'!$D$6)*LN(J333))+('BLAZE SHIELD II'!$D$7*('CALCULO MORTERO'!I333^2)+'BLAZE SHIELD II'!$D$8*'CALCULO MORTERO'!I333+'BLAZE SHIELD II'!$D$9)),0)+IF(AND(L333="Blaze Shield II",M333="Software Idiem",C333="Cj"),((('BLAZE SHIELD II'!$H$4*('CALCULO MORTERO'!I333^2)+'BLAZE SHIELD II'!$H$5*'CALCULO MORTERO'!I333+'BLAZE SHIELD II'!$H$6)*LN(J333))+('BLAZE SHIELD II'!$H$7*('CALCULO MORTERO'!I333^2)+'BLAZE SHIELD II'!$H$8*'CALCULO MORTERO'!I333+'BLAZE SHIELD II'!$H$9)),0)+IF(AND(L333="Blaze Shield II",M333="Software Idiem",C333="C"),((('BLAZE SHIELD II'!$L$4*('CALCULO MORTERO'!I333^2)+'BLAZE SHIELD II'!$L$5*'CALCULO MORTERO'!I333+'BLAZE SHIELD II'!$L$6)*LN(J333))+('BLAZE SHIELD II'!$L$7*('CALCULO MORTERO'!I333^2)+'BLAZE SHIELD II'!$L$8*'CALCULO MORTERO'!I333+'BLAZE SHIELD II'!$L$9)),0)+IF(AND(L333="Blaze Shield II",M333="Software Idiem",C333="L"),((('BLAZE SHIELD II'!$L$4*('CALCULO MORTERO'!I333^2)+'BLAZE SHIELD II'!$L$5*'CALCULO MORTERO'!I333+'BLAZE SHIELD II'!$L$6)*LN(J333))+('BLAZE SHIELD II'!$L$7*('CALCULO MORTERO'!I333^2)+'BLAZE SHIELD II'!$L$8*'CALCULO MORTERO'!I333+'BLAZE SHIELD II'!$L$9)),0)+IF(AND(L333="Blaze Shield II",M333="Software Idiem",C333="IN",G333=3),((('BLAZE SHIELD II'!$H$14*('CALCULO MORTERO'!I333^2)+'BLAZE SHIELD II'!$H$15*'CALCULO MORTERO'!I333+'BLAZE SHIELD II'!$H$16)*LN(J333))+('BLAZE SHIELD II'!$H$17*('CALCULO MORTERO'!I333^2)+'BLAZE SHIELD II'!$H$18*'CALCULO MORTERO'!I333+'BLAZE SHIELD II'!$H$19)),0),0)+ROUND(IF(AND(L333="Cafco 400",M333="Software Idiem",C333="IN",G333=4),((('CAFCO 400 '!$H$7*(J333^4)+'CAFCO 400 '!$H$8*(J333^3)+'CAFCO 400 '!$H$9*(J333^2)+'CAFCO 400 '!$H$10*J333+'CAFCO 400 '!$H$11)*U333^2)+(('CAFCO 400 '!$H$12*(J333^3)+'CAFCO 400 '!$H$13*(J333^2)+'CAFCO 400 '!$H$14*J333+'CAFCO 400 '!$H$15)*U333)+('CAFCO 400 '!$H$16*(J333^2)+'CAFCO 400 '!$H$17*J333+'CAFCO 400 '!$H$18)),0)+IF(AND(L333="Cafco 400",M333="Software Idiem",C333="Cj"),(((('CAFCO 400 '!$D$7*LN(J333)+'CAFCO 400 '!$D$8)*U333^2)+(('CAFCO 400 '!$D$9*LN(J333)+'CAFCO 400 '!$D$10)*U333)+('CAFCO 400 '!$D$11*LN(J333)+'CAFCO 400 '!$D$12))),0)+IF(AND(L333="Cafco 400",M333="Software Idiem",C333="C"),((('CAFCO 400 '!$L$7*(J333^3)+'CAFCO 400 '!$L$8*(J333^2)+'CAFCO 400 '!$L$9*J333+'CAFCO 400 '!$L$10)*U333^2)+(('CAFCO 400 '!$L$11*(J333^3)+'CAFCO 400 '!$L$12*(J333^2)+'CAFCO 400 '!$L$13*J333+'CAFCO 400 '!$L$14)*U333)+('CAFCO 400 '!$L$15*LN(J333)+'CAFCO 400 '!$L$16)),0)+IF(AND(L333="Cafco 400",M333="Software Idiem",C333="L"),((('CAFCO 400 '!$L$7*(J333^3)+'CAFCO 400 '!$L$8*(J333^2)+'CAFCO 400 '!$L$9*J333+'CAFCO 400 '!$L$10)*U333^2)+(('CAFCO 400 '!$L$11*(J333^3)+'CAFCO 400 '!$L$12*(J333^2)+'CAFCO 400 '!$L$13*J333+'CAFCO 400 '!$L$14)*U333)+('CAFCO 400 '!$L$15*LN(J333)+'CAFCO 400 '!$L$16)),0)+IF(AND(L333="Cafco 400",M333="Software Idiem",C333="IN",G333=3),((('CAFCO 400 '!$D$23*(J333^2)+'CAFCO 400 '!$D$24*(J333)+'CAFCO 400 '!$D$25)*U333^2)+(('CAFCO 400 '!$D$26*(J333^2)+'CAFCO 400 '!$D$27*J333+'CAFCO 400 '!$D$28)*U333)+('CAFCO 400 '!$D$29*(J333^2)+'CAFCO 400 '!$D$30*J333+'CAFCO 400 '!$D$31)),0),0)+IF(AND(L333="Cafco 300",J333&gt;=95,J333&lt;=240,C333="Cj",I333=90),VLOOKUP(T333,'CAFCO 300 IDIEM TABLAS'!$B$4:$D$23,2,FALSE),0)+IF(AND(L333="Cafco 300",J333&gt;=95,J333&lt;=240,C333="Cj",I333=120),VLOOKUP(T333,'CAFCO 300 IDIEM TABLAS'!$B$4:$D$23,3,FALSE),0)+IF(AND(L333="Cafco 300",J333&gt;=95,J333&lt;=400,G333=3,C333="IN",I333=90),VLOOKUP(T333,'CAFCO 300 IDIEM TABLAS'!$F$4:$H$35,2,FALSE),0)+IF(AND(L333="Cafco 300",J333&gt;=95,J333&lt;=400,G333=3,C333="IN",I333=120),VLOOKUP(T333,'CAFCO 300 IDIEM TABLAS'!$F$4:$H$35,3,FALSE),0)+IF(AND(L333="Cafco 300",J333&gt;=95,J333&lt;=450,G333=4,C333="IN",I333=90),VLOOKUP(T333,'CAFCO 300 IDIEM TABLAS'!$J$4:$L$40,2,FALSE),0)+IF(AND(L333="Cafco 300",J333&gt;=95,J333&lt;=450,G333=4,C333="IN",I333=120),VLOOKUP(T333,'CAFCO 300 IDIEM TABLAS'!$J$4:$L$40,3,FALSE),0)+IF(AND(M333="Ensayo Idiem",L333="Cafco 400",C333="IN",G333=4,I333=90),VLOOKUP(T333,'CAFCO 400 ENSAYO'!$B$7:$D$43,2,FALSE),0)+IF(AND(M333="Ensayo Idiem",L333="Cafco 400",C333="IN",G333=4,I333=120),VLOOKUP(T333,'CAFCO 400 ENSAYO'!$B$7:$D$43,3,FALSE),0)</f>
        <v>0</v>
      </c>
      <c r="O333" s="96">
        <f t="shared" si="39"/>
        <v>0</v>
      </c>
      <c r="P333" s="95" t="str">
        <f t="shared" si="40"/>
        <v>N/A</v>
      </c>
      <c r="Q333" s="95" t="str">
        <f t="shared" si="41"/>
        <v>N/A</v>
      </c>
      <c r="R333" s="95" t="str">
        <f t="shared" si="42"/>
        <v>NO CERT.</v>
      </c>
      <c r="S333" s="95" t="e">
        <f t="shared" si="37"/>
        <v>#N/A</v>
      </c>
      <c r="T333" s="119" t="e">
        <f>+IF(J333=LOOKUP(J333,'CAFCO 300 IDIEM TABLAS'!$J$4:$J$40),'CALCULO MORTERO'!J333,MROUND('CALCULO MORTERO'!J333,10))</f>
        <v>#N/A</v>
      </c>
      <c r="U333" s="118">
        <f t="shared" si="38"/>
        <v>0</v>
      </c>
      <c r="Y333" s="4"/>
      <c r="Z333" s="4"/>
      <c r="AA333" s="4"/>
    </row>
    <row r="334" spans="1:27" ht="15.6" customHeight="1" x14ac:dyDescent="0.25">
      <c r="A334" s="118">
        <f>+CUBICACION!D328</f>
        <v>0</v>
      </c>
      <c r="B334" s="819">
        <f>+CUBICACION!E328</f>
        <v>0</v>
      </c>
      <c r="C334" s="675">
        <f>+CUBICACION!F328</f>
        <v>0</v>
      </c>
      <c r="D334" s="118"/>
      <c r="E334" s="118"/>
      <c r="F334" s="820"/>
      <c r="G334" s="675">
        <f>+CUBICACION!J328</f>
        <v>0</v>
      </c>
      <c r="H334" s="118"/>
      <c r="I334" s="821">
        <f>+CUBICACION!L328</f>
        <v>0</v>
      </c>
      <c r="J334" s="64">
        <f>+CUBICACION!M328</f>
        <v>0</v>
      </c>
      <c r="K334" s="822" t="str">
        <f>+CUBICACION!N328</f>
        <v/>
      </c>
      <c r="L334" s="118">
        <f>+CUBICACION!O328</f>
        <v>0</v>
      </c>
      <c r="M334" s="823">
        <f>+CUBICACION!P328</f>
        <v>0</v>
      </c>
      <c r="N334" s="902">
        <f>ROUND(IF(AND(L334="Blaze Shield II",M334="Software Idiem",C334="IN",G334=4),((('BLAZE SHIELD II'!$D$4*('CALCULO MORTERO'!I334^2)+'BLAZE SHIELD II'!$D$5*'CALCULO MORTERO'!I334+'BLAZE SHIELD II'!$D$6)*LN(J334))+('BLAZE SHIELD II'!$D$7*('CALCULO MORTERO'!I334^2)+'BLAZE SHIELD II'!$D$8*'CALCULO MORTERO'!I334+'BLAZE SHIELD II'!$D$9)),0)+IF(AND(L334="Blaze Shield II",M334="Software Idiem",C334="Cj"),((('BLAZE SHIELD II'!$H$4*('CALCULO MORTERO'!I334^2)+'BLAZE SHIELD II'!$H$5*'CALCULO MORTERO'!I334+'BLAZE SHIELD II'!$H$6)*LN(J334))+('BLAZE SHIELD II'!$H$7*('CALCULO MORTERO'!I334^2)+'BLAZE SHIELD II'!$H$8*'CALCULO MORTERO'!I334+'BLAZE SHIELD II'!$H$9)),0)+IF(AND(L334="Blaze Shield II",M334="Software Idiem",C334="C"),((('BLAZE SHIELD II'!$L$4*('CALCULO MORTERO'!I334^2)+'BLAZE SHIELD II'!$L$5*'CALCULO MORTERO'!I334+'BLAZE SHIELD II'!$L$6)*LN(J334))+('BLAZE SHIELD II'!$L$7*('CALCULO MORTERO'!I334^2)+'BLAZE SHIELD II'!$L$8*'CALCULO MORTERO'!I334+'BLAZE SHIELD II'!$L$9)),0)+IF(AND(L334="Blaze Shield II",M334="Software Idiem",C334="L"),((('BLAZE SHIELD II'!$L$4*('CALCULO MORTERO'!I334^2)+'BLAZE SHIELD II'!$L$5*'CALCULO MORTERO'!I334+'BLAZE SHIELD II'!$L$6)*LN(J334))+('BLAZE SHIELD II'!$L$7*('CALCULO MORTERO'!I334^2)+'BLAZE SHIELD II'!$L$8*'CALCULO MORTERO'!I334+'BLAZE SHIELD II'!$L$9)),0)+IF(AND(L334="Blaze Shield II",M334="Software Idiem",C334="IN",G334=3),((('BLAZE SHIELD II'!$H$14*('CALCULO MORTERO'!I334^2)+'BLAZE SHIELD II'!$H$15*'CALCULO MORTERO'!I334+'BLAZE SHIELD II'!$H$16)*LN(J334))+('BLAZE SHIELD II'!$H$17*('CALCULO MORTERO'!I334^2)+'BLAZE SHIELD II'!$H$18*'CALCULO MORTERO'!I334+'BLAZE SHIELD II'!$H$19)),0),0)+ROUND(IF(AND(L334="Cafco 400",M334="Software Idiem",C334="IN",G334=4),((('CAFCO 400 '!$H$7*(J334^4)+'CAFCO 400 '!$H$8*(J334^3)+'CAFCO 400 '!$H$9*(J334^2)+'CAFCO 400 '!$H$10*J334+'CAFCO 400 '!$H$11)*U334^2)+(('CAFCO 400 '!$H$12*(J334^3)+'CAFCO 400 '!$H$13*(J334^2)+'CAFCO 400 '!$H$14*J334+'CAFCO 400 '!$H$15)*U334)+('CAFCO 400 '!$H$16*(J334^2)+'CAFCO 400 '!$H$17*J334+'CAFCO 400 '!$H$18)),0)+IF(AND(L334="Cafco 400",M334="Software Idiem",C334="Cj"),(((('CAFCO 400 '!$D$7*LN(J334)+'CAFCO 400 '!$D$8)*U334^2)+(('CAFCO 400 '!$D$9*LN(J334)+'CAFCO 400 '!$D$10)*U334)+('CAFCO 400 '!$D$11*LN(J334)+'CAFCO 400 '!$D$12))),0)+IF(AND(L334="Cafco 400",M334="Software Idiem",C334="C"),((('CAFCO 400 '!$L$7*(J334^3)+'CAFCO 400 '!$L$8*(J334^2)+'CAFCO 400 '!$L$9*J334+'CAFCO 400 '!$L$10)*U334^2)+(('CAFCO 400 '!$L$11*(J334^3)+'CAFCO 400 '!$L$12*(J334^2)+'CAFCO 400 '!$L$13*J334+'CAFCO 400 '!$L$14)*U334)+('CAFCO 400 '!$L$15*LN(J334)+'CAFCO 400 '!$L$16)),0)+IF(AND(L334="Cafco 400",M334="Software Idiem",C334="L"),((('CAFCO 400 '!$L$7*(J334^3)+'CAFCO 400 '!$L$8*(J334^2)+'CAFCO 400 '!$L$9*J334+'CAFCO 400 '!$L$10)*U334^2)+(('CAFCO 400 '!$L$11*(J334^3)+'CAFCO 400 '!$L$12*(J334^2)+'CAFCO 400 '!$L$13*J334+'CAFCO 400 '!$L$14)*U334)+('CAFCO 400 '!$L$15*LN(J334)+'CAFCO 400 '!$L$16)),0)+IF(AND(L334="Cafco 400",M334="Software Idiem",C334="IN",G334=3),((('CAFCO 400 '!$D$23*(J334^2)+'CAFCO 400 '!$D$24*(J334)+'CAFCO 400 '!$D$25)*U334^2)+(('CAFCO 400 '!$D$26*(J334^2)+'CAFCO 400 '!$D$27*J334+'CAFCO 400 '!$D$28)*U334)+('CAFCO 400 '!$D$29*(J334^2)+'CAFCO 400 '!$D$30*J334+'CAFCO 400 '!$D$31)),0),0)+IF(AND(L334="Cafco 300",J334&gt;=95,J334&lt;=240,C334="Cj",I334=90),VLOOKUP(T334,'CAFCO 300 IDIEM TABLAS'!$B$4:$D$23,2,FALSE),0)+IF(AND(L334="Cafco 300",J334&gt;=95,J334&lt;=240,C334="Cj",I334=120),VLOOKUP(T334,'CAFCO 300 IDIEM TABLAS'!$B$4:$D$23,3,FALSE),0)+IF(AND(L334="Cafco 300",J334&gt;=95,J334&lt;=400,G334=3,C334="IN",I334=90),VLOOKUP(T334,'CAFCO 300 IDIEM TABLAS'!$F$4:$H$35,2,FALSE),0)+IF(AND(L334="Cafco 300",J334&gt;=95,J334&lt;=400,G334=3,C334="IN",I334=120),VLOOKUP(T334,'CAFCO 300 IDIEM TABLAS'!$F$4:$H$35,3,FALSE),0)+IF(AND(L334="Cafco 300",J334&gt;=95,J334&lt;=450,G334=4,C334="IN",I334=90),VLOOKUP(T334,'CAFCO 300 IDIEM TABLAS'!$J$4:$L$40,2,FALSE),0)+IF(AND(L334="Cafco 300",J334&gt;=95,J334&lt;=450,G334=4,C334="IN",I334=120),VLOOKUP(T334,'CAFCO 300 IDIEM TABLAS'!$J$4:$L$40,3,FALSE),0)+IF(AND(M334="Ensayo Idiem",L334="Cafco 400",C334="IN",G334=4,I334=90),VLOOKUP(T334,'CAFCO 400 ENSAYO'!$B$7:$D$43,2,FALSE),0)+IF(AND(M334="Ensayo Idiem",L334="Cafco 400",C334="IN",G334=4,I334=120),VLOOKUP(T334,'CAFCO 400 ENSAYO'!$B$7:$D$43,3,FALSE),0)</f>
        <v>0</v>
      </c>
      <c r="O334" s="96">
        <f t="shared" si="39"/>
        <v>0</v>
      </c>
      <c r="P334" s="95" t="str">
        <f t="shared" si="40"/>
        <v>N/A</v>
      </c>
      <c r="Q334" s="95" t="str">
        <f t="shared" si="41"/>
        <v>N/A</v>
      </c>
      <c r="R334" s="95" t="str">
        <f t="shared" si="42"/>
        <v>NO CERT.</v>
      </c>
      <c r="S334" s="95" t="e">
        <f t="shared" si="37"/>
        <v>#N/A</v>
      </c>
      <c r="T334" s="119" t="e">
        <f>+IF(J334=LOOKUP(J334,'CAFCO 300 IDIEM TABLAS'!$J$4:$J$40),'CALCULO MORTERO'!J334,MROUND('CALCULO MORTERO'!J334,10))</f>
        <v>#N/A</v>
      </c>
      <c r="U334" s="118">
        <f t="shared" si="38"/>
        <v>0</v>
      </c>
      <c r="Y334" s="4"/>
      <c r="Z334" s="4"/>
      <c r="AA334" s="4"/>
    </row>
    <row r="335" spans="1:27" x14ac:dyDescent="0.25">
      <c r="A335" s="118">
        <f>+CUBICACION!D329</f>
        <v>0</v>
      </c>
      <c r="B335" s="819">
        <f>+CUBICACION!E329</f>
        <v>0</v>
      </c>
      <c r="C335" s="675">
        <f>+CUBICACION!F329</f>
        <v>0</v>
      </c>
      <c r="D335" s="118"/>
      <c r="E335" s="118"/>
      <c r="F335" s="820"/>
      <c r="G335" s="675">
        <f>+CUBICACION!J329</f>
        <v>0</v>
      </c>
      <c r="H335" s="118"/>
      <c r="I335" s="821">
        <f>+CUBICACION!L329</f>
        <v>0</v>
      </c>
      <c r="J335" s="64">
        <f>+CUBICACION!M329</f>
        <v>0</v>
      </c>
      <c r="K335" s="822" t="str">
        <f>+CUBICACION!N329</f>
        <v/>
      </c>
      <c r="L335" s="118">
        <f>+CUBICACION!O329</f>
        <v>0</v>
      </c>
      <c r="M335" s="823">
        <f>+CUBICACION!P329</f>
        <v>0</v>
      </c>
      <c r="N335" s="902">
        <f>ROUND(IF(AND(L335="Blaze Shield II",M335="Software Idiem",C335="IN",G335=4),((('BLAZE SHIELD II'!$D$4*('CALCULO MORTERO'!I335^2)+'BLAZE SHIELD II'!$D$5*'CALCULO MORTERO'!I335+'BLAZE SHIELD II'!$D$6)*LN(J335))+('BLAZE SHIELD II'!$D$7*('CALCULO MORTERO'!I335^2)+'BLAZE SHIELD II'!$D$8*'CALCULO MORTERO'!I335+'BLAZE SHIELD II'!$D$9)),0)+IF(AND(L335="Blaze Shield II",M335="Software Idiem",C335="Cj"),((('BLAZE SHIELD II'!$H$4*('CALCULO MORTERO'!I335^2)+'BLAZE SHIELD II'!$H$5*'CALCULO MORTERO'!I335+'BLAZE SHIELD II'!$H$6)*LN(J335))+('BLAZE SHIELD II'!$H$7*('CALCULO MORTERO'!I335^2)+'BLAZE SHIELD II'!$H$8*'CALCULO MORTERO'!I335+'BLAZE SHIELD II'!$H$9)),0)+IF(AND(L335="Blaze Shield II",M335="Software Idiem",C335="C"),((('BLAZE SHIELD II'!$L$4*('CALCULO MORTERO'!I335^2)+'BLAZE SHIELD II'!$L$5*'CALCULO MORTERO'!I335+'BLAZE SHIELD II'!$L$6)*LN(J335))+('BLAZE SHIELD II'!$L$7*('CALCULO MORTERO'!I335^2)+'BLAZE SHIELD II'!$L$8*'CALCULO MORTERO'!I335+'BLAZE SHIELD II'!$L$9)),0)+IF(AND(L335="Blaze Shield II",M335="Software Idiem",C335="L"),((('BLAZE SHIELD II'!$L$4*('CALCULO MORTERO'!I335^2)+'BLAZE SHIELD II'!$L$5*'CALCULO MORTERO'!I335+'BLAZE SHIELD II'!$L$6)*LN(J335))+('BLAZE SHIELD II'!$L$7*('CALCULO MORTERO'!I335^2)+'BLAZE SHIELD II'!$L$8*'CALCULO MORTERO'!I335+'BLAZE SHIELD II'!$L$9)),0)+IF(AND(L335="Blaze Shield II",M335="Software Idiem",C335="IN",G335=3),((('BLAZE SHIELD II'!$H$14*('CALCULO MORTERO'!I335^2)+'BLAZE SHIELD II'!$H$15*'CALCULO MORTERO'!I335+'BLAZE SHIELD II'!$H$16)*LN(J335))+('BLAZE SHIELD II'!$H$17*('CALCULO MORTERO'!I335^2)+'BLAZE SHIELD II'!$H$18*'CALCULO MORTERO'!I335+'BLAZE SHIELD II'!$H$19)),0),0)+ROUND(IF(AND(L335="Cafco 400",M335="Software Idiem",C335="IN",G335=4),((('CAFCO 400 '!$H$7*(J335^4)+'CAFCO 400 '!$H$8*(J335^3)+'CAFCO 400 '!$H$9*(J335^2)+'CAFCO 400 '!$H$10*J335+'CAFCO 400 '!$H$11)*U335^2)+(('CAFCO 400 '!$H$12*(J335^3)+'CAFCO 400 '!$H$13*(J335^2)+'CAFCO 400 '!$H$14*J335+'CAFCO 400 '!$H$15)*U335)+('CAFCO 400 '!$H$16*(J335^2)+'CAFCO 400 '!$H$17*J335+'CAFCO 400 '!$H$18)),0)+IF(AND(L335="Cafco 400",M335="Software Idiem",C335="Cj"),(((('CAFCO 400 '!$D$7*LN(J335)+'CAFCO 400 '!$D$8)*U335^2)+(('CAFCO 400 '!$D$9*LN(J335)+'CAFCO 400 '!$D$10)*U335)+('CAFCO 400 '!$D$11*LN(J335)+'CAFCO 400 '!$D$12))),0)+IF(AND(L335="Cafco 400",M335="Software Idiem",C335="C"),((('CAFCO 400 '!$L$7*(J335^3)+'CAFCO 400 '!$L$8*(J335^2)+'CAFCO 400 '!$L$9*J335+'CAFCO 400 '!$L$10)*U335^2)+(('CAFCO 400 '!$L$11*(J335^3)+'CAFCO 400 '!$L$12*(J335^2)+'CAFCO 400 '!$L$13*J335+'CAFCO 400 '!$L$14)*U335)+('CAFCO 400 '!$L$15*LN(J335)+'CAFCO 400 '!$L$16)),0)+IF(AND(L335="Cafco 400",M335="Software Idiem",C335="L"),((('CAFCO 400 '!$L$7*(J335^3)+'CAFCO 400 '!$L$8*(J335^2)+'CAFCO 400 '!$L$9*J335+'CAFCO 400 '!$L$10)*U335^2)+(('CAFCO 400 '!$L$11*(J335^3)+'CAFCO 400 '!$L$12*(J335^2)+'CAFCO 400 '!$L$13*J335+'CAFCO 400 '!$L$14)*U335)+('CAFCO 400 '!$L$15*LN(J335)+'CAFCO 400 '!$L$16)),0)+IF(AND(L335="Cafco 400",M335="Software Idiem",C335="IN",G335=3),((('CAFCO 400 '!$D$23*(J335^2)+'CAFCO 400 '!$D$24*(J335)+'CAFCO 400 '!$D$25)*U335^2)+(('CAFCO 400 '!$D$26*(J335^2)+'CAFCO 400 '!$D$27*J335+'CAFCO 400 '!$D$28)*U335)+('CAFCO 400 '!$D$29*(J335^2)+'CAFCO 400 '!$D$30*J335+'CAFCO 400 '!$D$31)),0),0)+IF(AND(L335="Cafco 300",J335&gt;=95,J335&lt;=240,C335="Cj",I335=90),VLOOKUP(T335,'CAFCO 300 IDIEM TABLAS'!$B$4:$D$23,2,FALSE),0)+IF(AND(L335="Cafco 300",J335&gt;=95,J335&lt;=240,C335="Cj",I335=120),VLOOKUP(T335,'CAFCO 300 IDIEM TABLAS'!$B$4:$D$23,3,FALSE),0)+IF(AND(L335="Cafco 300",J335&gt;=95,J335&lt;=400,G335=3,C335="IN",I335=90),VLOOKUP(T335,'CAFCO 300 IDIEM TABLAS'!$F$4:$H$35,2,FALSE),0)+IF(AND(L335="Cafco 300",J335&gt;=95,J335&lt;=400,G335=3,C335="IN",I335=120),VLOOKUP(T335,'CAFCO 300 IDIEM TABLAS'!$F$4:$H$35,3,FALSE),0)+IF(AND(L335="Cafco 300",J335&gt;=95,J335&lt;=450,G335=4,C335="IN",I335=90),VLOOKUP(T335,'CAFCO 300 IDIEM TABLAS'!$J$4:$L$40,2,FALSE),0)+IF(AND(L335="Cafco 300",J335&gt;=95,J335&lt;=450,G335=4,C335="IN",I335=120),VLOOKUP(T335,'CAFCO 300 IDIEM TABLAS'!$J$4:$L$40,3,FALSE),0)+IF(AND(M335="Ensayo Idiem",L335="Cafco 400",C335="IN",G335=4,I335=90),VLOOKUP(T335,'CAFCO 400 ENSAYO'!$B$7:$D$43,2,FALSE),0)+IF(AND(M335="Ensayo Idiem",L335="Cafco 400",C335="IN",G335=4,I335=120),VLOOKUP(T335,'CAFCO 400 ENSAYO'!$B$7:$D$43,3,FALSE),0)</f>
        <v>0</v>
      </c>
      <c r="O335" s="96">
        <f t="shared" si="39"/>
        <v>0</v>
      </c>
      <c r="P335" s="95" t="str">
        <f t="shared" si="40"/>
        <v>N/A</v>
      </c>
      <c r="Q335" s="95" t="str">
        <f t="shared" si="41"/>
        <v>N/A</v>
      </c>
      <c r="R335" s="95" t="str">
        <f t="shared" si="42"/>
        <v>NO CERT.</v>
      </c>
      <c r="S335" s="95" t="e">
        <f t="shared" si="37"/>
        <v>#N/A</v>
      </c>
      <c r="T335" s="119" t="e">
        <f>+IF(J335=LOOKUP(J335,'CAFCO 300 IDIEM TABLAS'!$J$4:$J$40),'CALCULO MORTERO'!J335,MROUND('CALCULO MORTERO'!J335,10))</f>
        <v>#N/A</v>
      </c>
      <c r="U335" s="118">
        <f t="shared" si="38"/>
        <v>0</v>
      </c>
      <c r="Y335" s="4"/>
      <c r="Z335" s="4"/>
      <c r="AA335" s="4"/>
    </row>
    <row r="336" spans="1:27" ht="15.6" customHeight="1" x14ac:dyDescent="0.25">
      <c r="A336" s="118">
        <f>+CUBICACION!D330</f>
        <v>0</v>
      </c>
      <c r="B336" s="819">
        <f>+CUBICACION!E330</f>
        <v>0</v>
      </c>
      <c r="C336" s="675">
        <f>+CUBICACION!F330</f>
        <v>0</v>
      </c>
      <c r="D336" s="118"/>
      <c r="E336" s="118"/>
      <c r="F336" s="820"/>
      <c r="G336" s="675">
        <f>+CUBICACION!J330</f>
        <v>0</v>
      </c>
      <c r="H336" s="118"/>
      <c r="I336" s="821">
        <f>+CUBICACION!L330</f>
        <v>0</v>
      </c>
      <c r="J336" s="64">
        <f>+CUBICACION!M330</f>
        <v>0</v>
      </c>
      <c r="K336" s="822" t="str">
        <f>+CUBICACION!N330</f>
        <v/>
      </c>
      <c r="L336" s="118">
        <f>+CUBICACION!O330</f>
        <v>0</v>
      </c>
      <c r="M336" s="823">
        <f>+CUBICACION!P330</f>
        <v>0</v>
      </c>
      <c r="N336" s="902">
        <f>ROUND(IF(AND(L336="Blaze Shield II",M336="Software Idiem",C336="IN",G336=4),((('BLAZE SHIELD II'!$D$4*('CALCULO MORTERO'!I336^2)+'BLAZE SHIELD II'!$D$5*'CALCULO MORTERO'!I336+'BLAZE SHIELD II'!$D$6)*LN(J336))+('BLAZE SHIELD II'!$D$7*('CALCULO MORTERO'!I336^2)+'BLAZE SHIELD II'!$D$8*'CALCULO MORTERO'!I336+'BLAZE SHIELD II'!$D$9)),0)+IF(AND(L336="Blaze Shield II",M336="Software Idiem",C336="Cj"),((('BLAZE SHIELD II'!$H$4*('CALCULO MORTERO'!I336^2)+'BLAZE SHIELD II'!$H$5*'CALCULO MORTERO'!I336+'BLAZE SHIELD II'!$H$6)*LN(J336))+('BLAZE SHIELD II'!$H$7*('CALCULO MORTERO'!I336^2)+'BLAZE SHIELD II'!$H$8*'CALCULO MORTERO'!I336+'BLAZE SHIELD II'!$H$9)),0)+IF(AND(L336="Blaze Shield II",M336="Software Idiem",C336="C"),((('BLAZE SHIELD II'!$L$4*('CALCULO MORTERO'!I336^2)+'BLAZE SHIELD II'!$L$5*'CALCULO MORTERO'!I336+'BLAZE SHIELD II'!$L$6)*LN(J336))+('BLAZE SHIELD II'!$L$7*('CALCULO MORTERO'!I336^2)+'BLAZE SHIELD II'!$L$8*'CALCULO MORTERO'!I336+'BLAZE SHIELD II'!$L$9)),0)+IF(AND(L336="Blaze Shield II",M336="Software Idiem",C336="L"),((('BLAZE SHIELD II'!$L$4*('CALCULO MORTERO'!I336^2)+'BLAZE SHIELD II'!$L$5*'CALCULO MORTERO'!I336+'BLAZE SHIELD II'!$L$6)*LN(J336))+('BLAZE SHIELD II'!$L$7*('CALCULO MORTERO'!I336^2)+'BLAZE SHIELD II'!$L$8*'CALCULO MORTERO'!I336+'BLAZE SHIELD II'!$L$9)),0)+IF(AND(L336="Blaze Shield II",M336="Software Idiem",C336="IN",G336=3),((('BLAZE SHIELD II'!$H$14*('CALCULO MORTERO'!I336^2)+'BLAZE SHIELD II'!$H$15*'CALCULO MORTERO'!I336+'BLAZE SHIELD II'!$H$16)*LN(J336))+('BLAZE SHIELD II'!$H$17*('CALCULO MORTERO'!I336^2)+'BLAZE SHIELD II'!$H$18*'CALCULO MORTERO'!I336+'BLAZE SHIELD II'!$H$19)),0),0)+ROUND(IF(AND(L336="Cafco 400",M336="Software Idiem",C336="IN",G336=4),((('CAFCO 400 '!$H$7*(J336^4)+'CAFCO 400 '!$H$8*(J336^3)+'CAFCO 400 '!$H$9*(J336^2)+'CAFCO 400 '!$H$10*J336+'CAFCO 400 '!$H$11)*U336^2)+(('CAFCO 400 '!$H$12*(J336^3)+'CAFCO 400 '!$H$13*(J336^2)+'CAFCO 400 '!$H$14*J336+'CAFCO 400 '!$H$15)*U336)+('CAFCO 400 '!$H$16*(J336^2)+'CAFCO 400 '!$H$17*J336+'CAFCO 400 '!$H$18)),0)+IF(AND(L336="Cafco 400",M336="Software Idiem",C336="Cj"),(((('CAFCO 400 '!$D$7*LN(J336)+'CAFCO 400 '!$D$8)*U336^2)+(('CAFCO 400 '!$D$9*LN(J336)+'CAFCO 400 '!$D$10)*U336)+('CAFCO 400 '!$D$11*LN(J336)+'CAFCO 400 '!$D$12))),0)+IF(AND(L336="Cafco 400",M336="Software Idiem",C336="C"),((('CAFCO 400 '!$L$7*(J336^3)+'CAFCO 400 '!$L$8*(J336^2)+'CAFCO 400 '!$L$9*J336+'CAFCO 400 '!$L$10)*U336^2)+(('CAFCO 400 '!$L$11*(J336^3)+'CAFCO 400 '!$L$12*(J336^2)+'CAFCO 400 '!$L$13*J336+'CAFCO 400 '!$L$14)*U336)+('CAFCO 400 '!$L$15*LN(J336)+'CAFCO 400 '!$L$16)),0)+IF(AND(L336="Cafco 400",M336="Software Idiem",C336="L"),((('CAFCO 400 '!$L$7*(J336^3)+'CAFCO 400 '!$L$8*(J336^2)+'CAFCO 400 '!$L$9*J336+'CAFCO 400 '!$L$10)*U336^2)+(('CAFCO 400 '!$L$11*(J336^3)+'CAFCO 400 '!$L$12*(J336^2)+'CAFCO 400 '!$L$13*J336+'CAFCO 400 '!$L$14)*U336)+('CAFCO 400 '!$L$15*LN(J336)+'CAFCO 400 '!$L$16)),0)+IF(AND(L336="Cafco 400",M336="Software Idiem",C336="IN",G336=3),((('CAFCO 400 '!$D$23*(J336^2)+'CAFCO 400 '!$D$24*(J336)+'CAFCO 400 '!$D$25)*U336^2)+(('CAFCO 400 '!$D$26*(J336^2)+'CAFCO 400 '!$D$27*J336+'CAFCO 400 '!$D$28)*U336)+('CAFCO 400 '!$D$29*(J336^2)+'CAFCO 400 '!$D$30*J336+'CAFCO 400 '!$D$31)),0),0)+IF(AND(L336="Cafco 300",J336&gt;=95,J336&lt;=240,C336="Cj",I336=90),VLOOKUP(T336,'CAFCO 300 IDIEM TABLAS'!$B$4:$D$23,2,FALSE),0)+IF(AND(L336="Cafco 300",J336&gt;=95,J336&lt;=240,C336="Cj",I336=120),VLOOKUP(T336,'CAFCO 300 IDIEM TABLAS'!$B$4:$D$23,3,FALSE),0)+IF(AND(L336="Cafco 300",J336&gt;=95,J336&lt;=400,G336=3,C336="IN",I336=90),VLOOKUP(T336,'CAFCO 300 IDIEM TABLAS'!$F$4:$H$35,2,FALSE),0)+IF(AND(L336="Cafco 300",J336&gt;=95,J336&lt;=400,G336=3,C336="IN",I336=120),VLOOKUP(T336,'CAFCO 300 IDIEM TABLAS'!$F$4:$H$35,3,FALSE),0)+IF(AND(L336="Cafco 300",J336&gt;=95,J336&lt;=450,G336=4,C336="IN",I336=90),VLOOKUP(T336,'CAFCO 300 IDIEM TABLAS'!$J$4:$L$40,2,FALSE),0)+IF(AND(L336="Cafco 300",J336&gt;=95,J336&lt;=450,G336=4,C336="IN",I336=120),VLOOKUP(T336,'CAFCO 300 IDIEM TABLAS'!$J$4:$L$40,3,FALSE),0)+IF(AND(M336="Ensayo Idiem",L336="Cafco 400",C336="IN",G336=4,I336=90),VLOOKUP(T336,'CAFCO 400 ENSAYO'!$B$7:$D$43,2,FALSE),0)+IF(AND(M336="Ensayo Idiem",L336="Cafco 400",C336="IN",G336=4,I336=120),VLOOKUP(T336,'CAFCO 400 ENSAYO'!$B$7:$D$43,3,FALSE),0)</f>
        <v>0</v>
      </c>
      <c r="O336" s="96">
        <f t="shared" si="39"/>
        <v>0</v>
      </c>
      <c r="P336" s="95" t="str">
        <f t="shared" si="40"/>
        <v>N/A</v>
      </c>
      <c r="Q336" s="95" t="str">
        <f t="shared" si="41"/>
        <v>N/A</v>
      </c>
      <c r="R336" s="95" t="str">
        <f t="shared" si="42"/>
        <v>NO CERT.</v>
      </c>
      <c r="S336" s="95" t="e">
        <f t="shared" si="37"/>
        <v>#N/A</v>
      </c>
      <c r="T336" s="119" t="e">
        <f>+IF(J336=LOOKUP(J336,'CAFCO 300 IDIEM TABLAS'!$J$4:$J$40),'CALCULO MORTERO'!J336,MROUND('CALCULO MORTERO'!J336,10))</f>
        <v>#N/A</v>
      </c>
      <c r="U336" s="118">
        <f t="shared" si="38"/>
        <v>0</v>
      </c>
      <c r="Y336" s="4"/>
      <c r="Z336" s="4"/>
      <c r="AA336" s="4"/>
    </row>
    <row r="337" spans="1:27" x14ac:dyDescent="0.25">
      <c r="A337" s="118">
        <f>+CUBICACION!D331</f>
        <v>0</v>
      </c>
      <c r="B337" s="819">
        <f>+CUBICACION!E331</f>
        <v>0</v>
      </c>
      <c r="C337" s="675">
        <f>+CUBICACION!F331</f>
        <v>0</v>
      </c>
      <c r="D337" s="118"/>
      <c r="E337" s="118"/>
      <c r="F337" s="820"/>
      <c r="G337" s="675">
        <f>+CUBICACION!J331</f>
        <v>0</v>
      </c>
      <c r="H337" s="118"/>
      <c r="I337" s="821">
        <f>+CUBICACION!L331</f>
        <v>0</v>
      </c>
      <c r="J337" s="64">
        <f>+CUBICACION!M331</f>
        <v>0</v>
      </c>
      <c r="K337" s="822" t="str">
        <f>+CUBICACION!N331</f>
        <v/>
      </c>
      <c r="L337" s="118">
        <f>+CUBICACION!O331</f>
        <v>0</v>
      </c>
      <c r="M337" s="823">
        <f>+CUBICACION!P331</f>
        <v>0</v>
      </c>
      <c r="N337" s="902">
        <f>ROUND(IF(AND(L337="Blaze Shield II",M337="Software Idiem",C337="IN",G337=4),((('BLAZE SHIELD II'!$D$4*('CALCULO MORTERO'!I337^2)+'BLAZE SHIELD II'!$D$5*'CALCULO MORTERO'!I337+'BLAZE SHIELD II'!$D$6)*LN(J337))+('BLAZE SHIELD II'!$D$7*('CALCULO MORTERO'!I337^2)+'BLAZE SHIELD II'!$D$8*'CALCULO MORTERO'!I337+'BLAZE SHIELD II'!$D$9)),0)+IF(AND(L337="Blaze Shield II",M337="Software Idiem",C337="Cj"),((('BLAZE SHIELD II'!$H$4*('CALCULO MORTERO'!I337^2)+'BLAZE SHIELD II'!$H$5*'CALCULO MORTERO'!I337+'BLAZE SHIELD II'!$H$6)*LN(J337))+('BLAZE SHIELD II'!$H$7*('CALCULO MORTERO'!I337^2)+'BLAZE SHIELD II'!$H$8*'CALCULO MORTERO'!I337+'BLAZE SHIELD II'!$H$9)),0)+IF(AND(L337="Blaze Shield II",M337="Software Idiem",C337="C"),((('BLAZE SHIELD II'!$L$4*('CALCULO MORTERO'!I337^2)+'BLAZE SHIELD II'!$L$5*'CALCULO MORTERO'!I337+'BLAZE SHIELD II'!$L$6)*LN(J337))+('BLAZE SHIELD II'!$L$7*('CALCULO MORTERO'!I337^2)+'BLAZE SHIELD II'!$L$8*'CALCULO MORTERO'!I337+'BLAZE SHIELD II'!$L$9)),0)+IF(AND(L337="Blaze Shield II",M337="Software Idiem",C337="L"),((('BLAZE SHIELD II'!$L$4*('CALCULO MORTERO'!I337^2)+'BLAZE SHIELD II'!$L$5*'CALCULO MORTERO'!I337+'BLAZE SHIELD II'!$L$6)*LN(J337))+('BLAZE SHIELD II'!$L$7*('CALCULO MORTERO'!I337^2)+'BLAZE SHIELD II'!$L$8*'CALCULO MORTERO'!I337+'BLAZE SHIELD II'!$L$9)),0)+IF(AND(L337="Blaze Shield II",M337="Software Idiem",C337="IN",G337=3),((('BLAZE SHIELD II'!$H$14*('CALCULO MORTERO'!I337^2)+'BLAZE SHIELD II'!$H$15*'CALCULO MORTERO'!I337+'BLAZE SHIELD II'!$H$16)*LN(J337))+('BLAZE SHIELD II'!$H$17*('CALCULO MORTERO'!I337^2)+'BLAZE SHIELD II'!$H$18*'CALCULO MORTERO'!I337+'BLAZE SHIELD II'!$H$19)),0),0)+ROUND(IF(AND(L337="Cafco 400",M337="Software Idiem",C337="IN",G337=4),((('CAFCO 400 '!$H$7*(J337^4)+'CAFCO 400 '!$H$8*(J337^3)+'CAFCO 400 '!$H$9*(J337^2)+'CAFCO 400 '!$H$10*J337+'CAFCO 400 '!$H$11)*U337^2)+(('CAFCO 400 '!$H$12*(J337^3)+'CAFCO 400 '!$H$13*(J337^2)+'CAFCO 400 '!$H$14*J337+'CAFCO 400 '!$H$15)*U337)+('CAFCO 400 '!$H$16*(J337^2)+'CAFCO 400 '!$H$17*J337+'CAFCO 400 '!$H$18)),0)+IF(AND(L337="Cafco 400",M337="Software Idiem",C337="Cj"),(((('CAFCO 400 '!$D$7*LN(J337)+'CAFCO 400 '!$D$8)*U337^2)+(('CAFCO 400 '!$D$9*LN(J337)+'CAFCO 400 '!$D$10)*U337)+('CAFCO 400 '!$D$11*LN(J337)+'CAFCO 400 '!$D$12))),0)+IF(AND(L337="Cafco 400",M337="Software Idiem",C337="C"),((('CAFCO 400 '!$L$7*(J337^3)+'CAFCO 400 '!$L$8*(J337^2)+'CAFCO 400 '!$L$9*J337+'CAFCO 400 '!$L$10)*U337^2)+(('CAFCO 400 '!$L$11*(J337^3)+'CAFCO 400 '!$L$12*(J337^2)+'CAFCO 400 '!$L$13*J337+'CAFCO 400 '!$L$14)*U337)+('CAFCO 400 '!$L$15*LN(J337)+'CAFCO 400 '!$L$16)),0)+IF(AND(L337="Cafco 400",M337="Software Idiem",C337="L"),((('CAFCO 400 '!$L$7*(J337^3)+'CAFCO 400 '!$L$8*(J337^2)+'CAFCO 400 '!$L$9*J337+'CAFCO 400 '!$L$10)*U337^2)+(('CAFCO 400 '!$L$11*(J337^3)+'CAFCO 400 '!$L$12*(J337^2)+'CAFCO 400 '!$L$13*J337+'CAFCO 400 '!$L$14)*U337)+('CAFCO 400 '!$L$15*LN(J337)+'CAFCO 400 '!$L$16)),0)+IF(AND(L337="Cafco 400",M337="Software Idiem",C337="IN",G337=3),((('CAFCO 400 '!$D$23*(J337^2)+'CAFCO 400 '!$D$24*(J337)+'CAFCO 400 '!$D$25)*U337^2)+(('CAFCO 400 '!$D$26*(J337^2)+'CAFCO 400 '!$D$27*J337+'CAFCO 400 '!$D$28)*U337)+('CAFCO 400 '!$D$29*(J337^2)+'CAFCO 400 '!$D$30*J337+'CAFCO 400 '!$D$31)),0),0)+IF(AND(L337="Cafco 300",J337&gt;=95,J337&lt;=240,C337="Cj",I337=90),VLOOKUP(T337,'CAFCO 300 IDIEM TABLAS'!$B$4:$D$23,2,FALSE),0)+IF(AND(L337="Cafco 300",J337&gt;=95,J337&lt;=240,C337="Cj",I337=120),VLOOKUP(T337,'CAFCO 300 IDIEM TABLAS'!$B$4:$D$23,3,FALSE),0)+IF(AND(L337="Cafco 300",J337&gt;=95,J337&lt;=400,G337=3,C337="IN",I337=90),VLOOKUP(T337,'CAFCO 300 IDIEM TABLAS'!$F$4:$H$35,2,FALSE),0)+IF(AND(L337="Cafco 300",J337&gt;=95,J337&lt;=400,G337=3,C337="IN",I337=120),VLOOKUP(T337,'CAFCO 300 IDIEM TABLAS'!$F$4:$H$35,3,FALSE),0)+IF(AND(L337="Cafco 300",J337&gt;=95,J337&lt;=450,G337=4,C337="IN",I337=90),VLOOKUP(T337,'CAFCO 300 IDIEM TABLAS'!$J$4:$L$40,2,FALSE),0)+IF(AND(L337="Cafco 300",J337&gt;=95,J337&lt;=450,G337=4,C337="IN",I337=120),VLOOKUP(T337,'CAFCO 300 IDIEM TABLAS'!$J$4:$L$40,3,FALSE),0)+IF(AND(M337="Ensayo Idiem",L337="Cafco 400",C337="IN",G337=4,I337=90),VLOOKUP(T337,'CAFCO 400 ENSAYO'!$B$7:$D$43,2,FALSE),0)+IF(AND(M337="Ensayo Idiem",L337="Cafco 400",C337="IN",G337=4,I337=120),VLOOKUP(T337,'CAFCO 400 ENSAYO'!$B$7:$D$43,3,FALSE),0)</f>
        <v>0</v>
      </c>
      <c r="O337" s="96">
        <f t="shared" si="39"/>
        <v>0</v>
      </c>
      <c r="P337" s="95" t="str">
        <f t="shared" si="40"/>
        <v>N/A</v>
      </c>
      <c r="Q337" s="95" t="str">
        <f t="shared" si="41"/>
        <v>N/A</v>
      </c>
      <c r="R337" s="95" t="str">
        <f t="shared" si="42"/>
        <v>NO CERT.</v>
      </c>
      <c r="S337" s="95" t="e">
        <f t="shared" si="37"/>
        <v>#N/A</v>
      </c>
      <c r="T337" s="119" t="e">
        <f>+IF(J337=LOOKUP(J337,'CAFCO 300 IDIEM TABLAS'!$J$4:$J$40),'CALCULO MORTERO'!J337,MROUND('CALCULO MORTERO'!J337,10))</f>
        <v>#N/A</v>
      </c>
      <c r="U337" s="118">
        <f t="shared" si="38"/>
        <v>0</v>
      </c>
      <c r="Y337" s="4"/>
      <c r="Z337" s="4"/>
      <c r="AA337" s="4"/>
    </row>
    <row r="338" spans="1:27" ht="15.6" customHeight="1" x14ac:dyDescent="0.25">
      <c r="A338" s="118">
        <f>+CUBICACION!D332</f>
        <v>0</v>
      </c>
      <c r="B338" s="819">
        <f>+CUBICACION!E332</f>
        <v>0</v>
      </c>
      <c r="C338" s="675">
        <f>+CUBICACION!F332</f>
        <v>0</v>
      </c>
      <c r="D338" s="118"/>
      <c r="E338" s="118"/>
      <c r="F338" s="820"/>
      <c r="G338" s="675">
        <f>+CUBICACION!J332</f>
        <v>0</v>
      </c>
      <c r="H338" s="118"/>
      <c r="I338" s="821">
        <f>+CUBICACION!L332</f>
        <v>0</v>
      </c>
      <c r="J338" s="64">
        <f>+CUBICACION!M332</f>
        <v>0</v>
      </c>
      <c r="K338" s="822" t="str">
        <f>+CUBICACION!N332</f>
        <v/>
      </c>
      <c r="L338" s="118">
        <f>+CUBICACION!O332</f>
        <v>0</v>
      </c>
      <c r="M338" s="823">
        <f>+CUBICACION!P332</f>
        <v>0</v>
      </c>
      <c r="N338" s="902">
        <f>ROUND(IF(AND(L338="Blaze Shield II",M338="Software Idiem",C338="IN",G338=4),((('BLAZE SHIELD II'!$D$4*('CALCULO MORTERO'!I338^2)+'BLAZE SHIELD II'!$D$5*'CALCULO MORTERO'!I338+'BLAZE SHIELD II'!$D$6)*LN(J338))+('BLAZE SHIELD II'!$D$7*('CALCULO MORTERO'!I338^2)+'BLAZE SHIELD II'!$D$8*'CALCULO MORTERO'!I338+'BLAZE SHIELD II'!$D$9)),0)+IF(AND(L338="Blaze Shield II",M338="Software Idiem",C338="Cj"),((('BLAZE SHIELD II'!$H$4*('CALCULO MORTERO'!I338^2)+'BLAZE SHIELD II'!$H$5*'CALCULO MORTERO'!I338+'BLAZE SHIELD II'!$H$6)*LN(J338))+('BLAZE SHIELD II'!$H$7*('CALCULO MORTERO'!I338^2)+'BLAZE SHIELD II'!$H$8*'CALCULO MORTERO'!I338+'BLAZE SHIELD II'!$H$9)),0)+IF(AND(L338="Blaze Shield II",M338="Software Idiem",C338="C"),((('BLAZE SHIELD II'!$L$4*('CALCULO MORTERO'!I338^2)+'BLAZE SHIELD II'!$L$5*'CALCULO MORTERO'!I338+'BLAZE SHIELD II'!$L$6)*LN(J338))+('BLAZE SHIELD II'!$L$7*('CALCULO MORTERO'!I338^2)+'BLAZE SHIELD II'!$L$8*'CALCULO MORTERO'!I338+'BLAZE SHIELD II'!$L$9)),0)+IF(AND(L338="Blaze Shield II",M338="Software Idiem",C338="L"),((('BLAZE SHIELD II'!$L$4*('CALCULO MORTERO'!I338^2)+'BLAZE SHIELD II'!$L$5*'CALCULO MORTERO'!I338+'BLAZE SHIELD II'!$L$6)*LN(J338))+('BLAZE SHIELD II'!$L$7*('CALCULO MORTERO'!I338^2)+'BLAZE SHIELD II'!$L$8*'CALCULO MORTERO'!I338+'BLAZE SHIELD II'!$L$9)),0)+IF(AND(L338="Blaze Shield II",M338="Software Idiem",C338="IN",G338=3),((('BLAZE SHIELD II'!$H$14*('CALCULO MORTERO'!I338^2)+'BLAZE SHIELD II'!$H$15*'CALCULO MORTERO'!I338+'BLAZE SHIELD II'!$H$16)*LN(J338))+('BLAZE SHIELD II'!$H$17*('CALCULO MORTERO'!I338^2)+'BLAZE SHIELD II'!$H$18*'CALCULO MORTERO'!I338+'BLAZE SHIELD II'!$H$19)),0),0)+ROUND(IF(AND(L338="Cafco 400",M338="Software Idiem",C338="IN",G338=4),((('CAFCO 400 '!$H$7*(J338^4)+'CAFCO 400 '!$H$8*(J338^3)+'CAFCO 400 '!$H$9*(J338^2)+'CAFCO 400 '!$H$10*J338+'CAFCO 400 '!$H$11)*U338^2)+(('CAFCO 400 '!$H$12*(J338^3)+'CAFCO 400 '!$H$13*(J338^2)+'CAFCO 400 '!$H$14*J338+'CAFCO 400 '!$H$15)*U338)+('CAFCO 400 '!$H$16*(J338^2)+'CAFCO 400 '!$H$17*J338+'CAFCO 400 '!$H$18)),0)+IF(AND(L338="Cafco 400",M338="Software Idiem",C338="Cj"),(((('CAFCO 400 '!$D$7*LN(J338)+'CAFCO 400 '!$D$8)*U338^2)+(('CAFCO 400 '!$D$9*LN(J338)+'CAFCO 400 '!$D$10)*U338)+('CAFCO 400 '!$D$11*LN(J338)+'CAFCO 400 '!$D$12))),0)+IF(AND(L338="Cafco 400",M338="Software Idiem",C338="C"),((('CAFCO 400 '!$L$7*(J338^3)+'CAFCO 400 '!$L$8*(J338^2)+'CAFCO 400 '!$L$9*J338+'CAFCO 400 '!$L$10)*U338^2)+(('CAFCO 400 '!$L$11*(J338^3)+'CAFCO 400 '!$L$12*(J338^2)+'CAFCO 400 '!$L$13*J338+'CAFCO 400 '!$L$14)*U338)+('CAFCO 400 '!$L$15*LN(J338)+'CAFCO 400 '!$L$16)),0)+IF(AND(L338="Cafco 400",M338="Software Idiem",C338="L"),((('CAFCO 400 '!$L$7*(J338^3)+'CAFCO 400 '!$L$8*(J338^2)+'CAFCO 400 '!$L$9*J338+'CAFCO 400 '!$L$10)*U338^2)+(('CAFCO 400 '!$L$11*(J338^3)+'CAFCO 400 '!$L$12*(J338^2)+'CAFCO 400 '!$L$13*J338+'CAFCO 400 '!$L$14)*U338)+('CAFCO 400 '!$L$15*LN(J338)+'CAFCO 400 '!$L$16)),0)+IF(AND(L338="Cafco 400",M338="Software Idiem",C338="IN",G338=3),((('CAFCO 400 '!$D$23*(J338^2)+'CAFCO 400 '!$D$24*(J338)+'CAFCO 400 '!$D$25)*U338^2)+(('CAFCO 400 '!$D$26*(J338^2)+'CAFCO 400 '!$D$27*J338+'CAFCO 400 '!$D$28)*U338)+('CAFCO 400 '!$D$29*(J338^2)+'CAFCO 400 '!$D$30*J338+'CAFCO 400 '!$D$31)),0),0)+IF(AND(L338="Cafco 300",J338&gt;=95,J338&lt;=240,C338="Cj",I338=90),VLOOKUP(T338,'CAFCO 300 IDIEM TABLAS'!$B$4:$D$23,2,FALSE),0)+IF(AND(L338="Cafco 300",J338&gt;=95,J338&lt;=240,C338="Cj",I338=120),VLOOKUP(T338,'CAFCO 300 IDIEM TABLAS'!$B$4:$D$23,3,FALSE),0)+IF(AND(L338="Cafco 300",J338&gt;=95,J338&lt;=400,G338=3,C338="IN",I338=90),VLOOKUP(T338,'CAFCO 300 IDIEM TABLAS'!$F$4:$H$35,2,FALSE),0)+IF(AND(L338="Cafco 300",J338&gt;=95,J338&lt;=400,G338=3,C338="IN",I338=120),VLOOKUP(T338,'CAFCO 300 IDIEM TABLAS'!$F$4:$H$35,3,FALSE),0)+IF(AND(L338="Cafco 300",J338&gt;=95,J338&lt;=450,G338=4,C338="IN",I338=90),VLOOKUP(T338,'CAFCO 300 IDIEM TABLAS'!$J$4:$L$40,2,FALSE),0)+IF(AND(L338="Cafco 300",J338&gt;=95,J338&lt;=450,G338=4,C338="IN",I338=120),VLOOKUP(T338,'CAFCO 300 IDIEM TABLAS'!$J$4:$L$40,3,FALSE),0)+IF(AND(M338="Ensayo Idiem",L338="Cafco 400",C338="IN",G338=4,I338=90),VLOOKUP(T338,'CAFCO 400 ENSAYO'!$B$7:$D$43,2,FALSE),0)+IF(AND(M338="Ensayo Idiem",L338="Cafco 400",C338="IN",G338=4,I338=120),VLOOKUP(T338,'CAFCO 400 ENSAYO'!$B$7:$D$43,3,FALSE),0)</f>
        <v>0</v>
      </c>
      <c r="O338" s="96">
        <f t="shared" si="39"/>
        <v>0</v>
      </c>
      <c r="P338" s="95" t="str">
        <f t="shared" si="40"/>
        <v>N/A</v>
      </c>
      <c r="Q338" s="95" t="str">
        <f t="shared" si="41"/>
        <v>N/A</v>
      </c>
      <c r="R338" s="95" t="str">
        <f t="shared" si="42"/>
        <v>NO CERT.</v>
      </c>
      <c r="S338" s="95" t="e">
        <f t="shared" si="37"/>
        <v>#N/A</v>
      </c>
      <c r="T338" s="119" t="e">
        <f>+IF(J338=LOOKUP(J338,'CAFCO 300 IDIEM TABLAS'!$J$4:$J$40),'CALCULO MORTERO'!J338,MROUND('CALCULO MORTERO'!J338,10))</f>
        <v>#N/A</v>
      </c>
      <c r="U338" s="118">
        <f t="shared" si="38"/>
        <v>0</v>
      </c>
      <c r="Y338" s="4"/>
      <c r="Z338" s="4"/>
      <c r="AA338" s="4"/>
    </row>
    <row r="339" spans="1:27" x14ac:dyDescent="0.25">
      <c r="A339" s="118">
        <f>+CUBICACION!D333</f>
        <v>0</v>
      </c>
      <c r="B339" s="819">
        <f>+CUBICACION!E333</f>
        <v>0</v>
      </c>
      <c r="C339" s="675">
        <f>+CUBICACION!F333</f>
        <v>0</v>
      </c>
      <c r="D339" s="118"/>
      <c r="E339" s="118"/>
      <c r="F339" s="820"/>
      <c r="G339" s="675">
        <f>+CUBICACION!J333</f>
        <v>0</v>
      </c>
      <c r="H339" s="118"/>
      <c r="I339" s="821">
        <f>+CUBICACION!L333</f>
        <v>0</v>
      </c>
      <c r="J339" s="64">
        <f>+CUBICACION!M333</f>
        <v>0</v>
      </c>
      <c r="K339" s="822" t="str">
        <f>+CUBICACION!N333</f>
        <v/>
      </c>
      <c r="L339" s="118">
        <f>+CUBICACION!O333</f>
        <v>0</v>
      </c>
      <c r="M339" s="823">
        <f>+CUBICACION!P333</f>
        <v>0</v>
      </c>
      <c r="N339" s="902">
        <f>ROUND(IF(AND(L339="Blaze Shield II",M339="Software Idiem",C339="IN",G339=4),((('BLAZE SHIELD II'!$D$4*('CALCULO MORTERO'!I339^2)+'BLAZE SHIELD II'!$D$5*'CALCULO MORTERO'!I339+'BLAZE SHIELD II'!$D$6)*LN(J339))+('BLAZE SHIELD II'!$D$7*('CALCULO MORTERO'!I339^2)+'BLAZE SHIELD II'!$D$8*'CALCULO MORTERO'!I339+'BLAZE SHIELD II'!$D$9)),0)+IF(AND(L339="Blaze Shield II",M339="Software Idiem",C339="Cj"),((('BLAZE SHIELD II'!$H$4*('CALCULO MORTERO'!I339^2)+'BLAZE SHIELD II'!$H$5*'CALCULO MORTERO'!I339+'BLAZE SHIELD II'!$H$6)*LN(J339))+('BLAZE SHIELD II'!$H$7*('CALCULO MORTERO'!I339^2)+'BLAZE SHIELD II'!$H$8*'CALCULO MORTERO'!I339+'BLAZE SHIELD II'!$H$9)),0)+IF(AND(L339="Blaze Shield II",M339="Software Idiem",C339="C"),((('BLAZE SHIELD II'!$L$4*('CALCULO MORTERO'!I339^2)+'BLAZE SHIELD II'!$L$5*'CALCULO MORTERO'!I339+'BLAZE SHIELD II'!$L$6)*LN(J339))+('BLAZE SHIELD II'!$L$7*('CALCULO MORTERO'!I339^2)+'BLAZE SHIELD II'!$L$8*'CALCULO MORTERO'!I339+'BLAZE SHIELD II'!$L$9)),0)+IF(AND(L339="Blaze Shield II",M339="Software Idiem",C339="L"),((('BLAZE SHIELD II'!$L$4*('CALCULO MORTERO'!I339^2)+'BLAZE SHIELD II'!$L$5*'CALCULO MORTERO'!I339+'BLAZE SHIELD II'!$L$6)*LN(J339))+('BLAZE SHIELD II'!$L$7*('CALCULO MORTERO'!I339^2)+'BLAZE SHIELD II'!$L$8*'CALCULO MORTERO'!I339+'BLAZE SHIELD II'!$L$9)),0)+IF(AND(L339="Blaze Shield II",M339="Software Idiem",C339="IN",G339=3),((('BLAZE SHIELD II'!$H$14*('CALCULO MORTERO'!I339^2)+'BLAZE SHIELD II'!$H$15*'CALCULO MORTERO'!I339+'BLAZE SHIELD II'!$H$16)*LN(J339))+('BLAZE SHIELD II'!$H$17*('CALCULO MORTERO'!I339^2)+'BLAZE SHIELD II'!$H$18*'CALCULO MORTERO'!I339+'BLAZE SHIELD II'!$H$19)),0),0)+ROUND(IF(AND(L339="Cafco 400",M339="Software Idiem",C339="IN",G339=4),((('CAFCO 400 '!$H$7*(J339^4)+'CAFCO 400 '!$H$8*(J339^3)+'CAFCO 400 '!$H$9*(J339^2)+'CAFCO 400 '!$H$10*J339+'CAFCO 400 '!$H$11)*U339^2)+(('CAFCO 400 '!$H$12*(J339^3)+'CAFCO 400 '!$H$13*(J339^2)+'CAFCO 400 '!$H$14*J339+'CAFCO 400 '!$H$15)*U339)+('CAFCO 400 '!$H$16*(J339^2)+'CAFCO 400 '!$H$17*J339+'CAFCO 400 '!$H$18)),0)+IF(AND(L339="Cafco 400",M339="Software Idiem",C339="Cj"),(((('CAFCO 400 '!$D$7*LN(J339)+'CAFCO 400 '!$D$8)*U339^2)+(('CAFCO 400 '!$D$9*LN(J339)+'CAFCO 400 '!$D$10)*U339)+('CAFCO 400 '!$D$11*LN(J339)+'CAFCO 400 '!$D$12))),0)+IF(AND(L339="Cafco 400",M339="Software Idiem",C339="C"),((('CAFCO 400 '!$L$7*(J339^3)+'CAFCO 400 '!$L$8*(J339^2)+'CAFCO 400 '!$L$9*J339+'CAFCO 400 '!$L$10)*U339^2)+(('CAFCO 400 '!$L$11*(J339^3)+'CAFCO 400 '!$L$12*(J339^2)+'CAFCO 400 '!$L$13*J339+'CAFCO 400 '!$L$14)*U339)+('CAFCO 400 '!$L$15*LN(J339)+'CAFCO 400 '!$L$16)),0)+IF(AND(L339="Cafco 400",M339="Software Idiem",C339="L"),((('CAFCO 400 '!$L$7*(J339^3)+'CAFCO 400 '!$L$8*(J339^2)+'CAFCO 400 '!$L$9*J339+'CAFCO 400 '!$L$10)*U339^2)+(('CAFCO 400 '!$L$11*(J339^3)+'CAFCO 400 '!$L$12*(J339^2)+'CAFCO 400 '!$L$13*J339+'CAFCO 400 '!$L$14)*U339)+('CAFCO 400 '!$L$15*LN(J339)+'CAFCO 400 '!$L$16)),0)+IF(AND(L339="Cafco 400",M339="Software Idiem",C339="IN",G339=3),((('CAFCO 400 '!$D$23*(J339^2)+'CAFCO 400 '!$D$24*(J339)+'CAFCO 400 '!$D$25)*U339^2)+(('CAFCO 400 '!$D$26*(J339^2)+'CAFCO 400 '!$D$27*J339+'CAFCO 400 '!$D$28)*U339)+('CAFCO 400 '!$D$29*(J339^2)+'CAFCO 400 '!$D$30*J339+'CAFCO 400 '!$D$31)),0),0)+IF(AND(L339="Cafco 300",J339&gt;=95,J339&lt;=240,C339="Cj",I339=90),VLOOKUP(T339,'CAFCO 300 IDIEM TABLAS'!$B$4:$D$23,2,FALSE),0)+IF(AND(L339="Cafco 300",J339&gt;=95,J339&lt;=240,C339="Cj",I339=120),VLOOKUP(T339,'CAFCO 300 IDIEM TABLAS'!$B$4:$D$23,3,FALSE),0)+IF(AND(L339="Cafco 300",J339&gt;=95,J339&lt;=400,G339=3,C339="IN",I339=90),VLOOKUP(T339,'CAFCO 300 IDIEM TABLAS'!$F$4:$H$35,2,FALSE),0)+IF(AND(L339="Cafco 300",J339&gt;=95,J339&lt;=400,G339=3,C339="IN",I339=120),VLOOKUP(T339,'CAFCO 300 IDIEM TABLAS'!$F$4:$H$35,3,FALSE),0)+IF(AND(L339="Cafco 300",J339&gt;=95,J339&lt;=450,G339=4,C339="IN",I339=90),VLOOKUP(T339,'CAFCO 300 IDIEM TABLAS'!$J$4:$L$40,2,FALSE),0)+IF(AND(L339="Cafco 300",J339&gt;=95,J339&lt;=450,G339=4,C339="IN",I339=120),VLOOKUP(T339,'CAFCO 300 IDIEM TABLAS'!$J$4:$L$40,3,FALSE),0)+IF(AND(M339="Ensayo Idiem",L339="Cafco 400",C339="IN",G339=4,I339=90),VLOOKUP(T339,'CAFCO 400 ENSAYO'!$B$7:$D$43,2,FALSE),0)+IF(AND(M339="Ensayo Idiem",L339="Cafco 400",C339="IN",G339=4,I339=120),VLOOKUP(T339,'CAFCO 400 ENSAYO'!$B$7:$D$43,3,FALSE),0)</f>
        <v>0</v>
      </c>
      <c r="O339" s="96">
        <f t="shared" si="39"/>
        <v>0</v>
      </c>
      <c r="P339" s="95" t="str">
        <f t="shared" si="40"/>
        <v>N/A</v>
      </c>
      <c r="Q339" s="95" t="str">
        <f t="shared" si="41"/>
        <v>N/A</v>
      </c>
      <c r="R339" s="95" t="str">
        <f t="shared" si="42"/>
        <v>NO CERT.</v>
      </c>
      <c r="S339" s="95" t="e">
        <f t="shared" si="37"/>
        <v>#N/A</v>
      </c>
      <c r="T339" s="119" t="e">
        <f>+IF(J339=LOOKUP(J339,'CAFCO 300 IDIEM TABLAS'!$J$4:$J$40),'CALCULO MORTERO'!J339,MROUND('CALCULO MORTERO'!J339,10))</f>
        <v>#N/A</v>
      </c>
      <c r="U339" s="118">
        <f t="shared" si="38"/>
        <v>0</v>
      </c>
      <c r="Y339" s="4"/>
      <c r="Z339" s="4"/>
      <c r="AA339" s="4"/>
    </row>
    <row r="340" spans="1:27" ht="15.6" customHeight="1" x14ac:dyDescent="0.25">
      <c r="A340" s="118">
        <f>+CUBICACION!D334</f>
        <v>0</v>
      </c>
      <c r="B340" s="819">
        <f>+CUBICACION!E334</f>
        <v>0</v>
      </c>
      <c r="C340" s="675">
        <f>+CUBICACION!F334</f>
        <v>0</v>
      </c>
      <c r="D340" s="118"/>
      <c r="E340" s="118"/>
      <c r="F340" s="820"/>
      <c r="G340" s="675">
        <f>+CUBICACION!J334</f>
        <v>0</v>
      </c>
      <c r="H340" s="118"/>
      <c r="I340" s="821">
        <f>+CUBICACION!L334</f>
        <v>0</v>
      </c>
      <c r="J340" s="64">
        <f>+CUBICACION!M334</f>
        <v>0</v>
      </c>
      <c r="K340" s="822" t="str">
        <f>+CUBICACION!N334</f>
        <v/>
      </c>
      <c r="L340" s="118">
        <f>+CUBICACION!O334</f>
        <v>0</v>
      </c>
      <c r="M340" s="823">
        <f>+CUBICACION!P334</f>
        <v>0</v>
      </c>
      <c r="N340" s="902">
        <f>ROUND(IF(AND(L340="Blaze Shield II",M340="Software Idiem",C340="IN",G340=4),((('BLAZE SHIELD II'!$D$4*('CALCULO MORTERO'!I340^2)+'BLAZE SHIELD II'!$D$5*'CALCULO MORTERO'!I340+'BLAZE SHIELD II'!$D$6)*LN(J340))+('BLAZE SHIELD II'!$D$7*('CALCULO MORTERO'!I340^2)+'BLAZE SHIELD II'!$D$8*'CALCULO MORTERO'!I340+'BLAZE SHIELD II'!$D$9)),0)+IF(AND(L340="Blaze Shield II",M340="Software Idiem",C340="Cj"),((('BLAZE SHIELD II'!$H$4*('CALCULO MORTERO'!I340^2)+'BLAZE SHIELD II'!$H$5*'CALCULO MORTERO'!I340+'BLAZE SHIELD II'!$H$6)*LN(J340))+('BLAZE SHIELD II'!$H$7*('CALCULO MORTERO'!I340^2)+'BLAZE SHIELD II'!$H$8*'CALCULO MORTERO'!I340+'BLAZE SHIELD II'!$H$9)),0)+IF(AND(L340="Blaze Shield II",M340="Software Idiem",C340="C"),((('BLAZE SHIELD II'!$L$4*('CALCULO MORTERO'!I340^2)+'BLAZE SHIELD II'!$L$5*'CALCULO MORTERO'!I340+'BLAZE SHIELD II'!$L$6)*LN(J340))+('BLAZE SHIELD II'!$L$7*('CALCULO MORTERO'!I340^2)+'BLAZE SHIELD II'!$L$8*'CALCULO MORTERO'!I340+'BLAZE SHIELD II'!$L$9)),0)+IF(AND(L340="Blaze Shield II",M340="Software Idiem",C340="L"),((('BLAZE SHIELD II'!$L$4*('CALCULO MORTERO'!I340^2)+'BLAZE SHIELD II'!$L$5*'CALCULO MORTERO'!I340+'BLAZE SHIELD II'!$L$6)*LN(J340))+('BLAZE SHIELD II'!$L$7*('CALCULO MORTERO'!I340^2)+'BLAZE SHIELD II'!$L$8*'CALCULO MORTERO'!I340+'BLAZE SHIELD II'!$L$9)),0)+IF(AND(L340="Blaze Shield II",M340="Software Idiem",C340="IN",G340=3),((('BLAZE SHIELD II'!$H$14*('CALCULO MORTERO'!I340^2)+'BLAZE SHIELD II'!$H$15*'CALCULO MORTERO'!I340+'BLAZE SHIELD II'!$H$16)*LN(J340))+('BLAZE SHIELD II'!$H$17*('CALCULO MORTERO'!I340^2)+'BLAZE SHIELD II'!$H$18*'CALCULO MORTERO'!I340+'BLAZE SHIELD II'!$H$19)),0),0)+ROUND(IF(AND(L340="Cafco 400",M340="Software Idiem",C340="IN",G340=4),((('CAFCO 400 '!$H$7*(J340^4)+'CAFCO 400 '!$H$8*(J340^3)+'CAFCO 400 '!$H$9*(J340^2)+'CAFCO 400 '!$H$10*J340+'CAFCO 400 '!$H$11)*U340^2)+(('CAFCO 400 '!$H$12*(J340^3)+'CAFCO 400 '!$H$13*(J340^2)+'CAFCO 400 '!$H$14*J340+'CAFCO 400 '!$H$15)*U340)+('CAFCO 400 '!$H$16*(J340^2)+'CAFCO 400 '!$H$17*J340+'CAFCO 400 '!$H$18)),0)+IF(AND(L340="Cafco 400",M340="Software Idiem",C340="Cj"),(((('CAFCO 400 '!$D$7*LN(J340)+'CAFCO 400 '!$D$8)*U340^2)+(('CAFCO 400 '!$D$9*LN(J340)+'CAFCO 400 '!$D$10)*U340)+('CAFCO 400 '!$D$11*LN(J340)+'CAFCO 400 '!$D$12))),0)+IF(AND(L340="Cafco 400",M340="Software Idiem",C340="C"),((('CAFCO 400 '!$L$7*(J340^3)+'CAFCO 400 '!$L$8*(J340^2)+'CAFCO 400 '!$L$9*J340+'CAFCO 400 '!$L$10)*U340^2)+(('CAFCO 400 '!$L$11*(J340^3)+'CAFCO 400 '!$L$12*(J340^2)+'CAFCO 400 '!$L$13*J340+'CAFCO 400 '!$L$14)*U340)+('CAFCO 400 '!$L$15*LN(J340)+'CAFCO 400 '!$L$16)),0)+IF(AND(L340="Cafco 400",M340="Software Idiem",C340="L"),((('CAFCO 400 '!$L$7*(J340^3)+'CAFCO 400 '!$L$8*(J340^2)+'CAFCO 400 '!$L$9*J340+'CAFCO 400 '!$L$10)*U340^2)+(('CAFCO 400 '!$L$11*(J340^3)+'CAFCO 400 '!$L$12*(J340^2)+'CAFCO 400 '!$L$13*J340+'CAFCO 400 '!$L$14)*U340)+('CAFCO 400 '!$L$15*LN(J340)+'CAFCO 400 '!$L$16)),0)+IF(AND(L340="Cafco 400",M340="Software Idiem",C340="IN",G340=3),((('CAFCO 400 '!$D$23*(J340^2)+'CAFCO 400 '!$D$24*(J340)+'CAFCO 400 '!$D$25)*U340^2)+(('CAFCO 400 '!$D$26*(J340^2)+'CAFCO 400 '!$D$27*J340+'CAFCO 400 '!$D$28)*U340)+('CAFCO 400 '!$D$29*(J340^2)+'CAFCO 400 '!$D$30*J340+'CAFCO 400 '!$D$31)),0),0)+IF(AND(L340="Cafco 300",J340&gt;=95,J340&lt;=240,C340="Cj",I340=90),VLOOKUP(T340,'CAFCO 300 IDIEM TABLAS'!$B$4:$D$23,2,FALSE),0)+IF(AND(L340="Cafco 300",J340&gt;=95,J340&lt;=240,C340="Cj",I340=120),VLOOKUP(T340,'CAFCO 300 IDIEM TABLAS'!$B$4:$D$23,3,FALSE),0)+IF(AND(L340="Cafco 300",J340&gt;=95,J340&lt;=400,G340=3,C340="IN",I340=90),VLOOKUP(T340,'CAFCO 300 IDIEM TABLAS'!$F$4:$H$35,2,FALSE),0)+IF(AND(L340="Cafco 300",J340&gt;=95,J340&lt;=400,G340=3,C340="IN",I340=120),VLOOKUP(T340,'CAFCO 300 IDIEM TABLAS'!$F$4:$H$35,3,FALSE),0)+IF(AND(L340="Cafco 300",J340&gt;=95,J340&lt;=450,G340=4,C340="IN",I340=90),VLOOKUP(T340,'CAFCO 300 IDIEM TABLAS'!$J$4:$L$40,2,FALSE),0)+IF(AND(L340="Cafco 300",J340&gt;=95,J340&lt;=450,G340=4,C340="IN",I340=120),VLOOKUP(T340,'CAFCO 300 IDIEM TABLAS'!$J$4:$L$40,3,FALSE),0)+IF(AND(M340="Ensayo Idiem",L340="Cafco 400",C340="IN",G340=4,I340=90),VLOOKUP(T340,'CAFCO 400 ENSAYO'!$B$7:$D$43,2,FALSE),0)+IF(AND(M340="Ensayo Idiem",L340="Cafco 400",C340="IN",G340=4,I340=120),VLOOKUP(T340,'CAFCO 400 ENSAYO'!$B$7:$D$43,3,FALSE),0)</f>
        <v>0</v>
      </c>
      <c r="O340" s="96">
        <f t="shared" si="39"/>
        <v>0</v>
      </c>
      <c r="P340" s="95" t="str">
        <f t="shared" si="40"/>
        <v>N/A</v>
      </c>
      <c r="Q340" s="95" t="str">
        <f t="shared" si="41"/>
        <v>N/A</v>
      </c>
      <c r="R340" s="95" t="str">
        <f t="shared" si="42"/>
        <v>NO CERT.</v>
      </c>
      <c r="S340" s="95" t="e">
        <f t="shared" si="37"/>
        <v>#N/A</v>
      </c>
      <c r="T340" s="119" t="e">
        <f>+IF(J340=LOOKUP(J340,'CAFCO 300 IDIEM TABLAS'!$J$4:$J$40),'CALCULO MORTERO'!J340,MROUND('CALCULO MORTERO'!J340,10))</f>
        <v>#N/A</v>
      </c>
      <c r="U340" s="118">
        <f t="shared" si="38"/>
        <v>0</v>
      </c>
      <c r="Y340" s="4"/>
      <c r="Z340" s="4"/>
      <c r="AA340" s="4"/>
    </row>
    <row r="341" spans="1:27" x14ac:dyDescent="0.25">
      <c r="A341" s="118">
        <f>+CUBICACION!D335</f>
        <v>0</v>
      </c>
      <c r="B341" s="819">
        <f>+CUBICACION!E335</f>
        <v>0</v>
      </c>
      <c r="C341" s="675">
        <f>+CUBICACION!F335</f>
        <v>0</v>
      </c>
      <c r="D341" s="118"/>
      <c r="E341" s="118"/>
      <c r="F341" s="820"/>
      <c r="G341" s="675">
        <f>+CUBICACION!J335</f>
        <v>0</v>
      </c>
      <c r="H341" s="118"/>
      <c r="I341" s="821">
        <f>+CUBICACION!L335</f>
        <v>0</v>
      </c>
      <c r="J341" s="64">
        <f>+CUBICACION!M335</f>
        <v>0</v>
      </c>
      <c r="K341" s="822" t="str">
        <f>+CUBICACION!N335</f>
        <v/>
      </c>
      <c r="L341" s="118">
        <f>+CUBICACION!O335</f>
        <v>0</v>
      </c>
      <c r="M341" s="823">
        <f>+CUBICACION!P335</f>
        <v>0</v>
      </c>
      <c r="N341" s="902">
        <f>ROUND(IF(AND(L341="Blaze Shield II",M341="Software Idiem",C341="IN",G341=4),((('BLAZE SHIELD II'!$D$4*('CALCULO MORTERO'!I341^2)+'BLAZE SHIELD II'!$D$5*'CALCULO MORTERO'!I341+'BLAZE SHIELD II'!$D$6)*LN(J341))+('BLAZE SHIELD II'!$D$7*('CALCULO MORTERO'!I341^2)+'BLAZE SHIELD II'!$D$8*'CALCULO MORTERO'!I341+'BLAZE SHIELD II'!$D$9)),0)+IF(AND(L341="Blaze Shield II",M341="Software Idiem",C341="Cj"),((('BLAZE SHIELD II'!$H$4*('CALCULO MORTERO'!I341^2)+'BLAZE SHIELD II'!$H$5*'CALCULO MORTERO'!I341+'BLAZE SHIELD II'!$H$6)*LN(J341))+('BLAZE SHIELD II'!$H$7*('CALCULO MORTERO'!I341^2)+'BLAZE SHIELD II'!$H$8*'CALCULO MORTERO'!I341+'BLAZE SHIELD II'!$H$9)),0)+IF(AND(L341="Blaze Shield II",M341="Software Idiem",C341="C"),((('BLAZE SHIELD II'!$L$4*('CALCULO MORTERO'!I341^2)+'BLAZE SHIELD II'!$L$5*'CALCULO MORTERO'!I341+'BLAZE SHIELD II'!$L$6)*LN(J341))+('BLAZE SHIELD II'!$L$7*('CALCULO MORTERO'!I341^2)+'BLAZE SHIELD II'!$L$8*'CALCULO MORTERO'!I341+'BLAZE SHIELD II'!$L$9)),0)+IF(AND(L341="Blaze Shield II",M341="Software Idiem",C341="L"),((('BLAZE SHIELD II'!$L$4*('CALCULO MORTERO'!I341^2)+'BLAZE SHIELD II'!$L$5*'CALCULO MORTERO'!I341+'BLAZE SHIELD II'!$L$6)*LN(J341))+('BLAZE SHIELD II'!$L$7*('CALCULO MORTERO'!I341^2)+'BLAZE SHIELD II'!$L$8*'CALCULO MORTERO'!I341+'BLAZE SHIELD II'!$L$9)),0)+IF(AND(L341="Blaze Shield II",M341="Software Idiem",C341="IN",G341=3),((('BLAZE SHIELD II'!$H$14*('CALCULO MORTERO'!I341^2)+'BLAZE SHIELD II'!$H$15*'CALCULO MORTERO'!I341+'BLAZE SHIELD II'!$H$16)*LN(J341))+('BLAZE SHIELD II'!$H$17*('CALCULO MORTERO'!I341^2)+'BLAZE SHIELD II'!$H$18*'CALCULO MORTERO'!I341+'BLAZE SHIELD II'!$H$19)),0),0)+ROUND(IF(AND(L341="Cafco 400",M341="Software Idiem",C341="IN",G341=4),((('CAFCO 400 '!$H$7*(J341^4)+'CAFCO 400 '!$H$8*(J341^3)+'CAFCO 400 '!$H$9*(J341^2)+'CAFCO 400 '!$H$10*J341+'CAFCO 400 '!$H$11)*U341^2)+(('CAFCO 400 '!$H$12*(J341^3)+'CAFCO 400 '!$H$13*(J341^2)+'CAFCO 400 '!$H$14*J341+'CAFCO 400 '!$H$15)*U341)+('CAFCO 400 '!$H$16*(J341^2)+'CAFCO 400 '!$H$17*J341+'CAFCO 400 '!$H$18)),0)+IF(AND(L341="Cafco 400",M341="Software Idiem",C341="Cj"),(((('CAFCO 400 '!$D$7*LN(J341)+'CAFCO 400 '!$D$8)*U341^2)+(('CAFCO 400 '!$D$9*LN(J341)+'CAFCO 400 '!$D$10)*U341)+('CAFCO 400 '!$D$11*LN(J341)+'CAFCO 400 '!$D$12))),0)+IF(AND(L341="Cafco 400",M341="Software Idiem",C341="C"),((('CAFCO 400 '!$L$7*(J341^3)+'CAFCO 400 '!$L$8*(J341^2)+'CAFCO 400 '!$L$9*J341+'CAFCO 400 '!$L$10)*U341^2)+(('CAFCO 400 '!$L$11*(J341^3)+'CAFCO 400 '!$L$12*(J341^2)+'CAFCO 400 '!$L$13*J341+'CAFCO 400 '!$L$14)*U341)+('CAFCO 400 '!$L$15*LN(J341)+'CAFCO 400 '!$L$16)),0)+IF(AND(L341="Cafco 400",M341="Software Idiem",C341="L"),((('CAFCO 400 '!$L$7*(J341^3)+'CAFCO 400 '!$L$8*(J341^2)+'CAFCO 400 '!$L$9*J341+'CAFCO 400 '!$L$10)*U341^2)+(('CAFCO 400 '!$L$11*(J341^3)+'CAFCO 400 '!$L$12*(J341^2)+'CAFCO 400 '!$L$13*J341+'CAFCO 400 '!$L$14)*U341)+('CAFCO 400 '!$L$15*LN(J341)+'CAFCO 400 '!$L$16)),0)+IF(AND(L341="Cafco 400",M341="Software Idiem",C341="IN",G341=3),((('CAFCO 400 '!$D$23*(J341^2)+'CAFCO 400 '!$D$24*(J341)+'CAFCO 400 '!$D$25)*U341^2)+(('CAFCO 400 '!$D$26*(J341^2)+'CAFCO 400 '!$D$27*J341+'CAFCO 400 '!$D$28)*U341)+('CAFCO 400 '!$D$29*(J341^2)+'CAFCO 400 '!$D$30*J341+'CAFCO 400 '!$D$31)),0),0)+IF(AND(L341="Cafco 300",J341&gt;=95,J341&lt;=240,C341="Cj",I341=90),VLOOKUP(T341,'CAFCO 300 IDIEM TABLAS'!$B$4:$D$23,2,FALSE),0)+IF(AND(L341="Cafco 300",J341&gt;=95,J341&lt;=240,C341="Cj",I341=120),VLOOKUP(T341,'CAFCO 300 IDIEM TABLAS'!$B$4:$D$23,3,FALSE),0)+IF(AND(L341="Cafco 300",J341&gt;=95,J341&lt;=400,G341=3,C341="IN",I341=90),VLOOKUP(T341,'CAFCO 300 IDIEM TABLAS'!$F$4:$H$35,2,FALSE),0)+IF(AND(L341="Cafco 300",J341&gt;=95,J341&lt;=400,G341=3,C341="IN",I341=120),VLOOKUP(T341,'CAFCO 300 IDIEM TABLAS'!$F$4:$H$35,3,FALSE),0)+IF(AND(L341="Cafco 300",J341&gt;=95,J341&lt;=450,G341=4,C341="IN",I341=90),VLOOKUP(T341,'CAFCO 300 IDIEM TABLAS'!$J$4:$L$40,2,FALSE),0)+IF(AND(L341="Cafco 300",J341&gt;=95,J341&lt;=450,G341=4,C341="IN",I341=120),VLOOKUP(T341,'CAFCO 300 IDIEM TABLAS'!$J$4:$L$40,3,FALSE),0)+IF(AND(M341="Ensayo Idiem",L341="Cafco 400",C341="IN",G341=4,I341=90),VLOOKUP(T341,'CAFCO 400 ENSAYO'!$B$7:$D$43,2,FALSE),0)+IF(AND(M341="Ensayo Idiem",L341="Cafco 400",C341="IN",G341=4,I341=120),VLOOKUP(T341,'CAFCO 400 ENSAYO'!$B$7:$D$43,3,FALSE),0)</f>
        <v>0</v>
      </c>
      <c r="O341" s="96">
        <f t="shared" si="39"/>
        <v>0</v>
      </c>
      <c r="P341" s="95" t="str">
        <f t="shared" si="40"/>
        <v>N/A</v>
      </c>
      <c r="Q341" s="95" t="str">
        <f t="shared" si="41"/>
        <v>N/A</v>
      </c>
      <c r="R341" s="95" t="str">
        <f t="shared" si="42"/>
        <v>NO CERT.</v>
      </c>
      <c r="S341" s="95" t="e">
        <f t="shared" si="37"/>
        <v>#N/A</v>
      </c>
      <c r="T341" s="119" t="e">
        <f>+IF(J341=LOOKUP(J341,'CAFCO 300 IDIEM TABLAS'!$J$4:$J$40),'CALCULO MORTERO'!J341,MROUND('CALCULO MORTERO'!J341,10))</f>
        <v>#N/A</v>
      </c>
      <c r="U341" s="118">
        <f t="shared" si="38"/>
        <v>0</v>
      </c>
      <c r="Y341" s="4"/>
      <c r="Z341" s="4"/>
      <c r="AA341" s="4"/>
    </row>
    <row r="342" spans="1:27" ht="15.6" customHeight="1" x14ac:dyDescent="0.25">
      <c r="A342" s="118">
        <f>+CUBICACION!D336</f>
        <v>0</v>
      </c>
      <c r="B342" s="819">
        <f>+CUBICACION!E336</f>
        <v>0</v>
      </c>
      <c r="C342" s="675">
        <f>+CUBICACION!F336</f>
        <v>0</v>
      </c>
      <c r="D342" s="118"/>
      <c r="E342" s="118"/>
      <c r="F342" s="820"/>
      <c r="G342" s="675">
        <f>+CUBICACION!J336</f>
        <v>0</v>
      </c>
      <c r="H342" s="118"/>
      <c r="I342" s="821">
        <f>+CUBICACION!L336</f>
        <v>0</v>
      </c>
      <c r="J342" s="64">
        <f>+CUBICACION!M336</f>
        <v>0</v>
      </c>
      <c r="K342" s="822" t="str">
        <f>+CUBICACION!N336</f>
        <v/>
      </c>
      <c r="L342" s="118">
        <f>+CUBICACION!O336</f>
        <v>0</v>
      </c>
      <c r="M342" s="823">
        <f>+CUBICACION!P336</f>
        <v>0</v>
      </c>
      <c r="N342" s="902">
        <f>ROUND(IF(AND(L342="Blaze Shield II",M342="Software Idiem",C342="IN",G342=4),((('BLAZE SHIELD II'!$D$4*('CALCULO MORTERO'!I342^2)+'BLAZE SHIELD II'!$D$5*'CALCULO MORTERO'!I342+'BLAZE SHIELD II'!$D$6)*LN(J342))+('BLAZE SHIELD II'!$D$7*('CALCULO MORTERO'!I342^2)+'BLAZE SHIELD II'!$D$8*'CALCULO MORTERO'!I342+'BLAZE SHIELD II'!$D$9)),0)+IF(AND(L342="Blaze Shield II",M342="Software Idiem",C342="Cj"),((('BLAZE SHIELD II'!$H$4*('CALCULO MORTERO'!I342^2)+'BLAZE SHIELD II'!$H$5*'CALCULO MORTERO'!I342+'BLAZE SHIELD II'!$H$6)*LN(J342))+('BLAZE SHIELD II'!$H$7*('CALCULO MORTERO'!I342^2)+'BLAZE SHIELD II'!$H$8*'CALCULO MORTERO'!I342+'BLAZE SHIELD II'!$H$9)),0)+IF(AND(L342="Blaze Shield II",M342="Software Idiem",C342="C"),((('BLAZE SHIELD II'!$L$4*('CALCULO MORTERO'!I342^2)+'BLAZE SHIELD II'!$L$5*'CALCULO MORTERO'!I342+'BLAZE SHIELD II'!$L$6)*LN(J342))+('BLAZE SHIELD II'!$L$7*('CALCULO MORTERO'!I342^2)+'BLAZE SHIELD II'!$L$8*'CALCULO MORTERO'!I342+'BLAZE SHIELD II'!$L$9)),0)+IF(AND(L342="Blaze Shield II",M342="Software Idiem",C342="L"),((('BLAZE SHIELD II'!$L$4*('CALCULO MORTERO'!I342^2)+'BLAZE SHIELD II'!$L$5*'CALCULO MORTERO'!I342+'BLAZE SHIELD II'!$L$6)*LN(J342))+('BLAZE SHIELD II'!$L$7*('CALCULO MORTERO'!I342^2)+'BLAZE SHIELD II'!$L$8*'CALCULO MORTERO'!I342+'BLAZE SHIELD II'!$L$9)),0)+IF(AND(L342="Blaze Shield II",M342="Software Idiem",C342="IN",G342=3),((('BLAZE SHIELD II'!$H$14*('CALCULO MORTERO'!I342^2)+'BLAZE SHIELD II'!$H$15*'CALCULO MORTERO'!I342+'BLAZE SHIELD II'!$H$16)*LN(J342))+('BLAZE SHIELD II'!$H$17*('CALCULO MORTERO'!I342^2)+'BLAZE SHIELD II'!$H$18*'CALCULO MORTERO'!I342+'BLAZE SHIELD II'!$H$19)),0),0)+ROUND(IF(AND(L342="Cafco 400",M342="Software Idiem",C342="IN",G342=4),((('CAFCO 400 '!$H$7*(J342^4)+'CAFCO 400 '!$H$8*(J342^3)+'CAFCO 400 '!$H$9*(J342^2)+'CAFCO 400 '!$H$10*J342+'CAFCO 400 '!$H$11)*U342^2)+(('CAFCO 400 '!$H$12*(J342^3)+'CAFCO 400 '!$H$13*(J342^2)+'CAFCO 400 '!$H$14*J342+'CAFCO 400 '!$H$15)*U342)+('CAFCO 400 '!$H$16*(J342^2)+'CAFCO 400 '!$H$17*J342+'CAFCO 400 '!$H$18)),0)+IF(AND(L342="Cafco 400",M342="Software Idiem",C342="Cj"),(((('CAFCO 400 '!$D$7*LN(J342)+'CAFCO 400 '!$D$8)*U342^2)+(('CAFCO 400 '!$D$9*LN(J342)+'CAFCO 400 '!$D$10)*U342)+('CAFCO 400 '!$D$11*LN(J342)+'CAFCO 400 '!$D$12))),0)+IF(AND(L342="Cafco 400",M342="Software Idiem",C342="C"),((('CAFCO 400 '!$L$7*(J342^3)+'CAFCO 400 '!$L$8*(J342^2)+'CAFCO 400 '!$L$9*J342+'CAFCO 400 '!$L$10)*U342^2)+(('CAFCO 400 '!$L$11*(J342^3)+'CAFCO 400 '!$L$12*(J342^2)+'CAFCO 400 '!$L$13*J342+'CAFCO 400 '!$L$14)*U342)+('CAFCO 400 '!$L$15*LN(J342)+'CAFCO 400 '!$L$16)),0)+IF(AND(L342="Cafco 400",M342="Software Idiem",C342="L"),((('CAFCO 400 '!$L$7*(J342^3)+'CAFCO 400 '!$L$8*(J342^2)+'CAFCO 400 '!$L$9*J342+'CAFCO 400 '!$L$10)*U342^2)+(('CAFCO 400 '!$L$11*(J342^3)+'CAFCO 400 '!$L$12*(J342^2)+'CAFCO 400 '!$L$13*J342+'CAFCO 400 '!$L$14)*U342)+('CAFCO 400 '!$L$15*LN(J342)+'CAFCO 400 '!$L$16)),0)+IF(AND(L342="Cafco 400",M342="Software Idiem",C342="IN",G342=3),((('CAFCO 400 '!$D$23*(J342^2)+'CAFCO 400 '!$D$24*(J342)+'CAFCO 400 '!$D$25)*U342^2)+(('CAFCO 400 '!$D$26*(J342^2)+'CAFCO 400 '!$D$27*J342+'CAFCO 400 '!$D$28)*U342)+('CAFCO 400 '!$D$29*(J342^2)+'CAFCO 400 '!$D$30*J342+'CAFCO 400 '!$D$31)),0),0)+IF(AND(L342="Cafco 300",J342&gt;=95,J342&lt;=240,C342="Cj",I342=90),VLOOKUP(T342,'CAFCO 300 IDIEM TABLAS'!$B$4:$D$23,2,FALSE),0)+IF(AND(L342="Cafco 300",J342&gt;=95,J342&lt;=240,C342="Cj",I342=120),VLOOKUP(T342,'CAFCO 300 IDIEM TABLAS'!$B$4:$D$23,3,FALSE),0)+IF(AND(L342="Cafco 300",J342&gt;=95,J342&lt;=400,G342=3,C342="IN",I342=90),VLOOKUP(T342,'CAFCO 300 IDIEM TABLAS'!$F$4:$H$35,2,FALSE),0)+IF(AND(L342="Cafco 300",J342&gt;=95,J342&lt;=400,G342=3,C342="IN",I342=120),VLOOKUP(T342,'CAFCO 300 IDIEM TABLAS'!$F$4:$H$35,3,FALSE),0)+IF(AND(L342="Cafco 300",J342&gt;=95,J342&lt;=450,G342=4,C342="IN",I342=90),VLOOKUP(T342,'CAFCO 300 IDIEM TABLAS'!$J$4:$L$40,2,FALSE),0)+IF(AND(L342="Cafco 300",J342&gt;=95,J342&lt;=450,G342=4,C342="IN",I342=120),VLOOKUP(T342,'CAFCO 300 IDIEM TABLAS'!$J$4:$L$40,3,FALSE),0)+IF(AND(M342="Ensayo Idiem",L342="Cafco 400",C342="IN",G342=4,I342=90),VLOOKUP(T342,'CAFCO 400 ENSAYO'!$B$7:$D$43,2,FALSE),0)+IF(AND(M342="Ensayo Idiem",L342="Cafco 400",C342="IN",G342=4,I342=120),VLOOKUP(T342,'CAFCO 400 ENSAYO'!$B$7:$D$43,3,FALSE),0)</f>
        <v>0</v>
      </c>
      <c r="O342" s="96">
        <f t="shared" si="39"/>
        <v>0</v>
      </c>
      <c r="P342" s="95" t="str">
        <f t="shared" si="40"/>
        <v>N/A</v>
      </c>
      <c r="Q342" s="95" t="str">
        <f t="shared" si="41"/>
        <v>N/A</v>
      </c>
      <c r="R342" s="95" t="str">
        <f t="shared" si="42"/>
        <v>NO CERT.</v>
      </c>
      <c r="S342" s="95" t="e">
        <f t="shared" si="37"/>
        <v>#N/A</v>
      </c>
      <c r="T342" s="119" t="e">
        <f>+IF(J342=LOOKUP(J342,'CAFCO 300 IDIEM TABLAS'!$J$4:$J$40),'CALCULO MORTERO'!J342,MROUND('CALCULO MORTERO'!J342,10))</f>
        <v>#N/A</v>
      </c>
      <c r="U342" s="118">
        <f t="shared" si="38"/>
        <v>0</v>
      </c>
      <c r="Y342" s="4"/>
      <c r="Z342" s="4"/>
      <c r="AA342" s="4"/>
    </row>
    <row r="343" spans="1:27" x14ac:dyDescent="0.25">
      <c r="A343" s="118">
        <f>+CUBICACION!D337</f>
        <v>0</v>
      </c>
      <c r="B343" s="819">
        <f>+CUBICACION!E337</f>
        <v>0</v>
      </c>
      <c r="C343" s="675">
        <f>+CUBICACION!F337</f>
        <v>0</v>
      </c>
      <c r="D343" s="118"/>
      <c r="E343" s="118"/>
      <c r="F343" s="820"/>
      <c r="G343" s="675">
        <f>+CUBICACION!J337</f>
        <v>0</v>
      </c>
      <c r="H343" s="118"/>
      <c r="I343" s="821">
        <f>+CUBICACION!L337</f>
        <v>0</v>
      </c>
      <c r="J343" s="64">
        <f>+CUBICACION!M337</f>
        <v>0</v>
      </c>
      <c r="K343" s="822" t="str">
        <f>+CUBICACION!N337</f>
        <v/>
      </c>
      <c r="L343" s="118">
        <f>+CUBICACION!O337</f>
        <v>0</v>
      </c>
      <c r="M343" s="823">
        <f>+CUBICACION!P337</f>
        <v>0</v>
      </c>
      <c r="N343" s="902">
        <f>ROUND(IF(AND(L343="Blaze Shield II",M343="Software Idiem",C343="IN",G343=4),((('BLAZE SHIELD II'!$D$4*('CALCULO MORTERO'!I343^2)+'BLAZE SHIELD II'!$D$5*'CALCULO MORTERO'!I343+'BLAZE SHIELD II'!$D$6)*LN(J343))+('BLAZE SHIELD II'!$D$7*('CALCULO MORTERO'!I343^2)+'BLAZE SHIELD II'!$D$8*'CALCULO MORTERO'!I343+'BLAZE SHIELD II'!$D$9)),0)+IF(AND(L343="Blaze Shield II",M343="Software Idiem",C343="Cj"),((('BLAZE SHIELD II'!$H$4*('CALCULO MORTERO'!I343^2)+'BLAZE SHIELD II'!$H$5*'CALCULO MORTERO'!I343+'BLAZE SHIELD II'!$H$6)*LN(J343))+('BLAZE SHIELD II'!$H$7*('CALCULO MORTERO'!I343^2)+'BLAZE SHIELD II'!$H$8*'CALCULO MORTERO'!I343+'BLAZE SHIELD II'!$H$9)),0)+IF(AND(L343="Blaze Shield II",M343="Software Idiem",C343="C"),((('BLAZE SHIELD II'!$L$4*('CALCULO MORTERO'!I343^2)+'BLAZE SHIELD II'!$L$5*'CALCULO MORTERO'!I343+'BLAZE SHIELD II'!$L$6)*LN(J343))+('BLAZE SHIELD II'!$L$7*('CALCULO MORTERO'!I343^2)+'BLAZE SHIELD II'!$L$8*'CALCULO MORTERO'!I343+'BLAZE SHIELD II'!$L$9)),0)+IF(AND(L343="Blaze Shield II",M343="Software Idiem",C343="L"),((('BLAZE SHIELD II'!$L$4*('CALCULO MORTERO'!I343^2)+'BLAZE SHIELD II'!$L$5*'CALCULO MORTERO'!I343+'BLAZE SHIELD II'!$L$6)*LN(J343))+('BLAZE SHIELD II'!$L$7*('CALCULO MORTERO'!I343^2)+'BLAZE SHIELD II'!$L$8*'CALCULO MORTERO'!I343+'BLAZE SHIELD II'!$L$9)),0)+IF(AND(L343="Blaze Shield II",M343="Software Idiem",C343="IN",G343=3),((('BLAZE SHIELD II'!$H$14*('CALCULO MORTERO'!I343^2)+'BLAZE SHIELD II'!$H$15*'CALCULO MORTERO'!I343+'BLAZE SHIELD II'!$H$16)*LN(J343))+('BLAZE SHIELD II'!$H$17*('CALCULO MORTERO'!I343^2)+'BLAZE SHIELD II'!$H$18*'CALCULO MORTERO'!I343+'BLAZE SHIELD II'!$H$19)),0),0)+ROUND(IF(AND(L343="Cafco 400",M343="Software Idiem",C343="IN",G343=4),((('CAFCO 400 '!$H$7*(J343^4)+'CAFCO 400 '!$H$8*(J343^3)+'CAFCO 400 '!$H$9*(J343^2)+'CAFCO 400 '!$H$10*J343+'CAFCO 400 '!$H$11)*U343^2)+(('CAFCO 400 '!$H$12*(J343^3)+'CAFCO 400 '!$H$13*(J343^2)+'CAFCO 400 '!$H$14*J343+'CAFCO 400 '!$H$15)*U343)+('CAFCO 400 '!$H$16*(J343^2)+'CAFCO 400 '!$H$17*J343+'CAFCO 400 '!$H$18)),0)+IF(AND(L343="Cafco 400",M343="Software Idiem",C343="Cj"),(((('CAFCO 400 '!$D$7*LN(J343)+'CAFCO 400 '!$D$8)*U343^2)+(('CAFCO 400 '!$D$9*LN(J343)+'CAFCO 400 '!$D$10)*U343)+('CAFCO 400 '!$D$11*LN(J343)+'CAFCO 400 '!$D$12))),0)+IF(AND(L343="Cafco 400",M343="Software Idiem",C343="C"),((('CAFCO 400 '!$L$7*(J343^3)+'CAFCO 400 '!$L$8*(J343^2)+'CAFCO 400 '!$L$9*J343+'CAFCO 400 '!$L$10)*U343^2)+(('CAFCO 400 '!$L$11*(J343^3)+'CAFCO 400 '!$L$12*(J343^2)+'CAFCO 400 '!$L$13*J343+'CAFCO 400 '!$L$14)*U343)+('CAFCO 400 '!$L$15*LN(J343)+'CAFCO 400 '!$L$16)),0)+IF(AND(L343="Cafco 400",M343="Software Idiem",C343="L"),((('CAFCO 400 '!$L$7*(J343^3)+'CAFCO 400 '!$L$8*(J343^2)+'CAFCO 400 '!$L$9*J343+'CAFCO 400 '!$L$10)*U343^2)+(('CAFCO 400 '!$L$11*(J343^3)+'CAFCO 400 '!$L$12*(J343^2)+'CAFCO 400 '!$L$13*J343+'CAFCO 400 '!$L$14)*U343)+('CAFCO 400 '!$L$15*LN(J343)+'CAFCO 400 '!$L$16)),0)+IF(AND(L343="Cafco 400",M343="Software Idiem",C343="IN",G343=3),((('CAFCO 400 '!$D$23*(J343^2)+'CAFCO 400 '!$D$24*(J343)+'CAFCO 400 '!$D$25)*U343^2)+(('CAFCO 400 '!$D$26*(J343^2)+'CAFCO 400 '!$D$27*J343+'CAFCO 400 '!$D$28)*U343)+('CAFCO 400 '!$D$29*(J343^2)+'CAFCO 400 '!$D$30*J343+'CAFCO 400 '!$D$31)),0),0)+IF(AND(L343="Cafco 300",J343&gt;=95,J343&lt;=240,C343="Cj",I343=90),VLOOKUP(T343,'CAFCO 300 IDIEM TABLAS'!$B$4:$D$23,2,FALSE),0)+IF(AND(L343="Cafco 300",J343&gt;=95,J343&lt;=240,C343="Cj",I343=120),VLOOKUP(T343,'CAFCO 300 IDIEM TABLAS'!$B$4:$D$23,3,FALSE),0)+IF(AND(L343="Cafco 300",J343&gt;=95,J343&lt;=400,G343=3,C343="IN",I343=90),VLOOKUP(T343,'CAFCO 300 IDIEM TABLAS'!$F$4:$H$35,2,FALSE),0)+IF(AND(L343="Cafco 300",J343&gt;=95,J343&lt;=400,G343=3,C343="IN",I343=120),VLOOKUP(T343,'CAFCO 300 IDIEM TABLAS'!$F$4:$H$35,3,FALSE),0)+IF(AND(L343="Cafco 300",J343&gt;=95,J343&lt;=450,G343=4,C343="IN",I343=90),VLOOKUP(T343,'CAFCO 300 IDIEM TABLAS'!$J$4:$L$40,2,FALSE),0)+IF(AND(L343="Cafco 300",J343&gt;=95,J343&lt;=450,G343=4,C343="IN",I343=120),VLOOKUP(T343,'CAFCO 300 IDIEM TABLAS'!$J$4:$L$40,3,FALSE),0)+IF(AND(M343="Ensayo Idiem",L343="Cafco 400",C343="IN",G343=4,I343=90),VLOOKUP(T343,'CAFCO 400 ENSAYO'!$B$7:$D$43,2,FALSE),0)+IF(AND(M343="Ensayo Idiem",L343="Cafco 400",C343="IN",G343=4,I343=120),VLOOKUP(T343,'CAFCO 400 ENSAYO'!$B$7:$D$43,3,FALSE),0)</f>
        <v>0</v>
      </c>
      <c r="O343" s="96">
        <f t="shared" si="39"/>
        <v>0</v>
      </c>
      <c r="P343" s="95" t="str">
        <f t="shared" si="40"/>
        <v>N/A</v>
      </c>
      <c r="Q343" s="95" t="str">
        <f t="shared" si="41"/>
        <v>N/A</v>
      </c>
      <c r="R343" s="95" t="str">
        <f t="shared" si="42"/>
        <v>NO CERT.</v>
      </c>
      <c r="S343" s="95" t="e">
        <f t="shared" si="37"/>
        <v>#N/A</v>
      </c>
      <c r="T343" s="119" t="e">
        <f>+IF(J343=LOOKUP(J343,'CAFCO 300 IDIEM TABLAS'!$J$4:$J$40),'CALCULO MORTERO'!J343,MROUND('CALCULO MORTERO'!J343,10))</f>
        <v>#N/A</v>
      </c>
      <c r="U343" s="118">
        <f t="shared" si="38"/>
        <v>0</v>
      </c>
      <c r="Y343" s="4"/>
      <c r="Z343" s="4"/>
      <c r="AA343" s="4"/>
    </row>
    <row r="344" spans="1:27" ht="15.6" customHeight="1" x14ac:dyDescent="0.25">
      <c r="A344" s="118">
        <f>+CUBICACION!D338</f>
        <v>0</v>
      </c>
      <c r="B344" s="819">
        <f>+CUBICACION!E338</f>
        <v>0</v>
      </c>
      <c r="C344" s="675">
        <f>+CUBICACION!F338</f>
        <v>0</v>
      </c>
      <c r="D344" s="118"/>
      <c r="E344" s="118"/>
      <c r="F344" s="820"/>
      <c r="G344" s="675">
        <f>+CUBICACION!J338</f>
        <v>0</v>
      </c>
      <c r="H344" s="118"/>
      <c r="I344" s="821">
        <f>+CUBICACION!L338</f>
        <v>0</v>
      </c>
      <c r="J344" s="64">
        <f>+CUBICACION!M338</f>
        <v>0</v>
      </c>
      <c r="K344" s="822" t="str">
        <f>+CUBICACION!N338</f>
        <v/>
      </c>
      <c r="L344" s="118">
        <f>+CUBICACION!O338</f>
        <v>0</v>
      </c>
      <c r="M344" s="823">
        <f>+CUBICACION!P338</f>
        <v>0</v>
      </c>
      <c r="N344" s="902">
        <f>ROUND(IF(AND(L344="Blaze Shield II",M344="Software Idiem",C344="IN",G344=4),((('BLAZE SHIELD II'!$D$4*('CALCULO MORTERO'!I344^2)+'BLAZE SHIELD II'!$D$5*'CALCULO MORTERO'!I344+'BLAZE SHIELD II'!$D$6)*LN(J344))+('BLAZE SHIELD II'!$D$7*('CALCULO MORTERO'!I344^2)+'BLAZE SHIELD II'!$D$8*'CALCULO MORTERO'!I344+'BLAZE SHIELD II'!$D$9)),0)+IF(AND(L344="Blaze Shield II",M344="Software Idiem",C344="Cj"),((('BLAZE SHIELD II'!$H$4*('CALCULO MORTERO'!I344^2)+'BLAZE SHIELD II'!$H$5*'CALCULO MORTERO'!I344+'BLAZE SHIELD II'!$H$6)*LN(J344))+('BLAZE SHIELD II'!$H$7*('CALCULO MORTERO'!I344^2)+'BLAZE SHIELD II'!$H$8*'CALCULO MORTERO'!I344+'BLAZE SHIELD II'!$H$9)),0)+IF(AND(L344="Blaze Shield II",M344="Software Idiem",C344="C"),((('BLAZE SHIELD II'!$L$4*('CALCULO MORTERO'!I344^2)+'BLAZE SHIELD II'!$L$5*'CALCULO MORTERO'!I344+'BLAZE SHIELD II'!$L$6)*LN(J344))+('BLAZE SHIELD II'!$L$7*('CALCULO MORTERO'!I344^2)+'BLAZE SHIELD II'!$L$8*'CALCULO MORTERO'!I344+'BLAZE SHIELD II'!$L$9)),0)+IF(AND(L344="Blaze Shield II",M344="Software Idiem",C344="L"),((('BLAZE SHIELD II'!$L$4*('CALCULO MORTERO'!I344^2)+'BLAZE SHIELD II'!$L$5*'CALCULO MORTERO'!I344+'BLAZE SHIELD II'!$L$6)*LN(J344))+('BLAZE SHIELD II'!$L$7*('CALCULO MORTERO'!I344^2)+'BLAZE SHIELD II'!$L$8*'CALCULO MORTERO'!I344+'BLAZE SHIELD II'!$L$9)),0)+IF(AND(L344="Blaze Shield II",M344="Software Idiem",C344="IN",G344=3),((('BLAZE SHIELD II'!$H$14*('CALCULO MORTERO'!I344^2)+'BLAZE SHIELD II'!$H$15*'CALCULO MORTERO'!I344+'BLAZE SHIELD II'!$H$16)*LN(J344))+('BLAZE SHIELD II'!$H$17*('CALCULO MORTERO'!I344^2)+'BLAZE SHIELD II'!$H$18*'CALCULO MORTERO'!I344+'BLAZE SHIELD II'!$H$19)),0),0)+ROUND(IF(AND(L344="Cafco 400",M344="Software Idiem",C344="IN",G344=4),((('CAFCO 400 '!$H$7*(J344^4)+'CAFCO 400 '!$H$8*(J344^3)+'CAFCO 400 '!$H$9*(J344^2)+'CAFCO 400 '!$H$10*J344+'CAFCO 400 '!$H$11)*U344^2)+(('CAFCO 400 '!$H$12*(J344^3)+'CAFCO 400 '!$H$13*(J344^2)+'CAFCO 400 '!$H$14*J344+'CAFCO 400 '!$H$15)*U344)+('CAFCO 400 '!$H$16*(J344^2)+'CAFCO 400 '!$H$17*J344+'CAFCO 400 '!$H$18)),0)+IF(AND(L344="Cafco 400",M344="Software Idiem",C344="Cj"),(((('CAFCO 400 '!$D$7*LN(J344)+'CAFCO 400 '!$D$8)*U344^2)+(('CAFCO 400 '!$D$9*LN(J344)+'CAFCO 400 '!$D$10)*U344)+('CAFCO 400 '!$D$11*LN(J344)+'CAFCO 400 '!$D$12))),0)+IF(AND(L344="Cafco 400",M344="Software Idiem",C344="C"),((('CAFCO 400 '!$L$7*(J344^3)+'CAFCO 400 '!$L$8*(J344^2)+'CAFCO 400 '!$L$9*J344+'CAFCO 400 '!$L$10)*U344^2)+(('CAFCO 400 '!$L$11*(J344^3)+'CAFCO 400 '!$L$12*(J344^2)+'CAFCO 400 '!$L$13*J344+'CAFCO 400 '!$L$14)*U344)+('CAFCO 400 '!$L$15*LN(J344)+'CAFCO 400 '!$L$16)),0)+IF(AND(L344="Cafco 400",M344="Software Idiem",C344="L"),((('CAFCO 400 '!$L$7*(J344^3)+'CAFCO 400 '!$L$8*(J344^2)+'CAFCO 400 '!$L$9*J344+'CAFCO 400 '!$L$10)*U344^2)+(('CAFCO 400 '!$L$11*(J344^3)+'CAFCO 400 '!$L$12*(J344^2)+'CAFCO 400 '!$L$13*J344+'CAFCO 400 '!$L$14)*U344)+('CAFCO 400 '!$L$15*LN(J344)+'CAFCO 400 '!$L$16)),0)+IF(AND(L344="Cafco 400",M344="Software Idiem",C344="IN",G344=3),((('CAFCO 400 '!$D$23*(J344^2)+'CAFCO 400 '!$D$24*(J344)+'CAFCO 400 '!$D$25)*U344^2)+(('CAFCO 400 '!$D$26*(J344^2)+'CAFCO 400 '!$D$27*J344+'CAFCO 400 '!$D$28)*U344)+('CAFCO 400 '!$D$29*(J344^2)+'CAFCO 400 '!$D$30*J344+'CAFCO 400 '!$D$31)),0),0)+IF(AND(L344="Cafco 300",J344&gt;=95,J344&lt;=240,C344="Cj",I344=90),VLOOKUP(T344,'CAFCO 300 IDIEM TABLAS'!$B$4:$D$23,2,FALSE),0)+IF(AND(L344="Cafco 300",J344&gt;=95,J344&lt;=240,C344="Cj",I344=120),VLOOKUP(T344,'CAFCO 300 IDIEM TABLAS'!$B$4:$D$23,3,FALSE),0)+IF(AND(L344="Cafco 300",J344&gt;=95,J344&lt;=400,G344=3,C344="IN",I344=90),VLOOKUP(T344,'CAFCO 300 IDIEM TABLAS'!$F$4:$H$35,2,FALSE),0)+IF(AND(L344="Cafco 300",J344&gt;=95,J344&lt;=400,G344=3,C344="IN",I344=120),VLOOKUP(T344,'CAFCO 300 IDIEM TABLAS'!$F$4:$H$35,3,FALSE),0)+IF(AND(L344="Cafco 300",J344&gt;=95,J344&lt;=450,G344=4,C344="IN",I344=90),VLOOKUP(T344,'CAFCO 300 IDIEM TABLAS'!$J$4:$L$40,2,FALSE),0)+IF(AND(L344="Cafco 300",J344&gt;=95,J344&lt;=450,G344=4,C344="IN",I344=120),VLOOKUP(T344,'CAFCO 300 IDIEM TABLAS'!$J$4:$L$40,3,FALSE),0)+IF(AND(M344="Ensayo Idiem",L344="Cafco 400",C344="IN",G344=4,I344=90),VLOOKUP(T344,'CAFCO 400 ENSAYO'!$B$7:$D$43,2,FALSE),0)+IF(AND(M344="Ensayo Idiem",L344="Cafco 400",C344="IN",G344=4,I344=120),VLOOKUP(T344,'CAFCO 400 ENSAYO'!$B$7:$D$43,3,FALSE),0)</f>
        <v>0</v>
      </c>
      <c r="O344" s="96">
        <f t="shared" si="39"/>
        <v>0</v>
      </c>
      <c r="P344" s="95" t="str">
        <f t="shared" si="40"/>
        <v>N/A</v>
      </c>
      <c r="Q344" s="95" t="str">
        <f t="shared" si="41"/>
        <v>N/A</v>
      </c>
      <c r="R344" s="95" t="str">
        <f t="shared" si="42"/>
        <v>NO CERT.</v>
      </c>
      <c r="S344" s="95" t="e">
        <f t="shared" si="37"/>
        <v>#N/A</v>
      </c>
      <c r="T344" s="119" t="e">
        <f>+IF(J344=LOOKUP(J344,'CAFCO 300 IDIEM TABLAS'!$J$4:$J$40),'CALCULO MORTERO'!J344,MROUND('CALCULO MORTERO'!J344,10))</f>
        <v>#N/A</v>
      </c>
      <c r="U344" s="118">
        <f t="shared" si="38"/>
        <v>0</v>
      </c>
      <c r="Y344" s="4"/>
      <c r="Z344" s="4"/>
      <c r="AA344" s="4"/>
    </row>
    <row r="345" spans="1:27" x14ac:dyDescent="0.25">
      <c r="A345" s="118">
        <f>+CUBICACION!D339</f>
        <v>0</v>
      </c>
      <c r="B345" s="819">
        <f>+CUBICACION!E339</f>
        <v>0</v>
      </c>
      <c r="C345" s="675">
        <f>+CUBICACION!F339</f>
        <v>0</v>
      </c>
      <c r="D345" s="118"/>
      <c r="E345" s="118"/>
      <c r="F345" s="820"/>
      <c r="G345" s="675">
        <f>+CUBICACION!J339</f>
        <v>0</v>
      </c>
      <c r="H345" s="118"/>
      <c r="I345" s="821">
        <f>+CUBICACION!L339</f>
        <v>0</v>
      </c>
      <c r="J345" s="64">
        <f>+CUBICACION!M339</f>
        <v>0</v>
      </c>
      <c r="K345" s="822" t="str">
        <f>+CUBICACION!N339</f>
        <v/>
      </c>
      <c r="L345" s="118">
        <f>+CUBICACION!O339</f>
        <v>0</v>
      </c>
      <c r="M345" s="823">
        <f>+CUBICACION!P339</f>
        <v>0</v>
      </c>
      <c r="N345" s="902">
        <f>ROUND(IF(AND(L345="Blaze Shield II",M345="Software Idiem",C345="IN",G345=4),((('BLAZE SHIELD II'!$D$4*('CALCULO MORTERO'!I345^2)+'BLAZE SHIELD II'!$D$5*'CALCULO MORTERO'!I345+'BLAZE SHIELD II'!$D$6)*LN(J345))+('BLAZE SHIELD II'!$D$7*('CALCULO MORTERO'!I345^2)+'BLAZE SHIELD II'!$D$8*'CALCULO MORTERO'!I345+'BLAZE SHIELD II'!$D$9)),0)+IF(AND(L345="Blaze Shield II",M345="Software Idiem",C345="Cj"),((('BLAZE SHIELD II'!$H$4*('CALCULO MORTERO'!I345^2)+'BLAZE SHIELD II'!$H$5*'CALCULO MORTERO'!I345+'BLAZE SHIELD II'!$H$6)*LN(J345))+('BLAZE SHIELD II'!$H$7*('CALCULO MORTERO'!I345^2)+'BLAZE SHIELD II'!$H$8*'CALCULO MORTERO'!I345+'BLAZE SHIELD II'!$H$9)),0)+IF(AND(L345="Blaze Shield II",M345="Software Idiem",C345="C"),((('BLAZE SHIELD II'!$L$4*('CALCULO MORTERO'!I345^2)+'BLAZE SHIELD II'!$L$5*'CALCULO MORTERO'!I345+'BLAZE SHIELD II'!$L$6)*LN(J345))+('BLAZE SHIELD II'!$L$7*('CALCULO MORTERO'!I345^2)+'BLAZE SHIELD II'!$L$8*'CALCULO MORTERO'!I345+'BLAZE SHIELD II'!$L$9)),0)+IF(AND(L345="Blaze Shield II",M345="Software Idiem",C345="L"),((('BLAZE SHIELD II'!$L$4*('CALCULO MORTERO'!I345^2)+'BLAZE SHIELD II'!$L$5*'CALCULO MORTERO'!I345+'BLAZE SHIELD II'!$L$6)*LN(J345))+('BLAZE SHIELD II'!$L$7*('CALCULO MORTERO'!I345^2)+'BLAZE SHIELD II'!$L$8*'CALCULO MORTERO'!I345+'BLAZE SHIELD II'!$L$9)),0)+IF(AND(L345="Blaze Shield II",M345="Software Idiem",C345="IN",G345=3),((('BLAZE SHIELD II'!$H$14*('CALCULO MORTERO'!I345^2)+'BLAZE SHIELD II'!$H$15*'CALCULO MORTERO'!I345+'BLAZE SHIELD II'!$H$16)*LN(J345))+('BLAZE SHIELD II'!$H$17*('CALCULO MORTERO'!I345^2)+'BLAZE SHIELD II'!$H$18*'CALCULO MORTERO'!I345+'BLAZE SHIELD II'!$H$19)),0),0)+ROUND(IF(AND(L345="Cafco 400",M345="Software Idiem",C345="IN",G345=4),((('CAFCO 400 '!$H$7*(J345^4)+'CAFCO 400 '!$H$8*(J345^3)+'CAFCO 400 '!$H$9*(J345^2)+'CAFCO 400 '!$H$10*J345+'CAFCO 400 '!$H$11)*U345^2)+(('CAFCO 400 '!$H$12*(J345^3)+'CAFCO 400 '!$H$13*(J345^2)+'CAFCO 400 '!$H$14*J345+'CAFCO 400 '!$H$15)*U345)+('CAFCO 400 '!$H$16*(J345^2)+'CAFCO 400 '!$H$17*J345+'CAFCO 400 '!$H$18)),0)+IF(AND(L345="Cafco 400",M345="Software Idiem",C345="Cj"),(((('CAFCO 400 '!$D$7*LN(J345)+'CAFCO 400 '!$D$8)*U345^2)+(('CAFCO 400 '!$D$9*LN(J345)+'CAFCO 400 '!$D$10)*U345)+('CAFCO 400 '!$D$11*LN(J345)+'CAFCO 400 '!$D$12))),0)+IF(AND(L345="Cafco 400",M345="Software Idiem",C345="C"),((('CAFCO 400 '!$L$7*(J345^3)+'CAFCO 400 '!$L$8*(J345^2)+'CAFCO 400 '!$L$9*J345+'CAFCO 400 '!$L$10)*U345^2)+(('CAFCO 400 '!$L$11*(J345^3)+'CAFCO 400 '!$L$12*(J345^2)+'CAFCO 400 '!$L$13*J345+'CAFCO 400 '!$L$14)*U345)+('CAFCO 400 '!$L$15*LN(J345)+'CAFCO 400 '!$L$16)),0)+IF(AND(L345="Cafco 400",M345="Software Idiem",C345="L"),((('CAFCO 400 '!$L$7*(J345^3)+'CAFCO 400 '!$L$8*(J345^2)+'CAFCO 400 '!$L$9*J345+'CAFCO 400 '!$L$10)*U345^2)+(('CAFCO 400 '!$L$11*(J345^3)+'CAFCO 400 '!$L$12*(J345^2)+'CAFCO 400 '!$L$13*J345+'CAFCO 400 '!$L$14)*U345)+('CAFCO 400 '!$L$15*LN(J345)+'CAFCO 400 '!$L$16)),0)+IF(AND(L345="Cafco 400",M345="Software Idiem",C345="IN",G345=3),((('CAFCO 400 '!$D$23*(J345^2)+'CAFCO 400 '!$D$24*(J345)+'CAFCO 400 '!$D$25)*U345^2)+(('CAFCO 400 '!$D$26*(J345^2)+'CAFCO 400 '!$D$27*J345+'CAFCO 400 '!$D$28)*U345)+('CAFCO 400 '!$D$29*(J345^2)+'CAFCO 400 '!$D$30*J345+'CAFCO 400 '!$D$31)),0),0)+IF(AND(L345="Cafco 300",J345&gt;=95,J345&lt;=240,C345="Cj",I345=90),VLOOKUP(T345,'CAFCO 300 IDIEM TABLAS'!$B$4:$D$23,2,FALSE),0)+IF(AND(L345="Cafco 300",J345&gt;=95,J345&lt;=240,C345="Cj",I345=120),VLOOKUP(T345,'CAFCO 300 IDIEM TABLAS'!$B$4:$D$23,3,FALSE),0)+IF(AND(L345="Cafco 300",J345&gt;=95,J345&lt;=400,G345=3,C345="IN",I345=90),VLOOKUP(T345,'CAFCO 300 IDIEM TABLAS'!$F$4:$H$35,2,FALSE),0)+IF(AND(L345="Cafco 300",J345&gt;=95,J345&lt;=400,G345=3,C345="IN",I345=120),VLOOKUP(T345,'CAFCO 300 IDIEM TABLAS'!$F$4:$H$35,3,FALSE),0)+IF(AND(L345="Cafco 300",J345&gt;=95,J345&lt;=450,G345=4,C345="IN",I345=90),VLOOKUP(T345,'CAFCO 300 IDIEM TABLAS'!$J$4:$L$40,2,FALSE),0)+IF(AND(L345="Cafco 300",J345&gt;=95,J345&lt;=450,G345=4,C345="IN",I345=120),VLOOKUP(T345,'CAFCO 300 IDIEM TABLAS'!$J$4:$L$40,3,FALSE),0)+IF(AND(M345="Ensayo Idiem",L345="Cafco 400",C345="IN",G345=4,I345=90),VLOOKUP(T345,'CAFCO 400 ENSAYO'!$B$7:$D$43,2,FALSE),0)+IF(AND(M345="Ensayo Idiem",L345="Cafco 400",C345="IN",G345=4,I345=120),VLOOKUP(T345,'CAFCO 400 ENSAYO'!$B$7:$D$43,3,FALSE),0)</f>
        <v>0</v>
      </c>
      <c r="O345" s="96">
        <f t="shared" si="39"/>
        <v>0</v>
      </c>
      <c r="P345" s="95" t="str">
        <f t="shared" si="40"/>
        <v>N/A</v>
      </c>
      <c r="Q345" s="95" t="str">
        <f t="shared" si="41"/>
        <v>N/A</v>
      </c>
      <c r="R345" s="95" t="str">
        <f t="shared" si="42"/>
        <v>NO CERT.</v>
      </c>
      <c r="S345" s="95" t="e">
        <f t="shared" si="37"/>
        <v>#N/A</v>
      </c>
      <c r="T345" s="119" t="e">
        <f>+IF(J345=LOOKUP(J345,'CAFCO 300 IDIEM TABLAS'!$J$4:$J$40),'CALCULO MORTERO'!J345,MROUND('CALCULO MORTERO'!J345,10))</f>
        <v>#N/A</v>
      </c>
      <c r="U345" s="118">
        <f t="shared" si="38"/>
        <v>0</v>
      </c>
      <c r="Y345" s="4"/>
      <c r="Z345" s="4"/>
      <c r="AA345" s="4"/>
    </row>
    <row r="346" spans="1:27" ht="15.6" customHeight="1" x14ac:dyDescent="0.25">
      <c r="A346" s="118">
        <f>+CUBICACION!D340</f>
        <v>0</v>
      </c>
      <c r="B346" s="819">
        <f>+CUBICACION!E340</f>
        <v>0</v>
      </c>
      <c r="C346" s="675">
        <f>+CUBICACION!F340</f>
        <v>0</v>
      </c>
      <c r="D346" s="118"/>
      <c r="E346" s="118"/>
      <c r="F346" s="820"/>
      <c r="G346" s="675">
        <f>+CUBICACION!J340</f>
        <v>0</v>
      </c>
      <c r="H346" s="118"/>
      <c r="I346" s="821">
        <f>+CUBICACION!L340</f>
        <v>0</v>
      </c>
      <c r="J346" s="64">
        <f>+CUBICACION!M340</f>
        <v>0</v>
      </c>
      <c r="K346" s="822" t="str">
        <f>+CUBICACION!N340</f>
        <v/>
      </c>
      <c r="L346" s="118">
        <f>+CUBICACION!O340</f>
        <v>0</v>
      </c>
      <c r="M346" s="823">
        <f>+CUBICACION!P340</f>
        <v>0</v>
      </c>
      <c r="N346" s="902">
        <f>ROUND(IF(AND(L346="Blaze Shield II",M346="Software Idiem",C346="IN",G346=4),((('BLAZE SHIELD II'!$D$4*('CALCULO MORTERO'!I346^2)+'BLAZE SHIELD II'!$D$5*'CALCULO MORTERO'!I346+'BLAZE SHIELD II'!$D$6)*LN(J346))+('BLAZE SHIELD II'!$D$7*('CALCULO MORTERO'!I346^2)+'BLAZE SHIELD II'!$D$8*'CALCULO MORTERO'!I346+'BLAZE SHIELD II'!$D$9)),0)+IF(AND(L346="Blaze Shield II",M346="Software Idiem",C346="Cj"),((('BLAZE SHIELD II'!$H$4*('CALCULO MORTERO'!I346^2)+'BLAZE SHIELD II'!$H$5*'CALCULO MORTERO'!I346+'BLAZE SHIELD II'!$H$6)*LN(J346))+('BLAZE SHIELD II'!$H$7*('CALCULO MORTERO'!I346^2)+'BLAZE SHIELD II'!$H$8*'CALCULO MORTERO'!I346+'BLAZE SHIELD II'!$H$9)),0)+IF(AND(L346="Blaze Shield II",M346="Software Idiem",C346="C"),((('BLAZE SHIELD II'!$L$4*('CALCULO MORTERO'!I346^2)+'BLAZE SHIELD II'!$L$5*'CALCULO MORTERO'!I346+'BLAZE SHIELD II'!$L$6)*LN(J346))+('BLAZE SHIELD II'!$L$7*('CALCULO MORTERO'!I346^2)+'BLAZE SHIELD II'!$L$8*'CALCULO MORTERO'!I346+'BLAZE SHIELD II'!$L$9)),0)+IF(AND(L346="Blaze Shield II",M346="Software Idiem",C346="L"),((('BLAZE SHIELD II'!$L$4*('CALCULO MORTERO'!I346^2)+'BLAZE SHIELD II'!$L$5*'CALCULO MORTERO'!I346+'BLAZE SHIELD II'!$L$6)*LN(J346))+('BLAZE SHIELD II'!$L$7*('CALCULO MORTERO'!I346^2)+'BLAZE SHIELD II'!$L$8*'CALCULO MORTERO'!I346+'BLAZE SHIELD II'!$L$9)),0)+IF(AND(L346="Blaze Shield II",M346="Software Idiem",C346="IN",G346=3),((('BLAZE SHIELD II'!$H$14*('CALCULO MORTERO'!I346^2)+'BLAZE SHIELD II'!$H$15*'CALCULO MORTERO'!I346+'BLAZE SHIELD II'!$H$16)*LN(J346))+('BLAZE SHIELD II'!$H$17*('CALCULO MORTERO'!I346^2)+'BLAZE SHIELD II'!$H$18*'CALCULO MORTERO'!I346+'BLAZE SHIELD II'!$H$19)),0),0)+ROUND(IF(AND(L346="Cafco 400",M346="Software Idiem",C346="IN",G346=4),((('CAFCO 400 '!$H$7*(J346^4)+'CAFCO 400 '!$H$8*(J346^3)+'CAFCO 400 '!$H$9*(J346^2)+'CAFCO 400 '!$H$10*J346+'CAFCO 400 '!$H$11)*U346^2)+(('CAFCO 400 '!$H$12*(J346^3)+'CAFCO 400 '!$H$13*(J346^2)+'CAFCO 400 '!$H$14*J346+'CAFCO 400 '!$H$15)*U346)+('CAFCO 400 '!$H$16*(J346^2)+'CAFCO 400 '!$H$17*J346+'CAFCO 400 '!$H$18)),0)+IF(AND(L346="Cafco 400",M346="Software Idiem",C346="Cj"),(((('CAFCO 400 '!$D$7*LN(J346)+'CAFCO 400 '!$D$8)*U346^2)+(('CAFCO 400 '!$D$9*LN(J346)+'CAFCO 400 '!$D$10)*U346)+('CAFCO 400 '!$D$11*LN(J346)+'CAFCO 400 '!$D$12))),0)+IF(AND(L346="Cafco 400",M346="Software Idiem",C346="C"),((('CAFCO 400 '!$L$7*(J346^3)+'CAFCO 400 '!$L$8*(J346^2)+'CAFCO 400 '!$L$9*J346+'CAFCO 400 '!$L$10)*U346^2)+(('CAFCO 400 '!$L$11*(J346^3)+'CAFCO 400 '!$L$12*(J346^2)+'CAFCO 400 '!$L$13*J346+'CAFCO 400 '!$L$14)*U346)+('CAFCO 400 '!$L$15*LN(J346)+'CAFCO 400 '!$L$16)),0)+IF(AND(L346="Cafco 400",M346="Software Idiem",C346="L"),((('CAFCO 400 '!$L$7*(J346^3)+'CAFCO 400 '!$L$8*(J346^2)+'CAFCO 400 '!$L$9*J346+'CAFCO 400 '!$L$10)*U346^2)+(('CAFCO 400 '!$L$11*(J346^3)+'CAFCO 400 '!$L$12*(J346^2)+'CAFCO 400 '!$L$13*J346+'CAFCO 400 '!$L$14)*U346)+('CAFCO 400 '!$L$15*LN(J346)+'CAFCO 400 '!$L$16)),0)+IF(AND(L346="Cafco 400",M346="Software Idiem",C346="IN",G346=3),((('CAFCO 400 '!$D$23*(J346^2)+'CAFCO 400 '!$D$24*(J346)+'CAFCO 400 '!$D$25)*U346^2)+(('CAFCO 400 '!$D$26*(J346^2)+'CAFCO 400 '!$D$27*J346+'CAFCO 400 '!$D$28)*U346)+('CAFCO 400 '!$D$29*(J346^2)+'CAFCO 400 '!$D$30*J346+'CAFCO 400 '!$D$31)),0),0)+IF(AND(L346="Cafco 300",J346&gt;=95,J346&lt;=240,C346="Cj",I346=90),VLOOKUP(T346,'CAFCO 300 IDIEM TABLAS'!$B$4:$D$23,2,FALSE),0)+IF(AND(L346="Cafco 300",J346&gt;=95,J346&lt;=240,C346="Cj",I346=120),VLOOKUP(T346,'CAFCO 300 IDIEM TABLAS'!$B$4:$D$23,3,FALSE),0)+IF(AND(L346="Cafco 300",J346&gt;=95,J346&lt;=400,G346=3,C346="IN",I346=90),VLOOKUP(T346,'CAFCO 300 IDIEM TABLAS'!$F$4:$H$35,2,FALSE),0)+IF(AND(L346="Cafco 300",J346&gt;=95,J346&lt;=400,G346=3,C346="IN",I346=120),VLOOKUP(T346,'CAFCO 300 IDIEM TABLAS'!$F$4:$H$35,3,FALSE),0)+IF(AND(L346="Cafco 300",J346&gt;=95,J346&lt;=450,G346=4,C346="IN",I346=90),VLOOKUP(T346,'CAFCO 300 IDIEM TABLAS'!$J$4:$L$40,2,FALSE),0)+IF(AND(L346="Cafco 300",J346&gt;=95,J346&lt;=450,G346=4,C346="IN",I346=120),VLOOKUP(T346,'CAFCO 300 IDIEM TABLAS'!$J$4:$L$40,3,FALSE),0)+IF(AND(M346="Ensayo Idiem",L346="Cafco 400",C346="IN",G346=4,I346=90),VLOOKUP(T346,'CAFCO 400 ENSAYO'!$B$7:$D$43,2,FALSE),0)+IF(AND(M346="Ensayo Idiem",L346="Cafco 400",C346="IN",G346=4,I346=120),VLOOKUP(T346,'CAFCO 400 ENSAYO'!$B$7:$D$43,3,FALSE),0)</f>
        <v>0</v>
      </c>
      <c r="O346" s="96">
        <f t="shared" si="39"/>
        <v>0</v>
      </c>
      <c r="P346" s="95" t="str">
        <f t="shared" si="40"/>
        <v>N/A</v>
      </c>
      <c r="Q346" s="95" t="str">
        <f t="shared" si="41"/>
        <v>N/A</v>
      </c>
      <c r="R346" s="95" t="str">
        <f t="shared" si="42"/>
        <v>NO CERT.</v>
      </c>
      <c r="S346" s="95" t="e">
        <f t="shared" si="37"/>
        <v>#N/A</v>
      </c>
      <c r="T346" s="119" t="e">
        <f>+IF(J346=LOOKUP(J346,'CAFCO 300 IDIEM TABLAS'!$J$4:$J$40),'CALCULO MORTERO'!J346,MROUND('CALCULO MORTERO'!J346,10))</f>
        <v>#N/A</v>
      </c>
      <c r="U346" s="118">
        <f t="shared" si="38"/>
        <v>0</v>
      </c>
      <c r="Y346" s="4"/>
      <c r="Z346" s="4"/>
      <c r="AA346" s="4"/>
    </row>
    <row r="347" spans="1:27" x14ac:dyDescent="0.25">
      <c r="A347" s="118">
        <f>+CUBICACION!D341</f>
        <v>0</v>
      </c>
      <c r="B347" s="819">
        <f>+CUBICACION!E341</f>
        <v>0</v>
      </c>
      <c r="C347" s="675">
        <f>+CUBICACION!F341</f>
        <v>0</v>
      </c>
      <c r="D347" s="118"/>
      <c r="E347" s="118"/>
      <c r="F347" s="820"/>
      <c r="G347" s="675">
        <f>+CUBICACION!J341</f>
        <v>0</v>
      </c>
      <c r="H347" s="118"/>
      <c r="I347" s="821">
        <f>+CUBICACION!L341</f>
        <v>0</v>
      </c>
      <c r="J347" s="64">
        <f>+CUBICACION!M341</f>
        <v>0</v>
      </c>
      <c r="K347" s="822" t="str">
        <f>+CUBICACION!N341</f>
        <v/>
      </c>
      <c r="L347" s="118">
        <f>+CUBICACION!O341</f>
        <v>0</v>
      </c>
      <c r="M347" s="823">
        <f>+CUBICACION!P341</f>
        <v>0</v>
      </c>
      <c r="N347" s="902">
        <f>ROUND(IF(AND(L347="Blaze Shield II",M347="Software Idiem",C347="IN",G347=4),((('BLAZE SHIELD II'!$D$4*('CALCULO MORTERO'!I347^2)+'BLAZE SHIELD II'!$D$5*'CALCULO MORTERO'!I347+'BLAZE SHIELD II'!$D$6)*LN(J347))+('BLAZE SHIELD II'!$D$7*('CALCULO MORTERO'!I347^2)+'BLAZE SHIELD II'!$D$8*'CALCULO MORTERO'!I347+'BLAZE SHIELD II'!$D$9)),0)+IF(AND(L347="Blaze Shield II",M347="Software Idiem",C347="Cj"),((('BLAZE SHIELD II'!$H$4*('CALCULO MORTERO'!I347^2)+'BLAZE SHIELD II'!$H$5*'CALCULO MORTERO'!I347+'BLAZE SHIELD II'!$H$6)*LN(J347))+('BLAZE SHIELD II'!$H$7*('CALCULO MORTERO'!I347^2)+'BLAZE SHIELD II'!$H$8*'CALCULO MORTERO'!I347+'BLAZE SHIELD II'!$H$9)),0)+IF(AND(L347="Blaze Shield II",M347="Software Idiem",C347="C"),((('BLAZE SHIELD II'!$L$4*('CALCULO MORTERO'!I347^2)+'BLAZE SHIELD II'!$L$5*'CALCULO MORTERO'!I347+'BLAZE SHIELD II'!$L$6)*LN(J347))+('BLAZE SHIELD II'!$L$7*('CALCULO MORTERO'!I347^2)+'BLAZE SHIELD II'!$L$8*'CALCULO MORTERO'!I347+'BLAZE SHIELD II'!$L$9)),0)+IF(AND(L347="Blaze Shield II",M347="Software Idiem",C347="L"),((('BLAZE SHIELD II'!$L$4*('CALCULO MORTERO'!I347^2)+'BLAZE SHIELD II'!$L$5*'CALCULO MORTERO'!I347+'BLAZE SHIELD II'!$L$6)*LN(J347))+('BLAZE SHIELD II'!$L$7*('CALCULO MORTERO'!I347^2)+'BLAZE SHIELD II'!$L$8*'CALCULO MORTERO'!I347+'BLAZE SHIELD II'!$L$9)),0)+IF(AND(L347="Blaze Shield II",M347="Software Idiem",C347="IN",G347=3),((('BLAZE SHIELD II'!$H$14*('CALCULO MORTERO'!I347^2)+'BLAZE SHIELD II'!$H$15*'CALCULO MORTERO'!I347+'BLAZE SHIELD II'!$H$16)*LN(J347))+('BLAZE SHIELD II'!$H$17*('CALCULO MORTERO'!I347^2)+'BLAZE SHIELD II'!$H$18*'CALCULO MORTERO'!I347+'BLAZE SHIELD II'!$H$19)),0),0)+ROUND(IF(AND(L347="Cafco 400",M347="Software Idiem",C347="IN",G347=4),((('CAFCO 400 '!$H$7*(J347^4)+'CAFCO 400 '!$H$8*(J347^3)+'CAFCO 400 '!$H$9*(J347^2)+'CAFCO 400 '!$H$10*J347+'CAFCO 400 '!$H$11)*U347^2)+(('CAFCO 400 '!$H$12*(J347^3)+'CAFCO 400 '!$H$13*(J347^2)+'CAFCO 400 '!$H$14*J347+'CAFCO 400 '!$H$15)*U347)+('CAFCO 400 '!$H$16*(J347^2)+'CAFCO 400 '!$H$17*J347+'CAFCO 400 '!$H$18)),0)+IF(AND(L347="Cafco 400",M347="Software Idiem",C347="Cj"),(((('CAFCO 400 '!$D$7*LN(J347)+'CAFCO 400 '!$D$8)*U347^2)+(('CAFCO 400 '!$D$9*LN(J347)+'CAFCO 400 '!$D$10)*U347)+('CAFCO 400 '!$D$11*LN(J347)+'CAFCO 400 '!$D$12))),0)+IF(AND(L347="Cafco 400",M347="Software Idiem",C347="C"),((('CAFCO 400 '!$L$7*(J347^3)+'CAFCO 400 '!$L$8*(J347^2)+'CAFCO 400 '!$L$9*J347+'CAFCO 400 '!$L$10)*U347^2)+(('CAFCO 400 '!$L$11*(J347^3)+'CAFCO 400 '!$L$12*(J347^2)+'CAFCO 400 '!$L$13*J347+'CAFCO 400 '!$L$14)*U347)+('CAFCO 400 '!$L$15*LN(J347)+'CAFCO 400 '!$L$16)),0)+IF(AND(L347="Cafco 400",M347="Software Idiem",C347="L"),((('CAFCO 400 '!$L$7*(J347^3)+'CAFCO 400 '!$L$8*(J347^2)+'CAFCO 400 '!$L$9*J347+'CAFCO 400 '!$L$10)*U347^2)+(('CAFCO 400 '!$L$11*(J347^3)+'CAFCO 400 '!$L$12*(J347^2)+'CAFCO 400 '!$L$13*J347+'CAFCO 400 '!$L$14)*U347)+('CAFCO 400 '!$L$15*LN(J347)+'CAFCO 400 '!$L$16)),0)+IF(AND(L347="Cafco 400",M347="Software Idiem",C347="IN",G347=3),((('CAFCO 400 '!$D$23*(J347^2)+'CAFCO 400 '!$D$24*(J347)+'CAFCO 400 '!$D$25)*U347^2)+(('CAFCO 400 '!$D$26*(J347^2)+'CAFCO 400 '!$D$27*J347+'CAFCO 400 '!$D$28)*U347)+('CAFCO 400 '!$D$29*(J347^2)+'CAFCO 400 '!$D$30*J347+'CAFCO 400 '!$D$31)),0),0)+IF(AND(L347="Cafco 300",J347&gt;=95,J347&lt;=240,C347="Cj",I347=90),VLOOKUP(T347,'CAFCO 300 IDIEM TABLAS'!$B$4:$D$23,2,FALSE),0)+IF(AND(L347="Cafco 300",J347&gt;=95,J347&lt;=240,C347="Cj",I347=120),VLOOKUP(T347,'CAFCO 300 IDIEM TABLAS'!$B$4:$D$23,3,FALSE),0)+IF(AND(L347="Cafco 300",J347&gt;=95,J347&lt;=400,G347=3,C347="IN",I347=90),VLOOKUP(T347,'CAFCO 300 IDIEM TABLAS'!$F$4:$H$35,2,FALSE),0)+IF(AND(L347="Cafco 300",J347&gt;=95,J347&lt;=400,G347=3,C347="IN",I347=120),VLOOKUP(T347,'CAFCO 300 IDIEM TABLAS'!$F$4:$H$35,3,FALSE),0)+IF(AND(L347="Cafco 300",J347&gt;=95,J347&lt;=450,G347=4,C347="IN",I347=90),VLOOKUP(T347,'CAFCO 300 IDIEM TABLAS'!$J$4:$L$40,2,FALSE),0)+IF(AND(L347="Cafco 300",J347&gt;=95,J347&lt;=450,G347=4,C347="IN",I347=120),VLOOKUP(T347,'CAFCO 300 IDIEM TABLAS'!$J$4:$L$40,3,FALSE),0)+IF(AND(M347="Ensayo Idiem",L347="Cafco 400",C347="IN",G347=4,I347=90),VLOOKUP(T347,'CAFCO 400 ENSAYO'!$B$7:$D$43,2,FALSE),0)+IF(AND(M347="Ensayo Idiem",L347="Cafco 400",C347="IN",G347=4,I347=120),VLOOKUP(T347,'CAFCO 400 ENSAYO'!$B$7:$D$43,3,FALSE),0)</f>
        <v>0</v>
      </c>
      <c r="O347" s="96">
        <f t="shared" si="39"/>
        <v>0</v>
      </c>
      <c r="P347" s="95" t="str">
        <f t="shared" si="40"/>
        <v>N/A</v>
      </c>
      <c r="Q347" s="95" t="str">
        <f t="shared" si="41"/>
        <v>N/A</v>
      </c>
      <c r="R347" s="95" t="str">
        <f t="shared" si="42"/>
        <v>NO CERT.</v>
      </c>
      <c r="S347" s="95" t="e">
        <f t="shared" si="37"/>
        <v>#N/A</v>
      </c>
      <c r="T347" s="119" t="e">
        <f>+IF(J347=LOOKUP(J347,'CAFCO 300 IDIEM TABLAS'!$J$4:$J$40),'CALCULO MORTERO'!J347,MROUND('CALCULO MORTERO'!J347,10))</f>
        <v>#N/A</v>
      </c>
      <c r="U347" s="118">
        <f t="shared" si="38"/>
        <v>0</v>
      </c>
      <c r="Y347" s="4"/>
      <c r="Z347" s="4"/>
      <c r="AA347" s="4"/>
    </row>
    <row r="348" spans="1:27" ht="15.6" customHeight="1" x14ac:dyDescent="0.25">
      <c r="A348" s="118">
        <f>+CUBICACION!D342</f>
        <v>0</v>
      </c>
      <c r="B348" s="819">
        <f>+CUBICACION!E342</f>
        <v>0</v>
      </c>
      <c r="C348" s="675">
        <f>+CUBICACION!F342</f>
        <v>0</v>
      </c>
      <c r="D348" s="118"/>
      <c r="E348" s="118"/>
      <c r="F348" s="820"/>
      <c r="G348" s="675">
        <f>+CUBICACION!J342</f>
        <v>0</v>
      </c>
      <c r="H348" s="118"/>
      <c r="I348" s="821">
        <f>+CUBICACION!L342</f>
        <v>0</v>
      </c>
      <c r="J348" s="64">
        <f>+CUBICACION!M342</f>
        <v>0</v>
      </c>
      <c r="K348" s="822" t="str">
        <f>+CUBICACION!N342</f>
        <v/>
      </c>
      <c r="L348" s="118">
        <f>+CUBICACION!O342</f>
        <v>0</v>
      </c>
      <c r="M348" s="823">
        <f>+CUBICACION!P342</f>
        <v>0</v>
      </c>
      <c r="N348" s="902">
        <f>ROUND(IF(AND(L348="Blaze Shield II",M348="Software Idiem",C348="IN",G348=4),((('BLAZE SHIELD II'!$D$4*('CALCULO MORTERO'!I348^2)+'BLAZE SHIELD II'!$D$5*'CALCULO MORTERO'!I348+'BLAZE SHIELD II'!$D$6)*LN(J348))+('BLAZE SHIELD II'!$D$7*('CALCULO MORTERO'!I348^2)+'BLAZE SHIELD II'!$D$8*'CALCULO MORTERO'!I348+'BLAZE SHIELD II'!$D$9)),0)+IF(AND(L348="Blaze Shield II",M348="Software Idiem",C348="Cj"),((('BLAZE SHIELD II'!$H$4*('CALCULO MORTERO'!I348^2)+'BLAZE SHIELD II'!$H$5*'CALCULO MORTERO'!I348+'BLAZE SHIELD II'!$H$6)*LN(J348))+('BLAZE SHIELD II'!$H$7*('CALCULO MORTERO'!I348^2)+'BLAZE SHIELD II'!$H$8*'CALCULO MORTERO'!I348+'BLAZE SHIELD II'!$H$9)),0)+IF(AND(L348="Blaze Shield II",M348="Software Idiem",C348="C"),((('BLAZE SHIELD II'!$L$4*('CALCULO MORTERO'!I348^2)+'BLAZE SHIELD II'!$L$5*'CALCULO MORTERO'!I348+'BLAZE SHIELD II'!$L$6)*LN(J348))+('BLAZE SHIELD II'!$L$7*('CALCULO MORTERO'!I348^2)+'BLAZE SHIELD II'!$L$8*'CALCULO MORTERO'!I348+'BLAZE SHIELD II'!$L$9)),0)+IF(AND(L348="Blaze Shield II",M348="Software Idiem",C348="L"),((('BLAZE SHIELD II'!$L$4*('CALCULO MORTERO'!I348^2)+'BLAZE SHIELD II'!$L$5*'CALCULO MORTERO'!I348+'BLAZE SHIELD II'!$L$6)*LN(J348))+('BLAZE SHIELD II'!$L$7*('CALCULO MORTERO'!I348^2)+'BLAZE SHIELD II'!$L$8*'CALCULO MORTERO'!I348+'BLAZE SHIELD II'!$L$9)),0)+IF(AND(L348="Blaze Shield II",M348="Software Idiem",C348="IN",G348=3),((('BLAZE SHIELD II'!$H$14*('CALCULO MORTERO'!I348^2)+'BLAZE SHIELD II'!$H$15*'CALCULO MORTERO'!I348+'BLAZE SHIELD II'!$H$16)*LN(J348))+('BLAZE SHIELD II'!$H$17*('CALCULO MORTERO'!I348^2)+'BLAZE SHIELD II'!$H$18*'CALCULO MORTERO'!I348+'BLAZE SHIELD II'!$H$19)),0),0)+ROUND(IF(AND(L348="Cafco 400",M348="Software Idiem",C348="IN",G348=4),((('CAFCO 400 '!$H$7*(J348^4)+'CAFCO 400 '!$H$8*(J348^3)+'CAFCO 400 '!$H$9*(J348^2)+'CAFCO 400 '!$H$10*J348+'CAFCO 400 '!$H$11)*U348^2)+(('CAFCO 400 '!$H$12*(J348^3)+'CAFCO 400 '!$H$13*(J348^2)+'CAFCO 400 '!$H$14*J348+'CAFCO 400 '!$H$15)*U348)+('CAFCO 400 '!$H$16*(J348^2)+'CAFCO 400 '!$H$17*J348+'CAFCO 400 '!$H$18)),0)+IF(AND(L348="Cafco 400",M348="Software Idiem",C348="Cj"),(((('CAFCO 400 '!$D$7*LN(J348)+'CAFCO 400 '!$D$8)*U348^2)+(('CAFCO 400 '!$D$9*LN(J348)+'CAFCO 400 '!$D$10)*U348)+('CAFCO 400 '!$D$11*LN(J348)+'CAFCO 400 '!$D$12))),0)+IF(AND(L348="Cafco 400",M348="Software Idiem",C348="C"),((('CAFCO 400 '!$L$7*(J348^3)+'CAFCO 400 '!$L$8*(J348^2)+'CAFCO 400 '!$L$9*J348+'CAFCO 400 '!$L$10)*U348^2)+(('CAFCO 400 '!$L$11*(J348^3)+'CAFCO 400 '!$L$12*(J348^2)+'CAFCO 400 '!$L$13*J348+'CAFCO 400 '!$L$14)*U348)+('CAFCO 400 '!$L$15*LN(J348)+'CAFCO 400 '!$L$16)),0)+IF(AND(L348="Cafco 400",M348="Software Idiem",C348="L"),((('CAFCO 400 '!$L$7*(J348^3)+'CAFCO 400 '!$L$8*(J348^2)+'CAFCO 400 '!$L$9*J348+'CAFCO 400 '!$L$10)*U348^2)+(('CAFCO 400 '!$L$11*(J348^3)+'CAFCO 400 '!$L$12*(J348^2)+'CAFCO 400 '!$L$13*J348+'CAFCO 400 '!$L$14)*U348)+('CAFCO 400 '!$L$15*LN(J348)+'CAFCO 400 '!$L$16)),0)+IF(AND(L348="Cafco 400",M348="Software Idiem",C348="IN",G348=3),((('CAFCO 400 '!$D$23*(J348^2)+'CAFCO 400 '!$D$24*(J348)+'CAFCO 400 '!$D$25)*U348^2)+(('CAFCO 400 '!$D$26*(J348^2)+'CAFCO 400 '!$D$27*J348+'CAFCO 400 '!$D$28)*U348)+('CAFCO 400 '!$D$29*(J348^2)+'CAFCO 400 '!$D$30*J348+'CAFCO 400 '!$D$31)),0),0)+IF(AND(L348="Cafco 300",J348&gt;=95,J348&lt;=240,C348="Cj",I348=90),VLOOKUP(T348,'CAFCO 300 IDIEM TABLAS'!$B$4:$D$23,2,FALSE),0)+IF(AND(L348="Cafco 300",J348&gt;=95,J348&lt;=240,C348="Cj",I348=120),VLOOKUP(T348,'CAFCO 300 IDIEM TABLAS'!$B$4:$D$23,3,FALSE),0)+IF(AND(L348="Cafco 300",J348&gt;=95,J348&lt;=400,G348=3,C348="IN",I348=90),VLOOKUP(T348,'CAFCO 300 IDIEM TABLAS'!$F$4:$H$35,2,FALSE),0)+IF(AND(L348="Cafco 300",J348&gt;=95,J348&lt;=400,G348=3,C348="IN",I348=120),VLOOKUP(T348,'CAFCO 300 IDIEM TABLAS'!$F$4:$H$35,3,FALSE),0)+IF(AND(L348="Cafco 300",J348&gt;=95,J348&lt;=450,G348=4,C348="IN",I348=90),VLOOKUP(T348,'CAFCO 300 IDIEM TABLAS'!$J$4:$L$40,2,FALSE),0)+IF(AND(L348="Cafco 300",J348&gt;=95,J348&lt;=450,G348=4,C348="IN",I348=120),VLOOKUP(T348,'CAFCO 300 IDIEM TABLAS'!$J$4:$L$40,3,FALSE),0)+IF(AND(M348="Ensayo Idiem",L348="Cafco 400",C348="IN",G348=4,I348=90),VLOOKUP(T348,'CAFCO 400 ENSAYO'!$B$7:$D$43,2,FALSE),0)+IF(AND(M348="Ensayo Idiem",L348="Cafco 400",C348="IN",G348=4,I348=120),VLOOKUP(T348,'CAFCO 400 ENSAYO'!$B$7:$D$43,3,FALSE),0)</f>
        <v>0</v>
      </c>
      <c r="O348" s="96">
        <f t="shared" si="39"/>
        <v>0</v>
      </c>
      <c r="P348" s="95" t="str">
        <f t="shared" si="40"/>
        <v>N/A</v>
      </c>
      <c r="Q348" s="95" t="str">
        <f t="shared" si="41"/>
        <v>N/A</v>
      </c>
      <c r="R348" s="95" t="str">
        <f t="shared" si="42"/>
        <v>NO CERT.</v>
      </c>
      <c r="S348" s="95" t="e">
        <f t="shared" si="37"/>
        <v>#N/A</v>
      </c>
      <c r="T348" s="119" t="e">
        <f>+IF(J348=LOOKUP(J348,'CAFCO 300 IDIEM TABLAS'!$J$4:$J$40),'CALCULO MORTERO'!J348,MROUND('CALCULO MORTERO'!J348,10))</f>
        <v>#N/A</v>
      </c>
      <c r="U348" s="118">
        <f t="shared" si="38"/>
        <v>0</v>
      </c>
      <c r="Y348" s="4"/>
      <c r="Z348" s="4"/>
      <c r="AA348" s="4"/>
    </row>
    <row r="349" spans="1:27" x14ac:dyDescent="0.25">
      <c r="A349" s="118">
        <f>+CUBICACION!D343</f>
        <v>0</v>
      </c>
      <c r="B349" s="819">
        <f>+CUBICACION!E343</f>
        <v>0</v>
      </c>
      <c r="C349" s="675">
        <f>+CUBICACION!F343</f>
        <v>0</v>
      </c>
      <c r="D349" s="118"/>
      <c r="E349" s="118"/>
      <c r="F349" s="820"/>
      <c r="G349" s="675">
        <f>+CUBICACION!J343</f>
        <v>0</v>
      </c>
      <c r="H349" s="118"/>
      <c r="I349" s="821">
        <f>+CUBICACION!L343</f>
        <v>0</v>
      </c>
      <c r="J349" s="64">
        <f>+CUBICACION!M343</f>
        <v>0</v>
      </c>
      <c r="K349" s="822" t="str">
        <f>+CUBICACION!N343</f>
        <v/>
      </c>
      <c r="L349" s="118">
        <f>+CUBICACION!O343</f>
        <v>0</v>
      </c>
      <c r="M349" s="823">
        <f>+CUBICACION!P343</f>
        <v>0</v>
      </c>
      <c r="N349" s="902">
        <f>ROUND(IF(AND(L349="Blaze Shield II",M349="Software Idiem",C349="IN",G349=4),((('BLAZE SHIELD II'!$D$4*('CALCULO MORTERO'!I349^2)+'BLAZE SHIELD II'!$D$5*'CALCULO MORTERO'!I349+'BLAZE SHIELD II'!$D$6)*LN(J349))+('BLAZE SHIELD II'!$D$7*('CALCULO MORTERO'!I349^2)+'BLAZE SHIELD II'!$D$8*'CALCULO MORTERO'!I349+'BLAZE SHIELD II'!$D$9)),0)+IF(AND(L349="Blaze Shield II",M349="Software Idiem",C349="Cj"),((('BLAZE SHIELD II'!$H$4*('CALCULO MORTERO'!I349^2)+'BLAZE SHIELD II'!$H$5*'CALCULO MORTERO'!I349+'BLAZE SHIELD II'!$H$6)*LN(J349))+('BLAZE SHIELD II'!$H$7*('CALCULO MORTERO'!I349^2)+'BLAZE SHIELD II'!$H$8*'CALCULO MORTERO'!I349+'BLAZE SHIELD II'!$H$9)),0)+IF(AND(L349="Blaze Shield II",M349="Software Idiem",C349="C"),((('BLAZE SHIELD II'!$L$4*('CALCULO MORTERO'!I349^2)+'BLAZE SHIELD II'!$L$5*'CALCULO MORTERO'!I349+'BLAZE SHIELD II'!$L$6)*LN(J349))+('BLAZE SHIELD II'!$L$7*('CALCULO MORTERO'!I349^2)+'BLAZE SHIELD II'!$L$8*'CALCULO MORTERO'!I349+'BLAZE SHIELD II'!$L$9)),0)+IF(AND(L349="Blaze Shield II",M349="Software Idiem",C349="L"),((('BLAZE SHIELD II'!$L$4*('CALCULO MORTERO'!I349^2)+'BLAZE SHIELD II'!$L$5*'CALCULO MORTERO'!I349+'BLAZE SHIELD II'!$L$6)*LN(J349))+('BLAZE SHIELD II'!$L$7*('CALCULO MORTERO'!I349^2)+'BLAZE SHIELD II'!$L$8*'CALCULO MORTERO'!I349+'BLAZE SHIELD II'!$L$9)),0)+IF(AND(L349="Blaze Shield II",M349="Software Idiem",C349="IN",G349=3),((('BLAZE SHIELD II'!$H$14*('CALCULO MORTERO'!I349^2)+'BLAZE SHIELD II'!$H$15*'CALCULO MORTERO'!I349+'BLAZE SHIELD II'!$H$16)*LN(J349))+('BLAZE SHIELD II'!$H$17*('CALCULO MORTERO'!I349^2)+'BLAZE SHIELD II'!$H$18*'CALCULO MORTERO'!I349+'BLAZE SHIELD II'!$H$19)),0),0)+ROUND(IF(AND(L349="Cafco 400",M349="Software Idiem",C349="IN",G349=4),((('CAFCO 400 '!$H$7*(J349^4)+'CAFCO 400 '!$H$8*(J349^3)+'CAFCO 400 '!$H$9*(J349^2)+'CAFCO 400 '!$H$10*J349+'CAFCO 400 '!$H$11)*U349^2)+(('CAFCO 400 '!$H$12*(J349^3)+'CAFCO 400 '!$H$13*(J349^2)+'CAFCO 400 '!$H$14*J349+'CAFCO 400 '!$H$15)*U349)+('CAFCO 400 '!$H$16*(J349^2)+'CAFCO 400 '!$H$17*J349+'CAFCO 400 '!$H$18)),0)+IF(AND(L349="Cafco 400",M349="Software Idiem",C349="Cj"),(((('CAFCO 400 '!$D$7*LN(J349)+'CAFCO 400 '!$D$8)*U349^2)+(('CAFCO 400 '!$D$9*LN(J349)+'CAFCO 400 '!$D$10)*U349)+('CAFCO 400 '!$D$11*LN(J349)+'CAFCO 400 '!$D$12))),0)+IF(AND(L349="Cafco 400",M349="Software Idiem",C349="C"),((('CAFCO 400 '!$L$7*(J349^3)+'CAFCO 400 '!$L$8*(J349^2)+'CAFCO 400 '!$L$9*J349+'CAFCO 400 '!$L$10)*U349^2)+(('CAFCO 400 '!$L$11*(J349^3)+'CAFCO 400 '!$L$12*(J349^2)+'CAFCO 400 '!$L$13*J349+'CAFCO 400 '!$L$14)*U349)+('CAFCO 400 '!$L$15*LN(J349)+'CAFCO 400 '!$L$16)),0)+IF(AND(L349="Cafco 400",M349="Software Idiem",C349="L"),((('CAFCO 400 '!$L$7*(J349^3)+'CAFCO 400 '!$L$8*(J349^2)+'CAFCO 400 '!$L$9*J349+'CAFCO 400 '!$L$10)*U349^2)+(('CAFCO 400 '!$L$11*(J349^3)+'CAFCO 400 '!$L$12*(J349^2)+'CAFCO 400 '!$L$13*J349+'CAFCO 400 '!$L$14)*U349)+('CAFCO 400 '!$L$15*LN(J349)+'CAFCO 400 '!$L$16)),0)+IF(AND(L349="Cafco 400",M349="Software Idiem",C349="IN",G349=3),((('CAFCO 400 '!$D$23*(J349^2)+'CAFCO 400 '!$D$24*(J349)+'CAFCO 400 '!$D$25)*U349^2)+(('CAFCO 400 '!$D$26*(J349^2)+'CAFCO 400 '!$D$27*J349+'CAFCO 400 '!$D$28)*U349)+('CAFCO 400 '!$D$29*(J349^2)+'CAFCO 400 '!$D$30*J349+'CAFCO 400 '!$D$31)),0),0)+IF(AND(L349="Cafco 300",J349&gt;=95,J349&lt;=240,C349="Cj",I349=90),VLOOKUP(T349,'CAFCO 300 IDIEM TABLAS'!$B$4:$D$23,2,FALSE),0)+IF(AND(L349="Cafco 300",J349&gt;=95,J349&lt;=240,C349="Cj",I349=120),VLOOKUP(T349,'CAFCO 300 IDIEM TABLAS'!$B$4:$D$23,3,FALSE),0)+IF(AND(L349="Cafco 300",J349&gt;=95,J349&lt;=400,G349=3,C349="IN",I349=90),VLOOKUP(T349,'CAFCO 300 IDIEM TABLAS'!$F$4:$H$35,2,FALSE),0)+IF(AND(L349="Cafco 300",J349&gt;=95,J349&lt;=400,G349=3,C349="IN",I349=120),VLOOKUP(T349,'CAFCO 300 IDIEM TABLAS'!$F$4:$H$35,3,FALSE),0)+IF(AND(L349="Cafco 300",J349&gt;=95,J349&lt;=450,G349=4,C349="IN",I349=90),VLOOKUP(T349,'CAFCO 300 IDIEM TABLAS'!$J$4:$L$40,2,FALSE),0)+IF(AND(L349="Cafco 300",J349&gt;=95,J349&lt;=450,G349=4,C349="IN",I349=120),VLOOKUP(T349,'CAFCO 300 IDIEM TABLAS'!$J$4:$L$40,3,FALSE),0)+IF(AND(M349="Ensayo Idiem",L349="Cafco 400",C349="IN",G349=4,I349=90),VLOOKUP(T349,'CAFCO 400 ENSAYO'!$B$7:$D$43,2,FALSE),0)+IF(AND(M349="Ensayo Idiem",L349="Cafco 400",C349="IN",G349=4,I349=120),VLOOKUP(T349,'CAFCO 400 ENSAYO'!$B$7:$D$43,3,FALSE),0)</f>
        <v>0</v>
      </c>
      <c r="O349" s="96">
        <f t="shared" si="39"/>
        <v>0</v>
      </c>
      <c r="P349" s="95" t="str">
        <f t="shared" si="40"/>
        <v>N/A</v>
      </c>
      <c r="Q349" s="95" t="str">
        <f t="shared" si="41"/>
        <v>N/A</v>
      </c>
      <c r="R349" s="95" t="str">
        <f t="shared" si="42"/>
        <v>NO CERT.</v>
      </c>
      <c r="S349" s="95" t="e">
        <f t="shared" si="37"/>
        <v>#N/A</v>
      </c>
      <c r="T349" s="119" t="e">
        <f>+IF(J349=LOOKUP(J349,'CAFCO 300 IDIEM TABLAS'!$J$4:$J$40),'CALCULO MORTERO'!J349,MROUND('CALCULO MORTERO'!J349,10))</f>
        <v>#N/A</v>
      </c>
      <c r="U349" s="118">
        <f t="shared" si="38"/>
        <v>0</v>
      </c>
      <c r="Y349" s="4"/>
      <c r="Z349" s="4"/>
      <c r="AA349" s="4"/>
    </row>
    <row r="350" spans="1:27" ht="15.6" customHeight="1" x14ac:dyDescent="0.25">
      <c r="A350" s="118">
        <f>+CUBICACION!D344</f>
        <v>0</v>
      </c>
      <c r="B350" s="819">
        <f>+CUBICACION!E344</f>
        <v>0</v>
      </c>
      <c r="C350" s="675">
        <f>+CUBICACION!F344</f>
        <v>0</v>
      </c>
      <c r="D350" s="118"/>
      <c r="E350" s="118"/>
      <c r="F350" s="820"/>
      <c r="G350" s="675">
        <f>+CUBICACION!J344</f>
        <v>0</v>
      </c>
      <c r="H350" s="118"/>
      <c r="I350" s="821">
        <f>+CUBICACION!L344</f>
        <v>0</v>
      </c>
      <c r="J350" s="64">
        <f>+CUBICACION!M344</f>
        <v>0</v>
      </c>
      <c r="K350" s="822" t="str">
        <f>+CUBICACION!N344</f>
        <v/>
      </c>
      <c r="L350" s="118">
        <f>+CUBICACION!O344</f>
        <v>0</v>
      </c>
      <c r="M350" s="823">
        <f>+CUBICACION!P344</f>
        <v>0</v>
      </c>
      <c r="N350" s="902">
        <f>ROUND(IF(AND(L350="Blaze Shield II",M350="Software Idiem",C350="IN",G350=4),((('BLAZE SHIELD II'!$D$4*('CALCULO MORTERO'!I350^2)+'BLAZE SHIELD II'!$D$5*'CALCULO MORTERO'!I350+'BLAZE SHIELD II'!$D$6)*LN(J350))+('BLAZE SHIELD II'!$D$7*('CALCULO MORTERO'!I350^2)+'BLAZE SHIELD II'!$D$8*'CALCULO MORTERO'!I350+'BLAZE SHIELD II'!$D$9)),0)+IF(AND(L350="Blaze Shield II",M350="Software Idiem",C350="Cj"),((('BLAZE SHIELD II'!$H$4*('CALCULO MORTERO'!I350^2)+'BLAZE SHIELD II'!$H$5*'CALCULO MORTERO'!I350+'BLAZE SHIELD II'!$H$6)*LN(J350))+('BLAZE SHIELD II'!$H$7*('CALCULO MORTERO'!I350^2)+'BLAZE SHIELD II'!$H$8*'CALCULO MORTERO'!I350+'BLAZE SHIELD II'!$H$9)),0)+IF(AND(L350="Blaze Shield II",M350="Software Idiem",C350="C"),((('BLAZE SHIELD II'!$L$4*('CALCULO MORTERO'!I350^2)+'BLAZE SHIELD II'!$L$5*'CALCULO MORTERO'!I350+'BLAZE SHIELD II'!$L$6)*LN(J350))+('BLAZE SHIELD II'!$L$7*('CALCULO MORTERO'!I350^2)+'BLAZE SHIELD II'!$L$8*'CALCULO MORTERO'!I350+'BLAZE SHIELD II'!$L$9)),0)+IF(AND(L350="Blaze Shield II",M350="Software Idiem",C350="L"),((('BLAZE SHIELD II'!$L$4*('CALCULO MORTERO'!I350^2)+'BLAZE SHIELD II'!$L$5*'CALCULO MORTERO'!I350+'BLAZE SHIELD II'!$L$6)*LN(J350))+('BLAZE SHIELD II'!$L$7*('CALCULO MORTERO'!I350^2)+'BLAZE SHIELD II'!$L$8*'CALCULO MORTERO'!I350+'BLAZE SHIELD II'!$L$9)),0)+IF(AND(L350="Blaze Shield II",M350="Software Idiem",C350="IN",G350=3),((('BLAZE SHIELD II'!$H$14*('CALCULO MORTERO'!I350^2)+'BLAZE SHIELD II'!$H$15*'CALCULO MORTERO'!I350+'BLAZE SHIELD II'!$H$16)*LN(J350))+('BLAZE SHIELD II'!$H$17*('CALCULO MORTERO'!I350^2)+'BLAZE SHIELD II'!$H$18*'CALCULO MORTERO'!I350+'BLAZE SHIELD II'!$H$19)),0),0)+ROUND(IF(AND(L350="Cafco 400",M350="Software Idiem",C350="IN",G350=4),((('CAFCO 400 '!$H$7*(J350^4)+'CAFCO 400 '!$H$8*(J350^3)+'CAFCO 400 '!$H$9*(J350^2)+'CAFCO 400 '!$H$10*J350+'CAFCO 400 '!$H$11)*U350^2)+(('CAFCO 400 '!$H$12*(J350^3)+'CAFCO 400 '!$H$13*(J350^2)+'CAFCO 400 '!$H$14*J350+'CAFCO 400 '!$H$15)*U350)+('CAFCO 400 '!$H$16*(J350^2)+'CAFCO 400 '!$H$17*J350+'CAFCO 400 '!$H$18)),0)+IF(AND(L350="Cafco 400",M350="Software Idiem",C350="Cj"),(((('CAFCO 400 '!$D$7*LN(J350)+'CAFCO 400 '!$D$8)*U350^2)+(('CAFCO 400 '!$D$9*LN(J350)+'CAFCO 400 '!$D$10)*U350)+('CAFCO 400 '!$D$11*LN(J350)+'CAFCO 400 '!$D$12))),0)+IF(AND(L350="Cafco 400",M350="Software Idiem",C350="C"),((('CAFCO 400 '!$L$7*(J350^3)+'CAFCO 400 '!$L$8*(J350^2)+'CAFCO 400 '!$L$9*J350+'CAFCO 400 '!$L$10)*U350^2)+(('CAFCO 400 '!$L$11*(J350^3)+'CAFCO 400 '!$L$12*(J350^2)+'CAFCO 400 '!$L$13*J350+'CAFCO 400 '!$L$14)*U350)+('CAFCO 400 '!$L$15*LN(J350)+'CAFCO 400 '!$L$16)),0)+IF(AND(L350="Cafco 400",M350="Software Idiem",C350="L"),((('CAFCO 400 '!$L$7*(J350^3)+'CAFCO 400 '!$L$8*(J350^2)+'CAFCO 400 '!$L$9*J350+'CAFCO 400 '!$L$10)*U350^2)+(('CAFCO 400 '!$L$11*(J350^3)+'CAFCO 400 '!$L$12*(J350^2)+'CAFCO 400 '!$L$13*J350+'CAFCO 400 '!$L$14)*U350)+('CAFCO 400 '!$L$15*LN(J350)+'CAFCO 400 '!$L$16)),0)+IF(AND(L350="Cafco 400",M350="Software Idiem",C350="IN",G350=3),((('CAFCO 400 '!$D$23*(J350^2)+'CAFCO 400 '!$D$24*(J350)+'CAFCO 400 '!$D$25)*U350^2)+(('CAFCO 400 '!$D$26*(J350^2)+'CAFCO 400 '!$D$27*J350+'CAFCO 400 '!$D$28)*U350)+('CAFCO 400 '!$D$29*(J350^2)+'CAFCO 400 '!$D$30*J350+'CAFCO 400 '!$D$31)),0),0)+IF(AND(L350="Cafco 300",J350&gt;=95,J350&lt;=240,C350="Cj",I350=90),VLOOKUP(T350,'CAFCO 300 IDIEM TABLAS'!$B$4:$D$23,2,FALSE),0)+IF(AND(L350="Cafco 300",J350&gt;=95,J350&lt;=240,C350="Cj",I350=120),VLOOKUP(T350,'CAFCO 300 IDIEM TABLAS'!$B$4:$D$23,3,FALSE),0)+IF(AND(L350="Cafco 300",J350&gt;=95,J350&lt;=400,G350=3,C350="IN",I350=90),VLOOKUP(T350,'CAFCO 300 IDIEM TABLAS'!$F$4:$H$35,2,FALSE),0)+IF(AND(L350="Cafco 300",J350&gt;=95,J350&lt;=400,G350=3,C350="IN",I350=120),VLOOKUP(T350,'CAFCO 300 IDIEM TABLAS'!$F$4:$H$35,3,FALSE),0)+IF(AND(L350="Cafco 300",J350&gt;=95,J350&lt;=450,G350=4,C350="IN",I350=90),VLOOKUP(T350,'CAFCO 300 IDIEM TABLAS'!$J$4:$L$40,2,FALSE),0)+IF(AND(L350="Cafco 300",J350&gt;=95,J350&lt;=450,G350=4,C350="IN",I350=120),VLOOKUP(T350,'CAFCO 300 IDIEM TABLAS'!$J$4:$L$40,3,FALSE),0)+IF(AND(M350="Ensayo Idiem",L350="Cafco 400",C350="IN",G350=4,I350=90),VLOOKUP(T350,'CAFCO 400 ENSAYO'!$B$7:$D$43,2,FALSE),0)+IF(AND(M350="Ensayo Idiem",L350="Cafco 400",C350="IN",G350=4,I350=120),VLOOKUP(T350,'CAFCO 400 ENSAYO'!$B$7:$D$43,3,FALSE),0)</f>
        <v>0</v>
      </c>
      <c r="O350" s="96">
        <f t="shared" si="39"/>
        <v>0</v>
      </c>
      <c r="P350" s="95" t="str">
        <f t="shared" si="40"/>
        <v>N/A</v>
      </c>
      <c r="Q350" s="95" t="str">
        <f t="shared" si="41"/>
        <v>N/A</v>
      </c>
      <c r="R350" s="95" t="str">
        <f t="shared" si="42"/>
        <v>NO CERT.</v>
      </c>
      <c r="S350" s="95" t="e">
        <f t="shared" si="37"/>
        <v>#N/A</v>
      </c>
      <c r="T350" s="119" t="e">
        <f>+IF(J350=LOOKUP(J350,'CAFCO 300 IDIEM TABLAS'!$J$4:$J$40),'CALCULO MORTERO'!J350,MROUND('CALCULO MORTERO'!J350,10))</f>
        <v>#N/A</v>
      </c>
      <c r="U350" s="118">
        <f t="shared" si="38"/>
        <v>0</v>
      </c>
      <c r="Y350" s="4"/>
      <c r="Z350" s="4"/>
      <c r="AA350" s="4"/>
    </row>
    <row r="351" spans="1:27" x14ac:dyDescent="0.25">
      <c r="A351" s="118">
        <f>+CUBICACION!D345</f>
        <v>0</v>
      </c>
      <c r="B351" s="819">
        <f>+CUBICACION!E345</f>
        <v>0</v>
      </c>
      <c r="C351" s="675">
        <f>+CUBICACION!F345</f>
        <v>0</v>
      </c>
      <c r="D351" s="118"/>
      <c r="E351" s="118"/>
      <c r="F351" s="820"/>
      <c r="G351" s="675">
        <f>+CUBICACION!J345</f>
        <v>0</v>
      </c>
      <c r="H351" s="118"/>
      <c r="I351" s="821">
        <f>+CUBICACION!L345</f>
        <v>0</v>
      </c>
      <c r="J351" s="64">
        <f>+CUBICACION!M345</f>
        <v>0</v>
      </c>
      <c r="K351" s="822" t="str">
        <f>+CUBICACION!N345</f>
        <v/>
      </c>
      <c r="L351" s="118">
        <f>+CUBICACION!O345</f>
        <v>0</v>
      </c>
      <c r="M351" s="823">
        <f>+CUBICACION!P345</f>
        <v>0</v>
      </c>
      <c r="N351" s="902">
        <f>ROUND(IF(AND(L351="Blaze Shield II",M351="Software Idiem",C351="IN",G351=4),((('BLAZE SHIELD II'!$D$4*('CALCULO MORTERO'!I351^2)+'BLAZE SHIELD II'!$D$5*'CALCULO MORTERO'!I351+'BLAZE SHIELD II'!$D$6)*LN(J351))+('BLAZE SHIELD II'!$D$7*('CALCULO MORTERO'!I351^2)+'BLAZE SHIELD II'!$D$8*'CALCULO MORTERO'!I351+'BLAZE SHIELD II'!$D$9)),0)+IF(AND(L351="Blaze Shield II",M351="Software Idiem",C351="Cj"),((('BLAZE SHIELD II'!$H$4*('CALCULO MORTERO'!I351^2)+'BLAZE SHIELD II'!$H$5*'CALCULO MORTERO'!I351+'BLAZE SHIELD II'!$H$6)*LN(J351))+('BLAZE SHIELD II'!$H$7*('CALCULO MORTERO'!I351^2)+'BLAZE SHIELD II'!$H$8*'CALCULO MORTERO'!I351+'BLAZE SHIELD II'!$H$9)),0)+IF(AND(L351="Blaze Shield II",M351="Software Idiem",C351="C"),((('BLAZE SHIELD II'!$L$4*('CALCULO MORTERO'!I351^2)+'BLAZE SHIELD II'!$L$5*'CALCULO MORTERO'!I351+'BLAZE SHIELD II'!$L$6)*LN(J351))+('BLAZE SHIELD II'!$L$7*('CALCULO MORTERO'!I351^2)+'BLAZE SHIELD II'!$L$8*'CALCULO MORTERO'!I351+'BLAZE SHIELD II'!$L$9)),0)+IF(AND(L351="Blaze Shield II",M351="Software Idiem",C351="L"),((('BLAZE SHIELD II'!$L$4*('CALCULO MORTERO'!I351^2)+'BLAZE SHIELD II'!$L$5*'CALCULO MORTERO'!I351+'BLAZE SHIELD II'!$L$6)*LN(J351))+('BLAZE SHIELD II'!$L$7*('CALCULO MORTERO'!I351^2)+'BLAZE SHIELD II'!$L$8*'CALCULO MORTERO'!I351+'BLAZE SHIELD II'!$L$9)),0)+IF(AND(L351="Blaze Shield II",M351="Software Idiem",C351="IN",G351=3),((('BLAZE SHIELD II'!$H$14*('CALCULO MORTERO'!I351^2)+'BLAZE SHIELD II'!$H$15*'CALCULO MORTERO'!I351+'BLAZE SHIELD II'!$H$16)*LN(J351))+('BLAZE SHIELD II'!$H$17*('CALCULO MORTERO'!I351^2)+'BLAZE SHIELD II'!$H$18*'CALCULO MORTERO'!I351+'BLAZE SHIELD II'!$H$19)),0),0)+ROUND(IF(AND(L351="Cafco 400",M351="Software Idiem",C351="IN",G351=4),((('CAFCO 400 '!$H$7*(J351^4)+'CAFCO 400 '!$H$8*(J351^3)+'CAFCO 400 '!$H$9*(J351^2)+'CAFCO 400 '!$H$10*J351+'CAFCO 400 '!$H$11)*U351^2)+(('CAFCO 400 '!$H$12*(J351^3)+'CAFCO 400 '!$H$13*(J351^2)+'CAFCO 400 '!$H$14*J351+'CAFCO 400 '!$H$15)*U351)+('CAFCO 400 '!$H$16*(J351^2)+'CAFCO 400 '!$H$17*J351+'CAFCO 400 '!$H$18)),0)+IF(AND(L351="Cafco 400",M351="Software Idiem",C351="Cj"),(((('CAFCO 400 '!$D$7*LN(J351)+'CAFCO 400 '!$D$8)*U351^2)+(('CAFCO 400 '!$D$9*LN(J351)+'CAFCO 400 '!$D$10)*U351)+('CAFCO 400 '!$D$11*LN(J351)+'CAFCO 400 '!$D$12))),0)+IF(AND(L351="Cafco 400",M351="Software Idiem",C351="C"),((('CAFCO 400 '!$L$7*(J351^3)+'CAFCO 400 '!$L$8*(J351^2)+'CAFCO 400 '!$L$9*J351+'CAFCO 400 '!$L$10)*U351^2)+(('CAFCO 400 '!$L$11*(J351^3)+'CAFCO 400 '!$L$12*(J351^2)+'CAFCO 400 '!$L$13*J351+'CAFCO 400 '!$L$14)*U351)+('CAFCO 400 '!$L$15*LN(J351)+'CAFCO 400 '!$L$16)),0)+IF(AND(L351="Cafco 400",M351="Software Idiem",C351="L"),((('CAFCO 400 '!$L$7*(J351^3)+'CAFCO 400 '!$L$8*(J351^2)+'CAFCO 400 '!$L$9*J351+'CAFCO 400 '!$L$10)*U351^2)+(('CAFCO 400 '!$L$11*(J351^3)+'CAFCO 400 '!$L$12*(J351^2)+'CAFCO 400 '!$L$13*J351+'CAFCO 400 '!$L$14)*U351)+('CAFCO 400 '!$L$15*LN(J351)+'CAFCO 400 '!$L$16)),0)+IF(AND(L351="Cafco 400",M351="Software Idiem",C351="IN",G351=3),((('CAFCO 400 '!$D$23*(J351^2)+'CAFCO 400 '!$D$24*(J351)+'CAFCO 400 '!$D$25)*U351^2)+(('CAFCO 400 '!$D$26*(J351^2)+'CAFCO 400 '!$D$27*J351+'CAFCO 400 '!$D$28)*U351)+('CAFCO 400 '!$D$29*(J351^2)+'CAFCO 400 '!$D$30*J351+'CAFCO 400 '!$D$31)),0),0)+IF(AND(L351="Cafco 300",J351&gt;=95,J351&lt;=240,C351="Cj",I351=90),VLOOKUP(T351,'CAFCO 300 IDIEM TABLAS'!$B$4:$D$23,2,FALSE),0)+IF(AND(L351="Cafco 300",J351&gt;=95,J351&lt;=240,C351="Cj",I351=120),VLOOKUP(T351,'CAFCO 300 IDIEM TABLAS'!$B$4:$D$23,3,FALSE),0)+IF(AND(L351="Cafco 300",J351&gt;=95,J351&lt;=400,G351=3,C351="IN",I351=90),VLOOKUP(T351,'CAFCO 300 IDIEM TABLAS'!$F$4:$H$35,2,FALSE),0)+IF(AND(L351="Cafco 300",J351&gt;=95,J351&lt;=400,G351=3,C351="IN",I351=120),VLOOKUP(T351,'CAFCO 300 IDIEM TABLAS'!$F$4:$H$35,3,FALSE),0)+IF(AND(L351="Cafco 300",J351&gt;=95,J351&lt;=450,G351=4,C351="IN",I351=90),VLOOKUP(T351,'CAFCO 300 IDIEM TABLAS'!$J$4:$L$40,2,FALSE),0)+IF(AND(L351="Cafco 300",J351&gt;=95,J351&lt;=450,G351=4,C351="IN",I351=120),VLOOKUP(T351,'CAFCO 300 IDIEM TABLAS'!$J$4:$L$40,3,FALSE),0)+IF(AND(M351="Ensayo Idiem",L351="Cafco 400",C351="IN",G351=4,I351=90),VLOOKUP(T351,'CAFCO 400 ENSAYO'!$B$7:$D$43,2,FALSE),0)+IF(AND(M351="Ensayo Idiem",L351="Cafco 400",C351="IN",G351=4,I351=120),VLOOKUP(T351,'CAFCO 400 ENSAYO'!$B$7:$D$43,3,FALSE),0)</f>
        <v>0</v>
      </c>
      <c r="O351" s="96">
        <f t="shared" si="39"/>
        <v>0</v>
      </c>
      <c r="P351" s="95" t="str">
        <f t="shared" si="40"/>
        <v>N/A</v>
      </c>
      <c r="Q351" s="95" t="str">
        <f t="shared" si="41"/>
        <v>N/A</v>
      </c>
      <c r="R351" s="95" t="str">
        <f t="shared" si="42"/>
        <v>NO CERT.</v>
      </c>
      <c r="S351" s="95" t="e">
        <f t="shared" si="37"/>
        <v>#N/A</v>
      </c>
      <c r="T351" s="119" t="e">
        <f>+IF(J351=LOOKUP(J351,'CAFCO 300 IDIEM TABLAS'!$J$4:$J$40),'CALCULO MORTERO'!J351,MROUND('CALCULO MORTERO'!J351,10))</f>
        <v>#N/A</v>
      </c>
      <c r="U351" s="118">
        <f t="shared" si="38"/>
        <v>0</v>
      </c>
      <c r="Y351" s="4"/>
      <c r="Z351" s="4"/>
      <c r="AA351" s="4"/>
    </row>
    <row r="352" spans="1:27" ht="15.6" customHeight="1" x14ac:dyDescent="0.25">
      <c r="A352" s="118">
        <f>+CUBICACION!D346</f>
        <v>0</v>
      </c>
      <c r="B352" s="819">
        <f>+CUBICACION!E346</f>
        <v>0</v>
      </c>
      <c r="C352" s="675">
        <f>+CUBICACION!F346</f>
        <v>0</v>
      </c>
      <c r="D352" s="118"/>
      <c r="E352" s="118"/>
      <c r="F352" s="820"/>
      <c r="G352" s="675">
        <f>+CUBICACION!J346</f>
        <v>0</v>
      </c>
      <c r="H352" s="118"/>
      <c r="I352" s="821">
        <f>+CUBICACION!L346</f>
        <v>0</v>
      </c>
      <c r="J352" s="64">
        <f>+CUBICACION!M346</f>
        <v>0</v>
      </c>
      <c r="K352" s="822" t="str">
        <f>+CUBICACION!N346</f>
        <v/>
      </c>
      <c r="L352" s="118">
        <f>+CUBICACION!O346</f>
        <v>0</v>
      </c>
      <c r="M352" s="823">
        <f>+CUBICACION!P346</f>
        <v>0</v>
      </c>
      <c r="N352" s="902">
        <f>ROUND(IF(AND(L352="Blaze Shield II",M352="Software Idiem",C352="IN",G352=4),((('BLAZE SHIELD II'!$D$4*('CALCULO MORTERO'!I352^2)+'BLAZE SHIELD II'!$D$5*'CALCULO MORTERO'!I352+'BLAZE SHIELD II'!$D$6)*LN(J352))+('BLAZE SHIELD II'!$D$7*('CALCULO MORTERO'!I352^2)+'BLAZE SHIELD II'!$D$8*'CALCULO MORTERO'!I352+'BLAZE SHIELD II'!$D$9)),0)+IF(AND(L352="Blaze Shield II",M352="Software Idiem",C352="Cj"),((('BLAZE SHIELD II'!$H$4*('CALCULO MORTERO'!I352^2)+'BLAZE SHIELD II'!$H$5*'CALCULO MORTERO'!I352+'BLAZE SHIELD II'!$H$6)*LN(J352))+('BLAZE SHIELD II'!$H$7*('CALCULO MORTERO'!I352^2)+'BLAZE SHIELD II'!$H$8*'CALCULO MORTERO'!I352+'BLAZE SHIELD II'!$H$9)),0)+IF(AND(L352="Blaze Shield II",M352="Software Idiem",C352="C"),((('BLAZE SHIELD II'!$L$4*('CALCULO MORTERO'!I352^2)+'BLAZE SHIELD II'!$L$5*'CALCULO MORTERO'!I352+'BLAZE SHIELD II'!$L$6)*LN(J352))+('BLAZE SHIELD II'!$L$7*('CALCULO MORTERO'!I352^2)+'BLAZE SHIELD II'!$L$8*'CALCULO MORTERO'!I352+'BLAZE SHIELD II'!$L$9)),0)+IF(AND(L352="Blaze Shield II",M352="Software Idiem",C352="L"),((('BLAZE SHIELD II'!$L$4*('CALCULO MORTERO'!I352^2)+'BLAZE SHIELD II'!$L$5*'CALCULO MORTERO'!I352+'BLAZE SHIELD II'!$L$6)*LN(J352))+('BLAZE SHIELD II'!$L$7*('CALCULO MORTERO'!I352^2)+'BLAZE SHIELD II'!$L$8*'CALCULO MORTERO'!I352+'BLAZE SHIELD II'!$L$9)),0)+IF(AND(L352="Blaze Shield II",M352="Software Idiem",C352="IN",G352=3),((('BLAZE SHIELD II'!$H$14*('CALCULO MORTERO'!I352^2)+'BLAZE SHIELD II'!$H$15*'CALCULO MORTERO'!I352+'BLAZE SHIELD II'!$H$16)*LN(J352))+('BLAZE SHIELD II'!$H$17*('CALCULO MORTERO'!I352^2)+'BLAZE SHIELD II'!$H$18*'CALCULO MORTERO'!I352+'BLAZE SHIELD II'!$H$19)),0),0)+ROUND(IF(AND(L352="Cafco 400",M352="Software Idiem",C352="IN",G352=4),((('CAFCO 400 '!$H$7*(J352^4)+'CAFCO 400 '!$H$8*(J352^3)+'CAFCO 400 '!$H$9*(J352^2)+'CAFCO 400 '!$H$10*J352+'CAFCO 400 '!$H$11)*U352^2)+(('CAFCO 400 '!$H$12*(J352^3)+'CAFCO 400 '!$H$13*(J352^2)+'CAFCO 400 '!$H$14*J352+'CAFCO 400 '!$H$15)*U352)+('CAFCO 400 '!$H$16*(J352^2)+'CAFCO 400 '!$H$17*J352+'CAFCO 400 '!$H$18)),0)+IF(AND(L352="Cafco 400",M352="Software Idiem",C352="Cj"),(((('CAFCO 400 '!$D$7*LN(J352)+'CAFCO 400 '!$D$8)*U352^2)+(('CAFCO 400 '!$D$9*LN(J352)+'CAFCO 400 '!$D$10)*U352)+('CAFCO 400 '!$D$11*LN(J352)+'CAFCO 400 '!$D$12))),0)+IF(AND(L352="Cafco 400",M352="Software Idiem",C352="C"),((('CAFCO 400 '!$L$7*(J352^3)+'CAFCO 400 '!$L$8*(J352^2)+'CAFCO 400 '!$L$9*J352+'CAFCO 400 '!$L$10)*U352^2)+(('CAFCO 400 '!$L$11*(J352^3)+'CAFCO 400 '!$L$12*(J352^2)+'CAFCO 400 '!$L$13*J352+'CAFCO 400 '!$L$14)*U352)+('CAFCO 400 '!$L$15*LN(J352)+'CAFCO 400 '!$L$16)),0)+IF(AND(L352="Cafco 400",M352="Software Idiem",C352="L"),((('CAFCO 400 '!$L$7*(J352^3)+'CAFCO 400 '!$L$8*(J352^2)+'CAFCO 400 '!$L$9*J352+'CAFCO 400 '!$L$10)*U352^2)+(('CAFCO 400 '!$L$11*(J352^3)+'CAFCO 400 '!$L$12*(J352^2)+'CAFCO 400 '!$L$13*J352+'CAFCO 400 '!$L$14)*U352)+('CAFCO 400 '!$L$15*LN(J352)+'CAFCO 400 '!$L$16)),0)+IF(AND(L352="Cafco 400",M352="Software Idiem",C352="IN",G352=3),((('CAFCO 400 '!$D$23*(J352^2)+'CAFCO 400 '!$D$24*(J352)+'CAFCO 400 '!$D$25)*U352^2)+(('CAFCO 400 '!$D$26*(J352^2)+'CAFCO 400 '!$D$27*J352+'CAFCO 400 '!$D$28)*U352)+('CAFCO 400 '!$D$29*(J352^2)+'CAFCO 400 '!$D$30*J352+'CAFCO 400 '!$D$31)),0),0)+IF(AND(L352="Cafco 300",J352&gt;=95,J352&lt;=240,C352="Cj",I352=90),VLOOKUP(T352,'CAFCO 300 IDIEM TABLAS'!$B$4:$D$23,2,FALSE),0)+IF(AND(L352="Cafco 300",J352&gt;=95,J352&lt;=240,C352="Cj",I352=120),VLOOKUP(T352,'CAFCO 300 IDIEM TABLAS'!$B$4:$D$23,3,FALSE),0)+IF(AND(L352="Cafco 300",J352&gt;=95,J352&lt;=400,G352=3,C352="IN",I352=90),VLOOKUP(T352,'CAFCO 300 IDIEM TABLAS'!$F$4:$H$35,2,FALSE),0)+IF(AND(L352="Cafco 300",J352&gt;=95,J352&lt;=400,G352=3,C352="IN",I352=120),VLOOKUP(T352,'CAFCO 300 IDIEM TABLAS'!$F$4:$H$35,3,FALSE),0)+IF(AND(L352="Cafco 300",J352&gt;=95,J352&lt;=450,G352=4,C352="IN",I352=90),VLOOKUP(T352,'CAFCO 300 IDIEM TABLAS'!$J$4:$L$40,2,FALSE),0)+IF(AND(L352="Cafco 300",J352&gt;=95,J352&lt;=450,G352=4,C352="IN",I352=120),VLOOKUP(T352,'CAFCO 300 IDIEM TABLAS'!$J$4:$L$40,3,FALSE),0)+IF(AND(M352="Ensayo Idiem",L352="Cafco 400",C352="IN",G352=4,I352=90),VLOOKUP(T352,'CAFCO 400 ENSAYO'!$B$7:$D$43,2,FALSE),0)+IF(AND(M352="Ensayo Idiem",L352="Cafco 400",C352="IN",G352=4,I352=120),VLOOKUP(T352,'CAFCO 400 ENSAYO'!$B$7:$D$43,3,FALSE),0)</f>
        <v>0</v>
      </c>
      <c r="O352" s="96">
        <f t="shared" si="39"/>
        <v>0</v>
      </c>
      <c r="P352" s="95" t="str">
        <f t="shared" si="40"/>
        <v>N/A</v>
      </c>
      <c r="Q352" s="95" t="str">
        <f t="shared" si="41"/>
        <v>N/A</v>
      </c>
      <c r="R352" s="95" t="str">
        <f t="shared" si="42"/>
        <v>NO CERT.</v>
      </c>
      <c r="S352" s="95" t="e">
        <f t="shared" si="37"/>
        <v>#N/A</v>
      </c>
      <c r="T352" s="119" t="e">
        <f>+IF(J352=LOOKUP(J352,'CAFCO 300 IDIEM TABLAS'!$J$4:$J$40),'CALCULO MORTERO'!J352,MROUND('CALCULO MORTERO'!J352,10))</f>
        <v>#N/A</v>
      </c>
      <c r="U352" s="118">
        <f t="shared" si="38"/>
        <v>0</v>
      </c>
      <c r="Y352" s="4"/>
      <c r="Z352" s="4"/>
      <c r="AA352" s="4"/>
    </row>
    <row r="353" spans="1:27" x14ac:dyDescent="0.25">
      <c r="A353" s="118">
        <f>+CUBICACION!D347</f>
        <v>0</v>
      </c>
      <c r="B353" s="819">
        <f>+CUBICACION!E347</f>
        <v>0</v>
      </c>
      <c r="C353" s="675">
        <f>+CUBICACION!F347</f>
        <v>0</v>
      </c>
      <c r="D353" s="118"/>
      <c r="E353" s="118"/>
      <c r="F353" s="820"/>
      <c r="G353" s="675">
        <f>+CUBICACION!J347</f>
        <v>0</v>
      </c>
      <c r="H353" s="118"/>
      <c r="I353" s="821">
        <f>+CUBICACION!L347</f>
        <v>0</v>
      </c>
      <c r="J353" s="64">
        <f>+CUBICACION!M347</f>
        <v>0</v>
      </c>
      <c r="K353" s="822" t="str">
        <f>+CUBICACION!N347</f>
        <v/>
      </c>
      <c r="L353" s="118">
        <f>+CUBICACION!O347</f>
        <v>0</v>
      </c>
      <c r="M353" s="823">
        <f>+CUBICACION!P347</f>
        <v>0</v>
      </c>
      <c r="N353" s="902">
        <f>ROUND(IF(AND(L353="Blaze Shield II",M353="Software Idiem",C353="IN",G353=4),((('BLAZE SHIELD II'!$D$4*('CALCULO MORTERO'!I353^2)+'BLAZE SHIELD II'!$D$5*'CALCULO MORTERO'!I353+'BLAZE SHIELD II'!$D$6)*LN(J353))+('BLAZE SHIELD II'!$D$7*('CALCULO MORTERO'!I353^2)+'BLAZE SHIELD II'!$D$8*'CALCULO MORTERO'!I353+'BLAZE SHIELD II'!$D$9)),0)+IF(AND(L353="Blaze Shield II",M353="Software Idiem",C353="Cj"),((('BLAZE SHIELD II'!$H$4*('CALCULO MORTERO'!I353^2)+'BLAZE SHIELD II'!$H$5*'CALCULO MORTERO'!I353+'BLAZE SHIELD II'!$H$6)*LN(J353))+('BLAZE SHIELD II'!$H$7*('CALCULO MORTERO'!I353^2)+'BLAZE SHIELD II'!$H$8*'CALCULO MORTERO'!I353+'BLAZE SHIELD II'!$H$9)),0)+IF(AND(L353="Blaze Shield II",M353="Software Idiem",C353="C"),((('BLAZE SHIELD II'!$L$4*('CALCULO MORTERO'!I353^2)+'BLAZE SHIELD II'!$L$5*'CALCULO MORTERO'!I353+'BLAZE SHIELD II'!$L$6)*LN(J353))+('BLAZE SHIELD II'!$L$7*('CALCULO MORTERO'!I353^2)+'BLAZE SHIELD II'!$L$8*'CALCULO MORTERO'!I353+'BLAZE SHIELD II'!$L$9)),0)+IF(AND(L353="Blaze Shield II",M353="Software Idiem",C353="L"),((('BLAZE SHIELD II'!$L$4*('CALCULO MORTERO'!I353^2)+'BLAZE SHIELD II'!$L$5*'CALCULO MORTERO'!I353+'BLAZE SHIELD II'!$L$6)*LN(J353))+('BLAZE SHIELD II'!$L$7*('CALCULO MORTERO'!I353^2)+'BLAZE SHIELD II'!$L$8*'CALCULO MORTERO'!I353+'BLAZE SHIELD II'!$L$9)),0)+IF(AND(L353="Blaze Shield II",M353="Software Idiem",C353="IN",G353=3),((('BLAZE SHIELD II'!$H$14*('CALCULO MORTERO'!I353^2)+'BLAZE SHIELD II'!$H$15*'CALCULO MORTERO'!I353+'BLAZE SHIELD II'!$H$16)*LN(J353))+('BLAZE SHIELD II'!$H$17*('CALCULO MORTERO'!I353^2)+'BLAZE SHIELD II'!$H$18*'CALCULO MORTERO'!I353+'BLAZE SHIELD II'!$H$19)),0),0)+ROUND(IF(AND(L353="Cafco 400",M353="Software Idiem",C353="IN",G353=4),((('CAFCO 400 '!$H$7*(J353^4)+'CAFCO 400 '!$H$8*(J353^3)+'CAFCO 400 '!$H$9*(J353^2)+'CAFCO 400 '!$H$10*J353+'CAFCO 400 '!$H$11)*U353^2)+(('CAFCO 400 '!$H$12*(J353^3)+'CAFCO 400 '!$H$13*(J353^2)+'CAFCO 400 '!$H$14*J353+'CAFCO 400 '!$H$15)*U353)+('CAFCO 400 '!$H$16*(J353^2)+'CAFCO 400 '!$H$17*J353+'CAFCO 400 '!$H$18)),0)+IF(AND(L353="Cafco 400",M353="Software Idiem",C353="Cj"),(((('CAFCO 400 '!$D$7*LN(J353)+'CAFCO 400 '!$D$8)*U353^2)+(('CAFCO 400 '!$D$9*LN(J353)+'CAFCO 400 '!$D$10)*U353)+('CAFCO 400 '!$D$11*LN(J353)+'CAFCO 400 '!$D$12))),0)+IF(AND(L353="Cafco 400",M353="Software Idiem",C353="C"),((('CAFCO 400 '!$L$7*(J353^3)+'CAFCO 400 '!$L$8*(J353^2)+'CAFCO 400 '!$L$9*J353+'CAFCO 400 '!$L$10)*U353^2)+(('CAFCO 400 '!$L$11*(J353^3)+'CAFCO 400 '!$L$12*(J353^2)+'CAFCO 400 '!$L$13*J353+'CAFCO 400 '!$L$14)*U353)+('CAFCO 400 '!$L$15*LN(J353)+'CAFCO 400 '!$L$16)),0)+IF(AND(L353="Cafco 400",M353="Software Idiem",C353="L"),((('CAFCO 400 '!$L$7*(J353^3)+'CAFCO 400 '!$L$8*(J353^2)+'CAFCO 400 '!$L$9*J353+'CAFCO 400 '!$L$10)*U353^2)+(('CAFCO 400 '!$L$11*(J353^3)+'CAFCO 400 '!$L$12*(J353^2)+'CAFCO 400 '!$L$13*J353+'CAFCO 400 '!$L$14)*U353)+('CAFCO 400 '!$L$15*LN(J353)+'CAFCO 400 '!$L$16)),0)+IF(AND(L353="Cafco 400",M353="Software Idiem",C353="IN",G353=3),((('CAFCO 400 '!$D$23*(J353^2)+'CAFCO 400 '!$D$24*(J353)+'CAFCO 400 '!$D$25)*U353^2)+(('CAFCO 400 '!$D$26*(J353^2)+'CAFCO 400 '!$D$27*J353+'CAFCO 400 '!$D$28)*U353)+('CAFCO 400 '!$D$29*(J353^2)+'CAFCO 400 '!$D$30*J353+'CAFCO 400 '!$D$31)),0),0)+IF(AND(L353="Cafco 300",J353&gt;=95,J353&lt;=240,C353="Cj",I353=90),VLOOKUP(T353,'CAFCO 300 IDIEM TABLAS'!$B$4:$D$23,2,FALSE),0)+IF(AND(L353="Cafco 300",J353&gt;=95,J353&lt;=240,C353="Cj",I353=120),VLOOKUP(T353,'CAFCO 300 IDIEM TABLAS'!$B$4:$D$23,3,FALSE),0)+IF(AND(L353="Cafco 300",J353&gt;=95,J353&lt;=400,G353=3,C353="IN",I353=90),VLOOKUP(T353,'CAFCO 300 IDIEM TABLAS'!$F$4:$H$35,2,FALSE),0)+IF(AND(L353="Cafco 300",J353&gt;=95,J353&lt;=400,G353=3,C353="IN",I353=120),VLOOKUP(T353,'CAFCO 300 IDIEM TABLAS'!$F$4:$H$35,3,FALSE),0)+IF(AND(L353="Cafco 300",J353&gt;=95,J353&lt;=450,G353=4,C353="IN",I353=90),VLOOKUP(T353,'CAFCO 300 IDIEM TABLAS'!$J$4:$L$40,2,FALSE),0)+IF(AND(L353="Cafco 300",J353&gt;=95,J353&lt;=450,G353=4,C353="IN",I353=120),VLOOKUP(T353,'CAFCO 300 IDIEM TABLAS'!$J$4:$L$40,3,FALSE),0)+IF(AND(M353="Ensayo Idiem",L353="Cafco 400",C353="IN",G353=4,I353=90),VLOOKUP(T353,'CAFCO 400 ENSAYO'!$B$7:$D$43,2,FALSE),0)+IF(AND(M353="Ensayo Idiem",L353="Cafco 400",C353="IN",G353=4,I353=120),VLOOKUP(T353,'CAFCO 400 ENSAYO'!$B$7:$D$43,3,FALSE),0)</f>
        <v>0</v>
      </c>
      <c r="O353" s="96">
        <f t="shared" si="39"/>
        <v>0</v>
      </c>
      <c r="P353" s="95" t="str">
        <f t="shared" si="40"/>
        <v>N/A</v>
      </c>
      <c r="Q353" s="95" t="str">
        <f t="shared" si="41"/>
        <v>N/A</v>
      </c>
      <c r="R353" s="95" t="str">
        <f t="shared" si="42"/>
        <v>NO CERT.</v>
      </c>
      <c r="S353" s="95" t="e">
        <f t="shared" si="37"/>
        <v>#N/A</v>
      </c>
      <c r="T353" s="119" t="e">
        <f>+IF(J353=LOOKUP(J353,'CAFCO 300 IDIEM TABLAS'!$J$4:$J$40),'CALCULO MORTERO'!J353,MROUND('CALCULO MORTERO'!J353,10))</f>
        <v>#N/A</v>
      </c>
      <c r="U353" s="118">
        <f t="shared" si="38"/>
        <v>0</v>
      </c>
      <c r="Y353" s="4"/>
      <c r="Z353" s="4"/>
      <c r="AA353" s="4"/>
    </row>
    <row r="354" spans="1:27" ht="15.6" customHeight="1" x14ac:dyDescent="0.25">
      <c r="A354" s="118">
        <f>+CUBICACION!D348</f>
        <v>0</v>
      </c>
      <c r="B354" s="819">
        <f>+CUBICACION!E348</f>
        <v>0</v>
      </c>
      <c r="C354" s="675">
        <f>+CUBICACION!F348</f>
        <v>0</v>
      </c>
      <c r="D354" s="118"/>
      <c r="E354" s="118"/>
      <c r="F354" s="820"/>
      <c r="G354" s="675">
        <f>+CUBICACION!J348</f>
        <v>0</v>
      </c>
      <c r="H354" s="118"/>
      <c r="I354" s="821">
        <f>+CUBICACION!L348</f>
        <v>0</v>
      </c>
      <c r="J354" s="64">
        <f>+CUBICACION!M348</f>
        <v>0</v>
      </c>
      <c r="K354" s="822" t="str">
        <f>+CUBICACION!N348</f>
        <v/>
      </c>
      <c r="L354" s="118">
        <f>+CUBICACION!O348</f>
        <v>0</v>
      </c>
      <c r="M354" s="823">
        <f>+CUBICACION!P348</f>
        <v>0</v>
      </c>
      <c r="N354" s="902">
        <f>ROUND(IF(AND(L354="Blaze Shield II",M354="Software Idiem",C354="IN",G354=4),((('BLAZE SHIELD II'!$D$4*('CALCULO MORTERO'!I354^2)+'BLAZE SHIELD II'!$D$5*'CALCULO MORTERO'!I354+'BLAZE SHIELD II'!$D$6)*LN(J354))+('BLAZE SHIELD II'!$D$7*('CALCULO MORTERO'!I354^2)+'BLAZE SHIELD II'!$D$8*'CALCULO MORTERO'!I354+'BLAZE SHIELD II'!$D$9)),0)+IF(AND(L354="Blaze Shield II",M354="Software Idiem",C354="Cj"),((('BLAZE SHIELD II'!$H$4*('CALCULO MORTERO'!I354^2)+'BLAZE SHIELD II'!$H$5*'CALCULO MORTERO'!I354+'BLAZE SHIELD II'!$H$6)*LN(J354))+('BLAZE SHIELD II'!$H$7*('CALCULO MORTERO'!I354^2)+'BLAZE SHIELD II'!$H$8*'CALCULO MORTERO'!I354+'BLAZE SHIELD II'!$H$9)),0)+IF(AND(L354="Blaze Shield II",M354="Software Idiem",C354="C"),((('BLAZE SHIELD II'!$L$4*('CALCULO MORTERO'!I354^2)+'BLAZE SHIELD II'!$L$5*'CALCULO MORTERO'!I354+'BLAZE SHIELD II'!$L$6)*LN(J354))+('BLAZE SHIELD II'!$L$7*('CALCULO MORTERO'!I354^2)+'BLAZE SHIELD II'!$L$8*'CALCULO MORTERO'!I354+'BLAZE SHIELD II'!$L$9)),0)+IF(AND(L354="Blaze Shield II",M354="Software Idiem",C354="L"),((('BLAZE SHIELD II'!$L$4*('CALCULO MORTERO'!I354^2)+'BLAZE SHIELD II'!$L$5*'CALCULO MORTERO'!I354+'BLAZE SHIELD II'!$L$6)*LN(J354))+('BLAZE SHIELD II'!$L$7*('CALCULO MORTERO'!I354^2)+'BLAZE SHIELD II'!$L$8*'CALCULO MORTERO'!I354+'BLAZE SHIELD II'!$L$9)),0)+IF(AND(L354="Blaze Shield II",M354="Software Idiem",C354="IN",G354=3),((('BLAZE SHIELD II'!$H$14*('CALCULO MORTERO'!I354^2)+'BLAZE SHIELD II'!$H$15*'CALCULO MORTERO'!I354+'BLAZE SHIELD II'!$H$16)*LN(J354))+('BLAZE SHIELD II'!$H$17*('CALCULO MORTERO'!I354^2)+'BLAZE SHIELD II'!$H$18*'CALCULO MORTERO'!I354+'BLAZE SHIELD II'!$H$19)),0),0)+ROUND(IF(AND(L354="Cafco 400",M354="Software Idiem",C354="IN",G354=4),((('CAFCO 400 '!$H$7*(J354^4)+'CAFCO 400 '!$H$8*(J354^3)+'CAFCO 400 '!$H$9*(J354^2)+'CAFCO 400 '!$H$10*J354+'CAFCO 400 '!$H$11)*U354^2)+(('CAFCO 400 '!$H$12*(J354^3)+'CAFCO 400 '!$H$13*(J354^2)+'CAFCO 400 '!$H$14*J354+'CAFCO 400 '!$H$15)*U354)+('CAFCO 400 '!$H$16*(J354^2)+'CAFCO 400 '!$H$17*J354+'CAFCO 400 '!$H$18)),0)+IF(AND(L354="Cafco 400",M354="Software Idiem",C354="Cj"),(((('CAFCO 400 '!$D$7*LN(J354)+'CAFCO 400 '!$D$8)*U354^2)+(('CAFCO 400 '!$D$9*LN(J354)+'CAFCO 400 '!$D$10)*U354)+('CAFCO 400 '!$D$11*LN(J354)+'CAFCO 400 '!$D$12))),0)+IF(AND(L354="Cafco 400",M354="Software Idiem",C354="C"),((('CAFCO 400 '!$L$7*(J354^3)+'CAFCO 400 '!$L$8*(J354^2)+'CAFCO 400 '!$L$9*J354+'CAFCO 400 '!$L$10)*U354^2)+(('CAFCO 400 '!$L$11*(J354^3)+'CAFCO 400 '!$L$12*(J354^2)+'CAFCO 400 '!$L$13*J354+'CAFCO 400 '!$L$14)*U354)+('CAFCO 400 '!$L$15*LN(J354)+'CAFCO 400 '!$L$16)),0)+IF(AND(L354="Cafco 400",M354="Software Idiem",C354="L"),((('CAFCO 400 '!$L$7*(J354^3)+'CAFCO 400 '!$L$8*(J354^2)+'CAFCO 400 '!$L$9*J354+'CAFCO 400 '!$L$10)*U354^2)+(('CAFCO 400 '!$L$11*(J354^3)+'CAFCO 400 '!$L$12*(J354^2)+'CAFCO 400 '!$L$13*J354+'CAFCO 400 '!$L$14)*U354)+('CAFCO 400 '!$L$15*LN(J354)+'CAFCO 400 '!$L$16)),0)+IF(AND(L354="Cafco 400",M354="Software Idiem",C354="IN",G354=3),((('CAFCO 400 '!$D$23*(J354^2)+'CAFCO 400 '!$D$24*(J354)+'CAFCO 400 '!$D$25)*U354^2)+(('CAFCO 400 '!$D$26*(J354^2)+'CAFCO 400 '!$D$27*J354+'CAFCO 400 '!$D$28)*U354)+('CAFCO 400 '!$D$29*(J354^2)+'CAFCO 400 '!$D$30*J354+'CAFCO 400 '!$D$31)),0),0)+IF(AND(L354="Cafco 300",J354&gt;=95,J354&lt;=240,C354="Cj",I354=90),VLOOKUP(T354,'CAFCO 300 IDIEM TABLAS'!$B$4:$D$23,2,FALSE),0)+IF(AND(L354="Cafco 300",J354&gt;=95,J354&lt;=240,C354="Cj",I354=120),VLOOKUP(T354,'CAFCO 300 IDIEM TABLAS'!$B$4:$D$23,3,FALSE),0)+IF(AND(L354="Cafco 300",J354&gt;=95,J354&lt;=400,G354=3,C354="IN",I354=90),VLOOKUP(T354,'CAFCO 300 IDIEM TABLAS'!$F$4:$H$35,2,FALSE),0)+IF(AND(L354="Cafco 300",J354&gt;=95,J354&lt;=400,G354=3,C354="IN",I354=120),VLOOKUP(T354,'CAFCO 300 IDIEM TABLAS'!$F$4:$H$35,3,FALSE),0)+IF(AND(L354="Cafco 300",J354&gt;=95,J354&lt;=450,G354=4,C354="IN",I354=90),VLOOKUP(T354,'CAFCO 300 IDIEM TABLAS'!$J$4:$L$40,2,FALSE),0)+IF(AND(L354="Cafco 300",J354&gt;=95,J354&lt;=450,G354=4,C354="IN",I354=120),VLOOKUP(T354,'CAFCO 300 IDIEM TABLAS'!$J$4:$L$40,3,FALSE),0)+IF(AND(M354="Ensayo Idiem",L354="Cafco 400",C354="IN",G354=4,I354=90),VLOOKUP(T354,'CAFCO 400 ENSAYO'!$B$7:$D$43,2,FALSE),0)+IF(AND(M354="Ensayo Idiem",L354="Cafco 400",C354="IN",G354=4,I354=120),VLOOKUP(T354,'CAFCO 400 ENSAYO'!$B$7:$D$43,3,FALSE),0)</f>
        <v>0</v>
      </c>
      <c r="O354" s="96">
        <f t="shared" si="39"/>
        <v>0</v>
      </c>
      <c r="P354" s="95" t="str">
        <f t="shared" si="40"/>
        <v>N/A</v>
      </c>
      <c r="Q354" s="95" t="str">
        <f t="shared" si="41"/>
        <v>N/A</v>
      </c>
      <c r="R354" s="95" t="str">
        <f t="shared" si="42"/>
        <v>NO CERT.</v>
      </c>
      <c r="S354" s="95" t="e">
        <f t="shared" si="37"/>
        <v>#N/A</v>
      </c>
      <c r="T354" s="119" t="e">
        <f>+IF(J354=LOOKUP(J354,'CAFCO 300 IDIEM TABLAS'!$J$4:$J$40),'CALCULO MORTERO'!J354,MROUND('CALCULO MORTERO'!J354,10))</f>
        <v>#N/A</v>
      </c>
      <c r="U354" s="118">
        <f t="shared" si="38"/>
        <v>0</v>
      </c>
      <c r="Y354" s="4"/>
      <c r="Z354" s="4"/>
      <c r="AA354" s="4"/>
    </row>
    <row r="355" spans="1:27" x14ac:dyDescent="0.25">
      <c r="A355" s="118">
        <f>+CUBICACION!D349</f>
        <v>0</v>
      </c>
      <c r="B355" s="819">
        <f>+CUBICACION!E349</f>
        <v>0</v>
      </c>
      <c r="C355" s="675">
        <f>+CUBICACION!F349</f>
        <v>0</v>
      </c>
      <c r="D355" s="118"/>
      <c r="E355" s="118"/>
      <c r="F355" s="820"/>
      <c r="G355" s="675">
        <f>+CUBICACION!J349</f>
        <v>0</v>
      </c>
      <c r="H355" s="118"/>
      <c r="I355" s="821">
        <f>+CUBICACION!L349</f>
        <v>0</v>
      </c>
      <c r="J355" s="64">
        <f>+CUBICACION!M349</f>
        <v>0</v>
      </c>
      <c r="K355" s="822" t="str">
        <f>+CUBICACION!N349</f>
        <v/>
      </c>
      <c r="L355" s="118">
        <f>+CUBICACION!O349</f>
        <v>0</v>
      </c>
      <c r="M355" s="823">
        <f>+CUBICACION!P349</f>
        <v>0</v>
      </c>
      <c r="N355" s="902">
        <f>ROUND(IF(AND(L355="Blaze Shield II",M355="Software Idiem",C355="IN",G355=4),((('BLAZE SHIELD II'!$D$4*('CALCULO MORTERO'!I355^2)+'BLAZE SHIELD II'!$D$5*'CALCULO MORTERO'!I355+'BLAZE SHIELD II'!$D$6)*LN(J355))+('BLAZE SHIELD II'!$D$7*('CALCULO MORTERO'!I355^2)+'BLAZE SHIELD II'!$D$8*'CALCULO MORTERO'!I355+'BLAZE SHIELD II'!$D$9)),0)+IF(AND(L355="Blaze Shield II",M355="Software Idiem",C355="Cj"),((('BLAZE SHIELD II'!$H$4*('CALCULO MORTERO'!I355^2)+'BLAZE SHIELD II'!$H$5*'CALCULO MORTERO'!I355+'BLAZE SHIELD II'!$H$6)*LN(J355))+('BLAZE SHIELD II'!$H$7*('CALCULO MORTERO'!I355^2)+'BLAZE SHIELD II'!$H$8*'CALCULO MORTERO'!I355+'BLAZE SHIELD II'!$H$9)),0)+IF(AND(L355="Blaze Shield II",M355="Software Idiem",C355="C"),((('BLAZE SHIELD II'!$L$4*('CALCULO MORTERO'!I355^2)+'BLAZE SHIELD II'!$L$5*'CALCULO MORTERO'!I355+'BLAZE SHIELD II'!$L$6)*LN(J355))+('BLAZE SHIELD II'!$L$7*('CALCULO MORTERO'!I355^2)+'BLAZE SHIELD II'!$L$8*'CALCULO MORTERO'!I355+'BLAZE SHIELD II'!$L$9)),0)+IF(AND(L355="Blaze Shield II",M355="Software Idiem",C355="L"),((('BLAZE SHIELD II'!$L$4*('CALCULO MORTERO'!I355^2)+'BLAZE SHIELD II'!$L$5*'CALCULO MORTERO'!I355+'BLAZE SHIELD II'!$L$6)*LN(J355))+('BLAZE SHIELD II'!$L$7*('CALCULO MORTERO'!I355^2)+'BLAZE SHIELD II'!$L$8*'CALCULO MORTERO'!I355+'BLAZE SHIELD II'!$L$9)),0)+IF(AND(L355="Blaze Shield II",M355="Software Idiem",C355="IN",G355=3),((('BLAZE SHIELD II'!$H$14*('CALCULO MORTERO'!I355^2)+'BLAZE SHIELD II'!$H$15*'CALCULO MORTERO'!I355+'BLAZE SHIELD II'!$H$16)*LN(J355))+('BLAZE SHIELD II'!$H$17*('CALCULO MORTERO'!I355^2)+'BLAZE SHIELD II'!$H$18*'CALCULO MORTERO'!I355+'BLAZE SHIELD II'!$H$19)),0),0)+ROUND(IF(AND(L355="Cafco 400",M355="Software Idiem",C355="IN",G355=4),((('CAFCO 400 '!$H$7*(J355^4)+'CAFCO 400 '!$H$8*(J355^3)+'CAFCO 400 '!$H$9*(J355^2)+'CAFCO 400 '!$H$10*J355+'CAFCO 400 '!$H$11)*U355^2)+(('CAFCO 400 '!$H$12*(J355^3)+'CAFCO 400 '!$H$13*(J355^2)+'CAFCO 400 '!$H$14*J355+'CAFCO 400 '!$H$15)*U355)+('CAFCO 400 '!$H$16*(J355^2)+'CAFCO 400 '!$H$17*J355+'CAFCO 400 '!$H$18)),0)+IF(AND(L355="Cafco 400",M355="Software Idiem",C355="Cj"),(((('CAFCO 400 '!$D$7*LN(J355)+'CAFCO 400 '!$D$8)*U355^2)+(('CAFCO 400 '!$D$9*LN(J355)+'CAFCO 400 '!$D$10)*U355)+('CAFCO 400 '!$D$11*LN(J355)+'CAFCO 400 '!$D$12))),0)+IF(AND(L355="Cafco 400",M355="Software Idiem",C355="C"),((('CAFCO 400 '!$L$7*(J355^3)+'CAFCO 400 '!$L$8*(J355^2)+'CAFCO 400 '!$L$9*J355+'CAFCO 400 '!$L$10)*U355^2)+(('CAFCO 400 '!$L$11*(J355^3)+'CAFCO 400 '!$L$12*(J355^2)+'CAFCO 400 '!$L$13*J355+'CAFCO 400 '!$L$14)*U355)+('CAFCO 400 '!$L$15*LN(J355)+'CAFCO 400 '!$L$16)),0)+IF(AND(L355="Cafco 400",M355="Software Idiem",C355="L"),((('CAFCO 400 '!$L$7*(J355^3)+'CAFCO 400 '!$L$8*(J355^2)+'CAFCO 400 '!$L$9*J355+'CAFCO 400 '!$L$10)*U355^2)+(('CAFCO 400 '!$L$11*(J355^3)+'CAFCO 400 '!$L$12*(J355^2)+'CAFCO 400 '!$L$13*J355+'CAFCO 400 '!$L$14)*U355)+('CAFCO 400 '!$L$15*LN(J355)+'CAFCO 400 '!$L$16)),0)+IF(AND(L355="Cafco 400",M355="Software Idiem",C355="IN",G355=3),((('CAFCO 400 '!$D$23*(J355^2)+'CAFCO 400 '!$D$24*(J355)+'CAFCO 400 '!$D$25)*U355^2)+(('CAFCO 400 '!$D$26*(J355^2)+'CAFCO 400 '!$D$27*J355+'CAFCO 400 '!$D$28)*U355)+('CAFCO 400 '!$D$29*(J355^2)+'CAFCO 400 '!$D$30*J355+'CAFCO 400 '!$D$31)),0),0)+IF(AND(L355="Cafco 300",J355&gt;=95,J355&lt;=240,C355="Cj",I355=90),VLOOKUP(T355,'CAFCO 300 IDIEM TABLAS'!$B$4:$D$23,2,FALSE),0)+IF(AND(L355="Cafco 300",J355&gt;=95,J355&lt;=240,C355="Cj",I355=120),VLOOKUP(T355,'CAFCO 300 IDIEM TABLAS'!$B$4:$D$23,3,FALSE),0)+IF(AND(L355="Cafco 300",J355&gt;=95,J355&lt;=400,G355=3,C355="IN",I355=90),VLOOKUP(T355,'CAFCO 300 IDIEM TABLAS'!$F$4:$H$35,2,FALSE),0)+IF(AND(L355="Cafco 300",J355&gt;=95,J355&lt;=400,G355=3,C355="IN",I355=120),VLOOKUP(T355,'CAFCO 300 IDIEM TABLAS'!$F$4:$H$35,3,FALSE),0)+IF(AND(L355="Cafco 300",J355&gt;=95,J355&lt;=450,G355=4,C355="IN",I355=90),VLOOKUP(T355,'CAFCO 300 IDIEM TABLAS'!$J$4:$L$40,2,FALSE),0)+IF(AND(L355="Cafco 300",J355&gt;=95,J355&lt;=450,G355=4,C355="IN",I355=120),VLOOKUP(T355,'CAFCO 300 IDIEM TABLAS'!$J$4:$L$40,3,FALSE),0)+IF(AND(M355="Ensayo Idiem",L355="Cafco 400",C355="IN",G355=4,I355=90),VLOOKUP(T355,'CAFCO 400 ENSAYO'!$B$7:$D$43,2,FALSE),0)+IF(AND(M355="Ensayo Idiem",L355="Cafco 400",C355="IN",G355=4,I355=120),VLOOKUP(T355,'CAFCO 400 ENSAYO'!$B$7:$D$43,3,FALSE),0)</f>
        <v>0</v>
      </c>
      <c r="O355" s="96">
        <f t="shared" si="39"/>
        <v>0</v>
      </c>
      <c r="P355" s="95" t="str">
        <f t="shared" si="40"/>
        <v>N/A</v>
      </c>
      <c r="Q355" s="95" t="str">
        <f t="shared" si="41"/>
        <v>N/A</v>
      </c>
      <c r="R355" s="95" t="str">
        <f t="shared" si="42"/>
        <v>NO CERT.</v>
      </c>
      <c r="S355" s="95" t="e">
        <f t="shared" si="37"/>
        <v>#N/A</v>
      </c>
      <c r="T355" s="119" t="e">
        <f>+IF(J355=LOOKUP(J355,'CAFCO 300 IDIEM TABLAS'!$J$4:$J$40),'CALCULO MORTERO'!J355,MROUND('CALCULO MORTERO'!J355,10))</f>
        <v>#N/A</v>
      </c>
      <c r="U355" s="118">
        <f t="shared" si="38"/>
        <v>0</v>
      </c>
      <c r="Y355" s="4"/>
      <c r="Z355" s="4"/>
      <c r="AA355" s="4"/>
    </row>
    <row r="356" spans="1:27" ht="15.6" customHeight="1" x14ac:dyDescent="0.25">
      <c r="A356" s="118">
        <f>+CUBICACION!D350</f>
        <v>0</v>
      </c>
      <c r="B356" s="819">
        <f>+CUBICACION!E350</f>
        <v>0</v>
      </c>
      <c r="C356" s="675">
        <f>+CUBICACION!F350</f>
        <v>0</v>
      </c>
      <c r="D356" s="118"/>
      <c r="E356" s="118"/>
      <c r="F356" s="820"/>
      <c r="G356" s="675">
        <f>+CUBICACION!J350</f>
        <v>0</v>
      </c>
      <c r="H356" s="118"/>
      <c r="I356" s="821">
        <f>+CUBICACION!L350</f>
        <v>0</v>
      </c>
      <c r="J356" s="64">
        <f>+CUBICACION!M350</f>
        <v>0</v>
      </c>
      <c r="K356" s="822" t="str">
        <f>+CUBICACION!N350</f>
        <v/>
      </c>
      <c r="L356" s="118">
        <f>+CUBICACION!O350</f>
        <v>0</v>
      </c>
      <c r="M356" s="823">
        <f>+CUBICACION!P350</f>
        <v>0</v>
      </c>
      <c r="N356" s="902">
        <f>ROUND(IF(AND(L356="Blaze Shield II",M356="Software Idiem",C356="IN",G356=4),((('BLAZE SHIELD II'!$D$4*('CALCULO MORTERO'!I356^2)+'BLAZE SHIELD II'!$D$5*'CALCULO MORTERO'!I356+'BLAZE SHIELD II'!$D$6)*LN(J356))+('BLAZE SHIELD II'!$D$7*('CALCULO MORTERO'!I356^2)+'BLAZE SHIELD II'!$D$8*'CALCULO MORTERO'!I356+'BLAZE SHIELD II'!$D$9)),0)+IF(AND(L356="Blaze Shield II",M356="Software Idiem",C356="Cj"),((('BLAZE SHIELD II'!$H$4*('CALCULO MORTERO'!I356^2)+'BLAZE SHIELD II'!$H$5*'CALCULO MORTERO'!I356+'BLAZE SHIELD II'!$H$6)*LN(J356))+('BLAZE SHIELD II'!$H$7*('CALCULO MORTERO'!I356^2)+'BLAZE SHIELD II'!$H$8*'CALCULO MORTERO'!I356+'BLAZE SHIELD II'!$H$9)),0)+IF(AND(L356="Blaze Shield II",M356="Software Idiem",C356="C"),((('BLAZE SHIELD II'!$L$4*('CALCULO MORTERO'!I356^2)+'BLAZE SHIELD II'!$L$5*'CALCULO MORTERO'!I356+'BLAZE SHIELD II'!$L$6)*LN(J356))+('BLAZE SHIELD II'!$L$7*('CALCULO MORTERO'!I356^2)+'BLAZE SHIELD II'!$L$8*'CALCULO MORTERO'!I356+'BLAZE SHIELD II'!$L$9)),0)+IF(AND(L356="Blaze Shield II",M356="Software Idiem",C356="L"),((('BLAZE SHIELD II'!$L$4*('CALCULO MORTERO'!I356^2)+'BLAZE SHIELD II'!$L$5*'CALCULO MORTERO'!I356+'BLAZE SHIELD II'!$L$6)*LN(J356))+('BLAZE SHIELD II'!$L$7*('CALCULO MORTERO'!I356^2)+'BLAZE SHIELD II'!$L$8*'CALCULO MORTERO'!I356+'BLAZE SHIELD II'!$L$9)),0)+IF(AND(L356="Blaze Shield II",M356="Software Idiem",C356="IN",G356=3),((('BLAZE SHIELD II'!$H$14*('CALCULO MORTERO'!I356^2)+'BLAZE SHIELD II'!$H$15*'CALCULO MORTERO'!I356+'BLAZE SHIELD II'!$H$16)*LN(J356))+('BLAZE SHIELD II'!$H$17*('CALCULO MORTERO'!I356^2)+'BLAZE SHIELD II'!$H$18*'CALCULO MORTERO'!I356+'BLAZE SHIELD II'!$H$19)),0),0)+ROUND(IF(AND(L356="Cafco 400",M356="Software Idiem",C356="IN",G356=4),((('CAFCO 400 '!$H$7*(J356^4)+'CAFCO 400 '!$H$8*(J356^3)+'CAFCO 400 '!$H$9*(J356^2)+'CAFCO 400 '!$H$10*J356+'CAFCO 400 '!$H$11)*U356^2)+(('CAFCO 400 '!$H$12*(J356^3)+'CAFCO 400 '!$H$13*(J356^2)+'CAFCO 400 '!$H$14*J356+'CAFCO 400 '!$H$15)*U356)+('CAFCO 400 '!$H$16*(J356^2)+'CAFCO 400 '!$H$17*J356+'CAFCO 400 '!$H$18)),0)+IF(AND(L356="Cafco 400",M356="Software Idiem",C356="Cj"),(((('CAFCO 400 '!$D$7*LN(J356)+'CAFCO 400 '!$D$8)*U356^2)+(('CAFCO 400 '!$D$9*LN(J356)+'CAFCO 400 '!$D$10)*U356)+('CAFCO 400 '!$D$11*LN(J356)+'CAFCO 400 '!$D$12))),0)+IF(AND(L356="Cafco 400",M356="Software Idiem",C356="C"),((('CAFCO 400 '!$L$7*(J356^3)+'CAFCO 400 '!$L$8*(J356^2)+'CAFCO 400 '!$L$9*J356+'CAFCO 400 '!$L$10)*U356^2)+(('CAFCO 400 '!$L$11*(J356^3)+'CAFCO 400 '!$L$12*(J356^2)+'CAFCO 400 '!$L$13*J356+'CAFCO 400 '!$L$14)*U356)+('CAFCO 400 '!$L$15*LN(J356)+'CAFCO 400 '!$L$16)),0)+IF(AND(L356="Cafco 400",M356="Software Idiem",C356="L"),((('CAFCO 400 '!$L$7*(J356^3)+'CAFCO 400 '!$L$8*(J356^2)+'CAFCO 400 '!$L$9*J356+'CAFCO 400 '!$L$10)*U356^2)+(('CAFCO 400 '!$L$11*(J356^3)+'CAFCO 400 '!$L$12*(J356^2)+'CAFCO 400 '!$L$13*J356+'CAFCO 400 '!$L$14)*U356)+('CAFCO 400 '!$L$15*LN(J356)+'CAFCO 400 '!$L$16)),0)+IF(AND(L356="Cafco 400",M356="Software Idiem",C356="IN",G356=3),((('CAFCO 400 '!$D$23*(J356^2)+'CAFCO 400 '!$D$24*(J356)+'CAFCO 400 '!$D$25)*U356^2)+(('CAFCO 400 '!$D$26*(J356^2)+'CAFCO 400 '!$D$27*J356+'CAFCO 400 '!$D$28)*U356)+('CAFCO 400 '!$D$29*(J356^2)+'CAFCO 400 '!$D$30*J356+'CAFCO 400 '!$D$31)),0),0)+IF(AND(L356="Cafco 300",J356&gt;=95,J356&lt;=240,C356="Cj",I356=90),VLOOKUP(T356,'CAFCO 300 IDIEM TABLAS'!$B$4:$D$23,2,FALSE),0)+IF(AND(L356="Cafco 300",J356&gt;=95,J356&lt;=240,C356="Cj",I356=120),VLOOKUP(T356,'CAFCO 300 IDIEM TABLAS'!$B$4:$D$23,3,FALSE),0)+IF(AND(L356="Cafco 300",J356&gt;=95,J356&lt;=400,G356=3,C356="IN",I356=90),VLOOKUP(T356,'CAFCO 300 IDIEM TABLAS'!$F$4:$H$35,2,FALSE),0)+IF(AND(L356="Cafco 300",J356&gt;=95,J356&lt;=400,G356=3,C356="IN",I356=120),VLOOKUP(T356,'CAFCO 300 IDIEM TABLAS'!$F$4:$H$35,3,FALSE),0)+IF(AND(L356="Cafco 300",J356&gt;=95,J356&lt;=450,G356=4,C356="IN",I356=90),VLOOKUP(T356,'CAFCO 300 IDIEM TABLAS'!$J$4:$L$40,2,FALSE),0)+IF(AND(L356="Cafco 300",J356&gt;=95,J356&lt;=450,G356=4,C356="IN",I356=120),VLOOKUP(T356,'CAFCO 300 IDIEM TABLAS'!$J$4:$L$40,3,FALSE),0)+IF(AND(M356="Ensayo Idiem",L356="Cafco 400",C356="IN",G356=4,I356=90),VLOOKUP(T356,'CAFCO 400 ENSAYO'!$B$7:$D$43,2,FALSE),0)+IF(AND(M356="Ensayo Idiem",L356="Cafco 400",C356="IN",G356=4,I356=120),VLOOKUP(T356,'CAFCO 400 ENSAYO'!$B$7:$D$43,3,FALSE),0)</f>
        <v>0</v>
      </c>
      <c r="O356" s="96">
        <f t="shared" si="39"/>
        <v>0</v>
      </c>
      <c r="P356" s="95" t="str">
        <f t="shared" si="40"/>
        <v>N/A</v>
      </c>
      <c r="Q356" s="95" t="str">
        <f t="shared" si="41"/>
        <v>N/A</v>
      </c>
      <c r="R356" s="95" t="str">
        <f t="shared" si="42"/>
        <v>NO CERT.</v>
      </c>
      <c r="S356" s="95" t="e">
        <f t="shared" si="37"/>
        <v>#N/A</v>
      </c>
      <c r="T356" s="119" t="e">
        <f>+IF(J356=LOOKUP(J356,'CAFCO 300 IDIEM TABLAS'!$J$4:$J$40),'CALCULO MORTERO'!J356,MROUND('CALCULO MORTERO'!J356,10))</f>
        <v>#N/A</v>
      </c>
      <c r="U356" s="118">
        <f t="shared" si="38"/>
        <v>0</v>
      </c>
      <c r="Y356" s="4"/>
      <c r="Z356" s="4"/>
      <c r="AA356" s="4"/>
    </row>
    <row r="357" spans="1:27" x14ac:dyDescent="0.25">
      <c r="A357" s="118">
        <f>+CUBICACION!D351</f>
        <v>0</v>
      </c>
      <c r="B357" s="819">
        <f>+CUBICACION!E351</f>
        <v>0</v>
      </c>
      <c r="C357" s="675">
        <f>+CUBICACION!F351</f>
        <v>0</v>
      </c>
      <c r="D357" s="118"/>
      <c r="E357" s="118"/>
      <c r="F357" s="820"/>
      <c r="G357" s="675">
        <f>+CUBICACION!J351</f>
        <v>0</v>
      </c>
      <c r="H357" s="118"/>
      <c r="I357" s="821">
        <f>+CUBICACION!L351</f>
        <v>0</v>
      </c>
      <c r="J357" s="64">
        <f>+CUBICACION!M351</f>
        <v>0</v>
      </c>
      <c r="K357" s="822" t="str">
        <f>+CUBICACION!N351</f>
        <v/>
      </c>
      <c r="L357" s="118">
        <f>+CUBICACION!O351</f>
        <v>0</v>
      </c>
      <c r="M357" s="823">
        <f>+CUBICACION!P351</f>
        <v>0</v>
      </c>
      <c r="N357" s="902">
        <f>ROUND(IF(AND(L357="Blaze Shield II",M357="Software Idiem",C357="IN",G357=4),((('BLAZE SHIELD II'!$D$4*('CALCULO MORTERO'!I357^2)+'BLAZE SHIELD II'!$D$5*'CALCULO MORTERO'!I357+'BLAZE SHIELD II'!$D$6)*LN(J357))+('BLAZE SHIELD II'!$D$7*('CALCULO MORTERO'!I357^2)+'BLAZE SHIELD II'!$D$8*'CALCULO MORTERO'!I357+'BLAZE SHIELD II'!$D$9)),0)+IF(AND(L357="Blaze Shield II",M357="Software Idiem",C357="Cj"),((('BLAZE SHIELD II'!$H$4*('CALCULO MORTERO'!I357^2)+'BLAZE SHIELD II'!$H$5*'CALCULO MORTERO'!I357+'BLAZE SHIELD II'!$H$6)*LN(J357))+('BLAZE SHIELD II'!$H$7*('CALCULO MORTERO'!I357^2)+'BLAZE SHIELD II'!$H$8*'CALCULO MORTERO'!I357+'BLAZE SHIELD II'!$H$9)),0)+IF(AND(L357="Blaze Shield II",M357="Software Idiem",C357="C"),((('BLAZE SHIELD II'!$L$4*('CALCULO MORTERO'!I357^2)+'BLAZE SHIELD II'!$L$5*'CALCULO MORTERO'!I357+'BLAZE SHIELD II'!$L$6)*LN(J357))+('BLAZE SHIELD II'!$L$7*('CALCULO MORTERO'!I357^2)+'BLAZE SHIELD II'!$L$8*'CALCULO MORTERO'!I357+'BLAZE SHIELD II'!$L$9)),0)+IF(AND(L357="Blaze Shield II",M357="Software Idiem",C357="L"),((('BLAZE SHIELD II'!$L$4*('CALCULO MORTERO'!I357^2)+'BLAZE SHIELD II'!$L$5*'CALCULO MORTERO'!I357+'BLAZE SHIELD II'!$L$6)*LN(J357))+('BLAZE SHIELD II'!$L$7*('CALCULO MORTERO'!I357^2)+'BLAZE SHIELD II'!$L$8*'CALCULO MORTERO'!I357+'BLAZE SHIELD II'!$L$9)),0)+IF(AND(L357="Blaze Shield II",M357="Software Idiem",C357="IN",G357=3),((('BLAZE SHIELD II'!$H$14*('CALCULO MORTERO'!I357^2)+'BLAZE SHIELD II'!$H$15*'CALCULO MORTERO'!I357+'BLAZE SHIELD II'!$H$16)*LN(J357))+('BLAZE SHIELD II'!$H$17*('CALCULO MORTERO'!I357^2)+'BLAZE SHIELD II'!$H$18*'CALCULO MORTERO'!I357+'BLAZE SHIELD II'!$H$19)),0),0)+ROUND(IF(AND(L357="Cafco 400",M357="Software Idiem",C357="IN",G357=4),((('CAFCO 400 '!$H$7*(J357^4)+'CAFCO 400 '!$H$8*(J357^3)+'CAFCO 400 '!$H$9*(J357^2)+'CAFCO 400 '!$H$10*J357+'CAFCO 400 '!$H$11)*U357^2)+(('CAFCO 400 '!$H$12*(J357^3)+'CAFCO 400 '!$H$13*(J357^2)+'CAFCO 400 '!$H$14*J357+'CAFCO 400 '!$H$15)*U357)+('CAFCO 400 '!$H$16*(J357^2)+'CAFCO 400 '!$H$17*J357+'CAFCO 400 '!$H$18)),0)+IF(AND(L357="Cafco 400",M357="Software Idiem",C357="Cj"),(((('CAFCO 400 '!$D$7*LN(J357)+'CAFCO 400 '!$D$8)*U357^2)+(('CAFCO 400 '!$D$9*LN(J357)+'CAFCO 400 '!$D$10)*U357)+('CAFCO 400 '!$D$11*LN(J357)+'CAFCO 400 '!$D$12))),0)+IF(AND(L357="Cafco 400",M357="Software Idiem",C357="C"),((('CAFCO 400 '!$L$7*(J357^3)+'CAFCO 400 '!$L$8*(J357^2)+'CAFCO 400 '!$L$9*J357+'CAFCO 400 '!$L$10)*U357^2)+(('CAFCO 400 '!$L$11*(J357^3)+'CAFCO 400 '!$L$12*(J357^2)+'CAFCO 400 '!$L$13*J357+'CAFCO 400 '!$L$14)*U357)+('CAFCO 400 '!$L$15*LN(J357)+'CAFCO 400 '!$L$16)),0)+IF(AND(L357="Cafco 400",M357="Software Idiem",C357="L"),((('CAFCO 400 '!$L$7*(J357^3)+'CAFCO 400 '!$L$8*(J357^2)+'CAFCO 400 '!$L$9*J357+'CAFCO 400 '!$L$10)*U357^2)+(('CAFCO 400 '!$L$11*(J357^3)+'CAFCO 400 '!$L$12*(J357^2)+'CAFCO 400 '!$L$13*J357+'CAFCO 400 '!$L$14)*U357)+('CAFCO 400 '!$L$15*LN(J357)+'CAFCO 400 '!$L$16)),0)+IF(AND(L357="Cafco 400",M357="Software Idiem",C357="IN",G357=3),((('CAFCO 400 '!$D$23*(J357^2)+'CAFCO 400 '!$D$24*(J357)+'CAFCO 400 '!$D$25)*U357^2)+(('CAFCO 400 '!$D$26*(J357^2)+'CAFCO 400 '!$D$27*J357+'CAFCO 400 '!$D$28)*U357)+('CAFCO 400 '!$D$29*(J357^2)+'CAFCO 400 '!$D$30*J357+'CAFCO 400 '!$D$31)),0),0)+IF(AND(L357="Cafco 300",J357&gt;=95,J357&lt;=240,C357="Cj",I357=90),VLOOKUP(T357,'CAFCO 300 IDIEM TABLAS'!$B$4:$D$23,2,FALSE),0)+IF(AND(L357="Cafco 300",J357&gt;=95,J357&lt;=240,C357="Cj",I357=120),VLOOKUP(T357,'CAFCO 300 IDIEM TABLAS'!$B$4:$D$23,3,FALSE),0)+IF(AND(L357="Cafco 300",J357&gt;=95,J357&lt;=400,G357=3,C357="IN",I357=90),VLOOKUP(T357,'CAFCO 300 IDIEM TABLAS'!$F$4:$H$35,2,FALSE),0)+IF(AND(L357="Cafco 300",J357&gt;=95,J357&lt;=400,G357=3,C357="IN",I357=120),VLOOKUP(T357,'CAFCO 300 IDIEM TABLAS'!$F$4:$H$35,3,FALSE),0)+IF(AND(L357="Cafco 300",J357&gt;=95,J357&lt;=450,G357=4,C357="IN",I357=90),VLOOKUP(T357,'CAFCO 300 IDIEM TABLAS'!$J$4:$L$40,2,FALSE),0)+IF(AND(L357="Cafco 300",J357&gt;=95,J357&lt;=450,G357=4,C357="IN",I357=120),VLOOKUP(T357,'CAFCO 300 IDIEM TABLAS'!$J$4:$L$40,3,FALSE),0)+IF(AND(M357="Ensayo Idiem",L357="Cafco 400",C357="IN",G357=4,I357=90),VLOOKUP(T357,'CAFCO 400 ENSAYO'!$B$7:$D$43,2,FALSE),0)+IF(AND(M357="Ensayo Idiem",L357="Cafco 400",C357="IN",G357=4,I357=120),VLOOKUP(T357,'CAFCO 400 ENSAYO'!$B$7:$D$43,3,FALSE),0)</f>
        <v>0</v>
      </c>
      <c r="O357" s="96">
        <f t="shared" si="39"/>
        <v>0</v>
      </c>
      <c r="P357" s="95" t="str">
        <f t="shared" si="40"/>
        <v>N/A</v>
      </c>
      <c r="Q357" s="95" t="str">
        <f t="shared" si="41"/>
        <v>N/A</v>
      </c>
      <c r="R357" s="95" t="str">
        <f t="shared" si="42"/>
        <v>NO CERT.</v>
      </c>
      <c r="S357" s="95" t="e">
        <f t="shared" si="37"/>
        <v>#N/A</v>
      </c>
      <c r="T357" s="119" t="e">
        <f>+IF(J357=LOOKUP(J357,'CAFCO 300 IDIEM TABLAS'!$J$4:$J$40),'CALCULO MORTERO'!J357,MROUND('CALCULO MORTERO'!J357,10))</f>
        <v>#N/A</v>
      </c>
      <c r="U357" s="118">
        <f t="shared" si="38"/>
        <v>0</v>
      </c>
      <c r="Y357" s="4"/>
      <c r="Z357" s="4"/>
      <c r="AA357" s="4"/>
    </row>
    <row r="358" spans="1:27" ht="15.6" customHeight="1" x14ac:dyDescent="0.25">
      <c r="A358" s="118">
        <f>+CUBICACION!D352</f>
        <v>0</v>
      </c>
      <c r="B358" s="819">
        <f>+CUBICACION!E352</f>
        <v>0</v>
      </c>
      <c r="C358" s="675">
        <f>+CUBICACION!F352</f>
        <v>0</v>
      </c>
      <c r="D358" s="118"/>
      <c r="E358" s="118"/>
      <c r="F358" s="820"/>
      <c r="G358" s="675">
        <f>+CUBICACION!J352</f>
        <v>0</v>
      </c>
      <c r="H358" s="118"/>
      <c r="I358" s="821">
        <f>+CUBICACION!L352</f>
        <v>0</v>
      </c>
      <c r="J358" s="64">
        <f>+CUBICACION!M352</f>
        <v>0</v>
      </c>
      <c r="K358" s="822" t="str">
        <f>+CUBICACION!N352</f>
        <v/>
      </c>
      <c r="L358" s="118">
        <f>+CUBICACION!O352</f>
        <v>0</v>
      </c>
      <c r="M358" s="823">
        <f>+CUBICACION!P352</f>
        <v>0</v>
      </c>
      <c r="N358" s="902">
        <f>ROUND(IF(AND(L358="Blaze Shield II",M358="Software Idiem",C358="IN",G358=4),((('BLAZE SHIELD II'!$D$4*('CALCULO MORTERO'!I358^2)+'BLAZE SHIELD II'!$D$5*'CALCULO MORTERO'!I358+'BLAZE SHIELD II'!$D$6)*LN(J358))+('BLAZE SHIELD II'!$D$7*('CALCULO MORTERO'!I358^2)+'BLAZE SHIELD II'!$D$8*'CALCULO MORTERO'!I358+'BLAZE SHIELD II'!$D$9)),0)+IF(AND(L358="Blaze Shield II",M358="Software Idiem",C358="Cj"),((('BLAZE SHIELD II'!$H$4*('CALCULO MORTERO'!I358^2)+'BLAZE SHIELD II'!$H$5*'CALCULO MORTERO'!I358+'BLAZE SHIELD II'!$H$6)*LN(J358))+('BLAZE SHIELD II'!$H$7*('CALCULO MORTERO'!I358^2)+'BLAZE SHIELD II'!$H$8*'CALCULO MORTERO'!I358+'BLAZE SHIELD II'!$H$9)),0)+IF(AND(L358="Blaze Shield II",M358="Software Idiem",C358="C"),((('BLAZE SHIELD II'!$L$4*('CALCULO MORTERO'!I358^2)+'BLAZE SHIELD II'!$L$5*'CALCULO MORTERO'!I358+'BLAZE SHIELD II'!$L$6)*LN(J358))+('BLAZE SHIELD II'!$L$7*('CALCULO MORTERO'!I358^2)+'BLAZE SHIELD II'!$L$8*'CALCULO MORTERO'!I358+'BLAZE SHIELD II'!$L$9)),0)+IF(AND(L358="Blaze Shield II",M358="Software Idiem",C358="L"),((('BLAZE SHIELD II'!$L$4*('CALCULO MORTERO'!I358^2)+'BLAZE SHIELD II'!$L$5*'CALCULO MORTERO'!I358+'BLAZE SHIELD II'!$L$6)*LN(J358))+('BLAZE SHIELD II'!$L$7*('CALCULO MORTERO'!I358^2)+'BLAZE SHIELD II'!$L$8*'CALCULO MORTERO'!I358+'BLAZE SHIELD II'!$L$9)),0)+IF(AND(L358="Blaze Shield II",M358="Software Idiem",C358="IN",G358=3),((('BLAZE SHIELD II'!$H$14*('CALCULO MORTERO'!I358^2)+'BLAZE SHIELD II'!$H$15*'CALCULO MORTERO'!I358+'BLAZE SHIELD II'!$H$16)*LN(J358))+('BLAZE SHIELD II'!$H$17*('CALCULO MORTERO'!I358^2)+'BLAZE SHIELD II'!$H$18*'CALCULO MORTERO'!I358+'BLAZE SHIELD II'!$H$19)),0),0)+ROUND(IF(AND(L358="Cafco 400",M358="Software Idiem",C358="IN",G358=4),((('CAFCO 400 '!$H$7*(J358^4)+'CAFCO 400 '!$H$8*(J358^3)+'CAFCO 400 '!$H$9*(J358^2)+'CAFCO 400 '!$H$10*J358+'CAFCO 400 '!$H$11)*U358^2)+(('CAFCO 400 '!$H$12*(J358^3)+'CAFCO 400 '!$H$13*(J358^2)+'CAFCO 400 '!$H$14*J358+'CAFCO 400 '!$H$15)*U358)+('CAFCO 400 '!$H$16*(J358^2)+'CAFCO 400 '!$H$17*J358+'CAFCO 400 '!$H$18)),0)+IF(AND(L358="Cafco 400",M358="Software Idiem",C358="Cj"),(((('CAFCO 400 '!$D$7*LN(J358)+'CAFCO 400 '!$D$8)*U358^2)+(('CAFCO 400 '!$D$9*LN(J358)+'CAFCO 400 '!$D$10)*U358)+('CAFCO 400 '!$D$11*LN(J358)+'CAFCO 400 '!$D$12))),0)+IF(AND(L358="Cafco 400",M358="Software Idiem",C358="C"),((('CAFCO 400 '!$L$7*(J358^3)+'CAFCO 400 '!$L$8*(J358^2)+'CAFCO 400 '!$L$9*J358+'CAFCO 400 '!$L$10)*U358^2)+(('CAFCO 400 '!$L$11*(J358^3)+'CAFCO 400 '!$L$12*(J358^2)+'CAFCO 400 '!$L$13*J358+'CAFCO 400 '!$L$14)*U358)+('CAFCO 400 '!$L$15*LN(J358)+'CAFCO 400 '!$L$16)),0)+IF(AND(L358="Cafco 400",M358="Software Idiem",C358="L"),((('CAFCO 400 '!$L$7*(J358^3)+'CAFCO 400 '!$L$8*(J358^2)+'CAFCO 400 '!$L$9*J358+'CAFCO 400 '!$L$10)*U358^2)+(('CAFCO 400 '!$L$11*(J358^3)+'CAFCO 400 '!$L$12*(J358^2)+'CAFCO 400 '!$L$13*J358+'CAFCO 400 '!$L$14)*U358)+('CAFCO 400 '!$L$15*LN(J358)+'CAFCO 400 '!$L$16)),0)+IF(AND(L358="Cafco 400",M358="Software Idiem",C358="IN",G358=3),((('CAFCO 400 '!$D$23*(J358^2)+'CAFCO 400 '!$D$24*(J358)+'CAFCO 400 '!$D$25)*U358^2)+(('CAFCO 400 '!$D$26*(J358^2)+'CAFCO 400 '!$D$27*J358+'CAFCO 400 '!$D$28)*U358)+('CAFCO 400 '!$D$29*(J358^2)+'CAFCO 400 '!$D$30*J358+'CAFCO 400 '!$D$31)),0),0)+IF(AND(L358="Cafco 300",J358&gt;=95,J358&lt;=240,C358="Cj",I358=90),VLOOKUP(T358,'CAFCO 300 IDIEM TABLAS'!$B$4:$D$23,2,FALSE),0)+IF(AND(L358="Cafco 300",J358&gt;=95,J358&lt;=240,C358="Cj",I358=120),VLOOKUP(T358,'CAFCO 300 IDIEM TABLAS'!$B$4:$D$23,3,FALSE),0)+IF(AND(L358="Cafco 300",J358&gt;=95,J358&lt;=400,G358=3,C358="IN",I358=90),VLOOKUP(T358,'CAFCO 300 IDIEM TABLAS'!$F$4:$H$35,2,FALSE),0)+IF(AND(L358="Cafco 300",J358&gt;=95,J358&lt;=400,G358=3,C358="IN",I358=120),VLOOKUP(T358,'CAFCO 300 IDIEM TABLAS'!$F$4:$H$35,3,FALSE),0)+IF(AND(L358="Cafco 300",J358&gt;=95,J358&lt;=450,G358=4,C358="IN",I358=90),VLOOKUP(T358,'CAFCO 300 IDIEM TABLAS'!$J$4:$L$40,2,FALSE),0)+IF(AND(L358="Cafco 300",J358&gt;=95,J358&lt;=450,G358=4,C358="IN",I358=120),VLOOKUP(T358,'CAFCO 300 IDIEM TABLAS'!$J$4:$L$40,3,FALSE),0)+IF(AND(M358="Ensayo Idiem",L358="Cafco 400",C358="IN",G358=4,I358=90),VLOOKUP(T358,'CAFCO 400 ENSAYO'!$B$7:$D$43,2,FALSE),0)+IF(AND(M358="Ensayo Idiem",L358="Cafco 400",C358="IN",G358=4,I358=120),VLOOKUP(T358,'CAFCO 400 ENSAYO'!$B$7:$D$43,3,FALSE),0)</f>
        <v>0</v>
      </c>
      <c r="O358" s="96">
        <f t="shared" si="39"/>
        <v>0</v>
      </c>
      <c r="P358" s="95" t="str">
        <f t="shared" si="40"/>
        <v>N/A</v>
      </c>
      <c r="Q358" s="95" t="str">
        <f t="shared" si="41"/>
        <v>N/A</v>
      </c>
      <c r="R358" s="95" t="str">
        <f t="shared" si="42"/>
        <v>NO CERT.</v>
      </c>
      <c r="S358" s="95" t="e">
        <f t="shared" si="37"/>
        <v>#N/A</v>
      </c>
      <c r="T358" s="119" t="e">
        <f>+IF(J358=LOOKUP(J358,'CAFCO 300 IDIEM TABLAS'!$J$4:$J$40),'CALCULO MORTERO'!J358,MROUND('CALCULO MORTERO'!J358,10))</f>
        <v>#N/A</v>
      </c>
      <c r="U358" s="118">
        <f t="shared" si="38"/>
        <v>0</v>
      </c>
      <c r="Y358" s="4"/>
      <c r="Z358" s="4"/>
      <c r="AA358" s="4"/>
    </row>
    <row r="359" spans="1:27" x14ac:dyDescent="0.25">
      <c r="A359" s="118">
        <f>+CUBICACION!D353</f>
        <v>0</v>
      </c>
      <c r="B359" s="819">
        <f>+CUBICACION!E353</f>
        <v>0</v>
      </c>
      <c r="C359" s="675">
        <f>+CUBICACION!F353</f>
        <v>0</v>
      </c>
      <c r="D359" s="118"/>
      <c r="E359" s="118"/>
      <c r="F359" s="820"/>
      <c r="G359" s="675">
        <f>+CUBICACION!J353</f>
        <v>0</v>
      </c>
      <c r="H359" s="118"/>
      <c r="I359" s="821">
        <f>+CUBICACION!L353</f>
        <v>0</v>
      </c>
      <c r="J359" s="64">
        <f>+CUBICACION!M353</f>
        <v>0</v>
      </c>
      <c r="K359" s="822" t="str">
        <f>+CUBICACION!N353</f>
        <v/>
      </c>
      <c r="L359" s="118">
        <f>+CUBICACION!O353</f>
        <v>0</v>
      </c>
      <c r="M359" s="823">
        <f>+CUBICACION!P353</f>
        <v>0</v>
      </c>
      <c r="N359" s="902">
        <f>ROUND(IF(AND(L359="Blaze Shield II",M359="Software Idiem",C359="IN",G359=4),((('BLAZE SHIELD II'!$D$4*('CALCULO MORTERO'!I359^2)+'BLAZE SHIELD II'!$D$5*'CALCULO MORTERO'!I359+'BLAZE SHIELD II'!$D$6)*LN(J359))+('BLAZE SHIELD II'!$D$7*('CALCULO MORTERO'!I359^2)+'BLAZE SHIELD II'!$D$8*'CALCULO MORTERO'!I359+'BLAZE SHIELD II'!$D$9)),0)+IF(AND(L359="Blaze Shield II",M359="Software Idiem",C359="Cj"),((('BLAZE SHIELD II'!$H$4*('CALCULO MORTERO'!I359^2)+'BLAZE SHIELD II'!$H$5*'CALCULO MORTERO'!I359+'BLAZE SHIELD II'!$H$6)*LN(J359))+('BLAZE SHIELD II'!$H$7*('CALCULO MORTERO'!I359^2)+'BLAZE SHIELD II'!$H$8*'CALCULO MORTERO'!I359+'BLAZE SHIELD II'!$H$9)),0)+IF(AND(L359="Blaze Shield II",M359="Software Idiem",C359="C"),((('BLAZE SHIELD II'!$L$4*('CALCULO MORTERO'!I359^2)+'BLAZE SHIELD II'!$L$5*'CALCULO MORTERO'!I359+'BLAZE SHIELD II'!$L$6)*LN(J359))+('BLAZE SHIELD II'!$L$7*('CALCULO MORTERO'!I359^2)+'BLAZE SHIELD II'!$L$8*'CALCULO MORTERO'!I359+'BLAZE SHIELD II'!$L$9)),0)+IF(AND(L359="Blaze Shield II",M359="Software Idiem",C359="L"),((('BLAZE SHIELD II'!$L$4*('CALCULO MORTERO'!I359^2)+'BLAZE SHIELD II'!$L$5*'CALCULO MORTERO'!I359+'BLAZE SHIELD II'!$L$6)*LN(J359))+('BLAZE SHIELD II'!$L$7*('CALCULO MORTERO'!I359^2)+'BLAZE SHIELD II'!$L$8*'CALCULO MORTERO'!I359+'BLAZE SHIELD II'!$L$9)),0)+IF(AND(L359="Blaze Shield II",M359="Software Idiem",C359="IN",G359=3),((('BLAZE SHIELD II'!$H$14*('CALCULO MORTERO'!I359^2)+'BLAZE SHIELD II'!$H$15*'CALCULO MORTERO'!I359+'BLAZE SHIELD II'!$H$16)*LN(J359))+('BLAZE SHIELD II'!$H$17*('CALCULO MORTERO'!I359^2)+'BLAZE SHIELD II'!$H$18*'CALCULO MORTERO'!I359+'BLAZE SHIELD II'!$H$19)),0),0)+ROUND(IF(AND(L359="Cafco 400",M359="Software Idiem",C359="IN",G359=4),((('CAFCO 400 '!$H$7*(J359^4)+'CAFCO 400 '!$H$8*(J359^3)+'CAFCO 400 '!$H$9*(J359^2)+'CAFCO 400 '!$H$10*J359+'CAFCO 400 '!$H$11)*U359^2)+(('CAFCO 400 '!$H$12*(J359^3)+'CAFCO 400 '!$H$13*(J359^2)+'CAFCO 400 '!$H$14*J359+'CAFCO 400 '!$H$15)*U359)+('CAFCO 400 '!$H$16*(J359^2)+'CAFCO 400 '!$H$17*J359+'CAFCO 400 '!$H$18)),0)+IF(AND(L359="Cafco 400",M359="Software Idiem",C359="Cj"),(((('CAFCO 400 '!$D$7*LN(J359)+'CAFCO 400 '!$D$8)*U359^2)+(('CAFCO 400 '!$D$9*LN(J359)+'CAFCO 400 '!$D$10)*U359)+('CAFCO 400 '!$D$11*LN(J359)+'CAFCO 400 '!$D$12))),0)+IF(AND(L359="Cafco 400",M359="Software Idiem",C359="C"),((('CAFCO 400 '!$L$7*(J359^3)+'CAFCO 400 '!$L$8*(J359^2)+'CAFCO 400 '!$L$9*J359+'CAFCO 400 '!$L$10)*U359^2)+(('CAFCO 400 '!$L$11*(J359^3)+'CAFCO 400 '!$L$12*(J359^2)+'CAFCO 400 '!$L$13*J359+'CAFCO 400 '!$L$14)*U359)+('CAFCO 400 '!$L$15*LN(J359)+'CAFCO 400 '!$L$16)),0)+IF(AND(L359="Cafco 400",M359="Software Idiem",C359="L"),((('CAFCO 400 '!$L$7*(J359^3)+'CAFCO 400 '!$L$8*(J359^2)+'CAFCO 400 '!$L$9*J359+'CAFCO 400 '!$L$10)*U359^2)+(('CAFCO 400 '!$L$11*(J359^3)+'CAFCO 400 '!$L$12*(J359^2)+'CAFCO 400 '!$L$13*J359+'CAFCO 400 '!$L$14)*U359)+('CAFCO 400 '!$L$15*LN(J359)+'CAFCO 400 '!$L$16)),0)+IF(AND(L359="Cafco 400",M359="Software Idiem",C359="IN",G359=3),((('CAFCO 400 '!$D$23*(J359^2)+'CAFCO 400 '!$D$24*(J359)+'CAFCO 400 '!$D$25)*U359^2)+(('CAFCO 400 '!$D$26*(J359^2)+'CAFCO 400 '!$D$27*J359+'CAFCO 400 '!$D$28)*U359)+('CAFCO 400 '!$D$29*(J359^2)+'CAFCO 400 '!$D$30*J359+'CAFCO 400 '!$D$31)),0),0)+IF(AND(L359="Cafco 300",J359&gt;=95,J359&lt;=240,C359="Cj",I359=90),VLOOKUP(T359,'CAFCO 300 IDIEM TABLAS'!$B$4:$D$23,2,FALSE),0)+IF(AND(L359="Cafco 300",J359&gt;=95,J359&lt;=240,C359="Cj",I359=120),VLOOKUP(T359,'CAFCO 300 IDIEM TABLAS'!$B$4:$D$23,3,FALSE),0)+IF(AND(L359="Cafco 300",J359&gt;=95,J359&lt;=400,G359=3,C359="IN",I359=90),VLOOKUP(T359,'CAFCO 300 IDIEM TABLAS'!$F$4:$H$35,2,FALSE),0)+IF(AND(L359="Cafco 300",J359&gt;=95,J359&lt;=400,G359=3,C359="IN",I359=120),VLOOKUP(T359,'CAFCO 300 IDIEM TABLAS'!$F$4:$H$35,3,FALSE),0)+IF(AND(L359="Cafco 300",J359&gt;=95,J359&lt;=450,G359=4,C359="IN",I359=90),VLOOKUP(T359,'CAFCO 300 IDIEM TABLAS'!$J$4:$L$40,2,FALSE),0)+IF(AND(L359="Cafco 300",J359&gt;=95,J359&lt;=450,G359=4,C359="IN",I359=120),VLOOKUP(T359,'CAFCO 300 IDIEM TABLAS'!$J$4:$L$40,3,FALSE),0)+IF(AND(M359="Ensayo Idiem",L359="Cafco 400",C359="IN",G359=4,I359=90),VLOOKUP(T359,'CAFCO 400 ENSAYO'!$B$7:$D$43,2,FALSE),0)+IF(AND(M359="Ensayo Idiem",L359="Cafco 400",C359="IN",G359=4,I359=120),VLOOKUP(T359,'CAFCO 400 ENSAYO'!$B$7:$D$43,3,FALSE),0)</f>
        <v>0</v>
      </c>
      <c r="O359" s="96">
        <f t="shared" si="39"/>
        <v>0</v>
      </c>
      <c r="P359" s="95" t="str">
        <f t="shared" si="40"/>
        <v>N/A</v>
      </c>
      <c r="Q359" s="95" t="str">
        <f t="shared" si="41"/>
        <v>N/A</v>
      </c>
      <c r="R359" s="95" t="str">
        <f t="shared" si="42"/>
        <v>NO CERT.</v>
      </c>
      <c r="S359" s="95" t="e">
        <f t="shared" si="37"/>
        <v>#N/A</v>
      </c>
      <c r="T359" s="119" t="e">
        <f>+IF(J359=LOOKUP(J359,'CAFCO 300 IDIEM TABLAS'!$J$4:$J$40),'CALCULO MORTERO'!J359,MROUND('CALCULO MORTERO'!J359,10))</f>
        <v>#N/A</v>
      </c>
      <c r="U359" s="118">
        <f t="shared" si="38"/>
        <v>0</v>
      </c>
      <c r="Y359" s="4"/>
      <c r="Z359" s="4"/>
      <c r="AA359" s="4"/>
    </row>
    <row r="360" spans="1:27" ht="15.6" customHeight="1" x14ac:dyDescent="0.25">
      <c r="A360" s="118">
        <f>+CUBICACION!D354</f>
        <v>0</v>
      </c>
      <c r="B360" s="819">
        <f>+CUBICACION!E354</f>
        <v>0</v>
      </c>
      <c r="C360" s="675">
        <f>+CUBICACION!F354</f>
        <v>0</v>
      </c>
      <c r="D360" s="118"/>
      <c r="E360" s="118"/>
      <c r="F360" s="820"/>
      <c r="G360" s="675">
        <f>+CUBICACION!J354</f>
        <v>0</v>
      </c>
      <c r="H360" s="118"/>
      <c r="I360" s="821">
        <f>+CUBICACION!L354</f>
        <v>0</v>
      </c>
      <c r="J360" s="64">
        <f>+CUBICACION!M354</f>
        <v>0</v>
      </c>
      <c r="K360" s="822" t="str">
        <f>+CUBICACION!N354</f>
        <v/>
      </c>
      <c r="L360" s="118">
        <f>+CUBICACION!O354</f>
        <v>0</v>
      </c>
      <c r="M360" s="823">
        <f>+CUBICACION!P354</f>
        <v>0</v>
      </c>
      <c r="N360" s="902">
        <f>ROUND(IF(AND(L360="Blaze Shield II",M360="Software Idiem",C360="IN",G360=4),((('BLAZE SHIELD II'!$D$4*('CALCULO MORTERO'!I360^2)+'BLAZE SHIELD II'!$D$5*'CALCULO MORTERO'!I360+'BLAZE SHIELD II'!$D$6)*LN(J360))+('BLAZE SHIELD II'!$D$7*('CALCULO MORTERO'!I360^2)+'BLAZE SHIELD II'!$D$8*'CALCULO MORTERO'!I360+'BLAZE SHIELD II'!$D$9)),0)+IF(AND(L360="Blaze Shield II",M360="Software Idiem",C360="Cj"),((('BLAZE SHIELD II'!$H$4*('CALCULO MORTERO'!I360^2)+'BLAZE SHIELD II'!$H$5*'CALCULO MORTERO'!I360+'BLAZE SHIELD II'!$H$6)*LN(J360))+('BLAZE SHIELD II'!$H$7*('CALCULO MORTERO'!I360^2)+'BLAZE SHIELD II'!$H$8*'CALCULO MORTERO'!I360+'BLAZE SHIELD II'!$H$9)),0)+IF(AND(L360="Blaze Shield II",M360="Software Idiem",C360="C"),((('BLAZE SHIELD II'!$L$4*('CALCULO MORTERO'!I360^2)+'BLAZE SHIELD II'!$L$5*'CALCULO MORTERO'!I360+'BLAZE SHIELD II'!$L$6)*LN(J360))+('BLAZE SHIELD II'!$L$7*('CALCULO MORTERO'!I360^2)+'BLAZE SHIELD II'!$L$8*'CALCULO MORTERO'!I360+'BLAZE SHIELD II'!$L$9)),0)+IF(AND(L360="Blaze Shield II",M360="Software Idiem",C360="L"),((('BLAZE SHIELD II'!$L$4*('CALCULO MORTERO'!I360^2)+'BLAZE SHIELD II'!$L$5*'CALCULO MORTERO'!I360+'BLAZE SHIELD II'!$L$6)*LN(J360))+('BLAZE SHIELD II'!$L$7*('CALCULO MORTERO'!I360^2)+'BLAZE SHIELD II'!$L$8*'CALCULO MORTERO'!I360+'BLAZE SHIELD II'!$L$9)),0)+IF(AND(L360="Blaze Shield II",M360="Software Idiem",C360="IN",G360=3),((('BLAZE SHIELD II'!$H$14*('CALCULO MORTERO'!I360^2)+'BLAZE SHIELD II'!$H$15*'CALCULO MORTERO'!I360+'BLAZE SHIELD II'!$H$16)*LN(J360))+('BLAZE SHIELD II'!$H$17*('CALCULO MORTERO'!I360^2)+'BLAZE SHIELD II'!$H$18*'CALCULO MORTERO'!I360+'BLAZE SHIELD II'!$H$19)),0),0)+ROUND(IF(AND(L360="Cafco 400",M360="Software Idiem",C360="IN",G360=4),((('CAFCO 400 '!$H$7*(J360^4)+'CAFCO 400 '!$H$8*(J360^3)+'CAFCO 400 '!$H$9*(J360^2)+'CAFCO 400 '!$H$10*J360+'CAFCO 400 '!$H$11)*U360^2)+(('CAFCO 400 '!$H$12*(J360^3)+'CAFCO 400 '!$H$13*(J360^2)+'CAFCO 400 '!$H$14*J360+'CAFCO 400 '!$H$15)*U360)+('CAFCO 400 '!$H$16*(J360^2)+'CAFCO 400 '!$H$17*J360+'CAFCO 400 '!$H$18)),0)+IF(AND(L360="Cafco 400",M360="Software Idiem",C360="Cj"),(((('CAFCO 400 '!$D$7*LN(J360)+'CAFCO 400 '!$D$8)*U360^2)+(('CAFCO 400 '!$D$9*LN(J360)+'CAFCO 400 '!$D$10)*U360)+('CAFCO 400 '!$D$11*LN(J360)+'CAFCO 400 '!$D$12))),0)+IF(AND(L360="Cafco 400",M360="Software Idiem",C360="C"),((('CAFCO 400 '!$L$7*(J360^3)+'CAFCO 400 '!$L$8*(J360^2)+'CAFCO 400 '!$L$9*J360+'CAFCO 400 '!$L$10)*U360^2)+(('CAFCO 400 '!$L$11*(J360^3)+'CAFCO 400 '!$L$12*(J360^2)+'CAFCO 400 '!$L$13*J360+'CAFCO 400 '!$L$14)*U360)+('CAFCO 400 '!$L$15*LN(J360)+'CAFCO 400 '!$L$16)),0)+IF(AND(L360="Cafco 400",M360="Software Idiem",C360="L"),((('CAFCO 400 '!$L$7*(J360^3)+'CAFCO 400 '!$L$8*(J360^2)+'CAFCO 400 '!$L$9*J360+'CAFCO 400 '!$L$10)*U360^2)+(('CAFCO 400 '!$L$11*(J360^3)+'CAFCO 400 '!$L$12*(J360^2)+'CAFCO 400 '!$L$13*J360+'CAFCO 400 '!$L$14)*U360)+('CAFCO 400 '!$L$15*LN(J360)+'CAFCO 400 '!$L$16)),0)+IF(AND(L360="Cafco 400",M360="Software Idiem",C360="IN",G360=3),((('CAFCO 400 '!$D$23*(J360^2)+'CAFCO 400 '!$D$24*(J360)+'CAFCO 400 '!$D$25)*U360^2)+(('CAFCO 400 '!$D$26*(J360^2)+'CAFCO 400 '!$D$27*J360+'CAFCO 400 '!$D$28)*U360)+('CAFCO 400 '!$D$29*(J360^2)+'CAFCO 400 '!$D$30*J360+'CAFCO 400 '!$D$31)),0),0)+IF(AND(L360="Cafco 300",J360&gt;=95,J360&lt;=240,C360="Cj",I360=90),VLOOKUP(T360,'CAFCO 300 IDIEM TABLAS'!$B$4:$D$23,2,FALSE),0)+IF(AND(L360="Cafco 300",J360&gt;=95,J360&lt;=240,C360="Cj",I360=120),VLOOKUP(T360,'CAFCO 300 IDIEM TABLAS'!$B$4:$D$23,3,FALSE),0)+IF(AND(L360="Cafco 300",J360&gt;=95,J360&lt;=400,G360=3,C360="IN",I360=90),VLOOKUP(T360,'CAFCO 300 IDIEM TABLAS'!$F$4:$H$35,2,FALSE),0)+IF(AND(L360="Cafco 300",J360&gt;=95,J360&lt;=400,G360=3,C360="IN",I360=120),VLOOKUP(T360,'CAFCO 300 IDIEM TABLAS'!$F$4:$H$35,3,FALSE),0)+IF(AND(L360="Cafco 300",J360&gt;=95,J360&lt;=450,G360=4,C360="IN",I360=90),VLOOKUP(T360,'CAFCO 300 IDIEM TABLAS'!$J$4:$L$40,2,FALSE),0)+IF(AND(L360="Cafco 300",J360&gt;=95,J360&lt;=450,G360=4,C360="IN",I360=120),VLOOKUP(T360,'CAFCO 300 IDIEM TABLAS'!$J$4:$L$40,3,FALSE),0)+IF(AND(M360="Ensayo Idiem",L360="Cafco 400",C360="IN",G360=4,I360=90),VLOOKUP(T360,'CAFCO 400 ENSAYO'!$B$7:$D$43,2,FALSE),0)+IF(AND(M360="Ensayo Idiem",L360="Cafco 400",C360="IN",G360=4,I360=120),VLOOKUP(T360,'CAFCO 400 ENSAYO'!$B$7:$D$43,3,FALSE),0)</f>
        <v>0</v>
      </c>
      <c r="O360" s="96">
        <f t="shared" si="39"/>
        <v>0</v>
      </c>
      <c r="P360" s="95" t="str">
        <f t="shared" si="40"/>
        <v>N/A</v>
      </c>
      <c r="Q360" s="95" t="str">
        <f t="shared" si="41"/>
        <v>N/A</v>
      </c>
      <c r="R360" s="95" t="str">
        <f t="shared" si="42"/>
        <v>NO CERT.</v>
      </c>
      <c r="S360" s="95" t="e">
        <f t="shared" si="37"/>
        <v>#N/A</v>
      </c>
      <c r="T360" s="119" t="e">
        <f>+IF(J360=LOOKUP(J360,'CAFCO 300 IDIEM TABLAS'!$J$4:$J$40),'CALCULO MORTERO'!J360,MROUND('CALCULO MORTERO'!J360,10))</f>
        <v>#N/A</v>
      </c>
      <c r="U360" s="118">
        <f t="shared" si="38"/>
        <v>0</v>
      </c>
      <c r="Y360" s="4"/>
      <c r="Z360" s="4"/>
      <c r="AA360" s="4"/>
    </row>
    <row r="361" spans="1:27" x14ac:dyDescent="0.25">
      <c r="A361" s="118">
        <f>+CUBICACION!D355</f>
        <v>0</v>
      </c>
      <c r="B361" s="819">
        <f>+CUBICACION!E355</f>
        <v>0</v>
      </c>
      <c r="C361" s="675">
        <f>+CUBICACION!F355</f>
        <v>0</v>
      </c>
      <c r="D361" s="118"/>
      <c r="E361" s="118"/>
      <c r="F361" s="820"/>
      <c r="G361" s="675">
        <f>+CUBICACION!J355</f>
        <v>0</v>
      </c>
      <c r="H361" s="118"/>
      <c r="I361" s="821">
        <f>+CUBICACION!L355</f>
        <v>0</v>
      </c>
      <c r="J361" s="64">
        <f>+CUBICACION!M355</f>
        <v>0</v>
      </c>
      <c r="K361" s="822" t="str">
        <f>+CUBICACION!N355</f>
        <v/>
      </c>
      <c r="L361" s="118">
        <f>+CUBICACION!O355</f>
        <v>0</v>
      </c>
      <c r="M361" s="823">
        <f>+CUBICACION!P355</f>
        <v>0</v>
      </c>
      <c r="N361" s="902">
        <f>ROUND(IF(AND(L361="Blaze Shield II",M361="Software Idiem",C361="IN",G361=4),((('BLAZE SHIELD II'!$D$4*('CALCULO MORTERO'!I361^2)+'BLAZE SHIELD II'!$D$5*'CALCULO MORTERO'!I361+'BLAZE SHIELD II'!$D$6)*LN(J361))+('BLAZE SHIELD II'!$D$7*('CALCULO MORTERO'!I361^2)+'BLAZE SHIELD II'!$D$8*'CALCULO MORTERO'!I361+'BLAZE SHIELD II'!$D$9)),0)+IF(AND(L361="Blaze Shield II",M361="Software Idiem",C361="Cj"),((('BLAZE SHIELD II'!$H$4*('CALCULO MORTERO'!I361^2)+'BLAZE SHIELD II'!$H$5*'CALCULO MORTERO'!I361+'BLAZE SHIELD II'!$H$6)*LN(J361))+('BLAZE SHIELD II'!$H$7*('CALCULO MORTERO'!I361^2)+'BLAZE SHIELD II'!$H$8*'CALCULO MORTERO'!I361+'BLAZE SHIELD II'!$H$9)),0)+IF(AND(L361="Blaze Shield II",M361="Software Idiem",C361="C"),((('BLAZE SHIELD II'!$L$4*('CALCULO MORTERO'!I361^2)+'BLAZE SHIELD II'!$L$5*'CALCULO MORTERO'!I361+'BLAZE SHIELD II'!$L$6)*LN(J361))+('BLAZE SHIELD II'!$L$7*('CALCULO MORTERO'!I361^2)+'BLAZE SHIELD II'!$L$8*'CALCULO MORTERO'!I361+'BLAZE SHIELD II'!$L$9)),0)+IF(AND(L361="Blaze Shield II",M361="Software Idiem",C361="L"),((('BLAZE SHIELD II'!$L$4*('CALCULO MORTERO'!I361^2)+'BLAZE SHIELD II'!$L$5*'CALCULO MORTERO'!I361+'BLAZE SHIELD II'!$L$6)*LN(J361))+('BLAZE SHIELD II'!$L$7*('CALCULO MORTERO'!I361^2)+'BLAZE SHIELD II'!$L$8*'CALCULO MORTERO'!I361+'BLAZE SHIELD II'!$L$9)),0)+IF(AND(L361="Blaze Shield II",M361="Software Idiem",C361="IN",G361=3),((('BLAZE SHIELD II'!$H$14*('CALCULO MORTERO'!I361^2)+'BLAZE SHIELD II'!$H$15*'CALCULO MORTERO'!I361+'BLAZE SHIELD II'!$H$16)*LN(J361))+('BLAZE SHIELD II'!$H$17*('CALCULO MORTERO'!I361^2)+'BLAZE SHIELD II'!$H$18*'CALCULO MORTERO'!I361+'BLAZE SHIELD II'!$H$19)),0),0)+ROUND(IF(AND(L361="Cafco 400",M361="Software Idiem",C361="IN",G361=4),((('CAFCO 400 '!$H$7*(J361^4)+'CAFCO 400 '!$H$8*(J361^3)+'CAFCO 400 '!$H$9*(J361^2)+'CAFCO 400 '!$H$10*J361+'CAFCO 400 '!$H$11)*U361^2)+(('CAFCO 400 '!$H$12*(J361^3)+'CAFCO 400 '!$H$13*(J361^2)+'CAFCO 400 '!$H$14*J361+'CAFCO 400 '!$H$15)*U361)+('CAFCO 400 '!$H$16*(J361^2)+'CAFCO 400 '!$H$17*J361+'CAFCO 400 '!$H$18)),0)+IF(AND(L361="Cafco 400",M361="Software Idiem",C361="Cj"),(((('CAFCO 400 '!$D$7*LN(J361)+'CAFCO 400 '!$D$8)*U361^2)+(('CAFCO 400 '!$D$9*LN(J361)+'CAFCO 400 '!$D$10)*U361)+('CAFCO 400 '!$D$11*LN(J361)+'CAFCO 400 '!$D$12))),0)+IF(AND(L361="Cafco 400",M361="Software Idiem",C361="C"),((('CAFCO 400 '!$L$7*(J361^3)+'CAFCO 400 '!$L$8*(J361^2)+'CAFCO 400 '!$L$9*J361+'CAFCO 400 '!$L$10)*U361^2)+(('CAFCO 400 '!$L$11*(J361^3)+'CAFCO 400 '!$L$12*(J361^2)+'CAFCO 400 '!$L$13*J361+'CAFCO 400 '!$L$14)*U361)+('CAFCO 400 '!$L$15*LN(J361)+'CAFCO 400 '!$L$16)),0)+IF(AND(L361="Cafco 400",M361="Software Idiem",C361="L"),((('CAFCO 400 '!$L$7*(J361^3)+'CAFCO 400 '!$L$8*(J361^2)+'CAFCO 400 '!$L$9*J361+'CAFCO 400 '!$L$10)*U361^2)+(('CAFCO 400 '!$L$11*(J361^3)+'CAFCO 400 '!$L$12*(J361^2)+'CAFCO 400 '!$L$13*J361+'CAFCO 400 '!$L$14)*U361)+('CAFCO 400 '!$L$15*LN(J361)+'CAFCO 400 '!$L$16)),0)+IF(AND(L361="Cafco 400",M361="Software Idiem",C361="IN",G361=3),((('CAFCO 400 '!$D$23*(J361^2)+'CAFCO 400 '!$D$24*(J361)+'CAFCO 400 '!$D$25)*U361^2)+(('CAFCO 400 '!$D$26*(J361^2)+'CAFCO 400 '!$D$27*J361+'CAFCO 400 '!$D$28)*U361)+('CAFCO 400 '!$D$29*(J361^2)+'CAFCO 400 '!$D$30*J361+'CAFCO 400 '!$D$31)),0),0)+IF(AND(L361="Cafco 300",J361&gt;=95,J361&lt;=240,C361="Cj",I361=90),VLOOKUP(T361,'CAFCO 300 IDIEM TABLAS'!$B$4:$D$23,2,FALSE),0)+IF(AND(L361="Cafco 300",J361&gt;=95,J361&lt;=240,C361="Cj",I361=120),VLOOKUP(T361,'CAFCO 300 IDIEM TABLAS'!$B$4:$D$23,3,FALSE),0)+IF(AND(L361="Cafco 300",J361&gt;=95,J361&lt;=400,G361=3,C361="IN",I361=90),VLOOKUP(T361,'CAFCO 300 IDIEM TABLAS'!$F$4:$H$35,2,FALSE),0)+IF(AND(L361="Cafco 300",J361&gt;=95,J361&lt;=400,G361=3,C361="IN",I361=120),VLOOKUP(T361,'CAFCO 300 IDIEM TABLAS'!$F$4:$H$35,3,FALSE),0)+IF(AND(L361="Cafco 300",J361&gt;=95,J361&lt;=450,G361=4,C361="IN",I361=90),VLOOKUP(T361,'CAFCO 300 IDIEM TABLAS'!$J$4:$L$40,2,FALSE),0)+IF(AND(L361="Cafco 300",J361&gt;=95,J361&lt;=450,G361=4,C361="IN",I361=120),VLOOKUP(T361,'CAFCO 300 IDIEM TABLAS'!$J$4:$L$40,3,FALSE),0)+IF(AND(M361="Ensayo Idiem",L361="Cafco 400",C361="IN",G361=4,I361=90),VLOOKUP(T361,'CAFCO 400 ENSAYO'!$B$7:$D$43,2,FALSE),0)+IF(AND(M361="Ensayo Idiem",L361="Cafco 400",C361="IN",G361=4,I361=120),VLOOKUP(T361,'CAFCO 400 ENSAYO'!$B$7:$D$43,3,FALSE),0)</f>
        <v>0</v>
      </c>
      <c r="O361" s="96">
        <f t="shared" si="39"/>
        <v>0</v>
      </c>
      <c r="P361" s="95" t="str">
        <f t="shared" si="40"/>
        <v>N/A</v>
      </c>
      <c r="Q361" s="95" t="str">
        <f t="shared" si="41"/>
        <v>N/A</v>
      </c>
      <c r="R361" s="95" t="str">
        <f t="shared" si="42"/>
        <v>NO CERT.</v>
      </c>
      <c r="S361" s="95" t="e">
        <f t="shared" si="37"/>
        <v>#N/A</v>
      </c>
      <c r="T361" s="119" t="e">
        <f>+IF(J361=LOOKUP(J361,'CAFCO 300 IDIEM TABLAS'!$J$4:$J$40),'CALCULO MORTERO'!J361,MROUND('CALCULO MORTERO'!J361,10))</f>
        <v>#N/A</v>
      </c>
      <c r="U361" s="118">
        <f t="shared" si="38"/>
        <v>0</v>
      </c>
      <c r="Y361" s="4"/>
      <c r="Z361" s="4"/>
      <c r="AA361" s="4"/>
    </row>
    <row r="362" spans="1:27" ht="15.6" customHeight="1" x14ac:dyDescent="0.25">
      <c r="A362" s="118">
        <f>+CUBICACION!D356</f>
        <v>0</v>
      </c>
      <c r="B362" s="819">
        <f>+CUBICACION!E356</f>
        <v>0</v>
      </c>
      <c r="C362" s="675">
        <f>+CUBICACION!F356</f>
        <v>0</v>
      </c>
      <c r="D362" s="118"/>
      <c r="E362" s="118"/>
      <c r="F362" s="820"/>
      <c r="G362" s="675">
        <f>+CUBICACION!J356</f>
        <v>0</v>
      </c>
      <c r="H362" s="118"/>
      <c r="I362" s="821">
        <f>+CUBICACION!L356</f>
        <v>0</v>
      </c>
      <c r="J362" s="64">
        <f>+CUBICACION!M356</f>
        <v>0</v>
      </c>
      <c r="K362" s="822" t="str">
        <f>+CUBICACION!N356</f>
        <v/>
      </c>
      <c r="L362" s="118">
        <f>+CUBICACION!O356</f>
        <v>0</v>
      </c>
      <c r="M362" s="823">
        <f>+CUBICACION!P356</f>
        <v>0</v>
      </c>
      <c r="N362" s="902">
        <f>ROUND(IF(AND(L362="Blaze Shield II",M362="Software Idiem",C362="IN",G362=4),((('BLAZE SHIELD II'!$D$4*('CALCULO MORTERO'!I362^2)+'BLAZE SHIELD II'!$D$5*'CALCULO MORTERO'!I362+'BLAZE SHIELD II'!$D$6)*LN(J362))+('BLAZE SHIELD II'!$D$7*('CALCULO MORTERO'!I362^2)+'BLAZE SHIELD II'!$D$8*'CALCULO MORTERO'!I362+'BLAZE SHIELD II'!$D$9)),0)+IF(AND(L362="Blaze Shield II",M362="Software Idiem",C362="Cj"),((('BLAZE SHIELD II'!$H$4*('CALCULO MORTERO'!I362^2)+'BLAZE SHIELD II'!$H$5*'CALCULO MORTERO'!I362+'BLAZE SHIELD II'!$H$6)*LN(J362))+('BLAZE SHIELD II'!$H$7*('CALCULO MORTERO'!I362^2)+'BLAZE SHIELD II'!$H$8*'CALCULO MORTERO'!I362+'BLAZE SHIELD II'!$H$9)),0)+IF(AND(L362="Blaze Shield II",M362="Software Idiem",C362="C"),((('BLAZE SHIELD II'!$L$4*('CALCULO MORTERO'!I362^2)+'BLAZE SHIELD II'!$L$5*'CALCULO MORTERO'!I362+'BLAZE SHIELD II'!$L$6)*LN(J362))+('BLAZE SHIELD II'!$L$7*('CALCULO MORTERO'!I362^2)+'BLAZE SHIELD II'!$L$8*'CALCULO MORTERO'!I362+'BLAZE SHIELD II'!$L$9)),0)+IF(AND(L362="Blaze Shield II",M362="Software Idiem",C362="L"),((('BLAZE SHIELD II'!$L$4*('CALCULO MORTERO'!I362^2)+'BLAZE SHIELD II'!$L$5*'CALCULO MORTERO'!I362+'BLAZE SHIELD II'!$L$6)*LN(J362))+('BLAZE SHIELD II'!$L$7*('CALCULO MORTERO'!I362^2)+'BLAZE SHIELD II'!$L$8*'CALCULO MORTERO'!I362+'BLAZE SHIELD II'!$L$9)),0)+IF(AND(L362="Blaze Shield II",M362="Software Idiem",C362="IN",G362=3),((('BLAZE SHIELD II'!$H$14*('CALCULO MORTERO'!I362^2)+'BLAZE SHIELD II'!$H$15*'CALCULO MORTERO'!I362+'BLAZE SHIELD II'!$H$16)*LN(J362))+('BLAZE SHIELD II'!$H$17*('CALCULO MORTERO'!I362^2)+'BLAZE SHIELD II'!$H$18*'CALCULO MORTERO'!I362+'BLAZE SHIELD II'!$H$19)),0),0)+ROUND(IF(AND(L362="Cafco 400",M362="Software Idiem",C362="IN",G362=4),((('CAFCO 400 '!$H$7*(J362^4)+'CAFCO 400 '!$H$8*(J362^3)+'CAFCO 400 '!$H$9*(J362^2)+'CAFCO 400 '!$H$10*J362+'CAFCO 400 '!$H$11)*U362^2)+(('CAFCO 400 '!$H$12*(J362^3)+'CAFCO 400 '!$H$13*(J362^2)+'CAFCO 400 '!$H$14*J362+'CAFCO 400 '!$H$15)*U362)+('CAFCO 400 '!$H$16*(J362^2)+'CAFCO 400 '!$H$17*J362+'CAFCO 400 '!$H$18)),0)+IF(AND(L362="Cafco 400",M362="Software Idiem",C362="Cj"),(((('CAFCO 400 '!$D$7*LN(J362)+'CAFCO 400 '!$D$8)*U362^2)+(('CAFCO 400 '!$D$9*LN(J362)+'CAFCO 400 '!$D$10)*U362)+('CAFCO 400 '!$D$11*LN(J362)+'CAFCO 400 '!$D$12))),0)+IF(AND(L362="Cafco 400",M362="Software Idiem",C362="C"),((('CAFCO 400 '!$L$7*(J362^3)+'CAFCO 400 '!$L$8*(J362^2)+'CAFCO 400 '!$L$9*J362+'CAFCO 400 '!$L$10)*U362^2)+(('CAFCO 400 '!$L$11*(J362^3)+'CAFCO 400 '!$L$12*(J362^2)+'CAFCO 400 '!$L$13*J362+'CAFCO 400 '!$L$14)*U362)+('CAFCO 400 '!$L$15*LN(J362)+'CAFCO 400 '!$L$16)),0)+IF(AND(L362="Cafco 400",M362="Software Idiem",C362="L"),((('CAFCO 400 '!$L$7*(J362^3)+'CAFCO 400 '!$L$8*(J362^2)+'CAFCO 400 '!$L$9*J362+'CAFCO 400 '!$L$10)*U362^2)+(('CAFCO 400 '!$L$11*(J362^3)+'CAFCO 400 '!$L$12*(J362^2)+'CAFCO 400 '!$L$13*J362+'CAFCO 400 '!$L$14)*U362)+('CAFCO 400 '!$L$15*LN(J362)+'CAFCO 400 '!$L$16)),0)+IF(AND(L362="Cafco 400",M362="Software Idiem",C362="IN",G362=3),((('CAFCO 400 '!$D$23*(J362^2)+'CAFCO 400 '!$D$24*(J362)+'CAFCO 400 '!$D$25)*U362^2)+(('CAFCO 400 '!$D$26*(J362^2)+'CAFCO 400 '!$D$27*J362+'CAFCO 400 '!$D$28)*U362)+('CAFCO 400 '!$D$29*(J362^2)+'CAFCO 400 '!$D$30*J362+'CAFCO 400 '!$D$31)),0),0)+IF(AND(L362="Cafco 300",J362&gt;=95,J362&lt;=240,C362="Cj",I362=90),VLOOKUP(T362,'CAFCO 300 IDIEM TABLAS'!$B$4:$D$23,2,FALSE),0)+IF(AND(L362="Cafco 300",J362&gt;=95,J362&lt;=240,C362="Cj",I362=120),VLOOKUP(T362,'CAFCO 300 IDIEM TABLAS'!$B$4:$D$23,3,FALSE),0)+IF(AND(L362="Cafco 300",J362&gt;=95,J362&lt;=400,G362=3,C362="IN",I362=90),VLOOKUP(T362,'CAFCO 300 IDIEM TABLAS'!$F$4:$H$35,2,FALSE),0)+IF(AND(L362="Cafco 300",J362&gt;=95,J362&lt;=400,G362=3,C362="IN",I362=120),VLOOKUP(T362,'CAFCO 300 IDIEM TABLAS'!$F$4:$H$35,3,FALSE),0)+IF(AND(L362="Cafco 300",J362&gt;=95,J362&lt;=450,G362=4,C362="IN",I362=90),VLOOKUP(T362,'CAFCO 300 IDIEM TABLAS'!$J$4:$L$40,2,FALSE),0)+IF(AND(L362="Cafco 300",J362&gt;=95,J362&lt;=450,G362=4,C362="IN",I362=120),VLOOKUP(T362,'CAFCO 300 IDIEM TABLAS'!$J$4:$L$40,3,FALSE),0)+IF(AND(M362="Ensayo Idiem",L362="Cafco 400",C362="IN",G362=4,I362=90),VLOOKUP(T362,'CAFCO 400 ENSAYO'!$B$7:$D$43,2,FALSE),0)+IF(AND(M362="Ensayo Idiem",L362="Cafco 400",C362="IN",G362=4,I362=120),VLOOKUP(T362,'CAFCO 400 ENSAYO'!$B$7:$D$43,3,FALSE),0)</f>
        <v>0</v>
      </c>
      <c r="O362" s="96">
        <f t="shared" si="39"/>
        <v>0</v>
      </c>
      <c r="P362" s="95" t="str">
        <f t="shared" si="40"/>
        <v>N/A</v>
      </c>
      <c r="Q362" s="95" t="str">
        <f t="shared" si="41"/>
        <v>N/A</v>
      </c>
      <c r="R362" s="95" t="str">
        <f t="shared" si="42"/>
        <v>NO CERT.</v>
      </c>
      <c r="S362" s="95" t="e">
        <f t="shared" si="37"/>
        <v>#N/A</v>
      </c>
      <c r="T362" s="119" t="e">
        <f>+IF(J362=LOOKUP(J362,'CAFCO 300 IDIEM TABLAS'!$J$4:$J$40),'CALCULO MORTERO'!J362,MROUND('CALCULO MORTERO'!J362,10))</f>
        <v>#N/A</v>
      </c>
      <c r="U362" s="118">
        <f t="shared" si="38"/>
        <v>0</v>
      </c>
      <c r="Y362" s="4"/>
      <c r="Z362" s="4"/>
      <c r="AA362" s="4"/>
    </row>
    <row r="363" spans="1:27" x14ac:dyDescent="0.25">
      <c r="A363" s="118">
        <f>+CUBICACION!D357</f>
        <v>0</v>
      </c>
      <c r="B363" s="819">
        <f>+CUBICACION!E357</f>
        <v>0</v>
      </c>
      <c r="C363" s="675">
        <f>+CUBICACION!F357</f>
        <v>0</v>
      </c>
      <c r="D363" s="118"/>
      <c r="E363" s="118"/>
      <c r="F363" s="820"/>
      <c r="G363" s="675">
        <f>+CUBICACION!J357</f>
        <v>0</v>
      </c>
      <c r="H363" s="118"/>
      <c r="I363" s="821">
        <f>+CUBICACION!L357</f>
        <v>0</v>
      </c>
      <c r="J363" s="64">
        <f>+CUBICACION!M357</f>
        <v>0</v>
      </c>
      <c r="K363" s="822" t="str">
        <f>+CUBICACION!N357</f>
        <v/>
      </c>
      <c r="L363" s="118">
        <f>+CUBICACION!O357</f>
        <v>0</v>
      </c>
      <c r="M363" s="823">
        <f>+CUBICACION!P357</f>
        <v>0</v>
      </c>
      <c r="N363" s="902">
        <f>ROUND(IF(AND(L363="Blaze Shield II",M363="Software Idiem",C363="IN",G363=4),((('BLAZE SHIELD II'!$D$4*('CALCULO MORTERO'!I363^2)+'BLAZE SHIELD II'!$D$5*'CALCULO MORTERO'!I363+'BLAZE SHIELD II'!$D$6)*LN(J363))+('BLAZE SHIELD II'!$D$7*('CALCULO MORTERO'!I363^2)+'BLAZE SHIELD II'!$D$8*'CALCULO MORTERO'!I363+'BLAZE SHIELD II'!$D$9)),0)+IF(AND(L363="Blaze Shield II",M363="Software Idiem",C363="Cj"),((('BLAZE SHIELD II'!$H$4*('CALCULO MORTERO'!I363^2)+'BLAZE SHIELD II'!$H$5*'CALCULO MORTERO'!I363+'BLAZE SHIELD II'!$H$6)*LN(J363))+('BLAZE SHIELD II'!$H$7*('CALCULO MORTERO'!I363^2)+'BLAZE SHIELD II'!$H$8*'CALCULO MORTERO'!I363+'BLAZE SHIELD II'!$H$9)),0)+IF(AND(L363="Blaze Shield II",M363="Software Idiem",C363="C"),((('BLAZE SHIELD II'!$L$4*('CALCULO MORTERO'!I363^2)+'BLAZE SHIELD II'!$L$5*'CALCULO MORTERO'!I363+'BLAZE SHIELD II'!$L$6)*LN(J363))+('BLAZE SHIELD II'!$L$7*('CALCULO MORTERO'!I363^2)+'BLAZE SHIELD II'!$L$8*'CALCULO MORTERO'!I363+'BLAZE SHIELD II'!$L$9)),0)+IF(AND(L363="Blaze Shield II",M363="Software Idiem",C363="L"),((('BLAZE SHIELD II'!$L$4*('CALCULO MORTERO'!I363^2)+'BLAZE SHIELD II'!$L$5*'CALCULO MORTERO'!I363+'BLAZE SHIELD II'!$L$6)*LN(J363))+('BLAZE SHIELD II'!$L$7*('CALCULO MORTERO'!I363^2)+'BLAZE SHIELD II'!$L$8*'CALCULO MORTERO'!I363+'BLAZE SHIELD II'!$L$9)),0)+IF(AND(L363="Blaze Shield II",M363="Software Idiem",C363="IN",G363=3),((('BLAZE SHIELD II'!$H$14*('CALCULO MORTERO'!I363^2)+'BLAZE SHIELD II'!$H$15*'CALCULO MORTERO'!I363+'BLAZE SHIELD II'!$H$16)*LN(J363))+('BLAZE SHIELD II'!$H$17*('CALCULO MORTERO'!I363^2)+'BLAZE SHIELD II'!$H$18*'CALCULO MORTERO'!I363+'BLAZE SHIELD II'!$H$19)),0),0)+ROUND(IF(AND(L363="Cafco 400",M363="Software Idiem",C363="IN",G363=4),((('CAFCO 400 '!$H$7*(J363^4)+'CAFCO 400 '!$H$8*(J363^3)+'CAFCO 400 '!$H$9*(J363^2)+'CAFCO 400 '!$H$10*J363+'CAFCO 400 '!$H$11)*U363^2)+(('CAFCO 400 '!$H$12*(J363^3)+'CAFCO 400 '!$H$13*(J363^2)+'CAFCO 400 '!$H$14*J363+'CAFCO 400 '!$H$15)*U363)+('CAFCO 400 '!$H$16*(J363^2)+'CAFCO 400 '!$H$17*J363+'CAFCO 400 '!$H$18)),0)+IF(AND(L363="Cafco 400",M363="Software Idiem",C363="Cj"),(((('CAFCO 400 '!$D$7*LN(J363)+'CAFCO 400 '!$D$8)*U363^2)+(('CAFCO 400 '!$D$9*LN(J363)+'CAFCO 400 '!$D$10)*U363)+('CAFCO 400 '!$D$11*LN(J363)+'CAFCO 400 '!$D$12))),0)+IF(AND(L363="Cafco 400",M363="Software Idiem",C363="C"),((('CAFCO 400 '!$L$7*(J363^3)+'CAFCO 400 '!$L$8*(J363^2)+'CAFCO 400 '!$L$9*J363+'CAFCO 400 '!$L$10)*U363^2)+(('CAFCO 400 '!$L$11*(J363^3)+'CAFCO 400 '!$L$12*(J363^2)+'CAFCO 400 '!$L$13*J363+'CAFCO 400 '!$L$14)*U363)+('CAFCO 400 '!$L$15*LN(J363)+'CAFCO 400 '!$L$16)),0)+IF(AND(L363="Cafco 400",M363="Software Idiem",C363="L"),((('CAFCO 400 '!$L$7*(J363^3)+'CAFCO 400 '!$L$8*(J363^2)+'CAFCO 400 '!$L$9*J363+'CAFCO 400 '!$L$10)*U363^2)+(('CAFCO 400 '!$L$11*(J363^3)+'CAFCO 400 '!$L$12*(J363^2)+'CAFCO 400 '!$L$13*J363+'CAFCO 400 '!$L$14)*U363)+('CAFCO 400 '!$L$15*LN(J363)+'CAFCO 400 '!$L$16)),0)+IF(AND(L363="Cafco 400",M363="Software Idiem",C363="IN",G363=3),((('CAFCO 400 '!$D$23*(J363^2)+'CAFCO 400 '!$D$24*(J363)+'CAFCO 400 '!$D$25)*U363^2)+(('CAFCO 400 '!$D$26*(J363^2)+'CAFCO 400 '!$D$27*J363+'CAFCO 400 '!$D$28)*U363)+('CAFCO 400 '!$D$29*(J363^2)+'CAFCO 400 '!$D$30*J363+'CAFCO 400 '!$D$31)),0),0)+IF(AND(L363="Cafco 300",J363&gt;=95,J363&lt;=240,C363="Cj",I363=90),VLOOKUP(T363,'CAFCO 300 IDIEM TABLAS'!$B$4:$D$23,2,FALSE),0)+IF(AND(L363="Cafco 300",J363&gt;=95,J363&lt;=240,C363="Cj",I363=120),VLOOKUP(T363,'CAFCO 300 IDIEM TABLAS'!$B$4:$D$23,3,FALSE),0)+IF(AND(L363="Cafco 300",J363&gt;=95,J363&lt;=400,G363=3,C363="IN",I363=90),VLOOKUP(T363,'CAFCO 300 IDIEM TABLAS'!$F$4:$H$35,2,FALSE),0)+IF(AND(L363="Cafco 300",J363&gt;=95,J363&lt;=400,G363=3,C363="IN",I363=120),VLOOKUP(T363,'CAFCO 300 IDIEM TABLAS'!$F$4:$H$35,3,FALSE),0)+IF(AND(L363="Cafco 300",J363&gt;=95,J363&lt;=450,G363=4,C363="IN",I363=90),VLOOKUP(T363,'CAFCO 300 IDIEM TABLAS'!$J$4:$L$40,2,FALSE),0)+IF(AND(L363="Cafco 300",J363&gt;=95,J363&lt;=450,G363=4,C363="IN",I363=120),VLOOKUP(T363,'CAFCO 300 IDIEM TABLAS'!$J$4:$L$40,3,FALSE),0)+IF(AND(M363="Ensayo Idiem",L363="Cafco 400",C363="IN",G363=4,I363=90),VLOOKUP(T363,'CAFCO 400 ENSAYO'!$B$7:$D$43,2,FALSE),0)+IF(AND(M363="Ensayo Idiem",L363="Cafco 400",C363="IN",G363=4,I363=120),VLOOKUP(T363,'CAFCO 400 ENSAYO'!$B$7:$D$43,3,FALSE),0)</f>
        <v>0</v>
      </c>
      <c r="O363" s="96">
        <f t="shared" si="39"/>
        <v>0</v>
      </c>
      <c r="P363" s="95" t="str">
        <f t="shared" si="40"/>
        <v>N/A</v>
      </c>
      <c r="Q363" s="95" t="str">
        <f t="shared" si="41"/>
        <v>N/A</v>
      </c>
      <c r="R363" s="95" t="str">
        <f t="shared" si="42"/>
        <v>NO CERT.</v>
      </c>
      <c r="S363" s="95" t="e">
        <f t="shared" si="37"/>
        <v>#N/A</v>
      </c>
      <c r="T363" s="119" t="e">
        <f>+IF(J363=LOOKUP(J363,'CAFCO 300 IDIEM TABLAS'!$J$4:$J$40),'CALCULO MORTERO'!J363,MROUND('CALCULO MORTERO'!J363,10))</f>
        <v>#N/A</v>
      </c>
      <c r="U363" s="118">
        <f t="shared" si="38"/>
        <v>0</v>
      </c>
      <c r="Y363" s="4"/>
      <c r="Z363" s="4"/>
      <c r="AA363" s="4"/>
    </row>
    <row r="364" spans="1:27" ht="15.6" customHeight="1" x14ac:dyDescent="0.25">
      <c r="A364" s="118">
        <f>+CUBICACION!D358</f>
        <v>0</v>
      </c>
      <c r="B364" s="819">
        <f>+CUBICACION!E358</f>
        <v>0</v>
      </c>
      <c r="C364" s="675">
        <f>+CUBICACION!F358</f>
        <v>0</v>
      </c>
      <c r="D364" s="118"/>
      <c r="E364" s="118"/>
      <c r="F364" s="820"/>
      <c r="G364" s="675">
        <f>+CUBICACION!J358</f>
        <v>0</v>
      </c>
      <c r="H364" s="118"/>
      <c r="I364" s="821">
        <f>+CUBICACION!L358</f>
        <v>0</v>
      </c>
      <c r="J364" s="64">
        <f>+CUBICACION!M358</f>
        <v>0</v>
      </c>
      <c r="K364" s="822" t="str">
        <f>+CUBICACION!N358</f>
        <v/>
      </c>
      <c r="L364" s="118">
        <f>+CUBICACION!O358</f>
        <v>0</v>
      </c>
      <c r="M364" s="823">
        <f>+CUBICACION!P358</f>
        <v>0</v>
      </c>
      <c r="N364" s="902">
        <f>ROUND(IF(AND(L364="Blaze Shield II",M364="Software Idiem",C364="IN",G364=4),((('BLAZE SHIELD II'!$D$4*('CALCULO MORTERO'!I364^2)+'BLAZE SHIELD II'!$D$5*'CALCULO MORTERO'!I364+'BLAZE SHIELD II'!$D$6)*LN(J364))+('BLAZE SHIELD II'!$D$7*('CALCULO MORTERO'!I364^2)+'BLAZE SHIELD II'!$D$8*'CALCULO MORTERO'!I364+'BLAZE SHIELD II'!$D$9)),0)+IF(AND(L364="Blaze Shield II",M364="Software Idiem",C364="Cj"),((('BLAZE SHIELD II'!$H$4*('CALCULO MORTERO'!I364^2)+'BLAZE SHIELD II'!$H$5*'CALCULO MORTERO'!I364+'BLAZE SHIELD II'!$H$6)*LN(J364))+('BLAZE SHIELD II'!$H$7*('CALCULO MORTERO'!I364^2)+'BLAZE SHIELD II'!$H$8*'CALCULO MORTERO'!I364+'BLAZE SHIELD II'!$H$9)),0)+IF(AND(L364="Blaze Shield II",M364="Software Idiem",C364="C"),((('BLAZE SHIELD II'!$L$4*('CALCULO MORTERO'!I364^2)+'BLAZE SHIELD II'!$L$5*'CALCULO MORTERO'!I364+'BLAZE SHIELD II'!$L$6)*LN(J364))+('BLAZE SHIELD II'!$L$7*('CALCULO MORTERO'!I364^2)+'BLAZE SHIELD II'!$L$8*'CALCULO MORTERO'!I364+'BLAZE SHIELD II'!$L$9)),0)+IF(AND(L364="Blaze Shield II",M364="Software Idiem",C364="L"),((('BLAZE SHIELD II'!$L$4*('CALCULO MORTERO'!I364^2)+'BLAZE SHIELD II'!$L$5*'CALCULO MORTERO'!I364+'BLAZE SHIELD II'!$L$6)*LN(J364))+('BLAZE SHIELD II'!$L$7*('CALCULO MORTERO'!I364^2)+'BLAZE SHIELD II'!$L$8*'CALCULO MORTERO'!I364+'BLAZE SHIELD II'!$L$9)),0)+IF(AND(L364="Blaze Shield II",M364="Software Idiem",C364="IN",G364=3),((('BLAZE SHIELD II'!$H$14*('CALCULO MORTERO'!I364^2)+'BLAZE SHIELD II'!$H$15*'CALCULO MORTERO'!I364+'BLAZE SHIELD II'!$H$16)*LN(J364))+('BLAZE SHIELD II'!$H$17*('CALCULO MORTERO'!I364^2)+'BLAZE SHIELD II'!$H$18*'CALCULO MORTERO'!I364+'BLAZE SHIELD II'!$H$19)),0),0)+ROUND(IF(AND(L364="Cafco 400",M364="Software Idiem",C364="IN",G364=4),((('CAFCO 400 '!$H$7*(J364^4)+'CAFCO 400 '!$H$8*(J364^3)+'CAFCO 400 '!$H$9*(J364^2)+'CAFCO 400 '!$H$10*J364+'CAFCO 400 '!$H$11)*U364^2)+(('CAFCO 400 '!$H$12*(J364^3)+'CAFCO 400 '!$H$13*(J364^2)+'CAFCO 400 '!$H$14*J364+'CAFCO 400 '!$H$15)*U364)+('CAFCO 400 '!$H$16*(J364^2)+'CAFCO 400 '!$H$17*J364+'CAFCO 400 '!$H$18)),0)+IF(AND(L364="Cafco 400",M364="Software Idiem",C364="Cj"),(((('CAFCO 400 '!$D$7*LN(J364)+'CAFCO 400 '!$D$8)*U364^2)+(('CAFCO 400 '!$D$9*LN(J364)+'CAFCO 400 '!$D$10)*U364)+('CAFCO 400 '!$D$11*LN(J364)+'CAFCO 400 '!$D$12))),0)+IF(AND(L364="Cafco 400",M364="Software Idiem",C364="C"),((('CAFCO 400 '!$L$7*(J364^3)+'CAFCO 400 '!$L$8*(J364^2)+'CAFCO 400 '!$L$9*J364+'CAFCO 400 '!$L$10)*U364^2)+(('CAFCO 400 '!$L$11*(J364^3)+'CAFCO 400 '!$L$12*(J364^2)+'CAFCO 400 '!$L$13*J364+'CAFCO 400 '!$L$14)*U364)+('CAFCO 400 '!$L$15*LN(J364)+'CAFCO 400 '!$L$16)),0)+IF(AND(L364="Cafco 400",M364="Software Idiem",C364="L"),((('CAFCO 400 '!$L$7*(J364^3)+'CAFCO 400 '!$L$8*(J364^2)+'CAFCO 400 '!$L$9*J364+'CAFCO 400 '!$L$10)*U364^2)+(('CAFCO 400 '!$L$11*(J364^3)+'CAFCO 400 '!$L$12*(J364^2)+'CAFCO 400 '!$L$13*J364+'CAFCO 400 '!$L$14)*U364)+('CAFCO 400 '!$L$15*LN(J364)+'CAFCO 400 '!$L$16)),0)+IF(AND(L364="Cafco 400",M364="Software Idiem",C364="IN",G364=3),((('CAFCO 400 '!$D$23*(J364^2)+'CAFCO 400 '!$D$24*(J364)+'CAFCO 400 '!$D$25)*U364^2)+(('CAFCO 400 '!$D$26*(J364^2)+'CAFCO 400 '!$D$27*J364+'CAFCO 400 '!$D$28)*U364)+('CAFCO 400 '!$D$29*(J364^2)+'CAFCO 400 '!$D$30*J364+'CAFCO 400 '!$D$31)),0),0)+IF(AND(L364="Cafco 300",J364&gt;=95,J364&lt;=240,C364="Cj",I364=90),VLOOKUP(T364,'CAFCO 300 IDIEM TABLAS'!$B$4:$D$23,2,FALSE),0)+IF(AND(L364="Cafco 300",J364&gt;=95,J364&lt;=240,C364="Cj",I364=120),VLOOKUP(T364,'CAFCO 300 IDIEM TABLAS'!$B$4:$D$23,3,FALSE),0)+IF(AND(L364="Cafco 300",J364&gt;=95,J364&lt;=400,G364=3,C364="IN",I364=90),VLOOKUP(T364,'CAFCO 300 IDIEM TABLAS'!$F$4:$H$35,2,FALSE),0)+IF(AND(L364="Cafco 300",J364&gt;=95,J364&lt;=400,G364=3,C364="IN",I364=120),VLOOKUP(T364,'CAFCO 300 IDIEM TABLAS'!$F$4:$H$35,3,FALSE),0)+IF(AND(L364="Cafco 300",J364&gt;=95,J364&lt;=450,G364=4,C364="IN",I364=90),VLOOKUP(T364,'CAFCO 300 IDIEM TABLAS'!$J$4:$L$40,2,FALSE),0)+IF(AND(L364="Cafco 300",J364&gt;=95,J364&lt;=450,G364=4,C364="IN",I364=120),VLOOKUP(T364,'CAFCO 300 IDIEM TABLAS'!$J$4:$L$40,3,FALSE),0)+IF(AND(M364="Ensayo Idiem",L364="Cafco 400",C364="IN",G364=4,I364=90),VLOOKUP(T364,'CAFCO 400 ENSAYO'!$B$7:$D$43,2,FALSE),0)+IF(AND(M364="Ensayo Idiem",L364="Cafco 400",C364="IN",G364=4,I364=120),VLOOKUP(T364,'CAFCO 400 ENSAYO'!$B$7:$D$43,3,FALSE),0)</f>
        <v>0</v>
      </c>
      <c r="O364" s="96">
        <f t="shared" si="39"/>
        <v>0</v>
      </c>
      <c r="P364" s="95" t="str">
        <f t="shared" si="40"/>
        <v>N/A</v>
      </c>
      <c r="Q364" s="95" t="str">
        <f t="shared" si="41"/>
        <v>N/A</v>
      </c>
      <c r="R364" s="95" t="str">
        <f t="shared" si="42"/>
        <v>NO CERT.</v>
      </c>
      <c r="S364" s="95" t="e">
        <f t="shared" si="37"/>
        <v>#N/A</v>
      </c>
      <c r="T364" s="119" t="e">
        <f>+IF(J364=LOOKUP(J364,'CAFCO 300 IDIEM TABLAS'!$J$4:$J$40),'CALCULO MORTERO'!J364,MROUND('CALCULO MORTERO'!J364,10))</f>
        <v>#N/A</v>
      </c>
      <c r="U364" s="118">
        <f t="shared" si="38"/>
        <v>0</v>
      </c>
      <c r="Y364" s="4"/>
      <c r="Z364" s="4"/>
      <c r="AA364" s="4"/>
    </row>
    <row r="365" spans="1:27" x14ac:dyDescent="0.25">
      <c r="A365" s="118">
        <f>+CUBICACION!D359</f>
        <v>0</v>
      </c>
      <c r="B365" s="819">
        <f>+CUBICACION!E359</f>
        <v>0</v>
      </c>
      <c r="C365" s="675">
        <f>+CUBICACION!F359</f>
        <v>0</v>
      </c>
      <c r="D365" s="118"/>
      <c r="E365" s="118"/>
      <c r="F365" s="820"/>
      <c r="G365" s="675">
        <f>+CUBICACION!J359</f>
        <v>0</v>
      </c>
      <c r="H365" s="118"/>
      <c r="I365" s="821">
        <f>+CUBICACION!L359</f>
        <v>0</v>
      </c>
      <c r="J365" s="64">
        <f>+CUBICACION!M359</f>
        <v>0</v>
      </c>
      <c r="K365" s="822" t="str">
        <f>+CUBICACION!N359</f>
        <v/>
      </c>
      <c r="L365" s="118">
        <f>+CUBICACION!O359</f>
        <v>0</v>
      </c>
      <c r="M365" s="823">
        <f>+CUBICACION!P359</f>
        <v>0</v>
      </c>
      <c r="N365" s="902">
        <f>ROUND(IF(AND(L365="Blaze Shield II",M365="Software Idiem",C365="IN",G365=4),((('BLAZE SHIELD II'!$D$4*('CALCULO MORTERO'!I365^2)+'BLAZE SHIELD II'!$D$5*'CALCULO MORTERO'!I365+'BLAZE SHIELD II'!$D$6)*LN(J365))+('BLAZE SHIELD II'!$D$7*('CALCULO MORTERO'!I365^2)+'BLAZE SHIELD II'!$D$8*'CALCULO MORTERO'!I365+'BLAZE SHIELD II'!$D$9)),0)+IF(AND(L365="Blaze Shield II",M365="Software Idiem",C365="Cj"),((('BLAZE SHIELD II'!$H$4*('CALCULO MORTERO'!I365^2)+'BLAZE SHIELD II'!$H$5*'CALCULO MORTERO'!I365+'BLAZE SHIELD II'!$H$6)*LN(J365))+('BLAZE SHIELD II'!$H$7*('CALCULO MORTERO'!I365^2)+'BLAZE SHIELD II'!$H$8*'CALCULO MORTERO'!I365+'BLAZE SHIELD II'!$H$9)),0)+IF(AND(L365="Blaze Shield II",M365="Software Idiem",C365="C"),((('BLAZE SHIELD II'!$L$4*('CALCULO MORTERO'!I365^2)+'BLAZE SHIELD II'!$L$5*'CALCULO MORTERO'!I365+'BLAZE SHIELD II'!$L$6)*LN(J365))+('BLAZE SHIELD II'!$L$7*('CALCULO MORTERO'!I365^2)+'BLAZE SHIELD II'!$L$8*'CALCULO MORTERO'!I365+'BLAZE SHIELD II'!$L$9)),0)+IF(AND(L365="Blaze Shield II",M365="Software Idiem",C365="L"),((('BLAZE SHIELD II'!$L$4*('CALCULO MORTERO'!I365^2)+'BLAZE SHIELD II'!$L$5*'CALCULO MORTERO'!I365+'BLAZE SHIELD II'!$L$6)*LN(J365))+('BLAZE SHIELD II'!$L$7*('CALCULO MORTERO'!I365^2)+'BLAZE SHIELD II'!$L$8*'CALCULO MORTERO'!I365+'BLAZE SHIELD II'!$L$9)),0)+IF(AND(L365="Blaze Shield II",M365="Software Idiem",C365="IN",G365=3),((('BLAZE SHIELD II'!$H$14*('CALCULO MORTERO'!I365^2)+'BLAZE SHIELD II'!$H$15*'CALCULO MORTERO'!I365+'BLAZE SHIELD II'!$H$16)*LN(J365))+('BLAZE SHIELD II'!$H$17*('CALCULO MORTERO'!I365^2)+'BLAZE SHIELD II'!$H$18*'CALCULO MORTERO'!I365+'BLAZE SHIELD II'!$H$19)),0),0)+ROUND(IF(AND(L365="Cafco 400",M365="Software Idiem",C365="IN",G365=4),((('CAFCO 400 '!$H$7*(J365^4)+'CAFCO 400 '!$H$8*(J365^3)+'CAFCO 400 '!$H$9*(J365^2)+'CAFCO 400 '!$H$10*J365+'CAFCO 400 '!$H$11)*U365^2)+(('CAFCO 400 '!$H$12*(J365^3)+'CAFCO 400 '!$H$13*(J365^2)+'CAFCO 400 '!$H$14*J365+'CAFCO 400 '!$H$15)*U365)+('CAFCO 400 '!$H$16*(J365^2)+'CAFCO 400 '!$H$17*J365+'CAFCO 400 '!$H$18)),0)+IF(AND(L365="Cafco 400",M365="Software Idiem",C365="Cj"),(((('CAFCO 400 '!$D$7*LN(J365)+'CAFCO 400 '!$D$8)*U365^2)+(('CAFCO 400 '!$D$9*LN(J365)+'CAFCO 400 '!$D$10)*U365)+('CAFCO 400 '!$D$11*LN(J365)+'CAFCO 400 '!$D$12))),0)+IF(AND(L365="Cafco 400",M365="Software Idiem",C365="C"),((('CAFCO 400 '!$L$7*(J365^3)+'CAFCO 400 '!$L$8*(J365^2)+'CAFCO 400 '!$L$9*J365+'CAFCO 400 '!$L$10)*U365^2)+(('CAFCO 400 '!$L$11*(J365^3)+'CAFCO 400 '!$L$12*(J365^2)+'CAFCO 400 '!$L$13*J365+'CAFCO 400 '!$L$14)*U365)+('CAFCO 400 '!$L$15*LN(J365)+'CAFCO 400 '!$L$16)),0)+IF(AND(L365="Cafco 400",M365="Software Idiem",C365="L"),((('CAFCO 400 '!$L$7*(J365^3)+'CAFCO 400 '!$L$8*(J365^2)+'CAFCO 400 '!$L$9*J365+'CAFCO 400 '!$L$10)*U365^2)+(('CAFCO 400 '!$L$11*(J365^3)+'CAFCO 400 '!$L$12*(J365^2)+'CAFCO 400 '!$L$13*J365+'CAFCO 400 '!$L$14)*U365)+('CAFCO 400 '!$L$15*LN(J365)+'CAFCO 400 '!$L$16)),0)+IF(AND(L365="Cafco 400",M365="Software Idiem",C365="IN",G365=3),((('CAFCO 400 '!$D$23*(J365^2)+'CAFCO 400 '!$D$24*(J365)+'CAFCO 400 '!$D$25)*U365^2)+(('CAFCO 400 '!$D$26*(J365^2)+'CAFCO 400 '!$D$27*J365+'CAFCO 400 '!$D$28)*U365)+('CAFCO 400 '!$D$29*(J365^2)+'CAFCO 400 '!$D$30*J365+'CAFCO 400 '!$D$31)),0),0)+IF(AND(L365="Cafco 300",J365&gt;=95,J365&lt;=240,C365="Cj",I365=90),VLOOKUP(T365,'CAFCO 300 IDIEM TABLAS'!$B$4:$D$23,2,FALSE),0)+IF(AND(L365="Cafco 300",J365&gt;=95,J365&lt;=240,C365="Cj",I365=120),VLOOKUP(T365,'CAFCO 300 IDIEM TABLAS'!$B$4:$D$23,3,FALSE),0)+IF(AND(L365="Cafco 300",J365&gt;=95,J365&lt;=400,G365=3,C365="IN",I365=90),VLOOKUP(T365,'CAFCO 300 IDIEM TABLAS'!$F$4:$H$35,2,FALSE),0)+IF(AND(L365="Cafco 300",J365&gt;=95,J365&lt;=400,G365=3,C365="IN",I365=120),VLOOKUP(T365,'CAFCO 300 IDIEM TABLAS'!$F$4:$H$35,3,FALSE),0)+IF(AND(L365="Cafco 300",J365&gt;=95,J365&lt;=450,G365=4,C365="IN",I365=90),VLOOKUP(T365,'CAFCO 300 IDIEM TABLAS'!$J$4:$L$40,2,FALSE),0)+IF(AND(L365="Cafco 300",J365&gt;=95,J365&lt;=450,G365=4,C365="IN",I365=120),VLOOKUP(T365,'CAFCO 300 IDIEM TABLAS'!$J$4:$L$40,3,FALSE),0)+IF(AND(M365="Ensayo Idiem",L365="Cafco 400",C365="IN",G365=4,I365=90),VLOOKUP(T365,'CAFCO 400 ENSAYO'!$B$7:$D$43,2,FALSE),0)+IF(AND(M365="Ensayo Idiem",L365="Cafco 400",C365="IN",G365=4,I365=120),VLOOKUP(T365,'CAFCO 400 ENSAYO'!$B$7:$D$43,3,FALSE),0)</f>
        <v>0</v>
      </c>
      <c r="O365" s="96">
        <f t="shared" si="39"/>
        <v>0</v>
      </c>
      <c r="P365" s="95" t="str">
        <f t="shared" si="40"/>
        <v>N/A</v>
      </c>
      <c r="Q365" s="95" t="str">
        <f t="shared" si="41"/>
        <v>N/A</v>
      </c>
      <c r="R365" s="95" t="str">
        <f t="shared" si="42"/>
        <v>NO CERT.</v>
      </c>
      <c r="S365" s="95" t="e">
        <f t="shared" si="37"/>
        <v>#N/A</v>
      </c>
      <c r="T365" s="119" t="e">
        <f>+IF(J365=LOOKUP(J365,'CAFCO 300 IDIEM TABLAS'!$J$4:$J$40),'CALCULO MORTERO'!J365,MROUND('CALCULO MORTERO'!J365,10))</f>
        <v>#N/A</v>
      </c>
      <c r="U365" s="118">
        <f t="shared" si="38"/>
        <v>0</v>
      </c>
      <c r="Y365" s="4"/>
      <c r="Z365" s="4"/>
      <c r="AA365" s="4"/>
    </row>
    <row r="366" spans="1:27" ht="15.6" customHeight="1" x14ac:dyDescent="0.25">
      <c r="A366" s="118">
        <f>+CUBICACION!D360</f>
        <v>0</v>
      </c>
      <c r="B366" s="819">
        <f>+CUBICACION!E360</f>
        <v>0</v>
      </c>
      <c r="C366" s="675">
        <f>+CUBICACION!F360</f>
        <v>0</v>
      </c>
      <c r="D366" s="118"/>
      <c r="E366" s="118"/>
      <c r="F366" s="820"/>
      <c r="G366" s="675">
        <f>+CUBICACION!J360</f>
        <v>0</v>
      </c>
      <c r="H366" s="118"/>
      <c r="I366" s="821">
        <f>+CUBICACION!L360</f>
        <v>0</v>
      </c>
      <c r="J366" s="64">
        <f>+CUBICACION!M360</f>
        <v>0</v>
      </c>
      <c r="K366" s="822" t="str">
        <f>+CUBICACION!N360</f>
        <v/>
      </c>
      <c r="L366" s="118">
        <f>+CUBICACION!O360</f>
        <v>0</v>
      </c>
      <c r="M366" s="823">
        <f>+CUBICACION!P360</f>
        <v>0</v>
      </c>
      <c r="N366" s="902">
        <f>ROUND(IF(AND(L366="Blaze Shield II",M366="Software Idiem",C366="IN",G366=4),((('BLAZE SHIELD II'!$D$4*('CALCULO MORTERO'!I366^2)+'BLAZE SHIELD II'!$D$5*'CALCULO MORTERO'!I366+'BLAZE SHIELD II'!$D$6)*LN(J366))+('BLAZE SHIELD II'!$D$7*('CALCULO MORTERO'!I366^2)+'BLAZE SHIELD II'!$D$8*'CALCULO MORTERO'!I366+'BLAZE SHIELD II'!$D$9)),0)+IF(AND(L366="Blaze Shield II",M366="Software Idiem",C366="Cj"),((('BLAZE SHIELD II'!$H$4*('CALCULO MORTERO'!I366^2)+'BLAZE SHIELD II'!$H$5*'CALCULO MORTERO'!I366+'BLAZE SHIELD II'!$H$6)*LN(J366))+('BLAZE SHIELD II'!$H$7*('CALCULO MORTERO'!I366^2)+'BLAZE SHIELD II'!$H$8*'CALCULO MORTERO'!I366+'BLAZE SHIELD II'!$H$9)),0)+IF(AND(L366="Blaze Shield II",M366="Software Idiem",C366="C"),((('BLAZE SHIELD II'!$L$4*('CALCULO MORTERO'!I366^2)+'BLAZE SHIELD II'!$L$5*'CALCULO MORTERO'!I366+'BLAZE SHIELD II'!$L$6)*LN(J366))+('BLAZE SHIELD II'!$L$7*('CALCULO MORTERO'!I366^2)+'BLAZE SHIELD II'!$L$8*'CALCULO MORTERO'!I366+'BLAZE SHIELD II'!$L$9)),0)+IF(AND(L366="Blaze Shield II",M366="Software Idiem",C366="L"),((('BLAZE SHIELD II'!$L$4*('CALCULO MORTERO'!I366^2)+'BLAZE SHIELD II'!$L$5*'CALCULO MORTERO'!I366+'BLAZE SHIELD II'!$L$6)*LN(J366))+('BLAZE SHIELD II'!$L$7*('CALCULO MORTERO'!I366^2)+'BLAZE SHIELD II'!$L$8*'CALCULO MORTERO'!I366+'BLAZE SHIELD II'!$L$9)),0)+IF(AND(L366="Blaze Shield II",M366="Software Idiem",C366="IN",G366=3),((('BLAZE SHIELD II'!$H$14*('CALCULO MORTERO'!I366^2)+'BLAZE SHIELD II'!$H$15*'CALCULO MORTERO'!I366+'BLAZE SHIELD II'!$H$16)*LN(J366))+('BLAZE SHIELD II'!$H$17*('CALCULO MORTERO'!I366^2)+'BLAZE SHIELD II'!$H$18*'CALCULO MORTERO'!I366+'BLAZE SHIELD II'!$H$19)),0),0)+ROUND(IF(AND(L366="Cafco 400",M366="Software Idiem",C366="IN",G366=4),((('CAFCO 400 '!$H$7*(J366^4)+'CAFCO 400 '!$H$8*(J366^3)+'CAFCO 400 '!$H$9*(J366^2)+'CAFCO 400 '!$H$10*J366+'CAFCO 400 '!$H$11)*U366^2)+(('CAFCO 400 '!$H$12*(J366^3)+'CAFCO 400 '!$H$13*(J366^2)+'CAFCO 400 '!$H$14*J366+'CAFCO 400 '!$H$15)*U366)+('CAFCO 400 '!$H$16*(J366^2)+'CAFCO 400 '!$H$17*J366+'CAFCO 400 '!$H$18)),0)+IF(AND(L366="Cafco 400",M366="Software Idiem",C366="Cj"),(((('CAFCO 400 '!$D$7*LN(J366)+'CAFCO 400 '!$D$8)*U366^2)+(('CAFCO 400 '!$D$9*LN(J366)+'CAFCO 400 '!$D$10)*U366)+('CAFCO 400 '!$D$11*LN(J366)+'CAFCO 400 '!$D$12))),0)+IF(AND(L366="Cafco 400",M366="Software Idiem",C366="C"),((('CAFCO 400 '!$L$7*(J366^3)+'CAFCO 400 '!$L$8*(J366^2)+'CAFCO 400 '!$L$9*J366+'CAFCO 400 '!$L$10)*U366^2)+(('CAFCO 400 '!$L$11*(J366^3)+'CAFCO 400 '!$L$12*(J366^2)+'CAFCO 400 '!$L$13*J366+'CAFCO 400 '!$L$14)*U366)+('CAFCO 400 '!$L$15*LN(J366)+'CAFCO 400 '!$L$16)),0)+IF(AND(L366="Cafco 400",M366="Software Idiem",C366="L"),((('CAFCO 400 '!$L$7*(J366^3)+'CAFCO 400 '!$L$8*(J366^2)+'CAFCO 400 '!$L$9*J366+'CAFCO 400 '!$L$10)*U366^2)+(('CAFCO 400 '!$L$11*(J366^3)+'CAFCO 400 '!$L$12*(J366^2)+'CAFCO 400 '!$L$13*J366+'CAFCO 400 '!$L$14)*U366)+('CAFCO 400 '!$L$15*LN(J366)+'CAFCO 400 '!$L$16)),0)+IF(AND(L366="Cafco 400",M366="Software Idiem",C366="IN",G366=3),((('CAFCO 400 '!$D$23*(J366^2)+'CAFCO 400 '!$D$24*(J366)+'CAFCO 400 '!$D$25)*U366^2)+(('CAFCO 400 '!$D$26*(J366^2)+'CAFCO 400 '!$D$27*J366+'CAFCO 400 '!$D$28)*U366)+('CAFCO 400 '!$D$29*(J366^2)+'CAFCO 400 '!$D$30*J366+'CAFCO 400 '!$D$31)),0),0)+IF(AND(L366="Cafco 300",J366&gt;=95,J366&lt;=240,C366="Cj",I366=90),VLOOKUP(T366,'CAFCO 300 IDIEM TABLAS'!$B$4:$D$23,2,FALSE),0)+IF(AND(L366="Cafco 300",J366&gt;=95,J366&lt;=240,C366="Cj",I366=120),VLOOKUP(T366,'CAFCO 300 IDIEM TABLAS'!$B$4:$D$23,3,FALSE),0)+IF(AND(L366="Cafco 300",J366&gt;=95,J366&lt;=400,G366=3,C366="IN",I366=90),VLOOKUP(T366,'CAFCO 300 IDIEM TABLAS'!$F$4:$H$35,2,FALSE),0)+IF(AND(L366="Cafco 300",J366&gt;=95,J366&lt;=400,G366=3,C366="IN",I366=120),VLOOKUP(T366,'CAFCO 300 IDIEM TABLAS'!$F$4:$H$35,3,FALSE),0)+IF(AND(L366="Cafco 300",J366&gt;=95,J366&lt;=450,G366=4,C366="IN",I366=90),VLOOKUP(T366,'CAFCO 300 IDIEM TABLAS'!$J$4:$L$40,2,FALSE),0)+IF(AND(L366="Cafco 300",J366&gt;=95,J366&lt;=450,G366=4,C366="IN",I366=120),VLOOKUP(T366,'CAFCO 300 IDIEM TABLAS'!$J$4:$L$40,3,FALSE),0)+IF(AND(M366="Ensayo Idiem",L366="Cafco 400",C366="IN",G366=4,I366=90),VLOOKUP(T366,'CAFCO 400 ENSAYO'!$B$7:$D$43,2,FALSE),0)+IF(AND(M366="Ensayo Idiem",L366="Cafco 400",C366="IN",G366=4,I366=120),VLOOKUP(T366,'CAFCO 400 ENSAYO'!$B$7:$D$43,3,FALSE),0)</f>
        <v>0</v>
      </c>
      <c r="O366" s="96">
        <f t="shared" si="39"/>
        <v>0</v>
      </c>
      <c r="P366" s="95" t="str">
        <f t="shared" si="40"/>
        <v>N/A</v>
      </c>
      <c r="Q366" s="95" t="str">
        <f t="shared" si="41"/>
        <v>N/A</v>
      </c>
      <c r="R366" s="95" t="str">
        <f t="shared" si="42"/>
        <v>NO CERT.</v>
      </c>
      <c r="S366" s="95" t="e">
        <f t="shared" si="37"/>
        <v>#N/A</v>
      </c>
      <c r="T366" s="119" t="e">
        <f>+IF(J366=LOOKUP(J366,'CAFCO 300 IDIEM TABLAS'!$J$4:$J$40),'CALCULO MORTERO'!J366,MROUND('CALCULO MORTERO'!J366,10))</f>
        <v>#N/A</v>
      </c>
      <c r="U366" s="118">
        <f t="shared" si="38"/>
        <v>0</v>
      </c>
      <c r="Y366" s="4"/>
      <c r="Z366" s="4"/>
      <c r="AA366" s="4"/>
    </row>
    <row r="367" spans="1:27" x14ac:dyDescent="0.25">
      <c r="A367" s="118">
        <f>+CUBICACION!D361</f>
        <v>0</v>
      </c>
      <c r="B367" s="819">
        <f>+CUBICACION!E361</f>
        <v>0</v>
      </c>
      <c r="C367" s="675">
        <f>+CUBICACION!F361</f>
        <v>0</v>
      </c>
      <c r="D367" s="118"/>
      <c r="E367" s="118"/>
      <c r="F367" s="820"/>
      <c r="G367" s="675">
        <f>+CUBICACION!J361</f>
        <v>0</v>
      </c>
      <c r="H367" s="118"/>
      <c r="I367" s="821">
        <f>+CUBICACION!L361</f>
        <v>0</v>
      </c>
      <c r="J367" s="64">
        <f>+CUBICACION!M361</f>
        <v>0</v>
      </c>
      <c r="K367" s="822" t="str">
        <f>+CUBICACION!N361</f>
        <v/>
      </c>
      <c r="L367" s="118">
        <f>+CUBICACION!O361</f>
        <v>0</v>
      </c>
      <c r="M367" s="823">
        <f>+CUBICACION!P361</f>
        <v>0</v>
      </c>
      <c r="N367" s="902">
        <f>ROUND(IF(AND(L367="Blaze Shield II",M367="Software Idiem",C367="IN",G367=4),((('BLAZE SHIELD II'!$D$4*('CALCULO MORTERO'!I367^2)+'BLAZE SHIELD II'!$D$5*'CALCULO MORTERO'!I367+'BLAZE SHIELD II'!$D$6)*LN(J367))+('BLAZE SHIELD II'!$D$7*('CALCULO MORTERO'!I367^2)+'BLAZE SHIELD II'!$D$8*'CALCULO MORTERO'!I367+'BLAZE SHIELD II'!$D$9)),0)+IF(AND(L367="Blaze Shield II",M367="Software Idiem",C367="Cj"),((('BLAZE SHIELD II'!$H$4*('CALCULO MORTERO'!I367^2)+'BLAZE SHIELD II'!$H$5*'CALCULO MORTERO'!I367+'BLAZE SHIELD II'!$H$6)*LN(J367))+('BLAZE SHIELD II'!$H$7*('CALCULO MORTERO'!I367^2)+'BLAZE SHIELD II'!$H$8*'CALCULO MORTERO'!I367+'BLAZE SHIELD II'!$H$9)),0)+IF(AND(L367="Blaze Shield II",M367="Software Idiem",C367="C"),((('BLAZE SHIELD II'!$L$4*('CALCULO MORTERO'!I367^2)+'BLAZE SHIELD II'!$L$5*'CALCULO MORTERO'!I367+'BLAZE SHIELD II'!$L$6)*LN(J367))+('BLAZE SHIELD II'!$L$7*('CALCULO MORTERO'!I367^2)+'BLAZE SHIELD II'!$L$8*'CALCULO MORTERO'!I367+'BLAZE SHIELD II'!$L$9)),0)+IF(AND(L367="Blaze Shield II",M367="Software Idiem",C367="L"),((('BLAZE SHIELD II'!$L$4*('CALCULO MORTERO'!I367^2)+'BLAZE SHIELD II'!$L$5*'CALCULO MORTERO'!I367+'BLAZE SHIELD II'!$L$6)*LN(J367))+('BLAZE SHIELD II'!$L$7*('CALCULO MORTERO'!I367^2)+'BLAZE SHIELD II'!$L$8*'CALCULO MORTERO'!I367+'BLAZE SHIELD II'!$L$9)),0)+IF(AND(L367="Blaze Shield II",M367="Software Idiem",C367="IN",G367=3),((('BLAZE SHIELD II'!$H$14*('CALCULO MORTERO'!I367^2)+'BLAZE SHIELD II'!$H$15*'CALCULO MORTERO'!I367+'BLAZE SHIELD II'!$H$16)*LN(J367))+('BLAZE SHIELD II'!$H$17*('CALCULO MORTERO'!I367^2)+'BLAZE SHIELD II'!$H$18*'CALCULO MORTERO'!I367+'BLAZE SHIELD II'!$H$19)),0),0)+ROUND(IF(AND(L367="Cafco 400",M367="Software Idiem",C367="IN",G367=4),((('CAFCO 400 '!$H$7*(J367^4)+'CAFCO 400 '!$H$8*(J367^3)+'CAFCO 400 '!$H$9*(J367^2)+'CAFCO 400 '!$H$10*J367+'CAFCO 400 '!$H$11)*U367^2)+(('CAFCO 400 '!$H$12*(J367^3)+'CAFCO 400 '!$H$13*(J367^2)+'CAFCO 400 '!$H$14*J367+'CAFCO 400 '!$H$15)*U367)+('CAFCO 400 '!$H$16*(J367^2)+'CAFCO 400 '!$H$17*J367+'CAFCO 400 '!$H$18)),0)+IF(AND(L367="Cafco 400",M367="Software Idiem",C367="Cj"),(((('CAFCO 400 '!$D$7*LN(J367)+'CAFCO 400 '!$D$8)*U367^2)+(('CAFCO 400 '!$D$9*LN(J367)+'CAFCO 400 '!$D$10)*U367)+('CAFCO 400 '!$D$11*LN(J367)+'CAFCO 400 '!$D$12))),0)+IF(AND(L367="Cafco 400",M367="Software Idiem",C367="C"),((('CAFCO 400 '!$L$7*(J367^3)+'CAFCO 400 '!$L$8*(J367^2)+'CAFCO 400 '!$L$9*J367+'CAFCO 400 '!$L$10)*U367^2)+(('CAFCO 400 '!$L$11*(J367^3)+'CAFCO 400 '!$L$12*(J367^2)+'CAFCO 400 '!$L$13*J367+'CAFCO 400 '!$L$14)*U367)+('CAFCO 400 '!$L$15*LN(J367)+'CAFCO 400 '!$L$16)),0)+IF(AND(L367="Cafco 400",M367="Software Idiem",C367="L"),((('CAFCO 400 '!$L$7*(J367^3)+'CAFCO 400 '!$L$8*(J367^2)+'CAFCO 400 '!$L$9*J367+'CAFCO 400 '!$L$10)*U367^2)+(('CAFCO 400 '!$L$11*(J367^3)+'CAFCO 400 '!$L$12*(J367^2)+'CAFCO 400 '!$L$13*J367+'CAFCO 400 '!$L$14)*U367)+('CAFCO 400 '!$L$15*LN(J367)+'CAFCO 400 '!$L$16)),0)+IF(AND(L367="Cafco 400",M367="Software Idiem",C367="IN",G367=3),((('CAFCO 400 '!$D$23*(J367^2)+'CAFCO 400 '!$D$24*(J367)+'CAFCO 400 '!$D$25)*U367^2)+(('CAFCO 400 '!$D$26*(J367^2)+'CAFCO 400 '!$D$27*J367+'CAFCO 400 '!$D$28)*U367)+('CAFCO 400 '!$D$29*(J367^2)+'CAFCO 400 '!$D$30*J367+'CAFCO 400 '!$D$31)),0),0)+IF(AND(L367="Cafco 300",J367&gt;=95,J367&lt;=240,C367="Cj",I367=90),VLOOKUP(T367,'CAFCO 300 IDIEM TABLAS'!$B$4:$D$23,2,FALSE),0)+IF(AND(L367="Cafco 300",J367&gt;=95,J367&lt;=240,C367="Cj",I367=120),VLOOKUP(T367,'CAFCO 300 IDIEM TABLAS'!$B$4:$D$23,3,FALSE),0)+IF(AND(L367="Cafco 300",J367&gt;=95,J367&lt;=400,G367=3,C367="IN",I367=90),VLOOKUP(T367,'CAFCO 300 IDIEM TABLAS'!$F$4:$H$35,2,FALSE),0)+IF(AND(L367="Cafco 300",J367&gt;=95,J367&lt;=400,G367=3,C367="IN",I367=120),VLOOKUP(T367,'CAFCO 300 IDIEM TABLAS'!$F$4:$H$35,3,FALSE),0)+IF(AND(L367="Cafco 300",J367&gt;=95,J367&lt;=450,G367=4,C367="IN",I367=90),VLOOKUP(T367,'CAFCO 300 IDIEM TABLAS'!$J$4:$L$40,2,FALSE),0)+IF(AND(L367="Cafco 300",J367&gt;=95,J367&lt;=450,G367=4,C367="IN",I367=120),VLOOKUP(T367,'CAFCO 300 IDIEM TABLAS'!$J$4:$L$40,3,FALSE),0)+IF(AND(M367="Ensayo Idiem",L367="Cafco 400",C367="IN",G367=4,I367=90),VLOOKUP(T367,'CAFCO 400 ENSAYO'!$B$7:$D$43,2,FALSE),0)+IF(AND(M367="Ensayo Idiem",L367="Cafco 400",C367="IN",G367=4,I367=120),VLOOKUP(T367,'CAFCO 400 ENSAYO'!$B$7:$D$43,3,FALSE),0)</f>
        <v>0</v>
      </c>
      <c r="O367" s="96">
        <f t="shared" si="39"/>
        <v>0</v>
      </c>
      <c r="P367" s="95" t="str">
        <f t="shared" si="40"/>
        <v>N/A</v>
      </c>
      <c r="Q367" s="95" t="str">
        <f t="shared" si="41"/>
        <v>N/A</v>
      </c>
      <c r="R367" s="95" t="str">
        <f t="shared" si="42"/>
        <v>NO CERT.</v>
      </c>
      <c r="S367" s="95" t="e">
        <f t="shared" si="37"/>
        <v>#N/A</v>
      </c>
      <c r="T367" s="119" t="e">
        <f>+IF(J367=LOOKUP(J367,'CAFCO 300 IDIEM TABLAS'!$J$4:$J$40),'CALCULO MORTERO'!J367,MROUND('CALCULO MORTERO'!J367,10))</f>
        <v>#N/A</v>
      </c>
      <c r="U367" s="118">
        <f t="shared" si="38"/>
        <v>0</v>
      </c>
      <c r="Y367" s="4"/>
      <c r="Z367" s="4"/>
      <c r="AA367" s="4"/>
    </row>
    <row r="368" spans="1:27" ht="15.6" customHeight="1" x14ac:dyDescent="0.25">
      <c r="A368" s="118">
        <f>+CUBICACION!D362</f>
        <v>0</v>
      </c>
      <c r="B368" s="819">
        <f>+CUBICACION!E362</f>
        <v>0</v>
      </c>
      <c r="C368" s="675">
        <f>+CUBICACION!F362</f>
        <v>0</v>
      </c>
      <c r="D368" s="118"/>
      <c r="E368" s="118"/>
      <c r="F368" s="820"/>
      <c r="G368" s="675">
        <f>+CUBICACION!J362</f>
        <v>0</v>
      </c>
      <c r="H368" s="118"/>
      <c r="I368" s="821">
        <f>+CUBICACION!L362</f>
        <v>0</v>
      </c>
      <c r="J368" s="64">
        <f>+CUBICACION!M362</f>
        <v>0</v>
      </c>
      <c r="K368" s="822" t="str">
        <f>+CUBICACION!N362</f>
        <v/>
      </c>
      <c r="L368" s="118">
        <f>+CUBICACION!O362</f>
        <v>0</v>
      </c>
      <c r="M368" s="823">
        <f>+CUBICACION!P362</f>
        <v>0</v>
      </c>
      <c r="N368" s="902">
        <f>ROUND(IF(AND(L368="Blaze Shield II",M368="Software Idiem",C368="IN",G368=4),((('BLAZE SHIELD II'!$D$4*('CALCULO MORTERO'!I368^2)+'BLAZE SHIELD II'!$D$5*'CALCULO MORTERO'!I368+'BLAZE SHIELD II'!$D$6)*LN(J368))+('BLAZE SHIELD II'!$D$7*('CALCULO MORTERO'!I368^2)+'BLAZE SHIELD II'!$D$8*'CALCULO MORTERO'!I368+'BLAZE SHIELD II'!$D$9)),0)+IF(AND(L368="Blaze Shield II",M368="Software Idiem",C368="Cj"),((('BLAZE SHIELD II'!$H$4*('CALCULO MORTERO'!I368^2)+'BLAZE SHIELD II'!$H$5*'CALCULO MORTERO'!I368+'BLAZE SHIELD II'!$H$6)*LN(J368))+('BLAZE SHIELD II'!$H$7*('CALCULO MORTERO'!I368^2)+'BLAZE SHIELD II'!$H$8*'CALCULO MORTERO'!I368+'BLAZE SHIELD II'!$H$9)),0)+IF(AND(L368="Blaze Shield II",M368="Software Idiem",C368="C"),((('BLAZE SHIELD II'!$L$4*('CALCULO MORTERO'!I368^2)+'BLAZE SHIELD II'!$L$5*'CALCULO MORTERO'!I368+'BLAZE SHIELD II'!$L$6)*LN(J368))+('BLAZE SHIELD II'!$L$7*('CALCULO MORTERO'!I368^2)+'BLAZE SHIELD II'!$L$8*'CALCULO MORTERO'!I368+'BLAZE SHIELD II'!$L$9)),0)+IF(AND(L368="Blaze Shield II",M368="Software Idiem",C368="L"),((('BLAZE SHIELD II'!$L$4*('CALCULO MORTERO'!I368^2)+'BLAZE SHIELD II'!$L$5*'CALCULO MORTERO'!I368+'BLAZE SHIELD II'!$L$6)*LN(J368))+('BLAZE SHIELD II'!$L$7*('CALCULO MORTERO'!I368^2)+'BLAZE SHIELD II'!$L$8*'CALCULO MORTERO'!I368+'BLAZE SHIELD II'!$L$9)),0)+IF(AND(L368="Blaze Shield II",M368="Software Idiem",C368="IN",G368=3),((('BLAZE SHIELD II'!$H$14*('CALCULO MORTERO'!I368^2)+'BLAZE SHIELD II'!$H$15*'CALCULO MORTERO'!I368+'BLAZE SHIELD II'!$H$16)*LN(J368))+('BLAZE SHIELD II'!$H$17*('CALCULO MORTERO'!I368^2)+'BLAZE SHIELD II'!$H$18*'CALCULO MORTERO'!I368+'BLAZE SHIELD II'!$H$19)),0),0)+ROUND(IF(AND(L368="Cafco 400",M368="Software Idiem",C368="IN",G368=4),((('CAFCO 400 '!$H$7*(J368^4)+'CAFCO 400 '!$H$8*(J368^3)+'CAFCO 400 '!$H$9*(J368^2)+'CAFCO 400 '!$H$10*J368+'CAFCO 400 '!$H$11)*U368^2)+(('CAFCO 400 '!$H$12*(J368^3)+'CAFCO 400 '!$H$13*(J368^2)+'CAFCO 400 '!$H$14*J368+'CAFCO 400 '!$H$15)*U368)+('CAFCO 400 '!$H$16*(J368^2)+'CAFCO 400 '!$H$17*J368+'CAFCO 400 '!$H$18)),0)+IF(AND(L368="Cafco 400",M368="Software Idiem",C368="Cj"),(((('CAFCO 400 '!$D$7*LN(J368)+'CAFCO 400 '!$D$8)*U368^2)+(('CAFCO 400 '!$D$9*LN(J368)+'CAFCO 400 '!$D$10)*U368)+('CAFCO 400 '!$D$11*LN(J368)+'CAFCO 400 '!$D$12))),0)+IF(AND(L368="Cafco 400",M368="Software Idiem",C368="C"),((('CAFCO 400 '!$L$7*(J368^3)+'CAFCO 400 '!$L$8*(J368^2)+'CAFCO 400 '!$L$9*J368+'CAFCO 400 '!$L$10)*U368^2)+(('CAFCO 400 '!$L$11*(J368^3)+'CAFCO 400 '!$L$12*(J368^2)+'CAFCO 400 '!$L$13*J368+'CAFCO 400 '!$L$14)*U368)+('CAFCO 400 '!$L$15*LN(J368)+'CAFCO 400 '!$L$16)),0)+IF(AND(L368="Cafco 400",M368="Software Idiem",C368="L"),((('CAFCO 400 '!$L$7*(J368^3)+'CAFCO 400 '!$L$8*(J368^2)+'CAFCO 400 '!$L$9*J368+'CAFCO 400 '!$L$10)*U368^2)+(('CAFCO 400 '!$L$11*(J368^3)+'CAFCO 400 '!$L$12*(J368^2)+'CAFCO 400 '!$L$13*J368+'CAFCO 400 '!$L$14)*U368)+('CAFCO 400 '!$L$15*LN(J368)+'CAFCO 400 '!$L$16)),0)+IF(AND(L368="Cafco 400",M368="Software Idiem",C368="IN",G368=3),((('CAFCO 400 '!$D$23*(J368^2)+'CAFCO 400 '!$D$24*(J368)+'CAFCO 400 '!$D$25)*U368^2)+(('CAFCO 400 '!$D$26*(J368^2)+'CAFCO 400 '!$D$27*J368+'CAFCO 400 '!$D$28)*U368)+('CAFCO 400 '!$D$29*(J368^2)+'CAFCO 400 '!$D$30*J368+'CAFCO 400 '!$D$31)),0),0)+IF(AND(L368="Cafco 300",J368&gt;=95,J368&lt;=240,C368="Cj",I368=90),VLOOKUP(T368,'CAFCO 300 IDIEM TABLAS'!$B$4:$D$23,2,FALSE),0)+IF(AND(L368="Cafco 300",J368&gt;=95,J368&lt;=240,C368="Cj",I368=120),VLOOKUP(T368,'CAFCO 300 IDIEM TABLAS'!$B$4:$D$23,3,FALSE),0)+IF(AND(L368="Cafco 300",J368&gt;=95,J368&lt;=400,G368=3,C368="IN",I368=90),VLOOKUP(T368,'CAFCO 300 IDIEM TABLAS'!$F$4:$H$35,2,FALSE),0)+IF(AND(L368="Cafco 300",J368&gt;=95,J368&lt;=400,G368=3,C368="IN",I368=120),VLOOKUP(T368,'CAFCO 300 IDIEM TABLAS'!$F$4:$H$35,3,FALSE),0)+IF(AND(L368="Cafco 300",J368&gt;=95,J368&lt;=450,G368=4,C368="IN",I368=90),VLOOKUP(T368,'CAFCO 300 IDIEM TABLAS'!$J$4:$L$40,2,FALSE),0)+IF(AND(L368="Cafco 300",J368&gt;=95,J368&lt;=450,G368=4,C368="IN",I368=120),VLOOKUP(T368,'CAFCO 300 IDIEM TABLAS'!$J$4:$L$40,3,FALSE),0)+IF(AND(M368="Ensayo Idiem",L368="Cafco 400",C368="IN",G368=4,I368=90),VLOOKUP(T368,'CAFCO 400 ENSAYO'!$B$7:$D$43,2,FALSE),0)+IF(AND(M368="Ensayo Idiem",L368="Cafco 400",C368="IN",G368=4,I368=120),VLOOKUP(T368,'CAFCO 400 ENSAYO'!$B$7:$D$43,3,FALSE),0)</f>
        <v>0</v>
      </c>
      <c r="O368" s="96">
        <f t="shared" si="39"/>
        <v>0</v>
      </c>
      <c r="P368" s="95" t="str">
        <f t="shared" si="40"/>
        <v>N/A</v>
      </c>
      <c r="Q368" s="95" t="str">
        <f t="shared" si="41"/>
        <v>N/A</v>
      </c>
      <c r="R368" s="95" t="str">
        <f t="shared" si="42"/>
        <v>NO CERT.</v>
      </c>
      <c r="S368" s="95" t="e">
        <f t="shared" si="37"/>
        <v>#N/A</v>
      </c>
      <c r="T368" s="119" t="e">
        <f>+IF(J368=LOOKUP(J368,'CAFCO 300 IDIEM TABLAS'!$J$4:$J$40),'CALCULO MORTERO'!J368,MROUND('CALCULO MORTERO'!J368,10))</f>
        <v>#N/A</v>
      </c>
      <c r="U368" s="118">
        <f t="shared" si="38"/>
        <v>0</v>
      </c>
      <c r="Y368" s="4"/>
      <c r="Z368" s="4"/>
      <c r="AA368" s="4"/>
    </row>
    <row r="369" spans="1:27" x14ac:dyDescent="0.25">
      <c r="A369" s="118">
        <f>+CUBICACION!D363</f>
        <v>0</v>
      </c>
      <c r="B369" s="819">
        <f>+CUBICACION!E363</f>
        <v>0</v>
      </c>
      <c r="C369" s="675">
        <f>+CUBICACION!F363</f>
        <v>0</v>
      </c>
      <c r="D369" s="118"/>
      <c r="E369" s="118"/>
      <c r="F369" s="820"/>
      <c r="G369" s="675">
        <f>+CUBICACION!J363</f>
        <v>0</v>
      </c>
      <c r="H369" s="118"/>
      <c r="I369" s="821">
        <f>+CUBICACION!L363</f>
        <v>0</v>
      </c>
      <c r="J369" s="64">
        <f>+CUBICACION!M363</f>
        <v>0</v>
      </c>
      <c r="K369" s="822" t="str">
        <f>+CUBICACION!N363</f>
        <v/>
      </c>
      <c r="L369" s="118">
        <f>+CUBICACION!O363</f>
        <v>0</v>
      </c>
      <c r="M369" s="823">
        <f>+CUBICACION!P363</f>
        <v>0</v>
      </c>
      <c r="N369" s="902">
        <f>ROUND(IF(AND(L369="Blaze Shield II",M369="Software Idiem",C369="IN",G369=4),((('BLAZE SHIELD II'!$D$4*('CALCULO MORTERO'!I369^2)+'BLAZE SHIELD II'!$D$5*'CALCULO MORTERO'!I369+'BLAZE SHIELD II'!$D$6)*LN(J369))+('BLAZE SHIELD II'!$D$7*('CALCULO MORTERO'!I369^2)+'BLAZE SHIELD II'!$D$8*'CALCULO MORTERO'!I369+'BLAZE SHIELD II'!$D$9)),0)+IF(AND(L369="Blaze Shield II",M369="Software Idiem",C369="Cj"),((('BLAZE SHIELD II'!$H$4*('CALCULO MORTERO'!I369^2)+'BLAZE SHIELD II'!$H$5*'CALCULO MORTERO'!I369+'BLAZE SHIELD II'!$H$6)*LN(J369))+('BLAZE SHIELD II'!$H$7*('CALCULO MORTERO'!I369^2)+'BLAZE SHIELD II'!$H$8*'CALCULO MORTERO'!I369+'BLAZE SHIELD II'!$H$9)),0)+IF(AND(L369="Blaze Shield II",M369="Software Idiem",C369="C"),((('BLAZE SHIELD II'!$L$4*('CALCULO MORTERO'!I369^2)+'BLAZE SHIELD II'!$L$5*'CALCULO MORTERO'!I369+'BLAZE SHIELD II'!$L$6)*LN(J369))+('BLAZE SHIELD II'!$L$7*('CALCULO MORTERO'!I369^2)+'BLAZE SHIELD II'!$L$8*'CALCULO MORTERO'!I369+'BLAZE SHIELD II'!$L$9)),0)+IF(AND(L369="Blaze Shield II",M369="Software Idiem",C369="L"),((('BLAZE SHIELD II'!$L$4*('CALCULO MORTERO'!I369^2)+'BLAZE SHIELD II'!$L$5*'CALCULO MORTERO'!I369+'BLAZE SHIELD II'!$L$6)*LN(J369))+('BLAZE SHIELD II'!$L$7*('CALCULO MORTERO'!I369^2)+'BLAZE SHIELD II'!$L$8*'CALCULO MORTERO'!I369+'BLAZE SHIELD II'!$L$9)),0)+IF(AND(L369="Blaze Shield II",M369="Software Idiem",C369="IN",G369=3),((('BLAZE SHIELD II'!$H$14*('CALCULO MORTERO'!I369^2)+'BLAZE SHIELD II'!$H$15*'CALCULO MORTERO'!I369+'BLAZE SHIELD II'!$H$16)*LN(J369))+('BLAZE SHIELD II'!$H$17*('CALCULO MORTERO'!I369^2)+'BLAZE SHIELD II'!$H$18*'CALCULO MORTERO'!I369+'BLAZE SHIELD II'!$H$19)),0),0)+ROUND(IF(AND(L369="Cafco 400",M369="Software Idiem",C369="IN",G369=4),((('CAFCO 400 '!$H$7*(J369^4)+'CAFCO 400 '!$H$8*(J369^3)+'CAFCO 400 '!$H$9*(J369^2)+'CAFCO 400 '!$H$10*J369+'CAFCO 400 '!$H$11)*U369^2)+(('CAFCO 400 '!$H$12*(J369^3)+'CAFCO 400 '!$H$13*(J369^2)+'CAFCO 400 '!$H$14*J369+'CAFCO 400 '!$H$15)*U369)+('CAFCO 400 '!$H$16*(J369^2)+'CAFCO 400 '!$H$17*J369+'CAFCO 400 '!$H$18)),0)+IF(AND(L369="Cafco 400",M369="Software Idiem",C369="Cj"),(((('CAFCO 400 '!$D$7*LN(J369)+'CAFCO 400 '!$D$8)*U369^2)+(('CAFCO 400 '!$D$9*LN(J369)+'CAFCO 400 '!$D$10)*U369)+('CAFCO 400 '!$D$11*LN(J369)+'CAFCO 400 '!$D$12))),0)+IF(AND(L369="Cafco 400",M369="Software Idiem",C369="C"),((('CAFCO 400 '!$L$7*(J369^3)+'CAFCO 400 '!$L$8*(J369^2)+'CAFCO 400 '!$L$9*J369+'CAFCO 400 '!$L$10)*U369^2)+(('CAFCO 400 '!$L$11*(J369^3)+'CAFCO 400 '!$L$12*(J369^2)+'CAFCO 400 '!$L$13*J369+'CAFCO 400 '!$L$14)*U369)+('CAFCO 400 '!$L$15*LN(J369)+'CAFCO 400 '!$L$16)),0)+IF(AND(L369="Cafco 400",M369="Software Idiem",C369="L"),((('CAFCO 400 '!$L$7*(J369^3)+'CAFCO 400 '!$L$8*(J369^2)+'CAFCO 400 '!$L$9*J369+'CAFCO 400 '!$L$10)*U369^2)+(('CAFCO 400 '!$L$11*(J369^3)+'CAFCO 400 '!$L$12*(J369^2)+'CAFCO 400 '!$L$13*J369+'CAFCO 400 '!$L$14)*U369)+('CAFCO 400 '!$L$15*LN(J369)+'CAFCO 400 '!$L$16)),0)+IF(AND(L369="Cafco 400",M369="Software Idiem",C369="IN",G369=3),((('CAFCO 400 '!$D$23*(J369^2)+'CAFCO 400 '!$D$24*(J369)+'CAFCO 400 '!$D$25)*U369^2)+(('CAFCO 400 '!$D$26*(J369^2)+'CAFCO 400 '!$D$27*J369+'CAFCO 400 '!$D$28)*U369)+('CAFCO 400 '!$D$29*(J369^2)+'CAFCO 400 '!$D$30*J369+'CAFCO 400 '!$D$31)),0),0)+IF(AND(L369="Cafco 300",J369&gt;=95,J369&lt;=240,C369="Cj",I369=90),VLOOKUP(T369,'CAFCO 300 IDIEM TABLAS'!$B$4:$D$23,2,FALSE),0)+IF(AND(L369="Cafco 300",J369&gt;=95,J369&lt;=240,C369="Cj",I369=120),VLOOKUP(T369,'CAFCO 300 IDIEM TABLAS'!$B$4:$D$23,3,FALSE),0)+IF(AND(L369="Cafco 300",J369&gt;=95,J369&lt;=400,G369=3,C369="IN",I369=90),VLOOKUP(T369,'CAFCO 300 IDIEM TABLAS'!$F$4:$H$35,2,FALSE),0)+IF(AND(L369="Cafco 300",J369&gt;=95,J369&lt;=400,G369=3,C369="IN",I369=120),VLOOKUP(T369,'CAFCO 300 IDIEM TABLAS'!$F$4:$H$35,3,FALSE),0)+IF(AND(L369="Cafco 300",J369&gt;=95,J369&lt;=450,G369=4,C369="IN",I369=90),VLOOKUP(T369,'CAFCO 300 IDIEM TABLAS'!$J$4:$L$40,2,FALSE),0)+IF(AND(L369="Cafco 300",J369&gt;=95,J369&lt;=450,G369=4,C369="IN",I369=120),VLOOKUP(T369,'CAFCO 300 IDIEM TABLAS'!$J$4:$L$40,3,FALSE),0)+IF(AND(M369="Ensayo Idiem",L369="Cafco 400",C369="IN",G369=4,I369=90),VLOOKUP(T369,'CAFCO 400 ENSAYO'!$B$7:$D$43,2,FALSE),0)+IF(AND(M369="Ensayo Idiem",L369="Cafco 400",C369="IN",G369=4,I369=120),VLOOKUP(T369,'CAFCO 400 ENSAYO'!$B$7:$D$43,3,FALSE),0)</f>
        <v>0</v>
      </c>
      <c r="O369" s="96">
        <f t="shared" si="39"/>
        <v>0</v>
      </c>
      <c r="P369" s="132" t="str">
        <f t="shared" si="40"/>
        <v>N/A</v>
      </c>
      <c r="Q369" s="132" t="str">
        <f t="shared" si="41"/>
        <v>N/A</v>
      </c>
      <c r="R369" s="132" t="str">
        <f t="shared" si="42"/>
        <v>NO CERT.</v>
      </c>
      <c r="S369" s="132" t="e">
        <f t="shared" si="37"/>
        <v>#N/A</v>
      </c>
      <c r="T369" s="133" t="e">
        <f>+IF(J369=LOOKUP(J369,'CAFCO 300 IDIEM TABLAS'!$J$4:$J$40),'CALCULO MORTERO'!J369,MROUND('CALCULO MORTERO'!J369,10))</f>
        <v>#N/A</v>
      </c>
      <c r="U369" s="134">
        <f t="shared" si="38"/>
        <v>0</v>
      </c>
      <c r="Y369" s="4"/>
      <c r="Z369" s="4"/>
      <c r="AA369" s="4"/>
    </row>
    <row r="370" spans="1:27" s="36" customFormat="1" x14ac:dyDescent="0.25">
      <c r="A370" s="118">
        <f>+CUBICACION!D364</f>
        <v>0</v>
      </c>
      <c r="B370" s="819">
        <f>+CUBICACION!E364</f>
        <v>0</v>
      </c>
      <c r="C370" s="675">
        <f>+CUBICACION!F364</f>
        <v>0</v>
      </c>
      <c r="D370" s="118"/>
      <c r="E370" s="118"/>
      <c r="F370" s="820"/>
      <c r="G370" s="675">
        <f>+CUBICACION!J364</f>
        <v>0</v>
      </c>
      <c r="H370" s="118"/>
      <c r="I370" s="821">
        <f>+CUBICACION!L364</f>
        <v>0</v>
      </c>
      <c r="J370" s="64">
        <f>+CUBICACION!M364</f>
        <v>0</v>
      </c>
      <c r="K370" s="822" t="str">
        <f>+CUBICACION!N364</f>
        <v/>
      </c>
      <c r="L370" s="118">
        <f>+CUBICACION!O364</f>
        <v>0</v>
      </c>
      <c r="M370" s="823">
        <f>+CUBICACION!P364</f>
        <v>0</v>
      </c>
      <c r="N370" s="902">
        <f>ROUND(IF(AND(L370="Blaze Shield II",M370="Software Idiem",C370="IN",G370=4),((('BLAZE SHIELD II'!$D$4*('CALCULO MORTERO'!I370^2)+'BLAZE SHIELD II'!$D$5*'CALCULO MORTERO'!I370+'BLAZE SHIELD II'!$D$6)*LN(J370))+('BLAZE SHIELD II'!$D$7*('CALCULO MORTERO'!I370^2)+'BLAZE SHIELD II'!$D$8*'CALCULO MORTERO'!I370+'BLAZE SHIELD II'!$D$9)),0)+IF(AND(L370="Blaze Shield II",M370="Software Idiem",C370="Cj"),((('BLAZE SHIELD II'!$H$4*('CALCULO MORTERO'!I370^2)+'BLAZE SHIELD II'!$H$5*'CALCULO MORTERO'!I370+'BLAZE SHIELD II'!$H$6)*LN(J370))+('BLAZE SHIELD II'!$H$7*('CALCULO MORTERO'!I370^2)+'BLAZE SHIELD II'!$H$8*'CALCULO MORTERO'!I370+'BLAZE SHIELD II'!$H$9)),0)+IF(AND(L370="Blaze Shield II",M370="Software Idiem",C370="C"),((('BLAZE SHIELD II'!$L$4*('CALCULO MORTERO'!I370^2)+'BLAZE SHIELD II'!$L$5*'CALCULO MORTERO'!I370+'BLAZE SHIELD II'!$L$6)*LN(J370))+('BLAZE SHIELD II'!$L$7*('CALCULO MORTERO'!I370^2)+'BLAZE SHIELD II'!$L$8*'CALCULO MORTERO'!I370+'BLAZE SHIELD II'!$L$9)),0)+IF(AND(L370="Blaze Shield II",M370="Software Idiem",C370="L"),((('BLAZE SHIELD II'!$L$4*('CALCULO MORTERO'!I370^2)+'BLAZE SHIELD II'!$L$5*'CALCULO MORTERO'!I370+'BLAZE SHIELD II'!$L$6)*LN(J370))+('BLAZE SHIELD II'!$L$7*('CALCULO MORTERO'!I370^2)+'BLAZE SHIELD II'!$L$8*'CALCULO MORTERO'!I370+'BLAZE SHIELD II'!$L$9)),0)+IF(AND(L370="Blaze Shield II",M370="Software Idiem",C370="IN",G370=3),((('BLAZE SHIELD II'!$H$14*('CALCULO MORTERO'!I370^2)+'BLAZE SHIELD II'!$H$15*'CALCULO MORTERO'!I370+'BLAZE SHIELD II'!$H$16)*LN(J370))+('BLAZE SHIELD II'!$H$17*('CALCULO MORTERO'!I370^2)+'BLAZE SHIELD II'!$H$18*'CALCULO MORTERO'!I370+'BLAZE SHIELD II'!$H$19)),0),0)+ROUND(IF(AND(L370="Cafco 400",M370="Software Idiem",C370="IN",G370=4),((('CAFCO 400 '!$H$7*(J370^4)+'CAFCO 400 '!$H$8*(J370^3)+'CAFCO 400 '!$H$9*(J370^2)+'CAFCO 400 '!$H$10*J370+'CAFCO 400 '!$H$11)*U370^2)+(('CAFCO 400 '!$H$12*(J370^3)+'CAFCO 400 '!$H$13*(J370^2)+'CAFCO 400 '!$H$14*J370+'CAFCO 400 '!$H$15)*U370)+('CAFCO 400 '!$H$16*(J370^2)+'CAFCO 400 '!$H$17*J370+'CAFCO 400 '!$H$18)),0)+IF(AND(L370="Cafco 400",M370="Software Idiem",C370="Cj"),(((('CAFCO 400 '!$D$7*LN(J370)+'CAFCO 400 '!$D$8)*U370^2)+(('CAFCO 400 '!$D$9*LN(J370)+'CAFCO 400 '!$D$10)*U370)+('CAFCO 400 '!$D$11*LN(J370)+'CAFCO 400 '!$D$12))),0)+IF(AND(L370="Cafco 400",M370="Software Idiem",C370="C"),((('CAFCO 400 '!$L$7*(J370^3)+'CAFCO 400 '!$L$8*(J370^2)+'CAFCO 400 '!$L$9*J370+'CAFCO 400 '!$L$10)*U370^2)+(('CAFCO 400 '!$L$11*(J370^3)+'CAFCO 400 '!$L$12*(J370^2)+'CAFCO 400 '!$L$13*J370+'CAFCO 400 '!$L$14)*U370)+('CAFCO 400 '!$L$15*LN(J370)+'CAFCO 400 '!$L$16)),0)+IF(AND(L370="Cafco 400",M370="Software Idiem",C370="L"),((('CAFCO 400 '!$L$7*(J370^3)+'CAFCO 400 '!$L$8*(J370^2)+'CAFCO 400 '!$L$9*J370+'CAFCO 400 '!$L$10)*U370^2)+(('CAFCO 400 '!$L$11*(J370^3)+'CAFCO 400 '!$L$12*(J370^2)+'CAFCO 400 '!$L$13*J370+'CAFCO 400 '!$L$14)*U370)+('CAFCO 400 '!$L$15*LN(J370)+'CAFCO 400 '!$L$16)),0)+IF(AND(L370="Cafco 400",M370="Software Idiem",C370="IN",G370=3),((('CAFCO 400 '!$D$23*(J370^2)+'CAFCO 400 '!$D$24*(J370)+'CAFCO 400 '!$D$25)*U370^2)+(('CAFCO 400 '!$D$26*(J370^2)+'CAFCO 400 '!$D$27*J370+'CAFCO 400 '!$D$28)*U370)+('CAFCO 400 '!$D$29*(J370^2)+'CAFCO 400 '!$D$30*J370+'CAFCO 400 '!$D$31)),0),0)+IF(AND(L370="Cafco 300",J370&gt;=95,J370&lt;=240,C370="Cj",I370=90),VLOOKUP(T370,'CAFCO 300 IDIEM TABLAS'!$B$4:$D$23,2,FALSE),0)+IF(AND(L370="Cafco 300",J370&gt;=95,J370&lt;=240,C370="Cj",I370=120),VLOOKUP(T370,'CAFCO 300 IDIEM TABLAS'!$B$4:$D$23,3,FALSE),0)+IF(AND(L370="Cafco 300",J370&gt;=95,J370&lt;=400,G370=3,C370="IN",I370=90),VLOOKUP(T370,'CAFCO 300 IDIEM TABLAS'!$F$4:$H$35,2,FALSE),0)+IF(AND(L370="Cafco 300",J370&gt;=95,J370&lt;=400,G370=3,C370="IN",I370=120),VLOOKUP(T370,'CAFCO 300 IDIEM TABLAS'!$F$4:$H$35,3,FALSE),0)+IF(AND(L370="Cafco 300",J370&gt;=95,J370&lt;=450,G370=4,C370="IN",I370=90),VLOOKUP(T370,'CAFCO 300 IDIEM TABLAS'!$J$4:$L$40,2,FALSE),0)+IF(AND(L370="Cafco 300",J370&gt;=95,J370&lt;=450,G370=4,C370="IN",I370=120),VLOOKUP(T370,'CAFCO 300 IDIEM TABLAS'!$J$4:$L$40,3,FALSE),0)+IF(AND(M370="Ensayo Idiem",L370="Cafco 400",C370="IN",G370=4,I370=90),VLOOKUP(T370,'CAFCO 400 ENSAYO'!$B$7:$D$43,2,FALSE),0)+IF(AND(M370="Ensayo Idiem",L370="Cafco 400",C370="IN",G370=4,I370=120),VLOOKUP(T370,'CAFCO 400 ENSAYO'!$B$7:$D$43,3,FALSE),0)</f>
        <v>0</v>
      </c>
      <c r="O370" s="96">
        <f t="shared" si="39"/>
        <v>0</v>
      </c>
      <c r="P370" s="95" t="str">
        <f t="shared" ref="P370:P433" si="43">IF(AND(M370="Software Idiem"),IF(AND(C370="IN",G370=4,J370&gt;=50,J370&lt;=500),"CERT.",IF(AND(C370="Cj",J370&gt;=50,J370&lt;=500),"CERT.",IF(AND(C370="C",J370&gt;=50,J370&lt;=1000),"CERT.",IF(AND(C370="L",J370&gt;=50,J370&lt;=1000),"CERT.",IF(AND(C370="IN",G370=3,J370&gt;=50,J370&lt;=500),"CERT.","NO CERT."))))),"N/A")</f>
        <v>N/A</v>
      </c>
      <c r="Q370" s="95" t="str">
        <f t="shared" ref="Q370:Q433" si="44">IF(AND(M370="Software Idiem"),IF(AND(C370="IN",G370=4,J370&gt;=50,J370&lt;=500),"CERT.",IF(AND(C370="Cj",J370&gt;=50,J370&lt;=500),"CERT.",IF(AND(C370="C",J370&gt;=50,J370&lt;=1000),"CERT.",IF(AND(C370="L",J370&gt;=50,J370&lt;=1000),"CERT.",IF(AND(C370="IN",G370=3,J370&gt;=50,J370&lt;=500),"CERT.","NO CERT."))))),"N/A")</f>
        <v>N/A</v>
      </c>
      <c r="R370" s="95" t="str">
        <f t="shared" ref="R370:R433" si="45">IF(AND(C370="IN",G370=4,J370&gt;=95,J370&lt;=450,I370=90),"CERT.",IF(AND(C370="IN",G370=4,J370&gt;=95,J370&lt;=450,I370=120),"CERT.","NO CERT."))</f>
        <v>NO CERT.</v>
      </c>
      <c r="S370" s="95" t="e">
        <f t="shared" ref="S370:S433" si="46">IF(AND(C370="Cj",I370=90,T370&lt;=240),"CERT.",IF(AND(C370="Cj",I370=120,T370&lt;=240),"CERT.",IF(AND(C370="IN",G370=3,I370=90,T370&lt;=400),"CERT.",IF(AND(C370="IN",G370=3,I370=120,T370&lt;=400),"CERT.",IF(AND(C370="IN",G370=4,I370=90,T370&lt;=450),"CERT.",IF(AND(C370="IN",G370=4,I370=120,T370&lt;=450),"CERT.","NO CERT."))))))</f>
        <v>#N/A</v>
      </c>
      <c r="T370" s="119" t="e">
        <f>+IF(J370=LOOKUP(J370,'CAFCO 300 IDIEM TABLAS'!$J$4:$J$40),'CALCULO MORTERO'!J370,MROUND('CALCULO MORTERO'!J370,10))</f>
        <v>#N/A</v>
      </c>
      <c r="U370" s="118">
        <f t="shared" ref="U370:U433" si="47">+I370*60</f>
        <v>0</v>
      </c>
    </row>
    <row r="371" spans="1:27" s="36" customFormat="1" x14ac:dyDescent="0.25">
      <c r="A371" s="118">
        <f>+CUBICACION!D365</f>
        <v>0</v>
      </c>
      <c r="B371" s="819">
        <f>+CUBICACION!E365</f>
        <v>0</v>
      </c>
      <c r="C371" s="675">
        <f>+CUBICACION!F365</f>
        <v>0</v>
      </c>
      <c r="D371" s="118"/>
      <c r="E371" s="118"/>
      <c r="F371" s="820"/>
      <c r="G371" s="675">
        <f>+CUBICACION!J365</f>
        <v>0</v>
      </c>
      <c r="H371" s="118"/>
      <c r="I371" s="821">
        <f>+CUBICACION!L365</f>
        <v>0</v>
      </c>
      <c r="J371" s="64">
        <f>+CUBICACION!M365</f>
        <v>0</v>
      </c>
      <c r="K371" s="822" t="str">
        <f>+CUBICACION!N365</f>
        <v/>
      </c>
      <c r="L371" s="118">
        <f>+CUBICACION!O365</f>
        <v>0</v>
      </c>
      <c r="M371" s="823">
        <f>+CUBICACION!P365</f>
        <v>0</v>
      </c>
      <c r="N371" s="902">
        <f>ROUND(IF(AND(L371="Blaze Shield II",M371="Software Idiem",C371="IN",G371=4),((('BLAZE SHIELD II'!$D$4*('CALCULO MORTERO'!I371^2)+'BLAZE SHIELD II'!$D$5*'CALCULO MORTERO'!I371+'BLAZE SHIELD II'!$D$6)*LN(J371))+('BLAZE SHIELD II'!$D$7*('CALCULO MORTERO'!I371^2)+'BLAZE SHIELD II'!$D$8*'CALCULO MORTERO'!I371+'BLAZE SHIELD II'!$D$9)),0)+IF(AND(L371="Blaze Shield II",M371="Software Idiem",C371="Cj"),((('BLAZE SHIELD II'!$H$4*('CALCULO MORTERO'!I371^2)+'BLAZE SHIELD II'!$H$5*'CALCULO MORTERO'!I371+'BLAZE SHIELD II'!$H$6)*LN(J371))+('BLAZE SHIELD II'!$H$7*('CALCULO MORTERO'!I371^2)+'BLAZE SHIELD II'!$H$8*'CALCULO MORTERO'!I371+'BLAZE SHIELD II'!$H$9)),0)+IF(AND(L371="Blaze Shield II",M371="Software Idiem",C371="C"),((('BLAZE SHIELD II'!$L$4*('CALCULO MORTERO'!I371^2)+'BLAZE SHIELD II'!$L$5*'CALCULO MORTERO'!I371+'BLAZE SHIELD II'!$L$6)*LN(J371))+('BLAZE SHIELD II'!$L$7*('CALCULO MORTERO'!I371^2)+'BLAZE SHIELD II'!$L$8*'CALCULO MORTERO'!I371+'BLAZE SHIELD II'!$L$9)),0)+IF(AND(L371="Blaze Shield II",M371="Software Idiem",C371="L"),((('BLAZE SHIELD II'!$L$4*('CALCULO MORTERO'!I371^2)+'BLAZE SHIELD II'!$L$5*'CALCULO MORTERO'!I371+'BLAZE SHIELD II'!$L$6)*LN(J371))+('BLAZE SHIELD II'!$L$7*('CALCULO MORTERO'!I371^2)+'BLAZE SHIELD II'!$L$8*'CALCULO MORTERO'!I371+'BLAZE SHIELD II'!$L$9)),0)+IF(AND(L371="Blaze Shield II",M371="Software Idiem",C371="IN",G371=3),((('BLAZE SHIELD II'!$H$14*('CALCULO MORTERO'!I371^2)+'BLAZE SHIELD II'!$H$15*'CALCULO MORTERO'!I371+'BLAZE SHIELD II'!$H$16)*LN(J371))+('BLAZE SHIELD II'!$H$17*('CALCULO MORTERO'!I371^2)+'BLAZE SHIELD II'!$H$18*'CALCULO MORTERO'!I371+'BLAZE SHIELD II'!$H$19)),0),0)+ROUND(IF(AND(L371="Cafco 400",M371="Software Idiem",C371="IN",G371=4),((('CAFCO 400 '!$H$7*(J371^4)+'CAFCO 400 '!$H$8*(J371^3)+'CAFCO 400 '!$H$9*(J371^2)+'CAFCO 400 '!$H$10*J371+'CAFCO 400 '!$H$11)*U371^2)+(('CAFCO 400 '!$H$12*(J371^3)+'CAFCO 400 '!$H$13*(J371^2)+'CAFCO 400 '!$H$14*J371+'CAFCO 400 '!$H$15)*U371)+('CAFCO 400 '!$H$16*(J371^2)+'CAFCO 400 '!$H$17*J371+'CAFCO 400 '!$H$18)),0)+IF(AND(L371="Cafco 400",M371="Software Idiem",C371="Cj"),(((('CAFCO 400 '!$D$7*LN(J371)+'CAFCO 400 '!$D$8)*U371^2)+(('CAFCO 400 '!$D$9*LN(J371)+'CAFCO 400 '!$D$10)*U371)+('CAFCO 400 '!$D$11*LN(J371)+'CAFCO 400 '!$D$12))),0)+IF(AND(L371="Cafco 400",M371="Software Idiem",C371="C"),((('CAFCO 400 '!$L$7*(J371^3)+'CAFCO 400 '!$L$8*(J371^2)+'CAFCO 400 '!$L$9*J371+'CAFCO 400 '!$L$10)*U371^2)+(('CAFCO 400 '!$L$11*(J371^3)+'CAFCO 400 '!$L$12*(J371^2)+'CAFCO 400 '!$L$13*J371+'CAFCO 400 '!$L$14)*U371)+('CAFCO 400 '!$L$15*LN(J371)+'CAFCO 400 '!$L$16)),0)+IF(AND(L371="Cafco 400",M371="Software Idiem",C371="L"),((('CAFCO 400 '!$L$7*(J371^3)+'CAFCO 400 '!$L$8*(J371^2)+'CAFCO 400 '!$L$9*J371+'CAFCO 400 '!$L$10)*U371^2)+(('CAFCO 400 '!$L$11*(J371^3)+'CAFCO 400 '!$L$12*(J371^2)+'CAFCO 400 '!$L$13*J371+'CAFCO 400 '!$L$14)*U371)+('CAFCO 400 '!$L$15*LN(J371)+'CAFCO 400 '!$L$16)),0)+IF(AND(L371="Cafco 400",M371="Software Idiem",C371="IN",G371=3),((('CAFCO 400 '!$D$23*(J371^2)+'CAFCO 400 '!$D$24*(J371)+'CAFCO 400 '!$D$25)*U371^2)+(('CAFCO 400 '!$D$26*(J371^2)+'CAFCO 400 '!$D$27*J371+'CAFCO 400 '!$D$28)*U371)+('CAFCO 400 '!$D$29*(J371^2)+'CAFCO 400 '!$D$30*J371+'CAFCO 400 '!$D$31)),0),0)+IF(AND(L371="Cafco 300",J371&gt;=95,J371&lt;=240,C371="Cj",I371=90),VLOOKUP(T371,'CAFCO 300 IDIEM TABLAS'!$B$4:$D$23,2,FALSE),0)+IF(AND(L371="Cafco 300",J371&gt;=95,J371&lt;=240,C371="Cj",I371=120),VLOOKUP(T371,'CAFCO 300 IDIEM TABLAS'!$B$4:$D$23,3,FALSE),0)+IF(AND(L371="Cafco 300",J371&gt;=95,J371&lt;=400,G371=3,C371="IN",I371=90),VLOOKUP(T371,'CAFCO 300 IDIEM TABLAS'!$F$4:$H$35,2,FALSE),0)+IF(AND(L371="Cafco 300",J371&gt;=95,J371&lt;=400,G371=3,C371="IN",I371=120),VLOOKUP(T371,'CAFCO 300 IDIEM TABLAS'!$F$4:$H$35,3,FALSE),0)+IF(AND(L371="Cafco 300",J371&gt;=95,J371&lt;=450,G371=4,C371="IN",I371=90),VLOOKUP(T371,'CAFCO 300 IDIEM TABLAS'!$J$4:$L$40,2,FALSE),0)+IF(AND(L371="Cafco 300",J371&gt;=95,J371&lt;=450,G371=4,C371="IN",I371=120),VLOOKUP(T371,'CAFCO 300 IDIEM TABLAS'!$J$4:$L$40,3,FALSE),0)+IF(AND(M371="Ensayo Idiem",L371="Cafco 400",C371="IN",G371=4,I371=90),VLOOKUP(T371,'CAFCO 400 ENSAYO'!$B$7:$D$43,2,FALSE),0)+IF(AND(M371="Ensayo Idiem",L371="Cafco 400",C371="IN",G371=4,I371=120),VLOOKUP(T371,'CAFCO 400 ENSAYO'!$B$7:$D$43,3,FALSE),0)</f>
        <v>0</v>
      </c>
      <c r="O371" s="96">
        <f t="shared" si="39"/>
        <v>0</v>
      </c>
      <c r="P371" s="132" t="str">
        <f t="shared" si="43"/>
        <v>N/A</v>
      </c>
      <c r="Q371" s="132" t="str">
        <f t="shared" si="44"/>
        <v>N/A</v>
      </c>
      <c r="R371" s="132" t="str">
        <f t="shared" si="45"/>
        <v>NO CERT.</v>
      </c>
      <c r="S371" s="132" t="e">
        <f t="shared" si="46"/>
        <v>#N/A</v>
      </c>
      <c r="T371" s="133" t="e">
        <f>+IF(J371=LOOKUP(J371,'CAFCO 300 IDIEM TABLAS'!$J$4:$J$40),'CALCULO MORTERO'!J371,MROUND('CALCULO MORTERO'!J371,10))</f>
        <v>#N/A</v>
      </c>
      <c r="U371" s="134">
        <f t="shared" si="47"/>
        <v>0</v>
      </c>
    </row>
    <row r="372" spans="1:27" s="36" customFormat="1" x14ac:dyDescent="0.25">
      <c r="A372" s="118">
        <f>+CUBICACION!D366</f>
        <v>0</v>
      </c>
      <c r="B372" s="819">
        <f>+CUBICACION!E366</f>
        <v>0</v>
      </c>
      <c r="C372" s="675">
        <f>+CUBICACION!F366</f>
        <v>0</v>
      </c>
      <c r="D372" s="118"/>
      <c r="E372" s="118"/>
      <c r="F372" s="820"/>
      <c r="G372" s="675">
        <f>+CUBICACION!J366</f>
        <v>0</v>
      </c>
      <c r="H372" s="118"/>
      <c r="I372" s="821">
        <f>+CUBICACION!L366</f>
        <v>0</v>
      </c>
      <c r="J372" s="64">
        <f>+CUBICACION!M366</f>
        <v>0</v>
      </c>
      <c r="K372" s="822" t="str">
        <f>+CUBICACION!N366</f>
        <v/>
      </c>
      <c r="L372" s="118">
        <f>+CUBICACION!O366</f>
        <v>0</v>
      </c>
      <c r="M372" s="823">
        <f>+CUBICACION!P366</f>
        <v>0</v>
      </c>
      <c r="N372" s="902">
        <f>ROUND(IF(AND(L372="Blaze Shield II",M372="Software Idiem",C372="IN",G372=4),((('BLAZE SHIELD II'!$D$4*('CALCULO MORTERO'!I372^2)+'BLAZE SHIELD II'!$D$5*'CALCULO MORTERO'!I372+'BLAZE SHIELD II'!$D$6)*LN(J372))+('BLAZE SHIELD II'!$D$7*('CALCULO MORTERO'!I372^2)+'BLAZE SHIELD II'!$D$8*'CALCULO MORTERO'!I372+'BLAZE SHIELD II'!$D$9)),0)+IF(AND(L372="Blaze Shield II",M372="Software Idiem",C372="Cj"),((('BLAZE SHIELD II'!$H$4*('CALCULO MORTERO'!I372^2)+'BLAZE SHIELD II'!$H$5*'CALCULO MORTERO'!I372+'BLAZE SHIELD II'!$H$6)*LN(J372))+('BLAZE SHIELD II'!$H$7*('CALCULO MORTERO'!I372^2)+'BLAZE SHIELD II'!$H$8*'CALCULO MORTERO'!I372+'BLAZE SHIELD II'!$H$9)),0)+IF(AND(L372="Blaze Shield II",M372="Software Idiem",C372="C"),((('BLAZE SHIELD II'!$L$4*('CALCULO MORTERO'!I372^2)+'BLAZE SHIELD II'!$L$5*'CALCULO MORTERO'!I372+'BLAZE SHIELD II'!$L$6)*LN(J372))+('BLAZE SHIELD II'!$L$7*('CALCULO MORTERO'!I372^2)+'BLAZE SHIELD II'!$L$8*'CALCULO MORTERO'!I372+'BLAZE SHIELD II'!$L$9)),0)+IF(AND(L372="Blaze Shield II",M372="Software Idiem",C372="L"),((('BLAZE SHIELD II'!$L$4*('CALCULO MORTERO'!I372^2)+'BLAZE SHIELD II'!$L$5*'CALCULO MORTERO'!I372+'BLAZE SHIELD II'!$L$6)*LN(J372))+('BLAZE SHIELD II'!$L$7*('CALCULO MORTERO'!I372^2)+'BLAZE SHIELD II'!$L$8*'CALCULO MORTERO'!I372+'BLAZE SHIELD II'!$L$9)),0)+IF(AND(L372="Blaze Shield II",M372="Software Idiem",C372="IN",G372=3),((('BLAZE SHIELD II'!$H$14*('CALCULO MORTERO'!I372^2)+'BLAZE SHIELD II'!$H$15*'CALCULO MORTERO'!I372+'BLAZE SHIELD II'!$H$16)*LN(J372))+('BLAZE SHIELD II'!$H$17*('CALCULO MORTERO'!I372^2)+'BLAZE SHIELD II'!$H$18*'CALCULO MORTERO'!I372+'BLAZE SHIELD II'!$H$19)),0),0)+ROUND(IF(AND(L372="Cafco 400",M372="Software Idiem",C372="IN",G372=4),((('CAFCO 400 '!$H$7*(J372^4)+'CAFCO 400 '!$H$8*(J372^3)+'CAFCO 400 '!$H$9*(J372^2)+'CAFCO 400 '!$H$10*J372+'CAFCO 400 '!$H$11)*U372^2)+(('CAFCO 400 '!$H$12*(J372^3)+'CAFCO 400 '!$H$13*(J372^2)+'CAFCO 400 '!$H$14*J372+'CAFCO 400 '!$H$15)*U372)+('CAFCO 400 '!$H$16*(J372^2)+'CAFCO 400 '!$H$17*J372+'CAFCO 400 '!$H$18)),0)+IF(AND(L372="Cafco 400",M372="Software Idiem",C372="Cj"),(((('CAFCO 400 '!$D$7*LN(J372)+'CAFCO 400 '!$D$8)*U372^2)+(('CAFCO 400 '!$D$9*LN(J372)+'CAFCO 400 '!$D$10)*U372)+('CAFCO 400 '!$D$11*LN(J372)+'CAFCO 400 '!$D$12))),0)+IF(AND(L372="Cafco 400",M372="Software Idiem",C372="C"),((('CAFCO 400 '!$L$7*(J372^3)+'CAFCO 400 '!$L$8*(J372^2)+'CAFCO 400 '!$L$9*J372+'CAFCO 400 '!$L$10)*U372^2)+(('CAFCO 400 '!$L$11*(J372^3)+'CAFCO 400 '!$L$12*(J372^2)+'CAFCO 400 '!$L$13*J372+'CAFCO 400 '!$L$14)*U372)+('CAFCO 400 '!$L$15*LN(J372)+'CAFCO 400 '!$L$16)),0)+IF(AND(L372="Cafco 400",M372="Software Idiem",C372="L"),((('CAFCO 400 '!$L$7*(J372^3)+'CAFCO 400 '!$L$8*(J372^2)+'CAFCO 400 '!$L$9*J372+'CAFCO 400 '!$L$10)*U372^2)+(('CAFCO 400 '!$L$11*(J372^3)+'CAFCO 400 '!$L$12*(J372^2)+'CAFCO 400 '!$L$13*J372+'CAFCO 400 '!$L$14)*U372)+('CAFCO 400 '!$L$15*LN(J372)+'CAFCO 400 '!$L$16)),0)+IF(AND(L372="Cafco 400",M372="Software Idiem",C372="IN",G372=3),((('CAFCO 400 '!$D$23*(J372^2)+'CAFCO 400 '!$D$24*(J372)+'CAFCO 400 '!$D$25)*U372^2)+(('CAFCO 400 '!$D$26*(J372^2)+'CAFCO 400 '!$D$27*J372+'CAFCO 400 '!$D$28)*U372)+('CAFCO 400 '!$D$29*(J372^2)+'CAFCO 400 '!$D$30*J372+'CAFCO 400 '!$D$31)),0),0)+IF(AND(L372="Cafco 300",J372&gt;=95,J372&lt;=240,C372="Cj",I372=90),VLOOKUP(T372,'CAFCO 300 IDIEM TABLAS'!$B$4:$D$23,2,FALSE),0)+IF(AND(L372="Cafco 300",J372&gt;=95,J372&lt;=240,C372="Cj",I372=120),VLOOKUP(T372,'CAFCO 300 IDIEM TABLAS'!$B$4:$D$23,3,FALSE),0)+IF(AND(L372="Cafco 300",J372&gt;=95,J372&lt;=400,G372=3,C372="IN",I372=90),VLOOKUP(T372,'CAFCO 300 IDIEM TABLAS'!$F$4:$H$35,2,FALSE),0)+IF(AND(L372="Cafco 300",J372&gt;=95,J372&lt;=400,G372=3,C372="IN",I372=120),VLOOKUP(T372,'CAFCO 300 IDIEM TABLAS'!$F$4:$H$35,3,FALSE),0)+IF(AND(L372="Cafco 300",J372&gt;=95,J372&lt;=450,G372=4,C372="IN",I372=90),VLOOKUP(T372,'CAFCO 300 IDIEM TABLAS'!$J$4:$L$40,2,FALSE),0)+IF(AND(L372="Cafco 300",J372&gt;=95,J372&lt;=450,G372=4,C372="IN",I372=120),VLOOKUP(T372,'CAFCO 300 IDIEM TABLAS'!$J$4:$L$40,3,FALSE),0)+IF(AND(M372="Ensayo Idiem",L372="Cafco 400",C372="IN",G372=4,I372=90),VLOOKUP(T372,'CAFCO 400 ENSAYO'!$B$7:$D$43,2,FALSE),0)+IF(AND(M372="Ensayo Idiem",L372="Cafco 400",C372="IN",G372=4,I372=120),VLOOKUP(T372,'CAFCO 400 ENSAYO'!$B$7:$D$43,3,FALSE),0)</f>
        <v>0</v>
      </c>
      <c r="O372" s="96">
        <f t="shared" si="39"/>
        <v>0</v>
      </c>
      <c r="P372" s="95" t="str">
        <f t="shared" si="43"/>
        <v>N/A</v>
      </c>
      <c r="Q372" s="95" t="str">
        <f t="shared" si="44"/>
        <v>N/A</v>
      </c>
      <c r="R372" s="95" t="str">
        <f t="shared" si="45"/>
        <v>NO CERT.</v>
      </c>
      <c r="S372" s="95" t="e">
        <f t="shared" si="46"/>
        <v>#N/A</v>
      </c>
      <c r="T372" s="119" t="e">
        <f>+IF(J372=LOOKUP(J372,'CAFCO 300 IDIEM TABLAS'!$J$4:$J$40),'CALCULO MORTERO'!J372,MROUND('CALCULO MORTERO'!J372,10))</f>
        <v>#N/A</v>
      </c>
      <c r="U372" s="118">
        <f t="shared" si="47"/>
        <v>0</v>
      </c>
    </row>
    <row r="373" spans="1:27" s="36" customFormat="1" x14ac:dyDescent="0.25">
      <c r="A373" s="118">
        <f>+CUBICACION!D367</f>
        <v>0</v>
      </c>
      <c r="B373" s="819">
        <f>+CUBICACION!E367</f>
        <v>0</v>
      </c>
      <c r="C373" s="675">
        <f>+CUBICACION!F367</f>
        <v>0</v>
      </c>
      <c r="D373" s="118"/>
      <c r="E373" s="118"/>
      <c r="F373" s="820"/>
      <c r="G373" s="675">
        <f>+CUBICACION!J367</f>
        <v>0</v>
      </c>
      <c r="H373" s="118"/>
      <c r="I373" s="821">
        <f>+CUBICACION!L367</f>
        <v>0</v>
      </c>
      <c r="J373" s="64">
        <f>+CUBICACION!M367</f>
        <v>0</v>
      </c>
      <c r="K373" s="822" t="str">
        <f>+CUBICACION!N367</f>
        <v/>
      </c>
      <c r="L373" s="118">
        <f>+CUBICACION!O367</f>
        <v>0</v>
      </c>
      <c r="M373" s="823">
        <f>+CUBICACION!P367</f>
        <v>0</v>
      </c>
      <c r="N373" s="902">
        <f>ROUND(IF(AND(L373="Blaze Shield II",M373="Software Idiem",C373="IN",G373=4),((('BLAZE SHIELD II'!$D$4*('CALCULO MORTERO'!I373^2)+'BLAZE SHIELD II'!$D$5*'CALCULO MORTERO'!I373+'BLAZE SHIELD II'!$D$6)*LN(J373))+('BLAZE SHIELD II'!$D$7*('CALCULO MORTERO'!I373^2)+'BLAZE SHIELD II'!$D$8*'CALCULO MORTERO'!I373+'BLAZE SHIELD II'!$D$9)),0)+IF(AND(L373="Blaze Shield II",M373="Software Idiem",C373="Cj"),((('BLAZE SHIELD II'!$H$4*('CALCULO MORTERO'!I373^2)+'BLAZE SHIELD II'!$H$5*'CALCULO MORTERO'!I373+'BLAZE SHIELD II'!$H$6)*LN(J373))+('BLAZE SHIELD II'!$H$7*('CALCULO MORTERO'!I373^2)+'BLAZE SHIELD II'!$H$8*'CALCULO MORTERO'!I373+'BLAZE SHIELD II'!$H$9)),0)+IF(AND(L373="Blaze Shield II",M373="Software Idiem",C373="C"),((('BLAZE SHIELD II'!$L$4*('CALCULO MORTERO'!I373^2)+'BLAZE SHIELD II'!$L$5*'CALCULO MORTERO'!I373+'BLAZE SHIELD II'!$L$6)*LN(J373))+('BLAZE SHIELD II'!$L$7*('CALCULO MORTERO'!I373^2)+'BLAZE SHIELD II'!$L$8*'CALCULO MORTERO'!I373+'BLAZE SHIELD II'!$L$9)),0)+IF(AND(L373="Blaze Shield II",M373="Software Idiem",C373="L"),((('BLAZE SHIELD II'!$L$4*('CALCULO MORTERO'!I373^2)+'BLAZE SHIELD II'!$L$5*'CALCULO MORTERO'!I373+'BLAZE SHIELD II'!$L$6)*LN(J373))+('BLAZE SHIELD II'!$L$7*('CALCULO MORTERO'!I373^2)+'BLAZE SHIELD II'!$L$8*'CALCULO MORTERO'!I373+'BLAZE SHIELD II'!$L$9)),0)+IF(AND(L373="Blaze Shield II",M373="Software Idiem",C373="IN",G373=3),((('BLAZE SHIELD II'!$H$14*('CALCULO MORTERO'!I373^2)+'BLAZE SHIELD II'!$H$15*'CALCULO MORTERO'!I373+'BLAZE SHIELD II'!$H$16)*LN(J373))+('BLAZE SHIELD II'!$H$17*('CALCULO MORTERO'!I373^2)+'BLAZE SHIELD II'!$H$18*'CALCULO MORTERO'!I373+'BLAZE SHIELD II'!$H$19)),0),0)+ROUND(IF(AND(L373="Cafco 400",M373="Software Idiem",C373="IN",G373=4),((('CAFCO 400 '!$H$7*(J373^4)+'CAFCO 400 '!$H$8*(J373^3)+'CAFCO 400 '!$H$9*(J373^2)+'CAFCO 400 '!$H$10*J373+'CAFCO 400 '!$H$11)*U373^2)+(('CAFCO 400 '!$H$12*(J373^3)+'CAFCO 400 '!$H$13*(J373^2)+'CAFCO 400 '!$H$14*J373+'CAFCO 400 '!$H$15)*U373)+('CAFCO 400 '!$H$16*(J373^2)+'CAFCO 400 '!$H$17*J373+'CAFCO 400 '!$H$18)),0)+IF(AND(L373="Cafco 400",M373="Software Idiem",C373="Cj"),(((('CAFCO 400 '!$D$7*LN(J373)+'CAFCO 400 '!$D$8)*U373^2)+(('CAFCO 400 '!$D$9*LN(J373)+'CAFCO 400 '!$D$10)*U373)+('CAFCO 400 '!$D$11*LN(J373)+'CAFCO 400 '!$D$12))),0)+IF(AND(L373="Cafco 400",M373="Software Idiem",C373="C"),((('CAFCO 400 '!$L$7*(J373^3)+'CAFCO 400 '!$L$8*(J373^2)+'CAFCO 400 '!$L$9*J373+'CAFCO 400 '!$L$10)*U373^2)+(('CAFCO 400 '!$L$11*(J373^3)+'CAFCO 400 '!$L$12*(J373^2)+'CAFCO 400 '!$L$13*J373+'CAFCO 400 '!$L$14)*U373)+('CAFCO 400 '!$L$15*LN(J373)+'CAFCO 400 '!$L$16)),0)+IF(AND(L373="Cafco 400",M373="Software Idiem",C373="L"),((('CAFCO 400 '!$L$7*(J373^3)+'CAFCO 400 '!$L$8*(J373^2)+'CAFCO 400 '!$L$9*J373+'CAFCO 400 '!$L$10)*U373^2)+(('CAFCO 400 '!$L$11*(J373^3)+'CAFCO 400 '!$L$12*(J373^2)+'CAFCO 400 '!$L$13*J373+'CAFCO 400 '!$L$14)*U373)+('CAFCO 400 '!$L$15*LN(J373)+'CAFCO 400 '!$L$16)),0)+IF(AND(L373="Cafco 400",M373="Software Idiem",C373="IN",G373=3),((('CAFCO 400 '!$D$23*(J373^2)+'CAFCO 400 '!$D$24*(J373)+'CAFCO 400 '!$D$25)*U373^2)+(('CAFCO 400 '!$D$26*(J373^2)+'CAFCO 400 '!$D$27*J373+'CAFCO 400 '!$D$28)*U373)+('CAFCO 400 '!$D$29*(J373^2)+'CAFCO 400 '!$D$30*J373+'CAFCO 400 '!$D$31)),0),0)+IF(AND(L373="Cafco 300",J373&gt;=95,J373&lt;=240,C373="Cj",I373=90),VLOOKUP(T373,'CAFCO 300 IDIEM TABLAS'!$B$4:$D$23,2,FALSE),0)+IF(AND(L373="Cafco 300",J373&gt;=95,J373&lt;=240,C373="Cj",I373=120),VLOOKUP(T373,'CAFCO 300 IDIEM TABLAS'!$B$4:$D$23,3,FALSE),0)+IF(AND(L373="Cafco 300",J373&gt;=95,J373&lt;=400,G373=3,C373="IN",I373=90),VLOOKUP(T373,'CAFCO 300 IDIEM TABLAS'!$F$4:$H$35,2,FALSE),0)+IF(AND(L373="Cafco 300",J373&gt;=95,J373&lt;=400,G373=3,C373="IN",I373=120),VLOOKUP(T373,'CAFCO 300 IDIEM TABLAS'!$F$4:$H$35,3,FALSE),0)+IF(AND(L373="Cafco 300",J373&gt;=95,J373&lt;=450,G373=4,C373="IN",I373=90),VLOOKUP(T373,'CAFCO 300 IDIEM TABLAS'!$J$4:$L$40,2,FALSE),0)+IF(AND(L373="Cafco 300",J373&gt;=95,J373&lt;=450,G373=4,C373="IN",I373=120),VLOOKUP(T373,'CAFCO 300 IDIEM TABLAS'!$J$4:$L$40,3,FALSE),0)+IF(AND(M373="Ensayo Idiem",L373="Cafco 400",C373="IN",G373=4,I373=90),VLOOKUP(T373,'CAFCO 400 ENSAYO'!$B$7:$D$43,2,FALSE),0)+IF(AND(M373="Ensayo Idiem",L373="Cafco 400",C373="IN",G373=4,I373=120),VLOOKUP(T373,'CAFCO 400 ENSAYO'!$B$7:$D$43,3,FALSE),0)</f>
        <v>0</v>
      </c>
      <c r="O373" s="96">
        <f t="shared" si="39"/>
        <v>0</v>
      </c>
      <c r="P373" s="132" t="str">
        <f t="shared" si="43"/>
        <v>N/A</v>
      </c>
      <c r="Q373" s="132" t="str">
        <f t="shared" si="44"/>
        <v>N/A</v>
      </c>
      <c r="R373" s="132" t="str">
        <f t="shared" si="45"/>
        <v>NO CERT.</v>
      </c>
      <c r="S373" s="132" t="e">
        <f t="shared" si="46"/>
        <v>#N/A</v>
      </c>
      <c r="T373" s="133" t="e">
        <f>+IF(J373=LOOKUP(J373,'CAFCO 300 IDIEM TABLAS'!$J$4:$J$40),'CALCULO MORTERO'!J373,MROUND('CALCULO MORTERO'!J373,10))</f>
        <v>#N/A</v>
      </c>
      <c r="U373" s="134">
        <f t="shared" si="47"/>
        <v>0</v>
      </c>
    </row>
    <row r="374" spans="1:27" s="36" customFormat="1" x14ac:dyDescent="0.25">
      <c r="A374" s="118">
        <f>+CUBICACION!D368</f>
        <v>0</v>
      </c>
      <c r="B374" s="819">
        <f>+CUBICACION!E368</f>
        <v>0</v>
      </c>
      <c r="C374" s="675">
        <f>+CUBICACION!F368</f>
        <v>0</v>
      </c>
      <c r="D374" s="118"/>
      <c r="E374" s="118"/>
      <c r="F374" s="820"/>
      <c r="G374" s="675">
        <f>+CUBICACION!J368</f>
        <v>0</v>
      </c>
      <c r="H374" s="118"/>
      <c r="I374" s="821">
        <f>+CUBICACION!L368</f>
        <v>0</v>
      </c>
      <c r="J374" s="64">
        <f>+CUBICACION!M368</f>
        <v>0</v>
      </c>
      <c r="K374" s="822" t="str">
        <f>+CUBICACION!N368</f>
        <v/>
      </c>
      <c r="L374" s="118">
        <f>+CUBICACION!O368</f>
        <v>0</v>
      </c>
      <c r="M374" s="823">
        <f>+CUBICACION!P368</f>
        <v>0</v>
      </c>
      <c r="N374" s="902">
        <f>ROUND(IF(AND(L374="Blaze Shield II",M374="Software Idiem",C374="IN",G374=4),((('BLAZE SHIELD II'!$D$4*('CALCULO MORTERO'!I374^2)+'BLAZE SHIELD II'!$D$5*'CALCULO MORTERO'!I374+'BLAZE SHIELD II'!$D$6)*LN(J374))+('BLAZE SHIELD II'!$D$7*('CALCULO MORTERO'!I374^2)+'BLAZE SHIELD II'!$D$8*'CALCULO MORTERO'!I374+'BLAZE SHIELD II'!$D$9)),0)+IF(AND(L374="Blaze Shield II",M374="Software Idiem",C374="Cj"),((('BLAZE SHIELD II'!$H$4*('CALCULO MORTERO'!I374^2)+'BLAZE SHIELD II'!$H$5*'CALCULO MORTERO'!I374+'BLAZE SHIELD II'!$H$6)*LN(J374))+('BLAZE SHIELD II'!$H$7*('CALCULO MORTERO'!I374^2)+'BLAZE SHIELD II'!$H$8*'CALCULO MORTERO'!I374+'BLAZE SHIELD II'!$H$9)),0)+IF(AND(L374="Blaze Shield II",M374="Software Idiem",C374="C"),((('BLAZE SHIELD II'!$L$4*('CALCULO MORTERO'!I374^2)+'BLAZE SHIELD II'!$L$5*'CALCULO MORTERO'!I374+'BLAZE SHIELD II'!$L$6)*LN(J374))+('BLAZE SHIELD II'!$L$7*('CALCULO MORTERO'!I374^2)+'BLAZE SHIELD II'!$L$8*'CALCULO MORTERO'!I374+'BLAZE SHIELD II'!$L$9)),0)+IF(AND(L374="Blaze Shield II",M374="Software Idiem",C374="L"),((('BLAZE SHIELD II'!$L$4*('CALCULO MORTERO'!I374^2)+'BLAZE SHIELD II'!$L$5*'CALCULO MORTERO'!I374+'BLAZE SHIELD II'!$L$6)*LN(J374))+('BLAZE SHIELD II'!$L$7*('CALCULO MORTERO'!I374^2)+'BLAZE SHIELD II'!$L$8*'CALCULO MORTERO'!I374+'BLAZE SHIELD II'!$L$9)),0)+IF(AND(L374="Blaze Shield II",M374="Software Idiem",C374="IN",G374=3),((('BLAZE SHIELD II'!$H$14*('CALCULO MORTERO'!I374^2)+'BLAZE SHIELD II'!$H$15*'CALCULO MORTERO'!I374+'BLAZE SHIELD II'!$H$16)*LN(J374))+('BLAZE SHIELD II'!$H$17*('CALCULO MORTERO'!I374^2)+'BLAZE SHIELD II'!$H$18*'CALCULO MORTERO'!I374+'BLAZE SHIELD II'!$H$19)),0),0)+ROUND(IF(AND(L374="Cafco 400",M374="Software Idiem",C374="IN",G374=4),((('CAFCO 400 '!$H$7*(J374^4)+'CAFCO 400 '!$H$8*(J374^3)+'CAFCO 400 '!$H$9*(J374^2)+'CAFCO 400 '!$H$10*J374+'CAFCO 400 '!$H$11)*U374^2)+(('CAFCO 400 '!$H$12*(J374^3)+'CAFCO 400 '!$H$13*(J374^2)+'CAFCO 400 '!$H$14*J374+'CAFCO 400 '!$H$15)*U374)+('CAFCO 400 '!$H$16*(J374^2)+'CAFCO 400 '!$H$17*J374+'CAFCO 400 '!$H$18)),0)+IF(AND(L374="Cafco 400",M374="Software Idiem",C374="Cj"),(((('CAFCO 400 '!$D$7*LN(J374)+'CAFCO 400 '!$D$8)*U374^2)+(('CAFCO 400 '!$D$9*LN(J374)+'CAFCO 400 '!$D$10)*U374)+('CAFCO 400 '!$D$11*LN(J374)+'CAFCO 400 '!$D$12))),0)+IF(AND(L374="Cafco 400",M374="Software Idiem",C374="C"),((('CAFCO 400 '!$L$7*(J374^3)+'CAFCO 400 '!$L$8*(J374^2)+'CAFCO 400 '!$L$9*J374+'CAFCO 400 '!$L$10)*U374^2)+(('CAFCO 400 '!$L$11*(J374^3)+'CAFCO 400 '!$L$12*(J374^2)+'CAFCO 400 '!$L$13*J374+'CAFCO 400 '!$L$14)*U374)+('CAFCO 400 '!$L$15*LN(J374)+'CAFCO 400 '!$L$16)),0)+IF(AND(L374="Cafco 400",M374="Software Idiem",C374="L"),((('CAFCO 400 '!$L$7*(J374^3)+'CAFCO 400 '!$L$8*(J374^2)+'CAFCO 400 '!$L$9*J374+'CAFCO 400 '!$L$10)*U374^2)+(('CAFCO 400 '!$L$11*(J374^3)+'CAFCO 400 '!$L$12*(J374^2)+'CAFCO 400 '!$L$13*J374+'CAFCO 400 '!$L$14)*U374)+('CAFCO 400 '!$L$15*LN(J374)+'CAFCO 400 '!$L$16)),0)+IF(AND(L374="Cafco 400",M374="Software Idiem",C374="IN",G374=3),((('CAFCO 400 '!$D$23*(J374^2)+'CAFCO 400 '!$D$24*(J374)+'CAFCO 400 '!$D$25)*U374^2)+(('CAFCO 400 '!$D$26*(J374^2)+'CAFCO 400 '!$D$27*J374+'CAFCO 400 '!$D$28)*U374)+('CAFCO 400 '!$D$29*(J374^2)+'CAFCO 400 '!$D$30*J374+'CAFCO 400 '!$D$31)),0),0)+IF(AND(L374="Cafco 300",J374&gt;=95,J374&lt;=240,C374="Cj",I374=90),VLOOKUP(T374,'CAFCO 300 IDIEM TABLAS'!$B$4:$D$23,2,FALSE),0)+IF(AND(L374="Cafco 300",J374&gt;=95,J374&lt;=240,C374="Cj",I374=120),VLOOKUP(T374,'CAFCO 300 IDIEM TABLAS'!$B$4:$D$23,3,FALSE),0)+IF(AND(L374="Cafco 300",J374&gt;=95,J374&lt;=400,G374=3,C374="IN",I374=90),VLOOKUP(T374,'CAFCO 300 IDIEM TABLAS'!$F$4:$H$35,2,FALSE),0)+IF(AND(L374="Cafco 300",J374&gt;=95,J374&lt;=400,G374=3,C374="IN",I374=120),VLOOKUP(T374,'CAFCO 300 IDIEM TABLAS'!$F$4:$H$35,3,FALSE),0)+IF(AND(L374="Cafco 300",J374&gt;=95,J374&lt;=450,G374=4,C374="IN",I374=90),VLOOKUP(T374,'CAFCO 300 IDIEM TABLAS'!$J$4:$L$40,2,FALSE),0)+IF(AND(L374="Cafco 300",J374&gt;=95,J374&lt;=450,G374=4,C374="IN",I374=120),VLOOKUP(T374,'CAFCO 300 IDIEM TABLAS'!$J$4:$L$40,3,FALSE),0)+IF(AND(M374="Ensayo Idiem",L374="Cafco 400",C374="IN",G374=4,I374=90),VLOOKUP(T374,'CAFCO 400 ENSAYO'!$B$7:$D$43,2,FALSE),0)+IF(AND(M374="Ensayo Idiem",L374="Cafco 400",C374="IN",G374=4,I374=120),VLOOKUP(T374,'CAFCO 400 ENSAYO'!$B$7:$D$43,3,FALSE),0)</f>
        <v>0</v>
      </c>
      <c r="O374" s="96">
        <f t="shared" si="39"/>
        <v>0</v>
      </c>
      <c r="P374" s="95" t="str">
        <f t="shared" si="43"/>
        <v>N/A</v>
      </c>
      <c r="Q374" s="95" t="str">
        <f t="shared" si="44"/>
        <v>N/A</v>
      </c>
      <c r="R374" s="95" t="str">
        <f t="shared" si="45"/>
        <v>NO CERT.</v>
      </c>
      <c r="S374" s="95" t="e">
        <f t="shared" si="46"/>
        <v>#N/A</v>
      </c>
      <c r="T374" s="119" t="e">
        <f>+IF(J374=LOOKUP(J374,'CAFCO 300 IDIEM TABLAS'!$J$4:$J$40),'CALCULO MORTERO'!J374,MROUND('CALCULO MORTERO'!J374,10))</f>
        <v>#N/A</v>
      </c>
      <c r="U374" s="118">
        <f t="shared" si="47"/>
        <v>0</v>
      </c>
    </row>
    <row r="375" spans="1:27" s="36" customFormat="1" x14ac:dyDescent="0.25">
      <c r="A375" s="118">
        <f>+CUBICACION!D369</f>
        <v>0</v>
      </c>
      <c r="B375" s="819">
        <f>+CUBICACION!E369</f>
        <v>0</v>
      </c>
      <c r="C375" s="675">
        <f>+CUBICACION!F369</f>
        <v>0</v>
      </c>
      <c r="D375" s="118"/>
      <c r="E375" s="118"/>
      <c r="F375" s="820"/>
      <c r="G375" s="675">
        <f>+CUBICACION!J369</f>
        <v>0</v>
      </c>
      <c r="H375" s="118"/>
      <c r="I375" s="821">
        <f>+CUBICACION!L369</f>
        <v>0</v>
      </c>
      <c r="J375" s="64">
        <f>+CUBICACION!M369</f>
        <v>0</v>
      </c>
      <c r="K375" s="822" t="str">
        <f>+CUBICACION!N369</f>
        <v/>
      </c>
      <c r="L375" s="118">
        <f>+CUBICACION!O369</f>
        <v>0</v>
      </c>
      <c r="M375" s="823">
        <f>+CUBICACION!P369</f>
        <v>0</v>
      </c>
      <c r="N375" s="902">
        <f>ROUND(IF(AND(L375="Blaze Shield II",M375="Software Idiem",C375="IN",G375=4),((('BLAZE SHIELD II'!$D$4*('CALCULO MORTERO'!I375^2)+'BLAZE SHIELD II'!$D$5*'CALCULO MORTERO'!I375+'BLAZE SHIELD II'!$D$6)*LN(J375))+('BLAZE SHIELD II'!$D$7*('CALCULO MORTERO'!I375^2)+'BLAZE SHIELD II'!$D$8*'CALCULO MORTERO'!I375+'BLAZE SHIELD II'!$D$9)),0)+IF(AND(L375="Blaze Shield II",M375="Software Idiem",C375="Cj"),((('BLAZE SHIELD II'!$H$4*('CALCULO MORTERO'!I375^2)+'BLAZE SHIELD II'!$H$5*'CALCULO MORTERO'!I375+'BLAZE SHIELD II'!$H$6)*LN(J375))+('BLAZE SHIELD II'!$H$7*('CALCULO MORTERO'!I375^2)+'BLAZE SHIELD II'!$H$8*'CALCULO MORTERO'!I375+'BLAZE SHIELD II'!$H$9)),0)+IF(AND(L375="Blaze Shield II",M375="Software Idiem",C375="C"),((('BLAZE SHIELD II'!$L$4*('CALCULO MORTERO'!I375^2)+'BLAZE SHIELD II'!$L$5*'CALCULO MORTERO'!I375+'BLAZE SHIELD II'!$L$6)*LN(J375))+('BLAZE SHIELD II'!$L$7*('CALCULO MORTERO'!I375^2)+'BLAZE SHIELD II'!$L$8*'CALCULO MORTERO'!I375+'BLAZE SHIELD II'!$L$9)),0)+IF(AND(L375="Blaze Shield II",M375="Software Idiem",C375="L"),((('BLAZE SHIELD II'!$L$4*('CALCULO MORTERO'!I375^2)+'BLAZE SHIELD II'!$L$5*'CALCULO MORTERO'!I375+'BLAZE SHIELD II'!$L$6)*LN(J375))+('BLAZE SHIELD II'!$L$7*('CALCULO MORTERO'!I375^2)+'BLAZE SHIELD II'!$L$8*'CALCULO MORTERO'!I375+'BLAZE SHIELD II'!$L$9)),0)+IF(AND(L375="Blaze Shield II",M375="Software Idiem",C375="IN",G375=3),((('BLAZE SHIELD II'!$H$14*('CALCULO MORTERO'!I375^2)+'BLAZE SHIELD II'!$H$15*'CALCULO MORTERO'!I375+'BLAZE SHIELD II'!$H$16)*LN(J375))+('BLAZE SHIELD II'!$H$17*('CALCULO MORTERO'!I375^2)+'BLAZE SHIELD II'!$H$18*'CALCULO MORTERO'!I375+'BLAZE SHIELD II'!$H$19)),0),0)+ROUND(IF(AND(L375="Cafco 400",M375="Software Idiem",C375="IN",G375=4),((('CAFCO 400 '!$H$7*(J375^4)+'CAFCO 400 '!$H$8*(J375^3)+'CAFCO 400 '!$H$9*(J375^2)+'CAFCO 400 '!$H$10*J375+'CAFCO 400 '!$H$11)*U375^2)+(('CAFCO 400 '!$H$12*(J375^3)+'CAFCO 400 '!$H$13*(J375^2)+'CAFCO 400 '!$H$14*J375+'CAFCO 400 '!$H$15)*U375)+('CAFCO 400 '!$H$16*(J375^2)+'CAFCO 400 '!$H$17*J375+'CAFCO 400 '!$H$18)),0)+IF(AND(L375="Cafco 400",M375="Software Idiem",C375="Cj"),(((('CAFCO 400 '!$D$7*LN(J375)+'CAFCO 400 '!$D$8)*U375^2)+(('CAFCO 400 '!$D$9*LN(J375)+'CAFCO 400 '!$D$10)*U375)+('CAFCO 400 '!$D$11*LN(J375)+'CAFCO 400 '!$D$12))),0)+IF(AND(L375="Cafco 400",M375="Software Idiem",C375="C"),((('CAFCO 400 '!$L$7*(J375^3)+'CAFCO 400 '!$L$8*(J375^2)+'CAFCO 400 '!$L$9*J375+'CAFCO 400 '!$L$10)*U375^2)+(('CAFCO 400 '!$L$11*(J375^3)+'CAFCO 400 '!$L$12*(J375^2)+'CAFCO 400 '!$L$13*J375+'CAFCO 400 '!$L$14)*U375)+('CAFCO 400 '!$L$15*LN(J375)+'CAFCO 400 '!$L$16)),0)+IF(AND(L375="Cafco 400",M375="Software Idiem",C375="L"),((('CAFCO 400 '!$L$7*(J375^3)+'CAFCO 400 '!$L$8*(J375^2)+'CAFCO 400 '!$L$9*J375+'CAFCO 400 '!$L$10)*U375^2)+(('CAFCO 400 '!$L$11*(J375^3)+'CAFCO 400 '!$L$12*(J375^2)+'CAFCO 400 '!$L$13*J375+'CAFCO 400 '!$L$14)*U375)+('CAFCO 400 '!$L$15*LN(J375)+'CAFCO 400 '!$L$16)),0)+IF(AND(L375="Cafco 400",M375="Software Idiem",C375="IN",G375=3),((('CAFCO 400 '!$D$23*(J375^2)+'CAFCO 400 '!$D$24*(J375)+'CAFCO 400 '!$D$25)*U375^2)+(('CAFCO 400 '!$D$26*(J375^2)+'CAFCO 400 '!$D$27*J375+'CAFCO 400 '!$D$28)*U375)+('CAFCO 400 '!$D$29*(J375^2)+'CAFCO 400 '!$D$30*J375+'CAFCO 400 '!$D$31)),0),0)+IF(AND(L375="Cafco 300",J375&gt;=95,J375&lt;=240,C375="Cj",I375=90),VLOOKUP(T375,'CAFCO 300 IDIEM TABLAS'!$B$4:$D$23,2,FALSE),0)+IF(AND(L375="Cafco 300",J375&gt;=95,J375&lt;=240,C375="Cj",I375=120),VLOOKUP(T375,'CAFCO 300 IDIEM TABLAS'!$B$4:$D$23,3,FALSE),0)+IF(AND(L375="Cafco 300",J375&gt;=95,J375&lt;=400,G375=3,C375="IN",I375=90),VLOOKUP(T375,'CAFCO 300 IDIEM TABLAS'!$F$4:$H$35,2,FALSE),0)+IF(AND(L375="Cafco 300",J375&gt;=95,J375&lt;=400,G375=3,C375="IN",I375=120),VLOOKUP(T375,'CAFCO 300 IDIEM TABLAS'!$F$4:$H$35,3,FALSE),0)+IF(AND(L375="Cafco 300",J375&gt;=95,J375&lt;=450,G375=4,C375="IN",I375=90),VLOOKUP(T375,'CAFCO 300 IDIEM TABLAS'!$J$4:$L$40,2,FALSE),0)+IF(AND(L375="Cafco 300",J375&gt;=95,J375&lt;=450,G375=4,C375="IN",I375=120),VLOOKUP(T375,'CAFCO 300 IDIEM TABLAS'!$J$4:$L$40,3,FALSE),0)+IF(AND(M375="Ensayo Idiem",L375="Cafco 400",C375="IN",G375=4,I375=90),VLOOKUP(T375,'CAFCO 400 ENSAYO'!$B$7:$D$43,2,FALSE),0)+IF(AND(M375="Ensayo Idiem",L375="Cafco 400",C375="IN",G375=4,I375=120),VLOOKUP(T375,'CAFCO 400 ENSAYO'!$B$7:$D$43,3,FALSE),0)</f>
        <v>0</v>
      </c>
      <c r="O375" s="96">
        <f t="shared" si="39"/>
        <v>0</v>
      </c>
      <c r="P375" s="132" t="str">
        <f t="shared" si="43"/>
        <v>N/A</v>
      </c>
      <c r="Q375" s="132" t="str">
        <f t="shared" si="44"/>
        <v>N/A</v>
      </c>
      <c r="R375" s="132" t="str">
        <f t="shared" si="45"/>
        <v>NO CERT.</v>
      </c>
      <c r="S375" s="132" t="e">
        <f t="shared" si="46"/>
        <v>#N/A</v>
      </c>
      <c r="T375" s="133" t="e">
        <f>+IF(J375=LOOKUP(J375,'CAFCO 300 IDIEM TABLAS'!$J$4:$J$40),'CALCULO MORTERO'!J375,MROUND('CALCULO MORTERO'!J375,10))</f>
        <v>#N/A</v>
      </c>
      <c r="U375" s="134">
        <f t="shared" si="47"/>
        <v>0</v>
      </c>
    </row>
    <row r="376" spans="1:27" s="36" customFormat="1" x14ac:dyDescent="0.25">
      <c r="A376" s="118">
        <f>+CUBICACION!D370</f>
        <v>0</v>
      </c>
      <c r="B376" s="819">
        <f>+CUBICACION!E370</f>
        <v>0</v>
      </c>
      <c r="C376" s="675">
        <f>+CUBICACION!F370</f>
        <v>0</v>
      </c>
      <c r="D376" s="118"/>
      <c r="E376" s="118"/>
      <c r="F376" s="820"/>
      <c r="G376" s="675">
        <f>+CUBICACION!J370</f>
        <v>0</v>
      </c>
      <c r="H376" s="118"/>
      <c r="I376" s="821">
        <f>+CUBICACION!L370</f>
        <v>0</v>
      </c>
      <c r="J376" s="64">
        <f>+CUBICACION!M370</f>
        <v>0</v>
      </c>
      <c r="K376" s="822" t="str">
        <f>+CUBICACION!N370</f>
        <v/>
      </c>
      <c r="L376" s="118">
        <f>+CUBICACION!O370</f>
        <v>0</v>
      </c>
      <c r="M376" s="823">
        <f>+CUBICACION!P370</f>
        <v>0</v>
      </c>
      <c r="N376" s="902">
        <f>ROUND(IF(AND(L376="Blaze Shield II",M376="Software Idiem",C376="IN",G376=4),((('BLAZE SHIELD II'!$D$4*('CALCULO MORTERO'!I376^2)+'BLAZE SHIELD II'!$D$5*'CALCULO MORTERO'!I376+'BLAZE SHIELD II'!$D$6)*LN(J376))+('BLAZE SHIELD II'!$D$7*('CALCULO MORTERO'!I376^2)+'BLAZE SHIELD II'!$D$8*'CALCULO MORTERO'!I376+'BLAZE SHIELD II'!$D$9)),0)+IF(AND(L376="Blaze Shield II",M376="Software Idiem",C376="Cj"),((('BLAZE SHIELD II'!$H$4*('CALCULO MORTERO'!I376^2)+'BLAZE SHIELD II'!$H$5*'CALCULO MORTERO'!I376+'BLAZE SHIELD II'!$H$6)*LN(J376))+('BLAZE SHIELD II'!$H$7*('CALCULO MORTERO'!I376^2)+'BLAZE SHIELD II'!$H$8*'CALCULO MORTERO'!I376+'BLAZE SHIELD II'!$H$9)),0)+IF(AND(L376="Blaze Shield II",M376="Software Idiem",C376="C"),((('BLAZE SHIELD II'!$L$4*('CALCULO MORTERO'!I376^2)+'BLAZE SHIELD II'!$L$5*'CALCULO MORTERO'!I376+'BLAZE SHIELD II'!$L$6)*LN(J376))+('BLAZE SHIELD II'!$L$7*('CALCULO MORTERO'!I376^2)+'BLAZE SHIELD II'!$L$8*'CALCULO MORTERO'!I376+'BLAZE SHIELD II'!$L$9)),0)+IF(AND(L376="Blaze Shield II",M376="Software Idiem",C376="L"),((('BLAZE SHIELD II'!$L$4*('CALCULO MORTERO'!I376^2)+'BLAZE SHIELD II'!$L$5*'CALCULO MORTERO'!I376+'BLAZE SHIELD II'!$L$6)*LN(J376))+('BLAZE SHIELD II'!$L$7*('CALCULO MORTERO'!I376^2)+'BLAZE SHIELD II'!$L$8*'CALCULO MORTERO'!I376+'BLAZE SHIELD II'!$L$9)),0)+IF(AND(L376="Blaze Shield II",M376="Software Idiem",C376="IN",G376=3),((('BLAZE SHIELD II'!$H$14*('CALCULO MORTERO'!I376^2)+'BLAZE SHIELD II'!$H$15*'CALCULO MORTERO'!I376+'BLAZE SHIELD II'!$H$16)*LN(J376))+('BLAZE SHIELD II'!$H$17*('CALCULO MORTERO'!I376^2)+'BLAZE SHIELD II'!$H$18*'CALCULO MORTERO'!I376+'BLAZE SHIELD II'!$H$19)),0),0)+ROUND(IF(AND(L376="Cafco 400",M376="Software Idiem",C376="IN",G376=4),((('CAFCO 400 '!$H$7*(J376^4)+'CAFCO 400 '!$H$8*(J376^3)+'CAFCO 400 '!$H$9*(J376^2)+'CAFCO 400 '!$H$10*J376+'CAFCO 400 '!$H$11)*U376^2)+(('CAFCO 400 '!$H$12*(J376^3)+'CAFCO 400 '!$H$13*(J376^2)+'CAFCO 400 '!$H$14*J376+'CAFCO 400 '!$H$15)*U376)+('CAFCO 400 '!$H$16*(J376^2)+'CAFCO 400 '!$H$17*J376+'CAFCO 400 '!$H$18)),0)+IF(AND(L376="Cafco 400",M376="Software Idiem",C376="Cj"),(((('CAFCO 400 '!$D$7*LN(J376)+'CAFCO 400 '!$D$8)*U376^2)+(('CAFCO 400 '!$D$9*LN(J376)+'CAFCO 400 '!$D$10)*U376)+('CAFCO 400 '!$D$11*LN(J376)+'CAFCO 400 '!$D$12))),0)+IF(AND(L376="Cafco 400",M376="Software Idiem",C376="C"),((('CAFCO 400 '!$L$7*(J376^3)+'CAFCO 400 '!$L$8*(J376^2)+'CAFCO 400 '!$L$9*J376+'CAFCO 400 '!$L$10)*U376^2)+(('CAFCO 400 '!$L$11*(J376^3)+'CAFCO 400 '!$L$12*(J376^2)+'CAFCO 400 '!$L$13*J376+'CAFCO 400 '!$L$14)*U376)+('CAFCO 400 '!$L$15*LN(J376)+'CAFCO 400 '!$L$16)),0)+IF(AND(L376="Cafco 400",M376="Software Idiem",C376="L"),((('CAFCO 400 '!$L$7*(J376^3)+'CAFCO 400 '!$L$8*(J376^2)+'CAFCO 400 '!$L$9*J376+'CAFCO 400 '!$L$10)*U376^2)+(('CAFCO 400 '!$L$11*(J376^3)+'CAFCO 400 '!$L$12*(J376^2)+'CAFCO 400 '!$L$13*J376+'CAFCO 400 '!$L$14)*U376)+('CAFCO 400 '!$L$15*LN(J376)+'CAFCO 400 '!$L$16)),0)+IF(AND(L376="Cafco 400",M376="Software Idiem",C376="IN",G376=3),((('CAFCO 400 '!$D$23*(J376^2)+'CAFCO 400 '!$D$24*(J376)+'CAFCO 400 '!$D$25)*U376^2)+(('CAFCO 400 '!$D$26*(J376^2)+'CAFCO 400 '!$D$27*J376+'CAFCO 400 '!$D$28)*U376)+('CAFCO 400 '!$D$29*(J376^2)+'CAFCO 400 '!$D$30*J376+'CAFCO 400 '!$D$31)),0),0)+IF(AND(L376="Cafco 300",J376&gt;=95,J376&lt;=240,C376="Cj",I376=90),VLOOKUP(T376,'CAFCO 300 IDIEM TABLAS'!$B$4:$D$23,2,FALSE),0)+IF(AND(L376="Cafco 300",J376&gt;=95,J376&lt;=240,C376="Cj",I376=120),VLOOKUP(T376,'CAFCO 300 IDIEM TABLAS'!$B$4:$D$23,3,FALSE),0)+IF(AND(L376="Cafco 300",J376&gt;=95,J376&lt;=400,G376=3,C376="IN",I376=90),VLOOKUP(T376,'CAFCO 300 IDIEM TABLAS'!$F$4:$H$35,2,FALSE),0)+IF(AND(L376="Cafco 300",J376&gt;=95,J376&lt;=400,G376=3,C376="IN",I376=120),VLOOKUP(T376,'CAFCO 300 IDIEM TABLAS'!$F$4:$H$35,3,FALSE),0)+IF(AND(L376="Cafco 300",J376&gt;=95,J376&lt;=450,G376=4,C376="IN",I376=90),VLOOKUP(T376,'CAFCO 300 IDIEM TABLAS'!$J$4:$L$40,2,FALSE),0)+IF(AND(L376="Cafco 300",J376&gt;=95,J376&lt;=450,G376=4,C376="IN",I376=120),VLOOKUP(T376,'CAFCO 300 IDIEM TABLAS'!$J$4:$L$40,3,FALSE),0)+IF(AND(M376="Ensayo Idiem",L376="Cafco 400",C376="IN",G376=4,I376=90),VLOOKUP(T376,'CAFCO 400 ENSAYO'!$B$7:$D$43,2,FALSE),0)+IF(AND(M376="Ensayo Idiem",L376="Cafco 400",C376="IN",G376=4,I376=120),VLOOKUP(T376,'CAFCO 400 ENSAYO'!$B$7:$D$43,3,FALSE),0)</f>
        <v>0</v>
      </c>
      <c r="O376" s="96">
        <f t="shared" si="39"/>
        <v>0</v>
      </c>
      <c r="P376" s="95" t="str">
        <f t="shared" si="43"/>
        <v>N/A</v>
      </c>
      <c r="Q376" s="95" t="str">
        <f t="shared" si="44"/>
        <v>N/A</v>
      </c>
      <c r="R376" s="95" t="str">
        <f t="shared" si="45"/>
        <v>NO CERT.</v>
      </c>
      <c r="S376" s="95" t="e">
        <f t="shared" si="46"/>
        <v>#N/A</v>
      </c>
      <c r="T376" s="119" t="e">
        <f>+IF(J376=LOOKUP(J376,'CAFCO 300 IDIEM TABLAS'!$J$4:$J$40),'CALCULO MORTERO'!J376,MROUND('CALCULO MORTERO'!J376,10))</f>
        <v>#N/A</v>
      </c>
      <c r="U376" s="118">
        <f t="shared" si="47"/>
        <v>0</v>
      </c>
    </row>
    <row r="377" spans="1:27" s="36" customFormat="1" x14ac:dyDescent="0.25">
      <c r="A377" s="118">
        <f>+CUBICACION!D371</f>
        <v>0</v>
      </c>
      <c r="B377" s="819">
        <f>+CUBICACION!E371</f>
        <v>0</v>
      </c>
      <c r="C377" s="675">
        <f>+CUBICACION!F371</f>
        <v>0</v>
      </c>
      <c r="D377" s="118"/>
      <c r="E377" s="118"/>
      <c r="F377" s="820"/>
      <c r="G377" s="675">
        <f>+CUBICACION!J371</f>
        <v>0</v>
      </c>
      <c r="H377" s="118"/>
      <c r="I377" s="821">
        <f>+CUBICACION!L371</f>
        <v>0</v>
      </c>
      <c r="J377" s="64">
        <f>+CUBICACION!M371</f>
        <v>0</v>
      </c>
      <c r="K377" s="822" t="str">
        <f>+CUBICACION!N371</f>
        <v/>
      </c>
      <c r="L377" s="118">
        <f>+CUBICACION!O371</f>
        <v>0</v>
      </c>
      <c r="M377" s="823">
        <f>+CUBICACION!P371</f>
        <v>0</v>
      </c>
      <c r="N377" s="902">
        <f>ROUND(IF(AND(L377="Blaze Shield II",M377="Software Idiem",C377="IN",G377=4),((('BLAZE SHIELD II'!$D$4*('CALCULO MORTERO'!I377^2)+'BLAZE SHIELD II'!$D$5*'CALCULO MORTERO'!I377+'BLAZE SHIELD II'!$D$6)*LN(J377))+('BLAZE SHIELD II'!$D$7*('CALCULO MORTERO'!I377^2)+'BLAZE SHIELD II'!$D$8*'CALCULO MORTERO'!I377+'BLAZE SHIELD II'!$D$9)),0)+IF(AND(L377="Blaze Shield II",M377="Software Idiem",C377="Cj"),((('BLAZE SHIELD II'!$H$4*('CALCULO MORTERO'!I377^2)+'BLAZE SHIELD II'!$H$5*'CALCULO MORTERO'!I377+'BLAZE SHIELD II'!$H$6)*LN(J377))+('BLAZE SHIELD II'!$H$7*('CALCULO MORTERO'!I377^2)+'BLAZE SHIELD II'!$H$8*'CALCULO MORTERO'!I377+'BLAZE SHIELD II'!$H$9)),0)+IF(AND(L377="Blaze Shield II",M377="Software Idiem",C377="C"),((('BLAZE SHIELD II'!$L$4*('CALCULO MORTERO'!I377^2)+'BLAZE SHIELD II'!$L$5*'CALCULO MORTERO'!I377+'BLAZE SHIELD II'!$L$6)*LN(J377))+('BLAZE SHIELD II'!$L$7*('CALCULO MORTERO'!I377^2)+'BLAZE SHIELD II'!$L$8*'CALCULO MORTERO'!I377+'BLAZE SHIELD II'!$L$9)),0)+IF(AND(L377="Blaze Shield II",M377="Software Idiem",C377="L"),((('BLAZE SHIELD II'!$L$4*('CALCULO MORTERO'!I377^2)+'BLAZE SHIELD II'!$L$5*'CALCULO MORTERO'!I377+'BLAZE SHIELD II'!$L$6)*LN(J377))+('BLAZE SHIELD II'!$L$7*('CALCULO MORTERO'!I377^2)+'BLAZE SHIELD II'!$L$8*'CALCULO MORTERO'!I377+'BLAZE SHIELD II'!$L$9)),0)+IF(AND(L377="Blaze Shield II",M377="Software Idiem",C377="IN",G377=3),((('BLAZE SHIELD II'!$H$14*('CALCULO MORTERO'!I377^2)+'BLAZE SHIELD II'!$H$15*'CALCULO MORTERO'!I377+'BLAZE SHIELD II'!$H$16)*LN(J377))+('BLAZE SHIELD II'!$H$17*('CALCULO MORTERO'!I377^2)+'BLAZE SHIELD II'!$H$18*'CALCULO MORTERO'!I377+'BLAZE SHIELD II'!$H$19)),0),0)+ROUND(IF(AND(L377="Cafco 400",M377="Software Idiem",C377="IN",G377=4),((('CAFCO 400 '!$H$7*(J377^4)+'CAFCO 400 '!$H$8*(J377^3)+'CAFCO 400 '!$H$9*(J377^2)+'CAFCO 400 '!$H$10*J377+'CAFCO 400 '!$H$11)*U377^2)+(('CAFCO 400 '!$H$12*(J377^3)+'CAFCO 400 '!$H$13*(J377^2)+'CAFCO 400 '!$H$14*J377+'CAFCO 400 '!$H$15)*U377)+('CAFCO 400 '!$H$16*(J377^2)+'CAFCO 400 '!$H$17*J377+'CAFCO 400 '!$H$18)),0)+IF(AND(L377="Cafco 400",M377="Software Idiem",C377="Cj"),(((('CAFCO 400 '!$D$7*LN(J377)+'CAFCO 400 '!$D$8)*U377^2)+(('CAFCO 400 '!$D$9*LN(J377)+'CAFCO 400 '!$D$10)*U377)+('CAFCO 400 '!$D$11*LN(J377)+'CAFCO 400 '!$D$12))),0)+IF(AND(L377="Cafco 400",M377="Software Idiem",C377="C"),((('CAFCO 400 '!$L$7*(J377^3)+'CAFCO 400 '!$L$8*(J377^2)+'CAFCO 400 '!$L$9*J377+'CAFCO 400 '!$L$10)*U377^2)+(('CAFCO 400 '!$L$11*(J377^3)+'CAFCO 400 '!$L$12*(J377^2)+'CAFCO 400 '!$L$13*J377+'CAFCO 400 '!$L$14)*U377)+('CAFCO 400 '!$L$15*LN(J377)+'CAFCO 400 '!$L$16)),0)+IF(AND(L377="Cafco 400",M377="Software Idiem",C377="L"),((('CAFCO 400 '!$L$7*(J377^3)+'CAFCO 400 '!$L$8*(J377^2)+'CAFCO 400 '!$L$9*J377+'CAFCO 400 '!$L$10)*U377^2)+(('CAFCO 400 '!$L$11*(J377^3)+'CAFCO 400 '!$L$12*(J377^2)+'CAFCO 400 '!$L$13*J377+'CAFCO 400 '!$L$14)*U377)+('CAFCO 400 '!$L$15*LN(J377)+'CAFCO 400 '!$L$16)),0)+IF(AND(L377="Cafco 400",M377="Software Idiem",C377="IN",G377=3),((('CAFCO 400 '!$D$23*(J377^2)+'CAFCO 400 '!$D$24*(J377)+'CAFCO 400 '!$D$25)*U377^2)+(('CAFCO 400 '!$D$26*(J377^2)+'CAFCO 400 '!$D$27*J377+'CAFCO 400 '!$D$28)*U377)+('CAFCO 400 '!$D$29*(J377^2)+'CAFCO 400 '!$D$30*J377+'CAFCO 400 '!$D$31)),0),0)+IF(AND(L377="Cafco 300",J377&gt;=95,J377&lt;=240,C377="Cj",I377=90),VLOOKUP(T377,'CAFCO 300 IDIEM TABLAS'!$B$4:$D$23,2,FALSE),0)+IF(AND(L377="Cafco 300",J377&gt;=95,J377&lt;=240,C377="Cj",I377=120),VLOOKUP(T377,'CAFCO 300 IDIEM TABLAS'!$B$4:$D$23,3,FALSE),0)+IF(AND(L377="Cafco 300",J377&gt;=95,J377&lt;=400,G377=3,C377="IN",I377=90),VLOOKUP(T377,'CAFCO 300 IDIEM TABLAS'!$F$4:$H$35,2,FALSE),0)+IF(AND(L377="Cafco 300",J377&gt;=95,J377&lt;=400,G377=3,C377="IN",I377=120),VLOOKUP(T377,'CAFCO 300 IDIEM TABLAS'!$F$4:$H$35,3,FALSE),0)+IF(AND(L377="Cafco 300",J377&gt;=95,J377&lt;=450,G377=4,C377="IN",I377=90),VLOOKUP(T377,'CAFCO 300 IDIEM TABLAS'!$J$4:$L$40,2,FALSE),0)+IF(AND(L377="Cafco 300",J377&gt;=95,J377&lt;=450,G377=4,C377="IN",I377=120),VLOOKUP(T377,'CAFCO 300 IDIEM TABLAS'!$J$4:$L$40,3,FALSE),0)+IF(AND(M377="Ensayo Idiem",L377="Cafco 400",C377="IN",G377=4,I377=90),VLOOKUP(T377,'CAFCO 400 ENSAYO'!$B$7:$D$43,2,FALSE),0)+IF(AND(M377="Ensayo Idiem",L377="Cafco 400",C377="IN",G377=4,I377=120),VLOOKUP(T377,'CAFCO 400 ENSAYO'!$B$7:$D$43,3,FALSE),0)</f>
        <v>0</v>
      </c>
      <c r="O377" s="96">
        <f t="shared" si="39"/>
        <v>0</v>
      </c>
      <c r="P377" s="132" t="str">
        <f t="shared" si="43"/>
        <v>N/A</v>
      </c>
      <c r="Q377" s="132" t="str">
        <f t="shared" si="44"/>
        <v>N/A</v>
      </c>
      <c r="R377" s="132" t="str">
        <f t="shared" si="45"/>
        <v>NO CERT.</v>
      </c>
      <c r="S377" s="132" t="e">
        <f t="shared" si="46"/>
        <v>#N/A</v>
      </c>
      <c r="T377" s="133" t="e">
        <f>+IF(J377=LOOKUP(J377,'CAFCO 300 IDIEM TABLAS'!$J$4:$J$40),'CALCULO MORTERO'!J377,MROUND('CALCULO MORTERO'!J377,10))</f>
        <v>#N/A</v>
      </c>
      <c r="U377" s="134">
        <f t="shared" si="47"/>
        <v>0</v>
      </c>
    </row>
    <row r="378" spans="1:27" s="36" customFormat="1" x14ac:dyDescent="0.25">
      <c r="A378" s="118">
        <f>+CUBICACION!D372</f>
        <v>0</v>
      </c>
      <c r="B378" s="819">
        <f>+CUBICACION!E372</f>
        <v>0</v>
      </c>
      <c r="C378" s="675">
        <f>+CUBICACION!F372</f>
        <v>0</v>
      </c>
      <c r="D378" s="118"/>
      <c r="E378" s="118"/>
      <c r="F378" s="820"/>
      <c r="G378" s="675">
        <f>+CUBICACION!J372</f>
        <v>0</v>
      </c>
      <c r="H378" s="118"/>
      <c r="I378" s="821">
        <f>+CUBICACION!L372</f>
        <v>0</v>
      </c>
      <c r="J378" s="64">
        <f>+CUBICACION!M372</f>
        <v>0</v>
      </c>
      <c r="K378" s="822" t="str">
        <f>+CUBICACION!N372</f>
        <v/>
      </c>
      <c r="L378" s="118">
        <f>+CUBICACION!O372</f>
        <v>0</v>
      </c>
      <c r="M378" s="823">
        <f>+CUBICACION!P372</f>
        <v>0</v>
      </c>
      <c r="N378" s="902">
        <f>ROUND(IF(AND(L378="Blaze Shield II",M378="Software Idiem",C378="IN",G378=4),((('BLAZE SHIELD II'!$D$4*('CALCULO MORTERO'!I378^2)+'BLAZE SHIELD II'!$D$5*'CALCULO MORTERO'!I378+'BLAZE SHIELD II'!$D$6)*LN(J378))+('BLAZE SHIELD II'!$D$7*('CALCULO MORTERO'!I378^2)+'BLAZE SHIELD II'!$D$8*'CALCULO MORTERO'!I378+'BLAZE SHIELD II'!$D$9)),0)+IF(AND(L378="Blaze Shield II",M378="Software Idiem",C378="Cj"),((('BLAZE SHIELD II'!$H$4*('CALCULO MORTERO'!I378^2)+'BLAZE SHIELD II'!$H$5*'CALCULO MORTERO'!I378+'BLAZE SHIELD II'!$H$6)*LN(J378))+('BLAZE SHIELD II'!$H$7*('CALCULO MORTERO'!I378^2)+'BLAZE SHIELD II'!$H$8*'CALCULO MORTERO'!I378+'BLAZE SHIELD II'!$H$9)),0)+IF(AND(L378="Blaze Shield II",M378="Software Idiem",C378="C"),((('BLAZE SHIELD II'!$L$4*('CALCULO MORTERO'!I378^2)+'BLAZE SHIELD II'!$L$5*'CALCULO MORTERO'!I378+'BLAZE SHIELD II'!$L$6)*LN(J378))+('BLAZE SHIELD II'!$L$7*('CALCULO MORTERO'!I378^2)+'BLAZE SHIELD II'!$L$8*'CALCULO MORTERO'!I378+'BLAZE SHIELD II'!$L$9)),0)+IF(AND(L378="Blaze Shield II",M378="Software Idiem",C378="L"),((('BLAZE SHIELD II'!$L$4*('CALCULO MORTERO'!I378^2)+'BLAZE SHIELD II'!$L$5*'CALCULO MORTERO'!I378+'BLAZE SHIELD II'!$L$6)*LN(J378))+('BLAZE SHIELD II'!$L$7*('CALCULO MORTERO'!I378^2)+'BLAZE SHIELD II'!$L$8*'CALCULO MORTERO'!I378+'BLAZE SHIELD II'!$L$9)),0)+IF(AND(L378="Blaze Shield II",M378="Software Idiem",C378="IN",G378=3),((('BLAZE SHIELD II'!$H$14*('CALCULO MORTERO'!I378^2)+'BLAZE SHIELD II'!$H$15*'CALCULO MORTERO'!I378+'BLAZE SHIELD II'!$H$16)*LN(J378))+('BLAZE SHIELD II'!$H$17*('CALCULO MORTERO'!I378^2)+'BLAZE SHIELD II'!$H$18*'CALCULO MORTERO'!I378+'BLAZE SHIELD II'!$H$19)),0),0)+ROUND(IF(AND(L378="Cafco 400",M378="Software Idiem",C378="IN",G378=4),((('CAFCO 400 '!$H$7*(J378^4)+'CAFCO 400 '!$H$8*(J378^3)+'CAFCO 400 '!$H$9*(J378^2)+'CAFCO 400 '!$H$10*J378+'CAFCO 400 '!$H$11)*U378^2)+(('CAFCO 400 '!$H$12*(J378^3)+'CAFCO 400 '!$H$13*(J378^2)+'CAFCO 400 '!$H$14*J378+'CAFCO 400 '!$H$15)*U378)+('CAFCO 400 '!$H$16*(J378^2)+'CAFCO 400 '!$H$17*J378+'CAFCO 400 '!$H$18)),0)+IF(AND(L378="Cafco 400",M378="Software Idiem",C378="Cj"),(((('CAFCO 400 '!$D$7*LN(J378)+'CAFCO 400 '!$D$8)*U378^2)+(('CAFCO 400 '!$D$9*LN(J378)+'CAFCO 400 '!$D$10)*U378)+('CAFCO 400 '!$D$11*LN(J378)+'CAFCO 400 '!$D$12))),0)+IF(AND(L378="Cafco 400",M378="Software Idiem",C378="C"),((('CAFCO 400 '!$L$7*(J378^3)+'CAFCO 400 '!$L$8*(J378^2)+'CAFCO 400 '!$L$9*J378+'CAFCO 400 '!$L$10)*U378^2)+(('CAFCO 400 '!$L$11*(J378^3)+'CAFCO 400 '!$L$12*(J378^2)+'CAFCO 400 '!$L$13*J378+'CAFCO 400 '!$L$14)*U378)+('CAFCO 400 '!$L$15*LN(J378)+'CAFCO 400 '!$L$16)),0)+IF(AND(L378="Cafco 400",M378="Software Idiem",C378="L"),((('CAFCO 400 '!$L$7*(J378^3)+'CAFCO 400 '!$L$8*(J378^2)+'CAFCO 400 '!$L$9*J378+'CAFCO 400 '!$L$10)*U378^2)+(('CAFCO 400 '!$L$11*(J378^3)+'CAFCO 400 '!$L$12*(J378^2)+'CAFCO 400 '!$L$13*J378+'CAFCO 400 '!$L$14)*U378)+('CAFCO 400 '!$L$15*LN(J378)+'CAFCO 400 '!$L$16)),0)+IF(AND(L378="Cafco 400",M378="Software Idiem",C378="IN",G378=3),((('CAFCO 400 '!$D$23*(J378^2)+'CAFCO 400 '!$D$24*(J378)+'CAFCO 400 '!$D$25)*U378^2)+(('CAFCO 400 '!$D$26*(J378^2)+'CAFCO 400 '!$D$27*J378+'CAFCO 400 '!$D$28)*U378)+('CAFCO 400 '!$D$29*(J378^2)+'CAFCO 400 '!$D$30*J378+'CAFCO 400 '!$D$31)),0),0)+IF(AND(L378="Cafco 300",J378&gt;=95,J378&lt;=240,C378="Cj",I378=90),VLOOKUP(T378,'CAFCO 300 IDIEM TABLAS'!$B$4:$D$23,2,FALSE),0)+IF(AND(L378="Cafco 300",J378&gt;=95,J378&lt;=240,C378="Cj",I378=120),VLOOKUP(T378,'CAFCO 300 IDIEM TABLAS'!$B$4:$D$23,3,FALSE),0)+IF(AND(L378="Cafco 300",J378&gt;=95,J378&lt;=400,G378=3,C378="IN",I378=90),VLOOKUP(T378,'CAFCO 300 IDIEM TABLAS'!$F$4:$H$35,2,FALSE),0)+IF(AND(L378="Cafco 300",J378&gt;=95,J378&lt;=400,G378=3,C378="IN",I378=120),VLOOKUP(T378,'CAFCO 300 IDIEM TABLAS'!$F$4:$H$35,3,FALSE),0)+IF(AND(L378="Cafco 300",J378&gt;=95,J378&lt;=450,G378=4,C378="IN",I378=90),VLOOKUP(T378,'CAFCO 300 IDIEM TABLAS'!$J$4:$L$40,2,FALSE),0)+IF(AND(L378="Cafco 300",J378&gt;=95,J378&lt;=450,G378=4,C378="IN",I378=120),VLOOKUP(T378,'CAFCO 300 IDIEM TABLAS'!$J$4:$L$40,3,FALSE),0)+IF(AND(M378="Ensayo Idiem",L378="Cafco 400",C378="IN",G378=4,I378=90),VLOOKUP(T378,'CAFCO 400 ENSAYO'!$B$7:$D$43,2,FALSE),0)+IF(AND(M378="Ensayo Idiem",L378="Cafco 400",C378="IN",G378=4,I378=120),VLOOKUP(T378,'CAFCO 400 ENSAYO'!$B$7:$D$43,3,FALSE),0)</f>
        <v>0</v>
      </c>
      <c r="O378" s="96">
        <f t="shared" si="39"/>
        <v>0</v>
      </c>
      <c r="P378" s="95" t="str">
        <f t="shared" si="43"/>
        <v>N/A</v>
      </c>
      <c r="Q378" s="95" t="str">
        <f t="shared" si="44"/>
        <v>N/A</v>
      </c>
      <c r="R378" s="95" t="str">
        <f t="shared" si="45"/>
        <v>NO CERT.</v>
      </c>
      <c r="S378" s="95" t="e">
        <f t="shared" si="46"/>
        <v>#N/A</v>
      </c>
      <c r="T378" s="119" t="e">
        <f>+IF(J378=LOOKUP(J378,'CAFCO 300 IDIEM TABLAS'!$J$4:$J$40),'CALCULO MORTERO'!J378,MROUND('CALCULO MORTERO'!J378,10))</f>
        <v>#N/A</v>
      </c>
      <c r="U378" s="118">
        <f t="shared" si="47"/>
        <v>0</v>
      </c>
    </row>
    <row r="379" spans="1:27" s="36" customFormat="1" x14ac:dyDescent="0.25">
      <c r="A379" s="118">
        <f>+CUBICACION!D373</f>
        <v>0</v>
      </c>
      <c r="B379" s="819">
        <f>+CUBICACION!E373</f>
        <v>0</v>
      </c>
      <c r="C379" s="675">
        <f>+CUBICACION!F373</f>
        <v>0</v>
      </c>
      <c r="D379" s="118"/>
      <c r="E379" s="118"/>
      <c r="F379" s="820"/>
      <c r="G379" s="675">
        <f>+CUBICACION!J373</f>
        <v>0</v>
      </c>
      <c r="H379" s="118"/>
      <c r="I379" s="821">
        <f>+CUBICACION!L373</f>
        <v>0</v>
      </c>
      <c r="J379" s="64">
        <f>+CUBICACION!M373</f>
        <v>0</v>
      </c>
      <c r="K379" s="822" t="str">
        <f>+CUBICACION!N373</f>
        <v/>
      </c>
      <c r="L379" s="118">
        <f>+CUBICACION!O373</f>
        <v>0</v>
      </c>
      <c r="M379" s="823">
        <f>+CUBICACION!P373</f>
        <v>0</v>
      </c>
      <c r="N379" s="902">
        <f>ROUND(IF(AND(L379="Blaze Shield II",M379="Software Idiem",C379="IN",G379=4),((('BLAZE SHIELD II'!$D$4*('CALCULO MORTERO'!I379^2)+'BLAZE SHIELD II'!$D$5*'CALCULO MORTERO'!I379+'BLAZE SHIELD II'!$D$6)*LN(J379))+('BLAZE SHIELD II'!$D$7*('CALCULO MORTERO'!I379^2)+'BLAZE SHIELD II'!$D$8*'CALCULO MORTERO'!I379+'BLAZE SHIELD II'!$D$9)),0)+IF(AND(L379="Blaze Shield II",M379="Software Idiem",C379="Cj"),((('BLAZE SHIELD II'!$H$4*('CALCULO MORTERO'!I379^2)+'BLAZE SHIELD II'!$H$5*'CALCULO MORTERO'!I379+'BLAZE SHIELD II'!$H$6)*LN(J379))+('BLAZE SHIELD II'!$H$7*('CALCULO MORTERO'!I379^2)+'BLAZE SHIELD II'!$H$8*'CALCULO MORTERO'!I379+'BLAZE SHIELD II'!$H$9)),0)+IF(AND(L379="Blaze Shield II",M379="Software Idiem",C379="C"),((('BLAZE SHIELD II'!$L$4*('CALCULO MORTERO'!I379^2)+'BLAZE SHIELD II'!$L$5*'CALCULO MORTERO'!I379+'BLAZE SHIELD II'!$L$6)*LN(J379))+('BLAZE SHIELD II'!$L$7*('CALCULO MORTERO'!I379^2)+'BLAZE SHIELD II'!$L$8*'CALCULO MORTERO'!I379+'BLAZE SHIELD II'!$L$9)),0)+IF(AND(L379="Blaze Shield II",M379="Software Idiem",C379="L"),((('BLAZE SHIELD II'!$L$4*('CALCULO MORTERO'!I379^2)+'BLAZE SHIELD II'!$L$5*'CALCULO MORTERO'!I379+'BLAZE SHIELD II'!$L$6)*LN(J379))+('BLAZE SHIELD II'!$L$7*('CALCULO MORTERO'!I379^2)+'BLAZE SHIELD II'!$L$8*'CALCULO MORTERO'!I379+'BLAZE SHIELD II'!$L$9)),0)+IF(AND(L379="Blaze Shield II",M379="Software Idiem",C379="IN",G379=3),((('BLAZE SHIELD II'!$H$14*('CALCULO MORTERO'!I379^2)+'BLAZE SHIELD II'!$H$15*'CALCULO MORTERO'!I379+'BLAZE SHIELD II'!$H$16)*LN(J379))+('BLAZE SHIELD II'!$H$17*('CALCULO MORTERO'!I379^2)+'BLAZE SHIELD II'!$H$18*'CALCULO MORTERO'!I379+'BLAZE SHIELD II'!$H$19)),0),0)+ROUND(IF(AND(L379="Cafco 400",M379="Software Idiem",C379="IN",G379=4),((('CAFCO 400 '!$H$7*(J379^4)+'CAFCO 400 '!$H$8*(J379^3)+'CAFCO 400 '!$H$9*(J379^2)+'CAFCO 400 '!$H$10*J379+'CAFCO 400 '!$H$11)*U379^2)+(('CAFCO 400 '!$H$12*(J379^3)+'CAFCO 400 '!$H$13*(J379^2)+'CAFCO 400 '!$H$14*J379+'CAFCO 400 '!$H$15)*U379)+('CAFCO 400 '!$H$16*(J379^2)+'CAFCO 400 '!$H$17*J379+'CAFCO 400 '!$H$18)),0)+IF(AND(L379="Cafco 400",M379="Software Idiem",C379="Cj"),(((('CAFCO 400 '!$D$7*LN(J379)+'CAFCO 400 '!$D$8)*U379^2)+(('CAFCO 400 '!$D$9*LN(J379)+'CAFCO 400 '!$D$10)*U379)+('CAFCO 400 '!$D$11*LN(J379)+'CAFCO 400 '!$D$12))),0)+IF(AND(L379="Cafco 400",M379="Software Idiem",C379="C"),((('CAFCO 400 '!$L$7*(J379^3)+'CAFCO 400 '!$L$8*(J379^2)+'CAFCO 400 '!$L$9*J379+'CAFCO 400 '!$L$10)*U379^2)+(('CAFCO 400 '!$L$11*(J379^3)+'CAFCO 400 '!$L$12*(J379^2)+'CAFCO 400 '!$L$13*J379+'CAFCO 400 '!$L$14)*U379)+('CAFCO 400 '!$L$15*LN(J379)+'CAFCO 400 '!$L$16)),0)+IF(AND(L379="Cafco 400",M379="Software Idiem",C379="L"),((('CAFCO 400 '!$L$7*(J379^3)+'CAFCO 400 '!$L$8*(J379^2)+'CAFCO 400 '!$L$9*J379+'CAFCO 400 '!$L$10)*U379^2)+(('CAFCO 400 '!$L$11*(J379^3)+'CAFCO 400 '!$L$12*(J379^2)+'CAFCO 400 '!$L$13*J379+'CAFCO 400 '!$L$14)*U379)+('CAFCO 400 '!$L$15*LN(J379)+'CAFCO 400 '!$L$16)),0)+IF(AND(L379="Cafco 400",M379="Software Idiem",C379="IN",G379=3),((('CAFCO 400 '!$D$23*(J379^2)+'CAFCO 400 '!$D$24*(J379)+'CAFCO 400 '!$D$25)*U379^2)+(('CAFCO 400 '!$D$26*(J379^2)+'CAFCO 400 '!$D$27*J379+'CAFCO 400 '!$D$28)*U379)+('CAFCO 400 '!$D$29*(J379^2)+'CAFCO 400 '!$D$30*J379+'CAFCO 400 '!$D$31)),0),0)+IF(AND(L379="Cafco 300",J379&gt;=95,J379&lt;=240,C379="Cj",I379=90),VLOOKUP(T379,'CAFCO 300 IDIEM TABLAS'!$B$4:$D$23,2,FALSE),0)+IF(AND(L379="Cafco 300",J379&gt;=95,J379&lt;=240,C379="Cj",I379=120),VLOOKUP(T379,'CAFCO 300 IDIEM TABLAS'!$B$4:$D$23,3,FALSE),0)+IF(AND(L379="Cafco 300",J379&gt;=95,J379&lt;=400,G379=3,C379="IN",I379=90),VLOOKUP(T379,'CAFCO 300 IDIEM TABLAS'!$F$4:$H$35,2,FALSE),0)+IF(AND(L379="Cafco 300",J379&gt;=95,J379&lt;=400,G379=3,C379="IN",I379=120),VLOOKUP(T379,'CAFCO 300 IDIEM TABLAS'!$F$4:$H$35,3,FALSE),0)+IF(AND(L379="Cafco 300",J379&gt;=95,J379&lt;=450,G379=4,C379="IN",I379=90),VLOOKUP(T379,'CAFCO 300 IDIEM TABLAS'!$J$4:$L$40,2,FALSE),0)+IF(AND(L379="Cafco 300",J379&gt;=95,J379&lt;=450,G379=4,C379="IN",I379=120),VLOOKUP(T379,'CAFCO 300 IDIEM TABLAS'!$J$4:$L$40,3,FALSE),0)+IF(AND(M379="Ensayo Idiem",L379="Cafco 400",C379="IN",G379=4,I379=90),VLOOKUP(T379,'CAFCO 400 ENSAYO'!$B$7:$D$43,2,FALSE),0)+IF(AND(M379="Ensayo Idiem",L379="Cafco 400",C379="IN",G379=4,I379=120),VLOOKUP(T379,'CAFCO 400 ENSAYO'!$B$7:$D$43,3,FALSE),0)</f>
        <v>0</v>
      </c>
      <c r="O379" s="96">
        <f t="shared" si="39"/>
        <v>0</v>
      </c>
      <c r="P379" s="132" t="str">
        <f t="shared" si="43"/>
        <v>N/A</v>
      </c>
      <c r="Q379" s="132" t="str">
        <f t="shared" si="44"/>
        <v>N/A</v>
      </c>
      <c r="R379" s="132" t="str">
        <f t="shared" si="45"/>
        <v>NO CERT.</v>
      </c>
      <c r="S379" s="132" t="e">
        <f t="shared" si="46"/>
        <v>#N/A</v>
      </c>
      <c r="T379" s="133" t="e">
        <f>+IF(J379=LOOKUP(J379,'CAFCO 300 IDIEM TABLAS'!$J$4:$J$40),'CALCULO MORTERO'!J379,MROUND('CALCULO MORTERO'!J379,10))</f>
        <v>#N/A</v>
      </c>
      <c r="U379" s="134">
        <f t="shared" si="47"/>
        <v>0</v>
      </c>
    </row>
    <row r="380" spans="1:27" s="36" customFormat="1" x14ac:dyDescent="0.25">
      <c r="A380" s="118">
        <f>+CUBICACION!D374</f>
        <v>0</v>
      </c>
      <c r="B380" s="819">
        <f>+CUBICACION!E374</f>
        <v>0</v>
      </c>
      <c r="C380" s="675">
        <f>+CUBICACION!F374</f>
        <v>0</v>
      </c>
      <c r="D380" s="118"/>
      <c r="E380" s="118"/>
      <c r="F380" s="820"/>
      <c r="G380" s="675">
        <f>+CUBICACION!J374</f>
        <v>0</v>
      </c>
      <c r="H380" s="118"/>
      <c r="I380" s="821">
        <f>+CUBICACION!L374</f>
        <v>0</v>
      </c>
      <c r="J380" s="64">
        <f>+CUBICACION!M374</f>
        <v>0</v>
      </c>
      <c r="K380" s="822" t="str">
        <f>+CUBICACION!N374</f>
        <v/>
      </c>
      <c r="L380" s="118">
        <f>+CUBICACION!O374</f>
        <v>0</v>
      </c>
      <c r="M380" s="823">
        <f>+CUBICACION!P374</f>
        <v>0</v>
      </c>
      <c r="N380" s="902">
        <f>ROUND(IF(AND(L380="Blaze Shield II",M380="Software Idiem",C380="IN",G380=4),((('BLAZE SHIELD II'!$D$4*('CALCULO MORTERO'!I380^2)+'BLAZE SHIELD II'!$D$5*'CALCULO MORTERO'!I380+'BLAZE SHIELD II'!$D$6)*LN(J380))+('BLAZE SHIELD II'!$D$7*('CALCULO MORTERO'!I380^2)+'BLAZE SHIELD II'!$D$8*'CALCULO MORTERO'!I380+'BLAZE SHIELD II'!$D$9)),0)+IF(AND(L380="Blaze Shield II",M380="Software Idiem",C380="Cj"),((('BLAZE SHIELD II'!$H$4*('CALCULO MORTERO'!I380^2)+'BLAZE SHIELD II'!$H$5*'CALCULO MORTERO'!I380+'BLAZE SHIELD II'!$H$6)*LN(J380))+('BLAZE SHIELD II'!$H$7*('CALCULO MORTERO'!I380^2)+'BLAZE SHIELD II'!$H$8*'CALCULO MORTERO'!I380+'BLAZE SHIELD II'!$H$9)),0)+IF(AND(L380="Blaze Shield II",M380="Software Idiem",C380="C"),((('BLAZE SHIELD II'!$L$4*('CALCULO MORTERO'!I380^2)+'BLAZE SHIELD II'!$L$5*'CALCULO MORTERO'!I380+'BLAZE SHIELD II'!$L$6)*LN(J380))+('BLAZE SHIELD II'!$L$7*('CALCULO MORTERO'!I380^2)+'BLAZE SHIELD II'!$L$8*'CALCULO MORTERO'!I380+'BLAZE SHIELD II'!$L$9)),0)+IF(AND(L380="Blaze Shield II",M380="Software Idiem",C380="L"),((('BLAZE SHIELD II'!$L$4*('CALCULO MORTERO'!I380^2)+'BLAZE SHIELD II'!$L$5*'CALCULO MORTERO'!I380+'BLAZE SHIELD II'!$L$6)*LN(J380))+('BLAZE SHIELD II'!$L$7*('CALCULO MORTERO'!I380^2)+'BLAZE SHIELD II'!$L$8*'CALCULO MORTERO'!I380+'BLAZE SHIELD II'!$L$9)),0)+IF(AND(L380="Blaze Shield II",M380="Software Idiem",C380="IN",G380=3),((('BLAZE SHIELD II'!$H$14*('CALCULO MORTERO'!I380^2)+'BLAZE SHIELD II'!$H$15*'CALCULO MORTERO'!I380+'BLAZE SHIELD II'!$H$16)*LN(J380))+('BLAZE SHIELD II'!$H$17*('CALCULO MORTERO'!I380^2)+'BLAZE SHIELD II'!$H$18*'CALCULO MORTERO'!I380+'BLAZE SHIELD II'!$H$19)),0),0)+ROUND(IF(AND(L380="Cafco 400",M380="Software Idiem",C380="IN",G380=4),((('CAFCO 400 '!$H$7*(J380^4)+'CAFCO 400 '!$H$8*(J380^3)+'CAFCO 400 '!$H$9*(J380^2)+'CAFCO 400 '!$H$10*J380+'CAFCO 400 '!$H$11)*U380^2)+(('CAFCO 400 '!$H$12*(J380^3)+'CAFCO 400 '!$H$13*(J380^2)+'CAFCO 400 '!$H$14*J380+'CAFCO 400 '!$H$15)*U380)+('CAFCO 400 '!$H$16*(J380^2)+'CAFCO 400 '!$H$17*J380+'CAFCO 400 '!$H$18)),0)+IF(AND(L380="Cafco 400",M380="Software Idiem",C380="Cj"),(((('CAFCO 400 '!$D$7*LN(J380)+'CAFCO 400 '!$D$8)*U380^2)+(('CAFCO 400 '!$D$9*LN(J380)+'CAFCO 400 '!$D$10)*U380)+('CAFCO 400 '!$D$11*LN(J380)+'CAFCO 400 '!$D$12))),0)+IF(AND(L380="Cafco 400",M380="Software Idiem",C380="C"),((('CAFCO 400 '!$L$7*(J380^3)+'CAFCO 400 '!$L$8*(J380^2)+'CAFCO 400 '!$L$9*J380+'CAFCO 400 '!$L$10)*U380^2)+(('CAFCO 400 '!$L$11*(J380^3)+'CAFCO 400 '!$L$12*(J380^2)+'CAFCO 400 '!$L$13*J380+'CAFCO 400 '!$L$14)*U380)+('CAFCO 400 '!$L$15*LN(J380)+'CAFCO 400 '!$L$16)),0)+IF(AND(L380="Cafco 400",M380="Software Idiem",C380="L"),((('CAFCO 400 '!$L$7*(J380^3)+'CAFCO 400 '!$L$8*(J380^2)+'CAFCO 400 '!$L$9*J380+'CAFCO 400 '!$L$10)*U380^2)+(('CAFCO 400 '!$L$11*(J380^3)+'CAFCO 400 '!$L$12*(J380^2)+'CAFCO 400 '!$L$13*J380+'CAFCO 400 '!$L$14)*U380)+('CAFCO 400 '!$L$15*LN(J380)+'CAFCO 400 '!$L$16)),0)+IF(AND(L380="Cafco 400",M380="Software Idiem",C380="IN",G380=3),((('CAFCO 400 '!$D$23*(J380^2)+'CAFCO 400 '!$D$24*(J380)+'CAFCO 400 '!$D$25)*U380^2)+(('CAFCO 400 '!$D$26*(J380^2)+'CAFCO 400 '!$D$27*J380+'CAFCO 400 '!$D$28)*U380)+('CAFCO 400 '!$D$29*(J380^2)+'CAFCO 400 '!$D$30*J380+'CAFCO 400 '!$D$31)),0),0)+IF(AND(L380="Cafco 300",J380&gt;=95,J380&lt;=240,C380="Cj",I380=90),VLOOKUP(T380,'CAFCO 300 IDIEM TABLAS'!$B$4:$D$23,2,FALSE),0)+IF(AND(L380="Cafco 300",J380&gt;=95,J380&lt;=240,C380="Cj",I380=120),VLOOKUP(T380,'CAFCO 300 IDIEM TABLAS'!$B$4:$D$23,3,FALSE),0)+IF(AND(L380="Cafco 300",J380&gt;=95,J380&lt;=400,G380=3,C380="IN",I380=90),VLOOKUP(T380,'CAFCO 300 IDIEM TABLAS'!$F$4:$H$35,2,FALSE),0)+IF(AND(L380="Cafco 300",J380&gt;=95,J380&lt;=400,G380=3,C380="IN",I380=120),VLOOKUP(T380,'CAFCO 300 IDIEM TABLAS'!$F$4:$H$35,3,FALSE),0)+IF(AND(L380="Cafco 300",J380&gt;=95,J380&lt;=450,G380=4,C380="IN",I380=90),VLOOKUP(T380,'CAFCO 300 IDIEM TABLAS'!$J$4:$L$40,2,FALSE),0)+IF(AND(L380="Cafco 300",J380&gt;=95,J380&lt;=450,G380=4,C380="IN",I380=120),VLOOKUP(T380,'CAFCO 300 IDIEM TABLAS'!$J$4:$L$40,3,FALSE),0)+IF(AND(M380="Ensayo Idiem",L380="Cafco 400",C380="IN",G380=4,I380=90),VLOOKUP(T380,'CAFCO 400 ENSAYO'!$B$7:$D$43,2,FALSE),0)+IF(AND(M380="Ensayo Idiem",L380="Cafco 400",C380="IN",G380=4,I380=120),VLOOKUP(T380,'CAFCO 400 ENSAYO'!$B$7:$D$43,3,FALSE),0)</f>
        <v>0</v>
      </c>
      <c r="O380" s="96">
        <f t="shared" si="39"/>
        <v>0</v>
      </c>
      <c r="P380" s="95" t="str">
        <f t="shared" si="43"/>
        <v>N/A</v>
      </c>
      <c r="Q380" s="95" t="str">
        <f t="shared" si="44"/>
        <v>N/A</v>
      </c>
      <c r="R380" s="95" t="str">
        <f t="shared" si="45"/>
        <v>NO CERT.</v>
      </c>
      <c r="S380" s="95" t="e">
        <f t="shared" si="46"/>
        <v>#N/A</v>
      </c>
      <c r="T380" s="119" t="e">
        <f>+IF(J380=LOOKUP(J380,'CAFCO 300 IDIEM TABLAS'!$J$4:$J$40),'CALCULO MORTERO'!J380,MROUND('CALCULO MORTERO'!J380,10))</f>
        <v>#N/A</v>
      </c>
      <c r="U380" s="118">
        <f t="shared" si="47"/>
        <v>0</v>
      </c>
    </row>
    <row r="381" spans="1:27" s="36" customFormat="1" x14ac:dyDescent="0.25">
      <c r="A381" s="118">
        <f>+CUBICACION!D375</f>
        <v>0</v>
      </c>
      <c r="B381" s="819">
        <f>+CUBICACION!E375</f>
        <v>0</v>
      </c>
      <c r="C381" s="675">
        <f>+CUBICACION!F375</f>
        <v>0</v>
      </c>
      <c r="D381" s="118"/>
      <c r="E381" s="118"/>
      <c r="F381" s="820"/>
      <c r="G381" s="675">
        <f>+CUBICACION!J375</f>
        <v>0</v>
      </c>
      <c r="H381" s="118"/>
      <c r="I381" s="821">
        <f>+CUBICACION!L375</f>
        <v>0</v>
      </c>
      <c r="J381" s="64">
        <f>+CUBICACION!M375</f>
        <v>0</v>
      </c>
      <c r="K381" s="822" t="str">
        <f>+CUBICACION!N375</f>
        <v/>
      </c>
      <c r="L381" s="118">
        <f>+CUBICACION!O375</f>
        <v>0</v>
      </c>
      <c r="M381" s="823">
        <f>+CUBICACION!P375</f>
        <v>0</v>
      </c>
      <c r="N381" s="902">
        <f>ROUND(IF(AND(L381="Blaze Shield II",M381="Software Idiem",C381="IN",G381=4),((('BLAZE SHIELD II'!$D$4*('CALCULO MORTERO'!I381^2)+'BLAZE SHIELD II'!$D$5*'CALCULO MORTERO'!I381+'BLAZE SHIELD II'!$D$6)*LN(J381))+('BLAZE SHIELD II'!$D$7*('CALCULO MORTERO'!I381^2)+'BLAZE SHIELD II'!$D$8*'CALCULO MORTERO'!I381+'BLAZE SHIELD II'!$D$9)),0)+IF(AND(L381="Blaze Shield II",M381="Software Idiem",C381="Cj"),((('BLAZE SHIELD II'!$H$4*('CALCULO MORTERO'!I381^2)+'BLAZE SHIELD II'!$H$5*'CALCULO MORTERO'!I381+'BLAZE SHIELD II'!$H$6)*LN(J381))+('BLAZE SHIELD II'!$H$7*('CALCULO MORTERO'!I381^2)+'BLAZE SHIELD II'!$H$8*'CALCULO MORTERO'!I381+'BLAZE SHIELD II'!$H$9)),0)+IF(AND(L381="Blaze Shield II",M381="Software Idiem",C381="C"),((('BLAZE SHIELD II'!$L$4*('CALCULO MORTERO'!I381^2)+'BLAZE SHIELD II'!$L$5*'CALCULO MORTERO'!I381+'BLAZE SHIELD II'!$L$6)*LN(J381))+('BLAZE SHIELD II'!$L$7*('CALCULO MORTERO'!I381^2)+'BLAZE SHIELD II'!$L$8*'CALCULO MORTERO'!I381+'BLAZE SHIELD II'!$L$9)),0)+IF(AND(L381="Blaze Shield II",M381="Software Idiem",C381="L"),((('BLAZE SHIELD II'!$L$4*('CALCULO MORTERO'!I381^2)+'BLAZE SHIELD II'!$L$5*'CALCULO MORTERO'!I381+'BLAZE SHIELD II'!$L$6)*LN(J381))+('BLAZE SHIELD II'!$L$7*('CALCULO MORTERO'!I381^2)+'BLAZE SHIELD II'!$L$8*'CALCULO MORTERO'!I381+'BLAZE SHIELD II'!$L$9)),0)+IF(AND(L381="Blaze Shield II",M381="Software Idiem",C381="IN",G381=3),((('BLAZE SHIELD II'!$H$14*('CALCULO MORTERO'!I381^2)+'BLAZE SHIELD II'!$H$15*'CALCULO MORTERO'!I381+'BLAZE SHIELD II'!$H$16)*LN(J381))+('BLAZE SHIELD II'!$H$17*('CALCULO MORTERO'!I381^2)+'BLAZE SHIELD II'!$H$18*'CALCULO MORTERO'!I381+'BLAZE SHIELD II'!$H$19)),0),0)+ROUND(IF(AND(L381="Cafco 400",M381="Software Idiem",C381="IN",G381=4),((('CAFCO 400 '!$H$7*(J381^4)+'CAFCO 400 '!$H$8*(J381^3)+'CAFCO 400 '!$H$9*(J381^2)+'CAFCO 400 '!$H$10*J381+'CAFCO 400 '!$H$11)*U381^2)+(('CAFCO 400 '!$H$12*(J381^3)+'CAFCO 400 '!$H$13*(J381^2)+'CAFCO 400 '!$H$14*J381+'CAFCO 400 '!$H$15)*U381)+('CAFCO 400 '!$H$16*(J381^2)+'CAFCO 400 '!$H$17*J381+'CAFCO 400 '!$H$18)),0)+IF(AND(L381="Cafco 400",M381="Software Idiem",C381="Cj"),(((('CAFCO 400 '!$D$7*LN(J381)+'CAFCO 400 '!$D$8)*U381^2)+(('CAFCO 400 '!$D$9*LN(J381)+'CAFCO 400 '!$D$10)*U381)+('CAFCO 400 '!$D$11*LN(J381)+'CAFCO 400 '!$D$12))),0)+IF(AND(L381="Cafco 400",M381="Software Idiem",C381="C"),((('CAFCO 400 '!$L$7*(J381^3)+'CAFCO 400 '!$L$8*(J381^2)+'CAFCO 400 '!$L$9*J381+'CAFCO 400 '!$L$10)*U381^2)+(('CAFCO 400 '!$L$11*(J381^3)+'CAFCO 400 '!$L$12*(J381^2)+'CAFCO 400 '!$L$13*J381+'CAFCO 400 '!$L$14)*U381)+('CAFCO 400 '!$L$15*LN(J381)+'CAFCO 400 '!$L$16)),0)+IF(AND(L381="Cafco 400",M381="Software Idiem",C381="L"),((('CAFCO 400 '!$L$7*(J381^3)+'CAFCO 400 '!$L$8*(J381^2)+'CAFCO 400 '!$L$9*J381+'CAFCO 400 '!$L$10)*U381^2)+(('CAFCO 400 '!$L$11*(J381^3)+'CAFCO 400 '!$L$12*(J381^2)+'CAFCO 400 '!$L$13*J381+'CAFCO 400 '!$L$14)*U381)+('CAFCO 400 '!$L$15*LN(J381)+'CAFCO 400 '!$L$16)),0)+IF(AND(L381="Cafco 400",M381="Software Idiem",C381="IN",G381=3),((('CAFCO 400 '!$D$23*(J381^2)+'CAFCO 400 '!$D$24*(J381)+'CAFCO 400 '!$D$25)*U381^2)+(('CAFCO 400 '!$D$26*(J381^2)+'CAFCO 400 '!$D$27*J381+'CAFCO 400 '!$D$28)*U381)+('CAFCO 400 '!$D$29*(J381^2)+'CAFCO 400 '!$D$30*J381+'CAFCO 400 '!$D$31)),0),0)+IF(AND(L381="Cafco 300",J381&gt;=95,J381&lt;=240,C381="Cj",I381=90),VLOOKUP(T381,'CAFCO 300 IDIEM TABLAS'!$B$4:$D$23,2,FALSE),0)+IF(AND(L381="Cafco 300",J381&gt;=95,J381&lt;=240,C381="Cj",I381=120),VLOOKUP(T381,'CAFCO 300 IDIEM TABLAS'!$B$4:$D$23,3,FALSE),0)+IF(AND(L381="Cafco 300",J381&gt;=95,J381&lt;=400,G381=3,C381="IN",I381=90),VLOOKUP(T381,'CAFCO 300 IDIEM TABLAS'!$F$4:$H$35,2,FALSE),0)+IF(AND(L381="Cafco 300",J381&gt;=95,J381&lt;=400,G381=3,C381="IN",I381=120),VLOOKUP(T381,'CAFCO 300 IDIEM TABLAS'!$F$4:$H$35,3,FALSE),0)+IF(AND(L381="Cafco 300",J381&gt;=95,J381&lt;=450,G381=4,C381="IN",I381=90),VLOOKUP(T381,'CAFCO 300 IDIEM TABLAS'!$J$4:$L$40,2,FALSE),0)+IF(AND(L381="Cafco 300",J381&gt;=95,J381&lt;=450,G381=4,C381="IN",I381=120),VLOOKUP(T381,'CAFCO 300 IDIEM TABLAS'!$J$4:$L$40,3,FALSE),0)+IF(AND(M381="Ensayo Idiem",L381="Cafco 400",C381="IN",G381=4,I381=90),VLOOKUP(T381,'CAFCO 400 ENSAYO'!$B$7:$D$43,2,FALSE),0)+IF(AND(M381="Ensayo Idiem",L381="Cafco 400",C381="IN",G381=4,I381=120),VLOOKUP(T381,'CAFCO 400 ENSAYO'!$B$7:$D$43,3,FALSE),0)</f>
        <v>0</v>
      </c>
      <c r="O381" s="96">
        <f t="shared" si="39"/>
        <v>0</v>
      </c>
      <c r="P381" s="132" t="str">
        <f t="shared" si="43"/>
        <v>N/A</v>
      </c>
      <c r="Q381" s="132" t="str">
        <f t="shared" si="44"/>
        <v>N/A</v>
      </c>
      <c r="R381" s="132" t="str">
        <f t="shared" si="45"/>
        <v>NO CERT.</v>
      </c>
      <c r="S381" s="132" t="e">
        <f t="shared" si="46"/>
        <v>#N/A</v>
      </c>
      <c r="T381" s="133" t="e">
        <f>+IF(J381=LOOKUP(J381,'CAFCO 300 IDIEM TABLAS'!$J$4:$J$40),'CALCULO MORTERO'!J381,MROUND('CALCULO MORTERO'!J381,10))</f>
        <v>#N/A</v>
      </c>
      <c r="U381" s="134">
        <f t="shared" si="47"/>
        <v>0</v>
      </c>
    </row>
    <row r="382" spans="1:27" s="36" customFormat="1" x14ac:dyDescent="0.25">
      <c r="A382" s="118">
        <f>+CUBICACION!D376</f>
        <v>0</v>
      </c>
      <c r="B382" s="819">
        <f>+CUBICACION!E376</f>
        <v>0</v>
      </c>
      <c r="C382" s="675">
        <f>+CUBICACION!F376</f>
        <v>0</v>
      </c>
      <c r="D382" s="118"/>
      <c r="E382" s="118"/>
      <c r="F382" s="820"/>
      <c r="G382" s="675">
        <f>+CUBICACION!J376</f>
        <v>0</v>
      </c>
      <c r="H382" s="118"/>
      <c r="I382" s="821">
        <f>+CUBICACION!L376</f>
        <v>0</v>
      </c>
      <c r="J382" s="64">
        <f>+CUBICACION!M376</f>
        <v>0</v>
      </c>
      <c r="K382" s="822" t="str">
        <f>+CUBICACION!N376</f>
        <v/>
      </c>
      <c r="L382" s="118">
        <f>+CUBICACION!O376</f>
        <v>0</v>
      </c>
      <c r="M382" s="823">
        <f>+CUBICACION!P376</f>
        <v>0</v>
      </c>
      <c r="N382" s="902">
        <f>ROUND(IF(AND(L382="Blaze Shield II",M382="Software Idiem",C382="IN",G382=4),((('BLAZE SHIELD II'!$D$4*('CALCULO MORTERO'!I382^2)+'BLAZE SHIELD II'!$D$5*'CALCULO MORTERO'!I382+'BLAZE SHIELD II'!$D$6)*LN(J382))+('BLAZE SHIELD II'!$D$7*('CALCULO MORTERO'!I382^2)+'BLAZE SHIELD II'!$D$8*'CALCULO MORTERO'!I382+'BLAZE SHIELD II'!$D$9)),0)+IF(AND(L382="Blaze Shield II",M382="Software Idiem",C382="Cj"),((('BLAZE SHIELD II'!$H$4*('CALCULO MORTERO'!I382^2)+'BLAZE SHIELD II'!$H$5*'CALCULO MORTERO'!I382+'BLAZE SHIELD II'!$H$6)*LN(J382))+('BLAZE SHIELD II'!$H$7*('CALCULO MORTERO'!I382^2)+'BLAZE SHIELD II'!$H$8*'CALCULO MORTERO'!I382+'BLAZE SHIELD II'!$H$9)),0)+IF(AND(L382="Blaze Shield II",M382="Software Idiem",C382="C"),((('BLAZE SHIELD II'!$L$4*('CALCULO MORTERO'!I382^2)+'BLAZE SHIELD II'!$L$5*'CALCULO MORTERO'!I382+'BLAZE SHIELD II'!$L$6)*LN(J382))+('BLAZE SHIELD II'!$L$7*('CALCULO MORTERO'!I382^2)+'BLAZE SHIELD II'!$L$8*'CALCULO MORTERO'!I382+'BLAZE SHIELD II'!$L$9)),0)+IF(AND(L382="Blaze Shield II",M382="Software Idiem",C382="L"),((('BLAZE SHIELD II'!$L$4*('CALCULO MORTERO'!I382^2)+'BLAZE SHIELD II'!$L$5*'CALCULO MORTERO'!I382+'BLAZE SHIELD II'!$L$6)*LN(J382))+('BLAZE SHIELD II'!$L$7*('CALCULO MORTERO'!I382^2)+'BLAZE SHIELD II'!$L$8*'CALCULO MORTERO'!I382+'BLAZE SHIELD II'!$L$9)),0)+IF(AND(L382="Blaze Shield II",M382="Software Idiem",C382="IN",G382=3),((('BLAZE SHIELD II'!$H$14*('CALCULO MORTERO'!I382^2)+'BLAZE SHIELD II'!$H$15*'CALCULO MORTERO'!I382+'BLAZE SHIELD II'!$H$16)*LN(J382))+('BLAZE SHIELD II'!$H$17*('CALCULO MORTERO'!I382^2)+'BLAZE SHIELD II'!$H$18*'CALCULO MORTERO'!I382+'BLAZE SHIELD II'!$H$19)),0),0)+ROUND(IF(AND(L382="Cafco 400",M382="Software Idiem",C382="IN",G382=4),((('CAFCO 400 '!$H$7*(J382^4)+'CAFCO 400 '!$H$8*(J382^3)+'CAFCO 400 '!$H$9*(J382^2)+'CAFCO 400 '!$H$10*J382+'CAFCO 400 '!$H$11)*U382^2)+(('CAFCO 400 '!$H$12*(J382^3)+'CAFCO 400 '!$H$13*(J382^2)+'CAFCO 400 '!$H$14*J382+'CAFCO 400 '!$H$15)*U382)+('CAFCO 400 '!$H$16*(J382^2)+'CAFCO 400 '!$H$17*J382+'CAFCO 400 '!$H$18)),0)+IF(AND(L382="Cafco 400",M382="Software Idiem",C382="Cj"),(((('CAFCO 400 '!$D$7*LN(J382)+'CAFCO 400 '!$D$8)*U382^2)+(('CAFCO 400 '!$D$9*LN(J382)+'CAFCO 400 '!$D$10)*U382)+('CAFCO 400 '!$D$11*LN(J382)+'CAFCO 400 '!$D$12))),0)+IF(AND(L382="Cafco 400",M382="Software Idiem",C382="C"),((('CAFCO 400 '!$L$7*(J382^3)+'CAFCO 400 '!$L$8*(J382^2)+'CAFCO 400 '!$L$9*J382+'CAFCO 400 '!$L$10)*U382^2)+(('CAFCO 400 '!$L$11*(J382^3)+'CAFCO 400 '!$L$12*(J382^2)+'CAFCO 400 '!$L$13*J382+'CAFCO 400 '!$L$14)*U382)+('CAFCO 400 '!$L$15*LN(J382)+'CAFCO 400 '!$L$16)),0)+IF(AND(L382="Cafco 400",M382="Software Idiem",C382="L"),((('CAFCO 400 '!$L$7*(J382^3)+'CAFCO 400 '!$L$8*(J382^2)+'CAFCO 400 '!$L$9*J382+'CAFCO 400 '!$L$10)*U382^2)+(('CAFCO 400 '!$L$11*(J382^3)+'CAFCO 400 '!$L$12*(J382^2)+'CAFCO 400 '!$L$13*J382+'CAFCO 400 '!$L$14)*U382)+('CAFCO 400 '!$L$15*LN(J382)+'CAFCO 400 '!$L$16)),0)+IF(AND(L382="Cafco 400",M382="Software Idiem",C382="IN",G382=3),((('CAFCO 400 '!$D$23*(J382^2)+'CAFCO 400 '!$D$24*(J382)+'CAFCO 400 '!$D$25)*U382^2)+(('CAFCO 400 '!$D$26*(J382^2)+'CAFCO 400 '!$D$27*J382+'CAFCO 400 '!$D$28)*U382)+('CAFCO 400 '!$D$29*(J382^2)+'CAFCO 400 '!$D$30*J382+'CAFCO 400 '!$D$31)),0),0)+IF(AND(L382="Cafco 300",J382&gt;=95,J382&lt;=240,C382="Cj",I382=90),VLOOKUP(T382,'CAFCO 300 IDIEM TABLAS'!$B$4:$D$23,2,FALSE),0)+IF(AND(L382="Cafco 300",J382&gt;=95,J382&lt;=240,C382="Cj",I382=120),VLOOKUP(T382,'CAFCO 300 IDIEM TABLAS'!$B$4:$D$23,3,FALSE),0)+IF(AND(L382="Cafco 300",J382&gt;=95,J382&lt;=400,G382=3,C382="IN",I382=90),VLOOKUP(T382,'CAFCO 300 IDIEM TABLAS'!$F$4:$H$35,2,FALSE),0)+IF(AND(L382="Cafco 300",J382&gt;=95,J382&lt;=400,G382=3,C382="IN",I382=120),VLOOKUP(T382,'CAFCO 300 IDIEM TABLAS'!$F$4:$H$35,3,FALSE),0)+IF(AND(L382="Cafco 300",J382&gt;=95,J382&lt;=450,G382=4,C382="IN",I382=90),VLOOKUP(T382,'CAFCO 300 IDIEM TABLAS'!$J$4:$L$40,2,FALSE),0)+IF(AND(L382="Cafco 300",J382&gt;=95,J382&lt;=450,G382=4,C382="IN",I382=120),VLOOKUP(T382,'CAFCO 300 IDIEM TABLAS'!$J$4:$L$40,3,FALSE),0)+IF(AND(M382="Ensayo Idiem",L382="Cafco 400",C382="IN",G382=4,I382=90),VLOOKUP(T382,'CAFCO 400 ENSAYO'!$B$7:$D$43,2,FALSE),0)+IF(AND(M382="Ensayo Idiem",L382="Cafco 400",C382="IN",G382=4,I382=120),VLOOKUP(T382,'CAFCO 400 ENSAYO'!$B$7:$D$43,3,FALSE),0)</f>
        <v>0</v>
      </c>
      <c r="O382" s="96">
        <f t="shared" si="39"/>
        <v>0</v>
      </c>
      <c r="P382" s="95" t="str">
        <f t="shared" si="43"/>
        <v>N/A</v>
      </c>
      <c r="Q382" s="95" t="str">
        <f t="shared" si="44"/>
        <v>N/A</v>
      </c>
      <c r="R382" s="95" t="str">
        <f t="shared" si="45"/>
        <v>NO CERT.</v>
      </c>
      <c r="S382" s="95" t="e">
        <f t="shared" si="46"/>
        <v>#N/A</v>
      </c>
      <c r="T382" s="119" t="e">
        <f>+IF(J382=LOOKUP(J382,'CAFCO 300 IDIEM TABLAS'!$J$4:$J$40),'CALCULO MORTERO'!J382,MROUND('CALCULO MORTERO'!J382,10))</f>
        <v>#N/A</v>
      </c>
      <c r="U382" s="118">
        <f t="shared" si="47"/>
        <v>0</v>
      </c>
    </row>
    <row r="383" spans="1:27" s="36" customFormat="1" x14ac:dyDescent="0.25">
      <c r="A383" s="118">
        <f>+CUBICACION!D377</f>
        <v>0</v>
      </c>
      <c r="B383" s="819">
        <f>+CUBICACION!E377</f>
        <v>0</v>
      </c>
      <c r="C383" s="675">
        <f>+CUBICACION!F377</f>
        <v>0</v>
      </c>
      <c r="D383" s="118"/>
      <c r="E383" s="118"/>
      <c r="F383" s="820"/>
      <c r="G383" s="675">
        <f>+CUBICACION!J377</f>
        <v>0</v>
      </c>
      <c r="H383" s="118"/>
      <c r="I383" s="821">
        <f>+CUBICACION!L377</f>
        <v>0</v>
      </c>
      <c r="J383" s="64">
        <f>+CUBICACION!M377</f>
        <v>0</v>
      </c>
      <c r="K383" s="822" t="str">
        <f>+CUBICACION!N377</f>
        <v/>
      </c>
      <c r="L383" s="118">
        <f>+CUBICACION!O377</f>
        <v>0</v>
      </c>
      <c r="M383" s="823">
        <f>+CUBICACION!P377</f>
        <v>0</v>
      </c>
      <c r="N383" s="902">
        <f>ROUND(IF(AND(L383="Blaze Shield II",M383="Software Idiem",C383="IN",G383=4),((('BLAZE SHIELD II'!$D$4*('CALCULO MORTERO'!I383^2)+'BLAZE SHIELD II'!$D$5*'CALCULO MORTERO'!I383+'BLAZE SHIELD II'!$D$6)*LN(J383))+('BLAZE SHIELD II'!$D$7*('CALCULO MORTERO'!I383^2)+'BLAZE SHIELD II'!$D$8*'CALCULO MORTERO'!I383+'BLAZE SHIELD II'!$D$9)),0)+IF(AND(L383="Blaze Shield II",M383="Software Idiem",C383="Cj"),((('BLAZE SHIELD II'!$H$4*('CALCULO MORTERO'!I383^2)+'BLAZE SHIELD II'!$H$5*'CALCULO MORTERO'!I383+'BLAZE SHIELD II'!$H$6)*LN(J383))+('BLAZE SHIELD II'!$H$7*('CALCULO MORTERO'!I383^2)+'BLAZE SHIELD II'!$H$8*'CALCULO MORTERO'!I383+'BLAZE SHIELD II'!$H$9)),0)+IF(AND(L383="Blaze Shield II",M383="Software Idiem",C383="C"),((('BLAZE SHIELD II'!$L$4*('CALCULO MORTERO'!I383^2)+'BLAZE SHIELD II'!$L$5*'CALCULO MORTERO'!I383+'BLAZE SHIELD II'!$L$6)*LN(J383))+('BLAZE SHIELD II'!$L$7*('CALCULO MORTERO'!I383^2)+'BLAZE SHIELD II'!$L$8*'CALCULO MORTERO'!I383+'BLAZE SHIELD II'!$L$9)),0)+IF(AND(L383="Blaze Shield II",M383="Software Idiem",C383="L"),((('BLAZE SHIELD II'!$L$4*('CALCULO MORTERO'!I383^2)+'BLAZE SHIELD II'!$L$5*'CALCULO MORTERO'!I383+'BLAZE SHIELD II'!$L$6)*LN(J383))+('BLAZE SHIELD II'!$L$7*('CALCULO MORTERO'!I383^2)+'BLAZE SHIELD II'!$L$8*'CALCULO MORTERO'!I383+'BLAZE SHIELD II'!$L$9)),0)+IF(AND(L383="Blaze Shield II",M383="Software Idiem",C383="IN",G383=3),((('BLAZE SHIELD II'!$H$14*('CALCULO MORTERO'!I383^2)+'BLAZE SHIELD II'!$H$15*'CALCULO MORTERO'!I383+'BLAZE SHIELD II'!$H$16)*LN(J383))+('BLAZE SHIELD II'!$H$17*('CALCULO MORTERO'!I383^2)+'BLAZE SHIELD II'!$H$18*'CALCULO MORTERO'!I383+'BLAZE SHIELD II'!$H$19)),0),0)+ROUND(IF(AND(L383="Cafco 400",M383="Software Idiem",C383="IN",G383=4),((('CAFCO 400 '!$H$7*(J383^4)+'CAFCO 400 '!$H$8*(J383^3)+'CAFCO 400 '!$H$9*(J383^2)+'CAFCO 400 '!$H$10*J383+'CAFCO 400 '!$H$11)*U383^2)+(('CAFCO 400 '!$H$12*(J383^3)+'CAFCO 400 '!$H$13*(J383^2)+'CAFCO 400 '!$H$14*J383+'CAFCO 400 '!$H$15)*U383)+('CAFCO 400 '!$H$16*(J383^2)+'CAFCO 400 '!$H$17*J383+'CAFCO 400 '!$H$18)),0)+IF(AND(L383="Cafco 400",M383="Software Idiem",C383="Cj"),(((('CAFCO 400 '!$D$7*LN(J383)+'CAFCO 400 '!$D$8)*U383^2)+(('CAFCO 400 '!$D$9*LN(J383)+'CAFCO 400 '!$D$10)*U383)+('CAFCO 400 '!$D$11*LN(J383)+'CAFCO 400 '!$D$12))),0)+IF(AND(L383="Cafco 400",M383="Software Idiem",C383="C"),((('CAFCO 400 '!$L$7*(J383^3)+'CAFCO 400 '!$L$8*(J383^2)+'CAFCO 400 '!$L$9*J383+'CAFCO 400 '!$L$10)*U383^2)+(('CAFCO 400 '!$L$11*(J383^3)+'CAFCO 400 '!$L$12*(J383^2)+'CAFCO 400 '!$L$13*J383+'CAFCO 400 '!$L$14)*U383)+('CAFCO 400 '!$L$15*LN(J383)+'CAFCO 400 '!$L$16)),0)+IF(AND(L383="Cafco 400",M383="Software Idiem",C383="L"),((('CAFCO 400 '!$L$7*(J383^3)+'CAFCO 400 '!$L$8*(J383^2)+'CAFCO 400 '!$L$9*J383+'CAFCO 400 '!$L$10)*U383^2)+(('CAFCO 400 '!$L$11*(J383^3)+'CAFCO 400 '!$L$12*(J383^2)+'CAFCO 400 '!$L$13*J383+'CAFCO 400 '!$L$14)*U383)+('CAFCO 400 '!$L$15*LN(J383)+'CAFCO 400 '!$L$16)),0)+IF(AND(L383="Cafco 400",M383="Software Idiem",C383="IN",G383=3),((('CAFCO 400 '!$D$23*(J383^2)+'CAFCO 400 '!$D$24*(J383)+'CAFCO 400 '!$D$25)*U383^2)+(('CAFCO 400 '!$D$26*(J383^2)+'CAFCO 400 '!$D$27*J383+'CAFCO 400 '!$D$28)*U383)+('CAFCO 400 '!$D$29*(J383^2)+'CAFCO 400 '!$D$30*J383+'CAFCO 400 '!$D$31)),0),0)+IF(AND(L383="Cafco 300",J383&gt;=95,J383&lt;=240,C383="Cj",I383=90),VLOOKUP(T383,'CAFCO 300 IDIEM TABLAS'!$B$4:$D$23,2,FALSE),0)+IF(AND(L383="Cafco 300",J383&gt;=95,J383&lt;=240,C383="Cj",I383=120),VLOOKUP(T383,'CAFCO 300 IDIEM TABLAS'!$B$4:$D$23,3,FALSE),0)+IF(AND(L383="Cafco 300",J383&gt;=95,J383&lt;=400,G383=3,C383="IN",I383=90),VLOOKUP(T383,'CAFCO 300 IDIEM TABLAS'!$F$4:$H$35,2,FALSE),0)+IF(AND(L383="Cafco 300",J383&gt;=95,J383&lt;=400,G383=3,C383="IN",I383=120),VLOOKUP(T383,'CAFCO 300 IDIEM TABLAS'!$F$4:$H$35,3,FALSE),0)+IF(AND(L383="Cafco 300",J383&gt;=95,J383&lt;=450,G383=4,C383="IN",I383=90),VLOOKUP(T383,'CAFCO 300 IDIEM TABLAS'!$J$4:$L$40,2,FALSE),0)+IF(AND(L383="Cafco 300",J383&gt;=95,J383&lt;=450,G383=4,C383="IN",I383=120),VLOOKUP(T383,'CAFCO 300 IDIEM TABLAS'!$J$4:$L$40,3,FALSE),0)+IF(AND(M383="Ensayo Idiem",L383="Cafco 400",C383="IN",G383=4,I383=90),VLOOKUP(T383,'CAFCO 400 ENSAYO'!$B$7:$D$43,2,FALSE),0)+IF(AND(M383="Ensayo Idiem",L383="Cafco 400",C383="IN",G383=4,I383=120),VLOOKUP(T383,'CAFCO 400 ENSAYO'!$B$7:$D$43,3,FALSE),0)</f>
        <v>0</v>
      </c>
      <c r="O383" s="96">
        <f t="shared" si="39"/>
        <v>0</v>
      </c>
      <c r="P383" s="132" t="str">
        <f t="shared" si="43"/>
        <v>N/A</v>
      </c>
      <c r="Q383" s="132" t="str">
        <f t="shared" si="44"/>
        <v>N/A</v>
      </c>
      <c r="R383" s="132" t="str">
        <f t="shared" si="45"/>
        <v>NO CERT.</v>
      </c>
      <c r="S383" s="132" t="e">
        <f t="shared" si="46"/>
        <v>#N/A</v>
      </c>
      <c r="T383" s="133" t="e">
        <f>+IF(J383=LOOKUP(J383,'CAFCO 300 IDIEM TABLAS'!$J$4:$J$40),'CALCULO MORTERO'!J383,MROUND('CALCULO MORTERO'!J383,10))</f>
        <v>#N/A</v>
      </c>
      <c r="U383" s="134">
        <f t="shared" si="47"/>
        <v>0</v>
      </c>
    </row>
    <row r="384" spans="1:27" s="36" customFormat="1" x14ac:dyDescent="0.25">
      <c r="A384" s="118">
        <f>+CUBICACION!D378</f>
        <v>0</v>
      </c>
      <c r="B384" s="819">
        <f>+CUBICACION!E378</f>
        <v>0</v>
      </c>
      <c r="C384" s="675">
        <f>+CUBICACION!F378</f>
        <v>0</v>
      </c>
      <c r="D384" s="118"/>
      <c r="E384" s="118"/>
      <c r="F384" s="820"/>
      <c r="G384" s="675">
        <f>+CUBICACION!J378</f>
        <v>0</v>
      </c>
      <c r="H384" s="118"/>
      <c r="I384" s="821">
        <f>+CUBICACION!L378</f>
        <v>0</v>
      </c>
      <c r="J384" s="64">
        <f>+CUBICACION!M378</f>
        <v>0</v>
      </c>
      <c r="K384" s="822" t="str">
        <f>+CUBICACION!N378</f>
        <v/>
      </c>
      <c r="L384" s="118">
        <f>+CUBICACION!O378</f>
        <v>0</v>
      </c>
      <c r="M384" s="823">
        <f>+CUBICACION!P378</f>
        <v>0</v>
      </c>
      <c r="N384" s="902">
        <f>ROUND(IF(AND(L384="Blaze Shield II",M384="Software Idiem",C384="IN",G384=4),((('BLAZE SHIELD II'!$D$4*('CALCULO MORTERO'!I384^2)+'BLAZE SHIELD II'!$D$5*'CALCULO MORTERO'!I384+'BLAZE SHIELD II'!$D$6)*LN(J384))+('BLAZE SHIELD II'!$D$7*('CALCULO MORTERO'!I384^2)+'BLAZE SHIELD II'!$D$8*'CALCULO MORTERO'!I384+'BLAZE SHIELD II'!$D$9)),0)+IF(AND(L384="Blaze Shield II",M384="Software Idiem",C384="Cj"),((('BLAZE SHIELD II'!$H$4*('CALCULO MORTERO'!I384^2)+'BLAZE SHIELD II'!$H$5*'CALCULO MORTERO'!I384+'BLAZE SHIELD II'!$H$6)*LN(J384))+('BLAZE SHIELD II'!$H$7*('CALCULO MORTERO'!I384^2)+'BLAZE SHIELD II'!$H$8*'CALCULO MORTERO'!I384+'BLAZE SHIELD II'!$H$9)),0)+IF(AND(L384="Blaze Shield II",M384="Software Idiem",C384="C"),((('BLAZE SHIELD II'!$L$4*('CALCULO MORTERO'!I384^2)+'BLAZE SHIELD II'!$L$5*'CALCULO MORTERO'!I384+'BLAZE SHIELD II'!$L$6)*LN(J384))+('BLAZE SHIELD II'!$L$7*('CALCULO MORTERO'!I384^2)+'BLAZE SHIELD II'!$L$8*'CALCULO MORTERO'!I384+'BLAZE SHIELD II'!$L$9)),0)+IF(AND(L384="Blaze Shield II",M384="Software Idiem",C384="L"),((('BLAZE SHIELD II'!$L$4*('CALCULO MORTERO'!I384^2)+'BLAZE SHIELD II'!$L$5*'CALCULO MORTERO'!I384+'BLAZE SHIELD II'!$L$6)*LN(J384))+('BLAZE SHIELD II'!$L$7*('CALCULO MORTERO'!I384^2)+'BLAZE SHIELD II'!$L$8*'CALCULO MORTERO'!I384+'BLAZE SHIELD II'!$L$9)),0)+IF(AND(L384="Blaze Shield II",M384="Software Idiem",C384="IN",G384=3),((('BLAZE SHIELD II'!$H$14*('CALCULO MORTERO'!I384^2)+'BLAZE SHIELD II'!$H$15*'CALCULO MORTERO'!I384+'BLAZE SHIELD II'!$H$16)*LN(J384))+('BLAZE SHIELD II'!$H$17*('CALCULO MORTERO'!I384^2)+'BLAZE SHIELD II'!$H$18*'CALCULO MORTERO'!I384+'BLAZE SHIELD II'!$H$19)),0),0)+ROUND(IF(AND(L384="Cafco 400",M384="Software Idiem",C384="IN",G384=4),((('CAFCO 400 '!$H$7*(J384^4)+'CAFCO 400 '!$H$8*(J384^3)+'CAFCO 400 '!$H$9*(J384^2)+'CAFCO 400 '!$H$10*J384+'CAFCO 400 '!$H$11)*U384^2)+(('CAFCO 400 '!$H$12*(J384^3)+'CAFCO 400 '!$H$13*(J384^2)+'CAFCO 400 '!$H$14*J384+'CAFCO 400 '!$H$15)*U384)+('CAFCO 400 '!$H$16*(J384^2)+'CAFCO 400 '!$H$17*J384+'CAFCO 400 '!$H$18)),0)+IF(AND(L384="Cafco 400",M384="Software Idiem",C384="Cj"),(((('CAFCO 400 '!$D$7*LN(J384)+'CAFCO 400 '!$D$8)*U384^2)+(('CAFCO 400 '!$D$9*LN(J384)+'CAFCO 400 '!$D$10)*U384)+('CAFCO 400 '!$D$11*LN(J384)+'CAFCO 400 '!$D$12))),0)+IF(AND(L384="Cafco 400",M384="Software Idiem",C384="C"),((('CAFCO 400 '!$L$7*(J384^3)+'CAFCO 400 '!$L$8*(J384^2)+'CAFCO 400 '!$L$9*J384+'CAFCO 400 '!$L$10)*U384^2)+(('CAFCO 400 '!$L$11*(J384^3)+'CAFCO 400 '!$L$12*(J384^2)+'CAFCO 400 '!$L$13*J384+'CAFCO 400 '!$L$14)*U384)+('CAFCO 400 '!$L$15*LN(J384)+'CAFCO 400 '!$L$16)),0)+IF(AND(L384="Cafco 400",M384="Software Idiem",C384="L"),((('CAFCO 400 '!$L$7*(J384^3)+'CAFCO 400 '!$L$8*(J384^2)+'CAFCO 400 '!$L$9*J384+'CAFCO 400 '!$L$10)*U384^2)+(('CAFCO 400 '!$L$11*(J384^3)+'CAFCO 400 '!$L$12*(J384^2)+'CAFCO 400 '!$L$13*J384+'CAFCO 400 '!$L$14)*U384)+('CAFCO 400 '!$L$15*LN(J384)+'CAFCO 400 '!$L$16)),0)+IF(AND(L384="Cafco 400",M384="Software Idiem",C384="IN",G384=3),((('CAFCO 400 '!$D$23*(J384^2)+'CAFCO 400 '!$D$24*(J384)+'CAFCO 400 '!$D$25)*U384^2)+(('CAFCO 400 '!$D$26*(J384^2)+'CAFCO 400 '!$D$27*J384+'CAFCO 400 '!$D$28)*U384)+('CAFCO 400 '!$D$29*(J384^2)+'CAFCO 400 '!$D$30*J384+'CAFCO 400 '!$D$31)),0),0)+IF(AND(L384="Cafco 300",J384&gt;=95,J384&lt;=240,C384="Cj",I384=90),VLOOKUP(T384,'CAFCO 300 IDIEM TABLAS'!$B$4:$D$23,2,FALSE),0)+IF(AND(L384="Cafco 300",J384&gt;=95,J384&lt;=240,C384="Cj",I384=120),VLOOKUP(T384,'CAFCO 300 IDIEM TABLAS'!$B$4:$D$23,3,FALSE),0)+IF(AND(L384="Cafco 300",J384&gt;=95,J384&lt;=400,G384=3,C384="IN",I384=90),VLOOKUP(T384,'CAFCO 300 IDIEM TABLAS'!$F$4:$H$35,2,FALSE),0)+IF(AND(L384="Cafco 300",J384&gt;=95,J384&lt;=400,G384=3,C384="IN",I384=120),VLOOKUP(T384,'CAFCO 300 IDIEM TABLAS'!$F$4:$H$35,3,FALSE),0)+IF(AND(L384="Cafco 300",J384&gt;=95,J384&lt;=450,G384=4,C384="IN",I384=90),VLOOKUP(T384,'CAFCO 300 IDIEM TABLAS'!$J$4:$L$40,2,FALSE),0)+IF(AND(L384="Cafco 300",J384&gt;=95,J384&lt;=450,G384=4,C384="IN",I384=120),VLOOKUP(T384,'CAFCO 300 IDIEM TABLAS'!$J$4:$L$40,3,FALSE),0)+IF(AND(M384="Ensayo Idiem",L384="Cafco 400",C384="IN",G384=4,I384=90),VLOOKUP(T384,'CAFCO 400 ENSAYO'!$B$7:$D$43,2,FALSE),0)+IF(AND(M384="Ensayo Idiem",L384="Cafco 400",C384="IN",G384=4,I384=120),VLOOKUP(T384,'CAFCO 400 ENSAYO'!$B$7:$D$43,3,FALSE),0)</f>
        <v>0</v>
      </c>
      <c r="O384" s="96">
        <f t="shared" si="39"/>
        <v>0</v>
      </c>
      <c r="P384" s="95" t="str">
        <f t="shared" si="43"/>
        <v>N/A</v>
      </c>
      <c r="Q384" s="95" t="str">
        <f t="shared" si="44"/>
        <v>N/A</v>
      </c>
      <c r="R384" s="95" t="str">
        <f t="shared" si="45"/>
        <v>NO CERT.</v>
      </c>
      <c r="S384" s="95" t="e">
        <f t="shared" si="46"/>
        <v>#N/A</v>
      </c>
      <c r="T384" s="119" t="e">
        <f>+IF(J384=LOOKUP(J384,'CAFCO 300 IDIEM TABLAS'!$J$4:$J$40),'CALCULO MORTERO'!J384,MROUND('CALCULO MORTERO'!J384,10))</f>
        <v>#N/A</v>
      </c>
      <c r="U384" s="118">
        <f t="shared" si="47"/>
        <v>0</v>
      </c>
    </row>
    <row r="385" spans="1:21" s="36" customFormat="1" x14ac:dyDescent="0.25">
      <c r="A385" s="118">
        <f>+CUBICACION!D379</f>
        <v>0</v>
      </c>
      <c r="B385" s="819">
        <f>+CUBICACION!E379</f>
        <v>0</v>
      </c>
      <c r="C385" s="675">
        <f>+CUBICACION!F379</f>
        <v>0</v>
      </c>
      <c r="D385" s="118"/>
      <c r="E385" s="118"/>
      <c r="F385" s="820"/>
      <c r="G385" s="675">
        <f>+CUBICACION!J379</f>
        <v>0</v>
      </c>
      <c r="H385" s="118"/>
      <c r="I385" s="821">
        <f>+CUBICACION!L379</f>
        <v>0</v>
      </c>
      <c r="J385" s="64">
        <f>+CUBICACION!M379</f>
        <v>0</v>
      </c>
      <c r="K385" s="822" t="str">
        <f>+CUBICACION!N379</f>
        <v/>
      </c>
      <c r="L385" s="118">
        <f>+CUBICACION!O379</f>
        <v>0</v>
      </c>
      <c r="M385" s="823">
        <f>+CUBICACION!P379</f>
        <v>0</v>
      </c>
      <c r="N385" s="902">
        <f>ROUND(IF(AND(L385="Blaze Shield II",M385="Software Idiem",C385="IN",G385=4),((('BLAZE SHIELD II'!$D$4*('CALCULO MORTERO'!I385^2)+'BLAZE SHIELD II'!$D$5*'CALCULO MORTERO'!I385+'BLAZE SHIELD II'!$D$6)*LN(J385))+('BLAZE SHIELD II'!$D$7*('CALCULO MORTERO'!I385^2)+'BLAZE SHIELD II'!$D$8*'CALCULO MORTERO'!I385+'BLAZE SHIELD II'!$D$9)),0)+IF(AND(L385="Blaze Shield II",M385="Software Idiem",C385="Cj"),((('BLAZE SHIELD II'!$H$4*('CALCULO MORTERO'!I385^2)+'BLAZE SHIELD II'!$H$5*'CALCULO MORTERO'!I385+'BLAZE SHIELD II'!$H$6)*LN(J385))+('BLAZE SHIELD II'!$H$7*('CALCULO MORTERO'!I385^2)+'BLAZE SHIELD II'!$H$8*'CALCULO MORTERO'!I385+'BLAZE SHIELD II'!$H$9)),0)+IF(AND(L385="Blaze Shield II",M385="Software Idiem",C385="C"),((('BLAZE SHIELD II'!$L$4*('CALCULO MORTERO'!I385^2)+'BLAZE SHIELD II'!$L$5*'CALCULO MORTERO'!I385+'BLAZE SHIELD II'!$L$6)*LN(J385))+('BLAZE SHIELD II'!$L$7*('CALCULO MORTERO'!I385^2)+'BLAZE SHIELD II'!$L$8*'CALCULO MORTERO'!I385+'BLAZE SHIELD II'!$L$9)),0)+IF(AND(L385="Blaze Shield II",M385="Software Idiem",C385="L"),((('BLAZE SHIELD II'!$L$4*('CALCULO MORTERO'!I385^2)+'BLAZE SHIELD II'!$L$5*'CALCULO MORTERO'!I385+'BLAZE SHIELD II'!$L$6)*LN(J385))+('BLAZE SHIELD II'!$L$7*('CALCULO MORTERO'!I385^2)+'BLAZE SHIELD II'!$L$8*'CALCULO MORTERO'!I385+'BLAZE SHIELD II'!$L$9)),0)+IF(AND(L385="Blaze Shield II",M385="Software Idiem",C385="IN",G385=3),((('BLAZE SHIELD II'!$H$14*('CALCULO MORTERO'!I385^2)+'BLAZE SHIELD II'!$H$15*'CALCULO MORTERO'!I385+'BLAZE SHIELD II'!$H$16)*LN(J385))+('BLAZE SHIELD II'!$H$17*('CALCULO MORTERO'!I385^2)+'BLAZE SHIELD II'!$H$18*'CALCULO MORTERO'!I385+'BLAZE SHIELD II'!$H$19)),0),0)+ROUND(IF(AND(L385="Cafco 400",M385="Software Idiem",C385="IN",G385=4),((('CAFCO 400 '!$H$7*(J385^4)+'CAFCO 400 '!$H$8*(J385^3)+'CAFCO 400 '!$H$9*(J385^2)+'CAFCO 400 '!$H$10*J385+'CAFCO 400 '!$H$11)*U385^2)+(('CAFCO 400 '!$H$12*(J385^3)+'CAFCO 400 '!$H$13*(J385^2)+'CAFCO 400 '!$H$14*J385+'CAFCO 400 '!$H$15)*U385)+('CAFCO 400 '!$H$16*(J385^2)+'CAFCO 400 '!$H$17*J385+'CAFCO 400 '!$H$18)),0)+IF(AND(L385="Cafco 400",M385="Software Idiem",C385="Cj"),(((('CAFCO 400 '!$D$7*LN(J385)+'CAFCO 400 '!$D$8)*U385^2)+(('CAFCO 400 '!$D$9*LN(J385)+'CAFCO 400 '!$D$10)*U385)+('CAFCO 400 '!$D$11*LN(J385)+'CAFCO 400 '!$D$12))),0)+IF(AND(L385="Cafco 400",M385="Software Idiem",C385="C"),((('CAFCO 400 '!$L$7*(J385^3)+'CAFCO 400 '!$L$8*(J385^2)+'CAFCO 400 '!$L$9*J385+'CAFCO 400 '!$L$10)*U385^2)+(('CAFCO 400 '!$L$11*(J385^3)+'CAFCO 400 '!$L$12*(J385^2)+'CAFCO 400 '!$L$13*J385+'CAFCO 400 '!$L$14)*U385)+('CAFCO 400 '!$L$15*LN(J385)+'CAFCO 400 '!$L$16)),0)+IF(AND(L385="Cafco 400",M385="Software Idiem",C385="L"),((('CAFCO 400 '!$L$7*(J385^3)+'CAFCO 400 '!$L$8*(J385^2)+'CAFCO 400 '!$L$9*J385+'CAFCO 400 '!$L$10)*U385^2)+(('CAFCO 400 '!$L$11*(J385^3)+'CAFCO 400 '!$L$12*(J385^2)+'CAFCO 400 '!$L$13*J385+'CAFCO 400 '!$L$14)*U385)+('CAFCO 400 '!$L$15*LN(J385)+'CAFCO 400 '!$L$16)),0)+IF(AND(L385="Cafco 400",M385="Software Idiem",C385="IN",G385=3),((('CAFCO 400 '!$D$23*(J385^2)+'CAFCO 400 '!$D$24*(J385)+'CAFCO 400 '!$D$25)*U385^2)+(('CAFCO 400 '!$D$26*(J385^2)+'CAFCO 400 '!$D$27*J385+'CAFCO 400 '!$D$28)*U385)+('CAFCO 400 '!$D$29*(J385^2)+'CAFCO 400 '!$D$30*J385+'CAFCO 400 '!$D$31)),0),0)+IF(AND(L385="Cafco 300",J385&gt;=95,J385&lt;=240,C385="Cj",I385=90),VLOOKUP(T385,'CAFCO 300 IDIEM TABLAS'!$B$4:$D$23,2,FALSE),0)+IF(AND(L385="Cafco 300",J385&gt;=95,J385&lt;=240,C385="Cj",I385=120),VLOOKUP(T385,'CAFCO 300 IDIEM TABLAS'!$B$4:$D$23,3,FALSE),0)+IF(AND(L385="Cafco 300",J385&gt;=95,J385&lt;=400,G385=3,C385="IN",I385=90),VLOOKUP(T385,'CAFCO 300 IDIEM TABLAS'!$F$4:$H$35,2,FALSE),0)+IF(AND(L385="Cafco 300",J385&gt;=95,J385&lt;=400,G385=3,C385="IN",I385=120),VLOOKUP(T385,'CAFCO 300 IDIEM TABLAS'!$F$4:$H$35,3,FALSE),0)+IF(AND(L385="Cafco 300",J385&gt;=95,J385&lt;=450,G385=4,C385="IN",I385=90),VLOOKUP(T385,'CAFCO 300 IDIEM TABLAS'!$J$4:$L$40,2,FALSE),0)+IF(AND(L385="Cafco 300",J385&gt;=95,J385&lt;=450,G385=4,C385="IN",I385=120),VLOOKUP(T385,'CAFCO 300 IDIEM TABLAS'!$J$4:$L$40,3,FALSE),0)+IF(AND(M385="Ensayo Idiem",L385="Cafco 400",C385="IN",G385=4,I385=90),VLOOKUP(T385,'CAFCO 400 ENSAYO'!$B$7:$D$43,2,FALSE),0)+IF(AND(M385="Ensayo Idiem",L385="Cafco 400",C385="IN",G385=4,I385=120),VLOOKUP(T385,'CAFCO 400 ENSAYO'!$B$7:$D$43,3,FALSE),0)</f>
        <v>0</v>
      </c>
      <c r="O385" s="96">
        <f t="shared" si="39"/>
        <v>0</v>
      </c>
      <c r="P385" s="132" t="str">
        <f t="shared" si="43"/>
        <v>N/A</v>
      </c>
      <c r="Q385" s="132" t="str">
        <f t="shared" si="44"/>
        <v>N/A</v>
      </c>
      <c r="R385" s="132" t="str">
        <f t="shared" si="45"/>
        <v>NO CERT.</v>
      </c>
      <c r="S385" s="132" t="e">
        <f t="shared" si="46"/>
        <v>#N/A</v>
      </c>
      <c r="T385" s="133" t="e">
        <f>+IF(J385=LOOKUP(J385,'CAFCO 300 IDIEM TABLAS'!$J$4:$J$40),'CALCULO MORTERO'!J385,MROUND('CALCULO MORTERO'!J385,10))</f>
        <v>#N/A</v>
      </c>
      <c r="U385" s="134">
        <f t="shared" si="47"/>
        <v>0</v>
      </c>
    </row>
    <row r="386" spans="1:21" s="36" customFormat="1" x14ac:dyDescent="0.25">
      <c r="A386" s="118">
        <f>+CUBICACION!D380</f>
        <v>0</v>
      </c>
      <c r="B386" s="819">
        <f>+CUBICACION!E380</f>
        <v>0</v>
      </c>
      <c r="C386" s="675">
        <f>+CUBICACION!F380</f>
        <v>0</v>
      </c>
      <c r="D386" s="118"/>
      <c r="E386" s="118"/>
      <c r="F386" s="820"/>
      <c r="G386" s="675">
        <f>+CUBICACION!J380</f>
        <v>0</v>
      </c>
      <c r="H386" s="118"/>
      <c r="I386" s="821">
        <f>+CUBICACION!L380</f>
        <v>0</v>
      </c>
      <c r="J386" s="64">
        <f>+CUBICACION!M380</f>
        <v>0</v>
      </c>
      <c r="K386" s="822" t="str">
        <f>+CUBICACION!N380</f>
        <v/>
      </c>
      <c r="L386" s="118">
        <f>+CUBICACION!O380</f>
        <v>0</v>
      </c>
      <c r="M386" s="823">
        <f>+CUBICACION!P380</f>
        <v>0</v>
      </c>
      <c r="N386" s="902">
        <f>ROUND(IF(AND(L386="Blaze Shield II",M386="Software Idiem",C386="IN",G386=4),((('BLAZE SHIELD II'!$D$4*('CALCULO MORTERO'!I386^2)+'BLAZE SHIELD II'!$D$5*'CALCULO MORTERO'!I386+'BLAZE SHIELD II'!$D$6)*LN(J386))+('BLAZE SHIELD II'!$D$7*('CALCULO MORTERO'!I386^2)+'BLAZE SHIELD II'!$D$8*'CALCULO MORTERO'!I386+'BLAZE SHIELD II'!$D$9)),0)+IF(AND(L386="Blaze Shield II",M386="Software Idiem",C386="Cj"),((('BLAZE SHIELD II'!$H$4*('CALCULO MORTERO'!I386^2)+'BLAZE SHIELD II'!$H$5*'CALCULO MORTERO'!I386+'BLAZE SHIELD II'!$H$6)*LN(J386))+('BLAZE SHIELD II'!$H$7*('CALCULO MORTERO'!I386^2)+'BLAZE SHIELD II'!$H$8*'CALCULO MORTERO'!I386+'BLAZE SHIELD II'!$H$9)),0)+IF(AND(L386="Blaze Shield II",M386="Software Idiem",C386="C"),((('BLAZE SHIELD II'!$L$4*('CALCULO MORTERO'!I386^2)+'BLAZE SHIELD II'!$L$5*'CALCULO MORTERO'!I386+'BLAZE SHIELD II'!$L$6)*LN(J386))+('BLAZE SHIELD II'!$L$7*('CALCULO MORTERO'!I386^2)+'BLAZE SHIELD II'!$L$8*'CALCULO MORTERO'!I386+'BLAZE SHIELD II'!$L$9)),0)+IF(AND(L386="Blaze Shield II",M386="Software Idiem",C386="L"),((('BLAZE SHIELD II'!$L$4*('CALCULO MORTERO'!I386^2)+'BLAZE SHIELD II'!$L$5*'CALCULO MORTERO'!I386+'BLAZE SHIELD II'!$L$6)*LN(J386))+('BLAZE SHIELD II'!$L$7*('CALCULO MORTERO'!I386^2)+'BLAZE SHIELD II'!$L$8*'CALCULO MORTERO'!I386+'BLAZE SHIELD II'!$L$9)),0)+IF(AND(L386="Blaze Shield II",M386="Software Idiem",C386="IN",G386=3),((('BLAZE SHIELD II'!$H$14*('CALCULO MORTERO'!I386^2)+'BLAZE SHIELD II'!$H$15*'CALCULO MORTERO'!I386+'BLAZE SHIELD II'!$H$16)*LN(J386))+('BLAZE SHIELD II'!$H$17*('CALCULO MORTERO'!I386^2)+'BLAZE SHIELD II'!$H$18*'CALCULO MORTERO'!I386+'BLAZE SHIELD II'!$H$19)),0),0)+ROUND(IF(AND(L386="Cafco 400",M386="Software Idiem",C386="IN",G386=4),((('CAFCO 400 '!$H$7*(J386^4)+'CAFCO 400 '!$H$8*(J386^3)+'CAFCO 400 '!$H$9*(J386^2)+'CAFCO 400 '!$H$10*J386+'CAFCO 400 '!$H$11)*U386^2)+(('CAFCO 400 '!$H$12*(J386^3)+'CAFCO 400 '!$H$13*(J386^2)+'CAFCO 400 '!$H$14*J386+'CAFCO 400 '!$H$15)*U386)+('CAFCO 400 '!$H$16*(J386^2)+'CAFCO 400 '!$H$17*J386+'CAFCO 400 '!$H$18)),0)+IF(AND(L386="Cafco 400",M386="Software Idiem",C386="Cj"),(((('CAFCO 400 '!$D$7*LN(J386)+'CAFCO 400 '!$D$8)*U386^2)+(('CAFCO 400 '!$D$9*LN(J386)+'CAFCO 400 '!$D$10)*U386)+('CAFCO 400 '!$D$11*LN(J386)+'CAFCO 400 '!$D$12))),0)+IF(AND(L386="Cafco 400",M386="Software Idiem",C386="C"),((('CAFCO 400 '!$L$7*(J386^3)+'CAFCO 400 '!$L$8*(J386^2)+'CAFCO 400 '!$L$9*J386+'CAFCO 400 '!$L$10)*U386^2)+(('CAFCO 400 '!$L$11*(J386^3)+'CAFCO 400 '!$L$12*(J386^2)+'CAFCO 400 '!$L$13*J386+'CAFCO 400 '!$L$14)*U386)+('CAFCO 400 '!$L$15*LN(J386)+'CAFCO 400 '!$L$16)),0)+IF(AND(L386="Cafco 400",M386="Software Idiem",C386="L"),((('CAFCO 400 '!$L$7*(J386^3)+'CAFCO 400 '!$L$8*(J386^2)+'CAFCO 400 '!$L$9*J386+'CAFCO 400 '!$L$10)*U386^2)+(('CAFCO 400 '!$L$11*(J386^3)+'CAFCO 400 '!$L$12*(J386^2)+'CAFCO 400 '!$L$13*J386+'CAFCO 400 '!$L$14)*U386)+('CAFCO 400 '!$L$15*LN(J386)+'CAFCO 400 '!$L$16)),0)+IF(AND(L386="Cafco 400",M386="Software Idiem",C386="IN",G386=3),((('CAFCO 400 '!$D$23*(J386^2)+'CAFCO 400 '!$D$24*(J386)+'CAFCO 400 '!$D$25)*U386^2)+(('CAFCO 400 '!$D$26*(J386^2)+'CAFCO 400 '!$D$27*J386+'CAFCO 400 '!$D$28)*U386)+('CAFCO 400 '!$D$29*(J386^2)+'CAFCO 400 '!$D$30*J386+'CAFCO 400 '!$D$31)),0),0)+IF(AND(L386="Cafco 300",J386&gt;=95,J386&lt;=240,C386="Cj",I386=90),VLOOKUP(T386,'CAFCO 300 IDIEM TABLAS'!$B$4:$D$23,2,FALSE),0)+IF(AND(L386="Cafco 300",J386&gt;=95,J386&lt;=240,C386="Cj",I386=120),VLOOKUP(T386,'CAFCO 300 IDIEM TABLAS'!$B$4:$D$23,3,FALSE),0)+IF(AND(L386="Cafco 300",J386&gt;=95,J386&lt;=400,G386=3,C386="IN",I386=90),VLOOKUP(T386,'CAFCO 300 IDIEM TABLAS'!$F$4:$H$35,2,FALSE),0)+IF(AND(L386="Cafco 300",J386&gt;=95,J386&lt;=400,G386=3,C386="IN",I386=120),VLOOKUP(T386,'CAFCO 300 IDIEM TABLAS'!$F$4:$H$35,3,FALSE),0)+IF(AND(L386="Cafco 300",J386&gt;=95,J386&lt;=450,G386=4,C386="IN",I386=90),VLOOKUP(T386,'CAFCO 300 IDIEM TABLAS'!$J$4:$L$40,2,FALSE),0)+IF(AND(L386="Cafco 300",J386&gt;=95,J386&lt;=450,G386=4,C386="IN",I386=120),VLOOKUP(T386,'CAFCO 300 IDIEM TABLAS'!$J$4:$L$40,3,FALSE),0)+IF(AND(M386="Ensayo Idiem",L386="Cafco 400",C386="IN",G386=4,I386=90),VLOOKUP(T386,'CAFCO 400 ENSAYO'!$B$7:$D$43,2,FALSE),0)+IF(AND(M386="Ensayo Idiem",L386="Cafco 400",C386="IN",G386=4,I386=120),VLOOKUP(T386,'CAFCO 400 ENSAYO'!$B$7:$D$43,3,FALSE),0)</f>
        <v>0</v>
      </c>
      <c r="O386" s="96">
        <f t="shared" si="39"/>
        <v>0</v>
      </c>
      <c r="P386" s="95" t="str">
        <f t="shared" si="43"/>
        <v>N/A</v>
      </c>
      <c r="Q386" s="95" t="str">
        <f t="shared" si="44"/>
        <v>N/A</v>
      </c>
      <c r="R386" s="95" t="str">
        <f t="shared" si="45"/>
        <v>NO CERT.</v>
      </c>
      <c r="S386" s="95" t="e">
        <f t="shared" si="46"/>
        <v>#N/A</v>
      </c>
      <c r="T386" s="119" t="e">
        <f>+IF(J386=LOOKUP(J386,'CAFCO 300 IDIEM TABLAS'!$J$4:$J$40),'CALCULO MORTERO'!J386,MROUND('CALCULO MORTERO'!J386,10))</f>
        <v>#N/A</v>
      </c>
      <c r="U386" s="118">
        <f t="shared" si="47"/>
        <v>0</v>
      </c>
    </row>
    <row r="387" spans="1:21" s="36" customFormat="1" x14ac:dyDescent="0.25">
      <c r="A387" s="118">
        <f>+CUBICACION!D381</f>
        <v>0</v>
      </c>
      <c r="B387" s="819">
        <f>+CUBICACION!E381</f>
        <v>0</v>
      </c>
      <c r="C387" s="675">
        <f>+CUBICACION!F381</f>
        <v>0</v>
      </c>
      <c r="D387" s="118"/>
      <c r="E387" s="118"/>
      <c r="F387" s="820"/>
      <c r="G387" s="675">
        <f>+CUBICACION!J381</f>
        <v>0</v>
      </c>
      <c r="H387" s="118"/>
      <c r="I387" s="821">
        <f>+CUBICACION!L381</f>
        <v>0</v>
      </c>
      <c r="J387" s="64">
        <f>+CUBICACION!M381</f>
        <v>0</v>
      </c>
      <c r="K387" s="822" t="str">
        <f>+CUBICACION!N381</f>
        <v/>
      </c>
      <c r="L387" s="118">
        <f>+CUBICACION!O381</f>
        <v>0</v>
      </c>
      <c r="M387" s="823">
        <f>+CUBICACION!P381</f>
        <v>0</v>
      </c>
      <c r="N387" s="902">
        <f>ROUND(IF(AND(L387="Blaze Shield II",M387="Software Idiem",C387="IN",G387=4),((('BLAZE SHIELD II'!$D$4*('CALCULO MORTERO'!I387^2)+'BLAZE SHIELD II'!$D$5*'CALCULO MORTERO'!I387+'BLAZE SHIELD II'!$D$6)*LN(J387))+('BLAZE SHIELD II'!$D$7*('CALCULO MORTERO'!I387^2)+'BLAZE SHIELD II'!$D$8*'CALCULO MORTERO'!I387+'BLAZE SHIELD II'!$D$9)),0)+IF(AND(L387="Blaze Shield II",M387="Software Idiem",C387="Cj"),((('BLAZE SHIELD II'!$H$4*('CALCULO MORTERO'!I387^2)+'BLAZE SHIELD II'!$H$5*'CALCULO MORTERO'!I387+'BLAZE SHIELD II'!$H$6)*LN(J387))+('BLAZE SHIELD II'!$H$7*('CALCULO MORTERO'!I387^2)+'BLAZE SHIELD II'!$H$8*'CALCULO MORTERO'!I387+'BLAZE SHIELD II'!$H$9)),0)+IF(AND(L387="Blaze Shield II",M387="Software Idiem",C387="C"),((('BLAZE SHIELD II'!$L$4*('CALCULO MORTERO'!I387^2)+'BLAZE SHIELD II'!$L$5*'CALCULO MORTERO'!I387+'BLAZE SHIELD II'!$L$6)*LN(J387))+('BLAZE SHIELD II'!$L$7*('CALCULO MORTERO'!I387^2)+'BLAZE SHIELD II'!$L$8*'CALCULO MORTERO'!I387+'BLAZE SHIELD II'!$L$9)),0)+IF(AND(L387="Blaze Shield II",M387="Software Idiem",C387="L"),((('BLAZE SHIELD II'!$L$4*('CALCULO MORTERO'!I387^2)+'BLAZE SHIELD II'!$L$5*'CALCULO MORTERO'!I387+'BLAZE SHIELD II'!$L$6)*LN(J387))+('BLAZE SHIELD II'!$L$7*('CALCULO MORTERO'!I387^2)+'BLAZE SHIELD II'!$L$8*'CALCULO MORTERO'!I387+'BLAZE SHIELD II'!$L$9)),0)+IF(AND(L387="Blaze Shield II",M387="Software Idiem",C387="IN",G387=3),((('BLAZE SHIELD II'!$H$14*('CALCULO MORTERO'!I387^2)+'BLAZE SHIELD II'!$H$15*'CALCULO MORTERO'!I387+'BLAZE SHIELD II'!$H$16)*LN(J387))+('BLAZE SHIELD II'!$H$17*('CALCULO MORTERO'!I387^2)+'BLAZE SHIELD II'!$H$18*'CALCULO MORTERO'!I387+'BLAZE SHIELD II'!$H$19)),0),0)+ROUND(IF(AND(L387="Cafco 400",M387="Software Idiem",C387="IN",G387=4),((('CAFCO 400 '!$H$7*(J387^4)+'CAFCO 400 '!$H$8*(J387^3)+'CAFCO 400 '!$H$9*(J387^2)+'CAFCO 400 '!$H$10*J387+'CAFCO 400 '!$H$11)*U387^2)+(('CAFCO 400 '!$H$12*(J387^3)+'CAFCO 400 '!$H$13*(J387^2)+'CAFCO 400 '!$H$14*J387+'CAFCO 400 '!$H$15)*U387)+('CAFCO 400 '!$H$16*(J387^2)+'CAFCO 400 '!$H$17*J387+'CAFCO 400 '!$H$18)),0)+IF(AND(L387="Cafco 400",M387="Software Idiem",C387="Cj"),(((('CAFCO 400 '!$D$7*LN(J387)+'CAFCO 400 '!$D$8)*U387^2)+(('CAFCO 400 '!$D$9*LN(J387)+'CAFCO 400 '!$D$10)*U387)+('CAFCO 400 '!$D$11*LN(J387)+'CAFCO 400 '!$D$12))),0)+IF(AND(L387="Cafco 400",M387="Software Idiem",C387="C"),((('CAFCO 400 '!$L$7*(J387^3)+'CAFCO 400 '!$L$8*(J387^2)+'CAFCO 400 '!$L$9*J387+'CAFCO 400 '!$L$10)*U387^2)+(('CAFCO 400 '!$L$11*(J387^3)+'CAFCO 400 '!$L$12*(J387^2)+'CAFCO 400 '!$L$13*J387+'CAFCO 400 '!$L$14)*U387)+('CAFCO 400 '!$L$15*LN(J387)+'CAFCO 400 '!$L$16)),0)+IF(AND(L387="Cafco 400",M387="Software Idiem",C387="L"),((('CAFCO 400 '!$L$7*(J387^3)+'CAFCO 400 '!$L$8*(J387^2)+'CAFCO 400 '!$L$9*J387+'CAFCO 400 '!$L$10)*U387^2)+(('CAFCO 400 '!$L$11*(J387^3)+'CAFCO 400 '!$L$12*(J387^2)+'CAFCO 400 '!$L$13*J387+'CAFCO 400 '!$L$14)*U387)+('CAFCO 400 '!$L$15*LN(J387)+'CAFCO 400 '!$L$16)),0)+IF(AND(L387="Cafco 400",M387="Software Idiem",C387="IN",G387=3),((('CAFCO 400 '!$D$23*(J387^2)+'CAFCO 400 '!$D$24*(J387)+'CAFCO 400 '!$D$25)*U387^2)+(('CAFCO 400 '!$D$26*(J387^2)+'CAFCO 400 '!$D$27*J387+'CAFCO 400 '!$D$28)*U387)+('CAFCO 400 '!$D$29*(J387^2)+'CAFCO 400 '!$D$30*J387+'CAFCO 400 '!$D$31)),0),0)+IF(AND(L387="Cafco 300",J387&gt;=95,J387&lt;=240,C387="Cj",I387=90),VLOOKUP(T387,'CAFCO 300 IDIEM TABLAS'!$B$4:$D$23,2,FALSE),0)+IF(AND(L387="Cafco 300",J387&gt;=95,J387&lt;=240,C387="Cj",I387=120),VLOOKUP(T387,'CAFCO 300 IDIEM TABLAS'!$B$4:$D$23,3,FALSE),0)+IF(AND(L387="Cafco 300",J387&gt;=95,J387&lt;=400,G387=3,C387="IN",I387=90),VLOOKUP(T387,'CAFCO 300 IDIEM TABLAS'!$F$4:$H$35,2,FALSE),0)+IF(AND(L387="Cafco 300",J387&gt;=95,J387&lt;=400,G387=3,C387="IN",I387=120),VLOOKUP(T387,'CAFCO 300 IDIEM TABLAS'!$F$4:$H$35,3,FALSE),0)+IF(AND(L387="Cafco 300",J387&gt;=95,J387&lt;=450,G387=4,C387="IN",I387=90),VLOOKUP(T387,'CAFCO 300 IDIEM TABLAS'!$J$4:$L$40,2,FALSE),0)+IF(AND(L387="Cafco 300",J387&gt;=95,J387&lt;=450,G387=4,C387="IN",I387=120),VLOOKUP(T387,'CAFCO 300 IDIEM TABLAS'!$J$4:$L$40,3,FALSE),0)+IF(AND(M387="Ensayo Idiem",L387="Cafco 400",C387="IN",G387=4,I387=90),VLOOKUP(T387,'CAFCO 400 ENSAYO'!$B$7:$D$43,2,FALSE),0)+IF(AND(M387="Ensayo Idiem",L387="Cafco 400",C387="IN",G387=4,I387=120),VLOOKUP(T387,'CAFCO 400 ENSAYO'!$B$7:$D$43,3,FALSE),0)</f>
        <v>0</v>
      </c>
      <c r="O387" s="96">
        <f t="shared" si="39"/>
        <v>0</v>
      </c>
      <c r="P387" s="132" t="str">
        <f t="shared" si="43"/>
        <v>N/A</v>
      </c>
      <c r="Q387" s="132" t="str">
        <f t="shared" si="44"/>
        <v>N/A</v>
      </c>
      <c r="R387" s="132" t="str">
        <f t="shared" si="45"/>
        <v>NO CERT.</v>
      </c>
      <c r="S387" s="132" t="e">
        <f t="shared" si="46"/>
        <v>#N/A</v>
      </c>
      <c r="T387" s="133" t="e">
        <f>+IF(J387=LOOKUP(J387,'CAFCO 300 IDIEM TABLAS'!$J$4:$J$40),'CALCULO MORTERO'!J387,MROUND('CALCULO MORTERO'!J387,10))</f>
        <v>#N/A</v>
      </c>
      <c r="U387" s="134">
        <f t="shared" si="47"/>
        <v>0</v>
      </c>
    </row>
    <row r="388" spans="1:21" s="36" customFormat="1" x14ac:dyDescent="0.25">
      <c r="A388" s="118">
        <f>+CUBICACION!D382</f>
        <v>0</v>
      </c>
      <c r="B388" s="819">
        <f>+CUBICACION!E382</f>
        <v>0</v>
      </c>
      <c r="C388" s="675">
        <f>+CUBICACION!F382</f>
        <v>0</v>
      </c>
      <c r="D388" s="118"/>
      <c r="E388" s="118"/>
      <c r="F388" s="820"/>
      <c r="G388" s="675">
        <f>+CUBICACION!J382</f>
        <v>0</v>
      </c>
      <c r="H388" s="118"/>
      <c r="I388" s="821">
        <f>+CUBICACION!L382</f>
        <v>0</v>
      </c>
      <c r="J388" s="64">
        <f>+CUBICACION!M382</f>
        <v>0</v>
      </c>
      <c r="K388" s="822" t="str">
        <f>+CUBICACION!N382</f>
        <v/>
      </c>
      <c r="L388" s="118">
        <f>+CUBICACION!O382</f>
        <v>0</v>
      </c>
      <c r="M388" s="823">
        <f>+CUBICACION!P382</f>
        <v>0</v>
      </c>
      <c r="N388" s="902">
        <f>ROUND(IF(AND(L388="Blaze Shield II",M388="Software Idiem",C388="IN",G388=4),((('BLAZE SHIELD II'!$D$4*('CALCULO MORTERO'!I388^2)+'BLAZE SHIELD II'!$D$5*'CALCULO MORTERO'!I388+'BLAZE SHIELD II'!$D$6)*LN(J388))+('BLAZE SHIELD II'!$D$7*('CALCULO MORTERO'!I388^2)+'BLAZE SHIELD II'!$D$8*'CALCULO MORTERO'!I388+'BLAZE SHIELD II'!$D$9)),0)+IF(AND(L388="Blaze Shield II",M388="Software Idiem",C388="Cj"),((('BLAZE SHIELD II'!$H$4*('CALCULO MORTERO'!I388^2)+'BLAZE SHIELD II'!$H$5*'CALCULO MORTERO'!I388+'BLAZE SHIELD II'!$H$6)*LN(J388))+('BLAZE SHIELD II'!$H$7*('CALCULO MORTERO'!I388^2)+'BLAZE SHIELD II'!$H$8*'CALCULO MORTERO'!I388+'BLAZE SHIELD II'!$H$9)),0)+IF(AND(L388="Blaze Shield II",M388="Software Idiem",C388="C"),((('BLAZE SHIELD II'!$L$4*('CALCULO MORTERO'!I388^2)+'BLAZE SHIELD II'!$L$5*'CALCULO MORTERO'!I388+'BLAZE SHIELD II'!$L$6)*LN(J388))+('BLAZE SHIELD II'!$L$7*('CALCULO MORTERO'!I388^2)+'BLAZE SHIELD II'!$L$8*'CALCULO MORTERO'!I388+'BLAZE SHIELD II'!$L$9)),0)+IF(AND(L388="Blaze Shield II",M388="Software Idiem",C388="L"),((('BLAZE SHIELD II'!$L$4*('CALCULO MORTERO'!I388^2)+'BLAZE SHIELD II'!$L$5*'CALCULO MORTERO'!I388+'BLAZE SHIELD II'!$L$6)*LN(J388))+('BLAZE SHIELD II'!$L$7*('CALCULO MORTERO'!I388^2)+'BLAZE SHIELD II'!$L$8*'CALCULO MORTERO'!I388+'BLAZE SHIELD II'!$L$9)),0)+IF(AND(L388="Blaze Shield II",M388="Software Idiem",C388="IN",G388=3),((('BLAZE SHIELD II'!$H$14*('CALCULO MORTERO'!I388^2)+'BLAZE SHIELD II'!$H$15*'CALCULO MORTERO'!I388+'BLAZE SHIELD II'!$H$16)*LN(J388))+('BLAZE SHIELD II'!$H$17*('CALCULO MORTERO'!I388^2)+'BLAZE SHIELD II'!$H$18*'CALCULO MORTERO'!I388+'BLAZE SHIELD II'!$H$19)),0),0)+ROUND(IF(AND(L388="Cafco 400",M388="Software Idiem",C388="IN",G388=4),((('CAFCO 400 '!$H$7*(J388^4)+'CAFCO 400 '!$H$8*(J388^3)+'CAFCO 400 '!$H$9*(J388^2)+'CAFCO 400 '!$H$10*J388+'CAFCO 400 '!$H$11)*U388^2)+(('CAFCO 400 '!$H$12*(J388^3)+'CAFCO 400 '!$H$13*(J388^2)+'CAFCO 400 '!$H$14*J388+'CAFCO 400 '!$H$15)*U388)+('CAFCO 400 '!$H$16*(J388^2)+'CAFCO 400 '!$H$17*J388+'CAFCO 400 '!$H$18)),0)+IF(AND(L388="Cafco 400",M388="Software Idiem",C388="Cj"),(((('CAFCO 400 '!$D$7*LN(J388)+'CAFCO 400 '!$D$8)*U388^2)+(('CAFCO 400 '!$D$9*LN(J388)+'CAFCO 400 '!$D$10)*U388)+('CAFCO 400 '!$D$11*LN(J388)+'CAFCO 400 '!$D$12))),0)+IF(AND(L388="Cafco 400",M388="Software Idiem",C388="C"),((('CAFCO 400 '!$L$7*(J388^3)+'CAFCO 400 '!$L$8*(J388^2)+'CAFCO 400 '!$L$9*J388+'CAFCO 400 '!$L$10)*U388^2)+(('CAFCO 400 '!$L$11*(J388^3)+'CAFCO 400 '!$L$12*(J388^2)+'CAFCO 400 '!$L$13*J388+'CAFCO 400 '!$L$14)*U388)+('CAFCO 400 '!$L$15*LN(J388)+'CAFCO 400 '!$L$16)),0)+IF(AND(L388="Cafco 400",M388="Software Idiem",C388="L"),((('CAFCO 400 '!$L$7*(J388^3)+'CAFCO 400 '!$L$8*(J388^2)+'CAFCO 400 '!$L$9*J388+'CAFCO 400 '!$L$10)*U388^2)+(('CAFCO 400 '!$L$11*(J388^3)+'CAFCO 400 '!$L$12*(J388^2)+'CAFCO 400 '!$L$13*J388+'CAFCO 400 '!$L$14)*U388)+('CAFCO 400 '!$L$15*LN(J388)+'CAFCO 400 '!$L$16)),0)+IF(AND(L388="Cafco 400",M388="Software Idiem",C388="IN",G388=3),((('CAFCO 400 '!$D$23*(J388^2)+'CAFCO 400 '!$D$24*(J388)+'CAFCO 400 '!$D$25)*U388^2)+(('CAFCO 400 '!$D$26*(J388^2)+'CAFCO 400 '!$D$27*J388+'CAFCO 400 '!$D$28)*U388)+('CAFCO 400 '!$D$29*(J388^2)+'CAFCO 400 '!$D$30*J388+'CAFCO 400 '!$D$31)),0),0)+IF(AND(L388="Cafco 300",J388&gt;=95,J388&lt;=240,C388="Cj",I388=90),VLOOKUP(T388,'CAFCO 300 IDIEM TABLAS'!$B$4:$D$23,2,FALSE),0)+IF(AND(L388="Cafco 300",J388&gt;=95,J388&lt;=240,C388="Cj",I388=120),VLOOKUP(T388,'CAFCO 300 IDIEM TABLAS'!$B$4:$D$23,3,FALSE),0)+IF(AND(L388="Cafco 300",J388&gt;=95,J388&lt;=400,G388=3,C388="IN",I388=90),VLOOKUP(T388,'CAFCO 300 IDIEM TABLAS'!$F$4:$H$35,2,FALSE),0)+IF(AND(L388="Cafco 300",J388&gt;=95,J388&lt;=400,G388=3,C388="IN",I388=120),VLOOKUP(T388,'CAFCO 300 IDIEM TABLAS'!$F$4:$H$35,3,FALSE),0)+IF(AND(L388="Cafco 300",J388&gt;=95,J388&lt;=450,G388=4,C388="IN",I388=90),VLOOKUP(T388,'CAFCO 300 IDIEM TABLAS'!$J$4:$L$40,2,FALSE),0)+IF(AND(L388="Cafco 300",J388&gt;=95,J388&lt;=450,G388=4,C388="IN",I388=120),VLOOKUP(T388,'CAFCO 300 IDIEM TABLAS'!$J$4:$L$40,3,FALSE),0)+IF(AND(M388="Ensayo Idiem",L388="Cafco 400",C388="IN",G388=4,I388=90),VLOOKUP(T388,'CAFCO 400 ENSAYO'!$B$7:$D$43,2,FALSE),0)+IF(AND(M388="Ensayo Idiem",L388="Cafco 400",C388="IN",G388=4,I388=120),VLOOKUP(T388,'CAFCO 400 ENSAYO'!$B$7:$D$43,3,FALSE),0)</f>
        <v>0</v>
      </c>
      <c r="O388" s="96">
        <f t="shared" si="39"/>
        <v>0</v>
      </c>
      <c r="P388" s="95" t="str">
        <f t="shared" si="43"/>
        <v>N/A</v>
      </c>
      <c r="Q388" s="95" t="str">
        <f t="shared" si="44"/>
        <v>N/A</v>
      </c>
      <c r="R388" s="95" t="str">
        <f t="shared" si="45"/>
        <v>NO CERT.</v>
      </c>
      <c r="S388" s="95" t="e">
        <f t="shared" si="46"/>
        <v>#N/A</v>
      </c>
      <c r="T388" s="119" t="e">
        <f>+IF(J388=LOOKUP(J388,'CAFCO 300 IDIEM TABLAS'!$J$4:$J$40),'CALCULO MORTERO'!J388,MROUND('CALCULO MORTERO'!J388,10))</f>
        <v>#N/A</v>
      </c>
      <c r="U388" s="118">
        <f t="shared" si="47"/>
        <v>0</v>
      </c>
    </row>
    <row r="389" spans="1:21" s="36" customFormat="1" x14ac:dyDescent="0.25">
      <c r="A389" s="118">
        <f>+CUBICACION!D383</f>
        <v>0</v>
      </c>
      <c r="B389" s="819">
        <f>+CUBICACION!E383</f>
        <v>0</v>
      </c>
      <c r="C389" s="675">
        <f>+CUBICACION!F383</f>
        <v>0</v>
      </c>
      <c r="D389" s="118"/>
      <c r="E389" s="118"/>
      <c r="F389" s="820"/>
      <c r="G389" s="675">
        <f>+CUBICACION!J383</f>
        <v>0</v>
      </c>
      <c r="H389" s="118"/>
      <c r="I389" s="821">
        <f>+CUBICACION!L383</f>
        <v>0</v>
      </c>
      <c r="J389" s="64">
        <f>+CUBICACION!M383</f>
        <v>0</v>
      </c>
      <c r="K389" s="822" t="str">
        <f>+CUBICACION!N383</f>
        <v/>
      </c>
      <c r="L389" s="118">
        <f>+CUBICACION!O383</f>
        <v>0</v>
      </c>
      <c r="M389" s="823">
        <f>+CUBICACION!P383</f>
        <v>0</v>
      </c>
      <c r="N389" s="902">
        <f>ROUND(IF(AND(L389="Blaze Shield II",M389="Software Idiem",C389="IN",G389=4),((('BLAZE SHIELD II'!$D$4*('CALCULO MORTERO'!I389^2)+'BLAZE SHIELD II'!$D$5*'CALCULO MORTERO'!I389+'BLAZE SHIELD II'!$D$6)*LN(J389))+('BLAZE SHIELD II'!$D$7*('CALCULO MORTERO'!I389^2)+'BLAZE SHIELD II'!$D$8*'CALCULO MORTERO'!I389+'BLAZE SHIELD II'!$D$9)),0)+IF(AND(L389="Blaze Shield II",M389="Software Idiem",C389="Cj"),((('BLAZE SHIELD II'!$H$4*('CALCULO MORTERO'!I389^2)+'BLAZE SHIELD II'!$H$5*'CALCULO MORTERO'!I389+'BLAZE SHIELD II'!$H$6)*LN(J389))+('BLAZE SHIELD II'!$H$7*('CALCULO MORTERO'!I389^2)+'BLAZE SHIELD II'!$H$8*'CALCULO MORTERO'!I389+'BLAZE SHIELD II'!$H$9)),0)+IF(AND(L389="Blaze Shield II",M389="Software Idiem",C389="C"),((('BLAZE SHIELD II'!$L$4*('CALCULO MORTERO'!I389^2)+'BLAZE SHIELD II'!$L$5*'CALCULO MORTERO'!I389+'BLAZE SHIELD II'!$L$6)*LN(J389))+('BLAZE SHIELD II'!$L$7*('CALCULO MORTERO'!I389^2)+'BLAZE SHIELD II'!$L$8*'CALCULO MORTERO'!I389+'BLAZE SHIELD II'!$L$9)),0)+IF(AND(L389="Blaze Shield II",M389="Software Idiem",C389="L"),((('BLAZE SHIELD II'!$L$4*('CALCULO MORTERO'!I389^2)+'BLAZE SHIELD II'!$L$5*'CALCULO MORTERO'!I389+'BLAZE SHIELD II'!$L$6)*LN(J389))+('BLAZE SHIELD II'!$L$7*('CALCULO MORTERO'!I389^2)+'BLAZE SHIELD II'!$L$8*'CALCULO MORTERO'!I389+'BLAZE SHIELD II'!$L$9)),0)+IF(AND(L389="Blaze Shield II",M389="Software Idiem",C389="IN",G389=3),((('BLAZE SHIELD II'!$H$14*('CALCULO MORTERO'!I389^2)+'BLAZE SHIELD II'!$H$15*'CALCULO MORTERO'!I389+'BLAZE SHIELD II'!$H$16)*LN(J389))+('BLAZE SHIELD II'!$H$17*('CALCULO MORTERO'!I389^2)+'BLAZE SHIELD II'!$H$18*'CALCULO MORTERO'!I389+'BLAZE SHIELD II'!$H$19)),0),0)+ROUND(IF(AND(L389="Cafco 400",M389="Software Idiem",C389="IN",G389=4),((('CAFCO 400 '!$H$7*(J389^4)+'CAFCO 400 '!$H$8*(J389^3)+'CAFCO 400 '!$H$9*(J389^2)+'CAFCO 400 '!$H$10*J389+'CAFCO 400 '!$H$11)*U389^2)+(('CAFCO 400 '!$H$12*(J389^3)+'CAFCO 400 '!$H$13*(J389^2)+'CAFCO 400 '!$H$14*J389+'CAFCO 400 '!$H$15)*U389)+('CAFCO 400 '!$H$16*(J389^2)+'CAFCO 400 '!$H$17*J389+'CAFCO 400 '!$H$18)),0)+IF(AND(L389="Cafco 400",M389="Software Idiem",C389="Cj"),(((('CAFCO 400 '!$D$7*LN(J389)+'CAFCO 400 '!$D$8)*U389^2)+(('CAFCO 400 '!$D$9*LN(J389)+'CAFCO 400 '!$D$10)*U389)+('CAFCO 400 '!$D$11*LN(J389)+'CAFCO 400 '!$D$12))),0)+IF(AND(L389="Cafco 400",M389="Software Idiem",C389="C"),((('CAFCO 400 '!$L$7*(J389^3)+'CAFCO 400 '!$L$8*(J389^2)+'CAFCO 400 '!$L$9*J389+'CAFCO 400 '!$L$10)*U389^2)+(('CAFCO 400 '!$L$11*(J389^3)+'CAFCO 400 '!$L$12*(J389^2)+'CAFCO 400 '!$L$13*J389+'CAFCO 400 '!$L$14)*U389)+('CAFCO 400 '!$L$15*LN(J389)+'CAFCO 400 '!$L$16)),0)+IF(AND(L389="Cafco 400",M389="Software Idiem",C389="L"),((('CAFCO 400 '!$L$7*(J389^3)+'CAFCO 400 '!$L$8*(J389^2)+'CAFCO 400 '!$L$9*J389+'CAFCO 400 '!$L$10)*U389^2)+(('CAFCO 400 '!$L$11*(J389^3)+'CAFCO 400 '!$L$12*(J389^2)+'CAFCO 400 '!$L$13*J389+'CAFCO 400 '!$L$14)*U389)+('CAFCO 400 '!$L$15*LN(J389)+'CAFCO 400 '!$L$16)),0)+IF(AND(L389="Cafco 400",M389="Software Idiem",C389="IN",G389=3),((('CAFCO 400 '!$D$23*(J389^2)+'CAFCO 400 '!$D$24*(J389)+'CAFCO 400 '!$D$25)*U389^2)+(('CAFCO 400 '!$D$26*(J389^2)+'CAFCO 400 '!$D$27*J389+'CAFCO 400 '!$D$28)*U389)+('CAFCO 400 '!$D$29*(J389^2)+'CAFCO 400 '!$D$30*J389+'CAFCO 400 '!$D$31)),0),0)+IF(AND(L389="Cafco 300",J389&gt;=95,J389&lt;=240,C389="Cj",I389=90),VLOOKUP(T389,'CAFCO 300 IDIEM TABLAS'!$B$4:$D$23,2,FALSE),0)+IF(AND(L389="Cafco 300",J389&gt;=95,J389&lt;=240,C389="Cj",I389=120),VLOOKUP(T389,'CAFCO 300 IDIEM TABLAS'!$B$4:$D$23,3,FALSE),0)+IF(AND(L389="Cafco 300",J389&gt;=95,J389&lt;=400,G389=3,C389="IN",I389=90),VLOOKUP(T389,'CAFCO 300 IDIEM TABLAS'!$F$4:$H$35,2,FALSE),0)+IF(AND(L389="Cafco 300",J389&gt;=95,J389&lt;=400,G389=3,C389="IN",I389=120),VLOOKUP(T389,'CAFCO 300 IDIEM TABLAS'!$F$4:$H$35,3,FALSE),0)+IF(AND(L389="Cafco 300",J389&gt;=95,J389&lt;=450,G389=4,C389="IN",I389=90),VLOOKUP(T389,'CAFCO 300 IDIEM TABLAS'!$J$4:$L$40,2,FALSE),0)+IF(AND(L389="Cafco 300",J389&gt;=95,J389&lt;=450,G389=4,C389="IN",I389=120),VLOOKUP(T389,'CAFCO 300 IDIEM TABLAS'!$J$4:$L$40,3,FALSE),0)+IF(AND(M389="Ensayo Idiem",L389="Cafco 400",C389="IN",G389=4,I389=90),VLOOKUP(T389,'CAFCO 400 ENSAYO'!$B$7:$D$43,2,FALSE),0)+IF(AND(M389="Ensayo Idiem",L389="Cafco 400",C389="IN",G389=4,I389=120),VLOOKUP(T389,'CAFCO 400 ENSAYO'!$B$7:$D$43,3,FALSE),0)</f>
        <v>0</v>
      </c>
      <c r="O389" s="96">
        <f t="shared" si="39"/>
        <v>0</v>
      </c>
      <c r="P389" s="132" t="str">
        <f t="shared" si="43"/>
        <v>N/A</v>
      </c>
      <c r="Q389" s="132" t="str">
        <f t="shared" si="44"/>
        <v>N/A</v>
      </c>
      <c r="R389" s="132" t="str">
        <f t="shared" si="45"/>
        <v>NO CERT.</v>
      </c>
      <c r="S389" s="132" t="e">
        <f t="shared" si="46"/>
        <v>#N/A</v>
      </c>
      <c r="T389" s="133" t="e">
        <f>+IF(J389=LOOKUP(J389,'CAFCO 300 IDIEM TABLAS'!$J$4:$J$40),'CALCULO MORTERO'!J389,MROUND('CALCULO MORTERO'!J389,10))</f>
        <v>#N/A</v>
      </c>
      <c r="U389" s="134">
        <f t="shared" si="47"/>
        <v>0</v>
      </c>
    </row>
    <row r="390" spans="1:21" s="36" customFormat="1" x14ac:dyDescent="0.25">
      <c r="A390" s="118">
        <f>+CUBICACION!D384</f>
        <v>0</v>
      </c>
      <c r="B390" s="819">
        <f>+CUBICACION!E384</f>
        <v>0</v>
      </c>
      <c r="C390" s="675">
        <f>+CUBICACION!F384</f>
        <v>0</v>
      </c>
      <c r="D390" s="118"/>
      <c r="E390" s="118"/>
      <c r="F390" s="820"/>
      <c r="G390" s="675">
        <f>+CUBICACION!J384</f>
        <v>0</v>
      </c>
      <c r="H390" s="118"/>
      <c r="I390" s="821">
        <f>+CUBICACION!L384</f>
        <v>0</v>
      </c>
      <c r="J390" s="64">
        <f>+CUBICACION!M384</f>
        <v>0</v>
      </c>
      <c r="K390" s="822" t="str">
        <f>+CUBICACION!N384</f>
        <v/>
      </c>
      <c r="L390" s="118">
        <f>+CUBICACION!O384</f>
        <v>0</v>
      </c>
      <c r="M390" s="823">
        <f>+CUBICACION!P384</f>
        <v>0</v>
      </c>
      <c r="N390" s="902">
        <f>ROUND(IF(AND(L390="Blaze Shield II",M390="Software Idiem",C390="IN",G390=4),((('BLAZE SHIELD II'!$D$4*('CALCULO MORTERO'!I390^2)+'BLAZE SHIELD II'!$D$5*'CALCULO MORTERO'!I390+'BLAZE SHIELD II'!$D$6)*LN(J390))+('BLAZE SHIELD II'!$D$7*('CALCULO MORTERO'!I390^2)+'BLAZE SHIELD II'!$D$8*'CALCULO MORTERO'!I390+'BLAZE SHIELD II'!$D$9)),0)+IF(AND(L390="Blaze Shield II",M390="Software Idiem",C390="Cj"),((('BLAZE SHIELD II'!$H$4*('CALCULO MORTERO'!I390^2)+'BLAZE SHIELD II'!$H$5*'CALCULO MORTERO'!I390+'BLAZE SHIELD II'!$H$6)*LN(J390))+('BLAZE SHIELD II'!$H$7*('CALCULO MORTERO'!I390^2)+'BLAZE SHIELD II'!$H$8*'CALCULO MORTERO'!I390+'BLAZE SHIELD II'!$H$9)),0)+IF(AND(L390="Blaze Shield II",M390="Software Idiem",C390="C"),((('BLAZE SHIELD II'!$L$4*('CALCULO MORTERO'!I390^2)+'BLAZE SHIELD II'!$L$5*'CALCULO MORTERO'!I390+'BLAZE SHIELD II'!$L$6)*LN(J390))+('BLAZE SHIELD II'!$L$7*('CALCULO MORTERO'!I390^2)+'BLAZE SHIELD II'!$L$8*'CALCULO MORTERO'!I390+'BLAZE SHIELD II'!$L$9)),0)+IF(AND(L390="Blaze Shield II",M390="Software Idiem",C390="L"),((('BLAZE SHIELD II'!$L$4*('CALCULO MORTERO'!I390^2)+'BLAZE SHIELD II'!$L$5*'CALCULO MORTERO'!I390+'BLAZE SHIELD II'!$L$6)*LN(J390))+('BLAZE SHIELD II'!$L$7*('CALCULO MORTERO'!I390^2)+'BLAZE SHIELD II'!$L$8*'CALCULO MORTERO'!I390+'BLAZE SHIELD II'!$L$9)),0)+IF(AND(L390="Blaze Shield II",M390="Software Idiem",C390="IN",G390=3),((('BLAZE SHIELD II'!$H$14*('CALCULO MORTERO'!I390^2)+'BLAZE SHIELD II'!$H$15*'CALCULO MORTERO'!I390+'BLAZE SHIELD II'!$H$16)*LN(J390))+('BLAZE SHIELD II'!$H$17*('CALCULO MORTERO'!I390^2)+'BLAZE SHIELD II'!$H$18*'CALCULO MORTERO'!I390+'BLAZE SHIELD II'!$H$19)),0),0)+ROUND(IF(AND(L390="Cafco 400",M390="Software Idiem",C390="IN",G390=4),((('CAFCO 400 '!$H$7*(J390^4)+'CAFCO 400 '!$H$8*(J390^3)+'CAFCO 400 '!$H$9*(J390^2)+'CAFCO 400 '!$H$10*J390+'CAFCO 400 '!$H$11)*U390^2)+(('CAFCO 400 '!$H$12*(J390^3)+'CAFCO 400 '!$H$13*(J390^2)+'CAFCO 400 '!$H$14*J390+'CAFCO 400 '!$H$15)*U390)+('CAFCO 400 '!$H$16*(J390^2)+'CAFCO 400 '!$H$17*J390+'CAFCO 400 '!$H$18)),0)+IF(AND(L390="Cafco 400",M390="Software Idiem",C390="Cj"),(((('CAFCO 400 '!$D$7*LN(J390)+'CAFCO 400 '!$D$8)*U390^2)+(('CAFCO 400 '!$D$9*LN(J390)+'CAFCO 400 '!$D$10)*U390)+('CAFCO 400 '!$D$11*LN(J390)+'CAFCO 400 '!$D$12))),0)+IF(AND(L390="Cafco 400",M390="Software Idiem",C390="C"),((('CAFCO 400 '!$L$7*(J390^3)+'CAFCO 400 '!$L$8*(J390^2)+'CAFCO 400 '!$L$9*J390+'CAFCO 400 '!$L$10)*U390^2)+(('CAFCO 400 '!$L$11*(J390^3)+'CAFCO 400 '!$L$12*(J390^2)+'CAFCO 400 '!$L$13*J390+'CAFCO 400 '!$L$14)*U390)+('CAFCO 400 '!$L$15*LN(J390)+'CAFCO 400 '!$L$16)),0)+IF(AND(L390="Cafco 400",M390="Software Idiem",C390="L"),((('CAFCO 400 '!$L$7*(J390^3)+'CAFCO 400 '!$L$8*(J390^2)+'CAFCO 400 '!$L$9*J390+'CAFCO 400 '!$L$10)*U390^2)+(('CAFCO 400 '!$L$11*(J390^3)+'CAFCO 400 '!$L$12*(J390^2)+'CAFCO 400 '!$L$13*J390+'CAFCO 400 '!$L$14)*U390)+('CAFCO 400 '!$L$15*LN(J390)+'CAFCO 400 '!$L$16)),0)+IF(AND(L390="Cafco 400",M390="Software Idiem",C390="IN",G390=3),((('CAFCO 400 '!$D$23*(J390^2)+'CAFCO 400 '!$D$24*(J390)+'CAFCO 400 '!$D$25)*U390^2)+(('CAFCO 400 '!$D$26*(J390^2)+'CAFCO 400 '!$D$27*J390+'CAFCO 400 '!$D$28)*U390)+('CAFCO 400 '!$D$29*(J390^2)+'CAFCO 400 '!$D$30*J390+'CAFCO 400 '!$D$31)),0),0)+IF(AND(L390="Cafco 300",J390&gt;=95,J390&lt;=240,C390="Cj",I390=90),VLOOKUP(T390,'CAFCO 300 IDIEM TABLAS'!$B$4:$D$23,2,FALSE),0)+IF(AND(L390="Cafco 300",J390&gt;=95,J390&lt;=240,C390="Cj",I390=120),VLOOKUP(T390,'CAFCO 300 IDIEM TABLAS'!$B$4:$D$23,3,FALSE),0)+IF(AND(L390="Cafco 300",J390&gt;=95,J390&lt;=400,G390=3,C390="IN",I390=90),VLOOKUP(T390,'CAFCO 300 IDIEM TABLAS'!$F$4:$H$35,2,FALSE),0)+IF(AND(L390="Cafco 300",J390&gt;=95,J390&lt;=400,G390=3,C390="IN",I390=120),VLOOKUP(T390,'CAFCO 300 IDIEM TABLAS'!$F$4:$H$35,3,FALSE),0)+IF(AND(L390="Cafco 300",J390&gt;=95,J390&lt;=450,G390=4,C390="IN",I390=90),VLOOKUP(T390,'CAFCO 300 IDIEM TABLAS'!$J$4:$L$40,2,FALSE),0)+IF(AND(L390="Cafco 300",J390&gt;=95,J390&lt;=450,G390=4,C390="IN",I390=120),VLOOKUP(T390,'CAFCO 300 IDIEM TABLAS'!$J$4:$L$40,3,FALSE),0)+IF(AND(M390="Ensayo Idiem",L390="Cafco 400",C390="IN",G390=4,I390=90),VLOOKUP(T390,'CAFCO 400 ENSAYO'!$B$7:$D$43,2,FALSE),0)+IF(AND(M390="Ensayo Idiem",L390="Cafco 400",C390="IN",G390=4,I390=120),VLOOKUP(T390,'CAFCO 400 ENSAYO'!$B$7:$D$43,3,FALSE),0)</f>
        <v>0</v>
      </c>
      <c r="O390" s="96">
        <f t="shared" si="39"/>
        <v>0</v>
      </c>
      <c r="P390" s="95" t="str">
        <f t="shared" si="43"/>
        <v>N/A</v>
      </c>
      <c r="Q390" s="95" t="str">
        <f t="shared" si="44"/>
        <v>N/A</v>
      </c>
      <c r="R390" s="95" t="str">
        <f t="shared" si="45"/>
        <v>NO CERT.</v>
      </c>
      <c r="S390" s="95" t="e">
        <f t="shared" si="46"/>
        <v>#N/A</v>
      </c>
      <c r="T390" s="119" t="e">
        <f>+IF(J390=LOOKUP(J390,'CAFCO 300 IDIEM TABLAS'!$J$4:$J$40),'CALCULO MORTERO'!J390,MROUND('CALCULO MORTERO'!J390,10))</f>
        <v>#N/A</v>
      </c>
      <c r="U390" s="118">
        <f t="shared" si="47"/>
        <v>0</v>
      </c>
    </row>
    <row r="391" spans="1:21" s="36" customFormat="1" x14ac:dyDescent="0.25">
      <c r="A391" s="118">
        <f>+CUBICACION!D385</f>
        <v>0</v>
      </c>
      <c r="B391" s="819">
        <f>+CUBICACION!E385</f>
        <v>0</v>
      </c>
      <c r="C391" s="675">
        <f>+CUBICACION!F385</f>
        <v>0</v>
      </c>
      <c r="D391" s="118"/>
      <c r="E391" s="118"/>
      <c r="F391" s="820"/>
      <c r="G391" s="675">
        <f>+CUBICACION!J385</f>
        <v>0</v>
      </c>
      <c r="H391" s="118"/>
      <c r="I391" s="821">
        <f>+CUBICACION!L385</f>
        <v>0</v>
      </c>
      <c r="J391" s="64">
        <f>+CUBICACION!M385</f>
        <v>0</v>
      </c>
      <c r="K391" s="822" t="str">
        <f>+CUBICACION!N385</f>
        <v/>
      </c>
      <c r="L391" s="118">
        <f>+CUBICACION!O385</f>
        <v>0</v>
      </c>
      <c r="M391" s="823">
        <f>+CUBICACION!P385</f>
        <v>0</v>
      </c>
      <c r="N391" s="902">
        <f>ROUND(IF(AND(L391="Blaze Shield II",M391="Software Idiem",C391="IN",G391=4),((('BLAZE SHIELD II'!$D$4*('CALCULO MORTERO'!I391^2)+'BLAZE SHIELD II'!$D$5*'CALCULO MORTERO'!I391+'BLAZE SHIELD II'!$D$6)*LN(J391))+('BLAZE SHIELD II'!$D$7*('CALCULO MORTERO'!I391^2)+'BLAZE SHIELD II'!$D$8*'CALCULO MORTERO'!I391+'BLAZE SHIELD II'!$D$9)),0)+IF(AND(L391="Blaze Shield II",M391="Software Idiem",C391="Cj"),((('BLAZE SHIELD II'!$H$4*('CALCULO MORTERO'!I391^2)+'BLAZE SHIELD II'!$H$5*'CALCULO MORTERO'!I391+'BLAZE SHIELD II'!$H$6)*LN(J391))+('BLAZE SHIELD II'!$H$7*('CALCULO MORTERO'!I391^2)+'BLAZE SHIELD II'!$H$8*'CALCULO MORTERO'!I391+'BLAZE SHIELD II'!$H$9)),0)+IF(AND(L391="Blaze Shield II",M391="Software Idiem",C391="C"),((('BLAZE SHIELD II'!$L$4*('CALCULO MORTERO'!I391^2)+'BLAZE SHIELD II'!$L$5*'CALCULO MORTERO'!I391+'BLAZE SHIELD II'!$L$6)*LN(J391))+('BLAZE SHIELD II'!$L$7*('CALCULO MORTERO'!I391^2)+'BLAZE SHIELD II'!$L$8*'CALCULO MORTERO'!I391+'BLAZE SHIELD II'!$L$9)),0)+IF(AND(L391="Blaze Shield II",M391="Software Idiem",C391="L"),((('BLAZE SHIELD II'!$L$4*('CALCULO MORTERO'!I391^2)+'BLAZE SHIELD II'!$L$5*'CALCULO MORTERO'!I391+'BLAZE SHIELD II'!$L$6)*LN(J391))+('BLAZE SHIELD II'!$L$7*('CALCULO MORTERO'!I391^2)+'BLAZE SHIELD II'!$L$8*'CALCULO MORTERO'!I391+'BLAZE SHIELD II'!$L$9)),0)+IF(AND(L391="Blaze Shield II",M391="Software Idiem",C391="IN",G391=3),((('BLAZE SHIELD II'!$H$14*('CALCULO MORTERO'!I391^2)+'BLAZE SHIELD II'!$H$15*'CALCULO MORTERO'!I391+'BLAZE SHIELD II'!$H$16)*LN(J391))+('BLAZE SHIELD II'!$H$17*('CALCULO MORTERO'!I391^2)+'BLAZE SHIELD II'!$H$18*'CALCULO MORTERO'!I391+'BLAZE SHIELD II'!$H$19)),0),0)+ROUND(IF(AND(L391="Cafco 400",M391="Software Idiem",C391="IN",G391=4),((('CAFCO 400 '!$H$7*(J391^4)+'CAFCO 400 '!$H$8*(J391^3)+'CAFCO 400 '!$H$9*(J391^2)+'CAFCO 400 '!$H$10*J391+'CAFCO 400 '!$H$11)*U391^2)+(('CAFCO 400 '!$H$12*(J391^3)+'CAFCO 400 '!$H$13*(J391^2)+'CAFCO 400 '!$H$14*J391+'CAFCO 400 '!$H$15)*U391)+('CAFCO 400 '!$H$16*(J391^2)+'CAFCO 400 '!$H$17*J391+'CAFCO 400 '!$H$18)),0)+IF(AND(L391="Cafco 400",M391="Software Idiem",C391="Cj"),(((('CAFCO 400 '!$D$7*LN(J391)+'CAFCO 400 '!$D$8)*U391^2)+(('CAFCO 400 '!$D$9*LN(J391)+'CAFCO 400 '!$D$10)*U391)+('CAFCO 400 '!$D$11*LN(J391)+'CAFCO 400 '!$D$12))),0)+IF(AND(L391="Cafco 400",M391="Software Idiem",C391="C"),((('CAFCO 400 '!$L$7*(J391^3)+'CAFCO 400 '!$L$8*(J391^2)+'CAFCO 400 '!$L$9*J391+'CAFCO 400 '!$L$10)*U391^2)+(('CAFCO 400 '!$L$11*(J391^3)+'CAFCO 400 '!$L$12*(J391^2)+'CAFCO 400 '!$L$13*J391+'CAFCO 400 '!$L$14)*U391)+('CAFCO 400 '!$L$15*LN(J391)+'CAFCO 400 '!$L$16)),0)+IF(AND(L391="Cafco 400",M391="Software Idiem",C391="L"),((('CAFCO 400 '!$L$7*(J391^3)+'CAFCO 400 '!$L$8*(J391^2)+'CAFCO 400 '!$L$9*J391+'CAFCO 400 '!$L$10)*U391^2)+(('CAFCO 400 '!$L$11*(J391^3)+'CAFCO 400 '!$L$12*(J391^2)+'CAFCO 400 '!$L$13*J391+'CAFCO 400 '!$L$14)*U391)+('CAFCO 400 '!$L$15*LN(J391)+'CAFCO 400 '!$L$16)),0)+IF(AND(L391="Cafco 400",M391="Software Idiem",C391="IN",G391=3),((('CAFCO 400 '!$D$23*(J391^2)+'CAFCO 400 '!$D$24*(J391)+'CAFCO 400 '!$D$25)*U391^2)+(('CAFCO 400 '!$D$26*(J391^2)+'CAFCO 400 '!$D$27*J391+'CAFCO 400 '!$D$28)*U391)+('CAFCO 400 '!$D$29*(J391^2)+'CAFCO 400 '!$D$30*J391+'CAFCO 400 '!$D$31)),0),0)+IF(AND(L391="Cafco 300",J391&gt;=95,J391&lt;=240,C391="Cj",I391=90),VLOOKUP(T391,'CAFCO 300 IDIEM TABLAS'!$B$4:$D$23,2,FALSE),0)+IF(AND(L391="Cafco 300",J391&gt;=95,J391&lt;=240,C391="Cj",I391=120),VLOOKUP(T391,'CAFCO 300 IDIEM TABLAS'!$B$4:$D$23,3,FALSE),0)+IF(AND(L391="Cafco 300",J391&gt;=95,J391&lt;=400,G391=3,C391="IN",I391=90),VLOOKUP(T391,'CAFCO 300 IDIEM TABLAS'!$F$4:$H$35,2,FALSE),0)+IF(AND(L391="Cafco 300",J391&gt;=95,J391&lt;=400,G391=3,C391="IN",I391=120),VLOOKUP(T391,'CAFCO 300 IDIEM TABLAS'!$F$4:$H$35,3,FALSE),0)+IF(AND(L391="Cafco 300",J391&gt;=95,J391&lt;=450,G391=4,C391="IN",I391=90),VLOOKUP(T391,'CAFCO 300 IDIEM TABLAS'!$J$4:$L$40,2,FALSE),0)+IF(AND(L391="Cafco 300",J391&gt;=95,J391&lt;=450,G391=4,C391="IN",I391=120),VLOOKUP(T391,'CAFCO 300 IDIEM TABLAS'!$J$4:$L$40,3,FALSE),0)+IF(AND(M391="Ensayo Idiem",L391="Cafco 400",C391="IN",G391=4,I391=90),VLOOKUP(T391,'CAFCO 400 ENSAYO'!$B$7:$D$43,2,FALSE),0)+IF(AND(M391="Ensayo Idiem",L391="Cafco 400",C391="IN",G391=4,I391=120),VLOOKUP(T391,'CAFCO 400 ENSAYO'!$B$7:$D$43,3,FALSE),0)</f>
        <v>0</v>
      </c>
      <c r="O391" s="96">
        <f t="shared" si="39"/>
        <v>0</v>
      </c>
      <c r="P391" s="132" t="str">
        <f t="shared" si="43"/>
        <v>N/A</v>
      </c>
      <c r="Q391" s="132" t="str">
        <f t="shared" si="44"/>
        <v>N/A</v>
      </c>
      <c r="R391" s="132" t="str">
        <f t="shared" si="45"/>
        <v>NO CERT.</v>
      </c>
      <c r="S391" s="132" t="e">
        <f t="shared" si="46"/>
        <v>#N/A</v>
      </c>
      <c r="T391" s="133" t="e">
        <f>+IF(J391=LOOKUP(J391,'CAFCO 300 IDIEM TABLAS'!$J$4:$J$40),'CALCULO MORTERO'!J391,MROUND('CALCULO MORTERO'!J391,10))</f>
        <v>#N/A</v>
      </c>
      <c r="U391" s="134">
        <f t="shared" si="47"/>
        <v>0</v>
      </c>
    </row>
    <row r="392" spans="1:21" s="36" customFormat="1" x14ac:dyDescent="0.25">
      <c r="A392" s="118">
        <f>+CUBICACION!D386</f>
        <v>0</v>
      </c>
      <c r="B392" s="819">
        <f>+CUBICACION!E386</f>
        <v>0</v>
      </c>
      <c r="C392" s="675">
        <f>+CUBICACION!F386</f>
        <v>0</v>
      </c>
      <c r="D392" s="118"/>
      <c r="E392" s="118"/>
      <c r="F392" s="820"/>
      <c r="G392" s="675">
        <f>+CUBICACION!J386</f>
        <v>0</v>
      </c>
      <c r="H392" s="118"/>
      <c r="I392" s="821">
        <f>+CUBICACION!L386</f>
        <v>0</v>
      </c>
      <c r="J392" s="64">
        <f>+CUBICACION!M386</f>
        <v>0</v>
      </c>
      <c r="K392" s="822" t="str">
        <f>+CUBICACION!N386</f>
        <v/>
      </c>
      <c r="L392" s="118">
        <f>+CUBICACION!O386</f>
        <v>0</v>
      </c>
      <c r="M392" s="823">
        <f>+CUBICACION!P386</f>
        <v>0</v>
      </c>
      <c r="N392" s="902">
        <f>ROUND(IF(AND(L392="Blaze Shield II",M392="Software Idiem",C392="IN",G392=4),((('BLAZE SHIELD II'!$D$4*('CALCULO MORTERO'!I392^2)+'BLAZE SHIELD II'!$D$5*'CALCULO MORTERO'!I392+'BLAZE SHIELD II'!$D$6)*LN(J392))+('BLAZE SHIELD II'!$D$7*('CALCULO MORTERO'!I392^2)+'BLAZE SHIELD II'!$D$8*'CALCULO MORTERO'!I392+'BLAZE SHIELD II'!$D$9)),0)+IF(AND(L392="Blaze Shield II",M392="Software Idiem",C392="Cj"),((('BLAZE SHIELD II'!$H$4*('CALCULO MORTERO'!I392^2)+'BLAZE SHIELD II'!$H$5*'CALCULO MORTERO'!I392+'BLAZE SHIELD II'!$H$6)*LN(J392))+('BLAZE SHIELD II'!$H$7*('CALCULO MORTERO'!I392^2)+'BLAZE SHIELD II'!$H$8*'CALCULO MORTERO'!I392+'BLAZE SHIELD II'!$H$9)),0)+IF(AND(L392="Blaze Shield II",M392="Software Idiem",C392="C"),((('BLAZE SHIELD II'!$L$4*('CALCULO MORTERO'!I392^2)+'BLAZE SHIELD II'!$L$5*'CALCULO MORTERO'!I392+'BLAZE SHIELD II'!$L$6)*LN(J392))+('BLAZE SHIELD II'!$L$7*('CALCULO MORTERO'!I392^2)+'BLAZE SHIELD II'!$L$8*'CALCULO MORTERO'!I392+'BLAZE SHIELD II'!$L$9)),0)+IF(AND(L392="Blaze Shield II",M392="Software Idiem",C392="L"),((('BLAZE SHIELD II'!$L$4*('CALCULO MORTERO'!I392^2)+'BLAZE SHIELD II'!$L$5*'CALCULO MORTERO'!I392+'BLAZE SHIELD II'!$L$6)*LN(J392))+('BLAZE SHIELD II'!$L$7*('CALCULO MORTERO'!I392^2)+'BLAZE SHIELD II'!$L$8*'CALCULO MORTERO'!I392+'BLAZE SHIELD II'!$L$9)),0)+IF(AND(L392="Blaze Shield II",M392="Software Idiem",C392="IN",G392=3),((('BLAZE SHIELD II'!$H$14*('CALCULO MORTERO'!I392^2)+'BLAZE SHIELD II'!$H$15*'CALCULO MORTERO'!I392+'BLAZE SHIELD II'!$H$16)*LN(J392))+('BLAZE SHIELD II'!$H$17*('CALCULO MORTERO'!I392^2)+'BLAZE SHIELD II'!$H$18*'CALCULO MORTERO'!I392+'BLAZE SHIELD II'!$H$19)),0),0)+ROUND(IF(AND(L392="Cafco 400",M392="Software Idiem",C392="IN",G392=4),((('CAFCO 400 '!$H$7*(J392^4)+'CAFCO 400 '!$H$8*(J392^3)+'CAFCO 400 '!$H$9*(J392^2)+'CAFCO 400 '!$H$10*J392+'CAFCO 400 '!$H$11)*U392^2)+(('CAFCO 400 '!$H$12*(J392^3)+'CAFCO 400 '!$H$13*(J392^2)+'CAFCO 400 '!$H$14*J392+'CAFCO 400 '!$H$15)*U392)+('CAFCO 400 '!$H$16*(J392^2)+'CAFCO 400 '!$H$17*J392+'CAFCO 400 '!$H$18)),0)+IF(AND(L392="Cafco 400",M392="Software Idiem",C392="Cj"),(((('CAFCO 400 '!$D$7*LN(J392)+'CAFCO 400 '!$D$8)*U392^2)+(('CAFCO 400 '!$D$9*LN(J392)+'CAFCO 400 '!$D$10)*U392)+('CAFCO 400 '!$D$11*LN(J392)+'CAFCO 400 '!$D$12))),0)+IF(AND(L392="Cafco 400",M392="Software Idiem",C392="C"),((('CAFCO 400 '!$L$7*(J392^3)+'CAFCO 400 '!$L$8*(J392^2)+'CAFCO 400 '!$L$9*J392+'CAFCO 400 '!$L$10)*U392^2)+(('CAFCO 400 '!$L$11*(J392^3)+'CAFCO 400 '!$L$12*(J392^2)+'CAFCO 400 '!$L$13*J392+'CAFCO 400 '!$L$14)*U392)+('CAFCO 400 '!$L$15*LN(J392)+'CAFCO 400 '!$L$16)),0)+IF(AND(L392="Cafco 400",M392="Software Idiem",C392="L"),((('CAFCO 400 '!$L$7*(J392^3)+'CAFCO 400 '!$L$8*(J392^2)+'CAFCO 400 '!$L$9*J392+'CAFCO 400 '!$L$10)*U392^2)+(('CAFCO 400 '!$L$11*(J392^3)+'CAFCO 400 '!$L$12*(J392^2)+'CAFCO 400 '!$L$13*J392+'CAFCO 400 '!$L$14)*U392)+('CAFCO 400 '!$L$15*LN(J392)+'CAFCO 400 '!$L$16)),0)+IF(AND(L392="Cafco 400",M392="Software Idiem",C392="IN",G392=3),((('CAFCO 400 '!$D$23*(J392^2)+'CAFCO 400 '!$D$24*(J392)+'CAFCO 400 '!$D$25)*U392^2)+(('CAFCO 400 '!$D$26*(J392^2)+'CAFCO 400 '!$D$27*J392+'CAFCO 400 '!$D$28)*U392)+('CAFCO 400 '!$D$29*(J392^2)+'CAFCO 400 '!$D$30*J392+'CAFCO 400 '!$D$31)),0),0)+IF(AND(L392="Cafco 300",J392&gt;=95,J392&lt;=240,C392="Cj",I392=90),VLOOKUP(T392,'CAFCO 300 IDIEM TABLAS'!$B$4:$D$23,2,FALSE),0)+IF(AND(L392="Cafco 300",J392&gt;=95,J392&lt;=240,C392="Cj",I392=120),VLOOKUP(T392,'CAFCO 300 IDIEM TABLAS'!$B$4:$D$23,3,FALSE),0)+IF(AND(L392="Cafco 300",J392&gt;=95,J392&lt;=400,G392=3,C392="IN",I392=90),VLOOKUP(T392,'CAFCO 300 IDIEM TABLAS'!$F$4:$H$35,2,FALSE),0)+IF(AND(L392="Cafco 300",J392&gt;=95,J392&lt;=400,G392=3,C392="IN",I392=120),VLOOKUP(T392,'CAFCO 300 IDIEM TABLAS'!$F$4:$H$35,3,FALSE),0)+IF(AND(L392="Cafco 300",J392&gt;=95,J392&lt;=450,G392=4,C392="IN",I392=90),VLOOKUP(T392,'CAFCO 300 IDIEM TABLAS'!$J$4:$L$40,2,FALSE),0)+IF(AND(L392="Cafco 300",J392&gt;=95,J392&lt;=450,G392=4,C392="IN",I392=120),VLOOKUP(T392,'CAFCO 300 IDIEM TABLAS'!$J$4:$L$40,3,FALSE),0)+IF(AND(M392="Ensayo Idiem",L392="Cafco 400",C392="IN",G392=4,I392=90),VLOOKUP(T392,'CAFCO 400 ENSAYO'!$B$7:$D$43,2,FALSE),0)+IF(AND(M392="Ensayo Idiem",L392="Cafco 400",C392="IN",G392=4,I392=120),VLOOKUP(T392,'CAFCO 400 ENSAYO'!$B$7:$D$43,3,FALSE),0)</f>
        <v>0</v>
      </c>
      <c r="O392" s="96">
        <f t="shared" si="39"/>
        <v>0</v>
      </c>
      <c r="P392" s="95" t="str">
        <f t="shared" si="43"/>
        <v>N/A</v>
      </c>
      <c r="Q392" s="95" t="str">
        <f t="shared" si="44"/>
        <v>N/A</v>
      </c>
      <c r="R392" s="95" t="str">
        <f t="shared" si="45"/>
        <v>NO CERT.</v>
      </c>
      <c r="S392" s="95" t="e">
        <f t="shared" si="46"/>
        <v>#N/A</v>
      </c>
      <c r="T392" s="119" t="e">
        <f>+IF(J392=LOOKUP(J392,'CAFCO 300 IDIEM TABLAS'!$J$4:$J$40),'CALCULO MORTERO'!J392,MROUND('CALCULO MORTERO'!J392,10))</f>
        <v>#N/A</v>
      </c>
      <c r="U392" s="118">
        <f t="shared" si="47"/>
        <v>0</v>
      </c>
    </row>
    <row r="393" spans="1:21" s="36" customFormat="1" x14ac:dyDescent="0.25">
      <c r="A393" s="118">
        <f>+CUBICACION!D387</f>
        <v>0</v>
      </c>
      <c r="B393" s="819">
        <f>+CUBICACION!E387</f>
        <v>0</v>
      </c>
      <c r="C393" s="675">
        <f>+CUBICACION!F387</f>
        <v>0</v>
      </c>
      <c r="D393" s="118"/>
      <c r="E393" s="118"/>
      <c r="F393" s="820"/>
      <c r="G393" s="675">
        <f>+CUBICACION!J387</f>
        <v>0</v>
      </c>
      <c r="H393" s="118"/>
      <c r="I393" s="821">
        <f>+CUBICACION!L387</f>
        <v>0</v>
      </c>
      <c r="J393" s="64">
        <f>+CUBICACION!M387</f>
        <v>0</v>
      </c>
      <c r="K393" s="822" t="str">
        <f>+CUBICACION!N387</f>
        <v/>
      </c>
      <c r="L393" s="118">
        <f>+CUBICACION!O387</f>
        <v>0</v>
      </c>
      <c r="M393" s="823">
        <f>+CUBICACION!P387</f>
        <v>0</v>
      </c>
      <c r="N393" s="902">
        <f>ROUND(IF(AND(L393="Blaze Shield II",M393="Software Idiem",C393="IN",G393=4),((('BLAZE SHIELD II'!$D$4*('CALCULO MORTERO'!I393^2)+'BLAZE SHIELD II'!$D$5*'CALCULO MORTERO'!I393+'BLAZE SHIELD II'!$D$6)*LN(J393))+('BLAZE SHIELD II'!$D$7*('CALCULO MORTERO'!I393^2)+'BLAZE SHIELD II'!$D$8*'CALCULO MORTERO'!I393+'BLAZE SHIELD II'!$D$9)),0)+IF(AND(L393="Blaze Shield II",M393="Software Idiem",C393="Cj"),((('BLAZE SHIELD II'!$H$4*('CALCULO MORTERO'!I393^2)+'BLAZE SHIELD II'!$H$5*'CALCULO MORTERO'!I393+'BLAZE SHIELD II'!$H$6)*LN(J393))+('BLAZE SHIELD II'!$H$7*('CALCULO MORTERO'!I393^2)+'BLAZE SHIELD II'!$H$8*'CALCULO MORTERO'!I393+'BLAZE SHIELD II'!$H$9)),0)+IF(AND(L393="Blaze Shield II",M393="Software Idiem",C393="C"),((('BLAZE SHIELD II'!$L$4*('CALCULO MORTERO'!I393^2)+'BLAZE SHIELD II'!$L$5*'CALCULO MORTERO'!I393+'BLAZE SHIELD II'!$L$6)*LN(J393))+('BLAZE SHIELD II'!$L$7*('CALCULO MORTERO'!I393^2)+'BLAZE SHIELD II'!$L$8*'CALCULO MORTERO'!I393+'BLAZE SHIELD II'!$L$9)),0)+IF(AND(L393="Blaze Shield II",M393="Software Idiem",C393="L"),((('BLAZE SHIELD II'!$L$4*('CALCULO MORTERO'!I393^2)+'BLAZE SHIELD II'!$L$5*'CALCULO MORTERO'!I393+'BLAZE SHIELD II'!$L$6)*LN(J393))+('BLAZE SHIELD II'!$L$7*('CALCULO MORTERO'!I393^2)+'BLAZE SHIELD II'!$L$8*'CALCULO MORTERO'!I393+'BLAZE SHIELD II'!$L$9)),0)+IF(AND(L393="Blaze Shield II",M393="Software Idiem",C393="IN",G393=3),((('BLAZE SHIELD II'!$H$14*('CALCULO MORTERO'!I393^2)+'BLAZE SHIELD II'!$H$15*'CALCULO MORTERO'!I393+'BLAZE SHIELD II'!$H$16)*LN(J393))+('BLAZE SHIELD II'!$H$17*('CALCULO MORTERO'!I393^2)+'BLAZE SHIELD II'!$H$18*'CALCULO MORTERO'!I393+'BLAZE SHIELD II'!$H$19)),0),0)+ROUND(IF(AND(L393="Cafco 400",M393="Software Idiem",C393="IN",G393=4),((('CAFCO 400 '!$H$7*(J393^4)+'CAFCO 400 '!$H$8*(J393^3)+'CAFCO 400 '!$H$9*(J393^2)+'CAFCO 400 '!$H$10*J393+'CAFCO 400 '!$H$11)*U393^2)+(('CAFCO 400 '!$H$12*(J393^3)+'CAFCO 400 '!$H$13*(J393^2)+'CAFCO 400 '!$H$14*J393+'CAFCO 400 '!$H$15)*U393)+('CAFCO 400 '!$H$16*(J393^2)+'CAFCO 400 '!$H$17*J393+'CAFCO 400 '!$H$18)),0)+IF(AND(L393="Cafco 400",M393="Software Idiem",C393="Cj"),(((('CAFCO 400 '!$D$7*LN(J393)+'CAFCO 400 '!$D$8)*U393^2)+(('CAFCO 400 '!$D$9*LN(J393)+'CAFCO 400 '!$D$10)*U393)+('CAFCO 400 '!$D$11*LN(J393)+'CAFCO 400 '!$D$12))),0)+IF(AND(L393="Cafco 400",M393="Software Idiem",C393="C"),((('CAFCO 400 '!$L$7*(J393^3)+'CAFCO 400 '!$L$8*(J393^2)+'CAFCO 400 '!$L$9*J393+'CAFCO 400 '!$L$10)*U393^2)+(('CAFCO 400 '!$L$11*(J393^3)+'CAFCO 400 '!$L$12*(J393^2)+'CAFCO 400 '!$L$13*J393+'CAFCO 400 '!$L$14)*U393)+('CAFCO 400 '!$L$15*LN(J393)+'CAFCO 400 '!$L$16)),0)+IF(AND(L393="Cafco 400",M393="Software Idiem",C393="L"),((('CAFCO 400 '!$L$7*(J393^3)+'CAFCO 400 '!$L$8*(J393^2)+'CAFCO 400 '!$L$9*J393+'CAFCO 400 '!$L$10)*U393^2)+(('CAFCO 400 '!$L$11*(J393^3)+'CAFCO 400 '!$L$12*(J393^2)+'CAFCO 400 '!$L$13*J393+'CAFCO 400 '!$L$14)*U393)+('CAFCO 400 '!$L$15*LN(J393)+'CAFCO 400 '!$L$16)),0)+IF(AND(L393="Cafco 400",M393="Software Idiem",C393="IN",G393=3),((('CAFCO 400 '!$D$23*(J393^2)+'CAFCO 400 '!$D$24*(J393)+'CAFCO 400 '!$D$25)*U393^2)+(('CAFCO 400 '!$D$26*(J393^2)+'CAFCO 400 '!$D$27*J393+'CAFCO 400 '!$D$28)*U393)+('CAFCO 400 '!$D$29*(J393^2)+'CAFCO 400 '!$D$30*J393+'CAFCO 400 '!$D$31)),0),0)+IF(AND(L393="Cafco 300",J393&gt;=95,J393&lt;=240,C393="Cj",I393=90),VLOOKUP(T393,'CAFCO 300 IDIEM TABLAS'!$B$4:$D$23,2,FALSE),0)+IF(AND(L393="Cafco 300",J393&gt;=95,J393&lt;=240,C393="Cj",I393=120),VLOOKUP(T393,'CAFCO 300 IDIEM TABLAS'!$B$4:$D$23,3,FALSE),0)+IF(AND(L393="Cafco 300",J393&gt;=95,J393&lt;=400,G393=3,C393="IN",I393=90),VLOOKUP(T393,'CAFCO 300 IDIEM TABLAS'!$F$4:$H$35,2,FALSE),0)+IF(AND(L393="Cafco 300",J393&gt;=95,J393&lt;=400,G393=3,C393="IN",I393=120),VLOOKUP(T393,'CAFCO 300 IDIEM TABLAS'!$F$4:$H$35,3,FALSE),0)+IF(AND(L393="Cafco 300",J393&gt;=95,J393&lt;=450,G393=4,C393="IN",I393=90),VLOOKUP(T393,'CAFCO 300 IDIEM TABLAS'!$J$4:$L$40,2,FALSE),0)+IF(AND(L393="Cafco 300",J393&gt;=95,J393&lt;=450,G393=4,C393="IN",I393=120),VLOOKUP(T393,'CAFCO 300 IDIEM TABLAS'!$J$4:$L$40,3,FALSE),0)+IF(AND(M393="Ensayo Idiem",L393="Cafco 400",C393="IN",G393=4,I393=90),VLOOKUP(T393,'CAFCO 400 ENSAYO'!$B$7:$D$43,2,FALSE),0)+IF(AND(M393="Ensayo Idiem",L393="Cafco 400",C393="IN",G393=4,I393=120),VLOOKUP(T393,'CAFCO 400 ENSAYO'!$B$7:$D$43,3,FALSE),0)</f>
        <v>0</v>
      </c>
      <c r="O393" s="96">
        <f t="shared" si="39"/>
        <v>0</v>
      </c>
      <c r="P393" s="132" t="str">
        <f t="shared" si="43"/>
        <v>N/A</v>
      </c>
      <c r="Q393" s="132" t="str">
        <f t="shared" si="44"/>
        <v>N/A</v>
      </c>
      <c r="R393" s="132" t="str">
        <f t="shared" si="45"/>
        <v>NO CERT.</v>
      </c>
      <c r="S393" s="132" t="e">
        <f t="shared" si="46"/>
        <v>#N/A</v>
      </c>
      <c r="T393" s="133" t="e">
        <f>+IF(J393=LOOKUP(J393,'CAFCO 300 IDIEM TABLAS'!$J$4:$J$40),'CALCULO MORTERO'!J393,MROUND('CALCULO MORTERO'!J393,10))</f>
        <v>#N/A</v>
      </c>
      <c r="U393" s="134">
        <f t="shared" si="47"/>
        <v>0</v>
      </c>
    </row>
    <row r="394" spans="1:21" s="36" customFormat="1" x14ac:dyDescent="0.25">
      <c r="A394" s="118">
        <f>+CUBICACION!D388</f>
        <v>0</v>
      </c>
      <c r="B394" s="819">
        <f>+CUBICACION!E388</f>
        <v>0</v>
      </c>
      <c r="C394" s="675">
        <f>+CUBICACION!F388</f>
        <v>0</v>
      </c>
      <c r="D394" s="118"/>
      <c r="E394" s="118"/>
      <c r="F394" s="820"/>
      <c r="G394" s="675">
        <f>+CUBICACION!J388</f>
        <v>0</v>
      </c>
      <c r="H394" s="118"/>
      <c r="I394" s="821">
        <f>+CUBICACION!L388</f>
        <v>0</v>
      </c>
      <c r="J394" s="64">
        <f>+CUBICACION!M388</f>
        <v>0</v>
      </c>
      <c r="K394" s="822" t="str">
        <f>+CUBICACION!N388</f>
        <v/>
      </c>
      <c r="L394" s="118">
        <f>+CUBICACION!O388</f>
        <v>0</v>
      </c>
      <c r="M394" s="823">
        <f>+CUBICACION!P388</f>
        <v>0</v>
      </c>
      <c r="N394" s="902">
        <f>ROUND(IF(AND(L394="Blaze Shield II",M394="Software Idiem",C394="IN",G394=4),((('BLAZE SHIELD II'!$D$4*('CALCULO MORTERO'!I394^2)+'BLAZE SHIELD II'!$D$5*'CALCULO MORTERO'!I394+'BLAZE SHIELD II'!$D$6)*LN(J394))+('BLAZE SHIELD II'!$D$7*('CALCULO MORTERO'!I394^2)+'BLAZE SHIELD II'!$D$8*'CALCULO MORTERO'!I394+'BLAZE SHIELD II'!$D$9)),0)+IF(AND(L394="Blaze Shield II",M394="Software Idiem",C394="Cj"),((('BLAZE SHIELD II'!$H$4*('CALCULO MORTERO'!I394^2)+'BLAZE SHIELD II'!$H$5*'CALCULO MORTERO'!I394+'BLAZE SHIELD II'!$H$6)*LN(J394))+('BLAZE SHIELD II'!$H$7*('CALCULO MORTERO'!I394^2)+'BLAZE SHIELD II'!$H$8*'CALCULO MORTERO'!I394+'BLAZE SHIELD II'!$H$9)),0)+IF(AND(L394="Blaze Shield II",M394="Software Idiem",C394="C"),((('BLAZE SHIELD II'!$L$4*('CALCULO MORTERO'!I394^2)+'BLAZE SHIELD II'!$L$5*'CALCULO MORTERO'!I394+'BLAZE SHIELD II'!$L$6)*LN(J394))+('BLAZE SHIELD II'!$L$7*('CALCULO MORTERO'!I394^2)+'BLAZE SHIELD II'!$L$8*'CALCULO MORTERO'!I394+'BLAZE SHIELD II'!$L$9)),0)+IF(AND(L394="Blaze Shield II",M394="Software Idiem",C394="L"),((('BLAZE SHIELD II'!$L$4*('CALCULO MORTERO'!I394^2)+'BLAZE SHIELD II'!$L$5*'CALCULO MORTERO'!I394+'BLAZE SHIELD II'!$L$6)*LN(J394))+('BLAZE SHIELD II'!$L$7*('CALCULO MORTERO'!I394^2)+'BLAZE SHIELD II'!$L$8*'CALCULO MORTERO'!I394+'BLAZE SHIELD II'!$L$9)),0)+IF(AND(L394="Blaze Shield II",M394="Software Idiem",C394="IN",G394=3),((('BLAZE SHIELD II'!$H$14*('CALCULO MORTERO'!I394^2)+'BLAZE SHIELD II'!$H$15*'CALCULO MORTERO'!I394+'BLAZE SHIELD II'!$H$16)*LN(J394))+('BLAZE SHIELD II'!$H$17*('CALCULO MORTERO'!I394^2)+'BLAZE SHIELD II'!$H$18*'CALCULO MORTERO'!I394+'BLAZE SHIELD II'!$H$19)),0),0)+ROUND(IF(AND(L394="Cafco 400",M394="Software Idiem",C394="IN",G394=4),((('CAFCO 400 '!$H$7*(J394^4)+'CAFCO 400 '!$H$8*(J394^3)+'CAFCO 400 '!$H$9*(J394^2)+'CAFCO 400 '!$H$10*J394+'CAFCO 400 '!$H$11)*U394^2)+(('CAFCO 400 '!$H$12*(J394^3)+'CAFCO 400 '!$H$13*(J394^2)+'CAFCO 400 '!$H$14*J394+'CAFCO 400 '!$H$15)*U394)+('CAFCO 400 '!$H$16*(J394^2)+'CAFCO 400 '!$H$17*J394+'CAFCO 400 '!$H$18)),0)+IF(AND(L394="Cafco 400",M394="Software Idiem",C394="Cj"),(((('CAFCO 400 '!$D$7*LN(J394)+'CAFCO 400 '!$D$8)*U394^2)+(('CAFCO 400 '!$D$9*LN(J394)+'CAFCO 400 '!$D$10)*U394)+('CAFCO 400 '!$D$11*LN(J394)+'CAFCO 400 '!$D$12))),0)+IF(AND(L394="Cafco 400",M394="Software Idiem",C394="C"),((('CAFCO 400 '!$L$7*(J394^3)+'CAFCO 400 '!$L$8*(J394^2)+'CAFCO 400 '!$L$9*J394+'CAFCO 400 '!$L$10)*U394^2)+(('CAFCO 400 '!$L$11*(J394^3)+'CAFCO 400 '!$L$12*(J394^2)+'CAFCO 400 '!$L$13*J394+'CAFCO 400 '!$L$14)*U394)+('CAFCO 400 '!$L$15*LN(J394)+'CAFCO 400 '!$L$16)),0)+IF(AND(L394="Cafco 400",M394="Software Idiem",C394="L"),((('CAFCO 400 '!$L$7*(J394^3)+'CAFCO 400 '!$L$8*(J394^2)+'CAFCO 400 '!$L$9*J394+'CAFCO 400 '!$L$10)*U394^2)+(('CAFCO 400 '!$L$11*(J394^3)+'CAFCO 400 '!$L$12*(J394^2)+'CAFCO 400 '!$L$13*J394+'CAFCO 400 '!$L$14)*U394)+('CAFCO 400 '!$L$15*LN(J394)+'CAFCO 400 '!$L$16)),0)+IF(AND(L394="Cafco 400",M394="Software Idiem",C394="IN",G394=3),((('CAFCO 400 '!$D$23*(J394^2)+'CAFCO 400 '!$D$24*(J394)+'CAFCO 400 '!$D$25)*U394^2)+(('CAFCO 400 '!$D$26*(J394^2)+'CAFCO 400 '!$D$27*J394+'CAFCO 400 '!$D$28)*U394)+('CAFCO 400 '!$D$29*(J394^2)+'CAFCO 400 '!$D$30*J394+'CAFCO 400 '!$D$31)),0),0)+IF(AND(L394="Cafco 300",J394&gt;=95,J394&lt;=240,C394="Cj",I394=90),VLOOKUP(T394,'CAFCO 300 IDIEM TABLAS'!$B$4:$D$23,2,FALSE),0)+IF(AND(L394="Cafco 300",J394&gt;=95,J394&lt;=240,C394="Cj",I394=120),VLOOKUP(T394,'CAFCO 300 IDIEM TABLAS'!$B$4:$D$23,3,FALSE),0)+IF(AND(L394="Cafco 300",J394&gt;=95,J394&lt;=400,G394=3,C394="IN",I394=90),VLOOKUP(T394,'CAFCO 300 IDIEM TABLAS'!$F$4:$H$35,2,FALSE),0)+IF(AND(L394="Cafco 300",J394&gt;=95,J394&lt;=400,G394=3,C394="IN",I394=120),VLOOKUP(T394,'CAFCO 300 IDIEM TABLAS'!$F$4:$H$35,3,FALSE),0)+IF(AND(L394="Cafco 300",J394&gt;=95,J394&lt;=450,G394=4,C394="IN",I394=90),VLOOKUP(T394,'CAFCO 300 IDIEM TABLAS'!$J$4:$L$40,2,FALSE),0)+IF(AND(L394="Cafco 300",J394&gt;=95,J394&lt;=450,G394=4,C394="IN",I394=120),VLOOKUP(T394,'CAFCO 300 IDIEM TABLAS'!$J$4:$L$40,3,FALSE),0)+IF(AND(M394="Ensayo Idiem",L394="Cafco 400",C394="IN",G394=4,I394=90),VLOOKUP(T394,'CAFCO 400 ENSAYO'!$B$7:$D$43,2,FALSE),0)+IF(AND(M394="Ensayo Idiem",L394="Cafco 400",C394="IN",G394=4,I394=120),VLOOKUP(T394,'CAFCO 400 ENSAYO'!$B$7:$D$43,3,FALSE),0)</f>
        <v>0</v>
      </c>
      <c r="O394" s="96">
        <f t="shared" si="39"/>
        <v>0</v>
      </c>
      <c r="P394" s="95" t="str">
        <f t="shared" si="43"/>
        <v>N/A</v>
      </c>
      <c r="Q394" s="95" t="str">
        <f t="shared" si="44"/>
        <v>N/A</v>
      </c>
      <c r="R394" s="95" t="str">
        <f t="shared" si="45"/>
        <v>NO CERT.</v>
      </c>
      <c r="S394" s="95" t="e">
        <f t="shared" si="46"/>
        <v>#N/A</v>
      </c>
      <c r="T394" s="119" t="e">
        <f>+IF(J394=LOOKUP(J394,'CAFCO 300 IDIEM TABLAS'!$J$4:$J$40),'CALCULO MORTERO'!J394,MROUND('CALCULO MORTERO'!J394,10))</f>
        <v>#N/A</v>
      </c>
      <c r="U394" s="118">
        <f t="shared" si="47"/>
        <v>0</v>
      </c>
    </row>
    <row r="395" spans="1:21" s="36" customFormat="1" x14ac:dyDescent="0.25">
      <c r="A395" s="118">
        <f>+CUBICACION!D389</f>
        <v>0</v>
      </c>
      <c r="B395" s="819">
        <f>+CUBICACION!E389</f>
        <v>0</v>
      </c>
      <c r="C395" s="675">
        <f>+CUBICACION!F389</f>
        <v>0</v>
      </c>
      <c r="D395" s="118"/>
      <c r="E395" s="118"/>
      <c r="F395" s="820"/>
      <c r="G395" s="675">
        <f>+CUBICACION!J389</f>
        <v>0</v>
      </c>
      <c r="H395" s="118"/>
      <c r="I395" s="821">
        <f>+CUBICACION!L389</f>
        <v>0</v>
      </c>
      <c r="J395" s="64">
        <f>+CUBICACION!M389</f>
        <v>0</v>
      </c>
      <c r="K395" s="822" t="str">
        <f>+CUBICACION!N389</f>
        <v/>
      </c>
      <c r="L395" s="118">
        <f>+CUBICACION!O389</f>
        <v>0</v>
      </c>
      <c r="M395" s="823">
        <f>+CUBICACION!P389</f>
        <v>0</v>
      </c>
      <c r="N395" s="902">
        <f>ROUND(IF(AND(L395="Blaze Shield II",M395="Software Idiem",C395="IN",G395=4),((('BLAZE SHIELD II'!$D$4*('CALCULO MORTERO'!I395^2)+'BLAZE SHIELD II'!$D$5*'CALCULO MORTERO'!I395+'BLAZE SHIELD II'!$D$6)*LN(J395))+('BLAZE SHIELD II'!$D$7*('CALCULO MORTERO'!I395^2)+'BLAZE SHIELD II'!$D$8*'CALCULO MORTERO'!I395+'BLAZE SHIELD II'!$D$9)),0)+IF(AND(L395="Blaze Shield II",M395="Software Idiem",C395="Cj"),((('BLAZE SHIELD II'!$H$4*('CALCULO MORTERO'!I395^2)+'BLAZE SHIELD II'!$H$5*'CALCULO MORTERO'!I395+'BLAZE SHIELD II'!$H$6)*LN(J395))+('BLAZE SHIELD II'!$H$7*('CALCULO MORTERO'!I395^2)+'BLAZE SHIELD II'!$H$8*'CALCULO MORTERO'!I395+'BLAZE SHIELD II'!$H$9)),0)+IF(AND(L395="Blaze Shield II",M395="Software Idiem",C395="C"),((('BLAZE SHIELD II'!$L$4*('CALCULO MORTERO'!I395^2)+'BLAZE SHIELD II'!$L$5*'CALCULO MORTERO'!I395+'BLAZE SHIELD II'!$L$6)*LN(J395))+('BLAZE SHIELD II'!$L$7*('CALCULO MORTERO'!I395^2)+'BLAZE SHIELD II'!$L$8*'CALCULO MORTERO'!I395+'BLAZE SHIELD II'!$L$9)),0)+IF(AND(L395="Blaze Shield II",M395="Software Idiem",C395="L"),((('BLAZE SHIELD II'!$L$4*('CALCULO MORTERO'!I395^2)+'BLAZE SHIELD II'!$L$5*'CALCULO MORTERO'!I395+'BLAZE SHIELD II'!$L$6)*LN(J395))+('BLAZE SHIELD II'!$L$7*('CALCULO MORTERO'!I395^2)+'BLAZE SHIELD II'!$L$8*'CALCULO MORTERO'!I395+'BLAZE SHIELD II'!$L$9)),0)+IF(AND(L395="Blaze Shield II",M395="Software Idiem",C395="IN",G395=3),((('BLAZE SHIELD II'!$H$14*('CALCULO MORTERO'!I395^2)+'BLAZE SHIELD II'!$H$15*'CALCULO MORTERO'!I395+'BLAZE SHIELD II'!$H$16)*LN(J395))+('BLAZE SHIELD II'!$H$17*('CALCULO MORTERO'!I395^2)+'BLAZE SHIELD II'!$H$18*'CALCULO MORTERO'!I395+'BLAZE SHIELD II'!$H$19)),0),0)+ROUND(IF(AND(L395="Cafco 400",M395="Software Idiem",C395="IN",G395=4),((('CAFCO 400 '!$H$7*(J395^4)+'CAFCO 400 '!$H$8*(J395^3)+'CAFCO 400 '!$H$9*(J395^2)+'CAFCO 400 '!$H$10*J395+'CAFCO 400 '!$H$11)*U395^2)+(('CAFCO 400 '!$H$12*(J395^3)+'CAFCO 400 '!$H$13*(J395^2)+'CAFCO 400 '!$H$14*J395+'CAFCO 400 '!$H$15)*U395)+('CAFCO 400 '!$H$16*(J395^2)+'CAFCO 400 '!$H$17*J395+'CAFCO 400 '!$H$18)),0)+IF(AND(L395="Cafco 400",M395="Software Idiem",C395="Cj"),(((('CAFCO 400 '!$D$7*LN(J395)+'CAFCO 400 '!$D$8)*U395^2)+(('CAFCO 400 '!$D$9*LN(J395)+'CAFCO 400 '!$D$10)*U395)+('CAFCO 400 '!$D$11*LN(J395)+'CAFCO 400 '!$D$12))),0)+IF(AND(L395="Cafco 400",M395="Software Idiem",C395="C"),((('CAFCO 400 '!$L$7*(J395^3)+'CAFCO 400 '!$L$8*(J395^2)+'CAFCO 400 '!$L$9*J395+'CAFCO 400 '!$L$10)*U395^2)+(('CAFCO 400 '!$L$11*(J395^3)+'CAFCO 400 '!$L$12*(J395^2)+'CAFCO 400 '!$L$13*J395+'CAFCO 400 '!$L$14)*U395)+('CAFCO 400 '!$L$15*LN(J395)+'CAFCO 400 '!$L$16)),0)+IF(AND(L395="Cafco 400",M395="Software Idiem",C395="L"),((('CAFCO 400 '!$L$7*(J395^3)+'CAFCO 400 '!$L$8*(J395^2)+'CAFCO 400 '!$L$9*J395+'CAFCO 400 '!$L$10)*U395^2)+(('CAFCO 400 '!$L$11*(J395^3)+'CAFCO 400 '!$L$12*(J395^2)+'CAFCO 400 '!$L$13*J395+'CAFCO 400 '!$L$14)*U395)+('CAFCO 400 '!$L$15*LN(J395)+'CAFCO 400 '!$L$16)),0)+IF(AND(L395="Cafco 400",M395="Software Idiem",C395="IN",G395=3),((('CAFCO 400 '!$D$23*(J395^2)+'CAFCO 400 '!$D$24*(J395)+'CAFCO 400 '!$D$25)*U395^2)+(('CAFCO 400 '!$D$26*(J395^2)+'CAFCO 400 '!$D$27*J395+'CAFCO 400 '!$D$28)*U395)+('CAFCO 400 '!$D$29*(J395^2)+'CAFCO 400 '!$D$30*J395+'CAFCO 400 '!$D$31)),0),0)+IF(AND(L395="Cafco 300",J395&gt;=95,J395&lt;=240,C395="Cj",I395=90),VLOOKUP(T395,'CAFCO 300 IDIEM TABLAS'!$B$4:$D$23,2,FALSE),0)+IF(AND(L395="Cafco 300",J395&gt;=95,J395&lt;=240,C395="Cj",I395=120),VLOOKUP(T395,'CAFCO 300 IDIEM TABLAS'!$B$4:$D$23,3,FALSE),0)+IF(AND(L395="Cafco 300",J395&gt;=95,J395&lt;=400,G395=3,C395="IN",I395=90),VLOOKUP(T395,'CAFCO 300 IDIEM TABLAS'!$F$4:$H$35,2,FALSE),0)+IF(AND(L395="Cafco 300",J395&gt;=95,J395&lt;=400,G395=3,C395="IN",I395=120),VLOOKUP(T395,'CAFCO 300 IDIEM TABLAS'!$F$4:$H$35,3,FALSE),0)+IF(AND(L395="Cafco 300",J395&gt;=95,J395&lt;=450,G395=4,C395="IN",I395=90),VLOOKUP(T395,'CAFCO 300 IDIEM TABLAS'!$J$4:$L$40,2,FALSE),0)+IF(AND(L395="Cafco 300",J395&gt;=95,J395&lt;=450,G395=4,C395="IN",I395=120),VLOOKUP(T395,'CAFCO 300 IDIEM TABLAS'!$J$4:$L$40,3,FALSE),0)+IF(AND(M395="Ensayo Idiem",L395="Cafco 400",C395="IN",G395=4,I395=90),VLOOKUP(T395,'CAFCO 400 ENSAYO'!$B$7:$D$43,2,FALSE),0)+IF(AND(M395="Ensayo Idiem",L395="Cafco 400",C395="IN",G395=4,I395=120),VLOOKUP(T395,'CAFCO 400 ENSAYO'!$B$7:$D$43,3,FALSE),0)</f>
        <v>0</v>
      </c>
      <c r="O395" s="96">
        <f t="shared" ref="O395:O458" si="48">((IF(L395="Blaze Shield II",((K395*N395*0.43)/38),IF(L395="Cafco 400",((K395*N395*0.43)/23),IF(L395="Cafco 300",((K395*N395*0.43)/31.16),0)))))</f>
        <v>0</v>
      </c>
      <c r="P395" s="132" t="str">
        <f t="shared" si="43"/>
        <v>N/A</v>
      </c>
      <c r="Q395" s="132" t="str">
        <f t="shared" si="44"/>
        <v>N/A</v>
      </c>
      <c r="R395" s="132" t="str">
        <f t="shared" si="45"/>
        <v>NO CERT.</v>
      </c>
      <c r="S395" s="132" t="e">
        <f t="shared" si="46"/>
        <v>#N/A</v>
      </c>
      <c r="T395" s="133" t="e">
        <f>+IF(J395=LOOKUP(J395,'CAFCO 300 IDIEM TABLAS'!$J$4:$J$40),'CALCULO MORTERO'!J395,MROUND('CALCULO MORTERO'!J395,10))</f>
        <v>#N/A</v>
      </c>
      <c r="U395" s="134">
        <f t="shared" si="47"/>
        <v>0</v>
      </c>
    </row>
    <row r="396" spans="1:21" s="36" customFormat="1" x14ac:dyDescent="0.25">
      <c r="A396" s="118">
        <f>+CUBICACION!D390</f>
        <v>0</v>
      </c>
      <c r="B396" s="819">
        <f>+CUBICACION!E390</f>
        <v>0</v>
      </c>
      <c r="C396" s="675">
        <f>+CUBICACION!F390</f>
        <v>0</v>
      </c>
      <c r="D396" s="118"/>
      <c r="E396" s="118"/>
      <c r="F396" s="820"/>
      <c r="G396" s="675">
        <f>+CUBICACION!J390</f>
        <v>0</v>
      </c>
      <c r="H396" s="118"/>
      <c r="I396" s="821">
        <f>+CUBICACION!L390</f>
        <v>0</v>
      </c>
      <c r="J396" s="64">
        <f>+CUBICACION!M390</f>
        <v>0</v>
      </c>
      <c r="K396" s="822" t="str">
        <f>+CUBICACION!N390</f>
        <v/>
      </c>
      <c r="L396" s="118">
        <f>+CUBICACION!O390</f>
        <v>0</v>
      </c>
      <c r="M396" s="823">
        <f>+CUBICACION!P390</f>
        <v>0</v>
      </c>
      <c r="N396" s="902">
        <f>ROUND(IF(AND(L396="Blaze Shield II",M396="Software Idiem",C396="IN",G396=4),((('BLAZE SHIELD II'!$D$4*('CALCULO MORTERO'!I396^2)+'BLAZE SHIELD II'!$D$5*'CALCULO MORTERO'!I396+'BLAZE SHIELD II'!$D$6)*LN(J396))+('BLAZE SHIELD II'!$D$7*('CALCULO MORTERO'!I396^2)+'BLAZE SHIELD II'!$D$8*'CALCULO MORTERO'!I396+'BLAZE SHIELD II'!$D$9)),0)+IF(AND(L396="Blaze Shield II",M396="Software Idiem",C396="Cj"),((('BLAZE SHIELD II'!$H$4*('CALCULO MORTERO'!I396^2)+'BLAZE SHIELD II'!$H$5*'CALCULO MORTERO'!I396+'BLAZE SHIELD II'!$H$6)*LN(J396))+('BLAZE SHIELD II'!$H$7*('CALCULO MORTERO'!I396^2)+'BLAZE SHIELD II'!$H$8*'CALCULO MORTERO'!I396+'BLAZE SHIELD II'!$H$9)),0)+IF(AND(L396="Blaze Shield II",M396="Software Idiem",C396="C"),((('BLAZE SHIELD II'!$L$4*('CALCULO MORTERO'!I396^2)+'BLAZE SHIELD II'!$L$5*'CALCULO MORTERO'!I396+'BLAZE SHIELD II'!$L$6)*LN(J396))+('BLAZE SHIELD II'!$L$7*('CALCULO MORTERO'!I396^2)+'BLAZE SHIELD II'!$L$8*'CALCULO MORTERO'!I396+'BLAZE SHIELD II'!$L$9)),0)+IF(AND(L396="Blaze Shield II",M396="Software Idiem",C396="L"),((('BLAZE SHIELD II'!$L$4*('CALCULO MORTERO'!I396^2)+'BLAZE SHIELD II'!$L$5*'CALCULO MORTERO'!I396+'BLAZE SHIELD II'!$L$6)*LN(J396))+('BLAZE SHIELD II'!$L$7*('CALCULO MORTERO'!I396^2)+'BLAZE SHIELD II'!$L$8*'CALCULO MORTERO'!I396+'BLAZE SHIELD II'!$L$9)),0)+IF(AND(L396="Blaze Shield II",M396="Software Idiem",C396="IN",G396=3),((('BLAZE SHIELD II'!$H$14*('CALCULO MORTERO'!I396^2)+'BLAZE SHIELD II'!$H$15*'CALCULO MORTERO'!I396+'BLAZE SHIELD II'!$H$16)*LN(J396))+('BLAZE SHIELD II'!$H$17*('CALCULO MORTERO'!I396^2)+'BLAZE SHIELD II'!$H$18*'CALCULO MORTERO'!I396+'BLAZE SHIELD II'!$H$19)),0),0)+ROUND(IF(AND(L396="Cafco 400",M396="Software Idiem",C396="IN",G396=4),((('CAFCO 400 '!$H$7*(J396^4)+'CAFCO 400 '!$H$8*(J396^3)+'CAFCO 400 '!$H$9*(J396^2)+'CAFCO 400 '!$H$10*J396+'CAFCO 400 '!$H$11)*U396^2)+(('CAFCO 400 '!$H$12*(J396^3)+'CAFCO 400 '!$H$13*(J396^2)+'CAFCO 400 '!$H$14*J396+'CAFCO 400 '!$H$15)*U396)+('CAFCO 400 '!$H$16*(J396^2)+'CAFCO 400 '!$H$17*J396+'CAFCO 400 '!$H$18)),0)+IF(AND(L396="Cafco 400",M396="Software Idiem",C396="Cj"),(((('CAFCO 400 '!$D$7*LN(J396)+'CAFCO 400 '!$D$8)*U396^2)+(('CAFCO 400 '!$D$9*LN(J396)+'CAFCO 400 '!$D$10)*U396)+('CAFCO 400 '!$D$11*LN(J396)+'CAFCO 400 '!$D$12))),0)+IF(AND(L396="Cafco 400",M396="Software Idiem",C396="C"),((('CAFCO 400 '!$L$7*(J396^3)+'CAFCO 400 '!$L$8*(J396^2)+'CAFCO 400 '!$L$9*J396+'CAFCO 400 '!$L$10)*U396^2)+(('CAFCO 400 '!$L$11*(J396^3)+'CAFCO 400 '!$L$12*(J396^2)+'CAFCO 400 '!$L$13*J396+'CAFCO 400 '!$L$14)*U396)+('CAFCO 400 '!$L$15*LN(J396)+'CAFCO 400 '!$L$16)),0)+IF(AND(L396="Cafco 400",M396="Software Idiem",C396="L"),((('CAFCO 400 '!$L$7*(J396^3)+'CAFCO 400 '!$L$8*(J396^2)+'CAFCO 400 '!$L$9*J396+'CAFCO 400 '!$L$10)*U396^2)+(('CAFCO 400 '!$L$11*(J396^3)+'CAFCO 400 '!$L$12*(J396^2)+'CAFCO 400 '!$L$13*J396+'CAFCO 400 '!$L$14)*U396)+('CAFCO 400 '!$L$15*LN(J396)+'CAFCO 400 '!$L$16)),0)+IF(AND(L396="Cafco 400",M396="Software Idiem",C396="IN",G396=3),((('CAFCO 400 '!$D$23*(J396^2)+'CAFCO 400 '!$D$24*(J396)+'CAFCO 400 '!$D$25)*U396^2)+(('CAFCO 400 '!$D$26*(J396^2)+'CAFCO 400 '!$D$27*J396+'CAFCO 400 '!$D$28)*U396)+('CAFCO 400 '!$D$29*(J396^2)+'CAFCO 400 '!$D$30*J396+'CAFCO 400 '!$D$31)),0),0)+IF(AND(L396="Cafco 300",J396&gt;=95,J396&lt;=240,C396="Cj",I396=90),VLOOKUP(T396,'CAFCO 300 IDIEM TABLAS'!$B$4:$D$23,2,FALSE),0)+IF(AND(L396="Cafco 300",J396&gt;=95,J396&lt;=240,C396="Cj",I396=120),VLOOKUP(T396,'CAFCO 300 IDIEM TABLAS'!$B$4:$D$23,3,FALSE),0)+IF(AND(L396="Cafco 300",J396&gt;=95,J396&lt;=400,G396=3,C396="IN",I396=90),VLOOKUP(T396,'CAFCO 300 IDIEM TABLAS'!$F$4:$H$35,2,FALSE),0)+IF(AND(L396="Cafco 300",J396&gt;=95,J396&lt;=400,G396=3,C396="IN",I396=120),VLOOKUP(T396,'CAFCO 300 IDIEM TABLAS'!$F$4:$H$35,3,FALSE),0)+IF(AND(L396="Cafco 300",J396&gt;=95,J396&lt;=450,G396=4,C396="IN",I396=90),VLOOKUP(T396,'CAFCO 300 IDIEM TABLAS'!$J$4:$L$40,2,FALSE),0)+IF(AND(L396="Cafco 300",J396&gt;=95,J396&lt;=450,G396=4,C396="IN",I396=120),VLOOKUP(T396,'CAFCO 300 IDIEM TABLAS'!$J$4:$L$40,3,FALSE),0)+IF(AND(M396="Ensayo Idiem",L396="Cafco 400",C396="IN",G396=4,I396=90),VLOOKUP(T396,'CAFCO 400 ENSAYO'!$B$7:$D$43,2,FALSE),0)+IF(AND(M396="Ensayo Idiem",L396="Cafco 400",C396="IN",G396=4,I396=120),VLOOKUP(T396,'CAFCO 400 ENSAYO'!$B$7:$D$43,3,FALSE),0)</f>
        <v>0</v>
      </c>
      <c r="O396" s="96">
        <f t="shared" si="48"/>
        <v>0</v>
      </c>
      <c r="P396" s="95" t="str">
        <f t="shared" si="43"/>
        <v>N/A</v>
      </c>
      <c r="Q396" s="95" t="str">
        <f t="shared" si="44"/>
        <v>N/A</v>
      </c>
      <c r="R396" s="95" t="str">
        <f t="shared" si="45"/>
        <v>NO CERT.</v>
      </c>
      <c r="S396" s="95" t="e">
        <f t="shared" si="46"/>
        <v>#N/A</v>
      </c>
      <c r="T396" s="119" t="e">
        <f>+IF(J396=LOOKUP(J396,'CAFCO 300 IDIEM TABLAS'!$J$4:$J$40),'CALCULO MORTERO'!J396,MROUND('CALCULO MORTERO'!J396,10))</f>
        <v>#N/A</v>
      </c>
      <c r="U396" s="118">
        <f t="shared" si="47"/>
        <v>0</v>
      </c>
    </row>
    <row r="397" spans="1:21" s="36" customFormat="1" x14ac:dyDescent="0.25">
      <c r="A397" s="118">
        <f>+CUBICACION!D391</f>
        <v>0</v>
      </c>
      <c r="B397" s="819">
        <f>+CUBICACION!E391</f>
        <v>0</v>
      </c>
      <c r="C397" s="675">
        <f>+CUBICACION!F391</f>
        <v>0</v>
      </c>
      <c r="D397" s="118"/>
      <c r="E397" s="118"/>
      <c r="F397" s="820"/>
      <c r="G397" s="675">
        <f>+CUBICACION!J391</f>
        <v>0</v>
      </c>
      <c r="H397" s="118"/>
      <c r="I397" s="821">
        <f>+CUBICACION!L391</f>
        <v>0</v>
      </c>
      <c r="J397" s="64">
        <f>+CUBICACION!M391</f>
        <v>0</v>
      </c>
      <c r="K397" s="822" t="str">
        <f>+CUBICACION!N391</f>
        <v/>
      </c>
      <c r="L397" s="118">
        <f>+CUBICACION!O391</f>
        <v>0</v>
      </c>
      <c r="M397" s="823">
        <f>+CUBICACION!P391</f>
        <v>0</v>
      </c>
      <c r="N397" s="902">
        <f>ROUND(IF(AND(L397="Blaze Shield II",M397="Software Idiem",C397="IN",G397=4),((('BLAZE SHIELD II'!$D$4*('CALCULO MORTERO'!I397^2)+'BLAZE SHIELD II'!$D$5*'CALCULO MORTERO'!I397+'BLAZE SHIELD II'!$D$6)*LN(J397))+('BLAZE SHIELD II'!$D$7*('CALCULO MORTERO'!I397^2)+'BLAZE SHIELD II'!$D$8*'CALCULO MORTERO'!I397+'BLAZE SHIELD II'!$D$9)),0)+IF(AND(L397="Blaze Shield II",M397="Software Idiem",C397="Cj"),((('BLAZE SHIELD II'!$H$4*('CALCULO MORTERO'!I397^2)+'BLAZE SHIELD II'!$H$5*'CALCULO MORTERO'!I397+'BLAZE SHIELD II'!$H$6)*LN(J397))+('BLAZE SHIELD II'!$H$7*('CALCULO MORTERO'!I397^2)+'BLAZE SHIELD II'!$H$8*'CALCULO MORTERO'!I397+'BLAZE SHIELD II'!$H$9)),0)+IF(AND(L397="Blaze Shield II",M397="Software Idiem",C397="C"),((('BLAZE SHIELD II'!$L$4*('CALCULO MORTERO'!I397^2)+'BLAZE SHIELD II'!$L$5*'CALCULO MORTERO'!I397+'BLAZE SHIELD II'!$L$6)*LN(J397))+('BLAZE SHIELD II'!$L$7*('CALCULO MORTERO'!I397^2)+'BLAZE SHIELD II'!$L$8*'CALCULO MORTERO'!I397+'BLAZE SHIELD II'!$L$9)),0)+IF(AND(L397="Blaze Shield II",M397="Software Idiem",C397="L"),((('BLAZE SHIELD II'!$L$4*('CALCULO MORTERO'!I397^2)+'BLAZE SHIELD II'!$L$5*'CALCULO MORTERO'!I397+'BLAZE SHIELD II'!$L$6)*LN(J397))+('BLAZE SHIELD II'!$L$7*('CALCULO MORTERO'!I397^2)+'BLAZE SHIELD II'!$L$8*'CALCULO MORTERO'!I397+'BLAZE SHIELD II'!$L$9)),0)+IF(AND(L397="Blaze Shield II",M397="Software Idiem",C397="IN",G397=3),((('BLAZE SHIELD II'!$H$14*('CALCULO MORTERO'!I397^2)+'BLAZE SHIELD II'!$H$15*'CALCULO MORTERO'!I397+'BLAZE SHIELD II'!$H$16)*LN(J397))+('BLAZE SHIELD II'!$H$17*('CALCULO MORTERO'!I397^2)+'BLAZE SHIELD II'!$H$18*'CALCULO MORTERO'!I397+'BLAZE SHIELD II'!$H$19)),0),0)+ROUND(IF(AND(L397="Cafco 400",M397="Software Idiem",C397="IN",G397=4),((('CAFCO 400 '!$H$7*(J397^4)+'CAFCO 400 '!$H$8*(J397^3)+'CAFCO 400 '!$H$9*(J397^2)+'CAFCO 400 '!$H$10*J397+'CAFCO 400 '!$H$11)*U397^2)+(('CAFCO 400 '!$H$12*(J397^3)+'CAFCO 400 '!$H$13*(J397^2)+'CAFCO 400 '!$H$14*J397+'CAFCO 400 '!$H$15)*U397)+('CAFCO 400 '!$H$16*(J397^2)+'CAFCO 400 '!$H$17*J397+'CAFCO 400 '!$H$18)),0)+IF(AND(L397="Cafco 400",M397="Software Idiem",C397="Cj"),(((('CAFCO 400 '!$D$7*LN(J397)+'CAFCO 400 '!$D$8)*U397^2)+(('CAFCO 400 '!$D$9*LN(J397)+'CAFCO 400 '!$D$10)*U397)+('CAFCO 400 '!$D$11*LN(J397)+'CAFCO 400 '!$D$12))),0)+IF(AND(L397="Cafco 400",M397="Software Idiem",C397="C"),((('CAFCO 400 '!$L$7*(J397^3)+'CAFCO 400 '!$L$8*(J397^2)+'CAFCO 400 '!$L$9*J397+'CAFCO 400 '!$L$10)*U397^2)+(('CAFCO 400 '!$L$11*(J397^3)+'CAFCO 400 '!$L$12*(J397^2)+'CAFCO 400 '!$L$13*J397+'CAFCO 400 '!$L$14)*U397)+('CAFCO 400 '!$L$15*LN(J397)+'CAFCO 400 '!$L$16)),0)+IF(AND(L397="Cafco 400",M397="Software Idiem",C397="L"),((('CAFCO 400 '!$L$7*(J397^3)+'CAFCO 400 '!$L$8*(J397^2)+'CAFCO 400 '!$L$9*J397+'CAFCO 400 '!$L$10)*U397^2)+(('CAFCO 400 '!$L$11*(J397^3)+'CAFCO 400 '!$L$12*(J397^2)+'CAFCO 400 '!$L$13*J397+'CAFCO 400 '!$L$14)*U397)+('CAFCO 400 '!$L$15*LN(J397)+'CAFCO 400 '!$L$16)),0)+IF(AND(L397="Cafco 400",M397="Software Idiem",C397="IN",G397=3),((('CAFCO 400 '!$D$23*(J397^2)+'CAFCO 400 '!$D$24*(J397)+'CAFCO 400 '!$D$25)*U397^2)+(('CAFCO 400 '!$D$26*(J397^2)+'CAFCO 400 '!$D$27*J397+'CAFCO 400 '!$D$28)*U397)+('CAFCO 400 '!$D$29*(J397^2)+'CAFCO 400 '!$D$30*J397+'CAFCO 400 '!$D$31)),0),0)+IF(AND(L397="Cafco 300",J397&gt;=95,J397&lt;=240,C397="Cj",I397=90),VLOOKUP(T397,'CAFCO 300 IDIEM TABLAS'!$B$4:$D$23,2,FALSE),0)+IF(AND(L397="Cafco 300",J397&gt;=95,J397&lt;=240,C397="Cj",I397=120),VLOOKUP(T397,'CAFCO 300 IDIEM TABLAS'!$B$4:$D$23,3,FALSE),0)+IF(AND(L397="Cafco 300",J397&gt;=95,J397&lt;=400,G397=3,C397="IN",I397=90),VLOOKUP(T397,'CAFCO 300 IDIEM TABLAS'!$F$4:$H$35,2,FALSE),0)+IF(AND(L397="Cafco 300",J397&gt;=95,J397&lt;=400,G397=3,C397="IN",I397=120),VLOOKUP(T397,'CAFCO 300 IDIEM TABLAS'!$F$4:$H$35,3,FALSE),0)+IF(AND(L397="Cafco 300",J397&gt;=95,J397&lt;=450,G397=4,C397="IN",I397=90),VLOOKUP(T397,'CAFCO 300 IDIEM TABLAS'!$J$4:$L$40,2,FALSE),0)+IF(AND(L397="Cafco 300",J397&gt;=95,J397&lt;=450,G397=4,C397="IN",I397=120),VLOOKUP(T397,'CAFCO 300 IDIEM TABLAS'!$J$4:$L$40,3,FALSE),0)+IF(AND(M397="Ensayo Idiem",L397="Cafco 400",C397="IN",G397=4,I397=90),VLOOKUP(T397,'CAFCO 400 ENSAYO'!$B$7:$D$43,2,FALSE),0)+IF(AND(M397="Ensayo Idiem",L397="Cafco 400",C397="IN",G397=4,I397=120),VLOOKUP(T397,'CAFCO 400 ENSAYO'!$B$7:$D$43,3,FALSE),0)</f>
        <v>0</v>
      </c>
      <c r="O397" s="96">
        <f t="shared" si="48"/>
        <v>0</v>
      </c>
      <c r="P397" s="132" t="str">
        <f t="shared" si="43"/>
        <v>N/A</v>
      </c>
      <c r="Q397" s="132" t="str">
        <f t="shared" si="44"/>
        <v>N/A</v>
      </c>
      <c r="R397" s="132" t="str">
        <f t="shared" si="45"/>
        <v>NO CERT.</v>
      </c>
      <c r="S397" s="132" t="e">
        <f t="shared" si="46"/>
        <v>#N/A</v>
      </c>
      <c r="T397" s="133" t="e">
        <f>+IF(J397=LOOKUP(J397,'CAFCO 300 IDIEM TABLAS'!$J$4:$J$40),'CALCULO MORTERO'!J397,MROUND('CALCULO MORTERO'!J397,10))</f>
        <v>#N/A</v>
      </c>
      <c r="U397" s="134">
        <f t="shared" si="47"/>
        <v>0</v>
      </c>
    </row>
    <row r="398" spans="1:21" s="36" customFormat="1" x14ac:dyDescent="0.25">
      <c r="A398" s="118">
        <f>+CUBICACION!D392</f>
        <v>0</v>
      </c>
      <c r="B398" s="819">
        <f>+CUBICACION!E392</f>
        <v>0</v>
      </c>
      <c r="C398" s="675">
        <f>+CUBICACION!F392</f>
        <v>0</v>
      </c>
      <c r="D398" s="118"/>
      <c r="E398" s="118"/>
      <c r="F398" s="820"/>
      <c r="G398" s="675">
        <f>+CUBICACION!J392</f>
        <v>0</v>
      </c>
      <c r="H398" s="118"/>
      <c r="I398" s="821">
        <f>+CUBICACION!L392</f>
        <v>0</v>
      </c>
      <c r="J398" s="64">
        <f>+CUBICACION!M392</f>
        <v>0</v>
      </c>
      <c r="K398" s="822" t="str">
        <f>+CUBICACION!N392</f>
        <v/>
      </c>
      <c r="L398" s="118">
        <f>+CUBICACION!O392</f>
        <v>0</v>
      </c>
      <c r="M398" s="823">
        <f>+CUBICACION!P392</f>
        <v>0</v>
      </c>
      <c r="N398" s="902">
        <f>ROUND(IF(AND(L398="Blaze Shield II",M398="Software Idiem",C398="IN",G398=4),((('BLAZE SHIELD II'!$D$4*('CALCULO MORTERO'!I398^2)+'BLAZE SHIELD II'!$D$5*'CALCULO MORTERO'!I398+'BLAZE SHIELD II'!$D$6)*LN(J398))+('BLAZE SHIELD II'!$D$7*('CALCULO MORTERO'!I398^2)+'BLAZE SHIELD II'!$D$8*'CALCULO MORTERO'!I398+'BLAZE SHIELD II'!$D$9)),0)+IF(AND(L398="Blaze Shield II",M398="Software Idiem",C398="Cj"),((('BLAZE SHIELD II'!$H$4*('CALCULO MORTERO'!I398^2)+'BLAZE SHIELD II'!$H$5*'CALCULO MORTERO'!I398+'BLAZE SHIELD II'!$H$6)*LN(J398))+('BLAZE SHIELD II'!$H$7*('CALCULO MORTERO'!I398^2)+'BLAZE SHIELD II'!$H$8*'CALCULO MORTERO'!I398+'BLAZE SHIELD II'!$H$9)),0)+IF(AND(L398="Blaze Shield II",M398="Software Idiem",C398="C"),((('BLAZE SHIELD II'!$L$4*('CALCULO MORTERO'!I398^2)+'BLAZE SHIELD II'!$L$5*'CALCULO MORTERO'!I398+'BLAZE SHIELD II'!$L$6)*LN(J398))+('BLAZE SHIELD II'!$L$7*('CALCULO MORTERO'!I398^2)+'BLAZE SHIELD II'!$L$8*'CALCULO MORTERO'!I398+'BLAZE SHIELD II'!$L$9)),0)+IF(AND(L398="Blaze Shield II",M398="Software Idiem",C398="L"),((('BLAZE SHIELD II'!$L$4*('CALCULO MORTERO'!I398^2)+'BLAZE SHIELD II'!$L$5*'CALCULO MORTERO'!I398+'BLAZE SHIELD II'!$L$6)*LN(J398))+('BLAZE SHIELD II'!$L$7*('CALCULO MORTERO'!I398^2)+'BLAZE SHIELD II'!$L$8*'CALCULO MORTERO'!I398+'BLAZE SHIELD II'!$L$9)),0)+IF(AND(L398="Blaze Shield II",M398="Software Idiem",C398="IN",G398=3),((('BLAZE SHIELD II'!$H$14*('CALCULO MORTERO'!I398^2)+'BLAZE SHIELD II'!$H$15*'CALCULO MORTERO'!I398+'BLAZE SHIELD II'!$H$16)*LN(J398))+('BLAZE SHIELD II'!$H$17*('CALCULO MORTERO'!I398^2)+'BLAZE SHIELD II'!$H$18*'CALCULO MORTERO'!I398+'BLAZE SHIELD II'!$H$19)),0),0)+ROUND(IF(AND(L398="Cafco 400",M398="Software Idiem",C398="IN",G398=4),((('CAFCO 400 '!$H$7*(J398^4)+'CAFCO 400 '!$H$8*(J398^3)+'CAFCO 400 '!$H$9*(J398^2)+'CAFCO 400 '!$H$10*J398+'CAFCO 400 '!$H$11)*U398^2)+(('CAFCO 400 '!$H$12*(J398^3)+'CAFCO 400 '!$H$13*(J398^2)+'CAFCO 400 '!$H$14*J398+'CAFCO 400 '!$H$15)*U398)+('CAFCO 400 '!$H$16*(J398^2)+'CAFCO 400 '!$H$17*J398+'CAFCO 400 '!$H$18)),0)+IF(AND(L398="Cafco 400",M398="Software Idiem",C398="Cj"),(((('CAFCO 400 '!$D$7*LN(J398)+'CAFCO 400 '!$D$8)*U398^2)+(('CAFCO 400 '!$D$9*LN(J398)+'CAFCO 400 '!$D$10)*U398)+('CAFCO 400 '!$D$11*LN(J398)+'CAFCO 400 '!$D$12))),0)+IF(AND(L398="Cafco 400",M398="Software Idiem",C398="C"),((('CAFCO 400 '!$L$7*(J398^3)+'CAFCO 400 '!$L$8*(J398^2)+'CAFCO 400 '!$L$9*J398+'CAFCO 400 '!$L$10)*U398^2)+(('CAFCO 400 '!$L$11*(J398^3)+'CAFCO 400 '!$L$12*(J398^2)+'CAFCO 400 '!$L$13*J398+'CAFCO 400 '!$L$14)*U398)+('CAFCO 400 '!$L$15*LN(J398)+'CAFCO 400 '!$L$16)),0)+IF(AND(L398="Cafco 400",M398="Software Idiem",C398="L"),((('CAFCO 400 '!$L$7*(J398^3)+'CAFCO 400 '!$L$8*(J398^2)+'CAFCO 400 '!$L$9*J398+'CAFCO 400 '!$L$10)*U398^2)+(('CAFCO 400 '!$L$11*(J398^3)+'CAFCO 400 '!$L$12*(J398^2)+'CAFCO 400 '!$L$13*J398+'CAFCO 400 '!$L$14)*U398)+('CAFCO 400 '!$L$15*LN(J398)+'CAFCO 400 '!$L$16)),0)+IF(AND(L398="Cafco 400",M398="Software Idiem",C398="IN",G398=3),((('CAFCO 400 '!$D$23*(J398^2)+'CAFCO 400 '!$D$24*(J398)+'CAFCO 400 '!$D$25)*U398^2)+(('CAFCO 400 '!$D$26*(J398^2)+'CAFCO 400 '!$D$27*J398+'CAFCO 400 '!$D$28)*U398)+('CAFCO 400 '!$D$29*(J398^2)+'CAFCO 400 '!$D$30*J398+'CAFCO 400 '!$D$31)),0),0)+IF(AND(L398="Cafco 300",J398&gt;=95,J398&lt;=240,C398="Cj",I398=90),VLOOKUP(T398,'CAFCO 300 IDIEM TABLAS'!$B$4:$D$23,2,FALSE),0)+IF(AND(L398="Cafco 300",J398&gt;=95,J398&lt;=240,C398="Cj",I398=120),VLOOKUP(T398,'CAFCO 300 IDIEM TABLAS'!$B$4:$D$23,3,FALSE),0)+IF(AND(L398="Cafco 300",J398&gt;=95,J398&lt;=400,G398=3,C398="IN",I398=90),VLOOKUP(T398,'CAFCO 300 IDIEM TABLAS'!$F$4:$H$35,2,FALSE),0)+IF(AND(L398="Cafco 300",J398&gt;=95,J398&lt;=400,G398=3,C398="IN",I398=120),VLOOKUP(T398,'CAFCO 300 IDIEM TABLAS'!$F$4:$H$35,3,FALSE),0)+IF(AND(L398="Cafco 300",J398&gt;=95,J398&lt;=450,G398=4,C398="IN",I398=90),VLOOKUP(T398,'CAFCO 300 IDIEM TABLAS'!$J$4:$L$40,2,FALSE),0)+IF(AND(L398="Cafco 300",J398&gt;=95,J398&lt;=450,G398=4,C398="IN",I398=120),VLOOKUP(T398,'CAFCO 300 IDIEM TABLAS'!$J$4:$L$40,3,FALSE),0)+IF(AND(M398="Ensayo Idiem",L398="Cafco 400",C398="IN",G398=4,I398=90),VLOOKUP(T398,'CAFCO 400 ENSAYO'!$B$7:$D$43,2,FALSE),0)+IF(AND(M398="Ensayo Idiem",L398="Cafco 400",C398="IN",G398=4,I398=120),VLOOKUP(T398,'CAFCO 400 ENSAYO'!$B$7:$D$43,3,FALSE),0)</f>
        <v>0</v>
      </c>
      <c r="O398" s="96">
        <f t="shared" si="48"/>
        <v>0</v>
      </c>
      <c r="P398" s="95" t="str">
        <f t="shared" si="43"/>
        <v>N/A</v>
      </c>
      <c r="Q398" s="95" t="str">
        <f t="shared" si="44"/>
        <v>N/A</v>
      </c>
      <c r="R398" s="95" t="str">
        <f t="shared" si="45"/>
        <v>NO CERT.</v>
      </c>
      <c r="S398" s="95" t="e">
        <f t="shared" si="46"/>
        <v>#N/A</v>
      </c>
      <c r="T398" s="119" t="e">
        <f>+IF(J398=LOOKUP(J398,'CAFCO 300 IDIEM TABLAS'!$J$4:$J$40),'CALCULO MORTERO'!J398,MROUND('CALCULO MORTERO'!J398,10))</f>
        <v>#N/A</v>
      </c>
      <c r="U398" s="118">
        <f t="shared" si="47"/>
        <v>0</v>
      </c>
    </row>
    <row r="399" spans="1:21" s="36" customFormat="1" x14ac:dyDescent="0.25">
      <c r="A399" s="118">
        <f>+CUBICACION!D393</f>
        <v>0</v>
      </c>
      <c r="B399" s="819">
        <f>+CUBICACION!E393</f>
        <v>0</v>
      </c>
      <c r="C399" s="675">
        <f>+CUBICACION!F393</f>
        <v>0</v>
      </c>
      <c r="D399" s="118"/>
      <c r="E399" s="118"/>
      <c r="F399" s="820"/>
      <c r="G399" s="675">
        <f>+CUBICACION!J393</f>
        <v>0</v>
      </c>
      <c r="H399" s="118"/>
      <c r="I399" s="821">
        <f>+CUBICACION!L393</f>
        <v>0</v>
      </c>
      <c r="J399" s="64">
        <f>+CUBICACION!M393</f>
        <v>0</v>
      </c>
      <c r="K399" s="822" t="str">
        <f>+CUBICACION!N393</f>
        <v/>
      </c>
      <c r="L399" s="118">
        <f>+CUBICACION!O393</f>
        <v>0</v>
      </c>
      <c r="M399" s="823">
        <f>+CUBICACION!P393</f>
        <v>0</v>
      </c>
      <c r="N399" s="902">
        <f>ROUND(IF(AND(L399="Blaze Shield II",M399="Software Idiem",C399="IN",G399=4),((('BLAZE SHIELD II'!$D$4*('CALCULO MORTERO'!I399^2)+'BLAZE SHIELD II'!$D$5*'CALCULO MORTERO'!I399+'BLAZE SHIELD II'!$D$6)*LN(J399))+('BLAZE SHIELD II'!$D$7*('CALCULO MORTERO'!I399^2)+'BLAZE SHIELD II'!$D$8*'CALCULO MORTERO'!I399+'BLAZE SHIELD II'!$D$9)),0)+IF(AND(L399="Blaze Shield II",M399="Software Idiem",C399="Cj"),((('BLAZE SHIELD II'!$H$4*('CALCULO MORTERO'!I399^2)+'BLAZE SHIELD II'!$H$5*'CALCULO MORTERO'!I399+'BLAZE SHIELD II'!$H$6)*LN(J399))+('BLAZE SHIELD II'!$H$7*('CALCULO MORTERO'!I399^2)+'BLAZE SHIELD II'!$H$8*'CALCULO MORTERO'!I399+'BLAZE SHIELD II'!$H$9)),0)+IF(AND(L399="Blaze Shield II",M399="Software Idiem",C399="C"),((('BLAZE SHIELD II'!$L$4*('CALCULO MORTERO'!I399^2)+'BLAZE SHIELD II'!$L$5*'CALCULO MORTERO'!I399+'BLAZE SHIELD II'!$L$6)*LN(J399))+('BLAZE SHIELD II'!$L$7*('CALCULO MORTERO'!I399^2)+'BLAZE SHIELD II'!$L$8*'CALCULO MORTERO'!I399+'BLAZE SHIELD II'!$L$9)),0)+IF(AND(L399="Blaze Shield II",M399="Software Idiem",C399="L"),((('BLAZE SHIELD II'!$L$4*('CALCULO MORTERO'!I399^2)+'BLAZE SHIELD II'!$L$5*'CALCULO MORTERO'!I399+'BLAZE SHIELD II'!$L$6)*LN(J399))+('BLAZE SHIELD II'!$L$7*('CALCULO MORTERO'!I399^2)+'BLAZE SHIELD II'!$L$8*'CALCULO MORTERO'!I399+'BLAZE SHIELD II'!$L$9)),0)+IF(AND(L399="Blaze Shield II",M399="Software Idiem",C399="IN",G399=3),((('BLAZE SHIELD II'!$H$14*('CALCULO MORTERO'!I399^2)+'BLAZE SHIELD II'!$H$15*'CALCULO MORTERO'!I399+'BLAZE SHIELD II'!$H$16)*LN(J399))+('BLAZE SHIELD II'!$H$17*('CALCULO MORTERO'!I399^2)+'BLAZE SHIELD II'!$H$18*'CALCULO MORTERO'!I399+'BLAZE SHIELD II'!$H$19)),0),0)+ROUND(IF(AND(L399="Cafco 400",M399="Software Idiem",C399="IN",G399=4),((('CAFCO 400 '!$H$7*(J399^4)+'CAFCO 400 '!$H$8*(J399^3)+'CAFCO 400 '!$H$9*(J399^2)+'CAFCO 400 '!$H$10*J399+'CAFCO 400 '!$H$11)*U399^2)+(('CAFCO 400 '!$H$12*(J399^3)+'CAFCO 400 '!$H$13*(J399^2)+'CAFCO 400 '!$H$14*J399+'CAFCO 400 '!$H$15)*U399)+('CAFCO 400 '!$H$16*(J399^2)+'CAFCO 400 '!$H$17*J399+'CAFCO 400 '!$H$18)),0)+IF(AND(L399="Cafco 400",M399="Software Idiem",C399="Cj"),(((('CAFCO 400 '!$D$7*LN(J399)+'CAFCO 400 '!$D$8)*U399^2)+(('CAFCO 400 '!$D$9*LN(J399)+'CAFCO 400 '!$D$10)*U399)+('CAFCO 400 '!$D$11*LN(J399)+'CAFCO 400 '!$D$12))),0)+IF(AND(L399="Cafco 400",M399="Software Idiem",C399="C"),((('CAFCO 400 '!$L$7*(J399^3)+'CAFCO 400 '!$L$8*(J399^2)+'CAFCO 400 '!$L$9*J399+'CAFCO 400 '!$L$10)*U399^2)+(('CAFCO 400 '!$L$11*(J399^3)+'CAFCO 400 '!$L$12*(J399^2)+'CAFCO 400 '!$L$13*J399+'CAFCO 400 '!$L$14)*U399)+('CAFCO 400 '!$L$15*LN(J399)+'CAFCO 400 '!$L$16)),0)+IF(AND(L399="Cafco 400",M399="Software Idiem",C399="L"),((('CAFCO 400 '!$L$7*(J399^3)+'CAFCO 400 '!$L$8*(J399^2)+'CAFCO 400 '!$L$9*J399+'CAFCO 400 '!$L$10)*U399^2)+(('CAFCO 400 '!$L$11*(J399^3)+'CAFCO 400 '!$L$12*(J399^2)+'CAFCO 400 '!$L$13*J399+'CAFCO 400 '!$L$14)*U399)+('CAFCO 400 '!$L$15*LN(J399)+'CAFCO 400 '!$L$16)),0)+IF(AND(L399="Cafco 400",M399="Software Idiem",C399="IN",G399=3),((('CAFCO 400 '!$D$23*(J399^2)+'CAFCO 400 '!$D$24*(J399)+'CAFCO 400 '!$D$25)*U399^2)+(('CAFCO 400 '!$D$26*(J399^2)+'CAFCO 400 '!$D$27*J399+'CAFCO 400 '!$D$28)*U399)+('CAFCO 400 '!$D$29*(J399^2)+'CAFCO 400 '!$D$30*J399+'CAFCO 400 '!$D$31)),0),0)+IF(AND(L399="Cafco 300",J399&gt;=95,J399&lt;=240,C399="Cj",I399=90),VLOOKUP(T399,'CAFCO 300 IDIEM TABLAS'!$B$4:$D$23,2,FALSE),0)+IF(AND(L399="Cafco 300",J399&gt;=95,J399&lt;=240,C399="Cj",I399=120),VLOOKUP(T399,'CAFCO 300 IDIEM TABLAS'!$B$4:$D$23,3,FALSE),0)+IF(AND(L399="Cafco 300",J399&gt;=95,J399&lt;=400,G399=3,C399="IN",I399=90),VLOOKUP(T399,'CAFCO 300 IDIEM TABLAS'!$F$4:$H$35,2,FALSE),0)+IF(AND(L399="Cafco 300",J399&gt;=95,J399&lt;=400,G399=3,C399="IN",I399=120),VLOOKUP(T399,'CAFCO 300 IDIEM TABLAS'!$F$4:$H$35,3,FALSE),0)+IF(AND(L399="Cafco 300",J399&gt;=95,J399&lt;=450,G399=4,C399="IN",I399=90),VLOOKUP(T399,'CAFCO 300 IDIEM TABLAS'!$J$4:$L$40,2,FALSE),0)+IF(AND(L399="Cafco 300",J399&gt;=95,J399&lt;=450,G399=4,C399="IN",I399=120),VLOOKUP(T399,'CAFCO 300 IDIEM TABLAS'!$J$4:$L$40,3,FALSE),0)+IF(AND(M399="Ensayo Idiem",L399="Cafco 400",C399="IN",G399=4,I399=90),VLOOKUP(T399,'CAFCO 400 ENSAYO'!$B$7:$D$43,2,FALSE),0)+IF(AND(M399="Ensayo Idiem",L399="Cafco 400",C399="IN",G399=4,I399=120),VLOOKUP(T399,'CAFCO 400 ENSAYO'!$B$7:$D$43,3,FALSE),0)</f>
        <v>0</v>
      </c>
      <c r="O399" s="96">
        <f t="shared" si="48"/>
        <v>0</v>
      </c>
      <c r="P399" s="132" t="str">
        <f t="shared" si="43"/>
        <v>N/A</v>
      </c>
      <c r="Q399" s="132" t="str">
        <f t="shared" si="44"/>
        <v>N/A</v>
      </c>
      <c r="R399" s="132" t="str">
        <f t="shared" si="45"/>
        <v>NO CERT.</v>
      </c>
      <c r="S399" s="132" t="e">
        <f t="shared" si="46"/>
        <v>#N/A</v>
      </c>
      <c r="T399" s="133" t="e">
        <f>+IF(J399=LOOKUP(J399,'CAFCO 300 IDIEM TABLAS'!$J$4:$J$40),'CALCULO MORTERO'!J399,MROUND('CALCULO MORTERO'!J399,10))</f>
        <v>#N/A</v>
      </c>
      <c r="U399" s="134">
        <f t="shared" si="47"/>
        <v>0</v>
      </c>
    </row>
    <row r="400" spans="1:21" s="36" customFormat="1" x14ac:dyDescent="0.25">
      <c r="A400" s="118">
        <f>+CUBICACION!D394</f>
        <v>0</v>
      </c>
      <c r="B400" s="819">
        <f>+CUBICACION!E394</f>
        <v>0</v>
      </c>
      <c r="C400" s="675">
        <f>+CUBICACION!F394</f>
        <v>0</v>
      </c>
      <c r="D400" s="118"/>
      <c r="E400" s="118"/>
      <c r="F400" s="820"/>
      <c r="G400" s="675">
        <f>+CUBICACION!J394</f>
        <v>0</v>
      </c>
      <c r="H400" s="118"/>
      <c r="I400" s="821">
        <f>+CUBICACION!L394</f>
        <v>0</v>
      </c>
      <c r="J400" s="64">
        <f>+CUBICACION!M394</f>
        <v>0</v>
      </c>
      <c r="K400" s="822" t="str">
        <f>+CUBICACION!N394</f>
        <v/>
      </c>
      <c r="L400" s="118">
        <f>+CUBICACION!O394</f>
        <v>0</v>
      </c>
      <c r="M400" s="823">
        <f>+CUBICACION!P394</f>
        <v>0</v>
      </c>
      <c r="N400" s="902">
        <f>ROUND(IF(AND(L400="Blaze Shield II",M400="Software Idiem",C400="IN",G400=4),((('BLAZE SHIELD II'!$D$4*('CALCULO MORTERO'!I400^2)+'BLAZE SHIELD II'!$D$5*'CALCULO MORTERO'!I400+'BLAZE SHIELD II'!$D$6)*LN(J400))+('BLAZE SHIELD II'!$D$7*('CALCULO MORTERO'!I400^2)+'BLAZE SHIELD II'!$D$8*'CALCULO MORTERO'!I400+'BLAZE SHIELD II'!$D$9)),0)+IF(AND(L400="Blaze Shield II",M400="Software Idiem",C400="Cj"),((('BLAZE SHIELD II'!$H$4*('CALCULO MORTERO'!I400^2)+'BLAZE SHIELD II'!$H$5*'CALCULO MORTERO'!I400+'BLAZE SHIELD II'!$H$6)*LN(J400))+('BLAZE SHIELD II'!$H$7*('CALCULO MORTERO'!I400^2)+'BLAZE SHIELD II'!$H$8*'CALCULO MORTERO'!I400+'BLAZE SHIELD II'!$H$9)),0)+IF(AND(L400="Blaze Shield II",M400="Software Idiem",C400="C"),((('BLAZE SHIELD II'!$L$4*('CALCULO MORTERO'!I400^2)+'BLAZE SHIELD II'!$L$5*'CALCULO MORTERO'!I400+'BLAZE SHIELD II'!$L$6)*LN(J400))+('BLAZE SHIELD II'!$L$7*('CALCULO MORTERO'!I400^2)+'BLAZE SHIELD II'!$L$8*'CALCULO MORTERO'!I400+'BLAZE SHIELD II'!$L$9)),0)+IF(AND(L400="Blaze Shield II",M400="Software Idiem",C400="L"),((('BLAZE SHIELD II'!$L$4*('CALCULO MORTERO'!I400^2)+'BLAZE SHIELD II'!$L$5*'CALCULO MORTERO'!I400+'BLAZE SHIELD II'!$L$6)*LN(J400))+('BLAZE SHIELD II'!$L$7*('CALCULO MORTERO'!I400^2)+'BLAZE SHIELD II'!$L$8*'CALCULO MORTERO'!I400+'BLAZE SHIELD II'!$L$9)),0)+IF(AND(L400="Blaze Shield II",M400="Software Idiem",C400="IN",G400=3),((('BLAZE SHIELD II'!$H$14*('CALCULO MORTERO'!I400^2)+'BLAZE SHIELD II'!$H$15*'CALCULO MORTERO'!I400+'BLAZE SHIELD II'!$H$16)*LN(J400))+('BLAZE SHIELD II'!$H$17*('CALCULO MORTERO'!I400^2)+'BLAZE SHIELD II'!$H$18*'CALCULO MORTERO'!I400+'BLAZE SHIELD II'!$H$19)),0),0)+ROUND(IF(AND(L400="Cafco 400",M400="Software Idiem",C400="IN",G400=4),((('CAFCO 400 '!$H$7*(J400^4)+'CAFCO 400 '!$H$8*(J400^3)+'CAFCO 400 '!$H$9*(J400^2)+'CAFCO 400 '!$H$10*J400+'CAFCO 400 '!$H$11)*U400^2)+(('CAFCO 400 '!$H$12*(J400^3)+'CAFCO 400 '!$H$13*(J400^2)+'CAFCO 400 '!$H$14*J400+'CAFCO 400 '!$H$15)*U400)+('CAFCO 400 '!$H$16*(J400^2)+'CAFCO 400 '!$H$17*J400+'CAFCO 400 '!$H$18)),0)+IF(AND(L400="Cafco 400",M400="Software Idiem",C400="Cj"),(((('CAFCO 400 '!$D$7*LN(J400)+'CAFCO 400 '!$D$8)*U400^2)+(('CAFCO 400 '!$D$9*LN(J400)+'CAFCO 400 '!$D$10)*U400)+('CAFCO 400 '!$D$11*LN(J400)+'CAFCO 400 '!$D$12))),0)+IF(AND(L400="Cafco 400",M400="Software Idiem",C400="C"),((('CAFCO 400 '!$L$7*(J400^3)+'CAFCO 400 '!$L$8*(J400^2)+'CAFCO 400 '!$L$9*J400+'CAFCO 400 '!$L$10)*U400^2)+(('CAFCO 400 '!$L$11*(J400^3)+'CAFCO 400 '!$L$12*(J400^2)+'CAFCO 400 '!$L$13*J400+'CAFCO 400 '!$L$14)*U400)+('CAFCO 400 '!$L$15*LN(J400)+'CAFCO 400 '!$L$16)),0)+IF(AND(L400="Cafco 400",M400="Software Idiem",C400="L"),((('CAFCO 400 '!$L$7*(J400^3)+'CAFCO 400 '!$L$8*(J400^2)+'CAFCO 400 '!$L$9*J400+'CAFCO 400 '!$L$10)*U400^2)+(('CAFCO 400 '!$L$11*(J400^3)+'CAFCO 400 '!$L$12*(J400^2)+'CAFCO 400 '!$L$13*J400+'CAFCO 400 '!$L$14)*U400)+('CAFCO 400 '!$L$15*LN(J400)+'CAFCO 400 '!$L$16)),0)+IF(AND(L400="Cafco 400",M400="Software Idiem",C400="IN",G400=3),((('CAFCO 400 '!$D$23*(J400^2)+'CAFCO 400 '!$D$24*(J400)+'CAFCO 400 '!$D$25)*U400^2)+(('CAFCO 400 '!$D$26*(J400^2)+'CAFCO 400 '!$D$27*J400+'CAFCO 400 '!$D$28)*U400)+('CAFCO 400 '!$D$29*(J400^2)+'CAFCO 400 '!$D$30*J400+'CAFCO 400 '!$D$31)),0),0)+IF(AND(L400="Cafco 300",J400&gt;=95,J400&lt;=240,C400="Cj",I400=90),VLOOKUP(T400,'CAFCO 300 IDIEM TABLAS'!$B$4:$D$23,2,FALSE),0)+IF(AND(L400="Cafco 300",J400&gt;=95,J400&lt;=240,C400="Cj",I400=120),VLOOKUP(T400,'CAFCO 300 IDIEM TABLAS'!$B$4:$D$23,3,FALSE),0)+IF(AND(L400="Cafco 300",J400&gt;=95,J400&lt;=400,G400=3,C400="IN",I400=90),VLOOKUP(T400,'CAFCO 300 IDIEM TABLAS'!$F$4:$H$35,2,FALSE),0)+IF(AND(L400="Cafco 300",J400&gt;=95,J400&lt;=400,G400=3,C400="IN",I400=120),VLOOKUP(T400,'CAFCO 300 IDIEM TABLAS'!$F$4:$H$35,3,FALSE),0)+IF(AND(L400="Cafco 300",J400&gt;=95,J400&lt;=450,G400=4,C400="IN",I400=90),VLOOKUP(T400,'CAFCO 300 IDIEM TABLAS'!$J$4:$L$40,2,FALSE),0)+IF(AND(L400="Cafco 300",J400&gt;=95,J400&lt;=450,G400=4,C400="IN",I400=120),VLOOKUP(T400,'CAFCO 300 IDIEM TABLAS'!$J$4:$L$40,3,FALSE),0)+IF(AND(M400="Ensayo Idiem",L400="Cafco 400",C400="IN",G400=4,I400=90),VLOOKUP(T400,'CAFCO 400 ENSAYO'!$B$7:$D$43,2,FALSE),0)+IF(AND(M400="Ensayo Idiem",L400="Cafco 400",C400="IN",G400=4,I400=120),VLOOKUP(T400,'CAFCO 400 ENSAYO'!$B$7:$D$43,3,FALSE),0)</f>
        <v>0</v>
      </c>
      <c r="O400" s="96">
        <f t="shared" si="48"/>
        <v>0</v>
      </c>
      <c r="P400" s="95" t="str">
        <f t="shared" si="43"/>
        <v>N/A</v>
      </c>
      <c r="Q400" s="95" t="str">
        <f t="shared" si="44"/>
        <v>N/A</v>
      </c>
      <c r="R400" s="95" t="str">
        <f t="shared" si="45"/>
        <v>NO CERT.</v>
      </c>
      <c r="S400" s="95" t="e">
        <f t="shared" si="46"/>
        <v>#N/A</v>
      </c>
      <c r="T400" s="119" t="e">
        <f>+IF(J400=LOOKUP(J400,'CAFCO 300 IDIEM TABLAS'!$J$4:$J$40),'CALCULO MORTERO'!J400,MROUND('CALCULO MORTERO'!J400,10))</f>
        <v>#N/A</v>
      </c>
      <c r="U400" s="118">
        <f t="shared" si="47"/>
        <v>0</v>
      </c>
    </row>
    <row r="401" spans="1:21" s="36" customFormat="1" x14ac:dyDescent="0.25">
      <c r="A401" s="118">
        <f>+CUBICACION!D395</f>
        <v>0</v>
      </c>
      <c r="B401" s="819">
        <f>+CUBICACION!E395</f>
        <v>0</v>
      </c>
      <c r="C401" s="675">
        <f>+CUBICACION!F395</f>
        <v>0</v>
      </c>
      <c r="D401" s="118"/>
      <c r="E401" s="118"/>
      <c r="F401" s="820"/>
      <c r="G401" s="675">
        <f>+CUBICACION!J395</f>
        <v>0</v>
      </c>
      <c r="H401" s="118"/>
      <c r="I401" s="821">
        <f>+CUBICACION!L395</f>
        <v>0</v>
      </c>
      <c r="J401" s="64">
        <f>+CUBICACION!M395</f>
        <v>0</v>
      </c>
      <c r="K401" s="822" t="str">
        <f>+CUBICACION!N395</f>
        <v/>
      </c>
      <c r="L401" s="118">
        <f>+CUBICACION!O395</f>
        <v>0</v>
      </c>
      <c r="M401" s="823">
        <f>+CUBICACION!P395</f>
        <v>0</v>
      </c>
      <c r="N401" s="902">
        <f>ROUND(IF(AND(L401="Blaze Shield II",M401="Software Idiem",C401="IN",G401=4),((('BLAZE SHIELD II'!$D$4*('CALCULO MORTERO'!I401^2)+'BLAZE SHIELD II'!$D$5*'CALCULO MORTERO'!I401+'BLAZE SHIELD II'!$D$6)*LN(J401))+('BLAZE SHIELD II'!$D$7*('CALCULO MORTERO'!I401^2)+'BLAZE SHIELD II'!$D$8*'CALCULO MORTERO'!I401+'BLAZE SHIELD II'!$D$9)),0)+IF(AND(L401="Blaze Shield II",M401="Software Idiem",C401="Cj"),((('BLAZE SHIELD II'!$H$4*('CALCULO MORTERO'!I401^2)+'BLAZE SHIELD II'!$H$5*'CALCULO MORTERO'!I401+'BLAZE SHIELD II'!$H$6)*LN(J401))+('BLAZE SHIELD II'!$H$7*('CALCULO MORTERO'!I401^2)+'BLAZE SHIELD II'!$H$8*'CALCULO MORTERO'!I401+'BLAZE SHIELD II'!$H$9)),0)+IF(AND(L401="Blaze Shield II",M401="Software Idiem",C401="C"),((('BLAZE SHIELD II'!$L$4*('CALCULO MORTERO'!I401^2)+'BLAZE SHIELD II'!$L$5*'CALCULO MORTERO'!I401+'BLAZE SHIELD II'!$L$6)*LN(J401))+('BLAZE SHIELD II'!$L$7*('CALCULO MORTERO'!I401^2)+'BLAZE SHIELD II'!$L$8*'CALCULO MORTERO'!I401+'BLAZE SHIELD II'!$L$9)),0)+IF(AND(L401="Blaze Shield II",M401="Software Idiem",C401="L"),((('BLAZE SHIELD II'!$L$4*('CALCULO MORTERO'!I401^2)+'BLAZE SHIELD II'!$L$5*'CALCULO MORTERO'!I401+'BLAZE SHIELD II'!$L$6)*LN(J401))+('BLAZE SHIELD II'!$L$7*('CALCULO MORTERO'!I401^2)+'BLAZE SHIELD II'!$L$8*'CALCULO MORTERO'!I401+'BLAZE SHIELD II'!$L$9)),0)+IF(AND(L401="Blaze Shield II",M401="Software Idiem",C401="IN",G401=3),((('BLAZE SHIELD II'!$H$14*('CALCULO MORTERO'!I401^2)+'BLAZE SHIELD II'!$H$15*'CALCULO MORTERO'!I401+'BLAZE SHIELD II'!$H$16)*LN(J401))+('BLAZE SHIELD II'!$H$17*('CALCULO MORTERO'!I401^2)+'BLAZE SHIELD II'!$H$18*'CALCULO MORTERO'!I401+'BLAZE SHIELD II'!$H$19)),0),0)+ROUND(IF(AND(L401="Cafco 400",M401="Software Idiem",C401="IN",G401=4),((('CAFCO 400 '!$H$7*(J401^4)+'CAFCO 400 '!$H$8*(J401^3)+'CAFCO 400 '!$H$9*(J401^2)+'CAFCO 400 '!$H$10*J401+'CAFCO 400 '!$H$11)*U401^2)+(('CAFCO 400 '!$H$12*(J401^3)+'CAFCO 400 '!$H$13*(J401^2)+'CAFCO 400 '!$H$14*J401+'CAFCO 400 '!$H$15)*U401)+('CAFCO 400 '!$H$16*(J401^2)+'CAFCO 400 '!$H$17*J401+'CAFCO 400 '!$H$18)),0)+IF(AND(L401="Cafco 400",M401="Software Idiem",C401="Cj"),(((('CAFCO 400 '!$D$7*LN(J401)+'CAFCO 400 '!$D$8)*U401^2)+(('CAFCO 400 '!$D$9*LN(J401)+'CAFCO 400 '!$D$10)*U401)+('CAFCO 400 '!$D$11*LN(J401)+'CAFCO 400 '!$D$12))),0)+IF(AND(L401="Cafco 400",M401="Software Idiem",C401="C"),((('CAFCO 400 '!$L$7*(J401^3)+'CAFCO 400 '!$L$8*(J401^2)+'CAFCO 400 '!$L$9*J401+'CAFCO 400 '!$L$10)*U401^2)+(('CAFCO 400 '!$L$11*(J401^3)+'CAFCO 400 '!$L$12*(J401^2)+'CAFCO 400 '!$L$13*J401+'CAFCO 400 '!$L$14)*U401)+('CAFCO 400 '!$L$15*LN(J401)+'CAFCO 400 '!$L$16)),0)+IF(AND(L401="Cafco 400",M401="Software Idiem",C401="L"),((('CAFCO 400 '!$L$7*(J401^3)+'CAFCO 400 '!$L$8*(J401^2)+'CAFCO 400 '!$L$9*J401+'CAFCO 400 '!$L$10)*U401^2)+(('CAFCO 400 '!$L$11*(J401^3)+'CAFCO 400 '!$L$12*(J401^2)+'CAFCO 400 '!$L$13*J401+'CAFCO 400 '!$L$14)*U401)+('CAFCO 400 '!$L$15*LN(J401)+'CAFCO 400 '!$L$16)),0)+IF(AND(L401="Cafco 400",M401="Software Idiem",C401="IN",G401=3),((('CAFCO 400 '!$D$23*(J401^2)+'CAFCO 400 '!$D$24*(J401)+'CAFCO 400 '!$D$25)*U401^2)+(('CAFCO 400 '!$D$26*(J401^2)+'CAFCO 400 '!$D$27*J401+'CAFCO 400 '!$D$28)*U401)+('CAFCO 400 '!$D$29*(J401^2)+'CAFCO 400 '!$D$30*J401+'CAFCO 400 '!$D$31)),0),0)+IF(AND(L401="Cafco 300",J401&gt;=95,J401&lt;=240,C401="Cj",I401=90),VLOOKUP(T401,'CAFCO 300 IDIEM TABLAS'!$B$4:$D$23,2,FALSE),0)+IF(AND(L401="Cafco 300",J401&gt;=95,J401&lt;=240,C401="Cj",I401=120),VLOOKUP(T401,'CAFCO 300 IDIEM TABLAS'!$B$4:$D$23,3,FALSE),0)+IF(AND(L401="Cafco 300",J401&gt;=95,J401&lt;=400,G401=3,C401="IN",I401=90),VLOOKUP(T401,'CAFCO 300 IDIEM TABLAS'!$F$4:$H$35,2,FALSE),0)+IF(AND(L401="Cafco 300",J401&gt;=95,J401&lt;=400,G401=3,C401="IN",I401=120),VLOOKUP(T401,'CAFCO 300 IDIEM TABLAS'!$F$4:$H$35,3,FALSE),0)+IF(AND(L401="Cafco 300",J401&gt;=95,J401&lt;=450,G401=4,C401="IN",I401=90),VLOOKUP(T401,'CAFCO 300 IDIEM TABLAS'!$J$4:$L$40,2,FALSE),0)+IF(AND(L401="Cafco 300",J401&gt;=95,J401&lt;=450,G401=4,C401="IN",I401=120),VLOOKUP(T401,'CAFCO 300 IDIEM TABLAS'!$J$4:$L$40,3,FALSE),0)+IF(AND(M401="Ensayo Idiem",L401="Cafco 400",C401="IN",G401=4,I401=90),VLOOKUP(T401,'CAFCO 400 ENSAYO'!$B$7:$D$43,2,FALSE),0)+IF(AND(M401="Ensayo Idiem",L401="Cafco 400",C401="IN",G401=4,I401=120),VLOOKUP(T401,'CAFCO 400 ENSAYO'!$B$7:$D$43,3,FALSE),0)</f>
        <v>0</v>
      </c>
      <c r="O401" s="96">
        <f t="shared" si="48"/>
        <v>0</v>
      </c>
      <c r="P401" s="132" t="str">
        <f t="shared" si="43"/>
        <v>N/A</v>
      </c>
      <c r="Q401" s="132" t="str">
        <f t="shared" si="44"/>
        <v>N/A</v>
      </c>
      <c r="R401" s="132" t="str">
        <f t="shared" si="45"/>
        <v>NO CERT.</v>
      </c>
      <c r="S401" s="132" t="e">
        <f t="shared" si="46"/>
        <v>#N/A</v>
      </c>
      <c r="T401" s="133" t="e">
        <f>+IF(J401=LOOKUP(J401,'CAFCO 300 IDIEM TABLAS'!$J$4:$J$40),'CALCULO MORTERO'!J401,MROUND('CALCULO MORTERO'!J401,10))</f>
        <v>#N/A</v>
      </c>
      <c r="U401" s="134">
        <f t="shared" si="47"/>
        <v>0</v>
      </c>
    </row>
    <row r="402" spans="1:21" s="36" customFormat="1" x14ac:dyDescent="0.25">
      <c r="A402" s="118">
        <f>+CUBICACION!D396</f>
        <v>0</v>
      </c>
      <c r="B402" s="819">
        <f>+CUBICACION!E396</f>
        <v>0</v>
      </c>
      <c r="C402" s="675">
        <f>+CUBICACION!F396</f>
        <v>0</v>
      </c>
      <c r="D402" s="118"/>
      <c r="E402" s="118"/>
      <c r="F402" s="820"/>
      <c r="G402" s="675">
        <f>+CUBICACION!J396</f>
        <v>0</v>
      </c>
      <c r="H402" s="118"/>
      <c r="I402" s="821">
        <f>+CUBICACION!L396</f>
        <v>0</v>
      </c>
      <c r="J402" s="64">
        <f>+CUBICACION!M396</f>
        <v>0</v>
      </c>
      <c r="K402" s="822" t="str">
        <f>+CUBICACION!N396</f>
        <v/>
      </c>
      <c r="L402" s="118">
        <f>+CUBICACION!O396</f>
        <v>0</v>
      </c>
      <c r="M402" s="823">
        <f>+CUBICACION!P396</f>
        <v>0</v>
      </c>
      <c r="N402" s="902">
        <f>ROUND(IF(AND(L402="Blaze Shield II",M402="Software Idiem",C402="IN",G402=4),((('BLAZE SHIELD II'!$D$4*('CALCULO MORTERO'!I402^2)+'BLAZE SHIELD II'!$D$5*'CALCULO MORTERO'!I402+'BLAZE SHIELD II'!$D$6)*LN(J402))+('BLAZE SHIELD II'!$D$7*('CALCULO MORTERO'!I402^2)+'BLAZE SHIELD II'!$D$8*'CALCULO MORTERO'!I402+'BLAZE SHIELD II'!$D$9)),0)+IF(AND(L402="Blaze Shield II",M402="Software Idiem",C402="Cj"),((('BLAZE SHIELD II'!$H$4*('CALCULO MORTERO'!I402^2)+'BLAZE SHIELD II'!$H$5*'CALCULO MORTERO'!I402+'BLAZE SHIELD II'!$H$6)*LN(J402))+('BLAZE SHIELD II'!$H$7*('CALCULO MORTERO'!I402^2)+'BLAZE SHIELD II'!$H$8*'CALCULO MORTERO'!I402+'BLAZE SHIELD II'!$H$9)),0)+IF(AND(L402="Blaze Shield II",M402="Software Idiem",C402="C"),((('BLAZE SHIELD II'!$L$4*('CALCULO MORTERO'!I402^2)+'BLAZE SHIELD II'!$L$5*'CALCULO MORTERO'!I402+'BLAZE SHIELD II'!$L$6)*LN(J402))+('BLAZE SHIELD II'!$L$7*('CALCULO MORTERO'!I402^2)+'BLAZE SHIELD II'!$L$8*'CALCULO MORTERO'!I402+'BLAZE SHIELD II'!$L$9)),0)+IF(AND(L402="Blaze Shield II",M402="Software Idiem",C402="L"),((('BLAZE SHIELD II'!$L$4*('CALCULO MORTERO'!I402^2)+'BLAZE SHIELD II'!$L$5*'CALCULO MORTERO'!I402+'BLAZE SHIELD II'!$L$6)*LN(J402))+('BLAZE SHIELD II'!$L$7*('CALCULO MORTERO'!I402^2)+'BLAZE SHIELD II'!$L$8*'CALCULO MORTERO'!I402+'BLAZE SHIELD II'!$L$9)),0)+IF(AND(L402="Blaze Shield II",M402="Software Idiem",C402="IN",G402=3),((('BLAZE SHIELD II'!$H$14*('CALCULO MORTERO'!I402^2)+'BLAZE SHIELD II'!$H$15*'CALCULO MORTERO'!I402+'BLAZE SHIELD II'!$H$16)*LN(J402))+('BLAZE SHIELD II'!$H$17*('CALCULO MORTERO'!I402^2)+'BLAZE SHIELD II'!$H$18*'CALCULO MORTERO'!I402+'BLAZE SHIELD II'!$H$19)),0),0)+ROUND(IF(AND(L402="Cafco 400",M402="Software Idiem",C402="IN",G402=4),((('CAFCO 400 '!$H$7*(J402^4)+'CAFCO 400 '!$H$8*(J402^3)+'CAFCO 400 '!$H$9*(J402^2)+'CAFCO 400 '!$H$10*J402+'CAFCO 400 '!$H$11)*U402^2)+(('CAFCO 400 '!$H$12*(J402^3)+'CAFCO 400 '!$H$13*(J402^2)+'CAFCO 400 '!$H$14*J402+'CAFCO 400 '!$H$15)*U402)+('CAFCO 400 '!$H$16*(J402^2)+'CAFCO 400 '!$H$17*J402+'CAFCO 400 '!$H$18)),0)+IF(AND(L402="Cafco 400",M402="Software Idiem",C402="Cj"),(((('CAFCO 400 '!$D$7*LN(J402)+'CAFCO 400 '!$D$8)*U402^2)+(('CAFCO 400 '!$D$9*LN(J402)+'CAFCO 400 '!$D$10)*U402)+('CAFCO 400 '!$D$11*LN(J402)+'CAFCO 400 '!$D$12))),0)+IF(AND(L402="Cafco 400",M402="Software Idiem",C402="C"),((('CAFCO 400 '!$L$7*(J402^3)+'CAFCO 400 '!$L$8*(J402^2)+'CAFCO 400 '!$L$9*J402+'CAFCO 400 '!$L$10)*U402^2)+(('CAFCO 400 '!$L$11*(J402^3)+'CAFCO 400 '!$L$12*(J402^2)+'CAFCO 400 '!$L$13*J402+'CAFCO 400 '!$L$14)*U402)+('CAFCO 400 '!$L$15*LN(J402)+'CAFCO 400 '!$L$16)),0)+IF(AND(L402="Cafco 400",M402="Software Idiem",C402="L"),((('CAFCO 400 '!$L$7*(J402^3)+'CAFCO 400 '!$L$8*(J402^2)+'CAFCO 400 '!$L$9*J402+'CAFCO 400 '!$L$10)*U402^2)+(('CAFCO 400 '!$L$11*(J402^3)+'CAFCO 400 '!$L$12*(J402^2)+'CAFCO 400 '!$L$13*J402+'CAFCO 400 '!$L$14)*U402)+('CAFCO 400 '!$L$15*LN(J402)+'CAFCO 400 '!$L$16)),0)+IF(AND(L402="Cafco 400",M402="Software Idiem",C402="IN",G402=3),((('CAFCO 400 '!$D$23*(J402^2)+'CAFCO 400 '!$D$24*(J402)+'CAFCO 400 '!$D$25)*U402^2)+(('CAFCO 400 '!$D$26*(J402^2)+'CAFCO 400 '!$D$27*J402+'CAFCO 400 '!$D$28)*U402)+('CAFCO 400 '!$D$29*(J402^2)+'CAFCO 400 '!$D$30*J402+'CAFCO 400 '!$D$31)),0),0)+IF(AND(L402="Cafco 300",J402&gt;=95,J402&lt;=240,C402="Cj",I402=90),VLOOKUP(T402,'CAFCO 300 IDIEM TABLAS'!$B$4:$D$23,2,FALSE),0)+IF(AND(L402="Cafco 300",J402&gt;=95,J402&lt;=240,C402="Cj",I402=120),VLOOKUP(T402,'CAFCO 300 IDIEM TABLAS'!$B$4:$D$23,3,FALSE),0)+IF(AND(L402="Cafco 300",J402&gt;=95,J402&lt;=400,G402=3,C402="IN",I402=90),VLOOKUP(T402,'CAFCO 300 IDIEM TABLAS'!$F$4:$H$35,2,FALSE),0)+IF(AND(L402="Cafco 300",J402&gt;=95,J402&lt;=400,G402=3,C402="IN",I402=120),VLOOKUP(T402,'CAFCO 300 IDIEM TABLAS'!$F$4:$H$35,3,FALSE),0)+IF(AND(L402="Cafco 300",J402&gt;=95,J402&lt;=450,G402=4,C402="IN",I402=90),VLOOKUP(T402,'CAFCO 300 IDIEM TABLAS'!$J$4:$L$40,2,FALSE),0)+IF(AND(L402="Cafco 300",J402&gt;=95,J402&lt;=450,G402=4,C402="IN",I402=120),VLOOKUP(T402,'CAFCO 300 IDIEM TABLAS'!$J$4:$L$40,3,FALSE),0)+IF(AND(M402="Ensayo Idiem",L402="Cafco 400",C402="IN",G402=4,I402=90),VLOOKUP(T402,'CAFCO 400 ENSAYO'!$B$7:$D$43,2,FALSE),0)+IF(AND(M402="Ensayo Idiem",L402="Cafco 400",C402="IN",G402=4,I402=120),VLOOKUP(T402,'CAFCO 400 ENSAYO'!$B$7:$D$43,3,FALSE),0)</f>
        <v>0</v>
      </c>
      <c r="O402" s="96">
        <f t="shared" si="48"/>
        <v>0</v>
      </c>
      <c r="P402" s="95" t="str">
        <f t="shared" si="43"/>
        <v>N/A</v>
      </c>
      <c r="Q402" s="95" t="str">
        <f t="shared" si="44"/>
        <v>N/A</v>
      </c>
      <c r="R402" s="95" t="str">
        <f t="shared" si="45"/>
        <v>NO CERT.</v>
      </c>
      <c r="S402" s="95" t="e">
        <f t="shared" si="46"/>
        <v>#N/A</v>
      </c>
      <c r="T402" s="119" t="e">
        <f>+IF(J402=LOOKUP(J402,'CAFCO 300 IDIEM TABLAS'!$J$4:$J$40),'CALCULO MORTERO'!J402,MROUND('CALCULO MORTERO'!J402,10))</f>
        <v>#N/A</v>
      </c>
      <c r="U402" s="118">
        <f t="shared" si="47"/>
        <v>0</v>
      </c>
    </row>
    <row r="403" spans="1:21" s="36" customFormat="1" x14ac:dyDescent="0.25">
      <c r="A403" s="118">
        <f>+CUBICACION!D397</f>
        <v>0</v>
      </c>
      <c r="B403" s="819">
        <f>+CUBICACION!E397</f>
        <v>0</v>
      </c>
      <c r="C403" s="675">
        <f>+CUBICACION!F397</f>
        <v>0</v>
      </c>
      <c r="D403" s="118"/>
      <c r="E403" s="118"/>
      <c r="F403" s="820"/>
      <c r="G403" s="675">
        <f>+CUBICACION!J397</f>
        <v>0</v>
      </c>
      <c r="H403" s="118"/>
      <c r="I403" s="821">
        <f>+CUBICACION!L397</f>
        <v>0</v>
      </c>
      <c r="J403" s="64">
        <f>+CUBICACION!M397</f>
        <v>0</v>
      </c>
      <c r="K403" s="822" t="str">
        <f>+CUBICACION!N397</f>
        <v/>
      </c>
      <c r="L403" s="118">
        <f>+CUBICACION!O397</f>
        <v>0</v>
      </c>
      <c r="M403" s="823">
        <f>+CUBICACION!P397</f>
        <v>0</v>
      </c>
      <c r="N403" s="902">
        <f>ROUND(IF(AND(L403="Blaze Shield II",M403="Software Idiem",C403="IN",G403=4),((('BLAZE SHIELD II'!$D$4*('CALCULO MORTERO'!I403^2)+'BLAZE SHIELD II'!$D$5*'CALCULO MORTERO'!I403+'BLAZE SHIELD II'!$D$6)*LN(J403))+('BLAZE SHIELD II'!$D$7*('CALCULO MORTERO'!I403^2)+'BLAZE SHIELD II'!$D$8*'CALCULO MORTERO'!I403+'BLAZE SHIELD II'!$D$9)),0)+IF(AND(L403="Blaze Shield II",M403="Software Idiem",C403="Cj"),((('BLAZE SHIELD II'!$H$4*('CALCULO MORTERO'!I403^2)+'BLAZE SHIELD II'!$H$5*'CALCULO MORTERO'!I403+'BLAZE SHIELD II'!$H$6)*LN(J403))+('BLAZE SHIELD II'!$H$7*('CALCULO MORTERO'!I403^2)+'BLAZE SHIELD II'!$H$8*'CALCULO MORTERO'!I403+'BLAZE SHIELD II'!$H$9)),0)+IF(AND(L403="Blaze Shield II",M403="Software Idiem",C403="C"),((('BLAZE SHIELD II'!$L$4*('CALCULO MORTERO'!I403^2)+'BLAZE SHIELD II'!$L$5*'CALCULO MORTERO'!I403+'BLAZE SHIELD II'!$L$6)*LN(J403))+('BLAZE SHIELD II'!$L$7*('CALCULO MORTERO'!I403^2)+'BLAZE SHIELD II'!$L$8*'CALCULO MORTERO'!I403+'BLAZE SHIELD II'!$L$9)),0)+IF(AND(L403="Blaze Shield II",M403="Software Idiem",C403="L"),((('BLAZE SHIELD II'!$L$4*('CALCULO MORTERO'!I403^2)+'BLAZE SHIELD II'!$L$5*'CALCULO MORTERO'!I403+'BLAZE SHIELD II'!$L$6)*LN(J403))+('BLAZE SHIELD II'!$L$7*('CALCULO MORTERO'!I403^2)+'BLAZE SHIELD II'!$L$8*'CALCULO MORTERO'!I403+'BLAZE SHIELD II'!$L$9)),0)+IF(AND(L403="Blaze Shield II",M403="Software Idiem",C403="IN",G403=3),((('BLAZE SHIELD II'!$H$14*('CALCULO MORTERO'!I403^2)+'BLAZE SHIELD II'!$H$15*'CALCULO MORTERO'!I403+'BLAZE SHIELD II'!$H$16)*LN(J403))+('BLAZE SHIELD II'!$H$17*('CALCULO MORTERO'!I403^2)+'BLAZE SHIELD II'!$H$18*'CALCULO MORTERO'!I403+'BLAZE SHIELD II'!$H$19)),0),0)+ROUND(IF(AND(L403="Cafco 400",M403="Software Idiem",C403="IN",G403=4),((('CAFCO 400 '!$H$7*(J403^4)+'CAFCO 400 '!$H$8*(J403^3)+'CAFCO 400 '!$H$9*(J403^2)+'CAFCO 400 '!$H$10*J403+'CAFCO 400 '!$H$11)*U403^2)+(('CAFCO 400 '!$H$12*(J403^3)+'CAFCO 400 '!$H$13*(J403^2)+'CAFCO 400 '!$H$14*J403+'CAFCO 400 '!$H$15)*U403)+('CAFCO 400 '!$H$16*(J403^2)+'CAFCO 400 '!$H$17*J403+'CAFCO 400 '!$H$18)),0)+IF(AND(L403="Cafco 400",M403="Software Idiem",C403="Cj"),(((('CAFCO 400 '!$D$7*LN(J403)+'CAFCO 400 '!$D$8)*U403^2)+(('CAFCO 400 '!$D$9*LN(J403)+'CAFCO 400 '!$D$10)*U403)+('CAFCO 400 '!$D$11*LN(J403)+'CAFCO 400 '!$D$12))),0)+IF(AND(L403="Cafco 400",M403="Software Idiem",C403="C"),((('CAFCO 400 '!$L$7*(J403^3)+'CAFCO 400 '!$L$8*(J403^2)+'CAFCO 400 '!$L$9*J403+'CAFCO 400 '!$L$10)*U403^2)+(('CAFCO 400 '!$L$11*(J403^3)+'CAFCO 400 '!$L$12*(J403^2)+'CAFCO 400 '!$L$13*J403+'CAFCO 400 '!$L$14)*U403)+('CAFCO 400 '!$L$15*LN(J403)+'CAFCO 400 '!$L$16)),0)+IF(AND(L403="Cafco 400",M403="Software Idiem",C403="L"),((('CAFCO 400 '!$L$7*(J403^3)+'CAFCO 400 '!$L$8*(J403^2)+'CAFCO 400 '!$L$9*J403+'CAFCO 400 '!$L$10)*U403^2)+(('CAFCO 400 '!$L$11*(J403^3)+'CAFCO 400 '!$L$12*(J403^2)+'CAFCO 400 '!$L$13*J403+'CAFCO 400 '!$L$14)*U403)+('CAFCO 400 '!$L$15*LN(J403)+'CAFCO 400 '!$L$16)),0)+IF(AND(L403="Cafco 400",M403="Software Idiem",C403="IN",G403=3),((('CAFCO 400 '!$D$23*(J403^2)+'CAFCO 400 '!$D$24*(J403)+'CAFCO 400 '!$D$25)*U403^2)+(('CAFCO 400 '!$D$26*(J403^2)+'CAFCO 400 '!$D$27*J403+'CAFCO 400 '!$D$28)*U403)+('CAFCO 400 '!$D$29*(J403^2)+'CAFCO 400 '!$D$30*J403+'CAFCO 400 '!$D$31)),0),0)+IF(AND(L403="Cafco 300",J403&gt;=95,J403&lt;=240,C403="Cj",I403=90),VLOOKUP(T403,'CAFCO 300 IDIEM TABLAS'!$B$4:$D$23,2,FALSE),0)+IF(AND(L403="Cafco 300",J403&gt;=95,J403&lt;=240,C403="Cj",I403=120),VLOOKUP(T403,'CAFCO 300 IDIEM TABLAS'!$B$4:$D$23,3,FALSE),0)+IF(AND(L403="Cafco 300",J403&gt;=95,J403&lt;=400,G403=3,C403="IN",I403=90),VLOOKUP(T403,'CAFCO 300 IDIEM TABLAS'!$F$4:$H$35,2,FALSE),0)+IF(AND(L403="Cafco 300",J403&gt;=95,J403&lt;=400,G403=3,C403="IN",I403=120),VLOOKUP(T403,'CAFCO 300 IDIEM TABLAS'!$F$4:$H$35,3,FALSE),0)+IF(AND(L403="Cafco 300",J403&gt;=95,J403&lt;=450,G403=4,C403="IN",I403=90),VLOOKUP(T403,'CAFCO 300 IDIEM TABLAS'!$J$4:$L$40,2,FALSE),0)+IF(AND(L403="Cafco 300",J403&gt;=95,J403&lt;=450,G403=4,C403="IN",I403=120),VLOOKUP(T403,'CAFCO 300 IDIEM TABLAS'!$J$4:$L$40,3,FALSE),0)+IF(AND(M403="Ensayo Idiem",L403="Cafco 400",C403="IN",G403=4,I403=90),VLOOKUP(T403,'CAFCO 400 ENSAYO'!$B$7:$D$43,2,FALSE),0)+IF(AND(M403="Ensayo Idiem",L403="Cafco 400",C403="IN",G403=4,I403=120),VLOOKUP(T403,'CAFCO 400 ENSAYO'!$B$7:$D$43,3,FALSE),0)</f>
        <v>0</v>
      </c>
      <c r="O403" s="96">
        <f t="shared" si="48"/>
        <v>0</v>
      </c>
      <c r="P403" s="132" t="str">
        <f t="shared" si="43"/>
        <v>N/A</v>
      </c>
      <c r="Q403" s="132" t="str">
        <f t="shared" si="44"/>
        <v>N/A</v>
      </c>
      <c r="R403" s="132" t="str">
        <f t="shared" si="45"/>
        <v>NO CERT.</v>
      </c>
      <c r="S403" s="132" t="e">
        <f t="shared" si="46"/>
        <v>#N/A</v>
      </c>
      <c r="T403" s="133" t="e">
        <f>+IF(J403=LOOKUP(J403,'CAFCO 300 IDIEM TABLAS'!$J$4:$J$40),'CALCULO MORTERO'!J403,MROUND('CALCULO MORTERO'!J403,10))</f>
        <v>#N/A</v>
      </c>
      <c r="U403" s="134">
        <f t="shared" si="47"/>
        <v>0</v>
      </c>
    </row>
    <row r="404" spans="1:21" s="36" customFormat="1" x14ac:dyDescent="0.25">
      <c r="A404" s="118">
        <f>+CUBICACION!D398</f>
        <v>0</v>
      </c>
      <c r="B404" s="819">
        <f>+CUBICACION!E398</f>
        <v>0</v>
      </c>
      <c r="C404" s="675">
        <f>+CUBICACION!F398</f>
        <v>0</v>
      </c>
      <c r="D404" s="118"/>
      <c r="E404" s="118"/>
      <c r="F404" s="820"/>
      <c r="G404" s="675">
        <f>+CUBICACION!J398</f>
        <v>0</v>
      </c>
      <c r="H404" s="118"/>
      <c r="I404" s="821">
        <f>+CUBICACION!L398</f>
        <v>0</v>
      </c>
      <c r="J404" s="64">
        <f>+CUBICACION!M398</f>
        <v>0</v>
      </c>
      <c r="K404" s="822" t="str">
        <f>+CUBICACION!N398</f>
        <v/>
      </c>
      <c r="L404" s="118">
        <f>+CUBICACION!O398</f>
        <v>0</v>
      </c>
      <c r="M404" s="823">
        <f>+CUBICACION!P398</f>
        <v>0</v>
      </c>
      <c r="N404" s="902">
        <f>ROUND(IF(AND(L404="Blaze Shield II",M404="Software Idiem",C404="IN",G404=4),((('BLAZE SHIELD II'!$D$4*('CALCULO MORTERO'!I404^2)+'BLAZE SHIELD II'!$D$5*'CALCULO MORTERO'!I404+'BLAZE SHIELD II'!$D$6)*LN(J404))+('BLAZE SHIELD II'!$D$7*('CALCULO MORTERO'!I404^2)+'BLAZE SHIELD II'!$D$8*'CALCULO MORTERO'!I404+'BLAZE SHIELD II'!$D$9)),0)+IF(AND(L404="Blaze Shield II",M404="Software Idiem",C404="Cj"),((('BLAZE SHIELD II'!$H$4*('CALCULO MORTERO'!I404^2)+'BLAZE SHIELD II'!$H$5*'CALCULO MORTERO'!I404+'BLAZE SHIELD II'!$H$6)*LN(J404))+('BLAZE SHIELD II'!$H$7*('CALCULO MORTERO'!I404^2)+'BLAZE SHIELD II'!$H$8*'CALCULO MORTERO'!I404+'BLAZE SHIELD II'!$H$9)),0)+IF(AND(L404="Blaze Shield II",M404="Software Idiem",C404="C"),((('BLAZE SHIELD II'!$L$4*('CALCULO MORTERO'!I404^2)+'BLAZE SHIELD II'!$L$5*'CALCULO MORTERO'!I404+'BLAZE SHIELD II'!$L$6)*LN(J404))+('BLAZE SHIELD II'!$L$7*('CALCULO MORTERO'!I404^2)+'BLAZE SHIELD II'!$L$8*'CALCULO MORTERO'!I404+'BLAZE SHIELD II'!$L$9)),0)+IF(AND(L404="Blaze Shield II",M404="Software Idiem",C404="L"),((('BLAZE SHIELD II'!$L$4*('CALCULO MORTERO'!I404^2)+'BLAZE SHIELD II'!$L$5*'CALCULO MORTERO'!I404+'BLAZE SHIELD II'!$L$6)*LN(J404))+('BLAZE SHIELD II'!$L$7*('CALCULO MORTERO'!I404^2)+'BLAZE SHIELD II'!$L$8*'CALCULO MORTERO'!I404+'BLAZE SHIELD II'!$L$9)),0)+IF(AND(L404="Blaze Shield II",M404="Software Idiem",C404="IN",G404=3),((('BLAZE SHIELD II'!$H$14*('CALCULO MORTERO'!I404^2)+'BLAZE SHIELD II'!$H$15*'CALCULO MORTERO'!I404+'BLAZE SHIELD II'!$H$16)*LN(J404))+('BLAZE SHIELD II'!$H$17*('CALCULO MORTERO'!I404^2)+'BLAZE SHIELD II'!$H$18*'CALCULO MORTERO'!I404+'BLAZE SHIELD II'!$H$19)),0),0)+ROUND(IF(AND(L404="Cafco 400",M404="Software Idiem",C404="IN",G404=4),((('CAFCO 400 '!$H$7*(J404^4)+'CAFCO 400 '!$H$8*(J404^3)+'CAFCO 400 '!$H$9*(J404^2)+'CAFCO 400 '!$H$10*J404+'CAFCO 400 '!$H$11)*U404^2)+(('CAFCO 400 '!$H$12*(J404^3)+'CAFCO 400 '!$H$13*(J404^2)+'CAFCO 400 '!$H$14*J404+'CAFCO 400 '!$H$15)*U404)+('CAFCO 400 '!$H$16*(J404^2)+'CAFCO 400 '!$H$17*J404+'CAFCO 400 '!$H$18)),0)+IF(AND(L404="Cafco 400",M404="Software Idiem",C404="Cj"),(((('CAFCO 400 '!$D$7*LN(J404)+'CAFCO 400 '!$D$8)*U404^2)+(('CAFCO 400 '!$D$9*LN(J404)+'CAFCO 400 '!$D$10)*U404)+('CAFCO 400 '!$D$11*LN(J404)+'CAFCO 400 '!$D$12))),0)+IF(AND(L404="Cafco 400",M404="Software Idiem",C404="C"),((('CAFCO 400 '!$L$7*(J404^3)+'CAFCO 400 '!$L$8*(J404^2)+'CAFCO 400 '!$L$9*J404+'CAFCO 400 '!$L$10)*U404^2)+(('CAFCO 400 '!$L$11*(J404^3)+'CAFCO 400 '!$L$12*(J404^2)+'CAFCO 400 '!$L$13*J404+'CAFCO 400 '!$L$14)*U404)+('CAFCO 400 '!$L$15*LN(J404)+'CAFCO 400 '!$L$16)),0)+IF(AND(L404="Cafco 400",M404="Software Idiem",C404="L"),((('CAFCO 400 '!$L$7*(J404^3)+'CAFCO 400 '!$L$8*(J404^2)+'CAFCO 400 '!$L$9*J404+'CAFCO 400 '!$L$10)*U404^2)+(('CAFCO 400 '!$L$11*(J404^3)+'CAFCO 400 '!$L$12*(J404^2)+'CAFCO 400 '!$L$13*J404+'CAFCO 400 '!$L$14)*U404)+('CAFCO 400 '!$L$15*LN(J404)+'CAFCO 400 '!$L$16)),0)+IF(AND(L404="Cafco 400",M404="Software Idiem",C404="IN",G404=3),((('CAFCO 400 '!$D$23*(J404^2)+'CAFCO 400 '!$D$24*(J404)+'CAFCO 400 '!$D$25)*U404^2)+(('CAFCO 400 '!$D$26*(J404^2)+'CAFCO 400 '!$D$27*J404+'CAFCO 400 '!$D$28)*U404)+('CAFCO 400 '!$D$29*(J404^2)+'CAFCO 400 '!$D$30*J404+'CAFCO 400 '!$D$31)),0),0)+IF(AND(L404="Cafco 300",J404&gt;=95,J404&lt;=240,C404="Cj",I404=90),VLOOKUP(T404,'CAFCO 300 IDIEM TABLAS'!$B$4:$D$23,2,FALSE),0)+IF(AND(L404="Cafco 300",J404&gt;=95,J404&lt;=240,C404="Cj",I404=120),VLOOKUP(T404,'CAFCO 300 IDIEM TABLAS'!$B$4:$D$23,3,FALSE),0)+IF(AND(L404="Cafco 300",J404&gt;=95,J404&lt;=400,G404=3,C404="IN",I404=90),VLOOKUP(T404,'CAFCO 300 IDIEM TABLAS'!$F$4:$H$35,2,FALSE),0)+IF(AND(L404="Cafco 300",J404&gt;=95,J404&lt;=400,G404=3,C404="IN",I404=120),VLOOKUP(T404,'CAFCO 300 IDIEM TABLAS'!$F$4:$H$35,3,FALSE),0)+IF(AND(L404="Cafco 300",J404&gt;=95,J404&lt;=450,G404=4,C404="IN",I404=90),VLOOKUP(T404,'CAFCO 300 IDIEM TABLAS'!$J$4:$L$40,2,FALSE),0)+IF(AND(L404="Cafco 300",J404&gt;=95,J404&lt;=450,G404=4,C404="IN",I404=120),VLOOKUP(T404,'CAFCO 300 IDIEM TABLAS'!$J$4:$L$40,3,FALSE),0)+IF(AND(M404="Ensayo Idiem",L404="Cafco 400",C404="IN",G404=4,I404=90),VLOOKUP(T404,'CAFCO 400 ENSAYO'!$B$7:$D$43,2,FALSE),0)+IF(AND(M404="Ensayo Idiem",L404="Cafco 400",C404="IN",G404=4,I404=120),VLOOKUP(T404,'CAFCO 400 ENSAYO'!$B$7:$D$43,3,FALSE),0)</f>
        <v>0</v>
      </c>
      <c r="O404" s="96">
        <f t="shared" si="48"/>
        <v>0</v>
      </c>
      <c r="P404" s="95" t="str">
        <f t="shared" si="43"/>
        <v>N/A</v>
      </c>
      <c r="Q404" s="95" t="str">
        <f t="shared" si="44"/>
        <v>N/A</v>
      </c>
      <c r="R404" s="95" t="str">
        <f t="shared" si="45"/>
        <v>NO CERT.</v>
      </c>
      <c r="S404" s="95" t="e">
        <f t="shared" si="46"/>
        <v>#N/A</v>
      </c>
      <c r="T404" s="119" t="e">
        <f>+IF(J404=LOOKUP(J404,'CAFCO 300 IDIEM TABLAS'!$J$4:$J$40),'CALCULO MORTERO'!J404,MROUND('CALCULO MORTERO'!J404,10))</f>
        <v>#N/A</v>
      </c>
      <c r="U404" s="118">
        <f t="shared" si="47"/>
        <v>0</v>
      </c>
    </row>
    <row r="405" spans="1:21" s="36" customFormat="1" x14ac:dyDescent="0.25">
      <c r="A405" s="118">
        <f>+CUBICACION!D399</f>
        <v>0</v>
      </c>
      <c r="B405" s="819">
        <f>+CUBICACION!E399</f>
        <v>0</v>
      </c>
      <c r="C405" s="675">
        <f>+CUBICACION!F399</f>
        <v>0</v>
      </c>
      <c r="D405" s="118"/>
      <c r="E405" s="118"/>
      <c r="F405" s="820"/>
      <c r="G405" s="675">
        <f>+CUBICACION!J399</f>
        <v>0</v>
      </c>
      <c r="H405" s="118"/>
      <c r="I405" s="821">
        <f>+CUBICACION!L399</f>
        <v>0</v>
      </c>
      <c r="J405" s="64">
        <f>+CUBICACION!M399</f>
        <v>0</v>
      </c>
      <c r="K405" s="822" t="str">
        <f>+CUBICACION!N399</f>
        <v/>
      </c>
      <c r="L405" s="118">
        <f>+CUBICACION!O399</f>
        <v>0</v>
      </c>
      <c r="M405" s="823">
        <f>+CUBICACION!P399</f>
        <v>0</v>
      </c>
      <c r="N405" s="902">
        <f>ROUND(IF(AND(L405="Blaze Shield II",M405="Software Idiem",C405="IN",G405=4),((('BLAZE SHIELD II'!$D$4*('CALCULO MORTERO'!I405^2)+'BLAZE SHIELD II'!$D$5*'CALCULO MORTERO'!I405+'BLAZE SHIELD II'!$D$6)*LN(J405))+('BLAZE SHIELD II'!$D$7*('CALCULO MORTERO'!I405^2)+'BLAZE SHIELD II'!$D$8*'CALCULO MORTERO'!I405+'BLAZE SHIELD II'!$D$9)),0)+IF(AND(L405="Blaze Shield II",M405="Software Idiem",C405="Cj"),((('BLAZE SHIELD II'!$H$4*('CALCULO MORTERO'!I405^2)+'BLAZE SHIELD II'!$H$5*'CALCULO MORTERO'!I405+'BLAZE SHIELD II'!$H$6)*LN(J405))+('BLAZE SHIELD II'!$H$7*('CALCULO MORTERO'!I405^2)+'BLAZE SHIELD II'!$H$8*'CALCULO MORTERO'!I405+'BLAZE SHIELD II'!$H$9)),0)+IF(AND(L405="Blaze Shield II",M405="Software Idiem",C405="C"),((('BLAZE SHIELD II'!$L$4*('CALCULO MORTERO'!I405^2)+'BLAZE SHIELD II'!$L$5*'CALCULO MORTERO'!I405+'BLAZE SHIELD II'!$L$6)*LN(J405))+('BLAZE SHIELD II'!$L$7*('CALCULO MORTERO'!I405^2)+'BLAZE SHIELD II'!$L$8*'CALCULO MORTERO'!I405+'BLAZE SHIELD II'!$L$9)),0)+IF(AND(L405="Blaze Shield II",M405="Software Idiem",C405="L"),((('BLAZE SHIELD II'!$L$4*('CALCULO MORTERO'!I405^2)+'BLAZE SHIELD II'!$L$5*'CALCULO MORTERO'!I405+'BLAZE SHIELD II'!$L$6)*LN(J405))+('BLAZE SHIELD II'!$L$7*('CALCULO MORTERO'!I405^2)+'BLAZE SHIELD II'!$L$8*'CALCULO MORTERO'!I405+'BLAZE SHIELD II'!$L$9)),0)+IF(AND(L405="Blaze Shield II",M405="Software Idiem",C405="IN",G405=3),((('BLAZE SHIELD II'!$H$14*('CALCULO MORTERO'!I405^2)+'BLAZE SHIELD II'!$H$15*'CALCULO MORTERO'!I405+'BLAZE SHIELD II'!$H$16)*LN(J405))+('BLAZE SHIELD II'!$H$17*('CALCULO MORTERO'!I405^2)+'BLAZE SHIELD II'!$H$18*'CALCULO MORTERO'!I405+'BLAZE SHIELD II'!$H$19)),0),0)+ROUND(IF(AND(L405="Cafco 400",M405="Software Idiem",C405="IN",G405=4),((('CAFCO 400 '!$H$7*(J405^4)+'CAFCO 400 '!$H$8*(J405^3)+'CAFCO 400 '!$H$9*(J405^2)+'CAFCO 400 '!$H$10*J405+'CAFCO 400 '!$H$11)*U405^2)+(('CAFCO 400 '!$H$12*(J405^3)+'CAFCO 400 '!$H$13*(J405^2)+'CAFCO 400 '!$H$14*J405+'CAFCO 400 '!$H$15)*U405)+('CAFCO 400 '!$H$16*(J405^2)+'CAFCO 400 '!$H$17*J405+'CAFCO 400 '!$H$18)),0)+IF(AND(L405="Cafco 400",M405="Software Idiem",C405="Cj"),(((('CAFCO 400 '!$D$7*LN(J405)+'CAFCO 400 '!$D$8)*U405^2)+(('CAFCO 400 '!$D$9*LN(J405)+'CAFCO 400 '!$D$10)*U405)+('CAFCO 400 '!$D$11*LN(J405)+'CAFCO 400 '!$D$12))),0)+IF(AND(L405="Cafco 400",M405="Software Idiem",C405="C"),((('CAFCO 400 '!$L$7*(J405^3)+'CAFCO 400 '!$L$8*(J405^2)+'CAFCO 400 '!$L$9*J405+'CAFCO 400 '!$L$10)*U405^2)+(('CAFCO 400 '!$L$11*(J405^3)+'CAFCO 400 '!$L$12*(J405^2)+'CAFCO 400 '!$L$13*J405+'CAFCO 400 '!$L$14)*U405)+('CAFCO 400 '!$L$15*LN(J405)+'CAFCO 400 '!$L$16)),0)+IF(AND(L405="Cafco 400",M405="Software Idiem",C405="L"),((('CAFCO 400 '!$L$7*(J405^3)+'CAFCO 400 '!$L$8*(J405^2)+'CAFCO 400 '!$L$9*J405+'CAFCO 400 '!$L$10)*U405^2)+(('CAFCO 400 '!$L$11*(J405^3)+'CAFCO 400 '!$L$12*(J405^2)+'CAFCO 400 '!$L$13*J405+'CAFCO 400 '!$L$14)*U405)+('CAFCO 400 '!$L$15*LN(J405)+'CAFCO 400 '!$L$16)),0)+IF(AND(L405="Cafco 400",M405="Software Idiem",C405="IN",G405=3),((('CAFCO 400 '!$D$23*(J405^2)+'CAFCO 400 '!$D$24*(J405)+'CAFCO 400 '!$D$25)*U405^2)+(('CAFCO 400 '!$D$26*(J405^2)+'CAFCO 400 '!$D$27*J405+'CAFCO 400 '!$D$28)*U405)+('CAFCO 400 '!$D$29*(J405^2)+'CAFCO 400 '!$D$30*J405+'CAFCO 400 '!$D$31)),0),0)+IF(AND(L405="Cafco 300",J405&gt;=95,J405&lt;=240,C405="Cj",I405=90),VLOOKUP(T405,'CAFCO 300 IDIEM TABLAS'!$B$4:$D$23,2,FALSE),0)+IF(AND(L405="Cafco 300",J405&gt;=95,J405&lt;=240,C405="Cj",I405=120),VLOOKUP(T405,'CAFCO 300 IDIEM TABLAS'!$B$4:$D$23,3,FALSE),0)+IF(AND(L405="Cafco 300",J405&gt;=95,J405&lt;=400,G405=3,C405="IN",I405=90),VLOOKUP(T405,'CAFCO 300 IDIEM TABLAS'!$F$4:$H$35,2,FALSE),0)+IF(AND(L405="Cafco 300",J405&gt;=95,J405&lt;=400,G405=3,C405="IN",I405=120),VLOOKUP(T405,'CAFCO 300 IDIEM TABLAS'!$F$4:$H$35,3,FALSE),0)+IF(AND(L405="Cafco 300",J405&gt;=95,J405&lt;=450,G405=4,C405="IN",I405=90),VLOOKUP(T405,'CAFCO 300 IDIEM TABLAS'!$J$4:$L$40,2,FALSE),0)+IF(AND(L405="Cafco 300",J405&gt;=95,J405&lt;=450,G405=4,C405="IN",I405=120),VLOOKUP(T405,'CAFCO 300 IDIEM TABLAS'!$J$4:$L$40,3,FALSE),0)+IF(AND(M405="Ensayo Idiem",L405="Cafco 400",C405="IN",G405=4,I405=90),VLOOKUP(T405,'CAFCO 400 ENSAYO'!$B$7:$D$43,2,FALSE),0)+IF(AND(M405="Ensayo Idiem",L405="Cafco 400",C405="IN",G405=4,I405=120),VLOOKUP(T405,'CAFCO 400 ENSAYO'!$B$7:$D$43,3,FALSE),0)</f>
        <v>0</v>
      </c>
      <c r="O405" s="96">
        <f t="shared" si="48"/>
        <v>0</v>
      </c>
      <c r="P405" s="132" t="str">
        <f t="shared" si="43"/>
        <v>N/A</v>
      </c>
      <c r="Q405" s="132" t="str">
        <f t="shared" si="44"/>
        <v>N/A</v>
      </c>
      <c r="R405" s="132" t="str">
        <f t="shared" si="45"/>
        <v>NO CERT.</v>
      </c>
      <c r="S405" s="132" t="e">
        <f t="shared" si="46"/>
        <v>#N/A</v>
      </c>
      <c r="T405" s="133" t="e">
        <f>+IF(J405=LOOKUP(J405,'CAFCO 300 IDIEM TABLAS'!$J$4:$J$40),'CALCULO MORTERO'!J405,MROUND('CALCULO MORTERO'!J405,10))</f>
        <v>#N/A</v>
      </c>
      <c r="U405" s="134">
        <f t="shared" si="47"/>
        <v>0</v>
      </c>
    </row>
    <row r="406" spans="1:21" s="36" customFormat="1" x14ac:dyDescent="0.25">
      <c r="A406" s="118">
        <f>+CUBICACION!D400</f>
        <v>0</v>
      </c>
      <c r="B406" s="819">
        <f>+CUBICACION!E400</f>
        <v>0</v>
      </c>
      <c r="C406" s="675">
        <f>+CUBICACION!F400</f>
        <v>0</v>
      </c>
      <c r="D406" s="118"/>
      <c r="E406" s="118"/>
      <c r="F406" s="820"/>
      <c r="G406" s="675">
        <f>+CUBICACION!J400</f>
        <v>0</v>
      </c>
      <c r="H406" s="118"/>
      <c r="I406" s="821">
        <f>+CUBICACION!L400</f>
        <v>0</v>
      </c>
      <c r="J406" s="64">
        <f>+CUBICACION!M400</f>
        <v>0</v>
      </c>
      <c r="K406" s="822" t="str">
        <f>+CUBICACION!N400</f>
        <v/>
      </c>
      <c r="L406" s="118">
        <f>+CUBICACION!O400</f>
        <v>0</v>
      </c>
      <c r="M406" s="823">
        <f>+CUBICACION!P400</f>
        <v>0</v>
      </c>
      <c r="N406" s="902">
        <f>ROUND(IF(AND(L406="Blaze Shield II",M406="Software Idiem",C406="IN",G406=4),((('BLAZE SHIELD II'!$D$4*('CALCULO MORTERO'!I406^2)+'BLAZE SHIELD II'!$D$5*'CALCULO MORTERO'!I406+'BLAZE SHIELD II'!$D$6)*LN(J406))+('BLAZE SHIELD II'!$D$7*('CALCULO MORTERO'!I406^2)+'BLAZE SHIELD II'!$D$8*'CALCULO MORTERO'!I406+'BLAZE SHIELD II'!$D$9)),0)+IF(AND(L406="Blaze Shield II",M406="Software Idiem",C406="Cj"),((('BLAZE SHIELD II'!$H$4*('CALCULO MORTERO'!I406^2)+'BLAZE SHIELD II'!$H$5*'CALCULO MORTERO'!I406+'BLAZE SHIELD II'!$H$6)*LN(J406))+('BLAZE SHIELD II'!$H$7*('CALCULO MORTERO'!I406^2)+'BLAZE SHIELD II'!$H$8*'CALCULO MORTERO'!I406+'BLAZE SHIELD II'!$H$9)),0)+IF(AND(L406="Blaze Shield II",M406="Software Idiem",C406="C"),((('BLAZE SHIELD II'!$L$4*('CALCULO MORTERO'!I406^2)+'BLAZE SHIELD II'!$L$5*'CALCULO MORTERO'!I406+'BLAZE SHIELD II'!$L$6)*LN(J406))+('BLAZE SHIELD II'!$L$7*('CALCULO MORTERO'!I406^2)+'BLAZE SHIELD II'!$L$8*'CALCULO MORTERO'!I406+'BLAZE SHIELD II'!$L$9)),0)+IF(AND(L406="Blaze Shield II",M406="Software Idiem",C406="L"),((('BLAZE SHIELD II'!$L$4*('CALCULO MORTERO'!I406^2)+'BLAZE SHIELD II'!$L$5*'CALCULO MORTERO'!I406+'BLAZE SHIELD II'!$L$6)*LN(J406))+('BLAZE SHIELD II'!$L$7*('CALCULO MORTERO'!I406^2)+'BLAZE SHIELD II'!$L$8*'CALCULO MORTERO'!I406+'BLAZE SHIELD II'!$L$9)),0)+IF(AND(L406="Blaze Shield II",M406="Software Idiem",C406="IN",G406=3),((('BLAZE SHIELD II'!$H$14*('CALCULO MORTERO'!I406^2)+'BLAZE SHIELD II'!$H$15*'CALCULO MORTERO'!I406+'BLAZE SHIELD II'!$H$16)*LN(J406))+('BLAZE SHIELD II'!$H$17*('CALCULO MORTERO'!I406^2)+'BLAZE SHIELD II'!$H$18*'CALCULO MORTERO'!I406+'BLAZE SHIELD II'!$H$19)),0),0)+ROUND(IF(AND(L406="Cafco 400",M406="Software Idiem",C406="IN",G406=4),((('CAFCO 400 '!$H$7*(J406^4)+'CAFCO 400 '!$H$8*(J406^3)+'CAFCO 400 '!$H$9*(J406^2)+'CAFCO 400 '!$H$10*J406+'CAFCO 400 '!$H$11)*U406^2)+(('CAFCO 400 '!$H$12*(J406^3)+'CAFCO 400 '!$H$13*(J406^2)+'CAFCO 400 '!$H$14*J406+'CAFCO 400 '!$H$15)*U406)+('CAFCO 400 '!$H$16*(J406^2)+'CAFCO 400 '!$H$17*J406+'CAFCO 400 '!$H$18)),0)+IF(AND(L406="Cafco 400",M406="Software Idiem",C406="Cj"),(((('CAFCO 400 '!$D$7*LN(J406)+'CAFCO 400 '!$D$8)*U406^2)+(('CAFCO 400 '!$D$9*LN(J406)+'CAFCO 400 '!$D$10)*U406)+('CAFCO 400 '!$D$11*LN(J406)+'CAFCO 400 '!$D$12))),0)+IF(AND(L406="Cafco 400",M406="Software Idiem",C406="C"),((('CAFCO 400 '!$L$7*(J406^3)+'CAFCO 400 '!$L$8*(J406^2)+'CAFCO 400 '!$L$9*J406+'CAFCO 400 '!$L$10)*U406^2)+(('CAFCO 400 '!$L$11*(J406^3)+'CAFCO 400 '!$L$12*(J406^2)+'CAFCO 400 '!$L$13*J406+'CAFCO 400 '!$L$14)*U406)+('CAFCO 400 '!$L$15*LN(J406)+'CAFCO 400 '!$L$16)),0)+IF(AND(L406="Cafco 400",M406="Software Idiem",C406="L"),((('CAFCO 400 '!$L$7*(J406^3)+'CAFCO 400 '!$L$8*(J406^2)+'CAFCO 400 '!$L$9*J406+'CAFCO 400 '!$L$10)*U406^2)+(('CAFCO 400 '!$L$11*(J406^3)+'CAFCO 400 '!$L$12*(J406^2)+'CAFCO 400 '!$L$13*J406+'CAFCO 400 '!$L$14)*U406)+('CAFCO 400 '!$L$15*LN(J406)+'CAFCO 400 '!$L$16)),0)+IF(AND(L406="Cafco 400",M406="Software Idiem",C406="IN",G406=3),((('CAFCO 400 '!$D$23*(J406^2)+'CAFCO 400 '!$D$24*(J406)+'CAFCO 400 '!$D$25)*U406^2)+(('CAFCO 400 '!$D$26*(J406^2)+'CAFCO 400 '!$D$27*J406+'CAFCO 400 '!$D$28)*U406)+('CAFCO 400 '!$D$29*(J406^2)+'CAFCO 400 '!$D$30*J406+'CAFCO 400 '!$D$31)),0),0)+IF(AND(L406="Cafco 300",J406&gt;=95,J406&lt;=240,C406="Cj",I406=90),VLOOKUP(T406,'CAFCO 300 IDIEM TABLAS'!$B$4:$D$23,2,FALSE),0)+IF(AND(L406="Cafco 300",J406&gt;=95,J406&lt;=240,C406="Cj",I406=120),VLOOKUP(T406,'CAFCO 300 IDIEM TABLAS'!$B$4:$D$23,3,FALSE),0)+IF(AND(L406="Cafco 300",J406&gt;=95,J406&lt;=400,G406=3,C406="IN",I406=90),VLOOKUP(T406,'CAFCO 300 IDIEM TABLAS'!$F$4:$H$35,2,FALSE),0)+IF(AND(L406="Cafco 300",J406&gt;=95,J406&lt;=400,G406=3,C406="IN",I406=120),VLOOKUP(T406,'CAFCO 300 IDIEM TABLAS'!$F$4:$H$35,3,FALSE),0)+IF(AND(L406="Cafco 300",J406&gt;=95,J406&lt;=450,G406=4,C406="IN",I406=90),VLOOKUP(T406,'CAFCO 300 IDIEM TABLAS'!$J$4:$L$40,2,FALSE),0)+IF(AND(L406="Cafco 300",J406&gt;=95,J406&lt;=450,G406=4,C406="IN",I406=120),VLOOKUP(T406,'CAFCO 300 IDIEM TABLAS'!$J$4:$L$40,3,FALSE),0)+IF(AND(M406="Ensayo Idiem",L406="Cafco 400",C406="IN",G406=4,I406=90),VLOOKUP(T406,'CAFCO 400 ENSAYO'!$B$7:$D$43,2,FALSE),0)+IF(AND(M406="Ensayo Idiem",L406="Cafco 400",C406="IN",G406=4,I406=120),VLOOKUP(T406,'CAFCO 400 ENSAYO'!$B$7:$D$43,3,FALSE),0)</f>
        <v>0</v>
      </c>
      <c r="O406" s="96">
        <f t="shared" si="48"/>
        <v>0</v>
      </c>
      <c r="P406" s="95" t="str">
        <f t="shared" si="43"/>
        <v>N/A</v>
      </c>
      <c r="Q406" s="95" t="str">
        <f t="shared" si="44"/>
        <v>N/A</v>
      </c>
      <c r="R406" s="95" t="str">
        <f t="shared" si="45"/>
        <v>NO CERT.</v>
      </c>
      <c r="S406" s="95" t="e">
        <f t="shared" si="46"/>
        <v>#N/A</v>
      </c>
      <c r="T406" s="119" t="e">
        <f>+IF(J406=LOOKUP(J406,'CAFCO 300 IDIEM TABLAS'!$J$4:$J$40),'CALCULO MORTERO'!J406,MROUND('CALCULO MORTERO'!J406,10))</f>
        <v>#N/A</v>
      </c>
      <c r="U406" s="118">
        <f t="shared" si="47"/>
        <v>0</v>
      </c>
    </row>
    <row r="407" spans="1:21" s="36" customFormat="1" x14ac:dyDescent="0.25">
      <c r="A407" s="118">
        <f>+CUBICACION!D401</f>
        <v>0</v>
      </c>
      <c r="B407" s="819">
        <f>+CUBICACION!E401</f>
        <v>0</v>
      </c>
      <c r="C407" s="675">
        <f>+CUBICACION!F401</f>
        <v>0</v>
      </c>
      <c r="D407" s="118"/>
      <c r="E407" s="118"/>
      <c r="F407" s="820"/>
      <c r="G407" s="675">
        <f>+CUBICACION!J401</f>
        <v>0</v>
      </c>
      <c r="H407" s="118"/>
      <c r="I407" s="821">
        <f>+CUBICACION!L401</f>
        <v>0</v>
      </c>
      <c r="J407" s="64">
        <f>+CUBICACION!M401</f>
        <v>0</v>
      </c>
      <c r="K407" s="822" t="str">
        <f>+CUBICACION!N401</f>
        <v/>
      </c>
      <c r="L407" s="118">
        <f>+CUBICACION!O401</f>
        <v>0</v>
      </c>
      <c r="M407" s="823">
        <f>+CUBICACION!P401</f>
        <v>0</v>
      </c>
      <c r="N407" s="902">
        <f>ROUND(IF(AND(L407="Blaze Shield II",M407="Software Idiem",C407="IN",G407=4),((('BLAZE SHIELD II'!$D$4*('CALCULO MORTERO'!I407^2)+'BLAZE SHIELD II'!$D$5*'CALCULO MORTERO'!I407+'BLAZE SHIELD II'!$D$6)*LN(J407))+('BLAZE SHIELD II'!$D$7*('CALCULO MORTERO'!I407^2)+'BLAZE SHIELD II'!$D$8*'CALCULO MORTERO'!I407+'BLAZE SHIELD II'!$D$9)),0)+IF(AND(L407="Blaze Shield II",M407="Software Idiem",C407="Cj"),((('BLAZE SHIELD II'!$H$4*('CALCULO MORTERO'!I407^2)+'BLAZE SHIELD II'!$H$5*'CALCULO MORTERO'!I407+'BLAZE SHIELD II'!$H$6)*LN(J407))+('BLAZE SHIELD II'!$H$7*('CALCULO MORTERO'!I407^2)+'BLAZE SHIELD II'!$H$8*'CALCULO MORTERO'!I407+'BLAZE SHIELD II'!$H$9)),0)+IF(AND(L407="Blaze Shield II",M407="Software Idiem",C407="C"),((('BLAZE SHIELD II'!$L$4*('CALCULO MORTERO'!I407^2)+'BLAZE SHIELD II'!$L$5*'CALCULO MORTERO'!I407+'BLAZE SHIELD II'!$L$6)*LN(J407))+('BLAZE SHIELD II'!$L$7*('CALCULO MORTERO'!I407^2)+'BLAZE SHIELD II'!$L$8*'CALCULO MORTERO'!I407+'BLAZE SHIELD II'!$L$9)),0)+IF(AND(L407="Blaze Shield II",M407="Software Idiem",C407="L"),((('BLAZE SHIELD II'!$L$4*('CALCULO MORTERO'!I407^2)+'BLAZE SHIELD II'!$L$5*'CALCULO MORTERO'!I407+'BLAZE SHIELD II'!$L$6)*LN(J407))+('BLAZE SHIELD II'!$L$7*('CALCULO MORTERO'!I407^2)+'BLAZE SHIELD II'!$L$8*'CALCULO MORTERO'!I407+'BLAZE SHIELD II'!$L$9)),0)+IF(AND(L407="Blaze Shield II",M407="Software Idiem",C407="IN",G407=3),((('BLAZE SHIELD II'!$H$14*('CALCULO MORTERO'!I407^2)+'BLAZE SHIELD II'!$H$15*'CALCULO MORTERO'!I407+'BLAZE SHIELD II'!$H$16)*LN(J407))+('BLAZE SHIELD II'!$H$17*('CALCULO MORTERO'!I407^2)+'BLAZE SHIELD II'!$H$18*'CALCULO MORTERO'!I407+'BLAZE SHIELD II'!$H$19)),0),0)+ROUND(IF(AND(L407="Cafco 400",M407="Software Idiem",C407="IN",G407=4),((('CAFCO 400 '!$H$7*(J407^4)+'CAFCO 400 '!$H$8*(J407^3)+'CAFCO 400 '!$H$9*(J407^2)+'CAFCO 400 '!$H$10*J407+'CAFCO 400 '!$H$11)*U407^2)+(('CAFCO 400 '!$H$12*(J407^3)+'CAFCO 400 '!$H$13*(J407^2)+'CAFCO 400 '!$H$14*J407+'CAFCO 400 '!$H$15)*U407)+('CAFCO 400 '!$H$16*(J407^2)+'CAFCO 400 '!$H$17*J407+'CAFCO 400 '!$H$18)),0)+IF(AND(L407="Cafco 400",M407="Software Idiem",C407="Cj"),(((('CAFCO 400 '!$D$7*LN(J407)+'CAFCO 400 '!$D$8)*U407^2)+(('CAFCO 400 '!$D$9*LN(J407)+'CAFCO 400 '!$D$10)*U407)+('CAFCO 400 '!$D$11*LN(J407)+'CAFCO 400 '!$D$12))),0)+IF(AND(L407="Cafco 400",M407="Software Idiem",C407="C"),((('CAFCO 400 '!$L$7*(J407^3)+'CAFCO 400 '!$L$8*(J407^2)+'CAFCO 400 '!$L$9*J407+'CAFCO 400 '!$L$10)*U407^2)+(('CAFCO 400 '!$L$11*(J407^3)+'CAFCO 400 '!$L$12*(J407^2)+'CAFCO 400 '!$L$13*J407+'CAFCO 400 '!$L$14)*U407)+('CAFCO 400 '!$L$15*LN(J407)+'CAFCO 400 '!$L$16)),0)+IF(AND(L407="Cafco 400",M407="Software Idiem",C407="L"),((('CAFCO 400 '!$L$7*(J407^3)+'CAFCO 400 '!$L$8*(J407^2)+'CAFCO 400 '!$L$9*J407+'CAFCO 400 '!$L$10)*U407^2)+(('CAFCO 400 '!$L$11*(J407^3)+'CAFCO 400 '!$L$12*(J407^2)+'CAFCO 400 '!$L$13*J407+'CAFCO 400 '!$L$14)*U407)+('CAFCO 400 '!$L$15*LN(J407)+'CAFCO 400 '!$L$16)),0)+IF(AND(L407="Cafco 400",M407="Software Idiem",C407="IN",G407=3),((('CAFCO 400 '!$D$23*(J407^2)+'CAFCO 400 '!$D$24*(J407)+'CAFCO 400 '!$D$25)*U407^2)+(('CAFCO 400 '!$D$26*(J407^2)+'CAFCO 400 '!$D$27*J407+'CAFCO 400 '!$D$28)*U407)+('CAFCO 400 '!$D$29*(J407^2)+'CAFCO 400 '!$D$30*J407+'CAFCO 400 '!$D$31)),0),0)+IF(AND(L407="Cafco 300",J407&gt;=95,J407&lt;=240,C407="Cj",I407=90),VLOOKUP(T407,'CAFCO 300 IDIEM TABLAS'!$B$4:$D$23,2,FALSE),0)+IF(AND(L407="Cafco 300",J407&gt;=95,J407&lt;=240,C407="Cj",I407=120),VLOOKUP(T407,'CAFCO 300 IDIEM TABLAS'!$B$4:$D$23,3,FALSE),0)+IF(AND(L407="Cafco 300",J407&gt;=95,J407&lt;=400,G407=3,C407="IN",I407=90),VLOOKUP(T407,'CAFCO 300 IDIEM TABLAS'!$F$4:$H$35,2,FALSE),0)+IF(AND(L407="Cafco 300",J407&gt;=95,J407&lt;=400,G407=3,C407="IN",I407=120),VLOOKUP(T407,'CAFCO 300 IDIEM TABLAS'!$F$4:$H$35,3,FALSE),0)+IF(AND(L407="Cafco 300",J407&gt;=95,J407&lt;=450,G407=4,C407="IN",I407=90),VLOOKUP(T407,'CAFCO 300 IDIEM TABLAS'!$J$4:$L$40,2,FALSE),0)+IF(AND(L407="Cafco 300",J407&gt;=95,J407&lt;=450,G407=4,C407="IN",I407=120),VLOOKUP(T407,'CAFCO 300 IDIEM TABLAS'!$J$4:$L$40,3,FALSE),0)+IF(AND(M407="Ensayo Idiem",L407="Cafco 400",C407="IN",G407=4,I407=90),VLOOKUP(T407,'CAFCO 400 ENSAYO'!$B$7:$D$43,2,FALSE),0)+IF(AND(M407="Ensayo Idiem",L407="Cafco 400",C407="IN",G407=4,I407=120),VLOOKUP(T407,'CAFCO 400 ENSAYO'!$B$7:$D$43,3,FALSE),0)</f>
        <v>0</v>
      </c>
      <c r="O407" s="96">
        <f t="shared" si="48"/>
        <v>0</v>
      </c>
      <c r="P407" s="132" t="str">
        <f t="shared" si="43"/>
        <v>N/A</v>
      </c>
      <c r="Q407" s="132" t="str">
        <f t="shared" si="44"/>
        <v>N/A</v>
      </c>
      <c r="R407" s="132" t="str">
        <f t="shared" si="45"/>
        <v>NO CERT.</v>
      </c>
      <c r="S407" s="132" t="e">
        <f t="shared" si="46"/>
        <v>#N/A</v>
      </c>
      <c r="T407" s="133" t="e">
        <f>+IF(J407=LOOKUP(J407,'CAFCO 300 IDIEM TABLAS'!$J$4:$J$40),'CALCULO MORTERO'!J407,MROUND('CALCULO MORTERO'!J407,10))</f>
        <v>#N/A</v>
      </c>
      <c r="U407" s="134">
        <f t="shared" si="47"/>
        <v>0</v>
      </c>
    </row>
    <row r="408" spans="1:21" s="36" customFormat="1" x14ac:dyDescent="0.25">
      <c r="A408" s="118">
        <f>+CUBICACION!D402</f>
        <v>0</v>
      </c>
      <c r="B408" s="819">
        <f>+CUBICACION!E402</f>
        <v>0</v>
      </c>
      <c r="C408" s="675">
        <f>+CUBICACION!F402</f>
        <v>0</v>
      </c>
      <c r="D408" s="118"/>
      <c r="E408" s="118"/>
      <c r="F408" s="820"/>
      <c r="G408" s="675">
        <f>+CUBICACION!J402</f>
        <v>0</v>
      </c>
      <c r="H408" s="118"/>
      <c r="I408" s="821">
        <f>+CUBICACION!L402</f>
        <v>0</v>
      </c>
      <c r="J408" s="64">
        <f>+CUBICACION!M402</f>
        <v>0</v>
      </c>
      <c r="K408" s="822" t="str">
        <f>+CUBICACION!N402</f>
        <v/>
      </c>
      <c r="L408" s="118">
        <f>+CUBICACION!O402</f>
        <v>0</v>
      </c>
      <c r="M408" s="823">
        <f>+CUBICACION!P402</f>
        <v>0</v>
      </c>
      <c r="N408" s="902">
        <f>ROUND(IF(AND(L408="Blaze Shield II",M408="Software Idiem",C408="IN",G408=4),((('BLAZE SHIELD II'!$D$4*('CALCULO MORTERO'!I408^2)+'BLAZE SHIELD II'!$D$5*'CALCULO MORTERO'!I408+'BLAZE SHIELD II'!$D$6)*LN(J408))+('BLAZE SHIELD II'!$D$7*('CALCULO MORTERO'!I408^2)+'BLAZE SHIELD II'!$D$8*'CALCULO MORTERO'!I408+'BLAZE SHIELD II'!$D$9)),0)+IF(AND(L408="Blaze Shield II",M408="Software Idiem",C408="Cj"),((('BLAZE SHIELD II'!$H$4*('CALCULO MORTERO'!I408^2)+'BLAZE SHIELD II'!$H$5*'CALCULO MORTERO'!I408+'BLAZE SHIELD II'!$H$6)*LN(J408))+('BLAZE SHIELD II'!$H$7*('CALCULO MORTERO'!I408^2)+'BLAZE SHIELD II'!$H$8*'CALCULO MORTERO'!I408+'BLAZE SHIELD II'!$H$9)),0)+IF(AND(L408="Blaze Shield II",M408="Software Idiem",C408="C"),((('BLAZE SHIELD II'!$L$4*('CALCULO MORTERO'!I408^2)+'BLAZE SHIELD II'!$L$5*'CALCULO MORTERO'!I408+'BLAZE SHIELD II'!$L$6)*LN(J408))+('BLAZE SHIELD II'!$L$7*('CALCULO MORTERO'!I408^2)+'BLAZE SHIELD II'!$L$8*'CALCULO MORTERO'!I408+'BLAZE SHIELD II'!$L$9)),0)+IF(AND(L408="Blaze Shield II",M408="Software Idiem",C408="L"),((('BLAZE SHIELD II'!$L$4*('CALCULO MORTERO'!I408^2)+'BLAZE SHIELD II'!$L$5*'CALCULO MORTERO'!I408+'BLAZE SHIELD II'!$L$6)*LN(J408))+('BLAZE SHIELD II'!$L$7*('CALCULO MORTERO'!I408^2)+'BLAZE SHIELD II'!$L$8*'CALCULO MORTERO'!I408+'BLAZE SHIELD II'!$L$9)),0)+IF(AND(L408="Blaze Shield II",M408="Software Idiem",C408="IN",G408=3),((('BLAZE SHIELD II'!$H$14*('CALCULO MORTERO'!I408^2)+'BLAZE SHIELD II'!$H$15*'CALCULO MORTERO'!I408+'BLAZE SHIELD II'!$H$16)*LN(J408))+('BLAZE SHIELD II'!$H$17*('CALCULO MORTERO'!I408^2)+'BLAZE SHIELD II'!$H$18*'CALCULO MORTERO'!I408+'BLAZE SHIELD II'!$H$19)),0),0)+ROUND(IF(AND(L408="Cafco 400",M408="Software Idiem",C408="IN",G408=4),((('CAFCO 400 '!$H$7*(J408^4)+'CAFCO 400 '!$H$8*(J408^3)+'CAFCO 400 '!$H$9*(J408^2)+'CAFCO 400 '!$H$10*J408+'CAFCO 400 '!$H$11)*U408^2)+(('CAFCO 400 '!$H$12*(J408^3)+'CAFCO 400 '!$H$13*(J408^2)+'CAFCO 400 '!$H$14*J408+'CAFCO 400 '!$H$15)*U408)+('CAFCO 400 '!$H$16*(J408^2)+'CAFCO 400 '!$H$17*J408+'CAFCO 400 '!$H$18)),0)+IF(AND(L408="Cafco 400",M408="Software Idiem",C408="Cj"),(((('CAFCO 400 '!$D$7*LN(J408)+'CAFCO 400 '!$D$8)*U408^2)+(('CAFCO 400 '!$D$9*LN(J408)+'CAFCO 400 '!$D$10)*U408)+('CAFCO 400 '!$D$11*LN(J408)+'CAFCO 400 '!$D$12))),0)+IF(AND(L408="Cafco 400",M408="Software Idiem",C408="C"),((('CAFCO 400 '!$L$7*(J408^3)+'CAFCO 400 '!$L$8*(J408^2)+'CAFCO 400 '!$L$9*J408+'CAFCO 400 '!$L$10)*U408^2)+(('CAFCO 400 '!$L$11*(J408^3)+'CAFCO 400 '!$L$12*(J408^2)+'CAFCO 400 '!$L$13*J408+'CAFCO 400 '!$L$14)*U408)+('CAFCO 400 '!$L$15*LN(J408)+'CAFCO 400 '!$L$16)),0)+IF(AND(L408="Cafco 400",M408="Software Idiem",C408="L"),((('CAFCO 400 '!$L$7*(J408^3)+'CAFCO 400 '!$L$8*(J408^2)+'CAFCO 400 '!$L$9*J408+'CAFCO 400 '!$L$10)*U408^2)+(('CAFCO 400 '!$L$11*(J408^3)+'CAFCO 400 '!$L$12*(J408^2)+'CAFCO 400 '!$L$13*J408+'CAFCO 400 '!$L$14)*U408)+('CAFCO 400 '!$L$15*LN(J408)+'CAFCO 400 '!$L$16)),0)+IF(AND(L408="Cafco 400",M408="Software Idiem",C408="IN",G408=3),((('CAFCO 400 '!$D$23*(J408^2)+'CAFCO 400 '!$D$24*(J408)+'CAFCO 400 '!$D$25)*U408^2)+(('CAFCO 400 '!$D$26*(J408^2)+'CAFCO 400 '!$D$27*J408+'CAFCO 400 '!$D$28)*U408)+('CAFCO 400 '!$D$29*(J408^2)+'CAFCO 400 '!$D$30*J408+'CAFCO 400 '!$D$31)),0),0)+IF(AND(L408="Cafco 300",J408&gt;=95,J408&lt;=240,C408="Cj",I408=90),VLOOKUP(T408,'CAFCO 300 IDIEM TABLAS'!$B$4:$D$23,2,FALSE),0)+IF(AND(L408="Cafco 300",J408&gt;=95,J408&lt;=240,C408="Cj",I408=120),VLOOKUP(T408,'CAFCO 300 IDIEM TABLAS'!$B$4:$D$23,3,FALSE),0)+IF(AND(L408="Cafco 300",J408&gt;=95,J408&lt;=400,G408=3,C408="IN",I408=90),VLOOKUP(T408,'CAFCO 300 IDIEM TABLAS'!$F$4:$H$35,2,FALSE),0)+IF(AND(L408="Cafco 300",J408&gt;=95,J408&lt;=400,G408=3,C408="IN",I408=120),VLOOKUP(T408,'CAFCO 300 IDIEM TABLAS'!$F$4:$H$35,3,FALSE),0)+IF(AND(L408="Cafco 300",J408&gt;=95,J408&lt;=450,G408=4,C408="IN",I408=90),VLOOKUP(T408,'CAFCO 300 IDIEM TABLAS'!$J$4:$L$40,2,FALSE),0)+IF(AND(L408="Cafco 300",J408&gt;=95,J408&lt;=450,G408=4,C408="IN",I408=120),VLOOKUP(T408,'CAFCO 300 IDIEM TABLAS'!$J$4:$L$40,3,FALSE),0)+IF(AND(M408="Ensayo Idiem",L408="Cafco 400",C408="IN",G408=4,I408=90),VLOOKUP(T408,'CAFCO 400 ENSAYO'!$B$7:$D$43,2,FALSE),0)+IF(AND(M408="Ensayo Idiem",L408="Cafco 400",C408="IN",G408=4,I408=120),VLOOKUP(T408,'CAFCO 400 ENSAYO'!$B$7:$D$43,3,FALSE),0)</f>
        <v>0</v>
      </c>
      <c r="O408" s="96">
        <f t="shared" si="48"/>
        <v>0</v>
      </c>
      <c r="P408" s="95" t="str">
        <f t="shared" si="43"/>
        <v>N/A</v>
      </c>
      <c r="Q408" s="95" t="str">
        <f t="shared" si="44"/>
        <v>N/A</v>
      </c>
      <c r="R408" s="95" t="str">
        <f t="shared" si="45"/>
        <v>NO CERT.</v>
      </c>
      <c r="S408" s="95" t="e">
        <f t="shared" si="46"/>
        <v>#N/A</v>
      </c>
      <c r="T408" s="119" t="e">
        <f>+IF(J408=LOOKUP(J408,'CAFCO 300 IDIEM TABLAS'!$J$4:$J$40),'CALCULO MORTERO'!J408,MROUND('CALCULO MORTERO'!J408,10))</f>
        <v>#N/A</v>
      </c>
      <c r="U408" s="118">
        <f t="shared" si="47"/>
        <v>0</v>
      </c>
    </row>
    <row r="409" spans="1:21" s="36" customFormat="1" x14ac:dyDescent="0.25">
      <c r="A409" s="118">
        <f>+CUBICACION!D403</f>
        <v>0</v>
      </c>
      <c r="B409" s="819">
        <f>+CUBICACION!E403</f>
        <v>0</v>
      </c>
      <c r="C409" s="675">
        <f>+CUBICACION!F403</f>
        <v>0</v>
      </c>
      <c r="D409" s="118"/>
      <c r="E409" s="118"/>
      <c r="F409" s="820"/>
      <c r="G409" s="675">
        <f>+CUBICACION!J403</f>
        <v>0</v>
      </c>
      <c r="H409" s="118"/>
      <c r="I409" s="821">
        <f>+CUBICACION!L403</f>
        <v>0</v>
      </c>
      <c r="J409" s="64">
        <f>+CUBICACION!M403</f>
        <v>0</v>
      </c>
      <c r="K409" s="822" t="str">
        <f>+CUBICACION!N403</f>
        <v/>
      </c>
      <c r="L409" s="118">
        <f>+CUBICACION!O403</f>
        <v>0</v>
      </c>
      <c r="M409" s="823">
        <f>+CUBICACION!P403</f>
        <v>0</v>
      </c>
      <c r="N409" s="902">
        <f>ROUND(IF(AND(L409="Blaze Shield II",M409="Software Idiem",C409="IN",G409=4),((('BLAZE SHIELD II'!$D$4*('CALCULO MORTERO'!I409^2)+'BLAZE SHIELD II'!$D$5*'CALCULO MORTERO'!I409+'BLAZE SHIELD II'!$D$6)*LN(J409))+('BLAZE SHIELD II'!$D$7*('CALCULO MORTERO'!I409^2)+'BLAZE SHIELD II'!$D$8*'CALCULO MORTERO'!I409+'BLAZE SHIELD II'!$D$9)),0)+IF(AND(L409="Blaze Shield II",M409="Software Idiem",C409="Cj"),((('BLAZE SHIELD II'!$H$4*('CALCULO MORTERO'!I409^2)+'BLAZE SHIELD II'!$H$5*'CALCULO MORTERO'!I409+'BLAZE SHIELD II'!$H$6)*LN(J409))+('BLAZE SHIELD II'!$H$7*('CALCULO MORTERO'!I409^2)+'BLAZE SHIELD II'!$H$8*'CALCULO MORTERO'!I409+'BLAZE SHIELD II'!$H$9)),0)+IF(AND(L409="Blaze Shield II",M409="Software Idiem",C409="C"),((('BLAZE SHIELD II'!$L$4*('CALCULO MORTERO'!I409^2)+'BLAZE SHIELD II'!$L$5*'CALCULO MORTERO'!I409+'BLAZE SHIELD II'!$L$6)*LN(J409))+('BLAZE SHIELD II'!$L$7*('CALCULO MORTERO'!I409^2)+'BLAZE SHIELD II'!$L$8*'CALCULO MORTERO'!I409+'BLAZE SHIELD II'!$L$9)),0)+IF(AND(L409="Blaze Shield II",M409="Software Idiem",C409="L"),((('BLAZE SHIELD II'!$L$4*('CALCULO MORTERO'!I409^2)+'BLAZE SHIELD II'!$L$5*'CALCULO MORTERO'!I409+'BLAZE SHIELD II'!$L$6)*LN(J409))+('BLAZE SHIELD II'!$L$7*('CALCULO MORTERO'!I409^2)+'BLAZE SHIELD II'!$L$8*'CALCULO MORTERO'!I409+'BLAZE SHIELD II'!$L$9)),0)+IF(AND(L409="Blaze Shield II",M409="Software Idiem",C409="IN",G409=3),((('BLAZE SHIELD II'!$H$14*('CALCULO MORTERO'!I409^2)+'BLAZE SHIELD II'!$H$15*'CALCULO MORTERO'!I409+'BLAZE SHIELD II'!$H$16)*LN(J409))+('BLAZE SHIELD II'!$H$17*('CALCULO MORTERO'!I409^2)+'BLAZE SHIELD II'!$H$18*'CALCULO MORTERO'!I409+'BLAZE SHIELD II'!$H$19)),0),0)+ROUND(IF(AND(L409="Cafco 400",M409="Software Idiem",C409="IN",G409=4),((('CAFCO 400 '!$H$7*(J409^4)+'CAFCO 400 '!$H$8*(J409^3)+'CAFCO 400 '!$H$9*(J409^2)+'CAFCO 400 '!$H$10*J409+'CAFCO 400 '!$H$11)*U409^2)+(('CAFCO 400 '!$H$12*(J409^3)+'CAFCO 400 '!$H$13*(J409^2)+'CAFCO 400 '!$H$14*J409+'CAFCO 400 '!$H$15)*U409)+('CAFCO 400 '!$H$16*(J409^2)+'CAFCO 400 '!$H$17*J409+'CAFCO 400 '!$H$18)),0)+IF(AND(L409="Cafco 400",M409="Software Idiem",C409="Cj"),(((('CAFCO 400 '!$D$7*LN(J409)+'CAFCO 400 '!$D$8)*U409^2)+(('CAFCO 400 '!$D$9*LN(J409)+'CAFCO 400 '!$D$10)*U409)+('CAFCO 400 '!$D$11*LN(J409)+'CAFCO 400 '!$D$12))),0)+IF(AND(L409="Cafco 400",M409="Software Idiem",C409="C"),((('CAFCO 400 '!$L$7*(J409^3)+'CAFCO 400 '!$L$8*(J409^2)+'CAFCO 400 '!$L$9*J409+'CAFCO 400 '!$L$10)*U409^2)+(('CAFCO 400 '!$L$11*(J409^3)+'CAFCO 400 '!$L$12*(J409^2)+'CAFCO 400 '!$L$13*J409+'CAFCO 400 '!$L$14)*U409)+('CAFCO 400 '!$L$15*LN(J409)+'CAFCO 400 '!$L$16)),0)+IF(AND(L409="Cafco 400",M409="Software Idiem",C409="L"),((('CAFCO 400 '!$L$7*(J409^3)+'CAFCO 400 '!$L$8*(J409^2)+'CAFCO 400 '!$L$9*J409+'CAFCO 400 '!$L$10)*U409^2)+(('CAFCO 400 '!$L$11*(J409^3)+'CAFCO 400 '!$L$12*(J409^2)+'CAFCO 400 '!$L$13*J409+'CAFCO 400 '!$L$14)*U409)+('CAFCO 400 '!$L$15*LN(J409)+'CAFCO 400 '!$L$16)),0)+IF(AND(L409="Cafco 400",M409="Software Idiem",C409="IN",G409=3),((('CAFCO 400 '!$D$23*(J409^2)+'CAFCO 400 '!$D$24*(J409)+'CAFCO 400 '!$D$25)*U409^2)+(('CAFCO 400 '!$D$26*(J409^2)+'CAFCO 400 '!$D$27*J409+'CAFCO 400 '!$D$28)*U409)+('CAFCO 400 '!$D$29*(J409^2)+'CAFCO 400 '!$D$30*J409+'CAFCO 400 '!$D$31)),0),0)+IF(AND(L409="Cafco 300",J409&gt;=95,J409&lt;=240,C409="Cj",I409=90),VLOOKUP(T409,'CAFCO 300 IDIEM TABLAS'!$B$4:$D$23,2,FALSE),0)+IF(AND(L409="Cafco 300",J409&gt;=95,J409&lt;=240,C409="Cj",I409=120),VLOOKUP(T409,'CAFCO 300 IDIEM TABLAS'!$B$4:$D$23,3,FALSE),0)+IF(AND(L409="Cafco 300",J409&gt;=95,J409&lt;=400,G409=3,C409="IN",I409=90),VLOOKUP(T409,'CAFCO 300 IDIEM TABLAS'!$F$4:$H$35,2,FALSE),0)+IF(AND(L409="Cafco 300",J409&gt;=95,J409&lt;=400,G409=3,C409="IN",I409=120),VLOOKUP(T409,'CAFCO 300 IDIEM TABLAS'!$F$4:$H$35,3,FALSE),0)+IF(AND(L409="Cafco 300",J409&gt;=95,J409&lt;=450,G409=4,C409="IN",I409=90),VLOOKUP(T409,'CAFCO 300 IDIEM TABLAS'!$J$4:$L$40,2,FALSE),0)+IF(AND(L409="Cafco 300",J409&gt;=95,J409&lt;=450,G409=4,C409="IN",I409=120),VLOOKUP(T409,'CAFCO 300 IDIEM TABLAS'!$J$4:$L$40,3,FALSE),0)+IF(AND(M409="Ensayo Idiem",L409="Cafco 400",C409="IN",G409=4,I409=90),VLOOKUP(T409,'CAFCO 400 ENSAYO'!$B$7:$D$43,2,FALSE),0)+IF(AND(M409="Ensayo Idiem",L409="Cafco 400",C409="IN",G409=4,I409=120),VLOOKUP(T409,'CAFCO 400 ENSAYO'!$B$7:$D$43,3,FALSE),0)</f>
        <v>0</v>
      </c>
      <c r="O409" s="96">
        <f t="shared" si="48"/>
        <v>0</v>
      </c>
      <c r="P409" s="132" t="str">
        <f t="shared" si="43"/>
        <v>N/A</v>
      </c>
      <c r="Q409" s="132" t="str">
        <f t="shared" si="44"/>
        <v>N/A</v>
      </c>
      <c r="R409" s="132" t="str">
        <f t="shared" si="45"/>
        <v>NO CERT.</v>
      </c>
      <c r="S409" s="132" t="e">
        <f t="shared" si="46"/>
        <v>#N/A</v>
      </c>
      <c r="T409" s="133" t="e">
        <f>+IF(J409=LOOKUP(J409,'CAFCO 300 IDIEM TABLAS'!$J$4:$J$40),'CALCULO MORTERO'!J409,MROUND('CALCULO MORTERO'!J409,10))</f>
        <v>#N/A</v>
      </c>
      <c r="U409" s="134">
        <f t="shared" si="47"/>
        <v>0</v>
      </c>
    </row>
    <row r="410" spans="1:21" s="36" customFormat="1" x14ac:dyDescent="0.25">
      <c r="A410" s="118">
        <f>+CUBICACION!D404</f>
        <v>0</v>
      </c>
      <c r="B410" s="819">
        <f>+CUBICACION!E404</f>
        <v>0</v>
      </c>
      <c r="C410" s="675">
        <f>+CUBICACION!F404</f>
        <v>0</v>
      </c>
      <c r="D410" s="118"/>
      <c r="E410" s="118"/>
      <c r="F410" s="820"/>
      <c r="G410" s="675">
        <f>+CUBICACION!J404</f>
        <v>0</v>
      </c>
      <c r="H410" s="118"/>
      <c r="I410" s="821">
        <f>+CUBICACION!L404</f>
        <v>0</v>
      </c>
      <c r="J410" s="64">
        <f>+CUBICACION!M404</f>
        <v>0</v>
      </c>
      <c r="K410" s="822" t="str">
        <f>+CUBICACION!N404</f>
        <v/>
      </c>
      <c r="L410" s="118">
        <f>+CUBICACION!O404</f>
        <v>0</v>
      </c>
      <c r="M410" s="823">
        <f>+CUBICACION!P404</f>
        <v>0</v>
      </c>
      <c r="N410" s="902">
        <f>ROUND(IF(AND(L410="Blaze Shield II",M410="Software Idiem",C410="IN",G410=4),((('BLAZE SHIELD II'!$D$4*('CALCULO MORTERO'!I410^2)+'BLAZE SHIELD II'!$D$5*'CALCULO MORTERO'!I410+'BLAZE SHIELD II'!$D$6)*LN(J410))+('BLAZE SHIELD II'!$D$7*('CALCULO MORTERO'!I410^2)+'BLAZE SHIELD II'!$D$8*'CALCULO MORTERO'!I410+'BLAZE SHIELD II'!$D$9)),0)+IF(AND(L410="Blaze Shield II",M410="Software Idiem",C410="Cj"),((('BLAZE SHIELD II'!$H$4*('CALCULO MORTERO'!I410^2)+'BLAZE SHIELD II'!$H$5*'CALCULO MORTERO'!I410+'BLAZE SHIELD II'!$H$6)*LN(J410))+('BLAZE SHIELD II'!$H$7*('CALCULO MORTERO'!I410^2)+'BLAZE SHIELD II'!$H$8*'CALCULO MORTERO'!I410+'BLAZE SHIELD II'!$H$9)),0)+IF(AND(L410="Blaze Shield II",M410="Software Idiem",C410="C"),((('BLAZE SHIELD II'!$L$4*('CALCULO MORTERO'!I410^2)+'BLAZE SHIELD II'!$L$5*'CALCULO MORTERO'!I410+'BLAZE SHIELD II'!$L$6)*LN(J410))+('BLAZE SHIELD II'!$L$7*('CALCULO MORTERO'!I410^2)+'BLAZE SHIELD II'!$L$8*'CALCULO MORTERO'!I410+'BLAZE SHIELD II'!$L$9)),0)+IF(AND(L410="Blaze Shield II",M410="Software Idiem",C410="L"),((('BLAZE SHIELD II'!$L$4*('CALCULO MORTERO'!I410^2)+'BLAZE SHIELD II'!$L$5*'CALCULO MORTERO'!I410+'BLAZE SHIELD II'!$L$6)*LN(J410))+('BLAZE SHIELD II'!$L$7*('CALCULO MORTERO'!I410^2)+'BLAZE SHIELD II'!$L$8*'CALCULO MORTERO'!I410+'BLAZE SHIELD II'!$L$9)),0)+IF(AND(L410="Blaze Shield II",M410="Software Idiem",C410="IN",G410=3),((('BLAZE SHIELD II'!$H$14*('CALCULO MORTERO'!I410^2)+'BLAZE SHIELD II'!$H$15*'CALCULO MORTERO'!I410+'BLAZE SHIELD II'!$H$16)*LN(J410))+('BLAZE SHIELD II'!$H$17*('CALCULO MORTERO'!I410^2)+'BLAZE SHIELD II'!$H$18*'CALCULO MORTERO'!I410+'BLAZE SHIELD II'!$H$19)),0),0)+ROUND(IF(AND(L410="Cafco 400",M410="Software Idiem",C410="IN",G410=4),((('CAFCO 400 '!$H$7*(J410^4)+'CAFCO 400 '!$H$8*(J410^3)+'CAFCO 400 '!$H$9*(J410^2)+'CAFCO 400 '!$H$10*J410+'CAFCO 400 '!$H$11)*U410^2)+(('CAFCO 400 '!$H$12*(J410^3)+'CAFCO 400 '!$H$13*(J410^2)+'CAFCO 400 '!$H$14*J410+'CAFCO 400 '!$H$15)*U410)+('CAFCO 400 '!$H$16*(J410^2)+'CAFCO 400 '!$H$17*J410+'CAFCO 400 '!$H$18)),0)+IF(AND(L410="Cafco 400",M410="Software Idiem",C410="Cj"),(((('CAFCO 400 '!$D$7*LN(J410)+'CAFCO 400 '!$D$8)*U410^2)+(('CAFCO 400 '!$D$9*LN(J410)+'CAFCO 400 '!$D$10)*U410)+('CAFCO 400 '!$D$11*LN(J410)+'CAFCO 400 '!$D$12))),0)+IF(AND(L410="Cafco 400",M410="Software Idiem",C410="C"),((('CAFCO 400 '!$L$7*(J410^3)+'CAFCO 400 '!$L$8*(J410^2)+'CAFCO 400 '!$L$9*J410+'CAFCO 400 '!$L$10)*U410^2)+(('CAFCO 400 '!$L$11*(J410^3)+'CAFCO 400 '!$L$12*(J410^2)+'CAFCO 400 '!$L$13*J410+'CAFCO 400 '!$L$14)*U410)+('CAFCO 400 '!$L$15*LN(J410)+'CAFCO 400 '!$L$16)),0)+IF(AND(L410="Cafco 400",M410="Software Idiem",C410="L"),((('CAFCO 400 '!$L$7*(J410^3)+'CAFCO 400 '!$L$8*(J410^2)+'CAFCO 400 '!$L$9*J410+'CAFCO 400 '!$L$10)*U410^2)+(('CAFCO 400 '!$L$11*(J410^3)+'CAFCO 400 '!$L$12*(J410^2)+'CAFCO 400 '!$L$13*J410+'CAFCO 400 '!$L$14)*U410)+('CAFCO 400 '!$L$15*LN(J410)+'CAFCO 400 '!$L$16)),0)+IF(AND(L410="Cafco 400",M410="Software Idiem",C410="IN",G410=3),((('CAFCO 400 '!$D$23*(J410^2)+'CAFCO 400 '!$D$24*(J410)+'CAFCO 400 '!$D$25)*U410^2)+(('CAFCO 400 '!$D$26*(J410^2)+'CAFCO 400 '!$D$27*J410+'CAFCO 400 '!$D$28)*U410)+('CAFCO 400 '!$D$29*(J410^2)+'CAFCO 400 '!$D$30*J410+'CAFCO 400 '!$D$31)),0),0)+IF(AND(L410="Cafco 300",J410&gt;=95,J410&lt;=240,C410="Cj",I410=90),VLOOKUP(T410,'CAFCO 300 IDIEM TABLAS'!$B$4:$D$23,2,FALSE),0)+IF(AND(L410="Cafco 300",J410&gt;=95,J410&lt;=240,C410="Cj",I410=120),VLOOKUP(T410,'CAFCO 300 IDIEM TABLAS'!$B$4:$D$23,3,FALSE),0)+IF(AND(L410="Cafco 300",J410&gt;=95,J410&lt;=400,G410=3,C410="IN",I410=90),VLOOKUP(T410,'CAFCO 300 IDIEM TABLAS'!$F$4:$H$35,2,FALSE),0)+IF(AND(L410="Cafco 300",J410&gt;=95,J410&lt;=400,G410=3,C410="IN",I410=120),VLOOKUP(T410,'CAFCO 300 IDIEM TABLAS'!$F$4:$H$35,3,FALSE),0)+IF(AND(L410="Cafco 300",J410&gt;=95,J410&lt;=450,G410=4,C410="IN",I410=90),VLOOKUP(T410,'CAFCO 300 IDIEM TABLAS'!$J$4:$L$40,2,FALSE),0)+IF(AND(L410="Cafco 300",J410&gt;=95,J410&lt;=450,G410=4,C410="IN",I410=120),VLOOKUP(T410,'CAFCO 300 IDIEM TABLAS'!$J$4:$L$40,3,FALSE),0)+IF(AND(M410="Ensayo Idiem",L410="Cafco 400",C410="IN",G410=4,I410=90),VLOOKUP(T410,'CAFCO 400 ENSAYO'!$B$7:$D$43,2,FALSE),0)+IF(AND(M410="Ensayo Idiem",L410="Cafco 400",C410="IN",G410=4,I410=120),VLOOKUP(T410,'CAFCO 400 ENSAYO'!$B$7:$D$43,3,FALSE),0)</f>
        <v>0</v>
      </c>
      <c r="O410" s="96">
        <f t="shared" si="48"/>
        <v>0</v>
      </c>
      <c r="P410" s="95" t="str">
        <f t="shared" si="43"/>
        <v>N/A</v>
      </c>
      <c r="Q410" s="95" t="str">
        <f t="shared" si="44"/>
        <v>N/A</v>
      </c>
      <c r="R410" s="95" t="str">
        <f t="shared" si="45"/>
        <v>NO CERT.</v>
      </c>
      <c r="S410" s="95" t="e">
        <f t="shared" si="46"/>
        <v>#N/A</v>
      </c>
      <c r="T410" s="119" t="e">
        <f>+IF(J410=LOOKUP(J410,'CAFCO 300 IDIEM TABLAS'!$J$4:$J$40),'CALCULO MORTERO'!J410,MROUND('CALCULO MORTERO'!J410,10))</f>
        <v>#N/A</v>
      </c>
      <c r="U410" s="118">
        <f t="shared" si="47"/>
        <v>0</v>
      </c>
    </row>
    <row r="411" spans="1:21" s="36" customFormat="1" x14ac:dyDescent="0.25">
      <c r="A411" s="118">
        <f>+CUBICACION!D405</f>
        <v>0</v>
      </c>
      <c r="B411" s="819">
        <f>+CUBICACION!E405</f>
        <v>0</v>
      </c>
      <c r="C411" s="675">
        <f>+CUBICACION!F405</f>
        <v>0</v>
      </c>
      <c r="D411" s="118"/>
      <c r="E411" s="118"/>
      <c r="F411" s="820"/>
      <c r="G411" s="675">
        <f>+CUBICACION!J405</f>
        <v>0</v>
      </c>
      <c r="H411" s="118"/>
      <c r="I411" s="821">
        <f>+CUBICACION!L405</f>
        <v>0</v>
      </c>
      <c r="J411" s="64">
        <f>+CUBICACION!M405</f>
        <v>0</v>
      </c>
      <c r="K411" s="822" t="str">
        <f>+CUBICACION!N405</f>
        <v/>
      </c>
      <c r="L411" s="118">
        <f>+CUBICACION!O405</f>
        <v>0</v>
      </c>
      <c r="M411" s="823">
        <f>+CUBICACION!P405</f>
        <v>0</v>
      </c>
      <c r="N411" s="902">
        <f>ROUND(IF(AND(L411="Blaze Shield II",M411="Software Idiem",C411="IN",G411=4),((('BLAZE SHIELD II'!$D$4*('CALCULO MORTERO'!I411^2)+'BLAZE SHIELD II'!$D$5*'CALCULO MORTERO'!I411+'BLAZE SHIELD II'!$D$6)*LN(J411))+('BLAZE SHIELD II'!$D$7*('CALCULO MORTERO'!I411^2)+'BLAZE SHIELD II'!$D$8*'CALCULO MORTERO'!I411+'BLAZE SHIELD II'!$D$9)),0)+IF(AND(L411="Blaze Shield II",M411="Software Idiem",C411="Cj"),((('BLAZE SHIELD II'!$H$4*('CALCULO MORTERO'!I411^2)+'BLAZE SHIELD II'!$H$5*'CALCULO MORTERO'!I411+'BLAZE SHIELD II'!$H$6)*LN(J411))+('BLAZE SHIELD II'!$H$7*('CALCULO MORTERO'!I411^2)+'BLAZE SHIELD II'!$H$8*'CALCULO MORTERO'!I411+'BLAZE SHIELD II'!$H$9)),0)+IF(AND(L411="Blaze Shield II",M411="Software Idiem",C411="C"),((('BLAZE SHIELD II'!$L$4*('CALCULO MORTERO'!I411^2)+'BLAZE SHIELD II'!$L$5*'CALCULO MORTERO'!I411+'BLAZE SHIELD II'!$L$6)*LN(J411))+('BLAZE SHIELD II'!$L$7*('CALCULO MORTERO'!I411^2)+'BLAZE SHIELD II'!$L$8*'CALCULO MORTERO'!I411+'BLAZE SHIELD II'!$L$9)),0)+IF(AND(L411="Blaze Shield II",M411="Software Idiem",C411="L"),((('BLAZE SHIELD II'!$L$4*('CALCULO MORTERO'!I411^2)+'BLAZE SHIELD II'!$L$5*'CALCULO MORTERO'!I411+'BLAZE SHIELD II'!$L$6)*LN(J411))+('BLAZE SHIELD II'!$L$7*('CALCULO MORTERO'!I411^2)+'BLAZE SHIELD II'!$L$8*'CALCULO MORTERO'!I411+'BLAZE SHIELD II'!$L$9)),0)+IF(AND(L411="Blaze Shield II",M411="Software Idiem",C411="IN",G411=3),((('BLAZE SHIELD II'!$H$14*('CALCULO MORTERO'!I411^2)+'BLAZE SHIELD II'!$H$15*'CALCULO MORTERO'!I411+'BLAZE SHIELD II'!$H$16)*LN(J411))+('BLAZE SHIELD II'!$H$17*('CALCULO MORTERO'!I411^2)+'BLAZE SHIELD II'!$H$18*'CALCULO MORTERO'!I411+'BLAZE SHIELD II'!$H$19)),0),0)+ROUND(IF(AND(L411="Cafco 400",M411="Software Idiem",C411="IN",G411=4),((('CAFCO 400 '!$H$7*(J411^4)+'CAFCO 400 '!$H$8*(J411^3)+'CAFCO 400 '!$H$9*(J411^2)+'CAFCO 400 '!$H$10*J411+'CAFCO 400 '!$H$11)*U411^2)+(('CAFCO 400 '!$H$12*(J411^3)+'CAFCO 400 '!$H$13*(J411^2)+'CAFCO 400 '!$H$14*J411+'CAFCO 400 '!$H$15)*U411)+('CAFCO 400 '!$H$16*(J411^2)+'CAFCO 400 '!$H$17*J411+'CAFCO 400 '!$H$18)),0)+IF(AND(L411="Cafco 400",M411="Software Idiem",C411="Cj"),(((('CAFCO 400 '!$D$7*LN(J411)+'CAFCO 400 '!$D$8)*U411^2)+(('CAFCO 400 '!$D$9*LN(J411)+'CAFCO 400 '!$D$10)*U411)+('CAFCO 400 '!$D$11*LN(J411)+'CAFCO 400 '!$D$12))),0)+IF(AND(L411="Cafco 400",M411="Software Idiem",C411="C"),((('CAFCO 400 '!$L$7*(J411^3)+'CAFCO 400 '!$L$8*(J411^2)+'CAFCO 400 '!$L$9*J411+'CAFCO 400 '!$L$10)*U411^2)+(('CAFCO 400 '!$L$11*(J411^3)+'CAFCO 400 '!$L$12*(J411^2)+'CAFCO 400 '!$L$13*J411+'CAFCO 400 '!$L$14)*U411)+('CAFCO 400 '!$L$15*LN(J411)+'CAFCO 400 '!$L$16)),0)+IF(AND(L411="Cafco 400",M411="Software Idiem",C411="L"),((('CAFCO 400 '!$L$7*(J411^3)+'CAFCO 400 '!$L$8*(J411^2)+'CAFCO 400 '!$L$9*J411+'CAFCO 400 '!$L$10)*U411^2)+(('CAFCO 400 '!$L$11*(J411^3)+'CAFCO 400 '!$L$12*(J411^2)+'CAFCO 400 '!$L$13*J411+'CAFCO 400 '!$L$14)*U411)+('CAFCO 400 '!$L$15*LN(J411)+'CAFCO 400 '!$L$16)),0)+IF(AND(L411="Cafco 400",M411="Software Idiem",C411="IN",G411=3),((('CAFCO 400 '!$D$23*(J411^2)+'CAFCO 400 '!$D$24*(J411)+'CAFCO 400 '!$D$25)*U411^2)+(('CAFCO 400 '!$D$26*(J411^2)+'CAFCO 400 '!$D$27*J411+'CAFCO 400 '!$D$28)*U411)+('CAFCO 400 '!$D$29*(J411^2)+'CAFCO 400 '!$D$30*J411+'CAFCO 400 '!$D$31)),0),0)+IF(AND(L411="Cafco 300",J411&gt;=95,J411&lt;=240,C411="Cj",I411=90),VLOOKUP(T411,'CAFCO 300 IDIEM TABLAS'!$B$4:$D$23,2,FALSE),0)+IF(AND(L411="Cafco 300",J411&gt;=95,J411&lt;=240,C411="Cj",I411=120),VLOOKUP(T411,'CAFCO 300 IDIEM TABLAS'!$B$4:$D$23,3,FALSE),0)+IF(AND(L411="Cafco 300",J411&gt;=95,J411&lt;=400,G411=3,C411="IN",I411=90),VLOOKUP(T411,'CAFCO 300 IDIEM TABLAS'!$F$4:$H$35,2,FALSE),0)+IF(AND(L411="Cafco 300",J411&gt;=95,J411&lt;=400,G411=3,C411="IN",I411=120),VLOOKUP(T411,'CAFCO 300 IDIEM TABLAS'!$F$4:$H$35,3,FALSE),0)+IF(AND(L411="Cafco 300",J411&gt;=95,J411&lt;=450,G411=4,C411="IN",I411=90),VLOOKUP(T411,'CAFCO 300 IDIEM TABLAS'!$J$4:$L$40,2,FALSE),0)+IF(AND(L411="Cafco 300",J411&gt;=95,J411&lt;=450,G411=4,C411="IN",I411=120),VLOOKUP(T411,'CAFCO 300 IDIEM TABLAS'!$J$4:$L$40,3,FALSE),0)+IF(AND(M411="Ensayo Idiem",L411="Cafco 400",C411="IN",G411=4,I411=90),VLOOKUP(T411,'CAFCO 400 ENSAYO'!$B$7:$D$43,2,FALSE),0)+IF(AND(M411="Ensayo Idiem",L411="Cafco 400",C411="IN",G411=4,I411=120),VLOOKUP(T411,'CAFCO 400 ENSAYO'!$B$7:$D$43,3,FALSE),0)</f>
        <v>0</v>
      </c>
      <c r="O411" s="96">
        <f t="shared" si="48"/>
        <v>0</v>
      </c>
      <c r="P411" s="132" t="str">
        <f t="shared" si="43"/>
        <v>N/A</v>
      </c>
      <c r="Q411" s="132" t="str">
        <f t="shared" si="44"/>
        <v>N/A</v>
      </c>
      <c r="R411" s="132" t="str">
        <f t="shared" si="45"/>
        <v>NO CERT.</v>
      </c>
      <c r="S411" s="132" t="e">
        <f t="shared" si="46"/>
        <v>#N/A</v>
      </c>
      <c r="T411" s="133" t="e">
        <f>+IF(J411=LOOKUP(J411,'CAFCO 300 IDIEM TABLAS'!$J$4:$J$40),'CALCULO MORTERO'!J411,MROUND('CALCULO MORTERO'!J411,10))</f>
        <v>#N/A</v>
      </c>
      <c r="U411" s="134">
        <f t="shared" si="47"/>
        <v>0</v>
      </c>
    </row>
    <row r="412" spans="1:21" s="36" customFormat="1" x14ac:dyDescent="0.25">
      <c r="A412" s="118">
        <f>+CUBICACION!D406</f>
        <v>0</v>
      </c>
      <c r="B412" s="819">
        <f>+CUBICACION!E406</f>
        <v>0</v>
      </c>
      <c r="C412" s="675">
        <f>+CUBICACION!F406</f>
        <v>0</v>
      </c>
      <c r="D412" s="118"/>
      <c r="E412" s="118"/>
      <c r="F412" s="820"/>
      <c r="G412" s="675">
        <f>+CUBICACION!J406</f>
        <v>0</v>
      </c>
      <c r="H412" s="118"/>
      <c r="I412" s="821">
        <f>+CUBICACION!L406</f>
        <v>0</v>
      </c>
      <c r="J412" s="64">
        <f>+CUBICACION!M406</f>
        <v>0</v>
      </c>
      <c r="K412" s="822" t="str">
        <f>+CUBICACION!N406</f>
        <v/>
      </c>
      <c r="L412" s="118">
        <f>+CUBICACION!O406</f>
        <v>0</v>
      </c>
      <c r="M412" s="823">
        <f>+CUBICACION!P406</f>
        <v>0</v>
      </c>
      <c r="N412" s="902">
        <f>ROUND(IF(AND(L412="Blaze Shield II",M412="Software Idiem",C412="IN",G412=4),((('BLAZE SHIELD II'!$D$4*('CALCULO MORTERO'!I412^2)+'BLAZE SHIELD II'!$D$5*'CALCULO MORTERO'!I412+'BLAZE SHIELD II'!$D$6)*LN(J412))+('BLAZE SHIELD II'!$D$7*('CALCULO MORTERO'!I412^2)+'BLAZE SHIELD II'!$D$8*'CALCULO MORTERO'!I412+'BLAZE SHIELD II'!$D$9)),0)+IF(AND(L412="Blaze Shield II",M412="Software Idiem",C412="Cj"),((('BLAZE SHIELD II'!$H$4*('CALCULO MORTERO'!I412^2)+'BLAZE SHIELD II'!$H$5*'CALCULO MORTERO'!I412+'BLAZE SHIELD II'!$H$6)*LN(J412))+('BLAZE SHIELD II'!$H$7*('CALCULO MORTERO'!I412^2)+'BLAZE SHIELD II'!$H$8*'CALCULO MORTERO'!I412+'BLAZE SHIELD II'!$H$9)),0)+IF(AND(L412="Blaze Shield II",M412="Software Idiem",C412="C"),((('BLAZE SHIELD II'!$L$4*('CALCULO MORTERO'!I412^2)+'BLAZE SHIELD II'!$L$5*'CALCULO MORTERO'!I412+'BLAZE SHIELD II'!$L$6)*LN(J412))+('BLAZE SHIELD II'!$L$7*('CALCULO MORTERO'!I412^2)+'BLAZE SHIELD II'!$L$8*'CALCULO MORTERO'!I412+'BLAZE SHIELD II'!$L$9)),0)+IF(AND(L412="Blaze Shield II",M412="Software Idiem",C412="L"),((('BLAZE SHIELD II'!$L$4*('CALCULO MORTERO'!I412^2)+'BLAZE SHIELD II'!$L$5*'CALCULO MORTERO'!I412+'BLAZE SHIELD II'!$L$6)*LN(J412))+('BLAZE SHIELD II'!$L$7*('CALCULO MORTERO'!I412^2)+'BLAZE SHIELD II'!$L$8*'CALCULO MORTERO'!I412+'BLAZE SHIELD II'!$L$9)),0)+IF(AND(L412="Blaze Shield II",M412="Software Idiem",C412="IN",G412=3),((('BLAZE SHIELD II'!$H$14*('CALCULO MORTERO'!I412^2)+'BLAZE SHIELD II'!$H$15*'CALCULO MORTERO'!I412+'BLAZE SHIELD II'!$H$16)*LN(J412))+('BLAZE SHIELD II'!$H$17*('CALCULO MORTERO'!I412^2)+'BLAZE SHIELD II'!$H$18*'CALCULO MORTERO'!I412+'BLAZE SHIELD II'!$H$19)),0),0)+ROUND(IF(AND(L412="Cafco 400",M412="Software Idiem",C412="IN",G412=4),((('CAFCO 400 '!$H$7*(J412^4)+'CAFCO 400 '!$H$8*(J412^3)+'CAFCO 400 '!$H$9*(J412^2)+'CAFCO 400 '!$H$10*J412+'CAFCO 400 '!$H$11)*U412^2)+(('CAFCO 400 '!$H$12*(J412^3)+'CAFCO 400 '!$H$13*(J412^2)+'CAFCO 400 '!$H$14*J412+'CAFCO 400 '!$H$15)*U412)+('CAFCO 400 '!$H$16*(J412^2)+'CAFCO 400 '!$H$17*J412+'CAFCO 400 '!$H$18)),0)+IF(AND(L412="Cafco 400",M412="Software Idiem",C412="Cj"),(((('CAFCO 400 '!$D$7*LN(J412)+'CAFCO 400 '!$D$8)*U412^2)+(('CAFCO 400 '!$D$9*LN(J412)+'CAFCO 400 '!$D$10)*U412)+('CAFCO 400 '!$D$11*LN(J412)+'CAFCO 400 '!$D$12))),0)+IF(AND(L412="Cafco 400",M412="Software Idiem",C412="C"),((('CAFCO 400 '!$L$7*(J412^3)+'CAFCO 400 '!$L$8*(J412^2)+'CAFCO 400 '!$L$9*J412+'CAFCO 400 '!$L$10)*U412^2)+(('CAFCO 400 '!$L$11*(J412^3)+'CAFCO 400 '!$L$12*(J412^2)+'CAFCO 400 '!$L$13*J412+'CAFCO 400 '!$L$14)*U412)+('CAFCO 400 '!$L$15*LN(J412)+'CAFCO 400 '!$L$16)),0)+IF(AND(L412="Cafco 400",M412="Software Idiem",C412="L"),((('CAFCO 400 '!$L$7*(J412^3)+'CAFCO 400 '!$L$8*(J412^2)+'CAFCO 400 '!$L$9*J412+'CAFCO 400 '!$L$10)*U412^2)+(('CAFCO 400 '!$L$11*(J412^3)+'CAFCO 400 '!$L$12*(J412^2)+'CAFCO 400 '!$L$13*J412+'CAFCO 400 '!$L$14)*U412)+('CAFCO 400 '!$L$15*LN(J412)+'CAFCO 400 '!$L$16)),0)+IF(AND(L412="Cafco 400",M412="Software Idiem",C412="IN",G412=3),((('CAFCO 400 '!$D$23*(J412^2)+'CAFCO 400 '!$D$24*(J412)+'CAFCO 400 '!$D$25)*U412^2)+(('CAFCO 400 '!$D$26*(J412^2)+'CAFCO 400 '!$D$27*J412+'CAFCO 400 '!$D$28)*U412)+('CAFCO 400 '!$D$29*(J412^2)+'CAFCO 400 '!$D$30*J412+'CAFCO 400 '!$D$31)),0),0)+IF(AND(L412="Cafco 300",J412&gt;=95,J412&lt;=240,C412="Cj",I412=90),VLOOKUP(T412,'CAFCO 300 IDIEM TABLAS'!$B$4:$D$23,2,FALSE),0)+IF(AND(L412="Cafco 300",J412&gt;=95,J412&lt;=240,C412="Cj",I412=120),VLOOKUP(T412,'CAFCO 300 IDIEM TABLAS'!$B$4:$D$23,3,FALSE),0)+IF(AND(L412="Cafco 300",J412&gt;=95,J412&lt;=400,G412=3,C412="IN",I412=90),VLOOKUP(T412,'CAFCO 300 IDIEM TABLAS'!$F$4:$H$35,2,FALSE),0)+IF(AND(L412="Cafco 300",J412&gt;=95,J412&lt;=400,G412=3,C412="IN",I412=120),VLOOKUP(T412,'CAFCO 300 IDIEM TABLAS'!$F$4:$H$35,3,FALSE),0)+IF(AND(L412="Cafco 300",J412&gt;=95,J412&lt;=450,G412=4,C412="IN",I412=90),VLOOKUP(T412,'CAFCO 300 IDIEM TABLAS'!$J$4:$L$40,2,FALSE),0)+IF(AND(L412="Cafco 300",J412&gt;=95,J412&lt;=450,G412=4,C412="IN",I412=120),VLOOKUP(T412,'CAFCO 300 IDIEM TABLAS'!$J$4:$L$40,3,FALSE),0)+IF(AND(M412="Ensayo Idiem",L412="Cafco 400",C412="IN",G412=4,I412=90),VLOOKUP(T412,'CAFCO 400 ENSAYO'!$B$7:$D$43,2,FALSE),0)+IF(AND(M412="Ensayo Idiem",L412="Cafco 400",C412="IN",G412=4,I412=120),VLOOKUP(T412,'CAFCO 400 ENSAYO'!$B$7:$D$43,3,FALSE),0)</f>
        <v>0</v>
      </c>
      <c r="O412" s="96">
        <f t="shared" si="48"/>
        <v>0</v>
      </c>
      <c r="P412" s="95" t="str">
        <f t="shared" si="43"/>
        <v>N/A</v>
      </c>
      <c r="Q412" s="95" t="str">
        <f t="shared" si="44"/>
        <v>N/A</v>
      </c>
      <c r="R412" s="95" t="str">
        <f t="shared" si="45"/>
        <v>NO CERT.</v>
      </c>
      <c r="S412" s="95" t="e">
        <f t="shared" si="46"/>
        <v>#N/A</v>
      </c>
      <c r="T412" s="119" t="e">
        <f>+IF(J412=LOOKUP(J412,'CAFCO 300 IDIEM TABLAS'!$J$4:$J$40),'CALCULO MORTERO'!J412,MROUND('CALCULO MORTERO'!J412,10))</f>
        <v>#N/A</v>
      </c>
      <c r="U412" s="118">
        <f t="shared" si="47"/>
        <v>0</v>
      </c>
    </row>
    <row r="413" spans="1:21" s="36" customFormat="1" x14ac:dyDescent="0.25">
      <c r="A413" s="118">
        <f>+CUBICACION!D407</f>
        <v>0</v>
      </c>
      <c r="B413" s="819">
        <f>+CUBICACION!E407</f>
        <v>0</v>
      </c>
      <c r="C413" s="675">
        <f>+CUBICACION!F407</f>
        <v>0</v>
      </c>
      <c r="D413" s="118"/>
      <c r="E413" s="118"/>
      <c r="F413" s="820"/>
      <c r="G413" s="675">
        <f>+CUBICACION!J407</f>
        <v>0</v>
      </c>
      <c r="H413" s="118"/>
      <c r="I413" s="821">
        <f>+CUBICACION!L407</f>
        <v>0</v>
      </c>
      <c r="J413" s="64">
        <f>+CUBICACION!M407</f>
        <v>0</v>
      </c>
      <c r="K413" s="822" t="str">
        <f>+CUBICACION!N407</f>
        <v/>
      </c>
      <c r="L413" s="118">
        <f>+CUBICACION!O407</f>
        <v>0</v>
      </c>
      <c r="M413" s="823">
        <f>+CUBICACION!P407</f>
        <v>0</v>
      </c>
      <c r="N413" s="902">
        <f>ROUND(IF(AND(L413="Blaze Shield II",M413="Software Idiem",C413="IN",G413=4),((('BLAZE SHIELD II'!$D$4*('CALCULO MORTERO'!I413^2)+'BLAZE SHIELD II'!$D$5*'CALCULO MORTERO'!I413+'BLAZE SHIELD II'!$D$6)*LN(J413))+('BLAZE SHIELD II'!$D$7*('CALCULO MORTERO'!I413^2)+'BLAZE SHIELD II'!$D$8*'CALCULO MORTERO'!I413+'BLAZE SHIELD II'!$D$9)),0)+IF(AND(L413="Blaze Shield II",M413="Software Idiem",C413="Cj"),((('BLAZE SHIELD II'!$H$4*('CALCULO MORTERO'!I413^2)+'BLAZE SHIELD II'!$H$5*'CALCULO MORTERO'!I413+'BLAZE SHIELD II'!$H$6)*LN(J413))+('BLAZE SHIELD II'!$H$7*('CALCULO MORTERO'!I413^2)+'BLAZE SHIELD II'!$H$8*'CALCULO MORTERO'!I413+'BLAZE SHIELD II'!$H$9)),0)+IF(AND(L413="Blaze Shield II",M413="Software Idiem",C413="C"),((('BLAZE SHIELD II'!$L$4*('CALCULO MORTERO'!I413^2)+'BLAZE SHIELD II'!$L$5*'CALCULO MORTERO'!I413+'BLAZE SHIELD II'!$L$6)*LN(J413))+('BLAZE SHIELD II'!$L$7*('CALCULO MORTERO'!I413^2)+'BLAZE SHIELD II'!$L$8*'CALCULO MORTERO'!I413+'BLAZE SHIELD II'!$L$9)),0)+IF(AND(L413="Blaze Shield II",M413="Software Idiem",C413="L"),((('BLAZE SHIELD II'!$L$4*('CALCULO MORTERO'!I413^2)+'BLAZE SHIELD II'!$L$5*'CALCULO MORTERO'!I413+'BLAZE SHIELD II'!$L$6)*LN(J413))+('BLAZE SHIELD II'!$L$7*('CALCULO MORTERO'!I413^2)+'BLAZE SHIELD II'!$L$8*'CALCULO MORTERO'!I413+'BLAZE SHIELD II'!$L$9)),0)+IF(AND(L413="Blaze Shield II",M413="Software Idiem",C413="IN",G413=3),((('BLAZE SHIELD II'!$H$14*('CALCULO MORTERO'!I413^2)+'BLAZE SHIELD II'!$H$15*'CALCULO MORTERO'!I413+'BLAZE SHIELD II'!$H$16)*LN(J413))+('BLAZE SHIELD II'!$H$17*('CALCULO MORTERO'!I413^2)+'BLAZE SHIELD II'!$H$18*'CALCULO MORTERO'!I413+'BLAZE SHIELD II'!$H$19)),0),0)+ROUND(IF(AND(L413="Cafco 400",M413="Software Idiem",C413="IN",G413=4),((('CAFCO 400 '!$H$7*(J413^4)+'CAFCO 400 '!$H$8*(J413^3)+'CAFCO 400 '!$H$9*(J413^2)+'CAFCO 400 '!$H$10*J413+'CAFCO 400 '!$H$11)*U413^2)+(('CAFCO 400 '!$H$12*(J413^3)+'CAFCO 400 '!$H$13*(J413^2)+'CAFCO 400 '!$H$14*J413+'CAFCO 400 '!$H$15)*U413)+('CAFCO 400 '!$H$16*(J413^2)+'CAFCO 400 '!$H$17*J413+'CAFCO 400 '!$H$18)),0)+IF(AND(L413="Cafco 400",M413="Software Idiem",C413="Cj"),(((('CAFCO 400 '!$D$7*LN(J413)+'CAFCO 400 '!$D$8)*U413^2)+(('CAFCO 400 '!$D$9*LN(J413)+'CAFCO 400 '!$D$10)*U413)+('CAFCO 400 '!$D$11*LN(J413)+'CAFCO 400 '!$D$12))),0)+IF(AND(L413="Cafco 400",M413="Software Idiem",C413="C"),((('CAFCO 400 '!$L$7*(J413^3)+'CAFCO 400 '!$L$8*(J413^2)+'CAFCO 400 '!$L$9*J413+'CAFCO 400 '!$L$10)*U413^2)+(('CAFCO 400 '!$L$11*(J413^3)+'CAFCO 400 '!$L$12*(J413^2)+'CAFCO 400 '!$L$13*J413+'CAFCO 400 '!$L$14)*U413)+('CAFCO 400 '!$L$15*LN(J413)+'CAFCO 400 '!$L$16)),0)+IF(AND(L413="Cafco 400",M413="Software Idiem",C413="L"),((('CAFCO 400 '!$L$7*(J413^3)+'CAFCO 400 '!$L$8*(J413^2)+'CAFCO 400 '!$L$9*J413+'CAFCO 400 '!$L$10)*U413^2)+(('CAFCO 400 '!$L$11*(J413^3)+'CAFCO 400 '!$L$12*(J413^2)+'CAFCO 400 '!$L$13*J413+'CAFCO 400 '!$L$14)*U413)+('CAFCO 400 '!$L$15*LN(J413)+'CAFCO 400 '!$L$16)),0)+IF(AND(L413="Cafco 400",M413="Software Idiem",C413="IN",G413=3),((('CAFCO 400 '!$D$23*(J413^2)+'CAFCO 400 '!$D$24*(J413)+'CAFCO 400 '!$D$25)*U413^2)+(('CAFCO 400 '!$D$26*(J413^2)+'CAFCO 400 '!$D$27*J413+'CAFCO 400 '!$D$28)*U413)+('CAFCO 400 '!$D$29*(J413^2)+'CAFCO 400 '!$D$30*J413+'CAFCO 400 '!$D$31)),0),0)+IF(AND(L413="Cafco 300",J413&gt;=95,J413&lt;=240,C413="Cj",I413=90),VLOOKUP(T413,'CAFCO 300 IDIEM TABLAS'!$B$4:$D$23,2,FALSE),0)+IF(AND(L413="Cafco 300",J413&gt;=95,J413&lt;=240,C413="Cj",I413=120),VLOOKUP(T413,'CAFCO 300 IDIEM TABLAS'!$B$4:$D$23,3,FALSE),0)+IF(AND(L413="Cafco 300",J413&gt;=95,J413&lt;=400,G413=3,C413="IN",I413=90),VLOOKUP(T413,'CAFCO 300 IDIEM TABLAS'!$F$4:$H$35,2,FALSE),0)+IF(AND(L413="Cafco 300",J413&gt;=95,J413&lt;=400,G413=3,C413="IN",I413=120),VLOOKUP(T413,'CAFCO 300 IDIEM TABLAS'!$F$4:$H$35,3,FALSE),0)+IF(AND(L413="Cafco 300",J413&gt;=95,J413&lt;=450,G413=4,C413="IN",I413=90),VLOOKUP(T413,'CAFCO 300 IDIEM TABLAS'!$J$4:$L$40,2,FALSE),0)+IF(AND(L413="Cafco 300",J413&gt;=95,J413&lt;=450,G413=4,C413="IN",I413=120),VLOOKUP(T413,'CAFCO 300 IDIEM TABLAS'!$J$4:$L$40,3,FALSE),0)+IF(AND(M413="Ensayo Idiem",L413="Cafco 400",C413="IN",G413=4,I413=90),VLOOKUP(T413,'CAFCO 400 ENSAYO'!$B$7:$D$43,2,FALSE),0)+IF(AND(M413="Ensayo Idiem",L413="Cafco 400",C413="IN",G413=4,I413=120),VLOOKUP(T413,'CAFCO 400 ENSAYO'!$B$7:$D$43,3,FALSE),0)</f>
        <v>0</v>
      </c>
      <c r="O413" s="96">
        <f t="shared" si="48"/>
        <v>0</v>
      </c>
      <c r="P413" s="132" t="str">
        <f t="shared" si="43"/>
        <v>N/A</v>
      </c>
      <c r="Q413" s="132" t="str">
        <f t="shared" si="44"/>
        <v>N/A</v>
      </c>
      <c r="R413" s="132" t="str">
        <f t="shared" si="45"/>
        <v>NO CERT.</v>
      </c>
      <c r="S413" s="132" t="e">
        <f t="shared" si="46"/>
        <v>#N/A</v>
      </c>
      <c r="T413" s="133" t="e">
        <f>+IF(J413=LOOKUP(J413,'CAFCO 300 IDIEM TABLAS'!$J$4:$J$40),'CALCULO MORTERO'!J413,MROUND('CALCULO MORTERO'!J413,10))</f>
        <v>#N/A</v>
      </c>
      <c r="U413" s="134">
        <f t="shared" si="47"/>
        <v>0</v>
      </c>
    </row>
    <row r="414" spans="1:21" s="36" customFormat="1" x14ac:dyDescent="0.25">
      <c r="A414" s="118">
        <f>+CUBICACION!D408</f>
        <v>0</v>
      </c>
      <c r="B414" s="819">
        <f>+CUBICACION!E408</f>
        <v>0</v>
      </c>
      <c r="C414" s="675">
        <f>+CUBICACION!F408</f>
        <v>0</v>
      </c>
      <c r="D414" s="118"/>
      <c r="E414" s="118"/>
      <c r="F414" s="820"/>
      <c r="G414" s="675">
        <f>+CUBICACION!J408</f>
        <v>0</v>
      </c>
      <c r="H414" s="118"/>
      <c r="I414" s="821">
        <f>+CUBICACION!L408</f>
        <v>0</v>
      </c>
      <c r="J414" s="64">
        <f>+CUBICACION!M408</f>
        <v>0</v>
      </c>
      <c r="K414" s="822" t="str">
        <f>+CUBICACION!N408</f>
        <v/>
      </c>
      <c r="L414" s="118">
        <f>+CUBICACION!O408</f>
        <v>0</v>
      </c>
      <c r="M414" s="823">
        <f>+CUBICACION!P408</f>
        <v>0</v>
      </c>
      <c r="N414" s="902">
        <f>ROUND(IF(AND(L414="Blaze Shield II",M414="Software Idiem",C414="IN",G414=4),((('BLAZE SHIELD II'!$D$4*('CALCULO MORTERO'!I414^2)+'BLAZE SHIELD II'!$D$5*'CALCULO MORTERO'!I414+'BLAZE SHIELD II'!$D$6)*LN(J414))+('BLAZE SHIELD II'!$D$7*('CALCULO MORTERO'!I414^2)+'BLAZE SHIELD II'!$D$8*'CALCULO MORTERO'!I414+'BLAZE SHIELD II'!$D$9)),0)+IF(AND(L414="Blaze Shield II",M414="Software Idiem",C414="Cj"),((('BLAZE SHIELD II'!$H$4*('CALCULO MORTERO'!I414^2)+'BLAZE SHIELD II'!$H$5*'CALCULO MORTERO'!I414+'BLAZE SHIELD II'!$H$6)*LN(J414))+('BLAZE SHIELD II'!$H$7*('CALCULO MORTERO'!I414^2)+'BLAZE SHIELD II'!$H$8*'CALCULO MORTERO'!I414+'BLAZE SHIELD II'!$H$9)),0)+IF(AND(L414="Blaze Shield II",M414="Software Idiem",C414="C"),((('BLAZE SHIELD II'!$L$4*('CALCULO MORTERO'!I414^2)+'BLAZE SHIELD II'!$L$5*'CALCULO MORTERO'!I414+'BLAZE SHIELD II'!$L$6)*LN(J414))+('BLAZE SHIELD II'!$L$7*('CALCULO MORTERO'!I414^2)+'BLAZE SHIELD II'!$L$8*'CALCULO MORTERO'!I414+'BLAZE SHIELD II'!$L$9)),0)+IF(AND(L414="Blaze Shield II",M414="Software Idiem",C414="L"),((('BLAZE SHIELD II'!$L$4*('CALCULO MORTERO'!I414^2)+'BLAZE SHIELD II'!$L$5*'CALCULO MORTERO'!I414+'BLAZE SHIELD II'!$L$6)*LN(J414))+('BLAZE SHIELD II'!$L$7*('CALCULO MORTERO'!I414^2)+'BLAZE SHIELD II'!$L$8*'CALCULO MORTERO'!I414+'BLAZE SHIELD II'!$L$9)),0)+IF(AND(L414="Blaze Shield II",M414="Software Idiem",C414="IN",G414=3),((('BLAZE SHIELD II'!$H$14*('CALCULO MORTERO'!I414^2)+'BLAZE SHIELD II'!$H$15*'CALCULO MORTERO'!I414+'BLAZE SHIELD II'!$H$16)*LN(J414))+('BLAZE SHIELD II'!$H$17*('CALCULO MORTERO'!I414^2)+'BLAZE SHIELD II'!$H$18*'CALCULO MORTERO'!I414+'BLAZE SHIELD II'!$H$19)),0),0)+ROUND(IF(AND(L414="Cafco 400",M414="Software Idiem",C414="IN",G414=4),((('CAFCO 400 '!$H$7*(J414^4)+'CAFCO 400 '!$H$8*(J414^3)+'CAFCO 400 '!$H$9*(J414^2)+'CAFCO 400 '!$H$10*J414+'CAFCO 400 '!$H$11)*U414^2)+(('CAFCO 400 '!$H$12*(J414^3)+'CAFCO 400 '!$H$13*(J414^2)+'CAFCO 400 '!$H$14*J414+'CAFCO 400 '!$H$15)*U414)+('CAFCO 400 '!$H$16*(J414^2)+'CAFCO 400 '!$H$17*J414+'CAFCO 400 '!$H$18)),0)+IF(AND(L414="Cafco 400",M414="Software Idiem",C414="Cj"),(((('CAFCO 400 '!$D$7*LN(J414)+'CAFCO 400 '!$D$8)*U414^2)+(('CAFCO 400 '!$D$9*LN(J414)+'CAFCO 400 '!$D$10)*U414)+('CAFCO 400 '!$D$11*LN(J414)+'CAFCO 400 '!$D$12))),0)+IF(AND(L414="Cafco 400",M414="Software Idiem",C414="C"),((('CAFCO 400 '!$L$7*(J414^3)+'CAFCO 400 '!$L$8*(J414^2)+'CAFCO 400 '!$L$9*J414+'CAFCO 400 '!$L$10)*U414^2)+(('CAFCO 400 '!$L$11*(J414^3)+'CAFCO 400 '!$L$12*(J414^2)+'CAFCO 400 '!$L$13*J414+'CAFCO 400 '!$L$14)*U414)+('CAFCO 400 '!$L$15*LN(J414)+'CAFCO 400 '!$L$16)),0)+IF(AND(L414="Cafco 400",M414="Software Idiem",C414="L"),((('CAFCO 400 '!$L$7*(J414^3)+'CAFCO 400 '!$L$8*(J414^2)+'CAFCO 400 '!$L$9*J414+'CAFCO 400 '!$L$10)*U414^2)+(('CAFCO 400 '!$L$11*(J414^3)+'CAFCO 400 '!$L$12*(J414^2)+'CAFCO 400 '!$L$13*J414+'CAFCO 400 '!$L$14)*U414)+('CAFCO 400 '!$L$15*LN(J414)+'CAFCO 400 '!$L$16)),0)+IF(AND(L414="Cafco 400",M414="Software Idiem",C414="IN",G414=3),((('CAFCO 400 '!$D$23*(J414^2)+'CAFCO 400 '!$D$24*(J414)+'CAFCO 400 '!$D$25)*U414^2)+(('CAFCO 400 '!$D$26*(J414^2)+'CAFCO 400 '!$D$27*J414+'CAFCO 400 '!$D$28)*U414)+('CAFCO 400 '!$D$29*(J414^2)+'CAFCO 400 '!$D$30*J414+'CAFCO 400 '!$D$31)),0),0)+IF(AND(L414="Cafco 300",J414&gt;=95,J414&lt;=240,C414="Cj",I414=90),VLOOKUP(T414,'CAFCO 300 IDIEM TABLAS'!$B$4:$D$23,2,FALSE),0)+IF(AND(L414="Cafco 300",J414&gt;=95,J414&lt;=240,C414="Cj",I414=120),VLOOKUP(T414,'CAFCO 300 IDIEM TABLAS'!$B$4:$D$23,3,FALSE),0)+IF(AND(L414="Cafco 300",J414&gt;=95,J414&lt;=400,G414=3,C414="IN",I414=90),VLOOKUP(T414,'CAFCO 300 IDIEM TABLAS'!$F$4:$H$35,2,FALSE),0)+IF(AND(L414="Cafco 300",J414&gt;=95,J414&lt;=400,G414=3,C414="IN",I414=120),VLOOKUP(T414,'CAFCO 300 IDIEM TABLAS'!$F$4:$H$35,3,FALSE),0)+IF(AND(L414="Cafco 300",J414&gt;=95,J414&lt;=450,G414=4,C414="IN",I414=90),VLOOKUP(T414,'CAFCO 300 IDIEM TABLAS'!$J$4:$L$40,2,FALSE),0)+IF(AND(L414="Cafco 300",J414&gt;=95,J414&lt;=450,G414=4,C414="IN",I414=120),VLOOKUP(T414,'CAFCO 300 IDIEM TABLAS'!$J$4:$L$40,3,FALSE),0)+IF(AND(M414="Ensayo Idiem",L414="Cafco 400",C414="IN",G414=4,I414=90),VLOOKUP(T414,'CAFCO 400 ENSAYO'!$B$7:$D$43,2,FALSE),0)+IF(AND(M414="Ensayo Idiem",L414="Cafco 400",C414="IN",G414=4,I414=120),VLOOKUP(T414,'CAFCO 400 ENSAYO'!$B$7:$D$43,3,FALSE),0)</f>
        <v>0</v>
      </c>
      <c r="O414" s="96">
        <f t="shared" si="48"/>
        <v>0</v>
      </c>
      <c r="P414" s="95" t="str">
        <f t="shared" si="43"/>
        <v>N/A</v>
      </c>
      <c r="Q414" s="95" t="str">
        <f t="shared" si="44"/>
        <v>N/A</v>
      </c>
      <c r="R414" s="95" t="str">
        <f t="shared" si="45"/>
        <v>NO CERT.</v>
      </c>
      <c r="S414" s="95" t="e">
        <f t="shared" si="46"/>
        <v>#N/A</v>
      </c>
      <c r="T414" s="119" t="e">
        <f>+IF(J414=LOOKUP(J414,'CAFCO 300 IDIEM TABLAS'!$J$4:$J$40),'CALCULO MORTERO'!J414,MROUND('CALCULO MORTERO'!J414,10))</f>
        <v>#N/A</v>
      </c>
      <c r="U414" s="118">
        <f t="shared" si="47"/>
        <v>0</v>
      </c>
    </row>
    <row r="415" spans="1:21" s="36" customFormat="1" x14ac:dyDescent="0.25">
      <c r="A415" s="118">
        <f>+CUBICACION!D409</f>
        <v>0</v>
      </c>
      <c r="B415" s="819">
        <f>+CUBICACION!E409</f>
        <v>0</v>
      </c>
      <c r="C415" s="675">
        <f>+CUBICACION!F409</f>
        <v>0</v>
      </c>
      <c r="D415" s="118"/>
      <c r="E415" s="118"/>
      <c r="F415" s="820"/>
      <c r="G415" s="675">
        <f>+CUBICACION!J409</f>
        <v>0</v>
      </c>
      <c r="H415" s="118"/>
      <c r="I415" s="821">
        <f>+CUBICACION!L409</f>
        <v>0</v>
      </c>
      <c r="J415" s="64">
        <f>+CUBICACION!M409</f>
        <v>0</v>
      </c>
      <c r="K415" s="822" t="str">
        <f>+CUBICACION!N409</f>
        <v/>
      </c>
      <c r="L415" s="118">
        <f>+CUBICACION!O409</f>
        <v>0</v>
      </c>
      <c r="M415" s="823">
        <f>+CUBICACION!P409</f>
        <v>0</v>
      </c>
      <c r="N415" s="902">
        <f>ROUND(IF(AND(L415="Blaze Shield II",M415="Software Idiem",C415="IN",G415=4),((('BLAZE SHIELD II'!$D$4*('CALCULO MORTERO'!I415^2)+'BLAZE SHIELD II'!$D$5*'CALCULO MORTERO'!I415+'BLAZE SHIELD II'!$D$6)*LN(J415))+('BLAZE SHIELD II'!$D$7*('CALCULO MORTERO'!I415^2)+'BLAZE SHIELD II'!$D$8*'CALCULO MORTERO'!I415+'BLAZE SHIELD II'!$D$9)),0)+IF(AND(L415="Blaze Shield II",M415="Software Idiem",C415="Cj"),((('BLAZE SHIELD II'!$H$4*('CALCULO MORTERO'!I415^2)+'BLAZE SHIELD II'!$H$5*'CALCULO MORTERO'!I415+'BLAZE SHIELD II'!$H$6)*LN(J415))+('BLAZE SHIELD II'!$H$7*('CALCULO MORTERO'!I415^2)+'BLAZE SHIELD II'!$H$8*'CALCULO MORTERO'!I415+'BLAZE SHIELD II'!$H$9)),0)+IF(AND(L415="Blaze Shield II",M415="Software Idiem",C415="C"),((('BLAZE SHIELD II'!$L$4*('CALCULO MORTERO'!I415^2)+'BLAZE SHIELD II'!$L$5*'CALCULO MORTERO'!I415+'BLAZE SHIELD II'!$L$6)*LN(J415))+('BLAZE SHIELD II'!$L$7*('CALCULO MORTERO'!I415^2)+'BLAZE SHIELD II'!$L$8*'CALCULO MORTERO'!I415+'BLAZE SHIELD II'!$L$9)),0)+IF(AND(L415="Blaze Shield II",M415="Software Idiem",C415="L"),((('BLAZE SHIELD II'!$L$4*('CALCULO MORTERO'!I415^2)+'BLAZE SHIELD II'!$L$5*'CALCULO MORTERO'!I415+'BLAZE SHIELD II'!$L$6)*LN(J415))+('BLAZE SHIELD II'!$L$7*('CALCULO MORTERO'!I415^2)+'BLAZE SHIELD II'!$L$8*'CALCULO MORTERO'!I415+'BLAZE SHIELD II'!$L$9)),0)+IF(AND(L415="Blaze Shield II",M415="Software Idiem",C415="IN",G415=3),((('BLAZE SHIELD II'!$H$14*('CALCULO MORTERO'!I415^2)+'BLAZE SHIELD II'!$H$15*'CALCULO MORTERO'!I415+'BLAZE SHIELD II'!$H$16)*LN(J415))+('BLAZE SHIELD II'!$H$17*('CALCULO MORTERO'!I415^2)+'BLAZE SHIELD II'!$H$18*'CALCULO MORTERO'!I415+'BLAZE SHIELD II'!$H$19)),0),0)+ROUND(IF(AND(L415="Cafco 400",M415="Software Idiem",C415="IN",G415=4),((('CAFCO 400 '!$H$7*(J415^4)+'CAFCO 400 '!$H$8*(J415^3)+'CAFCO 400 '!$H$9*(J415^2)+'CAFCO 400 '!$H$10*J415+'CAFCO 400 '!$H$11)*U415^2)+(('CAFCO 400 '!$H$12*(J415^3)+'CAFCO 400 '!$H$13*(J415^2)+'CAFCO 400 '!$H$14*J415+'CAFCO 400 '!$H$15)*U415)+('CAFCO 400 '!$H$16*(J415^2)+'CAFCO 400 '!$H$17*J415+'CAFCO 400 '!$H$18)),0)+IF(AND(L415="Cafco 400",M415="Software Idiem",C415="Cj"),(((('CAFCO 400 '!$D$7*LN(J415)+'CAFCO 400 '!$D$8)*U415^2)+(('CAFCO 400 '!$D$9*LN(J415)+'CAFCO 400 '!$D$10)*U415)+('CAFCO 400 '!$D$11*LN(J415)+'CAFCO 400 '!$D$12))),0)+IF(AND(L415="Cafco 400",M415="Software Idiem",C415="C"),((('CAFCO 400 '!$L$7*(J415^3)+'CAFCO 400 '!$L$8*(J415^2)+'CAFCO 400 '!$L$9*J415+'CAFCO 400 '!$L$10)*U415^2)+(('CAFCO 400 '!$L$11*(J415^3)+'CAFCO 400 '!$L$12*(J415^2)+'CAFCO 400 '!$L$13*J415+'CAFCO 400 '!$L$14)*U415)+('CAFCO 400 '!$L$15*LN(J415)+'CAFCO 400 '!$L$16)),0)+IF(AND(L415="Cafco 400",M415="Software Idiem",C415="L"),((('CAFCO 400 '!$L$7*(J415^3)+'CAFCO 400 '!$L$8*(J415^2)+'CAFCO 400 '!$L$9*J415+'CAFCO 400 '!$L$10)*U415^2)+(('CAFCO 400 '!$L$11*(J415^3)+'CAFCO 400 '!$L$12*(J415^2)+'CAFCO 400 '!$L$13*J415+'CAFCO 400 '!$L$14)*U415)+('CAFCO 400 '!$L$15*LN(J415)+'CAFCO 400 '!$L$16)),0)+IF(AND(L415="Cafco 400",M415="Software Idiem",C415="IN",G415=3),((('CAFCO 400 '!$D$23*(J415^2)+'CAFCO 400 '!$D$24*(J415)+'CAFCO 400 '!$D$25)*U415^2)+(('CAFCO 400 '!$D$26*(J415^2)+'CAFCO 400 '!$D$27*J415+'CAFCO 400 '!$D$28)*U415)+('CAFCO 400 '!$D$29*(J415^2)+'CAFCO 400 '!$D$30*J415+'CAFCO 400 '!$D$31)),0),0)+IF(AND(L415="Cafco 300",J415&gt;=95,J415&lt;=240,C415="Cj",I415=90),VLOOKUP(T415,'CAFCO 300 IDIEM TABLAS'!$B$4:$D$23,2,FALSE),0)+IF(AND(L415="Cafco 300",J415&gt;=95,J415&lt;=240,C415="Cj",I415=120),VLOOKUP(T415,'CAFCO 300 IDIEM TABLAS'!$B$4:$D$23,3,FALSE),0)+IF(AND(L415="Cafco 300",J415&gt;=95,J415&lt;=400,G415=3,C415="IN",I415=90),VLOOKUP(T415,'CAFCO 300 IDIEM TABLAS'!$F$4:$H$35,2,FALSE),0)+IF(AND(L415="Cafco 300",J415&gt;=95,J415&lt;=400,G415=3,C415="IN",I415=120),VLOOKUP(T415,'CAFCO 300 IDIEM TABLAS'!$F$4:$H$35,3,FALSE),0)+IF(AND(L415="Cafco 300",J415&gt;=95,J415&lt;=450,G415=4,C415="IN",I415=90),VLOOKUP(T415,'CAFCO 300 IDIEM TABLAS'!$J$4:$L$40,2,FALSE),0)+IF(AND(L415="Cafco 300",J415&gt;=95,J415&lt;=450,G415=4,C415="IN",I415=120),VLOOKUP(T415,'CAFCO 300 IDIEM TABLAS'!$J$4:$L$40,3,FALSE),0)+IF(AND(M415="Ensayo Idiem",L415="Cafco 400",C415="IN",G415=4,I415=90),VLOOKUP(T415,'CAFCO 400 ENSAYO'!$B$7:$D$43,2,FALSE),0)+IF(AND(M415="Ensayo Idiem",L415="Cafco 400",C415="IN",G415=4,I415=120),VLOOKUP(T415,'CAFCO 400 ENSAYO'!$B$7:$D$43,3,FALSE),0)</f>
        <v>0</v>
      </c>
      <c r="O415" s="96">
        <f t="shared" si="48"/>
        <v>0</v>
      </c>
      <c r="P415" s="132" t="str">
        <f t="shared" si="43"/>
        <v>N/A</v>
      </c>
      <c r="Q415" s="132" t="str">
        <f t="shared" si="44"/>
        <v>N/A</v>
      </c>
      <c r="R415" s="132" t="str">
        <f t="shared" si="45"/>
        <v>NO CERT.</v>
      </c>
      <c r="S415" s="132" t="e">
        <f t="shared" si="46"/>
        <v>#N/A</v>
      </c>
      <c r="T415" s="133" t="e">
        <f>+IF(J415=LOOKUP(J415,'CAFCO 300 IDIEM TABLAS'!$J$4:$J$40),'CALCULO MORTERO'!J415,MROUND('CALCULO MORTERO'!J415,10))</f>
        <v>#N/A</v>
      </c>
      <c r="U415" s="134">
        <f t="shared" si="47"/>
        <v>0</v>
      </c>
    </row>
    <row r="416" spans="1:21" s="36" customFormat="1" x14ac:dyDescent="0.25">
      <c r="A416" s="118">
        <f>+CUBICACION!D410</f>
        <v>0</v>
      </c>
      <c r="B416" s="819">
        <f>+CUBICACION!E410</f>
        <v>0</v>
      </c>
      <c r="C416" s="675">
        <f>+CUBICACION!F410</f>
        <v>0</v>
      </c>
      <c r="D416" s="118"/>
      <c r="E416" s="118"/>
      <c r="F416" s="820"/>
      <c r="G416" s="675">
        <f>+CUBICACION!J410</f>
        <v>0</v>
      </c>
      <c r="H416" s="118"/>
      <c r="I416" s="821">
        <f>+CUBICACION!L410</f>
        <v>0</v>
      </c>
      <c r="J416" s="64">
        <f>+CUBICACION!M410</f>
        <v>0</v>
      </c>
      <c r="K416" s="822" t="str">
        <f>+CUBICACION!N410</f>
        <v/>
      </c>
      <c r="L416" s="118">
        <f>+CUBICACION!O410</f>
        <v>0</v>
      </c>
      <c r="M416" s="823">
        <f>+CUBICACION!P410</f>
        <v>0</v>
      </c>
      <c r="N416" s="902">
        <f>ROUND(IF(AND(L416="Blaze Shield II",M416="Software Idiem",C416="IN",G416=4),((('BLAZE SHIELD II'!$D$4*('CALCULO MORTERO'!I416^2)+'BLAZE SHIELD II'!$D$5*'CALCULO MORTERO'!I416+'BLAZE SHIELD II'!$D$6)*LN(J416))+('BLAZE SHIELD II'!$D$7*('CALCULO MORTERO'!I416^2)+'BLAZE SHIELD II'!$D$8*'CALCULO MORTERO'!I416+'BLAZE SHIELD II'!$D$9)),0)+IF(AND(L416="Blaze Shield II",M416="Software Idiem",C416="Cj"),((('BLAZE SHIELD II'!$H$4*('CALCULO MORTERO'!I416^2)+'BLAZE SHIELD II'!$H$5*'CALCULO MORTERO'!I416+'BLAZE SHIELD II'!$H$6)*LN(J416))+('BLAZE SHIELD II'!$H$7*('CALCULO MORTERO'!I416^2)+'BLAZE SHIELD II'!$H$8*'CALCULO MORTERO'!I416+'BLAZE SHIELD II'!$H$9)),0)+IF(AND(L416="Blaze Shield II",M416="Software Idiem",C416="C"),((('BLAZE SHIELD II'!$L$4*('CALCULO MORTERO'!I416^2)+'BLAZE SHIELD II'!$L$5*'CALCULO MORTERO'!I416+'BLAZE SHIELD II'!$L$6)*LN(J416))+('BLAZE SHIELD II'!$L$7*('CALCULO MORTERO'!I416^2)+'BLAZE SHIELD II'!$L$8*'CALCULO MORTERO'!I416+'BLAZE SHIELD II'!$L$9)),0)+IF(AND(L416="Blaze Shield II",M416="Software Idiem",C416="L"),((('BLAZE SHIELD II'!$L$4*('CALCULO MORTERO'!I416^2)+'BLAZE SHIELD II'!$L$5*'CALCULO MORTERO'!I416+'BLAZE SHIELD II'!$L$6)*LN(J416))+('BLAZE SHIELD II'!$L$7*('CALCULO MORTERO'!I416^2)+'BLAZE SHIELD II'!$L$8*'CALCULO MORTERO'!I416+'BLAZE SHIELD II'!$L$9)),0)+IF(AND(L416="Blaze Shield II",M416="Software Idiem",C416="IN",G416=3),((('BLAZE SHIELD II'!$H$14*('CALCULO MORTERO'!I416^2)+'BLAZE SHIELD II'!$H$15*'CALCULO MORTERO'!I416+'BLAZE SHIELD II'!$H$16)*LN(J416))+('BLAZE SHIELD II'!$H$17*('CALCULO MORTERO'!I416^2)+'BLAZE SHIELD II'!$H$18*'CALCULO MORTERO'!I416+'BLAZE SHIELD II'!$H$19)),0),0)+ROUND(IF(AND(L416="Cafco 400",M416="Software Idiem",C416="IN",G416=4),((('CAFCO 400 '!$H$7*(J416^4)+'CAFCO 400 '!$H$8*(J416^3)+'CAFCO 400 '!$H$9*(J416^2)+'CAFCO 400 '!$H$10*J416+'CAFCO 400 '!$H$11)*U416^2)+(('CAFCO 400 '!$H$12*(J416^3)+'CAFCO 400 '!$H$13*(J416^2)+'CAFCO 400 '!$H$14*J416+'CAFCO 400 '!$H$15)*U416)+('CAFCO 400 '!$H$16*(J416^2)+'CAFCO 400 '!$H$17*J416+'CAFCO 400 '!$H$18)),0)+IF(AND(L416="Cafco 400",M416="Software Idiem",C416="Cj"),(((('CAFCO 400 '!$D$7*LN(J416)+'CAFCO 400 '!$D$8)*U416^2)+(('CAFCO 400 '!$D$9*LN(J416)+'CAFCO 400 '!$D$10)*U416)+('CAFCO 400 '!$D$11*LN(J416)+'CAFCO 400 '!$D$12))),0)+IF(AND(L416="Cafco 400",M416="Software Idiem",C416="C"),((('CAFCO 400 '!$L$7*(J416^3)+'CAFCO 400 '!$L$8*(J416^2)+'CAFCO 400 '!$L$9*J416+'CAFCO 400 '!$L$10)*U416^2)+(('CAFCO 400 '!$L$11*(J416^3)+'CAFCO 400 '!$L$12*(J416^2)+'CAFCO 400 '!$L$13*J416+'CAFCO 400 '!$L$14)*U416)+('CAFCO 400 '!$L$15*LN(J416)+'CAFCO 400 '!$L$16)),0)+IF(AND(L416="Cafco 400",M416="Software Idiem",C416="L"),((('CAFCO 400 '!$L$7*(J416^3)+'CAFCO 400 '!$L$8*(J416^2)+'CAFCO 400 '!$L$9*J416+'CAFCO 400 '!$L$10)*U416^2)+(('CAFCO 400 '!$L$11*(J416^3)+'CAFCO 400 '!$L$12*(J416^2)+'CAFCO 400 '!$L$13*J416+'CAFCO 400 '!$L$14)*U416)+('CAFCO 400 '!$L$15*LN(J416)+'CAFCO 400 '!$L$16)),0)+IF(AND(L416="Cafco 400",M416="Software Idiem",C416="IN",G416=3),((('CAFCO 400 '!$D$23*(J416^2)+'CAFCO 400 '!$D$24*(J416)+'CAFCO 400 '!$D$25)*U416^2)+(('CAFCO 400 '!$D$26*(J416^2)+'CAFCO 400 '!$D$27*J416+'CAFCO 400 '!$D$28)*U416)+('CAFCO 400 '!$D$29*(J416^2)+'CAFCO 400 '!$D$30*J416+'CAFCO 400 '!$D$31)),0),0)+IF(AND(L416="Cafco 300",J416&gt;=95,J416&lt;=240,C416="Cj",I416=90),VLOOKUP(T416,'CAFCO 300 IDIEM TABLAS'!$B$4:$D$23,2,FALSE),0)+IF(AND(L416="Cafco 300",J416&gt;=95,J416&lt;=240,C416="Cj",I416=120),VLOOKUP(T416,'CAFCO 300 IDIEM TABLAS'!$B$4:$D$23,3,FALSE),0)+IF(AND(L416="Cafco 300",J416&gt;=95,J416&lt;=400,G416=3,C416="IN",I416=90),VLOOKUP(T416,'CAFCO 300 IDIEM TABLAS'!$F$4:$H$35,2,FALSE),0)+IF(AND(L416="Cafco 300",J416&gt;=95,J416&lt;=400,G416=3,C416="IN",I416=120),VLOOKUP(T416,'CAFCO 300 IDIEM TABLAS'!$F$4:$H$35,3,FALSE),0)+IF(AND(L416="Cafco 300",J416&gt;=95,J416&lt;=450,G416=4,C416="IN",I416=90),VLOOKUP(T416,'CAFCO 300 IDIEM TABLAS'!$J$4:$L$40,2,FALSE),0)+IF(AND(L416="Cafco 300",J416&gt;=95,J416&lt;=450,G416=4,C416="IN",I416=120),VLOOKUP(T416,'CAFCO 300 IDIEM TABLAS'!$J$4:$L$40,3,FALSE),0)+IF(AND(M416="Ensayo Idiem",L416="Cafco 400",C416="IN",G416=4,I416=90),VLOOKUP(T416,'CAFCO 400 ENSAYO'!$B$7:$D$43,2,FALSE),0)+IF(AND(M416="Ensayo Idiem",L416="Cafco 400",C416="IN",G416=4,I416=120),VLOOKUP(T416,'CAFCO 400 ENSAYO'!$B$7:$D$43,3,FALSE),0)</f>
        <v>0</v>
      </c>
      <c r="O416" s="96">
        <f t="shared" si="48"/>
        <v>0</v>
      </c>
      <c r="P416" s="95" t="str">
        <f t="shared" si="43"/>
        <v>N/A</v>
      </c>
      <c r="Q416" s="95" t="str">
        <f t="shared" si="44"/>
        <v>N/A</v>
      </c>
      <c r="R416" s="95" t="str">
        <f t="shared" si="45"/>
        <v>NO CERT.</v>
      </c>
      <c r="S416" s="95" t="e">
        <f t="shared" si="46"/>
        <v>#N/A</v>
      </c>
      <c r="T416" s="119" t="e">
        <f>+IF(J416=LOOKUP(J416,'CAFCO 300 IDIEM TABLAS'!$J$4:$J$40),'CALCULO MORTERO'!J416,MROUND('CALCULO MORTERO'!J416,10))</f>
        <v>#N/A</v>
      </c>
      <c r="U416" s="118">
        <f t="shared" si="47"/>
        <v>0</v>
      </c>
    </row>
    <row r="417" spans="1:27" s="36" customFormat="1" x14ac:dyDescent="0.25">
      <c r="A417" s="118">
        <f>+CUBICACION!D411</f>
        <v>0</v>
      </c>
      <c r="B417" s="819">
        <f>+CUBICACION!E411</f>
        <v>0</v>
      </c>
      <c r="C417" s="675">
        <f>+CUBICACION!F411</f>
        <v>0</v>
      </c>
      <c r="D417" s="118"/>
      <c r="E417" s="118"/>
      <c r="F417" s="820"/>
      <c r="G417" s="675">
        <f>+CUBICACION!J411</f>
        <v>0</v>
      </c>
      <c r="H417" s="118"/>
      <c r="I417" s="821">
        <f>+CUBICACION!L411</f>
        <v>0</v>
      </c>
      <c r="J417" s="64">
        <f>+CUBICACION!M411</f>
        <v>0</v>
      </c>
      <c r="K417" s="822" t="str">
        <f>+CUBICACION!N411</f>
        <v/>
      </c>
      <c r="L417" s="118">
        <f>+CUBICACION!O411</f>
        <v>0</v>
      </c>
      <c r="M417" s="823">
        <f>+CUBICACION!P411</f>
        <v>0</v>
      </c>
      <c r="N417" s="902">
        <f>ROUND(IF(AND(L417="Blaze Shield II",M417="Software Idiem",C417="IN",G417=4),((('BLAZE SHIELD II'!$D$4*('CALCULO MORTERO'!I417^2)+'BLAZE SHIELD II'!$D$5*'CALCULO MORTERO'!I417+'BLAZE SHIELD II'!$D$6)*LN(J417))+('BLAZE SHIELD II'!$D$7*('CALCULO MORTERO'!I417^2)+'BLAZE SHIELD II'!$D$8*'CALCULO MORTERO'!I417+'BLAZE SHIELD II'!$D$9)),0)+IF(AND(L417="Blaze Shield II",M417="Software Idiem",C417="Cj"),((('BLAZE SHIELD II'!$H$4*('CALCULO MORTERO'!I417^2)+'BLAZE SHIELD II'!$H$5*'CALCULO MORTERO'!I417+'BLAZE SHIELD II'!$H$6)*LN(J417))+('BLAZE SHIELD II'!$H$7*('CALCULO MORTERO'!I417^2)+'BLAZE SHIELD II'!$H$8*'CALCULO MORTERO'!I417+'BLAZE SHIELD II'!$H$9)),0)+IF(AND(L417="Blaze Shield II",M417="Software Idiem",C417="C"),((('BLAZE SHIELD II'!$L$4*('CALCULO MORTERO'!I417^2)+'BLAZE SHIELD II'!$L$5*'CALCULO MORTERO'!I417+'BLAZE SHIELD II'!$L$6)*LN(J417))+('BLAZE SHIELD II'!$L$7*('CALCULO MORTERO'!I417^2)+'BLAZE SHIELD II'!$L$8*'CALCULO MORTERO'!I417+'BLAZE SHIELD II'!$L$9)),0)+IF(AND(L417="Blaze Shield II",M417="Software Idiem",C417="L"),((('BLAZE SHIELD II'!$L$4*('CALCULO MORTERO'!I417^2)+'BLAZE SHIELD II'!$L$5*'CALCULO MORTERO'!I417+'BLAZE SHIELD II'!$L$6)*LN(J417))+('BLAZE SHIELD II'!$L$7*('CALCULO MORTERO'!I417^2)+'BLAZE SHIELD II'!$L$8*'CALCULO MORTERO'!I417+'BLAZE SHIELD II'!$L$9)),0)+IF(AND(L417="Blaze Shield II",M417="Software Idiem",C417="IN",G417=3),((('BLAZE SHIELD II'!$H$14*('CALCULO MORTERO'!I417^2)+'BLAZE SHIELD II'!$H$15*'CALCULO MORTERO'!I417+'BLAZE SHIELD II'!$H$16)*LN(J417))+('BLAZE SHIELD II'!$H$17*('CALCULO MORTERO'!I417^2)+'BLAZE SHIELD II'!$H$18*'CALCULO MORTERO'!I417+'BLAZE SHIELD II'!$H$19)),0),0)+ROUND(IF(AND(L417="Cafco 400",M417="Software Idiem",C417="IN",G417=4),((('CAFCO 400 '!$H$7*(J417^4)+'CAFCO 400 '!$H$8*(J417^3)+'CAFCO 400 '!$H$9*(J417^2)+'CAFCO 400 '!$H$10*J417+'CAFCO 400 '!$H$11)*U417^2)+(('CAFCO 400 '!$H$12*(J417^3)+'CAFCO 400 '!$H$13*(J417^2)+'CAFCO 400 '!$H$14*J417+'CAFCO 400 '!$H$15)*U417)+('CAFCO 400 '!$H$16*(J417^2)+'CAFCO 400 '!$H$17*J417+'CAFCO 400 '!$H$18)),0)+IF(AND(L417="Cafco 400",M417="Software Idiem",C417="Cj"),(((('CAFCO 400 '!$D$7*LN(J417)+'CAFCO 400 '!$D$8)*U417^2)+(('CAFCO 400 '!$D$9*LN(J417)+'CAFCO 400 '!$D$10)*U417)+('CAFCO 400 '!$D$11*LN(J417)+'CAFCO 400 '!$D$12))),0)+IF(AND(L417="Cafco 400",M417="Software Idiem",C417="C"),((('CAFCO 400 '!$L$7*(J417^3)+'CAFCO 400 '!$L$8*(J417^2)+'CAFCO 400 '!$L$9*J417+'CAFCO 400 '!$L$10)*U417^2)+(('CAFCO 400 '!$L$11*(J417^3)+'CAFCO 400 '!$L$12*(J417^2)+'CAFCO 400 '!$L$13*J417+'CAFCO 400 '!$L$14)*U417)+('CAFCO 400 '!$L$15*LN(J417)+'CAFCO 400 '!$L$16)),0)+IF(AND(L417="Cafco 400",M417="Software Idiem",C417="L"),((('CAFCO 400 '!$L$7*(J417^3)+'CAFCO 400 '!$L$8*(J417^2)+'CAFCO 400 '!$L$9*J417+'CAFCO 400 '!$L$10)*U417^2)+(('CAFCO 400 '!$L$11*(J417^3)+'CAFCO 400 '!$L$12*(J417^2)+'CAFCO 400 '!$L$13*J417+'CAFCO 400 '!$L$14)*U417)+('CAFCO 400 '!$L$15*LN(J417)+'CAFCO 400 '!$L$16)),0)+IF(AND(L417="Cafco 400",M417="Software Idiem",C417="IN",G417=3),((('CAFCO 400 '!$D$23*(J417^2)+'CAFCO 400 '!$D$24*(J417)+'CAFCO 400 '!$D$25)*U417^2)+(('CAFCO 400 '!$D$26*(J417^2)+'CAFCO 400 '!$D$27*J417+'CAFCO 400 '!$D$28)*U417)+('CAFCO 400 '!$D$29*(J417^2)+'CAFCO 400 '!$D$30*J417+'CAFCO 400 '!$D$31)),0),0)+IF(AND(L417="Cafco 300",J417&gt;=95,J417&lt;=240,C417="Cj",I417=90),VLOOKUP(T417,'CAFCO 300 IDIEM TABLAS'!$B$4:$D$23,2,FALSE),0)+IF(AND(L417="Cafco 300",J417&gt;=95,J417&lt;=240,C417="Cj",I417=120),VLOOKUP(T417,'CAFCO 300 IDIEM TABLAS'!$B$4:$D$23,3,FALSE),0)+IF(AND(L417="Cafco 300",J417&gt;=95,J417&lt;=400,G417=3,C417="IN",I417=90),VLOOKUP(T417,'CAFCO 300 IDIEM TABLAS'!$F$4:$H$35,2,FALSE),0)+IF(AND(L417="Cafco 300",J417&gt;=95,J417&lt;=400,G417=3,C417="IN",I417=120),VLOOKUP(T417,'CAFCO 300 IDIEM TABLAS'!$F$4:$H$35,3,FALSE),0)+IF(AND(L417="Cafco 300",J417&gt;=95,J417&lt;=450,G417=4,C417="IN",I417=90),VLOOKUP(T417,'CAFCO 300 IDIEM TABLAS'!$J$4:$L$40,2,FALSE),0)+IF(AND(L417="Cafco 300",J417&gt;=95,J417&lt;=450,G417=4,C417="IN",I417=120),VLOOKUP(T417,'CAFCO 300 IDIEM TABLAS'!$J$4:$L$40,3,FALSE),0)+IF(AND(M417="Ensayo Idiem",L417="Cafco 400",C417="IN",G417=4,I417=90),VLOOKUP(T417,'CAFCO 400 ENSAYO'!$B$7:$D$43,2,FALSE),0)+IF(AND(M417="Ensayo Idiem",L417="Cafco 400",C417="IN",G417=4,I417=120),VLOOKUP(T417,'CAFCO 400 ENSAYO'!$B$7:$D$43,3,FALSE),0)</f>
        <v>0</v>
      </c>
      <c r="O417" s="96">
        <f t="shared" si="48"/>
        <v>0</v>
      </c>
      <c r="P417" s="132" t="str">
        <f t="shared" si="43"/>
        <v>N/A</v>
      </c>
      <c r="Q417" s="132" t="str">
        <f t="shared" si="44"/>
        <v>N/A</v>
      </c>
      <c r="R417" s="132" t="str">
        <f t="shared" si="45"/>
        <v>NO CERT.</v>
      </c>
      <c r="S417" s="132" t="e">
        <f t="shared" si="46"/>
        <v>#N/A</v>
      </c>
      <c r="T417" s="133" t="e">
        <f>+IF(J417=LOOKUP(J417,'CAFCO 300 IDIEM TABLAS'!$J$4:$J$40),'CALCULO MORTERO'!J417,MROUND('CALCULO MORTERO'!J417,10))</f>
        <v>#N/A</v>
      </c>
      <c r="U417" s="134">
        <f t="shared" si="47"/>
        <v>0</v>
      </c>
    </row>
    <row r="418" spans="1:27" s="36" customFormat="1" x14ac:dyDescent="0.25">
      <c r="A418" s="118">
        <f>+CUBICACION!D412</f>
        <v>0</v>
      </c>
      <c r="B418" s="819">
        <f>+CUBICACION!E412</f>
        <v>0</v>
      </c>
      <c r="C418" s="675">
        <f>+CUBICACION!F412</f>
        <v>0</v>
      </c>
      <c r="D418" s="118"/>
      <c r="E418" s="118"/>
      <c r="F418" s="820"/>
      <c r="G418" s="675">
        <f>+CUBICACION!J412</f>
        <v>0</v>
      </c>
      <c r="H418" s="118"/>
      <c r="I418" s="821">
        <f>+CUBICACION!L412</f>
        <v>0</v>
      </c>
      <c r="J418" s="64">
        <f>+CUBICACION!M412</f>
        <v>0</v>
      </c>
      <c r="K418" s="822" t="str">
        <f>+CUBICACION!N412</f>
        <v/>
      </c>
      <c r="L418" s="118">
        <f>+CUBICACION!O412</f>
        <v>0</v>
      </c>
      <c r="M418" s="823">
        <f>+CUBICACION!P412</f>
        <v>0</v>
      </c>
      <c r="N418" s="902">
        <f>ROUND(IF(AND(L418="Blaze Shield II",M418="Software Idiem",C418="IN",G418=4),((('BLAZE SHIELD II'!$D$4*('CALCULO MORTERO'!I418^2)+'BLAZE SHIELD II'!$D$5*'CALCULO MORTERO'!I418+'BLAZE SHIELD II'!$D$6)*LN(J418))+('BLAZE SHIELD II'!$D$7*('CALCULO MORTERO'!I418^2)+'BLAZE SHIELD II'!$D$8*'CALCULO MORTERO'!I418+'BLAZE SHIELD II'!$D$9)),0)+IF(AND(L418="Blaze Shield II",M418="Software Idiem",C418="Cj"),((('BLAZE SHIELD II'!$H$4*('CALCULO MORTERO'!I418^2)+'BLAZE SHIELD II'!$H$5*'CALCULO MORTERO'!I418+'BLAZE SHIELD II'!$H$6)*LN(J418))+('BLAZE SHIELD II'!$H$7*('CALCULO MORTERO'!I418^2)+'BLAZE SHIELD II'!$H$8*'CALCULO MORTERO'!I418+'BLAZE SHIELD II'!$H$9)),0)+IF(AND(L418="Blaze Shield II",M418="Software Idiem",C418="C"),((('BLAZE SHIELD II'!$L$4*('CALCULO MORTERO'!I418^2)+'BLAZE SHIELD II'!$L$5*'CALCULO MORTERO'!I418+'BLAZE SHIELD II'!$L$6)*LN(J418))+('BLAZE SHIELD II'!$L$7*('CALCULO MORTERO'!I418^2)+'BLAZE SHIELD II'!$L$8*'CALCULO MORTERO'!I418+'BLAZE SHIELD II'!$L$9)),0)+IF(AND(L418="Blaze Shield II",M418="Software Idiem",C418="L"),((('BLAZE SHIELD II'!$L$4*('CALCULO MORTERO'!I418^2)+'BLAZE SHIELD II'!$L$5*'CALCULO MORTERO'!I418+'BLAZE SHIELD II'!$L$6)*LN(J418))+('BLAZE SHIELD II'!$L$7*('CALCULO MORTERO'!I418^2)+'BLAZE SHIELD II'!$L$8*'CALCULO MORTERO'!I418+'BLAZE SHIELD II'!$L$9)),0)+IF(AND(L418="Blaze Shield II",M418="Software Idiem",C418="IN",G418=3),((('BLAZE SHIELD II'!$H$14*('CALCULO MORTERO'!I418^2)+'BLAZE SHIELD II'!$H$15*'CALCULO MORTERO'!I418+'BLAZE SHIELD II'!$H$16)*LN(J418))+('BLAZE SHIELD II'!$H$17*('CALCULO MORTERO'!I418^2)+'BLAZE SHIELD II'!$H$18*'CALCULO MORTERO'!I418+'BLAZE SHIELD II'!$H$19)),0),0)+ROUND(IF(AND(L418="Cafco 400",M418="Software Idiem",C418="IN",G418=4),((('CAFCO 400 '!$H$7*(J418^4)+'CAFCO 400 '!$H$8*(J418^3)+'CAFCO 400 '!$H$9*(J418^2)+'CAFCO 400 '!$H$10*J418+'CAFCO 400 '!$H$11)*U418^2)+(('CAFCO 400 '!$H$12*(J418^3)+'CAFCO 400 '!$H$13*(J418^2)+'CAFCO 400 '!$H$14*J418+'CAFCO 400 '!$H$15)*U418)+('CAFCO 400 '!$H$16*(J418^2)+'CAFCO 400 '!$H$17*J418+'CAFCO 400 '!$H$18)),0)+IF(AND(L418="Cafco 400",M418="Software Idiem",C418="Cj"),(((('CAFCO 400 '!$D$7*LN(J418)+'CAFCO 400 '!$D$8)*U418^2)+(('CAFCO 400 '!$D$9*LN(J418)+'CAFCO 400 '!$D$10)*U418)+('CAFCO 400 '!$D$11*LN(J418)+'CAFCO 400 '!$D$12))),0)+IF(AND(L418="Cafco 400",M418="Software Idiem",C418="C"),((('CAFCO 400 '!$L$7*(J418^3)+'CAFCO 400 '!$L$8*(J418^2)+'CAFCO 400 '!$L$9*J418+'CAFCO 400 '!$L$10)*U418^2)+(('CAFCO 400 '!$L$11*(J418^3)+'CAFCO 400 '!$L$12*(J418^2)+'CAFCO 400 '!$L$13*J418+'CAFCO 400 '!$L$14)*U418)+('CAFCO 400 '!$L$15*LN(J418)+'CAFCO 400 '!$L$16)),0)+IF(AND(L418="Cafco 400",M418="Software Idiem",C418="L"),((('CAFCO 400 '!$L$7*(J418^3)+'CAFCO 400 '!$L$8*(J418^2)+'CAFCO 400 '!$L$9*J418+'CAFCO 400 '!$L$10)*U418^2)+(('CAFCO 400 '!$L$11*(J418^3)+'CAFCO 400 '!$L$12*(J418^2)+'CAFCO 400 '!$L$13*J418+'CAFCO 400 '!$L$14)*U418)+('CAFCO 400 '!$L$15*LN(J418)+'CAFCO 400 '!$L$16)),0)+IF(AND(L418="Cafco 400",M418="Software Idiem",C418="IN",G418=3),((('CAFCO 400 '!$D$23*(J418^2)+'CAFCO 400 '!$D$24*(J418)+'CAFCO 400 '!$D$25)*U418^2)+(('CAFCO 400 '!$D$26*(J418^2)+'CAFCO 400 '!$D$27*J418+'CAFCO 400 '!$D$28)*U418)+('CAFCO 400 '!$D$29*(J418^2)+'CAFCO 400 '!$D$30*J418+'CAFCO 400 '!$D$31)),0),0)+IF(AND(L418="Cafco 300",J418&gt;=95,J418&lt;=240,C418="Cj",I418=90),VLOOKUP(T418,'CAFCO 300 IDIEM TABLAS'!$B$4:$D$23,2,FALSE),0)+IF(AND(L418="Cafco 300",J418&gt;=95,J418&lt;=240,C418="Cj",I418=120),VLOOKUP(T418,'CAFCO 300 IDIEM TABLAS'!$B$4:$D$23,3,FALSE),0)+IF(AND(L418="Cafco 300",J418&gt;=95,J418&lt;=400,G418=3,C418="IN",I418=90),VLOOKUP(T418,'CAFCO 300 IDIEM TABLAS'!$F$4:$H$35,2,FALSE),0)+IF(AND(L418="Cafco 300",J418&gt;=95,J418&lt;=400,G418=3,C418="IN",I418=120),VLOOKUP(T418,'CAFCO 300 IDIEM TABLAS'!$F$4:$H$35,3,FALSE),0)+IF(AND(L418="Cafco 300",J418&gt;=95,J418&lt;=450,G418=4,C418="IN",I418=90),VLOOKUP(T418,'CAFCO 300 IDIEM TABLAS'!$J$4:$L$40,2,FALSE),0)+IF(AND(L418="Cafco 300",J418&gt;=95,J418&lt;=450,G418=4,C418="IN",I418=120),VLOOKUP(T418,'CAFCO 300 IDIEM TABLAS'!$J$4:$L$40,3,FALSE),0)+IF(AND(M418="Ensayo Idiem",L418="Cafco 400",C418="IN",G418=4,I418=90),VLOOKUP(T418,'CAFCO 400 ENSAYO'!$B$7:$D$43,2,FALSE),0)+IF(AND(M418="Ensayo Idiem",L418="Cafco 400",C418="IN",G418=4,I418=120),VLOOKUP(T418,'CAFCO 400 ENSAYO'!$B$7:$D$43,3,FALSE),0)</f>
        <v>0</v>
      </c>
      <c r="O418" s="96">
        <f t="shared" si="48"/>
        <v>0</v>
      </c>
      <c r="P418" s="95" t="str">
        <f t="shared" si="43"/>
        <v>N/A</v>
      </c>
      <c r="Q418" s="95" t="str">
        <f t="shared" si="44"/>
        <v>N/A</v>
      </c>
      <c r="R418" s="95" t="str">
        <f t="shared" si="45"/>
        <v>NO CERT.</v>
      </c>
      <c r="S418" s="95" t="e">
        <f t="shared" si="46"/>
        <v>#N/A</v>
      </c>
      <c r="T418" s="119" t="e">
        <f>+IF(J418=LOOKUP(J418,'CAFCO 300 IDIEM TABLAS'!$J$4:$J$40),'CALCULO MORTERO'!J418,MROUND('CALCULO MORTERO'!J418,10))</f>
        <v>#N/A</v>
      </c>
      <c r="U418" s="118">
        <f t="shared" si="47"/>
        <v>0</v>
      </c>
    </row>
    <row r="419" spans="1:27" s="36" customFormat="1" x14ac:dyDescent="0.25">
      <c r="A419" s="118">
        <f>+CUBICACION!D413</f>
        <v>0</v>
      </c>
      <c r="B419" s="819">
        <f>+CUBICACION!E413</f>
        <v>0</v>
      </c>
      <c r="C419" s="675">
        <f>+CUBICACION!F413</f>
        <v>0</v>
      </c>
      <c r="D419" s="118"/>
      <c r="E419" s="118"/>
      <c r="F419" s="820"/>
      <c r="G419" s="675">
        <f>+CUBICACION!J413</f>
        <v>0</v>
      </c>
      <c r="H419" s="118"/>
      <c r="I419" s="821">
        <f>+CUBICACION!L413</f>
        <v>0</v>
      </c>
      <c r="J419" s="64">
        <f>+CUBICACION!M413</f>
        <v>0</v>
      </c>
      <c r="K419" s="822" t="str">
        <f>+CUBICACION!N413</f>
        <v/>
      </c>
      <c r="L419" s="118">
        <f>+CUBICACION!O413</f>
        <v>0</v>
      </c>
      <c r="M419" s="823">
        <f>+CUBICACION!P413</f>
        <v>0</v>
      </c>
      <c r="N419" s="902">
        <f>ROUND(IF(AND(L419="Blaze Shield II",M419="Software Idiem",C419="IN",G419=4),((('BLAZE SHIELD II'!$D$4*('CALCULO MORTERO'!I419^2)+'BLAZE SHIELD II'!$D$5*'CALCULO MORTERO'!I419+'BLAZE SHIELD II'!$D$6)*LN(J419))+('BLAZE SHIELD II'!$D$7*('CALCULO MORTERO'!I419^2)+'BLAZE SHIELD II'!$D$8*'CALCULO MORTERO'!I419+'BLAZE SHIELD II'!$D$9)),0)+IF(AND(L419="Blaze Shield II",M419="Software Idiem",C419="Cj"),((('BLAZE SHIELD II'!$H$4*('CALCULO MORTERO'!I419^2)+'BLAZE SHIELD II'!$H$5*'CALCULO MORTERO'!I419+'BLAZE SHIELD II'!$H$6)*LN(J419))+('BLAZE SHIELD II'!$H$7*('CALCULO MORTERO'!I419^2)+'BLAZE SHIELD II'!$H$8*'CALCULO MORTERO'!I419+'BLAZE SHIELD II'!$H$9)),0)+IF(AND(L419="Blaze Shield II",M419="Software Idiem",C419="C"),((('BLAZE SHIELD II'!$L$4*('CALCULO MORTERO'!I419^2)+'BLAZE SHIELD II'!$L$5*'CALCULO MORTERO'!I419+'BLAZE SHIELD II'!$L$6)*LN(J419))+('BLAZE SHIELD II'!$L$7*('CALCULO MORTERO'!I419^2)+'BLAZE SHIELD II'!$L$8*'CALCULO MORTERO'!I419+'BLAZE SHIELD II'!$L$9)),0)+IF(AND(L419="Blaze Shield II",M419="Software Idiem",C419="L"),((('BLAZE SHIELD II'!$L$4*('CALCULO MORTERO'!I419^2)+'BLAZE SHIELD II'!$L$5*'CALCULO MORTERO'!I419+'BLAZE SHIELD II'!$L$6)*LN(J419))+('BLAZE SHIELD II'!$L$7*('CALCULO MORTERO'!I419^2)+'BLAZE SHIELD II'!$L$8*'CALCULO MORTERO'!I419+'BLAZE SHIELD II'!$L$9)),0)+IF(AND(L419="Blaze Shield II",M419="Software Idiem",C419="IN",G419=3),((('BLAZE SHIELD II'!$H$14*('CALCULO MORTERO'!I419^2)+'BLAZE SHIELD II'!$H$15*'CALCULO MORTERO'!I419+'BLAZE SHIELD II'!$H$16)*LN(J419))+('BLAZE SHIELD II'!$H$17*('CALCULO MORTERO'!I419^2)+'BLAZE SHIELD II'!$H$18*'CALCULO MORTERO'!I419+'BLAZE SHIELD II'!$H$19)),0),0)+ROUND(IF(AND(L419="Cafco 400",M419="Software Idiem",C419="IN",G419=4),((('CAFCO 400 '!$H$7*(J419^4)+'CAFCO 400 '!$H$8*(J419^3)+'CAFCO 400 '!$H$9*(J419^2)+'CAFCO 400 '!$H$10*J419+'CAFCO 400 '!$H$11)*U419^2)+(('CAFCO 400 '!$H$12*(J419^3)+'CAFCO 400 '!$H$13*(J419^2)+'CAFCO 400 '!$H$14*J419+'CAFCO 400 '!$H$15)*U419)+('CAFCO 400 '!$H$16*(J419^2)+'CAFCO 400 '!$H$17*J419+'CAFCO 400 '!$H$18)),0)+IF(AND(L419="Cafco 400",M419="Software Idiem",C419="Cj"),(((('CAFCO 400 '!$D$7*LN(J419)+'CAFCO 400 '!$D$8)*U419^2)+(('CAFCO 400 '!$D$9*LN(J419)+'CAFCO 400 '!$D$10)*U419)+('CAFCO 400 '!$D$11*LN(J419)+'CAFCO 400 '!$D$12))),0)+IF(AND(L419="Cafco 400",M419="Software Idiem",C419="C"),((('CAFCO 400 '!$L$7*(J419^3)+'CAFCO 400 '!$L$8*(J419^2)+'CAFCO 400 '!$L$9*J419+'CAFCO 400 '!$L$10)*U419^2)+(('CAFCO 400 '!$L$11*(J419^3)+'CAFCO 400 '!$L$12*(J419^2)+'CAFCO 400 '!$L$13*J419+'CAFCO 400 '!$L$14)*U419)+('CAFCO 400 '!$L$15*LN(J419)+'CAFCO 400 '!$L$16)),0)+IF(AND(L419="Cafco 400",M419="Software Idiem",C419="L"),((('CAFCO 400 '!$L$7*(J419^3)+'CAFCO 400 '!$L$8*(J419^2)+'CAFCO 400 '!$L$9*J419+'CAFCO 400 '!$L$10)*U419^2)+(('CAFCO 400 '!$L$11*(J419^3)+'CAFCO 400 '!$L$12*(J419^2)+'CAFCO 400 '!$L$13*J419+'CAFCO 400 '!$L$14)*U419)+('CAFCO 400 '!$L$15*LN(J419)+'CAFCO 400 '!$L$16)),0)+IF(AND(L419="Cafco 400",M419="Software Idiem",C419="IN",G419=3),((('CAFCO 400 '!$D$23*(J419^2)+'CAFCO 400 '!$D$24*(J419)+'CAFCO 400 '!$D$25)*U419^2)+(('CAFCO 400 '!$D$26*(J419^2)+'CAFCO 400 '!$D$27*J419+'CAFCO 400 '!$D$28)*U419)+('CAFCO 400 '!$D$29*(J419^2)+'CAFCO 400 '!$D$30*J419+'CAFCO 400 '!$D$31)),0),0)+IF(AND(L419="Cafco 300",J419&gt;=95,J419&lt;=240,C419="Cj",I419=90),VLOOKUP(T419,'CAFCO 300 IDIEM TABLAS'!$B$4:$D$23,2,FALSE),0)+IF(AND(L419="Cafco 300",J419&gt;=95,J419&lt;=240,C419="Cj",I419=120),VLOOKUP(T419,'CAFCO 300 IDIEM TABLAS'!$B$4:$D$23,3,FALSE),0)+IF(AND(L419="Cafco 300",J419&gt;=95,J419&lt;=400,G419=3,C419="IN",I419=90),VLOOKUP(T419,'CAFCO 300 IDIEM TABLAS'!$F$4:$H$35,2,FALSE),0)+IF(AND(L419="Cafco 300",J419&gt;=95,J419&lt;=400,G419=3,C419="IN",I419=120),VLOOKUP(T419,'CAFCO 300 IDIEM TABLAS'!$F$4:$H$35,3,FALSE),0)+IF(AND(L419="Cafco 300",J419&gt;=95,J419&lt;=450,G419=4,C419="IN",I419=90),VLOOKUP(T419,'CAFCO 300 IDIEM TABLAS'!$J$4:$L$40,2,FALSE),0)+IF(AND(L419="Cafco 300",J419&gt;=95,J419&lt;=450,G419=4,C419="IN",I419=120),VLOOKUP(T419,'CAFCO 300 IDIEM TABLAS'!$J$4:$L$40,3,FALSE),0)+IF(AND(M419="Ensayo Idiem",L419="Cafco 400",C419="IN",G419=4,I419=90),VLOOKUP(T419,'CAFCO 400 ENSAYO'!$B$7:$D$43,2,FALSE),0)+IF(AND(M419="Ensayo Idiem",L419="Cafco 400",C419="IN",G419=4,I419=120),VLOOKUP(T419,'CAFCO 400 ENSAYO'!$B$7:$D$43,3,FALSE),0)</f>
        <v>0</v>
      </c>
      <c r="O419" s="96">
        <f t="shared" si="48"/>
        <v>0</v>
      </c>
      <c r="P419" s="132" t="str">
        <f t="shared" si="43"/>
        <v>N/A</v>
      </c>
      <c r="Q419" s="132" t="str">
        <f t="shared" si="44"/>
        <v>N/A</v>
      </c>
      <c r="R419" s="132" t="str">
        <f t="shared" si="45"/>
        <v>NO CERT.</v>
      </c>
      <c r="S419" s="132" t="e">
        <f t="shared" si="46"/>
        <v>#N/A</v>
      </c>
      <c r="T419" s="133" t="e">
        <f>+IF(J419=LOOKUP(J419,'CAFCO 300 IDIEM TABLAS'!$J$4:$J$40),'CALCULO MORTERO'!J419,MROUND('CALCULO MORTERO'!J419,10))</f>
        <v>#N/A</v>
      </c>
      <c r="U419" s="134">
        <f t="shared" si="47"/>
        <v>0</v>
      </c>
    </row>
    <row r="420" spans="1:27" s="36" customFormat="1" x14ac:dyDescent="0.25">
      <c r="A420" s="118">
        <f>+CUBICACION!D414</f>
        <v>0</v>
      </c>
      <c r="B420" s="819">
        <f>+CUBICACION!E414</f>
        <v>0</v>
      </c>
      <c r="C420" s="675">
        <f>+CUBICACION!F414</f>
        <v>0</v>
      </c>
      <c r="D420" s="118"/>
      <c r="E420" s="118"/>
      <c r="F420" s="820"/>
      <c r="G420" s="675">
        <f>+CUBICACION!J414</f>
        <v>0</v>
      </c>
      <c r="H420" s="118"/>
      <c r="I420" s="821">
        <f>+CUBICACION!L414</f>
        <v>0</v>
      </c>
      <c r="J420" s="64">
        <f>+CUBICACION!M414</f>
        <v>0</v>
      </c>
      <c r="K420" s="822" t="str">
        <f>+CUBICACION!N414</f>
        <v/>
      </c>
      <c r="L420" s="118">
        <f>+CUBICACION!O414</f>
        <v>0</v>
      </c>
      <c r="M420" s="823">
        <f>+CUBICACION!P414</f>
        <v>0</v>
      </c>
      <c r="N420" s="902">
        <f>ROUND(IF(AND(L420="Blaze Shield II",M420="Software Idiem",C420="IN",G420=4),((('BLAZE SHIELD II'!$D$4*('CALCULO MORTERO'!I420^2)+'BLAZE SHIELD II'!$D$5*'CALCULO MORTERO'!I420+'BLAZE SHIELD II'!$D$6)*LN(J420))+('BLAZE SHIELD II'!$D$7*('CALCULO MORTERO'!I420^2)+'BLAZE SHIELD II'!$D$8*'CALCULO MORTERO'!I420+'BLAZE SHIELD II'!$D$9)),0)+IF(AND(L420="Blaze Shield II",M420="Software Idiem",C420="Cj"),((('BLAZE SHIELD II'!$H$4*('CALCULO MORTERO'!I420^2)+'BLAZE SHIELD II'!$H$5*'CALCULO MORTERO'!I420+'BLAZE SHIELD II'!$H$6)*LN(J420))+('BLAZE SHIELD II'!$H$7*('CALCULO MORTERO'!I420^2)+'BLAZE SHIELD II'!$H$8*'CALCULO MORTERO'!I420+'BLAZE SHIELD II'!$H$9)),0)+IF(AND(L420="Blaze Shield II",M420="Software Idiem",C420="C"),((('BLAZE SHIELD II'!$L$4*('CALCULO MORTERO'!I420^2)+'BLAZE SHIELD II'!$L$5*'CALCULO MORTERO'!I420+'BLAZE SHIELD II'!$L$6)*LN(J420))+('BLAZE SHIELD II'!$L$7*('CALCULO MORTERO'!I420^2)+'BLAZE SHIELD II'!$L$8*'CALCULO MORTERO'!I420+'BLAZE SHIELD II'!$L$9)),0)+IF(AND(L420="Blaze Shield II",M420="Software Idiem",C420="L"),((('BLAZE SHIELD II'!$L$4*('CALCULO MORTERO'!I420^2)+'BLAZE SHIELD II'!$L$5*'CALCULO MORTERO'!I420+'BLAZE SHIELD II'!$L$6)*LN(J420))+('BLAZE SHIELD II'!$L$7*('CALCULO MORTERO'!I420^2)+'BLAZE SHIELD II'!$L$8*'CALCULO MORTERO'!I420+'BLAZE SHIELD II'!$L$9)),0)+IF(AND(L420="Blaze Shield II",M420="Software Idiem",C420="IN",G420=3),((('BLAZE SHIELD II'!$H$14*('CALCULO MORTERO'!I420^2)+'BLAZE SHIELD II'!$H$15*'CALCULO MORTERO'!I420+'BLAZE SHIELD II'!$H$16)*LN(J420))+('BLAZE SHIELD II'!$H$17*('CALCULO MORTERO'!I420^2)+'BLAZE SHIELD II'!$H$18*'CALCULO MORTERO'!I420+'BLAZE SHIELD II'!$H$19)),0),0)+ROUND(IF(AND(L420="Cafco 400",M420="Software Idiem",C420="IN",G420=4),((('CAFCO 400 '!$H$7*(J420^4)+'CAFCO 400 '!$H$8*(J420^3)+'CAFCO 400 '!$H$9*(J420^2)+'CAFCO 400 '!$H$10*J420+'CAFCO 400 '!$H$11)*U420^2)+(('CAFCO 400 '!$H$12*(J420^3)+'CAFCO 400 '!$H$13*(J420^2)+'CAFCO 400 '!$H$14*J420+'CAFCO 400 '!$H$15)*U420)+('CAFCO 400 '!$H$16*(J420^2)+'CAFCO 400 '!$H$17*J420+'CAFCO 400 '!$H$18)),0)+IF(AND(L420="Cafco 400",M420="Software Idiem",C420="Cj"),(((('CAFCO 400 '!$D$7*LN(J420)+'CAFCO 400 '!$D$8)*U420^2)+(('CAFCO 400 '!$D$9*LN(J420)+'CAFCO 400 '!$D$10)*U420)+('CAFCO 400 '!$D$11*LN(J420)+'CAFCO 400 '!$D$12))),0)+IF(AND(L420="Cafco 400",M420="Software Idiem",C420="C"),((('CAFCO 400 '!$L$7*(J420^3)+'CAFCO 400 '!$L$8*(J420^2)+'CAFCO 400 '!$L$9*J420+'CAFCO 400 '!$L$10)*U420^2)+(('CAFCO 400 '!$L$11*(J420^3)+'CAFCO 400 '!$L$12*(J420^2)+'CAFCO 400 '!$L$13*J420+'CAFCO 400 '!$L$14)*U420)+('CAFCO 400 '!$L$15*LN(J420)+'CAFCO 400 '!$L$16)),0)+IF(AND(L420="Cafco 400",M420="Software Idiem",C420="L"),((('CAFCO 400 '!$L$7*(J420^3)+'CAFCO 400 '!$L$8*(J420^2)+'CAFCO 400 '!$L$9*J420+'CAFCO 400 '!$L$10)*U420^2)+(('CAFCO 400 '!$L$11*(J420^3)+'CAFCO 400 '!$L$12*(J420^2)+'CAFCO 400 '!$L$13*J420+'CAFCO 400 '!$L$14)*U420)+('CAFCO 400 '!$L$15*LN(J420)+'CAFCO 400 '!$L$16)),0)+IF(AND(L420="Cafco 400",M420="Software Idiem",C420="IN",G420=3),((('CAFCO 400 '!$D$23*(J420^2)+'CAFCO 400 '!$D$24*(J420)+'CAFCO 400 '!$D$25)*U420^2)+(('CAFCO 400 '!$D$26*(J420^2)+'CAFCO 400 '!$D$27*J420+'CAFCO 400 '!$D$28)*U420)+('CAFCO 400 '!$D$29*(J420^2)+'CAFCO 400 '!$D$30*J420+'CAFCO 400 '!$D$31)),0),0)+IF(AND(L420="Cafco 300",J420&gt;=95,J420&lt;=240,C420="Cj",I420=90),VLOOKUP(T420,'CAFCO 300 IDIEM TABLAS'!$B$4:$D$23,2,FALSE),0)+IF(AND(L420="Cafco 300",J420&gt;=95,J420&lt;=240,C420="Cj",I420=120),VLOOKUP(T420,'CAFCO 300 IDIEM TABLAS'!$B$4:$D$23,3,FALSE),0)+IF(AND(L420="Cafco 300",J420&gt;=95,J420&lt;=400,G420=3,C420="IN",I420=90),VLOOKUP(T420,'CAFCO 300 IDIEM TABLAS'!$F$4:$H$35,2,FALSE),0)+IF(AND(L420="Cafco 300",J420&gt;=95,J420&lt;=400,G420=3,C420="IN",I420=120),VLOOKUP(T420,'CAFCO 300 IDIEM TABLAS'!$F$4:$H$35,3,FALSE),0)+IF(AND(L420="Cafco 300",J420&gt;=95,J420&lt;=450,G420=4,C420="IN",I420=90),VLOOKUP(T420,'CAFCO 300 IDIEM TABLAS'!$J$4:$L$40,2,FALSE),0)+IF(AND(L420="Cafco 300",J420&gt;=95,J420&lt;=450,G420=4,C420="IN",I420=120),VLOOKUP(T420,'CAFCO 300 IDIEM TABLAS'!$J$4:$L$40,3,FALSE),0)+IF(AND(M420="Ensayo Idiem",L420="Cafco 400",C420="IN",G420=4,I420=90),VLOOKUP(T420,'CAFCO 400 ENSAYO'!$B$7:$D$43,2,FALSE),0)+IF(AND(M420="Ensayo Idiem",L420="Cafco 400",C420="IN",G420=4,I420=120),VLOOKUP(T420,'CAFCO 400 ENSAYO'!$B$7:$D$43,3,FALSE),0)</f>
        <v>0</v>
      </c>
      <c r="O420" s="96">
        <f t="shared" si="48"/>
        <v>0</v>
      </c>
      <c r="P420" s="95" t="str">
        <f t="shared" si="43"/>
        <v>N/A</v>
      </c>
      <c r="Q420" s="95" t="str">
        <f t="shared" si="44"/>
        <v>N/A</v>
      </c>
      <c r="R420" s="95" t="str">
        <f t="shared" si="45"/>
        <v>NO CERT.</v>
      </c>
      <c r="S420" s="95" t="e">
        <f t="shared" si="46"/>
        <v>#N/A</v>
      </c>
      <c r="T420" s="119" t="e">
        <f>+IF(J420=LOOKUP(J420,'CAFCO 300 IDIEM TABLAS'!$J$4:$J$40),'CALCULO MORTERO'!J420,MROUND('CALCULO MORTERO'!J420,10))</f>
        <v>#N/A</v>
      </c>
      <c r="U420" s="118">
        <f t="shared" si="47"/>
        <v>0</v>
      </c>
    </row>
    <row r="421" spans="1:27" s="36" customFormat="1" x14ac:dyDescent="0.25">
      <c r="A421" s="118">
        <f>+CUBICACION!D415</f>
        <v>0</v>
      </c>
      <c r="B421" s="819">
        <f>+CUBICACION!E415</f>
        <v>0</v>
      </c>
      <c r="C421" s="675">
        <f>+CUBICACION!F415</f>
        <v>0</v>
      </c>
      <c r="D421" s="118"/>
      <c r="E421" s="118"/>
      <c r="F421" s="820"/>
      <c r="G421" s="675">
        <f>+CUBICACION!J415</f>
        <v>0</v>
      </c>
      <c r="H421" s="118"/>
      <c r="I421" s="821">
        <f>+CUBICACION!L415</f>
        <v>0</v>
      </c>
      <c r="J421" s="64">
        <f>+CUBICACION!M415</f>
        <v>0</v>
      </c>
      <c r="K421" s="822" t="str">
        <f>+CUBICACION!N415</f>
        <v/>
      </c>
      <c r="L421" s="118">
        <f>+CUBICACION!O415</f>
        <v>0</v>
      </c>
      <c r="M421" s="823">
        <f>+CUBICACION!P415</f>
        <v>0</v>
      </c>
      <c r="N421" s="902">
        <f>ROUND(IF(AND(L421="Blaze Shield II",M421="Software Idiem",C421="IN",G421=4),((('BLAZE SHIELD II'!$D$4*('CALCULO MORTERO'!I421^2)+'BLAZE SHIELD II'!$D$5*'CALCULO MORTERO'!I421+'BLAZE SHIELD II'!$D$6)*LN(J421))+('BLAZE SHIELD II'!$D$7*('CALCULO MORTERO'!I421^2)+'BLAZE SHIELD II'!$D$8*'CALCULO MORTERO'!I421+'BLAZE SHIELD II'!$D$9)),0)+IF(AND(L421="Blaze Shield II",M421="Software Idiem",C421="Cj"),((('BLAZE SHIELD II'!$H$4*('CALCULO MORTERO'!I421^2)+'BLAZE SHIELD II'!$H$5*'CALCULO MORTERO'!I421+'BLAZE SHIELD II'!$H$6)*LN(J421))+('BLAZE SHIELD II'!$H$7*('CALCULO MORTERO'!I421^2)+'BLAZE SHIELD II'!$H$8*'CALCULO MORTERO'!I421+'BLAZE SHIELD II'!$H$9)),0)+IF(AND(L421="Blaze Shield II",M421="Software Idiem",C421="C"),((('BLAZE SHIELD II'!$L$4*('CALCULO MORTERO'!I421^2)+'BLAZE SHIELD II'!$L$5*'CALCULO MORTERO'!I421+'BLAZE SHIELD II'!$L$6)*LN(J421))+('BLAZE SHIELD II'!$L$7*('CALCULO MORTERO'!I421^2)+'BLAZE SHIELD II'!$L$8*'CALCULO MORTERO'!I421+'BLAZE SHIELD II'!$L$9)),0)+IF(AND(L421="Blaze Shield II",M421="Software Idiem",C421="L"),((('BLAZE SHIELD II'!$L$4*('CALCULO MORTERO'!I421^2)+'BLAZE SHIELD II'!$L$5*'CALCULO MORTERO'!I421+'BLAZE SHIELD II'!$L$6)*LN(J421))+('BLAZE SHIELD II'!$L$7*('CALCULO MORTERO'!I421^2)+'BLAZE SHIELD II'!$L$8*'CALCULO MORTERO'!I421+'BLAZE SHIELD II'!$L$9)),0)+IF(AND(L421="Blaze Shield II",M421="Software Idiem",C421="IN",G421=3),((('BLAZE SHIELD II'!$H$14*('CALCULO MORTERO'!I421^2)+'BLAZE SHIELD II'!$H$15*'CALCULO MORTERO'!I421+'BLAZE SHIELD II'!$H$16)*LN(J421))+('BLAZE SHIELD II'!$H$17*('CALCULO MORTERO'!I421^2)+'BLAZE SHIELD II'!$H$18*'CALCULO MORTERO'!I421+'BLAZE SHIELD II'!$H$19)),0),0)+ROUND(IF(AND(L421="Cafco 400",M421="Software Idiem",C421="IN",G421=4),((('CAFCO 400 '!$H$7*(J421^4)+'CAFCO 400 '!$H$8*(J421^3)+'CAFCO 400 '!$H$9*(J421^2)+'CAFCO 400 '!$H$10*J421+'CAFCO 400 '!$H$11)*U421^2)+(('CAFCO 400 '!$H$12*(J421^3)+'CAFCO 400 '!$H$13*(J421^2)+'CAFCO 400 '!$H$14*J421+'CAFCO 400 '!$H$15)*U421)+('CAFCO 400 '!$H$16*(J421^2)+'CAFCO 400 '!$H$17*J421+'CAFCO 400 '!$H$18)),0)+IF(AND(L421="Cafco 400",M421="Software Idiem",C421="Cj"),(((('CAFCO 400 '!$D$7*LN(J421)+'CAFCO 400 '!$D$8)*U421^2)+(('CAFCO 400 '!$D$9*LN(J421)+'CAFCO 400 '!$D$10)*U421)+('CAFCO 400 '!$D$11*LN(J421)+'CAFCO 400 '!$D$12))),0)+IF(AND(L421="Cafco 400",M421="Software Idiem",C421="C"),((('CAFCO 400 '!$L$7*(J421^3)+'CAFCO 400 '!$L$8*(J421^2)+'CAFCO 400 '!$L$9*J421+'CAFCO 400 '!$L$10)*U421^2)+(('CAFCO 400 '!$L$11*(J421^3)+'CAFCO 400 '!$L$12*(J421^2)+'CAFCO 400 '!$L$13*J421+'CAFCO 400 '!$L$14)*U421)+('CAFCO 400 '!$L$15*LN(J421)+'CAFCO 400 '!$L$16)),0)+IF(AND(L421="Cafco 400",M421="Software Idiem",C421="L"),((('CAFCO 400 '!$L$7*(J421^3)+'CAFCO 400 '!$L$8*(J421^2)+'CAFCO 400 '!$L$9*J421+'CAFCO 400 '!$L$10)*U421^2)+(('CAFCO 400 '!$L$11*(J421^3)+'CAFCO 400 '!$L$12*(J421^2)+'CAFCO 400 '!$L$13*J421+'CAFCO 400 '!$L$14)*U421)+('CAFCO 400 '!$L$15*LN(J421)+'CAFCO 400 '!$L$16)),0)+IF(AND(L421="Cafco 400",M421="Software Idiem",C421="IN",G421=3),((('CAFCO 400 '!$D$23*(J421^2)+'CAFCO 400 '!$D$24*(J421)+'CAFCO 400 '!$D$25)*U421^2)+(('CAFCO 400 '!$D$26*(J421^2)+'CAFCO 400 '!$D$27*J421+'CAFCO 400 '!$D$28)*U421)+('CAFCO 400 '!$D$29*(J421^2)+'CAFCO 400 '!$D$30*J421+'CAFCO 400 '!$D$31)),0),0)+IF(AND(L421="Cafco 300",J421&gt;=95,J421&lt;=240,C421="Cj",I421=90),VLOOKUP(T421,'CAFCO 300 IDIEM TABLAS'!$B$4:$D$23,2,FALSE),0)+IF(AND(L421="Cafco 300",J421&gt;=95,J421&lt;=240,C421="Cj",I421=120),VLOOKUP(T421,'CAFCO 300 IDIEM TABLAS'!$B$4:$D$23,3,FALSE),0)+IF(AND(L421="Cafco 300",J421&gt;=95,J421&lt;=400,G421=3,C421="IN",I421=90),VLOOKUP(T421,'CAFCO 300 IDIEM TABLAS'!$F$4:$H$35,2,FALSE),0)+IF(AND(L421="Cafco 300",J421&gt;=95,J421&lt;=400,G421=3,C421="IN",I421=120),VLOOKUP(T421,'CAFCO 300 IDIEM TABLAS'!$F$4:$H$35,3,FALSE),0)+IF(AND(L421="Cafco 300",J421&gt;=95,J421&lt;=450,G421=4,C421="IN",I421=90),VLOOKUP(T421,'CAFCO 300 IDIEM TABLAS'!$J$4:$L$40,2,FALSE),0)+IF(AND(L421="Cafco 300",J421&gt;=95,J421&lt;=450,G421=4,C421="IN",I421=120),VLOOKUP(T421,'CAFCO 300 IDIEM TABLAS'!$J$4:$L$40,3,FALSE),0)+IF(AND(M421="Ensayo Idiem",L421="Cafco 400",C421="IN",G421=4,I421=90),VLOOKUP(T421,'CAFCO 400 ENSAYO'!$B$7:$D$43,2,FALSE),0)+IF(AND(M421="Ensayo Idiem",L421="Cafco 400",C421="IN",G421=4,I421=120),VLOOKUP(T421,'CAFCO 400 ENSAYO'!$B$7:$D$43,3,FALSE),0)</f>
        <v>0</v>
      </c>
      <c r="O421" s="96">
        <f t="shared" si="48"/>
        <v>0</v>
      </c>
      <c r="P421" s="132" t="str">
        <f t="shared" si="43"/>
        <v>N/A</v>
      </c>
      <c r="Q421" s="132" t="str">
        <f t="shared" si="44"/>
        <v>N/A</v>
      </c>
      <c r="R421" s="132" t="str">
        <f t="shared" si="45"/>
        <v>NO CERT.</v>
      </c>
      <c r="S421" s="132" t="e">
        <f t="shared" si="46"/>
        <v>#N/A</v>
      </c>
      <c r="T421" s="133" t="e">
        <f>+IF(J421=LOOKUP(J421,'CAFCO 300 IDIEM TABLAS'!$J$4:$J$40),'CALCULO MORTERO'!J421,MROUND('CALCULO MORTERO'!J421,10))</f>
        <v>#N/A</v>
      </c>
      <c r="U421" s="134">
        <f t="shared" si="47"/>
        <v>0</v>
      </c>
    </row>
    <row r="422" spans="1:27" s="36" customFormat="1" x14ac:dyDescent="0.25">
      <c r="A422" s="118">
        <f>+CUBICACION!D416</f>
        <v>0</v>
      </c>
      <c r="B422" s="819">
        <f>+CUBICACION!E416</f>
        <v>0</v>
      </c>
      <c r="C422" s="675">
        <f>+CUBICACION!F416</f>
        <v>0</v>
      </c>
      <c r="D422" s="118"/>
      <c r="E422" s="118"/>
      <c r="F422" s="820"/>
      <c r="G422" s="675">
        <f>+CUBICACION!J416</f>
        <v>0</v>
      </c>
      <c r="H422" s="118"/>
      <c r="I422" s="821">
        <f>+CUBICACION!L416</f>
        <v>0</v>
      </c>
      <c r="J422" s="64">
        <f>+CUBICACION!M416</f>
        <v>0</v>
      </c>
      <c r="K422" s="822" t="str">
        <f>+CUBICACION!N416</f>
        <v/>
      </c>
      <c r="L422" s="118">
        <f>+CUBICACION!O416</f>
        <v>0</v>
      </c>
      <c r="M422" s="823">
        <f>+CUBICACION!P416</f>
        <v>0</v>
      </c>
      <c r="N422" s="902">
        <f>ROUND(IF(AND(L422="Blaze Shield II",M422="Software Idiem",C422="IN",G422=4),((('BLAZE SHIELD II'!$D$4*('CALCULO MORTERO'!I422^2)+'BLAZE SHIELD II'!$D$5*'CALCULO MORTERO'!I422+'BLAZE SHIELD II'!$D$6)*LN(J422))+('BLAZE SHIELD II'!$D$7*('CALCULO MORTERO'!I422^2)+'BLAZE SHIELD II'!$D$8*'CALCULO MORTERO'!I422+'BLAZE SHIELD II'!$D$9)),0)+IF(AND(L422="Blaze Shield II",M422="Software Idiem",C422="Cj"),((('BLAZE SHIELD II'!$H$4*('CALCULO MORTERO'!I422^2)+'BLAZE SHIELD II'!$H$5*'CALCULO MORTERO'!I422+'BLAZE SHIELD II'!$H$6)*LN(J422))+('BLAZE SHIELD II'!$H$7*('CALCULO MORTERO'!I422^2)+'BLAZE SHIELD II'!$H$8*'CALCULO MORTERO'!I422+'BLAZE SHIELD II'!$H$9)),0)+IF(AND(L422="Blaze Shield II",M422="Software Idiem",C422="C"),((('BLAZE SHIELD II'!$L$4*('CALCULO MORTERO'!I422^2)+'BLAZE SHIELD II'!$L$5*'CALCULO MORTERO'!I422+'BLAZE SHIELD II'!$L$6)*LN(J422))+('BLAZE SHIELD II'!$L$7*('CALCULO MORTERO'!I422^2)+'BLAZE SHIELD II'!$L$8*'CALCULO MORTERO'!I422+'BLAZE SHIELD II'!$L$9)),0)+IF(AND(L422="Blaze Shield II",M422="Software Idiem",C422="L"),((('BLAZE SHIELD II'!$L$4*('CALCULO MORTERO'!I422^2)+'BLAZE SHIELD II'!$L$5*'CALCULO MORTERO'!I422+'BLAZE SHIELD II'!$L$6)*LN(J422))+('BLAZE SHIELD II'!$L$7*('CALCULO MORTERO'!I422^2)+'BLAZE SHIELD II'!$L$8*'CALCULO MORTERO'!I422+'BLAZE SHIELD II'!$L$9)),0)+IF(AND(L422="Blaze Shield II",M422="Software Idiem",C422="IN",G422=3),((('BLAZE SHIELD II'!$H$14*('CALCULO MORTERO'!I422^2)+'BLAZE SHIELD II'!$H$15*'CALCULO MORTERO'!I422+'BLAZE SHIELD II'!$H$16)*LN(J422))+('BLAZE SHIELD II'!$H$17*('CALCULO MORTERO'!I422^2)+'BLAZE SHIELD II'!$H$18*'CALCULO MORTERO'!I422+'BLAZE SHIELD II'!$H$19)),0),0)+ROUND(IF(AND(L422="Cafco 400",M422="Software Idiem",C422="IN",G422=4),((('CAFCO 400 '!$H$7*(J422^4)+'CAFCO 400 '!$H$8*(J422^3)+'CAFCO 400 '!$H$9*(J422^2)+'CAFCO 400 '!$H$10*J422+'CAFCO 400 '!$H$11)*U422^2)+(('CAFCO 400 '!$H$12*(J422^3)+'CAFCO 400 '!$H$13*(J422^2)+'CAFCO 400 '!$H$14*J422+'CAFCO 400 '!$H$15)*U422)+('CAFCO 400 '!$H$16*(J422^2)+'CAFCO 400 '!$H$17*J422+'CAFCO 400 '!$H$18)),0)+IF(AND(L422="Cafco 400",M422="Software Idiem",C422="Cj"),(((('CAFCO 400 '!$D$7*LN(J422)+'CAFCO 400 '!$D$8)*U422^2)+(('CAFCO 400 '!$D$9*LN(J422)+'CAFCO 400 '!$D$10)*U422)+('CAFCO 400 '!$D$11*LN(J422)+'CAFCO 400 '!$D$12))),0)+IF(AND(L422="Cafco 400",M422="Software Idiem",C422="C"),((('CAFCO 400 '!$L$7*(J422^3)+'CAFCO 400 '!$L$8*(J422^2)+'CAFCO 400 '!$L$9*J422+'CAFCO 400 '!$L$10)*U422^2)+(('CAFCO 400 '!$L$11*(J422^3)+'CAFCO 400 '!$L$12*(J422^2)+'CAFCO 400 '!$L$13*J422+'CAFCO 400 '!$L$14)*U422)+('CAFCO 400 '!$L$15*LN(J422)+'CAFCO 400 '!$L$16)),0)+IF(AND(L422="Cafco 400",M422="Software Idiem",C422="L"),((('CAFCO 400 '!$L$7*(J422^3)+'CAFCO 400 '!$L$8*(J422^2)+'CAFCO 400 '!$L$9*J422+'CAFCO 400 '!$L$10)*U422^2)+(('CAFCO 400 '!$L$11*(J422^3)+'CAFCO 400 '!$L$12*(J422^2)+'CAFCO 400 '!$L$13*J422+'CAFCO 400 '!$L$14)*U422)+('CAFCO 400 '!$L$15*LN(J422)+'CAFCO 400 '!$L$16)),0)+IF(AND(L422="Cafco 400",M422="Software Idiem",C422="IN",G422=3),((('CAFCO 400 '!$D$23*(J422^2)+'CAFCO 400 '!$D$24*(J422)+'CAFCO 400 '!$D$25)*U422^2)+(('CAFCO 400 '!$D$26*(J422^2)+'CAFCO 400 '!$D$27*J422+'CAFCO 400 '!$D$28)*U422)+('CAFCO 400 '!$D$29*(J422^2)+'CAFCO 400 '!$D$30*J422+'CAFCO 400 '!$D$31)),0),0)+IF(AND(L422="Cafco 300",J422&gt;=95,J422&lt;=240,C422="Cj",I422=90),VLOOKUP(T422,'CAFCO 300 IDIEM TABLAS'!$B$4:$D$23,2,FALSE),0)+IF(AND(L422="Cafco 300",J422&gt;=95,J422&lt;=240,C422="Cj",I422=120),VLOOKUP(T422,'CAFCO 300 IDIEM TABLAS'!$B$4:$D$23,3,FALSE),0)+IF(AND(L422="Cafco 300",J422&gt;=95,J422&lt;=400,G422=3,C422="IN",I422=90),VLOOKUP(T422,'CAFCO 300 IDIEM TABLAS'!$F$4:$H$35,2,FALSE),0)+IF(AND(L422="Cafco 300",J422&gt;=95,J422&lt;=400,G422=3,C422="IN",I422=120),VLOOKUP(T422,'CAFCO 300 IDIEM TABLAS'!$F$4:$H$35,3,FALSE),0)+IF(AND(L422="Cafco 300",J422&gt;=95,J422&lt;=450,G422=4,C422="IN",I422=90),VLOOKUP(T422,'CAFCO 300 IDIEM TABLAS'!$J$4:$L$40,2,FALSE),0)+IF(AND(L422="Cafco 300",J422&gt;=95,J422&lt;=450,G422=4,C422="IN",I422=120),VLOOKUP(T422,'CAFCO 300 IDIEM TABLAS'!$J$4:$L$40,3,FALSE),0)+IF(AND(M422="Ensayo Idiem",L422="Cafco 400",C422="IN",G422=4,I422=90),VLOOKUP(T422,'CAFCO 400 ENSAYO'!$B$7:$D$43,2,FALSE),0)+IF(AND(M422="Ensayo Idiem",L422="Cafco 400",C422="IN",G422=4,I422=120),VLOOKUP(T422,'CAFCO 400 ENSAYO'!$B$7:$D$43,3,FALSE),0)</f>
        <v>0</v>
      </c>
      <c r="O422" s="96">
        <f t="shared" si="48"/>
        <v>0</v>
      </c>
      <c r="P422" s="95" t="str">
        <f t="shared" si="43"/>
        <v>N/A</v>
      </c>
      <c r="Q422" s="95" t="str">
        <f t="shared" si="44"/>
        <v>N/A</v>
      </c>
      <c r="R422" s="95" t="str">
        <f t="shared" si="45"/>
        <v>NO CERT.</v>
      </c>
      <c r="S422" s="95" t="e">
        <f t="shared" si="46"/>
        <v>#N/A</v>
      </c>
      <c r="T422" s="119" t="e">
        <f>+IF(J422=LOOKUP(J422,'CAFCO 300 IDIEM TABLAS'!$J$4:$J$40),'CALCULO MORTERO'!J422,MROUND('CALCULO MORTERO'!J422,10))</f>
        <v>#N/A</v>
      </c>
      <c r="U422" s="118">
        <f t="shared" si="47"/>
        <v>0</v>
      </c>
    </row>
    <row r="423" spans="1:27" s="36" customFormat="1" x14ac:dyDescent="0.25">
      <c r="A423" s="118">
        <f>+CUBICACION!D417</f>
        <v>0</v>
      </c>
      <c r="B423" s="819">
        <f>+CUBICACION!E417</f>
        <v>0</v>
      </c>
      <c r="C423" s="675">
        <f>+CUBICACION!F417</f>
        <v>0</v>
      </c>
      <c r="D423" s="118"/>
      <c r="E423" s="118"/>
      <c r="F423" s="820"/>
      <c r="G423" s="675">
        <f>+CUBICACION!J417</f>
        <v>0</v>
      </c>
      <c r="H423" s="118"/>
      <c r="I423" s="821">
        <f>+CUBICACION!L417</f>
        <v>0</v>
      </c>
      <c r="J423" s="64">
        <f>+CUBICACION!M417</f>
        <v>0</v>
      </c>
      <c r="K423" s="822" t="str">
        <f>+CUBICACION!N417</f>
        <v/>
      </c>
      <c r="L423" s="118">
        <f>+CUBICACION!O417</f>
        <v>0</v>
      </c>
      <c r="M423" s="823">
        <f>+CUBICACION!P417</f>
        <v>0</v>
      </c>
      <c r="N423" s="902">
        <f>ROUND(IF(AND(L423="Blaze Shield II",M423="Software Idiem",C423="IN",G423=4),((('BLAZE SHIELD II'!$D$4*('CALCULO MORTERO'!I423^2)+'BLAZE SHIELD II'!$D$5*'CALCULO MORTERO'!I423+'BLAZE SHIELD II'!$D$6)*LN(J423))+('BLAZE SHIELD II'!$D$7*('CALCULO MORTERO'!I423^2)+'BLAZE SHIELD II'!$D$8*'CALCULO MORTERO'!I423+'BLAZE SHIELD II'!$D$9)),0)+IF(AND(L423="Blaze Shield II",M423="Software Idiem",C423="Cj"),((('BLAZE SHIELD II'!$H$4*('CALCULO MORTERO'!I423^2)+'BLAZE SHIELD II'!$H$5*'CALCULO MORTERO'!I423+'BLAZE SHIELD II'!$H$6)*LN(J423))+('BLAZE SHIELD II'!$H$7*('CALCULO MORTERO'!I423^2)+'BLAZE SHIELD II'!$H$8*'CALCULO MORTERO'!I423+'BLAZE SHIELD II'!$H$9)),0)+IF(AND(L423="Blaze Shield II",M423="Software Idiem",C423="C"),((('BLAZE SHIELD II'!$L$4*('CALCULO MORTERO'!I423^2)+'BLAZE SHIELD II'!$L$5*'CALCULO MORTERO'!I423+'BLAZE SHIELD II'!$L$6)*LN(J423))+('BLAZE SHIELD II'!$L$7*('CALCULO MORTERO'!I423^2)+'BLAZE SHIELD II'!$L$8*'CALCULO MORTERO'!I423+'BLAZE SHIELD II'!$L$9)),0)+IF(AND(L423="Blaze Shield II",M423="Software Idiem",C423="L"),((('BLAZE SHIELD II'!$L$4*('CALCULO MORTERO'!I423^2)+'BLAZE SHIELD II'!$L$5*'CALCULO MORTERO'!I423+'BLAZE SHIELD II'!$L$6)*LN(J423))+('BLAZE SHIELD II'!$L$7*('CALCULO MORTERO'!I423^2)+'BLAZE SHIELD II'!$L$8*'CALCULO MORTERO'!I423+'BLAZE SHIELD II'!$L$9)),0)+IF(AND(L423="Blaze Shield II",M423="Software Idiem",C423="IN",G423=3),((('BLAZE SHIELD II'!$H$14*('CALCULO MORTERO'!I423^2)+'BLAZE SHIELD II'!$H$15*'CALCULO MORTERO'!I423+'BLAZE SHIELD II'!$H$16)*LN(J423))+('BLAZE SHIELD II'!$H$17*('CALCULO MORTERO'!I423^2)+'BLAZE SHIELD II'!$H$18*'CALCULO MORTERO'!I423+'BLAZE SHIELD II'!$H$19)),0),0)+ROUND(IF(AND(L423="Cafco 400",M423="Software Idiem",C423="IN",G423=4),((('CAFCO 400 '!$H$7*(J423^4)+'CAFCO 400 '!$H$8*(J423^3)+'CAFCO 400 '!$H$9*(J423^2)+'CAFCO 400 '!$H$10*J423+'CAFCO 400 '!$H$11)*U423^2)+(('CAFCO 400 '!$H$12*(J423^3)+'CAFCO 400 '!$H$13*(J423^2)+'CAFCO 400 '!$H$14*J423+'CAFCO 400 '!$H$15)*U423)+('CAFCO 400 '!$H$16*(J423^2)+'CAFCO 400 '!$H$17*J423+'CAFCO 400 '!$H$18)),0)+IF(AND(L423="Cafco 400",M423="Software Idiem",C423="Cj"),(((('CAFCO 400 '!$D$7*LN(J423)+'CAFCO 400 '!$D$8)*U423^2)+(('CAFCO 400 '!$D$9*LN(J423)+'CAFCO 400 '!$D$10)*U423)+('CAFCO 400 '!$D$11*LN(J423)+'CAFCO 400 '!$D$12))),0)+IF(AND(L423="Cafco 400",M423="Software Idiem",C423="C"),((('CAFCO 400 '!$L$7*(J423^3)+'CAFCO 400 '!$L$8*(J423^2)+'CAFCO 400 '!$L$9*J423+'CAFCO 400 '!$L$10)*U423^2)+(('CAFCO 400 '!$L$11*(J423^3)+'CAFCO 400 '!$L$12*(J423^2)+'CAFCO 400 '!$L$13*J423+'CAFCO 400 '!$L$14)*U423)+('CAFCO 400 '!$L$15*LN(J423)+'CAFCO 400 '!$L$16)),0)+IF(AND(L423="Cafco 400",M423="Software Idiem",C423="L"),((('CAFCO 400 '!$L$7*(J423^3)+'CAFCO 400 '!$L$8*(J423^2)+'CAFCO 400 '!$L$9*J423+'CAFCO 400 '!$L$10)*U423^2)+(('CAFCO 400 '!$L$11*(J423^3)+'CAFCO 400 '!$L$12*(J423^2)+'CAFCO 400 '!$L$13*J423+'CAFCO 400 '!$L$14)*U423)+('CAFCO 400 '!$L$15*LN(J423)+'CAFCO 400 '!$L$16)),0)+IF(AND(L423="Cafco 400",M423="Software Idiem",C423="IN",G423=3),((('CAFCO 400 '!$D$23*(J423^2)+'CAFCO 400 '!$D$24*(J423)+'CAFCO 400 '!$D$25)*U423^2)+(('CAFCO 400 '!$D$26*(J423^2)+'CAFCO 400 '!$D$27*J423+'CAFCO 400 '!$D$28)*U423)+('CAFCO 400 '!$D$29*(J423^2)+'CAFCO 400 '!$D$30*J423+'CAFCO 400 '!$D$31)),0),0)+IF(AND(L423="Cafco 300",J423&gt;=95,J423&lt;=240,C423="Cj",I423=90),VLOOKUP(T423,'CAFCO 300 IDIEM TABLAS'!$B$4:$D$23,2,FALSE),0)+IF(AND(L423="Cafco 300",J423&gt;=95,J423&lt;=240,C423="Cj",I423=120),VLOOKUP(T423,'CAFCO 300 IDIEM TABLAS'!$B$4:$D$23,3,FALSE),0)+IF(AND(L423="Cafco 300",J423&gt;=95,J423&lt;=400,G423=3,C423="IN",I423=90),VLOOKUP(T423,'CAFCO 300 IDIEM TABLAS'!$F$4:$H$35,2,FALSE),0)+IF(AND(L423="Cafco 300",J423&gt;=95,J423&lt;=400,G423=3,C423="IN",I423=120),VLOOKUP(T423,'CAFCO 300 IDIEM TABLAS'!$F$4:$H$35,3,FALSE),0)+IF(AND(L423="Cafco 300",J423&gt;=95,J423&lt;=450,G423=4,C423="IN",I423=90),VLOOKUP(T423,'CAFCO 300 IDIEM TABLAS'!$J$4:$L$40,2,FALSE),0)+IF(AND(L423="Cafco 300",J423&gt;=95,J423&lt;=450,G423=4,C423="IN",I423=120),VLOOKUP(T423,'CAFCO 300 IDIEM TABLAS'!$J$4:$L$40,3,FALSE),0)+IF(AND(M423="Ensayo Idiem",L423="Cafco 400",C423="IN",G423=4,I423=90),VLOOKUP(T423,'CAFCO 400 ENSAYO'!$B$7:$D$43,2,FALSE),0)+IF(AND(M423="Ensayo Idiem",L423="Cafco 400",C423="IN",G423=4,I423=120),VLOOKUP(T423,'CAFCO 400 ENSAYO'!$B$7:$D$43,3,FALSE),0)</f>
        <v>0</v>
      </c>
      <c r="O423" s="96">
        <f t="shared" si="48"/>
        <v>0</v>
      </c>
      <c r="P423" s="132" t="str">
        <f t="shared" si="43"/>
        <v>N/A</v>
      </c>
      <c r="Q423" s="132" t="str">
        <f t="shared" si="44"/>
        <v>N/A</v>
      </c>
      <c r="R423" s="132" t="str">
        <f t="shared" si="45"/>
        <v>NO CERT.</v>
      </c>
      <c r="S423" s="132" t="e">
        <f t="shared" si="46"/>
        <v>#N/A</v>
      </c>
      <c r="T423" s="133" t="e">
        <f>+IF(J423=LOOKUP(J423,'CAFCO 300 IDIEM TABLAS'!$J$4:$J$40),'CALCULO MORTERO'!J423,MROUND('CALCULO MORTERO'!J423,10))</f>
        <v>#N/A</v>
      </c>
      <c r="U423" s="134">
        <f t="shared" si="47"/>
        <v>0</v>
      </c>
    </row>
    <row r="424" spans="1:27" s="36" customFormat="1" x14ac:dyDescent="0.25">
      <c r="A424" s="118">
        <f>+CUBICACION!D418</f>
        <v>0</v>
      </c>
      <c r="B424" s="819">
        <f>+CUBICACION!E418</f>
        <v>0</v>
      </c>
      <c r="C424" s="675">
        <f>+CUBICACION!F418</f>
        <v>0</v>
      </c>
      <c r="D424" s="118"/>
      <c r="E424" s="118"/>
      <c r="F424" s="820"/>
      <c r="G424" s="675">
        <f>+CUBICACION!J418</f>
        <v>0</v>
      </c>
      <c r="H424" s="118"/>
      <c r="I424" s="821">
        <f>+CUBICACION!L418</f>
        <v>0</v>
      </c>
      <c r="J424" s="64">
        <f>+CUBICACION!M418</f>
        <v>0</v>
      </c>
      <c r="K424" s="822" t="str">
        <f>+CUBICACION!N418</f>
        <v/>
      </c>
      <c r="L424" s="118">
        <f>+CUBICACION!O418</f>
        <v>0</v>
      </c>
      <c r="M424" s="823">
        <f>+CUBICACION!P418</f>
        <v>0</v>
      </c>
      <c r="N424" s="902">
        <f>ROUND(IF(AND(L424="Blaze Shield II",M424="Software Idiem",C424="IN",G424=4),((('BLAZE SHIELD II'!$D$4*('CALCULO MORTERO'!I424^2)+'BLAZE SHIELD II'!$D$5*'CALCULO MORTERO'!I424+'BLAZE SHIELD II'!$D$6)*LN(J424))+('BLAZE SHIELD II'!$D$7*('CALCULO MORTERO'!I424^2)+'BLAZE SHIELD II'!$D$8*'CALCULO MORTERO'!I424+'BLAZE SHIELD II'!$D$9)),0)+IF(AND(L424="Blaze Shield II",M424="Software Idiem",C424="Cj"),((('BLAZE SHIELD II'!$H$4*('CALCULO MORTERO'!I424^2)+'BLAZE SHIELD II'!$H$5*'CALCULO MORTERO'!I424+'BLAZE SHIELD II'!$H$6)*LN(J424))+('BLAZE SHIELD II'!$H$7*('CALCULO MORTERO'!I424^2)+'BLAZE SHIELD II'!$H$8*'CALCULO MORTERO'!I424+'BLAZE SHIELD II'!$H$9)),0)+IF(AND(L424="Blaze Shield II",M424="Software Idiem",C424="C"),((('BLAZE SHIELD II'!$L$4*('CALCULO MORTERO'!I424^2)+'BLAZE SHIELD II'!$L$5*'CALCULO MORTERO'!I424+'BLAZE SHIELD II'!$L$6)*LN(J424))+('BLAZE SHIELD II'!$L$7*('CALCULO MORTERO'!I424^2)+'BLAZE SHIELD II'!$L$8*'CALCULO MORTERO'!I424+'BLAZE SHIELD II'!$L$9)),0)+IF(AND(L424="Blaze Shield II",M424="Software Idiem",C424="L"),((('BLAZE SHIELD II'!$L$4*('CALCULO MORTERO'!I424^2)+'BLAZE SHIELD II'!$L$5*'CALCULO MORTERO'!I424+'BLAZE SHIELD II'!$L$6)*LN(J424))+('BLAZE SHIELD II'!$L$7*('CALCULO MORTERO'!I424^2)+'BLAZE SHIELD II'!$L$8*'CALCULO MORTERO'!I424+'BLAZE SHIELD II'!$L$9)),0)+IF(AND(L424="Blaze Shield II",M424="Software Idiem",C424="IN",G424=3),((('BLAZE SHIELD II'!$H$14*('CALCULO MORTERO'!I424^2)+'BLAZE SHIELD II'!$H$15*'CALCULO MORTERO'!I424+'BLAZE SHIELD II'!$H$16)*LN(J424))+('BLAZE SHIELD II'!$H$17*('CALCULO MORTERO'!I424^2)+'BLAZE SHIELD II'!$H$18*'CALCULO MORTERO'!I424+'BLAZE SHIELD II'!$H$19)),0),0)+ROUND(IF(AND(L424="Cafco 400",M424="Software Idiem",C424="IN",G424=4),((('CAFCO 400 '!$H$7*(J424^4)+'CAFCO 400 '!$H$8*(J424^3)+'CAFCO 400 '!$H$9*(J424^2)+'CAFCO 400 '!$H$10*J424+'CAFCO 400 '!$H$11)*U424^2)+(('CAFCO 400 '!$H$12*(J424^3)+'CAFCO 400 '!$H$13*(J424^2)+'CAFCO 400 '!$H$14*J424+'CAFCO 400 '!$H$15)*U424)+('CAFCO 400 '!$H$16*(J424^2)+'CAFCO 400 '!$H$17*J424+'CAFCO 400 '!$H$18)),0)+IF(AND(L424="Cafco 400",M424="Software Idiem",C424="Cj"),(((('CAFCO 400 '!$D$7*LN(J424)+'CAFCO 400 '!$D$8)*U424^2)+(('CAFCO 400 '!$D$9*LN(J424)+'CAFCO 400 '!$D$10)*U424)+('CAFCO 400 '!$D$11*LN(J424)+'CAFCO 400 '!$D$12))),0)+IF(AND(L424="Cafco 400",M424="Software Idiem",C424="C"),((('CAFCO 400 '!$L$7*(J424^3)+'CAFCO 400 '!$L$8*(J424^2)+'CAFCO 400 '!$L$9*J424+'CAFCO 400 '!$L$10)*U424^2)+(('CAFCO 400 '!$L$11*(J424^3)+'CAFCO 400 '!$L$12*(J424^2)+'CAFCO 400 '!$L$13*J424+'CAFCO 400 '!$L$14)*U424)+('CAFCO 400 '!$L$15*LN(J424)+'CAFCO 400 '!$L$16)),0)+IF(AND(L424="Cafco 400",M424="Software Idiem",C424="L"),((('CAFCO 400 '!$L$7*(J424^3)+'CAFCO 400 '!$L$8*(J424^2)+'CAFCO 400 '!$L$9*J424+'CAFCO 400 '!$L$10)*U424^2)+(('CAFCO 400 '!$L$11*(J424^3)+'CAFCO 400 '!$L$12*(J424^2)+'CAFCO 400 '!$L$13*J424+'CAFCO 400 '!$L$14)*U424)+('CAFCO 400 '!$L$15*LN(J424)+'CAFCO 400 '!$L$16)),0)+IF(AND(L424="Cafco 400",M424="Software Idiem",C424="IN",G424=3),((('CAFCO 400 '!$D$23*(J424^2)+'CAFCO 400 '!$D$24*(J424)+'CAFCO 400 '!$D$25)*U424^2)+(('CAFCO 400 '!$D$26*(J424^2)+'CAFCO 400 '!$D$27*J424+'CAFCO 400 '!$D$28)*U424)+('CAFCO 400 '!$D$29*(J424^2)+'CAFCO 400 '!$D$30*J424+'CAFCO 400 '!$D$31)),0),0)+IF(AND(L424="Cafco 300",J424&gt;=95,J424&lt;=240,C424="Cj",I424=90),VLOOKUP(T424,'CAFCO 300 IDIEM TABLAS'!$B$4:$D$23,2,FALSE),0)+IF(AND(L424="Cafco 300",J424&gt;=95,J424&lt;=240,C424="Cj",I424=120),VLOOKUP(T424,'CAFCO 300 IDIEM TABLAS'!$B$4:$D$23,3,FALSE),0)+IF(AND(L424="Cafco 300",J424&gt;=95,J424&lt;=400,G424=3,C424="IN",I424=90),VLOOKUP(T424,'CAFCO 300 IDIEM TABLAS'!$F$4:$H$35,2,FALSE),0)+IF(AND(L424="Cafco 300",J424&gt;=95,J424&lt;=400,G424=3,C424="IN",I424=120),VLOOKUP(T424,'CAFCO 300 IDIEM TABLAS'!$F$4:$H$35,3,FALSE),0)+IF(AND(L424="Cafco 300",J424&gt;=95,J424&lt;=450,G424=4,C424="IN",I424=90),VLOOKUP(T424,'CAFCO 300 IDIEM TABLAS'!$J$4:$L$40,2,FALSE),0)+IF(AND(L424="Cafco 300",J424&gt;=95,J424&lt;=450,G424=4,C424="IN",I424=120),VLOOKUP(T424,'CAFCO 300 IDIEM TABLAS'!$J$4:$L$40,3,FALSE),0)+IF(AND(M424="Ensayo Idiem",L424="Cafco 400",C424="IN",G424=4,I424=90),VLOOKUP(T424,'CAFCO 400 ENSAYO'!$B$7:$D$43,2,FALSE),0)+IF(AND(M424="Ensayo Idiem",L424="Cafco 400",C424="IN",G424=4,I424=120),VLOOKUP(T424,'CAFCO 400 ENSAYO'!$B$7:$D$43,3,FALSE),0)</f>
        <v>0</v>
      </c>
      <c r="O424" s="96">
        <f t="shared" si="48"/>
        <v>0</v>
      </c>
      <c r="P424" s="95" t="str">
        <f t="shared" si="43"/>
        <v>N/A</v>
      </c>
      <c r="Q424" s="95" t="str">
        <f t="shared" si="44"/>
        <v>N/A</v>
      </c>
      <c r="R424" s="95" t="str">
        <f t="shared" si="45"/>
        <v>NO CERT.</v>
      </c>
      <c r="S424" s="95" t="e">
        <f t="shared" si="46"/>
        <v>#N/A</v>
      </c>
      <c r="T424" s="119" t="e">
        <f>+IF(J424=LOOKUP(J424,'CAFCO 300 IDIEM TABLAS'!$J$4:$J$40),'CALCULO MORTERO'!J424,MROUND('CALCULO MORTERO'!J424,10))</f>
        <v>#N/A</v>
      </c>
      <c r="U424" s="118">
        <f t="shared" si="47"/>
        <v>0</v>
      </c>
    </row>
    <row r="425" spans="1:27" s="36" customFormat="1" x14ac:dyDescent="0.25">
      <c r="A425" s="118">
        <f>+CUBICACION!D419</f>
        <v>0</v>
      </c>
      <c r="B425" s="819">
        <f>+CUBICACION!E419</f>
        <v>0</v>
      </c>
      <c r="C425" s="675">
        <f>+CUBICACION!F419</f>
        <v>0</v>
      </c>
      <c r="D425" s="118"/>
      <c r="E425" s="118"/>
      <c r="F425" s="820"/>
      <c r="G425" s="675">
        <f>+CUBICACION!J419</f>
        <v>0</v>
      </c>
      <c r="H425" s="118"/>
      <c r="I425" s="821">
        <f>+CUBICACION!L419</f>
        <v>0</v>
      </c>
      <c r="J425" s="64">
        <f>+CUBICACION!M419</f>
        <v>0</v>
      </c>
      <c r="K425" s="822" t="str">
        <f>+CUBICACION!N419</f>
        <v/>
      </c>
      <c r="L425" s="118">
        <f>+CUBICACION!O419</f>
        <v>0</v>
      </c>
      <c r="M425" s="823">
        <f>+CUBICACION!P419</f>
        <v>0</v>
      </c>
      <c r="N425" s="902">
        <f>ROUND(IF(AND(L425="Blaze Shield II",M425="Software Idiem",C425="IN",G425=4),((('BLAZE SHIELD II'!$D$4*('CALCULO MORTERO'!I425^2)+'BLAZE SHIELD II'!$D$5*'CALCULO MORTERO'!I425+'BLAZE SHIELD II'!$D$6)*LN(J425))+('BLAZE SHIELD II'!$D$7*('CALCULO MORTERO'!I425^2)+'BLAZE SHIELD II'!$D$8*'CALCULO MORTERO'!I425+'BLAZE SHIELD II'!$D$9)),0)+IF(AND(L425="Blaze Shield II",M425="Software Idiem",C425="Cj"),((('BLAZE SHIELD II'!$H$4*('CALCULO MORTERO'!I425^2)+'BLAZE SHIELD II'!$H$5*'CALCULO MORTERO'!I425+'BLAZE SHIELD II'!$H$6)*LN(J425))+('BLAZE SHIELD II'!$H$7*('CALCULO MORTERO'!I425^2)+'BLAZE SHIELD II'!$H$8*'CALCULO MORTERO'!I425+'BLAZE SHIELD II'!$H$9)),0)+IF(AND(L425="Blaze Shield II",M425="Software Idiem",C425="C"),((('BLAZE SHIELD II'!$L$4*('CALCULO MORTERO'!I425^2)+'BLAZE SHIELD II'!$L$5*'CALCULO MORTERO'!I425+'BLAZE SHIELD II'!$L$6)*LN(J425))+('BLAZE SHIELD II'!$L$7*('CALCULO MORTERO'!I425^2)+'BLAZE SHIELD II'!$L$8*'CALCULO MORTERO'!I425+'BLAZE SHIELD II'!$L$9)),0)+IF(AND(L425="Blaze Shield II",M425="Software Idiem",C425="L"),((('BLAZE SHIELD II'!$L$4*('CALCULO MORTERO'!I425^2)+'BLAZE SHIELD II'!$L$5*'CALCULO MORTERO'!I425+'BLAZE SHIELD II'!$L$6)*LN(J425))+('BLAZE SHIELD II'!$L$7*('CALCULO MORTERO'!I425^2)+'BLAZE SHIELD II'!$L$8*'CALCULO MORTERO'!I425+'BLAZE SHIELD II'!$L$9)),0)+IF(AND(L425="Blaze Shield II",M425="Software Idiem",C425="IN",G425=3),((('BLAZE SHIELD II'!$H$14*('CALCULO MORTERO'!I425^2)+'BLAZE SHIELD II'!$H$15*'CALCULO MORTERO'!I425+'BLAZE SHIELD II'!$H$16)*LN(J425))+('BLAZE SHIELD II'!$H$17*('CALCULO MORTERO'!I425^2)+'BLAZE SHIELD II'!$H$18*'CALCULO MORTERO'!I425+'BLAZE SHIELD II'!$H$19)),0),0)+ROUND(IF(AND(L425="Cafco 400",M425="Software Idiem",C425="IN",G425=4),((('CAFCO 400 '!$H$7*(J425^4)+'CAFCO 400 '!$H$8*(J425^3)+'CAFCO 400 '!$H$9*(J425^2)+'CAFCO 400 '!$H$10*J425+'CAFCO 400 '!$H$11)*U425^2)+(('CAFCO 400 '!$H$12*(J425^3)+'CAFCO 400 '!$H$13*(J425^2)+'CAFCO 400 '!$H$14*J425+'CAFCO 400 '!$H$15)*U425)+('CAFCO 400 '!$H$16*(J425^2)+'CAFCO 400 '!$H$17*J425+'CAFCO 400 '!$H$18)),0)+IF(AND(L425="Cafco 400",M425="Software Idiem",C425="Cj"),(((('CAFCO 400 '!$D$7*LN(J425)+'CAFCO 400 '!$D$8)*U425^2)+(('CAFCO 400 '!$D$9*LN(J425)+'CAFCO 400 '!$D$10)*U425)+('CAFCO 400 '!$D$11*LN(J425)+'CAFCO 400 '!$D$12))),0)+IF(AND(L425="Cafco 400",M425="Software Idiem",C425="C"),((('CAFCO 400 '!$L$7*(J425^3)+'CAFCO 400 '!$L$8*(J425^2)+'CAFCO 400 '!$L$9*J425+'CAFCO 400 '!$L$10)*U425^2)+(('CAFCO 400 '!$L$11*(J425^3)+'CAFCO 400 '!$L$12*(J425^2)+'CAFCO 400 '!$L$13*J425+'CAFCO 400 '!$L$14)*U425)+('CAFCO 400 '!$L$15*LN(J425)+'CAFCO 400 '!$L$16)),0)+IF(AND(L425="Cafco 400",M425="Software Idiem",C425="L"),((('CAFCO 400 '!$L$7*(J425^3)+'CAFCO 400 '!$L$8*(J425^2)+'CAFCO 400 '!$L$9*J425+'CAFCO 400 '!$L$10)*U425^2)+(('CAFCO 400 '!$L$11*(J425^3)+'CAFCO 400 '!$L$12*(J425^2)+'CAFCO 400 '!$L$13*J425+'CAFCO 400 '!$L$14)*U425)+('CAFCO 400 '!$L$15*LN(J425)+'CAFCO 400 '!$L$16)),0)+IF(AND(L425="Cafco 400",M425="Software Idiem",C425="IN",G425=3),((('CAFCO 400 '!$D$23*(J425^2)+'CAFCO 400 '!$D$24*(J425)+'CAFCO 400 '!$D$25)*U425^2)+(('CAFCO 400 '!$D$26*(J425^2)+'CAFCO 400 '!$D$27*J425+'CAFCO 400 '!$D$28)*U425)+('CAFCO 400 '!$D$29*(J425^2)+'CAFCO 400 '!$D$30*J425+'CAFCO 400 '!$D$31)),0),0)+IF(AND(L425="Cafco 300",J425&gt;=95,J425&lt;=240,C425="Cj",I425=90),VLOOKUP(T425,'CAFCO 300 IDIEM TABLAS'!$B$4:$D$23,2,FALSE),0)+IF(AND(L425="Cafco 300",J425&gt;=95,J425&lt;=240,C425="Cj",I425=120),VLOOKUP(T425,'CAFCO 300 IDIEM TABLAS'!$B$4:$D$23,3,FALSE),0)+IF(AND(L425="Cafco 300",J425&gt;=95,J425&lt;=400,G425=3,C425="IN",I425=90),VLOOKUP(T425,'CAFCO 300 IDIEM TABLAS'!$F$4:$H$35,2,FALSE),0)+IF(AND(L425="Cafco 300",J425&gt;=95,J425&lt;=400,G425=3,C425="IN",I425=120),VLOOKUP(T425,'CAFCO 300 IDIEM TABLAS'!$F$4:$H$35,3,FALSE),0)+IF(AND(L425="Cafco 300",J425&gt;=95,J425&lt;=450,G425=4,C425="IN",I425=90),VLOOKUP(T425,'CAFCO 300 IDIEM TABLAS'!$J$4:$L$40,2,FALSE),0)+IF(AND(L425="Cafco 300",J425&gt;=95,J425&lt;=450,G425=4,C425="IN",I425=120),VLOOKUP(T425,'CAFCO 300 IDIEM TABLAS'!$J$4:$L$40,3,FALSE),0)+IF(AND(M425="Ensayo Idiem",L425="Cafco 400",C425="IN",G425=4,I425=90),VLOOKUP(T425,'CAFCO 400 ENSAYO'!$B$7:$D$43,2,FALSE),0)+IF(AND(M425="Ensayo Idiem",L425="Cafco 400",C425="IN",G425=4,I425=120),VLOOKUP(T425,'CAFCO 400 ENSAYO'!$B$7:$D$43,3,FALSE),0)</f>
        <v>0</v>
      </c>
      <c r="O425" s="96">
        <f t="shared" si="48"/>
        <v>0</v>
      </c>
      <c r="P425" s="132" t="str">
        <f t="shared" si="43"/>
        <v>N/A</v>
      </c>
      <c r="Q425" s="132" t="str">
        <f t="shared" si="44"/>
        <v>N/A</v>
      </c>
      <c r="R425" s="132" t="str">
        <f t="shared" si="45"/>
        <v>NO CERT.</v>
      </c>
      <c r="S425" s="132" t="e">
        <f t="shared" si="46"/>
        <v>#N/A</v>
      </c>
      <c r="T425" s="133" t="e">
        <f>+IF(J425=LOOKUP(J425,'CAFCO 300 IDIEM TABLAS'!$J$4:$J$40),'CALCULO MORTERO'!J425,MROUND('CALCULO MORTERO'!J425,10))</f>
        <v>#N/A</v>
      </c>
      <c r="U425" s="134">
        <f t="shared" si="47"/>
        <v>0</v>
      </c>
    </row>
    <row r="426" spans="1:27" s="36" customFormat="1" x14ac:dyDescent="0.25">
      <c r="A426" s="118">
        <f>+CUBICACION!D420</f>
        <v>0</v>
      </c>
      <c r="B426" s="819">
        <f>+CUBICACION!E420</f>
        <v>0</v>
      </c>
      <c r="C426" s="675">
        <f>+CUBICACION!F420</f>
        <v>0</v>
      </c>
      <c r="D426" s="118"/>
      <c r="E426" s="118"/>
      <c r="F426" s="820"/>
      <c r="G426" s="675">
        <f>+CUBICACION!J420</f>
        <v>0</v>
      </c>
      <c r="H426" s="118"/>
      <c r="I426" s="821">
        <f>+CUBICACION!L420</f>
        <v>0</v>
      </c>
      <c r="J426" s="64">
        <f>+CUBICACION!M420</f>
        <v>0</v>
      </c>
      <c r="K426" s="822" t="str">
        <f>+CUBICACION!N420</f>
        <v/>
      </c>
      <c r="L426" s="118">
        <f>+CUBICACION!O420</f>
        <v>0</v>
      </c>
      <c r="M426" s="823">
        <f>+CUBICACION!P420</f>
        <v>0</v>
      </c>
      <c r="N426" s="902">
        <f>ROUND(IF(AND(L426="Blaze Shield II",M426="Software Idiem",C426="IN",G426=4),((('BLAZE SHIELD II'!$D$4*('CALCULO MORTERO'!I426^2)+'BLAZE SHIELD II'!$D$5*'CALCULO MORTERO'!I426+'BLAZE SHIELD II'!$D$6)*LN(J426))+('BLAZE SHIELD II'!$D$7*('CALCULO MORTERO'!I426^2)+'BLAZE SHIELD II'!$D$8*'CALCULO MORTERO'!I426+'BLAZE SHIELD II'!$D$9)),0)+IF(AND(L426="Blaze Shield II",M426="Software Idiem",C426="Cj"),((('BLAZE SHIELD II'!$H$4*('CALCULO MORTERO'!I426^2)+'BLAZE SHIELD II'!$H$5*'CALCULO MORTERO'!I426+'BLAZE SHIELD II'!$H$6)*LN(J426))+('BLAZE SHIELD II'!$H$7*('CALCULO MORTERO'!I426^2)+'BLAZE SHIELD II'!$H$8*'CALCULO MORTERO'!I426+'BLAZE SHIELD II'!$H$9)),0)+IF(AND(L426="Blaze Shield II",M426="Software Idiem",C426="C"),((('BLAZE SHIELD II'!$L$4*('CALCULO MORTERO'!I426^2)+'BLAZE SHIELD II'!$L$5*'CALCULO MORTERO'!I426+'BLAZE SHIELD II'!$L$6)*LN(J426))+('BLAZE SHIELD II'!$L$7*('CALCULO MORTERO'!I426^2)+'BLAZE SHIELD II'!$L$8*'CALCULO MORTERO'!I426+'BLAZE SHIELD II'!$L$9)),0)+IF(AND(L426="Blaze Shield II",M426="Software Idiem",C426="L"),((('BLAZE SHIELD II'!$L$4*('CALCULO MORTERO'!I426^2)+'BLAZE SHIELD II'!$L$5*'CALCULO MORTERO'!I426+'BLAZE SHIELD II'!$L$6)*LN(J426))+('BLAZE SHIELD II'!$L$7*('CALCULO MORTERO'!I426^2)+'BLAZE SHIELD II'!$L$8*'CALCULO MORTERO'!I426+'BLAZE SHIELD II'!$L$9)),0)+IF(AND(L426="Blaze Shield II",M426="Software Idiem",C426="IN",G426=3),((('BLAZE SHIELD II'!$H$14*('CALCULO MORTERO'!I426^2)+'BLAZE SHIELD II'!$H$15*'CALCULO MORTERO'!I426+'BLAZE SHIELD II'!$H$16)*LN(J426))+('BLAZE SHIELD II'!$H$17*('CALCULO MORTERO'!I426^2)+'BLAZE SHIELD II'!$H$18*'CALCULO MORTERO'!I426+'BLAZE SHIELD II'!$H$19)),0),0)+ROUND(IF(AND(L426="Cafco 400",M426="Software Idiem",C426="IN",G426=4),((('CAFCO 400 '!$H$7*(J426^4)+'CAFCO 400 '!$H$8*(J426^3)+'CAFCO 400 '!$H$9*(J426^2)+'CAFCO 400 '!$H$10*J426+'CAFCO 400 '!$H$11)*U426^2)+(('CAFCO 400 '!$H$12*(J426^3)+'CAFCO 400 '!$H$13*(J426^2)+'CAFCO 400 '!$H$14*J426+'CAFCO 400 '!$H$15)*U426)+('CAFCO 400 '!$H$16*(J426^2)+'CAFCO 400 '!$H$17*J426+'CAFCO 400 '!$H$18)),0)+IF(AND(L426="Cafco 400",M426="Software Idiem",C426="Cj"),(((('CAFCO 400 '!$D$7*LN(J426)+'CAFCO 400 '!$D$8)*U426^2)+(('CAFCO 400 '!$D$9*LN(J426)+'CAFCO 400 '!$D$10)*U426)+('CAFCO 400 '!$D$11*LN(J426)+'CAFCO 400 '!$D$12))),0)+IF(AND(L426="Cafco 400",M426="Software Idiem",C426="C"),((('CAFCO 400 '!$L$7*(J426^3)+'CAFCO 400 '!$L$8*(J426^2)+'CAFCO 400 '!$L$9*J426+'CAFCO 400 '!$L$10)*U426^2)+(('CAFCO 400 '!$L$11*(J426^3)+'CAFCO 400 '!$L$12*(J426^2)+'CAFCO 400 '!$L$13*J426+'CAFCO 400 '!$L$14)*U426)+('CAFCO 400 '!$L$15*LN(J426)+'CAFCO 400 '!$L$16)),0)+IF(AND(L426="Cafco 400",M426="Software Idiem",C426="L"),((('CAFCO 400 '!$L$7*(J426^3)+'CAFCO 400 '!$L$8*(J426^2)+'CAFCO 400 '!$L$9*J426+'CAFCO 400 '!$L$10)*U426^2)+(('CAFCO 400 '!$L$11*(J426^3)+'CAFCO 400 '!$L$12*(J426^2)+'CAFCO 400 '!$L$13*J426+'CAFCO 400 '!$L$14)*U426)+('CAFCO 400 '!$L$15*LN(J426)+'CAFCO 400 '!$L$16)),0)+IF(AND(L426="Cafco 400",M426="Software Idiem",C426="IN",G426=3),((('CAFCO 400 '!$D$23*(J426^2)+'CAFCO 400 '!$D$24*(J426)+'CAFCO 400 '!$D$25)*U426^2)+(('CAFCO 400 '!$D$26*(J426^2)+'CAFCO 400 '!$D$27*J426+'CAFCO 400 '!$D$28)*U426)+('CAFCO 400 '!$D$29*(J426^2)+'CAFCO 400 '!$D$30*J426+'CAFCO 400 '!$D$31)),0),0)+IF(AND(L426="Cafco 300",J426&gt;=95,J426&lt;=240,C426="Cj",I426=90),VLOOKUP(T426,'CAFCO 300 IDIEM TABLAS'!$B$4:$D$23,2,FALSE),0)+IF(AND(L426="Cafco 300",J426&gt;=95,J426&lt;=240,C426="Cj",I426=120),VLOOKUP(T426,'CAFCO 300 IDIEM TABLAS'!$B$4:$D$23,3,FALSE),0)+IF(AND(L426="Cafco 300",J426&gt;=95,J426&lt;=400,G426=3,C426="IN",I426=90),VLOOKUP(T426,'CAFCO 300 IDIEM TABLAS'!$F$4:$H$35,2,FALSE),0)+IF(AND(L426="Cafco 300",J426&gt;=95,J426&lt;=400,G426=3,C426="IN",I426=120),VLOOKUP(T426,'CAFCO 300 IDIEM TABLAS'!$F$4:$H$35,3,FALSE),0)+IF(AND(L426="Cafco 300",J426&gt;=95,J426&lt;=450,G426=4,C426="IN",I426=90),VLOOKUP(T426,'CAFCO 300 IDIEM TABLAS'!$J$4:$L$40,2,FALSE),0)+IF(AND(L426="Cafco 300",J426&gt;=95,J426&lt;=450,G426=4,C426="IN",I426=120),VLOOKUP(T426,'CAFCO 300 IDIEM TABLAS'!$J$4:$L$40,3,FALSE),0)+IF(AND(M426="Ensayo Idiem",L426="Cafco 400",C426="IN",G426=4,I426=90),VLOOKUP(T426,'CAFCO 400 ENSAYO'!$B$7:$D$43,2,FALSE),0)+IF(AND(M426="Ensayo Idiem",L426="Cafco 400",C426="IN",G426=4,I426=120),VLOOKUP(T426,'CAFCO 400 ENSAYO'!$B$7:$D$43,3,FALSE),0)</f>
        <v>0</v>
      </c>
      <c r="O426" s="96">
        <f t="shared" si="48"/>
        <v>0</v>
      </c>
      <c r="P426" s="95" t="str">
        <f t="shared" si="43"/>
        <v>N/A</v>
      </c>
      <c r="Q426" s="95" t="str">
        <f t="shared" si="44"/>
        <v>N/A</v>
      </c>
      <c r="R426" s="95" t="str">
        <f t="shared" si="45"/>
        <v>NO CERT.</v>
      </c>
      <c r="S426" s="95" t="e">
        <f t="shared" si="46"/>
        <v>#N/A</v>
      </c>
      <c r="T426" s="119" t="e">
        <f>+IF(J426=LOOKUP(J426,'CAFCO 300 IDIEM TABLAS'!$J$4:$J$40),'CALCULO MORTERO'!J426,MROUND('CALCULO MORTERO'!J426,10))</f>
        <v>#N/A</v>
      </c>
      <c r="U426" s="118">
        <f t="shared" si="47"/>
        <v>0</v>
      </c>
    </row>
    <row r="427" spans="1:27" x14ac:dyDescent="0.25">
      <c r="A427" s="118">
        <f>+CUBICACION!D421</f>
        <v>0</v>
      </c>
      <c r="B427" s="819">
        <f>+CUBICACION!E421</f>
        <v>0</v>
      </c>
      <c r="C427" s="675">
        <f>+CUBICACION!F421</f>
        <v>0</v>
      </c>
      <c r="D427" s="118"/>
      <c r="E427" s="118"/>
      <c r="F427" s="820"/>
      <c r="G427" s="675">
        <f>+CUBICACION!J421</f>
        <v>0</v>
      </c>
      <c r="H427" s="118"/>
      <c r="I427" s="821">
        <f>+CUBICACION!L421</f>
        <v>0</v>
      </c>
      <c r="J427" s="64">
        <f>+CUBICACION!M421</f>
        <v>0</v>
      </c>
      <c r="K427" s="822" t="str">
        <f>+CUBICACION!N421</f>
        <v/>
      </c>
      <c r="L427" s="118">
        <f>+CUBICACION!O421</f>
        <v>0</v>
      </c>
      <c r="M427" s="823">
        <f>+CUBICACION!P421</f>
        <v>0</v>
      </c>
      <c r="N427" s="902">
        <f>ROUND(IF(AND(L427="Blaze Shield II",M427="Software Idiem",C427="IN",G427=4),((('BLAZE SHIELD II'!$D$4*('CALCULO MORTERO'!I427^2)+'BLAZE SHIELD II'!$D$5*'CALCULO MORTERO'!I427+'BLAZE SHIELD II'!$D$6)*LN(J427))+('BLAZE SHIELD II'!$D$7*('CALCULO MORTERO'!I427^2)+'BLAZE SHIELD II'!$D$8*'CALCULO MORTERO'!I427+'BLAZE SHIELD II'!$D$9)),0)+IF(AND(L427="Blaze Shield II",M427="Software Idiem",C427="Cj"),((('BLAZE SHIELD II'!$H$4*('CALCULO MORTERO'!I427^2)+'BLAZE SHIELD II'!$H$5*'CALCULO MORTERO'!I427+'BLAZE SHIELD II'!$H$6)*LN(J427))+('BLAZE SHIELD II'!$H$7*('CALCULO MORTERO'!I427^2)+'BLAZE SHIELD II'!$H$8*'CALCULO MORTERO'!I427+'BLAZE SHIELD II'!$H$9)),0)+IF(AND(L427="Blaze Shield II",M427="Software Idiem",C427="C"),((('BLAZE SHIELD II'!$L$4*('CALCULO MORTERO'!I427^2)+'BLAZE SHIELD II'!$L$5*'CALCULO MORTERO'!I427+'BLAZE SHIELD II'!$L$6)*LN(J427))+('BLAZE SHIELD II'!$L$7*('CALCULO MORTERO'!I427^2)+'BLAZE SHIELD II'!$L$8*'CALCULO MORTERO'!I427+'BLAZE SHIELD II'!$L$9)),0)+IF(AND(L427="Blaze Shield II",M427="Software Idiem",C427="L"),((('BLAZE SHIELD II'!$L$4*('CALCULO MORTERO'!I427^2)+'BLAZE SHIELD II'!$L$5*'CALCULO MORTERO'!I427+'BLAZE SHIELD II'!$L$6)*LN(J427))+('BLAZE SHIELD II'!$L$7*('CALCULO MORTERO'!I427^2)+'BLAZE SHIELD II'!$L$8*'CALCULO MORTERO'!I427+'BLAZE SHIELD II'!$L$9)),0)+IF(AND(L427="Blaze Shield II",M427="Software Idiem",C427="IN",G427=3),((('BLAZE SHIELD II'!$H$14*('CALCULO MORTERO'!I427^2)+'BLAZE SHIELD II'!$H$15*'CALCULO MORTERO'!I427+'BLAZE SHIELD II'!$H$16)*LN(J427))+('BLAZE SHIELD II'!$H$17*('CALCULO MORTERO'!I427^2)+'BLAZE SHIELD II'!$H$18*'CALCULO MORTERO'!I427+'BLAZE SHIELD II'!$H$19)),0),0)+ROUND(IF(AND(L427="Cafco 400",M427="Software Idiem",C427="IN",G427=4),((('CAFCO 400 '!$H$7*(J427^4)+'CAFCO 400 '!$H$8*(J427^3)+'CAFCO 400 '!$H$9*(J427^2)+'CAFCO 400 '!$H$10*J427+'CAFCO 400 '!$H$11)*U427^2)+(('CAFCO 400 '!$H$12*(J427^3)+'CAFCO 400 '!$H$13*(J427^2)+'CAFCO 400 '!$H$14*J427+'CAFCO 400 '!$H$15)*U427)+('CAFCO 400 '!$H$16*(J427^2)+'CAFCO 400 '!$H$17*J427+'CAFCO 400 '!$H$18)),0)+IF(AND(L427="Cafco 400",M427="Software Idiem",C427="Cj"),(((('CAFCO 400 '!$D$7*LN(J427)+'CAFCO 400 '!$D$8)*U427^2)+(('CAFCO 400 '!$D$9*LN(J427)+'CAFCO 400 '!$D$10)*U427)+('CAFCO 400 '!$D$11*LN(J427)+'CAFCO 400 '!$D$12))),0)+IF(AND(L427="Cafco 400",M427="Software Idiem",C427="C"),((('CAFCO 400 '!$L$7*(J427^3)+'CAFCO 400 '!$L$8*(J427^2)+'CAFCO 400 '!$L$9*J427+'CAFCO 400 '!$L$10)*U427^2)+(('CAFCO 400 '!$L$11*(J427^3)+'CAFCO 400 '!$L$12*(J427^2)+'CAFCO 400 '!$L$13*J427+'CAFCO 400 '!$L$14)*U427)+('CAFCO 400 '!$L$15*LN(J427)+'CAFCO 400 '!$L$16)),0)+IF(AND(L427="Cafco 400",M427="Software Idiem",C427="L"),((('CAFCO 400 '!$L$7*(J427^3)+'CAFCO 400 '!$L$8*(J427^2)+'CAFCO 400 '!$L$9*J427+'CAFCO 400 '!$L$10)*U427^2)+(('CAFCO 400 '!$L$11*(J427^3)+'CAFCO 400 '!$L$12*(J427^2)+'CAFCO 400 '!$L$13*J427+'CAFCO 400 '!$L$14)*U427)+('CAFCO 400 '!$L$15*LN(J427)+'CAFCO 400 '!$L$16)),0)+IF(AND(L427="Cafco 400",M427="Software Idiem",C427="IN",G427=3),((('CAFCO 400 '!$D$23*(J427^2)+'CAFCO 400 '!$D$24*(J427)+'CAFCO 400 '!$D$25)*U427^2)+(('CAFCO 400 '!$D$26*(J427^2)+'CAFCO 400 '!$D$27*J427+'CAFCO 400 '!$D$28)*U427)+('CAFCO 400 '!$D$29*(J427^2)+'CAFCO 400 '!$D$30*J427+'CAFCO 400 '!$D$31)),0),0)+IF(AND(L427="Cafco 300",J427&gt;=95,J427&lt;=240,C427="Cj",I427=90),VLOOKUP(T427,'CAFCO 300 IDIEM TABLAS'!$B$4:$D$23,2,FALSE),0)+IF(AND(L427="Cafco 300",J427&gt;=95,J427&lt;=240,C427="Cj",I427=120),VLOOKUP(T427,'CAFCO 300 IDIEM TABLAS'!$B$4:$D$23,3,FALSE),0)+IF(AND(L427="Cafco 300",J427&gt;=95,J427&lt;=400,G427=3,C427="IN",I427=90),VLOOKUP(T427,'CAFCO 300 IDIEM TABLAS'!$F$4:$H$35,2,FALSE),0)+IF(AND(L427="Cafco 300",J427&gt;=95,J427&lt;=400,G427=3,C427="IN",I427=120),VLOOKUP(T427,'CAFCO 300 IDIEM TABLAS'!$F$4:$H$35,3,FALSE),0)+IF(AND(L427="Cafco 300",J427&gt;=95,J427&lt;=450,G427=4,C427="IN",I427=90),VLOOKUP(T427,'CAFCO 300 IDIEM TABLAS'!$J$4:$L$40,2,FALSE),0)+IF(AND(L427="Cafco 300",J427&gt;=95,J427&lt;=450,G427=4,C427="IN",I427=120),VLOOKUP(T427,'CAFCO 300 IDIEM TABLAS'!$J$4:$L$40,3,FALSE),0)+IF(AND(M427="Ensayo Idiem",L427="Cafco 400",C427="IN",G427=4,I427=90),VLOOKUP(T427,'CAFCO 400 ENSAYO'!$B$7:$D$43,2,FALSE),0)+IF(AND(M427="Ensayo Idiem",L427="Cafco 400",C427="IN",G427=4,I427=120),VLOOKUP(T427,'CAFCO 400 ENSAYO'!$B$7:$D$43,3,FALSE),0)</f>
        <v>0</v>
      </c>
      <c r="O427" s="96">
        <f t="shared" si="48"/>
        <v>0</v>
      </c>
      <c r="P427" s="132" t="str">
        <f t="shared" si="43"/>
        <v>N/A</v>
      </c>
      <c r="Q427" s="132" t="str">
        <f t="shared" si="44"/>
        <v>N/A</v>
      </c>
      <c r="R427" s="132" t="str">
        <f t="shared" si="45"/>
        <v>NO CERT.</v>
      </c>
      <c r="S427" s="132" t="e">
        <f t="shared" si="46"/>
        <v>#N/A</v>
      </c>
      <c r="T427" s="133" t="e">
        <f>+IF(J427=LOOKUP(J427,'CAFCO 300 IDIEM TABLAS'!$J$4:$J$40),'CALCULO MORTERO'!J427,MROUND('CALCULO MORTERO'!J427,10))</f>
        <v>#N/A</v>
      </c>
      <c r="U427" s="134">
        <f t="shared" si="47"/>
        <v>0</v>
      </c>
      <c r="Y427" s="4"/>
      <c r="Z427" s="4"/>
      <c r="AA427" s="4"/>
    </row>
    <row r="428" spans="1:27" x14ac:dyDescent="0.25">
      <c r="A428" s="118">
        <f>+CUBICACION!D422</f>
        <v>0</v>
      </c>
      <c r="B428" s="819">
        <f>+CUBICACION!E422</f>
        <v>0</v>
      </c>
      <c r="C428" s="675">
        <f>+CUBICACION!F422</f>
        <v>0</v>
      </c>
      <c r="D428" s="118"/>
      <c r="E428" s="118"/>
      <c r="F428" s="820"/>
      <c r="G428" s="675">
        <f>+CUBICACION!J422</f>
        <v>0</v>
      </c>
      <c r="H428" s="118"/>
      <c r="I428" s="821">
        <f>+CUBICACION!L422</f>
        <v>0</v>
      </c>
      <c r="J428" s="64">
        <f>+CUBICACION!M422</f>
        <v>0</v>
      </c>
      <c r="K428" s="822" t="str">
        <f>+CUBICACION!N422</f>
        <v/>
      </c>
      <c r="L428" s="118">
        <f>+CUBICACION!O422</f>
        <v>0</v>
      </c>
      <c r="M428" s="823">
        <f>+CUBICACION!P422</f>
        <v>0</v>
      </c>
      <c r="N428" s="902">
        <f>ROUND(IF(AND(L428="Blaze Shield II",M428="Software Idiem",C428="IN",G428=4),((('BLAZE SHIELD II'!$D$4*('CALCULO MORTERO'!I428^2)+'BLAZE SHIELD II'!$D$5*'CALCULO MORTERO'!I428+'BLAZE SHIELD II'!$D$6)*LN(J428))+('BLAZE SHIELD II'!$D$7*('CALCULO MORTERO'!I428^2)+'BLAZE SHIELD II'!$D$8*'CALCULO MORTERO'!I428+'BLAZE SHIELD II'!$D$9)),0)+IF(AND(L428="Blaze Shield II",M428="Software Idiem",C428="Cj"),((('BLAZE SHIELD II'!$H$4*('CALCULO MORTERO'!I428^2)+'BLAZE SHIELD II'!$H$5*'CALCULO MORTERO'!I428+'BLAZE SHIELD II'!$H$6)*LN(J428))+('BLAZE SHIELD II'!$H$7*('CALCULO MORTERO'!I428^2)+'BLAZE SHIELD II'!$H$8*'CALCULO MORTERO'!I428+'BLAZE SHIELD II'!$H$9)),0)+IF(AND(L428="Blaze Shield II",M428="Software Idiem",C428="C"),((('BLAZE SHIELD II'!$L$4*('CALCULO MORTERO'!I428^2)+'BLAZE SHIELD II'!$L$5*'CALCULO MORTERO'!I428+'BLAZE SHIELD II'!$L$6)*LN(J428))+('BLAZE SHIELD II'!$L$7*('CALCULO MORTERO'!I428^2)+'BLAZE SHIELD II'!$L$8*'CALCULO MORTERO'!I428+'BLAZE SHIELD II'!$L$9)),0)+IF(AND(L428="Blaze Shield II",M428="Software Idiem",C428="L"),((('BLAZE SHIELD II'!$L$4*('CALCULO MORTERO'!I428^2)+'BLAZE SHIELD II'!$L$5*'CALCULO MORTERO'!I428+'BLAZE SHIELD II'!$L$6)*LN(J428))+('BLAZE SHIELD II'!$L$7*('CALCULO MORTERO'!I428^2)+'BLAZE SHIELD II'!$L$8*'CALCULO MORTERO'!I428+'BLAZE SHIELD II'!$L$9)),0)+IF(AND(L428="Blaze Shield II",M428="Software Idiem",C428="IN",G428=3),((('BLAZE SHIELD II'!$H$14*('CALCULO MORTERO'!I428^2)+'BLAZE SHIELD II'!$H$15*'CALCULO MORTERO'!I428+'BLAZE SHIELD II'!$H$16)*LN(J428))+('BLAZE SHIELD II'!$H$17*('CALCULO MORTERO'!I428^2)+'BLAZE SHIELD II'!$H$18*'CALCULO MORTERO'!I428+'BLAZE SHIELD II'!$H$19)),0),0)+ROUND(IF(AND(L428="Cafco 400",M428="Software Idiem",C428="IN",G428=4),((('CAFCO 400 '!$H$7*(J428^4)+'CAFCO 400 '!$H$8*(J428^3)+'CAFCO 400 '!$H$9*(J428^2)+'CAFCO 400 '!$H$10*J428+'CAFCO 400 '!$H$11)*U428^2)+(('CAFCO 400 '!$H$12*(J428^3)+'CAFCO 400 '!$H$13*(J428^2)+'CAFCO 400 '!$H$14*J428+'CAFCO 400 '!$H$15)*U428)+('CAFCO 400 '!$H$16*(J428^2)+'CAFCO 400 '!$H$17*J428+'CAFCO 400 '!$H$18)),0)+IF(AND(L428="Cafco 400",M428="Software Idiem",C428="Cj"),(((('CAFCO 400 '!$D$7*LN(J428)+'CAFCO 400 '!$D$8)*U428^2)+(('CAFCO 400 '!$D$9*LN(J428)+'CAFCO 400 '!$D$10)*U428)+('CAFCO 400 '!$D$11*LN(J428)+'CAFCO 400 '!$D$12))),0)+IF(AND(L428="Cafco 400",M428="Software Idiem",C428="C"),((('CAFCO 400 '!$L$7*(J428^3)+'CAFCO 400 '!$L$8*(J428^2)+'CAFCO 400 '!$L$9*J428+'CAFCO 400 '!$L$10)*U428^2)+(('CAFCO 400 '!$L$11*(J428^3)+'CAFCO 400 '!$L$12*(J428^2)+'CAFCO 400 '!$L$13*J428+'CAFCO 400 '!$L$14)*U428)+('CAFCO 400 '!$L$15*LN(J428)+'CAFCO 400 '!$L$16)),0)+IF(AND(L428="Cafco 400",M428="Software Idiem",C428="L"),((('CAFCO 400 '!$L$7*(J428^3)+'CAFCO 400 '!$L$8*(J428^2)+'CAFCO 400 '!$L$9*J428+'CAFCO 400 '!$L$10)*U428^2)+(('CAFCO 400 '!$L$11*(J428^3)+'CAFCO 400 '!$L$12*(J428^2)+'CAFCO 400 '!$L$13*J428+'CAFCO 400 '!$L$14)*U428)+('CAFCO 400 '!$L$15*LN(J428)+'CAFCO 400 '!$L$16)),0)+IF(AND(L428="Cafco 400",M428="Software Idiem",C428="IN",G428=3),((('CAFCO 400 '!$D$23*(J428^2)+'CAFCO 400 '!$D$24*(J428)+'CAFCO 400 '!$D$25)*U428^2)+(('CAFCO 400 '!$D$26*(J428^2)+'CAFCO 400 '!$D$27*J428+'CAFCO 400 '!$D$28)*U428)+('CAFCO 400 '!$D$29*(J428^2)+'CAFCO 400 '!$D$30*J428+'CAFCO 400 '!$D$31)),0),0)+IF(AND(L428="Cafco 300",J428&gt;=95,J428&lt;=240,C428="Cj",I428=90),VLOOKUP(T428,'CAFCO 300 IDIEM TABLAS'!$B$4:$D$23,2,FALSE),0)+IF(AND(L428="Cafco 300",J428&gt;=95,J428&lt;=240,C428="Cj",I428=120),VLOOKUP(T428,'CAFCO 300 IDIEM TABLAS'!$B$4:$D$23,3,FALSE),0)+IF(AND(L428="Cafco 300",J428&gt;=95,J428&lt;=400,G428=3,C428="IN",I428=90),VLOOKUP(T428,'CAFCO 300 IDIEM TABLAS'!$F$4:$H$35,2,FALSE),0)+IF(AND(L428="Cafco 300",J428&gt;=95,J428&lt;=400,G428=3,C428="IN",I428=120),VLOOKUP(T428,'CAFCO 300 IDIEM TABLAS'!$F$4:$H$35,3,FALSE),0)+IF(AND(L428="Cafco 300",J428&gt;=95,J428&lt;=450,G428=4,C428="IN",I428=90),VLOOKUP(T428,'CAFCO 300 IDIEM TABLAS'!$J$4:$L$40,2,FALSE),0)+IF(AND(L428="Cafco 300",J428&gt;=95,J428&lt;=450,G428=4,C428="IN",I428=120),VLOOKUP(T428,'CAFCO 300 IDIEM TABLAS'!$J$4:$L$40,3,FALSE),0)+IF(AND(M428="Ensayo Idiem",L428="Cafco 400",C428="IN",G428=4,I428=90),VLOOKUP(T428,'CAFCO 400 ENSAYO'!$B$7:$D$43,2,FALSE),0)+IF(AND(M428="Ensayo Idiem",L428="Cafco 400",C428="IN",G428=4,I428=120),VLOOKUP(T428,'CAFCO 400 ENSAYO'!$B$7:$D$43,3,FALSE),0)</f>
        <v>0</v>
      </c>
      <c r="O428" s="96">
        <f t="shared" si="48"/>
        <v>0</v>
      </c>
      <c r="P428" s="95" t="str">
        <f t="shared" si="43"/>
        <v>N/A</v>
      </c>
      <c r="Q428" s="95" t="str">
        <f t="shared" si="44"/>
        <v>N/A</v>
      </c>
      <c r="R428" s="95" t="str">
        <f t="shared" si="45"/>
        <v>NO CERT.</v>
      </c>
      <c r="S428" s="95" t="e">
        <f t="shared" si="46"/>
        <v>#N/A</v>
      </c>
      <c r="T428" s="119" t="e">
        <f>+IF(J428=LOOKUP(J428,'CAFCO 300 IDIEM TABLAS'!$J$4:$J$40),'CALCULO MORTERO'!J428,MROUND('CALCULO MORTERO'!J428,10))</f>
        <v>#N/A</v>
      </c>
      <c r="U428" s="118">
        <f t="shared" si="47"/>
        <v>0</v>
      </c>
      <c r="Y428" s="4"/>
      <c r="Z428" s="4"/>
      <c r="AA428" s="4"/>
    </row>
    <row r="429" spans="1:27" x14ac:dyDescent="0.25">
      <c r="A429" s="118">
        <f>+CUBICACION!D423</f>
        <v>0</v>
      </c>
      <c r="B429" s="819">
        <f>+CUBICACION!E423</f>
        <v>0</v>
      </c>
      <c r="C429" s="675">
        <f>+CUBICACION!F423</f>
        <v>0</v>
      </c>
      <c r="D429" s="118"/>
      <c r="E429" s="118"/>
      <c r="F429" s="820"/>
      <c r="G429" s="675">
        <f>+CUBICACION!J423</f>
        <v>0</v>
      </c>
      <c r="H429" s="118"/>
      <c r="I429" s="821">
        <f>+CUBICACION!L423</f>
        <v>0</v>
      </c>
      <c r="J429" s="64">
        <f>+CUBICACION!M423</f>
        <v>0</v>
      </c>
      <c r="K429" s="822" t="str">
        <f>+CUBICACION!N423</f>
        <v/>
      </c>
      <c r="L429" s="118">
        <f>+CUBICACION!O423</f>
        <v>0</v>
      </c>
      <c r="M429" s="823">
        <f>+CUBICACION!P423</f>
        <v>0</v>
      </c>
      <c r="N429" s="902">
        <f>ROUND(IF(AND(L429="Blaze Shield II",M429="Software Idiem",C429="IN",G429=4),((('BLAZE SHIELD II'!$D$4*('CALCULO MORTERO'!I429^2)+'BLAZE SHIELD II'!$D$5*'CALCULO MORTERO'!I429+'BLAZE SHIELD II'!$D$6)*LN(J429))+('BLAZE SHIELD II'!$D$7*('CALCULO MORTERO'!I429^2)+'BLAZE SHIELD II'!$D$8*'CALCULO MORTERO'!I429+'BLAZE SHIELD II'!$D$9)),0)+IF(AND(L429="Blaze Shield II",M429="Software Idiem",C429="Cj"),((('BLAZE SHIELD II'!$H$4*('CALCULO MORTERO'!I429^2)+'BLAZE SHIELD II'!$H$5*'CALCULO MORTERO'!I429+'BLAZE SHIELD II'!$H$6)*LN(J429))+('BLAZE SHIELD II'!$H$7*('CALCULO MORTERO'!I429^2)+'BLAZE SHIELD II'!$H$8*'CALCULO MORTERO'!I429+'BLAZE SHIELD II'!$H$9)),0)+IF(AND(L429="Blaze Shield II",M429="Software Idiem",C429="C"),((('BLAZE SHIELD II'!$L$4*('CALCULO MORTERO'!I429^2)+'BLAZE SHIELD II'!$L$5*'CALCULO MORTERO'!I429+'BLAZE SHIELD II'!$L$6)*LN(J429))+('BLAZE SHIELD II'!$L$7*('CALCULO MORTERO'!I429^2)+'BLAZE SHIELD II'!$L$8*'CALCULO MORTERO'!I429+'BLAZE SHIELD II'!$L$9)),0)+IF(AND(L429="Blaze Shield II",M429="Software Idiem",C429="L"),((('BLAZE SHIELD II'!$L$4*('CALCULO MORTERO'!I429^2)+'BLAZE SHIELD II'!$L$5*'CALCULO MORTERO'!I429+'BLAZE SHIELD II'!$L$6)*LN(J429))+('BLAZE SHIELD II'!$L$7*('CALCULO MORTERO'!I429^2)+'BLAZE SHIELD II'!$L$8*'CALCULO MORTERO'!I429+'BLAZE SHIELD II'!$L$9)),0)+IF(AND(L429="Blaze Shield II",M429="Software Idiem",C429="IN",G429=3),((('BLAZE SHIELD II'!$H$14*('CALCULO MORTERO'!I429^2)+'BLAZE SHIELD II'!$H$15*'CALCULO MORTERO'!I429+'BLAZE SHIELD II'!$H$16)*LN(J429))+('BLAZE SHIELD II'!$H$17*('CALCULO MORTERO'!I429^2)+'BLAZE SHIELD II'!$H$18*'CALCULO MORTERO'!I429+'BLAZE SHIELD II'!$H$19)),0),0)+ROUND(IF(AND(L429="Cafco 400",M429="Software Idiem",C429="IN",G429=4),((('CAFCO 400 '!$H$7*(J429^4)+'CAFCO 400 '!$H$8*(J429^3)+'CAFCO 400 '!$H$9*(J429^2)+'CAFCO 400 '!$H$10*J429+'CAFCO 400 '!$H$11)*U429^2)+(('CAFCO 400 '!$H$12*(J429^3)+'CAFCO 400 '!$H$13*(J429^2)+'CAFCO 400 '!$H$14*J429+'CAFCO 400 '!$H$15)*U429)+('CAFCO 400 '!$H$16*(J429^2)+'CAFCO 400 '!$H$17*J429+'CAFCO 400 '!$H$18)),0)+IF(AND(L429="Cafco 400",M429="Software Idiem",C429="Cj"),(((('CAFCO 400 '!$D$7*LN(J429)+'CAFCO 400 '!$D$8)*U429^2)+(('CAFCO 400 '!$D$9*LN(J429)+'CAFCO 400 '!$D$10)*U429)+('CAFCO 400 '!$D$11*LN(J429)+'CAFCO 400 '!$D$12))),0)+IF(AND(L429="Cafco 400",M429="Software Idiem",C429="C"),((('CAFCO 400 '!$L$7*(J429^3)+'CAFCO 400 '!$L$8*(J429^2)+'CAFCO 400 '!$L$9*J429+'CAFCO 400 '!$L$10)*U429^2)+(('CAFCO 400 '!$L$11*(J429^3)+'CAFCO 400 '!$L$12*(J429^2)+'CAFCO 400 '!$L$13*J429+'CAFCO 400 '!$L$14)*U429)+('CAFCO 400 '!$L$15*LN(J429)+'CAFCO 400 '!$L$16)),0)+IF(AND(L429="Cafco 400",M429="Software Idiem",C429="L"),((('CAFCO 400 '!$L$7*(J429^3)+'CAFCO 400 '!$L$8*(J429^2)+'CAFCO 400 '!$L$9*J429+'CAFCO 400 '!$L$10)*U429^2)+(('CAFCO 400 '!$L$11*(J429^3)+'CAFCO 400 '!$L$12*(J429^2)+'CAFCO 400 '!$L$13*J429+'CAFCO 400 '!$L$14)*U429)+('CAFCO 400 '!$L$15*LN(J429)+'CAFCO 400 '!$L$16)),0)+IF(AND(L429="Cafco 400",M429="Software Idiem",C429="IN",G429=3),((('CAFCO 400 '!$D$23*(J429^2)+'CAFCO 400 '!$D$24*(J429)+'CAFCO 400 '!$D$25)*U429^2)+(('CAFCO 400 '!$D$26*(J429^2)+'CAFCO 400 '!$D$27*J429+'CAFCO 400 '!$D$28)*U429)+('CAFCO 400 '!$D$29*(J429^2)+'CAFCO 400 '!$D$30*J429+'CAFCO 400 '!$D$31)),0),0)+IF(AND(L429="Cafco 300",J429&gt;=95,J429&lt;=240,C429="Cj",I429=90),VLOOKUP(T429,'CAFCO 300 IDIEM TABLAS'!$B$4:$D$23,2,FALSE),0)+IF(AND(L429="Cafco 300",J429&gt;=95,J429&lt;=240,C429="Cj",I429=120),VLOOKUP(T429,'CAFCO 300 IDIEM TABLAS'!$B$4:$D$23,3,FALSE),0)+IF(AND(L429="Cafco 300",J429&gt;=95,J429&lt;=400,G429=3,C429="IN",I429=90),VLOOKUP(T429,'CAFCO 300 IDIEM TABLAS'!$F$4:$H$35,2,FALSE),0)+IF(AND(L429="Cafco 300",J429&gt;=95,J429&lt;=400,G429=3,C429="IN",I429=120),VLOOKUP(T429,'CAFCO 300 IDIEM TABLAS'!$F$4:$H$35,3,FALSE),0)+IF(AND(L429="Cafco 300",J429&gt;=95,J429&lt;=450,G429=4,C429="IN",I429=90),VLOOKUP(T429,'CAFCO 300 IDIEM TABLAS'!$J$4:$L$40,2,FALSE),0)+IF(AND(L429="Cafco 300",J429&gt;=95,J429&lt;=450,G429=4,C429="IN",I429=120),VLOOKUP(T429,'CAFCO 300 IDIEM TABLAS'!$J$4:$L$40,3,FALSE),0)+IF(AND(M429="Ensayo Idiem",L429="Cafco 400",C429="IN",G429=4,I429=90),VLOOKUP(T429,'CAFCO 400 ENSAYO'!$B$7:$D$43,2,FALSE),0)+IF(AND(M429="Ensayo Idiem",L429="Cafco 400",C429="IN",G429=4,I429=120),VLOOKUP(T429,'CAFCO 400 ENSAYO'!$B$7:$D$43,3,FALSE),0)</f>
        <v>0</v>
      </c>
      <c r="O429" s="96">
        <f t="shared" si="48"/>
        <v>0</v>
      </c>
      <c r="P429" s="132" t="str">
        <f t="shared" si="43"/>
        <v>N/A</v>
      </c>
      <c r="Q429" s="132" t="str">
        <f t="shared" si="44"/>
        <v>N/A</v>
      </c>
      <c r="R429" s="132" t="str">
        <f t="shared" si="45"/>
        <v>NO CERT.</v>
      </c>
      <c r="S429" s="132" t="e">
        <f t="shared" si="46"/>
        <v>#N/A</v>
      </c>
      <c r="T429" s="133" t="e">
        <f>+IF(J429=LOOKUP(J429,'CAFCO 300 IDIEM TABLAS'!$J$4:$J$40),'CALCULO MORTERO'!J429,MROUND('CALCULO MORTERO'!J429,10))</f>
        <v>#N/A</v>
      </c>
      <c r="U429" s="134">
        <f t="shared" si="47"/>
        <v>0</v>
      </c>
      <c r="Y429" s="4"/>
      <c r="Z429" s="4"/>
      <c r="AA429" s="4"/>
    </row>
    <row r="430" spans="1:27" x14ac:dyDescent="0.25">
      <c r="A430" s="118">
        <f>+CUBICACION!D424</f>
        <v>0</v>
      </c>
      <c r="B430" s="819">
        <f>+CUBICACION!E424</f>
        <v>0</v>
      </c>
      <c r="C430" s="675">
        <f>+CUBICACION!F424</f>
        <v>0</v>
      </c>
      <c r="D430" s="118"/>
      <c r="E430" s="118"/>
      <c r="F430" s="820"/>
      <c r="G430" s="675">
        <f>+CUBICACION!J424</f>
        <v>0</v>
      </c>
      <c r="H430" s="118"/>
      <c r="I430" s="821">
        <f>+CUBICACION!L424</f>
        <v>0</v>
      </c>
      <c r="J430" s="64">
        <f>+CUBICACION!M424</f>
        <v>0</v>
      </c>
      <c r="K430" s="822" t="str">
        <f>+CUBICACION!N424</f>
        <v/>
      </c>
      <c r="L430" s="118">
        <f>+CUBICACION!O424</f>
        <v>0</v>
      </c>
      <c r="M430" s="823">
        <f>+CUBICACION!P424</f>
        <v>0</v>
      </c>
      <c r="N430" s="902">
        <f>ROUND(IF(AND(L430="Blaze Shield II",M430="Software Idiem",C430="IN",G430=4),((('BLAZE SHIELD II'!$D$4*('CALCULO MORTERO'!I430^2)+'BLAZE SHIELD II'!$D$5*'CALCULO MORTERO'!I430+'BLAZE SHIELD II'!$D$6)*LN(J430))+('BLAZE SHIELD II'!$D$7*('CALCULO MORTERO'!I430^2)+'BLAZE SHIELD II'!$D$8*'CALCULO MORTERO'!I430+'BLAZE SHIELD II'!$D$9)),0)+IF(AND(L430="Blaze Shield II",M430="Software Idiem",C430="Cj"),((('BLAZE SHIELD II'!$H$4*('CALCULO MORTERO'!I430^2)+'BLAZE SHIELD II'!$H$5*'CALCULO MORTERO'!I430+'BLAZE SHIELD II'!$H$6)*LN(J430))+('BLAZE SHIELD II'!$H$7*('CALCULO MORTERO'!I430^2)+'BLAZE SHIELD II'!$H$8*'CALCULO MORTERO'!I430+'BLAZE SHIELD II'!$H$9)),0)+IF(AND(L430="Blaze Shield II",M430="Software Idiem",C430="C"),((('BLAZE SHIELD II'!$L$4*('CALCULO MORTERO'!I430^2)+'BLAZE SHIELD II'!$L$5*'CALCULO MORTERO'!I430+'BLAZE SHIELD II'!$L$6)*LN(J430))+('BLAZE SHIELD II'!$L$7*('CALCULO MORTERO'!I430^2)+'BLAZE SHIELD II'!$L$8*'CALCULO MORTERO'!I430+'BLAZE SHIELD II'!$L$9)),0)+IF(AND(L430="Blaze Shield II",M430="Software Idiem",C430="L"),((('BLAZE SHIELD II'!$L$4*('CALCULO MORTERO'!I430^2)+'BLAZE SHIELD II'!$L$5*'CALCULO MORTERO'!I430+'BLAZE SHIELD II'!$L$6)*LN(J430))+('BLAZE SHIELD II'!$L$7*('CALCULO MORTERO'!I430^2)+'BLAZE SHIELD II'!$L$8*'CALCULO MORTERO'!I430+'BLAZE SHIELD II'!$L$9)),0)+IF(AND(L430="Blaze Shield II",M430="Software Idiem",C430="IN",G430=3),((('BLAZE SHIELD II'!$H$14*('CALCULO MORTERO'!I430^2)+'BLAZE SHIELD II'!$H$15*'CALCULO MORTERO'!I430+'BLAZE SHIELD II'!$H$16)*LN(J430))+('BLAZE SHIELD II'!$H$17*('CALCULO MORTERO'!I430^2)+'BLAZE SHIELD II'!$H$18*'CALCULO MORTERO'!I430+'BLAZE SHIELD II'!$H$19)),0),0)+ROUND(IF(AND(L430="Cafco 400",M430="Software Idiem",C430="IN",G430=4),((('CAFCO 400 '!$H$7*(J430^4)+'CAFCO 400 '!$H$8*(J430^3)+'CAFCO 400 '!$H$9*(J430^2)+'CAFCO 400 '!$H$10*J430+'CAFCO 400 '!$H$11)*U430^2)+(('CAFCO 400 '!$H$12*(J430^3)+'CAFCO 400 '!$H$13*(J430^2)+'CAFCO 400 '!$H$14*J430+'CAFCO 400 '!$H$15)*U430)+('CAFCO 400 '!$H$16*(J430^2)+'CAFCO 400 '!$H$17*J430+'CAFCO 400 '!$H$18)),0)+IF(AND(L430="Cafco 400",M430="Software Idiem",C430="Cj"),(((('CAFCO 400 '!$D$7*LN(J430)+'CAFCO 400 '!$D$8)*U430^2)+(('CAFCO 400 '!$D$9*LN(J430)+'CAFCO 400 '!$D$10)*U430)+('CAFCO 400 '!$D$11*LN(J430)+'CAFCO 400 '!$D$12))),0)+IF(AND(L430="Cafco 400",M430="Software Idiem",C430="C"),((('CAFCO 400 '!$L$7*(J430^3)+'CAFCO 400 '!$L$8*(J430^2)+'CAFCO 400 '!$L$9*J430+'CAFCO 400 '!$L$10)*U430^2)+(('CAFCO 400 '!$L$11*(J430^3)+'CAFCO 400 '!$L$12*(J430^2)+'CAFCO 400 '!$L$13*J430+'CAFCO 400 '!$L$14)*U430)+('CAFCO 400 '!$L$15*LN(J430)+'CAFCO 400 '!$L$16)),0)+IF(AND(L430="Cafco 400",M430="Software Idiem",C430="L"),((('CAFCO 400 '!$L$7*(J430^3)+'CAFCO 400 '!$L$8*(J430^2)+'CAFCO 400 '!$L$9*J430+'CAFCO 400 '!$L$10)*U430^2)+(('CAFCO 400 '!$L$11*(J430^3)+'CAFCO 400 '!$L$12*(J430^2)+'CAFCO 400 '!$L$13*J430+'CAFCO 400 '!$L$14)*U430)+('CAFCO 400 '!$L$15*LN(J430)+'CAFCO 400 '!$L$16)),0)+IF(AND(L430="Cafco 400",M430="Software Idiem",C430="IN",G430=3),((('CAFCO 400 '!$D$23*(J430^2)+'CAFCO 400 '!$D$24*(J430)+'CAFCO 400 '!$D$25)*U430^2)+(('CAFCO 400 '!$D$26*(J430^2)+'CAFCO 400 '!$D$27*J430+'CAFCO 400 '!$D$28)*U430)+('CAFCO 400 '!$D$29*(J430^2)+'CAFCO 400 '!$D$30*J430+'CAFCO 400 '!$D$31)),0),0)+IF(AND(L430="Cafco 300",J430&gt;=95,J430&lt;=240,C430="Cj",I430=90),VLOOKUP(T430,'CAFCO 300 IDIEM TABLAS'!$B$4:$D$23,2,FALSE),0)+IF(AND(L430="Cafco 300",J430&gt;=95,J430&lt;=240,C430="Cj",I430=120),VLOOKUP(T430,'CAFCO 300 IDIEM TABLAS'!$B$4:$D$23,3,FALSE),0)+IF(AND(L430="Cafco 300",J430&gt;=95,J430&lt;=400,G430=3,C430="IN",I430=90),VLOOKUP(T430,'CAFCO 300 IDIEM TABLAS'!$F$4:$H$35,2,FALSE),0)+IF(AND(L430="Cafco 300",J430&gt;=95,J430&lt;=400,G430=3,C430="IN",I430=120),VLOOKUP(T430,'CAFCO 300 IDIEM TABLAS'!$F$4:$H$35,3,FALSE),0)+IF(AND(L430="Cafco 300",J430&gt;=95,J430&lt;=450,G430=4,C430="IN",I430=90),VLOOKUP(T430,'CAFCO 300 IDIEM TABLAS'!$J$4:$L$40,2,FALSE),0)+IF(AND(L430="Cafco 300",J430&gt;=95,J430&lt;=450,G430=4,C430="IN",I430=120),VLOOKUP(T430,'CAFCO 300 IDIEM TABLAS'!$J$4:$L$40,3,FALSE),0)+IF(AND(M430="Ensayo Idiem",L430="Cafco 400",C430="IN",G430=4,I430=90),VLOOKUP(T430,'CAFCO 400 ENSAYO'!$B$7:$D$43,2,FALSE),0)+IF(AND(M430="Ensayo Idiem",L430="Cafco 400",C430="IN",G430=4,I430=120),VLOOKUP(T430,'CAFCO 400 ENSAYO'!$B$7:$D$43,3,FALSE),0)</f>
        <v>0</v>
      </c>
      <c r="O430" s="96">
        <f t="shared" si="48"/>
        <v>0</v>
      </c>
      <c r="P430" s="95" t="str">
        <f t="shared" si="43"/>
        <v>N/A</v>
      </c>
      <c r="Q430" s="95" t="str">
        <f t="shared" si="44"/>
        <v>N/A</v>
      </c>
      <c r="R430" s="95" t="str">
        <f t="shared" si="45"/>
        <v>NO CERT.</v>
      </c>
      <c r="S430" s="95" t="e">
        <f t="shared" si="46"/>
        <v>#N/A</v>
      </c>
      <c r="T430" s="119" t="e">
        <f>+IF(J430=LOOKUP(J430,'CAFCO 300 IDIEM TABLAS'!$J$4:$J$40),'CALCULO MORTERO'!J430,MROUND('CALCULO MORTERO'!J430,10))</f>
        <v>#N/A</v>
      </c>
      <c r="U430" s="118">
        <f t="shared" si="47"/>
        <v>0</v>
      </c>
      <c r="Y430" s="4"/>
      <c r="Z430" s="4"/>
      <c r="AA430" s="4"/>
    </row>
    <row r="431" spans="1:27" x14ac:dyDescent="0.25">
      <c r="A431" s="118">
        <f>+CUBICACION!D425</f>
        <v>0</v>
      </c>
      <c r="B431" s="819">
        <f>+CUBICACION!E425</f>
        <v>0</v>
      </c>
      <c r="C431" s="675">
        <f>+CUBICACION!F425</f>
        <v>0</v>
      </c>
      <c r="D431" s="118"/>
      <c r="E431" s="118"/>
      <c r="F431" s="820"/>
      <c r="G431" s="675">
        <f>+CUBICACION!J425</f>
        <v>0</v>
      </c>
      <c r="H431" s="118"/>
      <c r="I431" s="821">
        <f>+CUBICACION!L425</f>
        <v>0</v>
      </c>
      <c r="J431" s="64">
        <f>+CUBICACION!M425</f>
        <v>0</v>
      </c>
      <c r="K431" s="822" t="str">
        <f>+CUBICACION!N425</f>
        <v/>
      </c>
      <c r="L431" s="118">
        <f>+CUBICACION!O425</f>
        <v>0</v>
      </c>
      <c r="M431" s="823">
        <f>+CUBICACION!P425</f>
        <v>0</v>
      </c>
      <c r="N431" s="902">
        <f>ROUND(IF(AND(L431="Blaze Shield II",M431="Software Idiem",C431="IN",G431=4),((('BLAZE SHIELD II'!$D$4*('CALCULO MORTERO'!I431^2)+'BLAZE SHIELD II'!$D$5*'CALCULO MORTERO'!I431+'BLAZE SHIELD II'!$D$6)*LN(J431))+('BLAZE SHIELD II'!$D$7*('CALCULO MORTERO'!I431^2)+'BLAZE SHIELD II'!$D$8*'CALCULO MORTERO'!I431+'BLAZE SHIELD II'!$D$9)),0)+IF(AND(L431="Blaze Shield II",M431="Software Idiem",C431="Cj"),((('BLAZE SHIELD II'!$H$4*('CALCULO MORTERO'!I431^2)+'BLAZE SHIELD II'!$H$5*'CALCULO MORTERO'!I431+'BLAZE SHIELD II'!$H$6)*LN(J431))+('BLAZE SHIELD II'!$H$7*('CALCULO MORTERO'!I431^2)+'BLAZE SHIELD II'!$H$8*'CALCULO MORTERO'!I431+'BLAZE SHIELD II'!$H$9)),0)+IF(AND(L431="Blaze Shield II",M431="Software Idiem",C431="C"),((('BLAZE SHIELD II'!$L$4*('CALCULO MORTERO'!I431^2)+'BLAZE SHIELD II'!$L$5*'CALCULO MORTERO'!I431+'BLAZE SHIELD II'!$L$6)*LN(J431))+('BLAZE SHIELD II'!$L$7*('CALCULO MORTERO'!I431^2)+'BLAZE SHIELD II'!$L$8*'CALCULO MORTERO'!I431+'BLAZE SHIELD II'!$L$9)),0)+IF(AND(L431="Blaze Shield II",M431="Software Idiem",C431="L"),((('BLAZE SHIELD II'!$L$4*('CALCULO MORTERO'!I431^2)+'BLAZE SHIELD II'!$L$5*'CALCULO MORTERO'!I431+'BLAZE SHIELD II'!$L$6)*LN(J431))+('BLAZE SHIELD II'!$L$7*('CALCULO MORTERO'!I431^2)+'BLAZE SHIELD II'!$L$8*'CALCULO MORTERO'!I431+'BLAZE SHIELD II'!$L$9)),0)+IF(AND(L431="Blaze Shield II",M431="Software Idiem",C431="IN",G431=3),((('BLAZE SHIELD II'!$H$14*('CALCULO MORTERO'!I431^2)+'BLAZE SHIELD II'!$H$15*'CALCULO MORTERO'!I431+'BLAZE SHIELD II'!$H$16)*LN(J431))+('BLAZE SHIELD II'!$H$17*('CALCULO MORTERO'!I431^2)+'BLAZE SHIELD II'!$H$18*'CALCULO MORTERO'!I431+'BLAZE SHIELD II'!$H$19)),0),0)+ROUND(IF(AND(L431="Cafco 400",M431="Software Idiem",C431="IN",G431=4),((('CAFCO 400 '!$H$7*(J431^4)+'CAFCO 400 '!$H$8*(J431^3)+'CAFCO 400 '!$H$9*(J431^2)+'CAFCO 400 '!$H$10*J431+'CAFCO 400 '!$H$11)*U431^2)+(('CAFCO 400 '!$H$12*(J431^3)+'CAFCO 400 '!$H$13*(J431^2)+'CAFCO 400 '!$H$14*J431+'CAFCO 400 '!$H$15)*U431)+('CAFCO 400 '!$H$16*(J431^2)+'CAFCO 400 '!$H$17*J431+'CAFCO 400 '!$H$18)),0)+IF(AND(L431="Cafco 400",M431="Software Idiem",C431="Cj"),(((('CAFCO 400 '!$D$7*LN(J431)+'CAFCO 400 '!$D$8)*U431^2)+(('CAFCO 400 '!$D$9*LN(J431)+'CAFCO 400 '!$D$10)*U431)+('CAFCO 400 '!$D$11*LN(J431)+'CAFCO 400 '!$D$12))),0)+IF(AND(L431="Cafco 400",M431="Software Idiem",C431="C"),((('CAFCO 400 '!$L$7*(J431^3)+'CAFCO 400 '!$L$8*(J431^2)+'CAFCO 400 '!$L$9*J431+'CAFCO 400 '!$L$10)*U431^2)+(('CAFCO 400 '!$L$11*(J431^3)+'CAFCO 400 '!$L$12*(J431^2)+'CAFCO 400 '!$L$13*J431+'CAFCO 400 '!$L$14)*U431)+('CAFCO 400 '!$L$15*LN(J431)+'CAFCO 400 '!$L$16)),0)+IF(AND(L431="Cafco 400",M431="Software Idiem",C431="L"),((('CAFCO 400 '!$L$7*(J431^3)+'CAFCO 400 '!$L$8*(J431^2)+'CAFCO 400 '!$L$9*J431+'CAFCO 400 '!$L$10)*U431^2)+(('CAFCO 400 '!$L$11*(J431^3)+'CAFCO 400 '!$L$12*(J431^2)+'CAFCO 400 '!$L$13*J431+'CAFCO 400 '!$L$14)*U431)+('CAFCO 400 '!$L$15*LN(J431)+'CAFCO 400 '!$L$16)),0)+IF(AND(L431="Cafco 400",M431="Software Idiem",C431="IN",G431=3),((('CAFCO 400 '!$D$23*(J431^2)+'CAFCO 400 '!$D$24*(J431)+'CAFCO 400 '!$D$25)*U431^2)+(('CAFCO 400 '!$D$26*(J431^2)+'CAFCO 400 '!$D$27*J431+'CAFCO 400 '!$D$28)*U431)+('CAFCO 400 '!$D$29*(J431^2)+'CAFCO 400 '!$D$30*J431+'CAFCO 400 '!$D$31)),0),0)+IF(AND(L431="Cafco 300",J431&gt;=95,J431&lt;=240,C431="Cj",I431=90),VLOOKUP(T431,'CAFCO 300 IDIEM TABLAS'!$B$4:$D$23,2,FALSE),0)+IF(AND(L431="Cafco 300",J431&gt;=95,J431&lt;=240,C431="Cj",I431=120),VLOOKUP(T431,'CAFCO 300 IDIEM TABLAS'!$B$4:$D$23,3,FALSE),0)+IF(AND(L431="Cafco 300",J431&gt;=95,J431&lt;=400,G431=3,C431="IN",I431=90),VLOOKUP(T431,'CAFCO 300 IDIEM TABLAS'!$F$4:$H$35,2,FALSE),0)+IF(AND(L431="Cafco 300",J431&gt;=95,J431&lt;=400,G431=3,C431="IN",I431=120),VLOOKUP(T431,'CAFCO 300 IDIEM TABLAS'!$F$4:$H$35,3,FALSE),0)+IF(AND(L431="Cafco 300",J431&gt;=95,J431&lt;=450,G431=4,C431="IN",I431=90),VLOOKUP(T431,'CAFCO 300 IDIEM TABLAS'!$J$4:$L$40,2,FALSE),0)+IF(AND(L431="Cafco 300",J431&gt;=95,J431&lt;=450,G431=4,C431="IN",I431=120),VLOOKUP(T431,'CAFCO 300 IDIEM TABLAS'!$J$4:$L$40,3,FALSE),0)+IF(AND(M431="Ensayo Idiem",L431="Cafco 400",C431="IN",G431=4,I431=90),VLOOKUP(T431,'CAFCO 400 ENSAYO'!$B$7:$D$43,2,FALSE),0)+IF(AND(M431="Ensayo Idiem",L431="Cafco 400",C431="IN",G431=4,I431=120),VLOOKUP(T431,'CAFCO 400 ENSAYO'!$B$7:$D$43,3,FALSE),0)</f>
        <v>0</v>
      </c>
      <c r="O431" s="96">
        <f t="shared" si="48"/>
        <v>0</v>
      </c>
      <c r="P431" s="132" t="str">
        <f t="shared" si="43"/>
        <v>N/A</v>
      </c>
      <c r="Q431" s="132" t="str">
        <f t="shared" si="44"/>
        <v>N/A</v>
      </c>
      <c r="R431" s="132" t="str">
        <f t="shared" si="45"/>
        <v>NO CERT.</v>
      </c>
      <c r="S431" s="132" t="e">
        <f t="shared" si="46"/>
        <v>#N/A</v>
      </c>
      <c r="T431" s="133" t="e">
        <f>+IF(J431=LOOKUP(J431,'CAFCO 300 IDIEM TABLAS'!$J$4:$J$40),'CALCULO MORTERO'!J431,MROUND('CALCULO MORTERO'!J431,10))</f>
        <v>#N/A</v>
      </c>
      <c r="U431" s="134">
        <f t="shared" si="47"/>
        <v>0</v>
      </c>
      <c r="Y431" s="4"/>
      <c r="Z431" s="4"/>
      <c r="AA431" s="4"/>
    </row>
    <row r="432" spans="1:27" x14ac:dyDescent="0.25">
      <c r="A432" s="118">
        <f>+CUBICACION!D426</f>
        <v>0</v>
      </c>
      <c r="B432" s="819">
        <f>+CUBICACION!E426</f>
        <v>0</v>
      </c>
      <c r="C432" s="675">
        <f>+CUBICACION!F426</f>
        <v>0</v>
      </c>
      <c r="D432" s="118"/>
      <c r="E432" s="118"/>
      <c r="F432" s="820"/>
      <c r="G432" s="675">
        <f>+CUBICACION!J426</f>
        <v>0</v>
      </c>
      <c r="H432" s="118"/>
      <c r="I432" s="821">
        <f>+CUBICACION!L426</f>
        <v>0</v>
      </c>
      <c r="J432" s="64">
        <f>+CUBICACION!M426</f>
        <v>0</v>
      </c>
      <c r="K432" s="822" t="str">
        <f>+CUBICACION!N426</f>
        <v/>
      </c>
      <c r="L432" s="118">
        <f>+CUBICACION!O426</f>
        <v>0</v>
      </c>
      <c r="M432" s="823">
        <f>+CUBICACION!P426</f>
        <v>0</v>
      </c>
      <c r="N432" s="902">
        <f>ROUND(IF(AND(L432="Blaze Shield II",M432="Software Idiem",C432="IN",G432=4),((('BLAZE SHIELD II'!$D$4*('CALCULO MORTERO'!I432^2)+'BLAZE SHIELD II'!$D$5*'CALCULO MORTERO'!I432+'BLAZE SHIELD II'!$D$6)*LN(J432))+('BLAZE SHIELD II'!$D$7*('CALCULO MORTERO'!I432^2)+'BLAZE SHIELD II'!$D$8*'CALCULO MORTERO'!I432+'BLAZE SHIELD II'!$D$9)),0)+IF(AND(L432="Blaze Shield II",M432="Software Idiem",C432="Cj"),((('BLAZE SHIELD II'!$H$4*('CALCULO MORTERO'!I432^2)+'BLAZE SHIELD II'!$H$5*'CALCULO MORTERO'!I432+'BLAZE SHIELD II'!$H$6)*LN(J432))+('BLAZE SHIELD II'!$H$7*('CALCULO MORTERO'!I432^2)+'BLAZE SHIELD II'!$H$8*'CALCULO MORTERO'!I432+'BLAZE SHIELD II'!$H$9)),0)+IF(AND(L432="Blaze Shield II",M432="Software Idiem",C432="C"),((('BLAZE SHIELD II'!$L$4*('CALCULO MORTERO'!I432^2)+'BLAZE SHIELD II'!$L$5*'CALCULO MORTERO'!I432+'BLAZE SHIELD II'!$L$6)*LN(J432))+('BLAZE SHIELD II'!$L$7*('CALCULO MORTERO'!I432^2)+'BLAZE SHIELD II'!$L$8*'CALCULO MORTERO'!I432+'BLAZE SHIELD II'!$L$9)),0)+IF(AND(L432="Blaze Shield II",M432="Software Idiem",C432="L"),((('BLAZE SHIELD II'!$L$4*('CALCULO MORTERO'!I432^2)+'BLAZE SHIELD II'!$L$5*'CALCULO MORTERO'!I432+'BLAZE SHIELD II'!$L$6)*LN(J432))+('BLAZE SHIELD II'!$L$7*('CALCULO MORTERO'!I432^2)+'BLAZE SHIELD II'!$L$8*'CALCULO MORTERO'!I432+'BLAZE SHIELD II'!$L$9)),0)+IF(AND(L432="Blaze Shield II",M432="Software Idiem",C432="IN",G432=3),((('BLAZE SHIELD II'!$H$14*('CALCULO MORTERO'!I432^2)+'BLAZE SHIELD II'!$H$15*'CALCULO MORTERO'!I432+'BLAZE SHIELD II'!$H$16)*LN(J432))+('BLAZE SHIELD II'!$H$17*('CALCULO MORTERO'!I432^2)+'BLAZE SHIELD II'!$H$18*'CALCULO MORTERO'!I432+'BLAZE SHIELD II'!$H$19)),0),0)+ROUND(IF(AND(L432="Cafco 400",M432="Software Idiem",C432="IN",G432=4),((('CAFCO 400 '!$H$7*(J432^4)+'CAFCO 400 '!$H$8*(J432^3)+'CAFCO 400 '!$H$9*(J432^2)+'CAFCO 400 '!$H$10*J432+'CAFCO 400 '!$H$11)*U432^2)+(('CAFCO 400 '!$H$12*(J432^3)+'CAFCO 400 '!$H$13*(J432^2)+'CAFCO 400 '!$H$14*J432+'CAFCO 400 '!$H$15)*U432)+('CAFCO 400 '!$H$16*(J432^2)+'CAFCO 400 '!$H$17*J432+'CAFCO 400 '!$H$18)),0)+IF(AND(L432="Cafco 400",M432="Software Idiem",C432="Cj"),(((('CAFCO 400 '!$D$7*LN(J432)+'CAFCO 400 '!$D$8)*U432^2)+(('CAFCO 400 '!$D$9*LN(J432)+'CAFCO 400 '!$D$10)*U432)+('CAFCO 400 '!$D$11*LN(J432)+'CAFCO 400 '!$D$12))),0)+IF(AND(L432="Cafco 400",M432="Software Idiem",C432="C"),((('CAFCO 400 '!$L$7*(J432^3)+'CAFCO 400 '!$L$8*(J432^2)+'CAFCO 400 '!$L$9*J432+'CAFCO 400 '!$L$10)*U432^2)+(('CAFCO 400 '!$L$11*(J432^3)+'CAFCO 400 '!$L$12*(J432^2)+'CAFCO 400 '!$L$13*J432+'CAFCO 400 '!$L$14)*U432)+('CAFCO 400 '!$L$15*LN(J432)+'CAFCO 400 '!$L$16)),0)+IF(AND(L432="Cafco 400",M432="Software Idiem",C432="L"),((('CAFCO 400 '!$L$7*(J432^3)+'CAFCO 400 '!$L$8*(J432^2)+'CAFCO 400 '!$L$9*J432+'CAFCO 400 '!$L$10)*U432^2)+(('CAFCO 400 '!$L$11*(J432^3)+'CAFCO 400 '!$L$12*(J432^2)+'CAFCO 400 '!$L$13*J432+'CAFCO 400 '!$L$14)*U432)+('CAFCO 400 '!$L$15*LN(J432)+'CAFCO 400 '!$L$16)),0)+IF(AND(L432="Cafco 400",M432="Software Idiem",C432="IN",G432=3),((('CAFCO 400 '!$D$23*(J432^2)+'CAFCO 400 '!$D$24*(J432)+'CAFCO 400 '!$D$25)*U432^2)+(('CAFCO 400 '!$D$26*(J432^2)+'CAFCO 400 '!$D$27*J432+'CAFCO 400 '!$D$28)*U432)+('CAFCO 400 '!$D$29*(J432^2)+'CAFCO 400 '!$D$30*J432+'CAFCO 400 '!$D$31)),0),0)+IF(AND(L432="Cafco 300",J432&gt;=95,J432&lt;=240,C432="Cj",I432=90),VLOOKUP(T432,'CAFCO 300 IDIEM TABLAS'!$B$4:$D$23,2,FALSE),0)+IF(AND(L432="Cafco 300",J432&gt;=95,J432&lt;=240,C432="Cj",I432=120),VLOOKUP(T432,'CAFCO 300 IDIEM TABLAS'!$B$4:$D$23,3,FALSE),0)+IF(AND(L432="Cafco 300",J432&gt;=95,J432&lt;=400,G432=3,C432="IN",I432=90),VLOOKUP(T432,'CAFCO 300 IDIEM TABLAS'!$F$4:$H$35,2,FALSE),0)+IF(AND(L432="Cafco 300",J432&gt;=95,J432&lt;=400,G432=3,C432="IN",I432=120),VLOOKUP(T432,'CAFCO 300 IDIEM TABLAS'!$F$4:$H$35,3,FALSE),0)+IF(AND(L432="Cafco 300",J432&gt;=95,J432&lt;=450,G432=4,C432="IN",I432=90),VLOOKUP(T432,'CAFCO 300 IDIEM TABLAS'!$J$4:$L$40,2,FALSE),0)+IF(AND(L432="Cafco 300",J432&gt;=95,J432&lt;=450,G432=4,C432="IN",I432=120),VLOOKUP(T432,'CAFCO 300 IDIEM TABLAS'!$J$4:$L$40,3,FALSE),0)+IF(AND(M432="Ensayo Idiem",L432="Cafco 400",C432="IN",G432=4,I432=90),VLOOKUP(T432,'CAFCO 400 ENSAYO'!$B$7:$D$43,2,FALSE),0)+IF(AND(M432="Ensayo Idiem",L432="Cafco 400",C432="IN",G432=4,I432=120),VLOOKUP(T432,'CAFCO 400 ENSAYO'!$B$7:$D$43,3,FALSE),0)</f>
        <v>0</v>
      </c>
      <c r="O432" s="96">
        <f t="shared" si="48"/>
        <v>0</v>
      </c>
      <c r="P432" s="95" t="str">
        <f t="shared" si="43"/>
        <v>N/A</v>
      </c>
      <c r="Q432" s="95" t="str">
        <f t="shared" si="44"/>
        <v>N/A</v>
      </c>
      <c r="R432" s="95" t="str">
        <f t="shared" si="45"/>
        <v>NO CERT.</v>
      </c>
      <c r="S432" s="95" t="e">
        <f t="shared" si="46"/>
        <v>#N/A</v>
      </c>
      <c r="T432" s="119" t="e">
        <f>+IF(J432=LOOKUP(J432,'CAFCO 300 IDIEM TABLAS'!$J$4:$J$40),'CALCULO MORTERO'!J432,MROUND('CALCULO MORTERO'!J432,10))</f>
        <v>#N/A</v>
      </c>
      <c r="U432" s="118">
        <f t="shared" si="47"/>
        <v>0</v>
      </c>
      <c r="Y432" s="4"/>
      <c r="Z432" s="4"/>
      <c r="AA432" s="4"/>
    </row>
    <row r="433" spans="1:27" x14ac:dyDescent="0.25">
      <c r="A433" s="118">
        <f>+CUBICACION!D427</f>
        <v>0</v>
      </c>
      <c r="B433" s="819">
        <f>+CUBICACION!E427</f>
        <v>0</v>
      </c>
      <c r="C433" s="675">
        <f>+CUBICACION!F427</f>
        <v>0</v>
      </c>
      <c r="D433" s="118"/>
      <c r="E433" s="118"/>
      <c r="F433" s="820"/>
      <c r="G433" s="675">
        <f>+CUBICACION!J427</f>
        <v>0</v>
      </c>
      <c r="H433" s="118"/>
      <c r="I433" s="821">
        <f>+CUBICACION!L427</f>
        <v>0</v>
      </c>
      <c r="J433" s="64">
        <f>+CUBICACION!M427</f>
        <v>0</v>
      </c>
      <c r="K433" s="822" t="str">
        <f>+CUBICACION!N427</f>
        <v/>
      </c>
      <c r="L433" s="118">
        <f>+CUBICACION!O427</f>
        <v>0</v>
      </c>
      <c r="M433" s="823">
        <f>+CUBICACION!P427</f>
        <v>0</v>
      </c>
      <c r="N433" s="902">
        <f>ROUND(IF(AND(L433="Blaze Shield II",M433="Software Idiem",C433="IN",G433=4),((('BLAZE SHIELD II'!$D$4*('CALCULO MORTERO'!I433^2)+'BLAZE SHIELD II'!$D$5*'CALCULO MORTERO'!I433+'BLAZE SHIELD II'!$D$6)*LN(J433))+('BLAZE SHIELD II'!$D$7*('CALCULO MORTERO'!I433^2)+'BLAZE SHIELD II'!$D$8*'CALCULO MORTERO'!I433+'BLAZE SHIELD II'!$D$9)),0)+IF(AND(L433="Blaze Shield II",M433="Software Idiem",C433="Cj"),((('BLAZE SHIELD II'!$H$4*('CALCULO MORTERO'!I433^2)+'BLAZE SHIELD II'!$H$5*'CALCULO MORTERO'!I433+'BLAZE SHIELD II'!$H$6)*LN(J433))+('BLAZE SHIELD II'!$H$7*('CALCULO MORTERO'!I433^2)+'BLAZE SHIELD II'!$H$8*'CALCULO MORTERO'!I433+'BLAZE SHIELD II'!$H$9)),0)+IF(AND(L433="Blaze Shield II",M433="Software Idiem",C433="C"),((('BLAZE SHIELD II'!$L$4*('CALCULO MORTERO'!I433^2)+'BLAZE SHIELD II'!$L$5*'CALCULO MORTERO'!I433+'BLAZE SHIELD II'!$L$6)*LN(J433))+('BLAZE SHIELD II'!$L$7*('CALCULO MORTERO'!I433^2)+'BLAZE SHIELD II'!$L$8*'CALCULO MORTERO'!I433+'BLAZE SHIELD II'!$L$9)),0)+IF(AND(L433="Blaze Shield II",M433="Software Idiem",C433="L"),((('BLAZE SHIELD II'!$L$4*('CALCULO MORTERO'!I433^2)+'BLAZE SHIELD II'!$L$5*'CALCULO MORTERO'!I433+'BLAZE SHIELD II'!$L$6)*LN(J433))+('BLAZE SHIELD II'!$L$7*('CALCULO MORTERO'!I433^2)+'BLAZE SHIELD II'!$L$8*'CALCULO MORTERO'!I433+'BLAZE SHIELD II'!$L$9)),0)+IF(AND(L433="Blaze Shield II",M433="Software Idiem",C433="IN",G433=3),((('BLAZE SHIELD II'!$H$14*('CALCULO MORTERO'!I433^2)+'BLAZE SHIELD II'!$H$15*'CALCULO MORTERO'!I433+'BLAZE SHIELD II'!$H$16)*LN(J433))+('BLAZE SHIELD II'!$H$17*('CALCULO MORTERO'!I433^2)+'BLAZE SHIELD II'!$H$18*'CALCULO MORTERO'!I433+'BLAZE SHIELD II'!$H$19)),0),0)+ROUND(IF(AND(L433="Cafco 400",M433="Software Idiem",C433="IN",G433=4),((('CAFCO 400 '!$H$7*(J433^4)+'CAFCO 400 '!$H$8*(J433^3)+'CAFCO 400 '!$H$9*(J433^2)+'CAFCO 400 '!$H$10*J433+'CAFCO 400 '!$H$11)*U433^2)+(('CAFCO 400 '!$H$12*(J433^3)+'CAFCO 400 '!$H$13*(J433^2)+'CAFCO 400 '!$H$14*J433+'CAFCO 400 '!$H$15)*U433)+('CAFCO 400 '!$H$16*(J433^2)+'CAFCO 400 '!$H$17*J433+'CAFCO 400 '!$H$18)),0)+IF(AND(L433="Cafco 400",M433="Software Idiem",C433="Cj"),(((('CAFCO 400 '!$D$7*LN(J433)+'CAFCO 400 '!$D$8)*U433^2)+(('CAFCO 400 '!$D$9*LN(J433)+'CAFCO 400 '!$D$10)*U433)+('CAFCO 400 '!$D$11*LN(J433)+'CAFCO 400 '!$D$12))),0)+IF(AND(L433="Cafco 400",M433="Software Idiem",C433="C"),((('CAFCO 400 '!$L$7*(J433^3)+'CAFCO 400 '!$L$8*(J433^2)+'CAFCO 400 '!$L$9*J433+'CAFCO 400 '!$L$10)*U433^2)+(('CAFCO 400 '!$L$11*(J433^3)+'CAFCO 400 '!$L$12*(J433^2)+'CAFCO 400 '!$L$13*J433+'CAFCO 400 '!$L$14)*U433)+('CAFCO 400 '!$L$15*LN(J433)+'CAFCO 400 '!$L$16)),0)+IF(AND(L433="Cafco 400",M433="Software Idiem",C433="L"),((('CAFCO 400 '!$L$7*(J433^3)+'CAFCO 400 '!$L$8*(J433^2)+'CAFCO 400 '!$L$9*J433+'CAFCO 400 '!$L$10)*U433^2)+(('CAFCO 400 '!$L$11*(J433^3)+'CAFCO 400 '!$L$12*(J433^2)+'CAFCO 400 '!$L$13*J433+'CAFCO 400 '!$L$14)*U433)+('CAFCO 400 '!$L$15*LN(J433)+'CAFCO 400 '!$L$16)),0)+IF(AND(L433="Cafco 400",M433="Software Idiem",C433="IN",G433=3),((('CAFCO 400 '!$D$23*(J433^2)+'CAFCO 400 '!$D$24*(J433)+'CAFCO 400 '!$D$25)*U433^2)+(('CAFCO 400 '!$D$26*(J433^2)+'CAFCO 400 '!$D$27*J433+'CAFCO 400 '!$D$28)*U433)+('CAFCO 400 '!$D$29*(J433^2)+'CAFCO 400 '!$D$30*J433+'CAFCO 400 '!$D$31)),0),0)+IF(AND(L433="Cafco 300",J433&gt;=95,J433&lt;=240,C433="Cj",I433=90),VLOOKUP(T433,'CAFCO 300 IDIEM TABLAS'!$B$4:$D$23,2,FALSE),0)+IF(AND(L433="Cafco 300",J433&gt;=95,J433&lt;=240,C433="Cj",I433=120),VLOOKUP(T433,'CAFCO 300 IDIEM TABLAS'!$B$4:$D$23,3,FALSE),0)+IF(AND(L433="Cafco 300",J433&gt;=95,J433&lt;=400,G433=3,C433="IN",I433=90),VLOOKUP(T433,'CAFCO 300 IDIEM TABLAS'!$F$4:$H$35,2,FALSE),0)+IF(AND(L433="Cafco 300",J433&gt;=95,J433&lt;=400,G433=3,C433="IN",I433=120),VLOOKUP(T433,'CAFCO 300 IDIEM TABLAS'!$F$4:$H$35,3,FALSE),0)+IF(AND(L433="Cafco 300",J433&gt;=95,J433&lt;=450,G433=4,C433="IN",I433=90),VLOOKUP(T433,'CAFCO 300 IDIEM TABLAS'!$J$4:$L$40,2,FALSE),0)+IF(AND(L433="Cafco 300",J433&gt;=95,J433&lt;=450,G433=4,C433="IN",I433=120),VLOOKUP(T433,'CAFCO 300 IDIEM TABLAS'!$J$4:$L$40,3,FALSE),0)+IF(AND(M433="Ensayo Idiem",L433="Cafco 400",C433="IN",G433=4,I433=90),VLOOKUP(T433,'CAFCO 400 ENSAYO'!$B$7:$D$43,2,FALSE),0)+IF(AND(M433="Ensayo Idiem",L433="Cafco 400",C433="IN",G433=4,I433=120),VLOOKUP(T433,'CAFCO 400 ENSAYO'!$B$7:$D$43,3,FALSE),0)</f>
        <v>0</v>
      </c>
      <c r="O433" s="96">
        <f t="shared" si="48"/>
        <v>0</v>
      </c>
      <c r="P433" s="132" t="str">
        <f t="shared" si="43"/>
        <v>N/A</v>
      </c>
      <c r="Q433" s="132" t="str">
        <f t="shared" si="44"/>
        <v>N/A</v>
      </c>
      <c r="R433" s="132" t="str">
        <f t="shared" si="45"/>
        <v>NO CERT.</v>
      </c>
      <c r="S433" s="132" t="e">
        <f t="shared" si="46"/>
        <v>#N/A</v>
      </c>
      <c r="T433" s="133" t="e">
        <f>+IF(J433=LOOKUP(J433,'CAFCO 300 IDIEM TABLAS'!$J$4:$J$40),'CALCULO MORTERO'!J433,MROUND('CALCULO MORTERO'!J433,10))</f>
        <v>#N/A</v>
      </c>
      <c r="U433" s="134">
        <f t="shared" si="47"/>
        <v>0</v>
      </c>
      <c r="Y433" s="4"/>
      <c r="Z433" s="4"/>
      <c r="AA433" s="4"/>
    </row>
    <row r="434" spans="1:27" x14ac:dyDescent="0.25">
      <c r="A434" s="118">
        <f>+CUBICACION!D428</f>
        <v>0</v>
      </c>
      <c r="B434" s="819">
        <f>+CUBICACION!E428</f>
        <v>0</v>
      </c>
      <c r="C434" s="675">
        <f>+CUBICACION!F428</f>
        <v>0</v>
      </c>
      <c r="D434" s="118"/>
      <c r="E434" s="118"/>
      <c r="F434" s="820"/>
      <c r="G434" s="675">
        <f>+CUBICACION!J428</f>
        <v>0</v>
      </c>
      <c r="H434" s="118"/>
      <c r="I434" s="821">
        <f>+CUBICACION!L428</f>
        <v>0</v>
      </c>
      <c r="J434" s="64">
        <f>+CUBICACION!M428</f>
        <v>0</v>
      </c>
      <c r="K434" s="822" t="str">
        <f>+CUBICACION!N428</f>
        <v/>
      </c>
      <c r="L434" s="118">
        <f>+CUBICACION!O428</f>
        <v>0</v>
      </c>
      <c r="M434" s="823">
        <f>+CUBICACION!P428</f>
        <v>0</v>
      </c>
      <c r="N434" s="902">
        <f>ROUND(IF(AND(L434="Blaze Shield II",M434="Software Idiem",C434="IN",G434=4),((('BLAZE SHIELD II'!$D$4*('CALCULO MORTERO'!I434^2)+'BLAZE SHIELD II'!$D$5*'CALCULO MORTERO'!I434+'BLAZE SHIELD II'!$D$6)*LN(J434))+('BLAZE SHIELD II'!$D$7*('CALCULO MORTERO'!I434^2)+'BLAZE SHIELD II'!$D$8*'CALCULO MORTERO'!I434+'BLAZE SHIELD II'!$D$9)),0)+IF(AND(L434="Blaze Shield II",M434="Software Idiem",C434="Cj"),((('BLAZE SHIELD II'!$H$4*('CALCULO MORTERO'!I434^2)+'BLAZE SHIELD II'!$H$5*'CALCULO MORTERO'!I434+'BLAZE SHIELD II'!$H$6)*LN(J434))+('BLAZE SHIELD II'!$H$7*('CALCULO MORTERO'!I434^2)+'BLAZE SHIELD II'!$H$8*'CALCULO MORTERO'!I434+'BLAZE SHIELD II'!$H$9)),0)+IF(AND(L434="Blaze Shield II",M434="Software Idiem",C434="C"),((('BLAZE SHIELD II'!$L$4*('CALCULO MORTERO'!I434^2)+'BLAZE SHIELD II'!$L$5*'CALCULO MORTERO'!I434+'BLAZE SHIELD II'!$L$6)*LN(J434))+('BLAZE SHIELD II'!$L$7*('CALCULO MORTERO'!I434^2)+'BLAZE SHIELD II'!$L$8*'CALCULO MORTERO'!I434+'BLAZE SHIELD II'!$L$9)),0)+IF(AND(L434="Blaze Shield II",M434="Software Idiem",C434="L"),((('BLAZE SHIELD II'!$L$4*('CALCULO MORTERO'!I434^2)+'BLAZE SHIELD II'!$L$5*'CALCULO MORTERO'!I434+'BLAZE SHIELD II'!$L$6)*LN(J434))+('BLAZE SHIELD II'!$L$7*('CALCULO MORTERO'!I434^2)+'BLAZE SHIELD II'!$L$8*'CALCULO MORTERO'!I434+'BLAZE SHIELD II'!$L$9)),0)+IF(AND(L434="Blaze Shield II",M434="Software Idiem",C434="IN",G434=3),((('BLAZE SHIELD II'!$H$14*('CALCULO MORTERO'!I434^2)+'BLAZE SHIELD II'!$H$15*'CALCULO MORTERO'!I434+'BLAZE SHIELD II'!$H$16)*LN(J434))+('BLAZE SHIELD II'!$H$17*('CALCULO MORTERO'!I434^2)+'BLAZE SHIELD II'!$H$18*'CALCULO MORTERO'!I434+'BLAZE SHIELD II'!$H$19)),0),0)+ROUND(IF(AND(L434="Cafco 400",M434="Software Idiem",C434="IN",G434=4),((('CAFCO 400 '!$H$7*(J434^4)+'CAFCO 400 '!$H$8*(J434^3)+'CAFCO 400 '!$H$9*(J434^2)+'CAFCO 400 '!$H$10*J434+'CAFCO 400 '!$H$11)*U434^2)+(('CAFCO 400 '!$H$12*(J434^3)+'CAFCO 400 '!$H$13*(J434^2)+'CAFCO 400 '!$H$14*J434+'CAFCO 400 '!$H$15)*U434)+('CAFCO 400 '!$H$16*(J434^2)+'CAFCO 400 '!$H$17*J434+'CAFCO 400 '!$H$18)),0)+IF(AND(L434="Cafco 400",M434="Software Idiem",C434="Cj"),(((('CAFCO 400 '!$D$7*LN(J434)+'CAFCO 400 '!$D$8)*U434^2)+(('CAFCO 400 '!$D$9*LN(J434)+'CAFCO 400 '!$D$10)*U434)+('CAFCO 400 '!$D$11*LN(J434)+'CAFCO 400 '!$D$12))),0)+IF(AND(L434="Cafco 400",M434="Software Idiem",C434="C"),((('CAFCO 400 '!$L$7*(J434^3)+'CAFCO 400 '!$L$8*(J434^2)+'CAFCO 400 '!$L$9*J434+'CAFCO 400 '!$L$10)*U434^2)+(('CAFCO 400 '!$L$11*(J434^3)+'CAFCO 400 '!$L$12*(J434^2)+'CAFCO 400 '!$L$13*J434+'CAFCO 400 '!$L$14)*U434)+('CAFCO 400 '!$L$15*LN(J434)+'CAFCO 400 '!$L$16)),0)+IF(AND(L434="Cafco 400",M434="Software Idiem",C434="L"),((('CAFCO 400 '!$L$7*(J434^3)+'CAFCO 400 '!$L$8*(J434^2)+'CAFCO 400 '!$L$9*J434+'CAFCO 400 '!$L$10)*U434^2)+(('CAFCO 400 '!$L$11*(J434^3)+'CAFCO 400 '!$L$12*(J434^2)+'CAFCO 400 '!$L$13*J434+'CAFCO 400 '!$L$14)*U434)+('CAFCO 400 '!$L$15*LN(J434)+'CAFCO 400 '!$L$16)),0)+IF(AND(L434="Cafco 400",M434="Software Idiem",C434="IN",G434=3),((('CAFCO 400 '!$D$23*(J434^2)+'CAFCO 400 '!$D$24*(J434)+'CAFCO 400 '!$D$25)*U434^2)+(('CAFCO 400 '!$D$26*(J434^2)+'CAFCO 400 '!$D$27*J434+'CAFCO 400 '!$D$28)*U434)+('CAFCO 400 '!$D$29*(J434^2)+'CAFCO 400 '!$D$30*J434+'CAFCO 400 '!$D$31)),0),0)+IF(AND(L434="Cafco 300",J434&gt;=95,J434&lt;=240,C434="Cj",I434=90),VLOOKUP(T434,'CAFCO 300 IDIEM TABLAS'!$B$4:$D$23,2,FALSE),0)+IF(AND(L434="Cafco 300",J434&gt;=95,J434&lt;=240,C434="Cj",I434=120),VLOOKUP(T434,'CAFCO 300 IDIEM TABLAS'!$B$4:$D$23,3,FALSE),0)+IF(AND(L434="Cafco 300",J434&gt;=95,J434&lt;=400,G434=3,C434="IN",I434=90),VLOOKUP(T434,'CAFCO 300 IDIEM TABLAS'!$F$4:$H$35,2,FALSE),0)+IF(AND(L434="Cafco 300",J434&gt;=95,J434&lt;=400,G434=3,C434="IN",I434=120),VLOOKUP(T434,'CAFCO 300 IDIEM TABLAS'!$F$4:$H$35,3,FALSE),0)+IF(AND(L434="Cafco 300",J434&gt;=95,J434&lt;=450,G434=4,C434="IN",I434=90),VLOOKUP(T434,'CAFCO 300 IDIEM TABLAS'!$J$4:$L$40,2,FALSE),0)+IF(AND(L434="Cafco 300",J434&gt;=95,J434&lt;=450,G434=4,C434="IN",I434=120),VLOOKUP(T434,'CAFCO 300 IDIEM TABLAS'!$J$4:$L$40,3,FALSE),0)+IF(AND(M434="Ensayo Idiem",L434="Cafco 400",C434="IN",G434=4,I434=90),VLOOKUP(T434,'CAFCO 400 ENSAYO'!$B$7:$D$43,2,FALSE),0)+IF(AND(M434="Ensayo Idiem",L434="Cafco 400",C434="IN",G434=4,I434=120),VLOOKUP(T434,'CAFCO 400 ENSAYO'!$B$7:$D$43,3,FALSE),0)</f>
        <v>0</v>
      </c>
      <c r="O434" s="96">
        <f t="shared" si="48"/>
        <v>0</v>
      </c>
      <c r="P434" s="95" t="str">
        <f t="shared" ref="P434:P497" si="49">IF(AND(M434="Software Idiem"),IF(AND(C434="IN",G434=4,J434&gt;=50,J434&lt;=500),"CERT.",IF(AND(C434="Cj",J434&gt;=50,J434&lt;=500),"CERT.",IF(AND(C434="C",J434&gt;=50,J434&lt;=1000),"CERT.",IF(AND(C434="L",J434&gt;=50,J434&lt;=1000),"CERT.",IF(AND(C434="IN",G434=3,J434&gt;=50,J434&lt;=500),"CERT.","NO CERT."))))),"N/A")</f>
        <v>N/A</v>
      </c>
      <c r="Q434" s="95" t="str">
        <f t="shared" ref="Q434:Q497" si="50">IF(AND(M434="Software Idiem"),IF(AND(C434="IN",G434=4,J434&gt;=50,J434&lt;=500),"CERT.",IF(AND(C434="Cj",J434&gt;=50,J434&lt;=500),"CERT.",IF(AND(C434="C",J434&gt;=50,J434&lt;=1000),"CERT.",IF(AND(C434="L",J434&gt;=50,J434&lt;=1000),"CERT.",IF(AND(C434="IN",G434=3,J434&gt;=50,J434&lt;=500),"CERT.","NO CERT."))))),"N/A")</f>
        <v>N/A</v>
      </c>
      <c r="R434" s="95" t="str">
        <f t="shared" ref="R434:R497" si="51">IF(AND(C434="IN",G434=4,J434&gt;=95,J434&lt;=450,I434=90),"CERT.",IF(AND(C434="IN",G434=4,J434&gt;=95,J434&lt;=450,I434=120),"CERT.","NO CERT."))</f>
        <v>NO CERT.</v>
      </c>
      <c r="S434" s="95" t="e">
        <f t="shared" ref="S434:S497" si="52">IF(AND(C434="Cj",I434=90,T434&lt;=240),"CERT.",IF(AND(C434="Cj",I434=120,T434&lt;=240),"CERT.",IF(AND(C434="IN",G434=3,I434=90,T434&lt;=400),"CERT.",IF(AND(C434="IN",G434=3,I434=120,T434&lt;=400),"CERT.",IF(AND(C434="IN",G434=4,I434=90,T434&lt;=450),"CERT.",IF(AND(C434="IN",G434=4,I434=120,T434&lt;=450),"CERT.","NO CERT."))))))</f>
        <v>#N/A</v>
      </c>
      <c r="T434" s="119" t="e">
        <f>+IF(J434=LOOKUP(J434,'CAFCO 300 IDIEM TABLAS'!$J$4:$J$40),'CALCULO MORTERO'!J434,MROUND('CALCULO MORTERO'!J434,10))</f>
        <v>#N/A</v>
      </c>
      <c r="U434" s="118">
        <f t="shared" ref="U434:U497" si="53">+I434*60</f>
        <v>0</v>
      </c>
      <c r="Y434" s="4"/>
      <c r="Z434" s="4"/>
      <c r="AA434" s="4"/>
    </row>
    <row r="435" spans="1:27" x14ac:dyDescent="0.25">
      <c r="A435" s="118">
        <f>+CUBICACION!D429</f>
        <v>0</v>
      </c>
      <c r="B435" s="819">
        <f>+CUBICACION!E429</f>
        <v>0</v>
      </c>
      <c r="C435" s="675">
        <f>+CUBICACION!F429</f>
        <v>0</v>
      </c>
      <c r="D435" s="118"/>
      <c r="E435" s="118"/>
      <c r="F435" s="820"/>
      <c r="G435" s="675">
        <f>+CUBICACION!J429</f>
        <v>0</v>
      </c>
      <c r="H435" s="118"/>
      <c r="I435" s="821">
        <f>+CUBICACION!L429</f>
        <v>0</v>
      </c>
      <c r="J435" s="64">
        <f>+CUBICACION!M429</f>
        <v>0</v>
      </c>
      <c r="K435" s="822" t="str">
        <f>+CUBICACION!N429</f>
        <v/>
      </c>
      <c r="L435" s="118">
        <f>+CUBICACION!O429</f>
        <v>0</v>
      </c>
      <c r="M435" s="823">
        <f>+CUBICACION!P429</f>
        <v>0</v>
      </c>
      <c r="N435" s="902">
        <f>ROUND(IF(AND(L435="Blaze Shield II",M435="Software Idiem",C435="IN",G435=4),((('BLAZE SHIELD II'!$D$4*('CALCULO MORTERO'!I435^2)+'BLAZE SHIELD II'!$D$5*'CALCULO MORTERO'!I435+'BLAZE SHIELD II'!$D$6)*LN(J435))+('BLAZE SHIELD II'!$D$7*('CALCULO MORTERO'!I435^2)+'BLAZE SHIELD II'!$D$8*'CALCULO MORTERO'!I435+'BLAZE SHIELD II'!$D$9)),0)+IF(AND(L435="Blaze Shield II",M435="Software Idiem",C435="Cj"),((('BLAZE SHIELD II'!$H$4*('CALCULO MORTERO'!I435^2)+'BLAZE SHIELD II'!$H$5*'CALCULO MORTERO'!I435+'BLAZE SHIELD II'!$H$6)*LN(J435))+('BLAZE SHIELD II'!$H$7*('CALCULO MORTERO'!I435^2)+'BLAZE SHIELD II'!$H$8*'CALCULO MORTERO'!I435+'BLAZE SHIELD II'!$H$9)),0)+IF(AND(L435="Blaze Shield II",M435="Software Idiem",C435="C"),((('BLAZE SHIELD II'!$L$4*('CALCULO MORTERO'!I435^2)+'BLAZE SHIELD II'!$L$5*'CALCULO MORTERO'!I435+'BLAZE SHIELD II'!$L$6)*LN(J435))+('BLAZE SHIELD II'!$L$7*('CALCULO MORTERO'!I435^2)+'BLAZE SHIELD II'!$L$8*'CALCULO MORTERO'!I435+'BLAZE SHIELD II'!$L$9)),0)+IF(AND(L435="Blaze Shield II",M435="Software Idiem",C435="L"),((('BLAZE SHIELD II'!$L$4*('CALCULO MORTERO'!I435^2)+'BLAZE SHIELD II'!$L$5*'CALCULO MORTERO'!I435+'BLAZE SHIELD II'!$L$6)*LN(J435))+('BLAZE SHIELD II'!$L$7*('CALCULO MORTERO'!I435^2)+'BLAZE SHIELD II'!$L$8*'CALCULO MORTERO'!I435+'BLAZE SHIELD II'!$L$9)),0)+IF(AND(L435="Blaze Shield II",M435="Software Idiem",C435="IN",G435=3),((('BLAZE SHIELD II'!$H$14*('CALCULO MORTERO'!I435^2)+'BLAZE SHIELD II'!$H$15*'CALCULO MORTERO'!I435+'BLAZE SHIELD II'!$H$16)*LN(J435))+('BLAZE SHIELD II'!$H$17*('CALCULO MORTERO'!I435^2)+'BLAZE SHIELD II'!$H$18*'CALCULO MORTERO'!I435+'BLAZE SHIELD II'!$H$19)),0),0)+ROUND(IF(AND(L435="Cafco 400",M435="Software Idiem",C435="IN",G435=4),((('CAFCO 400 '!$H$7*(J435^4)+'CAFCO 400 '!$H$8*(J435^3)+'CAFCO 400 '!$H$9*(J435^2)+'CAFCO 400 '!$H$10*J435+'CAFCO 400 '!$H$11)*U435^2)+(('CAFCO 400 '!$H$12*(J435^3)+'CAFCO 400 '!$H$13*(J435^2)+'CAFCO 400 '!$H$14*J435+'CAFCO 400 '!$H$15)*U435)+('CAFCO 400 '!$H$16*(J435^2)+'CAFCO 400 '!$H$17*J435+'CAFCO 400 '!$H$18)),0)+IF(AND(L435="Cafco 400",M435="Software Idiem",C435="Cj"),(((('CAFCO 400 '!$D$7*LN(J435)+'CAFCO 400 '!$D$8)*U435^2)+(('CAFCO 400 '!$D$9*LN(J435)+'CAFCO 400 '!$D$10)*U435)+('CAFCO 400 '!$D$11*LN(J435)+'CAFCO 400 '!$D$12))),0)+IF(AND(L435="Cafco 400",M435="Software Idiem",C435="C"),((('CAFCO 400 '!$L$7*(J435^3)+'CAFCO 400 '!$L$8*(J435^2)+'CAFCO 400 '!$L$9*J435+'CAFCO 400 '!$L$10)*U435^2)+(('CAFCO 400 '!$L$11*(J435^3)+'CAFCO 400 '!$L$12*(J435^2)+'CAFCO 400 '!$L$13*J435+'CAFCO 400 '!$L$14)*U435)+('CAFCO 400 '!$L$15*LN(J435)+'CAFCO 400 '!$L$16)),0)+IF(AND(L435="Cafco 400",M435="Software Idiem",C435="L"),((('CAFCO 400 '!$L$7*(J435^3)+'CAFCO 400 '!$L$8*(J435^2)+'CAFCO 400 '!$L$9*J435+'CAFCO 400 '!$L$10)*U435^2)+(('CAFCO 400 '!$L$11*(J435^3)+'CAFCO 400 '!$L$12*(J435^2)+'CAFCO 400 '!$L$13*J435+'CAFCO 400 '!$L$14)*U435)+('CAFCO 400 '!$L$15*LN(J435)+'CAFCO 400 '!$L$16)),0)+IF(AND(L435="Cafco 400",M435="Software Idiem",C435="IN",G435=3),((('CAFCO 400 '!$D$23*(J435^2)+'CAFCO 400 '!$D$24*(J435)+'CAFCO 400 '!$D$25)*U435^2)+(('CAFCO 400 '!$D$26*(J435^2)+'CAFCO 400 '!$D$27*J435+'CAFCO 400 '!$D$28)*U435)+('CAFCO 400 '!$D$29*(J435^2)+'CAFCO 400 '!$D$30*J435+'CAFCO 400 '!$D$31)),0),0)+IF(AND(L435="Cafco 300",J435&gt;=95,J435&lt;=240,C435="Cj",I435=90),VLOOKUP(T435,'CAFCO 300 IDIEM TABLAS'!$B$4:$D$23,2,FALSE),0)+IF(AND(L435="Cafco 300",J435&gt;=95,J435&lt;=240,C435="Cj",I435=120),VLOOKUP(T435,'CAFCO 300 IDIEM TABLAS'!$B$4:$D$23,3,FALSE),0)+IF(AND(L435="Cafco 300",J435&gt;=95,J435&lt;=400,G435=3,C435="IN",I435=90),VLOOKUP(T435,'CAFCO 300 IDIEM TABLAS'!$F$4:$H$35,2,FALSE),0)+IF(AND(L435="Cafco 300",J435&gt;=95,J435&lt;=400,G435=3,C435="IN",I435=120),VLOOKUP(T435,'CAFCO 300 IDIEM TABLAS'!$F$4:$H$35,3,FALSE),0)+IF(AND(L435="Cafco 300",J435&gt;=95,J435&lt;=450,G435=4,C435="IN",I435=90),VLOOKUP(T435,'CAFCO 300 IDIEM TABLAS'!$J$4:$L$40,2,FALSE),0)+IF(AND(L435="Cafco 300",J435&gt;=95,J435&lt;=450,G435=4,C435="IN",I435=120),VLOOKUP(T435,'CAFCO 300 IDIEM TABLAS'!$J$4:$L$40,3,FALSE),0)+IF(AND(M435="Ensayo Idiem",L435="Cafco 400",C435="IN",G435=4,I435=90),VLOOKUP(T435,'CAFCO 400 ENSAYO'!$B$7:$D$43,2,FALSE),0)+IF(AND(M435="Ensayo Idiem",L435="Cafco 400",C435="IN",G435=4,I435=120),VLOOKUP(T435,'CAFCO 400 ENSAYO'!$B$7:$D$43,3,FALSE),0)</f>
        <v>0</v>
      </c>
      <c r="O435" s="96">
        <f t="shared" si="48"/>
        <v>0</v>
      </c>
      <c r="P435" s="132" t="str">
        <f t="shared" si="49"/>
        <v>N/A</v>
      </c>
      <c r="Q435" s="132" t="str">
        <f t="shared" si="50"/>
        <v>N/A</v>
      </c>
      <c r="R435" s="132" t="str">
        <f t="shared" si="51"/>
        <v>NO CERT.</v>
      </c>
      <c r="S435" s="132" t="e">
        <f t="shared" si="52"/>
        <v>#N/A</v>
      </c>
      <c r="T435" s="133" t="e">
        <f>+IF(J435=LOOKUP(J435,'CAFCO 300 IDIEM TABLAS'!$J$4:$J$40),'CALCULO MORTERO'!J435,MROUND('CALCULO MORTERO'!J435,10))</f>
        <v>#N/A</v>
      </c>
      <c r="U435" s="134">
        <f t="shared" si="53"/>
        <v>0</v>
      </c>
      <c r="Y435" s="4"/>
      <c r="Z435" s="4"/>
      <c r="AA435" s="4"/>
    </row>
    <row r="436" spans="1:27" x14ac:dyDescent="0.25">
      <c r="A436" s="118">
        <f>+CUBICACION!D430</f>
        <v>0</v>
      </c>
      <c r="B436" s="819">
        <f>+CUBICACION!E430</f>
        <v>0</v>
      </c>
      <c r="C436" s="675">
        <f>+CUBICACION!F430</f>
        <v>0</v>
      </c>
      <c r="D436" s="118"/>
      <c r="E436" s="118"/>
      <c r="F436" s="820"/>
      <c r="G436" s="675">
        <f>+CUBICACION!J430</f>
        <v>0</v>
      </c>
      <c r="H436" s="118"/>
      <c r="I436" s="821">
        <f>+CUBICACION!L430</f>
        <v>0</v>
      </c>
      <c r="J436" s="64">
        <f>+CUBICACION!M430</f>
        <v>0</v>
      </c>
      <c r="K436" s="822" t="str">
        <f>+CUBICACION!N430</f>
        <v/>
      </c>
      <c r="L436" s="118">
        <f>+CUBICACION!O430</f>
        <v>0</v>
      </c>
      <c r="M436" s="823">
        <f>+CUBICACION!P430</f>
        <v>0</v>
      </c>
      <c r="N436" s="902">
        <f>ROUND(IF(AND(L436="Blaze Shield II",M436="Software Idiem",C436="IN",G436=4),((('BLAZE SHIELD II'!$D$4*('CALCULO MORTERO'!I436^2)+'BLAZE SHIELD II'!$D$5*'CALCULO MORTERO'!I436+'BLAZE SHIELD II'!$D$6)*LN(J436))+('BLAZE SHIELD II'!$D$7*('CALCULO MORTERO'!I436^2)+'BLAZE SHIELD II'!$D$8*'CALCULO MORTERO'!I436+'BLAZE SHIELD II'!$D$9)),0)+IF(AND(L436="Blaze Shield II",M436="Software Idiem",C436="Cj"),((('BLAZE SHIELD II'!$H$4*('CALCULO MORTERO'!I436^2)+'BLAZE SHIELD II'!$H$5*'CALCULO MORTERO'!I436+'BLAZE SHIELD II'!$H$6)*LN(J436))+('BLAZE SHIELD II'!$H$7*('CALCULO MORTERO'!I436^2)+'BLAZE SHIELD II'!$H$8*'CALCULO MORTERO'!I436+'BLAZE SHIELD II'!$H$9)),0)+IF(AND(L436="Blaze Shield II",M436="Software Idiem",C436="C"),((('BLAZE SHIELD II'!$L$4*('CALCULO MORTERO'!I436^2)+'BLAZE SHIELD II'!$L$5*'CALCULO MORTERO'!I436+'BLAZE SHIELD II'!$L$6)*LN(J436))+('BLAZE SHIELD II'!$L$7*('CALCULO MORTERO'!I436^2)+'BLAZE SHIELD II'!$L$8*'CALCULO MORTERO'!I436+'BLAZE SHIELD II'!$L$9)),0)+IF(AND(L436="Blaze Shield II",M436="Software Idiem",C436="L"),((('BLAZE SHIELD II'!$L$4*('CALCULO MORTERO'!I436^2)+'BLAZE SHIELD II'!$L$5*'CALCULO MORTERO'!I436+'BLAZE SHIELD II'!$L$6)*LN(J436))+('BLAZE SHIELD II'!$L$7*('CALCULO MORTERO'!I436^2)+'BLAZE SHIELD II'!$L$8*'CALCULO MORTERO'!I436+'BLAZE SHIELD II'!$L$9)),0)+IF(AND(L436="Blaze Shield II",M436="Software Idiem",C436="IN",G436=3),((('BLAZE SHIELD II'!$H$14*('CALCULO MORTERO'!I436^2)+'BLAZE SHIELD II'!$H$15*'CALCULO MORTERO'!I436+'BLAZE SHIELD II'!$H$16)*LN(J436))+('BLAZE SHIELD II'!$H$17*('CALCULO MORTERO'!I436^2)+'BLAZE SHIELD II'!$H$18*'CALCULO MORTERO'!I436+'BLAZE SHIELD II'!$H$19)),0),0)+ROUND(IF(AND(L436="Cafco 400",M436="Software Idiem",C436="IN",G436=4),((('CAFCO 400 '!$H$7*(J436^4)+'CAFCO 400 '!$H$8*(J436^3)+'CAFCO 400 '!$H$9*(J436^2)+'CAFCO 400 '!$H$10*J436+'CAFCO 400 '!$H$11)*U436^2)+(('CAFCO 400 '!$H$12*(J436^3)+'CAFCO 400 '!$H$13*(J436^2)+'CAFCO 400 '!$H$14*J436+'CAFCO 400 '!$H$15)*U436)+('CAFCO 400 '!$H$16*(J436^2)+'CAFCO 400 '!$H$17*J436+'CAFCO 400 '!$H$18)),0)+IF(AND(L436="Cafco 400",M436="Software Idiem",C436="Cj"),(((('CAFCO 400 '!$D$7*LN(J436)+'CAFCO 400 '!$D$8)*U436^2)+(('CAFCO 400 '!$D$9*LN(J436)+'CAFCO 400 '!$D$10)*U436)+('CAFCO 400 '!$D$11*LN(J436)+'CAFCO 400 '!$D$12))),0)+IF(AND(L436="Cafco 400",M436="Software Idiem",C436="C"),((('CAFCO 400 '!$L$7*(J436^3)+'CAFCO 400 '!$L$8*(J436^2)+'CAFCO 400 '!$L$9*J436+'CAFCO 400 '!$L$10)*U436^2)+(('CAFCO 400 '!$L$11*(J436^3)+'CAFCO 400 '!$L$12*(J436^2)+'CAFCO 400 '!$L$13*J436+'CAFCO 400 '!$L$14)*U436)+('CAFCO 400 '!$L$15*LN(J436)+'CAFCO 400 '!$L$16)),0)+IF(AND(L436="Cafco 400",M436="Software Idiem",C436="L"),((('CAFCO 400 '!$L$7*(J436^3)+'CAFCO 400 '!$L$8*(J436^2)+'CAFCO 400 '!$L$9*J436+'CAFCO 400 '!$L$10)*U436^2)+(('CAFCO 400 '!$L$11*(J436^3)+'CAFCO 400 '!$L$12*(J436^2)+'CAFCO 400 '!$L$13*J436+'CAFCO 400 '!$L$14)*U436)+('CAFCO 400 '!$L$15*LN(J436)+'CAFCO 400 '!$L$16)),0)+IF(AND(L436="Cafco 400",M436="Software Idiem",C436="IN",G436=3),((('CAFCO 400 '!$D$23*(J436^2)+'CAFCO 400 '!$D$24*(J436)+'CAFCO 400 '!$D$25)*U436^2)+(('CAFCO 400 '!$D$26*(J436^2)+'CAFCO 400 '!$D$27*J436+'CAFCO 400 '!$D$28)*U436)+('CAFCO 400 '!$D$29*(J436^2)+'CAFCO 400 '!$D$30*J436+'CAFCO 400 '!$D$31)),0),0)+IF(AND(L436="Cafco 300",J436&gt;=95,J436&lt;=240,C436="Cj",I436=90),VLOOKUP(T436,'CAFCO 300 IDIEM TABLAS'!$B$4:$D$23,2,FALSE),0)+IF(AND(L436="Cafco 300",J436&gt;=95,J436&lt;=240,C436="Cj",I436=120),VLOOKUP(T436,'CAFCO 300 IDIEM TABLAS'!$B$4:$D$23,3,FALSE),0)+IF(AND(L436="Cafco 300",J436&gt;=95,J436&lt;=400,G436=3,C436="IN",I436=90),VLOOKUP(T436,'CAFCO 300 IDIEM TABLAS'!$F$4:$H$35,2,FALSE),0)+IF(AND(L436="Cafco 300",J436&gt;=95,J436&lt;=400,G436=3,C436="IN",I436=120),VLOOKUP(T436,'CAFCO 300 IDIEM TABLAS'!$F$4:$H$35,3,FALSE),0)+IF(AND(L436="Cafco 300",J436&gt;=95,J436&lt;=450,G436=4,C436="IN",I436=90),VLOOKUP(T436,'CAFCO 300 IDIEM TABLAS'!$J$4:$L$40,2,FALSE),0)+IF(AND(L436="Cafco 300",J436&gt;=95,J436&lt;=450,G436=4,C436="IN",I436=120),VLOOKUP(T436,'CAFCO 300 IDIEM TABLAS'!$J$4:$L$40,3,FALSE),0)+IF(AND(M436="Ensayo Idiem",L436="Cafco 400",C436="IN",G436=4,I436=90),VLOOKUP(T436,'CAFCO 400 ENSAYO'!$B$7:$D$43,2,FALSE),0)+IF(AND(M436="Ensayo Idiem",L436="Cafco 400",C436="IN",G436=4,I436=120),VLOOKUP(T436,'CAFCO 400 ENSAYO'!$B$7:$D$43,3,FALSE),0)</f>
        <v>0</v>
      </c>
      <c r="O436" s="96">
        <f t="shared" si="48"/>
        <v>0</v>
      </c>
      <c r="P436" s="95" t="str">
        <f t="shared" si="49"/>
        <v>N/A</v>
      </c>
      <c r="Q436" s="95" t="str">
        <f t="shared" si="50"/>
        <v>N/A</v>
      </c>
      <c r="R436" s="95" t="str">
        <f t="shared" si="51"/>
        <v>NO CERT.</v>
      </c>
      <c r="S436" s="95" t="e">
        <f t="shared" si="52"/>
        <v>#N/A</v>
      </c>
      <c r="T436" s="119" t="e">
        <f>+IF(J436=LOOKUP(J436,'CAFCO 300 IDIEM TABLAS'!$J$4:$J$40),'CALCULO MORTERO'!J436,MROUND('CALCULO MORTERO'!J436,10))</f>
        <v>#N/A</v>
      </c>
      <c r="U436" s="118">
        <f t="shared" si="53"/>
        <v>0</v>
      </c>
      <c r="Y436" s="4"/>
      <c r="Z436" s="4"/>
      <c r="AA436" s="4"/>
    </row>
    <row r="437" spans="1:27" x14ac:dyDescent="0.25">
      <c r="A437" s="118">
        <f>+CUBICACION!D431</f>
        <v>0</v>
      </c>
      <c r="B437" s="819">
        <f>+CUBICACION!E431</f>
        <v>0</v>
      </c>
      <c r="C437" s="675">
        <f>+CUBICACION!F431</f>
        <v>0</v>
      </c>
      <c r="D437" s="118"/>
      <c r="E437" s="118"/>
      <c r="F437" s="820"/>
      <c r="G437" s="675">
        <f>+CUBICACION!J431</f>
        <v>0</v>
      </c>
      <c r="H437" s="118"/>
      <c r="I437" s="821">
        <f>+CUBICACION!L431</f>
        <v>0</v>
      </c>
      <c r="J437" s="64">
        <f>+CUBICACION!M431</f>
        <v>0</v>
      </c>
      <c r="K437" s="822" t="str">
        <f>+CUBICACION!N431</f>
        <v/>
      </c>
      <c r="L437" s="118">
        <f>+CUBICACION!O431</f>
        <v>0</v>
      </c>
      <c r="M437" s="823">
        <f>+CUBICACION!P431</f>
        <v>0</v>
      </c>
      <c r="N437" s="902">
        <f>ROUND(IF(AND(L437="Blaze Shield II",M437="Software Idiem",C437="IN",G437=4),((('BLAZE SHIELD II'!$D$4*('CALCULO MORTERO'!I437^2)+'BLAZE SHIELD II'!$D$5*'CALCULO MORTERO'!I437+'BLAZE SHIELD II'!$D$6)*LN(J437))+('BLAZE SHIELD II'!$D$7*('CALCULO MORTERO'!I437^2)+'BLAZE SHIELD II'!$D$8*'CALCULO MORTERO'!I437+'BLAZE SHIELD II'!$D$9)),0)+IF(AND(L437="Blaze Shield II",M437="Software Idiem",C437="Cj"),((('BLAZE SHIELD II'!$H$4*('CALCULO MORTERO'!I437^2)+'BLAZE SHIELD II'!$H$5*'CALCULO MORTERO'!I437+'BLAZE SHIELD II'!$H$6)*LN(J437))+('BLAZE SHIELD II'!$H$7*('CALCULO MORTERO'!I437^2)+'BLAZE SHIELD II'!$H$8*'CALCULO MORTERO'!I437+'BLAZE SHIELD II'!$H$9)),0)+IF(AND(L437="Blaze Shield II",M437="Software Idiem",C437="C"),((('BLAZE SHIELD II'!$L$4*('CALCULO MORTERO'!I437^2)+'BLAZE SHIELD II'!$L$5*'CALCULO MORTERO'!I437+'BLAZE SHIELD II'!$L$6)*LN(J437))+('BLAZE SHIELD II'!$L$7*('CALCULO MORTERO'!I437^2)+'BLAZE SHIELD II'!$L$8*'CALCULO MORTERO'!I437+'BLAZE SHIELD II'!$L$9)),0)+IF(AND(L437="Blaze Shield II",M437="Software Idiem",C437="L"),((('BLAZE SHIELD II'!$L$4*('CALCULO MORTERO'!I437^2)+'BLAZE SHIELD II'!$L$5*'CALCULO MORTERO'!I437+'BLAZE SHIELD II'!$L$6)*LN(J437))+('BLAZE SHIELD II'!$L$7*('CALCULO MORTERO'!I437^2)+'BLAZE SHIELD II'!$L$8*'CALCULO MORTERO'!I437+'BLAZE SHIELD II'!$L$9)),0)+IF(AND(L437="Blaze Shield II",M437="Software Idiem",C437="IN",G437=3),((('BLAZE SHIELD II'!$H$14*('CALCULO MORTERO'!I437^2)+'BLAZE SHIELD II'!$H$15*'CALCULO MORTERO'!I437+'BLAZE SHIELD II'!$H$16)*LN(J437))+('BLAZE SHIELD II'!$H$17*('CALCULO MORTERO'!I437^2)+'BLAZE SHIELD II'!$H$18*'CALCULO MORTERO'!I437+'BLAZE SHIELD II'!$H$19)),0),0)+ROUND(IF(AND(L437="Cafco 400",M437="Software Idiem",C437="IN",G437=4),((('CAFCO 400 '!$H$7*(J437^4)+'CAFCO 400 '!$H$8*(J437^3)+'CAFCO 400 '!$H$9*(J437^2)+'CAFCO 400 '!$H$10*J437+'CAFCO 400 '!$H$11)*U437^2)+(('CAFCO 400 '!$H$12*(J437^3)+'CAFCO 400 '!$H$13*(J437^2)+'CAFCO 400 '!$H$14*J437+'CAFCO 400 '!$H$15)*U437)+('CAFCO 400 '!$H$16*(J437^2)+'CAFCO 400 '!$H$17*J437+'CAFCO 400 '!$H$18)),0)+IF(AND(L437="Cafco 400",M437="Software Idiem",C437="Cj"),(((('CAFCO 400 '!$D$7*LN(J437)+'CAFCO 400 '!$D$8)*U437^2)+(('CAFCO 400 '!$D$9*LN(J437)+'CAFCO 400 '!$D$10)*U437)+('CAFCO 400 '!$D$11*LN(J437)+'CAFCO 400 '!$D$12))),0)+IF(AND(L437="Cafco 400",M437="Software Idiem",C437="C"),((('CAFCO 400 '!$L$7*(J437^3)+'CAFCO 400 '!$L$8*(J437^2)+'CAFCO 400 '!$L$9*J437+'CAFCO 400 '!$L$10)*U437^2)+(('CAFCO 400 '!$L$11*(J437^3)+'CAFCO 400 '!$L$12*(J437^2)+'CAFCO 400 '!$L$13*J437+'CAFCO 400 '!$L$14)*U437)+('CAFCO 400 '!$L$15*LN(J437)+'CAFCO 400 '!$L$16)),0)+IF(AND(L437="Cafco 400",M437="Software Idiem",C437="L"),((('CAFCO 400 '!$L$7*(J437^3)+'CAFCO 400 '!$L$8*(J437^2)+'CAFCO 400 '!$L$9*J437+'CAFCO 400 '!$L$10)*U437^2)+(('CAFCO 400 '!$L$11*(J437^3)+'CAFCO 400 '!$L$12*(J437^2)+'CAFCO 400 '!$L$13*J437+'CAFCO 400 '!$L$14)*U437)+('CAFCO 400 '!$L$15*LN(J437)+'CAFCO 400 '!$L$16)),0)+IF(AND(L437="Cafco 400",M437="Software Idiem",C437="IN",G437=3),((('CAFCO 400 '!$D$23*(J437^2)+'CAFCO 400 '!$D$24*(J437)+'CAFCO 400 '!$D$25)*U437^2)+(('CAFCO 400 '!$D$26*(J437^2)+'CAFCO 400 '!$D$27*J437+'CAFCO 400 '!$D$28)*U437)+('CAFCO 400 '!$D$29*(J437^2)+'CAFCO 400 '!$D$30*J437+'CAFCO 400 '!$D$31)),0),0)+IF(AND(L437="Cafco 300",J437&gt;=95,J437&lt;=240,C437="Cj",I437=90),VLOOKUP(T437,'CAFCO 300 IDIEM TABLAS'!$B$4:$D$23,2,FALSE),0)+IF(AND(L437="Cafco 300",J437&gt;=95,J437&lt;=240,C437="Cj",I437=120),VLOOKUP(T437,'CAFCO 300 IDIEM TABLAS'!$B$4:$D$23,3,FALSE),0)+IF(AND(L437="Cafco 300",J437&gt;=95,J437&lt;=400,G437=3,C437="IN",I437=90),VLOOKUP(T437,'CAFCO 300 IDIEM TABLAS'!$F$4:$H$35,2,FALSE),0)+IF(AND(L437="Cafco 300",J437&gt;=95,J437&lt;=400,G437=3,C437="IN",I437=120),VLOOKUP(T437,'CAFCO 300 IDIEM TABLAS'!$F$4:$H$35,3,FALSE),0)+IF(AND(L437="Cafco 300",J437&gt;=95,J437&lt;=450,G437=4,C437="IN",I437=90),VLOOKUP(T437,'CAFCO 300 IDIEM TABLAS'!$J$4:$L$40,2,FALSE),0)+IF(AND(L437="Cafco 300",J437&gt;=95,J437&lt;=450,G437=4,C437="IN",I437=120),VLOOKUP(T437,'CAFCO 300 IDIEM TABLAS'!$J$4:$L$40,3,FALSE),0)+IF(AND(M437="Ensayo Idiem",L437="Cafco 400",C437="IN",G437=4,I437=90),VLOOKUP(T437,'CAFCO 400 ENSAYO'!$B$7:$D$43,2,FALSE),0)+IF(AND(M437="Ensayo Idiem",L437="Cafco 400",C437="IN",G437=4,I437=120),VLOOKUP(T437,'CAFCO 400 ENSAYO'!$B$7:$D$43,3,FALSE),0)</f>
        <v>0</v>
      </c>
      <c r="O437" s="96">
        <f t="shared" si="48"/>
        <v>0</v>
      </c>
      <c r="P437" s="132" t="str">
        <f t="shared" si="49"/>
        <v>N/A</v>
      </c>
      <c r="Q437" s="132" t="str">
        <f t="shared" si="50"/>
        <v>N/A</v>
      </c>
      <c r="R437" s="132" t="str">
        <f t="shared" si="51"/>
        <v>NO CERT.</v>
      </c>
      <c r="S437" s="132" t="e">
        <f t="shared" si="52"/>
        <v>#N/A</v>
      </c>
      <c r="T437" s="133" t="e">
        <f>+IF(J437=LOOKUP(J437,'CAFCO 300 IDIEM TABLAS'!$J$4:$J$40),'CALCULO MORTERO'!J437,MROUND('CALCULO MORTERO'!J437,10))</f>
        <v>#N/A</v>
      </c>
      <c r="U437" s="134">
        <f t="shared" si="53"/>
        <v>0</v>
      </c>
      <c r="Y437" s="4"/>
      <c r="Z437" s="4"/>
      <c r="AA437" s="4"/>
    </row>
    <row r="438" spans="1:27" x14ac:dyDescent="0.25">
      <c r="A438" s="118">
        <f>+CUBICACION!D432</f>
        <v>0</v>
      </c>
      <c r="B438" s="819">
        <f>+CUBICACION!E432</f>
        <v>0</v>
      </c>
      <c r="C438" s="675">
        <f>+CUBICACION!F432</f>
        <v>0</v>
      </c>
      <c r="D438" s="118"/>
      <c r="E438" s="118"/>
      <c r="F438" s="820"/>
      <c r="G438" s="675">
        <f>+CUBICACION!J432</f>
        <v>0</v>
      </c>
      <c r="H438" s="118"/>
      <c r="I438" s="821">
        <f>+CUBICACION!L432</f>
        <v>0</v>
      </c>
      <c r="J438" s="64">
        <f>+CUBICACION!M432</f>
        <v>0</v>
      </c>
      <c r="K438" s="822" t="str">
        <f>+CUBICACION!N432</f>
        <v/>
      </c>
      <c r="L438" s="118">
        <f>+CUBICACION!O432</f>
        <v>0</v>
      </c>
      <c r="M438" s="823">
        <f>+CUBICACION!P432</f>
        <v>0</v>
      </c>
      <c r="N438" s="902">
        <f>ROUND(IF(AND(L438="Blaze Shield II",M438="Software Idiem",C438="IN",G438=4),((('BLAZE SHIELD II'!$D$4*('CALCULO MORTERO'!I438^2)+'BLAZE SHIELD II'!$D$5*'CALCULO MORTERO'!I438+'BLAZE SHIELD II'!$D$6)*LN(J438))+('BLAZE SHIELD II'!$D$7*('CALCULO MORTERO'!I438^2)+'BLAZE SHIELD II'!$D$8*'CALCULO MORTERO'!I438+'BLAZE SHIELD II'!$D$9)),0)+IF(AND(L438="Blaze Shield II",M438="Software Idiem",C438="Cj"),((('BLAZE SHIELD II'!$H$4*('CALCULO MORTERO'!I438^2)+'BLAZE SHIELD II'!$H$5*'CALCULO MORTERO'!I438+'BLAZE SHIELD II'!$H$6)*LN(J438))+('BLAZE SHIELD II'!$H$7*('CALCULO MORTERO'!I438^2)+'BLAZE SHIELD II'!$H$8*'CALCULO MORTERO'!I438+'BLAZE SHIELD II'!$H$9)),0)+IF(AND(L438="Blaze Shield II",M438="Software Idiem",C438="C"),((('BLAZE SHIELD II'!$L$4*('CALCULO MORTERO'!I438^2)+'BLAZE SHIELD II'!$L$5*'CALCULO MORTERO'!I438+'BLAZE SHIELD II'!$L$6)*LN(J438))+('BLAZE SHIELD II'!$L$7*('CALCULO MORTERO'!I438^2)+'BLAZE SHIELD II'!$L$8*'CALCULO MORTERO'!I438+'BLAZE SHIELD II'!$L$9)),0)+IF(AND(L438="Blaze Shield II",M438="Software Idiem",C438="L"),((('BLAZE SHIELD II'!$L$4*('CALCULO MORTERO'!I438^2)+'BLAZE SHIELD II'!$L$5*'CALCULO MORTERO'!I438+'BLAZE SHIELD II'!$L$6)*LN(J438))+('BLAZE SHIELD II'!$L$7*('CALCULO MORTERO'!I438^2)+'BLAZE SHIELD II'!$L$8*'CALCULO MORTERO'!I438+'BLAZE SHIELD II'!$L$9)),0)+IF(AND(L438="Blaze Shield II",M438="Software Idiem",C438="IN",G438=3),((('BLAZE SHIELD II'!$H$14*('CALCULO MORTERO'!I438^2)+'BLAZE SHIELD II'!$H$15*'CALCULO MORTERO'!I438+'BLAZE SHIELD II'!$H$16)*LN(J438))+('BLAZE SHIELD II'!$H$17*('CALCULO MORTERO'!I438^2)+'BLAZE SHIELD II'!$H$18*'CALCULO MORTERO'!I438+'BLAZE SHIELD II'!$H$19)),0),0)+ROUND(IF(AND(L438="Cafco 400",M438="Software Idiem",C438="IN",G438=4),((('CAFCO 400 '!$H$7*(J438^4)+'CAFCO 400 '!$H$8*(J438^3)+'CAFCO 400 '!$H$9*(J438^2)+'CAFCO 400 '!$H$10*J438+'CAFCO 400 '!$H$11)*U438^2)+(('CAFCO 400 '!$H$12*(J438^3)+'CAFCO 400 '!$H$13*(J438^2)+'CAFCO 400 '!$H$14*J438+'CAFCO 400 '!$H$15)*U438)+('CAFCO 400 '!$H$16*(J438^2)+'CAFCO 400 '!$H$17*J438+'CAFCO 400 '!$H$18)),0)+IF(AND(L438="Cafco 400",M438="Software Idiem",C438="Cj"),(((('CAFCO 400 '!$D$7*LN(J438)+'CAFCO 400 '!$D$8)*U438^2)+(('CAFCO 400 '!$D$9*LN(J438)+'CAFCO 400 '!$D$10)*U438)+('CAFCO 400 '!$D$11*LN(J438)+'CAFCO 400 '!$D$12))),0)+IF(AND(L438="Cafco 400",M438="Software Idiem",C438="C"),((('CAFCO 400 '!$L$7*(J438^3)+'CAFCO 400 '!$L$8*(J438^2)+'CAFCO 400 '!$L$9*J438+'CAFCO 400 '!$L$10)*U438^2)+(('CAFCO 400 '!$L$11*(J438^3)+'CAFCO 400 '!$L$12*(J438^2)+'CAFCO 400 '!$L$13*J438+'CAFCO 400 '!$L$14)*U438)+('CAFCO 400 '!$L$15*LN(J438)+'CAFCO 400 '!$L$16)),0)+IF(AND(L438="Cafco 400",M438="Software Idiem",C438="L"),((('CAFCO 400 '!$L$7*(J438^3)+'CAFCO 400 '!$L$8*(J438^2)+'CAFCO 400 '!$L$9*J438+'CAFCO 400 '!$L$10)*U438^2)+(('CAFCO 400 '!$L$11*(J438^3)+'CAFCO 400 '!$L$12*(J438^2)+'CAFCO 400 '!$L$13*J438+'CAFCO 400 '!$L$14)*U438)+('CAFCO 400 '!$L$15*LN(J438)+'CAFCO 400 '!$L$16)),0)+IF(AND(L438="Cafco 400",M438="Software Idiem",C438="IN",G438=3),((('CAFCO 400 '!$D$23*(J438^2)+'CAFCO 400 '!$D$24*(J438)+'CAFCO 400 '!$D$25)*U438^2)+(('CAFCO 400 '!$D$26*(J438^2)+'CAFCO 400 '!$D$27*J438+'CAFCO 400 '!$D$28)*U438)+('CAFCO 400 '!$D$29*(J438^2)+'CAFCO 400 '!$D$30*J438+'CAFCO 400 '!$D$31)),0),0)+IF(AND(L438="Cafco 300",J438&gt;=95,J438&lt;=240,C438="Cj",I438=90),VLOOKUP(T438,'CAFCO 300 IDIEM TABLAS'!$B$4:$D$23,2,FALSE),0)+IF(AND(L438="Cafco 300",J438&gt;=95,J438&lt;=240,C438="Cj",I438=120),VLOOKUP(T438,'CAFCO 300 IDIEM TABLAS'!$B$4:$D$23,3,FALSE),0)+IF(AND(L438="Cafco 300",J438&gt;=95,J438&lt;=400,G438=3,C438="IN",I438=90),VLOOKUP(T438,'CAFCO 300 IDIEM TABLAS'!$F$4:$H$35,2,FALSE),0)+IF(AND(L438="Cafco 300",J438&gt;=95,J438&lt;=400,G438=3,C438="IN",I438=120),VLOOKUP(T438,'CAFCO 300 IDIEM TABLAS'!$F$4:$H$35,3,FALSE),0)+IF(AND(L438="Cafco 300",J438&gt;=95,J438&lt;=450,G438=4,C438="IN",I438=90),VLOOKUP(T438,'CAFCO 300 IDIEM TABLAS'!$J$4:$L$40,2,FALSE),0)+IF(AND(L438="Cafco 300",J438&gt;=95,J438&lt;=450,G438=4,C438="IN",I438=120),VLOOKUP(T438,'CAFCO 300 IDIEM TABLAS'!$J$4:$L$40,3,FALSE),0)+IF(AND(M438="Ensayo Idiem",L438="Cafco 400",C438="IN",G438=4,I438=90),VLOOKUP(T438,'CAFCO 400 ENSAYO'!$B$7:$D$43,2,FALSE),0)+IF(AND(M438="Ensayo Idiem",L438="Cafco 400",C438="IN",G438=4,I438=120),VLOOKUP(T438,'CAFCO 400 ENSAYO'!$B$7:$D$43,3,FALSE),0)</f>
        <v>0</v>
      </c>
      <c r="O438" s="96">
        <f t="shared" si="48"/>
        <v>0</v>
      </c>
      <c r="P438" s="95" t="str">
        <f t="shared" si="49"/>
        <v>N/A</v>
      </c>
      <c r="Q438" s="95" t="str">
        <f t="shared" si="50"/>
        <v>N/A</v>
      </c>
      <c r="R438" s="95" t="str">
        <f t="shared" si="51"/>
        <v>NO CERT.</v>
      </c>
      <c r="S438" s="95" t="e">
        <f t="shared" si="52"/>
        <v>#N/A</v>
      </c>
      <c r="T438" s="119" t="e">
        <f>+IF(J438=LOOKUP(J438,'CAFCO 300 IDIEM TABLAS'!$J$4:$J$40),'CALCULO MORTERO'!J438,MROUND('CALCULO MORTERO'!J438,10))</f>
        <v>#N/A</v>
      </c>
      <c r="U438" s="118">
        <f t="shared" si="53"/>
        <v>0</v>
      </c>
      <c r="Y438" s="4"/>
      <c r="Z438" s="4"/>
      <c r="AA438" s="4"/>
    </row>
    <row r="439" spans="1:27" x14ac:dyDescent="0.25">
      <c r="A439" s="118">
        <f>+CUBICACION!D433</f>
        <v>0</v>
      </c>
      <c r="B439" s="819">
        <f>+CUBICACION!E433</f>
        <v>0</v>
      </c>
      <c r="C439" s="675">
        <f>+CUBICACION!F433</f>
        <v>0</v>
      </c>
      <c r="D439" s="118"/>
      <c r="E439" s="118"/>
      <c r="F439" s="820"/>
      <c r="G439" s="675">
        <f>+CUBICACION!J433</f>
        <v>0</v>
      </c>
      <c r="H439" s="118"/>
      <c r="I439" s="821">
        <f>+CUBICACION!L433</f>
        <v>0</v>
      </c>
      <c r="J439" s="64">
        <f>+CUBICACION!M433</f>
        <v>0</v>
      </c>
      <c r="K439" s="822" t="str">
        <f>+CUBICACION!N433</f>
        <v/>
      </c>
      <c r="L439" s="118">
        <f>+CUBICACION!O433</f>
        <v>0</v>
      </c>
      <c r="M439" s="823">
        <f>+CUBICACION!P433</f>
        <v>0</v>
      </c>
      <c r="N439" s="902">
        <f>ROUND(IF(AND(L439="Blaze Shield II",M439="Software Idiem",C439="IN",G439=4),((('BLAZE SHIELD II'!$D$4*('CALCULO MORTERO'!I439^2)+'BLAZE SHIELD II'!$D$5*'CALCULO MORTERO'!I439+'BLAZE SHIELD II'!$D$6)*LN(J439))+('BLAZE SHIELD II'!$D$7*('CALCULO MORTERO'!I439^2)+'BLAZE SHIELD II'!$D$8*'CALCULO MORTERO'!I439+'BLAZE SHIELD II'!$D$9)),0)+IF(AND(L439="Blaze Shield II",M439="Software Idiem",C439="Cj"),((('BLAZE SHIELD II'!$H$4*('CALCULO MORTERO'!I439^2)+'BLAZE SHIELD II'!$H$5*'CALCULO MORTERO'!I439+'BLAZE SHIELD II'!$H$6)*LN(J439))+('BLAZE SHIELD II'!$H$7*('CALCULO MORTERO'!I439^2)+'BLAZE SHIELD II'!$H$8*'CALCULO MORTERO'!I439+'BLAZE SHIELD II'!$H$9)),0)+IF(AND(L439="Blaze Shield II",M439="Software Idiem",C439="C"),((('BLAZE SHIELD II'!$L$4*('CALCULO MORTERO'!I439^2)+'BLAZE SHIELD II'!$L$5*'CALCULO MORTERO'!I439+'BLAZE SHIELD II'!$L$6)*LN(J439))+('BLAZE SHIELD II'!$L$7*('CALCULO MORTERO'!I439^2)+'BLAZE SHIELD II'!$L$8*'CALCULO MORTERO'!I439+'BLAZE SHIELD II'!$L$9)),0)+IF(AND(L439="Blaze Shield II",M439="Software Idiem",C439="L"),((('BLAZE SHIELD II'!$L$4*('CALCULO MORTERO'!I439^2)+'BLAZE SHIELD II'!$L$5*'CALCULO MORTERO'!I439+'BLAZE SHIELD II'!$L$6)*LN(J439))+('BLAZE SHIELD II'!$L$7*('CALCULO MORTERO'!I439^2)+'BLAZE SHIELD II'!$L$8*'CALCULO MORTERO'!I439+'BLAZE SHIELD II'!$L$9)),0)+IF(AND(L439="Blaze Shield II",M439="Software Idiem",C439="IN",G439=3),((('BLAZE SHIELD II'!$H$14*('CALCULO MORTERO'!I439^2)+'BLAZE SHIELD II'!$H$15*'CALCULO MORTERO'!I439+'BLAZE SHIELD II'!$H$16)*LN(J439))+('BLAZE SHIELD II'!$H$17*('CALCULO MORTERO'!I439^2)+'BLAZE SHIELD II'!$H$18*'CALCULO MORTERO'!I439+'BLAZE SHIELD II'!$H$19)),0),0)+ROUND(IF(AND(L439="Cafco 400",M439="Software Idiem",C439="IN",G439=4),((('CAFCO 400 '!$H$7*(J439^4)+'CAFCO 400 '!$H$8*(J439^3)+'CAFCO 400 '!$H$9*(J439^2)+'CAFCO 400 '!$H$10*J439+'CAFCO 400 '!$H$11)*U439^2)+(('CAFCO 400 '!$H$12*(J439^3)+'CAFCO 400 '!$H$13*(J439^2)+'CAFCO 400 '!$H$14*J439+'CAFCO 400 '!$H$15)*U439)+('CAFCO 400 '!$H$16*(J439^2)+'CAFCO 400 '!$H$17*J439+'CAFCO 400 '!$H$18)),0)+IF(AND(L439="Cafco 400",M439="Software Idiem",C439="Cj"),(((('CAFCO 400 '!$D$7*LN(J439)+'CAFCO 400 '!$D$8)*U439^2)+(('CAFCO 400 '!$D$9*LN(J439)+'CAFCO 400 '!$D$10)*U439)+('CAFCO 400 '!$D$11*LN(J439)+'CAFCO 400 '!$D$12))),0)+IF(AND(L439="Cafco 400",M439="Software Idiem",C439="C"),((('CAFCO 400 '!$L$7*(J439^3)+'CAFCO 400 '!$L$8*(J439^2)+'CAFCO 400 '!$L$9*J439+'CAFCO 400 '!$L$10)*U439^2)+(('CAFCO 400 '!$L$11*(J439^3)+'CAFCO 400 '!$L$12*(J439^2)+'CAFCO 400 '!$L$13*J439+'CAFCO 400 '!$L$14)*U439)+('CAFCO 400 '!$L$15*LN(J439)+'CAFCO 400 '!$L$16)),0)+IF(AND(L439="Cafco 400",M439="Software Idiem",C439="L"),((('CAFCO 400 '!$L$7*(J439^3)+'CAFCO 400 '!$L$8*(J439^2)+'CAFCO 400 '!$L$9*J439+'CAFCO 400 '!$L$10)*U439^2)+(('CAFCO 400 '!$L$11*(J439^3)+'CAFCO 400 '!$L$12*(J439^2)+'CAFCO 400 '!$L$13*J439+'CAFCO 400 '!$L$14)*U439)+('CAFCO 400 '!$L$15*LN(J439)+'CAFCO 400 '!$L$16)),0)+IF(AND(L439="Cafco 400",M439="Software Idiem",C439="IN",G439=3),((('CAFCO 400 '!$D$23*(J439^2)+'CAFCO 400 '!$D$24*(J439)+'CAFCO 400 '!$D$25)*U439^2)+(('CAFCO 400 '!$D$26*(J439^2)+'CAFCO 400 '!$D$27*J439+'CAFCO 400 '!$D$28)*U439)+('CAFCO 400 '!$D$29*(J439^2)+'CAFCO 400 '!$D$30*J439+'CAFCO 400 '!$D$31)),0),0)+IF(AND(L439="Cafco 300",J439&gt;=95,J439&lt;=240,C439="Cj",I439=90),VLOOKUP(T439,'CAFCO 300 IDIEM TABLAS'!$B$4:$D$23,2,FALSE),0)+IF(AND(L439="Cafco 300",J439&gt;=95,J439&lt;=240,C439="Cj",I439=120),VLOOKUP(T439,'CAFCO 300 IDIEM TABLAS'!$B$4:$D$23,3,FALSE),0)+IF(AND(L439="Cafco 300",J439&gt;=95,J439&lt;=400,G439=3,C439="IN",I439=90),VLOOKUP(T439,'CAFCO 300 IDIEM TABLAS'!$F$4:$H$35,2,FALSE),0)+IF(AND(L439="Cafco 300",J439&gt;=95,J439&lt;=400,G439=3,C439="IN",I439=120),VLOOKUP(T439,'CAFCO 300 IDIEM TABLAS'!$F$4:$H$35,3,FALSE),0)+IF(AND(L439="Cafco 300",J439&gt;=95,J439&lt;=450,G439=4,C439="IN",I439=90),VLOOKUP(T439,'CAFCO 300 IDIEM TABLAS'!$J$4:$L$40,2,FALSE),0)+IF(AND(L439="Cafco 300",J439&gt;=95,J439&lt;=450,G439=4,C439="IN",I439=120),VLOOKUP(T439,'CAFCO 300 IDIEM TABLAS'!$J$4:$L$40,3,FALSE),0)+IF(AND(M439="Ensayo Idiem",L439="Cafco 400",C439="IN",G439=4,I439=90),VLOOKUP(T439,'CAFCO 400 ENSAYO'!$B$7:$D$43,2,FALSE),0)+IF(AND(M439="Ensayo Idiem",L439="Cafco 400",C439="IN",G439=4,I439=120),VLOOKUP(T439,'CAFCO 400 ENSAYO'!$B$7:$D$43,3,FALSE),0)</f>
        <v>0</v>
      </c>
      <c r="O439" s="96">
        <f t="shared" si="48"/>
        <v>0</v>
      </c>
      <c r="P439" s="132" t="str">
        <f t="shared" si="49"/>
        <v>N/A</v>
      </c>
      <c r="Q439" s="132" t="str">
        <f t="shared" si="50"/>
        <v>N/A</v>
      </c>
      <c r="R439" s="132" t="str">
        <f t="shared" si="51"/>
        <v>NO CERT.</v>
      </c>
      <c r="S439" s="132" t="e">
        <f t="shared" si="52"/>
        <v>#N/A</v>
      </c>
      <c r="T439" s="133" t="e">
        <f>+IF(J439=LOOKUP(J439,'CAFCO 300 IDIEM TABLAS'!$J$4:$J$40),'CALCULO MORTERO'!J439,MROUND('CALCULO MORTERO'!J439,10))</f>
        <v>#N/A</v>
      </c>
      <c r="U439" s="134">
        <f t="shared" si="53"/>
        <v>0</v>
      </c>
      <c r="Y439" s="4"/>
      <c r="Z439" s="4"/>
      <c r="AA439" s="4"/>
    </row>
    <row r="440" spans="1:27" x14ac:dyDescent="0.25">
      <c r="A440" s="118">
        <f>+CUBICACION!D434</f>
        <v>0</v>
      </c>
      <c r="B440" s="819">
        <f>+CUBICACION!E434</f>
        <v>0</v>
      </c>
      <c r="C440" s="675">
        <f>+CUBICACION!F434</f>
        <v>0</v>
      </c>
      <c r="D440" s="118"/>
      <c r="E440" s="118"/>
      <c r="F440" s="820"/>
      <c r="G440" s="675">
        <f>+CUBICACION!J434</f>
        <v>0</v>
      </c>
      <c r="H440" s="118"/>
      <c r="I440" s="821">
        <f>+CUBICACION!L434</f>
        <v>0</v>
      </c>
      <c r="J440" s="64">
        <f>+CUBICACION!M434</f>
        <v>0</v>
      </c>
      <c r="K440" s="822" t="str">
        <f>+CUBICACION!N434</f>
        <v/>
      </c>
      <c r="L440" s="118">
        <f>+CUBICACION!O434</f>
        <v>0</v>
      </c>
      <c r="M440" s="823">
        <f>+CUBICACION!P434</f>
        <v>0</v>
      </c>
      <c r="N440" s="902">
        <f>ROUND(IF(AND(L440="Blaze Shield II",M440="Software Idiem",C440="IN",G440=4),((('BLAZE SHIELD II'!$D$4*('CALCULO MORTERO'!I440^2)+'BLAZE SHIELD II'!$D$5*'CALCULO MORTERO'!I440+'BLAZE SHIELD II'!$D$6)*LN(J440))+('BLAZE SHIELD II'!$D$7*('CALCULO MORTERO'!I440^2)+'BLAZE SHIELD II'!$D$8*'CALCULO MORTERO'!I440+'BLAZE SHIELD II'!$D$9)),0)+IF(AND(L440="Blaze Shield II",M440="Software Idiem",C440="Cj"),((('BLAZE SHIELD II'!$H$4*('CALCULO MORTERO'!I440^2)+'BLAZE SHIELD II'!$H$5*'CALCULO MORTERO'!I440+'BLAZE SHIELD II'!$H$6)*LN(J440))+('BLAZE SHIELD II'!$H$7*('CALCULO MORTERO'!I440^2)+'BLAZE SHIELD II'!$H$8*'CALCULO MORTERO'!I440+'BLAZE SHIELD II'!$H$9)),0)+IF(AND(L440="Blaze Shield II",M440="Software Idiem",C440="C"),((('BLAZE SHIELD II'!$L$4*('CALCULO MORTERO'!I440^2)+'BLAZE SHIELD II'!$L$5*'CALCULO MORTERO'!I440+'BLAZE SHIELD II'!$L$6)*LN(J440))+('BLAZE SHIELD II'!$L$7*('CALCULO MORTERO'!I440^2)+'BLAZE SHIELD II'!$L$8*'CALCULO MORTERO'!I440+'BLAZE SHIELD II'!$L$9)),0)+IF(AND(L440="Blaze Shield II",M440="Software Idiem",C440="L"),((('BLAZE SHIELD II'!$L$4*('CALCULO MORTERO'!I440^2)+'BLAZE SHIELD II'!$L$5*'CALCULO MORTERO'!I440+'BLAZE SHIELD II'!$L$6)*LN(J440))+('BLAZE SHIELD II'!$L$7*('CALCULO MORTERO'!I440^2)+'BLAZE SHIELD II'!$L$8*'CALCULO MORTERO'!I440+'BLAZE SHIELD II'!$L$9)),0)+IF(AND(L440="Blaze Shield II",M440="Software Idiem",C440="IN",G440=3),((('BLAZE SHIELD II'!$H$14*('CALCULO MORTERO'!I440^2)+'BLAZE SHIELD II'!$H$15*'CALCULO MORTERO'!I440+'BLAZE SHIELD II'!$H$16)*LN(J440))+('BLAZE SHIELD II'!$H$17*('CALCULO MORTERO'!I440^2)+'BLAZE SHIELD II'!$H$18*'CALCULO MORTERO'!I440+'BLAZE SHIELD II'!$H$19)),0),0)+ROUND(IF(AND(L440="Cafco 400",M440="Software Idiem",C440="IN",G440=4),((('CAFCO 400 '!$H$7*(J440^4)+'CAFCO 400 '!$H$8*(J440^3)+'CAFCO 400 '!$H$9*(J440^2)+'CAFCO 400 '!$H$10*J440+'CAFCO 400 '!$H$11)*U440^2)+(('CAFCO 400 '!$H$12*(J440^3)+'CAFCO 400 '!$H$13*(J440^2)+'CAFCO 400 '!$H$14*J440+'CAFCO 400 '!$H$15)*U440)+('CAFCO 400 '!$H$16*(J440^2)+'CAFCO 400 '!$H$17*J440+'CAFCO 400 '!$H$18)),0)+IF(AND(L440="Cafco 400",M440="Software Idiem",C440="Cj"),(((('CAFCO 400 '!$D$7*LN(J440)+'CAFCO 400 '!$D$8)*U440^2)+(('CAFCO 400 '!$D$9*LN(J440)+'CAFCO 400 '!$D$10)*U440)+('CAFCO 400 '!$D$11*LN(J440)+'CAFCO 400 '!$D$12))),0)+IF(AND(L440="Cafco 400",M440="Software Idiem",C440="C"),((('CAFCO 400 '!$L$7*(J440^3)+'CAFCO 400 '!$L$8*(J440^2)+'CAFCO 400 '!$L$9*J440+'CAFCO 400 '!$L$10)*U440^2)+(('CAFCO 400 '!$L$11*(J440^3)+'CAFCO 400 '!$L$12*(J440^2)+'CAFCO 400 '!$L$13*J440+'CAFCO 400 '!$L$14)*U440)+('CAFCO 400 '!$L$15*LN(J440)+'CAFCO 400 '!$L$16)),0)+IF(AND(L440="Cafco 400",M440="Software Idiem",C440="L"),((('CAFCO 400 '!$L$7*(J440^3)+'CAFCO 400 '!$L$8*(J440^2)+'CAFCO 400 '!$L$9*J440+'CAFCO 400 '!$L$10)*U440^2)+(('CAFCO 400 '!$L$11*(J440^3)+'CAFCO 400 '!$L$12*(J440^2)+'CAFCO 400 '!$L$13*J440+'CAFCO 400 '!$L$14)*U440)+('CAFCO 400 '!$L$15*LN(J440)+'CAFCO 400 '!$L$16)),0)+IF(AND(L440="Cafco 400",M440="Software Idiem",C440="IN",G440=3),((('CAFCO 400 '!$D$23*(J440^2)+'CAFCO 400 '!$D$24*(J440)+'CAFCO 400 '!$D$25)*U440^2)+(('CAFCO 400 '!$D$26*(J440^2)+'CAFCO 400 '!$D$27*J440+'CAFCO 400 '!$D$28)*U440)+('CAFCO 400 '!$D$29*(J440^2)+'CAFCO 400 '!$D$30*J440+'CAFCO 400 '!$D$31)),0),0)+IF(AND(L440="Cafco 300",J440&gt;=95,J440&lt;=240,C440="Cj",I440=90),VLOOKUP(T440,'CAFCO 300 IDIEM TABLAS'!$B$4:$D$23,2,FALSE),0)+IF(AND(L440="Cafco 300",J440&gt;=95,J440&lt;=240,C440="Cj",I440=120),VLOOKUP(T440,'CAFCO 300 IDIEM TABLAS'!$B$4:$D$23,3,FALSE),0)+IF(AND(L440="Cafco 300",J440&gt;=95,J440&lt;=400,G440=3,C440="IN",I440=90),VLOOKUP(T440,'CAFCO 300 IDIEM TABLAS'!$F$4:$H$35,2,FALSE),0)+IF(AND(L440="Cafco 300",J440&gt;=95,J440&lt;=400,G440=3,C440="IN",I440=120),VLOOKUP(T440,'CAFCO 300 IDIEM TABLAS'!$F$4:$H$35,3,FALSE),0)+IF(AND(L440="Cafco 300",J440&gt;=95,J440&lt;=450,G440=4,C440="IN",I440=90),VLOOKUP(T440,'CAFCO 300 IDIEM TABLAS'!$J$4:$L$40,2,FALSE),0)+IF(AND(L440="Cafco 300",J440&gt;=95,J440&lt;=450,G440=4,C440="IN",I440=120),VLOOKUP(T440,'CAFCO 300 IDIEM TABLAS'!$J$4:$L$40,3,FALSE),0)+IF(AND(M440="Ensayo Idiem",L440="Cafco 400",C440="IN",G440=4,I440=90),VLOOKUP(T440,'CAFCO 400 ENSAYO'!$B$7:$D$43,2,FALSE),0)+IF(AND(M440="Ensayo Idiem",L440="Cafco 400",C440="IN",G440=4,I440=120),VLOOKUP(T440,'CAFCO 400 ENSAYO'!$B$7:$D$43,3,FALSE),0)</f>
        <v>0</v>
      </c>
      <c r="O440" s="96">
        <f t="shared" si="48"/>
        <v>0</v>
      </c>
      <c r="P440" s="95" t="str">
        <f t="shared" si="49"/>
        <v>N/A</v>
      </c>
      <c r="Q440" s="95" t="str">
        <f t="shared" si="50"/>
        <v>N/A</v>
      </c>
      <c r="R440" s="95" t="str">
        <f t="shared" si="51"/>
        <v>NO CERT.</v>
      </c>
      <c r="S440" s="95" t="e">
        <f t="shared" si="52"/>
        <v>#N/A</v>
      </c>
      <c r="T440" s="119" t="e">
        <f>+IF(J440=LOOKUP(J440,'CAFCO 300 IDIEM TABLAS'!$J$4:$J$40),'CALCULO MORTERO'!J440,MROUND('CALCULO MORTERO'!J440,10))</f>
        <v>#N/A</v>
      </c>
      <c r="U440" s="118">
        <f t="shared" si="53"/>
        <v>0</v>
      </c>
      <c r="Y440" s="4"/>
      <c r="Z440" s="4"/>
      <c r="AA440" s="4"/>
    </row>
    <row r="441" spans="1:27" x14ac:dyDescent="0.25">
      <c r="A441" s="118">
        <f>+CUBICACION!D435</f>
        <v>0</v>
      </c>
      <c r="B441" s="819">
        <f>+CUBICACION!E435</f>
        <v>0</v>
      </c>
      <c r="C441" s="675">
        <f>+CUBICACION!F435</f>
        <v>0</v>
      </c>
      <c r="D441" s="118"/>
      <c r="E441" s="118"/>
      <c r="F441" s="820"/>
      <c r="G441" s="675">
        <f>+CUBICACION!J435</f>
        <v>0</v>
      </c>
      <c r="H441" s="118"/>
      <c r="I441" s="821">
        <f>+CUBICACION!L435</f>
        <v>0</v>
      </c>
      <c r="J441" s="64">
        <f>+CUBICACION!M435</f>
        <v>0</v>
      </c>
      <c r="K441" s="822" t="str">
        <f>+CUBICACION!N435</f>
        <v/>
      </c>
      <c r="L441" s="118">
        <f>+CUBICACION!O435</f>
        <v>0</v>
      </c>
      <c r="M441" s="823">
        <f>+CUBICACION!P435</f>
        <v>0</v>
      </c>
      <c r="N441" s="902">
        <f>ROUND(IF(AND(L441="Blaze Shield II",M441="Software Idiem",C441="IN",G441=4),((('BLAZE SHIELD II'!$D$4*('CALCULO MORTERO'!I441^2)+'BLAZE SHIELD II'!$D$5*'CALCULO MORTERO'!I441+'BLAZE SHIELD II'!$D$6)*LN(J441))+('BLAZE SHIELD II'!$D$7*('CALCULO MORTERO'!I441^2)+'BLAZE SHIELD II'!$D$8*'CALCULO MORTERO'!I441+'BLAZE SHIELD II'!$D$9)),0)+IF(AND(L441="Blaze Shield II",M441="Software Idiem",C441="Cj"),((('BLAZE SHIELD II'!$H$4*('CALCULO MORTERO'!I441^2)+'BLAZE SHIELD II'!$H$5*'CALCULO MORTERO'!I441+'BLAZE SHIELD II'!$H$6)*LN(J441))+('BLAZE SHIELD II'!$H$7*('CALCULO MORTERO'!I441^2)+'BLAZE SHIELD II'!$H$8*'CALCULO MORTERO'!I441+'BLAZE SHIELD II'!$H$9)),0)+IF(AND(L441="Blaze Shield II",M441="Software Idiem",C441="C"),((('BLAZE SHIELD II'!$L$4*('CALCULO MORTERO'!I441^2)+'BLAZE SHIELD II'!$L$5*'CALCULO MORTERO'!I441+'BLAZE SHIELD II'!$L$6)*LN(J441))+('BLAZE SHIELD II'!$L$7*('CALCULO MORTERO'!I441^2)+'BLAZE SHIELD II'!$L$8*'CALCULO MORTERO'!I441+'BLAZE SHIELD II'!$L$9)),0)+IF(AND(L441="Blaze Shield II",M441="Software Idiem",C441="L"),((('BLAZE SHIELD II'!$L$4*('CALCULO MORTERO'!I441^2)+'BLAZE SHIELD II'!$L$5*'CALCULO MORTERO'!I441+'BLAZE SHIELD II'!$L$6)*LN(J441))+('BLAZE SHIELD II'!$L$7*('CALCULO MORTERO'!I441^2)+'BLAZE SHIELD II'!$L$8*'CALCULO MORTERO'!I441+'BLAZE SHIELD II'!$L$9)),0)+IF(AND(L441="Blaze Shield II",M441="Software Idiem",C441="IN",G441=3),((('BLAZE SHIELD II'!$H$14*('CALCULO MORTERO'!I441^2)+'BLAZE SHIELD II'!$H$15*'CALCULO MORTERO'!I441+'BLAZE SHIELD II'!$H$16)*LN(J441))+('BLAZE SHIELD II'!$H$17*('CALCULO MORTERO'!I441^2)+'BLAZE SHIELD II'!$H$18*'CALCULO MORTERO'!I441+'BLAZE SHIELD II'!$H$19)),0),0)+ROUND(IF(AND(L441="Cafco 400",M441="Software Idiem",C441="IN",G441=4),((('CAFCO 400 '!$H$7*(J441^4)+'CAFCO 400 '!$H$8*(J441^3)+'CAFCO 400 '!$H$9*(J441^2)+'CAFCO 400 '!$H$10*J441+'CAFCO 400 '!$H$11)*U441^2)+(('CAFCO 400 '!$H$12*(J441^3)+'CAFCO 400 '!$H$13*(J441^2)+'CAFCO 400 '!$H$14*J441+'CAFCO 400 '!$H$15)*U441)+('CAFCO 400 '!$H$16*(J441^2)+'CAFCO 400 '!$H$17*J441+'CAFCO 400 '!$H$18)),0)+IF(AND(L441="Cafco 400",M441="Software Idiem",C441="Cj"),(((('CAFCO 400 '!$D$7*LN(J441)+'CAFCO 400 '!$D$8)*U441^2)+(('CAFCO 400 '!$D$9*LN(J441)+'CAFCO 400 '!$D$10)*U441)+('CAFCO 400 '!$D$11*LN(J441)+'CAFCO 400 '!$D$12))),0)+IF(AND(L441="Cafco 400",M441="Software Idiem",C441="C"),((('CAFCO 400 '!$L$7*(J441^3)+'CAFCO 400 '!$L$8*(J441^2)+'CAFCO 400 '!$L$9*J441+'CAFCO 400 '!$L$10)*U441^2)+(('CAFCO 400 '!$L$11*(J441^3)+'CAFCO 400 '!$L$12*(J441^2)+'CAFCO 400 '!$L$13*J441+'CAFCO 400 '!$L$14)*U441)+('CAFCO 400 '!$L$15*LN(J441)+'CAFCO 400 '!$L$16)),0)+IF(AND(L441="Cafco 400",M441="Software Idiem",C441="L"),((('CAFCO 400 '!$L$7*(J441^3)+'CAFCO 400 '!$L$8*(J441^2)+'CAFCO 400 '!$L$9*J441+'CAFCO 400 '!$L$10)*U441^2)+(('CAFCO 400 '!$L$11*(J441^3)+'CAFCO 400 '!$L$12*(J441^2)+'CAFCO 400 '!$L$13*J441+'CAFCO 400 '!$L$14)*U441)+('CAFCO 400 '!$L$15*LN(J441)+'CAFCO 400 '!$L$16)),0)+IF(AND(L441="Cafco 400",M441="Software Idiem",C441="IN",G441=3),((('CAFCO 400 '!$D$23*(J441^2)+'CAFCO 400 '!$D$24*(J441)+'CAFCO 400 '!$D$25)*U441^2)+(('CAFCO 400 '!$D$26*(J441^2)+'CAFCO 400 '!$D$27*J441+'CAFCO 400 '!$D$28)*U441)+('CAFCO 400 '!$D$29*(J441^2)+'CAFCO 400 '!$D$30*J441+'CAFCO 400 '!$D$31)),0),0)+IF(AND(L441="Cafco 300",J441&gt;=95,J441&lt;=240,C441="Cj",I441=90),VLOOKUP(T441,'CAFCO 300 IDIEM TABLAS'!$B$4:$D$23,2,FALSE),0)+IF(AND(L441="Cafco 300",J441&gt;=95,J441&lt;=240,C441="Cj",I441=120),VLOOKUP(T441,'CAFCO 300 IDIEM TABLAS'!$B$4:$D$23,3,FALSE),0)+IF(AND(L441="Cafco 300",J441&gt;=95,J441&lt;=400,G441=3,C441="IN",I441=90),VLOOKUP(T441,'CAFCO 300 IDIEM TABLAS'!$F$4:$H$35,2,FALSE),0)+IF(AND(L441="Cafco 300",J441&gt;=95,J441&lt;=400,G441=3,C441="IN",I441=120),VLOOKUP(T441,'CAFCO 300 IDIEM TABLAS'!$F$4:$H$35,3,FALSE),0)+IF(AND(L441="Cafco 300",J441&gt;=95,J441&lt;=450,G441=4,C441="IN",I441=90),VLOOKUP(T441,'CAFCO 300 IDIEM TABLAS'!$J$4:$L$40,2,FALSE),0)+IF(AND(L441="Cafco 300",J441&gt;=95,J441&lt;=450,G441=4,C441="IN",I441=120),VLOOKUP(T441,'CAFCO 300 IDIEM TABLAS'!$J$4:$L$40,3,FALSE),0)+IF(AND(M441="Ensayo Idiem",L441="Cafco 400",C441="IN",G441=4,I441=90),VLOOKUP(T441,'CAFCO 400 ENSAYO'!$B$7:$D$43,2,FALSE),0)+IF(AND(M441="Ensayo Idiem",L441="Cafco 400",C441="IN",G441=4,I441=120),VLOOKUP(T441,'CAFCO 400 ENSAYO'!$B$7:$D$43,3,FALSE),0)</f>
        <v>0</v>
      </c>
      <c r="O441" s="96">
        <f t="shared" si="48"/>
        <v>0</v>
      </c>
      <c r="P441" s="132" t="str">
        <f t="shared" si="49"/>
        <v>N/A</v>
      </c>
      <c r="Q441" s="132" t="str">
        <f t="shared" si="50"/>
        <v>N/A</v>
      </c>
      <c r="R441" s="132" t="str">
        <f t="shared" si="51"/>
        <v>NO CERT.</v>
      </c>
      <c r="S441" s="132" t="e">
        <f t="shared" si="52"/>
        <v>#N/A</v>
      </c>
      <c r="T441" s="133" t="e">
        <f>+IF(J441=LOOKUP(J441,'CAFCO 300 IDIEM TABLAS'!$J$4:$J$40),'CALCULO MORTERO'!J441,MROUND('CALCULO MORTERO'!J441,10))</f>
        <v>#N/A</v>
      </c>
      <c r="U441" s="134">
        <f t="shared" si="53"/>
        <v>0</v>
      </c>
      <c r="Y441" s="4"/>
      <c r="Z441" s="4"/>
      <c r="AA441" s="4"/>
    </row>
    <row r="442" spans="1:27" x14ac:dyDescent="0.25">
      <c r="A442" s="118">
        <f>+CUBICACION!D436</f>
        <v>0</v>
      </c>
      <c r="B442" s="819">
        <f>+CUBICACION!E436</f>
        <v>0</v>
      </c>
      <c r="C442" s="675">
        <f>+CUBICACION!F436</f>
        <v>0</v>
      </c>
      <c r="D442" s="118"/>
      <c r="E442" s="118"/>
      <c r="F442" s="820"/>
      <c r="G442" s="675">
        <f>+CUBICACION!J436</f>
        <v>0</v>
      </c>
      <c r="H442" s="118"/>
      <c r="I442" s="821">
        <f>+CUBICACION!L436</f>
        <v>0</v>
      </c>
      <c r="J442" s="64">
        <f>+CUBICACION!M436</f>
        <v>0</v>
      </c>
      <c r="K442" s="822" t="str">
        <f>+CUBICACION!N436</f>
        <v/>
      </c>
      <c r="L442" s="118">
        <f>+CUBICACION!O436</f>
        <v>0</v>
      </c>
      <c r="M442" s="823">
        <f>+CUBICACION!P436</f>
        <v>0</v>
      </c>
      <c r="N442" s="902">
        <f>ROUND(IF(AND(L442="Blaze Shield II",M442="Software Idiem",C442="IN",G442=4),((('BLAZE SHIELD II'!$D$4*('CALCULO MORTERO'!I442^2)+'BLAZE SHIELD II'!$D$5*'CALCULO MORTERO'!I442+'BLAZE SHIELD II'!$D$6)*LN(J442))+('BLAZE SHIELD II'!$D$7*('CALCULO MORTERO'!I442^2)+'BLAZE SHIELD II'!$D$8*'CALCULO MORTERO'!I442+'BLAZE SHIELD II'!$D$9)),0)+IF(AND(L442="Blaze Shield II",M442="Software Idiem",C442="Cj"),((('BLAZE SHIELD II'!$H$4*('CALCULO MORTERO'!I442^2)+'BLAZE SHIELD II'!$H$5*'CALCULO MORTERO'!I442+'BLAZE SHIELD II'!$H$6)*LN(J442))+('BLAZE SHIELD II'!$H$7*('CALCULO MORTERO'!I442^2)+'BLAZE SHIELD II'!$H$8*'CALCULO MORTERO'!I442+'BLAZE SHIELD II'!$H$9)),0)+IF(AND(L442="Blaze Shield II",M442="Software Idiem",C442="C"),((('BLAZE SHIELD II'!$L$4*('CALCULO MORTERO'!I442^2)+'BLAZE SHIELD II'!$L$5*'CALCULO MORTERO'!I442+'BLAZE SHIELD II'!$L$6)*LN(J442))+('BLAZE SHIELD II'!$L$7*('CALCULO MORTERO'!I442^2)+'BLAZE SHIELD II'!$L$8*'CALCULO MORTERO'!I442+'BLAZE SHIELD II'!$L$9)),0)+IF(AND(L442="Blaze Shield II",M442="Software Idiem",C442="L"),((('BLAZE SHIELD II'!$L$4*('CALCULO MORTERO'!I442^2)+'BLAZE SHIELD II'!$L$5*'CALCULO MORTERO'!I442+'BLAZE SHIELD II'!$L$6)*LN(J442))+('BLAZE SHIELD II'!$L$7*('CALCULO MORTERO'!I442^2)+'BLAZE SHIELD II'!$L$8*'CALCULO MORTERO'!I442+'BLAZE SHIELD II'!$L$9)),0)+IF(AND(L442="Blaze Shield II",M442="Software Idiem",C442="IN",G442=3),((('BLAZE SHIELD II'!$H$14*('CALCULO MORTERO'!I442^2)+'BLAZE SHIELD II'!$H$15*'CALCULO MORTERO'!I442+'BLAZE SHIELD II'!$H$16)*LN(J442))+('BLAZE SHIELD II'!$H$17*('CALCULO MORTERO'!I442^2)+'BLAZE SHIELD II'!$H$18*'CALCULO MORTERO'!I442+'BLAZE SHIELD II'!$H$19)),0),0)+ROUND(IF(AND(L442="Cafco 400",M442="Software Idiem",C442="IN",G442=4),((('CAFCO 400 '!$H$7*(J442^4)+'CAFCO 400 '!$H$8*(J442^3)+'CAFCO 400 '!$H$9*(J442^2)+'CAFCO 400 '!$H$10*J442+'CAFCO 400 '!$H$11)*U442^2)+(('CAFCO 400 '!$H$12*(J442^3)+'CAFCO 400 '!$H$13*(J442^2)+'CAFCO 400 '!$H$14*J442+'CAFCO 400 '!$H$15)*U442)+('CAFCO 400 '!$H$16*(J442^2)+'CAFCO 400 '!$H$17*J442+'CAFCO 400 '!$H$18)),0)+IF(AND(L442="Cafco 400",M442="Software Idiem",C442="Cj"),(((('CAFCO 400 '!$D$7*LN(J442)+'CAFCO 400 '!$D$8)*U442^2)+(('CAFCO 400 '!$D$9*LN(J442)+'CAFCO 400 '!$D$10)*U442)+('CAFCO 400 '!$D$11*LN(J442)+'CAFCO 400 '!$D$12))),0)+IF(AND(L442="Cafco 400",M442="Software Idiem",C442="C"),((('CAFCO 400 '!$L$7*(J442^3)+'CAFCO 400 '!$L$8*(J442^2)+'CAFCO 400 '!$L$9*J442+'CAFCO 400 '!$L$10)*U442^2)+(('CAFCO 400 '!$L$11*(J442^3)+'CAFCO 400 '!$L$12*(J442^2)+'CAFCO 400 '!$L$13*J442+'CAFCO 400 '!$L$14)*U442)+('CAFCO 400 '!$L$15*LN(J442)+'CAFCO 400 '!$L$16)),0)+IF(AND(L442="Cafco 400",M442="Software Idiem",C442="L"),((('CAFCO 400 '!$L$7*(J442^3)+'CAFCO 400 '!$L$8*(J442^2)+'CAFCO 400 '!$L$9*J442+'CAFCO 400 '!$L$10)*U442^2)+(('CAFCO 400 '!$L$11*(J442^3)+'CAFCO 400 '!$L$12*(J442^2)+'CAFCO 400 '!$L$13*J442+'CAFCO 400 '!$L$14)*U442)+('CAFCO 400 '!$L$15*LN(J442)+'CAFCO 400 '!$L$16)),0)+IF(AND(L442="Cafco 400",M442="Software Idiem",C442="IN",G442=3),((('CAFCO 400 '!$D$23*(J442^2)+'CAFCO 400 '!$D$24*(J442)+'CAFCO 400 '!$D$25)*U442^2)+(('CAFCO 400 '!$D$26*(J442^2)+'CAFCO 400 '!$D$27*J442+'CAFCO 400 '!$D$28)*U442)+('CAFCO 400 '!$D$29*(J442^2)+'CAFCO 400 '!$D$30*J442+'CAFCO 400 '!$D$31)),0),0)+IF(AND(L442="Cafco 300",J442&gt;=95,J442&lt;=240,C442="Cj",I442=90),VLOOKUP(T442,'CAFCO 300 IDIEM TABLAS'!$B$4:$D$23,2,FALSE),0)+IF(AND(L442="Cafco 300",J442&gt;=95,J442&lt;=240,C442="Cj",I442=120),VLOOKUP(T442,'CAFCO 300 IDIEM TABLAS'!$B$4:$D$23,3,FALSE),0)+IF(AND(L442="Cafco 300",J442&gt;=95,J442&lt;=400,G442=3,C442="IN",I442=90),VLOOKUP(T442,'CAFCO 300 IDIEM TABLAS'!$F$4:$H$35,2,FALSE),0)+IF(AND(L442="Cafco 300",J442&gt;=95,J442&lt;=400,G442=3,C442="IN",I442=120),VLOOKUP(T442,'CAFCO 300 IDIEM TABLAS'!$F$4:$H$35,3,FALSE),0)+IF(AND(L442="Cafco 300",J442&gt;=95,J442&lt;=450,G442=4,C442="IN",I442=90),VLOOKUP(T442,'CAFCO 300 IDIEM TABLAS'!$J$4:$L$40,2,FALSE),0)+IF(AND(L442="Cafco 300",J442&gt;=95,J442&lt;=450,G442=4,C442="IN",I442=120),VLOOKUP(T442,'CAFCO 300 IDIEM TABLAS'!$J$4:$L$40,3,FALSE),0)+IF(AND(M442="Ensayo Idiem",L442="Cafco 400",C442="IN",G442=4,I442=90),VLOOKUP(T442,'CAFCO 400 ENSAYO'!$B$7:$D$43,2,FALSE),0)+IF(AND(M442="Ensayo Idiem",L442="Cafco 400",C442="IN",G442=4,I442=120),VLOOKUP(T442,'CAFCO 400 ENSAYO'!$B$7:$D$43,3,FALSE),0)</f>
        <v>0</v>
      </c>
      <c r="O442" s="96">
        <f t="shared" si="48"/>
        <v>0</v>
      </c>
      <c r="P442" s="95" t="str">
        <f t="shared" si="49"/>
        <v>N/A</v>
      </c>
      <c r="Q442" s="95" t="str">
        <f t="shared" si="50"/>
        <v>N/A</v>
      </c>
      <c r="R442" s="95" t="str">
        <f t="shared" si="51"/>
        <v>NO CERT.</v>
      </c>
      <c r="S442" s="95" t="e">
        <f t="shared" si="52"/>
        <v>#N/A</v>
      </c>
      <c r="T442" s="119" t="e">
        <f>+IF(J442=LOOKUP(J442,'CAFCO 300 IDIEM TABLAS'!$J$4:$J$40),'CALCULO MORTERO'!J442,MROUND('CALCULO MORTERO'!J442,10))</f>
        <v>#N/A</v>
      </c>
      <c r="U442" s="118">
        <f t="shared" si="53"/>
        <v>0</v>
      </c>
      <c r="Y442" s="4"/>
      <c r="Z442" s="4"/>
      <c r="AA442" s="4"/>
    </row>
    <row r="443" spans="1:27" x14ac:dyDescent="0.25">
      <c r="A443" s="118">
        <f>+CUBICACION!D437</f>
        <v>0</v>
      </c>
      <c r="B443" s="819">
        <f>+CUBICACION!E437</f>
        <v>0</v>
      </c>
      <c r="C443" s="675">
        <f>+CUBICACION!F437</f>
        <v>0</v>
      </c>
      <c r="D443" s="118"/>
      <c r="E443" s="118"/>
      <c r="F443" s="820"/>
      <c r="G443" s="675">
        <f>+CUBICACION!J437</f>
        <v>0</v>
      </c>
      <c r="H443" s="118"/>
      <c r="I443" s="821">
        <f>+CUBICACION!L437</f>
        <v>0</v>
      </c>
      <c r="J443" s="64">
        <f>+CUBICACION!M437</f>
        <v>0</v>
      </c>
      <c r="K443" s="822" t="str">
        <f>+CUBICACION!N437</f>
        <v/>
      </c>
      <c r="L443" s="118">
        <f>+CUBICACION!O437</f>
        <v>0</v>
      </c>
      <c r="M443" s="823">
        <f>+CUBICACION!P437</f>
        <v>0</v>
      </c>
      <c r="N443" s="902">
        <f>ROUND(IF(AND(L443="Blaze Shield II",M443="Software Idiem",C443="IN",G443=4),((('BLAZE SHIELD II'!$D$4*('CALCULO MORTERO'!I443^2)+'BLAZE SHIELD II'!$D$5*'CALCULO MORTERO'!I443+'BLAZE SHIELD II'!$D$6)*LN(J443))+('BLAZE SHIELD II'!$D$7*('CALCULO MORTERO'!I443^2)+'BLAZE SHIELD II'!$D$8*'CALCULO MORTERO'!I443+'BLAZE SHIELD II'!$D$9)),0)+IF(AND(L443="Blaze Shield II",M443="Software Idiem",C443="Cj"),((('BLAZE SHIELD II'!$H$4*('CALCULO MORTERO'!I443^2)+'BLAZE SHIELD II'!$H$5*'CALCULO MORTERO'!I443+'BLAZE SHIELD II'!$H$6)*LN(J443))+('BLAZE SHIELD II'!$H$7*('CALCULO MORTERO'!I443^2)+'BLAZE SHIELD II'!$H$8*'CALCULO MORTERO'!I443+'BLAZE SHIELD II'!$H$9)),0)+IF(AND(L443="Blaze Shield II",M443="Software Idiem",C443="C"),((('BLAZE SHIELD II'!$L$4*('CALCULO MORTERO'!I443^2)+'BLAZE SHIELD II'!$L$5*'CALCULO MORTERO'!I443+'BLAZE SHIELD II'!$L$6)*LN(J443))+('BLAZE SHIELD II'!$L$7*('CALCULO MORTERO'!I443^2)+'BLAZE SHIELD II'!$L$8*'CALCULO MORTERO'!I443+'BLAZE SHIELD II'!$L$9)),0)+IF(AND(L443="Blaze Shield II",M443="Software Idiem",C443="L"),((('BLAZE SHIELD II'!$L$4*('CALCULO MORTERO'!I443^2)+'BLAZE SHIELD II'!$L$5*'CALCULO MORTERO'!I443+'BLAZE SHIELD II'!$L$6)*LN(J443))+('BLAZE SHIELD II'!$L$7*('CALCULO MORTERO'!I443^2)+'BLAZE SHIELD II'!$L$8*'CALCULO MORTERO'!I443+'BLAZE SHIELD II'!$L$9)),0)+IF(AND(L443="Blaze Shield II",M443="Software Idiem",C443="IN",G443=3),((('BLAZE SHIELD II'!$H$14*('CALCULO MORTERO'!I443^2)+'BLAZE SHIELD II'!$H$15*'CALCULO MORTERO'!I443+'BLAZE SHIELD II'!$H$16)*LN(J443))+('BLAZE SHIELD II'!$H$17*('CALCULO MORTERO'!I443^2)+'BLAZE SHIELD II'!$H$18*'CALCULO MORTERO'!I443+'BLAZE SHIELD II'!$H$19)),0),0)+ROUND(IF(AND(L443="Cafco 400",M443="Software Idiem",C443="IN",G443=4),((('CAFCO 400 '!$H$7*(J443^4)+'CAFCO 400 '!$H$8*(J443^3)+'CAFCO 400 '!$H$9*(J443^2)+'CAFCO 400 '!$H$10*J443+'CAFCO 400 '!$H$11)*U443^2)+(('CAFCO 400 '!$H$12*(J443^3)+'CAFCO 400 '!$H$13*(J443^2)+'CAFCO 400 '!$H$14*J443+'CAFCO 400 '!$H$15)*U443)+('CAFCO 400 '!$H$16*(J443^2)+'CAFCO 400 '!$H$17*J443+'CAFCO 400 '!$H$18)),0)+IF(AND(L443="Cafco 400",M443="Software Idiem",C443="Cj"),(((('CAFCO 400 '!$D$7*LN(J443)+'CAFCO 400 '!$D$8)*U443^2)+(('CAFCO 400 '!$D$9*LN(J443)+'CAFCO 400 '!$D$10)*U443)+('CAFCO 400 '!$D$11*LN(J443)+'CAFCO 400 '!$D$12))),0)+IF(AND(L443="Cafco 400",M443="Software Idiem",C443="C"),((('CAFCO 400 '!$L$7*(J443^3)+'CAFCO 400 '!$L$8*(J443^2)+'CAFCO 400 '!$L$9*J443+'CAFCO 400 '!$L$10)*U443^2)+(('CAFCO 400 '!$L$11*(J443^3)+'CAFCO 400 '!$L$12*(J443^2)+'CAFCO 400 '!$L$13*J443+'CAFCO 400 '!$L$14)*U443)+('CAFCO 400 '!$L$15*LN(J443)+'CAFCO 400 '!$L$16)),0)+IF(AND(L443="Cafco 400",M443="Software Idiem",C443="L"),((('CAFCO 400 '!$L$7*(J443^3)+'CAFCO 400 '!$L$8*(J443^2)+'CAFCO 400 '!$L$9*J443+'CAFCO 400 '!$L$10)*U443^2)+(('CAFCO 400 '!$L$11*(J443^3)+'CAFCO 400 '!$L$12*(J443^2)+'CAFCO 400 '!$L$13*J443+'CAFCO 400 '!$L$14)*U443)+('CAFCO 400 '!$L$15*LN(J443)+'CAFCO 400 '!$L$16)),0)+IF(AND(L443="Cafco 400",M443="Software Idiem",C443="IN",G443=3),((('CAFCO 400 '!$D$23*(J443^2)+'CAFCO 400 '!$D$24*(J443)+'CAFCO 400 '!$D$25)*U443^2)+(('CAFCO 400 '!$D$26*(J443^2)+'CAFCO 400 '!$D$27*J443+'CAFCO 400 '!$D$28)*U443)+('CAFCO 400 '!$D$29*(J443^2)+'CAFCO 400 '!$D$30*J443+'CAFCO 400 '!$D$31)),0),0)+IF(AND(L443="Cafco 300",J443&gt;=95,J443&lt;=240,C443="Cj",I443=90),VLOOKUP(T443,'CAFCO 300 IDIEM TABLAS'!$B$4:$D$23,2,FALSE),0)+IF(AND(L443="Cafco 300",J443&gt;=95,J443&lt;=240,C443="Cj",I443=120),VLOOKUP(T443,'CAFCO 300 IDIEM TABLAS'!$B$4:$D$23,3,FALSE),0)+IF(AND(L443="Cafco 300",J443&gt;=95,J443&lt;=400,G443=3,C443="IN",I443=90),VLOOKUP(T443,'CAFCO 300 IDIEM TABLAS'!$F$4:$H$35,2,FALSE),0)+IF(AND(L443="Cafco 300",J443&gt;=95,J443&lt;=400,G443=3,C443="IN",I443=120),VLOOKUP(T443,'CAFCO 300 IDIEM TABLAS'!$F$4:$H$35,3,FALSE),0)+IF(AND(L443="Cafco 300",J443&gt;=95,J443&lt;=450,G443=4,C443="IN",I443=90),VLOOKUP(T443,'CAFCO 300 IDIEM TABLAS'!$J$4:$L$40,2,FALSE),0)+IF(AND(L443="Cafco 300",J443&gt;=95,J443&lt;=450,G443=4,C443="IN",I443=120),VLOOKUP(T443,'CAFCO 300 IDIEM TABLAS'!$J$4:$L$40,3,FALSE),0)+IF(AND(M443="Ensayo Idiem",L443="Cafco 400",C443="IN",G443=4,I443=90),VLOOKUP(T443,'CAFCO 400 ENSAYO'!$B$7:$D$43,2,FALSE),0)+IF(AND(M443="Ensayo Idiem",L443="Cafco 400",C443="IN",G443=4,I443=120),VLOOKUP(T443,'CAFCO 400 ENSAYO'!$B$7:$D$43,3,FALSE),0)</f>
        <v>0</v>
      </c>
      <c r="O443" s="96">
        <f t="shared" si="48"/>
        <v>0</v>
      </c>
      <c r="P443" s="132" t="str">
        <f t="shared" si="49"/>
        <v>N/A</v>
      </c>
      <c r="Q443" s="132" t="str">
        <f t="shared" si="50"/>
        <v>N/A</v>
      </c>
      <c r="R443" s="132" t="str">
        <f t="shared" si="51"/>
        <v>NO CERT.</v>
      </c>
      <c r="S443" s="132" t="e">
        <f t="shared" si="52"/>
        <v>#N/A</v>
      </c>
      <c r="T443" s="133" t="e">
        <f>+IF(J443=LOOKUP(J443,'CAFCO 300 IDIEM TABLAS'!$J$4:$J$40),'CALCULO MORTERO'!J443,MROUND('CALCULO MORTERO'!J443,10))</f>
        <v>#N/A</v>
      </c>
      <c r="U443" s="134">
        <f t="shared" si="53"/>
        <v>0</v>
      </c>
      <c r="Y443" s="4"/>
      <c r="Z443" s="4"/>
      <c r="AA443" s="4"/>
    </row>
    <row r="444" spans="1:27" x14ac:dyDescent="0.25">
      <c r="A444" s="118">
        <f>+CUBICACION!D438</f>
        <v>0</v>
      </c>
      <c r="B444" s="819">
        <f>+CUBICACION!E438</f>
        <v>0</v>
      </c>
      <c r="C444" s="675">
        <f>+CUBICACION!F438</f>
        <v>0</v>
      </c>
      <c r="D444" s="118"/>
      <c r="E444" s="118"/>
      <c r="F444" s="820"/>
      <c r="G444" s="675">
        <f>+CUBICACION!J438</f>
        <v>0</v>
      </c>
      <c r="H444" s="118"/>
      <c r="I444" s="821">
        <f>+CUBICACION!L438</f>
        <v>0</v>
      </c>
      <c r="J444" s="64">
        <f>+CUBICACION!M438</f>
        <v>0</v>
      </c>
      <c r="K444" s="822" t="str">
        <f>+CUBICACION!N438</f>
        <v/>
      </c>
      <c r="L444" s="118">
        <f>+CUBICACION!O438</f>
        <v>0</v>
      </c>
      <c r="M444" s="823">
        <f>+CUBICACION!P438</f>
        <v>0</v>
      </c>
      <c r="N444" s="902">
        <f>ROUND(IF(AND(L444="Blaze Shield II",M444="Software Idiem",C444="IN",G444=4),((('BLAZE SHIELD II'!$D$4*('CALCULO MORTERO'!I444^2)+'BLAZE SHIELD II'!$D$5*'CALCULO MORTERO'!I444+'BLAZE SHIELD II'!$D$6)*LN(J444))+('BLAZE SHIELD II'!$D$7*('CALCULO MORTERO'!I444^2)+'BLAZE SHIELD II'!$D$8*'CALCULO MORTERO'!I444+'BLAZE SHIELD II'!$D$9)),0)+IF(AND(L444="Blaze Shield II",M444="Software Idiem",C444="Cj"),((('BLAZE SHIELD II'!$H$4*('CALCULO MORTERO'!I444^2)+'BLAZE SHIELD II'!$H$5*'CALCULO MORTERO'!I444+'BLAZE SHIELD II'!$H$6)*LN(J444))+('BLAZE SHIELD II'!$H$7*('CALCULO MORTERO'!I444^2)+'BLAZE SHIELD II'!$H$8*'CALCULO MORTERO'!I444+'BLAZE SHIELD II'!$H$9)),0)+IF(AND(L444="Blaze Shield II",M444="Software Idiem",C444="C"),((('BLAZE SHIELD II'!$L$4*('CALCULO MORTERO'!I444^2)+'BLAZE SHIELD II'!$L$5*'CALCULO MORTERO'!I444+'BLAZE SHIELD II'!$L$6)*LN(J444))+('BLAZE SHIELD II'!$L$7*('CALCULO MORTERO'!I444^2)+'BLAZE SHIELD II'!$L$8*'CALCULO MORTERO'!I444+'BLAZE SHIELD II'!$L$9)),0)+IF(AND(L444="Blaze Shield II",M444="Software Idiem",C444="L"),((('BLAZE SHIELD II'!$L$4*('CALCULO MORTERO'!I444^2)+'BLAZE SHIELD II'!$L$5*'CALCULO MORTERO'!I444+'BLAZE SHIELD II'!$L$6)*LN(J444))+('BLAZE SHIELD II'!$L$7*('CALCULO MORTERO'!I444^2)+'BLAZE SHIELD II'!$L$8*'CALCULO MORTERO'!I444+'BLAZE SHIELD II'!$L$9)),0)+IF(AND(L444="Blaze Shield II",M444="Software Idiem",C444="IN",G444=3),((('BLAZE SHIELD II'!$H$14*('CALCULO MORTERO'!I444^2)+'BLAZE SHIELD II'!$H$15*'CALCULO MORTERO'!I444+'BLAZE SHIELD II'!$H$16)*LN(J444))+('BLAZE SHIELD II'!$H$17*('CALCULO MORTERO'!I444^2)+'BLAZE SHIELD II'!$H$18*'CALCULO MORTERO'!I444+'BLAZE SHIELD II'!$H$19)),0),0)+ROUND(IF(AND(L444="Cafco 400",M444="Software Idiem",C444="IN",G444=4),((('CAFCO 400 '!$H$7*(J444^4)+'CAFCO 400 '!$H$8*(J444^3)+'CAFCO 400 '!$H$9*(J444^2)+'CAFCO 400 '!$H$10*J444+'CAFCO 400 '!$H$11)*U444^2)+(('CAFCO 400 '!$H$12*(J444^3)+'CAFCO 400 '!$H$13*(J444^2)+'CAFCO 400 '!$H$14*J444+'CAFCO 400 '!$H$15)*U444)+('CAFCO 400 '!$H$16*(J444^2)+'CAFCO 400 '!$H$17*J444+'CAFCO 400 '!$H$18)),0)+IF(AND(L444="Cafco 400",M444="Software Idiem",C444="Cj"),(((('CAFCO 400 '!$D$7*LN(J444)+'CAFCO 400 '!$D$8)*U444^2)+(('CAFCO 400 '!$D$9*LN(J444)+'CAFCO 400 '!$D$10)*U444)+('CAFCO 400 '!$D$11*LN(J444)+'CAFCO 400 '!$D$12))),0)+IF(AND(L444="Cafco 400",M444="Software Idiem",C444="C"),((('CAFCO 400 '!$L$7*(J444^3)+'CAFCO 400 '!$L$8*(J444^2)+'CAFCO 400 '!$L$9*J444+'CAFCO 400 '!$L$10)*U444^2)+(('CAFCO 400 '!$L$11*(J444^3)+'CAFCO 400 '!$L$12*(J444^2)+'CAFCO 400 '!$L$13*J444+'CAFCO 400 '!$L$14)*U444)+('CAFCO 400 '!$L$15*LN(J444)+'CAFCO 400 '!$L$16)),0)+IF(AND(L444="Cafco 400",M444="Software Idiem",C444="L"),((('CAFCO 400 '!$L$7*(J444^3)+'CAFCO 400 '!$L$8*(J444^2)+'CAFCO 400 '!$L$9*J444+'CAFCO 400 '!$L$10)*U444^2)+(('CAFCO 400 '!$L$11*(J444^3)+'CAFCO 400 '!$L$12*(J444^2)+'CAFCO 400 '!$L$13*J444+'CAFCO 400 '!$L$14)*U444)+('CAFCO 400 '!$L$15*LN(J444)+'CAFCO 400 '!$L$16)),0)+IF(AND(L444="Cafco 400",M444="Software Idiem",C444="IN",G444=3),((('CAFCO 400 '!$D$23*(J444^2)+'CAFCO 400 '!$D$24*(J444)+'CAFCO 400 '!$D$25)*U444^2)+(('CAFCO 400 '!$D$26*(J444^2)+'CAFCO 400 '!$D$27*J444+'CAFCO 400 '!$D$28)*U444)+('CAFCO 400 '!$D$29*(J444^2)+'CAFCO 400 '!$D$30*J444+'CAFCO 400 '!$D$31)),0),0)+IF(AND(L444="Cafco 300",J444&gt;=95,J444&lt;=240,C444="Cj",I444=90),VLOOKUP(T444,'CAFCO 300 IDIEM TABLAS'!$B$4:$D$23,2,FALSE),0)+IF(AND(L444="Cafco 300",J444&gt;=95,J444&lt;=240,C444="Cj",I444=120),VLOOKUP(T444,'CAFCO 300 IDIEM TABLAS'!$B$4:$D$23,3,FALSE),0)+IF(AND(L444="Cafco 300",J444&gt;=95,J444&lt;=400,G444=3,C444="IN",I444=90),VLOOKUP(T444,'CAFCO 300 IDIEM TABLAS'!$F$4:$H$35,2,FALSE),0)+IF(AND(L444="Cafco 300",J444&gt;=95,J444&lt;=400,G444=3,C444="IN",I444=120),VLOOKUP(T444,'CAFCO 300 IDIEM TABLAS'!$F$4:$H$35,3,FALSE),0)+IF(AND(L444="Cafco 300",J444&gt;=95,J444&lt;=450,G444=4,C444="IN",I444=90),VLOOKUP(T444,'CAFCO 300 IDIEM TABLAS'!$J$4:$L$40,2,FALSE),0)+IF(AND(L444="Cafco 300",J444&gt;=95,J444&lt;=450,G444=4,C444="IN",I444=120),VLOOKUP(T444,'CAFCO 300 IDIEM TABLAS'!$J$4:$L$40,3,FALSE),0)+IF(AND(M444="Ensayo Idiem",L444="Cafco 400",C444="IN",G444=4,I444=90),VLOOKUP(T444,'CAFCO 400 ENSAYO'!$B$7:$D$43,2,FALSE),0)+IF(AND(M444="Ensayo Idiem",L444="Cafco 400",C444="IN",G444=4,I444=120),VLOOKUP(T444,'CAFCO 400 ENSAYO'!$B$7:$D$43,3,FALSE),0)</f>
        <v>0</v>
      </c>
      <c r="O444" s="96">
        <f t="shared" si="48"/>
        <v>0</v>
      </c>
      <c r="P444" s="95" t="str">
        <f t="shared" si="49"/>
        <v>N/A</v>
      </c>
      <c r="Q444" s="95" t="str">
        <f t="shared" si="50"/>
        <v>N/A</v>
      </c>
      <c r="R444" s="95" t="str">
        <f t="shared" si="51"/>
        <v>NO CERT.</v>
      </c>
      <c r="S444" s="95" t="e">
        <f t="shared" si="52"/>
        <v>#N/A</v>
      </c>
      <c r="T444" s="119" t="e">
        <f>+IF(J444=LOOKUP(J444,'CAFCO 300 IDIEM TABLAS'!$J$4:$J$40),'CALCULO MORTERO'!J444,MROUND('CALCULO MORTERO'!J444,10))</f>
        <v>#N/A</v>
      </c>
      <c r="U444" s="118">
        <f t="shared" si="53"/>
        <v>0</v>
      </c>
      <c r="Y444" s="4"/>
      <c r="Z444" s="4"/>
      <c r="AA444" s="4"/>
    </row>
    <row r="445" spans="1:27" x14ac:dyDescent="0.25">
      <c r="A445" s="118">
        <f>+CUBICACION!D439</f>
        <v>0</v>
      </c>
      <c r="B445" s="819">
        <f>+CUBICACION!E439</f>
        <v>0</v>
      </c>
      <c r="C445" s="675">
        <f>+CUBICACION!F439</f>
        <v>0</v>
      </c>
      <c r="D445" s="118"/>
      <c r="E445" s="118"/>
      <c r="F445" s="820"/>
      <c r="G445" s="675">
        <f>+CUBICACION!J439</f>
        <v>0</v>
      </c>
      <c r="H445" s="118"/>
      <c r="I445" s="821">
        <f>+CUBICACION!L439</f>
        <v>0</v>
      </c>
      <c r="J445" s="64">
        <f>+CUBICACION!M439</f>
        <v>0</v>
      </c>
      <c r="K445" s="822" t="str">
        <f>+CUBICACION!N439</f>
        <v/>
      </c>
      <c r="L445" s="118">
        <f>+CUBICACION!O439</f>
        <v>0</v>
      </c>
      <c r="M445" s="823">
        <f>+CUBICACION!P439</f>
        <v>0</v>
      </c>
      <c r="N445" s="902">
        <f>ROUND(IF(AND(L445="Blaze Shield II",M445="Software Idiem",C445="IN",G445=4),((('BLAZE SHIELD II'!$D$4*('CALCULO MORTERO'!I445^2)+'BLAZE SHIELD II'!$D$5*'CALCULO MORTERO'!I445+'BLAZE SHIELD II'!$D$6)*LN(J445))+('BLAZE SHIELD II'!$D$7*('CALCULO MORTERO'!I445^2)+'BLAZE SHIELD II'!$D$8*'CALCULO MORTERO'!I445+'BLAZE SHIELD II'!$D$9)),0)+IF(AND(L445="Blaze Shield II",M445="Software Idiem",C445="Cj"),((('BLAZE SHIELD II'!$H$4*('CALCULO MORTERO'!I445^2)+'BLAZE SHIELD II'!$H$5*'CALCULO MORTERO'!I445+'BLAZE SHIELD II'!$H$6)*LN(J445))+('BLAZE SHIELD II'!$H$7*('CALCULO MORTERO'!I445^2)+'BLAZE SHIELD II'!$H$8*'CALCULO MORTERO'!I445+'BLAZE SHIELD II'!$H$9)),0)+IF(AND(L445="Blaze Shield II",M445="Software Idiem",C445="C"),((('BLAZE SHIELD II'!$L$4*('CALCULO MORTERO'!I445^2)+'BLAZE SHIELD II'!$L$5*'CALCULO MORTERO'!I445+'BLAZE SHIELD II'!$L$6)*LN(J445))+('BLAZE SHIELD II'!$L$7*('CALCULO MORTERO'!I445^2)+'BLAZE SHIELD II'!$L$8*'CALCULO MORTERO'!I445+'BLAZE SHIELD II'!$L$9)),0)+IF(AND(L445="Blaze Shield II",M445="Software Idiem",C445="L"),((('BLAZE SHIELD II'!$L$4*('CALCULO MORTERO'!I445^2)+'BLAZE SHIELD II'!$L$5*'CALCULO MORTERO'!I445+'BLAZE SHIELD II'!$L$6)*LN(J445))+('BLAZE SHIELD II'!$L$7*('CALCULO MORTERO'!I445^2)+'BLAZE SHIELD II'!$L$8*'CALCULO MORTERO'!I445+'BLAZE SHIELD II'!$L$9)),0)+IF(AND(L445="Blaze Shield II",M445="Software Idiem",C445="IN",G445=3),((('BLAZE SHIELD II'!$H$14*('CALCULO MORTERO'!I445^2)+'BLAZE SHIELD II'!$H$15*'CALCULO MORTERO'!I445+'BLAZE SHIELD II'!$H$16)*LN(J445))+('BLAZE SHIELD II'!$H$17*('CALCULO MORTERO'!I445^2)+'BLAZE SHIELD II'!$H$18*'CALCULO MORTERO'!I445+'BLAZE SHIELD II'!$H$19)),0),0)+ROUND(IF(AND(L445="Cafco 400",M445="Software Idiem",C445="IN",G445=4),((('CAFCO 400 '!$H$7*(J445^4)+'CAFCO 400 '!$H$8*(J445^3)+'CAFCO 400 '!$H$9*(J445^2)+'CAFCO 400 '!$H$10*J445+'CAFCO 400 '!$H$11)*U445^2)+(('CAFCO 400 '!$H$12*(J445^3)+'CAFCO 400 '!$H$13*(J445^2)+'CAFCO 400 '!$H$14*J445+'CAFCO 400 '!$H$15)*U445)+('CAFCO 400 '!$H$16*(J445^2)+'CAFCO 400 '!$H$17*J445+'CAFCO 400 '!$H$18)),0)+IF(AND(L445="Cafco 400",M445="Software Idiem",C445="Cj"),(((('CAFCO 400 '!$D$7*LN(J445)+'CAFCO 400 '!$D$8)*U445^2)+(('CAFCO 400 '!$D$9*LN(J445)+'CAFCO 400 '!$D$10)*U445)+('CAFCO 400 '!$D$11*LN(J445)+'CAFCO 400 '!$D$12))),0)+IF(AND(L445="Cafco 400",M445="Software Idiem",C445="C"),((('CAFCO 400 '!$L$7*(J445^3)+'CAFCO 400 '!$L$8*(J445^2)+'CAFCO 400 '!$L$9*J445+'CAFCO 400 '!$L$10)*U445^2)+(('CAFCO 400 '!$L$11*(J445^3)+'CAFCO 400 '!$L$12*(J445^2)+'CAFCO 400 '!$L$13*J445+'CAFCO 400 '!$L$14)*U445)+('CAFCO 400 '!$L$15*LN(J445)+'CAFCO 400 '!$L$16)),0)+IF(AND(L445="Cafco 400",M445="Software Idiem",C445="L"),((('CAFCO 400 '!$L$7*(J445^3)+'CAFCO 400 '!$L$8*(J445^2)+'CAFCO 400 '!$L$9*J445+'CAFCO 400 '!$L$10)*U445^2)+(('CAFCO 400 '!$L$11*(J445^3)+'CAFCO 400 '!$L$12*(J445^2)+'CAFCO 400 '!$L$13*J445+'CAFCO 400 '!$L$14)*U445)+('CAFCO 400 '!$L$15*LN(J445)+'CAFCO 400 '!$L$16)),0)+IF(AND(L445="Cafco 400",M445="Software Idiem",C445="IN",G445=3),((('CAFCO 400 '!$D$23*(J445^2)+'CAFCO 400 '!$D$24*(J445)+'CAFCO 400 '!$D$25)*U445^2)+(('CAFCO 400 '!$D$26*(J445^2)+'CAFCO 400 '!$D$27*J445+'CAFCO 400 '!$D$28)*U445)+('CAFCO 400 '!$D$29*(J445^2)+'CAFCO 400 '!$D$30*J445+'CAFCO 400 '!$D$31)),0),0)+IF(AND(L445="Cafco 300",J445&gt;=95,J445&lt;=240,C445="Cj",I445=90),VLOOKUP(T445,'CAFCO 300 IDIEM TABLAS'!$B$4:$D$23,2,FALSE),0)+IF(AND(L445="Cafco 300",J445&gt;=95,J445&lt;=240,C445="Cj",I445=120),VLOOKUP(T445,'CAFCO 300 IDIEM TABLAS'!$B$4:$D$23,3,FALSE),0)+IF(AND(L445="Cafco 300",J445&gt;=95,J445&lt;=400,G445=3,C445="IN",I445=90),VLOOKUP(T445,'CAFCO 300 IDIEM TABLAS'!$F$4:$H$35,2,FALSE),0)+IF(AND(L445="Cafco 300",J445&gt;=95,J445&lt;=400,G445=3,C445="IN",I445=120),VLOOKUP(T445,'CAFCO 300 IDIEM TABLAS'!$F$4:$H$35,3,FALSE),0)+IF(AND(L445="Cafco 300",J445&gt;=95,J445&lt;=450,G445=4,C445="IN",I445=90),VLOOKUP(T445,'CAFCO 300 IDIEM TABLAS'!$J$4:$L$40,2,FALSE),0)+IF(AND(L445="Cafco 300",J445&gt;=95,J445&lt;=450,G445=4,C445="IN",I445=120),VLOOKUP(T445,'CAFCO 300 IDIEM TABLAS'!$J$4:$L$40,3,FALSE),0)+IF(AND(M445="Ensayo Idiem",L445="Cafco 400",C445="IN",G445=4,I445=90),VLOOKUP(T445,'CAFCO 400 ENSAYO'!$B$7:$D$43,2,FALSE),0)+IF(AND(M445="Ensayo Idiem",L445="Cafco 400",C445="IN",G445=4,I445=120),VLOOKUP(T445,'CAFCO 400 ENSAYO'!$B$7:$D$43,3,FALSE),0)</f>
        <v>0</v>
      </c>
      <c r="O445" s="96">
        <f t="shared" si="48"/>
        <v>0</v>
      </c>
      <c r="P445" s="132" t="str">
        <f t="shared" si="49"/>
        <v>N/A</v>
      </c>
      <c r="Q445" s="132" t="str">
        <f t="shared" si="50"/>
        <v>N/A</v>
      </c>
      <c r="R445" s="132" t="str">
        <f t="shared" si="51"/>
        <v>NO CERT.</v>
      </c>
      <c r="S445" s="132" t="e">
        <f t="shared" si="52"/>
        <v>#N/A</v>
      </c>
      <c r="T445" s="133" t="e">
        <f>+IF(J445=LOOKUP(J445,'CAFCO 300 IDIEM TABLAS'!$J$4:$J$40),'CALCULO MORTERO'!J445,MROUND('CALCULO MORTERO'!J445,10))</f>
        <v>#N/A</v>
      </c>
      <c r="U445" s="134">
        <f t="shared" si="53"/>
        <v>0</v>
      </c>
      <c r="Y445" s="4"/>
      <c r="Z445" s="4"/>
      <c r="AA445" s="4"/>
    </row>
    <row r="446" spans="1:27" x14ac:dyDescent="0.25">
      <c r="A446" s="118">
        <f>+CUBICACION!D440</f>
        <v>0</v>
      </c>
      <c r="B446" s="819">
        <f>+CUBICACION!E440</f>
        <v>0</v>
      </c>
      <c r="C446" s="675">
        <f>+CUBICACION!F440</f>
        <v>0</v>
      </c>
      <c r="D446" s="118"/>
      <c r="E446" s="118"/>
      <c r="F446" s="820"/>
      <c r="G446" s="675">
        <f>+CUBICACION!J440</f>
        <v>0</v>
      </c>
      <c r="H446" s="118"/>
      <c r="I446" s="821">
        <f>+CUBICACION!L440</f>
        <v>0</v>
      </c>
      <c r="J446" s="64">
        <f>+CUBICACION!M440</f>
        <v>0</v>
      </c>
      <c r="K446" s="822" t="str">
        <f>+CUBICACION!N440</f>
        <v/>
      </c>
      <c r="L446" s="118">
        <f>+CUBICACION!O440</f>
        <v>0</v>
      </c>
      <c r="M446" s="823">
        <f>+CUBICACION!P440</f>
        <v>0</v>
      </c>
      <c r="N446" s="902">
        <f>ROUND(IF(AND(L446="Blaze Shield II",M446="Software Idiem",C446="IN",G446=4),((('BLAZE SHIELD II'!$D$4*('CALCULO MORTERO'!I446^2)+'BLAZE SHIELD II'!$D$5*'CALCULO MORTERO'!I446+'BLAZE SHIELD II'!$D$6)*LN(J446))+('BLAZE SHIELD II'!$D$7*('CALCULO MORTERO'!I446^2)+'BLAZE SHIELD II'!$D$8*'CALCULO MORTERO'!I446+'BLAZE SHIELD II'!$D$9)),0)+IF(AND(L446="Blaze Shield II",M446="Software Idiem",C446="Cj"),((('BLAZE SHIELD II'!$H$4*('CALCULO MORTERO'!I446^2)+'BLAZE SHIELD II'!$H$5*'CALCULO MORTERO'!I446+'BLAZE SHIELD II'!$H$6)*LN(J446))+('BLAZE SHIELD II'!$H$7*('CALCULO MORTERO'!I446^2)+'BLAZE SHIELD II'!$H$8*'CALCULO MORTERO'!I446+'BLAZE SHIELD II'!$H$9)),0)+IF(AND(L446="Blaze Shield II",M446="Software Idiem",C446="C"),((('BLAZE SHIELD II'!$L$4*('CALCULO MORTERO'!I446^2)+'BLAZE SHIELD II'!$L$5*'CALCULO MORTERO'!I446+'BLAZE SHIELD II'!$L$6)*LN(J446))+('BLAZE SHIELD II'!$L$7*('CALCULO MORTERO'!I446^2)+'BLAZE SHIELD II'!$L$8*'CALCULO MORTERO'!I446+'BLAZE SHIELD II'!$L$9)),0)+IF(AND(L446="Blaze Shield II",M446="Software Idiem",C446="L"),((('BLAZE SHIELD II'!$L$4*('CALCULO MORTERO'!I446^2)+'BLAZE SHIELD II'!$L$5*'CALCULO MORTERO'!I446+'BLAZE SHIELD II'!$L$6)*LN(J446))+('BLAZE SHIELD II'!$L$7*('CALCULO MORTERO'!I446^2)+'BLAZE SHIELD II'!$L$8*'CALCULO MORTERO'!I446+'BLAZE SHIELD II'!$L$9)),0)+IF(AND(L446="Blaze Shield II",M446="Software Idiem",C446="IN",G446=3),((('BLAZE SHIELD II'!$H$14*('CALCULO MORTERO'!I446^2)+'BLAZE SHIELD II'!$H$15*'CALCULO MORTERO'!I446+'BLAZE SHIELD II'!$H$16)*LN(J446))+('BLAZE SHIELD II'!$H$17*('CALCULO MORTERO'!I446^2)+'BLAZE SHIELD II'!$H$18*'CALCULO MORTERO'!I446+'BLAZE SHIELD II'!$H$19)),0),0)+ROUND(IF(AND(L446="Cafco 400",M446="Software Idiem",C446="IN",G446=4),((('CAFCO 400 '!$H$7*(J446^4)+'CAFCO 400 '!$H$8*(J446^3)+'CAFCO 400 '!$H$9*(J446^2)+'CAFCO 400 '!$H$10*J446+'CAFCO 400 '!$H$11)*U446^2)+(('CAFCO 400 '!$H$12*(J446^3)+'CAFCO 400 '!$H$13*(J446^2)+'CAFCO 400 '!$H$14*J446+'CAFCO 400 '!$H$15)*U446)+('CAFCO 400 '!$H$16*(J446^2)+'CAFCO 400 '!$H$17*J446+'CAFCO 400 '!$H$18)),0)+IF(AND(L446="Cafco 400",M446="Software Idiem",C446="Cj"),(((('CAFCO 400 '!$D$7*LN(J446)+'CAFCO 400 '!$D$8)*U446^2)+(('CAFCO 400 '!$D$9*LN(J446)+'CAFCO 400 '!$D$10)*U446)+('CAFCO 400 '!$D$11*LN(J446)+'CAFCO 400 '!$D$12))),0)+IF(AND(L446="Cafco 400",M446="Software Idiem",C446="C"),((('CAFCO 400 '!$L$7*(J446^3)+'CAFCO 400 '!$L$8*(J446^2)+'CAFCO 400 '!$L$9*J446+'CAFCO 400 '!$L$10)*U446^2)+(('CAFCO 400 '!$L$11*(J446^3)+'CAFCO 400 '!$L$12*(J446^2)+'CAFCO 400 '!$L$13*J446+'CAFCO 400 '!$L$14)*U446)+('CAFCO 400 '!$L$15*LN(J446)+'CAFCO 400 '!$L$16)),0)+IF(AND(L446="Cafco 400",M446="Software Idiem",C446="L"),((('CAFCO 400 '!$L$7*(J446^3)+'CAFCO 400 '!$L$8*(J446^2)+'CAFCO 400 '!$L$9*J446+'CAFCO 400 '!$L$10)*U446^2)+(('CAFCO 400 '!$L$11*(J446^3)+'CAFCO 400 '!$L$12*(J446^2)+'CAFCO 400 '!$L$13*J446+'CAFCO 400 '!$L$14)*U446)+('CAFCO 400 '!$L$15*LN(J446)+'CAFCO 400 '!$L$16)),0)+IF(AND(L446="Cafco 400",M446="Software Idiem",C446="IN",G446=3),((('CAFCO 400 '!$D$23*(J446^2)+'CAFCO 400 '!$D$24*(J446)+'CAFCO 400 '!$D$25)*U446^2)+(('CAFCO 400 '!$D$26*(J446^2)+'CAFCO 400 '!$D$27*J446+'CAFCO 400 '!$D$28)*U446)+('CAFCO 400 '!$D$29*(J446^2)+'CAFCO 400 '!$D$30*J446+'CAFCO 400 '!$D$31)),0),0)+IF(AND(L446="Cafco 300",J446&gt;=95,J446&lt;=240,C446="Cj",I446=90),VLOOKUP(T446,'CAFCO 300 IDIEM TABLAS'!$B$4:$D$23,2,FALSE),0)+IF(AND(L446="Cafco 300",J446&gt;=95,J446&lt;=240,C446="Cj",I446=120),VLOOKUP(T446,'CAFCO 300 IDIEM TABLAS'!$B$4:$D$23,3,FALSE),0)+IF(AND(L446="Cafco 300",J446&gt;=95,J446&lt;=400,G446=3,C446="IN",I446=90),VLOOKUP(T446,'CAFCO 300 IDIEM TABLAS'!$F$4:$H$35,2,FALSE),0)+IF(AND(L446="Cafco 300",J446&gt;=95,J446&lt;=400,G446=3,C446="IN",I446=120),VLOOKUP(T446,'CAFCO 300 IDIEM TABLAS'!$F$4:$H$35,3,FALSE),0)+IF(AND(L446="Cafco 300",J446&gt;=95,J446&lt;=450,G446=4,C446="IN",I446=90),VLOOKUP(T446,'CAFCO 300 IDIEM TABLAS'!$J$4:$L$40,2,FALSE),0)+IF(AND(L446="Cafco 300",J446&gt;=95,J446&lt;=450,G446=4,C446="IN",I446=120),VLOOKUP(T446,'CAFCO 300 IDIEM TABLAS'!$J$4:$L$40,3,FALSE),0)+IF(AND(M446="Ensayo Idiem",L446="Cafco 400",C446="IN",G446=4,I446=90),VLOOKUP(T446,'CAFCO 400 ENSAYO'!$B$7:$D$43,2,FALSE),0)+IF(AND(M446="Ensayo Idiem",L446="Cafco 400",C446="IN",G446=4,I446=120),VLOOKUP(T446,'CAFCO 400 ENSAYO'!$B$7:$D$43,3,FALSE),0)</f>
        <v>0</v>
      </c>
      <c r="O446" s="96">
        <f t="shared" si="48"/>
        <v>0</v>
      </c>
      <c r="P446" s="95" t="str">
        <f t="shared" si="49"/>
        <v>N/A</v>
      </c>
      <c r="Q446" s="95" t="str">
        <f t="shared" si="50"/>
        <v>N/A</v>
      </c>
      <c r="R446" s="95" t="str">
        <f t="shared" si="51"/>
        <v>NO CERT.</v>
      </c>
      <c r="S446" s="95" t="e">
        <f t="shared" si="52"/>
        <v>#N/A</v>
      </c>
      <c r="T446" s="119" t="e">
        <f>+IF(J446=LOOKUP(J446,'CAFCO 300 IDIEM TABLAS'!$J$4:$J$40),'CALCULO MORTERO'!J446,MROUND('CALCULO MORTERO'!J446,10))</f>
        <v>#N/A</v>
      </c>
      <c r="U446" s="118">
        <f t="shared" si="53"/>
        <v>0</v>
      </c>
      <c r="Y446" s="4"/>
      <c r="Z446" s="4"/>
      <c r="AA446" s="4"/>
    </row>
    <row r="447" spans="1:27" x14ac:dyDescent="0.25">
      <c r="A447" s="118">
        <f>+CUBICACION!D441</f>
        <v>0</v>
      </c>
      <c r="B447" s="819">
        <f>+CUBICACION!E441</f>
        <v>0</v>
      </c>
      <c r="C447" s="675">
        <f>+CUBICACION!F441</f>
        <v>0</v>
      </c>
      <c r="D447" s="118"/>
      <c r="E447" s="118"/>
      <c r="F447" s="820"/>
      <c r="G447" s="675">
        <f>+CUBICACION!J441</f>
        <v>0</v>
      </c>
      <c r="H447" s="118"/>
      <c r="I447" s="821">
        <f>+CUBICACION!L441</f>
        <v>0</v>
      </c>
      <c r="J447" s="64">
        <f>+CUBICACION!M441</f>
        <v>0</v>
      </c>
      <c r="K447" s="822" t="str">
        <f>+CUBICACION!N441</f>
        <v/>
      </c>
      <c r="L447" s="118">
        <f>+CUBICACION!O441</f>
        <v>0</v>
      </c>
      <c r="M447" s="823">
        <f>+CUBICACION!P441</f>
        <v>0</v>
      </c>
      <c r="N447" s="902">
        <f>ROUND(IF(AND(L447="Blaze Shield II",M447="Software Idiem",C447="IN",G447=4),((('BLAZE SHIELD II'!$D$4*('CALCULO MORTERO'!I447^2)+'BLAZE SHIELD II'!$D$5*'CALCULO MORTERO'!I447+'BLAZE SHIELD II'!$D$6)*LN(J447))+('BLAZE SHIELD II'!$D$7*('CALCULO MORTERO'!I447^2)+'BLAZE SHIELD II'!$D$8*'CALCULO MORTERO'!I447+'BLAZE SHIELD II'!$D$9)),0)+IF(AND(L447="Blaze Shield II",M447="Software Idiem",C447="Cj"),((('BLAZE SHIELD II'!$H$4*('CALCULO MORTERO'!I447^2)+'BLAZE SHIELD II'!$H$5*'CALCULO MORTERO'!I447+'BLAZE SHIELD II'!$H$6)*LN(J447))+('BLAZE SHIELD II'!$H$7*('CALCULO MORTERO'!I447^2)+'BLAZE SHIELD II'!$H$8*'CALCULO MORTERO'!I447+'BLAZE SHIELD II'!$H$9)),0)+IF(AND(L447="Blaze Shield II",M447="Software Idiem",C447="C"),((('BLAZE SHIELD II'!$L$4*('CALCULO MORTERO'!I447^2)+'BLAZE SHIELD II'!$L$5*'CALCULO MORTERO'!I447+'BLAZE SHIELD II'!$L$6)*LN(J447))+('BLAZE SHIELD II'!$L$7*('CALCULO MORTERO'!I447^2)+'BLAZE SHIELD II'!$L$8*'CALCULO MORTERO'!I447+'BLAZE SHIELD II'!$L$9)),0)+IF(AND(L447="Blaze Shield II",M447="Software Idiem",C447="L"),((('BLAZE SHIELD II'!$L$4*('CALCULO MORTERO'!I447^2)+'BLAZE SHIELD II'!$L$5*'CALCULO MORTERO'!I447+'BLAZE SHIELD II'!$L$6)*LN(J447))+('BLAZE SHIELD II'!$L$7*('CALCULO MORTERO'!I447^2)+'BLAZE SHIELD II'!$L$8*'CALCULO MORTERO'!I447+'BLAZE SHIELD II'!$L$9)),0)+IF(AND(L447="Blaze Shield II",M447="Software Idiem",C447="IN",G447=3),((('BLAZE SHIELD II'!$H$14*('CALCULO MORTERO'!I447^2)+'BLAZE SHIELD II'!$H$15*'CALCULO MORTERO'!I447+'BLAZE SHIELD II'!$H$16)*LN(J447))+('BLAZE SHIELD II'!$H$17*('CALCULO MORTERO'!I447^2)+'BLAZE SHIELD II'!$H$18*'CALCULO MORTERO'!I447+'BLAZE SHIELD II'!$H$19)),0),0)+ROUND(IF(AND(L447="Cafco 400",M447="Software Idiem",C447="IN",G447=4),((('CAFCO 400 '!$H$7*(J447^4)+'CAFCO 400 '!$H$8*(J447^3)+'CAFCO 400 '!$H$9*(J447^2)+'CAFCO 400 '!$H$10*J447+'CAFCO 400 '!$H$11)*U447^2)+(('CAFCO 400 '!$H$12*(J447^3)+'CAFCO 400 '!$H$13*(J447^2)+'CAFCO 400 '!$H$14*J447+'CAFCO 400 '!$H$15)*U447)+('CAFCO 400 '!$H$16*(J447^2)+'CAFCO 400 '!$H$17*J447+'CAFCO 400 '!$H$18)),0)+IF(AND(L447="Cafco 400",M447="Software Idiem",C447="Cj"),(((('CAFCO 400 '!$D$7*LN(J447)+'CAFCO 400 '!$D$8)*U447^2)+(('CAFCO 400 '!$D$9*LN(J447)+'CAFCO 400 '!$D$10)*U447)+('CAFCO 400 '!$D$11*LN(J447)+'CAFCO 400 '!$D$12))),0)+IF(AND(L447="Cafco 400",M447="Software Idiem",C447="C"),((('CAFCO 400 '!$L$7*(J447^3)+'CAFCO 400 '!$L$8*(J447^2)+'CAFCO 400 '!$L$9*J447+'CAFCO 400 '!$L$10)*U447^2)+(('CAFCO 400 '!$L$11*(J447^3)+'CAFCO 400 '!$L$12*(J447^2)+'CAFCO 400 '!$L$13*J447+'CAFCO 400 '!$L$14)*U447)+('CAFCO 400 '!$L$15*LN(J447)+'CAFCO 400 '!$L$16)),0)+IF(AND(L447="Cafco 400",M447="Software Idiem",C447="L"),((('CAFCO 400 '!$L$7*(J447^3)+'CAFCO 400 '!$L$8*(J447^2)+'CAFCO 400 '!$L$9*J447+'CAFCO 400 '!$L$10)*U447^2)+(('CAFCO 400 '!$L$11*(J447^3)+'CAFCO 400 '!$L$12*(J447^2)+'CAFCO 400 '!$L$13*J447+'CAFCO 400 '!$L$14)*U447)+('CAFCO 400 '!$L$15*LN(J447)+'CAFCO 400 '!$L$16)),0)+IF(AND(L447="Cafco 400",M447="Software Idiem",C447="IN",G447=3),((('CAFCO 400 '!$D$23*(J447^2)+'CAFCO 400 '!$D$24*(J447)+'CAFCO 400 '!$D$25)*U447^2)+(('CAFCO 400 '!$D$26*(J447^2)+'CAFCO 400 '!$D$27*J447+'CAFCO 400 '!$D$28)*U447)+('CAFCO 400 '!$D$29*(J447^2)+'CAFCO 400 '!$D$30*J447+'CAFCO 400 '!$D$31)),0),0)+IF(AND(L447="Cafco 300",J447&gt;=95,J447&lt;=240,C447="Cj",I447=90),VLOOKUP(T447,'CAFCO 300 IDIEM TABLAS'!$B$4:$D$23,2,FALSE),0)+IF(AND(L447="Cafco 300",J447&gt;=95,J447&lt;=240,C447="Cj",I447=120),VLOOKUP(T447,'CAFCO 300 IDIEM TABLAS'!$B$4:$D$23,3,FALSE),0)+IF(AND(L447="Cafco 300",J447&gt;=95,J447&lt;=400,G447=3,C447="IN",I447=90),VLOOKUP(T447,'CAFCO 300 IDIEM TABLAS'!$F$4:$H$35,2,FALSE),0)+IF(AND(L447="Cafco 300",J447&gt;=95,J447&lt;=400,G447=3,C447="IN",I447=120),VLOOKUP(T447,'CAFCO 300 IDIEM TABLAS'!$F$4:$H$35,3,FALSE),0)+IF(AND(L447="Cafco 300",J447&gt;=95,J447&lt;=450,G447=4,C447="IN",I447=90),VLOOKUP(T447,'CAFCO 300 IDIEM TABLAS'!$J$4:$L$40,2,FALSE),0)+IF(AND(L447="Cafco 300",J447&gt;=95,J447&lt;=450,G447=4,C447="IN",I447=120),VLOOKUP(T447,'CAFCO 300 IDIEM TABLAS'!$J$4:$L$40,3,FALSE),0)+IF(AND(M447="Ensayo Idiem",L447="Cafco 400",C447="IN",G447=4,I447=90),VLOOKUP(T447,'CAFCO 400 ENSAYO'!$B$7:$D$43,2,FALSE),0)+IF(AND(M447="Ensayo Idiem",L447="Cafco 400",C447="IN",G447=4,I447=120),VLOOKUP(T447,'CAFCO 400 ENSAYO'!$B$7:$D$43,3,FALSE),0)</f>
        <v>0</v>
      </c>
      <c r="O447" s="96">
        <f t="shared" si="48"/>
        <v>0</v>
      </c>
      <c r="P447" s="132" t="str">
        <f t="shared" si="49"/>
        <v>N/A</v>
      </c>
      <c r="Q447" s="132" t="str">
        <f t="shared" si="50"/>
        <v>N/A</v>
      </c>
      <c r="R447" s="132" t="str">
        <f t="shared" si="51"/>
        <v>NO CERT.</v>
      </c>
      <c r="S447" s="132" t="e">
        <f t="shared" si="52"/>
        <v>#N/A</v>
      </c>
      <c r="T447" s="133" t="e">
        <f>+IF(J447=LOOKUP(J447,'CAFCO 300 IDIEM TABLAS'!$J$4:$J$40),'CALCULO MORTERO'!J447,MROUND('CALCULO MORTERO'!J447,10))</f>
        <v>#N/A</v>
      </c>
      <c r="U447" s="134">
        <f t="shared" si="53"/>
        <v>0</v>
      </c>
      <c r="Y447" s="4"/>
      <c r="Z447" s="4"/>
      <c r="AA447" s="4"/>
    </row>
    <row r="448" spans="1:27" x14ac:dyDescent="0.25">
      <c r="A448" s="118">
        <f>+CUBICACION!D442</f>
        <v>0</v>
      </c>
      <c r="B448" s="819">
        <f>+CUBICACION!E442</f>
        <v>0</v>
      </c>
      <c r="C448" s="675">
        <f>+CUBICACION!F442</f>
        <v>0</v>
      </c>
      <c r="D448" s="118"/>
      <c r="E448" s="118"/>
      <c r="F448" s="820"/>
      <c r="G448" s="675">
        <f>+CUBICACION!J442</f>
        <v>0</v>
      </c>
      <c r="H448" s="118"/>
      <c r="I448" s="821">
        <f>+CUBICACION!L442</f>
        <v>0</v>
      </c>
      <c r="J448" s="64">
        <f>+CUBICACION!M442</f>
        <v>0</v>
      </c>
      <c r="K448" s="822" t="str">
        <f>+CUBICACION!N442</f>
        <v/>
      </c>
      <c r="L448" s="118">
        <f>+CUBICACION!O442</f>
        <v>0</v>
      </c>
      <c r="M448" s="823">
        <f>+CUBICACION!P442</f>
        <v>0</v>
      </c>
      <c r="N448" s="902">
        <f>ROUND(IF(AND(L448="Blaze Shield II",M448="Software Idiem",C448="IN",G448=4),((('BLAZE SHIELD II'!$D$4*('CALCULO MORTERO'!I448^2)+'BLAZE SHIELD II'!$D$5*'CALCULO MORTERO'!I448+'BLAZE SHIELD II'!$D$6)*LN(J448))+('BLAZE SHIELD II'!$D$7*('CALCULO MORTERO'!I448^2)+'BLAZE SHIELD II'!$D$8*'CALCULO MORTERO'!I448+'BLAZE SHIELD II'!$D$9)),0)+IF(AND(L448="Blaze Shield II",M448="Software Idiem",C448="Cj"),((('BLAZE SHIELD II'!$H$4*('CALCULO MORTERO'!I448^2)+'BLAZE SHIELD II'!$H$5*'CALCULO MORTERO'!I448+'BLAZE SHIELD II'!$H$6)*LN(J448))+('BLAZE SHIELD II'!$H$7*('CALCULO MORTERO'!I448^2)+'BLAZE SHIELD II'!$H$8*'CALCULO MORTERO'!I448+'BLAZE SHIELD II'!$H$9)),0)+IF(AND(L448="Blaze Shield II",M448="Software Idiem",C448="C"),((('BLAZE SHIELD II'!$L$4*('CALCULO MORTERO'!I448^2)+'BLAZE SHIELD II'!$L$5*'CALCULO MORTERO'!I448+'BLAZE SHIELD II'!$L$6)*LN(J448))+('BLAZE SHIELD II'!$L$7*('CALCULO MORTERO'!I448^2)+'BLAZE SHIELD II'!$L$8*'CALCULO MORTERO'!I448+'BLAZE SHIELD II'!$L$9)),0)+IF(AND(L448="Blaze Shield II",M448="Software Idiem",C448="L"),((('BLAZE SHIELD II'!$L$4*('CALCULO MORTERO'!I448^2)+'BLAZE SHIELD II'!$L$5*'CALCULO MORTERO'!I448+'BLAZE SHIELD II'!$L$6)*LN(J448))+('BLAZE SHIELD II'!$L$7*('CALCULO MORTERO'!I448^2)+'BLAZE SHIELD II'!$L$8*'CALCULO MORTERO'!I448+'BLAZE SHIELD II'!$L$9)),0)+IF(AND(L448="Blaze Shield II",M448="Software Idiem",C448="IN",G448=3),((('BLAZE SHIELD II'!$H$14*('CALCULO MORTERO'!I448^2)+'BLAZE SHIELD II'!$H$15*'CALCULO MORTERO'!I448+'BLAZE SHIELD II'!$H$16)*LN(J448))+('BLAZE SHIELD II'!$H$17*('CALCULO MORTERO'!I448^2)+'BLAZE SHIELD II'!$H$18*'CALCULO MORTERO'!I448+'BLAZE SHIELD II'!$H$19)),0),0)+ROUND(IF(AND(L448="Cafco 400",M448="Software Idiem",C448="IN",G448=4),((('CAFCO 400 '!$H$7*(J448^4)+'CAFCO 400 '!$H$8*(J448^3)+'CAFCO 400 '!$H$9*(J448^2)+'CAFCO 400 '!$H$10*J448+'CAFCO 400 '!$H$11)*U448^2)+(('CAFCO 400 '!$H$12*(J448^3)+'CAFCO 400 '!$H$13*(J448^2)+'CAFCO 400 '!$H$14*J448+'CAFCO 400 '!$H$15)*U448)+('CAFCO 400 '!$H$16*(J448^2)+'CAFCO 400 '!$H$17*J448+'CAFCO 400 '!$H$18)),0)+IF(AND(L448="Cafco 400",M448="Software Idiem",C448="Cj"),(((('CAFCO 400 '!$D$7*LN(J448)+'CAFCO 400 '!$D$8)*U448^2)+(('CAFCO 400 '!$D$9*LN(J448)+'CAFCO 400 '!$D$10)*U448)+('CAFCO 400 '!$D$11*LN(J448)+'CAFCO 400 '!$D$12))),0)+IF(AND(L448="Cafco 400",M448="Software Idiem",C448="C"),((('CAFCO 400 '!$L$7*(J448^3)+'CAFCO 400 '!$L$8*(J448^2)+'CAFCO 400 '!$L$9*J448+'CAFCO 400 '!$L$10)*U448^2)+(('CAFCO 400 '!$L$11*(J448^3)+'CAFCO 400 '!$L$12*(J448^2)+'CAFCO 400 '!$L$13*J448+'CAFCO 400 '!$L$14)*U448)+('CAFCO 400 '!$L$15*LN(J448)+'CAFCO 400 '!$L$16)),0)+IF(AND(L448="Cafco 400",M448="Software Idiem",C448="L"),((('CAFCO 400 '!$L$7*(J448^3)+'CAFCO 400 '!$L$8*(J448^2)+'CAFCO 400 '!$L$9*J448+'CAFCO 400 '!$L$10)*U448^2)+(('CAFCO 400 '!$L$11*(J448^3)+'CAFCO 400 '!$L$12*(J448^2)+'CAFCO 400 '!$L$13*J448+'CAFCO 400 '!$L$14)*U448)+('CAFCO 400 '!$L$15*LN(J448)+'CAFCO 400 '!$L$16)),0)+IF(AND(L448="Cafco 400",M448="Software Idiem",C448="IN",G448=3),((('CAFCO 400 '!$D$23*(J448^2)+'CAFCO 400 '!$D$24*(J448)+'CAFCO 400 '!$D$25)*U448^2)+(('CAFCO 400 '!$D$26*(J448^2)+'CAFCO 400 '!$D$27*J448+'CAFCO 400 '!$D$28)*U448)+('CAFCO 400 '!$D$29*(J448^2)+'CAFCO 400 '!$D$30*J448+'CAFCO 400 '!$D$31)),0),0)+IF(AND(L448="Cafco 300",J448&gt;=95,J448&lt;=240,C448="Cj",I448=90),VLOOKUP(T448,'CAFCO 300 IDIEM TABLAS'!$B$4:$D$23,2,FALSE),0)+IF(AND(L448="Cafco 300",J448&gt;=95,J448&lt;=240,C448="Cj",I448=120),VLOOKUP(T448,'CAFCO 300 IDIEM TABLAS'!$B$4:$D$23,3,FALSE),0)+IF(AND(L448="Cafco 300",J448&gt;=95,J448&lt;=400,G448=3,C448="IN",I448=90),VLOOKUP(T448,'CAFCO 300 IDIEM TABLAS'!$F$4:$H$35,2,FALSE),0)+IF(AND(L448="Cafco 300",J448&gt;=95,J448&lt;=400,G448=3,C448="IN",I448=120),VLOOKUP(T448,'CAFCO 300 IDIEM TABLAS'!$F$4:$H$35,3,FALSE),0)+IF(AND(L448="Cafco 300",J448&gt;=95,J448&lt;=450,G448=4,C448="IN",I448=90),VLOOKUP(T448,'CAFCO 300 IDIEM TABLAS'!$J$4:$L$40,2,FALSE),0)+IF(AND(L448="Cafco 300",J448&gt;=95,J448&lt;=450,G448=4,C448="IN",I448=120),VLOOKUP(T448,'CAFCO 300 IDIEM TABLAS'!$J$4:$L$40,3,FALSE),0)+IF(AND(M448="Ensayo Idiem",L448="Cafco 400",C448="IN",G448=4,I448=90),VLOOKUP(T448,'CAFCO 400 ENSAYO'!$B$7:$D$43,2,FALSE),0)+IF(AND(M448="Ensayo Idiem",L448="Cafco 400",C448="IN",G448=4,I448=120),VLOOKUP(T448,'CAFCO 400 ENSAYO'!$B$7:$D$43,3,FALSE),0)</f>
        <v>0</v>
      </c>
      <c r="O448" s="96">
        <f t="shared" si="48"/>
        <v>0</v>
      </c>
      <c r="P448" s="95" t="str">
        <f t="shared" si="49"/>
        <v>N/A</v>
      </c>
      <c r="Q448" s="95" t="str">
        <f t="shared" si="50"/>
        <v>N/A</v>
      </c>
      <c r="R448" s="95" t="str">
        <f t="shared" si="51"/>
        <v>NO CERT.</v>
      </c>
      <c r="S448" s="95" t="e">
        <f t="shared" si="52"/>
        <v>#N/A</v>
      </c>
      <c r="T448" s="119" t="e">
        <f>+IF(J448=LOOKUP(J448,'CAFCO 300 IDIEM TABLAS'!$J$4:$J$40),'CALCULO MORTERO'!J448,MROUND('CALCULO MORTERO'!J448,10))</f>
        <v>#N/A</v>
      </c>
      <c r="U448" s="118">
        <f t="shared" si="53"/>
        <v>0</v>
      </c>
      <c r="Y448" s="4"/>
      <c r="Z448" s="4"/>
      <c r="AA448" s="4"/>
    </row>
    <row r="449" spans="1:27" x14ac:dyDescent="0.25">
      <c r="A449" s="118">
        <f>+CUBICACION!D443</f>
        <v>0</v>
      </c>
      <c r="B449" s="819">
        <f>+CUBICACION!E443</f>
        <v>0</v>
      </c>
      <c r="C449" s="675">
        <f>+CUBICACION!F443</f>
        <v>0</v>
      </c>
      <c r="D449" s="118"/>
      <c r="E449" s="118"/>
      <c r="F449" s="820"/>
      <c r="G449" s="675">
        <f>+CUBICACION!J443</f>
        <v>0</v>
      </c>
      <c r="H449" s="118"/>
      <c r="I449" s="821">
        <f>+CUBICACION!L443</f>
        <v>0</v>
      </c>
      <c r="J449" s="64">
        <f>+CUBICACION!M443</f>
        <v>0</v>
      </c>
      <c r="K449" s="822" t="str">
        <f>+CUBICACION!N443</f>
        <v/>
      </c>
      <c r="L449" s="118">
        <f>+CUBICACION!O443</f>
        <v>0</v>
      </c>
      <c r="M449" s="823">
        <f>+CUBICACION!P443</f>
        <v>0</v>
      </c>
      <c r="N449" s="902">
        <f>ROUND(IF(AND(L449="Blaze Shield II",M449="Software Idiem",C449="IN",G449=4),((('BLAZE SHIELD II'!$D$4*('CALCULO MORTERO'!I449^2)+'BLAZE SHIELD II'!$D$5*'CALCULO MORTERO'!I449+'BLAZE SHIELD II'!$D$6)*LN(J449))+('BLAZE SHIELD II'!$D$7*('CALCULO MORTERO'!I449^2)+'BLAZE SHIELD II'!$D$8*'CALCULO MORTERO'!I449+'BLAZE SHIELD II'!$D$9)),0)+IF(AND(L449="Blaze Shield II",M449="Software Idiem",C449="Cj"),((('BLAZE SHIELD II'!$H$4*('CALCULO MORTERO'!I449^2)+'BLAZE SHIELD II'!$H$5*'CALCULO MORTERO'!I449+'BLAZE SHIELD II'!$H$6)*LN(J449))+('BLAZE SHIELD II'!$H$7*('CALCULO MORTERO'!I449^2)+'BLAZE SHIELD II'!$H$8*'CALCULO MORTERO'!I449+'BLAZE SHIELD II'!$H$9)),0)+IF(AND(L449="Blaze Shield II",M449="Software Idiem",C449="C"),((('BLAZE SHIELD II'!$L$4*('CALCULO MORTERO'!I449^2)+'BLAZE SHIELD II'!$L$5*'CALCULO MORTERO'!I449+'BLAZE SHIELD II'!$L$6)*LN(J449))+('BLAZE SHIELD II'!$L$7*('CALCULO MORTERO'!I449^2)+'BLAZE SHIELD II'!$L$8*'CALCULO MORTERO'!I449+'BLAZE SHIELD II'!$L$9)),0)+IF(AND(L449="Blaze Shield II",M449="Software Idiem",C449="L"),((('BLAZE SHIELD II'!$L$4*('CALCULO MORTERO'!I449^2)+'BLAZE SHIELD II'!$L$5*'CALCULO MORTERO'!I449+'BLAZE SHIELD II'!$L$6)*LN(J449))+('BLAZE SHIELD II'!$L$7*('CALCULO MORTERO'!I449^2)+'BLAZE SHIELD II'!$L$8*'CALCULO MORTERO'!I449+'BLAZE SHIELD II'!$L$9)),0)+IF(AND(L449="Blaze Shield II",M449="Software Idiem",C449="IN",G449=3),((('BLAZE SHIELD II'!$H$14*('CALCULO MORTERO'!I449^2)+'BLAZE SHIELD II'!$H$15*'CALCULO MORTERO'!I449+'BLAZE SHIELD II'!$H$16)*LN(J449))+('BLAZE SHIELD II'!$H$17*('CALCULO MORTERO'!I449^2)+'BLAZE SHIELD II'!$H$18*'CALCULO MORTERO'!I449+'BLAZE SHIELD II'!$H$19)),0),0)+ROUND(IF(AND(L449="Cafco 400",M449="Software Idiem",C449="IN",G449=4),((('CAFCO 400 '!$H$7*(J449^4)+'CAFCO 400 '!$H$8*(J449^3)+'CAFCO 400 '!$H$9*(J449^2)+'CAFCO 400 '!$H$10*J449+'CAFCO 400 '!$H$11)*U449^2)+(('CAFCO 400 '!$H$12*(J449^3)+'CAFCO 400 '!$H$13*(J449^2)+'CAFCO 400 '!$H$14*J449+'CAFCO 400 '!$H$15)*U449)+('CAFCO 400 '!$H$16*(J449^2)+'CAFCO 400 '!$H$17*J449+'CAFCO 400 '!$H$18)),0)+IF(AND(L449="Cafco 400",M449="Software Idiem",C449="Cj"),(((('CAFCO 400 '!$D$7*LN(J449)+'CAFCO 400 '!$D$8)*U449^2)+(('CAFCO 400 '!$D$9*LN(J449)+'CAFCO 400 '!$D$10)*U449)+('CAFCO 400 '!$D$11*LN(J449)+'CAFCO 400 '!$D$12))),0)+IF(AND(L449="Cafco 400",M449="Software Idiem",C449="C"),((('CAFCO 400 '!$L$7*(J449^3)+'CAFCO 400 '!$L$8*(J449^2)+'CAFCO 400 '!$L$9*J449+'CAFCO 400 '!$L$10)*U449^2)+(('CAFCO 400 '!$L$11*(J449^3)+'CAFCO 400 '!$L$12*(J449^2)+'CAFCO 400 '!$L$13*J449+'CAFCO 400 '!$L$14)*U449)+('CAFCO 400 '!$L$15*LN(J449)+'CAFCO 400 '!$L$16)),0)+IF(AND(L449="Cafco 400",M449="Software Idiem",C449="L"),((('CAFCO 400 '!$L$7*(J449^3)+'CAFCO 400 '!$L$8*(J449^2)+'CAFCO 400 '!$L$9*J449+'CAFCO 400 '!$L$10)*U449^2)+(('CAFCO 400 '!$L$11*(J449^3)+'CAFCO 400 '!$L$12*(J449^2)+'CAFCO 400 '!$L$13*J449+'CAFCO 400 '!$L$14)*U449)+('CAFCO 400 '!$L$15*LN(J449)+'CAFCO 400 '!$L$16)),0)+IF(AND(L449="Cafco 400",M449="Software Idiem",C449="IN",G449=3),((('CAFCO 400 '!$D$23*(J449^2)+'CAFCO 400 '!$D$24*(J449)+'CAFCO 400 '!$D$25)*U449^2)+(('CAFCO 400 '!$D$26*(J449^2)+'CAFCO 400 '!$D$27*J449+'CAFCO 400 '!$D$28)*U449)+('CAFCO 400 '!$D$29*(J449^2)+'CAFCO 400 '!$D$30*J449+'CAFCO 400 '!$D$31)),0),0)+IF(AND(L449="Cafco 300",J449&gt;=95,J449&lt;=240,C449="Cj",I449=90),VLOOKUP(T449,'CAFCO 300 IDIEM TABLAS'!$B$4:$D$23,2,FALSE),0)+IF(AND(L449="Cafco 300",J449&gt;=95,J449&lt;=240,C449="Cj",I449=120),VLOOKUP(T449,'CAFCO 300 IDIEM TABLAS'!$B$4:$D$23,3,FALSE),0)+IF(AND(L449="Cafco 300",J449&gt;=95,J449&lt;=400,G449=3,C449="IN",I449=90),VLOOKUP(T449,'CAFCO 300 IDIEM TABLAS'!$F$4:$H$35,2,FALSE),0)+IF(AND(L449="Cafco 300",J449&gt;=95,J449&lt;=400,G449=3,C449="IN",I449=120),VLOOKUP(T449,'CAFCO 300 IDIEM TABLAS'!$F$4:$H$35,3,FALSE),0)+IF(AND(L449="Cafco 300",J449&gt;=95,J449&lt;=450,G449=4,C449="IN",I449=90),VLOOKUP(T449,'CAFCO 300 IDIEM TABLAS'!$J$4:$L$40,2,FALSE),0)+IF(AND(L449="Cafco 300",J449&gt;=95,J449&lt;=450,G449=4,C449="IN",I449=120),VLOOKUP(T449,'CAFCO 300 IDIEM TABLAS'!$J$4:$L$40,3,FALSE),0)+IF(AND(M449="Ensayo Idiem",L449="Cafco 400",C449="IN",G449=4,I449=90),VLOOKUP(T449,'CAFCO 400 ENSAYO'!$B$7:$D$43,2,FALSE),0)+IF(AND(M449="Ensayo Idiem",L449="Cafco 400",C449="IN",G449=4,I449=120),VLOOKUP(T449,'CAFCO 400 ENSAYO'!$B$7:$D$43,3,FALSE),0)</f>
        <v>0</v>
      </c>
      <c r="O449" s="96">
        <f t="shared" si="48"/>
        <v>0</v>
      </c>
      <c r="P449" s="132" t="str">
        <f t="shared" si="49"/>
        <v>N/A</v>
      </c>
      <c r="Q449" s="132" t="str">
        <f t="shared" si="50"/>
        <v>N/A</v>
      </c>
      <c r="R449" s="132" t="str">
        <f t="shared" si="51"/>
        <v>NO CERT.</v>
      </c>
      <c r="S449" s="132" t="e">
        <f t="shared" si="52"/>
        <v>#N/A</v>
      </c>
      <c r="T449" s="133" t="e">
        <f>+IF(J449=LOOKUP(J449,'CAFCO 300 IDIEM TABLAS'!$J$4:$J$40),'CALCULO MORTERO'!J449,MROUND('CALCULO MORTERO'!J449,10))</f>
        <v>#N/A</v>
      </c>
      <c r="U449" s="134">
        <f t="shared" si="53"/>
        <v>0</v>
      </c>
      <c r="Y449" s="4"/>
      <c r="Z449" s="4"/>
      <c r="AA449" s="4"/>
    </row>
    <row r="450" spans="1:27" x14ac:dyDescent="0.25">
      <c r="A450" s="118">
        <f>+CUBICACION!D444</f>
        <v>0</v>
      </c>
      <c r="B450" s="819">
        <f>+CUBICACION!E444</f>
        <v>0</v>
      </c>
      <c r="C450" s="675">
        <f>+CUBICACION!F444</f>
        <v>0</v>
      </c>
      <c r="D450" s="118"/>
      <c r="E450" s="118"/>
      <c r="F450" s="820"/>
      <c r="G450" s="675">
        <f>+CUBICACION!J444</f>
        <v>0</v>
      </c>
      <c r="H450" s="118"/>
      <c r="I450" s="821">
        <f>+CUBICACION!L444</f>
        <v>0</v>
      </c>
      <c r="J450" s="64">
        <f>+CUBICACION!M444</f>
        <v>0</v>
      </c>
      <c r="K450" s="822" t="str">
        <f>+CUBICACION!N444</f>
        <v/>
      </c>
      <c r="L450" s="118">
        <f>+CUBICACION!O444</f>
        <v>0</v>
      </c>
      <c r="M450" s="823">
        <f>+CUBICACION!P444</f>
        <v>0</v>
      </c>
      <c r="N450" s="902">
        <f>ROUND(IF(AND(L450="Blaze Shield II",M450="Software Idiem",C450="IN",G450=4),((('BLAZE SHIELD II'!$D$4*('CALCULO MORTERO'!I450^2)+'BLAZE SHIELD II'!$D$5*'CALCULO MORTERO'!I450+'BLAZE SHIELD II'!$D$6)*LN(J450))+('BLAZE SHIELD II'!$D$7*('CALCULO MORTERO'!I450^2)+'BLAZE SHIELD II'!$D$8*'CALCULO MORTERO'!I450+'BLAZE SHIELD II'!$D$9)),0)+IF(AND(L450="Blaze Shield II",M450="Software Idiem",C450="Cj"),((('BLAZE SHIELD II'!$H$4*('CALCULO MORTERO'!I450^2)+'BLAZE SHIELD II'!$H$5*'CALCULO MORTERO'!I450+'BLAZE SHIELD II'!$H$6)*LN(J450))+('BLAZE SHIELD II'!$H$7*('CALCULO MORTERO'!I450^2)+'BLAZE SHIELD II'!$H$8*'CALCULO MORTERO'!I450+'BLAZE SHIELD II'!$H$9)),0)+IF(AND(L450="Blaze Shield II",M450="Software Idiem",C450="C"),((('BLAZE SHIELD II'!$L$4*('CALCULO MORTERO'!I450^2)+'BLAZE SHIELD II'!$L$5*'CALCULO MORTERO'!I450+'BLAZE SHIELD II'!$L$6)*LN(J450))+('BLAZE SHIELD II'!$L$7*('CALCULO MORTERO'!I450^2)+'BLAZE SHIELD II'!$L$8*'CALCULO MORTERO'!I450+'BLAZE SHIELD II'!$L$9)),0)+IF(AND(L450="Blaze Shield II",M450="Software Idiem",C450="L"),((('BLAZE SHIELD II'!$L$4*('CALCULO MORTERO'!I450^2)+'BLAZE SHIELD II'!$L$5*'CALCULO MORTERO'!I450+'BLAZE SHIELD II'!$L$6)*LN(J450))+('BLAZE SHIELD II'!$L$7*('CALCULO MORTERO'!I450^2)+'BLAZE SHIELD II'!$L$8*'CALCULO MORTERO'!I450+'BLAZE SHIELD II'!$L$9)),0)+IF(AND(L450="Blaze Shield II",M450="Software Idiem",C450="IN",G450=3),((('BLAZE SHIELD II'!$H$14*('CALCULO MORTERO'!I450^2)+'BLAZE SHIELD II'!$H$15*'CALCULO MORTERO'!I450+'BLAZE SHIELD II'!$H$16)*LN(J450))+('BLAZE SHIELD II'!$H$17*('CALCULO MORTERO'!I450^2)+'BLAZE SHIELD II'!$H$18*'CALCULO MORTERO'!I450+'BLAZE SHIELD II'!$H$19)),0),0)+ROUND(IF(AND(L450="Cafco 400",M450="Software Idiem",C450="IN",G450=4),((('CAFCO 400 '!$H$7*(J450^4)+'CAFCO 400 '!$H$8*(J450^3)+'CAFCO 400 '!$H$9*(J450^2)+'CAFCO 400 '!$H$10*J450+'CAFCO 400 '!$H$11)*U450^2)+(('CAFCO 400 '!$H$12*(J450^3)+'CAFCO 400 '!$H$13*(J450^2)+'CAFCO 400 '!$H$14*J450+'CAFCO 400 '!$H$15)*U450)+('CAFCO 400 '!$H$16*(J450^2)+'CAFCO 400 '!$H$17*J450+'CAFCO 400 '!$H$18)),0)+IF(AND(L450="Cafco 400",M450="Software Idiem",C450="Cj"),(((('CAFCO 400 '!$D$7*LN(J450)+'CAFCO 400 '!$D$8)*U450^2)+(('CAFCO 400 '!$D$9*LN(J450)+'CAFCO 400 '!$D$10)*U450)+('CAFCO 400 '!$D$11*LN(J450)+'CAFCO 400 '!$D$12))),0)+IF(AND(L450="Cafco 400",M450="Software Idiem",C450="C"),((('CAFCO 400 '!$L$7*(J450^3)+'CAFCO 400 '!$L$8*(J450^2)+'CAFCO 400 '!$L$9*J450+'CAFCO 400 '!$L$10)*U450^2)+(('CAFCO 400 '!$L$11*(J450^3)+'CAFCO 400 '!$L$12*(J450^2)+'CAFCO 400 '!$L$13*J450+'CAFCO 400 '!$L$14)*U450)+('CAFCO 400 '!$L$15*LN(J450)+'CAFCO 400 '!$L$16)),0)+IF(AND(L450="Cafco 400",M450="Software Idiem",C450="L"),((('CAFCO 400 '!$L$7*(J450^3)+'CAFCO 400 '!$L$8*(J450^2)+'CAFCO 400 '!$L$9*J450+'CAFCO 400 '!$L$10)*U450^2)+(('CAFCO 400 '!$L$11*(J450^3)+'CAFCO 400 '!$L$12*(J450^2)+'CAFCO 400 '!$L$13*J450+'CAFCO 400 '!$L$14)*U450)+('CAFCO 400 '!$L$15*LN(J450)+'CAFCO 400 '!$L$16)),0)+IF(AND(L450="Cafco 400",M450="Software Idiem",C450="IN",G450=3),((('CAFCO 400 '!$D$23*(J450^2)+'CAFCO 400 '!$D$24*(J450)+'CAFCO 400 '!$D$25)*U450^2)+(('CAFCO 400 '!$D$26*(J450^2)+'CAFCO 400 '!$D$27*J450+'CAFCO 400 '!$D$28)*U450)+('CAFCO 400 '!$D$29*(J450^2)+'CAFCO 400 '!$D$30*J450+'CAFCO 400 '!$D$31)),0),0)+IF(AND(L450="Cafco 300",J450&gt;=95,J450&lt;=240,C450="Cj",I450=90),VLOOKUP(T450,'CAFCO 300 IDIEM TABLAS'!$B$4:$D$23,2,FALSE),0)+IF(AND(L450="Cafco 300",J450&gt;=95,J450&lt;=240,C450="Cj",I450=120),VLOOKUP(T450,'CAFCO 300 IDIEM TABLAS'!$B$4:$D$23,3,FALSE),0)+IF(AND(L450="Cafco 300",J450&gt;=95,J450&lt;=400,G450=3,C450="IN",I450=90),VLOOKUP(T450,'CAFCO 300 IDIEM TABLAS'!$F$4:$H$35,2,FALSE),0)+IF(AND(L450="Cafco 300",J450&gt;=95,J450&lt;=400,G450=3,C450="IN",I450=120),VLOOKUP(T450,'CAFCO 300 IDIEM TABLAS'!$F$4:$H$35,3,FALSE),0)+IF(AND(L450="Cafco 300",J450&gt;=95,J450&lt;=450,G450=4,C450="IN",I450=90),VLOOKUP(T450,'CAFCO 300 IDIEM TABLAS'!$J$4:$L$40,2,FALSE),0)+IF(AND(L450="Cafco 300",J450&gt;=95,J450&lt;=450,G450=4,C450="IN",I450=120),VLOOKUP(T450,'CAFCO 300 IDIEM TABLAS'!$J$4:$L$40,3,FALSE),0)+IF(AND(M450="Ensayo Idiem",L450="Cafco 400",C450="IN",G450=4,I450=90),VLOOKUP(T450,'CAFCO 400 ENSAYO'!$B$7:$D$43,2,FALSE),0)+IF(AND(M450="Ensayo Idiem",L450="Cafco 400",C450="IN",G450=4,I450=120),VLOOKUP(T450,'CAFCO 400 ENSAYO'!$B$7:$D$43,3,FALSE),0)</f>
        <v>0</v>
      </c>
      <c r="O450" s="96">
        <f t="shared" si="48"/>
        <v>0</v>
      </c>
      <c r="P450" s="95" t="str">
        <f t="shared" si="49"/>
        <v>N/A</v>
      </c>
      <c r="Q450" s="95" t="str">
        <f t="shared" si="50"/>
        <v>N/A</v>
      </c>
      <c r="R450" s="95" t="str">
        <f t="shared" si="51"/>
        <v>NO CERT.</v>
      </c>
      <c r="S450" s="95" t="e">
        <f t="shared" si="52"/>
        <v>#N/A</v>
      </c>
      <c r="T450" s="119" t="e">
        <f>+IF(J450=LOOKUP(J450,'CAFCO 300 IDIEM TABLAS'!$J$4:$J$40),'CALCULO MORTERO'!J450,MROUND('CALCULO MORTERO'!J450,10))</f>
        <v>#N/A</v>
      </c>
      <c r="U450" s="118">
        <f t="shared" si="53"/>
        <v>0</v>
      </c>
      <c r="Y450" s="4"/>
      <c r="Z450" s="4"/>
      <c r="AA450" s="4"/>
    </row>
    <row r="451" spans="1:27" x14ac:dyDescent="0.25">
      <c r="A451" s="118">
        <f>+CUBICACION!D445</f>
        <v>0</v>
      </c>
      <c r="B451" s="819">
        <f>+CUBICACION!E445</f>
        <v>0</v>
      </c>
      <c r="C451" s="675">
        <f>+CUBICACION!F445</f>
        <v>0</v>
      </c>
      <c r="D451" s="118"/>
      <c r="E451" s="118"/>
      <c r="F451" s="820"/>
      <c r="G451" s="675">
        <f>+CUBICACION!J445</f>
        <v>0</v>
      </c>
      <c r="H451" s="118"/>
      <c r="I451" s="821">
        <f>+CUBICACION!L445</f>
        <v>0</v>
      </c>
      <c r="J451" s="64">
        <f>+CUBICACION!M445</f>
        <v>0</v>
      </c>
      <c r="K451" s="822" t="str">
        <f>+CUBICACION!N445</f>
        <v/>
      </c>
      <c r="L451" s="118">
        <f>+CUBICACION!O445</f>
        <v>0</v>
      </c>
      <c r="M451" s="823">
        <f>+CUBICACION!P445</f>
        <v>0</v>
      </c>
      <c r="N451" s="902">
        <f>ROUND(IF(AND(L451="Blaze Shield II",M451="Software Idiem",C451="IN",G451=4),((('BLAZE SHIELD II'!$D$4*('CALCULO MORTERO'!I451^2)+'BLAZE SHIELD II'!$D$5*'CALCULO MORTERO'!I451+'BLAZE SHIELD II'!$D$6)*LN(J451))+('BLAZE SHIELD II'!$D$7*('CALCULO MORTERO'!I451^2)+'BLAZE SHIELD II'!$D$8*'CALCULO MORTERO'!I451+'BLAZE SHIELD II'!$D$9)),0)+IF(AND(L451="Blaze Shield II",M451="Software Idiem",C451="Cj"),((('BLAZE SHIELD II'!$H$4*('CALCULO MORTERO'!I451^2)+'BLAZE SHIELD II'!$H$5*'CALCULO MORTERO'!I451+'BLAZE SHIELD II'!$H$6)*LN(J451))+('BLAZE SHIELD II'!$H$7*('CALCULO MORTERO'!I451^2)+'BLAZE SHIELD II'!$H$8*'CALCULO MORTERO'!I451+'BLAZE SHIELD II'!$H$9)),0)+IF(AND(L451="Blaze Shield II",M451="Software Idiem",C451="C"),((('BLAZE SHIELD II'!$L$4*('CALCULO MORTERO'!I451^2)+'BLAZE SHIELD II'!$L$5*'CALCULO MORTERO'!I451+'BLAZE SHIELD II'!$L$6)*LN(J451))+('BLAZE SHIELD II'!$L$7*('CALCULO MORTERO'!I451^2)+'BLAZE SHIELD II'!$L$8*'CALCULO MORTERO'!I451+'BLAZE SHIELD II'!$L$9)),0)+IF(AND(L451="Blaze Shield II",M451="Software Idiem",C451="L"),((('BLAZE SHIELD II'!$L$4*('CALCULO MORTERO'!I451^2)+'BLAZE SHIELD II'!$L$5*'CALCULO MORTERO'!I451+'BLAZE SHIELD II'!$L$6)*LN(J451))+('BLAZE SHIELD II'!$L$7*('CALCULO MORTERO'!I451^2)+'BLAZE SHIELD II'!$L$8*'CALCULO MORTERO'!I451+'BLAZE SHIELD II'!$L$9)),0)+IF(AND(L451="Blaze Shield II",M451="Software Idiem",C451="IN",G451=3),((('BLAZE SHIELD II'!$H$14*('CALCULO MORTERO'!I451^2)+'BLAZE SHIELD II'!$H$15*'CALCULO MORTERO'!I451+'BLAZE SHIELD II'!$H$16)*LN(J451))+('BLAZE SHIELD II'!$H$17*('CALCULO MORTERO'!I451^2)+'BLAZE SHIELD II'!$H$18*'CALCULO MORTERO'!I451+'BLAZE SHIELD II'!$H$19)),0),0)+ROUND(IF(AND(L451="Cafco 400",M451="Software Idiem",C451="IN",G451=4),((('CAFCO 400 '!$H$7*(J451^4)+'CAFCO 400 '!$H$8*(J451^3)+'CAFCO 400 '!$H$9*(J451^2)+'CAFCO 400 '!$H$10*J451+'CAFCO 400 '!$H$11)*U451^2)+(('CAFCO 400 '!$H$12*(J451^3)+'CAFCO 400 '!$H$13*(J451^2)+'CAFCO 400 '!$H$14*J451+'CAFCO 400 '!$H$15)*U451)+('CAFCO 400 '!$H$16*(J451^2)+'CAFCO 400 '!$H$17*J451+'CAFCO 400 '!$H$18)),0)+IF(AND(L451="Cafco 400",M451="Software Idiem",C451="Cj"),(((('CAFCO 400 '!$D$7*LN(J451)+'CAFCO 400 '!$D$8)*U451^2)+(('CAFCO 400 '!$D$9*LN(J451)+'CAFCO 400 '!$D$10)*U451)+('CAFCO 400 '!$D$11*LN(J451)+'CAFCO 400 '!$D$12))),0)+IF(AND(L451="Cafco 400",M451="Software Idiem",C451="C"),((('CAFCO 400 '!$L$7*(J451^3)+'CAFCO 400 '!$L$8*(J451^2)+'CAFCO 400 '!$L$9*J451+'CAFCO 400 '!$L$10)*U451^2)+(('CAFCO 400 '!$L$11*(J451^3)+'CAFCO 400 '!$L$12*(J451^2)+'CAFCO 400 '!$L$13*J451+'CAFCO 400 '!$L$14)*U451)+('CAFCO 400 '!$L$15*LN(J451)+'CAFCO 400 '!$L$16)),0)+IF(AND(L451="Cafco 400",M451="Software Idiem",C451="L"),((('CAFCO 400 '!$L$7*(J451^3)+'CAFCO 400 '!$L$8*(J451^2)+'CAFCO 400 '!$L$9*J451+'CAFCO 400 '!$L$10)*U451^2)+(('CAFCO 400 '!$L$11*(J451^3)+'CAFCO 400 '!$L$12*(J451^2)+'CAFCO 400 '!$L$13*J451+'CAFCO 400 '!$L$14)*U451)+('CAFCO 400 '!$L$15*LN(J451)+'CAFCO 400 '!$L$16)),0)+IF(AND(L451="Cafco 400",M451="Software Idiem",C451="IN",G451=3),((('CAFCO 400 '!$D$23*(J451^2)+'CAFCO 400 '!$D$24*(J451)+'CAFCO 400 '!$D$25)*U451^2)+(('CAFCO 400 '!$D$26*(J451^2)+'CAFCO 400 '!$D$27*J451+'CAFCO 400 '!$D$28)*U451)+('CAFCO 400 '!$D$29*(J451^2)+'CAFCO 400 '!$D$30*J451+'CAFCO 400 '!$D$31)),0),0)+IF(AND(L451="Cafco 300",J451&gt;=95,J451&lt;=240,C451="Cj",I451=90),VLOOKUP(T451,'CAFCO 300 IDIEM TABLAS'!$B$4:$D$23,2,FALSE),0)+IF(AND(L451="Cafco 300",J451&gt;=95,J451&lt;=240,C451="Cj",I451=120),VLOOKUP(T451,'CAFCO 300 IDIEM TABLAS'!$B$4:$D$23,3,FALSE),0)+IF(AND(L451="Cafco 300",J451&gt;=95,J451&lt;=400,G451=3,C451="IN",I451=90),VLOOKUP(T451,'CAFCO 300 IDIEM TABLAS'!$F$4:$H$35,2,FALSE),0)+IF(AND(L451="Cafco 300",J451&gt;=95,J451&lt;=400,G451=3,C451="IN",I451=120),VLOOKUP(T451,'CAFCO 300 IDIEM TABLAS'!$F$4:$H$35,3,FALSE),0)+IF(AND(L451="Cafco 300",J451&gt;=95,J451&lt;=450,G451=4,C451="IN",I451=90),VLOOKUP(T451,'CAFCO 300 IDIEM TABLAS'!$J$4:$L$40,2,FALSE),0)+IF(AND(L451="Cafco 300",J451&gt;=95,J451&lt;=450,G451=4,C451="IN",I451=120),VLOOKUP(T451,'CAFCO 300 IDIEM TABLAS'!$J$4:$L$40,3,FALSE),0)+IF(AND(M451="Ensayo Idiem",L451="Cafco 400",C451="IN",G451=4,I451=90),VLOOKUP(T451,'CAFCO 400 ENSAYO'!$B$7:$D$43,2,FALSE),0)+IF(AND(M451="Ensayo Idiem",L451="Cafco 400",C451="IN",G451=4,I451=120),VLOOKUP(T451,'CAFCO 400 ENSAYO'!$B$7:$D$43,3,FALSE),0)</f>
        <v>0</v>
      </c>
      <c r="O451" s="96">
        <f t="shared" si="48"/>
        <v>0</v>
      </c>
      <c r="P451" s="132" t="str">
        <f t="shared" si="49"/>
        <v>N/A</v>
      </c>
      <c r="Q451" s="132" t="str">
        <f t="shared" si="50"/>
        <v>N/A</v>
      </c>
      <c r="R451" s="132" t="str">
        <f t="shared" si="51"/>
        <v>NO CERT.</v>
      </c>
      <c r="S451" s="132" t="e">
        <f t="shared" si="52"/>
        <v>#N/A</v>
      </c>
      <c r="T451" s="133" t="e">
        <f>+IF(J451=LOOKUP(J451,'CAFCO 300 IDIEM TABLAS'!$J$4:$J$40),'CALCULO MORTERO'!J451,MROUND('CALCULO MORTERO'!J451,10))</f>
        <v>#N/A</v>
      </c>
      <c r="U451" s="134">
        <f t="shared" si="53"/>
        <v>0</v>
      </c>
      <c r="Y451" s="4"/>
      <c r="Z451" s="4"/>
      <c r="AA451" s="4"/>
    </row>
    <row r="452" spans="1:27" x14ac:dyDescent="0.25">
      <c r="A452" s="118">
        <f>+CUBICACION!D446</f>
        <v>0</v>
      </c>
      <c r="B452" s="819">
        <f>+CUBICACION!E446</f>
        <v>0</v>
      </c>
      <c r="C452" s="675">
        <f>+CUBICACION!F446</f>
        <v>0</v>
      </c>
      <c r="D452" s="118"/>
      <c r="E452" s="118"/>
      <c r="F452" s="820"/>
      <c r="G452" s="675">
        <f>+CUBICACION!J446</f>
        <v>0</v>
      </c>
      <c r="H452" s="118"/>
      <c r="I452" s="821">
        <f>+CUBICACION!L446</f>
        <v>0</v>
      </c>
      <c r="J452" s="64">
        <f>+CUBICACION!M446</f>
        <v>0</v>
      </c>
      <c r="K452" s="822" t="str">
        <f>+CUBICACION!N446</f>
        <v/>
      </c>
      <c r="L452" s="118">
        <f>+CUBICACION!O446</f>
        <v>0</v>
      </c>
      <c r="M452" s="823">
        <f>+CUBICACION!P446</f>
        <v>0</v>
      </c>
      <c r="N452" s="902">
        <f>ROUND(IF(AND(L452="Blaze Shield II",M452="Software Idiem",C452="IN",G452=4),((('BLAZE SHIELD II'!$D$4*('CALCULO MORTERO'!I452^2)+'BLAZE SHIELD II'!$D$5*'CALCULO MORTERO'!I452+'BLAZE SHIELD II'!$D$6)*LN(J452))+('BLAZE SHIELD II'!$D$7*('CALCULO MORTERO'!I452^2)+'BLAZE SHIELD II'!$D$8*'CALCULO MORTERO'!I452+'BLAZE SHIELD II'!$D$9)),0)+IF(AND(L452="Blaze Shield II",M452="Software Idiem",C452="Cj"),((('BLAZE SHIELD II'!$H$4*('CALCULO MORTERO'!I452^2)+'BLAZE SHIELD II'!$H$5*'CALCULO MORTERO'!I452+'BLAZE SHIELD II'!$H$6)*LN(J452))+('BLAZE SHIELD II'!$H$7*('CALCULO MORTERO'!I452^2)+'BLAZE SHIELD II'!$H$8*'CALCULO MORTERO'!I452+'BLAZE SHIELD II'!$H$9)),0)+IF(AND(L452="Blaze Shield II",M452="Software Idiem",C452="C"),((('BLAZE SHIELD II'!$L$4*('CALCULO MORTERO'!I452^2)+'BLAZE SHIELD II'!$L$5*'CALCULO MORTERO'!I452+'BLAZE SHIELD II'!$L$6)*LN(J452))+('BLAZE SHIELD II'!$L$7*('CALCULO MORTERO'!I452^2)+'BLAZE SHIELD II'!$L$8*'CALCULO MORTERO'!I452+'BLAZE SHIELD II'!$L$9)),0)+IF(AND(L452="Blaze Shield II",M452="Software Idiem",C452="L"),((('BLAZE SHIELD II'!$L$4*('CALCULO MORTERO'!I452^2)+'BLAZE SHIELD II'!$L$5*'CALCULO MORTERO'!I452+'BLAZE SHIELD II'!$L$6)*LN(J452))+('BLAZE SHIELD II'!$L$7*('CALCULO MORTERO'!I452^2)+'BLAZE SHIELD II'!$L$8*'CALCULO MORTERO'!I452+'BLAZE SHIELD II'!$L$9)),0)+IF(AND(L452="Blaze Shield II",M452="Software Idiem",C452="IN",G452=3),((('BLAZE SHIELD II'!$H$14*('CALCULO MORTERO'!I452^2)+'BLAZE SHIELD II'!$H$15*'CALCULO MORTERO'!I452+'BLAZE SHIELD II'!$H$16)*LN(J452))+('BLAZE SHIELD II'!$H$17*('CALCULO MORTERO'!I452^2)+'BLAZE SHIELD II'!$H$18*'CALCULO MORTERO'!I452+'BLAZE SHIELD II'!$H$19)),0),0)+ROUND(IF(AND(L452="Cafco 400",M452="Software Idiem",C452="IN",G452=4),((('CAFCO 400 '!$H$7*(J452^4)+'CAFCO 400 '!$H$8*(J452^3)+'CAFCO 400 '!$H$9*(J452^2)+'CAFCO 400 '!$H$10*J452+'CAFCO 400 '!$H$11)*U452^2)+(('CAFCO 400 '!$H$12*(J452^3)+'CAFCO 400 '!$H$13*(J452^2)+'CAFCO 400 '!$H$14*J452+'CAFCO 400 '!$H$15)*U452)+('CAFCO 400 '!$H$16*(J452^2)+'CAFCO 400 '!$H$17*J452+'CAFCO 400 '!$H$18)),0)+IF(AND(L452="Cafco 400",M452="Software Idiem",C452="Cj"),(((('CAFCO 400 '!$D$7*LN(J452)+'CAFCO 400 '!$D$8)*U452^2)+(('CAFCO 400 '!$D$9*LN(J452)+'CAFCO 400 '!$D$10)*U452)+('CAFCO 400 '!$D$11*LN(J452)+'CAFCO 400 '!$D$12))),0)+IF(AND(L452="Cafco 400",M452="Software Idiem",C452="C"),((('CAFCO 400 '!$L$7*(J452^3)+'CAFCO 400 '!$L$8*(J452^2)+'CAFCO 400 '!$L$9*J452+'CAFCO 400 '!$L$10)*U452^2)+(('CAFCO 400 '!$L$11*(J452^3)+'CAFCO 400 '!$L$12*(J452^2)+'CAFCO 400 '!$L$13*J452+'CAFCO 400 '!$L$14)*U452)+('CAFCO 400 '!$L$15*LN(J452)+'CAFCO 400 '!$L$16)),0)+IF(AND(L452="Cafco 400",M452="Software Idiem",C452="L"),((('CAFCO 400 '!$L$7*(J452^3)+'CAFCO 400 '!$L$8*(J452^2)+'CAFCO 400 '!$L$9*J452+'CAFCO 400 '!$L$10)*U452^2)+(('CAFCO 400 '!$L$11*(J452^3)+'CAFCO 400 '!$L$12*(J452^2)+'CAFCO 400 '!$L$13*J452+'CAFCO 400 '!$L$14)*U452)+('CAFCO 400 '!$L$15*LN(J452)+'CAFCO 400 '!$L$16)),0)+IF(AND(L452="Cafco 400",M452="Software Idiem",C452="IN",G452=3),((('CAFCO 400 '!$D$23*(J452^2)+'CAFCO 400 '!$D$24*(J452)+'CAFCO 400 '!$D$25)*U452^2)+(('CAFCO 400 '!$D$26*(J452^2)+'CAFCO 400 '!$D$27*J452+'CAFCO 400 '!$D$28)*U452)+('CAFCO 400 '!$D$29*(J452^2)+'CAFCO 400 '!$D$30*J452+'CAFCO 400 '!$D$31)),0),0)+IF(AND(L452="Cafco 300",J452&gt;=95,J452&lt;=240,C452="Cj",I452=90),VLOOKUP(T452,'CAFCO 300 IDIEM TABLAS'!$B$4:$D$23,2,FALSE),0)+IF(AND(L452="Cafco 300",J452&gt;=95,J452&lt;=240,C452="Cj",I452=120),VLOOKUP(T452,'CAFCO 300 IDIEM TABLAS'!$B$4:$D$23,3,FALSE),0)+IF(AND(L452="Cafco 300",J452&gt;=95,J452&lt;=400,G452=3,C452="IN",I452=90),VLOOKUP(T452,'CAFCO 300 IDIEM TABLAS'!$F$4:$H$35,2,FALSE),0)+IF(AND(L452="Cafco 300",J452&gt;=95,J452&lt;=400,G452=3,C452="IN",I452=120),VLOOKUP(T452,'CAFCO 300 IDIEM TABLAS'!$F$4:$H$35,3,FALSE),0)+IF(AND(L452="Cafco 300",J452&gt;=95,J452&lt;=450,G452=4,C452="IN",I452=90),VLOOKUP(T452,'CAFCO 300 IDIEM TABLAS'!$J$4:$L$40,2,FALSE),0)+IF(AND(L452="Cafco 300",J452&gt;=95,J452&lt;=450,G452=4,C452="IN",I452=120),VLOOKUP(T452,'CAFCO 300 IDIEM TABLAS'!$J$4:$L$40,3,FALSE),0)+IF(AND(M452="Ensayo Idiem",L452="Cafco 400",C452="IN",G452=4,I452=90),VLOOKUP(T452,'CAFCO 400 ENSAYO'!$B$7:$D$43,2,FALSE),0)+IF(AND(M452="Ensayo Idiem",L452="Cafco 400",C452="IN",G452=4,I452=120),VLOOKUP(T452,'CAFCO 400 ENSAYO'!$B$7:$D$43,3,FALSE),0)</f>
        <v>0</v>
      </c>
      <c r="O452" s="96">
        <f t="shared" si="48"/>
        <v>0</v>
      </c>
      <c r="P452" s="95" t="str">
        <f t="shared" si="49"/>
        <v>N/A</v>
      </c>
      <c r="Q452" s="95" t="str">
        <f t="shared" si="50"/>
        <v>N/A</v>
      </c>
      <c r="R452" s="95" t="str">
        <f t="shared" si="51"/>
        <v>NO CERT.</v>
      </c>
      <c r="S452" s="95" t="e">
        <f t="shared" si="52"/>
        <v>#N/A</v>
      </c>
      <c r="T452" s="119" t="e">
        <f>+IF(J452=LOOKUP(J452,'CAFCO 300 IDIEM TABLAS'!$J$4:$J$40),'CALCULO MORTERO'!J452,MROUND('CALCULO MORTERO'!J452,10))</f>
        <v>#N/A</v>
      </c>
      <c r="U452" s="118">
        <f t="shared" si="53"/>
        <v>0</v>
      </c>
      <c r="Y452" s="4"/>
      <c r="Z452" s="4"/>
      <c r="AA452" s="4"/>
    </row>
    <row r="453" spans="1:27" x14ac:dyDescent="0.25">
      <c r="A453" s="118">
        <f>+CUBICACION!D447</f>
        <v>0</v>
      </c>
      <c r="B453" s="819">
        <f>+CUBICACION!E447</f>
        <v>0</v>
      </c>
      <c r="C453" s="675">
        <f>+CUBICACION!F447</f>
        <v>0</v>
      </c>
      <c r="D453" s="118"/>
      <c r="E453" s="118"/>
      <c r="F453" s="820"/>
      <c r="G453" s="675">
        <f>+CUBICACION!J447</f>
        <v>0</v>
      </c>
      <c r="H453" s="118"/>
      <c r="I453" s="821">
        <f>+CUBICACION!L447</f>
        <v>0</v>
      </c>
      <c r="J453" s="64">
        <f>+CUBICACION!M447</f>
        <v>0</v>
      </c>
      <c r="K453" s="822" t="str">
        <f>+CUBICACION!N447</f>
        <v/>
      </c>
      <c r="L453" s="118">
        <f>+CUBICACION!O447</f>
        <v>0</v>
      </c>
      <c r="M453" s="823">
        <f>+CUBICACION!P447</f>
        <v>0</v>
      </c>
      <c r="N453" s="902">
        <f>ROUND(IF(AND(L453="Blaze Shield II",M453="Software Idiem",C453="IN",G453=4),((('BLAZE SHIELD II'!$D$4*('CALCULO MORTERO'!I453^2)+'BLAZE SHIELD II'!$D$5*'CALCULO MORTERO'!I453+'BLAZE SHIELD II'!$D$6)*LN(J453))+('BLAZE SHIELD II'!$D$7*('CALCULO MORTERO'!I453^2)+'BLAZE SHIELD II'!$D$8*'CALCULO MORTERO'!I453+'BLAZE SHIELD II'!$D$9)),0)+IF(AND(L453="Blaze Shield II",M453="Software Idiem",C453="Cj"),((('BLAZE SHIELD II'!$H$4*('CALCULO MORTERO'!I453^2)+'BLAZE SHIELD II'!$H$5*'CALCULO MORTERO'!I453+'BLAZE SHIELD II'!$H$6)*LN(J453))+('BLAZE SHIELD II'!$H$7*('CALCULO MORTERO'!I453^2)+'BLAZE SHIELD II'!$H$8*'CALCULO MORTERO'!I453+'BLAZE SHIELD II'!$H$9)),0)+IF(AND(L453="Blaze Shield II",M453="Software Idiem",C453="C"),((('BLAZE SHIELD II'!$L$4*('CALCULO MORTERO'!I453^2)+'BLAZE SHIELD II'!$L$5*'CALCULO MORTERO'!I453+'BLAZE SHIELD II'!$L$6)*LN(J453))+('BLAZE SHIELD II'!$L$7*('CALCULO MORTERO'!I453^2)+'BLAZE SHIELD II'!$L$8*'CALCULO MORTERO'!I453+'BLAZE SHIELD II'!$L$9)),0)+IF(AND(L453="Blaze Shield II",M453="Software Idiem",C453="L"),((('BLAZE SHIELD II'!$L$4*('CALCULO MORTERO'!I453^2)+'BLAZE SHIELD II'!$L$5*'CALCULO MORTERO'!I453+'BLAZE SHIELD II'!$L$6)*LN(J453))+('BLAZE SHIELD II'!$L$7*('CALCULO MORTERO'!I453^2)+'BLAZE SHIELD II'!$L$8*'CALCULO MORTERO'!I453+'BLAZE SHIELD II'!$L$9)),0)+IF(AND(L453="Blaze Shield II",M453="Software Idiem",C453="IN",G453=3),((('BLAZE SHIELD II'!$H$14*('CALCULO MORTERO'!I453^2)+'BLAZE SHIELD II'!$H$15*'CALCULO MORTERO'!I453+'BLAZE SHIELD II'!$H$16)*LN(J453))+('BLAZE SHIELD II'!$H$17*('CALCULO MORTERO'!I453^2)+'BLAZE SHIELD II'!$H$18*'CALCULO MORTERO'!I453+'BLAZE SHIELD II'!$H$19)),0),0)+ROUND(IF(AND(L453="Cafco 400",M453="Software Idiem",C453="IN",G453=4),((('CAFCO 400 '!$H$7*(J453^4)+'CAFCO 400 '!$H$8*(J453^3)+'CAFCO 400 '!$H$9*(J453^2)+'CAFCO 400 '!$H$10*J453+'CAFCO 400 '!$H$11)*U453^2)+(('CAFCO 400 '!$H$12*(J453^3)+'CAFCO 400 '!$H$13*(J453^2)+'CAFCO 400 '!$H$14*J453+'CAFCO 400 '!$H$15)*U453)+('CAFCO 400 '!$H$16*(J453^2)+'CAFCO 400 '!$H$17*J453+'CAFCO 400 '!$H$18)),0)+IF(AND(L453="Cafco 400",M453="Software Idiem",C453="Cj"),(((('CAFCO 400 '!$D$7*LN(J453)+'CAFCO 400 '!$D$8)*U453^2)+(('CAFCO 400 '!$D$9*LN(J453)+'CAFCO 400 '!$D$10)*U453)+('CAFCO 400 '!$D$11*LN(J453)+'CAFCO 400 '!$D$12))),0)+IF(AND(L453="Cafco 400",M453="Software Idiem",C453="C"),((('CAFCO 400 '!$L$7*(J453^3)+'CAFCO 400 '!$L$8*(J453^2)+'CAFCO 400 '!$L$9*J453+'CAFCO 400 '!$L$10)*U453^2)+(('CAFCO 400 '!$L$11*(J453^3)+'CAFCO 400 '!$L$12*(J453^2)+'CAFCO 400 '!$L$13*J453+'CAFCO 400 '!$L$14)*U453)+('CAFCO 400 '!$L$15*LN(J453)+'CAFCO 400 '!$L$16)),0)+IF(AND(L453="Cafco 400",M453="Software Idiem",C453="L"),((('CAFCO 400 '!$L$7*(J453^3)+'CAFCO 400 '!$L$8*(J453^2)+'CAFCO 400 '!$L$9*J453+'CAFCO 400 '!$L$10)*U453^2)+(('CAFCO 400 '!$L$11*(J453^3)+'CAFCO 400 '!$L$12*(J453^2)+'CAFCO 400 '!$L$13*J453+'CAFCO 400 '!$L$14)*U453)+('CAFCO 400 '!$L$15*LN(J453)+'CAFCO 400 '!$L$16)),0)+IF(AND(L453="Cafco 400",M453="Software Idiem",C453="IN",G453=3),((('CAFCO 400 '!$D$23*(J453^2)+'CAFCO 400 '!$D$24*(J453)+'CAFCO 400 '!$D$25)*U453^2)+(('CAFCO 400 '!$D$26*(J453^2)+'CAFCO 400 '!$D$27*J453+'CAFCO 400 '!$D$28)*U453)+('CAFCO 400 '!$D$29*(J453^2)+'CAFCO 400 '!$D$30*J453+'CAFCO 400 '!$D$31)),0),0)+IF(AND(L453="Cafco 300",J453&gt;=95,J453&lt;=240,C453="Cj",I453=90),VLOOKUP(T453,'CAFCO 300 IDIEM TABLAS'!$B$4:$D$23,2,FALSE),0)+IF(AND(L453="Cafco 300",J453&gt;=95,J453&lt;=240,C453="Cj",I453=120),VLOOKUP(T453,'CAFCO 300 IDIEM TABLAS'!$B$4:$D$23,3,FALSE),0)+IF(AND(L453="Cafco 300",J453&gt;=95,J453&lt;=400,G453=3,C453="IN",I453=90),VLOOKUP(T453,'CAFCO 300 IDIEM TABLAS'!$F$4:$H$35,2,FALSE),0)+IF(AND(L453="Cafco 300",J453&gt;=95,J453&lt;=400,G453=3,C453="IN",I453=120),VLOOKUP(T453,'CAFCO 300 IDIEM TABLAS'!$F$4:$H$35,3,FALSE),0)+IF(AND(L453="Cafco 300",J453&gt;=95,J453&lt;=450,G453=4,C453="IN",I453=90),VLOOKUP(T453,'CAFCO 300 IDIEM TABLAS'!$J$4:$L$40,2,FALSE),0)+IF(AND(L453="Cafco 300",J453&gt;=95,J453&lt;=450,G453=4,C453="IN",I453=120),VLOOKUP(T453,'CAFCO 300 IDIEM TABLAS'!$J$4:$L$40,3,FALSE),0)+IF(AND(M453="Ensayo Idiem",L453="Cafco 400",C453="IN",G453=4,I453=90),VLOOKUP(T453,'CAFCO 400 ENSAYO'!$B$7:$D$43,2,FALSE),0)+IF(AND(M453="Ensayo Idiem",L453="Cafco 400",C453="IN",G453=4,I453=120),VLOOKUP(T453,'CAFCO 400 ENSAYO'!$B$7:$D$43,3,FALSE),0)</f>
        <v>0</v>
      </c>
      <c r="O453" s="96">
        <f t="shared" si="48"/>
        <v>0</v>
      </c>
      <c r="P453" s="132" t="str">
        <f t="shared" si="49"/>
        <v>N/A</v>
      </c>
      <c r="Q453" s="132" t="str">
        <f t="shared" si="50"/>
        <v>N/A</v>
      </c>
      <c r="R453" s="132" t="str">
        <f t="shared" si="51"/>
        <v>NO CERT.</v>
      </c>
      <c r="S453" s="132" t="e">
        <f t="shared" si="52"/>
        <v>#N/A</v>
      </c>
      <c r="T453" s="133" t="e">
        <f>+IF(J453=LOOKUP(J453,'CAFCO 300 IDIEM TABLAS'!$J$4:$J$40),'CALCULO MORTERO'!J453,MROUND('CALCULO MORTERO'!J453,10))</f>
        <v>#N/A</v>
      </c>
      <c r="U453" s="134">
        <f t="shared" si="53"/>
        <v>0</v>
      </c>
      <c r="Y453" s="4"/>
      <c r="Z453" s="4"/>
      <c r="AA453" s="4"/>
    </row>
    <row r="454" spans="1:27" x14ac:dyDescent="0.25">
      <c r="A454" s="118">
        <f>+CUBICACION!D448</f>
        <v>0</v>
      </c>
      <c r="B454" s="819">
        <f>+CUBICACION!E448</f>
        <v>0</v>
      </c>
      <c r="C454" s="675">
        <f>+CUBICACION!F448</f>
        <v>0</v>
      </c>
      <c r="D454" s="118"/>
      <c r="E454" s="118"/>
      <c r="F454" s="820"/>
      <c r="G454" s="675">
        <f>+CUBICACION!J448</f>
        <v>0</v>
      </c>
      <c r="H454" s="118"/>
      <c r="I454" s="821">
        <f>+CUBICACION!L448</f>
        <v>0</v>
      </c>
      <c r="J454" s="64">
        <f>+CUBICACION!M448</f>
        <v>0</v>
      </c>
      <c r="K454" s="822" t="str">
        <f>+CUBICACION!N448</f>
        <v/>
      </c>
      <c r="L454" s="118">
        <f>+CUBICACION!O448</f>
        <v>0</v>
      </c>
      <c r="M454" s="823">
        <f>+CUBICACION!P448</f>
        <v>0</v>
      </c>
      <c r="N454" s="902">
        <f>ROUND(IF(AND(L454="Blaze Shield II",M454="Software Idiem",C454="IN",G454=4),((('BLAZE SHIELD II'!$D$4*('CALCULO MORTERO'!I454^2)+'BLAZE SHIELD II'!$D$5*'CALCULO MORTERO'!I454+'BLAZE SHIELD II'!$D$6)*LN(J454))+('BLAZE SHIELD II'!$D$7*('CALCULO MORTERO'!I454^2)+'BLAZE SHIELD II'!$D$8*'CALCULO MORTERO'!I454+'BLAZE SHIELD II'!$D$9)),0)+IF(AND(L454="Blaze Shield II",M454="Software Idiem",C454="Cj"),((('BLAZE SHIELD II'!$H$4*('CALCULO MORTERO'!I454^2)+'BLAZE SHIELD II'!$H$5*'CALCULO MORTERO'!I454+'BLAZE SHIELD II'!$H$6)*LN(J454))+('BLAZE SHIELD II'!$H$7*('CALCULO MORTERO'!I454^2)+'BLAZE SHIELD II'!$H$8*'CALCULO MORTERO'!I454+'BLAZE SHIELD II'!$H$9)),0)+IF(AND(L454="Blaze Shield II",M454="Software Idiem",C454="C"),((('BLAZE SHIELD II'!$L$4*('CALCULO MORTERO'!I454^2)+'BLAZE SHIELD II'!$L$5*'CALCULO MORTERO'!I454+'BLAZE SHIELD II'!$L$6)*LN(J454))+('BLAZE SHIELD II'!$L$7*('CALCULO MORTERO'!I454^2)+'BLAZE SHIELD II'!$L$8*'CALCULO MORTERO'!I454+'BLAZE SHIELD II'!$L$9)),0)+IF(AND(L454="Blaze Shield II",M454="Software Idiem",C454="L"),((('BLAZE SHIELD II'!$L$4*('CALCULO MORTERO'!I454^2)+'BLAZE SHIELD II'!$L$5*'CALCULO MORTERO'!I454+'BLAZE SHIELD II'!$L$6)*LN(J454))+('BLAZE SHIELD II'!$L$7*('CALCULO MORTERO'!I454^2)+'BLAZE SHIELD II'!$L$8*'CALCULO MORTERO'!I454+'BLAZE SHIELD II'!$L$9)),0)+IF(AND(L454="Blaze Shield II",M454="Software Idiem",C454="IN",G454=3),((('BLAZE SHIELD II'!$H$14*('CALCULO MORTERO'!I454^2)+'BLAZE SHIELD II'!$H$15*'CALCULO MORTERO'!I454+'BLAZE SHIELD II'!$H$16)*LN(J454))+('BLAZE SHIELD II'!$H$17*('CALCULO MORTERO'!I454^2)+'BLAZE SHIELD II'!$H$18*'CALCULO MORTERO'!I454+'BLAZE SHIELD II'!$H$19)),0),0)+ROUND(IF(AND(L454="Cafco 400",M454="Software Idiem",C454="IN",G454=4),((('CAFCO 400 '!$H$7*(J454^4)+'CAFCO 400 '!$H$8*(J454^3)+'CAFCO 400 '!$H$9*(J454^2)+'CAFCO 400 '!$H$10*J454+'CAFCO 400 '!$H$11)*U454^2)+(('CAFCO 400 '!$H$12*(J454^3)+'CAFCO 400 '!$H$13*(J454^2)+'CAFCO 400 '!$H$14*J454+'CAFCO 400 '!$H$15)*U454)+('CAFCO 400 '!$H$16*(J454^2)+'CAFCO 400 '!$H$17*J454+'CAFCO 400 '!$H$18)),0)+IF(AND(L454="Cafco 400",M454="Software Idiem",C454="Cj"),(((('CAFCO 400 '!$D$7*LN(J454)+'CAFCO 400 '!$D$8)*U454^2)+(('CAFCO 400 '!$D$9*LN(J454)+'CAFCO 400 '!$D$10)*U454)+('CAFCO 400 '!$D$11*LN(J454)+'CAFCO 400 '!$D$12))),0)+IF(AND(L454="Cafco 400",M454="Software Idiem",C454="C"),((('CAFCO 400 '!$L$7*(J454^3)+'CAFCO 400 '!$L$8*(J454^2)+'CAFCO 400 '!$L$9*J454+'CAFCO 400 '!$L$10)*U454^2)+(('CAFCO 400 '!$L$11*(J454^3)+'CAFCO 400 '!$L$12*(J454^2)+'CAFCO 400 '!$L$13*J454+'CAFCO 400 '!$L$14)*U454)+('CAFCO 400 '!$L$15*LN(J454)+'CAFCO 400 '!$L$16)),0)+IF(AND(L454="Cafco 400",M454="Software Idiem",C454="L"),((('CAFCO 400 '!$L$7*(J454^3)+'CAFCO 400 '!$L$8*(J454^2)+'CAFCO 400 '!$L$9*J454+'CAFCO 400 '!$L$10)*U454^2)+(('CAFCO 400 '!$L$11*(J454^3)+'CAFCO 400 '!$L$12*(J454^2)+'CAFCO 400 '!$L$13*J454+'CAFCO 400 '!$L$14)*U454)+('CAFCO 400 '!$L$15*LN(J454)+'CAFCO 400 '!$L$16)),0)+IF(AND(L454="Cafco 400",M454="Software Idiem",C454="IN",G454=3),((('CAFCO 400 '!$D$23*(J454^2)+'CAFCO 400 '!$D$24*(J454)+'CAFCO 400 '!$D$25)*U454^2)+(('CAFCO 400 '!$D$26*(J454^2)+'CAFCO 400 '!$D$27*J454+'CAFCO 400 '!$D$28)*U454)+('CAFCO 400 '!$D$29*(J454^2)+'CAFCO 400 '!$D$30*J454+'CAFCO 400 '!$D$31)),0),0)+IF(AND(L454="Cafco 300",J454&gt;=95,J454&lt;=240,C454="Cj",I454=90),VLOOKUP(T454,'CAFCO 300 IDIEM TABLAS'!$B$4:$D$23,2,FALSE),0)+IF(AND(L454="Cafco 300",J454&gt;=95,J454&lt;=240,C454="Cj",I454=120),VLOOKUP(T454,'CAFCO 300 IDIEM TABLAS'!$B$4:$D$23,3,FALSE),0)+IF(AND(L454="Cafco 300",J454&gt;=95,J454&lt;=400,G454=3,C454="IN",I454=90),VLOOKUP(T454,'CAFCO 300 IDIEM TABLAS'!$F$4:$H$35,2,FALSE),0)+IF(AND(L454="Cafco 300",J454&gt;=95,J454&lt;=400,G454=3,C454="IN",I454=120),VLOOKUP(T454,'CAFCO 300 IDIEM TABLAS'!$F$4:$H$35,3,FALSE),0)+IF(AND(L454="Cafco 300",J454&gt;=95,J454&lt;=450,G454=4,C454="IN",I454=90),VLOOKUP(T454,'CAFCO 300 IDIEM TABLAS'!$J$4:$L$40,2,FALSE),0)+IF(AND(L454="Cafco 300",J454&gt;=95,J454&lt;=450,G454=4,C454="IN",I454=120),VLOOKUP(T454,'CAFCO 300 IDIEM TABLAS'!$J$4:$L$40,3,FALSE),0)+IF(AND(M454="Ensayo Idiem",L454="Cafco 400",C454="IN",G454=4,I454=90),VLOOKUP(T454,'CAFCO 400 ENSAYO'!$B$7:$D$43,2,FALSE),0)+IF(AND(M454="Ensayo Idiem",L454="Cafco 400",C454="IN",G454=4,I454=120),VLOOKUP(T454,'CAFCO 400 ENSAYO'!$B$7:$D$43,3,FALSE),0)</f>
        <v>0</v>
      </c>
      <c r="O454" s="96">
        <f t="shared" si="48"/>
        <v>0</v>
      </c>
      <c r="P454" s="95" t="str">
        <f t="shared" si="49"/>
        <v>N/A</v>
      </c>
      <c r="Q454" s="95" t="str">
        <f t="shared" si="50"/>
        <v>N/A</v>
      </c>
      <c r="R454" s="95" t="str">
        <f t="shared" si="51"/>
        <v>NO CERT.</v>
      </c>
      <c r="S454" s="95" t="e">
        <f t="shared" si="52"/>
        <v>#N/A</v>
      </c>
      <c r="T454" s="119" t="e">
        <f>+IF(J454=LOOKUP(J454,'CAFCO 300 IDIEM TABLAS'!$J$4:$J$40),'CALCULO MORTERO'!J454,MROUND('CALCULO MORTERO'!J454,10))</f>
        <v>#N/A</v>
      </c>
      <c r="U454" s="118">
        <f t="shared" si="53"/>
        <v>0</v>
      </c>
      <c r="Y454" s="4"/>
      <c r="Z454" s="4"/>
      <c r="AA454" s="4"/>
    </row>
    <row r="455" spans="1:27" x14ac:dyDescent="0.25">
      <c r="A455" s="118">
        <f>+CUBICACION!D449</f>
        <v>0</v>
      </c>
      <c r="B455" s="819">
        <f>+CUBICACION!E449</f>
        <v>0</v>
      </c>
      <c r="C455" s="675">
        <f>+CUBICACION!F449</f>
        <v>0</v>
      </c>
      <c r="D455" s="118"/>
      <c r="E455" s="118"/>
      <c r="F455" s="820"/>
      <c r="G455" s="675">
        <f>+CUBICACION!J449</f>
        <v>0</v>
      </c>
      <c r="H455" s="118"/>
      <c r="I455" s="821">
        <f>+CUBICACION!L449</f>
        <v>0</v>
      </c>
      <c r="J455" s="64">
        <f>+CUBICACION!M449</f>
        <v>0</v>
      </c>
      <c r="K455" s="822" t="str">
        <f>+CUBICACION!N449</f>
        <v/>
      </c>
      <c r="L455" s="118">
        <f>+CUBICACION!O449</f>
        <v>0</v>
      </c>
      <c r="M455" s="823">
        <f>+CUBICACION!P449</f>
        <v>0</v>
      </c>
      <c r="N455" s="902">
        <f>ROUND(IF(AND(L455="Blaze Shield II",M455="Software Idiem",C455="IN",G455=4),((('BLAZE SHIELD II'!$D$4*('CALCULO MORTERO'!I455^2)+'BLAZE SHIELD II'!$D$5*'CALCULO MORTERO'!I455+'BLAZE SHIELD II'!$D$6)*LN(J455))+('BLAZE SHIELD II'!$D$7*('CALCULO MORTERO'!I455^2)+'BLAZE SHIELD II'!$D$8*'CALCULO MORTERO'!I455+'BLAZE SHIELD II'!$D$9)),0)+IF(AND(L455="Blaze Shield II",M455="Software Idiem",C455="Cj"),((('BLAZE SHIELD II'!$H$4*('CALCULO MORTERO'!I455^2)+'BLAZE SHIELD II'!$H$5*'CALCULO MORTERO'!I455+'BLAZE SHIELD II'!$H$6)*LN(J455))+('BLAZE SHIELD II'!$H$7*('CALCULO MORTERO'!I455^2)+'BLAZE SHIELD II'!$H$8*'CALCULO MORTERO'!I455+'BLAZE SHIELD II'!$H$9)),0)+IF(AND(L455="Blaze Shield II",M455="Software Idiem",C455="C"),((('BLAZE SHIELD II'!$L$4*('CALCULO MORTERO'!I455^2)+'BLAZE SHIELD II'!$L$5*'CALCULO MORTERO'!I455+'BLAZE SHIELD II'!$L$6)*LN(J455))+('BLAZE SHIELD II'!$L$7*('CALCULO MORTERO'!I455^2)+'BLAZE SHIELD II'!$L$8*'CALCULO MORTERO'!I455+'BLAZE SHIELD II'!$L$9)),0)+IF(AND(L455="Blaze Shield II",M455="Software Idiem",C455="L"),((('BLAZE SHIELD II'!$L$4*('CALCULO MORTERO'!I455^2)+'BLAZE SHIELD II'!$L$5*'CALCULO MORTERO'!I455+'BLAZE SHIELD II'!$L$6)*LN(J455))+('BLAZE SHIELD II'!$L$7*('CALCULO MORTERO'!I455^2)+'BLAZE SHIELD II'!$L$8*'CALCULO MORTERO'!I455+'BLAZE SHIELD II'!$L$9)),0)+IF(AND(L455="Blaze Shield II",M455="Software Idiem",C455="IN",G455=3),((('BLAZE SHIELD II'!$H$14*('CALCULO MORTERO'!I455^2)+'BLAZE SHIELD II'!$H$15*'CALCULO MORTERO'!I455+'BLAZE SHIELD II'!$H$16)*LN(J455))+('BLAZE SHIELD II'!$H$17*('CALCULO MORTERO'!I455^2)+'BLAZE SHIELD II'!$H$18*'CALCULO MORTERO'!I455+'BLAZE SHIELD II'!$H$19)),0),0)+ROUND(IF(AND(L455="Cafco 400",M455="Software Idiem",C455="IN",G455=4),((('CAFCO 400 '!$H$7*(J455^4)+'CAFCO 400 '!$H$8*(J455^3)+'CAFCO 400 '!$H$9*(J455^2)+'CAFCO 400 '!$H$10*J455+'CAFCO 400 '!$H$11)*U455^2)+(('CAFCO 400 '!$H$12*(J455^3)+'CAFCO 400 '!$H$13*(J455^2)+'CAFCO 400 '!$H$14*J455+'CAFCO 400 '!$H$15)*U455)+('CAFCO 400 '!$H$16*(J455^2)+'CAFCO 400 '!$H$17*J455+'CAFCO 400 '!$H$18)),0)+IF(AND(L455="Cafco 400",M455="Software Idiem",C455="Cj"),(((('CAFCO 400 '!$D$7*LN(J455)+'CAFCO 400 '!$D$8)*U455^2)+(('CAFCO 400 '!$D$9*LN(J455)+'CAFCO 400 '!$D$10)*U455)+('CAFCO 400 '!$D$11*LN(J455)+'CAFCO 400 '!$D$12))),0)+IF(AND(L455="Cafco 400",M455="Software Idiem",C455="C"),((('CAFCO 400 '!$L$7*(J455^3)+'CAFCO 400 '!$L$8*(J455^2)+'CAFCO 400 '!$L$9*J455+'CAFCO 400 '!$L$10)*U455^2)+(('CAFCO 400 '!$L$11*(J455^3)+'CAFCO 400 '!$L$12*(J455^2)+'CAFCO 400 '!$L$13*J455+'CAFCO 400 '!$L$14)*U455)+('CAFCO 400 '!$L$15*LN(J455)+'CAFCO 400 '!$L$16)),0)+IF(AND(L455="Cafco 400",M455="Software Idiem",C455="L"),((('CAFCO 400 '!$L$7*(J455^3)+'CAFCO 400 '!$L$8*(J455^2)+'CAFCO 400 '!$L$9*J455+'CAFCO 400 '!$L$10)*U455^2)+(('CAFCO 400 '!$L$11*(J455^3)+'CAFCO 400 '!$L$12*(J455^2)+'CAFCO 400 '!$L$13*J455+'CAFCO 400 '!$L$14)*U455)+('CAFCO 400 '!$L$15*LN(J455)+'CAFCO 400 '!$L$16)),0)+IF(AND(L455="Cafco 400",M455="Software Idiem",C455="IN",G455=3),((('CAFCO 400 '!$D$23*(J455^2)+'CAFCO 400 '!$D$24*(J455)+'CAFCO 400 '!$D$25)*U455^2)+(('CAFCO 400 '!$D$26*(J455^2)+'CAFCO 400 '!$D$27*J455+'CAFCO 400 '!$D$28)*U455)+('CAFCO 400 '!$D$29*(J455^2)+'CAFCO 400 '!$D$30*J455+'CAFCO 400 '!$D$31)),0),0)+IF(AND(L455="Cafco 300",J455&gt;=95,J455&lt;=240,C455="Cj",I455=90),VLOOKUP(T455,'CAFCO 300 IDIEM TABLAS'!$B$4:$D$23,2,FALSE),0)+IF(AND(L455="Cafco 300",J455&gt;=95,J455&lt;=240,C455="Cj",I455=120),VLOOKUP(T455,'CAFCO 300 IDIEM TABLAS'!$B$4:$D$23,3,FALSE),0)+IF(AND(L455="Cafco 300",J455&gt;=95,J455&lt;=400,G455=3,C455="IN",I455=90),VLOOKUP(T455,'CAFCO 300 IDIEM TABLAS'!$F$4:$H$35,2,FALSE),0)+IF(AND(L455="Cafco 300",J455&gt;=95,J455&lt;=400,G455=3,C455="IN",I455=120),VLOOKUP(T455,'CAFCO 300 IDIEM TABLAS'!$F$4:$H$35,3,FALSE),0)+IF(AND(L455="Cafco 300",J455&gt;=95,J455&lt;=450,G455=4,C455="IN",I455=90),VLOOKUP(T455,'CAFCO 300 IDIEM TABLAS'!$J$4:$L$40,2,FALSE),0)+IF(AND(L455="Cafco 300",J455&gt;=95,J455&lt;=450,G455=4,C455="IN",I455=120),VLOOKUP(T455,'CAFCO 300 IDIEM TABLAS'!$J$4:$L$40,3,FALSE),0)+IF(AND(M455="Ensayo Idiem",L455="Cafco 400",C455="IN",G455=4,I455=90),VLOOKUP(T455,'CAFCO 400 ENSAYO'!$B$7:$D$43,2,FALSE),0)+IF(AND(M455="Ensayo Idiem",L455="Cafco 400",C455="IN",G455=4,I455=120),VLOOKUP(T455,'CAFCO 400 ENSAYO'!$B$7:$D$43,3,FALSE),0)</f>
        <v>0</v>
      </c>
      <c r="O455" s="96">
        <f t="shared" si="48"/>
        <v>0</v>
      </c>
      <c r="P455" s="132" t="str">
        <f t="shared" si="49"/>
        <v>N/A</v>
      </c>
      <c r="Q455" s="132" t="str">
        <f t="shared" si="50"/>
        <v>N/A</v>
      </c>
      <c r="R455" s="132" t="str">
        <f t="shared" si="51"/>
        <v>NO CERT.</v>
      </c>
      <c r="S455" s="132" t="e">
        <f t="shared" si="52"/>
        <v>#N/A</v>
      </c>
      <c r="T455" s="133" t="e">
        <f>+IF(J455=LOOKUP(J455,'CAFCO 300 IDIEM TABLAS'!$J$4:$J$40),'CALCULO MORTERO'!J455,MROUND('CALCULO MORTERO'!J455,10))</f>
        <v>#N/A</v>
      </c>
      <c r="U455" s="134">
        <f t="shared" si="53"/>
        <v>0</v>
      </c>
      <c r="Y455" s="4"/>
      <c r="Z455" s="4"/>
      <c r="AA455" s="4"/>
    </row>
    <row r="456" spans="1:27" x14ac:dyDescent="0.25">
      <c r="A456" s="118">
        <f>+CUBICACION!D450</f>
        <v>0</v>
      </c>
      <c r="B456" s="819">
        <f>+CUBICACION!E450</f>
        <v>0</v>
      </c>
      <c r="C456" s="675">
        <f>+CUBICACION!F450</f>
        <v>0</v>
      </c>
      <c r="D456" s="118"/>
      <c r="E456" s="118"/>
      <c r="F456" s="820"/>
      <c r="G456" s="675">
        <f>+CUBICACION!J450</f>
        <v>0</v>
      </c>
      <c r="H456" s="118"/>
      <c r="I456" s="821">
        <f>+CUBICACION!L450</f>
        <v>0</v>
      </c>
      <c r="J456" s="64">
        <f>+CUBICACION!M450</f>
        <v>0</v>
      </c>
      <c r="K456" s="822" t="str">
        <f>+CUBICACION!N450</f>
        <v/>
      </c>
      <c r="L456" s="118">
        <f>+CUBICACION!O450</f>
        <v>0</v>
      </c>
      <c r="M456" s="823">
        <f>+CUBICACION!P450</f>
        <v>0</v>
      </c>
      <c r="N456" s="902">
        <f>ROUND(IF(AND(L456="Blaze Shield II",M456="Software Idiem",C456="IN",G456=4),((('BLAZE SHIELD II'!$D$4*('CALCULO MORTERO'!I456^2)+'BLAZE SHIELD II'!$D$5*'CALCULO MORTERO'!I456+'BLAZE SHIELD II'!$D$6)*LN(J456))+('BLAZE SHIELD II'!$D$7*('CALCULO MORTERO'!I456^2)+'BLAZE SHIELD II'!$D$8*'CALCULO MORTERO'!I456+'BLAZE SHIELD II'!$D$9)),0)+IF(AND(L456="Blaze Shield II",M456="Software Idiem",C456="Cj"),((('BLAZE SHIELD II'!$H$4*('CALCULO MORTERO'!I456^2)+'BLAZE SHIELD II'!$H$5*'CALCULO MORTERO'!I456+'BLAZE SHIELD II'!$H$6)*LN(J456))+('BLAZE SHIELD II'!$H$7*('CALCULO MORTERO'!I456^2)+'BLAZE SHIELD II'!$H$8*'CALCULO MORTERO'!I456+'BLAZE SHIELD II'!$H$9)),0)+IF(AND(L456="Blaze Shield II",M456="Software Idiem",C456="C"),((('BLAZE SHIELD II'!$L$4*('CALCULO MORTERO'!I456^2)+'BLAZE SHIELD II'!$L$5*'CALCULO MORTERO'!I456+'BLAZE SHIELD II'!$L$6)*LN(J456))+('BLAZE SHIELD II'!$L$7*('CALCULO MORTERO'!I456^2)+'BLAZE SHIELD II'!$L$8*'CALCULO MORTERO'!I456+'BLAZE SHIELD II'!$L$9)),0)+IF(AND(L456="Blaze Shield II",M456="Software Idiem",C456="L"),((('BLAZE SHIELD II'!$L$4*('CALCULO MORTERO'!I456^2)+'BLAZE SHIELD II'!$L$5*'CALCULO MORTERO'!I456+'BLAZE SHIELD II'!$L$6)*LN(J456))+('BLAZE SHIELD II'!$L$7*('CALCULO MORTERO'!I456^2)+'BLAZE SHIELD II'!$L$8*'CALCULO MORTERO'!I456+'BLAZE SHIELD II'!$L$9)),0)+IF(AND(L456="Blaze Shield II",M456="Software Idiem",C456="IN",G456=3),((('BLAZE SHIELD II'!$H$14*('CALCULO MORTERO'!I456^2)+'BLAZE SHIELD II'!$H$15*'CALCULO MORTERO'!I456+'BLAZE SHIELD II'!$H$16)*LN(J456))+('BLAZE SHIELD II'!$H$17*('CALCULO MORTERO'!I456^2)+'BLAZE SHIELD II'!$H$18*'CALCULO MORTERO'!I456+'BLAZE SHIELD II'!$H$19)),0),0)+ROUND(IF(AND(L456="Cafco 400",M456="Software Idiem",C456="IN",G456=4),((('CAFCO 400 '!$H$7*(J456^4)+'CAFCO 400 '!$H$8*(J456^3)+'CAFCO 400 '!$H$9*(J456^2)+'CAFCO 400 '!$H$10*J456+'CAFCO 400 '!$H$11)*U456^2)+(('CAFCO 400 '!$H$12*(J456^3)+'CAFCO 400 '!$H$13*(J456^2)+'CAFCO 400 '!$H$14*J456+'CAFCO 400 '!$H$15)*U456)+('CAFCO 400 '!$H$16*(J456^2)+'CAFCO 400 '!$H$17*J456+'CAFCO 400 '!$H$18)),0)+IF(AND(L456="Cafco 400",M456="Software Idiem",C456="Cj"),(((('CAFCO 400 '!$D$7*LN(J456)+'CAFCO 400 '!$D$8)*U456^2)+(('CAFCO 400 '!$D$9*LN(J456)+'CAFCO 400 '!$D$10)*U456)+('CAFCO 400 '!$D$11*LN(J456)+'CAFCO 400 '!$D$12))),0)+IF(AND(L456="Cafco 400",M456="Software Idiem",C456="C"),((('CAFCO 400 '!$L$7*(J456^3)+'CAFCO 400 '!$L$8*(J456^2)+'CAFCO 400 '!$L$9*J456+'CAFCO 400 '!$L$10)*U456^2)+(('CAFCO 400 '!$L$11*(J456^3)+'CAFCO 400 '!$L$12*(J456^2)+'CAFCO 400 '!$L$13*J456+'CAFCO 400 '!$L$14)*U456)+('CAFCO 400 '!$L$15*LN(J456)+'CAFCO 400 '!$L$16)),0)+IF(AND(L456="Cafco 400",M456="Software Idiem",C456="L"),((('CAFCO 400 '!$L$7*(J456^3)+'CAFCO 400 '!$L$8*(J456^2)+'CAFCO 400 '!$L$9*J456+'CAFCO 400 '!$L$10)*U456^2)+(('CAFCO 400 '!$L$11*(J456^3)+'CAFCO 400 '!$L$12*(J456^2)+'CAFCO 400 '!$L$13*J456+'CAFCO 400 '!$L$14)*U456)+('CAFCO 400 '!$L$15*LN(J456)+'CAFCO 400 '!$L$16)),0)+IF(AND(L456="Cafco 400",M456="Software Idiem",C456="IN",G456=3),((('CAFCO 400 '!$D$23*(J456^2)+'CAFCO 400 '!$D$24*(J456)+'CAFCO 400 '!$D$25)*U456^2)+(('CAFCO 400 '!$D$26*(J456^2)+'CAFCO 400 '!$D$27*J456+'CAFCO 400 '!$D$28)*U456)+('CAFCO 400 '!$D$29*(J456^2)+'CAFCO 400 '!$D$30*J456+'CAFCO 400 '!$D$31)),0),0)+IF(AND(L456="Cafco 300",J456&gt;=95,J456&lt;=240,C456="Cj",I456=90),VLOOKUP(T456,'CAFCO 300 IDIEM TABLAS'!$B$4:$D$23,2,FALSE),0)+IF(AND(L456="Cafco 300",J456&gt;=95,J456&lt;=240,C456="Cj",I456=120),VLOOKUP(T456,'CAFCO 300 IDIEM TABLAS'!$B$4:$D$23,3,FALSE),0)+IF(AND(L456="Cafco 300",J456&gt;=95,J456&lt;=400,G456=3,C456="IN",I456=90),VLOOKUP(T456,'CAFCO 300 IDIEM TABLAS'!$F$4:$H$35,2,FALSE),0)+IF(AND(L456="Cafco 300",J456&gt;=95,J456&lt;=400,G456=3,C456="IN",I456=120),VLOOKUP(T456,'CAFCO 300 IDIEM TABLAS'!$F$4:$H$35,3,FALSE),0)+IF(AND(L456="Cafco 300",J456&gt;=95,J456&lt;=450,G456=4,C456="IN",I456=90),VLOOKUP(T456,'CAFCO 300 IDIEM TABLAS'!$J$4:$L$40,2,FALSE),0)+IF(AND(L456="Cafco 300",J456&gt;=95,J456&lt;=450,G456=4,C456="IN",I456=120),VLOOKUP(T456,'CAFCO 300 IDIEM TABLAS'!$J$4:$L$40,3,FALSE),0)+IF(AND(M456="Ensayo Idiem",L456="Cafco 400",C456="IN",G456=4,I456=90),VLOOKUP(T456,'CAFCO 400 ENSAYO'!$B$7:$D$43,2,FALSE),0)+IF(AND(M456="Ensayo Idiem",L456="Cafco 400",C456="IN",G456=4,I456=120),VLOOKUP(T456,'CAFCO 400 ENSAYO'!$B$7:$D$43,3,FALSE),0)</f>
        <v>0</v>
      </c>
      <c r="O456" s="96">
        <f t="shared" si="48"/>
        <v>0</v>
      </c>
      <c r="P456" s="95" t="str">
        <f t="shared" si="49"/>
        <v>N/A</v>
      </c>
      <c r="Q456" s="95" t="str">
        <f t="shared" si="50"/>
        <v>N/A</v>
      </c>
      <c r="R456" s="95" t="str">
        <f t="shared" si="51"/>
        <v>NO CERT.</v>
      </c>
      <c r="S456" s="95" t="e">
        <f t="shared" si="52"/>
        <v>#N/A</v>
      </c>
      <c r="T456" s="119" t="e">
        <f>+IF(J456=LOOKUP(J456,'CAFCO 300 IDIEM TABLAS'!$J$4:$J$40),'CALCULO MORTERO'!J456,MROUND('CALCULO MORTERO'!J456,10))</f>
        <v>#N/A</v>
      </c>
      <c r="U456" s="118">
        <f t="shared" si="53"/>
        <v>0</v>
      </c>
      <c r="Y456" s="4"/>
      <c r="Z456" s="4"/>
      <c r="AA456" s="4"/>
    </row>
    <row r="457" spans="1:27" x14ac:dyDescent="0.25">
      <c r="A457" s="118">
        <f>+CUBICACION!D451</f>
        <v>0</v>
      </c>
      <c r="B457" s="819">
        <f>+CUBICACION!E451</f>
        <v>0</v>
      </c>
      <c r="C457" s="675">
        <f>+CUBICACION!F451</f>
        <v>0</v>
      </c>
      <c r="D457" s="118"/>
      <c r="E457" s="118"/>
      <c r="F457" s="820"/>
      <c r="G457" s="675">
        <f>+CUBICACION!J451</f>
        <v>0</v>
      </c>
      <c r="H457" s="118"/>
      <c r="I457" s="821">
        <f>+CUBICACION!L451</f>
        <v>0</v>
      </c>
      <c r="J457" s="64">
        <f>+CUBICACION!M451</f>
        <v>0</v>
      </c>
      <c r="K457" s="822" t="str">
        <f>+CUBICACION!N451</f>
        <v/>
      </c>
      <c r="L457" s="118">
        <f>+CUBICACION!O451</f>
        <v>0</v>
      </c>
      <c r="M457" s="823">
        <f>+CUBICACION!P451</f>
        <v>0</v>
      </c>
      <c r="N457" s="902">
        <f>ROUND(IF(AND(L457="Blaze Shield II",M457="Software Idiem",C457="IN",G457=4),((('BLAZE SHIELD II'!$D$4*('CALCULO MORTERO'!I457^2)+'BLAZE SHIELD II'!$D$5*'CALCULO MORTERO'!I457+'BLAZE SHIELD II'!$D$6)*LN(J457))+('BLAZE SHIELD II'!$D$7*('CALCULO MORTERO'!I457^2)+'BLAZE SHIELD II'!$D$8*'CALCULO MORTERO'!I457+'BLAZE SHIELD II'!$D$9)),0)+IF(AND(L457="Blaze Shield II",M457="Software Idiem",C457="Cj"),((('BLAZE SHIELD II'!$H$4*('CALCULO MORTERO'!I457^2)+'BLAZE SHIELD II'!$H$5*'CALCULO MORTERO'!I457+'BLAZE SHIELD II'!$H$6)*LN(J457))+('BLAZE SHIELD II'!$H$7*('CALCULO MORTERO'!I457^2)+'BLAZE SHIELD II'!$H$8*'CALCULO MORTERO'!I457+'BLAZE SHIELD II'!$H$9)),0)+IF(AND(L457="Blaze Shield II",M457="Software Idiem",C457="C"),((('BLAZE SHIELD II'!$L$4*('CALCULO MORTERO'!I457^2)+'BLAZE SHIELD II'!$L$5*'CALCULO MORTERO'!I457+'BLAZE SHIELD II'!$L$6)*LN(J457))+('BLAZE SHIELD II'!$L$7*('CALCULO MORTERO'!I457^2)+'BLAZE SHIELD II'!$L$8*'CALCULO MORTERO'!I457+'BLAZE SHIELD II'!$L$9)),0)+IF(AND(L457="Blaze Shield II",M457="Software Idiem",C457="L"),((('BLAZE SHIELD II'!$L$4*('CALCULO MORTERO'!I457^2)+'BLAZE SHIELD II'!$L$5*'CALCULO MORTERO'!I457+'BLAZE SHIELD II'!$L$6)*LN(J457))+('BLAZE SHIELD II'!$L$7*('CALCULO MORTERO'!I457^2)+'BLAZE SHIELD II'!$L$8*'CALCULO MORTERO'!I457+'BLAZE SHIELD II'!$L$9)),0)+IF(AND(L457="Blaze Shield II",M457="Software Idiem",C457="IN",G457=3),((('BLAZE SHIELD II'!$H$14*('CALCULO MORTERO'!I457^2)+'BLAZE SHIELD II'!$H$15*'CALCULO MORTERO'!I457+'BLAZE SHIELD II'!$H$16)*LN(J457))+('BLAZE SHIELD II'!$H$17*('CALCULO MORTERO'!I457^2)+'BLAZE SHIELD II'!$H$18*'CALCULO MORTERO'!I457+'BLAZE SHIELD II'!$H$19)),0),0)+ROUND(IF(AND(L457="Cafco 400",M457="Software Idiem",C457="IN",G457=4),((('CAFCO 400 '!$H$7*(J457^4)+'CAFCO 400 '!$H$8*(J457^3)+'CAFCO 400 '!$H$9*(J457^2)+'CAFCO 400 '!$H$10*J457+'CAFCO 400 '!$H$11)*U457^2)+(('CAFCO 400 '!$H$12*(J457^3)+'CAFCO 400 '!$H$13*(J457^2)+'CAFCO 400 '!$H$14*J457+'CAFCO 400 '!$H$15)*U457)+('CAFCO 400 '!$H$16*(J457^2)+'CAFCO 400 '!$H$17*J457+'CAFCO 400 '!$H$18)),0)+IF(AND(L457="Cafco 400",M457="Software Idiem",C457="Cj"),(((('CAFCO 400 '!$D$7*LN(J457)+'CAFCO 400 '!$D$8)*U457^2)+(('CAFCO 400 '!$D$9*LN(J457)+'CAFCO 400 '!$D$10)*U457)+('CAFCO 400 '!$D$11*LN(J457)+'CAFCO 400 '!$D$12))),0)+IF(AND(L457="Cafco 400",M457="Software Idiem",C457="C"),((('CAFCO 400 '!$L$7*(J457^3)+'CAFCO 400 '!$L$8*(J457^2)+'CAFCO 400 '!$L$9*J457+'CAFCO 400 '!$L$10)*U457^2)+(('CAFCO 400 '!$L$11*(J457^3)+'CAFCO 400 '!$L$12*(J457^2)+'CAFCO 400 '!$L$13*J457+'CAFCO 400 '!$L$14)*U457)+('CAFCO 400 '!$L$15*LN(J457)+'CAFCO 400 '!$L$16)),0)+IF(AND(L457="Cafco 400",M457="Software Idiem",C457="L"),((('CAFCO 400 '!$L$7*(J457^3)+'CAFCO 400 '!$L$8*(J457^2)+'CAFCO 400 '!$L$9*J457+'CAFCO 400 '!$L$10)*U457^2)+(('CAFCO 400 '!$L$11*(J457^3)+'CAFCO 400 '!$L$12*(J457^2)+'CAFCO 400 '!$L$13*J457+'CAFCO 400 '!$L$14)*U457)+('CAFCO 400 '!$L$15*LN(J457)+'CAFCO 400 '!$L$16)),0)+IF(AND(L457="Cafco 400",M457="Software Idiem",C457="IN",G457=3),((('CAFCO 400 '!$D$23*(J457^2)+'CAFCO 400 '!$D$24*(J457)+'CAFCO 400 '!$D$25)*U457^2)+(('CAFCO 400 '!$D$26*(J457^2)+'CAFCO 400 '!$D$27*J457+'CAFCO 400 '!$D$28)*U457)+('CAFCO 400 '!$D$29*(J457^2)+'CAFCO 400 '!$D$30*J457+'CAFCO 400 '!$D$31)),0),0)+IF(AND(L457="Cafco 300",J457&gt;=95,J457&lt;=240,C457="Cj",I457=90),VLOOKUP(T457,'CAFCO 300 IDIEM TABLAS'!$B$4:$D$23,2,FALSE),0)+IF(AND(L457="Cafco 300",J457&gt;=95,J457&lt;=240,C457="Cj",I457=120),VLOOKUP(T457,'CAFCO 300 IDIEM TABLAS'!$B$4:$D$23,3,FALSE),0)+IF(AND(L457="Cafco 300",J457&gt;=95,J457&lt;=400,G457=3,C457="IN",I457=90),VLOOKUP(T457,'CAFCO 300 IDIEM TABLAS'!$F$4:$H$35,2,FALSE),0)+IF(AND(L457="Cafco 300",J457&gt;=95,J457&lt;=400,G457=3,C457="IN",I457=120),VLOOKUP(T457,'CAFCO 300 IDIEM TABLAS'!$F$4:$H$35,3,FALSE),0)+IF(AND(L457="Cafco 300",J457&gt;=95,J457&lt;=450,G457=4,C457="IN",I457=90),VLOOKUP(T457,'CAFCO 300 IDIEM TABLAS'!$J$4:$L$40,2,FALSE),0)+IF(AND(L457="Cafco 300",J457&gt;=95,J457&lt;=450,G457=4,C457="IN",I457=120),VLOOKUP(T457,'CAFCO 300 IDIEM TABLAS'!$J$4:$L$40,3,FALSE),0)+IF(AND(M457="Ensayo Idiem",L457="Cafco 400",C457="IN",G457=4,I457=90),VLOOKUP(T457,'CAFCO 400 ENSAYO'!$B$7:$D$43,2,FALSE),0)+IF(AND(M457="Ensayo Idiem",L457="Cafco 400",C457="IN",G457=4,I457=120),VLOOKUP(T457,'CAFCO 400 ENSAYO'!$B$7:$D$43,3,FALSE),0)</f>
        <v>0</v>
      </c>
      <c r="O457" s="96">
        <f t="shared" si="48"/>
        <v>0</v>
      </c>
      <c r="P457" s="132" t="str">
        <f t="shared" si="49"/>
        <v>N/A</v>
      </c>
      <c r="Q457" s="132" t="str">
        <f t="shared" si="50"/>
        <v>N/A</v>
      </c>
      <c r="R457" s="132" t="str">
        <f t="shared" si="51"/>
        <v>NO CERT.</v>
      </c>
      <c r="S457" s="132" t="e">
        <f t="shared" si="52"/>
        <v>#N/A</v>
      </c>
      <c r="T457" s="133" t="e">
        <f>+IF(J457=LOOKUP(J457,'CAFCO 300 IDIEM TABLAS'!$J$4:$J$40),'CALCULO MORTERO'!J457,MROUND('CALCULO MORTERO'!J457,10))</f>
        <v>#N/A</v>
      </c>
      <c r="U457" s="134">
        <f t="shared" si="53"/>
        <v>0</v>
      </c>
      <c r="Y457" s="4"/>
      <c r="Z457" s="4"/>
      <c r="AA457" s="4"/>
    </row>
    <row r="458" spans="1:27" x14ac:dyDescent="0.25">
      <c r="A458" s="118">
        <f>+CUBICACION!D452</f>
        <v>0</v>
      </c>
      <c r="B458" s="819">
        <f>+CUBICACION!E452</f>
        <v>0</v>
      </c>
      <c r="C458" s="675">
        <f>+CUBICACION!F452</f>
        <v>0</v>
      </c>
      <c r="D458" s="118"/>
      <c r="E458" s="118"/>
      <c r="F458" s="820"/>
      <c r="G458" s="675">
        <f>+CUBICACION!J452</f>
        <v>0</v>
      </c>
      <c r="H458" s="118"/>
      <c r="I458" s="821">
        <f>+CUBICACION!L452</f>
        <v>0</v>
      </c>
      <c r="J458" s="64">
        <f>+CUBICACION!M452</f>
        <v>0</v>
      </c>
      <c r="K458" s="822" t="str">
        <f>+CUBICACION!N452</f>
        <v/>
      </c>
      <c r="L458" s="118">
        <f>+CUBICACION!O452</f>
        <v>0</v>
      </c>
      <c r="M458" s="823">
        <f>+CUBICACION!P452</f>
        <v>0</v>
      </c>
      <c r="N458" s="902">
        <f>ROUND(IF(AND(L458="Blaze Shield II",M458="Software Idiem",C458="IN",G458=4),((('BLAZE SHIELD II'!$D$4*('CALCULO MORTERO'!I458^2)+'BLAZE SHIELD II'!$D$5*'CALCULO MORTERO'!I458+'BLAZE SHIELD II'!$D$6)*LN(J458))+('BLAZE SHIELD II'!$D$7*('CALCULO MORTERO'!I458^2)+'BLAZE SHIELD II'!$D$8*'CALCULO MORTERO'!I458+'BLAZE SHIELD II'!$D$9)),0)+IF(AND(L458="Blaze Shield II",M458="Software Idiem",C458="Cj"),((('BLAZE SHIELD II'!$H$4*('CALCULO MORTERO'!I458^2)+'BLAZE SHIELD II'!$H$5*'CALCULO MORTERO'!I458+'BLAZE SHIELD II'!$H$6)*LN(J458))+('BLAZE SHIELD II'!$H$7*('CALCULO MORTERO'!I458^2)+'BLAZE SHIELD II'!$H$8*'CALCULO MORTERO'!I458+'BLAZE SHIELD II'!$H$9)),0)+IF(AND(L458="Blaze Shield II",M458="Software Idiem",C458="C"),((('BLAZE SHIELD II'!$L$4*('CALCULO MORTERO'!I458^2)+'BLAZE SHIELD II'!$L$5*'CALCULO MORTERO'!I458+'BLAZE SHIELD II'!$L$6)*LN(J458))+('BLAZE SHIELD II'!$L$7*('CALCULO MORTERO'!I458^2)+'BLAZE SHIELD II'!$L$8*'CALCULO MORTERO'!I458+'BLAZE SHIELD II'!$L$9)),0)+IF(AND(L458="Blaze Shield II",M458="Software Idiem",C458="L"),((('BLAZE SHIELD II'!$L$4*('CALCULO MORTERO'!I458^2)+'BLAZE SHIELD II'!$L$5*'CALCULO MORTERO'!I458+'BLAZE SHIELD II'!$L$6)*LN(J458))+('BLAZE SHIELD II'!$L$7*('CALCULO MORTERO'!I458^2)+'BLAZE SHIELD II'!$L$8*'CALCULO MORTERO'!I458+'BLAZE SHIELD II'!$L$9)),0)+IF(AND(L458="Blaze Shield II",M458="Software Idiem",C458="IN",G458=3),((('BLAZE SHIELD II'!$H$14*('CALCULO MORTERO'!I458^2)+'BLAZE SHIELD II'!$H$15*'CALCULO MORTERO'!I458+'BLAZE SHIELD II'!$H$16)*LN(J458))+('BLAZE SHIELD II'!$H$17*('CALCULO MORTERO'!I458^2)+'BLAZE SHIELD II'!$H$18*'CALCULO MORTERO'!I458+'BLAZE SHIELD II'!$H$19)),0),0)+ROUND(IF(AND(L458="Cafco 400",M458="Software Idiem",C458="IN",G458=4),((('CAFCO 400 '!$H$7*(J458^4)+'CAFCO 400 '!$H$8*(J458^3)+'CAFCO 400 '!$H$9*(J458^2)+'CAFCO 400 '!$H$10*J458+'CAFCO 400 '!$H$11)*U458^2)+(('CAFCO 400 '!$H$12*(J458^3)+'CAFCO 400 '!$H$13*(J458^2)+'CAFCO 400 '!$H$14*J458+'CAFCO 400 '!$H$15)*U458)+('CAFCO 400 '!$H$16*(J458^2)+'CAFCO 400 '!$H$17*J458+'CAFCO 400 '!$H$18)),0)+IF(AND(L458="Cafco 400",M458="Software Idiem",C458="Cj"),(((('CAFCO 400 '!$D$7*LN(J458)+'CAFCO 400 '!$D$8)*U458^2)+(('CAFCO 400 '!$D$9*LN(J458)+'CAFCO 400 '!$D$10)*U458)+('CAFCO 400 '!$D$11*LN(J458)+'CAFCO 400 '!$D$12))),0)+IF(AND(L458="Cafco 400",M458="Software Idiem",C458="C"),((('CAFCO 400 '!$L$7*(J458^3)+'CAFCO 400 '!$L$8*(J458^2)+'CAFCO 400 '!$L$9*J458+'CAFCO 400 '!$L$10)*U458^2)+(('CAFCO 400 '!$L$11*(J458^3)+'CAFCO 400 '!$L$12*(J458^2)+'CAFCO 400 '!$L$13*J458+'CAFCO 400 '!$L$14)*U458)+('CAFCO 400 '!$L$15*LN(J458)+'CAFCO 400 '!$L$16)),0)+IF(AND(L458="Cafco 400",M458="Software Idiem",C458="L"),((('CAFCO 400 '!$L$7*(J458^3)+'CAFCO 400 '!$L$8*(J458^2)+'CAFCO 400 '!$L$9*J458+'CAFCO 400 '!$L$10)*U458^2)+(('CAFCO 400 '!$L$11*(J458^3)+'CAFCO 400 '!$L$12*(J458^2)+'CAFCO 400 '!$L$13*J458+'CAFCO 400 '!$L$14)*U458)+('CAFCO 400 '!$L$15*LN(J458)+'CAFCO 400 '!$L$16)),0)+IF(AND(L458="Cafco 400",M458="Software Idiem",C458="IN",G458=3),((('CAFCO 400 '!$D$23*(J458^2)+'CAFCO 400 '!$D$24*(J458)+'CAFCO 400 '!$D$25)*U458^2)+(('CAFCO 400 '!$D$26*(J458^2)+'CAFCO 400 '!$D$27*J458+'CAFCO 400 '!$D$28)*U458)+('CAFCO 400 '!$D$29*(J458^2)+'CAFCO 400 '!$D$30*J458+'CAFCO 400 '!$D$31)),0),0)+IF(AND(L458="Cafco 300",J458&gt;=95,J458&lt;=240,C458="Cj",I458=90),VLOOKUP(T458,'CAFCO 300 IDIEM TABLAS'!$B$4:$D$23,2,FALSE),0)+IF(AND(L458="Cafco 300",J458&gt;=95,J458&lt;=240,C458="Cj",I458=120),VLOOKUP(T458,'CAFCO 300 IDIEM TABLAS'!$B$4:$D$23,3,FALSE),0)+IF(AND(L458="Cafco 300",J458&gt;=95,J458&lt;=400,G458=3,C458="IN",I458=90),VLOOKUP(T458,'CAFCO 300 IDIEM TABLAS'!$F$4:$H$35,2,FALSE),0)+IF(AND(L458="Cafco 300",J458&gt;=95,J458&lt;=400,G458=3,C458="IN",I458=120),VLOOKUP(T458,'CAFCO 300 IDIEM TABLAS'!$F$4:$H$35,3,FALSE),0)+IF(AND(L458="Cafco 300",J458&gt;=95,J458&lt;=450,G458=4,C458="IN",I458=90),VLOOKUP(T458,'CAFCO 300 IDIEM TABLAS'!$J$4:$L$40,2,FALSE),0)+IF(AND(L458="Cafco 300",J458&gt;=95,J458&lt;=450,G458=4,C458="IN",I458=120),VLOOKUP(T458,'CAFCO 300 IDIEM TABLAS'!$J$4:$L$40,3,FALSE),0)+IF(AND(M458="Ensayo Idiem",L458="Cafco 400",C458="IN",G458=4,I458=90),VLOOKUP(T458,'CAFCO 400 ENSAYO'!$B$7:$D$43,2,FALSE),0)+IF(AND(M458="Ensayo Idiem",L458="Cafco 400",C458="IN",G458=4,I458=120),VLOOKUP(T458,'CAFCO 400 ENSAYO'!$B$7:$D$43,3,FALSE),0)</f>
        <v>0</v>
      </c>
      <c r="O458" s="96">
        <f t="shared" si="48"/>
        <v>0</v>
      </c>
      <c r="P458" s="95" t="str">
        <f t="shared" si="49"/>
        <v>N/A</v>
      </c>
      <c r="Q458" s="95" t="str">
        <f t="shared" si="50"/>
        <v>N/A</v>
      </c>
      <c r="R458" s="95" t="str">
        <f t="shared" si="51"/>
        <v>NO CERT.</v>
      </c>
      <c r="S458" s="95" t="e">
        <f t="shared" si="52"/>
        <v>#N/A</v>
      </c>
      <c r="T458" s="119" t="e">
        <f>+IF(J458=LOOKUP(J458,'CAFCO 300 IDIEM TABLAS'!$J$4:$J$40),'CALCULO MORTERO'!J458,MROUND('CALCULO MORTERO'!J458,10))</f>
        <v>#N/A</v>
      </c>
      <c r="U458" s="118">
        <f t="shared" si="53"/>
        <v>0</v>
      </c>
      <c r="Y458" s="4"/>
      <c r="Z458" s="4"/>
      <c r="AA458" s="4"/>
    </row>
    <row r="459" spans="1:27" x14ac:dyDescent="0.25">
      <c r="A459" s="118">
        <f>+CUBICACION!D453</f>
        <v>0</v>
      </c>
      <c r="B459" s="819">
        <f>+CUBICACION!E453</f>
        <v>0</v>
      </c>
      <c r="C459" s="675">
        <f>+CUBICACION!F453</f>
        <v>0</v>
      </c>
      <c r="D459" s="118"/>
      <c r="E459" s="118"/>
      <c r="F459" s="820"/>
      <c r="G459" s="675">
        <f>+CUBICACION!J453</f>
        <v>0</v>
      </c>
      <c r="H459" s="118"/>
      <c r="I459" s="821">
        <f>+CUBICACION!L453</f>
        <v>0</v>
      </c>
      <c r="J459" s="64">
        <f>+CUBICACION!M453</f>
        <v>0</v>
      </c>
      <c r="K459" s="822" t="str">
        <f>+CUBICACION!N453</f>
        <v/>
      </c>
      <c r="L459" s="118">
        <f>+CUBICACION!O453</f>
        <v>0</v>
      </c>
      <c r="M459" s="823">
        <f>+CUBICACION!P453</f>
        <v>0</v>
      </c>
      <c r="N459" s="902">
        <f>ROUND(IF(AND(L459="Blaze Shield II",M459="Software Idiem",C459="IN",G459=4),((('BLAZE SHIELD II'!$D$4*('CALCULO MORTERO'!I459^2)+'BLAZE SHIELD II'!$D$5*'CALCULO MORTERO'!I459+'BLAZE SHIELD II'!$D$6)*LN(J459))+('BLAZE SHIELD II'!$D$7*('CALCULO MORTERO'!I459^2)+'BLAZE SHIELD II'!$D$8*'CALCULO MORTERO'!I459+'BLAZE SHIELD II'!$D$9)),0)+IF(AND(L459="Blaze Shield II",M459="Software Idiem",C459="Cj"),((('BLAZE SHIELD II'!$H$4*('CALCULO MORTERO'!I459^2)+'BLAZE SHIELD II'!$H$5*'CALCULO MORTERO'!I459+'BLAZE SHIELD II'!$H$6)*LN(J459))+('BLAZE SHIELD II'!$H$7*('CALCULO MORTERO'!I459^2)+'BLAZE SHIELD II'!$H$8*'CALCULO MORTERO'!I459+'BLAZE SHIELD II'!$H$9)),0)+IF(AND(L459="Blaze Shield II",M459="Software Idiem",C459="C"),((('BLAZE SHIELD II'!$L$4*('CALCULO MORTERO'!I459^2)+'BLAZE SHIELD II'!$L$5*'CALCULO MORTERO'!I459+'BLAZE SHIELD II'!$L$6)*LN(J459))+('BLAZE SHIELD II'!$L$7*('CALCULO MORTERO'!I459^2)+'BLAZE SHIELD II'!$L$8*'CALCULO MORTERO'!I459+'BLAZE SHIELD II'!$L$9)),0)+IF(AND(L459="Blaze Shield II",M459="Software Idiem",C459="L"),((('BLAZE SHIELD II'!$L$4*('CALCULO MORTERO'!I459^2)+'BLAZE SHIELD II'!$L$5*'CALCULO MORTERO'!I459+'BLAZE SHIELD II'!$L$6)*LN(J459))+('BLAZE SHIELD II'!$L$7*('CALCULO MORTERO'!I459^2)+'BLAZE SHIELD II'!$L$8*'CALCULO MORTERO'!I459+'BLAZE SHIELD II'!$L$9)),0)+IF(AND(L459="Blaze Shield II",M459="Software Idiem",C459="IN",G459=3),((('BLAZE SHIELD II'!$H$14*('CALCULO MORTERO'!I459^2)+'BLAZE SHIELD II'!$H$15*'CALCULO MORTERO'!I459+'BLAZE SHIELD II'!$H$16)*LN(J459))+('BLAZE SHIELD II'!$H$17*('CALCULO MORTERO'!I459^2)+'BLAZE SHIELD II'!$H$18*'CALCULO MORTERO'!I459+'BLAZE SHIELD II'!$H$19)),0),0)+ROUND(IF(AND(L459="Cafco 400",M459="Software Idiem",C459="IN",G459=4),((('CAFCO 400 '!$H$7*(J459^4)+'CAFCO 400 '!$H$8*(J459^3)+'CAFCO 400 '!$H$9*(J459^2)+'CAFCO 400 '!$H$10*J459+'CAFCO 400 '!$H$11)*U459^2)+(('CAFCO 400 '!$H$12*(J459^3)+'CAFCO 400 '!$H$13*(J459^2)+'CAFCO 400 '!$H$14*J459+'CAFCO 400 '!$H$15)*U459)+('CAFCO 400 '!$H$16*(J459^2)+'CAFCO 400 '!$H$17*J459+'CAFCO 400 '!$H$18)),0)+IF(AND(L459="Cafco 400",M459="Software Idiem",C459="Cj"),(((('CAFCO 400 '!$D$7*LN(J459)+'CAFCO 400 '!$D$8)*U459^2)+(('CAFCO 400 '!$D$9*LN(J459)+'CAFCO 400 '!$D$10)*U459)+('CAFCO 400 '!$D$11*LN(J459)+'CAFCO 400 '!$D$12))),0)+IF(AND(L459="Cafco 400",M459="Software Idiem",C459="C"),((('CAFCO 400 '!$L$7*(J459^3)+'CAFCO 400 '!$L$8*(J459^2)+'CAFCO 400 '!$L$9*J459+'CAFCO 400 '!$L$10)*U459^2)+(('CAFCO 400 '!$L$11*(J459^3)+'CAFCO 400 '!$L$12*(J459^2)+'CAFCO 400 '!$L$13*J459+'CAFCO 400 '!$L$14)*U459)+('CAFCO 400 '!$L$15*LN(J459)+'CAFCO 400 '!$L$16)),0)+IF(AND(L459="Cafco 400",M459="Software Idiem",C459="L"),((('CAFCO 400 '!$L$7*(J459^3)+'CAFCO 400 '!$L$8*(J459^2)+'CAFCO 400 '!$L$9*J459+'CAFCO 400 '!$L$10)*U459^2)+(('CAFCO 400 '!$L$11*(J459^3)+'CAFCO 400 '!$L$12*(J459^2)+'CAFCO 400 '!$L$13*J459+'CAFCO 400 '!$L$14)*U459)+('CAFCO 400 '!$L$15*LN(J459)+'CAFCO 400 '!$L$16)),0)+IF(AND(L459="Cafco 400",M459="Software Idiem",C459="IN",G459=3),((('CAFCO 400 '!$D$23*(J459^2)+'CAFCO 400 '!$D$24*(J459)+'CAFCO 400 '!$D$25)*U459^2)+(('CAFCO 400 '!$D$26*(J459^2)+'CAFCO 400 '!$D$27*J459+'CAFCO 400 '!$D$28)*U459)+('CAFCO 400 '!$D$29*(J459^2)+'CAFCO 400 '!$D$30*J459+'CAFCO 400 '!$D$31)),0),0)+IF(AND(L459="Cafco 300",J459&gt;=95,J459&lt;=240,C459="Cj",I459=90),VLOOKUP(T459,'CAFCO 300 IDIEM TABLAS'!$B$4:$D$23,2,FALSE),0)+IF(AND(L459="Cafco 300",J459&gt;=95,J459&lt;=240,C459="Cj",I459=120),VLOOKUP(T459,'CAFCO 300 IDIEM TABLAS'!$B$4:$D$23,3,FALSE),0)+IF(AND(L459="Cafco 300",J459&gt;=95,J459&lt;=400,G459=3,C459="IN",I459=90),VLOOKUP(T459,'CAFCO 300 IDIEM TABLAS'!$F$4:$H$35,2,FALSE),0)+IF(AND(L459="Cafco 300",J459&gt;=95,J459&lt;=400,G459=3,C459="IN",I459=120),VLOOKUP(T459,'CAFCO 300 IDIEM TABLAS'!$F$4:$H$35,3,FALSE),0)+IF(AND(L459="Cafco 300",J459&gt;=95,J459&lt;=450,G459=4,C459="IN",I459=90),VLOOKUP(T459,'CAFCO 300 IDIEM TABLAS'!$J$4:$L$40,2,FALSE),0)+IF(AND(L459="Cafco 300",J459&gt;=95,J459&lt;=450,G459=4,C459="IN",I459=120),VLOOKUP(T459,'CAFCO 300 IDIEM TABLAS'!$J$4:$L$40,3,FALSE),0)+IF(AND(M459="Ensayo Idiem",L459="Cafco 400",C459="IN",G459=4,I459=90),VLOOKUP(T459,'CAFCO 400 ENSAYO'!$B$7:$D$43,2,FALSE),0)+IF(AND(M459="Ensayo Idiem",L459="Cafco 400",C459="IN",G459=4,I459=120),VLOOKUP(T459,'CAFCO 400 ENSAYO'!$B$7:$D$43,3,FALSE),0)</f>
        <v>0</v>
      </c>
      <c r="O459" s="96">
        <f t="shared" ref="O459:O522" si="54">((IF(L459="Blaze Shield II",((K459*N459*0.43)/38),IF(L459="Cafco 400",((K459*N459*0.43)/23),IF(L459="Cafco 300",((K459*N459*0.43)/31.16),0)))))</f>
        <v>0</v>
      </c>
      <c r="P459" s="132" t="str">
        <f t="shared" si="49"/>
        <v>N/A</v>
      </c>
      <c r="Q459" s="132" t="str">
        <f t="shared" si="50"/>
        <v>N/A</v>
      </c>
      <c r="R459" s="132" t="str">
        <f t="shared" si="51"/>
        <v>NO CERT.</v>
      </c>
      <c r="S459" s="132" t="e">
        <f t="shared" si="52"/>
        <v>#N/A</v>
      </c>
      <c r="T459" s="133" t="e">
        <f>+IF(J459=LOOKUP(J459,'CAFCO 300 IDIEM TABLAS'!$J$4:$J$40),'CALCULO MORTERO'!J459,MROUND('CALCULO MORTERO'!J459,10))</f>
        <v>#N/A</v>
      </c>
      <c r="U459" s="134">
        <f t="shared" si="53"/>
        <v>0</v>
      </c>
      <c r="Y459" s="4"/>
      <c r="Z459" s="4"/>
      <c r="AA459" s="4"/>
    </row>
    <row r="460" spans="1:27" x14ac:dyDescent="0.25">
      <c r="A460" s="118">
        <f>+CUBICACION!D454</f>
        <v>0</v>
      </c>
      <c r="B460" s="819">
        <f>+CUBICACION!E454</f>
        <v>0</v>
      </c>
      <c r="C460" s="675">
        <f>+CUBICACION!F454</f>
        <v>0</v>
      </c>
      <c r="D460" s="118"/>
      <c r="E460" s="118"/>
      <c r="F460" s="820"/>
      <c r="G460" s="675">
        <f>+CUBICACION!J454</f>
        <v>0</v>
      </c>
      <c r="H460" s="118"/>
      <c r="I460" s="821">
        <f>+CUBICACION!L454</f>
        <v>0</v>
      </c>
      <c r="J460" s="64">
        <f>+CUBICACION!M454</f>
        <v>0</v>
      </c>
      <c r="K460" s="822" t="str">
        <f>+CUBICACION!N454</f>
        <v/>
      </c>
      <c r="L460" s="118">
        <f>+CUBICACION!O454</f>
        <v>0</v>
      </c>
      <c r="M460" s="823">
        <f>+CUBICACION!P454</f>
        <v>0</v>
      </c>
      <c r="N460" s="902">
        <f>ROUND(IF(AND(L460="Blaze Shield II",M460="Software Idiem",C460="IN",G460=4),((('BLAZE SHIELD II'!$D$4*('CALCULO MORTERO'!I460^2)+'BLAZE SHIELD II'!$D$5*'CALCULO MORTERO'!I460+'BLAZE SHIELD II'!$D$6)*LN(J460))+('BLAZE SHIELD II'!$D$7*('CALCULO MORTERO'!I460^2)+'BLAZE SHIELD II'!$D$8*'CALCULO MORTERO'!I460+'BLAZE SHIELD II'!$D$9)),0)+IF(AND(L460="Blaze Shield II",M460="Software Idiem",C460="Cj"),((('BLAZE SHIELD II'!$H$4*('CALCULO MORTERO'!I460^2)+'BLAZE SHIELD II'!$H$5*'CALCULO MORTERO'!I460+'BLAZE SHIELD II'!$H$6)*LN(J460))+('BLAZE SHIELD II'!$H$7*('CALCULO MORTERO'!I460^2)+'BLAZE SHIELD II'!$H$8*'CALCULO MORTERO'!I460+'BLAZE SHIELD II'!$H$9)),0)+IF(AND(L460="Blaze Shield II",M460="Software Idiem",C460="C"),((('BLAZE SHIELD II'!$L$4*('CALCULO MORTERO'!I460^2)+'BLAZE SHIELD II'!$L$5*'CALCULO MORTERO'!I460+'BLAZE SHIELD II'!$L$6)*LN(J460))+('BLAZE SHIELD II'!$L$7*('CALCULO MORTERO'!I460^2)+'BLAZE SHIELD II'!$L$8*'CALCULO MORTERO'!I460+'BLAZE SHIELD II'!$L$9)),0)+IF(AND(L460="Blaze Shield II",M460="Software Idiem",C460="L"),((('BLAZE SHIELD II'!$L$4*('CALCULO MORTERO'!I460^2)+'BLAZE SHIELD II'!$L$5*'CALCULO MORTERO'!I460+'BLAZE SHIELD II'!$L$6)*LN(J460))+('BLAZE SHIELD II'!$L$7*('CALCULO MORTERO'!I460^2)+'BLAZE SHIELD II'!$L$8*'CALCULO MORTERO'!I460+'BLAZE SHIELD II'!$L$9)),0)+IF(AND(L460="Blaze Shield II",M460="Software Idiem",C460="IN",G460=3),((('BLAZE SHIELD II'!$H$14*('CALCULO MORTERO'!I460^2)+'BLAZE SHIELD II'!$H$15*'CALCULO MORTERO'!I460+'BLAZE SHIELD II'!$H$16)*LN(J460))+('BLAZE SHIELD II'!$H$17*('CALCULO MORTERO'!I460^2)+'BLAZE SHIELD II'!$H$18*'CALCULO MORTERO'!I460+'BLAZE SHIELD II'!$H$19)),0),0)+ROUND(IF(AND(L460="Cafco 400",M460="Software Idiem",C460="IN",G460=4),((('CAFCO 400 '!$H$7*(J460^4)+'CAFCO 400 '!$H$8*(J460^3)+'CAFCO 400 '!$H$9*(J460^2)+'CAFCO 400 '!$H$10*J460+'CAFCO 400 '!$H$11)*U460^2)+(('CAFCO 400 '!$H$12*(J460^3)+'CAFCO 400 '!$H$13*(J460^2)+'CAFCO 400 '!$H$14*J460+'CAFCO 400 '!$H$15)*U460)+('CAFCO 400 '!$H$16*(J460^2)+'CAFCO 400 '!$H$17*J460+'CAFCO 400 '!$H$18)),0)+IF(AND(L460="Cafco 400",M460="Software Idiem",C460="Cj"),(((('CAFCO 400 '!$D$7*LN(J460)+'CAFCO 400 '!$D$8)*U460^2)+(('CAFCO 400 '!$D$9*LN(J460)+'CAFCO 400 '!$D$10)*U460)+('CAFCO 400 '!$D$11*LN(J460)+'CAFCO 400 '!$D$12))),0)+IF(AND(L460="Cafco 400",M460="Software Idiem",C460="C"),((('CAFCO 400 '!$L$7*(J460^3)+'CAFCO 400 '!$L$8*(J460^2)+'CAFCO 400 '!$L$9*J460+'CAFCO 400 '!$L$10)*U460^2)+(('CAFCO 400 '!$L$11*(J460^3)+'CAFCO 400 '!$L$12*(J460^2)+'CAFCO 400 '!$L$13*J460+'CAFCO 400 '!$L$14)*U460)+('CAFCO 400 '!$L$15*LN(J460)+'CAFCO 400 '!$L$16)),0)+IF(AND(L460="Cafco 400",M460="Software Idiem",C460="L"),((('CAFCO 400 '!$L$7*(J460^3)+'CAFCO 400 '!$L$8*(J460^2)+'CAFCO 400 '!$L$9*J460+'CAFCO 400 '!$L$10)*U460^2)+(('CAFCO 400 '!$L$11*(J460^3)+'CAFCO 400 '!$L$12*(J460^2)+'CAFCO 400 '!$L$13*J460+'CAFCO 400 '!$L$14)*U460)+('CAFCO 400 '!$L$15*LN(J460)+'CAFCO 400 '!$L$16)),0)+IF(AND(L460="Cafco 400",M460="Software Idiem",C460="IN",G460=3),((('CAFCO 400 '!$D$23*(J460^2)+'CAFCO 400 '!$D$24*(J460)+'CAFCO 400 '!$D$25)*U460^2)+(('CAFCO 400 '!$D$26*(J460^2)+'CAFCO 400 '!$D$27*J460+'CAFCO 400 '!$D$28)*U460)+('CAFCO 400 '!$D$29*(J460^2)+'CAFCO 400 '!$D$30*J460+'CAFCO 400 '!$D$31)),0),0)+IF(AND(L460="Cafco 300",J460&gt;=95,J460&lt;=240,C460="Cj",I460=90),VLOOKUP(T460,'CAFCO 300 IDIEM TABLAS'!$B$4:$D$23,2,FALSE),0)+IF(AND(L460="Cafco 300",J460&gt;=95,J460&lt;=240,C460="Cj",I460=120),VLOOKUP(T460,'CAFCO 300 IDIEM TABLAS'!$B$4:$D$23,3,FALSE),0)+IF(AND(L460="Cafco 300",J460&gt;=95,J460&lt;=400,G460=3,C460="IN",I460=90),VLOOKUP(T460,'CAFCO 300 IDIEM TABLAS'!$F$4:$H$35,2,FALSE),0)+IF(AND(L460="Cafco 300",J460&gt;=95,J460&lt;=400,G460=3,C460="IN",I460=120),VLOOKUP(T460,'CAFCO 300 IDIEM TABLAS'!$F$4:$H$35,3,FALSE),0)+IF(AND(L460="Cafco 300",J460&gt;=95,J460&lt;=450,G460=4,C460="IN",I460=90),VLOOKUP(T460,'CAFCO 300 IDIEM TABLAS'!$J$4:$L$40,2,FALSE),0)+IF(AND(L460="Cafco 300",J460&gt;=95,J460&lt;=450,G460=4,C460="IN",I460=120),VLOOKUP(T460,'CAFCO 300 IDIEM TABLAS'!$J$4:$L$40,3,FALSE),0)+IF(AND(M460="Ensayo Idiem",L460="Cafco 400",C460="IN",G460=4,I460=90),VLOOKUP(T460,'CAFCO 400 ENSAYO'!$B$7:$D$43,2,FALSE),0)+IF(AND(M460="Ensayo Idiem",L460="Cafco 400",C460="IN",G460=4,I460=120),VLOOKUP(T460,'CAFCO 400 ENSAYO'!$B$7:$D$43,3,FALSE),0)</f>
        <v>0</v>
      </c>
      <c r="O460" s="96">
        <f t="shared" si="54"/>
        <v>0</v>
      </c>
      <c r="P460" s="95" t="str">
        <f t="shared" si="49"/>
        <v>N/A</v>
      </c>
      <c r="Q460" s="95" t="str">
        <f t="shared" si="50"/>
        <v>N/A</v>
      </c>
      <c r="R460" s="95" t="str">
        <f t="shared" si="51"/>
        <v>NO CERT.</v>
      </c>
      <c r="S460" s="95" t="e">
        <f t="shared" si="52"/>
        <v>#N/A</v>
      </c>
      <c r="T460" s="119" t="e">
        <f>+IF(J460=LOOKUP(J460,'CAFCO 300 IDIEM TABLAS'!$J$4:$J$40),'CALCULO MORTERO'!J460,MROUND('CALCULO MORTERO'!J460,10))</f>
        <v>#N/A</v>
      </c>
      <c r="U460" s="118">
        <f t="shared" si="53"/>
        <v>0</v>
      </c>
      <c r="Y460" s="4"/>
      <c r="Z460" s="4"/>
      <c r="AA460" s="4"/>
    </row>
    <row r="461" spans="1:27" x14ac:dyDescent="0.25">
      <c r="A461" s="118">
        <f>+CUBICACION!D455</f>
        <v>0</v>
      </c>
      <c r="B461" s="819">
        <f>+CUBICACION!E455</f>
        <v>0</v>
      </c>
      <c r="C461" s="675">
        <f>+CUBICACION!F455</f>
        <v>0</v>
      </c>
      <c r="D461" s="118"/>
      <c r="E461" s="118"/>
      <c r="F461" s="820"/>
      <c r="G461" s="675">
        <f>+CUBICACION!J455</f>
        <v>0</v>
      </c>
      <c r="H461" s="118"/>
      <c r="I461" s="821">
        <f>+CUBICACION!L455</f>
        <v>0</v>
      </c>
      <c r="J461" s="64">
        <f>+CUBICACION!M455</f>
        <v>0</v>
      </c>
      <c r="K461" s="822" t="str">
        <f>+CUBICACION!N455</f>
        <v/>
      </c>
      <c r="L461" s="118">
        <f>+CUBICACION!O455</f>
        <v>0</v>
      </c>
      <c r="M461" s="823">
        <f>+CUBICACION!P455</f>
        <v>0</v>
      </c>
      <c r="N461" s="902">
        <f>ROUND(IF(AND(L461="Blaze Shield II",M461="Software Idiem",C461="IN",G461=4),((('BLAZE SHIELD II'!$D$4*('CALCULO MORTERO'!I461^2)+'BLAZE SHIELD II'!$D$5*'CALCULO MORTERO'!I461+'BLAZE SHIELD II'!$D$6)*LN(J461))+('BLAZE SHIELD II'!$D$7*('CALCULO MORTERO'!I461^2)+'BLAZE SHIELD II'!$D$8*'CALCULO MORTERO'!I461+'BLAZE SHIELD II'!$D$9)),0)+IF(AND(L461="Blaze Shield II",M461="Software Idiem",C461="Cj"),((('BLAZE SHIELD II'!$H$4*('CALCULO MORTERO'!I461^2)+'BLAZE SHIELD II'!$H$5*'CALCULO MORTERO'!I461+'BLAZE SHIELD II'!$H$6)*LN(J461))+('BLAZE SHIELD II'!$H$7*('CALCULO MORTERO'!I461^2)+'BLAZE SHIELD II'!$H$8*'CALCULO MORTERO'!I461+'BLAZE SHIELD II'!$H$9)),0)+IF(AND(L461="Blaze Shield II",M461="Software Idiem",C461="C"),((('BLAZE SHIELD II'!$L$4*('CALCULO MORTERO'!I461^2)+'BLAZE SHIELD II'!$L$5*'CALCULO MORTERO'!I461+'BLAZE SHIELD II'!$L$6)*LN(J461))+('BLAZE SHIELD II'!$L$7*('CALCULO MORTERO'!I461^2)+'BLAZE SHIELD II'!$L$8*'CALCULO MORTERO'!I461+'BLAZE SHIELD II'!$L$9)),0)+IF(AND(L461="Blaze Shield II",M461="Software Idiem",C461="L"),((('BLAZE SHIELD II'!$L$4*('CALCULO MORTERO'!I461^2)+'BLAZE SHIELD II'!$L$5*'CALCULO MORTERO'!I461+'BLAZE SHIELD II'!$L$6)*LN(J461))+('BLAZE SHIELD II'!$L$7*('CALCULO MORTERO'!I461^2)+'BLAZE SHIELD II'!$L$8*'CALCULO MORTERO'!I461+'BLAZE SHIELD II'!$L$9)),0)+IF(AND(L461="Blaze Shield II",M461="Software Idiem",C461="IN",G461=3),((('BLAZE SHIELD II'!$H$14*('CALCULO MORTERO'!I461^2)+'BLAZE SHIELD II'!$H$15*'CALCULO MORTERO'!I461+'BLAZE SHIELD II'!$H$16)*LN(J461))+('BLAZE SHIELD II'!$H$17*('CALCULO MORTERO'!I461^2)+'BLAZE SHIELD II'!$H$18*'CALCULO MORTERO'!I461+'BLAZE SHIELD II'!$H$19)),0),0)+ROUND(IF(AND(L461="Cafco 400",M461="Software Idiem",C461="IN",G461=4),((('CAFCO 400 '!$H$7*(J461^4)+'CAFCO 400 '!$H$8*(J461^3)+'CAFCO 400 '!$H$9*(J461^2)+'CAFCO 400 '!$H$10*J461+'CAFCO 400 '!$H$11)*U461^2)+(('CAFCO 400 '!$H$12*(J461^3)+'CAFCO 400 '!$H$13*(J461^2)+'CAFCO 400 '!$H$14*J461+'CAFCO 400 '!$H$15)*U461)+('CAFCO 400 '!$H$16*(J461^2)+'CAFCO 400 '!$H$17*J461+'CAFCO 400 '!$H$18)),0)+IF(AND(L461="Cafco 400",M461="Software Idiem",C461="Cj"),(((('CAFCO 400 '!$D$7*LN(J461)+'CAFCO 400 '!$D$8)*U461^2)+(('CAFCO 400 '!$D$9*LN(J461)+'CAFCO 400 '!$D$10)*U461)+('CAFCO 400 '!$D$11*LN(J461)+'CAFCO 400 '!$D$12))),0)+IF(AND(L461="Cafco 400",M461="Software Idiem",C461="C"),((('CAFCO 400 '!$L$7*(J461^3)+'CAFCO 400 '!$L$8*(J461^2)+'CAFCO 400 '!$L$9*J461+'CAFCO 400 '!$L$10)*U461^2)+(('CAFCO 400 '!$L$11*(J461^3)+'CAFCO 400 '!$L$12*(J461^2)+'CAFCO 400 '!$L$13*J461+'CAFCO 400 '!$L$14)*U461)+('CAFCO 400 '!$L$15*LN(J461)+'CAFCO 400 '!$L$16)),0)+IF(AND(L461="Cafco 400",M461="Software Idiem",C461="L"),((('CAFCO 400 '!$L$7*(J461^3)+'CAFCO 400 '!$L$8*(J461^2)+'CAFCO 400 '!$L$9*J461+'CAFCO 400 '!$L$10)*U461^2)+(('CAFCO 400 '!$L$11*(J461^3)+'CAFCO 400 '!$L$12*(J461^2)+'CAFCO 400 '!$L$13*J461+'CAFCO 400 '!$L$14)*U461)+('CAFCO 400 '!$L$15*LN(J461)+'CAFCO 400 '!$L$16)),0)+IF(AND(L461="Cafco 400",M461="Software Idiem",C461="IN",G461=3),((('CAFCO 400 '!$D$23*(J461^2)+'CAFCO 400 '!$D$24*(J461)+'CAFCO 400 '!$D$25)*U461^2)+(('CAFCO 400 '!$D$26*(J461^2)+'CAFCO 400 '!$D$27*J461+'CAFCO 400 '!$D$28)*U461)+('CAFCO 400 '!$D$29*(J461^2)+'CAFCO 400 '!$D$30*J461+'CAFCO 400 '!$D$31)),0),0)+IF(AND(L461="Cafco 300",J461&gt;=95,J461&lt;=240,C461="Cj",I461=90),VLOOKUP(T461,'CAFCO 300 IDIEM TABLAS'!$B$4:$D$23,2,FALSE),0)+IF(AND(L461="Cafco 300",J461&gt;=95,J461&lt;=240,C461="Cj",I461=120),VLOOKUP(T461,'CAFCO 300 IDIEM TABLAS'!$B$4:$D$23,3,FALSE),0)+IF(AND(L461="Cafco 300",J461&gt;=95,J461&lt;=400,G461=3,C461="IN",I461=90),VLOOKUP(T461,'CAFCO 300 IDIEM TABLAS'!$F$4:$H$35,2,FALSE),0)+IF(AND(L461="Cafco 300",J461&gt;=95,J461&lt;=400,G461=3,C461="IN",I461=120),VLOOKUP(T461,'CAFCO 300 IDIEM TABLAS'!$F$4:$H$35,3,FALSE),0)+IF(AND(L461="Cafco 300",J461&gt;=95,J461&lt;=450,G461=4,C461="IN",I461=90),VLOOKUP(T461,'CAFCO 300 IDIEM TABLAS'!$J$4:$L$40,2,FALSE),0)+IF(AND(L461="Cafco 300",J461&gt;=95,J461&lt;=450,G461=4,C461="IN",I461=120),VLOOKUP(T461,'CAFCO 300 IDIEM TABLAS'!$J$4:$L$40,3,FALSE),0)+IF(AND(M461="Ensayo Idiem",L461="Cafco 400",C461="IN",G461=4,I461=90),VLOOKUP(T461,'CAFCO 400 ENSAYO'!$B$7:$D$43,2,FALSE),0)+IF(AND(M461="Ensayo Idiem",L461="Cafco 400",C461="IN",G461=4,I461=120),VLOOKUP(T461,'CAFCO 400 ENSAYO'!$B$7:$D$43,3,FALSE),0)</f>
        <v>0</v>
      </c>
      <c r="O461" s="96">
        <f t="shared" si="54"/>
        <v>0</v>
      </c>
      <c r="P461" s="132" t="str">
        <f t="shared" si="49"/>
        <v>N/A</v>
      </c>
      <c r="Q461" s="132" t="str">
        <f t="shared" si="50"/>
        <v>N/A</v>
      </c>
      <c r="R461" s="132" t="str">
        <f t="shared" si="51"/>
        <v>NO CERT.</v>
      </c>
      <c r="S461" s="132" t="e">
        <f t="shared" si="52"/>
        <v>#N/A</v>
      </c>
      <c r="T461" s="133" t="e">
        <f>+IF(J461=LOOKUP(J461,'CAFCO 300 IDIEM TABLAS'!$J$4:$J$40),'CALCULO MORTERO'!J461,MROUND('CALCULO MORTERO'!J461,10))</f>
        <v>#N/A</v>
      </c>
      <c r="U461" s="134">
        <f t="shared" si="53"/>
        <v>0</v>
      </c>
      <c r="Y461" s="4"/>
      <c r="Z461" s="4"/>
      <c r="AA461" s="4"/>
    </row>
    <row r="462" spans="1:27" x14ac:dyDescent="0.25">
      <c r="A462" s="118">
        <f>+CUBICACION!D456</f>
        <v>0</v>
      </c>
      <c r="B462" s="819">
        <f>+CUBICACION!E456</f>
        <v>0</v>
      </c>
      <c r="C462" s="675">
        <f>+CUBICACION!F456</f>
        <v>0</v>
      </c>
      <c r="D462" s="118"/>
      <c r="E462" s="118"/>
      <c r="F462" s="820"/>
      <c r="G462" s="675">
        <f>+CUBICACION!J456</f>
        <v>0</v>
      </c>
      <c r="H462" s="118"/>
      <c r="I462" s="821">
        <f>+CUBICACION!L456</f>
        <v>0</v>
      </c>
      <c r="J462" s="64">
        <f>+CUBICACION!M456</f>
        <v>0</v>
      </c>
      <c r="K462" s="822" t="str">
        <f>+CUBICACION!N456</f>
        <v/>
      </c>
      <c r="L462" s="118">
        <f>+CUBICACION!O456</f>
        <v>0</v>
      </c>
      <c r="M462" s="823">
        <f>+CUBICACION!P456</f>
        <v>0</v>
      </c>
      <c r="N462" s="902">
        <f>ROUND(IF(AND(L462="Blaze Shield II",M462="Software Idiem",C462="IN",G462=4),((('BLAZE SHIELD II'!$D$4*('CALCULO MORTERO'!I462^2)+'BLAZE SHIELD II'!$D$5*'CALCULO MORTERO'!I462+'BLAZE SHIELD II'!$D$6)*LN(J462))+('BLAZE SHIELD II'!$D$7*('CALCULO MORTERO'!I462^2)+'BLAZE SHIELD II'!$D$8*'CALCULO MORTERO'!I462+'BLAZE SHIELD II'!$D$9)),0)+IF(AND(L462="Blaze Shield II",M462="Software Idiem",C462="Cj"),((('BLAZE SHIELD II'!$H$4*('CALCULO MORTERO'!I462^2)+'BLAZE SHIELD II'!$H$5*'CALCULO MORTERO'!I462+'BLAZE SHIELD II'!$H$6)*LN(J462))+('BLAZE SHIELD II'!$H$7*('CALCULO MORTERO'!I462^2)+'BLAZE SHIELD II'!$H$8*'CALCULO MORTERO'!I462+'BLAZE SHIELD II'!$H$9)),0)+IF(AND(L462="Blaze Shield II",M462="Software Idiem",C462="C"),((('BLAZE SHIELD II'!$L$4*('CALCULO MORTERO'!I462^2)+'BLAZE SHIELD II'!$L$5*'CALCULO MORTERO'!I462+'BLAZE SHIELD II'!$L$6)*LN(J462))+('BLAZE SHIELD II'!$L$7*('CALCULO MORTERO'!I462^2)+'BLAZE SHIELD II'!$L$8*'CALCULO MORTERO'!I462+'BLAZE SHIELD II'!$L$9)),0)+IF(AND(L462="Blaze Shield II",M462="Software Idiem",C462="L"),((('BLAZE SHIELD II'!$L$4*('CALCULO MORTERO'!I462^2)+'BLAZE SHIELD II'!$L$5*'CALCULO MORTERO'!I462+'BLAZE SHIELD II'!$L$6)*LN(J462))+('BLAZE SHIELD II'!$L$7*('CALCULO MORTERO'!I462^2)+'BLAZE SHIELD II'!$L$8*'CALCULO MORTERO'!I462+'BLAZE SHIELD II'!$L$9)),0)+IF(AND(L462="Blaze Shield II",M462="Software Idiem",C462="IN",G462=3),((('BLAZE SHIELD II'!$H$14*('CALCULO MORTERO'!I462^2)+'BLAZE SHIELD II'!$H$15*'CALCULO MORTERO'!I462+'BLAZE SHIELD II'!$H$16)*LN(J462))+('BLAZE SHIELD II'!$H$17*('CALCULO MORTERO'!I462^2)+'BLAZE SHIELD II'!$H$18*'CALCULO MORTERO'!I462+'BLAZE SHIELD II'!$H$19)),0),0)+ROUND(IF(AND(L462="Cafco 400",M462="Software Idiem",C462="IN",G462=4),((('CAFCO 400 '!$H$7*(J462^4)+'CAFCO 400 '!$H$8*(J462^3)+'CAFCO 400 '!$H$9*(J462^2)+'CAFCO 400 '!$H$10*J462+'CAFCO 400 '!$H$11)*U462^2)+(('CAFCO 400 '!$H$12*(J462^3)+'CAFCO 400 '!$H$13*(J462^2)+'CAFCO 400 '!$H$14*J462+'CAFCO 400 '!$H$15)*U462)+('CAFCO 400 '!$H$16*(J462^2)+'CAFCO 400 '!$H$17*J462+'CAFCO 400 '!$H$18)),0)+IF(AND(L462="Cafco 400",M462="Software Idiem",C462="Cj"),(((('CAFCO 400 '!$D$7*LN(J462)+'CAFCO 400 '!$D$8)*U462^2)+(('CAFCO 400 '!$D$9*LN(J462)+'CAFCO 400 '!$D$10)*U462)+('CAFCO 400 '!$D$11*LN(J462)+'CAFCO 400 '!$D$12))),0)+IF(AND(L462="Cafco 400",M462="Software Idiem",C462="C"),((('CAFCO 400 '!$L$7*(J462^3)+'CAFCO 400 '!$L$8*(J462^2)+'CAFCO 400 '!$L$9*J462+'CAFCO 400 '!$L$10)*U462^2)+(('CAFCO 400 '!$L$11*(J462^3)+'CAFCO 400 '!$L$12*(J462^2)+'CAFCO 400 '!$L$13*J462+'CAFCO 400 '!$L$14)*U462)+('CAFCO 400 '!$L$15*LN(J462)+'CAFCO 400 '!$L$16)),0)+IF(AND(L462="Cafco 400",M462="Software Idiem",C462="L"),((('CAFCO 400 '!$L$7*(J462^3)+'CAFCO 400 '!$L$8*(J462^2)+'CAFCO 400 '!$L$9*J462+'CAFCO 400 '!$L$10)*U462^2)+(('CAFCO 400 '!$L$11*(J462^3)+'CAFCO 400 '!$L$12*(J462^2)+'CAFCO 400 '!$L$13*J462+'CAFCO 400 '!$L$14)*U462)+('CAFCO 400 '!$L$15*LN(J462)+'CAFCO 400 '!$L$16)),0)+IF(AND(L462="Cafco 400",M462="Software Idiem",C462="IN",G462=3),((('CAFCO 400 '!$D$23*(J462^2)+'CAFCO 400 '!$D$24*(J462)+'CAFCO 400 '!$D$25)*U462^2)+(('CAFCO 400 '!$D$26*(J462^2)+'CAFCO 400 '!$D$27*J462+'CAFCO 400 '!$D$28)*U462)+('CAFCO 400 '!$D$29*(J462^2)+'CAFCO 400 '!$D$30*J462+'CAFCO 400 '!$D$31)),0),0)+IF(AND(L462="Cafco 300",J462&gt;=95,J462&lt;=240,C462="Cj",I462=90),VLOOKUP(T462,'CAFCO 300 IDIEM TABLAS'!$B$4:$D$23,2,FALSE),0)+IF(AND(L462="Cafco 300",J462&gt;=95,J462&lt;=240,C462="Cj",I462=120),VLOOKUP(T462,'CAFCO 300 IDIEM TABLAS'!$B$4:$D$23,3,FALSE),0)+IF(AND(L462="Cafco 300",J462&gt;=95,J462&lt;=400,G462=3,C462="IN",I462=90),VLOOKUP(T462,'CAFCO 300 IDIEM TABLAS'!$F$4:$H$35,2,FALSE),0)+IF(AND(L462="Cafco 300",J462&gt;=95,J462&lt;=400,G462=3,C462="IN",I462=120),VLOOKUP(T462,'CAFCO 300 IDIEM TABLAS'!$F$4:$H$35,3,FALSE),0)+IF(AND(L462="Cafco 300",J462&gt;=95,J462&lt;=450,G462=4,C462="IN",I462=90),VLOOKUP(T462,'CAFCO 300 IDIEM TABLAS'!$J$4:$L$40,2,FALSE),0)+IF(AND(L462="Cafco 300",J462&gt;=95,J462&lt;=450,G462=4,C462="IN",I462=120),VLOOKUP(T462,'CAFCO 300 IDIEM TABLAS'!$J$4:$L$40,3,FALSE),0)+IF(AND(M462="Ensayo Idiem",L462="Cafco 400",C462="IN",G462=4,I462=90),VLOOKUP(T462,'CAFCO 400 ENSAYO'!$B$7:$D$43,2,FALSE),0)+IF(AND(M462="Ensayo Idiem",L462="Cafco 400",C462="IN",G462=4,I462=120),VLOOKUP(T462,'CAFCO 400 ENSAYO'!$B$7:$D$43,3,FALSE),0)</f>
        <v>0</v>
      </c>
      <c r="O462" s="96">
        <f t="shared" si="54"/>
        <v>0</v>
      </c>
      <c r="P462" s="95" t="str">
        <f t="shared" si="49"/>
        <v>N/A</v>
      </c>
      <c r="Q462" s="95" t="str">
        <f t="shared" si="50"/>
        <v>N/A</v>
      </c>
      <c r="R462" s="95" t="str">
        <f t="shared" si="51"/>
        <v>NO CERT.</v>
      </c>
      <c r="S462" s="95" t="e">
        <f t="shared" si="52"/>
        <v>#N/A</v>
      </c>
      <c r="T462" s="119" t="e">
        <f>+IF(J462=LOOKUP(J462,'CAFCO 300 IDIEM TABLAS'!$J$4:$J$40),'CALCULO MORTERO'!J462,MROUND('CALCULO MORTERO'!J462,10))</f>
        <v>#N/A</v>
      </c>
      <c r="U462" s="118">
        <f t="shared" si="53"/>
        <v>0</v>
      </c>
      <c r="Y462" s="4"/>
      <c r="Z462" s="4"/>
      <c r="AA462" s="4"/>
    </row>
    <row r="463" spans="1:27" x14ac:dyDescent="0.25">
      <c r="A463" s="118">
        <f>+CUBICACION!D457</f>
        <v>0</v>
      </c>
      <c r="B463" s="819">
        <f>+CUBICACION!E457</f>
        <v>0</v>
      </c>
      <c r="C463" s="675">
        <f>+CUBICACION!F457</f>
        <v>0</v>
      </c>
      <c r="D463" s="118"/>
      <c r="E463" s="118"/>
      <c r="F463" s="820"/>
      <c r="G463" s="675">
        <f>+CUBICACION!J457</f>
        <v>0</v>
      </c>
      <c r="H463" s="118"/>
      <c r="I463" s="821">
        <f>+CUBICACION!L457</f>
        <v>0</v>
      </c>
      <c r="J463" s="64">
        <f>+CUBICACION!M457</f>
        <v>0</v>
      </c>
      <c r="K463" s="822" t="str">
        <f>+CUBICACION!N457</f>
        <v/>
      </c>
      <c r="L463" s="118">
        <f>+CUBICACION!O457</f>
        <v>0</v>
      </c>
      <c r="M463" s="823">
        <f>+CUBICACION!P457</f>
        <v>0</v>
      </c>
      <c r="N463" s="902">
        <f>ROUND(IF(AND(L463="Blaze Shield II",M463="Software Idiem",C463="IN",G463=4),((('BLAZE SHIELD II'!$D$4*('CALCULO MORTERO'!I463^2)+'BLAZE SHIELD II'!$D$5*'CALCULO MORTERO'!I463+'BLAZE SHIELD II'!$D$6)*LN(J463))+('BLAZE SHIELD II'!$D$7*('CALCULO MORTERO'!I463^2)+'BLAZE SHIELD II'!$D$8*'CALCULO MORTERO'!I463+'BLAZE SHIELD II'!$D$9)),0)+IF(AND(L463="Blaze Shield II",M463="Software Idiem",C463="Cj"),((('BLAZE SHIELD II'!$H$4*('CALCULO MORTERO'!I463^2)+'BLAZE SHIELD II'!$H$5*'CALCULO MORTERO'!I463+'BLAZE SHIELD II'!$H$6)*LN(J463))+('BLAZE SHIELD II'!$H$7*('CALCULO MORTERO'!I463^2)+'BLAZE SHIELD II'!$H$8*'CALCULO MORTERO'!I463+'BLAZE SHIELD II'!$H$9)),0)+IF(AND(L463="Blaze Shield II",M463="Software Idiem",C463="C"),((('BLAZE SHIELD II'!$L$4*('CALCULO MORTERO'!I463^2)+'BLAZE SHIELD II'!$L$5*'CALCULO MORTERO'!I463+'BLAZE SHIELD II'!$L$6)*LN(J463))+('BLAZE SHIELD II'!$L$7*('CALCULO MORTERO'!I463^2)+'BLAZE SHIELD II'!$L$8*'CALCULO MORTERO'!I463+'BLAZE SHIELD II'!$L$9)),0)+IF(AND(L463="Blaze Shield II",M463="Software Idiem",C463="L"),((('BLAZE SHIELD II'!$L$4*('CALCULO MORTERO'!I463^2)+'BLAZE SHIELD II'!$L$5*'CALCULO MORTERO'!I463+'BLAZE SHIELD II'!$L$6)*LN(J463))+('BLAZE SHIELD II'!$L$7*('CALCULO MORTERO'!I463^2)+'BLAZE SHIELD II'!$L$8*'CALCULO MORTERO'!I463+'BLAZE SHIELD II'!$L$9)),0)+IF(AND(L463="Blaze Shield II",M463="Software Idiem",C463="IN",G463=3),((('BLAZE SHIELD II'!$H$14*('CALCULO MORTERO'!I463^2)+'BLAZE SHIELD II'!$H$15*'CALCULO MORTERO'!I463+'BLAZE SHIELD II'!$H$16)*LN(J463))+('BLAZE SHIELD II'!$H$17*('CALCULO MORTERO'!I463^2)+'BLAZE SHIELD II'!$H$18*'CALCULO MORTERO'!I463+'BLAZE SHIELD II'!$H$19)),0),0)+ROUND(IF(AND(L463="Cafco 400",M463="Software Idiem",C463="IN",G463=4),((('CAFCO 400 '!$H$7*(J463^4)+'CAFCO 400 '!$H$8*(J463^3)+'CAFCO 400 '!$H$9*(J463^2)+'CAFCO 400 '!$H$10*J463+'CAFCO 400 '!$H$11)*U463^2)+(('CAFCO 400 '!$H$12*(J463^3)+'CAFCO 400 '!$H$13*(J463^2)+'CAFCO 400 '!$H$14*J463+'CAFCO 400 '!$H$15)*U463)+('CAFCO 400 '!$H$16*(J463^2)+'CAFCO 400 '!$H$17*J463+'CAFCO 400 '!$H$18)),0)+IF(AND(L463="Cafco 400",M463="Software Idiem",C463="Cj"),(((('CAFCO 400 '!$D$7*LN(J463)+'CAFCO 400 '!$D$8)*U463^2)+(('CAFCO 400 '!$D$9*LN(J463)+'CAFCO 400 '!$D$10)*U463)+('CAFCO 400 '!$D$11*LN(J463)+'CAFCO 400 '!$D$12))),0)+IF(AND(L463="Cafco 400",M463="Software Idiem",C463="C"),((('CAFCO 400 '!$L$7*(J463^3)+'CAFCO 400 '!$L$8*(J463^2)+'CAFCO 400 '!$L$9*J463+'CAFCO 400 '!$L$10)*U463^2)+(('CAFCO 400 '!$L$11*(J463^3)+'CAFCO 400 '!$L$12*(J463^2)+'CAFCO 400 '!$L$13*J463+'CAFCO 400 '!$L$14)*U463)+('CAFCO 400 '!$L$15*LN(J463)+'CAFCO 400 '!$L$16)),0)+IF(AND(L463="Cafco 400",M463="Software Idiem",C463="L"),((('CAFCO 400 '!$L$7*(J463^3)+'CAFCO 400 '!$L$8*(J463^2)+'CAFCO 400 '!$L$9*J463+'CAFCO 400 '!$L$10)*U463^2)+(('CAFCO 400 '!$L$11*(J463^3)+'CAFCO 400 '!$L$12*(J463^2)+'CAFCO 400 '!$L$13*J463+'CAFCO 400 '!$L$14)*U463)+('CAFCO 400 '!$L$15*LN(J463)+'CAFCO 400 '!$L$16)),0)+IF(AND(L463="Cafco 400",M463="Software Idiem",C463="IN",G463=3),((('CAFCO 400 '!$D$23*(J463^2)+'CAFCO 400 '!$D$24*(J463)+'CAFCO 400 '!$D$25)*U463^2)+(('CAFCO 400 '!$D$26*(J463^2)+'CAFCO 400 '!$D$27*J463+'CAFCO 400 '!$D$28)*U463)+('CAFCO 400 '!$D$29*(J463^2)+'CAFCO 400 '!$D$30*J463+'CAFCO 400 '!$D$31)),0),0)+IF(AND(L463="Cafco 300",J463&gt;=95,J463&lt;=240,C463="Cj",I463=90),VLOOKUP(T463,'CAFCO 300 IDIEM TABLAS'!$B$4:$D$23,2,FALSE),0)+IF(AND(L463="Cafco 300",J463&gt;=95,J463&lt;=240,C463="Cj",I463=120),VLOOKUP(T463,'CAFCO 300 IDIEM TABLAS'!$B$4:$D$23,3,FALSE),0)+IF(AND(L463="Cafco 300",J463&gt;=95,J463&lt;=400,G463=3,C463="IN",I463=90),VLOOKUP(T463,'CAFCO 300 IDIEM TABLAS'!$F$4:$H$35,2,FALSE),0)+IF(AND(L463="Cafco 300",J463&gt;=95,J463&lt;=400,G463=3,C463="IN",I463=120),VLOOKUP(T463,'CAFCO 300 IDIEM TABLAS'!$F$4:$H$35,3,FALSE),0)+IF(AND(L463="Cafco 300",J463&gt;=95,J463&lt;=450,G463=4,C463="IN",I463=90),VLOOKUP(T463,'CAFCO 300 IDIEM TABLAS'!$J$4:$L$40,2,FALSE),0)+IF(AND(L463="Cafco 300",J463&gt;=95,J463&lt;=450,G463=4,C463="IN",I463=120),VLOOKUP(T463,'CAFCO 300 IDIEM TABLAS'!$J$4:$L$40,3,FALSE),0)+IF(AND(M463="Ensayo Idiem",L463="Cafco 400",C463="IN",G463=4,I463=90),VLOOKUP(T463,'CAFCO 400 ENSAYO'!$B$7:$D$43,2,FALSE),0)+IF(AND(M463="Ensayo Idiem",L463="Cafco 400",C463="IN",G463=4,I463=120),VLOOKUP(T463,'CAFCO 400 ENSAYO'!$B$7:$D$43,3,FALSE),0)</f>
        <v>0</v>
      </c>
      <c r="O463" s="96">
        <f t="shared" si="54"/>
        <v>0</v>
      </c>
      <c r="P463" s="132" t="str">
        <f t="shared" si="49"/>
        <v>N/A</v>
      </c>
      <c r="Q463" s="132" t="str">
        <f t="shared" si="50"/>
        <v>N/A</v>
      </c>
      <c r="R463" s="132" t="str">
        <f t="shared" si="51"/>
        <v>NO CERT.</v>
      </c>
      <c r="S463" s="132" t="e">
        <f t="shared" si="52"/>
        <v>#N/A</v>
      </c>
      <c r="T463" s="133" t="e">
        <f>+IF(J463=LOOKUP(J463,'CAFCO 300 IDIEM TABLAS'!$J$4:$J$40),'CALCULO MORTERO'!J463,MROUND('CALCULO MORTERO'!J463,10))</f>
        <v>#N/A</v>
      </c>
      <c r="U463" s="134">
        <f t="shared" si="53"/>
        <v>0</v>
      </c>
      <c r="Y463" s="4"/>
      <c r="Z463" s="4"/>
      <c r="AA463" s="4"/>
    </row>
    <row r="464" spans="1:27" x14ac:dyDescent="0.25">
      <c r="A464" s="118">
        <f>+CUBICACION!D458</f>
        <v>0</v>
      </c>
      <c r="B464" s="819">
        <f>+CUBICACION!E458</f>
        <v>0</v>
      </c>
      <c r="C464" s="675">
        <f>+CUBICACION!F458</f>
        <v>0</v>
      </c>
      <c r="D464" s="118"/>
      <c r="E464" s="118"/>
      <c r="F464" s="820"/>
      <c r="G464" s="675">
        <f>+CUBICACION!J458</f>
        <v>0</v>
      </c>
      <c r="H464" s="118"/>
      <c r="I464" s="821">
        <f>+CUBICACION!L458</f>
        <v>0</v>
      </c>
      <c r="J464" s="64">
        <f>+CUBICACION!M458</f>
        <v>0</v>
      </c>
      <c r="K464" s="822" t="str">
        <f>+CUBICACION!N458</f>
        <v/>
      </c>
      <c r="L464" s="118">
        <f>+CUBICACION!O458</f>
        <v>0</v>
      </c>
      <c r="M464" s="823">
        <f>+CUBICACION!P458</f>
        <v>0</v>
      </c>
      <c r="N464" s="902">
        <f>ROUND(IF(AND(L464="Blaze Shield II",M464="Software Idiem",C464="IN",G464=4),((('BLAZE SHIELD II'!$D$4*('CALCULO MORTERO'!I464^2)+'BLAZE SHIELD II'!$D$5*'CALCULO MORTERO'!I464+'BLAZE SHIELD II'!$D$6)*LN(J464))+('BLAZE SHIELD II'!$D$7*('CALCULO MORTERO'!I464^2)+'BLAZE SHIELD II'!$D$8*'CALCULO MORTERO'!I464+'BLAZE SHIELD II'!$D$9)),0)+IF(AND(L464="Blaze Shield II",M464="Software Idiem",C464="Cj"),((('BLAZE SHIELD II'!$H$4*('CALCULO MORTERO'!I464^2)+'BLAZE SHIELD II'!$H$5*'CALCULO MORTERO'!I464+'BLAZE SHIELD II'!$H$6)*LN(J464))+('BLAZE SHIELD II'!$H$7*('CALCULO MORTERO'!I464^2)+'BLAZE SHIELD II'!$H$8*'CALCULO MORTERO'!I464+'BLAZE SHIELD II'!$H$9)),0)+IF(AND(L464="Blaze Shield II",M464="Software Idiem",C464="C"),((('BLAZE SHIELD II'!$L$4*('CALCULO MORTERO'!I464^2)+'BLAZE SHIELD II'!$L$5*'CALCULO MORTERO'!I464+'BLAZE SHIELD II'!$L$6)*LN(J464))+('BLAZE SHIELD II'!$L$7*('CALCULO MORTERO'!I464^2)+'BLAZE SHIELD II'!$L$8*'CALCULO MORTERO'!I464+'BLAZE SHIELD II'!$L$9)),0)+IF(AND(L464="Blaze Shield II",M464="Software Idiem",C464="L"),((('BLAZE SHIELD II'!$L$4*('CALCULO MORTERO'!I464^2)+'BLAZE SHIELD II'!$L$5*'CALCULO MORTERO'!I464+'BLAZE SHIELD II'!$L$6)*LN(J464))+('BLAZE SHIELD II'!$L$7*('CALCULO MORTERO'!I464^2)+'BLAZE SHIELD II'!$L$8*'CALCULO MORTERO'!I464+'BLAZE SHIELD II'!$L$9)),0)+IF(AND(L464="Blaze Shield II",M464="Software Idiem",C464="IN",G464=3),((('BLAZE SHIELD II'!$H$14*('CALCULO MORTERO'!I464^2)+'BLAZE SHIELD II'!$H$15*'CALCULO MORTERO'!I464+'BLAZE SHIELD II'!$H$16)*LN(J464))+('BLAZE SHIELD II'!$H$17*('CALCULO MORTERO'!I464^2)+'BLAZE SHIELD II'!$H$18*'CALCULO MORTERO'!I464+'BLAZE SHIELD II'!$H$19)),0),0)+ROUND(IF(AND(L464="Cafco 400",M464="Software Idiem",C464="IN",G464=4),((('CAFCO 400 '!$H$7*(J464^4)+'CAFCO 400 '!$H$8*(J464^3)+'CAFCO 400 '!$H$9*(J464^2)+'CAFCO 400 '!$H$10*J464+'CAFCO 400 '!$H$11)*U464^2)+(('CAFCO 400 '!$H$12*(J464^3)+'CAFCO 400 '!$H$13*(J464^2)+'CAFCO 400 '!$H$14*J464+'CAFCO 400 '!$H$15)*U464)+('CAFCO 400 '!$H$16*(J464^2)+'CAFCO 400 '!$H$17*J464+'CAFCO 400 '!$H$18)),0)+IF(AND(L464="Cafco 400",M464="Software Idiem",C464="Cj"),(((('CAFCO 400 '!$D$7*LN(J464)+'CAFCO 400 '!$D$8)*U464^2)+(('CAFCO 400 '!$D$9*LN(J464)+'CAFCO 400 '!$D$10)*U464)+('CAFCO 400 '!$D$11*LN(J464)+'CAFCO 400 '!$D$12))),0)+IF(AND(L464="Cafco 400",M464="Software Idiem",C464="C"),((('CAFCO 400 '!$L$7*(J464^3)+'CAFCO 400 '!$L$8*(J464^2)+'CAFCO 400 '!$L$9*J464+'CAFCO 400 '!$L$10)*U464^2)+(('CAFCO 400 '!$L$11*(J464^3)+'CAFCO 400 '!$L$12*(J464^2)+'CAFCO 400 '!$L$13*J464+'CAFCO 400 '!$L$14)*U464)+('CAFCO 400 '!$L$15*LN(J464)+'CAFCO 400 '!$L$16)),0)+IF(AND(L464="Cafco 400",M464="Software Idiem",C464="L"),((('CAFCO 400 '!$L$7*(J464^3)+'CAFCO 400 '!$L$8*(J464^2)+'CAFCO 400 '!$L$9*J464+'CAFCO 400 '!$L$10)*U464^2)+(('CAFCO 400 '!$L$11*(J464^3)+'CAFCO 400 '!$L$12*(J464^2)+'CAFCO 400 '!$L$13*J464+'CAFCO 400 '!$L$14)*U464)+('CAFCO 400 '!$L$15*LN(J464)+'CAFCO 400 '!$L$16)),0)+IF(AND(L464="Cafco 400",M464="Software Idiem",C464="IN",G464=3),((('CAFCO 400 '!$D$23*(J464^2)+'CAFCO 400 '!$D$24*(J464)+'CAFCO 400 '!$D$25)*U464^2)+(('CAFCO 400 '!$D$26*(J464^2)+'CAFCO 400 '!$D$27*J464+'CAFCO 400 '!$D$28)*U464)+('CAFCO 400 '!$D$29*(J464^2)+'CAFCO 400 '!$D$30*J464+'CAFCO 400 '!$D$31)),0),0)+IF(AND(L464="Cafco 300",J464&gt;=95,J464&lt;=240,C464="Cj",I464=90),VLOOKUP(T464,'CAFCO 300 IDIEM TABLAS'!$B$4:$D$23,2,FALSE),0)+IF(AND(L464="Cafco 300",J464&gt;=95,J464&lt;=240,C464="Cj",I464=120),VLOOKUP(T464,'CAFCO 300 IDIEM TABLAS'!$B$4:$D$23,3,FALSE),0)+IF(AND(L464="Cafco 300",J464&gt;=95,J464&lt;=400,G464=3,C464="IN",I464=90),VLOOKUP(T464,'CAFCO 300 IDIEM TABLAS'!$F$4:$H$35,2,FALSE),0)+IF(AND(L464="Cafco 300",J464&gt;=95,J464&lt;=400,G464=3,C464="IN",I464=120),VLOOKUP(T464,'CAFCO 300 IDIEM TABLAS'!$F$4:$H$35,3,FALSE),0)+IF(AND(L464="Cafco 300",J464&gt;=95,J464&lt;=450,G464=4,C464="IN",I464=90),VLOOKUP(T464,'CAFCO 300 IDIEM TABLAS'!$J$4:$L$40,2,FALSE),0)+IF(AND(L464="Cafco 300",J464&gt;=95,J464&lt;=450,G464=4,C464="IN",I464=120),VLOOKUP(T464,'CAFCO 300 IDIEM TABLAS'!$J$4:$L$40,3,FALSE),0)+IF(AND(M464="Ensayo Idiem",L464="Cafco 400",C464="IN",G464=4,I464=90),VLOOKUP(T464,'CAFCO 400 ENSAYO'!$B$7:$D$43,2,FALSE),0)+IF(AND(M464="Ensayo Idiem",L464="Cafco 400",C464="IN",G464=4,I464=120),VLOOKUP(T464,'CAFCO 400 ENSAYO'!$B$7:$D$43,3,FALSE),0)</f>
        <v>0</v>
      </c>
      <c r="O464" s="96">
        <f t="shared" si="54"/>
        <v>0</v>
      </c>
      <c r="P464" s="95" t="str">
        <f t="shared" si="49"/>
        <v>N/A</v>
      </c>
      <c r="Q464" s="95" t="str">
        <f t="shared" si="50"/>
        <v>N/A</v>
      </c>
      <c r="R464" s="95" t="str">
        <f t="shared" si="51"/>
        <v>NO CERT.</v>
      </c>
      <c r="S464" s="95" t="e">
        <f t="shared" si="52"/>
        <v>#N/A</v>
      </c>
      <c r="T464" s="119" t="e">
        <f>+IF(J464=LOOKUP(J464,'CAFCO 300 IDIEM TABLAS'!$J$4:$J$40),'CALCULO MORTERO'!J464,MROUND('CALCULO MORTERO'!J464,10))</f>
        <v>#N/A</v>
      </c>
      <c r="U464" s="118">
        <f t="shared" si="53"/>
        <v>0</v>
      </c>
      <c r="Y464" s="4"/>
      <c r="Z464" s="4"/>
      <c r="AA464" s="4"/>
    </row>
    <row r="465" spans="1:27" x14ac:dyDescent="0.25">
      <c r="A465" s="118">
        <f>+CUBICACION!D459</f>
        <v>0</v>
      </c>
      <c r="B465" s="819">
        <f>+CUBICACION!E459</f>
        <v>0</v>
      </c>
      <c r="C465" s="675">
        <f>+CUBICACION!F459</f>
        <v>0</v>
      </c>
      <c r="D465" s="118"/>
      <c r="E465" s="118"/>
      <c r="F465" s="820"/>
      <c r="G465" s="675">
        <f>+CUBICACION!J459</f>
        <v>0</v>
      </c>
      <c r="H465" s="118"/>
      <c r="I465" s="821">
        <f>+CUBICACION!L459</f>
        <v>0</v>
      </c>
      <c r="J465" s="64">
        <f>+CUBICACION!M459</f>
        <v>0</v>
      </c>
      <c r="K465" s="822" t="str">
        <f>+CUBICACION!N459</f>
        <v/>
      </c>
      <c r="L465" s="118">
        <f>+CUBICACION!O459</f>
        <v>0</v>
      </c>
      <c r="M465" s="823">
        <f>+CUBICACION!P459</f>
        <v>0</v>
      </c>
      <c r="N465" s="902">
        <f>ROUND(IF(AND(L465="Blaze Shield II",M465="Software Idiem",C465="IN",G465=4),((('BLAZE SHIELD II'!$D$4*('CALCULO MORTERO'!I465^2)+'BLAZE SHIELD II'!$D$5*'CALCULO MORTERO'!I465+'BLAZE SHIELD II'!$D$6)*LN(J465))+('BLAZE SHIELD II'!$D$7*('CALCULO MORTERO'!I465^2)+'BLAZE SHIELD II'!$D$8*'CALCULO MORTERO'!I465+'BLAZE SHIELD II'!$D$9)),0)+IF(AND(L465="Blaze Shield II",M465="Software Idiem",C465="Cj"),((('BLAZE SHIELD II'!$H$4*('CALCULO MORTERO'!I465^2)+'BLAZE SHIELD II'!$H$5*'CALCULO MORTERO'!I465+'BLAZE SHIELD II'!$H$6)*LN(J465))+('BLAZE SHIELD II'!$H$7*('CALCULO MORTERO'!I465^2)+'BLAZE SHIELD II'!$H$8*'CALCULO MORTERO'!I465+'BLAZE SHIELD II'!$H$9)),0)+IF(AND(L465="Blaze Shield II",M465="Software Idiem",C465="C"),((('BLAZE SHIELD II'!$L$4*('CALCULO MORTERO'!I465^2)+'BLAZE SHIELD II'!$L$5*'CALCULO MORTERO'!I465+'BLAZE SHIELD II'!$L$6)*LN(J465))+('BLAZE SHIELD II'!$L$7*('CALCULO MORTERO'!I465^2)+'BLAZE SHIELD II'!$L$8*'CALCULO MORTERO'!I465+'BLAZE SHIELD II'!$L$9)),0)+IF(AND(L465="Blaze Shield II",M465="Software Idiem",C465="L"),((('BLAZE SHIELD II'!$L$4*('CALCULO MORTERO'!I465^2)+'BLAZE SHIELD II'!$L$5*'CALCULO MORTERO'!I465+'BLAZE SHIELD II'!$L$6)*LN(J465))+('BLAZE SHIELD II'!$L$7*('CALCULO MORTERO'!I465^2)+'BLAZE SHIELD II'!$L$8*'CALCULO MORTERO'!I465+'BLAZE SHIELD II'!$L$9)),0)+IF(AND(L465="Blaze Shield II",M465="Software Idiem",C465="IN",G465=3),((('BLAZE SHIELD II'!$H$14*('CALCULO MORTERO'!I465^2)+'BLAZE SHIELD II'!$H$15*'CALCULO MORTERO'!I465+'BLAZE SHIELD II'!$H$16)*LN(J465))+('BLAZE SHIELD II'!$H$17*('CALCULO MORTERO'!I465^2)+'BLAZE SHIELD II'!$H$18*'CALCULO MORTERO'!I465+'BLAZE SHIELD II'!$H$19)),0),0)+ROUND(IF(AND(L465="Cafco 400",M465="Software Idiem",C465="IN",G465=4),((('CAFCO 400 '!$H$7*(J465^4)+'CAFCO 400 '!$H$8*(J465^3)+'CAFCO 400 '!$H$9*(J465^2)+'CAFCO 400 '!$H$10*J465+'CAFCO 400 '!$H$11)*U465^2)+(('CAFCO 400 '!$H$12*(J465^3)+'CAFCO 400 '!$H$13*(J465^2)+'CAFCO 400 '!$H$14*J465+'CAFCO 400 '!$H$15)*U465)+('CAFCO 400 '!$H$16*(J465^2)+'CAFCO 400 '!$H$17*J465+'CAFCO 400 '!$H$18)),0)+IF(AND(L465="Cafco 400",M465="Software Idiem",C465="Cj"),(((('CAFCO 400 '!$D$7*LN(J465)+'CAFCO 400 '!$D$8)*U465^2)+(('CAFCO 400 '!$D$9*LN(J465)+'CAFCO 400 '!$D$10)*U465)+('CAFCO 400 '!$D$11*LN(J465)+'CAFCO 400 '!$D$12))),0)+IF(AND(L465="Cafco 400",M465="Software Idiem",C465="C"),((('CAFCO 400 '!$L$7*(J465^3)+'CAFCO 400 '!$L$8*(J465^2)+'CAFCO 400 '!$L$9*J465+'CAFCO 400 '!$L$10)*U465^2)+(('CAFCO 400 '!$L$11*(J465^3)+'CAFCO 400 '!$L$12*(J465^2)+'CAFCO 400 '!$L$13*J465+'CAFCO 400 '!$L$14)*U465)+('CAFCO 400 '!$L$15*LN(J465)+'CAFCO 400 '!$L$16)),0)+IF(AND(L465="Cafco 400",M465="Software Idiem",C465="L"),((('CAFCO 400 '!$L$7*(J465^3)+'CAFCO 400 '!$L$8*(J465^2)+'CAFCO 400 '!$L$9*J465+'CAFCO 400 '!$L$10)*U465^2)+(('CAFCO 400 '!$L$11*(J465^3)+'CAFCO 400 '!$L$12*(J465^2)+'CAFCO 400 '!$L$13*J465+'CAFCO 400 '!$L$14)*U465)+('CAFCO 400 '!$L$15*LN(J465)+'CAFCO 400 '!$L$16)),0)+IF(AND(L465="Cafco 400",M465="Software Idiem",C465="IN",G465=3),((('CAFCO 400 '!$D$23*(J465^2)+'CAFCO 400 '!$D$24*(J465)+'CAFCO 400 '!$D$25)*U465^2)+(('CAFCO 400 '!$D$26*(J465^2)+'CAFCO 400 '!$D$27*J465+'CAFCO 400 '!$D$28)*U465)+('CAFCO 400 '!$D$29*(J465^2)+'CAFCO 400 '!$D$30*J465+'CAFCO 400 '!$D$31)),0),0)+IF(AND(L465="Cafco 300",J465&gt;=95,J465&lt;=240,C465="Cj",I465=90),VLOOKUP(T465,'CAFCO 300 IDIEM TABLAS'!$B$4:$D$23,2,FALSE),0)+IF(AND(L465="Cafco 300",J465&gt;=95,J465&lt;=240,C465="Cj",I465=120),VLOOKUP(T465,'CAFCO 300 IDIEM TABLAS'!$B$4:$D$23,3,FALSE),0)+IF(AND(L465="Cafco 300",J465&gt;=95,J465&lt;=400,G465=3,C465="IN",I465=90),VLOOKUP(T465,'CAFCO 300 IDIEM TABLAS'!$F$4:$H$35,2,FALSE),0)+IF(AND(L465="Cafco 300",J465&gt;=95,J465&lt;=400,G465=3,C465="IN",I465=120),VLOOKUP(T465,'CAFCO 300 IDIEM TABLAS'!$F$4:$H$35,3,FALSE),0)+IF(AND(L465="Cafco 300",J465&gt;=95,J465&lt;=450,G465=4,C465="IN",I465=90),VLOOKUP(T465,'CAFCO 300 IDIEM TABLAS'!$J$4:$L$40,2,FALSE),0)+IF(AND(L465="Cafco 300",J465&gt;=95,J465&lt;=450,G465=4,C465="IN",I465=120),VLOOKUP(T465,'CAFCO 300 IDIEM TABLAS'!$J$4:$L$40,3,FALSE),0)+IF(AND(M465="Ensayo Idiem",L465="Cafco 400",C465="IN",G465=4,I465=90),VLOOKUP(T465,'CAFCO 400 ENSAYO'!$B$7:$D$43,2,FALSE),0)+IF(AND(M465="Ensayo Idiem",L465="Cafco 400",C465="IN",G465=4,I465=120),VLOOKUP(T465,'CAFCO 400 ENSAYO'!$B$7:$D$43,3,FALSE),0)</f>
        <v>0</v>
      </c>
      <c r="O465" s="96">
        <f t="shared" si="54"/>
        <v>0</v>
      </c>
      <c r="P465" s="132" t="str">
        <f t="shared" si="49"/>
        <v>N/A</v>
      </c>
      <c r="Q465" s="132" t="str">
        <f t="shared" si="50"/>
        <v>N/A</v>
      </c>
      <c r="R465" s="132" t="str">
        <f t="shared" si="51"/>
        <v>NO CERT.</v>
      </c>
      <c r="S465" s="132" t="e">
        <f t="shared" si="52"/>
        <v>#N/A</v>
      </c>
      <c r="T465" s="133" t="e">
        <f>+IF(J465=LOOKUP(J465,'CAFCO 300 IDIEM TABLAS'!$J$4:$J$40),'CALCULO MORTERO'!J465,MROUND('CALCULO MORTERO'!J465,10))</f>
        <v>#N/A</v>
      </c>
      <c r="U465" s="134">
        <f t="shared" si="53"/>
        <v>0</v>
      </c>
      <c r="Y465" s="4"/>
      <c r="Z465" s="4"/>
      <c r="AA465" s="4"/>
    </row>
    <row r="466" spans="1:27" x14ac:dyDescent="0.25">
      <c r="A466" s="118">
        <f>+CUBICACION!D460</f>
        <v>0</v>
      </c>
      <c r="B466" s="819">
        <f>+CUBICACION!E460</f>
        <v>0</v>
      </c>
      <c r="C466" s="675">
        <f>+CUBICACION!F460</f>
        <v>0</v>
      </c>
      <c r="D466" s="118"/>
      <c r="E466" s="118"/>
      <c r="F466" s="820"/>
      <c r="G466" s="675">
        <f>+CUBICACION!J460</f>
        <v>0</v>
      </c>
      <c r="H466" s="118"/>
      <c r="I466" s="821">
        <f>+CUBICACION!L460</f>
        <v>0</v>
      </c>
      <c r="J466" s="64">
        <f>+CUBICACION!M460</f>
        <v>0</v>
      </c>
      <c r="K466" s="822" t="str">
        <f>+CUBICACION!N460</f>
        <v/>
      </c>
      <c r="L466" s="118">
        <f>+CUBICACION!O460</f>
        <v>0</v>
      </c>
      <c r="M466" s="823">
        <f>+CUBICACION!P460</f>
        <v>0</v>
      </c>
      <c r="N466" s="902">
        <f>ROUND(IF(AND(L466="Blaze Shield II",M466="Software Idiem",C466="IN",G466=4),((('BLAZE SHIELD II'!$D$4*('CALCULO MORTERO'!I466^2)+'BLAZE SHIELD II'!$D$5*'CALCULO MORTERO'!I466+'BLAZE SHIELD II'!$D$6)*LN(J466))+('BLAZE SHIELD II'!$D$7*('CALCULO MORTERO'!I466^2)+'BLAZE SHIELD II'!$D$8*'CALCULO MORTERO'!I466+'BLAZE SHIELD II'!$D$9)),0)+IF(AND(L466="Blaze Shield II",M466="Software Idiem",C466="Cj"),((('BLAZE SHIELD II'!$H$4*('CALCULO MORTERO'!I466^2)+'BLAZE SHIELD II'!$H$5*'CALCULO MORTERO'!I466+'BLAZE SHIELD II'!$H$6)*LN(J466))+('BLAZE SHIELD II'!$H$7*('CALCULO MORTERO'!I466^2)+'BLAZE SHIELD II'!$H$8*'CALCULO MORTERO'!I466+'BLAZE SHIELD II'!$H$9)),0)+IF(AND(L466="Blaze Shield II",M466="Software Idiem",C466="C"),((('BLAZE SHIELD II'!$L$4*('CALCULO MORTERO'!I466^2)+'BLAZE SHIELD II'!$L$5*'CALCULO MORTERO'!I466+'BLAZE SHIELD II'!$L$6)*LN(J466))+('BLAZE SHIELD II'!$L$7*('CALCULO MORTERO'!I466^2)+'BLAZE SHIELD II'!$L$8*'CALCULO MORTERO'!I466+'BLAZE SHIELD II'!$L$9)),0)+IF(AND(L466="Blaze Shield II",M466="Software Idiem",C466="L"),((('BLAZE SHIELD II'!$L$4*('CALCULO MORTERO'!I466^2)+'BLAZE SHIELD II'!$L$5*'CALCULO MORTERO'!I466+'BLAZE SHIELD II'!$L$6)*LN(J466))+('BLAZE SHIELD II'!$L$7*('CALCULO MORTERO'!I466^2)+'BLAZE SHIELD II'!$L$8*'CALCULO MORTERO'!I466+'BLAZE SHIELD II'!$L$9)),0)+IF(AND(L466="Blaze Shield II",M466="Software Idiem",C466="IN",G466=3),((('BLAZE SHIELD II'!$H$14*('CALCULO MORTERO'!I466^2)+'BLAZE SHIELD II'!$H$15*'CALCULO MORTERO'!I466+'BLAZE SHIELD II'!$H$16)*LN(J466))+('BLAZE SHIELD II'!$H$17*('CALCULO MORTERO'!I466^2)+'BLAZE SHIELD II'!$H$18*'CALCULO MORTERO'!I466+'BLAZE SHIELD II'!$H$19)),0),0)+ROUND(IF(AND(L466="Cafco 400",M466="Software Idiem",C466="IN",G466=4),((('CAFCO 400 '!$H$7*(J466^4)+'CAFCO 400 '!$H$8*(J466^3)+'CAFCO 400 '!$H$9*(J466^2)+'CAFCO 400 '!$H$10*J466+'CAFCO 400 '!$H$11)*U466^2)+(('CAFCO 400 '!$H$12*(J466^3)+'CAFCO 400 '!$H$13*(J466^2)+'CAFCO 400 '!$H$14*J466+'CAFCO 400 '!$H$15)*U466)+('CAFCO 400 '!$H$16*(J466^2)+'CAFCO 400 '!$H$17*J466+'CAFCO 400 '!$H$18)),0)+IF(AND(L466="Cafco 400",M466="Software Idiem",C466="Cj"),(((('CAFCO 400 '!$D$7*LN(J466)+'CAFCO 400 '!$D$8)*U466^2)+(('CAFCO 400 '!$D$9*LN(J466)+'CAFCO 400 '!$D$10)*U466)+('CAFCO 400 '!$D$11*LN(J466)+'CAFCO 400 '!$D$12))),0)+IF(AND(L466="Cafco 400",M466="Software Idiem",C466="C"),((('CAFCO 400 '!$L$7*(J466^3)+'CAFCO 400 '!$L$8*(J466^2)+'CAFCO 400 '!$L$9*J466+'CAFCO 400 '!$L$10)*U466^2)+(('CAFCO 400 '!$L$11*(J466^3)+'CAFCO 400 '!$L$12*(J466^2)+'CAFCO 400 '!$L$13*J466+'CAFCO 400 '!$L$14)*U466)+('CAFCO 400 '!$L$15*LN(J466)+'CAFCO 400 '!$L$16)),0)+IF(AND(L466="Cafco 400",M466="Software Idiem",C466="L"),((('CAFCO 400 '!$L$7*(J466^3)+'CAFCO 400 '!$L$8*(J466^2)+'CAFCO 400 '!$L$9*J466+'CAFCO 400 '!$L$10)*U466^2)+(('CAFCO 400 '!$L$11*(J466^3)+'CAFCO 400 '!$L$12*(J466^2)+'CAFCO 400 '!$L$13*J466+'CAFCO 400 '!$L$14)*U466)+('CAFCO 400 '!$L$15*LN(J466)+'CAFCO 400 '!$L$16)),0)+IF(AND(L466="Cafco 400",M466="Software Idiem",C466="IN",G466=3),((('CAFCO 400 '!$D$23*(J466^2)+'CAFCO 400 '!$D$24*(J466)+'CAFCO 400 '!$D$25)*U466^2)+(('CAFCO 400 '!$D$26*(J466^2)+'CAFCO 400 '!$D$27*J466+'CAFCO 400 '!$D$28)*U466)+('CAFCO 400 '!$D$29*(J466^2)+'CAFCO 400 '!$D$30*J466+'CAFCO 400 '!$D$31)),0),0)+IF(AND(L466="Cafco 300",J466&gt;=95,J466&lt;=240,C466="Cj",I466=90),VLOOKUP(T466,'CAFCO 300 IDIEM TABLAS'!$B$4:$D$23,2,FALSE),0)+IF(AND(L466="Cafco 300",J466&gt;=95,J466&lt;=240,C466="Cj",I466=120),VLOOKUP(T466,'CAFCO 300 IDIEM TABLAS'!$B$4:$D$23,3,FALSE),0)+IF(AND(L466="Cafco 300",J466&gt;=95,J466&lt;=400,G466=3,C466="IN",I466=90),VLOOKUP(T466,'CAFCO 300 IDIEM TABLAS'!$F$4:$H$35,2,FALSE),0)+IF(AND(L466="Cafco 300",J466&gt;=95,J466&lt;=400,G466=3,C466="IN",I466=120),VLOOKUP(T466,'CAFCO 300 IDIEM TABLAS'!$F$4:$H$35,3,FALSE),0)+IF(AND(L466="Cafco 300",J466&gt;=95,J466&lt;=450,G466=4,C466="IN",I466=90),VLOOKUP(T466,'CAFCO 300 IDIEM TABLAS'!$J$4:$L$40,2,FALSE),0)+IF(AND(L466="Cafco 300",J466&gt;=95,J466&lt;=450,G466=4,C466="IN",I466=120),VLOOKUP(T466,'CAFCO 300 IDIEM TABLAS'!$J$4:$L$40,3,FALSE),0)+IF(AND(M466="Ensayo Idiem",L466="Cafco 400",C466="IN",G466=4,I466=90),VLOOKUP(T466,'CAFCO 400 ENSAYO'!$B$7:$D$43,2,FALSE),0)+IF(AND(M466="Ensayo Idiem",L466="Cafco 400",C466="IN",G466=4,I466=120),VLOOKUP(T466,'CAFCO 400 ENSAYO'!$B$7:$D$43,3,FALSE),0)</f>
        <v>0</v>
      </c>
      <c r="O466" s="96">
        <f t="shared" si="54"/>
        <v>0</v>
      </c>
      <c r="P466" s="95" t="str">
        <f t="shared" si="49"/>
        <v>N/A</v>
      </c>
      <c r="Q466" s="95" t="str">
        <f t="shared" si="50"/>
        <v>N/A</v>
      </c>
      <c r="R466" s="95" t="str">
        <f t="shared" si="51"/>
        <v>NO CERT.</v>
      </c>
      <c r="S466" s="95" t="e">
        <f t="shared" si="52"/>
        <v>#N/A</v>
      </c>
      <c r="T466" s="119" t="e">
        <f>+IF(J466=LOOKUP(J466,'CAFCO 300 IDIEM TABLAS'!$J$4:$J$40),'CALCULO MORTERO'!J466,MROUND('CALCULO MORTERO'!J466,10))</f>
        <v>#N/A</v>
      </c>
      <c r="U466" s="118">
        <f t="shared" si="53"/>
        <v>0</v>
      </c>
      <c r="Y466" s="4"/>
      <c r="Z466" s="4"/>
      <c r="AA466" s="4"/>
    </row>
    <row r="467" spans="1:27" x14ac:dyDescent="0.25">
      <c r="A467" s="118">
        <f>+CUBICACION!D461</f>
        <v>0</v>
      </c>
      <c r="B467" s="819">
        <f>+CUBICACION!E461</f>
        <v>0</v>
      </c>
      <c r="C467" s="675">
        <f>+CUBICACION!F461</f>
        <v>0</v>
      </c>
      <c r="D467" s="118"/>
      <c r="E467" s="118"/>
      <c r="F467" s="820"/>
      <c r="G467" s="675">
        <f>+CUBICACION!J461</f>
        <v>0</v>
      </c>
      <c r="H467" s="118"/>
      <c r="I467" s="821">
        <f>+CUBICACION!L461</f>
        <v>0</v>
      </c>
      <c r="J467" s="64">
        <f>+CUBICACION!M461</f>
        <v>0</v>
      </c>
      <c r="K467" s="822" t="str">
        <f>+CUBICACION!N461</f>
        <v/>
      </c>
      <c r="L467" s="118">
        <f>+CUBICACION!O461</f>
        <v>0</v>
      </c>
      <c r="M467" s="823">
        <f>+CUBICACION!P461</f>
        <v>0</v>
      </c>
      <c r="N467" s="902">
        <f>ROUND(IF(AND(L467="Blaze Shield II",M467="Software Idiem",C467="IN",G467=4),((('BLAZE SHIELD II'!$D$4*('CALCULO MORTERO'!I467^2)+'BLAZE SHIELD II'!$D$5*'CALCULO MORTERO'!I467+'BLAZE SHIELD II'!$D$6)*LN(J467))+('BLAZE SHIELD II'!$D$7*('CALCULO MORTERO'!I467^2)+'BLAZE SHIELD II'!$D$8*'CALCULO MORTERO'!I467+'BLAZE SHIELD II'!$D$9)),0)+IF(AND(L467="Blaze Shield II",M467="Software Idiem",C467="Cj"),((('BLAZE SHIELD II'!$H$4*('CALCULO MORTERO'!I467^2)+'BLAZE SHIELD II'!$H$5*'CALCULO MORTERO'!I467+'BLAZE SHIELD II'!$H$6)*LN(J467))+('BLAZE SHIELD II'!$H$7*('CALCULO MORTERO'!I467^2)+'BLAZE SHIELD II'!$H$8*'CALCULO MORTERO'!I467+'BLAZE SHIELD II'!$H$9)),0)+IF(AND(L467="Blaze Shield II",M467="Software Idiem",C467="C"),((('BLAZE SHIELD II'!$L$4*('CALCULO MORTERO'!I467^2)+'BLAZE SHIELD II'!$L$5*'CALCULO MORTERO'!I467+'BLAZE SHIELD II'!$L$6)*LN(J467))+('BLAZE SHIELD II'!$L$7*('CALCULO MORTERO'!I467^2)+'BLAZE SHIELD II'!$L$8*'CALCULO MORTERO'!I467+'BLAZE SHIELD II'!$L$9)),0)+IF(AND(L467="Blaze Shield II",M467="Software Idiem",C467="L"),((('BLAZE SHIELD II'!$L$4*('CALCULO MORTERO'!I467^2)+'BLAZE SHIELD II'!$L$5*'CALCULO MORTERO'!I467+'BLAZE SHIELD II'!$L$6)*LN(J467))+('BLAZE SHIELD II'!$L$7*('CALCULO MORTERO'!I467^2)+'BLAZE SHIELD II'!$L$8*'CALCULO MORTERO'!I467+'BLAZE SHIELD II'!$L$9)),0)+IF(AND(L467="Blaze Shield II",M467="Software Idiem",C467="IN",G467=3),((('BLAZE SHIELD II'!$H$14*('CALCULO MORTERO'!I467^2)+'BLAZE SHIELD II'!$H$15*'CALCULO MORTERO'!I467+'BLAZE SHIELD II'!$H$16)*LN(J467))+('BLAZE SHIELD II'!$H$17*('CALCULO MORTERO'!I467^2)+'BLAZE SHIELD II'!$H$18*'CALCULO MORTERO'!I467+'BLAZE SHIELD II'!$H$19)),0),0)+ROUND(IF(AND(L467="Cafco 400",M467="Software Idiem",C467="IN",G467=4),((('CAFCO 400 '!$H$7*(J467^4)+'CAFCO 400 '!$H$8*(J467^3)+'CAFCO 400 '!$H$9*(J467^2)+'CAFCO 400 '!$H$10*J467+'CAFCO 400 '!$H$11)*U467^2)+(('CAFCO 400 '!$H$12*(J467^3)+'CAFCO 400 '!$H$13*(J467^2)+'CAFCO 400 '!$H$14*J467+'CAFCO 400 '!$H$15)*U467)+('CAFCO 400 '!$H$16*(J467^2)+'CAFCO 400 '!$H$17*J467+'CAFCO 400 '!$H$18)),0)+IF(AND(L467="Cafco 400",M467="Software Idiem",C467="Cj"),(((('CAFCO 400 '!$D$7*LN(J467)+'CAFCO 400 '!$D$8)*U467^2)+(('CAFCO 400 '!$D$9*LN(J467)+'CAFCO 400 '!$D$10)*U467)+('CAFCO 400 '!$D$11*LN(J467)+'CAFCO 400 '!$D$12))),0)+IF(AND(L467="Cafco 400",M467="Software Idiem",C467="C"),((('CAFCO 400 '!$L$7*(J467^3)+'CAFCO 400 '!$L$8*(J467^2)+'CAFCO 400 '!$L$9*J467+'CAFCO 400 '!$L$10)*U467^2)+(('CAFCO 400 '!$L$11*(J467^3)+'CAFCO 400 '!$L$12*(J467^2)+'CAFCO 400 '!$L$13*J467+'CAFCO 400 '!$L$14)*U467)+('CAFCO 400 '!$L$15*LN(J467)+'CAFCO 400 '!$L$16)),0)+IF(AND(L467="Cafco 400",M467="Software Idiem",C467="L"),((('CAFCO 400 '!$L$7*(J467^3)+'CAFCO 400 '!$L$8*(J467^2)+'CAFCO 400 '!$L$9*J467+'CAFCO 400 '!$L$10)*U467^2)+(('CAFCO 400 '!$L$11*(J467^3)+'CAFCO 400 '!$L$12*(J467^2)+'CAFCO 400 '!$L$13*J467+'CAFCO 400 '!$L$14)*U467)+('CAFCO 400 '!$L$15*LN(J467)+'CAFCO 400 '!$L$16)),0)+IF(AND(L467="Cafco 400",M467="Software Idiem",C467="IN",G467=3),((('CAFCO 400 '!$D$23*(J467^2)+'CAFCO 400 '!$D$24*(J467)+'CAFCO 400 '!$D$25)*U467^2)+(('CAFCO 400 '!$D$26*(J467^2)+'CAFCO 400 '!$D$27*J467+'CAFCO 400 '!$D$28)*U467)+('CAFCO 400 '!$D$29*(J467^2)+'CAFCO 400 '!$D$30*J467+'CAFCO 400 '!$D$31)),0),0)+IF(AND(L467="Cafco 300",J467&gt;=95,J467&lt;=240,C467="Cj",I467=90),VLOOKUP(T467,'CAFCO 300 IDIEM TABLAS'!$B$4:$D$23,2,FALSE),0)+IF(AND(L467="Cafco 300",J467&gt;=95,J467&lt;=240,C467="Cj",I467=120),VLOOKUP(T467,'CAFCO 300 IDIEM TABLAS'!$B$4:$D$23,3,FALSE),0)+IF(AND(L467="Cafco 300",J467&gt;=95,J467&lt;=400,G467=3,C467="IN",I467=90),VLOOKUP(T467,'CAFCO 300 IDIEM TABLAS'!$F$4:$H$35,2,FALSE),0)+IF(AND(L467="Cafco 300",J467&gt;=95,J467&lt;=400,G467=3,C467="IN",I467=120),VLOOKUP(T467,'CAFCO 300 IDIEM TABLAS'!$F$4:$H$35,3,FALSE),0)+IF(AND(L467="Cafco 300",J467&gt;=95,J467&lt;=450,G467=4,C467="IN",I467=90),VLOOKUP(T467,'CAFCO 300 IDIEM TABLAS'!$J$4:$L$40,2,FALSE),0)+IF(AND(L467="Cafco 300",J467&gt;=95,J467&lt;=450,G467=4,C467="IN",I467=120),VLOOKUP(T467,'CAFCO 300 IDIEM TABLAS'!$J$4:$L$40,3,FALSE),0)+IF(AND(M467="Ensayo Idiem",L467="Cafco 400",C467="IN",G467=4,I467=90),VLOOKUP(T467,'CAFCO 400 ENSAYO'!$B$7:$D$43,2,FALSE),0)+IF(AND(M467="Ensayo Idiem",L467="Cafco 400",C467="IN",G467=4,I467=120),VLOOKUP(T467,'CAFCO 400 ENSAYO'!$B$7:$D$43,3,FALSE),0)</f>
        <v>0</v>
      </c>
      <c r="O467" s="96">
        <f t="shared" si="54"/>
        <v>0</v>
      </c>
      <c r="P467" s="132" t="str">
        <f t="shared" si="49"/>
        <v>N/A</v>
      </c>
      <c r="Q467" s="132" t="str">
        <f t="shared" si="50"/>
        <v>N/A</v>
      </c>
      <c r="R467" s="132" t="str">
        <f t="shared" si="51"/>
        <v>NO CERT.</v>
      </c>
      <c r="S467" s="132" t="e">
        <f t="shared" si="52"/>
        <v>#N/A</v>
      </c>
      <c r="T467" s="133" t="e">
        <f>+IF(J467=LOOKUP(J467,'CAFCO 300 IDIEM TABLAS'!$J$4:$J$40),'CALCULO MORTERO'!J467,MROUND('CALCULO MORTERO'!J467,10))</f>
        <v>#N/A</v>
      </c>
      <c r="U467" s="134">
        <f t="shared" si="53"/>
        <v>0</v>
      </c>
      <c r="Y467" s="4"/>
      <c r="Z467" s="4"/>
      <c r="AA467" s="4"/>
    </row>
    <row r="468" spans="1:27" x14ac:dyDescent="0.25">
      <c r="A468" s="118">
        <f>+CUBICACION!D462</f>
        <v>0</v>
      </c>
      <c r="B468" s="819">
        <f>+CUBICACION!E462</f>
        <v>0</v>
      </c>
      <c r="C468" s="675">
        <f>+CUBICACION!F462</f>
        <v>0</v>
      </c>
      <c r="D468" s="118"/>
      <c r="E468" s="118"/>
      <c r="F468" s="820"/>
      <c r="G468" s="675">
        <f>+CUBICACION!J462</f>
        <v>0</v>
      </c>
      <c r="H468" s="118"/>
      <c r="I468" s="821">
        <f>+CUBICACION!L462</f>
        <v>0</v>
      </c>
      <c r="J468" s="64">
        <f>+CUBICACION!M462</f>
        <v>0</v>
      </c>
      <c r="K468" s="822" t="str">
        <f>+CUBICACION!N462</f>
        <v/>
      </c>
      <c r="L468" s="118">
        <f>+CUBICACION!O462</f>
        <v>0</v>
      </c>
      <c r="M468" s="823">
        <f>+CUBICACION!P462</f>
        <v>0</v>
      </c>
      <c r="N468" s="902">
        <f>ROUND(IF(AND(L468="Blaze Shield II",M468="Software Idiem",C468="IN",G468=4),((('BLAZE SHIELD II'!$D$4*('CALCULO MORTERO'!I468^2)+'BLAZE SHIELD II'!$D$5*'CALCULO MORTERO'!I468+'BLAZE SHIELD II'!$D$6)*LN(J468))+('BLAZE SHIELD II'!$D$7*('CALCULO MORTERO'!I468^2)+'BLAZE SHIELD II'!$D$8*'CALCULO MORTERO'!I468+'BLAZE SHIELD II'!$D$9)),0)+IF(AND(L468="Blaze Shield II",M468="Software Idiem",C468="Cj"),((('BLAZE SHIELD II'!$H$4*('CALCULO MORTERO'!I468^2)+'BLAZE SHIELD II'!$H$5*'CALCULO MORTERO'!I468+'BLAZE SHIELD II'!$H$6)*LN(J468))+('BLAZE SHIELD II'!$H$7*('CALCULO MORTERO'!I468^2)+'BLAZE SHIELD II'!$H$8*'CALCULO MORTERO'!I468+'BLAZE SHIELD II'!$H$9)),0)+IF(AND(L468="Blaze Shield II",M468="Software Idiem",C468="C"),((('BLAZE SHIELD II'!$L$4*('CALCULO MORTERO'!I468^2)+'BLAZE SHIELD II'!$L$5*'CALCULO MORTERO'!I468+'BLAZE SHIELD II'!$L$6)*LN(J468))+('BLAZE SHIELD II'!$L$7*('CALCULO MORTERO'!I468^2)+'BLAZE SHIELD II'!$L$8*'CALCULO MORTERO'!I468+'BLAZE SHIELD II'!$L$9)),0)+IF(AND(L468="Blaze Shield II",M468="Software Idiem",C468="L"),((('BLAZE SHIELD II'!$L$4*('CALCULO MORTERO'!I468^2)+'BLAZE SHIELD II'!$L$5*'CALCULO MORTERO'!I468+'BLAZE SHIELD II'!$L$6)*LN(J468))+('BLAZE SHIELD II'!$L$7*('CALCULO MORTERO'!I468^2)+'BLAZE SHIELD II'!$L$8*'CALCULO MORTERO'!I468+'BLAZE SHIELD II'!$L$9)),0)+IF(AND(L468="Blaze Shield II",M468="Software Idiem",C468="IN",G468=3),((('BLAZE SHIELD II'!$H$14*('CALCULO MORTERO'!I468^2)+'BLAZE SHIELD II'!$H$15*'CALCULO MORTERO'!I468+'BLAZE SHIELD II'!$H$16)*LN(J468))+('BLAZE SHIELD II'!$H$17*('CALCULO MORTERO'!I468^2)+'BLAZE SHIELD II'!$H$18*'CALCULO MORTERO'!I468+'BLAZE SHIELD II'!$H$19)),0),0)+ROUND(IF(AND(L468="Cafco 400",M468="Software Idiem",C468="IN",G468=4),((('CAFCO 400 '!$H$7*(J468^4)+'CAFCO 400 '!$H$8*(J468^3)+'CAFCO 400 '!$H$9*(J468^2)+'CAFCO 400 '!$H$10*J468+'CAFCO 400 '!$H$11)*U468^2)+(('CAFCO 400 '!$H$12*(J468^3)+'CAFCO 400 '!$H$13*(J468^2)+'CAFCO 400 '!$H$14*J468+'CAFCO 400 '!$H$15)*U468)+('CAFCO 400 '!$H$16*(J468^2)+'CAFCO 400 '!$H$17*J468+'CAFCO 400 '!$H$18)),0)+IF(AND(L468="Cafco 400",M468="Software Idiem",C468="Cj"),(((('CAFCO 400 '!$D$7*LN(J468)+'CAFCO 400 '!$D$8)*U468^2)+(('CAFCO 400 '!$D$9*LN(J468)+'CAFCO 400 '!$D$10)*U468)+('CAFCO 400 '!$D$11*LN(J468)+'CAFCO 400 '!$D$12))),0)+IF(AND(L468="Cafco 400",M468="Software Idiem",C468="C"),((('CAFCO 400 '!$L$7*(J468^3)+'CAFCO 400 '!$L$8*(J468^2)+'CAFCO 400 '!$L$9*J468+'CAFCO 400 '!$L$10)*U468^2)+(('CAFCO 400 '!$L$11*(J468^3)+'CAFCO 400 '!$L$12*(J468^2)+'CAFCO 400 '!$L$13*J468+'CAFCO 400 '!$L$14)*U468)+('CAFCO 400 '!$L$15*LN(J468)+'CAFCO 400 '!$L$16)),0)+IF(AND(L468="Cafco 400",M468="Software Idiem",C468="L"),((('CAFCO 400 '!$L$7*(J468^3)+'CAFCO 400 '!$L$8*(J468^2)+'CAFCO 400 '!$L$9*J468+'CAFCO 400 '!$L$10)*U468^2)+(('CAFCO 400 '!$L$11*(J468^3)+'CAFCO 400 '!$L$12*(J468^2)+'CAFCO 400 '!$L$13*J468+'CAFCO 400 '!$L$14)*U468)+('CAFCO 400 '!$L$15*LN(J468)+'CAFCO 400 '!$L$16)),0)+IF(AND(L468="Cafco 400",M468="Software Idiem",C468="IN",G468=3),((('CAFCO 400 '!$D$23*(J468^2)+'CAFCO 400 '!$D$24*(J468)+'CAFCO 400 '!$D$25)*U468^2)+(('CAFCO 400 '!$D$26*(J468^2)+'CAFCO 400 '!$D$27*J468+'CAFCO 400 '!$D$28)*U468)+('CAFCO 400 '!$D$29*(J468^2)+'CAFCO 400 '!$D$30*J468+'CAFCO 400 '!$D$31)),0),0)+IF(AND(L468="Cafco 300",J468&gt;=95,J468&lt;=240,C468="Cj",I468=90),VLOOKUP(T468,'CAFCO 300 IDIEM TABLAS'!$B$4:$D$23,2,FALSE),0)+IF(AND(L468="Cafco 300",J468&gt;=95,J468&lt;=240,C468="Cj",I468=120),VLOOKUP(T468,'CAFCO 300 IDIEM TABLAS'!$B$4:$D$23,3,FALSE),0)+IF(AND(L468="Cafco 300",J468&gt;=95,J468&lt;=400,G468=3,C468="IN",I468=90),VLOOKUP(T468,'CAFCO 300 IDIEM TABLAS'!$F$4:$H$35,2,FALSE),0)+IF(AND(L468="Cafco 300",J468&gt;=95,J468&lt;=400,G468=3,C468="IN",I468=120),VLOOKUP(T468,'CAFCO 300 IDIEM TABLAS'!$F$4:$H$35,3,FALSE),0)+IF(AND(L468="Cafco 300",J468&gt;=95,J468&lt;=450,G468=4,C468="IN",I468=90),VLOOKUP(T468,'CAFCO 300 IDIEM TABLAS'!$J$4:$L$40,2,FALSE),0)+IF(AND(L468="Cafco 300",J468&gt;=95,J468&lt;=450,G468=4,C468="IN",I468=120),VLOOKUP(T468,'CAFCO 300 IDIEM TABLAS'!$J$4:$L$40,3,FALSE),0)+IF(AND(M468="Ensayo Idiem",L468="Cafco 400",C468="IN",G468=4,I468=90),VLOOKUP(T468,'CAFCO 400 ENSAYO'!$B$7:$D$43,2,FALSE),0)+IF(AND(M468="Ensayo Idiem",L468="Cafco 400",C468="IN",G468=4,I468=120),VLOOKUP(T468,'CAFCO 400 ENSAYO'!$B$7:$D$43,3,FALSE),0)</f>
        <v>0</v>
      </c>
      <c r="O468" s="96">
        <f t="shared" si="54"/>
        <v>0</v>
      </c>
      <c r="P468" s="95" t="str">
        <f t="shared" si="49"/>
        <v>N/A</v>
      </c>
      <c r="Q468" s="95" t="str">
        <f t="shared" si="50"/>
        <v>N/A</v>
      </c>
      <c r="R468" s="95" t="str">
        <f t="shared" si="51"/>
        <v>NO CERT.</v>
      </c>
      <c r="S468" s="95" t="e">
        <f t="shared" si="52"/>
        <v>#N/A</v>
      </c>
      <c r="T468" s="119" t="e">
        <f>+IF(J468=LOOKUP(J468,'CAFCO 300 IDIEM TABLAS'!$J$4:$J$40),'CALCULO MORTERO'!J468,MROUND('CALCULO MORTERO'!J468,10))</f>
        <v>#N/A</v>
      </c>
      <c r="U468" s="118">
        <f t="shared" si="53"/>
        <v>0</v>
      </c>
      <c r="Y468" s="4"/>
      <c r="Z468" s="4"/>
      <c r="AA468" s="4"/>
    </row>
    <row r="469" spans="1:27" x14ac:dyDescent="0.25">
      <c r="A469" s="118">
        <f>+CUBICACION!D463</f>
        <v>0</v>
      </c>
      <c r="B469" s="819">
        <f>+CUBICACION!E463</f>
        <v>0</v>
      </c>
      <c r="C469" s="675">
        <f>+CUBICACION!F463</f>
        <v>0</v>
      </c>
      <c r="D469" s="118"/>
      <c r="E469" s="118"/>
      <c r="F469" s="820"/>
      <c r="G469" s="675">
        <f>+CUBICACION!J463</f>
        <v>0</v>
      </c>
      <c r="H469" s="118"/>
      <c r="I469" s="821">
        <f>+CUBICACION!L463</f>
        <v>0</v>
      </c>
      <c r="J469" s="64">
        <f>+CUBICACION!M463</f>
        <v>0</v>
      </c>
      <c r="K469" s="822" t="str">
        <f>+CUBICACION!N463</f>
        <v/>
      </c>
      <c r="L469" s="118">
        <f>+CUBICACION!O463</f>
        <v>0</v>
      </c>
      <c r="M469" s="823">
        <f>+CUBICACION!P463</f>
        <v>0</v>
      </c>
      <c r="N469" s="902">
        <f>ROUND(IF(AND(L469="Blaze Shield II",M469="Software Idiem",C469="IN",G469=4),((('BLAZE SHIELD II'!$D$4*('CALCULO MORTERO'!I469^2)+'BLAZE SHIELD II'!$D$5*'CALCULO MORTERO'!I469+'BLAZE SHIELD II'!$D$6)*LN(J469))+('BLAZE SHIELD II'!$D$7*('CALCULO MORTERO'!I469^2)+'BLAZE SHIELD II'!$D$8*'CALCULO MORTERO'!I469+'BLAZE SHIELD II'!$D$9)),0)+IF(AND(L469="Blaze Shield II",M469="Software Idiem",C469="Cj"),((('BLAZE SHIELD II'!$H$4*('CALCULO MORTERO'!I469^2)+'BLAZE SHIELD II'!$H$5*'CALCULO MORTERO'!I469+'BLAZE SHIELD II'!$H$6)*LN(J469))+('BLAZE SHIELD II'!$H$7*('CALCULO MORTERO'!I469^2)+'BLAZE SHIELD II'!$H$8*'CALCULO MORTERO'!I469+'BLAZE SHIELD II'!$H$9)),0)+IF(AND(L469="Blaze Shield II",M469="Software Idiem",C469="C"),((('BLAZE SHIELD II'!$L$4*('CALCULO MORTERO'!I469^2)+'BLAZE SHIELD II'!$L$5*'CALCULO MORTERO'!I469+'BLAZE SHIELD II'!$L$6)*LN(J469))+('BLAZE SHIELD II'!$L$7*('CALCULO MORTERO'!I469^2)+'BLAZE SHIELD II'!$L$8*'CALCULO MORTERO'!I469+'BLAZE SHIELD II'!$L$9)),0)+IF(AND(L469="Blaze Shield II",M469="Software Idiem",C469="L"),((('BLAZE SHIELD II'!$L$4*('CALCULO MORTERO'!I469^2)+'BLAZE SHIELD II'!$L$5*'CALCULO MORTERO'!I469+'BLAZE SHIELD II'!$L$6)*LN(J469))+('BLAZE SHIELD II'!$L$7*('CALCULO MORTERO'!I469^2)+'BLAZE SHIELD II'!$L$8*'CALCULO MORTERO'!I469+'BLAZE SHIELD II'!$L$9)),0)+IF(AND(L469="Blaze Shield II",M469="Software Idiem",C469="IN",G469=3),((('BLAZE SHIELD II'!$H$14*('CALCULO MORTERO'!I469^2)+'BLAZE SHIELD II'!$H$15*'CALCULO MORTERO'!I469+'BLAZE SHIELD II'!$H$16)*LN(J469))+('BLAZE SHIELD II'!$H$17*('CALCULO MORTERO'!I469^2)+'BLAZE SHIELD II'!$H$18*'CALCULO MORTERO'!I469+'BLAZE SHIELD II'!$H$19)),0),0)+ROUND(IF(AND(L469="Cafco 400",M469="Software Idiem",C469="IN",G469=4),((('CAFCO 400 '!$H$7*(J469^4)+'CAFCO 400 '!$H$8*(J469^3)+'CAFCO 400 '!$H$9*(J469^2)+'CAFCO 400 '!$H$10*J469+'CAFCO 400 '!$H$11)*U469^2)+(('CAFCO 400 '!$H$12*(J469^3)+'CAFCO 400 '!$H$13*(J469^2)+'CAFCO 400 '!$H$14*J469+'CAFCO 400 '!$H$15)*U469)+('CAFCO 400 '!$H$16*(J469^2)+'CAFCO 400 '!$H$17*J469+'CAFCO 400 '!$H$18)),0)+IF(AND(L469="Cafco 400",M469="Software Idiem",C469="Cj"),(((('CAFCO 400 '!$D$7*LN(J469)+'CAFCO 400 '!$D$8)*U469^2)+(('CAFCO 400 '!$D$9*LN(J469)+'CAFCO 400 '!$D$10)*U469)+('CAFCO 400 '!$D$11*LN(J469)+'CAFCO 400 '!$D$12))),0)+IF(AND(L469="Cafco 400",M469="Software Idiem",C469="C"),((('CAFCO 400 '!$L$7*(J469^3)+'CAFCO 400 '!$L$8*(J469^2)+'CAFCO 400 '!$L$9*J469+'CAFCO 400 '!$L$10)*U469^2)+(('CAFCO 400 '!$L$11*(J469^3)+'CAFCO 400 '!$L$12*(J469^2)+'CAFCO 400 '!$L$13*J469+'CAFCO 400 '!$L$14)*U469)+('CAFCO 400 '!$L$15*LN(J469)+'CAFCO 400 '!$L$16)),0)+IF(AND(L469="Cafco 400",M469="Software Idiem",C469="L"),((('CAFCO 400 '!$L$7*(J469^3)+'CAFCO 400 '!$L$8*(J469^2)+'CAFCO 400 '!$L$9*J469+'CAFCO 400 '!$L$10)*U469^2)+(('CAFCO 400 '!$L$11*(J469^3)+'CAFCO 400 '!$L$12*(J469^2)+'CAFCO 400 '!$L$13*J469+'CAFCO 400 '!$L$14)*U469)+('CAFCO 400 '!$L$15*LN(J469)+'CAFCO 400 '!$L$16)),0)+IF(AND(L469="Cafco 400",M469="Software Idiem",C469="IN",G469=3),((('CAFCO 400 '!$D$23*(J469^2)+'CAFCO 400 '!$D$24*(J469)+'CAFCO 400 '!$D$25)*U469^2)+(('CAFCO 400 '!$D$26*(J469^2)+'CAFCO 400 '!$D$27*J469+'CAFCO 400 '!$D$28)*U469)+('CAFCO 400 '!$D$29*(J469^2)+'CAFCO 400 '!$D$30*J469+'CAFCO 400 '!$D$31)),0),0)+IF(AND(L469="Cafco 300",J469&gt;=95,J469&lt;=240,C469="Cj",I469=90),VLOOKUP(T469,'CAFCO 300 IDIEM TABLAS'!$B$4:$D$23,2,FALSE),0)+IF(AND(L469="Cafco 300",J469&gt;=95,J469&lt;=240,C469="Cj",I469=120),VLOOKUP(T469,'CAFCO 300 IDIEM TABLAS'!$B$4:$D$23,3,FALSE),0)+IF(AND(L469="Cafco 300",J469&gt;=95,J469&lt;=400,G469=3,C469="IN",I469=90),VLOOKUP(T469,'CAFCO 300 IDIEM TABLAS'!$F$4:$H$35,2,FALSE),0)+IF(AND(L469="Cafco 300",J469&gt;=95,J469&lt;=400,G469=3,C469="IN",I469=120),VLOOKUP(T469,'CAFCO 300 IDIEM TABLAS'!$F$4:$H$35,3,FALSE),0)+IF(AND(L469="Cafco 300",J469&gt;=95,J469&lt;=450,G469=4,C469="IN",I469=90),VLOOKUP(T469,'CAFCO 300 IDIEM TABLAS'!$J$4:$L$40,2,FALSE),0)+IF(AND(L469="Cafco 300",J469&gt;=95,J469&lt;=450,G469=4,C469="IN",I469=120),VLOOKUP(T469,'CAFCO 300 IDIEM TABLAS'!$J$4:$L$40,3,FALSE),0)+IF(AND(M469="Ensayo Idiem",L469="Cafco 400",C469="IN",G469=4,I469=90),VLOOKUP(T469,'CAFCO 400 ENSAYO'!$B$7:$D$43,2,FALSE),0)+IF(AND(M469="Ensayo Idiem",L469="Cafco 400",C469="IN",G469=4,I469=120),VLOOKUP(T469,'CAFCO 400 ENSAYO'!$B$7:$D$43,3,FALSE),0)</f>
        <v>0</v>
      </c>
      <c r="O469" s="96">
        <f t="shared" si="54"/>
        <v>0</v>
      </c>
      <c r="P469" s="132" t="str">
        <f t="shared" si="49"/>
        <v>N/A</v>
      </c>
      <c r="Q469" s="132" t="str">
        <f t="shared" si="50"/>
        <v>N/A</v>
      </c>
      <c r="R469" s="132" t="str">
        <f t="shared" si="51"/>
        <v>NO CERT.</v>
      </c>
      <c r="S469" s="132" t="e">
        <f t="shared" si="52"/>
        <v>#N/A</v>
      </c>
      <c r="T469" s="133" t="e">
        <f>+IF(J469=LOOKUP(J469,'CAFCO 300 IDIEM TABLAS'!$J$4:$J$40),'CALCULO MORTERO'!J469,MROUND('CALCULO MORTERO'!J469,10))</f>
        <v>#N/A</v>
      </c>
      <c r="U469" s="134">
        <f t="shared" si="53"/>
        <v>0</v>
      </c>
      <c r="Y469" s="4"/>
      <c r="Z469" s="4"/>
      <c r="AA469" s="4"/>
    </row>
    <row r="470" spans="1:27" x14ac:dyDescent="0.25">
      <c r="A470" s="118">
        <f>+CUBICACION!D464</f>
        <v>0</v>
      </c>
      <c r="B470" s="819">
        <f>+CUBICACION!E464</f>
        <v>0</v>
      </c>
      <c r="C470" s="675">
        <f>+CUBICACION!F464</f>
        <v>0</v>
      </c>
      <c r="D470" s="118"/>
      <c r="E470" s="118"/>
      <c r="F470" s="820"/>
      <c r="G470" s="675">
        <f>+CUBICACION!J464</f>
        <v>0</v>
      </c>
      <c r="H470" s="118"/>
      <c r="I470" s="821">
        <f>+CUBICACION!L464</f>
        <v>0</v>
      </c>
      <c r="J470" s="64">
        <f>+CUBICACION!M464</f>
        <v>0</v>
      </c>
      <c r="K470" s="822" t="str">
        <f>+CUBICACION!N464</f>
        <v/>
      </c>
      <c r="L470" s="118">
        <f>+CUBICACION!O464</f>
        <v>0</v>
      </c>
      <c r="M470" s="823">
        <f>+CUBICACION!P464</f>
        <v>0</v>
      </c>
      <c r="N470" s="902">
        <f>ROUND(IF(AND(L470="Blaze Shield II",M470="Software Idiem",C470="IN",G470=4),((('BLAZE SHIELD II'!$D$4*('CALCULO MORTERO'!I470^2)+'BLAZE SHIELD II'!$D$5*'CALCULO MORTERO'!I470+'BLAZE SHIELD II'!$D$6)*LN(J470))+('BLAZE SHIELD II'!$D$7*('CALCULO MORTERO'!I470^2)+'BLAZE SHIELD II'!$D$8*'CALCULO MORTERO'!I470+'BLAZE SHIELD II'!$D$9)),0)+IF(AND(L470="Blaze Shield II",M470="Software Idiem",C470="Cj"),((('BLAZE SHIELD II'!$H$4*('CALCULO MORTERO'!I470^2)+'BLAZE SHIELD II'!$H$5*'CALCULO MORTERO'!I470+'BLAZE SHIELD II'!$H$6)*LN(J470))+('BLAZE SHIELD II'!$H$7*('CALCULO MORTERO'!I470^2)+'BLAZE SHIELD II'!$H$8*'CALCULO MORTERO'!I470+'BLAZE SHIELD II'!$H$9)),0)+IF(AND(L470="Blaze Shield II",M470="Software Idiem",C470="C"),((('BLAZE SHIELD II'!$L$4*('CALCULO MORTERO'!I470^2)+'BLAZE SHIELD II'!$L$5*'CALCULO MORTERO'!I470+'BLAZE SHIELD II'!$L$6)*LN(J470))+('BLAZE SHIELD II'!$L$7*('CALCULO MORTERO'!I470^2)+'BLAZE SHIELD II'!$L$8*'CALCULO MORTERO'!I470+'BLAZE SHIELD II'!$L$9)),0)+IF(AND(L470="Blaze Shield II",M470="Software Idiem",C470="L"),((('BLAZE SHIELD II'!$L$4*('CALCULO MORTERO'!I470^2)+'BLAZE SHIELD II'!$L$5*'CALCULO MORTERO'!I470+'BLAZE SHIELD II'!$L$6)*LN(J470))+('BLAZE SHIELD II'!$L$7*('CALCULO MORTERO'!I470^2)+'BLAZE SHIELD II'!$L$8*'CALCULO MORTERO'!I470+'BLAZE SHIELD II'!$L$9)),0)+IF(AND(L470="Blaze Shield II",M470="Software Idiem",C470="IN",G470=3),((('BLAZE SHIELD II'!$H$14*('CALCULO MORTERO'!I470^2)+'BLAZE SHIELD II'!$H$15*'CALCULO MORTERO'!I470+'BLAZE SHIELD II'!$H$16)*LN(J470))+('BLAZE SHIELD II'!$H$17*('CALCULO MORTERO'!I470^2)+'BLAZE SHIELD II'!$H$18*'CALCULO MORTERO'!I470+'BLAZE SHIELD II'!$H$19)),0),0)+ROUND(IF(AND(L470="Cafco 400",M470="Software Idiem",C470="IN",G470=4),((('CAFCO 400 '!$H$7*(J470^4)+'CAFCO 400 '!$H$8*(J470^3)+'CAFCO 400 '!$H$9*(J470^2)+'CAFCO 400 '!$H$10*J470+'CAFCO 400 '!$H$11)*U470^2)+(('CAFCO 400 '!$H$12*(J470^3)+'CAFCO 400 '!$H$13*(J470^2)+'CAFCO 400 '!$H$14*J470+'CAFCO 400 '!$H$15)*U470)+('CAFCO 400 '!$H$16*(J470^2)+'CAFCO 400 '!$H$17*J470+'CAFCO 400 '!$H$18)),0)+IF(AND(L470="Cafco 400",M470="Software Idiem",C470="Cj"),(((('CAFCO 400 '!$D$7*LN(J470)+'CAFCO 400 '!$D$8)*U470^2)+(('CAFCO 400 '!$D$9*LN(J470)+'CAFCO 400 '!$D$10)*U470)+('CAFCO 400 '!$D$11*LN(J470)+'CAFCO 400 '!$D$12))),0)+IF(AND(L470="Cafco 400",M470="Software Idiem",C470="C"),((('CAFCO 400 '!$L$7*(J470^3)+'CAFCO 400 '!$L$8*(J470^2)+'CAFCO 400 '!$L$9*J470+'CAFCO 400 '!$L$10)*U470^2)+(('CAFCO 400 '!$L$11*(J470^3)+'CAFCO 400 '!$L$12*(J470^2)+'CAFCO 400 '!$L$13*J470+'CAFCO 400 '!$L$14)*U470)+('CAFCO 400 '!$L$15*LN(J470)+'CAFCO 400 '!$L$16)),0)+IF(AND(L470="Cafco 400",M470="Software Idiem",C470="L"),((('CAFCO 400 '!$L$7*(J470^3)+'CAFCO 400 '!$L$8*(J470^2)+'CAFCO 400 '!$L$9*J470+'CAFCO 400 '!$L$10)*U470^2)+(('CAFCO 400 '!$L$11*(J470^3)+'CAFCO 400 '!$L$12*(J470^2)+'CAFCO 400 '!$L$13*J470+'CAFCO 400 '!$L$14)*U470)+('CAFCO 400 '!$L$15*LN(J470)+'CAFCO 400 '!$L$16)),0)+IF(AND(L470="Cafco 400",M470="Software Idiem",C470="IN",G470=3),((('CAFCO 400 '!$D$23*(J470^2)+'CAFCO 400 '!$D$24*(J470)+'CAFCO 400 '!$D$25)*U470^2)+(('CAFCO 400 '!$D$26*(J470^2)+'CAFCO 400 '!$D$27*J470+'CAFCO 400 '!$D$28)*U470)+('CAFCO 400 '!$D$29*(J470^2)+'CAFCO 400 '!$D$30*J470+'CAFCO 400 '!$D$31)),0),0)+IF(AND(L470="Cafco 300",J470&gt;=95,J470&lt;=240,C470="Cj",I470=90),VLOOKUP(T470,'CAFCO 300 IDIEM TABLAS'!$B$4:$D$23,2,FALSE),0)+IF(AND(L470="Cafco 300",J470&gt;=95,J470&lt;=240,C470="Cj",I470=120),VLOOKUP(T470,'CAFCO 300 IDIEM TABLAS'!$B$4:$D$23,3,FALSE),0)+IF(AND(L470="Cafco 300",J470&gt;=95,J470&lt;=400,G470=3,C470="IN",I470=90),VLOOKUP(T470,'CAFCO 300 IDIEM TABLAS'!$F$4:$H$35,2,FALSE),0)+IF(AND(L470="Cafco 300",J470&gt;=95,J470&lt;=400,G470=3,C470="IN",I470=120),VLOOKUP(T470,'CAFCO 300 IDIEM TABLAS'!$F$4:$H$35,3,FALSE),0)+IF(AND(L470="Cafco 300",J470&gt;=95,J470&lt;=450,G470=4,C470="IN",I470=90),VLOOKUP(T470,'CAFCO 300 IDIEM TABLAS'!$J$4:$L$40,2,FALSE),0)+IF(AND(L470="Cafco 300",J470&gt;=95,J470&lt;=450,G470=4,C470="IN",I470=120),VLOOKUP(T470,'CAFCO 300 IDIEM TABLAS'!$J$4:$L$40,3,FALSE),0)+IF(AND(M470="Ensayo Idiem",L470="Cafco 400",C470="IN",G470=4,I470=90),VLOOKUP(T470,'CAFCO 400 ENSAYO'!$B$7:$D$43,2,FALSE),0)+IF(AND(M470="Ensayo Idiem",L470="Cafco 400",C470="IN",G470=4,I470=120),VLOOKUP(T470,'CAFCO 400 ENSAYO'!$B$7:$D$43,3,FALSE),0)</f>
        <v>0</v>
      </c>
      <c r="O470" s="96">
        <f t="shared" si="54"/>
        <v>0</v>
      </c>
      <c r="P470" s="95" t="str">
        <f t="shared" si="49"/>
        <v>N/A</v>
      </c>
      <c r="Q470" s="95" t="str">
        <f t="shared" si="50"/>
        <v>N/A</v>
      </c>
      <c r="R470" s="95" t="str">
        <f t="shared" si="51"/>
        <v>NO CERT.</v>
      </c>
      <c r="S470" s="95" t="e">
        <f t="shared" si="52"/>
        <v>#N/A</v>
      </c>
      <c r="T470" s="119" t="e">
        <f>+IF(J470=LOOKUP(J470,'CAFCO 300 IDIEM TABLAS'!$J$4:$J$40),'CALCULO MORTERO'!J470,MROUND('CALCULO MORTERO'!J470,10))</f>
        <v>#N/A</v>
      </c>
      <c r="U470" s="118">
        <f t="shared" si="53"/>
        <v>0</v>
      </c>
      <c r="Y470" s="4"/>
      <c r="Z470" s="4"/>
      <c r="AA470" s="4"/>
    </row>
    <row r="471" spans="1:27" x14ac:dyDescent="0.25">
      <c r="A471" s="118">
        <f>+CUBICACION!D465</f>
        <v>0</v>
      </c>
      <c r="B471" s="819">
        <f>+CUBICACION!E465</f>
        <v>0</v>
      </c>
      <c r="C471" s="675">
        <f>+CUBICACION!F465</f>
        <v>0</v>
      </c>
      <c r="D471" s="118"/>
      <c r="E471" s="118"/>
      <c r="F471" s="820"/>
      <c r="G471" s="675">
        <f>+CUBICACION!J465</f>
        <v>0</v>
      </c>
      <c r="H471" s="118"/>
      <c r="I471" s="821">
        <f>+CUBICACION!L465</f>
        <v>0</v>
      </c>
      <c r="J471" s="64">
        <f>+CUBICACION!M465</f>
        <v>0</v>
      </c>
      <c r="K471" s="822" t="str">
        <f>+CUBICACION!N465</f>
        <v/>
      </c>
      <c r="L471" s="118">
        <f>+CUBICACION!O465</f>
        <v>0</v>
      </c>
      <c r="M471" s="823">
        <f>+CUBICACION!P465</f>
        <v>0</v>
      </c>
      <c r="N471" s="902">
        <f>ROUND(IF(AND(L471="Blaze Shield II",M471="Software Idiem",C471="IN",G471=4),((('BLAZE SHIELD II'!$D$4*('CALCULO MORTERO'!I471^2)+'BLAZE SHIELD II'!$D$5*'CALCULO MORTERO'!I471+'BLAZE SHIELD II'!$D$6)*LN(J471))+('BLAZE SHIELD II'!$D$7*('CALCULO MORTERO'!I471^2)+'BLAZE SHIELD II'!$D$8*'CALCULO MORTERO'!I471+'BLAZE SHIELD II'!$D$9)),0)+IF(AND(L471="Blaze Shield II",M471="Software Idiem",C471="Cj"),((('BLAZE SHIELD II'!$H$4*('CALCULO MORTERO'!I471^2)+'BLAZE SHIELD II'!$H$5*'CALCULO MORTERO'!I471+'BLAZE SHIELD II'!$H$6)*LN(J471))+('BLAZE SHIELD II'!$H$7*('CALCULO MORTERO'!I471^2)+'BLAZE SHIELD II'!$H$8*'CALCULO MORTERO'!I471+'BLAZE SHIELD II'!$H$9)),0)+IF(AND(L471="Blaze Shield II",M471="Software Idiem",C471="C"),((('BLAZE SHIELD II'!$L$4*('CALCULO MORTERO'!I471^2)+'BLAZE SHIELD II'!$L$5*'CALCULO MORTERO'!I471+'BLAZE SHIELD II'!$L$6)*LN(J471))+('BLAZE SHIELD II'!$L$7*('CALCULO MORTERO'!I471^2)+'BLAZE SHIELD II'!$L$8*'CALCULO MORTERO'!I471+'BLAZE SHIELD II'!$L$9)),0)+IF(AND(L471="Blaze Shield II",M471="Software Idiem",C471="L"),((('BLAZE SHIELD II'!$L$4*('CALCULO MORTERO'!I471^2)+'BLAZE SHIELD II'!$L$5*'CALCULO MORTERO'!I471+'BLAZE SHIELD II'!$L$6)*LN(J471))+('BLAZE SHIELD II'!$L$7*('CALCULO MORTERO'!I471^2)+'BLAZE SHIELD II'!$L$8*'CALCULO MORTERO'!I471+'BLAZE SHIELD II'!$L$9)),0)+IF(AND(L471="Blaze Shield II",M471="Software Idiem",C471="IN",G471=3),((('BLAZE SHIELD II'!$H$14*('CALCULO MORTERO'!I471^2)+'BLAZE SHIELD II'!$H$15*'CALCULO MORTERO'!I471+'BLAZE SHIELD II'!$H$16)*LN(J471))+('BLAZE SHIELD II'!$H$17*('CALCULO MORTERO'!I471^2)+'BLAZE SHIELD II'!$H$18*'CALCULO MORTERO'!I471+'BLAZE SHIELD II'!$H$19)),0),0)+ROUND(IF(AND(L471="Cafco 400",M471="Software Idiem",C471="IN",G471=4),((('CAFCO 400 '!$H$7*(J471^4)+'CAFCO 400 '!$H$8*(J471^3)+'CAFCO 400 '!$H$9*(J471^2)+'CAFCO 400 '!$H$10*J471+'CAFCO 400 '!$H$11)*U471^2)+(('CAFCO 400 '!$H$12*(J471^3)+'CAFCO 400 '!$H$13*(J471^2)+'CAFCO 400 '!$H$14*J471+'CAFCO 400 '!$H$15)*U471)+('CAFCO 400 '!$H$16*(J471^2)+'CAFCO 400 '!$H$17*J471+'CAFCO 400 '!$H$18)),0)+IF(AND(L471="Cafco 400",M471="Software Idiem",C471="Cj"),(((('CAFCO 400 '!$D$7*LN(J471)+'CAFCO 400 '!$D$8)*U471^2)+(('CAFCO 400 '!$D$9*LN(J471)+'CAFCO 400 '!$D$10)*U471)+('CAFCO 400 '!$D$11*LN(J471)+'CAFCO 400 '!$D$12))),0)+IF(AND(L471="Cafco 400",M471="Software Idiem",C471="C"),((('CAFCO 400 '!$L$7*(J471^3)+'CAFCO 400 '!$L$8*(J471^2)+'CAFCO 400 '!$L$9*J471+'CAFCO 400 '!$L$10)*U471^2)+(('CAFCO 400 '!$L$11*(J471^3)+'CAFCO 400 '!$L$12*(J471^2)+'CAFCO 400 '!$L$13*J471+'CAFCO 400 '!$L$14)*U471)+('CAFCO 400 '!$L$15*LN(J471)+'CAFCO 400 '!$L$16)),0)+IF(AND(L471="Cafco 400",M471="Software Idiem",C471="L"),((('CAFCO 400 '!$L$7*(J471^3)+'CAFCO 400 '!$L$8*(J471^2)+'CAFCO 400 '!$L$9*J471+'CAFCO 400 '!$L$10)*U471^2)+(('CAFCO 400 '!$L$11*(J471^3)+'CAFCO 400 '!$L$12*(J471^2)+'CAFCO 400 '!$L$13*J471+'CAFCO 400 '!$L$14)*U471)+('CAFCO 400 '!$L$15*LN(J471)+'CAFCO 400 '!$L$16)),0)+IF(AND(L471="Cafco 400",M471="Software Idiem",C471="IN",G471=3),((('CAFCO 400 '!$D$23*(J471^2)+'CAFCO 400 '!$D$24*(J471)+'CAFCO 400 '!$D$25)*U471^2)+(('CAFCO 400 '!$D$26*(J471^2)+'CAFCO 400 '!$D$27*J471+'CAFCO 400 '!$D$28)*U471)+('CAFCO 400 '!$D$29*(J471^2)+'CAFCO 400 '!$D$30*J471+'CAFCO 400 '!$D$31)),0),0)+IF(AND(L471="Cafco 300",J471&gt;=95,J471&lt;=240,C471="Cj",I471=90),VLOOKUP(T471,'CAFCO 300 IDIEM TABLAS'!$B$4:$D$23,2,FALSE),0)+IF(AND(L471="Cafco 300",J471&gt;=95,J471&lt;=240,C471="Cj",I471=120),VLOOKUP(T471,'CAFCO 300 IDIEM TABLAS'!$B$4:$D$23,3,FALSE),0)+IF(AND(L471="Cafco 300",J471&gt;=95,J471&lt;=400,G471=3,C471="IN",I471=90),VLOOKUP(T471,'CAFCO 300 IDIEM TABLAS'!$F$4:$H$35,2,FALSE),0)+IF(AND(L471="Cafco 300",J471&gt;=95,J471&lt;=400,G471=3,C471="IN",I471=120),VLOOKUP(T471,'CAFCO 300 IDIEM TABLAS'!$F$4:$H$35,3,FALSE),0)+IF(AND(L471="Cafco 300",J471&gt;=95,J471&lt;=450,G471=4,C471="IN",I471=90),VLOOKUP(T471,'CAFCO 300 IDIEM TABLAS'!$J$4:$L$40,2,FALSE),0)+IF(AND(L471="Cafco 300",J471&gt;=95,J471&lt;=450,G471=4,C471="IN",I471=120),VLOOKUP(T471,'CAFCO 300 IDIEM TABLAS'!$J$4:$L$40,3,FALSE),0)+IF(AND(M471="Ensayo Idiem",L471="Cafco 400",C471="IN",G471=4,I471=90),VLOOKUP(T471,'CAFCO 400 ENSAYO'!$B$7:$D$43,2,FALSE),0)+IF(AND(M471="Ensayo Idiem",L471="Cafco 400",C471="IN",G471=4,I471=120),VLOOKUP(T471,'CAFCO 400 ENSAYO'!$B$7:$D$43,3,FALSE),0)</f>
        <v>0</v>
      </c>
      <c r="O471" s="96">
        <f t="shared" si="54"/>
        <v>0</v>
      </c>
      <c r="P471" s="132" t="str">
        <f t="shared" si="49"/>
        <v>N/A</v>
      </c>
      <c r="Q471" s="132" t="str">
        <f t="shared" si="50"/>
        <v>N/A</v>
      </c>
      <c r="R471" s="132" t="str">
        <f t="shared" si="51"/>
        <v>NO CERT.</v>
      </c>
      <c r="S471" s="132" t="e">
        <f t="shared" si="52"/>
        <v>#N/A</v>
      </c>
      <c r="T471" s="133" t="e">
        <f>+IF(J471=LOOKUP(J471,'CAFCO 300 IDIEM TABLAS'!$J$4:$J$40),'CALCULO MORTERO'!J471,MROUND('CALCULO MORTERO'!J471,10))</f>
        <v>#N/A</v>
      </c>
      <c r="U471" s="134">
        <f t="shared" si="53"/>
        <v>0</v>
      </c>
      <c r="Y471" s="4"/>
      <c r="Z471" s="4"/>
      <c r="AA471" s="4"/>
    </row>
    <row r="472" spans="1:27" x14ac:dyDescent="0.25">
      <c r="A472" s="118">
        <f>+CUBICACION!D466</f>
        <v>0</v>
      </c>
      <c r="B472" s="819">
        <f>+CUBICACION!E466</f>
        <v>0</v>
      </c>
      <c r="C472" s="675">
        <f>+CUBICACION!F466</f>
        <v>0</v>
      </c>
      <c r="D472" s="118"/>
      <c r="E472" s="118"/>
      <c r="F472" s="820"/>
      <c r="G472" s="675">
        <f>+CUBICACION!J466</f>
        <v>0</v>
      </c>
      <c r="H472" s="118"/>
      <c r="I472" s="821">
        <f>+CUBICACION!L466</f>
        <v>0</v>
      </c>
      <c r="J472" s="64">
        <f>+CUBICACION!M466</f>
        <v>0</v>
      </c>
      <c r="K472" s="822" t="str">
        <f>+CUBICACION!N466</f>
        <v/>
      </c>
      <c r="L472" s="118">
        <f>+CUBICACION!O466</f>
        <v>0</v>
      </c>
      <c r="M472" s="823">
        <f>+CUBICACION!P466</f>
        <v>0</v>
      </c>
      <c r="N472" s="902">
        <f>ROUND(IF(AND(L472="Blaze Shield II",M472="Software Idiem",C472="IN",G472=4),((('BLAZE SHIELD II'!$D$4*('CALCULO MORTERO'!I472^2)+'BLAZE SHIELD II'!$D$5*'CALCULO MORTERO'!I472+'BLAZE SHIELD II'!$D$6)*LN(J472))+('BLAZE SHIELD II'!$D$7*('CALCULO MORTERO'!I472^2)+'BLAZE SHIELD II'!$D$8*'CALCULO MORTERO'!I472+'BLAZE SHIELD II'!$D$9)),0)+IF(AND(L472="Blaze Shield II",M472="Software Idiem",C472="Cj"),((('BLAZE SHIELD II'!$H$4*('CALCULO MORTERO'!I472^2)+'BLAZE SHIELD II'!$H$5*'CALCULO MORTERO'!I472+'BLAZE SHIELD II'!$H$6)*LN(J472))+('BLAZE SHIELD II'!$H$7*('CALCULO MORTERO'!I472^2)+'BLAZE SHIELD II'!$H$8*'CALCULO MORTERO'!I472+'BLAZE SHIELD II'!$H$9)),0)+IF(AND(L472="Blaze Shield II",M472="Software Idiem",C472="C"),((('BLAZE SHIELD II'!$L$4*('CALCULO MORTERO'!I472^2)+'BLAZE SHIELD II'!$L$5*'CALCULO MORTERO'!I472+'BLAZE SHIELD II'!$L$6)*LN(J472))+('BLAZE SHIELD II'!$L$7*('CALCULO MORTERO'!I472^2)+'BLAZE SHIELD II'!$L$8*'CALCULO MORTERO'!I472+'BLAZE SHIELD II'!$L$9)),0)+IF(AND(L472="Blaze Shield II",M472="Software Idiem",C472="L"),((('BLAZE SHIELD II'!$L$4*('CALCULO MORTERO'!I472^2)+'BLAZE SHIELD II'!$L$5*'CALCULO MORTERO'!I472+'BLAZE SHIELD II'!$L$6)*LN(J472))+('BLAZE SHIELD II'!$L$7*('CALCULO MORTERO'!I472^2)+'BLAZE SHIELD II'!$L$8*'CALCULO MORTERO'!I472+'BLAZE SHIELD II'!$L$9)),0)+IF(AND(L472="Blaze Shield II",M472="Software Idiem",C472="IN",G472=3),((('BLAZE SHIELD II'!$H$14*('CALCULO MORTERO'!I472^2)+'BLAZE SHIELD II'!$H$15*'CALCULO MORTERO'!I472+'BLAZE SHIELD II'!$H$16)*LN(J472))+('BLAZE SHIELD II'!$H$17*('CALCULO MORTERO'!I472^2)+'BLAZE SHIELD II'!$H$18*'CALCULO MORTERO'!I472+'BLAZE SHIELD II'!$H$19)),0),0)+ROUND(IF(AND(L472="Cafco 400",M472="Software Idiem",C472="IN",G472=4),((('CAFCO 400 '!$H$7*(J472^4)+'CAFCO 400 '!$H$8*(J472^3)+'CAFCO 400 '!$H$9*(J472^2)+'CAFCO 400 '!$H$10*J472+'CAFCO 400 '!$H$11)*U472^2)+(('CAFCO 400 '!$H$12*(J472^3)+'CAFCO 400 '!$H$13*(J472^2)+'CAFCO 400 '!$H$14*J472+'CAFCO 400 '!$H$15)*U472)+('CAFCO 400 '!$H$16*(J472^2)+'CAFCO 400 '!$H$17*J472+'CAFCO 400 '!$H$18)),0)+IF(AND(L472="Cafco 400",M472="Software Idiem",C472="Cj"),(((('CAFCO 400 '!$D$7*LN(J472)+'CAFCO 400 '!$D$8)*U472^2)+(('CAFCO 400 '!$D$9*LN(J472)+'CAFCO 400 '!$D$10)*U472)+('CAFCO 400 '!$D$11*LN(J472)+'CAFCO 400 '!$D$12))),0)+IF(AND(L472="Cafco 400",M472="Software Idiem",C472="C"),((('CAFCO 400 '!$L$7*(J472^3)+'CAFCO 400 '!$L$8*(J472^2)+'CAFCO 400 '!$L$9*J472+'CAFCO 400 '!$L$10)*U472^2)+(('CAFCO 400 '!$L$11*(J472^3)+'CAFCO 400 '!$L$12*(J472^2)+'CAFCO 400 '!$L$13*J472+'CAFCO 400 '!$L$14)*U472)+('CAFCO 400 '!$L$15*LN(J472)+'CAFCO 400 '!$L$16)),0)+IF(AND(L472="Cafco 400",M472="Software Idiem",C472="L"),((('CAFCO 400 '!$L$7*(J472^3)+'CAFCO 400 '!$L$8*(J472^2)+'CAFCO 400 '!$L$9*J472+'CAFCO 400 '!$L$10)*U472^2)+(('CAFCO 400 '!$L$11*(J472^3)+'CAFCO 400 '!$L$12*(J472^2)+'CAFCO 400 '!$L$13*J472+'CAFCO 400 '!$L$14)*U472)+('CAFCO 400 '!$L$15*LN(J472)+'CAFCO 400 '!$L$16)),0)+IF(AND(L472="Cafco 400",M472="Software Idiem",C472="IN",G472=3),((('CAFCO 400 '!$D$23*(J472^2)+'CAFCO 400 '!$D$24*(J472)+'CAFCO 400 '!$D$25)*U472^2)+(('CAFCO 400 '!$D$26*(J472^2)+'CAFCO 400 '!$D$27*J472+'CAFCO 400 '!$D$28)*U472)+('CAFCO 400 '!$D$29*(J472^2)+'CAFCO 400 '!$D$30*J472+'CAFCO 400 '!$D$31)),0),0)+IF(AND(L472="Cafco 300",J472&gt;=95,J472&lt;=240,C472="Cj",I472=90),VLOOKUP(T472,'CAFCO 300 IDIEM TABLAS'!$B$4:$D$23,2,FALSE),0)+IF(AND(L472="Cafco 300",J472&gt;=95,J472&lt;=240,C472="Cj",I472=120),VLOOKUP(T472,'CAFCO 300 IDIEM TABLAS'!$B$4:$D$23,3,FALSE),0)+IF(AND(L472="Cafco 300",J472&gt;=95,J472&lt;=400,G472=3,C472="IN",I472=90),VLOOKUP(T472,'CAFCO 300 IDIEM TABLAS'!$F$4:$H$35,2,FALSE),0)+IF(AND(L472="Cafco 300",J472&gt;=95,J472&lt;=400,G472=3,C472="IN",I472=120),VLOOKUP(T472,'CAFCO 300 IDIEM TABLAS'!$F$4:$H$35,3,FALSE),0)+IF(AND(L472="Cafco 300",J472&gt;=95,J472&lt;=450,G472=4,C472="IN",I472=90),VLOOKUP(T472,'CAFCO 300 IDIEM TABLAS'!$J$4:$L$40,2,FALSE),0)+IF(AND(L472="Cafco 300",J472&gt;=95,J472&lt;=450,G472=4,C472="IN",I472=120),VLOOKUP(T472,'CAFCO 300 IDIEM TABLAS'!$J$4:$L$40,3,FALSE),0)+IF(AND(M472="Ensayo Idiem",L472="Cafco 400",C472="IN",G472=4,I472=90),VLOOKUP(T472,'CAFCO 400 ENSAYO'!$B$7:$D$43,2,FALSE),0)+IF(AND(M472="Ensayo Idiem",L472="Cafco 400",C472="IN",G472=4,I472=120),VLOOKUP(T472,'CAFCO 400 ENSAYO'!$B$7:$D$43,3,FALSE),0)</f>
        <v>0</v>
      </c>
      <c r="O472" s="96">
        <f t="shared" si="54"/>
        <v>0</v>
      </c>
      <c r="P472" s="95" t="str">
        <f t="shared" si="49"/>
        <v>N/A</v>
      </c>
      <c r="Q472" s="95" t="str">
        <f t="shared" si="50"/>
        <v>N/A</v>
      </c>
      <c r="R472" s="95" t="str">
        <f t="shared" si="51"/>
        <v>NO CERT.</v>
      </c>
      <c r="S472" s="95" t="e">
        <f t="shared" si="52"/>
        <v>#N/A</v>
      </c>
      <c r="T472" s="119" t="e">
        <f>+IF(J472=LOOKUP(J472,'CAFCO 300 IDIEM TABLAS'!$J$4:$J$40),'CALCULO MORTERO'!J472,MROUND('CALCULO MORTERO'!J472,10))</f>
        <v>#N/A</v>
      </c>
      <c r="U472" s="118">
        <f t="shared" si="53"/>
        <v>0</v>
      </c>
      <c r="Y472" s="4"/>
      <c r="Z472" s="4"/>
      <c r="AA472" s="4"/>
    </row>
    <row r="473" spans="1:27" x14ac:dyDescent="0.25">
      <c r="A473" s="118">
        <f>+CUBICACION!D467</f>
        <v>0</v>
      </c>
      <c r="B473" s="819">
        <f>+CUBICACION!E467</f>
        <v>0</v>
      </c>
      <c r="C473" s="675">
        <f>+CUBICACION!F467</f>
        <v>0</v>
      </c>
      <c r="D473" s="118"/>
      <c r="E473" s="118"/>
      <c r="F473" s="820"/>
      <c r="G473" s="675">
        <f>+CUBICACION!J467</f>
        <v>0</v>
      </c>
      <c r="H473" s="118"/>
      <c r="I473" s="821">
        <f>+CUBICACION!L467</f>
        <v>0</v>
      </c>
      <c r="J473" s="64">
        <f>+CUBICACION!M467</f>
        <v>0</v>
      </c>
      <c r="K473" s="822" t="str">
        <f>+CUBICACION!N467</f>
        <v/>
      </c>
      <c r="L473" s="118">
        <f>+CUBICACION!O467</f>
        <v>0</v>
      </c>
      <c r="M473" s="823">
        <f>+CUBICACION!P467</f>
        <v>0</v>
      </c>
      <c r="N473" s="902">
        <f>ROUND(IF(AND(L473="Blaze Shield II",M473="Software Idiem",C473="IN",G473=4),((('BLAZE SHIELD II'!$D$4*('CALCULO MORTERO'!I473^2)+'BLAZE SHIELD II'!$D$5*'CALCULO MORTERO'!I473+'BLAZE SHIELD II'!$D$6)*LN(J473))+('BLAZE SHIELD II'!$D$7*('CALCULO MORTERO'!I473^2)+'BLAZE SHIELD II'!$D$8*'CALCULO MORTERO'!I473+'BLAZE SHIELD II'!$D$9)),0)+IF(AND(L473="Blaze Shield II",M473="Software Idiem",C473="Cj"),((('BLAZE SHIELD II'!$H$4*('CALCULO MORTERO'!I473^2)+'BLAZE SHIELD II'!$H$5*'CALCULO MORTERO'!I473+'BLAZE SHIELD II'!$H$6)*LN(J473))+('BLAZE SHIELD II'!$H$7*('CALCULO MORTERO'!I473^2)+'BLAZE SHIELD II'!$H$8*'CALCULO MORTERO'!I473+'BLAZE SHIELD II'!$H$9)),0)+IF(AND(L473="Blaze Shield II",M473="Software Idiem",C473="C"),((('BLAZE SHIELD II'!$L$4*('CALCULO MORTERO'!I473^2)+'BLAZE SHIELD II'!$L$5*'CALCULO MORTERO'!I473+'BLAZE SHIELD II'!$L$6)*LN(J473))+('BLAZE SHIELD II'!$L$7*('CALCULO MORTERO'!I473^2)+'BLAZE SHIELD II'!$L$8*'CALCULO MORTERO'!I473+'BLAZE SHIELD II'!$L$9)),0)+IF(AND(L473="Blaze Shield II",M473="Software Idiem",C473="L"),((('BLAZE SHIELD II'!$L$4*('CALCULO MORTERO'!I473^2)+'BLAZE SHIELD II'!$L$5*'CALCULO MORTERO'!I473+'BLAZE SHIELD II'!$L$6)*LN(J473))+('BLAZE SHIELD II'!$L$7*('CALCULO MORTERO'!I473^2)+'BLAZE SHIELD II'!$L$8*'CALCULO MORTERO'!I473+'BLAZE SHIELD II'!$L$9)),0)+IF(AND(L473="Blaze Shield II",M473="Software Idiem",C473="IN",G473=3),((('BLAZE SHIELD II'!$H$14*('CALCULO MORTERO'!I473^2)+'BLAZE SHIELD II'!$H$15*'CALCULO MORTERO'!I473+'BLAZE SHIELD II'!$H$16)*LN(J473))+('BLAZE SHIELD II'!$H$17*('CALCULO MORTERO'!I473^2)+'BLAZE SHIELD II'!$H$18*'CALCULO MORTERO'!I473+'BLAZE SHIELD II'!$H$19)),0),0)+ROUND(IF(AND(L473="Cafco 400",M473="Software Idiem",C473="IN",G473=4),((('CAFCO 400 '!$H$7*(J473^4)+'CAFCO 400 '!$H$8*(J473^3)+'CAFCO 400 '!$H$9*(J473^2)+'CAFCO 400 '!$H$10*J473+'CAFCO 400 '!$H$11)*U473^2)+(('CAFCO 400 '!$H$12*(J473^3)+'CAFCO 400 '!$H$13*(J473^2)+'CAFCO 400 '!$H$14*J473+'CAFCO 400 '!$H$15)*U473)+('CAFCO 400 '!$H$16*(J473^2)+'CAFCO 400 '!$H$17*J473+'CAFCO 400 '!$H$18)),0)+IF(AND(L473="Cafco 400",M473="Software Idiem",C473="Cj"),(((('CAFCO 400 '!$D$7*LN(J473)+'CAFCO 400 '!$D$8)*U473^2)+(('CAFCO 400 '!$D$9*LN(J473)+'CAFCO 400 '!$D$10)*U473)+('CAFCO 400 '!$D$11*LN(J473)+'CAFCO 400 '!$D$12))),0)+IF(AND(L473="Cafco 400",M473="Software Idiem",C473="C"),((('CAFCO 400 '!$L$7*(J473^3)+'CAFCO 400 '!$L$8*(J473^2)+'CAFCO 400 '!$L$9*J473+'CAFCO 400 '!$L$10)*U473^2)+(('CAFCO 400 '!$L$11*(J473^3)+'CAFCO 400 '!$L$12*(J473^2)+'CAFCO 400 '!$L$13*J473+'CAFCO 400 '!$L$14)*U473)+('CAFCO 400 '!$L$15*LN(J473)+'CAFCO 400 '!$L$16)),0)+IF(AND(L473="Cafco 400",M473="Software Idiem",C473="L"),((('CAFCO 400 '!$L$7*(J473^3)+'CAFCO 400 '!$L$8*(J473^2)+'CAFCO 400 '!$L$9*J473+'CAFCO 400 '!$L$10)*U473^2)+(('CAFCO 400 '!$L$11*(J473^3)+'CAFCO 400 '!$L$12*(J473^2)+'CAFCO 400 '!$L$13*J473+'CAFCO 400 '!$L$14)*U473)+('CAFCO 400 '!$L$15*LN(J473)+'CAFCO 400 '!$L$16)),0)+IF(AND(L473="Cafco 400",M473="Software Idiem",C473="IN",G473=3),((('CAFCO 400 '!$D$23*(J473^2)+'CAFCO 400 '!$D$24*(J473)+'CAFCO 400 '!$D$25)*U473^2)+(('CAFCO 400 '!$D$26*(J473^2)+'CAFCO 400 '!$D$27*J473+'CAFCO 400 '!$D$28)*U473)+('CAFCO 400 '!$D$29*(J473^2)+'CAFCO 400 '!$D$30*J473+'CAFCO 400 '!$D$31)),0),0)+IF(AND(L473="Cafco 300",J473&gt;=95,J473&lt;=240,C473="Cj",I473=90),VLOOKUP(T473,'CAFCO 300 IDIEM TABLAS'!$B$4:$D$23,2,FALSE),0)+IF(AND(L473="Cafco 300",J473&gt;=95,J473&lt;=240,C473="Cj",I473=120),VLOOKUP(T473,'CAFCO 300 IDIEM TABLAS'!$B$4:$D$23,3,FALSE),0)+IF(AND(L473="Cafco 300",J473&gt;=95,J473&lt;=400,G473=3,C473="IN",I473=90),VLOOKUP(T473,'CAFCO 300 IDIEM TABLAS'!$F$4:$H$35,2,FALSE),0)+IF(AND(L473="Cafco 300",J473&gt;=95,J473&lt;=400,G473=3,C473="IN",I473=120),VLOOKUP(T473,'CAFCO 300 IDIEM TABLAS'!$F$4:$H$35,3,FALSE),0)+IF(AND(L473="Cafco 300",J473&gt;=95,J473&lt;=450,G473=4,C473="IN",I473=90),VLOOKUP(T473,'CAFCO 300 IDIEM TABLAS'!$J$4:$L$40,2,FALSE),0)+IF(AND(L473="Cafco 300",J473&gt;=95,J473&lt;=450,G473=4,C473="IN",I473=120),VLOOKUP(T473,'CAFCO 300 IDIEM TABLAS'!$J$4:$L$40,3,FALSE),0)+IF(AND(M473="Ensayo Idiem",L473="Cafco 400",C473="IN",G473=4,I473=90),VLOOKUP(T473,'CAFCO 400 ENSAYO'!$B$7:$D$43,2,FALSE),0)+IF(AND(M473="Ensayo Idiem",L473="Cafco 400",C473="IN",G473=4,I473=120),VLOOKUP(T473,'CAFCO 400 ENSAYO'!$B$7:$D$43,3,FALSE),0)</f>
        <v>0</v>
      </c>
      <c r="O473" s="96">
        <f t="shared" si="54"/>
        <v>0</v>
      </c>
      <c r="P473" s="132" t="str">
        <f t="shared" si="49"/>
        <v>N/A</v>
      </c>
      <c r="Q473" s="132" t="str">
        <f t="shared" si="50"/>
        <v>N/A</v>
      </c>
      <c r="R473" s="132" t="str">
        <f t="shared" si="51"/>
        <v>NO CERT.</v>
      </c>
      <c r="S473" s="132" t="e">
        <f t="shared" si="52"/>
        <v>#N/A</v>
      </c>
      <c r="T473" s="133" t="e">
        <f>+IF(J473=LOOKUP(J473,'CAFCO 300 IDIEM TABLAS'!$J$4:$J$40),'CALCULO MORTERO'!J473,MROUND('CALCULO MORTERO'!J473,10))</f>
        <v>#N/A</v>
      </c>
      <c r="U473" s="134">
        <f t="shared" si="53"/>
        <v>0</v>
      </c>
      <c r="Y473" s="4"/>
      <c r="Z473" s="4"/>
      <c r="AA473" s="4"/>
    </row>
    <row r="474" spans="1:27" x14ac:dyDescent="0.25">
      <c r="A474" s="118">
        <f>+CUBICACION!D468</f>
        <v>0</v>
      </c>
      <c r="B474" s="819">
        <f>+CUBICACION!E468</f>
        <v>0</v>
      </c>
      <c r="C474" s="675">
        <f>+CUBICACION!F468</f>
        <v>0</v>
      </c>
      <c r="D474" s="118"/>
      <c r="E474" s="118"/>
      <c r="F474" s="820"/>
      <c r="G474" s="675">
        <f>+CUBICACION!J468</f>
        <v>0</v>
      </c>
      <c r="H474" s="118"/>
      <c r="I474" s="821">
        <f>+CUBICACION!L468</f>
        <v>0</v>
      </c>
      <c r="J474" s="64">
        <f>+CUBICACION!M468</f>
        <v>0</v>
      </c>
      <c r="K474" s="822" t="str">
        <f>+CUBICACION!N468</f>
        <v/>
      </c>
      <c r="L474" s="118">
        <f>+CUBICACION!O468</f>
        <v>0</v>
      </c>
      <c r="M474" s="823">
        <f>+CUBICACION!P468</f>
        <v>0</v>
      </c>
      <c r="N474" s="902">
        <f>ROUND(IF(AND(L474="Blaze Shield II",M474="Software Idiem",C474="IN",G474=4),((('BLAZE SHIELD II'!$D$4*('CALCULO MORTERO'!I474^2)+'BLAZE SHIELD II'!$D$5*'CALCULO MORTERO'!I474+'BLAZE SHIELD II'!$D$6)*LN(J474))+('BLAZE SHIELD II'!$D$7*('CALCULO MORTERO'!I474^2)+'BLAZE SHIELD II'!$D$8*'CALCULO MORTERO'!I474+'BLAZE SHIELD II'!$D$9)),0)+IF(AND(L474="Blaze Shield II",M474="Software Idiem",C474="Cj"),((('BLAZE SHIELD II'!$H$4*('CALCULO MORTERO'!I474^2)+'BLAZE SHIELD II'!$H$5*'CALCULO MORTERO'!I474+'BLAZE SHIELD II'!$H$6)*LN(J474))+('BLAZE SHIELD II'!$H$7*('CALCULO MORTERO'!I474^2)+'BLAZE SHIELD II'!$H$8*'CALCULO MORTERO'!I474+'BLAZE SHIELD II'!$H$9)),0)+IF(AND(L474="Blaze Shield II",M474="Software Idiem",C474="C"),((('BLAZE SHIELD II'!$L$4*('CALCULO MORTERO'!I474^2)+'BLAZE SHIELD II'!$L$5*'CALCULO MORTERO'!I474+'BLAZE SHIELD II'!$L$6)*LN(J474))+('BLAZE SHIELD II'!$L$7*('CALCULO MORTERO'!I474^2)+'BLAZE SHIELD II'!$L$8*'CALCULO MORTERO'!I474+'BLAZE SHIELD II'!$L$9)),0)+IF(AND(L474="Blaze Shield II",M474="Software Idiem",C474="L"),((('BLAZE SHIELD II'!$L$4*('CALCULO MORTERO'!I474^2)+'BLAZE SHIELD II'!$L$5*'CALCULO MORTERO'!I474+'BLAZE SHIELD II'!$L$6)*LN(J474))+('BLAZE SHIELD II'!$L$7*('CALCULO MORTERO'!I474^2)+'BLAZE SHIELD II'!$L$8*'CALCULO MORTERO'!I474+'BLAZE SHIELD II'!$L$9)),0)+IF(AND(L474="Blaze Shield II",M474="Software Idiem",C474="IN",G474=3),((('BLAZE SHIELD II'!$H$14*('CALCULO MORTERO'!I474^2)+'BLAZE SHIELD II'!$H$15*'CALCULO MORTERO'!I474+'BLAZE SHIELD II'!$H$16)*LN(J474))+('BLAZE SHIELD II'!$H$17*('CALCULO MORTERO'!I474^2)+'BLAZE SHIELD II'!$H$18*'CALCULO MORTERO'!I474+'BLAZE SHIELD II'!$H$19)),0),0)+ROUND(IF(AND(L474="Cafco 400",M474="Software Idiem",C474="IN",G474=4),((('CAFCO 400 '!$H$7*(J474^4)+'CAFCO 400 '!$H$8*(J474^3)+'CAFCO 400 '!$H$9*(J474^2)+'CAFCO 400 '!$H$10*J474+'CAFCO 400 '!$H$11)*U474^2)+(('CAFCO 400 '!$H$12*(J474^3)+'CAFCO 400 '!$H$13*(J474^2)+'CAFCO 400 '!$H$14*J474+'CAFCO 400 '!$H$15)*U474)+('CAFCO 400 '!$H$16*(J474^2)+'CAFCO 400 '!$H$17*J474+'CAFCO 400 '!$H$18)),0)+IF(AND(L474="Cafco 400",M474="Software Idiem",C474="Cj"),(((('CAFCO 400 '!$D$7*LN(J474)+'CAFCO 400 '!$D$8)*U474^2)+(('CAFCO 400 '!$D$9*LN(J474)+'CAFCO 400 '!$D$10)*U474)+('CAFCO 400 '!$D$11*LN(J474)+'CAFCO 400 '!$D$12))),0)+IF(AND(L474="Cafco 400",M474="Software Idiem",C474="C"),((('CAFCO 400 '!$L$7*(J474^3)+'CAFCO 400 '!$L$8*(J474^2)+'CAFCO 400 '!$L$9*J474+'CAFCO 400 '!$L$10)*U474^2)+(('CAFCO 400 '!$L$11*(J474^3)+'CAFCO 400 '!$L$12*(J474^2)+'CAFCO 400 '!$L$13*J474+'CAFCO 400 '!$L$14)*U474)+('CAFCO 400 '!$L$15*LN(J474)+'CAFCO 400 '!$L$16)),0)+IF(AND(L474="Cafco 400",M474="Software Idiem",C474="L"),((('CAFCO 400 '!$L$7*(J474^3)+'CAFCO 400 '!$L$8*(J474^2)+'CAFCO 400 '!$L$9*J474+'CAFCO 400 '!$L$10)*U474^2)+(('CAFCO 400 '!$L$11*(J474^3)+'CAFCO 400 '!$L$12*(J474^2)+'CAFCO 400 '!$L$13*J474+'CAFCO 400 '!$L$14)*U474)+('CAFCO 400 '!$L$15*LN(J474)+'CAFCO 400 '!$L$16)),0)+IF(AND(L474="Cafco 400",M474="Software Idiem",C474="IN",G474=3),((('CAFCO 400 '!$D$23*(J474^2)+'CAFCO 400 '!$D$24*(J474)+'CAFCO 400 '!$D$25)*U474^2)+(('CAFCO 400 '!$D$26*(J474^2)+'CAFCO 400 '!$D$27*J474+'CAFCO 400 '!$D$28)*U474)+('CAFCO 400 '!$D$29*(J474^2)+'CAFCO 400 '!$D$30*J474+'CAFCO 400 '!$D$31)),0),0)+IF(AND(L474="Cafco 300",J474&gt;=95,J474&lt;=240,C474="Cj",I474=90),VLOOKUP(T474,'CAFCO 300 IDIEM TABLAS'!$B$4:$D$23,2,FALSE),0)+IF(AND(L474="Cafco 300",J474&gt;=95,J474&lt;=240,C474="Cj",I474=120),VLOOKUP(T474,'CAFCO 300 IDIEM TABLAS'!$B$4:$D$23,3,FALSE),0)+IF(AND(L474="Cafco 300",J474&gt;=95,J474&lt;=400,G474=3,C474="IN",I474=90),VLOOKUP(T474,'CAFCO 300 IDIEM TABLAS'!$F$4:$H$35,2,FALSE),0)+IF(AND(L474="Cafco 300",J474&gt;=95,J474&lt;=400,G474=3,C474="IN",I474=120),VLOOKUP(T474,'CAFCO 300 IDIEM TABLAS'!$F$4:$H$35,3,FALSE),0)+IF(AND(L474="Cafco 300",J474&gt;=95,J474&lt;=450,G474=4,C474="IN",I474=90),VLOOKUP(T474,'CAFCO 300 IDIEM TABLAS'!$J$4:$L$40,2,FALSE),0)+IF(AND(L474="Cafco 300",J474&gt;=95,J474&lt;=450,G474=4,C474="IN",I474=120),VLOOKUP(T474,'CAFCO 300 IDIEM TABLAS'!$J$4:$L$40,3,FALSE),0)+IF(AND(M474="Ensayo Idiem",L474="Cafco 400",C474="IN",G474=4,I474=90),VLOOKUP(T474,'CAFCO 400 ENSAYO'!$B$7:$D$43,2,FALSE),0)+IF(AND(M474="Ensayo Idiem",L474="Cafco 400",C474="IN",G474=4,I474=120),VLOOKUP(T474,'CAFCO 400 ENSAYO'!$B$7:$D$43,3,FALSE),0)</f>
        <v>0</v>
      </c>
      <c r="O474" s="96">
        <f t="shared" si="54"/>
        <v>0</v>
      </c>
      <c r="P474" s="95" t="str">
        <f t="shared" si="49"/>
        <v>N/A</v>
      </c>
      <c r="Q474" s="95" t="str">
        <f t="shared" si="50"/>
        <v>N/A</v>
      </c>
      <c r="R474" s="95" t="str">
        <f t="shared" si="51"/>
        <v>NO CERT.</v>
      </c>
      <c r="S474" s="95" t="e">
        <f t="shared" si="52"/>
        <v>#N/A</v>
      </c>
      <c r="T474" s="119" t="e">
        <f>+IF(J474=LOOKUP(J474,'CAFCO 300 IDIEM TABLAS'!$J$4:$J$40),'CALCULO MORTERO'!J474,MROUND('CALCULO MORTERO'!J474,10))</f>
        <v>#N/A</v>
      </c>
      <c r="U474" s="118">
        <f t="shared" si="53"/>
        <v>0</v>
      </c>
      <c r="Y474" s="4"/>
      <c r="Z474" s="4"/>
      <c r="AA474" s="4"/>
    </row>
    <row r="475" spans="1:27" x14ac:dyDescent="0.25">
      <c r="A475" s="118">
        <f>+CUBICACION!D469</f>
        <v>0</v>
      </c>
      <c r="B475" s="819">
        <f>+CUBICACION!E469</f>
        <v>0</v>
      </c>
      <c r="C475" s="675">
        <f>+CUBICACION!F469</f>
        <v>0</v>
      </c>
      <c r="D475" s="118"/>
      <c r="E475" s="118"/>
      <c r="F475" s="820"/>
      <c r="G475" s="675">
        <f>+CUBICACION!J469</f>
        <v>0</v>
      </c>
      <c r="H475" s="118"/>
      <c r="I475" s="821">
        <f>+CUBICACION!L469</f>
        <v>0</v>
      </c>
      <c r="J475" s="64">
        <f>+CUBICACION!M469</f>
        <v>0</v>
      </c>
      <c r="K475" s="822" t="str">
        <f>+CUBICACION!N469</f>
        <v/>
      </c>
      <c r="L475" s="118">
        <f>+CUBICACION!O469</f>
        <v>0</v>
      </c>
      <c r="M475" s="823">
        <f>+CUBICACION!P469</f>
        <v>0</v>
      </c>
      <c r="N475" s="902">
        <f>ROUND(IF(AND(L475="Blaze Shield II",M475="Software Idiem",C475="IN",G475=4),((('BLAZE SHIELD II'!$D$4*('CALCULO MORTERO'!I475^2)+'BLAZE SHIELD II'!$D$5*'CALCULO MORTERO'!I475+'BLAZE SHIELD II'!$D$6)*LN(J475))+('BLAZE SHIELD II'!$D$7*('CALCULO MORTERO'!I475^2)+'BLAZE SHIELD II'!$D$8*'CALCULO MORTERO'!I475+'BLAZE SHIELD II'!$D$9)),0)+IF(AND(L475="Blaze Shield II",M475="Software Idiem",C475="Cj"),((('BLAZE SHIELD II'!$H$4*('CALCULO MORTERO'!I475^2)+'BLAZE SHIELD II'!$H$5*'CALCULO MORTERO'!I475+'BLAZE SHIELD II'!$H$6)*LN(J475))+('BLAZE SHIELD II'!$H$7*('CALCULO MORTERO'!I475^2)+'BLAZE SHIELD II'!$H$8*'CALCULO MORTERO'!I475+'BLAZE SHIELD II'!$H$9)),0)+IF(AND(L475="Blaze Shield II",M475="Software Idiem",C475="C"),((('BLAZE SHIELD II'!$L$4*('CALCULO MORTERO'!I475^2)+'BLAZE SHIELD II'!$L$5*'CALCULO MORTERO'!I475+'BLAZE SHIELD II'!$L$6)*LN(J475))+('BLAZE SHIELD II'!$L$7*('CALCULO MORTERO'!I475^2)+'BLAZE SHIELD II'!$L$8*'CALCULO MORTERO'!I475+'BLAZE SHIELD II'!$L$9)),0)+IF(AND(L475="Blaze Shield II",M475="Software Idiem",C475="L"),((('BLAZE SHIELD II'!$L$4*('CALCULO MORTERO'!I475^2)+'BLAZE SHIELD II'!$L$5*'CALCULO MORTERO'!I475+'BLAZE SHIELD II'!$L$6)*LN(J475))+('BLAZE SHIELD II'!$L$7*('CALCULO MORTERO'!I475^2)+'BLAZE SHIELD II'!$L$8*'CALCULO MORTERO'!I475+'BLAZE SHIELD II'!$L$9)),0)+IF(AND(L475="Blaze Shield II",M475="Software Idiem",C475="IN",G475=3),((('BLAZE SHIELD II'!$H$14*('CALCULO MORTERO'!I475^2)+'BLAZE SHIELD II'!$H$15*'CALCULO MORTERO'!I475+'BLAZE SHIELD II'!$H$16)*LN(J475))+('BLAZE SHIELD II'!$H$17*('CALCULO MORTERO'!I475^2)+'BLAZE SHIELD II'!$H$18*'CALCULO MORTERO'!I475+'BLAZE SHIELD II'!$H$19)),0),0)+ROUND(IF(AND(L475="Cafco 400",M475="Software Idiem",C475="IN",G475=4),((('CAFCO 400 '!$H$7*(J475^4)+'CAFCO 400 '!$H$8*(J475^3)+'CAFCO 400 '!$H$9*(J475^2)+'CAFCO 400 '!$H$10*J475+'CAFCO 400 '!$H$11)*U475^2)+(('CAFCO 400 '!$H$12*(J475^3)+'CAFCO 400 '!$H$13*(J475^2)+'CAFCO 400 '!$H$14*J475+'CAFCO 400 '!$H$15)*U475)+('CAFCO 400 '!$H$16*(J475^2)+'CAFCO 400 '!$H$17*J475+'CAFCO 400 '!$H$18)),0)+IF(AND(L475="Cafco 400",M475="Software Idiem",C475="Cj"),(((('CAFCO 400 '!$D$7*LN(J475)+'CAFCO 400 '!$D$8)*U475^2)+(('CAFCO 400 '!$D$9*LN(J475)+'CAFCO 400 '!$D$10)*U475)+('CAFCO 400 '!$D$11*LN(J475)+'CAFCO 400 '!$D$12))),0)+IF(AND(L475="Cafco 400",M475="Software Idiem",C475="C"),((('CAFCO 400 '!$L$7*(J475^3)+'CAFCO 400 '!$L$8*(J475^2)+'CAFCO 400 '!$L$9*J475+'CAFCO 400 '!$L$10)*U475^2)+(('CAFCO 400 '!$L$11*(J475^3)+'CAFCO 400 '!$L$12*(J475^2)+'CAFCO 400 '!$L$13*J475+'CAFCO 400 '!$L$14)*U475)+('CAFCO 400 '!$L$15*LN(J475)+'CAFCO 400 '!$L$16)),0)+IF(AND(L475="Cafco 400",M475="Software Idiem",C475="L"),((('CAFCO 400 '!$L$7*(J475^3)+'CAFCO 400 '!$L$8*(J475^2)+'CAFCO 400 '!$L$9*J475+'CAFCO 400 '!$L$10)*U475^2)+(('CAFCO 400 '!$L$11*(J475^3)+'CAFCO 400 '!$L$12*(J475^2)+'CAFCO 400 '!$L$13*J475+'CAFCO 400 '!$L$14)*U475)+('CAFCO 400 '!$L$15*LN(J475)+'CAFCO 400 '!$L$16)),0)+IF(AND(L475="Cafco 400",M475="Software Idiem",C475="IN",G475=3),((('CAFCO 400 '!$D$23*(J475^2)+'CAFCO 400 '!$D$24*(J475)+'CAFCO 400 '!$D$25)*U475^2)+(('CAFCO 400 '!$D$26*(J475^2)+'CAFCO 400 '!$D$27*J475+'CAFCO 400 '!$D$28)*U475)+('CAFCO 400 '!$D$29*(J475^2)+'CAFCO 400 '!$D$30*J475+'CAFCO 400 '!$D$31)),0),0)+IF(AND(L475="Cafco 300",J475&gt;=95,J475&lt;=240,C475="Cj",I475=90),VLOOKUP(T475,'CAFCO 300 IDIEM TABLAS'!$B$4:$D$23,2,FALSE),0)+IF(AND(L475="Cafco 300",J475&gt;=95,J475&lt;=240,C475="Cj",I475=120),VLOOKUP(T475,'CAFCO 300 IDIEM TABLAS'!$B$4:$D$23,3,FALSE),0)+IF(AND(L475="Cafco 300",J475&gt;=95,J475&lt;=400,G475=3,C475="IN",I475=90),VLOOKUP(T475,'CAFCO 300 IDIEM TABLAS'!$F$4:$H$35,2,FALSE),0)+IF(AND(L475="Cafco 300",J475&gt;=95,J475&lt;=400,G475=3,C475="IN",I475=120),VLOOKUP(T475,'CAFCO 300 IDIEM TABLAS'!$F$4:$H$35,3,FALSE),0)+IF(AND(L475="Cafco 300",J475&gt;=95,J475&lt;=450,G475=4,C475="IN",I475=90),VLOOKUP(T475,'CAFCO 300 IDIEM TABLAS'!$J$4:$L$40,2,FALSE),0)+IF(AND(L475="Cafco 300",J475&gt;=95,J475&lt;=450,G475=4,C475="IN",I475=120),VLOOKUP(T475,'CAFCO 300 IDIEM TABLAS'!$J$4:$L$40,3,FALSE),0)+IF(AND(M475="Ensayo Idiem",L475="Cafco 400",C475="IN",G475=4,I475=90),VLOOKUP(T475,'CAFCO 400 ENSAYO'!$B$7:$D$43,2,FALSE),0)+IF(AND(M475="Ensayo Idiem",L475="Cafco 400",C475="IN",G475=4,I475=120),VLOOKUP(T475,'CAFCO 400 ENSAYO'!$B$7:$D$43,3,FALSE),0)</f>
        <v>0</v>
      </c>
      <c r="O475" s="96">
        <f t="shared" si="54"/>
        <v>0</v>
      </c>
      <c r="P475" s="132" t="str">
        <f t="shared" si="49"/>
        <v>N/A</v>
      </c>
      <c r="Q475" s="132" t="str">
        <f t="shared" si="50"/>
        <v>N/A</v>
      </c>
      <c r="R475" s="132" t="str">
        <f t="shared" si="51"/>
        <v>NO CERT.</v>
      </c>
      <c r="S475" s="132" t="e">
        <f t="shared" si="52"/>
        <v>#N/A</v>
      </c>
      <c r="T475" s="133" t="e">
        <f>+IF(J475=LOOKUP(J475,'CAFCO 300 IDIEM TABLAS'!$J$4:$J$40),'CALCULO MORTERO'!J475,MROUND('CALCULO MORTERO'!J475,10))</f>
        <v>#N/A</v>
      </c>
      <c r="U475" s="134">
        <f t="shared" si="53"/>
        <v>0</v>
      </c>
      <c r="Y475" s="4"/>
      <c r="Z475" s="4"/>
      <c r="AA475" s="4"/>
    </row>
    <row r="476" spans="1:27" x14ac:dyDescent="0.25">
      <c r="A476" s="118">
        <f>+CUBICACION!D470</f>
        <v>0</v>
      </c>
      <c r="B476" s="819">
        <f>+CUBICACION!E470</f>
        <v>0</v>
      </c>
      <c r="C476" s="675">
        <f>+CUBICACION!F470</f>
        <v>0</v>
      </c>
      <c r="D476" s="118"/>
      <c r="E476" s="118"/>
      <c r="F476" s="820"/>
      <c r="G476" s="675">
        <f>+CUBICACION!J470</f>
        <v>0</v>
      </c>
      <c r="H476" s="118"/>
      <c r="I476" s="821">
        <f>+CUBICACION!L470</f>
        <v>0</v>
      </c>
      <c r="J476" s="64">
        <f>+CUBICACION!M470</f>
        <v>0</v>
      </c>
      <c r="K476" s="822" t="str">
        <f>+CUBICACION!N470</f>
        <v/>
      </c>
      <c r="L476" s="118">
        <f>+CUBICACION!O470</f>
        <v>0</v>
      </c>
      <c r="M476" s="823">
        <f>+CUBICACION!P470</f>
        <v>0</v>
      </c>
      <c r="N476" s="902">
        <f>ROUND(IF(AND(L476="Blaze Shield II",M476="Software Idiem",C476="IN",G476=4),((('BLAZE SHIELD II'!$D$4*('CALCULO MORTERO'!I476^2)+'BLAZE SHIELD II'!$D$5*'CALCULO MORTERO'!I476+'BLAZE SHIELD II'!$D$6)*LN(J476))+('BLAZE SHIELD II'!$D$7*('CALCULO MORTERO'!I476^2)+'BLAZE SHIELD II'!$D$8*'CALCULO MORTERO'!I476+'BLAZE SHIELD II'!$D$9)),0)+IF(AND(L476="Blaze Shield II",M476="Software Idiem",C476="Cj"),((('BLAZE SHIELD II'!$H$4*('CALCULO MORTERO'!I476^2)+'BLAZE SHIELD II'!$H$5*'CALCULO MORTERO'!I476+'BLAZE SHIELD II'!$H$6)*LN(J476))+('BLAZE SHIELD II'!$H$7*('CALCULO MORTERO'!I476^2)+'BLAZE SHIELD II'!$H$8*'CALCULO MORTERO'!I476+'BLAZE SHIELD II'!$H$9)),0)+IF(AND(L476="Blaze Shield II",M476="Software Idiem",C476="C"),((('BLAZE SHIELD II'!$L$4*('CALCULO MORTERO'!I476^2)+'BLAZE SHIELD II'!$L$5*'CALCULO MORTERO'!I476+'BLAZE SHIELD II'!$L$6)*LN(J476))+('BLAZE SHIELD II'!$L$7*('CALCULO MORTERO'!I476^2)+'BLAZE SHIELD II'!$L$8*'CALCULO MORTERO'!I476+'BLAZE SHIELD II'!$L$9)),0)+IF(AND(L476="Blaze Shield II",M476="Software Idiem",C476="L"),((('BLAZE SHIELD II'!$L$4*('CALCULO MORTERO'!I476^2)+'BLAZE SHIELD II'!$L$5*'CALCULO MORTERO'!I476+'BLAZE SHIELD II'!$L$6)*LN(J476))+('BLAZE SHIELD II'!$L$7*('CALCULO MORTERO'!I476^2)+'BLAZE SHIELD II'!$L$8*'CALCULO MORTERO'!I476+'BLAZE SHIELD II'!$L$9)),0)+IF(AND(L476="Blaze Shield II",M476="Software Idiem",C476="IN",G476=3),((('BLAZE SHIELD II'!$H$14*('CALCULO MORTERO'!I476^2)+'BLAZE SHIELD II'!$H$15*'CALCULO MORTERO'!I476+'BLAZE SHIELD II'!$H$16)*LN(J476))+('BLAZE SHIELD II'!$H$17*('CALCULO MORTERO'!I476^2)+'BLAZE SHIELD II'!$H$18*'CALCULO MORTERO'!I476+'BLAZE SHIELD II'!$H$19)),0),0)+ROUND(IF(AND(L476="Cafco 400",M476="Software Idiem",C476="IN",G476=4),((('CAFCO 400 '!$H$7*(J476^4)+'CAFCO 400 '!$H$8*(J476^3)+'CAFCO 400 '!$H$9*(J476^2)+'CAFCO 400 '!$H$10*J476+'CAFCO 400 '!$H$11)*U476^2)+(('CAFCO 400 '!$H$12*(J476^3)+'CAFCO 400 '!$H$13*(J476^2)+'CAFCO 400 '!$H$14*J476+'CAFCO 400 '!$H$15)*U476)+('CAFCO 400 '!$H$16*(J476^2)+'CAFCO 400 '!$H$17*J476+'CAFCO 400 '!$H$18)),0)+IF(AND(L476="Cafco 400",M476="Software Idiem",C476="Cj"),(((('CAFCO 400 '!$D$7*LN(J476)+'CAFCO 400 '!$D$8)*U476^2)+(('CAFCO 400 '!$D$9*LN(J476)+'CAFCO 400 '!$D$10)*U476)+('CAFCO 400 '!$D$11*LN(J476)+'CAFCO 400 '!$D$12))),0)+IF(AND(L476="Cafco 400",M476="Software Idiem",C476="C"),((('CAFCO 400 '!$L$7*(J476^3)+'CAFCO 400 '!$L$8*(J476^2)+'CAFCO 400 '!$L$9*J476+'CAFCO 400 '!$L$10)*U476^2)+(('CAFCO 400 '!$L$11*(J476^3)+'CAFCO 400 '!$L$12*(J476^2)+'CAFCO 400 '!$L$13*J476+'CAFCO 400 '!$L$14)*U476)+('CAFCO 400 '!$L$15*LN(J476)+'CAFCO 400 '!$L$16)),0)+IF(AND(L476="Cafco 400",M476="Software Idiem",C476="L"),((('CAFCO 400 '!$L$7*(J476^3)+'CAFCO 400 '!$L$8*(J476^2)+'CAFCO 400 '!$L$9*J476+'CAFCO 400 '!$L$10)*U476^2)+(('CAFCO 400 '!$L$11*(J476^3)+'CAFCO 400 '!$L$12*(J476^2)+'CAFCO 400 '!$L$13*J476+'CAFCO 400 '!$L$14)*U476)+('CAFCO 400 '!$L$15*LN(J476)+'CAFCO 400 '!$L$16)),0)+IF(AND(L476="Cafco 400",M476="Software Idiem",C476="IN",G476=3),((('CAFCO 400 '!$D$23*(J476^2)+'CAFCO 400 '!$D$24*(J476)+'CAFCO 400 '!$D$25)*U476^2)+(('CAFCO 400 '!$D$26*(J476^2)+'CAFCO 400 '!$D$27*J476+'CAFCO 400 '!$D$28)*U476)+('CAFCO 400 '!$D$29*(J476^2)+'CAFCO 400 '!$D$30*J476+'CAFCO 400 '!$D$31)),0),0)+IF(AND(L476="Cafco 300",J476&gt;=95,J476&lt;=240,C476="Cj",I476=90),VLOOKUP(T476,'CAFCO 300 IDIEM TABLAS'!$B$4:$D$23,2,FALSE),0)+IF(AND(L476="Cafco 300",J476&gt;=95,J476&lt;=240,C476="Cj",I476=120),VLOOKUP(T476,'CAFCO 300 IDIEM TABLAS'!$B$4:$D$23,3,FALSE),0)+IF(AND(L476="Cafco 300",J476&gt;=95,J476&lt;=400,G476=3,C476="IN",I476=90),VLOOKUP(T476,'CAFCO 300 IDIEM TABLAS'!$F$4:$H$35,2,FALSE),0)+IF(AND(L476="Cafco 300",J476&gt;=95,J476&lt;=400,G476=3,C476="IN",I476=120),VLOOKUP(T476,'CAFCO 300 IDIEM TABLAS'!$F$4:$H$35,3,FALSE),0)+IF(AND(L476="Cafco 300",J476&gt;=95,J476&lt;=450,G476=4,C476="IN",I476=90),VLOOKUP(T476,'CAFCO 300 IDIEM TABLAS'!$J$4:$L$40,2,FALSE),0)+IF(AND(L476="Cafco 300",J476&gt;=95,J476&lt;=450,G476=4,C476="IN",I476=120),VLOOKUP(T476,'CAFCO 300 IDIEM TABLAS'!$J$4:$L$40,3,FALSE),0)+IF(AND(M476="Ensayo Idiem",L476="Cafco 400",C476="IN",G476=4,I476=90),VLOOKUP(T476,'CAFCO 400 ENSAYO'!$B$7:$D$43,2,FALSE),0)+IF(AND(M476="Ensayo Idiem",L476="Cafco 400",C476="IN",G476=4,I476=120),VLOOKUP(T476,'CAFCO 400 ENSAYO'!$B$7:$D$43,3,FALSE),0)</f>
        <v>0</v>
      </c>
      <c r="O476" s="96">
        <f t="shared" si="54"/>
        <v>0</v>
      </c>
      <c r="P476" s="95" t="str">
        <f t="shared" si="49"/>
        <v>N/A</v>
      </c>
      <c r="Q476" s="95" t="str">
        <f t="shared" si="50"/>
        <v>N/A</v>
      </c>
      <c r="R476" s="95" t="str">
        <f t="shared" si="51"/>
        <v>NO CERT.</v>
      </c>
      <c r="S476" s="95" t="e">
        <f t="shared" si="52"/>
        <v>#N/A</v>
      </c>
      <c r="T476" s="119" t="e">
        <f>+IF(J476=LOOKUP(J476,'CAFCO 300 IDIEM TABLAS'!$J$4:$J$40),'CALCULO MORTERO'!J476,MROUND('CALCULO MORTERO'!J476,10))</f>
        <v>#N/A</v>
      </c>
      <c r="U476" s="118">
        <f t="shared" si="53"/>
        <v>0</v>
      </c>
      <c r="Y476" s="4"/>
      <c r="Z476" s="4"/>
      <c r="AA476" s="4"/>
    </row>
    <row r="477" spans="1:27" x14ac:dyDescent="0.25">
      <c r="A477" s="118">
        <f>+CUBICACION!D471</f>
        <v>0</v>
      </c>
      <c r="B477" s="819">
        <f>+CUBICACION!E471</f>
        <v>0</v>
      </c>
      <c r="C477" s="675">
        <f>+CUBICACION!F471</f>
        <v>0</v>
      </c>
      <c r="D477" s="118"/>
      <c r="E477" s="118"/>
      <c r="F477" s="820"/>
      <c r="G477" s="675">
        <f>+CUBICACION!J471</f>
        <v>0</v>
      </c>
      <c r="H477" s="118"/>
      <c r="I477" s="821">
        <f>+CUBICACION!L471</f>
        <v>0</v>
      </c>
      <c r="J477" s="64">
        <f>+CUBICACION!M471</f>
        <v>0</v>
      </c>
      <c r="K477" s="822" t="str">
        <f>+CUBICACION!N471</f>
        <v/>
      </c>
      <c r="L477" s="118">
        <f>+CUBICACION!O471</f>
        <v>0</v>
      </c>
      <c r="M477" s="823">
        <f>+CUBICACION!P471</f>
        <v>0</v>
      </c>
      <c r="N477" s="902">
        <f>ROUND(IF(AND(L477="Blaze Shield II",M477="Software Idiem",C477="IN",G477=4),((('BLAZE SHIELD II'!$D$4*('CALCULO MORTERO'!I477^2)+'BLAZE SHIELD II'!$D$5*'CALCULO MORTERO'!I477+'BLAZE SHIELD II'!$D$6)*LN(J477))+('BLAZE SHIELD II'!$D$7*('CALCULO MORTERO'!I477^2)+'BLAZE SHIELD II'!$D$8*'CALCULO MORTERO'!I477+'BLAZE SHIELD II'!$D$9)),0)+IF(AND(L477="Blaze Shield II",M477="Software Idiem",C477="Cj"),((('BLAZE SHIELD II'!$H$4*('CALCULO MORTERO'!I477^2)+'BLAZE SHIELD II'!$H$5*'CALCULO MORTERO'!I477+'BLAZE SHIELD II'!$H$6)*LN(J477))+('BLAZE SHIELD II'!$H$7*('CALCULO MORTERO'!I477^2)+'BLAZE SHIELD II'!$H$8*'CALCULO MORTERO'!I477+'BLAZE SHIELD II'!$H$9)),0)+IF(AND(L477="Blaze Shield II",M477="Software Idiem",C477="C"),((('BLAZE SHIELD II'!$L$4*('CALCULO MORTERO'!I477^2)+'BLAZE SHIELD II'!$L$5*'CALCULO MORTERO'!I477+'BLAZE SHIELD II'!$L$6)*LN(J477))+('BLAZE SHIELD II'!$L$7*('CALCULO MORTERO'!I477^2)+'BLAZE SHIELD II'!$L$8*'CALCULO MORTERO'!I477+'BLAZE SHIELD II'!$L$9)),0)+IF(AND(L477="Blaze Shield II",M477="Software Idiem",C477="L"),((('BLAZE SHIELD II'!$L$4*('CALCULO MORTERO'!I477^2)+'BLAZE SHIELD II'!$L$5*'CALCULO MORTERO'!I477+'BLAZE SHIELD II'!$L$6)*LN(J477))+('BLAZE SHIELD II'!$L$7*('CALCULO MORTERO'!I477^2)+'BLAZE SHIELD II'!$L$8*'CALCULO MORTERO'!I477+'BLAZE SHIELD II'!$L$9)),0)+IF(AND(L477="Blaze Shield II",M477="Software Idiem",C477="IN",G477=3),((('BLAZE SHIELD II'!$H$14*('CALCULO MORTERO'!I477^2)+'BLAZE SHIELD II'!$H$15*'CALCULO MORTERO'!I477+'BLAZE SHIELD II'!$H$16)*LN(J477))+('BLAZE SHIELD II'!$H$17*('CALCULO MORTERO'!I477^2)+'BLAZE SHIELD II'!$H$18*'CALCULO MORTERO'!I477+'BLAZE SHIELD II'!$H$19)),0),0)+ROUND(IF(AND(L477="Cafco 400",M477="Software Idiem",C477="IN",G477=4),((('CAFCO 400 '!$H$7*(J477^4)+'CAFCO 400 '!$H$8*(J477^3)+'CAFCO 400 '!$H$9*(J477^2)+'CAFCO 400 '!$H$10*J477+'CAFCO 400 '!$H$11)*U477^2)+(('CAFCO 400 '!$H$12*(J477^3)+'CAFCO 400 '!$H$13*(J477^2)+'CAFCO 400 '!$H$14*J477+'CAFCO 400 '!$H$15)*U477)+('CAFCO 400 '!$H$16*(J477^2)+'CAFCO 400 '!$H$17*J477+'CAFCO 400 '!$H$18)),0)+IF(AND(L477="Cafco 400",M477="Software Idiem",C477="Cj"),(((('CAFCO 400 '!$D$7*LN(J477)+'CAFCO 400 '!$D$8)*U477^2)+(('CAFCO 400 '!$D$9*LN(J477)+'CAFCO 400 '!$D$10)*U477)+('CAFCO 400 '!$D$11*LN(J477)+'CAFCO 400 '!$D$12))),0)+IF(AND(L477="Cafco 400",M477="Software Idiem",C477="C"),((('CAFCO 400 '!$L$7*(J477^3)+'CAFCO 400 '!$L$8*(J477^2)+'CAFCO 400 '!$L$9*J477+'CAFCO 400 '!$L$10)*U477^2)+(('CAFCO 400 '!$L$11*(J477^3)+'CAFCO 400 '!$L$12*(J477^2)+'CAFCO 400 '!$L$13*J477+'CAFCO 400 '!$L$14)*U477)+('CAFCO 400 '!$L$15*LN(J477)+'CAFCO 400 '!$L$16)),0)+IF(AND(L477="Cafco 400",M477="Software Idiem",C477="L"),((('CAFCO 400 '!$L$7*(J477^3)+'CAFCO 400 '!$L$8*(J477^2)+'CAFCO 400 '!$L$9*J477+'CAFCO 400 '!$L$10)*U477^2)+(('CAFCO 400 '!$L$11*(J477^3)+'CAFCO 400 '!$L$12*(J477^2)+'CAFCO 400 '!$L$13*J477+'CAFCO 400 '!$L$14)*U477)+('CAFCO 400 '!$L$15*LN(J477)+'CAFCO 400 '!$L$16)),0)+IF(AND(L477="Cafco 400",M477="Software Idiem",C477="IN",G477=3),((('CAFCO 400 '!$D$23*(J477^2)+'CAFCO 400 '!$D$24*(J477)+'CAFCO 400 '!$D$25)*U477^2)+(('CAFCO 400 '!$D$26*(J477^2)+'CAFCO 400 '!$D$27*J477+'CAFCO 400 '!$D$28)*U477)+('CAFCO 400 '!$D$29*(J477^2)+'CAFCO 400 '!$D$30*J477+'CAFCO 400 '!$D$31)),0),0)+IF(AND(L477="Cafco 300",J477&gt;=95,J477&lt;=240,C477="Cj",I477=90),VLOOKUP(T477,'CAFCO 300 IDIEM TABLAS'!$B$4:$D$23,2,FALSE),0)+IF(AND(L477="Cafco 300",J477&gt;=95,J477&lt;=240,C477="Cj",I477=120),VLOOKUP(T477,'CAFCO 300 IDIEM TABLAS'!$B$4:$D$23,3,FALSE),0)+IF(AND(L477="Cafco 300",J477&gt;=95,J477&lt;=400,G477=3,C477="IN",I477=90),VLOOKUP(T477,'CAFCO 300 IDIEM TABLAS'!$F$4:$H$35,2,FALSE),0)+IF(AND(L477="Cafco 300",J477&gt;=95,J477&lt;=400,G477=3,C477="IN",I477=120),VLOOKUP(T477,'CAFCO 300 IDIEM TABLAS'!$F$4:$H$35,3,FALSE),0)+IF(AND(L477="Cafco 300",J477&gt;=95,J477&lt;=450,G477=4,C477="IN",I477=90),VLOOKUP(T477,'CAFCO 300 IDIEM TABLAS'!$J$4:$L$40,2,FALSE),0)+IF(AND(L477="Cafco 300",J477&gt;=95,J477&lt;=450,G477=4,C477="IN",I477=120),VLOOKUP(T477,'CAFCO 300 IDIEM TABLAS'!$J$4:$L$40,3,FALSE),0)+IF(AND(M477="Ensayo Idiem",L477="Cafco 400",C477="IN",G477=4,I477=90),VLOOKUP(T477,'CAFCO 400 ENSAYO'!$B$7:$D$43,2,FALSE),0)+IF(AND(M477="Ensayo Idiem",L477="Cafco 400",C477="IN",G477=4,I477=120),VLOOKUP(T477,'CAFCO 400 ENSAYO'!$B$7:$D$43,3,FALSE),0)</f>
        <v>0</v>
      </c>
      <c r="O477" s="96">
        <f t="shared" si="54"/>
        <v>0</v>
      </c>
      <c r="P477" s="132" t="str">
        <f t="shared" si="49"/>
        <v>N/A</v>
      </c>
      <c r="Q477" s="132" t="str">
        <f t="shared" si="50"/>
        <v>N/A</v>
      </c>
      <c r="R477" s="132" t="str">
        <f t="shared" si="51"/>
        <v>NO CERT.</v>
      </c>
      <c r="S477" s="132" t="e">
        <f t="shared" si="52"/>
        <v>#N/A</v>
      </c>
      <c r="T477" s="133" t="e">
        <f>+IF(J477=LOOKUP(J477,'CAFCO 300 IDIEM TABLAS'!$J$4:$J$40),'CALCULO MORTERO'!J477,MROUND('CALCULO MORTERO'!J477,10))</f>
        <v>#N/A</v>
      </c>
      <c r="U477" s="134">
        <f t="shared" si="53"/>
        <v>0</v>
      </c>
      <c r="Y477" s="4"/>
      <c r="Z477" s="4"/>
      <c r="AA477" s="4"/>
    </row>
    <row r="478" spans="1:27" x14ac:dyDescent="0.25">
      <c r="A478" s="118">
        <f>+CUBICACION!D472</f>
        <v>0</v>
      </c>
      <c r="B478" s="819">
        <f>+CUBICACION!E472</f>
        <v>0</v>
      </c>
      <c r="C478" s="675">
        <f>+CUBICACION!F472</f>
        <v>0</v>
      </c>
      <c r="D478" s="118"/>
      <c r="E478" s="118"/>
      <c r="F478" s="820"/>
      <c r="G478" s="675">
        <f>+CUBICACION!J472</f>
        <v>0</v>
      </c>
      <c r="H478" s="118"/>
      <c r="I478" s="821">
        <f>+CUBICACION!L472</f>
        <v>0</v>
      </c>
      <c r="J478" s="64">
        <f>+CUBICACION!M472</f>
        <v>0</v>
      </c>
      <c r="K478" s="822" t="str">
        <f>+CUBICACION!N472</f>
        <v/>
      </c>
      <c r="L478" s="118">
        <f>+CUBICACION!O472</f>
        <v>0</v>
      </c>
      <c r="M478" s="823">
        <f>+CUBICACION!P472</f>
        <v>0</v>
      </c>
      <c r="N478" s="902">
        <f>ROUND(IF(AND(L478="Blaze Shield II",M478="Software Idiem",C478="IN",G478=4),((('BLAZE SHIELD II'!$D$4*('CALCULO MORTERO'!I478^2)+'BLAZE SHIELD II'!$D$5*'CALCULO MORTERO'!I478+'BLAZE SHIELD II'!$D$6)*LN(J478))+('BLAZE SHIELD II'!$D$7*('CALCULO MORTERO'!I478^2)+'BLAZE SHIELD II'!$D$8*'CALCULO MORTERO'!I478+'BLAZE SHIELD II'!$D$9)),0)+IF(AND(L478="Blaze Shield II",M478="Software Idiem",C478="Cj"),((('BLAZE SHIELD II'!$H$4*('CALCULO MORTERO'!I478^2)+'BLAZE SHIELD II'!$H$5*'CALCULO MORTERO'!I478+'BLAZE SHIELD II'!$H$6)*LN(J478))+('BLAZE SHIELD II'!$H$7*('CALCULO MORTERO'!I478^2)+'BLAZE SHIELD II'!$H$8*'CALCULO MORTERO'!I478+'BLAZE SHIELD II'!$H$9)),0)+IF(AND(L478="Blaze Shield II",M478="Software Idiem",C478="C"),((('BLAZE SHIELD II'!$L$4*('CALCULO MORTERO'!I478^2)+'BLAZE SHIELD II'!$L$5*'CALCULO MORTERO'!I478+'BLAZE SHIELD II'!$L$6)*LN(J478))+('BLAZE SHIELD II'!$L$7*('CALCULO MORTERO'!I478^2)+'BLAZE SHIELD II'!$L$8*'CALCULO MORTERO'!I478+'BLAZE SHIELD II'!$L$9)),0)+IF(AND(L478="Blaze Shield II",M478="Software Idiem",C478="L"),((('BLAZE SHIELD II'!$L$4*('CALCULO MORTERO'!I478^2)+'BLAZE SHIELD II'!$L$5*'CALCULO MORTERO'!I478+'BLAZE SHIELD II'!$L$6)*LN(J478))+('BLAZE SHIELD II'!$L$7*('CALCULO MORTERO'!I478^2)+'BLAZE SHIELD II'!$L$8*'CALCULO MORTERO'!I478+'BLAZE SHIELD II'!$L$9)),0)+IF(AND(L478="Blaze Shield II",M478="Software Idiem",C478="IN",G478=3),((('BLAZE SHIELD II'!$H$14*('CALCULO MORTERO'!I478^2)+'BLAZE SHIELD II'!$H$15*'CALCULO MORTERO'!I478+'BLAZE SHIELD II'!$H$16)*LN(J478))+('BLAZE SHIELD II'!$H$17*('CALCULO MORTERO'!I478^2)+'BLAZE SHIELD II'!$H$18*'CALCULO MORTERO'!I478+'BLAZE SHIELD II'!$H$19)),0),0)+ROUND(IF(AND(L478="Cafco 400",M478="Software Idiem",C478="IN",G478=4),((('CAFCO 400 '!$H$7*(J478^4)+'CAFCO 400 '!$H$8*(J478^3)+'CAFCO 400 '!$H$9*(J478^2)+'CAFCO 400 '!$H$10*J478+'CAFCO 400 '!$H$11)*U478^2)+(('CAFCO 400 '!$H$12*(J478^3)+'CAFCO 400 '!$H$13*(J478^2)+'CAFCO 400 '!$H$14*J478+'CAFCO 400 '!$H$15)*U478)+('CAFCO 400 '!$H$16*(J478^2)+'CAFCO 400 '!$H$17*J478+'CAFCO 400 '!$H$18)),0)+IF(AND(L478="Cafco 400",M478="Software Idiem",C478="Cj"),(((('CAFCO 400 '!$D$7*LN(J478)+'CAFCO 400 '!$D$8)*U478^2)+(('CAFCO 400 '!$D$9*LN(J478)+'CAFCO 400 '!$D$10)*U478)+('CAFCO 400 '!$D$11*LN(J478)+'CAFCO 400 '!$D$12))),0)+IF(AND(L478="Cafco 400",M478="Software Idiem",C478="C"),((('CAFCO 400 '!$L$7*(J478^3)+'CAFCO 400 '!$L$8*(J478^2)+'CAFCO 400 '!$L$9*J478+'CAFCO 400 '!$L$10)*U478^2)+(('CAFCO 400 '!$L$11*(J478^3)+'CAFCO 400 '!$L$12*(J478^2)+'CAFCO 400 '!$L$13*J478+'CAFCO 400 '!$L$14)*U478)+('CAFCO 400 '!$L$15*LN(J478)+'CAFCO 400 '!$L$16)),0)+IF(AND(L478="Cafco 400",M478="Software Idiem",C478="L"),((('CAFCO 400 '!$L$7*(J478^3)+'CAFCO 400 '!$L$8*(J478^2)+'CAFCO 400 '!$L$9*J478+'CAFCO 400 '!$L$10)*U478^2)+(('CAFCO 400 '!$L$11*(J478^3)+'CAFCO 400 '!$L$12*(J478^2)+'CAFCO 400 '!$L$13*J478+'CAFCO 400 '!$L$14)*U478)+('CAFCO 400 '!$L$15*LN(J478)+'CAFCO 400 '!$L$16)),0)+IF(AND(L478="Cafco 400",M478="Software Idiem",C478="IN",G478=3),((('CAFCO 400 '!$D$23*(J478^2)+'CAFCO 400 '!$D$24*(J478)+'CAFCO 400 '!$D$25)*U478^2)+(('CAFCO 400 '!$D$26*(J478^2)+'CAFCO 400 '!$D$27*J478+'CAFCO 400 '!$D$28)*U478)+('CAFCO 400 '!$D$29*(J478^2)+'CAFCO 400 '!$D$30*J478+'CAFCO 400 '!$D$31)),0),0)+IF(AND(L478="Cafco 300",J478&gt;=95,J478&lt;=240,C478="Cj",I478=90),VLOOKUP(T478,'CAFCO 300 IDIEM TABLAS'!$B$4:$D$23,2,FALSE),0)+IF(AND(L478="Cafco 300",J478&gt;=95,J478&lt;=240,C478="Cj",I478=120),VLOOKUP(T478,'CAFCO 300 IDIEM TABLAS'!$B$4:$D$23,3,FALSE),0)+IF(AND(L478="Cafco 300",J478&gt;=95,J478&lt;=400,G478=3,C478="IN",I478=90),VLOOKUP(T478,'CAFCO 300 IDIEM TABLAS'!$F$4:$H$35,2,FALSE),0)+IF(AND(L478="Cafco 300",J478&gt;=95,J478&lt;=400,G478=3,C478="IN",I478=120),VLOOKUP(T478,'CAFCO 300 IDIEM TABLAS'!$F$4:$H$35,3,FALSE),0)+IF(AND(L478="Cafco 300",J478&gt;=95,J478&lt;=450,G478=4,C478="IN",I478=90),VLOOKUP(T478,'CAFCO 300 IDIEM TABLAS'!$J$4:$L$40,2,FALSE),0)+IF(AND(L478="Cafco 300",J478&gt;=95,J478&lt;=450,G478=4,C478="IN",I478=120),VLOOKUP(T478,'CAFCO 300 IDIEM TABLAS'!$J$4:$L$40,3,FALSE),0)+IF(AND(M478="Ensayo Idiem",L478="Cafco 400",C478="IN",G478=4,I478=90),VLOOKUP(T478,'CAFCO 400 ENSAYO'!$B$7:$D$43,2,FALSE),0)+IF(AND(M478="Ensayo Idiem",L478="Cafco 400",C478="IN",G478=4,I478=120),VLOOKUP(T478,'CAFCO 400 ENSAYO'!$B$7:$D$43,3,FALSE),0)</f>
        <v>0</v>
      </c>
      <c r="O478" s="96">
        <f t="shared" si="54"/>
        <v>0</v>
      </c>
      <c r="P478" s="95" t="str">
        <f t="shared" si="49"/>
        <v>N/A</v>
      </c>
      <c r="Q478" s="95" t="str">
        <f t="shared" si="50"/>
        <v>N/A</v>
      </c>
      <c r="R478" s="95" t="str">
        <f t="shared" si="51"/>
        <v>NO CERT.</v>
      </c>
      <c r="S478" s="95" t="e">
        <f t="shared" si="52"/>
        <v>#N/A</v>
      </c>
      <c r="T478" s="119" t="e">
        <f>+IF(J478=LOOKUP(J478,'CAFCO 300 IDIEM TABLAS'!$J$4:$J$40),'CALCULO MORTERO'!J478,MROUND('CALCULO MORTERO'!J478,10))</f>
        <v>#N/A</v>
      </c>
      <c r="U478" s="118">
        <f t="shared" si="53"/>
        <v>0</v>
      </c>
      <c r="Y478" s="4"/>
      <c r="Z478" s="4"/>
      <c r="AA478" s="4"/>
    </row>
    <row r="479" spans="1:27" x14ac:dyDescent="0.25">
      <c r="A479" s="118">
        <f>+CUBICACION!D473</f>
        <v>0</v>
      </c>
      <c r="B479" s="819">
        <f>+CUBICACION!E473</f>
        <v>0</v>
      </c>
      <c r="C479" s="675">
        <f>+CUBICACION!F473</f>
        <v>0</v>
      </c>
      <c r="D479" s="118"/>
      <c r="E479" s="118"/>
      <c r="F479" s="820"/>
      <c r="G479" s="675">
        <f>+CUBICACION!J473</f>
        <v>0</v>
      </c>
      <c r="H479" s="118"/>
      <c r="I479" s="821">
        <f>+CUBICACION!L473</f>
        <v>0</v>
      </c>
      <c r="J479" s="64">
        <f>+CUBICACION!M473</f>
        <v>0</v>
      </c>
      <c r="K479" s="822" t="str">
        <f>+CUBICACION!N473</f>
        <v/>
      </c>
      <c r="L479" s="118">
        <f>+CUBICACION!O473</f>
        <v>0</v>
      </c>
      <c r="M479" s="823">
        <f>+CUBICACION!P473</f>
        <v>0</v>
      </c>
      <c r="N479" s="902">
        <f>ROUND(IF(AND(L479="Blaze Shield II",M479="Software Idiem",C479="IN",G479=4),((('BLAZE SHIELD II'!$D$4*('CALCULO MORTERO'!I479^2)+'BLAZE SHIELD II'!$D$5*'CALCULO MORTERO'!I479+'BLAZE SHIELD II'!$D$6)*LN(J479))+('BLAZE SHIELD II'!$D$7*('CALCULO MORTERO'!I479^2)+'BLAZE SHIELD II'!$D$8*'CALCULO MORTERO'!I479+'BLAZE SHIELD II'!$D$9)),0)+IF(AND(L479="Blaze Shield II",M479="Software Idiem",C479="Cj"),((('BLAZE SHIELD II'!$H$4*('CALCULO MORTERO'!I479^2)+'BLAZE SHIELD II'!$H$5*'CALCULO MORTERO'!I479+'BLAZE SHIELD II'!$H$6)*LN(J479))+('BLAZE SHIELD II'!$H$7*('CALCULO MORTERO'!I479^2)+'BLAZE SHIELD II'!$H$8*'CALCULO MORTERO'!I479+'BLAZE SHIELD II'!$H$9)),0)+IF(AND(L479="Blaze Shield II",M479="Software Idiem",C479="C"),((('BLAZE SHIELD II'!$L$4*('CALCULO MORTERO'!I479^2)+'BLAZE SHIELD II'!$L$5*'CALCULO MORTERO'!I479+'BLAZE SHIELD II'!$L$6)*LN(J479))+('BLAZE SHIELD II'!$L$7*('CALCULO MORTERO'!I479^2)+'BLAZE SHIELD II'!$L$8*'CALCULO MORTERO'!I479+'BLAZE SHIELD II'!$L$9)),0)+IF(AND(L479="Blaze Shield II",M479="Software Idiem",C479="L"),((('BLAZE SHIELD II'!$L$4*('CALCULO MORTERO'!I479^2)+'BLAZE SHIELD II'!$L$5*'CALCULO MORTERO'!I479+'BLAZE SHIELD II'!$L$6)*LN(J479))+('BLAZE SHIELD II'!$L$7*('CALCULO MORTERO'!I479^2)+'BLAZE SHIELD II'!$L$8*'CALCULO MORTERO'!I479+'BLAZE SHIELD II'!$L$9)),0)+IF(AND(L479="Blaze Shield II",M479="Software Idiem",C479="IN",G479=3),((('BLAZE SHIELD II'!$H$14*('CALCULO MORTERO'!I479^2)+'BLAZE SHIELD II'!$H$15*'CALCULO MORTERO'!I479+'BLAZE SHIELD II'!$H$16)*LN(J479))+('BLAZE SHIELD II'!$H$17*('CALCULO MORTERO'!I479^2)+'BLAZE SHIELD II'!$H$18*'CALCULO MORTERO'!I479+'BLAZE SHIELD II'!$H$19)),0),0)+ROUND(IF(AND(L479="Cafco 400",M479="Software Idiem",C479="IN",G479=4),((('CAFCO 400 '!$H$7*(J479^4)+'CAFCO 400 '!$H$8*(J479^3)+'CAFCO 400 '!$H$9*(J479^2)+'CAFCO 400 '!$H$10*J479+'CAFCO 400 '!$H$11)*U479^2)+(('CAFCO 400 '!$H$12*(J479^3)+'CAFCO 400 '!$H$13*(J479^2)+'CAFCO 400 '!$H$14*J479+'CAFCO 400 '!$H$15)*U479)+('CAFCO 400 '!$H$16*(J479^2)+'CAFCO 400 '!$H$17*J479+'CAFCO 400 '!$H$18)),0)+IF(AND(L479="Cafco 400",M479="Software Idiem",C479="Cj"),(((('CAFCO 400 '!$D$7*LN(J479)+'CAFCO 400 '!$D$8)*U479^2)+(('CAFCO 400 '!$D$9*LN(J479)+'CAFCO 400 '!$D$10)*U479)+('CAFCO 400 '!$D$11*LN(J479)+'CAFCO 400 '!$D$12))),0)+IF(AND(L479="Cafco 400",M479="Software Idiem",C479="C"),((('CAFCO 400 '!$L$7*(J479^3)+'CAFCO 400 '!$L$8*(J479^2)+'CAFCO 400 '!$L$9*J479+'CAFCO 400 '!$L$10)*U479^2)+(('CAFCO 400 '!$L$11*(J479^3)+'CAFCO 400 '!$L$12*(J479^2)+'CAFCO 400 '!$L$13*J479+'CAFCO 400 '!$L$14)*U479)+('CAFCO 400 '!$L$15*LN(J479)+'CAFCO 400 '!$L$16)),0)+IF(AND(L479="Cafco 400",M479="Software Idiem",C479="L"),((('CAFCO 400 '!$L$7*(J479^3)+'CAFCO 400 '!$L$8*(J479^2)+'CAFCO 400 '!$L$9*J479+'CAFCO 400 '!$L$10)*U479^2)+(('CAFCO 400 '!$L$11*(J479^3)+'CAFCO 400 '!$L$12*(J479^2)+'CAFCO 400 '!$L$13*J479+'CAFCO 400 '!$L$14)*U479)+('CAFCO 400 '!$L$15*LN(J479)+'CAFCO 400 '!$L$16)),0)+IF(AND(L479="Cafco 400",M479="Software Idiem",C479="IN",G479=3),((('CAFCO 400 '!$D$23*(J479^2)+'CAFCO 400 '!$D$24*(J479)+'CAFCO 400 '!$D$25)*U479^2)+(('CAFCO 400 '!$D$26*(J479^2)+'CAFCO 400 '!$D$27*J479+'CAFCO 400 '!$D$28)*U479)+('CAFCO 400 '!$D$29*(J479^2)+'CAFCO 400 '!$D$30*J479+'CAFCO 400 '!$D$31)),0),0)+IF(AND(L479="Cafco 300",J479&gt;=95,J479&lt;=240,C479="Cj",I479=90),VLOOKUP(T479,'CAFCO 300 IDIEM TABLAS'!$B$4:$D$23,2,FALSE),0)+IF(AND(L479="Cafco 300",J479&gt;=95,J479&lt;=240,C479="Cj",I479=120),VLOOKUP(T479,'CAFCO 300 IDIEM TABLAS'!$B$4:$D$23,3,FALSE),0)+IF(AND(L479="Cafco 300",J479&gt;=95,J479&lt;=400,G479=3,C479="IN",I479=90),VLOOKUP(T479,'CAFCO 300 IDIEM TABLAS'!$F$4:$H$35,2,FALSE),0)+IF(AND(L479="Cafco 300",J479&gt;=95,J479&lt;=400,G479=3,C479="IN",I479=120),VLOOKUP(T479,'CAFCO 300 IDIEM TABLAS'!$F$4:$H$35,3,FALSE),0)+IF(AND(L479="Cafco 300",J479&gt;=95,J479&lt;=450,G479=4,C479="IN",I479=90),VLOOKUP(T479,'CAFCO 300 IDIEM TABLAS'!$J$4:$L$40,2,FALSE),0)+IF(AND(L479="Cafco 300",J479&gt;=95,J479&lt;=450,G479=4,C479="IN",I479=120),VLOOKUP(T479,'CAFCO 300 IDIEM TABLAS'!$J$4:$L$40,3,FALSE),0)+IF(AND(M479="Ensayo Idiem",L479="Cafco 400",C479="IN",G479=4,I479=90),VLOOKUP(T479,'CAFCO 400 ENSAYO'!$B$7:$D$43,2,FALSE),0)+IF(AND(M479="Ensayo Idiem",L479="Cafco 400",C479="IN",G479=4,I479=120),VLOOKUP(T479,'CAFCO 400 ENSAYO'!$B$7:$D$43,3,FALSE),0)</f>
        <v>0</v>
      </c>
      <c r="O479" s="96">
        <f t="shared" si="54"/>
        <v>0</v>
      </c>
      <c r="P479" s="132" t="str">
        <f t="shared" si="49"/>
        <v>N/A</v>
      </c>
      <c r="Q479" s="132" t="str">
        <f t="shared" si="50"/>
        <v>N/A</v>
      </c>
      <c r="R479" s="132" t="str">
        <f t="shared" si="51"/>
        <v>NO CERT.</v>
      </c>
      <c r="S479" s="132" t="e">
        <f t="shared" si="52"/>
        <v>#N/A</v>
      </c>
      <c r="T479" s="133" t="e">
        <f>+IF(J479=LOOKUP(J479,'CAFCO 300 IDIEM TABLAS'!$J$4:$J$40),'CALCULO MORTERO'!J479,MROUND('CALCULO MORTERO'!J479,10))</f>
        <v>#N/A</v>
      </c>
      <c r="U479" s="134">
        <f t="shared" si="53"/>
        <v>0</v>
      </c>
      <c r="Y479" s="4"/>
      <c r="Z479" s="4"/>
      <c r="AA479" s="4"/>
    </row>
    <row r="480" spans="1:27" x14ac:dyDescent="0.25">
      <c r="A480" s="118">
        <f>+CUBICACION!D474</f>
        <v>0</v>
      </c>
      <c r="B480" s="819">
        <f>+CUBICACION!E474</f>
        <v>0</v>
      </c>
      <c r="C480" s="675">
        <f>+CUBICACION!F474</f>
        <v>0</v>
      </c>
      <c r="D480" s="118"/>
      <c r="E480" s="118"/>
      <c r="F480" s="820"/>
      <c r="G480" s="675">
        <f>+CUBICACION!J474</f>
        <v>0</v>
      </c>
      <c r="H480" s="118"/>
      <c r="I480" s="821">
        <f>+CUBICACION!L474</f>
        <v>0</v>
      </c>
      <c r="J480" s="64">
        <f>+CUBICACION!M474</f>
        <v>0</v>
      </c>
      <c r="K480" s="822" t="str">
        <f>+CUBICACION!N474</f>
        <v/>
      </c>
      <c r="L480" s="118">
        <f>+CUBICACION!O474</f>
        <v>0</v>
      </c>
      <c r="M480" s="823">
        <f>+CUBICACION!P474</f>
        <v>0</v>
      </c>
      <c r="N480" s="902">
        <f>ROUND(IF(AND(L480="Blaze Shield II",M480="Software Idiem",C480="IN",G480=4),((('BLAZE SHIELD II'!$D$4*('CALCULO MORTERO'!I480^2)+'BLAZE SHIELD II'!$D$5*'CALCULO MORTERO'!I480+'BLAZE SHIELD II'!$D$6)*LN(J480))+('BLAZE SHIELD II'!$D$7*('CALCULO MORTERO'!I480^2)+'BLAZE SHIELD II'!$D$8*'CALCULO MORTERO'!I480+'BLAZE SHIELD II'!$D$9)),0)+IF(AND(L480="Blaze Shield II",M480="Software Idiem",C480="Cj"),((('BLAZE SHIELD II'!$H$4*('CALCULO MORTERO'!I480^2)+'BLAZE SHIELD II'!$H$5*'CALCULO MORTERO'!I480+'BLAZE SHIELD II'!$H$6)*LN(J480))+('BLAZE SHIELD II'!$H$7*('CALCULO MORTERO'!I480^2)+'BLAZE SHIELD II'!$H$8*'CALCULO MORTERO'!I480+'BLAZE SHIELD II'!$H$9)),0)+IF(AND(L480="Blaze Shield II",M480="Software Idiem",C480="C"),((('BLAZE SHIELD II'!$L$4*('CALCULO MORTERO'!I480^2)+'BLAZE SHIELD II'!$L$5*'CALCULO MORTERO'!I480+'BLAZE SHIELD II'!$L$6)*LN(J480))+('BLAZE SHIELD II'!$L$7*('CALCULO MORTERO'!I480^2)+'BLAZE SHIELD II'!$L$8*'CALCULO MORTERO'!I480+'BLAZE SHIELD II'!$L$9)),0)+IF(AND(L480="Blaze Shield II",M480="Software Idiem",C480="L"),((('BLAZE SHIELD II'!$L$4*('CALCULO MORTERO'!I480^2)+'BLAZE SHIELD II'!$L$5*'CALCULO MORTERO'!I480+'BLAZE SHIELD II'!$L$6)*LN(J480))+('BLAZE SHIELD II'!$L$7*('CALCULO MORTERO'!I480^2)+'BLAZE SHIELD II'!$L$8*'CALCULO MORTERO'!I480+'BLAZE SHIELD II'!$L$9)),0)+IF(AND(L480="Blaze Shield II",M480="Software Idiem",C480="IN",G480=3),((('BLAZE SHIELD II'!$H$14*('CALCULO MORTERO'!I480^2)+'BLAZE SHIELD II'!$H$15*'CALCULO MORTERO'!I480+'BLAZE SHIELD II'!$H$16)*LN(J480))+('BLAZE SHIELD II'!$H$17*('CALCULO MORTERO'!I480^2)+'BLAZE SHIELD II'!$H$18*'CALCULO MORTERO'!I480+'BLAZE SHIELD II'!$H$19)),0),0)+ROUND(IF(AND(L480="Cafco 400",M480="Software Idiem",C480="IN",G480=4),((('CAFCO 400 '!$H$7*(J480^4)+'CAFCO 400 '!$H$8*(J480^3)+'CAFCO 400 '!$H$9*(J480^2)+'CAFCO 400 '!$H$10*J480+'CAFCO 400 '!$H$11)*U480^2)+(('CAFCO 400 '!$H$12*(J480^3)+'CAFCO 400 '!$H$13*(J480^2)+'CAFCO 400 '!$H$14*J480+'CAFCO 400 '!$H$15)*U480)+('CAFCO 400 '!$H$16*(J480^2)+'CAFCO 400 '!$H$17*J480+'CAFCO 400 '!$H$18)),0)+IF(AND(L480="Cafco 400",M480="Software Idiem",C480="Cj"),(((('CAFCO 400 '!$D$7*LN(J480)+'CAFCO 400 '!$D$8)*U480^2)+(('CAFCO 400 '!$D$9*LN(J480)+'CAFCO 400 '!$D$10)*U480)+('CAFCO 400 '!$D$11*LN(J480)+'CAFCO 400 '!$D$12))),0)+IF(AND(L480="Cafco 400",M480="Software Idiem",C480="C"),((('CAFCO 400 '!$L$7*(J480^3)+'CAFCO 400 '!$L$8*(J480^2)+'CAFCO 400 '!$L$9*J480+'CAFCO 400 '!$L$10)*U480^2)+(('CAFCO 400 '!$L$11*(J480^3)+'CAFCO 400 '!$L$12*(J480^2)+'CAFCO 400 '!$L$13*J480+'CAFCO 400 '!$L$14)*U480)+('CAFCO 400 '!$L$15*LN(J480)+'CAFCO 400 '!$L$16)),0)+IF(AND(L480="Cafco 400",M480="Software Idiem",C480="L"),((('CAFCO 400 '!$L$7*(J480^3)+'CAFCO 400 '!$L$8*(J480^2)+'CAFCO 400 '!$L$9*J480+'CAFCO 400 '!$L$10)*U480^2)+(('CAFCO 400 '!$L$11*(J480^3)+'CAFCO 400 '!$L$12*(J480^2)+'CAFCO 400 '!$L$13*J480+'CAFCO 400 '!$L$14)*U480)+('CAFCO 400 '!$L$15*LN(J480)+'CAFCO 400 '!$L$16)),0)+IF(AND(L480="Cafco 400",M480="Software Idiem",C480="IN",G480=3),((('CAFCO 400 '!$D$23*(J480^2)+'CAFCO 400 '!$D$24*(J480)+'CAFCO 400 '!$D$25)*U480^2)+(('CAFCO 400 '!$D$26*(J480^2)+'CAFCO 400 '!$D$27*J480+'CAFCO 400 '!$D$28)*U480)+('CAFCO 400 '!$D$29*(J480^2)+'CAFCO 400 '!$D$30*J480+'CAFCO 400 '!$D$31)),0),0)+IF(AND(L480="Cafco 300",J480&gt;=95,J480&lt;=240,C480="Cj",I480=90),VLOOKUP(T480,'CAFCO 300 IDIEM TABLAS'!$B$4:$D$23,2,FALSE),0)+IF(AND(L480="Cafco 300",J480&gt;=95,J480&lt;=240,C480="Cj",I480=120),VLOOKUP(T480,'CAFCO 300 IDIEM TABLAS'!$B$4:$D$23,3,FALSE),0)+IF(AND(L480="Cafco 300",J480&gt;=95,J480&lt;=400,G480=3,C480="IN",I480=90),VLOOKUP(T480,'CAFCO 300 IDIEM TABLAS'!$F$4:$H$35,2,FALSE),0)+IF(AND(L480="Cafco 300",J480&gt;=95,J480&lt;=400,G480=3,C480="IN",I480=120),VLOOKUP(T480,'CAFCO 300 IDIEM TABLAS'!$F$4:$H$35,3,FALSE),0)+IF(AND(L480="Cafco 300",J480&gt;=95,J480&lt;=450,G480=4,C480="IN",I480=90),VLOOKUP(T480,'CAFCO 300 IDIEM TABLAS'!$J$4:$L$40,2,FALSE),0)+IF(AND(L480="Cafco 300",J480&gt;=95,J480&lt;=450,G480=4,C480="IN",I480=120),VLOOKUP(T480,'CAFCO 300 IDIEM TABLAS'!$J$4:$L$40,3,FALSE),0)+IF(AND(M480="Ensayo Idiem",L480="Cafco 400",C480="IN",G480=4,I480=90),VLOOKUP(T480,'CAFCO 400 ENSAYO'!$B$7:$D$43,2,FALSE),0)+IF(AND(M480="Ensayo Idiem",L480="Cafco 400",C480="IN",G480=4,I480=120),VLOOKUP(T480,'CAFCO 400 ENSAYO'!$B$7:$D$43,3,FALSE),0)</f>
        <v>0</v>
      </c>
      <c r="O480" s="96">
        <f t="shared" si="54"/>
        <v>0</v>
      </c>
      <c r="P480" s="95" t="str">
        <f t="shared" si="49"/>
        <v>N/A</v>
      </c>
      <c r="Q480" s="95" t="str">
        <f t="shared" si="50"/>
        <v>N/A</v>
      </c>
      <c r="R480" s="95" t="str">
        <f t="shared" si="51"/>
        <v>NO CERT.</v>
      </c>
      <c r="S480" s="95" t="e">
        <f t="shared" si="52"/>
        <v>#N/A</v>
      </c>
      <c r="T480" s="119" t="e">
        <f>+IF(J480=LOOKUP(J480,'CAFCO 300 IDIEM TABLAS'!$J$4:$J$40),'CALCULO MORTERO'!J480,MROUND('CALCULO MORTERO'!J480,10))</f>
        <v>#N/A</v>
      </c>
      <c r="U480" s="118">
        <f t="shared" si="53"/>
        <v>0</v>
      </c>
      <c r="Y480" s="4"/>
      <c r="Z480" s="4"/>
      <c r="AA480" s="4"/>
    </row>
    <row r="481" spans="1:27" x14ac:dyDescent="0.25">
      <c r="A481" s="118">
        <f>+CUBICACION!D475</f>
        <v>0</v>
      </c>
      <c r="B481" s="819">
        <f>+CUBICACION!E475</f>
        <v>0</v>
      </c>
      <c r="C481" s="675">
        <f>+CUBICACION!F475</f>
        <v>0</v>
      </c>
      <c r="D481" s="118"/>
      <c r="E481" s="118"/>
      <c r="F481" s="820"/>
      <c r="G481" s="675">
        <f>+CUBICACION!J475</f>
        <v>0</v>
      </c>
      <c r="H481" s="118"/>
      <c r="I481" s="821">
        <f>+CUBICACION!L475</f>
        <v>0</v>
      </c>
      <c r="J481" s="64">
        <f>+CUBICACION!M475</f>
        <v>0</v>
      </c>
      <c r="K481" s="822" t="str">
        <f>+CUBICACION!N475</f>
        <v/>
      </c>
      <c r="L481" s="118">
        <f>+CUBICACION!O475</f>
        <v>0</v>
      </c>
      <c r="M481" s="823">
        <f>+CUBICACION!P475</f>
        <v>0</v>
      </c>
      <c r="N481" s="902">
        <f>ROUND(IF(AND(L481="Blaze Shield II",M481="Software Idiem",C481="IN",G481=4),((('BLAZE SHIELD II'!$D$4*('CALCULO MORTERO'!I481^2)+'BLAZE SHIELD II'!$D$5*'CALCULO MORTERO'!I481+'BLAZE SHIELD II'!$D$6)*LN(J481))+('BLAZE SHIELD II'!$D$7*('CALCULO MORTERO'!I481^2)+'BLAZE SHIELD II'!$D$8*'CALCULO MORTERO'!I481+'BLAZE SHIELD II'!$D$9)),0)+IF(AND(L481="Blaze Shield II",M481="Software Idiem",C481="Cj"),((('BLAZE SHIELD II'!$H$4*('CALCULO MORTERO'!I481^2)+'BLAZE SHIELD II'!$H$5*'CALCULO MORTERO'!I481+'BLAZE SHIELD II'!$H$6)*LN(J481))+('BLAZE SHIELD II'!$H$7*('CALCULO MORTERO'!I481^2)+'BLAZE SHIELD II'!$H$8*'CALCULO MORTERO'!I481+'BLAZE SHIELD II'!$H$9)),0)+IF(AND(L481="Blaze Shield II",M481="Software Idiem",C481="C"),((('BLAZE SHIELD II'!$L$4*('CALCULO MORTERO'!I481^2)+'BLAZE SHIELD II'!$L$5*'CALCULO MORTERO'!I481+'BLAZE SHIELD II'!$L$6)*LN(J481))+('BLAZE SHIELD II'!$L$7*('CALCULO MORTERO'!I481^2)+'BLAZE SHIELD II'!$L$8*'CALCULO MORTERO'!I481+'BLAZE SHIELD II'!$L$9)),0)+IF(AND(L481="Blaze Shield II",M481="Software Idiem",C481="L"),((('BLAZE SHIELD II'!$L$4*('CALCULO MORTERO'!I481^2)+'BLAZE SHIELD II'!$L$5*'CALCULO MORTERO'!I481+'BLAZE SHIELD II'!$L$6)*LN(J481))+('BLAZE SHIELD II'!$L$7*('CALCULO MORTERO'!I481^2)+'BLAZE SHIELD II'!$L$8*'CALCULO MORTERO'!I481+'BLAZE SHIELD II'!$L$9)),0)+IF(AND(L481="Blaze Shield II",M481="Software Idiem",C481="IN",G481=3),((('BLAZE SHIELD II'!$H$14*('CALCULO MORTERO'!I481^2)+'BLAZE SHIELD II'!$H$15*'CALCULO MORTERO'!I481+'BLAZE SHIELD II'!$H$16)*LN(J481))+('BLAZE SHIELD II'!$H$17*('CALCULO MORTERO'!I481^2)+'BLAZE SHIELD II'!$H$18*'CALCULO MORTERO'!I481+'BLAZE SHIELD II'!$H$19)),0),0)+ROUND(IF(AND(L481="Cafco 400",M481="Software Idiem",C481="IN",G481=4),((('CAFCO 400 '!$H$7*(J481^4)+'CAFCO 400 '!$H$8*(J481^3)+'CAFCO 400 '!$H$9*(J481^2)+'CAFCO 400 '!$H$10*J481+'CAFCO 400 '!$H$11)*U481^2)+(('CAFCO 400 '!$H$12*(J481^3)+'CAFCO 400 '!$H$13*(J481^2)+'CAFCO 400 '!$H$14*J481+'CAFCO 400 '!$H$15)*U481)+('CAFCO 400 '!$H$16*(J481^2)+'CAFCO 400 '!$H$17*J481+'CAFCO 400 '!$H$18)),0)+IF(AND(L481="Cafco 400",M481="Software Idiem",C481="Cj"),(((('CAFCO 400 '!$D$7*LN(J481)+'CAFCO 400 '!$D$8)*U481^2)+(('CAFCO 400 '!$D$9*LN(J481)+'CAFCO 400 '!$D$10)*U481)+('CAFCO 400 '!$D$11*LN(J481)+'CAFCO 400 '!$D$12))),0)+IF(AND(L481="Cafco 400",M481="Software Idiem",C481="C"),((('CAFCO 400 '!$L$7*(J481^3)+'CAFCO 400 '!$L$8*(J481^2)+'CAFCO 400 '!$L$9*J481+'CAFCO 400 '!$L$10)*U481^2)+(('CAFCO 400 '!$L$11*(J481^3)+'CAFCO 400 '!$L$12*(J481^2)+'CAFCO 400 '!$L$13*J481+'CAFCO 400 '!$L$14)*U481)+('CAFCO 400 '!$L$15*LN(J481)+'CAFCO 400 '!$L$16)),0)+IF(AND(L481="Cafco 400",M481="Software Idiem",C481="L"),((('CAFCO 400 '!$L$7*(J481^3)+'CAFCO 400 '!$L$8*(J481^2)+'CAFCO 400 '!$L$9*J481+'CAFCO 400 '!$L$10)*U481^2)+(('CAFCO 400 '!$L$11*(J481^3)+'CAFCO 400 '!$L$12*(J481^2)+'CAFCO 400 '!$L$13*J481+'CAFCO 400 '!$L$14)*U481)+('CAFCO 400 '!$L$15*LN(J481)+'CAFCO 400 '!$L$16)),0)+IF(AND(L481="Cafco 400",M481="Software Idiem",C481="IN",G481=3),((('CAFCO 400 '!$D$23*(J481^2)+'CAFCO 400 '!$D$24*(J481)+'CAFCO 400 '!$D$25)*U481^2)+(('CAFCO 400 '!$D$26*(J481^2)+'CAFCO 400 '!$D$27*J481+'CAFCO 400 '!$D$28)*U481)+('CAFCO 400 '!$D$29*(J481^2)+'CAFCO 400 '!$D$30*J481+'CAFCO 400 '!$D$31)),0),0)+IF(AND(L481="Cafco 300",J481&gt;=95,J481&lt;=240,C481="Cj",I481=90),VLOOKUP(T481,'CAFCO 300 IDIEM TABLAS'!$B$4:$D$23,2,FALSE),0)+IF(AND(L481="Cafco 300",J481&gt;=95,J481&lt;=240,C481="Cj",I481=120),VLOOKUP(T481,'CAFCO 300 IDIEM TABLAS'!$B$4:$D$23,3,FALSE),0)+IF(AND(L481="Cafco 300",J481&gt;=95,J481&lt;=400,G481=3,C481="IN",I481=90),VLOOKUP(T481,'CAFCO 300 IDIEM TABLAS'!$F$4:$H$35,2,FALSE),0)+IF(AND(L481="Cafco 300",J481&gt;=95,J481&lt;=400,G481=3,C481="IN",I481=120),VLOOKUP(T481,'CAFCO 300 IDIEM TABLAS'!$F$4:$H$35,3,FALSE),0)+IF(AND(L481="Cafco 300",J481&gt;=95,J481&lt;=450,G481=4,C481="IN",I481=90),VLOOKUP(T481,'CAFCO 300 IDIEM TABLAS'!$J$4:$L$40,2,FALSE),0)+IF(AND(L481="Cafco 300",J481&gt;=95,J481&lt;=450,G481=4,C481="IN",I481=120),VLOOKUP(T481,'CAFCO 300 IDIEM TABLAS'!$J$4:$L$40,3,FALSE),0)+IF(AND(M481="Ensayo Idiem",L481="Cafco 400",C481="IN",G481=4,I481=90),VLOOKUP(T481,'CAFCO 400 ENSAYO'!$B$7:$D$43,2,FALSE),0)+IF(AND(M481="Ensayo Idiem",L481="Cafco 400",C481="IN",G481=4,I481=120),VLOOKUP(T481,'CAFCO 400 ENSAYO'!$B$7:$D$43,3,FALSE),0)</f>
        <v>0</v>
      </c>
      <c r="O481" s="96">
        <f t="shared" si="54"/>
        <v>0</v>
      </c>
      <c r="P481" s="132" t="str">
        <f t="shared" si="49"/>
        <v>N/A</v>
      </c>
      <c r="Q481" s="132" t="str">
        <f t="shared" si="50"/>
        <v>N/A</v>
      </c>
      <c r="R481" s="132" t="str">
        <f t="shared" si="51"/>
        <v>NO CERT.</v>
      </c>
      <c r="S481" s="132" t="e">
        <f t="shared" si="52"/>
        <v>#N/A</v>
      </c>
      <c r="T481" s="133" t="e">
        <f>+IF(J481=LOOKUP(J481,'CAFCO 300 IDIEM TABLAS'!$J$4:$J$40),'CALCULO MORTERO'!J481,MROUND('CALCULO MORTERO'!J481,10))</f>
        <v>#N/A</v>
      </c>
      <c r="U481" s="134">
        <f t="shared" si="53"/>
        <v>0</v>
      </c>
      <c r="Y481" s="4"/>
      <c r="Z481" s="4"/>
      <c r="AA481" s="4"/>
    </row>
    <row r="482" spans="1:27" x14ac:dyDescent="0.25">
      <c r="A482" s="118">
        <f>+CUBICACION!D476</f>
        <v>0</v>
      </c>
      <c r="B482" s="819">
        <f>+CUBICACION!E476</f>
        <v>0</v>
      </c>
      <c r="C482" s="675">
        <f>+CUBICACION!F476</f>
        <v>0</v>
      </c>
      <c r="D482" s="118"/>
      <c r="E482" s="118"/>
      <c r="F482" s="820"/>
      <c r="G482" s="675">
        <f>+CUBICACION!J476</f>
        <v>0</v>
      </c>
      <c r="H482" s="118"/>
      <c r="I482" s="821">
        <f>+CUBICACION!L476</f>
        <v>0</v>
      </c>
      <c r="J482" s="64">
        <f>+CUBICACION!M476</f>
        <v>0</v>
      </c>
      <c r="K482" s="822" t="str">
        <f>+CUBICACION!N476</f>
        <v/>
      </c>
      <c r="L482" s="118">
        <f>+CUBICACION!O476</f>
        <v>0</v>
      </c>
      <c r="M482" s="823">
        <f>+CUBICACION!P476</f>
        <v>0</v>
      </c>
      <c r="N482" s="902">
        <f>ROUND(IF(AND(L482="Blaze Shield II",M482="Software Idiem",C482="IN",G482=4),((('BLAZE SHIELD II'!$D$4*('CALCULO MORTERO'!I482^2)+'BLAZE SHIELD II'!$D$5*'CALCULO MORTERO'!I482+'BLAZE SHIELD II'!$D$6)*LN(J482))+('BLAZE SHIELD II'!$D$7*('CALCULO MORTERO'!I482^2)+'BLAZE SHIELD II'!$D$8*'CALCULO MORTERO'!I482+'BLAZE SHIELD II'!$D$9)),0)+IF(AND(L482="Blaze Shield II",M482="Software Idiem",C482="Cj"),((('BLAZE SHIELD II'!$H$4*('CALCULO MORTERO'!I482^2)+'BLAZE SHIELD II'!$H$5*'CALCULO MORTERO'!I482+'BLAZE SHIELD II'!$H$6)*LN(J482))+('BLAZE SHIELD II'!$H$7*('CALCULO MORTERO'!I482^2)+'BLAZE SHIELD II'!$H$8*'CALCULO MORTERO'!I482+'BLAZE SHIELD II'!$H$9)),0)+IF(AND(L482="Blaze Shield II",M482="Software Idiem",C482="C"),((('BLAZE SHIELD II'!$L$4*('CALCULO MORTERO'!I482^2)+'BLAZE SHIELD II'!$L$5*'CALCULO MORTERO'!I482+'BLAZE SHIELD II'!$L$6)*LN(J482))+('BLAZE SHIELD II'!$L$7*('CALCULO MORTERO'!I482^2)+'BLAZE SHIELD II'!$L$8*'CALCULO MORTERO'!I482+'BLAZE SHIELD II'!$L$9)),0)+IF(AND(L482="Blaze Shield II",M482="Software Idiem",C482="L"),((('BLAZE SHIELD II'!$L$4*('CALCULO MORTERO'!I482^2)+'BLAZE SHIELD II'!$L$5*'CALCULO MORTERO'!I482+'BLAZE SHIELD II'!$L$6)*LN(J482))+('BLAZE SHIELD II'!$L$7*('CALCULO MORTERO'!I482^2)+'BLAZE SHIELD II'!$L$8*'CALCULO MORTERO'!I482+'BLAZE SHIELD II'!$L$9)),0)+IF(AND(L482="Blaze Shield II",M482="Software Idiem",C482="IN",G482=3),((('BLAZE SHIELD II'!$H$14*('CALCULO MORTERO'!I482^2)+'BLAZE SHIELD II'!$H$15*'CALCULO MORTERO'!I482+'BLAZE SHIELD II'!$H$16)*LN(J482))+('BLAZE SHIELD II'!$H$17*('CALCULO MORTERO'!I482^2)+'BLAZE SHIELD II'!$H$18*'CALCULO MORTERO'!I482+'BLAZE SHIELD II'!$H$19)),0),0)+ROUND(IF(AND(L482="Cafco 400",M482="Software Idiem",C482="IN",G482=4),((('CAFCO 400 '!$H$7*(J482^4)+'CAFCO 400 '!$H$8*(J482^3)+'CAFCO 400 '!$H$9*(J482^2)+'CAFCO 400 '!$H$10*J482+'CAFCO 400 '!$H$11)*U482^2)+(('CAFCO 400 '!$H$12*(J482^3)+'CAFCO 400 '!$H$13*(J482^2)+'CAFCO 400 '!$H$14*J482+'CAFCO 400 '!$H$15)*U482)+('CAFCO 400 '!$H$16*(J482^2)+'CAFCO 400 '!$H$17*J482+'CAFCO 400 '!$H$18)),0)+IF(AND(L482="Cafco 400",M482="Software Idiem",C482="Cj"),(((('CAFCO 400 '!$D$7*LN(J482)+'CAFCO 400 '!$D$8)*U482^2)+(('CAFCO 400 '!$D$9*LN(J482)+'CAFCO 400 '!$D$10)*U482)+('CAFCO 400 '!$D$11*LN(J482)+'CAFCO 400 '!$D$12))),0)+IF(AND(L482="Cafco 400",M482="Software Idiem",C482="C"),((('CAFCO 400 '!$L$7*(J482^3)+'CAFCO 400 '!$L$8*(J482^2)+'CAFCO 400 '!$L$9*J482+'CAFCO 400 '!$L$10)*U482^2)+(('CAFCO 400 '!$L$11*(J482^3)+'CAFCO 400 '!$L$12*(J482^2)+'CAFCO 400 '!$L$13*J482+'CAFCO 400 '!$L$14)*U482)+('CAFCO 400 '!$L$15*LN(J482)+'CAFCO 400 '!$L$16)),0)+IF(AND(L482="Cafco 400",M482="Software Idiem",C482="L"),((('CAFCO 400 '!$L$7*(J482^3)+'CAFCO 400 '!$L$8*(J482^2)+'CAFCO 400 '!$L$9*J482+'CAFCO 400 '!$L$10)*U482^2)+(('CAFCO 400 '!$L$11*(J482^3)+'CAFCO 400 '!$L$12*(J482^2)+'CAFCO 400 '!$L$13*J482+'CAFCO 400 '!$L$14)*U482)+('CAFCO 400 '!$L$15*LN(J482)+'CAFCO 400 '!$L$16)),0)+IF(AND(L482="Cafco 400",M482="Software Idiem",C482="IN",G482=3),((('CAFCO 400 '!$D$23*(J482^2)+'CAFCO 400 '!$D$24*(J482)+'CAFCO 400 '!$D$25)*U482^2)+(('CAFCO 400 '!$D$26*(J482^2)+'CAFCO 400 '!$D$27*J482+'CAFCO 400 '!$D$28)*U482)+('CAFCO 400 '!$D$29*(J482^2)+'CAFCO 400 '!$D$30*J482+'CAFCO 400 '!$D$31)),0),0)+IF(AND(L482="Cafco 300",J482&gt;=95,J482&lt;=240,C482="Cj",I482=90),VLOOKUP(T482,'CAFCO 300 IDIEM TABLAS'!$B$4:$D$23,2,FALSE),0)+IF(AND(L482="Cafco 300",J482&gt;=95,J482&lt;=240,C482="Cj",I482=120),VLOOKUP(T482,'CAFCO 300 IDIEM TABLAS'!$B$4:$D$23,3,FALSE),0)+IF(AND(L482="Cafco 300",J482&gt;=95,J482&lt;=400,G482=3,C482="IN",I482=90),VLOOKUP(T482,'CAFCO 300 IDIEM TABLAS'!$F$4:$H$35,2,FALSE),0)+IF(AND(L482="Cafco 300",J482&gt;=95,J482&lt;=400,G482=3,C482="IN",I482=120),VLOOKUP(T482,'CAFCO 300 IDIEM TABLAS'!$F$4:$H$35,3,FALSE),0)+IF(AND(L482="Cafco 300",J482&gt;=95,J482&lt;=450,G482=4,C482="IN",I482=90),VLOOKUP(T482,'CAFCO 300 IDIEM TABLAS'!$J$4:$L$40,2,FALSE),0)+IF(AND(L482="Cafco 300",J482&gt;=95,J482&lt;=450,G482=4,C482="IN",I482=120),VLOOKUP(T482,'CAFCO 300 IDIEM TABLAS'!$J$4:$L$40,3,FALSE),0)+IF(AND(M482="Ensayo Idiem",L482="Cafco 400",C482="IN",G482=4,I482=90),VLOOKUP(T482,'CAFCO 400 ENSAYO'!$B$7:$D$43,2,FALSE),0)+IF(AND(M482="Ensayo Idiem",L482="Cafco 400",C482="IN",G482=4,I482=120),VLOOKUP(T482,'CAFCO 400 ENSAYO'!$B$7:$D$43,3,FALSE),0)</f>
        <v>0</v>
      </c>
      <c r="O482" s="96">
        <f t="shared" si="54"/>
        <v>0</v>
      </c>
      <c r="P482" s="95" t="str">
        <f t="shared" si="49"/>
        <v>N/A</v>
      </c>
      <c r="Q482" s="95" t="str">
        <f t="shared" si="50"/>
        <v>N/A</v>
      </c>
      <c r="R482" s="95" t="str">
        <f t="shared" si="51"/>
        <v>NO CERT.</v>
      </c>
      <c r="S482" s="95" t="e">
        <f t="shared" si="52"/>
        <v>#N/A</v>
      </c>
      <c r="T482" s="119" t="e">
        <f>+IF(J482=LOOKUP(J482,'CAFCO 300 IDIEM TABLAS'!$J$4:$J$40),'CALCULO MORTERO'!J482,MROUND('CALCULO MORTERO'!J482,10))</f>
        <v>#N/A</v>
      </c>
      <c r="U482" s="118">
        <f t="shared" si="53"/>
        <v>0</v>
      </c>
      <c r="Y482" s="4"/>
      <c r="Z482" s="4"/>
      <c r="AA482" s="4"/>
    </row>
    <row r="483" spans="1:27" x14ac:dyDescent="0.25">
      <c r="A483" s="118">
        <f>+CUBICACION!D477</f>
        <v>0</v>
      </c>
      <c r="B483" s="819">
        <f>+CUBICACION!E477</f>
        <v>0</v>
      </c>
      <c r="C483" s="675">
        <f>+CUBICACION!F477</f>
        <v>0</v>
      </c>
      <c r="D483" s="118"/>
      <c r="E483" s="118"/>
      <c r="F483" s="820"/>
      <c r="G483" s="675">
        <f>+CUBICACION!J477</f>
        <v>0</v>
      </c>
      <c r="H483" s="118"/>
      <c r="I483" s="821">
        <f>+CUBICACION!L477</f>
        <v>0</v>
      </c>
      <c r="J483" s="64">
        <f>+CUBICACION!M477</f>
        <v>0</v>
      </c>
      <c r="K483" s="822" t="str">
        <f>+CUBICACION!N477</f>
        <v/>
      </c>
      <c r="L483" s="118">
        <f>+CUBICACION!O477</f>
        <v>0</v>
      </c>
      <c r="M483" s="823">
        <f>+CUBICACION!P477</f>
        <v>0</v>
      </c>
      <c r="N483" s="902">
        <f>ROUND(IF(AND(L483="Blaze Shield II",M483="Software Idiem",C483="IN",G483=4),((('BLAZE SHIELD II'!$D$4*('CALCULO MORTERO'!I483^2)+'BLAZE SHIELD II'!$D$5*'CALCULO MORTERO'!I483+'BLAZE SHIELD II'!$D$6)*LN(J483))+('BLAZE SHIELD II'!$D$7*('CALCULO MORTERO'!I483^2)+'BLAZE SHIELD II'!$D$8*'CALCULO MORTERO'!I483+'BLAZE SHIELD II'!$D$9)),0)+IF(AND(L483="Blaze Shield II",M483="Software Idiem",C483="Cj"),((('BLAZE SHIELD II'!$H$4*('CALCULO MORTERO'!I483^2)+'BLAZE SHIELD II'!$H$5*'CALCULO MORTERO'!I483+'BLAZE SHIELD II'!$H$6)*LN(J483))+('BLAZE SHIELD II'!$H$7*('CALCULO MORTERO'!I483^2)+'BLAZE SHIELD II'!$H$8*'CALCULO MORTERO'!I483+'BLAZE SHIELD II'!$H$9)),0)+IF(AND(L483="Blaze Shield II",M483="Software Idiem",C483="C"),((('BLAZE SHIELD II'!$L$4*('CALCULO MORTERO'!I483^2)+'BLAZE SHIELD II'!$L$5*'CALCULO MORTERO'!I483+'BLAZE SHIELD II'!$L$6)*LN(J483))+('BLAZE SHIELD II'!$L$7*('CALCULO MORTERO'!I483^2)+'BLAZE SHIELD II'!$L$8*'CALCULO MORTERO'!I483+'BLAZE SHIELD II'!$L$9)),0)+IF(AND(L483="Blaze Shield II",M483="Software Idiem",C483="L"),((('BLAZE SHIELD II'!$L$4*('CALCULO MORTERO'!I483^2)+'BLAZE SHIELD II'!$L$5*'CALCULO MORTERO'!I483+'BLAZE SHIELD II'!$L$6)*LN(J483))+('BLAZE SHIELD II'!$L$7*('CALCULO MORTERO'!I483^2)+'BLAZE SHIELD II'!$L$8*'CALCULO MORTERO'!I483+'BLAZE SHIELD II'!$L$9)),0)+IF(AND(L483="Blaze Shield II",M483="Software Idiem",C483="IN",G483=3),((('BLAZE SHIELD II'!$H$14*('CALCULO MORTERO'!I483^2)+'BLAZE SHIELD II'!$H$15*'CALCULO MORTERO'!I483+'BLAZE SHIELD II'!$H$16)*LN(J483))+('BLAZE SHIELD II'!$H$17*('CALCULO MORTERO'!I483^2)+'BLAZE SHIELD II'!$H$18*'CALCULO MORTERO'!I483+'BLAZE SHIELD II'!$H$19)),0),0)+ROUND(IF(AND(L483="Cafco 400",M483="Software Idiem",C483="IN",G483=4),((('CAFCO 400 '!$H$7*(J483^4)+'CAFCO 400 '!$H$8*(J483^3)+'CAFCO 400 '!$H$9*(J483^2)+'CAFCO 400 '!$H$10*J483+'CAFCO 400 '!$H$11)*U483^2)+(('CAFCO 400 '!$H$12*(J483^3)+'CAFCO 400 '!$H$13*(J483^2)+'CAFCO 400 '!$H$14*J483+'CAFCO 400 '!$H$15)*U483)+('CAFCO 400 '!$H$16*(J483^2)+'CAFCO 400 '!$H$17*J483+'CAFCO 400 '!$H$18)),0)+IF(AND(L483="Cafco 400",M483="Software Idiem",C483="Cj"),(((('CAFCO 400 '!$D$7*LN(J483)+'CAFCO 400 '!$D$8)*U483^2)+(('CAFCO 400 '!$D$9*LN(J483)+'CAFCO 400 '!$D$10)*U483)+('CAFCO 400 '!$D$11*LN(J483)+'CAFCO 400 '!$D$12))),0)+IF(AND(L483="Cafco 400",M483="Software Idiem",C483="C"),((('CAFCO 400 '!$L$7*(J483^3)+'CAFCO 400 '!$L$8*(J483^2)+'CAFCO 400 '!$L$9*J483+'CAFCO 400 '!$L$10)*U483^2)+(('CAFCO 400 '!$L$11*(J483^3)+'CAFCO 400 '!$L$12*(J483^2)+'CAFCO 400 '!$L$13*J483+'CAFCO 400 '!$L$14)*U483)+('CAFCO 400 '!$L$15*LN(J483)+'CAFCO 400 '!$L$16)),0)+IF(AND(L483="Cafco 400",M483="Software Idiem",C483="L"),((('CAFCO 400 '!$L$7*(J483^3)+'CAFCO 400 '!$L$8*(J483^2)+'CAFCO 400 '!$L$9*J483+'CAFCO 400 '!$L$10)*U483^2)+(('CAFCO 400 '!$L$11*(J483^3)+'CAFCO 400 '!$L$12*(J483^2)+'CAFCO 400 '!$L$13*J483+'CAFCO 400 '!$L$14)*U483)+('CAFCO 400 '!$L$15*LN(J483)+'CAFCO 400 '!$L$16)),0)+IF(AND(L483="Cafco 400",M483="Software Idiem",C483="IN",G483=3),((('CAFCO 400 '!$D$23*(J483^2)+'CAFCO 400 '!$D$24*(J483)+'CAFCO 400 '!$D$25)*U483^2)+(('CAFCO 400 '!$D$26*(J483^2)+'CAFCO 400 '!$D$27*J483+'CAFCO 400 '!$D$28)*U483)+('CAFCO 400 '!$D$29*(J483^2)+'CAFCO 400 '!$D$30*J483+'CAFCO 400 '!$D$31)),0),0)+IF(AND(L483="Cafco 300",J483&gt;=95,J483&lt;=240,C483="Cj",I483=90),VLOOKUP(T483,'CAFCO 300 IDIEM TABLAS'!$B$4:$D$23,2,FALSE),0)+IF(AND(L483="Cafco 300",J483&gt;=95,J483&lt;=240,C483="Cj",I483=120),VLOOKUP(T483,'CAFCO 300 IDIEM TABLAS'!$B$4:$D$23,3,FALSE),0)+IF(AND(L483="Cafco 300",J483&gt;=95,J483&lt;=400,G483=3,C483="IN",I483=90),VLOOKUP(T483,'CAFCO 300 IDIEM TABLAS'!$F$4:$H$35,2,FALSE),0)+IF(AND(L483="Cafco 300",J483&gt;=95,J483&lt;=400,G483=3,C483="IN",I483=120),VLOOKUP(T483,'CAFCO 300 IDIEM TABLAS'!$F$4:$H$35,3,FALSE),0)+IF(AND(L483="Cafco 300",J483&gt;=95,J483&lt;=450,G483=4,C483="IN",I483=90),VLOOKUP(T483,'CAFCO 300 IDIEM TABLAS'!$J$4:$L$40,2,FALSE),0)+IF(AND(L483="Cafco 300",J483&gt;=95,J483&lt;=450,G483=4,C483="IN",I483=120),VLOOKUP(T483,'CAFCO 300 IDIEM TABLAS'!$J$4:$L$40,3,FALSE),0)+IF(AND(M483="Ensayo Idiem",L483="Cafco 400",C483="IN",G483=4,I483=90),VLOOKUP(T483,'CAFCO 400 ENSAYO'!$B$7:$D$43,2,FALSE),0)+IF(AND(M483="Ensayo Idiem",L483="Cafco 400",C483="IN",G483=4,I483=120),VLOOKUP(T483,'CAFCO 400 ENSAYO'!$B$7:$D$43,3,FALSE),0)</f>
        <v>0</v>
      </c>
      <c r="O483" s="96">
        <f t="shared" si="54"/>
        <v>0</v>
      </c>
      <c r="P483" s="132" t="str">
        <f t="shared" si="49"/>
        <v>N/A</v>
      </c>
      <c r="Q483" s="132" t="str">
        <f t="shared" si="50"/>
        <v>N/A</v>
      </c>
      <c r="R483" s="132" t="str">
        <f t="shared" si="51"/>
        <v>NO CERT.</v>
      </c>
      <c r="S483" s="132" t="e">
        <f t="shared" si="52"/>
        <v>#N/A</v>
      </c>
      <c r="T483" s="133" t="e">
        <f>+IF(J483=LOOKUP(J483,'CAFCO 300 IDIEM TABLAS'!$J$4:$J$40),'CALCULO MORTERO'!J483,MROUND('CALCULO MORTERO'!J483,10))</f>
        <v>#N/A</v>
      </c>
      <c r="U483" s="134">
        <f t="shared" si="53"/>
        <v>0</v>
      </c>
      <c r="Y483" s="4"/>
      <c r="Z483" s="4"/>
      <c r="AA483" s="4"/>
    </row>
    <row r="484" spans="1:27" x14ac:dyDescent="0.25">
      <c r="A484" s="118">
        <f>+CUBICACION!D478</f>
        <v>0</v>
      </c>
      <c r="B484" s="819">
        <f>+CUBICACION!E478</f>
        <v>0</v>
      </c>
      <c r="C484" s="675">
        <f>+CUBICACION!F478</f>
        <v>0</v>
      </c>
      <c r="D484" s="118"/>
      <c r="E484" s="118"/>
      <c r="F484" s="820"/>
      <c r="G484" s="675">
        <f>+CUBICACION!J478</f>
        <v>0</v>
      </c>
      <c r="H484" s="118"/>
      <c r="I484" s="821">
        <f>+CUBICACION!L478</f>
        <v>0</v>
      </c>
      <c r="J484" s="64">
        <f>+CUBICACION!M478</f>
        <v>0</v>
      </c>
      <c r="K484" s="822" t="str">
        <f>+CUBICACION!N478</f>
        <v/>
      </c>
      <c r="L484" s="118">
        <f>+CUBICACION!O478</f>
        <v>0</v>
      </c>
      <c r="M484" s="823">
        <f>+CUBICACION!P478</f>
        <v>0</v>
      </c>
      <c r="N484" s="902">
        <f>ROUND(IF(AND(L484="Blaze Shield II",M484="Software Idiem",C484="IN",G484=4),((('BLAZE SHIELD II'!$D$4*('CALCULO MORTERO'!I484^2)+'BLAZE SHIELD II'!$D$5*'CALCULO MORTERO'!I484+'BLAZE SHIELD II'!$D$6)*LN(J484))+('BLAZE SHIELD II'!$D$7*('CALCULO MORTERO'!I484^2)+'BLAZE SHIELD II'!$D$8*'CALCULO MORTERO'!I484+'BLAZE SHIELD II'!$D$9)),0)+IF(AND(L484="Blaze Shield II",M484="Software Idiem",C484="Cj"),((('BLAZE SHIELD II'!$H$4*('CALCULO MORTERO'!I484^2)+'BLAZE SHIELD II'!$H$5*'CALCULO MORTERO'!I484+'BLAZE SHIELD II'!$H$6)*LN(J484))+('BLAZE SHIELD II'!$H$7*('CALCULO MORTERO'!I484^2)+'BLAZE SHIELD II'!$H$8*'CALCULO MORTERO'!I484+'BLAZE SHIELD II'!$H$9)),0)+IF(AND(L484="Blaze Shield II",M484="Software Idiem",C484="C"),((('BLAZE SHIELD II'!$L$4*('CALCULO MORTERO'!I484^2)+'BLAZE SHIELD II'!$L$5*'CALCULO MORTERO'!I484+'BLAZE SHIELD II'!$L$6)*LN(J484))+('BLAZE SHIELD II'!$L$7*('CALCULO MORTERO'!I484^2)+'BLAZE SHIELD II'!$L$8*'CALCULO MORTERO'!I484+'BLAZE SHIELD II'!$L$9)),0)+IF(AND(L484="Blaze Shield II",M484="Software Idiem",C484="L"),((('BLAZE SHIELD II'!$L$4*('CALCULO MORTERO'!I484^2)+'BLAZE SHIELD II'!$L$5*'CALCULO MORTERO'!I484+'BLAZE SHIELD II'!$L$6)*LN(J484))+('BLAZE SHIELD II'!$L$7*('CALCULO MORTERO'!I484^2)+'BLAZE SHIELD II'!$L$8*'CALCULO MORTERO'!I484+'BLAZE SHIELD II'!$L$9)),0)+IF(AND(L484="Blaze Shield II",M484="Software Idiem",C484="IN",G484=3),((('BLAZE SHIELD II'!$H$14*('CALCULO MORTERO'!I484^2)+'BLAZE SHIELD II'!$H$15*'CALCULO MORTERO'!I484+'BLAZE SHIELD II'!$H$16)*LN(J484))+('BLAZE SHIELD II'!$H$17*('CALCULO MORTERO'!I484^2)+'BLAZE SHIELD II'!$H$18*'CALCULO MORTERO'!I484+'BLAZE SHIELD II'!$H$19)),0),0)+ROUND(IF(AND(L484="Cafco 400",M484="Software Idiem",C484="IN",G484=4),((('CAFCO 400 '!$H$7*(J484^4)+'CAFCO 400 '!$H$8*(J484^3)+'CAFCO 400 '!$H$9*(J484^2)+'CAFCO 400 '!$H$10*J484+'CAFCO 400 '!$H$11)*U484^2)+(('CAFCO 400 '!$H$12*(J484^3)+'CAFCO 400 '!$H$13*(J484^2)+'CAFCO 400 '!$H$14*J484+'CAFCO 400 '!$H$15)*U484)+('CAFCO 400 '!$H$16*(J484^2)+'CAFCO 400 '!$H$17*J484+'CAFCO 400 '!$H$18)),0)+IF(AND(L484="Cafco 400",M484="Software Idiem",C484="Cj"),(((('CAFCO 400 '!$D$7*LN(J484)+'CAFCO 400 '!$D$8)*U484^2)+(('CAFCO 400 '!$D$9*LN(J484)+'CAFCO 400 '!$D$10)*U484)+('CAFCO 400 '!$D$11*LN(J484)+'CAFCO 400 '!$D$12))),0)+IF(AND(L484="Cafco 400",M484="Software Idiem",C484="C"),((('CAFCO 400 '!$L$7*(J484^3)+'CAFCO 400 '!$L$8*(J484^2)+'CAFCO 400 '!$L$9*J484+'CAFCO 400 '!$L$10)*U484^2)+(('CAFCO 400 '!$L$11*(J484^3)+'CAFCO 400 '!$L$12*(J484^2)+'CAFCO 400 '!$L$13*J484+'CAFCO 400 '!$L$14)*U484)+('CAFCO 400 '!$L$15*LN(J484)+'CAFCO 400 '!$L$16)),0)+IF(AND(L484="Cafco 400",M484="Software Idiem",C484="L"),((('CAFCO 400 '!$L$7*(J484^3)+'CAFCO 400 '!$L$8*(J484^2)+'CAFCO 400 '!$L$9*J484+'CAFCO 400 '!$L$10)*U484^2)+(('CAFCO 400 '!$L$11*(J484^3)+'CAFCO 400 '!$L$12*(J484^2)+'CAFCO 400 '!$L$13*J484+'CAFCO 400 '!$L$14)*U484)+('CAFCO 400 '!$L$15*LN(J484)+'CAFCO 400 '!$L$16)),0)+IF(AND(L484="Cafco 400",M484="Software Idiem",C484="IN",G484=3),((('CAFCO 400 '!$D$23*(J484^2)+'CAFCO 400 '!$D$24*(J484)+'CAFCO 400 '!$D$25)*U484^2)+(('CAFCO 400 '!$D$26*(J484^2)+'CAFCO 400 '!$D$27*J484+'CAFCO 400 '!$D$28)*U484)+('CAFCO 400 '!$D$29*(J484^2)+'CAFCO 400 '!$D$30*J484+'CAFCO 400 '!$D$31)),0),0)+IF(AND(L484="Cafco 300",J484&gt;=95,J484&lt;=240,C484="Cj",I484=90),VLOOKUP(T484,'CAFCO 300 IDIEM TABLAS'!$B$4:$D$23,2,FALSE),0)+IF(AND(L484="Cafco 300",J484&gt;=95,J484&lt;=240,C484="Cj",I484=120),VLOOKUP(T484,'CAFCO 300 IDIEM TABLAS'!$B$4:$D$23,3,FALSE),0)+IF(AND(L484="Cafco 300",J484&gt;=95,J484&lt;=400,G484=3,C484="IN",I484=90),VLOOKUP(T484,'CAFCO 300 IDIEM TABLAS'!$F$4:$H$35,2,FALSE),0)+IF(AND(L484="Cafco 300",J484&gt;=95,J484&lt;=400,G484=3,C484="IN",I484=120),VLOOKUP(T484,'CAFCO 300 IDIEM TABLAS'!$F$4:$H$35,3,FALSE),0)+IF(AND(L484="Cafco 300",J484&gt;=95,J484&lt;=450,G484=4,C484="IN",I484=90),VLOOKUP(T484,'CAFCO 300 IDIEM TABLAS'!$J$4:$L$40,2,FALSE),0)+IF(AND(L484="Cafco 300",J484&gt;=95,J484&lt;=450,G484=4,C484="IN",I484=120),VLOOKUP(T484,'CAFCO 300 IDIEM TABLAS'!$J$4:$L$40,3,FALSE),0)+IF(AND(M484="Ensayo Idiem",L484="Cafco 400",C484="IN",G484=4,I484=90),VLOOKUP(T484,'CAFCO 400 ENSAYO'!$B$7:$D$43,2,FALSE),0)+IF(AND(M484="Ensayo Idiem",L484="Cafco 400",C484="IN",G484=4,I484=120),VLOOKUP(T484,'CAFCO 400 ENSAYO'!$B$7:$D$43,3,FALSE),0)</f>
        <v>0</v>
      </c>
      <c r="O484" s="96">
        <f t="shared" si="54"/>
        <v>0</v>
      </c>
      <c r="P484" s="95" t="str">
        <f t="shared" si="49"/>
        <v>N/A</v>
      </c>
      <c r="Q484" s="95" t="str">
        <f t="shared" si="50"/>
        <v>N/A</v>
      </c>
      <c r="R484" s="95" t="str">
        <f t="shared" si="51"/>
        <v>NO CERT.</v>
      </c>
      <c r="S484" s="95" t="e">
        <f t="shared" si="52"/>
        <v>#N/A</v>
      </c>
      <c r="T484" s="119" t="e">
        <f>+IF(J484=LOOKUP(J484,'CAFCO 300 IDIEM TABLAS'!$J$4:$J$40),'CALCULO MORTERO'!J484,MROUND('CALCULO MORTERO'!J484,10))</f>
        <v>#N/A</v>
      </c>
      <c r="U484" s="118">
        <f t="shared" si="53"/>
        <v>0</v>
      </c>
      <c r="Y484" s="4"/>
      <c r="Z484" s="4"/>
      <c r="AA484" s="4"/>
    </row>
    <row r="485" spans="1:27" x14ac:dyDescent="0.25">
      <c r="A485" s="118">
        <f>+CUBICACION!D479</f>
        <v>0</v>
      </c>
      <c r="B485" s="819">
        <f>+CUBICACION!E479</f>
        <v>0</v>
      </c>
      <c r="C485" s="675">
        <f>+CUBICACION!F479</f>
        <v>0</v>
      </c>
      <c r="D485" s="118"/>
      <c r="E485" s="118"/>
      <c r="F485" s="820"/>
      <c r="G485" s="675">
        <f>+CUBICACION!J479</f>
        <v>0</v>
      </c>
      <c r="H485" s="118"/>
      <c r="I485" s="821">
        <f>+CUBICACION!L479</f>
        <v>0</v>
      </c>
      <c r="J485" s="64">
        <f>+CUBICACION!M479</f>
        <v>0</v>
      </c>
      <c r="K485" s="822" t="str">
        <f>+CUBICACION!N479</f>
        <v/>
      </c>
      <c r="L485" s="118">
        <f>+CUBICACION!O479</f>
        <v>0</v>
      </c>
      <c r="M485" s="823">
        <f>+CUBICACION!P479</f>
        <v>0</v>
      </c>
      <c r="N485" s="902">
        <f>ROUND(IF(AND(L485="Blaze Shield II",M485="Software Idiem",C485="IN",G485=4),((('BLAZE SHIELD II'!$D$4*('CALCULO MORTERO'!I485^2)+'BLAZE SHIELD II'!$D$5*'CALCULO MORTERO'!I485+'BLAZE SHIELD II'!$D$6)*LN(J485))+('BLAZE SHIELD II'!$D$7*('CALCULO MORTERO'!I485^2)+'BLAZE SHIELD II'!$D$8*'CALCULO MORTERO'!I485+'BLAZE SHIELD II'!$D$9)),0)+IF(AND(L485="Blaze Shield II",M485="Software Idiem",C485="Cj"),((('BLAZE SHIELD II'!$H$4*('CALCULO MORTERO'!I485^2)+'BLAZE SHIELD II'!$H$5*'CALCULO MORTERO'!I485+'BLAZE SHIELD II'!$H$6)*LN(J485))+('BLAZE SHIELD II'!$H$7*('CALCULO MORTERO'!I485^2)+'BLAZE SHIELD II'!$H$8*'CALCULO MORTERO'!I485+'BLAZE SHIELD II'!$H$9)),0)+IF(AND(L485="Blaze Shield II",M485="Software Idiem",C485="C"),((('BLAZE SHIELD II'!$L$4*('CALCULO MORTERO'!I485^2)+'BLAZE SHIELD II'!$L$5*'CALCULO MORTERO'!I485+'BLAZE SHIELD II'!$L$6)*LN(J485))+('BLAZE SHIELD II'!$L$7*('CALCULO MORTERO'!I485^2)+'BLAZE SHIELD II'!$L$8*'CALCULO MORTERO'!I485+'BLAZE SHIELD II'!$L$9)),0)+IF(AND(L485="Blaze Shield II",M485="Software Idiem",C485="L"),((('BLAZE SHIELD II'!$L$4*('CALCULO MORTERO'!I485^2)+'BLAZE SHIELD II'!$L$5*'CALCULO MORTERO'!I485+'BLAZE SHIELD II'!$L$6)*LN(J485))+('BLAZE SHIELD II'!$L$7*('CALCULO MORTERO'!I485^2)+'BLAZE SHIELD II'!$L$8*'CALCULO MORTERO'!I485+'BLAZE SHIELD II'!$L$9)),0)+IF(AND(L485="Blaze Shield II",M485="Software Idiem",C485="IN",G485=3),((('BLAZE SHIELD II'!$H$14*('CALCULO MORTERO'!I485^2)+'BLAZE SHIELD II'!$H$15*'CALCULO MORTERO'!I485+'BLAZE SHIELD II'!$H$16)*LN(J485))+('BLAZE SHIELD II'!$H$17*('CALCULO MORTERO'!I485^2)+'BLAZE SHIELD II'!$H$18*'CALCULO MORTERO'!I485+'BLAZE SHIELD II'!$H$19)),0),0)+ROUND(IF(AND(L485="Cafco 400",M485="Software Idiem",C485="IN",G485=4),((('CAFCO 400 '!$H$7*(J485^4)+'CAFCO 400 '!$H$8*(J485^3)+'CAFCO 400 '!$H$9*(J485^2)+'CAFCO 400 '!$H$10*J485+'CAFCO 400 '!$H$11)*U485^2)+(('CAFCO 400 '!$H$12*(J485^3)+'CAFCO 400 '!$H$13*(J485^2)+'CAFCO 400 '!$H$14*J485+'CAFCO 400 '!$H$15)*U485)+('CAFCO 400 '!$H$16*(J485^2)+'CAFCO 400 '!$H$17*J485+'CAFCO 400 '!$H$18)),0)+IF(AND(L485="Cafco 400",M485="Software Idiem",C485="Cj"),(((('CAFCO 400 '!$D$7*LN(J485)+'CAFCO 400 '!$D$8)*U485^2)+(('CAFCO 400 '!$D$9*LN(J485)+'CAFCO 400 '!$D$10)*U485)+('CAFCO 400 '!$D$11*LN(J485)+'CAFCO 400 '!$D$12))),0)+IF(AND(L485="Cafco 400",M485="Software Idiem",C485="C"),((('CAFCO 400 '!$L$7*(J485^3)+'CAFCO 400 '!$L$8*(J485^2)+'CAFCO 400 '!$L$9*J485+'CAFCO 400 '!$L$10)*U485^2)+(('CAFCO 400 '!$L$11*(J485^3)+'CAFCO 400 '!$L$12*(J485^2)+'CAFCO 400 '!$L$13*J485+'CAFCO 400 '!$L$14)*U485)+('CAFCO 400 '!$L$15*LN(J485)+'CAFCO 400 '!$L$16)),0)+IF(AND(L485="Cafco 400",M485="Software Idiem",C485="L"),((('CAFCO 400 '!$L$7*(J485^3)+'CAFCO 400 '!$L$8*(J485^2)+'CAFCO 400 '!$L$9*J485+'CAFCO 400 '!$L$10)*U485^2)+(('CAFCO 400 '!$L$11*(J485^3)+'CAFCO 400 '!$L$12*(J485^2)+'CAFCO 400 '!$L$13*J485+'CAFCO 400 '!$L$14)*U485)+('CAFCO 400 '!$L$15*LN(J485)+'CAFCO 400 '!$L$16)),0)+IF(AND(L485="Cafco 400",M485="Software Idiem",C485="IN",G485=3),((('CAFCO 400 '!$D$23*(J485^2)+'CAFCO 400 '!$D$24*(J485)+'CAFCO 400 '!$D$25)*U485^2)+(('CAFCO 400 '!$D$26*(J485^2)+'CAFCO 400 '!$D$27*J485+'CAFCO 400 '!$D$28)*U485)+('CAFCO 400 '!$D$29*(J485^2)+'CAFCO 400 '!$D$30*J485+'CAFCO 400 '!$D$31)),0),0)+IF(AND(L485="Cafco 300",J485&gt;=95,J485&lt;=240,C485="Cj",I485=90),VLOOKUP(T485,'CAFCO 300 IDIEM TABLAS'!$B$4:$D$23,2,FALSE),0)+IF(AND(L485="Cafco 300",J485&gt;=95,J485&lt;=240,C485="Cj",I485=120),VLOOKUP(T485,'CAFCO 300 IDIEM TABLAS'!$B$4:$D$23,3,FALSE),0)+IF(AND(L485="Cafco 300",J485&gt;=95,J485&lt;=400,G485=3,C485="IN",I485=90),VLOOKUP(T485,'CAFCO 300 IDIEM TABLAS'!$F$4:$H$35,2,FALSE),0)+IF(AND(L485="Cafco 300",J485&gt;=95,J485&lt;=400,G485=3,C485="IN",I485=120),VLOOKUP(T485,'CAFCO 300 IDIEM TABLAS'!$F$4:$H$35,3,FALSE),0)+IF(AND(L485="Cafco 300",J485&gt;=95,J485&lt;=450,G485=4,C485="IN",I485=90),VLOOKUP(T485,'CAFCO 300 IDIEM TABLAS'!$J$4:$L$40,2,FALSE),0)+IF(AND(L485="Cafco 300",J485&gt;=95,J485&lt;=450,G485=4,C485="IN",I485=120),VLOOKUP(T485,'CAFCO 300 IDIEM TABLAS'!$J$4:$L$40,3,FALSE),0)+IF(AND(M485="Ensayo Idiem",L485="Cafco 400",C485="IN",G485=4,I485=90),VLOOKUP(T485,'CAFCO 400 ENSAYO'!$B$7:$D$43,2,FALSE),0)+IF(AND(M485="Ensayo Idiem",L485="Cafco 400",C485="IN",G485=4,I485=120),VLOOKUP(T485,'CAFCO 400 ENSAYO'!$B$7:$D$43,3,FALSE),0)</f>
        <v>0</v>
      </c>
      <c r="O485" s="96">
        <f t="shared" si="54"/>
        <v>0</v>
      </c>
      <c r="P485" s="132" t="str">
        <f t="shared" si="49"/>
        <v>N/A</v>
      </c>
      <c r="Q485" s="132" t="str">
        <f t="shared" si="50"/>
        <v>N/A</v>
      </c>
      <c r="R485" s="132" t="str">
        <f t="shared" si="51"/>
        <v>NO CERT.</v>
      </c>
      <c r="S485" s="132" t="e">
        <f t="shared" si="52"/>
        <v>#N/A</v>
      </c>
      <c r="T485" s="133" t="e">
        <f>+IF(J485=LOOKUP(J485,'CAFCO 300 IDIEM TABLAS'!$J$4:$J$40),'CALCULO MORTERO'!J485,MROUND('CALCULO MORTERO'!J485,10))</f>
        <v>#N/A</v>
      </c>
      <c r="U485" s="134">
        <f t="shared" si="53"/>
        <v>0</v>
      </c>
      <c r="Y485" s="4"/>
      <c r="Z485" s="4"/>
      <c r="AA485" s="4"/>
    </row>
    <row r="486" spans="1:27" x14ac:dyDescent="0.25">
      <c r="A486" s="118">
        <f>+CUBICACION!D480</f>
        <v>0</v>
      </c>
      <c r="B486" s="819">
        <f>+CUBICACION!E480</f>
        <v>0</v>
      </c>
      <c r="C486" s="675">
        <f>+CUBICACION!F480</f>
        <v>0</v>
      </c>
      <c r="D486" s="118"/>
      <c r="E486" s="118"/>
      <c r="F486" s="820"/>
      <c r="G486" s="675">
        <f>+CUBICACION!J480</f>
        <v>0</v>
      </c>
      <c r="H486" s="118"/>
      <c r="I486" s="821">
        <f>+CUBICACION!L480</f>
        <v>0</v>
      </c>
      <c r="J486" s="64">
        <f>+CUBICACION!M480</f>
        <v>0</v>
      </c>
      <c r="K486" s="822" t="str">
        <f>+CUBICACION!N480</f>
        <v/>
      </c>
      <c r="L486" s="118">
        <f>+CUBICACION!O480</f>
        <v>0</v>
      </c>
      <c r="M486" s="823">
        <f>+CUBICACION!P480</f>
        <v>0</v>
      </c>
      <c r="N486" s="902">
        <f>ROUND(IF(AND(L486="Blaze Shield II",M486="Software Idiem",C486="IN",G486=4),((('BLAZE SHIELD II'!$D$4*('CALCULO MORTERO'!I486^2)+'BLAZE SHIELD II'!$D$5*'CALCULO MORTERO'!I486+'BLAZE SHIELD II'!$D$6)*LN(J486))+('BLAZE SHIELD II'!$D$7*('CALCULO MORTERO'!I486^2)+'BLAZE SHIELD II'!$D$8*'CALCULO MORTERO'!I486+'BLAZE SHIELD II'!$D$9)),0)+IF(AND(L486="Blaze Shield II",M486="Software Idiem",C486="Cj"),((('BLAZE SHIELD II'!$H$4*('CALCULO MORTERO'!I486^2)+'BLAZE SHIELD II'!$H$5*'CALCULO MORTERO'!I486+'BLAZE SHIELD II'!$H$6)*LN(J486))+('BLAZE SHIELD II'!$H$7*('CALCULO MORTERO'!I486^2)+'BLAZE SHIELD II'!$H$8*'CALCULO MORTERO'!I486+'BLAZE SHIELD II'!$H$9)),0)+IF(AND(L486="Blaze Shield II",M486="Software Idiem",C486="C"),((('BLAZE SHIELD II'!$L$4*('CALCULO MORTERO'!I486^2)+'BLAZE SHIELD II'!$L$5*'CALCULO MORTERO'!I486+'BLAZE SHIELD II'!$L$6)*LN(J486))+('BLAZE SHIELD II'!$L$7*('CALCULO MORTERO'!I486^2)+'BLAZE SHIELD II'!$L$8*'CALCULO MORTERO'!I486+'BLAZE SHIELD II'!$L$9)),0)+IF(AND(L486="Blaze Shield II",M486="Software Idiem",C486="L"),((('BLAZE SHIELD II'!$L$4*('CALCULO MORTERO'!I486^2)+'BLAZE SHIELD II'!$L$5*'CALCULO MORTERO'!I486+'BLAZE SHIELD II'!$L$6)*LN(J486))+('BLAZE SHIELD II'!$L$7*('CALCULO MORTERO'!I486^2)+'BLAZE SHIELD II'!$L$8*'CALCULO MORTERO'!I486+'BLAZE SHIELD II'!$L$9)),0)+IF(AND(L486="Blaze Shield II",M486="Software Idiem",C486="IN",G486=3),((('BLAZE SHIELD II'!$H$14*('CALCULO MORTERO'!I486^2)+'BLAZE SHIELD II'!$H$15*'CALCULO MORTERO'!I486+'BLAZE SHIELD II'!$H$16)*LN(J486))+('BLAZE SHIELD II'!$H$17*('CALCULO MORTERO'!I486^2)+'BLAZE SHIELD II'!$H$18*'CALCULO MORTERO'!I486+'BLAZE SHIELD II'!$H$19)),0),0)+ROUND(IF(AND(L486="Cafco 400",M486="Software Idiem",C486="IN",G486=4),((('CAFCO 400 '!$H$7*(J486^4)+'CAFCO 400 '!$H$8*(J486^3)+'CAFCO 400 '!$H$9*(J486^2)+'CAFCO 400 '!$H$10*J486+'CAFCO 400 '!$H$11)*U486^2)+(('CAFCO 400 '!$H$12*(J486^3)+'CAFCO 400 '!$H$13*(J486^2)+'CAFCO 400 '!$H$14*J486+'CAFCO 400 '!$H$15)*U486)+('CAFCO 400 '!$H$16*(J486^2)+'CAFCO 400 '!$H$17*J486+'CAFCO 400 '!$H$18)),0)+IF(AND(L486="Cafco 400",M486="Software Idiem",C486="Cj"),(((('CAFCO 400 '!$D$7*LN(J486)+'CAFCO 400 '!$D$8)*U486^2)+(('CAFCO 400 '!$D$9*LN(J486)+'CAFCO 400 '!$D$10)*U486)+('CAFCO 400 '!$D$11*LN(J486)+'CAFCO 400 '!$D$12))),0)+IF(AND(L486="Cafco 400",M486="Software Idiem",C486="C"),((('CAFCO 400 '!$L$7*(J486^3)+'CAFCO 400 '!$L$8*(J486^2)+'CAFCO 400 '!$L$9*J486+'CAFCO 400 '!$L$10)*U486^2)+(('CAFCO 400 '!$L$11*(J486^3)+'CAFCO 400 '!$L$12*(J486^2)+'CAFCO 400 '!$L$13*J486+'CAFCO 400 '!$L$14)*U486)+('CAFCO 400 '!$L$15*LN(J486)+'CAFCO 400 '!$L$16)),0)+IF(AND(L486="Cafco 400",M486="Software Idiem",C486="L"),((('CAFCO 400 '!$L$7*(J486^3)+'CAFCO 400 '!$L$8*(J486^2)+'CAFCO 400 '!$L$9*J486+'CAFCO 400 '!$L$10)*U486^2)+(('CAFCO 400 '!$L$11*(J486^3)+'CAFCO 400 '!$L$12*(J486^2)+'CAFCO 400 '!$L$13*J486+'CAFCO 400 '!$L$14)*U486)+('CAFCO 400 '!$L$15*LN(J486)+'CAFCO 400 '!$L$16)),0)+IF(AND(L486="Cafco 400",M486="Software Idiem",C486="IN",G486=3),((('CAFCO 400 '!$D$23*(J486^2)+'CAFCO 400 '!$D$24*(J486)+'CAFCO 400 '!$D$25)*U486^2)+(('CAFCO 400 '!$D$26*(J486^2)+'CAFCO 400 '!$D$27*J486+'CAFCO 400 '!$D$28)*U486)+('CAFCO 400 '!$D$29*(J486^2)+'CAFCO 400 '!$D$30*J486+'CAFCO 400 '!$D$31)),0),0)+IF(AND(L486="Cafco 300",J486&gt;=95,J486&lt;=240,C486="Cj",I486=90),VLOOKUP(T486,'CAFCO 300 IDIEM TABLAS'!$B$4:$D$23,2,FALSE),0)+IF(AND(L486="Cafco 300",J486&gt;=95,J486&lt;=240,C486="Cj",I486=120),VLOOKUP(T486,'CAFCO 300 IDIEM TABLAS'!$B$4:$D$23,3,FALSE),0)+IF(AND(L486="Cafco 300",J486&gt;=95,J486&lt;=400,G486=3,C486="IN",I486=90),VLOOKUP(T486,'CAFCO 300 IDIEM TABLAS'!$F$4:$H$35,2,FALSE),0)+IF(AND(L486="Cafco 300",J486&gt;=95,J486&lt;=400,G486=3,C486="IN",I486=120),VLOOKUP(T486,'CAFCO 300 IDIEM TABLAS'!$F$4:$H$35,3,FALSE),0)+IF(AND(L486="Cafco 300",J486&gt;=95,J486&lt;=450,G486=4,C486="IN",I486=90),VLOOKUP(T486,'CAFCO 300 IDIEM TABLAS'!$J$4:$L$40,2,FALSE),0)+IF(AND(L486="Cafco 300",J486&gt;=95,J486&lt;=450,G486=4,C486="IN",I486=120),VLOOKUP(T486,'CAFCO 300 IDIEM TABLAS'!$J$4:$L$40,3,FALSE),0)+IF(AND(M486="Ensayo Idiem",L486="Cafco 400",C486="IN",G486=4,I486=90),VLOOKUP(T486,'CAFCO 400 ENSAYO'!$B$7:$D$43,2,FALSE),0)+IF(AND(M486="Ensayo Idiem",L486="Cafco 400",C486="IN",G486=4,I486=120),VLOOKUP(T486,'CAFCO 400 ENSAYO'!$B$7:$D$43,3,FALSE),0)</f>
        <v>0</v>
      </c>
      <c r="O486" s="96">
        <f t="shared" si="54"/>
        <v>0</v>
      </c>
      <c r="P486" s="95" t="str">
        <f t="shared" si="49"/>
        <v>N/A</v>
      </c>
      <c r="Q486" s="95" t="str">
        <f t="shared" si="50"/>
        <v>N/A</v>
      </c>
      <c r="R486" s="95" t="str">
        <f t="shared" si="51"/>
        <v>NO CERT.</v>
      </c>
      <c r="S486" s="95" t="e">
        <f t="shared" si="52"/>
        <v>#N/A</v>
      </c>
      <c r="T486" s="119" t="e">
        <f>+IF(J486=LOOKUP(J486,'CAFCO 300 IDIEM TABLAS'!$J$4:$J$40),'CALCULO MORTERO'!J486,MROUND('CALCULO MORTERO'!J486,10))</f>
        <v>#N/A</v>
      </c>
      <c r="U486" s="118">
        <f t="shared" si="53"/>
        <v>0</v>
      </c>
      <c r="Y486" s="4"/>
      <c r="Z486" s="4"/>
      <c r="AA486" s="4"/>
    </row>
    <row r="487" spans="1:27" x14ac:dyDescent="0.25">
      <c r="A487" s="118">
        <f>+CUBICACION!D481</f>
        <v>0</v>
      </c>
      <c r="B487" s="819">
        <f>+CUBICACION!E481</f>
        <v>0</v>
      </c>
      <c r="C487" s="675">
        <f>+CUBICACION!F481</f>
        <v>0</v>
      </c>
      <c r="D487" s="118"/>
      <c r="E487" s="118"/>
      <c r="F487" s="820"/>
      <c r="G487" s="675">
        <f>+CUBICACION!J481</f>
        <v>0</v>
      </c>
      <c r="H487" s="118"/>
      <c r="I487" s="821">
        <f>+CUBICACION!L481</f>
        <v>0</v>
      </c>
      <c r="J487" s="64">
        <f>+CUBICACION!M481</f>
        <v>0</v>
      </c>
      <c r="K487" s="822" t="str">
        <f>+CUBICACION!N481</f>
        <v/>
      </c>
      <c r="L487" s="118">
        <f>+CUBICACION!O481</f>
        <v>0</v>
      </c>
      <c r="M487" s="823">
        <f>+CUBICACION!P481</f>
        <v>0</v>
      </c>
      <c r="N487" s="902">
        <f>ROUND(IF(AND(L487="Blaze Shield II",M487="Software Idiem",C487="IN",G487=4),((('BLAZE SHIELD II'!$D$4*('CALCULO MORTERO'!I487^2)+'BLAZE SHIELD II'!$D$5*'CALCULO MORTERO'!I487+'BLAZE SHIELD II'!$D$6)*LN(J487))+('BLAZE SHIELD II'!$D$7*('CALCULO MORTERO'!I487^2)+'BLAZE SHIELD II'!$D$8*'CALCULO MORTERO'!I487+'BLAZE SHIELD II'!$D$9)),0)+IF(AND(L487="Blaze Shield II",M487="Software Idiem",C487="Cj"),((('BLAZE SHIELD II'!$H$4*('CALCULO MORTERO'!I487^2)+'BLAZE SHIELD II'!$H$5*'CALCULO MORTERO'!I487+'BLAZE SHIELD II'!$H$6)*LN(J487))+('BLAZE SHIELD II'!$H$7*('CALCULO MORTERO'!I487^2)+'BLAZE SHIELD II'!$H$8*'CALCULO MORTERO'!I487+'BLAZE SHIELD II'!$H$9)),0)+IF(AND(L487="Blaze Shield II",M487="Software Idiem",C487="C"),((('BLAZE SHIELD II'!$L$4*('CALCULO MORTERO'!I487^2)+'BLAZE SHIELD II'!$L$5*'CALCULO MORTERO'!I487+'BLAZE SHIELD II'!$L$6)*LN(J487))+('BLAZE SHIELD II'!$L$7*('CALCULO MORTERO'!I487^2)+'BLAZE SHIELD II'!$L$8*'CALCULO MORTERO'!I487+'BLAZE SHIELD II'!$L$9)),0)+IF(AND(L487="Blaze Shield II",M487="Software Idiem",C487="L"),((('BLAZE SHIELD II'!$L$4*('CALCULO MORTERO'!I487^2)+'BLAZE SHIELD II'!$L$5*'CALCULO MORTERO'!I487+'BLAZE SHIELD II'!$L$6)*LN(J487))+('BLAZE SHIELD II'!$L$7*('CALCULO MORTERO'!I487^2)+'BLAZE SHIELD II'!$L$8*'CALCULO MORTERO'!I487+'BLAZE SHIELD II'!$L$9)),0)+IF(AND(L487="Blaze Shield II",M487="Software Idiem",C487="IN",G487=3),((('BLAZE SHIELD II'!$H$14*('CALCULO MORTERO'!I487^2)+'BLAZE SHIELD II'!$H$15*'CALCULO MORTERO'!I487+'BLAZE SHIELD II'!$H$16)*LN(J487))+('BLAZE SHIELD II'!$H$17*('CALCULO MORTERO'!I487^2)+'BLAZE SHIELD II'!$H$18*'CALCULO MORTERO'!I487+'BLAZE SHIELD II'!$H$19)),0),0)+ROUND(IF(AND(L487="Cafco 400",M487="Software Idiem",C487="IN",G487=4),((('CAFCO 400 '!$H$7*(J487^4)+'CAFCO 400 '!$H$8*(J487^3)+'CAFCO 400 '!$H$9*(J487^2)+'CAFCO 400 '!$H$10*J487+'CAFCO 400 '!$H$11)*U487^2)+(('CAFCO 400 '!$H$12*(J487^3)+'CAFCO 400 '!$H$13*(J487^2)+'CAFCO 400 '!$H$14*J487+'CAFCO 400 '!$H$15)*U487)+('CAFCO 400 '!$H$16*(J487^2)+'CAFCO 400 '!$H$17*J487+'CAFCO 400 '!$H$18)),0)+IF(AND(L487="Cafco 400",M487="Software Idiem",C487="Cj"),(((('CAFCO 400 '!$D$7*LN(J487)+'CAFCO 400 '!$D$8)*U487^2)+(('CAFCO 400 '!$D$9*LN(J487)+'CAFCO 400 '!$D$10)*U487)+('CAFCO 400 '!$D$11*LN(J487)+'CAFCO 400 '!$D$12))),0)+IF(AND(L487="Cafco 400",M487="Software Idiem",C487="C"),((('CAFCO 400 '!$L$7*(J487^3)+'CAFCO 400 '!$L$8*(J487^2)+'CAFCO 400 '!$L$9*J487+'CAFCO 400 '!$L$10)*U487^2)+(('CAFCO 400 '!$L$11*(J487^3)+'CAFCO 400 '!$L$12*(J487^2)+'CAFCO 400 '!$L$13*J487+'CAFCO 400 '!$L$14)*U487)+('CAFCO 400 '!$L$15*LN(J487)+'CAFCO 400 '!$L$16)),0)+IF(AND(L487="Cafco 400",M487="Software Idiem",C487="L"),((('CAFCO 400 '!$L$7*(J487^3)+'CAFCO 400 '!$L$8*(J487^2)+'CAFCO 400 '!$L$9*J487+'CAFCO 400 '!$L$10)*U487^2)+(('CAFCO 400 '!$L$11*(J487^3)+'CAFCO 400 '!$L$12*(J487^2)+'CAFCO 400 '!$L$13*J487+'CAFCO 400 '!$L$14)*U487)+('CAFCO 400 '!$L$15*LN(J487)+'CAFCO 400 '!$L$16)),0)+IF(AND(L487="Cafco 400",M487="Software Idiem",C487="IN",G487=3),((('CAFCO 400 '!$D$23*(J487^2)+'CAFCO 400 '!$D$24*(J487)+'CAFCO 400 '!$D$25)*U487^2)+(('CAFCO 400 '!$D$26*(J487^2)+'CAFCO 400 '!$D$27*J487+'CAFCO 400 '!$D$28)*U487)+('CAFCO 400 '!$D$29*(J487^2)+'CAFCO 400 '!$D$30*J487+'CAFCO 400 '!$D$31)),0),0)+IF(AND(L487="Cafco 300",J487&gt;=95,J487&lt;=240,C487="Cj",I487=90),VLOOKUP(T487,'CAFCO 300 IDIEM TABLAS'!$B$4:$D$23,2,FALSE),0)+IF(AND(L487="Cafco 300",J487&gt;=95,J487&lt;=240,C487="Cj",I487=120),VLOOKUP(T487,'CAFCO 300 IDIEM TABLAS'!$B$4:$D$23,3,FALSE),0)+IF(AND(L487="Cafco 300",J487&gt;=95,J487&lt;=400,G487=3,C487="IN",I487=90),VLOOKUP(T487,'CAFCO 300 IDIEM TABLAS'!$F$4:$H$35,2,FALSE),0)+IF(AND(L487="Cafco 300",J487&gt;=95,J487&lt;=400,G487=3,C487="IN",I487=120),VLOOKUP(T487,'CAFCO 300 IDIEM TABLAS'!$F$4:$H$35,3,FALSE),0)+IF(AND(L487="Cafco 300",J487&gt;=95,J487&lt;=450,G487=4,C487="IN",I487=90),VLOOKUP(T487,'CAFCO 300 IDIEM TABLAS'!$J$4:$L$40,2,FALSE),0)+IF(AND(L487="Cafco 300",J487&gt;=95,J487&lt;=450,G487=4,C487="IN",I487=120),VLOOKUP(T487,'CAFCO 300 IDIEM TABLAS'!$J$4:$L$40,3,FALSE),0)+IF(AND(M487="Ensayo Idiem",L487="Cafco 400",C487="IN",G487=4,I487=90),VLOOKUP(T487,'CAFCO 400 ENSAYO'!$B$7:$D$43,2,FALSE),0)+IF(AND(M487="Ensayo Idiem",L487="Cafco 400",C487="IN",G487=4,I487=120),VLOOKUP(T487,'CAFCO 400 ENSAYO'!$B$7:$D$43,3,FALSE),0)</f>
        <v>0</v>
      </c>
      <c r="O487" s="96">
        <f t="shared" si="54"/>
        <v>0</v>
      </c>
      <c r="P487" s="132" t="str">
        <f t="shared" si="49"/>
        <v>N/A</v>
      </c>
      <c r="Q487" s="132" t="str">
        <f t="shared" si="50"/>
        <v>N/A</v>
      </c>
      <c r="R487" s="132" t="str">
        <f t="shared" si="51"/>
        <v>NO CERT.</v>
      </c>
      <c r="S487" s="132" t="e">
        <f t="shared" si="52"/>
        <v>#N/A</v>
      </c>
      <c r="T487" s="133" t="e">
        <f>+IF(J487=LOOKUP(J487,'CAFCO 300 IDIEM TABLAS'!$J$4:$J$40),'CALCULO MORTERO'!J487,MROUND('CALCULO MORTERO'!J487,10))</f>
        <v>#N/A</v>
      </c>
      <c r="U487" s="134">
        <f t="shared" si="53"/>
        <v>0</v>
      </c>
      <c r="Y487" s="4"/>
      <c r="Z487" s="4"/>
      <c r="AA487" s="4"/>
    </row>
    <row r="488" spans="1:27" x14ac:dyDescent="0.25">
      <c r="A488" s="118">
        <f>+CUBICACION!D482</f>
        <v>0</v>
      </c>
      <c r="B488" s="819">
        <f>+CUBICACION!E482</f>
        <v>0</v>
      </c>
      <c r="C488" s="675">
        <f>+CUBICACION!F482</f>
        <v>0</v>
      </c>
      <c r="D488" s="118"/>
      <c r="E488" s="118"/>
      <c r="F488" s="820"/>
      <c r="G488" s="675">
        <f>+CUBICACION!J482</f>
        <v>0</v>
      </c>
      <c r="H488" s="118"/>
      <c r="I488" s="821">
        <f>+CUBICACION!L482</f>
        <v>0</v>
      </c>
      <c r="J488" s="64">
        <f>+CUBICACION!M482</f>
        <v>0</v>
      </c>
      <c r="K488" s="822" t="str">
        <f>+CUBICACION!N482</f>
        <v/>
      </c>
      <c r="L488" s="118">
        <f>+CUBICACION!O482</f>
        <v>0</v>
      </c>
      <c r="M488" s="823">
        <f>+CUBICACION!P482</f>
        <v>0</v>
      </c>
      <c r="N488" s="902">
        <f>ROUND(IF(AND(L488="Blaze Shield II",M488="Software Idiem",C488="IN",G488=4),((('BLAZE SHIELD II'!$D$4*('CALCULO MORTERO'!I488^2)+'BLAZE SHIELD II'!$D$5*'CALCULO MORTERO'!I488+'BLAZE SHIELD II'!$D$6)*LN(J488))+('BLAZE SHIELD II'!$D$7*('CALCULO MORTERO'!I488^2)+'BLAZE SHIELD II'!$D$8*'CALCULO MORTERO'!I488+'BLAZE SHIELD II'!$D$9)),0)+IF(AND(L488="Blaze Shield II",M488="Software Idiem",C488="Cj"),((('BLAZE SHIELD II'!$H$4*('CALCULO MORTERO'!I488^2)+'BLAZE SHIELD II'!$H$5*'CALCULO MORTERO'!I488+'BLAZE SHIELD II'!$H$6)*LN(J488))+('BLAZE SHIELD II'!$H$7*('CALCULO MORTERO'!I488^2)+'BLAZE SHIELD II'!$H$8*'CALCULO MORTERO'!I488+'BLAZE SHIELD II'!$H$9)),0)+IF(AND(L488="Blaze Shield II",M488="Software Idiem",C488="C"),((('BLAZE SHIELD II'!$L$4*('CALCULO MORTERO'!I488^2)+'BLAZE SHIELD II'!$L$5*'CALCULO MORTERO'!I488+'BLAZE SHIELD II'!$L$6)*LN(J488))+('BLAZE SHIELD II'!$L$7*('CALCULO MORTERO'!I488^2)+'BLAZE SHIELD II'!$L$8*'CALCULO MORTERO'!I488+'BLAZE SHIELD II'!$L$9)),0)+IF(AND(L488="Blaze Shield II",M488="Software Idiem",C488="L"),((('BLAZE SHIELD II'!$L$4*('CALCULO MORTERO'!I488^2)+'BLAZE SHIELD II'!$L$5*'CALCULO MORTERO'!I488+'BLAZE SHIELD II'!$L$6)*LN(J488))+('BLAZE SHIELD II'!$L$7*('CALCULO MORTERO'!I488^2)+'BLAZE SHIELD II'!$L$8*'CALCULO MORTERO'!I488+'BLAZE SHIELD II'!$L$9)),0)+IF(AND(L488="Blaze Shield II",M488="Software Idiem",C488="IN",G488=3),((('BLAZE SHIELD II'!$H$14*('CALCULO MORTERO'!I488^2)+'BLAZE SHIELD II'!$H$15*'CALCULO MORTERO'!I488+'BLAZE SHIELD II'!$H$16)*LN(J488))+('BLAZE SHIELD II'!$H$17*('CALCULO MORTERO'!I488^2)+'BLAZE SHIELD II'!$H$18*'CALCULO MORTERO'!I488+'BLAZE SHIELD II'!$H$19)),0),0)+ROUND(IF(AND(L488="Cafco 400",M488="Software Idiem",C488="IN",G488=4),((('CAFCO 400 '!$H$7*(J488^4)+'CAFCO 400 '!$H$8*(J488^3)+'CAFCO 400 '!$H$9*(J488^2)+'CAFCO 400 '!$H$10*J488+'CAFCO 400 '!$H$11)*U488^2)+(('CAFCO 400 '!$H$12*(J488^3)+'CAFCO 400 '!$H$13*(J488^2)+'CAFCO 400 '!$H$14*J488+'CAFCO 400 '!$H$15)*U488)+('CAFCO 400 '!$H$16*(J488^2)+'CAFCO 400 '!$H$17*J488+'CAFCO 400 '!$H$18)),0)+IF(AND(L488="Cafco 400",M488="Software Idiem",C488="Cj"),(((('CAFCO 400 '!$D$7*LN(J488)+'CAFCO 400 '!$D$8)*U488^2)+(('CAFCO 400 '!$D$9*LN(J488)+'CAFCO 400 '!$D$10)*U488)+('CAFCO 400 '!$D$11*LN(J488)+'CAFCO 400 '!$D$12))),0)+IF(AND(L488="Cafco 400",M488="Software Idiem",C488="C"),((('CAFCO 400 '!$L$7*(J488^3)+'CAFCO 400 '!$L$8*(J488^2)+'CAFCO 400 '!$L$9*J488+'CAFCO 400 '!$L$10)*U488^2)+(('CAFCO 400 '!$L$11*(J488^3)+'CAFCO 400 '!$L$12*(J488^2)+'CAFCO 400 '!$L$13*J488+'CAFCO 400 '!$L$14)*U488)+('CAFCO 400 '!$L$15*LN(J488)+'CAFCO 400 '!$L$16)),0)+IF(AND(L488="Cafco 400",M488="Software Idiem",C488="L"),((('CAFCO 400 '!$L$7*(J488^3)+'CAFCO 400 '!$L$8*(J488^2)+'CAFCO 400 '!$L$9*J488+'CAFCO 400 '!$L$10)*U488^2)+(('CAFCO 400 '!$L$11*(J488^3)+'CAFCO 400 '!$L$12*(J488^2)+'CAFCO 400 '!$L$13*J488+'CAFCO 400 '!$L$14)*U488)+('CAFCO 400 '!$L$15*LN(J488)+'CAFCO 400 '!$L$16)),0)+IF(AND(L488="Cafco 400",M488="Software Idiem",C488="IN",G488=3),((('CAFCO 400 '!$D$23*(J488^2)+'CAFCO 400 '!$D$24*(J488)+'CAFCO 400 '!$D$25)*U488^2)+(('CAFCO 400 '!$D$26*(J488^2)+'CAFCO 400 '!$D$27*J488+'CAFCO 400 '!$D$28)*U488)+('CAFCO 400 '!$D$29*(J488^2)+'CAFCO 400 '!$D$30*J488+'CAFCO 400 '!$D$31)),0),0)+IF(AND(L488="Cafco 300",J488&gt;=95,J488&lt;=240,C488="Cj",I488=90),VLOOKUP(T488,'CAFCO 300 IDIEM TABLAS'!$B$4:$D$23,2,FALSE),0)+IF(AND(L488="Cafco 300",J488&gt;=95,J488&lt;=240,C488="Cj",I488=120),VLOOKUP(T488,'CAFCO 300 IDIEM TABLAS'!$B$4:$D$23,3,FALSE),0)+IF(AND(L488="Cafco 300",J488&gt;=95,J488&lt;=400,G488=3,C488="IN",I488=90),VLOOKUP(T488,'CAFCO 300 IDIEM TABLAS'!$F$4:$H$35,2,FALSE),0)+IF(AND(L488="Cafco 300",J488&gt;=95,J488&lt;=400,G488=3,C488="IN",I488=120),VLOOKUP(T488,'CAFCO 300 IDIEM TABLAS'!$F$4:$H$35,3,FALSE),0)+IF(AND(L488="Cafco 300",J488&gt;=95,J488&lt;=450,G488=4,C488="IN",I488=90),VLOOKUP(T488,'CAFCO 300 IDIEM TABLAS'!$J$4:$L$40,2,FALSE),0)+IF(AND(L488="Cafco 300",J488&gt;=95,J488&lt;=450,G488=4,C488="IN",I488=120),VLOOKUP(T488,'CAFCO 300 IDIEM TABLAS'!$J$4:$L$40,3,FALSE),0)+IF(AND(M488="Ensayo Idiem",L488="Cafco 400",C488="IN",G488=4,I488=90),VLOOKUP(T488,'CAFCO 400 ENSAYO'!$B$7:$D$43,2,FALSE),0)+IF(AND(M488="Ensayo Idiem",L488="Cafco 400",C488="IN",G488=4,I488=120),VLOOKUP(T488,'CAFCO 400 ENSAYO'!$B$7:$D$43,3,FALSE),0)</f>
        <v>0</v>
      </c>
      <c r="O488" s="96">
        <f t="shared" si="54"/>
        <v>0</v>
      </c>
      <c r="P488" s="95" t="str">
        <f t="shared" si="49"/>
        <v>N/A</v>
      </c>
      <c r="Q488" s="95" t="str">
        <f t="shared" si="50"/>
        <v>N/A</v>
      </c>
      <c r="R488" s="95" t="str">
        <f t="shared" si="51"/>
        <v>NO CERT.</v>
      </c>
      <c r="S488" s="95" t="e">
        <f t="shared" si="52"/>
        <v>#N/A</v>
      </c>
      <c r="T488" s="119" t="e">
        <f>+IF(J488=LOOKUP(J488,'CAFCO 300 IDIEM TABLAS'!$J$4:$J$40),'CALCULO MORTERO'!J488,MROUND('CALCULO MORTERO'!J488,10))</f>
        <v>#N/A</v>
      </c>
      <c r="U488" s="118">
        <f t="shared" si="53"/>
        <v>0</v>
      </c>
      <c r="Y488" s="4"/>
      <c r="Z488" s="4"/>
      <c r="AA488" s="4"/>
    </row>
    <row r="489" spans="1:27" x14ac:dyDescent="0.25">
      <c r="A489" s="118">
        <f>+CUBICACION!D483</f>
        <v>0</v>
      </c>
      <c r="B489" s="819">
        <f>+CUBICACION!E483</f>
        <v>0</v>
      </c>
      <c r="C489" s="675">
        <f>+CUBICACION!F483</f>
        <v>0</v>
      </c>
      <c r="D489" s="118"/>
      <c r="E489" s="118"/>
      <c r="F489" s="820"/>
      <c r="G489" s="675">
        <f>+CUBICACION!J483</f>
        <v>0</v>
      </c>
      <c r="H489" s="118"/>
      <c r="I489" s="821">
        <f>+CUBICACION!L483</f>
        <v>0</v>
      </c>
      <c r="J489" s="64">
        <f>+CUBICACION!M483</f>
        <v>0</v>
      </c>
      <c r="K489" s="822" t="str">
        <f>+CUBICACION!N483</f>
        <v/>
      </c>
      <c r="L489" s="118">
        <f>+CUBICACION!O483</f>
        <v>0</v>
      </c>
      <c r="M489" s="823">
        <f>+CUBICACION!P483</f>
        <v>0</v>
      </c>
      <c r="N489" s="902">
        <f>ROUND(IF(AND(L489="Blaze Shield II",M489="Software Idiem",C489="IN",G489=4),((('BLAZE SHIELD II'!$D$4*('CALCULO MORTERO'!I489^2)+'BLAZE SHIELD II'!$D$5*'CALCULO MORTERO'!I489+'BLAZE SHIELD II'!$D$6)*LN(J489))+('BLAZE SHIELD II'!$D$7*('CALCULO MORTERO'!I489^2)+'BLAZE SHIELD II'!$D$8*'CALCULO MORTERO'!I489+'BLAZE SHIELD II'!$D$9)),0)+IF(AND(L489="Blaze Shield II",M489="Software Idiem",C489="Cj"),((('BLAZE SHIELD II'!$H$4*('CALCULO MORTERO'!I489^2)+'BLAZE SHIELD II'!$H$5*'CALCULO MORTERO'!I489+'BLAZE SHIELD II'!$H$6)*LN(J489))+('BLAZE SHIELD II'!$H$7*('CALCULO MORTERO'!I489^2)+'BLAZE SHIELD II'!$H$8*'CALCULO MORTERO'!I489+'BLAZE SHIELD II'!$H$9)),0)+IF(AND(L489="Blaze Shield II",M489="Software Idiem",C489="C"),((('BLAZE SHIELD II'!$L$4*('CALCULO MORTERO'!I489^2)+'BLAZE SHIELD II'!$L$5*'CALCULO MORTERO'!I489+'BLAZE SHIELD II'!$L$6)*LN(J489))+('BLAZE SHIELD II'!$L$7*('CALCULO MORTERO'!I489^2)+'BLAZE SHIELD II'!$L$8*'CALCULO MORTERO'!I489+'BLAZE SHIELD II'!$L$9)),0)+IF(AND(L489="Blaze Shield II",M489="Software Idiem",C489="L"),((('BLAZE SHIELD II'!$L$4*('CALCULO MORTERO'!I489^2)+'BLAZE SHIELD II'!$L$5*'CALCULO MORTERO'!I489+'BLAZE SHIELD II'!$L$6)*LN(J489))+('BLAZE SHIELD II'!$L$7*('CALCULO MORTERO'!I489^2)+'BLAZE SHIELD II'!$L$8*'CALCULO MORTERO'!I489+'BLAZE SHIELD II'!$L$9)),0)+IF(AND(L489="Blaze Shield II",M489="Software Idiem",C489="IN",G489=3),((('BLAZE SHIELD II'!$H$14*('CALCULO MORTERO'!I489^2)+'BLAZE SHIELD II'!$H$15*'CALCULO MORTERO'!I489+'BLAZE SHIELD II'!$H$16)*LN(J489))+('BLAZE SHIELD II'!$H$17*('CALCULO MORTERO'!I489^2)+'BLAZE SHIELD II'!$H$18*'CALCULO MORTERO'!I489+'BLAZE SHIELD II'!$H$19)),0),0)+ROUND(IF(AND(L489="Cafco 400",M489="Software Idiem",C489="IN",G489=4),((('CAFCO 400 '!$H$7*(J489^4)+'CAFCO 400 '!$H$8*(J489^3)+'CAFCO 400 '!$H$9*(J489^2)+'CAFCO 400 '!$H$10*J489+'CAFCO 400 '!$H$11)*U489^2)+(('CAFCO 400 '!$H$12*(J489^3)+'CAFCO 400 '!$H$13*(J489^2)+'CAFCO 400 '!$H$14*J489+'CAFCO 400 '!$H$15)*U489)+('CAFCO 400 '!$H$16*(J489^2)+'CAFCO 400 '!$H$17*J489+'CAFCO 400 '!$H$18)),0)+IF(AND(L489="Cafco 400",M489="Software Idiem",C489="Cj"),(((('CAFCO 400 '!$D$7*LN(J489)+'CAFCO 400 '!$D$8)*U489^2)+(('CAFCO 400 '!$D$9*LN(J489)+'CAFCO 400 '!$D$10)*U489)+('CAFCO 400 '!$D$11*LN(J489)+'CAFCO 400 '!$D$12))),0)+IF(AND(L489="Cafco 400",M489="Software Idiem",C489="C"),((('CAFCO 400 '!$L$7*(J489^3)+'CAFCO 400 '!$L$8*(J489^2)+'CAFCO 400 '!$L$9*J489+'CAFCO 400 '!$L$10)*U489^2)+(('CAFCO 400 '!$L$11*(J489^3)+'CAFCO 400 '!$L$12*(J489^2)+'CAFCO 400 '!$L$13*J489+'CAFCO 400 '!$L$14)*U489)+('CAFCO 400 '!$L$15*LN(J489)+'CAFCO 400 '!$L$16)),0)+IF(AND(L489="Cafco 400",M489="Software Idiem",C489="L"),((('CAFCO 400 '!$L$7*(J489^3)+'CAFCO 400 '!$L$8*(J489^2)+'CAFCO 400 '!$L$9*J489+'CAFCO 400 '!$L$10)*U489^2)+(('CAFCO 400 '!$L$11*(J489^3)+'CAFCO 400 '!$L$12*(J489^2)+'CAFCO 400 '!$L$13*J489+'CAFCO 400 '!$L$14)*U489)+('CAFCO 400 '!$L$15*LN(J489)+'CAFCO 400 '!$L$16)),0)+IF(AND(L489="Cafco 400",M489="Software Idiem",C489="IN",G489=3),((('CAFCO 400 '!$D$23*(J489^2)+'CAFCO 400 '!$D$24*(J489)+'CAFCO 400 '!$D$25)*U489^2)+(('CAFCO 400 '!$D$26*(J489^2)+'CAFCO 400 '!$D$27*J489+'CAFCO 400 '!$D$28)*U489)+('CAFCO 400 '!$D$29*(J489^2)+'CAFCO 400 '!$D$30*J489+'CAFCO 400 '!$D$31)),0),0)+IF(AND(L489="Cafco 300",J489&gt;=95,J489&lt;=240,C489="Cj",I489=90),VLOOKUP(T489,'CAFCO 300 IDIEM TABLAS'!$B$4:$D$23,2,FALSE),0)+IF(AND(L489="Cafco 300",J489&gt;=95,J489&lt;=240,C489="Cj",I489=120),VLOOKUP(T489,'CAFCO 300 IDIEM TABLAS'!$B$4:$D$23,3,FALSE),0)+IF(AND(L489="Cafco 300",J489&gt;=95,J489&lt;=400,G489=3,C489="IN",I489=90),VLOOKUP(T489,'CAFCO 300 IDIEM TABLAS'!$F$4:$H$35,2,FALSE),0)+IF(AND(L489="Cafco 300",J489&gt;=95,J489&lt;=400,G489=3,C489="IN",I489=120),VLOOKUP(T489,'CAFCO 300 IDIEM TABLAS'!$F$4:$H$35,3,FALSE),0)+IF(AND(L489="Cafco 300",J489&gt;=95,J489&lt;=450,G489=4,C489="IN",I489=90),VLOOKUP(T489,'CAFCO 300 IDIEM TABLAS'!$J$4:$L$40,2,FALSE),0)+IF(AND(L489="Cafco 300",J489&gt;=95,J489&lt;=450,G489=4,C489="IN",I489=120),VLOOKUP(T489,'CAFCO 300 IDIEM TABLAS'!$J$4:$L$40,3,FALSE),0)+IF(AND(M489="Ensayo Idiem",L489="Cafco 400",C489="IN",G489=4,I489=90),VLOOKUP(T489,'CAFCO 400 ENSAYO'!$B$7:$D$43,2,FALSE),0)+IF(AND(M489="Ensayo Idiem",L489="Cafco 400",C489="IN",G489=4,I489=120),VLOOKUP(T489,'CAFCO 400 ENSAYO'!$B$7:$D$43,3,FALSE),0)</f>
        <v>0</v>
      </c>
      <c r="O489" s="96">
        <f t="shared" si="54"/>
        <v>0</v>
      </c>
      <c r="P489" s="132" t="str">
        <f t="shared" si="49"/>
        <v>N/A</v>
      </c>
      <c r="Q489" s="132" t="str">
        <f t="shared" si="50"/>
        <v>N/A</v>
      </c>
      <c r="R489" s="132" t="str">
        <f t="shared" si="51"/>
        <v>NO CERT.</v>
      </c>
      <c r="S489" s="132" t="e">
        <f t="shared" si="52"/>
        <v>#N/A</v>
      </c>
      <c r="T489" s="133" t="e">
        <f>+IF(J489=LOOKUP(J489,'CAFCO 300 IDIEM TABLAS'!$J$4:$J$40),'CALCULO MORTERO'!J489,MROUND('CALCULO MORTERO'!J489,10))</f>
        <v>#N/A</v>
      </c>
      <c r="U489" s="134">
        <f t="shared" si="53"/>
        <v>0</v>
      </c>
      <c r="Y489" s="4"/>
      <c r="Z489" s="4"/>
      <c r="AA489" s="4"/>
    </row>
    <row r="490" spans="1:27" x14ac:dyDescent="0.25">
      <c r="A490" s="118">
        <f>+CUBICACION!D484</f>
        <v>0</v>
      </c>
      <c r="B490" s="819">
        <f>+CUBICACION!E484</f>
        <v>0</v>
      </c>
      <c r="C490" s="675">
        <f>+CUBICACION!F484</f>
        <v>0</v>
      </c>
      <c r="D490" s="118"/>
      <c r="E490" s="118"/>
      <c r="F490" s="820"/>
      <c r="G490" s="675">
        <f>+CUBICACION!J484</f>
        <v>0</v>
      </c>
      <c r="H490" s="118"/>
      <c r="I490" s="821">
        <f>+CUBICACION!L484</f>
        <v>0</v>
      </c>
      <c r="J490" s="64">
        <f>+CUBICACION!M484</f>
        <v>0</v>
      </c>
      <c r="K490" s="822" t="str">
        <f>+CUBICACION!N484</f>
        <v/>
      </c>
      <c r="L490" s="118">
        <f>+CUBICACION!O484</f>
        <v>0</v>
      </c>
      <c r="M490" s="823">
        <f>+CUBICACION!P484</f>
        <v>0</v>
      </c>
      <c r="N490" s="902">
        <f>ROUND(IF(AND(L490="Blaze Shield II",M490="Software Idiem",C490="IN",G490=4),((('BLAZE SHIELD II'!$D$4*('CALCULO MORTERO'!I490^2)+'BLAZE SHIELD II'!$D$5*'CALCULO MORTERO'!I490+'BLAZE SHIELD II'!$D$6)*LN(J490))+('BLAZE SHIELD II'!$D$7*('CALCULO MORTERO'!I490^2)+'BLAZE SHIELD II'!$D$8*'CALCULO MORTERO'!I490+'BLAZE SHIELD II'!$D$9)),0)+IF(AND(L490="Blaze Shield II",M490="Software Idiem",C490="Cj"),((('BLAZE SHIELD II'!$H$4*('CALCULO MORTERO'!I490^2)+'BLAZE SHIELD II'!$H$5*'CALCULO MORTERO'!I490+'BLAZE SHIELD II'!$H$6)*LN(J490))+('BLAZE SHIELD II'!$H$7*('CALCULO MORTERO'!I490^2)+'BLAZE SHIELD II'!$H$8*'CALCULO MORTERO'!I490+'BLAZE SHIELD II'!$H$9)),0)+IF(AND(L490="Blaze Shield II",M490="Software Idiem",C490="C"),((('BLAZE SHIELD II'!$L$4*('CALCULO MORTERO'!I490^2)+'BLAZE SHIELD II'!$L$5*'CALCULO MORTERO'!I490+'BLAZE SHIELD II'!$L$6)*LN(J490))+('BLAZE SHIELD II'!$L$7*('CALCULO MORTERO'!I490^2)+'BLAZE SHIELD II'!$L$8*'CALCULO MORTERO'!I490+'BLAZE SHIELD II'!$L$9)),0)+IF(AND(L490="Blaze Shield II",M490="Software Idiem",C490="L"),((('BLAZE SHIELD II'!$L$4*('CALCULO MORTERO'!I490^2)+'BLAZE SHIELD II'!$L$5*'CALCULO MORTERO'!I490+'BLAZE SHIELD II'!$L$6)*LN(J490))+('BLAZE SHIELD II'!$L$7*('CALCULO MORTERO'!I490^2)+'BLAZE SHIELD II'!$L$8*'CALCULO MORTERO'!I490+'BLAZE SHIELD II'!$L$9)),0)+IF(AND(L490="Blaze Shield II",M490="Software Idiem",C490="IN",G490=3),((('BLAZE SHIELD II'!$H$14*('CALCULO MORTERO'!I490^2)+'BLAZE SHIELD II'!$H$15*'CALCULO MORTERO'!I490+'BLAZE SHIELD II'!$H$16)*LN(J490))+('BLAZE SHIELD II'!$H$17*('CALCULO MORTERO'!I490^2)+'BLAZE SHIELD II'!$H$18*'CALCULO MORTERO'!I490+'BLAZE SHIELD II'!$H$19)),0),0)+ROUND(IF(AND(L490="Cafco 400",M490="Software Idiem",C490="IN",G490=4),((('CAFCO 400 '!$H$7*(J490^4)+'CAFCO 400 '!$H$8*(J490^3)+'CAFCO 400 '!$H$9*(J490^2)+'CAFCO 400 '!$H$10*J490+'CAFCO 400 '!$H$11)*U490^2)+(('CAFCO 400 '!$H$12*(J490^3)+'CAFCO 400 '!$H$13*(J490^2)+'CAFCO 400 '!$H$14*J490+'CAFCO 400 '!$H$15)*U490)+('CAFCO 400 '!$H$16*(J490^2)+'CAFCO 400 '!$H$17*J490+'CAFCO 400 '!$H$18)),0)+IF(AND(L490="Cafco 400",M490="Software Idiem",C490="Cj"),(((('CAFCO 400 '!$D$7*LN(J490)+'CAFCO 400 '!$D$8)*U490^2)+(('CAFCO 400 '!$D$9*LN(J490)+'CAFCO 400 '!$D$10)*U490)+('CAFCO 400 '!$D$11*LN(J490)+'CAFCO 400 '!$D$12))),0)+IF(AND(L490="Cafco 400",M490="Software Idiem",C490="C"),((('CAFCO 400 '!$L$7*(J490^3)+'CAFCO 400 '!$L$8*(J490^2)+'CAFCO 400 '!$L$9*J490+'CAFCO 400 '!$L$10)*U490^2)+(('CAFCO 400 '!$L$11*(J490^3)+'CAFCO 400 '!$L$12*(J490^2)+'CAFCO 400 '!$L$13*J490+'CAFCO 400 '!$L$14)*U490)+('CAFCO 400 '!$L$15*LN(J490)+'CAFCO 400 '!$L$16)),0)+IF(AND(L490="Cafco 400",M490="Software Idiem",C490="L"),((('CAFCO 400 '!$L$7*(J490^3)+'CAFCO 400 '!$L$8*(J490^2)+'CAFCO 400 '!$L$9*J490+'CAFCO 400 '!$L$10)*U490^2)+(('CAFCO 400 '!$L$11*(J490^3)+'CAFCO 400 '!$L$12*(J490^2)+'CAFCO 400 '!$L$13*J490+'CAFCO 400 '!$L$14)*U490)+('CAFCO 400 '!$L$15*LN(J490)+'CAFCO 400 '!$L$16)),0)+IF(AND(L490="Cafco 400",M490="Software Idiem",C490="IN",G490=3),((('CAFCO 400 '!$D$23*(J490^2)+'CAFCO 400 '!$D$24*(J490)+'CAFCO 400 '!$D$25)*U490^2)+(('CAFCO 400 '!$D$26*(J490^2)+'CAFCO 400 '!$D$27*J490+'CAFCO 400 '!$D$28)*U490)+('CAFCO 400 '!$D$29*(J490^2)+'CAFCO 400 '!$D$30*J490+'CAFCO 400 '!$D$31)),0),0)+IF(AND(L490="Cafco 300",J490&gt;=95,J490&lt;=240,C490="Cj",I490=90),VLOOKUP(T490,'CAFCO 300 IDIEM TABLAS'!$B$4:$D$23,2,FALSE),0)+IF(AND(L490="Cafco 300",J490&gt;=95,J490&lt;=240,C490="Cj",I490=120),VLOOKUP(T490,'CAFCO 300 IDIEM TABLAS'!$B$4:$D$23,3,FALSE),0)+IF(AND(L490="Cafco 300",J490&gt;=95,J490&lt;=400,G490=3,C490="IN",I490=90),VLOOKUP(T490,'CAFCO 300 IDIEM TABLAS'!$F$4:$H$35,2,FALSE),0)+IF(AND(L490="Cafco 300",J490&gt;=95,J490&lt;=400,G490=3,C490="IN",I490=120),VLOOKUP(T490,'CAFCO 300 IDIEM TABLAS'!$F$4:$H$35,3,FALSE),0)+IF(AND(L490="Cafco 300",J490&gt;=95,J490&lt;=450,G490=4,C490="IN",I490=90),VLOOKUP(T490,'CAFCO 300 IDIEM TABLAS'!$J$4:$L$40,2,FALSE),0)+IF(AND(L490="Cafco 300",J490&gt;=95,J490&lt;=450,G490=4,C490="IN",I490=120),VLOOKUP(T490,'CAFCO 300 IDIEM TABLAS'!$J$4:$L$40,3,FALSE),0)+IF(AND(M490="Ensayo Idiem",L490="Cafco 400",C490="IN",G490=4,I490=90),VLOOKUP(T490,'CAFCO 400 ENSAYO'!$B$7:$D$43,2,FALSE),0)+IF(AND(M490="Ensayo Idiem",L490="Cafco 400",C490="IN",G490=4,I490=120),VLOOKUP(T490,'CAFCO 400 ENSAYO'!$B$7:$D$43,3,FALSE),0)</f>
        <v>0</v>
      </c>
      <c r="O490" s="96">
        <f t="shared" si="54"/>
        <v>0</v>
      </c>
      <c r="P490" s="95" t="str">
        <f t="shared" si="49"/>
        <v>N/A</v>
      </c>
      <c r="Q490" s="95" t="str">
        <f t="shared" si="50"/>
        <v>N/A</v>
      </c>
      <c r="R490" s="95" t="str">
        <f t="shared" si="51"/>
        <v>NO CERT.</v>
      </c>
      <c r="S490" s="95" t="e">
        <f t="shared" si="52"/>
        <v>#N/A</v>
      </c>
      <c r="T490" s="119" t="e">
        <f>+IF(J490=LOOKUP(J490,'CAFCO 300 IDIEM TABLAS'!$J$4:$J$40),'CALCULO MORTERO'!J490,MROUND('CALCULO MORTERO'!J490,10))</f>
        <v>#N/A</v>
      </c>
      <c r="U490" s="118">
        <f t="shared" si="53"/>
        <v>0</v>
      </c>
      <c r="Y490" s="4"/>
      <c r="Z490" s="4"/>
      <c r="AA490" s="4"/>
    </row>
    <row r="491" spans="1:27" x14ac:dyDescent="0.25">
      <c r="A491" s="118">
        <f>+CUBICACION!D485</f>
        <v>0</v>
      </c>
      <c r="B491" s="819">
        <f>+CUBICACION!E485</f>
        <v>0</v>
      </c>
      <c r="C491" s="675">
        <f>+CUBICACION!F485</f>
        <v>0</v>
      </c>
      <c r="D491" s="118"/>
      <c r="E491" s="118"/>
      <c r="F491" s="820"/>
      <c r="G491" s="675">
        <f>+CUBICACION!J485</f>
        <v>0</v>
      </c>
      <c r="H491" s="118"/>
      <c r="I491" s="821">
        <f>+CUBICACION!L485</f>
        <v>0</v>
      </c>
      <c r="J491" s="64">
        <f>+CUBICACION!M485</f>
        <v>0</v>
      </c>
      <c r="K491" s="822" t="str">
        <f>+CUBICACION!N485</f>
        <v/>
      </c>
      <c r="L491" s="118">
        <f>+CUBICACION!O485</f>
        <v>0</v>
      </c>
      <c r="M491" s="823">
        <f>+CUBICACION!P485</f>
        <v>0</v>
      </c>
      <c r="N491" s="902">
        <f>ROUND(IF(AND(L491="Blaze Shield II",M491="Software Idiem",C491="IN",G491=4),((('BLAZE SHIELD II'!$D$4*('CALCULO MORTERO'!I491^2)+'BLAZE SHIELD II'!$D$5*'CALCULO MORTERO'!I491+'BLAZE SHIELD II'!$D$6)*LN(J491))+('BLAZE SHIELD II'!$D$7*('CALCULO MORTERO'!I491^2)+'BLAZE SHIELD II'!$D$8*'CALCULO MORTERO'!I491+'BLAZE SHIELD II'!$D$9)),0)+IF(AND(L491="Blaze Shield II",M491="Software Idiem",C491="Cj"),((('BLAZE SHIELD II'!$H$4*('CALCULO MORTERO'!I491^2)+'BLAZE SHIELD II'!$H$5*'CALCULO MORTERO'!I491+'BLAZE SHIELD II'!$H$6)*LN(J491))+('BLAZE SHIELD II'!$H$7*('CALCULO MORTERO'!I491^2)+'BLAZE SHIELD II'!$H$8*'CALCULO MORTERO'!I491+'BLAZE SHIELD II'!$H$9)),0)+IF(AND(L491="Blaze Shield II",M491="Software Idiem",C491="C"),((('BLAZE SHIELD II'!$L$4*('CALCULO MORTERO'!I491^2)+'BLAZE SHIELD II'!$L$5*'CALCULO MORTERO'!I491+'BLAZE SHIELD II'!$L$6)*LN(J491))+('BLAZE SHIELD II'!$L$7*('CALCULO MORTERO'!I491^2)+'BLAZE SHIELD II'!$L$8*'CALCULO MORTERO'!I491+'BLAZE SHIELD II'!$L$9)),0)+IF(AND(L491="Blaze Shield II",M491="Software Idiem",C491="L"),((('BLAZE SHIELD II'!$L$4*('CALCULO MORTERO'!I491^2)+'BLAZE SHIELD II'!$L$5*'CALCULO MORTERO'!I491+'BLAZE SHIELD II'!$L$6)*LN(J491))+('BLAZE SHIELD II'!$L$7*('CALCULO MORTERO'!I491^2)+'BLAZE SHIELD II'!$L$8*'CALCULO MORTERO'!I491+'BLAZE SHIELD II'!$L$9)),0)+IF(AND(L491="Blaze Shield II",M491="Software Idiem",C491="IN",G491=3),((('BLAZE SHIELD II'!$H$14*('CALCULO MORTERO'!I491^2)+'BLAZE SHIELD II'!$H$15*'CALCULO MORTERO'!I491+'BLAZE SHIELD II'!$H$16)*LN(J491))+('BLAZE SHIELD II'!$H$17*('CALCULO MORTERO'!I491^2)+'BLAZE SHIELD II'!$H$18*'CALCULO MORTERO'!I491+'BLAZE SHIELD II'!$H$19)),0),0)+ROUND(IF(AND(L491="Cafco 400",M491="Software Idiem",C491="IN",G491=4),((('CAFCO 400 '!$H$7*(J491^4)+'CAFCO 400 '!$H$8*(J491^3)+'CAFCO 400 '!$H$9*(J491^2)+'CAFCO 400 '!$H$10*J491+'CAFCO 400 '!$H$11)*U491^2)+(('CAFCO 400 '!$H$12*(J491^3)+'CAFCO 400 '!$H$13*(J491^2)+'CAFCO 400 '!$H$14*J491+'CAFCO 400 '!$H$15)*U491)+('CAFCO 400 '!$H$16*(J491^2)+'CAFCO 400 '!$H$17*J491+'CAFCO 400 '!$H$18)),0)+IF(AND(L491="Cafco 400",M491="Software Idiem",C491="Cj"),(((('CAFCO 400 '!$D$7*LN(J491)+'CAFCO 400 '!$D$8)*U491^2)+(('CAFCO 400 '!$D$9*LN(J491)+'CAFCO 400 '!$D$10)*U491)+('CAFCO 400 '!$D$11*LN(J491)+'CAFCO 400 '!$D$12))),0)+IF(AND(L491="Cafco 400",M491="Software Idiem",C491="C"),((('CAFCO 400 '!$L$7*(J491^3)+'CAFCO 400 '!$L$8*(J491^2)+'CAFCO 400 '!$L$9*J491+'CAFCO 400 '!$L$10)*U491^2)+(('CAFCO 400 '!$L$11*(J491^3)+'CAFCO 400 '!$L$12*(J491^2)+'CAFCO 400 '!$L$13*J491+'CAFCO 400 '!$L$14)*U491)+('CAFCO 400 '!$L$15*LN(J491)+'CAFCO 400 '!$L$16)),0)+IF(AND(L491="Cafco 400",M491="Software Idiem",C491="L"),((('CAFCO 400 '!$L$7*(J491^3)+'CAFCO 400 '!$L$8*(J491^2)+'CAFCO 400 '!$L$9*J491+'CAFCO 400 '!$L$10)*U491^2)+(('CAFCO 400 '!$L$11*(J491^3)+'CAFCO 400 '!$L$12*(J491^2)+'CAFCO 400 '!$L$13*J491+'CAFCO 400 '!$L$14)*U491)+('CAFCO 400 '!$L$15*LN(J491)+'CAFCO 400 '!$L$16)),0)+IF(AND(L491="Cafco 400",M491="Software Idiem",C491="IN",G491=3),((('CAFCO 400 '!$D$23*(J491^2)+'CAFCO 400 '!$D$24*(J491)+'CAFCO 400 '!$D$25)*U491^2)+(('CAFCO 400 '!$D$26*(J491^2)+'CAFCO 400 '!$D$27*J491+'CAFCO 400 '!$D$28)*U491)+('CAFCO 400 '!$D$29*(J491^2)+'CAFCO 400 '!$D$30*J491+'CAFCO 400 '!$D$31)),0),0)+IF(AND(L491="Cafco 300",J491&gt;=95,J491&lt;=240,C491="Cj",I491=90),VLOOKUP(T491,'CAFCO 300 IDIEM TABLAS'!$B$4:$D$23,2,FALSE),0)+IF(AND(L491="Cafco 300",J491&gt;=95,J491&lt;=240,C491="Cj",I491=120),VLOOKUP(T491,'CAFCO 300 IDIEM TABLAS'!$B$4:$D$23,3,FALSE),0)+IF(AND(L491="Cafco 300",J491&gt;=95,J491&lt;=400,G491=3,C491="IN",I491=90),VLOOKUP(T491,'CAFCO 300 IDIEM TABLAS'!$F$4:$H$35,2,FALSE),0)+IF(AND(L491="Cafco 300",J491&gt;=95,J491&lt;=400,G491=3,C491="IN",I491=120),VLOOKUP(T491,'CAFCO 300 IDIEM TABLAS'!$F$4:$H$35,3,FALSE),0)+IF(AND(L491="Cafco 300",J491&gt;=95,J491&lt;=450,G491=4,C491="IN",I491=90),VLOOKUP(T491,'CAFCO 300 IDIEM TABLAS'!$J$4:$L$40,2,FALSE),0)+IF(AND(L491="Cafco 300",J491&gt;=95,J491&lt;=450,G491=4,C491="IN",I491=120),VLOOKUP(T491,'CAFCO 300 IDIEM TABLAS'!$J$4:$L$40,3,FALSE),0)+IF(AND(M491="Ensayo Idiem",L491="Cafco 400",C491="IN",G491=4,I491=90),VLOOKUP(T491,'CAFCO 400 ENSAYO'!$B$7:$D$43,2,FALSE),0)+IF(AND(M491="Ensayo Idiem",L491="Cafco 400",C491="IN",G491=4,I491=120),VLOOKUP(T491,'CAFCO 400 ENSAYO'!$B$7:$D$43,3,FALSE),0)</f>
        <v>0</v>
      </c>
      <c r="O491" s="96">
        <f t="shared" si="54"/>
        <v>0</v>
      </c>
      <c r="P491" s="132" t="str">
        <f t="shared" si="49"/>
        <v>N/A</v>
      </c>
      <c r="Q491" s="132" t="str">
        <f t="shared" si="50"/>
        <v>N/A</v>
      </c>
      <c r="R491" s="132" t="str">
        <f t="shared" si="51"/>
        <v>NO CERT.</v>
      </c>
      <c r="S491" s="132" t="e">
        <f t="shared" si="52"/>
        <v>#N/A</v>
      </c>
      <c r="T491" s="133" t="e">
        <f>+IF(J491=LOOKUP(J491,'CAFCO 300 IDIEM TABLAS'!$J$4:$J$40),'CALCULO MORTERO'!J491,MROUND('CALCULO MORTERO'!J491,10))</f>
        <v>#N/A</v>
      </c>
      <c r="U491" s="134">
        <f t="shared" si="53"/>
        <v>0</v>
      </c>
      <c r="Y491" s="4"/>
      <c r="Z491" s="4"/>
      <c r="AA491" s="4"/>
    </row>
    <row r="492" spans="1:27" x14ac:dyDescent="0.25">
      <c r="A492" s="118">
        <f>+CUBICACION!D486</f>
        <v>0</v>
      </c>
      <c r="B492" s="819">
        <f>+CUBICACION!E486</f>
        <v>0</v>
      </c>
      <c r="C492" s="675">
        <f>+CUBICACION!F486</f>
        <v>0</v>
      </c>
      <c r="D492" s="118"/>
      <c r="E492" s="118"/>
      <c r="F492" s="820"/>
      <c r="G492" s="675">
        <f>+CUBICACION!J486</f>
        <v>0</v>
      </c>
      <c r="H492" s="118"/>
      <c r="I492" s="821">
        <f>+CUBICACION!L486</f>
        <v>0</v>
      </c>
      <c r="J492" s="64">
        <f>+CUBICACION!M486</f>
        <v>0</v>
      </c>
      <c r="K492" s="822" t="str">
        <f>+CUBICACION!N486</f>
        <v/>
      </c>
      <c r="L492" s="118">
        <f>+CUBICACION!O486</f>
        <v>0</v>
      </c>
      <c r="M492" s="823">
        <f>+CUBICACION!P486</f>
        <v>0</v>
      </c>
      <c r="N492" s="902">
        <f>ROUND(IF(AND(L492="Blaze Shield II",M492="Software Idiem",C492="IN",G492=4),((('BLAZE SHIELD II'!$D$4*('CALCULO MORTERO'!I492^2)+'BLAZE SHIELD II'!$D$5*'CALCULO MORTERO'!I492+'BLAZE SHIELD II'!$D$6)*LN(J492))+('BLAZE SHIELD II'!$D$7*('CALCULO MORTERO'!I492^2)+'BLAZE SHIELD II'!$D$8*'CALCULO MORTERO'!I492+'BLAZE SHIELD II'!$D$9)),0)+IF(AND(L492="Blaze Shield II",M492="Software Idiem",C492="Cj"),((('BLAZE SHIELD II'!$H$4*('CALCULO MORTERO'!I492^2)+'BLAZE SHIELD II'!$H$5*'CALCULO MORTERO'!I492+'BLAZE SHIELD II'!$H$6)*LN(J492))+('BLAZE SHIELD II'!$H$7*('CALCULO MORTERO'!I492^2)+'BLAZE SHIELD II'!$H$8*'CALCULO MORTERO'!I492+'BLAZE SHIELD II'!$H$9)),0)+IF(AND(L492="Blaze Shield II",M492="Software Idiem",C492="C"),((('BLAZE SHIELD II'!$L$4*('CALCULO MORTERO'!I492^2)+'BLAZE SHIELD II'!$L$5*'CALCULO MORTERO'!I492+'BLAZE SHIELD II'!$L$6)*LN(J492))+('BLAZE SHIELD II'!$L$7*('CALCULO MORTERO'!I492^2)+'BLAZE SHIELD II'!$L$8*'CALCULO MORTERO'!I492+'BLAZE SHIELD II'!$L$9)),0)+IF(AND(L492="Blaze Shield II",M492="Software Idiem",C492="L"),((('BLAZE SHIELD II'!$L$4*('CALCULO MORTERO'!I492^2)+'BLAZE SHIELD II'!$L$5*'CALCULO MORTERO'!I492+'BLAZE SHIELD II'!$L$6)*LN(J492))+('BLAZE SHIELD II'!$L$7*('CALCULO MORTERO'!I492^2)+'BLAZE SHIELD II'!$L$8*'CALCULO MORTERO'!I492+'BLAZE SHIELD II'!$L$9)),0)+IF(AND(L492="Blaze Shield II",M492="Software Idiem",C492="IN",G492=3),((('BLAZE SHIELD II'!$H$14*('CALCULO MORTERO'!I492^2)+'BLAZE SHIELD II'!$H$15*'CALCULO MORTERO'!I492+'BLAZE SHIELD II'!$H$16)*LN(J492))+('BLAZE SHIELD II'!$H$17*('CALCULO MORTERO'!I492^2)+'BLAZE SHIELD II'!$H$18*'CALCULO MORTERO'!I492+'BLAZE SHIELD II'!$H$19)),0),0)+ROUND(IF(AND(L492="Cafco 400",M492="Software Idiem",C492="IN",G492=4),((('CAFCO 400 '!$H$7*(J492^4)+'CAFCO 400 '!$H$8*(J492^3)+'CAFCO 400 '!$H$9*(J492^2)+'CAFCO 400 '!$H$10*J492+'CAFCO 400 '!$H$11)*U492^2)+(('CAFCO 400 '!$H$12*(J492^3)+'CAFCO 400 '!$H$13*(J492^2)+'CAFCO 400 '!$H$14*J492+'CAFCO 400 '!$H$15)*U492)+('CAFCO 400 '!$H$16*(J492^2)+'CAFCO 400 '!$H$17*J492+'CAFCO 400 '!$H$18)),0)+IF(AND(L492="Cafco 400",M492="Software Idiem",C492="Cj"),(((('CAFCO 400 '!$D$7*LN(J492)+'CAFCO 400 '!$D$8)*U492^2)+(('CAFCO 400 '!$D$9*LN(J492)+'CAFCO 400 '!$D$10)*U492)+('CAFCO 400 '!$D$11*LN(J492)+'CAFCO 400 '!$D$12))),0)+IF(AND(L492="Cafco 400",M492="Software Idiem",C492="C"),((('CAFCO 400 '!$L$7*(J492^3)+'CAFCO 400 '!$L$8*(J492^2)+'CAFCO 400 '!$L$9*J492+'CAFCO 400 '!$L$10)*U492^2)+(('CAFCO 400 '!$L$11*(J492^3)+'CAFCO 400 '!$L$12*(J492^2)+'CAFCO 400 '!$L$13*J492+'CAFCO 400 '!$L$14)*U492)+('CAFCO 400 '!$L$15*LN(J492)+'CAFCO 400 '!$L$16)),0)+IF(AND(L492="Cafco 400",M492="Software Idiem",C492="L"),((('CAFCO 400 '!$L$7*(J492^3)+'CAFCO 400 '!$L$8*(J492^2)+'CAFCO 400 '!$L$9*J492+'CAFCO 400 '!$L$10)*U492^2)+(('CAFCO 400 '!$L$11*(J492^3)+'CAFCO 400 '!$L$12*(J492^2)+'CAFCO 400 '!$L$13*J492+'CAFCO 400 '!$L$14)*U492)+('CAFCO 400 '!$L$15*LN(J492)+'CAFCO 400 '!$L$16)),0)+IF(AND(L492="Cafco 400",M492="Software Idiem",C492="IN",G492=3),((('CAFCO 400 '!$D$23*(J492^2)+'CAFCO 400 '!$D$24*(J492)+'CAFCO 400 '!$D$25)*U492^2)+(('CAFCO 400 '!$D$26*(J492^2)+'CAFCO 400 '!$D$27*J492+'CAFCO 400 '!$D$28)*U492)+('CAFCO 400 '!$D$29*(J492^2)+'CAFCO 400 '!$D$30*J492+'CAFCO 400 '!$D$31)),0),0)+IF(AND(L492="Cafco 300",J492&gt;=95,J492&lt;=240,C492="Cj",I492=90),VLOOKUP(T492,'CAFCO 300 IDIEM TABLAS'!$B$4:$D$23,2,FALSE),0)+IF(AND(L492="Cafco 300",J492&gt;=95,J492&lt;=240,C492="Cj",I492=120),VLOOKUP(T492,'CAFCO 300 IDIEM TABLAS'!$B$4:$D$23,3,FALSE),0)+IF(AND(L492="Cafco 300",J492&gt;=95,J492&lt;=400,G492=3,C492="IN",I492=90),VLOOKUP(T492,'CAFCO 300 IDIEM TABLAS'!$F$4:$H$35,2,FALSE),0)+IF(AND(L492="Cafco 300",J492&gt;=95,J492&lt;=400,G492=3,C492="IN",I492=120),VLOOKUP(T492,'CAFCO 300 IDIEM TABLAS'!$F$4:$H$35,3,FALSE),0)+IF(AND(L492="Cafco 300",J492&gt;=95,J492&lt;=450,G492=4,C492="IN",I492=90),VLOOKUP(T492,'CAFCO 300 IDIEM TABLAS'!$J$4:$L$40,2,FALSE),0)+IF(AND(L492="Cafco 300",J492&gt;=95,J492&lt;=450,G492=4,C492="IN",I492=120),VLOOKUP(T492,'CAFCO 300 IDIEM TABLAS'!$J$4:$L$40,3,FALSE),0)+IF(AND(M492="Ensayo Idiem",L492="Cafco 400",C492="IN",G492=4,I492=90),VLOOKUP(T492,'CAFCO 400 ENSAYO'!$B$7:$D$43,2,FALSE),0)+IF(AND(M492="Ensayo Idiem",L492="Cafco 400",C492="IN",G492=4,I492=120),VLOOKUP(T492,'CAFCO 400 ENSAYO'!$B$7:$D$43,3,FALSE),0)</f>
        <v>0</v>
      </c>
      <c r="O492" s="96">
        <f t="shared" si="54"/>
        <v>0</v>
      </c>
      <c r="P492" s="95" t="str">
        <f t="shared" si="49"/>
        <v>N/A</v>
      </c>
      <c r="Q492" s="95" t="str">
        <f t="shared" si="50"/>
        <v>N/A</v>
      </c>
      <c r="R492" s="95" t="str">
        <f t="shared" si="51"/>
        <v>NO CERT.</v>
      </c>
      <c r="S492" s="95" t="e">
        <f t="shared" si="52"/>
        <v>#N/A</v>
      </c>
      <c r="T492" s="119" t="e">
        <f>+IF(J492=LOOKUP(J492,'CAFCO 300 IDIEM TABLAS'!$J$4:$J$40),'CALCULO MORTERO'!J492,MROUND('CALCULO MORTERO'!J492,10))</f>
        <v>#N/A</v>
      </c>
      <c r="U492" s="118">
        <f t="shared" si="53"/>
        <v>0</v>
      </c>
      <c r="Y492" s="4"/>
      <c r="Z492" s="4"/>
      <c r="AA492" s="4"/>
    </row>
    <row r="493" spans="1:27" x14ac:dyDescent="0.25">
      <c r="A493" s="118">
        <f>+CUBICACION!D487</f>
        <v>0</v>
      </c>
      <c r="B493" s="819">
        <f>+CUBICACION!E487</f>
        <v>0</v>
      </c>
      <c r="C493" s="675">
        <f>+CUBICACION!F487</f>
        <v>0</v>
      </c>
      <c r="D493" s="118"/>
      <c r="E493" s="118"/>
      <c r="F493" s="820"/>
      <c r="G493" s="675">
        <f>+CUBICACION!J487</f>
        <v>0</v>
      </c>
      <c r="H493" s="118"/>
      <c r="I493" s="821">
        <f>+CUBICACION!L487</f>
        <v>0</v>
      </c>
      <c r="J493" s="64">
        <f>+CUBICACION!M487</f>
        <v>0</v>
      </c>
      <c r="K493" s="822" t="str">
        <f>+CUBICACION!N487</f>
        <v/>
      </c>
      <c r="L493" s="118">
        <f>+CUBICACION!O487</f>
        <v>0</v>
      </c>
      <c r="M493" s="823">
        <f>+CUBICACION!P487</f>
        <v>0</v>
      </c>
      <c r="N493" s="902">
        <f>ROUND(IF(AND(L493="Blaze Shield II",M493="Software Idiem",C493="IN",G493=4),((('BLAZE SHIELD II'!$D$4*('CALCULO MORTERO'!I493^2)+'BLAZE SHIELD II'!$D$5*'CALCULO MORTERO'!I493+'BLAZE SHIELD II'!$D$6)*LN(J493))+('BLAZE SHIELD II'!$D$7*('CALCULO MORTERO'!I493^2)+'BLAZE SHIELD II'!$D$8*'CALCULO MORTERO'!I493+'BLAZE SHIELD II'!$D$9)),0)+IF(AND(L493="Blaze Shield II",M493="Software Idiem",C493="Cj"),((('BLAZE SHIELD II'!$H$4*('CALCULO MORTERO'!I493^2)+'BLAZE SHIELD II'!$H$5*'CALCULO MORTERO'!I493+'BLAZE SHIELD II'!$H$6)*LN(J493))+('BLAZE SHIELD II'!$H$7*('CALCULO MORTERO'!I493^2)+'BLAZE SHIELD II'!$H$8*'CALCULO MORTERO'!I493+'BLAZE SHIELD II'!$H$9)),0)+IF(AND(L493="Blaze Shield II",M493="Software Idiem",C493="C"),((('BLAZE SHIELD II'!$L$4*('CALCULO MORTERO'!I493^2)+'BLAZE SHIELD II'!$L$5*'CALCULO MORTERO'!I493+'BLAZE SHIELD II'!$L$6)*LN(J493))+('BLAZE SHIELD II'!$L$7*('CALCULO MORTERO'!I493^2)+'BLAZE SHIELD II'!$L$8*'CALCULO MORTERO'!I493+'BLAZE SHIELD II'!$L$9)),0)+IF(AND(L493="Blaze Shield II",M493="Software Idiem",C493="L"),((('BLAZE SHIELD II'!$L$4*('CALCULO MORTERO'!I493^2)+'BLAZE SHIELD II'!$L$5*'CALCULO MORTERO'!I493+'BLAZE SHIELD II'!$L$6)*LN(J493))+('BLAZE SHIELD II'!$L$7*('CALCULO MORTERO'!I493^2)+'BLAZE SHIELD II'!$L$8*'CALCULO MORTERO'!I493+'BLAZE SHIELD II'!$L$9)),0)+IF(AND(L493="Blaze Shield II",M493="Software Idiem",C493="IN",G493=3),((('BLAZE SHIELD II'!$H$14*('CALCULO MORTERO'!I493^2)+'BLAZE SHIELD II'!$H$15*'CALCULO MORTERO'!I493+'BLAZE SHIELD II'!$H$16)*LN(J493))+('BLAZE SHIELD II'!$H$17*('CALCULO MORTERO'!I493^2)+'BLAZE SHIELD II'!$H$18*'CALCULO MORTERO'!I493+'BLAZE SHIELD II'!$H$19)),0),0)+ROUND(IF(AND(L493="Cafco 400",M493="Software Idiem",C493="IN",G493=4),((('CAFCO 400 '!$H$7*(J493^4)+'CAFCO 400 '!$H$8*(J493^3)+'CAFCO 400 '!$H$9*(J493^2)+'CAFCO 400 '!$H$10*J493+'CAFCO 400 '!$H$11)*U493^2)+(('CAFCO 400 '!$H$12*(J493^3)+'CAFCO 400 '!$H$13*(J493^2)+'CAFCO 400 '!$H$14*J493+'CAFCO 400 '!$H$15)*U493)+('CAFCO 400 '!$H$16*(J493^2)+'CAFCO 400 '!$H$17*J493+'CAFCO 400 '!$H$18)),0)+IF(AND(L493="Cafco 400",M493="Software Idiem",C493="Cj"),(((('CAFCO 400 '!$D$7*LN(J493)+'CAFCO 400 '!$D$8)*U493^2)+(('CAFCO 400 '!$D$9*LN(J493)+'CAFCO 400 '!$D$10)*U493)+('CAFCO 400 '!$D$11*LN(J493)+'CAFCO 400 '!$D$12))),0)+IF(AND(L493="Cafco 400",M493="Software Idiem",C493="C"),((('CAFCO 400 '!$L$7*(J493^3)+'CAFCO 400 '!$L$8*(J493^2)+'CAFCO 400 '!$L$9*J493+'CAFCO 400 '!$L$10)*U493^2)+(('CAFCO 400 '!$L$11*(J493^3)+'CAFCO 400 '!$L$12*(J493^2)+'CAFCO 400 '!$L$13*J493+'CAFCO 400 '!$L$14)*U493)+('CAFCO 400 '!$L$15*LN(J493)+'CAFCO 400 '!$L$16)),0)+IF(AND(L493="Cafco 400",M493="Software Idiem",C493="L"),((('CAFCO 400 '!$L$7*(J493^3)+'CAFCO 400 '!$L$8*(J493^2)+'CAFCO 400 '!$L$9*J493+'CAFCO 400 '!$L$10)*U493^2)+(('CAFCO 400 '!$L$11*(J493^3)+'CAFCO 400 '!$L$12*(J493^2)+'CAFCO 400 '!$L$13*J493+'CAFCO 400 '!$L$14)*U493)+('CAFCO 400 '!$L$15*LN(J493)+'CAFCO 400 '!$L$16)),0)+IF(AND(L493="Cafco 400",M493="Software Idiem",C493="IN",G493=3),((('CAFCO 400 '!$D$23*(J493^2)+'CAFCO 400 '!$D$24*(J493)+'CAFCO 400 '!$D$25)*U493^2)+(('CAFCO 400 '!$D$26*(J493^2)+'CAFCO 400 '!$D$27*J493+'CAFCO 400 '!$D$28)*U493)+('CAFCO 400 '!$D$29*(J493^2)+'CAFCO 400 '!$D$30*J493+'CAFCO 400 '!$D$31)),0),0)+IF(AND(L493="Cafco 300",J493&gt;=95,J493&lt;=240,C493="Cj",I493=90),VLOOKUP(T493,'CAFCO 300 IDIEM TABLAS'!$B$4:$D$23,2,FALSE),0)+IF(AND(L493="Cafco 300",J493&gt;=95,J493&lt;=240,C493="Cj",I493=120),VLOOKUP(T493,'CAFCO 300 IDIEM TABLAS'!$B$4:$D$23,3,FALSE),0)+IF(AND(L493="Cafco 300",J493&gt;=95,J493&lt;=400,G493=3,C493="IN",I493=90),VLOOKUP(T493,'CAFCO 300 IDIEM TABLAS'!$F$4:$H$35,2,FALSE),0)+IF(AND(L493="Cafco 300",J493&gt;=95,J493&lt;=400,G493=3,C493="IN",I493=120),VLOOKUP(T493,'CAFCO 300 IDIEM TABLAS'!$F$4:$H$35,3,FALSE),0)+IF(AND(L493="Cafco 300",J493&gt;=95,J493&lt;=450,G493=4,C493="IN",I493=90),VLOOKUP(T493,'CAFCO 300 IDIEM TABLAS'!$J$4:$L$40,2,FALSE),0)+IF(AND(L493="Cafco 300",J493&gt;=95,J493&lt;=450,G493=4,C493="IN",I493=120),VLOOKUP(T493,'CAFCO 300 IDIEM TABLAS'!$J$4:$L$40,3,FALSE),0)+IF(AND(M493="Ensayo Idiem",L493="Cafco 400",C493="IN",G493=4,I493=90),VLOOKUP(T493,'CAFCO 400 ENSAYO'!$B$7:$D$43,2,FALSE),0)+IF(AND(M493="Ensayo Idiem",L493="Cafco 400",C493="IN",G493=4,I493=120),VLOOKUP(T493,'CAFCO 400 ENSAYO'!$B$7:$D$43,3,FALSE),0)</f>
        <v>0</v>
      </c>
      <c r="O493" s="96">
        <f t="shared" si="54"/>
        <v>0</v>
      </c>
      <c r="P493" s="132" t="str">
        <f t="shared" si="49"/>
        <v>N/A</v>
      </c>
      <c r="Q493" s="132" t="str">
        <f t="shared" si="50"/>
        <v>N/A</v>
      </c>
      <c r="R493" s="132" t="str">
        <f t="shared" si="51"/>
        <v>NO CERT.</v>
      </c>
      <c r="S493" s="132" t="e">
        <f t="shared" si="52"/>
        <v>#N/A</v>
      </c>
      <c r="T493" s="133" t="e">
        <f>+IF(J493=LOOKUP(J493,'CAFCO 300 IDIEM TABLAS'!$J$4:$J$40),'CALCULO MORTERO'!J493,MROUND('CALCULO MORTERO'!J493,10))</f>
        <v>#N/A</v>
      </c>
      <c r="U493" s="134">
        <f t="shared" si="53"/>
        <v>0</v>
      </c>
      <c r="Y493" s="4"/>
      <c r="Z493" s="4"/>
      <c r="AA493" s="4"/>
    </row>
    <row r="494" spans="1:27" x14ac:dyDescent="0.25">
      <c r="A494" s="118">
        <f>+CUBICACION!D488</f>
        <v>0</v>
      </c>
      <c r="B494" s="819">
        <f>+CUBICACION!E488</f>
        <v>0</v>
      </c>
      <c r="C494" s="675">
        <f>+CUBICACION!F488</f>
        <v>0</v>
      </c>
      <c r="D494" s="118"/>
      <c r="E494" s="118"/>
      <c r="F494" s="820"/>
      <c r="G494" s="675">
        <f>+CUBICACION!J488</f>
        <v>0</v>
      </c>
      <c r="H494" s="118"/>
      <c r="I494" s="821">
        <f>+CUBICACION!L488</f>
        <v>0</v>
      </c>
      <c r="J494" s="64">
        <f>+CUBICACION!M488</f>
        <v>0</v>
      </c>
      <c r="K494" s="822" t="str">
        <f>+CUBICACION!N488</f>
        <v/>
      </c>
      <c r="L494" s="118">
        <f>+CUBICACION!O488</f>
        <v>0</v>
      </c>
      <c r="M494" s="823">
        <f>+CUBICACION!P488</f>
        <v>0</v>
      </c>
      <c r="N494" s="902">
        <f>ROUND(IF(AND(L494="Blaze Shield II",M494="Software Idiem",C494="IN",G494=4),((('BLAZE SHIELD II'!$D$4*('CALCULO MORTERO'!I494^2)+'BLAZE SHIELD II'!$D$5*'CALCULO MORTERO'!I494+'BLAZE SHIELD II'!$D$6)*LN(J494))+('BLAZE SHIELD II'!$D$7*('CALCULO MORTERO'!I494^2)+'BLAZE SHIELD II'!$D$8*'CALCULO MORTERO'!I494+'BLAZE SHIELD II'!$D$9)),0)+IF(AND(L494="Blaze Shield II",M494="Software Idiem",C494="Cj"),((('BLAZE SHIELD II'!$H$4*('CALCULO MORTERO'!I494^2)+'BLAZE SHIELD II'!$H$5*'CALCULO MORTERO'!I494+'BLAZE SHIELD II'!$H$6)*LN(J494))+('BLAZE SHIELD II'!$H$7*('CALCULO MORTERO'!I494^2)+'BLAZE SHIELD II'!$H$8*'CALCULO MORTERO'!I494+'BLAZE SHIELD II'!$H$9)),0)+IF(AND(L494="Blaze Shield II",M494="Software Idiem",C494="C"),((('BLAZE SHIELD II'!$L$4*('CALCULO MORTERO'!I494^2)+'BLAZE SHIELD II'!$L$5*'CALCULO MORTERO'!I494+'BLAZE SHIELD II'!$L$6)*LN(J494))+('BLAZE SHIELD II'!$L$7*('CALCULO MORTERO'!I494^2)+'BLAZE SHIELD II'!$L$8*'CALCULO MORTERO'!I494+'BLAZE SHIELD II'!$L$9)),0)+IF(AND(L494="Blaze Shield II",M494="Software Idiem",C494="L"),((('BLAZE SHIELD II'!$L$4*('CALCULO MORTERO'!I494^2)+'BLAZE SHIELD II'!$L$5*'CALCULO MORTERO'!I494+'BLAZE SHIELD II'!$L$6)*LN(J494))+('BLAZE SHIELD II'!$L$7*('CALCULO MORTERO'!I494^2)+'BLAZE SHIELD II'!$L$8*'CALCULO MORTERO'!I494+'BLAZE SHIELD II'!$L$9)),0)+IF(AND(L494="Blaze Shield II",M494="Software Idiem",C494="IN",G494=3),((('BLAZE SHIELD II'!$H$14*('CALCULO MORTERO'!I494^2)+'BLAZE SHIELD II'!$H$15*'CALCULO MORTERO'!I494+'BLAZE SHIELD II'!$H$16)*LN(J494))+('BLAZE SHIELD II'!$H$17*('CALCULO MORTERO'!I494^2)+'BLAZE SHIELD II'!$H$18*'CALCULO MORTERO'!I494+'BLAZE SHIELD II'!$H$19)),0),0)+ROUND(IF(AND(L494="Cafco 400",M494="Software Idiem",C494="IN",G494=4),((('CAFCO 400 '!$H$7*(J494^4)+'CAFCO 400 '!$H$8*(J494^3)+'CAFCO 400 '!$H$9*(J494^2)+'CAFCO 400 '!$H$10*J494+'CAFCO 400 '!$H$11)*U494^2)+(('CAFCO 400 '!$H$12*(J494^3)+'CAFCO 400 '!$H$13*(J494^2)+'CAFCO 400 '!$H$14*J494+'CAFCO 400 '!$H$15)*U494)+('CAFCO 400 '!$H$16*(J494^2)+'CAFCO 400 '!$H$17*J494+'CAFCO 400 '!$H$18)),0)+IF(AND(L494="Cafco 400",M494="Software Idiem",C494="Cj"),(((('CAFCO 400 '!$D$7*LN(J494)+'CAFCO 400 '!$D$8)*U494^2)+(('CAFCO 400 '!$D$9*LN(J494)+'CAFCO 400 '!$D$10)*U494)+('CAFCO 400 '!$D$11*LN(J494)+'CAFCO 400 '!$D$12))),0)+IF(AND(L494="Cafco 400",M494="Software Idiem",C494="C"),((('CAFCO 400 '!$L$7*(J494^3)+'CAFCO 400 '!$L$8*(J494^2)+'CAFCO 400 '!$L$9*J494+'CAFCO 400 '!$L$10)*U494^2)+(('CAFCO 400 '!$L$11*(J494^3)+'CAFCO 400 '!$L$12*(J494^2)+'CAFCO 400 '!$L$13*J494+'CAFCO 400 '!$L$14)*U494)+('CAFCO 400 '!$L$15*LN(J494)+'CAFCO 400 '!$L$16)),0)+IF(AND(L494="Cafco 400",M494="Software Idiem",C494="L"),((('CAFCO 400 '!$L$7*(J494^3)+'CAFCO 400 '!$L$8*(J494^2)+'CAFCO 400 '!$L$9*J494+'CAFCO 400 '!$L$10)*U494^2)+(('CAFCO 400 '!$L$11*(J494^3)+'CAFCO 400 '!$L$12*(J494^2)+'CAFCO 400 '!$L$13*J494+'CAFCO 400 '!$L$14)*U494)+('CAFCO 400 '!$L$15*LN(J494)+'CAFCO 400 '!$L$16)),0)+IF(AND(L494="Cafco 400",M494="Software Idiem",C494="IN",G494=3),((('CAFCO 400 '!$D$23*(J494^2)+'CAFCO 400 '!$D$24*(J494)+'CAFCO 400 '!$D$25)*U494^2)+(('CAFCO 400 '!$D$26*(J494^2)+'CAFCO 400 '!$D$27*J494+'CAFCO 400 '!$D$28)*U494)+('CAFCO 400 '!$D$29*(J494^2)+'CAFCO 400 '!$D$30*J494+'CAFCO 400 '!$D$31)),0),0)+IF(AND(L494="Cafco 300",J494&gt;=95,J494&lt;=240,C494="Cj",I494=90),VLOOKUP(T494,'CAFCO 300 IDIEM TABLAS'!$B$4:$D$23,2,FALSE),0)+IF(AND(L494="Cafco 300",J494&gt;=95,J494&lt;=240,C494="Cj",I494=120),VLOOKUP(T494,'CAFCO 300 IDIEM TABLAS'!$B$4:$D$23,3,FALSE),0)+IF(AND(L494="Cafco 300",J494&gt;=95,J494&lt;=400,G494=3,C494="IN",I494=90),VLOOKUP(T494,'CAFCO 300 IDIEM TABLAS'!$F$4:$H$35,2,FALSE),0)+IF(AND(L494="Cafco 300",J494&gt;=95,J494&lt;=400,G494=3,C494="IN",I494=120),VLOOKUP(T494,'CAFCO 300 IDIEM TABLAS'!$F$4:$H$35,3,FALSE),0)+IF(AND(L494="Cafco 300",J494&gt;=95,J494&lt;=450,G494=4,C494="IN",I494=90),VLOOKUP(T494,'CAFCO 300 IDIEM TABLAS'!$J$4:$L$40,2,FALSE),0)+IF(AND(L494="Cafco 300",J494&gt;=95,J494&lt;=450,G494=4,C494="IN",I494=120),VLOOKUP(T494,'CAFCO 300 IDIEM TABLAS'!$J$4:$L$40,3,FALSE),0)+IF(AND(M494="Ensayo Idiem",L494="Cafco 400",C494="IN",G494=4,I494=90),VLOOKUP(T494,'CAFCO 400 ENSAYO'!$B$7:$D$43,2,FALSE),0)+IF(AND(M494="Ensayo Idiem",L494="Cafco 400",C494="IN",G494=4,I494=120),VLOOKUP(T494,'CAFCO 400 ENSAYO'!$B$7:$D$43,3,FALSE),0)</f>
        <v>0</v>
      </c>
      <c r="O494" s="96">
        <f t="shared" si="54"/>
        <v>0</v>
      </c>
      <c r="P494" s="95" t="str">
        <f t="shared" si="49"/>
        <v>N/A</v>
      </c>
      <c r="Q494" s="95" t="str">
        <f t="shared" si="50"/>
        <v>N/A</v>
      </c>
      <c r="R494" s="95" t="str">
        <f t="shared" si="51"/>
        <v>NO CERT.</v>
      </c>
      <c r="S494" s="95" t="e">
        <f t="shared" si="52"/>
        <v>#N/A</v>
      </c>
      <c r="T494" s="119" t="e">
        <f>+IF(J494=LOOKUP(J494,'CAFCO 300 IDIEM TABLAS'!$J$4:$J$40),'CALCULO MORTERO'!J494,MROUND('CALCULO MORTERO'!J494,10))</f>
        <v>#N/A</v>
      </c>
      <c r="U494" s="118">
        <f t="shared" si="53"/>
        <v>0</v>
      </c>
      <c r="Y494" s="4"/>
      <c r="Z494" s="4"/>
      <c r="AA494" s="4"/>
    </row>
    <row r="495" spans="1:27" x14ac:dyDescent="0.25">
      <c r="A495" s="118">
        <f>+CUBICACION!D489</f>
        <v>0</v>
      </c>
      <c r="B495" s="819">
        <f>+CUBICACION!E489</f>
        <v>0</v>
      </c>
      <c r="C495" s="675">
        <f>+CUBICACION!F489</f>
        <v>0</v>
      </c>
      <c r="D495" s="118"/>
      <c r="E495" s="118"/>
      <c r="F495" s="820"/>
      <c r="G495" s="675">
        <f>+CUBICACION!J489</f>
        <v>0</v>
      </c>
      <c r="H495" s="118"/>
      <c r="I495" s="821">
        <f>+CUBICACION!L489</f>
        <v>0</v>
      </c>
      <c r="J495" s="64">
        <f>+CUBICACION!M489</f>
        <v>0</v>
      </c>
      <c r="K495" s="822" t="str">
        <f>+CUBICACION!N489</f>
        <v/>
      </c>
      <c r="L495" s="118">
        <f>+CUBICACION!O489</f>
        <v>0</v>
      </c>
      <c r="M495" s="823">
        <f>+CUBICACION!P489</f>
        <v>0</v>
      </c>
      <c r="N495" s="902">
        <f>ROUND(IF(AND(L495="Blaze Shield II",M495="Software Idiem",C495="IN",G495=4),((('BLAZE SHIELD II'!$D$4*('CALCULO MORTERO'!I495^2)+'BLAZE SHIELD II'!$D$5*'CALCULO MORTERO'!I495+'BLAZE SHIELD II'!$D$6)*LN(J495))+('BLAZE SHIELD II'!$D$7*('CALCULO MORTERO'!I495^2)+'BLAZE SHIELD II'!$D$8*'CALCULO MORTERO'!I495+'BLAZE SHIELD II'!$D$9)),0)+IF(AND(L495="Blaze Shield II",M495="Software Idiem",C495="Cj"),((('BLAZE SHIELD II'!$H$4*('CALCULO MORTERO'!I495^2)+'BLAZE SHIELD II'!$H$5*'CALCULO MORTERO'!I495+'BLAZE SHIELD II'!$H$6)*LN(J495))+('BLAZE SHIELD II'!$H$7*('CALCULO MORTERO'!I495^2)+'BLAZE SHIELD II'!$H$8*'CALCULO MORTERO'!I495+'BLAZE SHIELD II'!$H$9)),0)+IF(AND(L495="Blaze Shield II",M495="Software Idiem",C495="C"),((('BLAZE SHIELD II'!$L$4*('CALCULO MORTERO'!I495^2)+'BLAZE SHIELD II'!$L$5*'CALCULO MORTERO'!I495+'BLAZE SHIELD II'!$L$6)*LN(J495))+('BLAZE SHIELD II'!$L$7*('CALCULO MORTERO'!I495^2)+'BLAZE SHIELD II'!$L$8*'CALCULO MORTERO'!I495+'BLAZE SHIELD II'!$L$9)),0)+IF(AND(L495="Blaze Shield II",M495="Software Idiem",C495="L"),((('BLAZE SHIELD II'!$L$4*('CALCULO MORTERO'!I495^2)+'BLAZE SHIELD II'!$L$5*'CALCULO MORTERO'!I495+'BLAZE SHIELD II'!$L$6)*LN(J495))+('BLAZE SHIELD II'!$L$7*('CALCULO MORTERO'!I495^2)+'BLAZE SHIELD II'!$L$8*'CALCULO MORTERO'!I495+'BLAZE SHIELD II'!$L$9)),0)+IF(AND(L495="Blaze Shield II",M495="Software Idiem",C495="IN",G495=3),((('BLAZE SHIELD II'!$H$14*('CALCULO MORTERO'!I495^2)+'BLAZE SHIELD II'!$H$15*'CALCULO MORTERO'!I495+'BLAZE SHIELD II'!$H$16)*LN(J495))+('BLAZE SHIELD II'!$H$17*('CALCULO MORTERO'!I495^2)+'BLAZE SHIELD II'!$H$18*'CALCULO MORTERO'!I495+'BLAZE SHIELD II'!$H$19)),0),0)+ROUND(IF(AND(L495="Cafco 400",M495="Software Idiem",C495="IN",G495=4),((('CAFCO 400 '!$H$7*(J495^4)+'CAFCO 400 '!$H$8*(J495^3)+'CAFCO 400 '!$H$9*(J495^2)+'CAFCO 400 '!$H$10*J495+'CAFCO 400 '!$H$11)*U495^2)+(('CAFCO 400 '!$H$12*(J495^3)+'CAFCO 400 '!$H$13*(J495^2)+'CAFCO 400 '!$H$14*J495+'CAFCO 400 '!$H$15)*U495)+('CAFCO 400 '!$H$16*(J495^2)+'CAFCO 400 '!$H$17*J495+'CAFCO 400 '!$H$18)),0)+IF(AND(L495="Cafco 400",M495="Software Idiem",C495="Cj"),(((('CAFCO 400 '!$D$7*LN(J495)+'CAFCO 400 '!$D$8)*U495^2)+(('CAFCO 400 '!$D$9*LN(J495)+'CAFCO 400 '!$D$10)*U495)+('CAFCO 400 '!$D$11*LN(J495)+'CAFCO 400 '!$D$12))),0)+IF(AND(L495="Cafco 400",M495="Software Idiem",C495="C"),((('CAFCO 400 '!$L$7*(J495^3)+'CAFCO 400 '!$L$8*(J495^2)+'CAFCO 400 '!$L$9*J495+'CAFCO 400 '!$L$10)*U495^2)+(('CAFCO 400 '!$L$11*(J495^3)+'CAFCO 400 '!$L$12*(J495^2)+'CAFCO 400 '!$L$13*J495+'CAFCO 400 '!$L$14)*U495)+('CAFCO 400 '!$L$15*LN(J495)+'CAFCO 400 '!$L$16)),0)+IF(AND(L495="Cafco 400",M495="Software Idiem",C495="L"),((('CAFCO 400 '!$L$7*(J495^3)+'CAFCO 400 '!$L$8*(J495^2)+'CAFCO 400 '!$L$9*J495+'CAFCO 400 '!$L$10)*U495^2)+(('CAFCO 400 '!$L$11*(J495^3)+'CAFCO 400 '!$L$12*(J495^2)+'CAFCO 400 '!$L$13*J495+'CAFCO 400 '!$L$14)*U495)+('CAFCO 400 '!$L$15*LN(J495)+'CAFCO 400 '!$L$16)),0)+IF(AND(L495="Cafco 400",M495="Software Idiem",C495="IN",G495=3),((('CAFCO 400 '!$D$23*(J495^2)+'CAFCO 400 '!$D$24*(J495)+'CAFCO 400 '!$D$25)*U495^2)+(('CAFCO 400 '!$D$26*(J495^2)+'CAFCO 400 '!$D$27*J495+'CAFCO 400 '!$D$28)*U495)+('CAFCO 400 '!$D$29*(J495^2)+'CAFCO 400 '!$D$30*J495+'CAFCO 400 '!$D$31)),0),0)+IF(AND(L495="Cafco 300",J495&gt;=95,J495&lt;=240,C495="Cj",I495=90),VLOOKUP(T495,'CAFCO 300 IDIEM TABLAS'!$B$4:$D$23,2,FALSE),0)+IF(AND(L495="Cafco 300",J495&gt;=95,J495&lt;=240,C495="Cj",I495=120),VLOOKUP(T495,'CAFCO 300 IDIEM TABLAS'!$B$4:$D$23,3,FALSE),0)+IF(AND(L495="Cafco 300",J495&gt;=95,J495&lt;=400,G495=3,C495="IN",I495=90),VLOOKUP(T495,'CAFCO 300 IDIEM TABLAS'!$F$4:$H$35,2,FALSE),0)+IF(AND(L495="Cafco 300",J495&gt;=95,J495&lt;=400,G495=3,C495="IN",I495=120),VLOOKUP(T495,'CAFCO 300 IDIEM TABLAS'!$F$4:$H$35,3,FALSE),0)+IF(AND(L495="Cafco 300",J495&gt;=95,J495&lt;=450,G495=4,C495="IN",I495=90),VLOOKUP(T495,'CAFCO 300 IDIEM TABLAS'!$J$4:$L$40,2,FALSE),0)+IF(AND(L495="Cafco 300",J495&gt;=95,J495&lt;=450,G495=4,C495="IN",I495=120),VLOOKUP(T495,'CAFCO 300 IDIEM TABLAS'!$J$4:$L$40,3,FALSE),0)+IF(AND(M495="Ensayo Idiem",L495="Cafco 400",C495="IN",G495=4,I495=90),VLOOKUP(T495,'CAFCO 400 ENSAYO'!$B$7:$D$43,2,FALSE),0)+IF(AND(M495="Ensayo Idiem",L495="Cafco 400",C495="IN",G495=4,I495=120),VLOOKUP(T495,'CAFCO 400 ENSAYO'!$B$7:$D$43,3,FALSE),0)</f>
        <v>0</v>
      </c>
      <c r="O495" s="96">
        <f t="shared" si="54"/>
        <v>0</v>
      </c>
      <c r="P495" s="132" t="str">
        <f t="shared" si="49"/>
        <v>N/A</v>
      </c>
      <c r="Q495" s="132" t="str">
        <f t="shared" si="50"/>
        <v>N/A</v>
      </c>
      <c r="R495" s="132" t="str">
        <f t="shared" si="51"/>
        <v>NO CERT.</v>
      </c>
      <c r="S495" s="132" t="e">
        <f t="shared" si="52"/>
        <v>#N/A</v>
      </c>
      <c r="T495" s="133" t="e">
        <f>+IF(J495=LOOKUP(J495,'CAFCO 300 IDIEM TABLAS'!$J$4:$J$40),'CALCULO MORTERO'!J495,MROUND('CALCULO MORTERO'!J495,10))</f>
        <v>#N/A</v>
      </c>
      <c r="U495" s="134">
        <f t="shared" si="53"/>
        <v>0</v>
      </c>
      <c r="Y495" s="4"/>
      <c r="Z495" s="4"/>
      <c r="AA495" s="4"/>
    </row>
    <row r="496" spans="1:27" x14ac:dyDescent="0.25">
      <c r="A496" s="118">
        <f>+CUBICACION!D490</f>
        <v>0</v>
      </c>
      <c r="B496" s="819">
        <f>+CUBICACION!E490</f>
        <v>0</v>
      </c>
      <c r="C496" s="675">
        <f>+CUBICACION!F490</f>
        <v>0</v>
      </c>
      <c r="D496" s="118"/>
      <c r="E496" s="118"/>
      <c r="F496" s="820"/>
      <c r="G496" s="675">
        <f>+CUBICACION!J490</f>
        <v>0</v>
      </c>
      <c r="H496" s="118"/>
      <c r="I496" s="821">
        <f>+CUBICACION!L490</f>
        <v>0</v>
      </c>
      <c r="J496" s="64">
        <f>+CUBICACION!M490</f>
        <v>0</v>
      </c>
      <c r="K496" s="822" t="str">
        <f>+CUBICACION!N490</f>
        <v/>
      </c>
      <c r="L496" s="118">
        <f>+CUBICACION!O490</f>
        <v>0</v>
      </c>
      <c r="M496" s="823">
        <f>+CUBICACION!P490</f>
        <v>0</v>
      </c>
      <c r="N496" s="902">
        <f>ROUND(IF(AND(L496="Blaze Shield II",M496="Software Idiem",C496="IN",G496=4),((('BLAZE SHIELD II'!$D$4*('CALCULO MORTERO'!I496^2)+'BLAZE SHIELD II'!$D$5*'CALCULO MORTERO'!I496+'BLAZE SHIELD II'!$D$6)*LN(J496))+('BLAZE SHIELD II'!$D$7*('CALCULO MORTERO'!I496^2)+'BLAZE SHIELD II'!$D$8*'CALCULO MORTERO'!I496+'BLAZE SHIELD II'!$D$9)),0)+IF(AND(L496="Blaze Shield II",M496="Software Idiem",C496="Cj"),((('BLAZE SHIELD II'!$H$4*('CALCULO MORTERO'!I496^2)+'BLAZE SHIELD II'!$H$5*'CALCULO MORTERO'!I496+'BLAZE SHIELD II'!$H$6)*LN(J496))+('BLAZE SHIELD II'!$H$7*('CALCULO MORTERO'!I496^2)+'BLAZE SHIELD II'!$H$8*'CALCULO MORTERO'!I496+'BLAZE SHIELD II'!$H$9)),0)+IF(AND(L496="Blaze Shield II",M496="Software Idiem",C496="C"),((('BLAZE SHIELD II'!$L$4*('CALCULO MORTERO'!I496^2)+'BLAZE SHIELD II'!$L$5*'CALCULO MORTERO'!I496+'BLAZE SHIELD II'!$L$6)*LN(J496))+('BLAZE SHIELD II'!$L$7*('CALCULO MORTERO'!I496^2)+'BLAZE SHIELD II'!$L$8*'CALCULO MORTERO'!I496+'BLAZE SHIELD II'!$L$9)),0)+IF(AND(L496="Blaze Shield II",M496="Software Idiem",C496="L"),((('BLAZE SHIELD II'!$L$4*('CALCULO MORTERO'!I496^2)+'BLAZE SHIELD II'!$L$5*'CALCULO MORTERO'!I496+'BLAZE SHIELD II'!$L$6)*LN(J496))+('BLAZE SHIELD II'!$L$7*('CALCULO MORTERO'!I496^2)+'BLAZE SHIELD II'!$L$8*'CALCULO MORTERO'!I496+'BLAZE SHIELD II'!$L$9)),0)+IF(AND(L496="Blaze Shield II",M496="Software Idiem",C496="IN",G496=3),((('BLAZE SHIELD II'!$H$14*('CALCULO MORTERO'!I496^2)+'BLAZE SHIELD II'!$H$15*'CALCULO MORTERO'!I496+'BLAZE SHIELD II'!$H$16)*LN(J496))+('BLAZE SHIELD II'!$H$17*('CALCULO MORTERO'!I496^2)+'BLAZE SHIELD II'!$H$18*'CALCULO MORTERO'!I496+'BLAZE SHIELD II'!$H$19)),0),0)+ROUND(IF(AND(L496="Cafco 400",M496="Software Idiem",C496="IN",G496=4),((('CAFCO 400 '!$H$7*(J496^4)+'CAFCO 400 '!$H$8*(J496^3)+'CAFCO 400 '!$H$9*(J496^2)+'CAFCO 400 '!$H$10*J496+'CAFCO 400 '!$H$11)*U496^2)+(('CAFCO 400 '!$H$12*(J496^3)+'CAFCO 400 '!$H$13*(J496^2)+'CAFCO 400 '!$H$14*J496+'CAFCO 400 '!$H$15)*U496)+('CAFCO 400 '!$H$16*(J496^2)+'CAFCO 400 '!$H$17*J496+'CAFCO 400 '!$H$18)),0)+IF(AND(L496="Cafco 400",M496="Software Idiem",C496="Cj"),(((('CAFCO 400 '!$D$7*LN(J496)+'CAFCO 400 '!$D$8)*U496^2)+(('CAFCO 400 '!$D$9*LN(J496)+'CAFCO 400 '!$D$10)*U496)+('CAFCO 400 '!$D$11*LN(J496)+'CAFCO 400 '!$D$12))),0)+IF(AND(L496="Cafco 400",M496="Software Idiem",C496="C"),((('CAFCO 400 '!$L$7*(J496^3)+'CAFCO 400 '!$L$8*(J496^2)+'CAFCO 400 '!$L$9*J496+'CAFCO 400 '!$L$10)*U496^2)+(('CAFCO 400 '!$L$11*(J496^3)+'CAFCO 400 '!$L$12*(J496^2)+'CAFCO 400 '!$L$13*J496+'CAFCO 400 '!$L$14)*U496)+('CAFCO 400 '!$L$15*LN(J496)+'CAFCO 400 '!$L$16)),0)+IF(AND(L496="Cafco 400",M496="Software Idiem",C496="L"),((('CAFCO 400 '!$L$7*(J496^3)+'CAFCO 400 '!$L$8*(J496^2)+'CAFCO 400 '!$L$9*J496+'CAFCO 400 '!$L$10)*U496^2)+(('CAFCO 400 '!$L$11*(J496^3)+'CAFCO 400 '!$L$12*(J496^2)+'CAFCO 400 '!$L$13*J496+'CAFCO 400 '!$L$14)*U496)+('CAFCO 400 '!$L$15*LN(J496)+'CAFCO 400 '!$L$16)),0)+IF(AND(L496="Cafco 400",M496="Software Idiem",C496="IN",G496=3),((('CAFCO 400 '!$D$23*(J496^2)+'CAFCO 400 '!$D$24*(J496)+'CAFCO 400 '!$D$25)*U496^2)+(('CAFCO 400 '!$D$26*(J496^2)+'CAFCO 400 '!$D$27*J496+'CAFCO 400 '!$D$28)*U496)+('CAFCO 400 '!$D$29*(J496^2)+'CAFCO 400 '!$D$30*J496+'CAFCO 400 '!$D$31)),0),0)+IF(AND(L496="Cafco 300",J496&gt;=95,J496&lt;=240,C496="Cj",I496=90),VLOOKUP(T496,'CAFCO 300 IDIEM TABLAS'!$B$4:$D$23,2,FALSE),0)+IF(AND(L496="Cafco 300",J496&gt;=95,J496&lt;=240,C496="Cj",I496=120),VLOOKUP(T496,'CAFCO 300 IDIEM TABLAS'!$B$4:$D$23,3,FALSE),0)+IF(AND(L496="Cafco 300",J496&gt;=95,J496&lt;=400,G496=3,C496="IN",I496=90),VLOOKUP(T496,'CAFCO 300 IDIEM TABLAS'!$F$4:$H$35,2,FALSE),0)+IF(AND(L496="Cafco 300",J496&gt;=95,J496&lt;=400,G496=3,C496="IN",I496=120),VLOOKUP(T496,'CAFCO 300 IDIEM TABLAS'!$F$4:$H$35,3,FALSE),0)+IF(AND(L496="Cafco 300",J496&gt;=95,J496&lt;=450,G496=4,C496="IN",I496=90),VLOOKUP(T496,'CAFCO 300 IDIEM TABLAS'!$J$4:$L$40,2,FALSE),0)+IF(AND(L496="Cafco 300",J496&gt;=95,J496&lt;=450,G496=4,C496="IN",I496=120),VLOOKUP(T496,'CAFCO 300 IDIEM TABLAS'!$J$4:$L$40,3,FALSE),0)+IF(AND(M496="Ensayo Idiem",L496="Cafco 400",C496="IN",G496=4,I496=90),VLOOKUP(T496,'CAFCO 400 ENSAYO'!$B$7:$D$43,2,FALSE),0)+IF(AND(M496="Ensayo Idiem",L496="Cafco 400",C496="IN",G496=4,I496=120),VLOOKUP(T496,'CAFCO 400 ENSAYO'!$B$7:$D$43,3,FALSE),0)</f>
        <v>0</v>
      </c>
      <c r="O496" s="96">
        <f t="shared" si="54"/>
        <v>0</v>
      </c>
      <c r="P496" s="95" t="str">
        <f t="shared" si="49"/>
        <v>N/A</v>
      </c>
      <c r="Q496" s="95" t="str">
        <f t="shared" si="50"/>
        <v>N/A</v>
      </c>
      <c r="R496" s="95" t="str">
        <f t="shared" si="51"/>
        <v>NO CERT.</v>
      </c>
      <c r="S496" s="95" t="e">
        <f t="shared" si="52"/>
        <v>#N/A</v>
      </c>
      <c r="T496" s="119" t="e">
        <f>+IF(J496=LOOKUP(J496,'CAFCO 300 IDIEM TABLAS'!$J$4:$J$40),'CALCULO MORTERO'!J496,MROUND('CALCULO MORTERO'!J496,10))</f>
        <v>#N/A</v>
      </c>
      <c r="U496" s="118">
        <f t="shared" si="53"/>
        <v>0</v>
      </c>
      <c r="Y496" s="4"/>
      <c r="Z496" s="4"/>
      <c r="AA496" s="4"/>
    </row>
    <row r="497" spans="1:27" x14ac:dyDescent="0.25">
      <c r="A497" s="118">
        <f>+CUBICACION!D491</f>
        <v>0</v>
      </c>
      <c r="B497" s="819">
        <f>+CUBICACION!E491</f>
        <v>0</v>
      </c>
      <c r="C497" s="675">
        <f>+CUBICACION!F491</f>
        <v>0</v>
      </c>
      <c r="D497" s="118"/>
      <c r="E497" s="118"/>
      <c r="F497" s="820"/>
      <c r="G497" s="675">
        <f>+CUBICACION!J491</f>
        <v>0</v>
      </c>
      <c r="H497" s="118"/>
      <c r="I497" s="821">
        <f>+CUBICACION!L491</f>
        <v>0</v>
      </c>
      <c r="J497" s="64">
        <f>+CUBICACION!M491</f>
        <v>0</v>
      </c>
      <c r="K497" s="822" t="str">
        <f>+CUBICACION!N491</f>
        <v/>
      </c>
      <c r="L497" s="118">
        <f>+CUBICACION!O491</f>
        <v>0</v>
      </c>
      <c r="M497" s="823">
        <f>+CUBICACION!P491</f>
        <v>0</v>
      </c>
      <c r="N497" s="902">
        <f>ROUND(IF(AND(L497="Blaze Shield II",M497="Software Idiem",C497="IN",G497=4),((('BLAZE SHIELD II'!$D$4*('CALCULO MORTERO'!I497^2)+'BLAZE SHIELD II'!$D$5*'CALCULO MORTERO'!I497+'BLAZE SHIELD II'!$D$6)*LN(J497))+('BLAZE SHIELD II'!$D$7*('CALCULO MORTERO'!I497^2)+'BLAZE SHIELD II'!$D$8*'CALCULO MORTERO'!I497+'BLAZE SHIELD II'!$D$9)),0)+IF(AND(L497="Blaze Shield II",M497="Software Idiem",C497="Cj"),((('BLAZE SHIELD II'!$H$4*('CALCULO MORTERO'!I497^2)+'BLAZE SHIELD II'!$H$5*'CALCULO MORTERO'!I497+'BLAZE SHIELD II'!$H$6)*LN(J497))+('BLAZE SHIELD II'!$H$7*('CALCULO MORTERO'!I497^2)+'BLAZE SHIELD II'!$H$8*'CALCULO MORTERO'!I497+'BLAZE SHIELD II'!$H$9)),0)+IF(AND(L497="Blaze Shield II",M497="Software Idiem",C497="C"),((('BLAZE SHIELD II'!$L$4*('CALCULO MORTERO'!I497^2)+'BLAZE SHIELD II'!$L$5*'CALCULO MORTERO'!I497+'BLAZE SHIELD II'!$L$6)*LN(J497))+('BLAZE SHIELD II'!$L$7*('CALCULO MORTERO'!I497^2)+'BLAZE SHIELD II'!$L$8*'CALCULO MORTERO'!I497+'BLAZE SHIELD II'!$L$9)),0)+IF(AND(L497="Blaze Shield II",M497="Software Idiem",C497="L"),((('BLAZE SHIELD II'!$L$4*('CALCULO MORTERO'!I497^2)+'BLAZE SHIELD II'!$L$5*'CALCULO MORTERO'!I497+'BLAZE SHIELD II'!$L$6)*LN(J497))+('BLAZE SHIELD II'!$L$7*('CALCULO MORTERO'!I497^2)+'BLAZE SHIELD II'!$L$8*'CALCULO MORTERO'!I497+'BLAZE SHIELD II'!$L$9)),0)+IF(AND(L497="Blaze Shield II",M497="Software Idiem",C497="IN",G497=3),((('BLAZE SHIELD II'!$H$14*('CALCULO MORTERO'!I497^2)+'BLAZE SHIELD II'!$H$15*'CALCULO MORTERO'!I497+'BLAZE SHIELD II'!$H$16)*LN(J497))+('BLAZE SHIELD II'!$H$17*('CALCULO MORTERO'!I497^2)+'BLAZE SHIELD II'!$H$18*'CALCULO MORTERO'!I497+'BLAZE SHIELD II'!$H$19)),0),0)+ROUND(IF(AND(L497="Cafco 400",M497="Software Idiem",C497="IN",G497=4),((('CAFCO 400 '!$H$7*(J497^4)+'CAFCO 400 '!$H$8*(J497^3)+'CAFCO 400 '!$H$9*(J497^2)+'CAFCO 400 '!$H$10*J497+'CAFCO 400 '!$H$11)*U497^2)+(('CAFCO 400 '!$H$12*(J497^3)+'CAFCO 400 '!$H$13*(J497^2)+'CAFCO 400 '!$H$14*J497+'CAFCO 400 '!$H$15)*U497)+('CAFCO 400 '!$H$16*(J497^2)+'CAFCO 400 '!$H$17*J497+'CAFCO 400 '!$H$18)),0)+IF(AND(L497="Cafco 400",M497="Software Idiem",C497="Cj"),(((('CAFCO 400 '!$D$7*LN(J497)+'CAFCO 400 '!$D$8)*U497^2)+(('CAFCO 400 '!$D$9*LN(J497)+'CAFCO 400 '!$D$10)*U497)+('CAFCO 400 '!$D$11*LN(J497)+'CAFCO 400 '!$D$12))),0)+IF(AND(L497="Cafco 400",M497="Software Idiem",C497="C"),((('CAFCO 400 '!$L$7*(J497^3)+'CAFCO 400 '!$L$8*(J497^2)+'CAFCO 400 '!$L$9*J497+'CAFCO 400 '!$L$10)*U497^2)+(('CAFCO 400 '!$L$11*(J497^3)+'CAFCO 400 '!$L$12*(J497^2)+'CAFCO 400 '!$L$13*J497+'CAFCO 400 '!$L$14)*U497)+('CAFCO 400 '!$L$15*LN(J497)+'CAFCO 400 '!$L$16)),0)+IF(AND(L497="Cafco 400",M497="Software Idiem",C497="L"),((('CAFCO 400 '!$L$7*(J497^3)+'CAFCO 400 '!$L$8*(J497^2)+'CAFCO 400 '!$L$9*J497+'CAFCO 400 '!$L$10)*U497^2)+(('CAFCO 400 '!$L$11*(J497^3)+'CAFCO 400 '!$L$12*(J497^2)+'CAFCO 400 '!$L$13*J497+'CAFCO 400 '!$L$14)*U497)+('CAFCO 400 '!$L$15*LN(J497)+'CAFCO 400 '!$L$16)),0)+IF(AND(L497="Cafco 400",M497="Software Idiem",C497="IN",G497=3),((('CAFCO 400 '!$D$23*(J497^2)+'CAFCO 400 '!$D$24*(J497)+'CAFCO 400 '!$D$25)*U497^2)+(('CAFCO 400 '!$D$26*(J497^2)+'CAFCO 400 '!$D$27*J497+'CAFCO 400 '!$D$28)*U497)+('CAFCO 400 '!$D$29*(J497^2)+'CAFCO 400 '!$D$30*J497+'CAFCO 400 '!$D$31)),0),0)+IF(AND(L497="Cafco 300",J497&gt;=95,J497&lt;=240,C497="Cj",I497=90),VLOOKUP(T497,'CAFCO 300 IDIEM TABLAS'!$B$4:$D$23,2,FALSE),0)+IF(AND(L497="Cafco 300",J497&gt;=95,J497&lt;=240,C497="Cj",I497=120),VLOOKUP(T497,'CAFCO 300 IDIEM TABLAS'!$B$4:$D$23,3,FALSE),0)+IF(AND(L497="Cafco 300",J497&gt;=95,J497&lt;=400,G497=3,C497="IN",I497=90),VLOOKUP(T497,'CAFCO 300 IDIEM TABLAS'!$F$4:$H$35,2,FALSE),0)+IF(AND(L497="Cafco 300",J497&gt;=95,J497&lt;=400,G497=3,C497="IN",I497=120),VLOOKUP(T497,'CAFCO 300 IDIEM TABLAS'!$F$4:$H$35,3,FALSE),0)+IF(AND(L497="Cafco 300",J497&gt;=95,J497&lt;=450,G497=4,C497="IN",I497=90),VLOOKUP(T497,'CAFCO 300 IDIEM TABLAS'!$J$4:$L$40,2,FALSE),0)+IF(AND(L497="Cafco 300",J497&gt;=95,J497&lt;=450,G497=4,C497="IN",I497=120),VLOOKUP(T497,'CAFCO 300 IDIEM TABLAS'!$J$4:$L$40,3,FALSE),0)+IF(AND(M497="Ensayo Idiem",L497="Cafco 400",C497="IN",G497=4,I497=90),VLOOKUP(T497,'CAFCO 400 ENSAYO'!$B$7:$D$43,2,FALSE),0)+IF(AND(M497="Ensayo Idiem",L497="Cafco 400",C497="IN",G497=4,I497=120),VLOOKUP(T497,'CAFCO 400 ENSAYO'!$B$7:$D$43,3,FALSE),0)</f>
        <v>0</v>
      </c>
      <c r="O497" s="96">
        <f t="shared" si="54"/>
        <v>0</v>
      </c>
      <c r="P497" s="132" t="str">
        <f t="shared" si="49"/>
        <v>N/A</v>
      </c>
      <c r="Q497" s="132" t="str">
        <f t="shared" si="50"/>
        <v>N/A</v>
      </c>
      <c r="R497" s="132" t="str">
        <f t="shared" si="51"/>
        <v>NO CERT.</v>
      </c>
      <c r="S497" s="132" t="e">
        <f t="shared" si="52"/>
        <v>#N/A</v>
      </c>
      <c r="T497" s="133" t="e">
        <f>+IF(J497=LOOKUP(J497,'CAFCO 300 IDIEM TABLAS'!$J$4:$J$40),'CALCULO MORTERO'!J497,MROUND('CALCULO MORTERO'!J497,10))</f>
        <v>#N/A</v>
      </c>
      <c r="U497" s="134">
        <f t="shared" si="53"/>
        <v>0</v>
      </c>
      <c r="Y497" s="4"/>
      <c r="Z497" s="4"/>
      <c r="AA497" s="4"/>
    </row>
    <row r="498" spans="1:27" x14ac:dyDescent="0.25">
      <c r="A498" s="118">
        <f>+CUBICACION!D492</f>
        <v>0</v>
      </c>
      <c r="B498" s="819">
        <f>+CUBICACION!E492</f>
        <v>0</v>
      </c>
      <c r="C498" s="675">
        <f>+CUBICACION!F492</f>
        <v>0</v>
      </c>
      <c r="D498" s="118"/>
      <c r="E498" s="118"/>
      <c r="F498" s="820"/>
      <c r="G498" s="675">
        <f>+CUBICACION!J492</f>
        <v>0</v>
      </c>
      <c r="H498" s="118"/>
      <c r="I498" s="821">
        <f>+CUBICACION!L492</f>
        <v>0</v>
      </c>
      <c r="J498" s="64">
        <f>+CUBICACION!M492</f>
        <v>0</v>
      </c>
      <c r="K498" s="822" t="str">
        <f>+CUBICACION!N492</f>
        <v/>
      </c>
      <c r="L498" s="118">
        <f>+CUBICACION!O492</f>
        <v>0</v>
      </c>
      <c r="M498" s="823">
        <f>+CUBICACION!P492</f>
        <v>0</v>
      </c>
      <c r="N498" s="902">
        <f>ROUND(IF(AND(L498="Blaze Shield II",M498="Software Idiem",C498="IN",G498=4),((('BLAZE SHIELD II'!$D$4*('CALCULO MORTERO'!I498^2)+'BLAZE SHIELD II'!$D$5*'CALCULO MORTERO'!I498+'BLAZE SHIELD II'!$D$6)*LN(J498))+('BLAZE SHIELD II'!$D$7*('CALCULO MORTERO'!I498^2)+'BLAZE SHIELD II'!$D$8*'CALCULO MORTERO'!I498+'BLAZE SHIELD II'!$D$9)),0)+IF(AND(L498="Blaze Shield II",M498="Software Idiem",C498="Cj"),((('BLAZE SHIELD II'!$H$4*('CALCULO MORTERO'!I498^2)+'BLAZE SHIELD II'!$H$5*'CALCULO MORTERO'!I498+'BLAZE SHIELD II'!$H$6)*LN(J498))+('BLAZE SHIELD II'!$H$7*('CALCULO MORTERO'!I498^2)+'BLAZE SHIELD II'!$H$8*'CALCULO MORTERO'!I498+'BLAZE SHIELD II'!$H$9)),0)+IF(AND(L498="Blaze Shield II",M498="Software Idiem",C498="C"),((('BLAZE SHIELD II'!$L$4*('CALCULO MORTERO'!I498^2)+'BLAZE SHIELD II'!$L$5*'CALCULO MORTERO'!I498+'BLAZE SHIELD II'!$L$6)*LN(J498))+('BLAZE SHIELD II'!$L$7*('CALCULO MORTERO'!I498^2)+'BLAZE SHIELD II'!$L$8*'CALCULO MORTERO'!I498+'BLAZE SHIELD II'!$L$9)),0)+IF(AND(L498="Blaze Shield II",M498="Software Idiem",C498="L"),((('BLAZE SHIELD II'!$L$4*('CALCULO MORTERO'!I498^2)+'BLAZE SHIELD II'!$L$5*'CALCULO MORTERO'!I498+'BLAZE SHIELD II'!$L$6)*LN(J498))+('BLAZE SHIELD II'!$L$7*('CALCULO MORTERO'!I498^2)+'BLAZE SHIELD II'!$L$8*'CALCULO MORTERO'!I498+'BLAZE SHIELD II'!$L$9)),0)+IF(AND(L498="Blaze Shield II",M498="Software Idiem",C498="IN",G498=3),((('BLAZE SHIELD II'!$H$14*('CALCULO MORTERO'!I498^2)+'BLAZE SHIELD II'!$H$15*'CALCULO MORTERO'!I498+'BLAZE SHIELD II'!$H$16)*LN(J498))+('BLAZE SHIELD II'!$H$17*('CALCULO MORTERO'!I498^2)+'BLAZE SHIELD II'!$H$18*'CALCULO MORTERO'!I498+'BLAZE SHIELD II'!$H$19)),0),0)+ROUND(IF(AND(L498="Cafco 400",M498="Software Idiem",C498="IN",G498=4),((('CAFCO 400 '!$H$7*(J498^4)+'CAFCO 400 '!$H$8*(J498^3)+'CAFCO 400 '!$H$9*(J498^2)+'CAFCO 400 '!$H$10*J498+'CAFCO 400 '!$H$11)*U498^2)+(('CAFCO 400 '!$H$12*(J498^3)+'CAFCO 400 '!$H$13*(J498^2)+'CAFCO 400 '!$H$14*J498+'CAFCO 400 '!$H$15)*U498)+('CAFCO 400 '!$H$16*(J498^2)+'CAFCO 400 '!$H$17*J498+'CAFCO 400 '!$H$18)),0)+IF(AND(L498="Cafco 400",M498="Software Idiem",C498="Cj"),(((('CAFCO 400 '!$D$7*LN(J498)+'CAFCO 400 '!$D$8)*U498^2)+(('CAFCO 400 '!$D$9*LN(J498)+'CAFCO 400 '!$D$10)*U498)+('CAFCO 400 '!$D$11*LN(J498)+'CAFCO 400 '!$D$12))),0)+IF(AND(L498="Cafco 400",M498="Software Idiem",C498="C"),((('CAFCO 400 '!$L$7*(J498^3)+'CAFCO 400 '!$L$8*(J498^2)+'CAFCO 400 '!$L$9*J498+'CAFCO 400 '!$L$10)*U498^2)+(('CAFCO 400 '!$L$11*(J498^3)+'CAFCO 400 '!$L$12*(J498^2)+'CAFCO 400 '!$L$13*J498+'CAFCO 400 '!$L$14)*U498)+('CAFCO 400 '!$L$15*LN(J498)+'CAFCO 400 '!$L$16)),0)+IF(AND(L498="Cafco 400",M498="Software Idiem",C498="L"),((('CAFCO 400 '!$L$7*(J498^3)+'CAFCO 400 '!$L$8*(J498^2)+'CAFCO 400 '!$L$9*J498+'CAFCO 400 '!$L$10)*U498^2)+(('CAFCO 400 '!$L$11*(J498^3)+'CAFCO 400 '!$L$12*(J498^2)+'CAFCO 400 '!$L$13*J498+'CAFCO 400 '!$L$14)*U498)+('CAFCO 400 '!$L$15*LN(J498)+'CAFCO 400 '!$L$16)),0)+IF(AND(L498="Cafco 400",M498="Software Idiem",C498="IN",G498=3),((('CAFCO 400 '!$D$23*(J498^2)+'CAFCO 400 '!$D$24*(J498)+'CAFCO 400 '!$D$25)*U498^2)+(('CAFCO 400 '!$D$26*(J498^2)+'CAFCO 400 '!$D$27*J498+'CAFCO 400 '!$D$28)*U498)+('CAFCO 400 '!$D$29*(J498^2)+'CAFCO 400 '!$D$30*J498+'CAFCO 400 '!$D$31)),0),0)+IF(AND(L498="Cafco 300",J498&gt;=95,J498&lt;=240,C498="Cj",I498=90),VLOOKUP(T498,'CAFCO 300 IDIEM TABLAS'!$B$4:$D$23,2,FALSE),0)+IF(AND(L498="Cafco 300",J498&gt;=95,J498&lt;=240,C498="Cj",I498=120),VLOOKUP(T498,'CAFCO 300 IDIEM TABLAS'!$B$4:$D$23,3,FALSE),0)+IF(AND(L498="Cafco 300",J498&gt;=95,J498&lt;=400,G498=3,C498="IN",I498=90),VLOOKUP(T498,'CAFCO 300 IDIEM TABLAS'!$F$4:$H$35,2,FALSE),0)+IF(AND(L498="Cafco 300",J498&gt;=95,J498&lt;=400,G498=3,C498="IN",I498=120),VLOOKUP(T498,'CAFCO 300 IDIEM TABLAS'!$F$4:$H$35,3,FALSE),0)+IF(AND(L498="Cafco 300",J498&gt;=95,J498&lt;=450,G498=4,C498="IN",I498=90),VLOOKUP(T498,'CAFCO 300 IDIEM TABLAS'!$J$4:$L$40,2,FALSE),0)+IF(AND(L498="Cafco 300",J498&gt;=95,J498&lt;=450,G498=4,C498="IN",I498=120),VLOOKUP(T498,'CAFCO 300 IDIEM TABLAS'!$J$4:$L$40,3,FALSE),0)+IF(AND(M498="Ensayo Idiem",L498="Cafco 400",C498="IN",G498=4,I498=90),VLOOKUP(T498,'CAFCO 400 ENSAYO'!$B$7:$D$43,2,FALSE),0)+IF(AND(M498="Ensayo Idiem",L498="Cafco 400",C498="IN",G498=4,I498=120),VLOOKUP(T498,'CAFCO 400 ENSAYO'!$B$7:$D$43,3,FALSE),0)</f>
        <v>0</v>
      </c>
      <c r="O498" s="96">
        <f t="shared" si="54"/>
        <v>0</v>
      </c>
      <c r="P498" s="95" t="str">
        <f t="shared" ref="P498:P561" si="55">IF(AND(M498="Software Idiem"),IF(AND(C498="IN",G498=4,J498&gt;=50,J498&lt;=500),"CERT.",IF(AND(C498="Cj",J498&gt;=50,J498&lt;=500),"CERT.",IF(AND(C498="C",J498&gt;=50,J498&lt;=1000),"CERT.",IF(AND(C498="L",J498&gt;=50,J498&lt;=1000),"CERT.",IF(AND(C498="IN",G498=3,J498&gt;=50,J498&lt;=500),"CERT.","NO CERT."))))),"N/A")</f>
        <v>N/A</v>
      </c>
      <c r="Q498" s="95" t="str">
        <f t="shared" ref="Q498:Q561" si="56">IF(AND(M498="Software Idiem"),IF(AND(C498="IN",G498=4,J498&gt;=50,J498&lt;=500),"CERT.",IF(AND(C498="Cj",J498&gt;=50,J498&lt;=500),"CERT.",IF(AND(C498="C",J498&gt;=50,J498&lt;=1000),"CERT.",IF(AND(C498="L",J498&gt;=50,J498&lt;=1000),"CERT.",IF(AND(C498="IN",G498=3,J498&gt;=50,J498&lt;=500),"CERT.","NO CERT."))))),"N/A")</f>
        <v>N/A</v>
      </c>
      <c r="R498" s="95" t="str">
        <f t="shared" ref="R498:R561" si="57">IF(AND(C498="IN",G498=4,J498&gt;=95,J498&lt;=450,I498=90),"CERT.",IF(AND(C498="IN",G498=4,J498&gt;=95,J498&lt;=450,I498=120),"CERT.","NO CERT."))</f>
        <v>NO CERT.</v>
      </c>
      <c r="S498" s="95" t="e">
        <f t="shared" ref="S498:S561" si="58">IF(AND(C498="Cj",I498=90,T498&lt;=240),"CERT.",IF(AND(C498="Cj",I498=120,T498&lt;=240),"CERT.",IF(AND(C498="IN",G498=3,I498=90,T498&lt;=400),"CERT.",IF(AND(C498="IN",G498=3,I498=120,T498&lt;=400),"CERT.",IF(AND(C498="IN",G498=4,I498=90,T498&lt;=450),"CERT.",IF(AND(C498="IN",G498=4,I498=120,T498&lt;=450),"CERT.","NO CERT."))))))</f>
        <v>#N/A</v>
      </c>
      <c r="T498" s="119" t="e">
        <f>+IF(J498=LOOKUP(J498,'CAFCO 300 IDIEM TABLAS'!$J$4:$J$40),'CALCULO MORTERO'!J498,MROUND('CALCULO MORTERO'!J498,10))</f>
        <v>#N/A</v>
      </c>
      <c r="U498" s="118">
        <f t="shared" ref="U498:U561" si="59">+I498*60</f>
        <v>0</v>
      </c>
      <c r="Y498" s="4"/>
      <c r="Z498" s="4"/>
      <c r="AA498" s="4"/>
    </row>
    <row r="499" spans="1:27" x14ac:dyDescent="0.25">
      <c r="A499" s="118">
        <f>+CUBICACION!D493</f>
        <v>0</v>
      </c>
      <c r="B499" s="819">
        <f>+CUBICACION!E493</f>
        <v>0</v>
      </c>
      <c r="C499" s="675">
        <f>+CUBICACION!F493</f>
        <v>0</v>
      </c>
      <c r="D499" s="118"/>
      <c r="E499" s="118"/>
      <c r="F499" s="820"/>
      <c r="G499" s="675">
        <f>+CUBICACION!J493</f>
        <v>0</v>
      </c>
      <c r="H499" s="118"/>
      <c r="I499" s="821">
        <f>+CUBICACION!L493</f>
        <v>0</v>
      </c>
      <c r="J499" s="64">
        <f>+CUBICACION!M493</f>
        <v>0</v>
      </c>
      <c r="K499" s="822" t="str">
        <f>+CUBICACION!N493</f>
        <v/>
      </c>
      <c r="L499" s="118">
        <f>+CUBICACION!O493</f>
        <v>0</v>
      </c>
      <c r="M499" s="823">
        <f>+CUBICACION!P493</f>
        <v>0</v>
      </c>
      <c r="N499" s="902">
        <f>ROUND(IF(AND(L499="Blaze Shield II",M499="Software Idiem",C499="IN",G499=4),((('BLAZE SHIELD II'!$D$4*('CALCULO MORTERO'!I499^2)+'BLAZE SHIELD II'!$D$5*'CALCULO MORTERO'!I499+'BLAZE SHIELD II'!$D$6)*LN(J499))+('BLAZE SHIELD II'!$D$7*('CALCULO MORTERO'!I499^2)+'BLAZE SHIELD II'!$D$8*'CALCULO MORTERO'!I499+'BLAZE SHIELD II'!$D$9)),0)+IF(AND(L499="Blaze Shield II",M499="Software Idiem",C499="Cj"),((('BLAZE SHIELD II'!$H$4*('CALCULO MORTERO'!I499^2)+'BLAZE SHIELD II'!$H$5*'CALCULO MORTERO'!I499+'BLAZE SHIELD II'!$H$6)*LN(J499))+('BLAZE SHIELD II'!$H$7*('CALCULO MORTERO'!I499^2)+'BLAZE SHIELD II'!$H$8*'CALCULO MORTERO'!I499+'BLAZE SHIELD II'!$H$9)),0)+IF(AND(L499="Blaze Shield II",M499="Software Idiem",C499="C"),((('BLAZE SHIELD II'!$L$4*('CALCULO MORTERO'!I499^2)+'BLAZE SHIELD II'!$L$5*'CALCULO MORTERO'!I499+'BLAZE SHIELD II'!$L$6)*LN(J499))+('BLAZE SHIELD II'!$L$7*('CALCULO MORTERO'!I499^2)+'BLAZE SHIELD II'!$L$8*'CALCULO MORTERO'!I499+'BLAZE SHIELD II'!$L$9)),0)+IF(AND(L499="Blaze Shield II",M499="Software Idiem",C499="L"),((('BLAZE SHIELD II'!$L$4*('CALCULO MORTERO'!I499^2)+'BLAZE SHIELD II'!$L$5*'CALCULO MORTERO'!I499+'BLAZE SHIELD II'!$L$6)*LN(J499))+('BLAZE SHIELD II'!$L$7*('CALCULO MORTERO'!I499^2)+'BLAZE SHIELD II'!$L$8*'CALCULO MORTERO'!I499+'BLAZE SHIELD II'!$L$9)),0)+IF(AND(L499="Blaze Shield II",M499="Software Idiem",C499="IN",G499=3),((('BLAZE SHIELD II'!$H$14*('CALCULO MORTERO'!I499^2)+'BLAZE SHIELD II'!$H$15*'CALCULO MORTERO'!I499+'BLAZE SHIELD II'!$H$16)*LN(J499))+('BLAZE SHIELD II'!$H$17*('CALCULO MORTERO'!I499^2)+'BLAZE SHIELD II'!$H$18*'CALCULO MORTERO'!I499+'BLAZE SHIELD II'!$H$19)),0),0)+ROUND(IF(AND(L499="Cafco 400",M499="Software Idiem",C499="IN",G499=4),((('CAFCO 400 '!$H$7*(J499^4)+'CAFCO 400 '!$H$8*(J499^3)+'CAFCO 400 '!$H$9*(J499^2)+'CAFCO 400 '!$H$10*J499+'CAFCO 400 '!$H$11)*U499^2)+(('CAFCO 400 '!$H$12*(J499^3)+'CAFCO 400 '!$H$13*(J499^2)+'CAFCO 400 '!$H$14*J499+'CAFCO 400 '!$H$15)*U499)+('CAFCO 400 '!$H$16*(J499^2)+'CAFCO 400 '!$H$17*J499+'CAFCO 400 '!$H$18)),0)+IF(AND(L499="Cafco 400",M499="Software Idiem",C499="Cj"),(((('CAFCO 400 '!$D$7*LN(J499)+'CAFCO 400 '!$D$8)*U499^2)+(('CAFCO 400 '!$D$9*LN(J499)+'CAFCO 400 '!$D$10)*U499)+('CAFCO 400 '!$D$11*LN(J499)+'CAFCO 400 '!$D$12))),0)+IF(AND(L499="Cafco 400",M499="Software Idiem",C499="C"),((('CAFCO 400 '!$L$7*(J499^3)+'CAFCO 400 '!$L$8*(J499^2)+'CAFCO 400 '!$L$9*J499+'CAFCO 400 '!$L$10)*U499^2)+(('CAFCO 400 '!$L$11*(J499^3)+'CAFCO 400 '!$L$12*(J499^2)+'CAFCO 400 '!$L$13*J499+'CAFCO 400 '!$L$14)*U499)+('CAFCO 400 '!$L$15*LN(J499)+'CAFCO 400 '!$L$16)),0)+IF(AND(L499="Cafco 400",M499="Software Idiem",C499="L"),((('CAFCO 400 '!$L$7*(J499^3)+'CAFCO 400 '!$L$8*(J499^2)+'CAFCO 400 '!$L$9*J499+'CAFCO 400 '!$L$10)*U499^2)+(('CAFCO 400 '!$L$11*(J499^3)+'CAFCO 400 '!$L$12*(J499^2)+'CAFCO 400 '!$L$13*J499+'CAFCO 400 '!$L$14)*U499)+('CAFCO 400 '!$L$15*LN(J499)+'CAFCO 400 '!$L$16)),0)+IF(AND(L499="Cafco 400",M499="Software Idiem",C499="IN",G499=3),((('CAFCO 400 '!$D$23*(J499^2)+'CAFCO 400 '!$D$24*(J499)+'CAFCO 400 '!$D$25)*U499^2)+(('CAFCO 400 '!$D$26*(J499^2)+'CAFCO 400 '!$D$27*J499+'CAFCO 400 '!$D$28)*U499)+('CAFCO 400 '!$D$29*(J499^2)+'CAFCO 400 '!$D$30*J499+'CAFCO 400 '!$D$31)),0),0)+IF(AND(L499="Cafco 300",J499&gt;=95,J499&lt;=240,C499="Cj",I499=90),VLOOKUP(T499,'CAFCO 300 IDIEM TABLAS'!$B$4:$D$23,2,FALSE),0)+IF(AND(L499="Cafco 300",J499&gt;=95,J499&lt;=240,C499="Cj",I499=120),VLOOKUP(T499,'CAFCO 300 IDIEM TABLAS'!$B$4:$D$23,3,FALSE),0)+IF(AND(L499="Cafco 300",J499&gt;=95,J499&lt;=400,G499=3,C499="IN",I499=90),VLOOKUP(T499,'CAFCO 300 IDIEM TABLAS'!$F$4:$H$35,2,FALSE),0)+IF(AND(L499="Cafco 300",J499&gt;=95,J499&lt;=400,G499=3,C499="IN",I499=120),VLOOKUP(T499,'CAFCO 300 IDIEM TABLAS'!$F$4:$H$35,3,FALSE),0)+IF(AND(L499="Cafco 300",J499&gt;=95,J499&lt;=450,G499=4,C499="IN",I499=90),VLOOKUP(T499,'CAFCO 300 IDIEM TABLAS'!$J$4:$L$40,2,FALSE),0)+IF(AND(L499="Cafco 300",J499&gt;=95,J499&lt;=450,G499=4,C499="IN",I499=120),VLOOKUP(T499,'CAFCO 300 IDIEM TABLAS'!$J$4:$L$40,3,FALSE),0)+IF(AND(M499="Ensayo Idiem",L499="Cafco 400",C499="IN",G499=4,I499=90),VLOOKUP(T499,'CAFCO 400 ENSAYO'!$B$7:$D$43,2,FALSE),0)+IF(AND(M499="Ensayo Idiem",L499="Cafco 400",C499="IN",G499=4,I499=120),VLOOKUP(T499,'CAFCO 400 ENSAYO'!$B$7:$D$43,3,FALSE),0)</f>
        <v>0</v>
      </c>
      <c r="O499" s="96">
        <f t="shared" si="54"/>
        <v>0</v>
      </c>
      <c r="P499" s="132" t="str">
        <f t="shared" si="55"/>
        <v>N/A</v>
      </c>
      <c r="Q499" s="132" t="str">
        <f t="shared" si="56"/>
        <v>N/A</v>
      </c>
      <c r="R499" s="132" t="str">
        <f t="shared" si="57"/>
        <v>NO CERT.</v>
      </c>
      <c r="S499" s="132" t="e">
        <f t="shared" si="58"/>
        <v>#N/A</v>
      </c>
      <c r="T499" s="133" t="e">
        <f>+IF(J499=LOOKUP(J499,'CAFCO 300 IDIEM TABLAS'!$J$4:$J$40),'CALCULO MORTERO'!J499,MROUND('CALCULO MORTERO'!J499,10))</f>
        <v>#N/A</v>
      </c>
      <c r="U499" s="134">
        <f t="shared" si="59"/>
        <v>0</v>
      </c>
      <c r="Y499" s="4"/>
      <c r="Z499" s="4"/>
      <c r="AA499" s="4"/>
    </row>
    <row r="500" spans="1:27" x14ac:dyDescent="0.25">
      <c r="A500" s="118">
        <f>+CUBICACION!D494</f>
        <v>0</v>
      </c>
      <c r="B500" s="819">
        <f>+CUBICACION!E494</f>
        <v>0</v>
      </c>
      <c r="C500" s="675">
        <f>+CUBICACION!F494</f>
        <v>0</v>
      </c>
      <c r="D500" s="118"/>
      <c r="E500" s="118"/>
      <c r="F500" s="820"/>
      <c r="G500" s="675">
        <f>+CUBICACION!J494</f>
        <v>0</v>
      </c>
      <c r="H500" s="118"/>
      <c r="I500" s="821">
        <f>+CUBICACION!L494</f>
        <v>0</v>
      </c>
      <c r="J500" s="64">
        <f>+CUBICACION!M494</f>
        <v>0</v>
      </c>
      <c r="K500" s="822" t="str">
        <f>+CUBICACION!N494</f>
        <v/>
      </c>
      <c r="L500" s="118">
        <f>+CUBICACION!O494</f>
        <v>0</v>
      </c>
      <c r="M500" s="823">
        <f>+CUBICACION!P494</f>
        <v>0</v>
      </c>
      <c r="N500" s="902">
        <f>ROUND(IF(AND(L500="Blaze Shield II",M500="Software Idiem",C500="IN",G500=4),((('BLAZE SHIELD II'!$D$4*('CALCULO MORTERO'!I500^2)+'BLAZE SHIELD II'!$D$5*'CALCULO MORTERO'!I500+'BLAZE SHIELD II'!$D$6)*LN(J500))+('BLAZE SHIELD II'!$D$7*('CALCULO MORTERO'!I500^2)+'BLAZE SHIELD II'!$D$8*'CALCULO MORTERO'!I500+'BLAZE SHIELD II'!$D$9)),0)+IF(AND(L500="Blaze Shield II",M500="Software Idiem",C500="Cj"),((('BLAZE SHIELD II'!$H$4*('CALCULO MORTERO'!I500^2)+'BLAZE SHIELD II'!$H$5*'CALCULO MORTERO'!I500+'BLAZE SHIELD II'!$H$6)*LN(J500))+('BLAZE SHIELD II'!$H$7*('CALCULO MORTERO'!I500^2)+'BLAZE SHIELD II'!$H$8*'CALCULO MORTERO'!I500+'BLAZE SHIELD II'!$H$9)),0)+IF(AND(L500="Blaze Shield II",M500="Software Idiem",C500="C"),((('BLAZE SHIELD II'!$L$4*('CALCULO MORTERO'!I500^2)+'BLAZE SHIELD II'!$L$5*'CALCULO MORTERO'!I500+'BLAZE SHIELD II'!$L$6)*LN(J500))+('BLAZE SHIELD II'!$L$7*('CALCULO MORTERO'!I500^2)+'BLAZE SHIELD II'!$L$8*'CALCULO MORTERO'!I500+'BLAZE SHIELD II'!$L$9)),0)+IF(AND(L500="Blaze Shield II",M500="Software Idiem",C500="L"),((('BLAZE SHIELD II'!$L$4*('CALCULO MORTERO'!I500^2)+'BLAZE SHIELD II'!$L$5*'CALCULO MORTERO'!I500+'BLAZE SHIELD II'!$L$6)*LN(J500))+('BLAZE SHIELD II'!$L$7*('CALCULO MORTERO'!I500^2)+'BLAZE SHIELD II'!$L$8*'CALCULO MORTERO'!I500+'BLAZE SHIELD II'!$L$9)),0)+IF(AND(L500="Blaze Shield II",M500="Software Idiem",C500="IN",G500=3),((('BLAZE SHIELD II'!$H$14*('CALCULO MORTERO'!I500^2)+'BLAZE SHIELD II'!$H$15*'CALCULO MORTERO'!I500+'BLAZE SHIELD II'!$H$16)*LN(J500))+('BLAZE SHIELD II'!$H$17*('CALCULO MORTERO'!I500^2)+'BLAZE SHIELD II'!$H$18*'CALCULO MORTERO'!I500+'BLAZE SHIELD II'!$H$19)),0),0)+ROUND(IF(AND(L500="Cafco 400",M500="Software Idiem",C500="IN",G500=4),((('CAFCO 400 '!$H$7*(J500^4)+'CAFCO 400 '!$H$8*(J500^3)+'CAFCO 400 '!$H$9*(J500^2)+'CAFCO 400 '!$H$10*J500+'CAFCO 400 '!$H$11)*U500^2)+(('CAFCO 400 '!$H$12*(J500^3)+'CAFCO 400 '!$H$13*(J500^2)+'CAFCO 400 '!$H$14*J500+'CAFCO 400 '!$H$15)*U500)+('CAFCO 400 '!$H$16*(J500^2)+'CAFCO 400 '!$H$17*J500+'CAFCO 400 '!$H$18)),0)+IF(AND(L500="Cafco 400",M500="Software Idiem",C500="Cj"),(((('CAFCO 400 '!$D$7*LN(J500)+'CAFCO 400 '!$D$8)*U500^2)+(('CAFCO 400 '!$D$9*LN(J500)+'CAFCO 400 '!$D$10)*U500)+('CAFCO 400 '!$D$11*LN(J500)+'CAFCO 400 '!$D$12))),0)+IF(AND(L500="Cafco 400",M500="Software Idiem",C500="C"),((('CAFCO 400 '!$L$7*(J500^3)+'CAFCO 400 '!$L$8*(J500^2)+'CAFCO 400 '!$L$9*J500+'CAFCO 400 '!$L$10)*U500^2)+(('CAFCO 400 '!$L$11*(J500^3)+'CAFCO 400 '!$L$12*(J500^2)+'CAFCO 400 '!$L$13*J500+'CAFCO 400 '!$L$14)*U500)+('CAFCO 400 '!$L$15*LN(J500)+'CAFCO 400 '!$L$16)),0)+IF(AND(L500="Cafco 400",M500="Software Idiem",C500="L"),((('CAFCO 400 '!$L$7*(J500^3)+'CAFCO 400 '!$L$8*(J500^2)+'CAFCO 400 '!$L$9*J500+'CAFCO 400 '!$L$10)*U500^2)+(('CAFCO 400 '!$L$11*(J500^3)+'CAFCO 400 '!$L$12*(J500^2)+'CAFCO 400 '!$L$13*J500+'CAFCO 400 '!$L$14)*U500)+('CAFCO 400 '!$L$15*LN(J500)+'CAFCO 400 '!$L$16)),0)+IF(AND(L500="Cafco 400",M500="Software Idiem",C500="IN",G500=3),((('CAFCO 400 '!$D$23*(J500^2)+'CAFCO 400 '!$D$24*(J500)+'CAFCO 400 '!$D$25)*U500^2)+(('CAFCO 400 '!$D$26*(J500^2)+'CAFCO 400 '!$D$27*J500+'CAFCO 400 '!$D$28)*U500)+('CAFCO 400 '!$D$29*(J500^2)+'CAFCO 400 '!$D$30*J500+'CAFCO 400 '!$D$31)),0),0)+IF(AND(L500="Cafco 300",J500&gt;=95,J500&lt;=240,C500="Cj",I500=90),VLOOKUP(T500,'CAFCO 300 IDIEM TABLAS'!$B$4:$D$23,2,FALSE),0)+IF(AND(L500="Cafco 300",J500&gt;=95,J500&lt;=240,C500="Cj",I500=120),VLOOKUP(T500,'CAFCO 300 IDIEM TABLAS'!$B$4:$D$23,3,FALSE),0)+IF(AND(L500="Cafco 300",J500&gt;=95,J500&lt;=400,G500=3,C500="IN",I500=90),VLOOKUP(T500,'CAFCO 300 IDIEM TABLAS'!$F$4:$H$35,2,FALSE),0)+IF(AND(L500="Cafco 300",J500&gt;=95,J500&lt;=400,G500=3,C500="IN",I500=120),VLOOKUP(T500,'CAFCO 300 IDIEM TABLAS'!$F$4:$H$35,3,FALSE),0)+IF(AND(L500="Cafco 300",J500&gt;=95,J500&lt;=450,G500=4,C500="IN",I500=90),VLOOKUP(T500,'CAFCO 300 IDIEM TABLAS'!$J$4:$L$40,2,FALSE),0)+IF(AND(L500="Cafco 300",J500&gt;=95,J500&lt;=450,G500=4,C500="IN",I500=120),VLOOKUP(T500,'CAFCO 300 IDIEM TABLAS'!$J$4:$L$40,3,FALSE),0)+IF(AND(M500="Ensayo Idiem",L500="Cafco 400",C500="IN",G500=4,I500=90),VLOOKUP(T500,'CAFCO 400 ENSAYO'!$B$7:$D$43,2,FALSE),0)+IF(AND(M500="Ensayo Idiem",L500="Cafco 400",C500="IN",G500=4,I500=120),VLOOKUP(T500,'CAFCO 400 ENSAYO'!$B$7:$D$43,3,FALSE),0)</f>
        <v>0</v>
      </c>
      <c r="O500" s="96">
        <f t="shared" si="54"/>
        <v>0</v>
      </c>
      <c r="P500" s="95" t="str">
        <f t="shared" si="55"/>
        <v>N/A</v>
      </c>
      <c r="Q500" s="95" t="str">
        <f t="shared" si="56"/>
        <v>N/A</v>
      </c>
      <c r="R500" s="95" t="str">
        <f t="shared" si="57"/>
        <v>NO CERT.</v>
      </c>
      <c r="S500" s="95" t="e">
        <f t="shared" si="58"/>
        <v>#N/A</v>
      </c>
      <c r="T500" s="119" t="e">
        <f>+IF(J500=LOOKUP(J500,'CAFCO 300 IDIEM TABLAS'!$J$4:$J$40),'CALCULO MORTERO'!J500,MROUND('CALCULO MORTERO'!J500,10))</f>
        <v>#N/A</v>
      </c>
      <c r="U500" s="118">
        <f t="shared" si="59"/>
        <v>0</v>
      </c>
      <c r="Y500" s="4"/>
      <c r="Z500" s="4"/>
      <c r="AA500" s="4"/>
    </row>
    <row r="501" spans="1:27" x14ac:dyDescent="0.25">
      <c r="A501" s="118">
        <f>+CUBICACION!D495</f>
        <v>0</v>
      </c>
      <c r="B501" s="819">
        <f>+CUBICACION!E495</f>
        <v>0</v>
      </c>
      <c r="C501" s="675">
        <f>+CUBICACION!F495</f>
        <v>0</v>
      </c>
      <c r="D501" s="118"/>
      <c r="E501" s="118"/>
      <c r="F501" s="820"/>
      <c r="G501" s="675">
        <f>+CUBICACION!J495</f>
        <v>0</v>
      </c>
      <c r="H501" s="118"/>
      <c r="I501" s="821">
        <f>+CUBICACION!L495</f>
        <v>0</v>
      </c>
      <c r="J501" s="64">
        <f>+CUBICACION!M495</f>
        <v>0</v>
      </c>
      <c r="K501" s="822" t="str">
        <f>+CUBICACION!N495</f>
        <v/>
      </c>
      <c r="L501" s="118">
        <f>+CUBICACION!O495</f>
        <v>0</v>
      </c>
      <c r="M501" s="823">
        <f>+CUBICACION!P495</f>
        <v>0</v>
      </c>
      <c r="N501" s="902">
        <f>ROUND(IF(AND(L501="Blaze Shield II",M501="Software Idiem",C501="IN",G501=4),((('BLAZE SHIELD II'!$D$4*('CALCULO MORTERO'!I501^2)+'BLAZE SHIELD II'!$D$5*'CALCULO MORTERO'!I501+'BLAZE SHIELD II'!$D$6)*LN(J501))+('BLAZE SHIELD II'!$D$7*('CALCULO MORTERO'!I501^2)+'BLAZE SHIELD II'!$D$8*'CALCULO MORTERO'!I501+'BLAZE SHIELD II'!$D$9)),0)+IF(AND(L501="Blaze Shield II",M501="Software Idiem",C501="Cj"),((('BLAZE SHIELD II'!$H$4*('CALCULO MORTERO'!I501^2)+'BLAZE SHIELD II'!$H$5*'CALCULO MORTERO'!I501+'BLAZE SHIELD II'!$H$6)*LN(J501))+('BLAZE SHIELD II'!$H$7*('CALCULO MORTERO'!I501^2)+'BLAZE SHIELD II'!$H$8*'CALCULO MORTERO'!I501+'BLAZE SHIELD II'!$H$9)),0)+IF(AND(L501="Blaze Shield II",M501="Software Idiem",C501="C"),((('BLAZE SHIELD II'!$L$4*('CALCULO MORTERO'!I501^2)+'BLAZE SHIELD II'!$L$5*'CALCULO MORTERO'!I501+'BLAZE SHIELD II'!$L$6)*LN(J501))+('BLAZE SHIELD II'!$L$7*('CALCULO MORTERO'!I501^2)+'BLAZE SHIELD II'!$L$8*'CALCULO MORTERO'!I501+'BLAZE SHIELD II'!$L$9)),0)+IF(AND(L501="Blaze Shield II",M501="Software Idiem",C501="L"),((('BLAZE SHIELD II'!$L$4*('CALCULO MORTERO'!I501^2)+'BLAZE SHIELD II'!$L$5*'CALCULO MORTERO'!I501+'BLAZE SHIELD II'!$L$6)*LN(J501))+('BLAZE SHIELD II'!$L$7*('CALCULO MORTERO'!I501^2)+'BLAZE SHIELD II'!$L$8*'CALCULO MORTERO'!I501+'BLAZE SHIELD II'!$L$9)),0)+IF(AND(L501="Blaze Shield II",M501="Software Idiem",C501="IN",G501=3),((('BLAZE SHIELD II'!$H$14*('CALCULO MORTERO'!I501^2)+'BLAZE SHIELD II'!$H$15*'CALCULO MORTERO'!I501+'BLAZE SHIELD II'!$H$16)*LN(J501))+('BLAZE SHIELD II'!$H$17*('CALCULO MORTERO'!I501^2)+'BLAZE SHIELD II'!$H$18*'CALCULO MORTERO'!I501+'BLAZE SHIELD II'!$H$19)),0),0)+ROUND(IF(AND(L501="Cafco 400",M501="Software Idiem",C501="IN",G501=4),((('CAFCO 400 '!$H$7*(J501^4)+'CAFCO 400 '!$H$8*(J501^3)+'CAFCO 400 '!$H$9*(J501^2)+'CAFCO 400 '!$H$10*J501+'CAFCO 400 '!$H$11)*U501^2)+(('CAFCO 400 '!$H$12*(J501^3)+'CAFCO 400 '!$H$13*(J501^2)+'CAFCO 400 '!$H$14*J501+'CAFCO 400 '!$H$15)*U501)+('CAFCO 400 '!$H$16*(J501^2)+'CAFCO 400 '!$H$17*J501+'CAFCO 400 '!$H$18)),0)+IF(AND(L501="Cafco 400",M501="Software Idiem",C501="Cj"),(((('CAFCO 400 '!$D$7*LN(J501)+'CAFCO 400 '!$D$8)*U501^2)+(('CAFCO 400 '!$D$9*LN(J501)+'CAFCO 400 '!$D$10)*U501)+('CAFCO 400 '!$D$11*LN(J501)+'CAFCO 400 '!$D$12))),0)+IF(AND(L501="Cafco 400",M501="Software Idiem",C501="C"),((('CAFCO 400 '!$L$7*(J501^3)+'CAFCO 400 '!$L$8*(J501^2)+'CAFCO 400 '!$L$9*J501+'CAFCO 400 '!$L$10)*U501^2)+(('CAFCO 400 '!$L$11*(J501^3)+'CAFCO 400 '!$L$12*(J501^2)+'CAFCO 400 '!$L$13*J501+'CAFCO 400 '!$L$14)*U501)+('CAFCO 400 '!$L$15*LN(J501)+'CAFCO 400 '!$L$16)),0)+IF(AND(L501="Cafco 400",M501="Software Idiem",C501="L"),((('CAFCO 400 '!$L$7*(J501^3)+'CAFCO 400 '!$L$8*(J501^2)+'CAFCO 400 '!$L$9*J501+'CAFCO 400 '!$L$10)*U501^2)+(('CAFCO 400 '!$L$11*(J501^3)+'CAFCO 400 '!$L$12*(J501^2)+'CAFCO 400 '!$L$13*J501+'CAFCO 400 '!$L$14)*U501)+('CAFCO 400 '!$L$15*LN(J501)+'CAFCO 400 '!$L$16)),0)+IF(AND(L501="Cafco 400",M501="Software Idiem",C501="IN",G501=3),((('CAFCO 400 '!$D$23*(J501^2)+'CAFCO 400 '!$D$24*(J501)+'CAFCO 400 '!$D$25)*U501^2)+(('CAFCO 400 '!$D$26*(J501^2)+'CAFCO 400 '!$D$27*J501+'CAFCO 400 '!$D$28)*U501)+('CAFCO 400 '!$D$29*(J501^2)+'CAFCO 400 '!$D$30*J501+'CAFCO 400 '!$D$31)),0),0)+IF(AND(L501="Cafco 300",J501&gt;=95,J501&lt;=240,C501="Cj",I501=90),VLOOKUP(T501,'CAFCO 300 IDIEM TABLAS'!$B$4:$D$23,2,FALSE),0)+IF(AND(L501="Cafco 300",J501&gt;=95,J501&lt;=240,C501="Cj",I501=120),VLOOKUP(T501,'CAFCO 300 IDIEM TABLAS'!$B$4:$D$23,3,FALSE),0)+IF(AND(L501="Cafco 300",J501&gt;=95,J501&lt;=400,G501=3,C501="IN",I501=90),VLOOKUP(T501,'CAFCO 300 IDIEM TABLAS'!$F$4:$H$35,2,FALSE),0)+IF(AND(L501="Cafco 300",J501&gt;=95,J501&lt;=400,G501=3,C501="IN",I501=120),VLOOKUP(T501,'CAFCO 300 IDIEM TABLAS'!$F$4:$H$35,3,FALSE),0)+IF(AND(L501="Cafco 300",J501&gt;=95,J501&lt;=450,G501=4,C501="IN",I501=90),VLOOKUP(T501,'CAFCO 300 IDIEM TABLAS'!$J$4:$L$40,2,FALSE),0)+IF(AND(L501="Cafco 300",J501&gt;=95,J501&lt;=450,G501=4,C501="IN",I501=120),VLOOKUP(T501,'CAFCO 300 IDIEM TABLAS'!$J$4:$L$40,3,FALSE),0)+IF(AND(M501="Ensayo Idiem",L501="Cafco 400",C501="IN",G501=4,I501=90),VLOOKUP(T501,'CAFCO 400 ENSAYO'!$B$7:$D$43,2,FALSE),0)+IF(AND(M501="Ensayo Idiem",L501="Cafco 400",C501="IN",G501=4,I501=120),VLOOKUP(T501,'CAFCO 400 ENSAYO'!$B$7:$D$43,3,FALSE),0)</f>
        <v>0</v>
      </c>
      <c r="O501" s="96">
        <f t="shared" si="54"/>
        <v>0</v>
      </c>
      <c r="P501" s="132" t="str">
        <f t="shared" si="55"/>
        <v>N/A</v>
      </c>
      <c r="Q501" s="132" t="str">
        <f t="shared" si="56"/>
        <v>N/A</v>
      </c>
      <c r="R501" s="132" t="str">
        <f t="shared" si="57"/>
        <v>NO CERT.</v>
      </c>
      <c r="S501" s="132" t="e">
        <f t="shared" si="58"/>
        <v>#N/A</v>
      </c>
      <c r="T501" s="133" t="e">
        <f>+IF(J501=LOOKUP(J501,'CAFCO 300 IDIEM TABLAS'!$J$4:$J$40),'CALCULO MORTERO'!J501,MROUND('CALCULO MORTERO'!J501,10))</f>
        <v>#N/A</v>
      </c>
      <c r="U501" s="134">
        <f t="shared" si="59"/>
        <v>0</v>
      </c>
      <c r="Y501" s="4"/>
      <c r="Z501" s="4"/>
      <c r="AA501" s="4"/>
    </row>
    <row r="502" spans="1:27" x14ac:dyDescent="0.25">
      <c r="A502" s="118">
        <f>+CUBICACION!D496</f>
        <v>0</v>
      </c>
      <c r="B502" s="819">
        <f>+CUBICACION!E496</f>
        <v>0</v>
      </c>
      <c r="C502" s="675">
        <f>+CUBICACION!F496</f>
        <v>0</v>
      </c>
      <c r="D502" s="118"/>
      <c r="E502" s="118"/>
      <c r="F502" s="820"/>
      <c r="G502" s="675">
        <f>+CUBICACION!J496</f>
        <v>0</v>
      </c>
      <c r="H502" s="118"/>
      <c r="I502" s="821">
        <f>+CUBICACION!L496</f>
        <v>0</v>
      </c>
      <c r="J502" s="64">
        <f>+CUBICACION!M496</f>
        <v>0</v>
      </c>
      <c r="K502" s="822" t="str">
        <f>+CUBICACION!N496</f>
        <v/>
      </c>
      <c r="L502" s="118">
        <f>+CUBICACION!O496</f>
        <v>0</v>
      </c>
      <c r="M502" s="823">
        <f>+CUBICACION!P496</f>
        <v>0</v>
      </c>
      <c r="N502" s="902">
        <f>ROUND(IF(AND(L502="Blaze Shield II",M502="Software Idiem",C502="IN",G502=4),((('BLAZE SHIELD II'!$D$4*('CALCULO MORTERO'!I502^2)+'BLAZE SHIELD II'!$D$5*'CALCULO MORTERO'!I502+'BLAZE SHIELD II'!$D$6)*LN(J502))+('BLAZE SHIELD II'!$D$7*('CALCULO MORTERO'!I502^2)+'BLAZE SHIELD II'!$D$8*'CALCULO MORTERO'!I502+'BLAZE SHIELD II'!$D$9)),0)+IF(AND(L502="Blaze Shield II",M502="Software Idiem",C502="Cj"),((('BLAZE SHIELD II'!$H$4*('CALCULO MORTERO'!I502^2)+'BLAZE SHIELD II'!$H$5*'CALCULO MORTERO'!I502+'BLAZE SHIELD II'!$H$6)*LN(J502))+('BLAZE SHIELD II'!$H$7*('CALCULO MORTERO'!I502^2)+'BLAZE SHIELD II'!$H$8*'CALCULO MORTERO'!I502+'BLAZE SHIELD II'!$H$9)),0)+IF(AND(L502="Blaze Shield II",M502="Software Idiem",C502="C"),((('BLAZE SHIELD II'!$L$4*('CALCULO MORTERO'!I502^2)+'BLAZE SHIELD II'!$L$5*'CALCULO MORTERO'!I502+'BLAZE SHIELD II'!$L$6)*LN(J502))+('BLAZE SHIELD II'!$L$7*('CALCULO MORTERO'!I502^2)+'BLAZE SHIELD II'!$L$8*'CALCULO MORTERO'!I502+'BLAZE SHIELD II'!$L$9)),0)+IF(AND(L502="Blaze Shield II",M502="Software Idiem",C502="L"),((('BLAZE SHIELD II'!$L$4*('CALCULO MORTERO'!I502^2)+'BLAZE SHIELD II'!$L$5*'CALCULO MORTERO'!I502+'BLAZE SHIELD II'!$L$6)*LN(J502))+('BLAZE SHIELD II'!$L$7*('CALCULO MORTERO'!I502^2)+'BLAZE SHIELD II'!$L$8*'CALCULO MORTERO'!I502+'BLAZE SHIELD II'!$L$9)),0)+IF(AND(L502="Blaze Shield II",M502="Software Idiem",C502="IN",G502=3),((('BLAZE SHIELD II'!$H$14*('CALCULO MORTERO'!I502^2)+'BLAZE SHIELD II'!$H$15*'CALCULO MORTERO'!I502+'BLAZE SHIELD II'!$H$16)*LN(J502))+('BLAZE SHIELD II'!$H$17*('CALCULO MORTERO'!I502^2)+'BLAZE SHIELD II'!$H$18*'CALCULO MORTERO'!I502+'BLAZE SHIELD II'!$H$19)),0),0)+ROUND(IF(AND(L502="Cafco 400",M502="Software Idiem",C502="IN",G502=4),((('CAFCO 400 '!$H$7*(J502^4)+'CAFCO 400 '!$H$8*(J502^3)+'CAFCO 400 '!$H$9*(J502^2)+'CAFCO 400 '!$H$10*J502+'CAFCO 400 '!$H$11)*U502^2)+(('CAFCO 400 '!$H$12*(J502^3)+'CAFCO 400 '!$H$13*(J502^2)+'CAFCO 400 '!$H$14*J502+'CAFCO 400 '!$H$15)*U502)+('CAFCO 400 '!$H$16*(J502^2)+'CAFCO 400 '!$H$17*J502+'CAFCO 400 '!$H$18)),0)+IF(AND(L502="Cafco 400",M502="Software Idiem",C502="Cj"),(((('CAFCO 400 '!$D$7*LN(J502)+'CAFCO 400 '!$D$8)*U502^2)+(('CAFCO 400 '!$D$9*LN(J502)+'CAFCO 400 '!$D$10)*U502)+('CAFCO 400 '!$D$11*LN(J502)+'CAFCO 400 '!$D$12))),0)+IF(AND(L502="Cafco 400",M502="Software Idiem",C502="C"),((('CAFCO 400 '!$L$7*(J502^3)+'CAFCO 400 '!$L$8*(J502^2)+'CAFCO 400 '!$L$9*J502+'CAFCO 400 '!$L$10)*U502^2)+(('CAFCO 400 '!$L$11*(J502^3)+'CAFCO 400 '!$L$12*(J502^2)+'CAFCO 400 '!$L$13*J502+'CAFCO 400 '!$L$14)*U502)+('CAFCO 400 '!$L$15*LN(J502)+'CAFCO 400 '!$L$16)),0)+IF(AND(L502="Cafco 400",M502="Software Idiem",C502="L"),((('CAFCO 400 '!$L$7*(J502^3)+'CAFCO 400 '!$L$8*(J502^2)+'CAFCO 400 '!$L$9*J502+'CAFCO 400 '!$L$10)*U502^2)+(('CAFCO 400 '!$L$11*(J502^3)+'CAFCO 400 '!$L$12*(J502^2)+'CAFCO 400 '!$L$13*J502+'CAFCO 400 '!$L$14)*U502)+('CAFCO 400 '!$L$15*LN(J502)+'CAFCO 400 '!$L$16)),0)+IF(AND(L502="Cafco 400",M502="Software Idiem",C502="IN",G502=3),((('CAFCO 400 '!$D$23*(J502^2)+'CAFCO 400 '!$D$24*(J502)+'CAFCO 400 '!$D$25)*U502^2)+(('CAFCO 400 '!$D$26*(J502^2)+'CAFCO 400 '!$D$27*J502+'CAFCO 400 '!$D$28)*U502)+('CAFCO 400 '!$D$29*(J502^2)+'CAFCO 400 '!$D$30*J502+'CAFCO 400 '!$D$31)),0),0)+IF(AND(L502="Cafco 300",J502&gt;=95,J502&lt;=240,C502="Cj",I502=90),VLOOKUP(T502,'CAFCO 300 IDIEM TABLAS'!$B$4:$D$23,2,FALSE),0)+IF(AND(L502="Cafco 300",J502&gt;=95,J502&lt;=240,C502="Cj",I502=120),VLOOKUP(T502,'CAFCO 300 IDIEM TABLAS'!$B$4:$D$23,3,FALSE),0)+IF(AND(L502="Cafco 300",J502&gt;=95,J502&lt;=400,G502=3,C502="IN",I502=90),VLOOKUP(T502,'CAFCO 300 IDIEM TABLAS'!$F$4:$H$35,2,FALSE),0)+IF(AND(L502="Cafco 300",J502&gt;=95,J502&lt;=400,G502=3,C502="IN",I502=120),VLOOKUP(T502,'CAFCO 300 IDIEM TABLAS'!$F$4:$H$35,3,FALSE),0)+IF(AND(L502="Cafco 300",J502&gt;=95,J502&lt;=450,G502=4,C502="IN",I502=90),VLOOKUP(T502,'CAFCO 300 IDIEM TABLAS'!$J$4:$L$40,2,FALSE),0)+IF(AND(L502="Cafco 300",J502&gt;=95,J502&lt;=450,G502=4,C502="IN",I502=120),VLOOKUP(T502,'CAFCO 300 IDIEM TABLAS'!$J$4:$L$40,3,FALSE),0)+IF(AND(M502="Ensayo Idiem",L502="Cafco 400",C502="IN",G502=4,I502=90),VLOOKUP(T502,'CAFCO 400 ENSAYO'!$B$7:$D$43,2,FALSE),0)+IF(AND(M502="Ensayo Idiem",L502="Cafco 400",C502="IN",G502=4,I502=120),VLOOKUP(T502,'CAFCO 400 ENSAYO'!$B$7:$D$43,3,FALSE),0)</f>
        <v>0</v>
      </c>
      <c r="O502" s="96">
        <f t="shared" si="54"/>
        <v>0</v>
      </c>
      <c r="P502" s="95" t="str">
        <f t="shared" si="55"/>
        <v>N/A</v>
      </c>
      <c r="Q502" s="95" t="str">
        <f t="shared" si="56"/>
        <v>N/A</v>
      </c>
      <c r="R502" s="95" t="str">
        <f t="shared" si="57"/>
        <v>NO CERT.</v>
      </c>
      <c r="S502" s="95" t="e">
        <f t="shared" si="58"/>
        <v>#N/A</v>
      </c>
      <c r="T502" s="119" t="e">
        <f>+IF(J502=LOOKUP(J502,'CAFCO 300 IDIEM TABLAS'!$J$4:$J$40),'CALCULO MORTERO'!J502,MROUND('CALCULO MORTERO'!J502,10))</f>
        <v>#N/A</v>
      </c>
      <c r="U502" s="118">
        <f t="shared" si="59"/>
        <v>0</v>
      </c>
      <c r="Y502" s="4"/>
      <c r="Z502" s="4"/>
      <c r="AA502" s="4"/>
    </row>
    <row r="503" spans="1:27" x14ac:dyDescent="0.25">
      <c r="A503" s="118">
        <f>+CUBICACION!D497</f>
        <v>0</v>
      </c>
      <c r="B503" s="819">
        <f>+CUBICACION!E497</f>
        <v>0</v>
      </c>
      <c r="C503" s="675">
        <f>+CUBICACION!F497</f>
        <v>0</v>
      </c>
      <c r="D503" s="118"/>
      <c r="E503" s="118"/>
      <c r="F503" s="820"/>
      <c r="G503" s="675">
        <f>+CUBICACION!J497</f>
        <v>0</v>
      </c>
      <c r="H503" s="118"/>
      <c r="I503" s="821">
        <f>+CUBICACION!L497</f>
        <v>0</v>
      </c>
      <c r="J503" s="64">
        <f>+CUBICACION!M497</f>
        <v>0</v>
      </c>
      <c r="K503" s="822" t="str">
        <f>+CUBICACION!N497</f>
        <v/>
      </c>
      <c r="L503" s="118">
        <f>+CUBICACION!O497</f>
        <v>0</v>
      </c>
      <c r="M503" s="823">
        <f>+CUBICACION!P497</f>
        <v>0</v>
      </c>
      <c r="N503" s="902">
        <f>ROUND(IF(AND(L503="Blaze Shield II",M503="Software Idiem",C503="IN",G503=4),((('BLAZE SHIELD II'!$D$4*('CALCULO MORTERO'!I503^2)+'BLAZE SHIELD II'!$D$5*'CALCULO MORTERO'!I503+'BLAZE SHIELD II'!$D$6)*LN(J503))+('BLAZE SHIELD II'!$D$7*('CALCULO MORTERO'!I503^2)+'BLAZE SHIELD II'!$D$8*'CALCULO MORTERO'!I503+'BLAZE SHIELD II'!$D$9)),0)+IF(AND(L503="Blaze Shield II",M503="Software Idiem",C503="Cj"),((('BLAZE SHIELD II'!$H$4*('CALCULO MORTERO'!I503^2)+'BLAZE SHIELD II'!$H$5*'CALCULO MORTERO'!I503+'BLAZE SHIELD II'!$H$6)*LN(J503))+('BLAZE SHIELD II'!$H$7*('CALCULO MORTERO'!I503^2)+'BLAZE SHIELD II'!$H$8*'CALCULO MORTERO'!I503+'BLAZE SHIELD II'!$H$9)),0)+IF(AND(L503="Blaze Shield II",M503="Software Idiem",C503="C"),((('BLAZE SHIELD II'!$L$4*('CALCULO MORTERO'!I503^2)+'BLAZE SHIELD II'!$L$5*'CALCULO MORTERO'!I503+'BLAZE SHIELD II'!$L$6)*LN(J503))+('BLAZE SHIELD II'!$L$7*('CALCULO MORTERO'!I503^2)+'BLAZE SHIELD II'!$L$8*'CALCULO MORTERO'!I503+'BLAZE SHIELD II'!$L$9)),0)+IF(AND(L503="Blaze Shield II",M503="Software Idiem",C503="L"),((('BLAZE SHIELD II'!$L$4*('CALCULO MORTERO'!I503^2)+'BLAZE SHIELD II'!$L$5*'CALCULO MORTERO'!I503+'BLAZE SHIELD II'!$L$6)*LN(J503))+('BLAZE SHIELD II'!$L$7*('CALCULO MORTERO'!I503^2)+'BLAZE SHIELD II'!$L$8*'CALCULO MORTERO'!I503+'BLAZE SHIELD II'!$L$9)),0)+IF(AND(L503="Blaze Shield II",M503="Software Idiem",C503="IN",G503=3),((('BLAZE SHIELD II'!$H$14*('CALCULO MORTERO'!I503^2)+'BLAZE SHIELD II'!$H$15*'CALCULO MORTERO'!I503+'BLAZE SHIELD II'!$H$16)*LN(J503))+('BLAZE SHIELD II'!$H$17*('CALCULO MORTERO'!I503^2)+'BLAZE SHIELD II'!$H$18*'CALCULO MORTERO'!I503+'BLAZE SHIELD II'!$H$19)),0),0)+ROUND(IF(AND(L503="Cafco 400",M503="Software Idiem",C503="IN",G503=4),((('CAFCO 400 '!$H$7*(J503^4)+'CAFCO 400 '!$H$8*(J503^3)+'CAFCO 400 '!$H$9*(J503^2)+'CAFCO 400 '!$H$10*J503+'CAFCO 400 '!$H$11)*U503^2)+(('CAFCO 400 '!$H$12*(J503^3)+'CAFCO 400 '!$H$13*(J503^2)+'CAFCO 400 '!$H$14*J503+'CAFCO 400 '!$H$15)*U503)+('CAFCO 400 '!$H$16*(J503^2)+'CAFCO 400 '!$H$17*J503+'CAFCO 400 '!$H$18)),0)+IF(AND(L503="Cafco 400",M503="Software Idiem",C503="Cj"),(((('CAFCO 400 '!$D$7*LN(J503)+'CAFCO 400 '!$D$8)*U503^2)+(('CAFCO 400 '!$D$9*LN(J503)+'CAFCO 400 '!$D$10)*U503)+('CAFCO 400 '!$D$11*LN(J503)+'CAFCO 400 '!$D$12))),0)+IF(AND(L503="Cafco 400",M503="Software Idiem",C503="C"),((('CAFCO 400 '!$L$7*(J503^3)+'CAFCO 400 '!$L$8*(J503^2)+'CAFCO 400 '!$L$9*J503+'CAFCO 400 '!$L$10)*U503^2)+(('CAFCO 400 '!$L$11*(J503^3)+'CAFCO 400 '!$L$12*(J503^2)+'CAFCO 400 '!$L$13*J503+'CAFCO 400 '!$L$14)*U503)+('CAFCO 400 '!$L$15*LN(J503)+'CAFCO 400 '!$L$16)),0)+IF(AND(L503="Cafco 400",M503="Software Idiem",C503="L"),((('CAFCO 400 '!$L$7*(J503^3)+'CAFCO 400 '!$L$8*(J503^2)+'CAFCO 400 '!$L$9*J503+'CAFCO 400 '!$L$10)*U503^2)+(('CAFCO 400 '!$L$11*(J503^3)+'CAFCO 400 '!$L$12*(J503^2)+'CAFCO 400 '!$L$13*J503+'CAFCO 400 '!$L$14)*U503)+('CAFCO 400 '!$L$15*LN(J503)+'CAFCO 400 '!$L$16)),0)+IF(AND(L503="Cafco 400",M503="Software Idiem",C503="IN",G503=3),((('CAFCO 400 '!$D$23*(J503^2)+'CAFCO 400 '!$D$24*(J503)+'CAFCO 400 '!$D$25)*U503^2)+(('CAFCO 400 '!$D$26*(J503^2)+'CAFCO 400 '!$D$27*J503+'CAFCO 400 '!$D$28)*U503)+('CAFCO 400 '!$D$29*(J503^2)+'CAFCO 400 '!$D$30*J503+'CAFCO 400 '!$D$31)),0),0)+IF(AND(L503="Cafco 300",J503&gt;=95,J503&lt;=240,C503="Cj",I503=90),VLOOKUP(T503,'CAFCO 300 IDIEM TABLAS'!$B$4:$D$23,2,FALSE),0)+IF(AND(L503="Cafco 300",J503&gt;=95,J503&lt;=240,C503="Cj",I503=120),VLOOKUP(T503,'CAFCO 300 IDIEM TABLAS'!$B$4:$D$23,3,FALSE),0)+IF(AND(L503="Cafco 300",J503&gt;=95,J503&lt;=400,G503=3,C503="IN",I503=90),VLOOKUP(T503,'CAFCO 300 IDIEM TABLAS'!$F$4:$H$35,2,FALSE),0)+IF(AND(L503="Cafco 300",J503&gt;=95,J503&lt;=400,G503=3,C503="IN",I503=120),VLOOKUP(T503,'CAFCO 300 IDIEM TABLAS'!$F$4:$H$35,3,FALSE),0)+IF(AND(L503="Cafco 300",J503&gt;=95,J503&lt;=450,G503=4,C503="IN",I503=90),VLOOKUP(T503,'CAFCO 300 IDIEM TABLAS'!$J$4:$L$40,2,FALSE),0)+IF(AND(L503="Cafco 300",J503&gt;=95,J503&lt;=450,G503=4,C503="IN",I503=120),VLOOKUP(T503,'CAFCO 300 IDIEM TABLAS'!$J$4:$L$40,3,FALSE),0)+IF(AND(M503="Ensayo Idiem",L503="Cafco 400",C503="IN",G503=4,I503=90),VLOOKUP(T503,'CAFCO 400 ENSAYO'!$B$7:$D$43,2,FALSE),0)+IF(AND(M503="Ensayo Idiem",L503="Cafco 400",C503="IN",G503=4,I503=120),VLOOKUP(T503,'CAFCO 400 ENSAYO'!$B$7:$D$43,3,FALSE),0)</f>
        <v>0</v>
      </c>
      <c r="O503" s="96">
        <f t="shared" si="54"/>
        <v>0</v>
      </c>
      <c r="P503" s="132" t="str">
        <f t="shared" si="55"/>
        <v>N/A</v>
      </c>
      <c r="Q503" s="132" t="str">
        <f t="shared" si="56"/>
        <v>N/A</v>
      </c>
      <c r="R503" s="132" t="str">
        <f t="shared" si="57"/>
        <v>NO CERT.</v>
      </c>
      <c r="S503" s="132" t="e">
        <f t="shared" si="58"/>
        <v>#N/A</v>
      </c>
      <c r="T503" s="133" t="e">
        <f>+IF(J503=LOOKUP(J503,'CAFCO 300 IDIEM TABLAS'!$J$4:$J$40),'CALCULO MORTERO'!J503,MROUND('CALCULO MORTERO'!J503,10))</f>
        <v>#N/A</v>
      </c>
      <c r="U503" s="134">
        <f t="shared" si="59"/>
        <v>0</v>
      </c>
      <c r="Y503" s="4"/>
      <c r="Z503" s="4"/>
      <c r="AA503" s="4"/>
    </row>
    <row r="504" spans="1:27" x14ac:dyDescent="0.25">
      <c r="A504" s="118">
        <f>+CUBICACION!D498</f>
        <v>0</v>
      </c>
      <c r="B504" s="819">
        <f>+CUBICACION!E498</f>
        <v>0</v>
      </c>
      <c r="C504" s="675">
        <f>+CUBICACION!F498</f>
        <v>0</v>
      </c>
      <c r="D504" s="118"/>
      <c r="E504" s="118"/>
      <c r="F504" s="820"/>
      <c r="G504" s="675">
        <f>+CUBICACION!J498</f>
        <v>0</v>
      </c>
      <c r="H504" s="118"/>
      <c r="I504" s="821">
        <f>+CUBICACION!L498</f>
        <v>0</v>
      </c>
      <c r="J504" s="64">
        <f>+CUBICACION!M498</f>
        <v>0</v>
      </c>
      <c r="K504" s="822" t="str">
        <f>+CUBICACION!N498</f>
        <v/>
      </c>
      <c r="L504" s="118">
        <f>+CUBICACION!O498</f>
        <v>0</v>
      </c>
      <c r="M504" s="823">
        <f>+CUBICACION!P498</f>
        <v>0</v>
      </c>
      <c r="N504" s="902">
        <f>ROUND(IF(AND(L504="Blaze Shield II",M504="Software Idiem",C504="IN",G504=4),((('BLAZE SHIELD II'!$D$4*('CALCULO MORTERO'!I504^2)+'BLAZE SHIELD II'!$D$5*'CALCULO MORTERO'!I504+'BLAZE SHIELD II'!$D$6)*LN(J504))+('BLAZE SHIELD II'!$D$7*('CALCULO MORTERO'!I504^2)+'BLAZE SHIELD II'!$D$8*'CALCULO MORTERO'!I504+'BLAZE SHIELD II'!$D$9)),0)+IF(AND(L504="Blaze Shield II",M504="Software Idiem",C504="Cj"),((('BLAZE SHIELD II'!$H$4*('CALCULO MORTERO'!I504^2)+'BLAZE SHIELD II'!$H$5*'CALCULO MORTERO'!I504+'BLAZE SHIELD II'!$H$6)*LN(J504))+('BLAZE SHIELD II'!$H$7*('CALCULO MORTERO'!I504^2)+'BLAZE SHIELD II'!$H$8*'CALCULO MORTERO'!I504+'BLAZE SHIELD II'!$H$9)),0)+IF(AND(L504="Blaze Shield II",M504="Software Idiem",C504="C"),((('BLAZE SHIELD II'!$L$4*('CALCULO MORTERO'!I504^2)+'BLAZE SHIELD II'!$L$5*'CALCULO MORTERO'!I504+'BLAZE SHIELD II'!$L$6)*LN(J504))+('BLAZE SHIELD II'!$L$7*('CALCULO MORTERO'!I504^2)+'BLAZE SHIELD II'!$L$8*'CALCULO MORTERO'!I504+'BLAZE SHIELD II'!$L$9)),0)+IF(AND(L504="Blaze Shield II",M504="Software Idiem",C504="L"),((('BLAZE SHIELD II'!$L$4*('CALCULO MORTERO'!I504^2)+'BLAZE SHIELD II'!$L$5*'CALCULO MORTERO'!I504+'BLAZE SHIELD II'!$L$6)*LN(J504))+('BLAZE SHIELD II'!$L$7*('CALCULO MORTERO'!I504^2)+'BLAZE SHIELD II'!$L$8*'CALCULO MORTERO'!I504+'BLAZE SHIELD II'!$L$9)),0)+IF(AND(L504="Blaze Shield II",M504="Software Idiem",C504="IN",G504=3),((('BLAZE SHIELD II'!$H$14*('CALCULO MORTERO'!I504^2)+'BLAZE SHIELD II'!$H$15*'CALCULO MORTERO'!I504+'BLAZE SHIELD II'!$H$16)*LN(J504))+('BLAZE SHIELD II'!$H$17*('CALCULO MORTERO'!I504^2)+'BLAZE SHIELD II'!$H$18*'CALCULO MORTERO'!I504+'BLAZE SHIELD II'!$H$19)),0),0)+ROUND(IF(AND(L504="Cafco 400",M504="Software Idiem",C504="IN",G504=4),((('CAFCO 400 '!$H$7*(J504^4)+'CAFCO 400 '!$H$8*(J504^3)+'CAFCO 400 '!$H$9*(J504^2)+'CAFCO 400 '!$H$10*J504+'CAFCO 400 '!$H$11)*U504^2)+(('CAFCO 400 '!$H$12*(J504^3)+'CAFCO 400 '!$H$13*(J504^2)+'CAFCO 400 '!$H$14*J504+'CAFCO 400 '!$H$15)*U504)+('CAFCO 400 '!$H$16*(J504^2)+'CAFCO 400 '!$H$17*J504+'CAFCO 400 '!$H$18)),0)+IF(AND(L504="Cafco 400",M504="Software Idiem",C504="Cj"),(((('CAFCO 400 '!$D$7*LN(J504)+'CAFCO 400 '!$D$8)*U504^2)+(('CAFCO 400 '!$D$9*LN(J504)+'CAFCO 400 '!$D$10)*U504)+('CAFCO 400 '!$D$11*LN(J504)+'CAFCO 400 '!$D$12))),0)+IF(AND(L504="Cafco 400",M504="Software Idiem",C504="C"),((('CAFCO 400 '!$L$7*(J504^3)+'CAFCO 400 '!$L$8*(J504^2)+'CAFCO 400 '!$L$9*J504+'CAFCO 400 '!$L$10)*U504^2)+(('CAFCO 400 '!$L$11*(J504^3)+'CAFCO 400 '!$L$12*(J504^2)+'CAFCO 400 '!$L$13*J504+'CAFCO 400 '!$L$14)*U504)+('CAFCO 400 '!$L$15*LN(J504)+'CAFCO 400 '!$L$16)),0)+IF(AND(L504="Cafco 400",M504="Software Idiem",C504="L"),((('CAFCO 400 '!$L$7*(J504^3)+'CAFCO 400 '!$L$8*(J504^2)+'CAFCO 400 '!$L$9*J504+'CAFCO 400 '!$L$10)*U504^2)+(('CAFCO 400 '!$L$11*(J504^3)+'CAFCO 400 '!$L$12*(J504^2)+'CAFCO 400 '!$L$13*J504+'CAFCO 400 '!$L$14)*U504)+('CAFCO 400 '!$L$15*LN(J504)+'CAFCO 400 '!$L$16)),0)+IF(AND(L504="Cafco 400",M504="Software Idiem",C504="IN",G504=3),((('CAFCO 400 '!$D$23*(J504^2)+'CAFCO 400 '!$D$24*(J504)+'CAFCO 400 '!$D$25)*U504^2)+(('CAFCO 400 '!$D$26*(J504^2)+'CAFCO 400 '!$D$27*J504+'CAFCO 400 '!$D$28)*U504)+('CAFCO 400 '!$D$29*(J504^2)+'CAFCO 400 '!$D$30*J504+'CAFCO 400 '!$D$31)),0),0)+IF(AND(L504="Cafco 300",J504&gt;=95,J504&lt;=240,C504="Cj",I504=90),VLOOKUP(T504,'CAFCO 300 IDIEM TABLAS'!$B$4:$D$23,2,FALSE),0)+IF(AND(L504="Cafco 300",J504&gt;=95,J504&lt;=240,C504="Cj",I504=120),VLOOKUP(T504,'CAFCO 300 IDIEM TABLAS'!$B$4:$D$23,3,FALSE),0)+IF(AND(L504="Cafco 300",J504&gt;=95,J504&lt;=400,G504=3,C504="IN",I504=90),VLOOKUP(T504,'CAFCO 300 IDIEM TABLAS'!$F$4:$H$35,2,FALSE),0)+IF(AND(L504="Cafco 300",J504&gt;=95,J504&lt;=400,G504=3,C504="IN",I504=120),VLOOKUP(T504,'CAFCO 300 IDIEM TABLAS'!$F$4:$H$35,3,FALSE),0)+IF(AND(L504="Cafco 300",J504&gt;=95,J504&lt;=450,G504=4,C504="IN",I504=90),VLOOKUP(T504,'CAFCO 300 IDIEM TABLAS'!$J$4:$L$40,2,FALSE),0)+IF(AND(L504="Cafco 300",J504&gt;=95,J504&lt;=450,G504=4,C504="IN",I504=120),VLOOKUP(T504,'CAFCO 300 IDIEM TABLAS'!$J$4:$L$40,3,FALSE),0)+IF(AND(M504="Ensayo Idiem",L504="Cafco 400",C504="IN",G504=4,I504=90),VLOOKUP(T504,'CAFCO 400 ENSAYO'!$B$7:$D$43,2,FALSE),0)+IF(AND(M504="Ensayo Idiem",L504="Cafco 400",C504="IN",G504=4,I504=120),VLOOKUP(T504,'CAFCO 400 ENSAYO'!$B$7:$D$43,3,FALSE),0)</f>
        <v>0</v>
      </c>
      <c r="O504" s="96">
        <f t="shared" si="54"/>
        <v>0</v>
      </c>
      <c r="P504" s="95" t="str">
        <f t="shared" si="55"/>
        <v>N/A</v>
      </c>
      <c r="Q504" s="95" t="str">
        <f t="shared" si="56"/>
        <v>N/A</v>
      </c>
      <c r="R504" s="95" t="str">
        <f t="shared" si="57"/>
        <v>NO CERT.</v>
      </c>
      <c r="S504" s="95" t="e">
        <f t="shared" si="58"/>
        <v>#N/A</v>
      </c>
      <c r="T504" s="119" t="e">
        <f>+IF(J504=LOOKUP(J504,'CAFCO 300 IDIEM TABLAS'!$J$4:$J$40),'CALCULO MORTERO'!J504,MROUND('CALCULO MORTERO'!J504,10))</f>
        <v>#N/A</v>
      </c>
      <c r="U504" s="118">
        <f t="shared" si="59"/>
        <v>0</v>
      </c>
      <c r="Y504" s="4"/>
      <c r="Z504" s="4"/>
      <c r="AA504" s="4"/>
    </row>
    <row r="505" spans="1:27" x14ac:dyDescent="0.25">
      <c r="A505" s="118">
        <f>+CUBICACION!D499</f>
        <v>0</v>
      </c>
      <c r="B505" s="819">
        <f>+CUBICACION!E499</f>
        <v>0</v>
      </c>
      <c r="C505" s="675">
        <f>+CUBICACION!F499</f>
        <v>0</v>
      </c>
      <c r="D505" s="118"/>
      <c r="E505" s="118"/>
      <c r="F505" s="820"/>
      <c r="G505" s="675">
        <f>+CUBICACION!J499</f>
        <v>0</v>
      </c>
      <c r="H505" s="118"/>
      <c r="I505" s="821">
        <f>+CUBICACION!L499</f>
        <v>0</v>
      </c>
      <c r="J505" s="64">
        <f>+CUBICACION!M499</f>
        <v>0</v>
      </c>
      <c r="K505" s="822" t="str">
        <f>+CUBICACION!N499</f>
        <v/>
      </c>
      <c r="L505" s="118">
        <f>+CUBICACION!O499</f>
        <v>0</v>
      </c>
      <c r="M505" s="823">
        <f>+CUBICACION!P499</f>
        <v>0</v>
      </c>
      <c r="N505" s="902">
        <f>ROUND(IF(AND(L505="Blaze Shield II",M505="Software Idiem",C505="IN",G505=4),((('BLAZE SHIELD II'!$D$4*('CALCULO MORTERO'!I505^2)+'BLAZE SHIELD II'!$D$5*'CALCULO MORTERO'!I505+'BLAZE SHIELD II'!$D$6)*LN(J505))+('BLAZE SHIELD II'!$D$7*('CALCULO MORTERO'!I505^2)+'BLAZE SHIELD II'!$D$8*'CALCULO MORTERO'!I505+'BLAZE SHIELD II'!$D$9)),0)+IF(AND(L505="Blaze Shield II",M505="Software Idiem",C505="Cj"),((('BLAZE SHIELD II'!$H$4*('CALCULO MORTERO'!I505^2)+'BLAZE SHIELD II'!$H$5*'CALCULO MORTERO'!I505+'BLAZE SHIELD II'!$H$6)*LN(J505))+('BLAZE SHIELD II'!$H$7*('CALCULO MORTERO'!I505^2)+'BLAZE SHIELD II'!$H$8*'CALCULO MORTERO'!I505+'BLAZE SHIELD II'!$H$9)),0)+IF(AND(L505="Blaze Shield II",M505="Software Idiem",C505="C"),((('BLAZE SHIELD II'!$L$4*('CALCULO MORTERO'!I505^2)+'BLAZE SHIELD II'!$L$5*'CALCULO MORTERO'!I505+'BLAZE SHIELD II'!$L$6)*LN(J505))+('BLAZE SHIELD II'!$L$7*('CALCULO MORTERO'!I505^2)+'BLAZE SHIELD II'!$L$8*'CALCULO MORTERO'!I505+'BLAZE SHIELD II'!$L$9)),0)+IF(AND(L505="Blaze Shield II",M505="Software Idiem",C505="L"),((('BLAZE SHIELD II'!$L$4*('CALCULO MORTERO'!I505^2)+'BLAZE SHIELD II'!$L$5*'CALCULO MORTERO'!I505+'BLAZE SHIELD II'!$L$6)*LN(J505))+('BLAZE SHIELD II'!$L$7*('CALCULO MORTERO'!I505^2)+'BLAZE SHIELD II'!$L$8*'CALCULO MORTERO'!I505+'BLAZE SHIELD II'!$L$9)),0)+IF(AND(L505="Blaze Shield II",M505="Software Idiem",C505="IN",G505=3),((('BLAZE SHIELD II'!$H$14*('CALCULO MORTERO'!I505^2)+'BLAZE SHIELD II'!$H$15*'CALCULO MORTERO'!I505+'BLAZE SHIELD II'!$H$16)*LN(J505))+('BLAZE SHIELD II'!$H$17*('CALCULO MORTERO'!I505^2)+'BLAZE SHIELD II'!$H$18*'CALCULO MORTERO'!I505+'BLAZE SHIELD II'!$H$19)),0),0)+ROUND(IF(AND(L505="Cafco 400",M505="Software Idiem",C505="IN",G505=4),((('CAFCO 400 '!$H$7*(J505^4)+'CAFCO 400 '!$H$8*(J505^3)+'CAFCO 400 '!$H$9*(J505^2)+'CAFCO 400 '!$H$10*J505+'CAFCO 400 '!$H$11)*U505^2)+(('CAFCO 400 '!$H$12*(J505^3)+'CAFCO 400 '!$H$13*(J505^2)+'CAFCO 400 '!$H$14*J505+'CAFCO 400 '!$H$15)*U505)+('CAFCO 400 '!$H$16*(J505^2)+'CAFCO 400 '!$H$17*J505+'CAFCO 400 '!$H$18)),0)+IF(AND(L505="Cafco 400",M505="Software Idiem",C505="Cj"),(((('CAFCO 400 '!$D$7*LN(J505)+'CAFCO 400 '!$D$8)*U505^2)+(('CAFCO 400 '!$D$9*LN(J505)+'CAFCO 400 '!$D$10)*U505)+('CAFCO 400 '!$D$11*LN(J505)+'CAFCO 400 '!$D$12))),0)+IF(AND(L505="Cafco 400",M505="Software Idiem",C505="C"),((('CAFCO 400 '!$L$7*(J505^3)+'CAFCO 400 '!$L$8*(J505^2)+'CAFCO 400 '!$L$9*J505+'CAFCO 400 '!$L$10)*U505^2)+(('CAFCO 400 '!$L$11*(J505^3)+'CAFCO 400 '!$L$12*(J505^2)+'CAFCO 400 '!$L$13*J505+'CAFCO 400 '!$L$14)*U505)+('CAFCO 400 '!$L$15*LN(J505)+'CAFCO 400 '!$L$16)),0)+IF(AND(L505="Cafco 400",M505="Software Idiem",C505="L"),((('CAFCO 400 '!$L$7*(J505^3)+'CAFCO 400 '!$L$8*(J505^2)+'CAFCO 400 '!$L$9*J505+'CAFCO 400 '!$L$10)*U505^2)+(('CAFCO 400 '!$L$11*(J505^3)+'CAFCO 400 '!$L$12*(J505^2)+'CAFCO 400 '!$L$13*J505+'CAFCO 400 '!$L$14)*U505)+('CAFCO 400 '!$L$15*LN(J505)+'CAFCO 400 '!$L$16)),0)+IF(AND(L505="Cafco 400",M505="Software Idiem",C505="IN",G505=3),((('CAFCO 400 '!$D$23*(J505^2)+'CAFCO 400 '!$D$24*(J505)+'CAFCO 400 '!$D$25)*U505^2)+(('CAFCO 400 '!$D$26*(J505^2)+'CAFCO 400 '!$D$27*J505+'CAFCO 400 '!$D$28)*U505)+('CAFCO 400 '!$D$29*(J505^2)+'CAFCO 400 '!$D$30*J505+'CAFCO 400 '!$D$31)),0),0)+IF(AND(L505="Cafco 300",J505&gt;=95,J505&lt;=240,C505="Cj",I505=90),VLOOKUP(T505,'CAFCO 300 IDIEM TABLAS'!$B$4:$D$23,2,FALSE),0)+IF(AND(L505="Cafco 300",J505&gt;=95,J505&lt;=240,C505="Cj",I505=120),VLOOKUP(T505,'CAFCO 300 IDIEM TABLAS'!$B$4:$D$23,3,FALSE),0)+IF(AND(L505="Cafco 300",J505&gt;=95,J505&lt;=400,G505=3,C505="IN",I505=90),VLOOKUP(T505,'CAFCO 300 IDIEM TABLAS'!$F$4:$H$35,2,FALSE),0)+IF(AND(L505="Cafco 300",J505&gt;=95,J505&lt;=400,G505=3,C505="IN",I505=120),VLOOKUP(T505,'CAFCO 300 IDIEM TABLAS'!$F$4:$H$35,3,FALSE),0)+IF(AND(L505="Cafco 300",J505&gt;=95,J505&lt;=450,G505=4,C505="IN",I505=90),VLOOKUP(T505,'CAFCO 300 IDIEM TABLAS'!$J$4:$L$40,2,FALSE),0)+IF(AND(L505="Cafco 300",J505&gt;=95,J505&lt;=450,G505=4,C505="IN",I505=120),VLOOKUP(T505,'CAFCO 300 IDIEM TABLAS'!$J$4:$L$40,3,FALSE),0)+IF(AND(M505="Ensayo Idiem",L505="Cafco 400",C505="IN",G505=4,I505=90),VLOOKUP(T505,'CAFCO 400 ENSAYO'!$B$7:$D$43,2,FALSE),0)+IF(AND(M505="Ensayo Idiem",L505="Cafco 400",C505="IN",G505=4,I505=120),VLOOKUP(T505,'CAFCO 400 ENSAYO'!$B$7:$D$43,3,FALSE),0)</f>
        <v>0</v>
      </c>
      <c r="O505" s="96">
        <f t="shared" si="54"/>
        <v>0</v>
      </c>
      <c r="P505" s="132" t="str">
        <f t="shared" si="55"/>
        <v>N/A</v>
      </c>
      <c r="Q505" s="132" t="str">
        <f t="shared" si="56"/>
        <v>N/A</v>
      </c>
      <c r="R505" s="132" t="str">
        <f t="shared" si="57"/>
        <v>NO CERT.</v>
      </c>
      <c r="S505" s="132" t="e">
        <f t="shared" si="58"/>
        <v>#N/A</v>
      </c>
      <c r="T505" s="133" t="e">
        <f>+IF(J505=LOOKUP(J505,'CAFCO 300 IDIEM TABLAS'!$J$4:$J$40),'CALCULO MORTERO'!J505,MROUND('CALCULO MORTERO'!J505,10))</f>
        <v>#N/A</v>
      </c>
      <c r="U505" s="134">
        <f t="shared" si="59"/>
        <v>0</v>
      </c>
      <c r="Y505" s="4"/>
      <c r="Z505" s="4"/>
      <c r="AA505" s="4"/>
    </row>
    <row r="506" spans="1:27" x14ac:dyDescent="0.25">
      <c r="A506" s="118">
        <f>+CUBICACION!D500</f>
        <v>0</v>
      </c>
      <c r="B506" s="819">
        <f>+CUBICACION!E500</f>
        <v>0</v>
      </c>
      <c r="C506" s="675">
        <f>+CUBICACION!F500</f>
        <v>0</v>
      </c>
      <c r="D506" s="118"/>
      <c r="E506" s="118"/>
      <c r="F506" s="820"/>
      <c r="G506" s="675">
        <f>+CUBICACION!J500</f>
        <v>0</v>
      </c>
      <c r="H506" s="118"/>
      <c r="I506" s="821">
        <f>+CUBICACION!L500</f>
        <v>0</v>
      </c>
      <c r="J506" s="64">
        <f>+CUBICACION!M500</f>
        <v>0</v>
      </c>
      <c r="K506" s="822" t="str">
        <f>+CUBICACION!N500</f>
        <v/>
      </c>
      <c r="L506" s="118">
        <f>+CUBICACION!O500</f>
        <v>0</v>
      </c>
      <c r="M506" s="823">
        <f>+CUBICACION!P500</f>
        <v>0</v>
      </c>
      <c r="N506" s="902">
        <f>ROUND(IF(AND(L506="Blaze Shield II",M506="Software Idiem",C506="IN",G506=4),((('BLAZE SHIELD II'!$D$4*('CALCULO MORTERO'!I506^2)+'BLAZE SHIELD II'!$D$5*'CALCULO MORTERO'!I506+'BLAZE SHIELD II'!$D$6)*LN(J506))+('BLAZE SHIELD II'!$D$7*('CALCULO MORTERO'!I506^2)+'BLAZE SHIELD II'!$D$8*'CALCULO MORTERO'!I506+'BLAZE SHIELD II'!$D$9)),0)+IF(AND(L506="Blaze Shield II",M506="Software Idiem",C506="Cj"),((('BLAZE SHIELD II'!$H$4*('CALCULO MORTERO'!I506^2)+'BLAZE SHIELD II'!$H$5*'CALCULO MORTERO'!I506+'BLAZE SHIELD II'!$H$6)*LN(J506))+('BLAZE SHIELD II'!$H$7*('CALCULO MORTERO'!I506^2)+'BLAZE SHIELD II'!$H$8*'CALCULO MORTERO'!I506+'BLAZE SHIELD II'!$H$9)),0)+IF(AND(L506="Blaze Shield II",M506="Software Idiem",C506="C"),((('BLAZE SHIELD II'!$L$4*('CALCULO MORTERO'!I506^2)+'BLAZE SHIELD II'!$L$5*'CALCULO MORTERO'!I506+'BLAZE SHIELD II'!$L$6)*LN(J506))+('BLAZE SHIELD II'!$L$7*('CALCULO MORTERO'!I506^2)+'BLAZE SHIELD II'!$L$8*'CALCULO MORTERO'!I506+'BLAZE SHIELD II'!$L$9)),0)+IF(AND(L506="Blaze Shield II",M506="Software Idiem",C506="L"),((('BLAZE SHIELD II'!$L$4*('CALCULO MORTERO'!I506^2)+'BLAZE SHIELD II'!$L$5*'CALCULO MORTERO'!I506+'BLAZE SHIELD II'!$L$6)*LN(J506))+('BLAZE SHIELD II'!$L$7*('CALCULO MORTERO'!I506^2)+'BLAZE SHIELD II'!$L$8*'CALCULO MORTERO'!I506+'BLAZE SHIELD II'!$L$9)),0)+IF(AND(L506="Blaze Shield II",M506="Software Idiem",C506="IN",G506=3),((('BLAZE SHIELD II'!$H$14*('CALCULO MORTERO'!I506^2)+'BLAZE SHIELD II'!$H$15*'CALCULO MORTERO'!I506+'BLAZE SHIELD II'!$H$16)*LN(J506))+('BLAZE SHIELD II'!$H$17*('CALCULO MORTERO'!I506^2)+'BLAZE SHIELD II'!$H$18*'CALCULO MORTERO'!I506+'BLAZE SHIELD II'!$H$19)),0),0)+ROUND(IF(AND(L506="Cafco 400",M506="Software Idiem",C506="IN",G506=4),((('CAFCO 400 '!$H$7*(J506^4)+'CAFCO 400 '!$H$8*(J506^3)+'CAFCO 400 '!$H$9*(J506^2)+'CAFCO 400 '!$H$10*J506+'CAFCO 400 '!$H$11)*U506^2)+(('CAFCO 400 '!$H$12*(J506^3)+'CAFCO 400 '!$H$13*(J506^2)+'CAFCO 400 '!$H$14*J506+'CAFCO 400 '!$H$15)*U506)+('CAFCO 400 '!$H$16*(J506^2)+'CAFCO 400 '!$H$17*J506+'CAFCO 400 '!$H$18)),0)+IF(AND(L506="Cafco 400",M506="Software Idiem",C506="Cj"),(((('CAFCO 400 '!$D$7*LN(J506)+'CAFCO 400 '!$D$8)*U506^2)+(('CAFCO 400 '!$D$9*LN(J506)+'CAFCO 400 '!$D$10)*U506)+('CAFCO 400 '!$D$11*LN(J506)+'CAFCO 400 '!$D$12))),0)+IF(AND(L506="Cafco 400",M506="Software Idiem",C506="C"),((('CAFCO 400 '!$L$7*(J506^3)+'CAFCO 400 '!$L$8*(J506^2)+'CAFCO 400 '!$L$9*J506+'CAFCO 400 '!$L$10)*U506^2)+(('CAFCO 400 '!$L$11*(J506^3)+'CAFCO 400 '!$L$12*(J506^2)+'CAFCO 400 '!$L$13*J506+'CAFCO 400 '!$L$14)*U506)+('CAFCO 400 '!$L$15*LN(J506)+'CAFCO 400 '!$L$16)),0)+IF(AND(L506="Cafco 400",M506="Software Idiem",C506="L"),((('CAFCO 400 '!$L$7*(J506^3)+'CAFCO 400 '!$L$8*(J506^2)+'CAFCO 400 '!$L$9*J506+'CAFCO 400 '!$L$10)*U506^2)+(('CAFCO 400 '!$L$11*(J506^3)+'CAFCO 400 '!$L$12*(J506^2)+'CAFCO 400 '!$L$13*J506+'CAFCO 400 '!$L$14)*U506)+('CAFCO 400 '!$L$15*LN(J506)+'CAFCO 400 '!$L$16)),0)+IF(AND(L506="Cafco 400",M506="Software Idiem",C506="IN",G506=3),((('CAFCO 400 '!$D$23*(J506^2)+'CAFCO 400 '!$D$24*(J506)+'CAFCO 400 '!$D$25)*U506^2)+(('CAFCO 400 '!$D$26*(J506^2)+'CAFCO 400 '!$D$27*J506+'CAFCO 400 '!$D$28)*U506)+('CAFCO 400 '!$D$29*(J506^2)+'CAFCO 400 '!$D$30*J506+'CAFCO 400 '!$D$31)),0),0)+IF(AND(L506="Cafco 300",J506&gt;=95,J506&lt;=240,C506="Cj",I506=90),VLOOKUP(T506,'CAFCO 300 IDIEM TABLAS'!$B$4:$D$23,2,FALSE),0)+IF(AND(L506="Cafco 300",J506&gt;=95,J506&lt;=240,C506="Cj",I506=120),VLOOKUP(T506,'CAFCO 300 IDIEM TABLAS'!$B$4:$D$23,3,FALSE),0)+IF(AND(L506="Cafco 300",J506&gt;=95,J506&lt;=400,G506=3,C506="IN",I506=90),VLOOKUP(T506,'CAFCO 300 IDIEM TABLAS'!$F$4:$H$35,2,FALSE),0)+IF(AND(L506="Cafco 300",J506&gt;=95,J506&lt;=400,G506=3,C506="IN",I506=120),VLOOKUP(T506,'CAFCO 300 IDIEM TABLAS'!$F$4:$H$35,3,FALSE),0)+IF(AND(L506="Cafco 300",J506&gt;=95,J506&lt;=450,G506=4,C506="IN",I506=90),VLOOKUP(T506,'CAFCO 300 IDIEM TABLAS'!$J$4:$L$40,2,FALSE),0)+IF(AND(L506="Cafco 300",J506&gt;=95,J506&lt;=450,G506=4,C506="IN",I506=120),VLOOKUP(T506,'CAFCO 300 IDIEM TABLAS'!$J$4:$L$40,3,FALSE),0)+IF(AND(M506="Ensayo Idiem",L506="Cafco 400",C506="IN",G506=4,I506=90),VLOOKUP(T506,'CAFCO 400 ENSAYO'!$B$7:$D$43,2,FALSE),0)+IF(AND(M506="Ensayo Idiem",L506="Cafco 400",C506="IN",G506=4,I506=120),VLOOKUP(T506,'CAFCO 400 ENSAYO'!$B$7:$D$43,3,FALSE),0)</f>
        <v>0</v>
      </c>
      <c r="O506" s="96">
        <f t="shared" si="54"/>
        <v>0</v>
      </c>
      <c r="P506" s="95" t="str">
        <f t="shared" si="55"/>
        <v>N/A</v>
      </c>
      <c r="Q506" s="95" t="str">
        <f t="shared" si="56"/>
        <v>N/A</v>
      </c>
      <c r="R506" s="95" t="str">
        <f t="shared" si="57"/>
        <v>NO CERT.</v>
      </c>
      <c r="S506" s="95" t="e">
        <f t="shared" si="58"/>
        <v>#N/A</v>
      </c>
      <c r="T506" s="119" t="e">
        <f>+IF(J506=LOOKUP(J506,'CAFCO 300 IDIEM TABLAS'!$J$4:$J$40),'CALCULO MORTERO'!J506,MROUND('CALCULO MORTERO'!J506,10))</f>
        <v>#N/A</v>
      </c>
      <c r="U506" s="118">
        <f t="shared" si="59"/>
        <v>0</v>
      </c>
      <c r="Y506" s="4"/>
      <c r="Z506" s="4"/>
      <c r="AA506" s="4"/>
    </row>
    <row r="507" spans="1:27" x14ac:dyDescent="0.25">
      <c r="A507" s="118">
        <f>+CUBICACION!D501</f>
        <v>0</v>
      </c>
      <c r="B507" s="819">
        <f>+CUBICACION!E501</f>
        <v>0</v>
      </c>
      <c r="C507" s="675">
        <f>+CUBICACION!F501</f>
        <v>0</v>
      </c>
      <c r="D507" s="118"/>
      <c r="E507" s="118"/>
      <c r="F507" s="820"/>
      <c r="G507" s="675">
        <f>+CUBICACION!J501</f>
        <v>0</v>
      </c>
      <c r="H507" s="118"/>
      <c r="I507" s="821">
        <f>+CUBICACION!L501</f>
        <v>0</v>
      </c>
      <c r="J507" s="64">
        <f>+CUBICACION!M501</f>
        <v>0</v>
      </c>
      <c r="K507" s="822" t="str">
        <f>+CUBICACION!N501</f>
        <v/>
      </c>
      <c r="L507" s="118">
        <f>+CUBICACION!O501</f>
        <v>0</v>
      </c>
      <c r="M507" s="823">
        <f>+CUBICACION!P501</f>
        <v>0</v>
      </c>
      <c r="N507" s="902">
        <f>ROUND(IF(AND(L507="Blaze Shield II",M507="Software Idiem",C507="IN",G507=4),((('BLAZE SHIELD II'!$D$4*('CALCULO MORTERO'!I507^2)+'BLAZE SHIELD II'!$D$5*'CALCULO MORTERO'!I507+'BLAZE SHIELD II'!$D$6)*LN(J507))+('BLAZE SHIELD II'!$D$7*('CALCULO MORTERO'!I507^2)+'BLAZE SHIELD II'!$D$8*'CALCULO MORTERO'!I507+'BLAZE SHIELD II'!$D$9)),0)+IF(AND(L507="Blaze Shield II",M507="Software Idiem",C507="Cj"),((('BLAZE SHIELD II'!$H$4*('CALCULO MORTERO'!I507^2)+'BLAZE SHIELD II'!$H$5*'CALCULO MORTERO'!I507+'BLAZE SHIELD II'!$H$6)*LN(J507))+('BLAZE SHIELD II'!$H$7*('CALCULO MORTERO'!I507^2)+'BLAZE SHIELD II'!$H$8*'CALCULO MORTERO'!I507+'BLAZE SHIELD II'!$H$9)),0)+IF(AND(L507="Blaze Shield II",M507="Software Idiem",C507="C"),((('BLAZE SHIELD II'!$L$4*('CALCULO MORTERO'!I507^2)+'BLAZE SHIELD II'!$L$5*'CALCULO MORTERO'!I507+'BLAZE SHIELD II'!$L$6)*LN(J507))+('BLAZE SHIELD II'!$L$7*('CALCULO MORTERO'!I507^2)+'BLAZE SHIELD II'!$L$8*'CALCULO MORTERO'!I507+'BLAZE SHIELD II'!$L$9)),0)+IF(AND(L507="Blaze Shield II",M507="Software Idiem",C507="L"),((('BLAZE SHIELD II'!$L$4*('CALCULO MORTERO'!I507^2)+'BLAZE SHIELD II'!$L$5*'CALCULO MORTERO'!I507+'BLAZE SHIELD II'!$L$6)*LN(J507))+('BLAZE SHIELD II'!$L$7*('CALCULO MORTERO'!I507^2)+'BLAZE SHIELD II'!$L$8*'CALCULO MORTERO'!I507+'BLAZE SHIELD II'!$L$9)),0)+IF(AND(L507="Blaze Shield II",M507="Software Idiem",C507="IN",G507=3),((('BLAZE SHIELD II'!$H$14*('CALCULO MORTERO'!I507^2)+'BLAZE SHIELD II'!$H$15*'CALCULO MORTERO'!I507+'BLAZE SHIELD II'!$H$16)*LN(J507))+('BLAZE SHIELD II'!$H$17*('CALCULO MORTERO'!I507^2)+'BLAZE SHIELD II'!$H$18*'CALCULO MORTERO'!I507+'BLAZE SHIELD II'!$H$19)),0),0)+ROUND(IF(AND(L507="Cafco 400",M507="Software Idiem",C507="IN",G507=4),((('CAFCO 400 '!$H$7*(J507^4)+'CAFCO 400 '!$H$8*(J507^3)+'CAFCO 400 '!$H$9*(J507^2)+'CAFCO 400 '!$H$10*J507+'CAFCO 400 '!$H$11)*U507^2)+(('CAFCO 400 '!$H$12*(J507^3)+'CAFCO 400 '!$H$13*(J507^2)+'CAFCO 400 '!$H$14*J507+'CAFCO 400 '!$H$15)*U507)+('CAFCO 400 '!$H$16*(J507^2)+'CAFCO 400 '!$H$17*J507+'CAFCO 400 '!$H$18)),0)+IF(AND(L507="Cafco 400",M507="Software Idiem",C507="Cj"),(((('CAFCO 400 '!$D$7*LN(J507)+'CAFCO 400 '!$D$8)*U507^2)+(('CAFCO 400 '!$D$9*LN(J507)+'CAFCO 400 '!$D$10)*U507)+('CAFCO 400 '!$D$11*LN(J507)+'CAFCO 400 '!$D$12))),0)+IF(AND(L507="Cafco 400",M507="Software Idiem",C507="C"),((('CAFCO 400 '!$L$7*(J507^3)+'CAFCO 400 '!$L$8*(J507^2)+'CAFCO 400 '!$L$9*J507+'CAFCO 400 '!$L$10)*U507^2)+(('CAFCO 400 '!$L$11*(J507^3)+'CAFCO 400 '!$L$12*(J507^2)+'CAFCO 400 '!$L$13*J507+'CAFCO 400 '!$L$14)*U507)+('CAFCO 400 '!$L$15*LN(J507)+'CAFCO 400 '!$L$16)),0)+IF(AND(L507="Cafco 400",M507="Software Idiem",C507="L"),((('CAFCO 400 '!$L$7*(J507^3)+'CAFCO 400 '!$L$8*(J507^2)+'CAFCO 400 '!$L$9*J507+'CAFCO 400 '!$L$10)*U507^2)+(('CAFCO 400 '!$L$11*(J507^3)+'CAFCO 400 '!$L$12*(J507^2)+'CAFCO 400 '!$L$13*J507+'CAFCO 400 '!$L$14)*U507)+('CAFCO 400 '!$L$15*LN(J507)+'CAFCO 400 '!$L$16)),0)+IF(AND(L507="Cafco 400",M507="Software Idiem",C507="IN",G507=3),((('CAFCO 400 '!$D$23*(J507^2)+'CAFCO 400 '!$D$24*(J507)+'CAFCO 400 '!$D$25)*U507^2)+(('CAFCO 400 '!$D$26*(J507^2)+'CAFCO 400 '!$D$27*J507+'CAFCO 400 '!$D$28)*U507)+('CAFCO 400 '!$D$29*(J507^2)+'CAFCO 400 '!$D$30*J507+'CAFCO 400 '!$D$31)),0),0)+IF(AND(L507="Cafco 300",J507&gt;=95,J507&lt;=240,C507="Cj",I507=90),VLOOKUP(T507,'CAFCO 300 IDIEM TABLAS'!$B$4:$D$23,2,FALSE),0)+IF(AND(L507="Cafco 300",J507&gt;=95,J507&lt;=240,C507="Cj",I507=120),VLOOKUP(T507,'CAFCO 300 IDIEM TABLAS'!$B$4:$D$23,3,FALSE),0)+IF(AND(L507="Cafco 300",J507&gt;=95,J507&lt;=400,G507=3,C507="IN",I507=90),VLOOKUP(T507,'CAFCO 300 IDIEM TABLAS'!$F$4:$H$35,2,FALSE),0)+IF(AND(L507="Cafco 300",J507&gt;=95,J507&lt;=400,G507=3,C507="IN",I507=120),VLOOKUP(T507,'CAFCO 300 IDIEM TABLAS'!$F$4:$H$35,3,FALSE),0)+IF(AND(L507="Cafco 300",J507&gt;=95,J507&lt;=450,G507=4,C507="IN",I507=90),VLOOKUP(T507,'CAFCO 300 IDIEM TABLAS'!$J$4:$L$40,2,FALSE),0)+IF(AND(L507="Cafco 300",J507&gt;=95,J507&lt;=450,G507=4,C507="IN",I507=120),VLOOKUP(T507,'CAFCO 300 IDIEM TABLAS'!$J$4:$L$40,3,FALSE),0)+IF(AND(M507="Ensayo Idiem",L507="Cafco 400",C507="IN",G507=4,I507=90),VLOOKUP(T507,'CAFCO 400 ENSAYO'!$B$7:$D$43,2,FALSE),0)+IF(AND(M507="Ensayo Idiem",L507="Cafco 400",C507="IN",G507=4,I507=120),VLOOKUP(T507,'CAFCO 400 ENSAYO'!$B$7:$D$43,3,FALSE),0)</f>
        <v>0</v>
      </c>
      <c r="O507" s="96">
        <f t="shared" si="54"/>
        <v>0</v>
      </c>
      <c r="P507" s="132" t="str">
        <f t="shared" si="55"/>
        <v>N/A</v>
      </c>
      <c r="Q507" s="132" t="str">
        <f t="shared" si="56"/>
        <v>N/A</v>
      </c>
      <c r="R507" s="132" t="str">
        <f t="shared" si="57"/>
        <v>NO CERT.</v>
      </c>
      <c r="S507" s="132" t="e">
        <f t="shared" si="58"/>
        <v>#N/A</v>
      </c>
      <c r="T507" s="133" t="e">
        <f>+IF(J507=LOOKUP(J507,'CAFCO 300 IDIEM TABLAS'!$J$4:$J$40),'CALCULO MORTERO'!J507,MROUND('CALCULO MORTERO'!J507,10))</f>
        <v>#N/A</v>
      </c>
      <c r="U507" s="134">
        <f t="shared" si="59"/>
        <v>0</v>
      </c>
      <c r="Y507" s="4"/>
      <c r="Z507" s="4"/>
      <c r="AA507" s="4"/>
    </row>
    <row r="508" spans="1:27" x14ac:dyDescent="0.25">
      <c r="A508" s="118">
        <f>+CUBICACION!D502</f>
        <v>0</v>
      </c>
      <c r="B508" s="819">
        <f>+CUBICACION!E502</f>
        <v>0</v>
      </c>
      <c r="C508" s="675">
        <f>+CUBICACION!F502</f>
        <v>0</v>
      </c>
      <c r="D508" s="118"/>
      <c r="E508" s="118"/>
      <c r="F508" s="820"/>
      <c r="G508" s="675">
        <f>+CUBICACION!J502</f>
        <v>0</v>
      </c>
      <c r="H508" s="118"/>
      <c r="I508" s="821">
        <f>+CUBICACION!L502</f>
        <v>0</v>
      </c>
      <c r="J508" s="64">
        <f>+CUBICACION!M502</f>
        <v>0</v>
      </c>
      <c r="K508" s="822" t="str">
        <f>+CUBICACION!N502</f>
        <v/>
      </c>
      <c r="L508" s="118">
        <f>+CUBICACION!O502</f>
        <v>0</v>
      </c>
      <c r="M508" s="823">
        <f>+CUBICACION!P502</f>
        <v>0</v>
      </c>
      <c r="N508" s="902">
        <f>ROUND(IF(AND(L508="Blaze Shield II",M508="Software Idiem",C508="IN",G508=4),((('BLAZE SHIELD II'!$D$4*('CALCULO MORTERO'!I508^2)+'BLAZE SHIELD II'!$D$5*'CALCULO MORTERO'!I508+'BLAZE SHIELD II'!$D$6)*LN(J508))+('BLAZE SHIELD II'!$D$7*('CALCULO MORTERO'!I508^2)+'BLAZE SHIELD II'!$D$8*'CALCULO MORTERO'!I508+'BLAZE SHIELD II'!$D$9)),0)+IF(AND(L508="Blaze Shield II",M508="Software Idiem",C508="Cj"),((('BLAZE SHIELD II'!$H$4*('CALCULO MORTERO'!I508^2)+'BLAZE SHIELD II'!$H$5*'CALCULO MORTERO'!I508+'BLAZE SHIELD II'!$H$6)*LN(J508))+('BLAZE SHIELD II'!$H$7*('CALCULO MORTERO'!I508^2)+'BLAZE SHIELD II'!$H$8*'CALCULO MORTERO'!I508+'BLAZE SHIELD II'!$H$9)),0)+IF(AND(L508="Blaze Shield II",M508="Software Idiem",C508="C"),((('BLAZE SHIELD II'!$L$4*('CALCULO MORTERO'!I508^2)+'BLAZE SHIELD II'!$L$5*'CALCULO MORTERO'!I508+'BLAZE SHIELD II'!$L$6)*LN(J508))+('BLAZE SHIELD II'!$L$7*('CALCULO MORTERO'!I508^2)+'BLAZE SHIELD II'!$L$8*'CALCULO MORTERO'!I508+'BLAZE SHIELD II'!$L$9)),0)+IF(AND(L508="Blaze Shield II",M508="Software Idiem",C508="L"),((('BLAZE SHIELD II'!$L$4*('CALCULO MORTERO'!I508^2)+'BLAZE SHIELD II'!$L$5*'CALCULO MORTERO'!I508+'BLAZE SHIELD II'!$L$6)*LN(J508))+('BLAZE SHIELD II'!$L$7*('CALCULO MORTERO'!I508^2)+'BLAZE SHIELD II'!$L$8*'CALCULO MORTERO'!I508+'BLAZE SHIELD II'!$L$9)),0)+IF(AND(L508="Blaze Shield II",M508="Software Idiem",C508="IN",G508=3),((('BLAZE SHIELD II'!$H$14*('CALCULO MORTERO'!I508^2)+'BLAZE SHIELD II'!$H$15*'CALCULO MORTERO'!I508+'BLAZE SHIELD II'!$H$16)*LN(J508))+('BLAZE SHIELD II'!$H$17*('CALCULO MORTERO'!I508^2)+'BLAZE SHIELD II'!$H$18*'CALCULO MORTERO'!I508+'BLAZE SHIELD II'!$H$19)),0),0)+ROUND(IF(AND(L508="Cafco 400",M508="Software Idiem",C508="IN",G508=4),((('CAFCO 400 '!$H$7*(J508^4)+'CAFCO 400 '!$H$8*(J508^3)+'CAFCO 400 '!$H$9*(J508^2)+'CAFCO 400 '!$H$10*J508+'CAFCO 400 '!$H$11)*U508^2)+(('CAFCO 400 '!$H$12*(J508^3)+'CAFCO 400 '!$H$13*(J508^2)+'CAFCO 400 '!$H$14*J508+'CAFCO 400 '!$H$15)*U508)+('CAFCO 400 '!$H$16*(J508^2)+'CAFCO 400 '!$H$17*J508+'CAFCO 400 '!$H$18)),0)+IF(AND(L508="Cafco 400",M508="Software Idiem",C508="Cj"),(((('CAFCO 400 '!$D$7*LN(J508)+'CAFCO 400 '!$D$8)*U508^2)+(('CAFCO 400 '!$D$9*LN(J508)+'CAFCO 400 '!$D$10)*U508)+('CAFCO 400 '!$D$11*LN(J508)+'CAFCO 400 '!$D$12))),0)+IF(AND(L508="Cafco 400",M508="Software Idiem",C508="C"),((('CAFCO 400 '!$L$7*(J508^3)+'CAFCO 400 '!$L$8*(J508^2)+'CAFCO 400 '!$L$9*J508+'CAFCO 400 '!$L$10)*U508^2)+(('CAFCO 400 '!$L$11*(J508^3)+'CAFCO 400 '!$L$12*(J508^2)+'CAFCO 400 '!$L$13*J508+'CAFCO 400 '!$L$14)*U508)+('CAFCO 400 '!$L$15*LN(J508)+'CAFCO 400 '!$L$16)),0)+IF(AND(L508="Cafco 400",M508="Software Idiem",C508="L"),((('CAFCO 400 '!$L$7*(J508^3)+'CAFCO 400 '!$L$8*(J508^2)+'CAFCO 400 '!$L$9*J508+'CAFCO 400 '!$L$10)*U508^2)+(('CAFCO 400 '!$L$11*(J508^3)+'CAFCO 400 '!$L$12*(J508^2)+'CAFCO 400 '!$L$13*J508+'CAFCO 400 '!$L$14)*U508)+('CAFCO 400 '!$L$15*LN(J508)+'CAFCO 400 '!$L$16)),0)+IF(AND(L508="Cafco 400",M508="Software Idiem",C508="IN",G508=3),((('CAFCO 400 '!$D$23*(J508^2)+'CAFCO 400 '!$D$24*(J508)+'CAFCO 400 '!$D$25)*U508^2)+(('CAFCO 400 '!$D$26*(J508^2)+'CAFCO 400 '!$D$27*J508+'CAFCO 400 '!$D$28)*U508)+('CAFCO 400 '!$D$29*(J508^2)+'CAFCO 400 '!$D$30*J508+'CAFCO 400 '!$D$31)),0),0)+IF(AND(L508="Cafco 300",J508&gt;=95,J508&lt;=240,C508="Cj",I508=90),VLOOKUP(T508,'CAFCO 300 IDIEM TABLAS'!$B$4:$D$23,2,FALSE),0)+IF(AND(L508="Cafco 300",J508&gt;=95,J508&lt;=240,C508="Cj",I508=120),VLOOKUP(T508,'CAFCO 300 IDIEM TABLAS'!$B$4:$D$23,3,FALSE),0)+IF(AND(L508="Cafco 300",J508&gt;=95,J508&lt;=400,G508=3,C508="IN",I508=90),VLOOKUP(T508,'CAFCO 300 IDIEM TABLAS'!$F$4:$H$35,2,FALSE),0)+IF(AND(L508="Cafco 300",J508&gt;=95,J508&lt;=400,G508=3,C508="IN",I508=120),VLOOKUP(T508,'CAFCO 300 IDIEM TABLAS'!$F$4:$H$35,3,FALSE),0)+IF(AND(L508="Cafco 300",J508&gt;=95,J508&lt;=450,G508=4,C508="IN",I508=90),VLOOKUP(T508,'CAFCO 300 IDIEM TABLAS'!$J$4:$L$40,2,FALSE),0)+IF(AND(L508="Cafco 300",J508&gt;=95,J508&lt;=450,G508=4,C508="IN",I508=120),VLOOKUP(T508,'CAFCO 300 IDIEM TABLAS'!$J$4:$L$40,3,FALSE),0)+IF(AND(M508="Ensayo Idiem",L508="Cafco 400",C508="IN",G508=4,I508=90),VLOOKUP(T508,'CAFCO 400 ENSAYO'!$B$7:$D$43,2,FALSE),0)+IF(AND(M508="Ensayo Idiem",L508="Cafco 400",C508="IN",G508=4,I508=120),VLOOKUP(T508,'CAFCO 400 ENSAYO'!$B$7:$D$43,3,FALSE),0)</f>
        <v>0</v>
      </c>
      <c r="O508" s="96">
        <f t="shared" si="54"/>
        <v>0</v>
      </c>
      <c r="P508" s="95" t="str">
        <f t="shared" si="55"/>
        <v>N/A</v>
      </c>
      <c r="Q508" s="95" t="str">
        <f t="shared" si="56"/>
        <v>N/A</v>
      </c>
      <c r="R508" s="95" t="str">
        <f t="shared" si="57"/>
        <v>NO CERT.</v>
      </c>
      <c r="S508" s="95" t="e">
        <f t="shared" si="58"/>
        <v>#N/A</v>
      </c>
      <c r="T508" s="119" t="e">
        <f>+IF(J508=LOOKUP(J508,'CAFCO 300 IDIEM TABLAS'!$J$4:$J$40),'CALCULO MORTERO'!J508,MROUND('CALCULO MORTERO'!J508,10))</f>
        <v>#N/A</v>
      </c>
      <c r="U508" s="118">
        <f t="shared" si="59"/>
        <v>0</v>
      </c>
      <c r="Y508" s="4"/>
      <c r="Z508" s="4"/>
      <c r="AA508" s="4"/>
    </row>
    <row r="509" spans="1:27" x14ac:dyDescent="0.25">
      <c r="A509" s="118">
        <f>+CUBICACION!D503</f>
        <v>0</v>
      </c>
      <c r="B509" s="819">
        <f>+CUBICACION!E503</f>
        <v>0</v>
      </c>
      <c r="C509" s="675">
        <f>+CUBICACION!F503</f>
        <v>0</v>
      </c>
      <c r="D509" s="118"/>
      <c r="E509" s="118"/>
      <c r="F509" s="820"/>
      <c r="G509" s="675">
        <f>+CUBICACION!J503</f>
        <v>0</v>
      </c>
      <c r="H509" s="118"/>
      <c r="I509" s="821">
        <f>+CUBICACION!L503</f>
        <v>0</v>
      </c>
      <c r="J509" s="64">
        <f>+CUBICACION!M503</f>
        <v>0</v>
      </c>
      <c r="K509" s="822" t="str">
        <f>+CUBICACION!N503</f>
        <v/>
      </c>
      <c r="L509" s="118">
        <f>+CUBICACION!O503</f>
        <v>0</v>
      </c>
      <c r="M509" s="823">
        <f>+CUBICACION!P503</f>
        <v>0</v>
      </c>
      <c r="N509" s="902">
        <f>ROUND(IF(AND(L509="Blaze Shield II",M509="Software Idiem",C509="IN",G509=4),((('BLAZE SHIELD II'!$D$4*('CALCULO MORTERO'!I509^2)+'BLAZE SHIELD II'!$D$5*'CALCULO MORTERO'!I509+'BLAZE SHIELD II'!$D$6)*LN(J509))+('BLAZE SHIELD II'!$D$7*('CALCULO MORTERO'!I509^2)+'BLAZE SHIELD II'!$D$8*'CALCULO MORTERO'!I509+'BLAZE SHIELD II'!$D$9)),0)+IF(AND(L509="Blaze Shield II",M509="Software Idiem",C509="Cj"),((('BLAZE SHIELD II'!$H$4*('CALCULO MORTERO'!I509^2)+'BLAZE SHIELD II'!$H$5*'CALCULO MORTERO'!I509+'BLAZE SHIELD II'!$H$6)*LN(J509))+('BLAZE SHIELD II'!$H$7*('CALCULO MORTERO'!I509^2)+'BLAZE SHIELD II'!$H$8*'CALCULO MORTERO'!I509+'BLAZE SHIELD II'!$H$9)),0)+IF(AND(L509="Blaze Shield II",M509="Software Idiem",C509="C"),((('BLAZE SHIELD II'!$L$4*('CALCULO MORTERO'!I509^2)+'BLAZE SHIELD II'!$L$5*'CALCULO MORTERO'!I509+'BLAZE SHIELD II'!$L$6)*LN(J509))+('BLAZE SHIELD II'!$L$7*('CALCULO MORTERO'!I509^2)+'BLAZE SHIELD II'!$L$8*'CALCULO MORTERO'!I509+'BLAZE SHIELD II'!$L$9)),0)+IF(AND(L509="Blaze Shield II",M509="Software Idiem",C509="L"),((('BLAZE SHIELD II'!$L$4*('CALCULO MORTERO'!I509^2)+'BLAZE SHIELD II'!$L$5*'CALCULO MORTERO'!I509+'BLAZE SHIELD II'!$L$6)*LN(J509))+('BLAZE SHIELD II'!$L$7*('CALCULO MORTERO'!I509^2)+'BLAZE SHIELD II'!$L$8*'CALCULO MORTERO'!I509+'BLAZE SHIELD II'!$L$9)),0)+IF(AND(L509="Blaze Shield II",M509="Software Idiem",C509="IN",G509=3),((('BLAZE SHIELD II'!$H$14*('CALCULO MORTERO'!I509^2)+'BLAZE SHIELD II'!$H$15*'CALCULO MORTERO'!I509+'BLAZE SHIELD II'!$H$16)*LN(J509))+('BLAZE SHIELD II'!$H$17*('CALCULO MORTERO'!I509^2)+'BLAZE SHIELD II'!$H$18*'CALCULO MORTERO'!I509+'BLAZE SHIELD II'!$H$19)),0),0)+ROUND(IF(AND(L509="Cafco 400",M509="Software Idiem",C509="IN",G509=4),((('CAFCO 400 '!$H$7*(J509^4)+'CAFCO 400 '!$H$8*(J509^3)+'CAFCO 400 '!$H$9*(J509^2)+'CAFCO 400 '!$H$10*J509+'CAFCO 400 '!$H$11)*U509^2)+(('CAFCO 400 '!$H$12*(J509^3)+'CAFCO 400 '!$H$13*(J509^2)+'CAFCO 400 '!$H$14*J509+'CAFCO 400 '!$H$15)*U509)+('CAFCO 400 '!$H$16*(J509^2)+'CAFCO 400 '!$H$17*J509+'CAFCO 400 '!$H$18)),0)+IF(AND(L509="Cafco 400",M509="Software Idiem",C509="Cj"),(((('CAFCO 400 '!$D$7*LN(J509)+'CAFCO 400 '!$D$8)*U509^2)+(('CAFCO 400 '!$D$9*LN(J509)+'CAFCO 400 '!$D$10)*U509)+('CAFCO 400 '!$D$11*LN(J509)+'CAFCO 400 '!$D$12))),0)+IF(AND(L509="Cafco 400",M509="Software Idiem",C509="C"),((('CAFCO 400 '!$L$7*(J509^3)+'CAFCO 400 '!$L$8*(J509^2)+'CAFCO 400 '!$L$9*J509+'CAFCO 400 '!$L$10)*U509^2)+(('CAFCO 400 '!$L$11*(J509^3)+'CAFCO 400 '!$L$12*(J509^2)+'CAFCO 400 '!$L$13*J509+'CAFCO 400 '!$L$14)*U509)+('CAFCO 400 '!$L$15*LN(J509)+'CAFCO 400 '!$L$16)),0)+IF(AND(L509="Cafco 400",M509="Software Idiem",C509="L"),((('CAFCO 400 '!$L$7*(J509^3)+'CAFCO 400 '!$L$8*(J509^2)+'CAFCO 400 '!$L$9*J509+'CAFCO 400 '!$L$10)*U509^2)+(('CAFCO 400 '!$L$11*(J509^3)+'CAFCO 400 '!$L$12*(J509^2)+'CAFCO 400 '!$L$13*J509+'CAFCO 400 '!$L$14)*U509)+('CAFCO 400 '!$L$15*LN(J509)+'CAFCO 400 '!$L$16)),0)+IF(AND(L509="Cafco 400",M509="Software Idiem",C509="IN",G509=3),((('CAFCO 400 '!$D$23*(J509^2)+'CAFCO 400 '!$D$24*(J509)+'CAFCO 400 '!$D$25)*U509^2)+(('CAFCO 400 '!$D$26*(J509^2)+'CAFCO 400 '!$D$27*J509+'CAFCO 400 '!$D$28)*U509)+('CAFCO 400 '!$D$29*(J509^2)+'CAFCO 400 '!$D$30*J509+'CAFCO 400 '!$D$31)),0),0)+IF(AND(L509="Cafco 300",J509&gt;=95,J509&lt;=240,C509="Cj",I509=90),VLOOKUP(T509,'CAFCO 300 IDIEM TABLAS'!$B$4:$D$23,2,FALSE),0)+IF(AND(L509="Cafco 300",J509&gt;=95,J509&lt;=240,C509="Cj",I509=120),VLOOKUP(T509,'CAFCO 300 IDIEM TABLAS'!$B$4:$D$23,3,FALSE),0)+IF(AND(L509="Cafco 300",J509&gt;=95,J509&lt;=400,G509=3,C509="IN",I509=90),VLOOKUP(T509,'CAFCO 300 IDIEM TABLAS'!$F$4:$H$35,2,FALSE),0)+IF(AND(L509="Cafco 300",J509&gt;=95,J509&lt;=400,G509=3,C509="IN",I509=120),VLOOKUP(T509,'CAFCO 300 IDIEM TABLAS'!$F$4:$H$35,3,FALSE),0)+IF(AND(L509="Cafco 300",J509&gt;=95,J509&lt;=450,G509=4,C509="IN",I509=90),VLOOKUP(T509,'CAFCO 300 IDIEM TABLAS'!$J$4:$L$40,2,FALSE),0)+IF(AND(L509="Cafco 300",J509&gt;=95,J509&lt;=450,G509=4,C509="IN",I509=120),VLOOKUP(T509,'CAFCO 300 IDIEM TABLAS'!$J$4:$L$40,3,FALSE),0)+IF(AND(M509="Ensayo Idiem",L509="Cafco 400",C509="IN",G509=4,I509=90),VLOOKUP(T509,'CAFCO 400 ENSAYO'!$B$7:$D$43,2,FALSE),0)+IF(AND(M509="Ensayo Idiem",L509="Cafco 400",C509="IN",G509=4,I509=120),VLOOKUP(T509,'CAFCO 400 ENSAYO'!$B$7:$D$43,3,FALSE),0)</f>
        <v>0</v>
      </c>
      <c r="O509" s="96">
        <f t="shared" si="54"/>
        <v>0</v>
      </c>
      <c r="P509" s="132" t="str">
        <f t="shared" si="55"/>
        <v>N/A</v>
      </c>
      <c r="Q509" s="132" t="str">
        <f t="shared" si="56"/>
        <v>N/A</v>
      </c>
      <c r="R509" s="132" t="str">
        <f t="shared" si="57"/>
        <v>NO CERT.</v>
      </c>
      <c r="S509" s="132" t="e">
        <f t="shared" si="58"/>
        <v>#N/A</v>
      </c>
      <c r="T509" s="133" t="e">
        <f>+IF(J509=LOOKUP(J509,'CAFCO 300 IDIEM TABLAS'!$J$4:$J$40),'CALCULO MORTERO'!J509,MROUND('CALCULO MORTERO'!J509,10))</f>
        <v>#N/A</v>
      </c>
      <c r="U509" s="134">
        <f t="shared" si="59"/>
        <v>0</v>
      </c>
      <c r="Y509" s="4"/>
      <c r="Z509" s="4"/>
      <c r="AA509" s="4"/>
    </row>
    <row r="510" spans="1:27" x14ac:dyDescent="0.25">
      <c r="A510" s="118">
        <f>+CUBICACION!D504</f>
        <v>0</v>
      </c>
      <c r="B510" s="819">
        <f>+CUBICACION!E504</f>
        <v>0</v>
      </c>
      <c r="C510" s="675">
        <f>+CUBICACION!F504</f>
        <v>0</v>
      </c>
      <c r="D510" s="118"/>
      <c r="E510" s="118"/>
      <c r="F510" s="820"/>
      <c r="G510" s="675">
        <f>+CUBICACION!J504</f>
        <v>0</v>
      </c>
      <c r="H510" s="118"/>
      <c r="I510" s="821">
        <f>+CUBICACION!L504</f>
        <v>0</v>
      </c>
      <c r="J510" s="64">
        <f>+CUBICACION!M504</f>
        <v>0</v>
      </c>
      <c r="K510" s="822" t="str">
        <f>+CUBICACION!N504</f>
        <v/>
      </c>
      <c r="L510" s="118">
        <f>+CUBICACION!O504</f>
        <v>0</v>
      </c>
      <c r="M510" s="823">
        <f>+CUBICACION!P504</f>
        <v>0</v>
      </c>
      <c r="N510" s="902">
        <f>ROUND(IF(AND(L510="Blaze Shield II",M510="Software Idiem",C510="IN",G510=4),((('BLAZE SHIELD II'!$D$4*('CALCULO MORTERO'!I510^2)+'BLAZE SHIELD II'!$D$5*'CALCULO MORTERO'!I510+'BLAZE SHIELD II'!$D$6)*LN(J510))+('BLAZE SHIELD II'!$D$7*('CALCULO MORTERO'!I510^2)+'BLAZE SHIELD II'!$D$8*'CALCULO MORTERO'!I510+'BLAZE SHIELD II'!$D$9)),0)+IF(AND(L510="Blaze Shield II",M510="Software Idiem",C510="Cj"),((('BLAZE SHIELD II'!$H$4*('CALCULO MORTERO'!I510^2)+'BLAZE SHIELD II'!$H$5*'CALCULO MORTERO'!I510+'BLAZE SHIELD II'!$H$6)*LN(J510))+('BLAZE SHIELD II'!$H$7*('CALCULO MORTERO'!I510^2)+'BLAZE SHIELD II'!$H$8*'CALCULO MORTERO'!I510+'BLAZE SHIELD II'!$H$9)),0)+IF(AND(L510="Blaze Shield II",M510="Software Idiem",C510="C"),((('BLAZE SHIELD II'!$L$4*('CALCULO MORTERO'!I510^2)+'BLAZE SHIELD II'!$L$5*'CALCULO MORTERO'!I510+'BLAZE SHIELD II'!$L$6)*LN(J510))+('BLAZE SHIELD II'!$L$7*('CALCULO MORTERO'!I510^2)+'BLAZE SHIELD II'!$L$8*'CALCULO MORTERO'!I510+'BLAZE SHIELD II'!$L$9)),0)+IF(AND(L510="Blaze Shield II",M510="Software Idiem",C510="L"),((('BLAZE SHIELD II'!$L$4*('CALCULO MORTERO'!I510^2)+'BLAZE SHIELD II'!$L$5*'CALCULO MORTERO'!I510+'BLAZE SHIELD II'!$L$6)*LN(J510))+('BLAZE SHIELD II'!$L$7*('CALCULO MORTERO'!I510^2)+'BLAZE SHIELD II'!$L$8*'CALCULO MORTERO'!I510+'BLAZE SHIELD II'!$L$9)),0)+IF(AND(L510="Blaze Shield II",M510="Software Idiem",C510="IN",G510=3),((('BLAZE SHIELD II'!$H$14*('CALCULO MORTERO'!I510^2)+'BLAZE SHIELD II'!$H$15*'CALCULO MORTERO'!I510+'BLAZE SHIELD II'!$H$16)*LN(J510))+('BLAZE SHIELD II'!$H$17*('CALCULO MORTERO'!I510^2)+'BLAZE SHIELD II'!$H$18*'CALCULO MORTERO'!I510+'BLAZE SHIELD II'!$H$19)),0),0)+ROUND(IF(AND(L510="Cafco 400",M510="Software Idiem",C510="IN",G510=4),((('CAFCO 400 '!$H$7*(J510^4)+'CAFCO 400 '!$H$8*(J510^3)+'CAFCO 400 '!$H$9*(J510^2)+'CAFCO 400 '!$H$10*J510+'CAFCO 400 '!$H$11)*U510^2)+(('CAFCO 400 '!$H$12*(J510^3)+'CAFCO 400 '!$H$13*(J510^2)+'CAFCO 400 '!$H$14*J510+'CAFCO 400 '!$H$15)*U510)+('CAFCO 400 '!$H$16*(J510^2)+'CAFCO 400 '!$H$17*J510+'CAFCO 400 '!$H$18)),0)+IF(AND(L510="Cafco 400",M510="Software Idiem",C510="Cj"),(((('CAFCO 400 '!$D$7*LN(J510)+'CAFCO 400 '!$D$8)*U510^2)+(('CAFCO 400 '!$D$9*LN(J510)+'CAFCO 400 '!$D$10)*U510)+('CAFCO 400 '!$D$11*LN(J510)+'CAFCO 400 '!$D$12))),0)+IF(AND(L510="Cafco 400",M510="Software Idiem",C510="C"),((('CAFCO 400 '!$L$7*(J510^3)+'CAFCO 400 '!$L$8*(J510^2)+'CAFCO 400 '!$L$9*J510+'CAFCO 400 '!$L$10)*U510^2)+(('CAFCO 400 '!$L$11*(J510^3)+'CAFCO 400 '!$L$12*(J510^2)+'CAFCO 400 '!$L$13*J510+'CAFCO 400 '!$L$14)*U510)+('CAFCO 400 '!$L$15*LN(J510)+'CAFCO 400 '!$L$16)),0)+IF(AND(L510="Cafco 400",M510="Software Idiem",C510="L"),((('CAFCO 400 '!$L$7*(J510^3)+'CAFCO 400 '!$L$8*(J510^2)+'CAFCO 400 '!$L$9*J510+'CAFCO 400 '!$L$10)*U510^2)+(('CAFCO 400 '!$L$11*(J510^3)+'CAFCO 400 '!$L$12*(J510^2)+'CAFCO 400 '!$L$13*J510+'CAFCO 400 '!$L$14)*U510)+('CAFCO 400 '!$L$15*LN(J510)+'CAFCO 400 '!$L$16)),0)+IF(AND(L510="Cafco 400",M510="Software Idiem",C510="IN",G510=3),((('CAFCO 400 '!$D$23*(J510^2)+'CAFCO 400 '!$D$24*(J510)+'CAFCO 400 '!$D$25)*U510^2)+(('CAFCO 400 '!$D$26*(J510^2)+'CAFCO 400 '!$D$27*J510+'CAFCO 400 '!$D$28)*U510)+('CAFCO 400 '!$D$29*(J510^2)+'CAFCO 400 '!$D$30*J510+'CAFCO 400 '!$D$31)),0),0)+IF(AND(L510="Cafco 300",J510&gt;=95,J510&lt;=240,C510="Cj",I510=90),VLOOKUP(T510,'CAFCO 300 IDIEM TABLAS'!$B$4:$D$23,2,FALSE),0)+IF(AND(L510="Cafco 300",J510&gt;=95,J510&lt;=240,C510="Cj",I510=120),VLOOKUP(T510,'CAFCO 300 IDIEM TABLAS'!$B$4:$D$23,3,FALSE),0)+IF(AND(L510="Cafco 300",J510&gt;=95,J510&lt;=400,G510=3,C510="IN",I510=90),VLOOKUP(T510,'CAFCO 300 IDIEM TABLAS'!$F$4:$H$35,2,FALSE),0)+IF(AND(L510="Cafco 300",J510&gt;=95,J510&lt;=400,G510=3,C510="IN",I510=120),VLOOKUP(T510,'CAFCO 300 IDIEM TABLAS'!$F$4:$H$35,3,FALSE),0)+IF(AND(L510="Cafco 300",J510&gt;=95,J510&lt;=450,G510=4,C510="IN",I510=90),VLOOKUP(T510,'CAFCO 300 IDIEM TABLAS'!$J$4:$L$40,2,FALSE),0)+IF(AND(L510="Cafco 300",J510&gt;=95,J510&lt;=450,G510=4,C510="IN",I510=120),VLOOKUP(T510,'CAFCO 300 IDIEM TABLAS'!$J$4:$L$40,3,FALSE),0)+IF(AND(M510="Ensayo Idiem",L510="Cafco 400",C510="IN",G510=4,I510=90),VLOOKUP(T510,'CAFCO 400 ENSAYO'!$B$7:$D$43,2,FALSE),0)+IF(AND(M510="Ensayo Idiem",L510="Cafco 400",C510="IN",G510=4,I510=120),VLOOKUP(T510,'CAFCO 400 ENSAYO'!$B$7:$D$43,3,FALSE),0)</f>
        <v>0</v>
      </c>
      <c r="O510" s="96">
        <f t="shared" si="54"/>
        <v>0</v>
      </c>
      <c r="P510" s="95" t="str">
        <f t="shared" si="55"/>
        <v>N/A</v>
      </c>
      <c r="Q510" s="95" t="str">
        <f t="shared" si="56"/>
        <v>N/A</v>
      </c>
      <c r="R510" s="95" t="str">
        <f t="shared" si="57"/>
        <v>NO CERT.</v>
      </c>
      <c r="S510" s="95" t="e">
        <f t="shared" si="58"/>
        <v>#N/A</v>
      </c>
      <c r="T510" s="119" t="e">
        <f>+IF(J510=LOOKUP(J510,'CAFCO 300 IDIEM TABLAS'!$J$4:$J$40),'CALCULO MORTERO'!J510,MROUND('CALCULO MORTERO'!J510,10))</f>
        <v>#N/A</v>
      </c>
      <c r="U510" s="118">
        <f t="shared" si="59"/>
        <v>0</v>
      </c>
      <c r="Y510" s="4"/>
      <c r="Z510" s="4"/>
      <c r="AA510" s="4"/>
    </row>
    <row r="511" spans="1:27" x14ac:dyDescent="0.25">
      <c r="A511" s="118">
        <f>+CUBICACION!D505</f>
        <v>0</v>
      </c>
      <c r="B511" s="819">
        <f>+CUBICACION!E505</f>
        <v>0</v>
      </c>
      <c r="C511" s="675">
        <f>+CUBICACION!F505</f>
        <v>0</v>
      </c>
      <c r="D511" s="118"/>
      <c r="E511" s="118"/>
      <c r="F511" s="820"/>
      <c r="G511" s="675">
        <f>+CUBICACION!J505</f>
        <v>0</v>
      </c>
      <c r="H511" s="118"/>
      <c r="I511" s="821">
        <f>+CUBICACION!L505</f>
        <v>0</v>
      </c>
      <c r="J511" s="64">
        <f>+CUBICACION!M505</f>
        <v>0</v>
      </c>
      <c r="K511" s="822" t="str">
        <f>+CUBICACION!N505</f>
        <v/>
      </c>
      <c r="L511" s="118">
        <f>+CUBICACION!O505</f>
        <v>0</v>
      </c>
      <c r="M511" s="823">
        <f>+CUBICACION!P505</f>
        <v>0</v>
      </c>
      <c r="N511" s="902">
        <f>ROUND(IF(AND(L511="Blaze Shield II",M511="Software Idiem",C511="IN",G511=4),((('BLAZE SHIELD II'!$D$4*('CALCULO MORTERO'!I511^2)+'BLAZE SHIELD II'!$D$5*'CALCULO MORTERO'!I511+'BLAZE SHIELD II'!$D$6)*LN(J511))+('BLAZE SHIELD II'!$D$7*('CALCULO MORTERO'!I511^2)+'BLAZE SHIELD II'!$D$8*'CALCULO MORTERO'!I511+'BLAZE SHIELD II'!$D$9)),0)+IF(AND(L511="Blaze Shield II",M511="Software Idiem",C511="Cj"),((('BLAZE SHIELD II'!$H$4*('CALCULO MORTERO'!I511^2)+'BLAZE SHIELD II'!$H$5*'CALCULO MORTERO'!I511+'BLAZE SHIELD II'!$H$6)*LN(J511))+('BLAZE SHIELD II'!$H$7*('CALCULO MORTERO'!I511^2)+'BLAZE SHIELD II'!$H$8*'CALCULO MORTERO'!I511+'BLAZE SHIELD II'!$H$9)),0)+IF(AND(L511="Blaze Shield II",M511="Software Idiem",C511="C"),((('BLAZE SHIELD II'!$L$4*('CALCULO MORTERO'!I511^2)+'BLAZE SHIELD II'!$L$5*'CALCULO MORTERO'!I511+'BLAZE SHIELD II'!$L$6)*LN(J511))+('BLAZE SHIELD II'!$L$7*('CALCULO MORTERO'!I511^2)+'BLAZE SHIELD II'!$L$8*'CALCULO MORTERO'!I511+'BLAZE SHIELD II'!$L$9)),0)+IF(AND(L511="Blaze Shield II",M511="Software Idiem",C511="L"),((('BLAZE SHIELD II'!$L$4*('CALCULO MORTERO'!I511^2)+'BLAZE SHIELD II'!$L$5*'CALCULO MORTERO'!I511+'BLAZE SHIELD II'!$L$6)*LN(J511))+('BLAZE SHIELD II'!$L$7*('CALCULO MORTERO'!I511^2)+'BLAZE SHIELD II'!$L$8*'CALCULO MORTERO'!I511+'BLAZE SHIELD II'!$L$9)),0)+IF(AND(L511="Blaze Shield II",M511="Software Idiem",C511="IN",G511=3),((('BLAZE SHIELD II'!$H$14*('CALCULO MORTERO'!I511^2)+'BLAZE SHIELD II'!$H$15*'CALCULO MORTERO'!I511+'BLAZE SHIELD II'!$H$16)*LN(J511))+('BLAZE SHIELD II'!$H$17*('CALCULO MORTERO'!I511^2)+'BLAZE SHIELD II'!$H$18*'CALCULO MORTERO'!I511+'BLAZE SHIELD II'!$H$19)),0),0)+ROUND(IF(AND(L511="Cafco 400",M511="Software Idiem",C511="IN",G511=4),((('CAFCO 400 '!$H$7*(J511^4)+'CAFCO 400 '!$H$8*(J511^3)+'CAFCO 400 '!$H$9*(J511^2)+'CAFCO 400 '!$H$10*J511+'CAFCO 400 '!$H$11)*U511^2)+(('CAFCO 400 '!$H$12*(J511^3)+'CAFCO 400 '!$H$13*(J511^2)+'CAFCO 400 '!$H$14*J511+'CAFCO 400 '!$H$15)*U511)+('CAFCO 400 '!$H$16*(J511^2)+'CAFCO 400 '!$H$17*J511+'CAFCO 400 '!$H$18)),0)+IF(AND(L511="Cafco 400",M511="Software Idiem",C511="Cj"),(((('CAFCO 400 '!$D$7*LN(J511)+'CAFCO 400 '!$D$8)*U511^2)+(('CAFCO 400 '!$D$9*LN(J511)+'CAFCO 400 '!$D$10)*U511)+('CAFCO 400 '!$D$11*LN(J511)+'CAFCO 400 '!$D$12))),0)+IF(AND(L511="Cafco 400",M511="Software Idiem",C511="C"),((('CAFCO 400 '!$L$7*(J511^3)+'CAFCO 400 '!$L$8*(J511^2)+'CAFCO 400 '!$L$9*J511+'CAFCO 400 '!$L$10)*U511^2)+(('CAFCO 400 '!$L$11*(J511^3)+'CAFCO 400 '!$L$12*(J511^2)+'CAFCO 400 '!$L$13*J511+'CAFCO 400 '!$L$14)*U511)+('CAFCO 400 '!$L$15*LN(J511)+'CAFCO 400 '!$L$16)),0)+IF(AND(L511="Cafco 400",M511="Software Idiem",C511="L"),((('CAFCO 400 '!$L$7*(J511^3)+'CAFCO 400 '!$L$8*(J511^2)+'CAFCO 400 '!$L$9*J511+'CAFCO 400 '!$L$10)*U511^2)+(('CAFCO 400 '!$L$11*(J511^3)+'CAFCO 400 '!$L$12*(J511^2)+'CAFCO 400 '!$L$13*J511+'CAFCO 400 '!$L$14)*U511)+('CAFCO 400 '!$L$15*LN(J511)+'CAFCO 400 '!$L$16)),0)+IF(AND(L511="Cafco 400",M511="Software Idiem",C511="IN",G511=3),((('CAFCO 400 '!$D$23*(J511^2)+'CAFCO 400 '!$D$24*(J511)+'CAFCO 400 '!$D$25)*U511^2)+(('CAFCO 400 '!$D$26*(J511^2)+'CAFCO 400 '!$D$27*J511+'CAFCO 400 '!$D$28)*U511)+('CAFCO 400 '!$D$29*(J511^2)+'CAFCO 400 '!$D$30*J511+'CAFCO 400 '!$D$31)),0),0)+IF(AND(L511="Cafco 300",J511&gt;=95,J511&lt;=240,C511="Cj",I511=90),VLOOKUP(T511,'CAFCO 300 IDIEM TABLAS'!$B$4:$D$23,2,FALSE),0)+IF(AND(L511="Cafco 300",J511&gt;=95,J511&lt;=240,C511="Cj",I511=120),VLOOKUP(T511,'CAFCO 300 IDIEM TABLAS'!$B$4:$D$23,3,FALSE),0)+IF(AND(L511="Cafco 300",J511&gt;=95,J511&lt;=400,G511=3,C511="IN",I511=90),VLOOKUP(T511,'CAFCO 300 IDIEM TABLAS'!$F$4:$H$35,2,FALSE),0)+IF(AND(L511="Cafco 300",J511&gt;=95,J511&lt;=400,G511=3,C511="IN",I511=120),VLOOKUP(T511,'CAFCO 300 IDIEM TABLAS'!$F$4:$H$35,3,FALSE),0)+IF(AND(L511="Cafco 300",J511&gt;=95,J511&lt;=450,G511=4,C511="IN",I511=90),VLOOKUP(T511,'CAFCO 300 IDIEM TABLAS'!$J$4:$L$40,2,FALSE),0)+IF(AND(L511="Cafco 300",J511&gt;=95,J511&lt;=450,G511=4,C511="IN",I511=120),VLOOKUP(T511,'CAFCO 300 IDIEM TABLAS'!$J$4:$L$40,3,FALSE),0)+IF(AND(M511="Ensayo Idiem",L511="Cafco 400",C511="IN",G511=4,I511=90),VLOOKUP(T511,'CAFCO 400 ENSAYO'!$B$7:$D$43,2,FALSE),0)+IF(AND(M511="Ensayo Idiem",L511="Cafco 400",C511="IN",G511=4,I511=120),VLOOKUP(T511,'CAFCO 400 ENSAYO'!$B$7:$D$43,3,FALSE),0)</f>
        <v>0</v>
      </c>
      <c r="O511" s="96">
        <f t="shared" si="54"/>
        <v>0</v>
      </c>
      <c r="P511" s="132" t="str">
        <f t="shared" si="55"/>
        <v>N/A</v>
      </c>
      <c r="Q511" s="132" t="str">
        <f t="shared" si="56"/>
        <v>N/A</v>
      </c>
      <c r="R511" s="132" t="str">
        <f t="shared" si="57"/>
        <v>NO CERT.</v>
      </c>
      <c r="S511" s="132" t="e">
        <f t="shared" si="58"/>
        <v>#N/A</v>
      </c>
      <c r="T511" s="133" t="e">
        <f>+IF(J511=LOOKUP(J511,'CAFCO 300 IDIEM TABLAS'!$J$4:$J$40),'CALCULO MORTERO'!J511,MROUND('CALCULO MORTERO'!J511,10))</f>
        <v>#N/A</v>
      </c>
      <c r="U511" s="134">
        <f t="shared" si="59"/>
        <v>0</v>
      </c>
      <c r="Y511" s="4"/>
      <c r="Z511" s="4"/>
      <c r="AA511" s="4"/>
    </row>
    <row r="512" spans="1:27" x14ac:dyDescent="0.25">
      <c r="A512" s="118">
        <f>+CUBICACION!D506</f>
        <v>0</v>
      </c>
      <c r="B512" s="819">
        <f>+CUBICACION!E506</f>
        <v>0</v>
      </c>
      <c r="C512" s="675">
        <f>+CUBICACION!F506</f>
        <v>0</v>
      </c>
      <c r="D512" s="118"/>
      <c r="E512" s="118"/>
      <c r="F512" s="820"/>
      <c r="G512" s="675">
        <f>+CUBICACION!J506</f>
        <v>0</v>
      </c>
      <c r="H512" s="118"/>
      <c r="I512" s="821">
        <f>+CUBICACION!L506</f>
        <v>0</v>
      </c>
      <c r="J512" s="64">
        <f>+CUBICACION!M506</f>
        <v>0</v>
      </c>
      <c r="K512" s="822" t="str">
        <f>+CUBICACION!N506</f>
        <v/>
      </c>
      <c r="L512" s="118">
        <f>+CUBICACION!O506</f>
        <v>0</v>
      </c>
      <c r="M512" s="823">
        <f>+CUBICACION!P506</f>
        <v>0</v>
      </c>
      <c r="N512" s="902">
        <f>ROUND(IF(AND(L512="Blaze Shield II",M512="Software Idiem",C512="IN",G512=4),((('BLAZE SHIELD II'!$D$4*('CALCULO MORTERO'!I512^2)+'BLAZE SHIELD II'!$D$5*'CALCULO MORTERO'!I512+'BLAZE SHIELD II'!$D$6)*LN(J512))+('BLAZE SHIELD II'!$D$7*('CALCULO MORTERO'!I512^2)+'BLAZE SHIELD II'!$D$8*'CALCULO MORTERO'!I512+'BLAZE SHIELD II'!$D$9)),0)+IF(AND(L512="Blaze Shield II",M512="Software Idiem",C512="Cj"),((('BLAZE SHIELD II'!$H$4*('CALCULO MORTERO'!I512^2)+'BLAZE SHIELD II'!$H$5*'CALCULO MORTERO'!I512+'BLAZE SHIELD II'!$H$6)*LN(J512))+('BLAZE SHIELD II'!$H$7*('CALCULO MORTERO'!I512^2)+'BLAZE SHIELD II'!$H$8*'CALCULO MORTERO'!I512+'BLAZE SHIELD II'!$H$9)),0)+IF(AND(L512="Blaze Shield II",M512="Software Idiem",C512="C"),((('BLAZE SHIELD II'!$L$4*('CALCULO MORTERO'!I512^2)+'BLAZE SHIELD II'!$L$5*'CALCULO MORTERO'!I512+'BLAZE SHIELD II'!$L$6)*LN(J512))+('BLAZE SHIELD II'!$L$7*('CALCULO MORTERO'!I512^2)+'BLAZE SHIELD II'!$L$8*'CALCULO MORTERO'!I512+'BLAZE SHIELD II'!$L$9)),0)+IF(AND(L512="Blaze Shield II",M512="Software Idiem",C512="L"),((('BLAZE SHIELD II'!$L$4*('CALCULO MORTERO'!I512^2)+'BLAZE SHIELD II'!$L$5*'CALCULO MORTERO'!I512+'BLAZE SHIELD II'!$L$6)*LN(J512))+('BLAZE SHIELD II'!$L$7*('CALCULO MORTERO'!I512^2)+'BLAZE SHIELD II'!$L$8*'CALCULO MORTERO'!I512+'BLAZE SHIELD II'!$L$9)),0)+IF(AND(L512="Blaze Shield II",M512="Software Idiem",C512="IN",G512=3),((('BLAZE SHIELD II'!$H$14*('CALCULO MORTERO'!I512^2)+'BLAZE SHIELD II'!$H$15*'CALCULO MORTERO'!I512+'BLAZE SHIELD II'!$H$16)*LN(J512))+('BLAZE SHIELD II'!$H$17*('CALCULO MORTERO'!I512^2)+'BLAZE SHIELD II'!$H$18*'CALCULO MORTERO'!I512+'BLAZE SHIELD II'!$H$19)),0),0)+ROUND(IF(AND(L512="Cafco 400",M512="Software Idiem",C512="IN",G512=4),((('CAFCO 400 '!$H$7*(J512^4)+'CAFCO 400 '!$H$8*(J512^3)+'CAFCO 400 '!$H$9*(J512^2)+'CAFCO 400 '!$H$10*J512+'CAFCO 400 '!$H$11)*U512^2)+(('CAFCO 400 '!$H$12*(J512^3)+'CAFCO 400 '!$H$13*(J512^2)+'CAFCO 400 '!$H$14*J512+'CAFCO 400 '!$H$15)*U512)+('CAFCO 400 '!$H$16*(J512^2)+'CAFCO 400 '!$H$17*J512+'CAFCO 400 '!$H$18)),0)+IF(AND(L512="Cafco 400",M512="Software Idiem",C512="Cj"),(((('CAFCO 400 '!$D$7*LN(J512)+'CAFCO 400 '!$D$8)*U512^2)+(('CAFCO 400 '!$D$9*LN(J512)+'CAFCO 400 '!$D$10)*U512)+('CAFCO 400 '!$D$11*LN(J512)+'CAFCO 400 '!$D$12))),0)+IF(AND(L512="Cafco 400",M512="Software Idiem",C512="C"),((('CAFCO 400 '!$L$7*(J512^3)+'CAFCO 400 '!$L$8*(J512^2)+'CAFCO 400 '!$L$9*J512+'CAFCO 400 '!$L$10)*U512^2)+(('CAFCO 400 '!$L$11*(J512^3)+'CAFCO 400 '!$L$12*(J512^2)+'CAFCO 400 '!$L$13*J512+'CAFCO 400 '!$L$14)*U512)+('CAFCO 400 '!$L$15*LN(J512)+'CAFCO 400 '!$L$16)),0)+IF(AND(L512="Cafco 400",M512="Software Idiem",C512="L"),((('CAFCO 400 '!$L$7*(J512^3)+'CAFCO 400 '!$L$8*(J512^2)+'CAFCO 400 '!$L$9*J512+'CAFCO 400 '!$L$10)*U512^2)+(('CAFCO 400 '!$L$11*(J512^3)+'CAFCO 400 '!$L$12*(J512^2)+'CAFCO 400 '!$L$13*J512+'CAFCO 400 '!$L$14)*U512)+('CAFCO 400 '!$L$15*LN(J512)+'CAFCO 400 '!$L$16)),0)+IF(AND(L512="Cafco 400",M512="Software Idiem",C512="IN",G512=3),((('CAFCO 400 '!$D$23*(J512^2)+'CAFCO 400 '!$D$24*(J512)+'CAFCO 400 '!$D$25)*U512^2)+(('CAFCO 400 '!$D$26*(J512^2)+'CAFCO 400 '!$D$27*J512+'CAFCO 400 '!$D$28)*U512)+('CAFCO 400 '!$D$29*(J512^2)+'CAFCO 400 '!$D$30*J512+'CAFCO 400 '!$D$31)),0),0)+IF(AND(L512="Cafco 300",J512&gt;=95,J512&lt;=240,C512="Cj",I512=90),VLOOKUP(T512,'CAFCO 300 IDIEM TABLAS'!$B$4:$D$23,2,FALSE),0)+IF(AND(L512="Cafco 300",J512&gt;=95,J512&lt;=240,C512="Cj",I512=120),VLOOKUP(T512,'CAFCO 300 IDIEM TABLAS'!$B$4:$D$23,3,FALSE),0)+IF(AND(L512="Cafco 300",J512&gt;=95,J512&lt;=400,G512=3,C512="IN",I512=90),VLOOKUP(T512,'CAFCO 300 IDIEM TABLAS'!$F$4:$H$35,2,FALSE),0)+IF(AND(L512="Cafco 300",J512&gt;=95,J512&lt;=400,G512=3,C512="IN",I512=120),VLOOKUP(T512,'CAFCO 300 IDIEM TABLAS'!$F$4:$H$35,3,FALSE),0)+IF(AND(L512="Cafco 300",J512&gt;=95,J512&lt;=450,G512=4,C512="IN",I512=90),VLOOKUP(T512,'CAFCO 300 IDIEM TABLAS'!$J$4:$L$40,2,FALSE),0)+IF(AND(L512="Cafco 300",J512&gt;=95,J512&lt;=450,G512=4,C512="IN",I512=120),VLOOKUP(T512,'CAFCO 300 IDIEM TABLAS'!$J$4:$L$40,3,FALSE),0)+IF(AND(M512="Ensayo Idiem",L512="Cafco 400",C512="IN",G512=4,I512=90),VLOOKUP(T512,'CAFCO 400 ENSAYO'!$B$7:$D$43,2,FALSE),0)+IF(AND(M512="Ensayo Idiem",L512="Cafco 400",C512="IN",G512=4,I512=120),VLOOKUP(T512,'CAFCO 400 ENSAYO'!$B$7:$D$43,3,FALSE),0)</f>
        <v>0</v>
      </c>
      <c r="O512" s="96">
        <f t="shared" si="54"/>
        <v>0</v>
      </c>
      <c r="P512" s="95" t="str">
        <f t="shared" si="55"/>
        <v>N/A</v>
      </c>
      <c r="Q512" s="95" t="str">
        <f t="shared" si="56"/>
        <v>N/A</v>
      </c>
      <c r="R512" s="95" t="str">
        <f t="shared" si="57"/>
        <v>NO CERT.</v>
      </c>
      <c r="S512" s="95" t="e">
        <f t="shared" si="58"/>
        <v>#N/A</v>
      </c>
      <c r="T512" s="119" t="e">
        <f>+IF(J512=LOOKUP(J512,'CAFCO 300 IDIEM TABLAS'!$J$4:$J$40),'CALCULO MORTERO'!J512,MROUND('CALCULO MORTERO'!J512,10))</f>
        <v>#N/A</v>
      </c>
      <c r="U512" s="118">
        <f t="shared" si="59"/>
        <v>0</v>
      </c>
      <c r="Y512" s="4"/>
      <c r="Z512" s="4"/>
      <c r="AA512" s="4"/>
    </row>
    <row r="513" spans="1:27" x14ac:dyDescent="0.25">
      <c r="A513" s="118">
        <f>+CUBICACION!D507</f>
        <v>0</v>
      </c>
      <c r="B513" s="819">
        <f>+CUBICACION!E507</f>
        <v>0</v>
      </c>
      <c r="C513" s="675">
        <f>+CUBICACION!F507</f>
        <v>0</v>
      </c>
      <c r="D513" s="118"/>
      <c r="E513" s="118"/>
      <c r="F513" s="820"/>
      <c r="G513" s="675">
        <f>+CUBICACION!J507</f>
        <v>0</v>
      </c>
      <c r="H513" s="118"/>
      <c r="I513" s="821">
        <f>+CUBICACION!L507</f>
        <v>0</v>
      </c>
      <c r="J513" s="64">
        <f>+CUBICACION!M507</f>
        <v>0</v>
      </c>
      <c r="K513" s="822" t="str">
        <f>+CUBICACION!N507</f>
        <v/>
      </c>
      <c r="L513" s="118">
        <f>+CUBICACION!O507</f>
        <v>0</v>
      </c>
      <c r="M513" s="823">
        <f>+CUBICACION!P507</f>
        <v>0</v>
      </c>
      <c r="N513" s="902">
        <f>ROUND(IF(AND(L513="Blaze Shield II",M513="Software Idiem",C513="IN",G513=4),((('BLAZE SHIELD II'!$D$4*('CALCULO MORTERO'!I513^2)+'BLAZE SHIELD II'!$D$5*'CALCULO MORTERO'!I513+'BLAZE SHIELD II'!$D$6)*LN(J513))+('BLAZE SHIELD II'!$D$7*('CALCULO MORTERO'!I513^2)+'BLAZE SHIELD II'!$D$8*'CALCULO MORTERO'!I513+'BLAZE SHIELD II'!$D$9)),0)+IF(AND(L513="Blaze Shield II",M513="Software Idiem",C513="Cj"),((('BLAZE SHIELD II'!$H$4*('CALCULO MORTERO'!I513^2)+'BLAZE SHIELD II'!$H$5*'CALCULO MORTERO'!I513+'BLAZE SHIELD II'!$H$6)*LN(J513))+('BLAZE SHIELD II'!$H$7*('CALCULO MORTERO'!I513^2)+'BLAZE SHIELD II'!$H$8*'CALCULO MORTERO'!I513+'BLAZE SHIELD II'!$H$9)),0)+IF(AND(L513="Blaze Shield II",M513="Software Idiem",C513="C"),((('BLAZE SHIELD II'!$L$4*('CALCULO MORTERO'!I513^2)+'BLAZE SHIELD II'!$L$5*'CALCULO MORTERO'!I513+'BLAZE SHIELD II'!$L$6)*LN(J513))+('BLAZE SHIELD II'!$L$7*('CALCULO MORTERO'!I513^2)+'BLAZE SHIELD II'!$L$8*'CALCULO MORTERO'!I513+'BLAZE SHIELD II'!$L$9)),0)+IF(AND(L513="Blaze Shield II",M513="Software Idiem",C513="L"),((('BLAZE SHIELD II'!$L$4*('CALCULO MORTERO'!I513^2)+'BLAZE SHIELD II'!$L$5*'CALCULO MORTERO'!I513+'BLAZE SHIELD II'!$L$6)*LN(J513))+('BLAZE SHIELD II'!$L$7*('CALCULO MORTERO'!I513^2)+'BLAZE SHIELD II'!$L$8*'CALCULO MORTERO'!I513+'BLAZE SHIELD II'!$L$9)),0)+IF(AND(L513="Blaze Shield II",M513="Software Idiem",C513="IN",G513=3),((('BLAZE SHIELD II'!$H$14*('CALCULO MORTERO'!I513^2)+'BLAZE SHIELD II'!$H$15*'CALCULO MORTERO'!I513+'BLAZE SHIELD II'!$H$16)*LN(J513))+('BLAZE SHIELD II'!$H$17*('CALCULO MORTERO'!I513^2)+'BLAZE SHIELD II'!$H$18*'CALCULO MORTERO'!I513+'BLAZE SHIELD II'!$H$19)),0),0)+ROUND(IF(AND(L513="Cafco 400",M513="Software Idiem",C513="IN",G513=4),((('CAFCO 400 '!$H$7*(J513^4)+'CAFCO 400 '!$H$8*(J513^3)+'CAFCO 400 '!$H$9*(J513^2)+'CAFCO 400 '!$H$10*J513+'CAFCO 400 '!$H$11)*U513^2)+(('CAFCO 400 '!$H$12*(J513^3)+'CAFCO 400 '!$H$13*(J513^2)+'CAFCO 400 '!$H$14*J513+'CAFCO 400 '!$H$15)*U513)+('CAFCO 400 '!$H$16*(J513^2)+'CAFCO 400 '!$H$17*J513+'CAFCO 400 '!$H$18)),0)+IF(AND(L513="Cafco 400",M513="Software Idiem",C513="Cj"),(((('CAFCO 400 '!$D$7*LN(J513)+'CAFCO 400 '!$D$8)*U513^2)+(('CAFCO 400 '!$D$9*LN(J513)+'CAFCO 400 '!$D$10)*U513)+('CAFCO 400 '!$D$11*LN(J513)+'CAFCO 400 '!$D$12))),0)+IF(AND(L513="Cafco 400",M513="Software Idiem",C513="C"),((('CAFCO 400 '!$L$7*(J513^3)+'CAFCO 400 '!$L$8*(J513^2)+'CAFCO 400 '!$L$9*J513+'CAFCO 400 '!$L$10)*U513^2)+(('CAFCO 400 '!$L$11*(J513^3)+'CAFCO 400 '!$L$12*(J513^2)+'CAFCO 400 '!$L$13*J513+'CAFCO 400 '!$L$14)*U513)+('CAFCO 400 '!$L$15*LN(J513)+'CAFCO 400 '!$L$16)),0)+IF(AND(L513="Cafco 400",M513="Software Idiem",C513="L"),((('CAFCO 400 '!$L$7*(J513^3)+'CAFCO 400 '!$L$8*(J513^2)+'CAFCO 400 '!$L$9*J513+'CAFCO 400 '!$L$10)*U513^2)+(('CAFCO 400 '!$L$11*(J513^3)+'CAFCO 400 '!$L$12*(J513^2)+'CAFCO 400 '!$L$13*J513+'CAFCO 400 '!$L$14)*U513)+('CAFCO 400 '!$L$15*LN(J513)+'CAFCO 400 '!$L$16)),0)+IF(AND(L513="Cafco 400",M513="Software Idiem",C513="IN",G513=3),((('CAFCO 400 '!$D$23*(J513^2)+'CAFCO 400 '!$D$24*(J513)+'CAFCO 400 '!$D$25)*U513^2)+(('CAFCO 400 '!$D$26*(J513^2)+'CAFCO 400 '!$D$27*J513+'CAFCO 400 '!$D$28)*U513)+('CAFCO 400 '!$D$29*(J513^2)+'CAFCO 400 '!$D$30*J513+'CAFCO 400 '!$D$31)),0),0)+IF(AND(L513="Cafco 300",J513&gt;=95,J513&lt;=240,C513="Cj",I513=90),VLOOKUP(T513,'CAFCO 300 IDIEM TABLAS'!$B$4:$D$23,2,FALSE),0)+IF(AND(L513="Cafco 300",J513&gt;=95,J513&lt;=240,C513="Cj",I513=120),VLOOKUP(T513,'CAFCO 300 IDIEM TABLAS'!$B$4:$D$23,3,FALSE),0)+IF(AND(L513="Cafco 300",J513&gt;=95,J513&lt;=400,G513=3,C513="IN",I513=90),VLOOKUP(T513,'CAFCO 300 IDIEM TABLAS'!$F$4:$H$35,2,FALSE),0)+IF(AND(L513="Cafco 300",J513&gt;=95,J513&lt;=400,G513=3,C513="IN",I513=120),VLOOKUP(T513,'CAFCO 300 IDIEM TABLAS'!$F$4:$H$35,3,FALSE),0)+IF(AND(L513="Cafco 300",J513&gt;=95,J513&lt;=450,G513=4,C513="IN",I513=90),VLOOKUP(T513,'CAFCO 300 IDIEM TABLAS'!$J$4:$L$40,2,FALSE),0)+IF(AND(L513="Cafco 300",J513&gt;=95,J513&lt;=450,G513=4,C513="IN",I513=120),VLOOKUP(T513,'CAFCO 300 IDIEM TABLAS'!$J$4:$L$40,3,FALSE),0)+IF(AND(M513="Ensayo Idiem",L513="Cafco 400",C513="IN",G513=4,I513=90),VLOOKUP(T513,'CAFCO 400 ENSAYO'!$B$7:$D$43,2,FALSE),0)+IF(AND(M513="Ensayo Idiem",L513="Cafco 400",C513="IN",G513=4,I513=120),VLOOKUP(T513,'CAFCO 400 ENSAYO'!$B$7:$D$43,3,FALSE),0)</f>
        <v>0</v>
      </c>
      <c r="O513" s="96">
        <f t="shared" si="54"/>
        <v>0</v>
      </c>
      <c r="P513" s="132" t="str">
        <f t="shared" si="55"/>
        <v>N/A</v>
      </c>
      <c r="Q513" s="132" t="str">
        <f t="shared" si="56"/>
        <v>N/A</v>
      </c>
      <c r="R513" s="132" t="str">
        <f t="shared" si="57"/>
        <v>NO CERT.</v>
      </c>
      <c r="S513" s="132" t="e">
        <f t="shared" si="58"/>
        <v>#N/A</v>
      </c>
      <c r="T513" s="133" t="e">
        <f>+IF(J513=LOOKUP(J513,'CAFCO 300 IDIEM TABLAS'!$J$4:$J$40),'CALCULO MORTERO'!J513,MROUND('CALCULO MORTERO'!J513,10))</f>
        <v>#N/A</v>
      </c>
      <c r="U513" s="134">
        <f t="shared" si="59"/>
        <v>0</v>
      </c>
      <c r="Y513" s="4"/>
      <c r="Z513" s="4"/>
      <c r="AA513" s="4"/>
    </row>
    <row r="514" spans="1:27" x14ac:dyDescent="0.25">
      <c r="A514" s="118">
        <f>+CUBICACION!D508</f>
        <v>0</v>
      </c>
      <c r="B514" s="819">
        <f>+CUBICACION!E508</f>
        <v>0</v>
      </c>
      <c r="C514" s="675">
        <f>+CUBICACION!F508</f>
        <v>0</v>
      </c>
      <c r="D514" s="118"/>
      <c r="E514" s="118"/>
      <c r="F514" s="820"/>
      <c r="G514" s="675">
        <f>+CUBICACION!J508</f>
        <v>0</v>
      </c>
      <c r="H514" s="118"/>
      <c r="I514" s="821">
        <f>+CUBICACION!L508</f>
        <v>0</v>
      </c>
      <c r="J514" s="64">
        <f>+CUBICACION!M508</f>
        <v>0</v>
      </c>
      <c r="K514" s="822" t="str">
        <f>+CUBICACION!N508</f>
        <v/>
      </c>
      <c r="L514" s="118">
        <f>+CUBICACION!O508</f>
        <v>0</v>
      </c>
      <c r="M514" s="823">
        <f>+CUBICACION!P508</f>
        <v>0</v>
      </c>
      <c r="N514" s="902">
        <f>ROUND(IF(AND(L514="Blaze Shield II",M514="Software Idiem",C514="IN",G514=4),((('BLAZE SHIELD II'!$D$4*('CALCULO MORTERO'!I514^2)+'BLAZE SHIELD II'!$D$5*'CALCULO MORTERO'!I514+'BLAZE SHIELD II'!$D$6)*LN(J514))+('BLAZE SHIELD II'!$D$7*('CALCULO MORTERO'!I514^2)+'BLAZE SHIELD II'!$D$8*'CALCULO MORTERO'!I514+'BLAZE SHIELD II'!$D$9)),0)+IF(AND(L514="Blaze Shield II",M514="Software Idiem",C514="Cj"),((('BLAZE SHIELD II'!$H$4*('CALCULO MORTERO'!I514^2)+'BLAZE SHIELD II'!$H$5*'CALCULO MORTERO'!I514+'BLAZE SHIELD II'!$H$6)*LN(J514))+('BLAZE SHIELD II'!$H$7*('CALCULO MORTERO'!I514^2)+'BLAZE SHIELD II'!$H$8*'CALCULO MORTERO'!I514+'BLAZE SHIELD II'!$H$9)),0)+IF(AND(L514="Blaze Shield II",M514="Software Idiem",C514="C"),((('BLAZE SHIELD II'!$L$4*('CALCULO MORTERO'!I514^2)+'BLAZE SHIELD II'!$L$5*'CALCULO MORTERO'!I514+'BLAZE SHIELD II'!$L$6)*LN(J514))+('BLAZE SHIELD II'!$L$7*('CALCULO MORTERO'!I514^2)+'BLAZE SHIELD II'!$L$8*'CALCULO MORTERO'!I514+'BLAZE SHIELD II'!$L$9)),0)+IF(AND(L514="Blaze Shield II",M514="Software Idiem",C514="L"),((('BLAZE SHIELD II'!$L$4*('CALCULO MORTERO'!I514^2)+'BLAZE SHIELD II'!$L$5*'CALCULO MORTERO'!I514+'BLAZE SHIELD II'!$L$6)*LN(J514))+('BLAZE SHIELD II'!$L$7*('CALCULO MORTERO'!I514^2)+'BLAZE SHIELD II'!$L$8*'CALCULO MORTERO'!I514+'BLAZE SHIELD II'!$L$9)),0)+IF(AND(L514="Blaze Shield II",M514="Software Idiem",C514="IN",G514=3),((('BLAZE SHIELD II'!$H$14*('CALCULO MORTERO'!I514^2)+'BLAZE SHIELD II'!$H$15*'CALCULO MORTERO'!I514+'BLAZE SHIELD II'!$H$16)*LN(J514))+('BLAZE SHIELD II'!$H$17*('CALCULO MORTERO'!I514^2)+'BLAZE SHIELD II'!$H$18*'CALCULO MORTERO'!I514+'BLAZE SHIELD II'!$H$19)),0),0)+ROUND(IF(AND(L514="Cafco 400",M514="Software Idiem",C514="IN",G514=4),((('CAFCO 400 '!$H$7*(J514^4)+'CAFCO 400 '!$H$8*(J514^3)+'CAFCO 400 '!$H$9*(J514^2)+'CAFCO 400 '!$H$10*J514+'CAFCO 400 '!$H$11)*U514^2)+(('CAFCO 400 '!$H$12*(J514^3)+'CAFCO 400 '!$H$13*(J514^2)+'CAFCO 400 '!$H$14*J514+'CAFCO 400 '!$H$15)*U514)+('CAFCO 400 '!$H$16*(J514^2)+'CAFCO 400 '!$H$17*J514+'CAFCO 400 '!$H$18)),0)+IF(AND(L514="Cafco 400",M514="Software Idiem",C514="Cj"),(((('CAFCO 400 '!$D$7*LN(J514)+'CAFCO 400 '!$D$8)*U514^2)+(('CAFCO 400 '!$D$9*LN(J514)+'CAFCO 400 '!$D$10)*U514)+('CAFCO 400 '!$D$11*LN(J514)+'CAFCO 400 '!$D$12))),0)+IF(AND(L514="Cafco 400",M514="Software Idiem",C514="C"),((('CAFCO 400 '!$L$7*(J514^3)+'CAFCO 400 '!$L$8*(J514^2)+'CAFCO 400 '!$L$9*J514+'CAFCO 400 '!$L$10)*U514^2)+(('CAFCO 400 '!$L$11*(J514^3)+'CAFCO 400 '!$L$12*(J514^2)+'CAFCO 400 '!$L$13*J514+'CAFCO 400 '!$L$14)*U514)+('CAFCO 400 '!$L$15*LN(J514)+'CAFCO 400 '!$L$16)),0)+IF(AND(L514="Cafco 400",M514="Software Idiem",C514="L"),((('CAFCO 400 '!$L$7*(J514^3)+'CAFCO 400 '!$L$8*(J514^2)+'CAFCO 400 '!$L$9*J514+'CAFCO 400 '!$L$10)*U514^2)+(('CAFCO 400 '!$L$11*(J514^3)+'CAFCO 400 '!$L$12*(J514^2)+'CAFCO 400 '!$L$13*J514+'CAFCO 400 '!$L$14)*U514)+('CAFCO 400 '!$L$15*LN(J514)+'CAFCO 400 '!$L$16)),0)+IF(AND(L514="Cafco 400",M514="Software Idiem",C514="IN",G514=3),((('CAFCO 400 '!$D$23*(J514^2)+'CAFCO 400 '!$D$24*(J514)+'CAFCO 400 '!$D$25)*U514^2)+(('CAFCO 400 '!$D$26*(J514^2)+'CAFCO 400 '!$D$27*J514+'CAFCO 400 '!$D$28)*U514)+('CAFCO 400 '!$D$29*(J514^2)+'CAFCO 400 '!$D$30*J514+'CAFCO 400 '!$D$31)),0),0)+IF(AND(L514="Cafco 300",J514&gt;=95,J514&lt;=240,C514="Cj",I514=90),VLOOKUP(T514,'CAFCO 300 IDIEM TABLAS'!$B$4:$D$23,2,FALSE),0)+IF(AND(L514="Cafco 300",J514&gt;=95,J514&lt;=240,C514="Cj",I514=120),VLOOKUP(T514,'CAFCO 300 IDIEM TABLAS'!$B$4:$D$23,3,FALSE),0)+IF(AND(L514="Cafco 300",J514&gt;=95,J514&lt;=400,G514=3,C514="IN",I514=90),VLOOKUP(T514,'CAFCO 300 IDIEM TABLAS'!$F$4:$H$35,2,FALSE),0)+IF(AND(L514="Cafco 300",J514&gt;=95,J514&lt;=400,G514=3,C514="IN",I514=120),VLOOKUP(T514,'CAFCO 300 IDIEM TABLAS'!$F$4:$H$35,3,FALSE),0)+IF(AND(L514="Cafco 300",J514&gt;=95,J514&lt;=450,G514=4,C514="IN",I514=90),VLOOKUP(T514,'CAFCO 300 IDIEM TABLAS'!$J$4:$L$40,2,FALSE),0)+IF(AND(L514="Cafco 300",J514&gt;=95,J514&lt;=450,G514=4,C514="IN",I514=120),VLOOKUP(T514,'CAFCO 300 IDIEM TABLAS'!$J$4:$L$40,3,FALSE),0)+IF(AND(M514="Ensayo Idiem",L514="Cafco 400",C514="IN",G514=4,I514=90),VLOOKUP(T514,'CAFCO 400 ENSAYO'!$B$7:$D$43,2,FALSE),0)+IF(AND(M514="Ensayo Idiem",L514="Cafco 400",C514="IN",G514=4,I514=120),VLOOKUP(T514,'CAFCO 400 ENSAYO'!$B$7:$D$43,3,FALSE),0)</f>
        <v>0</v>
      </c>
      <c r="O514" s="96">
        <f t="shared" si="54"/>
        <v>0</v>
      </c>
      <c r="P514" s="95" t="str">
        <f t="shared" si="55"/>
        <v>N/A</v>
      </c>
      <c r="Q514" s="95" t="str">
        <f t="shared" si="56"/>
        <v>N/A</v>
      </c>
      <c r="R514" s="95" t="str">
        <f t="shared" si="57"/>
        <v>NO CERT.</v>
      </c>
      <c r="S514" s="95" t="e">
        <f t="shared" si="58"/>
        <v>#N/A</v>
      </c>
      <c r="T514" s="119" t="e">
        <f>+IF(J514=LOOKUP(J514,'CAFCO 300 IDIEM TABLAS'!$J$4:$J$40),'CALCULO MORTERO'!J514,MROUND('CALCULO MORTERO'!J514,10))</f>
        <v>#N/A</v>
      </c>
      <c r="U514" s="118">
        <f t="shared" si="59"/>
        <v>0</v>
      </c>
      <c r="Y514" s="4"/>
      <c r="Z514" s="4"/>
      <c r="AA514" s="4"/>
    </row>
    <row r="515" spans="1:27" x14ac:dyDescent="0.25">
      <c r="A515" s="118">
        <f>+CUBICACION!D509</f>
        <v>0</v>
      </c>
      <c r="B515" s="819">
        <f>+CUBICACION!E509</f>
        <v>0</v>
      </c>
      <c r="C515" s="675">
        <f>+CUBICACION!F509</f>
        <v>0</v>
      </c>
      <c r="D515" s="118"/>
      <c r="E515" s="118"/>
      <c r="F515" s="820"/>
      <c r="G515" s="675">
        <f>+CUBICACION!J509</f>
        <v>0</v>
      </c>
      <c r="H515" s="118"/>
      <c r="I515" s="821">
        <f>+CUBICACION!L509</f>
        <v>0</v>
      </c>
      <c r="J515" s="64">
        <f>+CUBICACION!M509</f>
        <v>0</v>
      </c>
      <c r="K515" s="822" t="str">
        <f>+CUBICACION!N509</f>
        <v/>
      </c>
      <c r="L515" s="118">
        <f>+CUBICACION!O509</f>
        <v>0</v>
      </c>
      <c r="M515" s="823">
        <f>+CUBICACION!P509</f>
        <v>0</v>
      </c>
      <c r="N515" s="902">
        <f>ROUND(IF(AND(L515="Blaze Shield II",M515="Software Idiem",C515="IN",G515=4),((('BLAZE SHIELD II'!$D$4*('CALCULO MORTERO'!I515^2)+'BLAZE SHIELD II'!$D$5*'CALCULO MORTERO'!I515+'BLAZE SHIELD II'!$D$6)*LN(J515))+('BLAZE SHIELD II'!$D$7*('CALCULO MORTERO'!I515^2)+'BLAZE SHIELD II'!$D$8*'CALCULO MORTERO'!I515+'BLAZE SHIELD II'!$D$9)),0)+IF(AND(L515="Blaze Shield II",M515="Software Idiem",C515="Cj"),((('BLAZE SHIELD II'!$H$4*('CALCULO MORTERO'!I515^2)+'BLAZE SHIELD II'!$H$5*'CALCULO MORTERO'!I515+'BLAZE SHIELD II'!$H$6)*LN(J515))+('BLAZE SHIELD II'!$H$7*('CALCULO MORTERO'!I515^2)+'BLAZE SHIELD II'!$H$8*'CALCULO MORTERO'!I515+'BLAZE SHIELD II'!$H$9)),0)+IF(AND(L515="Blaze Shield II",M515="Software Idiem",C515="C"),((('BLAZE SHIELD II'!$L$4*('CALCULO MORTERO'!I515^2)+'BLAZE SHIELD II'!$L$5*'CALCULO MORTERO'!I515+'BLAZE SHIELD II'!$L$6)*LN(J515))+('BLAZE SHIELD II'!$L$7*('CALCULO MORTERO'!I515^2)+'BLAZE SHIELD II'!$L$8*'CALCULO MORTERO'!I515+'BLAZE SHIELD II'!$L$9)),0)+IF(AND(L515="Blaze Shield II",M515="Software Idiem",C515="L"),((('BLAZE SHIELD II'!$L$4*('CALCULO MORTERO'!I515^2)+'BLAZE SHIELD II'!$L$5*'CALCULO MORTERO'!I515+'BLAZE SHIELD II'!$L$6)*LN(J515))+('BLAZE SHIELD II'!$L$7*('CALCULO MORTERO'!I515^2)+'BLAZE SHIELD II'!$L$8*'CALCULO MORTERO'!I515+'BLAZE SHIELD II'!$L$9)),0)+IF(AND(L515="Blaze Shield II",M515="Software Idiem",C515="IN",G515=3),((('BLAZE SHIELD II'!$H$14*('CALCULO MORTERO'!I515^2)+'BLAZE SHIELD II'!$H$15*'CALCULO MORTERO'!I515+'BLAZE SHIELD II'!$H$16)*LN(J515))+('BLAZE SHIELD II'!$H$17*('CALCULO MORTERO'!I515^2)+'BLAZE SHIELD II'!$H$18*'CALCULO MORTERO'!I515+'BLAZE SHIELD II'!$H$19)),0),0)+ROUND(IF(AND(L515="Cafco 400",M515="Software Idiem",C515="IN",G515=4),((('CAFCO 400 '!$H$7*(J515^4)+'CAFCO 400 '!$H$8*(J515^3)+'CAFCO 400 '!$H$9*(J515^2)+'CAFCO 400 '!$H$10*J515+'CAFCO 400 '!$H$11)*U515^2)+(('CAFCO 400 '!$H$12*(J515^3)+'CAFCO 400 '!$H$13*(J515^2)+'CAFCO 400 '!$H$14*J515+'CAFCO 400 '!$H$15)*U515)+('CAFCO 400 '!$H$16*(J515^2)+'CAFCO 400 '!$H$17*J515+'CAFCO 400 '!$H$18)),0)+IF(AND(L515="Cafco 400",M515="Software Idiem",C515="Cj"),(((('CAFCO 400 '!$D$7*LN(J515)+'CAFCO 400 '!$D$8)*U515^2)+(('CAFCO 400 '!$D$9*LN(J515)+'CAFCO 400 '!$D$10)*U515)+('CAFCO 400 '!$D$11*LN(J515)+'CAFCO 400 '!$D$12))),0)+IF(AND(L515="Cafco 400",M515="Software Idiem",C515="C"),((('CAFCO 400 '!$L$7*(J515^3)+'CAFCO 400 '!$L$8*(J515^2)+'CAFCO 400 '!$L$9*J515+'CAFCO 400 '!$L$10)*U515^2)+(('CAFCO 400 '!$L$11*(J515^3)+'CAFCO 400 '!$L$12*(J515^2)+'CAFCO 400 '!$L$13*J515+'CAFCO 400 '!$L$14)*U515)+('CAFCO 400 '!$L$15*LN(J515)+'CAFCO 400 '!$L$16)),0)+IF(AND(L515="Cafco 400",M515="Software Idiem",C515="L"),((('CAFCO 400 '!$L$7*(J515^3)+'CAFCO 400 '!$L$8*(J515^2)+'CAFCO 400 '!$L$9*J515+'CAFCO 400 '!$L$10)*U515^2)+(('CAFCO 400 '!$L$11*(J515^3)+'CAFCO 400 '!$L$12*(J515^2)+'CAFCO 400 '!$L$13*J515+'CAFCO 400 '!$L$14)*U515)+('CAFCO 400 '!$L$15*LN(J515)+'CAFCO 400 '!$L$16)),0)+IF(AND(L515="Cafco 400",M515="Software Idiem",C515="IN",G515=3),((('CAFCO 400 '!$D$23*(J515^2)+'CAFCO 400 '!$D$24*(J515)+'CAFCO 400 '!$D$25)*U515^2)+(('CAFCO 400 '!$D$26*(J515^2)+'CAFCO 400 '!$D$27*J515+'CAFCO 400 '!$D$28)*U515)+('CAFCO 400 '!$D$29*(J515^2)+'CAFCO 400 '!$D$30*J515+'CAFCO 400 '!$D$31)),0),0)+IF(AND(L515="Cafco 300",J515&gt;=95,J515&lt;=240,C515="Cj",I515=90),VLOOKUP(T515,'CAFCO 300 IDIEM TABLAS'!$B$4:$D$23,2,FALSE),0)+IF(AND(L515="Cafco 300",J515&gt;=95,J515&lt;=240,C515="Cj",I515=120),VLOOKUP(T515,'CAFCO 300 IDIEM TABLAS'!$B$4:$D$23,3,FALSE),0)+IF(AND(L515="Cafco 300",J515&gt;=95,J515&lt;=400,G515=3,C515="IN",I515=90),VLOOKUP(T515,'CAFCO 300 IDIEM TABLAS'!$F$4:$H$35,2,FALSE),0)+IF(AND(L515="Cafco 300",J515&gt;=95,J515&lt;=400,G515=3,C515="IN",I515=120),VLOOKUP(T515,'CAFCO 300 IDIEM TABLAS'!$F$4:$H$35,3,FALSE),0)+IF(AND(L515="Cafco 300",J515&gt;=95,J515&lt;=450,G515=4,C515="IN",I515=90),VLOOKUP(T515,'CAFCO 300 IDIEM TABLAS'!$J$4:$L$40,2,FALSE),0)+IF(AND(L515="Cafco 300",J515&gt;=95,J515&lt;=450,G515=4,C515="IN",I515=120),VLOOKUP(T515,'CAFCO 300 IDIEM TABLAS'!$J$4:$L$40,3,FALSE),0)+IF(AND(M515="Ensayo Idiem",L515="Cafco 400",C515="IN",G515=4,I515=90),VLOOKUP(T515,'CAFCO 400 ENSAYO'!$B$7:$D$43,2,FALSE),0)+IF(AND(M515="Ensayo Idiem",L515="Cafco 400",C515="IN",G515=4,I515=120),VLOOKUP(T515,'CAFCO 400 ENSAYO'!$B$7:$D$43,3,FALSE),0)</f>
        <v>0</v>
      </c>
      <c r="O515" s="96">
        <f t="shared" si="54"/>
        <v>0</v>
      </c>
      <c r="P515" s="132" t="str">
        <f t="shared" si="55"/>
        <v>N/A</v>
      </c>
      <c r="Q515" s="132" t="str">
        <f t="shared" si="56"/>
        <v>N/A</v>
      </c>
      <c r="R515" s="132" t="str">
        <f t="shared" si="57"/>
        <v>NO CERT.</v>
      </c>
      <c r="S515" s="132" t="e">
        <f t="shared" si="58"/>
        <v>#N/A</v>
      </c>
      <c r="T515" s="133" t="e">
        <f>+IF(J515=LOOKUP(J515,'CAFCO 300 IDIEM TABLAS'!$J$4:$J$40),'CALCULO MORTERO'!J515,MROUND('CALCULO MORTERO'!J515,10))</f>
        <v>#N/A</v>
      </c>
      <c r="U515" s="134">
        <f t="shared" si="59"/>
        <v>0</v>
      </c>
      <c r="Y515" s="4"/>
      <c r="Z515" s="4"/>
      <c r="AA515" s="4"/>
    </row>
    <row r="516" spans="1:27" x14ac:dyDescent="0.25">
      <c r="A516" s="118">
        <f>+CUBICACION!D510</f>
        <v>0</v>
      </c>
      <c r="B516" s="819">
        <f>+CUBICACION!E510</f>
        <v>0</v>
      </c>
      <c r="C516" s="675">
        <f>+CUBICACION!F510</f>
        <v>0</v>
      </c>
      <c r="D516" s="118"/>
      <c r="E516" s="118"/>
      <c r="F516" s="820"/>
      <c r="G516" s="675">
        <f>+CUBICACION!J510</f>
        <v>0</v>
      </c>
      <c r="H516" s="118"/>
      <c r="I516" s="821">
        <f>+CUBICACION!L510</f>
        <v>0</v>
      </c>
      <c r="J516" s="64">
        <f>+CUBICACION!M510</f>
        <v>0</v>
      </c>
      <c r="K516" s="822" t="str">
        <f>+CUBICACION!N510</f>
        <v/>
      </c>
      <c r="L516" s="118">
        <f>+CUBICACION!O510</f>
        <v>0</v>
      </c>
      <c r="M516" s="823">
        <f>+CUBICACION!P510</f>
        <v>0</v>
      </c>
      <c r="N516" s="902">
        <f>ROUND(IF(AND(L516="Blaze Shield II",M516="Software Idiem",C516="IN",G516=4),((('BLAZE SHIELD II'!$D$4*('CALCULO MORTERO'!I516^2)+'BLAZE SHIELD II'!$D$5*'CALCULO MORTERO'!I516+'BLAZE SHIELD II'!$D$6)*LN(J516))+('BLAZE SHIELD II'!$D$7*('CALCULO MORTERO'!I516^2)+'BLAZE SHIELD II'!$D$8*'CALCULO MORTERO'!I516+'BLAZE SHIELD II'!$D$9)),0)+IF(AND(L516="Blaze Shield II",M516="Software Idiem",C516="Cj"),((('BLAZE SHIELD II'!$H$4*('CALCULO MORTERO'!I516^2)+'BLAZE SHIELD II'!$H$5*'CALCULO MORTERO'!I516+'BLAZE SHIELD II'!$H$6)*LN(J516))+('BLAZE SHIELD II'!$H$7*('CALCULO MORTERO'!I516^2)+'BLAZE SHIELD II'!$H$8*'CALCULO MORTERO'!I516+'BLAZE SHIELD II'!$H$9)),0)+IF(AND(L516="Blaze Shield II",M516="Software Idiem",C516="C"),((('BLAZE SHIELD II'!$L$4*('CALCULO MORTERO'!I516^2)+'BLAZE SHIELD II'!$L$5*'CALCULO MORTERO'!I516+'BLAZE SHIELD II'!$L$6)*LN(J516))+('BLAZE SHIELD II'!$L$7*('CALCULO MORTERO'!I516^2)+'BLAZE SHIELD II'!$L$8*'CALCULO MORTERO'!I516+'BLAZE SHIELD II'!$L$9)),0)+IF(AND(L516="Blaze Shield II",M516="Software Idiem",C516="L"),((('BLAZE SHIELD II'!$L$4*('CALCULO MORTERO'!I516^2)+'BLAZE SHIELD II'!$L$5*'CALCULO MORTERO'!I516+'BLAZE SHIELD II'!$L$6)*LN(J516))+('BLAZE SHIELD II'!$L$7*('CALCULO MORTERO'!I516^2)+'BLAZE SHIELD II'!$L$8*'CALCULO MORTERO'!I516+'BLAZE SHIELD II'!$L$9)),0)+IF(AND(L516="Blaze Shield II",M516="Software Idiem",C516="IN",G516=3),((('BLAZE SHIELD II'!$H$14*('CALCULO MORTERO'!I516^2)+'BLAZE SHIELD II'!$H$15*'CALCULO MORTERO'!I516+'BLAZE SHIELD II'!$H$16)*LN(J516))+('BLAZE SHIELD II'!$H$17*('CALCULO MORTERO'!I516^2)+'BLAZE SHIELD II'!$H$18*'CALCULO MORTERO'!I516+'BLAZE SHIELD II'!$H$19)),0),0)+ROUND(IF(AND(L516="Cafco 400",M516="Software Idiem",C516="IN",G516=4),((('CAFCO 400 '!$H$7*(J516^4)+'CAFCO 400 '!$H$8*(J516^3)+'CAFCO 400 '!$H$9*(J516^2)+'CAFCO 400 '!$H$10*J516+'CAFCO 400 '!$H$11)*U516^2)+(('CAFCO 400 '!$H$12*(J516^3)+'CAFCO 400 '!$H$13*(J516^2)+'CAFCO 400 '!$H$14*J516+'CAFCO 400 '!$H$15)*U516)+('CAFCO 400 '!$H$16*(J516^2)+'CAFCO 400 '!$H$17*J516+'CAFCO 400 '!$H$18)),0)+IF(AND(L516="Cafco 400",M516="Software Idiem",C516="Cj"),(((('CAFCO 400 '!$D$7*LN(J516)+'CAFCO 400 '!$D$8)*U516^2)+(('CAFCO 400 '!$D$9*LN(J516)+'CAFCO 400 '!$D$10)*U516)+('CAFCO 400 '!$D$11*LN(J516)+'CAFCO 400 '!$D$12))),0)+IF(AND(L516="Cafco 400",M516="Software Idiem",C516="C"),((('CAFCO 400 '!$L$7*(J516^3)+'CAFCO 400 '!$L$8*(J516^2)+'CAFCO 400 '!$L$9*J516+'CAFCO 400 '!$L$10)*U516^2)+(('CAFCO 400 '!$L$11*(J516^3)+'CAFCO 400 '!$L$12*(J516^2)+'CAFCO 400 '!$L$13*J516+'CAFCO 400 '!$L$14)*U516)+('CAFCO 400 '!$L$15*LN(J516)+'CAFCO 400 '!$L$16)),0)+IF(AND(L516="Cafco 400",M516="Software Idiem",C516="L"),((('CAFCO 400 '!$L$7*(J516^3)+'CAFCO 400 '!$L$8*(J516^2)+'CAFCO 400 '!$L$9*J516+'CAFCO 400 '!$L$10)*U516^2)+(('CAFCO 400 '!$L$11*(J516^3)+'CAFCO 400 '!$L$12*(J516^2)+'CAFCO 400 '!$L$13*J516+'CAFCO 400 '!$L$14)*U516)+('CAFCO 400 '!$L$15*LN(J516)+'CAFCO 400 '!$L$16)),0)+IF(AND(L516="Cafco 400",M516="Software Idiem",C516="IN",G516=3),((('CAFCO 400 '!$D$23*(J516^2)+'CAFCO 400 '!$D$24*(J516)+'CAFCO 400 '!$D$25)*U516^2)+(('CAFCO 400 '!$D$26*(J516^2)+'CAFCO 400 '!$D$27*J516+'CAFCO 400 '!$D$28)*U516)+('CAFCO 400 '!$D$29*(J516^2)+'CAFCO 400 '!$D$30*J516+'CAFCO 400 '!$D$31)),0),0)+IF(AND(L516="Cafco 300",J516&gt;=95,J516&lt;=240,C516="Cj",I516=90),VLOOKUP(T516,'CAFCO 300 IDIEM TABLAS'!$B$4:$D$23,2,FALSE),0)+IF(AND(L516="Cafco 300",J516&gt;=95,J516&lt;=240,C516="Cj",I516=120),VLOOKUP(T516,'CAFCO 300 IDIEM TABLAS'!$B$4:$D$23,3,FALSE),0)+IF(AND(L516="Cafco 300",J516&gt;=95,J516&lt;=400,G516=3,C516="IN",I516=90),VLOOKUP(T516,'CAFCO 300 IDIEM TABLAS'!$F$4:$H$35,2,FALSE),0)+IF(AND(L516="Cafco 300",J516&gt;=95,J516&lt;=400,G516=3,C516="IN",I516=120),VLOOKUP(T516,'CAFCO 300 IDIEM TABLAS'!$F$4:$H$35,3,FALSE),0)+IF(AND(L516="Cafco 300",J516&gt;=95,J516&lt;=450,G516=4,C516="IN",I516=90),VLOOKUP(T516,'CAFCO 300 IDIEM TABLAS'!$J$4:$L$40,2,FALSE),0)+IF(AND(L516="Cafco 300",J516&gt;=95,J516&lt;=450,G516=4,C516="IN",I516=120),VLOOKUP(T516,'CAFCO 300 IDIEM TABLAS'!$J$4:$L$40,3,FALSE),0)+IF(AND(M516="Ensayo Idiem",L516="Cafco 400",C516="IN",G516=4,I516=90),VLOOKUP(T516,'CAFCO 400 ENSAYO'!$B$7:$D$43,2,FALSE),0)+IF(AND(M516="Ensayo Idiem",L516="Cafco 400",C516="IN",G516=4,I516=120),VLOOKUP(T516,'CAFCO 400 ENSAYO'!$B$7:$D$43,3,FALSE),0)</f>
        <v>0</v>
      </c>
      <c r="O516" s="96">
        <f t="shared" si="54"/>
        <v>0</v>
      </c>
      <c r="P516" s="95" t="str">
        <f t="shared" si="55"/>
        <v>N/A</v>
      </c>
      <c r="Q516" s="95" t="str">
        <f t="shared" si="56"/>
        <v>N/A</v>
      </c>
      <c r="R516" s="95" t="str">
        <f t="shared" si="57"/>
        <v>NO CERT.</v>
      </c>
      <c r="S516" s="95" t="e">
        <f t="shared" si="58"/>
        <v>#N/A</v>
      </c>
      <c r="T516" s="119" t="e">
        <f>+IF(J516=LOOKUP(J516,'CAFCO 300 IDIEM TABLAS'!$J$4:$J$40),'CALCULO MORTERO'!J516,MROUND('CALCULO MORTERO'!J516,10))</f>
        <v>#N/A</v>
      </c>
      <c r="U516" s="118">
        <f t="shared" si="59"/>
        <v>0</v>
      </c>
      <c r="Y516" s="4"/>
      <c r="Z516" s="4"/>
      <c r="AA516" s="4"/>
    </row>
    <row r="517" spans="1:27" x14ac:dyDescent="0.25">
      <c r="A517" s="118">
        <f>+CUBICACION!D511</f>
        <v>0</v>
      </c>
      <c r="B517" s="819">
        <f>+CUBICACION!E511</f>
        <v>0</v>
      </c>
      <c r="C517" s="675">
        <f>+CUBICACION!F511</f>
        <v>0</v>
      </c>
      <c r="D517" s="118"/>
      <c r="E517" s="118"/>
      <c r="F517" s="820"/>
      <c r="G517" s="675">
        <f>+CUBICACION!J511</f>
        <v>0</v>
      </c>
      <c r="H517" s="118"/>
      <c r="I517" s="821">
        <f>+CUBICACION!L511</f>
        <v>0</v>
      </c>
      <c r="J517" s="64">
        <f>+CUBICACION!M511</f>
        <v>0</v>
      </c>
      <c r="K517" s="822" t="str">
        <f>+CUBICACION!N511</f>
        <v/>
      </c>
      <c r="L517" s="118">
        <f>+CUBICACION!O511</f>
        <v>0</v>
      </c>
      <c r="M517" s="823">
        <f>+CUBICACION!P511</f>
        <v>0</v>
      </c>
      <c r="N517" s="902">
        <f>ROUND(IF(AND(L517="Blaze Shield II",M517="Software Idiem",C517="IN",G517=4),((('BLAZE SHIELD II'!$D$4*('CALCULO MORTERO'!I517^2)+'BLAZE SHIELD II'!$D$5*'CALCULO MORTERO'!I517+'BLAZE SHIELD II'!$D$6)*LN(J517))+('BLAZE SHIELD II'!$D$7*('CALCULO MORTERO'!I517^2)+'BLAZE SHIELD II'!$D$8*'CALCULO MORTERO'!I517+'BLAZE SHIELD II'!$D$9)),0)+IF(AND(L517="Blaze Shield II",M517="Software Idiem",C517="Cj"),((('BLAZE SHIELD II'!$H$4*('CALCULO MORTERO'!I517^2)+'BLAZE SHIELD II'!$H$5*'CALCULO MORTERO'!I517+'BLAZE SHIELD II'!$H$6)*LN(J517))+('BLAZE SHIELD II'!$H$7*('CALCULO MORTERO'!I517^2)+'BLAZE SHIELD II'!$H$8*'CALCULO MORTERO'!I517+'BLAZE SHIELD II'!$H$9)),0)+IF(AND(L517="Blaze Shield II",M517="Software Idiem",C517="C"),((('BLAZE SHIELD II'!$L$4*('CALCULO MORTERO'!I517^2)+'BLAZE SHIELD II'!$L$5*'CALCULO MORTERO'!I517+'BLAZE SHIELD II'!$L$6)*LN(J517))+('BLAZE SHIELD II'!$L$7*('CALCULO MORTERO'!I517^2)+'BLAZE SHIELD II'!$L$8*'CALCULO MORTERO'!I517+'BLAZE SHIELD II'!$L$9)),0)+IF(AND(L517="Blaze Shield II",M517="Software Idiem",C517="L"),((('BLAZE SHIELD II'!$L$4*('CALCULO MORTERO'!I517^2)+'BLAZE SHIELD II'!$L$5*'CALCULO MORTERO'!I517+'BLAZE SHIELD II'!$L$6)*LN(J517))+('BLAZE SHIELD II'!$L$7*('CALCULO MORTERO'!I517^2)+'BLAZE SHIELD II'!$L$8*'CALCULO MORTERO'!I517+'BLAZE SHIELD II'!$L$9)),0)+IF(AND(L517="Blaze Shield II",M517="Software Idiem",C517="IN",G517=3),((('BLAZE SHIELD II'!$H$14*('CALCULO MORTERO'!I517^2)+'BLAZE SHIELD II'!$H$15*'CALCULO MORTERO'!I517+'BLAZE SHIELD II'!$H$16)*LN(J517))+('BLAZE SHIELD II'!$H$17*('CALCULO MORTERO'!I517^2)+'BLAZE SHIELD II'!$H$18*'CALCULO MORTERO'!I517+'BLAZE SHIELD II'!$H$19)),0),0)+ROUND(IF(AND(L517="Cafco 400",M517="Software Idiem",C517="IN",G517=4),((('CAFCO 400 '!$H$7*(J517^4)+'CAFCO 400 '!$H$8*(J517^3)+'CAFCO 400 '!$H$9*(J517^2)+'CAFCO 400 '!$H$10*J517+'CAFCO 400 '!$H$11)*U517^2)+(('CAFCO 400 '!$H$12*(J517^3)+'CAFCO 400 '!$H$13*(J517^2)+'CAFCO 400 '!$H$14*J517+'CAFCO 400 '!$H$15)*U517)+('CAFCO 400 '!$H$16*(J517^2)+'CAFCO 400 '!$H$17*J517+'CAFCO 400 '!$H$18)),0)+IF(AND(L517="Cafco 400",M517="Software Idiem",C517="Cj"),(((('CAFCO 400 '!$D$7*LN(J517)+'CAFCO 400 '!$D$8)*U517^2)+(('CAFCO 400 '!$D$9*LN(J517)+'CAFCO 400 '!$D$10)*U517)+('CAFCO 400 '!$D$11*LN(J517)+'CAFCO 400 '!$D$12))),0)+IF(AND(L517="Cafco 400",M517="Software Idiem",C517="C"),((('CAFCO 400 '!$L$7*(J517^3)+'CAFCO 400 '!$L$8*(J517^2)+'CAFCO 400 '!$L$9*J517+'CAFCO 400 '!$L$10)*U517^2)+(('CAFCO 400 '!$L$11*(J517^3)+'CAFCO 400 '!$L$12*(J517^2)+'CAFCO 400 '!$L$13*J517+'CAFCO 400 '!$L$14)*U517)+('CAFCO 400 '!$L$15*LN(J517)+'CAFCO 400 '!$L$16)),0)+IF(AND(L517="Cafco 400",M517="Software Idiem",C517="L"),((('CAFCO 400 '!$L$7*(J517^3)+'CAFCO 400 '!$L$8*(J517^2)+'CAFCO 400 '!$L$9*J517+'CAFCO 400 '!$L$10)*U517^2)+(('CAFCO 400 '!$L$11*(J517^3)+'CAFCO 400 '!$L$12*(J517^2)+'CAFCO 400 '!$L$13*J517+'CAFCO 400 '!$L$14)*U517)+('CAFCO 400 '!$L$15*LN(J517)+'CAFCO 400 '!$L$16)),0)+IF(AND(L517="Cafco 400",M517="Software Idiem",C517="IN",G517=3),((('CAFCO 400 '!$D$23*(J517^2)+'CAFCO 400 '!$D$24*(J517)+'CAFCO 400 '!$D$25)*U517^2)+(('CAFCO 400 '!$D$26*(J517^2)+'CAFCO 400 '!$D$27*J517+'CAFCO 400 '!$D$28)*U517)+('CAFCO 400 '!$D$29*(J517^2)+'CAFCO 400 '!$D$30*J517+'CAFCO 400 '!$D$31)),0),0)+IF(AND(L517="Cafco 300",J517&gt;=95,J517&lt;=240,C517="Cj",I517=90),VLOOKUP(T517,'CAFCO 300 IDIEM TABLAS'!$B$4:$D$23,2,FALSE),0)+IF(AND(L517="Cafco 300",J517&gt;=95,J517&lt;=240,C517="Cj",I517=120),VLOOKUP(T517,'CAFCO 300 IDIEM TABLAS'!$B$4:$D$23,3,FALSE),0)+IF(AND(L517="Cafco 300",J517&gt;=95,J517&lt;=400,G517=3,C517="IN",I517=90),VLOOKUP(T517,'CAFCO 300 IDIEM TABLAS'!$F$4:$H$35,2,FALSE),0)+IF(AND(L517="Cafco 300",J517&gt;=95,J517&lt;=400,G517=3,C517="IN",I517=120),VLOOKUP(T517,'CAFCO 300 IDIEM TABLAS'!$F$4:$H$35,3,FALSE),0)+IF(AND(L517="Cafco 300",J517&gt;=95,J517&lt;=450,G517=4,C517="IN",I517=90),VLOOKUP(T517,'CAFCO 300 IDIEM TABLAS'!$J$4:$L$40,2,FALSE),0)+IF(AND(L517="Cafco 300",J517&gt;=95,J517&lt;=450,G517=4,C517="IN",I517=120),VLOOKUP(T517,'CAFCO 300 IDIEM TABLAS'!$J$4:$L$40,3,FALSE),0)+IF(AND(M517="Ensayo Idiem",L517="Cafco 400",C517="IN",G517=4,I517=90),VLOOKUP(T517,'CAFCO 400 ENSAYO'!$B$7:$D$43,2,FALSE),0)+IF(AND(M517="Ensayo Idiem",L517="Cafco 400",C517="IN",G517=4,I517=120),VLOOKUP(T517,'CAFCO 400 ENSAYO'!$B$7:$D$43,3,FALSE),0)</f>
        <v>0</v>
      </c>
      <c r="O517" s="96">
        <f t="shared" si="54"/>
        <v>0</v>
      </c>
      <c r="P517" s="132" t="str">
        <f t="shared" si="55"/>
        <v>N/A</v>
      </c>
      <c r="Q517" s="132" t="str">
        <f t="shared" si="56"/>
        <v>N/A</v>
      </c>
      <c r="R517" s="132" t="str">
        <f t="shared" si="57"/>
        <v>NO CERT.</v>
      </c>
      <c r="S517" s="132" t="e">
        <f t="shared" si="58"/>
        <v>#N/A</v>
      </c>
      <c r="T517" s="133" t="e">
        <f>+IF(J517=LOOKUP(J517,'CAFCO 300 IDIEM TABLAS'!$J$4:$J$40),'CALCULO MORTERO'!J517,MROUND('CALCULO MORTERO'!J517,10))</f>
        <v>#N/A</v>
      </c>
      <c r="U517" s="134">
        <f t="shared" si="59"/>
        <v>0</v>
      </c>
      <c r="Y517" s="4"/>
      <c r="Z517" s="4"/>
      <c r="AA517" s="4"/>
    </row>
    <row r="518" spans="1:27" x14ac:dyDescent="0.25">
      <c r="A518" s="118">
        <f>+CUBICACION!D512</f>
        <v>0</v>
      </c>
      <c r="B518" s="819">
        <f>+CUBICACION!E512</f>
        <v>0</v>
      </c>
      <c r="C518" s="675">
        <f>+CUBICACION!F512</f>
        <v>0</v>
      </c>
      <c r="D518" s="118"/>
      <c r="E518" s="118"/>
      <c r="F518" s="820"/>
      <c r="G518" s="675">
        <f>+CUBICACION!J512</f>
        <v>0</v>
      </c>
      <c r="H518" s="118"/>
      <c r="I518" s="821">
        <f>+CUBICACION!L512</f>
        <v>0</v>
      </c>
      <c r="J518" s="64">
        <f>+CUBICACION!M512</f>
        <v>0</v>
      </c>
      <c r="K518" s="822" t="str">
        <f>+CUBICACION!N512</f>
        <v/>
      </c>
      <c r="L518" s="118">
        <f>+CUBICACION!O512</f>
        <v>0</v>
      </c>
      <c r="M518" s="823">
        <f>+CUBICACION!P512</f>
        <v>0</v>
      </c>
      <c r="N518" s="902">
        <f>ROUND(IF(AND(L518="Blaze Shield II",M518="Software Idiem",C518="IN",G518=4),((('BLAZE SHIELD II'!$D$4*('CALCULO MORTERO'!I518^2)+'BLAZE SHIELD II'!$D$5*'CALCULO MORTERO'!I518+'BLAZE SHIELD II'!$D$6)*LN(J518))+('BLAZE SHIELD II'!$D$7*('CALCULO MORTERO'!I518^2)+'BLAZE SHIELD II'!$D$8*'CALCULO MORTERO'!I518+'BLAZE SHIELD II'!$D$9)),0)+IF(AND(L518="Blaze Shield II",M518="Software Idiem",C518="Cj"),((('BLAZE SHIELD II'!$H$4*('CALCULO MORTERO'!I518^2)+'BLAZE SHIELD II'!$H$5*'CALCULO MORTERO'!I518+'BLAZE SHIELD II'!$H$6)*LN(J518))+('BLAZE SHIELD II'!$H$7*('CALCULO MORTERO'!I518^2)+'BLAZE SHIELD II'!$H$8*'CALCULO MORTERO'!I518+'BLAZE SHIELD II'!$H$9)),0)+IF(AND(L518="Blaze Shield II",M518="Software Idiem",C518="C"),((('BLAZE SHIELD II'!$L$4*('CALCULO MORTERO'!I518^2)+'BLAZE SHIELD II'!$L$5*'CALCULO MORTERO'!I518+'BLAZE SHIELD II'!$L$6)*LN(J518))+('BLAZE SHIELD II'!$L$7*('CALCULO MORTERO'!I518^2)+'BLAZE SHIELD II'!$L$8*'CALCULO MORTERO'!I518+'BLAZE SHIELD II'!$L$9)),0)+IF(AND(L518="Blaze Shield II",M518="Software Idiem",C518="L"),((('BLAZE SHIELD II'!$L$4*('CALCULO MORTERO'!I518^2)+'BLAZE SHIELD II'!$L$5*'CALCULO MORTERO'!I518+'BLAZE SHIELD II'!$L$6)*LN(J518))+('BLAZE SHIELD II'!$L$7*('CALCULO MORTERO'!I518^2)+'BLAZE SHIELD II'!$L$8*'CALCULO MORTERO'!I518+'BLAZE SHIELD II'!$L$9)),0)+IF(AND(L518="Blaze Shield II",M518="Software Idiem",C518="IN",G518=3),((('BLAZE SHIELD II'!$H$14*('CALCULO MORTERO'!I518^2)+'BLAZE SHIELD II'!$H$15*'CALCULO MORTERO'!I518+'BLAZE SHIELD II'!$H$16)*LN(J518))+('BLAZE SHIELD II'!$H$17*('CALCULO MORTERO'!I518^2)+'BLAZE SHIELD II'!$H$18*'CALCULO MORTERO'!I518+'BLAZE SHIELD II'!$H$19)),0),0)+ROUND(IF(AND(L518="Cafco 400",M518="Software Idiem",C518="IN",G518=4),((('CAFCO 400 '!$H$7*(J518^4)+'CAFCO 400 '!$H$8*(J518^3)+'CAFCO 400 '!$H$9*(J518^2)+'CAFCO 400 '!$H$10*J518+'CAFCO 400 '!$H$11)*U518^2)+(('CAFCO 400 '!$H$12*(J518^3)+'CAFCO 400 '!$H$13*(J518^2)+'CAFCO 400 '!$H$14*J518+'CAFCO 400 '!$H$15)*U518)+('CAFCO 400 '!$H$16*(J518^2)+'CAFCO 400 '!$H$17*J518+'CAFCO 400 '!$H$18)),0)+IF(AND(L518="Cafco 400",M518="Software Idiem",C518="Cj"),(((('CAFCO 400 '!$D$7*LN(J518)+'CAFCO 400 '!$D$8)*U518^2)+(('CAFCO 400 '!$D$9*LN(J518)+'CAFCO 400 '!$D$10)*U518)+('CAFCO 400 '!$D$11*LN(J518)+'CAFCO 400 '!$D$12))),0)+IF(AND(L518="Cafco 400",M518="Software Idiem",C518="C"),((('CAFCO 400 '!$L$7*(J518^3)+'CAFCO 400 '!$L$8*(J518^2)+'CAFCO 400 '!$L$9*J518+'CAFCO 400 '!$L$10)*U518^2)+(('CAFCO 400 '!$L$11*(J518^3)+'CAFCO 400 '!$L$12*(J518^2)+'CAFCO 400 '!$L$13*J518+'CAFCO 400 '!$L$14)*U518)+('CAFCO 400 '!$L$15*LN(J518)+'CAFCO 400 '!$L$16)),0)+IF(AND(L518="Cafco 400",M518="Software Idiem",C518="L"),((('CAFCO 400 '!$L$7*(J518^3)+'CAFCO 400 '!$L$8*(J518^2)+'CAFCO 400 '!$L$9*J518+'CAFCO 400 '!$L$10)*U518^2)+(('CAFCO 400 '!$L$11*(J518^3)+'CAFCO 400 '!$L$12*(J518^2)+'CAFCO 400 '!$L$13*J518+'CAFCO 400 '!$L$14)*U518)+('CAFCO 400 '!$L$15*LN(J518)+'CAFCO 400 '!$L$16)),0)+IF(AND(L518="Cafco 400",M518="Software Idiem",C518="IN",G518=3),((('CAFCO 400 '!$D$23*(J518^2)+'CAFCO 400 '!$D$24*(J518)+'CAFCO 400 '!$D$25)*U518^2)+(('CAFCO 400 '!$D$26*(J518^2)+'CAFCO 400 '!$D$27*J518+'CAFCO 400 '!$D$28)*U518)+('CAFCO 400 '!$D$29*(J518^2)+'CAFCO 400 '!$D$30*J518+'CAFCO 400 '!$D$31)),0),0)+IF(AND(L518="Cafco 300",J518&gt;=95,J518&lt;=240,C518="Cj",I518=90),VLOOKUP(T518,'CAFCO 300 IDIEM TABLAS'!$B$4:$D$23,2,FALSE),0)+IF(AND(L518="Cafco 300",J518&gt;=95,J518&lt;=240,C518="Cj",I518=120),VLOOKUP(T518,'CAFCO 300 IDIEM TABLAS'!$B$4:$D$23,3,FALSE),0)+IF(AND(L518="Cafco 300",J518&gt;=95,J518&lt;=400,G518=3,C518="IN",I518=90),VLOOKUP(T518,'CAFCO 300 IDIEM TABLAS'!$F$4:$H$35,2,FALSE),0)+IF(AND(L518="Cafco 300",J518&gt;=95,J518&lt;=400,G518=3,C518="IN",I518=120),VLOOKUP(T518,'CAFCO 300 IDIEM TABLAS'!$F$4:$H$35,3,FALSE),0)+IF(AND(L518="Cafco 300",J518&gt;=95,J518&lt;=450,G518=4,C518="IN",I518=90),VLOOKUP(T518,'CAFCO 300 IDIEM TABLAS'!$J$4:$L$40,2,FALSE),0)+IF(AND(L518="Cafco 300",J518&gt;=95,J518&lt;=450,G518=4,C518="IN",I518=120),VLOOKUP(T518,'CAFCO 300 IDIEM TABLAS'!$J$4:$L$40,3,FALSE),0)+IF(AND(M518="Ensayo Idiem",L518="Cafco 400",C518="IN",G518=4,I518=90),VLOOKUP(T518,'CAFCO 400 ENSAYO'!$B$7:$D$43,2,FALSE),0)+IF(AND(M518="Ensayo Idiem",L518="Cafco 400",C518="IN",G518=4,I518=120),VLOOKUP(T518,'CAFCO 400 ENSAYO'!$B$7:$D$43,3,FALSE),0)</f>
        <v>0</v>
      </c>
      <c r="O518" s="96">
        <f t="shared" si="54"/>
        <v>0</v>
      </c>
      <c r="P518" s="95" t="str">
        <f t="shared" si="55"/>
        <v>N/A</v>
      </c>
      <c r="Q518" s="95" t="str">
        <f t="shared" si="56"/>
        <v>N/A</v>
      </c>
      <c r="R518" s="95" t="str">
        <f t="shared" si="57"/>
        <v>NO CERT.</v>
      </c>
      <c r="S518" s="95" t="e">
        <f t="shared" si="58"/>
        <v>#N/A</v>
      </c>
      <c r="T518" s="119" t="e">
        <f>+IF(J518=LOOKUP(J518,'CAFCO 300 IDIEM TABLAS'!$J$4:$J$40),'CALCULO MORTERO'!J518,MROUND('CALCULO MORTERO'!J518,10))</f>
        <v>#N/A</v>
      </c>
      <c r="U518" s="118">
        <f t="shared" si="59"/>
        <v>0</v>
      </c>
      <c r="Y518" s="4"/>
      <c r="Z518" s="4"/>
      <c r="AA518" s="4"/>
    </row>
    <row r="519" spans="1:27" x14ac:dyDescent="0.25">
      <c r="A519" s="118">
        <f>+CUBICACION!D513</f>
        <v>0</v>
      </c>
      <c r="B519" s="819">
        <f>+CUBICACION!E513</f>
        <v>0</v>
      </c>
      <c r="C519" s="675">
        <f>+CUBICACION!F513</f>
        <v>0</v>
      </c>
      <c r="D519" s="118"/>
      <c r="E519" s="118"/>
      <c r="F519" s="820"/>
      <c r="G519" s="675">
        <f>+CUBICACION!J513</f>
        <v>0</v>
      </c>
      <c r="H519" s="118"/>
      <c r="I519" s="821">
        <f>+CUBICACION!L513</f>
        <v>0</v>
      </c>
      <c r="J519" s="64">
        <f>+CUBICACION!M513</f>
        <v>0</v>
      </c>
      <c r="K519" s="822" t="str">
        <f>+CUBICACION!N513</f>
        <v/>
      </c>
      <c r="L519" s="118">
        <f>+CUBICACION!O513</f>
        <v>0</v>
      </c>
      <c r="M519" s="823">
        <f>+CUBICACION!P513</f>
        <v>0</v>
      </c>
      <c r="N519" s="902">
        <f>ROUND(IF(AND(L519="Blaze Shield II",M519="Software Idiem",C519="IN",G519=4),((('BLAZE SHIELD II'!$D$4*('CALCULO MORTERO'!I519^2)+'BLAZE SHIELD II'!$D$5*'CALCULO MORTERO'!I519+'BLAZE SHIELD II'!$D$6)*LN(J519))+('BLAZE SHIELD II'!$D$7*('CALCULO MORTERO'!I519^2)+'BLAZE SHIELD II'!$D$8*'CALCULO MORTERO'!I519+'BLAZE SHIELD II'!$D$9)),0)+IF(AND(L519="Blaze Shield II",M519="Software Idiem",C519="Cj"),((('BLAZE SHIELD II'!$H$4*('CALCULO MORTERO'!I519^2)+'BLAZE SHIELD II'!$H$5*'CALCULO MORTERO'!I519+'BLAZE SHIELD II'!$H$6)*LN(J519))+('BLAZE SHIELD II'!$H$7*('CALCULO MORTERO'!I519^2)+'BLAZE SHIELD II'!$H$8*'CALCULO MORTERO'!I519+'BLAZE SHIELD II'!$H$9)),0)+IF(AND(L519="Blaze Shield II",M519="Software Idiem",C519="C"),((('BLAZE SHIELD II'!$L$4*('CALCULO MORTERO'!I519^2)+'BLAZE SHIELD II'!$L$5*'CALCULO MORTERO'!I519+'BLAZE SHIELD II'!$L$6)*LN(J519))+('BLAZE SHIELD II'!$L$7*('CALCULO MORTERO'!I519^2)+'BLAZE SHIELD II'!$L$8*'CALCULO MORTERO'!I519+'BLAZE SHIELD II'!$L$9)),0)+IF(AND(L519="Blaze Shield II",M519="Software Idiem",C519="L"),((('BLAZE SHIELD II'!$L$4*('CALCULO MORTERO'!I519^2)+'BLAZE SHIELD II'!$L$5*'CALCULO MORTERO'!I519+'BLAZE SHIELD II'!$L$6)*LN(J519))+('BLAZE SHIELD II'!$L$7*('CALCULO MORTERO'!I519^2)+'BLAZE SHIELD II'!$L$8*'CALCULO MORTERO'!I519+'BLAZE SHIELD II'!$L$9)),0)+IF(AND(L519="Blaze Shield II",M519="Software Idiem",C519="IN",G519=3),((('BLAZE SHIELD II'!$H$14*('CALCULO MORTERO'!I519^2)+'BLAZE SHIELD II'!$H$15*'CALCULO MORTERO'!I519+'BLAZE SHIELD II'!$H$16)*LN(J519))+('BLAZE SHIELD II'!$H$17*('CALCULO MORTERO'!I519^2)+'BLAZE SHIELD II'!$H$18*'CALCULO MORTERO'!I519+'BLAZE SHIELD II'!$H$19)),0),0)+ROUND(IF(AND(L519="Cafco 400",M519="Software Idiem",C519="IN",G519=4),((('CAFCO 400 '!$H$7*(J519^4)+'CAFCO 400 '!$H$8*(J519^3)+'CAFCO 400 '!$H$9*(J519^2)+'CAFCO 400 '!$H$10*J519+'CAFCO 400 '!$H$11)*U519^2)+(('CAFCO 400 '!$H$12*(J519^3)+'CAFCO 400 '!$H$13*(J519^2)+'CAFCO 400 '!$H$14*J519+'CAFCO 400 '!$H$15)*U519)+('CAFCO 400 '!$H$16*(J519^2)+'CAFCO 400 '!$H$17*J519+'CAFCO 400 '!$H$18)),0)+IF(AND(L519="Cafco 400",M519="Software Idiem",C519="Cj"),(((('CAFCO 400 '!$D$7*LN(J519)+'CAFCO 400 '!$D$8)*U519^2)+(('CAFCO 400 '!$D$9*LN(J519)+'CAFCO 400 '!$D$10)*U519)+('CAFCO 400 '!$D$11*LN(J519)+'CAFCO 400 '!$D$12))),0)+IF(AND(L519="Cafco 400",M519="Software Idiem",C519="C"),((('CAFCO 400 '!$L$7*(J519^3)+'CAFCO 400 '!$L$8*(J519^2)+'CAFCO 400 '!$L$9*J519+'CAFCO 400 '!$L$10)*U519^2)+(('CAFCO 400 '!$L$11*(J519^3)+'CAFCO 400 '!$L$12*(J519^2)+'CAFCO 400 '!$L$13*J519+'CAFCO 400 '!$L$14)*U519)+('CAFCO 400 '!$L$15*LN(J519)+'CAFCO 400 '!$L$16)),0)+IF(AND(L519="Cafco 400",M519="Software Idiem",C519="L"),((('CAFCO 400 '!$L$7*(J519^3)+'CAFCO 400 '!$L$8*(J519^2)+'CAFCO 400 '!$L$9*J519+'CAFCO 400 '!$L$10)*U519^2)+(('CAFCO 400 '!$L$11*(J519^3)+'CAFCO 400 '!$L$12*(J519^2)+'CAFCO 400 '!$L$13*J519+'CAFCO 400 '!$L$14)*U519)+('CAFCO 400 '!$L$15*LN(J519)+'CAFCO 400 '!$L$16)),0)+IF(AND(L519="Cafco 400",M519="Software Idiem",C519="IN",G519=3),((('CAFCO 400 '!$D$23*(J519^2)+'CAFCO 400 '!$D$24*(J519)+'CAFCO 400 '!$D$25)*U519^2)+(('CAFCO 400 '!$D$26*(J519^2)+'CAFCO 400 '!$D$27*J519+'CAFCO 400 '!$D$28)*U519)+('CAFCO 400 '!$D$29*(J519^2)+'CAFCO 400 '!$D$30*J519+'CAFCO 400 '!$D$31)),0),0)+IF(AND(L519="Cafco 300",J519&gt;=95,J519&lt;=240,C519="Cj",I519=90),VLOOKUP(T519,'CAFCO 300 IDIEM TABLAS'!$B$4:$D$23,2,FALSE),0)+IF(AND(L519="Cafco 300",J519&gt;=95,J519&lt;=240,C519="Cj",I519=120),VLOOKUP(T519,'CAFCO 300 IDIEM TABLAS'!$B$4:$D$23,3,FALSE),0)+IF(AND(L519="Cafco 300",J519&gt;=95,J519&lt;=400,G519=3,C519="IN",I519=90),VLOOKUP(T519,'CAFCO 300 IDIEM TABLAS'!$F$4:$H$35,2,FALSE),0)+IF(AND(L519="Cafco 300",J519&gt;=95,J519&lt;=400,G519=3,C519="IN",I519=120),VLOOKUP(T519,'CAFCO 300 IDIEM TABLAS'!$F$4:$H$35,3,FALSE),0)+IF(AND(L519="Cafco 300",J519&gt;=95,J519&lt;=450,G519=4,C519="IN",I519=90),VLOOKUP(T519,'CAFCO 300 IDIEM TABLAS'!$J$4:$L$40,2,FALSE),0)+IF(AND(L519="Cafco 300",J519&gt;=95,J519&lt;=450,G519=4,C519="IN",I519=120),VLOOKUP(T519,'CAFCO 300 IDIEM TABLAS'!$J$4:$L$40,3,FALSE),0)+IF(AND(M519="Ensayo Idiem",L519="Cafco 400",C519="IN",G519=4,I519=90),VLOOKUP(T519,'CAFCO 400 ENSAYO'!$B$7:$D$43,2,FALSE),0)+IF(AND(M519="Ensayo Idiem",L519="Cafco 400",C519="IN",G519=4,I519=120),VLOOKUP(T519,'CAFCO 400 ENSAYO'!$B$7:$D$43,3,FALSE),0)</f>
        <v>0</v>
      </c>
      <c r="O519" s="96">
        <f t="shared" si="54"/>
        <v>0</v>
      </c>
      <c r="P519" s="132" t="str">
        <f t="shared" si="55"/>
        <v>N/A</v>
      </c>
      <c r="Q519" s="132" t="str">
        <f t="shared" si="56"/>
        <v>N/A</v>
      </c>
      <c r="R519" s="132" t="str">
        <f t="shared" si="57"/>
        <v>NO CERT.</v>
      </c>
      <c r="S519" s="132" t="e">
        <f t="shared" si="58"/>
        <v>#N/A</v>
      </c>
      <c r="T519" s="133" t="e">
        <f>+IF(J519=LOOKUP(J519,'CAFCO 300 IDIEM TABLAS'!$J$4:$J$40),'CALCULO MORTERO'!J519,MROUND('CALCULO MORTERO'!J519,10))</f>
        <v>#N/A</v>
      </c>
      <c r="U519" s="134">
        <f t="shared" si="59"/>
        <v>0</v>
      </c>
      <c r="Y519" s="4"/>
      <c r="Z519" s="4"/>
      <c r="AA519" s="4"/>
    </row>
    <row r="520" spans="1:27" x14ac:dyDescent="0.25">
      <c r="A520" s="118">
        <f>+CUBICACION!D514</f>
        <v>0</v>
      </c>
      <c r="B520" s="819">
        <f>+CUBICACION!E514</f>
        <v>0</v>
      </c>
      <c r="C520" s="675">
        <f>+CUBICACION!F514</f>
        <v>0</v>
      </c>
      <c r="D520" s="118"/>
      <c r="E520" s="118"/>
      <c r="F520" s="820"/>
      <c r="G520" s="675">
        <f>+CUBICACION!J514</f>
        <v>0</v>
      </c>
      <c r="H520" s="118"/>
      <c r="I520" s="821">
        <f>+CUBICACION!L514</f>
        <v>0</v>
      </c>
      <c r="J520" s="64">
        <f>+CUBICACION!M514</f>
        <v>0</v>
      </c>
      <c r="K520" s="822" t="str">
        <f>+CUBICACION!N514</f>
        <v/>
      </c>
      <c r="L520" s="118">
        <f>+CUBICACION!O514</f>
        <v>0</v>
      </c>
      <c r="M520" s="823">
        <f>+CUBICACION!P514</f>
        <v>0</v>
      </c>
      <c r="N520" s="902">
        <f>ROUND(IF(AND(L520="Blaze Shield II",M520="Software Idiem",C520="IN",G520=4),((('BLAZE SHIELD II'!$D$4*('CALCULO MORTERO'!I520^2)+'BLAZE SHIELD II'!$D$5*'CALCULO MORTERO'!I520+'BLAZE SHIELD II'!$D$6)*LN(J520))+('BLAZE SHIELD II'!$D$7*('CALCULO MORTERO'!I520^2)+'BLAZE SHIELD II'!$D$8*'CALCULO MORTERO'!I520+'BLAZE SHIELD II'!$D$9)),0)+IF(AND(L520="Blaze Shield II",M520="Software Idiem",C520="Cj"),((('BLAZE SHIELD II'!$H$4*('CALCULO MORTERO'!I520^2)+'BLAZE SHIELD II'!$H$5*'CALCULO MORTERO'!I520+'BLAZE SHIELD II'!$H$6)*LN(J520))+('BLAZE SHIELD II'!$H$7*('CALCULO MORTERO'!I520^2)+'BLAZE SHIELD II'!$H$8*'CALCULO MORTERO'!I520+'BLAZE SHIELD II'!$H$9)),0)+IF(AND(L520="Blaze Shield II",M520="Software Idiem",C520="C"),((('BLAZE SHIELD II'!$L$4*('CALCULO MORTERO'!I520^2)+'BLAZE SHIELD II'!$L$5*'CALCULO MORTERO'!I520+'BLAZE SHIELD II'!$L$6)*LN(J520))+('BLAZE SHIELD II'!$L$7*('CALCULO MORTERO'!I520^2)+'BLAZE SHIELD II'!$L$8*'CALCULO MORTERO'!I520+'BLAZE SHIELD II'!$L$9)),0)+IF(AND(L520="Blaze Shield II",M520="Software Idiem",C520="L"),((('BLAZE SHIELD II'!$L$4*('CALCULO MORTERO'!I520^2)+'BLAZE SHIELD II'!$L$5*'CALCULO MORTERO'!I520+'BLAZE SHIELD II'!$L$6)*LN(J520))+('BLAZE SHIELD II'!$L$7*('CALCULO MORTERO'!I520^2)+'BLAZE SHIELD II'!$L$8*'CALCULO MORTERO'!I520+'BLAZE SHIELD II'!$L$9)),0)+IF(AND(L520="Blaze Shield II",M520="Software Idiem",C520="IN",G520=3),((('BLAZE SHIELD II'!$H$14*('CALCULO MORTERO'!I520^2)+'BLAZE SHIELD II'!$H$15*'CALCULO MORTERO'!I520+'BLAZE SHIELD II'!$H$16)*LN(J520))+('BLAZE SHIELD II'!$H$17*('CALCULO MORTERO'!I520^2)+'BLAZE SHIELD II'!$H$18*'CALCULO MORTERO'!I520+'BLAZE SHIELD II'!$H$19)),0),0)+ROUND(IF(AND(L520="Cafco 400",M520="Software Idiem",C520="IN",G520=4),((('CAFCO 400 '!$H$7*(J520^4)+'CAFCO 400 '!$H$8*(J520^3)+'CAFCO 400 '!$H$9*(J520^2)+'CAFCO 400 '!$H$10*J520+'CAFCO 400 '!$H$11)*U520^2)+(('CAFCO 400 '!$H$12*(J520^3)+'CAFCO 400 '!$H$13*(J520^2)+'CAFCO 400 '!$H$14*J520+'CAFCO 400 '!$H$15)*U520)+('CAFCO 400 '!$H$16*(J520^2)+'CAFCO 400 '!$H$17*J520+'CAFCO 400 '!$H$18)),0)+IF(AND(L520="Cafco 400",M520="Software Idiem",C520="Cj"),(((('CAFCO 400 '!$D$7*LN(J520)+'CAFCO 400 '!$D$8)*U520^2)+(('CAFCO 400 '!$D$9*LN(J520)+'CAFCO 400 '!$D$10)*U520)+('CAFCO 400 '!$D$11*LN(J520)+'CAFCO 400 '!$D$12))),0)+IF(AND(L520="Cafco 400",M520="Software Idiem",C520="C"),((('CAFCO 400 '!$L$7*(J520^3)+'CAFCO 400 '!$L$8*(J520^2)+'CAFCO 400 '!$L$9*J520+'CAFCO 400 '!$L$10)*U520^2)+(('CAFCO 400 '!$L$11*(J520^3)+'CAFCO 400 '!$L$12*(J520^2)+'CAFCO 400 '!$L$13*J520+'CAFCO 400 '!$L$14)*U520)+('CAFCO 400 '!$L$15*LN(J520)+'CAFCO 400 '!$L$16)),0)+IF(AND(L520="Cafco 400",M520="Software Idiem",C520="L"),((('CAFCO 400 '!$L$7*(J520^3)+'CAFCO 400 '!$L$8*(J520^2)+'CAFCO 400 '!$L$9*J520+'CAFCO 400 '!$L$10)*U520^2)+(('CAFCO 400 '!$L$11*(J520^3)+'CAFCO 400 '!$L$12*(J520^2)+'CAFCO 400 '!$L$13*J520+'CAFCO 400 '!$L$14)*U520)+('CAFCO 400 '!$L$15*LN(J520)+'CAFCO 400 '!$L$16)),0)+IF(AND(L520="Cafco 400",M520="Software Idiem",C520="IN",G520=3),((('CAFCO 400 '!$D$23*(J520^2)+'CAFCO 400 '!$D$24*(J520)+'CAFCO 400 '!$D$25)*U520^2)+(('CAFCO 400 '!$D$26*(J520^2)+'CAFCO 400 '!$D$27*J520+'CAFCO 400 '!$D$28)*U520)+('CAFCO 400 '!$D$29*(J520^2)+'CAFCO 400 '!$D$30*J520+'CAFCO 400 '!$D$31)),0),0)+IF(AND(L520="Cafco 300",J520&gt;=95,J520&lt;=240,C520="Cj",I520=90),VLOOKUP(T520,'CAFCO 300 IDIEM TABLAS'!$B$4:$D$23,2,FALSE),0)+IF(AND(L520="Cafco 300",J520&gt;=95,J520&lt;=240,C520="Cj",I520=120),VLOOKUP(T520,'CAFCO 300 IDIEM TABLAS'!$B$4:$D$23,3,FALSE),0)+IF(AND(L520="Cafco 300",J520&gt;=95,J520&lt;=400,G520=3,C520="IN",I520=90),VLOOKUP(T520,'CAFCO 300 IDIEM TABLAS'!$F$4:$H$35,2,FALSE),0)+IF(AND(L520="Cafco 300",J520&gt;=95,J520&lt;=400,G520=3,C520="IN",I520=120),VLOOKUP(T520,'CAFCO 300 IDIEM TABLAS'!$F$4:$H$35,3,FALSE),0)+IF(AND(L520="Cafco 300",J520&gt;=95,J520&lt;=450,G520=4,C520="IN",I520=90),VLOOKUP(T520,'CAFCO 300 IDIEM TABLAS'!$J$4:$L$40,2,FALSE),0)+IF(AND(L520="Cafco 300",J520&gt;=95,J520&lt;=450,G520=4,C520="IN",I520=120),VLOOKUP(T520,'CAFCO 300 IDIEM TABLAS'!$J$4:$L$40,3,FALSE),0)+IF(AND(M520="Ensayo Idiem",L520="Cafco 400",C520="IN",G520=4,I520=90),VLOOKUP(T520,'CAFCO 400 ENSAYO'!$B$7:$D$43,2,FALSE),0)+IF(AND(M520="Ensayo Idiem",L520="Cafco 400",C520="IN",G520=4,I520=120),VLOOKUP(T520,'CAFCO 400 ENSAYO'!$B$7:$D$43,3,FALSE),0)</f>
        <v>0</v>
      </c>
      <c r="O520" s="96">
        <f t="shared" si="54"/>
        <v>0</v>
      </c>
      <c r="P520" s="95" t="str">
        <f t="shared" si="55"/>
        <v>N/A</v>
      </c>
      <c r="Q520" s="95" t="str">
        <f t="shared" si="56"/>
        <v>N/A</v>
      </c>
      <c r="R520" s="95" t="str">
        <f t="shared" si="57"/>
        <v>NO CERT.</v>
      </c>
      <c r="S520" s="95" t="e">
        <f t="shared" si="58"/>
        <v>#N/A</v>
      </c>
      <c r="T520" s="119" t="e">
        <f>+IF(J520=LOOKUP(J520,'CAFCO 300 IDIEM TABLAS'!$J$4:$J$40),'CALCULO MORTERO'!J520,MROUND('CALCULO MORTERO'!J520,10))</f>
        <v>#N/A</v>
      </c>
      <c r="U520" s="118">
        <f t="shared" si="59"/>
        <v>0</v>
      </c>
      <c r="Y520" s="4"/>
      <c r="Z520" s="4"/>
      <c r="AA520" s="4"/>
    </row>
    <row r="521" spans="1:27" x14ac:dyDescent="0.25">
      <c r="A521" s="118">
        <f>+CUBICACION!D515</f>
        <v>0</v>
      </c>
      <c r="B521" s="819">
        <f>+CUBICACION!E515</f>
        <v>0</v>
      </c>
      <c r="C521" s="675">
        <f>+CUBICACION!F515</f>
        <v>0</v>
      </c>
      <c r="D521" s="118"/>
      <c r="E521" s="118"/>
      <c r="F521" s="820"/>
      <c r="G521" s="675">
        <f>+CUBICACION!J515</f>
        <v>0</v>
      </c>
      <c r="H521" s="118"/>
      <c r="I521" s="821">
        <f>+CUBICACION!L515</f>
        <v>0</v>
      </c>
      <c r="J521" s="64">
        <f>+CUBICACION!M515</f>
        <v>0</v>
      </c>
      <c r="K521" s="822" t="str">
        <f>+CUBICACION!N515</f>
        <v/>
      </c>
      <c r="L521" s="118">
        <f>+CUBICACION!O515</f>
        <v>0</v>
      </c>
      <c r="M521" s="823">
        <f>+CUBICACION!P515</f>
        <v>0</v>
      </c>
      <c r="N521" s="902">
        <f>ROUND(IF(AND(L521="Blaze Shield II",M521="Software Idiem",C521="IN",G521=4),((('BLAZE SHIELD II'!$D$4*('CALCULO MORTERO'!I521^2)+'BLAZE SHIELD II'!$D$5*'CALCULO MORTERO'!I521+'BLAZE SHIELD II'!$D$6)*LN(J521))+('BLAZE SHIELD II'!$D$7*('CALCULO MORTERO'!I521^2)+'BLAZE SHIELD II'!$D$8*'CALCULO MORTERO'!I521+'BLAZE SHIELD II'!$D$9)),0)+IF(AND(L521="Blaze Shield II",M521="Software Idiem",C521="Cj"),((('BLAZE SHIELD II'!$H$4*('CALCULO MORTERO'!I521^2)+'BLAZE SHIELD II'!$H$5*'CALCULO MORTERO'!I521+'BLAZE SHIELD II'!$H$6)*LN(J521))+('BLAZE SHIELD II'!$H$7*('CALCULO MORTERO'!I521^2)+'BLAZE SHIELD II'!$H$8*'CALCULO MORTERO'!I521+'BLAZE SHIELD II'!$H$9)),0)+IF(AND(L521="Blaze Shield II",M521="Software Idiem",C521="C"),((('BLAZE SHIELD II'!$L$4*('CALCULO MORTERO'!I521^2)+'BLAZE SHIELD II'!$L$5*'CALCULO MORTERO'!I521+'BLAZE SHIELD II'!$L$6)*LN(J521))+('BLAZE SHIELD II'!$L$7*('CALCULO MORTERO'!I521^2)+'BLAZE SHIELD II'!$L$8*'CALCULO MORTERO'!I521+'BLAZE SHIELD II'!$L$9)),0)+IF(AND(L521="Blaze Shield II",M521="Software Idiem",C521="L"),((('BLAZE SHIELD II'!$L$4*('CALCULO MORTERO'!I521^2)+'BLAZE SHIELD II'!$L$5*'CALCULO MORTERO'!I521+'BLAZE SHIELD II'!$L$6)*LN(J521))+('BLAZE SHIELD II'!$L$7*('CALCULO MORTERO'!I521^2)+'BLAZE SHIELD II'!$L$8*'CALCULO MORTERO'!I521+'BLAZE SHIELD II'!$L$9)),0)+IF(AND(L521="Blaze Shield II",M521="Software Idiem",C521="IN",G521=3),((('BLAZE SHIELD II'!$H$14*('CALCULO MORTERO'!I521^2)+'BLAZE SHIELD II'!$H$15*'CALCULO MORTERO'!I521+'BLAZE SHIELD II'!$H$16)*LN(J521))+('BLAZE SHIELD II'!$H$17*('CALCULO MORTERO'!I521^2)+'BLAZE SHIELD II'!$H$18*'CALCULO MORTERO'!I521+'BLAZE SHIELD II'!$H$19)),0),0)+ROUND(IF(AND(L521="Cafco 400",M521="Software Idiem",C521="IN",G521=4),((('CAFCO 400 '!$H$7*(J521^4)+'CAFCO 400 '!$H$8*(J521^3)+'CAFCO 400 '!$H$9*(J521^2)+'CAFCO 400 '!$H$10*J521+'CAFCO 400 '!$H$11)*U521^2)+(('CAFCO 400 '!$H$12*(J521^3)+'CAFCO 400 '!$H$13*(J521^2)+'CAFCO 400 '!$H$14*J521+'CAFCO 400 '!$H$15)*U521)+('CAFCO 400 '!$H$16*(J521^2)+'CAFCO 400 '!$H$17*J521+'CAFCO 400 '!$H$18)),0)+IF(AND(L521="Cafco 400",M521="Software Idiem",C521="Cj"),(((('CAFCO 400 '!$D$7*LN(J521)+'CAFCO 400 '!$D$8)*U521^2)+(('CAFCO 400 '!$D$9*LN(J521)+'CAFCO 400 '!$D$10)*U521)+('CAFCO 400 '!$D$11*LN(J521)+'CAFCO 400 '!$D$12))),0)+IF(AND(L521="Cafco 400",M521="Software Idiem",C521="C"),((('CAFCO 400 '!$L$7*(J521^3)+'CAFCO 400 '!$L$8*(J521^2)+'CAFCO 400 '!$L$9*J521+'CAFCO 400 '!$L$10)*U521^2)+(('CAFCO 400 '!$L$11*(J521^3)+'CAFCO 400 '!$L$12*(J521^2)+'CAFCO 400 '!$L$13*J521+'CAFCO 400 '!$L$14)*U521)+('CAFCO 400 '!$L$15*LN(J521)+'CAFCO 400 '!$L$16)),0)+IF(AND(L521="Cafco 400",M521="Software Idiem",C521="L"),((('CAFCO 400 '!$L$7*(J521^3)+'CAFCO 400 '!$L$8*(J521^2)+'CAFCO 400 '!$L$9*J521+'CAFCO 400 '!$L$10)*U521^2)+(('CAFCO 400 '!$L$11*(J521^3)+'CAFCO 400 '!$L$12*(J521^2)+'CAFCO 400 '!$L$13*J521+'CAFCO 400 '!$L$14)*U521)+('CAFCO 400 '!$L$15*LN(J521)+'CAFCO 400 '!$L$16)),0)+IF(AND(L521="Cafco 400",M521="Software Idiem",C521="IN",G521=3),((('CAFCO 400 '!$D$23*(J521^2)+'CAFCO 400 '!$D$24*(J521)+'CAFCO 400 '!$D$25)*U521^2)+(('CAFCO 400 '!$D$26*(J521^2)+'CAFCO 400 '!$D$27*J521+'CAFCO 400 '!$D$28)*U521)+('CAFCO 400 '!$D$29*(J521^2)+'CAFCO 400 '!$D$30*J521+'CAFCO 400 '!$D$31)),0),0)+IF(AND(L521="Cafco 300",J521&gt;=95,J521&lt;=240,C521="Cj",I521=90),VLOOKUP(T521,'CAFCO 300 IDIEM TABLAS'!$B$4:$D$23,2,FALSE),0)+IF(AND(L521="Cafco 300",J521&gt;=95,J521&lt;=240,C521="Cj",I521=120),VLOOKUP(T521,'CAFCO 300 IDIEM TABLAS'!$B$4:$D$23,3,FALSE),0)+IF(AND(L521="Cafco 300",J521&gt;=95,J521&lt;=400,G521=3,C521="IN",I521=90),VLOOKUP(T521,'CAFCO 300 IDIEM TABLAS'!$F$4:$H$35,2,FALSE),0)+IF(AND(L521="Cafco 300",J521&gt;=95,J521&lt;=400,G521=3,C521="IN",I521=120),VLOOKUP(T521,'CAFCO 300 IDIEM TABLAS'!$F$4:$H$35,3,FALSE),0)+IF(AND(L521="Cafco 300",J521&gt;=95,J521&lt;=450,G521=4,C521="IN",I521=90),VLOOKUP(T521,'CAFCO 300 IDIEM TABLAS'!$J$4:$L$40,2,FALSE),0)+IF(AND(L521="Cafco 300",J521&gt;=95,J521&lt;=450,G521=4,C521="IN",I521=120),VLOOKUP(T521,'CAFCO 300 IDIEM TABLAS'!$J$4:$L$40,3,FALSE),0)+IF(AND(M521="Ensayo Idiem",L521="Cafco 400",C521="IN",G521=4,I521=90),VLOOKUP(T521,'CAFCO 400 ENSAYO'!$B$7:$D$43,2,FALSE),0)+IF(AND(M521="Ensayo Idiem",L521="Cafco 400",C521="IN",G521=4,I521=120),VLOOKUP(T521,'CAFCO 400 ENSAYO'!$B$7:$D$43,3,FALSE),0)</f>
        <v>0</v>
      </c>
      <c r="O521" s="96">
        <f t="shared" si="54"/>
        <v>0</v>
      </c>
      <c r="P521" s="132" t="str">
        <f t="shared" si="55"/>
        <v>N/A</v>
      </c>
      <c r="Q521" s="132" t="str">
        <f t="shared" si="56"/>
        <v>N/A</v>
      </c>
      <c r="R521" s="132" t="str">
        <f t="shared" si="57"/>
        <v>NO CERT.</v>
      </c>
      <c r="S521" s="132" t="e">
        <f t="shared" si="58"/>
        <v>#N/A</v>
      </c>
      <c r="T521" s="133" t="e">
        <f>+IF(J521=LOOKUP(J521,'CAFCO 300 IDIEM TABLAS'!$J$4:$J$40),'CALCULO MORTERO'!J521,MROUND('CALCULO MORTERO'!J521,10))</f>
        <v>#N/A</v>
      </c>
      <c r="U521" s="134">
        <f t="shared" si="59"/>
        <v>0</v>
      </c>
      <c r="Y521" s="4"/>
      <c r="Z521" s="4"/>
      <c r="AA521" s="4"/>
    </row>
    <row r="522" spans="1:27" x14ac:dyDescent="0.25">
      <c r="A522" s="118">
        <f>+CUBICACION!D516</f>
        <v>0</v>
      </c>
      <c r="B522" s="819">
        <f>+CUBICACION!E516</f>
        <v>0</v>
      </c>
      <c r="C522" s="675">
        <f>+CUBICACION!F516</f>
        <v>0</v>
      </c>
      <c r="D522" s="118"/>
      <c r="E522" s="118"/>
      <c r="F522" s="820"/>
      <c r="G522" s="675">
        <f>+CUBICACION!J516</f>
        <v>0</v>
      </c>
      <c r="H522" s="118"/>
      <c r="I522" s="821">
        <f>+CUBICACION!L516</f>
        <v>0</v>
      </c>
      <c r="J522" s="64">
        <f>+CUBICACION!M516</f>
        <v>0</v>
      </c>
      <c r="K522" s="822" t="str">
        <f>+CUBICACION!N516</f>
        <v/>
      </c>
      <c r="L522" s="118">
        <f>+CUBICACION!O516</f>
        <v>0</v>
      </c>
      <c r="M522" s="823">
        <f>+CUBICACION!P516</f>
        <v>0</v>
      </c>
      <c r="N522" s="902">
        <f>ROUND(IF(AND(L522="Blaze Shield II",M522="Software Idiem",C522="IN",G522=4),((('BLAZE SHIELD II'!$D$4*('CALCULO MORTERO'!I522^2)+'BLAZE SHIELD II'!$D$5*'CALCULO MORTERO'!I522+'BLAZE SHIELD II'!$D$6)*LN(J522))+('BLAZE SHIELD II'!$D$7*('CALCULO MORTERO'!I522^2)+'BLAZE SHIELD II'!$D$8*'CALCULO MORTERO'!I522+'BLAZE SHIELD II'!$D$9)),0)+IF(AND(L522="Blaze Shield II",M522="Software Idiem",C522="Cj"),((('BLAZE SHIELD II'!$H$4*('CALCULO MORTERO'!I522^2)+'BLAZE SHIELD II'!$H$5*'CALCULO MORTERO'!I522+'BLAZE SHIELD II'!$H$6)*LN(J522))+('BLAZE SHIELD II'!$H$7*('CALCULO MORTERO'!I522^2)+'BLAZE SHIELD II'!$H$8*'CALCULO MORTERO'!I522+'BLAZE SHIELD II'!$H$9)),0)+IF(AND(L522="Blaze Shield II",M522="Software Idiem",C522="C"),((('BLAZE SHIELD II'!$L$4*('CALCULO MORTERO'!I522^2)+'BLAZE SHIELD II'!$L$5*'CALCULO MORTERO'!I522+'BLAZE SHIELD II'!$L$6)*LN(J522))+('BLAZE SHIELD II'!$L$7*('CALCULO MORTERO'!I522^2)+'BLAZE SHIELD II'!$L$8*'CALCULO MORTERO'!I522+'BLAZE SHIELD II'!$L$9)),0)+IF(AND(L522="Blaze Shield II",M522="Software Idiem",C522="L"),((('BLAZE SHIELD II'!$L$4*('CALCULO MORTERO'!I522^2)+'BLAZE SHIELD II'!$L$5*'CALCULO MORTERO'!I522+'BLAZE SHIELD II'!$L$6)*LN(J522))+('BLAZE SHIELD II'!$L$7*('CALCULO MORTERO'!I522^2)+'BLAZE SHIELD II'!$L$8*'CALCULO MORTERO'!I522+'BLAZE SHIELD II'!$L$9)),0)+IF(AND(L522="Blaze Shield II",M522="Software Idiem",C522="IN",G522=3),((('BLAZE SHIELD II'!$H$14*('CALCULO MORTERO'!I522^2)+'BLAZE SHIELD II'!$H$15*'CALCULO MORTERO'!I522+'BLAZE SHIELD II'!$H$16)*LN(J522))+('BLAZE SHIELD II'!$H$17*('CALCULO MORTERO'!I522^2)+'BLAZE SHIELD II'!$H$18*'CALCULO MORTERO'!I522+'BLAZE SHIELD II'!$H$19)),0),0)+ROUND(IF(AND(L522="Cafco 400",M522="Software Idiem",C522="IN",G522=4),((('CAFCO 400 '!$H$7*(J522^4)+'CAFCO 400 '!$H$8*(J522^3)+'CAFCO 400 '!$H$9*(J522^2)+'CAFCO 400 '!$H$10*J522+'CAFCO 400 '!$H$11)*U522^2)+(('CAFCO 400 '!$H$12*(J522^3)+'CAFCO 400 '!$H$13*(J522^2)+'CAFCO 400 '!$H$14*J522+'CAFCO 400 '!$H$15)*U522)+('CAFCO 400 '!$H$16*(J522^2)+'CAFCO 400 '!$H$17*J522+'CAFCO 400 '!$H$18)),0)+IF(AND(L522="Cafco 400",M522="Software Idiem",C522="Cj"),(((('CAFCO 400 '!$D$7*LN(J522)+'CAFCO 400 '!$D$8)*U522^2)+(('CAFCO 400 '!$D$9*LN(J522)+'CAFCO 400 '!$D$10)*U522)+('CAFCO 400 '!$D$11*LN(J522)+'CAFCO 400 '!$D$12))),0)+IF(AND(L522="Cafco 400",M522="Software Idiem",C522="C"),((('CAFCO 400 '!$L$7*(J522^3)+'CAFCO 400 '!$L$8*(J522^2)+'CAFCO 400 '!$L$9*J522+'CAFCO 400 '!$L$10)*U522^2)+(('CAFCO 400 '!$L$11*(J522^3)+'CAFCO 400 '!$L$12*(J522^2)+'CAFCO 400 '!$L$13*J522+'CAFCO 400 '!$L$14)*U522)+('CAFCO 400 '!$L$15*LN(J522)+'CAFCO 400 '!$L$16)),0)+IF(AND(L522="Cafco 400",M522="Software Idiem",C522="L"),((('CAFCO 400 '!$L$7*(J522^3)+'CAFCO 400 '!$L$8*(J522^2)+'CAFCO 400 '!$L$9*J522+'CAFCO 400 '!$L$10)*U522^2)+(('CAFCO 400 '!$L$11*(J522^3)+'CAFCO 400 '!$L$12*(J522^2)+'CAFCO 400 '!$L$13*J522+'CAFCO 400 '!$L$14)*U522)+('CAFCO 400 '!$L$15*LN(J522)+'CAFCO 400 '!$L$16)),0)+IF(AND(L522="Cafco 400",M522="Software Idiem",C522="IN",G522=3),((('CAFCO 400 '!$D$23*(J522^2)+'CAFCO 400 '!$D$24*(J522)+'CAFCO 400 '!$D$25)*U522^2)+(('CAFCO 400 '!$D$26*(J522^2)+'CAFCO 400 '!$D$27*J522+'CAFCO 400 '!$D$28)*U522)+('CAFCO 400 '!$D$29*(J522^2)+'CAFCO 400 '!$D$30*J522+'CAFCO 400 '!$D$31)),0),0)+IF(AND(L522="Cafco 300",J522&gt;=95,J522&lt;=240,C522="Cj",I522=90),VLOOKUP(T522,'CAFCO 300 IDIEM TABLAS'!$B$4:$D$23,2,FALSE),0)+IF(AND(L522="Cafco 300",J522&gt;=95,J522&lt;=240,C522="Cj",I522=120),VLOOKUP(T522,'CAFCO 300 IDIEM TABLAS'!$B$4:$D$23,3,FALSE),0)+IF(AND(L522="Cafco 300",J522&gt;=95,J522&lt;=400,G522=3,C522="IN",I522=90),VLOOKUP(T522,'CAFCO 300 IDIEM TABLAS'!$F$4:$H$35,2,FALSE),0)+IF(AND(L522="Cafco 300",J522&gt;=95,J522&lt;=400,G522=3,C522="IN",I522=120),VLOOKUP(T522,'CAFCO 300 IDIEM TABLAS'!$F$4:$H$35,3,FALSE),0)+IF(AND(L522="Cafco 300",J522&gt;=95,J522&lt;=450,G522=4,C522="IN",I522=90),VLOOKUP(T522,'CAFCO 300 IDIEM TABLAS'!$J$4:$L$40,2,FALSE),0)+IF(AND(L522="Cafco 300",J522&gt;=95,J522&lt;=450,G522=4,C522="IN",I522=120),VLOOKUP(T522,'CAFCO 300 IDIEM TABLAS'!$J$4:$L$40,3,FALSE),0)+IF(AND(M522="Ensayo Idiem",L522="Cafco 400",C522="IN",G522=4,I522=90),VLOOKUP(T522,'CAFCO 400 ENSAYO'!$B$7:$D$43,2,FALSE),0)+IF(AND(M522="Ensayo Idiem",L522="Cafco 400",C522="IN",G522=4,I522=120),VLOOKUP(T522,'CAFCO 400 ENSAYO'!$B$7:$D$43,3,FALSE),0)</f>
        <v>0</v>
      </c>
      <c r="O522" s="96">
        <f t="shared" si="54"/>
        <v>0</v>
      </c>
      <c r="P522" s="95" t="str">
        <f t="shared" si="55"/>
        <v>N/A</v>
      </c>
      <c r="Q522" s="95" t="str">
        <f t="shared" si="56"/>
        <v>N/A</v>
      </c>
      <c r="R522" s="95" t="str">
        <f t="shared" si="57"/>
        <v>NO CERT.</v>
      </c>
      <c r="S522" s="95" t="e">
        <f t="shared" si="58"/>
        <v>#N/A</v>
      </c>
      <c r="T522" s="119" t="e">
        <f>+IF(J522=LOOKUP(J522,'CAFCO 300 IDIEM TABLAS'!$J$4:$J$40),'CALCULO MORTERO'!J522,MROUND('CALCULO MORTERO'!J522,10))</f>
        <v>#N/A</v>
      </c>
      <c r="U522" s="118">
        <f t="shared" si="59"/>
        <v>0</v>
      </c>
      <c r="Y522" s="4"/>
      <c r="Z522" s="4"/>
      <c r="AA522" s="4"/>
    </row>
    <row r="523" spans="1:27" x14ac:dyDescent="0.25">
      <c r="A523" s="118">
        <f>+CUBICACION!D517</f>
        <v>0</v>
      </c>
      <c r="B523" s="819">
        <f>+CUBICACION!E517</f>
        <v>0</v>
      </c>
      <c r="C523" s="675">
        <f>+CUBICACION!F517</f>
        <v>0</v>
      </c>
      <c r="D523" s="118"/>
      <c r="E523" s="118"/>
      <c r="F523" s="820"/>
      <c r="G523" s="675">
        <f>+CUBICACION!J517</f>
        <v>0</v>
      </c>
      <c r="H523" s="118"/>
      <c r="I523" s="821">
        <f>+CUBICACION!L517</f>
        <v>0</v>
      </c>
      <c r="J523" s="64">
        <f>+CUBICACION!M517</f>
        <v>0</v>
      </c>
      <c r="K523" s="822" t="str">
        <f>+CUBICACION!N517</f>
        <v/>
      </c>
      <c r="L523" s="118">
        <f>+CUBICACION!O517</f>
        <v>0</v>
      </c>
      <c r="M523" s="823">
        <f>+CUBICACION!P517</f>
        <v>0</v>
      </c>
      <c r="N523" s="902">
        <f>ROUND(IF(AND(L523="Blaze Shield II",M523="Software Idiem",C523="IN",G523=4),((('BLAZE SHIELD II'!$D$4*('CALCULO MORTERO'!I523^2)+'BLAZE SHIELD II'!$D$5*'CALCULO MORTERO'!I523+'BLAZE SHIELD II'!$D$6)*LN(J523))+('BLAZE SHIELD II'!$D$7*('CALCULO MORTERO'!I523^2)+'BLAZE SHIELD II'!$D$8*'CALCULO MORTERO'!I523+'BLAZE SHIELD II'!$D$9)),0)+IF(AND(L523="Blaze Shield II",M523="Software Idiem",C523="Cj"),((('BLAZE SHIELD II'!$H$4*('CALCULO MORTERO'!I523^2)+'BLAZE SHIELD II'!$H$5*'CALCULO MORTERO'!I523+'BLAZE SHIELD II'!$H$6)*LN(J523))+('BLAZE SHIELD II'!$H$7*('CALCULO MORTERO'!I523^2)+'BLAZE SHIELD II'!$H$8*'CALCULO MORTERO'!I523+'BLAZE SHIELD II'!$H$9)),0)+IF(AND(L523="Blaze Shield II",M523="Software Idiem",C523="C"),((('BLAZE SHIELD II'!$L$4*('CALCULO MORTERO'!I523^2)+'BLAZE SHIELD II'!$L$5*'CALCULO MORTERO'!I523+'BLAZE SHIELD II'!$L$6)*LN(J523))+('BLAZE SHIELD II'!$L$7*('CALCULO MORTERO'!I523^2)+'BLAZE SHIELD II'!$L$8*'CALCULO MORTERO'!I523+'BLAZE SHIELD II'!$L$9)),0)+IF(AND(L523="Blaze Shield II",M523="Software Idiem",C523="L"),((('BLAZE SHIELD II'!$L$4*('CALCULO MORTERO'!I523^2)+'BLAZE SHIELD II'!$L$5*'CALCULO MORTERO'!I523+'BLAZE SHIELD II'!$L$6)*LN(J523))+('BLAZE SHIELD II'!$L$7*('CALCULO MORTERO'!I523^2)+'BLAZE SHIELD II'!$L$8*'CALCULO MORTERO'!I523+'BLAZE SHIELD II'!$L$9)),0)+IF(AND(L523="Blaze Shield II",M523="Software Idiem",C523="IN",G523=3),((('BLAZE SHIELD II'!$H$14*('CALCULO MORTERO'!I523^2)+'BLAZE SHIELD II'!$H$15*'CALCULO MORTERO'!I523+'BLAZE SHIELD II'!$H$16)*LN(J523))+('BLAZE SHIELD II'!$H$17*('CALCULO MORTERO'!I523^2)+'BLAZE SHIELD II'!$H$18*'CALCULO MORTERO'!I523+'BLAZE SHIELD II'!$H$19)),0),0)+ROUND(IF(AND(L523="Cafco 400",M523="Software Idiem",C523="IN",G523=4),((('CAFCO 400 '!$H$7*(J523^4)+'CAFCO 400 '!$H$8*(J523^3)+'CAFCO 400 '!$H$9*(J523^2)+'CAFCO 400 '!$H$10*J523+'CAFCO 400 '!$H$11)*U523^2)+(('CAFCO 400 '!$H$12*(J523^3)+'CAFCO 400 '!$H$13*(J523^2)+'CAFCO 400 '!$H$14*J523+'CAFCO 400 '!$H$15)*U523)+('CAFCO 400 '!$H$16*(J523^2)+'CAFCO 400 '!$H$17*J523+'CAFCO 400 '!$H$18)),0)+IF(AND(L523="Cafco 400",M523="Software Idiem",C523="Cj"),(((('CAFCO 400 '!$D$7*LN(J523)+'CAFCO 400 '!$D$8)*U523^2)+(('CAFCO 400 '!$D$9*LN(J523)+'CAFCO 400 '!$D$10)*U523)+('CAFCO 400 '!$D$11*LN(J523)+'CAFCO 400 '!$D$12))),0)+IF(AND(L523="Cafco 400",M523="Software Idiem",C523="C"),((('CAFCO 400 '!$L$7*(J523^3)+'CAFCO 400 '!$L$8*(J523^2)+'CAFCO 400 '!$L$9*J523+'CAFCO 400 '!$L$10)*U523^2)+(('CAFCO 400 '!$L$11*(J523^3)+'CAFCO 400 '!$L$12*(J523^2)+'CAFCO 400 '!$L$13*J523+'CAFCO 400 '!$L$14)*U523)+('CAFCO 400 '!$L$15*LN(J523)+'CAFCO 400 '!$L$16)),0)+IF(AND(L523="Cafco 400",M523="Software Idiem",C523="L"),((('CAFCO 400 '!$L$7*(J523^3)+'CAFCO 400 '!$L$8*(J523^2)+'CAFCO 400 '!$L$9*J523+'CAFCO 400 '!$L$10)*U523^2)+(('CAFCO 400 '!$L$11*(J523^3)+'CAFCO 400 '!$L$12*(J523^2)+'CAFCO 400 '!$L$13*J523+'CAFCO 400 '!$L$14)*U523)+('CAFCO 400 '!$L$15*LN(J523)+'CAFCO 400 '!$L$16)),0)+IF(AND(L523="Cafco 400",M523="Software Idiem",C523="IN",G523=3),((('CAFCO 400 '!$D$23*(J523^2)+'CAFCO 400 '!$D$24*(J523)+'CAFCO 400 '!$D$25)*U523^2)+(('CAFCO 400 '!$D$26*(J523^2)+'CAFCO 400 '!$D$27*J523+'CAFCO 400 '!$D$28)*U523)+('CAFCO 400 '!$D$29*(J523^2)+'CAFCO 400 '!$D$30*J523+'CAFCO 400 '!$D$31)),0),0)+IF(AND(L523="Cafco 300",J523&gt;=95,J523&lt;=240,C523="Cj",I523=90),VLOOKUP(T523,'CAFCO 300 IDIEM TABLAS'!$B$4:$D$23,2,FALSE),0)+IF(AND(L523="Cafco 300",J523&gt;=95,J523&lt;=240,C523="Cj",I523=120),VLOOKUP(T523,'CAFCO 300 IDIEM TABLAS'!$B$4:$D$23,3,FALSE),0)+IF(AND(L523="Cafco 300",J523&gt;=95,J523&lt;=400,G523=3,C523="IN",I523=90),VLOOKUP(T523,'CAFCO 300 IDIEM TABLAS'!$F$4:$H$35,2,FALSE),0)+IF(AND(L523="Cafco 300",J523&gt;=95,J523&lt;=400,G523=3,C523="IN",I523=120),VLOOKUP(T523,'CAFCO 300 IDIEM TABLAS'!$F$4:$H$35,3,FALSE),0)+IF(AND(L523="Cafco 300",J523&gt;=95,J523&lt;=450,G523=4,C523="IN",I523=90),VLOOKUP(T523,'CAFCO 300 IDIEM TABLAS'!$J$4:$L$40,2,FALSE),0)+IF(AND(L523="Cafco 300",J523&gt;=95,J523&lt;=450,G523=4,C523="IN",I523=120),VLOOKUP(T523,'CAFCO 300 IDIEM TABLAS'!$J$4:$L$40,3,FALSE),0)+IF(AND(M523="Ensayo Idiem",L523="Cafco 400",C523="IN",G523=4,I523=90),VLOOKUP(T523,'CAFCO 400 ENSAYO'!$B$7:$D$43,2,FALSE),0)+IF(AND(M523="Ensayo Idiem",L523="Cafco 400",C523="IN",G523=4,I523=120),VLOOKUP(T523,'CAFCO 400 ENSAYO'!$B$7:$D$43,3,FALSE),0)</f>
        <v>0</v>
      </c>
      <c r="O523" s="96">
        <f t="shared" ref="O523:O586" si="60">((IF(L523="Blaze Shield II",((K523*N523*0.43)/38),IF(L523="Cafco 400",((K523*N523*0.43)/23),IF(L523="Cafco 300",((K523*N523*0.43)/31.16),0)))))</f>
        <v>0</v>
      </c>
      <c r="P523" s="132" t="str">
        <f t="shared" si="55"/>
        <v>N/A</v>
      </c>
      <c r="Q523" s="132" t="str">
        <f t="shared" si="56"/>
        <v>N/A</v>
      </c>
      <c r="R523" s="132" t="str">
        <f t="shared" si="57"/>
        <v>NO CERT.</v>
      </c>
      <c r="S523" s="132" t="e">
        <f t="shared" si="58"/>
        <v>#N/A</v>
      </c>
      <c r="T523" s="133" t="e">
        <f>+IF(J523=LOOKUP(J523,'CAFCO 300 IDIEM TABLAS'!$J$4:$J$40),'CALCULO MORTERO'!J523,MROUND('CALCULO MORTERO'!J523,10))</f>
        <v>#N/A</v>
      </c>
      <c r="U523" s="134">
        <f t="shared" si="59"/>
        <v>0</v>
      </c>
      <c r="Y523" s="4"/>
      <c r="Z523" s="4"/>
      <c r="AA523" s="4"/>
    </row>
    <row r="524" spans="1:27" x14ac:dyDescent="0.25">
      <c r="A524" s="118">
        <f>+CUBICACION!D518</f>
        <v>0</v>
      </c>
      <c r="B524" s="819">
        <f>+CUBICACION!E518</f>
        <v>0</v>
      </c>
      <c r="C524" s="675">
        <f>+CUBICACION!F518</f>
        <v>0</v>
      </c>
      <c r="D524" s="118"/>
      <c r="E524" s="118"/>
      <c r="F524" s="820"/>
      <c r="G524" s="675">
        <f>+CUBICACION!J518</f>
        <v>0</v>
      </c>
      <c r="H524" s="118"/>
      <c r="I524" s="821">
        <f>+CUBICACION!L518</f>
        <v>0</v>
      </c>
      <c r="J524" s="64">
        <f>+CUBICACION!M518</f>
        <v>0</v>
      </c>
      <c r="K524" s="822" t="str">
        <f>+CUBICACION!N518</f>
        <v/>
      </c>
      <c r="L524" s="118">
        <f>+CUBICACION!O518</f>
        <v>0</v>
      </c>
      <c r="M524" s="823">
        <f>+CUBICACION!P518</f>
        <v>0</v>
      </c>
      <c r="N524" s="902">
        <f>ROUND(IF(AND(L524="Blaze Shield II",M524="Software Idiem",C524="IN",G524=4),((('BLAZE SHIELD II'!$D$4*('CALCULO MORTERO'!I524^2)+'BLAZE SHIELD II'!$D$5*'CALCULO MORTERO'!I524+'BLAZE SHIELD II'!$D$6)*LN(J524))+('BLAZE SHIELD II'!$D$7*('CALCULO MORTERO'!I524^2)+'BLAZE SHIELD II'!$D$8*'CALCULO MORTERO'!I524+'BLAZE SHIELD II'!$D$9)),0)+IF(AND(L524="Blaze Shield II",M524="Software Idiem",C524="Cj"),((('BLAZE SHIELD II'!$H$4*('CALCULO MORTERO'!I524^2)+'BLAZE SHIELD II'!$H$5*'CALCULO MORTERO'!I524+'BLAZE SHIELD II'!$H$6)*LN(J524))+('BLAZE SHIELD II'!$H$7*('CALCULO MORTERO'!I524^2)+'BLAZE SHIELD II'!$H$8*'CALCULO MORTERO'!I524+'BLAZE SHIELD II'!$H$9)),0)+IF(AND(L524="Blaze Shield II",M524="Software Idiem",C524="C"),((('BLAZE SHIELD II'!$L$4*('CALCULO MORTERO'!I524^2)+'BLAZE SHIELD II'!$L$5*'CALCULO MORTERO'!I524+'BLAZE SHIELD II'!$L$6)*LN(J524))+('BLAZE SHIELD II'!$L$7*('CALCULO MORTERO'!I524^2)+'BLAZE SHIELD II'!$L$8*'CALCULO MORTERO'!I524+'BLAZE SHIELD II'!$L$9)),0)+IF(AND(L524="Blaze Shield II",M524="Software Idiem",C524="L"),((('BLAZE SHIELD II'!$L$4*('CALCULO MORTERO'!I524^2)+'BLAZE SHIELD II'!$L$5*'CALCULO MORTERO'!I524+'BLAZE SHIELD II'!$L$6)*LN(J524))+('BLAZE SHIELD II'!$L$7*('CALCULO MORTERO'!I524^2)+'BLAZE SHIELD II'!$L$8*'CALCULO MORTERO'!I524+'BLAZE SHIELD II'!$L$9)),0)+IF(AND(L524="Blaze Shield II",M524="Software Idiem",C524="IN",G524=3),((('BLAZE SHIELD II'!$H$14*('CALCULO MORTERO'!I524^2)+'BLAZE SHIELD II'!$H$15*'CALCULO MORTERO'!I524+'BLAZE SHIELD II'!$H$16)*LN(J524))+('BLAZE SHIELD II'!$H$17*('CALCULO MORTERO'!I524^2)+'BLAZE SHIELD II'!$H$18*'CALCULO MORTERO'!I524+'BLAZE SHIELD II'!$H$19)),0),0)+ROUND(IF(AND(L524="Cafco 400",M524="Software Idiem",C524="IN",G524=4),((('CAFCO 400 '!$H$7*(J524^4)+'CAFCO 400 '!$H$8*(J524^3)+'CAFCO 400 '!$H$9*(J524^2)+'CAFCO 400 '!$H$10*J524+'CAFCO 400 '!$H$11)*U524^2)+(('CAFCO 400 '!$H$12*(J524^3)+'CAFCO 400 '!$H$13*(J524^2)+'CAFCO 400 '!$H$14*J524+'CAFCO 400 '!$H$15)*U524)+('CAFCO 400 '!$H$16*(J524^2)+'CAFCO 400 '!$H$17*J524+'CAFCO 400 '!$H$18)),0)+IF(AND(L524="Cafco 400",M524="Software Idiem",C524="Cj"),(((('CAFCO 400 '!$D$7*LN(J524)+'CAFCO 400 '!$D$8)*U524^2)+(('CAFCO 400 '!$D$9*LN(J524)+'CAFCO 400 '!$D$10)*U524)+('CAFCO 400 '!$D$11*LN(J524)+'CAFCO 400 '!$D$12))),0)+IF(AND(L524="Cafco 400",M524="Software Idiem",C524="C"),((('CAFCO 400 '!$L$7*(J524^3)+'CAFCO 400 '!$L$8*(J524^2)+'CAFCO 400 '!$L$9*J524+'CAFCO 400 '!$L$10)*U524^2)+(('CAFCO 400 '!$L$11*(J524^3)+'CAFCO 400 '!$L$12*(J524^2)+'CAFCO 400 '!$L$13*J524+'CAFCO 400 '!$L$14)*U524)+('CAFCO 400 '!$L$15*LN(J524)+'CAFCO 400 '!$L$16)),0)+IF(AND(L524="Cafco 400",M524="Software Idiem",C524="L"),((('CAFCO 400 '!$L$7*(J524^3)+'CAFCO 400 '!$L$8*(J524^2)+'CAFCO 400 '!$L$9*J524+'CAFCO 400 '!$L$10)*U524^2)+(('CAFCO 400 '!$L$11*(J524^3)+'CAFCO 400 '!$L$12*(J524^2)+'CAFCO 400 '!$L$13*J524+'CAFCO 400 '!$L$14)*U524)+('CAFCO 400 '!$L$15*LN(J524)+'CAFCO 400 '!$L$16)),0)+IF(AND(L524="Cafco 400",M524="Software Idiem",C524="IN",G524=3),((('CAFCO 400 '!$D$23*(J524^2)+'CAFCO 400 '!$D$24*(J524)+'CAFCO 400 '!$D$25)*U524^2)+(('CAFCO 400 '!$D$26*(J524^2)+'CAFCO 400 '!$D$27*J524+'CAFCO 400 '!$D$28)*U524)+('CAFCO 400 '!$D$29*(J524^2)+'CAFCO 400 '!$D$30*J524+'CAFCO 400 '!$D$31)),0),0)+IF(AND(L524="Cafco 300",J524&gt;=95,J524&lt;=240,C524="Cj",I524=90),VLOOKUP(T524,'CAFCO 300 IDIEM TABLAS'!$B$4:$D$23,2,FALSE),0)+IF(AND(L524="Cafco 300",J524&gt;=95,J524&lt;=240,C524="Cj",I524=120),VLOOKUP(T524,'CAFCO 300 IDIEM TABLAS'!$B$4:$D$23,3,FALSE),0)+IF(AND(L524="Cafco 300",J524&gt;=95,J524&lt;=400,G524=3,C524="IN",I524=90),VLOOKUP(T524,'CAFCO 300 IDIEM TABLAS'!$F$4:$H$35,2,FALSE),0)+IF(AND(L524="Cafco 300",J524&gt;=95,J524&lt;=400,G524=3,C524="IN",I524=120),VLOOKUP(T524,'CAFCO 300 IDIEM TABLAS'!$F$4:$H$35,3,FALSE),0)+IF(AND(L524="Cafco 300",J524&gt;=95,J524&lt;=450,G524=4,C524="IN",I524=90),VLOOKUP(T524,'CAFCO 300 IDIEM TABLAS'!$J$4:$L$40,2,FALSE),0)+IF(AND(L524="Cafco 300",J524&gt;=95,J524&lt;=450,G524=4,C524="IN",I524=120),VLOOKUP(T524,'CAFCO 300 IDIEM TABLAS'!$J$4:$L$40,3,FALSE),0)+IF(AND(M524="Ensayo Idiem",L524="Cafco 400",C524="IN",G524=4,I524=90),VLOOKUP(T524,'CAFCO 400 ENSAYO'!$B$7:$D$43,2,FALSE),0)+IF(AND(M524="Ensayo Idiem",L524="Cafco 400",C524="IN",G524=4,I524=120),VLOOKUP(T524,'CAFCO 400 ENSAYO'!$B$7:$D$43,3,FALSE),0)</f>
        <v>0</v>
      </c>
      <c r="O524" s="96">
        <f t="shared" si="60"/>
        <v>0</v>
      </c>
      <c r="P524" s="95" t="str">
        <f t="shared" si="55"/>
        <v>N/A</v>
      </c>
      <c r="Q524" s="95" t="str">
        <f t="shared" si="56"/>
        <v>N/A</v>
      </c>
      <c r="R524" s="95" t="str">
        <f t="shared" si="57"/>
        <v>NO CERT.</v>
      </c>
      <c r="S524" s="95" t="e">
        <f t="shared" si="58"/>
        <v>#N/A</v>
      </c>
      <c r="T524" s="119" t="e">
        <f>+IF(J524=LOOKUP(J524,'CAFCO 300 IDIEM TABLAS'!$J$4:$J$40),'CALCULO MORTERO'!J524,MROUND('CALCULO MORTERO'!J524,10))</f>
        <v>#N/A</v>
      </c>
      <c r="U524" s="118">
        <f t="shared" si="59"/>
        <v>0</v>
      </c>
      <c r="Y524" s="4"/>
      <c r="Z524" s="4"/>
      <c r="AA524" s="4"/>
    </row>
    <row r="525" spans="1:27" x14ac:dyDescent="0.25">
      <c r="A525" s="118">
        <f>+CUBICACION!D519</f>
        <v>0</v>
      </c>
      <c r="B525" s="819">
        <f>+CUBICACION!E519</f>
        <v>0</v>
      </c>
      <c r="C525" s="675">
        <f>+CUBICACION!F519</f>
        <v>0</v>
      </c>
      <c r="D525" s="118"/>
      <c r="E525" s="118"/>
      <c r="F525" s="820"/>
      <c r="G525" s="675">
        <f>+CUBICACION!J519</f>
        <v>0</v>
      </c>
      <c r="H525" s="118"/>
      <c r="I525" s="821">
        <f>+CUBICACION!L519</f>
        <v>0</v>
      </c>
      <c r="J525" s="64">
        <f>+CUBICACION!M519</f>
        <v>0</v>
      </c>
      <c r="K525" s="822" t="str">
        <f>+CUBICACION!N519</f>
        <v/>
      </c>
      <c r="L525" s="118">
        <f>+CUBICACION!O519</f>
        <v>0</v>
      </c>
      <c r="M525" s="823">
        <f>+CUBICACION!P519</f>
        <v>0</v>
      </c>
      <c r="N525" s="902">
        <f>ROUND(IF(AND(L525="Blaze Shield II",M525="Software Idiem",C525="IN",G525=4),((('BLAZE SHIELD II'!$D$4*('CALCULO MORTERO'!I525^2)+'BLAZE SHIELD II'!$D$5*'CALCULO MORTERO'!I525+'BLAZE SHIELD II'!$D$6)*LN(J525))+('BLAZE SHIELD II'!$D$7*('CALCULO MORTERO'!I525^2)+'BLAZE SHIELD II'!$D$8*'CALCULO MORTERO'!I525+'BLAZE SHIELD II'!$D$9)),0)+IF(AND(L525="Blaze Shield II",M525="Software Idiem",C525="Cj"),((('BLAZE SHIELD II'!$H$4*('CALCULO MORTERO'!I525^2)+'BLAZE SHIELD II'!$H$5*'CALCULO MORTERO'!I525+'BLAZE SHIELD II'!$H$6)*LN(J525))+('BLAZE SHIELD II'!$H$7*('CALCULO MORTERO'!I525^2)+'BLAZE SHIELD II'!$H$8*'CALCULO MORTERO'!I525+'BLAZE SHIELD II'!$H$9)),0)+IF(AND(L525="Blaze Shield II",M525="Software Idiem",C525="C"),((('BLAZE SHIELD II'!$L$4*('CALCULO MORTERO'!I525^2)+'BLAZE SHIELD II'!$L$5*'CALCULO MORTERO'!I525+'BLAZE SHIELD II'!$L$6)*LN(J525))+('BLAZE SHIELD II'!$L$7*('CALCULO MORTERO'!I525^2)+'BLAZE SHIELD II'!$L$8*'CALCULO MORTERO'!I525+'BLAZE SHIELD II'!$L$9)),0)+IF(AND(L525="Blaze Shield II",M525="Software Idiem",C525="L"),((('BLAZE SHIELD II'!$L$4*('CALCULO MORTERO'!I525^2)+'BLAZE SHIELD II'!$L$5*'CALCULO MORTERO'!I525+'BLAZE SHIELD II'!$L$6)*LN(J525))+('BLAZE SHIELD II'!$L$7*('CALCULO MORTERO'!I525^2)+'BLAZE SHIELD II'!$L$8*'CALCULO MORTERO'!I525+'BLAZE SHIELD II'!$L$9)),0)+IF(AND(L525="Blaze Shield II",M525="Software Idiem",C525="IN",G525=3),((('BLAZE SHIELD II'!$H$14*('CALCULO MORTERO'!I525^2)+'BLAZE SHIELD II'!$H$15*'CALCULO MORTERO'!I525+'BLAZE SHIELD II'!$H$16)*LN(J525))+('BLAZE SHIELD II'!$H$17*('CALCULO MORTERO'!I525^2)+'BLAZE SHIELD II'!$H$18*'CALCULO MORTERO'!I525+'BLAZE SHIELD II'!$H$19)),0),0)+ROUND(IF(AND(L525="Cafco 400",M525="Software Idiem",C525="IN",G525=4),((('CAFCO 400 '!$H$7*(J525^4)+'CAFCO 400 '!$H$8*(J525^3)+'CAFCO 400 '!$H$9*(J525^2)+'CAFCO 400 '!$H$10*J525+'CAFCO 400 '!$H$11)*U525^2)+(('CAFCO 400 '!$H$12*(J525^3)+'CAFCO 400 '!$H$13*(J525^2)+'CAFCO 400 '!$H$14*J525+'CAFCO 400 '!$H$15)*U525)+('CAFCO 400 '!$H$16*(J525^2)+'CAFCO 400 '!$H$17*J525+'CAFCO 400 '!$H$18)),0)+IF(AND(L525="Cafco 400",M525="Software Idiem",C525="Cj"),(((('CAFCO 400 '!$D$7*LN(J525)+'CAFCO 400 '!$D$8)*U525^2)+(('CAFCO 400 '!$D$9*LN(J525)+'CAFCO 400 '!$D$10)*U525)+('CAFCO 400 '!$D$11*LN(J525)+'CAFCO 400 '!$D$12))),0)+IF(AND(L525="Cafco 400",M525="Software Idiem",C525="C"),((('CAFCO 400 '!$L$7*(J525^3)+'CAFCO 400 '!$L$8*(J525^2)+'CAFCO 400 '!$L$9*J525+'CAFCO 400 '!$L$10)*U525^2)+(('CAFCO 400 '!$L$11*(J525^3)+'CAFCO 400 '!$L$12*(J525^2)+'CAFCO 400 '!$L$13*J525+'CAFCO 400 '!$L$14)*U525)+('CAFCO 400 '!$L$15*LN(J525)+'CAFCO 400 '!$L$16)),0)+IF(AND(L525="Cafco 400",M525="Software Idiem",C525="L"),((('CAFCO 400 '!$L$7*(J525^3)+'CAFCO 400 '!$L$8*(J525^2)+'CAFCO 400 '!$L$9*J525+'CAFCO 400 '!$L$10)*U525^2)+(('CAFCO 400 '!$L$11*(J525^3)+'CAFCO 400 '!$L$12*(J525^2)+'CAFCO 400 '!$L$13*J525+'CAFCO 400 '!$L$14)*U525)+('CAFCO 400 '!$L$15*LN(J525)+'CAFCO 400 '!$L$16)),0)+IF(AND(L525="Cafco 400",M525="Software Idiem",C525="IN",G525=3),((('CAFCO 400 '!$D$23*(J525^2)+'CAFCO 400 '!$D$24*(J525)+'CAFCO 400 '!$D$25)*U525^2)+(('CAFCO 400 '!$D$26*(J525^2)+'CAFCO 400 '!$D$27*J525+'CAFCO 400 '!$D$28)*U525)+('CAFCO 400 '!$D$29*(J525^2)+'CAFCO 400 '!$D$30*J525+'CAFCO 400 '!$D$31)),0),0)+IF(AND(L525="Cafco 300",J525&gt;=95,J525&lt;=240,C525="Cj",I525=90),VLOOKUP(T525,'CAFCO 300 IDIEM TABLAS'!$B$4:$D$23,2,FALSE),0)+IF(AND(L525="Cafco 300",J525&gt;=95,J525&lt;=240,C525="Cj",I525=120),VLOOKUP(T525,'CAFCO 300 IDIEM TABLAS'!$B$4:$D$23,3,FALSE),0)+IF(AND(L525="Cafco 300",J525&gt;=95,J525&lt;=400,G525=3,C525="IN",I525=90),VLOOKUP(T525,'CAFCO 300 IDIEM TABLAS'!$F$4:$H$35,2,FALSE),0)+IF(AND(L525="Cafco 300",J525&gt;=95,J525&lt;=400,G525=3,C525="IN",I525=120),VLOOKUP(T525,'CAFCO 300 IDIEM TABLAS'!$F$4:$H$35,3,FALSE),0)+IF(AND(L525="Cafco 300",J525&gt;=95,J525&lt;=450,G525=4,C525="IN",I525=90),VLOOKUP(T525,'CAFCO 300 IDIEM TABLAS'!$J$4:$L$40,2,FALSE),0)+IF(AND(L525="Cafco 300",J525&gt;=95,J525&lt;=450,G525=4,C525="IN",I525=120),VLOOKUP(T525,'CAFCO 300 IDIEM TABLAS'!$J$4:$L$40,3,FALSE),0)+IF(AND(M525="Ensayo Idiem",L525="Cafco 400",C525="IN",G525=4,I525=90),VLOOKUP(T525,'CAFCO 400 ENSAYO'!$B$7:$D$43,2,FALSE),0)+IF(AND(M525="Ensayo Idiem",L525="Cafco 400",C525="IN",G525=4,I525=120),VLOOKUP(T525,'CAFCO 400 ENSAYO'!$B$7:$D$43,3,FALSE),0)</f>
        <v>0</v>
      </c>
      <c r="O525" s="96">
        <f t="shared" si="60"/>
        <v>0</v>
      </c>
      <c r="P525" s="132" t="str">
        <f t="shared" si="55"/>
        <v>N/A</v>
      </c>
      <c r="Q525" s="132" t="str">
        <f t="shared" si="56"/>
        <v>N/A</v>
      </c>
      <c r="R525" s="132" t="str">
        <f t="shared" si="57"/>
        <v>NO CERT.</v>
      </c>
      <c r="S525" s="132" t="e">
        <f t="shared" si="58"/>
        <v>#N/A</v>
      </c>
      <c r="T525" s="133" t="e">
        <f>+IF(J525=LOOKUP(J525,'CAFCO 300 IDIEM TABLAS'!$J$4:$J$40),'CALCULO MORTERO'!J525,MROUND('CALCULO MORTERO'!J525,10))</f>
        <v>#N/A</v>
      </c>
      <c r="U525" s="134">
        <f t="shared" si="59"/>
        <v>0</v>
      </c>
      <c r="Y525" s="4"/>
      <c r="Z525" s="4"/>
      <c r="AA525" s="4"/>
    </row>
    <row r="526" spans="1:27" x14ac:dyDescent="0.25">
      <c r="A526" s="118">
        <f>+CUBICACION!D520</f>
        <v>0</v>
      </c>
      <c r="B526" s="819">
        <f>+CUBICACION!E520</f>
        <v>0</v>
      </c>
      <c r="C526" s="675">
        <f>+CUBICACION!F520</f>
        <v>0</v>
      </c>
      <c r="D526" s="118"/>
      <c r="E526" s="118"/>
      <c r="F526" s="820"/>
      <c r="G526" s="675">
        <f>+CUBICACION!J520</f>
        <v>0</v>
      </c>
      <c r="H526" s="118"/>
      <c r="I526" s="821">
        <f>+CUBICACION!L520</f>
        <v>0</v>
      </c>
      <c r="J526" s="64">
        <f>+CUBICACION!M520</f>
        <v>0</v>
      </c>
      <c r="K526" s="822" t="str">
        <f>+CUBICACION!N520</f>
        <v/>
      </c>
      <c r="L526" s="118">
        <f>+CUBICACION!O520</f>
        <v>0</v>
      </c>
      <c r="M526" s="823">
        <f>+CUBICACION!P520</f>
        <v>0</v>
      </c>
      <c r="N526" s="902">
        <f>ROUND(IF(AND(L526="Blaze Shield II",M526="Software Idiem",C526="IN",G526=4),((('BLAZE SHIELD II'!$D$4*('CALCULO MORTERO'!I526^2)+'BLAZE SHIELD II'!$D$5*'CALCULO MORTERO'!I526+'BLAZE SHIELD II'!$D$6)*LN(J526))+('BLAZE SHIELD II'!$D$7*('CALCULO MORTERO'!I526^2)+'BLAZE SHIELD II'!$D$8*'CALCULO MORTERO'!I526+'BLAZE SHIELD II'!$D$9)),0)+IF(AND(L526="Blaze Shield II",M526="Software Idiem",C526="Cj"),((('BLAZE SHIELD II'!$H$4*('CALCULO MORTERO'!I526^2)+'BLAZE SHIELD II'!$H$5*'CALCULO MORTERO'!I526+'BLAZE SHIELD II'!$H$6)*LN(J526))+('BLAZE SHIELD II'!$H$7*('CALCULO MORTERO'!I526^2)+'BLAZE SHIELD II'!$H$8*'CALCULO MORTERO'!I526+'BLAZE SHIELD II'!$H$9)),0)+IF(AND(L526="Blaze Shield II",M526="Software Idiem",C526="C"),((('BLAZE SHIELD II'!$L$4*('CALCULO MORTERO'!I526^2)+'BLAZE SHIELD II'!$L$5*'CALCULO MORTERO'!I526+'BLAZE SHIELD II'!$L$6)*LN(J526))+('BLAZE SHIELD II'!$L$7*('CALCULO MORTERO'!I526^2)+'BLAZE SHIELD II'!$L$8*'CALCULO MORTERO'!I526+'BLAZE SHIELD II'!$L$9)),0)+IF(AND(L526="Blaze Shield II",M526="Software Idiem",C526="L"),((('BLAZE SHIELD II'!$L$4*('CALCULO MORTERO'!I526^2)+'BLAZE SHIELD II'!$L$5*'CALCULO MORTERO'!I526+'BLAZE SHIELD II'!$L$6)*LN(J526))+('BLAZE SHIELD II'!$L$7*('CALCULO MORTERO'!I526^2)+'BLAZE SHIELD II'!$L$8*'CALCULO MORTERO'!I526+'BLAZE SHIELD II'!$L$9)),0)+IF(AND(L526="Blaze Shield II",M526="Software Idiem",C526="IN",G526=3),((('BLAZE SHIELD II'!$H$14*('CALCULO MORTERO'!I526^2)+'BLAZE SHIELD II'!$H$15*'CALCULO MORTERO'!I526+'BLAZE SHIELD II'!$H$16)*LN(J526))+('BLAZE SHIELD II'!$H$17*('CALCULO MORTERO'!I526^2)+'BLAZE SHIELD II'!$H$18*'CALCULO MORTERO'!I526+'BLAZE SHIELD II'!$H$19)),0),0)+ROUND(IF(AND(L526="Cafco 400",M526="Software Idiem",C526="IN",G526=4),((('CAFCO 400 '!$H$7*(J526^4)+'CAFCO 400 '!$H$8*(J526^3)+'CAFCO 400 '!$H$9*(J526^2)+'CAFCO 400 '!$H$10*J526+'CAFCO 400 '!$H$11)*U526^2)+(('CAFCO 400 '!$H$12*(J526^3)+'CAFCO 400 '!$H$13*(J526^2)+'CAFCO 400 '!$H$14*J526+'CAFCO 400 '!$H$15)*U526)+('CAFCO 400 '!$H$16*(J526^2)+'CAFCO 400 '!$H$17*J526+'CAFCO 400 '!$H$18)),0)+IF(AND(L526="Cafco 400",M526="Software Idiem",C526="Cj"),(((('CAFCO 400 '!$D$7*LN(J526)+'CAFCO 400 '!$D$8)*U526^2)+(('CAFCO 400 '!$D$9*LN(J526)+'CAFCO 400 '!$D$10)*U526)+('CAFCO 400 '!$D$11*LN(J526)+'CAFCO 400 '!$D$12))),0)+IF(AND(L526="Cafco 400",M526="Software Idiem",C526="C"),((('CAFCO 400 '!$L$7*(J526^3)+'CAFCO 400 '!$L$8*(J526^2)+'CAFCO 400 '!$L$9*J526+'CAFCO 400 '!$L$10)*U526^2)+(('CAFCO 400 '!$L$11*(J526^3)+'CAFCO 400 '!$L$12*(J526^2)+'CAFCO 400 '!$L$13*J526+'CAFCO 400 '!$L$14)*U526)+('CAFCO 400 '!$L$15*LN(J526)+'CAFCO 400 '!$L$16)),0)+IF(AND(L526="Cafco 400",M526="Software Idiem",C526="L"),((('CAFCO 400 '!$L$7*(J526^3)+'CAFCO 400 '!$L$8*(J526^2)+'CAFCO 400 '!$L$9*J526+'CAFCO 400 '!$L$10)*U526^2)+(('CAFCO 400 '!$L$11*(J526^3)+'CAFCO 400 '!$L$12*(J526^2)+'CAFCO 400 '!$L$13*J526+'CAFCO 400 '!$L$14)*U526)+('CAFCO 400 '!$L$15*LN(J526)+'CAFCO 400 '!$L$16)),0)+IF(AND(L526="Cafco 400",M526="Software Idiem",C526="IN",G526=3),((('CAFCO 400 '!$D$23*(J526^2)+'CAFCO 400 '!$D$24*(J526)+'CAFCO 400 '!$D$25)*U526^2)+(('CAFCO 400 '!$D$26*(J526^2)+'CAFCO 400 '!$D$27*J526+'CAFCO 400 '!$D$28)*U526)+('CAFCO 400 '!$D$29*(J526^2)+'CAFCO 400 '!$D$30*J526+'CAFCO 400 '!$D$31)),0),0)+IF(AND(L526="Cafco 300",J526&gt;=95,J526&lt;=240,C526="Cj",I526=90),VLOOKUP(T526,'CAFCO 300 IDIEM TABLAS'!$B$4:$D$23,2,FALSE),0)+IF(AND(L526="Cafco 300",J526&gt;=95,J526&lt;=240,C526="Cj",I526=120),VLOOKUP(T526,'CAFCO 300 IDIEM TABLAS'!$B$4:$D$23,3,FALSE),0)+IF(AND(L526="Cafco 300",J526&gt;=95,J526&lt;=400,G526=3,C526="IN",I526=90),VLOOKUP(T526,'CAFCO 300 IDIEM TABLAS'!$F$4:$H$35,2,FALSE),0)+IF(AND(L526="Cafco 300",J526&gt;=95,J526&lt;=400,G526=3,C526="IN",I526=120),VLOOKUP(T526,'CAFCO 300 IDIEM TABLAS'!$F$4:$H$35,3,FALSE),0)+IF(AND(L526="Cafco 300",J526&gt;=95,J526&lt;=450,G526=4,C526="IN",I526=90),VLOOKUP(T526,'CAFCO 300 IDIEM TABLAS'!$J$4:$L$40,2,FALSE),0)+IF(AND(L526="Cafco 300",J526&gt;=95,J526&lt;=450,G526=4,C526="IN",I526=120),VLOOKUP(T526,'CAFCO 300 IDIEM TABLAS'!$J$4:$L$40,3,FALSE),0)+IF(AND(M526="Ensayo Idiem",L526="Cafco 400",C526="IN",G526=4,I526=90),VLOOKUP(T526,'CAFCO 400 ENSAYO'!$B$7:$D$43,2,FALSE),0)+IF(AND(M526="Ensayo Idiem",L526="Cafco 400",C526="IN",G526=4,I526=120),VLOOKUP(T526,'CAFCO 400 ENSAYO'!$B$7:$D$43,3,FALSE),0)</f>
        <v>0</v>
      </c>
      <c r="O526" s="96">
        <f t="shared" si="60"/>
        <v>0</v>
      </c>
      <c r="P526" s="95" t="str">
        <f t="shared" si="55"/>
        <v>N/A</v>
      </c>
      <c r="Q526" s="95" t="str">
        <f t="shared" si="56"/>
        <v>N/A</v>
      </c>
      <c r="R526" s="95" t="str">
        <f t="shared" si="57"/>
        <v>NO CERT.</v>
      </c>
      <c r="S526" s="95" t="e">
        <f t="shared" si="58"/>
        <v>#N/A</v>
      </c>
      <c r="T526" s="119" t="e">
        <f>+IF(J526=LOOKUP(J526,'CAFCO 300 IDIEM TABLAS'!$J$4:$J$40),'CALCULO MORTERO'!J526,MROUND('CALCULO MORTERO'!J526,10))</f>
        <v>#N/A</v>
      </c>
      <c r="U526" s="118">
        <f t="shared" si="59"/>
        <v>0</v>
      </c>
      <c r="Y526" s="4"/>
      <c r="Z526" s="4"/>
      <c r="AA526" s="4"/>
    </row>
    <row r="527" spans="1:27" x14ac:dyDescent="0.25">
      <c r="A527" s="118">
        <f>+CUBICACION!D521</f>
        <v>0</v>
      </c>
      <c r="B527" s="819">
        <f>+CUBICACION!E521</f>
        <v>0</v>
      </c>
      <c r="C527" s="675">
        <f>+CUBICACION!F521</f>
        <v>0</v>
      </c>
      <c r="D527" s="118"/>
      <c r="E527" s="118"/>
      <c r="F527" s="820"/>
      <c r="G527" s="675">
        <f>+CUBICACION!J521</f>
        <v>0</v>
      </c>
      <c r="H527" s="118"/>
      <c r="I527" s="821">
        <f>+CUBICACION!L521</f>
        <v>0</v>
      </c>
      <c r="J527" s="64">
        <f>+CUBICACION!M521</f>
        <v>0</v>
      </c>
      <c r="K527" s="822" t="str">
        <f>+CUBICACION!N521</f>
        <v/>
      </c>
      <c r="L527" s="118">
        <f>+CUBICACION!O521</f>
        <v>0</v>
      </c>
      <c r="M527" s="823">
        <f>+CUBICACION!P521</f>
        <v>0</v>
      </c>
      <c r="N527" s="902">
        <f>ROUND(IF(AND(L527="Blaze Shield II",M527="Software Idiem",C527="IN",G527=4),((('BLAZE SHIELD II'!$D$4*('CALCULO MORTERO'!I527^2)+'BLAZE SHIELD II'!$D$5*'CALCULO MORTERO'!I527+'BLAZE SHIELD II'!$D$6)*LN(J527))+('BLAZE SHIELD II'!$D$7*('CALCULO MORTERO'!I527^2)+'BLAZE SHIELD II'!$D$8*'CALCULO MORTERO'!I527+'BLAZE SHIELD II'!$D$9)),0)+IF(AND(L527="Blaze Shield II",M527="Software Idiem",C527="Cj"),((('BLAZE SHIELD II'!$H$4*('CALCULO MORTERO'!I527^2)+'BLAZE SHIELD II'!$H$5*'CALCULO MORTERO'!I527+'BLAZE SHIELD II'!$H$6)*LN(J527))+('BLAZE SHIELD II'!$H$7*('CALCULO MORTERO'!I527^2)+'BLAZE SHIELD II'!$H$8*'CALCULO MORTERO'!I527+'BLAZE SHIELD II'!$H$9)),0)+IF(AND(L527="Blaze Shield II",M527="Software Idiem",C527="C"),((('BLAZE SHIELD II'!$L$4*('CALCULO MORTERO'!I527^2)+'BLAZE SHIELD II'!$L$5*'CALCULO MORTERO'!I527+'BLAZE SHIELD II'!$L$6)*LN(J527))+('BLAZE SHIELD II'!$L$7*('CALCULO MORTERO'!I527^2)+'BLAZE SHIELD II'!$L$8*'CALCULO MORTERO'!I527+'BLAZE SHIELD II'!$L$9)),0)+IF(AND(L527="Blaze Shield II",M527="Software Idiem",C527="L"),((('BLAZE SHIELD II'!$L$4*('CALCULO MORTERO'!I527^2)+'BLAZE SHIELD II'!$L$5*'CALCULO MORTERO'!I527+'BLAZE SHIELD II'!$L$6)*LN(J527))+('BLAZE SHIELD II'!$L$7*('CALCULO MORTERO'!I527^2)+'BLAZE SHIELD II'!$L$8*'CALCULO MORTERO'!I527+'BLAZE SHIELD II'!$L$9)),0)+IF(AND(L527="Blaze Shield II",M527="Software Idiem",C527="IN",G527=3),((('BLAZE SHIELD II'!$H$14*('CALCULO MORTERO'!I527^2)+'BLAZE SHIELD II'!$H$15*'CALCULO MORTERO'!I527+'BLAZE SHIELD II'!$H$16)*LN(J527))+('BLAZE SHIELD II'!$H$17*('CALCULO MORTERO'!I527^2)+'BLAZE SHIELD II'!$H$18*'CALCULO MORTERO'!I527+'BLAZE SHIELD II'!$H$19)),0),0)+ROUND(IF(AND(L527="Cafco 400",M527="Software Idiem",C527="IN",G527=4),((('CAFCO 400 '!$H$7*(J527^4)+'CAFCO 400 '!$H$8*(J527^3)+'CAFCO 400 '!$H$9*(J527^2)+'CAFCO 400 '!$H$10*J527+'CAFCO 400 '!$H$11)*U527^2)+(('CAFCO 400 '!$H$12*(J527^3)+'CAFCO 400 '!$H$13*(J527^2)+'CAFCO 400 '!$H$14*J527+'CAFCO 400 '!$H$15)*U527)+('CAFCO 400 '!$H$16*(J527^2)+'CAFCO 400 '!$H$17*J527+'CAFCO 400 '!$H$18)),0)+IF(AND(L527="Cafco 400",M527="Software Idiem",C527="Cj"),(((('CAFCO 400 '!$D$7*LN(J527)+'CAFCO 400 '!$D$8)*U527^2)+(('CAFCO 400 '!$D$9*LN(J527)+'CAFCO 400 '!$D$10)*U527)+('CAFCO 400 '!$D$11*LN(J527)+'CAFCO 400 '!$D$12))),0)+IF(AND(L527="Cafco 400",M527="Software Idiem",C527="C"),((('CAFCO 400 '!$L$7*(J527^3)+'CAFCO 400 '!$L$8*(J527^2)+'CAFCO 400 '!$L$9*J527+'CAFCO 400 '!$L$10)*U527^2)+(('CAFCO 400 '!$L$11*(J527^3)+'CAFCO 400 '!$L$12*(J527^2)+'CAFCO 400 '!$L$13*J527+'CAFCO 400 '!$L$14)*U527)+('CAFCO 400 '!$L$15*LN(J527)+'CAFCO 400 '!$L$16)),0)+IF(AND(L527="Cafco 400",M527="Software Idiem",C527="L"),((('CAFCO 400 '!$L$7*(J527^3)+'CAFCO 400 '!$L$8*(J527^2)+'CAFCO 400 '!$L$9*J527+'CAFCO 400 '!$L$10)*U527^2)+(('CAFCO 400 '!$L$11*(J527^3)+'CAFCO 400 '!$L$12*(J527^2)+'CAFCO 400 '!$L$13*J527+'CAFCO 400 '!$L$14)*U527)+('CAFCO 400 '!$L$15*LN(J527)+'CAFCO 400 '!$L$16)),0)+IF(AND(L527="Cafco 400",M527="Software Idiem",C527="IN",G527=3),((('CAFCO 400 '!$D$23*(J527^2)+'CAFCO 400 '!$D$24*(J527)+'CAFCO 400 '!$D$25)*U527^2)+(('CAFCO 400 '!$D$26*(J527^2)+'CAFCO 400 '!$D$27*J527+'CAFCO 400 '!$D$28)*U527)+('CAFCO 400 '!$D$29*(J527^2)+'CAFCO 400 '!$D$30*J527+'CAFCO 400 '!$D$31)),0),0)+IF(AND(L527="Cafco 300",J527&gt;=95,J527&lt;=240,C527="Cj",I527=90),VLOOKUP(T527,'CAFCO 300 IDIEM TABLAS'!$B$4:$D$23,2,FALSE),0)+IF(AND(L527="Cafco 300",J527&gt;=95,J527&lt;=240,C527="Cj",I527=120),VLOOKUP(T527,'CAFCO 300 IDIEM TABLAS'!$B$4:$D$23,3,FALSE),0)+IF(AND(L527="Cafco 300",J527&gt;=95,J527&lt;=400,G527=3,C527="IN",I527=90),VLOOKUP(T527,'CAFCO 300 IDIEM TABLAS'!$F$4:$H$35,2,FALSE),0)+IF(AND(L527="Cafco 300",J527&gt;=95,J527&lt;=400,G527=3,C527="IN",I527=120),VLOOKUP(T527,'CAFCO 300 IDIEM TABLAS'!$F$4:$H$35,3,FALSE),0)+IF(AND(L527="Cafco 300",J527&gt;=95,J527&lt;=450,G527=4,C527="IN",I527=90),VLOOKUP(T527,'CAFCO 300 IDIEM TABLAS'!$J$4:$L$40,2,FALSE),0)+IF(AND(L527="Cafco 300",J527&gt;=95,J527&lt;=450,G527=4,C527="IN",I527=120),VLOOKUP(T527,'CAFCO 300 IDIEM TABLAS'!$J$4:$L$40,3,FALSE),0)+IF(AND(M527="Ensayo Idiem",L527="Cafco 400",C527="IN",G527=4,I527=90),VLOOKUP(T527,'CAFCO 400 ENSAYO'!$B$7:$D$43,2,FALSE),0)+IF(AND(M527="Ensayo Idiem",L527="Cafco 400",C527="IN",G527=4,I527=120),VLOOKUP(T527,'CAFCO 400 ENSAYO'!$B$7:$D$43,3,FALSE),0)</f>
        <v>0</v>
      </c>
      <c r="O527" s="96">
        <f t="shared" si="60"/>
        <v>0</v>
      </c>
      <c r="P527" s="132" t="str">
        <f t="shared" si="55"/>
        <v>N/A</v>
      </c>
      <c r="Q527" s="132" t="str">
        <f t="shared" si="56"/>
        <v>N/A</v>
      </c>
      <c r="R527" s="132" t="str">
        <f t="shared" si="57"/>
        <v>NO CERT.</v>
      </c>
      <c r="S527" s="132" t="e">
        <f t="shared" si="58"/>
        <v>#N/A</v>
      </c>
      <c r="T527" s="133" t="e">
        <f>+IF(J527=LOOKUP(J527,'CAFCO 300 IDIEM TABLAS'!$J$4:$J$40),'CALCULO MORTERO'!J527,MROUND('CALCULO MORTERO'!J527,10))</f>
        <v>#N/A</v>
      </c>
      <c r="U527" s="134">
        <f t="shared" si="59"/>
        <v>0</v>
      </c>
      <c r="Y527" s="4"/>
      <c r="Z527" s="4"/>
      <c r="AA527" s="4"/>
    </row>
    <row r="528" spans="1:27" x14ac:dyDescent="0.25">
      <c r="A528" s="118">
        <f>+CUBICACION!D522</f>
        <v>0</v>
      </c>
      <c r="B528" s="819">
        <f>+CUBICACION!E522</f>
        <v>0</v>
      </c>
      <c r="C528" s="675">
        <f>+CUBICACION!F522</f>
        <v>0</v>
      </c>
      <c r="D528" s="118"/>
      <c r="E528" s="118"/>
      <c r="F528" s="820"/>
      <c r="G528" s="675">
        <f>+CUBICACION!J522</f>
        <v>0</v>
      </c>
      <c r="H528" s="118"/>
      <c r="I528" s="821">
        <f>+CUBICACION!L522</f>
        <v>0</v>
      </c>
      <c r="J528" s="64">
        <f>+CUBICACION!M522</f>
        <v>0</v>
      </c>
      <c r="K528" s="822" t="str">
        <f>+CUBICACION!N522</f>
        <v/>
      </c>
      <c r="L528" s="118">
        <f>+CUBICACION!O522</f>
        <v>0</v>
      </c>
      <c r="M528" s="823">
        <f>+CUBICACION!P522</f>
        <v>0</v>
      </c>
      <c r="N528" s="902">
        <f>ROUND(IF(AND(L528="Blaze Shield II",M528="Software Idiem",C528="IN",G528=4),((('BLAZE SHIELD II'!$D$4*('CALCULO MORTERO'!I528^2)+'BLAZE SHIELD II'!$D$5*'CALCULO MORTERO'!I528+'BLAZE SHIELD II'!$D$6)*LN(J528))+('BLAZE SHIELD II'!$D$7*('CALCULO MORTERO'!I528^2)+'BLAZE SHIELD II'!$D$8*'CALCULO MORTERO'!I528+'BLAZE SHIELD II'!$D$9)),0)+IF(AND(L528="Blaze Shield II",M528="Software Idiem",C528="Cj"),((('BLAZE SHIELD II'!$H$4*('CALCULO MORTERO'!I528^2)+'BLAZE SHIELD II'!$H$5*'CALCULO MORTERO'!I528+'BLAZE SHIELD II'!$H$6)*LN(J528))+('BLAZE SHIELD II'!$H$7*('CALCULO MORTERO'!I528^2)+'BLAZE SHIELD II'!$H$8*'CALCULO MORTERO'!I528+'BLAZE SHIELD II'!$H$9)),0)+IF(AND(L528="Blaze Shield II",M528="Software Idiem",C528="C"),((('BLAZE SHIELD II'!$L$4*('CALCULO MORTERO'!I528^2)+'BLAZE SHIELD II'!$L$5*'CALCULO MORTERO'!I528+'BLAZE SHIELD II'!$L$6)*LN(J528))+('BLAZE SHIELD II'!$L$7*('CALCULO MORTERO'!I528^2)+'BLAZE SHIELD II'!$L$8*'CALCULO MORTERO'!I528+'BLAZE SHIELD II'!$L$9)),0)+IF(AND(L528="Blaze Shield II",M528="Software Idiem",C528="L"),((('BLAZE SHIELD II'!$L$4*('CALCULO MORTERO'!I528^2)+'BLAZE SHIELD II'!$L$5*'CALCULO MORTERO'!I528+'BLAZE SHIELD II'!$L$6)*LN(J528))+('BLAZE SHIELD II'!$L$7*('CALCULO MORTERO'!I528^2)+'BLAZE SHIELD II'!$L$8*'CALCULO MORTERO'!I528+'BLAZE SHIELD II'!$L$9)),0)+IF(AND(L528="Blaze Shield II",M528="Software Idiem",C528="IN",G528=3),((('BLAZE SHIELD II'!$H$14*('CALCULO MORTERO'!I528^2)+'BLAZE SHIELD II'!$H$15*'CALCULO MORTERO'!I528+'BLAZE SHIELD II'!$H$16)*LN(J528))+('BLAZE SHIELD II'!$H$17*('CALCULO MORTERO'!I528^2)+'BLAZE SHIELD II'!$H$18*'CALCULO MORTERO'!I528+'BLAZE SHIELD II'!$H$19)),0),0)+ROUND(IF(AND(L528="Cafco 400",M528="Software Idiem",C528="IN",G528=4),((('CAFCO 400 '!$H$7*(J528^4)+'CAFCO 400 '!$H$8*(J528^3)+'CAFCO 400 '!$H$9*(J528^2)+'CAFCO 400 '!$H$10*J528+'CAFCO 400 '!$H$11)*U528^2)+(('CAFCO 400 '!$H$12*(J528^3)+'CAFCO 400 '!$H$13*(J528^2)+'CAFCO 400 '!$H$14*J528+'CAFCO 400 '!$H$15)*U528)+('CAFCO 400 '!$H$16*(J528^2)+'CAFCO 400 '!$H$17*J528+'CAFCO 400 '!$H$18)),0)+IF(AND(L528="Cafco 400",M528="Software Idiem",C528="Cj"),(((('CAFCO 400 '!$D$7*LN(J528)+'CAFCO 400 '!$D$8)*U528^2)+(('CAFCO 400 '!$D$9*LN(J528)+'CAFCO 400 '!$D$10)*U528)+('CAFCO 400 '!$D$11*LN(J528)+'CAFCO 400 '!$D$12))),0)+IF(AND(L528="Cafco 400",M528="Software Idiem",C528="C"),((('CAFCO 400 '!$L$7*(J528^3)+'CAFCO 400 '!$L$8*(J528^2)+'CAFCO 400 '!$L$9*J528+'CAFCO 400 '!$L$10)*U528^2)+(('CAFCO 400 '!$L$11*(J528^3)+'CAFCO 400 '!$L$12*(J528^2)+'CAFCO 400 '!$L$13*J528+'CAFCO 400 '!$L$14)*U528)+('CAFCO 400 '!$L$15*LN(J528)+'CAFCO 400 '!$L$16)),0)+IF(AND(L528="Cafco 400",M528="Software Idiem",C528="L"),((('CAFCO 400 '!$L$7*(J528^3)+'CAFCO 400 '!$L$8*(J528^2)+'CAFCO 400 '!$L$9*J528+'CAFCO 400 '!$L$10)*U528^2)+(('CAFCO 400 '!$L$11*(J528^3)+'CAFCO 400 '!$L$12*(J528^2)+'CAFCO 400 '!$L$13*J528+'CAFCO 400 '!$L$14)*U528)+('CAFCO 400 '!$L$15*LN(J528)+'CAFCO 400 '!$L$16)),0)+IF(AND(L528="Cafco 400",M528="Software Idiem",C528="IN",G528=3),((('CAFCO 400 '!$D$23*(J528^2)+'CAFCO 400 '!$D$24*(J528)+'CAFCO 400 '!$D$25)*U528^2)+(('CAFCO 400 '!$D$26*(J528^2)+'CAFCO 400 '!$D$27*J528+'CAFCO 400 '!$D$28)*U528)+('CAFCO 400 '!$D$29*(J528^2)+'CAFCO 400 '!$D$30*J528+'CAFCO 400 '!$D$31)),0),0)+IF(AND(L528="Cafco 300",J528&gt;=95,J528&lt;=240,C528="Cj",I528=90),VLOOKUP(T528,'CAFCO 300 IDIEM TABLAS'!$B$4:$D$23,2,FALSE),0)+IF(AND(L528="Cafco 300",J528&gt;=95,J528&lt;=240,C528="Cj",I528=120),VLOOKUP(T528,'CAFCO 300 IDIEM TABLAS'!$B$4:$D$23,3,FALSE),0)+IF(AND(L528="Cafco 300",J528&gt;=95,J528&lt;=400,G528=3,C528="IN",I528=90),VLOOKUP(T528,'CAFCO 300 IDIEM TABLAS'!$F$4:$H$35,2,FALSE),0)+IF(AND(L528="Cafco 300",J528&gt;=95,J528&lt;=400,G528=3,C528="IN",I528=120),VLOOKUP(T528,'CAFCO 300 IDIEM TABLAS'!$F$4:$H$35,3,FALSE),0)+IF(AND(L528="Cafco 300",J528&gt;=95,J528&lt;=450,G528=4,C528="IN",I528=90),VLOOKUP(T528,'CAFCO 300 IDIEM TABLAS'!$J$4:$L$40,2,FALSE),0)+IF(AND(L528="Cafco 300",J528&gt;=95,J528&lt;=450,G528=4,C528="IN",I528=120),VLOOKUP(T528,'CAFCO 300 IDIEM TABLAS'!$J$4:$L$40,3,FALSE),0)+IF(AND(M528="Ensayo Idiem",L528="Cafco 400",C528="IN",G528=4,I528=90),VLOOKUP(T528,'CAFCO 400 ENSAYO'!$B$7:$D$43,2,FALSE),0)+IF(AND(M528="Ensayo Idiem",L528="Cafco 400",C528="IN",G528=4,I528=120),VLOOKUP(T528,'CAFCO 400 ENSAYO'!$B$7:$D$43,3,FALSE),0)</f>
        <v>0</v>
      </c>
      <c r="O528" s="96">
        <f t="shared" si="60"/>
        <v>0</v>
      </c>
      <c r="P528" s="95" t="str">
        <f t="shared" si="55"/>
        <v>N/A</v>
      </c>
      <c r="Q528" s="95" t="str">
        <f t="shared" si="56"/>
        <v>N/A</v>
      </c>
      <c r="R528" s="95" t="str">
        <f t="shared" si="57"/>
        <v>NO CERT.</v>
      </c>
      <c r="S528" s="95" t="e">
        <f t="shared" si="58"/>
        <v>#N/A</v>
      </c>
      <c r="T528" s="119" t="e">
        <f>+IF(J528=LOOKUP(J528,'CAFCO 300 IDIEM TABLAS'!$J$4:$J$40),'CALCULO MORTERO'!J528,MROUND('CALCULO MORTERO'!J528,10))</f>
        <v>#N/A</v>
      </c>
      <c r="U528" s="118">
        <f t="shared" si="59"/>
        <v>0</v>
      </c>
      <c r="Y528" s="4"/>
      <c r="Z528" s="4"/>
      <c r="AA528" s="4"/>
    </row>
    <row r="529" spans="1:27" x14ac:dyDescent="0.25">
      <c r="A529" s="118">
        <f>+CUBICACION!D523</f>
        <v>0</v>
      </c>
      <c r="B529" s="819">
        <f>+CUBICACION!E523</f>
        <v>0</v>
      </c>
      <c r="C529" s="675">
        <f>+CUBICACION!F523</f>
        <v>0</v>
      </c>
      <c r="D529" s="118"/>
      <c r="E529" s="118"/>
      <c r="F529" s="820"/>
      <c r="G529" s="675">
        <f>+CUBICACION!J523</f>
        <v>0</v>
      </c>
      <c r="H529" s="118"/>
      <c r="I529" s="821">
        <f>+CUBICACION!L523</f>
        <v>0</v>
      </c>
      <c r="J529" s="64">
        <f>+CUBICACION!M523</f>
        <v>0</v>
      </c>
      <c r="K529" s="822" t="str">
        <f>+CUBICACION!N523</f>
        <v/>
      </c>
      <c r="L529" s="118">
        <f>+CUBICACION!O523</f>
        <v>0</v>
      </c>
      <c r="M529" s="823">
        <f>+CUBICACION!P523</f>
        <v>0</v>
      </c>
      <c r="N529" s="902">
        <f>ROUND(IF(AND(L529="Blaze Shield II",M529="Software Idiem",C529="IN",G529=4),((('BLAZE SHIELD II'!$D$4*('CALCULO MORTERO'!I529^2)+'BLAZE SHIELD II'!$D$5*'CALCULO MORTERO'!I529+'BLAZE SHIELD II'!$D$6)*LN(J529))+('BLAZE SHIELD II'!$D$7*('CALCULO MORTERO'!I529^2)+'BLAZE SHIELD II'!$D$8*'CALCULO MORTERO'!I529+'BLAZE SHIELD II'!$D$9)),0)+IF(AND(L529="Blaze Shield II",M529="Software Idiem",C529="Cj"),((('BLAZE SHIELD II'!$H$4*('CALCULO MORTERO'!I529^2)+'BLAZE SHIELD II'!$H$5*'CALCULO MORTERO'!I529+'BLAZE SHIELD II'!$H$6)*LN(J529))+('BLAZE SHIELD II'!$H$7*('CALCULO MORTERO'!I529^2)+'BLAZE SHIELD II'!$H$8*'CALCULO MORTERO'!I529+'BLAZE SHIELD II'!$H$9)),0)+IF(AND(L529="Blaze Shield II",M529="Software Idiem",C529="C"),((('BLAZE SHIELD II'!$L$4*('CALCULO MORTERO'!I529^2)+'BLAZE SHIELD II'!$L$5*'CALCULO MORTERO'!I529+'BLAZE SHIELD II'!$L$6)*LN(J529))+('BLAZE SHIELD II'!$L$7*('CALCULO MORTERO'!I529^2)+'BLAZE SHIELD II'!$L$8*'CALCULO MORTERO'!I529+'BLAZE SHIELD II'!$L$9)),0)+IF(AND(L529="Blaze Shield II",M529="Software Idiem",C529="L"),((('BLAZE SHIELD II'!$L$4*('CALCULO MORTERO'!I529^2)+'BLAZE SHIELD II'!$L$5*'CALCULO MORTERO'!I529+'BLAZE SHIELD II'!$L$6)*LN(J529))+('BLAZE SHIELD II'!$L$7*('CALCULO MORTERO'!I529^2)+'BLAZE SHIELD II'!$L$8*'CALCULO MORTERO'!I529+'BLAZE SHIELD II'!$L$9)),0)+IF(AND(L529="Blaze Shield II",M529="Software Idiem",C529="IN",G529=3),((('BLAZE SHIELD II'!$H$14*('CALCULO MORTERO'!I529^2)+'BLAZE SHIELD II'!$H$15*'CALCULO MORTERO'!I529+'BLAZE SHIELD II'!$H$16)*LN(J529))+('BLAZE SHIELD II'!$H$17*('CALCULO MORTERO'!I529^2)+'BLAZE SHIELD II'!$H$18*'CALCULO MORTERO'!I529+'BLAZE SHIELD II'!$H$19)),0),0)+ROUND(IF(AND(L529="Cafco 400",M529="Software Idiem",C529="IN",G529=4),((('CAFCO 400 '!$H$7*(J529^4)+'CAFCO 400 '!$H$8*(J529^3)+'CAFCO 400 '!$H$9*(J529^2)+'CAFCO 400 '!$H$10*J529+'CAFCO 400 '!$H$11)*U529^2)+(('CAFCO 400 '!$H$12*(J529^3)+'CAFCO 400 '!$H$13*(J529^2)+'CAFCO 400 '!$H$14*J529+'CAFCO 400 '!$H$15)*U529)+('CAFCO 400 '!$H$16*(J529^2)+'CAFCO 400 '!$H$17*J529+'CAFCO 400 '!$H$18)),0)+IF(AND(L529="Cafco 400",M529="Software Idiem",C529="Cj"),(((('CAFCO 400 '!$D$7*LN(J529)+'CAFCO 400 '!$D$8)*U529^2)+(('CAFCO 400 '!$D$9*LN(J529)+'CAFCO 400 '!$D$10)*U529)+('CAFCO 400 '!$D$11*LN(J529)+'CAFCO 400 '!$D$12))),0)+IF(AND(L529="Cafco 400",M529="Software Idiem",C529="C"),((('CAFCO 400 '!$L$7*(J529^3)+'CAFCO 400 '!$L$8*(J529^2)+'CAFCO 400 '!$L$9*J529+'CAFCO 400 '!$L$10)*U529^2)+(('CAFCO 400 '!$L$11*(J529^3)+'CAFCO 400 '!$L$12*(J529^2)+'CAFCO 400 '!$L$13*J529+'CAFCO 400 '!$L$14)*U529)+('CAFCO 400 '!$L$15*LN(J529)+'CAFCO 400 '!$L$16)),0)+IF(AND(L529="Cafco 400",M529="Software Idiem",C529="L"),((('CAFCO 400 '!$L$7*(J529^3)+'CAFCO 400 '!$L$8*(J529^2)+'CAFCO 400 '!$L$9*J529+'CAFCO 400 '!$L$10)*U529^2)+(('CAFCO 400 '!$L$11*(J529^3)+'CAFCO 400 '!$L$12*(J529^2)+'CAFCO 400 '!$L$13*J529+'CAFCO 400 '!$L$14)*U529)+('CAFCO 400 '!$L$15*LN(J529)+'CAFCO 400 '!$L$16)),0)+IF(AND(L529="Cafco 400",M529="Software Idiem",C529="IN",G529=3),((('CAFCO 400 '!$D$23*(J529^2)+'CAFCO 400 '!$D$24*(J529)+'CAFCO 400 '!$D$25)*U529^2)+(('CAFCO 400 '!$D$26*(J529^2)+'CAFCO 400 '!$D$27*J529+'CAFCO 400 '!$D$28)*U529)+('CAFCO 400 '!$D$29*(J529^2)+'CAFCO 400 '!$D$30*J529+'CAFCO 400 '!$D$31)),0),0)+IF(AND(L529="Cafco 300",J529&gt;=95,J529&lt;=240,C529="Cj",I529=90),VLOOKUP(T529,'CAFCO 300 IDIEM TABLAS'!$B$4:$D$23,2,FALSE),0)+IF(AND(L529="Cafco 300",J529&gt;=95,J529&lt;=240,C529="Cj",I529=120),VLOOKUP(T529,'CAFCO 300 IDIEM TABLAS'!$B$4:$D$23,3,FALSE),0)+IF(AND(L529="Cafco 300",J529&gt;=95,J529&lt;=400,G529=3,C529="IN",I529=90),VLOOKUP(T529,'CAFCO 300 IDIEM TABLAS'!$F$4:$H$35,2,FALSE),0)+IF(AND(L529="Cafco 300",J529&gt;=95,J529&lt;=400,G529=3,C529="IN",I529=120),VLOOKUP(T529,'CAFCO 300 IDIEM TABLAS'!$F$4:$H$35,3,FALSE),0)+IF(AND(L529="Cafco 300",J529&gt;=95,J529&lt;=450,G529=4,C529="IN",I529=90),VLOOKUP(T529,'CAFCO 300 IDIEM TABLAS'!$J$4:$L$40,2,FALSE),0)+IF(AND(L529="Cafco 300",J529&gt;=95,J529&lt;=450,G529=4,C529="IN",I529=120),VLOOKUP(T529,'CAFCO 300 IDIEM TABLAS'!$J$4:$L$40,3,FALSE),0)+IF(AND(M529="Ensayo Idiem",L529="Cafco 400",C529="IN",G529=4,I529=90),VLOOKUP(T529,'CAFCO 400 ENSAYO'!$B$7:$D$43,2,FALSE),0)+IF(AND(M529="Ensayo Idiem",L529="Cafco 400",C529="IN",G529=4,I529=120),VLOOKUP(T529,'CAFCO 400 ENSAYO'!$B$7:$D$43,3,FALSE),0)</f>
        <v>0</v>
      </c>
      <c r="O529" s="96">
        <f t="shared" si="60"/>
        <v>0</v>
      </c>
      <c r="P529" s="132" t="str">
        <f t="shared" si="55"/>
        <v>N/A</v>
      </c>
      <c r="Q529" s="132" t="str">
        <f t="shared" si="56"/>
        <v>N/A</v>
      </c>
      <c r="R529" s="132" t="str">
        <f t="shared" si="57"/>
        <v>NO CERT.</v>
      </c>
      <c r="S529" s="132" t="e">
        <f t="shared" si="58"/>
        <v>#N/A</v>
      </c>
      <c r="T529" s="133" t="e">
        <f>+IF(J529=LOOKUP(J529,'CAFCO 300 IDIEM TABLAS'!$J$4:$J$40),'CALCULO MORTERO'!J529,MROUND('CALCULO MORTERO'!J529,10))</f>
        <v>#N/A</v>
      </c>
      <c r="U529" s="134">
        <f t="shared" si="59"/>
        <v>0</v>
      </c>
      <c r="Y529" s="4"/>
      <c r="Z529" s="4"/>
      <c r="AA529" s="4"/>
    </row>
    <row r="530" spans="1:27" x14ac:dyDescent="0.25">
      <c r="A530" s="118">
        <f>+CUBICACION!D524</f>
        <v>0</v>
      </c>
      <c r="B530" s="819">
        <f>+CUBICACION!E524</f>
        <v>0</v>
      </c>
      <c r="C530" s="675">
        <f>+CUBICACION!F524</f>
        <v>0</v>
      </c>
      <c r="D530" s="118"/>
      <c r="E530" s="118"/>
      <c r="F530" s="820"/>
      <c r="G530" s="675">
        <f>+CUBICACION!J524</f>
        <v>0</v>
      </c>
      <c r="H530" s="118"/>
      <c r="I530" s="821">
        <f>+CUBICACION!L524</f>
        <v>0</v>
      </c>
      <c r="J530" s="64">
        <f>+CUBICACION!M524</f>
        <v>0</v>
      </c>
      <c r="K530" s="822" t="str">
        <f>+CUBICACION!N524</f>
        <v/>
      </c>
      <c r="L530" s="118">
        <f>+CUBICACION!O524</f>
        <v>0</v>
      </c>
      <c r="M530" s="823">
        <f>+CUBICACION!P524</f>
        <v>0</v>
      </c>
      <c r="N530" s="902">
        <f>ROUND(IF(AND(L530="Blaze Shield II",M530="Software Idiem",C530="IN",G530=4),((('BLAZE SHIELD II'!$D$4*('CALCULO MORTERO'!I530^2)+'BLAZE SHIELD II'!$D$5*'CALCULO MORTERO'!I530+'BLAZE SHIELD II'!$D$6)*LN(J530))+('BLAZE SHIELD II'!$D$7*('CALCULO MORTERO'!I530^2)+'BLAZE SHIELD II'!$D$8*'CALCULO MORTERO'!I530+'BLAZE SHIELD II'!$D$9)),0)+IF(AND(L530="Blaze Shield II",M530="Software Idiem",C530="Cj"),((('BLAZE SHIELD II'!$H$4*('CALCULO MORTERO'!I530^2)+'BLAZE SHIELD II'!$H$5*'CALCULO MORTERO'!I530+'BLAZE SHIELD II'!$H$6)*LN(J530))+('BLAZE SHIELD II'!$H$7*('CALCULO MORTERO'!I530^2)+'BLAZE SHIELD II'!$H$8*'CALCULO MORTERO'!I530+'BLAZE SHIELD II'!$H$9)),0)+IF(AND(L530="Blaze Shield II",M530="Software Idiem",C530="C"),((('BLAZE SHIELD II'!$L$4*('CALCULO MORTERO'!I530^2)+'BLAZE SHIELD II'!$L$5*'CALCULO MORTERO'!I530+'BLAZE SHIELD II'!$L$6)*LN(J530))+('BLAZE SHIELD II'!$L$7*('CALCULO MORTERO'!I530^2)+'BLAZE SHIELD II'!$L$8*'CALCULO MORTERO'!I530+'BLAZE SHIELD II'!$L$9)),0)+IF(AND(L530="Blaze Shield II",M530="Software Idiem",C530="L"),((('BLAZE SHIELD II'!$L$4*('CALCULO MORTERO'!I530^2)+'BLAZE SHIELD II'!$L$5*'CALCULO MORTERO'!I530+'BLAZE SHIELD II'!$L$6)*LN(J530))+('BLAZE SHIELD II'!$L$7*('CALCULO MORTERO'!I530^2)+'BLAZE SHIELD II'!$L$8*'CALCULO MORTERO'!I530+'BLAZE SHIELD II'!$L$9)),0)+IF(AND(L530="Blaze Shield II",M530="Software Idiem",C530="IN",G530=3),((('BLAZE SHIELD II'!$H$14*('CALCULO MORTERO'!I530^2)+'BLAZE SHIELD II'!$H$15*'CALCULO MORTERO'!I530+'BLAZE SHIELD II'!$H$16)*LN(J530))+('BLAZE SHIELD II'!$H$17*('CALCULO MORTERO'!I530^2)+'BLAZE SHIELD II'!$H$18*'CALCULO MORTERO'!I530+'BLAZE SHIELD II'!$H$19)),0),0)+ROUND(IF(AND(L530="Cafco 400",M530="Software Idiem",C530="IN",G530=4),((('CAFCO 400 '!$H$7*(J530^4)+'CAFCO 400 '!$H$8*(J530^3)+'CAFCO 400 '!$H$9*(J530^2)+'CAFCO 400 '!$H$10*J530+'CAFCO 400 '!$H$11)*U530^2)+(('CAFCO 400 '!$H$12*(J530^3)+'CAFCO 400 '!$H$13*(J530^2)+'CAFCO 400 '!$H$14*J530+'CAFCO 400 '!$H$15)*U530)+('CAFCO 400 '!$H$16*(J530^2)+'CAFCO 400 '!$H$17*J530+'CAFCO 400 '!$H$18)),0)+IF(AND(L530="Cafco 400",M530="Software Idiem",C530="Cj"),(((('CAFCO 400 '!$D$7*LN(J530)+'CAFCO 400 '!$D$8)*U530^2)+(('CAFCO 400 '!$D$9*LN(J530)+'CAFCO 400 '!$D$10)*U530)+('CAFCO 400 '!$D$11*LN(J530)+'CAFCO 400 '!$D$12))),0)+IF(AND(L530="Cafco 400",M530="Software Idiem",C530="C"),((('CAFCO 400 '!$L$7*(J530^3)+'CAFCO 400 '!$L$8*(J530^2)+'CAFCO 400 '!$L$9*J530+'CAFCO 400 '!$L$10)*U530^2)+(('CAFCO 400 '!$L$11*(J530^3)+'CAFCO 400 '!$L$12*(J530^2)+'CAFCO 400 '!$L$13*J530+'CAFCO 400 '!$L$14)*U530)+('CAFCO 400 '!$L$15*LN(J530)+'CAFCO 400 '!$L$16)),0)+IF(AND(L530="Cafco 400",M530="Software Idiem",C530="L"),((('CAFCO 400 '!$L$7*(J530^3)+'CAFCO 400 '!$L$8*(J530^2)+'CAFCO 400 '!$L$9*J530+'CAFCO 400 '!$L$10)*U530^2)+(('CAFCO 400 '!$L$11*(J530^3)+'CAFCO 400 '!$L$12*(J530^2)+'CAFCO 400 '!$L$13*J530+'CAFCO 400 '!$L$14)*U530)+('CAFCO 400 '!$L$15*LN(J530)+'CAFCO 400 '!$L$16)),0)+IF(AND(L530="Cafco 400",M530="Software Idiem",C530="IN",G530=3),((('CAFCO 400 '!$D$23*(J530^2)+'CAFCO 400 '!$D$24*(J530)+'CAFCO 400 '!$D$25)*U530^2)+(('CAFCO 400 '!$D$26*(J530^2)+'CAFCO 400 '!$D$27*J530+'CAFCO 400 '!$D$28)*U530)+('CAFCO 400 '!$D$29*(J530^2)+'CAFCO 400 '!$D$30*J530+'CAFCO 400 '!$D$31)),0),0)+IF(AND(L530="Cafco 300",J530&gt;=95,J530&lt;=240,C530="Cj",I530=90),VLOOKUP(T530,'CAFCO 300 IDIEM TABLAS'!$B$4:$D$23,2,FALSE),0)+IF(AND(L530="Cafco 300",J530&gt;=95,J530&lt;=240,C530="Cj",I530=120),VLOOKUP(T530,'CAFCO 300 IDIEM TABLAS'!$B$4:$D$23,3,FALSE),0)+IF(AND(L530="Cafco 300",J530&gt;=95,J530&lt;=400,G530=3,C530="IN",I530=90),VLOOKUP(T530,'CAFCO 300 IDIEM TABLAS'!$F$4:$H$35,2,FALSE),0)+IF(AND(L530="Cafco 300",J530&gt;=95,J530&lt;=400,G530=3,C530="IN",I530=120),VLOOKUP(T530,'CAFCO 300 IDIEM TABLAS'!$F$4:$H$35,3,FALSE),0)+IF(AND(L530="Cafco 300",J530&gt;=95,J530&lt;=450,G530=4,C530="IN",I530=90),VLOOKUP(T530,'CAFCO 300 IDIEM TABLAS'!$J$4:$L$40,2,FALSE),0)+IF(AND(L530="Cafco 300",J530&gt;=95,J530&lt;=450,G530=4,C530="IN",I530=120),VLOOKUP(T530,'CAFCO 300 IDIEM TABLAS'!$J$4:$L$40,3,FALSE),0)+IF(AND(M530="Ensayo Idiem",L530="Cafco 400",C530="IN",G530=4,I530=90),VLOOKUP(T530,'CAFCO 400 ENSAYO'!$B$7:$D$43,2,FALSE),0)+IF(AND(M530="Ensayo Idiem",L530="Cafco 400",C530="IN",G530=4,I530=120),VLOOKUP(T530,'CAFCO 400 ENSAYO'!$B$7:$D$43,3,FALSE),0)</f>
        <v>0</v>
      </c>
      <c r="O530" s="96">
        <f t="shared" si="60"/>
        <v>0</v>
      </c>
      <c r="P530" s="95" t="str">
        <f t="shared" si="55"/>
        <v>N/A</v>
      </c>
      <c r="Q530" s="95" t="str">
        <f t="shared" si="56"/>
        <v>N/A</v>
      </c>
      <c r="R530" s="95" t="str">
        <f t="shared" si="57"/>
        <v>NO CERT.</v>
      </c>
      <c r="S530" s="95" t="e">
        <f t="shared" si="58"/>
        <v>#N/A</v>
      </c>
      <c r="T530" s="119" t="e">
        <f>+IF(J530=LOOKUP(J530,'CAFCO 300 IDIEM TABLAS'!$J$4:$J$40),'CALCULO MORTERO'!J530,MROUND('CALCULO MORTERO'!J530,10))</f>
        <v>#N/A</v>
      </c>
      <c r="U530" s="118">
        <f t="shared" si="59"/>
        <v>0</v>
      </c>
      <c r="Y530" s="4"/>
      <c r="Z530" s="4"/>
      <c r="AA530" s="4"/>
    </row>
    <row r="531" spans="1:27" x14ac:dyDescent="0.25">
      <c r="A531" s="118">
        <f>+CUBICACION!D525</f>
        <v>0</v>
      </c>
      <c r="B531" s="819">
        <f>+CUBICACION!E525</f>
        <v>0</v>
      </c>
      <c r="C531" s="675">
        <f>+CUBICACION!F525</f>
        <v>0</v>
      </c>
      <c r="D531" s="118"/>
      <c r="E531" s="118"/>
      <c r="F531" s="820"/>
      <c r="G531" s="675">
        <f>+CUBICACION!J525</f>
        <v>0</v>
      </c>
      <c r="H531" s="118"/>
      <c r="I531" s="821">
        <f>+CUBICACION!L525</f>
        <v>0</v>
      </c>
      <c r="J531" s="64">
        <f>+CUBICACION!M525</f>
        <v>0</v>
      </c>
      <c r="K531" s="822" t="str">
        <f>+CUBICACION!N525</f>
        <v/>
      </c>
      <c r="L531" s="118">
        <f>+CUBICACION!O525</f>
        <v>0</v>
      </c>
      <c r="M531" s="823">
        <f>+CUBICACION!P525</f>
        <v>0</v>
      </c>
      <c r="N531" s="902">
        <f>ROUND(IF(AND(L531="Blaze Shield II",M531="Software Idiem",C531="IN",G531=4),((('BLAZE SHIELD II'!$D$4*('CALCULO MORTERO'!I531^2)+'BLAZE SHIELD II'!$D$5*'CALCULO MORTERO'!I531+'BLAZE SHIELD II'!$D$6)*LN(J531))+('BLAZE SHIELD II'!$D$7*('CALCULO MORTERO'!I531^2)+'BLAZE SHIELD II'!$D$8*'CALCULO MORTERO'!I531+'BLAZE SHIELD II'!$D$9)),0)+IF(AND(L531="Blaze Shield II",M531="Software Idiem",C531="Cj"),((('BLAZE SHIELD II'!$H$4*('CALCULO MORTERO'!I531^2)+'BLAZE SHIELD II'!$H$5*'CALCULO MORTERO'!I531+'BLAZE SHIELD II'!$H$6)*LN(J531))+('BLAZE SHIELD II'!$H$7*('CALCULO MORTERO'!I531^2)+'BLAZE SHIELD II'!$H$8*'CALCULO MORTERO'!I531+'BLAZE SHIELD II'!$H$9)),0)+IF(AND(L531="Blaze Shield II",M531="Software Idiem",C531="C"),((('BLAZE SHIELD II'!$L$4*('CALCULO MORTERO'!I531^2)+'BLAZE SHIELD II'!$L$5*'CALCULO MORTERO'!I531+'BLAZE SHIELD II'!$L$6)*LN(J531))+('BLAZE SHIELD II'!$L$7*('CALCULO MORTERO'!I531^2)+'BLAZE SHIELD II'!$L$8*'CALCULO MORTERO'!I531+'BLAZE SHIELD II'!$L$9)),0)+IF(AND(L531="Blaze Shield II",M531="Software Idiem",C531="L"),((('BLAZE SHIELD II'!$L$4*('CALCULO MORTERO'!I531^2)+'BLAZE SHIELD II'!$L$5*'CALCULO MORTERO'!I531+'BLAZE SHIELD II'!$L$6)*LN(J531))+('BLAZE SHIELD II'!$L$7*('CALCULO MORTERO'!I531^2)+'BLAZE SHIELD II'!$L$8*'CALCULO MORTERO'!I531+'BLAZE SHIELD II'!$L$9)),0)+IF(AND(L531="Blaze Shield II",M531="Software Idiem",C531="IN",G531=3),((('BLAZE SHIELD II'!$H$14*('CALCULO MORTERO'!I531^2)+'BLAZE SHIELD II'!$H$15*'CALCULO MORTERO'!I531+'BLAZE SHIELD II'!$H$16)*LN(J531))+('BLAZE SHIELD II'!$H$17*('CALCULO MORTERO'!I531^2)+'BLAZE SHIELD II'!$H$18*'CALCULO MORTERO'!I531+'BLAZE SHIELD II'!$H$19)),0),0)+ROUND(IF(AND(L531="Cafco 400",M531="Software Idiem",C531="IN",G531=4),((('CAFCO 400 '!$H$7*(J531^4)+'CAFCO 400 '!$H$8*(J531^3)+'CAFCO 400 '!$H$9*(J531^2)+'CAFCO 400 '!$H$10*J531+'CAFCO 400 '!$H$11)*U531^2)+(('CAFCO 400 '!$H$12*(J531^3)+'CAFCO 400 '!$H$13*(J531^2)+'CAFCO 400 '!$H$14*J531+'CAFCO 400 '!$H$15)*U531)+('CAFCO 400 '!$H$16*(J531^2)+'CAFCO 400 '!$H$17*J531+'CAFCO 400 '!$H$18)),0)+IF(AND(L531="Cafco 400",M531="Software Idiem",C531="Cj"),(((('CAFCO 400 '!$D$7*LN(J531)+'CAFCO 400 '!$D$8)*U531^2)+(('CAFCO 400 '!$D$9*LN(J531)+'CAFCO 400 '!$D$10)*U531)+('CAFCO 400 '!$D$11*LN(J531)+'CAFCO 400 '!$D$12))),0)+IF(AND(L531="Cafco 400",M531="Software Idiem",C531="C"),((('CAFCO 400 '!$L$7*(J531^3)+'CAFCO 400 '!$L$8*(J531^2)+'CAFCO 400 '!$L$9*J531+'CAFCO 400 '!$L$10)*U531^2)+(('CAFCO 400 '!$L$11*(J531^3)+'CAFCO 400 '!$L$12*(J531^2)+'CAFCO 400 '!$L$13*J531+'CAFCO 400 '!$L$14)*U531)+('CAFCO 400 '!$L$15*LN(J531)+'CAFCO 400 '!$L$16)),0)+IF(AND(L531="Cafco 400",M531="Software Idiem",C531="L"),((('CAFCO 400 '!$L$7*(J531^3)+'CAFCO 400 '!$L$8*(J531^2)+'CAFCO 400 '!$L$9*J531+'CAFCO 400 '!$L$10)*U531^2)+(('CAFCO 400 '!$L$11*(J531^3)+'CAFCO 400 '!$L$12*(J531^2)+'CAFCO 400 '!$L$13*J531+'CAFCO 400 '!$L$14)*U531)+('CAFCO 400 '!$L$15*LN(J531)+'CAFCO 400 '!$L$16)),0)+IF(AND(L531="Cafco 400",M531="Software Idiem",C531="IN",G531=3),((('CAFCO 400 '!$D$23*(J531^2)+'CAFCO 400 '!$D$24*(J531)+'CAFCO 400 '!$D$25)*U531^2)+(('CAFCO 400 '!$D$26*(J531^2)+'CAFCO 400 '!$D$27*J531+'CAFCO 400 '!$D$28)*U531)+('CAFCO 400 '!$D$29*(J531^2)+'CAFCO 400 '!$D$30*J531+'CAFCO 400 '!$D$31)),0),0)+IF(AND(L531="Cafco 300",J531&gt;=95,J531&lt;=240,C531="Cj",I531=90),VLOOKUP(T531,'CAFCO 300 IDIEM TABLAS'!$B$4:$D$23,2,FALSE),0)+IF(AND(L531="Cafco 300",J531&gt;=95,J531&lt;=240,C531="Cj",I531=120),VLOOKUP(T531,'CAFCO 300 IDIEM TABLAS'!$B$4:$D$23,3,FALSE),0)+IF(AND(L531="Cafco 300",J531&gt;=95,J531&lt;=400,G531=3,C531="IN",I531=90),VLOOKUP(T531,'CAFCO 300 IDIEM TABLAS'!$F$4:$H$35,2,FALSE),0)+IF(AND(L531="Cafco 300",J531&gt;=95,J531&lt;=400,G531=3,C531="IN",I531=120),VLOOKUP(T531,'CAFCO 300 IDIEM TABLAS'!$F$4:$H$35,3,FALSE),0)+IF(AND(L531="Cafco 300",J531&gt;=95,J531&lt;=450,G531=4,C531="IN",I531=90),VLOOKUP(T531,'CAFCO 300 IDIEM TABLAS'!$J$4:$L$40,2,FALSE),0)+IF(AND(L531="Cafco 300",J531&gt;=95,J531&lt;=450,G531=4,C531="IN",I531=120),VLOOKUP(T531,'CAFCO 300 IDIEM TABLAS'!$J$4:$L$40,3,FALSE),0)+IF(AND(M531="Ensayo Idiem",L531="Cafco 400",C531="IN",G531=4,I531=90),VLOOKUP(T531,'CAFCO 400 ENSAYO'!$B$7:$D$43,2,FALSE),0)+IF(AND(M531="Ensayo Idiem",L531="Cafco 400",C531="IN",G531=4,I531=120),VLOOKUP(T531,'CAFCO 400 ENSAYO'!$B$7:$D$43,3,FALSE),0)</f>
        <v>0</v>
      </c>
      <c r="O531" s="96">
        <f t="shared" si="60"/>
        <v>0</v>
      </c>
      <c r="P531" s="132" t="str">
        <f t="shared" si="55"/>
        <v>N/A</v>
      </c>
      <c r="Q531" s="132" t="str">
        <f t="shared" si="56"/>
        <v>N/A</v>
      </c>
      <c r="R531" s="132" t="str">
        <f t="shared" si="57"/>
        <v>NO CERT.</v>
      </c>
      <c r="S531" s="132" t="e">
        <f t="shared" si="58"/>
        <v>#N/A</v>
      </c>
      <c r="T531" s="133" t="e">
        <f>+IF(J531=LOOKUP(J531,'CAFCO 300 IDIEM TABLAS'!$J$4:$J$40),'CALCULO MORTERO'!J531,MROUND('CALCULO MORTERO'!J531,10))</f>
        <v>#N/A</v>
      </c>
      <c r="U531" s="134">
        <f t="shared" si="59"/>
        <v>0</v>
      </c>
      <c r="Y531" s="4"/>
      <c r="Z531" s="4"/>
      <c r="AA531" s="4"/>
    </row>
    <row r="532" spans="1:27" x14ac:dyDescent="0.25">
      <c r="A532" s="118">
        <f>+CUBICACION!D526</f>
        <v>0</v>
      </c>
      <c r="B532" s="819">
        <f>+CUBICACION!E526</f>
        <v>0</v>
      </c>
      <c r="C532" s="675">
        <f>+CUBICACION!F526</f>
        <v>0</v>
      </c>
      <c r="D532" s="118"/>
      <c r="E532" s="118"/>
      <c r="F532" s="820"/>
      <c r="G532" s="675">
        <f>+CUBICACION!J526</f>
        <v>0</v>
      </c>
      <c r="H532" s="118"/>
      <c r="I532" s="821">
        <f>+CUBICACION!L526</f>
        <v>0</v>
      </c>
      <c r="J532" s="64">
        <f>+CUBICACION!M526</f>
        <v>0</v>
      </c>
      <c r="K532" s="822" t="str">
        <f>+CUBICACION!N526</f>
        <v/>
      </c>
      <c r="L532" s="118">
        <f>+CUBICACION!O526</f>
        <v>0</v>
      </c>
      <c r="M532" s="823">
        <f>+CUBICACION!P526</f>
        <v>0</v>
      </c>
      <c r="N532" s="902">
        <f>ROUND(IF(AND(L532="Blaze Shield II",M532="Software Idiem",C532="IN",G532=4),((('BLAZE SHIELD II'!$D$4*('CALCULO MORTERO'!I532^2)+'BLAZE SHIELD II'!$D$5*'CALCULO MORTERO'!I532+'BLAZE SHIELD II'!$D$6)*LN(J532))+('BLAZE SHIELD II'!$D$7*('CALCULO MORTERO'!I532^2)+'BLAZE SHIELD II'!$D$8*'CALCULO MORTERO'!I532+'BLAZE SHIELD II'!$D$9)),0)+IF(AND(L532="Blaze Shield II",M532="Software Idiem",C532="Cj"),((('BLAZE SHIELD II'!$H$4*('CALCULO MORTERO'!I532^2)+'BLAZE SHIELD II'!$H$5*'CALCULO MORTERO'!I532+'BLAZE SHIELD II'!$H$6)*LN(J532))+('BLAZE SHIELD II'!$H$7*('CALCULO MORTERO'!I532^2)+'BLAZE SHIELD II'!$H$8*'CALCULO MORTERO'!I532+'BLAZE SHIELD II'!$H$9)),0)+IF(AND(L532="Blaze Shield II",M532="Software Idiem",C532="C"),((('BLAZE SHIELD II'!$L$4*('CALCULO MORTERO'!I532^2)+'BLAZE SHIELD II'!$L$5*'CALCULO MORTERO'!I532+'BLAZE SHIELD II'!$L$6)*LN(J532))+('BLAZE SHIELD II'!$L$7*('CALCULO MORTERO'!I532^2)+'BLAZE SHIELD II'!$L$8*'CALCULO MORTERO'!I532+'BLAZE SHIELD II'!$L$9)),0)+IF(AND(L532="Blaze Shield II",M532="Software Idiem",C532="L"),((('BLAZE SHIELD II'!$L$4*('CALCULO MORTERO'!I532^2)+'BLAZE SHIELD II'!$L$5*'CALCULO MORTERO'!I532+'BLAZE SHIELD II'!$L$6)*LN(J532))+('BLAZE SHIELD II'!$L$7*('CALCULO MORTERO'!I532^2)+'BLAZE SHIELD II'!$L$8*'CALCULO MORTERO'!I532+'BLAZE SHIELD II'!$L$9)),0)+IF(AND(L532="Blaze Shield II",M532="Software Idiem",C532="IN",G532=3),((('BLAZE SHIELD II'!$H$14*('CALCULO MORTERO'!I532^2)+'BLAZE SHIELD II'!$H$15*'CALCULO MORTERO'!I532+'BLAZE SHIELD II'!$H$16)*LN(J532))+('BLAZE SHIELD II'!$H$17*('CALCULO MORTERO'!I532^2)+'BLAZE SHIELD II'!$H$18*'CALCULO MORTERO'!I532+'BLAZE SHIELD II'!$H$19)),0),0)+ROUND(IF(AND(L532="Cafco 400",M532="Software Idiem",C532="IN",G532=4),((('CAFCO 400 '!$H$7*(J532^4)+'CAFCO 400 '!$H$8*(J532^3)+'CAFCO 400 '!$H$9*(J532^2)+'CAFCO 400 '!$H$10*J532+'CAFCO 400 '!$H$11)*U532^2)+(('CAFCO 400 '!$H$12*(J532^3)+'CAFCO 400 '!$H$13*(J532^2)+'CAFCO 400 '!$H$14*J532+'CAFCO 400 '!$H$15)*U532)+('CAFCO 400 '!$H$16*(J532^2)+'CAFCO 400 '!$H$17*J532+'CAFCO 400 '!$H$18)),0)+IF(AND(L532="Cafco 400",M532="Software Idiem",C532="Cj"),(((('CAFCO 400 '!$D$7*LN(J532)+'CAFCO 400 '!$D$8)*U532^2)+(('CAFCO 400 '!$D$9*LN(J532)+'CAFCO 400 '!$D$10)*U532)+('CAFCO 400 '!$D$11*LN(J532)+'CAFCO 400 '!$D$12))),0)+IF(AND(L532="Cafco 400",M532="Software Idiem",C532="C"),((('CAFCO 400 '!$L$7*(J532^3)+'CAFCO 400 '!$L$8*(J532^2)+'CAFCO 400 '!$L$9*J532+'CAFCO 400 '!$L$10)*U532^2)+(('CAFCO 400 '!$L$11*(J532^3)+'CAFCO 400 '!$L$12*(J532^2)+'CAFCO 400 '!$L$13*J532+'CAFCO 400 '!$L$14)*U532)+('CAFCO 400 '!$L$15*LN(J532)+'CAFCO 400 '!$L$16)),0)+IF(AND(L532="Cafco 400",M532="Software Idiem",C532="L"),((('CAFCO 400 '!$L$7*(J532^3)+'CAFCO 400 '!$L$8*(J532^2)+'CAFCO 400 '!$L$9*J532+'CAFCO 400 '!$L$10)*U532^2)+(('CAFCO 400 '!$L$11*(J532^3)+'CAFCO 400 '!$L$12*(J532^2)+'CAFCO 400 '!$L$13*J532+'CAFCO 400 '!$L$14)*U532)+('CAFCO 400 '!$L$15*LN(J532)+'CAFCO 400 '!$L$16)),0)+IF(AND(L532="Cafco 400",M532="Software Idiem",C532="IN",G532=3),((('CAFCO 400 '!$D$23*(J532^2)+'CAFCO 400 '!$D$24*(J532)+'CAFCO 400 '!$D$25)*U532^2)+(('CAFCO 400 '!$D$26*(J532^2)+'CAFCO 400 '!$D$27*J532+'CAFCO 400 '!$D$28)*U532)+('CAFCO 400 '!$D$29*(J532^2)+'CAFCO 400 '!$D$30*J532+'CAFCO 400 '!$D$31)),0),0)+IF(AND(L532="Cafco 300",J532&gt;=95,J532&lt;=240,C532="Cj",I532=90),VLOOKUP(T532,'CAFCO 300 IDIEM TABLAS'!$B$4:$D$23,2,FALSE),0)+IF(AND(L532="Cafco 300",J532&gt;=95,J532&lt;=240,C532="Cj",I532=120),VLOOKUP(T532,'CAFCO 300 IDIEM TABLAS'!$B$4:$D$23,3,FALSE),0)+IF(AND(L532="Cafco 300",J532&gt;=95,J532&lt;=400,G532=3,C532="IN",I532=90),VLOOKUP(T532,'CAFCO 300 IDIEM TABLAS'!$F$4:$H$35,2,FALSE),0)+IF(AND(L532="Cafco 300",J532&gt;=95,J532&lt;=400,G532=3,C532="IN",I532=120),VLOOKUP(T532,'CAFCO 300 IDIEM TABLAS'!$F$4:$H$35,3,FALSE),0)+IF(AND(L532="Cafco 300",J532&gt;=95,J532&lt;=450,G532=4,C532="IN",I532=90),VLOOKUP(T532,'CAFCO 300 IDIEM TABLAS'!$J$4:$L$40,2,FALSE),0)+IF(AND(L532="Cafco 300",J532&gt;=95,J532&lt;=450,G532=4,C532="IN",I532=120),VLOOKUP(T532,'CAFCO 300 IDIEM TABLAS'!$J$4:$L$40,3,FALSE),0)+IF(AND(M532="Ensayo Idiem",L532="Cafco 400",C532="IN",G532=4,I532=90),VLOOKUP(T532,'CAFCO 400 ENSAYO'!$B$7:$D$43,2,FALSE),0)+IF(AND(M532="Ensayo Idiem",L532="Cafco 400",C532="IN",G532=4,I532=120),VLOOKUP(T532,'CAFCO 400 ENSAYO'!$B$7:$D$43,3,FALSE),0)</f>
        <v>0</v>
      </c>
      <c r="O532" s="96">
        <f t="shared" si="60"/>
        <v>0</v>
      </c>
      <c r="P532" s="95" t="str">
        <f t="shared" si="55"/>
        <v>N/A</v>
      </c>
      <c r="Q532" s="95" t="str">
        <f t="shared" si="56"/>
        <v>N/A</v>
      </c>
      <c r="R532" s="95" t="str">
        <f t="shared" si="57"/>
        <v>NO CERT.</v>
      </c>
      <c r="S532" s="95" t="e">
        <f t="shared" si="58"/>
        <v>#N/A</v>
      </c>
      <c r="T532" s="119" t="e">
        <f>+IF(J532=LOOKUP(J532,'CAFCO 300 IDIEM TABLAS'!$J$4:$J$40),'CALCULO MORTERO'!J532,MROUND('CALCULO MORTERO'!J532,10))</f>
        <v>#N/A</v>
      </c>
      <c r="U532" s="118">
        <f t="shared" si="59"/>
        <v>0</v>
      </c>
      <c r="Y532" s="4"/>
      <c r="Z532" s="4"/>
      <c r="AA532" s="4"/>
    </row>
    <row r="533" spans="1:27" x14ac:dyDescent="0.25">
      <c r="A533" s="118">
        <f>+CUBICACION!D527</f>
        <v>0</v>
      </c>
      <c r="B533" s="819">
        <f>+CUBICACION!E527</f>
        <v>0</v>
      </c>
      <c r="C533" s="675">
        <f>+CUBICACION!F527</f>
        <v>0</v>
      </c>
      <c r="D533" s="118"/>
      <c r="E533" s="118"/>
      <c r="F533" s="820"/>
      <c r="G533" s="675">
        <f>+CUBICACION!J527</f>
        <v>0</v>
      </c>
      <c r="H533" s="118"/>
      <c r="I533" s="821">
        <f>+CUBICACION!L527</f>
        <v>0</v>
      </c>
      <c r="J533" s="64">
        <f>+CUBICACION!M527</f>
        <v>0</v>
      </c>
      <c r="K533" s="822" t="str">
        <f>+CUBICACION!N527</f>
        <v/>
      </c>
      <c r="L533" s="118">
        <f>+CUBICACION!O527</f>
        <v>0</v>
      </c>
      <c r="M533" s="823">
        <f>+CUBICACION!P527</f>
        <v>0</v>
      </c>
      <c r="N533" s="902">
        <f>ROUND(IF(AND(L533="Blaze Shield II",M533="Software Idiem",C533="IN",G533=4),((('BLAZE SHIELD II'!$D$4*('CALCULO MORTERO'!I533^2)+'BLAZE SHIELD II'!$D$5*'CALCULO MORTERO'!I533+'BLAZE SHIELD II'!$D$6)*LN(J533))+('BLAZE SHIELD II'!$D$7*('CALCULO MORTERO'!I533^2)+'BLAZE SHIELD II'!$D$8*'CALCULO MORTERO'!I533+'BLAZE SHIELD II'!$D$9)),0)+IF(AND(L533="Blaze Shield II",M533="Software Idiem",C533="Cj"),((('BLAZE SHIELD II'!$H$4*('CALCULO MORTERO'!I533^2)+'BLAZE SHIELD II'!$H$5*'CALCULO MORTERO'!I533+'BLAZE SHIELD II'!$H$6)*LN(J533))+('BLAZE SHIELD II'!$H$7*('CALCULO MORTERO'!I533^2)+'BLAZE SHIELD II'!$H$8*'CALCULO MORTERO'!I533+'BLAZE SHIELD II'!$H$9)),0)+IF(AND(L533="Blaze Shield II",M533="Software Idiem",C533="C"),((('BLAZE SHIELD II'!$L$4*('CALCULO MORTERO'!I533^2)+'BLAZE SHIELD II'!$L$5*'CALCULO MORTERO'!I533+'BLAZE SHIELD II'!$L$6)*LN(J533))+('BLAZE SHIELD II'!$L$7*('CALCULO MORTERO'!I533^2)+'BLAZE SHIELD II'!$L$8*'CALCULO MORTERO'!I533+'BLAZE SHIELD II'!$L$9)),0)+IF(AND(L533="Blaze Shield II",M533="Software Idiem",C533="L"),((('BLAZE SHIELD II'!$L$4*('CALCULO MORTERO'!I533^2)+'BLAZE SHIELD II'!$L$5*'CALCULO MORTERO'!I533+'BLAZE SHIELD II'!$L$6)*LN(J533))+('BLAZE SHIELD II'!$L$7*('CALCULO MORTERO'!I533^2)+'BLAZE SHIELD II'!$L$8*'CALCULO MORTERO'!I533+'BLAZE SHIELD II'!$L$9)),0)+IF(AND(L533="Blaze Shield II",M533="Software Idiem",C533="IN",G533=3),((('BLAZE SHIELD II'!$H$14*('CALCULO MORTERO'!I533^2)+'BLAZE SHIELD II'!$H$15*'CALCULO MORTERO'!I533+'BLAZE SHIELD II'!$H$16)*LN(J533))+('BLAZE SHIELD II'!$H$17*('CALCULO MORTERO'!I533^2)+'BLAZE SHIELD II'!$H$18*'CALCULO MORTERO'!I533+'BLAZE SHIELD II'!$H$19)),0),0)+ROUND(IF(AND(L533="Cafco 400",M533="Software Idiem",C533="IN",G533=4),((('CAFCO 400 '!$H$7*(J533^4)+'CAFCO 400 '!$H$8*(J533^3)+'CAFCO 400 '!$H$9*(J533^2)+'CAFCO 400 '!$H$10*J533+'CAFCO 400 '!$H$11)*U533^2)+(('CAFCO 400 '!$H$12*(J533^3)+'CAFCO 400 '!$H$13*(J533^2)+'CAFCO 400 '!$H$14*J533+'CAFCO 400 '!$H$15)*U533)+('CAFCO 400 '!$H$16*(J533^2)+'CAFCO 400 '!$H$17*J533+'CAFCO 400 '!$H$18)),0)+IF(AND(L533="Cafco 400",M533="Software Idiem",C533="Cj"),(((('CAFCO 400 '!$D$7*LN(J533)+'CAFCO 400 '!$D$8)*U533^2)+(('CAFCO 400 '!$D$9*LN(J533)+'CAFCO 400 '!$D$10)*U533)+('CAFCO 400 '!$D$11*LN(J533)+'CAFCO 400 '!$D$12))),0)+IF(AND(L533="Cafco 400",M533="Software Idiem",C533="C"),((('CAFCO 400 '!$L$7*(J533^3)+'CAFCO 400 '!$L$8*(J533^2)+'CAFCO 400 '!$L$9*J533+'CAFCO 400 '!$L$10)*U533^2)+(('CAFCO 400 '!$L$11*(J533^3)+'CAFCO 400 '!$L$12*(J533^2)+'CAFCO 400 '!$L$13*J533+'CAFCO 400 '!$L$14)*U533)+('CAFCO 400 '!$L$15*LN(J533)+'CAFCO 400 '!$L$16)),0)+IF(AND(L533="Cafco 400",M533="Software Idiem",C533="L"),((('CAFCO 400 '!$L$7*(J533^3)+'CAFCO 400 '!$L$8*(J533^2)+'CAFCO 400 '!$L$9*J533+'CAFCO 400 '!$L$10)*U533^2)+(('CAFCO 400 '!$L$11*(J533^3)+'CAFCO 400 '!$L$12*(J533^2)+'CAFCO 400 '!$L$13*J533+'CAFCO 400 '!$L$14)*U533)+('CAFCO 400 '!$L$15*LN(J533)+'CAFCO 400 '!$L$16)),0)+IF(AND(L533="Cafco 400",M533="Software Idiem",C533="IN",G533=3),((('CAFCO 400 '!$D$23*(J533^2)+'CAFCO 400 '!$D$24*(J533)+'CAFCO 400 '!$D$25)*U533^2)+(('CAFCO 400 '!$D$26*(J533^2)+'CAFCO 400 '!$D$27*J533+'CAFCO 400 '!$D$28)*U533)+('CAFCO 400 '!$D$29*(J533^2)+'CAFCO 400 '!$D$30*J533+'CAFCO 400 '!$D$31)),0),0)+IF(AND(L533="Cafco 300",J533&gt;=95,J533&lt;=240,C533="Cj",I533=90),VLOOKUP(T533,'CAFCO 300 IDIEM TABLAS'!$B$4:$D$23,2,FALSE),0)+IF(AND(L533="Cafco 300",J533&gt;=95,J533&lt;=240,C533="Cj",I533=120),VLOOKUP(T533,'CAFCO 300 IDIEM TABLAS'!$B$4:$D$23,3,FALSE),0)+IF(AND(L533="Cafco 300",J533&gt;=95,J533&lt;=400,G533=3,C533="IN",I533=90),VLOOKUP(T533,'CAFCO 300 IDIEM TABLAS'!$F$4:$H$35,2,FALSE),0)+IF(AND(L533="Cafco 300",J533&gt;=95,J533&lt;=400,G533=3,C533="IN",I533=120),VLOOKUP(T533,'CAFCO 300 IDIEM TABLAS'!$F$4:$H$35,3,FALSE),0)+IF(AND(L533="Cafco 300",J533&gt;=95,J533&lt;=450,G533=4,C533="IN",I533=90),VLOOKUP(T533,'CAFCO 300 IDIEM TABLAS'!$J$4:$L$40,2,FALSE),0)+IF(AND(L533="Cafco 300",J533&gt;=95,J533&lt;=450,G533=4,C533="IN",I533=120),VLOOKUP(T533,'CAFCO 300 IDIEM TABLAS'!$J$4:$L$40,3,FALSE),0)+IF(AND(M533="Ensayo Idiem",L533="Cafco 400",C533="IN",G533=4,I533=90),VLOOKUP(T533,'CAFCO 400 ENSAYO'!$B$7:$D$43,2,FALSE),0)+IF(AND(M533="Ensayo Idiem",L533="Cafco 400",C533="IN",G533=4,I533=120),VLOOKUP(T533,'CAFCO 400 ENSAYO'!$B$7:$D$43,3,FALSE),0)</f>
        <v>0</v>
      </c>
      <c r="O533" s="96">
        <f t="shared" si="60"/>
        <v>0</v>
      </c>
      <c r="P533" s="132" t="str">
        <f t="shared" si="55"/>
        <v>N/A</v>
      </c>
      <c r="Q533" s="132" t="str">
        <f t="shared" si="56"/>
        <v>N/A</v>
      </c>
      <c r="R533" s="132" t="str">
        <f t="shared" si="57"/>
        <v>NO CERT.</v>
      </c>
      <c r="S533" s="132" t="e">
        <f t="shared" si="58"/>
        <v>#N/A</v>
      </c>
      <c r="T533" s="133" t="e">
        <f>+IF(J533=LOOKUP(J533,'CAFCO 300 IDIEM TABLAS'!$J$4:$J$40),'CALCULO MORTERO'!J533,MROUND('CALCULO MORTERO'!J533,10))</f>
        <v>#N/A</v>
      </c>
      <c r="U533" s="134">
        <f t="shared" si="59"/>
        <v>0</v>
      </c>
      <c r="Y533" s="4"/>
      <c r="Z533" s="4"/>
      <c r="AA533" s="4"/>
    </row>
    <row r="534" spans="1:27" x14ac:dyDescent="0.25">
      <c r="A534" s="118">
        <f>+CUBICACION!D528</f>
        <v>0</v>
      </c>
      <c r="B534" s="819">
        <f>+CUBICACION!E528</f>
        <v>0</v>
      </c>
      <c r="C534" s="675">
        <f>+CUBICACION!F528</f>
        <v>0</v>
      </c>
      <c r="D534" s="118"/>
      <c r="E534" s="118"/>
      <c r="F534" s="820"/>
      <c r="G534" s="675">
        <f>+CUBICACION!J528</f>
        <v>0</v>
      </c>
      <c r="H534" s="118"/>
      <c r="I534" s="821">
        <f>+CUBICACION!L528</f>
        <v>0</v>
      </c>
      <c r="J534" s="64">
        <f>+CUBICACION!M528</f>
        <v>0</v>
      </c>
      <c r="K534" s="822" t="str">
        <f>+CUBICACION!N528</f>
        <v/>
      </c>
      <c r="L534" s="118">
        <f>+CUBICACION!O528</f>
        <v>0</v>
      </c>
      <c r="M534" s="823">
        <f>+CUBICACION!P528</f>
        <v>0</v>
      </c>
      <c r="N534" s="902">
        <f>ROUND(IF(AND(L534="Blaze Shield II",M534="Software Idiem",C534="IN",G534=4),((('BLAZE SHIELD II'!$D$4*('CALCULO MORTERO'!I534^2)+'BLAZE SHIELD II'!$D$5*'CALCULO MORTERO'!I534+'BLAZE SHIELD II'!$D$6)*LN(J534))+('BLAZE SHIELD II'!$D$7*('CALCULO MORTERO'!I534^2)+'BLAZE SHIELD II'!$D$8*'CALCULO MORTERO'!I534+'BLAZE SHIELD II'!$D$9)),0)+IF(AND(L534="Blaze Shield II",M534="Software Idiem",C534="Cj"),((('BLAZE SHIELD II'!$H$4*('CALCULO MORTERO'!I534^2)+'BLAZE SHIELD II'!$H$5*'CALCULO MORTERO'!I534+'BLAZE SHIELD II'!$H$6)*LN(J534))+('BLAZE SHIELD II'!$H$7*('CALCULO MORTERO'!I534^2)+'BLAZE SHIELD II'!$H$8*'CALCULO MORTERO'!I534+'BLAZE SHIELD II'!$H$9)),0)+IF(AND(L534="Blaze Shield II",M534="Software Idiem",C534="C"),((('BLAZE SHIELD II'!$L$4*('CALCULO MORTERO'!I534^2)+'BLAZE SHIELD II'!$L$5*'CALCULO MORTERO'!I534+'BLAZE SHIELD II'!$L$6)*LN(J534))+('BLAZE SHIELD II'!$L$7*('CALCULO MORTERO'!I534^2)+'BLAZE SHIELD II'!$L$8*'CALCULO MORTERO'!I534+'BLAZE SHIELD II'!$L$9)),0)+IF(AND(L534="Blaze Shield II",M534="Software Idiem",C534="L"),((('BLAZE SHIELD II'!$L$4*('CALCULO MORTERO'!I534^2)+'BLAZE SHIELD II'!$L$5*'CALCULO MORTERO'!I534+'BLAZE SHIELD II'!$L$6)*LN(J534))+('BLAZE SHIELD II'!$L$7*('CALCULO MORTERO'!I534^2)+'BLAZE SHIELD II'!$L$8*'CALCULO MORTERO'!I534+'BLAZE SHIELD II'!$L$9)),0)+IF(AND(L534="Blaze Shield II",M534="Software Idiem",C534="IN",G534=3),((('BLAZE SHIELD II'!$H$14*('CALCULO MORTERO'!I534^2)+'BLAZE SHIELD II'!$H$15*'CALCULO MORTERO'!I534+'BLAZE SHIELD II'!$H$16)*LN(J534))+('BLAZE SHIELD II'!$H$17*('CALCULO MORTERO'!I534^2)+'BLAZE SHIELD II'!$H$18*'CALCULO MORTERO'!I534+'BLAZE SHIELD II'!$H$19)),0),0)+ROUND(IF(AND(L534="Cafco 400",M534="Software Idiem",C534="IN",G534=4),((('CAFCO 400 '!$H$7*(J534^4)+'CAFCO 400 '!$H$8*(J534^3)+'CAFCO 400 '!$H$9*(J534^2)+'CAFCO 400 '!$H$10*J534+'CAFCO 400 '!$H$11)*U534^2)+(('CAFCO 400 '!$H$12*(J534^3)+'CAFCO 400 '!$H$13*(J534^2)+'CAFCO 400 '!$H$14*J534+'CAFCO 400 '!$H$15)*U534)+('CAFCO 400 '!$H$16*(J534^2)+'CAFCO 400 '!$H$17*J534+'CAFCO 400 '!$H$18)),0)+IF(AND(L534="Cafco 400",M534="Software Idiem",C534="Cj"),(((('CAFCO 400 '!$D$7*LN(J534)+'CAFCO 400 '!$D$8)*U534^2)+(('CAFCO 400 '!$D$9*LN(J534)+'CAFCO 400 '!$D$10)*U534)+('CAFCO 400 '!$D$11*LN(J534)+'CAFCO 400 '!$D$12))),0)+IF(AND(L534="Cafco 400",M534="Software Idiem",C534="C"),((('CAFCO 400 '!$L$7*(J534^3)+'CAFCO 400 '!$L$8*(J534^2)+'CAFCO 400 '!$L$9*J534+'CAFCO 400 '!$L$10)*U534^2)+(('CAFCO 400 '!$L$11*(J534^3)+'CAFCO 400 '!$L$12*(J534^2)+'CAFCO 400 '!$L$13*J534+'CAFCO 400 '!$L$14)*U534)+('CAFCO 400 '!$L$15*LN(J534)+'CAFCO 400 '!$L$16)),0)+IF(AND(L534="Cafco 400",M534="Software Idiem",C534="L"),((('CAFCO 400 '!$L$7*(J534^3)+'CAFCO 400 '!$L$8*(J534^2)+'CAFCO 400 '!$L$9*J534+'CAFCO 400 '!$L$10)*U534^2)+(('CAFCO 400 '!$L$11*(J534^3)+'CAFCO 400 '!$L$12*(J534^2)+'CAFCO 400 '!$L$13*J534+'CAFCO 400 '!$L$14)*U534)+('CAFCO 400 '!$L$15*LN(J534)+'CAFCO 400 '!$L$16)),0)+IF(AND(L534="Cafco 400",M534="Software Idiem",C534="IN",G534=3),((('CAFCO 400 '!$D$23*(J534^2)+'CAFCO 400 '!$D$24*(J534)+'CAFCO 400 '!$D$25)*U534^2)+(('CAFCO 400 '!$D$26*(J534^2)+'CAFCO 400 '!$D$27*J534+'CAFCO 400 '!$D$28)*U534)+('CAFCO 400 '!$D$29*(J534^2)+'CAFCO 400 '!$D$30*J534+'CAFCO 400 '!$D$31)),0),0)+IF(AND(L534="Cafco 300",J534&gt;=95,J534&lt;=240,C534="Cj",I534=90),VLOOKUP(T534,'CAFCO 300 IDIEM TABLAS'!$B$4:$D$23,2,FALSE),0)+IF(AND(L534="Cafco 300",J534&gt;=95,J534&lt;=240,C534="Cj",I534=120),VLOOKUP(T534,'CAFCO 300 IDIEM TABLAS'!$B$4:$D$23,3,FALSE),0)+IF(AND(L534="Cafco 300",J534&gt;=95,J534&lt;=400,G534=3,C534="IN",I534=90),VLOOKUP(T534,'CAFCO 300 IDIEM TABLAS'!$F$4:$H$35,2,FALSE),0)+IF(AND(L534="Cafco 300",J534&gt;=95,J534&lt;=400,G534=3,C534="IN",I534=120),VLOOKUP(T534,'CAFCO 300 IDIEM TABLAS'!$F$4:$H$35,3,FALSE),0)+IF(AND(L534="Cafco 300",J534&gt;=95,J534&lt;=450,G534=4,C534="IN",I534=90),VLOOKUP(T534,'CAFCO 300 IDIEM TABLAS'!$J$4:$L$40,2,FALSE),0)+IF(AND(L534="Cafco 300",J534&gt;=95,J534&lt;=450,G534=4,C534="IN",I534=120),VLOOKUP(T534,'CAFCO 300 IDIEM TABLAS'!$J$4:$L$40,3,FALSE),0)+IF(AND(M534="Ensayo Idiem",L534="Cafco 400",C534="IN",G534=4,I534=90),VLOOKUP(T534,'CAFCO 400 ENSAYO'!$B$7:$D$43,2,FALSE),0)+IF(AND(M534="Ensayo Idiem",L534="Cafco 400",C534="IN",G534=4,I534=120),VLOOKUP(T534,'CAFCO 400 ENSAYO'!$B$7:$D$43,3,FALSE),0)</f>
        <v>0</v>
      </c>
      <c r="O534" s="96">
        <f t="shared" si="60"/>
        <v>0</v>
      </c>
      <c r="P534" s="95" t="str">
        <f t="shared" si="55"/>
        <v>N/A</v>
      </c>
      <c r="Q534" s="95" t="str">
        <f t="shared" si="56"/>
        <v>N/A</v>
      </c>
      <c r="R534" s="95" t="str">
        <f t="shared" si="57"/>
        <v>NO CERT.</v>
      </c>
      <c r="S534" s="95" t="e">
        <f t="shared" si="58"/>
        <v>#N/A</v>
      </c>
      <c r="T534" s="119" t="e">
        <f>+IF(J534=LOOKUP(J534,'CAFCO 300 IDIEM TABLAS'!$J$4:$J$40),'CALCULO MORTERO'!J534,MROUND('CALCULO MORTERO'!J534,10))</f>
        <v>#N/A</v>
      </c>
      <c r="U534" s="118">
        <f t="shared" si="59"/>
        <v>0</v>
      </c>
      <c r="Y534" s="4"/>
      <c r="Z534" s="4"/>
      <c r="AA534" s="4"/>
    </row>
    <row r="535" spans="1:27" x14ac:dyDescent="0.25">
      <c r="A535" s="118">
        <f>+CUBICACION!D529</f>
        <v>0</v>
      </c>
      <c r="B535" s="819">
        <f>+CUBICACION!E529</f>
        <v>0</v>
      </c>
      <c r="C535" s="675">
        <f>+CUBICACION!F529</f>
        <v>0</v>
      </c>
      <c r="D535" s="118"/>
      <c r="E535" s="118"/>
      <c r="F535" s="820"/>
      <c r="G535" s="675">
        <f>+CUBICACION!J529</f>
        <v>0</v>
      </c>
      <c r="H535" s="118"/>
      <c r="I535" s="821">
        <f>+CUBICACION!L529</f>
        <v>0</v>
      </c>
      <c r="J535" s="64">
        <f>+CUBICACION!M529</f>
        <v>0</v>
      </c>
      <c r="K535" s="822" t="str">
        <f>+CUBICACION!N529</f>
        <v/>
      </c>
      <c r="L535" s="118">
        <f>+CUBICACION!O529</f>
        <v>0</v>
      </c>
      <c r="M535" s="823">
        <f>+CUBICACION!P529</f>
        <v>0</v>
      </c>
      <c r="N535" s="902">
        <f>ROUND(IF(AND(L535="Blaze Shield II",M535="Software Idiem",C535="IN",G535=4),((('BLAZE SHIELD II'!$D$4*('CALCULO MORTERO'!I535^2)+'BLAZE SHIELD II'!$D$5*'CALCULO MORTERO'!I535+'BLAZE SHIELD II'!$D$6)*LN(J535))+('BLAZE SHIELD II'!$D$7*('CALCULO MORTERO'!I535^2)+'BLAZE SHIELD II'!$D$8*'CALCULO MORTERO'!I535+'BLAZE SHIELD II'!$D$9)),0)+IF(AND(L535="Blaze Shield II",M535="Software Idiem",C535="Cj"),((('BLAZE SHIELD II'!$H$4*('CALCULO MORTERO'!I535^2)+'BLAZE SHIELD II'!$H$5*'CALCULO MORTERO'!I535+'BLAZE SHIELD II'!$H$6)*LN(J535))+('BLAZE SHIELD II'!$H$7*('CALCULO MORTERO'!I535^2)+'BLAZE SHIELD II'!$H$8*'CALCULO MORTERO'!I535+'BLAZE SHIELD II'!$H$9)),0)+IF(AND(L535="Blaze Shield II",M535="Software Idiem",C535="C"),((('BLAZE SHIELD II'!$L$4*('CALCULO MORTERO'!I535^2)+'BLAZE SHIELD II'!$L$5*'CALCULO MORTERO'!I535+'BLAZE SHIELD II'!$L$6)*LN(J535))+('BLAZE SHIELD II'!$L$7*('CALCULO MORTERO'!I535^2)+'BLAZE SHIELD II'!$L$8*'CALCULO MORTERO'!I535+'BLAZE SHIELD II'!$L$9)),0)+IF(AND(L535="Blaze Shield II",M535="Software Idiem",C535="L"),((('BLAZE SHIELD II'!$L$4*('CALCULO MORTERO'!I535^2)+'BLAZE SHIELD II'!$L$5*'CALCULO MORTERO'!I535+'BLAZE SHIELD II'!$L$6)*LN(J535))+('BLAZE SHIELD II'!$L$7*('CALCULO MORTERO'!I535^2)+'BLAZE SHIELD II'!$L$8*'CALCULO MORTERO'!I535+'BLAZE SHIELD II'!$L$9)),0)+IF(AND(L535="Blaze Shield II",M535="Software Idiem",C535="IN",G535=3),((('BLAZE SHIELD II'!$H$14*('CALCULO MORTERO'!I535^2)+'BLAZE SHIELD II'!$H$15*'CALCULO MORTERO'!I535+'BLAZE SHIELD II'!$H$16)*LN(J535))+('BLAZE SHIELD II'!$H$17*('CALCULO MORTERO'!I535^2)+'BLAZE SHIELD II'!$H$18*'CALCULO MORTERO'!I535+'BLAZE SHIELD II'!$H$19)),0),0)+ROUND(IF(AND(L535="Cafco 400",M535="Software Idiem",C535="IN",G535=4),((('CAFCO 400 '!$H$7*(J535^4)+'CAFCO 400 '!$H$8*(J535^3)+'CAFCO 400 '!$H$9*(J535^2)+'CAFCO 400 '!$H$10*J535+'CAFCO 400 '!$H$11)*U535^2)+(('CAFCO 400 '!$H$12*(J535^3)+'CAFCO 400 '!$H$13*(J535^2)+'CAFCO 400 '!$H$14*J535+'CAFCO 400 '!$H$15)*U535)+('CAFCO 400 '!$H$16*(J535^2)+'CAFCO 400 '!$H$17*J535+'CAFCO 400 '!$H$18)),0)+IF(AND(L535="Cafco 400",M535="Software Idiem",C535="Cj"),(((('CAFCO 400 '!$D$7*LN(J535)+'CAFCO 400 '!$D$8)*U535^2)+(('CAFCO 400 '!$D$9*LN(J535)+'CAFCO 400 '!$D$10)*U535)+('CAFCO 400 '!$D$11*LN(J535)+'CAFCO 400 '!$D$12))),0)+IF(AND(L535="Cafco 400",M535="Software Idiem",C535="C"),((('CAFCO 400 '!$L$7*(J535^3)+'CAFCO 400 '!$L$8*(J535^2)+'CAFCO 400 '!$L$9*J535+'CAFCO 400 '!$L$10)*U535^2)+(('CAFCO 400 '!$L$11*(J535^3)+'CAFCO 400 '!$L$12*(J535^2)+'CAFCO 400 '!$L$13*J535+'CAFCO 400 '!$L$14)*U535)+('CAFCO 400 '!$L$15*LN(J535)+'CAFCO 400 '!$L$16)),0)+IF(AND(L535="Cafco 400",M535="Software Idiem",C535="L"),((('CAFCO 400 '!$L$7*(J535^3)+'CAFCO 400 '!$L$8*(J535^2)+'CAFCO 400 '!$L$9*J535+'CAFCO 400 '!$L$10)*U535^2)+(('CAFCO 400 '!$L$11*(J535^3)+'CAFCO 400 '!$L$12*(J535^2)+'CAFCO 400 '!$L$13*J535+'CAFCO 400 '!$L$14)*U535)+('CAFCO 400 '!$L$15*LN(J535)+'CAFCO 400 '!$L$16)),0)+IF(AND(L535="Cafco 400",M535="Software Idiem",C535="IN",G535=3),((('CAFCO 400 '!$D$23*(J535^2)+'CAFCO 400 '!$D$24*(J535)+'CAFCO 400 '!$D$25)*U535^2)+(('CAFCO 400 '!$D$26*(J535^2)+'CAFCO 400 '!$D$27*J535+'CAFCO 400 '!$D$28)*U535)+('CAFCO 400 '!$D$29*(J535^2)+'CAFCO 400 '!$D$30*J535+'CAFCO 400 '!$D$31)),0),0)+IF(AND(L535="Cafco 300",J535&gt;=95,J535&lt;=240,C535="Cj",I535=90),VLOOKUP(T535,'CAFCO 300 IDIEM TABLAS'!$B$4:$D$23,2,FALSE),0)+IF(AND(L535="Cafco 300",J535&gt;=95,J535&lt;=240,C535="Cj",I535=120),VLOOKUP(T535,'CAFCO 300 IDIEM TABLAS'!$B$4:$D$23,3,FALSE),0)+IF(AND(L535="Cafco 300",J535&gt;=95,J535&lt;=400,G535=3,C535="IN",I535=90),VLOOKUP(T535,'CAFCO 300 IDIEM TABLAS'!$F$4:$H$35,2,FALSE),0)+IF(AND(L535="Cafco 300",J535&gt;=95,J535&lt;=400,G535=3,C535="IN",I535=120),VLOOKUP(T535,'CAFCO 300 IDIEM TABLAS'!$F$4:$H$35,3,FALSE),0)+IF(AND(L535="Cafco 300",J535&gt;=95,J535&lt;=450,G535=4,C535="IN",I535=90),VLOOKUP(T535,'CAFCO 300 IDIEM TABLAS'!$J$4:$L$40,2,FALSE),0)+IF(AND(L535="Cafco 300",J535&gt;=95,J535&lt;=450,G535=4,C535="IN",I535=120),VLOOKUP(T535,'CAFCO 300 IDIEM TABLAS'!$J$4:$L$40,3,FALSE),0)+IF(AND(M535="Ensayo Idiem",L535="Cafco 400",C535="IN",G535=4,I535=90),VLOOKUP(T535,'CAFCO 400 ENSAYO'!$B$7:$D$43,2,FALSE),0)+IF(AND(M535="Ensayo Idiem",L535="Cafco 400",C535="IN",G535=4,I535=120),VLOOKUP(T535,'CAFCO 400 ENSAYO'!$B$7:$D$43,3,FALSE),0)</f>
        <v>0</v>
      </c>
      <c r="O535" s="96">
        <f t="shared" si="60"/>
        <v>0</v>
      </c>
      <c r="P535" s="132" t="str">
        <f t="shared" si="55"/>
        <v>N/A</v>
      </c>
      <c r="Q535" s="132" t="str">
        <f t="shared" si="56"/>
        <v>N/A</v>
      </c>
      <c r="R535" s="132" t="str">
        <f t="shared" si="57"/>
        <v>NO CERT.</v>
      </c>
      <c r="S535" s="132" t="e">
        <f t="shared" si="58"/>
        <v>#N/A</v>
      </c>
      <c r="T535" s="133" t="e">
        <f>+IF(J535=LOOKUP(J535,'CAFCO 300 IDIEM TABLAS'!$J$4:$J$40),'CALCULO MORTERO'!J535,MROUND('CALCULO MORTERO'!J535,10))</f>
        <v>#N/A</v>
      </c>
      <c r="U535" s="134">
        <f t="shared" si="59"/>
        <v>0</v>
      </c>
      <c r="Y535" s="4"/>
      <c r="Z535" s="4"/>
      <c r="AA535" s="4"/>
    </row>
    <row r="536" spans="1:27" x14ac:dyDescent="0.25">
      <c r="A536" s="118">
        <f>+CUBICACION!D530</f>
        <v>0</v>
      </c>
      <c r="B536" s="819">
        <f>+CUBICACION!E530</f>
        <v>0</v>
      </c>
      <c r="C536" s="675">
        <f>+CUBICACION!F530</f>
        <v>0</v>
      </c>
      <c r="D536" s="118"/>
      <c r="E536" s="118"/>
      <c r="F536" s="820"/>
      <c r="G536" s="675">
        <f>+CUBICACION!J530</f>
        <v>0</v>
      </c>
      <c r="H536" s="118"/>
      <c r="I536" s="821">
        <f>+CUBICACION!L530</f>
        <v>0</v>
      </c>
      <c r="J536" s="64">
        <f>+CUBICACION!M530</f>
        <v>0</v>
      </c>
      <c r="K536" s="822" t="str">
        <f>+CUBICACION!N530</f>
        <v/>
      </c>
      <c r="L536" s="118">
        <f>+CUBICACION!O530</f>
        <v>0</v>
      </c>
      <c r="M536" s="823">
        <f>+CUBICACION!P530</f>
        <v>0</v>
      </c>
      <c r="N536" s="902">
        <f>ROUND(IF(AND(L536="Blaze Shield II",M536="Software Idiem",C536="IN",G536=4),((('BLAZE SHIELD II'!$D$4*('CALCULO MORTERO'!I536^2)+'BLAZE SHIELD II'!$D$5*'CALCULO MORTERO'!I536+'BLAZE SHIELD II'!$D$6)*LN(J536))+('BLAZE SHIELD II'!$D$7*('CALCULO MORTERO'!I536^2)+'BLAZE SHIELD II'!$D$8*'CALCULO MORTERO'!I536+'BLAZE SHIELD II'!$D$9)),0)+IF(AND(L536="Blaze Shield II",M536="Software Idiem",C536="Cj"),((('BLAZE SHIELD II'!$H$4*('CALCULO MORTERO'!I536^2)+'BLAZE SHIELD II'!$H$5*'CALCULO MORTERO'!I536+'BLAZE SHIELD II'!$H$6)*LN(J536))+('BLAZE SHIELD II'!$H$7*('CALCULO MORTERO'!I536^2)+'BLAZE SHIELD II'!$H$8*'CALCULO MORTERO'!I536+'BLAZE SHIELD II'!$H$9)),0)+IF(AND(L536="Blaze Shield II",M536="Software Idiem",C536="C"),((('BLAZE SHIELD II'!$L$4*('CALCULO MORTERO'!I536^2)+'BLAZE SHIELD II'!$L$5*'CALCULO MORTERO'!I536+'BLAZE SHIELD II'!$L$6)*LN(J536))+('BLAZE SHIELD II'!$L$7*('CALCULO MORTERO'!I536^2)+'BLAZE SHIELD II'!$L$8*'CALCULO MORTERO'!I536+'BLAZE SHIELD II'!$L$9)),0)+IF(AND(L536="Blaze Shield II",M536="Software Idiem",C536="L"),((('BLAZE SHIELD II'!$L$4*('CALCULO MORTERO'!I536^2)+'BLAZE SHIELD II'!$L$5*'CALCULO MORTERO'!I536+'BLAZE SHIELD II'!$L$6)*LN(J536))+('BLAZE SHIELD II'!$L$7*('CALCULO MORTERO'!I536^2)+'BLAZE SHIELD II'!$L$8*'CALCULO MORTERO'!I536+'BLAZE SHIELD II'!$L$9)),0)+IF(AND(L536="Blaze Shield II",M536="Software Idiem",C536="IN",G536=3),((('BLAZE SHIELD II'!$H$14*('CALCULO MORTERO'!I536^2)+'BLAZE SHIELD II'!$H$15*'CALCULO MORTERO'!I536+'BLAZE SHIELD II'!$H$16)*LN(J536))+('BLAZE SHIELD II'!$H$17*('CALCULO MORTERO'!I536^2)+'BLAZE SHIELD II'!$H$18*'CALCULO MORTERO'!I536+'BLAZE SHIELD II'!$H$19)),0),0)+ROUND(IF(AND(L536="Cafco 400",M536="Software Idiem",C536="IN",G536=4),((('CAFCO 400 '!$H$7*(J536^4)+'CAFCO 400 '!$H$8*(J536^3)+'CAFCO 400 '!$H$9*(J536^2)+'CAFCO 400 '!$H$10*J536+'CAFCO 400 '!$H$11)*U536^2)+(('CAFCO 400 '!$H$12*(J536^3)+'CAFCO 400 '!$H$13*(J536^2)+'CAFCO 400 '!$H$14*J536+'CAFCO 400 '!$H$15)*U536)+('CAFCO 400 '!$H$16*(J536^2)+'CAFCO 400 '!$H$17*J536+'CAFCO 400 '!$H$18)),0)+IF(AND(L536="Cafco 400",M536="Software Idiem",C536="Cj"),(((('CAFCO 400 '!$D$7*LN(J536)+'CAFCO 400 '!$D$8)*U536^2)+(('CAFCO 400 '!$D$9*LN(J536)+'CAFCO 400 '!$D$10)*U536)+('CAFCO 400 '!$D$11*LN(J536)+'CAFCO 400 '!$D$12))),0)+IF(AND(L536="Cafco 400",M536="Software Idiem",C536="C"),((('CAFCO 400 '!$L$7*(J536^3)+'CAFCO 400 '!$L$8*(J536^2)+'CAFCO 400 '!$L$9*J536+'CAFCO 400 '!$L$10)*U536^2)+(('CAFCO 400 '!$L$11*(J536^3)+'CAFCO 400 '!$L$12*(J536^2)+'CAFCO 400 '!$L$13*J536+'CAFCO 400 '!$L$14)*U536)+('CAFCO 400 '!$L$15*LN(J536)+'CAFCO 400 '!$L$16)),0)+IF(AND(L536="Cafco 400",M536="Software Idiem",C536="L"),((('CAFCO 400 '!$L$7*(J536^3)+'CAFCO 400 '!$L$8*(J536^2)+'CAFCO 400 '!$L$9*J536+'CAFCO 400 '!$L$10)*U536^2)+(('CAFCO 400 '!$L$11*(J536^3)+'CAFCO 400 '!$L$12*(J536^2)+'CAFCO 400 '!$L$13*J536+'CAFCO 400 '!$L$14)*U536)+('CAFCO 400 '!$L$15*LN(J536)+'CAFCO 400 '!$L$16)),0)+IF(AND(L536="Cafco 400",M536="Software Idiem",C536="IN",G536=3),((('CAFCO 400 '!$D$23*(J536^2)+'CAFCO 400 '!$D$24*(J536)+'CAFCO 400 '!$D$25)*U536^2)+(('CAFCO 400 '!$D$26*(J536^2)+'CAFCO 400 '!$D$27*J536+'CAFCO 400 '!$D$28)*U536)+('CAFCO 400 '!$D$29*(J536^2)+'CAFCO 400 '!$D$30*J536+'CAFCO 400 '!$D$31)),0),0)+IF(AND(L536="Cafco 300",J536&gt;=95,J536&lt;=240,C536="Cj",I536=90),VLOOKUP(T536,'CAFCO 300 IDIEM TABLAS'!$B$4:$D$23,2,FALSE),0)+IF(AND(L536="Cafco 300",J536&gt;=95,J536&lt;=240,C536="Cj",I536=120),VLOOKUP(T536,'CAFCO 300 IDIEM TABLAS'!$B$4:$D$23,3,FALSE),0)+IF(AND(L536="Cafco 300",J536&gt;=95,J536&lt;=400,G536=3,C536="IN",I536=90),VLOOKUP(T536,'CAFCO 300 IDIEM TABLAS'!$F$4:$H$35,2,FALSE),0)+IF(AND(L536="Cafco 300",J536&gt;=95,J536&lt;=400,G536=3,C536="IN",I536=120),VLOOKUP(T536,'CAFCO 300 IDIEM TABLAS'!$F$4:$H$35,3,FALSE),0)+IF(AND(L536="Cafco 300",J536&gt;=95,J536&lt;=450,G536=4,C536="IN",I536=90),VLOOKUP(T536,'CAFCO 300 IDIEM TABLAS'!$J$4:$L$40,2,FALSE),0)+IF(AND(L536="Cafco 300",J536&gt;=95,J536&lt;=450,G536=4,C536="IN",I536=120),VLOOKUP(T536,'CAFCO 300 IDIEM TABLAS'!$J$4:$L$40,3,FALSE),0)+IF(AND(M536="Ensayo Idiem",L536="Cafco 400",C536="IN",G536=4,I536=90),VLOOKUP(T536,'CAFCO 400 ENSAYO'!$B$7:$D$43,2,FALSE),0)+IF(AND(M536="Ensayo Idiem",L536="Cafco 400",C536="IN",G536=4,I536=120),VLOOKUP(T536,'CAFCO 400 ENSAYO'!$B$7:$D$43,3,FALSE),0)</f>
        <v>0</v>
      </c>
      <c r="O536" s="96">
        <f t="shared" si="60"/>
        <v>0</v>
      </c>
      <c r="P536" s="95" t="str">
        <f t="shared" si="55"/>
        <v>N/A</v>
      </c>
      <c r="Q536" s="95" t="str">
        <f t="shared" si="56"/>
        <v>N/A</v>
      </c>
      <c r="R536" s="95" t="str">
        <f t="shared" si="57"/>
        <v>NO CERT.</v>
      </c>
      <c r="S536" s="95" t="e">
        <f t="shared" si="58"/>
        <v>#N/A</v>
      </c>
      <c r="T536" s="119" t="e">
        <f>+IF(J536=LOOKUP(J536,'CAFCO 300 IDIEM TABLAS'!$J$4:$J$40),'CALCULO MORTERO'!J536,MROUND('CALCULO MORTERO'!J536,10))</f>
        <v>#N/A</v>
      </c>
      <c r="U536" s="118">
        <f t="shared" si="59"/>
        <v>0</v>
      </c>
      <c r="Y536" s="4"/>
      <c r="Z536" s="4"/>
      <c r="AA536" s="4"/>
    </row>
    <row r="537" spans="1:27" x14ac:dyDescent="0.25">
      <c r="A537" s="118">
        <f>+CUBICACION!D531</f>
        <v>0</v>
      </c>
      <c r="B537" s="819">
        <f>+CUBICACION!E531</f>
        <v>0</v>
      </c>
      <c r="C537" s="675">
        <f>+CUBICACION!F531</f>
        <v>0</v>
      </c>
      <c r="D537" s="118"/>
      <c r="E537" s="118"/>
      <c r="F537" s="820"/>
      <c r="G537" s="675">
        <f>+CUBICACION!J531</f>
        <v>0</v>
      </c>
      <c r="H537" s="118"/>
      <c r="I537" s="821">
        <f>+CUBICACION!L531</f>
        <v>0</v>
      </c>
      <c r="J537" s="64">
        <f>+CUBICACION!M531</f>
        <v>0</v>
      </c>
      <c r="K537" s="822" t="str">
        <f>+CUBICACION!N531</f>
        <v/>
      </c>
      <c r="L537" s="118">
        <f>+CUBICACION!O531</f>
        <v>0</v>
      </c>
      <c r="M537" s="823">
        <f>+CUBICACION!P531</f>
        <v>0</v>
      </c>
      <c r="N537" s="902">
        <f>ROUND(IF(AND(L537="Blaze Shield II",M537="Software Idiem",C537="IN",G537=4),((('BLAZE SHIELD II'!$D$4*('CALCULO MORTERO'!I537^2)+'BLAZE SHIELD II'!$D$5*'CALCULO MORTERO'!I537+'BLAZE SHIELD II'!$D$6)*LN(J537))+('BLAZE SHIELD II'!$D$7*('CALCULO MORTERO'!I537^2)+'BLAZE SHIELD II'!$D$8*'CALCULO MORTERO'!I537+'BLAZE SHIELD II'!$D$9)),0)+IF(AND(L537="Blaze Shield II",M537="Software Idiem",C537="Cj"),((('BLAZE SHIELD II'!$H$4*('CALCULO MORTERO'!I537^2)+'BLAZE SHIELD II'!$H$5*'CALCULO MORTERO'!I537+'BLAZE SHIELD II'!$H$6)*LN(J537))+('BLAZE SHIELD II'!$H$7*('CALCULO MORTERO'!I537^2)+'BLAZE SHIELD II'!$H$8*'CALCULO MORTERO'!I537+'BLAZE SHIELD II'!$H$9)),0)+IF(AND(L537="Blaze Shield II",M537="Software Idiem",C537="C"),((('BLAZE SHIELD II'!$L$4*('CALCULO MORTERO'!I537^2)+'BLAZE SHIELD II'!$L$5*'CALCULO MORTERO'!I537+'BLAZE SHIELD II'!$L$6)*LN(J537))+('BLAZE SHIELD II'!$L$7*('CALCULO MORTERO'!I537^2)+'BLAZE SHIELD II'!$L$8*'CALCULO MORTERO'!I537+'BLAZE SHIELD II'!$L$9)),0)+IF(AND(L537="Blaze Shield II",M537="Software Idiem",C537="L"),((('BLAZE SHIELD II'!$L$4*('CALCULO MORTERO'!I537^2)+'BLAZE SHIELD II'!$L$5*'CALCULO MORTERO'!I537+'BLAZE SHIELD II'!$L$6)*LN(J537))+('BLAZE SHIELD II'!$L$7*('CALCULO MORTERO'!I537^2)+'BLAZE SHIELD II'!$L$8*'CALCULO MORTERO'!I537+'BLAZE SHIELD II'!$L$9)),0)+IF(AND(L537="Blaze Shield II",M537="Software Idiem",C537="IN",G537=3),((('BLAZE SHIELD II'!$H$14*('CALCULO MORTERO'!I537^2)+'BLAZE SHIELD II'!$H$15*'CALCULO MORTERO'!I537+'BLAZE SHIELD II'!$H$16)*LN(J537))+('BLAZE SHIELD II'!$H$17*('CALCULO MORTERO'!I537^2)+'BLAZE SHIELD II'!$H$18*'CALCULO MORTERO'!I537+'BLAZE SHIELD II'!$H$19)),0),0)+ROUND(IF(AND(L537="Cafco 400",M537="Software Idiem",C537="IN",G537=4),((('CAFCO 400 '!$H$7*(J537^4)+'CAFCO 400 '!$H$8*(J537^3)+'CAFCO 400 '!$H$9*(J537^2)+'CAFCO 400 '!$H$10*J537+'CAFCO 400 '!$H$11)*U537^2)+(('CAFCO 400 '!$H$12*(J537^3)+'CAFCO 400 '!$H$13*(J537^2)+'CAFCO 400 '!$H$14*J537+'CAFCO 400 '!$H$15)*U537)+('CAFCO 400 '!$H$16*(J537^2)+'CAFCO 400 '!$H$17*J537+'CAFCO 400 '!$H$18)),0)+IF(AND(L537="Cafco 400",M537="Software Idiem",C537="Cj"),(((('CAFCO 400 '!$D$7*LN(J537)+'CAFCO 400 '!$D$8)*U537^2)+(('CAFCO 400 '!$D$9*LN(J537)+'CAFCO 400 '!$D$10)*U537)+('CAFCO 400 '!$D$11*LN(J537)+'CAFCO 400 '!$D$12))),0)+IF(AND(L537="Cafco 400",M537="Software Idiem",C537="C"),((('CAFCO 400 '!$L$7*(J537^3)+'CAFCO 400 '!$L$8*(J537^2)+'CAFCO 400 '!$L$9*J537+'CAFCO 400 '!$L$10)*U537^2)+(('CAFCO 400 '!$L$11*(J537^3)+'CAFCO 400 '!$L$12*(J537^2)+'CAFCO 400 '!$L$13*J537+'CAFCO 400 '!$L$14)*U537)+('CAFCO 400 '!$L$15*LN(J537)+'CAFCO 400 '!$L$16)),0)+IF(AND(L537="Cafco 400",M537="Software Idiem",C537="L"),((('CAFCO 400 '!$L$7*(J537^3)+'CAFCO 400 '!$L$8*(J537^2)+'CAFCO 400 '!$L$9*J537+'CAFCO 400 '!$L$10)*U537^2)+(('CAFCO 400 '!$L$11*(J537^3)+'CAFCO 400 '!$L$12*(J537^2)+'CAFCO 400 '!$L$13*J537+'CAFCO 400 '!$L$14)*U537)+('CAFCO 400 '!$L$15*LN(J537)+'CAFCO 400 '!$L$16)),0)+IF(AND(L537="Cafco 400",M537="Software Idiem",C537="IN",G537=3),((('CAFCO 400 '!$D$23*(J537^2)+'CAFCO 400 '!$D$24*(J537)+'CAFCO 400 '!$D$25)*U537^2)+(('CAFCO 400 '!$D$26*(J537^2)+'CAFCO 400 '!$D$27*J537+'CAFCO 400 '!$D$28)*U537)+('CAFCO 400 '!$D$29*(J537^2)+'CAFCO 400 '!$D$30*J537+'CAFCO 400 '!$D$31)),0),0)+IF(AND(L537="Cafco 300",J537&gt;=95,J537&lt;=240,C537="Cj",I537=90),VLOOKUP(T537,'CAFCO 300 IDIEM TABLAS'!$B$4:$D$23,2,FALSE),0)+IF(AND(L537="Cafco 300",J537&gt;=95,J537&lt;=240,C537="Cj",I537=120),VLOOKUP(T537,'CAFCO 300 IDIEM TABLAS'!$B$4:$D$23,3,FALSE),0)+IF(AND(L537="Cafco 300",J537&gt;=95,J537&lt;=400,G537=3,C537="IN",I537=90),VLOOKUP(T537,'CAFCO 300 IDIEM TABLAS'!$F$4:$H$35,2,FALSE),0)+IF(AND(L537="Cafco 300",J537&gt;=95,J537&lt;=400,G537=3,C537="IN",I537=120),VLOOKUP(T537,'CAFCO 300 IDIEM TABLAS'!$F$4:$H$35,3,FALSE),0)+IF(AND(L537="Cafco 300",J537&gt;=95,J537&lt;=450,G537=4,C537="IN",I537=90),VLOOKUP(T537,'CAFCO 300 IDIEM TABLAS'!$J$4:$L$40,2,FALSE),0)+IF(AND(L537="Cafco 300",J537&gt;=95,J537&lt;=450,G537=4,C537="IN",I537=120),VLOOKUP(T537,'CAFCO 300 IDIEM TABLAS'!$J$4:$L$40,3,FALSE),0)+IF(AND(M537="Ensayo Idiem",L537="Cafco 400",C537="IN",G537=4,I537=90),VLOOKUP(T537,'CAFCO 400 ENSAYO'!$B$7:$D$43,2,FALSE),0)+IF(AND(M537="Ensayo Idiem",L537="Cafco 400",C537="IN",G537=4,I537=120),VLOOKUP(T537,'CAFCO 400 ENSAYO'!$B$7:$D$43,3,FALSE),0)</f>
        <v>0</v>
      </c>
      <c r="O537" s="96">
        <f t="shared" si="60"/>
        <v>0</v>
      </c>
      <c r="P537" s="132" t="str">
        <f t="shared" si="55"/>
        <v>N/A</v>
      </c>
      <c r="Q537" s="132" t="str">
        <f t="shared" si="56"/>
        <v>N/A</v>
      </c>
      <c r="R537" s="132" t="str">
        <f t="shared" si="57"/>
        <v>NO CERT.</v>
      </c>
      <c r="S537" s="132" t="e">
        <f t="shared" si="58"/>
        <v>#N/A</v>
      </c>
      <c r="T537" s="133" t="e">
        <f>+IF(J537=LOOKUP(J537,'CAFCO 300 IDIEM TABLAS'!$J$4:$J$40),'CALCULO MORTERO'!J537,MROUND('CALCULO MORTERO'!J537,10))</f>
        <v>#N/A</v>
      </c>
      <c r="U537" s="134">
        <f t="shared" si="59"/>
        <v>0</v>
      </c>
      <c r="Y537" s="4"/>
      <c r="Z537" s="4"/>
      <c r="AA537" s="4"/>
    </row>
    <row r="538" spans="1:27" x14ac:dyDescent="0.25">
      <c r="A538" s="118">
        <f>+CUBICACION!D532</f>
        <v>0</v>
      </c>
      <c r="B538" s="819">
        <f>+CUBICACION!E532</f>
        <v>0</v>
      </c>
      <c r="C538" s="675">
        <f>+CUBICACION!F532</f>
        <v>0</v>
      </c>
      <c r="D538" s="118"/>
      <c r="E538" s="118"/>
      <c r="F538" s="820"/>
      <c r="G538" s="675">
        <f>+CUBICACION!J532</f>
        <v>0</v>
      </c>
      <c r="H538" s="118"/>
      <c r="I538" s="821">
        <f>+CUBICACION!L532</f>
        <v>0</v>
      </c>
      <c r="J538" s="64">
        <f>+CUBICACION!M532</f>
        <v>0</v>
      </c>
      <c r="K538" s="822" t="str">
        <f>+CUBICACION!N532</f>
        <v/>
      </c>
      <c r="L538" s="118">
        <f>+CUBICACION!O532</f>
        <v>0</v>
      </c>
      <c r="M538" s="823">
        <f>+CUBICACION!P532</f>
        <v>0</v>
      </c>
      <c r="N538" s="902">
        <f>ROUND(IF(AND(L538="Blaze Shield II",M538="Software Idiem",C538="IN",G538=4),((('BLAZE SHIELD II'!$D$4*('CALCULO MORTERO'!I538^2)+'BLAZE SHIELD II'!$D$5*'CALCULO MORTERO'!I538+'BLAZE SHIELD II'!$D$6)*LN(J538))+('BLAZE SHIELD II'!$D$7*('CALCULO MORTERO'!I538^2)+'BLAZE SHIELD II'!$D$8*'CALCULO MORTERO'!I538+'BLAZE SHIELD II'!$D$9)),0)+IF(AND(L538="Blaze Shield II",M538="Software Idiem",C538="Cj"),((('BLAZE SHIELD II'!$H$4*('CALCULO MORTERO'!I538^2)+'BLAZE SHIELD II'!$H$5*'CALCULO MORTERO'!I538+'BLAZE SHIELD II'!$H$6)*LN(J538))+('BLAZE SHIELD II'!$H$7*('CALCULO MORTERO'!I538^2)+'BLAZE SHIELD II'!$H$8*'CALCULO MORTERO'!I538+'BLAZE SHIELD II'!$H$9)),0)+IF(AND(L538="Blaze Shield II",M538="Software Idiem",C538="C"),((('BLAZE SHIELD II'!$L$4*('CALCULO MORTERO'!I538^2)+'BLAZE SHIELD II'!$L$5*'CALCULO MORTERO'!I538+'BLAZE SHIELD II'!$L$6)*LN(J538))+('BLAZE SHIELD II'!$L$7*('CALCULO MORTERO'!I538^2)+'BLAZE SHIELD II'!$L$8*'CALCULO MORTERO'!I538+'BLAZE SHIELD II'!$L$9)),0)+IF(AND(L538="Blaze Shield II",M538="Software Idiem",C538="L"),((('BLAZE SHIELD II'!$L$4*('CALCULO MORTERO'!I538^2)+'BLAZE SHIELD II'!$L$5*'CALCULO MORTERO'!I538+'BLAZE SHIELD II'!$L$6)*LN(J538))+('BLAZE SHIELD II'!$L$7*('CALCULO MORTERO'!I538^2)+'BLAZE SHIELD II'!$L$8*'CALCULO MORTERO'!I538+'BLAZE SHIELD II'!$L$9)),0)+IF(AND(L538="Blaze Shield II",M538="Software Idiem",C538="IN",G538=3),((('BLAZE SHIELD II'!$H$14*('CALCULO MORTERO'!I538^2)+'BLAZE SHIELD II'!$H$15*'CALCULO MORTERO'!I538+'BLAZE SHIELD II'!$H$16)*LN(J538))+('BLAZE SHIELD II'!$H$17*('CALCULO MORTERO'!I538^2)+'BLAZE SHIELD II'!$H$18*'CALCULO MORTERO'!I538+'BLAZE SHIELD II'!$H$19)),0),0)+ROUND(IF(AND(L538="Cafco 400",M538="Software Idiem",C538="IN",G538=4),((('CAFCO 400 '!$H$7*(J538^4)+'CAFCO 400 '!$H$8*(J538^3)+'CAFCO 400 '!$H$9*(J538^2)+'CAFCO 400 '!$H$10*J538+'CAFCO 400 '!$H$11)*U538^2)+(('CAFCO 400 '!$H$12*(J538^3)+'CAFCO 400 '!$H$13*(J538^2)+'CAFCO 400 '!$H$14*J538+'CAFCO 400 '!$H$15)*U538)+('CAFCO 400 '!$H$16*(J538^2)+'CAFCO 400 '!$H$17*J538+'CAFCO 400 '!$H$18)),0)+IF(AND(L538="Cafco 400",M538="Software Idiem",C538="Cj"),(((('CAFCO 400 '!$D$7*LN(J538)+'CAFCO 400 '!$D$8)*U538^2)+(('CAFCO 400 '!$D$9*LN(J538)+'CAFCO 400 '!$D$10)*U538)+('CAFCO 400 '!$D$11*LN(J538)+'CAFCO 400 '!$D$12))),0)+IF(AND(L538="Cafco 400",M538="Software Idiem",C538="C"),((('CAFCO 400 '!$L$7*(J538^3)+'CAFCO 400 '!$L$8*(J538^2)+'CAFCO 400 '!$L$9*J538+'CAFCO 400 '!$L$10)*U538^2)+(('CAFCO 400 '!$L$11*(J538^3)+'CAFCO 400 '!$L$12*(J538^2)+'CAFCO 400 '!$L$13*J538+'CAFCO 400 '!$L$14)*U538)+('CAFCO 400 '!$L$15*LN(J538)+'CAFCO 400 '!$L$16)),0)+IF(AND(L538="Cafco 400",M538="Software Idiem",C538="L"),((('CAFCO 400 '!$L$7*(J538^3)+'CAFCO 400 '!$L$8*(J538^2)+'CAFCO 400 '!$L$9*J538+'CAFCO 400 '!$L$10)*U538^2)+(('CAFCO 400 '!$L$11*(J538^3)+'CAFCO 400 '!$L$12*(J538^2)+'CAFCO 400 '!$L$13*J538+'CAFCO 400 '!$L$14)*U538)+('CAFCO 400 '!$L$15*LN(J538)+'CAFCO 400 '!$L$16)),0)+IF(AND(L538="Cafco 400",M538="Software Idiem",C538="IN",G538=3),((('CAFCO 400 '!$D$23*(J538^2)+'CAFCO 400 '!$D$24*(J538)+'CAFCO 400 '!$D$25)*U538^2)+(('CAFCO 400 '!$D$26*(J538^2)+'CAFCO 400 '!$D$27*J538+'CAFCO 400 '!$D$28)*U538)+('CAFCO 400 '!$D$29*(J538^2)+'CAFCO 400 '!$D$30*J538+'CAFCO 400 '!$D$31)),0),0)+IF(AND(L538="Cafco 300",J538&gt;=95,J538&lt;=240,C538="Cj",I538=90),VLOOKUP(T538,'CAFCO 300 IDIEM TABLAS'!$B$4:$D$23,2,FALSE),0)+IF(AND(L538="Cafco 300",J538&gt;=95,J538&lt;=240,C538="Cj",I538=120),VLOOKUP(T538,'CAFCO 300 IDIEM TABLAS'!$B$4:$D$23,3,FALSE),0)+IF(AND(L538="Cafco 300",J538&gt;=95,J538&lt;=400,G538=3,C538="IN",I538=90),VLOOKUP(T538,'CAFCO 300 IDIEM TABLAS'!$F$4:$H$35,2,FALSE),0)+IF(AND(L538="Cafco 300",J538&gt;=95,J538&lt;=400,G538=3,C538="IN",I538=120),VLOOKUP(T538,'CAFCO 300 IDIEM TABLAS'!$F$4:$H$35,3,FALSE),0)+IF(AND(L538="Cafco 300",J538&gt;=95,J538&lt;=450,G538=4,C538="IN",I538=90),VLOOKUP(T538,'CAFCO 300 IDIEM TABLAS'!$J$4:$L$40,2,FALSE),0)+IF(AND(L538="Cafco 300",J538&gt;=95,J538&lt;=450,G538=4,C538="IN",I538=120),VLOOKUP(T538,'CAFCO 300 IDIEM TABLAS'!$J$4:$L$40,3,FALSE),0)+IF(AND(M538="Ensayo Idiem",L538="Cafco 400",C538="IN",G538=4,I538=90),VLOOKUP(T538,'CAFCO 400 ENSAYO'!$B$7:$D$43,2,FALSE),0)+IF(AND(M538="Ensayo Idiem",L538="Cafco 400",C538="IN",G538=4,I538=120),VLOOKUP(T538,'CAFCO 400 ENSAYO'!$B$7:$D$43,3,FALSE),0)</f>
        <v>0</v>
      </c>
      <c r="O538" s="96">
        <f t="shared" si="60"/>
        <v>0</v>
      </c>
      <c r="P538" s="95" t="str">
        <f t="shared" si="55"/>
        <v>N/A</v>
      </c>
      <c r="Q538" s="95" t="str">
        <f t="shared" si="56"/>
        <v>N/A</v>
      </c>
      <c r="R538" s="95" t="str">
        <f t="shared" si="57"/>
        <v>NO CERT.</v>
      </c>
      <c r="S538" s="95" t="e">
        <f t="shared" si="58"/>
        <v>#N/A</v>
      </c>
      <c r="T538" s="119" t="e">
        <f>+IF(J538=LOOKUP(J538,'CAFCO 300 IDIEM TABLAS'!$J$4:$J$40),'CALCULO MORTERO'!J538,MROUND('CALCULO MORTERO'!J538,10))</f>
        <v>#N/A</v>
      </c>
      <c r="U538" s="118">
        <f t="shared" si="59"/>
        <v>0</v>
      </c>
      <c r="Y538" s="4"/>
      <c r="Z538" s="4"/>
      <c r="AA538" s="4"/>
    </row>
    <row r="539" spans="1:27" x14ac:dyDescent="0.25">
      <c r="A539" s="118">
        <f>+CUBICACION!D533</f>
        <v>0</v>
      </c>
      <c r="B539" s="819">
        <f>+CUBICACION!E533</f>
        <v>0</v>
      </c>
      <c r="C539" s="675">
        <f>+CUBICACION!F533</f>
        <v>0</v>
      </c>
      <c r="D539" s="118"/>
      <c r="E539" s="118"/>
      <c r="F539" s="820"/>
      <c r="G539" s="675">
        <f>+CUBICACION!J533</f>
        <v>0</v>
      </c>
      <c r="H539" s="118"/>
      <c r="I539" s="821">
        <f>+CUBICACION!L533</f>
        <v>0</v>
      </c>
      <c r="J539" s="64">
        <f>+CUBICACION!M533</f>
        <v>0</v>
      </c>
      <c r="K539" s="822" t="str">
        <f>+CUBICACION!N533</f>
        <v/>
      </c>
      <c r="L539" s="118">
        <f>+CUBICACION!O533</f>
        <v>0</v>
      </c>
      <c r="M539" s="823">
        <f>+CUBICACION!P533</f>
        <v>0</v>
      </c>
      <c r="N539" s="902">
        <f>ROUND(IF(AND(L539="Blaze Shield II",M539="Software Idiem",C539="IN",G539=4),((('BLAZE SHIELD II'!$D$4*('CALCULO MORTERO'!I539^2)+'BLAZE SHIELD II'!$D$5*'CALCULO MORTERO'!I539+'BLAZE SHIELD II'!$D$6)*LN(J539))+('BLAZE SHIELD II'!$D$7*('CALCULO MORTERO'!I539^2)+'BLAZE SHIELD II'!$D$8*'CALCULO MORTERO'!I539+'BLAZE SHIELD II'!$D$9)),0)+IF(AND(L539="Blaze Shield II",M539="Software Idiem",C539="Cj"),((('BLAZE SHIELD II'!$H$4*('CALCULO MORTERO'!I539^2)+'BLAZE SHIELD II'!$H$5*'CALCULO MORTERO'!I539+'BLAZE SHIELD II'!$H$6)*LN(J539))+('BLAZE SHIELD II'!$H$7*('CALCULO MORTERO'!I539^2)+'BLAZE SHIELD II'!$H$8*'CALCULO MORTERO'!I539+'BLAZE SHIELD II'!$H$9)),0)+IF(AND(L539="Blaze Shield II",M539="Software Idiem",C539="C"),((('BLAZE SHIELD II'!$L$4*('CALCULO MORTERO'!I539^2)+'BLAZE SHIELD II'!$L$5*'CALCULO MORTERO'!I539+'BLAZE SHIELD II'!$L$6)*LN(J539))+('BLAZE SHIELD II'!$L$7*('CALCULO MORTERO'!I539^2)+'BLAZE SHIELD II'!$L$8*'CALCULO MORTERO'!I539+'BLAZE SHIELD II'!$L$9)),0)+IF(AND(L539="Blaze Shield II",M539="Software Idiem",C539="L"),((('BLAZE SHIELD II'!$L$4*('CALCULO MORTERO'!I539^2)+'BLAZE SHIELD II'!$L$5*'CALCULO MORTERO'!I539+'BLAZE SHIELD II'!$L$6)*LN(J539))+('BLAZE SHIELD II'!$L$7*('CALCULO MORTERO'!I539^2)+'BLAZE SHIELD II'!$L$8*'CALCULO MORTERO'!I539+'BLAZE SHIELD II'!$L$9)),0)+IF(AND(L539="Blaze Shield II",M539="Software Idiem",C539="IN",G539=3),((('BLAZE SHIELD II'!$H$14*('CALCULO MORTERO'!I539^2)+'BLAZE SHIELD II'!$H$15*'CALCULO MORTERO'!I539+'BLAZE SHIELD II'!$H$16)*LN(J539))+('BLAZE SHIELD II'!$H$17*('CALCULO MORTERO'!I539^2)+'BLAZE SHIELD II'!$H$18*'CALCULO MORTERO'!I539+'BLAZE SHIELD II'!$H$19)),0),0)+ROUND(IF(AND(L539="Cafco 400",M539="Software Idiem",C539="IN",G539=4),((('CAFCO 400 '!$H$7*(J539^4)+'CAFCO 400 '!$H$8*(J539^3)+'CAFCO 400 '!$H$9*(J539^2)+'CAFCO 400 '!$H$10*J539+'CAFCO 400 '!$H$11)*U539^2)+(('CAFCO 400 '!$H$12*(J539^3)+'CAFCO 400 '!$H$13*(J539^2)+'CAFCO 400 '!$H$14*J539+'CAFCO 400 '!$H$15)*U539)+('CAFCO 400 '!$H$16*(J539^2)+'CAFCO 400 '!$H$17*J539+'CAFCO 400 '!$H$18)),0)+IF(AND(L539="Cafco 400",M539="Software Idiem",C539="Cj"),(((('CAFCO 400 '!$D$7*LN(J539)+'CAFCO 400 '!$D$8)*U539^2)+(('CAFCO 400 '!$D$9*LN(J539)+'CAFCO 400 '!$D$10)*U539)+('CAFCO 400 '!$D$11*LN(J539)+'CAFCO 400 '!$D$12))),0)+IF(AND(L539="Cafco 400",M539="Software Idiem",C539="C"),((('CAFCO 400 '!$L$7*(J539^3)+'CAFCO 400 '!$L$8*(J539^2)+'CAFCO 400 '!$L$9*J539+'CAFCO 400 '!$L$10)*U539^2)+(('CAFCO 400 '!$L$11*(J539^3)+'CAFCO 400 '!$L$12*(J539^2)+'CAFCO 400 '!$L$13*J539+'CAFCO 400 '!$L$14)*U539)+('CAFCO 400 '!$L$15*LN(J539)+'CAFCO 400 '!$L$16)),0)+IF(AND(L539="Cafco 400",M539="Software Idiem",C539="L"),((('CAFCO 400 '!$L$7*(J539^3)+'CAFCO 400 '!$L$8*(J539^2)+'CAFCO 400 '!$L$9*J539+'CAFCO 400 '!$L$10)*U539^2)+(('CAFCO 400 '!$L$11*(J539^3)+'CAFCO 400 '!$L$12*(J539^2)+'CAFCO 400 '!$L$13*J539+'CAFCO 400 '!$L$14)*U539)+('CAFCO 400 '!$L$15*LN(J539)+'CAFCO 400 '!$L$16)),0)+IF(AND(L539="Cafco 400",M539="Software Idiem",C539="IN",G539=3),((('CAFCO 400 '!$D$23*(J539^2)+'CAFCO 400 '!$D$24*(J539)+'CAFCO 400 '!$D$25)*U539^2)+(('CAFCO 400 '!$D$26*(J539^2)+'CAFCO 400 '!$D$27*J539+'CAFCO 400 '!$D$28)*U539)+('CAFCO 400 '!$D$29*(J539^2)+'CAFCO 400 '!$D$30*J539+'CAFCO 400 '!$D$31)),0),0)+IF(AND(L539="Cafco 300",J539&gt;=95,J539&lt;=240,C539="Cj",I539=90),VLOOKUP(T539,'CAFCO 300 IDIEM TABLAS'!$B$4:$D$23,2,FALSE),0)+IF(AND(L539="Cafco 300",J539&gt;=95,J539&lt;=240,C539="Cj",I539=120),VLOOKUP(T539,'CAFCO 300 IDIEM TABLAS'!$B$4:$D$23,3,FALSE),0)+IF(AND(L539="Cafco 300",J539&gt;=95,J539&lt;=400,G539=3,C539="IN",I539=90),VLOOKUP(T539,'CAFCO 300 IDIEM TABLAS'!$F$4:$H$35,2,FALSE),0)+IF(AND(L539="Cafco 300",J539&gt;=95,J539&lt;=400,G539=3,C539="IN",I539=120),VLOOKUP(T539,'CAFCO 300 IDIEM TABLAS'!$F$4:$H$35,3,FALSE),0)+IF(AND(L539="Cafco 300",J539&gt;=95,J539&lt;=450,G539=4,C539="IN",I539=90),VLOOKUP(T539,'CAFCO 300 IDIEM TABLAS'!$J$4:$L$40,2,FALSE),0)+IF(AND(L539="Cafco 300",J539&gt;=95,J539&lt;=450,G539=4,C539="IN",I539=120),VLOOKUP(T539,'CAFCO 300 IDIEM TABLAS'!$J$4:$L$40,3,FALSE),0)+IF(AND(M539="Ensayo Idiem",L539="Cafco 400",C539="IN",G539=4,I539=90),VLOOKUP(T539,'CAFCO 400 ENSAYO'!$B$7:$D$43,2,FALSE),0)+IF(AND(M539="Ensayo Idiem",L539="Cafco 400",C539="IN",G539=4,I539=120),VLOOKUP(T539,'CAFCO 400 ENSAYO'!$B$7:$D$43,3,FALSE),0)</f>
        <v>0</v>
      </c>
      <c r="O539" s="96">
        <f t="shared" si="60"/>
        <v>0</v>
      </c>
      <c r="P539" s="132" t="str">
        <f t="shared" si="55"/>
        <v>N/A</v>
      </c>
      <c r="Q539" s="132" t="str">
        <f t="shared" si="56"/>
        <v>N/A</v>
      </c>
      <c r="R539" s="132" t="str">
        <f t="shared" si="57"/>
        <v>NO CERT.</v>
      </c>
      <c r="S539" s="132" t="e">
        <f t="shared" si="58"/>
        <v>#N/A</v>
      </c>
      <c r="T539" s="133" t="e">
        <f>+IF(J539=LOOKUP(J539,'CAFCO 300 IDIEM TABLAS'!$J$4:$J$40),'CALCULO MORTERO'!J539,MROUND('CALCULO MORTERO'!J539,10))</f>
        <v>#N/A</v>
      </c>
      <c r="U539" s="134">
        <f t="shared" si="59"/>
        <v>0</v>
      </c>
      <c r="Y539" s="4"/>
      <c r="Z539" s="4"/>
      <c r="AA539" s="4"/>
    </row>
    <row r="540" spans="1:27" x14ac:dyDescent="0.25">
      <c r="A540" s="118">
        <f>+CUBICACION!D534</f>
        <v>0</v>
      </c>
      <c r="B540" s="819">
        <f>+CUBICACION!E534</f>
        <v>0</v>
      </c>
      <c r="C540" s="675">
        <f>+CUBICACION!F534</f>
        <v>0</v>
      </c>
      <c r="D540" s="118"/>
      <c r="E540" s="118"/>
      <c r="F540" s="820"/>
      <c r="G540" s="675">
        <f>+CUBICACION!J534</f>
        <v>0</v>
      </c>
      <c r="H540" s="118"/>
      <c r="I540" s="821">
        <f>+CUBICACION!L534</f>
        <v>0</v>
      </c>
      <c r="J540" s="64">
        <f>+CUBICACION!M534</f>
        <v>0</v>
      </c>
      <c r="K540" s="822" t="str">
        <f>+CUBICACION!N534</f>
        <v/>
      </c>
      <c r="L540" s="118">
        <f>+CUBICACION!O534</f>
        <v>0</v>
      </c>
      <c r="M540" s="823">
        <f>+CUBICACION!P534</f>
        <v>0</v>
      </c>
      <c r="N540" s="902">
        <f>ROUND(IF(AND(L540="Blaze Shield II",M540="Software Idiem",C540="IN",G540=4),((('BLAZE SHIELD II'!$D$4*('CALCULO MORTERO'!I540^2)+'BLAZE SHIELD II'!$D$5*'CALCULO MORTERO'!I540+'BLAZE SHIELD II'!$D$6)*LN(J540))+('BLAZE SHIELD II'!$D$7*('CALCULO MORTERO'!I540^2)+'BLAZE SHIELD II'!$D$8*'CALCULO MORTERO'!I540+'BLAZE SHIELD II'!$D$9)),0)+IF(AND(L540="Blaze Shield II",M540="Software Idiem",C540="Cj"),((('BLAZE SHIELD II'!$H$4*('CALCULO MORTERO'!I540^2)+'BLAZE SHIELD II'!$H$5*'CALCULO MORTERO'!I540+'BLAZE SHIELD II'!$H$6)*LN(J540))+('BLAZE SHIELD II'!$H$7*('CALCULO MORTERO'!I540^2)+'BLAZE SHIELD II'!$H$8*'CALCULO MORTERO'!I540+'BLAZE SHIELD II'!$H$9)),0)+IF(AND(L540="Blaze Shield II",M540="Software Idiem",C540="C"),((('BLAZE SHIELD II'!$L$4*('CALCULO MORTERO'!I540^2)+'BLAZE SHIELD II'!$L$5*'CALCULO MORTERO'!I540+'BLAZE SHIELD II'!$L$6)*LN(J540))+('BLAZE SHIELD II'!$L$7*('CALCULO MORTERO'!I540^2)+'BLAZE SHIELD II'!$L$8*'CALCULO MORTERO'!I540+'BLAZE SHIELD II'!$L$9)),0)+IF(AND(L540="Blaze Shield II",M540="Software Idiem",C540="L"),((('BLAZE SHIELD II'!$L$4*('CALCULO MORTERO'!I540^2)+'BLAZE SHIELD II'!$L$5*'CALCULO MORTERO'!I540+'BLAZE SHIELD II'!$L$6)*LN(J540))+('BLAZE SHIELD II'!$L$7*('CALCULO MORTERO'!I540^2)+'BLAZE SHIELD II'!$L$8*'CALCULO MORTERO'!I540+'BLAZE SHIELD II'!$L$9)),0)+IF(AND(L540="Blaze Shield II",M540="Software Idiem",C540="IN",G540=3),((('BLAZE SHIELD II'!$H$14*('CALCULO MORTERO'!I540^2)+'BLAZE SHIELD II'!$H$15*'CALCULO MORTERO'!I540+'BLAZE SHIELD II'!$H$16)*LN(J540))+('BLAZE SHIELD II'!$H$17*('CALCULO MORTERO'!I540^2)+'BLAZE SHIELD II'!$H$18*'CALCULO MORTERO'!I540+'BLAZE SHIELD II'!$H$19)),0),0)+ROUND(IF(AND(L540="Cafco 400",M540="Software Idiem",C540="IN",G540=4),((('CAFCO 400 '!$H$7*(J540^4)+'CAFCO 400 '!$H$8*(J540^3)+'CAFCO 400 '!$H$9*(J540^2)+'CAFCO 400 '!$H$10*J540+'CAFCO 400 '!$H$11)*U540^2)+(('CAFCO 400 '!$H$12*(J540^3)+'CAFCO 400 '!$H$13*(J540^2)+'CAFCO 400 '!$H$14*J540+'CAFCO 400 '!$H$15)*U540)+('CAFCO 400 '!$H$16*(J540^2)+'CAFCO 400 '!$H$17*J540+'CAFCO 400 '!$H$18)),0)+IF(AND(L540="Cafco 400",M540="Software Idiem",C540="Cj"),(((('CAFCO 400 '!$D$7*LN(J540)+'CAFCO 400 '!$D$8)*U540^2)+(('CAFCO 400 '!$D$9*LN(J540)+'CAFCO 400 '!$D$10)*U540)+('CAFCO 400 '!$D$11*LN(J540)+'CAFCO 400 '!$D$12))),0)+IF(AND(L540="Cafco 400",M540="Software Idiem",C540="C"),((('CAFCO 400 '!$L$7*(J540^3)+'CAFCO 400 '!$L$8*(J540^2)+'CAFCO 400 '!$L$9*J540+'CAFCO 400 '!$L$10)*U540^2)+(('CAFCO 400 '!$L$11*(J540^3)+'CAFCO 400 '!$L$12*(J540^2)+'CAFCO 400 '!$L$13*J540+'CAFCO 400 '!$L$14)*U540)+('CAFCO 400 '!$L$15*LN(J540)+'CAFCO 400 '!$L$16)),0)+IF(AND(L540="Cafco 400",M540="Software Idiem",C540="L"),((('CAFCO 400 '!$L$7*(J540^3)+'CAFCO 400 '!$L$8*(J540^2)+'CAFCO 400 '!$L$9*J540+'CAFCO 400 '!$L$10)*U540^2)+(('CAFCO 400 '!$L$11*(J540^3)+'CAFCO 400 '!$L$12*(J540^2)+'CAFCO 400 '!$L$13*J540+'CAFCO 400 '!$L$14)*U540)+('CAFCO 400 '!$L$15*LN(J540)+'CAFCO 400 '!$L$16)),0)+IF(AND(L540="Cafco 400",M540="Software Idiem",C540="IN",G540=3),((('CAFCO 400 '!$D$23*(J540^2)+'CAFCO 400 '!$D$24*(J540)+'CAFCO 400 '!$D$25)*U540^2)+(('CAFCO 400 '!$D$26*(J540^2)+'CAFCO 400 '!$D$27*J540+'CAFCO 400 '!$D$28)*U540)+('CAFCO 400 '!$D$29*(J540^2)+'CAFCO 400 '!$D$30*J540+'CAFCO 400 '!$D$31)),0),0)+IF(AND(L540="Cafco 300",J540&gt;=95,J540&lt;=240,C540="Cj",I540=90),VLOOKUP(T540,'CAFCO 300 IDIEM TABLAS'!$B$4:$D$23,2,FALSE),0)+IF(AND(L540="Cafco 300",J540&gt;=95,J540&lt;=240,C540="Cj",I540=120),VLOOKUP(T540,'CAFCO 300 IDIEM TABLAS'!$B$4:$D$23,3,FALSE),0)+IF(AND(L540="Cafco 300",J540&gt;=95,J540&lt;=400,G540=3,C540="IN",I540=90),VLOOKUP(T540,'CAFCO 300 IDIEM TABLAS'!$F$4:$H$35,2,FALSE),0)+IF(AND(L540="Cafco 300",J540&gt;=95,J540&lt;=400,G540=3,C540="IN",I540=120),VLOOKUP(T540,'CAFCO 300 IDIEM TABLAS'!$F$4:$H$35,3,FALSE),0)+IF(AND(L540="Cafco 300",J540&gt;=95,J540&lt;=450,G540=4,C540="IN",I540=90),VLOOKUP(T540,'CAFCO 300 IDIEM TABLAS'!$J$4:$L$40,2,FALSE),0)+IF(AND(L540="Cafco 300",J540&gt;=95,J540&lt;=450,G540=4,C540="IN",I540=120),VLOOKUP(T540,'CAFCO 300 IDIEM TABLAS'!$J$4:$L$40,3,FALSE),0)+IF(AND(M540="Ensayo Idiem",L540="Cafco 400",C540="IN",G540=4,I540=90),VLOOKUP(T540,'CAFCO 400 ENSAYO'!$B$7:$D$43,2,FALSE),0)+IF(AND(M540="Ensayo Idiem",L540="Cafco 400",C540="IN",G540=4,I540=120),VLOOKUP(T540,'CAFCO 400 ENSAYO'!$B$7:$D$43,3,FALSE),0)</f>
        <v>0</v>
      </c>
      <c r="O540" s="96">
        <f t="shared" si="60"/>
        <v>0</v>
      </c>
      <c r="P540" s="95" t="str">
        <f t="shared" si="55"/>
        <v>N/A</v>
      </c>
      <c r="Q540" s="95" t="str">
        <f t="shared" si="56"/>
        <v>N/A</v>
      </c>
      <c r="R540" s="95" t="str">
        <f t="shared" si="57"/>
        <v>NO CERT.</v>
      </c>
      <c r="S540" s="95" t="e">
        <f t="shared" si="58"/>
        <v>#N/A</v>
      </c>
      <c r="T540" s="119" t="e">
        <f>+IF(J540=LOOKUP(J540,'CAFCO 300 IDIEM TABLAS'!$J$4:$J$40),'CALCULO MORTERO'!J540,MROUND('CALCULO MORTERO'!J540,10))</f>
        <v>#N/A</v>
      </c>
      <c r="U540" s="118">
        <f t="shared" si="59"/>
        <v>0</v>
      </c>
      <c r="Y540" s="4"/>
      <c r="Z540" s="4"/>
      <c r="AA540" s="4"/>
    </row>
    <row r="541" spans="1:27" x14ac:dyDescent="0.25">
      <c r="A541" s="118">
        <f>+CUBICACION!D535</f>
        <v>0</v>
      </c>
      <c r="B541" s="819">
        <f>+CUBICACION!E535</f>
        <v>0</v>
      </c>
      <c r="C541" s="675">
        <f>+CUBICACION!F535</f>
        <v>0</v>
      </c>
      <c r="D541" s="118"/>
      <c r="E541" s="118"/>
      <c r="F541" s="820"/>
      <c r="G541" s="675">
        <f>+CUBICACION!J535</f>
        <v>0</v>
      </c>
      <c r="H541" s="118"/>
      <c r="I541" s="821">
        <f>+CUBICACION!L535</f>
        <v>0</v>
      </c>
      <c r="J541" s="64">
        <f>+CUBICACION!M535</f>
        <v>0</v>
      </c>
      <c r="K541" s="822" t="str">
        <f>+CUBICACION!N535</f>
        <v/>
      </c>
      <c r="L541" s="118">
        <f>+CUBICACION!O535</f>
        <v>0</v>
      </c>
      <c r="M541" s="823">
        <f>+CUBICACION!P535</f>
        <v>0</v>
      </c>
      <c r="N541" s="902">
        <f>ROUND(IF(AND(L541="Blaze Shield II",M541="Software Idiem",C541="IN",G541=4),((('BLAZE SHIELD II'!$D$4*('CALCULO MORTERO'!I541^2)+'BLAZE SHIELD II'!$D$5*'CALCULO MORTERO'!I541+'BLAZE SHIELD II'!$D$6)*LN(J541))+('BLAZE SHIELD II'!$D$7*('CALCULO MORTERO'!I541^2)+'BLAZE SHIELD II'!$D$8*'CALCULO MORTERO'!I541+'BLAZE SHIELD II'!$D$9)),0)+IF(AND(L541="Blaze Shield II",M541="Software Idiem",C541="Cj"),((('BLAZE SHIELD II'!$H$4*('CALCULO MORTERO'!I541^2)+'BLAZE SHIELD II'!$H$5*'CALCULO MORTERO'!I541+'BLAZE SHIELD II'!$H$6)*LN(J541))+('BLAZE SHIELD II'!$H$7*('CALCULO MORTERO'!I541^2)+'BLAZE SHIELD II'!$H$8*'CALCULO MORTERO'!I541+'BLAZE SHIELD II'!$H$9)),0)+IF(AND(L541="Blaze Shield II",M541="Software Idiem",C541="C"),((('BLAZE SHIELD II'!$L$4*('CALCULO MORTERO'!I541^2)+'BLAZE SHIELD II'!$L$5*'CALCULO MORTERO'!I541+'BLAZE SHIELD II'!$L$6)*LN(J541))+('BLAZE SHIELD II'!$L$7*('CALCULO MORTERO'!I541^2)+'BLAZE SHIELD II'!$L$8*'CALCULO MORTERO'!I541+'BLAZE SHIELD II'!$L$9)),0)+IF(AND(L541="Blaze Shield II",M541="Software Idiem",C541="L"),((('BLAZE SHIELD II'!$L$4*('CALCULO MORTERO'!I541^2)+'BLAZE SHIELD II'!$L$5*'CALCULO MORTERO'!I541+'BLAZE SHIELD II'!$L$6)*LN(J541))+('BLAZE SHIELD II'!$L$7*('CALCULO MORTERO'!I541^2)+'BLAZE SHIELD II'!$L$8*'CALCULO MORTERO'!I541+'BLAZE SHIELD II'!$L$9)),0)+IF(AND(L541="Blaze Shield II",M541="Software Idiem",C541="IN",G541=3),((('BLAZE SHIELD II'!$H$14*('CALCULO MORTERO'!I541^2)+'BLAZE SHIELD II'!$H$15*'CALCULO MORTERO'!I541+'BLAZE SHIELD II'!$H$16)*LN(J541))+('BLAZE SHIELD II'!$H$17*('CALCULO MORTERO'!I541^2)+'BLAZE SHIELD II'!$H$18*'CALCULO MORTERO'!I541+'BLAZE SHIELD II'!$H$19)),0),0)+ROUND(IF(AND(L541="Cafco 400",M541="Software Idiem",C541="IN",G541=4),((('CAFCO 400 '!$H$7*(J541^4)+'CAFCO 400 '!$H$8*(J541^3)+'CAFCO 400 '!$H$9*(J541^2)+'CAFCO 400 '!$H$10*J541+'CAFCO 400 '!$H$11)*U541^2)+(('CAFCO 400 '!$H$12*(J541^3)+'CAFCO 400 '!$H$13*(J541^2)+'CAFCO 400 '!$H$14*J541+'CAFCO 400 '!$H$15)*U541)+('CAFCO 400 '!$H$16*(J541^2)+'CAFCO 400 '!$H$17*J541+'CAFCO 400 '!$H$18)),0)+IF(AND(L541="Cafco 400",M541="Software Idiem",C541="Cj"),(((('CAFCO 400 '!$D$7*LN(J541)+'CAFCO 400 '!$D$8)*U541^2)+(('CAFCO 400 '!$D$9*LN(J541)+'CAFCO 400 '!$D$10)*U541)+('CAFCO 400 '!$D$11*LN(J541)+'CAFCO 400 '!$D$12))),0)+IF(AND(L541="Cafco 400",M541="Software Idiem",C541="C"),((('CAFCO 400 '!$L$7*(J541^3)+'CAFCO 400 '!$L$8*(J541^2)+'CAFCO 400 '!$L$9*J541+'CAFCO 400 '!$L$10)*U541^2)+(('CAFCO 400 '!$L$11*(J541^3)+'CAFCO 400 '!$L$12*(J541^2)+'CAFCO 400 '!$L$13*J541+'CAFCO 400 '!$L$14)*U541)+('CAFCO 400 '!$L$15*LN(J541)+'CAFCO 400 '!$L$16)),0)+IF(AND(L541="Cafco 400",M541="Software Idiem",C541="L"),((('CAFCO 400 '!$L$7*(J541^3)+'CAFCO 400 '!$L$8*(J541^2)+'CAFCO 400 '!$L$9*J541+'CAFCO 400 '!$L$10)*U541^2)+(('CAFCO 400 '!$L$11*(J541^3)+'CAFCO 400 '!$L$12*(J541^2)+'CAFCO 400 '!$L$13*J541+'CAFCO 400 '!$L$14)*U541)+('CAFCO 400 '!$L$15*LN(J541)+'CAFCO 400 '!$L$16)),0)+IF(AND(L541="Cafco 400",M541="Software Idiem",C541="IN",G541=3),((('CAFCO 400 '!$D$23*(J541^2)+'CAFCO 400 '!$D$24*(J541)+'CAFCO 400 '!$D$25)*U541^2)+(('CAFCO 400 '!$D$26*(J541^2)+'CAFCO 400 '!$D$27*J541+'CAFCO 400 '!$D$28)*U541)+('CAFCO 400 '!$D$29*(J541^2)+'CAFCO 400 '!$D$30*J541+'CAFCO 400 '!$D$31)),0),0)+IF(AND(L541="Cafco 300",J541&gt;=95,J541&lt;=240,C541="Cj",I541=90),VLOOKUP(T541,'CAFCO 300 IDIEM TABLAS'!$B$4:$D$23,2,FALSE),0)+IF(AND(L541="Cafco 300",J541&gt;=95,J541&lt;=240,C541="Cj",I541=120),VLOOKUP(T541,'CAFCO 300 IDIEM TABLAS'!$B$4:$D$23,3,FALSE),0)+IF(AND(L541="Cafco 300",J541&gt;=95,J541&lt;=400,G541=3,C541="IN",I541=90),VLOOKUP(T541,'CAFCO 300 IDIEM TABLAS'!$F$4:$H$35,2,FALSE),0)+IF(AND(L541="Cafco 300",J541&gt;=95,J541&lt;=400,G541=3,C541="IN",I541=120),VLOOKUP(T541,'CAFCO 300 IDIEM TABLAS'!$F$4:$H$35,3,FALSE),0)+IF(AND(L541="Cafco 300",J541&gt;=95,J541&lt;=450,G541=4,C541="IN",I541=90),VLOOKUP(T541,'CAFCO 300 IDIEM TABLAS'!$J$4:$L$40,2,FALSE),0)+IF(AND(L541="Cafco 300",J541&gt;=95,J541&lt;=450,G541=4,C541="IN",I541=120),VLOOKUP(T541,'CAFCO 300 IDIEM TABLAS'!$J$4:$L$40,3,FALSE),0)+IF(AND(M541="Ensayo Idiem",L541="Cafco 400",C541="IN",G541=4,I541=90),VLOOKUP(T541,'CAFCO 400 ENSAYO'!$B$7:$D$43,2,FALSE),0)+IF(AND(M541="Ensayo Idiem",L541="Cafco 400",C541="IN",G541=4,I541=120),VLOOKUP(T541,'CAFCO 400 ENSAYO'!$B$7:$D$43,3,FALSE),0)</f>
        <v>0</v>
      </c>
      <c r="O541" s="96">
        <f t="shared" si="60"/>
        <v>0</v>
      </c>
      <c r="P541" s="132" t="str">
        <f t="shared" si="55"/>
        <v>N/A</v>
      </c>
      <c r="Q541" s="132" t="str">
        <f t="shared" si="56"/>
        <v>N/A</v>
      </c>
      <c r="R541" s="132" t="str">
        <f t="shared" si="57"/>
        <v>NO CERT.</v>
      </c>
      <c r="S541" s="132" t="e">
        <f t="shared" si="58"/>
        <v>#N/A</v>
      </c>
      <c r="T541" s="133" t="e">
        <f>+IF(J541=LOOKUP(J541,'CAFCO 300 IDIEM TABLAS'!$J$4:$J$40),'CALCULO MORTERO'!J541,MROUND('CALCULO MORTERO'!J541,10))</f>
        <v>#N/A</v>
      </c>
      <c r="U541" s="134">
        <f t="shared" si="59"/>
        <v>0</v>
      </c>
      <c r="Y541" s="4"/>
      <c r="Z541" s="4"/>
      <c r="AA541" s="4"/>
    </row>
    <row r="542" spans="1:27" x14ac:dyDescent="0.25">
      <c r="A542" s="118">
        <f>+CUBICACION!D536</f>
        <v>0</v>
      </c>
      <c r="B542" s="819">
        <f>+CUBICACION!E536</f>
        <v>0</v>
      </c>
      <c r="C542" s="675">
        <f>+CUBICACION!F536</f>
        <v>0</v>
      </c>
      <c r="D542" s="118"/>
      <c r="E542" s="118"/>
      <c r="F542" s="820"/>
      <c r="G542" s="675">
        <f>+CUBICACION!J536</f>
        <v>0</v>
      </c>
      <c r="H542" s="118"/>
      <c r="I542" s="821">
        <f>+CUBICACION!L536</f>
        <v>0</v>
      </c>
      <c r="J542" s="64">
        <f>+CUBICACION!M536</f>
        <v>0</v>
      </c>
      <c r="K542" s="822" t="str">
        <f>+CUBICACION!N536</f>
        <v/>
      </c>
      <c r="L542" s="118">
        <f>+CUBICACION!O536</f>
        <v>0</v>
      </c>
      <c r="M542" s="823">
        <f>+CUBICACION!P536</f>
        <v>0</v>
      </c>
      <c r="N542" s="902">
        <f>ROUND(IF(AND(L542="Blaze Shield II",M542="Software Idiem",C542="IN",G542=4),((('BLAZE SHIELD II'!$D$4*('CALCULO MORTERO'!I542^2)+'BLAZE SHIELD II'!$D$5*'CALCULO MORTERO'!I542+'BLAZE SHIELD II'!$D$6)*LN(J542))+('BLAZE SHIELD II'!$D$7*('CALCULO MORTERO'!I542^2)+'BLAZE SHIELD II'!$D$8*'CALCULO MORTERO'!I542+'BLAZE SHIELD II'!$D$9)),0)+IF(AND(L542="Blaze Shield II",M542="Software Idiem",C542="Cj"),((('BLAZE SHIELD II'!$H$4*('CALCULO MORTERO'!I542^2)+'BLAZE SHIELD II'!$H$5*'CALCULO MORTERO'!I542+'BLAZE SHIELD II'!$H$6)*LN(J542))+('BLAZE SHIELD II'!$H$7*('CALCULO MORTERO'!I542^2)+'BLAZE SHIELD II'!$H$8*'CALCULO MORTERO'!I542+'BLAZE SHIELD II'!$H$9)),0)+IF(AND(L542="Blaze Shield II",M542="Software Idiem",C542="C"),((('BLAZE SHIELD II'!$L$4*('CALCULO MORTERO'!I542^2)+'BLAZE SHIELD II'!$L$5*'CALCULO MORTERO'!I542+'BLAZE SHIELD II'!$L$6)*LN(J542))+('BLAZE SHIELD II'!$L$7*('CALCULO MORTERO'!I542^2)+'BLAZE SHIELD II'!$L$8*'CALCULO MORTERO'!I542+'BLAZE SHIELD II'!$L$9)),0)+IF(AND(L542="Blaze Shield II",M542="Software Idiem",C542="L"),((('BLAZE SHIELD II'!$L$4*('CALCULO MORTERO'!I542^2)+'BLAZE SHIELD II'!$L$5*'CALCULO MORTERO'!I542+'BLAZE SHIELD II'!$L$6)*LN(J542))+('BLAZE SHIELD II'!$L$7*('CALCULO MORTERO'!I542^2)+'BLAZE SHIELD II'!$L$8*'CALCULO MORTERO'!I542+'BLAZE SHIELD II'!$L$9)),0)+IF(AND(L542="Blaze Shield II",M542="Software Idiem",C542="IN",G542=3),((('BLAZE SHIELD II'!$H$14*('CALCULO MORTERO'!I542^2)+'BLAZE SHIELD II'!$H$15*'CALCULO MORTERO'!I542+'BLAZE SHIELD II'!$H$16)*LN(J542))+('BLAZE SHIELD II'!$H$17*('CALCULO MORTERO'!I542^2)+'BLAZE SHIELD II'!$H$18*'CALCULO MORTERO'!I542+'BLAZE SHIELD II'!$H$19)),0),0)+ROUND(IF(AND(L542="Cafco 400",M542="Software Idiem",C542="IN",G542=4),((('CAFCO 400 '!$H$7*(J542^4)+'CAFCO 400 '!$H$8*(J542^3)+'CAFCO 400 '!$H$9*(J542^2)+'CAFCO 400 '!$H$10*J542+'CAFCO 400 '!$H$11)*U542^2)+(('CAFCO 400 '!$H$12*(J542^3)+'CAFCO 400 '!$H$13*(J542^2)+'CAFCO 400 '!$H$14*J542+'CAFCO 400 '!$H$15)*U542)+('CAFCO 400 '!$H$16*(J542^2)+'CAFCO 400 '!$H$17*J542+'CAFCO 400 '!$H$18)),0)+IF(AND(L542="Cafco 400",M542="Software Idiem",C542="Cj"),(((('CAFCO 400 '!$D$7*LN(J542)+'CAFCO 400 '!$D$8)*U542^2)+(('CAFCO 400 '!$D$9*LN(J542)+'CAFCO 400 '!$D$10)*U542)+('CAFCO 400 '!$D$11*LN(J542)+'CAFCO 400 '!$D$12))),0)+IF(AND(L542="Cafco 400",M542="Software Idiem",C542="C"),((('CAFCO 400 '!$L$7*(J542^3)+'CAFCO 400 '!$L$8*(J542^2)+'CAFCO 400 '!$L$9*J542+'CAFCO 400 '!$L$10)*U542^2)+(('CAFCO 400 '!$L$11*(J542^3)+'CAFCO 400 '!$L$12*(J542^2)+'CAFCO 400 '!$L$13*J542+'CAFCO 400 '!$L$14)*U542)+('CAFCO 400 '!$L$15*LN(J542)+'CAFCO 400 '!$L$16)),0)+IF(AND(L542="Cafco 400",M542="Software Idiem",C542="L"),((('CAFCO 400 '!$L$7*(J542^3)+'CAFCO 400 '!$L$8*(J542^2)+'CAFCO 400 '!$L$9*J542+'CAFCO 400 '!$L$10)*U542^2)+(('CAFCO 400 '!$L$11*(J542^3)+'CAFCO 400 '!$L$12*(J542^2)+'CAFCO 400 '!$L$13*J542+'CAFCO 400 '!$L$14)*U542)+('CAFCO 400 '!$L$15*LN(J542)+'CAFCO 400 '!$L$16)),0)+IF(AND(L542="Cafco 400",M542="Software Idiem",C542="IN",G542=3),((('CAFCO 400 '!$D$23*(J542^2)+'CAFCO 400 '!$D$24*(J542)+'CAFCO 400 '!$D$25)*U542^2)+(('CAFCO 400 '!$D$26*(J542^2)+'CAFCO 400 '!$D$27*J542+'CAFCO 400 '!$D$28)*U542)+('CAFCO 400 '!$D$29*(J542^2)+'CAFCO 400 '!$D$30*J542+'CAFCO 400 '!$D$31)),0),0)+IF(AND(L542="Cafco 300",J542&gt;=95,J542&lt;=240,C542="Cj",I542=90),VLOOKUP(T542,'CAFCO 300 IDIEM TABLAS'!$B$4:$D$23,2,FALSE),0)+IF(AND(L542="Cafco 300",J542&gt;=95,J542&lt;=240,C542="Cj",I542=120),VLOOKUP(T542,'CAFCO 300 IDIEM TABLAS'!$B$4:$D$23,3,FALSE),0)+IF(AND(L542="Cafco 300",J542&gt;=95,J542&lt;=400,G542=3,C542="IN",I542=90),VLOOKUP(T542,'CAFCO 300 IDIEM TABLAS'!$F$4:$H$35,2,FALSE),0)+IF(AND(L542="Cafco 300",J542&gt;=95,J542&lt;=400,G542=3,C542="IN",I542=120),VLOOKUP(T542,'CAFCO 300 IDIEM TABLAS'!$F$4:$H$35,3,FALSE),0)+IF(AND(L542="Cafco 300",J542&gt;=95,J542&lt;=450,G542=4,C542="IN",I542=90),VLOOKUP(T542,'CAFCO 300 IDIEM TABLAS'!$J$4:$L$40,2,FALSE),0)+IF(AND(L542="Cafco 300",J542&gt;=95,J542&lt;=450,G542=4,C542="IN",I542=120),VLOOKUP(T542,'CAFCO 300 IDIEM TABLAS'!$J$4:$L$40,3,FALSE),0)+IF(AND(M542="Ensayo Idiem",L542="Cafco 400",C542="IN",G542=4,I542=90),VLOOKUP(T542,'CAFCO 400 ENSAYO'!$B$7:$D$43,2,FALSE),0)+IF(AND(M542="Ensayo Idiem",L542="Cafco 400",C542="IN",G542=4,I542=120),VLOOKUP(T542,'CAFCO 400 ENSAYO'!$B$7:$D$43,3,FALSE),0)</f>
        <v>0</v>
      </c>
      <c r="O542" s="96">
        <f t="shared" si="60"/>
        <v>0</v>
      </c>
      <c r="P542" s="95" t="str">
        <f t="shared" si="55"/>
        <v>N/A</v>
      </c>
      <c r="Q542" s="95" t="str">
        <f t="shared" si="56"/>
        <v>N/A</v>
      </c>
      <c r="R542" s="95" t="str">
        <f t="shared" si="57"/>
        <v>NO CERT.</v>
      </c>
      <c r="S542" s="95" t="e">
        <f t="shared" si="58"/>
        <v>#N/A</v>
      </c>
      <c r="T542" s="119" t="e">
        <f>+IF(J542=LOOKUP(J542,'CAFCO 300 IDIEM TABLAS'!$J$4:$J$40),'CALCULO MORTERO'!J542,MROUND('CALCULO MORTERO'!J542,10))</f>
        <v>#N/A</v>
      </c>
      <c r="U542" s="118">
        <f t="shared" si="59"/>
        <v>0</v>
      </c>
      <c r="Y542" s="4"/>
      <c r="Z542" s="4"/>
      <c r="AA542" s="4"/>
    </row>
    <row r="543" spans="1:27" x14ac:dyDescent="0.25">
      <c r="A543" s="118">
        <f>+CUBICACION!D537</f>
        <v>0</v>
      </c>
      <c r="B543" s="819">
        <f>+CUBICACION!E537</f>
        <v>0</v>
      </c>
      <c r="C543" s="675">
        <f>+CUBICACION!F537</f>
        <v>0</v>
      </c>
      <c r="D543" s="118"/>
      <c r="E543" s="118"/>
      <c r="F543" s="820"/>
      <c r="G543" s="675">
        <f>+CUBICACION!J537</f>
        <v>0</v>
      </c>
      <c r="H543" s="118"/>
      <c r="I543" s="821">
        <f>+CUBICACION!L537</f>
        <v>0</v>
      </c>
      <c r="J543" s="64">
        <f>+CUBICACION!M537</f>
        <v>0</v>
      </c>
      <c r="K543" s="822" t="str">
        <f>+CUBICACION!N537</f>
        <v/>
      </c>
      <c r="L543" s="118">
        <f>+CUBICACION!O537</f>
        <v>0</v>
      </c>
      <c r="M543" s="823">
        <f>+CUBICACION!P537</f>
        <v>0</v>
      </c>
      <c r="N543" s="902">
        <f>ROUND(IF(AND(L543="Blaze Shield II",M543="Software Idiem",C543="IN",G543=4),((('BLAZE SHIELD II'!$D$4*('CALCULO MORTERO'!I543^2)+'BLAZE SHIELD II'!$D$5*'CALCULO MORTERO'!I543+'BLAZE SHIELD II'!$D$6)*LN(J543))+('BLAZE SHIELD II'!$D$7*('CALCULO MORTERO'!I543^2)+'BLAZE SHIELD II'!$D$8*'CALCULO MORTERO'!I543+'BLAZE SHIELD II'!$D$9)),0)+IF(AND(L543="Blaze Shield II",M543="Software Idiem",C543="Cj"),((('BLAZE SHIELD II'!$H$4*('CALCULO MORTERO'!I543^2)+'BLAZE SHIELD II'!$H$5*'CALCULO MORTERO'!I543+'BLAZE SHIELD II'!$H$6)*LN(J543))+('BLAZE SHIELD II'!$H$7*('CALCULO MORTERO'!I543^2)+'BLAZE SHIELD II'!$H$8*'CALCULO MORTERO'!I543+'BLAZE SHIELD II'!$H$9)),0)+IF(AND(L543="Blaze Shield II",M543="Software Idiem",C543="C"),((('BLAZE SHIELD II'!$L$4*('CALCULO MORTERO'!I543^2)+'BLAZE SHIELD II'!$L$5*'CALCULO MORTERO'!I543+'BLAZE SHIELD II'!$L$6)*LN(J543))+('BLAZE SHIELD II'!$L$7*('CALCULO MORTERO'!I543^2)+'BLAZE SHIELD II'!$L$8*'CALCULO MORTERO'!I543+'BLAZE SHIELD II'!$L$9)),0)+IF(AND(L543="Blaze Shield II",M543="Software Idiem",C543="L"),((('BLAZE SHIELD II'!$L$4*('CALCULO MORTERO'!I543^2)+'BLAZE SHIELD II'!$L$5*'CALCULO MORTERO'!I543+'BLAZE SHIELD II'!$L$6)*LN(J543))+('BLAZE SHIELD II'!$L$7*('CALCULO MORTERO'!I543^2)+'BLAZE SHIELD II'!$L$8*'CALCULO MORTERO'!I543+'BLAZE SHIELD II'!$L$9)),0)+IF(AND(L543="Blaze Shield II",M543="Software Idiem",C543="IN",G543=3),((('BLAZE SHIELD II'!$H$14*('CALCULO MORTERO'!I543^2)+'BLAZE SHIELD II'!$H$15*'CALCULO MORTERO'!I543+'BLAZE SHIELD II'!$H$16)*LN(J543))+('BLAZE SHIELD II'!$H$17*('CALCULO MORTERO'!I543^2)+'BLAZE SHIELD II'!$H$18*'CALCULO MORTERO'!I543+'BLAZE SHIELD II'!$H$19)),0),0)+ROUND(IF(AND(L543="Cafco 400",M543="Software Idiem",C543="IN",G543=4),((('CAFCO 400 '!$H$7*(J543^4)+'CAFCO 400 '!$H$8*(J543^3)+'CAFCO 400 '!$H$9*(J543^2)+'CAFCO 400 '!$H$10*J543+'CAFCO 400 '!$H$11)*U543^2)+(('CAFCO 400 '!$H$12*(J543^3)+'CAFCO 400 '!$H$13*(J543^2)+'CAFCO 400 '!$H$14*J543+'CAFCO 400 '!$H$15)*U543)+('CAFCO 400 '!$H$16*(J543^2)+'CAFCO 400 '!$H$17*J543+'CAFCO 400 '!$H$18)),0)+IF(AND(L543="Cafco 400",M543="Software Idiem",C543="Cj"),(((('CAFCO 400 '!$D$7*LN(J543)+'CAFCO 400 '!$D$8)*U543^2)+(('CAFCO 400 '!$D$9*LN(J543)+'CAFCO 400 '!$D$10)*U543)+('CAFCO 400 '!$D$11*LN(J543)+'CAFCO 400 '!$D$12))),0)+IF(AND(L543="Cafco 400",M543="Software Idiem",C543="C"),((('CAFCO 400 '!$L$7*(J543^3)+'CAFCO 400 '!$L$8*(J543^2)+'CAFCO 400 '!$L$9*J543+'CAFCO 400 '!$L$10)*U543^2)+(('CAFCO 400 '!$L$11*(J543^3)+'CAFCO 400 '!$L$12*(J543^2)+'CAFCO 400 '!$L$13*J543+'CAFCO 400 '!$L$14)*U543)+('CAFCO 400 '!$L$15*LN(J543)+'CAFCO 400 '!$L$16)),0)+IF(AND(L543="Cafco 400",M543="Software Idiem",C543="L"),((('CAFCO 400 '!$L$7*(J543^3)+'CAFCO 400 '!$L$8*(J543^2)+'CAFCO 400 '!$L$9*J543+'CAFCO 400 '!$L$10)*U543^2)+(('CAFCO 400 '!$L$11*(J543^3)+'CAFCO 400 '!$L$12*(J543^2)+'CAFCO 400 '!$L$13*J543+'CAFCO 400 '!$L$14)*U543)+('CAFCO 400 '!$L$15*LN(J543)+'CAFCO 400 '!$L$16)),0)+IF(AND(L543="Cafco 400",M543="Software Idiem",C543="IN",G543=3),((('CAFCO 400 '!$D$23*(J543^2)+'CAFCO 400 '!$D$24*(J543)+'CAFCO 400 '!$D$25)*U543^2)+(('CAFCO 400 '!$D$26*(J543^2)+'CAFCO 400 '!$D$27*J543+'CAFCO 400 '!$D$28)*U543)+('CAFCO 400 '!$D$29*(J543^2)+'CAFCO 400 '!$D$30*J543+'CAFCO 400 '!$D$31)),0),0)+IF(AND(L543="Cafco 300",J543&gt;=95,J543&lt;=240,C543="Cj",I543=90),VLOOKUP(T543,'CAFCO 300 IDIEM TABLAS'!$B$4:$D$23,2,FALSE),0)+IF(AND(L543="Cafco 300",J543&gt;=95,J543&lt;=240,C543="Cj",I543=120),VLOOKUP(T543,'CAFCO 300 IDIEM TABLAS'!$B$4:$D$23,3,FALSE),0)+IF(AND(L543="Cafco 300",J543&gt;=95,J543&lt;=400,G543=3,C543="IN",I543=90),VLOOKUP(T543,'CAFCO 300 IDIEM TABLAS'!$F$4:$H$35,2,FALSE),0)+IF(AND(L543="Cafco 300",J543&gt;=95,J543&lt;=400,G543=3,C543="IN",I543=120),VLOOKUP(T543,'CAFCO 300 IDIEM TABLAS'!$F$4:$H$35,3,FALSE),0)+IF(AND(L543="Cafco 300",J543&gt;=95,J543&lt;=450,G543=4,C543="IN",I543=90),VLOOKUP(T543,'CAFCO 300 IDIEM TABLAS'!$J$4:$L$40,2,FALSE),0)+IF(AND(L543="Cafco 300",J543&gt;=95,J543&lt;=450,G543=4,C543="IN",I543=120),VLOOKUP(T543,'CAFCO 300 IDIEM TABLAS'!$J$4:$L$40,3,FALSE),0)+IF(AND(M543="Ensayo Idiem",L543="Cafco 400",C543="IN",G543=4,I543=90),VLOOKUP(T543,'CAFCO 400 ENSAYO'!$B$7:$D$43,2,FALSE),0)+IF(AND(M543="Ensayo Idiem",L543="Cafco 400",C543="IN",G543=4,I543=120),VLOOKUP(T543,'CAFCO 400 ENSAYO'!$B$7:$D$43,3,FALSE),0)</f>
        <v>0</v>
      </c>
      <c r="O543" s="96">
        <f t="shared" si="60"/>
        <v>0</v>
      </c>
      <c r="P543" s="132" t="str">
        <f t="shared" si="55"/>
        <v>N/A</v>
      </c>
      <c r="Q543" s="132" t="str">
        <f t="shared" si="56"/>
        <v>N/A</v>
      </c>
      <c r="R543" s="132" t="str">
        <f t="shared" si="57"/>
        <v>NO CERT.</v>
      </c>
      <c r="S543" s="132" t="e">
        <f t="shared" si="58"/>
        <v>#N/A</v>
      </c>
      <c r="T543" s="133" t="e">
        <f>+IF(J543=LOOKUP(J543,'CAFCO 300 IDIEM TABLAS'!$J$4:$J$40),'CALCULO MORTERO'!J543,MROUND('CALCULO MORTERO'!J543,10))</f>
        <v>#N/A</v>
      </c>
      <c r="U543" s="134">
        <f t="shared" si="59"/>
        <v>0</v>
      </c>
      <c r="Y543" s="4"/>
      <c r="Z543" s="4"/>
      <c r="AA543" s="4"/>
    </row>
    <row r="544" spans="1:27" x14ac:dyDescent="0.25">
      <c r="A544" s="118">
        <f>+CUBICACION!D538</f>
        <v>0</v>
      </c>
      <c r="B544" s="819">
        <f>+CUBICACION!E538</f>
        <v>0</v>
      </c>
      <c r="C544" s="675">
        <f>+CUBICACION!F538</f>
        <v>0</v>
      </c>
      <c r="D544" s="118"/>
      <c r="E544" s="118"/>
      <c r="F544" s="820"/>
      <c r="G544" s="675">
        <f>+CUBICACION!J538</f>
        <v>0</v>
      </c>
      <c r="H544" s="118"/>
      <c r="I544" s="821">
        <f>+CUBICACION!L538</f>
        <v>0</v>
      </c>
      <c r="J544" s="64">
        <f>+CUBICACION!M538</f>
        <v>0</v>
      </c>
      <c r="K544" s="822" t="str">
        <f>+CUBICACION!N538</f>
        <v/>
      </c>
      <c r="L544" s="118">
        <f>+CUBICACION!O538</f>
        <v>0</v>
      </c>
      <c r="M544" s="823">
        <f>+CUBICACION!P538</f>
        <v>0</v>
      </c>
      <c r="N544" s="902">
        <f>ROUND(IF(AND(L544="Blaze Shield II",M544="Software Idiem",C544="IN",G544=4),((('BLAZE SHIELD II'!$D$4*('CALCULO MORTERO'!I544^2)+'BLAZE SHIELD II'!$D$5*'CALCULO MORTERO'!I544+'BLAZE SHIELD II'!$D$6)*LN(J544))+('BLAZE SHIELD II'!$D$7*('CALCULO MORTERO'!I544^2)+'BLAZE SHIELD II'!$D$8*'CALCULO MORTERO'!I544+'BLAZE SHIELD II'!$D$9)),0)+IF(AND(L544="Blaze Shield II",M544="Software Idiem",C544="Cj"),((('BLAZE SHIELD II'!$H$4*('CALCULO MORTERO'!I544^2)+'BLAZE SHIELD II'!$H$5*'CALCULO MORTERO'!I544+'BLAZE SHIELD II'!$H$6)*LN(J544))+('BLAZE SHIELD II'!$H$7*('CALCULO MORTERO'!I544^2)+'BLAZE SHIELD II'!$H$8*'CALCULO MORTERO'!I544+'BLAZE SHIELD II'!$H$9)),0)+IF(AND(L544="Blaze Shield II",M544="Software Idiem",C544="C"),((('BLAZE SHIELD II'!$L$4*('CALCULO MORTERO'!I544^2)+'BLAZE SHIELD II'!$L$5*'CALCULO MORTERO'!I544+'BLAZE SHIELD II'!$L$6)*LN(J544))+('BLAZE SHIELD II'!$L$7*('CALCULO MORTERO'!I544^2)+'BLAZE SHIELD II'!$L$8*'CALCULO MORTERO'!I544+'BLAZE SHIELD II'!$L$9)),0)+IF(AND(L544="Blaze Shield II",M544="Software Idiem",C544="L"),((('BLAZE SHIELD II'!$L$4*('CALCULO MORTERO'!I544^2)+'BLAZE SHIELD II'!$L$5*'CALCULO MORTERO'!I544+'BLAZE SHIELD II'!$L$6)*LN(J544))+('BLAZE SHIELD II'!$L$7*('CALCULO MORTERO'!I544^2)+'BLAZE SHIELD II'!$L$8*'CALCULO MORTERO'!I544+'BLAZE SHIELD II'!$L$9)),0)+IF(AND(L544="Blaze Shield II",M544="Software Idiem",C544="IN",G544=3),((('BLAZE SHIELD II'!$H$14*('CALCULO MORTERO'!I544^2)+'BLAZE SHIELD II'!$H$15*'CALCULO MORTERO'!I544+'BLAZE SHIELD II'!$H$16)*LN(J544))+('BLAZE SHIELD II'!$H$17*('CALCULO MORTERO'!I544^2)+'BLAZE SHIELD II'!$H$18*'CALCULO MORTERO'!I544+'BLAZE SHIELD II'!$H$19)),0),0)+ROUND(IF(AND(L544="Cafco 400",M544="Software Idiem",C544="IN",G544=4),((('CAFCO 400 '!$H$7*(J544^4)+'CAFCO 400 '!$H$8*(J544^3)+'CAFCO 400 '!$H$9*(J544^2)+'CAFCO 400 '!$H$10*J544+'CAFCO 400 '!$H$11)*U544^2)+(('CAFCO 400 '!$H$12*(J544^3)+'CAFCO 400 '!$H$13*(J544^2)+'CAFCO 400 '!$H$14*J544+'CAFCO 400 '!$H$15)*U544)+('CAFCO 400 '!$H$16*(J544^2)+'CAFCO 400 '!$H$17*J544+'CAFCO 400 '!$H$18)),0)+IF(AND(L544="Cafco 400",M544="Software Idiem",C544="Cj"),(((('CAFCO 400 '!$D$7*LN(J544)+'CAFCO 400 '!$D$8)*U544^2)+(('CAFCO 400 '!$D$9*LN(J544)+'CAFCO 400 '!$D$10)*U544)+('CAFCO 400 '!$D$11*LN(J544)+'CAFCO 400 '!$D$12))),0)+IF(AND(L544="Cafco 400",M544="Software Idiem",C544="C"),((('CAFCO 400 '!$L$7*(J544^3)+'CAFCO 400 '!$L$8*(J544^2)+'CAFCO 400 '!$L$9*J544+'CAFCO 400 '!$L$10)*U544^2)+(('CAFCO 400 '!$L$11*(J544^3)+'CAFCO 400 '!$L$12*(J544^2)+'CAFCO 400 '!$L$13*J544+'CAFCO 400 '!$L$14)*U544)+('CAFCO 400 '!$L$15*LN(J544)+'CAFCO 400 '!$L$16)),0)+IF(AND(L544="Cafco 400",M544="Software Idiem",C544="L"),((('CAFCO 400 '!$L$7*(J544^3)+'CAFCO 400 '!$L$8*(J544^2)+'CAFCO 400 '!$L$9*J544+'CAFCO 400 '!$L$10)*U544^2)+(('CAFCO 400 '!$L$11*(J544^3)+'CAFCO 400 '!$L$12*(J544^2)+'CAFCO 400 '!$L$13*J544+'CAFCO 400 '!$L$14)*U544)+('CAFCO 400 '!$L$15*LN(J544)+'CAFCO 400 '!$L$16)),0)+IF(AND(L544="Cafco 400",M544="Software Idiem",C544="IN",G544=3),((('CAFCO 400 '!$D$23*(J544^2)+'CAFCO 400 '!$D$24*(J544)+'CAFCO 400 '!$D$25)*U544^2)+(('CAFCO 400 '!$D$26*(J544^2)+'CAFCO 400 '!$D$27*J544+'CAFCO 400 '!$D$28)*U544)+('CAFCO 400 '!$D$29*(J544^2)+'CAFCO 400 '!$D$30*J544+'CAFCO 400 '!$D$31)),0),0)+IF(AND(L544="Cafco 300",J544&gt;=95,J544&lt;=240,C544="Cj",I544=90),VLOOKUP(T544,'CAFCO 300 IDIEM TABLAS'!$B$4:$D$23,2,FALSE),0)+IF(AND(L544="Cafco 300",J544&gt;=95,J544&lt;=240,C544="Cj",I544=120),VLOOKUP(T544,'CAFCO 300 IDIEM TABLAS'!$B$4:$D$23,3,FALSE),0)+IF(AND(L544="Cafco 300",J544&gt;=95,J544&lt;=400,G544=3,C544="IN",I544=90),VLOOKUP(T544,'CAFCO 300 IDIEM TABLAS'!$F$4:$H$35,2,FALSE),0)+IF(AND(L544="Cafco 300",J544&gt;=95,J544&lt;=400,G544=3,C544="IN",I544=120),VLOOKUP(T544,'CAFCO 300 IDIEM TABLAS'!$F$4:$H$35,3,FALSE),0)+IF(AND(L544="Cafco 300",J544&gt;=95,J544&lt;=450,G544=4,C544="IN",I544=90),VLOOKUP(T544,'CAFCO 300 IDIEM TABLAS'!$J$4:$L$40,2,FALSE),0)+IF(AND(L544="Cafco 300",J544&gt;=95,J544&lt;=450,G544=4,C544="IN",I544=120),VLOOKUP(T544,'CAFCO 300 IDIEM TABLAS'!$J$4:$L$40,3,FALSE),0)+IF(AND(M544="Ensayo Idiem",L544="Cafco 400",C544="IN",G544=4,I544=90),VLOOKUP(T544,'CAFCO 400 ENSAYO'!$B$7:$D$43,2,FALSE),0)+IF(AND(M544="Ensayo Idiem",L544="Cafco 400",C544="IN",G544=4,I544=120),VLOOKUP(T544,'CAFCO 400 ENSAYO'!$B$7:$D$43,3,FALSE),0)</f>
        <v>0</v>
      </c>
      <c r="O544" s="96">
        <f t="shared" si="60"/>
        <v>0</v>
      </c>
      <c r="P544" s="95" t="str">
        <f t="shared" si="55"/>
        <v>N/A</v>
      </c>
      <c r="Q544" s="95" t="str">
        <f t="shared" si="56"/>
        <v>N/A</v>
      </c>
      <c r="R544" s="95" t="str">
        <f t="shared" si="57"/>
        <v>NO CERT.</v>
      </c>
      <c r="S544" s="95" t="e">
        <f t="shared" si="58"/>
        <v>#N/A</v>
      </c>
      <c r="T544" s="119" t="e">
        <f>+IF(J544=LOOKUP(J544,'CAFCO 300 IDIEM TABLAS'!$J$4:$J$40),'CALCULO MORTERO'!J544,MROUND('CALCULO MORTERO'!J544,10))</f>
        <v>#N/A</v>
      </c>
      <c r="U544" s="118">
        <f t="shared" si="59"/>
        <v>0</v>
      </c>
      <c r="Y544" s="4"/>
      <c r="Z544" s="4"/>
      <c r="AA544" s="4"/>
    </row>
    <row r="545" spans="1:27" x14ac:dyDescent="0.25">
      <c r="A545" s="118">
        <f>+CUBICACION!D539</f>
        <v>0</v>
      </c>
      <c r="B545" s="819">
        <f>+CUBICACION!E539</f>
        <v>0</v>
      </c>
      <c r="C545" s="675">
        <f>+CUBICACION!F539</f>
        <v>0</v>
      </c>
      <c r="D545" s="118"/>
      <c r="E545" s="118"/>
      <c r="F545" s="820"/>
      <c r="G545" s="675">
        <f>+CUBICACION!J539</f>
        <v>0</v>
      </c>
      <c r="H545" s="118"/>
      <c r="I545" s="821">
        <f>+CUBICACION!L539</f>
        <v>0</v>
      </c>
      <c r="J545" s="64">
        <f>+CUBICACION!M539</f>
        <v>0</v>
      </c>
      <c r="K545" s="822" t="str">
        <f>+CUBICACION!N539</f>
        <v/>
      </c>
      <c r="L545" s="118">
        <f>+CUBICACION!O539</f>
        <v>0</v>
      </c>
      <c r="M545" s="823">
        <f>+CUBICACION!P539</f>
        <v>0</v>
      </c>
      <c r="N545" s="902">
        <f>ROUND(IF(AND(L545="Blaze Shield II",M545="Software Idiem",C545="IN",G545=4),((('BLAZE SHIELD II'!$D$4*('CALCULO MORTERO'!I545^2)+'BLAZE SHIELD II'!$D$5*'CALCULO MORTERO'!I545+'BLAZE SHIELD II'!$D$6)*LN(J545))+('BLAZE SHIELD II'!$D$7*('CALCULO MORTERO'!I545^2)+'BLAZE SHIELD II'!$D$8*'CALCULO MORTERO'!I545+'BLAZE SHIELD II'!$D$9)),0)+IF(AND(L545="Blaze Shield II",M545="Software Idiem",C545="Cj"),((('BLAZE SHIELD II'!$H$4*('CALCULO MORTERO'!I545^2)+'BLAZE SHIELD II'!$H$5*'CALCULO MORTERO'!I545+'BLAZE SHIELD II'!$H$6)*LN(J545))+('BLAZE SHIELD II'!$H$7*('CALCULO MORTERO'!I545^2)+'BLAZE SHIELD II'!$H$8*'CALCULO MORTERO'!I545+'BLAZE SHIELD II'!$H$9)),0)+IF(AND(L545="Blaze Shield II",M545="Software Idiem",C545="C"),((('BLAZE SHIELD II'!$L$4*('CALCULO MORTERO'!I545^2)+'BLAZE SHIELD II'!$L$5*'CALCULO MORTERO'!I545+'BLAZE SHIELD II'!$L$6)*LN(J545))+('BLAZE SHIELD II'!$L$7*('CALCULO MORTERO'!I545^2)+'BLAZE SHIELD II'!$L$8*'CALCULO MORTERO'!I545+'BLAZE SHIELD II'!$L$9)),0)+IF(AND(L545="Blaze Shield II",M545="Software Idiem",C545="L"),((('BLAZE SHIELD II'!$L$4*('CALCULO MORTERO'!I545^2)+'BLAZE SHIELD II'!$L$5*'CALCULO MORTERO'!I545+'BLAZE SHIELD II'!$L$6)*LN(J545))+('BLAZE SHIELD II'!$L$7*('CALCULO MORTERO'!I545^2)+'BLAZE SHIELD II'!$L$8*'CALCULO MORTERO'!I545+'BLAZE SHIELD II'!$L$9)),0)+IF(AND(L545="Blaze Shield II",M545="Software Idiem",C545="IN",G545=3),((('BLAZE SHIELD II'!$H$14*('CALCULO MORTERO'!I545^2)+'BLAZE SHIELD II'!$H$15*'CALCULO MORTERO'!I545+'BLAZE SHIELD II'!$H$16)*LN(J545))+('BLAZE SHIELD II'!$H$17*('CALCULO MORTERO'!I545^2)+'BLAZE SHIELD II'!$H$18*'CALCULO MORTERO'!I545+'BLAZE SHIELD II'!$H$19)),0),0)+ROUND(IF(AND(L545="Cafco 400",M545="Software Idiem",C545="IN",G545=4),((('CAFCO 400 '!$H$7*(J545^4)+'CAFCO 400 '!$H$8*(J545^3)+'CAFCO 400 '!$H$9*(J545^2)+'CAFCO 400 '!$H$10*J545+'CAFCO 400 '!$H$11)*U545^2)+(('CAFCO 400 '!$H$12*(J545^3)+'CAFCO 400 '!$H$13*(J545^2)+'CAFCO 400 '!$H$14*J545+'CAFCO 400 '!$H$15)*U545)+('CAFCO 400 '!$H$16*(J545^2)+'CAFCO 400 '!$H$17*J545+'CAFCO 400 '!$H$18)),0)+IF(AND(L545="Cafco 400",M545="Software Idiem",C545="Cj"),(((('CAFCO 400 '!$D$7*LN(J545)+'CAFCO 400 '!$D$8)*U545^2)+(('CAFCO 400 '!$D$9*LN(J545)+'CAFCO 400 '!$D$10)*U545)+('CAFCO 400 '!$D$11*LN(J545)+'CAFCO 400 '!$D$12))),0)+IF(AND(L545="Cafco 400",M545="Software Idiem",C545="C"),((('CAFCO 400 '!$L$7*(J545^3)+'CAFCO 400 '!$L$8*(J545^2)+'CAFCO 400 '!$L$9*J545+'CAFCO 400 '!$L$10)*U545^2)+(('CAFCO 400 '!$L$11*(J545^3)+'CAFCO 400 '!$L$12*(J545^2)+'CAFCO 400 '!$L$13*J545+'CAFCO 400 '!$L$14)*U545)+('CAFCO 400 '!$L$15*LN(J545)+'CAFCO 400 '!$L$16)),0)+IF(AND(L545="Cafco 400",M545="Software Idiem",C545="L"),((('CAFCO 400 '!$L$7*(J545^3)+'CAFCO 400 '!$L$8*(J545^2)+'CAFCO 400 '!$L$9*J545+'CAFCO 400 '!$L$10)*U545^2)+(('CAFCO 400 '!$L$11*(J545^3)+'CAFCO 400 '!$L$12*(J545^2)+'CAFCO 400 '!$L$13*J545+'CAFCO 400 '!$L$14)*U545)+('CAFCO 400 '!$L$15*LN(J545)+'CAFCO 400 '!$L$16)),0)+IF(AND(L545="Cafco 400",M545="Software Idiem",C545="IN",G545=3),((('CAFCO 400 '!$D$23*(J545^2)+'CAFCO 400 '!$D$24*(J545)+'CAFCO 400 '!$D$25)*U545^2)+(('CAFCO 400 '!$D$26*(J545^2)+'CAFCO 400 '!$D$27*J545+'CAFCO 400 '!$D$28)*U545)+('CAFCO 400 '!$D$29*(J545^2)+'CAFCO 400 '!$D$30*J545+'CAFCO 400 '!$D$31)),0),0)+IF(AND(L545="Cafco 300",J545&gt;=95,J545&lt;=240,C545="Cj",I545=90),VLOOKUP(T545,'CAFCO 300 IDIEM TABLAS'!$B$4:$D$23,2,FALSE),0)+IF(AND(L545="Cafco 300",J545&gt;=95,J545&lt;=240,C545="Cj",I545=120),VLOOKUP(T545,'CAFCO 300 IDIEM TABLAS'!$B$4:$D$23,3,FALSE),0)+IF(AND(L545="Cafco 300",J545&gt;=95,J545&lt;=400,G545=3,C545="IN",I545=90),VLOOKUP(T545,'CAFCO 300 IDIEM TABLAS'!$F$4:$H$35,2,FALSE),0)+IF(AND(L545="Cafco 300",J545&gt;=95,J545&lt;=400,G545=3,C545="IN",I545=120),VLOOKUP(T545,'CAFCO 300 IDIEM TABLAS'!$F$4:$H$35,3,FALSE),0)+IF(AND(L545="Cafco 300",J545&gt;=95,J545&lt;=450,G545=4,C545="IN",I545=90),VLOOKUP(T545,'CAFCO 300 IDIEM TABLAS'!$J$4:$L$40,2,FALSE),0)+IF(AND(L545="Cafco 300",J545&gt;=95,J545&lt;=450,G545=4,C545="IN",I545=120),VLOOKUP(T545,'CAFCO 300 IDIEM TABLAS'!$J$4:$L$40,3,FALSE),0)+IF(AND(M545="Ensayo Idiem",L545="Cafco 400",C545="IN",G545=4,I545=90),VLOOKUP(T545,'CAFCO 400 ENSAYO'!$B$7:$D$43,2,FALSE),0)+IF(AND(M545="Ensayo Idiem",L545="Cafco 400",C545="IN",G545=4,I545=120),VLOOKUP(T545,'CAFCO 400 ENSAYO'!$B$7:$D$43,3,FALSE),0)</f>
        <v>0</v>
      </c>
      <c r="O545" s="96">
        <f t="shared" si="60"/>
        <v>0</v>
      </c>
      <c r="P545" s="132" t="str">
        <f t="shared" si="55"/>
        <v>N/A</v>
      </c>
      <c r="Q545" s="132" t="str">
        <f t="shared" si="56"/>
        <v>N/A</v>
      </c>
      <c r="R545" s="132" t="str">
        <f t="shared" si="57"/>
        <v>NO CERT.</v>
      </c>
      <c r="S545" s="132" t="e">
        <f t="shared" si="58"/>
        <v>#N/A</v>
      </c>
      <c r="T545" s="133" t="e">
        <f>+IF(J545=LOOKUP(J545,'CAFCO 300 IDIEM TABLAS'!$J$4:$J$40),'CALCULO MORTERO'!J545,MROUND('CALCULO MORTERO'!J545,10))</f>
        <v>#N/A</v>
      </c>
      <c r="U545" s="134">
        <f t="shared" si="59"/>
        <v>0</v>
      </c>
      <c r="Y545" s="4"/>
      <c r="Z545" s="4"/>
      <c r="AA545" s="4"/>
    </row>
    <row r="546" spans="1:27" x14ac:dyDescent="0.25">
      <c r="A546" s="118">
        <f>+CUBICACION!D540</f>
        <v>0</v>
      </c>
      <c r="B546" s="819">
        <f>+CUBICACION!E540</f>
        <v>0</v>
      </c>
      <c r="C546" s="675">
        <f>+CUBICACION!F540</f>
        <v>0</v>
      </c>
      <c r="D546" s="118"/>
      <c r="E546" s="118"/>
      <c r="F546" s="820"/>
      <c r="G546" s="675">
        <f>+CUBICACION!J540</f>
        <v>0</v>
      </c>
      <c r="H546" s="118"/>
      <c r="I546" s="821">
        <f>+CUBICACION!L540</f>
        <v>0</v>
      </c>
      <c r="J546" s="64">
        <f>+CUBICACION!M540</f>
        <v>0</v>
      </c>
      <c r="K546" s="822" t="str">
        <f>+CUBICACION!N540</f>
        <v/>
      </c>
      <c r="L546" s="118">
        <f>+CUBICACION!O540</f>
        <v>0</v>
      </c>
      <c r="M546" s="823">
        <f>+CUBICACION!P540</f>
        <v>0</v>
      </c>
      <c r="N546" s="902">
        <f>ROUND(IF(AND(L546="Blaze Shield II",M546="Software Idiem",C546="IN",G546=4),((('BLAZE SHIELD II'!$D$4*('CALCULO MORTERO'!I546^2)+'BLAZE SHIELD II'!$D$5*'CALCULO MORTERO'!I546+'BLAZE SHIELD II'!$D$6)*LN(J546))+('BLAZE SHIELD II'!$D$7*('CALCULO MORTERO'!I546^2)+'BLAZE SHIELD II'!$D$8*'CALCULO MORTERO'!I546+'BLAZE SHIELD II'!$D$9)),0)+IF(AND(L546="Blaze Shield II",M546="Software Idiem",C546="Cj"),((('BLAZE SHIELD II'!$H$4*('CALCULO MORTERO'!I546^2)+'BLAZE SHIELD II'!$H$5*'CALCULO MORTERO'!I546+'BLAZE SHIELD II'!$H$6)*LN(J546))+('BLAZE SHIELD II'!$H$7*('CALCULO MORTERO'!I546^2)+'BLAZE SHIELD II'!$H$8*'CALCULO MORTERO'!I546+'BLAZE SHIELD II'!$H$9)),0)+IF(AND(L546="Blaze Shield II",M546="Software Idiem",C546="C"),((('BLAZE SHIELD II'!$L$4*('CALCULO MORTERO'!I546^2)+'BLAZE SHIELD II'!$L$5*'CALCULO MORTERO'!I546+'BLAZE SHIELD II'!$L$6)*LN(J546))+('BLAZE SHIELD II'!$L$7*('CALCULO MORTERO'!I546^2)+'BLAZE SHIELD II'!$L$8*'CALCULO MORTERO'!I546+'BLAZE SHIELD II'!$L$9)),0)+IF(AND(L546="Blaze Shield II",M546="Software Idiem",C546="L"),((('BLAZE SHIELD II'!$L$4*('CALCULO MORTERO'!I546^2)+'BLAZE SHIELD II'!$L$5*'CALCULO MORTERO'!I546+'BLAZE SHIELD II'!$L$6)*LN(J546))+('BLAZE SHIELD II'!$L$7*('CALCULO MORTERO'!I546^2)+'BLAZE SHIELD II'!$L$8*'CALCULO MORTERO'!I546+'BLAZE SHIELD II'!$L$9)),0)+IF(AND(L546="Blaze Shield II",M546="Software Idiem",C546="IN",G546=3),((('BLAZE SHIELD II'!$H$14*('CALCULO MORTERO'!I546^2)+'BLAZE SHIELD II'!$H$15*'CALCULO MORTERO'!I546+'BLAZE SHIELD II'!$H$16)*LN(J546))+('BLAZE SHIELD II'!$H$17*('CALCULO MORTERO'!I546^2)+'BLAZE SHIELD II'!$H$18*'CALCULO MORTERO'!I546+'BLAZE SHIELD II'!$H$19)),0),0)+ROUND(IF(AND(L546="Cafco 400",M546="Software Idiem",C546="IN",G546=4),((('CAFCO 400 '!$H$7*(J546^4)+'CAFCO 400 '!$H$8*(J546^3)+'CAFCO 400 '!$H$9*(J546^2)+'CAFCO 400 '!$H$10*J546+'CAFCO 400 '!$H$11)*U546^2)+(('CAFCO 400 '!$H$12*(J546^3)+'CAFCO 400 '!$H$13*(J546^2)+'CAFCO 400 '!$H$14*J546+'CAFCO 400 '!$H$15)*U546)+('CAFCO 400 '!$H$16*(J546^2)+'CAFCO 400 '!$H$17*J546+'CAFCO 400 '!$H$18)),0)+IF(AND(L546="Cafco 400",M546="Software Idiem",C546="Cj"),(((('CAFCO 400 '!$D$7*LN(J546)+'CAFCO 400 '!$D$8)*U546^2)+(('CAFCO 400 '!$D$9*LN(J546)+'CAFCO 400 '!$D$10)*U546)+('CAFCO 400 '!$D$11*LN(J546)+'CAFCO 400 '!$D$12))),0)+IF(AND(L546="Cafco 400",M546="Software Idiem",C546="C"),((('CAFCO 400 '!$L$7*(J546^3)+'CAFCO 400 '!$L$8*(J546^2)+'CAFCO 400 '!$L$9*J546+'CAFCO 400 '!$L$10)*U546^2)+(('CAFCO 400 '!$L$11*(J546^3)+'CAFCO 400 '!$L$12*(J546^2)+'CAFCO 400 '!$L$13*J546+'CAFCO 400 '!$L$14)*U546)+('CAFCO 400 '!$L$15*LN(J546)+'CAFCO 400 '!$L$16)),0)+IF(AND(L546="Cafco 400",M546="Software Idiem",C546="L"),((('CAFCO 400 '!$L$7*(J546^3)+'CAFCO 400 '!$L$8*(J546^2)+'CAFCO 400 '!$L$9*J546+'CAFCO 400 '!$L$10)*U546^2)+(('CAFCO 400 '!$L$11*(J546^3)+'CAFCO 400 '!$L$12*(J546^2)+'CAFCO 400 '!$L$13*J546+'CAFCO 400 '!$L$14)*U546)+('CAFCO 400 '!$L$15*LN(J546)+'CAFCO 400 '!$L$16)),0)+IF(AND(L546="Cafco 400",M546="Software Idiem",C546="IN",G546=3),((('CAFCO 400 '!$D$23*(J546^2)+'CAFCO 400 '!$D$24*(J546)+'CAFCO 400 '!$D$25)*U546^2)+(('CAFCO 400 '!$D$26*(J546^2)+'CAFCO 400 '!$D$27*J546+'CAFCO 400 '!$D$28)*U546)+('CAFCO 400 '!$D$29*(J546^2)+'CAFCO 400 '!$D$30*J546+'CAFCO 400 '!$D$31)),0),0)+IF(AND(L546="Cafco 300",J546&gt;=95,J546&lt;=240,C546="Cj",I546=90),VLOOKUP(T546,'CAFCO 300 IDIEM TABLAS'!$B$4:$D$23,2,FALSE),0)+IF(AND(L546="Cafco 300",J546&gt;=95,J546&lt;=240,C546="Cj",I546=120),VLOOKUP(T546,'CAFCO 300 IDIEM TABLAS'!$B$4:$D$23,3,FALSE),0)+IF(AND(L546="Cafco 300",J546&gt;=95,J546&lt;=400,G546=3,C546="IN",I546=90),VLOOKUP(T546,'CAFCO 300 IDIEM TABLAS'!$F$4:$H$35,2,FALSE),0)+IF(AND(L546="Cafco 300",J546&gt;=95,J546&lt;=400,G546=3,C546="IN",I546=120),VLOOKUP(T546,'CAFCO 300 IDIEM TABLAS'!$F$4:$H$35,3,FALSE),0)+IF(AND(L546="Cafco 300",J546&gt;=95,J546&lt;=450,G546=4,C546="IN",I546=90),VLOOKUP(T546,'CAFCO 300 IDIEM TABLAS'!$J$4:$L$40,2,FALSE),0)+IF(AND(L546="Cafco 300",J546&gt;=95,J546&lt;=450,G546=4,C546="IN",I546=120),VLOOKUP(T546,'CAFCO 300 IDIEM TABLAS'!$J$4:$L$40,3,FALSE),0)+IF(AND(M546="Ensayo Idiem",L546="Cafco 400",C546="IN",G546=4,I546=90),VLOOKUP(T546,'CAFCO 400 ENSAYO'!$B$7:$D$43,2,FALSE),0)+IF(AND(M546="Ensayo Idiem",L546="Cafco 400",C546="IN",G546=4,I546=120),VLOOKUP(T546,'CAFCO 400 ENSAYO'!$B$7:$D$43,3,FALSE),0)</f>
        <v>0</v>
      </c>
      <c r="O546" s="96">
        <f t="shared" si="60"/>
        <v>0</v>
      </c>
      <c r="P546" s="95" t="str">
        <f t="shared" si="55"/>
        <v>N/A</v>
      </c>
      <c r="Q546" s="95" t="str">
        <f t="shared" si="56"/>
        <v>N/A</v>
      </c>
      <c r="R546" s="95" t="str">
        <f t="shared" si="57"/>
        <v>NO CERT.</v>
      </c>
      <c r="S546" s="95" t="e">
        <f t="shared" si="58"/>
        <v>#N/A</v>
      </c>
      <c r="T546" s="119" t="e">
        <f>+IF(J546=LOOKUP(J546,'CAFCO 300 IDIEM TABLAS'!$J$4:$J$40),'CALCULO MORTERO'!J546,MROUND('CALCULO MORTERO'!J546,10))</f>
        <v>#N/A</v>
      </c>
      <c r="U546" s="118">
        <f t="shared" si="59"/>
        <v>0</v>
      </c>
      <c r="Y546" s="4"/>
      <c r="Z546" s="4"/>
      <c r="AA546" s="4"/>
    </row>
    <row r="547" spans="1:27" x14ac:dyDescent="0.25">
      <c r="A547" s="118">
        <f>+CUBICACION!D541</f>
        <v>0</v>
      </c>
      <c r="B547" s="819">
        <f>+CUBICACION!E541</f>
        <v>0</v>
      </c>
      <c r="C547" s="675">
        <f>+CUBICACION!F541</f>
        <v>0</v>
      </c>
      <c r="D547" s="118"/>
      <c r="E547" s="118"/>
      <c r="F547" s="820"/>
      <c r="G547" s="675">
        <f>+CUBICACION!J541</f>
        <v>0</v>
      </c>
      <c r="H547" s="118"/>
      <c r="I547" s="821">
        <f>+CUBICACION!L541</f>
        <v>0</v>
      </c>
      <c r="J547" s="64">
        <f>+CUBICACION!M541</f>
        <v>0</v>
      </c>
      <c r="K547" s="822" t="str">
        <f>+CUBICACION!N541</f>
        <v/>
      </c>
      <c r="L547" s="118">
        <f>+CUBICACION!O541</f>
        <v>0</v>
      </c>
      <c r="M547" s="823">
        <f>+CUBICACION!P541</f>
        <v>0</v>
      </c>
      <c r="N547" s="902">
        <f>ROUND(IF(AND(L547="Blaze Shield II",M547="Software Idiem",C547="IN",G547=4),((('BLAZE SHIELD II'!$D$4*('CALCULO MORTERO'!I547^2)+'BLAZE SHIELD II'!$D$5*'CALCULO MORTERO'!I547+'BLAZE SHIELD II'!$D$6)*LN(J547))+('BLAZE SHIELD II'!$D$7*('CALCULO MORTERO'!I547^2)+'BLAZE SHIELD II'!$D$8*'CALCULO MORTERO'!I547+'BLAZE SHIELD II'!$D$9)),0)+IF(AND(L547="Blaze Shield II",M547="Software Idiem",C547="Cj"),((('BLAZE SHIELD II'!$H$4*('CALCULO MORTERO'!I547^2)+'BLAZE SHIELD II'!$H$5*'CALCULO MORTERO'!I547+'BLAZE SHIELD II'!$H$6)*LN(J547))+('BLAZE SHIELD II'!$H$7*('CALCULO MORTERO'!I547^2)+'BLAZE SHIELD II'!$H$8*'CALCULO MORTERO'!I547+'BLAZE SHIELD II'!$H$9)),0)+IF(AND(L547="Blaze Shield II",M547="Software Idiem",C547="C"),((('BLAZE SHIELD II'!$L$4*('CALCULO MORTERO'!I547^2)+'BLAZE SHIELD II'!$L$5*'CALCULO MORTERO'!I547+'BLAZE SHIELD II'!$L$6)*LN(J547))+('BLAZE SHIELD II'!$L$7*('CALCULO MORTERO'!I547^2)+'BLAZE SHIELD II'!$L$8*'CALCULO MORTERO'!I547+'BLAZE SHIELD II'!$L$9)),0)+IF(AND(L547="Blaze Shield II",M547="Software Idiem",C547="L"),((('BLAZE SHIELD II'!$L$4*('CALCULO MORTERO'!I547^2)+'BLAZE SHIELD II'!$L$5*'CALCULO MORTERO'!I547+'BLAZE SHIELD II'!$L$6)*LN(J547))+('BLAZE SHIELD II'!$L$7*('CALCULO MORTERO'!I547^2)+'BLAZE SHIELD II'!$L$8*'CALCULO MORTERO'!I547+'BLAZE SHIELD II'!$L$9)),0)+IF(AND(L547="Blaze Shield II",M547="Software Idiem",C547="IN",G547=3),((('BLAZE SHIELD II'!$H$14*('CALCULO MORTERO'!I547^2)+'BLAZE SHIELD II'!$H$15*'CALCULO MORTERO'!I547+'BLAZE SHIELD II'!$H$16)*LN(J547))+('BLAZE SHIELD II'!$H$17*('CALCULO MORTERO'!I547^2)+'BLAZE SHIELD II'!$H$18*'CALCULO MORTERO'!I547+'BLAZE SHIELD II'!$H$19)),0),0)+ROUND(IF(AND(L547="Cafco 400",M547="Software Idiem",C547="IN",G547=4),((('CAFCO 400 '!$H$7*(J547^4)+'CAFCO 400 '!$H$8*(J547^3)+'CAFCO 400 '!$H$9*(J547^2)+'CAFCO 400 '!$H$10*J547+'CAFCO 400 '!$H$11)*U547^2)+(('CAFCO 400 '!$H$12*(J547^3)+'CAFCO 400 '!$H$13*(J547^2)+'CAFCO 400 '!$H$14*J547+'CAFCO 400 '!$H$15)*U547)+('CAFCO 400 '!$H$16*(J547^2)+'CAFCO 400 '!$H$17*J547+'CAFCO 400 '!$H$18)),0)+IF(AND(L547="Cafco 400",M547="Software Idiem",C547="Cj"),(((('CAFCO 400 '!$D$7*LN(J547)+'CAFCO 400 '!$D$8)*U547^2)+(('CAFCO 400 '!$D$9*LN(J547)+'CAFCO 400 '!$D$10)*U547)+('CAFCO 400 '!$D$11*LN(J547)+'CAFCO 400 '!$D$12))),0)+IF(AND(L547="Cafco 400",M547="Software Idiem",C547="C"),((('CAFCO 400 '!$L$7*(J547^3)+'CAFCO 400 '!$L$8*(J547^2)+'CAFCO 400 '!$L$9*J547+'CAFCO 400 '!$L$10)*U547^2)+(('CAFCO 400 '!$L$11*(J547^3)+'CAFCO 400 '!$L$12*(J547^2)+'CAFCO 400 '!$L$13*J547+'CAFCO 400 '!$L$14)*U547)+('CAFCO 400 '!$L$15*LN(J547)+'CAFCO 400 '!$L$16)),0)+IF(AND(L547="Cafco 400",M547="Software Idiem",C547="L"),((('CAFCO 400 '!$L$7*(J547^3)+'CAFCO 400 '!$L$8*(J547^2)+'CAFCO 400 '!$L$9*J547+'CAFCO 400 '!$L$10)*U547^2)+(('CAFCO 400 '!$L$11*(J547^3)+'CAFCO 400 '!$L$12*(J547^2)+'CAFCO 400 '!$L$13*J547+'CAFCO 400 '!$L$14)*U547)+('CAFCO 400 '!$L$15*LN(J547)+'CAFCO 400 '!$L$16)),0)+IF(AND(L547="Cafco 400",M547="Software Idiem",C547="IN",G547=3),((('CAFCO 400 '!$D$23*(J547^2)+'CAFCO 400 '!$D$24*(J547)+'CAFCO 400 '!$D$25)*U547^2)+(('CAFCO 400 '!$D$26*(J547^2)+'CAFCO 400 '!$D$27*J547+'CAFCO 400 '!$D$28)*U547)+('CAFCO 400 '!$D$29*(J547^2)+'CAFCO 400 '!$D$30*J547+'CAFCO 400 '!$D$31)),0),0)+IF(AND(L547="Cafco 300",J547&gt;=95,J547&lt;=240,C547="Cj",I547=90),VLOOKUP(T547,'CAFCO 300 IDIEM TABLAS'!$B$4:$D$23,2,FALSE),0)+IF(AND(L547="Cafco 300",J547&gt;=95,J547&lt;=240,C547="Cj",I547=120),VLOOKUP(T547,'CAFCO 300 IDIEM TABLAS'!$B$4:$D$23,3,FALSE),0)+IF(AND(L547="Cafco 300",J547&gt;=95,J547&lt;=400,G547=3,C547="IN",I547=90),VLOOKUP(T547,'CAFCO 300 IDIEM TABLAS'!$F$4:$H$35,2,FALSE),0)+IF(AND(L547="Cafco 300",J547&gt;=95,J547&lt;=400,G547=3,C547="IN",I547=120),VLOOKUP(T547,'CAFCO 300 IDIEM TABLAS'!$F$4:$H$35,3,FALSE),0)+IF(AND(L547="Cafco 300",J547&gt;=95,J547&lt;=450,G547=4,C547="IN",I547=90),VLOOKUP(T547,'CAFCO 300 IDIEM TABLAS'!$J$4:$L$40,2,FALSE),0)+IF(AND(L547="Cafco 300",J547&gt;=95,J547&lt;=450,G547=4,C547="IN",I547=120),VLOOKUP(T547,'CAFCO 300 IDIEM TABLAS'!$J$4:$L$40,3,FALSE),0)+IF(AND(M547="Ensayo Idiem",L547="Cafco 400",C547="IN",G547=4,I547=90),VLOOKUP(T547,'CAFCO 400 ENSAYO'!$B$7:$D$43,2,FALSE),0)+IF(AND(M547="Ensayo Idiem",L547="Cafco 400",C547="IN",G547=4,I547=120),VLOOKUP(T547,'CAFCO 400 ENSAYO'!$B$7:$D$43,3,FALSE),0)</f>
        <v>0</v>
      </c>
      <c r="O547" s="96">
        <f t="shared" si="60"/>
        <v>0</v>
      </c>
      <c r="P547" s="132" t="str">
        <f t="shared" si="55"/>
        <v>N/A</v>
      </c>
      <c r="Q547" s="132" t="str">
        <f t="shared" si="56"/>
        <v>N/A</v>
      </c>
      <c r="R547" s="132" t="str">
        <f t="shared" si="57"/>
        <v>NO CERT.</v>
      </c>
      <c r="S547" s="132" t="e">
        <f t="shared" si="58"/>
        <v>#N/A</v>
      </c>
      <c r="T547" s="133" t="e">
        <f>+IF(J547=LOOKUP(J547,'CAFCO 300 IDIEM TABLAS'!$J$4:$J$40),'CALCULO MORTERO'!J547,MROUND('CALCULO MORTERO'!J547,10))</f>
        <v>#N/A</v>
      </c>
      <c r="U547" s="134">
        <f t="shared" si="59"/>
        <v>0</v>
      </c>
      <c r="Y547" s="4"/>
      <c r="Z547" s="4"/>
      <c r="AA547" s="4"/>
    </row>
    <row r="548" spans="1:27" x14ac:dyDescent="0.25">
      <c r="A548" s="118">
        <f>+CUBICACION!D542</f>
        <v>0</v>
      </c>
      <c r="B548" s="819">
        <f>+CUBICACION!E542</f>
        <v>0</v>
      </c>
      <c r="C548" s="675">
        <f>+CUBICACION!F542</f>
        <v>0</v>
      </c>
      <c r="D548" s="118"/>
      <c r="E548" s="118"/>
      <c r="F548" s="820"/>
      <c r="G548" s="675">
        <f>+CUBICACION!J542</f>
        <v>0</v>
      </c>
      <c r="H548" s="118"/>
      <c r="I548" s="821">
        <f>+CUBICACION!L542</f>
        <v>0</v>
      </c>
      <c r="J548" s="64">
        <f>+CUBICACION!M542</f>
        <v>0</v>
      </c>
      <c r="K548" s="822" t="str">
        <f>+CUBICACION!N542</f>
        <v/>
      </c>
      <c r="L548" s="118">
        <f>+CUBICACION!O542</f>
        <v>0</v>
      </c>
      <c r="M548" s="823">
        <f>+CUBICACION!P542</f>
        <v>0</v>
      </c>
      <c r="N548" s="902">
        <f>ROUND(IF(AND(L548="Blaze Shield II",M548="Software Idiem",C548="IN",G548=4),((('BLAZE SHIELD II'!$D$4*('CALCULO MORTERO'!I548^2)+'BLAZE SHIELD II'!$D$5*'CALCULO MORTERO'!I548+'BLAZE SHIELD II'!$D$6)*LN(J548))+('BLAZE SHIELD II'!$D$7*('CALCULO MORTERO'!I548^2)+'BLAZE SHIELD II'!$D$8*'CALCULO MORTERO'!I548+'BLAZE SHIELD II'!$D$9)),0)+IF(AND(L548="Blaze Shield II",M548="Software Idiem",C548="Cj"),((('BLAZE SHIELD II'!$H$4*('CALCULO MORTERO'!I548^2)+'BLAZE SHIELD II'!$H$5*'CALCULO MORTERO'!I548+'BLAZE SHIELD II'!$H$6)*LN(J548))+('BLAZE SHIELD II'!$H$7*('CALCULO MORTERO'!I548^2)+'BLAZE SHIELD II'!$H$8*'CALCULO MORTERO'!I548+'BLAZE SHIELD II'!$H$9)),0)+IF(AND(L548="Blaze Shield II",M548="Software Idiem",C548="C"),((('BLAZE SHIELD II'!$L$4*('CALCULO MORTERO'!I548^2)+'BLAZE SHIELD II'!$L$5*'CALCULO MORTERO'!I548+'BLAZE SHIELD II'!$L$6)*LN(J548))+('BLAZE SHIELD II'!$L$7*('CALCULO MORTERO'!I548^2)+'BLAZE SHIELD II'!$L$8*'CALCULO MORTERO'!I548+'BLAZE SHIELD II'!$L$9)),0)+IF(AND(L548="Blaze Shield II",M548="Software Idiem",C548="L"),((('BLAZE SHIELD II'!$L$4*('CALCULO MORTERO'!I548^2)+'BLAZE SHIELD II'!$L$5*'CALCULO MORTERO'!I548+'BLAZE SHIELD II'!$L$6)*LN(J548))+('BLAZE SHIELD II'!$L$7*('CALCULO MORTERO'!I548^2)+'BLAZE SHIELD II'!$L$8*'CALCULO MORTERO'!I548+'BLAZE SHIELD II'!$L$9)),0)+IF(AND(L548="Blaze Shield II",M548="Software Idiem",C548="IN",G548=3),((('BLAZE SHIELD II'!$H$14*('CALCULO MORTERO'!I548^2)+'BLAZE SHIELD II'!$H$15*'CALCULO MORTERO'!I548+'BLAZE SHIELD II'!$H$16)*LN(J548))+('BLAZE SHIELD II'!$H$17*('CALCULO MORTERO'!I548^2)+'BLAZE SHIELD II'!$H$18*'CALCULO MORTERO'!I548+'BLAZE SHIELD II'!$H$19)),0),0)+ROUND(IF(AND(L548="Cafco 400",M548="Software Idiem",C548="IN",G548=4),((('CAFCO 400 '!$H$7*(J548^4)+'CAFCO 400 '!$H$8*(J548^3)+'CAFCO 400 '!$H$9*(J548^2)+'CAFCO 400 '!$H$10*J548+'CAFCO 400 '!$H$11)*U548^2)+(('CAFCO 400 '!$H$12*(J548^3)+'CAFCO 400 '!$H$13*(J548^2)+'CAFCO 400 '!$H$14*J548+'CAFCO 400 '!$H$15)*U548)+('CAFCO 400 '!$H$16*(J548^2)+'CAFCO 400 '!$H$17*J548+'CAFCO 400 '!$H$18)),0)+IF(AND(L548="Cafco 400",M548="Software Idiem",C548="Cj"),(((('CAFCO 400 '!$D$7*LN(J548)+'CAFCO 400 '!$D$8)*U548^2)+(('CAFCO 400 '!$D$9*LN(J548)+'CAFCO 400 '!$D$10)*U548)+('CAFCO 400 '!$D$11*LN(J548)+'CAFCO 400 '!$D$12))),0)+IF(AND(L548="Cafco 400",M548="Software Idiem",C548="C"),((('CAFCO 400 '!$L$7*(J548^3)+'CAFCO 400 '!$L$8*(J548^2)+'CAFCO 400 '!$L$9*J548+'CAFCO 400 '!$L$10)*U548^2)+(('CAFCO 400 '!$L$11*(J548^3)+'CAFCO 400 '!$L$12*(J548^2)+'CAFCO 400 '!$L$13*J548+'CAFCO 400 '!$L$14)*U548)+('CAFCO 400 '!$L$15*LN(J548)+'CAFCO 400 '!$L$16)),0)+IF(AND(L548="Cafco 400",M548="Software Idiem",C548="L"),((('CAFCO 400 '!$L$7*(J548^3)+'CAFCO 400 '!$L$8*(J548^2)+'CAFCO 400 '!$L$9*J548+'CAFCO 400 '!$L$10)*U548^2)+(('CAFCO 400 '!$L$11*(J548^3)+'CAFCO 400 '!$L$12*(J548^2)+'CAFCO 400 '!$L$13*J548+'CAFCO 400 '!$L$14)*U548)+('CAFCO 400 '!$L$15*LN(J548)+'CAFCO 400 '!$L$16)),0)+IF(AND(L548="Cafco 400",M548="Software Idiem",C548="IN",G548=3),((('CAFCO 400 '!$D$23*(J548^2)+'CAFCO 400 '!$D$24*(J548)+'CAFCO 400 '!$D$25)*U548^2)+(('CAFCO 400 '!$D$26*(J548^2)+'CAFCO 400 '!$D$27*J548+'CAFCO 400 '!$D$28)*U548)+('CAFCO 400 '!$D$29*(J548^2)+'CAFCO 400 '!$D$30*J548+'CAFCO 400 '!$D$31)),0),0)+IF(AND(L548="Cafco 300",J548&gt;=95,J548&lt;=240,C548="Cj",I548=90),VLOOKUP(T548,'CAFCO 300 IDIEM TABLAS'!$B$4:$D$23,2,FALSE),0)+IF(AND(L548="Cafco 300",J548&gt;=95,J548&lt;=240,C548="Cj",I548=120),VLOOKUP(T548,'CAFCO 300 IDIEM TABLAS'!$B$4:$D$23,3,FALSE),0)+IF(AND(L548="Cafco 300",J548&gt;=95,J548&lt;=400,G548=3,C548="IN",I548=90),VLOOKUP(T548,'CAFCO 300 IDIEM TABLAS'!$F$4:$H$35,2,FALSE),0)+IF(AND(L548="Cafco 300",J548&gt;=95,J548&lt;=400,G548=3,C548="IN",I548=120),VLOOKUP(T548,'CAFCO 300 IDIEM TABLAS'!$F$4:$H$35,3,FALSE),0)+IF(AND(L548="Cafco 300",J548&gt;=95,J548&lt;=450,G548=4,C548="IN",I548=90),VLOOKUP(T548,'CAFCO 300 IDIEM TABLAS'!$J$4:$L$40,2,FALSE),0)+IF(AND(L548="Cafco 300",J548&gt;=95,J548&lt;=450,G548=4,C548="IN",I548=120),VLOOKUP(T548,'CAFCO 300 IDIEM TABLAS'!$J$4:$L$40,3,FALSE),0)+IF(AND(M548="Ensayo Idiem",L548="Cafco 400",C548="IN",G548=4,I548=90),VLOOKUP(T548,'CAFCO 400 ENSAYO'!$B$7:$D$43,2,FALSE),0)+IF(AND(M548="Ensayo Idiem",L548="Cafco 400",C548="IN",G548=4,I548=120),VLOOKUP(T548,'CAFCO 400 ENSAYO'!$B$7:$D$43,3,FALSE),0)</f>
        <v>0</v>
      </c>
      <c r="O548" s="96">
        <f t="shared" si="60"/>
        <v>0</v>
      </c>
      <c r="P548" s="95" t="str">
        <f t="shared" si="55"/>
        <v>N/A</v>
      </c>
      <c r="Q548" s="95" t="str">
        <f t="shared" si="56"/>
        <v>N/A</v>
      </c>
      <c r="R548" s="95" t="str">
        <f t="shared" si="57"/>
        <v>NO CERT.</v>
      </c>
      <c r="S548" s="95" t="e">
        <f t="shared" si="58"/>
        <v>#N/A</v>
      </c>
      <c r="T548" s="119" t="e">
        <f>+IF(J548=LOOKUP(J548,'CAFCO 300 IDIEM TABLAS'!$J$4:$J$40),'CALCULO MORTERO'!J548,MROUND('CALCULO MORTERO'!J548,10))</f>
        <v>#N/A</v>
      </c>
      <c r="U548" s="118">
        <f t="shared" si="59"/>
        <v>0</v>
      </c>
      <c r="Y548" s="4"/>
      <c r="Z548" s="4"/>
      <c r="AA548" s="4"/>
    </row>
    <row r="549" spans="1:27" x14ac:dyDescent="0.25">
      <c r="A549" s="118">
        <f>+CUBICACION!D543</f>
        <v>0</v>
      </c>
      <c r="B549" s="819">
        <f>+CUBICACION!E543</f>
        <v>0</v>
      </c>
      <c r="C549" s="675">
        <f>+CUBICACION!F543</f>
        <v>0</v>
      </c>
      <c r="D549" s="118"/>
      <c r="E549" s="118"/>
      <c r="F549" s="820"/>
      <c r="G549" s="675">
        <f>+CUBICACION!J543</f>
        <v>0</v>
      </c>
      <c r="H549" s="118"/>
      <c r="I549" s="821">
        <f>+CUBICACION!L543</f>
        <v>0</v>
      </c>
      <c r="J549" s="64">
        <f>+CUBICACION!M543</f>
        <v>0</v>
      </c>
      <c r="K549" s="822" t="str">
        <f>+CUBICACION!N543</f>
        <v/>
      </c>
      <c r="L549" s="118">
        <f>+CUBICACION!O543</f>
        <v>0</v>
      </c>
      <c r="M549" s="823">
        <f>+CUBICACION!P543</f>
        <v>0</v>
      </c>
      <c r="N549" s="902">
        <f>ROUND(IF(AND(L549="Blaze Shield II",M549="Software Idiem",C549="IN",G549=4),((('BLAZE SHIELD II'!$D$4*('CALCULO MORTERO'!I549^2)+'BLAZE SHIELD II'!$D$5*'CALCULO MORTERO'!I549+'BLAZE SHIELD II'!$D$6)*LN(J549))+('BLAZE SHIELD II'!$D$7*('CALCULO MORTERO'!I549^2)+'BLAZE SHIELD II'!$D$8*'CALCULO MORTERO'!I549+'BLAZE SHIELD II'!$D$9)),0)+IF(AND(L549="Blaze Shield II",M549="Software Idiem",C549="Cj"),((('BLAZE SHIELD II'!$H$4*('CALCULO MORTERO'!I549^2)+'BLAZE SHIELD II'!$H$5*'CALCULO MORTERO'!I549+'BLAZE SHIELD II'!$H$6)*LN(J549))+('BLAZE SHIELD II'!$H$7*('CALCULO MORTERO'!I549^2)+'BLAZE SHIELD II'!$H$8*'CALCULO MORTERO'!I549+'BLAZE SHIELD II'!$H$9)),0)+IF(AND(L549="Blaze Shield II",M549="Software Idiem",C549="C"),((('BLAZE SHIELD II'!$L$4*('CALCULO MORTERO'!I549^2)+'BLAZE SHIELD II'!$L$5*'CALCULO MORTERO'!I549+'BLAZE SHIELD II'!$L$6)*LN(J549))+('BLAZE SHIELD II'!$L$7*('CALCULO MORTERO'!I549^2)+'BLAZE SHIELD II'!$L$8*'CALCULO MORTERO'!I549+'BLAZE SHIELD II'!$L$9)),0)+IF(AND(L549="Blaze Shield II",M549="Software Idiem",C549="L"),((('BLAZE SHIELD II'!$L$4*('CALCULO MORTERO'!I549^2)+'BLAZE SHIELD II'!$L$5*'CALCULO MORTERO'!I549+'BLAZE SHIELD II'!$L$6)*LN(J549))+('BLAZE SHIELD II'!$L$7*('CALCULO MORTERO'!I549^2)+'BLAZE SHIELD II'!$L$8*'CALCULO MORTERO'!I549+'BLAZE SHIELD II'!$L$9)),0)+IF(AND(L549="Blaze Shield II",M549="Software Idiem",C549="IN",G549=3),((('BLAZE SHIELD II'!$H$14*('CALCULO MORTERO'!I549^2)+'BLAZE SHIELD II'!$H$15*'CALCULO MORTERO'!I549+'BLAZE SHIELD II'!$H$16)*LN(J549))+('BLAZE SHIELD II'!$H$17*('CALCULO MORTERO'!I549^2)+'BLAZE SHIELD II'!$H$18*'CALCULO MORTERO'!I549+'BLAZE SHIELD II'!$H$19)),0),0)+ROUND(IF(AND(L549="Cafco 400",M549="Software Idiem",C549="IN",G549=4),((('CAFCO 400 '!$H$7*(J549^4)+'CAFCO 400 '!$H$8*(J549^3)+'CAFCO 400 '!$H$9*(J549^2)+'CAFCO 400 '!$H$10*J549+'CAFCO 400 '!$H$11)*U549^2)+(('CAFCO 400 '!$H$12*(J549^3)+'CAFCO 400 '!$H$13*(J549^2)+'CAFCO 400 '!$H$14*J549+'CAFCO 400 '!$H$15)*U549)+('CAFCO 400 '!$H$16*(J549^2)+'CAFCO 400 '!$H$17*J549+'CAFCO 400 '!$H$18)),0)+IF(AND(L549="Cafco 400",M549="Software Idiem",C549="Cj"),(((('CAFCO 400 '!$D$7*LN(J549)+'CAFCO 400 '!$D$8)*U549^2)+(('CAFCO 400 '!$D$9*LN(J549)+'CAFCO 400 '!$D$10)*U549)+('CAFCO 400 '!$D$11*LN(J549)+'CAFCO 400 '!$D$12))),0)+IF(AND(L549="Cafco 400",M549="Software Idiem",C549="C"),((('CAFCO 400 '!$L$7*(J549^3)+'CAFCO 400 '!$L$8*(J549^2)+'CAFCO 400 '!$L$9*J549+'CAFCO 400 '!$L$10)*U549^2)+(('CAFCO 400 '!$L$11*(J549^3)+'CAFCO 400 '!$L$12*(J549^2)+'CAFCO 400 '!$L$13*J549+'CAFCO 400 '!$L$14)*U549)+('CAFCO 400 '!$L$15*LN(J549)+'CAFCO 400 '!$L$16)),0)+IF(AND(L549="Cafco 400",M549="Software Idiem",C549="L"),((('CAFCO 400 '!$L$7*(J549^3)+'CAFCO 400 '!$L$8*(J549^2)+'CAFCO 400 '!$L$9*J549+'CAFCO 400 '!$L$10)*U549^2)+(('CAFCO 400 '!$L$11*(J549^3)+'CAFCO 400 '!$L$12*(J549^2)+'CAFCO 400 '!$L$13*J549+'CAFCO 400 '!$L$14)*U549)+('CAFCO 400 '!$L$15*LN(J549)+'CAFCO 400 '!$L$16)),0)+IF(AND(L549="Cafco 400",M549="Software Idiem",C549="IN",G549=3),((('CAFCO 400 '!$D$23*(J549^2)+'CAFCO 400 '!$D$24*(J549)+'CAFCO 400 '!$D$25)*U549^2)+(('CAFCO 400 '!$D$26*(J549^2)+'CAFCO 400 '!$D$27*J549+'CAFCO 400 '!$D$28)*U549)+('CAFCO 400 '!$D$29*(J549^2)+'CAFCO 400 '!$D$30*J549+'CAFCO 400 '!$D$31)),0),0)+IF(AND(L549="Cafco 300",J549&gt;=95,J549&lt;=240,C549="Cj",I549=90),VLOOKUP(T549,'CAFCO 300 IDIEM TABLAS'!$B$4:$D$23,2,FALSE),0)+IF(AND(L549="Cafco 300",J549&gt;=95,J549&lt;=240,C549="Cj",I549=120),VLOOKUP(T549,'CAFCO 300 IDIEM TABLAS'!$B$4:$D$23,3,FALSE),0)+IF(AND(L549="Cafco 300",J549&gt;=95,J549&lt;=400,G549=3,C549="IN",I549=90),VLOOKUP(T549,'CAFCO 300 IDIEM TABLAS'!$F$4:$H$35,2,FALSE),0)+IF(AND(L549="Cafco 300",J549&gt;=95,J549&lt;=400,G549=3,C549="IN",I549=120),VLOOKUP(T549,'CAFCO 300 IDIEM TABLAS'!$F$4:$H$35,3,FALSE),0)+IF(AND(L549="Cafco 300",J549&gt;=95,J549&lt;=450,G549=4,C549="IN",I549=90),VLOOKUP(T549,'CAFCO 300 IDIEM TABLAS'!$J$4:$L$40,2,FALSE),0)+IF(AND(L549="Cafco 300",J549&gt;=95,J549&lt;=450,G549=4,C549="IN",I549=120),VLOOKUP(T549,'CAFCO 300 IDIEM TABLAS'!$J$4:$L$40,3,FALSE),0)+IF(AND(M549="Ensayo Idiem",L549="Cafco 400",C549="IN",G549=4,I549=90),VLOOKUP(T549,'CAFCO 400 ENSAYO'!$B$7:$D$43,2,FALSE),0)+IF(AND(M549="Ensayo Idiem",L549="Cafco 400",C549="IN",G549=4,I549=120),VLOOKUP(T549,'CAFCO 400 ENSAYO'!$B$7:$D$43,3,FALSE),0)</f>
        <v>0</v>
      </c>
      <c r="O549" s="96">
        <f t="shared" si="60"/>
        <v>0</v>
      </c>
      <c r="P549" s="132" t="str">
        <f t="shared" si="55"/>
        <v>N/A</v>
      </c>
      <c r="Q549" s="132" t="str">
        <f t="shared" si="56"/>
        <v>N/A</v>
      </c>
      <c r="R549" s="132" t="str">
        <f t="shared" si="57"/>
        <v>NO CERT.</v>
      </c>
      <c r="S549" s="132" t="e">
        <f t="shared" si="58"/>
        <v>#N/A</v>
      </c>
      <c r="T549" s="133" t="e">
        <f>+IF(J549=LOOKUP(J549,'CAFCO 300 IDIEM TABLAS'!$J$4:$J$40),'CALCULO MORTERO'!J549,MROUND('CALCULO MORTERO'!J549,10))</f>
        <v>#N/A</v>
      </c>
      <c r="U549" s="134">
        <f t="shared" si="59"/>
        <v>0</v>
      </c>
      <c r="Y549" s="4"/>
      <c r="Z549" s="4"/>
      <c r="AA549" s="4"/>
    </row>
    <row r="550" spans="1:27" x14ac:dyDescent="0.25">
      <c r="A550" s="118">
        <f>+CUBICACION!D544</f>
        <v>0</v>
      </c>
      <c r="B550" s="819">
        <f>+CUBICACION!E544</f>
        <v>0</v>
      </c>
      <c r="C550" s="675">
        <f>+CUBICACION!F544</f>
        <v>0</v>
      </c>
      <c r="D550" s="118"/>
      <c r="E550" s="118"/>
      <c r="F550" s="820"/>
      <c r="G550" s="675">
        <f>+CUBICACION!J544</f>
        <v>0</v>
      </c>
      <c r="H550" s="118"/>
      <c r="I550" s="821">
        <f>+CUBICACION!L544</f>
        <v>0</v>
      </c>
      <c r="J550" s="64">
        <f>+CUBICACION!M544</f>
        <v>0</v>
      </c>
      <c r="K550" s="822" t="str">
        <f>+CUBICACION!N544</f>
        <v/>
      </c>
      <c r="L550" s="118">
        <f>+CUBICACION!O544</f>
        <v>0</v>
      </c>
      <c r="M550" s="823">
        <f>+CUBICACION!P544</f>
        <v>0</v>
      </c>
      <c r="N550" s="902">
        <f>ROUND(IF(AND(L550="Blaze Shield II",M550="Software Idiem",C550="IN",G550=4),((('BLAZE SHIELD II'!$D$4*('CALCULO MORTERO'!I550^2)+'BLAZE SHIELD II'!$D$5*'CALCULO MORTERO'!I550+'BLAZE SHIELD II'!$D$6)*LN(J550))+('BLAZE SHIELD II'!$D$7*('CALCULO MORTERO'!I550^2)+'BLAZE SHIELD II'!$D$8*'CALCULO MORTERO'!I550+'BLAZE SHIELD II'!$D$9)),0)+IF(AND(L550="Blaze Shield II",M550="Software Idiem",C550="Cj"),((('BLAZE SHIELD II'!$H$4*('CALCULO MORTERO'!I550^2)+'BLAZE SHIELD II'!$H$5*'CALCULO MORTERO'!I550+'BLAZE SHIELD II'!$H$6)*LN(J550))+('BLAZE SHIELD II'!$H$7*('CALCULO MORTERO'!I550^2)+'BLAZE SHIELD II'!$H$8*'CALCULO MORTERO'!I550+'BLAZE SHIELD II'!$H$9)),0)+IF(AND(L550="Blaze Shield II",M550="Software Idiem",C550="C"),((('BLAZE SHIELD II'!$L$4*('CALCULO MORTERO'!I550^2)+'BLAZE SHIELD II'!$L$5*'CALCULO MORTERO'!I550+'BLAZE SHIELD II'!$L$6)*LN(J550))+('BLAZE SHIELD II'!$L$7*('CALCULO MORTERO'!I550^2)+'BLAZE SHIELD II'!$L$8*'CALCULO MORTERO'!I550+'BLAZE SHIELD II'!$L$9)),0)+IF(AND(L550="Blaze Shield II",M550="Software Idiem",C550="L"),((('BLAZE SHIELD II'!$L$4*('CALCULO MORTERO'!I550^2)+'BLAZE SHIELD II'!$L$5*'CALCULO MORTERO'!I550+'BLAZE SHIELD II'!$L$6)*LN(J550))+('BLAZE SHIELD II'!$L$7*('CALCULO MORTERO'!I550^2)+'BLAZE SHIELD II'!$L$8*'CALCULO MORTERO'!I550+'BLAZE SHIELD II'!$L$9)),0)+IF(AND(L550="Blaze Shield II",M550="Software Idiem",C550="IN",G550=3),((('BLAZE SHIELD II'!$H$14*('CALCULO MORTERO'!I550^2)+'BLAZE SHIELD II'!$H$15*'CALCULO MORTERO'!I550+'BLAZE SHIELD II'!$H$16)*LN(J550))+('BLAZE SHIELD II'!$H$17*('CALCULO MORTERO'!I550^2)+'BLAZE SHIELD II'!$H$18*'CALCULO MORTERO'!I550+'BLAZE SHIELD II'!$H$19)),0),0)+ROUND(IF(AND(L550="Cafco 400",M550="Software Idiem",C550="IN",G550=4),((('CAFCO 400 '!$H$7*(J550^4)+'CAFCO 400 '!$H$8*(J550^3)+'CAFCO 400 '!$H$9*(J550^2)+'CAFCO 400 '!$H$10*J550+'CAFCO 400 '!$H$11)*U550^2)+(('CAFCO 400 '!$H$12*(J550^3)+'CAFCO 400 '!$H$13*(J550^2)+'CAFCO 400 '!$H$14*J550+'CAFCO 400 '!$H$15)*U550)+('CAFCO 400 '!$H$16*(J550^2)+'CAFCO 400 '!$H$17*J550+'CAFCO 400 '!$H$18)),0)+IF(AND(L550="Cafco 400",M550="Software Idiem",C550="Cj"),(((('CAFCO 400 '!$D$7*LN(J550)+'CAFCO 400 '!$D$8)*U550^2)+(('CAFCO 400 '!$D$9*LN(J550)+'CAFCO 400 '!$D$10)*U550)+('CAFCO 400 '!$D$11*LN(J550)+'CAFCO 400 '!$D$12))),0)+IF(AND(L550="Cafco 400",M550="Software Idiem",C550="C"),((('CAFCO 400 '!$L$7*(J550^3)+'CAFCO 400 '!$L$8*(J550^2)+'CAFCO 400 '!$L$9*J550+'CAFCO 400 '!$L$10)*U550^2)+(('CAFCO 400 '!$L$11*(J550^3)+'CAFCO 400 '!$L$12*(J550^2)+'CAFCO 400 '!$L$13*J550+'CAFCO 400 '!$L$14)*U550)+('CAFCO 400 '!$L$15*LN(J550)+'CAFCO 400 '!$L$16)),0)+IF(AND(L550="Cafco 400",M550="Software Idiem",C550="L"),((('CAFCO 400 '!$L$7*(J550^3)+'CAFCO 400 '!$L$8*(J550^2)+'CAFCO 400 '!$L$9*J550+'CAFCO 400 '!$L$10)*U550^2)+(('CAFCO 400 '!$L$11*(J550^3)+'CAFCO 400 '!$L$12*(J550^2)+'CAFCO 400 '!$L$13*J550+'CAFCO 400 '!$L$14)*U550)+('CAFCO 400 '!$L$15*LN(J550)+'CAFCO 400 '!$L$16)),0)+IF(AND(L550="Cafco 400",M550="Software Idiem",C550="IN",G550=3),((('CAFCO 400 '!$D$23*(J550^2)+'CAFCO 400 '!$D$24*(J550)+'CAFCO 400 '!$D$25)*U550^2)+(('CAFCO 400 '!$D$26*(J550^2)+'CAFCO 400 '!$D$27*J550+'CAFCO 400 '!$D$28)*U550)+('CAFCO 400 '!$D$29*(J550^2)+'CAFCO 400 '!$D$30*J550+'CAFCO 400 '!$D$31)),0),0)+IF(AND(L550="Cafco 300",J550&gt;=95,J550&lt;=240,C550="Cj",I550=90),VLOOKUP(T550,'CAFCO 300 IDIEM TABLAS'!$B$4:$D$23,2,FALSE),0)+IF(AND(L550="Cafco 300",J550&gt;=95,J550&lt;=240,C550="Cj",I550=120),VLOOKUP(T550,'CAFCO 300 IDIEM TABLAS'!$B$4:$D$23,3,FALSE),0)+IF(AND(L550="Cafco 300",J550&gt;=95,J550&lt;=400,G550=3,C550="IN",I550=90),VLOOKUP(T550,'CAFCO 300 IDIEM TABLAS'!$F$4:$H$35,2,FALSE),0)+IF(AND(L550="Cafco 300",J550&gt;=95,J550&lt;=400,G550=3,C550="IN",I550=120),VLOOKUP(T550,'CAFCO 300 IDIEM TABLAS'!$F$4:$H$35,3,FALSE),0)+IF(AND(L550="Cafco 300",J550&gt;=95,J550&lt;=450,G550=4,C550="IN",I550=90),VLOOKUP(T550,'CAFCO 300 IDIEM TABLAS'!$J$4:$L$40,2,FALSE),0)+IF(AND(L550="Cafco 300",J550&gt;=95,J550&lt;=450,G550=4,C550="IN",I550=120),VLOOKUP(T550,'CAFCO 300 IDIEM TABLAS'!$J$4:$L$40,3,FALSE),0)+IF(AND(M550="Ensayo Idiem",L550="Cafco 400",C550="IN",G550=4,I550=90),VLOOKUP(T550,'CAFCO 400 ENSAYO'!$B$7:$D$43,2,FALSE),0)+IF(AND(M550="Ensayo Idiem",L550="Cafco 400",C550="IN",G550=4,I550=120),VLOOKUP(T550,'CAFCO 400 ENSAYO'!$B$7:$D$43,3,FALSE),0)</f>
        <v>0</v>
      </c>
      <c r="O550" s="96">
        <f t="shared" si="60"/>
        <v>0</v>
      </c>
      <c r="P550" s="95" t="str">
        <f t="shared" si="55"/>
        <v>N/A</v>
      </c>
      <c r="Q550" s="95" t="str">
        <f t="shared" si="56"/>
        <v>N/A</v>
      </c>
      <c r="R550" s="95" t="str">
        <f t="shared" si="57"/>
        <v>NO CERT.</v>
      </c>
      <c r="S550" s="95" t="e">
        <f t="shared" si="58"/>
        <v>#N/A</v>
      </c>
      <c r="T550" s="119" t="e">
        <f>+IF(J550=LOOKUP(J550,'CAFCO 300 IDIEM TABLAS'!$J$4:$J$40),'CALCULO MORTERO'!J550,MROUND('CALCULO MORTERO'!J550,10))</f>
        <v>#N/A</v>
      </c>
      <c r="U550" s="118">
        <f t="shared" si="59"/>
        <v>0</v>
      </c>
      <c r="Y550" s="4"/>
      <c r="Z550" s="4"/>
      <c r="AA550" s="4"/>
    </row>
    <row r="551" spans="1:27" x14ac:dyDescent="0.25">
      <c r="A551" s="118">
        <f>+CUBICACION!D545</f>
        <v>0</v>
      </c>
      <c r="B551" s="819">
        <f>+CUBICACION!E545</f>
        <v>0</v>
      </c>
      <c r="C551" s="675">
        <f>+CUBICACION!F545</f>
        <v>0</v>
      </c>
      <c r="D551" s="118"/>
      <c r="E551" s="118"/>
      <c r="F551" s="820"/>
      <c r="G551" s="675">
        <f>+CUBICACION!J545</f>
        <v>0</v>
      </c>
      <c r="H551" s="118"/>
      <c r="I551" s="821">
        <f>+CUBICACION!L545</f>
        <v>0</v>
      </c>
      <c r="J551" s="64">
        <f>+CUBICACION!M545</f>
        <v>0</v>
      </c>
      <c r="K551" s="822" t="str">
        <f>+CUBICACION!N545</f>
        <v/>
      </c>
      <c r="L551" s="118">
        <f>+CUBICACION!O545</f>
        <v>0</v>
      </c>
      <c r="M551" s="823">
        <f>+CUBICACION!P545</f>
        <v>0</v>
      </c>
      <c r="N551" s="902">
        <f>ROUND(IF(AND(L551="Blaze Shield II",M551="Software Idiem",C551="IN",G551=4),((('BLAZE SHIELD II'!$D$4*('CALCULO MORTERO'!I551^2)+'BLAZE SHIELD II'!$D$5*'CALCULO MORTERO'!I551+'BLAZE SHIELD II'!$D$6)*LN(J551))+('BLAZE SHIELD II'!$D$7*('CALCULO MORTERO'!I551^2)+'BLAZE SHIELD II'!$D$8*'CALCULO MORTERO'!I551+'BLAZE SHIELD II'!$D$9)),0)+IF(AND(L551="Blaze Shield II",M551="Software Idiem",C551="Cj"),((('BLAZE SHIELD II'!$H$4*('CALCULO MORTERO'!I551^2)+'BLAZE SHIELD II'!$H$5*'CALCULO MORTERO'!I551+'BLAZE SHIELD II'!$H$6)*LN(J551))+('BLAZE SHIELD II'!$H$7*('CALCULO MORTERO'!I551^2)+'BLAZE SHIELD II'!$H$8*'CALCULO MORTERO'!I551+'BLAZE SHIELD II'!$H$9)),0)+IF(AND(L551="Blaze Shield II",M551="Software Idiem",C551="C"),((('BLAZE SHIELD II'!$L$4*('CALCULO MORTERO'!I551^2)+'BLAZE SHIELD II'!$L$5*'CALCULO MORTERO'!I551+'BLAZE SHIELD II'!$L$6)*LN(J551))+('BLAZE SHIELD II'!$L$7*('CALCULO MORTERO'!I551^2)+'BLAZE SHIELD II'!$L$8*'CALCULO MORTERO'!I551+'BLAZE SHIELD II'!$L$9)),0)+IF(AND(L551="Blaze Shield II",M551="Software Idiem",C551="L"),((('BLAZE SHIELD II'!$L$4*('CALCULO MORTERO'!I551^2)+'BLAZE SHIELD II'!$L$5*'CALCULO MORTERO'!I551+'BLAZE SHIELD II'!$L$6)*LN(J551))+('BLAZE SHIELD II'!$L$7*('CALCULO MORTERO'!I551^2)+'BLAZE SHIELD II'!$L$8*'CALCULO MORTERO'!I551+'BLAZE SHIELD II'!$L$9)),0)+IF(AND(L551="Blaze Shield II",M551="Software Idiem",C551="IN",G551=3),((('BLAZE SHIELD II'!$H$14*('CALCULO MORTERO'!I551^2)+'BLAZE SHIELD II'!$H$15*'CALCULO MORTERO'!I551+'BLAZE SHIELD II'!$H$16)*LN(J551))+('BLAZE SHIELD II'!$H$17*('CALCULO MORTERO'!I551^2)+'BLAZE SHIELD II'!$H$18*'CALCULO MORTERO'!I551+'BLAZE SHIELD II'!$H$19)),0),0)+ROUND(IF(AND(L551="Cafco 400",M551="Software Idiem",C551="IN",G551=4),((('CAFCO 400 '!$H$7*(J551^4)+'CAFCO 400 '!$H$8*(J551^3)+'CAFCO 400 '!$H$9*(J551^2)+'CAFCO 400 '!$H$10*J551+'CAFCO 400 '!$H$11)*U551^2)+(('CAFCO 400 '!$H$12*(J551^3)+'CAFCO 400 '!$H$13*(J551^2)+'CAFCO 400 '!$H$14*J551+'CAFCO 400 '!$H$15)*U551)+('CAFCO 400 '!$H$16*(J551^2)+'CAFCO 400 '!$H$17*J551+'CAFCO 400 '!$H$18)),0)+IF(AND(L551="Cafco 400",M551="Software Idiem",C551="Cj"),(((('CAFCO 400 '!$D$7*LN(J551)+'CAFCO 400 '!$D$8)*U551^2)+(('CAFCO 400 '!$D$9*LN(J551)+'CAFCO 400 '!$D$10)*U551)+('CAFCO 400 '!$D$11*LN(J551)+'CAFCO 400 '!$D$12))),0)+IF(AND(L551="Cafco 400",M551="Software Idiem",C551="C"),((('CAFCO 400 '!$L$7*(J551^3)+'CAFCO 400 '!$L$8*(J551^2)+'CAFCO 400 '!$L$9*J551+'CAFCO 400 '!$L$10)*U551^2)+(('CAFCO 400 '!$L$11*(J551^3)+'CAFCO 400 '!$L$12*(J551^2)+'CAFCO 400 '!$L$13*J551+'CAFCO 400 '!$L$14)*U551)+('CAFCO 400 '!$L$15*LN(J551)+'CAFCO 400 '!$L$16)),0)+IF(AND(L551="Cafco 400",M551="Software Idiem",C551="L"),((('CAFCO 400 '!$L$7*(J551^3)+'CAFCO 400 '!$L$8*(J551^2)+'CAFCO 400 '!$L$9*J551+'CAFCO 400 '!$L$10)*U551^2)+(('CAFCO 400 '!$L$11*(J551^3)+'CAFCO 400 '!$L$12*(J551^2)+'CAFCO 400 '!$L$13*J551+'CAFCO 400 '!$L$14)*U551)+('CAFCO 400 '!$L$15*LN(J551)+'CAFCO 400 '!$L$16)),0)+IF(AND(L551="Cafco 400",M551="Software Idiem",C551="IN",G551=3),((('CAFCO 400 '!$D$23*(J551^2)+'CAFCO 400 '!$D$24*(J551)+'CAFCO 400 '!$D$25)*U551^2)+(('CAFCO 400 '!$D$26*(J551^2)+'CAFCO 400 '!$D$27*J551+'CAFCO 400 '!$D$28)*U551)+('CAFCO 400 '!$D$29*(J551^2)+'CAFCO 400 '!$D$30*J551+'CAFCO 400 '!$D$31)),0),0)+IF(AND(L551="Cafco 300",J551&gt;=95,J551&lt;=240,C551="Cj",I551=90),VLOOKUP(T551,'CAFCO 300 IDIEM TABLAS'!$B$4:$D$23,2,FALSE),0)+IF(AND(L551="Cafco 300",J551&gt;=95,J551&lt;=240,C551="Cj",I551=120),VLOOKUP(T551,'CAFCO 300 IDIEM TABLAS'!$B$4:$D$23,3,FALSE),0)+IF(AND(L551="Cafco 300",J551&gt;=95,J551&lt;=400,G551=3,C551="IN",I551=90),VLOOKUP(T551,'CAFCO 300 IDIEM TABLAS'!$F$4:$H$35,2,FALSE),0)+IF(AND(L551="Cafco 300",J551&gt;=95,J551&lt;=400,G551=3,C551="IN",I551=120),VLOOKUP(T551,'CAFCO 300 IDIEM TABLAS'!$F$4:$H$35,3,FALSE),0)+IF(AND(L551="Cafco 300",J551&gt;=95,J551&lt;=450,G551=4,C551="IN",I551=90),VLOOKUP(T551,'CAFCO 300 IDIEM TABLAS'!$J$4:$L$40,2,FALSE),0)+IF(AND(L551="Cafco 300",J551&gt;=95,J551&lt;=450,G551=4,C551="IN",I551=120),VLOOKUP(T551,'CAFCO 300 IDIEM TABLAS'!$J$4:$L$40,3,FALSE),0)+IF(AND(M551="Ensayo Idiem",L551="Cafco 400",C551="IN",G551=4,I551=90),VLOOKUP(T551,'CAFCO 400 ENSAYO'!$B$7:$D$43,2,FALSE),0)+IF(AND(M551="Ensayo Idiem",L551="Cafco 400",C551="IN",G551=4,I551=120),VLOOKUP(T551,'CAFCO 400 ENSAYO'!$B$7:$D$43,3,FALSE),0)</f>
        <v>0</v>
      </c>
      <c r="O551" s="96">
        <f t="shared" si="60"/>
        <v>0</v>
      </c>
      <c r="P551" s="132" t="str">
        <f t="shared" si="55"/>
        <v>N/A</v>
      </c>
      <c r="Q551" s="132" t="str">
        <f t="shared" si="56"/>
        <v>N/A</v>
      </c>
      <c r="R551" s="132" t="str">
        <f t="shared" si="57"/>
        <v>NO CERT.</v>
      </c>
      <c r="S551" s="132" t="e">
        <f t="shared" si="58"/>
        <v>#N/A</v>
      </c>
      <c r="T551" s="133" t="e">
        <f>+IF(J551=LOOKUP(J551,'CAFCO 300 IDIEM TABLAS'!$J$4:$J$40),'CALCULO MORTERO'!J551,MROUND('CALCULO MORTERO'!J551,10))</f>
        <v>#N/A</v>
      </c>
      <c r="U551" s="134">
        <f t="shared" si="59"/>
        <v>0</v>
      </c>
      <c r="Y551" s="4"/>
      <c r="Z551" s="4"/>
      <c r="AA551" s="4"/>
    </row>
    <row r="552" spans="1:27" x14ac:dyDescent="0.25">
      <c r="A552" s="118">
        <f>+CUBICACION!D546</f>
        <v>0</v>
      </c>
      <c r="B552" s="819">
        <f>+CUBICACION!E546</f>
        <v>0</v>
      </c>
      <c r="C552" s="675">
        <f>+CUBICACION!F546</f>
        <v>0</v>
      </c>
      <c r="D552" s="118"/>
      <c r="E552" s="118"/>
      <c r="F552" s="820"/>
      <c r="G552" s="675">
        <f>+CUBICACION!J546</f>
        <v>0</v>
      </c>
      <c r="H552" s="118"/>
      <c r="I552" s="821">
        <f>+CUBICACION!L546</f>
        <v>0</v>
      </c>
      <c r="J552" s="64">
        <f>+CUBICACION!M546</f>
        <v>0</v>
      </c>
      <c r="K552" s="822" t="str">
        <f>+CUBICACION!N546</f>
        <v/>
      </c>
      <c r="L552" s="118">
        <f>+CUBICACION!O546</f>
        <v>0</v>
      </c>
      <c r="M552" s="823">
        <f>+CUBICACION!P546</f>
        <v>0</v>
      </c>
      <c r="N552" s="902">
        <f>ROUND(IF(AND(L552="Blaze Shield II",M552="Software Idiem",C552="IN",G552=4),((('BLAZE SHIELD II'!$D$4*('CALCULO MORTERO'!I552^2)+'BLAZE SHIELD II'!$D$5*'CALCULO MORTERO'!I552+'BLAZE SHIELD II'!$D$6)*LN(J552))+('BLAZE SHIELD II'!$D$7*('CALCULO MORTERO'!I552^2)+'BLAZE SHIELD II'!$D$8*'CALCULO MORTERO'!I552+'BLAZE SHIELD II'!$D$9)),0)+IF(AND(L552="Blaze Shield II",M552="Software Idiem",C552="Cj"),((('BLAZE SHIELD II'!$H$4*('CALCULO MORTERO'!I552^2)+'BLAZE SHIELD II'!$H$5*'CALCULO MORTERO'!I552+'BLAZE SHIELD II'!$H$6)*LN(J552))+('BLAZE SHIELD II'!$H$7*('CALCULO MORTERO'!I552^2)+'BLAZE SHIELD II'!$H$8*'CALCULO MORTERO'!I552+'BLAZE SHIELD II'!$H$9)),0)+IF(AND(L552="Blaze Shield II",M552="Software Idiem",C552="C"),((('BLAZE SHIELD II'!$L$4*('CALCULO MORTERO'!I552^2)+'BLAZE SHIELD II'!$L$5*'CALCULO MORTERO'!I552+'BLAZE SHIELD II'!$L$6)*LN(J552))+('BLAZE SHIELD II'!$L$7*('CALCULO MORTERO'!I552^2)+'BLAZE SHIELD II'!$L$8*'CALCULO MORTERO'!I552+'BLAZE SHIELD II'!$L$9)),0)+IF(AND(L552="Blaze Shield II",M552="Software Idiem",C552="L"),((('BLAZE SHIELD II'!$L$4*('CALCULO MORTERO'!I552^2)+'BLAZE SHIELD II'!$L$5*'CALCULO MORTERO'!I552+'BLAZE SHIELD II'!$L$6)*LN(J552))+('BLAZE SHIELD II'!$L$7*('CALCULO MORTERO'!I552^2)+'BLAZE SHIELD II'!$L$8*'CALCULO MORTERO'!I552+'BLAZE SHIELD II'!$L$9)),0)+IF(AND(L552="Blaze Shield II",M552="Software Idiem",C552="IN",G552=3),((('BLAZE SHIELD II'!$H$14*('CALCULO MORTERO'!I552^2)+'BLAZE SHIELD II'!$H$15*'CALCULO MORTERO'!I552+'BLAZE SHIELD II'!$H$16)*LN(J552))+('BLAZE SHIELD II'!$H$17*('CALCULO MORTERO'!I552^2)+'BLAZE SHIELD II'!$H$18*'CALCULO MORTERO'!I552+'BLAZE SHIELD II'!$H$19)),0),0)+ROUND(IF(AND(L552="Cafco 400",M552="Software Idiem",C552="IN",G552=4),((('CAFCO 400 '!$H$7*(J552^4)+'CAFCO 400 '!$H$8*(J552^3)+'CAFCO 400 '!$H$9*(J552^2)+'CAFCO 400 '!$H$10*J552+'CAFCO 400 '!$H$11)*U552^2)+(('CAFCO 400 '!$H$12*(J552^3)+'CAFCO 400 '!$H$13*(J552^2)+'CAFCO 400 '!$H$14*J552+'CAFCO 400 '!$H$15)*U552)+('CAFCO 400 '!$H$16*(J552^2)+'CAFCO 400 '!$H$17*J552+'CAFCO 400 '!$H$18)),0)+IF(AND(L552="Cafco 400",M552="Software Idiem",C552="Cj"),(((('CAFCO 400 '!$D$7*LN(J552)+'CAFCO 400 '!$D$8)*U552^2)+(('CAFCO 400 '!$D$9*LN(J552)+'CAFCO 400 '!$D$10)*U552)+('CAFCO 400 '!$D$11*LN(J552)+'CAFCO 400 '!$D$12))),0)+IF(AND(L552="Cafco 400",M552="Software Idiem",C552="C"),((('CAFCO 400 '!$L$7*(J552^3)+'CAFCO 400 '!$L$8*(J552^2)+'CAFCO 400 '!$L$9*J552+'CAFCO 400 '!$L$10)*U552^2)+(('CAFCO 400 '!$L$11*(J552^3)+'CAFCO 400 '!$L$12*(J552^2)+'CAFCO 400 '!$L$13*J552+'CAFCO 400 '!$L$14)*U552)+('CAFCO 400 '!$L$15*LN(J552)+'CAFCO 400 '!$L$16)),0)+IF(AND(L552="Cafco 400",M552="Software Idiem",C552="L"),((('CAFCO 400 '!$L$7*(J552^3)+'CAFCO 400 '!$L$8*(J552^2)+'CAFCO 400 '!$L$9*J552+'CAFCO 400 '!$L$10)*U552^2)+(('CAFCO 400 '!$L$11*(J552^3)+'CAFCO 400 '!$L$12*(J552^2)+'CAFCO 400 '!$L$13*J552+'CAFCO 400 '!$L$14)*U552)+('CAFCO 400 '!$L$15*LN(J552)+'CAFCO 400 '!$L$16)),0)+IF(AND(L552="Cafco 400",M552="Software Idiem",C552="IN",G552=3),((('CAFCO 400 '!$D$23*(J552^2)+'CAFCO 400 '!$D$24*(J552)+'CAFCO 400 '!$D$25)*U552^2)+(('CAFCO 400 '!$D$26*(J552^2)+'CAFCO 400 '!$D$27*J552+'CAFCO 400 '!$D$28)*U552)+('CAFCO 400 '!$D$29*(J552^2)+'CAFCO 400 '!$D$30*J552+'CAFCO 400 '!$D$31)),0),0)+IF(AND(L552="Cafco 300",J552&gt;=95,J552&lt;=240,C552="Cj",I552=90),VLOOKUP(T552,'CAFCO 300 IDIEM TABLAS'!$B$4:$D$23,2,FALSE),0)+IF(AND(L552="Cafco 300",J552&gt;=95,J552&lt;=240,C552="Cj",I552=120),VLOOKUP(T552,'CAFCO 300 IDIEM TABLAS'!$B$4:$D$23,3,FALSE),0)+IF(AND(L552="Cafco 300",J552&gt;=95,J552&lt;=400,G552=3,C552="IN",I552=90),VLOOKUP(T552,'CAFCO 300 IDIEM TABLAS'!$F$4:$H$35,2,FALSE),0)+IF(AND(L552="Cafco 300",J552&gt;=95,J552&lt;=400,G552=3,C552="IN",I552=120),VLOOKUP(T552,'CAFCO 300 IDIEM TABLAS'!$F$4:$H$35,3,FALSE),0)+IF(AND(L552="Cafco 300",J552&gt;=95,J552&lt;=450,G552=4,C552="IN",I552=90),VLOOKUP(T552,'CAFCO 300 IDIEM TABLAS'!$J$4:$L$40,2,FALSE),0)+IF(AND(L552="Cafco 300",J552&gt;=95,J552&lt;=450,G552=4,C552="IN",I552=120),VLOOKUP(T552,'CAFCO 300 IDIEM TABLAS'!$J$4:$L$40,3,FALSE),0)+IF(AND(M552="Ensayo Idiem",L552="Cafco 400",C552="IN",G552=4,I552=90),VLOOKUP(T552,'CAFCO 400 ENSAYO'!$B$7:$D$43,2,FALSE),0)+IF(AND(M552="Ensayo Idiem",L552="Cafco 400",C552="IN",G552=4,I552=120),VLOOKUP(T552,'CAFCO 400 ENSAYO'!$B$7:$D$43,3,FALSE),0)</f>
        <v>0</v>
      </c>
      <c r="O552" s="96">
        <f t="shared" si="60"/>
        <v>0</v>
      </c>
      <c r="P552" s="95" t="str">
        <f t="shared" si="55"/>
        <v>N/A</v>
      </c>
      <c r="Q552" s="95" t="str">
        <f t="shared" si="56"/>
        <v>N/A</v>
      </c>
      <c r="R552" s="95" t="str">
        <f t="shared" si="57"/>
        <v>NO CERT.</v>
      </c>
      <c r="S552" s="95" t="e">
        <f t="shared" si="58"/>
        <v>#N/A</v>
      </c>
      <c r="T552" s="119" t="e">
        <f>+IF(J552=LOOKUP(J552,'CAFCO 300 IDIEM TABLAS'!$J$4:$J$40),'CALCULO MORTERO'!J552,MROUND('CALCULO MORTERO'!J552,10))</f>
        <v>#N/A</v>
      </c>
      <c r="U552" s="118">
        <f t="shared" si="59"/>
        <v>0</v>
      </c>
      <c r="Y552" s="4"/>
      <c r="Z552" s="4"/>
      <c r="AA552" s="4"/>
    </row>
    <row r="553" spans="1:27" x14ac:dyDescent="0.25">
      <c r="A553" s="118">
        <f>+CUBICACION!D547</f>
        <v>0</v>
      </c>
      <c r="B553" s="819">
        <f>+CUBICACION!E547</f>
        <v>0</v>
      </c>
      <c r="C553" s="675">
        <f>+CUBICACION!F547</f>
        <v>0</v>
      </c>
      <c r="D553" s="118"/>
      <c r="E553" s="118"/>
      <c r="F553" s="820"/>
      <c r="G553" s="675">
        <f>+CUBICACION!J547</f>
        <v>0</v>
      </c>
      <c r="H553" s="118"/>
      <c r="I553" s="821">
        <f>+CUBICACION!L547</f>
        <v>0</v>
      </c>
      <c r="J553" s="64">
        <f>+CUBICACION!M547</f>
        <v>0</v>
      </c>
      <c r="K553" s="822" t="str">
        <f>+CUBICACION!N547</f>
        <v/>
      </c>
      <c r="L553" s="118">
        <f>+CUBICACION!O547</f>
        <v>0</v>
      </c>
      <c r="M553" s="823">
        <f>+CUBICACION!P547</f>
        <v>0</v>
      </c>
      <c r="N553" s="902">
        <f>ROUND(IF(AND(L553="Blaze Shield II",M553="Software Idiem",C553="IN",G553=4),((('BLAZE SHIELD II'!$D$4*('CALCULO MORTERO'!I553^2)+'BLAZE SHIELD II'!$D$5*'CALCULO MORTERO'!I553+'BLAZE SHIELD II'!$D$6)*LN(J553))+('BLAZE SHIELD II'!$D$7*('CALCULO MORTERO'!I553^2)+'BLAZE SHIELD II'!$D$8*'CALCULO MORTERO'!I553+'BLAZE SHIELD II'!$D$9)),0)+IF(AND(L553="Blaze Shield II",M553="Software Idiem",C553="Cj"),((('BLAZE SHIELD II'!$H$4*('CALCULO MORTERO'!I553^2)+'BLAZE SHIELD II'!$H$5*'CALCULO MORTERO'!I553+'BLAZE SHIELD II'!$H$6)*LN(J553))+('BLAZE SHIELD II'!$H$7*('CALCULO MORTERO'!I553^2)+'BLAZE SHIELD II'!$H$8*'CALCULO MORTERO'!I553+'BLAZE SHIELD II'!$H$9)),0)+IF(AND(L553="Blaze Shield II",M553="Software Idiem",C553="C"),((('BLAZE SHIELD II'!$L$4*('CALCULO MORTERO'!I553^2)+'BLAZE SHIELD II'!$L$5*'CALCULO MORTERO'!I553+'BLAZE SHIELD II'!$L$6)*LN(J553))+('BLAZE SHIELD II'!$L$7*('CALCULO MORTERO'!I553^2)+'BLAZE SHIELD II'!$L$8*'CALCULO MORTERO'!I553+'BLAZE SHIELD II'!$L$9)),0)+IF(AND(L553="Blaze Shield II",M553="Software Idiem",C553="L"),((('BLAZE SHIELD II'!$L$4*('CALCULO MORTERO'!I553^2)+'BLAZE SHIELD II'!$L$5*'CALCULO MORTERO'!I553+'BLAZE SHIELD II'!$L$6)*LN(J553))+('BLAZE SHIELD II'!$L$7*('CALCULO MORTERO'!I553^2)+'BLAZE SHIELD II'!$L$8*'CALCULO MORTERO'!I553+'BLAZE SHIELD II'!$L$9)),0)+IF(AND(L553="Blaze Shield II",M553="Software Idiem",C553="IN",G553=3),((('BLAZE SHIELD II'!$H$14*('CALCULO MORTERO'!I553^2)+'BLAZE SHIELD II'!$H$15*'CALCULO MORTERO'!I553+'BLAZE SHIELD II'!$H$16)*LN(J553))+('BLAZE SHIELD II'!$H$17*('CALCULO MORTERO'!I553^2)+'BLAZE SHIELD II'!$H$18*'CALCULO MORTERO'!I553+'BLAZE SHIELD II'!$H$19)),0),0)+ROUND(IF(AND(L553="Cafco 400",M553="Software Idiem",C553="IN",G553=4),((('CAFCO 400 '!$H$7*(J553^4)+'CAFCO 400 '!$H$8*(J553^3)+'CAFCO 400 '!$H$9*(J553^2)+'CAFCO 400 '!$H$10*J553+'CAFCO 400 '!$H$11)*U553^2)+(('CAFCO 400 '!$H$12*(J553^3)+'CAFCO 400 '!$H$13*(J553^2)+'CAFCO 400 '!$H$14*J553+'CAFCO 400 '!$H$15)*U553)+('CAFCO 400 '!$H$16*(J553^2)+'CAFCO 400 '!$H$17*J553+'CAFCO 400 '!$H$18)),0)+IF(AND(L553="Cafco 400",M553="Software Idiem",C553="Cj"),(((('CAFCO 400 '!$D$7*LN(J553)+'CAFCO 400 '!$D$8)*U553^2)+(('CAFCO 400 '!$D$9*LN(J553)+'CAFCO 400 '!$D$10)*U553)+('CAFCO 400 '!$D$11*LN(J553)+'CAFCO 400 '!$D$12))),0)+IF(AND(L553="Cafco 400",M553="Software Idiem",C553="C"),((('CAFCO 400 '!$L$7*(J553^3)+'CAFCO 400 '!$L$8*(J553^2)+'CAFCO 400 '!$L$9*J553+'CAFCO 400 '!$L$10)*U553^2)+(('CAFCO 400 '!$L$11*(J553^3)+'CAFCO 400 '!$L$12*(J553^2)+'CAFCO 400 '!$L$13*J553+'CAFCO 400 '!$L$14)*U553)+('CAFCO 400 '!$L$15*LN(J553)+'CAFCO 400 '!$L$16)),0)+IF(AND(L553="Cafco 400",M553="Software Idiem",C553="L"),((('CAFCO 400 '!$L$7*(J553^3)+'CAFCO 400 '!$L$8*(J553^2)+'CAFCO 400 '!$L$9*J553+'CAFCO 400 '!$L$10)*U553^2)+(('CAFCO 400 '!$L$11*(J553^3)+'CAFCO 400 '!$L$12*(J553^2)+'CAFCO 400 '!$L$13*J553+'CAFCO 400 '!$L$14)*U553)+('CAFCO 400 '!$L$15*LN(J553)+'CAFCO 400 '!$L$16)),0)+IF(AND(L553="Cafco 400",M553="Software Idiem",C553="IN",G553=3),((('CAFCO 400 '!$D$23*(J553^2)+'CAFCO 400 '!$D$24*(J553)+'CAFCO 400 '!$D$25)*U553^2)+(('CAFCO 400 '!$D$26*(J553^2)+'CAFCO 400 '!$D$27*J553+'CAFCO 400 '!$D$28)*U553)+('CAFCO 400 '!$D$29*(J553^2)+'CAFCO 400 '!$D$30*J553+'CAFCO 400 '!$D$31)),0),0)+IF(AND(L553="Cafco 300",J553&gt;=95,J553&lt;=240,C553="Cj",I553=90),VLOOKUP(T553,'CAFCO 300 IDIEM TABLAS'!$B$4:$D$23,2,FALSE),0)+IF(AND(L553="Cafco 300",J553&gt;=95,J553&lt;=240,C553="Cj",I553=120),VLOOKUP(T553,'CAFCO 300 IDIEM TABLAS'!$B$4:$D$23,3,FALSE),0)+IF(AND(L553="Cafco 300",J553&gt;=95,J553&lt;=400,G553=3,C553="IN",I553=90),VLOOKUP(T553,'CAFCO 300 IDIEM TABLAS'!$F$4:$H$35,2,FALSE),0)+IF(AND(L553="Cafco 300",J553&gt;=95,J553&lt;=400,G553=3,C553="IN",I553=120),VLOOKUP(T553,'CAFCO 300 IDIEM TABLAS'!$F$4:$H$35,3,FALSE),0)+IF(AND(L553="Cafco 300",J553&gt;=95,J553&lt;=450,G553=4,C553="IN",I553=90),VLOOKUP(T553,'CAFCO 300 IDIEM TABLAS'!$J$4:$L$40,2,FALSE),0)+IF(AND(L553="Cafco 300",J553&gt;=95,J553&lt;=450,G553=4,C553="IN",I553=120),VLOOKUP(T553,'CAFCO 300 IDIEM TABLAS'!$J$4:$L$40,3,FALSE),0)+IF(AND(M553="Ensayo Idiem",L553="Cafco 400",C553="IN",G553=4,I553=90),VLOOKUP(T553,'CAFCO 400 ENSAYO'!$B$7:$D$43,2,FALSE),0)+IF(AND(M553="Ensayo Idiem",L553="Cafco 400",C553="IN",G553=4,I553=120),VLOOKUP(T553,'CAFCO 400 ENSAYO'!$B$7:$D$43,3,FALSE),0)</f>
        <v>0</v>
      </c>
      <c r="O553" s="96">
        <f t="shared" si="60"/>
        <v>0</v>
      </c>
      <c r="P553" s="132" t="str">
        <f t="shared" si="55"/>
        <v>N/A</v>
      </c>
      <c r="Q553" s="132" t="str">
        <f t="shared" si="56"/>
        <v>N/A</v>
      </c>
      <c r="R553" s="132" t="str">
        <f t="shared" si="57"/>
        <v>NO CERT.</v>
      </c>
      <c r="S553" s="132" t="e">
        <f t="shared" si="58"/>
        <v>#N/A</v>
      </c>
      <c r="T553" s="133" t="e">
        <f>+IF(J553=LOOKUP(J553,'CAFCO 300 IDIEM TABLAS'!$J$4:$J$40),'CALCULO MORTERO'!J553,MROUND('CALCULO MORTERO'!J553,10))</f>
        <v>#N/A</v>
      </c>
      <c r="U553" s="134">
        <f t="shared" si="59"/>
        <v>0</v>
      </c>
      <c r="Y553" s="4"/>
      <c r="Z553" s="4"/>
      <c r="AA553" s="4"/>
    </row>
    <row r="554" spans="1:27" x14ac:dyDescent="0.25">
      <c r="A554" s="118">
        <f>+CUBICACION!D548</f>
        <v>0</v>
      </c>
      <c r="B554" s="819">
        <f>+CUBICACION!E548</f>
        <v>0</v>
      </c>
      <c r="C554" s="675">
        <f>+CUBICACION!F548</f>
        <v>0</v>
      </c>
      <c r="D554" s="118"/>
      <c r="E554" s="118"/>
      <c r="F554" s="820"/>
      <c r="G554" s="675">
        <f>+CUBICACION!J548</f>
        <v>0</v>
      </c>
      <c r="H554" s="118"/>
      <c r="I554" s="821">
        <f>+CUBICACION!L548</f>
        <v>0</v>
      </c>
      <c r="J554" s="64">
        <f>+CUBICACION!M548</f>
        <v>0</v>
      </c>
      <c r="K554" s="822" t="str">
        <f>+CUBICACION!N548</f>
        <v/>
      </c>
      <c r="L554" s="118">
        <f>+CUBICACION!O548</f>
        <v>0</v>
      </c>
      <c r="M554" s="823">
        <f>+CUBICACION!P548</f>
        <v>0</v>
      </c>
      <c r="N554" s="902">
        <f>ROUND(IF(AND(L554="Blaze Shield II",M554="Software Idiem",C554="IN",G554=4),((('BLAZE SHIELD II'!$D$4*('CALCULO MORTERO'!I554^2)+'BLAZE SHIELD II'!$D$5*'CALCULO MORTERO'!I554+'BLAZE SHIELD II'!$D$6)*LN(J554))+('BLAZE SHIELD II'!$D$7*('CALCULO MORTERO'!I554^2)+'BLAZE SHIELD II'!$D$8*'CALCULO MORTERO'!I554+'BLAZE SHIELD II'!$D$9)),0)+IF(AND(L554="Blaze Shield II",M554="Software Idiem",C554="Cj"),((('BLAZE SHIELD II'!$H$4*('CALCULO MORTERO'!I554^2)+'BLAZE SHIELD II'!$H$5*'CALCULO MORTERO'!I554+'BLAZE SHIELD II'!$H$6)*LN(J554))+('BLAZE SHIELD II'!$H$7*('CALCULO MORTERO'!I554^2)+'BLAZE SHIELD II'!$H$8*'CALCULO MORTERO'!I554+'BLAZE SHIELD II'!$H$9)),0)+IF(AND(L554="Blaze Shield II",M554="Software Idiem",C554="C"),((('BLAZE SHIELD II'!$L$4*('CALCULO MORTERO'!I554^2)+'BLAZE SHIELD II'!$L$5*'CALCULO MORTERO'!I554+'BLAZE SHIELD II'!$L$6)*LN(J554))+('BLAZE SHIELD II'!$L$7*('CALCULO MORTERO'!I554^2)+'BLAZE SHIELD II'!$L$8*'CALCULO MORTERO'!I554+'BLAZE SHIELD II'!$L$9)),0)+IF(AND(L554="Blaze Shield II",M554="Software Idiem",C554="L"),((('BLAZE SHIELD II'!$L$4*('CALCULO MORTERO'!I554^2)+'BLAZE SHIELD II'!$L$5*'CALCULO MORTERO'!I554+'BLAZE SHIELD II'!$L$6)*LN(J554))+('BLAZE SHIELD II'!$L$7*('CALCULO MORTERO'!I554^2)+'BLAZE SHIELD II'!$L$8*'CALCULO MORTERO'!I554+'BLAZE SHIELD II'!$L$9)),0)+IF(AND(L554="Blaze Shield II",M554="Software Idiem",C554="IN",G554=3),((('BLAZE SHIELD II'!$H$14*('CALCULO MORTERO'!I554^2)+'BLAZE SHIELD II'!$H$15*'CALCULO MORTERO'!I554+'BLAZE SHIELD II'!$H$16)*LN(J554))+('BLAZE SHIELD II'!$H$17*('CALCULO MORTERO'!I554^2)+'BLAZE SHIELD II'!$H$18*'CALCULO MORTERO'!I554+'BLAZE SHIELD II'!$H$19)),0),0)+ROUND(IF(AND(L554="Cafco 400",M554="Software Idiem",C554="IN",G554=4),((('CAFCO 400 '!$H$7*(J554^4)+'CAFCO 400 '!$H$8*(J554^3)+'CAFCO 400 '!$H$9*(J554^2)+'CAFCO 400 '!$H$10*J554+'CAFCO 400 '!$H$11)*U554^2)+(('CAFCO 400 '!$H$12*(J554^3)+'CAFCO 400 '!$H$13*(J554^2)+'CAFCO 400 '!$H$14*J554+'CAFCO 400 '!$H$15)*U554)+('CAFCO 400 '!$H$16*(J554^2)+'CAFCO 400 '!$H$17*J554+'CAFCO 400 '!$H$18)),0)+IF(AND(L554="Cafco 400",M554="Software Idiem",C554="Cj"),(((('CAFCO 400 '!$D$7*LN(J554)+'CAFCO 400 '!$D$8)*U554^2)+(('CAFCO 400 '!$D$9*LN(J554)+'CAFCO 400 '!$D$10)*U554)+('CAFCO 400 '!$D$11*LN(J554)+'CAFCO 400 '!$D$12))),0)+IF(AND(L554="Cafco 400",M554="Software Idiem",C554="C"),((('CAFCO 400 '!$L$7*(J554^3)+'CAFCO 400 '!$L$8*(J554^2)+'CAFCO 400 '!$L$9*J554+'CAFCO 400 '!$L$10)*U554^2)+(('CAFCO 400 '!$L$11*(J554^3)+'CAFCO 400 '!$L$12*(J554^2)+'CAFCO 400 '!$L$13*J554+'CAFCO 400 '!$L$14)*U554)+('CAFCO 400 '!$L$15*LN(J554)+'CAFCO 400 '!$L$16)),0)+IF(AND(L554="Cafco 400",M554="Software Idiem",C554="L"),((('CAFCO 400 '!$L$7*(J554^3)+'CAFCO 400 '!$L$8*(J554^2)+'CAFCO 400 '!$L$9*J554+'CAFCO 400 '!$L$10)*U554^2)+(('CAFCO 400 '!$L$11*(J554^3)+'CAFCO 400 '!$L$12*(J554^2)+'CAFCO 400 '!$L$13*J554+'CAFCO 400 '!$L$14)*U554)+('CAFCO 400 '!$L$15*LN(J554)+'CAFCO 400 '!$L$16)),0)+IF(AND(L554="Cafco 400",M554="Software Idiem",C554="IN",G554=3),((('CAFCO 400 '!$D$23*(J554^2)+'CAFCO 400 '!$D$24*(J554)+'CAFCO 400 '!$D$25)*U554^2)+(('CAFCO 400 '!$D$26*(J554^2)+'CAFCO 400 '!$D$27*J554+'CAFCO 400 '!$D$28)*U554)+('CAFCO 400 '!$D$29*(J554^2)+'CAFCO 400 '!$D$30*J554+'CAFCO 400 '!$D$31)),0),0)+IF(AND(L554="Cafco 300",J554&gt;=95,J554&lt;=240,C554="Cj",I554=90),VLOOKUP(T554,'CAFCO 300 IDIEM TABLAS'!$B$4:$D$23,2,FALSE),0)+IF(AND(L554="Cafco 300",J554&gt;=95,J554&lt;=240,C554="Cj",I554=120),VLOOKUP(T554,'CAFCO 300 IDIEM TABLAS'!$B$4:$D$23,3,FALSE),0)+IF(AND(L554="Cafco 300",J554&gt;=95,J554&lt;=400,G554=3,C554="IN",I554=90),VLOOKUP(T554,'CAFCO 300 IDIEM TABLAS'!$F$4:$H$35,2,FALSE),0)+IF(AND(L554="Cafco 300",J554&gt;=95,J554&lt;=400,G554=3,C554="IN",I554=120),VLOOKUP(T554,'CAFCO 300 IDIEM TABLAS'!$F$4:$H$35,3,FALSE),0)+IF(AND(L554="Cafco 300",J554&gt;=95,J554&lt;=450,G554=4,C554="IN",I554=90),VLOOKUP(T554,'CAFCO 300 IDIEM TABLAS'!$J$4:$L$40,2,FALSE),0)+IF(AND(L554="Cafco 300",J554&gt;=95,J554&lt;=450,G554=4,C554="IN",I554=120),VLOOKUP(T554,'CAFCO 300 IDIEM TABLAS'!$J$4:$L$40,3,FALSE),0)+IF(AND(M554="Ensayo Idiem",L554="Cafco 400",C554="IN",G554=4,I554=90),VLOOKUP(T554,'CAFCO 400 ENSAYO'!$B$7:$D$43,2,FALSE),0)+IF(AND(M554="Ensayo Idiem",L554="Cafco 400",C554="IN",G554=4,I554=120),VLOOKUP(T554,'CAFCO 400 ENSAYO'!$B$7:$D$43,3,FALSE),0)</f>
        <v>0</v>
      </c>
      <c r="O554" s="96">
        <f t="shared" si="60"/>
        <v>0</v>
      </c>
      <c r="P554" s="95" t="str">
        <f t="shared" si="55"/>
        <v>N/A</v>
      </c>
      <c r="Q554" s="95" t="str">
        <f t="shared" si="56"/>
        <v>N/A</v>
      </c>
      <c r="R554" s="95" t="str">
        <f t="shared" si="57"/>
        <v>NO CERT.</v>
      </c>
      <c r="S554" s="95" t="e">
        <f t="shared" si="58"/>
        <v>#N/A</v>
      </c>
      <c r="T554" s="119" t="e">
        <f>+IF(J554=LOOKUP(J554,'CAFCO 300 IDIEM TABLAS'!$J$4:$J$40),'CALCULO MORTERO'!J554,MROUND('CALCULO MORTERO'!J554,10))</f>
        <v>#N/A</v>
      </c>
      <c r="U554" s="118">
        <f t="shared" si="59"/>
        <v>0</v>
      </c>
      <c r="Y554" s="4"/>
      <c r="Z554" s="4"/>
      <c r="AA554" s="4"/>
    </row>
    <row r="555" spans="1:27" x14ac:dyDescent="0.25">
      <c r="A555" s="118">
        <f>+CUBICACION!D549</f>
        <v>0</v>
      </c>
      <c r="B555" s="819">
        <f>+CUBICACION!E549</f>
        <v>0</v>
      </c>
      <c r="C555" s="675">
        <f>+CUBICACION!F549</f>
        <v>0</v>
      </c>
      <c r="D555" s="118"/>
      <c r="E555" s="118"/>
      <c r="F555" s="820"/>
      <c r="G555" s="675">
        <f>+CUBICACION!J549</f>
        <v>0</v>
      </c>
      <c r="H555" s="118"/>
      <c r="I555" s="821">
        <f>+CUBICACION!L549</f>
        <v>0</v>
      </c>
      <c r="J555" s="64">
        <f>+CUBICACION!M549</f>
        <v>0</v>
      </c>
      <c r="K555" s="822" t="str">
        <f>+CUBICACION!N549</f>
        <v/>
      </c>
      <c r="L555" s="118">
        <f>+CUBICACION!O549</f>
        <v>0</v>
      </c>
      <c r="M555" s="823">
        <f>+CUBICACION!P549</f>
        <v>0</v>
      </c>
      <c r="N555" s="902">
        <f>ROUND(IF(AND(L555="Blaze Shield II",M555="Software Idiem",C555="IN",G555=4),((('BLAZE SHIELD II'!$D$4*('CALCULO MORTERO'!I555^2)+'BLAZE SHIELD II'!$D$5*'CALCULO MORTERO'!I555+'BLAZE SHIELD II'!$D$6)*LN(J555))+('BLAZE SHIELD II'!$D$7*('CALCULO MORTERO'!I555^2)+'BLAZE SHIELD II'!$D$8*'CALCULO MORTERO'!I555+'BLAZE SHIELD II'!$D$9)),0)+IF(AND(L555="Blaze Shield II",M555="Software Idiem",C555="Cj"),((('BLAZE SHIELD II'!$H$4*('CALCULO MORTERO'!I555^2)+'BLAZE SHIELD II'!$H$5*'CALCULO MORTERO'!I555+'BLAZE SHIELD II'!$H$6)*LN(J555))+('BLAZE SHIELD II'!$H$7*('CALCULO MORTERO'!I555^2)+'BLAZE SHIELD II'!$H$8*'CALCULO MORTERO'!I555+'BLAZE SHIELD II'!$H$9)),0)+IF(AND(L555="Blaze Shield II",M555="Software Idiem",C555="C"),((('BLAZE SHIELD II'!$L$4*('CALCULO MORTERO'!I555^2)+'BLAZE SHIELD II'!$L$5*'CALCULO MORTERO'!I555+'BLAZE SHIELD II'!$L$6)*LN(J555))+('BLAZE SHIELD II'!$L$7*('CALCULO MORTERO'!I555^2)+'BLAZE SHIELD II'!$L$8*'CALCULO MORTERO'!I555+'BLAZE SHIELD II'!$L$9)),0)+IF(AND(L555="Blaze Shield II",M555="Software Idiem",C555="L"),((('BLAZE SHIELD II'!$L$4*('CALCULO MORTERO'!I555^2)+'BLAZE SHIELD II'!$L$5*'CALCULO MORTERO'!I555+'BLAZE SHIELD II'!$L$6)*LN(J555))+('BLAZE SHIELD II'!$L$7*('CALCULO MORTERO'!I555^2)+'BLAZE SHIELD II'!$L$8*'CALCULO MORTERO'!I555+'BLAZE SHIELD II'!$L$9)),0)+IF(AND(L555="Blaze Shield II",M555="Software Idiem",C555="IN",G555=3),((('BLAZE SHIELD II'!$H$14*('CALCULO MORTERO'!I555^2)+'BLAZE SHIELD II'!$H$15*'CALCULO MORTERO'!I555+'BLAZE SHIELD II'!$H$16)*LN(J555))+('BLAZE SHIELD II'!$H$17*('CALCULO MORTERO'!I555^2)+'BLAZE SHIELD II'!$H$18*'CALCULO MORTERO'!I555+'BLAZE SHIELD II'!$H$19)),0),0)+ROUND(IF(AND(L555="Cafco 400",M555="Software Idiem",C555="IN",G555=4),((('CAFCO 400 '!$H$7*(J555^4)+'CAFCO 400 '!$H$8*(J555^3)+'CAFCO 400 '!$H$9*(J555^2)+'CAFCO 400 '!$H$10*J555+'CAFCO 400 '!$H$11)*U555^2)+(('CAFCO 400 '!$H$12*(J555^3)+'CAFCO 400 '!$H$13*(J555^2)+'CAFCO 400 '!$H$14*J555+'CAFCO 400 '!$H$15)*U555)+('CAFCO 400 '!$H$16*(J555^2)+'CAFCO 400 '!$H$17*J555+'CAFCO 400 '!$H$18)),0)+IF(AND(L555="Cafco 400",M555="Software Idiem",C555="Cj"),(((('CAFCO 400 '!$D$7*LN(J555)+'CAFCO 400 '!$D$8)*U555^2)+(('CAFCO 400 '!$D$9*LN(J555)+'CAFCO 400 '!$D$10)*U555)+('CAFCO 400 '!$D$11*LN(J555)+'CAFCO 400 '!$D$12))),0)+IF(AND(L555="Cafco 400",M555="Software Idiem",C555="C"),((('CAFCO 400 '!$L$7*(J555^3)+'CAFCO 400 '!$L$8*(J555^2)+'CAFCO 400 '!$L$9*J555+'CAFCO 400 '!$L$10)*U555^2)+(('CAFCO 400 '!$L$11*(J555^3)+'CAFCO 400 '!$L$12*(J555^2)+'CAFCO 400 '!$L$13*J555+'CAFCO 400 '!$L$14)*U555)+('CAFCO 400 '!$L$15*LN(J555)+'CAFCO 400 '!$L$16)),0)+IF(AND(L555="Cafco 400",M555="Software Idiem",C555="L"),((('CAFCO 400 '!$L$7*(J555^3)+'CAFCO 400 '!$L$8*(J555^2)+'CAFCO 400 '!$L$9*J555+'CAFCO 400 '!$L$10)*U555^2)+(('CAFCO 400 '!$L$11*(J555^3)+'CAFCO 400 '!$L$12*(J555^2)+'CAFCO 400 '!$L$13*J555+'CAFCO 400 '!$L$14)*U555)+('CAFCO 400 '!$L$15*LN(J555)+'CAFCO 400 '!$L$16)),0)+IF(AND(L555="Cafco 400",M555="Software Idiem",C555="IN",G555=3),((('CAFCO 400 '!$D$23*(J555^2)+'CAFCO 400 '!$D$24*(J555)+'CAFCO 400 '!$D$25)*U555^2)+(('CAFCO 400 '!$D$26*(J555^2)+'CAFCO 400 '!$D$27*J555+'CAFCO 400 '!$D$28)*U555)+('CAFCO 400 '!$D$29*(J555^2)+'CAFCO 400 '!$D$30*J555+'CAFCO 400 '!$D$31)),0),0)+IF(AND(L555="Cafco 300",J555&gt;=95,J555&lt;=240,C555="Cj",I555=90),VLOOKUP(T555,'CAFCO 300 IDIEM TABLAS'!$B$4:$D$23,2,FALSE),0)+IF(AND(L555="Cafco 300",J555&gt;=95,J555&lt;=240,C555="Cj",I555=120),VLOOKUP(T555,'CAFCO 300 IDIEM TABLAS'!$B$4:$D$23,3,FALSE),0)+IF(AND(L555="Cafco 300",J555&gt;=95,J555&lt;=400,G555=3,C555="IN",I555=90),VLOOKUP(T555,'CAFCO 300 IDIEM TABLAS'!$F$4:$H$35,2,FALSE),0)+IF(AND(L555="Cafco 300",J555&gt;=95,J555&lt;=400,G555=3,C555="IN",I555=120),VLOOKUP(T555,'CAFCO 300 IDIEM TABLAS'!$F$4:$H$35,3,FALSE),0)+IF(AND(L555="Cafco 300",J555&gt;=95,J555&lt;=450,G555=4,C555="IN",I555=90),VLOOKUP(T555,'CAFCO 300 IDIEM TABLAS'!$J$4:$L$40,2,FALSE),0)+IF(AND(L555="Cafco 300",J555&gt;=95,J555&lt;=450,G555=4,C555="IN",I555=120),VLOOKUP(T555,'CAFCO 300 IDIEM TABLAS'!$J$4:$L$40,3,FALSE),0)+IF(AND(M555="Ensayo Idiem",L555="Cafco 400",C555="IN",G555=4,I555=90),VLOOKUP(T555,'CAFCO 400 ENSAYO'!$B$7:$D$43,2,FALSE),0)+IF(AND(M555="Ensayo Idiem",L555="Cafco 400",C555="IN",G555=4,I555=120),VLOOKUP(T555,'CAFCO 400 ENSAYO'!$B$7:$D$43,3,FALSE),0)</f>
        <v>0</v>
      </c>
      <c r="O555" s="96">
        <f t="shared" si="60"/>
        <v>0</v>
      </c>
      <c r="P555" s="132" t="str">
        <f t="shared" si="55"/>
        <v>N/A</v>
      </c>
      <c r="Q555" s="132" t="str">
        <f t="shared" si="56"/>
        <v>N/A</v>
      </c>
      <c r="R555" s="132" t="str">
        <f t="shared" si="57"/>
        <v>NO CERT.</v>
      </c>
      <c r="S555" s="132" t="e">
        <f t="shared" si="58"/>
        <v>#N/A</v>
      </c>
      <c r="T555" s="133" t="e">
        <f>+IF(J555=LOOKUP(J555,'CAFCO 300 IDIEM TABLAS'!$J$4:$J$40),'CALCULO MORTERO'!J555,MROUND('CALCULO MORTERO'!J555,10))</f>
        <v>#N/A</v>
      </c>
      <c r="U555" s="134">
        <f t="shared" si="59"/>
        <v>0</v>
      </c>
      <c r="Y555" s="4"/>
      <c r="Z555" s="4"/>
      <c r="AA555" s="4"/>
    </row>
    <row r="556" spans="1:27" x14ac:dyDescent="0.25">
      <c r="A556" s="118">
        <f>+CUBICACION!D550</f>
        <v>0</v>
      </c>
      <c r="B556" s="819">
        <f>+CUBICACION!E550</f>
        <v>0</v>
      </c>
      <c r="C556" s="675">
        <f>+CUBICACION!F550</f>
        <v>0</v>
      </c>
      <c r="D556" s="118"/>
      <c r="E556" s="118"/>
      <c r="F556" s="820"/>
      <c r="G556" s="675">
        <f>+CUBICACION!J550</f>
        <v>0</v>
      </c>
      <c r="H556" s="118"/>
      <c r="I556" s="821">
        <f>+CUBICACION!L550</f>
        <v>0</v>
      </c>
      <c r="J556" s="64">
        <f>+CUBICACION!M550</f>
        <v>0</v>
      </c>
      <c r="K556" s="822" t="str">
        <f>+CUBICACION!N550</f>
        <v/>
      </c>
      <c r="L556" s="118">
        <f>+CUBICACION!O550</f>
        <v>0</v>
      </c>
      <c r="M556" s="823">
        <f>+CUBICACION!P550</f>
        <v>0</v>
      </c>
      <c r="N556" s="902">
        <f>ROUND(IF(AND(L556="Blaze Shield II",M556="Software Idiem",C556="IN",G556=4),((('BLAZE SHIELD II'!$D$4*('CALCULO MORTERO'!I556^2)+'BLAZE SHIELD II'!$D$5*'CALCULO MORTERO'!I556+'BLAZE SHIELD II'!$D$6)*LN(J556))+('BLAZE SHIELD II'!$D$7*('CALCULO MORTERO'!I556^2)+'BLAZE SHIELD II'!$D$8*'CALCULO MORTERO'!I556+'BLAZE SHIELD II'!$D$9)),0)+IF(AND(L556="Blaze Shield II",M556="Software Idiem",C556="Cj"),((('BLAZE SHIELD II'!$H$4*('CALCULO MORTERO'!I556^2)+'BLAZE SHIELD II'!$H$5*'CALCULO MORTERO'!I556+'BLAZE SHIELD II'!$H$6)*LN(J556))+('BLAZE SHIELD II'!$H$7*('CALCULO MORTERO'!I556^2)+'BLAZE SHIELD II'!$H$8*'CALCULO MORTERO'!I556+'BLAZE SHIELD II'!$H$9)),0)+IF(AND(L556="Blaze Shield II",M556="Software Idiem",C556="C"),((('BLAZE SHIELD II'!$L$4*('CALCULO MORTERO'!I556^2)+'BLAZE SHIELD II'!$L$5*'CALCULO MORTERO'!I556+'BLAZE SHIELD II'!$L$6)*LN(J556))+('BLAZE SHIELD II'!$L$7*('CALCULO MORTERO'!I556^2)+'BLAZE SHIELD II'!$L$8*'CALCULO MORTERO'!I556+'BLAZE SHIELD II'!$L$9)),0)+IF(AND(L556="Blaze Shield II",M556="Software Idiem",C556="L"),((('BLAZE SHIELD II'!$L$4*('CALCULO MORTERO'!I556^2)+'BLAZE SHIELD II'!$L$5*'CALCULO MORTERO'!I556+'BLAZE SHIELD II'!$L$6)*LN(J556))+('BLAZE SHIELD II'!$L$7*('CALCULO MORTERO'!I556^2)+'BLAZE SHIELD II'!$L$8*'CALCULO MORTERO'!I556+'BLAZE SHIELD II'!$L$9)),0)+IF(AND(L556="Blaze Shield II",M556="Software Idiem",C556="IN",G556=3),((('BLAZE SHIELD II'!$H$14*('CALCULO MORTERO'!I556^2)+'BLAZE SHIELD II'!$H$15*'CALCULO MORTERO'!I556+'BLAZE SHIELD II'!$H$16)*LN(J556))+('BLAZE SHIELD II'!$H$17*('CALCULO MORTERO'!I556^2)+'BLAZE SHIELD II'!$H$18*'CALCULO MORTERO'!I556+'BLAZE SHIELD II'!$H$19)),0),0)+ROUND(IF(AND(L556="Cafco 400",M556="Software Idiem",C556="IN",G556=4),((('CAFCO 400 '!$H$7*(J556^4)+'CAFCO 400 '!$H$8*(J556^3)+'CAFCO 400 '!$H$9*(J556^2)+'CAFCO 400 '!$H$10*J556+'CAFCO 400 '!$H$11)*U556^2)+(('CAFCO 400 '!$H$12*(J556^3)+'CAFCO 400 '!$H$13*(J556^2)+'CAFCO 400 '!$H$14*J556+'CAFCO 400 '!$H$15)*U556)+('CAFCO 400 '!$H$16*(J556^2)+'CAFCO 400 '!$H$17*J556+'CAFCO 400 '!$H$18)),0)+IF(AND(L556="Cafco 400",M556="Software Idiem",C556="Cj"),(((('CAFCO 400 '!$D$7*LN(J556)+'CAFCO 400 '!$D$8)*U556^2)+(('CAFCO 400 '!$D$9*LN(J556)+'CAFCO 400 '!$D$10)*U556)+('CAFCO 400 '!$D$11*LN(J556)+'CAFCO 400 '!$D$12))),0)+IF(AND(L556="Cafco 400",M556="Software Idiem",C556="C"),((('CAFCO 400 '!$L$7*(J556^3)+'CAFCO 400 '!$L$8*(J556^2)+'CAFCO 400 '!$L$9*J556+'CAFCO 400 '!$L$10)*U556^2)+(('CAFCO 400 '!$L$11*(J556^3)+'CAFCO 400 '!$L$12*(J556^2)+'CAFCO 400 '!$L$13*J556+'CAFCO 400 '!$L$14)*U556)+('CAFCO 400 '!$L$15*LN(J556)+'CAFCO 400 '!$L$16)),0)+IF(AND(L556="Cafco 400",M556="Software Idiem",C556="L"),((('CAFCO 400 '!$L$7*(J556^3)+'CAFCO 400 '!$L$8*(J556^2)+'CAFCO 400 '!$L$9*J556+'CAFCO 400 '!$L$10)*U556^2)+(('CAFCO 400 '!$L$11*(J556^3)+'CAFCO 400 '!$L$12*(J556^2)+'CAFCO 400 '!$L$13*J556+'CAFCO 400 '!$L$14)*U556)+('CAFCO 400 '!$L$15*LN(J556)+'CAFCO 400 '!$L$16)),0)+IF(AND(L556="Cafco 400",M556="Software Idiem",C556="IN",G556=3),((('CAFCO 400 '!$D$23*(J556^2)+'CAFCO 400 '!$D$24*(J556)+'CAFCO 400 '!$D$25)*U556^2)+(('CAFCO 400 '!$D$26*(J556^2)+'CAFCO 400 '!$D$27*J556+'CAFCO 400 '!$D$28)*U556)+('CAFCO 400 '!$D$29*(J556^2)+'CAFCO 400 '!$D$30*J556+'CAFCO 400 '!$D$31)),0),0)+IF(AND(L556="Cafco 300",J556&gt;=95,J556&lt;=240,C556="Cj",I556=90),VLOOKUP(T556,'CAFCO 300 IDIEM TABLAS'!$B$4:$D$23,2,FALSE),0)+IF(AND(L556="Cafco 300",J556&gt;=95,J556&lt;=240,C556="Cj",I556=120),VLOOKUP(T556,'CAFCO 300 IDIEM TABLAS'!$B$4:$D$23,3,FALSE),0)+IF(AND(L556="Cafco 300",J556&gt;=95,J556&lt;=400,G556=3,C556="IN",I556=90),VLOOKUP(T556,'CAFCO 300 IDIEM TABLAS'!$F$4:$H$35,2,FALSE),0)+IF(AND(L556="Cafco 300",J556&gt;=95,J556&lt;=400,G556=3,C556="IN",I556=120),VLOOKUP(T556,'CAFCO 300 IDIEM TABLAS'!$F$4:$H$35,3,FALSE),0)+IF(AND(L556="Cafco 300",J556&gt;=95,J556&lt;=450,G556=4,C556="IN",I556=90),VLOOKUP(T556,'CAFCO 300 IDIEM TABLAS'!$J$4:$L$40,2,FALSE),0)+IF(AND(L556="Cafco 300",J556&gt;=95,J556&lt;=450,G556=4,C556="IN",I556=120),VLOOKUP(T556,'CAFCO 300 IDIEM TABLAS'!$J$4:$L$40,3,FALSE),0)+IF(AND(M556="Ensayo Idiem",L556="Cafco 400",C556="IN",G556=4,I556=90),VLOOKUP(T556,'CAFCO 400 ENSAYO'!$B$7:$D$43,2,FALSE),0)+IF(AND(M556="Ensayo Idiem",L556="Cafco 400",C556="IN",G556=4,I556=120),VLOOKUP(T556,'CAFCO 400 ENSAYO'!$B$7:$D$43,3,FALSE),0)</f>
        <v>0</v>
      </c>
      <c r="O556" s="96">
        <f t="shared" si="60"/>
        <v>0</v>
      </c>
      <c r="P556" s="95" t="str">
        <f t="shared" si="55"/>
        <v>N/A</v>
      </c>
      <c r="Q556" s="95" t="str">
        <f t="shared" si="56"/>
        <v>N/A</v>
      </c>
      <c r="R556" s="95" t="str">
        <f t="shared" si="57"/>
        <v>NO CERT.</v>
      </c>
      <c r="S556" s="95" t="e">
        <f t="shared" si="58"/>
        <v>#N/A</v>
      </c>
      <c r="T556" s="119" t="e">
        <f>+IF(J556=LOOKUP(J556,'CAFCO 300 IDIEM TABLAS'!$J$4:$J$40),'CALCULO MORTERO'!J556,MROUND('CALCULO MORTERO'!J556,10))</f>
        <v>#N/A</v>
      </c>
      <c r="U556" s="118">
        <f t="shared" si="59"/>
        <v>0</v>
      </c>
      <c r="Y556" s="4"/>
      <c r="Z556" s="4"/>
      <c r="AA556" s="4"/>
    </row>
    <row r="557" spans="1:27" x14ac:dyDescent="0.25">
      <c r="A557" s="118">
        <f>+CUBICACION!D551</f>
        <v>0</v>
      </c>
      <c r="B557" s="819">
        <f>+CUBICACION!E551</f>
        <v>0</v>
      </c>
      <c r="C557" s="675">
        <f>+CUBICACION!F551</f>
        <v>0</v>
      </c>
      <c r="D557" s="118"/>
      <c r="E557" s="118"/>
      <c r="F557" s="820"/>
      <c r="G557" s="675">
        <f>+CUBICACION!J551</f>
        <v>0</v>
      </c>
      <c r="H557" s="118"/>
      <c r="I557" s="821">
        <f>+CUBICACION!L551</f>
        <v>0</v>
      </c>
      <c r="J557" s="64">
        <f>+CUBICACION!M551</f>
        <v>0</v>
      </c>
      <c r="K557" s="822" t="str">
        <f>+CUBICACION!N551</f>
        <v/>
      </c>
      <c r="L557" s="118">
        <f>+CUBICACION!O551</f>
        <v>0</v>
      </c>
      <c r="M557" s="823">
        <f>+CUBICACION!P551</f>
        <v>0</v>
      </c>
      <c r="N557" s="902">
        <f>ROUND(IF(AND(L557="Blaze Shield II",M557="Software Idiem",C557="IN",G557=4),((('BLAZE SHIELD II'!$D$4*('CALCULO MORTERO'!I557^2)+'BLAZE SHIELD II'!$D$5*'CALCULO MORTERO'!I557+'BLAZE SHIELD II'!$D$6)*LN(J557))+('BLAZE SHIELD II'!$D$7*('CALCULO MORTERO'!I557^2)+'BLAZE SHIELD II'!$D$8*'CALCULO MORTERO'!I557+'BLAZE SHIELD II'!$D$9)),0)+IF(AND(L557="Blaze Shield II",M557="Software Idiem",C557="Cj"),((('BLAZE SHIELD II'!$H$4*('CALCULO MORTERO'!I557^2)+'BLAZE SHIELD II'!$H$5*'CALCULO MORTERO'!I557+'BLAZE SHIELD II'!$H$6)*LN(J557))+('BLAZE SHIELD II'!$H$7*('CALCULO MORTERO'!I557^2)+'BLAZE SHIELD II'!$H$8*'CALCULO MORTERO'!I557+'BLAZE SHIELD II'!$H$9)),0)+IF(AND(L557="Blaze Shield II",M557="Software Idiem",C557="C"),((('BLAZE SHIELD II'!$L$4*('CALCULO MORTERO'!I557^2)+'BLAZE SHIELD II'!$L$5*'CALCULO MORTERO'!I557+'BLAZE SHIELD II'!$L$6)*LN(J557))+('BLAZE SHIELD II'!$L$7*('CALCULO MORTERO'!I557^2)+'BLAZE SHIELD II'!$L$8*'CALCULO MORTERO'!I557+'BLAZE SHIELD II'!$L$9)),0)+IF(AND(L557="Blaze Shield II",M557="Software Idiem",C557="L"),((('BLAZE SHIELD II'!$L$4*('CALCULO MORTERO'!I557^2)+'BLAZE SHIELD II'!$L$5*'CALCULO MORTERO'!I557+'BLAZE SHIELD II'!$L$6)*LN(J557))+('BLAZE SHIELD II'!$L$7*('CALCULO MORTERO'!I557^2)+'BLAZE SHIELD II'!$L$8*'CALCULO MORTERO'!I557+'BLAZE SHIELD II'!$L$9)),0)+IF(AND(L557="Blaze Shield II",M557="Software Idiem",C557="IN",G557=3),((('BLAZE SHIELD II'!$H$14*('CALCULO MORTERO'!I557^2)+'BLAZE SHIELD II'!$H$15*'CALCULO MORTERO'!I557+'BLAZE SHIELD II'!$H$16)*LN(J557))+('BLAZE SHIELD II'!$H$17*('CALCULO MORTERO'!I557^2)+'BLAZE SHIELD II'!$H$18*'CALCULO MORTERO'!I557+'BLAZE SHIELD II'!$H$19)),0),0)+ROUND(IF(AND(L557="Cafco 400",M557="Software Idiem",C557="IN",G557=4),((('CAFCO 400 '!$H$7*(J557^4)+'CAFCO 400 '!$H$8*(J557^3)+'CAFCO 400 '!$H$9*(J557^2)+'CAFCO 400 '!$H$10*J557+'CAFCO 400 '!$H$11)*U557^2)+(('CAFCO 400 '!$H$12*(J557^3)+'CAFCO 400 '!$H$13*(J557^2)+'CAFCO 400 '!$H$14*J557+'CAFCO 400 '!$H$15)*U557)+('CAFCO 400 '!$H$16*(J557^2)+'CAFCO 400 '!$H$17*J557+'CAFCO 400 '!$H$18)),0)+IF(AND(L557="Cafco 400",M557="Software Idiem",C557="Cj"),(((('CAFCO 400 '!$D$7*LN(J557)+'CAFCO 400 '!$D$8)*U557^2)+(('CAFCO 400 '!$D$9*LN(J557)+'CAFCO 400 '!$D$10)*U557)+('CAFCO 400 '!$D$11*LN(J557)+'CAFCO 400 '!$D$12))),0)+IF(AND(L557="Cafco 400",M557="Software Idiem",C557="C"),((('CAFCO 400 '!$L$7*(J557^3)+'CAFCO 400 '!$L$8*(J557^2)+'CAFCO 400 '!$L$9*J557+'CAFCO 400 '!$L$10)*U557^2)+(('CAFCO 400 '!$L$11*(J557^3)+'CAFCO 400 '!$L$12*(J557^2)+'CAFCO 400 '!$L$13*J557+'CAFCO 400 '!$L$14)*U557)+('CAFCO 400 '!$L$15*LN(J557)+'CAFCO 400 '!$L$16)),0)+IF(AND(L557="Cafco 400",M557="Software Idiem",C557="L"),((('CAFCO 400 '!$L$7*(J557^3)+'CAFCO 400 '!$L$8*(J557^2)+'CAFCO 400 '!$L$9*J557+'CAFCO 400 '!$L$10)*U557^2)+(('CAFCO 400 '!$L$11*(J557^3)+'CAFCO 400 '!$L$12*(J557^2)+'CAFCO 400 '!$L$13*J557+'CAFCO 400 '!$L$14)*U557)+('CAFCO 400 '!$L$15*LN(J557)+'CAFCO 400 '!$L$16)),0)+IF(AND(L557="Cafco 400",M557="Software Idiem",C557="IN",G557=3),((('CAFCO 400 '!$D$23*(J557^2)+'CAFCO 400 '!$D$24*(J557)+'CAFCO 400 '!$D$25)*U557^2)+(('CAFCO 400 '!$D$26*(J557^2)+'CAFCO 400 '!$D$27*J557+'CAFCO 400 '!$D$28)*U557)+('CAFCO 400 '!$D$29*(J557^2)+'CAFCO 400 '!$D$30*J557+'CAFCO 400 '!$D$31)),0),0)+IF(AND(L557="Cafco 300",J557&gt;=95,J557&lt;=240,C557="Cj",I557=90),VLOOKUP(T557,'CAFCO 300 IDIEM TABLAS'!$B$4:$D$23,2,FALSE),0)+IF(AND(L557="Cafco 300",J557&gt;=95,J557&lt;=240,C557="Cj",I557=120),VLOOKUP(T557,'CAFCO 300 IDIEM TABLAS'!$B$4:$D$23,3,FALSE),0)+IF(AND(L557="Cafco 300",J557&gt;=95,J557&lt;=400,G557=3,C557="IN",I557=90),VLOOKUP(T557,'CAFCO 300 IDIEM TABLAS'!$F$4:$H$35,2,FALSE),0)+IF(AND(L557="Cafco 300",J557&gt;=95,J557&lt;=400,G557=3,C557="IN",I557=120),VLOOKUP(T557,'CAFCO 300 IDIEM TABLAS'!$F$4:$H$35,3,FALSE),0)+IF(AND(L557="Cafco 300",J557&gt;=95,J557&lt;=450,G557=4,C557="IN",I557=90),VLOOKUP(T557,'CAFCO 300 IDIEM TABLAS'!$J$4:$L$40,2,FALSE),0)+IF(AND(L557="Cafco 300",J557&gt;=95,J557&lt;=450,G557=4,C557="IN",I557=120),VLOOKUP(T557,'CAFCO 300 IDIEM TABLAS'!$J$4:$L$40,3,FALSE),0)+IF(AND(M557="Ensayo Idiem",L557="Cafco 400",C557="IN",G557=4,I557=90),VLOOKUP(T557,'CAFCO 400 ENSAYO'!$B$7:$D$43,2,FALSE),0)+IF(AND(M557="Ensayo Idiem",L557="Cafco 400",C557="IN",G557=4,I557=120),VLOOKUP(T557,'CAFCO 400 ENSAYO'!$B$7:$D$43,3,FALSE),0)</f>
        <v>0</v>
      </c>
      <c r="O557" s="96">
        <f t="shared" si="60"/>
        <v>0</v>
      </c>
      <c r="P557" s="132" t="str">
        <f t="shared" si="55"/>
        <v>N/A</v>
      </c>
      <c r="Q557" s="132" t="str">
        <f t="shared" si="56"/>
        <v>N/A</v>
      </c>
      <c r="R557" s="132" t="str">
        <f t="shared" si="57"/>
        <v>NO CERT.</v>
      </c>
      <c r="S557" s="132" t="e">
        <f t="shared" si="58"/>
        <v>#N/A</v>
      </c>
      <c r="T557" s="133" t="e">
        <f>+IF(J557=LOOKUP(J557,'CAFCO 300 IDIEM TABLAS'!$J$4:$J$40),'CALCULO MORTERO'!J557,MROUND('CALCULO MORTERO'!J557,10))</f>
        <v>#N/A</v>
      </c>
      <c r="U557" s="134">
        <f t="shared" si="59"/>
        <v>0</v>
      </c>
      <c r="Y557" s="4"/>
      <c r="Z557" s="4"/>
      <c r="AA557" s="4"/>
    </row>
    <row r="558" spans="1:27" x14ac:dyDescent="0.25">
      <c r="A558" s="118">
        <f>+CUBICACION!D552</f>
        <v>0</v>
      </c>
      <c r="B558" s="819">
        <f>+CUBICACION!E552</f>
        <v>0</v>
      </c>
      <c r="C558" s="675">
        <f>+CUBICACION!F552</f>
        <v>0</v>
      </c>
      <c r="D558" s="118"/>
      <c r="E558" s="118"/>
      <c r="F558" s="820"/>
      <c r="G558" s="675">
        <f>+CUBICACION!J552</f>
        <v>0</v>
      </c>
      <c r="H558" s="118"/>
      <c r="I558" s="821">
        <f>+CUBICACION!L552</f>
        <v>0</v>
      </c>
      <c r="J558" s="64">
        <f>+CUBICACION!M552</f>
        <v>0</v>
      </c>
      <c r="K558" s="822" t="str">
        <f>+CUBICACION!N552</f>
        <v/>
      </c>
      <c r="L558" s="118">
        <f>+CUBICACION!O552</f>
        <v>0</v>
      </c>
      <c r="M558" s="823">
        <f>+CUBICACION!P552</f>
        <v>0</v>
      </c>
      <c r="N558" s="902">
        <f>ROUND(IF(AND(L558="Blaze Shield II",M558="Software Idiem",C558="IN",G558=4),((('BLAZE SHIELD II'!$D$4*('CALCULO MORTERO'!I558^2)+'BLAZE SHIELD II'!$D$5*'CALCULO MORTERO'!I558+'BLAZE SHIELD II'!$D$6)*LN(J558))+('BLAZE SHIELD II'!$D$7*('CALCULO MORTERO'!I558^2)+'BLAZE SHIELD II'!$D$8*'CALCULO MORTERO'!I558+'BLAZE SHIELD II'!$D$9)),0)+IF(AND(L558="Blaze Shield II",M558="Software Idiem",C558="Cj"),((('BLAZE SHIELD II'!$H$4*('CALCULO MORTERO'!I558^2)+'BLAZE SHIELD II'!$H$5*'CALCULO MORTERO'!I558+'BLAZE SHIELD II'!$H$6)*LN(J558))+('BLAZE SHIELD II'!$H$7*('CALCULO MORTERO'!I558^2)+'BLAZE SHIELD II'!$H$8*'CALCULO MORTERO'!I558+'BLAZE SHIELD II'!$H$9)),0)+IF(AND(L558="Blaze Shield II",M558="Software Idiem",C558="C"),((('BLAZE SHIELD II'!$L$4*('CALCULO MORTERO'!I558^2)+'BLAZE SHIELD II'!$L$5*'CALCULO MORTERO'!I558+'BLAZE SHIELD II'!$L$6)*LN(J558))+('BLAZE SHIELD II'!$L$7*('CALCULO MORTERO'!I558^2)+'BLAZE SHIELD II'!$L$8*'CALCULO MORTERO'!I558+'BLAZE SHIELD II'!$L$9)),0)+IF(AND(L558="Blaze Shield II",M558="Software Idiem",C558="L"),((('BLAZE SHIELD II'!$L$4*('CALCULO MORTERO'!I558^2)+'BLAZE SHIELD II'!$L$5*'CALCULO MORTERO'!I558+'BLAZE SHIELD II'!$L$6)*LN(J558))+('BLAZE SHIELD II'!$L$7*('CALCULO MORTERO'!I558^2)+'BLAZE SHIELD II'!$L$8*'CALCULO MORTERO'!I558+'BLAZE SHIELD II'!$L$9)),0)+IF(AND(L558="Blaze Shield II",M558="Software Idiem",C558="IN",G558=3),((('BLAZE SHIELD II'!$H$14*('CALCULO MORTERO'!I558^2)+'BLAZE SHIELD II'!$H$15*'CALCULO MORTERO'!I558+'BLAZE SHIELD II'!$H$16)*LN(J558))+('BLAZE SHIELD II'!$H$17*('CALCULO MORTERO'!I558^2)+'BLAZE SHIELD II'!$H$18*'CALCULO MORTERO'!I558+'BLAZE SHIELD II'!$H$19)),0),0)+ROUND(IF(AND(L558="Cafco 400",M558="Software Idiem",C558="IN",G558=4),((('CAFCO 400 '!$H$7*(J558^4)+'CAFCO 400 '!$H$8*(J558^3)+'CAFCO 400 '!$H$9*(J558^2)+'CAFCO 400 '!$H$10*J558+'CAFCO 400 '!$H$11)*U558^2)+(('CAFCO 400 '!$H$12*(J558^3)+'CAFCO 400 '!$H$13*(J558^2)+'CAFCO 400 '!$H$14*J558+'CAFCO 400 '!$H$15)*U558)+('CAFCO 400 '!$H$16*(J558^2)+'CAFCO 400 '!$H$17*J558+'CAFCO 400 '!$H$18)),0)+IF(AND(L558="Cafco 400",M558="Software Idiem",C558="Cj"),(((('CAFCO 400 '!$D$7*LN(J558)+'CAFCO 400 '!$D$8)*U558^2)+(('CAFCO 400 '!$D$9*LN(J558)+'CAFCO 400 '!$D$10)*U558)+('CAFCO 400 '!$D$11*LN(J558)+'CAFCO 400 '!$D$12))),0)+IF(AND(L558="Cafco 400",M558="Software Idiem",C558="C"),((('CAFCO 400 '!$L$7*(J558^3)+'CAFCO 400 '!$L$8*(J558^2)+'CAFCO 400 '!$L$9*J558+'CAFCO 400 '!$L$10)*U558^2)+(('CAFCO 400 '!$L$11*(J558^3)+'CAFCO 400 '!$L$12*(J558^2)+'CAFCO 400 '!$L$13*J558+'CAFCO 400 '!$L$14)*U558)+('CAFCO 400 '!$L$15*LN(J558)+'CAFCO 400 '!$L$16)),0)+IF(AND(L558="Cafco 400",M558="Software Idiem",C558="L"),((('CAFCO 400 '!$L$7*(J558^3)+'CAFCO 400 '!$L$8*(J558^2)+'CAFCO 400 '!$L$9*J558+'CAFCO 400 '!$L$10)*U558^2)+(('CAFCO 400 '!$L$11*(J558^3)+'CAFCO 400 '!$L$12*(J558^2)+'CAFCO 400 '!$L$13*J558+'CAFCO 400 '!$L$14)*U558)+('CAFCO 400 '!$L$15*LN(J558)+'CAFCO 400 '!$L$16)),0)+IF(AND(L558="Cafco 400",M558="Software Idiem",C558="IN",G558=3),((('CAFCO 400 '!$D$23*(J558^2)+'CAFCO 400 '!$D$24*(J558)+'CAFCO 400 '!$D$25)*U558^2)+(('CAFCO 400 '!$D$26*(J558^2)+'CAFCO 400 '!$D$27*J558+'CAFCO 400 '!$D$28)*U558)+('CAFCO 400 '!$D$29*(J558^2)+'CAFCO 400 '!$D$30*J558+'CAFCO 400 '!$D$31)),0),0)+IF(AND(L558="Cafco 300",J558&gt;=95,J558&lt;=240,C558="Cj",I558=90),VLOOKUP(T558,'CAFCO 300 IDIEM TABLAS'!$B$4:$D$23,2,FALSE),0)+IF(AND(L558="Cafco 300",J558&gt;=95,J558&lt;=240,C558="Cj",I558=120),VLOOKUP(T558,'CAFCO 300 IDIEM TABLAS'!$B$4:$D$23,3,FALSE),0)+IF(AND(L558="Cafco 300",J558&gt;=95,J558&lt;=400,G558=3,C558="IN",I558=90),VLOOKUP(T558,'CAFCO 300 IDIEM TABLAS'!$F$4:$H$35,2,FALSE),0)+IF(AND(L558="Cafco 300",J558&gt;=95,J558&lt;=400,G558=3,C558="IN",I558=120),VLOOKUP(T558,'CAFCO 300 IDIEM TABLAS'!$F$4:$H$35,3,FALSE),0)+IF(AND(L558="Cafco 300",J558&gt;=95,J558&lt;=450,G558=4,C558="IN",I558=90),VLOOKUP(T558,'CAFCO 300 IDIEM TABLAS'!$J$4:$L$40,2,FALSE),0)+IF(AND(L558="Cafco 300",J558&gt;=95,J558&lt;=450,G558=4,C558="IN",I558=120),VLOOKUP(T558,'CAFCO 300 IDIEM TABLAS'!$J$4:$L$40,3,FALSE),0)+IF(AND(M558="Ensayo Idiem",L558="Cafco 400",C558="IN",G558=4,I558=90),VLOOKUP(T558,'CAFCO 400 ENSAYO'!$B$7:$D$43,2,FALSE),0)+IF(AND(M558="Ensayo Idiem",L558="Cafco 400",C558="IN",G558=4,I558=120),VLOOKUP(T558,'CAFCO 400 ENSAYO'!$B$7:$D$43,3,FALSE),0)</f>
        <v>0</v>
      </c>
      <c r="O558" s="96">
        <f t="shared" si="60"/>
        <v>0</v>
      </c>
      <c r="P558" s="95" t="str">
        <f t="shared" si="55"/>
        <v>N/A</v>
      </c>
      <c r="Q558" s="95" t="str">
        <f t="shared" si="56"/>
        <v>N/A</v>
      </c>
      <c r="R558" s="95" t="str">
        <f t="shared" si="57"/>
        <v>NO CERT.</v>
      </c>
      <c r="S558" s="95" t="e">
        <f t="shared" si="58"/>
        <v>#N/A</v>
      </c>
      <c r="T558" s="119" t="e">
        <f>+IF(J558=LOOKUP(J558,'CAFCO 300 IDIEM TABLAS'!$J$4:$J$40),'CALCULO MORTERO'!J558,MROUND('CALCULO MORTERO'!J558,10))</f>
        <v>#N/A</v>
      </c>
      <c r="U558" s="118">
        <f t="shared" si="59"/>
        <v>0</v>
      </c>
      <c r="Y558" s="4"/>
      <c r="Z558" s="4"/>
      <c r="AA558" s="4"/>
    </row>
    <row r="559" spans="1:27" x14ac:dyDescent="0.25">
      <c r="A559" s="118">
        <f>+CUBICACION!D553</f>
        <v>0</v>
      </c>
      <c r="B559" s="819">
        <f>+CUBICACION!E553</f>
        <v>0</v>
      </c>
      <c r="C559" s="675">
        <f>+CUBICACION!F553</f>
        <v>0</v>
      </c>
      <c r="D559" s="118"/>
      <c r="E559" s="118"/>
      <c r="F559" s="820"/>
      <c r="G559" s="675">
        <f>+CUBICACION!J553</f>
        <v>0</v>
      </c>
      <c r="H559" s="118"/>
      <c r="I559" s="821">
        <f>+CUBICACION!L553</f>
        <v>0</v>
      </c>
      <c r="J559" s="64">
        <f>+CUBICACION!M553</f>
        <v>0</v>
      </c>
      <c r="K559" s="822" t="str">
        <f>+CUBICACION!N553</f>
        <v/>
      </c>
      <c r="L559" s="118">
        <f>+CUBICACION!O553</f>
        <v>0</v>
      </c>
      <c r="M559" s="823">
        <f>+CUBICACION!P553</f>
        <v>0</v>
      </c>
      <c r="N559" s="902">
        <f>ROUND(IF(AND(L559="Blaze Shield II",M559="Software Idiem",C559="IN",G559=4),((('BLAZE SHIELD II'!$D$4*('CALCULO MORTERO'!I559^2)+'BLAZE SHIELD II'!$D$5*'CALCULO MORTERO'!I559+'BLAZE SHIELD II'!$D$6)*LN(J559))+('BLAZE SHIELD II'!$D$7*('CALCULO MORTERO'!I559^2)+'BLAZE SHIELD II'!$D$8*'CALCULO MORTERO'!I559+'BLAZE SHIELD II'!$D$9)),0)+IF(AND(L559="Blaze Shield II",M559="Software Idiem",C559="Cj"),((('BLAZE SHIELD II'!$H$4*('CALCULO MORTERO'!I559^2)+'BLAZE SHIELD II'!$H$5*'CALCULO MORTERO'!I559+'BLAZE SHIELD II'!$H$6)*LN(J559))+('BLAZE SHIELD II'!$H$7*('CALCULO MORTERO'!I559^2)+'BLAZE SHIELD II'!$H$8*'CALCULO MORTERO'!I559+'BLAZE SHIELD II'!$H$9)),0)+IF(AND(L559="Blaze Shield II",M559="Software Idiem",C559="C"),((('BLAZE SHIELD II'!$L$4*('CALCULO MORTERO'!I559^2)+'BLAZE SHIELD II'!$L$5*'CALCULO MORTERO'!I559+'BLAZE SHIELD II'!$L$6)*LN(J559))+('BLAZE SHIELD II'!$L$7*('CALCULO MORTERO'!I559^2)+'BLAZE SHIELD II'!$L$8*'CALCULO MORTERO'!I559+'BLAZE SHIELD II'!$L$9)),0)+IF(AND(L559="Blaze Shield II",M559="Software Idiem",C559="L"),((('BLAZE SHIELD II'!$L$4*('CALCULO MORTERO'!I559^2)+'BLAZE SHIELD II'!$L$5*'CALCULO MORTERO'!I559+'BLAZE SHIELD II'!$L$6)*LN(J559))+('BLAZE SHIELD II'!$L$7*('CALCULO MORTERO'!I559^2)+'BLAZE SHIELD II'!$L$8*'CALCULO MORTERO'!I559+'BLAZE SHIELD II'!$L$9)),0)+IF(AND(L559="Blaze Shield II",M559="Software Idiem",C559="IN",G559=3),((('BLAZE SHIELD II'!$H$14*('CALCULO MORTERO'!I559^2)+'BLAZE SHIELD II'!$H$15*'CALCULO MORTERO'!I559+'BLAZE SHIELD II'!$H$16)*LN(J559))+('BLAZE SHIELD II'!$H$17*('CALCULO MORTERO'!I559^2)+'BLAZE SHIELD II'!$H$18*'CALCULO MORTERO'!I559+'BLAZE SHIELD II'!$H$19)),0),0)+ROUND(IF(AND(L559="Cafco 400",M559="Software Idiem",C559="IN",G559=4),((('CAFCO 400 '!$H$7*(J559^4)+'CAFCO 400 '!$H$8*(J559^3)+'CAFCO 400 '!$H$9*(J559^2)+'CAFCO 400 '!$H$10*J559+'CAFCO 400 '!$H$11)*U559^2)+(('CAFCO 400 '!$H$12*(J559^3)+'CAFCO 400 '!$H$13*(J559^2)+'CAFCO 400 '!$H$14*J559+'CAFCO 400 '!$H$15)*U559)+('CAFCO 400 '!$H$16*(J559^2)+'CAFCO 400 '!$H$17*J559+'CAFCO 400 '!$H$18)),0)+IF(AND(L559="Cafco 400",M559="Software Idiem",C559="Cj"),(((('CAFCO 400 '!$D$7*LN(J559)+'CAFCO 400 '!$D$8)*U559^2)+(('CAFCO 400 '!$D$9*LN(J559)+'CAFCO 400 '!$D$10)*U559)+('CAFCO 400 '!$D$11*LN(J559)+'CAFCO 400 '!$D$12))),0)+IF(AND(L559="Cafco 400",M559="Software Idiem",C559="C"),((('CAFCO 400 '!$L$7*(J559^3)+'CAFCO 400 '!$L$8*(J559^2)+'CAFCO 400 '!$L$9*J559+'CAFCO 400 '!$L$10)*U559^2)+(('CAFCO 400 '!$L$11*(J559^3)+'CAFCO 400 '!$L$12*(J559^2)+'CAFCO 400 '!$L$13*J559+'CAFCO 400 '!$L$14)*U559)+('CAFCO 400 '!$L$15*LN(J559)+'CAFCO 400 '!$L$16)),0)+IF(AND(L559="Cafco 400",M559="Software Idiem",C559="L"),((('CAFCO 400 '!$L$7*(J559^3)+'CAFCO 400 '!$L$8*(J559^2)+'CAFCO 400 '!$L$9*J559+'CAFCO 400 '!$L$10)*U559^2)+(('CAFCO 400 '!$L$11*(J559^3)+'CAFCO 400 '!$L$12*(J559^2)+'CAFCO 400 '!$L$13*J559+'CAFCO 400 '!$L$14)*U559)+('CAFCO 400 '!$L$15*LN(J559)+'CAFCO 400 '!$L$16)),0)+IF(AND(L559="Cafco 400",M559="Software Idiem",C559="IN",G559=3),((('CAFCO 400 '!$D$23*(J559^2)+'CAFCO 400 '!$D$24*(J559)+'CAFCO 400 '!$D$25)*U559^2)+(('CAFCO 400 '!$D$26*(J559^2)+'CAFCO 400 '!$D$27*J559+'CAFCO 400 '!$D$28)*U559)+('CAFCO 400 '!$D$29*(J559^2)+'CAFCO 400 '!$D$30*J559+'CAFCO 400 '!$D$31)),0),0)+IF(AND(L559="Cafco 300",J559&gt;=95,J559&lt;=240,C559="Cj",I559=90),VLOOKUP(T559,'CAFCO 300 IDIEM TABLAS'!$B$4:$D$23,2,FALSE),0)+IF(AND(L559="Cafco 300",J559&gt;=95,J559&lt;=240,C559="Cj",I559=120),VLOOKUP(T559,'CAFCO 300 IDIEM TABLAS'!$B$4:$D$23,3,FALSE),0)+IF(AND(L559="Cafco 300",J559&gt;=95,J559&lt;=400,G559=3,C559="IN",I559=90),VLOOKUP(T559,'CAFCO 300 IDIEM TABLAS'!$F$4:$H$35,2,FALSE),0)+IF(AND(L559="Cafco 300",J559&gt;=95,J559&lt;=400,G559=3,C559="IN",I559=120),VLOOKUP(T559,'CAFCO 300 IDIEM TABLAS'!$F$4:$H$35,3,FALSE),0)+IF(AND(L559="Cafco 300",J559&gt;=95,J559&lt;=450,G559=4,C559="IN",I559=90),VLOOKUP(T559,'CAFCO 300 IDIEM TABLAS'!$J$4:$L$40,2,FALSE),0)+IF(AND(L559="Cafco 300",J559&gt;=95,J559&lt;=450,G559=4,C559="IN",I559=120),VLOOKUP(T559,'CAFCO 300 IDIEM TABLAS'!$J$4:$L$40,3,FALSE),0)+IF(AND(M559="Ensayo Idiem",L559="Cafco 400",C559="IN",G559=4,I559=90),VLOOKUP(T559,'CAFCO 400 ENSAYO'!$B$7:$D$43,2,FALSE),0)+IF(AND(M559="Ensayo Idiem",L559="Cafco 400",C559="IN",G559=4,I559=120),VLOOKUP(T559,'CAFCO 400 ENSAYO'!$B$7:$D$43,3,FALSE),0)</f>
        <v>0</v>
      </c>
      <c r="O559" s="96">
        <f t="shared" si="60"/>
        <v>0</v>
      </c>
      <c r="P559" s="132" t="str">
        <f t="shared" si="55"/>
        <v>N/A</v>
      </c>
      <c r="Q559" s="132" t="str">
        <f t="shared" si="56"/>
        <v>N/A</v>
      </c>
      <c r="R559" s="132" t="str">
        <f t="shared" si="57"/>
        <v>NO CERT.</v>
      </c>
      <c r="S559" s="132" t="e">
        <f t="shared" si="58"/>
        <v>#N/A</v>
      </c>
      <c r="T559" s="133" t="e">
        <f>+IF(J559=LOOKUP(J559,'CAFCO 300 IDIEM TABLAS'!$J$4:$J$40),'CALCULO MORTERO'!J559,MROUND('CALCULO MORTERO'!J559,10))</f>
        <v>#N/A</v>
      </c>
      <c r="U559" s="134">
        <f t="shared" si="59"/>
        <v>0</v>
      </c>
      <c r="Y559" s="4"/>
      <c r="Z559" s="4"/>
      <c r="AA559" s="4"/>
    </row>
    <row r="560" spans="1:27" x14ac:dyDescent="0.25">
      <c r="A560" s="118">
        <f>+CUBICACION!D554</f>
        <v>0</v>
      </c>
      <c r="B560" s="819">
        <f>+CUBICACION!E554</f>
        <v>0</v>
      </c>
      <c r="C560" s="675">
        <f>+CUBICACION!F554</f>
        <v>0</v>
      </c>
      <c r="D560" s="118"/>
      <c r="E560" s="118"/>
      <c r="F560" s="820"/>
      <c r="G560" s="675">
        <f>+CUBICACION!J554</f>
        <v>0</v>
      </c>
      <c r="H560" s="118"/>
      <c r="I560" s="821">
        <f>+CUBICACION!L554</f>
        <v>0</v>
      </c>
      <c r="J560" s="64">
        <f>+CUBICACION!M554</f>
        <v>0</v>
      </c>
      <c r="K560" s="822" t="str">
        <f>+CUBICACION!N554</f>
        <v/>
      </c>
      <c r="L560" s="118">
        <f>+CUBICACION!O554</f>
        <v>0</v>
      </c>
      <c r="M560" s="823">
        <f>+CUBICACION!P554</f>
        <v>0</v>
      </c>
      <c r="N560" s="902">
        <f>ROUND(IF(AND(L560="Blaze Shield II",M560="Software Idiem",C560="IN",G560=4),((('BLAZE SHIELD II'!$D$4*('CALCULO MORTERO'!I560^2)+'BLAZE SHIELD II'!$D$5*'CALCULO MORTERO'!I560+'BLAZE SHIELD II'!$D$6)*LN(J560))+('BLAZE SHIELD II'!$D$7*('CALCULO MORTERO'!I560^2)+'BLAZE SHIELD II'!$D$8*'CALCULO MORTERO'!I560+'BLAZE SHIELD II'!$D$9)),0)+IF(AND(L560="Blaze Shield II",M560="Software Idiem",C560="Cj"),((('BLAZE SHIELD II'!$H$4*('CALCULO MORTERO'!I560^2)+'BLAZE SHIELD II'!$H$5*'CALCULO MORTERO'!I560+'BLAZE SHIELD II'!$H$6)*LN(J560))+('BLAZE SHIELD II'!$H$7*('CALCULO MORTERO'!I560^2)+'BLAZE SHIELD II'!$H$8*'CALCULO MORTERO'!I560+'BLAZE SHIELD II'!$H$9)),0)+IF(AND(L560="Blaze Shield II",M560="Software Idiem",C560="C"),((('BLAZE SHIELD II'!$L$4*('CALCULO MORTERO'!I560^2)+'BLAZE SHIELD II'!$L$5*'CALCULO MORTERO'!I560+'BLAZE SHIELD II'!$L$6)*LN(J560))+('BLAZE SHIELD II'!$L$7*('CALCULO MORTERO'!I560^2)+'BLAZE SHIELD II'!$L$8*'CALCULO MORTERO'!I560+'BLAZE SHIELD II'!$L$9)),0)+IF(AND(L560="Blaze Shield II",M560="Software Idiem",C560="L"),((('BLAZE SHIELD II'!$L$4*('CALCULO MORTERO'!I560^2)+'BLAZE SHIELD II'!$L$5*'CALCULO MORTERO'!I560+'BLAZE SHIELD II'!$L$6)*LN(J560))+('BLAZE SHIELD II'!$L$7*('CALCULO MORTERO'!I560^2)+'BLAZE SHIELD II'!$L$8*'CALCULO MORTERO'!I560+'BLAZE SHIELD II'!$L$9)),0)+IF(AND(L560="Blaze Shield II",M560="Software Idiem",C560="IN",G560=3),((('BLAZE SHIELD II'!$H$14*('CALCULO MORTERO'!I560^2)+'BLAZE SHIELD II'!$H$15*'CALCULO MORTERO'!I560+'BLAZE SHIELD II'!$H$16)*LN(J560))+('BLAZE SHIELD II'!$H$17*('CALCULO MORTERO'!I560^2)+'BLAZE SHIELD II'!$H$18*'CALCULO MORTERO'!I560+'BLAZE SHIELD II'!$H$19)),0),0)+ROUND(IF(AND(L560="Cafco 400",M560="Software Idiem",C560="IN",G560=4),((('CAFCO 400 '!$H$7*(J560^4)+'CAFCO 400 '!$H$8*(J560^3)+'CAFCO 400 '!$H$9*(J560^2)+'CAFCO 400 '!$H$10*J560+'CAFCO 400 '!$H$11)*U560^2)+(('CAFCO 400 '!$H$12*(J560^3)+'CAFCO 400 '!$H$13*(J560^2)+'CAFCO 400 '!$H$14*J560+'CAFCO 400 '!$H$15)*U560)+('CAFCO 400 '!$H$16*(J560^2)+'CAFCO 400 '!$H$17*J560+'CAFCO 400 '!$H$18)),0)+IF(AND(L560="Cafco 400",M560="Software Idiem",C560="Cj"),(((('CAFCO 400 '!$D$7*LN(J560)+'CAFCO 400 '!$D$8)*U560^2)+(('CAFCO 400 '!$D$9*LN(J560)+'CAFCO 400 '!$D$10)*U560)+('CAFCO 400 '!$D$11*LN(J560)+'CAFCO 400 '!$D$12))),0)+IF(AND(L560="Cafco 400",M560="Software Idiem",C560="C"),((('CAFCO 400 '!$L$7*(J560^3)+'CAFCO 400 '!$L$8*(J560^2)+'CAFCO 400 '!$L$9*J560+'CAFCO 400 '!$L$10)*U560^2)+(('CAFCO 400 '!$L$11*(J560^3)+'CAFCO 400 '!$L$12*(J560^2)+'CAFCO 400 '!$L$13*J560+'CAFCO 400 '!$L$14)*U560)+('CAFCO 400 '!$L$15*LN(J560)+'CAFCO 400 '!$L$16)),0)+IF(AND(L560="Cafco 400",M560="Software Idiem",C560="L"),((('CAFCO 400 '!$L$7*(J560^3)+'CAFCO 400 '!$L$8*(J560^2)+'CAFCO 400 '!$L$9*J560+'CAFCO 400 '!$L$10)*U560^2)+(('CAFCO 400 '!$L$11*(J560^3)+'CAFCO 400 '!$L$12*(J560^2)+'CAFCO 400 '!$L$13*J560+'CAFCO 400 '!$L$14)*U560)+('CAFCO 400 '!$L$15*LN(J560)+'CAFCO 400 '!$L$16)),0)+IF(AND(L560="Cafco 400",M560="Software Idiem",C560="IN",G560=3),((('CAFCO 400 '!$D$23*(J560^2)+'CAFCO 400 '!$D$24*(J560)+'CAFCO 400 '!$D$25)*U560^2)+(('CAFCO 400 '!$D$26*(J560^2)+'CAFCO 400 '!$D$27*J560+'CAFCO 400 '!$D$28)*U560)+('CAFCO 400 '!$D$29*(J560^2)+'CAFCO 400 '!$D$30*J560+'CAFCO 400 '!$D$31)),0),0)+IF(AND(L560="Cafco 300",J560&gt;=95,J560&lt;=240,C560="Cj",I560=90),VLOOKUP(T560,'CAFCO 300 IDIEM TABLAS'!$B$4:$D$23,2,FALSE),0)+IF(AND(L560="Cafco 300",J560&gt;=95,J560&lt;=240,C560="Cj",I560=120),VLOOKUP(T560,'CAFCO 300 IDIEM TABLAS'!$B$4:$D$23,3,FALSE),0)+IF(AND(L560="Cafco 300",J560&gt;=95,J560&lt;=400,G560=3,C560="IN",I560=90),VLOOKUP(T560,'CAFCO 300 IDIEM TABLAS'!$F$4:$H$35,2,FALSE),0)+IF(AND(L560="Cafco 300",J560&gt;=95,J560&lt;=400,G560=3,C560="IN",I560=120),VLOOKUP(T560,'CAFCO 300 IDIEM TABLAS'!$F$4:$H$35,3,FALSE),0)+IF(AND(L560="Cafco 300",J560&gt;=95,J560&lt;=450,G560=4,C560="IN",I560=90),VLOOKUP(T560,'CAFCO 300 IDIEM TABLAS'!$J$4:$L$40,2,FALSE),0)+IF(AND(L560="Cafco 300",J560&gt;=95,J560&lt;=450,G560=4,C560="IN",I560=120),VLOOKUP(T560,'CAFCO 300 IDIEM TABLAS'!$J$4:$L$40,3,FALSE),0)+IF(AND(M560="Ensayo Idiem",L560="Cafco 400",C560="IN",G560=4,I560=90),VLOOKUP(T560,'CAFCO 400 ENSAYO'!$B$7:$D$43,2,FALSE),0)+IF(AND(M560="Ensayo Idiem",L560="Cafco 400",C560="IN",G560=4,I560=120),VLOOKUP(T560,'CAFCO 400 ENSAYO'!$B$7:$D$43,3,FALSE),0)</f>
        <v>0</v>
      </c>
      <c r="O560" s="96">
        <f t="shared" si="60"/>
        <v>0</v>
      </c>
      <c r="P560" s="95" t="str">
        <f t="shared" si="55"/>
        <v>N/A</v>
      </c>
      <c r="Q560" s="95" t="str">
        <f t="shared" si="56"/>
        <v>N/A</v>
      </c>
      <c r="R560" s="95" t="str">
        <f t="shared" si="57"/>
        <v>NO CERT.</v>
      </c>
      <c r="S560" s="95" t="e">
        <f t="shared" si="58"/>
        <v>#N/A</v>
      </c>
      <c r="T560" s="119" t="e">
        <f>+IF(J560=LOOKUP(J560,'CAFCO 300 IDIEM TABLAS'!$J$4:$J$40),'CALCULO MORTERO'!J560,MROUND('CALCULO MORTERO'!J560,10))</f>
        <v>#N/A</v>
      </c>
      <c r="U560" s="118">
        <f t="shared" si="59"/>
        <v>0</v>
      </c>
      <c r="Y560" s="4"/>
      <c r="Z560" s="4"/>
      <c r="AA560" s="4"/>
    </row>
    <row r="561" spans="1:27" x14ac:dyDescent="0.25">
      <c r="A561" s="118">
        <f>+CUBICACION!D555</f>
        <v>0</v>
      </c>
      <c r="B561" s="819">
        <f>+CUBICACION!E555</f>
        <v>0</v>
      </c>
      <c r="C561" s="675">
        <f>+CUBICACION!F555</f>
        <v>0</v>
      </c>
      <c r="D561" s="118"/>
      <c r="E561" s="118"/>
      <c r="F561" s="820"/>
      <c r="G561" s="675">
        <f>+CUBICACION!J555</f>
        <v>0</v>
      </c>
      <c r="H561" s="118"/>
      <c r="I561" s="821">
        <f>+CUBICACION!L555</f>
        <v>0</v>
      </c>
      <c r="J561" s="64">
        <f>+CUBICACION!M555</f>
        <v>0</v>
      </c>
      <c r="K561" s="822" t="str">
        <f>+CUBICACION!N555</f>
        <v/>
      </c>
      <c r="L561" s="118">
        <f>+CUBICACION!O555</f>
        <v>0</v>
      </c>
      <c r="M561" s="823">
        <f>+CUBICACION!P555</f>
        <v>0</v>
      </c>
      <c r="N561" s="902">
        <f>ROUND(IF(AND(L561="Blaze Shield II",M561="Software Idiem",C561="IN",G561=4),((('BLAZE SHIELD II'!$D$4*('CALCULO MORTERO'!I561^2)+'BLAZE SHIELD II'!$D$5*'CALCULO MORTERO'!I561+'BLAZE SHIELD II'!$D$6)*LN(J561))+('BLAZE SHIELD II'!$D$7*('CALCULO MORTERO'!I561^2)+'BLAZE SHIELD II'!$D$8*'CALCULO MORTERO'!I561+'BLAZE SHIELD II'!$D$9)),0)+IF(AND(L561="Blaze Shield II",M561="Software Idiem",C561="Cj"),((('BLAZE SHIELD II'!$H$4*('CALCULO MORTERO'!I561^2)+'BLAZE SHIELD II'!$H$5*'CALCULO MORTERO'!I561+'BLAZE SHIELD II'!$H$6)*LN(J561))+('BLAZE SHIELD II'!$H$7*('CALCULO MORTERO'!I561^2)+'BLAZE SHIELD II'!$H$8*'CALCULO MORTERO'!I561+'BLAZE SHIELD II'!$H$9)),0)+IF(AND(L561="Blaze Shield II",M561="Software Idiem",C561="C"),((('BLAZE SHIELD II'!$L$4*('CALCULO MORTERO'!I561^2)+'BLAZE SHIELD II'!$L$5*'CALCULO MORTERO'!I561+'BLAZE SHIELD II'!$L$6)*LN(J561))+('BLAZE SHIELD II'!$L$7*('CALCULO MORTERO'!I561^2)+'BLAZE SHIELD II'!$L$8*'CALCULO MORTERO'!I561+'BLAZE SHIELD II'!$L$9)),0)+IF(AND(L561="Blaze Shield II",M561="Software Idiem",C561="L"),((('BLAZE SHIELD II'!$L$4*('CALCULO MORTERO'!I561^2)+'BLAZE SHIELD II'!$L$5*'CALCULO MORTERO'!I561+'BLAZE SHIELD II'!$L$6)*LN(J561))+('BLAZE SHIELD II'!$L$7*('CALCULO MORTERO'!I561^2)+'BLAZE SHIELD II'!$L$8*'CALCULO MORTERO'!I561+'BLAZE SHIELD II'!$L$9)),0)+IF(AND(L561="Blaze Shield II",M561="Software Idiem",C561="IN",G561=3),((('BLAZE SHIELD II'!$H$14*('CALCULO MORTERO'!I561^2)+'BLAZE SHIELD II'!$H$15*'CALCULO MORTERO'!I561+'BLAZE SHIELD II'!$H$16)*LN(J561))+('BLAZE SHIELD II'!$H$17*('CALCULO MORTERO'!I561^2)+'BLAZE SHIELD II'!$H$18*'CALCULO MORTERO'!I561+'BLAZE SHIELD II'!$H$19)),0),0)+ROUND(IF(AND(L561="Cafco 400",M561="Software Idiem",C561="IN",G561=4),((('CAFCO 400 '!$H$7*(J561^4)+'CAFCO 400 '!$H$8*(J561^3)+'CAFCO 400 '!$H$9*(J561^2)+'CAFCO 400 '!$H$10*J561+'CAFCO 400 '!$H$11)*U561^2)+(('CAFCO 400 '!$H$12*(J561^3)+'CAFCO 400 '!$H$13*(J561^2)+'CAFCO 400 '!$H$14*J561+'CAFCO 400 '!$H$15)*U561)+('CAFCO 400 '!$H$16*(J561^2)+'CAFCO 400 '!$H$17*J561+'CAFCO 400 '!$H$18)),0)+IF(AND(L561="Cafco 400",M561="Software Idiem",C561="Cj"),(((('CAFCO 400 '!$D$7*LN(J561)+'CAFCO 400 '!$D$8)*U561^2)+(('CAFCO 400 '!$D$9*LN(J561)+'CAFCO 400 '!$D$10)*U561)+('CAFCO 400 '!$D$11*LN(J561)+'CAFCO 400 '!$D$12))),0)+IF(AND(L561="Cafco 400",M561="Software Idiem",C561="C"),((('CAFCO 400 '!$L$7*(J561^3)+'CAFCO 400 '!$L$8*(J561^2)+'CAFCO 400 '!$L$9*J561+'CAFCO 400 '!$L$10)*U561^2)+(('CAFCO 400 '!$L$11*(J561^3)+'CAFCO 400 '!$L$12*(J561^2)+'CAFCO 400 '!$L$13*J561+'CAFCO 400 '!$L$14)*U561)+('CAFCO 400 '!$L$15*LN(J561)+'CAFCO 400 '!$L$16)),0)+IF(AND(L561="Cafco 400",M561="Software Idiem",C561="L"),((('CAFCO 400 '!$L$7*(J561^3)+'CAFCO 400 '!$L$8*(J561^2)+'CAFCO 400 '!$L$9*J561+'CAFCO 400 '!$L$10)*U561^2)+(('CAFCO 400 '!$L$11*(J561^3)+'CAFCO 400 '!$L$12*(J561^2)+'CAFCO 400 '!$L$13*J561+'CAFCO 400 '!$L$14)*U561)+('CAFCO 400 '!$L$15*LN(J561)+'CAFCO 400 '!$L$16)),0)+IF(AND(L561="Cafco 400",M561="Software Idiem",C561="IN",G561=3),((('CAFCO 400 '!$D$23*(J561^2)+'CAFCO 400 '!$D$24*(J561)+'CAFCO 400 '!$D$25)*U561^2)+(('CAFCO 400 '!$D$26*(J561^2)+'CAFCO 400 '!$D$27*J561+'CAFCO 400 '!$D$28)*U561)+('CAFCO 400 '!$D$29*(J561^2)+'CAFCO 400 '!$D$30*J561+'CAFCO 400 '!$D$31)),0),0)+IF(AND(L561="Cafco 300",J561&gt;=95,J561&lt;=240,C561="Cj",I561=90),VLOOKUP(T561,'CAFCO 300 IDIEM TABLAS'!$B$4:$D$23,2,FALSE),0)+IF(AND(L561="Cafco 300",J561&gt;=95,J561&lt;=240,C561="Cj",I561=120),VLOOKUP(T561,'CAFCO 300 IDIEM TABLAS'!$B$4:$D$23,3,FALSE),0)+IF(AND(L561="Cafco 300",J561&gt;=95,J561&lt;=400,G561=3,C561="IN",I561=90),VLOOKUP(T561,'CAFCO 300 IDIEM TABLAS'!$F$4:$H$35,2,FALSE),0)+IF(AND(L561="Cafco 300",J561&gt;=95,J561&lt;=400,G561=3,C561="IN",I561=120),VLOOKUP(T561,'CAFCO 300 IDIEM TABLAS'!$F$4:$H$35,3,FALSE),0)+IF(AND(L561="Cafco 300",J561&gt;=95,J561&lt;=450,G561=4,C561="IN",I561=90),VLOOKUP(T561,'CAFCO 300 IDIEM TABLAS'!$J$4:$L$40,2,FALSE),0)+IF(AND(L561="Cafco 300",J561&gt;=95,J561&lt;=450,G561=4,C561="IN",I561=120),VLOOKUP(T561,'CAFCO 300 IDIEM TABLAS'!$J$4:$L$40,3,FALSE),0)+IF(AND(M561="Ensayo Idiem",L561="Cafco 400",C561="IN",G561=4,I561=90),VLOOKUP(T561,'CAFCO 400 ENSAYO'!$B$7:$D$43,2,FALSE),0)+IF(AND(M561="Ensayo Idiem",L561="Cafco 400",C561="IN",G561=4,I561=120),VLOOKUP(T561,'CAFCO 400 ENSAYO'!$B$7:$D$43,3,FALSE),0)</f>
        <v>0</v>
      </c>
      <c r="O561" s="96">
        <f t="shared" si="60"/>
        <v>0</v>
      </c>
      <c r="P561" s="132" t="str">
        <f t="shared" si="55"/>
        <v>N/A</v>
      </c>
      <c r="Q561" s="132" t="str">
        <f t="shared" si="56"/>
        <v>N/A</v>
      </c>
      <c r="R561" s="132" t="str">
        <f t="shared" si="57"/>
        <v>NO CERT.</v>
      </c>
      <c r="S561" s="132" t="e">
        <f t="shared" si="58"/>
        <v>#N/A</v>
      </c>
      <c r="T561" s="133" t="e">
        <f>+IF(J561=LOOKUP(J561,'CAFCO 300 IDIEM TABLAS'!$J$4:$J$40),'CALCULO MORTERO'!J561,MROUND('CALCULO MORTERO'!J561,10))</f>
        <v>#N/A</v>
      </c>
      <c r="U561" s="134">
        <f t="shared" si="59"/>
        <v>0</v>
      </c>
      <c r="Y561" s="4"/>
      <c r="Z561" s="4"/>
      <c r="AA561" s="4"/>
    </row>
    <row r="562" spans="1:27" x14ac:dyDescent="0.25">
      <c r="A562" s="118">
        <f>+CUBICACION!D556</f>
        <v>0</v>
      </c>
      <c r="B562" s="819">
        <f>+CUBICACION!E556</f>
        <v>0</v>
      </c>
      <c r="C562" s="675">
        <f>+CUBICACION!F556</f>
        <v>0</v>
      </c>
      <c r="D562" s="118"/>
      <c r="E562" s="118"/>
      <c r="F562" s="820"/>
      <c r="G562" s="675">
        <f>+CUBICACION!J556</f>
        <v>0</v>
      </c>
      <c r="H562" s="118"/>
      <c r="I562" s="821">
        <f>+CUBICACION!L556</f>
        <v>0</v>
      </c>
      <c r="J562" s="64">
        <f>+CUBICACION!M556</f>
        <v>0</v>
      </c>
      <c r="K562" s="822" t="str">
        <f>+CUBICACION!N556</f>
        <v/>
      </c>
      <c r="L562" s="118">
        <f>+CUBICACION!O556</f>
        <v>0</v>
      </c>
      <c r="M562" s="823">
        <f>+CUBICACION!P556</f>
        <v>0</v>
      </c>
      <c r="N562" s="902">
        <f>ROUND(IF(AND(L562="Blaze Shield II",M562="Software Idiem",C562="IN",G562=4),((('BLAZE SHIELD II'!$D$4*('CALCULO MORTERO'!I562^2)+'BLAZE SHIELD II'!$D$5*'CALCULO MORTERO'!I562+'BLAZE SHIELD II'!$D$6)*LN(J562))+('BLAZE SHIELD II'!$D$7*('CALCULO MORTERO'!I562^2)+'BLAZE SHIELD II'!$D$8*'CALCULO MORTERO'!I562+'BLAZE SHIELD II'!$D$9)),0)+IF(AND(L562="Blaze Shield II",M562="Software Idiem",C562="Cj"),((('BLAZE SHIELD II'!$H$4*('CALCULO MORTERO'!I562^2)+'BLAZE SHIELD II'!$H$5*'CALCULO MORTERO'!I562+'BLAZE SHIELD II'!$H$6)*LN(J562))+('BLAZE SHIELD II'!$H$7*('CALCULO MORTERO'!I562^2)+'BLAZE SHIELD II'!$H$8*'CALCULO MORTERO'!I562+'BLAZE SHIELD II'!$H$9)),0)+IF(AND(L562="Blaze Shield II",M562="Software Idiem",C562="C"),((('BLAZE SHIELD II'!$L$4*('CALCULO MORTERO'!I562^2)+'BLAZE SHIELD II'!$L$5*'CALCULO MORTERO'!I562+'BLAZE SHIELD II'!$L$6)*LN(J562))+('BLAZE SHIELD II'!$L$7*('CALCULO MORTERO'!I562^2)+'BLAZE SHIELD II'!$L$8*'CALCULO MORTERO'!I562+'BLAZE SHIELD II'!$L$9)),0)+IF(AND(L562="Blaze Shield II",M562="Software Idiem",C562="L"),((('BLAZE SHIELD II'!$L$4*('CALCULO MORTERO'!I562^2)+'BLAZE SHIELD II'!$L$5*'CALCULO MORTERO'!I562+'BLAZE SHIELD II'!$L$6)*LN(J562))+('BLAZE SHIELD II'!$L$7*('CALCULO MORTERO'!I562^2)+'BLAZE SHIELD II'!$L$8*'CALCULO MORTERO'!I562+'BLAZE SHIELD II'!$L$9)),0)+IF(AND(L562="Blaze Shield II",M562="Software Idiem",C562="IN",G562=3),((('BLAZE SHIELD II'!$H$14*('CALCULO MORTERO'!I562^2)+'BLAZE SHIELD II'!$H$15*'CALCULO MORTERO'!I562+'BLAZE SHIELD II'!$H$16)*LN(J562))+('BLAZE SHIELD II'!$H$17*('CALCULO MORTERO'!I562^2)+'BLAZE SHIELD II'!$H$18*'CALCULO MORTERO'!I562+'BLAZE SHIELD II'!$H$19)),0),0)+ROUND(IF(AND(L562="Cafco 400",M562="Software Idiem",C562="IN",G562=4),((('CAFCO 400 '!$H$7*(J562^4)+'CAFCO 400 '!$H$8*(J562^3)+'CAFCO 400 '!$H$9*(J562^2)+'CAFCO 400 '!$H$10*J562+'CAFCO 400 '!$H$11)*U562^2)+(('CAFCO 400 '!$H$12*(J562^3)+'CAFCO 400 '!$H$13*(J562^2)+'CAFCO 400 '!$H$14*J562+'CAFCO 400 '!$H$15)*U562)+('CAFCO 400 '!$H$16*(J562^2)+'CAFCO 400 '!$H$17*J562+'CAFCO 400 '!$H$18)),0)+IF(AND(L562="Cafco 400",M562="Software Idiem",C562="Cj"),(((('CAFCO 400 '!$D$7*LN(J562)+'CAFCO 400 '!$D$8)*U562^2)+(('CAFCO 400 '!$D$9*LN(J562)+'CAFCO 400 '!$D$10)*U562)+('CAFCO 400 '!$D$11*LN(J562)+'CAFCO 400 '!$D$12))),0)+IF(AND(L562="Cafco 400",M562="Software Idiem",C562="C"),((('CAFCO 400 '!$L$7*(J562^3)+'CAFCO 400 '!$L$8*(J562^2)+'CAFCO 400 '!$L$9*J562+'CAFCO 400 '!$L$10)*U562^2)+(('CAFCO 400 '!$L$11*(J562^3)+'CAFCO 400 '!$L$12*(J562^2)+'CAFCO 400 '!$L$13*J562+'CAFCO 400 '!$L$14)*U562)+('CAFCO 400 '!$L$15*LN(J562)+'CAFCO 400 '!$L$16)),0)+IF(AND(L562="Cafco 400",M562="Software Idiem",C562="L"),((('CAFCO 400 '!$L$7*(J562^3)+'CAFCO 400 '!$L$8*(J562^2)+'CAFCO 400 '!$L$9*J562+'CAFCO 400 '!$L$10)*U562^2)+(('CAFCO 400 '!$L$11*(J562^3)+'CAFCO 400 '!$L$12*(J562^2)+'CAFCO 400 '!$L$13*J562+'CAFCO 400 '!$L$14)*U562)+('CAFCO 400 '!$L$15*LN(J562)+'CAFCO 400 '!$L$16)),0)+IF(AND(L562="Cafco 400",M562="Software Idiem",C562="IN",G562=3),((('CAFCO 400 '!$D$23*(J562^2)+'CAFCO 400 '!$D$24*(J562)+'CAFCO 400 '!$D$25)*U562^2)+(('CAFCO 400 '!$D$26*(J562^2)+'CAFCO 400 '!$D$27*J562+'CAFCO 400 '!$D$28)*U562)+('CAFCO 400 '!$D$29*(J562^2)+'CAFCO 400 '!$D$30*J562+'CAFCO 400 '!$D$31)),0),0)+IF(AND(L562="Cafco 300",J562&gt;=95,J562&lt;=240,C562="Cj",I562=90),VLOOKUP(T562,'CAFCO 300 IDIEM TABLAS'!$B$4:$D$23,2,FALSE),0)+IF(AND(L562="Cafco 300",J562&gt;=95,J562&lt;=240,C562="Cj",I562=120),VLOOKUP(T562,'CAFCO 300 IDIEM TABLAS'!$B$4:$D$23,3,FALSE),0)+IF(AND(L562="Cafco 300",J562&gt;=95,J562&lt;=400,G562=3,C562="IN",I562=90),VLOOKUP(T562,'CAFCO 300 IDIEM TABLAS'!$F$4:$H$35,2,FALSE),0)+IF(AND(L562="Cafco 300",J562&gt;=95,J562&lt;=400,G562=3,C562="IN",I562=120),VLOOKUP(T562,'CAFCO 300 IDIEM TABLAS'!$F$4:$H$35,3,FALSE),0)+IF(AND(L562="Cafco 300",J562&gt;=95,J562&lt;=450,G562=4,C562="IN",I562=90),VLOOKUP(T562,'CAFCO 300 IDIEM TABLAS'!$J$4:$L$40,2,FALSE),0)+IF(AND(L562="Cafco 300",J562&gt;=95,J562&lt;=450,G562=4,C562="IN",I562=120),VLOOKUP(T562,'CAFCO 300 IDIEM TABLAS'!$J$4:$L$40,3,FALSE),0)+IF(AND(M562="Ensayo Idiem",L562="Cafco 400",C562="IN",G562=4,I562=90),VLOOKUP(T562,'CAFCO 400 ENSAYO'!$B$7:$D$43,2,FALSE),0)+IF(AND(M562="Ensayo Idiem",L562="Cafco 400",C562="IN",G562=4,I562=120),VLOOKUP(T562,'CAFCO 400 ENSAYO'!$B$7:$D$43,3,FALSE),0)</f>
        <v>0</v>
      </c>
      <c r="O562" s="96">
        <f t="shared" si="60"/>
        <v>0</v>
      </c>
      <c r="P562" s="95" t="str">
        <f t="shared" ref="P562:P625" si="61">IF(AND(M562="Software Idiem"),IF(AND(C562="IN",G562=4,J562&gt;=50,J562&lt;=500),"CERT.",IF(AND(C562="Cj",J562&gt;=50,J562&lt;=500),"CERT.",IF(AND(C562="C",J562&gt;=50,J562&lt;=1000),"CERT.",IF(AND(C562="L",J562&gt;=50,J562&lt;=1000),"CERT.",IF(AND(C562="IN",G562=3,J562&gt;=50,J562&lt;=500),"CERT.","NO CERT."))))),"N/A")</f>
        <v>N/A</v>
      </c>
      <c r="Q562" s="95" t="str">
        <f t="shared" ref="Q562:Q625" si="62">IF(AND(M562="Software Idiem"),IF(AND(C562="IN",G562=4,J562&gt;=50,J562&lt;=500),"CERT.",IF(AND(C562="Cj",J562&gt;=50,J562&lt;=500),"CERT.",IF(AND(C562="C",J562&gt;=50,J562&lt;=1000),"CERT.",IF(AND(C562="L",J562&gt;=50,J562&lt;=1000),"CERT.",IF(AND(C562="IN",G562=3,J562&gt;=50,J562&lt;=500),"CERT.","NO CERT."))))),"N/A")</f>
        <v>N/A</v>
      </c>
      <c r="R562" s="95" t="str">
        <f t="shared" ref="R562:R625" si="63">IF(AND(C562="IN",G562=4,J562&gt;=95,J562&lt;=450,I562=90),"CERT.",IF(AND(C562="IN",G562=4,J562&gt;=95,J562&lt;=450,I562=120),"CERT.","NO CERT."))</f>
        <v>NO CERT.</v>
      </c>
      <c r="S562" s="95" t="e">
        <f t="shared" ref="S562:S625" si="64">IF(AND(C562="Cj",I562=90,T562&lt;=240),"CERT.",IF(AND(C562="Cj",I562=120,T562&lt;=240),"CERT.",IF(AND(C562="IN",G562=3,I562=90,T562&lt;=400),"CERT.",IF(AND(C562="IN",G562=3,I562=120,T562&lt;=400),"CERT.",IF(AND(C562="IN",G562=4,I562=90,T562&lt;=450),"CERT.",IF(AND(C562="IN",G562=4,I562=120,T562&lt;=450),"CERT.","NO CERT."))))))</f>
        <v>#N/A</v>
      </c>
      <c r="T562" s="119" t="e">
        <f>+IF(J562=LOOKUP(J562,'CAFCO 300 IDIEM TABLAS'!$J$4:$J$40),'CALCULO MORTERO'!J562,MROUND('CALCULO MORTERO'!J562,10))</f>
        <v>#N/A</v>
      </c>
      <c r="U562" s="118">
        <f t="shared" ref="U562:U625" si="65">+I562*60</f>
        <v>0</v>
      </c>
      <c r="Y562" s="4"/>
      <c r="Z562" s="4"/>
      <c r="AA562" s="4"/>
    </row>
    <row r="563" spans="1:27" x14ac:dyDescent="0.25">
      <c r="A563" s="118">
        <f>+CUBICACION!D557</f>
        <v>0</v>
      </c>
      <c r="B563" s="819">
        <f>+CUBICACION!E557</f>
        <v>0</v>
      </c>
      <c r="C563" s="675">
        <f>+CUBICACION!F557</f>
        <v>0</v>
      </c>
      <c r="D563" s="118"/>
      <c r="E563" s="118"/>
      <c r="F563" s="820"/>
      <c r="G563" s="675">
        <f>+CUBICACION!J557</f>
        <v>0</v>
      </c>
      <c r="H563" s="118"/>
      <c r="I563" s="821">
        <f>+CUBICACION!L557</f>
        <v>0</v>
      </c>
      <c r="J563" s="64">
        <f>+CUBICACION!M557</f>
        <v>0</v>
      </c>
      <c r="K563" s="822" t="str">
        <f>+CUBICACION!N557</f>
        <v/>
      </c>
      <c r="L563" s="118">
        <f>+CUBICACION!O557</f>
        <v>0</v>
      </c>
      <c r="M563" s="823">
        <f>+CUBICACION!P557</f>
        <v>0</v>
      </c>
      <c r="N563" s="902">
        <f>ROUND(IF(AND(L563="Blaze Shield II",M563="Software Idiem",C563="IN",G563=4),((('BLAZE SHIELD II'!$D$4*('CALCULO MORTERO'!I563^2)+'BLAZE SHIELD II'!$D$5*'CALCULO MORTERO'!I563+'BLAZE SHIELD II'!$D$6)*LN(J563))+('BLAZE SHIELD II'!$D$7*('CALCULO MORTERO'!I563^2)+'BLAZE SHIELD II'!$D$8*'CALCULO MORTERO'!I563+'BLAZE SHIELD II'!$D$9)),0)+IF(AND(L563="Blaze Shield II",M563="Software Idiem",C563="Cj"),((('BLAZE SHIELD II'!$H$4*('CALCULO MORTERO'!I563^2)+'BLAZE SHIELD II'!$H$5*'CALCULO MORTERO'!I563+'BLAZE SHIELD II'!$H$6)*LN(J563))+('BLAZE SHIELD II'!$H$7*('CALCULO MORTERO'!I563^2)+'BLAZE SHIELD II'!$H$8*'CALCULO MORTERO'!I563+'BLAZE SHIELD II'!$H$9)),0)+IF(AND(L563="Blaze Shield II",M563="Software Idiem",C563="C"),((('BLAZE SHIELD II'!$L$4*('CALCULO MORTERO'!I563^2)+'BLAZE SHIELD II'!$L$5*'CALCULO MORTERO'!I563+'BLAZE SHIELD II'!$L$6)*LN(J563))+('BLAZE SHIELD II'!$L$7*('CALCULO MORTERO'!I563^2)+'BLAZE SHIELD II'!$L$8*'CALCULO MORTERO'!I563+'BLAZE SHIELD II'!$L$9)),0)+IF(AND(L563="Blaze Shield II",M563="Software Idiem",C563="L"),((('BLAZE SHIELD II'!$L$4*('CALCULO MORTERO'!I563^2)+'BLAZE SHIELD II'!$L$5*'CALCULO MORTERO'!I563+'BLAZE SHIELD II'!$L$6)*LN(J563))+('BLAZE SHIELD II'!$L$7*('CALCULO MORTERO'!I563^2)+'BLAZE SHIELD II'!$L$8*'CALCULO MORTERO'!I563+'BLAZE SHIELD II'!$L$9)),0)+IF(AND(L563="Blaze Shield II",M563="Software Idiem",C563="IN",G563=3),((('BLAZE SHIELD II'!$H$14*('CALCULO MORTERO'!I563^2)+'BLAZE SHIELD II'!$H$15*'CALCULO MORTERO'!I563+'BLAZE SHIELD II'!$H$16)*LN(J563))+('BLAZE SHIELD II'!$H$17*('CALCULO MORTERO'!I563^2)+'BLAZE SHIELD II'!$H$18*'CALCULO MORTERO'!I563+'BLAZE SHIELD II'!$H$19)),0),0)+ROUND(IF(AND(L563="Cafco 400",M563="Software Idiem",C563="IN",G563=4),((('CAFCO 400 '!$H$7*(J563^4)+'CAFCO 400 '!$H$8*(J563^3)+'CAFCO 400 '!$H$9*(J563^2)+'CAFCO 400 '!$H$10*J563+'CAFCO 400 '!$H$11)*U563^2)+(('CAFCO 400 '!$H$12*(J563^3)+'CAFCO 400 '!$H$13*(J563^2)+'CAFCO 400 '!$H$14*J563+'CAFCO 400 '!$H$15)*U563)+('CAFCO 400 '!$H$16*(J563^2)+'CAFCO 400 '!$H$17*J563+'CAFCO 400 '!$H$18)),0)+IF(AND(L563="Cafco 400",M563="Software Idiem",C563="Cj"),(((('CAFCO 400 '!$D$7*LN(J563)+'CAFCO 400 '!$D$8)*U563^2)+(('CAFCO 400 '!$D$9*LN(J563)+'CAFCO 400 '!$D$10)*U563)+('CAFCO 400 '!$D$11*LN(J563)+'CAFCO 400 '!$D$12))),0)+IF(AND(L563="Cafco 400",M563="Software Idiem",C563="C"),((('CAFCO 400 '!$L$7*(J563^3)+'CAFCO 400 '!$L$8*(J563^2)+'CAFCO 400 '!$L$9*J563+'CAFCO 400 '!$L$10)*U563^2)+(('CAFCO 400 '!$L$11*(J563^3)+'CAFCO 400 '!$L$12*(J563^2)+'CAFCO 400 '!$L$13*J563+'CAFCO 400 '!$L$14)*U563)+('CAFCO 400 '!$L$15*LN(J563)+'CAFCO 400 '!$L$16)),0)+IF(AND(L563="Cafco 400",M563="Software Idiem",C563="L"),((('CAFCO 400 '!$L$7*(J563^3)+'CAFCO 400 '!$L$8*(J563^2)+'CAFCO 400 '!$L$9*J563+'CAFCO 400 '!$L$10)*U563^2)+(('CAFCO 400 '!$L$11*(J563^3)+'CAFCO 400 '!$L$12*(J563^2)+'CAFCO 400 '!$L$13*J563+'CAFCO 400 '!$L$14)*U563)+('CAFCO 400 '!$L$15*LN(J563)+'CAFCO 400 '!$L$16)),0)+IF(AND(L563="Cafco 400",M563="Software Idiem",C563="IN",G563=3),((('CAFCO 400 '!$D$23*(J563^2)+'CAFCO 400 '!$D$24*(J563)+'CAFCO 400 '!$D$25)*U563^2)+(('CAFCO 400 '!$D$26*(J563^2)+'CAFCO 400 '!$D$27*J563+'CAFCO 400 '!$D$28)*U563)+('CAFCO 400 '!$D$29*(J563^2)+'CAFCO 400 '!$D$30*J563+'CAFCO 400 '!$D$31)),0),0)+IF(AND(L563="Cafco 300",J563&gt;=95,J563&lt;=240,C563="Cj",I563=90),VLOOKUP(T563,'CAFCO 300 IDIEM TABLAS'!$B$4:$D$23,2,FALSE),0)+IF(AND(L563="Cafco 300",J563&gt;=95,J563&lt;=240,C563="Cj",I563=120),VLOOKUP(T563,'CAFCO 300 IDIEM TABLAS'!$B$4:$D$23,3,FALSE),0)+IF(AND(L563="Cafco 300",J563&gt;=95,J563&lt;=400,G563=3,C563="IN",I563=90),VLOOKUP(T563,'CAFCO 300 IDIEM TABLAS'!$F$4:$H$35,2,FALSE),0)+IF(AND(L563="Cafco 300",J563&gt;=95,J563&lt;=400,G563=3,C563="IN",I563=120),VLOOKUP(T563,'CAFCO 300 IDIEM TABLAS'!$F$4:$H$35,3,FALSE),0)+IF(AND(L563="Cafco 300",J563&gt;=95,J563&lt;=450,G563=4,C563="IN",I563=90),VLOOKUP(T563,'CAFCO 300 IDIEM TABLAS'!$J$4:$L$40,2,FALSE),0)+IF(AND(L563="Cafco 300",J563&gt;=95,J563&lt;=450,G563=4,C563="IN",I563=120),VLOOKUP(T563,'CAFCO 300 IDIEM TABLAS'!$J$4:$L$40,3,FALSE),0)+IF(AND(M563="Ensayo Idiem",L563="Cafco 400",C563="IN",G563=4,I563=90),VLOOKUP(T563,'CAFCO 400 ENSAYO'!$B$7:$D$43,2,FALSE),0)+IF(AND(M563="Ensayo Idiem",L563="Cafco 400",C563="IN",G563=4,I563=120),VLOOKUP(T563,'CAFCO 400 ENSAYO'!$B$7:$D$43,3,FALSE),0)</f>
        <v>0</v>
      </c>
      <c r="O563" s="96">
        <f t="shared" si="60"/>
        <v>0</v>
      </c>
      <c r="P563" s="132" t="str">
        <f t="shared" si="61"/>
        <v>N/A</v>
      </c>
      <c r="Q563" s="132" t="str">
        <f t="shared" si="62"/>
        <v>N/A</v>
      </c>
      <c r="R563" s="132" t="str">
        <f t="shared" si="63"/>
        <v>NO CERT.</v>
      </c>
      <c r="S563" s="132" t="e">
        <f t="shared" si="64"/>
        <v>#N/A</v>
      </c>
      <c r="T563" s="133" t="e">
        <f>+IF(J563=LOOKUP(J563,'CAFCO 300 IDIEM TABLAS'!$J$4:$J$40),'CALCULO MORTERO'!J563,MROUND('CALCULO MORTERO'!J563,10))</f>
        <v>#N/A</v>
      </c>
      <c r="U563" s="134">
        <f t="shared" si="65"/>
        <v>0</v>
      </c>
      <c r="Y563" s="4"/>
      <c r="Z563" s="4"/>
      <c r="AA563" s="4"/>
    </row>
    <row r="564" spans="1:27" x14ac:dyDescent="0.25">
      <c r="A564" s="118">
        <f>+CUBICACION!D558</f>
        <v>0</v>
      </c>
      <c r="B564" s="819">
        <f>+CUBICACION!E558</f>
        <v>0</v>
      </c>
      <c r="C564" s="675">
        <f>+CUBICACION!F558</f>
        <v>0</v>
      </c>
      <c r="D564" s="118"/>
      <c r="E564" s="118"/>
      <c r="F564" s="820"/>
      <c r="G564" s="675">
        <f>+CUBICACION!J558</f>
        <v>0</v>
      </c>
      <c r="H564" s="118"/>
      <c r="I564" s="821">
        <f>+CUBICACION!L558</f>
        <v>0</v>
      </c>
      <c r="J564" s="64">
        <f>+CUBICACION!M558</f>
        <v>0</v>
      </c>
      <c r="K564" s="822" t="str">
        <f>+CUBICACION!N558</f>
        <v/>
      </c>
      <c r="L564" s="118">
        <f>+CUBICACION!O558</f>
        <v>0</v>
      </c>
      <c r="M564" s="823">
        <f>+CUBICACION!P558</f>
        <v>0</v>
      </c>
      <c r="N564" s="902">
        <f>ROUND(IF(AND(L564="Blaze Shield II",M564="Software Idiem",C564="IN",G564=4),((('BLAZE SHIELD II'!$D$4*('CALCULO MORTERO'!I564^2)+'BLAZE SHIELD II'!$D$5*'CALCULO MORTERO'!I564+'BLAZE SHIELD II'!$D$6)*LN(J564))+('BLAZE SHIELD II'!$D$7*('CALCULO MORTERO'!I564^2)+'BLAZE SHIELD II'!$D$8*'CALCULO MORTERO'!I564+'BLAZE SHIELD II'!$D$9)),0)+IF(AND(L564="Blaze Shield II",M564="Software Idiem",C564="Cj"),((('BLAZE SHIELD II'!$H$4*('CALCULO MORTERO'!I564^2)+'BLAZE SHIELD II'!$H$5*'CALCULO MORTERO'!I564+'BLAZE SHIELD II'!$H$6)*LN(J564))+('BLAZE SHIELD II'!$H$7*('CALCULO MORTERO'!I564^2)+'BLAZE SHIELD II'!$H$8*'CALCULO MORTERO'!I564+'BLAZE SHIELD II'!$H$9)),0)+IF(AND(L564="Blaze Shield II",M564="Software Idiem",C564="C"),((('BLAZE SHIELD II'!$L$4*('CALCULO MORTERO'!I564^2)+'BLAZE SHIELD II'!$L$5*'CALCULO MORTERO'!I564+'BLAZE SHIELD II'!$L$6)*LN(J564))+('BLAZE SHIELD II'!$L$7*('CALCULO MORTERO'!I564^2)+'BLAZE SHIELD II'!$L$8*'CALCULO MORTERO'!I564+'BLAZE SHIELD II'!$L$9)),0)+IF(AND(L564="Blaze Shield II",M564="Software Idiem",C564="L"),((('BLAZE SHIELD II'!$L$4*('CALCULO MORTERO'!I564^2)+'BLAZE SHIELD II'!$L$5*'CALCULO MORTERO'!I564+'BLAZE SHIELD II'!$L$6)*LN(J564))+('BLAZE SHIELD II'!$L$7*('CALCULO MORTERO'!I564^2)+'BLAZE SHIELD II'!$L$8*'CALCULO MORTERO'!I564+'BLAZE SHIELD II'!$L$9)),0)+IF(AND(L564="Blaze Shield II",M564="Software Idiem",C564="IN",G564=3),((('BLAZE SHIELD II'!$H$14*('CALCULO MORTERO'!I564^2)+'BLAZE SHIELD II'!$H$15*'CALCULO MORTERO'!I564+'BLAZE SHIELD II'!$H$16)*LN(J564))+('BLAZE SHIELD II'!$H$17*('CALCULO MORTERO'!I564^2)+'BLAZE SHIELD II'!$H$18*'CALCULO MORTERO'!I564+'BLAZE SHIELD II'!$H$19)),0),0)+ROUND(IF(AND(L564="Cafco 400",M564="Software Idiem",C564="IN",G564=4),((('CAFCO 400 '!$H$7*(J564^4)+'CAFCO 400 '!$H$8*(J564^3)+'CAFCO 400 '!$H$9*(J564^2)+'CAFCO 400 '!$H$10*J564+'CAFCO 400 '!$H$11)*U564^2)+(('CAFCO 400 '!$H$12*(J564^3)+'CAFCO 400 '!$H$13*(J564^2)+'CAFCO 400 '!$H$14*J564+'CAFCO 400 '!$H$15)*U564)+('CAFCO 400 '!$H$16*(J564^2)+'CAFCO 400 '!$H$17*J564+'CAFCO 400 '!$H$18)),0)+IF(AND(L564="Cafco 400",M564="Software Idiem",C564="Cj"),(((('CAFCO 400 '!$D$7*LN(J564)+'CAFCO 400 '!$D$8)*U564^2)+(('CAFCO 400 '!$D$9*LN(J564)+'CAFCO 400 '!$D$10)*U564)+('CAFCO 400 '!$D$11*LN(J564)+'CAFCO 400 '!$D$12))),0)+IF(AND(L564="Cafco 400",M564="Software Idiem",C564="C"),((('CAFCO 400 '!$L$7*(J564^3)+'CAFCO 400 '!$L$8*(J564^2)+'CAFCO 400 '!$L$9*J564+'CAFCO 400 '!$L$10)*U564^2)+(('CAFCO 400 '!$L$11*(J564^3)+'CAFCO 400 '!$L$12*(J564^2)+'CAFCO 400 '!$L$13*J564+'CAFCO 400 '!$L$14)*U564)+('CAFCO 400 '!$L$15*LN(J564)+'CAFCO 400 '!$L$16)),0)+IF(AND(L564="Cafco 400",M564="Software Idiem",C564="L"),((('CAFCO 400 '!$L$7*(J564^3)+'CAFCO 400 '!$L$8*(J564^2)+'CAFCO 400 '!$L$9*J564+'CAFCO 400 '!$L$10)*U564^2)+(('CAFCO 400 '!$L$11*(J564^3)+'CAFCO 400 '!$L$12*(J564^2)+'CAFCO 400 '!$L$13*J564+'CAFCO 400 '!$L$14)*U564)+('CAFCO 400 '!$L$15*LN(J564)+'CAFCO 400 '!$L$16)),0)+IF(AND(L564="Cafco 400",M564="Software Idiem",C564="IN",G564=3),((('CAFCO 400 '!$D$23*(J564^2)+'CAFCO 400 '!$D$24*(J564)+'CAFCO 400 '!$D$25)*U564^2)+(('CAFCO 400 '!$D$26*(J564^2)+'CAFCO 400 '!$D$27*J564+'CAFCO 400 '!$D$28)*U564)+('CAFCO 400 '!$D$29*(J564^2)+'CAFCO 400 '!$D$30*J564+'CAFCO 400 '!$D$31)),0),0)+IF(AND(L564="Cafco 300",J564&gt;=95,J564&lt;=240,C564="Cj",I564=90),VLOOKUP(T564,'CAFCO 300 IDIEM TABLAS'!$B$4:$D$23,2,FALSE),0)+IF(AND(L564="Cafco 300",J564&gt;=95,J564&lt;=240,C564="Cj",I564=120),VLOOKUP(T564,'CAFCO 300 IDIEM TABLAS'!$B$4:$D$23,3,FALSE),0)+IF(AND(L564="Cafco 300",J564&gt;=95,J564&lt;=400,G564=3,C564="IN",I564=90),VLOOKUP(T564,'CAFCO 300 IDIEM TABLAS'!$F$4:$H$35,2,FALSE),0)+IF(AND(L564="Cafco 300",J564&gt;=95,J564&lt;=400,G564=3,C564="IN",I564=120),VLOOKUP(T564,'CAFCO 300 IDIEM TABLAS'!$F$4:$H$35,3,FALSE),0)+IF(AND(L564="Cafco 300",J564&gt;=95,J564&lt;=450,G564=4,C564="IN",I564=90),VLOOKUP(T564,'CAFCO 300 IDIEM TABLAS'!$J$4:$L$40,2,FALSE),0)+IF(AND(L564="Cafco 300",J564&gt;=95,J564&lt;=450,G564=4,C564="IN",I564=120),VLOOKUP(T564,'CAFCO 300 IDIEM TABLAS'!$J$4:$L$40,3,FALSE),0)+IF(AND(M564="Ensayo Idiem",L564="Cafco 400",C564="IN",G564=4,I564=90),VLOOKUP(T564,'CAFCO 400 ENSAYO'!$B$7:$D$43,2,FALSE),0)+IF(AND(M564="Ensayo Idiem",L564="Cafco 400",C564="IN",G564=4,I564=120),VLOOKUP(T564,'CAFCO 400 ENSAYO'!$B$7:$D$43,3,FALSE),0)</f>
        <v>0</v>
      </c>
      <c r="O564" s="96">
        <f t="shared" si="60"/>
        <v>0</v>
      </c>
      <c r="P564" s="95" t="str">
        <f t="shared" si="61"/>
        <v>N/A</v>
      </c>
      <c r="Q564" s="95" t="str">
        <f t="shared" si="62"/>
        <v>N/A</v>
      </c>
      <c r="R564" s="95" t="str">
        <f t="shared" si="63"/>
        <v>NO CERT.</v>
      </c>
      <c r="S564" s="95" t="e">
        <f t="shared" si="64"/>
        <v>#N/A</v>
      </c>
      <c r="T564" s="119" t="e">
        <f>+IF(J564=LOOKUP(J564,'CAFCO 300 IDIEM TABLAS'!$J$4:$J$40),'CALCULO MORTERO'!J564,MROUND('CALCULO MORTERO'!J564,10))</f>
        <v>#N/A</v>
      </c>
      <c r="U564" s="118">
        <f t="shared" si="65"/>
        <v>0</v>
      </c>
      <c r="Y564" s="4"/>
      <c r="Z564" s="4"/>
      <c r="AA564" s="4"/>
    </row>
    <row r="565" spans="1:27" x14ac:dyDescent="0.25">
      <c r="A565" s="118">
        <f>+CUBICACION!D559</f>
        <v>0</v>
      </c>
      <c r="B565" s="819">
        <f>+CUBICACION!E559</f>
        <v>0</v>
      </c>
      <c r="C565" s="675">
        <f>+CUBICACION!F559</f>
        <v>0</v>
      </c>
      <c r="D565" s="118"/>
      <c r="E565" s="118"/>
      <c r="F565" s="820"/>
      <c r="G565" s="675">
        <f>+CUBICACION!J559</f>
        <v>0</v>
      </c>
      <c r="H565" s="118"/>
      <c r="I565" s="821">
        <f>+CUBICACION!L559</f>
        <v>0</v>
      </c>
      <c r="J565" s="64">
        <f>+CUBICACION!M559</f>
        <v>0</v>
      </c>
      <c r="K565" s="822" t="str">
        <f>+CUBICACION!N559</f>
        <v/>
      </c>
      <c r="L565" s="118">
        <f>+CUBICACION!O559</f>
        <v>0</v>
      </c>
      <c r="M565" s="823">
        <f>+CUBICACION!P559</f>
        <v>0</v>
      </c>
      <c r="N565" s="902">
        <f>ROUND(IF(AND(L565="Blaze Shield II",M565="Software Idiem",C565="IN",G565=4),((('BLAZE SHIELD II'!$D$4*('CALCULO MORTERO'!I565^2)+'BLAZE SHIELD II'!$D$5*'CALCULO MORTERO'!I565+'BLAZE SHIELD II'!$D$6)*LN(J565))+('BLAZE SHIELD II'!$D$7*('CALCULO MORTERO'!I565^2)+'BLAZE SHIELD II'!$D$8*'CALCULO MORTERO'!I565+'BLAZE SHIELD II'!$D$9)),0)+IF(AND(L565="Blaze Shield II",M565="Software Idiem",C565="Cj"),((('BLAZE SHIELD II'!$H$4*('CALCULO MORTERO'!I565^2)+'BLAZE SHIELD II'!$H$5*'CALCULO MORTERO'!I565+'BLAZE SHIELD II'!$H$6)*LN(J565))+('BLAZE SHIELD II'!$H$7*('CALCULO MORTERO'!I565^2)+'BLAZE SHIELD II'!$H$8*'CALCULO MORTERO'!I565+'BLAZE SHIELD II'!$H$9)),0)+IF(AND(L565="Blaze Shield II",M565="Software Idiem",C565="C"),((('BLAZE SHIELD II'!$L$4*('CALCULO MORTERO'!I565^2)+'BLAZE SHIELD II'!$L$5*'CALCULO MORTERO'!I565+'BLAZE SHIELD II'!$L$6)*LN(J565))+('BLAZE SHIELD II'!$L$7*('CALCULO MORTERO'!I565^2)+'BLAZE SHIELD II'!$L$8*'CALCULO MORTERO'!I565+'BLAZE SHIELD II'!$L$9)),0)+IF(AND(L565="Blaze Shield II",M565="Software Idiem",C565="L"),((('BLAZE SHIELD II'!$L$4*('CALCULO MORTERO'!I565^2)+'BLAZE SHIELD II'!$L$5*'CALCULO MORTERO'!I565+'BLAZE SHIELD II'!$L$6)*LN(J565))+('BLAZE SHIELD II'!$L$7*('CALCULO MORTERO'!I565^2)+'BLAZE SHIELD II'!$L$8*'CALCULO MORTERO'!I565+'BLAZE SHIELD II'!$L$9)),0)+IF(AND(L565="Blaze Shield II",M565="Software Idiem",C565="IN",G565=3),((('BLAZE SHIELD II'!$H$14*('CALCULO MORTERO'!I565^2)+'BLAZE SHIELD II'!$H$15*'CALCULO MORTERO'!I565+'BLAZE SHIELD II'!$H$16)*LN(J565))+('BLAZE SHIELD II'!$H$17*('CALCULO MORTERO'!I565^2)+'BLAZE SHIELD II'!$H$18*'CALCULO MORTERO'!I565+'BLAZE SHIELD II'!$H$19)),0),0)+ROUND(IF(AND(L565="Cafco 400",M565="Software Idiem",C565="IN",G565=4),((('CAFCO 400 '!$H$7*(J565^4)+'CAFCO 400 '!$H$8*(J565^3)+'CAFCO 400 '!$H$9*(J565^2)+'CAFCO 400 '!$H$10*J565+'CAFCO 400 '!$H$11)*U565^2)+(('CAFCO 400 '!$H$12*(J565^3)+'CAFCO 400 '!$H$13*(J565^2)+'CAFCO 400 '!$H$14*J565+'CAFCO 400 '!$H$15)*U565)+('CAFCO 400 '!$H$16*(J565^2)+'CAFCO 400 '!$H$17*J565+'CAFCO 400 '!$H$18)),0)+IF(AND(L565="Cafco 400",M565="Software Idiem",C565="Cj"),(((('CAFCO 400 '!$D$7*LN(J565)+'CAFCO 400 '!$D$8)*U565^2)+(('CAFCO 400 '!$D$9*LN(J565)+'CAFCO 400 '!$D$10)*U565)+('CAFCO 400 '!$D$11*LN(J565)+'CAFCO 400 '!$D$12))),0)+IF(AND(L565="Cafco 400",M565="Software Idiem",C565="C"),((('CAFCO 400 '!$L$7*(J565^3)+'CAFCO 400 '!$L$8*(J565^2)+'CAFCO 400 '!$L$9*J565+'CAFCO 400 '!$L$10)*U565^2)+(('CAFCO 400 '!$L$11*(J565^3)+'CAFCO 400 '!$L$12*(J565^2)+'CAFCO 400 '!$L$13*J565+'CAFCO 400 '!$L$14)*U565)+('CAFCO 400 '!$L$15*LN(J565)+'CAFCO 400 '!$L$16)),0)+IF(AND(L565="Cafco 400",M565="Software Idiem",C565="L"),((('CAFCO 400 '!$L$7*(J565^3)+'CAFCO 400 '!$L$8*(J565^2)+'CAFCO 400 '!$L$9*J565+'CAFCO 400 '!$L$10)*U565^2)+(('CAFCO 400 '!$L$11*(J565^3)+'CAFCO 400 '!$L$12*(J565^2)+'CAFCO 400 '!$L$13*J565+'CAFCO 400 '!$L$14)*U565)+('CAFCO 400 '!$L$15*LN(J565)+'CAFCO 400 '!$L$16)),0)+IF(AND(L565="Cafco 400",M565="Software Idiem",C565="IN",G565=3),((('CAFCO 400 '!$D$23*(J565^2)+'CAFCO 400 '!$D$24*(J565)+'CAFCO 400 '!$D$25)*U565^2)+(('CAFCO 400 '!$D$26*(J565^2)+'CAFCO 400 '!$D$27*J565+'CAFCO 400 '!$D$28)*U565)+('CAFCO 400 '!$D$29*(J565^2)+'CAFCO 400 '!$D$30*J565+'CAFCO 400 '!$D$31)),0),0)+IF(AND(L565="Cafco 300",J565&gt;=95,J565&lt;=240,C565="Cj",I565=90),VLOOKUP(T565,'CAFCO 300 IDIEM TABLAS'!$B$4:$D$23,2,FALSE),0)+IF(AND(L565="Cafco 300",J565&gt;=95,J565&lt;=240,C565="Cj",I565=120),VLOOKUP(T565,'CAFCO 300 IDIEM TABLAS'!$B$4:$D$23,3,FALSE),0)+IF(AND(L565="Cafco 300",J565&gt;=95,J565&lt;=400,G565=3,C565="IN",I565=90),VLOOKUP(T565,'CAFCO 300 IDIEM TABLAS'!$F$4:$H$35,2,FALSE),0)+IF(AND(L565="Cafco 300",J565&gt;=95,J565&lt;=400,G565=3,C565="IN",I565=120),VLOOKUP(T565,'CAFCO 300 IDIEM TABLAS'!$F$4:$H$35,3,FALSE),0)+IF(AND(L565="Cafco 300",J565&gt;=95,J565&lt;=450,G565=4,C565="IN",I565=90),VLOOKUP(T565,'CAFCO 300 IDIEM TABLAS'!$J$4:$L$40,2,FALSE),0)+IF(AND(L565="Cafco 300",J565&gt;=95,J565&lt;=450,G565=4,C565="IN",I565=120),VLOOKUP(T565,'CAFCO 300 IDIEM TABLAS'!$J$4:$L$40,3,FALSE),0)+IF(AND(M565="Ensayo Idiem",L565="Cafco 400",C565="IN",G565=4,I565=90),VLOOKUP(T565,'CAFCO 400 ENSAYO'!$B$7:$D$43,2,FALSE),0)+IF(AND(M565="Ensayo Idiem",L565="Cafco 400",C565="IN",G565=4,I565=120),VLOOKUP(T565,'CAFCO 400 ENSAYO'!$B$7:$D$43,3,FALSE),0)</f>
        <v>0</v>
      </c>
      <c r="O565" s="96">
        <f t="shared" si="60"/>
        <v>0</v>
      </c>
      <c r="P565" s="132" t="str">
        <f t="shared" si="61"/>
        <v>N/A</v>
      </c>
      <c r="Q565" s="132" t="str">
        <f t="shared" si="62"/>
        <v>N/A</v>
      </c>
      <c r="R565" s="132" t="str">
        <f t="shared" si="63"/>
        <v>NO CERT.</v>
      </c>
      <c r="S565" s="132" t="e">
        <f t="shared" si="64"/>
        <v>#N/A</v>
      </c>
      <c r="T565" s="133" t="e">
        <f>+IF(J565=LOOKUP(J565,'CAFCO 300 IDIEM TABLAS'!$J$4:$J$40),'CALCULO MORTERO'!J565,MROUND('CALCULO MORTERO'!J565,10))</f>
        <v>#N/A</v>
      </c>
      <c r="U565" s="134">
        <f t="shared" si="65"/>
        <v>0</v>
      </c>
      <c r="Y565" s="4"/>
      <c r="Z565" s="4"/>
      <c r="AA565" s="4"/>
    </row>
    <row r="566" spans="1:27" x14ac:dyDescent="0.25">
      <c r="A566" s="118">
        <f>+CUBICACION!D560</f>
        <v>0</v>
      </c>
      <c r="B566" s="819">
        <f>+CUBICACION!E560</f>
        <v>0</v>
      </c>
      <c r="C566" s="675">
        <f>+CUBICACION!F560</f>
        <v>0</v>
      </c>
      <c r="D566" s="118"/>
      <c r="E566" s="118"/>
      <c r="F566" s="820"/>
      <c r="G566" s="675">
        <f>+CUBICACION!J560</f>
        <v>0</v>
      </c>
      <c r="H566" s="118"/>
      <c r="I566" s="821">
        <f>+CUBICACION!L560</f>
        <v>0</v>
      </c>
      <c r="J566" s="64">
        <f>+CUBICACION!M560</f>
        <v>0</v>
      </c>
      <c r="K566" s="822" t="str">
        <f>+CUBICACION!N560</f>
        <v/>
      </c>
      <c r="L566" s="118">
        <f>+CUBICACION!O560</f>
        <v>0</v>
      </c>
      <c r="M566" s="823">
        <f>+CUBICACION!P560</f>
        <v>0</v>
      </c>
      <c r="N566" s="902">
        <f>ROUND(IF(AND(L566="Blaze Shield II",M566="Software Idiem",C566="IN",G566=4),((('BLAZE SHIELD II'!$D$4*('CALCULO MORTERO'!I566^2)+'BLAZE SHIELD II'!$D$5*'CALCULO MORTERO'!I566+'BLAZE SHIELD II'!$D$6)*LN(J566))+('BLAZE SHIELD II'!$D$7*('CALCULO MORTERO'!I566^2)+'BLAZE SHIELD II'!$D$8*'CALCULO MORTERO'!I566+'BLAZE SHIELD II'!$D$9)),0)+IF(AND(L566="Blaze Shield II",M566="Software Idiem",C566="Cj"),((('BLAZE SHIELD II'!$H$4*('CALCULO MORTERO'!I566^2)+'BLAZE SHIELD II'!$H$5*'CALCULO MORTERO'!I566+'BLAZE SHIELD II'!$H$6)*LN(J566))+('BLAZE SHIELD II'!$H$7*('CALCULO MORTERO'!I566^2)+'BLAZE SHIELD II'!$H$8*'CALCULO MORTERO'!I566+'BLAZE SHIELD II'!$H$9)),0)+IF(AND(L566="Blaze Shield II",M566="Software Idiem",C566="C"),((('BLAZE SHIELD II'!$L$4*('CALCULO MORTERO'!I566^2)+'BLAZE SHIELD II'!$L$5*'CALCULO MORTERO'!I566+'BLAZE SHIELD II'!$L$6)*LN(J566))+('BLAZE SHIELD II'!$L$7*('CALCULO MORTERO'!I566^2)+'BLAZE SHIELD II'!$L$8*'CALCULO MORTERO'!I566+'BLAZE SHIELD II'!$L$9)),0)+IF(AND(L566="Blaze Shield II",M566="Software Idiem",C566="L"),((('BLAZE SHIELD II'!$L$4*('CALCULO MORTERO'!I566^2)+'BLAZE SHIELD II'!$L$5*'CALCULO MORTERO'!I566+'BLAZE SHIELD II'!$L$6)*LN(J566))+('BLAZE SHIELD II'!$L$7*('CALCULO MORTERO'!I566^2)+'BLAZE SHIELD II'!$L$8*'CALCULO MORTERO'!I566+'BLAZE SHIELD II'!$L$9)),0)+IF(AND(L566="Blaze Shield II",M566="Software Idiem",C566="IN",G566=3),((('BLAZE SHIELD II'!$H$14*('CALCULO MORTERO'!I566^2)+'BLAZE SHIELD II'!$H$15*'CALCULO MORTERO'!I566+'BLAZE SHIELD II'!$H$16)*LN(J566))+('BLAZE SHIELD II'!$H$17*('CALCULO MORTERO'!I566^2)+'BLAZE SHIELD II'!$H$18*'CALCULO MORTERO'!I566+'BLAZE SHIELD II'!$H$19)),0),0)+ROUND(IF(AND(L566="Cafco 400",M566="Software Idiem",C566="IN",G566=4),((('CAFCO 400 '!$H$7*(J566^4)+'CAFCO 400 '!$H$8*(J566^3)+'CAFCO 400 '!$H$9*(J566^2)+'CAFCO 400 '!$H$10*J566+'CAFCO 400 '!$H$11)*U566^2)+(('CAFCO 400 '!$H$12*(J566^3)+'CAFCO 400 '!$H$13*(J566^2)+'CAFCO 400 '!$H$14*J566+'CAFCO 400 '!$H$15)*U566)+('CAFCO 400 '!$H$16*(J566^2)+'CAFCO 400 '!$H$17*J566+'CAFCO 400 '!$H$18)),0)+IF(AND(L566="Cafco 400",M566="Software Idiem",C566="Cj"),(((('CAFCO 400 '!$D$7*LN(J566)+'CAFCO 400 '!$D$8)*U566^2)+(('CAFCO 400 '!$D$9*LN(J566)+'CAFCO 400 '!$D$10)*U566)+('CAFCO 400 '!$D$11*LN(J566)+'CAFCO 400 '!$D$12))),0)+IF(AND(L566="Cafco 400",M566="Software Idiem",C566="C"),((('CAFCO 400 '!$L$7*(J566^3)+'CAFCO 400 '!$L$8*(J566^2)+'CAFCO 400 '!$L$9*J566+'CAFCO 400 '!$L$10)*U566^2)+(('CAFCO 400 '!$L$11*(J566^3)+'CAFCO 400 '!$L$12*(J566^2)+'CAFCO 400 '!$L$13*J566+'CAFCO 400 '!$L$14)*U566)+('CAFCO 400 '!$L$15*LN(J566)+'CAFCO 400 '!$L$16)),0)+IF(AND(L566="Cafco 400",M566="Software Idiem",C566="L"),((('CAFCO 400 '!$L$7*(J566^3)+'CAFCO 400 '!$L$8*(J566^2)+'CAFCO 400 '!$L$9*J566+'CAFCO 400 '!$L$10)*U566^2)+(('CAFCO 400 '!$L$11*(J566^3)+'CAFCO 400 '!$L$12*(J566^2)+'CAFCO 400 '!$L$13*J566+'CAFCO 400 '!$L$14)*U566)+('CAFCO 400 '!$L$15*LN(J566)+'CAFCO 400 '!$L$16)),0)+IF(AND(L566="Cafco 400",M566="Software Idiem",C566="IN",G566=3),((('CAFCO 400 '!$D$23*(J566^2)+'CAFCO 400 '!$D$24*(J566)+'CAFCO 400 '!$D$25)*U566^2)+(('CAFCO 400 '!$D$26*(J566^2)+'CAFCO 400 '!$D$27*J566+'CAFCO 400 '!$D$28)*U566)+('CAFCO 400 '!$D$29*(J566^2)+'CAFCO 400 '!$D$30*J566+'CAFCO 400 '!$D$31)),0),0)+IF(AND(L566="Cafco 300",J566&gt;=95,J566&lt;=240,C566="Cj",I566=90),VLOOKUP(T566,'CAFCO 300 IDIEM TABLAS'!$B$4:$D$23,2,FALSE),0)+IF(AND(L566="Cafco 300",J566&gt;=95,J566&lt;=240,C566="Cj",I566=120),VLOOKUP(T566,'CAFCO 300 IDIEM TABLAS'!$B$4:$D$23,3,FALSE),0)+IF(AND(L566="Cafco 300",J566&gt;=95,J566&lt;=400,G566=3,C566="IN",I566=90),VLOOKUP(T566,'CAFCO 300 IDIEM TABLAS'!$F$4:$H$35,2,FALSE),0)+IF(AND(L566="Cafco 300",J566&gt;=95,J566&lt;=400,G566=3,C566="IN",I566=120),VLOOKUP(T566,'CAFCO 300 IDIEM TABLAS'!$F$4:$H$35,3,FALSE),0)+IF(AND(L566="Cafco 300",J566&gt;=95,J566&lt;=450,G566=4,C566="IN",I566=90),VLOOKUP(T566,'CAFCO 300 IDIEM TABLAS'!$J$4:$L$40,2,FALSE),0)+IF(AND(L566="Cafco 300",J566&gt;=95,J566&lt;=450,G566=4,C566="IN",I566=120),VLOOKUP(T566,'CAFCO 300 IDIEM TABLAS'!$J$4:$L$40,3,FALSE),0)+IF(AND(M566="Ensayo Idiem",L566="Cafco 400",C566="IN",G566=4,I566=90),VLOOKUP(T566,'CAFCO 400 ENSAYO'!$B$7:$D$43,2,FALSE),0)+IF(AND(M566="Ensayo Idiem",L566="Cafco 400",C566="IN",G566=4,I566=120),VLOOKUP(T566,'CAFCO 400 ENSAYO'!$B$7:$D$43,3,FALSE),0)</f>
        <v>0</v>
      </c>
      <c r="O566" s="96">
        <f t="shared" si="60"/>
        <v>0</v>
      </c>
      <c r="P566" s="95" t="str">
        <f t="shared" si="61"/>
        <v>N/A</v>
      </c>
      <c r="Q566" s="95" t="str">
        <f t="shared" si="62"/>
        <v>N/A</v>
      </c>
      <c r="R566" s="95" t="str">
        <f t="shared" si="63"/>
        <v>NO CERT.</v>
      </c>
      <c r="S566" s="95" t="e">
        <f t="shared" si="64"/>
        <v>#N/A</v>
      </c>
      <c r="T566" s="119" t="e">
        <f>+IF(J566=LOOKUP(J566,'CAFCO 300 IDIEM TABLAS'!$J$4:$J$40),'CALCULO MORTERO'!J566,MROUND('CALCULO MORTERO'!J566,10))</f>
        <v>#N/A</v>
      </c>
      <c r="U566" s="118">
        <f t="shared" si="65"/>
        <v>0</v>
      </c>
      <c r="Y566" s="4"/>
      <c r="Z566" s="4"/>
      <c r="AA566" s="4"/>
    </row>
    <row r="567" spans="1:27" x14ac:dyDescent="0.25">
      <c r="A567" s="118">
        <f>+CUBICACION!D561</f>
        <v>0</v>
      </c>
      <c r="B567" s="819">
        <f>+CUBICACION!E561</f>
        <v>0</v>
      </c>
      <c r="C567" s="675">
        <f>+CUBICACION!F561</f>
        <v>0</v>
      </c>
      <c r="D567" s="118"/>
      <c r="E567" s="118"/>
      <c r="F567" s="820"/>
      <c r="G567" s="675">
        <f>+CUBICACION!J561</f>
        <v>0</v>
      </c>
      <c r="H567" s="118"/>
      <c r="I567" s="821">
        <f>+CUBICACION!L561</f>
        <v>0</v>
      </c>
      <c r="J567" s="64">
        <f>+CUBICACION!M561</f>
        <v>0</v>
      </c>
      <c r="K567" s="822" t="str">
        <f>+CUBICACION!N561</f>
        <v/>
      </c>
      <c r="L567" s="118">
        <f>+CUBICACION!O561</f>
        <v>0</v>
      </c>
      <c r="M567" s="823">
        <f>+CUBICACION!P561</f>
        <v>0</v>
      </c>
      <c r="N567" s="902">
        <f>ROUND(IF(AND(L567="Blaze Shield II",M567="Software Idiem",C567="IN",G567=4),((('BLAZE SHIELD II'!$D$4*('CALCULO MORTERO'!I567^2)+'BLAZE SHIELD II'!$D$5*'CALCULO MORTERO'!I567+'BLAZE SHIELD II'!$D$6)*LN(J567))+('BLAZE SHIELD II'!$D$7*('CALCULO MORTERO'!I567^2)+'BLAZE SHIELD II'!$D$8*'CALCULO MORTERO'!I567+'BLAZE SHIELD II'!$D$9)),0)+IF(AND(L567="Blaze Shield II",M567="Software Idiem",C567="Cj"),((('BLAZE SHIELD II'!$H$4*('CALCULO MORTERO'!I567^2)+'BLAZE SHIELD II'!$H$5*'CALCULO MORTERO'!I567+'BLAZE SHIELD II'!$H$6)*LN(J567))+('BLAZE SHIELD II'!$H$7*('CALCULO MORTERO'!I567^2)+'BLAZE SHIELD II'!$H$8*'CALCULO MORTERO'!I567+'BLAZE SHIELD II'!$H$9)),0)+IF(AND(L567="Blaze Shield II",M567="Software Idiem",C567="C"),((('BLAZE SHIELD II'!$L$4*('CALCULO MORTERO'!I567^2)+'BLAZE SHIELD II'!$L$5*'CALCULO MORTERO'!I567+'BLAZE SHIELD II'!$L$6)*LN(J567))+('BLAZE SHIELD II'!$L$7*('CALCULO MORTERO'!I567^2)+'BLAZE SHIELD II'!$L$8*'CALCULO MORTERO'!I567+'BLAZE SHIELD II'!$L$9)),0)+IF(AND(L567="Blaze Shield II",M567="Software Idiem",C567="L"),((('BLAZE SHIELD II'!$L$4*('CALCULO MORTERO'!I567^2)+'BLAZE SHIELD II'!$L$5*'CALCULO MORTERO'!I567+'BLAZE SHIELD II'!$L$6)*LN(J567))+('BLAZE SHIELD II'!$L$7*('CALCULO MORTERO'!I567^2)+'BLAZE SHIELD II'!$L$8*'CALCULO MORTERO'!I567+'BLAZE SHIELD II'!$L$9)),0)+IF(AND(L567="Blaze Shield II",M567="Software Idiem",C567="IN",G567=3),((('BLAZE SHIELD II'!$H$14*('CALCULO MORTERO'!I567^2)+'BLAZE SHIELD II'!$H$15*'CALCULO MORTERO'!I567+'BLAZE SHIELD II'!$H$16)*LN(J567))+('BLAZE SHIELD II'!$H$17*('CALCULO MORTERO'!I567^2)+'BLAZE SHIELD II'!$H$18*'CALCULO MORTERO'!I567+'BLAZE SHIELD II'!$H$19)),0),0)+ROUND(IF(AND(L567="Cafco 400",M567="Software Idiem",C567="IN",G567=4),((('CAFCO 400 '!$H$7*(J567^4)+'CAFCO 400 '!$H$8*(J567^3)+'CAFCO 400 '!$H$9*(J567^2)+'CAFCO 400 '!$H$10*J567+'CAFCO 400 '!$H$11)*U567^2)+(('CAFCO 400 '!$H$12*(J567^3)+'CAFCO 400 '!$H$13*(J567^2)+'CAFCO 400 '!$H$14*J567+'CAFCO 400 '!$H$15)*U567)+('CAFCO 400 '!$H$16*(J567^2)+'CAFCO 400 '!$H$17*J567+'CAFCO 400 '!$H$18)),0)+IF(AND(L567="Cafco 400",M567="Software Idiem",C567="Cj"),(((('CAFCO 400 '!$D$7*LN(J567)+'CAFCO 400 '!$D$8)*U567^2)+(('CAFCO 400 '!$D$9*LN(J567)+'CAFCO 400 '!$D$10)*U567)+('CAFCO 400 '!$D$11*LN(J567)+'CAFCO 400 '!$D$12))),0)+IF(AND(L567="Cafco 400",M567="Software Idiem",C567="C"),((('CAFCO 400 '!$L$7*(J567^3)+'CAFCO 400 '!$L$8*(J567^2)+'CAFCO 400 '!$L$9*J567+'CAFCO 400 '!$L$10)*U567^2)+(('CAFCO 400 '!$L$11*(J567^3)+'CAFCO 400 '!$L$12*(J567^2)+'CAFCO 400 '!$L$13*J567+'CAFCO 400 '!$L$14)*U567)+('CAFCO 400 '!$L$15*LN(J567)+'CAFCO 400 '!$L$16)),0)+IF(AND(L567="Cafco 400",M567="Software Idiem",C567="L"),((('CAFCO 400 '!$L$7*(J567^3)+'CAFCO 400 '!$L$8*(J567^2)+'CAFCO 400 '!$L$9*J567+'CAFCO 400 '!$L$10)*U567^2)+(('CAFCO 400 '!$L$11*(J567^3)+'CAFCO 400 '!$L$12*(J567^2)+'CAFCO 400 '!$L$13*J567+'CAFCO 400 '!$L$14)*U567)+('CAFCO 400 '!$L$15*LN(J567)+'CAFCO 400 '!$L$16)),0)+IF(AND(L567="Cafco 400",M567="Software Idiem",C567="IN",G567=3),((('CAFCO 400 '!$D$23*(J567^2)+'CAFCO 400 '!$D$24*(J567)+'CAFCO 400 '!$D$25)*U567^2)+(('CAFCO 400 '!$D$26*(J567^2)+'CAFCO 400 '!$D$27*J567+'CAFCO 400 '!$D$28)*U567)+('CAFCO 400 '!$D$29*(J567^2)+'CAFCO 400 '!$D$30*J567+'CAFCO 400 '!$D$31)),0),0)+IF(AND(L567="Cafco 300",J567&gt;=95,J567&lt;=240,C567="Cj",I567=90),VLOOKUP(T567,'CAFCO 300 IDIEM TABLAS'!$B$4:$D$23,2,FALSE),0)+IF(AND(L567="Cafco 300",J567&gt;=95,J567&lt;=240,C567="Cj",I567=120),VLOOKUP(T567,'CAFCO 300 IDIEM TABLAS'!$B$4:$D$23,3,FALSE),0)+IF(AND(L567="Cafco 300",J567&gt;=95,J567&lt;=400,G567=3,C567="IN",I567=90),VLOOKUP(T567,'CAFCO 300 IDIEM TABLAS'!$F$4:$H$35,2,FALSE),0)+IF(AND(L567="Cafco 300",J567&gt;=95,J567&lt;=400,G567=3,C567="IN",I567=120),VLOOKUP(T567,'CAFCO 300 IDIEM TABLAS'!$F$4:$H$35,3,FALSE),0)+IF(AND(L567="Cafco 300",J567&gt;=95,J567&lt;=450,G567=4,C567="IN",I567=90),VLOOKUP(T567,'CAFCO 300 IDIEM TABLAS'!$J$4:$L$40,2,FALSE),0)+IF(AND(L567="Cafco 300",J567&gt;=95,J567&lt;=450,G567=4,C567="IN",I567=120),VLOOKUP(T567,'CAFCO 300 IDIEM TABLAS'!$J$4:$L$40,3,FALSE),0)+IF(AND(M567="Ensayo Idiem",L567="Cafco 400",C567="IN",G567=4,I567=90),VLOOKUP(T567,'CAFCO 400 ENSAYO'!$B$7:$D$43,2,FALSE),0)+IF(AND(M567="Ensayo Idiem",L567="Cafco 400",C567="IN",G567=4,I567=120),VLOOKUP(T567,'CAFCO 400 ENSAYO'!$B$7:$D$43,3,FALSE),0)</f>
        <v>0</v>
      </c>
      <c r="O567" s="96">
        <f t="shared" si="60"/>
        <v>0</v>
      </c>
      <c r="P567" s="132" t="str">
        <f t="shared" si="61"/>
        <v>N/A</v>
      </c>
      <c r="Q567" s="132" t="str">
        <f t="shared" si="62"/>
        <v>N/A</v>
      </c>
      <c r="R567" s="132" t="str">
        <f t="shared" si="63"/>
        <v>NO CERT.</v>
      </c>
      <c r="S567" s="132" t="e">
        <f t="shared" si="64"/>
        <v>#N/A</v>
      </c>
      <c r="T567" s="133" t="e">
        <f>+IF(J567=LOOKUP(J567,'CAFCO 300 IDIEM TABLAS'!$J$4:$J$40),'CALCULO MORTERO'!J567,MROUND('CALCULO MORTERO'!J567,10))</f>
        <v>#N/A</v>
      </c>
      <c r="U567" s="134">
        <f t="shared" si="65"/>
        <v>0</v>
      </c>
      <c r="Y567" s="4"/>
      <c r="Z567" s="4"/>
      <c r="AA567" s="4"/>
    </row>
    <row r="568" spans="1:27" x14ac:dyDescent="0.25">
      <c r="A568" s="118">
        <f>+CUBICACION!D562</f>
        <v>0</v>
      </c>
      <c r="B568" s="819">
        <f>+CUBICACION!E562</f>
        <v>0</v>
      </c>
      <c r="C568" s="675">
        <f>+CUBICACION!F562</f>
        <v>0</v>
      </c>
      <c r="D568" s="118"/>
      <c r="E568" s="118"/>
      <c r="F568" s="820"/>
      <c r="G568" s="675">
        <f>+CUBICACION!J562</f>
        <v>0</v>
      </c>
      <c r="H568" s="118"/>
      <c r="I568" s="821">
        <f>+CUBICACION!L562</f>
        <v>0</v>
      </c>
      <c r="J568" s="64">
        <f>+CUBICACION!M562</f>
        <v>0</v>
      </c>
      <c r="K568" s="822" t="str">
        <f>+CUBICACION!N562</f>
        <v/>
      </c>
      <c r="L568" s="118">
        <f>+CUBICACION!O562</f>
        <v>0</v>
      </c>
      <c r="M568" s="823">
        <f>+CUBICACION!P562</f>
        <v>0</v>
      </c>
      <c r="N568" s="902">
        <f>ROUND(IF(AND(L568="Blaze Shield II",M568="Software Idiem",C568="IN",G568=4),((('BLAZE SHIELD II'!$D$4*('CALCULO MORTERO'!I568^2)+'BLAZE SHIELD II'!$D$5*'CALCULO MORTERO'!I568+'BLAZE SHIELD II'!$D$6)*LN(J568))+('BLAZE SHIELD II'!$D$7*('CALCULO MORTERO'!I568^2)+'BLAZE SHIELD II'!$D$8*'CALCULO MORTERO'!I568+'BLAZE SHIELD II'!$D$9)),0)+IF(AND(L568="Blaze Shield II",M568="Software Idiem",C568="Cj"),((('BLAZE SHIELD II'!$H$4*('CALCULO MORTERO'!I568^2)+'BLAZE SHIELD II'!$H$5*'CALCULO MORTERO'!I568+'BLAZE SHIELD II'!$H$6)*LN(J568))+('BLAZE SHIELD II'!$H$7*('CALCULO MORTERO'!I568^2)+'BLAZE SHIELD II'!$H$8*'CALCULO MORTERO'!I568+'BLAZE SHIELD II'!$H$9)),0)+IF(AND(L568="Blaze Shield II",M568="Software Idiem",C568="C"),((('BLAZE SHIELD II'!$L$4*('CALCULO MORTERO'!I568^2)+'BLAZE SHIELD II'!$L$5*'CALCULO MORTERO'!I568+'BLAZE SHIELD II'!$L$6)*LN(J568))+('BLAZE SHIELD II'!$L$7*('CALCULO MORTERO'!I568^2)+'BLAZE SHIELD II'!$L$8*'CALCULO MORTERO'!I568+'BLAZE SHIELD II'!$L$9)),0)+IF(AND(L568="Blaze Shield II",M568="Software Idiem",C568="L"),((('BLAZE SHIELD II'!$L$4*('CALCULO MORTERO'!I568^2)+'BLAZE SHIELD II'!$L$5*'CALCULO MORTERO'!I568+'BLAZE SHIELD II'!$L$6)*LN(J568))+('BLAZE SHIELD II'!$L$7*('CALCULO MORTERO'!I568^2)+'BLAZE SHIELD II'!$L$8*'CALCULO MORTERO'!I568+'BLAZE SHIELD II'!$L$9)),0)+IF(AND(L568="Blaze Shield II",M568="Software Idiem",C568="IN",G568=3),((('BLAZE SHIELD II'!$H$14*('CALCULO MORTERO'!I568^2)+'BLAZE SHIELD II'!$H$15*'CALCULO MORTERO'!I568+'BLAZE SHIELD II'!$H$16)*LN(J568))+('BLAZE SHIELD II'!$H$17*('CALCULO MORTERO'!I568^2)+'BLAZE SHIELD II'!$H$18*'CALCULO MORTERO'!I568+'BLAZE SHIELD II'!$H$19)),0),0)+ROUND(IF(AND(L568="Cafco 400",M568="Software Idiem",C568="IN",G568=4),((('CAFCO 400 '!$H$7*(J568^4)+'CAFCO 400 '!$H$8*(J568^3)+'CAFCO 400 '!$H$9*(J568^2)+'CAFCO 400 '!$H$10*J568+'CAFCO 400 '!$H$11)*U568^2)+(('CAFCO 400 '!$H$12*(J568^3)+'CAFCO 400 '!$H$13*(J568^2)+'CAFCO 400 '!$H$14*J568+'CAFCO 400 '!$H$15)*U568)+('CAFCO 400 '!$H$16*(J568^2)+'CAFCO 400 '!$H$17*J568+'CAFCO 400 '!$H$18)),0)+IF(AND(L568="Cafco 400",M568="Software Idiem",C568="Cj"),(((('CAFCO 400 '!$D$7*LN(J568)+'CAFCO 400 '!$D$8)*U568^2)+(('CAFCO 400 '!$D$9*LN(J568)+'CAFCO 400 '!$D$10)*U568)+('CAFCO 400 '!$D$11*LN(J568)+'CAFCO 400 '!$D$12))),0)+IF(AND(L568="Cafco 400",M568="Software Idiem",C568="C"),((('CAFCO 400 '!$L$7*(J568^3)+'CAFCO 400 '!$L$8*(J568^2)+'CAFCO 400 '!$L$9*J568+'CAFCO 400 '!$L$10)*U568^2)+(('CAFCO 400 '!$L$11*(J568^3)+'CAFCO 400 '!$L$12*(J568^2)+'CAFCO 400 '!$L$13*J568+'CAFCO 400 '!$L$14)*U568)+('CAFCO 400 '!$L$15*LN(J568)+'CAFCO 400 '!$L$16)),0)+IF(AND(L568="Cafco 400",M568="Software Idiem",C568="L"),((('CAFCO 400 '!$L$7*(J568^3)+'CAFCO 400 '!$L$8*(J568^2)+'CAFCO 400 '!$L$9*J568+'CAFCO 400 '!$L$10)*U568^2)+(('CAFCO 400 '!$L$11*(J568^3)+'CAFCO 400 '!$L$12*(J568^2)+'CAFCO 400 '!$L$13*J568+'CAFCO 400 '!$L$14)*U568)+('CAFCO 400 '!$L$15*LN(J568)+'CAFCO 400 '!$L$16)),0)+IF(AND(L568="Cafco 400",M568="Software Idiem",C568="IN",G568=3),((('CAFCO 400 '!$D$23*(J568^2)+'CAFCO 400 '!$D$24*(J568)+'CAFCO 400 '!$D$25)*U568^2)+(('CAFCO 400 '!$D$26*(J568^2)+'CAFCO 400 '!$D$27*J568+'CAFCO 400 '!$D$28)*U568)+('CAFCO 400 '!$D$29*(J568^2)+'CAFCO 400 '!$D$30*J568+'CAFCO 400 '!$D$31)),0),0)+IF(AND(L568="Cafco 300",J568&gt;=95,J568&lt;=240,C568="Cj",I568=90),VLOOKUP(T568,'CAFCO 300 IDIEM TABLAS'!$B$4:$D$23,2,FALSE),0)+IF(AND(L568="Cafco 300",J568&gt;=95,J568&lt;=240,C568="Cj",I568=120),VLOOKUP(T568,'CAFCO 300 IDIEM TABLAS'!$B$4:$D$23,3,FALSE),0)+IF(AND(L568="Cafco 300",J568&gt;=95,J568&lt;=400,G568=3,C568="IN",I568=90),VLOOKUP(T568,'CAFCO 300 IDIEM TABLAS'!$F$4:$H$35,2,FALSE),0)+IF(AND(L568="Cafco 300",J568&gt;=95,J568&lt;=400,G568=3,C568="IN",I568=120),VLOOKUP(T568,'CAFCO 300 IDIEM TABLAS'!$F$4:$H$35,3,FALSE),0)+IF(AND(L568="Cafco 300",J568&gt;=95,J568&lt;=450,G568=4,C568="IN",I568=90),VLOOKUP(T568,'CAFCO 300 IDIEM TABLAS'!$J$4:$L$40,2,FALSE),0)+IF(AND(L568="Cafco 300",J568&gt;=95,J568&lt;=450,G568=4,C568="IN",I568=120),VLOOKUP(T568,'CAFCO 300 IDIEM TABLAS'!$J$4:$L$40,3,FALSE),0)+IF(AND(M568="Ensayo Idiem",L568="Cafco 400",C568="IN",G568=4,I568=90),VLOOKUP(T568,'CAFCO 400 ENSAYO'!$B$7:$D$43,2,FALSE),0)+IF(AND(M568="Ensayo Idiem",L568="Cafco 400",C568="IN",G568=4,I568=120),VLOOKUP(T568,'CAFCO 400 ENSAYO'!$B$7:$D$43,3,FALSE),0)</f>
        <v>0</v>
      </c>
      <c r="O568" s="96">
        <f t="shared" si="60"/>
        <v>0</v>
      </c>
      <c r="P568" s="95" t="str">
        <f t="shared" si="61"/>
        <v>N/A</v>
      </c>
      <c r="Q568" s="95" t="str">
        <f t="shared" si="62"/>
        <v>N/A</v>
      </c>
      <c r="R568" s="95" t="str">
        <f t="shared" si="63"/>
        <v>NO CERT.</v>
      </c>
      <c r="S568" s="95" t="e">
        <f t="shared" si="64"/>
        <v>#N/A</v>
      </c>
      <c r="T568" s="119" t="e">
        <f>+IF(J568=LOOKUP(J568,'CAFCO 300 IDIEM TABLAS'!$J$4:$J$40),'CALCULO MORTERO'!J568,MROUND('CALCULO MORTERO'!J568,10))</f>
        <v>#N/A</v>
      </c>
      <c r="U568" s="118">
        <f t="shared" si="65"/>
        <v>0</v>
      </c>
      <c r="Y568" s="4"/>
      <c r="Z568" s="4"/>
      <c r="AA568" s="4"/>
    </row>
    <row r="569" spans="1:27" x14ac:dyDescent="0.25">
      <c r="A569" s="118">
        <f>+CUBICACION!D563</f>
        <v>0</v>
      </c>
      <c r="B569" s="819">
        <f>+CUBICACION!E563</f>
        <v>0</v>
      </c>
      <c r="C569" s="675">
        <f>+CUBICACION!F563</f>
        <v>0</v>
      </c>
      <c r="D569" s="118"/>
      <c r="E569" s="118"/>
      <c r="F569" s="820"/>
      <c r="G569" s="675">
        <f>+CUBICACION!J563</f>
        <v>0</v>
      </c>
      <c r="H569" s="118"/>
      <c r="I569" s="821">
        <f>+CUBICACION!L563</f>
        <v>0</v>
      </c>
      <c r="J569" s="64">
        <f>+CUBICACION!M563</f>
        <v>0</v>
      </c>
      <c r="K569" s="822" t="str">
        <f>+CUBICACION!N563</f>
        <v/>
      </c>
      <c r="L569" s="118">
        <f>+CUBICACION!O563</f>
        <v>0</v>
      </c>
      <c r="M569" s="823">
        <f>+CUBICACION!P563</f>
        <v>0</v>
      </c>
      <c r="N569" s="902">
        <f>ROUND(IF(AND(L569="Blaze Shield II",M569="Software Idiem",C569="IN",G569=4),((('BLAZE SHIELD II'!$D$4*('CALCULO MORTERO'!I569^2)+'BLAZE SHIELD II'!$D$5*'CALCULO MORTERO'!I569+'BLAZE SHIELD II'!$D$6)*LN(J569))+('BLAZE SHIELD II'!$D$7*('CALCULO MORTERO'!I569^2)+'BLAZE SHIELD II'!$D$8*'CALCULO MORTERO'!I569+'BLAZE SHIELD II'!$D$9)),0)+IF(AND(L569="Blaze Shield II",M569="Software Idiem",C569="Cj"),((('BLAZE SHIELD II'!$H$4*('CALCULO MORTERO'!I569^2)+'BLAZE SHIELD II'!$H$5*'CALCULO MORTERO'!I569+'BLAZE SHIELD II'!$H$6)*LN(J569))+('BLAZE SHIELD II'!$H$7*('CALCULO MORTERO'!I569^2)+'BLAZE SHIELD II'!$H$8*'CALCULO MORTERO'!I569+'BLAZE SHIELD II'!$H$9)),0)+IF(AND(L569="Blaze Shield II",M569="Software Idiem",C569="C"),((('BLAZE SHIELD II'!$L$4*('CALCULO MORTERO'!I569^2)+'BLAZE SHIELD II'!$L$5*'CALCULO MORTERO'!I569+'BLAZE SHIELD II'!$L$6)*LN(J569))+('BLAZE SHIELD II'!$L$7*('CALCULO MORTERO'!I569^2)+'BLAZE SHIELD II'!$L$8*'CALCULO MORTERO'!I569+'BLAZE SHIELD II'!$L$9)),0)+IF(AND(L569="Blaze Shield II",M569="Software Idiem",C569="L"),((('BLAZE SHIELD II'!$L$4*('CALCULO MORTERO'!I569^2)+'BLAZE SHIELD II'!$L$5*'CALCULO MORTERO'!I569+'BLAZE SHIELD II'!$L$6)*LN(J569))+('BLAZE SHIELD II'!$L$7*('CALCULO MORTERO'!I569^2)+'BLAZE SHIELD II'!$L$8*'CALCULO MORTERO'!I569+'BLAZE SHIELD II'!$L$9)),0)+IF(AND(L569="Blaze Shield II",M569="Software Idiem",C569="IN",G569=3),((('BLAZE SHIELD II'!$H$14*('CALCULO MORTERO'!I569^2)+'BLAZE SHIELD II'!$H$15*'CALCULO MORTERO'!I569+'BLAZE SHIELD II'!$H$16)*LN(J569))+('BLAZE SHIELD II'!$H$17*('CALCULO MORTERO'!I569^2)+'BLAZE SHIELD II'!$H$18*'CALCULO MORTERO'!I569+'BLAZE SHIELD II'!$H$19)),0),0)+ROUND(IF(AND(L569="Cafco 400",M569="Software Idiem",C569="IN",G569=4),((('CAFCO 400 '!$H$7*(J569^4)+'CAFCO 400 '!$H$8*(J569^3)+'CAFCO 400 '!$H$9*(J569^2)+'CAFCO 400 '!$H$10*J569+'CAFCO 400 '!$H$11)*U569^2)+(('CAFCO 400 '!$H$12*(J569^3)+'CAFCO 400 '!$H$13*(J569^2)+'CAFCO 400 '!$H$14*J569+'CAFCO 400 '!$H$15)*U569)+('CAFCO 400 '!$H$16*(J569^2)+'CAFCO 400 '!$H$17*J569+'CAFCO 400 '!$H$18)),0)+IF(AND(L569="Cafco 400",M569="Software Idiem",C569="Cj"),(((('CAFCO 400 '!$D$7*LN(J569)+'CAFCO 400 '!$D$8)*U569^2)+(('CAFCO 400 '!$D$9*LN(J569)+'CAFCO 400 '!$D$10)*U569)+('CAFCO 400 '!$D$11*LN(J569)+'CAFCO 400 '!$D$12))),0)+IF(AND(L569="Cafco 400",M569="Software Idiem",C569="C"),((('CAFCO 400 '!$L$7*(J569^3)+'CAFCO 400 '!$L$8*(J569^2)+'CAFCO 400 '!$L$9*J569+'CAFCO 400 '!$L$10)*U569^2)+(('CAFCO 400 '!$L$11*(J569^3)+'CAFCO 400 '!$L$12*(J569^2)+'CAFCO 400 '!$L$13*J569+'CAFCO 400 '!$L$14)*U569)+('CAFCO 400 '!$L$15*LN(J569)+'CAFCO 400 '!$L$16)),0)+IF(AND(L569="Cafco 400",M569="Software Idiem",C569="L"),((('CAFCO 400 '!$L$7*(J569^3)+'CAFCO 400 '!$L$8*(J569^2)+'CAFCO 400 '!$L$9*J569+'CAFCO 400 '!$L$10)*U569^2)+(('CAFCO 400 '!$L$11*(J569^3)+'CAFCO 400 '!$L$12*(J569^2)+'CAFCO 400 '!$L$13*J569+'CAFCO 400 '!$L$14)*U569)+('CAFCO 400 '!$L$15*LN(J569)+'CAFCO 400 '!$L$16)),0)+IF(AND(L569="Cafco 400",M569="Software Idiem",C569="IN",G569=3),((('CAFCO 400 '!$D$23*(J569^2)+'CAFCO 400 '!$D$24*(J569)+'CAFCO 400 '!$D$25)*U569^2)+(('CAFCO 400 '!$D$26*(J569^2)+'CAFCO 400 '!$D$27*J569+'CAFCO 400 '!$D$28)*U569)+('CAFCO 400 '!$D$29*(J569^2)+'CAFCO 400 '!$D$30*J569+'CAFCO 400 '!$D$31)),0),0)+IF(AND(L569="Cafco 300",J569&gt;=95,J569&lt;=240,C569="Cj",I569=90),VLOOKUP(T569,'CAFCO 300 IDIEM TABLAS'!$B$4:$D$23,2,FALSE),0)+IF(AND(L569="Cafco 300",J569&gt;=95,J569&lt;=240,C569="Cj",I569=120),VLOOKUP(T569,'CAFCO 300 IDIEM TABLAS'!$B$4:$D$23,3,FALSE),0)+IF(AND(L569="Cafco 300",J569&gt;=95,J569&lt;=400,G569=3,C569="IN",I569=90),VLOOKUP(T569,'CAFCO 300 IDIEM TABLAS'!$F$4:$H$35,2,FALSE),0)+IF(AND(L569="Cafco 300",J569&gt;=95,J569&lt;=400,G569=3,C569="IN",I569=120),VLOOKUP(T569,'CAFCO 300 IDIEM TABLAS'!$F$4:$H$35,3,FALSE),0)+IF(AND(L569="Cafco 300",J569&gt;=95,J569&lt;=450,G569=4,C569="IN",I569=90),VLOOKUP(T569,'CAFCO 300 IDIEM TABLAS'!$J$4:$L$40,2,FALSE),0)+IF(AND(L569="Cafco 300",J569&gt;=95,J569&lt;=450,G569=4,C569="IN",I569=120),VLOOKUP(T569,'CAFCO 300 IDIEM TABLAS'!$J$4:$L$40,3,FALSE),0)+IF(AND(M569="Ensayo Idiem",L569="Cafco 400",C569="IN",G569=4,I569=90),VLOOKUP(T569,'CAFCO 400 ENSAYO'!$B$7:$D$43,2,FALSE),0)+IF(AND(M569="Ensayo Idiem",L569="Cafco 400",C569="IN",G569=4,I569=120),VLOOKUP(T569,'CAFCO 400 ENSAYO'!$B$7:$D$43,3,FALSE),0)</f>
        <v>0</v>
      </c>
      <c r="O569" s="96">
        <f t="shared" si="60"/>
        <v>0</v>
      </c>
      <c r="P569" s="132" t="str">
        <f t="shared" si="61"/>
        <v>N/A</v>
      </c>
      <c r="Q569" s="132" t="str">
        <f t="shared" si="62"/>
        <v>N/A</v>
      </c>
      <c r="R569" s="132" t="str">
        <f t="shared" si="63"/>
        <v>NO CERT.</v>
      </c>
      <c r="S569" s="132" t="e">
        <f t="shared" si="64"/>
        <v>#N/A</v>
      </c>
      <c r="T569" s="133" t="e">
        <f>+IF(J569=LOOKUP(J569,'CAFCO 300 IDIEM TABLAS'!$J$4:$J$40),'CALCULO MORTERO'!J569,MROUND('CALCULO MORTERO'!J569,10))</f>
        <v>#N/A</v>
      </c>
      <c r="U569" s="134">
        <f t="shared" si="65"/>
        <v>0</v>
      </c>
      <c r="Y569" s="4"/>
      <c r="Z569" s="4"/>
      <c r="AA569" s="4"/>
    </row>
    <row r="570" spans="1:27" x14ac:dyDescent="0.25">
      <c r="A570" s="118">
        <f>+CUBICACION!D564</f>
        <v>0</v>
      </c>
      <c r="B570" s="819">
        <f>+CUBICACION!E564</f>
        <v>0</v>
      </c>
      <c r="C570" s="675">
        <f>+CUBICACION!F564</f>
        <v>0</v>
      </c>
      <c r="D570" s="118"/>
      <c r="E570" s="118"/>
      <c r="F570" s="820"/>
      <c r="G570" s="675">
        <f>+CUBICACION!J564</f>
        <v>0</v>
      </c>
      <c r="H570" s="118"/>
      <c r="I570" s="821">
        <f>+CUBICACION!L564</f>
        <v>0</v>
      </c>
      <c r="J570" s="64">
        <f>+CUBICACION!M564</f>
        <v>0</v>
      </c>
      <c r="K570" s="822" t="str">
        <f>+CUBICACION!N564</f>
        <v/>
      </c>
      <c r="L570" s="118">
        <f>+CUBICACION!O564</f>
        <v>0</v>
      </c>
      <c r="M570" s="823">
        <f>+CUBICACION!P564</f>
        <v>0</v>
      </c>
      <c r="N570" s="902">
        <f>ROUND(IF(AND(L570="Blaze Shield II",M570="Software Idiem",C570="IN",G570=4),((('BLAZE SHIELD II'!$D$4*('CALCULO MORTERO'!I570^2)+'BLAZE SHIELD II'!$D$5*'CALCULO MORTERO'!I570+'BLAZE SHIELD II'!$D$6)*LN(J570))+('BLAZE SHIELD II'!$D$7*('CALCULO MORTERO'!I570^2)+'BLAZE SHIELD II'!$D$8*'CALCULO MORTERO'!I570+'BLAZE SHIELD II'!$D$9)),0)+IF(AND(L570="Blaze Shield II",M570="Software Idiem",C570="Cj"),((('BLAZE SHIELD II'!$H$4*('CALCULO MORTERO'!I570^2)+'BLAZE SHIELD II'!$H$5*'CALCULO MORTERO'!I570+'BLAZE SHIELD II'!$H$6)*LN(J570))+('BLAZE SHIELD II'!$H$7*('CALCULO MORTERO'!I570^2)+'BLAZE SHIELD II'!$H$8*'CALCULO MORTERO'!I570+'BLAZE SHIELD II'!$H$9)),0)+IF(AND(L570="Blaze Shield II",M570="Software Idiem",C570="C"),((('BLAZE SHIELD II'!$L$4*('CALCULO MORTERO'!I570^2)+'BLAZE SHIELD II'!$L$5*'CALCULO MORTERO'!I570+'BLAZE SHIELD II'!$L$6)*LN(J570))+('BLAZE SHIELD II'!$L$7*('CALCULO MORTERO'!I570^2)+'BLAZE SHIELD II'!$L$8*'CALCULO MORTERO'!I570+'BLAZE SHIELD II'!$L$9)),0)+IF(AND(L570="Blaze Shield II",M570="Software Idiem",C570="L"),((('BLAZE SHIELD II'!$L$4*('CALCULO MORTERO'!I570^2)+'BLAZE SHIELD II'!$L$5*'CALCULO MORTERO'!I570+'BLAZE SHIELD II'!$L$6)*LN(J570))+('BLAZE SHIELD II'!$L$7*('CALCULO MORTERO'!I570^2)+'BLAZE SHIELD II'!$L$8*'CALCULO MORTERO'!I570+'BLAZE SHIELD II'!$L$9)),0)+IF(AND(L570="Blaze Shield II",M570="Software Idiem",C570="IN",G570=3),((('BLAZE SHIELD II'!$H$14*('CALCULO MORTERO'!I570^2)+'BLAZE SHIELD II'!$H$15*'CALCULO MORTERO'!I570+'BLAZE SHIELD II'!$H$16)*LN(J570))+('BLAZE SHIELD II'!$H$17*('CALCULO MORTERO'!I570^2)+'BLAZE SHIELD II'!$H$18*'CALCULO MORTERO'!I570+'BLAZE SHIELD II'!$H$19)),0),0)+ROUND(IF(AND(L570="Cafco 400",M570="Software Idiem",C570="IN",G570=4),((('CAFCO 400 '!$H$7*(J570^4)+'CAFCO 400 '!$H$8*(J570^3)+'CAFCO 400 '!$H$9*(J570^2)+'CAFCO 400 '!$H$10*J570+'CAFCO 400 '!$H$11)*U570^2)+(('CAFCO 400 '!$H$12*(J570^3)+'CAFCO 400 '!$H$13*(J570^2)+'CAFCO 400 '!$H$14*J570+'CAFCO 400 '!$H$15)*U570)+('CAFCO 400 '!$H$16*(J570^2)+'CAFCO 400 '!$H$17*J570+'CAFCO 400 '!$H$18)),0)+IF(AND(L570="Cafco 400",M570="Software Idiem",C570="Cj"),(((('CAFCO 400 '!$D$7*LN(J570)+'CAFCO 400 '!$D$8)*U570^2)+(('CAFCO 400 '!$D$9*LN(J570)+'CAFCO 400 '!$D$10)*U570)+('CAFCO 400 '!$D$11*LN(J570)+'CAFCO 400 '!$D$12))),0)+IF(AND(L570="Cafco 400",M570="Software Idiem",C570="C"),((('CAFCO 400 '!$L$7*(J570^3)+'CAFCO 400 '!$L$8*(J570^2)+'CAFCO 400 '!$L$9*J570+'CAFCO 400 '!$L$10)*U570^2)+(('CAFCO 400 '!$L$11*(J570^3)+'CAFCO 400 '!$L$12*(J570^2)+'CAFCO 400 '!$L$13*J570+'CAFCO 400 '!$L$14)*U570)+('CAFCO 400 '!$L$15*LN(J570)+'CAFCO 400 '!$L$16)),0)+IF(AND(L570="Cafco 400",M570="Software Idiem",C570="L"),((('CAFCO 400 '!$L$7*(J570^3)+'CAFCO 400 '!$L$8*(J570^2)+'CAFCO 400 '!$L$9*J570+'CAFCO 400 '!$L$10)*U570^2)+(('CAFCO 400 '!$L$11*(J570^3)+'CAFCO 400 '!$L$12*(J570^2)+'CAFCO 400 '!$L$13*J570+'CAFCO 400 '!$L$14)*U570)+('CAFCO 400 '!$L$15*LN(J570)+'CAFCO 400 '!$L$16)),0)+IF(AND(L570="Cafco 400",M570="Software Idiem",C570="IN",G570=3),((('CAFCO 400 '!$D$23*(J570^2)+'CAFCO 400 '!$D$24*(J570)+'CAFCO 400 '!$D$25)*U570^2)+(('CAFCO 400 '!$D$26*(J570^2)+'CAFCO 400 '!$D$27*J570+'CAFCO 400 '!$D$28)*U570)+('CAFCO 400 '!$D$29*(J570^2)+'CAFCO 400 '!$D$30*J570+'CAFCO 400 '!$D$31)),0),0)+IF(AND(L570="Cafco 300",J570&gt;=95,J570&lt;=240,C570="Cj",I570=90),VLOOKUP(T570,'CAFCO 300 IDIEM TABLAS'!$B$4:$D$23,2,FALSE),0)+IF(AND(L570="Cafco 300",J570&gt;=95,J570&lt;=240,C570="Cj",I570=120),VLOOKUP(T570,'CAFCO 300 IDIEM TABLAS'!$B$4:$D$23,3,FALSE),0)+IF(AND(L570="Cafco 300",J570&gt;=95,J570&lt;=400,G570=3,C570="IN",I570=90),VLOOKUP(T570,'CAFCO 300 IDIEM TABLAS'!$F$4:$H$35,2,FALSE),0)+IF(AND(L570="Cafco 300",J570&gt;=95,J570&lt;=400,G570=3,C570="IN",I570=120),VLOOKUP(T570,'CAFCO 300 IDIEM TABLAS'!$F$4:$H$35,3,FALSE),0)+IF(AND(L570="Cafco 300",J570&gt;=95,J570&lt;=450,G570=4,C570="IN",I570=90),VLOOKUP(T570,'CAFCO 300 IDIEM TABLAS'!$J$4:$L$40,2,FALSE),0)+IF(AND(L570="Cafco 300",J570&gt;=95,J570&lt;=450,G570=4,C570="IN",I570=120),VLOOKUP(T570,'CAFCO 300 IDIEM TABLAS'!$J$4:$L$40,3,FALSE),0)+IF(AND(M570="Ensayo Idiem",L570="Cafco 400",C570="IN",G570=4,I570=90),VLOOKUP(T570,'CAFCO 400 ENSAYO'!$B$7:$D$43,2,FALSE),0)+IF(AND(M570="Ensayo Idiem",L570="Cafco 400",C570="IN",G570=4,I570=120),VLOOKUP(T570,'CAFCO 400 ENSAYO'!$B$7:$D$43,3,FALSE),0)</f>
        <v>0</v>
      </c>
      <c r="O570" s="96">
        <f t="shared" si="60"/>
        <v>0</v>
      </c>
      <c r="P570" s="95" t="str">
        <f t="shared" si="61"/>
        <v>N/A</v>
      </c>
      <c r="Q570" s="95" t="str">
        <f t="shared" si="62"/>
        <v>N/A</v>
      </c>
      <c r="R570" s="95" t="str">
        <f t="shared" si="63"/>
        <v>NO CERT.</v>
      </c>
      <c r="S570" s="95" t="e">
        <f t="shared" si="64"/>
        <v>#N/A</v>
      </c>
      <c r="T570" s="119" t="e">
        <f>+IF(J570=LOOKUP(J570,'CAFCO 300 IDIEM TABLAS'!$J$4:$J$40),'CALCULO MORTERO'!J570,MROUND('CALCULO MORTERO'!J570,10))</f>
        <v>#N/A</v>
      </c>
      <c r="U570" s="118">
        <f t="shared" si="65"/>
        <v>0</v>
      </c>
      <c r="Y570" s="4"/>
      <c r="Z570" s="4"/>
      <c r="AA570" s="4"/>
    </row>
    <row r="571" spans="1:27" x14ac:dyDescent="0.25">
      <c r="A571" s="118">
        <f>+CUBICACION!D565</f>
        <v>0</v>
      </c>
      <c r="B571" s="819">
        <f>+CUBICACION!E565</f>
        <v>0</v>
      </c>
      <c r="C571" s="675">
        <f>+CUBICACION!F565</f>
        <v>0</v>
      </c>
      <c r="D571" s="118"/>
      <c r="E571" s="118"/>
      <c r="F571" s="820"/>
      <c r="G571" s="675">
        <f>+CUBICACION!J565</f>
        <v>0</v>
      </c>
      <c r="H571" s="118"/>
      <c r="I571" s="821">
        <f>+CUBICACION!L565</f>
        <v>0</v>
      </c>
      <c r="J571" s="64">
        <f>+CUBICACION!M565</f>
        <v>0</v>
      </c>
      <c r="K571" s="822" t="str">
        <f>+CUBICACION!N565</f>
        <v/>
      </c>
      <c r="L571" s="118">
        <f>+CUBICACION!O565</f>
        <v>0</v>
      </c>
      <c r="M571" s="823">
        <f>+CUBICACION!P565</f>
        <v>0</v>
      </c>
      <c r="N571" s="902">
        <f>ROUND(IF(AND(L571="Blaze Shield II",M571="Software Idiem",C571="IN",G571=4),((('BLAZE SHIELD II'!$D$4*('CALCULO MORTERO'!I571^2)+'BLAZE SHIELD II'!$D$5*'CALCULO MORTERO'!I571+'BLAZE SHIELD II'!$D$6)*LN(J571))+('BLAZE SHIELD II'!$D$7*('CALCULO MORTERO'!I571^2)+'BLAZE SHIELD II'!$D$8*'CALCULO MORTERO'!I571+'BLAZE SHIELD II'!$D$9)),0)+IF(AND(L571="Blaze Shield II",M571="Software Idiem",C571="Cj"),((('BLAZE SHIELD II'!$H$4*('CALCULO MORTERO'!I571^2)+'BLAZE SHIELD II'!$H$5*'CALCULO MORTERO'!I571+'BLAZE SHIELD II'!$H$6)*LN(J571))+('BLAZE SHIELD II'!$H$7*('CALCULO MORTERO'!I571^2)+'BLAZE SHIELD II'!$H$8*'CALCULO MORTERO'!I571+'BLAZE SHIELD II'!$H$9)),0)+IF(AND(L571="Blaze Shield II",M571="Software Idiem",C571="C"),((('BLAZE SHIELD II'!$L$4*('CALCULO MORTERO'!I571^2)+'BLAZE SHIELD II'!$L$5*'CALCULO MORTERO'!I571+'BLAZE SHIELD II'!$L$6)*LN(J571))+('BLAZE SHIELD II'!$L$7*('CALCULO MORTERO'!I571^2)+'BLAZE SHIELD II'!$L$8*'CALCULO MORTERO'!I571+'BLAZE SHIELD II'!$L$9)),0)+IF(AND(L571="Blaze Shield II",M571="Software Idiem",C571="L"),((('BLAZE SHIELD II'!$L$4*('CALCULO MORTERO'!I571^2)+'BLAZE SHIELD II'!$L$5*'CALCULO MORTERO'!I571+'BLAZE SHIELD II'!$L$6)*LN(J571))+('BLAZE SHIELD II'!$L$7*('CALCULO MORTERO'!I571^2)+'BLAZE SHIELD II'!$L$8*'CALCULO MORTERO'!I571+'BLAZE SHIELD II'!$L$9)),0)+IF(AND(L571="Blaze Shield II",M571="Software Idiem",C571="IN",G571=3),((('BLAZE SHIELD II'!$H$14*('CALCULO MORTERO'!I571^2)+'BLAZE SHIELD II'!$H$15*'CALCULO MORTERO'!I571+'BLAZE SHIELD II'!$H$16)*LN(J571))+('BLAZE SHIELD II'!$H$17*('CALCULO MORTERO'!I571^2)+'BLAZE SHIELD II'!$H$18*'CALCULO MORTERO'!I571+'BLAZE SHIELD II'!$H$19)),0),0)+ROUND(IF(AND(L571="Cafco 400",M571="Software Idiem",C571="IN",G571=4),((('CAFCO 400 '!$H$7*(J571^4)+'CAFCO 400 '!$H$8*(J571^3)+'CAFCO 400 '!$H$9*(J571^2)+'CAFCO 400 '!$H$10*J571+'CAFCO 400 '!$H$11)*U571^2)+(('CAFCO 400 '!$H$12*(J571^3)+'CAFCO 400 '!$H$13*(J571^2)+'CAFCO 400 '!$H$14*J571+'CAFCO 400 '!$H$15)*U571)+('CAFCO 400 '!$H$16*(J571^2)+'CAFCO 400 '!$H$17*J571+'CAFCO 400 '!$H$18)),0)+IF(AND(L571="Cafco 400",M571="Software Idiem",C571="Cj"),(((('CAFCO 400 '!$D$7*LN(J571)+'CAFCO 400 '!$D$8)*U571^2)+(('CAFCO 400 '!$D$9*LN(J571)+'CAFCO 400 '!$D$10)*U571)+('CAFCO 400 '!$D$11*LN(J571)+'CAFCO 400 '!$D$12))),0)+IF(AND(L571="Cafco 400",M571="Software Idiem",C571="C"),((('CAFCO 400 '!$L$7*(J571^3)+'CAFCO 400 '!$L$8*(J571^2)+'CAFCO 400 '!$L$9*J571+'CAFCO 400 '!$L$10)*U571^2)+(('CAFCO 400 '!$L$11*(J571^3)+'CAFCO 400 '!$L$12*(J571^2)+'CAFCO 400 '!$L$13*J571+'CAFCO 400 '!$L$14)*U571)+('CAFCO 400 '!$L$15*LN(J571)+'CAFCO 400 '!$L$16)),0)+IF(AND(L571="Cafco 400",M571="Software Idiem",C571="L"),((('CAFCO 400 '!$L$7*(J571^3)+'CAFCO 400 '!$L$8*(J571^2)+'CAFCO 400 '!$L$9*J571+'CAFCO 400 '!$L$10)*U571^2)+(('CAFCO 400 '!$L$11*(J571^3)+'CAFCO 400 '!$L$12*(J571^2)+'CAFCO 400 '!$L$13*J571+'CAFCO 400 '!$L$14)*U571)+('CAFCO 400 '!$L$15*LN(J571)+'CAFCO 400 '!$L$16)),0)+IF(AND(L571="Cafco 400",M571="Software Idiem",C571="IN",G571=3),((('CAFCO 400 '!$D$23*(J571^2)+'CAFCO 400 '!$D$24*(J571)+'CAFCO 400 '!$D$25)*U571^2)+(('CAFCO 400 '!$D$26*(J571^2)+'CAFCO 400 '!$D$27*J571+'CAFCO 400 '!$D$28)*U571)+('CAFCO 400 '!$D$29*(J571^2)+'CAFCO 400 '!$D$30*J571+'CAFCO 400 '!$D$31)),0),0)+IF(AND(L571="Cafco 300",J571&gt;=95,J571&lt;=240,C571="Cj",I571=90),VLOOKUP(T571,'CAFCO 300 IDIEM TABLAS'!$B$4:$D$23,2,FALSE),0)+IF(AND(L571="Cafco 300",J571&gt;=95,J571&lt;=240,C571="Cj",I571=120),VLOOKUP(T571,'CAFCO 300 IDIEM TABLAS'!$B$4:$D$23,3,FALSE),0)+IF(AND(L571="Cafco 300",J571&gt;=95,J571&lt;=400,G571=3,C571="IN",I571=90),VLOOKUP(T571,'CAFCO 300 IDIEM TABLAS'!$F$4:$H$35,2,FALSE),0)+IF(AND(L571="Cafco 300",J571&gt;=95,J571&lt;=400,G571=3,C571="IN",I571=120),VLOOKUP(T571,'CAFCO 300 IDIEM TABLAS'!$F$4:$H$35,3,FALSE),0)+IF(AND(L571="Cafco 300",J571&gt;=95,J571&lt;=450,G571=4,C571="IN",I571=90),VLOOKUP(T571,'CAFCO 300 IDIEM TABLAS'!$J$4:$L$40,2,FALSE),0)+IF(AND(L571="Cafco 300",J571&gt;=95,J571&lt;=450,G571=4,C571="IN",I571=120),VLOOKUP(T571,'CAFCO 300 IDIEM TABLAS'!$J$4:$L$40,3,FALSE),0)+IF(AND(M571="Ensayo Idiem",L571="Cafco 400",C571="IN",G571=4,I571=90),VLOOKUP(T571,'CAFCO 400 ENSAYO'!$B$7:$D$43,2,FALSE),0)+IF(AND(M571="Ensayo Idiem",L571="Cafco 400",C571="IN",G571=4,I571=120),VLOOKUP(T571,'CAFCO 400 ENSAYO'!$B$7:$D$43,3,FALSE),0)</f>
        <v>0</v>
      </c>
      <c r="O571" s="96">
        <f t="shared" si="60"/>
        <v>0</v>
      </c>
      <c r="P571" s="132" t="str">
        <f t="shared" si="61"/>
        <v>N/A</v>
      </c>
      <c r="Q571" s="132" t="str">
        <f t="shared" si="62"/>
        <v>N/A</v>
      </c>
      <c r="R571" s="132" t="str">
        <f t="shared" si="63"/>
        <v>NO CERT.</v>
      </c>
      <c r="S571" s="132" t="e">
        <f t="shared" si="64"/>
        <v>#N/A</v>
      </c>
      <c r="T571" s="133" t="e">
        <f>+IF(J571=LOOKUP(J571,'CAFCO 300 IDIEM TABLAS'!$J$4:$J$40),'CALCULO MORTERO'!J571,MROUND('CALCULO MORTERO'!J571,10))</f>
        <v>#N/A</v>
      </c>
      <c r="U571" s="134">
        <f t="shared" si="65"/>
        <v>0</v>
      </c>
      <c r="Y571" s="4"/>
      <c r="Z571" s="4"/>
      <c r="AA571" s="4"/>
    </row>
    <row r="572" spans="1:27" x14ac:dyDescent="0.25">
      <c r="A572" s="118">
        <f>+CUBICACION!D566</f>
        <v>0</v>
      </c>
      <c r="B572" s="819">
        <f>+CUBICACION!E566</f>
        <v>0</v>
      </c>
      <c r="C572" s="675">
        <f>+CUBICACION!F566</f>
        <v>0</v>
      </c>
      <c r="D572" s="118"/>
      <c r="E572" s="118"/>
      <c r="F572" s="820"/>
      <c r="G572" s="675">
        <f>+CUBICACION!J566</f>
        <v>0</v>
      </c>
      <c r="H572" s="118"/>
      <c r="I572" s="821">
        <f>+CUBICACION!L566</f>
        <v>0</v>
      </c>
      <c r="J572" s="64">
        <f>+CUBICACION!M566</f>
        <v>0</v>
      </c>
      <c r="K572" s="822" t="str">
        <f>+CUBICACION!N566</f>
        <v/>
      </c>
      <c r="L572" s="118">
        <f>+CUBICACION!O566</f>
        <v>0</v>
      </c>
      <c r="M572" s="823">
        <f>+CUBICACION!P566</f>
        <v>0</v>
      </c>
      <c r="N572" s="902">
        <f>ROUND(IF(AND(L572="Blaze Shield II",M572="Software Idiem",C572="IN",G572=4),((('BLAZE SHIELD II'!$D$4*('CALCULO MORTERO'!I572^2)+'BLAZE SHIELD II'!$D$5*'CALCULO MORTERO'!I572+'BLAZE SHIELD II'!$D$6)*LN(J572))+('BLAZE SHIELD II'!$D$7*('CALCULO MORTERO'!I572^2)+'BLAZE SHIELD II'!$D$8*'CALCULO MORTERO'!I572+'BLAZE SHIELD II'!$D$9)),0)+IF(AND(L572="Blaze Shield II",M572="Software Idiem",C572="Cj"),((('BLAZE SHIELD II'!$H$4*('CALCULO MORTERO'!I572^2)+'BLAZE SHIELD II'!$H$5*'CALCULO MORTERO'!I572+'BLAZE SHIELD II'!$H$6)*LN(J572))+('BLAZE SHIELD II'!$H$7*('CALCULO MORTERO'!I572^2)+'BLAZE SHIELD II'!$H$8*'CALCULO MORTERO'!I572+'BLAZE SHIELD II'!$H$9)),0)+IF(AND(L572="Blaze Shield II",M572="Software Idiem",C572="C"),((('BLAZE SHIELD II'!$L$4*('CALCULO MORTERO'!I572^2)+'BLAZE SHIELD II'!$L$5*'CALCULO MORTERO'!I572+'BLAZE SHIELD II'!$L$6)*LN(J572))+('BLAZE SHIELD II'!$L$7*('CALCULO MORTERO'!I572^2)+'BLAZE SHIELD II'!$L$8*'CALCULO MORTERO'!I572+'BLAZE SHIELD II'!$L$9)),0)+IF(AND(L572="Blaze Shield II",M572="Software Idiem",C572="L"),((('BLAZE SHIELD II'!$L$4*('CALCULO MORTERO'!I572^2)+'BLAZE SHIELD II'!$L$5*'CALCULO MORTERO'!I572+'BLAZE SHIELD II'!$L$6)*LN(J572))+('BLAZE SHIELD II'!$L$7*('CALCULO MORTERO'!I572^2)+'BLAZE SHIELD II'!$L$8*'CALCULO MORTERO'!I572+'BLAZE SHIELD II'!$L$9)),0)+IF(AND(L572="Blaze Shield II",M572="Software Idiem",C572="IN",G572=3),((('BLAZE SHIELD II'!$H$14*('CALCULO MORTERO'!I572^2)+'BLAZE SHIELD II'!$H$15*'CALCULO MORTERO'!I572+'BLAZE SHIELD II'!$H$16)*LN(J572))+('BLAZE SHIELD II'!$H$17*('CALCULO MORTERO'!I572^2)+'BLAZE SHIELD II'!$H$18*'CALCULO MORTERO'!I572+'BLAZE SHIELD II'!$H$19)),0),0)+ROUND(IF(AND(L572="Cafco 400",M572="Software Idiem",C572="IN",G572=4),((('CAFCO 400 '!$H$7*(J572^4)+'CAFCO 400 '!$H$8*(J572^3)+'CAFCO 400 '!$H$9*(J572^2)+'CAFCO 400 '!$H$10*J572+'CAFCO 400 '!$H$11)*U572^2)+(('CAFCO 400 '!$H$12*(J572^3)+'CAFCO 400 '!$H$13*(J572^2)+'CAFCO 400 '!$H$14*J572+'CAFCO 400 '!$H$15)*U572)+('CAFCO 400 '!$H$16*(J572^2)+'CAFCO 400 '!$H$17*J572+'CAFCO 400 '!$H$18)),0)+IF(AND(L572="Cafco 400",M572="Software Idiem",C572="Cj"),(((('CAFCO 400 '!$D$7*LN(J572)+'CAFCO 400 '!$D$8)*U572^2)+(('CAFCO 400 '!$D$9*LN(J572)+'CAFCO 400 '!$D$10)*U572)+('CAFCO 400 '!$D$11*LN(J572)+'CAFCO 400 '!$D$12))),0)+IF(AND(L572="Cafco 400",M572="Software Idiem",C572="C"),((('CAFCO 400 '!$L$7*(J572^3)+'CAFCO 400 '!$L$8*(J572^2)+'CAFCO 400 '!$L$9*J572+'CAFCO 400 '!$L$10)*U572^2)+(('CAFCO 400 '!$L$11*(J572^3)+'CAFCO 400 '!$L$12*(J572^2)+'CAFCO 400 '!$L$13*J572+'CAFCO 400 '!$L$14)*U572)+('CAFCO 400 '!$L$15*LN(J572)+'CAFCO 400 '!$L$16)),0)+IF(AND(L572="Cafco 400",M572="Software Idiem",C572="L"),((('CAFCO 400 '!$L$7*(J572^3)+'CAFCO 400 '!$L$8*(J572^2)+'CAFCO 400 '!$L$9*J572+'CAFCO 400 '!$L$10)*U572^2)+(('CAFCO 400 '!$L$11*(J572^3)+'CAFCO 400 '!$L$12*(J572^2)+'CAFCO 400 '!$L$13*J572+'CAFCO 400 '!$L$14)*U572)+('CAFCO 400 '!$L$15*LN(J572)+'CAFCO 400 '!$L$16)),0)+IF(AND(L572="Cafco 400",M572="Software Idiem",C572="IN",G572=3),((('CAFCO 400 '!$D$23*(J572^2)+'CAFCO 400 '!$D$24*(J572)+'CAFCO 400 '!$D$25)*U572^2)+(('CAFCO 400 '!$D$26*(J572^2)+'CAFCO 400 '!$D$27*J572+'CAFCO 400 '!$D$28)*U572)+('CAFCO 400 '!$D$29*(J572^2)+'CAFCO 400 '!$D$30*J572+'CAFCO 400 '!$D$31)),0),0)+IF(AND(L572="Cafco 300",J572&gt;=95,J572&lt;=240,C572="Cj",I572=90),VLOOKUP(T572,'CAFCO 300 IDIEM TABLAS'!$B$4:$D$23,2,FALSE),0)+IF(AND(L572="Cafco 300",J572&gt;=95,J572&lt;=240,C572="Cj",I572=120),VLOOKUP(T572,'CAFCO 300 IDIEM TABLAS'!$B$4:$D$23,3,FALSE),0)+IF(AND(L572="Cafco 300",J572&gt;=95,J572&lt;=400,G572=3,C572="IN",I572=90),VLOOKUP(T572,'CAFCO 300 IDIEM TABLAS'!$F$4:$H$35,2,FALSE),0)+IF(AND(L572="Cafco 300",J572&gt;=95,J572&lt;=400,G572=3,C572="IN",I572=120),VLOOKUP(T572,'CAFCO 300 IDIEM TABLAS'!$F$4:$H$35,3,FALSE),0)+IF(AND(L572="Cafco 300",J572&gt;=95,J572&lt;=450,G572=4,C572="IN",I572=90),VLOOKUP(T572,'CAFCO 300 IDIEM TABLAS'!$J$4:$L$40,2,FALSE),0)+IF(AND(L572="Cafco 300",J572&gt;=95,J572&lt;=450,G572=4,C572="IN",I572=120),VLOOKUP(T572,'CAFCO 300 IDIEM TABLAS'!$J$4:$L$40,3,FALSE),0)+IF(AND(M572="Ensayo Idiem",L572="Cafco 400",C572="IN",G572=4,I572=90),VLOOKUP(T572,'CAFCO 400 ENSAYO'!$B$7:$D$43,2,FALSE),0)+IF(AND(M572="Ensayo Idiem",L572="Cafco 400",C572="IN",G572=4,I572=120),VLOOKUP(T572,'CAFCO 400 ENSAYO'!$B$7:$D$43,3,FALSE),0)</f>
        <v>0</v>
      </c>
      <c r="O572" s="96">
        <f t="shared" si="60"/>
        <v>0</v>
      </c>
      <c r="P572" s="95" t="str">
        <f t="shared" si="61"/>
        <v>N/A</v>
      </c>
      <c r="Q572" s="95" t="str">
        <f t="shared" si="62"/>
        <v>N/A</v>
      </c>
      <c r="R572" s="95" t="str">
        <f t="shared" si="63"/>
        <v>NO CERT.</v>
      </c>
      <c r="S572" s="95" t="e">
        <f t="shared" si="64"/>
        <v>#N/A</v>
      </c>
      <c r="T572" s="119" t="e">
        <f>+IF(J572=LOOKUP(J572,'CAFCO 300 IDIEM TABLAS'!$J$4:$J$40),'CALCULO MORTERO'!J572,MROUND('CALCULO MORTERO'!J572,10))</f>
        <v>#N/A</v>
      </c>
      <c r="U572" s="118">
        <f t="shared" si="65"/>
        <v>0</v>
      </c>
      <c r="Y572" s="4"/>
      <c r="Z572" s="4"/>
      <c r="AA572" s="4"/>
    </row>
    <row r="573" spans="1:27" x14ac:dyDescent="0.25">
      <c r="A573" s="118">
        <f>+CUBICACION!D567</f>
        <v>0</v>
      </c>
      <c r="B573" s="819">
        <f>+CUBICACION!E567</f>
        <v>0</v>
      </c>
      <c r="C573" s="675">
        <f>+CUBICACION!F567</f>
        <v>0</v>
      </c>
      <c r="D573" s="118"/>
      <c r="E573" s="118"/>
      <c r="F573" s="820"/>
      <c r="G573" s="675">
        <f>+CUBICACION!J567</f>
        <v>0</v>
      </c>
      <c r="H573" s="118"/>
      <c r="I573" s="821">
        <f>+CUBICACION!L567</f>
        <v>0</v>
      </c>
      <c r="J573" s="64">
        <f>+CUBICACION!M567</f>
        <v>0</v>
      </c>
      <c r="K573" s="822" t="str">
        <f>+CUBICACION!N567</f>
        <v/>
      </c>
      <c r="L573" s="118">
        <f>+CUBICACION!O567</f>
        <v>0</v>
      </c>
      <c r="M573" s="823">
        <f>+CUBICACION!P567</f>
        <v>0</v>
      </c>
      <c r="N573" s="902">
        <f>ROUND(IF(AND(L573="Blaze Shield II",M573="Software Idiem",C573="IN",G573=4),((('BLAZE SHIELD II'!$D$4*('CALCULO MORTERO'!I573^2)+'BLAZE SHIELD II'!$D$5*'CALCULO MORTERO'!I573+'BLAZE SHIELD II'!$D$6)*LN(J573))+('BLAZE SHIELD II'!$D$7*('CALCULO MORTERO'!I573^2)+'BLAZE SHIELD II'!$D$8*'CALCULO MORTERO'!I573+'BLAZE SHIELD II'!$D$9)),0)+IF(AND(L573="Blaze Shield II",M573="Software Idiem",C573="Cj"),((('BLAZE SHIELD II'!$H$4*('CALCULO MORTERO'!I573^2)+'BLAZE SHIELD II'!$H$5*'CALCULO MORTERO'!I573+'BLAZE SHIELD II'!$H$6)*LN(J573))+('BLAZE SHIELD II'!$H$7*('CALCULO MORTERO'!I573^2)+'BLAZE SHIELD II'!$H$8*'CALCULO MORTERO'!I573+'BLAZE SHIELD II'!$H$9)),0)+IF(AND(L573="Blaze Shield II",M573="Software Idiem",C573="C"),((('BLAZE SHIELD II'!$L$4*('CALCULO MORTERO'!I573^2)+'BLAZE SHIELD II'!$L$5*'CALCULO MORTERO'!I573+'BLAZE SHIELD II'!$L$6)*LN(J573))+('BLAZE SHIELD II'!$L$7*('CALCULO MORTERO'!I573^2)+'BLAZE SHIELD II'!$L$8*'CALCULO MORTERO'!I573+'BLAZE SHIELD II'!$L$9)),0)+IF(AND(L573="Blaze Shield II",M573="Software Idiem",C573="L"),((('BLAZE SHIELD II'!$L$4*('CALCULO MORTERO'!I573^2)+'BLAZE SHIELD II'!$L$5*'CALCULO MORTERO'!I573+'BLAZE SHIELD II'!$L$6)*LN(J573))+('BLAZE SHIELD II'!$L$7*('CALCULO MORTERO'!I573^2)+'BLAZE SHIELD II'!$L$8*'CALCULO MORTERO'!I573+'BLAZE SHIELD II'!$L$9)),0)+IF(AND(L573="Blaze Shield II",M573="Software Idiem",C573="IN",G573=3),((('BLAZE SHIELD II'!$H$14*('CALCULO MORTERO'!I573^2)+'BLAZE SHIELD II'!$H$15*'CALCULO MORTERO'!I573+'BLAZE SHIELD II'!$H$16)*LN(J573))+('BLAZE SHIELD II'!$H$17*('CALCULO MORTERO'!I573^2)+'BLAZE SHIELD II'!$H$18*'CALCULO MORTERO'!I573+'BLAZE SHIELD II'!$H$19)),0),0)+ROUND(IF(AND(L573="Cafco 400",M573="Software Idiem",C573="IN",G573=4),((('CAFCO 400 '!$H$7*(J573^4)+'CAFCO 400 '!$H$8*(J573^3)+'CAFCO 400 '!$H$9*(J573^2)+'CAFCO 400 '!$H$10*J573+'CAFCO 400 '!$H$11)*U573^2)+(('CAFCO 400 '!$H$12*(J573^3)+'CAFCO 400 '!$H$13*(J573^2)+'CAFCO 400 '!$H$14*J573+'CAFCO 400 '!$H$15)*U573)+('CAFCO 400 '!$H$16*(J573^2)+'CAFCO 400 '!$H$17*J573+'CAFCO 400 '!$H$18)),0)+IF(AND(L573="Cafco 400",M573="Software Idiem",C573="Cj"),(((('CAFCO 400 '!$D$7*LN(J573)+'CAFCO 400 '!$D$8)*U573^2)+(('CAFCO 400 '!$D$9*LN(J573)+'CAFCO 400 '!$D$10)*U573)+('CAFCO 400 '!$D$11*LN(J573)+'CAFCO 400 '!$D$12))),0)+IF(AND(L573="Cafco 400",M573="Software Idiem",C573="C"),((('CAFCO 400 '!$L$7*(J573^3)+'CAFCO 400 '!$L$8*(J573^2)+'CAFCO 400 '!$L$9*J573+'CAFCO 400 '!$L$10)*U573^2)+(('CAFCO 400 '!$L$11*(J573^3)+'CAFCO 400 '!$L$12*(J573^2)+'CAFCO 400 '!$L$13*J573+'CAFCO 400 '!$L$14)*U573)+('CAFCO 400 '!$L$15*LN(J573)+'CAFCO 400 '!$L$16)),0)+IF(AND(L573="Cafco 400",M573="Software Idiem",C573="L"),((('CAFCO 400 '!$L$7*(J573^3)+'CAFCO 400 '!$L$8*(J573^2)+'CAFCO 400 '!$L$9*J573+'CAFCO 400 '!$L$10)*U573^2)+(('CAFCO 400 '!$L$11*(J573^3)+'CAFCO 400 '!$L$12*(J573^2)+'CAFCO 400 '!$L$13*J573+'CAFCO 400 '!$L$14)*U573)+('CAFCO 400 '!$L$15*LN(J573)+'CAFCO 400 '!$L$16)),0)+IF(AND(L573="Cafco 400",M573="Software Idiem",C573="IN",G573=3),((('CAFCO 400 '!$D$23*(J573^2)+'CAFCO 400 '!$D$24*(J573)+'CAFCO 400 '!$D$25)*U573^2)+(('CAFCO 400 '!$D$26*(J573^2)+'CAFCO 400 '!$D$27*J573+'CAFCO 400 '!$D$28)*U573)+('CAFCO 400 '!$D$29*(J573^2)+'CAFCO 400 '!$D$30*J573+'CAFCO 400 '!$D$31)),0),0)+IF(AND(L573="Cafco 300",J573&gt;=95,J573&lt;=240,C573="Cj",I573=90),VLOOKUP(T573,'CAFCO 300 IDIEM TABLAS'!$B$4:$D$23,2,FALSE),0)+IF(AND(L573="Cafco 300",J573&gt;=95,J573&lt;=240,C573="Cj",I573=120),VLOOKUP(T573,'CAFCO 300 IDIEM TABLAS'!$B$4:$D$23,3,FALSE),0)+IF(AND(L573="Cafco 300",J573&gt;=95,J573&lt;=400,G573=3,C573="IN",I573=90),VLOOKUP(T573,'CAFCO 300 IDIEM TABLAS'!$F$4:$H$35,2,FALSE),0)+IF(AND(L573="Cafco 300",J573&gt;=95,J573&lt;=400,G573=3,C573="IN",I573=120),VLOOKUP(T573,'CAFCO 300 IDIEM TABLAS'!$F$4:$H$35,3,FALSE),0)+IF(AND(L573="Cafco 300",J573&gt;=95,J573&lt;=450,G573=4,C573="IN",I573=90),VLOOKUP(T573,'CAFCO 300 IDIEM TABLAS'!$J$4:$L$40,2,FALSE),0)+IF(AND(L573="Cafco 300",J573&gt;=95,J573&lt;=450,G573=4,C573="IN",I573=120),VLOOKUP(T573,'CAFCO 300 IDIEM TABLAS'!$J$4:$L$40,3,FALSE),0)+IF(AND(M573="Ensayo Idiem",L573="Cafco 400",C573="IN",G573=4,I573=90),VLOOKUP(T573,'CAFCO 400 ENSAYO'!$B$7:$D$43,2,FALSE),0)+IF(AND(M573="Ensayo Idiem",L573="Cafco 400",C573="IN",G573=4,I573=120),VLOOKUP(T573,'CAFCO 400 ENSAYO'!$B$7:$D$43,3,FALSE),0)</f>
        <v>0</v>
      </c>
      <c r="O573" s="96">
        <f t="shared" si="60"/>
        <v>0</v>
      </c>
      <c r="P573" s="132" t="str">
        <f t="shared" si="61"/>
        <v>N/A</v>
      </c>
      <c r="Q573" s="132" t="str">
        <f t="shared" si="62"/>
        <v>N/A</v>
      </c>
      <c r="R573" s="132" t="str">
        <f t="shared" si="63"/>
        <v>NO CERT.</v>
      </c>
      <c r="S573" s="132" t="e">
        <f t="shared" si="64"/>
        <v>#N/A</v>
      </c>
      <c r="T573" s="133" t="e">
        <f>+IF(J573=LOOKUP(J573,'CAFCO 300 IDIEM TABLAS'!$J$4:$J$40),'CALCULO MORTERO'!J573,MROUND('CALCULO MORTERO'!J573,10))</f>
        <v>#N/A</v>
      </c>
      <c r="U573" s="134">
        <f t="shared" si="65"/>
        <v>0</v>
      </c>
      <c r="Y573" s="4"/>
      <c r="Z573" s="4"/>
      <c r="AA573" s="4"/>
    </row>
    <row r="574" spans="1:27" x14ac:dyDescent="0.25">
      <c r="A574" s="118">
        <f>+CUBICACION!D568</f>
        <v>0</v>
      </c>
      <c r="B574" s="819">
        <f>+CUBICACION!E568</f>
        <v>0</v>
      </c>
      <c r="C574" s="675">
        <f>+CUBICACION!F568</f>
        <v>0</v>
      </c>
      <c r="D574" s="118"/>
      <c r="E574" s="118"/>
      <c r="F574" s="820"/>
      <c r="G574" s="675">
        <f>+CUBICACION!J568</f>
        <v>0</v>
      </c>
      <c r="H574" s="118"/>
      <c r="I574" s="821">
        <f>+CUBICACION!L568</f>
        <v>0</v>
      </c>
      <c r="J574" s="64">
        <f>+CUBICACION!M568</f>
        <v>0</v>
      </c>
      <c r="K574" s="822" t="str">
        <f>+CUBICACION!N568</f>
        <v/>
      </c>
      <c r="L574" s="118">
        <f>+CUBICACION!O568</f>
        <v>0</v>
      </c>
      <c r="M574" s="823">
        <f>+CUBICACION!P568</f>
        <v>0</v>
      </c>
      <c r="N574" s="902">
        <f>ROUND(IF(AND(L574="Blaze Shield II",M574="Software Idiem",C574="IN",G574=4),((('BLAZE SHIELD II'!$D$4*('CALCULO MORTERO'!I574^2)+'BLAZE SHIELD II'!$D$5*'CALCULO MORTERO'!I574+'BLAZE SHIELD II'!$D$6)*LN(J574))+('BLAZE SHIELD II'!$D$7*('CALCULO MORTERO'!I574^2)+'BLAZE SHIELD II'!$D$8*'CALCULO MORTERO'!I574+'BLAZE SHIELD II'!$D$9)),0)+IF(AND(L574="Blaze Shield II",M574="Software Idiem",C574="Cj"),((('BLAZE SHIELD II'!$H$4*('CALCULO MORTERO'!I574^2)+'BLAZE SHIELD II'!$H$5*'CALCULO MORTERO'!I574+'BLAZE SHIELD II'!$H$6)*LN(J574))+('BLAZE SHIELD II'!$H$7*('CALCULO MORTERO'!I574^2)+'BLAZE SHIELD II'!$H$8*'CALCULO MORTERO'!I574+'BLAZE SHIELD II'!$H$9)),0)+IF(AND(L574="Blaze Shield II",M574="Software Idiem",C574="C"),((('BLAZE SHIELD II'!$L$4*('CALCULO MORTERO'!I574^2)+'BLAZE SHIELD II'!$L$5*'CALCULO MORTERO'!I574+'BLAZE SHIELD II'!$L$6)*LN(J574))+('BLAZE SHIELD II'!$L$7*('CALCULO MORTERO'!I574^2)+'BLAZE SHIELD II'!$L$8*'CALCULO MORTERO'!I574+'BLAZE SHIELD II'!$L$9)),0)+IF(AND(L574="Blaze Shield II",M574="Software Idiem",C574="L"),((('BLAZE SHIELD II'!$L$4*('CALCULO MORTERO'!I574^2)+'BLAZE SHIELD II'!$L$5*'CALCULO MORTERO'!I574+'BLAZE SHIELD II'!$L$6)*LN(J574))+('BLAZE SHIELD II'!$L$7*('CALCULO MORTERO'!I574^2)+'BLAZE SHIELD II'!$L$8*'CALCULO MORTERO'!I574+'BLAZE SHIELD II'!$L$9)),0)+IF(AND(L574="Blaze Shield II",M574="Software Idiem",C574="IN",G574=3),((('BLAZE SHIELD II'!$H$14*('CALCULO MORTERO'!I574^2)+'BLAZE SHIELD II'!$H$15*'CALCULO MORTERO'!I574+'BLAZE SHIELD II'!$H$16)*LN(J574))+('BLAZE SHIELD II'!$H$17*('CALCULO MORTERO'!I574^2)+'BLAZE SHIELD II'!$H$18*'CALCULO MORTERO'!I574+'BLAZE SHIELD II'!$H$19)),0),0)+ROUND(IF(AND(L574="Cafco 400",M574="Software Idiem",C574="IN",G574=4),((('CAFCO 400 '!$H$7*(J574^4)+'CAFCO 400 '!$H$8*(J574^3)+'CAFCO 400 '!$H$9*(J574^2)+'CAFCO 400 '!$H$10*J574+'CAFCO 400 '!$H$11)*U574^2)+(('CAFCO 400 '!$H$12*(J574^3)+'CAFCO 400 '!$H$13*(J574^2)+'CAFCO 400 '!$H$14*J574+'CAFCO 400 '!$H$15)*U574)+('CAFCO 400 '!$H$16*(J574^2)+'CAFCO 400 '!$H$17*J574+'CAFCO 400 '!$H$18)),0)+IF(AND(L574="Cafco 400",M574="Software Idiem",C574="Cj"),(((('CAFCO 400 '!$D$7*LN(J574)+'CAFCO 400 '!$D$8)*U574^2)+(('CAFCO 400 '!$D$9*LN(J574)+'CAFCO 400 '!$D$10)*U574)+('CAFCO 400 '!$D$11*LN(J574)+'CAFCO 400 '!$D$12))),0)+IF(AND(L574="Cafco 400",M574="Software Idiem",C574="C"),((('CAFCO 400 '!$L$7*(J574^3)+'CAFCO 400 '!$L$8*(J574^2)+'CAFCO 400 '!$L$9*J574+'CAFCO 400 '!$L$10)*U574^2)+(('CAFCO 400 '!$L$11*(J574^3)+'CAFCO 400 '!$L$12*(J574^2)+'CAFCO 400 '!$L$13*J574+'CAFCO 400 '!$L$14)*U574)+('CAFCO 400 '!$L$15*LN(J574)+'CAFCO 400 '!$L$16)),0)+IF(AND(L574="Cafco 400",M574="Software Idiem",C574="L"),((('CAFCO 400 '!$L$7*(J574^3)+'CAFCO 400 '!$L$8*(J574^2)+'CAFCO 400 '!$L$9*J574+'CAFCO 400 '!$L$10)*U574^2)+(('CAFCO 400 '!$L$11*(J574^3)+'CAFCO 400 '!$L$12*(J574^2)+'CAFCO 400 '!$L$13*J574+'CAFCO 400 '!$L$14)*U574)+('CAFCO 400 '!$L$15*LN(J574)+'CAFCO 400 '!$L$16)),0)+IF(AND(L574="Cafco 400",M574="Software Idiem",C574="IN",G574=3),((('CAFCO 400 '!$D$23*(J574^2)+'CAFCO 400 '!$D$24*(J574)+'CAFCO 400 '!$D$25)*U574^2)+(('CAFCO 400 '!$D$26*(J574^2)+'CAFCO 400 '!$D$27*J574+'CAFCO 400 '!$D$28)*U574)+('CAFCO 400 '!$D$29*(J574^2)+'CAFCO 400 '!$D$30*J574+'CAFCO 400 '!$D$31)),0),0)+IF(AND(L574="Cafco 300",J574&gt;=95,J574&lt;=240,C574="Cj",I574=90),VLOOKUP(T574,'CAFCO 300 IDIEM TABLAS'!$B$4:$D$23,2,FALSE),0)+IF(AND(L574="Cafco 300",J574&gt;=95,J574&lt;=240,C574="Cj",I574=120),VLOOKUP(T574,'CAFCO 300 IDIEM TABLAS'!$B$4:$D$23,3,FALSE),0)+IF(AND(L574="Cafco 300",J574&gt;=95,J574&lt;=400,G574=3,C574="IN",I574=90),VLOOKUP(T574,'CAFCO 300 IDIEM TABLAS'!$F$4:$H$35,2,FALSE),0)+IF(AND(L574="Cafco 300",J574&gt;=95,J574&lt;=400,G574=3,C574="IN",I574=120),VLOOKUP(T574,'CAFCO 300 IDIEM TABLAS'!$F$4:$H$35,3,FALSE),0)+IF(AND(L574="Cafco 300",J574&gt;=95,J574&lt;=450,G574=4,C574="IN",I574=90),VLOOKUP(T574,'CAFCO 300 IDIEM TABLAS'!$J$4:$L$40,2,FALSE),0)+IF(AND(L574="Cafco 300",J574&gt;=95,J574&lt;=450,G574=4,C574="IN",I574=120),VLOOKUP(T574,'CAFCO 300 IDIEM TABLAS'!$J$4:$L$40,3,FALSE),0)+IF(AND(M574="Ensayo Idiem",L574="Cafco 400",C574="IN",G574=4,I574=90),VLOOKUP(T574,'CAFCO 400 ENSAYO'!$B$7:$D$43,2,FALSE),0)+IF(AND(M574="Ensayo Idiem",L574="Cafco 400",C574="IN",G574=4,I574=120),VLOOKUP(T574,'CAFCO 400 ENSAYO'!$B$7:$D$43,3,FALSE),0)</f>
        <v>0</v>
      </c>
      <c r="O574" s="96">
        <f t="shared" si="60"/>
        <v>0</v>
      </c>
      <c r="P574" s="95" t="str">
        <f t="shared" si="61"/>
        <v>N/A</v>
      </c>
      <c r="Q574" s="95" t="str">
        <f t="shared" si="62"/>
        <v>N/A</v>
      </c>
      <c r="R574" s="95" t="str">
        <f t="shared" si="63"/>
        <v>NO CERT.</v>
      </c>
      <c r="S574" s="95" t="e">
        <f t="shared" si="64"/>
        <v>#N/A</v>
      </c>
      <c r="T574" s="119" t="e">
        <f>+IF(J574=LOOKUP(J574,'CAFCO 300 IDIEM TABLAS'!$J$4:$J$40),'CALCULO MORTERO'!J574,MROUND('CALCULO MORTERO'!J574,10))</f>
        <v>#N/A</v>
      </c>
      <c r="U574" s="118">
        <f t="shared" si="65"/>
        <v>0</v>
      </c>
      <c r="Y574" s="4"/>
      <c r="Z574" s="4"/>
      <c r="AA574" s="4"/>
    </row>
    <row r="575" spans="1:27" x14ac:dyDescent="0.25">
      <c r="A575" s="118">
        <f>+CUBICACION!D569</f>
        <v>0</v>
      </c>
      <c r="B575" s="819">
        <f>+CUBICACION!E569</f>
        <v>0</v>
      </c>
      <c r="C575" s="675">
        <f>+CUBICACION!F569</f>
        <v>0</v>
      </c>
      <c r="D575" s="118"/>
      <c r="E575" s="118"/>
      <c r="F575" s="820"/>
      <c r="G575" s="675">
        <f>+CUBICACION!J569</f>
        <v>0</v>
      </c>
      <c r="H575" s="118"/>
      <c r="I575" s="821">
        <f>+CUBICACION!L569</f>
        <v>0</v>
      </c>
      <c r="J575" s="64">
        <f>+CUBICACION!M569</f>
        <v>0</v>
      </c>
      <c r="K575" s="822" t="str">
        <f>+CUBICACION!N569</f>
        <v/>
      </c>
      <c r="L575" s="118">
        <f>+CUBICACION!O569</f>
        <v>0</v>
      </c>
      <c r="M575" s="823">
        <f>+CUBICACION!P569</f>
        <v>0</v>
      </c>
      <c r="N575" s="902">
        <f>ROUND(IF(AND(L575="Blaze Shield II",M575="Software Idiem",C575="IN",G575=4),((('BLAZE SHIELD II'!$D$4*('CALCULO MORTERO'!I575^2)+'BLAZE SHIELD II'!$D$5*'CALCULO MORTERO'!I575+'BLAZE SHIELD II'!$D$6)*LN(J575))+('BLAZE SHIELD II'!$D$7*('CALCULO MORTERO'!I575^2)+'BLAZE SHIELD II'!$D$8*'CALCULO MORTERO'!I575+'BLAZE SHIELD II'!$D$9)),0)+IF(AND(L575="Blaze Shield II",M575="Software Idiem",C575="Cj"),((('BLAZE SHIELD II'!$H$4*('CALCULO MORTERO'!I575^2)+'BLAZE SHIELD II'!$H$5*'CALCULO MORTERO'!I575+'BLAZE SHIELD II'!$H$6)*LN(J575))+('BLAZE SHIELD II'!$H$7*('CALCULO MORTERO'!I575^2)+'BLAZE SHIELD II'!$H$8*'CALCULO MORTERO'!I575+'BLAZE SHIELD II'!$H$9)),0)+IF(AND(L575="Blaze Shield II",M575="Software Idiem",C575="C"),((('BLAZE SHIELD II'!$L$4*('CALCULO MORTERO'!I575^2)+'BLAZE SHIELD II'!$L$5*'CALCULO MORTERO'!I575+'BLAZE SHIELD II'!$L$6)*LN(J575))+('BLAZE SHIELD II'!$L$7*('CALCULO MORTERO'!I575^2)+'BLAZE SHIELD II'!$L$8*'CALCULO MORTERO'!I575+'BLAZE SHIELD II'!$L$9)),0)+IF(AND(L575="Blaze Shield II",M575="Software Idiem",C575="L"),((('BLAZE SHIELD II'!$L$4*('CALCULO MORTERO'!I575^2)+'BLAZE SHIELD II'!$L$5*'CALCULO MORTERO'!I575+'BLAZE SHIELD II'!$L$6)*LN(J575))+('BLAZE SHIELD II'!$L$7*('CALCULO MORTERO'!I575^2)+'BLAZE SHIELD II'!$L$8*'CALCULO MORTERO'!I575+'BLAZE SHIELD II'!$L$9)),0)+IF(AND(L575="Blaze Shield II",M575="Software Idiem",C575="IN",G575=3),((('BLAZE SHIELD II'!$H$14*('CALCULO MORTERO'!I575^2)+'BLAZE SHIELD II'!$H$15*'CALCULO MORTERO'!I575+'BLAZE SHIELD II'!$H$16)*LN(J575))+('BLAZE SHIELD II'!$H$17*('CALCULO MORTERO'!I575^2)+'BLAZE SHIELD II'!$H$18*'CALCULO MORTERO'!I575+'BLAZE SHIELD II'!$H$19)),0),0)+ROUND(IF(AND(L575="Cafco 400",M575="Software Idiem",C575="IN",G575=4),((('CAFCO 400 '!$H$7*(J575^4)+'CAFCO 400 '!$H$8*(J575^3)+'CAFCO 400 '!$H$9*(J575^2)+'CAFCO 400 '!$H$10*J575+'CAFCO 400 '!$H$11)*U575^2)+(('CAFCO 400 '!$H$12*(J575^3)+'CAFCO 400 '!$H$13*(J575^2)+'CAFCO 400 '!$H$14*J575+'CAFCO 400 '!$H$15)*U575)+('CAFCO 400 '!$H$16*(J575^2)+'CAFCO 400 '!$H$17*J575+'CAFCO 400 '!$H$18)),0)+IF(AND(L575="Cafco 400",M575="Software Idiem",C575="Cj"),(((('CAFCO 400 '!$D$7*LN(J575)+'CAFCO 400 '!$D$8)*U575^2)+(('CAFCO 400 '!$D$9*LN(J575)+'CAFCO 400 '!$D$10)*U575)+('CAFCO 400 '!$D$11*LN(J575)+'CAFCO 400 '!$D$12))),0)+IF(AND(L575="Cafco 400",M575="Software Idiem",C575="C"),((('CAFCO 400 '!$L$7*(J575^3)+'CAFCO 400 '!$L$8*(J575^2)+'CAFCO 400 '!$L$9*J575+'CAFCO 400 '!$L$10)*U575^2)+(('CAFCO 400 '!$L$11*(J575^3)+'CAFCO 400 '!$L$12*(J575^2)+'CAFCO 400 '!$L$13*J575+'CAFCO 400 '!$L$14)*U575)+('CAFCO 400 '!$L$15*LN(J575)+'CAFCO 400 '!$L$16)),0)+IF(AND(L575="Cafco 400",M575="Software Idiem",C575="L"),((('CAFCO 400 '!$L$7*(J575^3)+'CAFCO 400 '!$L$8*(J575^2)+'CAFCO 400 '!$L$9*J575+'CAFCO 400 '!$L$10)*U575^2)+(('CAFCO 400 '!$L$11*(J575^3)+'CAFCO 400 '!$L$12*(J575^2)+'CAFCO 400 '!$L$13*J575+'CAFCO 400 '!$L$14)*U575)+('CAFCO 400 '!$L$15*LN(J575)+'CAFCO 400 '!$L$16)),0)+IF(AND(L575="Cafco 400",M575="Software Idiem",C575="IN",G575=3),((('CAFCO 400 '!$D$23*(J575^2)+'CAFCO 400 '!$D$24*(J575)+'CAFCO 400 '!$D$25)*U575^2)+(('CAFCO 400 '!$D$26*(J575^2)+'CAFCO 400 '!$D$27*J575+'CAFCO 400 '!$D$28)*U575)+('CAFCO 400 '!$D$29*(J575^2)+'CAFCO 400 '!$D$30*J575+'CAFCO 400 '!$D$31)),0),0)+IF(AND(L575="Cafco 300",J575&gt;=95,J575&lt;=240,C575="Cj",I575=90),VLOOKUP(T575,'CAFCO 300 IDIEM TABLAS'!$B$4:$D$23,2,FALSE),0)+IF(AND(L575="Cafco 300",J575&gt;=95,J575&lt;=240,C575="Cj",I575=120),VLOOKUP(T575,'CAFCO 300 IDIEM TABLAS'!$B$4:$D$23,3,FALSE),0)+IF(AND(L575="Cafco 300",J575&gt;=95,J575&lt;=400,G575=3,C575="IN",I575=90),VLOOKUP(T575,'CAFCO 300 IDIEM TABLAS'!$F$4:$H$35,2,FALSE),0)+IF(AND(L575="Cafco 300",J575&gt;=95,J575&lt;=400,G575=3,C575="IN",I575=120),VLOOKUP(T575,'CAFCO 300 IDIEM TABLAS'!$F$4:$H$35,3,FALSE),0)+IF(AND(L575="Cafco 300",J575&gt;=95,J575&lt;=450,G575=4,C575="IN",I575=90),VLOOKUP(T575,'CAFCO 300 IDIEM TABLAS'!$J$4:$L$40,2,FALSE),0)+IF(AND(L575="Cafco 300",J575&gt;=95,J575&lt;=450,G575=4,C575="IN",I575=120),VLOOKUP(T575,'CAFCO 300 IDIEM TABLAS'!$J$4:$L$40,3,FALSE),0)+IF(AND(M575="Ensayo Idiem",L575="Cafco 400",C575="IN",G575=4,I575=90),VLOOKUP(T575,'CAFCO 400 ENSAYO'!$B$7:$D$43,2,FALSE),0)+IF(AND(M575="Ensayo Idiem",L575="Cafco 400",C575="IN",G575=4,I575=120),VLOOKUP(T575,'CAFCO 400 ENSAYO'!$B$7:$D$43,3,FALSE),0)</f>
        <v>0</v>
      </c>
      <c r="O575" s="96">
        <f t="shared" si="60"/>
        <v>0</v>
      </c>
      <c r="P575" s="132" t="str">
        <f t="shared" si="61"/>
        <v>N/A</v>
      </c>
      <c r="Q575" s="132" t="str">
        <f t="shared" si="62"/>
        <v>N/A</v>
      </c>
      <c r="R575" s="132" t="str">
        <f t="shared" si="63"/>
        <v>NO CERT.</v>
      </c>
      <c r="S575" s="132" t="e">
        <f t="shared" si="64"/>
        <v>#N/A</v>
      </c>
      <c r="T575" s="133" t="e">
        <f>+IF(J575=LOOKUP(J575,'CAFCO 300 IDIEM TABLAS'!$J$4:$J$40),'CALCULO MORTERO'!J575,MROUND('CALCULO MORTERO'!J575,10))</f>
        <v>#N/A</v>
      </c>
      <c r="U575" s="134">
        <f t="shared" si="65"/>
        <v>0</v>
      </c>
      <c r="Y575" s="4"/>
      <c r="Z575" s="4"/>
      <c r="AA575" s="4"/>
    </row>
    <row r="576" spans="1:27" x14ac:dyDescent="0.25">
      <c r="A576" s="118">
        <f>+CUBICACION!D570</f>
        <v>0</v>
      </c>
      <c r="B576" s="819">
        <f>+CUBICACION!E570</f>
        <v>0</v>
      </c>
      <c r="C576" s="675">
        <f>+CUBICACION!F570</f>
        <v>0</v>
      </c>
      <c r="D576" s="118"/>
      <c r="E576" s="118"/>
      <c r="F576" s="820"/>
      <c r="G576" s="675">
        <f>+CUBICACION!J570</f>
        <v>0</v>
      </c>
      <c r="H576" s="118"/>
      <c r="I576" s="821">
        <f>+CUBICACION!L570</f>
        <v>0</v>
      </c>
      <c r="J576" s="64">
        <f>+CUBICACION!M570</f>
        <v>0</v>
      </c>
      <c r="K576" s="822" t="str">
        <f>+CUBICACION!N570</f>
        <v/>
      </c>
      <c r="L576" s="118">
        <f>+CUBICACION!O570</f>
        <v>0</v>
      </c>
      <c r="M576" s="823">
        <f>+CUBICACION!P570</f>
        <v>0</v>
      </c>
      <c r="N576" s="902">
        <f>ROUND(IF(AND(L576="Blaze Shield II",M576="Software Idiem",C576="IN",G576=4),((('BLAZE SHIELD II'!$D$4*('CALCULO MORTERO'!I576^2)+'BLAZE SHIELD II'!$D$5*'CALCULO MORTERO'!I576+'BLAZE SHIELD II'!$D$6)*LN(J576))+('BLAZE SHIELD II'!$D$7*('CALCULO MORTERO'!I576^2)+'BLAZE SHIELD II'!$D$8*'CALCULO MORTERO'!I576+'BLAZE SHIELD II'!$D$9)),0)+IF(AND(L576="Blaze Shield II",M576="Software Idiem",C576="Cj"),((('BLAZE SHIELD II'!$H$4*('CALCULO MORTERO'!I576^2)+'BLAZE SHIELD II'!$H$5*'CALCULO MORTERO'!I576+'BLAZE SHIELD II'!$H$6)*LN(J576))+('BLAZE SHIELD II'!$H$7*('CALCULO MORTERO'!I576^2)+'BLAZE SHIELD II'!$H$8*'CALCULO MORTERO'!I576+'BLAZE SHIELD II'!$H$9)),0)+IF(AND(L576="Blaze Shield II",M576="Software Idiem",C576="C"),((('BLAZE SHIELD II'!$L$4*('CALCULO MORTERO'!I576^2)+'BLAZE SHIELD II'!$L$5*'CALCULO MORTERO'!I576+'BLAZE SHIELD II'!$L$6)*LN(J576))+('BLAZE SHIELD II'!$L$7*('CALCULO MORTERO'!I576^2)+'BLAZE SHIELD II'!$L$8*'CALCULO MORTERO'!I576+'BLAZE SHIELD II'!$L$9)),0)+IF(AND(L576="Blaze Shield II",M576="Software Idiem",C576="L"),((('BLAZE SHIELD II'!$L$4*('CALCULO MORTERO'!I576^2)+'BLAZE SHIELD II'!$L$5*'CALCULO MORTERO'!I576+'BLAZE SHIELD II'!$L$6)*LN(J576))+('BLAZE SHIELD II'!$L$7*('CALCULO MORTERO'!I576^2)+'BLAZE SHIELD II'!$L$8*'CALCULO MORTERO'!I576+'BLAZE SHIELD II'!$L$9)),0)+IF(AND(L576="Blaze Shield II",M576="Software Idiem",C576="IN",G576=3),((('BLAZE SHIELD II'!$H$14*('CALCULO MORTERO'!I576^2)+'BLAZE SHIELD II'!$H$15*'CALCULO MORTERO'!I576+'BLAZE SHIELD II'!$H$16)*LN(J576))+('BLAZE SHIELD II'!$H$17*('CALCULO MORTERO'!I576^2)+'BLAZE SHIELD II'!$H$18*'CALCULO MORTERO'!I576+'BLAZE SHIELD II'!$H$19)),0),0)+ROUND(IF(AND(L576="Cafco 400",M576="Software Idiem",C576="IN",G576=4),((('CAFCO 400 '!$H$7*(J576^4)+'CAFCO 400 '!$H$8*(J576^3)+'CAFCO 400 '!$H$9*(J576^2)+'CAFCO 400 '!$H$10*J576+'CAFCO 400 '!$H$11)*U576^2)+(('CAFCO 400 '!$H$12*(J576^3)+'CAFCO 400 '!$H$13*(J576^2)+'CAFCO 400 '!$H$14*J576+'CAFCO 400 '!$H$15)*U576)+('CAFCO 400 '!$H$16*(J576^2)+'CAFCO 400 '!$H$17*J576+'CAFCO 400 '!$H$18)),0)+IF(AND(L576="Cafco 400",M576="Software Idiem",C576="Cj"),(((('CAFCO 400 '!$D$7*LN(J576)+'CAFCO 400 '!$D$8)*U576^2)+(('CAFCO 400 '!$D$9*LN(J576)+'CAFCO 400 '!$D$10)*U576)+('CAFCO 400 '!$D$11*LN(J576)+'CAFCO 400 '!$D$12))),0)+IF(AND(L576="Cafco 400",M576="Software Idiem",C576="C"),((('CAFCO 400 '!$L$7*(J576^3)+'CAFCO 400 '!$L$8*(J576^2)+'CAFCO 400 '!$L$9*J576+'CAFCO 400 '!$L$10)*U576^2)+(('CAFCO 400 '!$L$11*(J576^3)+'CAFCO 400 '!$L$12*(J576^2)+'CAFCO 400 '!$L$13*J576+'CAFCO 400 '!$L$14)*U576)+('CAFCO 400 '!$L$15*LN(J576)+'CAFCO 400 '!$L$16)),0)+IF(AND(L576="Cafco 400",M576="Software Idiem",C576="L"),((('CAFCO 400 '!$L$7*(J576^3)+'CAFCO 400 '!$L$8*(J576^2)+'CAFCO 400 '!$L$9*J576+'CAFCO 400 '!$L$10)*U576^2)+(('CAFCO 400 '!$L$11*(J576^3)+'CAFCO 400 '!$L$12*(J576^2)+'CAFCO 400 '!$L$13*J576+'CAFCO 400 '!$L$14)*U576)+('CAFCO 400 '!$L$15*LN(J576)+'CAFCO 400 '!$L$16)),0)+IF(AND(L576="Cafco 400",M576="Software Idiem",C576="IN",G576=3),((('CAFCO 400 '!$D$23*(J576^2)+'CAFCO 400 '!$D$24*(J576)+'CAFCO 400 '!$D$25)*U576^2)+(('CAFCO 400 '!$D$26*(J576^2)+'CAFCO 400 '!$D$27*J576+'CAFCO 400 '!$D$28)*U576)+('CAFCO 400 '!$D$29*(J576^2)+'CAFCO 400 '!$D$30*J576+'CAFCO 400 '!$D$31)),0),0)+IF(AND(L576="Cafco 300",J576&gt;=95,J576&lt;=240,C576="Cj",I576=90),VLOOKUP(T576,'CAFCO 300 IDIEM TABLAS'!$B$4:$D$23,2,FALSE),0)+IF(AND(L576="Cafco 300",J576&gt;=95,J576&lt;=240,C576="Cj",I576=120),VLOOKUP(T576,'CAFCO 300 IDIEM TABLAS'!$B$4:$D$23,3,FALSE),0)+IF(AND(L576="Cafco 300",J576&gt;=95,J576&lt;=400,G576=3,C576="IN",I576=90),VLOOKUP(T576,'CAFCO 300 IDIEM TABLAS'!$F$4:$H$35,2,FALSE),0)+IF(AND(L576="Cafco 300",J576&gt;=95,J576&lt;=400,G576=3,C576="IN",I576=120),VLOOKUP(T576,'CAFCO 300 IDIEM TABLAS'!$F$4:$H$35,3,FALSE),0)+IF(AND(L576="Cafco 300",J576&gt;=95,J576&lt;=450,G576=4,C576="IN",I576=90),VLOOKUP(T576,'CAFCO 300 IDIEM TABLAS'!$J$4:$L$40,2,FALSE),0)+IF(AND(L576="Cafco 300",J576&gt;=95,J576&lt;=450,G576=4,C576="IN",I576=120),VLOOKUP(T576,'CAFCO 300 IDIEM TABLAS'!$J$4:$L$40,3,FALSE),0)+IF(AND(M576="Ensayo Idiem",L576="Cafco 400",C576="IN",G576=4,I576=90),VLOOKUP(T576,'CAFCO 400 ENSAYO'!$B$7:$D$43,2,FALSE),0)+IF(AND(M576="Ensayo Idiem",L576="Cafco 400",C576="IN",G576=4,I576=120),VLOOKUP(T576,'CAFCO 400 ENSAYO'!$B$7:$D$43,3,FALSE),0)</f>
        <v>0</v>
      </c>
      <c r="O576" s="96">
        <f t="shared" si="60"/>
        <v>0</v>
      </c>
      <c r="P576" s="95" t="str">
        <f t="shared" si="61"/>
        <v>N/A</v>
      </c>
      <c r="Q576" s="95" t="str">
        <f t="shared" si="62"/>
        <v>N/A</v>
      </c>
      <c r="R576" s="95" t="str">
        <f t="shared" si="63"/>
        <v>NO CERT.</v>
      </c>
      <c r="S576" s="95" t="e">
        <f t="shared" si="64"/>
        <v>#N/A</v>
      </c>
      <c r="T576" s="119" t="e">
        <f>+IF(J576=LOOKUP(J576,'CAFCO 300 IDIEM TABLAS'!$J$4:$J$40),'CALCULO MORTERO'!J576,MROUND('CALCULO MORTERO'!J576,10))</f>
        <v>#N/A</v>
      </c>
      <c r="U576" s="118">
        <f t="shared" si="65"/>
        <v>0</v>
      </c>
      <c r="Y576" s="4"/>
      <c r="Z576" s="4"/>
      <c r="AA576" s="4"/>
    </row>
    <row r="577" spans="1:27" x14ac:dyDescent="0.25">
      <c r="A577" s="118">
        <f>+CUBICACION!D571</f>
        <v>0</v>
      </c>
      <c r="B577" s="819">
        <f>+CUBICACION!E571</f>
        <v>0</v>
      </c>
      <c r="C577" s="675">
        <f>+CUBICACION!F571</f>
        <v>0</v>
      </c>
      <c r="D577" s="118"/>
      <c r="E577" s="118"/>
      <c r="F577" s="820"/>
      <c r="G577" s="675">
        <f>+CUBICACION!J571</f>
        <v>0</v>
      </c>
      <c r="H577" s="118"/>
      <c r="I577" s="821">
        <f>+CUBICACION!L571</f>
        <v>0</v>
      </c>
      <c r="J577" s="64">
        <f>+CUBICACION!M571</f>
        <v>0</v>
      </c>
      <c r="K577" s="822" t="str">
        <f>+CUBICACION!N571</f>
        <v/>
      </c>
      <c r="L577" s="118">
        <f>+CUBICACION!O571</f>
        <v>0</v>
      </c>
      <c r="M577" s="823">
        <f>+CUBICACION!P571</f>
        <v>0</v>
      </c>
      <c r="N577" s="902">
        <f>ROUND(IF(AND(L577="Blaze Shield II",M577="Software Idiem",C577="IN",G577=4),((('BLAZE SHIELD II'!$D$4*('CALCULO MORTERO'!I577^2)+'BLAZE SHIELD II'!$D$5*'CALCULO MORTERO'!I577+'BLAZE SHIELD II'!$D$6)*LN(J577))+('BLAZE SHIELD II'!$D$7*('CALCULO MORTERO'!I577^2)+'BLAZE SHIELD II'!$D$8*'CALCULO MORTERO'!I577+'BLAZE SHIELD II'!$D$9)),0)+IF(AND(L577="Blaze Shield II",M577="Software Idiem",C577="Cj"),((('BLAZE SHIELD II'!$H$4*('CALCULO MORTERO'!I577^2)+'BLAZE SHIELD II'!$H$5*'CALCULO MORTERO'!I577+'BLAZE SHIELD II'!$H$6)*LN(J577))+('BLAZE SHIELD II'!$H$7*('CALCULO MORTERO'!I577^2)+'BLAZE SHIELD II'!$H$8*'CALCULO MORTERO'!I577+'BLAZE SHIELD II'!$H$9)),0)+IF(AND(L577="Blaze Shield II",M577="Software Idiem",C577="C"),((('BLAZE SHIELD II'!$L$4*('CALCULO MORTERO'!I577^2)+'BLAZE SHIELD II'!$L$5*'CALCULO MORTERO'!I577+'BLAZE SHIELD II'!$L$6)*LN(J577))+('BLAZE SHIELD II'!$L$7*('CALCULO MORTERO'!I577^2)+'BLAZE SHIELD II'!$L$8*'CALCULO MORTERO'!I577+'BLAZE SHIELD II'!$L$9)),0)+IF(AND(L577="Blaze Shield II",M577="Software Idiem",C577="L"),((('BLAZE SHIELD II'!$L$4*('CALCULO MORTERO'!I577^2)+'BLAZE SHIELD II'!$L$5*'CALCULO MORTERO'!I577+'BLAZE SHIELD II'!$L$6)*LN(J577))+('BLAZE SHIELD II'!$L$7*('CALCULO MORTERO'!I577^2)+'BLAZE SHIELD II'!$L$8*'CALCULO MORTERO'!I577+'BLAZE SHIELD II'!$L$9)),0)+IF(AND(L577="Blaze Shield II",M577="Software Idiem",C577="IN",G577=3),((('BLAZE SHIELD II'!$H$14*('CALCULO MORTERO'!I577^2)+'BLAZE SHIELD II'!$H$15*'CALCULO MORTERO'!I577+'BLAZE SHIELD II'!$H$16)*LN(J577))+('BLAZE SHIELD II'!$H$17*('CALCULO MORTERO'!I577^2)+'BLAZE SHIELD II'!$H$18*'CALCULO MORTERO'!I577+'BLAZE SHIELD II'!$H$19)),0),0)+ROUND(IF(AND(L577="Cafco 400",M577="Software Idiem",C577="IN",G577=4),((('CAFCO 400 '!$H$7*(J577^4)+'CAFCO 400 '!$H$8*(J577^3)+'CAFCO 400 '!$H$9*(J577^2)+'CAFCO 400 '!$H$10*J577+'CAFCO 400 '!$H$11)*U577^2)+(('CAFCO 400 '!$H$12*(J577^3)+'CAFCO 400 '!$H$13*(J577^2)+'CAFCO 400 '!$H$14*J577+'CAFCO 400 '!$H$15)*U577)+('CAFCO 400 '!$H$16*(J577^2)+'CAFCO 400 '!$H$17*J577+'CAFCO 400 '!$H$18)),0)+IF(AND(L577="Cafco 400",M577="Software Idiem",C577="Cj"),(((('CAFCO 400 '!$D$7*LN(J577)+'CAFCO 400 '!$D$8)*U577^2)+(('CAFCO 400 '!$D$9*LN(J577)+'CAFCO 400 '!$D$10)*U577)+('CAFCO 400 '!$D$11*LN(J577)+'CAFCO 400 '!$D$12))),0)+IF(AND(L577="Cafco 400",M577="Software Idiem",C577="C"),((('CAFCO 400 '!$L$7*(J577^3)+'CAFCO 400 '!$L$8*(J577^2)+'CAFCO 400 '!$L$9*J577+'CAFCO 400 '!$L$10)*U577^2)+(('CAFCO 400 '!$L$11*(J577^3)+'CAFCO 400 '!$L$12*(J577^2)+'CAFCO 400 '!$L$13*J577+'CAFCO 400 '!$L$14)*U577)+('CAFCO 400 '!$L$15*LN(J577)+'CAFCO 400 '!$L$16)),0)+IF(AND(L577="Cafco 400",M577="Software Idiem",C577="L"),((('CAFCO 400 '!$L$7*(J577^3)+'CAFCO 400 '!$L$8*(J577^2)+'CAFCO 400 '!$L$9*J577+'CAFCO 400 '!$L$10)*U577^2)+(('CAFCO 400 '!$L$11*(J577^3)+'CAFCO 400 '!$L$12*(J577^2)+'CAFCO 400 '!$L$13*J577+'CAFCO 400 '!$L$14)*U577)+('CAFCO 400 '!$L$15*LN(J577)+'CAFCO 400 '!$L$16)),0)+IF(AND(L577="Cafco 400",M577="Software Idiem",C577="IN",G577=3),((('CAFCO 400 '!$D$23*(J577^2)+'CAFCO 400 '!$D$24*(J577)+'CAFCO 400 '!$D$25)*U577^2)+(('CAFCO 400 '!$D$26*(J577^2)+'CAFCO 400 '!$D$27*J577+'CAFCO 400 '!$D$28)*U577)+('CAFCO 400 '!$D$29*(J577^2)+'CAFCO 400 '!$D$30*J577+'CAFCO 400 '!$D$31)),0),0)+IF(AND(L577="Cafco 300",J577&gt;=95,J577&lt;=240,C577="Cj",I577=90),VLOOKUP(T577,'CAFCO 300 IDIEM TABLAS'!$B$4:$D$23,2,FALSE),0)+IF(AND(L577="Cafco 300",J577&gt;=95,J577&lt;=240,C577="Cj",I577=120),VLOOKUP(T577,'CAFCO 300 IDIEM TABLAS'!$B$4:$D$23,3,FALSE),0)+IF(AND(L577="Cafco 300",J577&gt;=95,J577&lt;=400,G577=3,C577="IN",I577=90),VLOOKUP(T577,'CAFCO 300 IDIEM TABLAS'!$F$4:$H$35,2,FALSE),0)+IF(AND(L577="Cafco 300",J577&gt;=95,J577&lt;=400,G577=3,C577="IN",I577=120),VLOOKUP(T577,'CAFCO 300 IDIEM TABLAS'!$F$4:$H$35,3,FALSE),0)+IF(AND(L577="Cafco 300",J577&gt;=95,J577&lt;=450,G577=4,C577="IN",I577=90),VLOOKUP(T577,'CAFCO 300 IDIEM TABLAS'!$J$4:$L$40,2,FALSE),0)+IF(AND(L577="Cafco 300",J577&gt;=95,J577&lt;=450,G577=4,C577="IN",I577=120),VLOOKUP(T577,'CAFCO 300 IDIEM TABLAS'!$J$4:$L$40,3,FALSE),0)+IF(AND(M577="Ensayo Idiem",L577="Cafco 400",C577="IN",G577=4,I577=90),VLOOKUP(T577,'CAFCO 400 ENSAYO'!$B$7:$D$43,2,FALSE),0)+IF(AND(M577="Ensayo Idiem",L577="Cafco 400",C577="IN",G577=4,I577=120),VLOOKUP(T577,'CAFCO 400 ENSAYO'!$B$7:$D$43,3,FALSE),0)</f>
        <v>0</v>
      </c>
      <c r="O577" s="96">
        <f t="shared" si="60"/>
        <v>0</v>
      </c>
      <c r="P577" s="132" t="str">
        <f t="shared" si="61"/>
        <v>N/A</v>
      </c>
      <c r="Q577" s="132" t="str">
        <f t="shared" si="62"/>
        <v>N/A</v>
      </c>
      <c r="R577" s="132" t="str">
        <f t="shared" si="63"/>
        <v>NO CERT.</v>
      </c>
      <c r="S577" s="132" t="e">
        <f t="shared" si="64"/>
        <v>#N/A</v>
      </c>
      <c r="T577" s="133" t="e">
        <f>+IF(J577=LOOKUP(J577,'CAFCO 300 IDIEM TABLAS'!$J$4:$J$40),'CALCULO MORTERO'!J577,MROUND('CALCULO MORTERO'!J577,10))</f>
        <v>#N/A</v>
      </c>
      <c r="U577" s="134">
        <f t="shared" si="65"/>
        <v>0</v>
      </c>
      <c r="Y577" s="4"/>
      <c r="Z577" s="4"/>
      <c r="AA577" s="4"/>
    </row>
    <row r="578" spans="1:27" x14ac:dyDescent="0.25">
      <c r="A578" s="118">
        <f>+CUBICACION!D572</f>
        <v>0</v>
      </c>
      <c r="B578" s="819">
        <f>+CUBICACION!E572</f>
        <v>0</v>
      </c>
      <c r="C578" s="675">
        <f>+CUBICACION!F572</f>
        <v>0</v>
      </c>
      <c r="D578" s="118"/>
      <c r="E578" s="118"/>
      <c r="F578" s="820"/>
      <c r="G578" s="675">
        <f>+CUBICACION!J572</f>
        <v>0</v>
      </c>
      <c r="H578" s="118"/>
      <c r="I578" s="821">
        <f>+CUBICACION!L572</f>
        <v>0</v>
      </c>
      <c r="J578" s="64">
        <f>+CUBICACION!M572</f>
        <v>0</v>
      </c>
      <c r="K578" s="822" t="str">
        <f>+CUBICACION!N572</f>
        <v/>
      </c>
      <c r="L578" s="118">
        <f>+CUBICACION!O572</f>
        <v>0</v>
      </c>
      <c r="M578" s="823">
        <f>+CUBICACION!P572</f>
        <v>0</v>
      </c>
      <c r="N578" s="902">
        <f>ROUND(IF(AND(L578="Blaze Shield II",M578="Software Idiem",C578="IN",G578=4),((('BLAZE SHIELD II'!$D$4*('CALCULO MORTERO'!I578^2)+'BLAZE SHIELD II'!$D$5*'CALCULO MORTERO'!I578+'BLAZE SHIELD II'!$D$6)*LN(J578))+('BLAZE SHIELD II'!$D$7*('CALCULO MORTERO'!I578^2)+'BLAZE SHIELD II'!$D$8*'CALCULO MORTERO'!I578+'BLAZE SHIELD II'!$D$9)),0)+IF(AND(L578="Blaze Shield II",M578="Software Idiem",C578="Cj"),((('BLAZE SHIELD II'!$H$4*('CALCULO MORTERO'!I578^2)+'BLAZE SHIELD II'!$H$5*'CALCULO MORTERO'!I578+'BLAZE SHIELD II'!$H$6)*LN(J578))+('BLAZE SHIELD II'!$H$7*('CALCULO MORTERO'!I578^2)+'BLAZE SHIELD II'!$H$8*'CALCULO MORTERO'!I578+'BLAZE SHIELD II'!$H$9)),0)+IF(AND(L578="Blaze Shield II",M578="Software Idiem",C578="C"),((('BLAZE SHIELD II'!$L$4*('CALCULO MORTERO'!I578^2)+'BLAZE SHIELD II'!$L$5*'CALCULO MORTERO'!I578+'BLAZE SHIELD II'!$L$6)*LN(J578))+('BLAZE SHIELD II'!$L$7*('CALCULO MORTERO'!I578^2)+'BLAZE SHIELD II'!$L$8*'CALCULO MORTERO'!I578+'BLAZE SHIELD II'!$L$9)),0)+IF(AND(L578="Blaze Shield II",M578="Software Idiem",C578="L"),((('BLAZE SHIELD II'!$L$4*('CALCULO MORTERO'!I578^2)+'BLAZE SHIELD II'!$L$5*'CALCULO MORTERO'!I578+'BLAZE SHIELD II'!$L$6)*LN(J578))+('BLAZE SHIELD II'!$L$7*('CALCULO MORTERO'!I578^2)+'BLAZE SHIELD II'!$L$8*'CALCULO MORTERO'!I578+'BLAZE SHIELD II'!$L$9)),0)+IF(AND(L578="Blaze Shield II",M578="Software Idiem",C578="IN",G578=3),((('BLAZE SHIELD II'!$H$14*('CALCULO MORTERO'!I578^2)+'BLAZE SHIELD II'!$H$15*'CALCULO MORTERO'!I578+'BLAZE SHIELD II'!$H$16)*LN(J578))+('BLAZE SHIELD II'!$H$17*('CALCULO MORTERO'!I578^2)+'BLAZE SHIELD II'!$H$18*'CALCULO MORTERO'!I578+'BLAZE SHIELD II'!$H$19)),0),0)+ROUND(IF(AND(L578="Cafco 400",M578="Software Idiem",C578="IN",G578=4),((('CAFCO 400 '!$H$7*(J578^4)+'CAFCO 400 '!$H$8*(J578^3)+'CAFCO 400 '!$H$9*(J578^2)+'CAFCO 400 '!$H$10*J578+'CAFCO 400 '!$H$11)*U578^2)+(('CAFCO 400 '!$H$12*(J578^3)+'CAFCO 400 '!$H$13*(J578^2)+'CAFCO 400 '!$H$14*J578+'CAFCO 400 '!$H$15)*U578)+('CAFCO 400 '!$H$16*(J578^2)+'CAFCO 400 '!$H$17*J578+'CAFCO 400 '!$H$18)),0)+IF(AND(L578="Cafco 400",M578="Software Idiem",C578="Cj"),(((('CAFCO 400 '!$D$7*LN(J578)+'CAFCO 400 '!$D$8)*U578^2)+(('CAFCO 400 '!$D$9*LN(J578)+'CAFCO 400 '!$D$10)*U578)+('CAFCO 400 '!$D$11*LN(J578)+'CAFCO 400 '!$D$12))),0)+IF(AND(L578="Cafco 400",M578="Software Idiem",C578="C"),((('CAFCO 400 '!$L$7*(J578^3)+'CAFCO 400 '!$L$8*(J578^2)+'CAFCO 400 '!$L$9*J578+'CAFCO 400 '!$L$10)*U578^2)+(('CAFCO 400 '!$L$11*(J578^3)+'CAFCO 400 '!$L$12*(J578^2)+'CAFCO 400 '!$L$13*J578+'CAFCO 400 '!$L$14)*U578)+('CAFCO 400 '!$L$15*LN(J578)+'CAFCO 400 '!$L$16)),0)+IF(AND(L578="Cafco 400",M578="Software Idiem",C578="L"),((('CAFCO 400 '!$L$7*(J578^3)+'CAFCO 400 '!$L$8*(J578^2)+'CAFCO 400 '!$L$9*J578+'CAFCO 400 '!$L$10)*U578^2)+(('CAFCO 400 '!$L$11*(J578^3)+'CAFCO 400 '!$L$12*(J578^2)+'CAFCO 400 '!$L$13*J578+'CAFCO 400 '!$L$14)*U578)+('CAFCO 400 '!$L$15*LN(J578)+'CAFCO 400 '!$L$16)),0)+IF(AND(L578="Cafco 400",M578="Software Idiem",C578="IN",G578=3),((('CAFCO 400 '!$D$23*(J578^2)+'CAFCO 400 '!$D$24*(J578)+'CAFCO 400 '!$D$25)*U578^2)+(('CAFCO 400 '!$D$26*(J578^2)+'CAFCO 400 '!$D$27*J578+'CAFCO 400 '!$D$28)*U578)+('CAFCO 400 '!$D$29*(J578^2)+'CAFCO 400 '!$D$30*J578+'CAFCO 400 '!$D$31)),0),0)+IF(AND(L578="Cafco 300",J578&gt;=95,J578&lt;=240,C578="Cj",I578=90),VLOOKUP(T578,'CAFCO 300 IDIEM TABLAS'!$B$4:$D$23,2,FALSE),0)+IF(AND(L578="Cafco 300",J578&gt;=95,J578&lt;=240,C578="Cj",I578=120),VLOOKUP(T578,'CAFCO 300 IDIEM TABLAS'!$B$4:$D$23,3,FALSE),0)+IF(AND(L578="Cafco 300",J578&gt;=95,J578&lt;=400,G578=3,C578="IN",I578=90),VLOOKUP(T578,'CAFCO 300 IDIEM TABLAS'!$F$4:$H$35,2,FALSE),0)+IF(AND(L578="Cafco 300",J578&gt;=95,J578&lt;=400,G578=3,C578="IN",I578=120),VLOOKUP(T578,'CAFCO 300 IDIEM TABLAS'!$F$4:$H$35,3,FALSE),0)+IF(AND(L578="Cafco 300",J578&gt;=95,J578&lt;=450,G578=4,C578="IN",I578=90),VLOOKUP(T578,'CAFCO 300 IDIEM TABLAS'!$J$4:$L$40,2,FALSE),0)+IF(AND(L578="Cafco 300",J578&gt;=95,J578&lt;=450,G578=4,C578="IN",I578=120),VLOOKUP(T578,'CAFCO 300 IDIEM TABLAS'!$J$4:$L$40,3,FALSE),0)+IF(AND(M578="Ensayo Idiem",L578="Cafco 400",C578="IN",G578=4,I578=90),VLOOKUP(T578,'CAFCO 400 ENSAYO'!$B$7:$D$43,2,FALSE),0)+IF(AND(M578="Ensayo Idiem",L578="Cafco 400",C578="IN",G578=4,I578=120),VLOOKUP(T578,'CAFCO 400 ENSAYO'!$B$7:$D$43,3,FALSE),0)</f>
        <v>0</v>
      </c>
      <c r="O578" s="96">
        <f t="shared" si="60"/>
        <v>0</v>
      </c>
      <c r="P578" s="95" t="str">
        <f t="shared" si="61"/>
        <v>N/A</v>
      </c>
      <c r="Q578" s="95" t="str">
        <f t="shared" si="62"/>
        <v>N/A</v>
      </c>
      <c r="R578" s="95" t="str">
        <f t="shared" si="63"/>
        <v>NO CERT.</v>
      </c>
      <c r="S578" s="95" t="e">
        <f t="shared" si="64"/>
        <v>#N/A</v>
      </c>
      <c r="T578" s="119" t="e">
        <f>+IF(J578=LOOKUP(J578,'CAFCO 300 IDIEM TABLAS'!$J$4:$J$40),'CALCULO MORTERO'!J578,MROUND('CALCULO MORTERO'!J578,10))</f>
        <v>#N/A</v>
      </c>
      <c r="U578" s="118">
        <f t="shared" si="65"/>
        <v>0</v>
      </c>
      <c r="Y578" s="4"/>
      <c r="Z578" s="4"/>
      <c r="AA578" s="4"/>
    </row>
    <row r="579" spans="1:27" x14ac:dyDescent="0.25">
      <c r="A579" s="118">
        <f>+CUBICACION!D573</f>
        <v>0</v>
      </c>
      <c r="B579" s="819">
        <f>+CUBICACION!E573</f>
        <v>0</v>
      </c>
      <c r="C579" s="675">
        <f>+CUBICACION!F573</f>
        <v>0</v>
      </c>
      <c r="D579" s="118"/>
      <c r="E579" s="118"/>
      <c r="F579" s="820"/>
      <c r="G579" s="675">
        <f>+CUBICACION!J573</f>
        <v>0</v>
      </c>
      <c r="H579" s="118"/>
      <c r="I579" s="821">
        <f>+CUBICACION!L573</f>
        <v>0</v>
      </c>
      <c r="J579" s="64">
        <f>+CUBICACION!M573</f>
        <v>0</v>
      </c>
      <c r="K579" s="822" t="str">
        <f>+CUBICACION!N573</f>
        <v/>
      </c>
      <c r="L579" s="118">
        <f>+CUBICACION!O573</f>
        <v>0</v>
      </c>
      <c r="M579" s="823">
        <f>+CUBICACION!P573</f>
        <v>0</v>
      </c>
      <c r="N579" s="902">
        <f>ROUND(IF(AND(L579="Blaze Shield II",M579="Software Idiem",C579="IN",G579=4),((('BLAZE SHIELD II'!$D$4*('CALCULO MORTERO'!I579^2)+'BLAZE SHIELD II'!$D$5*'CALCULO MORTERO'!I579+'BLAZE SHIELD II'!$D$6)*LN(J579))+('BLAZE SHIELD II'!$D$7*('CALCULO MORTERO'!I579^2)+'BLAZE SHIELD II'!$D$8*'CALCULO MORTERO'!I579+'BLAZE SHIELD II'!$D$9)),0)+IF(AND(L579="Blaze Shield II",M579="Software Idiem",C579="Cj"),((('BLAZE SHIELD II'!$H$4*('CALCULO MORTERO'!I579^2)+'BLAZE SHIELD II'!$H$5*'CALCULO MORTERO'!I579+'BLAZE SHIELD II'!$H$6)*LN(J579))+('BLAZE SHIELD II'!$H$7*('CALCULO MORTERO'!I579^2)+'BLAZE SHIELD II'!$H$8*'CALCULO MORTERO'!I579+'BLAZE SHIELD II'!$H$9)),0)+IF(AND(L579="Blaze Shield II",M579="Software Idiem",C579="C"),((('BLAZE SHIELD II'!$L$4*('CALCULO MORTERO'!I579^2)+'BLAZE SHIELD II'!$L$5*'CALCULO MORTERO'!I579+'BLAZE SHIELD II'!$L$6)*LN(J579))+('BLAZE SHIELD II'!$L$7*('CALCULO MORTERO'!I579^2)+'BLAZE SHIELD II'!$L$8*'CALCULO MORTERO'!I579+'BLAZE SHIELD II'!$L$9)),0)+IF(AND(L579="Blaze Shield II",M579="Software Idiem",C579="L"),((('BLAZE SHIELD II'!$L$4*('CALCULO MORTERO'!I579^2)+'BLAZE SHIELD II'!$L$5*'CALCULO MORTERO'!I579+'BLAZE SHIELD II'!$L$6)*LN(J579))+('BLAZE SHIELD II'!$L$7*('CALCULO MORTERO'!I579^2)+'BLAZE SHIELD II'!$L$8*'CALCULO MORTERO'!I579+'BLAZE SHIELD II'!$L$9)),0)+IF(AND(L579="Blaze Shield II",M579="Software Idiem",C579="IN",G579=3),((('BLAZE SHIELD II'!$H$14*('CALCULO MORTERO'!I579^2)+'BLAZE SHIELD II'!$H$15*'CALCULO MORTERO'!I579+'BLAZE SHIELD II'!$H$16)*LN(J579))+('BLAZE SHIELD II'!$H$17*('CALCULO MORTERO'!I579^2)+'BLAZE SHIELD II'!$H$18*'CALCULO MORTERO'!I579+'BLAZE SHIELD II'!$H$19)),0),0)+ROUND(IF(AND(L579="Cafco 400",M579="Software Idiem",C579="IN",G579=4),((('CAFCO 400 '!$H$7*(J579^4)+'CAFCO 400 '!$H$8*(J579^3)+'CAFCO 400 '!$H$9*(J579^2)+'CAFCO 400 '!$H$10*J579+'CAFCO 400 '!$H$11)*U579^2)+(('CAFCO 400 '!$H$12*(J579^3)+'CAFCO 400 '!$H$13*(J579^2)+'CAFCO 400 '!$H$14*J579+'CAFCO 400 '!$H$15)*U579)+('CAFCO 400 '!$H$16*(J579^2)+'CAFCO 400 '!$H$17*J579+'CAFCO 400 '!$H$18)),0)+IF(AND(L579="Cafco 400",M579="Software Idiem",C579="Cj"),(((('CAFCO 400 '!$D$7*LN(J579)+'CAFCO 400 '!$D$8)*U579^2)+(('CAFCO 400 '!$D$9*LN(J579)+'CAFCO 400 '!$D$10)*U579)+('CAFCO 400 '!$D$11*LN(J579)+'CAFCO 400 '!$D$12))),0)+IF(AND(L579="Cafco 400",M579="Software Idiem",C579="C"),((('CAFCO 400 '!$L$7*(J579^3)+'CAFCO 400 '!$L$8*(J579^2)+'CAFCO 400 '!$L$9*J579+'CAFCO 400 '!$L$10)*U579^2)+(('CAFCO 400 '!$L$11*(J579^3)+'CAFCO 400 '!$L$12*(J579^2)+'CAFCO 400 '!$L$13*J579+'CAFCO 400 '!$L$14)*U579)+('CAFCO 400 '!$L$15*LN(J579)+'CAFCO 400 '!$L$16)),0)+IF(AND(L579="Cafco 400",M579="Software Idiem",C579="L"),((('CAFCO 400 '!$L$7*(J579^3)+'CAFCO 400 '!$L$8*(J579^2)+'CAFCO 400 '!$L$9*J579+'CAFCO 400 '!$L$10)*U579^2)+(('CAFCO 400 '!$L$11*(J579^3)+'CAFCO 400 '!$L$12*(J579^2)+'CAFCO 400 '!$L$13*J579+'CAFCO 400 '!$L$14)*U579)+('CAFCO 400 '!$L$15*LN(J579)+'CAFCO 400 '!$L$16)),0)+IF(AND(L579="Cafco 400",M579="Software Idiem",C579="IN",G579=3),((('CAFCO 400 '!$D$23*(J579^2)+'CAFCO 400 '!$D$24*(J579)+'CAFCO 400 '!$D$25)*U579^2)+(('CAFCO 400 '!$D$26*(J579^2)+'CAFCO 400 '!$D$27*J579+'CAFCO 400 '!$D$28)*U579)+('CAFCO 400 '!$D$29*(J579^2)+'CAFCO 400 '!$D$30*J579+'CAFCO 400 '!$D$31)),0),0)+IF(AND(L579="Cafco 300",J579&gt;=95,J579&lt;=240,C579="Cj",I579=90),VLOOKUP(T579,'CAFCO 300 IDIEM TABLAS'!$B$4:$D$23,2,FALSE),0)+IF(AND(L579="Cafco 300",J579&gt;=95,J579&lt;=240,C579="Cj",I579=120),VLOOKUP(T579,'CAFCO 300 IDIEM TABLAS'!$B$4:$D$23,3,FALSE),0)+IF(AND(L579="Cafco 300",J579&gt;=95,J579&lt;=400,G579=3,C579="IN",I579=90),VLOOKUP(T579,'CAFCO 300 IDIEM TABLAS'!$F$4:$H$35,2,FALSE),0)+IF(AND(L579="Cafco 300",J579&gt;=95,J579&lt;=400,G579=3,C579="IN",I579=120),VLOOKUP(T579,'CAFCO 300 IDIEM TABLAS'!$F$4:$H$35,3,FALSE),0)+IF(AND(L579="Cafco 300",J579&gt;=95,J579&lt;=450,G579=4,C579="IN",I579=90),VLOOKUP(T579,'CAFCO 300 IDIEM TABLAS'!$J$4:$L$40,2,FALSE),0)+IF(AND(L579="Cafco 300",J579&gt;=95,J579&lt;=450,G579=4,C579="IN",I579=120),VLOOKUP(T579,'CAFCO 300 IDIEM TABLAS'!$J$4:$L$40,3,FALSE),0)+IF(AND(M579="Ensayo Idiem",L579="Cafco 400",C579="IN",G579=4,I579=90),VLOOKUP(T579,'CAFCO 400 ENSAYO'!$B$7:$D$43,2,FALSE),0)+IF(AND(M579="Ensayo Idiem",L579="Cafco 400",C579="IN",G579=4,I579=120),VLOOKUP(T579,'CAFCO 400 ENSAYO'!$B$7:$D$43,3,FALSE),0)</f>
        <v>0</v>
      </c>
      <c r="O579" s="96">
        <f t="shared" si="60"/>
        <v>0</v>
      </c>
      <c r="P579" s="132" t="str">
        <f t="shared" si="61"/>
        <v>N/A</v>
      </c>
      <c r="Q579" s="132" t="str">
        <f t="shared" si="62"/>
        <v>N/A</v>
      </c>
      <c r="R579" s="132" t="str">
        <f t="shared" si="63"/>
        <v>NO CERT.</v>
      </c>
      <c r="S579" s="132" t="e">
        <f t="shared" si="64"/>
        <v>#N/A</v>
      </c>
      <c r="T579" s="133" t="e">
        <f>+IF(J579=LOOKUP(J579,'CAFCO 300 IDIEM TABLAS'!$J$4:$J$40),'CALCULO MORTERO'!J579,MROUND('CALCULO MORTERO'!J579,10))</f>
        <v>#N/A</v>
      </c>
      <c r="U579" s="134">
        <f t="shared" si="65"/>
        <v>0</v>
      </c>
      <c r="Y579" s="4"/>
      <c r="Z579" s="4"/>
      <c r="AA579" s="4"/>
    </row>
    <row r="580" spans="1:27" x14ac:dyDescent="0.25">
      <c r="A580" s="118">
        <f>+CUBICACION!D574</f>
        <v>0</v>
      </c>
      <c r="B580" s="819">
        <f>+CUBICACION!E574</f>
        <v>0</v>
      </c>
      <c r="C580" s="675">
        <f>+CUBICACION!F574</f>
        <v>0</v>
      </c>
      <c r="D580" s="118"/>
      <c r="E580" s="118"/>
      <c r="F580" s="820"/>
      <c r="G580" s="675">
        <f>+CUBICACION!J574</f>
        <v>0</v>
      </c>
      <c r="H580" s="118"/>
      <c r="I580" s="821">
        <f>+CUBICACION!L574</f>
        <v>0</v>
      </c>
      <c r="J580" s="64">
        <f>+CUBICACION!M574</f>
        <v>0</v>
      </c>
      <c r="K580" s="822" t="str">
        <f>+CUBICACION!N574</f>
        <v/>
      </c>
      <c r="L580" s="118">
        <f>+CUBICACION!O574</f>
        <v>0</v>
      </c>
      <c r="M580" s="823">
        <f>+CUBICACION!P574</f>
        <v>0</v>
      </c>
      <c r="N580" s="902">
        <f>ROUND(IF(AND(L580="Blaze Shield II",M580="Software Idiem",C580="IN",G580=4),((('BLAZE SHIELD II'!$D$4*('CALCULO MORTERO'!I580^2)+'BLAZE SHIELD II'!$D$5*'CALCULO MORTERO'!I580+'BLAZE SHIELD II'!$D$6)*LN(J580))+('BLAZE SHIELD II'!$D$7*('CALCULO MORTERO'!I580^2)+'BLAZE SHIELD II'!$D$8*'CALCULO MORTERO'!I580+'BLAZE SHIELD II'!$D$9)),0)+IF(AND(L580="Blaze Shield II",M580="Software Idiem",C580="Cj"),((('BLAZE SHIELD II'!$H$4*('CALCULO MORTERO'!I580^2)+'BLAZE SHIELD II'!$H$5*'CALCULO MORTERO'!I580+'BLAZE SHIELD II'!$H$6)*LN(J580))+('BLAZE SHIELD II'!$H$7*('CALCULO MORTERO'!I580^2)+'BLAZE SHIELD II'!$H$8*'CALCULO MORTERO'!I580+'BLAZE SHIELD II'!$H$9)),0)+IF(AND(L580="Blaze Shield II",M580="Software Idiem",C580="C"),((('BLAZE SHIELD II'!$L$4*('CALCULO MORTERO'!I580^2)+'BLAZE SHIELD II'!$L$5*'CALCULO MORTERO'!I580+'BLAZE SHIELD II'!$L$6)*LN(J580))+('BLAZE SHIELD II'!$L$7*('CALCULO MORTERO'!I580^2)+'BLAZE SHIELD II'!$L$8*'CALCULO MORTERO'!I580+'BLAZE SHIELD II'!$L$9)),0)+IF(AND(L580="Blaze Shield II",M580="Software Idiem",C580="L"),((('BLAZE SHIELD II'!$L$4*('CALCULO MORTERO'!I580^2)+'BLAZE SHIELD II'!$L$5*'CALCULO MORTERO'!I580+'BLAZE SHIELD II'!$L$6)*LN(J580))+('BLAZE SHIELD II'!$L$7*('CALCULO MORTERO'!I580^2)+'BLAZE SHIELD II'!$L$8*'CALCULO MORTERO'!I580+'BLAZE SHIELD II'!$L$9)),0)+IF(AND(L580="Blaze Shield II",M580="Software Idiem",C580="IN",G580=3),((('BLAZE SHIELD II'!$H$14*('CALCULO MORTERO'!I580^2)+'BLAZE SHIELD II'!$H$15*'CALCULO MORTERO'!I580+'BLAZE SHIELD II'!$H$16)*LN(J580))+('BLAZE SHIELD II'!$H$17*('CALCULO MORTERO'!I580^2)+'BLAZE SHIELD II'!$H$18*'CALCULO MORTERO'!I580+'BLAZE SHIELD II'!$H$19)),0),0)+ROUND(IF(AND(L580="Cafco 400",M580="Software Idiem",C580="IN",G580=4),((('CAFCO 400 '!$H$7*(J580^4)+'CAFCO 400 '!$H$8*(J580^3)+'CAFCO 400 '!$H$9*(J580^2)+'CAFCO 400 '!$H$10*J580+'CAFCO 400 '!$H$11)*U580^2)+(('CAFCO 400 '!$H$12*(J580^3)+'CAFCO 400 '!$H$13*(J580^2)+'CAFCO 400 '!$H$14*J580+'CAFCO 400 '!$H$15)*U580)+('CAFCO 400 '!$H$16*(J580^2)+'CAFCO 400 '!$H$17*J580+'CAFCO 400 '!$H$18)),0)+IF(AND(L580="Cafco 400",M580="Software Idiem",C580="Cj"),(((('CAFCO 400 '!$D$7*LN(J580)+'CAFCO 400 '!$D$8)*U580^2)+(('CAFCO 400 '!$D$9*LN(J580)+'CAFCO 400 '!$D$10)*U580)+('CAFCO 400 '!$D$11*LN(J580)+'CAFCO 400 '!$D$12))),0)+IF(AND(L580="Cafco 400",M580="Software Idiem",C580="C"),((('CAFCO 400 '!$L$7*(J580^3)+'CAFCO 400 '!$L$8*(J580^2)+'CAFCO 400 '!$L$9*J580+'CAFCO 400 '!$L$10)*U580^2)+(('CAFCO 400 '!$L$11*(J580^3)+'CAFCO 400 '!$L$12*(J580^2)+'CAFCO 400 '!$L$13*J580+'CAFCO 400 '!$L$14)*U580)+('CAFCO 400 '!$L$15*LN(J580)+'CAFCO 400 '!$L$16)),0)+IF(AND(L580="Cafco 400",M580="Software Idiem",C580="L"),((('CAFCO 400 '!$L$7*(J580^3)+'CAFCO 400 '!$L$8*(J580^2)+'CAFCO 400 '!$L$9*J580+'CAFCO 400 '!$L$10)*U580^2)+(('CAFCO 400 '!$L$11*(J580^3)+'CAFCO 400 '!$L$12*(J580^2)+'CAFCO 400 '!$L$13*J580+'CAFCO 400 '!$L$14)*U580)+('CAFCO 400 '!$L$15*LN(J580)+'CAFCO 400 '!$L$16)),0)+IF(AND(L580="Cafco 400",M580="Software Idiem",C580="IN",G580=3),((('CAFCO 400 '!$D$23*(J580^2)+'CAFCO 400 '!$D$24*(J580)+'CAFCO 400 '!$D$25)*U580^2)+(('CAFCO 400 '!$D$26*(J580^2)+'CAFCO 400 '!$D$27*J580+'CAFCO 400 '!$D$28)*U580)+('CAFCO 400 '!$D$29*(J580^2)+'CAFCO 400 '!$D$30*J580+'CAFCO 400 '!$D$31)),0),0)+IF(AND(L580="Cafco 300",J580&gt;=95,J580&lt;=240,C580="Cj",I580=90),VLOOKUP(T580,'CAFCO 300 IDIEM TABLAS'!$B$4:$D$23,2,FALSE),0)+IF(AND(L580="Cafco 300",J580&gt;=95,J580&lt;=240,C580="Cj",I580=120),VLOOKUP(T580,'CAFCO 300 IDIEM TABLAS'!$B$4:$D$23,3,FALSE),0)+IF(AND(L580="Cafco 300",J580&gt;=95,J580&lt;=400,G580=3,C580="IN",I580=90),VLOOKUP(T580,'CAFCO 300 IDIEM TABLAS'!$F$4:$H$35,2,FALSE),0)+IF(AND(L580="Cafco 300",J580&gt;=95,J580&lt;=400,G580=3,C580="IN",I580=120),VLOOKUP(T580,'CAFCO 300 IDIEM TABLAS'!$F$4:$H$35,3,FALSE),0)+IF(AND(L580="Cafco 300",J580&gt;=95,J580&lt;=450,G580=4,C580="IN",I580=90),VLOOKUP(T580,'CAFCO 300 IDIEM TABLAS'!$J$4:$L$40,2,FALSE),0)+IF(AND(L580="Cafco 300",J580&gt;=95,J580&lt;=450,G580=4,C580="IN",I580=120),VLOOKUP(T580,'CAFCO 300 IDIEM TABLAS'!$J$4:$L$40,3,FALSE),0)+IF(AND(M580="Ensayo Idiem",L580="Cafco 400",C580="IN",G580=4,I580=90),VLOOKUP(T580,'CAFCO 400 ENSAYO'!$B$7:$D$43,2,FALSE),0)+IF(AND(M580="Ensayo Idiem",L580="Cafco 400",C580="IN",G580=4,I580=120),VLOOKUP(T580,'CAFCO 400 ENSAYO'!$B$7:$D$43,3,FALSE),0)</f>
        <v>0</v>
      </c>
      <c r="O580" s="96">
        <f t="shared" si="60"/>
        <v>0</v>
      </c>
      <c r="P580" s="95" t="str">
        <f t="shared" si="61"/>
        <v>N/A</v>
      </c>
      <c r="Q580" s="95" t="str">
        <f t="shared" si="62"/>
        <v>N/A</v>
      </c>
      <c r="R580" s="95" t="str">
        <f t="shared" si="63"/>
        <v>NO CERT.</v>
      </c>
      <c r="S580" s="95" t="e">
        <f t="shared" si="64"/>
        <v>#N/A</v>
      </c>
      <c r="T580" s="119" t="e">
        <f>+IF(J580=LOOKUP(J580,'CAFCO 300 IDIEM TABLAS'!$J$4:$J$40),'CALCULO MORTERO'!J580,MROUND('CALCULO MORTERO'!J580,10))</f>
        <v>#N/A</v>
      </c>
      <c r="U580" s="118">
        <f t="shared" si="65"/>
        <v>0</v>
      </c>
      <c r="Y580" s="4"/>
      <c r="Z580" s="4"/>
      <c r="AA580" s="4"/>
    </row>
    <row r="581" spans="1:27" x14ac:dyDescent="0.25">
      <c r="A581" s="118">
        <f>+CUBICACION!D575</f>
        <v>0</v>
      </c>
      <c r="B581" s="819">
        <f>+CUBICACION!E575</f>
        <v>0</v>
      </c>
      <c r="C581" s="675">
        <f>+CUBICACION!F575</f>
        <v>0</v>
      </c>
      <c r="D581" s="118"/>
      <c r="E581" s="118"/>
      <c r="F581" s="820"/>
      <c r="G581" s="675">
        <f>+CUBICACION!J575</f>
        <v>0</v>
      </c>
      <c r="H581" s="118"/>
      <c r="I581" s="821">
        <f>+CUBICACION!L575</f>
        <v>0</v>
      </c>
      <c r="J581" s="64">
        <f>+CUBICACION!M575</f>
        <v>0</v>
      </c>
      <c r="K581" s="822" t="str">
        <f>+CUBICACION!N575</f>
        <v/>
      </c>
      <c r="L581" s="118">
        <f>+CUBICACION!O575</f>
        <v>0</v>
      </c>
      <c r="M581" s="823">
        <f>+CUBICACION!P575</f>
        <v>0</v>
      </c>
      <c r="N581" s="902">
        <f>ROUND(IF(AND(L581="Blaze Shield II",M581="Software Idiem",C581="IN",G581=4),((('BLAZE SHIELD II'!$D$4*('CALCULO MORTERO'!I581^2)+'BLAZE SHIELD II'!$D$5*'CALCULO MORTERO'!I581+'BLAZE SHIELD II'!$D$6)*LN(J581))+('BLAZE SHIELD II'!$D$7*('CALCULO MORTERO'!I581^2)+'BLAZE SHIELD II'!$D$8*'CALCULO MORTERO'!I581+'BLAZE SHIELD II'!$D$9)),0)+IF(AND(L581="Blaze Shield II",M581="Software Idiem",C581="Cj"),((('BLAZE SHIELD II'!$H$4*('CALCULO MORTERO'!I581^2)+'BLAZE SHIELD II'!$H$5*'CALCULO MORTERO'!I581+'BLAZE SHIELD II'!$H$6)*LN(J581))+('BLAZE SHIELD II'!$H$7*('CALCULO MORTERO'!I581^2)+'BLAZE SHIELD II'!$H$8*'CALCULO MORTERO'!I581+'BLAZE SHIELD II'!$H$9)),0)+IF(AND(L581="Blaze Shield II",M581="Software Idiem",C581="C"),((('BLAZE SHIELD II'!$L$4*('CALCULO MORTERO'!I581^2)+'BLAZE SHIELD II'!$L$5*'CALCULO MORTERO'!I581+'BLAZE SHIELD II'!$L$6)*LN(J581))+('BLAZE SHIELD II'!$L$7*('CALCULO MORTERO'!I581^2)+'BLAZE SHIELD II'!$L$8*'CALCULO MORTERO'!I581+'BLAZE SHIELD II'!$L$9)),0)+IF(AND(L581="Blaze Shield II",M581="Software Idiem",C581="L"),((('BLAZE SHIELD II'!$L$4*('CALCULO MORTERO'!I581^2)+'BLAZE SHIELD II'!$L$5*'CALCULO MORTERO'!I581+'BLAZE SHIELD II'!$L$6)*LN(J581))+('BLAZE SHIELD II'!$L$7*('CALCULO MORTERO'!I581^2)+'BLAZE SHIELD II'!$L$8*'CALCULO MORTERO'!I581+'BLAZE SHIELD II'!$L$9)),0)+IF(AND(L581="Blaze Shield II",M581="Software Idiem",C581="IN",G581=3),((('BLAZE SHIELD II'!$H$14*('CALCULO MORTERO'!I581^2)+'BLAZE SHIELD II'!$H$15*'CALCULO MORTERO'!I581+'BLAZE SHIELD II'!$H$16)*LN(J581))+('BLAZE SHIELD II'!$H$17*('CALCULO MORTERO'!I581^2)+'BLAZE SHIELD II'!$H$18*'CALCULO MORTERO'!I581+'BLAZE SHIELD II'!$H$19)),0),0)+ROUND(IF(AND(L581="Cafco 400",M581="Software Idiem",C581="IN",G581=4),((('CAFCO 400 '!$H$7*(J581^4)+'CAFCO 400 '!$H$8*(J581^3)+'CAFCO 400 '!$H$9*(J581^2)+'CAFCO 400 '!$H$10*J581+'CAFCO 400 '!$H$11)*U581^2)+(('CAFCO 400 '!$H$12*(J581^3)+'CAFCO 400 '!$H$13*(J581^2)+'CAFCO 400 '!$H$14*J581+'CAFCO 400 '!$H$15)*U581)+('CAFCO 400 '!$H$16*(J581^2)+'CAFCO 400 '!$H$17*J581+'CAFCO 400 '!$H$18)),0)+IF(AND(L581="Cafco 400",M581="Software Idiem",C581="Cj"),(((('CAFCO 400 '!$D$7*LN(J581)+'CAFCO 400 '!$D$8)*U581^2)+(('CAFCO 400 '!$D$9*LN(J581)+'CAFCO 400 '!$D$10)*U581)+('CAFCO 400 '!$D$11*LN(J581)+'CAFCO 400 '!$D$12))),0)+IF(AND(L581="Cafco 400",M581="Software Idiem",C581="C"),((('CAFCO 400 '!$L$7*(J581^3)+'CAFCO 400 '!$L$8*(J581^2)+'CAFCO 400 '!$L$9*J581+'CAFCO 400 '!$L$10)*U581^2)+(('CAFCO 400 '!$L$11*(J581^3)+'CAFCO 400 '!$L$12*(J581^2)+'CAFCO 400 '!$L$13*J581+'CAFCO 400 '!$L$14)*U581)+('CAFCO 400 '!$L$15*LN(J581)+'CAFCO 400 '!$L$16)),0)+IF(AND(L581="Cafco 400",M581="Software Idiem",C581="L"),((('CAFCO 400 '!$L$7*(J581^3)+'CAFCO 400 '!$L$8*(J581^2)+'CAFCO 400 '!$L$9*J581+'CAFCO 400 '!$L$10)*U581^2)+(('CAFCO 400 '!$L$11*(J581^3)+'CAFCO 400 '!$L$12*(J581^2)+'CAFCO 400 '!$L$13*J581+'CAFCO 400 '!$L$14)*U581)+('CAFCO 400 '!$L$15*LN(J581)+'CAFCO 400 '!$L$16)),0)+IF(AND(L581="Cafco 400",M581="Software Idiem",C581="IN",G581=3),((('CAFCO 400 '!$D$23*(J581^2)+'CAFCO 400 '!$D$24*(J581)+'CAFCO 400 '!$D$25)*U581^2)+(('CAFCO 400 '!$D$26*(J581^2)+'CAFCO 400 '!$D$27*J581+'CAFCO 400 '!$D$28)*U581)+('CAFCO 400 '!$D$29*(J581^2)+'CAFCO 400 '!$D$30*J581+'CAFCO 400 '!$D$31)),0),0)+IF(AND(L581="Cafco 300",J581&gt;=95,J581&lt;=240,C581="Cj",I581=90),VLOOKUP(T581,'CAFCO 300 IDIEM TABLAS'!$B$4:$D$23,2,FALSE),0)+IF(AND(L581="Cafco 300",J581&gt;=95,J581&lt;=240,C581="Cj",I581=120),VLOOKUP(T581,'CAFCO 300 IDIEM TABLAS'!$B$4:$D$23,3,FALSE),0)+IF(AND(L581="Cafco 300",J581&gt;=95,J581&lt;=400,G581=3,C581="IN",I581=90),VLOOKUP(T581,'CAFCO 300 IDIEM TABLAS'!$F$4:$H$35,2,FALSE),0)+IF(AND(L581="Cafco 300",J581&gt;=95,J581&lt;=400,G581=3,C581="IN",I581=120),VLOOKUP(T581,'CAFCO 300 IDIEM TABLAS'!$F$4:$H$35,3,FALSE),0)+IF(AND(L581="Cafco 300",J581&gt;=95,J581&lt;=450,G581=4,C581="IN",I581=90),VLOOKUP(T581,'CAFCO 300 IDIEM TABLAS'!$J$4:$L$40,2,FALSE),0)+IF(AND(L581="Cafco 300",J581&gt;=95,J581&lt;=450,G581=4,C581="IN",I581=120),VLOOKUP(T581,'CAFCO 300 IDIEM TABLAS'!$J$4:$L$40,3,FALSE),0)+IF(AND(M581="Ensayo Idiem",L581="Cafco 400",C581="IN",G581=4,I581=90),VLOOKUP(T581,'CAFCO 400 ENSAYO'!$B$7:$D$43,2,FALSE),0)+IF(AND(M581="Ensayo Idiem",L581="Cafco 400",C581="IN",G581=4,I581=120),VLOOKUP(T581,'CAFCO 400 ENSAYO'!$B$7:$D$43,3,FALSE),0)</f>
        <v>0</v>
      </c>
      <c r="O581" s="96">
        <f t="shared" si="60"/>
        <v>0</v>
      </c>
      <c r="P581" s="132" t="str">
        <f t="shared" si="61"/>
        <v>N/A</v>
      </c>
      <c r="Q581" s="132" t="str">
        <f t="shared" si="62"/>
        <v>N/A</v>
      </c>
      <c r="R581" s="132" t="str">
        <f t="shared" si="63"/>
        <v>NO CERT.</v>
      </c>
      <c r="S581" s="132" t="e">
        <f t="shared" si="64"/>
        <v>#N/A</v>
      </c>
      <c r="T581" s="133" t="e">
        <f>+IF(J581=LOOKUP(J581,'CAFCO 300 IDIEM TABLAS'!$J$4:$J$40),'CALCULO MORTERO'!J581,MROUND('CALCULO MORTERO'!J581,10))</f>
        <v>#N/A</v>
      </c>
      <c r="U581" s="134">
        <f t="shared" si="65"/>
        <v>0</v>
      </c>
      <c r="Y581" s="4"/>
      <c r="Z581" s="4"/>
      <c r="AA581" s="4"/>
    </row>
    <row r="582" spans="1:27" x14ac:dyDescent="0.25">
      <c r="A582" s="118">
        <f>+CUBICACION!D576</f>
        <v>0</v>
      </c>
      <c r="B582" s="819">
        <f>+CUBICACION!E576</f>
        <v>0</v>
      </c>
      <c r="C582" s="675">
        <f>+CUBICACION!F576</f>
        <v>0</v>
      </c>
      <c r="D582" s="118"/>
      <c r="E582" s="118"/>
      <c r="F582" s="820"/>
      <c r="G582" s="675">
        <f>+CUBICACION!J576</f>
        <v>0</v>
      </c>
      <c r="H582" s="118"/>
      <c r="I582" s="821">
        <f>+CUBICACION!L576</f>
        <v>0</v>
      </c>
      <c r="J582" s="64">
        <f>+CUBICACION!M576</f>
        <v>0</v>
      </c>
      <c r="K582" s="822" t="str">
        <f>+CUBICACION!N576</f>
        <v/>
      </c>
      <c r="L582" s="118">
        <f>+CUBICACION!O576</f>
        <v>0</v>
      </c>
      <c r="M582" s="823">
        <f>+CUBICACION!P576</f>
        <v>0</v>
      </c>
      <c r="N582" s="902">
        <f>ROUND(IF(AND(L582="Blaze Shield II",M582="Software Idiem",C582="IN",G582=4),((('BLAZE SHIELD II'!$D$4*('CALCULO MORTERO'!I582^2)+'BLAZE SHIELD II'!$D$5*'CALCULO MORTERO'!I582+'BLAZE SHIELD II'!$D$6)*LN(J582))+('BLAZE SHIELD II'!$D$7*('CALCULO MORTERO'!I582^2)+'BLAZE SHIELD II'!$D$8*'CALCULO MORTERO'!I582+'BLAZE SHIELD II'!$D$9)),0)+IF(AND(L582="Blaze Shield II",M582="Software Idiem",C582="Cj"),((('BLAZE SHIELD II'!$H$4*('CALCULO MORTERO'!I582^2)+'BLAZE SHIELD II'!$H$5*'CALCULO MORTERO'!I582+'BLAZE SHIELD II'!$H$6)*LN(J582))+('BLAZE SHIELD II'!$H$7*('CALCULO MORTERO'!I582^2)+'BLAZE SHIELD II'!$H$8*'CALCULO MORTERO'!I582+'BLAZE SHIELD II'!$H$9)),0)+IF(AND(L582="Blaze Shield II",M582="Software Idiem",C582="C"),((('BLAZE SHIELD II'!$L$4*('CALCULO MORTERO'!I582^2)+'BLAZE SHIELD II'!$L$5*'CALCULO MORTERO'!I582+'BLAZE SHIELD II'!$L$6)*LN(J582))+('BLAZE SHIELD II'!$L$7*('CALCULO MORTERO'!I582^2)+'BLAZE SHIELD II'!$L$8*'CALCULO MORTERO'!I582+'BLAZE SHIELD II'!$L$9)),0)+IF(AND(L582="Blaze Shield II",M582="Software Idiem",C582="L"),((('BLAZE SHIELD II'!$L$4*('CALCULO MORTERO'!I582^2)+'BLAZE SHIELD II'!$L$5*'CALCULO MORTERO'!I582+'BLAZE SHIELD II'!$L$6)*LN(J582))+('BLAZE SHIELD II'!$L$7*('CALCULO MORTERO'!I582^2)+'BLAZE SHIELD II'!$L$8*'CALCULO MORTERO'!I582+'BLAZE SHIELD II'!$L$9)),0)+IF(AND(L582="Blaze Shield II",M582="Software Idiem",C582="IN",G582=3),((('BLAZE SHIELD II'!$H$14*('CALCULO MORTERO'!I582^2)+'BLAZE SHIELD II'!$H$15*'CALCULO MORTERO'!I582+'BLAZE SHIELD II'!$H$16)*LN(J582))+('BLAZE SHIELD II'!$H$17*('CALCULO MORTERO'!I582^2)+'BLAZE SHIELD II'!$H$18*'CALCULO MORTERO'!I582+'BLAZE SHIELD II'!$H$19)),0),0)+ROUND(IF(AND(L582="Cafco 400",M582="Software Idiem",C582="IN",G582=4),((('CAFCO 400 '!$H$7*(J582^4)+'CAFCO 400 '!$H$8*(J582^3)+'CAFCO 400 '!$H$9*(J582^2)+'CAFCO 400 '!$H$10*J582+'CAFCO 400 '!$H$11)*U582^2)+(('CAFCO 400 '!$H$12*(J582^3)+'CAFCO 400 '!$H$13*(J582^2)+'CAFCO 400 '!$H$14*J582+'CAFCO 400 '!$H$15)*U582)+('CAFCO 400 '!$H$16*(J582^2)+'CAFCO 400 '!$H$17*J582+'CAFCO 400 '!$H$18)),0)+IF(AND(L582="Cafco 400",M582="Software Idiem",C582="Cj"),(((('CAFCO 400 '!$D$7*LN(J582)+'CAFCO 400 '!$D$8)*U582^2)+(('CAFCO 400 '!$D$9*LN(J582)+'CAFCO 400 '!$D$10)*U582)+('CAFCO 400 '!$D$11*LN(J582)+'CAFCO 400 '!$D$12))),0)+IF(AND(L582="Cafco 400",M582="Software Idiem",C582="C"),((('CAFCO 400 '!$L$7*(J582^3)+'CAFCO 400 '!$L$8*(J582^2)+'CAFCO 400 '!$L$9*J582+'CAFCO 400 '!$L$10)*U582^2)+(('CAFCO 400 '!$L$11*(J582^3)+'CAFCO 400 '!$L$12*(J582^2)+'CAFCO 400 '!$L$13*J582+'CAFCO 400 '!$L$14)*U582)+('CAFCO 400 '!$L$15*LN(J582)+'CAFCO 400 '!$L$16)),0)+IF(AND(L582="Cafco 400",M582="Software Idiem",C582="L"),((('CAFCO 400 '!$L$7*(J582^3)+'CAFCO 400 '!$L$8*(J582^2)+'CAFCO 400 '!$L$9*J582+'CAFCO 400 '!$L$10)*U582^2)+(('CAFCO 400 '!$L$11*(J582^3)+'CAFCO 400 '!$L$12*(J582^2)+'CAFCO 400 '!$L$13*J582+'CAFCO 400 '!$L$14)*U582)+('CAFCO 400 '!$L$15*LN(J582)+'CAFCO 400 '!$L$16)),0)+IF(AND(L582="Cafco 400",M582="Software Idiem",C582="IN",G582=3),((('CAFCO 400 '!$D$23*(J582^2)+'CAFCO 400 '!$D$24*(J582)+'CAFCO 400 '!$D$25)*U582^2)+(('CAFCO 400 '!$D$26*(J582^2)+'CAFCO 400 '!$D$27*J582+'CAFCO 400 '!$D$28)*U582)+('CAFCO 400 '!$D$29*(J582^2)+'CAFCO 400 '!$D$30*J582+'CAFCO 400 '!$D$31)),0),0)+IF(AND(L582="Cafco 300",J582&gt;=95,J582&lt;=240,C582="Cj",I582=90),VLOOKUP(T582,'CAFCO 300 IDIEM TABLAS'!$B$4:$D$23,2,FALSE),0)+IF(AND(L582="Cafco 300",J582&gt;=95,J582&lt;=240,C582="Cj",I582=120),VLOOKUP(T582,'CAFCO 300 IDIEM TABLAS'!$B$4:$D$23,3,FALSE),0)+IF(AND(L582="Cafco 300",J582&gt;=95,J582&lt;=400,G582=3,C582="IN",I582=90),VLOOKUP(T582,'CAFCO 300 IDIEM TABLAS'!$F$4:$H$35,2,FALSE),0)+IF(AND(L582="Cafco 300",J582&gt;=95,J582&lt;=400,G582=3,C582="IN",I582=120),VLOOKUP(T582,'CAFCO 300 IDIEM TABLAS'!$F$4:$H$35,3,FALSE),0)+IF(AND(L582="Cafco 300",J582&gt;=95,J582&lt;=450,G582=4,C582="IN",I582=90),VLOOKUP(T582,'CAFCO 300 IDIEM TABLAS'!$J$4:$L$40,2,FALSE),0)+IF(AND(L582="Cafco 300",J582&gt;=95,J582&lt;=450,G582=4,C582="IN",I582=120),VLOOKUP(T582,'CAFCO 300 IDIEM TABLAS'!$J$4:$L$40,3,FALSE),0)+IF(AND(M582="Ensayo Idiem",L582="Cafco 400",C582="IN",G582=4,I582=90),VLOOKUP(T582,'CAFCO 400 ENSAYO'!$B$7:$D$43,2,FALSE),0)+IF(AND(M582="Ensayo Idiem",L582="Cafco 400",C582="IN",G582=4,I582=120),VLOOKUP(T582,'CAFCO 400 ENSAYO'!$B$7:$D$43,3,FALSE),0)</f>
        <v>0</v>
      </c>
      <c r="O582" s="96">
        <f t="shared" si="60"/>
        <v>0</v>
      </c>
      <c r="P582" s="95" t="str">
        <f t="shared" si="61"/>
        <v>N/A</v>
      </c>
      <c r="Q582" s="95" t="str">
        <f t="shared" si="62"/>
        <v>N/A</v>
      </c>
      <c r="R582" s="95" t="str">
        <f t="shared" si="63"/>
        <v>NO CERT.</v>
      </c>
      <c r="S582" s="95" t="e">
        <f t="shared" si="64"/>
        <v>#N/A</v>
      </c>
      <c r="T582" s="119" t="e">
        <f>+IF(J582=LOOKUP(J582,'CAFCO 300 IDIEM TABLAS'!$J$4:$J$40),'CALCULO MORTERO'!J582,MROUND('CALCULO MORTERO'!J582,10))</f>
        <v>#N/A</v>
      </c>
      <c r="U582" s="118">
        <f t="shared" si="65"/>
        <v>0</v>
      </c>
      <c r="Y582" s="4"/>
      <c r="Z582" s="4"/>
      <c r="AA582" s="4"/>
    </row>
    <row r="583" spans="1:27" x14ac:dyDescent="0.25">
      <c r="A583" s="118">
        <f>+CUBICACION!D577</f>
        <v>0</v>
      </c>
      <c r="B583" s="819">
        <f>+CUBICACION!E577</f>
        <v>0</v>
      </c>
      <c r="C583" s="675">
        <f>+CUBICACION!F577</f>
        <v>0</v>
      </c>
      <c r="D583" s="118"/>
      <c r="E583" s="118"/>
      <c r="F583" s="820"/>
      <c r="G583" s="675">
        <f>+CUBICACION!J577</f>
        <v>0</v>
      </c>
      <c r="H583" s="118"/>
      <c r="I583" s="821">
        <f>+CUBICACION!L577</f>
        <v>0</v>
      </c>
      <c r="J583" s="64">
        <f>+CUBICACION!M577</f>
        <v>0</v>
      </c>
      <c r="K583" s="822" t="str">
        <f>+CUBICACION!N577</f>
        <v/>
      </c>
      <c r="L583" s="118">
        <f>+CUBICACION!O577</f>
        <v>0</v>
      </c>
      <c r="M583" s="823">
        <f>+CUBICACION!P577</f>
        <v>0</v>
      </c>
      <c r="N583" s="902">
        <f>ROUND(IF(AND(L583="Blaze Shield II",M583="Software Idiem",C583="IN",G583=4),((('BLAZE SHIELD II'!$D$4*('CALCULO MORTERO'!I583^2)+'BLAZE SHIELD II'!$D$5*'CALCULO MORTERO'!I583+'BLAZE SHIELD II'!$D$6)*LN(J583))+('BLAZE SHIELD II'!$D$7*('CALCULO MORTERO'!I583^2)+'BLAZE SHIELD II'!$D$8*'CALCULO MORTERO'!I583+'BLAZE SHIELD II'!$D$9)),0)+IF(AND(L583="Blaze Shield II",M583="Software Idiem",C583="Cj"),((('BLAZE SHIELD II'!$H$4*('CALCULO MORTERO'!I583^2)+'BLAZE SHIELD II'!$H$5*'CALCULO MORTERO'!I583+'BLAZE SHIELD II'!$H$6)*LN(J583))+('BLAZE SHIELD II'!$H$7*('CALCULO MORTERO'!I583^2)+'BLAZE SHIELD II'!$H$8*'CALCULO MORTERO'!I583+'BLAZE SHIELD II'!$H$9)),0)+IF(AND(L583="Blaze Shield II",M583="Software Idiem",C583="C"),((('BLAZE SHIELD II'!$L$4*('CALCULO MORTERO'!I583^2)+'BLAZE SHIELD II'!$L$5*'CALCULO MORTERO'!I583+'BLAZE SHIELD II'!$L$6)*LN(J583))+('BLAZE SHIELD II'!$L$7*('CALCULO MORTERO'!I583^2)+'BLAZE SHIELD II'!$L$8*'CALCULO MORTERO'!I583+'BLAZE SHIELD II'!$L$9)),0)+IF(AND(L583="Blaze Shield II",M583="Software Idiem",C583="L"),((('BLAZE SHIELD II'!$L$4*('CALCULO MORTERO'!I583^2)+'BLAZE SHIELD II'!$L$5*'CALCULO MORTERO'!I583+'BLAZE SHIELD II'!$L$6)*LN(J583))+('BLAZE SHIELD II'!$L$7*('CALCULO MORTERO'!I583^2)+'BLAZE SHIELD II'!$L$8*'CALCULO MORTERO'!I583+'BLAZE SHIELD II'!$L$9)),0)+IF(AND(L583="Blaze Shield II",M583="Software Idiem",C583="IN",G583=3),((('BLAZE SHIELD II'!$H$14*('CALCULO MORTERO'!I583^2)+'BLAZE SHIELD II'!$H$15*'CALCULO MORTERO'!I583+'BLAZE SHIELD II'!$H$16)*LN(J583))+('BLAZE SHIELD II'!$H$17*('CALCULO MORTERO'!I583^2)+'BLAZE SHIELD II'!$H$18*'CALCULO MORTERO'!I583+'BLAZE SHIELD II'!$H$19)),0),0)+ROUND(IF(AND(L583="Cafco 400",M583="Software Idiem",C583="IN",G583=4),((('CAFCO 400 '!$H$7*(J583^4)+'CAFCO 400 '!$H$8*(J583^3)+'CAFCO 400 '!$H$9*(J583^2)+'CAFCO 400 '!$H$10*J583+'CAFCO 400 '!$H$11)*U583^2)+(('CAFCO 400 '!$H$12*(J583^3)+'CAFCO 400 '!$H$13*(J583^2)+'CAFCO 400 '!$H$14*J583+'CAFCO 400 '!$H$15)*U583)+('CAFCO 400 '!$H$16*(J583^2)+'CAFCO 400 '!$H$17*J583+'CAFCO 400 '!$H$18)),0)+IF(AND(L583="Cafco 400",M583="Software Idiem",C583="Cj"),(((('CAFCO 400 '!$D$7*LN(J583)+'CAFCO 400 '!$D$8)*U583^2)+(('CAFCO 400 '!$D$9*LN(J583)+'CAFCO 400 '!$D$10)*U583)+('CAFCO 400 '!$D$11*LN(J583)+'CAFCO 400 '!$D$12))),0)+IF(AND(L583="Cafco 400",M583="Software Idiem",C583="C"),((('CAFCO 400 '!$L$7*(J583^3)+'CAFCO 400 '!$L$8*(J583^2)+'CAFCO 400 '!$L$9*J583+'CAFCO 400 '!$L$10)*U583^2)+(('CAFCO 400 '!$L$11*(J583^3)+'CAFCO 400 '!$L$12*(J583^2)+'CAFCO 400 '!$L$13*J583+'CAFCO 400 '!$L$14)*U583)+('CAFCO 400 '!$L$15*LN(J583)+'CAFCO 400 '!$L$16)),0)+IF(AND(L583="Cafco 400",M583="Software Idiem",C583="L"),((('CAFCO 400 '!$L$7*(J583^3)+'CAFCO 400 '!$L$8*(J583^2)+'CAFCO 400 '!$L$9*J583+'CAFCO 400 '!$L$10)*U583^2)+(('CAFCO 400 '!$L$11*(J583^3)+'CAFCO 400 '!$L$12*(J583^2)+'CAFCO 400 '!$L$13*J583+'CAFCO 400 '!$L$14)*U583)+('CAFCO 400 '!$L$15*LN(J583)+'CAFCO 400 '!$L$16)),0)+IF(AND(L583="Cafco 400",M583="Software Idiem",C583="IN",G583=3),((('CAFCO 400 '!$D$23*(J583^2)+'CAFCO 400 '!$D$24*(J583)+'CAFCO 400 '!$D$25)*U583^2)+(('CAFCO 400 '!$D$26*(J583^2)+'CAFCO 400 '!$D$27*J583+'CAFCO 400 '!$D$28)*U583)+('CAFCO 400 '!$D$29*(J583^2)+'CAFCO 400 '!$D$30*J583+'CAFCO 400 '!$D$31)),0),0)+IF(AND(L583="Cafco 300",J583&gt;=95,J583&lt;=240,C583="Cj",I583=90),VLOOKUP(T583,'CAFCO 300 IDIEM TABLAS'!$B$4:$D$23,2,FALSE),0)+IF(AND(L583="Cafco 300",J583&gt;=95,J583&lt;=240,C583="Cj",I583=120),VLOOKUP(T583,'CAFCO 300 IDIEM TABLAS'!$B$4:$D$23,3,FALSE),0)+IF(AND(L583="Cafco 300",J583&gt;=95,J583&lt;=400,G583=3,C583="IN",I583=90),VLOOKUP(T583,'CAFCO 300 IDIEM TABLAS'!$F$4:$H$35,2,FALSE),0)+IF(AND(L583="Cafco 300",J583&gt;=95,J583&lt;=400,G583=3,C583="IN",I583=120),VLOOKUP(T583,'CAFCO 300 IDIEM TABLAS'!$F$4:$H$35,3,FALSE),0)+IF(AND(L583="Cafco 300",J583&gt;=95,J583&lt;=450,G583=4,C583="IN",I583=90),VLOOKUP(T583,'CAFCO 300 IDIEM TABLAS'!$J$4:$L$40,2,FALSE),0)+IF(AND(L583="Cafco 300",J583&gt;=95,J583&lt;=450,G583=4,C583="IN",I583=120),VLOOKUP(T583,'CAFCO 300 IDIEM TABLAS'!$J$4:$L$40,3,FALSE),0)+IF(AND(M583="Ensayo Idiem",L583="Cafco 400",C583="IN",G583=4,I583=90),VLOOKUP(T583,'CAFCO 400 ENSAYO'!$B$7:$D$43,2,FALSE),0)+IF(AND(M583="Ensayo Idiem",L583="Cafco 400",C583="IN",G583=4,I583=120),VLOOKUP(T583,'CAFCO 400 ENSAYO'!$B$7:$D$43,3,FALSE),0)</f>
        <v>0</v>
      </c>
      <c r="O583" s="96">
        <f t="shared" si="60"/>
        <v>0</v>
      </c>
      <c r="P583" s="132" t="str">
        <f t="shared" si="61"/>
        <v>N/A</v>
      </c>
      <c r="Q583" s="132" t="str">
        <f t="shared" si="62"/>
        <v>N/A</v>
      </c>
      <c r="R583" s="132" t="str">
        <f t="shared" si="63"/>
        <v>NO CERT.</v>
      </c>
      <c r="S583" s="132" t="e">
        <f t="shared" si="64"/>
        <v>#N/A</v>
      </c>
      <c r="T583" s="133" t="e">
        <f>+IF(J583=LOOKUP(J583,'CAFCO 300 IDIEM TABLAS'!$J$4:$J$40),'CALCULO MORTERO'!J583,MROUND('CALCULO MORTERO'!J583,10))</f>
        <v>#N/A</v>
      </c>
      <c r="U583" s="134">
        <f t="shared" si="65"/>
        <v>0</v>
      </c>
      <c r="Y583" s="4"/>
      <c r="Z583" s="4"/>
      <c r="AA583" s="4"/>
    </row>
    <row r="584" spans="1:27" x14ac:dyDescent="0.25">
      <c r="A584" s="118">
        <f>+CUBICACION!D578</f>
        <v>0</v>
      </c>
      <c r="B584" s="819">
        <f>+CUBICACION!E578</f>
        <v>0</v>
      </c>
      <c r="C584" s="675">
        <f>+CUBICACION!F578</f>
        <v>0</v>
      </c>
      <c r="D584" s="118"/>
      <c r="E584" s="118"/>
      <c r="F584" s="820"/>
      <c r="G584" s="675">
        <f>+CUBICACION!J578</f>
        <v>0</v>
      </c>
      <c r="H584" s="118"/>
      <c r="I584" s="821">
        <f>+CUBICACION!L578</f>
        <v>0</v>
      </c>
      <c r="J584" s="64">
        <f>+CUBICACION!M578</f>
        <v>0</v>
      </c>
      <c r="K584" s="822" t="str">
        <f>+CUBICACION!N578</f>
        <v/>
      </c>
      <c r="L584" s="118">
        <f>+CUBICACION!O578</f>
        <v>0</v>
      </c>
      <c r="M584" s="823">
        <f>+CUBICACION!P578</f>
        <v>0</v>
      </c>
      <c r="N584" s="902">
        <f>ROUND(IF(AND(L584="Blaze Shield II",M584="Software Idiem",C584="IN",G584=4),((('BLAZE SHIELD II'!$D$4*('CALCULO MORTERO'!I584^2)+'BLAZE SHIELD II'!$D$5*'CALCULO MORTERO'!I584+'BLAZE SHIELD II'!$D$6)*LN(J584))+('BLAZE SHIELD II'!$D$7*('CALCULO MORTERO'!I584^2)+'BLAZE SHIELD II'!$D$8*'CALCULO MORTERO'!I584+'BLAZE SHIELD II'!$D$9)),0)+IF(AND(L584="Blaze Shield II",M584="Software Idiem",C584="Cj"),((('BLAZE SHIELD II'!$H$4*('CALCULO MORTERO'!I584^2)+'BLAZE SHIELD II'!$H$5*'CALCULO MORTERO'!I584+'BLAZE SHIELD II'!$H$6)*LN(J584))+('BLAZE SHIELD II'!$H$7*('CALCULO MORTERO'!I584^2)+'BLAZE SHIELD II'!$H$8*'CALCULO MORTERO'!I584+'BLAZE SHIELD II'!$H$9)),0)+IF(AND(L584="Blaze Shield II",M584="Software Idiem",C584="C"),((('BLAZE SHIELD II'!$L$4*('CALCULO MORTERO'!I584^2)+'BLAZE SHIELD II'!$L$5*'CALCULO MORTERO'!I584+'BLAZE SHIELD II'!$L$6)*LN(J584))+('BLAZE SHIELD II'!$L$7*('CALCULO MORTERO'!I584^2)+'BLAZE SHIELD II'!$L$8*'CALCULO MORTERO'!I584+'BLAZE SHIELD II'!$L$9)),0)+IF(AND(L584="Blaze Shield II",M584="Software Idiem",C584="L"),((('BLAZE SHIELD II'!$L$4*('CALCULO MORTERO'!I584^2)+'BLAZE SHIELD II'!$L$5*'CALCULO MORTERO'!I584+'BLAZE SHIELD II'!$L$6)*LN(J584))+('BLAZE SHIELD II'!$L$7*('CALCULO MORTERO'!I584^2)+'BLAZE SHIELD II'!$L$8*'CALCULO MORTERO'!I584+'BLAZE SHIELD II'!$L$9)),0)+IF(AND(L584="Blaze Shield II",M584="Software Idiem",C584="IN",G584=3),((('BLAZE SHIELD II'!$H$14*('CALCULO MORTERO'!I584^2)+'BLAZE SHIELD II'!$H$15*'CALCULO MORTERO'!I584+'BLAZE SHIELD II'!$H$16)*LN(J584))+('BLAZE SHIELD II'!$H$17*('CALCULO MORTERO'!I584^2)+'BLAZE SHIELD II'!$H$18*'CALCULO MORTERO'!I584+'BLAZE SHIELD II'!$H$19)),0),0)+ROUND(IF(AND(L584="Cafco 400",M584="Software Idiem",C584="IN",G584=4),((('CAFCO 400 '!$H$7*(J584^4)+'CAFCO 400 '!$H$8*(J584^3)+'CAFCO 400 '!$H$9*(J584^2)+'CAFCO 400 '!$H$10*J584+'CAFCO 400 '!$H$11)*U584^2)+(('CAFCO 400 '!$H$12*(J584^3)+'CAFCO 400 '!$H$13*(J584^2)+'CAFCO 400 '!$H$14*J584+'CAFCO 400 '!$H$15)*U584)+('CAFCO 400 '!$H$16*(J584^2)+'CAFCO 400 '!$H$17*J584+'CAFCO 400 '!$H$18)),0)+IF(AND(L584="Cafco 400",M584="Software Idiem",C584="Cj"),(((('CAFCO 400 '!$D$7*LN(J584)+'CAFCO 400 '!$D$8)*U584^2)+(('CAFCO 400 '!$D$9*LN(J584)+'CAFCO 400 '!$D$10)*U584)+('CAFCO 400 '!$D$11*LN(J584)+'CAFCO 400 '!$D$12))),0)+IF(AND(L584="Cafco 400",M584="Software Idiem",C584="C"),((('CAFCO 400 '!$L$7*(J584^3)+'CAFCO 400 '!$L$8*(J584^2)+'CAFCO 400 '!$L$9*J584+'CAFCO 400 '!$L$10)*U584^2)+(('CAFCO 400 '!$L$11*(J584^3)+'CAFCO 400 '!$L$12*(J584^2)+'CAFCO 400 '!$L$13*J584+'CAFCO 400 '!$L$14)*U584)+('CAFCO 400 '!$L$15*LN(J584)+'CAFCO 400 '!$L$16)),0)+IF(AND(L584="Cafco 400",M584="Software Idiem",C584="L"),((('CAFCO 400 '!$L$7*(J584^3)+'CAFCO 400 '!$L$8*(J584^2)+'CAFCO 400 '!$L$9*J584+'CAFCO 400 '!$L$10)*U584^2)+(('CAFCO 400 '!$L$11*(J584^3)+'CAFCO 400 '!$L$12*(J584^2)+'CAFCO 400 '!$L$13*J584+'CAFCO 400 '!$L$14)*U584)+('CAFCO 400 '!$L$15*LN(J584)+'CAFCO 400 '!$L$16)),0)+IF(AND(L584="Cafco 400",M584="Software Idiem",C584="IN",G584=3),((('CAFCO 400 '!$D$23*(J584^2)+'CAFCO 400 '!$D$24*(J584)+'CAFCO 400 '!$D$25)*U584^2)+(('CAFCO 400 '!$D$26*(J584^2)+'CAFCO 400 '!$D$27*J584+'CAFCO 400 '!$D$28)*U584)+('CAFCO 400 '!$D$29*(J584^2)+'CAFCO 400 '!$D$30*J584+'CAFCO 400 '!$D$31)),0),0)+IF(AND(L584="Cafco 300",J584&gt;=95,J584&lt;=240,C584="Cj",I584=90),VLOOKUP(T584,'CAFCO 300 IDIEM TABLAS'!$B$4:$D$23,2,FALSE),0)+IF(AND(L584="Cafco 300",J584&gt;=95,J584&lt;=240,C584="Cj",I584=120),VLOOKUP(T584,'CAFCO 300 IDIEM TABLAS'!$B$4:$D$23,3,FALSE),0)+IF(AND(L584="Cafco 300",J584&gt;=95,J584&lt;=400,G584=3,C584="IN",I584=90),VLOOKUP(T584,'CAFCO 300 IDIEM TABLAS'!$F$4:$H$35,2,FALSE),0)+IF(AND(L584="Cafco 300",J584&gt;=95,J584&lt;=400,G584=3,C584="IN",I584=120),VLOOKUP(T584,'CAFCO 300 IDIEM TABLAS'!$F$4:$H$35,3,FALSE),0)+IF(AND(L584="Cafco 300",J584&gt;=95,J584&lt;=450,G584=4,C584="IN",I584=90),VLOOKUP(T584,'CAFCO 300 IDIEM TABLAS'!$J$4:$L$40,2,FALSE),0)+IF(AND(L584="Cafco 300",J584&gt;=95,J584&lt;=450,G584=4,C584="IN",I584=120),VLOOKUP(T584,'CAFCO 300 IDIEM TABLAS'!$J$4:$L$40,3,FALSE),0)+IF(AND(M584="Ensayo Idiem",L584="Cafco 400",C584="IN",G584=4,I584=90),VLOOKUP(T584,'CAFCO 400 ENSAYO'!$B$7:$D$43,2,FALSE),0)+IF(AND(M584="Ensayo Idiem",L584="Cafco 400",C584="IN",G584=4,I584=120),VLOOKUP(T584,'CAFCO 400 ENSAYO'!$B$7:$D$43,3,FALSE),0)</f>
        <v>0</v>
      </c>
      <c r="O584" s="96">
        <f t="shared" si="60"/>
        <v>0</v>
      </c>
      <c r="P584" s="95" t="str">
        <f t="shared" si="61"/>
        <v>N/A</v>
      </c>
      <c r="Q584" s="95" t="str">
        <f t="shared" si="62"/>
        <v>N/A</v>
      </c>
      <c r="R584" s="95" t="str">
        <f t="shared" si="63"/>
        <v>NO CERT.</v>
      </c>
      <c r="S584" s="95" t="e">
        <f t="shared" si="64"/>
        <v>#N/A</v>
      </c>
      <c r="T584" s="119" t="e">
        <f>+IF(J584=LOOKUP(J584,'CAFCO 300 IDIEM TABLAS'!$J$4:$J$40),'CALCULO MORTERO'!J584,MROUND('CALCULO MORTERO'!J584,10))</f>
        <v>#N/A</v>
      </c>
      <c r="U584" s="118">
        <f t="shared" si="65"/>
        <v>0</v>
      </c>
      <c r="Y584" s="4"/>
      <c r="Z584" s="4"/>
      <c r="AA584" s="4"/>
    </row>
    <row r="585" spans="1:27" x14ac:dyDescent="0.25">
      <c r="A585" s="118">
        <f>+CUBICACION!D579</f>
        <v>0</v>
      </c>
      <c r="B585" s="819">
        <f>+CUBICACION!E579</f>
        <v>0</v>
      </c>
      <c r="C585" s="675">
        <f>+CUBICACION!F579</f>
        <v>0</v>
      </c>
      <c r="D585" s="118"/>
      <c r="E585" s="118"/>
      <c r="F585" s="820"/>
      <c r="G585" s="675">
        <f>+CUBICACION!J579</f>
        <v>0</v>
      </c>
      <c r="H585" s="118"/>
      <c r="I585" s="821">
        <f>+CUBICACION!L579</f>
        <v>0</v>
      </c>
      <c r="J585" s="64">
        <f>+CUBICACION!M579</f>
        <v>0</v>
      </c>
      <c r="K585" s="822" t="str">
        <f>+CUBICACION!N579</f>
        <v/>
      </c>
      <c r="L585" s="118">
        <f>+CUBICACION!O579</f>
        <v>0</v>
      </c>
      <c r="M585" s="823">
        <f>+CUBICACION!P579</f>
        <v>0</v>
      </c>
      <c r="N585" s="902">
        <f>ROUND(IF(AND(L585="Blaze Shield II",M585="Software Idiem",C585="IN",G585=4),((('BLAZE SHIELD II'!$D$4*('CALCULO MORTERO'!I585^2)+'BLAZE SHIELD II'!$D$5*'CALCULO MORTERO'!I585+'BLAZE SHIELD II'!$D$6)*LN(J585))+('BLAZE SHIELD II'!$D$7*('CALCULO MORTERO'!I585^2)+'BLAZE SHIELD II'!$D$8*'CALCULO MORTERO'!I585+'BLAZE SHIELD II'!$D$9)),0)+IF(AND(L585="Blaze Shield II",M585="Software Idiem",C585="Cj"),((('BLAZE SHIELD II'!$H$4*('CALCULO MORTERO'!I585^2)+'BLAZE SHIELD II'!$H$5*'CALCULO MORTERO'!I585+'BLAZE SHIELD II'!$H$6)*LN(J585))+('BLAZE SHIELD II'!$H$7*('CALCULO MORTERO'!I585^2)+'BLAZE SHIELD II'!$H$8*'CALCULO MORTERO'!I585+'BLAZE SHIELD II'!$H$9)),0)+IF(AND(L585="Blaze Shield II",M585="Software Idiem",C585="C"),((('BLAZE SHIELD II'!$L$4*('CALCULO MORTERO'!I585^2)+'BLAZE SHIELD II'!$L$5*'CALCULO MORTERO'!I585+'BLAZE SHIELD II'!$L$6)*LN(J585))+('BLAZE SHIELD II'!$L$7*('CALCULO MORTERO'!I585^2)+'BLAZE SHIELD II'!$L$8*'CALCULO MORTERO'!I585+'BLAZE SHIELD II'!$L$9)),0)+IF(AND(L585="Blaze Shield II",M585="Software Idiem",C585="L"),((('BLAZE SHIELD II'!$L$4*('CALCULO MORTERO'!I585^2)+'BLAZE SHIELD II'!$L$5*'CALCULO MORTERO'!I585+'BLAZE SHIELD II'!$L$6)*LN(J585))+('BLAZE SHIELD II'!$L$7*('CALCULO MORTERO'!I585^2)+'BLAZE SHIELD II'!$L$8*'CALCULO MORTERO'!I585+'BLAZE SHIELD II'!$L$9)),0)+IF(AND(L585="Blaze Shield II",M585="Software Idiem",C585="IN",G585=3),((('BLAZE SHIELD II'!$H$14*('CALCULO MORTERO'!I585^2)+'BLAZE SHIELD II'!$H$15*'CALCULO MORTERO'!I585+'BLAZE SHIELD II'!$H$16)*LN(J585))+('BLAZE SHIELD II'!$H$17*('CALCULO MORTERO'!I585^2)+'BLAZE SHIELD II'!$H$18*'CALCULO MORTERO'!I585+'BLAZE SHIELD II'!$H$19)),0),0)+ROUND(IF(AND(L585="Cafco 400",M585="Software Idiem",C585="IN",G585=4),((('CAFCO 400 '!$H$7*(J585^4)+'CAFCO 400 '!$H$8*(J585^3)+'CAFCO 400 '!$H$9*(J585^2)+'CAFCO 400 '!$H$10*J585+'CAFCO 400 '!$H$11)*U585^2)+(('CAFCO 400 '!$H$12*(J585^3)+'CAFCO 400 '!$H$13*(J585^2)+'CAFCO 400 '!$H$14*J585+'CAFCO 400 '!$H$15)*U585)+('CAFCO 400 '!$H$16*(J585^2)+'CAFCO 400 '!$H$17*J585+'CAFCO 400 '!$H$18)),0)+IF(AND(L585="Cafco 400",M585="Software Idiem",C585="Cj"),(((('CAFCO 400 '!$D$7*LN(J585)+'CAFCO 400 '!$D$8)*U585^2)+(('CAFCO 400 '!$D$9*LN(J585)+'CAFCO 400 '!$D$10)*U585)+('CAFCO 400 '!$D$11*LN(J585)+'CAFCO 400 '!$D$12))),0)+IF(AND(L585="Cafco 400",M585="Software Idiem",C585="C"),((('CAFCO 400 '!$L$7*(J585^3)+'CAFCO 400 '!$L$8*(J585^2)+'CAFCO 400 '!$L$9*J585+'CAFCO 400 '!$L$10)*U585^2)+(('CAFCO 400 '!$L$11*(J585^3)+'CAFCO 400 '!$L$12*(J585^2)+'CAFCO 400 '!$L$13*J585+'CAFCO 400 '!$L$14)*U585)+('CAFCO 400 '!$L$15*LN(J585)+'CAFCO 400 '!$L$16)),0)+IF(AND(L585="Cafco 400",M585="Software Idiem",C585="L"),((('CAFCO 400 '!$L$7*(J585^3)+'CAFCO 400 '!$L$8*(J585^2)+'CAFCO 400 '!$L$9*J585+'CAFCO 400 '!$L$10)*U585^2)+(('CAFCO 400 '!$L$11*(J585^3)+'CAFCO 400 '!$L$12*(J585^2)+'CAFCO 400 '!$L$13*J585+'CAFCO 400 '!$L$14)*U585)+('CAFCO 400 '!$L$15*LN(J585)+'CAFCO 400 '!$L$16)),0)+IF(AND(L585="Cafco 400",M585="Software Idiem",C585="IN",G585=3),((('CAFCO 400 '!$D$23*(J585^2)+'CAFCO 400 '!$D$24*(J585)+'CAFCO 400 '!$D$25)*U585^2)+(('CAFCO 400 '!$D$26*(J585^2)+'CAFCO 400 '!$D$27*J585+'CAFCO 400 '!$D$28)*U585)+('CAFCO 400 '!$D$29*(J585^2)+'CAFCO 400 '!$D$30*J585+'CAFCO 400 '!$D$31)),0),0)+IF(AND(L585="Cafco 300",J585&gt;=95,J585&lt;=240,C585="Cj",I585=90),VLOOKUP(T585,'CAFCO 300 IDIEM TABLAS'!$B$4:$D$23,2,FALSE),0)+IF(AND(L585="Cafco 300",J585&gt;=95,J585&lt;=240,C585="Cj",I585=120),VLOOKUP(T585,'CAFCO 300 IDIEM TABLAS'!$B$4:$D$23,3,FALSE),0)+IF(AND(L585="Cafco 300",J585&gt;=95,J585&lt;=400,G585=3,C585="IN",I585=90),VLOOKUP(T585,'CAFCO 300 IDIEM TABLAS'!$F$4:$H$35,2,FALSE),0)+IF(AND(L585="Cafco 300",J585&gt;=95,J585&lt;=400,G585=3,C585="IN",I585=120),VLOOKUP(T585,'CAFCO 300 IDIEM TABLAS'!$F$4:$H$35,3,FALSE),0)+IF(AND(L585="Cafco 300",J585&gt;=95,J585&lt;=450,G585=4,C585="IN",I585=90),VLOOKUP(T585,'CAFCO 300 IDIEM TABLAS'!$J$4:$L$40,2,FALSE),0)+IF(AND(L585="Cafco 300",J585&gt;=95,J585&lt;=450,G585=4,C585="IN",I585=120),VLOOKUP(T585,'CAFCO 300 IDIEM TABLAS'!$J$4:$L$40,3,FALSE),0)+IF(AND(M585="Ensayo Idiem",L585="Cafco 400",C585="IN",G585=4,I585=90),VLOOKUP(T585,'CAFCO 400 ENSAYO'!$B$7:$D$43,2,FALSE),0)+IF(AND(M585="Ensayo Idiem",L585="Cafco 400",C585="IN",G585=4,I585=120),VLOOKUP(T585,'CAFCO 400 ENSAYO'!$B$7:$D$43,3,FALSE),0)</f>
        <v>0</v>
      </c>
      <c r="O585" s="96">
        <f t="shared" si="60"/>
        <v>0</v>
      </c>
      <c r="P585" s="132" t="str">
        <f t="shared" si="61"/>
        <v>N/A</v>
      </c>
      <c r="Q585" s="132" t="str">
        <f t="shared" si="62"/>
        <v>N/A</v>
      </c>
      <c r="R585" s="132" t="str">
        <f t="shared" si="63"/>
        <v>NO CERT.</v>
      </c>
      <c r="S585" s="132" t="e">
        <f t="shared" si="64"/>
        <v>#N/A</v>
      </c>
      <c r="T585" s="133" t="e">
        <f>+IF(J585=LOOKUP(J585,'CAFCO 300 IDIEM TABLAS'!$J$4:$J$40),'CALCULO MORTERO'!J585,MROUND('CALCULO MORTERO'!J585,10))</f>
        <v>#N/A</v>
      </c>
      <c r="U585" s="134">
        <f t="shared" si="65"/>
        <v>0</v>
      </c>
      <c r="Y585" s="4"/>
      <c r="Z585" s="4"/>
      <c r="AA585" s="4"/>
    </row>
    <row r="586" spans="1:27" x14ac:dyDescent="0.25">
      <c r="A586" s="118">
        <f>+CUBICACION!D580</f>
        <v>0</v>
      </c>
      <c r="B586" s="819">
        <f>+CUBICACION!E580</f>
        <v>0</v>
      </c>
      <c r="C586" s="675">
        <f>+CUBICACION!F580</f>
        <v>0</v>
      </c>
      <c r="D586" s="118"/>
      <c r="E586" s="118"/>
      <c r="F586" s="820"/>
      <c r="G586" s="675">
        <f>+CUBICACION!J580</f>
        <v>0</v>
      </c>
      <c r="H586" s="118"/>
      <c r="I586" s="821">
        <f>+CUBICACION!L580</f>
        <v>0</v>
      </c>
      <c r="J586" s="64">
        <f>+CUBICACION!M580</f>
        <v>0</v>
      </c>
      <c r="K586" s="822" t="str">
        <f>+CUBICACION!N580</f>
        <v/>
      </c>
      <c r="L586" s="118">
        <f>+CUBICACION!O580</f>
        <v>0</v>
      </c>
      <c r="M586" s="823">
        <f>+CUBICACION!P580</f>
        <v>0</v>
      </c>
      <c r="N586" s="902">
        <f>ROUND(IF(AND(L586="Blaze Shield II",M586="Software Idiem",C586="IN",G586=4),((('BLAZE SHIELD II'!$D$4*('CALCULO MORTERO'!I586^2)+'BLAZE SHIELD II'!$D$5*'CALCULO MORTERO'!I586+'BLAZE SHIELD II'!$D$6)*LN(J586))+('BLAZE SHIELD II'!$D$7*('CALCULO MORTERO'!I586^2)+'BLAZE SHIELD II'!$D$8*'CALCULO MORTERO'!I586+'BLAZE SHIELD II'!$D$9)),0)+IF(AND(L586="Blaze Shield II",M586="Software Idiem",C586="Cj"),((('BLAZE SHIELD II'!$H$4*('CALCULO MORTERO'!I586^2)+'BLAZE SHIELD II'!$H$5*'CALCULO MORTERO'!I586+'BLAZE SHIELD II'!$H$6)*LN(J586))+('BLAZE SHIELD II'!$H$7*('CALCULO MORTERO'!I586^2)+'BLAZE SHIELD II'!$H$8*'CALCULO MORTERO'!I586+'BLAZE SHIELD II'!$H$9)),0)+IF(AND(L586="Blaze Shield II",M586="Software Idiem",C586="C"),((('BLAZE SHIELD II'!$L$4*('CALCULO MORTERO'!I586^2)+'BLAZE SHIELD II'!$L$5*'CALCULO MORTERO'!I586+'BLAZE SHIELD II'!$L$6)*LN(J586))+('BLAZE SHIELD II'!$L$7*('CALCULO MORTERO'!I586^2)+'BLAZE SHIELD II'!$L$8*'CALCULO MORTERO'!I586+'BLAZE SHIELD II'!$L$9)),0)+IF(AND(L586="Blaze Shield II",M586="Software Idiem",C586="L"),((('BLAZE SHIELD II'!$L$4*('CALCULO MORTERO'!I586^2)+'BLAZE SHIELD II'!$L$5*'CALCULO MORTERO'!I586+'BLAZE SHIELD II'!$L$6)*LN(J586))+('BLAZE SHIELD II'!$L$7*('CALCULO MORTERO'!I586^2)+'BLAZE SHIELD II'!$L$8*'CALCULO MORTERO'!I586+'BLAZE SHIELD II'!$L$9)),0)+IF(AND(L586="Blaze Shield II",M586="Software Idiem",C586="IN",G586=3),((('BLAZE SHIELD II'!$H$14*('CALCULO MORTERO'!I586^2)+'BLAZE SHIELD II'!$H$15*'CALCULO MORTERO'!I586+'BLAZE SHIELD II'!$H$16)*LN(J586))+('BLAZE SHIELD II'!$H$17*('CALCULO MORTERO'!I586^2)+'BLAZE SHIELD II'!$H$18*'CALCULO MORTERO'!I586+'BLAZE SHIELD II'!$H$19)),0),0)+ROUND(IF(AND(L586="Cafco 400",M586="Software Idiem",C586="IN",G586=4),((('CAFCO 400 '!$H$7*(J586^4)+'CAFCO 400 '!$H$8*(J586^3)+'CAFCO 400 '!$H$9*(J586^2)+'CAFCO 400 '!$H$10*J586+'CAFCO 400 '!$H$11)*U586^2)+(('CAFCO 400 '!$H$12*(J586^3)+'CAFCO 400 '!$H$13*(J586^2)+'CAFCO 400 '!$H$14*J586+'CAFCO 400 '!$H$15)*U586)+('CAFCO 400 '!$H$16*(J586^2)+'CAFCO 400 '!$H$17*J586+'CAFCO 400 '!$H$18)),0)+IF(AND(L586="Cafco 400",M586="Software Idiem",C586="Cj"),(((('CAFCO 400 '!$D$7*LN(J586)+'CAFCO 400 '!$D$8)*U586^2)+(('CAFCO 400 '!$D$9*LN(J586)+'CAFCO 400 '!$D$10)*U586)+('CAFCO 400 '!$D$11*LN(J586)+'CAFCO 400 '!$D$12))),0)+IF(AND(L586="Cafco 400",M586="Software Idiem",C586="C"),((('CAFCO 400 '!$L$7*(J586^3)+'CAFCO 400 '!$L$8*(J586^2)+'CAFCO 400 '!$L$9*J586+'CAFCO 400 '!$L$10)*U586^2)+(('CAFCO 400 '!$L$11*(J586^3)+'CAFCO 400 '!$L$12*(J586^2)+'CAFCO 400 '!$L$13*J586+'CAFCO 400 '!$L$14)*U586)+('CAFCO 400 '!$L$15*LN(J586)+'CAFCO 400 '!$L$16)),0)+IF(AND(L586="Cafco 400",M586="Software Idiem",C586="L"),((('CAFCO 400 '!$L$7*(J586^3)+'CAFCO 400 '!$L$8*(J586^2)+'CAFCO 400 '!$L$9*J586+'CAFCO 400 '!$L$10)*U586^2)+(('CAFCO 400 '!$L$11*(J586^3)+'CAFCO 400 '!$L$12*(J586^2)+'CAFCO 400 '!$L$13*J586+'CAFCO 400 '!$L$14)*U586)+('CAFCO 400 '!$L$15*LN(J586)+'CAFCO 400 '!$L$16)),0)+IF(AND(L586="Cafco 400",M586="Software Idiem",C586="IN",G586=3),((('CAFCO 400 '!$D$23*(J586^2)+'CAFCO 400 '!$D$24*(J586)+'CAFCO 400 '!$D$25)*U586^2)+(('CAFCO 400 '!$D$26*(J586^2)+'CAFCO 400 '!$D$27*J586+'CAFCO 400 '!$D$28)*U586)+('CAFCO 400 '!$D$29*(J586^2)+'CAFCO 400 '!$D$30*J586+'CAFCO 400 '!$D$31)),0),0)+IF(AND(L586="Cafco 300",J586&gt;=95,J586&lt;=240,C586="Cj",I586=90),VLOOKUP(T586,'CAFCO 300 IDIEM TABLAS'!$B$4:$D$23,2,FALSE),0)+IF(AND(L586="Cafco 300",J586&gt;=95,J586&lt;=240,C586="Cj",I586=120),VLOOKUP(T586,'CAFCO 300 IDIEM TABLAS'!$B$4:$D$23,3,FALSE),0)+IF(AND(L586="Cafco 300",J586&gt;=95,J586&lt;=400,G586=3,C586="IN",I586=90),VLOOKUP(T586,'CAFCO 300 IDIEM TABLAS'!$F$4:$H$35,2,FALSE),0)+IF(AND(L586="Cafco 300",J586&gt;=95,J586&lt;=400,G586=3,C586="IN",I586=120),VLOOKUP(T586,'CAFCO 300 IDIEM TABLAS'!$F$4:$H$35,3,FALSE),0)+IF(AND(L586="Cafco 300",J586&gt;=95,J586&lt;=450,G586=4,C586="IN",I586=90),VLOOKUP(T586,'CAFCO 300 IDIEM TABLAS'!$J$4:$L$40,2,FALSE),0)+IF(AND(L586="Cafco 300",J586&gt;=95,J586&lt;=450,G586=4,C586="IN",I586=120),VLOOKUP(T586,'CAFCO 300 IDIEM TABLAS'!$J$4:$L$40,3,FALSE),0)+IF(AND(M586="Ensayo Idiem",L586="Cafco 400",C586="IN",G586=4,I586=90),VLOOKUP(T586,'CAFCO 400 ENSAYO'!$B$7:$D$43,2,FALSE),0)+IF(AND(M586="Ensayo Idiem",L586="Cafco 400",C586="IN",G586=4,I586=120),VLOOKUP(T586,'CAFCO 400 ENSAYO'!$B$7:$D$43,3,FALSE),0)</f>
        <v>0</v>
      </c>
      <c r="O586" s="96">
        <f t="shared" si="60"/>
        <v>0</v>
      </c>
      <c r="P586" s="95" t="str">
        <f t="shared" si="61"/>
        <v>N/A</v>
      </c>
      <c r="Q586" s="95" t="str">
        <f t="shared" si="62"/>
        <v>N/A</v>
      </c>
      <c r="R586" s="95" t="str">
        <f t="shared" si="63"/>
        <v>NO CERT.</v>
      </c>
      <c r="S586" s="95" t="e">
        <f t="shared" si="64"/>
        <v>#N/A</v>
      </c>
      <c r="T586" s="119" t="e">
        <f>+IF(J586=LOOKUP(J586,'CAFCO 300 IDIEM TABLAS'!$J$4:$J$40),'CALCULO MORTERO'!J586,MROUND('CALCULO MORTERO'!J586,10))</f>
        <v>#N/A</v>
      </c>
      <c r="U586" s="118">
        <f t="shared" si="65"/>
        <v>0</v>
      </c>
      <c r="Y586" s="4"/>
      <c r="Z586" s="4"/>
      <c r="AA586" s="4"/>
    </row>
    <row r="587" spans="1:27" x14ac:dyDescent="0.25">
      <c r="A587" s="118">
        <f>+CUBICACION!D581</f>
        <v>0</v>
      </c>
      <c r="B587" s="819">
        <f>+CUBICACION!E581</f>
        <v>0</v>
      </c>
      <c r="C587" s="675">
        <f>+CUBICACION!F581</f>
        <v>0</v>
      </c>
      <c r="D587" s="118"/>
      <c r="E587" s="118"/>
      <c r="F587" s="820"/>
      <c r="G587" s="675">
        <f>+CUBICACION!J581</f>
        <v>0</v>
      </c>
      <c r="H587" s="118"/>
      <c r="I587" s="821">
        <f>+CUBICACION!L581</f>
        <v>0</v>
      </c>
      <c r="J587" s="64">
        <f>+CUBICACION!M581</f>
        <v>0</v>
      </c>
      <c r="K587" s="822" t="str">
        <f>+CUBICACION!N581</f>
        <v/>
      </c>
      <c r="L587" s="118">
        <f>+CUBICACION!O581</f>
        <v>0</v>
      </c>
      <c r="M587" s="823">
        <f>+CUBICACION!P581</f>
        <v>0</v>
      </c>
      <c r="N587" s="902">
        <f>ROUND(IF(AND(L587="Blaze Shield II",M587="Software Idiem",C587="IN",G587=4),((('BLAZE SHIELD II'!$D$4*('CALCULO MORTERO'!I587^2)+'BLAZE SHIELD II'!$D$5*'CALCULO MORTERO'!I587+'BLAZE SHIELD II'!$D$6)*LN(J587))+('BLAZE SHIELD II'!$D$7*('CALCULO MORTERO'!I587^2)+'BLAZE SHIELD II'!$D$8*'CALCULO MORTERO'!I587+'BLAZE SHIELD II'!$D$9)),0)+IF(AND(L587="Blaze Shield II",M587="Software Idiem",C587="Cj"),((('BLAZE SHIELD II'!$H$4*('CALCULO MORTERO'!I587^2)+'BLAZE SHIELD II'!$H$5*'CALCULO MORTERO'!I587+'BLAZE SHIELD II'!$H$6)*LN(J587))+('BLAZE SHIELD II'!$H$7*('CALCULO MORTERO'!I587^2)+'BLAZE SHIELD II'!$H$8*'CALCULO MORTERO'!I587+'BLAZE SHIELD II'!$H$9)),0)+IF(AND(L587="Blaze Shield II",M587="Software Idiem",C587="C"),((('BLAZE SHIELD II'!$L$4*('CALCULO MORTERO'!I587^2)+'BLAZE SHIELD II'!$L$5*'CALCULO MORTERO'!I587+'BLAZE SHIELD II'!$L$6)*LN(J587))+('BLAZE SHIELD II'!$L$7*('CALCULO MORTERO'!I587^2)+'BLAZE SHIELD II'!$L$8*'CALCULO MORTERO'!I587+'BLAZE SHIELD II'!$L$9)),0)+IF(AND(L587="Blaze Shield II",M587="Software Idiem",C587="L"),((('BLAZE SHIELD II'!$L$4*('CALCULO MORTERO'!I587^2)+'BLAZE SHIELD II'!$L$5*'CALCULO MORTERO'!I587+'BLAZE SHIELD II'!$L$6)*LN(J587))+('BLAZE SHIELD II'!$L$7*('CALCULO MORTERO'!I587^2)+'BLAZE SHIELD II'!$L$8*'CALCULO MORTERO'!I587+'BLAZE SHIELD II'!$L$9)),0)+IF(AND(L587="Blaze Shield II",M587="Software Idiem",C587="IN",G587=3),((('BLAZE SHIELD II'!$H$14*('CALCULO MORTERO'!I587^2)+'BLAZE SHIELD II'!$H$15*'CALCULO MORTERO'!I587+'BLAZE SHIELD II'!$H$16)*LN(J587))+('BLAZE SHIELD II'!$H$17*('CALCULO MORTERO'!I587^2)+'BLAZE SHIELD II'!$H$18*'CALCULO MORTERO'!I587+'BLAZE SHIELD II'!$H$19)),0),0)+ROUND(IF(AND(L587="Cafco 400",M587="Software Idiem",C587="IN",G587=4),((('CAFCO 400 '!$H$7*(J587^4)+'CAFCO 400 '!$H$8*(J587^3)+'CAFCO 400 '!$H$9*(J587^2)+'CAFCO 400 '!$H$10*J587+'CAFCO 400 '!$H$11)*U587^2)+(('CAFCO 400 '!$H$12*(J587^3)+'CAFCO 400 '!$H$13*(J587^2)+'CAFCO 400 '!$H$14*J587+'CAFCO 400 '!$H$15)*U587)+('CAFCO 400 '!$H$16*(J587^2)+'CAFCO 400 '!$H$17*J587+'CAFCO 400 '!$H$18)),0)+IF(AND(L587="Cafco 400",M587="Software Idiem",C587="Cj"),(((('CAFCO 400 '!$D$7*LN(J587)+'CAFCO 400 '!$D$8)*U587^2)+(('CAFCO 400 '!$D$9*LN(J587)+'CAFCO 400 '!$D$10)*U587)+('CAFCO 400 '!$D$11*LN(J587)+'CAFCO 400 '!$D$12))),0)+IF(AND(L587="Cafco 400",M587="Software Idiem",C587="C"),((('CAFCO 400 '!$L$7*(J587^3)+'CAFCO 400 '!$L$8*(J587^2)+'CAFCO 400 '!$L$9*J587+'CAFCO 400 '!$L$10)*U587^2)+(('CAFCO 400 '!$L$11*(J587^3)+'CAFCO 400 '!$L$12*(J587^2)+'CAFCO 400 '!$L$13*J587+'CAFCO 400 '!$L$14)*U587)+('CAFCO 400 '!$L$15*LN(J587)+'CAFCO 400 '!$L$16)),0)+IF(AND(L587="Cafco 400",M587="Software Idiem",C587="L"),((('CAFCO 400 '!$L$7*(J587^3)+'CAFCO 400 '!$L$8*(J587^2)+'CAFCO 400 '!$L$9*J587+'CAFCO 400 '!$L$10)*U587^2)+(('CAFCO 400 '!$L$11*(J587^3)+'CAFCO 400 '!$L$12*(J587^2)+'CAFCO 400 '!$L$13*J587+'CAFCO 400 '!$L$14)*U587)+('CAFCO 400 '!$L$15*LN(J587)+'CAFCO 400 '!$L$16)),0)+IF(AND(L587="Cafco 400",M587="Software Idiem",C587="IN",G587=3),((('CAFCO 400 '!$D$23*(J587^2)+'CAFCO 400 '!$D$24*(J587)+'CAFCO 400 '!$D$25)*U587^2)+(('CAFCO 400 '!$D$26*(J587^2)+'CAFCO 400 '!$D$27*J587+'CAFCO 400 '!$D$28)*U587)+('CAFCO 400 '!$D$29*(J587^2)+'CAFCO 400 '!$D$30*J587+'CAFCO 400 '!$D$31)),0),0)+IF(AND(L587="Cafco 300",J587&gt;=95,J587&lt;=240,C587="Cj",I587=90),VLOOKUP(T587,'CAFCO 300 IDIEM TABLAS'!$B$4:$D$23,2,FALSE),0)+IF(AND(L587="Cafco 300",J587&gt;=95,J587&lt;=240,C587="Cj",I587=120),VLOOKUP(T587,'CAFCO 300 IDIEM TABLAS'!$B$4:$D$23,3,FALSE),0)+IF(AND(L587="Cafco 300",J587&gt;=95,J587&lt;=400,G587=3,C587="IN",I587=90),VLOOKUP(T587,'CAFCO 300 IDIEM TABLAS'!$F$4:$H$35,2,FALSE),0)+IF(AND(L587="Cafco 300",J587&gt;=95,J587&lt;=400,G587=3,C587="IN",I587=120),VLOOKUP(T587,'CAFCO 300 IDIEM TABLAS'!$F$4:$H$35,3,FALSE),0)+IF(AND(L587="Cafco 300",J587&gt;=95,J587&lt;=450,G587=4,C587="IN",I587=90),VLOOKUP(T587,'CAFCO 300 IDIEM TABLAS'!$J$4:$L$40,2,FALSE),0)+IF(AND(L587="Cafco 300",J587&gt;=95,J587&lt;=450,G587=4,C587="IN",I587=120),VLOOKUP(T587,'CAFCO 300 IDIEM TABLAS'!$J$4:$L$40,3,FALSE),0)+IF(AND(M587="Ensayo Idiem",L587="Cafco 400",C587="IN",G587=4,I587=90),VLOOKUP(T587,'CAFCO 400 ENSAYO'!$B$7:$D$43,2,FALSE),0)+IF(AND(M587="Ensayo Idiem",L587="Cafco 400",C587="IN",G587=4,I587=120),VLOOKUP(T587,'CAFCO 400 ENSAYO'!$B$7:$D$43,3,FALSE),0)</f>
        <v>0</v>
      </c>
      <c r="O587" s="96">
        <f t="shared" ref="O587:O650" si="66">((IF(L587="Blaze Shield II",((K587*N587*0.43)/38),IF(L587="Cafco 400",((K587*N587*0.43)/23),IF(L587="Cafco 300",((K587*N587*0.43)/31.16),0)))))</f>
        <v>0</v>
      </c>
      <c r="P587" s="132" t="str">
        <f t="shared" si="61"/>
        <v>N/A</v>
      </c>
      <c r="Q587" s="132" t="str">
        <f t="shared" si="62"/>
        <v>N/A</v>
      </c>
      <c r="R587" s="132" t="str">
        <f t="shared" si="63"/>
        <v>NO CERT.</v>
      </c>
      <c r="S587" s="132" t="e">
        <f t="shared" si="64"/>
        <v>#N/A</v>
      </c>
      <c r="T587" s="133" t="e">
        <f>+IF(J587=LOOKUP(J587,'CAFCO 300 IDIEM TABLAS'!$J$4:$J$40),'CALCULO MORTERO'!J587,MROUND('CALCULO MORTERO'!J587,10))</f>
        <v>#N/A</v>
      </c>
      <c r="U587" s="134">
        <f t="shared" si="65"/>
        <v>0</v>
      </c>
      <c r="Y587" s="4"/>
      <c r="Z587" s="4"/>
      <c r="AA587" s="4"/>
    </row>
    <row r="588" spans="1:27" x14ac:dyDescent="0.25">
      <c r="A588" s="118">
        <f>+CUBICACION!D582</f>
        <v>0</v>
      </c>
      <c r="B588" s="819">
        <f>+CUBICACION!E582</f>
        <v>0</v>
      </c>
      <c r="C588" s="675">
        <f>+CUBICACION!F582</f>
        <v>0</v>
      </c>
      <c r="D588" s="118"/>
      <c r="E588" s="118"/>
      <c r="F588" s="820"/>
      <c r="G588" s="675">
        <f>+CUBICACION!J582</f>
        <v>0</v>
      </c>
      <c r="H588" s="118"/>
      <c r="I588" s="821">
        <f>+CUBICACION!L582</f>
        <v>0</v>
      </c>
      <c r="J588" s="64">
        <f>+CUBICACION!M582</f>
        <v>0</v>
      </c>
      <c r="K588" s="822" t="str">
        <f>+CUBICACION!N582</f>
        <v/>
      </c>
      <c r="L588" s="118">
        <f>+CUBICACION!O582</f>
        <v>0</v>
      </c>
      <c r="M588" s="823">
        <f>+CUBICACION!P582</f>
        <v>0</v>
      </c>
      <c r="N588" s="902">
        <f>ROUND(IF(AND(L588="Blaze Shield II",M588="Software Idiem",C588="IN",G588=4),((('BLAZE SHIELD II'!$D$4*('CALCULO MORTERO'!I588^2)+'BLAZE SHIELD II'!$D$5*'CALCULO MORTERO'!I588+'BLAZE SHIELD II'!$D$6)*LN(J588))+('BLAZE SHIELD II'!$D$7*('CALCULO MORTERO'!I588^2)+'BLAZE SHIELD II'!$D$8*'CALCULO MORTERO'!I588+'BLAZE SHIELD II'!$D$9)),0)+IF(AND(L588="Blaze Shield II",M588="Software Idiem",C588="Cj"),((('BLAZE SHIELD II'!$H$4*('CALCULO MORTERO'!I588^2)+'BLAZE SHIELD II'!$H$5*'CALCULO MORTERO'!I588+'BLAZE SHIELD II'!$H$6)*LN(J588))+('BLAZE SHIELD II'!$H$7*('CALCULO MORTERO'!I588^2)+'BLAZE SHIELD II'!$H$8*'CALCULO MORTERO'!I588+'BLAZE SHIELD II'!$H$9)),0)+IF(AND(L588="Blaze Shield II",M588="Software Idiem",C588="C"),((('BLAZE SHIELD II'!$L$4*('CALCULO MORTERO'!I588^2)+'BLAZE SHIELD II'!$L$5*'CALCULO MORTERO'!I588+'BLAZE SHIELD II'!$L$6)*LN(J588))+('BLAZE SHIELD II'!$L$7*('CALCULO MORTERO'!I588^2)+'BLAZE SHIELD II'!$L$8*'CALCULO MORTERO'!I588+'BLAZE SHIELD II'!$L$9)),0)+IF(AND(L588="Blaze Shield II",M588="Software Idiem",C588="L"),((('BLAZE SHIELD II'!$L$4*('CALCULO MORTERO'!I588^2)+'BLAZE SHIELD II'!$L$5*'CALCULO MORTERO'!I588+'BLAZE SHIELD II'!$L$6)*LN(J588))+('BLAZE SHIELD II'!$L$7*('CALCULO MORTERO'!I588^2)+'BLAZE SHIELD II'!$L$8*'CALCULO MORTERO'!I588+'BLAZE SHIELD II'!$L$9)),0)+IF(AND(L588="Blaze Shield II",M588="Software Idiem",C588="IN",G588=3),((('BLAZE SHIELD II'!$H$14*('CALCULO MORTERO'!I588^2)+'BLAZE SHIELD II'!$H$15*'CALCULO MORTERO'!I588+'BLAZE SHIELD II'!$H$16)*LN(J588))+('BLAZE SHIELD II'!$H$17*('CALCULO MORTERO'!I588^2)+'BLAZE SHIELD II'!$H$18*'CALCULO MORTERO'!I588+'BLAZE SHIELD II'!$H$19)),0),0)+ROUND(IF(AND(L588="Cafco 400",M588="Software Idiem",C588="IN",G588=4),((('CAFCO 400 '!$H$7*(J588^4)+'CAFCO 400 '!$H$8*(J588^3)+'CAFCO 400 '!$H$9*(J588^2)+'CAFCO 400 '!$H$10*J588+'CAFCO 400 '!$H$11)*U588^2)+(('CAFCO 400 '!$H$12*(J588^3)+'CAFCO 400 '!$H$13*(J588^2)+'CAFCO 400 '!$H$14*J588+'CAFCO 400 '!$H$15)*U588)+('CAFCO 400 '!$H$16*(J588^2)+'CAFCO 400 '!$H$17*J588+'CAFCO 400 '!$H$18)),0)+IF(AND(L588="Cafco 400",M588="Software Idiem",C588="Cj"),(((('CAFCO 400 '!$D$7*LN(J588)+'CAFCO 400 '!$D$8)*U588^2)+(('CAFCO 400 '!$D$9*LN(J588)+'CAFCO 400 '!$D$10)*U588)+('CAFCO 400 '!$D$11*LN(J588)+'CAFCO 400 '!$D$12))),0)+IF(AND(L588="Cafco 400",M588="Software Idiem",C588="C"),((('CAFCO 400 '!$L$7*(J588^3)+'CAFCO 400 '!$L$8*(J588^2)+'CAFCO 400 '!$L$9*J588+'CAFCO 400 '!$L$10)*U588^2)+(('CAFCO 400 '!$L$11*(J588^3)+'CAFCO 400 '!$L$12*(J588^2)+'CAFCO 400 '!$L$13*J588+'CAFCO 400 '!$L$14)*U588)+('CAFCO 400 '!$L$15*LN(J588)+'CAFCO 400 '!$L$16)),0)+IF(AND(L588="Cafco 400",M588="Software Idiem",C588="L"),((('CAFCO 400 '!$L$7*(J588^3)+'CAFCO 400 '!$L$8*(J588^2)+'CAFCO 400 '!$L$9*J588+'CAFCO 400 '!$L$10)*U588^2)+(('CAFCO 400 '!$L$11*(J588^3)+'CAFCO 400 '!$L$12*(J588^2)+'CAFCO 400 '!$L$13*J588+'CAFCO 400 '!$L$14)*U588)+('CAFCO 400 '!$L$15*LN(J588)+'CAFCO 400 '!$L$16)),0)+IF(AND(L588="Cafco 400",M588="Software Idiem",C588="IN",G588=3),((('CAFCO 400 '!$D$23*(J588^2)+'CAFCO 400 '!$D$24*(J588)+'CAFCO 400 '!$D$25)*U588^2)+(('CAFCO 400 '!$D$26*(J588^2)+'CAFCO 400 '!$D$27*J588+'CAFCO 400 '!$D$28)*U588)+('CAFCO 400 '!$D$29*(J588^2)+'CAFCO 400 '!$D$30*J588+'CAFCO 400 '!$D$31)),0),0)+IF(AND(L588="Cafco 300",J588&gt;=95,J588&lt;=240,C588="Cj",I588=90),VLOOKUP(T588,'CAFCO 300 IDIEM TABLAS'!$B$4:$D$23,2,FALSE),0)+IF(AND(L588="Cafco 300",J588&gt;=95,J588&lt;=240,C588="Cj",I588=120),VLOOKUP(T588,'CAFCO 300 IDIEM TABLAS'!$B$4:$D$23,3,FALSE),0)+IF(AND(L588="Cafco 300",J588&gt;=95,J588&lt;=400,G588=3,C588="IN",I588=90),VLOOKUP(T588,'CAFCO 300 IDIEM TABLAS'!$F$4:$H$35,2,FALSE),0)+IF(AND(L588="Cafco 300",J588&gt;=95,J588&lt;=400,G588=3,C588="IN",I588=120),VLOOKUP(T588,'CAFCO 300 IDIEM TABLAS'!$F$4:$H$35,3,FALSE),0)+IF(AND(L588="Cafco 300",J588&gt;=95,J588&lt;=450,G588=4,C588="IN",I588=90),VLOOKUP(T588,'CAFCO 300 IDIEM TABLAS'!$J$4:$L$40,2,FALSE),0)+IF(AND(L588="Cafco 300",J588&gt;=95,J588&lt;=450,G588=4,C588="IN",I588=120),VLOOKUP(T588,'CAFCO 300 IDIEM TABLAS'!$J$4:$L$40,3,FALSE),0)+IF(AND(M588="Ensayo Idiem",L588="Cafco 400",C588="IN",G588=4,I588=90),VLOOKUP(T588,'CAFCO 400 ENSAYO'!$B$7:$D$43,2,FALSE),0)+IF(AND(M588="Ensayo Idiem",L588="Cafco 400",C588="IN",G588=4,I588=120),VLOOKUP(T588,'CAFCO 400 ENSAYO'!$B$7:$D$43,3,FALSE),0)</f>
        <v>0</v>
      </c>
      <c r="O588" s="96">
        <f t="shared" si="66"/>
        <v>0</v>
      </c>
      <c r="P588" s="95" t="str">
        <f t="shared" si="61"/>
        <v>N/A</v>
      </c>
      <c r="Q588" s="95" t="str">
        <f t="shared" si="62"/>
        <v>N/A</v>
      </c>
      <c r="R588" s="95" t="str">
        <f t="shared" si="63"/>
        <v>NO CERT.</v>
      </c>
      <c r="S588" s="95" t="e">
        <f t="shared" si="64"/>
        <v>#N/A</v>
      </c>
      <c r="T588" s="119" t="e">
        <f>+IF(J588=LOOKUP(J588,'CAFCO 300 IDIEM TABLAS'!$J$4:$J$40),'CALCULO MORTERO'!J588,MROUND('CALCULO MORTERO'!J588,10))</f>
        <v>#N/A</v>
      </c>
      <c r="U588" s="118">
        <f t="shared" si="65"/>
        <v>0</v>
      </c>
      <c r="Y588" s="4"/>
      <c r="Z588" s="4"/>
      <c r="AA588" s="4"/>
    </row>
    <row r="589" spans="1:27" x14ac:dyDescent="0.25">
      <c r="A589" s="118">
        <f>+CUBICACION!D583</f>
        <v>0</v>
      </c>
      <c r="B589" s="819">
        <f>+CUBICACION!E583</f>
        <v>0</v>
      </c>
      <c r="C589" s="675">
        <f>+CUBICACION!F583</f>
        <v>0</v>
      </c>
      <c r="D589" s="118"/>
      <c r="E589" s="118"/>
      <c r="F589" s="820"/>
      <c r="G589" s="675">
        <f>+CUBICACION!J583</f>
        <v>0</v>
      </c>
      <c r="H589" s="118"/>
      <c r="I589" s="821">
        <f>+CUBICACION!L583</f>
        <v>0</v>
      </c>
      <c r="J589" s="64">
        <f>+CUBICACION!M583</f>
        <v>0</v>
      </c>
      <c r="K589" s="822" t="str">
        <f>+CUBICACION!N583</f>
        <v/>
      </c>
      <c r="L589" s="118">
        <f>+CUBICACION!O583</f>
        <v>0</v>
      </c>
      <c r="M589" s="823">
        <f>+CUBICACION!P583</f>
        <v>0</v>
      </c>
      <c r="N589" s="902">
        <f>ROUND(IF(AND(L589="Blaze Shield II",M589="Software Idiem",C589="IN",G589=4),((('BLAZE SHIELD II'!$D$4*('CALCULO MORTERO'!I589^2)+'BLAZE SHIELD II'!$D$5*'CALCULO MORTERO'!I589+'BLAZE SHIELD II'!$D$6)*LN(J589))+('BLAZE SHIELD II'!$D$7*('CALCULO MORTERO'!I589^2)+'BLAZE SHIELD II'!$D$8*'CALCULO MORTERO'!I589+'BLAZE SHIELD II'!$D$9)),0)+IF(AND(L589="Blaze Shield II",M589="Software Idiem",C589="Cj"),((('BLAZE SHIELD II'!$H$4*('CALCULO MORTERO'!I589^2)+'BLAZE SHIELD II'!$H$5*'CALCULO MORTERO'!I589+'BLAZE SHIELD II'!$H$6)*LN(J589))+('BLAZE SHIELD II'!$H$7*('CALCULO MORTERO'!I589^2)+'BLAZE SHIELD II'!$H$8*'CALCULO MORTERO'!I589+'BLAZE SHIELD II'!$H$9)),0)+IF(AND(L589="Blaze Shield II",M589="Software Idiem",C589="C"),((('BLAZE SHIELD II'!$L$4*('CALCULO MORTERO'!I589^2)+'BLAZE SHIELD II'!$L$5*'CALCULO MORTERO'!I589+'BLAZE SHIELD II'!$L$6)*LN(J589))+('BLAZE SHIELD II'!$L$7*('CALCULO MORTERO'!I589^2)+'BLAZE SHIELD II'!$L$8*'CALCULO MORTERO'!I589+'BLAZE SHIELD II'!$L$9)),0)+IF(AND(L589="Blaze Shield II",M589="Software Idiem",C589="L"),((('BLAZE SHIELD II'!$L$4*('CALCULO MORTERO'!I589^2)+'BLAZE SHIELD II'!$L$5*'CALCULO MORTERO'!I589+'BLAZE SHIELD II'!$L$6)*LN(J589))+('BLAZE SHIELD II'!$L$7*('CALCULO MORTERO'!I589^2)+'BLAZE SHIELD II'!$L$8*'CALCULO MORTERO'!I589+'BLAZE SHIELD II'!$L$9)),0)+IF(AND(L589="Blaze Shield II",M589="Software Idiem",C589="IN",G589=3),((('BLAZE SHIELD II'!$H$14*('CALCULO MORTERO'!I589^2)+'BLAZE SHIELD II'!$H$15*'CALCULO MORTERO'!I589+'BLAZE SHIELD II'!$H$16)*LN(J589))+('BLAZE SHIELD II'!$H$17*('CALCULO MORTERO'!I589^2)+'BLAZE SHIELD II'!$H$18*'CALCULO MORTERO'!I589+'BLAZE SHIELD II'!$H$19)),0),0)+ROUND(IF(AND(L589="Cafco 400",M589="Software Idiem",C589="IN",G589=4),((('CAFCO 400 '!$H$7*(J589^4)+'CAFCO 400 '!$H$8*(J589^3)+'CAFCO 400 '!$H$9*(J589^2)+'CAFCO 400 '!$H$10*J589+'CAFCO 400 '!$H$11)*U589^2)+(('CAFCO 400 '!$H$12*(J589^3)+'CAFCO 400 '!$H$13*(J589^2)+'CAFCO 400 '!$H$14*J589+'CAFCO 400 '!$H$15)*U589)+('CAFCO 400 '!$H$16*(J589^2)+'CAFCO 400 '!$H$17*J589+'CAFCO 400 '!$H$18)),0)+IF(AND(L589="Cafco 400",M589="Software Idiem",C589="Cj"),(((('CAFCO 400 '!$D$7*LN(J589)+'CAFCO 400 '!$D$8)*U589^2)+(('CAFCO 400 '!$D$9*LN(J589)+'CAFCO 400 '!$D$10)*U589)+('CAFCO 400 '!$D$11*LN(J589)+'CAFCO 400 '!$D$12))),0)+IF(AND(L589="Cafco 400",M589="Software Idiem",C589="C"),((('CAFCO 400 '!$L$7*(J589^3)+'CAFCO 400 '!$L$8*(J589^2)+'CAFCO 400 '!$L$9*J589+'CAFCO 400 '!$L$10)*U589^2)+(('CAFCO 400 '!$L$11*(J589^3)+'CAFCO 400 '!$L$12*(J589^2)+'CAFCO 400 '!$L$13*J589+'CAFCO 400 '!$L$14)*U589)+('CAFCO 400 '!$L$15*LN(J589)+'CAFCO 400 '!$L$16)),0)+IF(AND(L589="Cafco 400",M589="Software Idiem",C589="L"),((('CAFCO 400 '!$L$7*(J589^3)+'CAFCO 400 '!$L$8*(J589^2)+'CAFCO 400 '!$L$9*J589+'CAFCO 400 '!$L$10)*U589^2)+(('CAFCO 400 '!$L$11*(J589^3)+'CAFCO 400 '!$L$12*(J589^2)+'CAFCO 400 '!$L$13*J589+'CAFCO 400 '!$L$14)*U589)+('CAFCO 400 '!$L$15*LN(J589)+'CAFCO 400 '!$L$16)),0)+IF(AND(L589="Cafco 400",M589="Software Idiem",C589="IN",G589=3),((('CAFCO 400 '!$D$23*(J589^2)+'CAFCO 400 '!$D$24*(J589)+'CAFCO 400 '!$D$25)*U589^2)+(('CAFCO 400 '!$D$26*(J589^2)+'CAFCO 400 '!$D$27*J589+'CAFCO 400 '!$D$28)*U589)+('CAFCO 400 '!$D$29*(J589^2)+'CAFCO 400 '!$D$30*J589+'CAFCO 400 '!$D$31)),0),0)+IF(AND(L589="Cafco 300",J589&gt;=95,J589&lt;=240,C589="Cj",I589=90),VLOOKUP(T589,'CAFCO 300 IDIEM TABLAS'!$B$4:$D$23,2,FALSE),0)+IF(AND(L589="Cafco 300",J589&gt;=95,J589&lt;=240,C589="Cj",I589=120),VLOOKUP(T589,'CAFCO 300 IDIEM TABLAS'!$B$4:$D$23,3,FALSE),0)+IF(AND(L589="Cafco 300",J589&gt;=95,J589&lt;=400,G589=3,C589="IN",I589=90),VLOOKUP(T589,'CAFCO 300 IDIEM TABLAS'!$F$4:$H$35,2,FALSE),0)+IF(AND(L589="Cafco 300",J589&gt;=95,J589&lt;=400,G589=3,C589="IN",I589=120),VLOOKUP(T589,'CAFCO 300 IDIEM TABLAS'!$F$4:$H$35,3,FALSE),0)+IF(AND(L589="Cafco 300",J589&gt;=95,J589&lt;=450,G589=4,C589="IN",I589=90),VLOOKUP(T589,'CAFCO 300 IDIEM TABLAS'!$J$4:$L$40,2,FALSE),0)+IF(AND(L589="Cafco 300",J589&gt;=95,J589&lt;=450,G589=4,C589="IN",I589=120),VLOOKUP(T589,'CAFCO 300 IDIEM TABLAS'!$J$4:$L$40,3,FALSE),0)+IF(AND(M589="Ensayo Idiem",L589="Cafco 400",C589="IN",G589=4,I589=90),VLOOKUP(T589,'CAFCO 400 ENSAYO'!$B$7:$D$43,2,FALSE),0)+IF(AND(M589="Ensayo Idiem",L589="Cafco 400",C589="IN",G589=4,I589=120),VLOOKUP(T589,'CAFCO 400 ENSAYO'!$B$7:$D$43,3,FALSE),0)</f>
        <v>0</v>
      </c>
      <c r="O589" s="96">
        <f t="shared" si="66"/>
        <v>0</v>
      </c>
      <c r="P589" s="132" t="str">
        <f t="shared" si="61"/>
        <v>N/A</v>
      </c>
      <c r="Q589" s="132" t="str">
        <f t="shared" si="62"/>
        <v>N/A</v>
      </c>
      <c r="R589" s="132" t="str">
        <f t="shared" si="63"/>
        <v>NO CERT.</v>
      </c>
      <c r="S589" s="132" t="e">
        <f t="shared" si="64"/>
        <v>#N/A</v>
      </c>
      <c r="T589" s="133" t="e">
        <f>+IF(J589=LOOKUP(J589,'CAFCO 300 IDIEM TABLAS'!$J$4:$J$40),'CALCULO MORTERO'!J589,MROUND('CALCULO MORTERO'!J589,10))</f>
        <v>#N/A</v>
      </c>
      <c r="U589" s="134">
        <f t="shared" si="65"/>
        <v>0</v>
      </c>
      <c r="Y589" s="4"/>
      <c r="Z589" s="4"/>
      <c r="AA589" s="4"/>
    </row>
    <row r="590" spans="1:27" x14ac:dyDescent="0.25">
      <c r="A590" s="118">
        <f>+CUBICACION!D584</f>
        <v>0</v>
      </c>
      <c r="B590" s="819">
        <f>+CUBICACION!E584</f>
        <v>0</v>
      </c>
      <c r="C590" s="675">
        <f>+CUBICACION!F584</f>
        <v>0</v>
      </c>
      <c r="D590" s="118"/>
      <c r="E590" s="118"/>
      <c r="F590" s="820"/>
      <c r="G590" s="675">
        <f>+CUBICACION!J584</f>
        <v>0</v>
      </c>
      <c r="H590" s="118"/>
      <c r="I590" s="821">
        <f>+CUBICACION!L584</f>
        <v>0</v>
      </c>
      <c r="J590" s="64">
        <f>+CUBICACION!M584</f>
        <v>0</v>
      </c>
      <c r="K590" s="822" t="str">
        <f>+CUBICACION!N584</f>
        <v/>
      </c>
      <c r="L590" s="118">
        <f>+CUBICACION!O584</f>
        <v>0</v>
      </c>
      <c r="M590" s="823">
        <f>+CUBICACION!P584</f>
        <v>0</v>
      </c>
      <c r="N590" s="902">
        <f>ROUND(IF(AND(L590="Blaze Shield II",M590="Software Idiem",C590="IN",G590=4),((('BLAZE SHIELD II'!$D$4*('CALCULO MORTERO'!I590^2)+'BLAZE SHIELD II'!$D$5*'CALCULO MORTERO'!I590+'BLAZE SHIELD II'!$D$6)*LN(J590))+('BLAZE SHIELD II'!$D$7*('CALCULO MORTERO'!I590^2)+'BLAZE SHIELD II'!$D$8*'CALCULO MORTERO'!I590+'BLAZE SHIELD II'!$D$9)),0)+IF(AND(L590="Blaze Shield II",M590="Software Idiem",C590="Cj"),((('BLAZE SHIELD II'!$H$4*('CALCULO MORTERO'!I590^2)+'BLAZE SHIELD II'!$H$5*'CALCULO MORTERO'!I590+'BLAZE SHIELD II'!$H$6)*LN(J590))+('BLAZE SHIELD II'!$H$7*('CALCULO MORTERO'!I590^2)+'BLAZE SHIELD II'!$H$8*'CALCULO MORTERO'!I590+'BLAZE SHIELD II'!$H$9)),0)+IF(AND(L590="Blaze Shield II",M590="Software Idiem",C590="C"),((('BLAZE SHIELD II'!$L$4*('CALCULO MORTERO'!I590^2)+'BLAZE SHIELD II'!$L$5*'CALCULO MORTERO'!I590+'BLAZE SHIELD II'!$L$6)*LN(J590))+('BLAZE SHIELD II'!$L$7*('CALCULO MORTERO'!I590^2)+'BLAZE SHIELD II'!$L$8*'CALCULO MORTERO'!I590+'BLAZE SHIELD II'!$L$9)),0)+IF(AND(L590="Blaze Shield II",M590="Software Idiem",C590="L"),((('BLAZE SHIELD II'!$L$4*('CALCULO MORTERO'!I590^2)+'BLAZE SHIELD II'!$L$5*'CALCULO MORTERO'!I590+'BLAZE SHIELD II'!$L$6)*LN(J590))+('BLAZE SHIELD II'!$L$7*('CALCULO MORTERO'!I590^2)+'BLAZE SHIELD II'!$L$8*'CALCULO MORTERO'!I590+'BLAZE SHIELD II'!$L$9)),0)+IF(AND(L590="Blaze Shield II",M590="Software Idiem",C590="IN",G590=3),((('BLAZE SHIELD II'!$H$14*('CALCULO MORTERO'!I590^2)+'BLAZE SHIELD II'!$H$15*'CALCULO MORTERO'!I590+'BLAZE SHIELD II'!$H$16)*LN(J590))+('BLAZE SHIELD II'!$H$17*('CALCULO MORTERO'!I590^2)+'BLAZE SHIELD II'!$H$18*'CALCULO MORTERO'!I590+'BLAZE SHIELD II'!$H$19)),0),0)+ROUND(IF(AND(L590="Cafco 400",M590="Software Idiem",C590="IN",G590=4),((('CAFCO 400 '!$H$7*(J590^4)+'CAFCO 400 '!$H$8*(J590^3)+'CAFCO 400 '!$H$9*(J590^2)+'CAFCO 400 '!$H$10*J590+'CAFCO 400 '!$H$11)*U590^2)+(('CAFCO 400 '!$H$12*(J590^3)+'CAFCO 400 '!$H$13*(J590^2)+'CAFCO 400 '!$H$14*J590+'CAFCO 400 '!$H$15)*U590)+('CAFCO 400 '!$H$16*(J590^2)+'CAFCO 400 '!$H$17*J590+'CAFCO 400 '!$H$18)),0)+IF(AND(L590="Cafco 400",M590="Software Idiem",C590="Cj"),(((('CAFCO 400 '!$D$7*LN(J590)+'CAFCO 400 '!$D$8)*U590^2)+(('CAFCO 400 '!$D$9*LN(J590)+'CAFCO 400 '!$D$10)*U590)+('CAFCO 400 '!$D$11*LN(J590)+'CAFCO 400 '!$D$12))),0)+IF(AND(L590="Cafco 400",M590="Software Idiem",C590="C"),((('CAFCO 400 '!$L$7*(J590^3)+'CAFCO 400 '!$L$8*(J590^2)+'CAFCO 400 '!$L$9*J590+'CAFCO 400 '!$L$10)*U590^2)+(('CAFCO 400 '!$L$11*(J590^3)+'CAFCO 400 '!$L$12*(J590^2)+'CAFCO 400 '!$L$13*J590+'CAFCO 400 '!$L$14)*U590)+('CAFCO 400 '!$L$15*LN(J590)+'CAFCO 400 '!$L$16)),0)+IF(AND(L590="Cafco 400",M590="Software Idiem",C590="L"),((('CAFCO 400 '!$L$7*(J590^3)+'CAFCO 400 '!$L$8*(J590^2)+'CAFCO 400 '!$L$9*J590+'CAFCO 400 '!$L$10)*U590^2)+(('CAFCO 400 '!$L$11*(J590^3)+'CAFCO 400 '!$L$12*(J590^2)+'CAFCO 400 '!$L$13*J590+'CAFCO 400 '!$L$14)*U590)+('CAFCO 400 '!$L$15*LN(J590)+'CAFCO 400 '!$L$16)),0)+IF(AND(L590="Cafco 400",M590="Software Idiem",C590="IN",G590=3),((('CAFCO 400 '!$D$23*(J590^2)+'CAFCO 400 '!$D$24*(J590)+'CAFCO 400 '!$D$25)*U590^2)+(('CAFCO 400 '!$D$26*(J590^2)+'CAFCO 400 '!$D$27*J590+'CAFCO 400 '!$D$28)*U590)+('CAFCO 400 '!$D$29*(J590^2)+'CAFCO 400 '!$D$30*J590+'CAFCO 400 '!$D$31)),0),0)+IF(AND(L590="Cafco 300",J590&gt;=95,J590&lt;=240,C590="Cj",I590=90),VLOOKUP(T590,'CAFCO 300 IDIEM TABLAS'!$B$4:$D$23,2,FALSE),0)+IF(AND(L590="Cafco 300",J590&gt;=95,J590&lt;=240,C590="Cj",I590=120),VLOOKUP(T590,'CAFCO 300 IDIEM TABLAS'!$B$4:$D$23,3,FALSE),0)+IF(AND(L590="Cafco 300",J590&gt;=95,J590&lt;=400,G590=3,C590="IN",I590=90),VLOOKUP(T590,'CAFCO 300 IDIEM TABLAS'!$F$4:$H$35,2,FALSE),0)+IF(AND(L590="Cafco 300",J590&gt;=95,J590&lt;=400,G590=3,C590="IN",I590=120),VLOOKUP(T590,'CAFCO 300 IDIEM TABLAS'!$F$4:$H$35,3,FALSE),0)+IF(AND(L590="Cafco 300",J590&gt;=95,J590&lt;=450,G590=4,C590="IN",I590=90),VLOOKUP(T590,'CAFCO 300 IDIEM TABLAS'!$J$4:$L$40,2,FALSE),0)+IF(AND(L590="Cafco 300",J590&gt;=95,J590&lt;=450,G590=4,C590="IN",I590=120),VLOOKUP(T590,'CAFCO 300 IDIEM TABLAS'!$J$4:$L$40,3,FALSE),0)+IF(AND(M590="Ensayo Idiem",L590="Cafco 400",C590="IN",G590=4,I590=90),VLOOKUP(T590,'CAFCO 400 ENSAYO'!$B$7:$D$43,2,FALSE),0)+IF(AND(M590="Ensayo Idiem",L590="Cafco 400",C590="IN",G590=4,I590=120),VLOOKUP(T590,'CAFCO 400 ENSAYO'!$B$7:$D$43,3,FALSE),0)</f>
        <v>0</v>
      </c>
      <c r="O590" s="96">
        <f t="shared" si="66"/>
        <v>0</v>
      </c>
      <c r="P590" s="95" t="str">
        <f t="shared" si="61"/>
        <v>N/A</v>
      </c>
      <c r="Q590" s="95" t="str">
        <f t="shared" si="62"/>
        <v>N/A</v>
      </c>
      <c r="R590" s="95" t="str">
        <f t="shared" si="63"/>
        <v>NO CERT.</v>
      </c>
      <c r="S590" s="95" t="e">
        <f t="shared" si="64"/>
        <v>#N/A</v>
      </c>
      <c r="T590" s="119" t="e">
        <f>+IF(J590=LOOKUP(J590,'CAFCO 300 IDIEM TABLAS'!$J$4:$J$40),'CALCULO MORTERO'!J590,MROUND('CALCULO MORTERO'!J590,10))</f>
        <v>#N/A</v>
      </c>
      <c r="U590" s="118">
        <f t="shared" si="65"/>
        <v>0</v>
      </c>
      <c r="Y590" s="4"/>
      <c r="Z590" s="4"/>
      <c r="AA590" s="4"/>
    </row>
    <row r="591" spans="1:27" x14ac:dyDescent="0.25">
      <c r="A591" s="118">
        <f>+CUBICACION!D585</f>
        <v>0</v>
      </c>
      <c r="B591" s="819">
        <f>+CUBICACION!E585</f>
        <v>0</v>
      </c>
      <c r="C591" s="675">
        <f>+CUBICACION!F585</f>
        <v>0</v>
      </c>
      <c r="D591" s="118"/>
      <c r="E591" s="118"/>
      <c r="F591" s="820"/>
      <c r="G591" s="675">
        <f>+CUBICACION!J585</f>
        <v>0</v>
      </c>
      <c r="H591" s="118"/>
      <c r="I591" s="821">
        <f>+CUBICACION!L585</f>
        <v>0</v>
      </c>
      <c r="J591" s="64">
        <f>+CUBICACION!M585</f>
        <v>0</v>
      </c>
      <c r="K591" s="822" t="str">
        <f>+CUBICACION!N585</f>
        <v/>
      </c>
      <c r="L591" s="118">
        <f>+CUBICACION!O585</f>
        <v>0</v>
      </c>
      <c r="M591" s="823">
        <f>+CUBICACION!P585</f>
        <v>0</v>
      </c>
      <c r="N591" s="902">
        <f>ROUND(IF(AND(L591="Blaze Shield II",M591="Software Idiem",C591="IN",G591=4),((('BLAZE SHIELD II'!$D$4*('CALCULO MORTERO'!I591^2)+'BLAZE SHIELD II'!$D$5*'CALCULO MORTERO'!I591+'BLAZE SHIELD II'!$D$6)*LN(J591))+('BLAZE SHIELD II'!$D$7*('CALCULO MORTERO'!I591^2)+'BLAZE SHIELD II'!$D$8*'CALCULO MORTERO'!I591+'BLAZE SHIELD II'!$D$9)),0)+IF(AND(L591="Blaze Shield II",M591="Software Idiem",C591="Cj"),((('BLAZE SHIELD II'!$H$4*('CALCULO MORTERO'!I591^2)+'BLAZE SHIELD II'!$H$5*'CALCULO MORTERO'!I591+'BLAZE SHIELD II'!$H$6)*LN(J591))+('BLAZE SHIELD II'!$H$7*('CALCULO MORTERO'!I591^2)+'BLAZE SHIELD II'!$H$8*'CALCULO MORTERO'!I591+'BLAZE SHIELD II'!$H$9)),0)+IF(AND(L591="Blaze Shield II",M591="Software Idiem",C591="C"),((('BLAZE SHIELD II'!$L$4*('CALCULO MORTERO'!I591^2)+'BLAZE SHIELD II'!$L$5*'CALCULO MORTERO'!I591+'BLAZE SHIELD II'!$L$6)*LN(J591))+('BLAZE SHIELD II'!$L$7*('CALCULO MORTERO'!I591^2)+'BLAZE SHIELD II'!$L$8*'CALCULO MORTERO'!I591+'BLAZE SHIELD II'!$L$9)),0)+IF(AND(L591="Blaze Shield II",M591="Software Idiem",C591="L"),((('BLAZE SHIELD II'!$L$4*('CALCULO MORTERO'!I591^2)+'BLAZE SHIELD II'!$L$5*'CALCULO MORTERO'!I591+'BLAZE SHIELD II'!$L$6)*LN(J591))+('BLAZE SHIELD II'!$L$7*('CALCULO MORTERO'!I591^2)+'BLAZE SHIELD II'!$L$8*'CALCULO MORTERO'!I591+'BLAZE SHIELD II'!$L$9)),0)+IF(AND(L591="Blaze Shield II",M591="Software Idiem",C591="IN",G591=3),((('BLAZE SHIELD II'!$H$14*('CALCULO MORTERO'!I591^2)+'BLAZE SHIELD II'!$H$15*'CALCULO MORTERO'!I591+'BLAZE SHIELD II'!$H$16)*LN(J591))+('BLAZE SHIELD II'!$H$17*('CALCULO MORTERO'!I591^2)+'BLAZE SHIELD II'!$H$18*'CALCULO MORTERO'!I591+'BLAZE SHIELD II'!$H$19)),0),0)+ROUND(IF(AND(L591="Cafco 400",M591="Software Idiem",C591="IN",G591=4),((('CAFCO 400 '!$H$7*(J591^4)+'CAFCO 400 '!$H$8*(J591^3)+'CAFCO 400 '!$H$9*(J591^2)+'CAFCO 400 '!$H$10*J591+'CAFCO 400 '!$H$11)*U591^2)+(('CAFCO 400 '!$H$12*(J591^3)+'CAFCO 400 '!$H$13*(J591^2)+'CAFCO 400 '!$H$14*J591+'CAFCO 400 '!$H$15)*U591)+('CAFCO 400 '!$H$16*(J591^2)+'CAFCO 400 '!$H$17*J591+'CAFCO 400 '!$H$18)),0)+IF(AND(L591="Cafco 400",M591="Software Idiem",C591="Cj"),(((('CAFCO 400 '!$D$7*LN(J591)+'CAFCO 400 '!$D$8)*U591^2)+(('CAFCO 400 '!$D$9*LN(J591)+'CAFCO 400 '!$D$10)*U591)+('CAFCO 400 '!$D$11*LN(J591)+'CAFCO 400 '!$D$12))),0)+IF(AND(L591="Cafco 400",M591="Software Idiem",C591="C"),((('CAFCO 400 '!$L$7*(J591^3)+'CAFCO 400 '!$L$8*(J591^2)+'CAFCO 400 '!$L$9*J591+'CAFCO 400 '!$L$10)*U591^2)+(('CAFCO 400 '!$L$11*(J591^3)+'CAFCO 400 '!$L$12*(J591^2)+'CAFCO 400 '!$L$13*J591+'CAFCO 400 '!$L$14)*U591)+('CAFCO 400 '!$L$15*LN(J591)+'CAFCO 400 '!$L$16)),0)+IF(AND(L591="Cafco 400",M591="Software Idiem",C591="L"),((('CAFCO 400 '!$L$7*(J591^3)+'CAFCO 400 '!$L$8*(J591^2)+'CAFCO 400 '!$L$9*J591+'CAFCO 400 '!$L$10)*U591^2)+(('CAFCO 400 '!$L$11*(J591^3)+'CAFCO 400 '!$L$12*(J591^2)+'CAFCO 400 '!$L$13*J591+'CAFCO 400 '!$L$14)*U591)+('CAFCO 400 '!$L$15*LN(J591)+'CAFCO 400 '!$L$16)),0)+IF(AND(L591="Cafco 400",M591="Software Idiem",C591="IN",G591=3),((('CAFCO 400 '!$D$23*(J591^2)+'CAFCO 400 '!$D$24*(J591)+'CAFCO 400 '!$D$25)*U591^2)+(('CAFCO 400 '!$D$26*(J591^2)+'CAFCO 400 '!$D$27*J591+'CAFCO 400 '!$D$28)*U591)+('CAFCO 400 '!$D$29*(J591^2)+'CAFCO 400 '!$D$30*J591+'CAFCO 400 '!$D$31)),0),0)+IF(AND(L591="Cafco 300",J591&gt;=95,J591&lt;=240,C591="Cj",I591=90),VLOOKUP(T591,'CAFCO 300 IDIEM TABLAS'!$B$4:$D$23,2,FALSE),0)+IF(AND(L591="Cafco 300",J591&gt;=95,J591&lt;=240,C591="Cj",I591=120),VLOOKUP(T591,'CAFCO 300 IDIEM TABLAS'!$B$4:$D$23,3,FALSE),0)+IF(AND(L591="Cafco 300",J591&gt;=95,J591&lt;=400,G591=3,C591="IN",I591=90),VLOOKUP(T591,'CAFCO 300 IDIEM TABLAS'!$F$4:$H$35,2,FALSE),0)+IF(AND(L591="Cafco 300",J591&gt;=95,J591&lt;=400,G591=3,C591="IN",I591=120),VLOOKUP(T591,'CAFCO 300 IDIEM TABLAS'!$F$4:$H$35,3,FALSE),0)+IF(AND(L591="Cafco 300",J591&gt;=95,J591&lt;=450,G591=4,C591="IN",I591=90),VLOOKUP(T591,'CAFCO 300 IDIEM TABLAS'!$J$4:$L$40,2,FALSE),0)+IF(AND(L591="Cafco 300",J591&gt;=95,J591&lt;=450,G591=4,C591="IN",I591=120),VLOOKUP(T591,'CAFCO 300 IDIEM TABLAS'!$J$4:$L$40,3,FALSE),0)+IF(AND(M591="Ensayo Idiem",L591="Cafco 400",C591="IN",G591=4,I591=90),VLOOKUP(T591,'CAFCO 400 ENSAYO'!$B$7:$D$43,2,FALSE),0)+IF(AND(M591="Ensayo Idiem",L591="Cafco 400",C591="IN",G591=4,I591=120),VLOOKUP(T591,'CAFCO 400 ENSAYO'!$B$7:$D$43,3,FALSE),0)</f>
        <v>0</v>
      </c>
      <c r="O591" s="96">
        <f t="shared" si="66"/>
        <v>0</v>
      </c>
      <c r="P591" s="132" t="str">
        <f t="shared" si="61"/>
        <v>N/A</v>
      </c>
      <c r="Q591" s="132" t="str">
        <f t="shared" si="62"/>
        <v>N/A</v>
      </c>
      <c r="R591" s="132" t="str">
        <f t="shared" si="63"/>
        <v>NO CERT.</v>
      </c>
      <c r="S591" s="132" t="e">
        <f t="shared" si="64"/>
        <v>#N/A</v>
      </c>
      <c r="T591" s="133" t="e">
        <f>+IF(J591=LOOKUP(J591,'CAFCO 300 IDIEM TABLAS'!$J$4:$J$40),'CALCULO MORTERO'!J591,MROUND('CALCULO MORTERO'!J591,10))</f>
        <v>#N/A</v>
      </c>
      <c r="U591" s="134">
        <f t="shared" si="65"/>
        <v>0</v>
      </c>
      <c r="Y591" s="4"/>
      <c r="Z591" s="4"/>
      <c r="AA591" s="4"/>
    </row>
    <row r="592" spans="1:27" x14ac:dyDescent="0.25">
      <c r="A592" s="118">
        <f>+CUBICACION!D586</f>
        <v>0</v>
      </c>
      <c r="B592" s="819">
        <f>+CUBICACION!E586</f>
        <v>0</v>
      </c>
      <c r="C592" s="675">
        <f>+CUBICACION!F586</f>
        <v>0</v>
      </c>
      <c r="D592" s="118"/>
      <c r="E592" s="118"/>
      <c r="F592" s="820"/>
      <c r="G592" s="675">
        <f>+CUBICACION!J586</f>
        <v>0</v>
      </c>
      <c r="H592" s="118"/>
      <c r="I592" s="821">
        <f>+CUBICACION!L586</f>
        <v>0</v>
      </c>
      <c r="J592" s="64">
        <f>+CUBICACION!M586</f>
        <v>0</v>
      </c>
      <c r="K592" s="822" t="str">
        <f>+CUBICACION!N586</f>
        <v/>
      </c>
      <c r="L592" s="118">
        <f>+CUBICACION!O586</f>
        <v>0</v>
      </c>
      <c r="M592" s="823">
        <f>+CUBICACION!P586</f>
        <v>0</v>
      </c>
      <c r="N592" s="902">
        <f>ROUND(IF(AND(L592="Blaze Shield II",M592="Software Idiem",C592="IN",G592=4),((('BLAZE SHIELD II'!$D$4*('CALCULO MORTERO'!I592^2)+'BLAZE SHIELD II'!$D$5*'CALCULO MORTERO'!I592+'BLAZE SHIELD II'!$D$6)*LN(J592))+('BLAZE SHIELD II'!$D$7*('CALCULO MORTERO'!I592^2)+'BLAZE SHIELD II'!$D$8*'CALCULO MORTERO'!I592+'BLAZE SHIELD II'!$D$9)),0)+IF(AND(L592="Blaze Shield II",M592="Software Idiem",C592="Cj"),((('BLAZE SHIELD II'!$H$4*('CALCULO MORTERO'!I592^2)+'BLAZE SHIELD II'!$H$5*'CALCULO MORTERO'!I592+'BLAZE SHIELD II'!$H$6)*LN(J592))+('BLAZE SHIELD II'!$H$7*('CALCULO MORTERO'!I592^2)+'BLAZE SHIELD II'!$H$8*'CALCULO MORTERO'!I592+'BLAZE SHIELD II'!$H$9)),0)+IF(AND(L592="Blaze Shield II",M592="Software Idiem",C592="C"),((('BLAZE SHIELD II'!$L$4*('CALCULO MORTERO'!I592^2)+'BLAZE SHIELD II'!$L$5*'CALCULO MORTERO'!I592+'BLAZE SHIELD II'!$L$6)*LN(J592))+('BLAZE SHIELD II'!$L$7*('CALCULO MORTERO'!I592^2)+'BLAZE SHIELD II'!$L$8*'CALCULO MORTERO'!I592+'BLAZE SHIELD II'!$L$9)),0)+IF(AND(L592="Blaze Shield II",M592="Software Idiem",C592="L"),((('BLAZE SHIELD II'!$L$4*('CALCULO MORTERO'!I592^2)+'BLAZE SHIELD II'!$L$5*'CALCULO MORTERO'!I592+'BLAZE SHIELD II'!$L$6)*LN(J592))+('BLAZE SHIELD II'!$L$7*('CALCULO MORTERO'!I592^2)+'BLAZE SHIELD II'!$L$8*'CALCULO MORTERO'!I592+'BLAZE SHIELD II'!$L$9)),0)+IF(AND(L592="Blaze Shield II",M592="Software Idiem",C592="IN",G592=3),((('BLAZE SHIELD II'!$H$14*('CALCULO MORTERO'!I592^2)+'BLAZE SHIELD II'!$H$15*'CALCULO MORTERO'!I592+'BLAZE SHIELD II'!$H$16)*LN(J592))+('BLAZE SHIELD II'!$H$17*('CALCULO MORTERO'!I592^2)+'BLAZE SHIELD II'!$H$18*'CALCULO MORTERO'!I592+'BLAZE SHIELD II'!$H$19)),0),0)+ROUND(IF(AND(L592="Cafco 400",M592="Software Idiem",C592="IN",G592=4),((('CAFCO 400 '!$H$7*(J592^4)+'CAFCO 400 '!$H$8*(J592^3)+'CAFCO 400 '!$H$9*(J592^2)+'CAFCO 400 '!$H$10*J592+'CAFCO 400 '!$H$11)*U592^2)+(('CAFCO 400 '!$H$12*(J592^3)+'CAFCO 400 '!$H$13*(J592^2)+'CAFCO 400 '!$H$14*J592+'CAFCO 400 '!$H$15)*U592)+('CAFCO 400 '!$H$16*(J592^2)+'CAFCO 400 '!$H$17*J592+'CAFCO 400 '!$H$18)),0)+IF(AND(L592="Cafco 400",M592="Software Idiem",C592="Cj"),(((('CAFCO 400 '!$D$7*LN(J592)+'CAFCO 400 '!$D$8)*U592^2)+(('CAFCO 400 '!$D$9*LN(J592)+'CAFCO 400 '!$D$10)*U592)+('CAFCO 400 '!$D$11*LN(J592)+'CAFCO 400 '!$D$12))),0)+IF(AND(L592="Cafco 400",M592="Software Idiem",C592="C"),((('CAFCO 400 '!$L$7*(J592^3)+'CAFCO 400 '!$L$8*(J592^2)+'CAFCO 400 '!$L$9*J592+'CAFCO 400 '!$L$10)*U592^2)+(('CAFCO 400 '!$L$11*(J592^3)+'CAFCO 400 '!$L$12*(J592^2)+'CAFCO 400 '!$L$13*J592+'CAFCO 400 '!$L$14)*U592)+('CAFCO 400 '!$L$15*LN(J592)+'CAFCO 400 '!$L$16)),0)+IF(AND(L592="Cafco 400",M592="Software Idiem",C592="L"),((('CAFCO 400 '!$L$7*(J592^3)+'CAFCO 400 '!$L$8*(J592^2)+'CAFCO 400 '!$L$9*J592+'CAFCO 400 '!$L$10)*U592^2)+(('CAFCO 400 '!$L$11*(J592^3)+'CAFCO 400 '!$L$12*(J592^2)+'CAFCO 400 '!$L$13*J592+'CAFCO 400 '!$L$14)*U592)+('CAFCO 400 '!$L$15*LN(J592)+'CAFCO 400 '!$L$16)),0)+IF(AND(L592="Cafco 400",M592="Software Idiem",C592="IN",G592=3),((('CAFCO 400 '!$D$23*(J592^2)+'CAFCO 400 '!$D$24*(J592)+'CAFCO 400 '!$D$25)*U592^2)+(('CAFCO 400 '!$D$26*(J592^2)+'CAFCO 400 '!$D$27*J592+'CAFCO 400 '!$D$28)*U592)+('CAFCO 400 '!$D$29*(J592^2)+'CAFCO 400 '!$D$30*J592+'CAFCO 400 '!$D$31)),0),0)+IF(AND(L592="Cafco 300",J592&gt;=95,J592&lt;=240,C592="Cj",I592=90),VLOOKUP(T592,'CAFCO 300 IDIEM TABLAS'!$B$4:$D$23,2,FALSE),0)+IF(AND(L592="Cafco 300",J592&gt;=95,J592&lt;=240,C592="Cj",I592=120),VLOOKUP(T592,'CAFCO 300 IDIEM TABLAS'!$B$4:$D$23,3,FALSE),0)+IF(AND(L592="Cafco 300",J592&gt;=95,J592&lt;=400,G592=3,C592="IN",I592=90),VLOOKUP(T592,'CAFCO 300 IDIEM TABLAS'!$F$4:$H$35,2,FALSE),0)+IF(AND(L592="Cafco 300",J592&gt;=95,J592&lt;=400,G592=3,C592="IN",I592=120),VLOOKUP(T592,'CAFCO 300 IDIEM TABLAS'!$F$4:$H$35,3,FALSE),0)+IF(AND(L592="Cafco 300",J592&gt;=95,J592&lt;=450,G592=4,C592="IN",I592=90),VLOOKUP(T592,'CAFCO 300 IDIEM TABLAS'!$J$4:$L$40,2,FALSE),0)+IF(AND(L592="Cafco 300",J592&gt;=95,J592&lt;=450,G592=4,C592="IN",I592=120),VLOOKUP(T592,'CAFCO 300 IDIEM TABLAS'!$J$4:$L$40,3,FALSE),0)+IF(AND(M592="Ensayo Idiem",L592="Cafco 400",C592="IN",G592=4,I592=90),VLOOKUP(T592,'CAFCO 400 ENSAYO'!$B$7:$D$43,2,FALSE),0)+IF(AND(M592="Ensayo Idiem",L592="Cafco 400",C592="IN",G592=4,I592=120),VLOOKUP(T592,'CAFCO 400 ENSAYO'!$B$7:$D$43,3,FALSE),0)</f>
        <v>0</v>
      </c>
      <c r="O592" s="96">
        <f t="shared" si="66"/>
        <v>0</v>
      </c>
      <c r="P592" s="95" t="str">
        <f t="shared" si="61"/>
        <v>N/A</v>
      </c>
      <c r="Q592" s="95" t="str">
        <f t="shared" si="62"/>
        <v>N/A</v>
      </c>
      <c r="R592" s="95" t="str">
        <f t="shared" si="63"/>
        <v>NO CERT.</v>
      </c>
      <c r="S592" s="95" t="e">
        <f t="shared" si="64"/>
        <v>#N/A</v>
      </c>
      <c r="T592" s="119" t="e">
        <f>+IF(J592=LOOKUP(J592,'CAFCO 300 IDIEM TABLAS'!$J$4:$J$40),'CALCULO MORTERO'!J592,MROUND('CALCULO MORTERO'!J592,10))</f>
        <v>#N/A</v>
      </c>
      <c r="U592" s="118">
        <f t="shared" si="65"/>
        <v>0</v>
      </c>
      <c r="Y592" s="4"/>
      <c r="Z592" s="4"/>
      <c r="AA592" s="4"/>
    </row>
    <row r="593" spans="1:27" x14ac:dyDescent="0.25">
      <c r="A593" s="118">
        <f>+CUBICACION!D587</f>
        <v>0</v>
      </c>
      <c r="B593" s="819">
        <f>+CUBICACION!E587</f>
        <v>0</v>
      </c>
      <c r="C593" s="675">
        <f>+CUBICACION!F587</f>
        <v>0</v>
      </c>
      <c r="D593" s="118"/>
      <c r="E593" s="118"/>
      <c r="F593" s="820"/>
      <c r="G593" s="675">
        <f>+CUBICACION!J587</f>
        <v>0</v>
      </c>
      <c r="H593" s="118"/>
      <c r="I593" s="821">
        <f>+CUBICACION!L587</f>
        <v>0</v>
      </c>
      <c r="J593" s="64">
        <f>+CUBICACION!M587</f>
        <v>0</v>
      </c>
      <c r="K593" s="822" t="str">
        <f>+CUBICACION!N587</f>
        <v/>
      </c>
      <c r="L593" s="118">
        <f>+CUBICACION!O587</f>
        <v>0</v>
      </c>
      <c r="M593" s="823">
        <f>+CUBICACION!P587</f>
        <v>0</v>
      </c>
      <c r="N593" s="902">
        <f>ROUND(IF(AND(L593="Blaze Shield II",M593="Software Idiem",C593="IN",G593=4),((('BLAZE SHIELD II'!$D$4*('CALCULO MORTERO'!I593^2)+'BLAZE SHIELD II'!$D$5*'CALCULO MORTERO'!I593+'BLAZE SHIELD II'!$D$6)*LN(J593))+('BLAZE SHIELD II'!$D$7*('CALCULO MORTERO'!I593^2)+'BLAZE SHIELD II'!$D$8*'CALCULO MORTERO'!I593+'BLAZE SHIELD II'!$D$9)),0)+IF(AND(L593="Blaze Shield II",M593="Software Idiem",C593="Cj"),((('BLAZE SHIELD II'!$H$4*('CALCULO MORTERO'!I593^2)+'BLAZE SHIELD II'!$H$5*'CALCULO MORTERO'!I593+'BLAZE SHIELD II'!$H$6)*LN(J593))+('BLAZE SHIELD II'!$H$7*('CALCULO MORTERO'!I593^2)+'BLAZE SHIELD II'!$H$8*'CALCULO MORTERO'!I593+'BLAZE SHIELD II'!$H$9)),0)+IF(AND(L593="Blaze Shield II",M593="Software Idiem",C593="C"),((('BLAZE SHIELD II'!$L$4*('CALCULO MORTERO'!I593^2)+'BLAZE SHIELD II'!$L$5*'CALCULO MORTERO'!I593+'BLAZE SHIELD II'!$L$6)*LN(J593))+('BLAZE SHIELD II'!$L$7*('CALCULO MORTERO'!I593^2)+'BLAZE SHIELD II'!$L$8*'CALCULO MORTERO'!I593+'BLAZE SHIELD II'!$L$9)),0)+IF(AND(L593="Blaze Shield II",M593="Software Idiem",C593="L"),((('BLAZE SHIELD II'!$L$4*('CALCULO MORTERO'!I593^2)+'BLAZE SHIELD II'!$L$5*'CALCULO MORTERO'!I593+'BLAZE SHIELD II'!$L$6)*LN(J593))+('BLAZE SHIELD II'!$L$7*('CALCULO MORTERO'!I593^2)+'BLAZE SHIELD II'!$L$8*'CALCULO MORTERO'!I593+'BLAZE SHIELD II'!$L$9)),0)+IF(AND(L593="Blaze Shield II",M593="Software Idiem",C593="IN",G593=3),((('BLAZE SHIELD II'!$H$14*('CALCULO MORTERO'!I593^2)+'BLAZE SHIELD II'!$H$15*'CALCULO MORTERO'!I593+'BLAZE SHIELD II'!$H$16)*LN(J593))+('BLAZE SHIELD II'!$H$17*('CALCULO MORTERO'!I593^2)+'BLAZE SHIELD II'!$H$18*'CALCULO MORTERO'!I593+'BLAZE SHIELD II'!$H$19)),0),0)+ROUND(IF(AND(L593="Cafco 400",M593="Software Idiem",C593="IN",G593=4),((('CAFCO 400 '!$H$7*(J593^4)+'CAFCO 400 '!$H$8*(J593^3)+'CAFCO 400 '!$H$9*(J593^2)+'CAFCO 400 '!$H$10*J593+'CAFCO 400 '!$H$11)*U593^2)+(('CAFCO 400 '!$H$12*(J593^3)+'CAFCO 400 '!$H$13*(J593^2)+'CAFCO 400 '!$H$14*J593+'CAFCO 400 '!$H$15)*U593)+('CAFCO 400 '!$H$16*(J593^2)+'CAFCO 400 '!$H$17*J593+'CAFCO 400 '!$H$18)),0)+IF(AND(L593="Cafco 400",M593="Software Idiem",C593="Cj"),(((('CAFCO 400 '!$D$7*LN(J593)+'CAFCO 400 '!$D$8)*U593^2)+(('CAFCO 400 '!$D$9*LN(J593)+'CAFCO 400 '!$D$10)*U593)+('CAFCO 400 '!$D$11*LN(J593)+'CAFCO 400 '!$D$12))),0)+IF(AND(L593="Cafco 400",M593="Software Idiem",C593="C"),((('CAFCO 400 '!$L$7*(J593^3)+'CAFCO 400 '!$L$8*(J593^2)+'CAFCO 400 '!$L$9*J593+'CAFCO 400 '!$L$10)*U593^2)+(('CAFCO 400 '!$L$11*(J593^3)+'CAFCO 400 '!$L$12*(J593^2)+'CAFCO 400 '!$L$13*J593+'CAFCO 400 '!$L$14)*U593)+('CAFCO 400 '!$L$15*LN(J593)+'CAFCO 400 '!$L$16)),0)+IF(AND(L593="Cafco 400",M593="Software Idiem",C593="L"),((('CAFCO 400 '!$L$7*(J593^3)+'CAFCO 400 '!$L$8*(J593^2)+'CAFCO 400 '!$L$9*J593+'CAFCO 400 '!$L$10)*U593^2)+(('CAFCO 400 '!$L$11*(J593^3)+'CAFCO 400 '!$L$12*(J593^2)+'CAFCO 400 '!$L$13*J593+'CAFCO 400 '!$L$14)*U593)+('CAFCO 400 '!$L$15*LN(J593)+'CAFCO 400 '!$L$16)),0)+IF(AND(L593="Cafco 400",M593="Software Idiem",C593="IN",G593=3),((('CAFCO 400 '!$D$23*(J593^2)+'CAFCO 400 '!$D$24*(J593)+'CAFCO 400 '!$D$25)*U593^2)+(('CAFCO 400 '!$D$26*(J593^2)+'CAFCO 400 '!$D$27*J593+'CAFCO 400 '!$D$28)*U593)+('CAFCO 400 '!$D$29*(J593^2)+'CAFCO 400 '!$D$30*J593+'CAFCO 400 '!$D$31)),0),0)+IF(AND(L593="Cafco 300",J593&gt;=95,J593&lt;=240,C593="Cj",I593=90),VLOOKUP(T593,'CAFCO 300 IDIEM TABLAS'!$B$4:$D$23,2,FALSE),0)+IF(AND(L593="Cafco 300",J593&gt;=95,J593&lt;=240,C593="Cj",I593=120),VLOOKUP(T593,'CAFCO 300 IDIEM TABLAS'!$B$4:$D$23,3,FALSE),0)+IF(AND(L593="Cafco 300",J593&gt;=95,J593&lt;=400,G593=3,C593="IN",I593=90),VLOOKUP(T593,'CAFCO 300 IDIEM TABLAS'!$F$4:$H$35,2,FALSE),0)+IF(AND(L593="Cafco 300",J593&gt;=95,J593&lt;=400,G593=3,C593="IN",I593=120),VLOOKUP(T593,'CAFCO 300 IDIEM TABLAS'!$F$4:$H$35,3,FALSE),0)+IF(AND(L593="Cafco 300",J593&gt;=95,J593&lt;=450,G593=4,C593="IN",I593=90),VLOOKUP(T593,'CAFCO 300 IDIEM TABLAS'!$J$4:$L$40,2,FALSE),0)+IF(AND(L593="Cafco 300",J593&gt;=95,J593&lt;=450,G593=4,C593="IN",I593=120),VLOOKUP(T593,'CAFCO 300 IDIEM TABLAS'!$J$4:$L$40,3,FALSE),0)+IF(AND(M593="Ensayo Idiem",L593="Cafco 400",C593="IN",G593=4,I593=90),VLOOKUP(T593,'CAFCO 400 ENSAYO'!$B$7:$D$43,2,FALSE),0)+IF(AND(M593="Ensayo Idiem",L593="Cafco 400",C593="IN",G593=4,I593=120),VLOOKUP(T593,'CAFCO 400 ENSAYO'!$B$7:$D$43,3,FALSE),0)</f>
        <v>0</v>
      </c>
      <c r="O593" s="96">
        <f t="shared" si="66"/>
        <v>0</v>
      </c>
      <c r="P593" s="132" t="str">
        <f t="shared" si="61"/>
        <v>N/A</v>
      </c>
      <c r="Q593" s="132" t="str">
        <f t="shared" si="62"/>
        <v>N/A</v>
      </c>
      <c r="R593" s="132" t="str">
        <f t="shared" si="63"/>
        <v>NO CERT.</v>
      </c>
      <c r="S593" s="132" t="e">
        <f t="shared" si="64"/>
        <v>#N/A</v>
      </c>
      <c r="T593" s="133" t="e">
        <f>+IF(J593=LOOKUP(J593,'CAFCO 300 IDIEM TABLAS'!$J$4:$J$40),'CALCULO MORTERO'!J593,MROUND('CALCULO MORTERO'!J593,10))</f>
        <v>#N/A</v>
      </c>
      <c r="U593" s="134">
        <f t="shared" si="65"/>
        <v>0</v>
      </c>
      <c r="Y593" s="4"/>
      <c r="Z593" s="4"/>
      <c r="AA593" s="4"/>
    </row>
    <row r="594" spans="1:27" x14ac:dyDescent="0.25">
      <c r="A594" s="118">
        <f>+CUBICACION!D588</f>
        <v>0</v>
      </c>
      <c r="B594" s="819">
        <f>+CUBICACION!E588</f>
        <v>0</v>
      </c>
      <c r="C594" s="675">
        <f>+CUBICACION!F588</f>
        <v>0</v>
      </c>
      <c r="D594" s="118"/>
      <c r="E594" s="118"/>
      <c r="F594" s="820"/>
      <c r="G594" s="675">
        <f>+CUBICACION!J588</f>
        <v>0</v>
      </c>
      <c r="H594" s="118"/>
      <c r="I594" s="821">
        <f>+CUBICACION!L588</f>
        <v>0</v>
      </c>
      <c r="J594" s="64">
        <f>+CUBICACION!M588</f>
        <v>0</v>
      </c>
      <c r="K594" s="822" t="str">
        <f>+CUBICACION!N588</f>
        <v/>
      </c>
      <c r="L594" s="118">
        <f>+CUBICACION!O588</f>
        <v>0</v>
      </c>
      <c r="M594" s="823">
        <f>+CUBICACION!P588</f>
        <v>0</v>
      </c>
      <c r="N594" s="902">
        <f>ROUND(IF(AND(L594="Blaze Shield II",M594="Software Idiem",C594="IN",G594=4),((('BLAZE SHIELD II'!$D$4*('CALCULO MORTERO'!I594^2)+'BLAZE SHIELD II'!$D$5*'CALCULO MORTERO'!I594+'BLAZE SHIELD II'!$D$6)*LN(J594))+('BLAZE SHIELD II'!$D$7*('CALCULO MORTERO'!I594^2)+'BLAZE SHIELD II'!$D$8*'CALCULO MORTERO'!I594+'BLAZE SHIELD II'!$D$9)),0)+IF(AND(L594="Blaze Shield II",M594="Software Idiem",C594="Cj"),((('BLAZE SHIELD II'!$H$4*('CALCULO MORTERO'!I594^2)+'BLAZE SHIELD II'!$H$5*'CALCULO MORTERO'!I594+'BLAZE SHIELD II'!$H$6)*LN(J594))+('BLAZE SHIELD II'!$H$7*('CALCULO MORTERO'!I594^2)+'BLAZE SHIELD II'!$H$8*'CALCULO MORTERO'!I594+'BLAZE SHIELD II'!$H$9)),0)+IF(AND(L594="Blaze Shield II",M594="Software Idiem",C594="C"),((('BLAZE SHIELD II'!$L$4*('CALCULO MORTERO'!I594^2)+'BLAZE SHIELD II'!$L$5*'CALCULO MORTERO'!I594+'BLAZE SHIELD II'!$L$6)*LN(J594))+('BLAZE SHIELD II'!$L$7*('CALCULO MORTERO'!I594^2)+'BLAZE SHIELD II'!$L$8*'CALCULO MORTERO'!I594+'BLAZE SHIELD II'!$L$9)),0)+IF(AND(L594="Blaze Shield II",M594="Software Idiem",C594="L"),((('BLAZE SHIELD II'!$L$4*('CALCULO MORTERO'!I594^2)+'BLAZE SHIELD II'!$L$5*'CALCULO MORTERO'!I594+'BLAZE SHIELD II'!$L$6)*LN(J594))+('BLAZE SHIELD II'!$L$7*('CALCULO MORTERO'!I594^2)+'BLAZE SHIELD II'!$L$8*'CALCULO MORTERO'!I594+'BLAZE SHIELD II'!$L$9)),0)+IF(AND(L594="Blaze Shield II",M594="Software Idiem",C594="IN",G594=3),((('BLAZE SHIELD II'!$H$14*('CALCULO MORTERO'!I594^2)+'BLAZE SHIELD II'!$H$15*'CALCULO MORTERO'!I594+'BLAZE SHIELD II'!$H$16)*LN(J594))+('BLAZE SHIELD II'!$H$17*('CALCULO MORTERO'!I594^2)+'BLAZE SHIELD II'!$H$18*'CALCULO MORTERO'!I594+'BLAZE SHIELD II'!$H$19)),0),0)+ROUND(IF(AND(L594="Cafco 400",M594="Software Idiem",C594="IN",G594=4),((('CAFCO 400 '!$H$7*(J594^4)+'CAFCO 400 '!$H$8*(J594^3)+'CAFCO 400 '!$H$9*(J594^2)+'CAFCO 400 '!$H$10*J594+'CAFCO 400 '!$H$11)*U594^2)+(('CAFCO 400 '!$H$12*(J594^3)+'CAFCO 400 '!$H$13*(J594^2)+'CAFCO 400 '!$H$14*J594+'CAFCO 400 '!$H$15)*U594)+('CAFCO 400 '!$H$16*(J594^2)+'CAFCO 400 '!$H$17*J594+'CAFCO 400 '!$H$18)),0)+IF(AND(L594="Cafco 400",M594="Software Idiem",C594="Cj"),(((('CAFCO 400 '!$D$7*LN(J594)+'CAFCO 400 '!$D$8)*U594^2)+(('CAFCO 400 '!$D$9*LN(J594)+'CAFCO 400 '!$D$10)*U594)+('CAFCO 400 '!$D$11*LN(J594)+'CAFCO 400 '!$D$12))),0)+IF(AND(L594="Cafco 400",M594="Software Idiem",C594="C"),((('CAFCO 400 '!$L$7*(J594^3)+'CAFCO 400 '!$L$8*(J594^2)+'CAFCO 400 '!$L$9*J594+'CAFCO 400 '!$L$10)*U594^2)+(('CAFCO 400 '!$L$11*(J594^3)+'CAFCO 400 '!$L$12*(J594^2)+'CAFCO 400 '!$L$13*J594+'CAFCO 400 '!$L$14)*U594)+('CAFCO 400 '!$L$15*LN(J594)+'CAFCO 400 '!$L$16)),0)+IF(AND(L594="Cafco 400",M594="Software Idiem",C594="L"),((('CAFCO 400 '!$L$7*(J594^3)+'CAFCO 400 '!$L$8*(J594^2)+'CAFCO 400 '!$L$9*J594+'CAFCO 400 '!$L$10)*U594^2)+(('CAFCO 400 '!$L$11*(J594^3)+'CAFCO 400 '!$L$12*(J594^2)+'CAFCO 400 '!$L$13*J594+'CAFCO 400 '!$L$14)*U594)+('CAFCO 400 '!$L$15*LN(J594)+'CAFCO 400 '!$L$16)),0)+IF(AND(L594="Cafco 400",M594="Software Idiem",C594="IN",G594=3),((('CAFCO 400 '!$D$23*(J594^2)+'CAFCO 400 '!$D$24*(J594)+'CAFCO 400 '!$D$25)*U594^2)+(('CAFCO 400 '!$D$26*(J594^2)+'CAFCO 400 '!$D$27*J594+'CAFCO 400 '!$D$28)*U594)+('CAFCO 400 '!$D$29*(J594^2)+'CAFCO 400 '!$D$30*J594+'CAFCO 400 '!$D$31)),0),0)+IF(AND(L594="Cafco 300",J594&gt;=95,J594&lt;=240,C594="Cj",I594=90),VLOOKUP(T594,'CAFCO 300 IDIEM TABLAS'!$B$4:$D$23,2,FALSE),0)+IF(AND(L594="Cafco 300",J594&gt;=95,J594&lt;=240,C594="Cj",I594=120),VLOOKUP(T594,'CAFCO 300 IDIEM TABLAS'!$B$4:$D$23,3,FALSE),0)+IF(AND(L594="Cafco 300",J594&gt;=95,J594&lt;=400,G594=3,C594="IN",I594=90),VLOOKUP(T594,'CAFCO 300 IDIEM TABLAS'!$F$4:$H$35,2,FALSE),0)+IF(AND(L594="Cafco 300",J594&gt;=95,J594&lt;=400,G594=3,C594="IN",I594=120),VLOOKUP(T594,'CAFCO 300 IDIEM TABLAS'!$F$4:$H$35,3,FALSE),0)+IF(AND(L594="Cafco 300",J594&gt;=95,J594&lt;=450,G594=4,C594="IN",I594=90),VLOOKUP(T594,'CAFCO 300 IDIEM TABLAS'!$J$4:$L$40,2,FALSE),0)+IF(AND(L594="Cafco 300",J594&gt;=95,J594&lt;=450,G594=4,C594="IN",I594=120),VLOOKUP(T594,'CAFCO 300 IDIEM TABLAS'!$J$4:$L$40,3,FALSE),0)+IF(AND(M594="Ensayo Idiem",L594="Cafco 400",C594="IN",G594=4,I594=90),VLOOKUP(T594,'CAFCO 400 ENSAYO'!$B$7:$D$43,2,FALSE),0)+IF(AND(M594="Ensayo Idiem",L594="Cafco 400",C594="IN",G594=4,I594=120),VLOOKUP(T594,'CAFCO 400 ENSAYO'!$B$7:$D$43,3,FALSE),0)</f>
        <v>0</v>
      </c>
      <c r="O594" s="96">
        <f t="shared" si="66"/>
        <v>0</v>
      </c>
      <c r="P594" s="95" t="str">
        <f t="shared" si="61"/>
        <v>N/A</v>
      </c>
      <c r="Q594" s="95" t="str">
        <f t="shared" si="62"/>
        <v>N/A</v>
      </c>
      <c r="R594" s="95" t="str">
        <f t="shared" si="63"/>
        <v>NO CERT.</v>
      </c>
      <c r="S594" s="95" t="e">
        <f t="shared" si="64"/>
        <v>#N/A</v>
      </c>
      <c r="T594" s="119" t="e">
        <f>+IF(J594=LOOKUP(J594,'CAFCO 300 IDIEM TABLAS'!$J$4:$J$40),'CALCULO MORTERO'!J594,MROUND('CALCULO MORTERO'!J594,10))</f>
        <v>#N/A</v>
      </c>
      <c r="U594" s="118">
        <f t="shared" si="65"/>
        <v>0</v>
      </c>
      <c r="Y594" s="4"/>
      <c r="Z594" s="4"/>
      <c r="AA594" s="4"/>
    </row>
    <row r="595" spans="1:27" x14ac:dyDescent="0.25">
      <c r="A595" s="118">
        <f>+CUBICACION!D589</f>
        <v>0</v>
      </c>
      <c r="B595" s="819">
        <f>+CUBICACION!E589</f>
        <v>0</v>
      </c>
      <c r="C595" s="675">
        <f>+CUBICACION!F589</f>
        <v>0</v>
      </c>
      <c r="D595" s="118"/>
      <c r="E595" s="118"/>
      <c r="F595" s="820"/>
      <c r="G595" s="675">
        <f>+CUBICACION!J589</f>
        <v>0</v>
      </c>
      <c r="H595" s="118"/>
      <c r="I595" s="821">
        <f>+CUBICACION!L589</f>
        <v>0</v>
      </c>
      <c r="J595" s="64">
        <f>+CUBICACION!M589</f>
        <v>0</v>
      </c>
      <c r="K595" s="822" t="str">
        <f>+CUBICACION!N589</f>
        <v/>
      </c>
      <c r="L595" s="118">
        <f>+CUBICACION!O589</f>
        <v>0</v>
      </c>
      <c r="M595" s="823">
        <f>+CUBICACION!P589</f>
        <v>0</v>
      </c>
      <c r="N595" s="902">
        <f>ROUND(IF(AND(L595="Blaze Shield II",M595="Software Idiem",C595="IN",G595=4),((('BLAZE SHIELD II'!$D$4*('CALCULO MORTERO'!I595^2)+'BLAZE SHIELD II'!$D$5*'CALCULO MORTERO'!I595+'BLAZE SHIELD II'!$D$6)*LN(J595))+('BLAZE SHIELD II'!$D$7*('CALCULO MORTERO'!I595^2)+'BLAZE SHIELD II'!$D$8*'CALCULO MORTERO'!I595+'BLAZE SHIELD II'!$D$9)),0)+IF(AND(L595="Blaze Shield II",M595="Software Idiem",C595="Cj"),((('BLAZE SHIELD II'!$H$4*('CALCULO MORTERO'!I595^2)+'BLAZE SHIELD II'!$H$5*'CALCULO MORTERO'!I595+'BLAZE SHIELD II'!$H$6)*LN(J595))+('BLAZE SHIELD II'!$H$7*('CALCULO MORTERO'!I595^2)+'BLAZE SHIELD II'!$H$8*'CALCULO MORTERO'!I595+'BLAZE SHIELD II'!$H$9)),0)+IF(AND(L595="Blaze Shield II",M595="Software Idiem",C595="C"),((('BLAZE SHIELD II'!$L$4*('CALCULO MORTERO'!I595^2)+'BLAZE SHIELD II'!$L$5*'CALCULO MORTERO'!I595+'BLAZE SHIELD II'!$L$6)*LN(J595))+('BLAZE SHIELD II'!$L$7*('CALCULO MORTERO'!I595^2)+'BLAZE SHIELD II'!$L$8*'CALCULO MORTERO'!I595+'BLAZE SHIELD II'!$L$9)),0)+IF(AND(L595="Blaze Shield II",M595="Software Idiem",C595="L"),((('BLAZE SHIELD II'!$L$4*('CALCULO MORTERO'!I595^2)+'BLAZE SHIELD II'!$L$5*'CALCULO MORTERO'!I595+'BLAZE SHIELD II'!$L$6)*LN(J595))+('BLAZE SHIELD II'!$L$7*('CALCULO MORTERO'!I595^2)+'BLAZE SHIELD II'!$L$8*'CALCULO MORTERO'!I595+'BLAZE SHIELD II'!$L$9)),0)+IF(AND(L595="Blaze Shield II",M595="Software Idiem",C595="IN",G595=3),((('BLAZE SHIELD II'!$H$14*('CALCULO MORTERO'!I595^2)+'BLAZE SHIELD II'!$H$15*'CALCULO MORTERO'!I595+'BLAZE SHIELD II'!$H$16)*LN(J595))+('BLAZE SHIELD II'!$H$17*('CALCULO MORTERO'!I595^2)+'BLAZE SHIELD II'!$H$18*'CALCULO MORTERO'!I595+'BLAZE SHIELD II'!$H$19)),0),0)+ROUND(IF(AND(L595="Cafco 400",M595="Software Idiem",C595="IN",G595=4),((('CAFCO 400 '!$H$7*(J595^4)+'CAFCO 400 '!$H$8*(J595^3)+'CAFCO 400 '!$H$9*(J595^2)+'CAFCO 400 '!$H$10*J595+'CAFCO 400 '!$H$11)*U595^2)+(('CAFCO 400 '!$H$12*(J595^3)+'CAFCO 400 '!$H$13*(J595^2)+'CAFCO 400 '!$H$14*J595+'CAFCO 400 '!$H$15)*U595)+('CAFCO 400 '!$H$16*(J595^2)+'CAFCO 400 '!$H$17*J595+'CAFCO 400 '!$H$18)),0)+IF(AND(L595="Cafco 400",M595="Software Idiem",C595="Cj"),(((('CAFCO 400 '!$D$7*LN(J595)+'CAFCO 400 '!$D$8)*U595^2)+(('CAFCO 400 '!$D$9*LN(J595)+'CAFCO 400 '!$D$10)*U595)+('CAFCO 400 '!$D$11*LN(J595)+'CAFCO 400 '!$D$12))),0)+IF(AND(L595="Cafco 400",M595="Software Idiem",C595="C"),((('CAFCO 400 '!$L$7*(J595^3)+'CAFCO 400 '!$L$8*(J595^2)+'CAFCO 400 '!$L$9*J595+'CAFCO 400 '!$L$10)*U595^2)+(('CAFCO 400 '!$L$11*(J595^3)+'CAFCO 400 '!$L$12*(J595^2)+'CAFCO 400 '!$L$13*J595+'CAFCO 400 '!$L$14)*U595)+('CAFCO 400 '!$L$15*LN(J595)+'CAFCO 400 '!$L$16)),0)+IF(AND(L595="Cafco 400",M595="Software Idiem",C595="L"),((('CAFCO 400 '!$L$7*(J595^3)+'CAFCO 400 '!$L$8*(J595^2)+'CAFCO 400 '!$L$9*J595+'CAFCO 400 '!$L$10)*U595^2)+(('CAFCO 400 '!$L$11*(J595^3)+'CAFCO 400 '!$L$12*(J595^2)+'CAFCO 400 '!$L$13*J595+'CAFCO 400 '!$L$14)*U595)+('CAFCO 400 '!$L$15*LN(J595)+'CAFCO 400 '!$L$16)),0)+IF(AND(L595="Cafco 400",M595="Software Idiem",C595="IN",G595=3),((('CAFCO 400 '!$D$23*(J595^2)+'CAFCO 400 '!$D$24*(J595)+'CAFCO 400 '!$D$25)*U595^2)+(('CAFCO 400 '!$D$26*(J595^2)+'CAFCO 400 '!$D$27*J595+'CAFCO 400 '!$D$28)*U595)+('CAFCO 400 '!$D$29*(J595^2)+'CAFCO 400 '!$D$30*J595+'CAFCO 400 '!$D$31)),0),0)+IF(AND(L595="Cafco 300",J595&gt;=95,J595&lt;=240,C595="Cj",I595=90),VLOOKUP(T595,'CAFCO 300 IDIEM TABLAS'!$B$4:$D$23,2,FALSE),0)+IF(AND(L595="Cafco 300",J595&gt;=95,J595&lt;=240,C595="Cj",I595=120),VLOOKUP(T595,'CAFCO 300 IDIEM TABLAS'!$B$4:$D$23,3,FALSE),0)+IF(AND(L595="Cafco 300",J595&gt;=95,J595&lt;=400,G595=3,C595="IN",I595=90),VLOOKUP(T595,'CAFCO 300 IDIEM TABLAS'!$F$4:$H$35,2,FALSE),0)+IF(AND(L595="Cafco 300",J595&gt;=95,J595&lt;=400,G595=3,C595="IN",I595=120),VLOOKUP(T595,'CAFCO 300 IDIEM TABLAS'!$F$4:$H$35,3,FALSE),0)+IF(AND(L595="Cafco 300",J595&gt;=95,J595&lt;=450,G595=4,C595="IN",I595=90),VLOOKUP(T595,'CAFCO 300 IDIEM TABLAS'!$J$4:$L$40,2,FALSE),0)+IF(AND(L595="Cafco 300",J595&gt;=95,J595&lt;=450,G595=4,C595="IN",I595=120),VLOOKUP(T595,'CAFCO 300 IDIEM TABLAS'!$J$4:$L$40,3,FALSE),0)+IF(AND(M595="Ensayo Idiem",L595="Cafco 400",C595="IN",G595=4,I595=90),VLOOKUP(T595,'CAFCO 400 ENSAYO'!$B$7:$D$43,2,FALSE),0)+IF(AND(M595="Ensayo Idiem",L595="Cafco 400",C595="IN",G595=4,I595=120),VLOOKUP(T595,'CAFCO 400 ENSAYO'!$B$7:$D$43,3,FALSE),0)</f>
        <v>0</v>
      </c>
      <c r="O595" s="96">
        <f t="shared" si="66"/>
        <v>0</v>
      </c>
      <c r="P595" s="132" t="str">
        <f t="shared" si="61"/>
        <v>N/A</v>
      </c>
      <c r="Q595" s="132" t="str">
        <f t="shared" si="62"/>
        <v>N/A</v>
      </c>
      <c r="R595" s="132" t="str">
        <f t="shared" si="63"/>
        <v>NO CERT.</v>
      </c>
      <c r="S595" s="132" t="e">
        <f t="shared" si="64"/>
        <v>#N/A</v>
      </c>
      <c r="T595" s="133" t="e">
        <f>+IF(J595=LOOKUP(J595,'CAFCO 300 IDIEM TABLAS'!$J$4:$J$40),'CALCULO MORTERO'!J595,MROUND('CALCULO MORTERO'!J595,10))</f>
        <v>#N/A</v>
      </c>
      <c r="U595" s="134">
        <f t="shared" si="65"/>
        <v>0</v>
      </c>
      <c r="Y595" s="4"/>
      <c r="Z595" s="4"/>
      <c r="AA595" s="4"/>
    </row>
    <row r="596" spans="1:27" x14ac:dyDescent="0.25">
      <c r="A596" s="118">
        <f>+CUBICACION!D590</f>
        <v>0</v>
      </c>
      <c r="B596" s="819">
        <f>+CUBICACION!E590</f>
        <v>0</v>
      </c>
      <c r="C596" s="675">
        <f>+CUBICACION!F590</f>
        <v>0</v>
      </c>
      <c r="D596" s="118"/>
      <c r="E596" s="118"/>
      <c r="F596" s="820"/>
      <c r="G596" s="675">
        <f>+CUBICACION!J590</f>
        <v>0</v>
      </c>
      <c r="H596" s="118"/>
      <c r="I596" s="821">
        <f>+CUBICACION!L590</f>
        <v>0</v>
      </c>
      <c r="J596" s="64">
        <f>+CUBICACION!M590</f>
        <v>0</v>
      </c>
      <c r="K596" s="822" t="str">
        <f>+CUBICACION!N590</f>
        <v/>
      </c>
      <c r="L596" s="118">
        <f>+CUBICACION!O590</f>
        <v>0</v>
      </c>
      <c r="M596" s="823">
        <f>+CUBICACION!P590</f>
        <v>0</v>
      </c>
      <c r="N596" s="902">
        <f>ROUND(IF(AND(L596="Blaze Shield II",M596="Software Idiem",C596="IN",G596=4),((('BLAZE SHIELD II'!$D$4*('CALCULO MORTERO'!I596^2)+'BLAZE SHIELD II'!$D$5*'CALCULO MORTERO'!I596+'BLAZE SHIELD II'!$D$6)*LN(J596))+('BLAZE SHIELD II'!$D$7*('CALCULO MORTERO'!I596^2)+'BLAZE SHIELD II'!$D$8*'CALCULO MORTERO'!I596+'BLAZE SHIELD II'!$D$9)),0)+IF(AND(L596="Blaze Shield II",M596="Software Idiem",C596="Cj"),((('BLAZE SHIELD II'!$H$4*('CALCULO MORTERO'!I596^2)+'BLAZE SHIELD II'!$H$5*'CALCULO MORTERO'!I596+'BLAZE SHIELD II'!$H$6)*LN(J596))+('BLAZE SHIELD II'!$H$7*('CALCULO MORTERO'!I596^2)+'BLAZE SHIELD II'!$H$8*'CALCULO MORTERO'!I596+'BLAZE SHIELD II'!$H$9)),0)+IF(AND(L596="Blaze Shield II",M596="Software Idiem",C596="C"),((('BLAZE SHIELD II'!$L$4*('CALCULO MORTERO'!I596^2)+'BLAZE SHIELD II'!$L$5*'CALCULO MORTERO'!I596+'BLAZE SHIELD II'!$L$6)*LN(J596))+('BLAZE SHIELD II'!$L$7*('CALCULO MORTERO'!I596^2)+'BLAZE SHIELD II'!$L$8*'CALCULO MORTERO'!I596+'BLAZE SHIELD II'!$L$9)),0)+IF(AND(L596="Blaze Shield II",M596="Software Idiem",C596="L"),((('BLAZE SHIELD II'!$L$4*('CALCULO MORTERO'!I596^2)+'BLAZE SHIELD II'!$L$5*'CALCULO MORTERO'!I596+'BLAZE SHIELD II'!$L$6)*LN(J596))+('BLAZE SHIELD II'!$L$7*('CALCULO MORTERO'!I596^2)+'BLAZE SHIELD II'!$L$8*'CALCULO MORTERO'!I596+'BLAZE SHIELD II'!$L$9)),0)+IF(AND(L596="Blaze Shield II",M596="Software Idiem",C596="IN",G596=3),((('BLAZE SHIELD II'!$H$14*('CALCULO MORTERO'!I596^2)+'BLAZE SHIELD II'!$H$15*'CALCULO MORTERO'!I596+'BLAZE SHIELD II'!$H$16)*LN(J596))+('BLAZE SHIELD II'!$H$17*('CALCULO MORTERO'!I596^2)+'BLAZE SHIELD II'!$H$18*'CALCULO MORTERO'!I596+'BLAZE SHIELD II'!$H$19)),0),0)+ROUND(IF(AND(L596="Cafco 400",M596="Software Idiem",C596="IN",G596=4),((('CAFCO 400 '!$H$7*(J596^4)+'CAFCO 400 '!$H$8*(J596^3)+'CAFCO 400 '!$H$9*(J596^2)+'CAFCO 400 '!$H$10*J596+'CAFCO 400 '!$H$11)*U596^2)+(('CAFCO 400 '!$H$12*(J596^3)+'CAFCO 400 '!$H$13*(J596^2)+'CAFCO 400 '!$H$14*J596+'CAFCO 400 '!$H$15)*U596)+('CAFCO 400 '!$H$16*(J596^2)+'CAFCO 400 '!$H$17*J596+'CAFCO 400 '!$H$18)),0)+IF(AND(L596="Cafco 400",M596="Software Idiem",C596="Cj"),(((('CAFCO 400 '!$D$7*LN(J596)+'CAFCO 400 '!$D$8)*U596^2)+(('CAFCO 400 '!$D$9*LN(J596)+'CAFCO 400 '!$D$10)*U596)+('CAFCO 400 '!$D$11*LN(J596)+'CAFCO 400 '!$D$12))),0)+IF(AND(L596="Cafco 400",M596="Software Idiem",C596="C"),((('CAFCO 400 '!$L$7*(J596^3)+'CAFCO 400 '!$L$8*(J596^2)+'CAFCO 400 '!$L$9*J596+'CAFCO 400 '!$L$10)*U596^2)+(('CAFCO 400 '!$L$11*(J596^3)+'CAFCO 400 '!$L$12*(J596^2)+'CAFCO 400 '!$L$13*J596+'CAFCO 400 '!$L$14)*U596)+('CAFCO 400 '!$L$15*LN(J596)+'CAFCO 400 '!$L$16)),0)+IF(AND(L596="Cafco 400",M596="Software Idiem",C596="L"),((('CAFCO 400 '!$L$7*(J596^3)+'CAFCO 400 '!$L$8*(J596^2)+'CAFCO 400 '!$L$9*J596+'CAFCO 400 '!$L$10)*U596^2)+(('CAFCO 400 '!$L$11*(J596^3)+'CAFCO 400 '!$L$12*(J596^2)+'CAFCO 400 '!$L$13*J596+'CAFCO 400 '!$L$14)*U596)+('CAFCO 400 '!$L$15*LN(J596)+'CAFCO 400 '!$L$16)),0)+IF(AND(L596="Cafco 400",M596="Software Idiem",C596="IN",G596=3),((('CAFCO 400 '!$D$23*(J596^2)+'CAFCO 400 '!$D$24*(J596)+'CAFCO 400 '!$D$25)*U596^2)+(('CAFCO 400 '!$D$26*(J596^2)+'CAFCO 400 '!$D$27*J596+'CAFCO 400 '!$D$28)*U596)+('CAFCO 400 '!$D$29*(J596^2)+'CAFCO 400 '!$D$30*J596+'CAFCO 400 '!$D$31)),0),0)+IF(AND(L596="Cafco 300",J596&gt;=95,J596&lt;=240,C596="Cj",I596=90),VLOOKUP(T596,'CAFCO 300 IDIEM TABLAS'!$B$4:$D$23,2,FALSE),0)+IF(AND(L596="Cafco 300",J596&gt;=95,J596&lt;=240,C596="Cj",I596=120),VLOOKUP(T596,'CAFCO 300 IDIEM TABLAS'!$B$4:$D$23,3,FALSE),0)+IF(AND(L596="Cafco 300",J596&gt;=95,J596&lt;=400,G596=3,C596="IN",I596=90),VLOOKUP(T596,'CAFCO 300 IDIEM TABLAS'!$F$4:$H$35,2,FALSE),0)+IF(AND(L596="Cafco 300",J596&gt;=95,J596&lt;=400,G596=3,C596="IN",I596=120),VLOOKUP(T596,'CAFCO 300 IDIEM TABLAS'!$F$4:$H$35,3,FALSE),0)+IF(AND(L596="Cafco 300",J596&gt;=95,J596&lt;=450,G596=4,C596="IN",I596=90),VLOOKUP(T596,'CAFCO 300 IDIEM TABLAS'!$J$4:$L$40,2,FALSE),0)+IF(AND(L596="Cafco 300",J596&gt;=95,J596&lt;=450,G596=4,C596="IN",I596=120),VLOOKUP(T596,'CAFCO 300 IDIEM TABLAS'!$J$4:$L$40,3,FALSE),0)+IF(AND(M596="Ensayo Idiem",L596="Cafco 400",C596="IN",G596=4,I596=90),VLOOKUP(T596,'CAFCO 400 ENSAYO'!$B$7:$D$43,2,FALSE),0)+IF(AND(M596="Ensayo Idiem",L596="Cafco 400",C596="IN",G596=4,I596=120),VLOOKUP(T596,'CAFCO 400 ENSAYO'!$B$7:$D$43,3,FALSE),0)</f>
        <v>0</v>
      </c>
      <c r="O596" s="96">
        <f t="shared" si="66"/>
        <v>0</v>
      </c>
      <c r="P596" s="95" t="str">
        <f t="shared" si="61"/>
        <v>N/A</v>
      </c>
      <c r="Q596" s="95" t="str">
        <f t="shared" si="62"/>
        <v>N/A</v>
      </c>
      <c r="R596" s="95" t="str">
        <f t="shared" si="63"/>
        <v>NO CERT.</v>
      </c>
      <c r="S596" s="95" t="e">
        <f t="shared" si="64"/>
        <v>#N/A</v>
      </c>
      <c r="T596" s="119" t="e">
        <f>+IF(J596=LOOKUP(J596,'CAFCO 300 IDIEM TABLAS'!$J$4:$J$40),'CALCULO MORTERO'!J596,MROUND('CALCULO MORTERO'!J596,10))</f>
        <v>#N/A</v>
      </c>
      <c r="U596" s="118">
        <f t="shared" si="65"/>
        <v>0</v>
      </c>
      <c r="Y596" s="4"/>
      <c r="Z596" s="4"/>
      <c r="AA596" s="4"/>
    </row>
    <row r="597" spans="1:27" x14ac:dyDescent="0.25">
      <c r="A597" s="118">
        <f>+CUBICACION!D591</f>
        <v>0</v>
      </c>
      <c r="B597" s="819">
        <f>+CUBICACION!E591</f>
        <v>0</v>
      </c>
      <c r="C597" s="675">
        <f>+CUBICACION!F591</f>
        <v>0</v>
      </c>
      <c r="D597" s="118"/>
      <c r="E597" s="118"/>
      <c r="F597" s="820"/>
      <c r="G597" s="675">
        <f>+CUBICACION!J591</f>
        <v>0</v>
      </c>
      <c r="H597" s="118"/>
      <c r="I597" s="821">
        <f>+CUBICACION!L591</f>
        <v>0</v>
      </c>
      <c r="J597" s="64">
        <f>+CUBICACION!M591</f>
        <v>0</v>
      </c>
      <c r="K597" s="822" t="str">
        <f>+CUBICACION!N591</f>
        <v/>
      </c>
      <c r="L597" s="118">
        <f>+CUBICACION!O591</f>
        <v>0</v>
      </c>
      <c r="M597" s="823">
        <f>+CUBICACION!P591</f>
        <v>0</v>
      </c>
      <c r="N597" s="902">
        <f>ROUND(IF(AND(L597="Blaze Shield II",M597="Software Idiem",C597="IN",G597=4),((('BLAZE SHIELD II'!$D$4*('CALCULO MORTERO'!I597^2)+'BLAZE SHIELD II'!$D$5*'CALCULO MORTERO'!I597+'BLAZE SHIELD II'!$D$6)*LN(J597))+('BLAZE SHIELD II'!$D$7*('CALCULO MORTERO'!I597^2)+'BLAZE SHIELD II'!$D$8*'CALCULO MORTERO'!I597+'BLAZE SHIELD II'!$D$9)),0)+IF(AND(L597="Blaze Shield II",M597="Software Idiem",C597="Cj"),((('BLAZE SHIELD II'!$H$4*('CALCULO MORTERO'!I597^2)+'BLAZE SHIELD II'!$H$5*'CALCULO MORTERO'!I597+'BLAZE SHIELD II'!$H$6)*LN(J597))+('BLAZE SHIELD II'!$H$7*('CALCULO MORTERO'!I597^2)+'BLAZE SHIELD II'!$H$8*'CALCULO MORTERO'!I597+'BLAZE SHIELD II'!$H$9)),0)+IF(AND(L597="Blaze Shield II",M597="Software Idiem",C597="C"),((('BLAZE SHIELD II'!$L$4*('CALCULO MORTERO'!I597^2)+'BLAZE SHIELD II'!$L$5*'CALCULO MORTERO'!I597+'BLAZE SHIELD II'!$L$6)*LN(J597))+('BLAZE SHIELD II'!$L$7*('CALCULO MORTERO'!I597^2)+'BLAZE SHIELD II'!$L$8*'CALCULO MORTERO'!I597+'BLAZE SHIELD II'!$L$9)),0)+IF(AND(L597="Blaze Shield II",M597="Software Idiem",C597="L"),((('BLAZE SHIELD II'!$L$4*('CALCULO MORTERO'!I597^2)+'BLAZE SHIELD II'!$L$5*'CALCULO MORTERO'!I597+'BLAZE SHIELD II'!$L$6)*LN(J597))+('BLAZE SHIELD II'!$L$7*('CALCULO MORTERO'!I597^2)+'BLAZE SHIELD II'!$L$8*'CALCULO MORTERO'!I597+'BLAZE SHIELD II'!$L$9)),0)+IF(AND(L597="Blaze Shield II",M597="Software Idiem",C597="IN",G597=3),((('BLAZE SHIELD II'!$H$14*('CALCULO MORTERO'!I597^2)+'BLAZE SHIELD II'!$H$15*'CALCULO MORTERO'!I597+'BLAZE SHIELD II'!$H$16)*LN(J597))+('BLAZE SHIELD II'!$H$17*('CALCULO MORTERO'!I597^2)+'BLAZE SHIELD II'!$H$18*'CALCULO MORTERO'!I597+'BLAZE SHIELD II'!$H$19)),0),0)+ROUND(IF(AND(L597="Cafco 400",M597="Software Idiem",C597="IN",G597=4),((('CAFCO 400 '!$H$7*(J597^4)+'CAFCO 400 '!$H$8*(J597^3)+'CAFCO 400 '!$H$9*(J597^2)+'CAFCO 400 '!$H$10*J597+'CAFCO 400 '!$H$11)*U597^2)+(('CAFCO 400 '!$H$12*(J597^3)+'CAFCO 400 '!$H$13*(J597^2)+'CAFCO 400 '!$H$14*J597+'CAFCO 400 '!$H$15)*U597)+('CAFCO 400 '!$H$16*(J597^2)+'CAFCO 400 '!$H$17*J597+'CAFCO 400 '!$H$18)),0)+IF(AND(L597="Cafco 400",M597="Software Idiem",C597="Cj"),(((('CAFCO 400 '!$D$7*LN(J597)+'CAFCO 400 '!$D$8)*U597^2)+(('CAFCO 400 '!$D$9*LN(J597)+'CAFCO 400 '!$D$10)*U597)+('CAFCO 400 '!$D$11*LN(J597)+'CAFCO 400 '!$D$12))),0)+IF(AND(L597="Cafco 400",M597="Software Idiem",C597="C"),((('CAFCO 400 '!$L$7*(J597^3)+'CAFCO 400 '!$L$8*(J597^2)+'CAFCO 400 '!$L$9*J597+'CAFCO 400 '!$L$10)*U597^2)+(('CAFCO 400 '!$L$11*(J597^3)+'CAFCO 400 '!$L$12*(J597^2)+'CAFCO 400 '!$L$13*J597+'CAFCO 400 '!$L$14)*U597)+('CAFCO 400 '!$L$15*LN(J597)+'CAFCO 400 '!$L$16)),0)+IF(AND(L597="Cafco 400",M597="Software Idiem",C597="L"),((('CAFCO 400 '!$L$7*(J597^3)+'CAFCO 400 '!$L$8*(J597^2)+'CAFCO 400 '!$L$9*J597+'CAFCO 400 '!$L$10)*U597^2)+(('CAFCO 400 '!$L$11*(J597^3)+'CAFCO 400 '!$L$12*(J597^2)+'CAFCO 400 '!$L$13*J597+'CAFCO 400 '!$L$14)*U597)+('CAFCO 400 '!$L$15*LN(J597)+'CAFCO 400 '!$L$16)),0)+IF(AND(L597="Cafco 400",M597="Software Idiem",C597="IN",G597=3),((('CAFCO 400 '!$D$23*(J597^2)+'CAFCO 400 '!$D$24*(J597)+'CAFCO 400 '!$D$25)*U597^2)+(('CAFCO 400 '!$D$26*(J597^2)+'CAFCO 400 '!$D$27*J597+'CAFCO 400 '!$D$28)*U597)+('CAFCO 400 '!$D$29*(J597^2)+'CAFCO 400 '!$D$30*J597+'CAFCO 400 '!$D$31)),0),0)+IF(AND(L597="Cafco 300",J597&gt;=95,J597&lt;=240,C597="Cj",I597=90),VLOOKUP(T597,'CAFCO 300 IDIEM TABLAS'!$B$4:$D$23,2,FALSE),0)+IF(AND(L597="Cafco 300",J597&gt;=95,J597&lt;=240,C597="Cj",I597=120),VLOOKUP(T597,'CAFCO 300 IDIEM TABLAS'!$B$4:$D$23,3,FALSE),0)+IF(AND(L597="Cafco 300",J597&gt;=95,J597&lt;=400,G597=3,C597="IN",I597=90),VLOOKUP(T597,'CAFCO 300 IDIEM TABLAS'!$F$4:$H$35,2,FALSE),0)+IF(AND(L597="Cafco 300",J597&gt;=95,J597&lt;=400,G597=3,C597="IN",I597=120),VLOOKUP(T597,'CAFCO 300 IDIEM TABLAS'!$F$4:$H$35,3,FALSE),0)+IF(AND(L597="Cafco 300",J597&gt;=95,J597&lt;=450,G597=4,C597="IN",I597=90),VLOOKUP(T597,'CAFCO 300 IDIEM TABLAS'!$J$4:$L$40,2,FALSE),0)+IF(AND(L597="Cafco 300",J597&gt;=95,J597&lt;=450,G597=4,C597="IN",I597=120),VLOOKUP(T597,'CAFCO 300 IDIEM TABLAS'!$J$4:$L$40,3,FALSE),0)+IF(AND(M597="Ensayo Idiem",L597="Cafco 400",C597="IN",G597=4,I597=90),VLOOKUP(T597,'CAFCO 400 ENSAYO'!$B$7:$D$43,2,FALSE),0)+IF(AND(M597="Ensayo Idiem",L597="Cafco 400",C597="IN",G597=4,I597=120),VLOOKUP(T597,'CAFCO 400 ENSAYO'!$B$7:$D$43,3,FALSE),0)</f>
        <v>0</v>
      </c>
      <c r="O597" s="96">
        <f t="shared" si="66"/>
        <v>0</v>
      </c>
      <c r="P597" s="132" t="str">
        <f t="shared" si="61"/>
        <v>N/A</v>
      </c>
      <c r="Q597" s="132" t="str">
        <f t="shared" si="62"/>
        <v>N/A</v>
      </c>
      <c r="R597" s="132" t="str">
        <f t="shared" si="63"/>
        <v>NO CERT.</v>
      </c>
      <c r="S597" s="132" t="e">
        <f t="shared" si="64"/>
        <v>#N/A</v>
      </c>
      <c r="T597" s="133" t="e">
        <f>+IF(J597=LOOKUP(J597,'CAFCO 300 IDIEM TABLAS'!$J$4:$J$40),'CALCULO MORTERO'!J597,MROUND('CALCULO MORTERO'!J597,10))</f>
        <v>#N/A</v>
      </c>
      <c r="U597" s="134">
        <f t="shared" si="65"/>
        <v>0</v>
      </c>
      <c r="Y597" s="4"/>
      <c r="Z597" s="4"/>
      <c r="AA597" s="4"/>
    </row>
    <row r="598" spans="1:27" x14ac:dyDescent="0.25">
      <c r="A598" s="118">
        <f>+CUBICACION!D592</f>
        <v>0</v>
      </c>
      <c r="B598" s="819">
        <f>+CUBICACION!E592</f>
        <v>0</v>
      </c>
      <c r="C598" s="675">
        <f>+CUBICACION!F592</f>
        <v>0</v>
      </c>
      <c r="D598" s="118"/>
      <c r="E598" s="118"/>
      <c r="F598" s="820"/>
      <c r="G598" s="675">
        <f>+CUBICACION!J592</f>
        <v>0</v>
      </c>
      <c r="H598" s="118"/>
      <c r="I598" s="821">
        <f>+CUBICACION!L592</f>
        <v>0</v>
      </c>
      <c r="J598" s="64">
        <f>+CUBICACION!M592</f>
        <v>0</v>
      </c>
      <c r="K598" s="822" t="str">
        <f>+CUBICACION!N592</f>
        <v/>
      </c>
      <c r="L598" s="118">
        <f>+CUBICACION!O592</f>
        <v>0</v>
      </c>
      <c r="M598" s="823">
        <f>+CUBICACION!P592</f>
        <v>0</v>
      </c>
      <c r="N598" s="902">
        <f>ROUND(IF(AND(L598="Blaze Shield II",M598="Software Idiem",C598="IN",G598=4),((('BLAZE SHIELD II'!$D$4*('CALCULO MORTERO'!I598^2)+'BLAZE SHIELD II'!$D$5*'CALCULO MORTERO'!I598+'BLAZE SHIELD II'!$D$6)*LN(J598))+('BLAZE SHIELD II'!$D$7*('CALCULO MORTERO'!I598^2)+'BLAZE SHIELD II'!$D$8*'CALCULO MORTERO'!I598+'BLAZE SHIELD II'!$D$9)),0)+IF(AND(L598="Blaze Shield II",M598="Software Idiem",C598="Cj"),((('BLAZE SHIELD II'!$H$4*('CALCULO MORTERO'!I598^2)+'BLAZE SHIELD II'!$H$5*'CALCULO MORTERO'!I598+'BLAZE SHIELD II'!$H$6)*LN(J598))+('BLAZE SHIELD II'!$H$7*('CALCULO MORTERO'!I598^2)+'BLAZE SHIELD II'!$H$8*'CALCULO MORTERO'!I598+'BLAZE SHIELD II'!$H$9)),0)+IF(AND(L598="Blaze Shield II",M598="Software Idiem",C598="C"),((('BLAZE SHIELD II'!$L$4*('CALCULO MORTERO'!I598^2)+'BLAZE SHIELD II'!$L$5*'CALCULO MORTERO'!I598+'BLAZE SHIELD II'!$L$6)*LN(J598))+('BLAZE SHIELD II'!$L$7*('CALCULO MORTERO'!I598^2)+'BLAZE SHIELD II'!$L$8*'CALCULO MORTERO'!I598+'BLAZE SHIELD II'!$L$9)),0)+IF(AND(L598="Blaze Shield II",M598="Software Idiem",C598="L"),((('BLAZE SHIELD II'!$L$4*('CALCULO MORTERO'!I598^2)+'BLAZE SHIELD II'!$L$5*'CALCULO MORTERO'!I598+'BLAZE SHIELD II'!$L$6)*LN(J598))+('BLAZE SHIELD II'!$L$7*('CALCULO MORTERO'!I598^2)+'BLAZE SHIELD II'!$L$8*'CALCULO MORTERO'!I598+'BLAZE SHIELD II'!$L$9)),0)+IF(AND(L598="Blaze Shield II",M598="Software Idiem",C598="IN",G598=3),((('BLAZE SHIELD II'!$H$14*('CALCULO MORTERO'!I598^2)+'BLAZE SHIELD II'!$H$15*'CALCULO MORTERO'!I598+'BLAZE SHIELD II'!$H$16)*LN(J598))+('BLAZE SHIELD II'!$H$17*('CALCULO MORTERO'!I598^2)+'BLAZE SHIELD II'!$H$18*'CALCULO MORTERO'!I598+'BLAZE SHIELD II'!$H$19)),0),0)+ROUND(IF(AND(L598="Cafco 400",M598="Software Idiem",C598="IN",G598=4),((('CAFCO 400 '!$H$7*(J598^4)+'CAFCO 400 '!$H$8*(J598^3)+'CAFCO 400 '!$H$9*(J598^2)+'CAFCO 400 '!$H$10*J598+'CAFCO 400 '!$H$11)*U598^2)+(('CAFCO 400 '!$H$12*(J598^3)+'CAFCO 400 '!$H$13*(J598^2)+'CAFCO 400 '!$H$14*J598+'CAFCO 400 '!$H$15)*U598)+('CAFCO 400 '!$H$16*(J598^2)+'CAFCO 400 '!$H$17*J598+'CAFCO 400 '!$H$18)),0)+IF(AND(L598="Cafco 400",M598="Software Idiem",C598="Cj"),(((('CAFCO 400 '!$D$7*LN(J598)+'CAFCO 400 '!$D$8)*U598^2)+(('CAFCO 400 '!$D$9*LN(J598)+'CAFCO 400 '!$D$10)*U598)+('CAFCO 400 '!$D$11*LN(J598)+'CAFCO 400 '!$D$12))),0)+IF(AND(L598="Cafco 400",M598="Software Idiem",C598="C"),((('CAFCO 400 '!$L$7*(J598^3)+'CAFCO 400 '!$L$8*(J598^2)+'CAFCO 400 '!$L$9*J598+'CAFCO 400 '!$L$10)*U598^2)+(('CAFCO 400 '!$L$11*(J598^3)+'CAFCO 400 '!$L$12*(J598^2)+'CAFCO 400 '!$L$13*J598+'CAFCO 400 '!$L$14)*U598)+('CAFCO 400 '!$L$15*LN(J598)+'CAFCO 400 '!$L$16)),0)+IF(AND(L598="Cafco 400",M598="Software Idiem",C598="L"),((('CAFCO 400 '!$L$7*(J598^3)+'CAFCO 400 '!$L$8*(J598^2)+'CAFCO 400 '!$L$9*J598+'CAFCO 400 '!$L$10)*U598^2)+(('CAFCO 400 '!$L$11*(J598^3)+'CAFCO 400 '!$L$12*(J598^2)+'CAFCO 400 '!$L$13*J598+'CAFCO 400 '!$L$14)*U598)+('CAFCO 400 '!$L$15*LN(J598)+'CAFCO 400 '!$L$16)),0)+IF(AND(L598="Cafco 400",M598="Software Idiem",C598="IN",G598=3),((('CAFCO 400 '!$D$23*(J598^2)+'CAFCO 400 '!$D$24*(J598)+'CAFCO 400 '!$D$25)*U598^2)+(('CAFCO 400 '!$D$26*(J598^2)+'CAFCO 400 '!$D$27*J598+'CAFCO 400 '!$D$28)*U598)+('CAFCO 400 '!$D$29*(J598^2)+'CAFCO 400 '!$D$30*J598+'CAFCO 400 '!$D$31)),0),0)+IF(AND(L598="Cafco 300",J598&gt;=95,J598&lt;=240,C598="Cj",I598=90),VLOOKUP(T598,'CAFCO 300 IDIEM TABLAS'!$B$4:$D$23,2,FALSE),0)+IF(AND(L598="Cafco 300",J598&gt;=95,J598&lt;=240,C598="Cj",I598=120),VLOOKUP(T598,'CAFCO 300 IDIEM TABLAS'!$B$4:$D$23,3,FALSE),0)+IF(AND(L598="Cafco 300",J598&gt;=95,J598&lt;=400,G598=3,C598="IN",I598=90),VLOOKUP(T598,'CAFCO 300 IDIEM TABLAS'!$F$4:$H$35,2,FALSE),0)+IF(AND(L598="Cafco 300",J598&gt;=95,J598&lt;=400,G598=3,C598="IN",I598=120),VLOOKUP(T598,'CAFCO 300 IDIEM TABLAS'!$F$4:$H$35,3,FALSE),0)+IF(AND(L598="Cafco 300",J598&gt;=95,J598&lt;=450,G598=4,C598="IN",I598=90),VLOOKUP(T598,'CAFCO 300 IDIEM TABLAS'!$J$4:$L$40,2,FALSE),0)+IF(AND(L598="Cafco 300",J598&gt;=95,J598&lt;=450,G598=4,C598="IN",I598=120),VLOOKUP(T598,'CAFCO 300 IDIEM TABLAS'!$J$4:$L$40,3,FALSE),0)+IF(AND(M598="Ensayo Idiem",L598="Cafco 400",C598="IN",G598=4,I598=90),VLOOKUP(T598,'CAFCO 400 ENSAYO'!$B$7:$D$43,2,FALSE),0)+IF(AND(M598="Ensayo Idiem",L598="Cafco 400",C598="IN",G598=4,I598=120),VLOOKUP(T598,'CAFCO 400 ENSAYO'!$B$7:$D$43,3,FALSE),0)</f>
        <v>0</v>
      </c>
      <c r="O598" s="96">
        <f t="shared" si="66"/>
        <v>0</v>
      </c>
      <c r="P598" s="95" t="str">
        <f t="shared" si="61"/>
        <v>N/A</v>
      </c>
      <c r="Q598" s="95" t="str">
        <f t="shared" si="62"/>
        <v>N/A</v>
      </c>
      <c r="R598" s="95" t="str">
        <f t="shared" si="63"/>
        <v>NO CERT.</v>
      </c>
      <c r="S598" s="95" t="e">
        <f t="shared" si="64"/>
        <v>#N/A</v>
      </c>
      <c r="T598" s="119" t="e">
        <f>+IF(J598=LOOKUP(J598,'CAFCO 300 IDIEM TABLAS'!$J$4:$J$40),'CALCULO MORTERO'!J598,MROUND('CALCULO MORTERO'!J598,10))</f>
        <v>#N/A</v>
      </c>
      <c r="U598" s="118">
        <f t="shared" si="65"/>
        <v>0</v>
      </c>
      <c r="Y598" s="4"/>
      <c r="Z598" s="4"/>
      <c r="AA598" s="4"/>
    </row>
    <row r="599" spans="1:27" x14ac:dyDescent="0.25">
      <c r="A599" s="118">
        <f>+CUBICACION!D593</f>
        <v>0</v>
      </c>
      <c r="B599" s="819">
        <f>+CUBICACION!E593</f>
        <v>0</v>
      </c>
      <c r="C599" s="675">
        <f>+CUBICACION!F593</f>
        <v>0</v>
      </c>
      <c r="D599" s="118"/>
      <c r="E599" s="118"/>
      <c r="F599" s="820"/>
      <c r="G599" s="675">
        <f>+CUBICACION!J593</f>
        <v>0</v>
      </c>
      <c r="H599" s="118"/>
      <c r="I599" s="821">
        <f>+CUBICACION!L593</f>
        <v>0</v>
      </c>
      <c r="J599" s="64">
        <f>+CUBICACION!M593</f>
        <v>0</v>
      </c>
      <c r="K599" s="822" t="str">
        <f>+CUBICACION!N593</f>
        <v/>
      </c>
      <c r="L599" s="118">
        <f>+CUBICACION!O593</f>
        <v>0</v>
      </c>
      <c r="M599" s="823">
        <f>+CUBICACION!P593</f>
        <v>0</v>
      </c>
      <c r="N599" s="902">
        <f>ROUND(IF(AND(L599="Blaze Shield II",M599="Software Idiem",C599="IN",G599=4),((('BLAZE SHIELD II'!$D$4*('CALCULO MORTERO'!I599^2)+'BLAZE SHIELD II'!$D$5*'CALCULO MORTERO'!I599+'BLAZE SHIELD II'!$D$6)*LN(J599))+('BLAZE SHIELD II'!$D$7*('CALCULO MORTERO'!I599^2)+'BLAZE SHIELD II'!$D$8*'CALCULO MORTERO'!I599+'BLAZE SHIELD II'!$D$9)),0)+IF(AND(L599="Blaze Shield II",M599="Software Idiem",C599="Cj"),((('BLAZE SHIELD II'!$H$4*('CALCULO MORTERO'!I599^2)+'BLAZE SHIELD II'!$H$5*'CALCULO MORTERO'!I599+'BLAZE SHIELD II'!$H$6)*LN(J599))+('BLAZE SHIELD II'!$H$7*('CALCULO MORTERO'!I599^2)+'BLAZE SHIELD II'!$H$8*'CALCULO MORTERO'!I599+'BLAZE SHIELD II'!$H$9)),0)+IF(AND(L599="Blaze Shield II",M599="Software Idiem",C599="C"),((('BLAZE SHIELD II'!$L$4*('CALCULO MORTERO'!I599^2)+'BLAZE SHIELD II'!$L$5*'CALCULO MORTERO'!I599+'BLAZE SHIELD II'!$L$6)*LN(J599))+('BLAZE SHIELD II'!$L$7*('CALCULO MORTERO'!I599^2)+'BLAZE SHIELD II'!$L$8*'CALCULO MORTERO'!I599+'BLAZE SHIELD II'!$L$9)),0)+IF(AND(L599="Blaze Shield II",M599="Software Idiem",C599="L"),((('BLAZE SHIELD II'!$L$4*('CALCULO MORTERO'!I599^2)+'BLAZE SHIELD II'!$L$5*'CALCULO MORTERO'!I599+'BLAZE SHIELD II'!$L$6)*LN(J599))+('BLAZE SHIELD II'!$L$7*('CALCULO MORTERO'!I599^2)+'BLAZE SHIELD II'!$L$8*'CALCULO MORTERO'!I599+'BLAZE SHIELD II'!$L$9)),0)+IF(AND(L599="Blaze Shield II",M599="Software Idiem",C599="IN",G599=3),((('BLAZE SHIELD II'!$H$14*('CALCULO MORTERO'!I599^2)+'BLAZE SHIELD II'!$H$15*'CALCULO MORTERO'!I599+'BLAZE SHIELD II'!$H$16)*LN(J599))+('BLAZE SHIELD II'!$H$17*('CALCULO MORTERO'!I599^2)+'BLAZE SHIELD II'!$H$18*'CALCULO MORTERO'!I599+'BLAZE SHIELD II'!$H$19)),0),0)+ROUND(IF(AND(L599="Cafco 400",M599="Software Idiem",C599="IN",G599=4),((('CAFCO 400 '!$H$7*(J599^4)+'CAFCO 400 '!$H$8*(J599^3)+'CAFCO 400 '!$H$9*(J599^2)+'CAFCO 400 '!$H$10*J599+'CAFCO 400 '!$H$11)*U599^2)+(('CAFCO 400 '!$H$12*(J599^3)+'CAFCO 400 '!$H$13*(J599^2)+'CAFCO 400 '!$H$14*J599+'CAFCO 400 '!$H$15)*U599)+('CAFCO 400 '!$H$16*(J599^2)+'CAFCO 400 '!$H$17*J599+'CAFCO 400 '!$H$18)),0)+IF(AND(L599="Cafco 400",M599="Software Idiem",C599="Cj"),(((('CAFCO 400 '!$D$7*LN(J599)+'CAFCO 400 '!$D$8)*U599^2)+(('CAFCO 400 '!$D$9*LN(J599)+'CAFCO 400 '!$D$10)*U599)+('CAFCO 400 '!$D$11*LN(J599)+'CAFCO 400 '!$D$12))),0)+IF(AND(L599="Cafco 400",M599="Software Idiem",C599="C"),((('CAFCO 400 '!$L$7*(J599^3)+'CAFCO 400 '!$L$8*(J599^2)+'CAFCO 400 '!$L$9*J599+'CAFCO 400 '!$L$10)*U599^2)+(('CAFCO 400 '!$L$11*(J599^3)+'CAFCO 400 '!$L$12*(J599^2)+'CAFCO 400 '!$L$13*J599+'CAFCO 400 '!$L$14)*U599)+('CAFCO 400 '!$L$15*LN(J599)+'CAFCO 400 '!$L$16)),0)+IF(AND(L599="Cafco 400",M599="Software Idiem",C599="L"),((('CAFCO 400 '!$L$7*(J599^3)+'CAFCO 400 '!$L$8*(J599^2)+'CAFCO 400 '!$L$9*J599+'CAFCO 400 '!$L$10)*U599^2)+(('CAFCO 400 '!$L$11*(J599^3)+'CAFCO 400 '!$L$12*(J599^2)+'CAFCO 400 '!$L$13*J599+'CAFCO 400 '!$L$14)*U599)+('CAFCO 400 '!$L$15*LN(J599)+'CAFCO 400 '!$L$16)),0)+IF(AND(L599="Cafco 400",M599="Software Idiem",C599="IN",G599=3),((('CAFCO 400 '!$D$23*(J599^2)+'CAFCO 400 '!$D$24*(J599)+'CAFCO 400 '!$D$25)*U599^2)+(('CAFCO 400 '!$D$26*(J599^2)+'CAFCO 400 '!$D$27*J599+'CAFCO 400 '!$D$28)*U599)+('CAFCO 400 '!$D$29*(J599^2)+'CAFCO 400 '!$D$30*J599+'CAFCO 400 '!$D$31)),0),0)+IF(AND(L599="Cafco 300",J599&gt;=95,J599&lt;=240,C599="Cj",I599=90),VLOOKUP(T599,'CAFCO 300 IDIEM TABLAS'!$B$4:$D$23,2,FALSE),0)+IF(AND(L599="Cafco 300",J599&gt;=95,J599&lt;=240,C599="Cj",I599=120),VLOOKUP(T599,'CAFCO 300 IDIEM TABLAS'!$B$4:$D$23,3,FALSE),0)+IF(AND(L599="Cafco 300",J599&gt;=95,J599&lt;=400,G599=3,C599="IN",I599=90),VLOOKUP(T599,'CAFCO 300 IDIEM TABLAS'!$F$4:$H$35,2,FALSE),0)+IF(AND(L599="Cafco 300",J599&gt;=95,J599&lt;=400,G599=3,C599="IN",I599=120),VLOOKUP(T599,'CAFCO 300 IDIEM TABLAS'!$F$4:$H$35,3,FALSE),0)+IF(AND(L599="Cafco 300",J599&gt;=95,J599&lt;=450,G599=4,C599="IN",I599=90),VLOOKUP(T599,'CAFCO 300 IDIEM TABLAS'!$J$4:$L$40,2,FALSE),0)+IF(AND(L599="Cafco 300",J599&gt;=95,J599&lt;=450,G599=4,C599="IN",I599=120),VLOOKUP(T599,'CAFCO 300 IDIEM TABLAS'!$J$4:$L$40,3,FALSE),0)+IF(AND(M599="Ensayo Idiem",L599="Cafco 400",C599="IN",G599=4,I599=90),VLOOKUP(T599,'CAFCO 400 ENSAYO'!$B$7:$D$43,2,FALSE),0)+IF(AND(M599="Ensayo Idiem",L599="Cafco 400",C599="IN",G599=4,I599=120),VLOOKUP(T599,'CAFCO 400 ENSAYO'!$B$7:$D$43,3,FALSE),0)</f>
        <v>0</v>
      </c>
      <c r="O599" s="96">
        <f t="shared" si="66"/>
        <v>0</v>
      </c>
      <c r="P599" s="132" t="str">
        <f t="shared" si="61"/>
        <v>N/A</v>
      </c>
      <c r="Q599" s="132" t="str">
        <f t="shared" si="62"/>
        <v>N/A</v>
      </c>
      <c r="R599" s="132" t="str">
        <f t="shared" si="63"/>
        <v>NO CERT.</v>
      </c>
      <c r="S599" s="132" t="e">
        <f t="shared" si="64"/>
        <v>#N/A</v>
      </c>
      <c r="T599" s="133" t="e">
        <f>+IF(J599=LOOKUP(J599,'CAFCO 300 IDIEM TABLAS'!$J$4:$J$40),'CALCULO MORTERO'!J599,MROUND('CALCULO MORTERO'!J599,10))</f>
        <v>#N/A</v>
      </c>
      <c r="U599" s="134">
        <f t="shared" si="65"/>
        <v>0</v>
      </c>
      <c r="Y599" s="4"/>
      <c r="Z599" s="4"/>
      <c r="AA599" s="4"/>
    </row>
    <row r="600" spans="1:27" x14ac:dyDescent="0.25">
      <c r="A600" s="118">
        <f>+CUBICACION!D594</f>
        <v>0</v>
      </c>
      <c r="B600" s="819">
        <f>+CUBICACION!E594</f>
        <v>0</v>
      </c>
      <c r="C600" s="675">
        <f>+CUBICACION!F594</f>
        <v>0</v>
      </c>
      <c r="D600" s="118"/>
      <c r="E600" s="118"/>
      <c r="F600" s="820"/>
      <c r="G600" s="675">
        <f>+CUBICACION!J594</f>
        <v>0</v>
      </c>
      <c r="H600" s="118"/>
      <c r="I600" s="821">
        <f>+CUBICACION!L594</f>
        <v>0</v>
      </c>
      <c r="J600" s="64">
        <f>+CUBICACION!M594</f>
        <v>0</v>
      </c>
      <c r="K600" s="822" t="str">
        <f>+CUBICACION!N594</f>
        <v/>
      </c>
      <c r="L600" s="118">
        <f>+CUBICACION!O594</f>
        <v>0</v>
      </c>
      <c r="M600" s="823">
        <f>+CUBICACION!P594</f>
        <v>0</v>
      </c>
      <c r="N600" s="902">
        <f>ROUND(IF(AND(L600="Blaze Shield II",M600="Software Idiem",C600="IN",G600=4),((('BLAZE SHIELD II'!$D$4*('CALCULO MORTERO'!I600^2)+'BLAZE SHIELD II'!$D$5*'CALCULO MORTERO'!I600+'BLAZE SHIELD II'!$D$6)*LN(J600))+('BLAZE SHIELD II'!$D$7*('CALCULO MORTERO'!I600^2)+'BLAZE SHIELD II'!$D$8*'CALCULO MORTERO'!I600+'BLAZE SHIELD II'!$D$9)),0)+IF(AND(L600="Blaze Shield II",M600="Software Idiem",C600="Cj"),((('BLAZE SHIELD II'!$H$4*('CALCULO MORTERO'!I600^2)+'BLAZE SHIELD II'!$H$5*'CALCULO MORTERO'!I600+'BLAZE SHIELD II'!$H$6)*LN(J600))+('BLAZE SHIELD II'!$H$7*('CALCULO MORTERO'!I600^2)+'BLAZE SHIELD II'!$H$8*'CALCULO MORTERO'!I600+'BLAZE SHIELD II'!$H$9)),0)+IF(AND(L600="Blaze Shield II",M600="Software Idiem",C600="C"),((('BLAZE SHIELD II'!$L$4*('CALCULO MORTERO'!I600^2)+'BLAZE SHIELD II'!$L$5*'CALCULO MORTERO'!I600+'BLAZE SHIELD II'!$L$6)*LN(J600))+('BLAZE SHIELD II'!$L$7*('CALCULO MORTERO'!I600^2)+'BLAZE SHIELD II'!$L$8*'CALCULO MORTERO'!I600+'BLAZE SHIELD II'!$L$9)),0)+IF(AND(L600="Blaze Shield II",M600="Software Idiem",C600="L"),((('BLAZE SHIELD II'!$L$4*('CALCULO MORTERO'!I600^2)+'BLAZE SHIELD II'!$L$5*'CALCULO MORTERO'!I600+'BLAZE SHIELD II'!$L$6)*LN(J600))+('BLAZE SHIELD II'!$L$7*('CALCULO MORTERO'!I600^2)+'BLAZE SHIELD II'!$L$8*'CALCULO MORTERO'!I600+'BLAZE SHIELD II'!$L$9)),0)+IF(AND(L600="Blaze Shield II",M600="Software Idiem",C600="IN",G600=3),((('BLAZE SHIELD II'!$H$14*('CALCULO MORTERO'!I600^2)+'BLAZE SHIELD II'!$H$15*'CALCULO MORTERO'!I600+'BLAZE SHIELD II'!$H$16)*LN(J600))+('BLAZE SHIELD II'!$H$17*('CALCULO MORTERO'!I600^2)+'BLAZE SHIELD II'!$H$18*'CALCULO MORTERO'!I600+'BLAZE SHIELD II'!$H$19)),0),0)+ROUND(IF(AND(L600="Cafco 400",M600="Software Idiem",C600="IN",G600=4),((('CAFCO 400 '!$H$7*(J600^4)+'CAFCO 400 '!$H$8*(J600^3)+'CAFCO 400 '!$H$9*(J600^2)+'CAFCO 400 '!$H$10*J600+'CAFCO 400 '!$H$11)*U600^2)+(('CAFCO 400 '!$H$12*(J600^3)+'CAFCO 400 '!$H$13*(J600^2)+'CAFCO 400 '!$H$14*J600+'CAFCO 400 '!$H$15)*U600)+('CAFCO 400 '!$H$16*(J600^2)+'CAFCO 400 '!$H$17*J600+'CAFCO 400 '!$H$18)),0)+IF(AND(L600="Cafco 400",M600="Software Idiem",C600="Cj"),(((('CAFCO 400 '!$D$7*LN(J600)+'CAFCO 400 '!$D$8)*U600^2)+(('CAFCO 400 '!$D$9*LN(J600)+'CAFCO 400 '!$D$10)*U600)+('CAFCO 400 '!$D$11*LN(J600)+'CAFCO 400 '!$D$12))),0)+IF(AND(L600="Cafco 400",M600="Software Idiem",C600="C"),((('CAFCO 400 '!$L$7*(J600^3)+'CAFCO 400 '!$L$8*(J600^2)+'CAFCO 400 '!$L$9*J600+'CAFCO 400 '!$L$10)*U600^2)+(('CAFCO 400 '!$L$11*(J600^3)+'CAFCO 400 '!$L$12*(J600^2)+'CAFCO 400 '!$L$13*J600+'CAFCO 400 '!$L$14)*U600)+('CAFCO 400 '!$L$15*LN(J600)+'CAFCO 400 '!$L$16)),0)+IF(AND(L600="Cafco 400",M600="Software Idiem",C600="L"),((('CAFCO 400 '!$L$7*(J600^3)+'CAFCO 400 '!$L$8*(J600^2)+'CAFCO 400 '!$L$9*J600+'CAFCO 400 '!$L$10)*U600^2)+(('CAFCO 400 '!$L$11*(J600^3)+'CAFCO 400 '!$L$12*(J600^2)+'CAFCO 400 '!$L$13*J600+'CAFCO 400 '!$L$14)*U600)+('CAFCO 400 '!$L$15*LN(J600)+'CAFCO 400 '!$L$16)),0)+IF(AND(L600="Cafco 400",M600="Software Idiem",C600="IN",G600=3),((('CAFCO 400 '!$D$23*(J600^2)+'CAFCO 400 '!$D$24*(J600)+'CAFCO 400 '!$D$25)*U600^2)+(('CAFCO 400 '!$D$26*(J600^2)+'CAFCO 400 '!$D$27*J600+'CAFCO 400 '!$D$28)*U600)+('CAFCO 400 '!$D$29*(J600^2)+'CAFCO 400 '!$D$30*J600+'CAFCO 400 '!$D$31)),0),0)+IF(AND(L600="Cafco 300",J600&gt;=95,J600&lt;=240,C600="Cj",I600=90),VLOOKUP(T600,'CAFCO 300 IDIEM TABLAS'!$B$4:$D$23,2,FALSE),0)+IF(AND(L600="Cafco 300",J600&gt;=95,J600&lt;=240,C600="Cj",I600=120),VLOOKUP(T600,'CAFCO 300 IDIEM TABLAS'!$B$4:$D$23,3,FALSE),0)+IF(AND(L600="Cafco 300",J600&gt;=95,J600&lt;=400,G600=3,C600="IN",I600=90),VLOOKUP(T600,'CAFCO 300 IDIEM TABLAS'!$F$4:$H$35,2,FALSE),0)+IF(AND(L600="Cafco 300",J600&gt;=95,J600&lt;=400,G600=3,C600="IN",I600=120),VLOOKUP(T600,'CAFCO 300 IDIEM TABLAS'!$F$4:$H$35,3,FALSE),0)+IF(AND(L600="Cafco 300",J600&gt;=95,J600&lt;=450,G600=4,C600="IN",I600=90),VLOOKUP(T600,'CAFCO 300 IDIEM TABLAS'!$J$4:$L$40,2,FALSE),0)+IF(AND(L600="Cafco 300",J600&gt;=95,J600&lt;=450,G600=4,C600="IN",I600=120),VLOOKUP(T600,'CAFCO 300 IDIEM TABLAS'!$J$4:$L$40,3,FALSE),0)+IF(AND(M600="Ensayo Idiem",L600="Cafco 400",C600="IN",G600=4,I600=90),VLOOKUP(T600,'CAFCO 400 ENSAYO'!$B$7:$D$43,2,FALSE),0)+IF(AND(M600="Ensayo Idiem",L600="Cafco 400",C600="IN",G600=4,I600=120),VLOOKUP(T600,'CAFCO 400 ENSAYO'!$B$7:$D$43,3,FALSE),0)</f>
        <v>0</v>
      </c>
      <c r="O600" s="96">
        <f t="shared" si="66"/>
        <v>0</v>
      </c>
      <c r="P600" s="95" t="str">
        <f t="shared" si="61"/>
        <v>N/A</v>
      </c>
      <c r="Q600" s="95" t="str">
        <f t="shared" si="62"/>
        <v>N/A</v>
      </c>
      <c r="R600" s="95" t="str">
        <f t="shared" si="63"/>
        <v>NO CERT.</v>
      </c>
      <c r="S600" s="95" t="e">
        <f t="shared" si="64"/>
        <v>#N/A</v>
      </c>
      <c r="T600" s="119" t="e">
        <f>+IF(J600=LOOKUP(J600,'CAFCO 300 IDIEM TABLAS'!$J$4:$J$40),'CALCULO MORTERO'!J600,MROUND('CALCULO MORTERO'!J600,10))</f>
        <v>#N/A</v>
      </c>
      <c r="U600" s="118">
        <f t="shared" si="65"/>
        <v>0</v>
      </c>
      <c r="Y600" s="4"/>
      <c r="Z600" s="4"/>
      <c r="AA600" s="4"/>
    </row>
    <row r="601" spans="1:27" x14ac:dyDescent="0.25">
      <c r="A601" s="118">
        <f>+CUBICACION!D595</f>
        <v>0</v>
      </c>
      <c r="B601" s="819">
        <f>+CUBICACION!E595</f>
        <v>0</v>
      </c>
      <c r="C601" s="675">
        <f>+CUBICACION!F595</f>
        <v>0</v>
      </c>
      <c r="D601" s="118"/>
      <c r="E601" s="118"/>
      <c r="F601" s="820"/>
      <c r="G601" s="675">
        <f>+CUBICACION!J595</f>
        <v>0</v>
      </c>
      <c r="H601" s="118"/>
      <c r="I601" s="821">
        <f>+CUBICACION!L595</f>
        <v>0</v>
      </c>
      <c r="J601" s="64">
        <f>+CUBICACION!M595</f>
        <v>0</v>
      </c>
      <c r="K601" s="822" t="str">
        <f>+CUBICACION!N595</f>
        <v/>
      </c>
      <c r="L601" s="118">
        <f>+CUBICACION!O595</f>
        <v>0</v>
      </c>
      <c r="M601" s="823">
        <f>+CUBICACION!P595</f>
        <v>0</v>
      </c>
      <c r="N601" s="902">
        <f>ROUND(IF(AND(L601="Blaze Shield II",M601="Software Idiem",C601="IN",G601=4),((('BLAZE SHIELD II'!$D$4*('CALCULO MORTERO'!I601^2)+'BLAZE SHIELD II'!$D$5*'CALCULO MORTERO'!I601+'BLAZE SHIELD II'!$D$6)*LN(J601))+('BLAZE SHIELD II'!$D$7*('CALCULO MORTERO'!I601^2)+'BLAZE SHIELD II'!$D$8*'CALCULO MORTERO'!I601+'BLAZE SHIELD II'!$D$9)),0)+IF(AND(L601="Blaze Shield II",M601="Software Idiem",C601="Cj"),((('BLAZE SHIELD II'!$H$4*('CALCULO MORTERO'!I601^2)+'BLAZE SHIELD II'!$H$5*'CALCULO MORTERO'!I601+'BLAZE SHIELD II'!$H$6)*LN(J601))+('BLAZE SHIELD II'!$H$7*('CALCULO MORTERO'!I601^2)+'BLAZE SHIELD II'!$H$8*'CALCULO MORTERO'!I601+'BLAZE SHIELD II'!$H$9)),0)+IF(AND(L601="Blaze Shield II",M601="Software Idiem",C601="C"),((('BLAZE SHIELD II'!$L$4*('CALCULO MORTERO'!I601^2)+'BLAZE SHIELD II'!$L$5*'CALCULO MORTERO'!I601+'BLAZE SHIELD II'!$L$6)*LN(J601))+('BLAZE SHIELD II'!$L$7*('CALCULO MORTERO'!I601^2)+'BLAZE SHIELD II'!$L$8*'CALCULO MORTERO'!I601+'BLAZE SHIELD II'!$L$9)),0)+IF(AND(L601="Blaze Shield II",M601="Software Idiem",C601="L"),((('BLAZE SHIELD II'!$L$4*('CALCULO MORTERO'!I601^2)+'BLAZE SHIELD II'!$L$5*'CALCULO MORTERO'!I601+'BLAZE SHIELD II'!$L$6)*LN(J601))+('BLAZE SHIELD II'!$L$7*('CALCULO MORTERO'!I601^2)+'BLAZE SHIELD II'!$L$8*'CALCULO MORTERO'!I601+'BLAZE SHIELD II'!$L$9)),0)+IF(AND(L601="Blaze Shield II",M601="Software Idiem",C601="IN",G601=3),((('BLAZE SHIELD II'!$H$14*('CALCULO MORTERO'!I601^2)+'BLAZE SHIELD II'!$H$15*'CALCULO MORTERO'!I601+'BLAZE SHIELD II'!$H$16)*LN(J601))+('BLAZE SHIELD II'!$H$17*('CALCULO MORTERO'!I601^2)+'BLAZE SHIELD II'!$H$18*'CALCULO MORTERO'!I601+'BLAZE SHIELD II'!$H$19)),0),0)+ROUND(IF(AND(L601="Cafco 400",M601="Software Idiem",C601="IN",G601=4),((('CAFCO 400 '!$H$7*(J601^4)+'CAFCO 400 '!$H$8*(J601^3)+'CAFCO 400 '!$H$9*(J601^2)+'CAFCO 400 '!$H$10*J601+'CAFCO 400 '!$H$11)*U601^2)+(('CAFCO 400 '!$H$12*(J601^3)+'CAFCO 400 '!$H$13*(J601^2)+'CAFCO 400 '!$H$14*J601+'CAFCO 400 '!$H$15)*U601)+('CAFCO 400 '!$H$16*(J601^2)+'CAFCO 400 '!$H$17*J601+'CAFCO 400 '!$H$18)),0)+IF(AND(L601="Cafco 400",M601="Software Idiem",C601="Cj"),(((('CAFCO 400 '!$D$7*LN(J601)+'CAFCO 400 '!$D$8)*U601^2)+(('CAFCO 400 '!$D$9*LN(J601)+'CAFCO 400 '!$D$10)*U601)+('CAFCO 400 '!$D$11*LN(J601)+'CAFCO 400 '!$D$12))),0)+IF(AND(L601="Cafco 400",M601="Software Idiem",C601="C"),((('CAFCO 400 '!$L$7*(J601^3)+'CAFCO 400 '!$L$8*(J601^2)+'CAFCO 400 '!$L$9*J601+'CAFCO 400 '!$L$10)*U601^2)+(('CAFCO 400 '!$L$11*(J601^3)+'CAFCO 400 '!$L$12*(J601^2)+'CAFCO 400 '!$L$13*J601+'CAFCO 400 '!$L$14)*U601)+('CAFCO 400 '!$L$15*LN(J601)+'CAFCO 400 '!$L$16)),0)+IF(AND(L601="Cafco 400",M601="Software Idiem",C601="L"),((('CAFCO 400 '!$L$7*(J601^3)+'CAFCO 400 '!$L$8*(J601^2)+'CAFCO 400 '!$L$9*J601+'CAFCO 400 '!$L$10)*U601^2)+(('CAFCO 400 '!$L$11*(J601^3)+'CAFCO 400 '!$L$12*(J601^2)+'CAFCO 400 '!$L$13*J601+'CAFCO 400 '!$L$14)*U601)+('CAFCO 400 '!$L$15*LN(J601)+'CAFCO 400 '!$L$16)),0)+IF(AND(L601="Cafco 400",M601="Software Idiem",C601="IN",G601=3),((('CAFCO 400 '!$D$23*(J601^2)+'CAFCO 400 '!$D$24*(J601)+'CAFCO 400 '!$D$25)*U601^2)+(('CAFCO 400 '!$D$26*(J601^2)+'CAFCO 400 '!$D$27*J601+'CAFCO 400 '!$D$28)*U601)+('CAFCO 400 '!$D$29*(J601^2)+'CAFCO 400 '!$D$30*J601+'CAFCO 400 '!$D$31)),0),0)+IF(AND(L601="Cafco 300",J601&gt;=95,J601&lt;=240,C601="Cj",I601=90),VLOOKUP(T601,'CAFCO 300 IDIEM TABLAS'!$B$4:$D$23,2,FALSE),0)+IF(AND(L601="Cafco 300",J601&gt;=95,J601&lt;=240,C601="Cj",I601=120),VLOOKUP(T601,'CAFCO 300 IDIEM TABLAS'!$B$4:$D$23,3,FALSE),0)+IF(AND(L601="Cafco 300",J601&gt;=95,J601&lt;=400,G601=3,C601="IN",I601=90),VLOOKUP(T601,'CAFCO 300 IDIEM TABLAS'!$F$4:$H$35,2,FALSE),0)+IF(AND(L601="Cafco 300",J601&gt;=95,J601&lt;=400,G601=3,C601="IN",I601=120),VLOOKUP(T601,'CAFCO 300 IDIEM TABLAS'!$F$4:$H$35,3,FALSE),0)+IF(AND(L601="Cafco 300",J601&gt;=95,J601&lt;=450,G601=4,C601="IN",I601=90),VLOOKUP(T601,'CAFCO 300 IDIEM TABLAS'!$J$4:$L$40,2,FALSE),0)+IF(AND(L601="Cafco 300",J601&gt;=95,J601&lt;=450,G601=4,C601="IN",I601=120),VLOOKUP(T601,'CAFCO 300 IDIEM TABLAS'!$J$4:$L$40,3,FALSE),0)+IF(AND(M601="Ensayo Idiem",L601="Cafco 400",C601="IN",G601=4,I601=90),VLOOKUP(T601,'CAFCO 400 ENSAYO'!$B$7:$D$43,2,FALSE),0)+IF(AND(M601="Ensayo Idiem",L601="Cafco 400",C601="IN",G601=4,I601=120),VLOOKUP(T601,'CAFCO 400 ENSAYO'!$B$7:$D$43,3,FALSE),0)</f>
        <v>0</v>
      </c>
      <c r="O601" s="96">
        <f t="shared" si="66"/>
        <v>0</v>
      </c>
      <c r="P601" s="132" t="str">
        <f t="shared" si="61"/>
        <v>N/A</v>
      </c>
      <c r="Q601" s="132" t="str">
        <f t="shared" si="62"/>
        <v>N/A</v>
      </c>
      <c r="R601" s="132" t="str">
        <f t="shared" si="63"/>
        <v>NO CERT.</v>
      </c>
      <c r="S601" s="132" t="e">
        <f t="shared" si="64"/>
        <v>#N/A</v>
      </c>
      <c r="T601" s="133" t="e">
        <f>+IF(J601=LOOKUP(J601,'CAFCO 300 IDIEM TABLAS'!$J$4:$J$40),'CALCULO MORTERO'!J601,MROUND('CALCULO MORTERO'!J601,10))</f>
        <v>#N/A</v>
      </c>
      <c r="U601" s="134">
        <f t="shared" si="65"/>
        <v>0</v>
      </c>
      <c r="Y601" s="4"/>
      <c r="Z601" s="4"/>
      <c r="AA601" s="4"/>
    </row>
    <row r="602" spans="1:27" x14ac:dyDescent="0.25">
      <c r="A602" s="118">
        <f>+CUBICACION!D596</f>
        <v>0</v>
      </c>
      <c r="B602" s="819">
        <f>+CUBICACION!E596</f>
        <v>0</v>
      </c>
      <c r="C602" s="675">
        <f>+CUBICACION!F596</f>
        <v>0</v>
      </c>
      <c r="D602" s="118"/>
      <c r="E602" s="118"/>
      <c r="F602" s="820"/>
      <c r="G602" s="675">
        <f>+CUBICACION!J596</f>
        <v>0</v>
      </c>
      <c r="H602" s="118"/>
      <c r="I602" s="821">
        <f>+CUBICACION!L596</f>
        <v>0</v>
      </c>
      <c r="J602" s="64">
        <f>+CUBICACION!M596</f>
        <v>0</v>
      </c>
      <c r="K602" s="822" t="str">
        <f>+CUBICACION!N596</f>
        <v/>
      </c>
      <c r="L602" s="118">
        <f>+CUBICACION!O596</f>
        <v>0</v>
      </c>
      <c r="M602" s="823">
        <f>+CUBICACION!P596</f>
        <v>0</v>
      </c>
      <c r="N602" s="902">
        <f>ROUND(IF(AND(L602="Blaze Shield II",M602="Software Idiem",C602="IN",G602=4),((('BLAZE SHIELD II'!$D$4*('CALCULO MORTERO'!I602^2)+'BLAZE SHIELD II'!$D$5*'CALCULO MORTERO'!I602+'BLAZE SHIELD II'!$D$6)*LN(J602))+('BLAZE SHIELD II'!$D$7*('CALCULO MORTERO'!I602^2)+'BLAZE SHIELD II'!$D$8*'CALCULO MORTERO'!I602+'BLAZE SHIELD II'!$D$9)),0)+IF(AND(L602="Blaze Shield II",M602="Software Idiem",C602="Cj"),((('BLAZE SHIELD II'!$H$4*('CALCULO MORTERO'!I602^2)+'BLAZE SHIELD II'!$H$5*'CALCULO MORTERO'!I602+'BLAZE SHIELD II'!$H$6)*LN(J602))+('BLAZE SHIELD II'!$H$7*('CALCULO MORTERO'!I602^2)+'BLAZE SHIELD II'!$H$8*'CALCULO MORTERO'!I602+'BLAZE SHIELD II'!$H$9)),0)+IF(AND(L602="Blaze Shield II",M602="Software Idiem",C602="C"),((('BLAZE SHIELD II'!$L$4*('CALCULO MORTERO'!I602^2)+'BLAZE SHIELD II'!$L$5*'CALCULO MORTERO'!I602+'BLAZE SHIELD II'!$L$6)*LN(J602))+('BLAZE SHIELD II'!$L$7*('CALCULO MORTERO'!I602^2)+'BLAZE SHIELD II'!$L$8*'CALCULO MORTERO'!I602+'BLAZE SHIELD II'!$L$9)),0)+IF(AND(L602="Blaze Shield II",M602="Software Idiem",C602="L"),((('BLAZE SHIELD II'!$L$4*('CALCULO MORTERO'!I602^2)+'BLAZE SHIELD II'!$L$5*'CALCULO MORTERO'!I602+'BLAZE SHIELD II'!$L$6)*LN(J602))+('BLAZE SHIELD II'!$L$7*('CALCULO MORTERO'!I602^2)+'BLAZE SHIELD II'!$L$8*'CALCULO MORTERO'!I602+'BLAZE SHIELD II'!$L$9)),0)+IF(AND(L602="Blaze Shield II",M602="Software Idiem",C602="IN",G602=3),((('BLAZE SHIELD II'!$H$14*('CALCULO MORTERO'!I602^2)+'BLAZE SHIELD II'!$H$15*'CALCULO MORTERO'!I602+'BLAZE SHIELD II'!$H$16)*LN(J602))+('BLAZE SHIELD II'!$H$17*('CALCULO MORTERO'!I602^2)+'BLAZE SHIELD II'!$H$18*'CALCULO MORTERO'!I602+'BLAZE SHIELD II'!$H$19)),0),0)+ROUND(IF(AND(L602="Cafco 400",M602="Software Idiem",C602="IN",G602=4),((('CAFCO 400 '!$H$7*(J602^4)+'CAFCO 400 '!$H$8*(J602^3)+'CAFCO 400 '!$H$9*(J602^2)+'CAFCO 400 '!$H$10*J602+'CAFCO 400 '!$H$11)*U602^2)+(('CAFCO 400 '!$H$12*(J602^3)+'CAFCO 400 '!$H$13*(J602^2)+'CAFCO 400 '!$H$14*J602+'CAFCO 400 '!$H$15)*U602)+('CAFCO 400 '!$H$16*(J602^2)+'CAFCO 400 '!$H$17*J602+'CAFCO 400 '!$H$18)),0)+IF(AND(L602="Cafco 400",M602="Software Idiem",C602="Cj"),(((('CAFCO 400 '!$D$7*LN(J602)+'CAFCO 400 '!$D$8)*U602^2)+(('CAFCO 400 '!$D$9*LN(J602)+'CAFCO 400 '!$D$10)*U602)+('CAFCO 400 '!$D$11*LN(J602)+'CAFCO 400 '!$D$12))),0)+IF(AND(L602="Cafco 400",M602="Software Idiem",C602="C"),((('CAFCO 400 '!$L$7*(J602^3)+'CAFCO 400 '!$L$8*(J602^2)+'CAFCO 400 '!$L$9*J602+'CAFCO 400 '!$L$10)*U602^2)+(('CAFCO 400 '!$L$11*(J602^3)+'CAFCO 400 '!$L$12*(J602^2)+'CAFCO 400 '!$L$13*J602+'CAFCO 400 '!$L$14)*U602)+('CAFCO 400 '!$L$15*LN(J602)+'CAFCO 400 '!$L$16)),0)+IF(AND(L602="Cafco 400",M602="Software Idiem",C602="L"),((('CAFCO 400 '!$L$7*(J602^3)+'CAFCO 400 '!$L$8*(J602^2)+'CAFCO 400 '!$L$9*J602+'CAFCO 400 '!$L$10)*U602^2)+(('CAFCO 400 '!$L$11*(J602^3)+'CAFCO 400 '!$L$12*(J602^2)+'CAFCO 400 '!$L$13*J602+'CAFCO 400 '!$L$14)*U602)+('CAFCO 400 '!$L$15*LN(J602)+'CAFCO 400 '!$L$16)),0)+IF(AND(L602="Cafco 400",M602="Software Idiem",C602="IN",G602=3),((('CAFCO 400 '!$D$23*(J602^2)+'CAFCO 400 '!$D$24*(J602)+'CAFCO 400 '!$D$25)*U602^2)+(('CAFCO 400 '!$D$26*(J602^2)+'CAFCO 400 '!$D$27*J602+'CAFCO 400 '!$D$28)*U602)+('CAFCO 400 '!$D$29*(J602^2)+'CAFCO 400 '!$D$30*J602+'CAFCO 400 '!$D$31)),0),0)+IF(AND(L602="Cafco 300",J602&gt;=95,J602&lt;=240,C602="Cj",I602=90),VLOOKUP(T602,'CAFCO 300 IDIEM TABLAS'!$B$4:$D$23,2,FALSE),0)+IF(AND(L602="Cafco 300",J602&gt;=95,J602&lt;=240,C602="Cj",I602=120),VLOOKUP(T602,'CAFCO 300 IDIEM TABLAS'!$B$4:$D$23,3,FALSE),0)+IF(AND(L602="Cafco 300",J602&gt;=95,J602&lt;=400,G602=3,C602="IN",I602=90),VLOOKUP(T602,'CAFCO 300 IDIEM TABLAS'!$F$4:$H$35,2,FALSE),0)+IF(AND(L602="Cafco 300",J602&gt;=95,J602&lt;=400,G602=3,C602="IN",I602=120),VLOOKUP(T602,'CAFCO 300 IDIEM TABLAS'!$F$4:$H$35,3,FALSE),0)+IF(AND(L602="Cafco 300",J602&gt;=95,J602&lt;=450,G602=4,C602="IN",I602=90),VLOOKUP(T602,'CAFCO 300 IDIEM TABLAS'!$J$4:$L$40,2,FALSE),0)+IF(AND(L602="Cafco 300",J602&gt;=95,J602&lt;=450,G602=4,C602="IN",I602=120),VLOOKUP(T602,'CAFCO 300 IDIEM TABLAS'!$J$4:$L$40,3,FALSE),0)+IF(AND(M602="Ensayo Idiem",L602="Cafco 400",C602="IN",G602=4,I602=90),VLOOKUP(T602,'CAFCO 400 ENSAYO'!$B$7:$D$43,2,FALSE),0)+IF(AND(M602="Ensayo Idiem",L602="Cafco 400",C602="IN",G602=4,I602=120),VLOOKUP(T602,'CAFCO 400 ENSAYO'!$B$7:$D$43,3,FALSE),0)</f>
        <v>0</v>
      </c>
      <c r="O602" s="96">
        <f t="shared" si="66"/>
        <v>0</v>
      </c>
      <c r="P602" s="95" t="str">
        <f t="shared" si="61"/>
        <v>N/A</v>
      </c>
      <c r="Q602" s="95" t="str">
        <f t="shared" si="62"/>
        <v>N/A</v>
      </c>
      <c r="R602" s="95" t="str">
        <f t="shared" si="63"/>
        <v>NO CERT.</v>
      </c>
      <c r="S602" s="95" t="e">
        <f t="shared" si="64"/>
        <v>#N/A</v>
      </c>
      <c r="T602" s="119" t="e">
        <f>+IF(J602=LOOKUP(J602,'CAFCO 300 IDIEM TABLAS'!$J$4:$J$40),'CALCULO MORTERO'!J602,MROUND('CALCULO MORTERO'!J602,10))</f>
        <v>#N/A</v>
      </c>
      <c r="U602" s="118">
        <f t="shared" si="65"/>
        <v>0</v>
      </c>
      <c r="Y602" s="4"/>
      <c r="Z602" s="4"/>
      <c r="AA602" s="4"/>
    </row>
    <row r="603" spans="1:27" x14ac:dyDescent="0.25">
      <c r="A603" s="118">
        <f>+CUBICACION!D597</f>
        <v>0</v>
      </c>
      <c r="B603" s="819">
        <f>+CUBICACION!E597</f>
        <v>0</v>
      </c>
      <c r="C603" s="675">
        <f>+CUBICACION!F597</f>
        <v>0</v>
      </c>
      <c r="D603" s="118"/>
      <c r="E603" s="118"/>
      <c r="F603" s="820"/>
      <c r="G603" s="675">
        <f>+CUBICACION!J597</f>
        <v>0</v>
      </c>
      <c r="H603" s="118"/>
      <c r="I603" s="821">
        <f>+CUBICACION!L597</f>
        <v>0</v>
      </c>
      <c r="J603" s="64">
        <f>+CUBICACION!M597</f>
        <v>0</v>
      </c>
      <c r="K603" s="822" t="str">
        <f>+CUBICACION!N597</f>
        <v/>
      </c>
      <c r="L603" s="118">
        <f>+CUBICACION!O597</f>
        <v>0</v>
      </c>
      <c r="M603" s="823">
        <f>+CUBICACION!P597</f>
        <v>0</v>
      </c>
      <c r="N603" s="902">
        <f>ROUND(IF(AND(L603="Blaze Shield II",M603="Software Idiem",C603="IN",G603=4),((('BLAZE SHIELD II'!$D$4*('CALCULO MORTERO'!I603^2)+'BLAZE SHIELD II'!$D$5*'CALCULO MORTERO'!I603+'BLAZE SHIELD II'!$D$6)*LN(J603))+('BLAZE SHIELD II'!$D$7*('CALCULO MORTERO'!I603^2)+'BLAZE SHIELD II'!$D$8*'CALCULO MORTERO'!I603+'BLAZE SHIELD II'!$D$9)),0)+IF(AND(L603="Blaze Shield II",M603="Software Idiem",C603="Cj"),((('BLAZE SHIELD II'!$H$4*('CALCULO MORTERO'!I603^2)+'BLAZE SHIELD II'!$H$5*'CALCULO MORTERO'!I603+'BLAZE SHIELD II'!$H$6)*LN(J603))+('BLAZE SHIELD II'!$H$7*('CALCULO MORTERO'!I603^2)+'BLAZE SHIELD II'!$H$8*'CALCULO MORTERO'!I603+'BLAZE SHIELD II'!$H$9)),0)+IF(AND(L603="Blaze Shield II",M603="Software Idiem",C603="C"),((('BLAZE SHIELD II'!$L$4*('CALCULO MORTERO'!I603^2)+'BLAZE SHIELD II'!$L$5*'CALCULO MORTERO'!I603+'BLAZE SHIELD II'!$L$6)*LN(J603))+('BLAZE SHIELD II'!$L$7*('CALCULO MORTERO'!I603^2)+'BLAZE SHIELD II'!$L$8*'CALCULO MORTERO'!I603+'BLAZE SHIELD II'!$L$9)),0)+IF(AND(L603="Blaze Shield II",M603="Software Idiem",C603="L"),((('BLAZE SHIELD II'!$L$4*('CALCULO MORTERO'!I603^2)+'BLAZE SHIELD II'!$L$5*'CALCULO MORTERO'!I603+'BLAZE SHIELD II'!$L$6)*LN(J603))+('BLAZE SHIELD II'!$L$7*('CALCULO MORTERO'!I603^2)+'BLAZE SHIELD II'!$L$8*'CALCULO MORTERO'!I603+'BLAZE SHIELD II'!$L$9)),0)+IF(AND(L603="Blaze Shield II",M603="Software Idiem",C603="IN",G603=3),((('BLAZE SHIELD II'!$H$14*('CALCULO MORTERO'!I603^2)+'BLAZE SHIELD II'!$H$15*'CALCULO MORTERO'!I603+'BLAZE SHIELD II'!$H$16)*LN(J603))+('BLAZE SHIELD II'!$H$17*('CALCULO MORTERO'!I603^2)+'BLAZE SHIELD II'!$H$18*'CALCULO MORTERO'!I603+'BLAZE SHIELD II'!$H$19)),0),0)+ROUND(IF(AND(L603="Cafco 400",M603="Software Idiem",C603="IN",G603=4),((('CAFCO 400 '!$H$7*(J603^4)+'CAFCO 400 '!$H$8*(J603^3)+'CAFCO 400 '!$H$9*(J603^2)+'CAFCO 400 '!$H$10*J603+'CAFCO 400 '!$H$11)*U603^2)+(('CAFCO 400 '!$H$12*(J603^3)+'CAFCO 400 '!$H$13*(J603^2)+'CAFCO 400 '!$H$14*J603+'CAFCO 400 '!$H$15)*U603)+('CAFCO 400 '!$H$16*(J603^2)+'CAFCO 400 '!$H$17*J603+'CAFCO 400 '!$H$18)),0)+IF(AND(L603="Cafco 400",M603="Software Idiem",C603="Cj"),(((('CAFCO 400 '!$D$7*LN(J603)+'CAFCO 400 '!$D$8)*U603^2)+(('CAFCO 400 '!$D$9*LN(J603)+'CAFCO 400 '!$D$10)*U603)+('CAFCO 400 '!$D$11*LN(J603)+'CAFCO 400 '!$D$12))),0)+IF(AND(L603="Cafco 400",M603="Software Idiem",C603="C"),((('CAFCO 400 '!$L$7*(J603^3)+'CAFCO 400 '!$L$8*(J603^2)+'CAFCO 400 '!$L$9*J603+'CAFCO 400 '!$L$10)*U603^2)+(('CAFCO 400 '!$L$11*(J603^3)+'CAFCO 400 '!$L$12*(J603^2)+'CAFCO 400 '!$L$13*J603+'CAFCO 400 '!$L$14)*U603)+('CAFCO 400 '!$L$15*LN(J603)+'CAFCO 400 '!$L$16)),0)+IF(AND(L603="Cafco 400",M603="Software Idiem",C603="L"),((('CAFCO 400 '!$L$7*(J603^3)+'CAFCO 400 '!$L$8*(J603^2)+'CAFCO 400 '!$L$9*J603+'CAFCO 400 '!$L$10)*U603^2)+(('CAFCO 400 '!$L$11*(J603^3)+'CAFCO 400 '!$L$12*(J603^2)+'CAFCO 400 '!$L$13*J603+'CAFCO 400 '!$L$14)*U603)+('CAFCO 400 '!$L$15*LN(J603)+'CAFCO 400 '!$L$16)),0)+IF(AND(L603="Cafco 400",M603="Software Idiem",C603="IN",G603=3),((('CAFCO 400 '!$D$23*(J603^2)+'CAFCO 400 '!$D$24*(J603)+'CAFCO 400 '!$D$25)*U603^2)+(('CAFCO 400 '!$D$26*(J603^2)+'CAFCO 400 '!$D$27*J603+'CAFCO 400 '!$D$28)*U603)+('CAFCO 400 '!$D$29*(J603^2)+'CAFCO 400 '!$D$30*J603+'CAFCO 400 '!$D$31)),0),0)+IF(AND(L603="Cafco 300",J603&gt;=95,J603&lt;=240,C603="Cj",I603=90),VLOOKUP(T603,'CAFCO 300 IDIEM TABLAS'!$B$4:$D$23,2,FALSE),0)+IF(AND(L603="Cafco 300",J603&gt;=95,J603&lt;=240,C603="Cj",I603=120),VLOOKUP(T603,'CAFCO 300 IDIEM TABLAS'!$B$4:$D$23,3,FALSE),0)+IF(AND(L603="Cafco 300",J603&gt;=95,J603&lt;=400,G603=3,C603="IN",I603=90),VLOOKUP(T603,'CAFCO 300 IDIEM TABLAS'!$F$4:$H$35,2,FALSE),0)+IF(AND(L603="Cafco 300",J603&gt;=95,J603&lt;=400,G603=3,C603="IN",I603=120),VLOOKUP(T603,'CAFCO 300 IDIEM TABLAS'!$F$4:$H$35,3,FALSE),0)+IF(AND(L603="Cafco 300",J603&gt;=95,J603&lt;=450,G603=4,C603="IN",I603=90),VLOOKUP(T603,'CAFCO 300 IDIEM TABLAS'!$J$4:$L$40,2,FALSE),0)+IF(AND(L603="Cafco 300",J603&gt;=95,J603&lt;=450,G603=4,C603="IN",I603=120),VLOOKUP(T603,'CAFCO 300 IDIEM TABLAS'!$J$4:$L$40,3,FALSE),0)+IF(AND(M603="Ensayo Idiem",L603="Cafco 400",C603="IN",G603=4,I603=90),VLOOKUP(T603,'CAFCO 400 ENSAYO'!$B$7:$D$43,2,FALSE),0)+IF(AND(M603="Ensayo Idiem",L603="Cafco 400",C603="IN",G603=4,I603=120),VLOOKUP(T603,'CAFCO 400 ENSAYO'!$B$7:$D$43,3,FALSE),0)</f>
        <v>0</v>
      </c>
      <c r="O603" s="96">
        <f t="shared" si="66"/>
        <v>0</v>
      </c>
      <c r="P603" s="132" t="str">
        <f t="shared" si="61"/>
        <v>N/A</v>
      </c>
      <c r="Q603" s="132" t="str">
        <f t="shared" si="62"/>
        <v>N/A</v>
      </c>
      <c r="R603" s="132" t="str">
        <f t="shared" si="63"/>
        <v>NO CERT.</v>
      </c>
      <c r="S603" s="132" t="e">
        <f t="shared" si="64"/>
        <v>#N/A</v>
      </c>
      <c r="T603" s="133" t="e">
        <f>+IF(J603=LOOKUP(J603,'CAFCO 300 IDIEM TABLAS'!$J$4:$J$40),'CALCULO MORTERO'!J603,MROUND('CALCULO MORTERO'!J603,10))</f>
        <v>#N/A</v>
      </c>
      <c r="U603" s="134">
        <f t="shared" si="65"/>
        <v>0</v>
      </c>
      <c r="Y603" s="4"/>
      <c r="Z603" s="4"/>
      <c r="AA603" s="4"/>
    </row>
    <row r="604" spans="1:27" x14ac:dyDescent="0.25">
      <c r="A604" s="118">
        <f>+CUBICACION!D598</f>
        <v>0</v>
      </c>
      <c r="B604" s="819">
        <f>+CUBICACION!E598</f>
        <v>0</v>
      </c>
      <c r="C604" s="675">
        <f>+CUBICACION!F598</f>
        <v>0</v>
      </c>
      <c r="D604" s="118"/>
      <c r="E604" s="118"/>
      <c r="F604" s="820"/>
      <c r="G604" s="675">
        <f>+CUBICACION!J598</f>
        <v>0</v>
      </c>
      <c r="H604" s="118"/>
      <c r="I604" s="821">
        <f>+CUBICACION!L598</f>
        <v>0</v>
      </c>
      <c r="J604" s="64">
        <f>+CUBICACION!M598</f>
        <v>0</v>
      </c>
      <c r="K604" s="822" t="str">
        <f>+CUBICACION!N598</f>
        <v/>
      </c>
      <c r="L604" s="118">
        <f>+CUBICACION!O598</f>
        <v>0</v>
      </c>
      <c r="M604" s="823">
        <f>+CUBICACION!P598</f>
        <v>0</v>
      </c>
      <c r="N604" s="902">
        <f>ROUND(IF(AND(L604="Blaze Shield II",M604="Software Idiem",C604="IN",G604=4),((('BLAZE SHIELD II'!$D$4*('CALCULO MORTERO'!I604^2)+'BLAZE SHIELD II'!$D$5*'CALCULO MORTERO'!I604+'BLAZE SHIELD II'!$D$6)*LN(J604))+('BLAZE SHIELD II'!$D$7*('CALCULO MORTERO'!I604^2)+'BLAZE SHIELD II'!$D$8*'CALCULO MORTERO'!I604+'BLAZE SHIELD II'!$D$9)),0)+IF(AND(L604="Blaze Shield II",M604="Software Idiem",C604="Cj"),((('BLAZE SHIELD II'!$H$4*('CALCULO MORTERO'!I604^2)+'BLAZE SHIELD II'!$H$5*'CALCULO MORTERO'!I604+'BLAZE SHIELD II'!$H$6)*LN(J604))+('BLAZE SHIELD II'!$H$7*('CALCULO MORTERO'!I604^2)+'BLAZE SHIELD II'!$H$8*'CALCULO MORTERO'!I604+'BLAZE SHIELD II'!$H$9)),0)+IF(AND(L604="Blaze Shield II",M604="Software Idiem",C604="C"),((('BLAZE SHIELD II'!$L$4*('CALCULO MORTERO'!I604^2)+'BLAZE SHIELD II'!$L$5*'CALCULO MORTERO'!I604+'BLAZE SHIELD II'!$L$6)*LN(J604))+('BLAZE SHIELD II'!$L$7*('CALCULO MORTERO'!I604^2)+'BLAZE SHIELD II'!$L$8*'CALCULO MORTERO'!I604+'BLAZE SHIELD II'!$L$9)),0)+IF(AND(L604="Blaze Shield II",M604="Software Idiem",C604="L"),((('BLAZE SHIELD II'!$L$4*('CALCULO MORTERO'!I604^2)+'BLAZE SHIELD II'!$L$5*'CALCULO MORTERO'!I604+'BLAZE SHIELD II'!$L$6)*LN(J604))+('BLAZE SHIELD II'!$L$7*('CALCULO MORTERO'!I604^2)+'BLAZE SHIELD II'!$L$8*'CALCULO MORTERO'!I604+'BLAZE SHIELD II'!$L$9)),0)+IF(AND(L604="Blaze Shield II",M604="Software Idiem",C604="IN",G604=3),((('BLAZE SHIELD II'!$H$14*('CALCULO MORTERO'!I604^2)+'BLAZE SHIELD II'!$H$15*'CALCULO MORTERO'!I604+'BLAZE SHIELD II'!$H$16)*LN(J604))+('BLAZE SHIELD II'!$H$17*('CALCULO MORTERO'!I604^2)+'BLAZE SHIELD II'!$H$18*'CALCULO MORTERO'!I604+'BLAZE SHIELD II'!$H$19)),0),0)+ROUND(IF(AND(L604="Cafco 400",M604="Software Idiem",C604="IN",G604=4),((('CAFCO 400 '!$H$7*(J604^4)+'CAFCO 400 '!$H$8*(J604^3)+'CAFCO 400 '!$H$9*(J604^2)+'CAFCO 400 '!$H$10*J604+'CAFCO 400 '!$H$11)*U604^2)+(('CAFCO 400 '!$H$12*(J604^3)+'CAFCO 400 '!$H$13*(J604^2)+'CAFCO 400 '!$H$14*J604+'CAFCO 400 '!$H$15)*U604)+('CAFCO 400 '!$H$16*(J604^2)+'CAFCO 400 '!$H$17*J604+'CAFCO 400 '!$H$18)),0)+IF(AND(L604="Cafco 400",M604="Software Idiem",C604="Cj"),(((('CAFCO 400 '!$D$7*LN(J604)+'CAFCO 400 '!$D$8)*U604^2)+(('CAFCO 400 '!$D$9*LN(J604)+'CAFCO 400 '!$D$10)*U604)+('CAFCO 400 '!$D$11*LN(J604)+'CAFCO 400 '!$D$12))),0)+IF(AND(L604="Cafco 400",M604="Software Idiem",C604="C"),((('CAFCO 400 '!$L$7*(J604^3)+'CAFCO 400 '!$L$8*(J604^2)+'CAFCO 400 '!$L$9*J604+'CAFCO 400 '!$L$10)*U604^2)+(('CAFCO 400 '!$L$11*(J604^3)+'CAFCO 400 '!$L$12*(J604^2)+'CAFCO 400 '!$L$13*J604+'CAFCO 400 '!$L$14)*U604)+('CAFCO 400 '!$L$15*LN(J604)+'CAFCO 400 '!$L$16)),0)+IF(AND(L604="Cafco 400",M604="Software Idiem",C604="L"),((('CAFCO 400 '!$L$7*(J604^3)+'CAFCO 400 '!$L$8*(J604^2)+'CAFCO 400 '!$L$9*J604+'CAFCO 400 '!$L$10)*U604^2)+(('CAFCO 400 '!$L$11*(J604^3)+'CAFCO 400 '!$L$12*(J604^2)+'CAFCO 400 '!$L$13*J604+'CAFCO 400 '!$L$14)*U604)+('CAFCO 400 '!$L$15*LN(J604)+'CAFCO 400 '!$L$16)),0)+IF(AND(L604="Cafco 400",M604="Software Idiem",C604="IN",G604=3),((('CAFCO 400 '!$D$23*(J604^2)+'CAFCO 400 '!$D$24*(J604)+'CAFCO 400 '!$D$25)*U604^2)+(('CAFCO 400 '!$D$26*(J604^2)+'CAFCO 400 '!$D$27*J604+'CAFCO 400 '!$D$28)*U604)+('CAFCO 400 '!$D$29*(J604^2)+'CAFCO 400 '!$D$30*J604+'CAFCO 400 '!$D$31)),0),0)+IF(AND(L604="Cafco 300",J604&gt;=95,J604&lt;=240,C604="Cj",I604=90),VLOOKUP(T604,'CAFCO 300 IDIEM TABLAS'!$B$4:$D$23,2,FALSE),0)+IF(AND(L604="Cafco 300",J604&gt;=95,J604&lt;=240,C604="Cj",I604=120),VLOOKUP(T604,'CAFCO 300 IDIEM TABLAS'!$B$4:$D$23,3,FALSE),0)+IF(AND(L604="Cafco 300",J604&gt;=95,J604&lt;=400,G604=3,C604="IN",I604=90),VLOOKUP(T604,'CAFCO 300 IDIEM TABLAS'!$F$4:$H$35,2,FALSE),0)+IF(AND(L604="Cafco 300",J604&gt;=95,J604&lt;=400,G604=3,C604="IN",I604=120),VLOOKUP(T604,'CAFCO 300 IDIEM TABLAS'!$F$4:$H$35,3,FALSE),0)+IF(AND(L604="Cafco 300",J604&gt;=95,J604&lt;=450,G604=4,C604="IN",I604=90),VLOOKUP(T604,'CAFCO 300 IDIEM TABLAS'!$J$4:$L$40,2,FALSE),0)+IF(AND(L604="Cafco 300",J604&gt;=95,J604&lt;=450,G604=4,C604="IN",I604=120),VLOOKUP(T604,'CAFCO 300 IDIEM TABLAS'!$J$4:$L$40,3,FALSE),0)+IF(AND(M604="Ensayo Idiem",L604="Cafco 400",C604="IN",G604=4,I604=90),VLOOKUP(T604,'CAFCO 400 ENSAYO'!$B$7:$D$43,2,FALSE),0)+IF(AND(M604="Ensayo Idiem",L604="Cafco 400",C604="IN",G604=4,I604=120),VLOOKUP(T604,'CAFCO 400 ENSAYO'!$B$7:$D$43,3,FALSE),0)</f>
        <v>0</v>
      </c>
      <c r="O604" s="96">
        <f t="shared" si="66"/>
        <v>0</v>
      </c>
      <c r="P604" s="95" t="str">
        <f t="shared" si="61"/>
        <v>N/A</v>
      </c>
      <c r="Q604" s="95" t="str">
        <f t="shared" si="62"/>
        <v>N/A</v>
      </c>
      <c r="R604" s="95" t="str">
        <f t="shared" si="63"/>
        <v>NO CERT.</v>
      </c>
      <c r="S604" s="95" t="e">
        <f t="shared" si="64"/>
        <v>#N/A</v>
      </c>
      <c r="T604" s="119" t="e">
        <f>+IF(J604=LOOKUP(J604,'CAFCO 300 IDIEM TABLAS'!$J$4:$J$40),'CALCULO MORTERO'!J604,MROUND('CALCULO MORTERO'!J604,10))</f>
        <v>#N/A</v>
      </c>
      <c r="U604" s="118">
        <f t="shared" si="65"/>
        <v>0</v>
      </c>
      <c r="Y604" s="4"/>
      <c r="Z604" s="4"/>
      <c r="AA604" s="4"/>
    </row>
    <row r="605" spans="1:27" x14ac:dyDescent="0.25">
      <c r="A605" s="118">
        <f>+CUBICACION!D599</f>
        <v>0</v>
      </c>
      <c r="B605" s="819">
        <f>+CUBICACION!E599</f>
        <v>0</v>
      </c>
      <c r="C605" s="675">
        <f>+CUBICACION!F599</f>
        <v>0</v>
      </c>
      <c r="D605" s="118"/>
      <c r="E605" s="118"/>
      <c r="F605" s="820"/>
      <c r="G605" s="675">
        <f>+CUBICACION!J599</f>
        <v>0</v>
      </c>
      <c r="H605" s="118"/>
      <c r="I605" s="821">
        <f>+CUBICACION!L599</f>
        <v>0</v>
      </c>
      <c r="J605" s="64">
        <f>+CUBICACION!M599</f>
        <v>0</v>
      </c>
      <c r="K605" s="822" t="str">
        <f>+CUBICACION!N599</f>
        <v/>
      </c>
      <c r="L605" s="118">
        <f>+CUBICACION!O599</f>
        <v>0</v>
      </c>
      <c r="M605" s="823">
        <f>+CUBICACION!P599</f>
        <v>0</v>
      </c>
      <c r="N605" s="902">
        <f>ROUND(IF(AND(L605="Blaze Shield II",M605="Software Idiem",C605="IN",G605=4),((('BLAZE SHIELD II'!$D$4*('CALCULO MORTERO'!I605^2)+'BLAZE SHIELD II'!$D$5*'CALCULO MORTERO'!I605+'BLAZE SHIELD II'!$D$6)*LN(J605))+('BLAZE SHIELD II'!$D$7*('CALCULO MORTERO'!I605^2)+'BLAZE SHIELD II'!$D$8*'CALCULO MORTERO'!I605+'BLAZE SHIELD II'!$D$9)),0)+IF(AND(L605="Blaze Shield II",M605="Software Idiem",C605="Cj"),((('BLAZE SHIELD II'!$H$4*('CALCULO MORTERO'!I605^2)+'BLAZE SHIELD II'!$H$5*'CALCULO MORTERO'!I605+'BLAZE SHIELD II'!$H$6)*LN(J605))+('BLAZE SHIELD II'!$H$7*('CALCULO MORTERO'!I605^2)+'BLAZE SHIELD II'!$H$8*'CALCULO MORTERO'!I605+'BLAZE SHIELD II'!$H$9)),0)+IF(AND(L605="Blaze Shield II",M605="Software Idiem",C605="C"),((('BLAZE SHIELD II'!$L$4*('CALCULO MORTERO'!I605^2)+'BLAZE SHIELD II'!$L$5*'CALCULO MORTERO'!I605+'BLAZE SHIELD II'!$L$6)*LN(J605))+('BLAZE SHIELD II'!$L$7*('CALCULO MORTERO'!I605^2)+'BLAZE SHIELD II'!$L$8*'CALCULO MORTERO'!I605+'BLAZE SHIELD II'!$L$9)),0)+IF(AND(L605="Blaze Shield II",M605="Software Idiem",C605="L"),((('BLAZE SHIELD II'!$L$4*('CALCULO MORTERO'!I605^2)+'BLAZE SHIELD II'!$L$5*'CALCULO MORTERO'!I605+'BLAZE SHIELD II'!$L$6)*LN(J605))+('BLAZE SHIELD II'!$L$7*('CALCULO MORTERO'!I605^2)+'BLAZE SHIELD II'!$L$8*'CALCULO MORTERO'!I605+'BLAZE SHIELD II'!$L$9)),0)+IF(AND(L605="Blaze Shield II",M605="Software Idiem",C605="IN",G605=3),((('BLAZE SHIELD II'!$H$14*('CALCULO MORTERO'!I605^2)+'BLAZE SHIELD II'!$H$15*'CALCULO MORTERO'!I605+'BLAZE SHIELD II'!$H$16)*LN(J605))+('BLAZE SHIELD II'!$H$17*('CALCULO MORTERO'!I605^2)+'BLAZE SHIELD II'!$H$18*'CALCULO MORTERO'!I605+'BLAZE SHIELD II'!$H$19)),0),0)+ROUND(IF(AND(L605="Cafco 400",M605="Software Idiem",C605="IN",G605=4),((('CAFCO 400 '!$H$7*(J605^4)+'CAFCO 400 '!$H$8*(J605^3)+'CAFCO 400 '!$H$9*(J605^2)+'CAFCO 400 '!$H$10*J605+'CAFCO 400 '!$H$11)*U605^2)+(('CAFCO 400 '!$H$12*(J605^3)+'CAFCO 400 '!$H$13*(J605^2)+'CAFCO 400 '!$H$14*J605+'CAFCO 400 '!$H$15)*U605)+('CAFCO 400 '!$H$16*(J605^2)+'CAFCO 400 '!$H$17*J605+'CAFCO 400 '!$H$18)),0)+IF(AND(L605="Cafco 400",M605="Software Idiem",C605="Cj"),(((('CAFCO 400 '!$D$7*LN(J605)+'CAFCO 400 '!$D$8)*U605^2)+(('CAFCO 400 '!$D$9*LN(J605)+'CAFCO 400 '!$D$10)*U605)+('CAFCO 400 '!$D$11*LN(J605)+'CAFCO 400 '!$D$12))),0)+IF(AND(L605="Cafco 400",M605="Software Idiem",C605="C"),((('CAFCO 400 '!$L$7*(J605^3)+'CAFCO 400 '!$L$8*(J605^2)+'CAFCO 400 '!$L$9*J605+'CAFCO 400 '!$L$10)*U605^2)+(('CAFCO 400 '!$L$11*(J605^3)+'CAFCO 400 '!$L$12*(J605^2)+'CAFCO 400 '!$L$13*J605+'CAFCO 400 '!$L$14)*U605)+('CAFCO 400 '!$L$15*LN(J605)+'CAFCO 400 '!$L$16)),0)+IF(AND(L605="Cafco 400",M605="Software Idiem",C605="L"),((('CAFCO 400 '!$L$7*(J605^3)+'CAFCO 400 '!$L$8*(J605^2)+'CAFCO 400 '!$L$9*J605+'CAFCO 400 '!$L$10)*U605^2)+(('CAFCO 400 '!$L$11*(J605^3)+'CAFCO 400 '!$L$12*(J605^2)+'CAFCO 400 '!$L$13*J605+'CAFCO 400 '!$L$14)*U605)+('CAFCO 400 '!$L$15*LN(J605)+'CAFCO 400 '!$L$16)),0)+IF(AND(L605="Cafco 400",M605="Software Idiem",C605="IN",G605=3),((('CAFCO 400 '!$D$23*(J605^2)+'CAFCO 400 '!$D$24*(J605)+'CAFCO 400 '!$D$25)*U605^2)+(('CAFCO 400 '!$D$26*(J605^2)+'CAFCO 400 '!$D$27*J605+'CAFCO 400 '!$D$28)*U605)+('CAFCO 400 '!$D$29*(J605^2)+'CAFCO 400 '!$D$30*J605+'CAFCO 400 '!$D$31)),0),0)+IF(AND(L605="Cafco 300",J605&gt;=95,J605&lt;=240,C605="Cj",I605=90),VLOOKUP(T605,'CAFCO 300 IDIEM TABLAS'!$B$4:$D$23,2,FALSE),0)+IF(AND(L605="Cafco 300",J605&gt;=95,J605&lt;=240,C605="Cj",I605=120),VLOOKUP(T605,'CAFCO 300 IDIEM TABLAS'!$B$4:$D$23,3,FALSE),0)+IF(AND(L605="Cafco 300",J605&gt;=95,J605&lt;=400,G605=3,C605="IN",I605=90),VLOOKUP(T605,'CAFCO 300 IDIEM TABLAS'!$F$4:$H$35,2,FALSE),0)+IF(AND(L605="Cafco 300",J605&gt;=95,J605&lt;=400,G605=3,C605="IN",I605=120),VLOOKUP(T605,'CAFCO 300 IDIEM TABLAS'!$F$4:$H$35,3,FALSE),0)+IF(AND(L605="Cafco 300",J605&gt;=95,J605&lt;=450,G605=4,C605="IN",I605=90),VLOOKUP(T605,'CAFCO 300 IDIEM TABLAS'!$J$4:$L$40,2,FALSE),0)+IF(AND(L605="Cafco 300",J605&gt;=95,J605&lt;=450,G605=4,C605="IN",I605=120),VLOOKUP(T605,'CAFCO 300 IDIEM TABLAS'!$J$4:$L$40,3,FALSE),0)+IF(AND(M605="Ensayo Idiem",L605="Cafco 400",C605="IN",G605=4,I605=90),VLOOKUP(T605,'CAFCO 400 ENSAYO'!$B$7:$D$43,2,FALSE),0)+IF(AND(M605="Ensayo Idiem",L605="Cafco 400",C605="IN",G605=4,I605=120),VLOOKUP(T605,'CAFCO 400 ENSAYO'!$B$7:$D$43,3,FALSE),0)</f>
        <v>0</v>
      </c>
      <c r="O605" s="96">
        <f t="shared" si="66"/>
        <v>0</v>
      </c>
      <c r="P605" s="132" t="str">
        <f t="shared" si="61"/>
        <v>N/A</v>
      </c>
      <c r="Q605" s="132" t="str">
        <f t="shared" si="62"/>
        <v>N/A</v>
      </c>
      <c r="R605" s="132" t="str">
        <f t="shared" si="63"/>
        <v>NO CERT.</v>
      </c>
      <c r="S605" s="132" t="e">
        <f t="shared" si="64"/>
        <v>#N/A</v>
      </c>
      <c r="T605" s="133" t="e">
        <f>+IF(J605=LOOKUP(J605,'CAFCO 300 IDIEM TABLAS'!$J$4:$J$40),'CALCULO MORTERO'!J605,MROUND('CALCULO MORTERO'!J605,10))</f>
        <v>#N/A</v>
      </c>
      <c r="U605" s="134">
        <f t="shared" si="65"/>
        <v>0</v>
      </c>
      <c r="Y605" s="4"/>
      <c r="Z605" s="4"/>
      <c r="AA605" s="4"/>
    </row>
    <row r="606" spans="1:27" x14ac:dyDescent="0.25">
      <c r="A606" s="118">
        <f>+CUBICACION!D600</f>
        <v>0</v>
      </c>
      <c r="B606" s="819">
        <f>+CUBICACION!E600</f>
        <v>0</v>
      </c>
      <c r="C606" s="675">
        <f>+CUBICACION!F600</f>
        <v>0</v>
      </c>
      <c r="D606" s="118"/>
      <c r="E606" s="118"/>
      <c r="F606" s="820"/>
      <c r="G606" s="675">
        <f>+CUBICACION!J600</f>
        <v>0</v>
      </c>
      <c r="H606" s="118"/>
      <c r="I606" s="821">
        <f>+CUBICACION!L600</f>
        <v>0</v>
      </c>
      <c r="J606" s="64">
        <f>+CUBICACION!M600</f>
        <v>0</v>
      </c>
      <c r="K606" s="822" t="str">
        <f>+CUBICACION!N600</f>
        <v/>
      </c>
      <c r="L606" s="118">
        <f>+CUBICACION!O600</f>
        <v>0</v>
      </c>
      <c r="M606" s="823">
        <f>+CUBICACION!P600</f>
        <v>0</v>
      </c>
      <c r="N606" s="902">
        <f>ROUND(IF(AND(L606="Blaze Shield II",M606="Software Idiem",C606="IN",G606=4),((('BLAZE SHIELD II'!$D$4*('CALCULO MORTERO'!I606^2)+'BLAZE SHIELD II'!$D$5*'CALCULO MORTERO'!I606+'BLAZE SHIELD II'!$D$6)*LN(J606))+('BLAZE SHIELD II'!$D$7*('CALCULO MORTERO'!I606^2)+'BLAZE SHIELD II'!$D$8*'CALCULO MORTERO'!I606+'BLAZE SHIELD II'!$D$9)),0)+IF(AND(L606="Blaze Shield II",M606="Software Idiem",C606="Cj"),((('BLAZE SHIELD II'!$H$4*('CALCULO MORTERO'!I606^2)+'BLAZE SHIELD II'!$H$5*'CALCULO MORTERO'!I606+'BLAZE SHIELD II'!$H$6)*LN(J606))+('BLAZE SHIELD II'!$H$7*('CALCULO MORTERO'!I606^2)+'BLAZE SHIELD II'!$H$8*'CALCULO MORTERO'!I606+'BLAZE SHIELD II'!$H$9)),0)+IF(AND(L606="Blaze Shield II",M606="Software Idiem",C606="C"),((('BLAZE SHIELD II'!$L$4*('CALCULO MORTERO'!I606^2)+'BLAZE SHIELD II'!$L$5*'CALCULO MORTERO'!I606+'BLAZE SHIELD II'!$L$6)*LN(J606))+('BLAZE SHIELD II'!$L$7*('CALCULO MORTERO'!I606^2)+'BLAZE SHIELD II'!$L$8*'CALCULO MORTERO'!I606+'BLAZE SHIELD II'!$L$9)),0)+IF(AND(L606="Blaze Shield II",M606="Software Idiem",C606="L"),((('BLAZE SHIELD II'!$L$4*('CALCULO MORTERO'!I606^2)+'BLAZE SHIELD II'!$L$5*'CALCULO MORTERO'!I606+'BLAZE SHIELD II'!$L$6)*LN(J606))+('BLAZE SHIELD II'!$L$7*('CALCULO MORTERO'!I606^2)+'BLAZE SHIELD II'!$L$8*'CALCULO MORTERO'!I606+'BLAZE SHIELD II'!$L$9)),0)+IF(AND(L606="Blaze Shield II",M606="Software Idiem",C606="IN",G606=3),((('BLAZE SHIELD II'!$H$14*('CALCULO MORTERO'!I606^2)+'BLAZE SHIELD II'!$H$15*'CALCULO MORTERO'!I606+'BLAZE SHIELD II'!$H$16)*LN(J606))+('BLAZE SHIELD II'!$H$17*('CALCULO MORTERO'!I606^2)+'BLAZE SHIELD II'!$H$18*'CALCULO MORTERO'!I606+'BLAZE SHIELD II'!$H$19)),0),0)+ROUND(IF(AND(L606="Cafco 400",M606="Software Idiem",C606="IN",G606=4),((('CAFCO 400 '!$H$7*(J606^4)+'CAFCO 400 '!$H$8*(J606^3)+'CAFCO 400 '!$H$9*(J606^2)+'CAFCO 400 '!$H$10*J606+'CAFCO 400 '!$H$11)*U606^2)+(('CAFCO 400 '!$H$12*(J606^3)+'CAFCO 400 '!$H$13*(J606^2)+'CAFCO 400 '!$H$14*J606+'CAFCO 400 '!$H$15)*U606)+('CAFCO 400 '!$H$16*(J606^2)+'CAFCO 400 '!$H$17*J606+'CAFCO 400 '!$H$18)),0)+IF(AND(L606="Cafco 400",M606="Software Idiem",C606="Cj"),(((('CAFCO 400 '!$D$7*LN(J606)+'CAFCO 400 '!$D$8)*U606^2)+(('CAFCO 400 '!$D$9*LN(J606)+'CAFCO 400 '!$D$10)*U606)+('CAFCO 400 '!$D$11*LN(J606)+'CAFCO 400 '!$D$12))),0)+IF(AND(L606="Cafco 400",M606="Software Idiem",C606="C"),((('CAFCO 400 '!$L$7*(J606^3)+'CAFCO 400 '!$L$8*(J606^2)+'CAFCO 400 '!$L$9*J606+'CAFCO 400 '!$L$10)*U606^2)+(('CAFCO 400 '!$L$11*(J606^3)+'CAFCO 400 '!$L$12*(J606^2)+'CAFCO 400 '!$L$13*J606+'CAFCO 400 '!$L$14)*U606)+('CAFCO 400 '!$L$15*LN(J606)+'CAFCO 400 '!$L$16)),0)+IF(AND(L606="Cafco 400",M606="Software Idiem",C606="L"),((('CAFCO 400 '!$L$7*(J606^3)+'CAFCO 400 '!$L$8*(J606^2)+'CAFCO 400 '!$L$9*J606+'CAFCO 400 '!$L$10)*U606^2)+(('CAFCO 400 '!$L$11*(J606^3)+'CAFCO 400 '!$L$12*(J606^2)+'CAFCO 400 '!$L$13*J606+'CAFCO 400 '!$L$14)*U606)+('CAFCO 400 '!$L$15*LN(J606)+'CAFCO 400 '!$L$16)),0)+IF(AND(L606="Cafco 400",M606="Software Idiem",C606="IN",G606=3),((('CAFCO 400 '!$D$23*(J606^2)+'CAFCO 400 '!$D$24*(J606)+'CAFCO 400 '!$D$25)*U606^2)+(('CAFCO 400 '!$D$26*(J606^2)+'CAFCO 400 '!$D$27*J606+'CAFCO 400 '!$D$28)*U606)+('CAFCO 400 '!$D$29*(J606^2)+'CAFCO 400 '!$D$30*J606+'CAFCO 400 '!$D$31)),0),0)+IF(AND(L606="Cafco 300",J606&gt;=95,J606&lt;=240,C606="Cj",I606=90),VLOOKUP(T606,'CAFCO 300 IDIEM TABLAS'!$B$4:$D$23,2,FALSE),0)+IF(AND(L606="Cafco 300",J606&gt;=95,J606&lt;=240,C606="Cj",I606=120),VLOOKUP(T606,'CAFCO 300 IDIEM TABLAS'!$B$4:$D$23,3,FALSE),0)+IF(AND(L606="Cafco 300",J606&gt;=95,J606&lt;=400,G606=3,C606="IN",I606=90),VLOOKUP(T606,'CAFCO 300 IDIEM TABLAS'!$F$4:$H$35,2,FALSE),0)+IF(AND(L606="Cafco 300",J606&gt;=95,J606&lt;=400,G606=3,C606="IN",I606=120),VLOOKUP(T606,'CAFCO 300 IDIEM TABLAS'!$F$4:$H$35,3,FALSE),0)+IF(AND(L606="Cafco 300",J606&gt;=95,J606&lt;=450,G606=4,C606="IN",I606=90),VLOOKUP(T606,'CAFCO 300 IDIEM TABLAS'!$J$4:$L$40,2,FALSE),0)+IF(AND(L606="Cafco 300",J606&gt;=95,J606&lt;=450,G606=4,C606="IN",I606=120),VLOOKUP(T606,'CAFCO 300 IDIEM TABLAS'!$J$4:$L$40,3,FALSE),0)+IF(AND(M606="Ensayo Idiem",L606="Cafco 400",C606="IN",G606=4,I606=90),VLOOKUP(T606,'CAFCO 400 ENSAYO'!$B$7:$D$43,2,FALSE),0)+IF(AND(M606="Ensayo Idiem",L606="Cafco 400",C606="IN",G606=4,I606=120),VLOOKUP(T606,'CAFCO 400 ENSAYO'!$B$7:$D$43,3,FALSE),0)</f>
        <v>0</v>
      </c>
      <c r="O606" s="96">
        <f t="shared" si="66"/>
        <v>0</v>
      </c>
      <c r="P606" s="95" t="str">
        <f t="shared" si="61"/>
        <v>N/A</v>
      </c>
      <c r="Q606" s="95" t="str">
        <f t="shared" si="62"/>
        <v>N/A</v>
      </c>
      <c r="R606" s="95" t="str">
        <f t="shared" si="63"/>
        <v>NO CERT.</v>
      </c>
      <c r="S606" s="95" t="e">
        <f t="shared" si="64"/>
        <v>#N/A</v>
      </c>
      <c r="T606" s="119" t="e">
        <f>+IF(J606=LOOKUP(J606,'CAFCO 300 IDIEM TABLAS'!$J$4:$J$40),'CALCULO MORTERO'!J606,MROUND('CALCULO MORTERO'!J606,10))</f>
        <v>#N/A</v>
      </c>
      <c r="U606" s="118">
        <f t="shared" si="65"/>
        <v>0</v>
      </c>
      <c r="Y606" s="4"/>
      <c r="Z606" s="4"/>
      <c r="AA606" s="4"/>
    </row>
    <row r="607" spans="1:27" x14ac:dyDescent="0.25">
      <c r="A607" s="118">
        <f>+CUBICACION!D601</f>
        <v>0</v>
      </c>
      <c r="B607" s="819">
        <f>+CUBICACION!E601</f>
        <v>0</v>
      </c>
      <c r="C607" s="675">
        <f>+CUBICACION!F601</f>
        <v>0</v>
      </c>
      <c r="D607" s="118"/>
      <c r="E607" s="118"/>
      <c r="F607" s="820"/>
      <c r="G607" s="675">
        <f>+CUBICACION!J601</f>
        <v>0</v>
      </c>
      <c r="H607" s="118"/>
      <c r="I607" s="821">
        <f>+CUBICACION!L601</f>
        <v>0</v>
      </c>
      <c r="J607" s="64">
        <f>+CUBICACION!M601</f>
        <v>0</v>
      </c>
      <c r="K607" s="822" t="str">
        <f>+CUBICACION!N601</f>
        <v/>
      </c>
      <c r="L607" s="118">
        <f>+CUBICACION!O601</f>
        <v>0</v>
      </c>
      <c r="M607" s="823">
        <f>+CUBICACION!P601</f>
        <v>0</v>
      </c>
      <c r="N607" s="902">
        <f>ROUND(IF(AND(L607="Blaze Shield II",M607="Software Idiem",C607="IN",G607=4),((('BLAZE SHIELD II'!$D$4*('CALCULO MORTERO'!I607^2)+'BLAZE SHIELD II'!$D$5*'CALCULO MORTERO'!I607+'BLAZE SHIELD II'!$D$6)*LN(J607))+('BLAZE SHIELD II'!$D$7*('CALCULO MORTERO'!I607^2)+'BLAZE SHIELD II'!$D$8*'CALCULO MORTERO'!I607+'BLAZE SHIELD II'!$D$9)),0)+IF(AND(L607="Blaze Shield II",M607="Software Idiem",C607="Cj"),((('BLAZE SHIELD II'!$H$4*('CALCULO MORTERO'!I607^2)+'BLAZE SHIELD II'!$H$5*'CALCULO MORTERO'!I607+'BLAZE SHIELD II'!$H$6)*LN(J607))+('BLAZE SHIELD II'!$H$7*('CALCULO MORTERO'!I607^2)+'BLAZE SHIELD II'!$H$8*'CALCULO MORTERO'!I607+'BLAZE SHIELD II'!$H$9)),0)+IF(AND(L607="Blaze Shield II",M607="Software Idiem",C607="C"),((('BLAZE SHIELD II'!$L$4*('CALCULO MORTERO'!I607^2)+'BLAZE SHIELD II'!$L$5*'CALCULO MORTERO'!I607+'BLAZE SHIELD II'!$L$6)*LN(J607))+('BLAZE SHIELD II'!$L$7*('CALCULO MORTERO'!I607^2)+'BLAZE SHIELD II'!$L$8*'CALCULO MORTERO'!I607+'BLAZE SHIELD II'!$L$9)),0)+IF(AND(L607="Blaze Shield II",M607="Software Idiem",C607="L"),((('BLAZE SHIELD II'!$L$4*('CALCULO MORTERO'!I607^2)+'BLAZE SHIELD II'!$L$5*'CALCULO MORTERO'!I607+'BLAZE SHIELD II'!$L$6)*LN(J607))+('BLAZE SHIELD II'!$L$7*('CALCULO MORTERO'!I607^2)+'BLAZE SHIELD II'!$L$8*'CALCULO MORTERO'!I607+'BLAZE SHIELD II'!$L$9)),0)+IF(AND(L607="Blaze Shield II",M607="Software Idiem",C607="IN",G607=3),((('BLAZE SHIELD II'!$H$14*('CALCULO MORTERO'!I607^2)+'BLAZE SHIELD II'!$H$15*'CALCULO MORTERO'!I607+'BLAZE SHIELD II'!$H$16)*LN(J607))+('BLAZE SHIELD II'!$H$17*('CALCULO MORTERO'!I607^2)+'BLAZE SHIELD II'!$H$18*'CALCULO MORTERO'!I607+'BLAZE SHIELD II'!$H$19)),0),0)+ROUND(IF(AND(L607="Cafco 400",M607="Software Idiem",C607="IN",G607=4),((('CAFCO 400 '!$H$7*(J607^4)+'CAFCO 400 '!$H$8*(J607^3)+'CAFCO 400 '!$H$9*(J607^2)+'CAFCO 400 '!$H$10*J607+'CAFCO 400 '!$H$11)*U607^2)+(('CAFCO 400 '!$H$12*(J607^3)+'CAFCO 400 '!$H$13*(J607^2)+'CAFCO 400 '!$H$14*J607+'CAFCO 400 '!$H$15)*U607)+('CAFCO 400 '!$H$16*(J607^2)+'CAFCO 400 '!$H$17*J607+'CAFCO 400 '!$H$18)),0)+IF(AND(L607="Cafco 400",M607="Software Idiem",C607="Cj"),(((('CAFCO 400 '!$D$7*LN(J607)+'CAFCO 400 '!$D$8)*U607^2)+(('CAFCO 400 '!$D$9*LN(J607)+'CAFCO 400 '!$D$10)*U607)+('CAFCO 400 '!$D$11*LN(J607)+'CAFCO 400 '!$D$12))),0)+IF(AND(L607="Cafco 400",M607="Software Idiem",C607="C"),((('CAFCO 400 '!$L$7*(J607^3)+'CAFCO 400 '!$L$8*(J607^2)+'CAFCO 400 '!$L$9*J607+'CAFCO 400 '!$L$10)*U607^2)+(('CAFCO 400 '!$L$11*(J607^3)+'CAFCO 400 '!$L$12*(J607^2)+'CAFCO 400 '!$L$13*J607+'CAFCO 400 '!$L$14)*U607)+('CAFCO 400 '!$L$15*LN(J607)+'CAFCO 400 '!$L$16)),0)+IF(AND(L607="Cafco 400",M607="Software Idiem",C607="L"),((('CAFCO 400 '!$L$7*(J607^3)+'CAFCO 400 '!$L$8*(J607^2)+'CAFCO 400 '!$L$9*J607+'CAFCO 400 '!$L$10)*U607^2)+(('CAFCO 400 '!$L$11*(J607^3)+'CAFCO 400 '!$L$12*(J607^2)+'CAFCO 400 '!$L$13*J607+'CAFCO 400 '!$L$14)*U607)+('CAFCO 400 '!$L$15*LN(J607)+'CAFCO 400 '!$L$16)),0)+IF(AND(L607="Cafco 400",M607="Software Idiem",C607="IN",G607=3),((('CAFCO 400 '!$D$23*(J607^2)+'CAFCO 400 '!$D$24*(J607)+'CAFCO 400 '!$D$25)*U607^2)+(('CAFCO 400 '!$D$26*(J607^2)+'CAFCO 400 '!$D$27*J607+'CAFCO 400 '!$D$28)*U607)+('CAFCO 400 '!$D$29*(J607^2)+'CAFCO 400 '!$D$30*J607+'CAFCO 400 '!$D$31)),0),0)+IF(AND(L607="Cafco 300",J607&gt;=95,J607&lt;=240,C607="Cj",I607=90),VLOOKUP(T607,'CAFCO 300 IDIEM TABLAS'!$B$4:$D$23,2,FALSE),0)+IF(AND(L607="Cafco 300",J607&gt;=95,J607&lt;=240,C607="Cj",I607=120),VLOOKUP(T607,'CAFCO 300 IDIEM TABLAS'!$B$4:$D$23,3,FALSE),0)+IF(AND(L607="Cafco 300",J607&gt;=95,J607&lt;=400,G607=3,C607="IN",I607=90),VLOOKUP(T607,'CAFCO 300 IDIEM TABLAS'!$F$4:$H$35,2,FALSE),0)+IF(AND(L607="Cafco 300",J607&gt;=95,J607&lt;=400,G607=3,C607="IN",I607=120),VLOOKUP(T607,'CAFCO 300 IDIEM TABLAS'!$F$4:$H$35,3,FALSE),0)+IF(AND(L607="Cafco 300",J607&gt;=95,J607&lt;=450,G607=4,C607="IN",I607=90),VLOOKUP(T607,'CAFCO 300 IDIEM TABLAS'!$J$4:$L$40,2,FALSE),0)+IF(AND(L607="Cafco 300",J607&gt;=95,J607&lt;=450,G607=4,C607="IN",I607=120),VLOOKUP(T607,'CAFCO 300 IDIEM TABLAS'!$J$4:$L$40,3,FALSE),0)+IF(AND(M607="Ensayo Idiem",L607="Cafco 400",C607="IN",G607=4,I607=90),VLOOKUP(T607,'CAFCO 400 ENSAYO'!$B$7:$D$43,2,FALSE),0)+IF(AND(M607="Ensayo Idiem",L607="Cafco 400",C607="IN",G607=4,I607=120),VLOOKUP(T607,'CAFCO 400 ENSAYO'!$B$7:$D$43,3,FALSE),0)</f>
        <v>0</v>
      </c>
      <c r="O607" s="96">
        <f t="shared" si="66"/>
        <v>0</v>
      </c>
      <c r="P607" s="132" t="str">
        <f t="shared" si="61"/>
        <v>N/A</v>
      </c>
      <c r="Q607" s="132" t="str">
        <f t="shared" si="62"/>
        <v>N/A</v>
      </c>
      <c r="R607" s="132" t="str">
        <f t="shared" si="63"/>
        <v>NO CERT.</v>
      </c>
      <c r="S607" s="132" t="e">
        <f t="shared" si="64"/>
        <v>#N/A</v>
      </c>
      <c r="T607" s="133" t="e">
        <f>+IF(J607=LOOKUP(J607,'CAFCO 300 IDIEM TABLAS'!$J$4:$J$40),'CALCULO MORTERO'!J607,MROUND('CALCULO MORTERO'!J607,10))</f>
        <v>#N/A</v>
      </c>
      <c r="U607" s="134">
        <f t="shared" si="65"/>
        <v>0</v>
      </c>
      <c r="Y607" s="4"/>
      <c r="Z607" s="4"/>
      <c r="AA607" s="4"/>
    </row>
    <row r="608" spans="1:27" x14ac:dyDescent="0.25">
      <c r="A608" s="118">
        <f>+CUBICACION!D602</f>
        <v>0</v>
      </c>
      <c r="B608" s="819">
        <f>+CUBICACION!E602</f>
        <v>0</v>
      </c>
      <c r="C608" s="675">
        <f>+CUBICACION!F602</f>
        <v>0</v>
      </c>
      <c r="D608" s="118"/>
      <c r="E608" s="118"/>
      <c r="F608" s="820"/>
      <c r="G608" s="675">
        <f>+CUBICACION!J602</f>
        <v>0</v>
      </c>
      <c r="H608" s="118"/>
      <c r="I608" s="821">
        <f>+CUBICACION!L602</f>
        <v>0</v>
      </c>
      <c r="J608" s="64">
        <f>+CUBICACION!M602</f>
        <v>0</v>
      </c>
      <c r="K608" s="822" t="str">
        <f>+CUBICACION!N602</f>
        <v/>
      </c>
      <c r="L608" s="118">
        <f>+CUBICACION!O602</f>
        <v>0</v>
      </c>
      <c r="M608" s="823">
        <f>+CUBICACION!P602</f>
        <v>0</v>
      </c>
      <c r="N608" s="902">
        <f>ROUND(IF(AND(L608="Blaze Shield II",M608="Software Idiem",C608="IN",G608=4),((('BLAZE SHIELD II'!$D$4*('CALCULO MORTERO'!I608^2)+'BLAZE SHIELD II'!$D$5*'CALCULO MORTERO'!I608+'BLAZE SHIELD II'!$D$6)*LN(J608))+('BLAZE SHIELD II'!$D$7*('CALCULO MORTERO'!I608^2)+'BLAZE SHIELD II'!$D$8*'CALCULO MORTERO'!I608+'BLAZE SHIELD II'!$D$9)),0)+IF(AND(L608="Blaze Shield II",M608="Software Idiem",C608="Cj"),((('BLAZE SHIELD II'!$H$4*('CALCULO MORTERO'!I608^2)+'BLAZE SHIELD II'!$H$5*'CALCULO MORTERO'!I608+'BLAZE SHIELD II'!$H$6)*LN(J608))+('BLAZE SHIELD II'!$H$7*('CALCULO MORTERO'!I608^2)+'BLAZE SHIELD II'!$H$8*'CALCULO MORTERO'!I608+'BLAZE SHIELD II'!$H$9)),0)+IF(AND(L608="Blaze Shield II",M608="Software Idiem",C608="C"),((('BLAZE SHIELD II'!$L$4*('CALCULO MORTERO'!I608^2)+'BLAZE SHIELD II'!$L$5*'CALCULO MORTERO'!I608+'BLAZE SHIELD II'!$L$6)*LN(J608))+('BLAZE SHIELD II'!$L$7*('CALCULO MORTERO'!I608^2)+'BLAZE SHIELD II'!$L$8*'CALCULO MORTERO'!I608+'BLAZE SHIELD II'!$L$9)),0)+IF(AND(L608="Blaze Shield II",M608="Software Idiem",C608="L"),((('BLAZE SHIELD II'!$L$4*('CALCULO MORTERO'!I608^2)+'BLAZE SHIELD II'!$L$5*'CALCULO MORTERO'!I608+'BLAZE SHIELD II'!$L$6)*LN(J608))+('BLAZE SHIELD II'!$L$7*('CALCULO MORTERO'!I608^2)+'BLAZE SHIELD II'!$L$8*'CALCULO MORTERO'!I608+'BLAZE SHIELD II'!$L$9)),0)+IF(AND(L608="Blaze Shield II",M608="Software Idiem",C608="IN",G608=3),((('BLAZE SHIELD II'!$H$14*('CALCULO MORTERO'!I608^2)+'BLAZE SHIELD II'!$H$15*'CALCULO MORTERO'!I608+'BLAZE SHIELD II'!$H$16)*LN(J608))+('BLAZE SHIELD II'!$H$17*('CALCULO MORTERO'!I608^2)+'BLAZE SHIELD II'!$H$18*'CALCULO MORTERO'!I608+'BLAZE SHIELD II'!$H$19)),0),0)+ROUND(IF(AND(L608="Cafco 400",M608="Software Idiem",C608="IN",G608=4),((('CAFCO 400 '!$H$7*(J608^4)+'CAFCO 400 '!$H$8*(J608^3)+'CAFCO 400 '!$H$9*(J608^2)+'CAFCO 400 '!$H$10*J608+'CAFCO 400 '!$H$11)*U608^2)+(('CAFCO 400 '!$H$12*(J608^3)+'CAFCO 400 '!$H$13*(J608^2)+'CAFCO 400 '!$H$14*J608+'CAFCO 400 '!$H$15)*U608)+('CAFCO 400 '!$H$16*(J608^2)+'CAFCO 400 '!$H$17*J608+'CAFCO 400 '!$H$18)),0)+IF(AND(L608="Cafco 400",M608="Software Idiem",C608="Cj"),(((('CAFCO 400 '!$D$7*LN(J608)+'CAFCO 400 '!$D$8)*U608^2)+(('CAFCO 400 '!$D$9*LN(J608)+'CAFCO 400 '!$D$10)*U608)+('CAFCO 400 '!$D$11*LN(J608)+'CAFCO 400 '!$D$12))),0)+IF(AND(L608="Cafco 400",M608="Software Idiem",C608="C"),((('CAFCO 400 '!$L$7*(J608^3)+'CAFCO 400 '!$L$8*(J608^2)+'CAFCO 400 '!$L$9*J608+'CAFCO 400 '!$L$10)*U608^2)+(('CAFCO 400 '!$L$11*(J608^3)+'CAFCO 400 '!$L$12*(J608^2)+'CAFCO 400 '!$L$13*J608+'CAFCO 400 '!$L$14)*U608)+('CAFCO 400 '!$L$15*LN(J608)+'CAFCO 400 '!$L$16)),0)+IF(AND(L608="Cafco 400",M608="Software Idiem",C608="L"),((('CAFCO 400 '!$L$7*(J608^3)+'CAFCO 400 '!$L$8*(J608^2)+'CAFCO 400 '!$L$9*J608+'CAFCO 400 '!$L$10)*U608^2)+(('CAFCO 400 '!$L$11*(J608^3)+'CAFCO 400 '!$L$12*(J608^2)+'CAFCO 400 '!$L$13*J608+'CAFCO 400 '!$L$14)*U608)+('CAFCO 400 '!$L$15*LN(J608)+'CAFCO 400 '!$L$16)),0)+IF(AND(L608="Cafco 400",M608="Software Idiem",C608="IN",G608=3),((('CAFCO 400 '!$D$23*(J608^2)+'CAFCO 400 '!$D$24*(J608)+'CAFCO 400 '!$D$25)*U608^2)+(('CAFCO 400 '!$D$26*(J608^2)+'CAFCO 400 '!$D$27*J608+'CAFCO 400 '!$D$28)*U608)+('CAFCO 400 '!$D$29*(J608^2)+'CAFCO 400 '!$D$30*J608+'CAFCO 400 '!$D$31)),0),0)+IF(AND(L608="Cafco 300",J608&gt;=95,J608&lt;=240,C608="Cj",I608=90),VLOOKUP(T608,'CAFCO 300 IDIEM TABLAS'!$B$4:$D$23,2,FALSE),0)+IF(AND(L608="Cafco 300",J608&gt;=95,J608&lt;=240,C608="Cj",I608=120),VLOOKUP(T608,'CAFCO 300 IDIEM TABLAS'!$B$4:$D$23,3,FALSE),0)+IF(AND(L608="Cafco 300",J608&gt;=95,J608&lt;=400,G608=3,C608="IN",I608=90),VLOOKUP(T608,'CAFCO 300 IDIEM TABLAS'!$F$4:$H$35,2,FALSE),0)+IF(AND(L608="Cafco 300",J608&gt;=95,J608&lt;=400,G608=3,C608="IN",I608=120),VLOOKUP(T608,'CAFCO 300 IDIEM TABLAS'!$F$4:$H$35,3,FALSE),0)+IF(AND(L608="Cafco 300",J608&gt;=95,J608&lt;=450,G608=4,C608="IN",I608=90),VLOOKUP(T608,'CAFCO 300 IDIEM TABLAS'!$J$4:$L$40,2,FALSE),0)+IF(AND(L608="Cafco 300",J608&gt;=95,J608&lt;=450,G608=4,C608="IN",I608=120),VLOOKUP(T608,'CAFCO 300 IDIEM TABLAS'!$J$4:$L$40,3,FALSE),0)+IF(AND(M608="Ensayo Idiem",L608="Cafco 400",C608="IN",G608=4,I608=90),VLOOKUP(T608,'CAFCO 400 ENSAYO'!$B$7:$D$43,2,FALSE),0)+IF(AND(M608="Ensayo Idiem",L608="Cafco 400",C608="IN",G608=4,I608=120),VLOOKUP(T608,'CAFCO 400 ENSAYO'!$B$7:$D$43,3,FALSE),0)</f>
        <v>0</v>
      </c>
      <c r="O608" s="96">
        <f t="shared" si="66"/>
        <v>0</v>
      </c>
      <c r="P608" s="95" t="str">
        <f t="shared" si="61"/>
        <v>N/A</v>
      </c>
      <c r="Q608" s="95" t="str">
        <f t="shared" si="62"/>
        <v>N/A</v>
      </c>
      <c r="R608" s="95" t="str">
        <f t="shared" si="63"/>
        <v>NO CERT.</v>
      </c>
      <c r="S608" s="95" t="e">
        <f t="shared" si="64"/>
        <v>#N/A</v>
      </c>
      <c r="T608" s="119" t="e">
        <f>+IF(J608=LOOKUP(J608,'CAFCO 300 IDIEM TABLAS'!$J$4:$J$40),'CALCULO MORTERO'!J608,MROUND('CALCULO MORTERO'!J608,10))</f>
        <v>#N/A</v>
      </c>
      <c r="U608" s="118">
        <f t="shared" si="65"/>
        <v>0</v>
      </c>
      <c r="Y608" s="4"/>
      <c r="Z608" s="4"/>
      <c r="AA608" s="4"/>
    </row>
    <row r="609" spans="1:27" x14ac:dyDescent="0.25">
      <c r="A609" s="118">
        <f>+CUBICACION!D603</f>
        <v>0</v>
      </c>
      <c r="B609" s="819">
        <f>+CUBICACION!E603</f>
        <v>0</v>
      </c>
      <c r="C609" s="675">
        <f>+CUBICACION!F603</f>
        <v>0</v>
      </c>
      <c r="D609" s="118"/>
      <c r="E609" s="118"/>
      <c r="F609" s="820"/>
      <c r="G609" s="675">
        <f>+CUBICACION!J603</f>
        <v>0</v>
      </c>
      <c r="H609" s="118"/>
      <c r="I609" s="821">
        <f>+CUBICACION!L603</f>
        <v>0</v>
      </c>
      <c r="J609" s="64">
        <f>+CUBICACION!M603</f>
        <v>0</v>
      </c>
      <c r="K609" s="822" t="str">
        <f>+CUBICACION!N603</f>
        <v/>
      </c>
      <c r="L609" s="118">
        <f>+CUBICACION!O603</f>
        <v>0</v>
      </c>
      <c r="M609" s="823">
        <f>+CUBICACION!P603</f>
        <v>0</v>
      </c>
      <c r="N609" s="902">
        <f>ROUND(IF(AND(L609="Blaze Shield II",M609="Software Idiem",C609="IN",G609=4),((('BLAZE SHIELD II'!$D$4*('CALCULO MORTERO'!I609^2)+'BLAZE SHIELD II'!$D$5*'CALCULO MORTERO'!I609+'BLAZE SHIELD II'!$D$6)*LN(J609))+('BLAZE SHIELD II'!$D$7*('CALCULO MORTERO'!I609^2)+'BLAZE SHIELD II'!$D$8*'CALCULO MORTERO'!I609+'BLAZE SHIELD II'!$D$9)),0)+IF(AND(L609="Blaze Shield II",M609="Software Idiem",C609="Cj"),((('BLAZE SHIELD II'!$H$4*('CALCULO MORTERO'!I609^2)+'BLAZE SHIELD II'!$H$5*'CALCULO MORTERO'!I609+'BLAZE SHIELD II'!$H$6)*LN(J609))+('BLAZE SHIELD II'!$H$7*('CALCULO MORTERO'!I609^2)+'BLAZE SHIELD II'!$H$8*'CALCULO MORTERO'!I609+'BLAZE SHIELD II'!$H$9)),0)+IF(AND(L609="Blaze Shield II",M609="Software Idiem",C609="C"),((('BLAZE SHIELD II'!$L$4*('CALCULO MORTERO'!I609^2)+'BLAZE SHIELD II'!$L$5*'CALCULO MORTERO'!I609+'BLAZE SHIELD II'!$L$6)*LN(J609))+('BLAZE SHIELD II'!$L$7*('CALCULO MORTERO'!I609^2)+'BLAZE SHIELD II'!$L$8*'CALCULO MORTERO'!I609+'BLAZE SHIELD II'!$L$9)),0)+IF(AND(L609="Blaze Shield II",M609="Software Idiem",C609="L"),((('BLAZE SHIELD II'!$L$4*('CALCULO MORTERO'!I609^2)+'BLAZE SHIELD II'!$L$5*'CALCULO MORTERO'!I609+'BLAZE SHIELD II'!$L$6)*LN(J609))+('BLAZE SHIELD II'!$L$7*('CALCULO MORTERO'!I609^2)+'BLAZE SHIELD II'!$L$8*'CALCULO MORTERO'!I609+'BLAZE SHIELD II'!$L$9)),0)+IF(AND(L609="Blaze Shield II",M609="Software Idiem",C609="IN",G609=3),((('BLAZE SHIELD II'!$H$14*('CALCULO MORTERO'!I609^2)+'BLAZE SHIELD II'!$H$15*'CALCULO MORTERO'!I609+'BLAZE SHIELD II'!$H$16)*LN(J609))+('BLAZE SHIELD II'!$H$17*('CALCULO MORTERO'!I609^2)+'BLAZE SHIELD II'!$H$18*'CALCULO MORTERO'!I609+'BLAZE SHIELD II'!$H$19)),0),0)+ROUND(IF(AND(L609="Cafco 400",M609="Software Idiem",C609="IN",G609=4),((('CAFCO 400 '!$H$7*(J609^4)+'CAFCO 400 '!$H$8*(J609^3)+'CAFCO 400 '!$H$9*(J609^2)+'CAFCO 400 '!$H$10*J609+'CAFCO 400 '!$H$11)*U609^2)+(('CAFCO 400 '!$H$12*(J609^3)+'CAFCO 400 '!$H$13*(J609^2)+'CAFCO 400 '!$H$14*J609+'CAFCO 400 '!$H$15)*U609)+('CAFCO 400 '!$H$16*(J609^2)+'CAFCO 400 '!$H$17*J609+'CAFCO 400 '!$H$18)),0)+IF(AND(L609="Cafco 400",M609="Software Idiem",C609="Cj"),(((('CAFCO 400 '!$D$7*LN(J609)+'CAFCO 400 '!$D$8)*U609^2)+(('CAFCO 400 '!$D$9*LN(J609)+'CAFCO 400 '!$D$10)*U609)+('CAFCO 400 '!$D$11*LN(J609)+'CAFCO 400 '!$D$12))),0)+IF(AND(L609="Cafco 400",M609="Software Idiem",C609="C"),((('CAFCO 400 '!$L$7*(J609^3)+'CAFCO 400 '!$L$8*(J609^2)+'CAFCO 400 '!$L$9*J609+'CAFCO 400 '!$L$10)*U609^2)+(('CAFCO 400 '!$L$11*(J609^3)+'CAFCO 400 '!$L$12*(J609^2)+'CAFCO 400 '!$L$13*J609+'CAFCO 400 '!$L$14)*U609)+('CAFCO 400 '!$L$15*LN(J609)+'CAFCO 400 '!$L$16)),0)+IF(AND(L609="Cafco 400",M609="Software Idiem",C609="L"),((('CAFCO 400 '!$L$7*(J609^3)+'CAFCO 400 '!$L$8*(J609^2)+'CAFCO 400 '!$L$9*J609+'CAFCO 400 '!$L$10)*U609^2)+(('CAFCO 400 '!$L$11*(J609^3)+'CAFCO 400 '!$L$12*(J609^2)+'CAFCO 400 '!$L$13*J609+'CAFCO 400 '!$L$14)*U609)+('CAFCO 400 '!$L$15*LN(J609)+'CAFCO 400 '!$L$16)),0)+IF(AND(L609="Cafco 400",M609="Software Idiem",C609="IN",G609=3),((('CAFCO 400 '!$D$23*(J609^2)+'CAFCO 400 '!$D$24*(J609)+'CAFCO 400 '!$D$25)*U609^2)+(('CAFCO 400 '!$D$26*(J609^2)+'CAFCO 400 '!$D$27*J609+'CAFCO 400 '!$D$28)*U609)+('CAFCO 400 '!$D$29*(J609^2)+'CAFCO 400 '!$D$30*J609+'CAFCO 400 '!$D$31)),0),0)+IF(AND(L609="Cafco 300",J609&gt;=95,J609&lt;=240,C609="Cj",I609=90),VLOOKUP(T609,'CAFCO 300 IDIEM TABLAS'!$B$4:$D$23,2,FALSE),0)+IF(AND(L609="Cafco 300",J609&gt;=95,J609&lt;=240,C609="Cj",I609=120),VLOOKUP(T609,'CAFCO 300 IDIEM TABLAS'!$B$4:$D$23,3,FALSE),0)+IF(AND(L609="Cafco 300",J609&gt;=95,J609&lt;=400,G609=3,C609="IN",I609=90),VLOOKUP(T609,'CAFCO 300 IDIEM TABLAS'!$F$4:$H$35,2,FALSE),0)+IF(AND(L609="Cafco 300",J609&gt;=95,J609&lt;=400,G609=3,C609="IN",I609=120),VLOOKUP(T609,'CAFCO 300 IDIEM TABLAS'!$F$4:$H$35,3,FALSE),0)+IF(AND(L609="Cafco 300",J609&gt;=95,J609&lt;=450,G609=4,C609="IN",I609=90),VLOOKUP(T609,'CAFCO 300 IDIEM TABLAS'!$J$4:$L$40,2,FALSE),0)+IF(AND(L609="Cafco 300",J609&gt;=95,J609&lt;=450,G609=4,C609="IN",I609=120),VLOOKUP(T609,'CAFCO 300 IDIEM TABLAS'!$J$4:$L$40,3,FALSE),0)+IF(AND(M609="Ensayo Idiem",L609="Cafco 400",C609="IN",G609=4,I609=90),VLOOKUP(T609,'CAFCO 400 ENSAYO'!$B$7:$D$43,2,FALSE),0)+IF(AND(M609="Ensayo Idiem",L609="Cafco 400",C609="IN",G609=4,I609=120),VLOOKUP(T609,'CAFCO 400 ENSAYO'!$B$7:$D$43,3,FALSE),0)</f>
        <v>0</v>
      </c>
      <c r="O609" s="96">
        <f t="shared" si="66"/>
        <v>0</v>
      </c>
      <c r="P609" s="132" t="str">
        <f t="shared" si="61"/>
        <v>N/A</v>
      </c>
      <c r="Q609" s="132" t="str">
        <f t="shared" si="62"/>
        <v>N/A</v>
      </c>
      <c r="R609" s="132" t="str">
        <f t="shared" si="63"/>
        <v>NO CERT.</v>
      </c>
      <c r="S609" s="132" t="e">
        <f t="shared" si="64"/>
        <v>#N/A</v>
      </c>
      <c r="T609" s="133" t="e">
        <f>+IF(J609=LOOKUP(J609,'CAFCO 300 IDIEM TABLAS'!$J$4:$J$40),'CALCULO MORTERO'!J609,MROUND('CALCULO MORTERO'!J609,10))</f>
        <v>#N/A</v>
      </c>
      <c r="U609" s="134">
        <f t="shared" si="65"/>
        <v>0</v>
      </c>
      <c r="Y609" s="4"/>
      <c r="Z609" s="4"/>
      <c r="AA609" s="4"/>
    </row>
    <row r="610" spans="1:27" x14ac:dyDescent="0.25">
      <c r="A610" s="118">
        <f>+CUBICACION!D604</f>
        <v>0</v>
      </c>
      <c r="B610" s="819">
        <f>+CUBICACION!E604</f>
        <v>0</v>
      </c>
      <c r="C610" s="675">
        <f>+CUBICACION!F604</f>
        <v>0</v>
      </c>
      <c r="D610" s="118"/>
      <c r="E610" s="118"/>
      <c r="F610" s="820"/>
      <c r="G610" s="675">
        <f>+CUBICACION!J604</f>
        <v>0</v>
      </c>
      <c r="H610" s="118"/>
      <c r="I610" s="821">
        <f>+CUBICACION!L604</f>
        <v>0</v>
      </c>
      <c r="J610" s="64">
        <f>+CUBICACION!M604</f>
        <v>0</v>
      </c>
      <c r="K610" s="822" t="str">
        <f>+CUBICACION!N604</f>
        <v/>
      </c>
      <c r="L610" s="118">
        <f>+CUBICACION!O604</f>
        <v>0</v>
      </c>
      <c r="M610" s="823">
        <f>+CUBICACION!P604</f>
        <v>0</v>
      </c>
      <c r="N610" s="902">
        <f>ROUND(IF(AND(L610="Blaze Shield II",M610="Software Idiem",C610="IN",G610=4),((('BLAZE SHIELD II'!$D$4*('CALCULO MORTERO'!I610^2)+'BLAZE SHIELD II'!$D$5*'CALCULO MORTERO'!I610+'BLAZE SHIELD II'!$D$6)*LN(J610))+('BLAZE SHIELD II'!$D$7*('CALCULO MORTERO'!I610^2)+'BLAZE SHIELD II'!$D$8*'CALCULO MORTERO'!I610+'BLAZE SHIELD II'!$D$9)),0)+IF(AND(L610="Blaze Shield II",M610="Software Idiem",C610="Cj"),((('BLAZE SHIELD II'!$H$4*('CALCULO MORTERO'!I610^2)+'BLAZE SHIELD II'!$H$5*'CALCULO MORTERO'!I610+'BLAZE SHIELD II'!$H$6)*LN(J610))+('BLAZE SHIELD II'!$H$7*('CALCULO MORTERO'!I610^2)+'BLAZE SHIELD II'!$H$8*'CALCULO MORTERO'!I610+'BLAZE SHIELD II'!$H$9)),0)+IF(AND(L610="Blaze Shield II",M610="Software Idiem",C610="C"),((('BLAZE SHIELD II'!$L$4*('CALCULO MORTERO'!I610^2)+'BLAZE SHIELD II'!$L$5*'CALCULO MORTERO'!I610+'BLAZE SHIELD II'!$L$6)*LN(J610))+('BLAZE SHIELD II'!$L$7*('CALCULO MORTERO'!I610^2)+'BLAZE SHIELD II'!$L$8*'CALCULO MORTERO'!I610+'BLAZE SHIELD II'!$L$9)),0)+IF(AND(L610="Blaze Shield II",M610="Software Idiem",C610="L"),((('BLAZE SHIELD II'!$L$4*('CALCULO MORTERO'!I610^2)+'BLAZE SHIELD II'!$L$5*'CALCULO MORTERO'!I610+'BLAZE SHIELD II'!$L$6)*LN(J610))+('BLAZE SHIELD II'!$L$7*('CALCULO MORTERO'!I610^2)+'BLAZE SHIELD II'!$L$8*'CALCULO MORTERO'!I610+'BLAZE SHIELD II'!$L$9)),0)+IF(AND(L610="Blaze Shield II",M610="Software Idiem",C610="IN",G610=3),((('BLAZE SHIELD II'!$H$14*('CALCULO MORTERO'!I610^2)+'BLAZE SHIELD II'!$H$15*'CALCULO MORTERO'!I610+'BLAZE SHIELD II'!$H$16)*LN(J610))+('BLAZE SHIELD II'!$H$17*('CALCULO MORTERO'!I610^2)+'BLAZE SHIELD II'!$H$18*'CALCULO MORTERO'!I610+'BLAZE SHIELD II'!$H$19)),0),0)+ROUND(IF(AND(L610="Cafco 400",M610="Software Idiem",C610="IN",G610=4),((('CAFCO 400 '!$H$7*(J610^4)+'CAFCO 400 '!$H$8*(J610^3)+'CAFCO 400 '!$H$9*(J610^2)+'CAFCO 400 '!$H$10*J610+'CAFCO 400 '!$H$11)*U610^2)+(('CAFCO 400 '!$H$12*(J610^3)+'CAFCO 400 '!$H$13*(J610^2)+'CAFCO 400 '!$H$14*J610+'CAFCO 400 '!$H$15)*U610)+('CAFCO 400 '!$H$16*(J610^2)+'CAFCO 400 '!$H$17*J610+'CAFCO 400 '!$H$18)),0)+IF(AND(L610="Cafco 400",M610="Software Idiem",C610="Cj"),(((('CAFCO 400 '!$D$7*LN(J610)+'CAFCO 400 '!$D$8)*U610^2)+(('CAFCO 400 '!$D$9*LN(J610)+'CAFCO 400 '!$D$10)*U610)+('CAFCO 400 '!$D$11*LN(J610)+'CAFCO 400 '!$D$12))),0)+IF(AND(L610="Cafco 400",M610="Software Idiem",C610="C"),((('CAFCO 400 '!$L$7*(J610^3)+'CAFCO 400 '!$L$8*(J610^2)+'CAFCO 400 '!$L$9*J610+'CAFCO 400 '!$L$10)*U610^2)+(('CAFCO 400 '!$L$11*(J610^3)+'CAFCO 400 '!$L$12*(J610^2)+'CAFCO 400 '!$L$13*J610+'CAFCO 400 '!$L$14)*U610)+('CAFCO 400 '!$L$15*LN(J610)+'CAFCO 400 '!$L$16)),0)+IF(AND(L610="Cafco 400",M610="Software Idiem",C610="L"),((('CAFCO 400 '!$L$7*(J610^3)+'CAFCO 400 '!$L$8*(J610^2)+'CAFCO 400 '!$L$9*J610+'CAFCO 400 '!$L$10)*U610^2)+(('CAFCO 400 '!$L$11*(J610^3)+'CAFCO 400 '!$L$12*(J610^2)+'CAFCO 400 '!$L$13*J610+'CAFCO 400 '!$L$14)*U610)+('CAFCO 400 '!$L$15*LN(J610)+'CAFCO 400 '!$L$16)),0)+IF(AND(L610="Cafco 400",M610="Software Idiem",C610="IN",G610=3),((('CAFCO 400 '!$D$23*(J610^2)+'CAFCO 400 '!$D$24*(J610)+'CAFCO 400 '!$D$25)*U610^2)+(('CAFCO 400 '!$D$26*(J610^2)+'CAFCO 400 '!$D$27*J610+'CAFCO 400 '!$D$28)*U610)+('CAFCO 400 '!$D$29*(J610^2)+'CAFCO 400 '!$D$30*J610+'CAFCO 400 '!$D$31)),0),0)+IF(AND(L610="Cafco 300",J610&gt;=95,J610&lt;=240,C610="Cj",I610=90),VLOOKUP(T610,'CAFCO 300 IDIEM TABLAS'!$B$4:$D$23,2,FALSE),0)+IF(AND(L610="Cafco 300",J610&gt;=95,J610&lt;=240,C610="Cj",I610=120),VLOOKUP(T610,'CAFCO 300 IDIEM TABLAS'!$B$4:$D$23,3,FALSE),0)+IF(AND(L610="Cafco 300",J610&gt;=95,J610&lt;=400,G610=3,C610="IN",I610=90),VLOOKUP(T610,'CAFCO 300 IDIEM TABLAS'!$F$4:$H$35,2,FALSE),0)+IF(AND(L610="Cafco 300",J610&gt;=95,J610&lt;=400,G610=3,C610="IN",I610=120),VLOOKUP(T610,'CAFCO 300 IDIEM TABLAS'!$F$4:$H$35,3,FALSE),0)+IF(AND(L610="Cafco 300",J610&gt;=95,J610&lt;=450,G610=4,C610="IN",I610=90),VLOOKUP(T610,'CAFCO 300 IDIEM TABLAS'!$J$4:$L$40,2,FALSE),0)+IF(AND(L610="Cafco 300",J610&gt;=95,J610&lt;=450,G610=4,C610="IN",I610=120),VLOOKUP(T610,'CAFCO 300 IDIEM TABLAS'!$J$4:$L$40,3,FALSE),0)+IF(AND(M610="Ensayo Idiem",L610="Cafco 400",C610="IN",G610=4,I610=90),VLOOKUP(T610,'CAFCO 400 ENSAYO'!$B$7:$D$43,2,FALSE),0)+IF(AND(M610="Ensayo Idiem",L610="Cafco 400",C610="IN",G610=4,I610=120),VLOOKUP(T610,'CAFCO 400 ENSAYO'!$B$7:$D$43,3,FALSE),0)</f>
        <v>0</v>
      </c>
      <c r="O610" s="96">
        <f t="shared" si="66"/>
        <v>0</v>
      </c>
      <c r="P610" s="95" t="str">
        <f t="shared" si="61"/>
        <v>N/A</v>
      </c>
      <c r="Q610" s="95" t="str">
        <f t="shared" si="62"/>
        <v>N/A</v>
      </c>
      <c r="R610" s="95" t="str">
        <f t="shared" si="63"/>
        <v>NO CERT.</v>
      </c>
      <c r="S610" s="95" t="e">
        <f t="shared" si="64"/>
        <v>#N/A</v>
      </c>
      <c r="T610" s="119" t="e">
        <f>+IF(J610=LOOKUP(J610,'CAFCO 300 IDIEM TABLAS'!$J$4:$J$40),'CALCULO MORTERO'!J610,MROUND('CALCULO MORTERO'!J610,10))</f>
        <v>#N/A</v>
      </c>
      <c r="U610" s="118">
        <f t="shared" si="65"/>
        <v>0</v>
      </c>
      <c r="Y610" s="4"/>
      <c r="Z610" s="4"/>
      <c r="AA610" s="4"/>
    </row>
    <row r="611" spans="1:27" x14ac:dyDescent="0.25">
      <c r="A611" s="118">
        <f>+CUBICACION!D605</f>
        <v>0</v>
      </c>
      <c r="B611" s="819">
        <f>+CUBICACION!E605</f>
        <v>0</v>
      </c>
      <c r="C611" s="675">
        <f>+CUBICACION!F605</f>
        <v>0</v>
      </c>
      <c r="D611" s="118"/>
      <c r="E611" s="118"/>
      <c r="F611" s="820"/>
      <c r="G611" s="675">
        <f>+CUBICACION!J605</f>
        <v>0</v>
      </c>
      <c r="H611" s="118"/>
      <c r="I611" s="821">
        <f>+CUBICACION!L605</f>
        <v>0</v>
      </c>
      <c r="J611" s="64">
        <f>+CUBICACION!M605</f>
        <v>0</v>
      </c>
      <c r="K611" s="822" t="str">
        <f>+CUBICACION!N605</f>
        <v/>
      </c>
      <c r="L611" s="118">
        <f>+CUBICACION!O605</f>
        <v>0</v>
      </c>
      <c r="M611" s="823">
        <f>+CUBICACION!P605</f>
        <v>0</v>
      </c>
      <c r="N611" s="902">
        <f>ROUND(IF(AND(L611="Blaze Shield II",M611="Software Idiem",C611="IN",G611=4),((('BLAZE SHIELD II'!$D$4*('CALCULO MORTERO'!I611^2)+'BLAZE SHIELD II'!$D$5*'CALCULO MORTERO'!I611+'BLAZE SHIELD II'!$D$6)*LN(J611))+('BLAZE SHIELD II'!$D$7*('CALCULO MORTERO'!I611^2)+'BLAZE SHIELD II'!$D$8*'CALCULO MORTERO'!I611+'BLAZE SHIELD II'!$D$9)),0)+IF(AND(L611="Blaze Shield II",M611="Software Idiem",C611="Cj"),((('BLAZE SHIELD II'!$H$4*('CALCULO MORTERO'!I611^2)+'BLAZE SHIELD II'!$H$5*'CALCULO MORTERO'!I611+'BLAZE SHIELD II'!$H$6)*LN(J611))+('BLAZE SHIELD II'!$H$7*('CALCULO MORTERO'!I611^2)+'BLAZE SHIELD II'!$H$8*'CALCULO MORTERO'!I611+'BLAZE SHIELD II'!$H$9)),0)+IF(AND(L611="Blaze Shield II",M611="Software Idiem",C611="C"),((('BLAZE SHIELD II'!$L$4*('CALCULO MORTERO'!I611^2)+'BLAZE SHIELD II'!$L$5*'CALCULO MORTERO'!I611+'BLAZE SHIELD II'!$L$6)*LN(J611))+('BLAZE SHIELD II'!$L$7*('CALCULO MORTERO'!I611^2)+'BLAZE SHIELD II'!$L$8*'CALCULO MORTERO'!I611+'BLAZE SHIELD II'!$L$9)),0)+IF(AND(L611="Blaze Shield II",M611="Software Idiem",C611="L"),((('BLAZE SHIELD II'!$L$4*('CALCULO MORTERO'!I611^2)+'BLAZE SHIELD II'!$L$5*'CALCULO MORTERO'!I611+'BLAZE SHIELD II'!$L$6)*LN(J611))+('BLAZE SHIELD II'!$L$7*('CALCULO MORTERO'!I611^2)+'BLAZE SHIELD II'!$L$8*'CALCULO MORTERO'!I611+'BLAZE SHIELD II'!$L$9)),0)+IF(AND(L611="Blaze Shield II",M611="Software Idiem",C611="IN",G611=3),((('BLAZE SHIELD II'!$H$14*('CALCULO MORTERO'!I611^2)+'BLAZE SHIELD II'!$H$15*'CALCULO MORTERO'!I611+'BLAZE SHIELD II'!$H$16)*LN(J611))+('BLAZE SHIELD II'!$H$17*('CALCULO MORTERO'!I611^2)+'BLAZE SHIELD II'!$H$18*'CALCULO MORTERO'!I611+'BLAZE SHIELD II'!$H$19)),0),0)+ROUND(IF(AND(L611="Cafco 400",M611="Software Idiem",C611="IN",G611=4),((('CAFCO 400 '!$H$7*(J611^4)+'CAFCO 400 '!$H$8*(J611^3)+'CAFCO 400 '!$H$9*(J611^2)+'CAFCO 400 '!$H$10*J611+'CAFCO 400 '!$H$11)*U611^2)+(('CAFCO 400 '!$H$12*(J611^3)+'CAFCO 400 '!$H$13*(J611^2)+'CAFCO 400 '!$H$14*J611+'CAFCO 400 '!$H$15)*U611)+('CAFCO 400 '!$H$16*(J611^2)+'CAFCO 400 '!$H$17*J611+'CAFCO 400 '!$H$18)),0)+IF(AND(L611="Cafco 400",M611="Software Idiem",C611="Cj"),(((('CAFCO 400 '!$D$7*LN(J611)+'CAFCO 400 '!$D$8)*U611^2)+(('CAFCO 400 '!$D$9*LN(J611)+'CAFCO 400 '!$D$10)*U611)+('CAFCO 400 '!$D$11*LN(J611)+'CAFCO 400 '!$D$12))),0)+IF(AND(L611="Cafco 400",M611="Software Idiem",C611="C"),((('CAFCO 400 '!$L$7*(J611^3)+'CAFCO 400 '!$L$8*(J611^2)+'CAFCO 400 '!$L$9*J611+'CAFCO 400 '!$L$10)*U611^2)+(('CAFCO 400 '!$L$11*(J611^3)+'CAFCO 400 '!$L$12*(J611^2)+'CAFCO 400 '!$L$13*J611+'CAFCO 400 '!$L$14)*U611)+('CAFCO 400 '!$L$15*LN(J611)+'CAFCO 400 '!$L$16)),0)+IF(AND(L611="Cafco 400",M611="Software Idiem",C611="L"),((('CAFCO 400 '!$L$7*(J611^3)+'CAFCO 400 '!$L$8*(J611^2)+'CAFCO 400 '!$L$9*J611+'CAFCO 400 '!$L$10)*U611^2)+(('CAFCO 400 '!$L$11*(J611^3)+'CAFCO 400 '!$L$12*(J611^2)+'CAFCO 400 '!$L$13*J611+'CAFCO 400 '!$L$14)*U611)+('CAFCO 400 '!$L$15*LN(J611)+'CAFCO 400 '!$L$16)),0)+IF(AND(L611="Cafco 400",M611="Software Idiem",C611="IN",G611=3),((('CAFCO 400 '!$D$23*(J611^2)+'CAFCO 400 '!$D$24*(J611)+'CAFCO 400 '!$D$25)*U611^2)+(('CAFCO 400 '!$D$26*(J611^2)+'CAFCO 400 '!$D$27*J611+'CAFCO 400 '!$D$28)*U611)+('CAFCO 400 '!$D$29*(J611^2)+'CAFCO 400 '!$D$30*J611+'CAFCO 400 '!$D$31)),0),0)+IF(AND(L611="Cafco 300",J611&gt;=95,J611&lt;=240,C611="Cj",I611=90),VLOOKUP(T611,'CAFCO 300 IDIEM TABLAS'!$B$4:$D$23,2,FALSE),0)+IF(AND(L611="Cafco 300",J611&gt;=95,J611&lt;=240,C611="Cj",I611=120),VLOOKUP(T611,'CAFCO 300 IDIEM TABLAS'!$B$4:$D$23,3,FALSE),0)+IF(AND(L611="Cafco 300",J611&gt;=95,J611&lt;=400,G611=3,C611="IN",I611=90),VLOOKUP(T611,'CAFCO 300 IDIEM TABLAS'!$F$4:$H$35,2,FALSE),0)+IF(AND(L611="Cafco 300",J611&gt;=95,J611&lt;=400,G611=3,C611="IN",I611=120),VLOOKUP(T611,'CAFCO 300 IDIEM TABLAS'!$F$4:$H$35,3,FALSE),0)+IF(AND(L611="Cafco 300",J611&gt;=95,J611&lt;=450,G611=4,C611="IN",I611=90),VLOOKUP(T611,'CAFCO 300 IDIEM TABLAS'!$J$4:$L$40,2,FALSE),0)+IF(AND(L611="Cafco 300",J611&gt;=95,J611&lt;=450,G611=4,C611="IN",I611=120),VLOOKUP(T611,'CAFCO 300 IDIEM TABLAS'!$J$4:$L$40,3,FALSE),0)+IF(AND(M611="Ensayo Idiem",L611="Cafco 400",C611="IN",G611=4,I611=90),VLOOKUP(T611,'CAFCO 400 ENSAYO'!$B$7:$D$43,2,FALSE),0)+IF(AND(M611="Ensayo Idiem",L611="Cafco 400",C611="IN",G611=4,I611=120),VLOOKUP(T611,'CAFCO 400 ENSAYO'!$B$7:$D$43,3,FALSE),0)</f>
        <v>0</v>
      </c>
      <c r="O611" s="96">
        <f t="shared" si="66"/>
        <v>0</v>
      </c>
      <c r="P611" s="132" t="str">
        <f t="shared" si="61"/>
        <v>N/A</v>
      </c>
      <c r="Q611" s="132" t="str">
        <f t="shared" si="62"/>
        <v>N/A</v>
      </c>
      <c r="R611" s="132" t="str">
        <f t="shared" si="63"/>
        <v>NO CERT.</v>
      </c>
      <c r="S611" s="132" t="e">
        <f t="shared" si="64"/>
        <v>#N/A</v>
      </c>
      <c r="T611" s="133" t="e">
        <f>+IF(J611=LOOKUP(J611,'CAFCO 300 IDIEM TABLAS'!$J$4:$J$40),'CALCULO MORTERO'!J611,MROUND('CALCULO MORTERO'!J611,10))</f>
        <v>#N/A</v>
      </c>
      <c r="U611" s="134">
        <f t="shared" si="65"/>
        <v>0</v>
      </c>
      <c r="Y611" s="4"/>
      <c r="Z611" s="4"/>
      <c r="AA611" s="4"/>
    </row>
    <row r="612" spans="1:27" x14ac:dyDescent="0.25">
      <c r="A612" s="118">
        <f>+CUBICACION!D606</f>
        <v>0</v>
      </c>
      <c r="B612" s="819">
        <f>+CUBICACION!E606</f>
        <v>0</v>
      </c>
      <c r="C612" s="675">
        <f>+CUBICACION!F606</f>
        <v>0</v>
      </c>
      <c r="D612" s="118"/>
      <c r="E612" s="118"/>
      <c r="F612" s="820"/>
      <c r="G612" s="675">
        <f>+CUBICACION!J606</f>
        <v>0</v>
      </c>
      <c r="H612" s="118"/>
      <c r="I612" s="821">
        <f>+CUBICACION!L606</f>
        <v>0</v>
      </c>
      <c r="J612" s="64">
        <f>+CUBICACION!M606</f>
        <v>0</v>
      </c>
      <c r="K612" s="822" t="str">
        <f>+CUBICACION!N606</f>
        <v/>
      </c>
      <c r="L612" s="118">
        <f>+CUBICACION!O606</f>
        <v>0</v>
      </c>
      <c r="M612" s="823">
        <f>+CUBICACION!P606</f>
        <v>0</v>
      </c>
      <c r="N612" s="902">
        <f>ROUND(IF(AND(L612="Blaze Shield II",M612="Software Idiem",C612="IN",G612=4),((('BLAZE SHIELD II'!$D$4*('CALCULO MORTERO'!I612^2)+'BLAZE SHIELD II'!$D$5*'CALCULO MORTERO'!I612+'BLAZE SHIELD II'!$D$6)*LN(J612))+('BLAZE SHIELD II'!$D$7*('CALCULO MORTERO'!I612^2)+'BLAZE SHIELD II'!$D$8*'CALCULO MORTERO'!I612+'BLAZE SHIELD II'!$D$9)),0)+IF(AND(L612="Blaze Shield II",M612="Software Idiem",C612="Cj"),((('BLAZE SHIELD II'!$H$4*('CALCULO MORTERO'!I612^2)+'BLAZE SHIELD II'!$H$5*'CALCULO MORTERO'!I612+'BLAZE SHIELD II'!$H$6)*LN(J612))+('BLAZE SHIELD II'!$H$7*('CALCULO MORTERO'!I612^2)+'BLAZE SHIELD II'!$H$8*'CALCULO MORTERO'!I612+'BLAZE SHIELD II'!$H$9)),0)+IF(AND(L612="Blaze Shield II",M612="Software Idiem",C612="C"),((('BLAZE SHIELD II'!$L$4*('CALCULO MORTERO'!I612^2)+'BLAZE SHIELD II'!$L$5*'CALCULO MORTERO'!I612+'BLAZE SHIELD II'!$L$6)*LN(J612))+('BLAZE SHIELD II'!$L$7*('CALCULO MORTERO'!I612^2)+'BLAZE SHIELD II'!$L$8*'CALCULO MORTERO'!I612+'BLAZE SHIELD II'!$L$9)),0)+IF(AND(L612="Blaze Shield II",M612="Software Idiem",C612="L"),((('BLAZE SHIELD II'!$L$4*('CALCULO MORTERO'!I612^2)+'BLAZE SHIELD II'!$L$5*'CALCULO MORTERO'!I612+'BLAZE SHIELD II'!$L$6)*LN(J612))+('BLAZE SHIELD II'!$L$7*('CALCULO MORTERO'!I612^2)+'BLAZE SHIELD II'!$L$8*'CALCULO MORTERO'!I612+'BLAZE SHIELD II'!$L$9)),0)+IF(AND(L612="Blaze Shield II",M612="Software Idiem",C612="IN",G612=3),((('BLAZE SHIELD II'!$H$14*('CALCULO MORTERO'!I612^2)+'BLAZE SHIELD II'!$H$15*'CALCULO MORTERO'!I612+'BLAZE SHIELD II'!$H$16)*LN(J612))+('BLAZE SHIELD II'!$H$17*('CALCULO MORTERO'!I612^2)+'BLAZE SHIELD II'!$H$18*'CALCULO MORTERO'!I612+'BLAZE SHIELD II'!$H$19)),0),0)+ROUND(IF(AND(L612="Cafco 400",M612="Software Idiem",C612="IN",G612=4),((('CAFCO 400 '!$H$7*(J612^4)+'CAFCO 400 '!$H$8*(J612^3)+'CAFCO 400 '!$H$9*(J612^2)+'CAFCO 400 '!$H$10*J612+'CAFCO 400 '!$H$11)*U612^2)+(('CAFCO 400 '!$H$12*(J612^3)+'CAFCO 400 '!$H$13*(J612^2)+'CAFCO 400 '!$H$14*J612+'CAFCO 400 '!$H$15)*U612)+('CAFCO 400 '!$H$16*(J612^2)+'CAFCO 400 '!$H$17*J612+'CAFCO 400 '!$H$18)),0)+IF(AND(L612="Cafco 400",M612="Software Idiem",C612="Cj"),(((('CAFCO 400 '!$D$7*LN(J612)+'CAFCO 400 '!$D$8)*U612^2)+(('CAFCO 400 '!$D$9*LN(J612)+'CAFCO 400 '!$D$10)*U612)+('CAFCO 400 '!$D$11*LN(J612)+'CAFCO 400 '!$D$12))),0)+IF(AND(L612="Cafco 400",M612="Software Idiem",C612="C"),((('CAFCO 400 '!$L$7*(J612^3)+'CAFCO 400 '!$L$8*(J612^2)+'CAFCO 400 '!$L$9*J612+'CAFCO 400 '!$L$10)*U612^2)+(('CAFCO 400 '!$L$11*(J612^3)+'CAFCO 400 '!$L$12*(J612^2)+'CAFCO 400 '!$L$13*J612+'CAFCO 400 '!$L$14)*U612)+('CAFCO 400 '!$L$15*LN(J612)+'CAFCO 400 '!$L$16)),0)+IF(AND(L612="Cafco 400",M612="Software Idiem",C612="L"),((('CAFCO 400 '!$L$7*(J612^3)+'CAFCO 400 '!$L$8*(J612^2)+'CAFCO 400 '!$L$9*J612+'CAFCO 400 '!$L$10)*U612^2)+(('CAFCO 400 '!$L$11*(J612^3)+'CAFCO 400 '!$L$12*(J612^2)+'CAFCO 400 '!$L$13*J612+'CAFCO 400 '!$L$14)*U612)+('CAFCO 400 '!$L$15*LN(J612)+'CAFCO 400 '!$L$16)),0)+IF(AND(L612="Cafco 400",M612="Software Idiem",C612="IN",G612=3),((('CAFCO 400 '!$D$23*(J612^2)+'CAFCO 400 '!$D$24*(J612)+'CAFCO 400 '!$D$25)*U612^2)+(('CAFCO 400 '!$D$26*(J612^2)+'CAFCO 400 '!$D$27*J612+'CAFCO 400 '!$D$28)*U612)+('CAFCO 400 '!$D$29*(J612^2)+'CAFCO 400 '!$D$30*J612+'CAFCO 400 '!$D$31)),0),0)+IF(AND(L612="Cafco 300",J612&gt;=95,J612&lt;=240,C612="Cj",I612=90),VLOOKUP(T612,'CAFCO 300 IDIEM TABLAS'!$B$4:$D$23,2,FALSE),0)+IF(AND(L612="Cafco 300",J612&gt;=95,J612&lt;=240,C612="Cj",I612=120),VLOOKUP(T612,'CAFCO 300 IDIEM TABLAS'!$B$4:$D$23,3,FALSE),0)+IF(AND(L612="Cafco 300",J612&gt;=95,J612&lt;=400,G612=3,C612="IN",I612=90),VLOOKUP(T612,'CAFCO 300 IDIEM TABLAS'!$F$4:$H$35,2,FALSE),0)+IF(AND(L612="Cafco 300",J612&gt;=95,J612&lt;=400,G612=3,C612="IN",I612=120),VLOOKUP(T612,'CAFCO 300 IDIEM TABLAS'!$F$4:$H$35,3,FALSE),0)+IF(AND(L612="Cafco 300",J612&gt;=95,J612&lt;=450,G612=4,C612="IN",I612=90),VLOOKUP(T612,'CAFCO 300 IDIEM TABLAS'!$J$4:$L$40,2,FALSE),0)+IF(AND(L612="Cafco 300",J612&gt;=95,J612&lt;=450,G612=4,C612="IN",I612=120),VLOOKUP(T612,'CAFCO 300 IDIEM TABLAS'!$J$4:$L$40,3,FALSE),0)+IF(AND(M612="Ensayo Idiem",L612="Cafco 400",C612="IN",G612=4,I612=90),VLOOKUP(T612,'CAFCO 400 ENSAYO'!$B$7:$D$43,2,FALSE),0)+IF(AND(M612="Ensayo Idiem",L612="Cafco 400",C612="IN",G612=4,I612=120),VLOOKUP(T612,'CAFCO 400 ENSAYO'!$B$7:$D$43,3,FALSE),0)</f>
        <v>0</v>
      </c>
      <c r="O612" s="96">
        <f t="shared" si="66"/>
        <v>0</v>
      </c>
      <c r="P612" s="95" t="str">
        <f t="shared" si="61"/>
        <v>N/A</v>
      </c>
      <c r="Q612" s="95" t="str">
        <f t="shared" si="62"/>
        <v>N/A</v>
      </c>
      <c r="R612" s="95" t="str">
        <f t="shared" si="63"/>
        <v>NO CERT.</v>
      </c>
      <c r="S612" s="95" t="e">
        <f t="shared" si="64"/>
        <v>#N/A</v>
      </c>
      <c r="T612" s="119" t="e">
        <f>+IF(J612=LOOKUP(J612,'CAFCO 300 IDIEM TABLAS'!$J$4:$J$40),'CALCULO MORTERO'!J612,MROUND('CALCULO MORTERO'!J612,10))</f>
        <v>#N/A</v>
      </c>
      <c r="U612" s="118">
        <f t="shared" si="65"/>
        <v>0</v>
      </c>
      <c r="Y612" s="4"/>
      <c r="Z612" s="4"/>
      <c r="AA612" s="4"/>
    </row>
    <row r="613" spans="1:27" x14ac:dyDescent="0.25">
      <c r="A613" s="118">
        <f>+CUBICACION!D607</f>
        <v>0</v>
      </c>
      <c r="B613" s="819">
        <f>+CUBICACION!E607</f>
        <v>0</v>
      </c>
      <c r="C613" s="675">
        <f>+CUBICACION!F607</f>
        <v>0</v>
      </c>
      <c r="D613" s="118"/>
      <c r="E613" s="118"/>
      <c r="F613" s="820"/>
      <c r="G613" s="675">
        <f>+CUBICACION!J607</f>
        <v>0</v>
      </c>
      <c r="H613" s="118"/>
      <c r="I613" s="821">
        <f>+CUBICACION!L607</f>
        <v>0</v>
      </c>
      <c r="J613" s="64">
        <f>+CUBICACION!M607</f>
        <v>0</v>
      </c>
      <c r="K613" s="822" t="str">
        <f>+CUBICACION!N607</f>
        <v/>
      </c>
      <c r="L613" s="118">
        <f>+CUBICACION!O607</f>
        <v>0</v>
      </c>
      <c r="M613" s="823">
        <f>+CUBICACION!P607</f>
        <v>0</v>
      </c>
      <c r="N613" s="902">
        <f>ROUND(IF(AND(L613="Blaze Shield II",M613="Software Idiem",C613="IN",G613=4),((('BLAZE SHIELD II'!$D$4*('CALCULO MORTERO'!I613^2)+'BLAZE SHIELD II'!$D$5*'CALCULO MORTERO'!I613+'BLAZE SHIELD II'!$D$6)*LN(J613))+('BLAZE SHIELD II'!$D$7*('CALCULO MORTERO'!I613^2)+'BLAZE SHIELD II'!$D$8*'CALCULO MORTERO'!I613+'BLAZE SHIELD II'!$D$9)),0)+IF(AND(L613="Blaze Shield II",M613="Software Idiem",C613="Cj"),((('BLAZE SHIELD II'!$H$4*('CALCULO MORTERO'!I613^2)+'BLAZE SHIELD II'!$H$5*'CALCULO MORTERO'!I613+'BLAZE SHIELD II'!$H$6)*LN(J613))+('BLAZE SHIELD II'!$H$7*('CALCULO MORTERO'!I613^2)+'BLAZE SHIELD II'!$H$8*'CALCULO MORTERO'!I613+'BLAZE SHIELD II'!$H$9)),0)+IF(AND(L613="Blaze Shield II",M613="Software Idiem",C613="C"),((('BLAZE SHIELD II'!$L$4*('CALCULO MORTERO'!I613^2)+'BLAZE SHIELD II'!$L$5*'CALCULO MORTERO'!I613+'BLAZE SHIELD II'!$L$6)*LN(J613))+('BLAZE SHIELD II'!$L$7*('CALCULO MORTERO'!I613^2)+'BLAZE SHIELD II'!$L$8*'CALCULO MORTERO'!I613+'BLAZE SHIELD II'!$L$9)),0)+IF(AND(L613="Blaze Shield II",M613="Software Idiem",C613="L"),((('BLAZE SHIELD II'!$L$4*('CALCULO MORTERO'!I613^2)+'BLAZE SHIELD II'!$L$5*'CALCULO MORTERO'!I613+'BLAZE SHIELD II'!$L$6)*LN(J613))+('BLAZE SHIELD II'!$L$7*('CALCULO MORTERO'!I613^2)+'BLAZE SHIELD II'!$L$8*'CALCULO MORTERO'!I613+'BLAZE SHIELD II'!$L$9)),0)+IF(AND(L613="Blaze Shield II",M613="Software Idiem",C613="IN",G613=3),((('BLAZE SHIELD II'!$H$14*('CALCULO MORTERO'!I613^2)+'BLAZE SHIELD II'!$H$15*'CALCULO MORTERO'!I613+'BLAZE SHIELD II'!$H$16)*LN(J613))+('BLAZE SHIELD II'!$H$17*('CALCULO MORTERO'!I613^2)+'BLAZE SHIELD II'!$H$18*'CALCULO MORTERO'!I613+'BLAZE SHIELD II'!$H$19)),0),0)+ROUND(IF(AND(L613="Cafco 400",M613="Software Idiem",C613="IN",G613=4),((('CAFCO 400 '!$H$7*(J613^4)+'CAFCO 400 '!$H$8*(J613^3)+'CAFCO 400 '!$H$9*(J613^2)+'CAFCO 400 '!$H$10*J613+'CAFCO 400 '!$H$11)*U613^2)+(('CAFCO 400 '!$H$12*(J613^3)+'CAFCO 400 '!$H$13*(J613^2)+'CAFCO 400 '!$H$14*J613+'CAFCO 400 '!$H$15)*U613)+('CAFCO 400 '!$H$16*(J613^2)+'CAFCO 400 '!$H$17*J613+'CAFCO 400 '!$H$18)),0)+IF(AND(L613="Cafco 400",M613="Software Idiem",C613="Cj"),(((('CAFCO 400 '!$D$7*LN(J613)+'CAFCO 400 '!$D$8)*U613^2)+(('CAFCO 400 '!$D$9*LN(J613)+'CAFCO 400 '!$D$10)*U613)+('CAFCO 400 '!$D$11*LN(J613)+'CAFCO 400 '!$D$12))),0)+IF(AND(L613="Cafco 400",M613="Software Idiem",C613="C"),((('CAFCO 400 '!$L$7*(J613^3)+'CAFCO 400 '!$L$8*(J613^2)+'CAFCO 400 '!$L$9*J613+'CAFCO 400 '!$L$10)*U613^2)+(('CAFCO 400 '!$L$11*(J613^3)+'CAFCO 400 '!$L$12*(J613^2)+'CAFCO 400 '!$L$13*J613+'CAFCO 400 '!$L$14)*U613)+('CAFCO 400 '!$L$15*LN(J613)+'CAFCO 400 '!$L$16)),0)+IF(AND(L613="Cafco 400",M613="Software Idiem",C613="L"),((('CAFCO 400 '!$L$7*(J613^3)+'CAFCO 400 '!$L$8*(J613^2)+'CAFCO 400 '!$L$9*J613+'CAFCO 400 '!$L$10)*U613^2)+(('CAFCO 400 '!$L$11*(J613^3)+'CAFCO 400 '!$L$12*(J613^2)+'CAFCO 400 '!$L$13*J613+'CAFCO 400 '!$L$14)*U613)+('CAFCO 400 '!$L$15*LN(J613)+'CAFCO 400 '!$L$16)),0)+IF(AND(L613="Cafco 400",M613="Software Idiem",C613="IN",G613=3),((('CAFCO 400 '!$D$23*(J613^2)+'CAFCO 400 '!$D$24*(J613)+'CAFCO 400 '!$D$25)*U613^2)+(('CAFCO 400 '!$D$26*(J613^2)+'CAFCO 400 '!$D$27*J613+'CAFCO 400 '!$D$28)*U613)+('CAFCO 400 '!$D$29*(J613^2)+'CAFCO 400 '!$D$30*J613+'CAFCO 400 '!$D$31)),0),0)+IF(AND(L613="Cafco 300",J613&gt;=95,J613&lt;=240,C613="Cj",I613=90),VLOOKUP(T613,'CAFCO 300 IDIEM TABLAS'!$B$4:$D$23,2,FALSE),0)+IF(AND(L613="Cafco 300",J613&gt;=95,J613&lt;=240,C613="Cj",I613=120),VLOOKUP(T613,'CAFCO 300 IDIEM TABLAS'!$B$4:$D$23,3,FALSE),0)+IF(AND(L613="Cafco 300",J613&gt;=95,J613&lt;=400,G613=3,C613="IN",I613=90),VLOOKUP(T613,'CAFCO 300 IDIEM TABLAS'!$F$4:$H$35,2,FALSE),0)+IF(AND(L613="Cafco 300",J613&gt;=95,J613&lt;=400,G613=3,C613="IN",I613=120),VLOOKUP(T613,'CAFCO 300 IDIEM TABLAS'!$F$4:$H$35,3,FALSE),0)+IF(AND(L613="Cafco 300",J613&gt;=95,J613&lt;=450,G613=4,C613="IN",I613=90),VLOOKUP(T613,'CAFCO 300 IDIEM TABLAS'!$J$4:$L$40,2,FALSE),0)+IF(AND(L613="Cafco 300",J613&gt;=95,J613&lt;=450,G613=4,C613="IN",I613=120),VLOOKUP(T613,'CAFCO 300 IDIEM TABLAS'!$J$4:$L$40,3,FALSE),0)+IF(AND(M613="Ensayo Idiem",L613="Cafco 400",C613="IN",G613=4,I613=90),VLOOKUP(T613,'CAFCO 400 ENSAYO'!$B$7:$D$43,2,FALSE),0)+IF(AND(M613="Ensayo Idiem",L613="Cafco 400",C613="IN",G613=4,I613=120),VLOOKUP(T613,'CAFCO 400 ENSAYO'!$B$7:$D$43,3,FALSE),0)</f>
        <v>0</v>
      </c>
      <c r="O613" s="96">
        <f t="shared" si="66"/>
        <v>0</v>
      </c>
      <c r="P613" s="132" t="str">
        <f t="shared" si="61"/>
        <v>N/A</v>
      </c>
      <c r="Q613" s="132" t="str">
        <f t="shared" si="62"/>
        <v>N/A</v>
      </c>
      <c r="R613" s="132" t="str">
        <f t="shared" si="63"/>
        <v>NO CERT.</v>
      </c>
      <c r="S613" s="132" t="e">
        <f t="shared" si="64"/>
        <v>#N/A</v>
      </c>
      <c r="T613" s="133" t="e">
        <f>+IF(J613=LOOKUP(J613,'CAFCO 300 IDIEM TABLAS'!$J$4:$J$40),'CALCULO MORTERO'!J613,MROUND('CALCULO MORTERO'!J613,10))</f>
        <v>#N/A</v>
      </c>
      <c r="U613" s="134">
        <f t="shared" si="65"/>
        <v>0</v>
      </c>
      <c r="Y613" s="4"/>
      <c r="Z613" s="4"/>
      <c r="AA613" s="4"/>
    </row>
    <row r="614" spans="1:27" x14ac:dyDescent="0.25">
      <c r="A614" s="118">
        <f>+CUBICACION!D608</f>
        <v>0</v>
      </c>
      <c r="B614" s="819">
        <f>+CUBICACION!E608</f>
        <v>0</v>
      </c>
      <c r="C614" s="675">
        <f>+CUBICACION!F608</f>
        <v>0</v>
      </c>
      <c r="D614" s="118"/>
      <c r="E614" s="118"/>
      <c r="F614" s="820"/>
      <c r="G614" s="675">
        <f>+CUBICACION!J608</f>
        <v>0</v>
      </c>
      <c r="H614" s="118"/>
      <c r="I614" s="821">
        <f>+CUBICACION!L608</f>
        <v>0</v>
      </c>
      <c r="J614" s="64">
        <f>+CUBICACION!M608</f>
        <v>0</v>
      </c>
      <c r="K614" s="822" t="str">
        <f>+CUBICACION!N608</f>
        <v/>
      </c>
      <c r="L614" s="118">
        <f>+CUBICACION!O608</f>
        <v>0</v>
      </c>
      <c r="M614" s="823">
        <f>+CUBICACION!P608</f>
        <v>0</v>
      </c>
      <c r="N614" s="902">
        <f>ROUND(IF(AND(L614="Blaze Shield II",M614="Software Idiem",C614="IN",G614=4),((('BLAZE SHIELD II'!$D$4*('CALCULO MORTERO'!I614^2)+'BLAZE SHIELD II'!$D$5*'CALCULO MORTERO'!I614+'BLAZE SHIELD II'!$D$6)*LN(J614))+('BLAZE SHIELD II'!$D$7*('CALCULO MORTERO'!I614^2)+'BLAZE SHIELD II'!$D$8*'CALCULO MORTERO'!I614+'BLAZE SHIELD II'!$D$9)),0)+IF(AND(L614="Blaze Shield II",M614="Software Idiem",C614="Cj"),((('BLAZE SHIELD II'!$H$4*('CALCULO MORTERO'!I614^2)+'BLAZE SHIELD II'!$H$5*'CALCULO MORTERO'!I614+'BLAZE SHIELD II'!$H$6)*LN(J614))+('BLAZE SHIELD II'!$H$7*('CALCULO MORTERO'!I614^2)+'BLAZE SHIELD II'!$H$8*'CALCULO MORTERO'!I614+'BLAZE SHIELD II'!$H$9)),0)+IF(AND(L614="Blaze Shield II",M614="Software Idiem",C614="C"),((('BLAZE SHIELD II'!$L$4*('CALCULO MORTERO'!I614^2)+'BLAZE SHIELD II'!$L$5*'CALCULO MORTERO'!I614+'BLAZE SHIELD II'!$L$6)*LN(J614))+('BLAZE SHIELD II'!$L$7*('CALCULO MORTERO'!I614^2)+'BLAZE SHIELD II'!$L$8*'CALCULO MORTERO'!I614+'BLAZE SHIELD II'!$L$9)),0)+IF(AND(L614="Blaze Shield II",M614="Software Idiem",C614="L"),((('BLAZE SHIELD II'!$L$4*('CALCULO MORTERO'!I614^2)+'BLAZE SHIELD II'!$L$5*'CALCULO MORTERO'!I614+'BLAZE SHIELD II'!$L$6)*LN(J614))+('BLAZE SHIELD II'!$L$7*('CALCULO MORTERO'!I614^2)+'BLAZE SHIELD II'!$L$8*'CALCULO MORTERO'!I614+'BLAZE SHIELD II'!$L$9)),0)+IF(AND(L614="Blaze Shield II",M614="Software Idiem",C614="IN",G614=3),((('BLAZE SHIELD II'!$H$14*('CALCULO MORTERO'!I614^2)+'BLAZE SHIELD II'!$H$15*'CALCULO MORTERO'!I614+'BLAZE SHIELD II'!$H$16)*LN(J614))+('BLAZE SHIELD II'!$H$17*('CALCULO MORTERO'!I614^2)+'BLAZE SHIELD II'!$H$18*'CALCULO MORTERO'!I614+'BLAZE SHIELD II'!$H$19)),0),0)+ROUND(IF(AND(L614="Cafco 400",M614="Software Idiem",C614="IN",G614=4),((('CAFCO 400 '!$H$7*(J614^4)+'CAFCO 400 '!$H$8*(J614^3)+'CAFCO 400 '!$H$9*(J614^2)+'CAFCO 400 '!$H$10*J614+'CAFCO 400 '!$H$11)*U614^2)+(('CAFCO 400 '!$H$12*(J614^3)+'CAFCO 400 '!$H$13*(J614^2)+'CAFCO 400 '!$H$14*J614+'CAFCO 400 '!$H$15)*U614)+('CAFCO 400 '!$H$16*(J614^2)+'CAFCO 400 '!$H$17*J614+'CAFCO 400 '!$H$18)),0)+IF(AND(L614="Cafco 400",M614="Software Idiem",C614="Cj"),(((('CAFCO 400 '!$D$7*LN(J614)+'CAFCO 400 '!$D$8)*U614^2)+(('CAFCO 400 '!$D$9*LN(J614)+'CAFCO 400 '!$D$10)*U614)+('CAFCO 400 '!$D$11*LN(J614)+'CAFCO 400 '!$D$12))),0)+IF(AND(L614="Cafco 400",M614="Software Idiem",C614="C"),((('CAFCO 400 '!$L$7*(J614^3)+'CAFCO 400 '!$L$8*(J614^2)+'CAFCO 400 '!$L$9*J614+'CAFCO 400 '!$L$10)*U614^2)+(('CAFCO 400 '!$L$11*(J614^3)+'CAFCO 400 '!$L$12*(J614^2)+'CAFCO 400 '!$L$13*J614+'CAFCO 400 '!$L$14)*U614)+('CAFCO 400 '!$L$15*LN(J614)+'CAFCO 400 '!$L$16)),0)+IF(AND(L614="Cafco 400",M614="Software Idiem",C614="L"),((('CAFCO 400 '!$L$7*(J614^3)+'CAFCO 400 '!$L$8*(J614^2)+'CAFCO 400 '!$L$9*J614+'CAFCO 400 '!$L$10)*U614^2)+(('CAFCO 400 '!$L$11*(J614^3)+'CAFCO 400 '!$L$12*(J614^2)+'CAFCO 400 '!$L$13*J614+'CAFCO 400 '!$L$14)*U614)+('CAFCO 400 '!$L$15*LN(J614)+'CAFCO 400 '!$L$16)),0)+IF(AND(L614="Cafco 400",M614="Software Idiem",C614="IN",G614=3),((('CAFCO 400 '!$D$23*(J614^2)+'CAFCO 400 '!$D$24*(J614)+'CAFCO 400 '!$D$25)*U614^2)+(('CAFCO 400 '!$D$26*(J614^2)+'CAFCO 400 '!$D$27*J614+'CAFCO 400 '!$D$28)*U614)+('CAFCO 400 '!$D$29*(J614^2)+'CAFCO 400 '!$D$30*J614+'CAFCO 400 '!$D$31)),0),0)+IF(AND(L614="Cafco 300",J614&gt;=95,J614&lt;=240,C614="Cj",I614=90),VLOOKUP(T614,'CAFCO 300 IDIEM TABLAS'!$B$4:$D$23,2,FALSE),0)+IF(AND(L614="Cafco 300",J614&gt;=95,J614&lt;=240,C614="Cj",I614=120),VLOOKUP(T614,'CAFCO 300 IDIEM TABLAS'!$B$4:$D$23,3,FALSE),0)+IF(AND(L614="Cafco 300",J614&gt;=95,J614&lt;=400,G614=3,C614="IN",I614=90),VLOOKUP(T614,'CAFCO 300 IDIEM TABLAS'!$F$4:$H$35,2,FALSE),0)+IF(AND(L614="Cafco 300",J614&gt;=95,J614&lt;=400,G614=3,C614="IN",I614=120),VLOOKUP(T614,'CAFCO 300 IDIEM TABLAS'!$F$4:$H$35,3,FALSE),0)+IF(AND(L614="Cafco 300",J614&gt;=95,J614&lt;=450,G614=4,C614="IN",I614=90),VLOOKUP(T614,'CAFCO 300 IDIEM TABLAS'!$J$4:$L$40,2,FALSE),0)+IF(AND(L614="Cafco 300",J614&gt;=95,J614&lt;=450,G614=4,C614="IN",I614=120),VLOOKUP(T614,'CAFCO 300 IDIEM TABLAS'!$J$4:$L$40,3,FALSE),0)+IF(AND(M614="Ensayo Idiem",L614="Cafco 400",C614="IN",G614=4,I614=90),VLOOKUP(T614,'CAFCO 400 ENSAYO'!$B$7:$D$43,2,FALSE),0)+IF(AND(M614="Ensayo Idiem",L614="Cafco 400",C614="IN",G614=4,I614=120),VLOOKUP(T614,'CAFCO 400 ENSAYO'!$B$7:$D$43,3,FALSE),0)</f>
        <v>0</v>
      </c>
      <c r="O614" s="96">
        <f t="shared" si="66"/>
        <v>0</v>
      </c>
      <c r="P614" s="95" t="str">
        <f t="shared" si="61"/>
        <v>N/A</v>
      </c>
      <c r="Q614" s="95" t="str">
        <f t="shared" si="62"/>
        <v>N/A</v>
      </c>
      <c r="R614" s="95" t="str">
        <f t="shared" si="63"/>
        <v>NO CERT.</v>
      </c>
      <c r="S614" s="95" t="e">
        <f t="shared" si="64"/>
        <v>#N/A</v>
      </c>
      <c r="T614" s="119" t="e">
        <f>+IF(J614=LOOKUP(J614,'CAFCO 300 IDIEM TABLAS'!$J$4:$J$40),'CALCULO MORTERO'!J614,MROUND('CALCULO MORTERO'!J614,10))</f>
        <v>#N/A</v>
      </c>
      <c r="U614" s="118">
        <f t="shared" si="65"/>
        <v>0</v>
      </c>
      <c r="Y614" s="4"/>
      <c r="Z614" s="4"/>
      <c r="AA614" s="4"/>
    </row>
    <row r="615" spans="1:27" x14ac:dyDescent="0.25">
      <c r="A615" s="118">
        <f>+CUBICACION!D609</f>
        <v>0</v>
      </c>
      <c r="B615" s="819">
        <f>+CUBICACION!E609</f>
        <v>0</v>
      </c>
      <c r="C615" s="675">
        <f>+CUBICACION!F609</f>
        <v>0</v>
      </c>
      <c r="D615" s="118"/>
      <c r="E615" s="118"/>
      <c r="F615" s="820"/>
      <c r="G615" s="675">
        <f>+CUBICACION!J609</f>
        <v>0</v>
      </c>
      <c r="H615" s="118"/>
      <c r="I615" s="821">
        <f>+CUBICACION!L609</f>
        <v>0</v>
      </c>
      <c r="J615" s="64">
        <f>+CUBICACION!M609</f>
        <v>0</v>
      </c>
      <c r="K615" s="822" t="str">
        <f>+CUBICACION!N609</f>
        <v/>
      </c>
      <c r="L615" s="118">
        <f>+CUBICACION!O609</f>
        <v>0</v>
      </c>
      <c r="M615" s="823">
        <f>+CUBICACION!P609</f>
        <v>0</v>
      </c>
      <c r="N615" s="902">
        <f>ROUND(IF(AND(L615="Blaze Shield II",M615="Software Idiem",C615="IN",G615=4),((('BLAZE SHIELD II'!$D$4*('CALCULO MORTERO'!I615^2)+'BLAZE SHIELD II'!$D$5*'CALCULO MORTERO'!I615+'BLAZE SHIELD II'!$D$6)*LN(J615))+('BLAZE SHIELD II'!$D$7*('CALCULO MORTERO'!I615^2)+'BLAZE SHIELD II'!$D$8*'CALCULO MORTERO'!I615+'BLAZE SHIELD II'!$D$9)),0)+IF(AND(L615="Blaze Shield II",M615="Software Idiem",C615="Cj"),((('BLAZE SHIELD II'!$H$4*('CALCULO MORTERO'!I615^2)+'BLAZE SHIELD II'!$H$5*'CALCULO MORTERO'!I615+'BLAZE SHIELD II'!$H$6)*LN(J615))+('BLAZE SHIELD II'!$H$7*('CALCULO MORTERO'!I615^2)+'BLAZE SHIELD II'!$H$8*'CALCULO MORTERO'!I615+'BLAZE SHIELD II'!$H$9)),0)+IF(AND(L615="Blaze Shield II",M615="Software Idiem",C615="C"),((('BLAZE SHIELD II'!$L$4*('CALCULO MORTERO'!I615^2)+'BLAZE SHIELD II'!$L$5*'CALCULO MORTERO'!I615+'BLAZE SHIELD II'!$L$6)*LN(J615))+('BLAZE SHIELD II'!$L$7*('CALCULO MORTERO'!I615^2)+'BLAZE SHIELD II'!$L$8*'CALCULO MORTERO'!I615+'BLAZE SHIELD II'!$L$9)),0)+IF(AND(L615="Blaze Shield II",M615="Software Idiem",C615="L"),((('BLAZE SHIELD II'!$L$4*('CALCULO MORTERO'!I615^2)+'BLAZE SHIELD II'!$L$5*'CALCULO MORTERO'!I615+'BLAZE SHIELD II'!$L$6)*LN(J615))+('BLAZE SHIELD II'!$L$7*('CALCULO MORTERO'!I615^2)+'BLAZE SHIELD II'!$L$8*'CALCULO MORTERO'!I615+'BLAZE SHIELD II'!$L$9)),0)+IF(AND(L615="Blaze Shield II",M615="Software Idiem",C615="IN",G615=3),((('BLAZE SHIELD II'!$H$14*('CALCULO MORTERO'!I615^2)+'BLAZE SHIELD II'!$H$15*'CALCULO MORTERO'!I615+'BLAZE SHIELD II'!$H$16)*LN(J615))+('BLAZE SHIELD II'!$H$17*('CALCULO MORTERO'!I615^2)+'BLAZE SHIELD II'!$H$18*'CALCULO MORTERO'!I615+'BLAZE SHIELD II'!$H$19)),0),0)+ROUND(IF(AND(L615="Cafco 400",M615="Software Idiem",C615="IN",G615=4),((('CAFCO 400 '!$H$7*(J615^4)+'CAFCO 400 '!$H$8*(J615^3)+'CAFCO 400 '!$H$9*(J615^2)+'CAFCO 400 '!$H$10*J615+'CAFCO 400 '!$H$11)*U615^2)+(('CAFCO 400 '!$H$12*(J615^3)+'CAFCO 400 '!$H$13*(J615^2)+'CAFCO 400 '!$H$14*J615+'CAFCO 400 '!$H$15)*U615)+('CAFCO 400 '!$H$16*(J615^2)+'CAFCO 400 '!$H$17*J615+'CAFCO 400 '!$H$18)),0)+IF(AND(L615="Cafco 400",M615="Software Idiem",C615="Cj"),(((('CAFCO 400 '!$D$7*LN(J615)+'CAFCO 400 '!$D$8)*U615^2)+(('CAFCO 400 '!$D$9*LN(J615)+'CAFCO 400 '!$D$10)*U615)+('CAFCO 400 '!$D$11*LN(J615)+'CAFCO 400 '!$D$12))),0)+IF(AND(L615="Cafco 400",M615="Software Idiem",C615="C"),((('CAFCO 400 '!$L$7*(J615^3)+'CAFCO 400 '!$L$8*(J615^2)+'CAFCO 400 '!$L$9*J615+'CAFCO 400 '!$L$10)*U615^2)+(('CAFCO 400 '!$L$11*(J615^3)+'CAFCO 400 '!$L$12*(J615^2)+'CAFCO 400 '!$L$13*J615+'CAFCO 400 '!$L$14)*U615)+('CAFCO 400 '!$L$15*LN(J615)+'CAFCO 400 '!$L$16)),0)+IF(AND(L615="Cafco 400",M615="Software Idiem",C615="L"),((('CAFCO 400 '!$L$7*(J615^3)+'CAFCO 400 '!$L$8*(J615^2)+'CAFCO 400 '!$L$9*J615+'CAFCO 400 '!$L$10)*U615^2)+(('CAFCO 400 '!$L$11*(J615^3)+'CAFCO 400 '!$L$12*(J615^2)+'CAFCO 400 '!$L$13*J615+'CAFCO 400 '!$L$14)*U615)+('CAFCO 400 '!$L$15*LN(J615)+'CAFCO 400 '!$L$16)),0)+IF(AND(L615="Cafco 400",M615="Software Idiem",C615="IN",G615=3),((('CAFCO 400 '!$D$23*(J615^2)+'CAFCO 400 '!$D$24*(J615)+'CAFCO 400 '!$D$25)*U615^2)+(('CAFCO 400 '!$D$26*(J615^2)+'CAFCO 400 '!$D$27*J615+'CAFCO 400 '!$D$28)*U615)+('CAFCO 400 '!$D$29*(J615^2)+'CAFCO 400 '!$D$30*J615+'CAFCO 400 '!$D$31)),0),0)+IF(AND(L615="Cafco 300",J615&gt;=95,J615&lt;=240,C615="Cj",I615=90),VLOOKUP(T615,'CAFCO 300 IDIEM TABLAS'!$B$4:$D$23,2,FALSE),0)+IF(AND(L615="Cafco 300",J615&gt;=95,J615&lt;=240,C615="Cj",I615=120),VLOOKUP(T615,'CAFCO 300 IDIEM TABLAS'!$B$4:$D$23,3,FALSE),0)+IF(AND(L615="Cafco 300",J615&gt;=95,J615&lt;=400,G615=3,C615="IN",I615=90),VLOOKUP(T615,'CAFCO 300 IDIEM TABLAS'!$F$4:$H$35,2,FALSE),0)+IF(AND(L615="Cafco 300",J615&gt;=95,J615&lt;=400,G615=3,C615="IN",I615=120),VLOOKUP(T615,'CAFCO 300 IDIEM TABLAS'!$F$4:$H$35,3,FALSE),0)+IF(AND(L615="Cafco 300",J615&gt;=95,J615&lt;=450,G615=4,C615="IN",I615=90),VLOOKUP(T615,'CAFCO 300 IDIEM TABLAS'!$J$4:$L$40,2,FALSE),0)+IF(AND(L615="Cafco 300",J615&gt;=95,J615&lt;=450,G615=4,C615="IN",I615=120),VLOOKUP(T615,'CAFCO 300 IDIEM TABLAS'!$J$4:$L$40,3,FALSE),0)+IF(AND(M615="Ensayo Idiem",L615="Cafco 400",C615="IN",G615=4,I615=90),VLOOKUP(T615,'CAFCO 400 ENSAYO'!$B$7:$D$43,2,FALSE),0)+IF(AND(M615="Ensayo Idiem",L615="Cafco 400",C615="IN",G615=4,I615=120),VLOOKUP(T615,'CAFCO 400 ENSAYO'!$B$7:$D$43,3,FALSE),0)</f>
        <v>0</v>
      </c>
      <c r="O615" s="96">
        <f t="shared" si="66"/>
        <v>0</v>
      </c>
      <c r="P615" s="132" t="str">
        <f t="shared" si="61"/>
        <v>N/A</v>
      </c>
      <c r="Q615" s="132" t="str">
        <f t="shared" si="62"/>
        <v>N/A</v>
      </c>
      <c r="R615" s="132" t="str">
        <f t="shared" si="63"/>
        <v>NO CERT.</v>
      </c>
      <c r="S615" s="132" t="e">
        <f t="shared" si="64"/>
        <v>#N/A</v>
      </c>
      <c r="T615" s="133" t="e">
        <f>+IF(J615=LOOKUP(J615,'CAFCO 300 IDIEM TABLAS'!$J$4:$J$40),'CALCULO MORTERO'!J615,MROUND('CALCULO MORTERO'!J615,10))</f>
        <v>#N/A</v>
      </c>
      <c r="U615" s="134">
        <f t="shared" si="65"/>
        <v>0</v>
      </c>
      <c r="Y615" s="4"/>
      <c r="Z615" s="4"/>
      <c r="AA615" s="4"/>
    </row>
    <row r="616" spans="1:27" x14ac:dyDescent="0.25">
      <c r="A616" s="118">
        <f>+CUBICACION!D610</f>
        <v>0</v>
      </c>
      <c r="B616" s="819">
        <f>+CUBICACION!E610</f>
        <v>0</v>
      </c>
      <c r="C616" s="675">
        <f>+CUBICACION!F610</f>
        <v>0</v>
      </c>
      <c r="D616" s="118"/>
      <c r="E616" s="118"/>
      <c r="F616" s="820"/>
      <c r="G616" s="675">
        <f>+CUBICACION!J610</f>
        <v>0</v>
      </c>
      <c r="H616" s="118"/>
      <c r="I616" s="821">
        <f>+CUBICACION!L610</f>
        <v>0</v>
      </c>
      <c r="J616" s="64">
        <f>+CUBICACION!M610</f>
        <v>0</v>
      </c>
      <c r="K616" s="822" t="str">
        <f>+CUBICACION!N610</f>
        <v/>
      </c>
      <c r="L616" s="118">
        <f>+CUBICACION!O610</f>
        <v>0</v>
      </c>
      <c r="M616" s="823">
        <f>+CUBICACION!P610</f>
        <v>0</v>
      </c>
      <c r="N616" s="902">
        <f>ROUND(IF(AND(L616="Blaze Shield II",M616="Software Idiem",C616="IN",G616=4),((('BLAZE SHIELD II'!$D$4*('CALCULO MORTERO'!I616^2)+'BLAZE SHIELD II'!$D$5*'CALCULO MORTERO'!I616+'BLAZE SHIELD II'!$D$6)*LN(J616))+('BLAZE SHIELD II'!$D$7*('CALCULO MORTERO'!I616^2)+'BLAZE SHIELD II'!$D$8*'CALCULO MORTERO'!I616+'BLAZE SHIELD II'!$D$9)),0)+IF(AND(L616="Blaze Shield II",M616="Software Idiem",C616="Cj"),((('BLAZE SHIELD II'!$H$4*('CALCULO MORTERO'!I616^2)+'BLAZE SHIELD II'!$H$5*'CALCULO MORTERO'!I616+'BLAZE SHIELD II'!$H$6)*LN(J616))+('BLAZE SHIELD II'!$H$7*('CALCULO MORTERO'!I616^2)+'BLAZE SHIELD II'!$H$8*'CALCULO MORTERO'!I616+'BLAZE SHIELD II'!$H$9)),0)+IF(AND(L616="Blaze Shield II",M616="Software Idiem",C616="C"),((('BLAZE SHIELD II'!$L$4*('CALCULO MORTERO'!I616^2)+'BLAZE SHIELD II'!$L$5*'CALCULO MORTERO'!I616+'BLAZE SHIELD II'!$L$6)*LN(J616))+('BLAZE SHIELD II'!$L$7*('CALCULO MORTERO'!I616^2)+'BLAZE SHIELD II'!$L$8*'CALCULO MORTERO'!I616+'BLAZE SHIELD II'!$L$9)),0)+IF(AND(L616="Blaze Shield II",M616="Software Idiem",C616="L"),((('BLAZE SHIELD II'!$L$4*('CALCULO MORTERO'!I616^2)+'BLAZE SHIELD II'!$L$5*'CALCULO MORTERO'!I616+'BLAZE SHIELD II'!$L$6)*LN(J616))+('BLAZE SHIELD II'!$L$7*('CALCULO MORTERO'!I616^2)+'BLAZE SHIELD II'!$L$8*'CALCULO MORTERO'!I616+'BLAZE SHIELD II'!$L$9)),0)+IF(AND(L616="Blaze Shield II",M616="Software Idiem",C616="IN",G616=3),((('BLAZE SHIELD II'!$H$14*('CALCULO MORTERO'!I616^2)+'BLAZE SHIELD II'!$H$15*'CALCULO MORTERO'!I616+'BLAZE SHIELD II'!$H$16)*LN(J616))+('BLAZE SHIELD II'!$H$17*('CALCULO MORTERO'!I616^2)+'BLAZE SHIELD II'!$H$18*'CALCULO MORTERO'!I616+'BLAZE SHIELD II'!$H$19)),0),0)+ROUND(IF(AND(L616="Cafco 400",M616="Software Idiem",C616="IN",G616=4),((('CAFCO 400 '!$H$7*(J616^4)+'CAFCO 400 '!$H$8*(J616^3)+'CAFCO 400 '!$H$9*(J616^2)+'CAFCO 400 '!$H$10*J616+'CAFCO 400 '!$H$11)*U616^2)+(('CAFCO 400 '!$H$12*(J616^3)+'CAFCO 400 '!$H$13*(J616^2)+'CAFCO 400 '!$H$14*J616+'CAFCO 400 '!$H$15)*U616)+('CAFCO 400 '!$H$16*(J616^2)+'CAFCO 400 '!$H$17*J616+'CAFCO 400 '!$H$18)),0)+IF(AND(L616="Cafco 400",M616="Software Idiem",C616="Cj"),(((('CAFCO 400 '!$D$7*LN(J616)+'CAFCO 400 '!$D$8)*U616^2)+(('CAFCO 400 '!$D$9*LN(J616)+'CAFCO 400 '!$D$10)*U616)+('CAFCO 400 '!$D$11*LN(J616)+'CAFCO 400 '!$D$12))),0)+IF(AND(L616="Cafco 400",M616="Software Idiem",C616="C"),((('CAFCO 400 '!$L$7*(J616^3)+'CAFCO 400 '!$L$8*(J616^2)+'CAFCO 400 '!$L$9*J616+'CAFCO 400 '!$L$10)*U616^2)+(('CAFCO 400 '!$L$11*(J616^3)+'CAFCO 400 '!$L$12*(J616^2)+'CAFCO 400 '!$L$13*J616+'CAFCO 400 '!$L$14)*U616)+('CAFCO 400 '!$L$15*LN(J616)+'CAFCO 400 '!$L$16)),0)+IF(AND(L616="Cafco 400",M616="Software Idiem",C616="L"),((('CAFCO 400 '!$L$7*(J616^3)+'CAFCO 400 '!$L$8*(J616^2)+'CAFCO 400 '!$L$9*J616+'CAFCO 400 '!$L$10)*U616^2)+(('CAFCO 400 '!$L$11*(J616^3)+'CAFCO 400 '!$L$12*(J616^2)+'CAFCO 400 '!$L$13*J616+'CAFCO 400 '!$L$14)*U616)+('CAFCO 400 '!$L$15*LN(J616)+'CAFCO 400 '!$L$16)),0)+IF(AND(L616="Cafco 400",M616="Software Idiem",C616="IN",G616=3),((('CAFCO 400 '!$D$23*(J616^2)+'CAFCO 400 '!$D$24*(J616)+'CAFCO 400 '!$D$25)*U616^2)+(('CAFCO 400 '!$D$26*(J616^2)+'CAFCO 400 '!$D$27*J616+'CAFCO 400 '!$D$28)*U616)+('CAFCO 400 '!$D$29*(J616^2)+'CAFCO 400 '!$D$30*J616+'CAFCO 400 '!$D$31)),0),0)+IF(AND(L616="Cafco 300",J616&gt;=95,J616&lt;=240,C616="Cj",I616=90),VLOOKUP(T616,'CAFCO 300 IDIEM TABLAS'!$B$4:$D$23,2,FALSE),0)+IF(AND(L616="Cafco 300",J616&gt;=95,J616&lt;=240,C616="Cj",I616=120),VLOOKUP(T616,'CAFCO 300 IDIEM TABLAS'!$B$4:$D$23,3,FALSE),0)+IF(AND(L616="Cafco 300",J616&gt;=95,J616&lt;=400,G616=3,C616="IN",I616=90),VLOOKUP(T616,'CAFCO 300 IDIEM TABLAS'!$F$4:$H$35,2,FALSE),0)+IF(AND(L616="Cafco 300",J616&gt;=95,J616&lt;=400,G616=3,C616="IN",I616=120),VLOOKUP(T616,'CAFCO 300 IDIEM TABLAS'!$F$4:$H$35,3,FALSE),0)+IF(AND(L616="Cafco 300",J616&gt;=95,J616&lt;=450,G616=4,C616="IN",I616=90),VLOOKUP(T616,'CAFCO 300 IDIEM TABLAS'!$J$4:$L$40,2,FALSE),0)+IF(AND(L616="Cafco 300",J616&gt;=95,J616&lt;=450,G616=4,C616="IN",I616=120),VLOOKUP(T616,'CAFCO 300 IDIEM TABLAS'!$J$4:$L$40,3,FALSE),0)+IF(AND(M616="Ensayo Idiem",L616="Cafco 400",C616="IN",G616=4,I616=90),VLOOKUP(T616,'CAFCO 400 ENSAYO'!$B$7:$D$43,2,FALSE),0)+IF(AND(M616="Ensayo Idiem",L616="Cafco 400",C616="IN",G616=4,I616=120),VLOOKUP(T616,'CAFCO 400 ENSAYO'!$B$7:$D$43,3,FALSE),0)</f>
        <v>0</v>
      </c>
      <c r="O616" s="96">
        <f t="shared" si="66"/>
        <v>0</v>
      </c>
      <c r="P616" s="95" t="str">
        <f t="shared" si="61"/>
        <v>N/A</v>
      </c>
      <c r="Q616" s="95" t="str">
        <f t="shared" si="62"/>
        <v>N/A</v>
      </c>
      <c r="R616" s="95" t="str">
        <f t="shared" si="63"/>
        <v>NO CERT.</v>
      </c>
      <c r="S616" s="95" t="e">
        <f t="shared" si="64"/>
        <v>#N/A</v>
      </c>
      <c r="T616" s="119" t="e">
        <f>+IF(J616=LOOKUP(J616,'CAFCO 300 IDIEM TABLAS'!$J$4:$J$40),'CALCULO MORTERO'!J616,MROUND('CALCULO MORTERO'!J616,10))</f>
        <v>#N/A</v>
      </c>
      <c r="U616" s="118">
        <f t="shared" si="65"/>
        <v>0</v>
      </c>
      <c r="Y616" s="4"/>
      <c r="Z616" s="4"/>
      <c r="AA616" s="4"/>
    </row>
    <row r="617" spans="1:27" x14ac:dyDescent="0.25">
      <c r="A617" s="118">
        <f>+CUBICACION!D611</f>
        <v>0</v>
      </c>
      <c r="B617" s="819">
        <f>+CUBICACION!E611</f>
        <v>0</v>
      </c>
      <c r="C617" s="675">
        <f>+CUBICACION!F611</f>
        <v>0</v>
      </c>
      <c r="D617" s="118"/>
      <c r="E617" s="118"/>
      <c r="F617" s="820"/>
      <c r="G617" s="675">
        <f>+CUBICACION!J611</f>
        <v>0</v>
      </c>
      <c r="H617" s="118"/>
      <c r="I617" s="821">
        <f>+CUBICACION!L611</f>
        <v>0</v>
      </c>
      <c r="J617" s="64">
        <f>+CUBICACION!M611</f>
        <v>0</v>
      </c>
      <c r="K617" s="822" t="str">
        <f>+CUBICACION!N611</f>
        <v/>
      </c>
      <c r="L617" s="118">
        <f>+CUBICACION!O611</f>
        <v>0</v>
      </c>
      <c r="M617" s="823">
        <f>+CUBICACION!P611</f>
        <v>0</v>
      </c>
      <c r="N617" s="902">
        <f>ROUND(IF(AND(L617="Blaze Shield II",M617="Software Idiem",C617="IN",G617=4),((('BLAZE SHIELD II'!$D$4*('CALCULO MORTERO'!I617^2)+'BLAZE SHIELD II'!$D$5*'CALCULO MORTERO'!I617+'BLAZE SHIELD II'!$D$6)*LN(J617))+('BLAZE SHIELD II'!$D$7*('CALCULO MORTERO'!I617^2)+'BLAZE SHIELD II'!$D$8*'CALCULO MORTERO'!I617+'BLAZE SHIELD II'!$D$9)),0)+IF(AND(L617="Blaze Shield II",M617="Software Idiem",C617="Cj"),((('BLAZE SHIELD II'!$H$4*('CALCULO MORTERO'!I617^2)+'BLAZE SHIELD II'!$H$5*'CALCULO MORTERO'!I617+'BLAZE SHIELD II'!$H$6)*LN(J617))+('BLAZE SHIELD II'!$H$7*('CALCULO MORTERO'!I617^2)+'BLAZE SHIELD II'!$H$8*'CALCULO MORTERO'!I617+'BLAZE SHIELD II'!$H$9)),0)+IF(AND(L617="Blaze Shield II",M617="Software Idiem",C617="C"),((('BLAZE SHIELD II'!$L$4*('CALCULO MORTERO'!I617^2)+'BLAZE SHIELD II'!$L$5*'CALCULO MORTERO'!I617+'BLAZE SHIELD II'!$L$6)*LN(J617))+('BLAZE SHIELD II'!$L$7*('CALCULO MORTERO'!I617^2)+'BLAZE SHIELD II'!$L$8*'CALCULO MORTERO'!I617+'BLAZE SHIELD II'!$L$9)),0)+IF(AND(L617="Blaze Shield II",M617="Software Idiem",C617="L"),((('BLAZE SHIELD II'!$L$4*('CALCULO MORTERO'!I617^2)+'BLAZE SHIELD II'!$L$5*'CALCULO MORTERO'!I617+'BLAZE SHIELD II'!$L$6)*LN(J617))+('BLAZE SHIELD II'!$L$7*('CALCULO MORTERO'!I617^2)+'BLAZE SHIELD II'!$L$8*'CALCULO MORTERO'!I617+'BLAZE SHIELD II'!$L$9)),0)+IF(AND(L617="Blaze Shield II",M617="Software Idiem",C617="IN",G617=3),((('BLAZE SHIELD II'!$H$14*('CALCULO MORTERO'!I617^2)+'BLAZE SHIELD II'!$H$15*'CALCULO MORTERO'!I617+'BLAZE SHIELD II'!$H$16)*LN(J617))+('BLAZE SHIELD II'!$H$17*('CALCULO MORTERO'!I617^2)+'BLAZE SHIELD II'!$H$18*'CALCULO MORTERO'!I617+'BLAZE SHIELD II'!$H$19)),0),0)+ROUND(IF(AND(L617="Cafco 400",M617="Software Idiem",C617="IN",G617=4),((('CAFCO 400 '!$H$7*(J617^4)+'CAFCO 400 '!$H$8*(J617^3)+'CAFCO 400 '!$H$9*(J617^2)+'CAFCO 400 '!$H$10*J617+'CAFCO 400 '!$H$11)*U617^2)+(('CAFCO 400 '!$H$12*(J617^3)+'CAFCO 400 '!$H$13*(J617^2)+'CAFCO 400 '!$H$14*J617+'CAFCO 400 '!$H$15)*U617)+('CAFCO 400 '!$H$16*(J617^2)+'CAFCO 400 '!$H$17*J617+'CAFCO 400 '!$H$18)),0)+IF(AND(L617="Cafco 400",M617="Software Idiem",C617="Cj"),(((('CAFCO 400 '!$D$7*LN(J617)+'CAFCO 400 '!$D$8)*U617^2)+(('CAFCO 400 '!$D$9*LN(J617)+'CAFCO 400 '!$D$10)*U617)+('CAFCO 400 '!$D$11*LN(J617)+'CAFCO 400 '!$D$12))),0)+IF(AND(L617="Cafco 400",M617="Software Idiem",C617="C"),((('CAFCO 400 '!$L$7*(J617^3)+'CAFCO 400 '!$L$8*(J617^2)+'CAFCO 400 '!$L$9*J617+'CAFCO 400 '!$L$10)*U617^2)+(('CAFCO 400 '!$L$11*(J617^3)+'CAFCO 400 '!$L$12*(J617^2)+'CAFCO 400 '!$L$13*J617+'CAFCO 400 '!$L$14)*U617)+('CAFCO 400 '!$L$15*LN(J617)+'CAFCO 400 '!$L$16)),0)+IF(AND(L617="Cafco 400",M617="Software Idiem",C617="L"),((('CAFCO 400 '!$L$7*(J617^3)+'CAFCO 400 '!$L$8*(J617^2)+'CAFCO 400 '!$L$9*J617+'CAFCO 400 '!$L$10)*U617^2)+(('CAFCO 400 '!$L$11*(J617^3)+'CAFCO 400 '!$L$12*(J617^2)+'CAFCO 400 '!$L$13*J617+'CAFCO 400 '!$L$14)*U617)+('CAFCO 400 '!$L$15*LN(J617)+'CAFCO 400 '!$L$16)),0)+IF(AND(L617="Cafco 400",M617="Software Idiem",C617="IN",G617=3),((('CAFCO 400 '!$D$23*(J617^2)+'CAFCO 400 '!$D$24*(J617)+'CAFCO 400 '!$D$25)*U617^2)+(('CAFCO 400 '!$D$26*(J617^2)+'CAFCO 400 '!$D$27*J617+'CAFCO 400 '!$D$28)*U617)+('CAFCO 400 '!$D$29*(J617^2)+'CAFCO 400 '!$D$30*J617+'CAFCO 400 '!$D$31)),0),0)+IF(AND(L617="Cafco 300",J617&gt;=95,J617&lt;=240,C617="Cj",I617=90),VLOOKUP(T617,'CAFCO 300 IDIEM TABLAS'!$B$4:$D$23,2,FALSE),0)+IF(AND(L617="Cafco 300",J617&gt;=95,J617&lt;=240,C617="Cj",I617=120),VLOOKUP(T617,'CAFCO 300 IDIEM TABLAS'!$B$4:$D$23,3,FALSE),0)+IF(AND(L617="Cafco 300",J617&gt;=95,J617&lt;=400,G617=3,C617="IN",I617=90),VLOOKUP(T617,'CAFCO 300 IDIEM TABLAS'!$F$4:$H$35,2,FALSE),0)+IF(AND(L617="Cafco 300",J617&gt;=95,J617&lt;=400,G617=3,C617="IN",I617=120),VLOOKUP(T617,'CAFCO 300 IDIEM TABLAS'!$F$4:$H$35,3,FALSE),0)+IF(AND(L617="Cafco 300",J617&gt;=95,J617&lt;=450,G617=4,C617="IN",I617=90),VLOOKUP(T617,'CAFCO 300 IDIEM TABLAS'!$J$4:$L$40,2,FALSE),0)+IF(AND(L617="Cafco 300",J617&gt;=95,J617&lt;=450,G617=4,C617="IN",I617=120),VLOOKUP(T617,'CAFCO 300 IDIEM TABLAS'!$J$4:$L$40,3,FALSE),0)+IF(AND(M617="Ensayo Idiem",L617="Cafco 400",C617="IN",G617=4,I617=90),VLOOKUP(T617,'CAFCO 400 ENSAYO'!$B$7:$D$43,2,FALSE),0)+IF(AND(M617="Ensayo Idiem",L617="Cafco 400",C617="IN",G617=4,I617=120),VLOOKUP(T617,'CAFCO 400 ENSAYO'!$B$7:$D$43,3,FALSE),0)</f>
        <v>0</v>
      </c>
      <c r="O617" s="96">
        <f t="shared" si="66"/>
        <v>0</v>
      </c>
      <c r="P617" s="132" t="str">
        <f t="shared" si="61"/>
        <v>N/A</v>
      </c>
      <c r="Q617" s="132" t="str">
        <f t="shared" si="62"/>
        <v>N/A</v>
      </c>
      <c r="R617" s="132" t="str">
        <f t="shared" si="63"/>
        <v>NO CERT.</v>
      </c>
      <c r="S617" s="132" t="e">
        <f t="shared" si="64"/>
        <v>#N/A</v>
      </c>
      <c r="T617" s="133" t="e">
        <f>+IF(J617=LOOKUP(J617,'CAFCO 300 IDIEM TABLAS'!$J$4:$J$40),'CALCULO MORTERO'!J617,MROUND('CALCULO MORTERO'!J617,10))</f>
        <v>#N/A</v>
      </c>
      <c r="U617" s="134">
        <f t="shared" si="65"/>
        <v>0</v>
      </c>
      <c r="Y617" s="4"/>
      <c r="Z617" s="4"/>
      <c r="AA617" s="4"/>
    </row>
    <row r="618" spans="1:27" x14ac:dyDescent="0.25">
      <c r="A618" s="118">
        <f>+CUBICACION!D612</f>
        <v>0</v>
      </c>
      <c r="B618" s="819">
        <f>+CUBICACION!E612</f>
        <v>0</v>
      </c>
      <c r="C618" s="675">
        <f>+CUBICACION!F612</f>
        <v>0</v>
      </c>
      <c r="D618" s="118"/>
      <c r="E618" s="118"/>
      <c r="F618" s="820"/>
      <c r="G618" s="675">
        <f>+CUBICACION!J612</f>
        <v>0</v>
      </c>
      <c r="H618" s="118"/>
      <c r="I618" s="821">
        <f>+CUBICACION!L612</f>
        <v>0</v>
      </c>
      <c r="J618" s="64">
        <f>+CUBICACION!M612</f>
        <v>0</v>
      </c>
      <c r="K618" s="822" t="str">
        <f>+CUBICACION!N612</f>
        <v/>
      </c>
      <c r="L618" s="118">
        <f>+CUBICACION!O612</f>
        <v>0</v>
      </c>
      <c r="M618" s="823">
        <f>+CUBICACION!P612</f>
        <v>0</v>
      </c>
      <c r="N618" s="902">
        <f>ROUND(IF(AND(L618="Blaze Shield II",M618="Software Idiem",C618="IN",G618=4),((('BLAZE SHIELD II'!$D$4*('CALCULO MORTERO'!I618^2)+'BLAZE SHIELD II'!$D$5*'CALCULO MORTERO'!I618+'BLAZE SHIELD II'!$D$6)*LN(J618))+('BLAZE SHIELD II'!$D$7*('CALCULO MORTERO'!I618^2)+'BLAZE SHIELD II'!$D$8*'CALCULO MORTERO'!I618+'BLAZE SHIELD II'!$D$9)),0)+IF(AND(L618="Blaze Shield II",M618="Software Idiem",C618="Cj"),((('BLAZE SHIELD II'!$H$4*('CALCULO MORTERO'!I618^2)+'BLAZE SHIELD II'!$H$5*'CALCULO MORTERO'!I618+'BLAZE SHIELD II'!$H$6)*LN(J618))+('BLAZE SHIELD II'!$H$7*('CALCULO MORTERO'!I618^2)+'BLAZE SHIELD II'!$H$8*'CALCULO MORTERO'!I618+'BLAZE SHIELD II'!$H$9)),0)+IF(AND(L618="Blaze Shield II",M618="Software Idiem",C618="C"),((('BLAZE SHIELD II'!$L$4*('CALCULO MORTERO'!I618^2)+'BLAZE SHIELD II'!$L$5*'CALCULO MORTERO'!I618+'BLAZE SHIELD II'!$L$6)*LN(J618))+('BLAZE SHIELD II'!$L$7*('CALCULO MORTERO'!I618^2)+'BLAZE SHIELD II'!$L$8*'CALCULO MORTERO'!I618+'BLAZE SHIELD II'!$L$9)),0)+IF(AND(L618="Blaze Shield II",M618="Software Idiem",C618="L"),((('BLAZE SHIELD II'!$L$4*('CALCULO MORTERO'!I618^2)+'BLAZE SHIELD II'!$L$5*'CALCULO MORTERO'!I618+'BLAZE SHIELD II'!$L$6)*LN(J618))+('BLAZE SHIELD II'!$L$7*('CALCULO MORTERO'!I618^2)+'BLAZE SHIELD II'!$L$8*'CALCULO MORTERO'!I618+'BLAZE SHIELD II'!$L$9)),0)+IF(AND(L618="Blaze Shield II",M618="Software Idiem",C618="IN",G618=3),((('BLAZE SHIELD II'!$H$14*('CALCULO MORTERO'!I618^2)+'BLAZE SHIELD II'!$H$15*'CALCULO MORTERO'!I618+'BLAZE SHIELD II'!$H$16)*LN(J618))+('BLAZE SHIELD II'!$H$17*('CALCULO MORTERO'!I618^2)+'BLAZE SHIELD II'!$H$18*'CALCULO MORTERO'!I618+'BLAZE SHIELD II'!$H$19)),0),0)+ROUND(IF(AND(L618="Cafco 400",M618="Software Idiem",C618="IN",G618=4),((('CAFCO 400 '!$H$7*(J618^4)+'CAFCO 400 '!$H$8*(J618^3)+'CAFCO 400 '!$H$9*(J618^2)+'CAFCO 400 '!$H$10*J618+'CAFCO 400 '!$H$11)*U618^2)+(('CAFCO 400 '!$H$12*(J618^3)+'CAFCO 400 '!$H$13*(J618^2)+'CAFCO 400 '!$H$14*J618+'CAFCO 400 '!$H$15)*U618)+('CAFCO 400 '!$H$16*(J618^2)+'CAFCO 400 '!$H$17*J618+'CAFCO 400 '!$H$18)),0)+IF(AND(L618="Cafco 400",M618="Software Idiem",C618="Cj"),(((('CAFCO 400 '!$D$7*LN(J618)+'CAFCO 400 '!$D$8)*U618^2)+(('CAFCO 400 '!$D$9*LN(J618)+'CAFCO 400 '!$D$10)*U618)+('CAFCO 400 '!$D$11*LN(J618)+'CAFCO 400 '!$D$12))),0)+IF(AND(L618="Cafco 400",M618="Software Idiem",C618="C"),((('CAFCO 400 '!$L$7*(J618^3)+'CAFCO 400 '!$L$8*(J618^2)+'CAFCO 400 '!$L$9*J618+'CAFCO 400 '!$L$10)*U618^2)+(('CAFCO 400 '!$L$11*(J618^3)+'CAFCO 400 '!$L$12*(J618^2)+'CAFCO 400 '!$L$13*J618+'CAFCO 400 '!$L$14)*U618)+('CAFCO 400 '!$L$15*LN(J618)+'CAFCO 400 '!$L$16)),0)+IF(AND(L618="Cafco 400",M618="Software Idiem",C618="L"),((('CAFCO 400 '!$L$7*(J618^3)+'CAFCO 400 '!$L$8*(J618^2)+'CAFCO 400 '!$L$9*J618+'CAFCO 400 '!$L$10)*U618^2)+(('CAFCO 400 '!$L$11*(J618^3)+'CAFCO 400 '!$L$12*(J618^2)+'CAFCO 400 '!$L$13*J618+'CAFCO 400 '!$L$14)*U618)+('CAFCO 400 '!$L$15*LN(J618)+'CAFCO 400 '!$L$16)),0)+IF(AND(L618="Cafco 400",M618="Software Idiem",C618="IN",G618=3),((('CAFCO 400 '!$D$23*(J618^2)+'CAFCO 400 '!$D$24*(J618)+'CAFCO 400 '!$D$25)*U618^2)+(('CAFCO 400 '!$D$26*(J618^2)+'CAFCO 400 '!$D$27*J618+'CAFCO 400 '!$D$28)*U618)+('CAFCO 400 '!$D$29*(J618^2)+'CAFCO 400 '!$D$30*J618+'CAFCO 400 '!$D$31)),0),0)+IF(AND(L618="Cafco 300",J618&gt;=95,J618&lt;=240,C618="Cj",I618=90),VLOOKUP(T618,'CAFCO 300 IDIEM TABLAS'!$B$4:$D$23,2,FALSE),0)+IF(AND(L618="Cafco 300",J618&gt;=95,J618&lt;=240,C618="Cj",I618=120),VLOOKUP(T618,'CAFCO 300 IDIEM TABLAS'!$B$4:$D$23,3,FALSE),0)+IF(AND(L618="Cafco 300",J618&gt;=95,J618&lt;=400,G618=3,C618="IN",I618=90),VLOOKUP(T618,'CAFCO 300 IDIEM TABLAS'!$F$4:$H$35,2,FALSE),0)+IF(AND(L618="Cafco 300",J618&gt;=95,J618&lt;=400,G618=3,C618="IN",I618=120),VLOOKUP(T618,'CAFCO 300 IDIEM TABLAS'!$F$4:$H$35,3,FALSE),0)+IF(AND(L618="Cafco 300",J618&gt;=95,J618&lt;=450,G618=4,C618="IN",I618=90),VLOOKUP(T618,'CAFCO 300 IDIEM TABLAS'!$J$4:$L$40,2,FALSE),0)+IF(AND(L618="Cafco 300",J618&gt;=95,J618&lt;=450,G618=4,C618="IN",I618=120),VLOOKUP(T618,'CAFCO 300 IDIEM TABLAS'!$J$4:$L$40,3,FALSE),0)+IF(AND(M618="Ensayo Idiem",L618="Cafco 400",C618="IN",G618=4,I618=90),VLOOKUP(T618,'CAFCO 400 ENSAYO'!$B$7:$D$43,2,FALSE),0)+IF(AND(M618="Ensayo Idiem",L618="Cafco 400",C618="IN",G618=4,I618=120),VLOOKUP(T618,'CAFCO 400 ENSAYO'!$B$7:$D$43,3,FALSE),0)</f>
        <v>0</v>
      </c>
      <c r="O618" s="96">
        <f t="shared" si="66"/>
        <v>0</v>
      </c>
      <c r="P618" s="95" t="str">
        <f t="shared" si="61"/>
        <v>N/A</v>
      </c>
      <c r="Q618" s="95" t="str">
        <f t="shared" si="62"/>
        <v>N/A</v>
      </c>
      <c r="R618" s="95" t="str">
        <f t="shared" si="63"/>
        <v>NO CERT.</v>
      </c>
      <c r="S618" s="95" t="e">
        <f t="shared" si="64"/>
        <v>#N/A</v>
      </c>
      <c r="T618" s="119" t="e">
        <f>+IF(J618=LOOKUP(J618,'CAFCO 300 IDIEM TABLAS'!$J$4:$J$40),'CALCULO MORTERO'!J618,MROUND('CALCULO MORTERO'!J618,10))</f>
        <v>#N/A</v>
      </c>
      <c r="U618" s="118">
        <f t="shared" si="65"/>
        <v>0</v>
      </c>
      <c r="Y618" s="4"/>
      <c r="Z618" s="4"/>
      <c r="AA618" s="4"/>
    </row>
    <row r="619" spans="1:27" x14ac:dyDescent="0.25">
      <c r="A619" s="118">
        <f>+CUBICACION!D613</f>
        <v>0</v>
      </c>
      <c r="B619" s="819">
        <f>+CUBICACION!E613</f>
        <v>0</v>
      </c>
      <c r="C619" s="675">
        <f>+CUBICACION!F613</f>
        <v>0</v>
      </c>
      <c r="D619" s="118"/>
      <c r="E619" s="118"/>
      <c r="F619" s="820"/>
      <c r="G619" s="675">
        <f>+CUBICACION!J613</f>
        <v>0</v>
      </c>
      <c r="H619" s="118"/>
      <c r="I619" s="821">
        <f>+CUBICACION!L613</f>
        <v>0</v>
      </c>
      <c r="J619" s="64">
        <f>+CUBICACION!M613</f>
        <v>0</v>
      </c>
      <c r="K619" s="822" t="str">
        <f>+CUBICACION!N613</f>
        <v/>
      </c>
      <c r="L619" s="118">
        <f>+CUBICACION!O613</f>
        <v>0</v>
      </c>
      <c r="M619" s="823">
        <f>+CUBICACION!P613</f>
        <v>0</v>
      </c>
      <c r="N619" s="902">
        <f>ROUND(IF(AND(L619="Blaze Shield II",M619="Software Idiem",C619="IN",G619=4),((('BLAZE SHIELD II'!$D$4*('CALCULO MORTERO'!I619^2)+'BLAZE SHIELD II'!$D$5*'CALCULO MORTERO'!I619+'BLAZE SHIELD II'!$D$6)*LN(J619))+('BLAZE SHIELD II'!$D$7*('CALCULO MORTERO'!I619^2)+'BLAZE SHIELD II'!$D$8*'CALCULO MORTERO'!I619+'BLAZE SHIELD II'!$D$9)),0)+IF(AND(L619="Blaze Shield II",M619="Software Idiem",C619="Cj"),((('BLAZE SHIELD II'!$H$4*('CALCULO MORTERO'!I619^2)+'BLAZE SHIELD II'!$H$5*'CALCULO MORTERO'!I619+'BLAZE SHIELD II'!$H$6)*LN(J619))+('BLAZE SHIELD II'!$H$7*('CALCULO MORTERO'!I619^2)+'BLAZE SHIELD II'!$H$8*'CALCULO MORTERO'!I619+'BLAZE SHIELD II'!$H$9)),0)+IF(AND(L619="Blaze Shield II",M619="Software Idiem",C619="C"),((('BLAZE SHIELD II'!$L$4*('CALCULO MORTERO'!I619^2)+'BLAZE SHIELD II'!$L$5*'CALCULO MORTERO'!I619+'BLAZE SHIELD II'!$L$6)*LN(J619))+('BLAZE SHIELD II'!$L$7*('CALCULO MORTERO'!I619^2)+'BLAZE SHIELD II'!$L$8*'CALCULO MORTERO'!I619+'BLAZE SHIELD II'!$L$9)),0)+IF(AND(L619="Blaze Shield II",M619="Software Idiem",C619="L"),((('BLAZE SHIELD II'!$L$4*('CALCULO MORTERO'!I619^2)+'BLAZE SHIELD II'!$L$5*'CALCULO MORTERO'!I619+'BLAZE SHIELD II'!$L$6)*LN(J619))+('BLAZE SHIELD II'!$L$7*('CALCULO MORTERO'!I619^2)+'BLAZE SHIELD II'!$L$8*'CALCULO MORTERO'!I619+'BLAZE SHIELD II'!$L$9)),0)+IF(AND(L619="Blaze Shield II",M619="Software Idiem",C619="IN",G619=3),((('BLAZE SHIELD II'!$H$14*('CALCULO MORTERO'!I619^2)+'BLAZE SHIELD II'!$H$15*'CALCULO MORTERO'!I619+'BLAZE SHIELD II'!$H$16)*LN(J619))+('BLAZE SHIELD II'!$H$17*('CALCULO MORTERO'!I619^2)+'BLAZE SHIELD II'!$H$18*'CALCULO MORTERO'!I619+'BLAZE SHIELD II'!$H$19)),0),0)+ROUND(IF(AND(L619="Cafco 400",M619="Software Idiem",C619="IN",G619=4),((('CAFCO 400 '!$H$7*(J619^4)+'CAFCO 400 '!$H$8*(J619^3)+'CAFCO 400 '!$H$9*(J619^2)+'CAFCO 400 '!$H$10*J619+'CAFCO 400 '!$H$11)*U619^2)+(('CAFCO 400 '!$H$12*(J619^3)+'CAFCO 400 '!$H$13*(J619^2)+'CAFCO 400 '!$H$14*J619+'CAFCO 400 '!$H$15)*U619)+('CAFCO 400 '!$H$16*(J619^2)+'CAFCO 400 '!$H$17*J619+'CAFCO 400 '!$H$18)),0)+IF(AND(L619="Cafco 400",M619="Software Idiem",C619="Cj"),(((('CAFCO 400 '!$D$7*LN(J619)+'CAFCO 400 '!$D$8)*U619^2)+(('CAFCO 400 '!$D$9*LN(J619)+'CAFCO 400 '!$D$10)*U619)+('CAFCO 400 '!$D$11*LN(J619)+'CAFCO 400 '!$D$12))),0)+IF(AND(L619="Cafco 400",M619="Software Idiem",C619="C"),((('CAFCO 400 '!$L$7*(J619^3)+'CAFCO 400 '!$L$8*(J619^2)+'CAFCO 400 '!$L$9*J619+'CAFCO 400 '!$L$10)*U619^2)+(('CAFCO 400 '!$L$11*(J619^3)+'CAFCO 400 '!$L$12*(J619^2)+'CAFCO 400 '!$L$13*J619+'CAFCO 400 '!$L$14)*U619)+('CAFCO 400 '!$L$15*LN(J619)+'CAFCO 400 '!$L$16)),0)+IF(AND(L619="Cafco 400",M619="Software Idiem",C619="L"),((('CAFCO 400 '!$L$7*(J619^3)+'CAFCO 400 '!$L$8*(J619^2)+'CAFCO 400 '!$L$9*J619+'CAFCO 400 '!$L$10)*U619^2)+(('CAFCO 400 '!$L$11*(J619^3)+'CAFCO 400 '!$L$12*(J619^2)+'CAFCO 400 '!$L$13*J619+'CAFCO 400 '!$L$14)*U619)+('CAFCO 400 '!$L$15*LN(J619)+'CAFCO 400 '!$L$16)),0)+IF(AND(L619="Cafco 400",M619="Software Idiem",C619="IN",G619=3),((('CAFCO 400 '!$D$23*(J619^2)+'CAFCO 400 '!$D$24*(J619)+'CAFCO 400 '!$D$25)*U619^2)+(('CAFCO 400 '!$D$26*(J619^2)+'CAFCO 400 '!$D$27*J619+'CAFCO 400 '!$D$28)*U619)+('CAFCO 400 '!$D$29*(J619^2)+'CAFCO 400 '!$D$30*J619+'CAFCO 400 '!$D$31)),0),0)+IF(AND(L619="Cafco 300",J619&gt;=95,J619&lt;=240,C619="Cj",I619=90),VLOOKUP(T619,'CAFCO 300 IDIEM TABLAS'!$B$4:$D$23,2,FALSE),0)+IF(AND(L619="Cafco 300",J619&gt;=95,J619&lt;=240,C619="Cj",I619=120),VLOOKUP(T619,'CAFCO 300 IDIEM TABLAS'!$B$4:$D$23,3,FALSE),0)+IF(AND(L619="Cafco 300",J619&gt;=95,J619&lt;=400,G619=3,C619="IN",I619=90),VLOOKUP(T619,'CAFCO 300 IDIEM TABLAS'!$F$4:$H$35,2,FALSE),0)+IF(AND(L619="Cafco 300",J619&gt;=95,J619&lt;=400,G619=3,C619="IN",I619=120),VLOOKUP(T619,'CAFCO 300 IDIEM TABLAS'!$F$4:$H$35,3,FALSE),0)+IF(AND(L619="Cafco 300",J619&gt;=95,J619&lt;=450,G619=4,C619="IN",I619=90),VLOOKUP(T619,'CAFCO 300 IDIEM TABLAS'!$J$4:$L$40,2,FALSE),0)+IF(AND(L619="Cafco 300",J619&gt;=95,J619&lt;=450,G619=4,C619="IN",I619=120),VLOOKUP(T619,'CAFCO 300 IDIEM TABLAS'!$J$4:$L$40,3,FALSE),0)+IF(AND(M619="Ensayo Idiem",L619="Cafco 400",C619="IN",G619=4,I619=90),VLOOKUP(T619,'CAFCO 400 ENSAYO'!$B$7:$D$43,2,FALSE),0)+IF(AND(M619="Ensayo Idiem",L619="Cafco 400",C619="IN",G619=4,I619=120),VLOOKUP(T619,'CAFCO 400 ENSAYO'!$B$7:$D$43,3,FALSE),0)</f>
        <v>0</v>
      </c>
      <c r="O619" s="96">
        <f t="shared" si="66"/>
        <v>0</v>
      </c>
      <c r="P619" s="132" t="str">
        <f t="shared" si="61"/>
        <v>N/A</v>
      </c>
      <c r="Q619" s="132" t="str">
        <f t="shared" si="62"/>
        <v>N/A</v>
      </c>
      <c r="R619" s="132" t="str">
        <f t="shared" si="63"/>
        <v>NO CERT.</v>
      </c>
      <c r="S619" s="132" t="e">
        <f t="shared" si="64"/>
        <v>#N/A</v>
      </c>
      <c r="T619" s="133" t="e">
        <f>+IF(J619=LOOKUP(J619,'CAFCO 300 IDIEM TABLAS'!$J$4:$J$40),'CALCULO MORTERO'!J619,MROUND('CALCULO MORTERO'!J619,10))</f>
        <v>#N/A</v>
      </c>
      <c r="U619" s="134">
        <f t="shared" si="65"/>
        <v>0</v>
      </c>
      <c r="Y619" s="4"/>
      <c r="Z619" s="4"/>
      <c r="AA619" s="4"/>
    </row>
    <row r="620" spans="1:27" x14ac:dyDescent="0.25">
      <c r="A620" s="118">
        <f>+CUBICACION!D614</f>
        <v>0</v>
      </c>
      <c r="B620" s="819">
        <f>+CUBICACION!E614</f>
        <v>0</v>
      </c>
      <c r="C620" s="675">
        <f>+CUBICACION!F614</f>
        <v>0</v>
      </c>
      <c r="D620" s="118"/>
      <c r="E620" s="118"/>
      <c r="F620" s="820"/>
      <c r="G620" s="675">
        <f>+CUBICACION!J614</f>
        <v>0</v>
      </c>
      <c r="H620" s="118"/>
      <c r="I620" s="821">
        <f>+CUBICACION!L614</f>
        <v>0</v>
      </c>
      <c r="J620" s="64">
        <f>+CUBICACION!M614</f>
        <v>0</v>
      </c>
      <c r="K620" s="822" t="str">
        <f>+CUBICACION!N614</f>
        <v/>
      </c>
      <c r="L620" s="118">
        <f>+CUBICACION!O614</f>
        <v>0</v>
      </c>
      <c r="M620" s="823">
        <f>+CUBICACION!P614</f>
        <v>0</v>
      </c>
      <c r="N620" s="902">
        <f>ROUND(IF(AND(L620="Blaze Shield II",M620="Software Idiem",C620="IN",G620=4),((('BLAZE SHIELD II'!$D$4*('CALCULO MORTERO'!I620^2)+'BLAZE SHIELD II'!$D$5*'CALCULO MORTERO'!I620+'BLAZE SHIELD II'!$D$6)*LN(J620))+('BLAZE SHIELD II'!$D$7*('CALCULO MORTERO'!I620^2)+'BLAZE SHIELD II'!$D$8*'CALCULO MORTERO'!I620+'BLAZE SHIELD II'!$D$9)),0)+IF(AND(L620="Blaze Shield II",M620="Software Idiem",C620="Cj"),((('BLAZE SHIELD II'!$H$4*('CALCULO MORTERO'!I620^2)+'BLAZE SHIELD II'!$H$5*'CALCULO MORTERO'!I620+'BLAZE SHIELD II'!$H$6)*LN(J620))+('BLAZE SHIELD II'!$H$7*('CALCULO MORTERO'!I620^2)+'BLAZE SHIELD II'!$H$8*'CALCULO MORTERO'!I620+'BLAZE SHIELD II'!$H$9)),0)+IF(AND(L620="Blaze Shield II",M620="Software Idiem",C620="C"),((('BLAZE SHIELD II'!$L$4*('CALCULO MORTERO'!I620^2)+'BLAZE SHIELD II'!$L$5*'CALCULO MORTERO'!I620+'BLAZE SHIELD II'!$L$6)*LN(J620))+('BLAZE SHIELD II'!$L$7*('CALCULO MORTERO'!I620^2)+'BLAZE SHIELD II'!$L$8*'CALCULO MORTERO'!I620+'BLAZE SHIELD II'!$L$9)),0)+IF(AND(L620="Blaze Shield II",M620="Software Idiem",C620="L"),((('BLAZE SHIELD II'!$L$4*('CALCULO MORTERO'!I620^2)+'BLAZE SHIELD II'!$L$5*'CALCULO MORTERO'!I620+'BLAZE SHIELD II'!$L$6)*LN(J620))+('BLAZE SHIELD II'!$L$7*('CALCULO MORTERO'!I620^2)+'BLAZE SHIELD II'!$L$8*'CALCULO MORTERO'!I620+'BLAZE SHIELD II'!$L$9)),0)+IF(AND(L620="Blaze Shield II",M620="Software Idiem",C620="IN",G620=3),((('BLAZE SHIELD II'!$H$14*('CALCULO MORTERO'!I620^2)+'BLAZE SHIELD II'!$H$15*'CALCULO MORTERO'!I620+'BLAZE SHIELD II'!$H$16)*LN(J620))+('BLAZE SHIELD II'!$H$17*('CALCULO MORTERO'!I620^2)+'BLAZE SHIELD II'!$H$18*'CALCULO MORTERO'!I620+'BLAZE SHIELD II'!$H$19)),0),0)+ROUND(IF(AND(L620="Cafco 400",M620="Software Idiem",C620="IN",G620=4),((('CAFCO 400 '!$H$7*(J620^4)+'CAFCO 400 '!$H$8*(J620^3)+'CAFCO 400 '!$H$9*(J620^2)+'CAFCO 400 '!$H$10*J620+'CAFCO 400 '!$H$11)*U620^2)+(('CAFCO 400 '!$H$12*(J620^3)+'CAFCO 400 '!$H$13*(J620^2)+'CAFCO 400 '!$H$14*J620+'CAFCO 400 '!$H$15)*U620)+('CAFCO 400 '!$H$16*(J620^2)+'CAFCO 400 '!$H$17*J620+'CAFCO 400 '!$H$18)),0)+IF(AND(L620="Cafco 400",M620="Software Idiem",C620="Cj"),(((('CAFCO 400 '!$D$7*LN(J620)+'CAFCO 400 '!$D$8)*U620^2)+(('CAFCO 400 '!$D$9*LN(J620)+'CAFCO 400 '!$D$10)*U620)+('CAFCO 400 '!$D$11*LN(J620)+'CAFCO 400 '!$D$12))),0)+IF(AND(L620="Cafco 400",M620="Software Idiem",C620="C"),((('CAFCO 400 '!$L$7*(J620^3)+'CAFCO 400 '!$L$8*(J620^2)+'CAFCO 400 '!$L$9*J620+'CAFCO 400 '!$L$10)*U620^2)+(('CAFCO 400 '!$L$11*(J620^3)+'CAFCO 400 '!$L$12*(J620^2)+'CAFCO 400 '!$L$13*J620+'CAFCO 400 '!$L$14)*U620)+('CAFCO 400 '!$L$15*LN(J620)+'CAFCO 400 '!$L$16)),0)+IF(AND(L620="Cafco 400",M620="Software Idiem",C620="L"),((('CAFCO 400 '!$L$7*(J620^3)+'CAFCO 400 '!$L$8*(J620^2)+'CAFCO 400 '!$L$9*J620+'CAFCO 400 '!$L$10)*U620^2)+(('CAFCO 400 '!$L$11*(J620^3)+'CAFCO 400 '!$L$12*(J620^2)+'CAFCO 400 '!$L$13*J620+'CAFCO 400 '!$L$14)*U620)+('CAFCO 400 '!$L$15*LN(J620)+'CAFCO 400 '!$L$16)),0)+IF(AND(L620="Cafco 400",M620="Software Idiem",C620="IN",G620=3),((('CAFCO 400 '!$D$23*(J620^2)+'CAFCO 400 '!$D$24*(J620)+'CAFCO 400 '!$D$25)*U620^2)+(('CAFCO 400 '!$D$26*(J620^2)+'CAFCO 400 '!$D$27*J620+'CAFCO 400 '!$D$28)*U620)+('CAFCO 400 '!$D$29*(J620^2)+'CAFCO 400 '!$D$30*J620+'CAFCO 400 '!$D$31)),0),0)+IF(AND(L620="Cafco 300",J620&gt;=95,J620&lt;=240,C620="Cj",I620=90),VLOOKUP(T620,'CAFCO 300 IDIEM TABLAS'!$B$4:$D$23,2,FALSE),0)+IF(AND(L620="Cafco 300",J620&gt;=95,J620&lt;=240,C620="Cj",I620=120),VLOOKUP(T620,'CAFCO 300 IDIEM TABLAS'!$B$4:$D$23,3,FALSE),0)+IF(AND(L620="Cafco 300",J620&gt;=95,J620&lt;=400,G620=3,C620="IN",I620=90),VLOOKUP(T620,'CAFCO 300 IDIEM TABLAS'!$F$4:$H$35,2,FALSE),0)+IF(AND(L620="Cafco 300",J620&gt;=95,J620&lt;=400,G620=3,C620="IN",I620=120),VLOOKUP(T620,'CAFCO 300 IDIEM TABLAS'!$F$4:$H$35,3,FALSE),0)+IF(AND(L620="Cafco 300",J620&gt;=95,J620&lt;=450,G620=4,C620="IN",I620=90),VLOOKUP(T620,'CAFCO 300 IDIEM TABLAS'!$J$4:$L$40,2,FALSE),0)+IF(AND(L620="Cafco 300",J620&gt;=95,J620&lt;=450,G620=4,C620="IN",I620=120),VLOOKUP(T620,'CAFCO 300 IDIEM TABLAS'!$J$4:$L$40,3,FALSE),0)+IF(AND(M620="Ensayo Idiem",L620="Cafco 400",C620="IN",G620=4,I620=90),VLOOKUP(T620,'CAFCO 400 ENSAYO'!$B$7:$D$43,2,FALSE),0)+IF(AND(M620="Ensayo Idiem",L620="Cafco 400",C620="IN",G620=4,I620=120),VLOOKUP(T620,'CAFCO 400 ENSAYO'!$B$7:$D$43,3,FALSE),0)</f>
        <v>0</v>
      </c>
      <c r="O620" s="96">
        <f t="shared" si="66"/>
        <v>0</v>
      </c>
      <c r="P620" s="95" t="str">
        <f t="shared" si="61"/>
        <v>N/A</v>
      </c>
      <c r="Q620" s="95" t="str">
        <f t="shared" si="62"/>
        <v>N/A</v>
      </c>
      <c r="R620" s="95" t="str">
        <f t="shared" si="63"/>
        <v>NO CERT.</v>
      </c>
      <c r="S620" s="95" t="e">
        <f t="shared" si="64"/>
        <v>#N/A</v>
      </c>
      <c r="T620" s="119" t="e">
        <f>+IF(J620=LOOKUP(J620,'CAFCO 300 IDIEM TABLAS'!$J$4:$J$40),'CALCULO MORTERO'!J620,MROUND('CALCULO MORTERO'!J620,10))</f>
        <v>#N/A</v>
      </c>
      <c r="U620" s="118">
        <f t="shared" si="65"/>
        <v>0</v>
      </c>
      <c r="Y620" s="4"/>
      <c r="Z620" s="4"/>
      <c r="AA620" s="4"/>
    </row>
    <row r="621" spans="1:27" x14ac:dyDescent="0.25">
      <c r="A621" s="118">
        <f>+CUBICACION!D615</f>
        <v>0</v>
      </c>
      <c r="B621" s="819">
        <f>+CUBICACION!E615</f>
        <v>0</v>
      </c>
      <c r="C621" s="675">
        <f>+CUBICACION!F615</f>
        <v>0</v>
      </c>
      <c r="D621" s="118"/>
      <c r="E621" s="118"/>
      <c r="F621" s="820"/>
      <c r="G621" s="675">
        <f>+CUBICACION!J615</f>
        <v>0</v>
      </c>
      <c r="H621" s="118"/>
      <c r="I621" s="821">
        <f>+CUBICACION!L615</f>
        <v>0</v>
      </c>
      <c r="J621" s="64">
        <f>+CUBICACION!M615</f>
        <v>0</v>
      </c>
      <c r="K621" s="822" t="str">
        <f>+CUBICACION!N615</f>
        <v/>
      </c>
      <c r="L621" s="118">
        <f>+CUBICACION!O615</f>
        <v>0</v>
      </c>
      <c r="M621" s="823">
        <f>+CUBICACION!P615</f>
        <v>0</v>
      </c>
      <c r="N621" s="902">
        <f>ROUND(IF(AND(L621="Blaze Shield II",M621="Software Idiem",C621="IN",G621=4),((('BLAZE SHIELD II'!$D$4*('CALCULO MORTERO'!I621^2)+'BLAZE SHIELD II'!$D$5*'CALCULO MORTERO'!I621+'BLAZE SHIELD II'!$D$6)*LN(J621))+('BLAZE SHIELD II'!$D$7*('CALCULO MORTERO'!I621^2)+'BLAZE SHIELD II'!$D$8*'CALCULO MORTERO'!I621+'BLAZE SHIELD II'!$D$9)),0)+IF(AND(L621="Blaze Shield II",M621="Software Idiem",C621="Cj"),((('BLAZE SHIELD II'!$H$4*('CALCULO MORTERO'!I621^2)+'BLAZE SHIELD II'!$H$5*'CALCULO MORTERO'!I621+'BLAZE SHIELD II'!$H$6)*LN(J621))+('BLAZE SHIELD II'!$H$7*('CALCULO MORTERO'!I621^2)+'BLAZE SHIELD II'!$H$8*'CALCULO MORTERO'!I621+'BLAZE SHIELD II'!$H$9)),0)+IF(AND(L621="Blaze Shield II",M621="Software Idiem",C621="C"),((('BLAZE SHIELD II'!$L$4*('CALCULO MORTERO'!I621^2)+'BLAZE SHIELD II'!$L$5*'CALCULO MORTERO'!I621+'BLAZE SHIELD II'!$L$6)*LN(J621))+('BLAZE SHIELD II'!$L$7*('CALCULO MORTERO'!I621^2)+'BLAZE SHIELD II'!$L$8*'CALCULO MORTERO'!I621+'BLAZE SHIELD II'!$L$9)),0)+IF(AND(L621="Blaze Shield II",M621="Software Idiem",C621="L"),((('BLAZE SHIELD II'!$L$4*('CALCULO MORTERO'!I621^2)+'BLAZE SHIELD II'!$L$5*'CALCULO MORTERO'!I621+'BLAZE SHIELD II'!$L$6)*LN(J621))+('BLAZE SHIELD II'!$L$7*('CALCULO MORTERO'!I621^2)+'BLAZE SHIELD II'!$L$8*'CALCULO MORTERO'!I621+'BLAZE SHIELD II'!$L$9)),0)+IF(AND(L621="Blaze Shield II",M621="Software Idiem",C621="IN",G621=3),((('BLAZE SHIELD II'!$H$14*('CALCULO MORTERO'!I621^2)+'BLAZE SHIELD II'!$H$15*'CALCULO MORTERO'!I621+'BLAZE SHIELD II'!$H$16)*LN(J621))+('BLAZE SHIELD II'!$H$17*('CALCULO MORTERO'!I621^2)+'BLAZE SHIELD II'!$H$18*'CALCULO MORTERO'!I621+'BLAZE SHIELD II'!$H$19)),0),0)+ROUND(IF(AND(L621="Cafco 400",M621="Software Idiem",C621="IN",G621=4),((('CAFCO 400 '!$H$7*(J621^4)+'CAFCO 400 '!$H$8*(J621^3)+'CAFCO 400 '!$H$9*(J621^2)+'CAFCO 400 '!$H$10*J621+'CAFCO 400 '!$H$11)*U621^2)+(('CAFCO 400 '!$H$12*(J621^3)+'CAFCO 400 '!$H$13*(J621^2)+'CAFCO 400 '!$H$14*J621+'CAFCO 400 '!$H$15)*U621)+('CAFCO 400 '!$H$16*(J621^2)+'CAFCO 400 '!$H$17*J621+'CAFCO 400 '!$H$18)),0)+IF(AND(L621="Cafco 400",M621="Software Idiem",C621="Cj"),(((('CAFCO 400 '!$D$7*LN(J621)+'CAFCO 400 '!$D$8)*U621^2)+(('CAFCO 400 '!$D$9*LN(J621)+'CAFCO 400 '!$D$10)*U621)+('CAFCO 400 '!$D$11*LN(J621)+'CAFCO 400 '!$D$12))),0)+IF(AND(L621="Cafco 400",M621="Software Idiem",C621="C"),((('CAFCO 400 '!$L$7*(J621^3)+'CAFCO 400 '!$L$8*(J621^2)+'CAFCO 400 '!$L$9*J621+'CAFCO 400 '!$L$10)*U621^2)+(('CAFCO 400 '!$L$11*(J621^3)+'CAFCO 400 '!$L$12*(J621^2)+'CAFCO 400 '!$L$13*J621+'CAFCO 400 '!$L$14)*U621)+('CAFCO 400 '!$L$15*LN(J621)+'CAFCO 400 '!$L$16)),0)+IF(AND(L621="Cafco 400",M621="Software Idiem",C621="L"),((('CAFCO 400 '!$L$7*(J621^3)+'CAFCO 400 '!$L$8*(J621^2)+'CAFCO 400 '!$L$9*J621+'CAFCO 400 '!$L$10)*U621^2)+(('CAFCO 400 '!$L$11*(J621^3)+'CAFCO 400 '!$L$12*(J621^2)+'CAFCO 400 '!$L$13*J621+'CAFCO 400 '!$L$14)*U621)+('CAFCO 400 '!$L$15*LN(J621)+'CAFCO 400 '!$L$16)),0)+IF(AND(L621="Cafco 400",M621="Software Idiem",C621="IN",G621=3),((('CAFCO 400 '!$D$23*(J621^2)+'CAFCO 400 '!$D$24*(J621)+'CAFCO 400 '!$D$25)*U621^2)+(('CAFCO 400 '!$D$26*(J621^2)+'CAFCO 400 '!$D$27*J621+'CAFCO 400 '!$D$28)*U621)+('CAFCO 400 '!$D$29*(J621^2)+'CAFCO 400 '!$D$30*J621+'CAFCO 400 '!$D$31)),0),0)+IF(AND(L621="Cafco 300",J621&gt;=95,J621&lt;=240,C621="Cj",I621=90),VLOOKUP(T621,'CAFCO 300 IDIEM TABLAS'!$B$4:$D$23,2,FALSE),0)+IF(AND(L621="Cafco 300",J621&gt;=95,J621&lt;=240,C621="Cj",I621=120),VLOOKUP(T621,'CAFCO 300 IDIEM TABLAS'!$B$4:$D$23,3,FALSE),0)+IF(AND(L621="Cafco 300",J621&gt;=95,J621&lt;=400,G621=3,C621="IN",I621=90),VLOOKUP(T621,'CAFCO 300 IDIEM TABLAS'!$F$4:$H$35,2,FALSE),0)+IF(AND(L621="Cafco 300",J621&gt;=95,J621&lt;=400,G621=3,C621="IN",I621=120),VLOOKUP(T621,'CAFCO 300 IDIEM TABLAS'!$F$4:$H$35,3,FALSE),0)+IF(AND(L621="Cafco 300",J621&gt;=95,J621&lt;=450,G621=4,C621="IN",I621=90),VLOOKUP(T621,'CAFCO 300 IDIEM TABLAS'!$J$4:$L$40,2,FALSE),0)+IF(AND(L621="Cafco 300",J621&gt;=95,J621&lt;=450,G621=4,C621="IN",I621=120),VLOOKUP(T621,'CAFCO 300 IDIEM TABLAS'!$J$4:$L$40,3,FALSE),0)+IF(AND(M621="Ensayo Idiem",L621="Cafco 400",C621="IN",G621=4,I621=90),VLOOKUP(T621,'CAFCO 400 ENSAYO'!$B$7:$D$43,2,FALSE),0)+IF(AND(M621="Ensayo Idiem",L621="Cafco 400",C621="IN",G621=4,I621=120),VLOOKUP(T621,'CAFCO 400 ENSAYO'!$B$7:$D$43,3,FALSE),0)</f>
        <v>0</v>
      </c>
      <c r="O621" s="96">
        <f t="shared" si="66"/>
        <v>0</v>
      </c>
      <c r="P621" s="132" t="str">
        <f t="shared" si="61"/>
        <v>N/A</v>
      </c>
      <c r="Q621" s="132" t="str">
        <f t="shared" si="62"/>
        <v>N/A</v>
      </c>
      <c r="R621" s="132" t="str">
        <f t="shared" si="63"/>
        <v>NO CERT.</v>
      </c>
      <c r="S621" s="132" t="e">
        <f t="shared" si="64"/>
        <v>#N/A</v>
      </c>
      <c r="T621" s="133" t="e">
        <f>+IF(J621=LOOKUP(J621,'CAFCO 300 IDIEM TABLAS'!$J$4:$J$40),'CALCULO MORTERO'!J621,MROUND('CALCULO MORTERO'!J621,10))</f>
        <v>#N/A</v>
      </c>
      <c r="U621" s="134">
        <f t="shared" si="65"/>
        <v>0</v>
      </c>
      <c r="Y621" s="4"/>
      <c r="Z621" s="4"/>
      <c r="AA621" s="4"/>
    </row>
    <row r="622" spans="1:27" x14ac:dyDescent="0.25">
      <c r="A622" s="118">
        <f>+CUBICACION!D616</f>
        <v>0</v>
      </c>
      <c r="B622" s="819">
        <f>+CUBICACION!E616</f>
        <v>0</v>
      </c>
      <c r="C622" s="675">
        <f>+CUBICACION!F616</f>
        <v>0</v>
      </c>
      <c r="D622" s="118"/>
      <c r="E622" s="118"/>
      <c r="F622" s="820"/>
      <c r="G622" s="675">
        <f>+CUBICACION!J616</f>
        <v>0</v>
      </c>
      <c r="H622" s="118"/>
      <c r="I622" s="821">
        <f>+CUBICACION!L616</f>
        <v>0</v>
      </c>
      <c r="J622" s="64">
        <f>+CUBICACION!M616</f>
        <v>0</v>
      </c>
      <c r="K622" s="822" t="str">
        <f>+CUBICACION!N616</f>
        <v/>
      </c>
      <c r="L622" s="118">
        <f>+CUBICACION!O616</f>
        <v>0</v>
      </c>
      <c r="M622" s="823">
        <f>+CUBICACION!P616</f>
        <v>0</v>
      </c>
      <c r="N622" s="902">
        <f>ROUND(IF(AND(L622="Blaze Shield II",M622="Software Idiem",C622="IN",G622=4),((('BLAZE SHIELD II'!$D$4*('CALCULO MORTERO'!I622^2)+'BLAZE SHIELD II'!$D$5*'CALCULO MORTERO'!I622+'BLAZE SHIELD II'!$D$6)*LN(J622))+('BLAZE SHIELD II'!$D$7*('CALCULO MORTERO'!I622^2)+'BLAZE SHIELD II'!$D$8*'CALCULO MORTERO'!I622+'BLAZE SHIELD II'!$D$9)),0)+IF(AND(L622="Blaze Shield II",M622="Software Idiem",C622="Cj"),((('BLAZE SHIELD II'!$H$4*('CALCULO MORTERO'!I622^2)+'BLAZE SHIELD II'!$H$5*'CALCULO MORTERO'!I622+'BLAZE SHIELD II'!$H$6)*LN(J622))+('BLAZE SHIELD II'!$H$7*('CALCULO MORTERO'!I622^2)+'BLAZE SHIELD II'!$H$8*'CALCULO MORTERO'!I622+'BLAZE SHIELD II'!$H$9)),0)+IF(AND(L622="Blaze Shield II",M622="Software Idiem",C622="C"),((('BLAZE SHIELD II'!$L$4*('CALCULO MORTERO'!I622^2)+'BLAZE SHIELD II'!$L$5*'CALCULO MORTERO'!I622+'BLAZE SHIELD II'!$L$6)*LN(J622))+('BLAZE SHIELD II'!$L$7*('CALCULO MORTERO'!I622^2)+'BLAZE SHIELD II'!$L$8*'CALCULO MORTERO'!I622+'BLAZE SHIELD II'!$L$9)),0)+IF(AND(L622="Blaze Shield II",M622="Software Idiem",C622="L"),((('BLAZE SHIELD II'!$L$4*('CALCULO MORTERO'!I622^2)+'BLAZE SHIELD II'!$L$5*'CALCULO MORTERO'!I622+'BLAZE SHIELD II'!$L$6)*LN(J622))+('BLAZE SHIELD II'!$L$7*('CALCULO MORTERO'!I622^2)+'BLAZE SHIELD II'!$L$8*'CALCULO MORTERO'!I622+'BLAZE SHIELD II'!$L$9)),0)+IF(AND(L622="Blaze Shield II",M622="Software Idiem",C622="IN",G622=3),((('BLAZE SHIELD II'!$H$14*('CALCULO MORTERO'!I622^2)+'BLAZE SHIELD II'!$H$15*'CALCULO MORTERO'!I622+'BLAZE SHIELD II'!$H$16)*LN(J622))+('BLAZE SHIELD II'!$H$17*('CALCULO MORTERO'!I622^2)+'BLAZE SHIELD II'!$H$18*'CALCULO MORTERO'!I622+'BLAZE SHIELD II'!$H$19)),0),0)+ROUND(IF(AND(L622="Cafco 400",M622="Software Idiem",C622="IN",G622=4),((('CAFCO 400 '!$H$7*(J622^4)+'CAFCO 400 '!$H$8*(J622^3)+'CAFCO 400 '!$H$9*(J622^2)+'CAFCO 400 '!$H$10*J622+'CAFCO 400 '!$H$11)*U622^2)+(('CAFCO 400 '!$H$12*(J622^3)+'CAFCO 400 '!$H$13*(J622^2)+'CAFCO 400 '!$H$14*J622+'CAFCO 400 '!$H$15)*U622)+('CAFCO 400 '!$H$16*(J622^2)+'CAFCO 400 '!$H$17*J622+'CAFCO 400 '!$H$18)),0)+IF(AND(L622="Cafco 400",M622="Software Idiem",C622="Cj"),(((('CAFCO 400 '!$D$7*LN(J622)+'CAFCO 400 '!$D$8)*U622^2)+(('CAFCO 400 '!$D$9*LN(J622)+'CAFCO 400 '!$D$10)*U622)+('CAFCO 400 '!$D$11*LN(J622)+'CAFCO 400 '!$D$12))),0)+IF(AND(L622="Cafco 400",M622="Software Idiem",C622="C"),((('CAFCO 400 '!$L$7*(J622^3)+'CAFCO 400 '!$L$8*(J622^2)+'CAFCO 400 '!$L$9*J622+'CAFCO 400 '!$L$10)*U622^2)+(('CAFCO 400 '!$L$11*(J622^3)+'CAFCO 400 '!$L$12*(J622^2)+'CAFCO 400 '!$L$13*J622+'CAFCO 400 '!$L$14)*U622)+('CAFCO 400 '!$L$15*LN(J622)+'CAFCO 400 '!$L$16)),0)+IF(AND(L622="Cafco 400",M622="Software Idiem",C622="L"),((('CAFCO 400 '!$L$7*(J622^3)+'CAFCO 400 '!$L$8*(J622^2)+'CAFCO 400 '!$L$9*J622+'CAFCO 400 '!$L$10)*U622^2)+(('CAFCO 400 '!$L$11*(J622^3)+'CAFCO 400 '!$L$12*(J622^2)+'CAFCO 400 '!$L$13*J622+'CAFCO 400 '!$L$14)*U622)+('CAFCO 400 '!$L$15*LN(J622)+'CAFCO 400 '!$L$16)),0)+IF(AND(L622="Cafco 400",M622="Software Idiem",C622="IN",G622=3),((('CAFCO 400 '!$D$23*(J622^2)+'CAFCO 400 '!$D$24*(J622)+'CAFCO 400 '!$D$25)*U622^2)+(('CAFCO 400 '!$D$26*(J622^2)+'CAFCO 400 '!$D$27*J622+'CAFCO 400 '!$D$28)*U622)+('CAFCO 400 '!$D$29*(J622^2)+'CAFCO 400 '!$D$30*J622+'CAFCO 400 '!$D$31)),0),0)+IF(AND(L622="Cafco 300",J622&gt;=95,J622&lt;=240,C622="Cj",I622=90),VLOOKUP(T622,'CAFCO 300 IDIEM TABLAS'!$B$4:$D$23,2,FALSE),0)+IF(AND(L622="Cafco 300",J622&gt;=95,J622&lt;=240,C622="Cj",I622=120),VLOOKUP(T622,'CAFCO 300 IDIEM TABLAS'!$B$4:$D$23,3,FALSE),0)+IF(AND(L622="Cafco 300",J622&gt;=95,J622&lt;=400,G622=3,C622="IN",I622=90),VLOOKUP(T622,'CAFCO 300 IDIEM TABLAS'!$F$4:$H$35,2,FALSE),0)+IF(AND(L622="Cafco 300",J622&gt;=95,J622&lt;=400,G622=3,C622="IN",I622=120),VLOOKUP(T622,'CAFCO 300 IDIEM TABLAS'!$F$4:$H$35,3,FALSE),0)+IF(AND(L622="Cafco 300",J622&gt;=95,J622&lt;=450,G622=4,C622="IN",I622=90),VLOOKUP(T622,'CAFCO 300 IDIEM TABLAS'!$J$4:$L$40,2,FALSE),0)+IF(AND(L622="Cafco 300",J622&gt;=95,J622&lt;=450,G622=4,C622="IN",I622=120),VLOOKUP(T622,'CAFCO 300 IDIEM TABLAS'!$J$4:$L$40,3,FALSE),0)+IF(AND(M622="Ensayo Idiem",L622="Cafco 400",C622="IN",G622=4,I622=90),VLOOKUP(T622,'CAFCO 400 ENSAYO'!$B$7:$D$43,2,FALSE),0)+IF(AND(M622="Ensayo Idiem",L622="Cafco 400",C622="IN",G622=4,I622=120),VLOOKUP(T622,'CAFCO 400 ENSAYO'!$B$7:$D$43,3,FALSE),0)</f>
        <v>0</v>
      </c>
      <c r="O622" s="96">
        <f t="shared" si="66"/>
        <v>0</v>
      </c>
      <c r="P622" s="95" t="str">
        <f t="shared" si="61"/>
        <v>N/A</v>
      </c>
      <c r="Q622" s="95" t="str">
        <f t="shared" si="62"/>
        <v>N/A</v>
      </c>
      <c r="R622" s="95" t="str">
        <f t="shared" si="63"/>
        <v>NO CERT.</v>
      </c>
      <c r="S622" s="95" t="e">
        <f t="shared" si="64"/>
        <v>#N/A</v>
      </c>
      <c r="T622" s="119" t="e">
        <f>+IF(J622=LOOKUP(J622,'CAFCO 300 IDIEM TABLAS'!$J$4:$J$40),'CALCULO MORTERO'!J622,MROUND('CALCULO MORTERO'!J622,10))</f>
        <v>#N/A</v>
      </c>
      <c r="U622" s="118">
        <f t="shared" si="65"/>
        <v>0</v>
      </c>
      <c r="Y622" s="4"/>
      <c r="Z622" s="4"/>
      <c r="AA622" s="4"/>
    </row>
    <row r="623" spans="1:27" x14ac:dyDescent="0.25">
      <c r="A623" s="118">
        <f>+CUBICACION!D617</f>
        <v>0</v>
      </c>
      <c r="B623" s="819">
        <f>+CUBICACION!E617</f>
        <v>0</v>
      </c>
      <c r="C623" s="675">
        <f>+CUBICACION!F617</f>
        <v>0</v>
      </c>
      <c r="D623" s="118"/>
      <c r="E623" s="118"/>
      <c r="F623" s="820"/>
      <c r="G623" s="675">
        <f>+CUBICACION!J617</f>
        <v>0</v>
      </c>
      <c r="H623" s="118"/>
      <c r="I623" s="821">
        <f>+CUBICACION!L617</f>
        <v>0</v>
      </c>
      <c r="J623" s="64">
        <f>+CUBICACION!M617</f>
        <v>0</v>
      </c>
      <c r="K623" s="822" t="str">
        <f>+CUBICACION!N617</f>
        <v/>
      </c>
      <c r="L623" s="118">
        <f>+CUBICACION!O617</f>
        <v>0</v>
      </c>
      <c r="M623" s="823">
        <f>+CUBICACION!P617</f>
        <v>0</v>
      </c>
      <c r="N623" s="902">
        <f>ROUND(IF(AND(L623="Blaze Shield II",M623="Software Idiem",C623="IN",G623=4),((('BLAZE SHIELD II'!$D$4*('CALCULO MORTERO'!I623^2)+'BLAZE SHIELD II'!$D$5*'CALCULO MORTERO'!I623+'BLAZE SHIELD II'!$D$6)*LN(J623))+('BLAZE SHIELD II'!$D$7*('CALCULO MORTERO'!I623^2)+'BLAZE SHIELD II'!$D$8*'CALCULO MORTERO'!I623+'BLAZE SHIELD II'!$D$9)),0)+IF(AND(L623="Blaze Shield II",M623="Software Idiem",C623="Cj"),((('BLAZE SHIELD II'!$H$4*('CALCULO MORTERO'!I623^2)+'BLAZE SHIELD II'!$H$5*'CALCULO MORTERO'!I623+'BLAZE SHIELD II'!$H$6)*LN(J623))+('BLAZE SHIELD II'!$H$7*('CALCULO MORTERO'!I623^2)+'BLAZE SHIELD II'!$H$8*'CALCULO MORTERO'!I623+'BLAZE SHIELD II'!$H$9)),0)+IF(AND(L623="Blaze Shield II",M623="Software Idiem",C623="C"),((('BLAZE SHIELD II'!$L$4*('CALCULO MORTERO'!I623^2)+'BLAZE SHIELD II'!$L$5*'CALCULO MORTERO'!I623+'BLAZE SHIELD II'!$L$6)*LN(J623))+('BLAZE SHIELD II'!$L$7*('CALCULO MORTERO'!I623^2)+'BLAZE SHIELD II'!$L$8*'CALCULO MORTERO'!I623+'BLAZE SHIELD II'!$L$9)),0)+IF(AND(L623="Blaze Shield II",M623="Software Idiem",C623="L"),((('BLAZE SHIELD II'!$L$4*('CALCULO MORTERO'!I623^2)+'BLAZE SHIELD II'!$L$5*'CALCULO MORTERO'!I623+'BLAZE SHIELD II'!$L$6)*LN(J623))+('BLAZE SHIELD II'!$L$7*('CALCULO MORTERO'!I623^2)+'BLAZE SHIELD II'!$L$8*'CALCULO MORTERO'!I623+'BLAZE SHIELD II'!$L$9)),0)+IF(AND(L623="Blaze Shield II",M623="Software Idiem",C623="IN",G623=3),((('BLAZE SHIELD II'!$H$14*('CALCULO MORTERO'!I623^2)+'BLAZE SHIELD II'!$H$15*'CALCULO MORTERO'!I623+'BLAZE SHIELD II'!$H$16)*LN(J623))+('BLAZE SHIELD II'!$H$17*('CALCULO MORTERO'!I623^2)+'BLAZE SHIELD II'!$H$18*'CALCULO MORTERO'!I623+'BLAZE SHIELD II'!$H$19)),0),0)+ROUND(IF(AND(L623="Cafco 400",M623="Software Idiem",C623="IN",G623=4),((('CAFCO 400 '!$H$7*(J623^4)+'CAFCO 400 '!$H$8*(J623^3)+'CAFCO 400 '!$H$9*(J623^2)+'CAFCO 400 '!$H$10*J623+'CAFCO 400 '!$H$11)*U623^2)+(('CAFCO 400 '!$H$12*(J623^3)+'CAFCO 400 '!$H$13*(J623^2)+'CAFCO 400 '!$H$14*J623+'CAFCO 400 '!$H$15)*U623)+('CAFCO 400 '!$H$16*(J623^2)+'CAFCO 400 '!$H$17*J623+'CAFCO 400 '!$H$18)),0)+IF(AND(L623="Cafco 400",M623="Software Idiem",C623="Cj"),(((('CAFCO 400 '!$D$7*LN(J623)+'CAFCO 400 '!$D$8)*U623^2)+(('CAFCO 400 '!$D$9*LN(J623)+'CAFCO 400 '!$D$10)*U623)+('CAFCO 400 '!$D$11*LN(J623)+'CAFCO 400 '!$D$12))),0)+IF(AND(L623="Cafco 400",M623="Software Idiem",C623="C"),((('CAFCO 400 '!$L$7*(J623^3)+'CAFCO 400 '!$L$8*(J623^2)+'CAFCO 400 '!$L$9*J623+'CAFCO 400 '!$L$10)*U623^2)+(('CAFCO 400 '!$L$11*(J623^3)+'CAFCO 400 '!$L$12*(J623^2)+'CAFCO 400 '!$L$13*J623+'CAFCO 400 '!$L$14)*U623)+('CAFCO 400 '!$L$15*LN(J623)+'CAFCO 400 '!$L$16)),0)+IF(AND(L623="Cafco 400",M623="Software Idiem",C623="L"),((('CAFCO 400 '!$L$7*(J623^3)+'CAFCO 400 '!$L$8*(J623^2)+'CAFCO 400 '!$L$9*J623+'CAFCO 400 '!$L$10)*U623^2)+(('CAFCO 400 '!$L$11*(J623^3)+'CAFCO 400 '!$L$12*(J623^2)+'CAFCO 400 '!$L$13*J623+'CAFCO 400 '!$L$14)*U623)+('CAFCO 400 '!$L$15*LN(J623)+'CAFCO 400 '!$L$16)),0)+IF(AND(L623="Cafco 400",M623="Software Idiem",C623="IN",G623=3),((('CAFCO 400 '!$D$23*(J623^2)+'CAFCO 400 '!$D$24*(J623)+'CAFCO 400 '!$D$25)*U623^2)+(('CAFCO 400 '!$D$26*(J623^2)+'CAFCO 400 '!$D$27*J623+'CAFCO 400 '!$D$28)*U623)+('CAFCO 400 '!$D$29*(J623^2)+'CAFCO 400 '!$D$30*J623+'CAFCO 400 '!$D$31)),0),0)+IF(AND(L623="Cafco 300",J623&gt;=95,J623&lt;=240,C623="Cj",I623=90),VLOOKUP(T623,'CAFCO 300 IDIEM TABLAS'!$B$4:$D$23,2,FALSE),0)+IF(AND(L623="Cafco 300",J623&gt;=95,J623&lt;=240,C623="Cj",I623=120),VLOOKUP(T623,'CAFCO 300 IDIEM TABLAS'!$B$4:$D$23,3,FALSE),0)+IF(AND(L623="Cafco 300",J623&gt;=95,J623&lt;=400,G623=3,C623="IN",I623=90),VLOOKUP(T623,'CAFCO 300 IDIEM TABLAS'!$F$4:$H$35,2,FALSE),0)+IF(AND(L623="Cafco 300",J623&gt;=95,J623&lt;=400,G623=3,C623="IN",I623=120),VLOOKUP(T623,'CAFCO 300 IDIEM TABLAS'!$F$4:$H$35,3,FALSE),0)+IF(AND(L623="Cafco 300",J623&gt;=95,J623&lt;=450,G623=4,C623="IN",I623=90),VLOOKUP(T623,'CAFCO 300 IDIEM TABLAS'!$J$4:$L$40,2,FALSE),0)+IF(AND(L623="Cafco 300",J623&gt;=95,J623&lt;=450,G623=4,C623="IN",I623=120),VLOOKUP(T623,'CAFCO 300 IDIEM TABLAS'!$J$4:$L$40,3,FALSE),0)+IF(AND(M623="Ensayo Idiem",L623="Cafco 400",C623="IN",G623=4,I623=90),VLOOKUP(T623,'CAFCO 400 ENSAYO'!$B$7:$D$43,2,FALSE),0)+IF(AND(M623="Ensayo Idiem",L623="Cafco 400",C623="IN",G623=4,I623=120),VLOOKUP(T623,'CAFCO 400 ENSAYO'!$B$7:$D$43,3,FALSE),0)</f>
        <v>0</v>
      </c>
      <c r="O623" s="96">
        <f t="shared" si="66"/>
        <v>0</v>
      </c>
      <c r="P623" s="132" t="str">
        <f t="shared" si="61"/>
        <v>N/A</v>
      </c>
      <c r="Q623" s="132" t="str">
        <f t="shared" si="62"/>
        <v>N/A</v>
      </c>
      <c r="R623" s="132" t="str">
        <f t="shared" si="63"/>
        <v>NO CERT.</v>
      </c>
      <c r="S623" s="132" t="e">
        <f t="shared" si="64"/>
        <v>#N/A</v>
      </c>
      <c r="T623" s="133" t="e">
        <f>+IF(J623=LOOKUP(J623,'CAFCO 300 IDIEM TABLAS'!$J$4:$J$40),'CALCULO MORTERO'!J623,MROUND('CALCULO MORTERO'!J623,10))</f>
        <v>#N/A</v>
      </c>
      <c r="U623" s="134">
        <f t="shared" si="65"/>
        <v>0</v>
      </c>
      <c r="Y623" s="4"/>
      <c r="Z623" s="4"/>
      <c r="AA623" s="4"/>
    </row>
    <row r="624" spans="1:27" x14ac:dyDescent="0.25">
      <c r="A624" s="118">
        <f>+CUBICACION!D618</f>
        <v>0</v>
      </c>
      <c r="B624" s="819">
        <f>+CUBICACION!E618</f>
        <v>0</v>
      </c>
      <c r="C624" s="675">
        <f>+CUBICACION!F618</f>
        <v>0</v>
      </c>
      <c r="D624" s="118"/>
      <c r="E624" s="118"/>
      <c r="F624" s="820"/>
      <c r="G624" s="675">
        <f>+CUBICACION!J618</f>
        <v>0</v>
      </c>
      <c r="H624" s="118"/>
      <c r="I624" s="821">
        <f>+CUBICACION!L618</f>
        <v>0</v>
      </c>
      <c r="J624" s="64">
        <f>+CUBICACION!M618</f>
        <v>0</v>
      </c>
      <c r="K624" s="822" t="str">
        <f>+CUBICACION!N618</f>
        <v/>
      </c>
      <c r="L624" s="118">
        <f>+CUBICACION!O618</f>
        <v>0</v>
      </c>
      <c r="M624" s="823">
        <f>+CUBICACION!P618</f>
        <v>0</v>
      </c>
      <c r="N624" s="902">
        <f>ROUND(IF(AND(L624="Blaze Shield II",M624="Software Idiem",C624="IN",G624=4),((('BLAZE SHIELD II'!$D$4*('CALCULO MORTERO'!I624^2)+'BLAZE SHIELD II'!$D$5*'CALCULO MORTERO'!I624+'BLAZE SHIELD II'!$D$6)*LN(J624))+('BLAZE SHIELD II'!$D$7*('CALCULO MORTERO'!I624^2)+'BLAZE SHIELD II'!$D$8*'CALCULO MORTERO'!I624+'BLAZE SHIELD II'!$D$9)),0)+IF(AND(L624="Blaze Shield II",M624="Software Idiem",C624="Cj"),((('BLAZE SHIELD II'!$H$4*('CALCULO MORTERO'!I624^2)+'BLAZE SHIELD II'!$H$5*'CALCULO MORTERO'!I624+'BLAZE SHIELD II'!$H$6)*LN(J624))+('BLAZE SHIELD II'!$H$7*('CALCULO MORTERO'!I624^2)+'BLAZE SHIELD II'!$H$8*'CALCULO MORTERO'!I624+'BLAZE SHIELD II'!$H$9)),0)+IF(AND(L624="Blaze Shield II",M624="Software Idiem",C624="C"),((('BLAZE SHIELD II'!$L$4*('CALCULO MORTERO'!I624^2)+'BLAZE SHIELD II'!$L$5*'CALCULO MORTERO'!I624+'BLAZE SHIELD II'!$L$6)*LN(J624))+('BLAZE SHIELD II'!$L$7*('CALCULO MORTERO'!I624^2)+'BLAZE SHIELD II'!$L$8*'CALCULO MORTERO'!I624+'BLAZE SHIELD II'!$L$9)),0)+IF(AND(L624="Blaze Shield II",M624="Software Idiem",C624="L"),((('BLAZE SHIELD II'!$L$4*('CALCULO MORTERO'!I624^2)+'BLAZE SHIELD II'!$L$5*'CALCULO MORTERO'!I624+'BLAZE SHIELD II'!$L$6)*LN(J624))+('BLAZE SHIELD II'!$L$7*('CALCULO MORTERO'!I624^2)+'BLAZE SHIELD II'!$L$8*'CALCULO MORTERO'!I624+'BLAZE SHIELD II'!$L$9)),0)+IF(AND(L624="Blaze Shield II",M624="Software Idiem",C624="IN",G624=3),((('BLAZE SHIELD II'!$H$14*('CALCULO MORTERO'!I624^2)+'BLAZE SHIELD II'!$H$15*'CALCULO MORTERO'!I624+'BLAZE SHIELD II'!$H$16)*LN(J624))+('BLAZE SHIELD II'!$H$17*('CALCULO MORTERO'!I624^2)+'BLAZE SHIELD II'!$H$18*'CALCULO MORTERO'!I624+'BLAZE SHIELD II'!$H$19)),0),0)+ROUND(IF(AND(L624="Cafco 400",M624="Software Idiem",C624="IN",G624=4),((('CAFCO 400 '!$H$7*(J624^4)+'CAFCO 400 '!$H$8*(J624^3)+'CAFCO 400 '!$H$9*(J624^2)+'CAFCO 400 '!$H$10*J624+'CAFCO 400 '!$H$11)*U624^2)+(('CAFCO 400 '!$H$12*(J624^3)+'CAFCO 400 '!$H$13*(J624^2)+'CAFCO 400 '!$H$14*J624+'CAFCO 400 '!$H$15)*U624)+('CAFCO 400 '!$H$16*(J624^2)+'CAFCO 400 '!$H$17*J624+'CAFCO 400 '!$H$18)),0)+IF(AND(L624="Cafco 400",M624="Software Idiem",C624="Cj"),(((('CAFCO 400 '!$D$7*LN(J624)+'CAFCO 400 '!$D$8)*U624^2)+(('CAFCO 400 '!$D$9*LN(J624)+'CAFCO 400 '!$D$10)*U624)+('CAFCO 400 '!$D$11*LN(J624)+'CAFCO 400 '!$D$12))),0)+IF(AND(L624="Cafco 400",M624="Software Idiem",C624="C"),((('CAFCO 400 '!$L$7*(J624^3)+'CAFCO 400 '!$L$8*(J624^2)+'CAFCO 400 '!$L$9*J624+'CAFCO 400 '!$L$10)*U624^2)+(('CAFCO 400 '!$L$11*(J624^3)+'CAFCO 400 '!$L$12*(J624^2)+'CAFCO 400 '!$L$13*J624+'CAFCO 400 '!$L$14)*U624)+('CAFCO 400 '!$L$15*LN(J624)+'CAFCO 400 '!$L$16)),0)+IF(AND(L624="Cafco 400",M624="Software Idiem",C624="L"),((('CAFCO 400 '!$L$7*(J624^3)+'CAFCO 400 '!$L$8*(J624^2)+'CAFCO 400 '!$L$9*J624+'CAFCO 400 '!$L$10)*U624^2)+(('CAFCO 400 '!$L$11*(J624^3)+'CAFCO 400 '!$L$12*(J624^2)+'CAFCO 400 '!$L$13*J624+'CAFCO 400 '!$L$14)*U624)+('CAFCO 400 '!$L$15*LN(J624)+'CAFCO 400 '!$L$16)),0)+IF(AND(L624="Cafco 400",M624="Software Idiem",C624="IN",G624=3),((('CAFCO 400 '!$D$23*(J624^2)+'CAFCO 400 '!$D$24*(J624)+'CAFCO 400 '!$D$25)*U624^2)+(('CAFCO 400 '!$D$26*(J624^2)+'CAFCO 400 '!$D$27*J624+'CAFCO 400 '!$D$28)*U624)+('CAFCO 400 '!$D$29*(J624^2)+'CAFCO 400 '!$D$30*J624+'CAFCO 400 '!$D$31)),0),0)+IF(AND(L624="Cafco 300",J624&gt;=95,J624&lt;=240,C624="Cj",I624=90),VLOOKUP(T624,'CAFCO 300 IDIEM TABLAS'!$B$4:$D$23,2,FALSE),0)+IF(AND(L624="Cafco 300",J624&gt;=95,J624&lt;=240,C624="Cj",I624=120),VLOOKUP(T624,'CAFCO 300 IDIEM TABLAS'!$B$4:$D$23,3,FALSE),0)+IF(AND(L624="Cafco 300",J624&gt;=95,J624&lt;=400,G624=3,C624="IN",I624=90),VLOOKUP(T624,'CAFCO 300 IDIEM TABLAS'!$F$4:$H$35,2,FALSE),0)+IF(AND(L624="Cafco 300",J624&gt;=95,J624&lt;=400,G624=3,C624="IN",I624=120),VLOOKUP(T624,'CAFCO 300 IDIEM TABLAS'!$F$4:$H$35,3,FALSE),0)+IF(AND(L624="Cafco 300",J624&gt;=95,J624&lt;=450,G624=4,C624="IN",I624=90),VLOOKUP(T624,'CAFCO 300 IDIEM TABLAS'!$J$4:$L$40,2,FALSE),0)+IF(AND(L624="Cafco 300",J624&gt;=95,J624&lt;=450,G624=4,C624="IN",I624=120),VLOOKUP(T624,'CAFCO 300 IDIEM TABLAS'!$J$4:$L$40,3,FALSE),0)+IF(AND(M624="Ensayo Idiem",L624="Cafco 400",C624="IN",G624=4,I624=90),VLOOKUP(T624,'CAFCO 400 ENSAYO'!$B$7:$D$43,2,FALSE),0)+IF(AND(M624="Ensayo Idiem",L624="Cafco 400",C624="IN",G624=4,I624=120),VLOOKUP(T624,'CAFCO 400 ENSAYO'!$B$7:$D$43,3,FALSE),0)</f>
        <v>0</v>
      </c>
      <c r="O624" s="96">
        <f t="shared" si="66"/>
        <v>0</v>
      </c>
      <c r="P624" s="95" t="str">
        <f t="shared" si="61"/>
        <v>N/A</v>
      </c>
      <c r="Q624" s="95" t="str">
        <f t="shared" si="62"/>
        <v>N/A</v>
      </c>
      <c r="R624" s="95" t="str">
        <f t="shared" si="63"/>
        <v>NO CERT.</v>
      </c>
      <c r="S624" s="95" t="e">
        <f t="shared" si="64"/>
        <v>#N/A</v>
      </c>
      <c r="T624" s="119" t="e">
        <f>+IF(J624=LOOKUP(J624,'CAFCO 300 IDIEM TABLAS'!$J$4:$J$40),'CALCULO MORTERO'!J624,MROUND('CALCULO MORTERO'!J624,10))</f>
        <v>#N/A</v>
      </c>
      <c r="U624" s="118">
        <f t="shared" si="65"/>
        <v>0</v>
      </c>
      <c r="Y624" s="4"/>
      <c r="Z624" s="4"/>
      <c r="AA624" s="4"/>
    </row>
    <row r="625" spans="1:27" x14ac:dyDescent="0.25">
      <c r="A625" s="118">
        <f>+CUBICACION!D619</f>
        <v>0</v>
      </c>
      <c r="B625" s="819">
        <f>+CUBICACION!E619</f>
        <v>0</v>
      </c>
      <c r="C625" s="675">
        <f>+CUBICACION!F619</f>
        <v>0</v>
      </c>
      <c r="D625" s="118"/>
      <c r="E625" s="118"/>
      <c r="F625" s="820"/>
      <c r="G625" s="675">
        <f>+CUBICACION!J619</f>
        <v>0</v>
      </c>
      <c r="H625" s="118"/>
      <c r="I625" s="821">
        <f>+CUBICACION!L619</f>
        <v>0</v>
      </c>
      <c r="J625" s="64">
        <f>+CUBICACION!M619</f>
        <v>0</v>
      </c>
      <c r="K625" s="822" t="str">
        <f>+CUBICACION!N619</f>
        <v/>
      </c>
      <c r="L625" s="118">
        <f>+CUBICACION!O619</f>
        <v>0</v>
      </c>
      <c r="M625" s="823">
        <f>+CUBICACION!P619</f>
        <v>0</v>
      </c>
      <c r="N625" s="902">
        <f>ROUND(IF(AND(L625="Blaze Shield II",M625="Software Idiem",C625="IN",G625=4),((('BLAZE SHIELD II'!$D$4*('CALCULO MORTERO'!I625^2)+'BLAZE SHIELD II'!$D$5*'CALCULO MORTERO'!I625+'BLAZE SHIELD II'!$D$6)*LN(J625))+('BLAZE SHIELD II'!$D$7*('CALCULO MORTERO'!I625^2)+'BLAZE SHIELD II'!$D$8*'CALCULO MORTERO'!I625+'BLAZE SHIELD II'!$D$9)),0)+IF(AND(L625="Blaze Shield II",M625="Software Idiem",C625="Cj"),((('BLAZE SHIELD II'!$H$4*('CALCULO MORTERO'!I625^2)+'BLAZE SHIELD II'!$H$5*'CALCULO MORTERO'!I625+'BLAZE SHIELD II'!$H$6)*LN(J625))+('BLAZE SHIELD II'!$H$7*('CALCULO MORTERO'!I625^2)+'BLAZE SHIELD II'!$H$8*'CALCULO MORTERO'!I625+'BLAZE SHIELD II'!$H$9)),0)+IF(AND(L625="Blaze Shield II",M625="Software Idiem",C625="C"),((('BLAZE SHIELD II'!$L$4*('CALCULO MORTERO'!I625^2)+'BLAZE SHIELD II'!$L$5*'CALCULO MORTERO'!I625+'BLAZE SHIELD II'!$L$6)*LN(J625))+('BLAZE SHIELD II'!$L$7*('CALCULO MORTERO'!I625^2)+'BLAZE SHIELD II'!$L$8*'CALCULO MORTERO'!I625+'BLAZE SHIELD II'!$L$9)),0)+IF(AND(L625="Blaze Shield II",M625="Software Idiem",C625="L"),((('BLAZE SHIELD II'!$L$4*('CALCULO MORTERO'!I625^2)+'BLAZE SHIELD II'!$L$5*'CALCULO MORTERO'!I625+'BLAZE SHIELD II'!$L$6)*LN(J625))+('BLAZE SHIELD II'!$L$7*('CALCULO MORTERO'!I625^2)+'BLAZE SHIELD II'!$L$8*'CALCULO MORTERO'!I625+'BLAZE SHIELD II'!$L$9)),0)+IF(AND(L625="Blaze Shield II",M625="Software Idiem",C625="IN",G625=3),((('BLAZE SHIELD II'!$H$14*('CALCULO MORTERO'!I625^2)+'BLAZE SHIELD II'!$H$15*'CALCULO MORTERO'!I625+'BLAZE SHIELD II'!$H$16)*LN(J625))+('BLAZE SHIELD II'!$H$17*('CALCULO MORTERO'!I625^2)+'BLAZE SHIELD II'!$H$18*'CALCULO MORTERO'!I625+'BLAZE SHIELD II'!$H$19)),0),0)+ROUND(IF(AND(L625="Cafco 400",M625="Software Idiem",C625="IN",G625=4),((('CAFCO 400 '!$H$7*(J625^4)+'CAFCO 400 '!$H$8*(J625^3)+'CAFCO 400 '!$H$9*(J625^2)+'CAFCO 400 '!$H$10*J625+'CAFCO 400 '!$H$11)*U625^2)+(('CAFCO 400 '!$H$12*(J625^3)+'CAFCO 400 '!$H$13*(J625^2)+'CAFCO 400 '!$H$14*J625+'CAFCO 400 '!$H$15)*U625)+('CAFCO 400 '!$H$16*(J625^2)+'CAFCO 400 '!$H$17*J625+'CAFCO 400 '!$H$18)),0)+IF(AND(L625="Cafco 400",M625="Software Idiem",C625="Cj"),(((('CAFCO 400 '!$D$7*LN(J625)+'CAFCO 400 '!$D$8)*U625^2)+(('CAFCO 400 '!$D$9*LN(J625)+'CAFCO 400 '!$D$10)*U625)+('CAFCO 400 '!$D$11*LN(J625)+'CAFCO 400 '!$D$12))),0)+IF(AND(L625="Cafco 400",M625="Software Idiem",C625="C"),((('CAFCO 400 '!$L$7*(J625^3)+'CAFCO 400 '!$L$8*(J625^2)+'CAFCO 400 '!$L$9*J625+'CAFCO 400 '!$L$10)*U625^2)+(('CAFCO 400 '!$L$11*(J625^3)+'CAFCO 400 '!$L$12*(J625^2)+'CAFCO 400 '!$L$13*J625+'CAFCO 400 '!$L$14)*U625)+('CAFCO 400 '!$L$15*LN(J625)+'CAFCO 400 '!$L$16)),0)+IF(AND(L625="Cafco 400",M625="Software Idiem",C625="L"),((('CAFCO 400 '!$L$7*(J625^3)+'CAFCO 400 '!$L$8*(J625^2)+'CAFCO 400 '!$L$9*J625+'CAFCO 400 '!$L$10)*U625^2)+(('CAFCO 400 '!$L$11*(J625^3)+'CAFCO 400 '!$L$12*(J625^2)+'CAFCO 400 '!$L$13*J625+'CAFCO 400 '!$L$14)*U625)+('CAFCO 400 '!$L$15*LN(J625)+'CAFCO 400 '!$L$16)),0)+IF(AND(L625="Cafco 400",M625="Software Idiem",C625="IN",G625=3),((('CAFCO 400 '!$D$23*(J625^2)+'CAFCO 400 '!$D$24*(J625)+'CAFCO 400 '!$D$25)*U625^2)+(('CAFCO 400 '!$D$26*(J625^2)+'CAFCO 400 '!$D$27*J625+'CAFCO 400 '!$D$28)*U625)+('CAFCO 400 '!$D$29*(J625^2)+'CAFCO 400 '!$D$30*J625+'CAFCO 400 '!$D$31)),0),0)+IF(AND(L625="Cafco 300",J625&gt;=95,J625&lt;=240,C625="Cj",I625=90),VLOOKUP(T625,'CAFCO 300 IDIEM TABLAS'!$B$4:$D$23,2,FALSE),0)+IF(AND(L625="Cafco 300",J625&gt;=95,J625&lt;=240,C625="Cj",I625=120),VLOOKUP(T625,'CAFCO 300 IDIEM TABLAS'!$B$4:$D$23,3,FALSE),0)+IF(AND(L625="Cafco 300",J625&gt;=95,J625&lt;=400,G625=3,C625="IN",I625=90),VLOOKUP(T625,'CAFCO 300 IDIEM TABLAS'!$F$4:$H$35,2,FALSE),0)+IF(AND(L625="Cafco 300",J625&gt;=95,J625&lt;=400,G625=3,C625="IN",I625=120),VLOOKUP(T625,'CAFCO 300 IDIEM TABLAS'!$F$4:$H$35,3,FALSE),0)+IF(AND(L625="Cafco 300",J625&gt;=95,J625&lt;=450,G625=4,C625="IN",I625=90),VLOOKUP(T625,'CAFCO 300 IDIEM TABLAS'!$J$4:$L$40,2,FALSE),0)+IF(AND(L625="Cafco 300",J625&gt;=95,J625&lt;=450,G625=4,C625="IN",I625=120),VLOOKUP(T625,'CAFCO 300 IDIEM TABLAS'!$J$4:$L$40,3,FALSE),0)+IF(AND(M625="Ensayo Idiem",L625="Cafco 400",C625="IN",G625=4,I625=90),VLOOKUP(T625,'CAFCO 400 ENSAYO'!$B$7:$D$43,2,FALSE),0)+IF(AND(M625="Ensayo Idiem",L625="Cafco 400",C625="IN",G625=4,I625=120),VLOOKUP(T625,'CAFCO 400 ENSAYO'!$B$7:$D$43,3,FALSE),0)</f>
        <v>0</v>
      </c>
      <c r="O625" s="96">
        <f t="shared" si="66"/>
        <v>0</v>
      </c>
      <c r="P625" s="132" t="str">
        <f t="shared" si="61"/>
        <v>N/A</v>
      </c>
      <c r="Q625" s="132" t="str">
        <f t="shared" si="62"/>
        <v>N/A</v>
      </c>
      <c r="R625" s="132" t="str">
        <f t="shared" si="63"/>
        <v>NO CERT.</v>
      </c>
      <c r="S625" s="132" t="e">
        <f t="shared" si="64"/>
        <v>#N/A</v>
      </c>
      <c r="T625" s="133" t="e">
        <f>+IF(J625=LOOKUP(J625,'CAFCO 300 IDIEM TABLAS'!$J$4:$J$40),'CALCULO MORTERO'!J625,MROUND('CALCULO MORTERO'!J625,10))</f>
        <v>#N/A</v>
      </c>
      <c r="U625" s="134">
        <f t="shared" si="65"/>
        <v>0</v>
      </c>
      <c r="Y625" s="4"/>
      <c r="Z625" s="4"/>
      <c r="AA625" s="4"/>
    </row>
    <row r="626" spans="1:27" x14ac:dyDescent="0.25">
      <c r="A626" s="118">
        <f>+CUBICACION!D620</f>
        <v>0</v>
      </c>
      <c r="B626" s="819">
        <f>+CUBICACION!E620</f>
        <v>0</v>
      </c>
      <c r="C626" s="675">
        <f>+CUBICACION!F620</f>
        <v>0</v>
      </c>
      <c r="D626" s="118"/>
      <c r="E626" s="118"/>
      <c r="F626" s="820"/>
      <c r="G626" s="675">
        <f>+CUBICACION!J620</f>
        <v>0</v>
      </c>
      <c r="H626" s="118"/>
      <c r="I626" s="821">
        <f>+CUBICACION!L620</f>
        <v>0</v>
      </c>
      <c r="J626" s="64">
        <f>+CUBICACION!M620</f>
        <v>0</v>
      </c>
      <c r="K626" s="822" t="str">
        <f>+CUBICACION!N620</f>
        <v/>
      </c>
      <c r="L626" s="118">
        <f>+CUBICACION!O620</f>
        <v>0</v>
      </c>
      <c r="M626" s="823">
        <f>+CUBICACION!P620</f>
        <v>0</v>
      </c>
      <c r="N626" s="902">
        <f>ROUND(IF(AND(L626="Blaze Shield II",M626="Software Idiem",C626="IN",G626=4),((('BLAZE SHIELD II'!$D$4*('CALCULO MORTERO'!I626^2)+'BLAZE SHIELD II'!$D$5*'CALCULO MORTERO'!I626+'BLAZE SHIELD II'!$D$6)*LN(J626))+('BLAZE SHIELD II'!$D$7*('CALCULO MORTERO'!I626^2)+'BLAZE SHIELD II'!$D$8*'CALCULO MORTERO'!I626+'BLAZE SHIELD II'!$D$9)),0)+IF(AND(L626="Blaze Shield II",M626="Software Idiem",C626="Cj"),((('BLAZE SHIELD II'!$H$4*('CALCULO MORTERO'!I626^2)+'BLAZE SHIELD II'!$H$5*'CALCULO MORTERO'!I626+'BLAZE SHIELD II'!$H$6)*LN(J626))+('BLAZE SHIELD II'!$H$7*('CALCULO MORTERO'!I626^2)+'BLAZE SHIELD II'!$H$8*'CALCULO MORTERO'!I626+'BLAZE SHIELD II'!$H$9)),0)+IF(AND(L626="Blaze Shield II",M626="Software Idiem",C626="C"),((('BLAZE SHIELD II'!$L$4*('CALCULO MORTERO'!I626^2)+'BLAZE SHIELD II'!$L$5*'CALCULO MORTERO'!I626+'BLAZE SHIELD II'!$L$6)*LN(J626))+('BLAZE SHIELD II'!$L$7*('CALCULO MORTERO'!I626^2)+'BLAZE SHIELD II'!$L$8*'CALCULO MORTERO'!I626+'BLAZE SHIELD II'!$L$9)),0)+IF(AND(L626="Blaze Shield II",M626="Software Idiem",C626="L"),((('BLAZE SHIELD II'!$L$4*('CALCULO MORTERO'!I626^2)+'BLAZE SHIELD II'!$L$5*'CALCULO MORTERO'!I626+'BLAZE SHIELD II'!$L$6)*LN(J626))+('BLAZE SHIELD II'!$L$7*('CALCULO MORTERO'!I626^2)+'BLAZE SHIELD II'!$L$8*'CALCULO MORTERO'!I626+'BLAZE SHIELD II'!$L$9)),0)+IF(AND(L626="Blaze Shield II",M626="Software Idiem",C626="IN",G626=3),((('BLAZE SHIELD II'!$H$14*('CALCULO MORTERO'!I626^2)+'BLAZE SHIELD II'!$H$15*'CALCULO MORTERO'!I626+'BLAZE SHIELD II'!$H$16)*LN(J626))+('BLAZE SHIELD II'!$H$17*('CALCULO MORTERO'!I626^2)+'BLAZE SHIELD II'!$H$18*'CALCULO MORTERO'!I626+'BLAZE SHIELD II'!$H$19)),0),0)+ROUND(IF(AND(L626="Cafco 400",M626="Software Idiem",C626="IN",G626=4),((('CAFCO 400 '!$H$7*(J626^4)+'CAFCO 400 '!$H$8*(J626^3)+'CAFCO 400 '!$H$9*(J626^2)+'CAFCO 400 '!$H$10*J626+'CAFCO 400 '!$H$11)*U626^2)+(('CAFCO 400 '!$H$12*(J626^3)+'CAFCO 400 '!$H$13*(J626^2)+'CAFCO 400 '!$H$14*J626+'CAFCO 400 '!$H$15)*U626)+('CAFCO 400 '!$H$16*(J626^2)+'CAFCO 400 '!$H$17*J626+'CAFCO 400 '!$H$18)),0)+IF(AND(L626="Cafco 400",M626="Software Idiem",C626="Cj"),(((('CAFCO 400 '!$D$7*LN(J626)+'CAFCO 400 '!$D$8)*U626^2)+(('CAFCO 400 '!$D$9*LN(J626)+'CAFCO 400 '!$D$10)*U626)+('CAFCO 400 '!$D$11*LN(J626)+'CAFCO 400 '!$D$12))),0)+IF(AND(L626="Cafco 400",M626="Software Idiem",C626="C"),((('CAFCO 400 '!$L$7*(J626^3)+'CAFCO 400 '!$L$8*(J626^2)+'CAFCO 400 '!$L$9*J626+'CAFCO 400 '!$L$10)*U626^2)+(('CAFCO 400 '!$L$11*(J626^3)+'CAFCO 400 '!$L$12*(J626^2)+'CAFCO 400 '!$L$13*J626+'CAFCO 400 '!$L$14)*U626)+('CAFCO 400 '!$L$15*LN(J626)+'CAFCO 400 '!$L$16)),0)+IF(AND(L626="Cafco 400",M626="Software Idiem",C626="L"),((('CAFCO 400 '!$L$7*(J626^3)+'CAFCO 400 '!$L$8*(J626^2)+'CAFCO 400 '!$L$9*J626+'CAFCO 400 '!$L$10)*U626^2)+(('CAFCO 400 '!$L$11*(J626^3)+'CAFCO 400 '!$L$12*(J626^2)+'CAFCO 400 '!$L$13*J626+'CAFCO 400 '!$L$14)*U626)+('CAFCO 400 '!$L$15*LN(J626)+'CAFCO 400 '!$L$16)),0)+IF(AND(L626="Cafco 400",M626="Software Idiem",C626="IN",G626=3),((('CAFCO 400 '!$D$23*(J626^2)+'CAFCO 400 '!$D$24*(J626)+'CAFCO 400 '!$D$25)*U626^2)+(('CAFCO 400 '!$D$26*(J626^2)+'CAFCO 400 '!$D$27*J626+'CAFCO 400 '!$D$28)*U626)+('CAFCO 400 '!$D$29*(J626^2)+'CAFCO 400 '!$D$30*J626+'CAFCO 400 '!$D$31)),0),0)+IF(AND(L626="Cafco 300",J626&gt;=95,J626&lt;=240,C626="Cj",I626=90),VLOOKUP(T626,'CAFCO 300 IDIEM TABLAS'!$B$4:$D$23,2,FALSE),0)+IF(AND(L626="Cafco 300",J626&gt;=95,J626&lt;=240,C626="Cj",I626=120),VLOOKUP(T626,'CAFCO 300 IDIEM TABLAS'!$B$4:$D$23,3,FALSE),0)+IF(AND(L626="Cafco 300",J626&gt;=95,J626&lt;=400,G626=3,C626="IN",I626=90),VLOOKUP(T626,'CAFCO 300 IDIEM TABLAS'!$F$4:$H$35,2,FALSE),0)+IF(AND(L626="Cafco 300",J626&gt;=95,J626&lt;=400,G626=3,C626="IN",I626=120),VLOOKUP(T626,'CAFCO 300 IDIEM TABLAS'!$F$4:$H$35,3,FALSE),0)+IF(AND(L626="Cafco 300",J626&gt;=95,J626&lt;=450,G626=4,C626="IN",I626=90),VLOOKUP(T626,'CAFCO 300 IDIEM TABLAS'!$J$4:$L$40,2,FALSE),0)+IF(AND(L626="Cafco 300",J626&gt;=95,J626&lt;=450,G626=4,C626="IN",I626=120),VLOOKUP(T626,'CAFCO 300 IDIEM TABLAS'!$J$4:$L$40,3,FALSE),0)+IF(AND(M626="Ensayo Idiem",L626="Cafco 400",C626="IN",G626=4,I626=90),VLOOKUP(T626,'CAFCO 400 ENSAYO'!$B$7:$D$43,2,FALSE),0)+IF(AND(M626="Ensayo Idiem",L626="Cafco 400",C626="IN",G626=4,I626=120),VLOOKUP(T626,'CAFCO 400 ENSAYO'!$B$7:$D$43,3,FALSE),0)</f>
        <v>0</v>
      </c>
      <c r="O626" s="96">
        <f t="shared" si="66"/>
        <v>0</v>
      </c>
      <c r="P626" s="95" t="str">
        <f t="shared" ref="P626:P689" si="67">IF(AND(M626="Software Idiem"),IF(AND(C626="IN",G626=4,J626&gt;=50,J626&lt;=500),"CERT.",IF(AND(C626="Cj",J626&gt;=50,J626&lt;=500),"CERT.",IF(AND(C626="C",J626&gt;=50,J626&lt;=1000),"CERT.",IF(AND(C626="L",J626&gt;=50,J626&lt;=1000),"CERT.",IF(AND(C626="IN",G626=3,J626&gt;=50,J626&lt;=500),"CERT.","NO CERT."))))),"N/A")</f>
        <v>N/A</v>
      </c>
      <c r="Q626" s="95" t="str">
        <f t="shared" ref="Q626:Q689" si="68">IF(AND(M626="Software Idiem"),IF(AND(C626="IN",G626=4,J626&gt;=50,J626&lt;=500),"CERT.",IF(AND(C626="Cj",J626&gt;=50,J626&lt;=500),"CERT.",IF(AND(C626="C",J626&gt;=50,J626&lt;=1000),"CERT.",IF(AND(C626="L",J626&gt;=50,J626&lt;=1000),"CERT.",IF(AND(C626="IN",G626=3,J626&gt;=50,J626&lt;=500),"CERT.","NO CERT."))))),"N/A")</f>
        <v>N/A</v>
      </c>
      <c r="R626" s="95" t="str">
        <f t="shared" ref="R626:R689" si="69">IF(AND(C626="IN",G626=4,J626&gt;=95,J626&lt;=450,I626=90),"CERT.",IF(AND(C626="IN",G626=4,J626&gt;=95,J626&lt;=450,I626=120),"CERT.","NO CERT."))</f>
        <v>NO CERT.</v>
      </c>
      <c r="S626" s="95" t="e">
        <f t="shared" ref="S626:S689" si="70">IF(AND(C626="Cj",I626=90,T626&lt;=240),"CERT.",IF(AND(C626="Cj",I626=120,T626&lt;=240),"CERT.",IF(AND(C626="IN",G626=3,I626=90,T626&lt;=400),"CERT.",IF(AND(C626="IN",G626=3,I626=120,T626&lt;=400),"CERT.",IF(AND(C626="IN",G626=4,I626=90,T626&lt;=450),"CERT.",IF(AND(C626="IN",G626=4,I626=120,T626&lt;=450),"CERT.","NO CERT."))))))</f>
        <v>#N/A</v>
      </c>
      <c r="T626" s="119" t="e">
        <f>+IF(J626=LOOKUP(J626,'CAFCO 300 IDIEM TABLAS'!$J$4:$J$40),'CALCULO MORTERO'!J626,MROUND('CALCULO MORTERO'!J626,10))</f>
        <v>#N/A</v>
      </c>
      <c r="U626" s="118">
        <f t="shared" ref="U626:U689" si="71">+I626*60</f>
        <v>0</v>
      </c>
      <c r="Y626" s="4"/>
      <c r="Z626" s="4"/>
      <c r="AA626" s="4"/>
    </row>
    <row r="627" spans="1:27" x14ac:dyDescent="0.25">
      <c r="A627" s="118">
        <f>+CUBICACION!D621</f>
        <v>0</v>
      </c>
      <c r="B627" s="819">
        <f>+CUBICACION!E621</f>
        <v>0</v>
      </c>
      <c r="C627" s="675">
        <f>+CUBICACION!F621</f>
        <v>0</v>
      </c>
      <c r="D627" s="118"/>
      <c r="E627" s="118"/>
      <c r="F627" s="820"/>
      <c r="G627" s="675">
        <f>+CUBICACION!J621</f>
        <v>0</v>
      </c>
      <c r="H627" s="118"/>
      <c r="I627" s="821">
        <f>+CUBICACION!L621</f>
        <v>0</v>
      </c>
      <c r="J627" s="64">
        <f>+CUBICACION!M621</f>
        <v>0</v>
      </c>
      <c r="K627" s="822" t="str">
        <f>+CUBICACION!N621</f>
        <v/>
      </c>
      <c r="L627" s="118">
        <f>+CUBICACION!O621</f>
        <v>0</v>
      </c>
      <c r="M627" s="823">
        <f>+CUBICACION!P621</f>
        <v>0</v>
      </c>
      <c r="N627" s="902">
        <f>ROUND(IF(AND(L627="Blaze Shield II",M627="Software Idiem",C627="IN",G627=4),((('BLAZE SHIELD II'!$D$4*('CALCULO MORTERO'!I627^2)+'BLAZE SHIELD II'!$D$5*'CALCULO MORTERO'!I627+'BLAZE SHIELD II'!$D$6)*LN(J627))+('BLAZE SHIELD II'!$D$7*('CALCULO MORTERO'!I627^2)+'BLAZE SHIELD II'!$D$8*'CALCULO MORTERO'!I627+'BLAZE SHIELD II'!$D$9)),0)+IF(AND(L627="Blaze Shield II",M627="Software Idiem",C627="Cj"),((('BLAZE SHIELD II'!$H$4*('CALCULO MORTERO'!I627^2)+'BLAZE SHIELD II'!$H$5*'CALCULO MORTERO'!I627+'BLAZE SHIELD II'!$H$6)*LN(J627))+('BLAZE SHIELD II'!$H$7*('CALCULO MORTERO'!I627^2)+'BLAZE SHIELD II'!$H$8*'CALCULO MORTERO'!I627+'BLAZE SHIELD II'!$H$9)),0)+IF(AND(L627="Blaze Shield II",M627="Software Idiem",C627="C"),((('BLAZE SHIELD II'!$L$4*('CALCULO MORTERO'!I627^2)+'BLAZE SHIELD II'!$L$5*'CALCULO MORTERO'!I627+'BLAZE SHIELD II'!$L$6)*LN(J627))+('BLAZE SHIELD II'!$L$7*('CALCULO MORTERO'!I627^2)+'BLAZE SHIELD II'!$L$8*'CALCULO MORTERO'!I627+'BLAZE SHIELD II'!$L$9)),0)+IF(AND(L627="Blaze Shield II",M627="Software Idiem",C627="L"),((('BLAZE SHIELD II'!$L$4*('CALCULO MORTERO'!I627^2)+'BLAZE SHIELD II'!$L$5*'CALCULO MORTERO'!I627+'BLAZE SHIELD II'!$L$6)*LN(J627))+('BLAZE SHIELD II'!$L$7*('CALCULO MORTERO'!I627^2)+'BLAZE SHIELD II'!$L$8*'CALCULO MORTERO'!I627+'BLAZE SHIELD II'!$L$9)),0)+IF(AND(L627="Blaze Shield II",M627="Software Idiem",C627="IN",G627=3),((('BLAZE SHIELD II'!$H$14*('CALCULO MORTERO'!I627^2)+'BLAZE SHIELD II'!$H$15*'CALCULO MORTERO'!I627+'BLAZE SHIELD II'!$H$16)*LN(J627))+('BLAZE SHIELD II'!$H$17*('CALCULO MORTERO'!I627^2)+'BLAZE SHIELD II'!$H$18*'CALCULO MORTERO'!I627+'BLAZE SHIELD II'!$H$19)),0),0)+ROUND(IF(AND(L627="Cafco 400",M627="Software Idiem",C627="IN",G627=4),((('CAFCO 400 '!$H$7*(J627^4)+'CAFCO 400 '!$H$8*(J627^3)+'CAFCO 400 '!$H$9*(J627^2)+'CAFCO 400 '!$H$10*J627+'CAFCO 400 '!$H$11)*U627^2)+(('CAFCO 400 '!$H$12*(J627^3)+'CAFCO 400 '!$H$13*(J627^2)+'CAFCO 400 '!$H$14*J627+'CAFCO 400 '!$H$15)*U627)+('CAFCO 400 '!$H$16*(J627^2)+'CAFCO 400 '!$H$17*J627+'CAFCO 400 '!$H$18)),0)+IF(AND(L627="Cafco 400",M627="Software Idiem",C627="Cj"),(((('CAFCO 400 '!$D$7*LN(J627)+'CAFCO 400 '!$D$8)*U627^2)+(('CAFCO 400 '!$D$9*LN(J627)+'CAFCO 400 '!$D$10)*U627)+('CAFCO 400 '!$D$11*LN(J627)+'CAFCO 400 '!$D$12))),0)+IF(AND(L627="Cafco 400",M627="Software Idiem",C627="C"),((('CAFCO 400 '!$L$7*(J627^3)+'CAFCO 400 '!$L$8*(J627^2)+'CAFCO 400 '!$L$9*J627+'CAFCO 400 '!$L$10)*U627^2)+(('CAFCO 400 '!$L$11*(J627^3)+'CAFCO 400 '!$L$12*(J627^2)+'CAFCO 400 '!$L$13*J627+'CAFCO 400 '!$L$14)*U627)+('CAFCO 400 '!$L$15*LN(J627)+'CAFCO 400 '!$L$16)),0)+IF(AND(L627="Cafco 400",M627="Software Idiem",C627="L"),((('CAFCO 400 '!$L$7*(J627^3)+'CAFCO 400 '!$L$8*(J627^2)+'CAFCO 400 '!$L$9*J627+'CAFCO 400 '!$L$10)*U627^2)+(('CAFCO 400 '!$L$11*(J627^3)+'CAFCO 400 '!$L$12*(J627^2)+'CAFCO 400 '!$L$13*J627+'CAFCO 400 '!$L$14)*U627)+('CAFCO 400 '!$L$15*LN(J627)+'CAFCO 400 '!$L$16)),0)+IF(AND(L627="Cafco 400",M627="Software Idiem",C627="IN",G627=3),((('CAFCO 400 '!$D$23*(J627^2)+'CAFCO 400 '!$D$24*(J627)+'CAFCO 400 '!$D$25)*U627^2)+(('CAFCO 400 '!$D$26*(J627^2)+'CAFCO 400 '!$D$27*J627+'CAFCO 400 '!$D$28)*U627)+('CAFCO 400 '!$D$29*(J627^2)+'CAFCO 400 '!$D$30*J627+'CAFCO 400 '!$D$31)),0),0)+IF(AND(L627="Cafco 300",J627&gt;=95,J627&lt;=240,C627="Cj",I627=90),VLOOKUP(T627,'CAFCO 300 IDIEM TABLAS'!$B$4:$D$23,2,FALSE),0)+IF(AND(L627="Cafco 300",J627&gt;=95,J627&lt;=240,C627="Cj",I627=120),VLOOKUP(T627,'CAFCO 300 IDIEM TABLAS'!$B$4:$D$23,3,FALSE),0)+IF(AND(L627="Cafco 300",J627&gt;=95,J627&lt;=400,G627=3,C627="IN",I627=90),VLOOKUP(T627,'CAFCO 300 IDIEM TABLAS'!$F$4:$H$35,2,FALSE),0)+IF(AND(L627="Cafco 300",J627&gt;=95,J627&lt;=400,G627=3,C627="IN",I627=120),VLOOKUP(T627,'CAFCO 300 IDIEM TABLAS'!$F$4:$H$35,3,FALSE),0)+IF(AND(L627="Cafco 300",J627&gt;=95,J627&lt;=450,G627=4,C627="IN",I627=90),VLOOKUP(T627,'CAFCO 300 IDIEM TABLAS'!$J$4:$L$40,2,FALSE),0)+IF(AND(L627="Cafco 300",J627&gt;=95,J627&lt;=450,G627=4,C627="IN",I627=120),VLOOKUP(T627,'CAFCO 300 IDIEM TABLAS'!$J$4:$L$40,3,FALSE),0)+IF(AND(M627="Ensayo Idiem",L627="Cafco 400",C627="IN",G627=4,I627=90),VLOOKUP(T627,'CAFCO 400 ENSAYO'!$B$7:$D$43,2,FALSE),0)+IF(AND(M627="Ensayo Idiem",L627="Cafco 400",C627="IN",G627=4,I627=120),VLOOKUP(T627,'CAFCO 400 ENSAYO'!$B$7:$D$43,3,FALSE),0)</f>
        <v>0</v>
      </c>
      <c r="O627" s="96">
        <f t="shared" si="66"/>
        <v>0</v>
      </c>
      <c r="P627" s="132" t="str">
        <f t="shared" si="67"/>
        <v>N/A</v>
      </c>
      <c r="Q627" s="132" t="str">
        <f t="shared" si="68"/>
        <v>N/A</v>
      </c>
      <c r="R627" s="132" t="str">
        <f t="shared" si="69"/>
        <v>NO CERT.</v>
      </c>
      <c r="S627" s="132" t="e">
        <f t="shared" si="70"/>
        <v>#N/A</v>
      </c>
      <c r="T627" s="133" t="e">
        <f>+IF(J627=LOOKUP(J627,'CAFCO 300 IDIEM TABLAS'!$J$4:$J$40),'CALCULO MORTERO'!J627,MROUND('CALCULO MORTERO'!J627,10))</f>
        <v>#N/A</v>
      </c>
      <c r="U627" s="134">
        <f t="shared" si="71"/>
        <v>0</v>
      </c>
      <c r="Y627" s="4"/>
      <c r="Z627" s="4"/>
      <c r="AA627" s="4"/>
    </row>
    <row r="628" spans="1:27" x14ac:dyDescent="0.25">
      <c r="A628" s="118">
        <f>+CUBICACION!D622</f>
        <v>0</v>
      </c>
      <c r="B628" s="819">
        <f>+CUBICACION!E622</f>
        <v>0</v>
      </c>
      <c r="C628" s="675">
        <f>+CUBICACION!F622</f>
        <v>0</v>
      </c>
      <c r="D628" s="118"/>
      <c r="E628" s="118"/>
      <c r="F628" s="820"/>
      <c r="G628" s="675">
        <f>+CUBICACION!J622</f>
        <v>0</v>
      </c>
      <c r="H628" s="118"/>
      <c r="I628" s="821">
        <f>+CUBICACION!L622</f>
        <v>0</v>
      </c>
      <c r="J628" s="64">
        <f>+CUBICACION!M622</f>
        <v>0</v>
      </c>
      <c r="K628" s="822" t="str">
        <f>+CUBICACION!N622</f>
        <v/>
      </c>
      <c r="L628" s="118">
        <f>+CUBICACION!O622</f>
        <v>0</v>
      </c>
      <c r="M628" s="823">
        <f>+CUBICACION!P622</f>
        <v>0</v>
      </c>
      <c r="N628" s="902">
        <f>ROUND(IF(AND(L628="Blaze Shield II",M628="Software Idiem",C628="IN",G628=4),((('BLAZE SHIELD II'!$D$4*('CALCULO MORTERO'!I628^2)+'BLAZE SHIELD II'!$D$5*'CALCULO MORTERO'!I628+'BLAZE SHIELD II'!$D$6)*LN(J628))+('BLAZE SHIELD II'!$D$7*('CALCULO MORTERO'!I628^2)+'BLAZE SHIELD II'!$D$8*'CALCULO MORTERO'!I628+'BLAZE SHIELD II'!$D$9)),0)+IF(AND(L628="Blaze Shield II",M628="Software Idiem",C628="Cj"),((('BLAZE SHIELD II'!$H$4*('CALCULO MORTERO'!I628^2)+'BLAZE SHIELD II'!$H$5*'CALCULO MORTERO'!I628+'BLAZE SHIELD II'!$H$6)*LN(J628))+('BLAZE SHIELD II'!$H$7*('CALCULO MORTERO'!I628^2)+'BLAZE SHIELD II'!$H$8*'CALCULO MORTERO'!I628+'BLAZE SHIELD II'!$H$9)),0)+IF(AND(L628="Blaze Shield II",M628="Software Idiem",C628="C"),((('BLAZE SHIELD II'!$L$4*('CALCULO MORTERO'!I628^2)+'BLAZE SHIELD II'!$L$5*'CALCULO MORTERO'!I628+'BLAZE SHIELD II'!$L$6)*LN(J628))+('BLAZE SHIELD II'!$L$7*('CALCULO MORTERO'!I628^2)+'BLAZE SHIELD II'!$L$8*'CALCULO MORTERO'!I628+'BLAZE SHIELD II'!$L$9)),0)+IF(AND(L628="Blaze Shield II",M628="Software Idiem",C628="L"),((('BLAZE SHIELD II'!$L$4*('CALCULO MORTERO'!I628^2)+'BLAZE SHIELD II'!$L$5*'CALCULO MORTERO'!I628+'BLAZE SHIELD II'!$L$6)*LN(J628))+('BLAZE SHIELD II'!$L$7*('CALCULO MORTERO'!I628^2)+'BLAZE SHIELD II'!$L$8*'CALCULO MORTERO'!I628+'BLAZE SHIELD II'!$L$9)),0)+IF(AND(L628="Blaze Shield II",M628="Software Idiem",C628="IN",G628=3),((('BLAZE SHIELD II'!$H$14*('CALCULO MORTERO'!I628^2)+'BLAZE SHIELD II'!$H$15*'CALCULO MORTERO'!I628+'BLAZE SHIELD II'!$H$16)*LN(J628))+('BLAZE SHIELD II'!$H$17*('CALCULO MORTERO'!I628^2)+'BLAZE SHIELD II'!$H$18*'CALCULO MORTERO'!I628+'BLAZE SHIELD II'!$H$19)),0),0)+ROUND(IF(AND(L628="Cafco 400",M628="Software Idiem",C628="IN",G628=4),((('CAFCO 400 '!$H$7*(J628^4)+'CAFCO 400 '!$H$8*(J628^3)+'CAFCO 400 '!$H$9*(J628^2)+'CAFCO 400 '!$H$10*J628+'CAFCO 400 '!$H$11)*U628^2)+(('CAFCO 400 '!$H$12*(J628^3)+'CAFCO 400 '!$H$13*(J628^2)+'CAFCO 400 '!$H$14*J628+'CAFCO 400 '!$H$15)*U628)+('CAFCO 400 '!$H$16*(J628^2)+'CAFCO 400 '!$H$17*J628+'CAFCO 400 '!$H$18)),0)+IF(AND(L628="Cafco 400",M628="Software Idiem",C628="Cj"),(((('CAFCO 400 '!$D$7*LN(J628)+'CAFCO 400 '!$D$8)*U628^2)+(('CAFCO 400 '!$D$9*LN(J628)+'CAFCO 400 '!$D$10)*U628)+('CAFCO 400 '!$D$11*LN(J628)+'CAFCO 400 '!$D$12))),0)+IF(AND(L628="Cafco 400",M628="Software Idiem",C628="C"),((('CAFCO 400 '!$L$7*(J628^3)+'CAFCO 400 '!$L$8*(J628^2)+'CAFCO 400 '!$L$9*J628+'CAFCO 400 '!$L$10)*U628^2)+(('CAFCO 400 '!$L$11*(J628^3)+'CAFCO 400 '!$L$12*(J628^2)+'CAFCO 400 '!$L$13*J628+'CAFCO 400 '!$L$14)*U628)+('CAFCO 400 '!$L$15*LN(J628)+'CAFCO 400 '!$L$16)),0)+IF(AND(L628="Cafco 400",M628="Software Idiem",C628="L"),((('CAFCO 400 '!$L$7*(J628^3)+'CAFCO 400 '!$L$8*(J628^2)+'CAFCO 400 '!$L$9*J628+'CAFCO 400 '!$L$10)*U628^2)+(('CAFCO 400 '!$L$11*(J628^3)+'CAFCO 400 '!$L$12*(J628^2)+'CAFCO 400 '!$L$13*J628+'CAFCO 400 '!$L$14)*U628)+('CAFCO 400 '!$L$15*LN(J628)+'CAFCO 400 '!$L$16)),0)+IF(AND(L628="Cafco 400",M628="Software Idiem",C628="IN",G628=3),((('CAFCO 400 '!$D$23*(J628^2)+'CAFCO 400 '!$D$24*(J628)+'CAFCO 400 '!$D$25)*U628^2)+(('CAFCO 400 '!$D$26*(J628^2)+'CAFCO 400 '!$D$27*J628+'CAFCO 400 '!$D$28)*U628)+('CAFCO 400 '!$D$29*(J628^2)+'CAFCO 400 '!$D$30*J628+'CAFCO 400 '!$D$31)),0),0)+IF(AND(L628="Cafco 300",J628&gt;=95,J628&lt;=240,C628="Cj",I628=90),VLOOKUP(T628,'CAFCO 300 IDIEM TABLAS'!$B$4:$D$23,2,FALSE),0)+IF(AND(L628="Cafco 300",J628&gt;=95,J628&lt;=240,C628="Cj",I628=120),VLOOKUP(T628,'CAFCO 300 IDIEM TABLAS'!$B$4:$D$23,3,FALSE),0)+IF(AND(L628="Cafco 300",J628&gt;=95,J628&lt;=400,G628=3,C628="IN",I628=90),VLOOKUP(T628,'CAFCO 300 IDIEM TABLAS'!$F$4:$H$35,2,FALSE),0)+IF(AND(L628="Cafco 300",J628&gt;=95,J628&lt;=400,G628=3,C628="IN",I628=120),VLOOKUP(T628,'CAFCO 300 IDIEM TABLAS'!$F$4:$H$35,3,FALSE),0)+IF(AND(L628="Cafco 300",J628&gt;=95,J628&lt;=450,G628=4,C628="IN",I628=90),VLOOKUP(T628,'CAFCO 300 IDIEM TABLAS'!$J$4:$L$40,2,FALSE),0)+IF(AND(L628="Cafco 300",J628&gt;=95,J628&lt;=450,G628=4,C628="IN",I628=120),VLOOKUP(T628,'CAFCO 300 IDIEM TABLAS'!$J$4:$L$40,3,FALSE),0)+IF(AND(M628="Ensayo Idiem",L628="Cafco 400",C628="IN",G628=4,I628=90),VLOOKUP(T628,'CAFCO 400 ENSAYO'!$B$7:$D$43,2,FALSE),0)+IF(AND(M628="Ensayo Idiem",L628="Cafco 400",C628="IN",G628=4,I628=120),VLOOKUP(T628,'CAFCO 400 ENSAYO'!$B$7:$D$43,3,FALSE),0)</f>
        <v>0</v>
      </c>
      <c r="O628" s="96">
        <f t="shared" si="66"/>
        <v>0</v>
      </c>
      <c r="P628" s="95" t="str">
        <f t="shared" si="67"/>
        <v>N/A</v>
      </c>
      <c r="Q628" s="95" t="str">
        <f t="shared" si="68"/>
        <v>N/A</v>
      </c>
      <c r="R628" s="95" t="str">
        <f t="shared" si="69"/>
        <v>NO CERT.</v>
      </c>
      <c r="S628" s="95" t="e">
        <f t="shared" si="70"/>
        <v>#N/A</v>
      </c>
      <c r="T628" s="119" t="e">
        <f>+IF(J628=LOOKUP(J628,'CAFCO 300 IDIEM TABLAS'!$J$4:$J$40),'CALCULO MORTERO'!J628,MROUND('CALCULO MORTERO'!J628,10))</f>
        <v>#N/A</v>
      </c>
      <c r="U628" s="118">
        <f t="shared" si="71"/>
        <v>0</v>
      </c>
      <c r="Y628" s="4"/>
      <c r="Z628" s="4"/>
      <c r="AA628" s="4"/>
    </row>
    <row r="629" spans="1:27" x14ac:dyDescent="0.25">
      <c r="A629" s="118">
        <f>+CUBICACION!D623</f>
        <v>0</v>
      </c>
      <c r="B629" s="819">
        <f>+CUBICACION!E623</f>
        <v>0</v>
      </c>
      <c r="C629" s="675">
        <f>+CUBICACION!F623</f>
        <v>0</v>
      </c>
      <c r="D629" s="118"/>
      <c r="E629" s="118"/>
      <c r="F629" s="820"/>
      <c r="G629" s="675">
        <f>+CUBICACION!J623</f>
        <v>0</v>
      </c>
      <c r="H629" s="118"/>
      <c r="I629" s="821">
        <f>+CUBICACION!L623</f>
        <v>0</v>
      </c>
      <c r="J629" s="64">
        <f>+CUBICACION!M623</f>
        <v>0</v>
      </c>
      <c r="K629" s="822" t="str">
        <f>+CUBICACION!N623</f>
        <v/>
      </c>
      <c r="L629" s="118">
        <f>+CUBICACION!O623</f>
        <v>0</v>
      </c>
      <c r="M629" s="823">
        <f>+CUBICACION!P623</f>
        <v>0</v>
      </c>
      <c r="N629" s="902">
        <f>ROUND(IF(AND(L629="Blaze Shield II",M629="Software Idiem",C629="IN",G629=4),((('BLAZE SHIELD II'!$D$4*('CALCULO MORTERO'!I629^2)+'BLAZE SHIELD II'!$D$5*'CALCULO MORTERO'!I629+'BLAZE SHIELD II'!$D$6)*LN(J629))+('BLAZE SHIELD II'!$D$7*('CALCULO MORTERO'!I629^2)+'BLAZE SHIELD II'!$D$8*'CALCULO MORTERO'!I629+'BLAZE SHIELD II'!$D$9)),0)+IF(AND(L629="Blaze Shield II",M629="Software Idiem",C629="Cj"),((('BLAZE SHIELD II'!$H$4*('CALCULO MORTERO'!I629^2)+'BLAZE SHIELD II'!$H$5*'CALCULO MORTERO'!I629+'BLAZE SHIELD II'!$H$6)*LN(J629))+('BLAZE SHIELD II'!$H$7*('CALCULO MORTERO'!I629^2)+'BLAZE SHIELD II'!$H$8*'CALCULO MORTERO'!I629+'BLAZE SHIELD II'!$H$9)),0)+IF(AND(L629="Blaze Shield II",M629="Software Idiem",C629="C"),((('BLAZE SHIELD II'!$L$4*('CALCULO MORTERO'!I629^2)+'BLAZE SHIELD II'!$L$5*'CALCULO MORTERO'!I629+'BLAZE SHIELD II'!$L$6)*LN(J629))+('BLAZE SHIELD II'!$L$7*('CALCULO MORTERO'!I629^2)+'BLAZE SHIELD II'!$L$8*'CALCULO MORTERO'!I629+'BLAZE SHIELD II'!$L$9)),0)+IF(AND(L629="Blaze Shield II",M629="Software Idiem",C629="L"),((('BLAZE SHIELD II'!$L$4*('CALCULO MORTERO'!I629^2)+'BLAZE SHIELD II'!$L$5*'CALCULO MORTERO'!I629+'BLAZE SHIELD II'!$L$6)*LN(J629))+('BLAZE SHIELD II'!$L$7*('CALCULO MORTERO'!I629^2)+'BLAZE SHIELD II'!$L$8*'CALCULO MORTERO'!I629+'BLAZE SHIELD II'!$L$9)),0)+IF(AND(L629="Blaze Shield II",M629="Software Idiem",C629="IN",G629=3),((('BLAZE SHIELD II'!$H$14*('CALCULO MORTERO'!I629^2)+'BLAZE SHIELD II'!$H$15*'CALCULO MORTERO'!I629+'BLAZE SHIELD II'!$H$16)*LN(J629))+('BLAZE SHIELD II'!$H$17*('CALCULO MORTERO'!I629^2)+'BLAZE SHIELD II'!$H$18*'CALCULO MORTERO'!I629+'BLAZE SHIELD II'!$H$19)),0),0)+ROUND(IF(AND(L629="Cafco 400",M629="Software Idiem",C629="IN",G629=4),((('CAFCO 400 '!$H$7*(J629^4)+'CAFCO 400 '!$H$8*(J629^3)+'CAFCO 400 '!$H$9*(J629^2)+'CAFCO 400 '!$H$10*J629+'CAFCO 400 '!$H$11)*U629^2)+(('CAFCO 400 '!$H$12*(J629^3)+'CAFCO 400 '!$H$13*(J629^2)+'CAFCO 400 '!$H$14*J629+'CAFCO 400 '!$H$15)*U629)+('CAFCO 400 '!$H$16*(J629^2)+'CAFCO 400 '!$H$17*J629+'CAFCO 400 '!$H$18)),0)+IF(AND(L629="Cafco 400",M629="Software Idiem",C629="Cj"),(((('CAFCO 400 '!$D$7*LN(J629)+'CAFCO 400 '!$D$8)*U629^2)+(('CAFCO 400 '!$D$9*LN(J629)+'CAFCO 400 '!$D$10)*U629)+('CAFCO 400 '!$D$11*LN(J629)+'CAFCO 400 '!$D$12))),0)+IF(AND(L629="Cafco 400",M629="Software Idiem",C629="C"),((('CAFCO 400 '!$L$7*(J629^3)+'CAFCO 400 '!$L$8*(J629^2)+'CAFCO 400 '!$L$9*J629+'CAFCO 400 '!$L$10)*U629^2)+(('CAFCO 400 '!$L$11*(J629^3)+'CAFCO 400 '!$L$12*(J629^2)+'CAFCO 400 '!$L$13*J629+'CAFCO 400 '!$L$14)*U629)+('CAFCO 400 '!$L$15*LN(J629)+'CAFCO 400 '!$L$16)),0)+IF(AND(L629="Cafco 400",M629="Software Idiem",C629="L"),((('CAFCO 400 '!$L$7*(J629^3)+'CAFCO 400 '!$L$8*(J629^2)+'CAFCO 400 '!$L$9*J629+'CAFCO 400 '!$L$10)*U629^2)+(('CAFCO 400 '!$L$11*(J629^3)+'CAFCO 400 '!$L$12*(J629^2)+'CAFCO 400 '!$L$13*J629+'CAFCO 400 '!$L$14)*U629)+('CAFCO 400 '!$L$15*LN(J629)+'CAFCO 400 '!$L$16)),0)+IF(AND(L629="Cafco 400",M629="Software Idiem",C629="IN",G629=3),((('CAFCO 400 '!$D$23*(J629^2)+'CAFCO 400 '!$D$24*(J629)+'CAFCO 400 '!$D$25)*U629^2)+(('CAFCO 400 '!$D$26*(J629^2)+'CAFCO 400 '!$D$27*J629+'CAFCO 400 '!$D$28)*U629)+('CAFCO 400 '!$D$29*(J629^2)+'CAFCO 400 '!$D$30*J629+'CAFCO 400 '!$D$31)),0),0)+IF(AND(L629="Cafco 300",J629&gt;=95,J629&lt;=240,C629="Cj",I629=90),VLOOKUP(T629,'CAFCO 300 IDIEM TABLAS'!$B$4:$D$23,2,FALSE),0)+IF(AND(L629="Cafco 300",J629&gt;=95,J629&lt;=240,C629="Cj",I629=120),VLOOKUP(T629,'CAFCO 300 IDIEM TABLAS'!$B$4:$D$23,3,FALSE),0)+IF(AND(L629="Cafco 300",J629&gt;=95,J629&lt;=400,G629=3,C629="IN",I629=90),VLOOKUP(T629,'CAFCO 300 IDIEM TABLAS'!$F$4:$H$35,2,FALSE),0)+IF(AND(L629="Cafco 300",J629&gt;=95,J629&lt;=400,G629=3,C629="IN",I629=120),VLOOKUP(T629,'CAFCO 300 IDIEM TABLAS'!$F$4:$H$35,3,FALSE),0)+IF(AND(L629="Cafco 300",J629&gt;=95,J629&lt;=450,G629=4,C629="IN",I629=90),VLOOKUP(T629,'CAFCO 300 IDIEM TABLAS'!$J$4:$L$40,2,FALSE),0)+IF(AND(L629="Cafco 300",J629&gt;=95,J629&lt;=450,G629=4,C629="IN",I629=120),VLOOKUP(T629,'CAFCO 300 IDIEM TABLAS'!$J$4:$L$40,3,FALSE),0)+IF(AND(M629="Ensayo Idiem",L629="Cafco 400",C629="IN",G629=4,I629=90),VLOOKUP(T629,'CAFCO 400 ENSAYO'!$B$7:$D$43,2,FALSE),0)+IF(AND(M629="Ensayo Idiem",L629="Cafco 400",C629="IN",G629=4,I629=120),VLOOKUP(T629,'CAFCO 400 ENSAYO'!$B$7:$D$43,3,FALSE),0)</f>
        <v>0</v>
      </c>
      <c r="O629" s="96">
        <f t="shared" si="66"/>
        <v>0</v>
      </c>
      <c r="P629" s="132" t="str">
        <f t="shared" si="67"/>
        <v>N/A</v>
      </c>
      <c r="Q629" s="132" t="str">
        <f t="shared" si="68"/>
        <v>N/A</v>
      </c>
      <c r="R629" s="132" t="str">
        <f t="shared" si="69"/>
        <v>NO CERT.</v>
      </c>
      <c r="S629" s="132" t="e">
        <f t="shared" si="70"/>
        <v>#N/A</v>
      </c>
      <c r="T629" s="133" t="e">
        <f>+IF(J629=LOOKUP(J629,'CAFCO 300 IDIEM TABLAS'!$J$4:$J$40),'CALCULO MORTERO'!J629,MROUND('CALCULO MORTERO'!J629,10))</f>
        <v>#N/A</v>
      </c>
      <c r="U629" s="134">
        <f t="shared" si="71"/>
        <v>0</v>
      </c>
      <c r="Y629" s="4"/>
      <c r="Z629" s="4"/>
      <c r="AA629" s="4"/>
    </row>
    <row r="630" spans="1:27" x14ac:dyDescent="0.25">
      <c r="A630" s="118">
        <f>+CUBICACION!D624</f>
        <v>0</v>
      </c>
      <c r="B630" s="819">
        <f>+CUBICACION!E624</f>
        <v>0</v>
      </c>
      <c r="C630" s="675">
        <f>+CUBICACION!F624</f>
        <v>0</v>
      </c>
      <c r="D630" s="118"/>
      <c r="E630" s="118"/>
      <c r="F630" s="820"/>
      <c r="G630" s="675">
        <f>+CUBICACION!J624</f>
        <v>0</v>
      </c>
      <c r="H630" s="118"/>
      <c r="I630" s="821">
        <f>+CUBICACION!L624</f>
        <v>0</v>
      </c>
      <c r="J630" s="64">
        <f>+CUBICACION!M624</f>
        <v>0</v>
      </c>
      <c r="K630" s="822" t="str">
        <f>+CUBICACION!N624</f>
        <v/>
      </c>
      <c r="L630" s="118">
        <f>+CUBICACION!O624</f>
        <v>0</v>
      </c>
      <c r="M630" s="823">
        <f>+CUBICACION!P624</f>
        <v>0</v>
      </c>
      <c r="N630" s="902">
        <f>ROUND(IF(AND(L630="Blaze Shield II",M630="Software Idiem",C630="IN",G630=4),((('BLAZE SHIELD II'!$D$4*('CALCULO MORTERO'!I630^2)+'BLAZE SHIELD II'!$D$5*'CALCULO MORTERO'!I630+'BLAZE SHIELD II'!$D$6)*LN(J630))+('BLAZE SHIELD II'!$D$7*('CALCULO MORTERO'!I630^2)+'BLAZE SHIELD II'!$D$8*'CALCULO MORTERO'!I630+'BLAZE SHIELD II'!$D$9)),0)+IF(AND(L630="Blaze Shield II",M630="Software Idiem",C630="Cj"),((('BLAZE SHIELD II'!$H$4*('CALCULO MORTERO'!I630^2)+'BLAZE SHIELD II'!$H$5*'CALCULO MORTERO'!I630+'BLAZE SHIELD II'!$H$6)*LN(J630))+('BLAZE SHIELD II'!$H$7*('CALCULO MORTERO'!I630^2)+'BLAZE SHIELD II'!$H$8*'CALCULO MORTERO'!I630+'BLAZE SHIELD II'!$H$9)),0)+IF(AND(L630="Blaze Shield II",M630="Software Idiem",C630="C"),((('BLAZE SHIELD II'!$L$4*('CALCULO MORTERO'!I630^2)+'BLAZE SHIELD II'!$L$5*'CALCULO MORTERO'!I630+'BLAZE SHIELD II'!$L$6)*LN(J630))+('BLAZE SHIELD II'!$L$7*('CALCULO MORTERO'!I630^2)+'BLAZE SHIELD II'!$L$8*'CALCULO MORTERO'!I630+'BLAZE SHIELD II'!$L$9)),0)+IF(AND(L630="Blaze Shield II",M630="Software Idiem",C630="L"),((('BLAZE SHIELD II'!$L$4*('CALCULO MORTERO'!I630^2)+'BLAZE SHIELD II'!$L$5*'CALCULO MORTERO'!I630+'BLAZE SHIELD II'!$L$6)*LN(J630))+('BLAZE SHIELD II'!$L$7*('CALCULO MORTERO'!I630^2)+'BLAZE SHIELD II'!$L$8*'CALCULO MORTERO'!I630+'BLAZE SHIELD II'!$L$9)),0)+IF(AND(L630="Blaze Shield II",M630="Software Idiem",C630="IN",G630=3),((('BLAZE SHIELD II'!$H$14*('CALCULO MORTERO'!I630^2)+'BLAZE SHIELD II'!$H$15*'CALCULO MORTERO'!I630+'BLAZE SHIELD II'!$H$16)*LN(J630))+('BLAZE SHIELD II'!$H$17*('CALCULO MORTERO'!I630^2)+'BLAZE SHIELD II'!$H$18*'CALCULO MORTERO'!I630+'BLAZE SHIELD II'!$H$19)),0),0)+ROUND(IF(AND(L630="Cafco 400",M630="Software Idiem",C630="IN",G630=4),((('CAFCO 400 '!$H$7*(J630^4)+'CAFCO 400 '!$H$8*(J630^3)+'CAFCO 400 '!$H$9*(J630^2)+'CAFCO 400 '!$H$10*J630+'CAFCO 400 '!$H$11)*U630^2)+(('CAFCO 400 '!$H$12*(J630^3)+'CAFCO 400 '!$H$13*(J630^2)+'CAFCO 400 '!$H$14*J630+'CAFCO 400 '!$H$15)*U630)+('CAFCO 400 '!$H$16*(J630^2)+'CAFCO 400 '!$H$17*J630+'CAFCO 400 '!$H$18)),0)+IF(AND(L630="Cafco 400",M630="Software Idiem",C630="Cj"),(((('CAFCO 400 '!$D$7*LN(J630)+'CAFCO 400 '!$D$8)*U630^2)+(('CAFCO 400 '!$D$9*LN(J630)+'CAFCO 400 '!$D$10)*U630)+('CAFCO 400 '!$D$11*LN(J630)+'CAFCO 400 '!$D$12))),0)+IF(AND(L630="Cafco 400",M630="Software Idiem",C630="C"),((('CAFCO 400 '!$L$7*(J630^3)+'CAFCO 400 '!$L$8*(J630^2)+'CAFCO 400 '!$L$9*J630+'CAFCO 400 '!$L$10)*U630^2)+(('CAFCO 400 '!$L$11*(J630^3)+'CAFCO 400 '!$L$12*(J630^2)+'CAFCO 400 '!$L$13*J630+'CAFCO 400 '!$L$14)*U630)+('CAFCO 400 '!$L$15*LN(J630)+'CAFCO 400 '!$L$16)),0)+IF(AND(L630="Cafco 400",M630="Software Idiem",C630="L"),((('CAFCO 400 '!$L$7*(J630^3)+'CAFCO 400 '!$L$8*(J630^2)+'CAFCO 400 '!$L$9*J630+'CAFCO 400 '!$L$10)*U630^2)+(('CAFCO 400 '!$L$11*(J630^3)+'CAFCO 400 '!$L$12*(J630^2)+'CAFCO 400 '!$L$13*J630+'CAFCO 400 '!$L$14)*U630)+('CAFCO 400 '!$L$15*LN(J630)+'CAFCO 400 '!$L$16)),0)+IF(AND(L630="Cafco 400",M630="Software Idiem",C630="IN",G630=3),((('CAFCO 400 '!$D$23*(J630^2)+'CAFCO 400 '!$D$24*(J630)+'CAFCO 400 '!$D$25)*U630^2)+(('CAFCO 400 '!$D$26*(J630^2)+'CAFCO 400 '!$D$27*J630+'CAFCO 400 '!$D$28)*U630)+('CAFCO 400 '!$D$29*(J630^2)+'CAFCO 400 '!$D$30*J630+'CAFCO 400 '!$D$31)),0),0)+IF(AND(L630="Cafco 300",J630&gt;=95,J630&lt;=240,C630="Cj",I630=90),VLOOKUP(T630,'CAFCO 300 IDIEM TABLAS'!$B$4:$D$23,2,FALSE),0)+IF(AND(L630="Cafco 300",J630&gt;=95,J630&lt;=240,C630="Cj",I630=120),VLOOKUP(T630,'CAFCO 300 IDIEM TABLAS'!$B$4:$D$23,3,FALSE),0)+IF(AND(L630="Cafco 300",J630&gt;=95,J630&lt;=400,G630=3,C630="IN",I630=90),VLOOKUP(T630,'CAFCO 300 IDIEM TABLAS'!$F$4:$H$35,2,FALSE),0)+IF(AND(L630="Cafco 300",J630&gt;=95,J630&lt;=400,G630=3,C630="IN",I630=120),VLOOKUP(T630,'CAFCO 300 IDIEM TABLAS'!$F$4:$H$35,3,FALSE),0)+IF(AND(L630="Cafco 300",J630&gt;=95,J630&lt;=450,G630=4,C630="IN",I630=90),VLOOKUP(T630,'CAFCO 300 IDIEM TABLAS'!$J$4:$L$40,2,FALSE),0)+IF(AND(L630="Cafco 300",J630&gt;=95,J630&lt;=450,G630=4,C630="IN",I630=120),VLOOKUP(T630,'CAFCO 300 IDIEM TABLAS'!$J$4:$L$40,3,FALSE),0)+IF(AND(M630="Ensayo Idiem",L630="Cafco 400",C630="IN",G630=4,I630=90),VLOOKUP(T630,'CAFCO 400 ENSAYO'!$B$7:$D$43,2,FALSE),0)+IF(AND(M630="Ensayo Idiem",L630="Cafco 400",C630="IN",G630=4,I630=120),VLOOKUP(T630,'CAFCO 400 ENSAYO'!$B$7:$D$43,3,FALSE),0)</f>
        <v>0</v>
      </c>
      <c r="O630" s="96">
        <f t="shared" si="66"/>
        <v>0</v>
      </c>
      <c r="P630" s="95" t="str">
        <f t="shared" si="67"/>
        <v>N/A</v>
      </c>
      <c r="Q630" s="95" t="str">
        <f t="shared" si="68"/>
        <v>N/A</v>
      </c>
      <c r="R630" s="95" t="str">
        <f t="shared" si="69"/>
        <v>NO CERT.</v>
      </c>
      <c r="S630" s="95" t="e">
        <f t="shared" si="70"/>
        <v>#N/A</v>
      </c>
      <c r="T630" s="119" t="e">
        <f>+IF(J630=LOOKUP(J630,'CAFCO 300 IDIEM TABLAS'!$J$4:$J$40),'CALCULO MORTERO'!J630,MROUND('CALCULO MORTERO'!J630,10))</f>
        <v>#N/A</v>
      </c>
      <c r="U630" s="118">
        <f t="shared" si="71"/>
        <v>0</v>
      </c>
      <c r="Y630" s="4"/>
      <c r="Z630" s="4"/>
      <c r="AA630" s="4"/>
    </row>
    <row r="631" spans="1:27" x14ac:dyDescent="0.25">
      <c r="A631" s="118">
        <f>+CUBICACION!D625</f>
        <v>0</v>
      </c>
      <c r="B631" s="819">
        <f>+CUBICACION!E625</f>
        <v>0</v>
      </c>
      <c r="C631" s="675">
        <f>+CUBICACION!F625</f>
        <v>0</v>
      </c>
      <c r="D631" s="118"/>
      <c r="E631" s="118"/>
      <c r="F631" s="820"/>
      <c r="G631" s="675">
        <f>+CUBICACION!J625</f>
        <v>0</v>
      </c>
      <c r="H631" s="118"/>
      <c r="I631" s="821">
        <f>+CUBICACION!L625</f>
        <v>0</v>
      </c>
      <c r="J631" s="64">
        <f>+CUBICACION!M625</f>
        <v>0</v>
      </c>
      <c r="K631" s="822" t="str">
        <f>+CUBICACION!N625</f>
        <v/>
      </c>
      <c r="L631" s="118">
        <f>+CUBICACION!O625</f>
        <v>0</v>
      </c>
      <c r="M631" s="823">
        <f>+CUBICACION!P625</f>
        <v>0</v>
      </c>
      <c r="N631" s="902">
        <f>ROUND(IF(AND(L631="Blaze Shield II",M631="Software Idiem",C631="IN",G631=4),((('BLAZE SHIELD II'!$D$4*('CALCULO MORTERO'!I631^2)+'BLAZE SHIELD II'!$D$5*'CALCULO MORTERO'!I631+'BLAZE SHIELD II'!$D$6)*LN(J631))+('BLAZE SHIELD II'!$D$7*('CALCULO MORTERO'!I631^2)+'BLAZE SHIELD II'!$D$8*'CALCULO MORTERO'!I631+'BLAZE SHIELD II'!$D$9)),0)+IF(AND(L631="Blaze Shield II",M631="Software Idiem",C631="Cj"),((('BLAZE SHIELD II'!$H$4*('CALCULO MORTERO'!I631^2)+'BLAZE SHIELD II'!$H$5*'CALCULO MORTERO'!I631+'BLAZE SHIELD II'!$H$6)*LN(J631))+('BLAZE SHIELD II'!$H$7*('CALCULO MORTERO'!I631^2)+'BLAZE SHIELD II'!$H$8*'CALCULO MORTERO'!I631+'BLAZE SHIELD II'!$H$9)),0)+IF(AND(L631="Blaze Shield II",M631="Software Idiem",C631="C"),((('BLAZE SHIELD II'!$L$4*('CALCULO MORTERO'!I631^2)+'BLAZE SHIELD II'!$L$5*'CALCULO MORTERO'!I631+'BLAZE SHIELD II'!$L$6)*LN(J631))+('BLAZE SHIELD II'!$L$7*('CALCULO MORTERO'!I631^2)+'BLAZE SHIELD II'!$L$8*'CALCULO MORTERO'!I631+'BLAZE SHIELD II'!$L$9)),0)+IF(AND(L631="Blaze Shield II",M631="Software Idiem",C631="L"),((('BLAZE SHIELD II'!$L$4*('CALCULO MORTERO'!I631^2)+'BLAZE SHIELD II'!$L$5*'CALCULO MORTERO'!I631+'BLAZE SHIELD II'!$L$6)*LN(J631))+('BLAZE SHIELD II'!$L$7*('CALCULO MORTERO'!I631^2)+'BLAZE SHIELD II'!$L$8*'CALCULO MORTERO'!I631+'BLAZE SHIELD II'!$L$9)),0)+IF(AND(L631="Blaze Shield II",M631="Software Idiem",C631="IN",G631=3),((('BLAZE SHIELD II'!$H$14*('CALCULO MORTERO'!I631^2)+'BLAZE SHIELD II'!$H$15*'CALCULO MORTERO'!I631+'BLAZE SHIELD II'!$H$16)*LN(J631))+('BLAZE SHIELD II'!$H$17*('CALCULO MORTERO'!I631^2)+'BLAZE SHIELD II'!$H$18*'CALCULO MORTERO'!I631+'BLAZE SHIELD II'!$H$19)),0),0)+ROUND(IF(AND(L631="Cafco 400",M631="Software Idiem",C631="IN",G631=4),((('CAFCO 400 '!$H$7*(J631^4)+'CAFCO 400 '!$H$8*(J631^3)+'CAFCO 400 '!$H$9*(J631^2)+'CAFCO 400 '!$H$10*J631+'CAFCO 400 '!$H$11)*U631^2)+(('CAFCO 400 '!$H$12*(J631^3)+'CAFCO 400 '!$H$13*(J631^2)+'CAFCO 400 '!$H$14*J631+'CAFCO 400 '!$H$15)*U631)+('CAFCO 400 '!$H$16*(J631^2)+'CAFCO 400 '!$H$17*J631+'CAFCO 400 '!$H$18)),0)+IF(AND(L631="Cafco 400",M631="Software Idiem",C631="Cj"),(((('CAFCO 400 '!$D$7*LN(J631)+'CAFCO 400 '!$D$8)*U631^2)+(('CAFCO 400 '!$D$9*LN(J631)+'CAFCO 400 '!$D$10)*U631)+('CAFCO 400 '!$D$11*LN(J631)+'CAFCO 400 '!$D$12))),0)+IF(AND(L631="Cafco 400",M631="Software Idiem",C631="C"),((('CAFCO 400 '!$L$7*(J631^3)+'CAFCO 400 '!$L$8*(J631^2)+'CAFCO 400 '!$L$9*J631+'CAFCO 400 '!$L$10)*U631^2)+(('CAFCO 400 '!$L$11*(J631^3)+'CAFCO 400 '!$L$12*(J631^2)+'CAFCO 400 '!$L$13*J631+'CAFCO 400 '!$L$14)*U631)+('CAFCO 400 '!$L$15*LN(J631)+'CAFCO 400 '!$L$16)),0)+IF(AND(L631="Cafco 400",M631="Software Idiem",C631="L"),((('CAFCO 400 '!$L$7*(J631^3)+'CAFCO 400 '!$L$8*(J631^2)+'CAFCO 400 '!$L$9*J631+'CAFCO 400 '!$L$10)*U631^2)+(('CAFCO 400 '!$L$11*(J631^3)+'CAFCO 400 '!$L$12*(J631^2)+'CAFCO 400 '!$L$13*J631+'CAFCO 400 '!$L$14)*U631)+('CAFCO 400 '!$L$15*LN(J631)+'CAFCO 400 '!$L$16)),0)+IF(AND(L631="Cafco 400",M631="Software Idiem",C631="IN",G631=3),((('CAFCO 400 '!$D$23*(J631^2)+'CAFCO 400 '!$D$24*(J631)+'CAFCO 400 '!$D$25)*U631^2)+(('CAFCO 400 '!$D$26*(J631^2)+'CAFCO 400 '!$D$27*J631+'CAFCO 400 '!$D$28)*U631)+('CAFCO 400 '!$D$29*(J631^2)+'CAFCO 400 '!$D$30*J631+'CAFCO 400 '!$D$31)),0),0)+IF(AND(L631="Cafco 300",J631&gt;=95,J631&lt;=240,C631="Cj",I631=90),VLOOKUP(T631,'CAFCO 300 IDIEM TABLAS'!$B$4:$D$23,2,FALSE),0)+IF(AND(L631="Cafco 300",J631&gt;=95,J631&lt;=240,C631="Cj",I631=120),VLOOKUP(T631,'CAFCO 300 IDIEM TABLAS'!$B$4:$D$23,3,FALSE),0)+IF(AND(L631="Cafco 300",J631&gt;=95,J631&lt;=400,G631=3,C631="IN",I631=90),VLOOKUP(T631,'CAFCO 300 IDIEM TABLAS'!$F$4:$H$35,2,FALSE),0)+IF(AND(L631="Cafco 300",J631&gt;=95,J631&lt;=400,G631=3,C631="IN",I631=120),VLOOKUP(T631,'CAFCO 300 IDIEM TABLAS'!$F$4:$H$35,3,FALSE),0)+IF(AND(L631="Cafco 300",J631&gt;=95,J631&lt;=450,G631=4,C631="IN",I631=90),VLOOKUP(T631,'CAFCO 300 IDIEM TABLAS'!$J$4:$L$40,2,FALSE),0)+IF(AND(L631="Cafco 300",J631&gt;=95,J631&lt;=450,G631=4,C631="IN",I631=120),VLOOKUP(T631,'CAFCO 300 IDIEM TABLAS'!$J$4:$L$40,3,FALSE),0)+IF(AND(M631="Ensayo Idiem",L631="Cafco 400",C631="IN",G631=4,I631=90),VLOOKUP(T631,'CAFCO 400 ENSAYO'!$B$7:$D$43,2,FALSE),0)+IF(AND(M631="Ensayo Idiem",L631="Cafco 400",C631="IN",G631=4,I631=120),VLOOKUP(T631,'CAFCO 400 ENSAYO'!$B$7:$D$43,3,FALSE),0)</f>
        <v>0</v>
      </c>
      <c r="O631" s="96">
        <f t="shared" si="66"/>
        <v>0</v>
      </c>
      <c r="P631" s="132" t="str">
        <f t="shared" si="67"/>
        <v>N/A</v>
      </c>
      <c r="Q631" s="132" t="str">
        <f t="shared" si="68"/>
        <v>N/A</v>
      </c>
      <c r="R631" s="132" t="str">
        <f t="shared" si="69"/>
        <v>NO CERT.</v>
      </c>
      <c r="S631" s="132" t="e">
        <f t="shared" si="70"/>
        <v>#N/A</v>
      </c>
      <c r="T631" s="133" t="e">
        <f>+IF(J631=LOOKUP(J631,'CAFCO 300 IDIEM TABLAS'!$J$4:$J$40),'CALCULO MORTERO'!J631,MROUND('CALCULO MORTERO'!J631,10))</f>
        <v>#N/A</v>
      </c>
      <c r="U631" s="134">
        <f t="shared" si="71"/>
        <v>0</v>
      </c>
      <c r="Y631" s="4"/>
      <c r="Z631" s="4"/>
      <c r="AA631" s="4"/>
    </row>
    <row r="632" spans="1:27" x14ac:dyDescent="0.25">
      <c r="A632" s="118">
        <f>+CUBICACION!D626</f>
        <v>0</v>
      </c>
      <c r="B632" s="819">
        <f>+CUBICACION!E626</f>
        <v>0</v>
      </c>
      <c r="C632" s="675">
        <f>+CUBICACION!F626</f>
        <v>0</v>
      </c>
      <c r="D632" s="118"/>
      <c r="E632" s="118"/>
      <c r="F632" s="820"/>
      <c r="G632" s="675">
        <f>+CUBICACION!J626</f>
        <v>0</v>
      </c>
      <c r="H632" s="118"/>
      <c r="I632" s="821">
        <f>+CUBICACION!L626</f>
        <v>0</v>
      </c>
      <c r="J632" s="64">
        <f>+CUBICACION!M626</f>
        <v>0</v>
      </c>
      <c r="K632" s="822" t="str">
        <f>+CUBICACION!N626</f>
        <v/>
      </c>
      <c r="L632" s="118">
        <f>+CUBICACION!O626</f>
        <v>0</v>
      </c>
      <c r="M632" s="823">
        <f>+CUBICACION!P626</f>
        <v>0</v>
      </c>
      <c r="N632" s="902">
        <f>ROUND(IF(AND(L632="Blaze Shield II",M632="Software Idiem",C632="IN",G632=4),((('BLAZE SHIELD II'!$D$4*('CALCULO MORTERO'!I632^2)+'BLAZE SHIELD II'!$D$5*'CALCULO MORTERO'!I632+'BLAZE SHIELD II'!$D$6)*LN(J632))+('BLAZE SHIELD II'!$D$7*('CALCULO MORTERO'!I632^2)+'BLAZE SHIELD II'!$D$8*'CALCULO MORTERO'!I632+'BLAZE SHIELD II'!$D$9)),0)+IF(AND(L632="Blaze Shield II",M632="Software Idiem",C632="Cj"),((('BLAZE SHIELD II'!$H$4*('CALCULO MORTERO'!I632^2)+'BLAZE SHIELD II'!$H$5*'CALCULO MORTERO'!I632+'BLAZE SHIELD II'!$H$6)*LN(J632))+('BLAZE SHIELD II'!$H$7*('CALCULO MORTERO'!I632^2)+'BLAZE SHIELD II'!$H$8*'CALCULO MORTERO'!I632+'BLAZE SHIELD II'!$H$9)),0)+IF(AND(L632="Blaze Shield II",M632="Software Idiem",C632="C"),((('BLAZE SHIELD II'!$L$4*('CALCULO MORTERO'!I632^2)+'BLAZE SHIELD II'!$L$5*'CALCULO MORTERO'!I632+'BLAZE SHIELD II'!$L$6)*LN(J632))+('BLAZE SHIELD II'!$L$7*('CALCULO MORTERO'!I632^2)+'BLAZE SHIELD II'!$L$8*'CALCULO MORTERO'!I632+'BLAZE SHIELD II'!$L$9)),0)+IF(AND(L632="Blaze Shield II",M632="Software Idiem",C632="L"),((('BLAZE SHIELD II'!$L$4*('CALCULO MORTERO'!I632^2)+'BLAZE SHIELD II'!$L$5*'CALCULO MORTERO'!I632+'BLAZE SHIELD II'!$L$6)*LN(J632))+('BLAZE SHIELD II'!$L$7*('CALCULO MORTERO'!I632^2)+'BLAZE SHIELD II'!$L$8*'CALCULO MORTERO'!I632+'BLAZE SHIELD II'!$L$9)),0)+IF(AND(L632="Blaze Shield II",M632="Software Idiem",C632="IN",G632=3),((('BLAZE SHIELD II'!$H$14*('CALCULO MORTERO'!I632^2)+'BLAZE SHIELD II'!$H$15*'CALCULO MORTERO'!I632+'BLAZE SHIELD II'!$H$16)*LN(J632))+('BLAZE SHIELD II'!$H$17*('CALCULO MORTERO'!I632^2)+'BLAZE SHIELD II'!$H$18*'CALCULO MORTERO'!I632+'BLAZE SHIELD II'!$H$19)),0),0)+ROUND(IF(AND(L632="Cafco 400",M632="Software Idiem",C632="IN",G632=4),((('CAFCO 400 '!$H$7*(J632^4)+'CAFCO 400 '!$H$8*(J632^3)+'CAFCO 400 '!$H$9*(J632^2)+'CAFCO 400 '!$H$10*J632+'CAFCO 400 '!$H$11)*U632^2)+(('CAFCO 400 '!$H$12*(J632^3)+'CAFCO 400 '!$H$13*(J632^2)+'CAFCO 400 '!$H$14*J632+'CAFCO 400 '!$H$15)*U632)+('CAFCO 400 '!$H$16*(J632^2)+'CAFCO 400 '!$H$17*J632+'CAFCO 400 '!$H$18)),0)+IF(AND(L632="Cafco 400",M632="Software Idiem",C632="Cj"),(((('CAFCO 400 '!$D$7*LN(J632)+'CAFCO 400 '!$D$8)*U632^2)+(('CAFCO 400 '!$D$9*LN(J632)+'CAFCO 400 '!$D$10)*U632)+('CAFCO 400 '!$D$11*LN(J632)+'CAFCO 400 '!$D$12))),0)+IF(AND(L632="Cafco 400",M632="Software Idiem",C632="C"),((('CAFCO 400 '!$L$7*(J632^3)+'CAFCO 400 '!$L$8*(J632^2)+'CAFCO 400 '!$L$9*J632+'CAFCO 400 '!$L$10)*U632^2)+(('CAFCO 400 '!$L$11*(J632^3)+'CAFCO 400 '!$L$12*(J632^2)+'CAFCO 400 '!$L$13*J632+'CAFCO 400 '!$L$14)*U632)+('CAFCO 400 '!$L$15*LN(J632)+'CAFCO 400 '!$L$16)),0)+IF(AND(L632="Cafco 400",M632="Software Idiem",C632="L"),((('CAFCO 400 '!$L$7*(J632^3)+'CAFCO 400 '!$L$8*(J632^2)+'CAFCO 400 '!$L$9*J632+'CAFCO 400 '!$L$10)*U632^2)+(('CAFCO 400 '!$L$11*(J632^3)+'CAFCO 400 '!$L$12*(J632^2)+'CAFCO 400 '!$L$13*J632+'CAFCO 400 '!$L$14)*U632)+('CAFCO 400 '!$L$15*LN(J632)+'CAFCO 400 '!$L$16)),0)+IF(AND(L632="Cafco 400",M632="Software Idiem",C632="IN",G632=3),((('CAFCO 400 '!$D$23*(J632^2)+'CAFCO 400 '!$D$24*(J632)+'CAFCO 400 '!$D$25)*U632^2)+(('CAFCO 400 '!$D$26*(J632^2)+'CAFCO 400 '!$D$27*J632+'CAFCO 400 '!$D$28)*U632)+('CAFCO 400 '!$D$29*(J632^2)+'CAFCO 400 '!$D$30*J632+'CAFCO 400 '!$D$31)),0),0)+IF(AND(L632="Cafco 300",J632&gt;=95,J632&lt;=240,C632="Cj",I632=90),VLOOKUP(T632,'CAFCO 300 IDIEM TABLAS'!$B$4:$D$23,2,FALSE),0)+IF(AND(L632="Cafco 300",J632&gt;=95,J632&lt;=240,C632="Cj",I632=120),VLOOKUP(T632,'CAFCO 300 IDIEM TABLAS'!$B$4:$D$23,3,FALSE),0)+IF(AND(L632="Cafco 300",J632&gt;=95,J632&lt;=400,G632=3,C632="IN",I632=90),VLOOKUP(T632,'CAFCO 300 IDIEM TABLAS'!$F$4:$H$35,2,FALSE),0)+IF(AND(L632="Cafco 300",J632&gt;=95,J632&lt;=400,G632=3,C632="IN",I632=120),VLOOKUP(T632,'CAFCO 300 IDIEM TABLAS'!$F$4:$H$35,3,FALSE),0)+IF(AND(L632="Cafco 300",J632&gt;=95,J632&lt;=450,G632=4,C632="IN",I632=90),VLOOKUP(T632,'CAFCO 300 IDIEM TABLAS'!$J$4:$L$40,2,FALSE),0)+IF(AND(L632="Cafco 300",J632&gt;=95,J632&lt;=450,G632=4,C632="IN",I632=120),VLOOKUP(T632,'CAFCO 300 IDIEM TABLAS'!$J$4:$L$40,3,FALSE),0)+IF(AND(M632="Ensayo Idiem",L632="Cafco 400",C632="IN",G632=4,I632=90),VLOOKUP(T632,'CAFCO 400 ENSAYO'!$B$7:$D$43,2,FALSE),0)+IF(AND(M632="Ensayo Idiem",L632="Cafco 400",C632="IN",G632=4,I632=120),VLOOKUP(T632,'CAFCO 400 ENSAYO'!$B$7:$D$43,3,FALSE),0)</f>
        <v>0</v>
      </c>
      <c r="O632" s="96">
        <f t="shared" si="66"/>
        <v>0</v>
      </c>
      <c r="P632" s="95" t="str">
        <f t="shared" si="67"/>
        <v>N/A</v>
      </c>
      <c r="Q632" s="95" t="str">
        <f t="shared" si="68"/>
        <v>N/A</v>
      </c>
      <c r="R632" s="95" t="str">
        <f t="shared" si="69"/>
        <v>NO CERT.</v>
      </c>
      <c r="S632" s="95" t="e">
        <f t="shared" si="70"/>
        <v>#N/A</v>
      </c>
      <c r="T632" s="119" t="e">
        <f>+IF(J632=LOOKUP(J632,'CAFCO 300 IDIEM TABLAS'!$J$4:$J$40),'CALCULO MORTERO'!J632,MROUND('CALCULO MORTERO'!J632,10))</f>
        <v>#N/A</v>
      </c>
      <c r="U632" s="118">
        <f t="shared" si="71"/>
        <v>0</v>
      </c>
      <c r="Y632" s="4"/>
      <c r="Z632" s="4"/>
      <c r="AA632" s="4"/>
    </row>
    <row r="633" spans="1:27" x14ac:dyDescent="0.25">
      <c r="A633" s="118">
        <f>+CUBICACION!D627</f>
        <v>0</v>
      </c>
      <c r="B633" s="819">
        <f>+CUBICACION!E627</f>
        <v>0</v>
      </c>
      <c r="C633" s="675">
        <f>+CUBICACION!F627</f>
        <v>0</v>
      </c>
      <c r="D633" s="118"/>
      <c r="E633" s="118"/>
      <c r="F633" s="820"/>
      <c r="G633" s="675">
        <f>+CUBICACION!J627</f>
        <v>0</v>
      </c>
      <c r="H633" s="118"/>
      <c r="I633" s="821">
        <f>+CUBICACION!L627</f>
        <v>0</v>
      </c>
      <c r="J633" s="64">
        <f>+CUBICACION!M627</f>
        <v>0</v>
      </c>
      <c r="K633" s="822" t="str">
        <f>+CUBICACION!N627</f>
        <v/>
      </c>
      <c r="L633" s="118">
        <f>+CUBICACION!O627</f>
        <v>0</v>
      </c>
      <c r="M633" s="823">
        <f>+CUBICACION!P627</f>
        <v>0</v>
      </c>
      <c r="N633" s="902">
        <f>ROUND(IF(AND(L633="Blaze Shield II",M633="Software Idiem",C633="IN",G633=4),((('BLAZE SHIELD II'!$D$4*('CALCULO MORTERO'!I633^2)+'BLAZE SHIELD II'!$D$5*'CALCULO MORTERO'!I633+'BLAZE SHIELD II'!$D$6)*LN(J633))+('BLAZE SHIELD II'!$D$7*('CALCULO MORTERO'!I633^2)+'BLAZE SHIELD II'!$D$8*'CALCULO MORTERO'!I633+'BLAZE SHIELD II'!$D$9)),0)+IF(AND(L633="Blaze Shield II",M633="Software Idiem",C633="Cj"),((('BLAZE SHIELD II'!$H$4*('CALCULO MORTERO'!I633^2)+'BLAZE SHIELD II'!$H$5*'CALCULO MORTERO'!I633+'BLAZE SHIELD II'!$H$6)*LN(J633))+('BLAZE SHIELD II'!$H$7*('CALCULO MORTERO'!I633^2)+'BLAZE SHIELD II'!$H$8*'CALCULO MORTERO'!I633+'BLAZE SHIELD II'!$H$9)),0)+IF(AND(L633="Blaze Shield II",M633="Software Idiem",C633="C"),((('BLAZE SHIELD II'!$L$4*('CALCULO MORTERO'!I633^2)+'BLAZE SHIELD II'!$L$5*'CALCULO MORTERO'!I633+'BLAZE SHIELD II'!$L$6)*LN(J633))+('BLAZE SHIELD II'!$L$7*('CALCULO MORTERO'!I633^2)+'BLAZE SHIELD II'!$L$8*'CALCULO MORTERO'!I633+'BLAZE SHIELD II'!$L$9)),0)+IF(AND(L633="Blaze Shield II",M633="Software Idiem",C633="L"),((('BLAZE SHIELD II'!$L$4*('CALCULO MORTERO'!I633^2)+'BLAZE SHIELD II'!$L$5*'CALCULO MORTERO'!I633+'BLAZE SHIELD II'!$L$6)*LN(J633))+('BLAZE SHIELD II'!$L$7*('CALCULO MORTERO'!I633^2)+'BLAZE SHIELD II'!$L$8*'CALCULO MORTERO'!I633+'BLAZE SHIELD II'!$L$9)),0)+IF(AND(L633="Blaze Shield II",M633="Software Idiem",C633="IN",G633=3),((('BLAZE SHIELD II'!$H$14*('CALCULO MORTERO'!I633^2)+'BLAZE SHIELD II'!$H$15*'CALCULO MORTERO'!I633+'BLAZE SHIELD II'!$H$16)*LN(J633))+('BLAZE SHIELD II'!$H$17*('CALCULO MORTERO'!I633^2)+'BLAZE SHIELD II'!$H$18*'CALCULO MORTERO'!I633+'BLAZE SHIELD II'!$H$19)),0),0)+ROUND(IF(AND(L633="Cafco 400",M633="Software Idiem",C633="IN",G633=4),((('CAFCO 400 '!$H$7*(J633^4)+'CAFCO 400 '!$H$8*(J633^3)+'CAFCO 400 '!$H$9*(J633^2)+'CAFCO 400 '!$H$10*J633+'CAFCO 400 '!$H$11)*U633^2)+(('CAFCO 400 '!$H$12*(J633^3)+'CAFCO 400 '!$H$13*(J633^2)+'CAFCO 400 '!$H$14*J633+'CAFCO 400 '!$H$15)*U633)+('CAFCO 400 '!$H$16*(J633^2)+'CAFCO 400 '!$H$17*J633+'CAFCO 400 '!$H$18)),0)+IF(AND(L633="Cafco 400",M633="Software Idiem",C633="Cj"),(((('CAFCO 400 '!$D$7*LN(J633)+'CAFCO 400 '!$D$8)*U633^2)+(('CAFCO 400 '!$D$9*LN(J633)+'CAFCO 400 '!$D$10)*U633)+('CAFCO 400 '!$D$11*LN(J633)+'CAFCO 400 '!$D$12))),0)+IF(AND(L633="Cafco 400",M633="Software Idiem",C633="C"),((('CAFCO 400 '!$L$7*(J633^3)+'CAFCO 400 '!$L$8*(J633^2)+'CAFCO 400 '!$L$9*J633+'CAFCO 400 '!$L$10)*U633^2)+(('CAFCO 400 '!$L$11*(J633^3)+'CAFCO 400 '!$L$12*(J633^2)+'CAFCO 400 '!$L$13*J633+'CAFCO 400 '!$L$14)*U633)+('CAFCO 400 '!$L$15*LN(J633)+'CAFCO 400 '!$L$16)),0)+IF(AND(L633="Cafco 400",M633="Software Idiem",C633="L"),((('CAFCO 400 '!$L$7*(J633^3)+'CAFCO 400 '!$L$8*(J633^2)+'CAFCO 400 '!$L$9*J633+'CAFCO 400 '!$L$10)*U633^2)+(('CAFCO 400 '!$L$11*(J633^3)+'CAFCO 400 '!$L$12*(J633^2)+'CAFCO 400 '!$L$13*J633+'CAFCO 400 '!$L$14)*U633)+('CAFCO 400 '!$L$15*LN(J633)+'CAFCO 400 '!$L$16)),0)+IF(AND(L633="Cafco 400",M633="Software Idiem",C633="IN",G633=3),((('CAFCO 400 '!$D$23*(J633^2)+'CAFCO 400 '!$D$24*(J633)+'CAFCO 400 '!$D$25)*U633^2)+(('CAFCO 400 '!$D$26*(J633^2)+'CAFCO 400 '!$D$27*J633+'CAFCO 400 '!$D$28)*U633)+('CAFCO 400 '!$D$29*(J633^2)+'CAFCO 400 '!$D$30*J633+'CAFCO 400 '!$D$31)),0),0)+IF(AND(L633="Cafco 300",J633&gt;=95,J633&lt;=240,C633="Cj",I633=90),VLOOKUP(T633,'CAFCO 300 IDIEM TABLAS'!$B$4:$D$23,2,FALSE),0)+IF(AND(L633="Cafco 300",J633&gt;=95,J633&lt;=240,C633="Cj",I633=120),VLOOKUP(T633,'CAFCO 300 IDIEM TABLAS'!$B$4:$D$23,3,FALSE),0)+IF(AND(L633="Cafco 300",J633&gt;=95,J633&lt;=400,G633=3,C633="IN",I633=90),VLOOKUP(T633,'CAFCO 300 IDIEM TABLAS'!$F$4:$H$35,2,FALSE),0)+IF(AND(L633="Cafco 300",J633&gt;=95,J633&lt;=400,G633=3,C633="IN",I633=120),VLOOKUP(T633,'CAFCO 300 IDIEM TABLAS'!$F$4:$H$35,3,FALSE),0)+IF(AND(L633="Cafco 300",J633&gt;=95,J633&lt;=450,G633=4,C633="IN",I633=90),VLOOKUP(T633,'CAFCO 300 IDIEM TABLAS'!$J$4:$L$40,2,FALSE),0)+IF(AND(L633="Cafco 300",J633&gt;=95,J633&lt;=450,G633=4,C633="IN",I633=120),VLOOKUP(T633,'CAFCO 300 IDIEM TABLAS'!$J$4:$L$40,3,FALSE),0)+IF(AND(M633="Ensayo Idiem",L633="Cafco 400",C633="IN",G633=4,I633=90),VLOOKUP(T633,'CAFCO 400 ENSAYO'!$B$7:$D$43,2,FALSE),0)+IF(AND(M633="Ensayo Idiem",L633="Cafco 400",C633="IN",G633=4,I633=120),VLOOKUP(T633,'CAFCO 400 ENSAYO'!$B$7:$D$43,3,FALSE),0)</f>
        <v>0</v>
      </c>
      <c r="O633" s="96">
        <f t="shared" si="66"/>
        <v>0</v>
      </c>
      <c r="P633" s="132" t="str">
        <f t="shared" si="67"/>
        <v>N/A</v>
      </c>
      <c r="Q633" s="132" t="str">
        <f t="shared" si="68"/>
        <v>N/A</v>
      </c>
      <c r="R633" s="132" t="str">
        <f t="shared" si="69"/>
        <v>NO CERT.</v>
      </c>
      <c r="S633" s="132" t="e">
        <f t="shared" si="70"/>
        <v>#N/A</v>
      </c>
      <c r="T633" s="133" t="e">
        <f>+IF(J633=LOOKUP(J633,'CAFCO 300 IDIEM TABLAS'!$J$4:$J$40),'CALCULO MORTERO'!J633,MROUND('CALCULO MORTERO'!J633,10))</f>
        <v>#N/A</v>
      </c>
      <c r="U633" s="134">
        <f t="shared" si="71"/>
        <v>0</v>
      </c>
      <c r="Y633" s="4"/>
      <c r="Z633" s="4"/>
      <c r="AA633" s="4"/>
    </row>
    <row r="634" spans="1:27" x14ac:dyDescent="0.25">
      <c r="A634" s="118">
        <f>+CUBICACION!D628</f>
        <v>0</v>
      </c>
      <c r="B634" s="819">
        <f>+CUBICACION!E628</f>
        <v>0</v>
      </c>
      <c r="C634" s="675">
        <f>+CUBICACION!F628</f>
        <v>0</v>
      </c>
      <c r="D634" s="118"/>
      <c r="E634" s="118"/>
      <c r="F634" s="820"/>
      <c r="G634" s="675">
        <f>+CUBICACION!J628</f>
        <v>0</v>
      </c>
      <c r="H634" s="118"/>
      <c r="I634" s="821">
        <f>+CUBICACION!L628</f>
        <v>0</v>
      </c>
      <c r="J634" s="64">
        <f>+CUBICACION!M628</f>
        <v>0</v>
      </c>
      <c r="K634" s="822" t="str">
        <f>+CUBICACION!N628</f>
        <v/>
      </c>
      <c r="L634" s="118">
        <f>+CUBICACION!O628</f>
        <v>0</v>
      </c>
      <c r="M634" s="823">
        <f>+CUBICACION!P628</f>
        <v>0</v>
      </c>
      <c r="N634" s="902">
        <f>ROUND(IF(AND(L634="Blaze Shield II",M634="Software Idiem",C634="IN",G634=4),((('BLAZE SHIELD II'!$D$4*('CALCULO MORTERO'!I634^2)+'BLAZE SHIELD II'!$D$5*'CALCULO MORTERO'!I634+'BLAZE SHIELD II'!$D$6)*LN(J634))+('BLAZE SHIELD II'!$D$7*('CALCULO MORTERO'!I634^2)+'BLAZE SHIELD II'!$D$8*'CALCULO MORTERO'!I634+'BLAZE SHIELD II'!$D$9)),0)+IF(AND(L634="Blaze Shield II",M634="Software Idiem",C634="Cj"),((('BLAZE SHIELD II'!$H$4*('CALCULO MORTERO'!I634^2)+'BLAZE SHIELD II'!$H$5*'CALCULO MORTERO'!I634+'BLAZE SHIELD II'!$H$6)*LN(J634))+('BLAZE SHIELD II'!$H$7*('CALCULO MORTERO'!I634^2)+'BLAZE SHIELD II'!$H$8*'CALCULO MORTERO'!I634+'BLAZE SHIELD II'!$H$9)),0)+IF(AND(L634="Blaze Shield II",M634="Software Idiem",C634="C"),((('BLAZE SHIELD II'!$L$4*('CALCULO MORTERO'!I634^2)+'BLAZE SHIELD II'!$L$5*'CALCULO MORTERO'!I634+'BLAZE SHIELD II'!$L$6)*LN(J634))+('BLAZE SHIELD II'!$L$7*('CALCULO MORTERO'!I634^2)+'BLAZE SHIELD II'!$L$8*'CALCULO MORTERO'!I634+'BLAZE SHIELD II'!$L$9)),0)+IF(AND(L634="Blaze Shield II",M634="Software Idiem",C634="L"),((('BLAZE SHIELD II'!$L$4*('CALCULO MORTERO'!I634^2)+'BLAZE SHIELD II'!$L$5*'CALCULO MORTERO'!I634+'BLAZE SHIELD II'!$L$6)*LN(J634))+('BLAZE SHIELD II'!$L$7*('CALCULO MORTERO'!I634^2)+'BLAZE SHIELD II'!$L$8*'CALCULO MORTERO'!I634+'BLAZE SHIELD II'!$L$9)),0)+IF(AND(L634="Blaze Shield II",M634="Software Idiem",C634="IN",G634=3),((('BLAZE SHIELD II'!$H$14*('CALCULO MORTERO'!I634^2)+'BLAZE SHIELD II'!$H$15*'CALCULO MORTERO'!I634+'BLAZE SHIELD II'!$H$16)*LN(J634))+('BLAZE SHIELD II'!$H$17*('CALCULO MORTERO'!I634^2)+'BLAZE SHIELD II'!$H$18*'CALCULO MORTERO'!I634+'BLAZE SHIELD II'!$H$19)),0),0)+ROUND(IF(AND(L634="Cafco 400",M634="Software Idiem",C634="IN",G634=4),((('CAFCO 400 '!$H$7*(J634^4)+'CAFCO 400 '!$H$8*(J634^3)+'CAFCO 400 '!$H$9*(J634^2)+'CAFCO 400 '!$H$10*J634+'CAFCO 400 '!$H$11)*U634^2)+(('CAFCO 400 '!$H$12*(J634^3)+'CAFCO 400 '!$H$13*(J634^2)+'CAFCO 400 '!$H$14*J634+'CAFCO 400 '!$H$15)*U634)+('CAFCO 400 '!$H$16*(J634^2)+'CAFCO 400 '!$H$17*J634+'CAFCO 400 '!$H$18)),0)+IF(AND(L634="Cafco 400",M634="Software Idiem",C634="Cj"),(((('CAFCO 400 '!$D$7*LN(J634)+'CAFCO 400 '!$D$8)*U634^2)+(('CAFCO 400 '!$D$9*LN(J634)+'CAFCO 400 '!$D$10)*U634)+('CAFCO 400 '!$D$11*LN(J634)+'CAFCO 400 '!$D$12))),0)+IF(AND(L634="Cafco 400",M634="Software Idiem",C634="C"),((('CAFCO 400 '!$L$7*(J634^3)+'CAFCO 400 '!$L$8*(J634^2)+'CAFCO 400 '!$L$9*J634+'CAFCO 400 '!$L$10)*U634^2)+(('CAFCO 400 '!$L$11*(J634^3)+'CAFCO 400 '!$L$12*(J634^2)+'CAFCO 400 '!$L$13*J634+'CAFCO 400 '!$L$14)*U634)+('CAFCO 400 '!$L$15*LN(J634)+'CAFCO 400 '!$L$16)),0)+IF(AND(L634="Cafco 400",M634="Software Idiem",C634="L"),((('CAFCO 400 '!$L$7*(J634^3)+'CAFCO 400 '!$L$8*(J634^2)+'CAFCO 400 '!$L$9*J634+'CAFCO 400 '!$L$10)*U634^2)+(('CAFCO 400 '!$L$11*(J634^3)+'CAFCO 400 '!$L$12*(J634^2)+'CAFCO 400 '!$L$13*J634+'CAFCO 400 '!$L$14)*U634)+('CAFCO 400 '!$L$15*LN(J634)+'CAFCO 400 '!$L$16)),0)+IF(AND(L634="Cafco 400",M634="Software Idiem",C634="IN",G634=3),((('CAFCO 400 '!$D$23*(J634^2)+'CAFCO 400 '!$D$24*(J634)+'CAFCO 400 '!$D$25)*U634^2)+(('CAFCO 400 '!$D$26*(J634^2)+'CAFCO 400 '!$D$27*J634+'CAFCO 400 '!$D$28)*U634)+('CAFCO 400 '!$D$29*(J634^2)+'CAFCO 400 '!$D$30*J634+'CAFCO 400 '!$D$31)),0),0)+IF(AND(L634="Cafco 300",J634&gt;=95,J634&lt;=240,C634="Cj",I634=90),VLOOKUP(T634,'CAFCO 300 IDIEM TABLAS'!$B$4:$D$23,2,FALSE),0)+IF(AND(L634="Cafco 300",J634&gt;=95,J634&lt;=240,C634="Cj",I634=120),VLOOKUP(T634,'CAFCO 300 IDIEM TABLAS'!$B$4:$D$23,3,FALSE),0)+IF(AND(L634="Cafco 300",J634&gt;=95,J634&lt;=400,G634=3,C634="IN",I634=90),VLOOKUP(T634,'CAFCO 300 IDIEM TABLAS'!$F$4:$H$35,2,FALSE),0)+IF(AND(L634="Cafco 300",J634&gt;=95,J634&lt;=400,G634=3,C634="IN",I634=120),VLOOKUP(T634,'CAFCO 300 IDIEM TABLAS'!$F$4:$H$35,3,FALSE),0)+IF(AND(L634="Cafco 300",J634&gt;=95,J634&lt;=450,G634=4,C634="IN",I634=90),VLOOKUP(T634,'CAFCO 300 IDIEM TABLAS'!$J$4:$L$40,2,FALSE),0)+IF(AND(L634="Cafco 300",J634&gt;=95,J634&lt;=450,G634=4,C634="IN",I634=120),VLOOKUP(T634,'CAFCO 300 IDIEM TABLAS'!$J$4:$L$40,3,FALSE),0)+IF(AND(M634="Ensayo Idiem",L634="Cafco 400",C634="IN",G634=4,I634=90),VLOOKUP(T634,'CAFCO 400 ENSAYO'!$B$7:$D$43,2,FALSE),0)+IF(AND(M634="Ensayo Idiem",L634="Cafco 400",C634="IN",G634=4,I634=120),VLOOKUP(T634,'CAFCO 400 ENSAYO'!$B$7:$D$43,3,FALSE),0)</f>
        <v>0</v>
      </c>
      <c r="O634" s="96">
        <f t="shared" si="66"/>
        <v>0</v>
      </c>
      <c r="P634" s="95" t="str">
        <f t="shared" si="67"/>
        <v>N/A</v>
      </c>
      <c r="Q634" s="95" t="str">
        <f t="shared" si="68"/>
        <v>N/A</v>
      </c>
      <c r="R634" s="95" t="str">
        <f t="shared" si="69"/>
        <v>NO CERT.</v>
      </c>
      <c r="S634" s="95" t="e">
        <f t="shared" si="70"/>
        <v>#N/A</v>
      </c>
      <c r="T634" s="119" t="e">
        <f>+IF(J634=LOOKUP(J634,'CAFCO 300 IDIEM TABLAS'!$J$4:$J$40),'CALCULO MORTERO'!J634,MROUND('CALCULO MORTERO'!J634,10))</f>
        <v>#N/A</v>
      </c>
      <c r="U634" s="118">
        <f t="shared" si="71"/>
        <v>0</v>
      </c>
      <c r="Y634" s="4"/>
      <c r="Z634" s="4"/>
      <c r="AA634" s="4"/>
    </row>
    <row r="635" spans="1:27" x14ac:dyDescent="0.25">
      <c r="A635" s="118">
        <f>+CUBICACION!D629</f>
        <v>0</v>
      </c>
      <c r="B635" s="819">
        <f>+CUBICACION!E629</f>
        <v>0</v>
      </c>
      <c r="C635" s="675">
        <f>+CUBICACION!F629</f>
        <v>0</v>
      </c>
      <c r="D635" s="118"/>
      <c r="E635" s="118"/>
      <c r="F635" s="820"/>
      <c r="G635" s="675">
        <f>+CUBICACION!J629</f>
        <v>0</v>
      </c>
      <c r="H635" s="118"/>
      <c r="I635" s="821">
        <f>+CUBICACION!L629</f>
        <v>0</v>
      </c>
      <c r="J635" s="64">
        <f>+CUBICACION!M629</f>
        <v>0</v>
      </c>
      <c r="K635" s="822" t="str">
        <f>+CUBICACION!N629</f>
        <v/>
      </c>
      <c r="L635" s="118">
        <f>+CUBICACION!O629</f>
        <v>0</v>
      </c>
      <c r="M635" s="823">
        <f>+CUBICACION!P629</f>
        <v>0</v>
      </c>
      <c r="N635" s="902">
        <f>ROUND(IF(AND(L635="Blaze Shield II",M635="Software Idiem",C635="IN",G635=4),((('BLAZE SHIELD II'!$D$4*('CALCULO MORTERO'!I635^2)+'BLAZE SHIELD II'!$D$5*'CALCULO MORTERO'!I635+'BLAZE SHIELD II'!$D$6)*LN(J635))+('BLAZE SHIELD II'!$D$7*('CALCULO MORTERO'!I635^2)+'BLAZE SHIELD II'!$D$8*'CALCULO MORTERO'!I635+'BLAZE SHIELD II'!$D$9)),0)+IF(AND(L635="Blaze Shield II",M635="Software Idiem",C635="Cj"),((('BLAZE SHIELD II'!$H$4*('CALCULO MORTERO'!I635^2)+'BLAZE SHIELD II'!$H$5*'CALCULO MORTERO'!I635+'BLAZE SHIELD II'!$H$6)*LN(J635))+('BLAZE SHIELD II'!$H$7*('CALCULO MORTERO'!I635^2)+'BLAZE SHIELD II'!$H$8*'CALCULO MORTERO'!I635+'BLAZE SHIELD II'!$H$9)),0)+IF(AND(L635="Blaze Shield II",M635="Software Idiem",C635="C"),((('BLAZE SHIELD II'!$L$4*('CALCULO MORTERO'!I635^2)+'BLAZE SHIELD II'!$L$5*'CALCULO MORTERO'!I635+'BLAZE SHIELD II'!$L$6)*LN(J635))+('BLAZE SHIELD II'!$L$7*('CALCULO MORTERO'!I635^2)+'BLAZE SHIELD II'!$L$8*'CALCULO MORTERO'!I635+'BLAZE SHIELD II'!$L$9)),0)+IF(AND(L635="Blaze Shield II",M635="Software Idiem",C635="L"),((('BLAZE SHIELD II'!$L$4*('CALCULO MORTERO'!I635^2)+'BLAZE SHIELD II'!$L$5*'CALCULO MORTERO'!I635+'BLAZE SHIELD II'!$L$6)*LN(J635))+('BLAZE SHIELD II'!$L$7*('CALCULO MORTERO'!I635^2)+'BLAZE SHIELD II'!$L$8*'CALCULO MORTERO'!I635+'BLAZE SHIELD II'!$L$9)),0)+IF(AND(L635="Blaze Shield II",M635="Software Idiem",C635="IN",G635=3),((('BLAZE SHIELD II'!$H$14*('CALCULO MORTERO'!I635^2)+'BLAZE SHIELD II'!$H$15*'CALCULO MORTERO'!I635+'BLAZE SHIELD II'!$H$16)*LN(J635))+('BLAZE SHIELD II'!$H$17*('CALCULO MORTERO'!I635^2)+'BLAZE SHIELD II'!$H$18*'CALCULO MORTERO'!I635+'BLAZE SHIELD II'!$H$19)),0),0)+ROUND(IF(AND(L635="Cafco 400",M635="Software Idiem",C635="IN",G635=4),((('CAFCO 400 '!$H$7*(J635^4)+'CAFCO 400 '!$H$8*(J635^3)+'CAFCO 400 '!$H$9*(J635^2)+'CAFCO 400 '!$H$10*J635+'CAFCO 400 '!$H$11)*U635^2)+(('CAFCO 400 '!$H$12*(J635^3)+'CAFCO 400 '!$H$13*(J635^2)+'CAFCO 400 '!$H$14*J635+'CAFCO 400 '!$H$15)*U635)+('CAFCO 400 '!$H$16*(J635^2)+'CAFCO 400 '!$H$17*J635+'CAFCO 400 '!$H$18)),0)+IF(AND(L635="Cafco 400",M635="Software Idiem",C635="Cj"),(((('CAFCO 400 '!$D$7*LN(J635)+'CAFCO 400 '!$D$8)*U635^2)+(('CAFCO 400 '!$D$9*LN(J635)+'CAFCO 400 '!$D$10)*U635)+('CAFCO 400 '!$D$11*LN(J635)+'CAFCO 400 '!$D$12))),0)+IF(AND(L635="Cafco 400",M635="Software Idiem",C635="C"),((('CAFCO 400 '!$L$7*(J635^3)+'CAFCO 400 '!$L$8*(J635^2)+'CAFCO 400 '!$L$9*J635+'CAFCO 400 '!$L$10)*U635^2)+(('CAFCO 400 '!$L$11*(J635^3)+'CAFCO 400 '!$L$12*(J635^2)+'CAFCO 400 '!$L$13*J635+'CAFCO 400 '!$L$14)*U635)+('CAFCO 400 '!$L$15*LN(J635)+'CAFCO 400 '!$L$16)),0)+IF(AND(L635="Cafco 400",M635="Software Idiem",C635="L"),((('CAFCO 400 '!$L$7*(J635^3)+'CAFCO 400 '!$L$8*(J635^2)+'CAFCO 400 '!$L$9*J635+'CAFCO 400 '!$L$10)*U635^2)+(('CAFCO 400 '!$L$11*(J635^3)+'CAFCO 400 '!$L$12*(J635^2)+'CAFCO 400 '!$L$13*J635+'CAFCO 400 '!$L$14)*U635)+('CAFCO 400 '!$L$15*LN(J635)+'CAFCO 400 '!$L$16)),0)+IF(AND(L635="Cafco 400",M635="Software Idiem",C635="IN",G635=3),((('CAFCO 400 '!$D$23*(J635^2)+'CAFCO 400 '!$D$24*(J635)+'CAFCO 400 '!$D$25)*U635^2)+(('CAFCO 400 '!$D$26*(J635^2)+'CAFCO 400 '!$D$27*J635+'CAFCO 400 '!$D$28)*U635)+('CAFCO 400 '!$D$29*(J635^2)+'CAFCO 400 '!$D$30*J635+'CAFCO 400 '!$D$31)),0),0)+IF(AND(L635="Cafco 300",J635&gt;=95,J635&lt;=240,C635="Cj",I635=90),VLOOKUP(T635,'CAFCO 300 IDIEM TABLAS'!$B$4:$D$23,2,FALSE),0)+IF(AND(L635="Cafco 300",J635&gt;=95,J635&lt;=240,C635="Cj",I635=120),VLOOKUP(T635,'CAFCO 300 IDIEM TABLAS'!$B$4:$D$23,3,FALSE),0)+IF(AND(L635="Cafco 300",J635&gt;=95,J635&lt;=400,G635=3,C635="IN",I635=90),VLOOKUP(T635,'CAFCO 300 IDIEM TABLAS'!$F$4:$H$35,2,FALSE),0)+IF(AND(L635="Cafco 300",J635&gt;=95,J635&lt;=400,G635=3,C635="IN",I635=120),VLOOKUP(T635,'CAFCO 300 IDIEM TABLAS'!$F$4:$H$35,3,FALSE),0)+IF(AND(L635="Cafco 300",J635&gt;=95,J635&lt;=450,G635=4,C635="IN",I635=90),VLOOKUP(T635,'CAFCO 300 IDIEM TABLAS'!$J$4:$L$40,2,FALSE),0)+IF(AND(L635="Cafco 300",J635&gt;=95,J635&lt;=450,G635=4,C635="IN",I635=120),VLOOKUP(T635,'CAFCO 300 IDIEM TABLAS'!$J$4:$L$40,3,FALSE),0)+IF(AND(M635="Ensayo Idiem",L635="Cafco 400",C635="IN",G635=4,I635=90),VLOOKUP(T635,'CAFCO 400 ENSAYO'!$B$7:$D$43,2,FALSE),0)+IF(AND(M635="Ensayo Idiem",L635="Cafco 400",C635="IN",G635=4,I635=120),VLOOKUP(T635,'CAFCO 400 ENSAYO'!$B$7:$D$43,3,FALSE),0)</f>
        <v>0</v>
      </c>
      <c r="O635" s="96">
        <f t="shared" si="66"/>
        <v>0</v>
      </c>
      <c r="P635" s="132" t="str">
        <f t="shared" si="67"/>
        <v>N/A</v>
      </c>
      <c r="Q635" s="132" t="str">
        <f t="shared" si="68"/>
        <v>N/A</v>
      </c>
      <c r="R635" s="132" t="str">
        <f t="shared" si="69"/>
        <v>NO CERT.</v>
      </c>
      <c r="S635" s="132" t="e">
        <f t="shared" si="70"/>
        <v>#N/A</v>
      </c>
      <c r="T635" s="133" t="e">
        <f>+IF(J635=LOOKUP(J635,'CAFCO 300 IDIEM TABLAS'!$J$4:$J$40),'CALCULO MORTERO'!J635,MROUND('CALCULO MORTERO'!J635,10))</f>
        <v>#N/A</v>
      </c>
      <c r="U635" s="134">
        <f t="shared" si="71"/>
        <v>0</v>
      </c>
      <c r="Y635" s="4"/>
      <c r="Z635" s="4"/>
      <c r="AA635" s="4"/>
    </row>
    <row r="636" spans="1:27" x14ac:dyDescent="0.25">
      <c r="A636" s="118">
        <f>+CUBICACION!D630</f>
        <v>0</v>
      </c>
      <c r="B636" s="819">
        <f>+CUBICACION!E630</f>
        <v>0</v>
      </c>
      <c r="C636" s="675">
        <f>+CUBICACION!F630</f>
        <v>0</v>
      </c>
      <c r="D636" s="118"/>
      <c r="E636" s="118"/>
      <c r="F636" s="820"/>
      <c r="G636" s="675">
        <f>+CUBICACION!J630</f>
        <v>0</v>
      </c>
      <c r="H636" s="118"/>
      <c r="I636" s="821">
        <f>+CUBICACION!L630</f>
        <v>0</v>
      </c>
      <c r="J636" s="64">
        <f>+CUBICACION!M630</f>
        <v>0</v>
      </c>
      <c r="K636" s="822" t="str">
        <f>+CUBICACION!N630</f>
        <v/>
      </c>
      <c r="L636" s="118">
        <f>+CUBICACION!O630</f>
        <v>0</v>
      </c>
      <c r="M636" s="823">
        <f>+CUBICACION!P630</f>
        <v>0</v>
      </c>
      <c r="N636" s="902">
        <f>ROUND(IF(AND(L636="Blaze Shield II",M636="Software Idiem",C636="IN",G636=4),((('BLAZE SHIELD II'!$D$4*('CALCULO MORTERO'!I636^2)+'BLAZE SHIELD II'!$D$5*'CALCULO MORTERO'!I636+'BLAZE SHIELD II'!$D$6)*LN(J636))+('BLAZE SHIELD II'!$D$7*('CALCULO MORTERO'!I636^2)+'BLAZE SHIELD II'!$D$8*'CALCULO MORTERO'!I636+'BLAZE SHIELD II'!$D$9)),0)+IF(AND(L636="Blaze Shield II",M636="Software Idiem",C636="Cj"),((('BLAZE SHIELD II'!$H$4*('CALCULO MORTERO'!I636^2)+'BLAZE SHIELD II'!$H$5*'CALCULO MORTERO'!I636+'BLAZE SHIELD II'!$H$6)*LN(J636))+('BLAZE SHIELD II'!$H$7*('CALCULO MORTERO'!I636^2)+'BLAZE SHIELD II'!$H$8*'CALCULO MORTERO'!I636+'BLAZE SHIELD II'!$H$9)),0)+IF(AND(L636="Blaze Shield II",M636="Software Idiem",C636="C"),((('BLAZE SHIELD II'!$L$4*('CALCULO MORTERO'!I636^2)+'BLAZE SHIELD II'!$L$5*'CALCULO MORTERO'!I636+'BLAZE SHIELD II'!$L$6)*LN(J636))+('BLAZE SHIELD II'!$L$7*('CALCULO MORTERO'!I636^2)+'BLAZE SHIELD II'!$L$8*'CALCULO MORTERO'!I636+'BLAZE SHIELD II'!$L$9)),0)+IF(AND(L636="Blaze Shield II",M636="Software Idiem",C636="L"),((('BLAZE SHIELD II'!$L$4*('CALCULO MORTERO'!I636^2)+'BLAZE SHIELD II'!$L$5*'CALCULO MORTERO'!I636+'BLAZE SHIELD II'!$L$6)*LN(J636))+('BLAZE SHIELD II'!$L$7*('CALCULO MORTERO'!I636^2)+'BLAZE SHIELD II'!$L$8*'CALCULO MORTERO'!I636+'BLAZE SHIELD II'!$L$9)),0)+IF(AND(L636="Blaze Shield II",M636="Software Idiem",C636="IN",G636=3),((('BLAZE SHIELD II'!$H$14*('CALCULO MORTERO'!I636^2)+'BLAZE SHIELD II'!$H$15*'CALCULO MORTERO'!I636+'BLAZE SHIELD II'!$H$16)*LN(J636))+('BLAZE SHIELD II'!$H$17*('CALCULO MORTERO'!I636^2)+'BLAZE SHIELD II'!$H$18*'CALCULO MORTERO'!I636+'BLAZE SHIELD II'!$H$19)),0),0)+ROUND(IF(AND(L636="Cafco 400",M636="Software Idiem",C636="IN",G636=4),((('CAFCO 400 '!$H$7*(J636^4)+'CAFCO 400 '!$H$8*(J636^3)+'CAFCO 400 '!$H$9*(J636^2)+'CAFCO 400 '!$H$10*J636+'CAFCO 400 '!$H$11)*U636^2)+(('CAFCO 400 '!$H$12*(J636^3)+'CAFCO 400 '!$H$13*(J636^2)+'CAFCO 400 '!$H$14*J636+'CAFCO 400 '!$H$15)*U636)+('CAFCO 400 '!$H$16*(J636^2)+'CAFCO 400 '!$H$17*J636+'CAFCO 400 '!$H$18)),0)+IF(AND(L636="Cafco 400",M636="Software Idiem",C636="Cj"),(((('CAFCO 400 '!$D$7*LN(J636)+'CAFCO 400 '!$D$8)*U636^2)+(('CAFCO 400 '!$D$9*LN(J636)+'CAFCO 400 '!$D$10)*U636)+('CAFCO 400 '!$D$11*LN(J636)+'CAFCO 400 '!$D$12))),0)+IF(AND(L636="Cafco 400",M636="Software Idiem",C636="C"),((('CAFCO 400 '!$L$7*(J636^3)+'CAFCO 400 '!$L$8*(J636^2)+'CAFCO 400 '!$L$9*J636+'CAFCO 400 '!$L$10)*U636^2)+(('CAFCO 400 '!$L$11*(J636^3)+'CAFCO 400 '!$L$12*(J636^2)+'CAFCO 400 '!$L$13*J636+'CAFCO 400 '!$L$14)*U636)+('CAFCO 400 '!$L$15*LN(J636)+'CAFCO 400 '!$L$16)),0)+IF(AND(L636="Cafco 400",M636="Software Idiem",C636="L"),((('CAFCO 400 '!$L$7*(J636^3)+'CAFCO 400 '!$L$8*(J636^2)+'CAFCO 400 '!$L$9*J636+'CAFCO 400 '!$L$10)*U636^2)+(('CAFCO 400 '!$L$11*(J636^3)+'CAFCO 400 '!$L$12*(J636^2)+'CAFCO 400 '!$L$13*J636+'CAFCO 400 '!$L$14)*U636)+('CAFCO 400 '!$L$15*LN(J636)+'CAFCO 400 '!$L$16)),0)+IF(AND(L636="Cafco 400",M636="Software Idiem",C636="IN",G636=3),((('CAFCO 400 '!$D$23*(J636^2)+'CAFCO 400 '!$D$24*(J636)+'CAFCO 400 '!$D$25)*U636^2)+(('CAFCO 400 '!$D$26*(J636^2)+'CAFCO 400 '!$D$27*J636+'CAFCO 400 '!$D$28)*U636)+('CAFCO 400 '!$D$29*(J636^2)+'CAFCO 400 '!$D$30*J636+'CAFCO 400 '!$D$31)),0),0)+IF(AND(L636="Cafco 300",J636&gt;=95,J636&lt;=240,C636="Cj",I636=90),VLOOKUP(T636,'CAFCO 300 IDIEM TABLAS'!$B$4:$D$23,2,FALSE),0)+IF(AND(L636="Cafco 300",J636&gt;=95,J636&lt;=240,C636="Cj",I636=120),VLOOKUP(T636,'CAFCO 300 IDIEM TABLAS'!$B$4:$D$23,3,FALSE),0)+IF(AND(L636="Cafco 300",J636&gt;=95,J636&lt;=400,G636=3,C636="IN",I636=90),VLOOKUP(T636,'CAFCO 300 IDIEM TABLAS'!$F$4:$H$35,2,FALSE),0)+IF(AND(L636="Cafco 300",J636&gt;=95,J636&lt;=400,G636=3,C636="IN",I636=120),VLOOKUP(T636,'CAFCO 300 IDIEM TABLAS'!$F$4:$H$35,3,FALSE),0)+IF(AND(L636="Cafco 300",J636&gt;=95,J636&lt;=450,G636=4,C636="IN",I636=90),VLOOKUP(T636,'CAFCO 300 IDIEM TABLAS'!$J$4:$L$40,2,FALSE),0)+IF(AND(L636="Cafco 300",J636&gt;=95,J636&lt;=450,G636=4,C636="IN",I636=120),VLOOKUP(T636,'CAFCO 300 IDIEM TABLAS'!$J$4:$L$40,3,FALSE),0)+IF(AND(M636="Ensayo Idiem",L636="Cafco 400",C636="IN",G636=4,I636=90),VLOOKUP(T636,'CAFCO 400 ENSAYO'!$B$7:$D$43,2,FALSE),0)+IF(AND(M636="Ensayo Idiem",L636="Cafco 400",C636="IN",G636=4,I636=120),VLOOKUP(T636,'CAFCO 400 ENSAYO'!$B$7:$D$43,3,FALSE),0)</f>
        <v>0</v>
      </c>
      <c r="O636" s="96">
        <f t="shared" si="66"/>
        <v>0</v>
      </c>
      <c r="P636" s="95" t="str">
        <f t="shared" si="67"/>
        <v>N/A</v>
      </c>
      <c r="Q636" s="95" t="str">
        <f t="shared" si="68"/>
        <v>N/A</v>
      </c>
      <c r="R636" s="95" t="str">
        <f t="shared" si="69"/>
        <v>NO CERT.</v>
      </c>
      <c r="S636" s="95" t="e">
        <f t="shared" si="70"/>
        <v>#N/A</v>
      </c>
      <c r="T636" s="119" t="e">
        <f>+IF(J636=LOOKUP(J636,'CAFCO 300 IDIEM TABLAS'!$J$4:$J$40),'CALCULO MORTERO'!J636,MROUND('CALCULO MORTERO'!J636,10))</f>
        <v>#N/A</v>
      </c>
      <c r="U636" s="118">
        <f t="shared" si="71"/>
        <v>0</v>
      </c>
      <c r="Y636" s="4"/>
      <c r="Z636" s="4"/>
      <c r="AA636" s="4"/>
    </row>
    <row r="637" spans="1:27" x14ac:dyDescent="0.25">
      <c r="A637" s="118">
        <f>+CUBICACION!D631</f>
        <v>0</v>
      </c>
      <c r="B637" s="819">
        <f>+CUBICACION!E631</f>
        <v>0</v>
      </c>
      <c r="C637" s="675">
        <f>+CUBICACION!F631</f>
        <v>0</v>
      </c>
      <c r="D637" s="118"/>
      <c r="E637" s="118"/>
      <c r="F637" s="820"/>
      <c r="G637" s="675">
        <f>+CUBICACION!J631</f>
        <v>0</v>
      </c>
      <c r="H637" s="118"/>
      <c r="I637" s="821">
        <f>+CUBICACION!L631</f>
        <v>0</v>
      </c>
      <c r="J637" s="64">
        <f>+CUBICACION!M631</f>
        <v>0</v>
      </c>
      <c r="K637" s="822" t="str">
        <f>+CUBICACION!N631</f>
        <v/>
      </c>
      <c r="L637" s="118">
        <f>+CUBICACION!O631</f>
        <v>0</v>
      </c>
      <c r="M637" s="823">
        <f>+CUBICACION!P631</f>
        <v>0</v>
      </c>
      <c r="N637" s="902">
        <f>ROUND(IF(AND(L637="Blaze Shield II",M637="Software Idiem",C637="IN",G637=4),((('BLAZE SHIELD II'!$D$4*('CALCULO MORTERO'!I637^2)+'BLAZE SHIELD II'!$D$5*'CALCULO MORTERO'!I637+'BLAZE SHIELD II'!$D$6)*LN(J637))+('BLAZE SHIELD II'!$D$7*('CALCULO MORTERO'!I637^2)+'BLAZE SHIELD II'!$D$8*'CALCULO MORTERO'!I637+'BLAZE SHIELD II'!$D$9)),0)+IF(AND(L637="Blaze Shield II",M637="Software Idiem",C637="Cj"),((('BLAZE SHIELD II'!$H$4*('CALCULO MORTERO'!I637^2)+'BLAZE SHIELD II'!$H$5*'CALCULO MORTERO'!I637+'BLAZE SHIELD II'!$H$6)*LN(J637))+('BLAZE SHIELD II'!$H$7*('CALCULO MORTERO'!I637^2)+'BLAZE SHIELD II'!$H$8*'CALCULO MORTERO'!I637+'BLAZE SHIELD II'!$H$9)),0)+IF(AND(L637="Blaze Shield II",M637="Software Idiem",C637="C"),((('BLAZE SHIELD II'!$L$4*('CALCULO MORTERO'!I637^2)+'BLAZE SHIELD II'!$L$5*'CALCULO MORTERO'!I637+'BLAZE SHIELD II'!$L$6)*LN(J637))+('BLAZE SHIELD II'!$L$7*('CALCULO MORTERO'!I637^2)+'BLAZE SHIELD II'!$L$8*'CALCULO MORTERO'!I637+'BLAZE SHIELD II'!$L$9)),0)+IF(AND(L637="Blaze Shield II",M637="Software Idiem",C637="L"),((('BLAZE SHIELD II'!$L$4*('CALCULO MORTERO'!I637^2)+'BLAZE SHIELD II'!$L$5*'CALCULO MORTERO'!I637+'BLAZE SHIELD II'!$L$6)*LN(J637))+('BLAZE SHIELD II'!$L$7*('CALCULO MORTERO'!I637^2)+'BLAZE SHIELD II'!$L$8*'CALCULO MORTERO'!I637+'BLAZE SHIELD II'!$L$9)),0)+IF(AND(L637="Blaze Shield II",M637="Software Idiem",C637="IN",G637=3),((('BLAZE SHIELD II'!$H$14*('CALCULO MORTERO'!I637^2)+'BLAZE SHIELD II'!$H$15*'CALCULO MORTERO'!I637+'BLAZE SHIELD II'!$H$16)*LN(J637))+('BLAZE SHIELD II'!$H$17*('CALCULO MORTERO'!I637^2)+'BLAZE SHIELD II'!$H$18*'CALCULO MORTERO'!I637+'BLAZE SHIELD II'!$H$19)),0),0)+ROUND(IF(AND(L637="Cafco 400",M637="Software Idiem",C637="IN",G637=4),((('CAFCO 400 '!$H$7*(J637^4)+'CAFCO 400 '!$H$8*(J637^3)+'CAFCO 400 '!$H$9*(J637^2)+'CAFCO 400 '!$H$10*J637+'CAFCO 400 '!$H$11)*U637^2)+(('CAFCO 400 '!$H$12*(J637^3)+'CAFCO 400 '!$H$13*(J637^2)+'CAFCO 400 '!$H$14*J637+'CAFCO 400 '!$H$15)*U637)+('CAFCO 400 '!$H$16*(J637^2)+'CAFCO 400 '!$H$17*J637+'CAFCO 400 '!$H$18)),0)+IF(AND(L637="Cafco 400",M637="Software Idiem",C637="Cj"),(((('CAFCO 400 '!$D$7*LN(J637)+'CAFCO 400 '!$D$8)*U637^2)+(('CAFCO 400 '!$D$9*LN(J637)+'CAFCO 400 '!$D$10)*U637)+('CAFCO 400 '!$D$11*LN(J637)+'CAFCO 400 '!$D$12))),0)+IF(AND(L637="Cafco 400",M637="Software Idiem",C637="C"),((('CAFCO 400 '!$L$7*(J637^3)+'CAFCO 400 '!$L$8*(J637^2)+'CAFCO 400 '!$L$9*J637+'CAFCO 400 '!$L$10)*U637^2)+(('CAFCO 400 '!$L$11*(J637^3)+'CAFCO 400 '!$L$12*(J637^2)+'CAFCO 400 '!$L$13*J637+'CAFCO 400 '!$L$14)*U637)+('CAFCO 400 '!$L$15*LN(J637)+'CAFCO 400 '!$L$16)),0)+IF(AND(L637="Cafco 400",M637="Software Idiem",C637="L"),((('CAFCO 400 '!$L$7*(J637^3)+'CAFCO 400 '!$L$8*(J637^2)+'CAFCO 400 '!$L$9*J637+'CAFCO 400 '!$L$10)*U637^2)+(('CAFCO 400 '!$L$11*(J637^3)+'CAFCO 400 '!$L$12*(J637^2)+'CAFCO 400 '!$L$13*J637+'CAFCO 400 '!$L$14)*U637)+('CAFCO 400 '!$L$15*LN(J637)+'CAFCO 400 '!$L$16)),0)+IF(AND(L637="Cafco 400",M637="Software Idiem",C637="IN",G637=3),((('CAFCO 400 '!$D$23*(J637^2)+'CAFCO 400 '!$D$24*(J637)+'CAFCO 400 '!$D$25)*U637^2)+(('CAFCO 400 '!$D$26*(J637^2)+'CAFCO 400 '!$D$27*J637+'CAFCO 400 '!$D$28)*U637)+('CAFCO 400 '!$D$29*(J637^2)+'CAFCO 400 '!$D$30*J637+'CAFCO 400 '!$D$31)),0),0)+IF(AND(L637="Cafco 300",J637&gt;=95,J637&lt;=240,C637="Cj",I637=90),VLOOKUP(T637,'CAFCO 300 IDIEM TABLAS'!$B$4:$D$23,2,FALSE),0)+IF(AND(L637="Cafco 300",J637&gt;=95,J637&lt;=240,C637="Cj",I637=120),VLOOKUP(T637,'CAFCO 300 IDIEM TABLAS'!$B$4:$D$23,3,FALSE),0)+IF(AND(L637="Cafco 300",J637&gt;=95,J637&lt;=400,G637=3,C637="IN",I637=90),VLOOKUP(T637,'CAFCO 300 IDIEM TABLAS'!$F$4:$H$35,2,FALSE),0)+IF(AND(L637="Cafco 300",J637&gt;=95,J637&lt;=400,G637=3,C637="IN",I637=120),VLOOKUP(T637,'CAFCO 300 IDIEM TABLAS'!$F$4:$H$35,3,FALSE),0)+IF(AND(L637="Cafco 300",J637&gt;=95,J637&lt;=450,G637=4,C637="IN",I637=90),VLOOKUP(T637,'CAFCO 300 IDIEM TABLAS'!$J$4:$L$40,2,FALSE),0)+IF(AND(L637="Cafco 300",J637&gt;=95,J637&lt;=450,G637=4,C637="IN",I637=120),VLOOKUP(T637,'CAFCO 300 IDIEM TABLAS'!$J$4:$L$40,3,FALSE),0)+IF(AND(M637="Ensayo Idiem",L637="Cafco 400",C637="IN",G637=4,I637=90),VLOOKUP(T637,'CAFCO 400 ENSAYO'!$B$7:$D$43,2,FALSE),0)+IF(AND(M637="Ensayo Idiem",L637="Cafco 400",C637="IN",G637=4,I637=120),VLOOKUP(T637,'CAFCO 400 ENSAYO'!$B$7:$D$43,3,FALSE),0)</f>
        <v>0</v>
      </c>
      <c r="O637" s="96">
        <f t="shared" si="66"/>
        <v>0</v>
      </c>
      <c r="P637" s="132" t="str">
        <f t="shared" si="67"/>
        <v>N/A</v>
      </c>
      <c r="Q637" s="132" t="str">
        <f t="shared" si="68"/>
        <v>N/A</v>
      </c>
      <c r="R637" s="132" t="str">
        <f t="shared" si="69"/>
        <v>NO CERT.</v>
      </c>
      <c r="S637" s="132" t="e">
        <f t="shared" si="70"/>
        <v>#N/A</v>
      </c>
      <c r="T637" s="133" t="e">
        <f>+IF(J637=LOOKUP(J637,'CAFCO 300 IDIEM TABLAS'!$J$4:$J$40),'CALCULO MORTERO'!J637,MROUND('CALCULO MORTERO'!J637,10))</f>
        <v>#N/A</v>
      </c>
      <c r="U637" s="134">
        <f t="shared" si="71"/>
        <v>0</v>
      </c>
    </row>
    <row r="638" spans="1:27" x14ac:dyDescent="0.25">
      <c r="A638" s="118">
        <f>+CUBICACION!D632</f>
        <v>0</v>
      </c>
      <c r="B638" s="819">
        <f>+CUBICACION!E632</f>
        <v>0</v>
      </c>
      <c r="C638" s="675">
        <f>+CUBICACION!F632</f>
        <v>0</v>
      </c>
      <c r="D638" s="118"/>
      <c r="E638" s="118"/>
      <c r="F638" s="820"/>
      <c r="G638" s="675">
        <f>+CUBICACION!J632</f>
        <v>0</v>
      </c>
      <c r="H638" s="118"/>
      <c r="I638" s="821">
        <f>+CUBICACION!L632</f>
        <v>0</v>
      </c>
      <c r="J638" s="64">
        <f>+CUBICACION!M632</f>
        <v>0</v>
      </c>
      <c r="K638" s="822" t="str">
        <f>+CUBICACION!N632</f>
        <v/>
      </c>
      <c r="L638" s="118">
        <f>+CUBICACION!O632</f>
        <v>0</v>
      </c>
      <c r="M638" s="823">
        <f>+CUBICACION!P632</f>
        <v>0</v>
      </c>
      <c r="N638" s="902">
        <f>ROUND(IF(AND(L638="Blaze Shield II",M638="Software Idiem",C638="IN",G638=4),((('BLAZE SHIELD II'!$D$4*('CALCULO MORTERO'!I638^2)+'BLAZE SHIELD II'!$D$5*'CALCULO MORTERO'!I638+'BLAZE SHIELD II'!$D$6)*LN(J638))+('BLAZE SHIELD II'!$D$7*('CALCULO MORTERO'!I638^2)+'BLAZE SHIELD II'!$D$8*'CALCULO MORTERO'!I638+'BLAZE SHIELD II'!$D$9)),0)+IF(AND(L638="Blaze Shield II",M638="Software Idiem",C638="Cj"),((('BLAZE SHIELD II'!$H$4*('CALCULO MORTERO'!I638^2)+'BLAZE SHIELD II'!$H$5*'CALCULO MORTERO'!I638+'BLAZE SHIELD II'!$H$6)*LN(J638))+('BLAZE SHIELD II'!$H$7*('CALCULO MORTERO'!I638^2)+'BLAZE SHIELD II'!$H$8*'CALCULO MORTERO'!I638+'BLAZE SHIELD II'!$H$9)),0)+IF(AND(L638="Blaze Shield II",M638="Software Idiem",C638="C"),((('BLAZE SHIELD II'!$L$4*('CALCULO MORTERO'!I638^2)+'BLAZE SHIELD II'!$L$5*'CALCULO MORTERO'!I638+'BLAZE SHIELD II'!$L$6)*LN(J638))+('BLAZE SHIELD II'!$L$7*('CALCULO MORTERO'!I638^2)+'BLAZE SHIELD II'!$L$8*'CALCULO MORTERO'!I638+'BLAZE SHIELD II'!$L$9)),0)+IF(AND(L638="Blaze Shield II",M638="Software Idiem",C638="L"),((('BLAZE SHIELD II'!$L$4*('CALCULO MORTERO'!I638^2)+'BLAZE SHIELD II'!$L$5*'CALCULO MORTERO'!I638+'BLAZE SHIELD II'!$L$6)*LN(J638))+('BLAZE SHIELD II'!$L$7*('CALCULO MORTERO'!I638^2)+'BLAZE SHIELD II'!$L$8*'CALCULO MORTERO'!I638+'BLAZE SHIELD II'!$L$9)),0)+IF(AND(L638="Blaze Shield II",M638="Software Idiem",C638="IN",G638=3),((('BLAZE SHIELD II'!$H$14*('CALCULO MORTERO'!I638^2)+'BLAZE SHIELD II'!$H$15*'CALCULO MORTERO'!I638+'BLAZE SHIELD II'!$H$16)*LN(J638))+('BLAZE SHIELD II'!$H$17*('CALCULO MORTERO'!I638^2)+'BLAZE SHIELD II'!$H$18*'CALCULO MORTERO'!I638+'BLAZE SHIELD II'!$H$19)),0),0)+ROUND(IF(AND(L638="Cafco 400",M638="Software Idiem",C638="IN",G638=4),((('CAFCO 400 '!$H$7*(J638^4)+'CAFCO 400 '!$H$8*(J638^3)+'CAFCO 400 '!$H$9*(J638^2)+'CAFCO 400 '!$H$10*J638+'CAFCO 400 '!$H$11)*U638^2)+(('CAFCO 400 '!$H$12*(J638^3)+'CAFCO 400 '!$H$13*(J638^2)+'CAFCO 400 '!$H$14*J638+'CAFCO 400 '!$H$15)*U638)+('CAFCO 400 '!$H$16*(J638^2)+'CAFCO 400 '!$H$17*J638+'CAFCO 400 '!$H$18)),0)+IF(AND(L638="Cafco 400",M638="Software Idiem",C638="Cj"),(((('CAFCO 400 '!$D$7*LN(J638)+'CAFCO 400 '!$D$8)*U638^2)+(('CAFCO 400 '!$D$9*LN(J638)+'CAFCO 400 '!$D$10)*U638)+('CAFCO 400 '!$D$11*LN(J638)+'CAFCO 400 '!$D$12))),0)+IF(AND(L638="Cafco 400",M638="Software Idiem",C638="C"),((('CAFCO 400 '!$L$7*(J638^3)+'CAFCO 400 '!$L$8*(J638^2)+'CAFCO 400 '!$L$9*J638+'CAFCO 400 '!$L$10)*U638^2)+(('CAFCO 400 '!$L$11*(J638^3)+'CAFCO 400 '!$L$12*(J638^2)+'CAFCO 400 '!$L$13*J638+'CAFCO 400 '!$L$14)*U638)+('CAFCO 400 '!$L$15*LN(J638)+'CAFCO 400 '!$L$16)),0)+IF(AND(L638="Cafco 400",M638="Software Idiem",C638="L"),((('CAFCO 400 '!$L$7*(J638^3)+'CAFCO 400 '!$L$8*(J638^2)+'CAFCO 400 '!$L$9*J638+'CAFCO 400 '!$L$10)*U638^2)+(('CAFCO 400 '!$L$11*(J638^3)+'CAFCO 400 '!$L$12*(J638^2)+'CAFCO 400 '!$L$13*J638+'CAFCO 400 '!$L$14)*U638)+('CAFCO 400 '!$L$15*LN(J638)+'CAFCO 400 '!$L$16)),0)+IF(AND(L638="Cafco 400",M638="Software Idiem",C638="IN",G638=3),((('CAFCO 400 '!$D$23*(J638^2)+'CAFCO 400 '!$D$24*(J638)+'CAFCO 400 '!$D$25)*U638^2)+(('CAFCO 400 '!$D$26*(J638^2)+'CAFCO 400 '!$D$27*J638+'CAFCO 400 '!$D$28)*U638)+('CAFCO 400 '!$D$29*(J638^2)+'CAFCO 400 '!$D$30*J638+'CAFCO 400 '!$D$31)),0),0)+IF(AND(L638="Cafco 300",J638&gt;=95,J638&lt;=240,C638="Cj",I638=90),VLOOKUP(T638,'CAFCO 300 IDIEM TABLAS'!$B$4:$D$23,2,FALSE),0)+IF(AND(L638="Cafco 300",J638&gt;=95,J638&lt;=240,C638="Cj",I638=120),VLOOKUP(T638,'CAFCO 300 IDIEM TABLAS'!$B$4:$D$23,3,FALSE),0)+IF(AND(L638="Cafco 300",J638&gt;=95,J638&lt;=400,G638=3,C638="IN",I638=90),VLOOKUP(T638,'CAFCO 300 IDIEM TABLAS'!$F$4:$H$35,2,FALSE),0)+IF(AND(L638="Cafco 300",J638&gt;=95,J638&lt;=400,G638=3,C638="IN",I638=120),VLOOKUP(T638,'CAFCO 300 IDIEM TABLAS'!$F$4:$H$35,3,FALSE),0)+IF(AND(L638="Cafco 300",J638&gt;=95,J638&lt;=450,G638=4,C638="IN",I638=90),VLOOKUP(T638,'CAFCO 300 IDIEM TABLAS'!$J$4:$L$40,2,FALSE),0)+IF(AND(L638="Cafco 300",J638&gt;=95,J638&lt;=450,G638=4,C638="IN",I638=120),VLOOKUP(T638,'CAFCO 300 IDIEM TABLAS'!$J$4:$L$40,3,FALSE),0)+IF(AND(M638="Ensayo Idiem",L638="Cafco 400",C638="IN",G638=4,I638=90),VLOOKUP(T638,'CAFCO 400 ENSAYO'!$B$7:$D$43,2,FALSE),0)+IF(AND(M638="Ensayo Idiem",L638="Cafco 400",C638="IN",G638=4,I638=120),VLOOKUP(T638,'CAFCO 400 ENSAYO'!$B$7:$D$43,3,FALSE),0)</f>
        <v>0</v>
      </c>
      <c r="O638" s="96">
        <f t="shared" si="66"/>
        <v>0</v>
      </c>
      <c r="P638" s="95" t="str">
        <f t="shared" si="67"/>
        <v>N/A</v>
      </c>
      <c r="Q638" s="95" t="str">
        <f t="shared" si="68"/>
        <v>N/A</v>
      </c>
      <c r="R638" s="95" t="str">
        <f t="shared" si="69"/>
        <v>NO CERT.</v>
      </c>
      <c r="S638" s="95" t="e">
        <f t="shared" si="70"/>
        <v>#N/A</v>
      </c>
      <c r="T638" s="119" t="e">
        <f>+IF(J638=LOOKUP(J638,'CAFCO 300 IDIEM TABLAS'!$J$4:$J$40),'CALCULO MORTERO'!J638,MROUND('CALCULO MORTERO'!J638,10))</f>
        <v>#N/A</v>
      </c>
      <c r="U638" s="118">
        <f t="shared" si="71"/>
        <v>0</v>
      </c>
    </row>
    <row r="639" spans="1:27" x14ac:dyDescent="0.25">
      <c r="A639" s="118">
        <f>+CUBICACION!D633</f>
        <v>0</v>
      </c>
      <c r="B639" s="819">
        <f>+CUBICACION!E633</f>
        <v>0</v>
      </c>
      <c r="C639" s="675">
        <f>+CUBICACION!F633</f>
        <v>0</v>
      </c>
      <c r="D639" s="118"/>
      <c r="E639" s="118"/>
      <c r="F639" s="820"/>
      <c r="G639" s="675">
        <f>+CUBICACION!J633</f>
        <v>0</v>
      </c>
      <c r="H639" s="118"/>
      <c r="I639" s="821">
        <f>+CUBICACION!L633</f>
        <v>0</v>
      </c>
      <c r="J639" s="64">
        <f>+CUBICACION!M633</f>
        <v>0</v>
      </c>
      <c r="K639" s="822" t="str">
        <f>+CUBICACION!N633</f>
        <v/>
      </c>
      <c r="L639" s="118">
        <f>+CUBICACION!O633</f>
        <v>0</v>
      </c>
      <c r="M639" s="823">
        <f>+CUBICACION!P633</f>
        <v>0</v>
      </c>
      <c r="N639" s="902">
        <f>ROUND(IF(AND(L639="Blaze Shield II",M639="Software Idiem",C639="IN",G639=4),((('BLAZE SHIELD II'!$D$4*('CALCULO MORTERO'!I639^2)+'BLAZE SHIELD II'!$D$5*'CALCULO MORTERO'!I639+'BLAZE SHIELD II'!$D$6)*LN(J639))+('BLAZE SHIELD II'!$D$7*('CALCULO MORTERO'!I639^2)+'BLAZE SHIELD II'!$D$8*'CALCULO MORTERO'!I639+'BLAZE SHIELD II'!$D$9)),0)+IF(AND(L639="Blaze Shield II",M639="Software Idiem",C639="Cj"),((('BLAZE SHIELD II'!$H$4*('CALCULO MORTERO'!I639^2)+'BLAZE SHIELD II'!$H$5*'CALCULO MORTERO'!I639+'BLAZE SHIELD II'!$H$6)*LN(J639))+('BLAZE SHIELD II'!$H$7*('CALCULO MORTERO'!I639^2)+'BLAZE SHIELD II'!$H$8*'CALCULO MORTERO'!I639+'BLAZE SHIELD II'!$H$9)),0)+IF(AND(L639="Blaze Shield II",M639="Software Idiem",C639="C"),((('BLAZE SHIELD II'!$L$4*('CALCULO MORTERO'!I639^2)+'BLAZE SHIELD II'!$L$5*'CALCULO MORTERO'!I639+'BLAZE SHIELD II'!$L$6)*LN(J639))+('BLAZE SHIELD II'!$L$7*('CALCULO MORTERO'!I639^2)+'BLAZE SHIELD II'!$L$8*'CALCULO MORTERO'!I639+'BLAZE SHIELD II'!$L$9)),0)+IF(AND(L639="Blaze Shield II",M639="Software Idiem",C639="L"),((('BLAZE SHIELD II'!$L$4*('CALCULO MORTERO'!I639^2)+'BLAZE SHIELD II'!$L$5*'CALCULO MORTERO'!I639+'BLAZE SHIELD II'!$L$6)*LN(J639))+('BLAZE SHIELD II'!$L$7*('CALCULO MORTERO'!I639^2)+'BLAZE SHIELD II'!$L$8*'CALCULO MORTERO'!I639+'BLAZE SHIELD II'!$L$9)),0)+IF(AND(L639="Blaze Shield II",M639="Software Idiem",C639="IN",G639=3),((('BLAZE SHIELD II'!$H$14*('CALCULO MORTERO'!I639^2)+'BLAZE SHIELD II'!$H$15*'CALCULO MORTERO'!I639+'BLAZE SHIELD II'!$H$16)*LN(J639))+('BLAZE SHIELD II'!$H$17*('CALCULO MORTERO'!I639^2)+'BLAZE SHIELD II'!$H$18*'CALCULO MORTERO'!I639+'BLAZE SHIELD II'!$H$19)),0),0)+ROUND(IF(AND(L639="Cafco 400",M639="Software Idiem",C639="IN",G639=4),((('CAFCO 400 '!$H$7*(J639^4)+'CAFCO 400 '!$H$8*(J639^3)+'CAFCO 400 '!$H$9*(J639^2)+'CAFCO 400 '!$H$10*J639+'CAFCO 400 '!$H$11)*U639^2)+(('CAFCO 400 '!$H$12*(J639^3)+'CAFCO 400 '!$H$13*(J639^2)+'CAFCO 400 '!$H$14*J639+'CAFCO 400 '!$H$15)*U639)+('CAFCO 400 '!$H$16*(J639^2)+'CAFCO 400 '!$H$17*J639+'CAFCO 400 '!$H$18)),0)+IF(AND(L639="Cafco 400",M639="Software Idiem",C639="Cj"),(((('CAFCO 400 '!$D$7*LN(J639)+'CAFCO 400 '!$D$8)*U639^2)+(('CAFCO 400 '!$D$9*LN(J639)+'CAFCO 400 '!$D$10)*U639)+('CAFCO 400 '!$D$11*LN(J639)+'CAFCO 400 '!$D$12))),0)+IF(AND(L639="Cafco 400",M639="Software Idiem",C639="C"),((('CAFCO 400 '!$L$7*(J639^3)+'CAFCO 400 '!$L$8*(J639^2)+'CAFCO 400 '!$L$9*J639+'CAFCO 400 '!$L$10)*U639^2)+(('CAFCO 400 '!$L$11*(J639^3)+'CAFCO 400 '!$L$12*(J639^2)+'CAFCO 400 '!$L$13*J639+'CAFCO 400 '!$L$14)*U639)+('CAFCO 400 '!$L$15*LN(J639)+'CAFCO 400 '!$L$16)),0)+IF(AND(L639="Cafco 400",M639="Software Idiem",C639="L"),((('CAFCO 400 '!$L$7*(J639^3)+'CAFCO 400 '!$L$8*(J639^2)+'CAFCO 400 '!$L$9*J639+'CAFCO 400 '!$L$10)*U639^2)+(('CAFCO 400 '!$L$11*(J639^3)+'CAFCO 400 '!$L$12*(J639^2)+'CAFCO 400 '!$L$13*J639+'CAFCO 400 '!$L$14)*U639)+('CAFCO 400 '!$L$15*LN(J639)+'CAFCO 400 '!$L$16)),0)+IF(AND(L639="Cafco 400",M639="Software Idiem",C639="IN",G639=3),((('CAFCO 400 '!$D$23*(J639^2)+'CAFCO 400 '!$D$24*(J639)+'CAFCO 400 '!$D$25)*U639^2)+(('CAFCO 400 '!$D$26*(J639^2)+'CAFCO 400 '!$D$27*J639+'CAFCO 400 '!$D$28)*U639)+('CAFCO 400 '!$D$29*(J639^2)+'CAFCO 400 '!$D$30*J639+'CAFCO 400 '!$D$31)),0),0)+IF(AND(L639="Cafco 300",J639&gt;=95,J639&lt;=240,C639="Cj",I639=90),VLOOKUP(T639,'CAFCO 300 IDIEM TABLAS'!$B$4:$D$23,2,FALSE),0)+IF(AND(L639="Cafco 300",J639&gt;=95,J639&lt;=240,C639="Cj",I639=120),VLOOKUP(T639,'CAFCO 300 IDIEM TABLAS'!$B$4:$D$23,3,FALSE),0)+IF(AND(L639="Cafco 300",J639&gt;=95,J639&lt;=400,G639=3,C639="IN",I639=90),VLOOKUP(T639,'CAFCO 300 IDIEM TABLAS'!$F$4:$H$35,2,FALSE),0)+IF(AND(L639="Cafco 300",J639&gt;=95,J639&lt;=400,G639=3,C639="IN",I639=120),VLOOKUP(T639,'CAFCO 300 IDIEM TABLAS'!$F$4:$H$35,3,FALSE),0)+IF(AND(L639="Cafco 300",J639&gt;=95,J639&lt;=450,G639=4,C639="IN",I639=90),VLOOKUP(T639,'CAFCO 300 IDIEM TABLAS'!$J$4:$L$40,2,FALSE),0)+IF(AND(L639="Cafco 300",J639&gt;=95,J639&lt;=450,G639=4,C639="IN",I639=120),VLOOKUP(T639,'CAFCO 300 IDIEM TABLAS'!$J$4:$L$40,3,FALSE),0)+IF(AND(M639="Ensayo Idiem",L639="Cafco 400",C639="IN",G639=4,I639=90),VLOOKUP(T639,'CAFCO 400 ENSAYO'!$B$7:$D$43,2,FALSE),0)+IF(AND(M639="Ensayo Idiem",L639="Cafco 400",C639="IN",G639=4,I639=120),VLOOKUP(T639,'CAFCO 400 ENSAYO'!$B$7:$D$43,3,FALSE),0)</f>
        <v>0</v>
      </c>
      <c r="O639" s="96">
        <f t="shared" si="66"/>
        <v>0</v>
      </c>
      <c r="P639" s="132" t="str">
        <f t="shared" si="67"/>
        <v>N/A</v>
      </c>
      <c r="Q639" s="132" t="str">
        <f t="shared" si="68"/>
        <v>N/A</v>
      </c>
      <c r="R639" s="132" t="str">
        <f t="shared" si="69"/>
        <v>NO CERT.</v>
      </c>
      <c r="S639" s="132" t="e">
        <f t="shared" si="70"/>
        <v>#N/A</v>
      </c>
      <c r="T639" s="133" t="e">
        <f>+IF(J639=LOOKUP(J639,'CAFCO 300 IDIEM TABLAS'!$J$4:$J$40),'CALCULO MORTERO'!J639,MROUND('CALCULO MORTERO'!J639,10))</f>
        <v>#N/A</v>
      </c>
      <c r="U639" s="134">
        <f t="shared" si="71"/>
        <v>0</v>
      </c>
    </row>
    <row r="640" spans="1:27" x14ac:dyDescent="0.25">
      <c r="A640" s="118">
        <f>+CUBICACION!D634</f>
        <v>0</v>
      </c>
      <c r="B640" s="819">
        <f>+CUBICACION!E634</f>
        <v>0</v>
      </c>
      <c r="C640" s="675">
        <f>+CUBICACION!F634</f>
        <v>0</v>
      </c>
      <c r="D640" s="118"/>
      <c r="E640" s="118"/>
      <c r="F640" s="820"/>
      <c r="G640" s="675">
        <f>+CUBICACION!J634</f>
        <v>0</v>
      </c>
      <c r="H640" s="118"/>
      <c r="I640" s="821">
        <f>+CUBICACION!L634</f>
        <v>0</v>
      </c>
      <c r="J640" s="64">
        <f>+CUBICACION!M634</f>
        <v>0</v>
      </c>
      <c r="K640" s="822" t="str">
        <f>+CUBICACION!N634</f>
        <v/>
      </c>
      <c r="L640" s="118">
        <f>+CUBICACION!O634</f>
        <v>0</v>
      </c>
      <c r="M640" s="823">
        <f>+CUBICACION!P634</f>
        <v>0</v>
      </c>
      <c r="N640" s="902">
        <f>ROUND(IF(AND(L640="Blaze Shield II",M640="Software Idiem",C640="IN",G640=4),((('BLAZE SHIELD II'!$D$4*('CALCULO MORTERO'!I640^2)+'BLAZE SHIELD II'!$D$5*'CALCULO MORTERO'!I640+'BLAZE SHIELD II'!$D$6)*LN(J640))+('BLAZE SHIELD II'!$D$7*('CALCULO MORTERO'!I640^2)+'BLAZE SHIELD II'!$D$8*'CALCULO MORTERO'!I640+'BLAZE SHIELD II'!$D$9)),0)+IF(AND(L640="Blaze Shield II",M640="Software Idiem",C640="Cj"),((('BLAZE SHIELD II'!$H$4*('CALCULO MORTERO'!I640^2)+'BLAZE SHIELD II'!$H$5*'CALCULO MORTERO'!I640+'BLAZE SHIELD II'!$H$6)*LN(J640))+('BLAZE SHIELD II'!$H$7*('CALCULO MORTERO'!I640^2)+'BLAZE SHIELD II'!$H$8*'CALCULO MORTERO'!I640+'BLAZE SHIELD II'!$H$9)),0)+IF(AND(L640="Blaze Shield II",M640="Software Idiem",C640="C"),((('BLAZE SHIELD II'!$L$4*('CALCULO MORTERO'!I640^2)+'BLAZE SHIELD II'!$L$5*'CALCULO MORTERO'!I640+'BLAZE SHIELD II'!$L$6)*LN(J640))+('BLAZE SHIELD II'!$L$7*('CALCULO MORTERO'!I640^2)+'BLAZE SHIELD II'!$L$8*'CALCULO MORTERO'!I640+'BLAZE SHIELD II'!$L$9)),0)+IF(AND(L640="Blaze Shield II",M640="Software Idiem",C640="L"),((('BLAZE SHIELD II'!$L$4*('CALCULO MORTERO'!I640^2)+'BLAZE SHIELD II'!$L$5*'CALCULO MORTERO'!I640+'BLAZE SHIELD II'!$L$6)*LN(J640))+('BLAZE SHIELD II'!$L$7*('CALCULO MORTERO'!I640^2)+'BLAZE SHIELD II'!$L$8*'CALCULO MORTERO'!I640+'BLAZE SHIELD II'!$L$9)),0)+IF(AND(L640="Blaze Shield II",M640="Software Idiem",C640="IN",G640=3),((('BLAZE SHIELD II'!$H$14*('CALCULO MORTERO'!I640^2)+'BLAZE SHIELD II'!$H$15*'CALCULO MORTERO'!I640+'BLAZE SHIELD II'!$H$16)*LN(J640))+('BLAZE SHIELD II'!$H$17*('CALCULO MORTERO'!I640^2)+'BLAZE SHIELD II'!$H$18*'CALCULO MORTERO'!I640+'BLAZE SHIELD II'!$H$19)),0),0)+ROUND(IF(AND(L640="Cafco 400",M640="Software Idiem",C640="IN",G640=4),((('CAFCO 400 '!$H$7*(J640^4)+'CAFCO 400 '!$H$8*(J640^3)+'CAFCO 400 '!$H$9*(J640^2)+'CAFCO 400 '!$H$10*J640+'CAFCO 400 '!$H$11)*U640^2)+(('CAFCO 400 '!$H$12*(J640^3)+'CAFCO 400 '!$H$13*(J640^2)+'CAFCO 400 '!$H$14*J640+'CAFCO 400 '!$H$15)*U640)+('CAFCO 400 '!$H$16*(J640^2)+'CAFCO 400 '!$H$17*J640+'CAFCO 400 '!$H$18)),0)+IF(AND(L640="Cafco 400",M640="Software Idiem",C640="Cj"),(((('CAFCO 400 '!$D$7*LN(J640)+'CAFCO 400 '!$D$8)*U640^2)+(('CAFCO 400 '!$D$9*LN(J640)+'CAFCO 400 '!$D$10)*U640)+('CAFCO 400 '!$D$11*LN(J640)+'CAFCO 400 '!$D$12))),0)+IF(AND(L640="Cafco 400",M640="Software Idiem",C640="C"),((('CAFCO 400 '!$L$7*(J640^3)+'CAFCO 400 '!$L$8*(J640^2)+'CAFCO 400 '!$L$9*J640+'CAFCO 400 '!$L$10)*U640^2)+(('CAFCO 400 '!$L$11*(J640^3)+'CAFCO 400 '!$L$12*(J640^2)+'CAFCO 400 '!$L$13*J640+'CAFCO 400 '!$L$14)*U640)+('CAFCO 400 '!$L$15*LN(J640)+'CAFCO 400 '!$L$16)),0)+IF(AND(L640="Cafco 400",M640="Software Idiem",C640="L"),((('CAFCO 400 '!$L$7*(J640^3)+'CAFCO 400 '!$L$8*(J640^2)+'CAFCO 400 '!$L$9*J640+'CAFCO 400 '!$L$10)*U640^2)+(('CAFCO 400 '!$L$11*(J640^3)+'CAFCO 400 '!$L$12*(J640^2)+'CAFCO 400 '!$L$13*J640+'CAFCO 400 '!$L$14)*U640)+('CAFCO 400 '!$L$15*LN(J640)+'CAFCO 400 '!$L$16)),0)+IF(AND(L640="Cafco 400",M640="Software Idiem",C640="IN",G640=3),((('CAFCO 400 '!$D$23*(J640^2)+'CAFCO 400 '!$D$24*(J640)+'CAFCO 400 '!$D$25)*U640^2)+(('CAFCO 400 '!$D$26*(J640^2)+'CAFCO 400 '!$D$27*J640+'CAFCO 400 '!$D$28)*U640)+('CAFCO 400 '!$D$29*(J640^2)+'CAFCO 400 '!$D$30*J640+'CAFCO 400 '!$D$31)),0),0)+IF(AND(L640="Cafco 300",J640&gt;=95,J640&lt;=240,C640="Cj",I640=90),VLOOKUP(T640,'CAFCO 300 IDIEM TABLAS'!$B$4:$D$23,2,FALSE),0)+IF(AND(L640="Cafco 300",J640&gt;=95,J640&lt;=240,C640="Cj",I640=120),VLOOKUP(T640,'CAFCO 300 IDIEM TABLAS'!$B$4:$D$23,3,FALSE),0)+IF(AND(L640="Cafco 300",J640&gt;=95,J640&lt;=400,G640=3,C640="IN",I640=90),VLOOKUP(T640,'CAFCO 300 IDIEM TABLAS'!$F$4:$H$35,2,FALSE),0)+IF(AND(L640="Cafco 300",J640&gt;=95,J640&lt;=400,G640=3,C640="IN",I640=120),VLOOKUP(T640,'CAFCO 300 IDIEM TABLAS'!$F$4:$H$35,3,FALSE),0)+IF(AND(L640="Cafco 300",J640&gt;=95,J640&lt;=450,G640=4,C640="IN",I640=90),VLOOKUP(T640,'CAFCO 300 IDIEM TABLAS'!$J$4:$L$40,2,FALSE),0)+IF(AND(L640="Cafco 300",J640&gt;=95,J640&lt;=450,G640=4,C640="IN",I640=120),VLOOKUP(T640,'CAFCO 300 IDIEM TABLAS'!$J$4:$L$40,3,FALSE),0)+IF(AND(M640="Ensayo Idiem",L640="Cafco 400",C640="IN",G640=4,I640=90),VLOOKUP(T640,'CAFCO 400 ENSAYO'!$B$7:$D$43,2,FALSE),0)+IF(AND(M640="Ensayo Idiem",L640="Cafco 400",C640="IN",G640=4,I640=120),VLOOKUP(T640,'CAFCO 400 ENSAYO'!$B$7:$D$43,3,FALSE),0)</f>
        <v>0</v>
      </c>
      <c r="O640" s="96">
        <f t="shared" si="66"/>
        <v>0</v>
      </c>
      <c r="P640" s="95" t="str">
        <f t="shared" si="67"/>
        <v>N/A</v>
      </c>
      <c r="Q640" s="95" t="str">
        <f t="shared" si="68"/>
        <v>N/A</v>
      </c>
      <c r="R640" s="95" t="str">
        <f t="shared" si="69"/>
        <v>NO CERT.</v>
      </c>
      <c r="S640" s="95" t="e">
        <f t="shared" si="70"/>
        <v>#N/A</v>
      </c>
      <c r="T640" s="119" t="e">
        <f>+IF(J640=LOOKUP(J640,'CAFCO 300 IDIEM TABLAS'!$J$4:$J$40),'CALCULO MORTERO'!J640,MROUND('CALCULO MORTERO'!J640,10))</f>
        <v>#N/A</v>
      </c>
      <c r="U640" s="118">
        <f t="shared" si="71"/>
        <v>0</v>
      </c>
    </row>
    <row r="641" spans="1:21" x14ac:dyDescent="0.25">
      <c r="A641" s="118">
        <f>+CUBICACION!D635</f>
        <v>0</v>
      </c>
      <c r="B641" s="819">
        <f>+CUBICACION!E635</f>
        <v>0</v>
      </c>
      <c r="C641" s="675">
        <f>+CUBICACION!F635</f>
        <v>0</v>
      </c>
      <c r="D641" s="118"/>
      <c r="E641" s="118"/>
      <c r="F641" s="820"/>
      <c r="G641" s="675">
        <f>+CUBICACION!J635</f>
        <v>0</v>
      </c>
      <c r="H641" s="118"/>
      <c r="I641" s="821">
        <f>+CUBICACION!L635</f>
        <v>0</v>
      </c>
      <c r="J641" s="64">
        <f>+CUBICACION!M635</f>
        <v>0</v>
      </c>
      <c r="K641" s="822" t="str">
        <f>+CUBICACION!N635</f>
        <v/>
      </c>
      <c r="L641" s="118">
        <f>+CUBICACION!O635</f>
        <v>0</v>
      </c>
      <c r="M641" s="823">
        <f>+CUBICACION!P635</f>
        <v>0</v>
      </c>
      <c r="N641" s="902">
        <f>ROUND(IF(AND(L641="Blaze Shield II",M641="Software Idiem",C641="IN",G641=4),((('BLAZE SHIELD II'!$D$4*('CALCULO MORTERO'!I641^2)+'BLAZE SHIELD II'!$D$5*'CALCULO MORTERO'!I641+'BLAZE SHIELD II'!$D$6)*LN(J641))+('BLAZE SHIELD II'!$D$7*('CALCULO MORTERO'!I641^2)+'BLAZE SHIELD II'!$D$8*'CALCULO MORTERO'!I641+'BLAZE SHIELD II'!$D$9)),0)+IF(AND(L641="Blaze Shield II",M641="Software Idiem",C641="Cj"),((('BLAZE SHIELD II'!$H$4*('CALCULO MORTERO'!I641^2)+'BLAZE SHIELD II'!$H$5*'CALCULO MORTERO'!I641+'BLAZE SHIELD II'!$H$6)*LN(J641))+('BLAZE SHIELD II'!$H$7*('CALCULO MORTERO'!I641^2)+'BLAZE SHIELD II'!$H$8*'CALCULO MORTERO'!I641+'BLAZE SHIELD II'!$H$9)),0)+IF(AND(L641="Blaze Shield II",M641="Software Idiem",C641="C"),((('BLAZE SHIELD II'!$L$4*('CALCULO MORTERO'!I641^2)+'BLAZE SHIELD II'!$L$5*'CALCULO MORTERO'!I641+'BLAZE SHIELD II'!$L$6)*LN(J641))+('BLAZE SHIELD II'!$L$7*('CALCULO MORTERO'!I641^2)+'BLAZE SHIELD II'!$L$8*'CALCULO MORTERO'!I641+'BLAZE SHIELD II'!$L$9)),0)+IF(AND(L641="Blaze Shield II",M641="Software Idiem",C641="L"),((('BLAZE SHIELD II'!$L$4*('CALCULO MORTERO'!I641^2)+'BLAZE SHIELD II'!$L$5*'CALCULO MORTERO'!I641+'BLAZE SHIELD II'!$L$6)*LN(J641))+('BLAZE SHIELD II'!$L$7*('CALCULO MORTERO'!I641^2)+'BLAZE SHIELD II'!$L$8*'CALCULO MORTERO'!I641+'BLAZE SHIELD II'!$L$9)),0)+IF(AND(L641="Blaze Shield II",M641="Software Idiem",C641="IN",G641=3),((('BLAZE SHIELD II'!$H$14*('CALCULO MORTERO'!I641^2)+'BLAZE SHIELD II'!$H$15*'CALCULO MORTERO'!I641+'BLAZE SHIELD II'!$H$16)*LN(J641))+('BLAZE SHIELD II'!$H$17*('CALCULO MORTERO'!I641^2)+'BLAZE SHIELD II'!$H$18*'CALCULO MORTERO'!I641+'BLAZE SHIELD II'!$H$19)),0),0)+ROUND(IF(AND(L641="Cafco 400",M641="Software Idiem",C641="IN",G641=4),((('CAFCO 400 '!$H$7*(J641^4)+'CAFCO 400 '!$H$8*(J641^3)+'CAFCO 400 '!$H$9*(J641^2)+'CAFCO 400 '!$H$10*J641+'CAFCO 400 '!$H$11)*U641^2)+(('CAFCO 400 '!$H$12*(J641^3)+'CAFCO 400 '!$H$13*(J641^2)+'CAFCO 400 '!$H$14*J641+'CAFCO 400 '!$H$15)*U641)+('CAFCO 400 '!$H$16*(J641^2)+'CAFCO 400 '!$H$17*J641+'CAFCO 400 '!$H$18)),0)+IF(AND(L641="Cafco 400",M641="Software Idiem",C641="Cj"),(((('CAFCO 400 '!$D$7*LN(J641)+'CAFCO 400 '!$D$8)*U641^2)+(('CAFCO 400 '!$D$9*LN(J641)+'CAFCO 400 '!$D$10)*U641)+('CAFCO 400 '!$D$11*LN(J641)+'CAFCO 400 '!$D$12))),0)+IF(AND(L641="Cafco 400",M641="Software Idiem",C641="C"),((('CAFCO 400 '!$L$7*(J641^3)+'CAFCO 400 '!$L$8*(J641^2)+'CAFCO 400 '!$L$9*J641+'CAFCO 400 '!$L$10)*U641^2)+(('CAFCO 400 '!$L$11*(J641^3)+'CAFCO 400 '!$L$12*(J641^2)+'CAFCO 400 '!$L$13*J641+'CAFCO 400 '!$L$14)*U641)+('CAFCO 400 '!$L$15*LN(J641)+'CAFCO 400 '!$L$16)),0)+IF(AND(L641="Cafco 400",M641="Software Idiem",C641="L"),((('CAFCO 400 '!$L$7*(J641^3)+'CAFCO 400 '!$L$8*(J641^2)+'CAFCO 400 '!$L$9*J641+'CAFCO 400 '!$L$10)*U641^2)+(('CAFCO 400 '!$L$11*(J641^3)+'CAFCO 400 '!$L$12*(J641^2)+'CAFCO 400 '!$L$13*J641+'CAFCO 400 '!$L$14)*U641)+('CAFCO 400 '!$L$15*LN(J641)+'CAFCO 400 '!$L$16)),0)+IF(AND(L641="Cafco 400",M641="Software Idiem",C641="IN",G641=3),((('CAFCO 400 '!$D$23*(J641^2)+'CAFCO 400 '!$D$24*(J641)+'CAFCO 400 '!$D$25)*U641^2)+(('CAFCO 400 '!$D$26*(J641^2)+'CAFCO 400 '!$D$27*J641+'CAFCO 400 '!$D$28)*U641)+('CAFCO 400 '!$D$29*(J641^2)+'CAFCO 400 '!$D$30*J641+'CAFCO 400 '!$D$31)),0),0)+IF(AND(L641="Cafco 300",J641&gt;=95,J641&lt;=240,C641="Cj",I641=90),VLOOKUP(T641,'CAFCO 300 IDIEM TABLAS'!$B$4:$D$23,2,FALSE),0)+IF(AND(L641="Cafco 300",J641&gt;=95,J641&lt;=240,C641="Cj",I641=120),VLOOKUP(T641,'CAFCO 300 IDIEM TABLAS'!$B$4:$D$23,3,FALSE),0)+IF(AND(L641="Cafco 300",J641&gt;=95,J641&lt;=400,G641=3,C641="IN",I641=90),VLOOKUP(T641,'CAFCO 300 IDIEM TABLAS'!$F$4:$H$35,2,FALSE),0)+IF(AND(L641="Cafco 300",J641&gt;=95,J641&lt;=400,G641=3,C641="IN",I641=120),VLOOKUP(T641,'CAFCO 300 IDIEM TABLAS'!$F$4:$H$35,3,FALSE),0)+IF(AND(L641="Cafco 300",J641&gt;=95,J641&lt;=450,G641=4,C641="IN",I641=90),VLOOKUP(T641,'CAFCO 300 IDIEM TABLAS'!$J$4:$L$40,2,FALSE),0)+IF(AND(L641="Cafco 300",J641&gt;=95,J641&lt;=450,G641=4,C641="IN",I641=120),VLOOKUP(T641,'CAFCO 300 IDIEM TABLAS'!$J$4:$L$40,3,FALSE),0)+IF(AND(M641="Ensayo Idiem",L641="Cafco 400",C641="IN",G641=4,I641=90),VLOOKUP(T641,'CAFCO 400 ENSAYO'!$B$7:$D$43,2,FALSE),0)+IF(AND(M641="Ensayo Idiem",L641="Cafco 400",C641="IN",G641=4,I641=120),VLOOKUP(T641,'CAFCO 400 ENSAYO'!$B$7:$D$43,3,FALSE),0)</f>
        <v>0</v>
      </c>
      <c r="O641" s="96">
        <f t="shared" si="66"/>
        <v>0</v>
      </c>
      <c r="P641" s="132" t="str">
        <f t="shared" si="67"/>
        <v>N/A</v>
      </c>
      <c r="Q641" s="132" t="str">
        <f t="shared" si="68"/>
        <v>N/A</v>
      </c>
      <c r="R641" s="132" t="str">
        <f t="shared" si="69"/>
        <v>NO CERT.</v>
      </c>
      <c r="S641" s="132" t="e">
        <f t="shared" si="70"/>
        <v>#N/A</v>
      </c>
      <c r="T641" s="133" t="e">
        <f>+IF(J641=LOOKUP(J641,'CAFCO 300 IDIEM TABLAS'!$J$4:$J$40),'CALCULO MORTERO'!J641,MROUND('CALCULO MORTERO'!J641,10))</f>
        <v>#N/A</v>
      </c>
      <c r="U641" s="134">
        <f t="shared" si="71"/>
        <v>0</v>
      </c>
    </row>
    <row r="642" spans="1:21" x14ac:dyDescent="0.25">
      <c r="A642" s="118">
        <f>+CUBICACION!D636</f>
        <v>0</v>
      </c>
      <c r="B642" s="819">
        <f>+CUBICACION!E636</f>
        <v>0</v>
      </c>
      <c r="C642" s="675">
        <f>+CUBICACION!F636</f>
        <v>0</v>
      </c>
      <c r="D642" s="118"/>
      <c r="E642" s="118"/>
      <c r="F642" s="820"/>
      <c r="G642" s="675">
        <f>+CUBICACION!J636</f>
        <v>0</v>
      </c>
      <c r="H642" s="118"/>
      <c r="I642" s="821">
        <f>+CUBICACION!L636</f>
        <v>0</v>
      </c>
      <c r="J642" s="64">
        <f>+CUBICACION!M636</f>
        <v>0</v>
      </c>
      <c r="K642" s="822" t="str">
        <f>+CUBICACION!N636</f>
        <v/>
      </c>
      <c r="L642" s="118">
        <f>+CUBICACION!O636</f>
        <v>0</v>
      </c>
      <c r="M642" s="823">
        <f>+CUBICACION!P636</f>
        <v>0</v>
      </c>
      <c r="N642" s="902">
        <f>ROUND(IF(AND(L642="Blaze Shield II",M642="Software Idiem",C642="IN",G642=4),((('BLAZE SHIELD II'!$D$4*('CALCULO MORTERO'!I642^2)+'BLAZE SHIELD II'!$D$5*'CALCULO MORTERO'!I642+'BLAZE SHIELD II'!$D$6)*LN(J642))+('BLAZE SHIELD II'!$D$7*('CALCULO MORTERO'!I642^2)+'BLAZE SHIELD II'!$D$8*'CALCULO MORTERO'!I642+'BLAZE SHIELD II'!$D$9)),0)+IF(AND(L642="Blaze Shield II",M642="Software Idiem",C642="Cj"),((('BLAZE SHIELD II'!$H$4*('CALCULO MORTERO'!I642^2)+'BLAZE SHIELD II'!$H$5*'CALCULO MORTERO'!I642+'BLAZE SHIELD II'!$H$6)*LN(J642))+('BLAZE SHIELD II'!$H$7*('CALCULO MORTERO'!I642^2)+'BLAZE SHIELD II'!$H$8*'CALCULO MORTERO'!I642+'BLAZE SHIELD II'!$H$9)),0)+IF(AND(L642="Blaze Shield II",M642="Software Idiem",C642="C"),((('BLAZE SHIELD II'!$L$4*('CALCULO MORTERO'!I642^2)+'BLAZE SHIELD II'!$L$5*'CALCULO MORTERO'!I642+'BLAZE SHIELD II'!$L$6)*LN(J642))+('BLAZE SHIELD II'!$L$7*('CALCULO MORTERO'!I642^2)+'BLAZE SHIELD II'!$L$8*'CALCULO MORTERO'!I642+'BLAZE SHIELD II'!$L$9)),0)+IF(AND(L642="Blaze Shield II",M642="Software Idiem",C642="L"),((('BLAZE SHIELD II'!$L$4*('CALCULO MORTERO'!I642^2)+'BLAZE SHIELD II'!$L$5*'CALCULO MORTERO'!I642+'BLAZE SHIELD II'!$L$6)*LN(J642))+('BLAZE SHIELD II'!$L$7*('CALCULO MORTERO'!I642^2)+'BLAZE SHIELD II'!$L$8*'CALCULO MORTERO'!I642+'BLAZE SHIELD II'!$L$9)),0)+IF(AND(L642="Blaze Shield II",M642="Software Idiem",C642="IN",G642=3),((('BLAZE SHIELD II'!$H$14*('CALCULO MORTERO'!I642^2)+'BLAZE SHIELD II'!$H$15*'CALCULO MORTERO'!I642+'BLAZE SHIELD II'!$H$16)*LN(J642))+('BLAZE SHIELD II'!$H$17*('CALCULO MORTERO'!I642^2)+'BLAZE SHIELD II'!$H$18*'CALCULO MORTERO'!I642+'BLAZE SHIELD II'!$H$19)),0),0)+ROUND(IF(AND(L642="Cafco 400",M642="Software Idiem",C642="IN",G642=4),((('CAFCO 400 '!$H$7*(J642^4)+'CAFCO 400 '!$H$8*(J642^3)+'CAFCO 400 '!$H$9*(J642^2)+'CAFCO 400 '!$H$10*J642+'CAFCO 400 '!$H$11)*U642^2)+(('CAFCO 400 '!$H$12*(J642^3)+'CAFCO 400 '!$H$13*(J642^2)+'CAFCO 400 '!$H$14*J642+'CAFCO 400 '!$H$15)*U642)+('CAFCO 400 '!$H$16*(J642^2)+'CAFCO 400 '!$H$17*J642+'CAFCO 400 '!$H$18)),0)+IF(AND(L642="Cafco 400",M642="Software Idiem",C642="Cj"),(((('CAFCO 400 '!$D$7*LN(J642)+'CAFCO 400 '!$D$8)*U642^2)+(('CAFCO 400 '!$D$9*LN(J642)+'CAFCO 400 '!$D$10)*U642)+('CAFCO 400 '!$D$11*LN(J642)+'CAFCO 400 '!$D$12))),0)+IF(AND(L642="Cafco 400",M642="Software Idiem",C642="C"),((('CAFCO 400 '!$L$7*(J642^3)+'CAFCO 400 '!$L$8*(J642^2)+'CAFCO 400 '!$L$9*J642+'CAFCO 400 '!$L$10)*U642^2)+(('CAFCO 400 '!$L$11*(J642^3)+'CAFCO 400 '!$L$12*(J642^2)+'CAFCO 400 '!$L$13*J642+'CAFCO 400 '!$L$14)*U642)+('CAFCO 400 '!$L$15*LN(J642)+'CAFCO 400 '!$L$16)),0)+IF(AND(L642="Cafco 400",M642="Software Idiem",C642="L"),((('CAFCO 400 '!$L$7*(J642^3)+'CAFCO 400 '!$L$8*(J642^2)+'CAFCO 400 '!$L$9*J642+'CAFCO 400 '!$L$10)*U642^2)+(('CAFCO 400 '!$L$11*(J642^3)+'CAFCO 400 '!$L$12*(J642^2)+'CAFCO 400 '!$L$13*J642+'CAFCO 400 '!$L$14)*U642)+('CAFCO 400 '!$L$15*LN(J642)+'CAFCO 400 '!$L$16)),0)+IF(AND(L642="Cafco 400",M642="Software Idiem",C642="IN",G642=3),((('CAFCO 400 '!$D$23*(J642^2)+'CAFCO 400 '!$D$24*(J642)+'CAFCO 400 '!$D$25)*U642^2)+(('CAFCO 400 '!$D$26*(J642^2)+'CAFCO 400 '!$D$27*J642+'CAFCO 400 '!$D$28)*U642)+('CAFCO 400 '!$D$29*(J642^2)+'CAFCO 400 '!$D$30*J642+'CAFCO 400 '!$D$31)),0),0)+IF(AND(L642="Cafco 300",J642&gt;=95,J642&lt;=240,C642="Cj",I642=90),VLOOKUP(T642,'CAFCO 300 IDIEM TABLAS'!$B$4:$D$23,2,FALSE),0)+IF(AND(L642="Cafco 300",J642&gt;=95,J642&lt;=240,C642="Cj",I642=120),VLOOKUP(T642,'CAFCO 300 IDIEM TABLAS'!$B$4:$D$23,3,FALSE),0)+IF(AND(L642="Cafco 300",J642&gt;=95,J642&lt;=400,G642=3,C642="IN",I642=90),VLOOKUP(T642,'CAFCO 300 IDIEM TABLAS'!$F$4:$H$35,2,FALSE),0)+IF(AND(L642="Cafco 300",J642&gt;=95,J642&lt;=400,G642=3,C642="IN",I642=120),VLOOKUP(T642,'CAFCO 300 IDIEM TABLAS'!$F$4:$H$35,3,FALSE),0)+IF(AND(L642="Cafco 300",J642&gt;=95,J642&lt;=450,G642=4,C642="IN",I642=90),VLOOKUP(T642,'CAFCO 300 IDIEM TABLAS'!$J$4:$L$40,2,FALSE),0)+IF(AND(L642="Cafco 300",J642&gt;=95,J642&lt;=450,G642=4,C642="IN",I642=120),VLOOKUP(T642,'CAFCO 300 IDIEM TABLAS'!$J$4:$L$40,3,FALSE),0)+IF(AND(M642="Ensayo Idiem",L642="Cafco 400",C642="IN",G642=4,I642=90),VLOOKUP(T642,'CAFCO 400 ENSAYO'!$B$7:$D$43,2,FALSE),0)+IF(AND(M642="Ensayo Idiem",L642="Cafco 400",C642="IN",G642=4,I642=120),VLOOKUP(T642,'CAFCO 400 ENSAYO'!$B$7:$D$43,3,FALSE),0)</f>
        <v>0</v>
      </c>
      <c r="O642" s="96">
        <f t="shared" si="66"/>
        <v>0</v>
      </c>
      <c r="P642" s="95" t="str">
        <f t="shared" si="67"/>
        <v>N/A</v>
      </c>
      <c r="Q642" s="95" t="str">
        <f t="shared" si="68"/>
        <v>N/A</v>
      </c>
      <c r="R642" s="95" t="str">
        <f t="shared" si="69"/>
        <v>NO CERT.</v>
      </c>
      <c r="S642" s="95" t="e">
        <f t="shared" si="70"/>
        <v>#N/A</v>
      </c>
      <c r="T642" s="119" t="e">
        <f>+IF(J642=LOOKUP(J642,'CAFCO 300 IDIEM TABLAS'!$J$4:$J$40),'CALCULO MORTERO'!J642,MROUND('CALCULO MORTERO'!J642,10))</f>
        <v>#N/A</v>
      </c>
      <c r="U642" s="118">
        <f t="shared" si="71"/>
        <v>0</v>
      </c>
    </row>
    <row r="643" spans="1:21" x14ac:dyDescent="0.25">
      <c r="A643" s="118">
        <f>+CUBICACION!D637</f>
        <v>0</v>
      </c>
      <c r="B643" s="819">
        <f>+CUBICACION!E637</f>
        <v>0</v>
      </c>
      <c r="C643" s="675">
        <f>+CUBICACION!F637</f>
        <v>0</v>
      </c>
      <c r="D643" s="118"/>
      <c r="E643" s="118"/>
      <c r="F643" s="820"/>
      <c r="G643" s="675">
        <f>+CUBICACION!J637</f>
        <v>0</v>
      </c>
      <c r="H643" s="118"/>
      <c r="I643" s="821">
        <f>+CUBICACION!L637</f>
        <v>0</v>
      </c>
      <c r="J643" s="64">
        <f>+CUBICACION!M637</f>
        <v>0</v>
      </c>
      <c r="K643" s="822" t="str">
        <f>+CUBICACION!N637</f>
        <v/>
      </c>
      <c r="L643" s="118">
        <f>+CUBICACION!O637</f>
        <v>0</v>
      </c>
      <c r="M643" s="823">
        <f>+CUBICACION!P637</f>
        <v>0</v>
      </c>
      <c r="N643" s="902">
        <f>ROUND(IF(AND(L643="Blaze Shield II",M643="Software Idiem",C643="IN",G643=4),((('BLAZE SHIELD II'!$D$4*('CALCULO MORTERO'!I643^2)+'BLAZE SHIELD II'!$D$5*'CALCULO MORTERO'!I643+'BLAZE SHIELD II'!$D$6)*LN(J643))+('BLAZE SHIELD II'!$D$7*('CALCULO MORTERO'!I643^2)+'BLAZE SHIELD II'!$D$8*'CALCULO MORTERO'!I643+'BLAZE SHIELD II'!$D$9)),0)+IF(AND(L643="Blaze Shield II",M643="Software Idiem",C643="Cj"),((('BLAZE SHIELD II'!$H$4*('CALCULO MORTERO'!I643^2)+'BLAZE SHIELD II'!$H$5*'CALCULO MORTERO'!I643+'BLAZE SHIELD II'!$H$6)*LN(J643))+('BLAZE SHIELD II'!$H$7*('CALCULO MORTERO'!I643^2)+'BLAZE SHIELD II'!$H$8*'CALCULO MORTERO'!I643+'BLAZE SHIELD II'!$H$9)),0)+IF(AND(L643="Blaze Shield II",M643="Software Idiem",C643="C"),((('BLAZE SHIELD II'!$L$4*('CALCULO MORTERO'!I643^2)+'BLAZE SHIELD II'!$L$5*'CALCULO MORTERO'!I643+'BLAZE SHIELD II'!$L$6)*LN(J643))+('BLAZE SHIELD II'!$L$7*('CALCULO MORTERO'!I643^2)+'BLAZE SHIELD II'!$L$8*'CALCULO MORTERO'!I643+'BLAZE SHIELD II'!$L$9)),0)+IF(AND(L643="Blaze Shield II",M643="Software Idiem",C643="L"),((('BLAZE SHIELD II'!$L$4*('CALCULO MORTERO'!I643^2)+'BLAZE SHIELD II'!$L$5*'CALCULO MORTERO'!I643+'BLAZE SHIELD II'!$L$6)*LN(J643))+('BLAZE SHIELD II'!$L$7*('CALCULO MORTERO'!I643^2)+'BLAZE SHIELD II'!$L$8*'CALCULO MORTERO'!I643+'BLAZE SHIELD II'!$L$9)),0)+IF(AND(L643="Blaze Shield II",M643="Software Idiem",C643="IN",G643=3),((('BLAZE SHIELD II'!$H$14*('CALCULO MORTERO'!I643^2)+'BLAZE SHIELD II'!$H$15*'CALCULO MORTERO'!I643+'BLAZE SHIELD II'!$H$16)*LN(J643))+('BLAZE SHIELD II'!$H$17*('CALCULO MORTERO'!I643^2)+'BLAZE SHIELD II'!$H$18*'CALCULO MORTERO'!I643+'BLAZE SHIELD II'!$H$19)),0),0)+ROUND(IF(AND(L643="Cafco 400",M643="Software Idiem",C643="IN",G643=4),((('CAFCO 400 '!$H$7*(J643^4)+'CAFCO 400 '!$H$8*(J643^3)+'CAFCO 400 '!$H$9*(J643^2)+'CAFCO 400 '!$H$10*J643+'CAFCO 400 '!$H$11)*U643^2)+(('CAFCO 400 '!$H$12*(J643^3)+'CAFCO 400 '!$H$13*(J643^2)+'CAFCO 400 '!$H$14*J643+'CAFCO 400 '!$H$15)*U643)+('CAFCO 400 '!$H$16*(J643^2)+'CAFCO 400 '!$H$17*J643+'CAFCO 400 '!$H$18)),0)+IF(AND(L643="Cafco 400",M643="Software Idiem",C643="Cj"),(((('CAFCO 400 '!$D$7*LN(J643)+'CAFCO 400 '!$D$8)*U643^2)+(('CAFCO 400 '!$D$9*LN(J643)+'CAFCO 400 '!$D$10)*U643)+('CAFCO 400 '!$D$11*LN(J643)+'CAFCO 400 '!$D$12))),0)+IF(AND(L643="Cafco 400",M643="Software Idiem",C643="C"),((('CAFCO 400 '!$L$7*(J643^3)+'CAFCO 400 '!$L$8*(J643^2)+'CAFCO 400 '!$L$9*J643+'CAFCO 400 '!$L$10)*U643^2)+(('CAFCO 400 '!$L$11*(J643^3)+'CAFCO 400 '!$L$12*(J643^2)+'CAFCO 400 '!$L$13*J643+'CAFCO 400 '!$L$14)*U643)+('CAFCO 400 '!$L$15*LN(J643)+'CAFCO 400 '!$L$16)),0)+IF(AND(L643="Cafco 400",M643="Software Idiem",C643="L"),((('CAFCO 400 '!$L$7*(J643^3)+'CAFCO 400 '!$L$8*(J643^2)+'CAFCO 400 '!$L$9*J643+'CAFCO 400 '!$L$10)*U643^2)+(('CAFCO 400 '!$L$11*(J643^3)+'CAFCO 400 '!$L$12*(J643^2)+'CAFCO 400 '!$L$13*J643+'CAFCO 400 '!$L$14)*U643)+('CAFCO 400 '!$L$15*LN(J643)+'CAFCO 400 '!$L$16)),0)+IF(AND(L643="Cafco 400",M643="Software Idiem",C643="IN",G643=3),((('CAFCO 400 '!$D$23*(J643^2)+'CAFCO 400 '!$D$24*(J643)+'CAFCO 400 '!$D$25)*U643^2)+(('CAFCO 400 '!$D$26*(J643^2)+'CAFCO 400 '!$D$27*J643+'CAFCO 400 '!$D$28)*U643)+('CAFCO 400 '!$D$29*(J643^2)+'CAFCO 400 '!$D$30*J643+'CAFCO 400 '!$D$31)),0),0)+IF(AND(L643="Cafco 300",J643&gt;=95,J643&lt;=240,C643="Cj",I643=90),VLOOKUP(T643,'CAFCO 300 IDIEM TABLAS'!$B$4:$D$23,2,FALSE),0)+IF(AND(L643="Cafco 300",J643&gt;=95,J643&lt;=240,C643="Cj",I643=120),VLOOKUP(T643,'CAFCO 300 IDIEM TABLAS'!$B$4:$D$23,3,FALSE),0)+IF(AND(L643="Cafco 300",J643&gt;=95,J643&lt;=400,G643=3,C643="IN",I643=90),VLOOKUP(T643,'CAFCO 300 IDIEM TABLAS'!$F$4:$H$35,2,FALSE),0)+IF(AND(L643="Cafco 300",J643&gt;=95,J643&lt;=400,G643=3,C643="IN",I643=120),VLOOKUP(T643,'CAFCO 300 IDIEM TABLAS'!$F$4:$H$35,3,FALSE),0)+IF(AND(L643="Cafco 300",J643&gt;=95,J643&lt;=450,G643=4,C643="IN",I643=90),VLOOKUP(T643,'CAFCO 300 IDIEM TABLAS'!$J$4:$L$40,2,FALSE),0)+IF(AND(L643="Cafco 300",J643&gt;=95,J643&lt;=450,G643=4,C643="IN",I643=120),VLOOKUP(T643,'CAFCO 300 IDIEM TABLAS'!$J$4:$L$40,3,FALSE),0)+IF(AND(M643="Ensayo Idiem",L643="Cafco 400",C643="IN",G643=4,I643=90),VLOOKUP(T643,'CAFCO 400 ENSAYO'!$B$7:$D$43,2,FALSE),0)+IF(AND(M643="Ensayo Idiem",L643="Cafco 400",C643="IN",G643=4,I643=120),VLOOKUP(T643,'CAFCO 400 ENSAYO'!$B$7:$D$43,3,FALSE),0)</f>
        <v>0</v>
      </c>
      <c r="O643" s="96">
        <f t="shared" si="66"/>
        <v>0</v>
      </c>
      <c r="P643" s="132" t="str">
        <f t="shared" si="67"/>
        <v>N/A</v>
      </c>
      <c r="Q643" s="132" t="str">
        <f t="shared" si="68"/>
        <v>N/A</v>
      </c>
      <c r="R643" s="132" t="str">
        <f t="shared" si="69"/>
        <v>NO CERT.</v>
      </c>
      <c r="S643" s="132" t="e">
        <f t="shared" si="70"/>
        <v>#N/A</v>
      </c>
      <c r="T643" s="133" t="e">
        <f>+IF(J643=LOOKUP(J643,'CAFCO 300 IDIEM TABLAS'!$J$4:$J$40),'CALCULO MORTERO'!J643,MROUND('CALCULO MORTERO'!J643,10))</f>
        <v>#N/A</v>
      </c>
      <c r="U643" s="134">
        <f t="shared" si="71"/>
        <v>0</v>
      </c>
    </row>
    <row r="644" spans="1:21" x14ac:dyDescent="0.25">
      <c r="A644" s="118">
        <f>+CUBICACION!D638</f>
        <v>0</v>
      </c>
      <c r="B644" s="819">
        <f>+CUBICACION!E638</f>
        <v>0</v>
      </c>
      <c r="C644" s="675">
        <f>+CUBICACION!F638</f>
        <v>0</v>
      </c>
      <c r="D644" s="118"/>
      <c r="E644" s="118"/>
      <c r="F644" s="820"/>
      <c r="G644" s="675">
        <f>+CUBICACION!J638</f>
        <v>0</v>
      </c>
      <c r="H644" s="118"/>
      <c r="I644" s="821">
        <f>+CUBICACION!L638</f>
        <v>0</v>
      </c>
      <c r="J644" s="64">
        <f>+CUBICACION!M638</f>
        <v>0</v>
      </c>
      <c r="K644" s="822" t="str">
        <f>+CUBICACION!N638</f>
        <v/>
      </c>
      <c r="L644" s="118">
        <f>+CUBICACION!O638</f>
        <v>0</v>
      </c>
      <c r="M644" s="823">
        <f>+CUBICACION!P638</f>
        <v>0</v>
      </c>
      <c r="N644" s="902">
        <f>ROUND(IF(AND(L644="Blaze Shield II",M644="Software Idiem",C644="IN",G644=4),((('BLAZE SHIELD II'!$D$4*('CALCULO MORTERO'!I644^2)+'BLAZE SHIELD II'!$D$5*'CALCULO MORTERO'!I644+'BLAZE SHIELD II'!$D$6)*LN(J644))+('BLAZE SHIELD II'!$D$7*('CALCULO MORTERO'!I644^2)+'BLAZE SHIELD II'!$D$8*'CALCULO MORTERO'!I644+'BLAZE SHIELD II'!$D$9)),0)+IF(AND(L644="Blaze Shield II",M644="Software Idiem",C644="Cj"),((('BLAZE SHIELD II'!$H$4*('CALCULO MORTERO'!I644^2)+'BLAZE SHIELD II'!$H$5*'CALCULO MORTERO'!I644+'BLAZE SHIELD II'!$H$6)*LN(J644))+('BLAZE SHIELD II'!$H$7*('CALCULO MORTERO'!I644^2)+'BLAZE SHIELD II'!$H$8*'CALCULO MORTERO'!I644+'BLAZE SHIELD II'!$H$9)),0)+IF(AND(L644="Blaze Shield II",M644="Software Idiem",C644="C"),((('BLAZE SHIELD II'!$L$4*('CALCULO MORTERO'!I644^2)+'BLAZE SHIELD II'!$L$5*'CALCULO MORTERO'!I644+'BLAZE SHIELD II'!$L$6)*LN(J644))+('BLAZE SHIELD II'!$L$7*('CALCULO MORTERO'!I644^2)+'BLAZE SHIELD II'!$L$8*'CALCULO MORTERO'!I644+'BLAZE SHIELD II'!$L$9)),0)+IF(AND(L644="Blaze Shield II",M644="Software Idiem",C644="L"),((('BLAZE SHIELD II'!$L$4*('CALCULO MORTERO'!I644^2)+'BLAZE SHIELD II'!$L$5*'CALCULO MORTERO'!I644+'BLAZE SHIELD II'!$L$6)*LN(J644))+('BLAZE SHIELD II'!$L$7*('CALCULO MORTERO'!I644^2)+'BLAZE SHIELD II'!$L$8*'CALCULO MORTERO'!I644+'BLAZE SHIELD II'!$L$9)),0)+IF(AND(L644="Blaze Shield II",M644="Software Idiem",C644="IN",G644=3),((('BLAZE SHIELD II'!$H$14*('CALCULO MORTERO'!I644^2)+'BLAZE SHIELD II'!$H$15*'CALCULO MORTERO'!I644+'BLAZE SHIELD II'!$H$16)*LN(J644))+('BLAZE SHIELD II'!$H$17*('CALCULO MORTERO'!I644^2)+'BLAZE SHIELD II'!$H$18*'CALCULO MORTERO'!I644+'BLAZE SHIELD II'!$H$19)),0),0)+ROUND(IF(AND(L644="Cafco 400",M644="Software Idiem",C644="IN",G644=4),((('CAFCO 400 '!$H$7*(J644^4)+'CAFCO 400 '!$H$8*(J644^3)+'CAFCO 400 '!$H$9*(J644^2)+'CAFCO 400 '!$H$10*J644+'CAFCO 400 '!$H$11)*U644^2)+(('CAFCO 400 '!$H$12*(J644^3)+'CAFCO 400 '!$H$13*(J644^2)+'CAFCO 400 '!$H$14*J644+'CAFCO 400 '!$H$15)*U644)+('CAFCO 400 '!$H$16*(J644^2)+'CAFCO 400 '!$H$17*J644+'CAFCO 400 '!$H$18)),0)+IF(AND(L644="Cafco 400",M644="Software Idiem",C644="Cj"),(((('CAFCO 400 '!$D$7*LN(J644)+'CAFCO 400 '!$D$8)*U644^2)+(('CAFCO 400 '!$D$9*LN(J644)+'CAFCO 400 '!$D$10)*U644)+('CAFCO 400 '!$D$11*LN(J644)+'CAFCO 400 '!$D$12))),0)+IF(AND(L644="Cafco 400",M644="Software Idiem",C644="C"),((('CAFCO 400 '!$L$7*(J644^3)+'CAFCO 400 '!$L$8*(J644^2)+'CAFCO 400 '!$L$9*J644+'CAFCO 400 '!$L$10)*U644^2)+(('CAFCO 400 '!$L$11*(J644^3)+'CAFCO 400 '!$L$12*(J644^2)+'CAFCO 400 '!$L$13*J644+'CAFCO 400 '!$L$14)*U644)+('CAFCO 400 '!$L$15*LN(J644)+'CAFCO 400 '!$L$16)),0)+IF(AND(L644="Cafco 400",M644="Software Idiem",C644="L"),((('CAFCO 400 '!$L$7*(J644^3)+'CAFCO 400 '!$L$8*(J644^2)+'CAFCO 400 '!$L$9*J644+'CAFCO 400 '!$L$10)*U644^2)+(('CAFCO 400 '!$L$11*(J644^3)+'CAFCO 400 '!$L$12*(J644^2)+'CAFCO 400 '!$L$13*J644+'CAFCO 400 '!$L$14)*U644)+('CAFCO 400 '!$L$15*LN(J644)+'CAFCO 400 '!$L$16)),0)+IF(AND(L644="Cafco 400",M644="Software Idiem",C644="IN",G644=3),((('CAFCO 400 '!$D$23*(J644^2)+'CAFCO 400 '!$D$24*(J644)+'CAFCO 400 '!$D$25)*U644^2)+(('CAFCO 400 '!$D$26*(J644^2)+'CAFCO 400 '!$D$27*J644+'CAFCO 400 '!$D$28)*U644)+('CAFCO 400 '!$D$29*(J644^2)+'CAFCO 400 '!$D$30*J644+'CAFCO 400 '!$D$31)),0),0)+IF(AND(L644="Cafco 300",J644&gt;=95,J644&lt;=240,C644="Cj",I644=90),VLOOKUP(T644,'CAFCO 300 IDIEM TABLAS'!$B$4:$D$23,2,FALSE),0)+IF(AND(L644="Cafco 300",J644&gt;=95,J644&lt;=240,C644="Cj",I644=120),VLOOKUP(T644,'CAFCO 300 IDIEM TABLAS'!$B$4:$D$23,3,FALSE),0)+IF(AND(L644="Cafco 300",J644&gt;=95,J644&lt;=400,G644=3,C644="IN",I644=90),VLOOKUP(T644,'CAFCO 300 IDIEM TABLAS'!$F$4:$H$35,2,FALSE),0)+IF(AND(L644="Cafco 300",J644&gt;=95,J644&lt;=400,G644=3,C644="IN",I644=120),VLOOKUP(T644,'CAFCO 300 IDIEM TABLAS'!$F$4:$H$35,3,FALSE),0)+IF(AND(L644="Cafco 300",J644&gt;=95,J644&lt;=450,G644=4,C644="IN",I644=90),VLOOKUP(T644,'CAFCO 300 IDIEM TABLAS'!$J$4:$L$40,2,FALSE),0)+IF(AND(L644="Cafco 300",J644&gt;=95,J644&lt;=450,G644=4,C644="IN",I644=120),VLOOKUP(T644,'CAFCO 300 IDIEM TABLAS'!$J$4:$L$40,3,FALSE),0)+IF(AND(M644="Ensayo Idiem",L644="Cafco 400",C644="IN",G644=4,I644=90),VLOOKUP(T644,'CAFCO 400 ENSAYO'!$B$7:$D$43,2,FALSE),0)+IF(AND(M644="Ensayo Idiem",L644="Cafco 400",C644="IN",G644=4,I644=120),VLOOKUP(T644,'CAFCO 400 ENSAYO'!$B$7:$D$43,3,FALSE),0)</f>
        <v>0</v>
      </c>
      <c r="O644" s="96">
        <f t="shared" si="66"/>
        <v>0</v>
      </c>
      <c r="P644" s="95" t="str">
        <f t="shared" si="67"/>
        <v>N/A</v>
      </c>
      <c r="Q644" s="95" t="str">
        <f t="shared" si="68"/>
        <v>N/A</v>
      </c>
      <c r="R644" s="95" t="str">
        <f t="shared" si="69"/>
        <v>NO CERT.</v>
      </c>
      <c r="S644" s="95" t="e">
        <f t="shared" si="70"/>
        <v>#N/A</v>
      </c>
      <c r="T644" s="119" t="e">
        <f>+IF(J644=LOOKUP(J644,'CAFCO 300 IDIEM TABLAS'!$J$4:$J$40),'CALCULO MORTERO'!J644,MROUND('CALCULO MORTERO'!J644,10))</f>
        <v>#N/A</v>
      </c>
      <c r="U644" s="118">
        <f t="shared" si="71"/>
        <v>0</v>
      </c>
    </row>
    <row r="645" spans="1:21" x14ac:dyDescent="0.25">
      <c r="A645" s="118">
        <f>+CUBICACION!D639</f>
        <v>0</v>
      </c>
      <c r="B645" s="819">
        <f>+CUBICACION!E639</f>
        <v>0</v>
      </c>
      <c r="C645" s="675">
        <f>+CUBICACION!F639</f>
        <v>0</v>
      </c>
      <c r="D645" s="118"/>
      <c r="E645" s="118"/>
      <c r="F645" s="820"/>
      <c r="G645" s="675">
        <f>+CUBICACION!J639</f>
        <v>0</v>
      </c>
      <c r="H645" s="118"/>
      <c r="I645" s="821">
        <f>+CUBICACION!L639</f>
        <v>0</v>
      </c>
      <c r="J645" s="64">
        <f>+CUBICACION!M639</f>
        <v>0</v>
      </c>
      <c r="K645" s="822" t="str">
        <f>+CUBICACION!N639</f>
        <v/>
      </c>
      <c r="L645" s="118">
        <f>+CUBICACION!O639</f>
        <v>0</v>
      </c>
      <c r="M645" s="823">
        <f>+CUBICACION!P639</f>
        <v>0</v>
      </c>
      <c r="N645" s="902">
        <f>ROUND(IF(AND(L645="Blaze Shield II",M645="Software Idiem",C645="IN",G645=4),((('BLAZE SHIELD II'!$D$4*('CALCULO MORTERO'!I645^2)+'BLAZE SHIELD II'!$D$5*'CALCULO MORTERO'!I645+'BLAZE SHIELD II'!$D$6)*LN(J645))+('BLAZE SHIELD II'!$D$7*('CALCULO MORTERO'!I645^2)+'BLAZE SHIELD II'!$D$8*'CALCULO MORTERO'!I645+'BLAZE SHIELD II'!$D$9)),0)+IF(AND(L645="Blaze Shield II",M645="Software Idiem",C645="Cj"),((('BLAZE SHIELD II'!$H$4*('CALCULO MORTERO'!I645^2)+'BLAZE SHIELD II'!$H$5*'CALCULO MORTERO'!I645+'BLAZE SHIELD II'!$H$6)*LN(J645))+('BLAZE SHIELD II'!$H$7*('CALCULO MORTERO'!I645^2)+'BLAZE SHIELD II'!$H$8*'CALCULO MORTERO'!I645+'BLAZE SHIELD II'!$H$9)),0)+IF(AND(L645="Blaze Shield II",M645="Software Idiem",C645="C"),((('BLAZE SHIELD II'!$L$4*('CALCULO MORTERO'!I645^2)+'BLAZE SHIELD II'!$L$5*'CALCULO MORTERO'!I645+'BLAZE SHIELD II'!$L$6)*LN(J645))+('BLAZE SHIELD II'!$L$7*('CALCULO MORTERO'!I645^2)+'BLAZE SHIELD II'!$L$8*'CALCULO MORTERO'!I645+'BLAZE SHIELD II'!$L$9)),0)+IF(AND(L645="Blaze Shield II",M645="Software Idiem",C645="L"),((('BLAZE SHIELD II'!$L$4*('CALCULO MORTERO'!I645^2)+'BLAZE SHIELD II'!$L$5*'CALCULO MORTERO'!I645+'BLAZE SHIELD II'!$L$6)*LN(J645))+('BLAZE SHIELD II'!$L$7*('CALCULO MORTERO'!I645^2)+'BLAZE SHIELD II'!$L$8*'CALCULO MORTERO'!I645+'BLAZE SHIELD II'!$L$9)),0)+IF(AND(L645="Blaze Shield II",M645="Software Idiem",C645="IN",G645=3),((('BLAZE SHIELD II'!$H$14*('CALCULO MORTERO'!I645^2)+'BLAZE SHIELD II'!$H$15*'CALCULO MORTERO'!I645+'BLAZE SHIELD II'!$H$16)*LN(J645))+('BLAZE SHIELD II'!$H$17*('CALCULO MORTERO'!I645^2)+'BLAZE SHIELD II'!$H$18*'CALCULO MORTERO'!I645+'BLAZE SHIELD II'!$H$19)),0),0)+ROUND(IF(AND(L645="Cafco 400",M645="Software Idiem",C645="IN",G645=4),((('CAFCO 400 '!$H$7*(J645^4)+'CAFCO 400 '!$H$8*(J645^3)+'CAFCO 400 '!$H$9*(J645^2)+'CAFCO 400 '!$H$10*J645+'CAFCO 400 '!$H$11)*U645^2)+(('CAFCO 400 '!$H$12*(J645^3)+'CAFCO 400 '!$H$13*(J645^2)+'CAFCO 400 '!$H$14*J645+'CAFCO 400 '!$H$15)*U645)+('CAFCO 400 '!$H$16*(J645^2)+'CAFCO 400 '!$H$17*J645+'CAFCO 400 '!$H$18)),0)+IF(AND(L645="Cafco 400",M645="Software Idiem",C645="Cj"),(((('CAFCO 400 '!$D$7*LN(J645)+'CAFCO 400 '!$D$8)*U645^2)+(('CAFCO 400 '!$D$9*LN(J645)+'CAFCO 400 '!$D$10)*U645)+('CAFCO 400 '!$D$11*LN(J645)+'CAFCO 400 '!$D$12))),0)+IF(AND(L645="Cafco 400",M645="Software Idiem",C645="C"),((('CAFCO 400 '!$L$7*(J645^3)+'CAFCO 400 '!$L$8*(J645^2)+'CAFCO 400 '!$L$9*J645+'CAFCO 400 '!$L$10)*U645^2)+(('CAFCO 400 '!$L$11*(J645^3)+'CAFCO 400 '!$L$12*(J645^2)+'CAFCO 400 '!$L$13*J645+'CAFCO 400 '!$L$14)*U645)+('CAFCO 400 '!$L$15*LN(J645)+'CAFCO 400 '!$L$16)),0)+IF(AND(L645="Cafco 400",M645="Software Idiem",C645="L"),((('CAFCO 400 '!$L$7*(J645^3)+'CAFCO 400 '!$L$8*(J645^2)+'CAFCO 400 '!$L$9*J645+'CAFCO 400 '!$L$10)*U645^2)+(('CAFCO 400 '!$L$11*(J645^3)+'CAFCO 400 '!$L$12*(J645^2)+'CAFCO 400 '!$L$13*J645+'CAFCO 400 '!$L$14)*U645)+('CAFCO 400 '!$L$15*LN(J645)+'CAFCO 400 '!$L$16)),0)+IF(AND(L645="Cafco 400",M645="Software Idiem",C645="IN",G645=3),((('CAFCO 400 '!$D$23*(J645^2)+'CAFCO 400 '!$D$24*(J645)+'CAFCO 400 '!$D$25)*U645^2)+(('CAFCO 400 '!$D$26*(J645^2)+'CAFCO 400 '!$D$27*J645+'CAFCO 400 '!$D$28)*U645)+('CAFCO 400 '!$D$29*(J645^2)+'CAFCO 400 '!$D$30*J645+'CAFCO 400 '!$D$31)),0),0)+IF(AND(L645="Cafco 300",J645&gt;=95,J645&lt;=240,C645="Cj",I645=90),VLOOKUP(T645,'CAFCO 300 IDIEM TABLAS'!$B$4:$D$23,2,FALSE),0)+IF(AND(L645="Cafco 300",J645&gt;=95,J645&lt;=240,C645="Cj",I645=120),VLOOKUP(T645,'CAFCO 300 IDIEM TABLAS'!$B$4:$D$23,3,FALSE),0)+IF(AND(L645="Cafco 300",J645&gt;=95,J645&lt;=400,G645=3,C645="IN",I645=90),VLOOKUP(T645,'CAFCO 300 IDIEM TABLAS'!$F$4:$H$35,2,FALSE),0)+IF(AND(L645="Cafco 300",J645&gt;=95,J645&lt;=400,G645=3,C645="IN",I645=120),VLOOKUP(T645,'CAFCO 300 IDIEM TABLAS'!$F$4:$H$35,3,FALSE),0)+IF(AND(L645="Cafco 300",J645&gt;=95,J645&lt;=450,G645=4,C645="IN",I645=90),VLOOKUP(T645,'CAFCO 300 IDIEM TABLAS'!$J$4:$L$40,2,FALSE),0)+IF(AND(L645="Cafco 300",J645&gt;=95,J645&lt;=450,G645=4,C645="IN",I645=120),VLOOKUP(T645,'CAFCO 300 IDIEM TABLAS'!$J$4:$L$40,3,FALSE),0)+IF(AND(M645="Ensayo Idiem",L645="Cafco 400",C645="IN",G645=4,I645=90),VLOOKUP(T645,'CAFCO 400 ENSAYO'!$B$7:$D$43,2,FALSE),0)+IF(AND(M645="Ensayo Idiem",L645="Cafco 400",C645="IN",G645=4,I645=120),VLOOKUP(T645,'CAFCO 400 ENSAYO'!$B$7:$D$43,3,FALSE),0)</f>
        <v>0</v>
      </c>
      <c r="O645" s="96">
        <f t="shared" si="66"/>
        <v>0</v>
      </c>
      <c r="P645" s="132" t="str">
        <f t="shared" si="67"/>
        <v>N/A</v>
      </c>
      <c r="Q645" s="132" t="str">
        <f t="shared" si="68"/>
        <v>N/A</v>
      </c>
      <c r="R645" s="132" t="str">
        <f t="shared" si="69"/>
        <v>NO CERT.</v>
      </c>
      <c r="S645" s="132" t="e">
        <f t="shared" si="70"/>
        <v>#N/A</v>
      </c>
      <c r="T645" s="133" t="e">
        <f>+IF(J645=LOOKUP(J645,'CAFCO 300 IDIEM TABLAS'!$J$4:$J$40),'CALCULO MORTERO'!J645,MROUND('CALCULO MORTERO'!J645,10))</f>
        <v>#N/A</v>
      </c>
      <c r="U645" s="134">
        <f t="shared" si="71"/>
        <v>0</v>
      </c>
    </row>
    <row r="646" spans="1:21" x14ac:dyDescent="0.25">
      <c r="A646" s="118">
        <f>+CUBICACION!D640</f>
        <v>0</v>
      </c>
      <c r="B646" s="819">
        <f>+CUBICACION!E640</f>
        <v>0</v>
      </c>
      <c r="C646" s="675">
        <f>+CUBICACION!F640</f>
        <v>0</v>
      </c>
      <c r="D646" s="118"/>
      <c r="E646" s="118"/>
      <c r="F646" s="820"/>
      <c r="G646" s="675">
        <f>+CUBICACION!J640</f>
        <v>0</v>
      </c>
      <c r="H646" s="118"/>
      <c r="I646" s="821">
        <f>+CUBICACION!L640</f>
        <v>0</v>
      </c>
      <c r="J646" s="64">
        <f>+CUBICACION!M640</f>
        <v>0</v>
      </c>
      <c r="K646" s="822" t="str">
        <f>+CUBICACION!N640</f>
        <v/>
      </c>
      <c r="L646" s="118">
        <f>+CUBICACION!O640</f>
        <v>0</v>
      </c>
      <c r="M646" s="823">
        <f>+CUBICACION!P640</f>
        <v>0</v>
      </c>
      <c r="N646" s="902">
        <f>ROUND(IF(AND(L646="Blaze Shield II",M646="Software Idiem",C646="IN",G646=4),((('BLAZE SHIELD II'!$D$4*('CALCULO MORTERO'!I646^2)+'BLAZE SHIELD II'!$D$5*'CALCULO MORTERO'!I646+'BLAZE SHIELD II'!$D$6)*LN(J646))+('BLAZE SHIELD II'!$D$7*('CALCULO MORTERO'!I646^2)+'BLAZE SHIELD II'!$D$8*'CALCULO MORTERO'!I646+'BLAZE SHIELD II'!$D$9)),0)+IF(AND(L646="Blaze Shield II",M646="Software Idiem",C646="Cj"),((('BLAZE SHIELD II'!$H$4*('CALCULO MORTERO'!I646^2)+'BLAZE SHIELD II'!$H$5*'CALCULO MORTERO'!I646+'BLAZE SHIELD II'!$H$6)*LN(J646))+('BLAZE SHIELD II'!$H$7*('CALCULO MORTERO'!I646^2)+'BLAZE SHIELD II'!$H$8*'CALCULO MORTERO'!I646+'BLAZE SHIELD II'!$H$9)),0)+IF(AND(L646="Blaze Shield II",M646="Software Idiem",C646="C"),((('BLAZE SHIELD II'!$L$4*('CALCULO MORTERO'!I646^2)+'BLAZE SHIELD II'!$L$5*'CALCULO MORTERO'!I646+'BLAZE SHIELD II'!$L$6)*LN(J646))+('BLAZE SHIELD II'!$L$7*('CALCULO MORTERO'!I646^2)+'BLAZE SHIELD II'!$L$8*'CALCULO MORTERO'!I646+'BLAZE SHIELD II'!$L$9)),0)+IF(AND(L646="Blaze Shield II",M646="Software Idiem",C646="L"),((('BLAZE SHIELD II'!$L$4*('CALCULO MORTERO'!I646^2)+'BLAZE SHIELD II'!$L$5*'CALCULO MORTERO'!I646+'BLAZE SHIELD II'!$L$6)*LN(J646))+('BLAZE SHIELD II'!$L$7*('CALCULO MORTERO'!I646^2)+'BLAZE SHIELD II'!$L$8*'CALCULO MORTERO'!I646+'BLAZE SHIELD II'!$L$9)),0)+IF(AND(L646="Blaze Shield II",M646="Software Idiem",C646="IN",G646=3),((('BLAZE SHIELD II'!$H$14*('CALCULO MORTERO'!I646^2)+'BLAZE SHIELD II'!$H$15*'CALCULO MORTERO'!I646+'BLAZE SHIELD II'!$H$16)*LN(J646))+('BLAZE SHIELD II'!$H$17*('CALCULO MORTERO'!I646^2)+'BLAZE SHIELD II'!$H$18*'CALCULO MORTERO'!I646+'BLAZE SHIELD II'!$H$19)),0),0)+ROUND(IF(AND(L646="Cafco 400",M646="Software Idiem",C646="IN",G646=4),((('CAFCO 400 '!$H$7*(J646^4)+'CAFCO 400 '!$H$8*(J646^3)+'CAFCO 400 '!$H$9*(J646^2)+'CAFCO 400 '!$H$10*J646+'CAFCO 400 '!$H$11)*U646^2)+(('CAFCO 400 '!$H$12*(J646^3)+'CAFCO 400 '!$H$13*(J646^2)+'CAFCO 400 '!$H$14*J646+'CAFCO 400 '!$H$15)*U646)+('CAFCO 400 '!$H$16*(J646^2)+'CAFCO 400 '!$H$17*J646+'CAFCO 400 '!$H$18)),0)+IF(AND(L646="Cafco 400",M646="Software Idiem",C646="Cj"),(((('CAFCO 400 '!$D$7*LN(J646)+'CAFCO 400 '!$D$8)*U646^2)+(('CAFCO 400 '!$D$9*LN(J646)+'CAFCO 400 '!$D$10)*U646)+('CAFCO 400 '!$D$11*LN(J646)+'CAFCO 400 '!$D$12))),0)+IF(AND(L646="Cafco 400",M646="Software Idiem",C646="C"),((('CAFCO 400 '!$L$7*(J646^3)+'CAFCO 400 '!$L$8*(J646^2)+'CAFCO 400 '!$L$9*J646+'CAFCO 400 '!$L$10)*U646^2)+(('CAFCO 400 '!$L$11*(J646^3)+'CAFCO 400 '!$L$12*(J646^2)+'CAFCO 400 '!$L$13*J646+'CAFCO 400 '!$L$14)*U646)+('CAFCO 400 '!$L$15*LN(J646)+'CAFCO 400 '!$L$16)),0)+IF(AND(L646="Cafco 400",M646="Software Idiem",C646="L"),((('CAFCO 400 '!$L$7*(J646^3)+'CAFCO 400 '!$L$8*(J646^2)+'CAFCO 400 '!$L$9*J646+'CAFCO 400 '!$L$10)*U646^2)+(('CAFCO 400 '!$L$11*(J646^3)+'CAFCO 400 '!$L$12*(J646^2)+'CAFCO 400 '!$L$13*J646+'CAFCO 400 '!$L$14)*U646)+('CAFCO 400 '!$L$15*LN(J646)+'CAFCO 400 '!$L$16)),0)+IF(AND(L646="Cafco 400",M646="Software Idiem",C646="IN",G646=3),((('CAFCO 400 '!$D$23*(J646^2)+'CAFCO 400 '!$D$24*(J646)+'CAFCO 400 '!$D$25)*U646^2)+(('CAFCO 400 '!$D$26*(J646^2)+'CAFCO 400 '!$D$27*J646+'CAFCO 400 '!$D$28)*U646)+('CAFCO 400 '!$D$29*(J646^2)+'CAFCO 400 '!$D$30*J646+'CAFCO 400 '!$D$31)),0),0)+IF(AND(L646="Cafco 300",J646&gt;=95,J646&lt;=240,C646="Cj",I646=90),VLOOKUP(T646,'CAFCO 300 IDIEM TABLAS'!$B$4:$D$23,2,FALSE),0)+IF(AND(L646="Cafco 300",J646&gt;=95,J646&lt;=240,C646="Cj",I646=120),VLOOKUP(T646,'CAFCO 300 IDIEM TABLAS'!$B$4:$D$23,3,FALSE),0)+IF(AND(L646="Cafco 300",J646&gt;=95,J646&lt;=400,G646=3,C646="IN",I646=90),VLOOKUP(T646,'CAFCO 300 IDIEM TABLAS'!$F$4:$H$35,2,FALSE),0)+IF(AND(L646="Cafco 300",J646&gt;=95,J646&lt;=400,G646=3,C646="IN",I646=120),VLOOKUP(T646,'CAFCO 300 IDIEM TABLAS'!$F$4:$H$35,3,FALSE),0)+IF(AND(L646="Cafco 300",J646&gt;=95,J646&lt;=450,G646=4,C646="IN",I646=90),VLOOKUP(T646,'CAFCO 300 IDIEM TABLAS'!$J$4:$L$40,2,FALSE),0)+IF(AND(L646="Cafco 300",J646&gt;=95,J646&lt;=450,G646=4,C646="IN",I646=120),VLOOKUP(T646,'CAFCO 300 IDIEM TABLAS'!$J$4:$L$40,3,FALSE),0)+IF(AND(M646="Ensayo Idiem",L646="Cafco 400",C646="IN",G646=4,I646=90),VLOOKUP(T646,'CAFCO 400 ENSAYO'!$B$7:$D$43,2,FALSE),0)+IF(AND(M646="Ensayo Idiem",L646="Cafco 400",C646="IN",G646=4,I646=120),VLOOKUP(T646,'CAFCO 400 ENSAYO'!$B$7:$D$43,3,FALSE),0)</f>
        <v>0</v>
      </c>
      <c r="O646" s="96">
        <f t="shared" si="66"/>
        <v>0</v>
      </c>
      <c r="P646" s="95" t="str">
        <f t="shared" si="67"/>
        <v>N/A</v>
      </c>
      <c r="Q646" s="95" t="str">
        <f t="shared" si="68"/>
        <v>N/A</v>
      </c>
      <c r="R646" s="95" t="str">
        <f t="shared" si="69"/>
        <v>NO CERT.</v>
      </c>
      <c r="S646" s="95" t="e">
        <f t="shared" si="70"/>
        <v>#N/A</v>
      </c>
      <c r="T646" s="119" t="e">
        <f>+IF(J646=LOOKUP(J646,'CAFCO 300 IDIEM TABLAS'!$J$4:$J$40),'CALCULO MORTERO'!J646,MROUND('CALCULO MORTERO'!J646,10))</f>
        <v>#N/A</v>
      </c>
      <c r="U646" s="118">
        <f t="shared" si="71"/>
        <v>0</v>
      </c>
    </row>
    <row r="647" spans="1:21" x14ac:dyDescent="0.25">
      <c r="A647" s="118">
        <f>+CUBICACION!D641</f>
        <v>0</v>
      </c>
      <c r="B647" s="819">
        <f>+CUBICACION!E641</f>
        <v>0</v>
      </c>
      <c r="C647" s="675">
        <f>+CUBICACION!F641</f>
        <v>0</v>
      </c>
      <c r="D647" s="118"/>
      <c r="E647" s="118"/>
      <c r="F647" s="820"/>
      <c r="G647" s="675">
        <f>+CUBICACION!J641</f>
        <v>0</v>
      </c>
      <c r="H647" s="118"/>
      <c r="I647" s="821">
        <f>+CUBICACION!L641</f>
        <v>0</v>
      </c>
      <c r="J647" s="64">
        <f>+CUBICACION!M641</f>
        <v>0</v>
      </c>
      <c r="K647" s="822" t="str">
        <f>+CUBICACION!N641</f>
        <v/>
      </c>
      <c r="L647" s="118">
        <f>+CUBICACION!O641</f>
        <v>0</v>
      </c>
      <c r="M647" s="823">
        <f>+CUBICACION!P641</f>
        <v>0</v>
      </c>
      <c r="N647" s="902">
        <f>ROUND(IF(AND(L647="Blaze Shield II",M647="Software Idiem",C647="IN",G647=4),((('BLAZE SHIELD II'!$D$4*('CALCULO MORTERO'!I647^2)+'BLAZE SHIELD II'!$D$5*'CALCULO MORTERO'!I647+'BLAZE SHIELD II'!$D$6)*LN(J647))+('BLAZE SHIELD II'!$D$7*('CALCULO MORTERO'!I647^2)+'BLAZE SHIELD II'!$D$8*'CALCULO MORTERO'!I647+'BLAZE SHIELD II'!$D$9)),0)+IF(AND(L647="Blaze Shield II",M647="Software Idiem",C647="Cj"),((('BLAZE SHIELD II'!$H$4*('CALCULO MORTERO'!I647^2)+'BLAZE SHIELD II'!$H$5*'CALCULO MORTERO'!I647+'BLAZE SHIELD II'!$H$6)*LN(J647))+('BLAZE SHIELD II'!$H$7*('CALCULO MORTERO'!I647^2)+'BLAZE SHIELD II'!$H$8*'CALCULO MORTERO'!I647+'BLAZE SHIELD II'!$H$9)),0)+IF(AND(L647="Blaze Shield II",M647="Software Idiem",C647="C"),((('BLAZE SHIELD II'!$L$4*('CALCULO MORTERO'!I647^2)+'BLAZE SHIELD II'!$L$5*'CALCULO MORTERO'!I647+'BLAZE SHIELD II'!$L$6)*LN(J647))+('BLAZE SHIELD II'!$L$7*('CALCULO MORTERO'!I647^2)+'BLAZE SHIELD II'!$L$8*'CALCULO MORTERO'!I647+'BLAZE SHIELD II'!$L$9)),0)+IF(AND(L647="Blaze Shield II",M647="Software Idiem",C647="L"),((('BLAZE SHIELD II'!$L$4*('CALCULO MORTERO'!I647^2)+'BLAZE SHIELD II'!$L$5*'CALCULO MORTERO'!I647+'BLAZE SHIELD II'!$L$6)*LN(J647))+('BLAZE SHIELD II'!$L$7*('CALCULO MORTERO'!I647^2)+'BLAZE SHIELD II'!$L$8*'CALCULO MORTERO'!I647+'BLAZE SHIELD II'!$L$9)),0)+IF(AND(L647="Blaze Shield II",M647="Software Idiem",C647="IN",G647=3),((('BLAZE SHIELD II'!$H$14*('CALCULO MORTERO'!I647^2)+'BLAZE SHIELD II'!$H$15*'CALCULO MORTERO'!I647+'BLAZE SHIELD II'!$H$16)*LN(J647))+('BLAZE SHIELD II'!$H$17*('CALCULO MORTERO'!I647^2)+'BLAZE SHIELD II'!$H$18*'CALCULO MORTERO'!I647+'BLAZE SHIELD II'!$H$19)),0),0)+ROUND(IF(AND(L647="Cafco 400",M647="Software Idiem",C647="IN",G647=4),((('CAFCO 400 '!$H$7*(J647^4)+'CAFCO 400 '!$H$8*(J647^3)+'CAFCO 400 '!$H$9*(J647^2)+'CAFCO 400 '!$H$10*J647+'CAFCO 400 '!$H$11)*U647^2)+(('CAFCO 400 '!$H$12*(J647^3)+'CAFCO 400 '!$H$13*(J647^2)+'CAFCO 400 '!$H$14*J647+'CAFCO 400 '!$H$15)*U647)+('CAFCO 400 '!$H$16*(J647^2)+'CAFCO 400 '!$H$17*J647+'CAFCO 400 '!$H$18)),0)+IF(AND(L647="Cafco 400",M647="Software Idiem",C647="Cj"),(((('CAFCO 400 '!$D$7*LN(J647)+'CAFCO 400 '!$D$8)*U647^2)+(('CAFCO 400 '!$D$9*LN(J647)+'CAFCO 400 '!$D$10)*U647)+('CAFCO 400 '!$D$11*LN(J647)+'CAFCO 400 '!$D$12))),0)+IF(AND(L647="Cafco 400",M647="Software Idiem",C647="C"),((('CAFCO 400 '!$L$7*(J647^3)+'CAFCO 400 '!$L$8*(J647^2)+'CAFCO 400 '!$L$9*J647+'CAFCO 400 '!$L$10)*U647^2)+(('CAFCO 400 '!$L$11*(J647^3)+'CAFCO 400 '!$L$12*(J647^2)+'CAFCO 400 '!$L$13*J647+'CAFCO 400 '!$L$14)*U647)+('CAFCO 400 '!$L$15*LN(J647)+'CAFCO 400 '!$L$16)),0)+IF(AND(L647="Cafco 400",M647="Software Idiem",C647="L"),((('CAFCO 400 '!$L$7*(J647^3)+'CAFCO 400 '!$L$8*(J647^2)+'CAFCO 400 '!$L$9*J647+'CAFCO 400 '!$L$10)*U647^2)+(('CAFCO 400 '!$L$11*(J647^3)+'CAFCO 400 '!$L$12*(J647^2)+'CAFCO 400 '!$L$13*J647+'CAFCO 400 '!$L$14)*U647)+('CAFCO 400 '!$L$15*LN(J647)+'CAFCO 400 '!$L$16)),0)+IF(AND(L647="Cafco 400",M647="Software Idiem",C647="IN",G647=3),((('CAFCO 400 '!$D$23*(J647^2)+'CAFCO 400 '!$D$24*(J647)+'CAFCO 400 '!$D$25)*U647^2)+(('CAFCO 400 '!$D$26*(J647^2)+'CAFCO 400 '!$D$27*J647+'CAFCO 400 '!$D$28)*U647)+('CAFCO 400 '!$D$29*(J647^2)+'CAFCO 400 '!$D$30*J647+'CAFCO 400 '!$D$31)),0),0)+IF(AND(L647="Cafco 300",J647&gt;=95,J647&lt;=240,C647="Cj",I647=90),VLOOKUP(T647,'CAFCO 300 IDIEM TABLAS'!$B$4:$D$23,2,FALSE),0)+IF(AND(L647="Cafco 300",J647&gt;=95,J647&lt;=240,C647="Cj",I647=120),VLOOKUP(T647,'CAFCO 300 IDIEM TABLAS'!$B$4:$D$23,3,FALSE),0)+IF(AND(L647="Cafco 300",J647&gt;=95,J647&lt;=400,G647=3,C647="IN",I647=90),VLOOKUP(T647,'CAFCO 300 IDIEM TABLAS'!$F$4:$H$35,2,FALSE),0)+IF(AND(L647="Cafco 300",J647&gt;=95,J647&lt;=400,G647=3,C647="IN",I647=120),VLOOKUP(T647,'CAFCO 300 IDIEM TABLAS'!$F$4:$H$35,3,FALSE),0)+IF(AND(L647="Cafco 300",J647&gt;=95,J647&lt;=450,G647=4,C647="IN",I647=90),VLOOKUP(T647,'CAFCO 300 IDIEM TABLAS'!$J$4:$L$40,2,FALSE),0)+IF(AND(L647="Cafco 300",J647&gt;=95,J647&lt;=450,G647=4,C647="IN",I647=120),VLOOKUP(T647,'CAFCO 300 IDIEM TABLAS'!$J$4:$L$40,3,FALSE),0)+IF(AND(M647="Ensayo Idiem",L647="Cafco 400",C647="IN",G647=4,I647=90),VLOOKUP(T647,'CAFCO 400 ENSAYO'!$B$7:$D$43,2,FALSE),0)+IF(AND(M647="Ensayo Idiem",L647="Cafco 400",C647="IN",G647=4,I647=120),VLOOKUP(T647,'CAFCO 400 ENSAYO'!$B$7:$D$43,3,FALSE),0)</f>
        <v>0</v>
      </c>
      <c r="O647" s="96">
        <f t="shared" si="66"/>
        <v>0</v>
      </c>
      <c r="P647" s="132" t="str">
        <f t="shared" si="67"/>
        <v>N/A</v>
      </c>
      <c r="Q647" s="132" t="str">
        <f t="shared" si="68"/>
        <v>N/A</v>
      </c>
      <c r="R647" s="132" t="str">
        <f t="shared" si="69"/>
        <v>NO CERT.</v>
      </c>
      <c r="S647" s="132" t="e">
        <f t="shared" si="70"/>
        <v>#N/A</v>
      </c>
      <c r="T647" s="133" t="e">
        <f>+IF(J647=LOOKUP(J647,'CAFCO 300 IDIEM TABLAS'!$J$4:$J$40),'CALCULO MORTERO'!J647,MROUND('CALCULO MORTERO'!J647,10))</f>
        <v>#N/A</v>
      </c>
      <c r="U647" s="134">
        <f t="shared" si="71"/>
        <v>0</v>
      </c>
    </row>
    <row r="648" spans="1:21" x14ac:dyDescent="0.25">
      <c r="A648" s="118">
        <f>+CUBICACION!D642</f>
        <v>0</v>
      </c>
      <c r="B648" s="819">
        <f>+CUBICACION!E642</f>
        <v>0</v>
      </c>
      <c r="C648" s="675">
        <f>+CUBICACION!F642</f>
        <v>0</v>
      </c>
      <c r="D648" s="118"/>
      <c r="E648" s="118"/>
      <c r="F648" s="820"/>
      <c r="G648" s="675">
        <f>+CUBICACION!J642</f>
        <v>0</v>
      </c>
      <c r="H648" s="118"/>
      <c r="I648" s="821">
        <f>+CUBICACION!L642</f>
        <v>0</v>
      </c>
      <c r="J648" s="64">
        <f>+CUBICACION!M642</f>
        <v>0</v>
      </c>
      <c r="K648" s="822" t="str">
        <f>+CUBICACION!N642</f>
        <v/>
      </c>
      <c r="L648" s="118">
        <f>+CUBICACION!O642</f>
        <v>0</v>
      </c>
      <c r="M648" s="823">
        <f>+CUBICACION!P642</f>
        <v>0</v>
      </c>
      <c r="N648" s="902">
        <f>ROUND(IF(AND(L648="Blaze Shield II",M648="Software Idiem",C648="IN",G648=4),((('BLAZE SHIELD II'!$D$4*('CALCULO MORTERO'!I648^2)+'BLAZE SHIELD II'!$D$5*'CALCULO MORTERO'!I648+'BLAZE SHIELD II'!$D$6)*LN(J648))+('BLAZE SHIELD II'!$D$7*('CALCULO MORTERO'!I648^2)+'BLAZE SHIELD II'!$D$8*'CALCULO MORTERO'!I648+'BLAZE SHIELD II'!$D$9)),0)+IF(AND(L648="Blaze Shield II",M648="Software Idiem",C648="Cj"),((('BLAZE SHIELD II'!$H$4*('CALCULO MORTERO'!I648^2)+'BLAZE SHIELD II'!$H$5*'CALCULO MORTERO'!I648+'BLAZE SHIELD II'!$H$6)*LN(J648))+('BLAZE SHIELD II'!$H$7*('CALCULO MORTERO'!I648^2)+'BLAZE SHIELD II'!$H$8*'CALCULO MORTERO'!I648+'BLAZE SHIELD II'!$H$9)),0)+IF(AND(L648="Blaze Shield II",M648="Software Idiem",C648="C"),((('BLAZE SHIELD II'!$L$4*('CALCULO MORTERO'!I648^2)+'BLAZE SHIELD II'!$L$5*'CALCULO MORTERO'!I648+'BLAZE SHIELD II'!$L$6)*LN(J648))+('BLAZE SHIELD II'!$L$7*('CALCULO MORTERO'!I648^2)+'BLAZE SHIELD II'!$L$8*'CALCULO MORTERO'!I648+'BLAZE SHIELD II'!$L$9)),0)+IF(AND(L648="Blaze Shield II",M648="Software Idiem",C648="L"),((('BLAZE SHIELD II'!$L$4*('CALCULO MORTERO'!I648^2)+'BLAZE SHIELD II'!$L$5*'CALCULO MORTERO'!I648+'BLAZE SHIELD II'!$L$6)*LN(J648))+('BLAZE SHIELD II'!$L$7*('CALCULO MORTERO'!I648^2)+'BLAZE SHIELD II'!$L$8*'CALCULO MORTERO'!I648+'BLAZE SHIELD II'!$L$9)),0)+IF(AND(L648="Blaze Shield II",M648="Software Idiem",C648="IN",G648=3),((('BLAZE SHIELD II'!$H$14*('CALCULO MORTERO'!I648^2)+'BLAZE SHIELD II'!$H$15*'CALCULO MORTERO'!I648+'BLAZE SHIELD II'!$H$16)*LN(J648))+('BLAZE SHIELD II'!$H$17*('CALCULO MORTERO'!I648^2)+'BLAZE SHIELD II'!$H$18*'CALCULO MORTERO'!I648+'BLAZE SHIELD II'!$H$19)),0),0)+ROUND(IF(AND(L648="Cafco 400",M648="Software Idiem",C648="IN",G648=4),((('CAFCO 400 '!$H$7*(J648^4)+'CAFCO 400 '!$H$8*(J648^3)+'CAFCO 400 '!$H$9*(J648^2)+'CAFCO 400 '!$H$10*J648+'CAFCO 400 '!$H$11)*U648^2)+(('CAFCO 400 '!$H$12*(J648^3)+'CAFCO 400 '!$H$13*(J648^2)+'CAFCO 400 '!$H$14*J648+'CAFCO 400 '!$H$15)*U648)+('CAFCO 400 '!$H$16*(J648^2)+'CAFCO 400 '!$H$17*J648+'CAFCO 400 '!$H$18)),0)+IF(AND(L648="Cafco 400",M648="Software Idiem",C648="Cj"),(((('CAFCO 400 '!$D$7*LN(J648)+'CAFCO 400 '!$D$8)*U648^2)+(('CAFCO 400 '!$D$9*LN(J648)+'CAFCO 400 '!$D$10)*U648)+('CAFCO 400 '!$D$11*LN(J648)+'CAFCO 400 '!$D$12))),0)+IF(AND(L648="Cafco 400",M648="Software Idiem",C648="C"),((('CAFCO 400 '!$L$7*(J648^3)+'CAFCO 400 '!$L$8*(J648^2)+'CAFCO 400 '!$L$9*J648+'CAFCO 400 '!$L$10)*U648^2)+(('CAFCO 400 '!$L$11*(J648^3)+'CAFCO 400 '!$L$12*(J648^2)+'CAFCO 400 '!$L$13*J648+'CAFCO 400 '!$L$14)*U648)+('CAFCO 400 '!$L$15*LN(J648)+'CAFCO 400 '!$L$16)),0)+IF(AND(L648="Cafco 400",M648="Software Idiem",C648="L"),((('CAFCO 400 '!$L$7*(J648^3)+'CAFCO 400 '!$L$8*(J648^2)+'CAFCO 400 '!$L$9*J648+'CAFCO 400 '!$L$10)*U648^2)+(('CAFCO 400 '!$L$11*(J648^3)+'CAFCO 400 '!$L$12*(J648^2)+'CAFCO 400 '!$L$13*J648+'CAFCO 400 '!$L$14)*U648)+('CAFCO 400 '!$L$15*LN(J648)+'CAFCO 400 '!$L$16)),0)+IF(AND(L648="Cafco 400",M648="Software Idiem",C648="IN",G648=3),((('CAFCO 400 '!$D$23*(J648^2)+'CAFCO 400 '!$D$24*(J648)+'CAFCO 400 '!$D$25)*U648^2)+(('CAFCO 400 '!$D$26*(J648^2)+'CAFCO 400 '!$D$27*J648+'CAFCO 400 '!$D$28)*U648)+('CAFCO 400 '!$D$29*(J648^2)+'CAFCO 400 '!$D$30*J648+'CAFCO 400 '!$D$31)),0),0)+IF(AND(L648="Cafco 300",J648&gt;=95,J648&lt;=240,C648="Cj",I648=90),VLOOKUP(T648,'CAFCO 300 IDIEM TABLAS'!$B$4:$D$23,2,FALSE),0)+IF(AND(L648="Cafco 300",J648&gt;=95,J648&lt;=240,C648="Cj",I648=120),VLOOKUP(T648,'CAFCO 300 IDIEM TABLAS'!$B$4:$D$23,3,FALSE),0)+IF(AND(L648="Cafco 300",J648&gt;=95,J648&lt;=400,G648=3,C648="IN",I648=90),VLOOKUP(T648,'CAFCO 300 IDIEM TABLAS'!$F$4:$H$35,2,FALSE),0)+IF(AND(L648="Cafco 300",J648&gt;=95,J648&lt;=400,G648=3,C648="IN",I648=120),VLOOKUP(T648,'CAFCO 300 IDIEM TABLAS'!$F$4:$H$35,3,FALSE),0)+IF(AND(L648="Cafco 300",J648&gt;=95,J648&lt;=450,G648=4,C648="IN",I648=90),VLOOKUP(T648,'CAFCO 300 IDIEM TABLAS'!$J$4:$L$40,2,FALSE),0)+IF(AND(L648="Cafco 300",J648&gt;=95,J648&lt;=450,G648=4,C648="IN",I648=120),VLOOKUP(T648,'CAFCO 300 IDIEM TABLAS'!$J$4:$L$40,3,FALSE),0)+IF(AND(M648="Ensayo Idiem",L648="Cafco 400",C648="IN",G648=4,I648=90),VLOOKUP(T648,'CAFCO 400 ENSAYO'!$B$7:$D$43,2,FALSE),0)+IF(AND(M648="Ensayo Idiem",L648="Cafco 400",C648="IN",G648=4,I648=120),VLOOKUP(T648,'CAFCO 400 ENSAYO'!$B$7:$D$43,3,FALSE),0)</f>
        <v>0</v>
      </c>
      <c r="O648" s="96">
        <f t="shared" si="66"/>
        <v>0</v>
      </c>
      <c r="P648" s="95" t="str">
        <f t="shared" si="67"/>
        <v>N/A</v>
      </c>
      <c r="Q648" s="95" t="str">
        <f t="shared" si="68"/>
        <v>N/A</v>
      </c>
      <c r="R648" s="95" t="str">
        <f t="shared" si="69"/>
        <v>NO CERT.</v>
      </c>
      <c r="S648" s="95" t="e">
        <f t="shared" si="70"/>
        <v>#N/A</v>
      </c>
      <c r="T648" s="119" t="e">
        <f>+IF(J648=LOOKUP(J648,'CAFCO 300 IDIEM TABLAS'!$J$4:$J$40),'CALCULO MORTERO'!J648,MROUND('CALCULO MORTERO'!J648,10))</f>
        <v>#N/A</v>
      </c>
      <c r="U648" s="118">
        <f t="shared" si="71"/>
        <v>0</v>
      </c>
    </row>
    <row r="649" spans="1:21" x14ac:dyDescent="0.25">
      <c r="A649" s="118">
        <f>+CUBICACION!D643</f>
        <v>0</v>
      </c>
      <c r="B649" s="819">
        <f>+CUBICACION!E643</f>
        <v>0</v>
      </c>
      <c r="C649" s="675">
        <f>+CUBICACION!F643</f>
        <v>0</v>
      </c>
      <c r="D649" s="118"/>
      <c r="E649" s="118"/>
      <c r="F649" s="820"/>
      <c r="G649" s="675">
        <f>+CUBICACION!J643</f>
        <v>0</v>
      </c>
      <c r="H649" s="118"/>
      <c r="I649" s="821">
        <f>+CUBICACION!L643</f>
        <v>0</v>
      </c>
      <c r="J649" s="64">
        <f>+CUBICACION!M643</f>
        <v>0</v>
      </c>
      <c r="K649" s="822" t="str">
        <f>+CUBICACION!N643</f>
        <v/>
      </c>
      <c r="L649" s="118">
        <f>+CUBICACION!O643</f>
        <v>0</v>
      </c>
      <c r="M649" s="823">
        <f>+CUBICACION!P643</f>
        <v>0</v>
      </c>
      <c r="N649" s="902">
        <f>ROUND(IF(AND(L649="Blaze Shield II",M649="Software Idiem",C649="IN",G649=4),((('BLAZE SHIELD II'!$D$4*('CALCULO MORTERO'!I649^2)+'BLAZE SHIELD II'!$D$5*'CALCULO MORTERO'!I649+'BLAZE SHIELD II'!$D$6)*LN(J649))+('BLAZE SHIELD II'!$D$7*('CALCULO MORTERO'!I649^2)+'BLAZE SHIELD II'!$D$8*'CALCULO MORTERO'!I649+'BLAZE SHIELD II'!$D$9)),0)+IF(AND(L649="Blaze Shield II",M649="Software Idiem",C649="Cj"),((('BLAZE SHIELD II'!$H$4*('CALCULO MORTERO'!I649^2)+'BLAZE SHIELD II'!$H$5*'CALCULO MORTERO'!I649+'BLAZE SHIELD II'!$H$6)*LN(J649))+('BLAZE SHIELD II'!$H$7*('CALCULO MORTERO'!I649^2)+'BLAZE SHIELD II'!$H$8*'CALCULO MORTERO'!I649+'BLAZE SHIELD II'!$H$9)),0)+IF(AND(L649="Blaze Shield II",M649="Software Idiem",C649="C"),((('BLAZE SHIELD II'!$L$4*('CALCULO MORTERO'!I649^2)+'BLAZE SHIELD II'!$L$5*'CALCULO MORTERO'!I649+'BLAZE SHIELD II'!$L$6)*LN(J649))+('BLAZE SHIELD II'!$L$7*('CALCULO MORTERO'!I649^2)+'BLAZE SHIELD II'!$L$8*'CALCULO MORTERO'!I649+'BLAZE SHIELD II'!$L$9)),0)+IF(AND(L649="Blaze Shield II",M649="Software Idiem",C649="L"),((('BLAZE SHIELD II'!$L$4*('CALCULO MORTERO'!I649^2)+'BLAZE SHIELD II'!$L$5*'CALCULO MORTERO'!I649+'BLAZE SHIELD II'!$L$6)*LN(J649))+('BLAZE SHIELD II'!$L$7*('CALCULO MORTERO'!I649^2)+'BLAZE SHIELD II'!$L$8*'CALCULO MORTERO'!I649+'BLAZE SHIELD II'!$L$9)),0)+IF(AND(L649="Blaze Shield II",M649="Software Idiem",C649="IN",G649=3),((('BLAZE SHIELD II'!$H$14*('CALCULO MORTERO'!I649^2)+'BLAZE SHIELD II'!$H$15*'CALCULO MORTERO'!I649+'BLAZE SHIELD II'!$H$16)*LN(J649))+('BLAZE SHIELD II'!$H$17*('CALCULO MORTERO'!I649^2)+'BLAZE SHIELD II'!$H$18*'CALCULO MORTERO'!I649+'BLAZE SHIELD II'!$H$19)),0),0)+ROUND(IF(AND(L649="Cafco 400",M649="Software Idiem",C649="IN",G649=4),((('CAFCO 400 '!$H$7*(J649^4)+'CAFCO 400 '!$H$8*(J649^3)+'CAFCO 400 '!$H$9*(J649^2)+'CAFCO 400 '!$H$10*J649+'CAFCO 400 '!$H$11)*U649^2)+(('CAFCO 400 '!$H$12*(J649^3)+'CAFCO 400 '!$H$13*(J649^2)+'CAFCO 400 '!$H$14*J649+'CAFCO 400 '!$H$15)*U649)+('CAFCO 400 '!$H$16*(J649^2)+'CAFCO 400 '!$H$17*J649+'CAFCO 400 '!$H$18)),0)+IF(AND(L649="Cafco 400",M649="Software Idiem",C649="Cj"),(((('CAFCO 400 '!$D$7*LN(J649)+'CAFCO 400 '!$D$8)*U649^2)+(('CAFCO 400 '!$D$9*LN(J649)+'CAFCO 400 '!$D$10)*U649)+('CAFCO 400 '!$D$11*LN(J649)+'CAFCO 400 '!$D$12))),0)+IF(AND(L649="Cafco 400",M649="Software Idiem",C649="C"),((('CAFCO 400 '!$L$7*(J649^3)+'CAFCO 400 '!$L$8*(J649^2)+'CAFCO 400 '!$L$9*J649+'CAFCO 400 '!$L$10)*U649^2)+(('CAFCO 400 '!$L$11*(J649^3)+'CAFCO 400 '!$L$12*(J649^2)+'CAFCO 400 '!$L$13*J649+'CAFCO 400 '!$L$14)*U649)+('CAFCO 400 '!$L$15*LN(J649)+'CAFCO 400 '!$L$16)),0)+IF(AND(L649="Cafco 400",M649="Software Idiem",C649="L"),((('CAFCO 400 '!$L$7*(J649^3)+'CAFCO 400 '!$L$8*(J649^2)+'CAFCO 400 '!$L$9*J649+'CAFCO 400 '!$L$10)*U649^2)+(('CAFCO 400 '!$L$11*(J649^3)+'CAFCO 400 '!$L$12*(J649^2)+'CAFCO 400 '!$L$13*J649+'CAFCO 400 '!$L$14)*U649)+('CAFCO 400 '!$L$15*LN(J649)+'CAFCO 400 '!$L$16)),0)+IF(AND(L649="Cafco 400",M649="Software Idiem",C649="IN",G649=3),((('CAFCO 400 '!$D$23*(J649^2)+'CAFCO 400 '!$D$24*(J649)+'CAFCO 400 '!$D$25)*U649^2)+(('CAFCO 400 '!$D$26*(J649^2)+'CAFCO 400 '!$D$27*J649+'CAFCO 400 '!$D$28)*U649)+('CAFCO 400 '!$D$29*(J649^2)+'CAFCO 400 '!$D$30*J649+'CAFCO 400 '!$D$31)),0),0)+IF(AND(L649="Cafco 300",J649&gt;=95,J649&lt;=240,C649="Cj",I649=90),VLOOKUP(T649,'CAFCO 300 IDIEM TABLAS'!$B$4:$D$23,2,FALSE),0)+IF(AND(L649="Cafco 300",J649&gt;=95,J649&lt;=240,C649="Cj",I649=120),VLOOKUP(T649,'CAFCO 300 IDIEM TABLAS'!$B$4:$D$23,3,FALSE),0)+IF(AND(L649="Cafco 300",J649&gt;=95,J649&lt;=400,G649=3,C649="IN",I649=90),VLOOKUP(T649,'CAFCO 300 IDIEM TABLAS'!$F$4:$H$35,2,FALSE),0)+IF(AND(L649="Cafco 300",J649&gt;=95,J649&lt;=400,G649=3,C649="IN",I649=120),VLOOKUP(T649,'CAFCO 300 IDIEM TABLAS'!$F$4:$H$35,3,FALSE),0)+IF(AND(L649="Cafco 300",J649&gt;=95,J649&lt;=450,G649=4,C649="IN",I649=90),VLOOKUP(T649,'CAFCO 300 IDIEM TABLAS'!$J$4:$L$40,2,FALSE),0)+IF(AND(L649="Cafco 300",J649&gt;=95,J649&lt;=450,G649=4,C649="IN",I649=120),VLOOKUP(T649,'CAFCO 300 IDIEM TABLAS'!$J$4:$L$40,3,FALSE),0)+IF(AND(M649="Ensayo Idiem",L649="Cafco 400",C649="IN",G649=4,I649=90),VLOOKUP(T649,'CAFCO 400 ENSAYO'!$B$7:$D$43,2,FALSE),0)+IF(AND(M649="Ensayo Idiem",L649="Cafco 400",C649="IN",G649=4,I649=120),VLOOKUP(T649,'CAFCO 400 ENSAYO'!$B$7:$D$43,3,FALSE),0)</f>
        <v>0</v>
      </c>
      <c r="O649" s="96">
        <f t="shared" si="66"/>
        <v>0</v>
      </c>
      <c r="P649" s="132" t="str">
        <f t="shared" si="67"/>
        <v>N/A</v>
      </c>
      <c r="Q649" s="132" t="str">
        <f t="shared" si="68"/>
        <v>N/A</v>
      </c>
      <c r="R649" s="132" t="str">
        <f t="shared" si="69"/>
        <v>NO CERT.</v>
      </c>
      <c r="S649" s="132" t="e">
        <f t="shared" si="70"/>
        <v>#N/A</v>
      </c>
      <c r="T649" s="133" t="e">
        <f>+IF(J649=LOOKUP(J649,'CAFCO 300 IDIEM TABLAS'!$J$4:$J$40),'CALCULO MORTERO'!J649,MROUND('CALCULO MORTERO'!J649,10))</f>
        <v>#N/A</v>
      </c>
      <c r="U649" s="134">
        <f t="shared" si="71"/>
        <v>0</v>
      </c>
    </row>
    <row r="650" spans="1:21" x14ac:dyDescent="0.25">
      <c r="A650" s="118">
        <f>+CUBICACION!D644</f>
        <v>0</v>
      </c>
      <c r="B650" s="819">
        <f>+CUBICACION!E644</f>
        <v>0</v>
      </c>
      <c r="C650" s="675">
        <f>+CUBICACION!F644</f>
        <v>0</v>
      </c>
      <c r="D650" s="118"/>
      <c r="E650" s="118"/>
      <c r="F650" s="820"/>
      <c r="G650" s="675">
        <f>+CUBICACION!J644</f>
        <v>0</v>
      </c>
      <c r="H650" s="118"/>
      <c r="I650" s="821">
        <f>+CUBICACION!L644</f>
        <v>0</v>
      </c>
      <c r="J650" s="64">
        <f>+CUBICACION!M644</f>
        <v>0</v>
      </c>
      <c r="K650" s="822" t="str">
        <f>+CUBICACION!N644</f>
        <v/>
      </c>
      <c r="L650" s="118">
        <f>+CUBICACION!O644</f>
        <v>0</v>
      </c>
      <c r="M650" s="823">
        <f>+CUBICACION!P644</f>
        <v>0</v>
      </c>
      <c r="N650" s="902">
        <f>ROUND(IF(AND(L650="Blaze Shield II",M650="Software Idiem",C650="IN",G650=4),((('BLAZE SHIELD II'!$D$4*('CALCULO MORTERO'!I650^2)+'BLAZE SHIELD II'!$D$5*'CALCULO MORTERO'!I650+'BLAZE SHIELD II'!$D$6)*LN(J650))+('BLAZE SHIELD II'!$D$7*('CALCULO MORTERO'!I650^2)+'BLAZE SHIELD II'!$D$8*'CALCULO MORTERO'!I650+'BLAZE SHIELD II'!$D$9)),0)+IF(AND(L650="Blaze Shield II",M650="Software Idiem",C650="Cj"),((('BLAZE SHIELD II'!$H$4*('CALCULO MORTERO'!I650^2)+'BLAZE SHIELD II'!$H$5*'CALCULO MORTERO'!I650+'BLAZE SHIELD II'!$H$6)*LN(J650))+('BLAZE SHIELD II'!$H$7*('CALCULO MORTERO'!I650^2)+'BLAZE SHIELD II'!$H$8*'CALCULO MORTERO'!I650+'BLAZE SHIELD II'!$H$9)),0)+IF(AND(L650="Blaze Shield II",M650="Software Idiem",C650="C"),((('BLAZE SHIELD II'!$L$4*('CALCULO MORTERO'!I650^2)+'BLAZE SHIELD II'!$L$5*'CALCULO MORTERO'!I650+'BLAZE SHIELD II'!$L$6)*LN(J650))+('BLAZE SHIELD II'!$L$7*('CALCULO MORTERO'!I650^2)+'BLAZE SHIELD II'!$L$8*'CALCULO MORTERO'!I650+'BLAZE SHIELD II'!$L$9)),0)+IF(AND(L650="Blaze Shield II",M650="Software Idiem",C650="L"),((('BLAZE SHIELD II'!$L$4*('CALCULO MORTERO'!I650^2)+'BLAZE SHIELD II'!$L$5*'CALCULO MORTERO'!I650+'BLAZE SHIELD II'!$L$6)*LN(J650))+('BLAZE SHIELD II'!$L$7*('CALCULO MORTERO'!I650^2)+'BLAZE SHIELD II'!$L$8*'CALCULO MORTERO'!I650+'BLAZE SHIELD II'!$L$9)),0)+IF(AND(L650="Blaze Shield II",M650="Software Idiem",C650="IN",G650=3),((('BLAZE SHIELD II'!$H$14*('CALCULO MORTERO'!I650^2)+'BLAZE SHIELD II'!$H$15*'CALCULO MORTERO'!I650+'BLAZE SHIELD II'!$H$16)*LN(J650))+('BLAZE SHIELD II'!$H$17*('CALCULO MORTERO'!I650^2)+'BLAZE SHIELD II'!$H$18*'CALCULO MORTERO'!I650+'BLAZE SHIELD II'!$H$19)),0),0)+ROUND(IF(AND(L650="Cafco 400",M650="Software Idiem",C650="IN",G650=4),((('CAFCO 400 '!$H$7*(J650^4)+'CAFCO 400 '!$H$8*(J650^3)+'CAFCO 400 '!$H$9*(J650^2)+'CAFCO 400 '!$H$10*J650+'CAFCO 400 '!$H$11)*U650^2)+(('CAFCO 400 '!$H$12*(J650^3)+'CAFCO 400 '!$H$13*(J650^2)+'CAFCO 400 '!$H$14*J650+'CAFCO 400 '!$H$15)*U650)+('CAFCO 400 '!$H$16*(J650^2)+'CAFCO 400 '!$H$17*J650+'CAFCO 400 '!$H$18)),0)+IF(AND(L650="Cafco 400",M650="Software Idiem",C650="Cj"),(((('CAFCO 400 '!$D$7*LN(J650)+'CAFCO 400 '!$D$8)*U650^2)+(('CAFCO 400 '!$D$9*LN(J650)+'CAFCO 400 '!$D$10)*U650)+('CAFCO 400 '!$D$11*LN(J650)+'CAFCO 400 '!$D$12))),0)+IF(AND(L650="Cafco 400",M650="Software Idiem",C650="C"),((('CAFCO 400 '!$L$7*(J650^3)+'CAFCO 400 '!$L$8*(J650^2)+'CAFCO 400 '!$L$9*J650+'CAFCO 400 '!$L$10)*U650^2)+(('CAFCO 400 '!$L$11*(J650^3)+'CAFCO 400 '!$L$12*(J650^2)+'CAFCO 400 '!$L$13*J650+'CAFCO 400 '!$L$14)*U650)+('CAFCO 400 '!$L$15*LN(J650)+'CAFCO 400 '!$L$16)),0)+IF(AND(L650="Cafco 400",M650="Software Idiem",C650="L"),((('CAFCO 400 '!$L$7*(J650^3)+'CAFCO 400 '!$L$8*(J650^2)+'CAFCO 400 '!$L$9*J650+'CAFCO 400 '!$L$10)*U650^2)+(('CAFCO 400 '!$L$11*(J650^3)+'CAFCO 400 '!$L$12*(J650^2)+'CAFCO 400 '!$L$13*J650+'CAFCO 400 '!$L$14)*U650)+('CAFCO 400 '!$L$15*LN(J650)+'CAFCO 400 '!$L$16)),0)+IF(AND(L650="Cafco 400",M650="Software Idiem",C650="IN",G650=3),((('CAFCO 400 '!$D$23*(J650^2)+'CAFCO 400 '!$D$24*(J650)+'CAFCO 400 '!$D$25)*U650^2)+(('CAFCO 400 '!$D$26*(J650^2)+'CAFCO 400 '!$D$27*J650+'CAFCO 400 '!$D$28)*U650)+('CAFCO 400 '!$D$29*(J650^2)+'CAFCO 400 '!$D$30*J650+'CAFCO 400 '!$D$31)),0),0)+IF(AND(L650="Cafco 300",J650&gt;=95,J650&lt;=240,C650="Cj",I650=90),VLOOKUP(T650,'CAFCO 300 IDIEM TABLAS'!$B$4:$D$23,2,FALSE),0)+IF(AND(L650="Cafco 300",J650&gt;=95,J650&lt;=240,C650="Cj",I650=120),VLOOKUP(T650,'CAFCO 300 IDIEM TABLAS'!$B$4:$D$23,3,FALSE),0)+IF(AND(L650="Cafco 300",J650&gt;=95,J650&lt;=400,G650=3,C650="IN",I650=90),VLOOKUP(T650,'CAFCO 300 IDIEM TABLAS'!$F$4:$H$35,2,FALSE),0)+IF(AND(L650="Cafco 300",J650&gt;=95,J650&lt;=400,G650=3,C650="IN",I650=120),VLOOKUP(T650,'CAFCO 300 IDIEM TABLAS'!$F$4:$H$35,3,FALSE),0)+IF(AND(L650="Cafco 300",J650&gt;=95,J650&lt;=450,G650=4,C650="IN",I650=90),VLOOKUP(T650,'CAFCO 300 IDIEM TABLAS'!$J$4:$L$40,2,FALSE),0)+IF(AND(L650="Cafco 300",J650&gt;=95,J650&lt;=450,G650=4,C650="IN",I650=120),VLOOKUP(T650,'CAFCO 300 IDIEM TABLAS'!$J$4:$L$40,3,FALSE),0)+IF(AND(M650="Ensayo Idiem",L650="Cafco 400",C650="IN",G650=4,I650=90),VLOOKUP(T650,'CAFCO 400 ENSAYO'!$B$7:$D$43,2,FALSE),0)+IF(AND(M650="Ensayo Idiem",L650="Cafco 400",C650="IN",G650=4,I650=120),VLOOKUP(T650,'CAFCO 400 ENSAYO'!$B$7:$D$43,3,FALSE),0)</f>
        <v>0</v>
      </c>
      <c r="O650" s="96">
        <f t="shared" si="66"/>
        <v>0</v>
      </c>
      <c r="P650" s="95" t="str">
        <f t="shared" si="67"/>
        <v>N/A</v>
      </c>
      <c r="Q650" s="95" t="str">
        <f t="shared" si="68"/>
        <v>N/A</v>
      </c>
      <c r="R650" s="95" t="str">
        <f t="shared" si="69"/>
        <v>NO CERT.</v>
      </c>
      <c r="S650" s="95" t="e">
        <f t="shared" si="70"/>
        <v>#N/A</v>
      </c>
      <c r="T650" s="119" t="e">
        <f>+IF(J650=LOOKUP(J650,'CAFCO 300 IDIEM TABLAS'!$J$4:$J$40),'CALCULO MORTERO'!J650,MROUND('CALCULO MORTERO'!J650,10))</f>
        <v>#N/A</v>
      </c>
      <c r="U650" s="118">
        <f t="shared" si="71"/>
        <v>0</v>
      </c>
    </row>
    <row r="651" spans="1:21" x14ac:dyDescent="0.25">
      <c r="A651" s="118">
        <f>+CUBICACION!D645</f>
        <v>0</v>
      </c>
      <c r="B651" s="819">
        <f>+CUBICACION!E645</f>
        <v>0</v>
      </c>
      <c r="C651" s="675">
        <f>+CUBICACION!F645</f>
        <v>0</v>
      </c>
      <c r="D651" s="118"/>
      <c r="E651" s="118"/>
      <c r="F651" s="820"/>
      <c r="G651" s="675">
        <f>+CUBICACION!J645</f>
        <v>0</v>
      </c>
      <c r="H651" s="118"/>
      <c r="I651" s="821">
        <f>+CUBICACION!L645</f>
        <v>0</v>
      </c>
      <c r="J651" s="64">
        <f>+CUBICACION!M645</f>
        <v>0</v>
      </c>
      <c r="K651" s="822" t="str">
        <f>+CUBICACION!N645</f>
        <v/>
      </c>
      <c r="L651" s="118">
        <f>+CUBICACION!O645</f>
        <v>0</v>
      </c>
      <c r="M651" s="823">
        <f>+CUBICACION!P645</f>
        <v>0</v>
      </c>
      <c r="N651" s="902">
        <f>ROUND(IF(AND(L651="Blaze Shield II",M651="Software Idiem",C651="IN",G651=4),((('BLAZE SHIELD II'!$D$4*('CALCULO MORTERO'!I651^2)+'BLAZE SHIELD II'!$D$5*'CALCULO MORTERO'!I651+'BLAZE SHIELD II'!$D$6)*LN(J651))+('BLAZE SHIELD II'!$D$7*('CALCULO MORTERO'!I651^2)+'BLAZE SHIELD II'!$D$8*'CALCULO MORTERO'!I651+'BLAZE SHIELD II'!$D$9)),0)+IF(AND(L651="Blaze Shield II",M651="Software Idiem",C651="Cj"),((('BLAZE SHIELD II'!$H$4*('CALCULO MORTERO'!I651^2)+'BLAZE SHIELD II'!$H$5*'CALCULO MORTERO'!I651+'BLAZE SHIELD II'!$H$6)*LN(J651))+('BLAZE SHIELD II'!$H$7*('CALCULO MORTERO'!I651^2)+'BLAZE SHIELD II'!$H$8*'CALCULO MORTERO'!I651+'BLAZE SHIELD II'!$H$9)),0)+IF(AND(L651="Blaze Shield II",M651="Software Idiem",C651="C"),((('BLAZE SHIELD II'!$L$4*('CALCULO MORTERO'!I651^2)+'BLAZE SHIELD II'!$L$5*'CALCULO MORTERO'!I651+'BLAZE SHIELD II'!$L$6)*LN(J651))+('BLAZE SHIELD II'!$L$7*('CALCULO MORTERO'!I651^2)+'BLAZE SHIELD II'!$L$8*'CALCULO MORTERO'!I651+'BLAZE SHIELD II'!$L$9)),0)+IF(AND(L651="Blaze Shield II",M651="Software Idiem",C651="L"),((('BLAZE SHIELD II'!$L$4*('CALCULO MORTERO'!I651^2)+'BLAZE SHIELD II'!$L$5*'CALCULO MORTERO'!I651+'BLAZE SHIELD II'!$L$6)*LN(J651))+('BLAZE SHIELD II'!$L$7*('CALCULO MORTERO'!I651^2)+'BLAZE SHIELD II'!$L$8*'CALCULO MORTERO'!I651+'BLAZE SHIELD II'!$L$9)),0)+IF(AND(L651="Blaze Shield II",M651="Software Idiem",C651="IN",G651=3),((('BLAZE SHIELD II'!$H$14*('CALCULO MORTERO'!I651^2)+'BLAZE SHIELD II'!$H$15*'CALCULO MORTERO'!I651+'BLAZE SHIELD II'!$H$16)*LN(J651))+('BLAZE SHIELD II'!$H$17*('CALCULO MORTERO'!I651^2)+'BLAZE SHIELD II'!$H$18*'CALCULO MORTERO'!I651+'BLAZE SHIELD II'!$H$19)),0),0)+ROUND(IF(AND(L651="Cafco 400",M651="Software Idiem",C651="IN",G651=4),((('CAFCO 400 '!$H$7*(J651^4)+'CAFCO 400 '!$H$8*(J651^3)+'CAFCO 400 '!$H$9*(J651^2)+'CAFCO 400 '!$H$10*J651+'CAFCO 400 '!$H$11)*U651^2)+(('CAFCO 400 '!$H$12*(J651^3)+'CAFCO 400 '!$H$13*(J651^2)+'CAFCO 400 '!$H$14*J651+'CAFCO 400 '!$H$15)*U651)+('CAFCO 400 '!$H$16*(J651^2)+'CAFCO 400 '!$H$17*J651+'CAFCO 400 '!$H$18)),0)+IF(AND(L651="Cafco 400",M651="Software Idiem",C651="Cj"),(((('CAFCO 400 '!$D$7*LN(J651)+'CAFCO 400 '!$D$8)*U651^2)+(('CAFCO 400 '!$D$9*LN(J651)+'CAFCO 400 '!$D$10)*U651)+('CAFCO 400 '!$D$11*LN(J651)+'CAFCO 400 '!$D$12))),0)+IF(AND(L651="Cafco 400",M651="Software Idiem",C651="C"),((('CAFCO 400 '!$L$7*(J651^3)+'CAFCO 400 '!$L$8*(J651^2)+'CAFCO 400 '!$L$9*J651+'CAFCO 400 '!$L$10)*U651^2)+(('CAFCO 400 '!$L$11*(J651^3)+'CAFCO 400 '!$L$12*(J651^2)+'CAFCO 400 '!$L$13*J651+'CAFCO 400 '!$L$14)*U651)+('CAFCO 400 '!$L$15*LN(J651)+'CAFCO 400 '!$L$16)),0)+IF(AND(L651="Cafco 400",M651="Software Idiem",C651="L"),((('CAFCO 400 '!$L$7*(J651^3)+'CAFCO 400 '!$L$8*(J651^2)+'CAFCO 400 '!$L$9*J651+'CAFCO 400 '!$L$10)*U651^2)+(('CAFCO 400 '!$L$11*(J651^3)+'CAFCO 400 '!$L$12*(J651^2)+'CAFCO 400 '!$L$13*J651+'CAFCO 400 '!$L$14)*U651)+('CAFCO 400 '!$L$15*LN(J651)+'CAFCO 400 '!$L$16)),0)+IF(AND(L651="Cafco 400",M651="Software Idiem",C651="IN",G651=3),((('CAFCO 400 '!$D$23*(J651^2)+'CAFCO 400 '!$D$24*(J651)+'CAFCO 400 '!$D$25)*U651^2)+(('CAFCO 400 '!$D$26*(J651^2)+'CAFCO 400 '!$D$27*J651+'CAFCO 400 '!$D$28)*U651)+('CAFCO 400 '!$D$29*(J651^2)+'CAFCO 400 '!$D$30*J651+'CAFCO 400 '!$D$31)),0),0)+IF(AND(L651="Cafco 300",J651&gt;=95,J651&lt;=240,C651="Cj",I651=90),VLOOKUP(T651,'CAFCO 300 IDIEM TABLAS'!$B$4:$D$23,2,FALSE),0)+IF(AND(L651="Cafco 300",J651&gt;=95,J651&lt;=240,C651="Cj",I651=120),VLOOKUP(T651,'CAFCO 300 IDIEM TABLAS'!$B$4:$D$23,3,FALSE),0)+IF(AND(L651="Cafco 300",J651&gt;=95,J651&lt;=400,G651=3,C651="IN",I651=90),VLOOKUP(T651,'CAFCO 300 IDIEM TABLAS'!$F$4:$H$35,2,FALSE),0)+IF(AND(L651="Cafco 300",J651&gt;=95,J651&lt;=400,G651=3,C651="IN",I651=120),VLOOKUP(T651,'CAFCO 300 IDIEM TABLAS'!$F$4:$H$35,3,FALSE),0)+IF(AND(L651="Cafco 300",J651&gt;=95,J651&lt;=450,G651=4,C651="IN",I651=90),VLOOKUP(T651,'CAFCO 300 IDIEM TABLAS'!$J$4:$L$40,2,FALSE),0)+IF(AND(L651="Cafco 300",J651&gt;=95,J651&lt;=450,G651=4,C651="IN",I651=120),VLOOKUP(T651,'CAFCO 300 IDIEM TABLAS'!$J$4:$L$40,3,FALSE),0)+IF(AND(M651="Ensayo Idiem",L651="Cafco 400",C651="IN",G651=4,I651=90),VLOOKUP(T651,'CAFCO 400 ENSAYO'!$B$7:$D$43,2,FALSE),0)+IF(AND(M651="Ensayo Idiem",L651="Cafco 400",C651="IN",G651=4,I651=120),VLOOKUP(T651,'CAFCO 400 ENSAYO'!$B$7:$D$43,3,FALSE),0)</f>
        <v>0</v>
      </c>
      <c r="O651" s="96">
        <f t="shared" ref="O651:O714" si="72">((IF(L651="Blaze Shield II",((K651*N651*0.43)/38),IF(L651="Cafco 400",((K651*N651*0.43)/23),IF(L651="Cafco 300",((K651*N651*0.43)/31.16),0)))))</f>
        <v>0</v>
      </c>
      <c r="P651" s="132" t="str">
        <f t="shared" si="67"/>
        <v>N/A</v>
      </c>
      <c r="Q651" s="132" t="str">
        <f t="shared" si="68"/>
        <v>N/A</v>
      </c>
      <c r="R651" s="132" t="str">
        <f t="shared" si="69"/>
        <v>NO CERT.</v>
      </c>
      <c r="S651" s="132" t="e">
        <f t="shared" si="70"/>
        <v>#N/A</v>
      </c>
      <c r="T651" s="133" t="e">
        <f>+IF(J651=LOOKUP(J651,'CAFCO 300 IDIEM TABLAS'!$J$4:$J$40),'CALCULO MORTERO'!J651,MROUND('CALCULO MORTERO'!J651,10))</f>
        <v>#N/A</v>
      </c>
      <c r="U651" s="134">
        <f t="shared" si="71"/>
        <v>0</v>
      </c>
    </row>
    <row r="652" spans="1:21" x14ac:dyDescent="0.25">
      <c r="A652" s="118">
        <f>+CUBICACION!D646</f>
        <v>0</v>
      </c>
      <c r="B652" s="819">
        <f>+CUBICACION!E646</f>
        <v>0</v>
      </c>
      <c r="C652" s="675">
        <f>+CUBICACION!F646</f>
        <v>0</v>
      </c>
      <c r="D652" s="118"/>
      <c r="E652" s="118"/>
      <c r="F652" s="820"/>
      <c r="G652" s="675">
        <f>+CUBICACION!J646</f>
        <v>0</v>
      </c>
      <c r="H652" s="118"/>
      <c r="I652" s="821">
        <f>+CUBICACION!L646</f>
        <v>0</v>
      </c>
      <c r="J652" s="64">
        <f>+CUBICACION!M646</f>
        <v>0</v>
      </c>
      <c r="K652" s="822" t="str">
        <f>+CUBICACION!N646</f>
        <v/>
      </c>
      <c r="L652" s="118">
        <f>+CUBICACION!O646</f>
        <v>0</v>
      </c>
      <c r="M652" s="823">
        <f>+CUBICACION!P646</f>
        <v>0</v>
      </c>
      <c r="N652" s="902">
        <f>ROUND(IF(AND(L652="Blaze Shield II",M652="Software Idiem",C652="IN",G652=4),((('BLAZE SHIELD II'!$D$4*('CALCULO MORTERO'!I652^2)+'BLAZE SHIELD II'!$D$5*'CALCULO MORTERO'!I652+'BLAZE SHIELD II'!$D$6)*LN(J652))+('BLAZE SHIELD II'!$D$7*('CALCULO MORTERO'!I652^2)+'BLAZE SHIELD II'!$D$8*'CALCULO MORTERO'!I652+'BLAZE SHIELD II'!$D$9)),0)+IF(AND(L652="Blaze Shield II",M652="Software Idiem",C652="Cj"),((('BLAZE SHIELD II'!$H$4*('CALCULO MORTERO'!I652^2)+'BLAZE SHIELD II'!$H$5*'CALCULO MORTERO'!I652+'BLAZE SHIELD II'!$H$6)*LN(J652))+('BLAZE SHIELD II'!$H$7*('CALCULO MORTERO'!I652^2)+'BLAZE SHIELD II'!$H$8*'CALCULO MORTERO'!I652+'BLAZE SHIELD II'!$H$9)),0)+IF(AND(L652="Blaze Shield II",M652="Software Idiem",C652="C"),((('BLAZE SHIELD II'!$L$4*('CALCULO MORTERO'!I652^2)+'BLAZE SHIELD II'!$L$5*'CALCULO MORTERO'!I652+'BLAZE SHIELD II'!$L$6)*LN(J652))+('BLAZE SHIELD II'!$L$7*('CALCULO MORTERO'!I652^2)+'BLAZE SHIELD II'!$L$8*'CALCULO MORTERO'!I652+'BLAZE SHIELD II'!$L$9)),0)+IF(AND(L652="Blaze Shield II",M652="Software Idiem",C652="L"),((('BLAZE SHIELD II'!$L$4*('CALCULO MORTERO'!I652^2)+'BLAZE SHIELD II'!$L$5*'CALCULO MORTERO'!I652+'BLAZE SHIELD II'!$L$6)*LN(J652))+('BLAZE SHIELD II'!$L$7*('CALCULO MORTERO'!I652^2)+'BLAZE SHIELD II'!$L$8*'CALCULO MORTERO'!I652+'BLAZE SHIELD II'!$L$9)),0)+IF(AND(L652="Blaze Shield II",M652="Software Idiem",C652="IN",G652=3),((('BLAZE SHIELD II'!$H$14*('CALCULO MORTERO'!I652^2)+'BLAZE SHIELD II'!$H$15*'CALCULO MORTERO'!I652+'BLAZE SHIELD II'!$H$16)*LN(J652))+('BLAZE SHIELD II'!$H$17*('CALCULO MORTERO'!I652^2)+'BLAZE SHIELD II'!$H$18*'CALCULO MORTERO'!I652+'BLAZE SHIELD II'!$H$19)),0),0)+ROUND(IF(AND(L652="Cafco 400",M652="Software Idiem",C652="IN",G652=4),((('CAFCO 400 '!$H$7*(J652^4)+'CAFCO 400 '!$H$8*(J652^3)+'CAFCO 400 '!$H$9*(J652^2)+'CAFCO 400 '!$H$10*J652+'CAFCO 400 '!$H$11)*U652^2)+(('CAFCO 400 '!$H$12*(J652^3)+'CAFCO 400 '!$H$13*(J652^2)+'CAFCO 400 '!$H$14*J652+'CAFCO 400 '!$H$15)*U652)+('CAFCO 400 '!$H$16*(J652^2)+'CAFCO 400 '!$H$17*J652+'CAFCO 400 '!$H$18)),0)+IF(AND(L652="Cafco 400",M652="Software Idiem",C652="Cj"),(((('CAFCO 400 '!$D$7*LN(J652)+'CAFCO 400 '!$D$8)*U652^2)+(('CAFCO 400 '!$D$9*LN(J652)+'CAFCO 400 '!$D$10)*U652)+('CAFCO 400 '!$D$11*LN(J652)+'CAFCO 400 '!$D$12))),0)+IF(AND(L652="Cafco 400",M652="Software Idiem",C652="C"),((('CAFCO 400 '!$L$7*(J652^3)+'CAFCO 400 '!$L$8*(J652^2)+'CAFCO 400 '!$L$9*J652+'CAFCO 400 '!$L$10)*U652^2)+(('CAFCO 400 '!$L$11*(J652^3)+'CAFCO 400 '!$L$12*(J652^2)+'CAFCO 400 '!$L$13*J652+'CAFCO 400 '!$L$14)*U652)+('CAFCO 400 '!$L$15*LN(J652)+'CAFCO 400 '!$L$16)),0)+IF(AND(L652="Cafco 400",M652="Software Idiem",C652="L"),((('CAFCO 400 '!$L$7*(J652^3)+'CAFCO 400 '!$L$8*(J652^2)+'CAFCO 400 '!$L$9*J652+'CAFCO 400 '!$L$10)*U652^2)+(('CAFCO 400 '!$L$11*(J652^3)+'CAFCO 400 '!$L$12*(J652^2)+'CAFCO 400 '!$L$13*J652+'CAFCO 400 '!$L$14)*U652)+('CAFCO 400 '!$L$15*LN(J652)+'CAFCO 400 '!$L$16)),0)+IF(AND(L652="Cafco 400",M652="Software Idiem",C652="IN",G652=3),((('CAFCO 400 '!$D$23*(J652^2)+'CAFCO 400 '!$D$24*(J652)+'CAFCO 400 '!$D$25)*U652^2)+(('CAFCO 400 '!$D$26*(J652^2)+'CAFCO 400 '!$D$27*J652+'CAFCO 400 '!$D$28)*U652)+('CAFCO 400 '!$D$29*(J652^2)+'CAFCO 400 '!$D$30*J652+'CAFCO 400 '!$D$31)),0),0)+IF(AND(L652="Cafco 300",J652&gt;=95,J652&lt;=240,C652="Cj",I652=90),VLOOKUP(T652,'CAFCO 300 IDIEM TABLAS'!$B$4:$D$23,2,FALSE),0)+IF(AND(L652="Cafco 300",J652&gt;=95,J652&lt;=240,C652="Cj",I652=120),VLOOKUP(T652,'CAFCO 300 IDIEM TABLAS'!$B$4:$D$23,3,FALSE),0)+IF(AND(L652="Cafco 300",J652&gt;=95,J652&lt;=400,G652=3,C652="IN",I652=90),VLOOKUP(T652,'CAFCO 300 IDIEM TABLAS'!$F$4:$H$35,2,FALSE),0)+IF(AND(L652="Cafco 300",J652&gt;=95,J652&lt;=400,G652=3,C652="IN",I652=120),VLOOKUP(T652,'CAFCO 300 IDIEM TABLAS'!$F$4:$H$35,3,FALSE),0)+IF(AND(L652="Cafco 300",J652&gt;=95,J652&lt;=450,G652=4,C652="IN",I652=90),VLOOKUP(T652,'CAFCO 300 IDIEM TABLAS'!$J$4:$L$40,2,FALSE),0)+IF(AND(L652="Cafco 300",J652&gt;=95,J652&lt;=450,G652=4,C652="IN",I652=120),VLOOKUP(T652,'CAFCO 300 IDIEM TABLAS'!$J$4:$L$40,3,FALSE),0)+IF(AND(M652="Ensayo Idiem",L652="Cafco 400",C652="IN",G652=4,I652=90),VLOOKUP(T652,'CAFCO 400 ENSAYO'!$B$7:$D$43,2,FALSE),0)+IF(AND(M652="Ensayo Idiem",L652="Cafco 400",C652="IN",G652=4,I652=120),VLOOKUP(T652,'CAFCO 400 ENSAYO'!$B$7:$D$43,3,FALSE),0)</f>
        <v>0</v>
      </c>
      <c r="O652" s="96">
        <f t="shared" si="72"/>
        <v>0</v>
      </c>
      <c r="P652" s="95" t="str">
        <f t="shared" si="67"/>
        <v>N/A</v>
      </c>
      <c r="Q652" s="95" t="str">
        <f t="shared" si="68"/>
        <v>N/A</v>
      </c>
      <c r="R652" s="95" t="str">
        <f t="shared" si="69"/>
        <v>NO CERT.</v>
      </c>
      <c r="S652" s="95" t="e">
        <f t="shared" si="70"/>
        <v>#N/A</v>
      </c>
      <c r="T652" s="119" t="e">
        <f>+IF(J652=LOOKUP(J652,'CAFCO 300 IDIEM TABLAS'!$J$4:$J$40),'CALCULO MORTERO'!J652,MROUND('CALCULO MORTERO'!J652,10))</f>
        <v>#N/A</v>
      </c>
      <c r="U652" s="118">
        <f t="shared" si="71"/>
        <v>0</v>
      </c>
    </row>
    <row r="653" spans="1:21" x14ac:dyDescent="0.25">
      <c r="A653" s="118">
        <f>+CUBICACION!D647</f>
        <v>0</v>
      </c>
      <c r="B653" s="819">
        <f>+CUBICACION!E647</f>
        <v>0</v>
      </c>
      <c r="C653" s="675">
        <f>+CUBICACION!F647</f>
        <v>0</v>
      </c>
      <c r="D653" s="118"/>
      <c r="E653" s="118"/>
      <c r="F653" s="820"/>
      <c r="G653" s="675">
        <f>+CUBICACION!J647</f>
        <v>0</v>
      </c>
      <c r="H653" s="118"/>
      <c r="I653" s="821">
        <f>+CUBICACION!L647</f>
        <v>0</v>
      </c>
      <c r="J653" s="64">
        <f>+CUBICACION!M647</f>
        <v>0</v>
      </c>
      <c r="K653" s="822" t="str">
        <f>+CUBICACION!N647</f>
        <v/>
      </c>
      <c r="L653" s="118">
        <f>+CUBICACION!O647</f>
        <v>0</v>
      </c>
      <c r="M653" s="823">
        <f>+CUBICACION!P647</f>
        <v>0</v>
      </c>
      <c r="N653" s="902">
        <f>ROUND(IF(AND(L653="Blaze Shield II",M653="Software Idiem",C653="IN",G653=4),((('BLAZE SHIELD II'!$D$4*('CALCULO MORTERO'!I653^2)+'BLAZE SHIELD II'!$D$5*'CALCULO MORTERO'!I653+'BLAZE SHIELD II'!$D$6)*LN(J653))+('BLAZE SHIELD II'!$D$7*('CALCULO MORTERO'!I653^2)+'BLAZE SHIELD II'!$D$8*'CALCULO MORTERO'!I653+'BLAZE SHIELD II'!$D$9)),0)+IF(AND(L653="Blaze Shield II",M653="Software Idiem",C653="Cj"),((('BLAZE SHIELD II'!$H$4*('CALCULO MORTERO'!I653^2)+'BLAZE SHIELD II'!$H$5*'CALCULO MORTERO'!I653+'BLAZE SHIELD II'!$H$6)*LN(J653))+('BLAZE SHIELD II'!$H$7*('CALCULO MORTERO'!I653^2)+'BLAZE SHIELD II'!$H$8*'CALCULO MORTERO'!I653+'BLAZE SHIELD II'!$H$9)),0)+IF(AND(L653="Blaze Shield II",M653="Software Idiem",C653="C"),((('BLAZE SHIELD II'!$L$4*('CALCULO MORTERO'!I653^2)+'BLAZE SHIELD II'!$L$5*'CALCULO MORTERO'!I653+'BLAZE SHIELD II'!$L$6)*LN(J653))+('BLAZE SHIELD II'!$L$7*('CALCULO MORTERO'!I653^2)+'BLAZE SHIELD II'!$L$8*'CALCULO MORTERO'!I653+'BLAZE SHIELD II'!$L$9)),0)+IF(AND(L653="Blaze Shield II",M653="Software Idiem",C653="L"),((('BLAZE SHIELD II'!$L$4*('CALCULO MORTERO'!I653^2)+'BLAZE SHIELD II'!$L$5*'CALCULO MORTERO'!I653+'BLAZE SHIELD II'!$L$6)*LN(J653))+('BLAZE SHIELD II'!$L$7*('CALCULO MORTERO'!I653^2)+'BLAZE SHIELD II'!$L$8*'CALCULO MORTERO'!I653+'BLAZE SHIELD II'!$L$9)),0)+IF(AND(L653="Blaze Shield II",M653="Software Idiem",C653="IN",G653=3),((('BLAZE SHIELD II'!$H$14*('CALCULO MORTERO'!I653^2)+'BLAZE SHIELD II'!$H$15*'CALCULO MORTERO'!I653+'BLAZE SHIELD II'!$H$16)*LN(J653))+('BLAZE SHIELD II'!$H$17*('CALCULO MORTERO'!I653^2)+'BLAZE SHIELD II'!$H$18*'CALCULO MORTERO'!I653+'BLAZE SHIELD II'!$H$19)),0),0)+ROUND(IF(AND(L653="Cafco 400",M653="Software Idiem",C653="IN",G653=4),((('CAFCO 400 '!$H$7*(J653^4)+'CAFCO 400 '!$H$8*(J653^3)+'CAFCO 400 '!$H$9*(J653^2)+'CAFCO 400 '!$H$10*J653+'CAFCO 400 '!$H$11)*U653^2)+(('CAFCO 400 '!$H$12*(J653^3)+'CAFCO 400 '!$H$13*(J653^2)+'CAFCO 400 '!$H$14*J653+'CAFCO 400 '!$H$15)*U653)+('CAFCO 400 '!$H$16*(J653^2)+'CAFCO 400 '!$H$17*J653+'CAFCO 400 '!$H$18)),0)+IF(AND(L653="Cafco 400",M653="Software Idiem",C653="Cj"),(((('CAFCO 400 '!$D$7*LN(J653)+'CAFCO 400 '!$D$8)*U653^2)+(('CAFCO 400 '!$D$9*LN(J653)+'CAFCO 400 '!$D$10)*U653)+('CAFCO 400 '!$D$11*LN(J653)+'CAFCO 400 '!$D$12))),0)+IF(AND(L653="Cafco 400",M653="Software Idiem",C653="C"),((('CAFCO 400 '!$L$7*(J653^3)+'CAFCO 400 '!$L$8*(J653^2)+'CAFCO 400 '!$L$9*J653+'CAFCO 400 '!$L$10)*U653^2)+(('CAFCO 400 '!$L$11*(J653^3)+'CAFCO 400 '!$L$12*(J653^2)+'CAFCO 400 '!$L$13*J653+'CAFCO 400 '!$L$14)*U653)+('CAFCO 400 '!$L$15*LN(J653)+'CAFCO 400 '!$L$16)),0)+IF(AND(L653="Cafco 400",M653="Software Idiem",C653="L"),((('CAFCO 400 '!$L$7*(J653^3)+'CAFCO 400 '!$L$8*(J653^2)+'CAFCO 400 '!$L$9*J653+'CAFCO 400 '!$L$10)*U653^2)+(('CAFCO 400 '!$L$11*(J653^3)+'CAFCO 400 '!$L$12*(J653^2)+'CAFCO 400 '!$L$13*J653+'CAFCO 400 '!$L$14)*U653)+('CAFCO 400 '!$L$15*LN(J653)+'CAFCO 400 '!$L$16)),0)+IF(AND(L653="Cafco 400",M653="Software Idiem",C653="IN",G653=3),((('CAFCO 400 '!$D$23*(J653^2)+'CAFCO 400 '!$D$24*(J653)+'CAFCO 400 '!$D$25)*U653^2)+(('CAFCO 400 '!$D$26*(J653^2)+'CAFCO 400 '!$D$27*J653+'CAFCO 400 '!$D$28)*U653)+('CAFCO 400 '!$D$29*(J653^2)+'CAFCO 400 '!$D$30*J653+'CAFCO 400 '!$D$31)),0),0)+IF(AND(L653="Cafco 300",J653&gt;=95,J653&lt;=240,C653="Cj",I653=90),VLOOKUP(T653,'CAFCO 300 IDIEM TABLAS'!$B$4:$D$23,2,FALSE),0)+IF(AND(L653="Cafco 300",J653&gt;=95,J653&lt;=240,C653="Cj",I653=120),VLOOKUP(T653,'CAFCO 300 IDIEM TABLAS'!$B$4:$D$23,3,FALSE),0)+IF(AND(L653="Cafco 300",J653&gt;=95,J653&lt;=400,G653=3,C653="IN",I653=90),VLOOKUP(T653,'CAFCO 300 IDIEM TABLAS'!$F$4:$H$35,2,FALSE),0)+IF(AND(L653="Cafco 300",J653&gt;=95,J653&lt;=400,G653=3,C653="IN",I653=120),VLOOKUP(T653,'CAFCO 300 IDIEM TABLAS'!$F$4:$H$35,3,FALSE),0)+IF(AND(L653="Cafco 300",J653&gt;=95,J653&lt;=450,G653=4,C653="IN",I653=90),VLOOKUP(T653,'CAFCO 300 IDIEM TABLAS'!$J$4:$L$40,2,FALSE),0)+IF(AND(L653="Cafco 300",J653&gt;=95,J653&lt;=450,G653=4,C653="IN",I653=120),VLOOKUP(T653,'CAFCO 300 IDIEM TABLAS'!$J$4:$L$40,3,FALSE),0)+IF(AND(M653="Ensayo Idiem",L653="Cafco 400",C653="IN",G653=4,I653=90),VLOOKUP(T653,'CAFCO 400 ENSAYO'!$B$7:$D$43,2,FALSE),0)+IF(AND(M653="Ensayo Idiem",L653="Cafco 400",C653="IN",G653=4,I653=120),VLOOKUP(T653,'CAFCO 400 ENSAYO'!$B$7:$D$43,3,FALSE),0)</f>
        <v>0</v>
      </c>
      <c r="O653" s="96">
        <f t="shared" si="72"/>
        <v>0</v>
      </c>
      <c r="P653" s="132" t="str">
        <f t="shared" si="67"/>
        <v>N/A</v>
      </c>
      <c r="Q653" s="132" t="str">
        <f t="shared" si="68"/>
        <v>N/A</v>
      </c>
      <c r="R653" s="132" t="str">
        <f t="shared" si="69"/>
        <v>NO CERT.</v>
      </c>
      <c r="S653" s="132" t="e">
        <f t="shared" si="70"/>
        <v>#N/A</v>
      </c>
      <c r="T653" s="133" t="e">
        <f>+IF(J653=LOOKUP(J653,'CAFCO 300 IDIEM TABLAS'!$J$4:$J$40),'CALCULO MORTERO'!J653,MROUND('CALCULO MORTERO'!J653,10))</f>
        <v>#N/A</v>
      </c>
      <c r="U653" s="134">
        <f t="shared" si="71"/>
        <v>0</v>
      </c>
    </row>
    <row r="654" spans="1:21" x14ac:dyDescent="0.25">
      <c r="A654" s="118">
        <f>+CUBICACION!D648</f>
        <v>0</v>
      </c>
      <c r="B654" s="819">
        <f>+CUBICACION!E648</f>
        <v>0</v>
      </c>
      <c r="C654" s="675">
        <f>+CUBICACION!F648</f>
        <v>0</v>
      </c>
      <c r="D654" s="118"/>
      <c r="E654" s="118"/>
      <c r="F654" s="820"/>
      <c r="G654" s="675">
        <f>+CUBICACION!J648</f>
        <v>0</v>
      </c>
      <c r="H654" s="118"/>
      <c r="I654" s="821">
        <f>+CUBICACION!L648</f>
        <v>0</v>
      </c>
      <c r="J654" s="64">
        <f>+CUBICACION!M648</f>
        <v>0</v>
      </c>
      <c r="K654" s="822" t="str">
        <f>+CUBICACION!N648</f>
        <v/>
      </c>
      <c r="L654" s="118">
        <f>+CUBICACION!O648</f>
        <v>0</v>
      </c>
      <c r="M654" s="823">
        <f>+CUBICACION!P648</f>
        <v>0</v>
      </c>
      <c r="N654" s="902">
        <f>ROUND(IF(AND(L654="Blaze Shield II",M654="Software Idiem",C654="IN",G654=4),((('BLAZE SHIELD II'!$D$4*('CALCULO MORTERO'!I654^2)+'BLAZE SHIELD II'!$D$5*'CALCULO MORTERO'!I654+'BLAZE SHIELD II'!$D$6)*LN(J654))+('BLAZE SHIELD II'!$D$7*('CALCULO MORTERO'!I654^2)+'BLAZE SHIELD II'!$D$8*'CALCULO MORTERO'!I654+'BLAZE SHIELD II'!$D$9)),0)+IF(AND(L654="Blaze Shield II",M654="Software Idiem",C654="Cj"),((('BLAZE SHIELD II'!$H$4*('CALCULO MORTERO'!I654^2)+'BLAZE SHIELD II'!$H$5*'CALCULO MORTERO'!I654+'BLAZE SHIELD II'!$H$6)*LN(J654))+('BLAZE SHIELD II'!$H$7*('CALCULO MORTERO'!I654^2)+'BLAZE SHIELD II'!$H$8*'CALCULO MORTERO'!I654+'BLAZE SHIELD II'!$H$9)),0)+IF(AND(L654="Blaze Shield II",M654="Software Idiem",C654="C"),((('BLAZE SHIELD II'!$L$4*('CALCULO MORTERO'!I654^2)+'BLAZE SHIELD II'!$L$5*'CALCULO MORTERO'!I654+'BLAZE SHIELD II'!$L$6)*LN(J654))+('BLAZE SHIELD II'!$L$7*('CALCULO MORTERO'!I654^2)+'BLAZE SHIELD II'!$L$8*'CALCULO MORTERO'!I654+'BLAZE SHIELD II'!$L$9)),0)+IF(AND(L654="Blaze Shield II",M654="Software Idiem",C654="L"),((('BLAZE SHIELD II'!$L$4*('CALCULO MORTERO'!I654^2)+'BLAZE SHIELD II'!$L$5*'CALCULO MORTERO'!I654+'BLAZE SHIELD II'!$L$6)*LN(J654))+('BLAZE SHIELD II'!$L$7*('CALCULO MORTERO'!I654^2)+'BLAZE SHIELD II'!$L$8*'CALCULO MORTERO'!I654+'BLAZE SHIELD II'!$L$9)),0)+IF(AND(L654="Blaze Shield II",M654="Software Idiem",C654="IN",G654=3),((('BLAZE SHIELD II'!$H$14*('CALCULO MORTERO'!I654^2)+'BLAZE SHIELD II'!$H$15*'CALCULO MORTERO'!I654+'BLAZE SHIELD II'!$H$16)*LN(J654))+('BLAZE SHIELD II'!$H$17*('CALCULO MORTERO'!I654^2)+'BLAZE SHIELD II'!$H$18*'CALCULO MORTERO'!I654+'BLAZE SHIELD II'!$H$19)),0),0)+ROUND(IF(AND(L654="Cafco 400",M654="Software Idiem",C654="IN",G654=4),((('CAFCO 400 '!$H$7*(J654^4)+'CAFCO 400 '!$H$8*(J654^3)+'CAFCO 400 '!$H$9*(J654^2)+'CAFCO 400 '!$H$10*J654+'CAFCO 400 '!$H$11)*U654^2)+(('CAFCO 400 '!$H$12*(J654^3)+'CAFCO 400 '!$H$13*(J654^2)+'CAFCO 400 '!$H$14*J654+'CAFCO 400 '!$H$15)*U654)+('CAFCO 400 '!$H$16*(J654^2)+'CAFCO 400 '!$H$17*J654+'CAFCO 400 '!$H$18)),0)+IF(AND(L654="Cafco 400",M654="Software Idiem",C654="Cj"),(((('CAFCO 400 '!$D$7*LN(J654)+'CAFCO 400 '!$D$8)*U654^2)+(('CAFCO 400 '!$D$9*LN(J654)+'CAFCO 400 '!$D$10)*U654)+('CAFCO 400 '!$D$11*LN(J654)+'CAFCO 400 '!$D$12))),0)+IF(AND(L654="Cafco 400",M654="Software Idiem",C654="C"),((('CAFCO 400 '!$L$7*(J654^3)+'CAFCO 400 '!$L$8*(J654^2)+'CAFCO 400 '!$L$9*J654+'CAFCO 400 '!$L$10)*U654^2)+(('CAFCO 400 '!$L$11*(J654^3)+'CAFCO 400 '!$L$12*(J654^2)+'CAFCO 400 '!$L$13*J654+'CAFCO 400 '!$L$14)*U654)+('CAFCO 400 '!$L$15*LN(J654)+'CAFCO 400 '!$L$16)),0)+IF(AND(L654="Cafco 400",M654="Software Idiem",C654="L"),((('CAFCO 400 '!$L$7*(J654^3)+'CAFCO 400 '!$L$8*(J654^2)+'CAFCO 400 '!$L$9*J654+'CAFCO 400 '!$L$10)*U654^2)+(('CAFCO 400 '!$L$11*(J654^3)+'CAFCO 400 '!$L$12*(J654^2)+'CAFCO 400 '!$L$13*J654+'CAFCO 400 '!$L$14)*U654)+('CAFCO 400 '!$L$15*LN(J654)+'CAFCO 400 '!$L$16)),0)+IF(AND(L654="Cafco 400",M654="Software Idiem",C654="IN",G654=3),((('CAFCO 400 '!$D$23*(J654^2)+'CAFCO 400 '!$D$24*(J654)+'CAFCO 400 '!$D$25)*U654^2)+(('CAFCO 400 '!$D$26*(J654^2)+'CAFCO 400 '!$D$27*J654+'CAFCO 400 '!$D$28)*U654)+('CAFCO 400 '!$D$29*(J654^2)+'CAFCO 400 '!$D$30*J654+'CAFCO 400 '!$D$31)),0),0)+IF(AND(L654="Cafco 300",J654&gt;=95,J654&lt;=240,C654="Cj",I654=90),VLOOKUP(T654,'CAFCO 300 IDIEM TABLAS'!$B$4:$D$23,2,FALSE),0)+IF(AND(L654="Cafco 300",J654&gt;=95,J654&lt;=240,C654="Cj",I654=120),VLOOKUP(T654,'CAFCO 300 IDIEM TABLAS'!$B$4:$D$23,3,FALSE),0)+IF(AND(L654="Cafco 300",J654&gt;=95,J654&lt;=400,G654=3,C654="IN",I654=90),VLOOKUP(T654,'CAFCO 300 IDIEM TABLAS'!$F$4:$H$35,2,FALSE),0)+IF(AND(L654="Cafco 300",J654&gt;=95,J654&lt;=400,G654=3,C654="IN",I654=120),VLOOKUP(T654,'CAFCO 300 IDIEM TABLAS'!$F$4:$H$35,3,FALSE),0)+IF(AND(L654="Cafco 300",J654&gt;=95,J654&lt;=450,G654=4,C654="IN",I654=90),VLOOKUP(T654,'CAFCO 300 IDIEM TABLAS'!$J$4:$L$40,2,FALSE),0)+IF(AND(L654="Cafco 300",J654&gt;=95,J654&lt;=450,G654=4,C654="IN",I654=120),VLOOKUP(T654,'CAFCO 300 IDIEM TABLAS'!$J$4:$L$40,3,FALSE),0)+IF(AND(M654="Ensayo Idiem",L654="Cafco 400",C654="IN",G654=4,I654=90),VLOOKUP(T654,'CAFCO 400 ENSAYO'!$B$7:$D$43,2,FALSE),0)+IF(AND(M654="Ensayo Idiem",L654="Cafco 400",C654="IN",G654=4,I654=120),VLOOKUP(T654,'CAFCO 400 ENSAYO'!$B$7:$D$43,3,FALSE),0)</f>
        <v>0</v>
      </c>
      <c r="O654" s="96">
        <f t="shared" si="72"/>
        <v>0</v>
      </c>
      <c r="P654" s="95" t="str">
        <f t="shared" si="67"/>
        <v>N/A</v>
      </c>
      <c r="Q654" s="95" t="str">
        <f t="shared" si="68"/>
        <v>N/A</v>
      </c>
      <c r="R654" s="95" t="str">
        <f t="shared" si="69"/>
        <v>NO CERT.</v>
      </c>
      <c r="S654" s="95" t="e">
        <f t="shared" si="70"/>
        <v>#N/A</v>
      </c>
      <c r="T654" s="119" t="e">
        <f>+IF(J654=LOOKUP(J654,'CAFCO 300 IDIEM TABLAS'!$J$4:$J$40),'CALCULO MORTERO'!J654,MROUND('CALCULO MORTERO'!J654,10))</f>
        <v>#N/A</v>
      </c>
      <c r="U654" s="118">
        <f t="shared" si="71"/>
        <v>0</v>
      </c>
    </row>
    <row r="655" spans="1:21" x14ac:dyDescent="0.25">
      <c r="A655" s="118">
        <f>+CUBICACION!D649</f>
        <v>0</v>
      </c>
      <c r="B655" s="819">
        <f>+CUBICACION!E649</f>
        <v>0</v>
      </c>
      <c r="C655" s="675">
        <f>+CUBICACION!F649</f>
        <v>0</v>
      </c>
      <c r="D655" s="118"/>
      <c r="E655" s="118"/>
      <c r="F655" s="820"/>
      <c r="G655" s="675">
        <f>+CUBICACION!J649</f>
        <v>0</v>
      </c>
      <c r="H655" s="118"/>
      <c r="I655" s="821">
        <f>+CUBICACION!L649</f>
        <v>0</v>
      </c>
      <c r="J655" s="64">
        <f>+CUBICACION!M649</f>
        <v>0</v>
      </c>
      <c r="K655" s="822" t="str">
        <f>+CUBICACION!N649</f>
        <v/>
      </c>
      <c r="L655" s="118">
        <f>+CUBICACION!O649</f>
        <v>0</v>
      </c>
      <c r="M655" s="823">
        <f>+CUBICACION!P649</f>
        <v>0</v>
      </c>
      <c r="N655" s="902">
        <f>ROUND(IF(AND(L655="Blaze Shield II",M655="Software Idiem",C655="IN",G655=4),((('BLAZE SHIELD II'!$D$4*('CALCULO MORTERO'!I655^2)+'BLAZE SHIELD II'!$D$5*'CALCULO MORTERO'!I655+'BLAZE SHIELD II'!$D$6)*LN(J655))+('BLAZE SHIELD II'!$D$7*('CALCULO MORTERO'!I655^2)+'BLAZE SHIELD II'!$D$8*'CALCULO MORTERO'!I655+'BLAZE SHIELD II'!$D$9)),0)+IF(AND(L655="Blaze Shield II",M655="Software Idiem",C655="Cj"),((('BLAZE SHIELD II'!$H$4*('CALCULO MORTERO'!I655^2)+'BLAZE SHIELD II'!$H$5*'CALCULO MORTERO'!I655+'BLAZE SHIELD II'!$H$6)*LN(J655))+('BLAZE SHIELD II'!$H$7*('CALCULO MORTERO'!I655^2)+'BLAZE SHIELD II'!$H$8*'CALCULO MORTERO'!I655+'BLAZE SHIELD II'!$H$9)),0)+IF(AND(L655="Blaze Shield II",M655="Software Idiem",C655="C"),((('BLAZE SHIELD II'!$L$4*('CALCULO MORTERO'!I655^2)+'BLAZE SHIELD II'!$L$5*'CALCULO MORTERO'!I655+'BLAZE SHIELD II'!$L$6)*LN(J655))+('BLAZE SHIELD II'!$L$7*('CALCULO MORTERO'!I655^2)+'BLAZE SHIELD II'!$L$8*'CALCULO MORTERO'!I655+'BLAZE SHIELD II'!$L$9)),0)+IF(AND(L655="Blaze Shield II",M655="Software Idiem",C655="L"),((('BLAZE SHIELD II'!$L$4*('CALCULO MORTERO'!I655^2)+'BLAZE SHIELD II'!$L$5*'CALCULO MORTERO'!I655+'BLAZE SHIELD II'!$L$6)*LN(J655))+('BLAZE SHIELD II'!$L$7*('CALCULO MORTERO'!I655^2)+'BLAZE SHIELD II'!$L$8*'CALCULO MORTERO'!I655+'BLAZE SHIELD II'!$L$9)),0)+IF(AND(L655="Blaze Shield II",M655="Software Idiem",C655="IN",G655=3),((('BLAZE SHIELD II'!$H$14*('CALCULO MORTERO'!I655^2)+'BLAZE SHIELD II'!$H$15*'CALCULO MORTERO'!I655+'BLAZE SHIELD II'!$H$16)*LN(J655))+('BLAZE SHIELD II'!$H$17*('CALCULO MORTERO'!I655^2)+'BLAZE SHIELD II'!$H$18*'CALCULO MORTERO'!I655+'BLAZE SHIELD II'!$H$19)),0),0)+ROUND(IF(AND(L655="Cafco 400",M655="Software Idiem",C655="IN",G655=4),((('CAFCO 400 '!$H$7*(J655^4)+'CAFCO 400 '!$H$8*(J655^3)+'CAFCO 400 '!$H$9*(J655^2)+'CAFCO 400 '!$H$10*J655+'CAFCO 400 '!$H$11)*U655^2)+(('CAFCO 400 '!$H$12*(J655^3)+'CAFCO 400 '!$H$13*(J655^2)+'CAFCO 400 '!$H$14*J655+'CAFCO 400 '!$H$15)*U655)+('CAFCO 400 '!$H$16*(J655^2)+'CAFCO 400 '!$H$17*J655+'CAFCO 400 '!$H$18)),0)+IF(AND(L655="Cafco 400",M655="Software Idiem",C655="Cj"),(((('CAFCO 400 '!$D$7*LN(J655)+'CAFCO 400 '!$D$8)*U655^2)+(('CAFCO 400 '!$D$9*LN(J655)+'CAFCO 400 '!$D$10)*U655)+('CAFCO 400 '!$D$11*LN(J655)+'CAFCO 400 '!$D$12))),0)+IF(AND(L655="Cafco 400",M655="Software Idiem",C655="C"),((('CAFCO 400 '!$L$7*(J655^3)+'CAFCO 400 '!$L$8*(J655^2)+'CAFCO 400 '!$L$9*J655+'CAFCO 400 '!$L$10)*U655^2)+(('CAFCO 400 '!$L$11*(J655^3)+'CAFCO 400 '!$L$12*(J655^2)+'CAFCO 400 '!$L$13*J655+'CAFCO 400 '!$L$14)*U655)+('CAFCO 400 '!$L$15*LN(J655)+'CAFCO 400 '!$L$16)),0)+IF(AND(L655="Cafco 400",M655="Software Idiem",C655="L"),((('CAFCO 400 '!$L$7*(J655^3)+'CAFCO 400 '!$L$8*(J655^2)+'CAFCO 400 '!$L$9*J655+'CAFCO 400 '!$L$10)*U655^2)+(('CAFCO 400 '!$L$11*(J655^3)+'CAFCO 400 '!$L$12*(J655^2)+'CAFCO 400 '!$L$13*J655+'CAFCO 400 '!$L$14)*U655)+('CAFCO 400 '!$L$15*LN(J655)+'CAFCO 400 '!$L$16)),0)+IF(AND(L655="Cafco 400",M655="Software Idiem",C655="IN",G655=3),((('CAFCO 400 '!$D$23*(J655^2)+'CAFCO 400 '!$D$24*(J655)+'CAFCO 400 '!$D$25)*U655^2)+(('CAFCO 400 '!$D$26*(J655^2)+'CAFCO 400 '!$D$27*J655+'CAFCO 400 '!$D$28)*U655)+('CAFCO 400 '!$D$29*(J655^2)+'CAFCO 400 '!$D$30*J655+'CAFCO 400 '!$D$31)),0),0)+IF(AND(L655="Cafco 300",J655&gt;=95,J655&lt;=240,C655="Cj",I655=90),VLOOKUP(T655,'CAFCO 300 IDIEM TABLAS'!$B$4:$D$23,2,FALSE),0)+IF(AND(L655="Cafco 300",J655&gt;=95,J655&lt;=240,C655="Cj",I655=120),VLOOKUP(T655,'CAFCO 300 IDIEM TABLAS'!$B$4:$D$23,3,FALSE),0)+IF(AND(L655="Cafco 300",J655&gt;=95,J655&lt;=400,G655=3,C655="IN",I655=90),VLOOKUP(T655,'CAFCO 300 IDIEM TABLAS'!$F$4:$H$35,2,FALSE),0)+IF(AND(L655="Cafco 300",J655&gt;=95,J655&lt;=400,G655=3,C655="IN",I655=120),VLOOKUP(T655,'CAFCO 300 IDIEM TABLAS'!$F$4:$H$35,3,FALSE),0)+IF(AND(L655="Cafco 300",J655&gt;=95,J655&lt;=450,G655=4,C655="IN",I655=90),VLOOKUP(T655,'CAFCO 300 IDIEM TABLAS'!$J$4:$L$40,2,FALSE),0)+IF(AND(L655="Cafco 300",J655&gt;=95,J655&lt;=450,G655=4,C655="IN",I655=120),VLOOKUP(T655,'CAFCO 300 IDIEM TABLAS'!$J$4:$L$40,3,FALSE),0)+IF(AND(M655="Ensayo Idiem",L655="Cafco 400",C655="IN",G655=4,I655=90),VLOOKUP(T655,'CAFCO 400 ENSAYO'!$B$7:$D$43,2,FALSE),0)+IF(AND(M655="Ensayo Idiem",L655="Cafco 400",C655="IN",G655=4,I655=120),VLOOKUP(T655,'CAFCO 400 ENSAYO'!$B$7:$D$43,3,FALSE),0)</f>
        <v>0</v>
      </c>
      <c r="O655" s="96">
        <f t="shared" si="72"/>
        <v>0</v>
      </c>
      <c r="P655" s="132" t="str">
        <f t="shared" si="67"/>
        <v>N/A</v>
      </c>
      <c r="Q655" s="132" t="str">
        <f t="shared" si="68"/>
        <v>N/A</v>
      </c>
      <c r="R655" s="132" t="str">
        <f t="shared" si="69"/>
        <v>NO CERT.</v>
      </c>
      <c r="S655" s="132" t="e">
        <f t="shared" si="70"/>
        <v>#N/A</v>
      </c>
      <c r="T655" s="133" t="e">
        <f>+IF(J655=LOOKUP(J655,'CAFCO 300 IDIEM TABLAS'!$J$4:$J$40),'CALCULO MORTERO'!J655,MROUND('CALCULO MORTERO'!J655,10))</f>
        <v>#N/A</v>
      </c>
      <c r="U655" s="134">
        <f t="shared" si="71"/>
        <v>0</v>
      </c>
    </row>
    <row r="656" spans="1:21" x14ac:dyDescent="0.25">
      <c r="A656" s="118">
        <f>+CUBICACION!D650</f>
        <v>0</v>
      </c>
      <c r="B656" s="819">
        <f>+CUBICACION!E650</f>
        <v>0</v>
      </c>
      <c r="C656" s="675">
        <f>+CUBICACION!F650</f>
        <v>0</v>
      </c>
      <c r="D656" s="118"/>
      <c r="E656" s="118"/>
      <c r="F656" s="820"/>
      <c r="G656" s="675">
        <f>+CUBICACION!J650</f>
        <v>0</v>
      </c>
      <c r="H656" s="118"/>
      <c r="I656" s="821">
        <f>+CUBICACION!L650</f>
        <v>0</v>
      </c>
      <c r="J656" s="64">
        <f>+CUBICACION!M650</f>
        <v>0</v>
      </c>
      <c r="K656" s="822" t="str">
        <f>+CUBICACION!N650</f>
        <v/>
      </c>
      <c r="L656" s="118">
        <f>+CUBICACION!O650</f>
        <v>0</v>
      </c>
      <c r="M656" s="823">
        <f>+CUBICACION!P650</f>
        <v>0</v>
      </c>
      <c r="N656" s="902">
        <f>ROUND(IF(AND(L656="Blaze Shield II",M656="Software Idiem",C656="IN",G656=4),((('BLAZE SHIELD II'!$D$4*('CALCULO MORTERO'!I656^2)+'BLAZE SHIELD II'!$D$5*'CALCULO MORTERO'!I656+'BLAZE SHIELD II'!$D$6)*LN(J656))+('BLAZE SHIELD II'!$D$7*('CALCULO MORTERO'!I656^2)+'BLAZE SHIELD II'!$D$8*'CALCULO MORTERO'!I656+'BLAZE SHIELD II'!$D$9)),0)+IF(AND(L656="Blaze Shield II",M656="Software Idiem",C656="Cj"),((('BLAZE SHIELD II'!$H$4*('CALCULO MORTERO'!I656^2)+'BLAZE SHIELD II'!$H$5*'CALCULO MORTERO'!I656+'BLAZE SHIELD II'!$H$6)*LN(J656))+('BLAZE SHIELD II'!$H$7*('CALCULO MORTERO'!I656^2)+'BLAZE SHIELD II'!$H$8*'CALCULO MORTERO'!I656+'BLAZE SHIELD II'!$H$9)),0)+IF(AND(L656="Blaze Shield II",M656="Software Idiem",C656="C"),((('BLAZE SHIELD II'!$L$4*('CALCULO MORTERO'!I656^2)+'BLAZE SHIELD II'!$L$5*'CALCULO MORTERO'!I656+'BLAZE SHIELD II'!$L$6)*LN(J656))+('BLAZE SHIELD II'!$L$7*('CALCULO MORTERO'!I656^2)+'BLAZE SHIELD II'!$L$8*'CALCULO MORTERO'!I656+'BLAZE SHIELD II'!$L$9)),0)+IF(AND(L656="Blaze Shield II",M656="Software Idiem",C656="L"),((('BLAZE SHIELD II'!$L$4*('CALCULO MORTERO'!I656^2)+'BLAZE SHIELD II'!$L$5*'CALCULO MORTERO'!I656+'BLAZE SHIELD II'!$L$6)*LN(J656))+('BLAZE SHIELD II'!$L$7*('CALCULO MORTERO'!I656^2)+'BLAZE SHIELD II'!$L$8*'CALCULO MORTERO'!I656+'BLAZE SHIELD II'!$L$9)),0)+IF(AND(L656="Blaze Shield II",M656="Software Idiem",C656="IN",G656=3),((('BLAZE SHIELD II'!$H$14*('CALCULO MORTERO'!I656^2)+'BLAZE SHIELD II'!$H$15*'CALCULO MORTERO'!I656+'BLAZE SHIELD II'!$H$16)*LN(J656))+('BLAZE SHIELD II'!$H$17*('CALCULO MORTERO'!I656^2)+'BLAZE SHIELD II'!$H$18*'CALCULO MORTERO'!I656+'BLAZE SHIELD II'!$H$19)),0),0)+ROUND(IF(AND(L656="Cafco 400",M656="Software Idiem",C656="IN",G656=4),((('CAFCO 400 '!$H$7*(J656^4)+'CAFCO 400 '!$H$8*(J656^3)+'CAFCO 400 '!$H$9*(J656^2)+'CAFCO 400 '!$H$10*J656+'CAFCO 400 '!$H$11)*U656^2)+(('CAFCO 400 '!$H$12*(J656^3)+'CAFCO 400 '!$H$13*(J656^2)+'CAFCO 400 '!$H$14*J656+'CAFCO 400 '!$H$15)*U656)+('CAFCO 400 '!$H$16*(J656^2)+'CAFCO 400 '!$H$17*J656+'CAFCO 400 '!$H$18)),0)+IF(AND(L656="Cafco 400",M656="Software Idiem",C656="Cj"),(((('CAFCO 400 '!$D$7*LN(J656)+'CAFCO 400 '!$D$8)*U656^2)+(('CAFCO 400 '!$D$9*LN(J656)+'CAFCO 400 '!$D$10)*U656)+('CAFCO 400 '!$D$11*LN(J656)+'CAFCO 400 '!$D$12))),0)+IF(AND(L656="Cafco 400",M656="Software Idiem",C656="C"),((('CAFCO 400 '!$L$7*(J656^3)+'CAFCO 400 '!$L$8*(J656^2)+'CAFCO 400 '!$L$9*J656+'CAFCO 400 '!$L$10)*U656^2)+(('CAFCO 400 '!$L$11*(J656^3)+'CAFCO 400 '!$L$12*(J656^2)+'CAFCO 400 '!$L$13*J656+'CAFCO 400 '!$L$14)*U656)+('CAFCO 400 '!$L$15*LN(J656)+'CAFCO 400 '!$L$16)),0)+IF(AND(L656="Cafco 400",M656="Software Idiem",C656="L"),((('CAFCO 400 '!$L$7*(J656^3)+'CAFCO 400 '!$L$8*(J656^2)+'CAFCO 400 '!$L$9*J656+'CAFCO 400 '!$L$10)*U656^2)+(('CAFCO 400 '!$L$11*(J656^3)+'CAFCO 400 '!$L$12*(J656^2)+'CAFCO 400 '!$L$13*J656+'CAFCO 400 '!$L$14)*U656)+('CAFCO 400 '!$L$15*LN(J656)+'CAFCO 400 '!$L$16)),0)+IF(AND(L656="Cafco 400",M656="Software Idiem",C656="IN",G656=3),((('CAFCO 400 '!$D$23*(J656^2)+'CAFCO 400 '!$D$24*(J656)+'CAFCO 400 '!$D$25)*U656^2)+(('CAFCO 400 '!$D$26*(J656^2)+'CAFCO 400 '!$D$27*J656+'CAFCO 400 '!$D$28)*U656)+('CAFCO 400 '!$D$29*(J656^2)+'CAFCO 400 '!$D$30*J656+'CAFCO 400 '!$D$31)),0),0)+IF(AND(L656="Cafco 300",J656&gt;=95,J656&lt;=240,C656="Cj",I656=90),VLOOKUP(T656,'CAFCO 300 IDIEM TABLAS'!$B$4:$D$23,2,FALSE),0)+IF(AND(L656="Cafco 300",J656&gt;=95,J656&lt;=240,C656="Cj",I656=120),VLOOKUP(T656,'CAFCO 300 IDIEM TABLAS'!$B$4:$D$23,3,FALSE),0)+IF(AND(L656="Cafco 300",J656&gt;=95,J656&lt;=400,G656=3,C656="IN",I656=90),VLOOKUP(T656,'CAFCO 300 IDIEM TABLAS'!$F$4:$H$35,2,FALSE),0)+IF(AND(L656="Cafco 300",J656&gt;=95,J656&lt;=400,G656=3,C656="IN",I656=120),VLOOKUP(T656,'CAFCO 300 IDIEM TABLAS'!$F$4:$H$35,3,FALSE),0)+IF(AND(L656="Cafco 300",J656&gt;=95,J656&lt;=450,G656=4,C656="IN",I656=90),VLOOKUP(T656,'CAFCO 300 IDIEM TABLAS'!$J$4:$L$40,2,FALSE),0)+IF(AND(L656="Cafco 300",J656&gt;=95,J656&lt;=450,G656=4,C656="IN",I656=120),VLOOKUP(T656,'CAFCO 300 IDIEM TABLAS'!$J$4:$L$40,3,FALSE),0)+IF(AND(M656="Ensayo Idiem",L656="Cafco 400",C656="IN",G656=4,I656=90),VLOOKUP(T656,'CAFCO 400 ENSAYO'!$B$7:$D$43,2,FALSE),0)+IF(AND(M656="Ensayo Idiem",L656="Cafco 400",C656="IN",G656=4,I656=120),VLOOKUP(T656,'CAFCO 400 ENSAYO'!$B$7:$D$43,3,FALSE),0)</f>
        <v>0</v>
      </c>
      <c r="O656" s="96">
        <f t="shared" si="72"/>
        <v>0</v>
      </c>
      <c r="P656" s="95" t="str">
        <f t="shared" si="67"/>
        <v>N/A</v>
      </c>
      <c r="Q656" s="95" t="str">
        <f t="shared" si="68"/>
        <v>N/A</v>
      </c>
      <c r="R656" s="95" t="str">
        <f t="shared" si="69"/>
        <v>NO CERT.</v>
      </c>
      <c r="S656" s="95" t="e">
        <f t="shared" si="70"/>
        <v>#N/A</v>
      </c>
      <c r="T656" s="119" t="e">
        <f>+IF(J656=LOOKUP(J656,'CAFCO 300 IDIEM TABLAS'!$J$4:$J$40),'CALCULO MORTERO'!J656,MROUND('CALCULO MORTERO'!J656,10))</f>
        <v>#N/A</v>
      </c>
      <c r="U656" s="118">
        <f t="shared" si="71"/>
        <v>0</v>
      </c>
    </row>
    <row r="657" spans="1:21" x14ac:dyDescent="0.25">
      <c r="A657" s="118">
        <f>+CUBICACION!D651</f>
        <v>0</v>
      </c>
      <c r="B657" s="819">
        <f>+CUBICACION!E651</f>
        <v>0</v>
      </c>
      <c r="C657" s="675">
        <f>+CUBICACION!F651</f>
        <v>0</v>
      </c>
      <c r="D657" s="118"/>
      <c r="E657" s="118"/>
      <c r="F657" s="820"/>
      <c r="G657" s="675">
        <f>+CUBICACION!J651</f>
        <v>0</v>
      </c>
      <c r="H657" s="118"/>
      <c r="I657" s="821">
        <f>+CUBICACION!L651</f>
        <v>0</v>
      </c>
      <c r="J657" s="64">
        <f>+CUBICACION!M651</f>
        <v>0</v>
      </c>
      <c r="K657" s="822" t="str">
        <f>+CUBICACION!N651</f>
        <v/>
      </c>
      <c r="L657" s="118">
        <f>+CUBICACION!O651</f>
        <v>0</v>
      </c>
      <c r="M657" s="823">
        <f>+CUBICACION!P651</f>
        <v>0</v>
      </c>
      <c r="N657" s="902">
        <f>ROUND(IF(AND(L657="Blaze Shield II",M657="Software Idiem",C657="IN",G657=4),((('BLAZE SHIELD II'!$D$4*('CALCULO MORTERO'!I657^2)+'BLAZE SHIELD II'!$D$5*'CALCULO MORTERO'!I657+'BLAZE SHIELD II'!$D$6)*LN(J657))+('BLAZE SHIELD II'!$D$7*('CALCULO MORTERO'!I657^2)+'BLAZE SHIELD II'!$D$8*'CALCULO MORTERO'!I657+'BLAZE SHIELD II'!$D$9)),0)+IF(AND(L657="Blaze Shield II",M657="Software Idiem",C657="Cj"),((('BLAZE SHIELD II'!$H$4*('CALCULO MORTERO'!I657^2)+'BLAZE SHIELD II'!$H$5*'CALCULO MORTERO'!I657+'BLAZE SHIELD II'!$H$6)*LN(J657))+('BLAZE SHIELD II'!$H$7*('CALCULO MORTERO'!I657^2)+'BLAZE SHIELD II'!$H$8*'CALCULO MORTERO'!I657+'BLAZE SHIELD II'!$H$9)),0)+IF(AND(L657="Blaze Shield II",M657="Software Idiem",C657="C"),((('BLAZE SHIELD II'!$L$4*('CALCULO MORTERO'!I657^2)+'BLAZE SHIELD II'!$L$5*'CALCULO MORTERO'!I657+'BLAZE SHIELD II'!$L$6)*LN(J657))+('BLAZE SHIELD II'!$L$7*('CALCULO MORTERO'!I657^2)+'BLAZE SHIELD II'!$L$8*'CALCULO MORTERO'!I657+'BLAZE SHIELD II'!$L$9)),0)+IF(AND(L657="Blaze Shield II",M657="Software Idiem",C657="L"),((('BLAZE SHIELD II'!$L$4*('CALCULO MORTERO'!I657^2)+'BLAZE SHIELD II'!$L$5*'CALCULO MORTERO'!I657+'BLAZE SHIELD II'!$L$6)*LN(J657))+('BLAZE SHIELD II'!$L$7*('CALCULO MORTERO'!I657^2)+'BLAZE SHIELD II'!$L$8*'CALCULO MORTERO'!I657+'BLAZE SHIELD II'!$L$9)),0)+IF(AND(L657="Blaze Shield II",M657="Software Idiem",C657="IN",G657=3),((('BLAZE SHIELD II'!$H$14*('CALCULO MORTERO'!I657^2)+'BLAZE SHIELD II'!$H$15*'CALCULO MORTERO'!I657+'BLAZE SHIELD II'!$H$16)*LN(J657))+('BLAZE SHIELD II'!$H$17*('CALCULO MORTERO'!I657^2)+'BLAZE SHIELD II'!$H$18*'CALCULO MORTERO'!I657+'BLAZE SHIELD II'!$H$19)),0),0)+ROUND(IF(AND(L657="Cafco 400",M657="Software Idiem",C657="IN",G657=4),((('CAFCO 400 '!$H$7*(J657^4)+'CAFCO 400 '!$H$8*(J657^3)+'CAFCO 400 '!$H$9*(J657^2)+'CAFCO 400 '!$H$10*J657+'CAFCO 400 '!$H$11)*U657^2)+(('CAFCO 400 '!$H$12*(J657^3)+'CAFCO 400 '!$H$13*(J657^2)+'CAFCO 400 '!$H$14*J657+'CAFCO 400 '!$H$15)*U657)+('CAFCO 400 '!$H$16*(J657^2)+'CAFCO 400 '!$H$17*J657+'CAFCO 400 '!$H$18)),0)+IF(AND(L657="Cafco 400",M657="Software Idiem",C657="Cj"),(((('CAFCO 400 '!$D$7*LN(J657)+'CAFCO 400 '!$D$8)*U657^2)+(('CAFCO 400 '!$D$9*LN(J657)+'CAFCO 400 '!$D$10)*U657)+('CAFCO 400 '!$D$11*LN(J657)+'CAFCO 400 '!$D$12))),0)+IF(AND(L657="Cafco 400",M657="Software Idiem",C657="C"),((('CAFCO 400 '!$L$7*(J657^3)+'CAFCO 400 '!$L$8*(J657^2)+'CAFCO 400 '!$L$9*J657+'CAFCO 400 '!$L$10)*U657^2)+(('CAFCO 400 '!$L$11*(J657^3)+'CAFCO 400 '!$L$12*(J657^2)+'CAFCO 400 '!$L$13*J657+'CAFCO 400 '!$L$14)*U657)+('CAFCO 400 '!$L$15*LN(J657)+'CAFCO 400 '!$L$16)),0)+IF(AND(L657="Cafco 400",M657="Software Idiem",C657="L"),((('CAFCO 400 '!$L$7*(J657^3)+'CAFCO 400 '!$L$8*(J657^2)+'CAFCO 400 '!$L$9*J657+'CAFCO 400 '!$L$10)*U657^2)+(('CAFCO 400 '!$L$11*(J657^3)+'CAFCO 400 '!$L$12*(J657^2)+'CAFCO 400 '!$L$13*J657+'CAFCO 400 '!$L$14)*U657)+('CAFCO 400 '!$L$15*LN(J657)+'CAFCO 400 '!$L$16)),0)+IF(AND(L657="Cafco 400",M657="Software Idiem",C657="IN",G657=3),((('CAFCO 400 '!$D$23*(J657^2)+'CAFCO 400 '!$D$24*(J657)+'CAFCO 400 '!$D$25)*U657^2)+(('CAFCO 400 '!$D$26*(J657^2)+'CAFCO 400 '!$D$27*J657+'CAFCO 400 '!$D$28)*U657)+('CAFCO 400 '!$D$29*(J657^2)+'CAFCO 400 '!$D$30*J657+'CAFCO 400 '!$D$31)),0),0)+IF(AND(L657="Cafco 300",J657&gt;=95,J657&lt;=240,C657="Cj",I657=90),VLOOKUP(T657,'CAFCO 300 IDIEM TABLAS'!$B$4:$D$23,2,FALSE),0)+IF(AND(L657="Cafco 300",J657&gt;=95,J657&lt;=240,C657="Cj",I657=120),VLOOKUP(T657,'CAFCO 300 IDIEM TABLAS'!$B$4:$D$23,3,FALSE),0)+IF(AND(L657="Cafco 300",J657&gt;=95,J657&lt;=400,G657=3,C657="IN",I657=90),VLOOKUP(T657,'CAFCO 300 IDIEM TABLAS'!$F$4:$H$35,2,FALSE),0)+IF(AND(L657="Cafco 300",J657&gt;=95,J657&lt;=400,G657=3,C657="IN",I657=120),VLOOKUP(T657,'CAFCO 300 IDIEM TABLAS'!$F$4:$H$35,3,FALSE),0)+IF(AND(L657="Cafco 300",J657&gt;=95,J657&lt;=450,G657=4,C657="IN",I657=90),VLOOKUP(T657,'CAFCO 300 IDIEM TABLAS'!$J$4:$L$40,2,FALSE),0)+IF(AND(L657="Cafco 300",J657&gt;=95,J657&lt;=450,G657=4,C657="IN",I657=120),VLOOKUP(T657,'CAFCO 300 IDIEM TABLAS'!$J$4:$L$40,3,FALSE),0)+IF(AND(M657="Ensayo Idiem",L657="Cafco 400",C657="IN",G657=4,I657=90),VLOOKUP(T657,'CAFCO 400 ENSAYO'!$B$7:$D$43,2,FALSE),0)+IF(AND(M657="Ensayo Idiem",L657="Cafco 400",C657="IN",G657=4,I657=120),VLOOKUP(T657,'CAFCO 400 ENSAYO'!$B$7:$D$43,3,FALSE),0)</f>
        <v>0</v>
      </c>
      <c r="O657" s="96">
        <f t="shared" si="72"/>
        <v>0</v>
      </c>
      <c r="P657" s="132" t="str">
        <f t="shared" si="67"/>
        <v>N/A</v>
      </c>
      <c r="Q657" s="132" t="str">
        <f t="shared" si="68"/>
        <v>N/A</v>
      </c>
      <c r="R657" s="132" t="str">
        <f t="shared" si="69"/>
        <v>NO CERT.</v>
      </c>
      <c r="S657" s="132" t="e">
        <f t="shared" si="70"/>
        <v>#N/A</v>
      </c>
      <c r="T657" s="133" t="e">
        <f>+IF(J657=LOOKUP(J657,'CAFCO 300 IDIEM TABLAS'!$J$4:$J$40),'CALCULO MORTERO'!J657,MROUND('CALCULO MORTERO'!J657,10))</f>
        <v>#N/A</v>
      </c>
      <c r="U657" s="134">
        <f t="shared" si="71"/>
        <v>0</v>
      </c>
    </row>
    <row r="658" spans="1:21" x14ac:dyDescent="0.25">
      <c r="A658" s="118">
        <f>+CUBICACION!D652</f>
        <v>0</v>
      </c>
      <c r="B658" s="819">
        <f>+CUBICACION!E652</f>
        <v>0</v>
      </c>
      <c r="C658" s="675">
        <f>+CUBICACION!F652</f>
        <v>0</v>
      </c>
      <c r="D658" s="118"/>
      <c r="E658" s="118"/>
      <c r="F658" s="820"/>
      <c r="G658" s="675">
        <f>+CUBICACION!J652</f>
        <v>0</v>
      </c>
      <c r="H658" s="118"/>
      <c r="I658" s="821">
        <f>+CUBICACION!L652</f>
        <v>0</v>
      </c>
      <c r="J658" s="64">
        <f>+CUBICACION!M652</f>
        <v>0</v>
      </c>
      <c r="K658" s="822" t="str">
        <f>+CUBICACION!N652</f>
        <v/>
      </c>
      <c r="L658" s="118">
        <f>+CUBICACION!O652</f>
        <v>0</v>
      </c>
      <c r="M658" s="823">
        <f>+CUBICACION!P652</f>
        <v>0</v>
      </c>
      <c r="N658" s="902">
        <f>ROUND(IF(AND(L658="Blaze Shield II",M658="Software Idiem",C658="IN",G658=4),((('BLAZE SHIELD II'!$D$4*('CALCULO MORTERO'!I658^2)+'BLAZE SHIELD II'!$D$5*'CALCULO MORTERO'!I658+'BLAZE SHIELD II'!$D$6)*LN(J658))+('BLAZE SHIELD II'!$D$7*('CALCULO MORTERO'!I658^2)+'BLAZE SHIELD II'!$D$8*'CALCULO MORTERO'!I658+'BLAZE SHIELD II'!$D$9)),0)+IF(AND(L658="Blaze Shield II",M658="Software Idiem",C658="Cj"),((('BLAZE SHIELD II'!$H$4*('CALCULO MORTERO'!I658^2)+'BLAZE SHIELD II'!$H$5*'CALCULO MORTERO'!I658+'BLAZE SHIELD II'!$H$6)*LN(J658))+('BLAZE SHIELD II'!$H$7*('CALCULO MORTERO'!I658^2)+'BLAZE SHIELD II'!$H$8*'CALCULO MORTERO'!I658+'BLAZE SHIELD II'!$H$9)),0)+IF(AND(L658="Blaze Shield II",M658="Software Idiem",C658="C"),((('BLAZE SHIELD II'!$L$4*('CALCULO MORTERO'!I658^2)+'BLAZE SHIELD II'!$L$5*'CALCULO MORTERO'!I658+'BLAZE SHIELD II'!$L$6)*LN(J658))+('BLAZE SHIELD II'!$L$7*('CALCULO MORTERO'!I658^2)+'BLAZE SHIELD II'!$L$8*'CALCULO MORTERO'!I658+'BLAZE SHIELD II'!$L$9)),0)+IF(AND(L658="Blaze Shield II",M658="Software Idiem",C658="L"),((('BLAZE SHIELD II'!$L$4*('CALCULO MORTERO'!I658^2)+'BLAZE SHIELD II'!$L$5*'CALCULO MORTERO'!I658+'BLAZE SHIELD II'!$L$6)*LN(J658))+('BLAZE SHIELD II'!$L$7*('CALCULO MORTERO'!I658^2)+'BLAZE SHIELD II'!$L$8*'CALCULO MORTERO'!I658+'BLAZE SHIELD II'!$L$9)),0)+IF(AND(L658="Blaze Shield II",M658="Software Idiem",C658="IN",G658=3),((('BLAZE SHIELD II'!$H$14*('CALCULO MORTERO'!I658^2)+'BLAZE SHIELD II'!$H$15*'CALCULO MORTERO'!I658+'BLAZE SHIELD II'!$H$16)*LN(J658))+('BLAZE SHIELD II'!$H$17*('CALCULO MORTERO'!I658^2)+'BLAZE SHIELD II'!$H$18*'CALCULO MORTERO'!I658+'BLAZE SHIELD II'!$H$19)),0),0)+ROUND(IF(AND(L658="Cafco 400",M658="Software Idiem",C658="IN",G658=4),((('CAFCO 400 '!$H$7*(J658^4)+'CAFCO 400 '!$H$8*(J658^3)+'CAFCO 400 '!$H$9*(J658^2)+'CAFCO 400 '!$H$10*J658+'CAFCO 400 '!$H$11)*U658^2)+(('CAFCO 400 '!$H$12*(J658^3)+'CAFCO 400 '!$H$13*(J658^2)+'CAFCO 400 '!$H$14*J658+'CAFCO 400 '!$H$15)*U658)+('CAFCO 400 '!$H$16*(J658^2)+'CAFCO 400 '!$H$17*J658+'CAFCO 400 '!$H$18)),0)+IF(AND(L658="Cafco 400",M658="Software Idiem",C658="Cj"),(((('CAFCO 400 '!$D$7*LN(J658)+'CAFCO 400 '!$D$8)*U658^2)+(('CAFCO 400 '!$D$9*LN(J658)+'CAFCO 400 '!$D$10)*U658)+('CAFCO 400 '!$D$11*LN(J658)+'CAFCO 400 '!$D$12))),0)+IF(AND(L658="Cafco 400",M658="Software Idiem",C658="C"),((('CAFCO 400 '!$L$7*(J658^3)+'CAFCO 400 '!$L$8*(J658^2)+'CAFCO 400 '!$L$9*J658+'CAFCO 400 '!$L$10)*U658^2)+(('CAFCO 400 '!$L$11*(J658^3)+'CAFCO 400 '!$L$12*(J658^2)+'CAFCO 400 '!$L$13*J658+'CAFCO 400 '!$L$14)*U658)+('CAFCO 400 '!$L$15*LN(J658)+'CAFCO 400 '!$L$16)),0)+IF(AND(L658="Cafco 400",M658="Software Idiem",C658="L"),((('CAFCO 400 '!$L$7*(J658^3)+'CAFCO 400 '!$L$8*(J658^2)+'CAFCO 400 '!$L$9*J658+'CAFCO 400 '!$L$10)*U658^2)+(('CAFCO 400 '!$L$11*(J658^3)+'CAFCO 400 '!$L$12*(J658^2)+'CAFCO 400 '!$L$13*J658+'CAFCO 400 '!$L$14)*U658)+('CAFCO 400 '!$L$15*LN(J658)+'CAFCO 400 '!$L$16)),0)+IF(AND(L658="Cafco 400",M658="Software Idiem",C658="IN",G658=3),((('CAFCO 400 '!$D$23*(J658^2)+'CAFCO 400 '!$D$24*(J658)+'CAFCO 400 '!$D$25)*U658^2)+(('CAFCO 400 '!$D$26*(J658^2)+'CAFCO 400 '!$D$27*J658+'CAFCO 400 '!$D$28)*U658)+('CAFCO 400 '!$D$29*(J658^2)+'CAFCO 400 '!$D$30*J658+'CAFCO 400 '!$D$31)),0),0)+IF(AND(L658="Cafco 300",J658&gt;=95,J658&lt;=240,C658="Cj",I658=90),VLOOKUP(T658,'CAFCO 300 IDIEM TABLAS'!$B$4:$D$23,2,FALSE),0)+IF(AND(L658="Cafco 300",J658&gt;=95,J658&lt;=240,C658="Cj",I658=120),VLOOKUP(T658,'CAFCO 300 IDIEM TABLAS'!$B$4:$D$23,3,FALSE),0)+IF(AND(L658="Cafco 300",J658&gt;=95,J658&lt;=400,G658=3,C658="IN",I658=90),VLOOKUP(T658,'CAFCO 300 IDIEM TABLAS'!$F$4:$H$35,2,FALSE),0)+IF(AND(L658="Cafco 300",J658&gt;=95,J658&lt;=400,G658=3,C658="IN",I658=120),VLOOKUP(T658,'CAFCO 300 IDIEM TABLAS'!$F$4:$H$35,3,FALSE),0)+IF(AND(L658="Cafco 300",J658&gt;=95,J658&lt;=450,G658=4,C658="IN",I658=90),VLOOKUP(T658,'CAFCO 300 IDIEM TABLAS'!$J$4:$L$40,2,FALSE),0)+IF(AND(L658="Cafco 300",J658&gt;=95,J658&lt;=450,G658=4,C658="IN",I658=120),VLOOKUP(T658,'CAFCO 300 IDIEM TABLAS'!$J$4:$L$40,3,FALSE),0)+IF(AND(M658="Ensayo Idiem",L658="Cafco 400",C658="IN",G658=4,I658=90),VLOOKUP(T658,'CAFCO 400 ENSAYO'!$B$7:$D$43,2,FALSE),0)+IF(AND(M658="Ensayo Idiem",L658="Cafco 400",C658="IN",G658=4,I658=120),VLOOKUP(T658,'CAFCO 400 ENSAYO'!$B$7:$D$43,3,FALSE),0)</f>
        <v>0</v>
      </c>
      <c r="O658" s="96">
        <f t="shared" si="72"/>
        <v>0</v>
      </c>
      <c r="P658" s="95" t="str">
        <f t="shared" si="67"/>
        <v>N/A</v>
      </c>
      <c r="Q658" s="95" t="str">
        <f t="shared" si="68"/>
        <v>N/A</v>
      </c>
      <c r="R658" s="95" t="str">
        <f t="shared" si="69"/>
        <v>NO CERT.</v>
      </c>
      <c r="S658" s="95" t="e">
        <f t="shared" si="70"/>
        <v>#N/A</v>
      </c>
      <c r="T658" s="119" t="e">
        <f>+IF(J658=LOOKUP(J658,'CAFCO 300 IDIEM TABLAS'!$J$4:$J$40),'CALCULO MORTERO'!J658,MROUND('CALCULO MORTERO'!J658,10))</f>
        <v>#N/A</v>
      </c>
      <c r="U658" s="118">
        <f t="shared" si="71"/>
        <v>0</v>
      </c>
    </row>
    <row r="659" spans="1:21" x14ac:dyDescent="0.25">
      <c r="A659" s="118">
        <f>+CUBICACION!D653</f>
        <v>0</v>
      </c>
      <c r="B659" s="819">
        <f>+CUBICACION!E653</f>
        <v>0</v>
      </c>
      <c r="C659" s="675">
        <f>+CUBICACION!F653</f>
        <v>0</v>
      </c>
      <c r="D659" s="118"/>
      <c r="E659" s="118"/>
      <c r="F659" s="820"/>
      <c r="G659" s="675">
        <f>+CUBICACION!J653</f>
        <v>0</v>
      </c>
      <c r="H659" s="118"/>
      <c r="I659" s="821">
        <f>+CUBICACION!L653</f>
        <v>0</v>
      </c>
      <c r="J659" s="64">
        <f>+CUBICACION!M653</f>
        <v>0</v>
      </c>
      <c r="K659" s="822" t="str">
        <f>+CUBICACION!N653</f>
        <v/>
      </c>
      <c r="L659" s="118">
        <f>+CUBICACION!O653</f>
        <v>0</v>
      </c>
      <c r="M659" s="823">
        <f>+CUBICACION!P653</f>
        <v>0</v>
      </c>
      <c r="N659" s="902">
        <f>ROUND(IF(AND(L659="Blaze Shield II",M659="Software Idiem",C659="IN",G659=4),((('BLAZE SHIELD II'!$D$4*('CALCULO MORTERO'!I659^2)+'BLAZE SHIELD II'!$D$5*'CALCULO MORTERO'!I659+'BLAZE SHIELD II'!$D$6)*LN(J659))+('BLAZE SHIELD II'!$D$7*('CALCULO MORTERO'!I659^2)+'BLAZE SHIELD II'!$D$8*'CALCULO MORTERO'!I659+'BLAZE SHIELD II'!$D$9)),0)+IF(AND(L659="Blaze Shield II",M659="Software Idiem",C659="Cj"),((('BLAZE SHIELD II'!$H$4*('CALCULO MORTERO'!I659^2)+'BLAZE SHIELD II'!$H$5*'CALCULO MORTERO'!I659+'BLAZE SHIELD II'!$H$6)*LN(J659))+('BLAZE SHIELD II'!$H$7*('CALCULO MORTERO'!I659^2)+'BLAZE SHIELD II'!$H$8*'CALCULO MORTERO'!I659+'BLAZE SHIELD II'!$H$9)),0)+IF(AND(L659="Blaze Shield II",M659="Software Idiem",C659="C"),((('BLAZE SHIELD II'!$L$4*('CALCULO MORTERO'!I659^2)+'BLAZE SHIELD II'!$L$5*'CALCULO MORTERO'!I659+'BLAZE SHIELD II'!$L$6)*LN(J659))+('BLAZE SHIELD II'!$L$7*('CALCULO MORTERO'!I659^2)+'BLAZE SHIELD II'!$L$8*'CALCULO MORTERO'!I659+'BLAZE SHIELD II'!$L$9)),0)+IF(AND(L659="Blaze Shield II",M659="Software Idiem",C659="L"),((('BLAZE SHIELD II'!$L$4*('CALCULO MORTERO'!I659^2)+'BLAZE SHIELD II'!$L$5*'CALCULO MORTERO'!I659+'BLAZE SHIELD II'!$L$6)*LN(J659))+('BLAZE SHIELD II'!$L$7*('CALCULO MORTERO'!I659^2)+'BLAZE SHIELD II'!$L$8*'CALCULO MORTERO'!I659+'BLAZE SHIELD II'!$L$9)),0)+IF(AND(L659="Blaze Shield II",M659="Software Idiem",C659="IN",G659=3),((('BLAZE SHIELD II'!$H$14*('CALCULO MORTERO'!I659^2)+'BLAZE SHIELD II'!$H$15*'CALCULO MORTERO'!I659+'BLAZE SHIELD II'!$H$16)*LN(J659))+('BLAZE SHIELD II'!$H$17*('CALCULO MORTERO'!I659^2)+'BLAZE SHIELD II'!$H$18*'CALCULO MORTERO'!I659+'BLAZE SHIELD II'!$H$19)),0),0)+ROUND(IF(AND(L659="Cafco 400",M659="Software Idiem",C659="IN",G659=4),((('CAFCO 400 '!$H$7*(J659^4)+'CAFCO 400 '!$H$8*(J659^3)+'CAFCO 400 '!$H$9*(J659^2)+'CAFCO 400 '!$H$10*J659+'CAFCO 400 '!$H$11)*U659^2)+(('CAFCO 400 '!$H$12*(J659^3)+'CAFCO 400 '!$H$13*(J659^2)+'CAFCO 400 '!$H$14*J659+'CAFCO 400 '!$H$15)*U659)+('CAFCO 400 '!$H$16*(J659^2)+'CAFCO 400 '!$H$17*J659+'CAFCO 400 '!$H$18)),0)+IF(AND(L659="Cafco 400",M659="Software Idiem",C659="Cj"),(((('CAFCO 400 '!$D$7*LN(J659)+'CAFCO 400 '!$D$8)*U659^2)+(('CAFCO 400 '!$D$9*LN(J659)+'CAFCO 400 '!$D$10)*U659)+('CAFCO 400 '!$D$11*LN(J659)+'CAFCO 400 '!$D$12))),0)+IF(AND(L659="Cafco 400",M659="Software Idiem",C659="C"),((('CAFCO 400 '!$L$7*(J659^3)+'CAFCO 400 '!$L$8*(J659^2)+'CAFCO 400 '!$L$9*J659+'CAFCO 400 '!$L$10)*U659^2)+(('CAFCO 400 '!$L$11*(J659^3)+'CAFCO 400 '!$L$12*(J659^2)+'CAFCO 400 '!$L$13*J659+'CAFCO 400 '!$L$14)*U659)+('CAFCO 400 '!$L$15*LN(J659)+'CAFCO 400 '!$L$16)),0)+IF(AND(L659="Cafco 400",M659="Software Idiem",C659="L"),((('CAFCO 400 '!$L$7*(J659^3)+'CAFCO 400 '!$L$8*(J659^2)+'CAFCO 400 '!$L$9*J659+'CAFCO 400 '!$L$10)*U659^2)+(('CAFCO 400 '!$L$11*(J659^3)+'CAFCO 400 '!$L$12*(J659^2)+'CAFCO 400 '!$L$13*J659+'CAFCO 400 '!$L$14)*U659)+('CAFCO 400 '!$L$15*LN(J659)+'CAFCO 400 '!$L$16)),0)+IF(AND(L659="Cafco 400",M659="Software Idiem",C659="IN",G659=3),((('CAFCO 400 '!$D$23*(J659^2)+'CAFCO 400 '!$D$24*(J659)+'CAFCO 400 '!$D$25)*U659^2)+(('CAFCO 400 '!$D$26*(J659^2)+'CAFCO 400 '!$D$27*J659+'CAFCO 400 '!$D$28)*U659)+('CAFCO 400 '!$D$29*(J659^2)+'CAFCO 400 '!$D$30*J659+'CAFCO 400 '!$D$31)),0),0)+IF(AND(L659="Cafco 300",J659&gt;=95,J659&lt;=240,C659="Cj",I659=90),VLOOKUP(T659,'CAFCO 300 IDIEM TABLAS'!$B$4:$D$23,2,FALSE),0)+IF(AND(L659="Cafco 300",J659&gt;=95,J659&lt;=240,C659="Cj",I659=120),VLOOKUP(T659,'CAFCO 300 IDIEM TABLAS'!$B$4:$D$23,3,FALSE),0)+IF(AND(L659="Cafco 300",J659&gt;=95,J659&lt;=400,G659=3,C659="IN",I659=90),VLOOKUP(T659,'CAFCO 300 IDIEM TABLAS'!$F$4:$H$35,2,FALSE),0)+IF(AND(L659="Cafco 300",J659&gt;=95,J659&lt;=400,G659=3,C659="IN",I659=120),VLOOKUP(T659,'CAFCO 300 IDIEM TABLAS'!$F$4:$H$35,3,FALSE),0)+IF(AND(L659="Cafco 300",J659&gt;=95,J659&lt;=450,G659=4,C659="IN",I659=90),VLOOKUP(T659,'CAFCO 300 IDIEM TABLAS'!$J$4:$L$40,2,FALSE),0)+IF(AND(L659="Cafco 300",J659&gt;=95,J659&lt;=450,G659=4,C659="IN",I659=120),VLOOKUP(T659,'CAFCO 300 IDIEM TABLAS'!$J$4:$L$40,3,FALSE),0)+IF(AND(M659="Ensayo Idiem",L659="Cafco 400",C659="IN",G659=4,I659=90),VLOOKUP(T659,'CAFCO 400 ENSAYO'!$B$7:$D$43,2,FALSE),0)+IF(AND(M659="Ensayo Idiem",L659="Cafco 400",C659="IN",G659=4,I659=120),VLOOKUP(T659,'CAFCO 400 ENSAYO'!$B$7:$D$43,3,FALSE),0)</f>
        <v>0</v>
      </c>
      <c r="O659" s="96">
        <f t="shared" si="72"/>
        <v>0</v>
      </c>
      <c r="P659" s="132" t="str">
        <f t="shared" si="67"/>
        <v>N/A</v>
      </c>
      <c r="Q659" s="132" t="str">
        <f t="shared" si="68"/>
        <v>N/A</v>
      </c>
      <c r="R659" s="132" t="str">
        <f t="shared" si="69"/>
        <v>NO CERT.</v>
      </c>
      <c r="S659" s="132" t="e">
        <f t="shared" si="70"/>
        <v>#N/A</v>
      </c>
      <c r="T659" s="133" t="e">
        <f>+IF(J659=LOOKUP(J659,'CAFCO 300 IDIEM TABLAS'!$J$4:$J$40),'CALCULO MORTERO'!J659,MROUND('CALCULO MORTERO'!J659,10))</f>
        <v>#N/A</v>
      </c>
      <c r="U659" s="134">
        <f t="shared" si="71"/>
        <v>0</v>
      </c>
    </row>
    <row r="660" spans="1:21" x14ac:dyDescent="0.25">
      <c r="A660" s="118">
        <f>+CUBICACION!D654</f>
        <v>0</v>
      </c>
      <c r="B660" s="819">
        <f>+CUBICACION!E654</f>
        <v>0</v>
      </c>
      <c r="C660" s="675">
        <f>+CUBICACION!F654</f>
        <v>0</v>
      </c>
      <c r="D660" s="118"/>
      <c r="E660" s="118"/>
      <c r="F660" s="820"/>
      <c r="G660" s="675">
        <f>+CUBICACION!J654</f>
        <v>0</v>
      </c>
      <c r="H660" s="118"/>
      <c r="I660" s="821">
        <f>+CUBICACION!L654</f>
        <v>0</v>
      </c>
      <c r="J660" s="64">
        <f>+CUBICACION!M654</f>
        <v>0</v>
      </c>
      <c r="K660" s="822" t="str">
        <f>+CUBICACION!N654</f>
        <v/>
      </c>
      <c r="L660" s="118">
        <f>+CUBICACION!O654</f>
        <v>0</v>
      </c>
      <c r="M660" s="823">
        <f>+CUBICACION!P654</f>
        <v>0</v>
      </c>
      <c r="N660" s="902">
        <f>ROUND(IF(AND(L660="Blaze Shield II",M660="Software Idiem",C660="IN",G660=4),((('BLAZE SHIELD II'!$D$4*('CALCULO MORTERO'!I660^2)+'BLAZE SHIELD II'!$D$5*'CALCULO MORTERO'!I660+'BLAZE SHIELD II'!$D$6)*LN(J660))+('BLAZE SHIELD II'!$D$7*('CALCULO MORTERO'!I660^2)+'BLAZE SHIELD II'!$D$8*'CALCULO MORTERO'!I660+'BLAZE SHIELD II'!$D$9)),0)+IF(AND(L660="Blaze Shield II",M660="Software Idiem",C660="Cj"),((('BLAZE SHIELD II'!$H$4*('CALCULO MORTERO'!I660^2)+'BLAZE SHIELD II'!$H$5*'CALCULO MORTERO'!I660+'BLAZE SHIELD II'!$H$6)*LN(J660))+('BLAZE SHIELD II'!$H$7*('CALCULO MORTERO'!I660^2)+'BLAZE SHIELD II'!$H$8*'CALCULO MORTERO'!I660+'BLAZE SHIELD II'!$H$9)),0)+IF(AND(L660="Blaze Shield II",M660="Software Idiem",C660="C"),((('BLAZE SHIELD II'!$L$4*('CALCULO MORTERO'!I660^2)+'BLAZE SHIELD II'!$L$5*'CALCULO MORTERO'!I660+'BLAZE SHIELD II'!$L$6)*LN(J660))+('BLAZE SHIELD II'!$L$7*('CALCULO MORTERO'!I660^2)+'BLAZE SHIELD II'!$L$8*'CALCULO MORTERO'!I660+'BLAZE SHIELD II'!$L$9)),0)+IF(AND(L660="Blaze Shield II",M660="Software Idiem",C660="L"),((('BLAZE SHIELD II'!$L$4*('CALCULO MORTERO'!I660^2)+'BLAZE SHIELD II'!$L$5*'CALCULO MORTERO'!I660+'BLAZE SHIELD II'!$L$6)*LN(J660))+('BLAZE SHIELD II'!$L$7*('CALCULO MORTERO'!I660^2)+'BLAZE SHIELD II'!$L$8*'CALCULO MORTERO'!I660+'BLAZE SHIELD II'!$L$9)),0)+IF(AND(L660="Blaze Shield II",M660="Software Idiem",C660="IN",G660=3),((('BLAZE SHIELD II'!$H$14*('CALCULO MORTERO'!I660^2)+'BLAZE SHIELD II'!$H$15*'CALCULO MORTERO'!I660+'BLAZE SHIELD II'!$H$16)*LN(J660))+('BLAZE SHIELD II'!$H$17*('CALCULO MORTERO'!I660^2)+'BLAZE SHIELD II'!$H$18*'CALCULO MORTERO'!I660+'BLAZE SHIELD II'!$H$19)),0),0)+ROUND(IF(AND(L660="Cafco 400",M660="Software Idiem",C660="IN",G660=4),((('CAFCO 400 '!$H$7*(J660^4)+'CAFCO 400 '!$H$8*(J660^3)+'CAFCO 400 '!$H$9*(J660^2)+'CAFCO 400 '!$H$10*J660+'CAFCO 400 '!$H$11)*U660^2)+(('CAFCO 400 '!$H$12*(J660^3)+'CAFCO 400 '!$H$13*(J660^2)+'CAFCO 400 '!$H$14*J660+'CAFCO 400 '!$H$15)*U660)+('CAFCO 400 '!$H$16*(J660^2)+'CAFCO 400 '!$H$17*J660+'CAFCO 400 '!$H$18)),0)+IF(AND(L660="Cafco 400",M660="Software Idiem",C660="Cj"),(((('CAFCO 400 '!$D$7*LN(J660)+'CAFCO 400 '!$D$8)*U660^2)+(('CAFCO 400 '!$D$9*LN(J660)+'CAFCO 400 '!$D$10)*U660)+('CAFCO 400 '!$D$11*LN(J660)+'CAFCO 400 '!$D$12))),0)+IF(AND(L660="Cafco 400",M660="Software Idiem",C660="C"),((('CAFCO 400 '!$L$7*(J660^3)+'CAFCO 400 '!$L$8*(J660^2)+'CAFCO 400 '!$L$9*J660+'CAFCO 400 '!$L$10)*U660^2)+(('CAFCO 400 '!$L$11*(J660^3)+'CAFCO 400 '!$L$12*(J660^2)+'CAFCO 400 '!$L$13*J660+'CAFCO 400 '!$L$14)*U660)+('CAFCO 400 '!$L$15*LN(J660)+'CAFCO 400 '!$L$16)),0)+IF(AND(L660="Cafco 400",M660="Software Idiem",C660="L"),((('CAFCO 400 '!$L$7*(J660^3)+'CAFCO 400 '!$L$8*(J660^2)+'CAFCO 400 '!$L$9*J660+'CAFCO 400 '!$L$10)*U660^2)+(('CAFCO 400 '!$L$11*(J660^3)+'CAFCO 400 '!$L$12*(J660^2)+'CAFCO 400 '!$L$13*J660+'CAFCO 400 '!$L$14)*U660)+('CAFCO 400 '!$L$15*LN(J660)+'CAFCO 400 '!$L$16)),0)+IF(AND(L660="Cafco 400",M660="Software Idiem",C660="IN",G660=3),((('CAFCO 400 '!$D$23*(J660^2)+'CAFCO 400 '!$D$24*(J660)+'CAFCO 400 '!$D$25)*U660^2)+(('CAFCO 400 '!$D$26*(J660^2)+'CAFCO 400 '!$D$27*J660+'CAFCO 400 '!$D$28)*U660)+('CAFCO 400 '!$D$29*(J660^2)+'CAFCO 400 '!$D$30*J660+'CAFCO 400 '!$D$31)),0),0)+IF(AND(L660="Cafco 300",J660&gt;=95,J660&lt;=240,C660="Cj",I660=90),VLOOKUP(T660,'CAFCO 300 IDIEM TABLAS'!$B$4:$D$23,2,FALSE),0)+IF(AND(L660="Cafco 300",J660&gt;=95,J660&lt;=240,C660="Cj",I660=120),VLOOKUP(T660,'CAFCO 300 IDIEM TABLAS'!$B$4:$D$23,3,FALSE),0)+IF(AND(L660="Cafco 300",J660&gt;=95,J660&lt;=400,G660=3,C660="IN",I660=90),VLOOKUP(T660,'CAFCO 300 IDIEM TABLAS'!$F$4:$H$35,2,FALSE),0)+IF(AND(L660="Cafco 300",J660&gt;=95,J660&lt;=400,G660=3,C660="IN",I660=120),VLOOKUP(T660,'CAFCO 300 IDIEM TABLAS'!$F$4:$H$35,3,FALSE),0)+IF(AND(L660="Cafco 300",J660&gt;=95,J660&lt;=450,G660=4,C660="IN",I660=90),VLOOKUP(T660,'CAFCO 300 IDIEM TABLAS'!$J$4:$L$40,2,FALSE),0)+IF(AND(L660="Cafco 300",J660&gt;=95,J660&lt;=450,G660=4,C660="IN",I660=120),VLOOKUP(T660,'CAFCO 300 IDIEM TABLAS'!$J$4:$L$40,3,FALSE),0)+IF(AND(M660="Ensayo Idiem",L660="Cafco 400",C660="IN",G660=4,I660=90),VLOOKUP(T660,'CAFCO 400 ENSAYO'!$B$7:$D$43,2,FALSE),0)+IF(AND(M660="Ensayo Idiem",L660="Cafco 400",C660="IN",G660=4,I660=120),VLOOKUP(T660,'CAFCO 400 ENSAYO'!$B$7:$D$43,3,FALSE),0)</f>
        <v>0</v>
      </c>
      <c r="O660" s="96">
        <f t="shared" si="72"/>
        <v>0</v>
      </c>
      <c r="P660" s="95" t="str">
        <f t="shared" si="67"/>
        <v>N/A</v>
      </c>
      <c r="Q660" s="95" t="str">
        <f t="shared" si="68"/>
        <v>N/A</v>
      </c>
      <c r="R660" s="95" t="str">
        <f t="shared" si="69"/>
        <v>NO CERT.</v>
      </c>
      <c r="S660" s="95" t="e">
        <f t="shared" si="70"/>
        <v>#N/A</v>
      </c>
      <c r="T660" s="119" t="e">
        <f>+IF(J660=LOOKUP(J660,'CAFCO 300 IDIEM TABLAS'!$J$4:$J$40),'CALCULO MORTERO'!J660,MROUND('CALCULO MORTERO'!J660,10))</f>
        <v>#N/A</v>
      </c>
      <c r="U660" s="118">
        <f t="shared" si="71"/>
        <v>0</v>
      </c>
    </row>
    <row r="661" spans="1:21" x14ac:dyDescent="0.25">
      <c r="A661" s="118">
        <f>+CUBICACION!D655</f>
        <v>0</v>
      </c>
      <c r="B661" s="819">
        <f>+CUBICACION!E655</f>
        <v>0</v>
      </c>
      <c r="C661" s="675">
        <f>+CUBICACION!F655</f>
        <v>0</v>
      </c>
      <c r="D661" s="118"/>
      <c r="E661" s="118"/>
      <c r="F661" s="820"/>
      <c r="G661" s="675">
        <f>+CUBICACION!J655</f>
        <v>0</v>
      </c>
      <c r="H661" s="118"/>
      <c r="I661" s="821">
        <f>+CUBICACION!L655</f>
        <v>0</v>
      </c>
      <c r="J661" s="64">
        <f>+CUBICACION!M655</f>
        <v>0</v>
      </c>
      <c r="K661" s="822" t="str">
        <f>+CUBICACION!N655</f>
        <v/>
      </c>
      <c r="L661" s="118">
        <f>+CUBICACION!O655</f>
        <v>0</v>
      </c>
      <c r="M661" s="823">
        <f>+CUBICACION!P655</f>
        <v>0</v>
      </c>
      <c r="N661" s="902">
        <f>ROUND(IF(AND(L661="Blaze Shield II",M661="Software Idiem",C661="IN",G661=4),((('BLAZE SHIELD II'!$D$4*('CALCULO MORTERO'!I661^2)+'BLAZE SHIELD II'!$D$5*'CALCULO MORTERO'!I661+'BLAZE SHIELD II'!$D$6)*LN(J661))+('BLAZE SHIELD II'!$D$7*('CALCULO MORTERO'!I661^2)+'BLAZE SHIELD II'!$D$8*'CALCULO MORTERO'!I661+'BLAZE SHIELD II'!$D$9)),0)+IF(AND(L661="Blaze Shield II",M661="Software Idiem",C661="Cj"),((('BLAZE SHIELD II'!$H$4*('CALCULO MORTERO'!I661^2)+'BLAZE SHIELD II'!$H$5*'CALCULO MORTERO'!I661+'BLAZE SHIELD II'!$H$6)*LN(J661))+('BLAZE SHIELD II'!$H$7*('CALCULO MORTERO'!I661^2)+'BLAZE SHIELD II'!$H$8*'CALCULO MORTERO'!I661+'BLAZE SHIELD II'!$H$9)),0)+IF(AND(L661="Blaze Shield II",M661="Software Idiem",C661="C"),((('BLAZE SHIELD II'!$L$4*('CALCULO MORTERO'!I661^2)+'BLAZE SHIELD II'!$L$5*'CALCULO MORTERO'!I661+'BLAZE SHIELD II'!$L$6)*LN(J661))+('BLAZE SHIELD II'!$L$7*('CALCULO MORTERO'!I661^2)+'BLAZE SHIELD II'!$L$8*'CALCULO MORTERO'!I661+'BLAZE SHIELD II'!$L$9)),0)+IF(AND(L661="Blaze Shield II",M661="Software Idiem",C661="L"),((('BLAZE SHIELD II'!$L$4*('CALCULO MORTERO'!I661^2)+'BLAZE SHIELD II'!$L$5*'CALCULO MORTERO'!I661+'BLAZE SHIELD II'!$L$6)*LN(J661))+('BLAZE SHIELD II'!$L$7*('CALCULO MORTERO'!I661^2)+'BLAZE SHIELD II'!$L$8*'CALCULO MORTERO'!I661+'BLAZE SHIELD II'!$L$9)),0)+IF(AND(L661="Blaze Shield II",M661="Software Idiem",C661="IN",G661=3),((('BLAZE SHIELD II'!$H$14*('CALCULO MORTERO'!I661^2)+'BLAZE SHIELD II'!$H$15*'CALCULO MORTERO'!I661+'BLAZE SHIELD II'!$H$16)*LN(J661))+('BLAZE SHIELD II'!$H$17*('CALCULO MORTERO'!I661^2)+'BLAZE SHIELD II'!$H$18*'CALCULO MORTERO'!I661+'BLAZE SHIELD II'!$H$19)),0),0)+ROUND(IF(AND(L661="Cafco 400",M661="Software Idiem",C661="IN",G661=4),((('CAFCO 400 '!$H$7*(J661^4)+'CAFCO 400 '!$H$8*(J661^3)+'CAFCO 400 '!$H$9*(J661^2)+'CAFCO 400 '!$H$10*J661+'CAFCO 400 '!$H$11)*U661^2)+(('CAFCO 400 '!$H$12*(J661^3)+'CAFCO 400 '!$H$13*(J661^2)+'CAFCO 400 '!$H$14*J661+'CAFCO 400 '!$H$15)*U661)+('CAFCO 400 '!$H$16*(J661^2)+'CAFCO 400 '!$H$17*J661+'CAFCO 400 '!$H$18)),0)+IF(AND(L661="Cafco 400",M661="Software Idiem",C661="Cj"),(((('CAFCO 400 '!$D$7*LN(J661)+'CAFCO 400 '!$D$8)*U661^2)+(('CAFCO 400 '!$D$9*LN(J661)+'CAFCO 400 '!$D$10)*U661)+('CAFCO 400 '!$D$11*LN(J661)+'CAFCO 400 '!$D$12))),0)+IF(AND(L661="Cafco 400",M661="Software Idiem",C661="C"),((('CAFCO 400 '!$L$7*(J661^3)+'CAFCO 400 '!$L$8*(J661^2)+'CAFCO 400 '!$L$9*J661+'CAFCO 400 '!$L$10)*U661^2)+(('CAFCO 400 '!$L$11*(J661^3)+'CAFCO 400 '!$L$12*(J661^2)+'CAFCO 400 '!$L$13*J661+'CAFCO 400 '!$L$14)*U661)+('CAFCO 400 '!$L$15*LN(J661)+'CAFCO 400 '!$L$16)),0)+IF(AND(L661="Cafco 400",M661="Software Idiem",C661="L"),((('CAFCO 400 '!$L$7*(J661^3)+'CAFCO 400 '!$L$8*(J661^2)+'CAFCO 400 '!$L$9*J661+'CAFCO 400 '!$L$10)*U661^2)+(('CAFCO 400 '!$L$11*(J661^3)+'CAFCO 400 '!$L$12*(J661^2)+'CAFCO 400 '!$L$13*J661+'CAFCO 400 '!$L$14)*U661)+('CAFCO 400 '!$L$15*LN(J661)+'CAFCO 400 '!$L$16)),0)+IF(AND(L661="Cafco 400",M661="Software Idiem",C661="IN",G661=3),((('CAFCO 400 '!$D$23*(J661^2)+'CAFCO 400 '!$D$24*(J661)+'CAFCO 400 '!$D$25)*U661^2)+(('CAFCO 400 '!$D$26*(J661^2)+'CAFCO 400 '!$D$27*J661+'CAFCO 400 '!$D$28)*U661)+('CAFCO 400 '!$D$29*(J661^2)+'CAFCO 400 '!$D$30*J661+'CAFCO 400 '!$D$31)),0),0)+IF(AND(L661="Cafco 300",J661&gt;=95,J661&lt;=240,C661="Cj",I661=90),VLOOKUP(T661,'CAFCO 300 IDIEM TABLAS'!$B$4:$D$23,2,FALSE),0)+IF(AND(L661="Cafco 300",J661&gt;=95,J661&lt;=240,C661="Cj",I661=120),VLOOKUP(T661,'CAFCO 300 IDIEM TABLAS'!$B$4:$D$23,3,FALSE),0)+IF(AND(L661="Cafco 300",J661&gt;=95,J661&lt;=400,G661=3,C661="IN",I661=90),VLOOKUP(T661,'CAFCO 300 IDIEM TABLAS'!$F$4:$H$35,2,FALSE),0)+IF(AND(L661="Cafco 300",J661&gt;=95,J661&lt;=400,G661=3,C661="IN",I661=120),VLOOKUP(T661,'CAFCO 300 IDIEM TABLAS'!$F$4:$H$35,3,FALSE),0)+IF(AND(L661="Cafco 300",J661&gt;=95,J661&lt;=450,G661=4,C661="IN",I661=90),VLOOKUP(T661,'CAFCO 300 IDIEM TABLAS'!$J$4:$L$40,2,FALSE),0)+IF(AND(L661="Cafco 300",J661&gt;=95,J661&lt;=450,G661=4,C661="IN",I661=120),VLOOKUP(T661,'CAFCO 300 IDIEM TABLAS'!$J$4:$L$40,3,FALSE),0)+IF(AND(M661="Ensayo Idiem",L661="Cafco 400",C661="IN",G661=4,I661=90),VLOOKUP(T661,'CAFCO 400 ENSAYO'!$B$7:$D$43,2,FALSE),0)+IF(AND(M661="Ensayo Idiem",L661="Cafco 400",C661="IN",G661=4,I661=120),VLOOKUP(T661,'CAFCO 400 ENSAYO'!$B$7:$D$43,3,FALSE),0)</f>
        <v>0</v>
      </c>
      <c r="O661" s="96">
        <f t="shared" si="72"/>
        <v>0</v>
      </c>
      <c r="P661" s="132" t="str">
        <f t="shared" si="67"/>
        <v>N/A</v>
      </c>
      <c r="Q661" s="132" t="str">
        <f t="shared" si="68"/>
        <v>N/A</v>
      </c>
      <c r="R661" s="132" t="str">
        <f t="shared" si="69"/>
        <v>NO CERT.</v>
      </c>
      <c r="S661" s="132" t="e">
        <f t="shared" si="70"/>
        <v>#N/A</v>
      </c>
      <c r="T661" s="133" t="e">
        <f>+IF(J661=LOOKUP(J661,'CAFCO 300 IDIEM TABLAS'!$J$4:$J$40),'CALCULO MORTERO'!J661,MROUND('CALCULO MORTERO'!J661,10))</f>
        <v>#N/A</v>
      </c>
      <c r="U661" s="134">
        <f t="shared" si="71"/>
        <v>0</v>
      </c>
    </row>
    <row r="662" spans="1:21" x14ac:dyDescent="0.25">
      <c r="A662" s="118">
        <f>+CUBICACION!D656</f>
        <v>0</v>
      </c>
      <c r="B662" s="819">
        <f>+CUBICACION!E656</f>
        <v>0</v>
      </c>
      <c r="C662" s="675">
        <f>+CUBICACION!F656</f>
        <v>0</v>
      </c>
      <c r="D662" s="118"/>
      <c r="E662" s="118"/>
      <c r="F662" s="820"/>
      <c r="G662" s="675">
        <f>+CUBICACION!J656</f>
        <v>0</v>
      </c>
      <c r="H662" s="118"/>
      <c r="I662" s="821">
        <f>+CUBICACION!L656</f>
        <v>0</v>
      </c>
      <c r="J662" s="64">
        <f>+CUBICACION!M656</f>
        <v>0</v>
      </c>
      <c r="K662" s="822" t="str">
        <f>+CUBICACION!N656</f>
        <v/>
      </c>
      <c r="L662" s="118">
        <f>+CUBICACION!O656</f>
        <v>0</v>
      </c>
      <c r="M662" s="823">
        <f>+CUBICACION!P656</f>
        <v>0</v>
      </c>
      <c r="N662" s="902">
        <f>ROUND(IF(AND(L662="Blaze Shield II",M662="Software Idiem",C662="IN",G662=4),((('BLAZE SHIELD II'!$D$4*('CALCULO MORTERO'!I662^2)+'BLAZE SHIELD II'!$D$5*'CALCULO MORTERO'!I662+'BLAZE SHIELD II'!$D$6)*LN(J662))+('BLAZE SHIELD II'!$D$7*('CALCULO MORTERO'!I662^2)+'BLAZE SHIELD II'!$D$8*'CALCULO MORTERO'!I662+'BLAZE SHIELD II'!$D$9)),0)+IF(AND(L662="Blaze Shield II",M662="Software Idiem",C662="Cj"),((('BLAZE SHIELD II'!$H$4*('CALCULO MORTERO'!I662^2)+'BLAZE SHIELD II'!$H$5*'CALCULO MORTERO'!I662+'BLAZE SHIELD II'!$H$6)*LN(J662))+('BLAZE SHIELD II'!$H$7*('CALCULO MORTERO'!I662^2)+'BLAZE SHIELD II'!$H$8*'CALCULO MORTERO'!I662+'BLAZE SHIELD II'!$H$9)),0)+IF(AND(L662="Blaze Shield II",M662="Software Idiem",C662="C"),((('BLAZE SHIELD II'!$L$4*('CALCULO MORTERO'!I662^2)+'BLAZE SHIELD II'!$L$5*'CALCULO MORTERO'!I662+'BLAZE SHIELD II'!$L$6)*LN(J662))+('BLAZE SHIELD II'!$L$7*('CALCULO MORTERO'!I662^2)+'BLAZE SHIELD II'!$L$8*'CALCULO MORTERO'!I662+'BLAZE SHIELD II'!$L$9)),0)+IF(AND(L662="Blaze Shield II",M662="Software Idiem",C662="L"),((('BLAZE SHIELD II'!$L$4*('CALCULO MORTERO'!I662^2)+'BLAZE SHIELD II'!$L$5*'CALCULO MORTERO'!I662+'BLAZE SHIELD II'!$L$6)*LN(J662))+('BLAZE SHIELD II'!$L$7*('CALCULO MORTERO'!I662^2)+'BLAZE SHIELD II'!$L$8*'CALCULO MORTERO'!I662+'BLAZE SHIELD II'!$L$9)),0)+IF(AND(L662="Blaze Shield II",M662="Software Idiem",C662="IN",G662=3),((('BLAZE SHIELD II'!$H$14*('CALCULO MORTERO'!I662^2)+'BLAZE SHIELD II'!$H$15*'CALCULO MORTERO'!I662+'BLAZE SHIELD II'!$H$16)*LN(J662))+('BLAZE SHIELD II'!$H$17*('CALCULO MORTERO'!I662^2)+'BLAZE SHIELD II'!$H$18*'CALCULO MORTERO'!I662+'BLAZE SHIELD II'!$H$19)),0),0)+ROUND(IF(AND(L662="Cafco 400",M662="Software Idiem",C662="IN",G662=4),((('CAFCO 400 '!$H$7*(J662^4)+'CAFCO 400 '!$H$8*(J662^3)+'CAFCO 400 '!$H$9*(J662^2)+'CAFCO 400 '!$H$10*J662+'CAFCO 400 '!$H$11)*U662^2)+(('CAFCO 400 '!$H$12*(J662^3)+'CAFCO 400 '!$H$13*(J662^2)+'CAFCO 400 '!$H$14*J662+'CAFCO 400 '!$H$15)*U662)+('CAFCO 400 '!$H$16*(J662^2)+'CAFCO 400 '!$H$17*J662+'CAFCO 400 '!$H$18)),0)+IF(AND(L662="Cafco 400",M662="Software Idiem",C662="Cj"),(((('CAFCO 400 '!$D$7*LN(J662)+'CAFCO 400 '!$D$8)*U662^2)+(('CAFCO 400 '!$D$9*LN(J662)+'CAFCO 400 '!$D$10)*U662)+('CAFCO 400 '!$D$11*LN(J662)+'CAFCO 400 '!$D$12))),0)+IF(AND(L662="Cafco 400",M662="Software Idiem",C662="C"),((('CAFCO 400 '!$L$7*(J662^3)+'CAFCO 400 '!$L$8*(J662^2)+'CAFCO 400 '!$L$9*J662+'CAFCO 400 '!$L$10)*U662^2)+(('CAFCO 400 '!$L$11*(J662^3)+'CAFCO 400 '!$L$12*(J662^2)+'CAFCO 400 '!$L$13*J662+'CAFCO 400 '!$L$14)*U662)+('CAFCO 400 '!$L$15*LN(J662)+'CAFCO 400 '!$L$16)),0)+IF(AND(L662="Cafco 400",M662="Software Idiem",C662="L"),((('CAFCO 400 '!$L$7*(J662^3)+'CAFCO 400 '!$L$8*(J662^2)+'CAFCO 400 '!$L$9*J662+'CAFCO 400 '!$L$10)*U662^2)+(('CAFCO 400 '!$L$11*(J662^3)+'CAFCO 400 '!$L$12*(J662^2)+'CAFCO 400 '!$L$13*J662+'CAFCO 400 '!$L$14)*U662)+('CAFCO 400 '!$L$15*LN(J662)+'CAFCO 400 '!$L$16)),0)+IF(AND(L662="Cafco 400",M662="Software Idiem",C662="IN",G662=3),((('CAFCO 400 '!$D$23*(J662^2)+'CAFCO 400 '!$D$24*(J662)+'CAFCO 400 '!$D$25)*U662^2)+(('CAFCO 400 '!$D$26*(J662^2)+'CAFCO 400 '!$D$27*J662+'CAFCO 400 '!$D$28)*U662)+('CAFCO 400 '!$D$29*(J662^2)+'CAFCO 400 '!$D$30*J662+'CAFCO 400 '!$D$31)),0),0)+IF(AND(L662="Cafco 300",J662&gt;=95,J662&lt;=240,C662="Cj",I662=90),VLOOKUP(T662,'CAFCO 300 IDIEM TABLAS'!$B$4:$D$23,2,FALSE),0)+IF(AND(L662="Cafco 300",J662&gt;=95,J662&lt;=240,C662="Cj",I662=120),VLOOKUP(T662,'CAFCO 300 IDIEM TABLAS'!$B$4:$D$23,3,FALSE),0)+IF(AND(L662="Cafco 300",J662&gt;=95,J662&lt;=400,G662=3,C662="IN",I662=90),VLOOKUP(T662,'CAFCO 300 IDIEM TABLAS'!$F$4:$H$35,2,FALSE),0)+IF(AND(L662="Cafco 300",J662&gt;=95,J662&lt;=400,G662=3,C662="IN",I662=120),VLOOKUP(T662,'CAFCO 300 IDIEM TABLAS'!$F$4:$H$35,3,FALSE),0)+IF(AND(L662="Cafco 300",J662&gt;=95,J662&lt;=450,G662=4,C662="IN",I662=90),VLOOKUP(T662,'CAFCO 300 IDIEM TABLAS'!$J$4:$L$40,2,FALSE),0)+IF(AND(L662="Cafco 300",J662&gt;=95,J662&lt;=450,G662=4,C662="IN",I662=120),VLOOKUP(T662,'CAFCO 300 IDIEM TABLAS'!$J$4:$L$40,3,FALSE),0)+IF(AND(M662="Ensayo Idiem",L662="Cafco 400",C662="IN",G662=4,I662=90),VLOOKUP(T662,'CAFCO 400 ENSAYO'!$B$7:$D$43,2,FALSE),0)+IF(AND(M662="Ensayo Idiem",L662="Cafco 400",C662="IN",G662=4,I662=120),VLOOKUP(T662,'CAFCO 400 ENSAYO'!$B$7:$D$43,3,FALSE),0)</f>
        <v>0</v>
      </c>
      <c r="O662" s="96">
        <f t="shared" si="72"/>
        <v>0</v>
      </c>
      <c r="P662" s="95" t="str">
        <f t="shared" si="67"/>
        <v>N/A</v>
      </c>
      <c r="Q662" s="95" t="str">
        <f t="shared" si="68"/>
        <v>N/A</v>
      </c>
      <c r="R662" s="95" t="str">
        <f t="shared" si="69"/>
        <v>NO CERT.</v>
      </c>
      <c r="S662" s="95" t="e">
        <f t="shared" si="70"/>
        <v>#N/A</v>
      </c>
      <c r="T662" s="119" t="e">
        <f>+IF(J662=LOOKUP(J662,'CAFCO 300 IDIEM TABLAS'!$J$4:$J$40),'CALCULO MORTERO'!J662,MROUND('CALCULO MORTERO'!J662,10))</f>
        <v>#N/A</v>
      </c>
      <c r="U662" s="118">
        <f t="shared" si="71"/>
        <v>0</v>
      </c>
    </row>
    <row r="663" spans="1:21" x14ac:dyDescent="0.25">
      <c r="A663" s="118">
        <f>+CUBICACION!D657</f>
        <v>0</v>
      </c>
      <c r="B663" s="819">
        <f>+CUBICACION!E657</f>
        <v>0</v>
      </c>
      <c r="C663" s="675">
        <f>+CUBICACION!F657</f>
        <v>0</v>
      </c>
      <c r="D663" s="118"/>
      <c r="E663" s="118"/>
      <c r="F663" s="820"/>
      <c r="G663" s="675">
        <f>+CUBICACION!J657</f>
        <v>0</v>
      </c>
      <c r="H663" s="118"/>
      <c r="I663" s="821">
        <f>+CUBICACION!L657</f>
        <v>0</v>
      </c>
      <c r="J663" s="64">
        <f>+CUBICACION!M657</f>
        <v>0</v>
      </c>
      <c r="K663" s="822" t="str">
        <f>+CUBICACION!N657</f>
        <v/>
      </c>
      <c r="L663" s="118">
        <f>+CUBICACION!O657</f>
        <v>0</v>
      </c>
      <c r="M663" s="823">
        <f>+CUBICACION!P657</f>
        <v>0</v>
      </c>
      <c r="N663" s="902">
        <f>ROUND(IF(AND(L663="Blaze Shield II",M663="Software Idiem",C663="IN",G663=4),((('BLAZE SHIELD II'!$D$4*('CALCULO MORTERO'!I663^2)+'BLAZE SHIELD II'!$D$5*'CALCULO MORTERO'!I663+'BLAZE SHIELD II'!$D$6)*LN(J663))+('BLAZE SHIELD II'!$D$7*('CALCULO MORTERO'!I663^2)+'BLAZE SHIELD II'!$D$8*'CALCULO MORTERO'!I663+'BLAZE SHIELD II'!$D$9)),0)+IF(AND(L663="Blaze Shield II",M663="Software Idiem",C663="Cj"),((('BLAZE SHIELD II'!$H$4*('CALCULO MORTERO'!I663^2)+'BLAZE SHIELD II'!$H$5*'CALCULO MORTERO'!I663+'BLAZE SHIELD II'!$H$6)*LN(J663))+('BLAZE SHIELD II'!$H$7*('CALCULO MORTERO'!I663^2)+'BLAZE SHIELD II'!$H$8*'CALCULO MORTERO'!I663+'BLAZE SHIELD II'!$H$9)),0)+IF(AND(L663="Blaze Shield II",M663="Software Idiem",C663="C"),((('BLAZE SHIELD II'!$L$4*('CALCULO MORTERO'!I663^2)+'BLAZE SHIELD II'!$L$5*'CALCULO MORTERO'!I663+'BLAZE SHIELD II'!$L$6)*LN(J663))+('BLAZE SHIELD II'!$L$7*('CALCULO MORTERO'!I663^2)+'BLAZE SHIELD II'!$L$8*'CALCULO MORTERO'!I663+'BLAZE SHIELD II'!$L$9)),0)+IF(AND(L663="Blaze Shield II",M663="Software Idiem",C663="L"),((('BLAZE SHIELD II'!$L$4*('CALCULO MORTERO'!I663^2)+'BLAZE SHIELD II'!$L$5*'CALCULO MORTERO'!I663+'BLAZE SHIELD II'!$L$6)*LN(J663))+('BLAZE SHIELD II'!$L$7*('CALCULO MORTERO'!I663^2)+'BLAZE SHIELD II'!$L$8*'CALCULO MORTERO'!I663+'BLAZE SHIELD II'!$L$9)),0)+IF(AND(L663="Blaze Shield II",M663="Software Idiem",C663="IN",G663=3),((('BLAZE SHIELD II'!$H$14*('CALCULO MORTERO'!I663^2)+'BLAZE SHIELD II'!$H$15*'CALCULO MORTERO'!I663+'BLAZE SHIELD II'!$H$16)*LN(J663))+('BLAZE SHIELD II'!$H$17*('CALCULO MORTERO'!I663^2)+'BLAZE SHIELD II'!$H$18*'CALCULO MORTERO'!I663+'BLAZE SHIELD II'!$H$19)),0),0)+ROUND(IF(AND(L663="Cafco 400",M663="Software Idiem",C663="IN",G663=4),((('CAFCO 400 '!$H$7*(J663^4)+'CAFCO 400 '!$H$8*(J663^3)+'CAFCO 400 '!$H$9*(J663^2)+'CAFCO 400 '!$H$10*J663+'CAFCO 400 '!$H$11)*U663^2)+(('CAFCO 400 '!$H$12*(J663^3)+'CAFCO 400 '!$H$13*(J663^2)+'CAFCO 400 '!$H$14*J663+'CAFCO 400 '!$H$15)*U663)+('CAFCO 400 '!$H$16*(J663^2)+'CAFCO 400 '!$H$17*J663+'CAFCO 400 '!$H$18)),0)+IF(AND(L663="Cafco 400",M663="Software Idiem",C663="Cj"),(((('CAFCO 400 '!$D$7*LN(J663)+'CAFCO 400 '!$D$8)*U663^2)+(('CAFCO 400 '!$D$9*LN(J663)+'CAFCO 400 '!$D$10)*U663)+('CAFCO 400 '!$D$11*LN(J663)+'CAFCO 400 '!$D$12))),0)+IF(AND(L663="Cafco 400",M663="Software Idiem",C663="C"),((('CAFCO 400 '!$L$7*(J663^3)+'CAFCO 400 '!$L$8*(J663^2)+'CAFCO 400 '!$L$9*J663+'CAFCO 400 '!$L$10)*U663^2)+(('CAFCO 400 '!$L$11*(J663^3)+'CAFCO 400 '!$L$12*(J663^2)+'CAFCO 400 '!$L$13*J663+'CAFCO 400 '!$L$14)*U663)+('CAFCO 400 '!$L$15*LN(J663)+'CAFCO 400 '!$L$16)),0)+IF(AND(L663="Cafco 400",M663="Software Idiem",C663="L"),((('CAFCO 400 '!$L$7*(J663^3)+'CAFCO 400 '!$L$8*(J663^2)+'CAFCO 400 '!$L$9*J663+'CAFCO 400 '!$L$10)*U663^2)+(('CAFCO 400 '!$L$11*(J663^3)+'CAFCO 400 '!$L$12*(J663^2)+'CAFCO 400 '!$L$13*J663+'CAFCO 400 '!$L$14)*U663)+('CAFCO 400 '!$L$15*LN(J663)+'CAFCO 400 '!$L$16)),0)+IF(AND(L663="Cafco 400",M663="Software Idiem",C663="IN",G663=3),((('CAFCO 400 '!$D$23*(J663^2)+'CAFCO 400 '!$D$24*(J663)+'CAFCO 400 '!$D$25)*U663^2)+(('CAFCO 400 '!$D$26*(J663^2)+'CAFCO 400 '!$D$27*J663+'CAFCO 400 '!$D$28)*U663)+('CAFCO 400 '!$D$29*(J663^2)+'CAFCO 400 '!$D$30*J663+'CAFCO 400 '!$D$31)),0),0)+IF(AND(L663="Cafco 300",J663&gt;=95,J663&lt;=240,C663="Cj",I663=90),VLOOKUP(T663,'CAFCO 300 IDIEM TABLAS'!$B$4:$D$23,2,FALSE),0)+IF(AND(L663="Cafco 300",J663&gt;=95,J663&lt;=240,C663="Cj",I663=120),VLOOKUP(T663,'CAFCO 300 IDIEM TABLAS'!$B$4:$D$23,3,FALSE),0)+IF(AND(L663="Cafco 300",J663&gt;=95,J663&lt;=400,G663=3,C663="IN",I663=90),VLOOKUP(T663,'CAFCO 300 IDIEM TABLAS'!$F$4:$H$35,2,FALSE),0)+IF(AND(L663="Cafco 300",J663&gt;=95,J663&lt;=400,G663=3,C663="IN",I663=120),VLOOKUP(T663,'CAFCO 300 IDIEM TABLAS'!$F$4:$H$35,3,FALSE),0)+IF(AND(L663="Cafco 300",J663&gt;=95,J663&lt;=450,G663=4,C663="IN",I663=90),VLOOKUP(T663,'CAFCO 300 IDIEM TABLAS'!$J$4:$L$40,2,FALSE),0)+IF(AND(L663="Cafco 300",J663&gt;=95,J663&lt;=450,G663=4,C663="IN",I663=120),VLOOKUP(T663,'CAFCO 300 IDIEM TABLAS'!$J$4:$L$40,3,FALSE),0)+IF(AND(M663="Ensayo Idiem",L663="Cafco 400",C663="IN",G663=4,I663=90),VLOOKUP(T663,'CAFCO 400 ENSAYO'!$B$7:$D$43,2,FALSE),0)+IF(AND(M663="Ensayo Idiem",L663="Cafco 400",C663="IN",G663=4,I663=120),VLOOKUP(T663,'CAFCO 400 ENSAYO'!$B$7:$D$43,3,FALSE),0)</f>
        <v>0</v>
      </c>
      <c r="O663" s="96">
        <f t="shared" si="72"/>
        <v>0</v>
      </c>
      <c r="P663" s="132" t="str">
        <f t="shared" si="67"/>
        <v>N/A</v>
      </c>
      <c r="Q663" s="132" t="str">
        <f t="shared" si="68"/>
        <v>N/A</v>
      </c>
      <c r="R663" s="132" t="str">
        <f t="shared" si="69"/>
        <v>NO CERT.</v>
      </c>
      <c r="S663" s="132" t="e">
        <f t="shared" si="70"/>
        <v>#N/A</v>
      </c>
      <c r="T663" s="133" t="e">
        <f>+IF(J663=LOOKUP(J663,'CAFCO 300 IDIEM TABLAS'!$J$4:$J$40),'CALCULO MORTERO'!J663,MROUND('CALCULO MORTERO'!J663,10))</f>
        <v>#N/A</v>
      </c>
      <c r="U663" s="134">
        <f t="shared" si="71"/>
        <v>0</v>
      </c>
    </row>
    <row r="664" spans="1:21" x14ac:dyDescent="0.25">
      <c r="A664" s="118">
        <f>+CUBICACION!D658</f>
        <v>0</v>
      </c>
      <c r="B664" s="819">
        <f>+CUBICACION!E658</f>
        <v>0</v>
      </c>
      <c r="C664" s="675">
        <f>+CUBICACION!F658</f>
        <v>0</v>
      </c>
      <c r="D664" s="118"/>
      <c r="E664" s="118"/>
      <c r="F664" s="820"/>
      <c r="G664" s="675">
        <f>+CUBICACION!J658</f>
        <v>0</v>
      </c>
      <c r="H664" s="118"/>
      <c r="I664" s="821">
        <f>+CUBICACION!L658</f>
        <v>0</v>
      </c>
      <c r="J664" s="64">
        <f>+CUBICACION!M658</f>
        <v>0</v>
      </c>
      <c r="K664" s="822" t="str">
        <f>+CUBICACION!N658</f>
        <v/>
      </c>
      <c r="L664" s="118">
        <f>+CUBICACION!O658</f>
        <v>0</v>
      </c>
      <c r="M664" s="823">
        <f>+CUBICACION!P658</f>
        <v>0</v>
      </c>
      <c r="N664" s="902">
        <f>ROUND(IF(AND(L664="Blaze Shield II",M664="Software Idiem",C664="IN",G664=4),((('BLAZE SHIELD II'!$D$4*('CALCULO MORTERO'!I664^2)+'BLAZE SHIELD II'!$D$5*'CALCULO MORTERO'!I664+'BLAZE SHIELD II'!$D$6)*LN(J664))+('BLAZE SHIELD II'!$D$7*('CALCULO MORTERO'!I664^2)+'BLAZE SHIELD II'!$D$8*'CALCULO MORTERO'!I664+'BLAZE SHIELD II'!$D$9)),0)+IF(AND(L664="Blaze Shield II",M664="Software Idiem",C664="Cj"),((('BLAZE SHIELD II'!$H$4*('CALCULO MORTERO'!I664^2)+'BLAZE SHIELD II'!$H$5*'CALCULO MORTERO'!I664+'BLAZE SHIELD II'!$H$6)*LN(J664))+('BLAZE SHIELD II'!$H$7*('CALCULO MORTERO'!I664^2)+'BLAZE SHIELD II'!$H$8*'CALCULO MORTERO'!I664+'BLAZE SHIELD II'!$H$9)),0)+IF(AND(L664="Blaze Shield II",M664="Software Idiem",C664="C"),((('BLAZE SHIELD II'!$L$4*('CALCULO MORTERO'!I664^2)+'BLAZE SHIELD II'!$L$5*'CALCULO MORTERO'!I664+'BLAZE SHIELD II'!$L$6)*LN(J664))+('BLAZE SHIELD II'!$L$7*('CALCULO MORTERO'!I664^2)+'BLAZE SHIELD II'!$L$8*'CALCULO MORTERO'!I664+'BLAZE SHIELD II'!$L$9)),0)+IF(AND(L664="Blaze Shield II",M664="Software Idiem",C664="L"),((('BLAZE SHIELD II'!$L$4*('CALCULO MORTERO'!I664^2)+'BLAZE SHIELD II'!$L$5*'CALCULO MORTERO'!I664+'BLAZE SHIELD II'!$L$6)*LN(J664))+('BLAZE SHIELD II'!$L$7*('CALCULO MORTERO'!I664^2)+'BLAZE SHIELD II'!$L$8*'CALCULO MORTERO'!I664+'BLAZE SHIELD II'!$L$9)),0)+IF(AND(L664="Blaze Shield II",M664="Software Idiem",C664="IN",G664=3),((('BLAZE SHIELD II'!$H$14*('CALCULO MORTERO'!I664^2)+'BLAZE SHIELD II'!$H$15*'CALCULO MORTERO'!I664+'BLAZE SHIELD II'!$H$16)*LN(J664))+('BLAZE SHIELD II'!$H$17*('CALCULO MORTERO'!I664^2)+'BLAZE SHIELD II'!$H$18*'CALCULO MORTERO'!I664+'BLAZE SHIELD II'!$H$19)),0),0)+ROUND(IF(AND(L664="Cafco 400",M664="Software Idiem",C664="IN",G664=4),((('CAFCO 400 '!$H$7*(J664^4)+'CAFCO 400 '!$H$8*(J664^3)+'CAFCO 400 '!$H$9*(J664^2)+'CAFCO 400 '!$H$10*J664+'CAFCO 400 '!$H$11)*U664^2)+(('CAFCO 400 '!$H$12*(J664^3)+'CAFCO 400 '!$H$13*(J664^2)+'CAFCO 400 '!$H$14*J664+'CAFCO 400 '!$H$15)*U664)+('CAFCO 400 '!$H$16*(J664^2)+'CAFCO 400 '!$H$17*J664+'CAFCO 400 '!$H$18)),0)+IF(AND(L664="Cafco 400",M664="Software Idiem",C664="Cj"),(((('CAFCO 400 '!$D$7*LN(J664)+'CAFCO 400 '!$D$8)*U664^2)+(('CAFCO 400 '!$D$9*LN(J664)+'CAFCO 400 '!$D$10)*U664)+('CAFCO 400 '!$D$11*LN(J664)+'CAFCO 400 '!$D$12))),0)+IF(AND(L664="Cafco 400",M664="Software Idiem",C664="C"),((('CAFCO 400 '!$L$7*(J664^3)+'CAFCO 400 '!$L$8*(J664^2)+'CAFCO 400 '!$L$9*J664+'CAFCO 400 '!$L$10)*U664^2)+(('CAFCO 400 '!$L$11*(J664^3)+'CAFCO 400 '!$L$12*(J664^2)+'CAFCO 400 '!$L$13*J664+'CAFCO 400 '!$L$14)*U664)+('CAFCO 400 '!$L$15*LN(J664)+'CAFCO 400 '!$L$16)),0)+IF(AND(L664="Cafco 400",M664="Software Idiem",C664="L"),((('CAFCO 400 '!$L$7*(J664^3)+'CAFCO 400 '!$L$8*(J664^2)+'CAFCO 400 '!$L$9*J664+'CAFCO 400 '!$L$10)*U664^2)+(('CAFCO 400 '!$L$11*(J664^3)+'CAFCO 400 '!$L$12*(J664^2)+'CAFCO 400 '!$L$13*J664+'CAFCO 400 '!$L$14)*U664)+('CAFCO 400 '!$L$15*LN(J664)+'CAFCO 400 '!$L$16)),0)+IF(AND(L664="Cafco 400",M664="Software Idiem",C664="IN",G664=3),((('CAFCO 400 '!$D$23*(J664^2)+'CAFCO 400 '!$D$24*(J664)+'CAFCO 400 '!$D$25)*U664^2)+(('CAFCO 400 '!$D$26*(J664^2)+'CAFCO 400 '!$D$27*J664+'CAFCO 400 '!$D$28)*U664)+('CAFCO 400 '!$D$29*(J664^2)+'CAFCO 400 '!$D$30*J664+'CAFCO 400 '!$D$31)),0),0)+IF(AND(L664="Cafco 300",J664&gt;=95,J664&lt;=240,C664="Cj",I664=90),VLOOKUP(T664,'CAFCO 300 IDIEM TABLAS'!$B$4:$D$23,2,FALSE),0)+IF(AND(L664="Cafco 300",J664&gt;=95,J664&lt;=240,C664="Cj",I664=120),VLOOKUP(T664,'CAFCO 300 IDIEM TABLAS'!$B$4:$D$23,3,FALSE),0)+IF(AND(L664="Cafco 300",J664&gt;=95,J664&lt;=400,G664=3,C664="IN",I664=90),VLOOKUP(T664,'CAFCO 300 IDIEM TABLAS'!$F$4:$H$35,2,FALSE),0)+IF(AND(L664="Cafco 300",J664&gt;=95,J664&lt;=400,G664=3,C664="IN",I664=120),VLOOKUP(T664,'CAFCO 300 IDIEM TABLAS'!$F$4:$H$35,3,FALSE),0)+IF(AND(L664="Cafco 300",J664&gt;=95,J664&lt;=450,G664=4,C664="IN",I664=90),VLOOKUP(T664,'CAFCO 300 IDIEM TABLAS'!$J$4:$L$40,2,FALSE),0)+IF(AND(L664="Cafco 300",J664&gt;=95,J664&lt;=450,G664=4,C664="IN",I664=120),VLOOKUP(T664,'CAFCO 300 IDIEM TABLAS'!$J$4:$L$40,3,FALSE),0)+IF(AND(M664="Ensayo Idiem",L664="Cafco 400",C664="IN",G664=4,I664=90),VLOOKUP(T664,'CAFCO 400 ENSAYO'!$B$7:$D$43,2,FALSE),0)+IF(AND(M664="Ensayo Idiem",L664="Cafco 400",C664="IN",G664=4,I664=120),VLOOKUP(T664,'CAFCO 400 ENSAYO'!$B$7:$D$43,3,FALSE),0)</f>
        <v>0</v>
      </c>
      <c r="O664" s="96">
        <f t="shared" si="72"/>
        <v>0</v>
      </c>
      <c r="P664" s="95" t="str">
        <f t="shared" si="67"/>
        <v>N/A</v>
      </c>
      <c r="Q664" s="95" t="str">
        <f t="shared" si="68"/>
        <v>N/A</v>
      </c>
      <c r="R664" s="95" t="str">
        <f t="shared" si="69"/>
        <v>NO CERT.</v>
      </c>
      <c r="S664" s="95" t="e">
        <f t="shared" si="70"/>
        <v>#N/A</v>
      </c>
      <c r="T664" s="119" t="e">
        <f>+IF(J664=LOOKUP(J664,'CAFCO 300 IDIEM TABLAS'!$J$4:$J$40),'CALCULO MORTERO'!J664,MROUND('CALCULO MORTERO'!J664,10))</f>
        <v>#N/A</v>
      </c>
      <c r="U664" s="118">
        <f t="shared" si="71"/>
        <v>0</v>
      </c>
    </row>
    <row r="665" spans="1:21" x14ac:dyDescent="0.25">
      <c r="A665" s="118">
        <f>+CUBICACION!D659</f>
        <v>0</v>
      </c>
      <c r="B665" s="819">
        <f>+CUBICACION!E659</f>
        <v>0</v>
      </c>
      <c r="C665" s="675">
        <f>+CUBICACION!F659</f>
        <v>0</v>
      </c>
      <c r="D665" s="118"/>
      <c r="E665" s="118"/>
      <c r="F665" s="820"/>
      <c r="G665" s="675">
        <f>+CUBICACION!J659</f>
        <v>0</v>
      </c>
      <c r="H665" s="118"/>
      <c r="I665" s="821">
        <f>+CUBICACION!L659</f>
        <v>0</v>
      </c>
      <c r="J665" s="64">
        <f>+CUBICACION!M659</f>
        <v>0</v>
      </c>
      <c r="K665" s="822" t="str">
        <f>+CUBICACION!N659</f>
        <v/>
      </c>
      <c r="L665" s="118">
        <f>+CUBICACION!O659</f>
        <v>0</v>
      </c>
      <c r="M665" s="823">
        <f>+CUBICACION!P659</f>
        <v>0</v>
      </c>
      <c r="N665" s="902">
        <f>ROUND(IF(AND(L665="Blaze Shield II",M665="Software Idiem",C665="IN",G665=4),((('BLAZE SHIELD II'!$D$4*('CALCULO MORTERO'!I665^2)+'BLAZE SHIELD II'!$D$5*'CALCULO MORTERO'!I665+'BLAZE SHIELD II'!$D$6)*LN(J665))+('BLAZE SHIELD II'!$D$7*('CALCULO MORTERO'!I665^2)+'BLAZE SHIELD II'!$D$8*'CALCULO MORTERO'!I665+'BLAZE SHIELD II'!$D$9)),0)+IF(AND(L665="Blaze Shield II",M665="Software Idiem",C665="Cj"),((('BLAZE SHIELD II'!$H$4*('CALCULO MORTERO'!I665^2)+'BLAZE SHIELD II'!$H$5*'CALCULO MORTERO'!I665+'BLAZE SHIELD II'!$H$6)*LN(J665))+('BLAZE SHIELD II'!$H$7*('CALCULO MORTERO'!I665^2)+'BLAZE SHIELD II'!$H$8*'CALCULO MORTERO'!I665+'BLAZE SHIELD II'!$H$9)),0)+IF(AND(L665="Blaze Shield II",M665="Software Idiem",C665="C"),((('BLAZE SHIELD II'!$L$4*('CALCULO MORTERO'!I665^2)+'BLAZE SHIELD II'!$L$5*'CALCULO MORTERO'!I665+'BLAZE SHIELD II'!$L$6)*LN(J665))+('BLAZE SHIELD II'!$L$7*('CALCULO MORTERO'!I665^2)+'BLAZE SHIELD II'!$L$8*'CALCULO MORTERO'!I665+'BLAZE SHIELD II'!$L$9)),0)+IF(AND(L665="Blaze Shield II",M665="Software Idiem",C665="L"),((('BLAZE SHIELD II'!$L$4*('CALCULO MORTERO'!I665^2)+'BLAZE SHIELD II'!$L$5*'CALCULO MORTERO'!I665+'BLAZE SHIELD II'!$L$6)*LN(J665))+('BLAZE SHIELD II'!$L$7*('CALCULO MORTERO'!I665^2)+'BLAZE SHIELD II'!$L$8*'CALCULO MORTERO'!I665+'BLAZE SHIELD II'!$L$9)),0)+IF(AND(L665="Blaze Shield II",M665="Software Idiem",C665="IN",G665=3),((('BLAZE SHIELD II'!$H$14*('CALCULO MORTERO'!I665^2)+'BLAZE SHIELD II'!$H$15*'CALCULO MORTERO'!I665+'BLAZE SHIELD II'!$H$16)*LN(J665))+('BLAZE SHIELD II'!$H$17*('CALCULO MORTERO'!I665^2)+'BLAZE SHIELD II'!$H$18*'CALCULO MORTERO'!I665+'BLAZE SHIELD II'!$H$19)),0),0)+ROUND(IF(AND(L665="Cafco 400",M665="Software Idiem",C665="IN",G665=4),((('CAFCO 400 '!$H$7*(J665^4)+'CAFCO 400 '!$H$8*(J665^3)+'CAFCO 400 '!$H$9*(J665^2)+'CAFCO 400 '!$H$10*J665+'CAFCO 400 '!$H$11)*U665^2)+(('CAFCO 400 '!$H$12*(J665^3)+'CAFCO 400 '!$H$13*(J665^2)+'CAFCO 400 '!$H$14*J665+'CAFCO 400 '!$H$15)*U665)+('CAFCO 400 '!$H$16*(J665^2)+'CAFCO 400 '!$H$17*J665+'CAFCO 400 '!$H$18)),0)+IF(AND(L665="Cafco 400",M665="Software Idiem",C665="Cj"),(((('CAFCO 400 '!$D$7*LN(J665)+'CAFCO 400 '!$D$8)*U665^2)+(('CAFCO 400 '!$D$9*LN(J665)+'CAFCO 400 '!$D$10)*U665)+('CAFCO 400 '!$D$11*LN(J665)+'CAFCO 400 '!$D$12))),0)+IF(AND(L665="Cafco 400",M665="Software Idiem",C665="C"),((('CAFCO 400 '!$L$7*(J665^3)+'CAFCO 400 '!$L$8*(J665^2)+'CAFCO 400 '!$L$9*J665+'CAFCO 400 '!$L$10)*U665^2)+(('CAFCO 400 '!$L$11*(J665^3)+'CAFCO 400 '!$L$12*(J665^2)+'CAFCO 400 '!$L$13*J665+'CAFCO 400 '!$L$14)*U665)+('CAFCO 400 '!$L$15*LN(J665)+'CAFCO 400 '!$L$16)),0)+IF(AND(L665="Cafco 400",M665="Software Idiem",C665="L"),((('CAFCO 400 '!$L$7*(J665^3)+'CAFCO 400 '!$L$8*(J665^2)+'CAFCO 400 '!$L$9*J665+'CAFCO 400 '!$L$10)*U665^2)+(('CAFCO 400 '!$L$11*(J665^3)+'CAFCO 400 '!$L$12*(J665^2)+'CAFCO 400 '!$L$13*J665+'CAFCO 400 '!$L$14)*U665)+('CAFCO 400 '!$L$15*LN(J665)+'CAFCO 400 '!$L$16)),0)+IF(AND(L665="Cafco 400",M665="Software Idiem",C665="IN",G665=3),((('CAFCO 400 '!$D$23*(J665^2)+'CAFCO 400 '!$D$24*(J665)+'CAFCO 400 '!$D$25)*U665^2)+(('CAFCO 400 '!$D$26*(J665^2)+'CAFCO 400 '!$D$27*J665+'CAFCO 400 '!$D$28)*U665)+('CAFCO 400 '!$D$29*(J665^2)+'CAFCO 400 '!$D$30*J665+'CAFCO 400 '!$D$31)),0),0)+IF(AND(L665="Cafco 300",J665&gt;=95,J665&lt;=240,C665="Cj",I665=90),VLOOKUP(T665,'CAFCO 300 IDIEM TABLAS'!$B$4:$D$23,2,FALSE),0)+IF(AND(L665="Cafco 300",J665&gt;=95,J665&lt;=240,C665="Cj",I665=120),VLOOKUP(T665,'CAFCO 300 IDIEM TABLAS'!$B$4:$D$23,3,FALSE),0)+IF(AND(L665="Cafco 300",J665&gt;=95,J665&lt;=400,G665=3,C665="IN",I665=90),VLOOKUP(T665,'CAFCO 300 IDIEM TABLAS'!$F$4:$H$35,2,FALSE),0)+IF(AND(L665="Cafco 300",J665&gt;=95,J665&lt;=400,G665=3,C665="IN",I665=120),VLOOKUP(T665,'CAFCO 300 IDIEM TABLAS'!$F$4:$H$35,3,FALSE),0)+IF(AND(L665="Cafco 300",J665&gt;=95,J665&lt;=450,G665=4,C665="IN",I665=90),VLOOKUP(T665,'CAFCO 300 IDIEM TABLAS'!$J$4:$L$40,2,FALSE),0)+IF(AND(L665="Cafco 300",J665&gt;=95,J665&lt;=450,G665=4,C665="IN",I665=120),VLOOKUP(T665,'CAFCO 300 IDIEM TABLAS'!$J$4:$L$40,3,FALSE),0)+IF(AND(M665="Ensayo Idiem",L665="Cafco 400",C665="IN",G665=4,I665=90),VLOOKUP(T665,'CAFCO 400 ENSAYO'!$B$7:$D$43,2,FALSE),0)+IF(AND(M665="Ensayo Idiem",L665="Cafco 400",C665="IN",G665=4,I665=120),VLOOKUP(T665,'CAFCO 400 ENSAYO'!$B$7:$D$43,3,FALSE),0)</f>
        <v>0</v>
      </c>
      <c r="O665" s="96">
        <f t="shared" si="72"/>
        <v>0</v>
      </c>
      <c r="P665" s="132" t="str">
        <f t="shared" si="67"/>
        <v>N/A</v>
      </c>
      <c r="Q665" s="132" t="str">
        <f t="shared" si="68"/>
        <v>N/A</v>
      </c>
      <c r="R665" s="132" t="str">
        <f t="shared" si="69"/>
        <v>NO CERT.</v>
      </c>
      <c r="S665" s="132" t="e">
        <f t="shared" si="70"/>
        <v>#N/A</v>
      </c>
      <c r="T665" s="133" t="e">
        <f>+IF(J665=LOOKUP(J665,'CAFCO 300 IDIEM TABLAS'!$J$4:$J$40),'CALCULO MORTERO'!J665,MROUND('CALCULO MORTERO'!J665,10))</f>
        <v>#N/A</v>
      </c>
      <c r="U665" s="134">
        <f t="shared" si="71"/>
        <v>0</v>
      </c>
    </row>
    <row r="666" spans="1:21" x14ac:dyDescent="0.25">
      <c r="A666" s="118">
        <f>+CUBICACION!D660</f>
        <v>0</v>
      </c>
      <c r="B666" s="819">
        <f>+CUBICACION!E660</f>
        <v>0</v>
      </c>
      <c r="C666" s="675">
        <f>+CUBICACION!F660</f>
        <v>0</v>
      </c>
      <c r="D666" s="118"/>
      <c r="E666" s="118"/>
      <c r="F666" s="820"/>
      <c r="G666" s="675">
        <f>+CUBICACION!J660</f>
        <v>0</v>
      </c>
      <c r="H666" s="118"/>
      <c r="I666" s="821">
        <f>+CUBICACION!L660</f>
        <v>0</v>
      </c>
      <c r="J666" s="64">
        <f>+CUBICACION!M660</f>
        <v>0</v>
      </c>
      <c r="K666" s="822" t="str">
        <f>+CUBICACION!N660</f>
        <v/>
      </c>
      <c r="L666" s="118">
        <f>+CUBICACION!O660</f>
        <v>0</v>
      </c>
      <c r="M666" s="823">
        <f>+CUBICACION!P660</f>
        <v>0</v>
      </c>
      <c r="N666" s="902">
        <f>ROUND(IF(AND(L666="Blaze Shield II",M666="Software Idiem",C666="IN",G666=4),((('BLAZE SHIELD II'!$D$4*('CALCULO MORTERO'!I666^2)+'BLAZE SHIELD II'!$D$5*'CALCULO MORTERO'!I666+'BLAZE SHIELD II'!$D$6)*LN(J666))+('BLAZE SHIELD II'!$D$7*('CALCULO MORTERO'!I666^2)+'BLAZE SHIELD II'!$D$8*'CALCULO MORTERO'!I666+'BLAZE SHIELD II'!$D$9)),0)+IF(AND(L666="Blaze Shield II",M666="Software Idiem",C666="Cj"),((('BLAZE SHIELD II'!$H$4*('CALCULO MORTERO'!I666^2)+'BLAZE SHIELD II'!$H$5*'CALCULO MORTERO'!I666+'BLAZE SHIELD II'!$H$6)*LN(J666))+('BLAZE SHIELD II'!$H$7*('CALCULO MORTERO'!I666^2)+'BLAZE SHIELD II'!$H$8*'CALCULO MORTERO'!I666+'BLAZE SHIELD II'!$H$9)),0)+IF(AND(L666="Blaze Shield II",M666="Software Idiem",C666="C"),((('BLAZE SHIELD II'!$L$4*('CALCULO MORTERO'!I666^2)+'BLAZE SHIELD II'!$L$5*'CALCULO MORTERO'!I666+'BLAZE SHIELD II'!$L$6)*LN(J666))+('BLAZE SHIELD II'!$L$7*('CALCULO MORTERO'!I666^2)+'BLAZE SHIELD II'!$L$8*'CALCULO MORTERO'!I666+'BLAZE SHIELD II'!$L$9)),0)+IF(AND(L666="Blaze Shield II",M666="Software Idiem",C666="L"),((('BLAZE SHIELD II'!$L$4*('CALCULO MORTERO'!I666^2)+'BLAZE SHIELD II'!$L$5*'CALCULO MORTERO'!I666+'BLAZE SHIELD II'!$L$6)*LN(J666))+('BLAZE SHIELD II'!$L$7*('CALCULO MORTERO'!I666^2)+'BLAZE SHIELD II'!$L$8*'CALCULO MORTERO'!I666+'BLAZE SHIELD II'!$L$9)),0)+IF(AND(L666="Blaze Shield II",M666="Software Idiem",C666="IN",G666=3),((('BLAZE SHIELD II'!$H$14*('CALCULO MORTERO'!I666^2)+'BLAZE SHIELD II'!$H$15*'CALCULO MORTERO'!I666+'BLAZE SHIELD II'!$H$16)*LN(J666))+('BLAZE SHIELD II'!$H$17*('CALCULO MORTERO'!I666^2)+'BLAZE SHIELD II'!$H$18*'CALCULO MORTERO'!I666+'BLAZE SHIELD II'!$H$19)),0),0)+ROUND(IF(AND(L666="Cafco 400",M666="Software Idiem",C666="IN",G666=4),((('CAFCO 400 '!$H$7*(J666^4)+'CAFCO 400 '!$H$8*(J666^3)+'CAFCO 400 '!$H$9*(J666^2)+'CAFCO 400 '!$H$10*J666+'CAFCO 400 '!$H$11)*U666^2)+(('CAFCO 400 '!$H$12*(J666^3)+'CAFCO 400 '!$H$13*(J666^2)+'CAFCO 400 '!$H$14*J666+'CAFCO 400 '!$H$15)*U666)+('CAFCO 400 '!$H$16*(J666^2)+'CAFCO 400 '!$H$17*J666+'CAFCO 400 '!$H$18)),0)+IF(AND(L666="Cafco 400",M666="Software Idiem",C666="Cj"),(((('CAFCO 400 '!$D$7*LN(J666)+'CAFCO 400 '!$D$8)*U666^2)+(('CAFCO 400 '!$D$9*LN(J666)+'CAFCO 400 '!$D$10)*U666)+('CAFCO 400 '!$D$11*LN(J666)+'CAFCO 400 '!$D$12))),0)+IF(AND(L666="Cafco 400",M666="Software Idiem",C666="C"),((('CAFCO 400 '!$L$7*(J666^3)+'CAFCO 400 '!$L$8*(J666^2)+'CAFCO 400 '!$L$9*J666+'CAFCO 400 '!$L$10)*U666^2)+(('CAFCO 400 '!$L$11*(J666^3)+'CAFCO 400 '!$L$12*(J666^2)+'CAFCO 400 '!$L$13*J666+'CAFCO 400 '!$L$14)*U666)+('CAFCO 400 '!$L$15*LN(J666)+'CAFCO 400 '!$L$16)),0)+IF(AND(L666="Cafco 400",M666="Software Idiem",C666="L"),((('CAFCO 400 '!$L$7*(J666^3)+'CAFCO 400 '!$L$8*(J666^2)+'CAFCO 400 '!$L$9*J666+'CAFCO 400 '!$L$10)*U666^2)+(('CAFCO 400 '!$L$11*(J666^3)+'CAFCO 400 '!$L$12*(J666^2)+'CAFCO 400 '!$L$13*J666+'CAFCO 400 '!$L$14)*U666)+('CAFCO 400 '!$L$15*LN(J666)+'CAFCO 400 '!$L$16)),0)+IF(AND(L666="Cafco 400",M666="Software Idiem",C666="IN",G666=3),((('CAFCO 400 '!$D$23*(J666^2)+'CAFCO 400 '!$D$24*(J666)+'CAFCO 400 '!$D$25)*U666^2)+(('CAFCO 400 '!$D$26*(J666^2)+'CAFCO 400 '!$D$27*J666+'CAFCO 400 '!$D$28)*U666)+('CAFCO 400 '!$D$29*(J666^2)+'CAFCO 400 '!$D$30*J666+'CAFCO 400 '!$D$31)),0),0)+IF(AND(L666="Cafco 300",J666&gt;=95,J666&lt;=240,C666="Cj",I666=90),VLOOKUP(T666,'CAFCO 300 IDIEM TABLAS'!$B$4:$D$23,2,FALSE),0)+IF(AND(L666="Cafco 300",J666&gt;=95,J666&lt;=240,C666="Cj",I666=120),VLOOKUP(T666,'CAFCO 300 IDIEM TABLAS'!$B$4:$D$23,3,FALSE),0)+IF(AND(L666="Cafco 300",J666&gt;=95,J666&lt;=400,G666=3,C666="IN",I666=90),VLOOKUP(T666,'CAFCO 300 IDIEM TABLAS'!$F$4:$H$35,2,FALSE),0)+IF(AND(L666="Cafco 300",J666&gt;=95,J666&lt;=400,G666=3,C666="IN",I666=120),VLOOKUP(T666,'CAFCO 300 IDIEM TABLAS'!$F$4:$H$35,3,FALSE),0)+IF(AND(L666="Cafco 300",J666&gt;=95,J666&lt;=450,G666=4,C666="IN",I666=90),VLOOKUP(T666,'CAFCO 300 IDIEM TABLAS'!$J$4:$L$40,2,FALSE),0)+IF(AND(L666="Cafco 300",J666&gt;=95,J666&lt;=450,G666=4,C666="IN",I666=120),VLOOKUP(T666,'CAFCO 300 IDIEM TABLAS'!$J$4:$L$40,3,FALSE),0)+IF(AND(M666="Ensayo Idiem",L666="Cafco 400",C666="IN",G666=4,I666=90),VLOOKUP(T666,'CAFCO 400 ENSAYO'!$B$7:$D$43,2,FALSE),0)+IF(AND(M666="Ensayo Idiem",L666="Cafco 400",C666="IN",G666=4,I666=120),VLOOKUP(T666,'CAFCO 400 ENSAYO'!$B$7:$D$43,3,FALSE),0)</f>
        <v>0</v>
      </c>
      <c r="O666" s="96">
        <f t="shared" si="72"/>
        <v>0</v>
      </c>
      <c r="P666" s="95" t="str">
        <f t="shared" si="67"/>
        <v>N/A</v>
      </c>
      <c r="Q666" s="95" t="str">
        <f t="shared" si="68"/>
        <v>N/A</v>
      </c>
      <c r="R666" s="95" t="str">
        <f t="shared" si="69"/>
        <v>NO CERT.</v>
      </c>
      <c r="S666" s="95" t="e">
        <f t="shared" si="70"/>
        <v>#N/A</v>
      </c>
      <c r="T666" s="119" t="e">
        <f>+IF(J666=LOOKUP(J666,'CAFCO 300 IDIEM TABLAS'!$J$4:$J$40),'CALCULO MORTERO'!J666,MROUND('CALCULO MORTERO'!J666,10))</f>
        <v>#N/A</v>
      </c>
      <c r="U666" s="118">
        <f t="shared" si="71"/>
        <v>0</v>
      </c>
    </row>
    <row r="667" spans="1:21" x14ac:dyDescent="0.25">
      <c r="A667" s="118">
        <f>+CUBICACION!D661</f>
        <v>0</v>
      </c>
      <c r="B667" s="819">
        <f>+CUBICACION!E661</f>
        <v>0</v>
      </c>
      <c r="C667" s="675">
        <f>+CUBICACION!F661</f>
        <v>0</v>
      </c>
      <c r="D667" s="118"/>
      <c r="E667" s="118"/>
      <c r="F667" s="820"/>
      <c r="G667" s="675">
        <f>+CUBICACION!J661</f>
        <v>0</v>
      </c>
      <c r="H667" s="118"/>
      <c r="I667" s="821">
        <f>+CUBICACION!L661</f>
        <v>0</v>
      </c>
      <c r="J667" s="64">
        <f>+CUBICACION!M661</f>
        <v>0</v>
      </c>
      <c r="K667" s="822" t="str">
        <f>+CUBICACION!N661</f>
        <v/>
      </c>
      <c r="L667" s="118">
        <f>+CUBICACION!O661</f>
        <v>0</v>
      </c>
      <c r="M667" s="823">
        <f>+CUBICACION!P661</f>
        <v>0</v>
      </c>
      <c r="N667" s="902">
        <f>ROUND(IF(AND(L667="Blaze Shield II",M667="Software Idiem",C667="IN",G667=4),((('BLAZE SHIELD II'!$D$4*('CALCULO MORTERO'!I667^2)+'BLAZE SHIELD II'!$D$5*'CALCULO MORTERO'!I667+'BLAZE SHIELD II'!$D$6)*LN(J667))+('BLAZE SHIELD II'!$D$7*('CALCULO MORTERO'!I667^2)+'BLAZE SHIELD II'!$D$8*'CALCULO MORTERO'!I667+'BLAZE SHIELD II'!$D$9)),0)+IF(AND(L667="Blaze Shield II",M667="Software Idiem",C667="Cj"),((('BLAZE SHIELD II'!$H$4*('CALCULO MORTERO'!I667^2)+'BLAZE SHIELD II'!$H$5*'CALCULO MORTERO'!I667+'BLAZE SHIELD II'!$H$6)*LN(J667))+('BLAZE SHIELD II'!$H$7*('CALCULO MORTERO'!I667^2)+'BLAZE SHIELD II'!$H$8*'CALCULO MORTERO'!I667+'BLAZE SHIELD II'!$H$9)),0)+IF(AND(L667="Blaze Shield II",M667="Software Idiem",C667="C"),((('BLAZE SHIELD II'!$L$4*('CALCULO MORTERO'!I667^2)+'BLAZE SHIELD II'!$L$5*'CALCULO MORTERO'!I667+'BLAZE SHIELD II'!$L$6)*LN(J667))+('BLAZE SHIELD II'!$L$7*('CALCULO MORTERO'!I667^2)+'BLAZE SHIELD II'!$L$8*'CALCULO MORTERO'!I667+'BLAZE SHIELD II'!$L$9)),0)+IF(AND(L667="Blaze Shield II",M667="Software Idiem",C667="L"),((('BLAZE SHIELD II'!$L$4*('CALCULO MORTERO'!I667^2)+'BLAZE SHIELD II'!$L$5*'CALCULO MORTERO'!I667+'BLAZE SHIELD II'!$L$6)*LN(J667))+('BLAZE SHIELD II'!$L$7*('CALCULO MORTERO'!I667^2)+'BLAZE SHIELD II'!$L$8*'CALCULO MORTERO'!I667+'BLAZE SHIELD II'!$L$9)),0)+IF(AND(L667="Blaze Shield II",M667="Software Idiem",C667="IN",G667=3),((('BLAZE SHIELD II'!$H$14*('CALCULO MORTERO'!I667^2)+'BLAZE SHIELD II'!$H$15*'CALCULO MORTERO'!I667+'BLAZE SHIELD II'!$H$16)*LN(J667))+('BLAZE SHIELD II'!$H$17*('CALCULO MORTERO'!I667^2)+'BLAZE SHIELD II'!$H$18*'CALCULO MORTERO'!I667+'BLAZE SHIELD II'!$H$19)),0),0)+ROUND(IF(AND(L667="Cafco 400",M667="Software Idiem",C667="IN",G667=4),((('CAFCO 400 '!$H$7*(J667^4)+'CAFCO 400 '!$H$8*(J667^3)+'CAFCO 400 '!$H$9*(J667^2)+'CAFCO 400 '!$H$10*J667+'CAFCO 400 '!$H$11)*U667^2)+(('CAFCO 400 '!$H$12*(J667^3)+'CAFCO 400 '!$H$13*(J667^2)+'CAFCO 400 '!$H$14*J667+'CAFCO 400 '!$H$15)*U667)+('CAFCO 400 '!$H$16*(J667^2)+'CAFCO 400 '!$H$17*J667+'CAFCO 400 '!$H$18)),0)+IF(AND(L667="Cafco 400",M667="Software Idiem",C667="Cj"),(((('CAFCO 400 '!$D$7*LN(J667)+'CAFCO 400 '!$D$8)*U667^2)+(('CAFCO 400 '!$D$9*LN(J667)+'CAFCO 400 '!$D$10)*U667)+('CAFCO 400 '!$D$11*LN(J667)+'CAFCO 400 '!$D$12))),0)+IF(AND(L667="Cafco 400",M667="Software Idiem",C667="C"),((('CAFCO 400 '!$L$7*(J667^3)+'CAFCO 400 '!$L$8*(J667^2)+'CAFCO 400 '!$L$9*J667+'CAFCO 400 '!$L$10)*U667^2)+(('CAFCO 400 '!$L$11*(J667^3)+'CAFCO 400 '!$L$12*(J667^2)+'CAFCO 400 '!$L$13*J667+'CAFCO 400 '!$L$14)*U667)+('CAFCO 400 '!$L$15*LN(J667)+'CAFCO 400 '!$L$16)),0)+IF(AND(L667="Cafco 400",M667="Software Idiem",C667="L"),((('CAFCO 400 '!$L$7*(J667^3)+'CAFCO 400 '!$L$8*(J667^2)+'CAFCO 400 '!$L$9*J667+'CAFCO 400 '!$L$10)*U667^2)+(('CAFCO 400 '!$L$11*(J667^3)+'CAFCO 400 '!$L$12*(J667^2)+'CAFCO 400 '!$L$13*J667+'CAFCO 400 '!$L$14)*U667)+('CAFCO 400 '!$L$15*LN(J667)+'CAFCO 400 '!$L$16)),0)+IF(AND(L667="Cafco 400",M667="Software Idiem",C667="IN",G667=3),((('CAFCO 400 '!$D$23*(J667^2)+'CAFCO 400 '!$D$24*(J667)+'CAFCO 400 '!$D$25)*U667^2)+(('CAFCO 400 '!$D$26*(J667^2)+'CAFCO 400 '!$D$27*J667+'CAFCO 400 '!$D$28)*U667)+('CAFCO 400 '!$D$29*(J667^2)+'CAFCO 400 '!$D$30*J667+'CAFCO 400 '!$D$31)),0),0)+IF(AND(L667="Cafco 300",J667&gt;=95,J667&lt;=240,C667="Cj",I667=90),VLOOKUP(T667,'CAFCO 300 IDIEM TABLAS'!$B$4:$D$23,2,FALSE),0)+IF(AND(L667="Cafco 300",J667&gt;=95,J667&lt;=240,C667="Cj",I667=120),VLOOKUP(T667,'CAFCO 300 IDIEM TABLAS'!$B$4:$D$23,3,FALSE),0)+IF(AND(L667="Cafco 300",J667&gt;=95,J667&lt;=400,G667=3,C667="IN",I667=90),VLOOKUP(T667,'CAFCO 300 IDIEM TABLAS'!$F$4:$H$35,2,FALSE),0)+IF(AND(L667="Cafco 300",J667&gt;=95,J667&lt;=400,G667=3,C667="IN",I667=120),VLOOKUP(T667,'CAFCO 300 IDIEM TABLAS'!$F$4:$H$35,3,FALSE),0)+IF(AND(L667="Cafco 300",J667&gt;=95,J667&lt;=450,G667=4,C667="IN",I667=90),VLOOKUP(T667,'CAFCO 300 IDIEM TABLAS'!$J$4:$L$40,2,FALSE),0)+IF(AND(L667="Cafco 300",J667&gt;=95,J667&lt;=450,G667=4,C667="IN",I667=120),VLOOKUP(T667,'CAFCO 300 IDIEM TABLAS'!$J$4:$L$40,3,FALSE),0)+IF(AND(M667="Ensayo Idiem",L667="Cafco 400",C667="IN",G667=4,I667=90),VLOOKUP(T667,'CAFCO 400 ENSAYO'!$B$7:$D$43,2,FALSE),0)+IF(AND(M667="Ensayo Idiem",L667="Cafco 400",C667="IN",G667=4,I667=120),VLOOKUP(T667,'CAFCO 400 ENSAYO'!$B$7:$D$43,3,FALSE),0)</f>
        <v>0</v>
      </c>
      <c r="O667" s="96">
        <f t="shared" si="72"/>
        <v>0</v>
      </c>
      <c r="P667" s="132" t="str">
        <f t="shared" si="67"/>
        <v>N/A</v>
      </c>
      <c r="Q667" s="132" t="str">
        <f t="shared" si="68"/>
        <v>N/A</v>
      </c>
      <c r="R667" s="132" t="str">
        <f t="shared" si="69"/>
        <v>NO CERT.</v>
      </c>
      <c r="S667" s="132" t="e">
        <f t="shared" si="70"/>
        <v>#N/A</v>
      </c>
      <c r="T667" s="133" t="e">
        <f>+IF(J667=LOOKUP(J667,'CAFCO 300 IDIEM TABLAS'!$J$4:$J$40),'CALCULO MORTERO'!J667,MROUND('CALCULO MORTERO'!J667,10))</f>
        <v>#N/A</v>
      </c>
      <c r="U667" s="134">
        <f t="shared" si="71"/>
        <v>0</v>
      </c>
    </row>
    <row r="668" spans="1:21" x14ac:dyDescent="0.25">
      <c r="A668" s="118">
        <f>+CUBICACION!D662</f>
        <v>0</v>
      </c>
      <c r="B668" s="819">
        <f>+CUBICACION!E662</f>
        <v>0</v>
      </c>
      <c r="C668" s="675">
        <f>+CUBICACION!F662</f>
        <v>0</v>
      </c>
      <c r="D668" s="118"/>
      <c r="E668" s="118"/>
      <c r="F668" s="820"/>
      <c r="G668" s="675">
        <f>+CUBICACION!J662</f>
        <v>0</v>
      </c>
      <c r="H668" s="118"/>
      <c r="I668" s="821">
        <f>+CUBICACION!L662</f>
        <v>0</v>
      </c>
      <c r="J668" s="64">
        <f>+CUBICACION!M662</f>
        <v>0</v>
      </c>
      <c r="K668" s="822" t="str">
        <f>+CUBICACION!N662</f>
        <v/>
      </c>
      <c r="L668" s="118">
        <f>+CUBICACION!O662</f>
        <v>0</v>
      </c>
      <c r="M668" s="823">
        <f>+CUBICACION!P662</f>
        <v>0</v>
      </c>
      <c r="N668" s="902">
        <f>ROUND(IF(AND(L668="Blaze Shield II",M668="Software Idiem",C668="IN",G668=4),((('BLAZE SHIELD II'!$D$4*('CALCULO MORTERO'!I668^2)+'BLAZE SHIELD II'!$D$5*'CALCULO MORTERO'!I668+'BLAZE SHIELD II'!$D$6)*LN(J668))+('BLAZE SHIELD II'!$D$7*('CALCULO MORTERO'!I668^2)+'BLAZE SHIELD II'!$D$8*'CALCULO MORTERO'!I668+'BLAZE SHIELD II'!$D$9)),0)+IF(AND(L668="Blaze Shield II",M668="Software Idiem",C668="Cj"),((('BLAZE SHIELD II'!$H$4*('CALCULO MORTERO'!I668^2)+'BLAZE SHIELD II'!$H$5*'CALCULO MORTERO'!I668+'BLAZE SHIELD II'!$H$6)*LN(J668))+('BLAZE SHIELD II'!$H$7*('CALCULO MORTERO'!I668^2)+'BLAZE SHIELD II'!$H$8*'CALCULO MORTERO'!I668+'BLAZE SHIELD II'!$H$9)),0)+IF(AND(L668="Blaze Shield II",M668="Software Idiem",C668="C"),((('BLAZE SHIELD II'!$L$4*('CALCULO MORTERO'!I668^2)+'BLAZE SHIELD II'!$L$5*'CALCULO MORTERO'!I668+'BLAZE SHIELD II'!$L$6)*LN(J668))+('BLAZE SHIELD II'!$L$7*('CALCULO MORTERO'!I668^2)+'BLAZE SHIELD II'!$L$8*'CALCULO MORTERO'!I668+'BLAZE SHIELD II'!$L$9)),0)+IF(AND(L668="Blaze Shield II",M668="Software Idiem",C668="L"),((('BLAZE SHIELD II'!$L$4*('CALCULO MORTERO'!I668^2)+'BLAZE SHIELD II'!$L$5*'CALCULO MORTERO'!I668+'BLAZE SHIELD II'!$L$6)*LN(J668))+('BLAZE SHIELD II'!$L$7*('CALCULO MORTERO'!I668^2)+'BLAZE SHIELD II'!$L$8*'CALCULO MORTERO'!I668+'BLAZE SHIELD II'!$L$9)),0)+IF(AND(L668="Blaze Shield II",M668="Software Idiem",C668="IN",G668=3),((('BLAZE SHIELD II'!$H$14*('CALCULO MORTERO'!I668^2)+'BLAZE SHIELD II'!$H$15*'CALCULO MORTERO'!I668+'BLAZE SHIELD II'!$H$16)*LN(J668))+('BLAZE SHIELD II'!$H$17*('CALCULO MORTERO'!I668^2)+'BLAZE SHIELD II'!$H$18*'CALCULO MORTERO'!I668+'BLAZE SHIELD II'!$H$19)),0),0)+ROUND(IF(AND(L668="Cafco 400",M668="Software Idiem",C668="IN",G668=4),((('CAFCO 400 '!$H$7*(J668^4)+'CAFCO 400 '!$H$8*(J668^3)+'CAFCO 400 '!$H$9*(J668^2)+'CAFCO 400 '!$H$10*J668+'CAFCO 400 '!$H$11)*U668^2)+(('CAFCO 400 '!$H$12*(J668^3)+'CAFCO 400 '!$H$13*(J668^2)+'CAFCO 400 '!$H$14*J668+'CAFCO 400 '!$H$15)*U668)+('CAFCO 400 '!$H$16*(J668^2)+'CAFCO 400 '!$H$17*J668+'CAFCO 400 '!$H$18)),0)+IF(AND(L668="Cafco 400",M668="Software Idiem",C668="Cj"),(((('CAFCO 400 '!$D$7*LN(J668)+'CAFCO 400 '!$D$8)*U668^2)+(('CAFCO 400 '!$D$9*LN(J668)+'CAFCO 400 '!$D$10)*U668)+('CAFCO 400 '!$D$11*LN(J668)+'CAFCO 400 '!$D$12))),0)+IF(AND(L668="Cafco 400",M668="Software Idiem",C668="C"),((('CAFCO 400 '!$L$7*(J668^3)+'CAFCO 400 '!$L$8*(J668^2)+'CAFCO 400 '!$L$9*J668+'CAFCO 400 '!$L$10)*U668^2)+(('CAFCO 400 '!$L$11*(J668^3)+'CAFCO 400 '!$L$12*(J668^2)+'CAFCO 400 '!$L$13*J668+'CAFCO 400 '!$L$14)*U668)+('CAFCO 400 '!$L$15*LN(J668)+'CAFCO 400 '!$L$16)),0)+IF(AND(L668="Cafco 400",M668="Software Idiem",C668="L"),((('CAFCO 400 '!$L$7*(J668^3)+'CAFCO 400 '!$L$8*(J668^2)+'CAFCO 400 '!$L$9*J668+'CAFCO 400 '!$L$10)*U668^2)+(('CAFCO 400 '!$L$11*(J668^3)+'CAFCO 400 '!$L$12*(J668^2)+'CAFCO 400 '!$L$13*J668+'CAFCO 400 '!$L$14)*U668)+('CAFCO 400 '!$L$15*LN(J668)+'CAFCO 400 '!$L$16)),0)+IF(AND(L668="Cafco 400",M668="Software Idiem",C668="IN",G668=3),((('CAFCO 400 '!$D$23*(J668^2)+'CAFCO 400 '!$D$24*(J668)+'CAFCO 400 '!$D$25)*U668^2)+(('CAFCO 400 '!$D$26*(J668^2)+'CAFCO 400 '!$D$27*J668+'CAFCO 400 '!$D$28)*U668)+('CAFCO 400 '!$D$29*(J668^2)+'CAFCO 400 '!$D$30*J668+'CAFCO 400 '!$D$31)),0),0)+IF(AND(L668="Cafco 300",J668&gt;=95,J668&lt;=240,C668="Cj",I668=90),VLOOKUP(T668,'CAFCO 300 IDIEM TABLAS'!$B$4:$D$23,2,FALSE),0)+IF(AND(L668="Cafco 300",J668&gt;=95,J668&lt;=240,C668="Cj",I668=120),VLOOKUP(T668,'CAFCO 300 IDIEM TABLAS'!$B$4:$D$23,3,FALSE),0)+IF(AND(L668="Cafco 300",J668&gt;=95,J668&lt;=400,G668=3,C668="IN",I668=90),VLOOKUP(T668,'CAFCO 300 IDIEM TABLAS'!$F$4:$H$35,2,FALSE),0)+IF(AND(L668="Cafco 300",J668&gt;=95,J668&lt;=400,G668=3,C668="IN",I668=120),VLOOKUP(T668,'CAFCO 300 IDIEM TABLAS'!$F$4:$H$35,3,FALSE),0)+IF(AND(L668="Cafco 300",J668&gt;=95,J668&lt;=450,G668=4,C668="IN",I668=90),VLOOKUP(T668,'CAFCO 300 IDIEM TABLAS'!$J$4:$L$40,2,FALSE),0)+IF(AND(L668="Cafco 300",J668&gt;=95,J668&lt;=450,G668=4,C668="IN",I668=120),VLOOKUP(T668,'CAFCO 300 IDIEM TABLAS'!$J$4:$L$40,3,FALSE),0)+IF(AND(M668="Ensayo Idiem",L668="Cafco 400",C668="IN",G668=4,I668=90),VLOOKUP(T668,'CAFCO 400 ENSAYO'!$B$7:$D$43,2,FALSE),0)+IF(AND(M668="Ensayo Idiem",L668="Cafco 400",C668="IN",G668=4,I668=120),VLOOKUP(T668,'CAFCO 400 ENSAYO'!$B$7:$D$43,3,FALSE),0)</f>
        <v>0</v>
      </c>
      <c r="O668" s="96">
        <f t="shared" si="72"/>
        <v>0</v>
      </c>
      <c r="P668" s="95" t="str">
        <f t="shared" si="67"/>
        <v>N/A</v>
      </c>
      <c r="Q668" s="95" t="str">
        <f t="shared" si="68"/>
        <v>N/A</v>
      </c>
      <c r="R668" s="95" t="str">
        <f t="shared" si="69"/>
        <v>NO CERT.</v>
      </c>
      <c r="S668" s="95" t="e">
        <f t="shared" si="70"/>
        <v>#N/A</v>
      </c>
      <c r="T668" s="119" t="e">
        <f>+IF(J668=LOOKUP(J668,'CAFCO 300 IDIEM TABLAS'!$J$4:$J$40),'CALCULO MORTERO'!J668,MROUND('CALCULO MORTERO'!J668,10))</f>
        <v>#N/A</v>
      </c>
      <c r="U668" s="118">
        <f t="shared" si="71"/>
        <v>0</v>
      </c>
    </row>
    <row r="669" spans="1:21" x14ac:dyDescent="0.25">
      <c r="A669" s="118">
        <f>+CUBICACION!D663</f>
        <v>0</v>
      </c>
      <c r="B669" s="819">
        <f>+CUBICACION!E663</f>
        <v>0</v>
      </c>
      <c r="C669" s="675">
        <f>+CUBICACION!F663</f>
        <v>0</v>
      </c>
      <c r="D669" s="118"/>
      <c r="E669" s="118"/>
      <c r="F669" s="820"/>
      <c r="G669" s="675">
        <f>+CUBICACION!J663</f>
        <v>0</v>
      </c>
      <c r="H669" s="118"/>
      <c r="I669" s="821">
        <f>+CUBICACION!L663</f>
        <v>0</v>
      </c>
      <c r="J669" s="64">
        <f>+CUBICACION!M663</f>
        <v>0</v>
      </c>
      <c r="K669" s="822" t="str">
        <f>+CUBICACION!N663</f>
        <v/>
      </c>
      <c r="L669" s="118">
        <f>+CUBICACION!O663</f>
        <v>0</v>
      </c>
      <c r="M669" s="823">
        <f>+CUBICACION!P663</f>
        <v>0</v>
      </c>
      <c r="N669" s="902">
        <f>ROUND(IF(AND(L669="Blaze Shield II",M669="Software Idiem",C669="IN",G669=4),((('BLAZE SHIELD II'!$D$4*('CALCULO MORTERO'!I669^2)+'BLAZE SHIELD II'!$D$5*'CALCULO MORTERO'!I669+'BLAZE SHIELD II'!$D$6)*LN(J669))+('BLAZE SHIELD II'!$D$7*('CALCULO MORTERO'!I669^2)+'BLAZE SHIELD II'!$D$8*'CALCULO MORTERO'!I669+'BLAZE SHIELD II'!$D$9)),0)+IF(AND(L669="Blaze Shield II",M669="Software Idiem",C669="Cj"),((('BLAZE SHIELD II'!$H$4*('CALCULO MORTERO'!I669^2)+'BLAZE SHIELD II'!$H$5*'CALCULO MORTERO'!I669+'BLAZE SHIELD II'!$H$6)*LN(J669))+('BLAZE SHIELD II'!$H$7*('CALCULO MORTERO'!I669^2)+'BLAZE SHIELD II'!$H$8*'CALCULO MORTERO'!I669+'BLAZE SHIELD II'!$H$9)),0)+IF(AND(L669="Blaze Shield II",M669="Software Idiem",C669="C"),((('BLAZE SHIELD II'!$L$4*('CALCULO MORTERO'!I669^2)+'BLAZE SHIELD II'!$L$5*'CALCULO MORTERO'!I669+'BLAZE SHIELD II'!$L$6)*LN(J669))+('BLAZE SHIELD II'!$L$7*('CALCULO MORTERO'!I669^2)+'BLAZE SHIELD II'!$L$8*'CALCULO MORTERO'!I669+'BLAZE SHIELD II'!$L$9)),0)+IF(AND(L669="Blaze Shield II",M669="Software Idiem",C669="L"),((('BLAZE SHIELD II'!$L$4*('CALCULO MORTERO'!I669^2)+'BLAZE SHIELD II'!$L$5*'CALCULO MORTERO'!I669+'BLAZE SHIELD II'!$L$6)*LN(J669))+('BLAZE SHIELD II'!$L$7*('CALCULO MORTERO'!I669^2)+'BLAZE SHIELD II'!$L$8*'CALCULO MORTERO'!I669+'BLAZE SHIELD II'!$L$9)),0)+IF(AND(L669="Blaze Shield II",M669="Software Idiem",C669="IN",G669=3),((('BLAZE SHIELD II'!$H$14*('CALCULO MORTERO'!I669^2)+'BLAZE SHIELD II'!$H$15*'CALCULO MORTERO'!I669+'BLAZE SHIELD II'!$H$16)*LN(J669))+('BLAZE SHIELD II'!$H$17*('CALCULO MORTERO'!I669^2)+'BLAZE SHIELD II'!$H$18*'CALCULO MORTERO'!I669+'BLAZE SHIELD II'!$H$19)),0),0)+ROUND(IF(AND(L669="Cafco 400",M669="Software Idiem",C669="IN",G669=4),((('CAFCO 400 '!$H$7*(J669^4)+'CAFCO 400 '!$H$8*(J669^3)+'CAFCO 400 '!$H$9*(J669^2)+'CAFCO 400 '!$H$10*J669+'CAFCO 400 '!$H$11)*U669^2)+(('CAFCO 400 '!$H$12*(J669^3)+'CAFCO 400 '!$H$13*(J669^2)+'CAFCO 400 '!$H$14*J669+'CAFCO 400 '!$H$15)*U669)+('CAFCO 400 '!$H$16*(J669^2)+'CAFCO 400 '!$H$17*J669+'CAFCO 400 '!$H$18)),0)+IF(AND(L669="Cafco 400",M669="Software Idiem",C669="Cj"),(((('CAFCO 400 '!$D$7*LN(J669)+'CAFCO 400 '!$D$8)*U669^2)+(('CAFCO 400 '!$D$9*LN(J669)+'CAFCO 400 '!$D$10)*U669)+('CAFCO 400 '!$D$11*LN(J669)+'CAFCO 400 '!$D$12))),0)+IF(AND(L669="Cafco 400",M669="Software Idiem",C669="C"),((('CAFCO 400 '!$L$7*(J669^3)+'CAFCO 400 '!$L$8*(J669^2)+'CAFCO 400 '!$L$9*J669+'CAFCO 400 '!$L$10)*U669^2)+(('CAFCO 400 '!$L$11*(J669^3)+'CAFCO 400 '!$L$12*(J669^2)+'CAFCO 400 '!$L$13*J669+'CAFCO 400 '!$L$14)*U669)+('CAFCO 400 '!$L$15*LN(J669)+'CAFCO 400 '!$L$16)),0)+IF(AND(L669="Cafco 400",M669="Software Idiem",C669="L"),((('CAFCO 400 '!$L$7*(J669^3)+'CAFCO 400 '!$L$8*(J669^2)+'CAFCO 400 '!$L$9*J669+'CAFCO 400 '!$L$10)*U669^2)+(('CAFCO 400 '!$L$11*(J669^3)+'CAFCO 400 '!$L$12*(J669^2)+'CAFCO 400 '!$L$13*J669+'CAFCO 400 '!$L$14)*U669)+('CAFCO 400 '!$L$15*LN(J669)+'CAFCO 400 '!$L$16)),0)+IF(AND(L669="Cafco 400",M669="Software Idiem",C669="IN",G669=3),((('CAFCO 400 '!$D$23*(J669^2)+'CAFCO 400 '!$D$24*(J669)+'CAFCO 400 '!$D$25)*U669^2)+(('CAFCO 400 '!$D$26*(J669^2)+'CAFCO 400 '!$D$27*J669+'CAFCO 400 '!$D$28)*U669)+('CAFCO 400 '!$D$29*(J669^2)+'CAFCO 400 '!$D$30*J669+'CAFCO 400 '!$D$31)),0),0)+IF(AND(L669="Cafco 300",J669&gt;=95,J669&lt;=240,C669="Cj",I669=90),VLOOKUP(T669,'CAFCO 300 IDIEM TABLAS'!$B$4:$D$23,2,FALSE),0)+IF(AND(L669="Cafco 300",J669&gt;=95,J669&lt;=240,C669="Cj",I669=120),VLOOKUP(T669,'CAFCO 300 IDIEM TABLAS'!$B$4:$D$23,3,FALSE),0)+IF(AND(L669="Cafco 300",J669&gt;=95,J669&lt;=400,G669=3,C669="IN",I669=90),VLOOKUP(T669,'CAFCO 300 IDIEM TABLAS'!$F$4:$H$35,2,FALSE),0)+IF(AND(L669="Cafco 300",J669&gt;=95,J669&lt;=400,G669=3,C669="IN",I669=120),VLOOKUP(T669,'CAFCO 300 IDIEM TABLAS'!$F$4:$H$35,3,FALSE),0)+IF(AND(L669="Cafco 300",J669&gt;=95,J669&lt;=450,G669=4,C669="IN",I669=90),VLOOKUP(T669,'CAFCO 300 IDIEM TABLAS'!$J$4:$L$40,2,FALSE),0)+IF(AND(L669="Cafco 300",J669&gt;=95,J669&lt;=450,G669=4,C669="IN",I669=120),VLOOKUP(T669,'CAFCO 300 IDIEM TABLAS'!$J$4:$L$40,3,FALSE),0)+IF(AND(M669="Ensayo Idiem",L669="Cafco 400",C669="IN",G669=4,I669=90),VLOOKUP(T669,'CAFCO 400 ENSAYO'!$B$7:$D$43,2,FALSE),0)+IF(AND(M669="Ensayo Idiem",L669="Cafco 400",C669="IN",G669=4,I669=120),VLOOKUP(T669,'CAFCO 400 ENSAYO'!$B$7:$D$43,3,FALSE),0)</f>
        <v>0</v>
      </c>
      <c r="O669" s="96">
        <f t="shared" si="72"/>
        <v>0</v>
      </c>
      <c r="P669" s="132" t="str">
        <f t="shared" si="67"/>
        <v>N/A</v>
      </c>
      <c r="Q669" s="132" t="str">
        <f t="shared" si="68"/>
        <v>N/A</v>
      </c>
      <c r="R669" s="132" t="str">
        <f t="shared" si="69"/>
        <v>NO CERT.</v>
      </c>
      <c r="S669" s="132" t="e">
        <f t="shared" si="70"/>
        <v>#N/A</v>
      </c>
      <c r="T669" s="133" t="e">
        <f>+IF(J669=LOOKUP(J669,'CAFCO 300 IDIEM TABLAS'!$J$4:$J$40),'CALCULO MORTERO'!J669,MROUND('CALCULO MORTERO'!J669,10))</f>
        <v>#N/A</v>
      </c>
      <c r="U669" s="134">
        <f t="shared" si="71"/>
        <v>0</v>
      </c>
    </row>
    <row r="670" spans="1:21" x14ac:dyDescent="0.25">
      <c r="A670" s="118">
        <f>+CUBICACION!D664</f>
        <v>0</v>
      </c>
      <c r="B670" s="819">
        <f>+CUBICACION!E664</f>
        <v>0</v>
      </c>
      <c r="C670" s="675">
        <f>+CUBICACION!F664</f>
        <v>0</v>
      </c>
      <c r="D670" s="118"/>
      <c r="E670" s="118"/>
      <c r="F670" s="820"/>
      <c r="G670" s="675">
        <f>+CUBICACION!J664</f>
        <v>0</v>
      </c>
      <c r="H670" s="118"/>
      <c r="I670" s="821">
        <f>+CUBICACION!L664</f>
        <v>0</v>
      </c>
      <c r="J670" s="64">
        <f>+CUBICACION!M664</f>
        <v>0</v>
      </c>
      <c r="K670" s="822" t="str">
        <f>+CUBICACION!N664</f>
        <v/>
      </c>
      <c r="L670" s="118">
        <f>+CUBICACION!O664</f>
        <v>0</v>
      </c>
      <c r="M670" s="823">
        <f>+CUBICACION!P664</f>
        <v>0</v>
      </c>
      <c r="N670" s="902">
        <f>ROUND(IF(AND(L670="Blaze Shield II",M670="Software Idiem",C670="IN",G670=4),((('BLAZE SHIELD II'!$D$4*('CALCULO MORTERO'!I670^2)+'BLAZE SHIELD II'!$D$5*'CALCULO MORTERO'!I670+'BLAZE SHIELD II'!$D$6)*LN(J670))+('BLAZE SHIELD II'!$D$7*('CALCULO MORTERO'!I670^2)+'BLAZE SHIELD II'!$D$8*'CALCULO MORTERO'!I670+'BLAZE SHIELD II'!$D$9)),0)+IF(AND(L670="Blaze Shield II",M670="Software Idiem",C670="Cj"),((('BLAZE SHIELD II'!$H$4*('CALCULO MORTERO'!I670^2)+'BLAZE SHIELD II'!$H$5*'CALCULO MORTERO'!I670+'BLAZE SHIELD II'!$H$6)*LN(J670))+('BLAZE SHIELD II'!$H$7*('CALCULO MORTERO'!I670^2)+'BLAZE SHIELD II'!$H$8*'CALCULO MORTERO'!I670+'BLAZE SHIELD II'!$H$9)),0)+IF(AND(L670="Blaze Shield II",M670="Software Idiem",C670="C"),((('BLAZE SHIELD II'!$L$4*('CALCULO MORTERO'!I670^2)+'BLAZE SHIELD II'!$L$5*'CALCULO MORTERO'!I670+'BLAZE SHIELD II'!$L$6)*LN(J670))+('BLAZE SHIELD II'!$L$7*('CALCULO MORTERO'!I670^2)+'BLAZE SHIELD II'!$L$8*'CALCULO MORTERO'!I670+'BLAZE SHIELD II'!$L$9)),0)+IF(AND(L670="Blaze Shield II",M670="Software Idiem",C670="L"),((('BLAZE SHIELD II'!$L$4*('CALCULO MORTERO'!I670^2)+'BLAZE SHIELD II'!$L$5*'CALCULO MORTERO'!I670+'BLAZE SHIELD II'!$L$6)*LN(J670))+('BLAZE SHIELD II'!$L$7*('CALCULO MORTERO'!I670^2)+'BLAZE SHIELD II'!$L$8*'CALCULO MORTERO'!I670+'BLAZE SHIELD II'!$L$9)),0)+IF(AND(L670="Blaze Shield II",M670="Software Idiem",C670="IN",G670=3),((('BLAZE SHIELD II'!$H$14*('CALCULO MORTERO'!I670^2)+'BLAZE SHIELD II'!$H$15*'CALCULO MORTERO'!I670+'BLAZE SHIELD II'!$H$16)*LN(J670))+('BLAZE SHIELD II'!$H$17*('CALCULO MORTERO'!I670^2)+'BLAZE SHIELD II'!$H$18*'CALCULO MORTERO'!I670+'BLAZE SHIELD II'!$H$19)),0),0)+ROUND(IF(AND(L670="Cafco 400",M670="Software Idiem",C670="IN",G670=4),((('CAFCO 400 '!$H$7*(J670^4)+'CAFCO 400 '!$H$8*(J670^3)+'CAFCO 400 '!$H$9*(J670^2)+'CAFCO 400 '!$H$10*J670+'CAFCO 400 '!$H$11)*U670^2)+(('CAFCO 400 '!$H$12*(J670^3)+'CAFCO 400 '!$H$13*(J670^2)+'CAFCO 400 '!$H$14*J670+'CAFCO 400 '!$H$15)*U670)+('CAFCO 400 '!$H$16*(J670^2)+'CAFCO 400 '!$H$17*J670+'CAFCO 400 '!$H$18)),0)+IF(AND(L670="Cafco 400",M670="Software Idiem",C670="Cj"),(((('CAFCO 400 '!$D$7*LN(J670)+'CAFCO 400 '!$D$8)*U670^2)+(('CAFCO 400 '!$D$9*LN(J670)+'CAFCO 400 '!$D$10)*U670)+('CAFCO 400 '!$D$11*LN(J670)+'CAFCO 400 '!$D$12))),0)+IF(AND(L670="Cafco 400",M670="Software Idiem",C670="C"),((('CAFCO 400 '!$L$7*(J670^3)+'CAFCO 400 '!$L$8*(J670^2)+'CAFCO 400 '!$L$9*J670+'CAFCO 400 '!$L$10)*U670^2)+(('CAFCO 400 '!$L$11*(J670^3)+'CAFCO 400 '!$L$12*(J670^2)+'CAFCO 400 '!$L$13*J670+'CAFCO 400 '!$L$14)*U670)+('CAFCO 400 '!$L$15*LN(J670)+'CAFCO 400 '!$L$16)),0)+IF(AND(L670="Cafco 400",M670="Software Idiem",C670="L"),((('CAFCO 400 '!$L$7*(J670^3)+'CAFCO 400 '!$L$8*(J670^2)+'CAFCO 400 '!$L$9*J670+'CAFCO 400 '!$L$10)*U670^2)+(('CAFCO 400 '!$L$11*(J670^3)+'CAFCO 400 '!$L$12*(J670^2)+'CAFCO 400 '!$L$13*J670+'CAFCO 400 '!$L$14)*U670)+('CAFCO 400 '!$L$15*LN(J670)+'CAFCO 400 '!$L$16)),0)+IF(AND(L670="Cafco 400",M670="Software Idiem",C670="IN",G670=3),((('CAFCO 400 '!$D$23*(J670^2)+'CAFCO 400 '!$D$24*(J670)+'CAFCO 400 '!$D$25)*U670^2)+(('CAFCO 400 '!$D$26*(J670^2)+'CAFCO 400 '!$D$27*J670+'CAFCO 400 '!$D$28)*U670)+('CAFCO 400 '!$D$29*(J670^2)+'CAFCO 400 '!$D$30*J670+'CAFCO 400 '!$D$31)),0),0)+IF(AND(L670="Cafco 300",J670&gt;=95,J670&lt;=240,C670="Cj",I670=90),VLOOKUP(T670,'CAFCO 300 IDIEM TABLAS'!$B$4:$D$23,2,FALSE),0)+IF(AND(L670="Cafco 300",J670&gt;=95,J670&lt;=240,C670="Cj",I670=120),VLOOKUP(T670,'CAFCO 300 IDIEM TABLAS'!$B$4:$D$23,3,FALSE),0)+IF(AND(L670="Cafco 300",J670&gt;=95,J670&lt;=400,G670=3,C670="IN",I670=90),VLOOKUP(T670,'CAFCO 300 IDIEM TABLAS'!$F$4:$H$35,2,FALSE),0)+IF(AND(L670="Cafco 300",J670&gt;=95,J670&lt;=400,G670=3,C670="IN",I670=120),VLOOKUP(T670,'CAFCO 300 IDIEM TABLAS'!$F$4:$H$35,3,FALSE),0)+IF(AND(L670="Cafco 300",J670&gt;=95,J670&lt;=450,G670=4,C670="IN",I670=90),VLOOKUP(T670,'CAFCO 300 IDIEM TABLAS'!$J$4:$L$40,2,FALSE),0)+IF(AND(L670="Cafco 300",J670&gt;=95,J670&lt;=450,G670=4,C670="IN",I670=120),VLOOKUP(T670,'CAFCO 300 IDIEM TABLAS'!$J$4:$L$40,3,FALSE),0)+IF(AND(M670="Ensayo Idiem",L670="Cafco 400",C670="IN",G670=4,I670=90),VLOOKUP(T670,'CAFCO 400 ENSAYO'!$B$7:$D$43,2,FALSE),0)+IF(AND(M670="Ensayo Idiem",L670="Cafco 400",C670="IN",G670=4,I670=120),VLOOKUP(T670,'CAFCO 400 ENSAYO'!$B$7:$D$43,3,FALSE),0)</f>
        <v>0</v>
      </c>
      <c r="O670" s="96">
        <f t="shared" si="72"/>
        <v>0</v>
      </c>
      <c r="P670" s="95" t="str">
        <f t="shared" si="67"/>
        <v>N/A</v>
      </c>
      <c r="Q670" s="95" t="str">
        <f t="shared" si="68"/>
        <v>N/A</v>
      </c>
      <c r="R670" s="95" t="str">
        <f t="shared" si="69"/>
        <v>NO CERT.</v>
      </c>
      <c r="S670" s="95" t="e">
        <f t="shared" si="70"/>
        <v>#N/A</v>
      </c>
      <c r="T670" s="119" t="e">
        <f>+IF(J670=LOOKUP(J670,'CAFCO 300 IDIEM TABLAS'!$J$4:$J$40),'CALCULO MORTERO'!J670,MROUND('CALCULO MORTERO'!J670,10))</f>
        <v>#N/A</v>
      </c>
      <c r="U670" s="118">
        <f t="shared" si="71"/>
        <v>0</v>
      </c>
    </row>
    <row r="671" spans="1:21" x14ac:dyDescent="0.25">
      <c r="A671" s="118">
        <f>+CUBICACION!D665</f>
        <v>0</v>
      </c>
      <c r="B671" s="819">
        <f>+CUBICACION!E665</f>
        <v>0</v>
      </c>
      <c r="C671" s="675">
        <f>+CUBICACION!F665</f>
        <v>0</v>
      </c>
      <c r="D671" s="118"/>
      <c r="E671" s="118"/>
      <c r="F671" s="820"/>
      <c r="G671" s="675">
        <f>+CUBICACION!J665</f>
        <v>0</v>
      </c>
      <c r="H671" s="118"/>
      <c r="I671" s="821">
        <f>+CUBICACION!L665</f>
        <v>0</v>
      </c>
      <c r="J671" s="64">
        <f>+CUBICACION!M665</f>
        <v>0</v>
      </c>
      <c r="K671" s="822" t="str">
        <f>+CUBICACION!N665</f>
        <v/>
      </c>
      <c r="L671" s="118">
        <f>+CUBICACION!O665</f>
        <v>0</v>
      </c>
      <c r="M671" s="823">
        <f>+CUBICACION!P665</f>
        <v>0</v>
      </c>
      <c r="N671" s="902">
        <f>ROUND(IF(AND(L671="Blaze Shield II",M671="Software Idiem",C671="IN",G671=4),((('BLAZE SHIELD II'!$D$4*('CALCULO MORTERO'!I671^2)+'BLAZE SHIELD II'!$D$5*'CALCULO MORTERO'!I671+'BLAZE SHIELD II'!$D$6)*LN(J671))+('BLAZE SHIELD II'!$D$7*('CALCULO MORTERO'!I671^2)+'BLAZE SHIELD II'!$D$8*'CALCULO MORTERO'!I671+'BLAZE SHIELD II'!$D$9)),0)+IF(AND(L671="Blaze Shield II",M671="Software Idiem",C671="Cj"),((('BLAZE SHIELD II'!$H$4*('CALCULO MORTERO'!I671^2)+'BLAZE SHIELD II'!$H$5*'CALCULO MORTERO'!I671+'BLAZE SHIELD II'!$H$6)*LN(J671))+('BLAZE SHIELD II'!$H$7*('CALCULO MORTERO'!I671^2)+'BLAZE SHIELD II'!$H$8*'CALCULO MORTERO'!I671+'BLAZE SHIELD II'!$H$9)),0)+IF(AND(L671="Blaze Shield II",M671="Software Idiem",C671="C"),((('BLAZE SHIELD II'!$L$4*('CALCULO MORTERO'!I671^2)+'BLAZE SHIELD II'!$L$5*'CALCULO MORTERO'!I671+'BLAZE SHIELD II'!$L$6)*LN(J671))+('BLAZE SHIELD II'!$L$7*('CALCULO MORTERO'!I671^2)+'BLAZE SHIELD II'!$L$8*'CALCULO MORTERO'!I671+'BLAZE SHIELD II'!$L$9)),0)+IF(AND(L671="Blaze Shield II",M671="Software Idiem",C671="L"),((('BLAZE SHIELD II'!$L$4*('CALCULO MORTERO'!I671^2)+'BLAZE SHIELD II'!$L$5*'CALCULO MORTERO'!I671+'BLAZE SHIELD II'!$L$6)*LN(J671))+('BLAZE SHIELD II'!$L$7*('CALCULO MORTERO'!I671^2)+'BLAZE SHIELD II'!$L$8*'CALCULO MORTERO'!I671+'BLAZE SHIELD II'!$L$9)),0)+IF(AND(L671="Blaze Shield II",M671="Software Idiem",C671="IN",G671=3),((('BLAZE SHIELD II'!$H$14*('CALCULO MORTERO'!I671^2)+'BLAZE SHIELD II'!$H$15*'CALCULO MORTERO'!I671+'BLAZE SHIELD II'!$H$16)*LN(J671))+('BLAZE SHIELD II'!$H$17*('CALCULO MORTERO'!I671^2)+'BLAZE SHIELD II'!$H$18*'CALCULO MORTERO'!I671+'BLAZE SHIELD II'!$H$19)),0),0)+ROUND(IF(AND(L671="Cafco 400",M671="Software Idiem",C671="IN",G671=4),((('CAFCO 400 '!$H$7*(J671^4)+'CAFCO 400 '!$H$8*(J671^3)+'CAFCO 400 '!$H$9*(J671^2)+'CAFCO 400 '!$H$10*J671+'CAFCO 400 '!$H$11)*U671^2)+(('CAFCO 400 '!$H$12*(J671^3)+'CAFCO 400 '!$H$13*(J671^2)+'CAFCO 400 '!$H$14*J671+'CAFCO 400 '!$H$15)*U671)+('CAFCO 400 '!$H$16*(J671^2)+'CAFCO 400 '!$H$17*J671+'CAFCO 400 '!$H$18)),0)+IF(AND(L671="Cafco 400",M671="Software Idiem",C671="Cj"),(((('CAFCO 400 '!$D$7*LN(J671)+'CAFCO 400 '!$D$8)*U671^2)+(('CAFCO 400 '!$D$9*LN(J671)+'CAFCO 400 '!$D$10)*U671)+('CAFCO 400 '!$D$11*LN(J671)+'CAFCO 400 '!$D$12))),0)+IF(AND(L671="Cafco 400",M671="Software Idiem",C671="C"),((('CAFCO 400 '!$L$7*(J671^3)+'CAFCO 400 '!$L$8*(J671^2)+'CAFCO 400 '!$L$9*J671+'CAFCO 400 '!$L$10)*U671^2)+(('CAFCO 400 '!$L$11*(J671^3)+'CAFCO 400 '!$L$12*(J671^2)+'CAFCO 400 '!$L$13*J671+'CAFCO 400 '!$L$14)*U671)+('CAFCO 400 '!$L$15*LN(J671)+'CAFCO 400 '!$L$16)),0)+IF(AND(L671="Cafco 400",M671="Software Idiem",C671="L"),((('CAFCO 400 '!$L$7*(J671^3)+'CAFCO 400 '!$L$8*(J671^2)+'CAFCO 400 '!$L$9*J671+'CAFCO 400 '!$L$10)*U671^2)+(('CAFCO 400 '!$L$11*(J671^3)+'CAFCO 400 '!$L$12*(J671^2)+'CAFCO 400 '!$L$13*J671+'CAFCO 400 '!$L$14)*U671)+('CAFCO 400 '!$L$15*LN(J671)+'CAFCO 400 '!$L$16)),0)+IF(AND(L671="Cafco 400",M671="Software Idiem",C671="IN",G671=3),((('CAFCO 400 '!$D$23*(J671^2)+'CAFCO 400 '!$D$24*(J671)+'CAFCO 400 '!$D$25)*U671^2)+(('CAFCO 400 '!$D$26*(J671^2)+'CAFCO 400 '!$D$27*J671+'CAFCO 400 '!$D$28)*U671)+('CAFCO 400 '!$D$29*(J671^2)+'CAFCO 400 '!$D$30*J671+'CAFCO 400 '!$D$31)),0),0)+IF(AND(L671="Cafco 300",J671&gt;=95,J671&lt;=240,C671="Cj",I671=90),VLOOKUP(T671,'CAFCO 300 IDIEM TABLAS'!$B$4:$D$23,2,FALSE),0)+IF(AND(L671="Cafco 300",J671&gt;=95,J671&lt;=240,C671="Cj",I671=120),VLOOKUP(T671,'CAFCO 300 IDIEM TABLAS'!$B$4:$D$23,3,FALSE),0)+IF(AND(L671="Cafco 300",J671&gt;=95,J671&lt;=400,G671=3,C671="IN",I671=90),VLOOKUP(T671,'CAFCO 300 IDIEM TABLAS'!$F$4:$H$35,2,FALSE),0)+IF(AND(L671="Cafco 300",J671&gt;=95,J671&lt;=400,G671=3,C671="IN",I671=120),VLOOKUP(T671,'CAFCO 300 IDIEM TABLAS'!$F$4:$H$35,3,FALSE),0)+IF(AND(L671="Cafco 300",J671&gt;=95,J671&lt;=450,G671=4,C671="IN",I671=90),VLOOKUP(T671,'CAFCO 300 IDIEM TABLAS'!$J$4:$L$40,2,FALSE),0)+IF(AND(L671="Cafco 300",J671&gt;=95,J671&lt;=450,G671=4,C671="IN",I671=120),VLOOKUP(T671,'CAFCO 300 IDIEM TABLAS'!$J$4:$L$40,3,FALSE),0)+IF(AND(M671="Ensayo Idiem",L671="Cafco 400",C671="IN",G671=4,I671=90),VLOOKUP(T671,'CAFCO 400 ENSAYO'!$B$7:$D$43,2,FALSE),0)+IF(AND(M671="Ensayo Idiem",L671="Cafco 400",C671="IN",G671=4,I671=120),VLOOKUP(T671,'CAFCO 400 ENSAYO'!$B$7:$D$43,3,FALSE),0)</f>
        <v>0</v>
      </c>
      <c r="O671" s="96">
        <f t="shared" si="72"/>
        <v>0</v>
      </c>
      <c r="P671" s="132" t="str">
        <f t="shared" si="67"/>
        <v>N/A</v>
      </c>
      <c r="Q671" s="132" t="str">
        <f t="shared" si="68"/>
        <v>N/A</v>
      </c>
      <c r="R671" s="132" t="str">
        <f t="shared" si="69"/>
        <v>NO CERT.</v>
      </c>
      <c r="S671" s="132" t="e">
        <f t="shared" si="70"/>
        <v>#N/A</v>
      </c>
      <c r="T671" s="133" t="e">
        <f>+IF(J671=LOOKUP(J671,'CAFCO 300 IDIEM TABLAS'!$J$4:$J$40),'CALCULO MORTERO'!J671,MROUND('CALCULO MORTERO'!J671,10))</f>
        <v>#N/A</v>
      </c>
      <c r="U671" s="134">
        <f t="shared" si="71"/>
        <v>0</v>
      </c>
    </row>
    <row r="672" spans="1:21" x14ac:dyDescent="0.25">
      <c r="A672" s="118">
        <f>+CUBICACION!D666</f>
        <v>0</v>
      </c>
      <c r="B672" s="819">
        <f>+CUBICACION!E666</f>
        <v>0</v>
      </c>
      <c r="C672" s="675">
        <f>+CUBICACION!F666</f>
        <v>0</v>
      </c>
      <c r="D672" s="118"/>
      <c r="E672" s="118"/>
      <c r="F672" s="820"/>
      <c r="G672" s="675">
        <f>+CUBICACION!J666</f>
        <v>0</v>
      </c>
      <c r="H672" s="118"/>
      <c r="I672" s="821">
        <f>+CUBICACION!L666</f>
        <v>0</v>
      </c>
      <c r="J672" s="64">
        <f>+CUBICACION!M666</f>
        <v>0</v>
      </c>
      <c r="K672" s="822" t="str">
        <f>+CUBICACION!N666</f>
        <v/>
      </c>
      <c r="L672" s="118">
        <f>+CUBICACION!O666</f>
        <v>0</v>
      </c>
      <c r="M672" s="823">
        <f>+CUBICACION!P666</f>
        <v>0</v>
      </c>
      <c r="N672" s="902">
        <f>ROUND(IF(AND(L672="Blaze Shield II",M672="Software Idiem",C672="IN",G672=4),((('BLAZE SHIELD II'!$D$4*('CALCULO MORTERO'!I672^2)+'BLAZE SHIELD II'!$D$5*'CALCULO MORTERO'!I672+'BLAZE SHIELD II'!$D$6)*LN(J672))+('BLAZE SHIELD II'!$D$7*('CALCULO MORTERO'!I672^2)+'BLAZE SHIELD II'!$D$8*'CALCULO MORTERO'!I672+'BLAZE SHIELD II'!$D$9)),0)+IF(AND(L672="Blaze Shield II",M672="Software Idiem",C672="Cj"),((('BLAZE SHIELD II'!$H$4*('CALCULO MORTERO'!I672^2)+'BLAZE SHIELD II'!$H$5*'CALCULO MORTERO'!I672+'BLAZE SHIELD II'!$H$6)*LN(J672))+('BLAZE SHIELD II'!$H$7*('CALCULO MORTERO'!I672^2)+'BLAZE SHIELD II'!$H$8*'CALCULO MORTERO'!I672+'BLAZE SHIELD II'!$H$9)),0)+IF(AND(L672="Blaze Shield II",M672="Software Idiem",C672="C"),((('BLAZE SHIELD II'!$L$4*('CALCULO MORTERO'!I672^2)+'BLAZE SHIELD II'!$L$5*'CALCULO MORTERO'!I672+'BLAZE SHIELD II'!$L$6)*LN(J672))+('BLAZE SHIELD II'!$L$7*('CALCULO MORTERO'!I672^2)+'BLAZE SHIELD II'!$L$8*'CALCULO MORTERO'!I672+'BLAZE SHIELD II'!$L$9)),0)+IF(AND(L672="Blaze Shield II",M672="Software Idiem",C672="L"),((('BLAZE SHIELD II'!$L$4*('CALCULO MORTERO'!I672^2)+'BLAZE SHIELD II'!$L$5*'CALCULO MORTERO'!I672+'BLAZE SHIELD II'!$L$6)*LN(J672))+('BLAZE SHIELD II'!$L$7*('CALCULO MORTERO'!I672^2)+'BLAZE SHIELD II'!$L$8*'CALCULO MORTERO'!I672+'BLAZE SHIELD II'!$L$9)),0)+IF(AND(L672="Blaze Shield II",M672="Software Idiem",C672="IN",G672=3),((('BLAZE SHIELD II'!$H$14*('CALCULO MORTERO'!I672^2)+'BLAZE SHIELD II'!$H$15*'CALCULO MORTERO'!I672+'BLAZE SHIELD II'!$H$16)*LN(J672))+('BLAZE SHIELD II'!$H$17*('CALCULO MORTERO'!I672^2)+'BLAZE SHIELD II'!$H$18*'CALCULO MORTERO'!I672+'BLAZE SHIELD II'!$H$19)),0),0)+ROUND(IF(AND(L672="Cafco 400",M672="Software Idiem",C672="IN",G672=4),((('CAFCO 400 '!$H$7*(J672^4)+'CAFCO 400 '!$H$8*(J672^3)+'CAFCO 400 '!$H$9*(J672^2)+'CAFCO 400 '!$H$10*J672+'CAFCO 400 '!$H$11)*U672^2)+(('CAFCO 400 '!$H$12*(J672^3)+'CAFCO 400 '!$H$13*(J672^2)+'CAFCO 400 '!$H$14*J672+'CAFCO 400 '!$H$15)*U672)+('CAFCO 400 '!$H$16*(J672^2)+'CAFCO 400 '!$H$17*J672+'CAFCO 400 '!$H$18)),0)+IF(AND(L672="Cafco 400",M672="Software Idiem",C672="Cj"),(((('CAFCO 400 '!$D$7*LN(J672)+'CAFCO 400 '!$D$8)*U672^2)+(('CAFCO 400 '!$D$9*LN(J672)+'CAFCO 400 '!$D$10)*U672)+('CAFCO 400 '!$D$11*LN(J672)+'CAFCO 400 '!$D$12))),0)+IF(AND(L672="Cafco 400",M672="Software Idiem",C672="C"),((('CAFCO 400 '!$L$7*(J672^3)+'CAFCO 400 '!$L$8*(J672^2)+'CAFCO 400 '!$L$9*J672+'CAFCO 400 '!$L$10)*U672^2)+(('CAFCO 400 '!$L$11*(J672^3)+'CAFCO 400 '!$L$12*(J672^2)+'CAFCO 400 '!$L$13*J672+'CAFCO 400 '!$L$14)*U672)+('CAFCO 400 '!$L$15*LN(J672)+'CAFCO 400 '!$L$16)),0)+IF(AND(L672="Cafco 400",M672="Software Idiem",C672="L"),((('CAFCO 400 '!$L$7*(J672^3)+'CAFCO 400 '!$L$8*(J672^2)+'CAFCO 400 '!$L$9*J672+'CAFCO 400 '!$L$10)*U672^2)+(('CAFCO 400 '!$L$11*(J672^3)+'CAFCO 400 '!$L$12*(J672^2)+'CAFCO 400 '!$L$13*J672+'CAFCO 400 '!$L$14)*U672)+('CAFCO 400 '!$L$15*LN(J672)+'CAFCO 400 '!$L$16)),0)+IF(AND(L672="Cafco 400",M672="Software Idiem",C672="IN",G672=3),((('CAFCO 400 '!$D$23*(J672^2)+'CAFCO 400 '!$D$24*(J672)+'CAFCO 400 '!$D$25)*U672^2)+(('CAFCO 400 '!$D$26*(J672^2)+'CAFCO 400 '!$D$27*J672+'CAFCO 400 '!$D$28)*U672)+('CAFCO 400 '!$D$29*(J672^2)+'CAFCO 400 '!$D$30*J672+'CAFCO 400 '!$D$31)),0),0)+IF(AND(L672="Cafco 300",J672&gt;=95,J672&lt;=240,C672="Cj",I672=90),VLOOKUP(T672,'CAFCO 300 IDIEM TABLAS'!$B$4:$D$23,2,FALSE),0)+IF(AND(L672="Cafco 300",J672&gt;=95,J672&lt;=240,C672="Cj",I672=120),VLOOKUP(T672,'CAFCO 300 IDIEM TABLAS'!$B$4:$D$23,3,FALSE),0)+IF(AND(L672="Cafco 300",J672&gt;=95,J672&lt;=400,G672=3,C672="IN",I672=90),VLOOKUP(T672,'CAFCO 300 IDIEM TABLAS'!$F$4:$H$35,2,FALSE),0)+IF(AND(L672="Cafco 300",J672&gt;=95,J672&lt;=400,G672=3,C672="IN",I672=120),VLOOKUP(T672,'CAFCO 300 IDIEM TABLAS'!$F$4:$H$35,3,FALSE),0)+IF(AND(L672="Cafco 300",J672&gt;=95,J672&lt;=450,G672=4,C672="IN",I672=90),VLOOKUP(T672,'CAFCO 300 IDIEM TABLAS'!$J$4:$L$40,2,FALSE),0)+IF(AND(L672="Cafco 300",J672&gt;=95,J672&lt;=450,G672=4,C672="IN",I672=120),VLOOKUP(T672,'CAFCO 300 IDIEM TABLAS'!$J$4:$L$40,3,FALSE),0)+IF(AND(M672="Ensayo Idiem",L672="Cafco 400",C672="IN",G672=4,I672=90),VLOOKUP(T672,'CAFCO 400 ENSAYO'!$B$7:$D$43,2,FALSE),0)+IF(AND(M672="Ensayo Idiem",L672="Cafco 400",C672="IN",G672=4,I672=120),VLOOKUP(T672,'CAFCO 400 ENSAYO'!$B$7:$D$43,3,FALSE),0)</f>
        <v>0</v>
      </c>
      <c r="O672" s="96">
        <f t="shared" si="72"/>
        <v>0</v>
      </c>
      <c r="P672" s="95" t="str">
        <f t="shared" si="67"/>
        <v>N/A</v>
      </c>
      <c r="Q672" s="95" t="str">
        <f t="shared" si="68"/>
        <v>N/A</v>
      </c>
      <c r="R672" s="95" t="str">
        <f t="shared" si="69"/>
        <v>NO CERT.</v>
      </c>
      <c r="S672" s="95" t="e">
        <f t="shared" si="70"/>
        <v>#N/A</v>
      </c>
      <c r="T672" s="119" t="e">
        <f>+IF(J672=LOOKUP(J672,'CAFCO 300 IDIEM TABLAS'!$J$4:$J$40),'CALCULO MORTERO'!J672,MROUND('CALCULO MORTERO'!J672,10))</f>
        <v>#N/A</v>
      </c>
      <c r="U672" s="118">
        <f t="shared" si="71"/>
        <v>0</v>
      </c>
    </row>
    <row r="673" spans="1:21" x14ac:dyDescent="0.25">
      <c r="A673" s="118">
        <f>+CUBICACION!D667</f>
        <v>0</v>
      </c>
      <c r="B673" s="819">
        <f>+CUBICACION!E667</f>
        <v>0</v>
      </c>
      <c r="C673" s="675">
        <f>+CUBICACION!F667</f>
        <v>0</v>
      </c>
      <c r="D673" s="118"/>
      <c r="E673" s="118"/>
      <c r="F673" s="820"/>
      <c r="G673" s="675">
        <f>+CUBICACION!J667</f>
        <v>0</v>
      </c>
      <c r="H673" s="118"/>
      <c r="I673" s="821">
        <f>+CUBICACION!L667</f>
        <v>0</v>
      </c>
      <c r="J673" s="64">
        <f>+CUBICACION!M667</f>
        <v>0</v>
      </c>
      <c r="K673" s="822" t="str">
        <f>+CUBICACION!N667</f>
        <v/>
      </c>
      <c r="L673" s="118">
        <f>+CUBICACION!O667</f>
        <v>0</v>
      </c>
      <c r="M673" s="823">
        <f>+CUBICACION!P667</f>
        <v>0</v>
      </c>
      <c r="N673" s="902">
        <f>ROUND(IF(AND(L673="Blaze Shield II",M673="Software Idiem",C673="IN",G673=4),((('BLAZE SHIELD II'!$D$4*('CALCULO MORTERO'!I673^2)+'BLAZE SHIELD II'!$D$5*'CALCULO MORTERO'!I673+'BLAZE SHIELD II'!$D$6)*LN(J673))+('BLAZE SHIELD II'!$D$7*('CALCULO MORTERO'!I673^2)+'BLAZE SHIELD II'!$D$8*'CALCULO MORTERO'!I673+'BLAZE SHIELD II'!$D$9)),0)+IF(AND(L673="Blaze Shield II",M673="Software Idiem",C673="Cj"),((('BLAZE SHIELD II'!$H$4*('CALCULO MORTERO'!I673^2)+'BLAZE SHIELD II'!$H$5*'CALCULO MORTERO'!I673+'BLAZE SHIELD II'!$H$6)*LN(J673))+('BLAZE SHIELD II'!$H$7*('CALCULO MORTERO'!I673^2)+'BLAZE SHIELD II'!$H$8*'CALCULO MORTERO'!I673+'BLAZE SHIELD II'!$H$9)),0)+IF(AND(L673="Blaze Shield II",M673="Software Idiem",C673="C"),((('BLAZE SHIELD II'!$L$4*('CALCULO MORTERO'!I673^2)+'BLAZE SHIELD II'!$L$5*'CALCULO MORTERO'!I673+'BLAZE SHIELD II'!$L$6)*LN(J673))+('BLAZE SHIELD II'!$L$7*('CALCULO MORTERO'!I673^2)+'BLAZE SHIELD II'!$L$8*'CALCULO MORTERO'!I673+'BLAZE SHIELD II'!$L$9)),0)+IF(AND(L673="Blaze Shield II",M673="Software Idiem",C673="L"),((('BLAZE SHIELD II'!$L$4*('CALCULO MORTERO'!I673^2)+'BLAZE SHIELD II'!$L$5*'CALCULO MORTERO'!I673+'BLAZE SHIELD II'!$L$6)*LN(J673))+('BLAZE SHIELD II'!$L$7*('CALCULO MORTERO'!I673^2)+'BLAZE SHIELD II'!$L$8*'CALCULO MORTERO'!I673+'BLAZE SHIELD II'!$L$9)),0)+IF(AND(L673="Blaze Shield II",M673="Software Idiem",C673="IN",G673=3),((('BLAZE SHIELD II'!$H$14*('CALCULO MORTERO'!I673^2)+'BLAZE SHIELD II'!$H$15*'CALCULO MORTERO'!I673+'BLAZE SHIELD II'!$H$16)*LN(J673))+('BLAZE SHIELD II'!$H$17*('CALCULO MORTERO'!I673^2)+'BLAZE SHIELD II'!$H$18*'CALCULO MORTERO'!I673+'BLAZE SHIELD II'!$H$19)),0),0)+ROUND(IF(AND(L673="Cafco 400",M673="Software Idiem",C673="IN",G673=4),((('CAFCO 400 '!$H$7*(J673^4)+'CAFCO 400 '!$H$8*(J673^3)+'CAFCO 400 '!$H$9*(J673^2)+'CAFCO 400 '!$H$10*J673+'CAFCO 400 '!$H$11)*U673^2)+(('CAFCO 400 '!$H$12*(J673^3)+'CAFCO 400 '!$H$13*(J673^2)+'CAFCO 400 '!$H$14*J673+'CAFCO 400 '!$H$15)*U673)+('CAFCO 400 '!$H$16*(J673^2)+'CAFCO 400 '!$H$17*J673+'CAFCO 400 '!$H$18)),0)+IF(AND(L673="Cafco 400",M673="Software Idiem",C673="Cj"),(((('CAFCO 400 '!$D$7*LN(J673)+'CAFCO 400 '!$D$8)*U673^2)+(('CAFCO 400 '!$D$9*LN(J673)+'CAFCO 400 '!$D$10)*U673)+('CAFCO 400 '!$D$11*LN(J673)+'CAFCO 400 '!$D$12))),0)+IF(AND(L673="Cafco 400",M673="Software Idiem",C673="C"),((('CAFCO 400 '!$L$7*(J673^3)+'CAFCO 400 '!$L$8*(J673^2)+'CAFCO 400 '!$L$9*J673+'CAFCO 400 '!$L$10)*U673^2)+(('CAFCO 400 '!$L$11*(J673^3)+'CAFCO 400 '!$L$12*(J673^2)+'CAFCO 400 '!$L$13*J673+'CAFCO 400 '!$L$14)*U673)+('CAFCO 400 '!$L$15*LN(J673)+'CAFCO 400 '!$L$16)),0)+IF(AND(L673="Cafco 400",M673="Software Idiem",C673="L"),((('CAFCO 400 '!$L$7*(J673^3)+'CAFCO 400 '!$L$8*(J673^2)+'CAFCO 400 '!$L$9*J673+'CAFCO 400 '!$L$10)*U673^2)+(('CAFCO 400 '!$L$11*(J673^3)+'CAFCO 400 '!$L$12*(J673^2)+'CAFCO 400 '!$L$13*J673+'CAFCO 400 '!$L$14)*U673)+('CAFCO 400 '!$L$15*LN(J673)+'CAFCO 400 '!$L$16)),0)+IF(AND(L673="Cafco 400",M673="Software Idiem",C673="IN",G673=3),((('CAFCO 400 '!$D$23*(J673^2)+'CAFCO 400 '!$D$24*(J673)+'CAFCO 400 '!$D$25)*U673^2)+(('CAFCO 400 '!$D$26*(J673^2)+'CAFCO 400 '!$D$27*J673+'CAFCO 400 '!$D$28)*U673)+('CAFCO 400 '!$D$29*(J673^2)+'CAFCO 400 '!$D$30*J673+'CAFCO 400 '!$D$31)),0),0)+IF(AND(L673="Cafco 300",J673&gt;=95,J673&lt;=240,C673="Cj",I673=90),VLOOKUP(T673,'CAFCO 300 IDIEM TABLAS'!$B$4:$D$23,2,FALSE),0)+IF(AND(L673="Cafco 300",J673&gt;=95,J673&lt;=240,C673="Cj",I673=120),VLOOKUP(T673,'CAFCO 300 IDIEM TABLAS'!$B$4:$D$23,3,FALSE),0)+IF(AND(L673="Cafco 300",J673&gt;=95,J673&lt;=400,G673=3,C673="IN",I673=90),VLOOKUP(T673,'CAFCO 300 IDIEM TABLAS'!$F$4:$H$35,2,FALSE),0)+IF(AND(L673="Cafco 300",J673&gt;=95,J673&lt;=400,G673=3,C673="IN",I673=120),VLOOKUP(T673,'CAFCO 300 IDIEM TABLAS'!$F$4:$H$35,3,FALSE),0)+IF(AND(L673="Cafco 300",J673&gt;=95,J673&lt;=450,G673=4,C673="IN",I673=90),VLOOKUP(T673,'CAFCO 300 IDIEM TABLAS'!$J$4:$L$40,2,FALSE),0)+IF(AND(L673="Cafco 300",J673&gt;=95,J673&lt;=450,G673=4,C673="IN",I673=120),VLOOKUP(T673,'CAFCO 300 IDIEM TABLAS'!$J$4:$L$40,3,FALSE),0)+IF(AND(M673="Ensayo Idiem",L673="Cafco 400",C673="IN",G673=4,I673=90),VLOOKUP(T673,'CAFCO 400 ENSAYO'!$B$7:$D$43,2,FALSE),0)+IF(AND(M673="Ensayo Idiem",L673="Cafco 400",C673="IN",G673=4,I673=120),VLOOKUP(T673,'CAFCO 400 ENSAYO'!$B$7:$D$43,3,FALSE),0)</f>
        <v>0</v>
      </c>
      <c r="O673" s="96">
        <f t="shared" si="72"/>
        <v>0</v>
      </c>
      <c r="P673" s="132" t="str">
        <f t="shared" si="67"/>
        <v>N/A</v>
      </c>
      <c r="Q673" s="132" t="str">
        <f t="shared" si="68"/>
        <v>N/A</v>
      </c>
      <c r="R673" s="132" t="str">
        <f t="shared" si="69"/>
        <v>NO CERT.</v>
      </c>
      <c r="S673" s="132" t="e">
        <f t="shared" si="70"/>
        <v>#N/A</v>
      </c>
      <c r="T673" s="133" t="e">
        <f>+IF(J673=LOOKUP(J673,'CAFCO 300 IDIEM TABLAS'!$J$4:$J$40),'CALCULO MORTERO'!J673,MROUND('CALCULO MORTERO'!J673,10))</f>
        <v>#N/A</v>
      </c>
      <c r="U673" s="134">
        <f t="shared" si="71"/>
        <v>0</v>
      </c>
    </row>
    <row r="674" spans="1:21" x14ac:dyDescent="0.25">
      <c r="A674" s="118">
        <f>+CUBICACION!D668</f>
        <v>0</v>
      </c>
      <c r="B674" s="819">
        <f>+CUBICACION!E668</f>
        <v>0</v>
      </c>
      <c r="C674" s="675">
        <f>+CUBICACION!F668</f>
        <v>0</v>
      </c>
      <c r="D674" s="118"/>
      <c r="E674" s="118"/>
      <c r="F674" s="820"/>
      <c r="G674" s="675">
        <f>+CUBICACION!J668</f>
        <v>0</v>
      </c>
      <c r="H674" s="118"/>
      <c r="I674" s="821">
        <f>+CUBICACION!L668</f>
        <v>0</v>
      </c>
      <c r="J674" s="64">
        <f>+CUBICACION!M668</f>
        <v>0</v>
      </c>
      <c r="K674" s="822" t="str">
        <f>+CUBICACION!N668</f>
        <v/>
      </c>
      <c r="L674" s="118">
        <f>+CUBICACION!O668</f>
        <v>0</v>
      </c>
      <c r="M674" s="823">
        <f>+CUBICACION!P668</f>
        <v>0</v>
      </c>
      <c r="N674" s="902">
        <f>ROUND(IF(AND(L674="Blaze Shield II",M674="Software Idiem",C674="IN",G674=4),((('BLAZE SHIELD II'!$D$4*('CALCULO MORTERO'!I674^2)+'BLAZE SHIELD II'!$D$5*'CALCULO MORTERO'!I674+'BLAZE SHIELD II'!$D$6)*LN(J674))+('BLAZE SHIELD II'!$D$7*('CALCULO MORTERO'!I674^2)+'BLAZE SHIELD II'!$D$8*'CALCULO MORTERO'!I674+'BLAZE SHIELD II'!$D$9)),0)+IF(AND(L674="Blaze Shield II",M674="Software Idiem",C674="Cj"),((('BLAZE SHIELD II'!$H$4*('CALCULO MORTERO'!I674^2)+'BLAZE SHIELD II'!$H$5*'CALCULO MORTERO'!I674+'BLAZE SHIELD II'!$H$6)*LN(J674))+('BLAZE SHIELD II'!$H$7*('CALCULO MORTERO'!I674^2)+'BLAZE SHIELD II'!$H$8*'CALCULO MORTERO'!I674+'BLAZE SHIELD II'!$H$9)),0)+IF(AND(L674="Blaze Shield II",M674="Software Idiem",C674="C"),((('BLAZE SHIELD II'!$L$4*('CALCULO MORTERO'!I674^2)+'BLAZE SHIELD II'!$L$5*'CALCULO MORTERO'!I674+'BLAZE SHIELD II'!$L$6)*LN(J674))+('BLAZE SHIELD II'!$L$7*('CALCULO MORTERO'!I674^2)+'BLAZE SHIELD II'!$L$8*'CALCULO MORTERO'!I674+'BLAZE SHIELD II'!$L$9)),0)+IF(AND(L674="Blaze Shield II",M674="Software Idiem",C674="L"),((('BLAZE SHIELD II'!$L$4*('CALCULO MORTERO'!I674^2)+'BLAZE SHIELD II'!$L$5*'CALCULO MORTERO'!I674+'BLAZE SHIELD II'!$L$6)*LN(J674))+('BLAZE SHIELD II'!$L$7*('CALCULO MORTERO'!I674^2)+'BLAZE SHIELD II'!$L$8*'CALCULO MORTERO'!I674+'BLAZE SHIELD II'!$L$9)),0)+IF(AND(L674="Blaze Shield II",M674="Software Idiem",C674="IN",G674=3),((('BLAZE SHIELD II'!$H$14*('CALCULO MORTERO'!I674^2)+'BLAZE SHIELD II'!$H$15*'CALCULO MORTERO'!I674+'BLAZE SHIELD II'!$H$16)*LN(J674))+('BLAZE SHIELD II'!$H$17*('CALCULO MORTERO'!I674^2)+'BLAZE SHIELD II'!$H$18*'CALCULO MORTERO'!I674+'BLAZE SHIELD II'!$H$19)),0),0)+ROUND(IF(AND(L674="Cafco 400",M674="Software Idiem",C674="IN",G674=4),((('CAFCO 400 '!$H$7*(J674^4)+'CAFCO 400 '!$H$8*(J674^3)+'CAFCO 400 '!$H$9*(J674^2)+'CAFCO 400 '!$H$10*J674+'CAFCO 400 '!$H$11)*U674^2)+(('CAFCO 400 '!$H$12*(J674^3)+'CAFCO 400 '!$H$13*(J674^2)+'CAFCO 400 '!$H$14*J674+'CAFCO 400 '!$H$15)*U674)+('CAFCO 400 '!$H$16*(J674^2)+'CAFCO 400 '!$H$17*J674+'CAFCO 400 '!$H$18)),0)+IF(AND(L674="Cafco 400",M674="Software Idiem",C674="Cj"),(((('CAFCO 400 '!$D$7*LN(J674)+'CAFCO 400 '!$D$8)*U674^2)+(('CAFCO 400 '!$D$9*LN(J674)+'CAFCO 400 '!$D$10)*U674)+('CAFCO 400 '!$D$11*LN(J674)+'CAFCO 400 '!$D$12))),0)+IF(AND(L674="Cafco 400",M674="Software Idiem",C674="C"),((('CAFCO 400 '!$L$7*(J674^3)+'CAFCO 400 '!$L$8*(J674^2)+'CAFCO 400 '!$L$9*J674+'CAFCO 400 '!$L$10)*U674^2)+(('CAFCO 400 '!$L$11*(J674^3)+'CAFCO 400 '!$L$12*(J674^2)+'CAFCO 400 '!$L$13*J674+'CAFCO 400 '!$L$14)*U674)+('CAFCO 400 '!$L$15*LN(J674)+'CAFCO 400 '!$L$16)),0)+IF(AND(L674="Cafco 400",M674="Software Idiem",C674="L"),((('CAFCO 400 '!$L$7*(J674^3)+'CAFCO 400 '!$L$8*(J674^2)+'CAFCO 400 '!$L$9*J674+'CAFCO 400 '!$L$10)*U674^2)+(('CAFCO 400 '!$L$11*(J674^3)+'CAFCO 400 '!$L$12*(J674^2)+'CAFCO 400 '!$L$13*J674+'CAFCO 400 '!$L$14)*U674)+('CAFCO 400 '!$L$15*LN(J674)+'CAFCO 400 '!$L$16)),0)+IF(AND(L674="Cafco 400",M674="Software Idiem",C674="IN",G674=3),((('CAFCO 400 '!$D$23*(J674^2)+'CAFCO 400 '!$D$24*(J674)+'CAFCO 400 '!$D$25)*U674^2)+(('CAFCO 400 '!$D$26*(J674^2)+'CAFCO 400 '!$D$27*J674+'CAFCO 400 '!$D$28)*U674)+('CAFCO 400 '!$D$29*(J674^2)+'CAFCO 400 '!$D$30*J674+'CAFCO 400 '!$D$31)),0),0)+IF(AND(L674="Cafco 300",J674&gt;=95,J674&lt;=240,C674="Cj",I674=90),VLOOKUP(T674,'CAFCO 300 IDIEM TABLAS'!$B$4:$D$23,2,FALSE),0)+IF(AND(L674="Cafco 300",J674&gt;=95,J674&lt;=240,C674="Cj",I674=120),VLOOKUP(T674,'CAFCO 300 IDIEM TABLAS'!$B$4:$D$23,3,FALSE),0)+IF(AND(L674="Cafco 300",J674&gt;=95,J674&lt;=400,G674=3,C674="IN",I674=90),VLOOKUP(T674,'CAFCO 300 IDIEM TABLAS'!$F$4:$H$35,2,FALSE),0)+IF(AND(L674="Cafco 300",J674&gt;=95,J674&lt;=400,G674=3,C674="IN",I674=120),VLOOKUP(T674,'CAFCO 300 IDIEM TABLAS'!$F$4:$H$35,3,FALSE),0)+IF(AND(L674="Cafco 300",J674&gt;=95,J674&lt;=450,G674=4,C674="IN",I674=90),VLOOKUP(T674,'CAFCO 300 IDIEM TABLAS'!$J$4:$L$40,2,FALSE),0)+IF(AND(L674="Cafco 300",J674&gt;=95,J674&lt;=450,G674=4,C674="IN",I674=120),VLOOKUP(T674,'CAFCO 300 IDIEM TABLAS'!$J$4:$L$40,3,FALSE),0)+IF(AND(M674="Ensayo Idiem",L674="Cafco 400",C674="IN",G674=4,I674=90),VLOOKUP(T674,'CAFCO 400 ENSAYO'!$B$7:$D$43,2,FALSE),0)+IF(AND(M674="Ensayo Idiem",L674="Cafco 400",C674="IN",G674=4,I674=120),VLOOKUP(T674,'CAFCO 400 ENSAYO'!$B$7:$D$43,3,FALSE),0)</f>
        <v>0</v>
      </c>
      <c r="O674" s="96">
        <f t="shared" si="72"/>
        <v>0</v>
      </c>
      <c r="P674" s="95" t="str">
        <f t="shared" si="67"/>
        <v>N/A</v>
      </c>
      <c r="Q674" s="95" t="str">
        <f t="shared" si="68"/>
        <v>N/A</v>
      </c>
      <c r="R674" s="95" t="str">
        <f t="shared" si="69"/>
        <v>NO CERT.</v>
      </c>
      <c r="S674" s="95" t="e">
        <f t="shared" si="70"/>
        <v>#N/A</v>
      </c>
      <c r="T674" s="119" t="e">
        <f>+IF(J674=LOOKUP(J674,'CAFCO 300 IDIEM TABLAS'!$J$4:$J$40),'CALCULO MORTERO'!J674,MROUND('CALCULO MORTERO'!J674,10))</f>
        <v>#N/A</v>
      </c>
      <c r="U674" s="118">
        <f t="shared" si="71"/>
        <v>0</v>
      </c>
    </row>
    <row r="675" spans="1:21" x14ac:dyDescent="0.25">
      <c r="A675" s="118">
        <f>+CUBICACION!D669</f>
        <v>0</v>
      </c>
      <c r="B675" s="819">
        <f>+CUBICACION!E669</f>
        <v>0</v>
      </c>
      <c r="C675" s="675">
        <f>+CUBICACION!F669</f>
        <v>0</v>
      </c>
      <c r="D675" s="118"/>
      <c r="E675" s="118"/>
      <c r="F675" s="820"/>
      <c r="G675" s="675">
        <f>+CUBICACION!J669</f>
        <v>0</v>
      </c>
      <c r="H675" s="118"/>
      <c r="I675" s="821">
        <f>+CUBICACION!L669</f>
        <v>0</v>
      </c>
      <c r="J675" s="64">
        <f>+CUBICACION!M669</f>
        <v>0</v>
      </c>
      <c r="K675" s="822" t="str">
        <f>+CUBICACION!N669</f>
        <v/>
      </c>
      <c r="L675" s="118">
        <f>+CUBICACION!O669</f>
        <v>0</v>
      </c>
      <c r="M675" s="823">
        <f>+CUBICACION!P669</f>
        <v>0</v>
      </c>
      <c r="N675" s="902">
        <f>ROUND(IF(AND(L675="Blaze Shield II",M675="Software Idiem",C675="IN",G675=4),((('BLAZE SHIELD II'!$D$4*('CALCULO MORTERO'!I675^2)+'BLAZE SHIELD II'!$D$5*'CALCULO MORTERO'!I675+'BLAZE SHIELD II'!$D$6)*LN(J675))+('BLAZE SHIELD II'!$D$7*('CALCULO MORTERO'!I675^2)+'BLAZE SHIELD II'!$D$8*'CALCULO MORTERO'!I675+'BLAZE SHIELD II'!$D$9)),0)+IF(AND(L675="Blaze Shield II",M675="Software Idiem",C675="Cj"),((('BLAZE SHIELD II'!$H$4*('CALCULO MORTERO'!I675^2)+'BLAZE SHIELD II'!$H$5*'CALCULO MORTERO'!I675+'BLAZE SHIELD II'!$H$6)*LN(J675))+('BLAZE SHIELD II'!$H$7*('CALCULO MORTERO'!I675^2)+'BLAZE SHIELD II'!$H$8*'CALCULO MORTERO'!I675+'BLAZE SHIELD II'!$H$9)),0)+IF(AND(L675="Blaze Shield II",M675="Software Idiem",C675="C"),((('BLAZE SHIELD II'!$L$4*('CALCULO MORTERO'!I675^2)+'BLAZE SHIELD II'!$L$5*'CALCULO MORTERO'!I675+'BLAZE SHIELD II'!$L$6)*LN(J675))+('BLAZE SHIELD II'!$L$7*('CALCULO MORTERO'!I675^2)+'BLAZE SHIELD II'!$L$8*'CALCULO MORTERO'!I675+'BLAZE SHIELD II'!$L$9)),0)+IF(AND(L675="Blaze Shield II",M675="Software Idiem",C675="L"),((('BLAZE SHIELD II'!$L$4*('CALCULO MORTERO'!I675^2)+'BLAZE SHIELD II'!$L$5*'CALCULO MORTERO'!I675+'BLAZE SHIELD II'!$L$6)*LN(J675))+('BLAZE SHIELD II'!$L$7*('CALCULO MORTERO'!I675^2)+'BLAZE SHIELD II'!$L$8*'CALCULO MORTERO'!I675+'BLAZE SHIELD II'!$L$9)),0)+IF(AND(L675="Blaze Shield II",M675="Software Idiem",C675="IN",G675=3),((('BLAZE SHIELD II'!$H$14*('CALCULO MORTERO'!I675^2)+'BLAZE SHIELD II'!$H$15*'CALCULO MORTERO'!I675+'BLAZE SHIELD II'!$H$16)*LN(J675))+('BLAZE SHIELD II'!$H$17*('CALCULO MORTERO'!I675^2)+'BLAZE SHIELD II'!$H$18*'CALCULO MORTERO'!I675+'BLAZE SHIELD II'!$H$19)),0),0)+ROUND(IF(AND(L675="Cafco 400",M675="Software Idiem",C675="IN",G675=4),((('CAFCO 400 '!$H$7*(J675^4)+'CAFCO 400 '!$H$8*(J675^3)+'CAFCO 400 '!$H$9*(J675^2)+'CAFCO 400 '!$H$10*J675+'CAFCO 400 '!$H$11)*U675^2)+(('CAFCO 400 '!$H$12*(J675^3)+'CAFCO 400 '!$H$13*(J675^2)+'CAFCO 400 '!$H$14*J675+'CAFCO 400 '!$H$15)*U675)+('CAFCO 400 '!$H$16*(J675^2)+'CAFCO 400 '!$H$17*J675+'CAFCO 400 '!$H$18)),0)+IF(AND(L675="Cafco 400",M675="Software Idiem",C675="Cj"),(((('CAFCO 400 '!$D$7*LN(J675)+'CAFCO 400 '!$D$8)*U675^2)+(('CAFCO 400 '!$D$9*LN(J675)+'CAFCO 400 '!$D$10)*U675)+('CAFCO 400 '!$D$11*LN(J675)+'CAFCO 400 '!$D$12))),0)+IF(AND(L675="Cafco 400",M675="Software Idiem",C675="C"),((('CAFCO 400 '!$L$7*(J675^3)+'CAFCO 400 '!$L$8*(J675^2)+'CAFCO 400 '!$L$9*J675+'CAFCO 400 '!$L$10)*U675^2)+(('CAFCO 400 '!$L$11*(J675^3)+'CAFCO 400 '!$L$12*(J675^2)+'CAFCO 400 '!$L$13*J675+'CAFCO 400 '!$L$14)*U675)+('CAFCO 400 '!$L$15*LN(J675)+'CAFCO 400 '!$L$16)),0)+IF(AND(L675="Cafco 400",M675="Software Idiem",C675="L"),((('CAFCO 400 '!$L$7*(J675^3)+'CAFCO 400 '!$L$8*(J675^2)+'CAFCO 400 '!$L$9*J675+'CAFCO 400 '!$L$10)*U675^2)+(('CAFCO 400 '!$L$11*(J675^3)+'CAFCO 400 '!$L$12*(J675^2)+'CAFCO 400 '!$L$13*J675+'CAFCO 400 '!$L$14)*U675)+('CAFCO 400 '!$L$15*LN(J675)+'CAFCO 400 '!$L$16)),0)+IF(AND(L675="Cafco 400",M675="Software Idiem",C675="IN",G675=3),((('CAFCO 400 '!$D$23*(J675^2)+'CAFCO 400 '!$D$24*(J675)+'CAFCO 400 '!$D$25)*U675^2)+(('CAFCO 400 '!$D$26*(J675^2)+'CAFCO 400 '!$D$27*J675+'CAFCO 400 '!$D$28)*U675)+('CAFCO 400 '!$D$29*(J675^2)+'CAFCO 400 '!$D$30*J675+'CAFCO 400 '!$D$31)),0),0)+IF(AND(L675="Cafco 300",J675&gt;=95,J675&lt;=240,C675="Cj",I675=90),VLOOKUP(T675,'CAFCO 300 IDIEM TABLAS'!$B$4:$D$23,2,FALSE),0)+IF(AND(L675="Cafco 300",J675&gt;=95,J675&lt;=240,C675="Cj",I675=120),VLOOKUP(T675,'CAFCO 300 IDIEM TABLAS'!$B$4:$D$23,3,FALSE),0)+IF(AND(L675="Cafco 300",J675&gt;=95,J675&lt;=400,G675=3,C675="IN",I675=90),VLOOKUP(T675,'CAFCO 300 IDIEM TABLAS'!$F$4:$H$35,2,FALSE),0)+IF(AND(L675="Cafco 300",J675&gt;=95,J675&lt;=400,G675=3,C675="IN",I675=120),VLOOKUP(T675,'CAFCO 300 IDIEM TABLAS'!$F$4:$H$35,3,FALSE),0)+IF(AND(L675="Cafco 300",J675&gt;=95,J675&lt;=450,G675=4,C675="IN",I675=90),VLOOKUP(T675,'CAFCO 300 IDIEM TABLAS'!$J$4:$L$40,2,FALSE),0)+IF(AND(L675="Cafco 300",J675&gt;=95,J675&lt;=450,G675=4,C675="IN",I675=120),VLOOKUP(T675,'CAFCO 300 IDIEM TABLAS'!$J$4:$L$40,3,FALSE),0)+IF(AND(M675="Ensayo Idiem",L675="Cafco 400",C675="IN",G675=4,I675=90),VLOOKUP(T675,'CAFCO 400 ENSAYO'!$B$7:$D$43,2,FALSE),0)+IF(AND(M675="Ensayo Idiem",L675="Cafco 400",C675="IN",G675=4,I675=120),VLOOKUP(T675,'CAFCO 400 ENSAYO'!$B$7:$D$43,3,FALSE),0)</f>
        <v>0</v>
      </c>
      <c r="O675" s="96">
        <f t="shared" si="72"/>
        <v>0</v>
      </c>
      <c r="P675" s="132" t="str">
        <f t="shared" si="67"/>
        <v>N/A</v>
      </c>
      <c r="Q675" s="132" t="str">
        <f t="shared" si="68"/>
        <v>N/A</v>
      </c>
      <c r="R675" s="132" t="str">
        <f t="shared" si="69"/>
        <v>NO CERT.</v>
      </c>
      <c r="S675" s="132" t="e">
        <f t="shared" si="70"/>
        <v>#N/A</v>
      </c>
      <c r="T675" s="133" t="e">
        <f>+IF(J675=LOOKUP(J675,'CAFCO 300 IDIEM TABLAS'!$J$4:$J$40),'CALCULO MORTERO'!J675,MROUND('CALCULO MORTERO'!J675,10))</f>
        <v>#N/A</v>
      </c>
      <c r="U675" s="134">
        <f t="shared" si="71"/>
        <v>0</v>
      </c>
    </row>
    <row r="676" spans="1:21" x14ac:dyDescent="0.25">
      <c r="A676" s="118">
        <f>+CUBICACION!D670</f>
        <v>0</v>
      </c>
      <c r="B676" s="819">
        <f>+CUBICACION!E670</f>
        <v>0</v>
      </c>
      <c r="C676" s="675">
        <f>+CUBICACION!F670</f>
        <v>0</v>
      </c>
      <c r="D676" s="118"/>
      <c r="E676" s="118"/>
      <c r="F676" s="820"/>
      <c r="G676" s="675">
        <f>+CUBICACION!J670</f>
        <v>0</v>
      </c>
      <c r="H676" s="118"/>
      <c r="I676" s="821">
        <f>+CUBICACION!L670</f>
        <v>0</v>
      </c>
      <c r="J676" s="64">
        <f>+CUBICACION!M670</f>
        <v>0</v>
      </c>
      <c r="K676" s="822" t="str">
        <f>+CUBICACION!N670</f>
        <v/>
      </c>
      <c r="L676" s="118">
        <f>+CUBICACION!O670</f>
        <v>0</v>
      </c>
      <c r="M676" s="823">
        <f>+CUBICACION!P670</f>
        <v>0</v>
      </c>
      <c r="N676" s="902">
        <f>ROUND(IF(AND(L676="Blaze Shield II",M676="Software Idiem",C676="IN",G676=4),((('BLAZE SHIELD II'!$D$4*('CALCULO MORTERO'!I676^2)+'BLAZE SHIELD II'!$D$5*'CALCULO MORTERO'!I676+'BLAZE SHIELD II'!$D$6)*LN(J676))+('BLAZE SHIELD II'!$D$7*('CALCULO MORTERO'!I676^2)+'BLAZE SHIELD II'!$D$8*'CALCULO MORTERO'!I676+'BLAZE SHIELD II'!$D$9)),0)+IF(AND(L676="Blaze Shield II",M676="Software Idiem",C676="Cj"),((('BLAZE SHIELD II'!$H$4*('CALCULO MORTERO'!I676^2)+'BLAZE SHIELD II'!$H$5*'CALCULO MORTERO'!I676+'BLAZE SHIELD II'!$H$6)*LN(J676))+('BLAZE SHIELD II'!$H$7*('CALCULO MORTERO'!I676^2)+'BLAZE SHIELD II'!$H$8*'CALCULO MORTERO'!I676+'BLAZE SHIELD II'!$H$9)),0)+IF(AND(L676="Blaze Shield II",M676="Software Idiem",C676="C"),((('BLAZE SHIELD II'!$L$4*('CALCULO MORTERO'!I676^2)+'BLAZE SHIELD II'!$L$5*'CALCULO MORTERO'!I676+'BLAZE SHIELD II'!$L$6)*LN(J676))+('BLAZE SHIELD II'!$L$7*('CALCULO MORTERO'!I676^2)+'BLAZE SHIELD II'!$L$8*'CALCULO MORTERO'!I676+'BLAZE SHIELD II'!$L$9)),0)+IF(AND(L676="Blaze Shield II",M676="Software Idiem",C676="L"),((('BLAZE SHIELD II'!$L$4*('CALCULO MORTERO'!I676^2)+'BLAZE SHIELD II'!$L$5*'CALCULO MORTERO'!I676+'BLAZE SHIELD II'!$L$6)*LN(J676))+('BLAZE SHIELD II'!$L$7*('CALCULO MORTERO'!I676^2)+'BLAZE SHIELD II'!$L$8*'CALCULO MORTERO'!I676+'BLAZE SHIELD II'!$L$9)),0)+IF(AND(L676="Blaze Shield II",M676="Software Idiem",C676="IN",G676=3),((('BLAZE SHIELD II'!$H$14*('CALCULO MORTERO'!I676^2)+'BLAZE SHIELD II'!$H$15*'CALCULO MORTERO'!I676+'BLAZE SHIELD II'!$H$16)*LN(J676))+('BLAZE SHIELD II'!$H$17*('CALCULO MORTERO'!I676^2)+'BLAZE SHIELD II'!$H$18*'CALCULO MORTERO'!I676+'BLAZE SHIELD II'!$H$19)),0),0)+ROUND(IF(AND(L676="Cafco 400",M676="Software Idiem",C676="IN",G676=4),((('CAFCO 400 '!$H$7*(J676^4)+'CAFCO 400 '!$H$8*(J676^3)+'CAFCO 400 '!$H$9*(J676^2)+'CAFCO 400 '!$H$10*J676+'CAFCO 400 '!$H$11)*U676^2)+(('CAFCO 400 '!$H$12*(J676^3)+'CAFCO 400 '!$H$13*(J676^2)+'CAFCO 400 '!$H$14*J676+'CAFCO 400 '!$H$15)*U676)+('CAFCO 400 '!$H$16*(J676^2)+'CAFCO 400 '!$H$17*J676+'CAFCO 400 '!$H$18)),0)+IF(AND(L676="Cafco 400",M676="Software Idiem",C676="Cj"),(((('CAFCO 400 '!$D$7*LN(J676)+'CAFCO 400 '!$D$8)*U676^2)+(('CAFCO 400 '!$D$9*LN(J676)+'CAFCO 400 '!$D$10)*U676)+('CAFCO 400 '!$D$11*LN(J676)+'CAFCO 400 '!$D$12))),0)+IF(AND(L676="Cafco 400",M676="Software Idiem",C676="C"),((('CAFCO 400 '!$L$7*(J676^3)+'CAFCO 400 '!$L$8*(J676^2)+'CAFCO 400 '!$L$9*J676+'CAFCO 400 '!$L$10)*U676^2)+(('CAFCO 400 '!$L$11*(J676^3)+'CAFCO 400 '!$L$12*(J676^2)+'CAFCO 400 '!$L$13*J676+'CAFCO 400 '!$L$14)*U676)+('CAFCO 400 '!$L$15*LN(J676)+'CAFCO 400 '!$L$16)),0)+IF(AND(L676="Cafco 400",M676="Software Idiem",C676="L"),((('CAFCO 400 '!$L$7*(J676^3)+'CAFCO 400 '!$L$8*(J676^2)+'CAFCO 400 '!$L$9*J676+'CAFCO 400 '!$L$10)*U676^2)+(('CAFCO 400 '!$L$11*(J676^3)+'CAFCO 400 '!$L$12*(J676^2)+'CAFCO 400 '!$L$13*J676+'CAFCO 400 '!$L$14)*U676)+('CAFCO 400 '!$L$15*LN(J676)+'CAFCO 400 '!$L$16)),0)+IF(AND(L676="Cafco 400",M676="Software Idiem",C676="IN",G676=3),((('CAFCO 400 '!$D$23*(J676^2)+'CAFCO 400 '!$D$24*(J676)+'CAFCO 400 '!$D$25)*U676^2)+(('CAFCO 400 '!$D$26*(J676^2)+'CAFCO 400 '!$D$27*J676+'CAFCO 400 '!$D$28)*U676)+('CAFCO 400 '!$D$29*(J676^2)+'CAFCO 400 '!$D$30*J676+'CAFCO 400 '!$D$31)),0),0)+IF(AND(L676="Cafco 300",J676&gt;=95,J676&lt;=240,C676="Cj",I676=90),VLOOKUP(T676,'CAFCO 300 IDIEM TABLAS'!$B$4:$D$23,2,FALSE),0)+IF(AND(L676="Cafco 300",J676&gt;=95,J676&lt;=240,C676="Cj",I676=120),VLOOKUP(T676,'CAFCO 300 IDIEM TABLAS'!$B$4:$D$23,3,FALSE),0)+IF(AND(L676="Cafco 300",J676&gt;=95,J676&lt;=400,G676=3,C676="IN",I676=90),VLOOKUP(T676,'CAFCO 300 IDIEM TABLAS'!$F$4:$H$35,2,FALSE),0)+IF(AND(L676="Cafco 300",J676&gt;=95,J676&lt;=400,G676=3,C676="IN",I676=120),VLOOKUP(T676,'CAFCO 300 IDIEM TABLAS'!$F$4:$H$35,3,FALSE),0)+IF(AND(L676="Cafco 300",J676&gt;=95,J676&lt;=450,G676=4,C676="IN",I676=90),VLOOKUP(T676,'CAFCO 300 IDIEM TABLAS'!$J$4:$L$40,2,FALSE),0)+IF(AND(L676="Cafco 300",J676&gt;=95,J676&lt;=450,G676=4,C676="IN",I676=120),VLOOKUP(T676,'CAFCO 300 IDIEM TABLAS'!$J$4:$L$40,3,FALSE),0)+IF(AND(M676="Ensayo Idiem",L676="Cafco 400",C676="IN",G676=4,I676=90),VLOOKUP(T676,'CAFCO 400 ENSAYO'!$B$7:$D$43,2,FALSE),0)+IF(AND(M676="Ensayo Idiem",L676="Cafco 400",C676="IN",G676=4,I676=120),VLOOKUP(T676,'CAFCO 400 ENSAYO'!$B$7:$D$43,3,FALSE),0)</f>
        <v>0</v>
      </c>
      <c r="O676" s="96">
        <f t="shared" si="72"/>
        <v>0</v>
      </c>
      <c r="P676" s="95" t="str">
        <f t="shared" si="67"/>
        <v>N/A</v>
      </c>
      <c r="Q676" s="95" t="str">
        <f t="shared" si="68"/>
        <v>N/A</v>
      </c>
      <c r="R676" s="95" t="str">
        <f t="shared" si="69"/>
        <v>NO CERT.</v>
      </c>
      <c r="S676" s="95" t="e">
        <f t="shared" si="70"/>
        <v>#N/A</v>
      </c>
      <c r="T676" s="119" t="e">
        <f>+IF(J676=LOOKUP(J676,'CAFCO 300 IDIEM TABLAS'!$J$4:$J$40),'CALCULO MORTERO'!J676,MROUND('CALCULO MORTERO'!J676,10))</f>
        <v>#N/A</v>
      </c>
      <c r="U676" s="118">
        <f t="shared" si="71"/>
        <v>0</v>
      </c>
    </row>
    <row r="677" spans="1:21" x14ac:dyDescent="0.25">
      <c r="A677" s="118">
        <f>+CUBICACION!D671</f>
        <v>0</v>
      </c>
      <c r="B677" s="819">
        <f>+CUBICACION!E671</f>
        <v>0</v>
      </c>
      <c r="C677" s="675">
        <f>+CUBICACION!F671</f>
        <v>0</v>
      </c>
      <c r="D677" s="118"/>
      <c r="E677" s="118"/>
      <c r="F677" s="820"/>
      <c r="G677" s="675">
        <f>+CUBICACION!J671</f>
        <v>0</v>
      </c>
      <c r="H677" s="118"/>
      <c r="I677" s="821">
        <f>+CUBICACION!L671</f>
        <v>0</v>
      </c>
      <c r="J677" s="64">
        <f>+CUBICACION!M671</f>
        <v>0</v>
      </c>
      <c r="K677" s="822" t="str">
        <f>+CUBICACION!N671</f>
        <v/>
      </c>
      <c r="L677" s="118">
        <f>+CUBICACION!O671</f>
        <v>0</v>
      </c>
      <c r="M677" s="823">
        <f>+CUBICACION!P671</f>
        <v>0</v>
      </c>
      <c r="N677" s="902">
        <f>ROUND(IF(AND(L677="Blaze Shield II",M677="Software Idiem",C677="IN",G677=4),((('BLAZE SHIELD II'!$D$4*('CALCULO MORTERO'!I677^2)+'BLAZE SHIELD II'!$D$5*'CALCULO MORTERO'!I677+'BLAZE SHIELD II'!$D$6)*LN(J677))+('BLAZE SHIELD II'!$D$7*('CALCULO MORTERO'!I677^2)+'BLAZE SHIELD II'!$D$8*'CALCULO MORTERO'!I677+'BLAZE SHIELD II'!$D$9)),0)+IF(AND(L677="Blaze Shield II",M677="Software Idiem",C677="Cj"),((('BLAZE SHIELD II'!$H$4*('CALCULO MORTERO'!I677^2)+'BLAZE SHIELD II'!$H$5*'CALCULO MORTERO'!I677+'BLAZE SHIELD II'!$H$6)*LN(J677))+('BLAZE SHIELD II'!$H$7*('CALCULO MORTERO'!I677^2)+'BLAZE SHIELD II'!$H$8*'CALCULO MORTERO'!I677+'BLAZE SHIELD II'!$H$9)),0)+IF(AND(L677="Blaze Shield II",M677="Software Idiem",C677="C"),((('BLAZE SHIELD II'!$L$4*('CALCULO MORTERO'!I677^2)+'BLAZE SHIELD II'!$L$5*'CALCULO MORTERO'!I677+'BLAZE SHIELD II'!$L$6)*LN(J677))+('BLAZE SHIELD II'!$L$7*('CALCULO MORTERO'!I677^2)+'BLAZE SHIELD II'!$L$8*'CALCULO MORTERO'!I677+'BLAZE SHIELD II'!$L$9)),0)+IF(AND(L677="Blaze Shield II",M677="Software Idiem",C677="L"),((('BLAZE SHIELD II'!$L$4*('CALCULO MORTERO'!I677^2)+'BLAZE SHIELD II'!$L$5*'CALCULO MORTERO'!I677+'BLAZE SHIELD II'!$L$6)*LN(J677))+('BLAZE SHIELD II'!$L$7*('CALCULO MORTERO'!I677^2)+'BLAZE SHIELD II'!$L$8*'CALCULO MORTERO'!I677+'BLAZE SHIELD II'!$L$9)),0)+IF(AND(L677="Blaze Shield II",M677="Software Idiem",C677="IN",G677=3),((('BLAZE SHIELD II'!$H$14*('CALCULO MORTERO'!I677^2)+'BLAZE SHIELD II'!$H$15*'CALCULO MORTERO'!I677+'BLAZE SHIELD II'!$H$16)*LN(J677))+('BLAZE SHIELD II'!$H$17*('CALCULO MORTERO'!I677^2)+'BLAZE SHIELD II'!$H$18*'CALCULO MORTERO'!I677+'BLAZE SHIELD II'!$H$19)),0),0)+ROUND(IF(AND(L677="Cafco 400",M677="Software Idiem",C677="IN",G677=4),((('CAFCO 400 '!$H$7*(J677^4)+'CAFCO 400 '!$H$8*(J677^3)+'CAFCO 400 '!$H$9*(J677^2)+'CAFCO 400 '!$H$10*J677+'CAFCO 400 '!$H$11)*U677^2)+(('CAFCO 400 '!$H$12*(J677^3)+'CAFCO 400 '!$H$13*(J677^2)+'CAFCO 400 '!$H$14*J677+'CAFCO 400 '!$H$15)*U677)+('CAFCO 400 '!$H$16*(J677^2)+'CAFCO 400 '!$H$17*J677+'CAFCO 400 '!$H$18)),0)+IF(AND(L677="Cafco 400",M677="Software Idiem",C677="Cj"),(((('CAFCO 400 '!$D$7*LN(J677)+'CAFCO 400 '!$D$8)*U677^2)+(('CAFCO 400 '!$D$9*LN(J677)+'CAFCO 400 '!$D$10)*U677)+('CAFCO 400 '!$D$11*LN(J677)+'CAFCO 400 '!$D$12))),0)+IF(AND(L677="Cafco 400",M677="Software Idiem",C677="C"),((('CAFCO 400 '!$L$7*(J677^3)+'CAFCO 400 '!$L$8*(J677^2)+'CAFCO 400 '!$L$9*J677+'CAFCO 400 '!$L$10)*U677^2)+(('CAFCO 400 '!$L$11*(J677^3)+'CAFCO 400 '!$L$12*(J677^2)+'CAFCO 400 '!$L$13*J677+'CAFCO 400 '!$L$14)*U677)+('CAFCO 400 '!$L$15*LN(J677)+'CAFCO 400 '!$L$16)),0)+IF(AND(L677="Cafco 400",M677="Software Idiem",C677="L"),((('CAFCO 400 '!$L$7*(J677^3)+'CAFCO 400 '!$L$8*(J677^2)+'CAFCO 400 '!$L$9*J677+'CAFCO 400 '!$L$10)*U677^2)+(('CAFCO 400 '!$L$11*(J677^3)+'CAFCO 400 '!$L$12*(J677^2)+'CAFCO 400 '!$L$13*J677+'CAFCO 400 '!$L$14)*U677)+('CAFCO 400 '!$L$15*LN(J677)+'CAFCO 400 '!$L$16)),0)+IF(AND(L677="Cafco 400",M677="Software Idiem",C677="IN",G677=3),((('CAFCO 400 '!$D$23*(J677^2)+'CAFCO 400 '!$D$24*(J677)+'CAFCO 400 '!$D$25)*U677^2)+(('CAFCO 400 '!$D$26*(J677^2)+'CAFCO 400 '!$D$27*J677+'CAFCO 400 '!$D$28)*U677)+('CAFCO 400 '!$D$29*(J677^2)+'CAFCO 400 '!$D$30*J677+'CAFCO 400 '!$D$31)),0),0)+IF(AND(L677="Cafco 300",J677&gt;=95,J677&lt;=240,C677="Cj",I677=90),VLOOKUP(T677,'CAFCO 300 IDIEM TABLAS'!$B$4:$D$23,2,FALSE),0)+IF(AND(L677="Cafco 300",J677&gt;=95,J677&lt;=240,C677="Cj",I677=120),VLOOKUP(T677,'CAFCO 300 IDIEM TABLAS'!$B$4:$D$23,3,FALSE),0)+IF(AND(L677="Cafco 300",J677&gt;=95,J677&lt;=400,G677=3,C677="IN",I677=90),VLOOKUP(T677,'CAFCO 300 IDIEM TABLAS'!$F$4:$H$35,2,FALSE),0)+IF(AND(L677="Cafco 300",J677&gt;=95,J677&lt;=400,G677=3,C677="IN",I677=120),VLOOKUP(T677,'CAFCO 300 IDIEM TABLAS'!$F$4:$H$35,3,FALSE),0)+IF(AND(L677="Cafco 300",J677&gt;=95,J677&lt;=450,G677=4,C677="IN",I677=90),VLOOKUP(T677,'CAFCO 300 IDIEM TABLAS'!$J$4:$L$40,2,FALSE),0)+IF(AND(L677="Cafco 300",J677&gt;=95,J677&lt;=450,G677=4,C677="IN",I677=120),VLOOKUP(T677,'CAFCO 300 IDIEM TABLAS'!$J$4:$L$40,3,FALSE),0)+IF(AND(M677="Ensayo Idiem",L677="Cafco 400",C677="IN",G677=4,I677=90),VLOOKUP(T677,'CAFCO 400 ENSAYO'!$B$7:$D$43,2,FALSE),0)+IF(AND(M677="Ensayo Idiem",L677="Cafco 400",C677="IN",G677=4,I677=120),VLOOKUP(T677,'CAFCO 400 ENSAYO'!$B$7:$D$43,3,FALSE),0)</f>
        <v>0</v>
      </c>
      <c r="O677" s="96">
        <f t="shared" si="72"/>
        <v>0</v>
      </c>
      <c r="P677" s="132" t="str">
        <f t="shared" si="67"/>
        <v>N/A</v>
      </c>
      <c r="Q677" s="132" t="str">
        <f t="shared" si="68"/>
        <v>N/A</v>
      </c>
      <c r="R677" s="132" t="str">
        <f t="shared" si="69"/>
        <v>NO CERT.</v>
      </c>
      <c r="S677" s="132" t="e">
        <f t="shared" si="70"/>
        <v>#N/A</v>
      </c>
      <c r="T677" s="133" t="e">
        <f>+IF(J677=LOOKUP(J677,'CAFCO 300 IDIEM TABLAS'!$J$4:$J$40),'CALCULO MORTERO'!J677,MROUND('CALCULO MORTERO'!J677,10))</f>
        <v>#N/A</v>
      </c>
      <c r="U677" s="134">
        <f t="shared" si="71"/>
        <v>0</v>
      </c>
    </row>
    <row r="678" spans="1:21" x14ac:dyDescent="0.25">
      <c r="A678" s="118">
        <f>+CUBICACION!D672</f>
        <v>0</v>
      </c>
      <c r="B678" s="819">
        <f>+CUBICACION!E672</f>
        <v>0</v>
      </c>
      <c r="C678" s="675">
        <f>+CUBICACION!F672</f>
        <v>0</v>
      </c>
      <c r="D678" s="118"/>
      <c r="E678" s="118"/>
      <c r="F678" s="820"/>
      <c r="G678" s="675">
        <f>+CUBICACION!J672</f>
        <v>0</v>
      </c>
      <c r="H678" s="118"/>
      <c r="I678" s="821">
        <f>+CUBICACION!L672</f>
        <v>0</v>
      </c>
      <c r="J678" s="64">
        <f>+CUBICACION!M672</f>
        <v>0</v>
      </c>
      <c r="K678" s="822" t="str">
        <f>+CUBICACION!N672</f>
        <v/>
      </c>
      <c r="L678" s="118">
        <f>+CUBICACION!O672</f>
        <v>0</v>
      </c>
      <c r="M678" s="823">
        <f>+CUBICACION!P672</f>
        <v>0</v>
      </c>
      <c r="N678" s="902">
        <f>ROUND(IF(AND(L678="Blaze Shield II",M678="Software Idiem",C678="IN",G678=4),((('BLAZE SHIELD II'!$D$4*('CALCULO MORTERO'!I678^2)+'BLAZE SHIELD II'!$D$5*'CALCULO MORTERO'!I678+'BLAZE SHIELD II'!$D$6)*LN(J678))+('BLAZE SHIELD II'!$D$7*('CALCULO MORTERO'!I678^2)+'BLAZE SHIELD II'!$D$8*'CALCULO MORTERO'!I678+'BLAZE SHIELD II'!$D$9)),0)+IF(AND(L678="Blaze Shield II",M678="Software Idiem",C678="Cj"),((('BLAZE SHIELD II'!$H$4*('CALCULO MORTERO'!I678^2)+'BLAZE SHIELD II'!$H$5*'CALCULO MORTERO'!I678+'BLAZE SHIELD II'!$H$6)*LN(J678))+('BLAZE SHIELD II'!$H$7*('CALCULO MORTERO'!I678^2)+'BLAZE SHIELD II'!$H$8*'CALCULO MORTERO'!I678+'BLAZE SHIELD II'!$H$9)),0)+IF(AND(L678="Blaze Shield II",M678="Software Idiem",C678="C"),((('BLAZE SHIELD II'!$L$4*('CALCULO MORTERO'!I678^2)+'BLAZE SHIELD II'!$L$5*'CALCULO MORTERO'!I678+'BLAZE SHIELD II'!$L$6)*LN(J678))+('BLAZE SHIELD II'!$L$7*('CALCULO MORTERO'!I678^2)+'BLAZE SHIELD II'!$L$8*'CALCULO MORTERO'!I678+'BLAZE SHIELD II'!$L$9)),0)+IF(AND(L678="Blaze Shield II",M678="Software Idiem",C678="L"),((('BLAZE SHIELD II'!$L$4*('CALCULO MORTERO'!I678^2)+'BLAZE SHIELD II'!$L$5*'CALCULO MORTERO'!I678+'BLAZE SHIELD II'!$L$6)*LN(J678))+('BLAZE SHIELD II'!$L$7*('CALCULO MORTERO'!I678^2)+'BLAZE SHIELD II'!$L$8*'CALCULO MORTERO'!I678+'BLAZE SHIELD II'!$L$9)),0)+IF(AND(L678="Blaze Shield II",M678="Software Idiem",C678="IN",G678=3),((('BLAZE SHIELD II'!$H$14*('CALCULO MORTERO'!I678^2)+'BLAZE SHIELD II'!$H$15*'CALCULO MORTERO'!I678+'BLAZE SHIELD II'!$H$16)*LN(J678))+('BLAZE SHIELD II'!$H$17*('CALCULO MORTERO'!I678^2)+'BLAZE SHIELD II'!$H$18*'CALCULO MORTERO'!I678+'BLAZE SHIELD II'!$H$19)),0),0)+ROUND(IF(AND(L678="Cafco 400",M678="Software Idiem",C678="IN",G678=4),((('CAFCO 400 '!$H$7*(J678^4)+'CAFCO 400 '!$H$8*(J678^3)+'CAFCO 400 '!$H$9*(J678^2)+'CAFCO 400 '!$H$10*J678+'CAFCO 400 '!$H$11)*U678^2)+(('CAFCO 400 '!$H$12*(J678^3)+'CAFCO 400 '!$H$13*(J678^2)+'CAFCO 400 '!$H$14*J678+'CAFCO 400 '!$H$15)*U678)+('CAFCO 400 '!$H$16*(J678^2)+'CAFCO 400 '!$H$17*J678+'CAFCO 400 '!$H$18)),0)+IF(AND(L678="Cafco 400",M678="Software Idiem",C678="Cj"),(((('CAFCO 400 '!$D$7*LN(J678)+'CAFCO 400 '!$D$8)*U678^2)+(('CAFCO 400 '!$D$9*LN(J678)+'CAFCO 400 '!$D$10)*U678)+('CAFCO 400 '!$D$11*LN(J678)+'CAFCO 400 '!$D$12))),0)+IF(AND(L678="Cafco 400",M678="Software Idiem",C678="C"),((('CAFCO 400 '!$L$7*(J678^3)+'CAFCO 400 '!$L$8*(J678^2)+'CAFCO 400 '!$L$9*J678+'CAFCO 400 '!$L$10)*U678^2)+(('CAFCO 400 '!$L$11*(J678^3)+'CAFCO 400 '!$L$12*(J678^2)+'CAFCO 400 '!$L$13*J678+'CAFCO 400 '!$L$14)*U678)+('CAFCO 400 '!$L$15*LN(J678)+'CAFCO 400 '!$L$16)),0)+IF(AND(L678="Cafco 400",M678="Software Idiem",C678="L"),((('CAFCO 400 '!$L$7*(J678^3)+'CAFCO 400 '!$L$8*(J678^2)+'CAFCO 400 '!$L$9*J678+'CAFCO 400 '!$L$10)*U678^2)+(('CAFCO 400 '!$L$11*(J678^3)+'CAFCO 400 '!$L$12*(J678^2)+'CAFCO 400 '!$L$13*J678+'CAFCO 400 '!$L$14)*U678)+('CAFCO 400 '!$L$15*LN(J678)+'CAFCO 400 '!$L$16)),0)+IF(AND(L678="Cafco 400",M678="Software Idiem",C678="IN",G678=3),((('CAFCO 400 '!$D$23*(J678^2)+'CAFCO 400 '!$D$24*(J678)+'CAFCO 400 '!$D$25)*U678^2)+(('CAFCO 400 '!$D$26*(J678^2)+'CAFCO 400 '!$D$27*J678+'CAFCO 400 '!$D$28)*U678)+('CAFCO 400 '!$D$29*(J678^2)+'CAFCO 400 '!$D$30*J678+'CAFCO 400 '!$D$31)),0),0)+IF(AND(L678="Cafco 300",J678&gt;=95,J678&lt;=240,C678="Cj",I678=90),VLOOKUP(T678,'CAFCO 300 IDIEM TABLAS'!$B$4:$D$23,2,FALSE),0)+IF(AND(L678="Cafco 300",J678&gt;=95,J678&lt;=240,C678="Cj",I678=120),VLOOKUP(T678,'CAFCO 300 IDIEM TABLAS'!$B$4:$D$23,3,FALSE),0)+IF(AND(L678="Cafco 300",J678&gt;=95,J678&lt;=400,G678=3,C678="IN",I678=90),VLOOKUP(T678,'CAFCO 300 IDIEM TABLAS'!$F$4:$H$35,2,FALSE),0)+IF(AND(L678="Cafco 300",J678&gt;=95,J678&lt;=400,G678=3,C678="IN",I678=120),VLOOKUP(T678,'CAFCO 300 IDIEM TABLAS'!$F$4:$H$35,3,FALSE),0)+IF(AND(L678="Cafco 300",J678&gt;=95,J678&lt;=450,G678=4,C678="IN",I678=90),VLOOKUP(T678,'CAFCO 300 IDIEM TABLAS'!$J$4:$L$40,2,FALSE),0)+IF(AND(L678="Cafco 300",J678&gt;=95,J678&lt;=450,G678=4,C678="IN",I678=120),VLOOKUP(T678,'CAFCO 300 IDIEM TABLAS'!$J$4:$L$40,3,FALSE),0)+IF(AND(M678="Ensayo Idiem",L678="Cafco 400",C678="IN",G678=4,I678=90),VLOOKUP(T678,'CAFCO 400 ENSAYO'!$B$7:$D$43,2,FALSE),0)+IF(AND(M678="Ensayo Idiem",L678="Cafco 400",C678="IN",G678=4,I678=120),VLOOKUP(T678,'CAFCO 400 ENSAYO'!$B$7:$D$43,3,FALSE),0)</f>
        <v>0</v>
      </c>
      <c r="O678" s="96">
        <f t="shared" si="72"/>
        <v>0</v>
      </c>
      <c r="P678" s="95" t="str">
        <f t="shared" si="67"/>
        <v>N/A</v>
      </c>
      <c r="Q678" s="95" t="str">
        <f t="shared" si="68"/>
        <v>N/A</v>
      </c>
      <c r="R678" s="95" t="str">
        <f t="shared" si="69"/>
        <v>NO CERT.</v>
      </c>
      <c r="S678" s="95" t="e">
        <f t="shared" si="70"/>
        <v>#N/A</v>
      </c>
      <c r="T678" s="119" t="e">
        <f>+IF(J678=LOOKUP(J678,'CAFCO 300 IDIEM TABLAS'!$J$4:$J$40),'CALCULO MORTERO'!J678,MROUND('CALCULO MORTERO'!J678,10))</f>
        <v>#N/A</v>
      </c>
      <c r="U678" s="118">
        <f t="shared" si="71"/>
        <v>0</v>
      </c>
    </row>
    <row r="679" spans="1:21" x14ac:dyDescent="0.25">
      <c r="A679" s="118">
        <f>+CUBICACION!D673</f>
        <v>0</v>
      </c>
      <c r="B679" s="819">
        <f>+CUBICACION!E673</f>
        <v>0</v>
      </c>
      <c r="C679" s="675">
        <f>+CUBICACION!F673</f>
        <v>0</v>
      </c>
      <c r="D679" s="118"/>
      <c r="E679" s="118"/>
      <c r="F679" s="820"/>
      <c r="G679" s="675">
        <f>+CUBICACION!J673</f>
        <v>0</v>
      </c>
      <c r="H679" s="118"/>
      <c r="I679" s="821">
        <f>+CUBICACION!L673</f>
        <v>0</v>
      </c>
      <c r="J679" s="64">
        <f>+CUBICACION!M673</f>
        <v>0</v>
      </c>
      <c r="K679" s="822" t="str">
        <f>+CUBICACION!N673</f>
        <v/>
      </c>
      <c r="L679" s="118">
        <f>+CUBICACION!O673</f>
        <v>0</v>
      </c>
      <c r="M679" s="823">
        <f>+CUBICACION!P673</f>
        <v>0</v>
      </c>
      <c r="N679" s="902">
        <f>ROUND(IF(AND(L679="Blaze Shield II",M679="Software Idiem",C679="IN",G679=4),((('BLAZE SHIELD II'!$D$4*('CALCULO MORTERO'!I679^2)+'BLAZE SHIELD II'!$D$5*'CALCULO MORTERO'!I679+'BLAZE SHIELD II'!$D$6)*LN(J679))+('BLAZE SHIELD II'!$D$7*('CALCULO MORTERO'!I679^2)+'BLAZE SHIELD II'!$D$8*'CALCULO MORTERO'!I679+'BLAZE SHIELD II'!$D$9)),0)+IF(AND(L679="Blaze Shield II",M679="Software Idiem",C679="Cj"),((('BLAZE SHIELD II'!$H$4*('CALCULO MORTERO'!I679^2)+'BLAZE SHIELD II'!$H$5*'CALCULO MORTERO'!I679+'BLAZE SHIELD II'!$H$6)*LN(J679))+('BLAZE SHIELD II'!$H$7*('CALCULO MORTERO'!I679^2)+'BLAZE SHIELD II'!$H$8*'CALCULO MORTERO'!I679+'BLAZE SHIELD II'!$H$9)),0)+IF(AND(L679="Blaze Shield II",M679="Software Idiem",C679="C"),((('BLAZE SHIELD II'!$L$4*('CALCULO MORTERO'!I679^2)+'BLAZE SHIELD II'!$L$5*'CALCULO MORTERO'!I679+'BLAZE SHIELD II'!$L$6)*LN(J679))+('BLAZE SHIELD II'!$L$7*('CALCULO MORTERO'!I679^2)+'BLAZE SHIELD II'!$L$8*'CALCULO MORTERO'!I679+'BLAZE SHIELD II'!$L$9)),0)+IF(AND(L679="Blaze Shield II",M679="Software Idiem",C679="L"),((('BLAZE SHIELD II'!$L$4*('CALCULO MORTERO'!I679^2)+'BLAZE SHIELD II'!$L$5*'CALCULO MORTERO'!I679+'BLAZE SHIELD II'!$L$6)*LN(J679))+('BLAZE SHIELD II'!$L$7*('CALCULO MORTERO'!I679^2)+'BLAZE SHIELD II'!$L$8*'CALCULO MORTERO'!I679+'BLAZE SHIELD II'!$L$9)),0)+IF(AND(L679="Blaze Shield II",M679="Software Idiem",C679="IN",G679=3),((('BLAZE SHIELD II'!$H$14*('CALCULO MORTERO'!I679^2)+'BLAZE SHIELD II'!$H$15*'CALCULO MORTERO'!I679+'BLAZE SHIELD II'!$H$16)*LN(J679))+('BLAZE SHIELD II'!$H$17*('CALCULO MORTERO'!I679^2)+'BLAZE SHIELD II'!$H$18*'CALCULO MORTERO'!I679+'BLAZE SHIELD II'!$H$19)),0),0)+ROUND(IF(AND(L679="Cafco 400",M679="Software Idiem",C679="IN",G679=4),((('CAFCO 400 '!$H$7*(J679^4)+'CAFCO 400 '!$H$8*(J679^3)+'CAFCO 400 '!$H$9*(J679^2)+'CAFCO 400 '!$H$10*J679+'CAFCO 400 '!$H$11)*U679^2)+(('CAFCO 400 '!$H$12*(J679^3)+'CAFCO 400 '!$H$13*(J679^2)+'CAFCO 400 '!$H$14*J679+'CAFCO 400 '!$H$15)*U679)+('CAFCO 400 '!$H$16*(J679^2)+'CAFCO 400 '!$H$17*J679+'CAFCO 400 '!$H$18)),0)+IF(AND(L679="Cafco 400",M679="Software Idiem",C679="Cj"),(((('CAFCO 400 '!$D$7*LN(J679)+'CAFCO 400 '!$D$8)*U679^2)+(('CAFCO 400 '!$D$9*LN(J679)+'CAFCO 400 '!$D$10)*U679)+('CAFCO 400 '!$D$11*LN(J679)+'CAFCO 400 '!$D$12))),0)+IF(AND(L679="Cafco 400",M679="Software Idiem",C679="C"),((('CAFCO 400 '!$L$7*(J679^3)+'CAFCO 400 '!$L$8*(J679^2)+'CAFCO 400 '!$L$9*J679+'CAFCO 400 '!$L$10)*U679^2)+(('CAFCO 400 '!$L$11*(J679^3)+'CAFCO 400 '!$L$12*(J679^2)+'CAFCO 400 '!$L$13*J679+'CAFCO 400 '!$L$14)*U679)+('CAFCO 400 '!$L$15*LN(J679)+'CAFCO 400 '!$L$16)),0)+IF(AND(L679="Cafco 400",M679="Software Idiem",C679="L"),((('CAFCO 400 '!$L$7*(J679^3)+'CAFCO 400 '!$L$8*(J679^2)+'CAFCO 400 '!$L$9*J679+'CAFCO 400 '!$L$10)*U679^2)+(('CAFCO 400 '!$L$11*(J679^3)+'CAFCO 400 '!$L$12*(J679^2)+'CAFCO 400 '!$L$13*J679+'CAFCO 400 '!$L$14)*U679)+('CAFCO 400 '!$L$15*LN(J679)+'CAFCO 400 '!$L$16)),0)+IF(AND(L679="Cafco 400",M679="Software Idiem",C679="IN",G679=3),((('CAFCO 400 '!$D$23*(J679^2)+'CAFCO 400 '!$D$24*(J679)+'CAFCO 400 '!$D$25)*U679^2)+(('CAFCO 400 '!$D$26*(J679^2)+'CAFCO 400 '!$D$27*J679+'CAFCO 400 '!$D$28)*U679)+('CAFCO 400 '!$D$29*(J679^2)+'CAFCO 400 '!$D$30*J679+'CAFCO 400 '!$D$31)),0),0)+IF(AND(L679="Cafco 300",J679&gt;=95,J679&lt;=240,C679="Cj",I679=90),VLOOKUP(T679,'CAFCO 300 IDIEM TABLAS'!$B$4:$D$23,2,FALSE),0)+IF(AND(L679="Cafco 300",J679&gt;=95,J679&lt;=240,C679="Cj",I679=120),VLOOKUP(T679,'CAFCO 300 IDIEM TABLAS'!$B$4:$D$23,3,FALSE),0)+IF(AND(L679="Cafco 300",J679&gt;=95,J679&lt;=400,G679=3,C679="IN",I679=90),VLOOKUP(T679,'CAFCO 300 IDIEM TABLAS'!$F$4:$H$35,2,FALSE),0)+IF(AND(L679="Cafco 300",J679&gt;=95,J679&lt;=400,G679=3,C679="IN",I679=120),VLOOKUP(T679,'CAFCO 300 IDIEM TABLAS'!$F$4:$H$35,3,FALSE),0)+IF(AND(L679="Cafco 300",J679&gt;=95,J679&lt;=450,G679=4,C679="IN",I679=90),VLOOKUP(T679,'CAFCO 300 IDIEM TABLAS'!$J$4:$L$40,2,FALSE),0)+IF(AND(L679="Cafco 300",J679&gt;=95,J679&lt;=450,G679=4,C679="IN",I679=120),VLOOKUP(T679,'CAFCO 300 IDIEM TABLAS'!$J$4:$L$40,3,FALSE),0)+IF(AND(M679="Ensayo Idiem",L679="Cafco 400",C679="IN",G679=4,I679=90),VLOOKUP(T679,'CAFCO 400 ENSAYO'!$B$7:$D$43,2,FALSE),0)+IF(AND(M679="Ensayo Idiem",L679="Cafco 400",C679="IN",G679=4,I679=120),VLOOKUP(T679,'CAFCO 400 ENSAYO'!$B$7:$D$43,3,FALSE),0)</f>
        <v>0</v>
      </c>
      <c r="O679" s="96">
        <f t="shared" si="72"/>
        <v>0</v>
      </c>
      <c r="P679" s="132" t="str">
        <f t="shared" si="67"/>
        <v>N/A</v>
      </c>
      <c r="Q679" s="132" t="str">
        <f t="shared" si="68"/>
        <v>N/A</v>
      </c>
      <c r="R679" s="132" t="str">
        <f t="shared" si="69"/>
        <v>NO CERT.</v>
      </c>
      <c r="S679" s="132" t="e">
        <f t="shared" si="70"/>
        <v>#N/A</v>
      </c>
      <c r="T679" s="133" t="e">
        <f>+IF(J679=LOOKUP(J679,'CAFCO 300 IDIEM TABLAS'!$J$4:$J$40),'CALCULO MORTERO'!J679,MROUND('CALCULO MORTERO'!J679,10))</f>
        <v>#N/A</v>
      </c>
      <c r="U679" s="134">
        <f t="shared" si="71"/>
        <v>0</v>
      </c>
    </row>
    <row r="680" spans="1:21" x14ac:dyDescent="0.25">
      <c r="A680" s="118">
        <f>+CUBICACION!D674</f>
        <v>0</v>
      </c>
      <c r="B680" s="819">
        <f>+CUBICACION!E674</f>
        <v>0</v>
      </c>
      <c r="C680" s="675">
        <f>+CUBICACION!F674</f>
        <v>0</v>
      </c>
      <c r="D680" s="118"/>
      <c r="E680" s="118"/>
      <c r="F680" s="820"/>
      <c r="G680" s="675">
        <f>+CUBICACION!J674</f>
        <v>0</v>
      </c>
      <c r="H680" s="118"/>
      <c r="I680" s="821">
        <f>+CUBICACION!L674</f>
        <v>0</v>
      </c>
      <c r="J680" s="64">
        <f>+CUBICACION!M674</f>
        <v>0</v>
      </c>
      <c r="K680" s="822" t="str">
        <f>+CUBICACION!N674</f>
        <v/>
      </c>
      <c r="L680" s="118">
        <f>+CUBICACION!O674</f>
        <v>0</v>
      </c>
      <c r="M680" s="823">
        <f>+CUBICACION!P674</f>
        <v>0</v>
      </c>
      <c r="N680" s="902">
        <f>ROUND(IF(AND(L680="Blaze Shield II",M680="Software Idiem",C680="IN",G680=4),((('BLAZE SHIELD II'!$D$4*('CALCULO MORTERO'!I680^2)+'BLAZE SHIELD II'!$D$5*'CALCULO MORTERO'!I680+'BLAZE SHIELD II'!$D$6)*LN(J680))+('BLAZE SHIELD II'!$D$7*('CALCULO MORTERO'!I680^2)+'BLAZE SHIELD II'!$D$8*'CALCULO MORTERO'!I680+'BLAZE SHIELD II'!$D$9)),0)+IF(AND(L680="Blaze Shield II",M680="Software Idiem",C680="Cj"),((('BLAZE SHIELD II'!$H$4*('CALCULO MORTERO'!I680^2)+'BLAZE SHIELD II'!$H$5*'CALCULO MORTERO'!I680+'BLAZE SHIELD II'!$H$6)*LN(J680))+('BLAZE SHIELD II'!$H$7*('CALCULO MORTERO'!I680^2)+'BLAZE SHIELD II'!$H$8*'CALCULO MORTERO'!I680+'BLAZE SHIELD II'!$H$9)),0)+IF(AND(L680="Blaze Shield II",M680="Software Idiem",C680="C"),((('BLAZE SHIELD II'!$L$4*('CALCULO MORTERO'!I680^2)+'BLAZE SHIELD II'!$L$5*'CALCULO MORTERO'!I680+'BLAZE SHIELD II'!$L$6)*LN(J680))+('BLAZE SHIELD II'!$L$7*('CALCULO MORTERO'!I680^2)+'BLAZE SHIELD II'!$L$8*'CALCULO MORTERO'!I680+'BLAZE SHIELD II'!$L$9)),0)+IF(AND(L680="Blaze Shield II",M680="Software Idiem",C680="L"),((('BLAZE SHIELD II'!$L$4*('CALCULO MORTERO'!I680^2)+'BLAZE SHIELD II'!$L$5*'CALCULO MORTERO'!I680+'BLAZE SHIELD II'!$L$6)*LN(J680))+('BLAZE SHIELD II'!$L$7*('CALCULO MORTERO'!I680^2)+'BLAZE SHIELD II'!$L$8*'CALCULO MORTERO'!I680+'BLAZE SHIELD II'!$L$9)),0)+IF(AND(L680="Blaze Shield II",M680="Software Idiem",C680="IN",G680=3),((('BLAZE SHIELD II'!$H$14*('CALCULO MORTERO'!I680^2)+'BLAZE SHIELD II'!$H$15*'CALCULO MORTERO'!I680+'BLAZE SHIELD II'!$H$16)*LN(J680))+('BLAZE SHIELD II'!$H$17*('CALCULO MORTERO'!I680^2)+'BLAZE SHIELD II'!$H$18*'CALCULO MORTERO'!I680+'BLAZE SHIELD II'!$H$19)),0),0)+ROUND(IF(AND(L680="Cafco 400",M680="Software Idiem",C680="IN",G680=4),((('CAFCO 400 '!$H$7*(J680^4)+'CAFCO 400 '!$H$8*(J680^3)+'CAFCO 400 '!$H$9*(J680^2)+'CAFCO 400 '!$H$10*J680+'CAFCO 400 '!$H$11)*U680^2)+(('CAFCO 400 '!$H$12*(J680^3)+'CAFCO 400 '!$H$13*(J680^2)+'CAFCO 400 '!$H$14*J680+'CAFCO 400 '!$H$15)*U680)+('CAFCO 400 '!$H$16*(J680^2)+'CAFCO 400 '!$H$17*J680+'CAFCO 400 '!$H$18)),0)+IF(AND(L680="Cafco 400",M680="Software Idiem",C680="Cj"),(((('CAFCO 400 '!$D$7*LN(J680)+'CAFCO 400 '!$D$8)*U680^2)+(('CAFCO 400 '!$D$9*LN(J680)+'CAFCO 400 '!$D$10)*U680)+('CAFCO 400 '!$D$11*LN(J680)+'CAFCO 400 '!$D$12))),0)+IF(AND(L680="Cafco 400",M680="Software Idiem",C680="C"),((('CAFCO 400 '!$L$7*(J680^3)+'CAFCO 400 '!$L$8*(J680^2)+'CAFCO 400 '!$L$9*J680+'CAFCO 400 '!$L$10)*U680^2)+(('CAFCO 400 '!$L$11*(J680^3)+'CAFCO 400 '!$L$12*(J680^2)+'CAFCO 400 '!$L$13*J680+'CAFCO 400 '!$L$14)*U680)+('CAFCO 400 '!$L$15*LN(J680)+'CAFCO 400 '!$L$16)),0)+IF(AND(L680="Cafco 400",M680="Software Idiem",C680="L"),((('CAFCO 400 '!$L$7*(J680^3)+'CAFCO 400 '!$L$8*(J680^2)+'CAFCO 400 '!$L$9*J680+'CAFCO 400 '!$L$10)*U680^2)+(('CAFCO 400 '!$L$11*(J680^3)+'CAFCO 400 '!$L$12*(J680^2)+'CAFCO 400 '!$L$13*J680+'CAFCO 400 '!$L$14)*U680)+('CAFCO 400 '!$L$15*LN(J680)+'CAFCO 400 '!$L$16)),0)+IF(AND(L680="Cafco 400",M680="Software Idiem",C680="IN",G680=3),((('CAFCO 400 '!$D$23*(J680^2)+'CAFCO 400 '!$D$24*(J680)+'CAFCO 400 '!$D$25)*U680^2)+(('CAFCO 400 '!$D$26*(J680^2)+'CAFCO 400 '!$D$27*J680+'CAFCO 400 '!$D$28)*U680)+('CAFCO 400 '!$D$29*(J680^2)+'CAFCO 400 '!$D$30*J680+'CAFCO 400 '!$D$31)),0),0)+IF(AND(L680="Cafco 300",J680&gt;=95,J680&lt;=240,C680="Cj",I680=90),VLOOKUP(T680,'CAFCO 300 IDIEM TABLAS'!$B$4:$D$23,2,FALSE),0)+IF(AND(L680="Cafco 300",J680&gt;=95,J680&lt;=240,C680="Cj",I680=120),VLOOKUP(T680,'CAFCO 300 IDIEM TABLAS'!$B$4:$D$23,3,FALSE),0)+IF(AND(L680="Cafco 300",J680&gt;=95,J680&lt;=400,G680=3,C680="IN",I680=90),VLOOKUP(T680,'CAFCO 300 IDIEM TABLAS'!$F$4:$H$35,2,FALSE),0)+IF(AND(L680="Cafco 300",J680&gt;=95,J680&lt;=400,G680=3,C680="IN",I680=120),VLOOKUP(T680,'CAFCO 300 IDIEM TABLAS'!$F$4:$H$35,3,FALSE),0)+IF(AND(L680="Cafco 300",J680&gt;=95,J680&lt;=450,G680=4,C680="IN",I680=90),VLOOKUP(T680,'CAFCO 300 IDIEM TABLAS'!$J$4:$L$40,2,FALSE),0)+IF(AND(L680="Cafco 300",J680&gt;=95,J680&lt;=450,G680=4,C680="IN",I680=120),VLOOKUP(T680,'CAFCO 300 IDIEM TABLAS'!$J$4:$L$40,3,FALSE),0)+IF(AND(M680="Ensayo Idiem",L680="Cafco 400",C680="IN",G680=4,I680=90),VLOOKUP(T680,'CAFCO 400 ENSAYO'!$B$7:$D$43,2,FALSE),0)+IF(AND(M680="Ensayo Idiem",L680="Cafco 400",C680="IN",G680=4,I680=120),VLOOKUP(T680,'CAFCO 400 ENSAYO'!$B$7:$D$43,3,FALSE),0)</f>
        <v>0</v>
      </c>
      <c r="O680" s="96">
        <f t="shared" si="72"/>
        <v>0</v>
      </c>
      <c r="P680" s="95" t="str">
        <f t="shared" si="67"/>
        <v>N/A</v>
      </c>
      <c r="Q680" s="95" t="str">
        <f t="shared" si="68"/>
        <v>N/A</v>
      </c>
      <c r="R680" s="95" t="str">
        <f t="shared" si="69"/>
        <v>NO CERT.</v>
      </c>
      <c r="S680" s="95" t="e">
        <f t="shared" si="70"/>
        <v>#N/A</v>
      </c>
      <c r="T680" s="119" t="e">
        <f>+IF(J680=LOOKUP(J680,'CAFCO 300 IDIEM TABLAS'!$J$4:$J$40),'CALCULO MORTERO'!J680,MROUND('CALCULO MORTERO'!J680,10))</f>
        <v>#N/A</v>
      </c>
      <c r="U680" s="118">
        <f t="shared" si="71"/>
        <v>0</v>
      </c>
    </row>
    <row r="681" spans="1:21" x14ac:dyDescent="0.25">
      <c r="A681" s="118">
        <f>+CUBICACION!D675</f>
        <v>0</v>
      </c>
      <c r="B681" s="819">
        <f>+CUBICACION!E675</f>
        <v>0</v>
      </c>
      <c r="C681" s="675">
        <f>+CUBICACION!F675</f>
        <v>0</v>
      </c>
      <c r="D681" s="118"/>
      <c r="E681" s="118"/>
      <c r="F681" s="820"/>
      <c r="G681" s="675">
        <f>+CUBICACION!J675</f>
        <v>0</v>
      </c>
      <c r="H681" s="118"/>
      <c r="I681" s="821">
        <f>+CUBICACION!L675</f>
        <v>0</v>
      </c>
      <c r="J681" s="64">
        <f>+CUBICACION!M675</f>
        <v>0</v>
      </c>
      <c r="K681" s="822" t="str">
        <f>+CUBICACION!N675</f>
        <v/>
      </c>
      <c r="L681" s="118">
        <f>+CUBICACION!O675</f>
        <v>0</v>
      </c>
      <c r="M681" s="823">
        <f>+CUBICACION!P675</f>
        <v>0</v>
      </c>
      <c r="N681" s="902">
        <f>ROUND(IF(AND(L681="Blaze Shield II",M681="Software Idiem",C681="IN",G681=4),((('BLAZE SHIELD II'!$D$4*('CALCULO MORTERO'!I681^2)+'BLAZE SHIELD II'!$D$5*'CALCULO MORTERO'!I681+'BLAZE SHIELD II'!$D$6)*LN(J681))+('BLAZE SHIELD II'!$D$7*('CALCULO MORTERO'!I681^2)+'BLAZE SHIELD II'!$D$8*'CALCULO MORTERO'!I681+'BLAZE SHIELD II'!$D$9)),0)+IF(AND(L681="Blaze Shield II",M681="Software Idiem",C681="Cj"),((('BLAZE SHIELD II'!$H$4*('CALCULO MORTERO'!I681^2)+'BLAZE SHIELD II'!$H$5*'CALCULO MORTERO'!I681+'BLAZE SHIELD II'!$H$6)*LN(J681))+('BLAZE SHIELD II'!$H$7*('CALCULO MORTERO'!I681^2)+'BLAZE SHIELD II'!$H$8*'CALCULO MORTERO'!I681+'BLAZE SHIELD II'!$H$9)),0)+IF(AND(L681="Blaze Shield II",M681="Software Idiem",C681="C"),((('BLAZE SHIELD II'!$L$4*('CALCULO MORTERO'!I681^2)+'BLAZE SHIELD II'!$L$5*'CALCULO MORTERO'!I681+'BLAZE SHIELD II'!$L$6)*LN(J681))+('BLAZE SHIELD II'!$L$7*('CALCULO MORTERO'!I681^2)+'BLAZE SHIELD II'!$L$8*'CALCULO MORTERO'!I681+'BLAZE SHIELD II'!$L$9)),0)+IF(AND(L681="Blaze Shield II",M681="Software Idiem",C681="L"),((('BLAZE SHIELD II'!$L$4*('CALCULO MORTERO'!I681^2)+'BLAZE SHIELD II'!$L$5*'CALCULO MORTERO'!I681+'BLAZE SHIELD II'!$L$6)*LN(J681))+('BLAZE SHIELD II'!$L$7*('CALCULO MORTERO'!I681^2)+'BLAZE SHIELD II'!$L$8*'CALCULO MORTERO'!I681+'BLAZE SHIELD II'!$L$9)),0)+IF(AND(L681="Blaze Shield II",M681="Software Idiem",C681="IN",G681=3),((('BLAZE SHIELD II'!$H$14*('CALCULO MORTERO'!I681^2)+'BLAZE SHIELD II'!$H$15*'CALCULO MORTERO'!I681+'BLAZE SHIELD II'!$H$16)*LN(J681))+('BLAZE SHIELD II'!$H$17*('CALCULO MORTERO'!I681^2)+'BLAZE SHIELD II'!$H$18*'CALCULO MORTERO'!I681+'BLAZE SHIELD II'!$H$19)),0),0)+ROUND(IF(AND(L681="Cafco 400",M681="Software Idiem",C681="IN",G681=4),((('CAFCO 400 '!$H$7*(J681^4)+'CAFCO 400 '!$H$8*(J681^3)+'CAFCO 400 '!$H$9*(J681^2)+'CAFCO 400 '!$H$10*J681+'CAFCO 400 '!$H$11)*U681^2)+(('CAFCO 400 '!$H$12*(J681^3)+'CAFCO 400 '!$H$13*(J681^2)+'CAFCO 400 '!$H$14*J681+'CAFCO 400 '!$H$15)*U681)+('CAFCO 400 '!$H$16*(J681^2)+'CAFCO 400 '!$H$17*J681+'CAFCO 400 '!$H$18)),0)+IF(AND(L681="Cafco 400",M681="Software Idiem",C681="Cj"),(((('CAFCO 400 '!$D$7*LN(J681)+'CAFCO 400 '!$D$8)*U681^2)+(('CAFCO 400 '!$D$9*LN(J681)+'CAFCO 400 '!$D$10)*U681)+('CAFCO 400 '!$D$11*LN(J681)+'CAFCO 400 '!$D$12))),0)+IF(AND(L681="Cafco 400",M681="Software Idiem",C681="C"),((('CAFCO 400 '!$L$7*(J681^3)+'CAFCO 400 '!$L$8*(J681^2)+'CAFCO 400 '!$L$9*J681+'CAFCO 400 '!$L$10)*U681^2)+(('CAFCO 400 '!$L$11*(J681^3)+'CAFCO 400 '!$L$12*(J681^2)+'CAFCO 400 '!$L$13*J681+'CAFCO 400 '!$L$14)*U681)+('CAFCO 400 '!$L$15*LN(J681)+'CAFCO 400 '!$L$16)),0)+IF(AND(L681="Cafco 400",M681="Software Idiem",C681="L"),((('CAFCO 400 '!$L$7*(J681^3)+'CAFCO 400 '!$L$8*(J681^2)+'CAFCO 400 '!$L$9*J681+'CAFCO 400 '!$L$10)*U681^2)+(('CAFCO 400 '!$L$11*(J681^3)+'CAFCO 400 '!$L$12*(J681^2)+'CAFCO 400 '!$L$13*J681+'CAFCO 400 '!$L$14)*U681)+('CAFCO 400 '!$L$15*LN(J681)+'CAFCO 400 '!$L$16)),0)+IF(AND(L681="Cafco 400",M681="Software Idiem",C681="IN",G681=3),((('CAFCO 400 '!$D$23*(J681^2)+'CAFCO 400 '!$D$24*(J681)+'CAFCO 400 '!$D$25)*U681^2)+(('CAFCO 400 '!$D$26*(J681^2)+'CAFCO 400 '!$D$27*J681+'CAFCO 400 '!$D$28)*U681)+('CAFCO 400 '!$D$29*(J681^2)+'CAFCO 400 '!$D$30*J681+'CAFCO 400 '!$D$31)),0),0)+IF(AND(L681="Cafco 300",J681&gt;=95,J681&lt;=240,C681="Cj",I681=90),VLOOKUP(T681,'CAFCO 300 IDIEM TABLAS'!$B$4:$D$23,2,FALSE),0)+IF(AND(L681="Cafco 300",J681&gt;=95,J681&lt;=240,C681="Cj",I681=120),VLOOKUP(T681,'CAFCO 300 IDIEM TABLAS'!$B$4:$D$23,3,FALSE),0)+IF(AND(L681="Cafco 300",J681&gt;=95,J681&lt;=400,G681=3,C681="IN",I681=90),VLOOKUP(T681,'CAFCO 300 IDIEM TABLAS'!$F$4:$H$35,2,FALSE),0)+IF(AND(L681="Cafco 300",J681&gt;=95,J681&lt;=400,G681=3,C681="IN",I681=120),VLOOKUP(T681,'CAFCO 300 IDIEM TABLAS'!$F$4:$H$35,3,FALSE),0)+IF(AND(L681="Cafco 300",J681&gt;=95,J681&lt;=450,G681=4,C681="IN",I681=90),VLOOKUP(T681,'CAFCO 300 IDIEM TABLAS'!$J$4:$L$40,2,FALSE),0)+IF(AND(L681="Cafco 300",J681&gt;=95,J681&lt;=450,G681=4,C681="IN",I681=120),VLOOKUP(T681,'CAFCO 300 IDIEM TABLAS'!$J$4:$L$40,3,FALSE),0)+IF(AND(M681="Ensayo Idiem",L681="Cafco 400",C681="IN",G681=4,I681=90),VLOOKUP(T681,'CAFCO 400 ENSAYO'!$B$7:$D$43,2,FALSE),0)+IF(AND(M681="Ensayo Idiem",L681="Cafco 400",C681="IN",G681=4,I681=120),VLOOKUP(T681,'CAFCO 400 ENSAYO'!$B$7:$D$43,3,FALSE),0)</f>
        <v>0</v>
      </c>
      <c r="O681" s="96">
        <f t="shared" si="72"/>
        <v>0</v>
      </c>
      <c r="P681" s="132" t="str">
        <f t="shared" si="67"/>
        <v>N/A</v>
      </c>
      <c r="Q681" s="132" t="str">
        <f t="shared" si="68"/>
        <v>N/A</v>
      </c>
      <c r="R681" s="132" t="str">
        <f t="shared" si="69"/>
        <v>NO CERT.</v>
      </c>
      <c r="S681" s="132" t="e">
        <f t="shared" si="70"/>
        <v>#N/A</v>
      </c>
      <c r="T681" s="133" t="e">
        <f>+IF(J681=LOOKUP(J681,'CAFCO 300 IDIEM TABLAS'!$J$4:$J$40),'CALCULO MORTERO'!J681,MROUND('CALCULO MORTERO'!J681,10))</f>
        <v>#N/A</v>
      </c>
      <c r="U681" s="134">
        <f t="shared" si="71"/>
        <v>0</v>
      </c>
    </row>
    <row r="682" spans="1:21" x14ac:dyDescent="0.25">
      <c r="A682" s="118">
        <f>+CUBICACION!D676</f>
        <v>0</v>
      </c>
      <c r="B682" s="819">
        <f>+CUBICACION!E676</f>
        <v>0</v>
      </c>
      <c r="C682" s="675">
        <f>+CUBICACION!F676</f>
        <v>0</v>
      </c>
      <c r="D682" s="118"/>
      <c r="E682" s="118"/>
      <c r="F682" s="820"/>
      <c r="G682" s="675">
        <f>+CUBICACION!J676</f>
        <v>0</v>
      </c>
      <c r="H682" s="118"/>
      <c r="I682" s="821">
        <f>+CUBICACION!L676</f>
        <v>0</v>
      </c>
      <c r="J682" s="64">
        <f>+CUBICACION!M676</f>
        <v>0</v>
      </c>
      <c r="K682" s="822" t="str">
        <f>+CUBICACION!N676</f>
        <v/>
      </c>
      <c r="L682" s="118">
        <f>+CUBICACION!O676</f>
        <v>0</v>
      </c>
      <c r="M682" s="823">
        <f>+CUBICACION!P676</f>
        <v>0</v>
      </c>
      <c r="N682" s="902">
        <f>ROUND(IF(AND(L682="Blaze Shield II",M682="Software Idiem",C682="IN",G682=4),((('BLAZE SHIELD II'!$D$4*('CALCULO MORTERO'!I682^2)+'BLAZE SHIELD II'!$D$5*'CALCULO MORTERO'!I682+'BLAZE SHIELD II'!$D$6)*LN(J682))+('BLAZE SHIELD II'!$D$7*('CALCULO MORTERO'!I682^2)+'BLAZE SHIELD II'!$D$8*'CALCULO MORTERO'!I682+'BLAZE SHIELD II'!$D$9)),0)+IF(AND(L682="Blaze Shield II",M682="Software Idiem",C682="Cj"),((('BLAZE SHIELD II'!$H$4*('CALCULO MORTERO'!I682^2)+'BLAZE SHIELD II'!$H$5*'CALCULO MORTERO'!I682+'BLAZE SHIELD II'!$H$6)*LN(J682))+('BLAZE SHIELD II'!$H$7*('CALCULO MORTERO'!I682^2)+'BLAZE SHIELD II'!$H$8*'CALCULO MORTERO'!I682+'BLAZE SHIELD II'!$H$9)),0)+IF(AND(L682="Blaze Shield II",M682="Software Idiem",C682="C"),((('BLAZE SHIELD II'!$L$4*('CALCULO MORTERO'!I682^2)+'BLAZE SHIELD II'!$L$5*'CALCULO MORTERO'!I682+'BLAZE SHIELD II'!$L$6)*LN(J682))+('BLAZE SHIELD II'!$L$7*('CALCULO MORTERO'!I682^2)+'BLAZE SHIELD II'!$L$8*'CALCULO MORTERO'!I682+'BLAZE SHIELD II'!$L$9)),0)+IF(AND(L682="Blaze Shield II",M682="Software Idiem",C682="L"),((('BLAZE SHIELD II'!$L$4*('CALCULO MORTERO'!I682^2)+'BLAZE SHIELD II'!$L$5*'CALCULO MORTERO'!I682+'BLAZE SHIELD II'!$L$6)*LN(J682))+('BLAZE SHIELD II'!$L$7*('CALCULO MORTERO'!I682^2)+'BLAZE SHIELD II'!$L$8*'CALCULO MORTERO'!I682+'BLAZE SHIELD II'!$L$9)),0)+IF(AND(L682="Blaze Shield II",M682="Software Idiem",C682="IN",G682=3),((('BLAZE SHIELD II'!$H$14*('CALCULO MORTERO'!I682^2)+'BLAZE SHIELD II'!$H$15*'CALCULO MORTERO'!I682+'BLAZE SHIELD II'!$H$16)*LN(J682))+('BLAZE SHIELD II'!$H$17*('CALCULO MORTERO'!I682^2)+'BLAZE SHIELD II'!$H$18*'CALCULO MORTERO'!I682+'BLAZE SHIELD II'!$H$19)),0),0)+ROUND(IF(AND(L682="Cafco 400",M682="Software Idiem",C682="IN",G682=4),((('CAFCO 400 '!$H$7*(J682^4)+'CAFCO 400 '!$H$8*(J682^3)+'CAFCO 400 '!$H$9*(J682^2)+'CAFCO 400 '!$H$10*J682+'CAFCO 400 '!$H$11)*U682^2)+(('CAFCO 400 '!$H$12*(J682^3)+'CAFCO 400 '!$H$13*(J682^2)+'CAFCO 400 '!$H$14*J682+'CAFCO 400 '!$H$15)*U682)+('CAFCO 400 '!$H$16*(J682^2)+'CAFCO 400 '!$H$17*J682+'CAFCO 400 '!$H$18)),0)+IF(AND(L682="Cafco 400",M682="Software Idiem",C682="Cj"),(((('CAFCO 400 '!$D$7*LN(J682)+'CAFCO 400 '!$D$8)*U682^2)+(('CAFCO 400 '!$D$9*LN(J682)+'CAFCO 400 '!$D$10)*U682)+('CAFCO 400 '!$D$11*LN(J682)+'CAFCO 400 '!$D$12))),0)+IF(AND(L682="Cafco 400",M682="Software Idiem",C682="C"),((('CAFCO 400 '!$L$7*(J682^3)+'CAFCO 400 '!$L$8*(J682^2)+'CAFCO 400 '!$L$9*J682+'CAFCO 400 '!$L$10)*U682^2)+(('CAFCO 400 '!$L$11*(J682^3)+'CAFCO 400 '!$L$12*(J682^2)+'CAFCO 400 '!$L$13*J682+'CAFCO 400 '!$L$14)*U682)+('CAFCO 400 '!$L$15*LN(J682)+'CAFCO 400 '!$L$16)),0)+IF(AND(L682="Cafco 400",M682="Software Idiem",C682="L"),((('CAFCO 400 '!$L$7*(J682^3)+'CAFCO 400 '!$L$8*(J682^2)+'CAFCO 400 '!$L$9*J682+'CAFCO 400 '!$L$10)*U682^2)+(('CAFCO 400 '!$L$11*(J682^3)+'CAFCO 400 '!$L$12*(J682^2)+'CAFCO 400 '!$L$13*J682+'CAFCO 400 '!$L$14)*U682)+('CAFCO 400 '!$L$15*LN(J682)+'CAFCO 400 '!$L$16)),0)+IF(AND(L682="Cafco 400",M682="Software Idiem",C682="IN",G682=3),((('CAFCO 400 '!$D$23*(J682^2)+'CAFCO 400 '!$D$24*(J682)+'CAFCO 400 '!$D$25)*U682^2)+(('CAFCO 400 '!$D$26*(J682^2)+'CAFCO 400 '!$D$27*J682+'CAFCO 400 '!$D$28)*U682)+('CAFCO 400 '!$D$29*(J682^2)+'CAFCO 400 '!$D$30*J682+'CAFCO 400 '!$D$31)),0),0)+IF(AND(L682="Cafco 300",J682&gt;=95,J682&lt;=240,C682="Cj",I682=90),VLOOKUP(T682,'CAFCO 300 IDIEM TABLAS'!$B$4:$D$23,2,FALSE),0)+IF(AND(L682="Cafco 300",J682&gt;=95,J682&lt;=240,C682="Cj",I682=120),VLOOKUP(T682,'CAFCO 300 IDIEM TABLAS'!$B$4:$D$23,3,FALSE),0)+IF(AND(L682="Cafco 300",J682&gt;=95,J682&lt;=400,G682=3,C682="IN",I682=90),VLOOKUP(T682,'CAFCO 300 IDIEM TABLAS'!$F$4:$H$35,2,FALSE),0)+IF(AND(L682="Cafco 300",J682&gt;=95,J682&lt;=400,G682=3,C682="IN",I682=120),VLOOKUP(T682,'CAFCO 300 IDIEM TABLAS'!$F$4:$H$35,3,FALSE),0)+IF(AND(L682="Cafco 300",J682&gt;=95,J682&lt;=450,G682=4,C682="IN",I682=90),VLOOKUP(T682,'CAFCO 300 IDIEM TABLAS'!$J$4:$L$40,2,FALSE),0)+IF(AND(L682="Cafco 300",J682&gt;=95,J682&lt;=450,G682=4,C682="IN",I682=120),VLOOKUP(T682,'CAFCO 300 IDIEM TABLAS'!$J$4:$L$40,3,FALSE),0)+IF(AND(M682="Ensayo Idiem",L682="Cafco 400",C682="IN",G682=4,I682=90),VLOOKUP(T682,'CAFCO 400 ENSAYO'!$B$7:$D$43,2,FALSE),0)+IF(AND(M682="Ensayo Idiem",L682="Cafco 400",C682="IN",G682=4,I682=120),VLOOKUP(T682,'CAFCO 400 ENSAYO'!$B$7:$D$43,3,FALSE),0)</f>
        <v>0</v>
      </c>
      <c r="O682" s="96">
        <f t="shared" si="72"/>
        <v>0</v>
      </c>
      <c r="P682" s="95" t="str">
        <f t="shared" si="67"/>
        <v>N/A</v>
      </c>
      <c r="Q682" s="95" t="str">
        <f t="shared" si="68"/>
        <v>N/A</v>
      </c>
      <c r="R682" s="95" t="str">
        <f t="shared" si="69"/>
        <v>NO CERT.</v>
      </c>
      <c r="S682" s="95" t="e">
        <f t="shared" si="70"/>
        <v>#N/A</v>
      </c>
      <c r="T682" s="119" t="e">
        <f>+IF(J682=LOOKUP(J682,'CAFCO 300 IDIEM TABLAS'!$J$4:$J$40),'CALCULO MORTERO'!J682,MROUND('CALCULO MORTERO'!J682,10))</f>
        <v>#N/A</v>
      </c>
      <c r="U682" s="118">
        <f t="shared" si="71"/>
        <v>0</v>
      </c>
    </row>
    <row r="683" spans="1:21" x14ac:dyDescent="0.25">
      <c r="A683" s="118">
        <f>+CUBICACION!D677</f>
        <v>0</v>
      </c>
      <c r="B683" s="819">
        <f>+CUBICACION!E677</f>
        <v>0</v>
      </c>
      <c r="C683" s="675">
        <f>+CUBICACION!F677</f>
        <v>0</v>
      </c>
      <c r="D683" s="118"/>
      <c r="E683" s="118"/>
      <c r="F683" s="820"/>
      <c r="G683" s="675">
        <f>+CUBICACION!J677</f>
        <v>0</v>
      </c>
      <c r="H683" s="118"/>
      <c r="I683" s="821">
        <f>+CUBICACION!L677</f>
        <v>0</v>
      </c>
      <c r="J683" s="64">
        <f>+CUBICACION!M677</f>
        <v>0</v>
      </c>
      <c r="K683" s="822" t="str">
        <f>+CUBICACION!N677</f>
        <v/>
      </c>
      <c r="L683" s="118">
        <f>+CUBICACION!O677</f>
        <v>0</v>
      </c>
      <c r="M683" s="823">
        <f>+CUBICACION!P677</f>
        <v>0</v>
      </c>
      <c r="N683" s="902">
        <f>ROUND(IF(AND(L683="Blaze Shield II",M683="Software Idiem",C683="IN",G683=4),((('BLAZE SHIELD II'!$D$4*('CALCULO MORTERO'!I683^2)+'BLAZE SHIELD II'!$D$5*'CALCULO MORTERO'!I683+'BLAZE SHIELD II'!$D$6)*LN(J683))+('BLAZE SHIELD II'!$D$7*('CALCULO MORTERO'!I683^2)+'BLAZE SHIELD II'!$D$8*'CALCULO MORTERO'!I683+'BLAZE SHIELD II'!$D$9)),0)+IF(AND(L683="Blaze Shield II",M683="Software Idiem",C683="Cj"),((('BLAZE SHIELD II'!$H$4*('CALCULO MORTERO'!I683^2)+'BLAZE SHIELD II'!$H$5*'CALCULO MORTERO'!I683+'BLAZE SHIELD II'!$H$6)*LN(J683))+('BLAZE SHIELD II'!$H$7*('CALCULO MORTERO'!I683^2)+'BLAZE SHIELD II'!$H$8*'CALCULO MORTERO'!I683+'BLAZE SHIELD II'!$H$9)),0)+IF(AND(L683="Blaze Shield II",M683="Software Idiem",C683="C"),((('BLAZE SHIELD II'!$L$4*('CALCULO MORTERO'!I683^2)+'BLAZE SHIELD II'!$L$5*'CALCULO MORTERO'!I683+'BLAZE SHIELD II'!$L$6)*LN(J683))+('BLAZE SHIELD II'!$L$7*('CALCULO MORTERO'!I683^2)+'BLAZE SHIELD II'!$L$8*'CALCULO MORTERO'!I683+'BLAZE SHIELD II'!$L$9)),0)+IF(AND(L683="Blaze Shield II",M683="Software Idiem",C683="L"),((('BLAZE SHIELD II'!$L$4*('CALCULO MORTERO'!I683^2)+'BLAZE SHIELD II'!$L$5*'CALCULO MORTERO'!I683+'BLAZE SHIELD II'!$L$6)*LN(J683))+('BLAZE SHIELD II'!$L$7*('CALCULO MORTERO'!I683^2)+'BLAZE SHIELD II'!$L$8*'CALCULO MORTERO'!I683+'BLAZE SHIELD II'!$L$9)),0)+IF(AND(L683="Blaze Shield II",M683="Software Idiem",C683="IN",G683=3),((('BLAZE SHIELD II'!$H$14*('CALCULO MORTERO'!I683^2)+'BLAZE SHIELD II'!$H$15*'CALCULO MORTERO'!I683+'BLAZE SHIELD II'!$H$16)*LN(J683))+('BLAZE SHIELD II'!$H$17*('CALCULO MORTERO'!I683^2)+'BLAZE SHIELD II'!$H$18*'CALCULO MORTERO'!I683+'BLAZE SHIELD II'!$H$19)),0),0)+ROUND(IF(AND(L683="Cafco 400",M683="Software Idiem",C683="IN",G683=4),((('CAFCO 400 '!$H$7*(J683^4)+'CAFCO 400 '!$H$8*(J683^3)+'CAFCO 400 '!$H$9*(J683^2)+'CAFCO 400 '!$H$10*J683+'CAFCO 400 '!$H$11)*U683^2)+(('CAFCO 400 '!$H$12*(J683^3)+'CAFCO 400 '!$H$13*(J683^2)+'CAFCO 400 '!$H$14*J683+'CAFCO 400 '!$H$15)*U683)+('CAFCO 400 '!$H$16*(J683^2)+'CAFCO 400 '!$H$17*J683+'CAFCO 400 '!$H$18)),0)+IF(AND(L683="Cafco 400",M683="Software Idiem",C683="Cj"),(((('CAFCO 400 '!$D$7*LN(J683)+'CAFCO 400 '!$D$8)*U683^2)+(('CAFCO 400 '!$D$9*LN(J683)+'CAFCO 400 '!$D$10)*U683)+('CAFCO 400 '!$D$11*LN(J683)+'CAFCO 400 '!$D$12))),0)+IF(AND(L683="Cafco 400",M683="Software Idiem",C683="C"),((('CAFCO 400 '!$L$7*(J683^3)+'CAFCO 400 '!$L$8*(J683^2)+'CAFCO 400 '!$L$9*J683+'CAFCO 400 '!$L$10)*U683^2)+(('CAFCO 400 '!$L$11*(J683^3)+'CAFCO 400 '!$L$12*(J683^2)+'CAFCO 400 '!$L$13*J683+'CAFCO 400 '!$L$14)*U683)+('CAFCO 400 '!$L$15*LN(J683)+'CAFCO 400 '!$L$16)),0)+IF(AND(L683="Cafco 400",M683="Software Idiem",C683="L"),((('CAFCO 400 '!$L$7*(J683^3)+'CAFCO 400 '!$L$8*(J683^2)+'CAFCO 400 '!$L$9*J683+'CAFCO 400 '!$L$10)*U683^2)+(('CAFCO 400 '!$L$11*(J683^3)+'CAFCO 400 '!$L$12*(J683^2)+'CAFCO 400 '!$L$13*J683+'CAFCO 400 '!$L$14)*U683)+('CAFCO 400 '!$L$15*LN(J683)+'CAFCO 400 '!$L$16)),0)+IF(AND(L683="Cafco 400",M683="Software Idiem",C683="IN",G683=3),((('CAFCO 400 '!$D$23*(J683^2)+'CAFCO 400 '!$D$24*(J683)+'CAFCO 400 '!$D$25)*U683^2)+(('CAFCO 400 '!$D$26*(J683^2)+'CAFCO 400 '!$D$27*J683+'CAFCO 400 '!$D$28)*U683)+('CAFCO 400 '!$D$29*(J683^2)+'CAFCO 400 '!$D$30*J683+'CAFCO 400 '!$D$31)),0),0)+IF(AND(L683="Cafco 300",J683&gt;=95,J683&lt;=240,C683="Cj",I683=90),VLOOKUP(T683,'CAFCO 300 IDIEM TABLAS'!$B$4:$D$23,2,FALSE),0)+IF(AND(L683="Cafco 300",J683&gt;=95,J683&lt;=240,C683="Cj",I683=120),VLOOKUP(T683,'CAFCO 300 IDIEM TABLAS'!$B$4:$D$23,3,FALSE),0)+IF(AND(L683="Cafco 300",J683&gt;=95,J683&lt;=400,G683=3,C683="IN",I683=90),VLOOKUP(T683,'CAFCO 300 IDIEM TABLAS'!$F$4:$H$35,2,FALSE),0)+IF(AND(L683="Cafco 300",J683&gt;=95,J683&lt;=400,G683=3,C683="IN",I683=120),VLOOKUP(T683,'CAFCO 300 IDIEM TABLAS'!$F$4:$H$35,3,FALSE),0)+IF(AND(L683="Cafco 300",J683&gt;=95,J683&lt;=450,G683=4,C683="IN",I683=90),VLOOKUP(T683,'CAFCO 300 IDIEM TABLAS'!$J$4:$L$40,2,FALSE),0)+IF(AND(L683="Cafco 300",J683&gt;=95,J683&lt;=450,G683=4,C683="IN",I683=120),VLOOKUP(T683,'CAFCO 300 IDIEM TABLAS'!$J$4:$L$40,3,FALSE),0)+IF(AND(M683="Ensayo Idiem",L683="Cafco 400",C683="IN",G683=4,I683=90),VLOOKUP(T683,'CAFCO 400 ENSAYO'!$B$7:$D$43,2,FALSE),0)+IF(AND(M683="Ensayo Idiem",L683="Cafco 400",C683="IN",G683=4,I683=120),VLOOKUP(T683,'CAFCO 400 ENSAYO'!$B$7:$D$43,3,FALSE),0)</f>
        <v>0</v>
      </c>
      <c r="O683" s="96">
        <f t="shared" si="72"/>
        <v>0</v>
      </c>
      <c r="P683" s="132" t="str">
        <f t="shared" si="67"/>
        <v>N/A</v>
      </c>
      <c r="Q683" s="132" t="str">
        <f t="shared" si="68"/>
        <v>N/A</v>
      </c>
      <c r="R683" s="132" t="str">
        <f t="shared" si="69"/>
        <v>NO CERT.</v>
      </c>
      <c r="S683" s="132" t="e">
        <f t="shared" si="70"/>
        <v>#N/A</v>
      </c>
      <c r="T683" s="133" t="e">
        <f>+IF(J683=LOOKUP(J683,'CAFCO 300 IDIEM TABLAS'!$J$4:$J$40),'CALCULO MORTERO'!J683,MROUND('CALCULO MORTERO'!J683,10))</f>
        <v>#N/A</v>
      </c>
      <c r="U683" s="134">
        <f t="shared" si="71"/>
        <v>0</v>
      </c>
    </row>
    <row r="684" spans="1:21" x14ac:dyDescent="0.25">
      <c r="A684" s="118">
        <f>+CUBICACION!D678</f>
        <v>0</v>
      </c>
      <c r="B684" s="819">
        <f>+CUBICACION!E678</f>
        <v>0</v>
      </c>
      <c r="C684" s="675">
        <f>+CUBICACION!F678</f>
        <v>0</v>
      </c>
      <c r="D684" s="118"/>
      <c r="E684" s="118"/>
      <c r="F684" s="820"/>
      <c r="G684" s="675">
        <f>+CUBICACION!J678</f>
        <v>0</v>
      </c>
      <c r="H684" s="118"/>
      <c r="I684" s="821">
        <f>+CUBICACION!L678</f>
        <v>0</v>
      </c>
      <c r="J684" s="64">
        <f>+CUBICACION!M678</f>
        <v>0</v>
      </c>
      <c r="K684" s="822" t="str">
        <f>+CUBICACION!N678</f>
        <v/>
      </c>
      <c r="L684" s="118">
        <f>+CUBICACION!O678</f>
        <v>0</v>
      </c>
      <c r="M684" s="823">
        <f>+CUBICACION!P678</f>
        <v>0</v>
      </c>
      <c r="N684" s="902">
        <f>ROUND(IF(AND(L684="Blaze Shield II",M684="Software Idiem",C684="IN",G684=4),((('BLAZE SHIELD II'!$D$4*('CALCULO MORTERO'!I684^2)+'BLAZE SHIELD II'!$D$5*'CALCULO MORTERO'!I684+'BLAZE SHIELD II'!$D$6)*LN(J684))+('BLAZE SHIELD II'!$D$7*('CALCULO MORTERO'!I684^2)+'BLAZE SHIELD II'!$D$8*'CALCULO MORTERO'!I684+'BLAZE SHIELD II'!$D$9)),0)+IF(AND(L684="Blaze Shield II",M684="Software Idiem",C684="Cj"),((('BLAZE SHIELD II'!$H$4*('CALCULO MORTERO'!I684^2)+'BLAZE SHIELD II'!$H$5*'CALCULO MORTERO'!I684+'BLAZE SHIELD II'!$H$6)*LN(J684))+('BLAZE SHIELD II'!$H$7*('CALCULO MORTERO'!I684^2)+'BLAZE SHIELD II'!$H$8*'CALCULO MORTERO'!I684+'BLAZE SHIELD II'!$H$9)),0)+IF(AND(L684="Blaze Shield II",M684="Software Idiem",C684="C"),((('BLAZE SHIELD II'!$L$4*('CALCULO MORTERO'!I684^2)+'BLAZE SHIELD II'!$L$5*'CALCULO MORTERO'!I684+'BLAZE SHIELD II'!$L$6)*LN(J684))+('BLAZE SHIELD II'!$L$7*('CALCULO MORTERO'!I684^2)+'BLAZE SHIELD II'!$L$8*'CALCULO MORTERO'!I684+'BLAZE SHIELD II'!$L$9)),0)+IF(AND(L684="Blaze Shield II",M684="Software Idiem",C684="L"),((('BLAZE SHIELD II'!$L$4*('CALCULO MORTERO'!I684^2)+'BLAZE SHIELD II'!$L$5*'CALCULO MORTERO'!I684+'BLAZE SHIELD II'!$L$6)*LN(J684))+('BLAZE SHIELD II'!$L$7*('CALCULO MORTERO'!I684^2)+'BLAZE SHIELD II'!$L$8*'CALCULO MORTERO'!I684+'BLAZE SHIELD II'!$L$9)),0)+IF(AND(L684="Blaze Shield II",M684="Software Idiem",C684="IN",G684=3),((('BLAZE SHIELD II'!$H$14*('CALCULO MORTERO'!I684^2)+'BLAZE SHIELD II'!$H$15*'CALCULO MORTERO'!I684+'BLAZE SHIELD II'!$H$16)*LN(J684))+('BLAZE SHIELD II'!$H$17*('CALCULO MORTERO'!I684^2)+'BLAZE SHIELD II'!$H$18*'CALCULO MORTERO'!I684+'BLAZE SHIELD II'!$H$19)),0),0)+ROUND(IF(AND(L684="Cafco 400",M684="Software Idiem",C684="IN",G684=4),((('CAFCO 400 '!$H$7*(J684^4)+'CAFCO 400 '!$H$8*(J684^3)+'CAFCO 400 '!$H$9*(J684^2)+'CAFCO 400 '!$H$10*J684+'CAFCO 400 '!$H$11)*U684^2)+(('CAFCO 400 '!$H$12*(J684^3)+'CAFCO 400 '!$H$13*(J684^2)+'CAFCO 400 '!$H$14*J684+'CAFCO 400 '!$H$15)*U684)+('CAFCO 400 '!$H$16*(J684^2)+'CAFCO 400 '!$H$17*J684+'CAFCO 400 '!$H$18)),0)+IF(AND(L684="Cafco 400",M684="Software Idiem",C684="Cj"),(((('CAFCO 400 '!$D$7*LN(J684)+'CAFCO 400 '!$D$8)*U684^2)+(('CAFCO 400 '!$D$9*LN(J684)+'CAFCO 400 '!$D$10)*U684)+('CAFCO 400 '!$D$11*LN(J684)+'CAFCO 400 '!$D$12))),0)+IF(AND(L684="Cafco 400",M684="Software Idiem",C684="C"),((('CAFCO 400 '!$L$7*(J684^3)+'CAFCO 400 '!$L$8*(J684^2)+'CAFCO 400 '!$L$9*J684+'CAFCO 400 '!$L$10)*U684^2)+(('CAFCO 400 '!$L$11*(J684^3)+'CAFCO 400 '!$L$12*(J684^2)+'CAFCO 400 '!$L$13*J684+'CAFCO 400 '!$L$14)*U684)+('CAFCO 400 '!$L$15*LN(J684)+'CAFCO 400 '!$L$16)),0)+IF(AND(L684="Cafco 400",M684="Software Idiem",C684="L"),((('CAFCO 400 '!$L$7*(J684^3)+'CAFCO 400 '!$L$8*(J684^2)+'CAFCO 400 '!$L$9*J684+'CAFCO 400 '!$L$10)*U684^2)+(('CAFCO 400 '!$L$11*(J684^3)+'CAFCO 400 '!$L$12*(J684^2)+'CAFCO 400 '!$L$13*J684+'CAFCO 400 '!$L$14)*U684)+('CAFCO 400 '!$L$15*LN(J684)+'CAFCO 400 '!$L$16)),0)+IF(AND(L684="Cafco 400",M684="Software Idiem",C684="IN",G684=3),((('CAFCO 400 '!$D$23*(J684^2)+'CAFCO 400 '!$D$24*(J684)+'CAFCO 400 '!$D$25)*U684^2)+(('CAFCO 400 '!$D$26*(J684^2)+'CAFCO 400 '!$D$27*J684+'CAFCO 400 '!$D$28)*U684)+('CAFCO 400 '!$D$29*(J684^2)+'CAFCO 400 '!$D$30*J684+'CAFCO 400 '!$D$31)),0),0)+IF(AND(L684="Cafco 300",J684&gt;=95,J684&lt;=240,C684="Cj",I684=90),VLOOKUP(T684,'CAFCO 300 IDIEM TABLAS'!$B$4:$D$23,2,FALSE),0)+IF(AND(L684="Cafco 300",J684&gt;=95,J684&lt;=240,C684="Cj",I684=120),VLOOKUP(T684,'CAFCO 300 IDIEM TABLAS'!$B$4:$D$23,3,FALSE),0)+IF(AND(L684="Cafco 300",J684&gt;=95,J684&lt;=400,G684=3,C684="IN",I684=90),VLOOKUP(T684,'CAFCO 300 IDIEM TABLAS'!$F$4:$H$35,2,FALSE),0)+IF(AND(L684="Cafco 300",J684&gt;=95,J684&lt;=400,G684=3,C684="IN",I684=120),VLOOKUP(T684,'CAFCO 300 IDIEM TABLAS'!$F$4:$H$35,3,FALSE),0)+IF(AND(L684="Cafco 300",J684&gt;=95,J684&lt;=450,G684=4,C684="IN",I684=90),VLOOKUP(T684,'CAFCO 300 IDIEM TABLAS'!$J$4:$L$40,2,FALSE),0)+IF(AND(L684="Cafco 300",J684&gt;=95,J684&lt;=450,G684=4,C684="IN",I684=120),VLOOKUP(T684,'CAFCO 300 IDIEM TABLAS'!$J$4:$L$40,3,FALSE),0)+IF(AND(M684="Ensayo Idiem",L684="Cafco 400",C684="IN",G684=4,I684=90),VLOOKUP(T684,'CAFCO 400 ENSAYO'!$B$7:$D$43,2,FALSE),0)+IF(AND(M684="Ensayo Idiem",L684="Cafco 400",C684="IN",G684=4,I684=120),VLOOKUP(T684,'CAFCO 400 ENSAYO'!$B$7:$D$43,3,FALSE),0)</f>
        <v>0</v>
      </c>
      <c r="O684" s="96">
        <f t="shared" si="72"/>
        <v>0</v>
      </c>
      <c r="P684" s="95" t="str">
        <f t="shared" si="67"/>
        <v>N/A</v>
      </c>
      <c r="Q684" s="95" t="str">
        <f t="shared" si="68"/>
        <v>N/A</v>
      </c>
      <c r="R684" s="95" t="str">
        <f t="shared" si="69"/>
        <v>NO CERT.</v>
      </c>
      <c r="S684" s="95" t="e">
        <f t="shared" si="70"/>
        <v>#N/A</v>
      </c>
      <c r="T684" s="119" t="e">
        <f>+IF(J684=LOOKUP(J684,'CAFCO 300 IDIEM TABLAS'!$J$4:$J$40),'CALCULO MORTERO'!J684,MROUND('CALCULO MORTERO'!J684,10))</f>
        <v>#N/A</v>
      </c>
      <c r="U684" s="118">
        <f t="shared" si="71"/>
        <v>0</v>
      </c>
    </row>
    <row r="685" spans="1:21" x14ac:dyDescent="0.25">
      <c r="A685" s="118">
        <f>+CUBICACION!D679</f>
        <v>0</v>
      </c>
      <c r="B685" s="819">
        <f>+CUBICACION!E679</f>
        <v>0</v>
      </c>
      <c r="C685" s="675">
        <f>+CUBICACION!F679</f>
        <v>0</v>
      </c>
      <c r="D685" s="118"/>
      <c r="E685" s="118"/>
      <c r="F685" s="820"/>
      <c r="G685" s="675">
        <f>+CUBICACION!J679</f>
        <v>0</v>
      </c>
      <c r="H685" s="118"/>
      <c r="I685" s="821">
        <f>+CUBICACION!L679</f>
        <v>0</v>
      </c>
      <c r="J685" s="64">
        <f>+CUBICACION!M679</f>
        <v>0</v>
      </c>
      <c r="K685" s="822" t="str">
        <f>+CUBICACION!N679</f>
        <v/>
      </c>
      <c r="L685" s="118">
        <f>+CUBICACION!O679</f>
        <v>0</v>
      </c>
      <c r="M685" s="823">
        <f>+CUBICACION!P679</f>
        <v>0</v>
      </c>
      <c r="N685" s="902">
        <f>ROUND(IF(AND(L685="Blaze Shield II",M685="Software Idiem",C685="IN",G685=4),((('BLAZE SHIELD II'!$D$4*('CALCULO MORTERO'!I685^2)+'BLAZE SHIELD II'!$D$5*'CALCULO MORTERO'!I685+'BLAZE SHIELD II'!$D$6)*LN(J685))+('BLAZE SHIELD II'!$D$7*('CALCULO MORTERO'!I685^2)+'BLAZE SHIELD II'!$D$8*'CALCULO MORTERO'!I685+'BLAZE SHIELD II'!$D$9)),0)+IF(AND(L685="Blaze Shield II",M685="Software Idiem",C685="Cj"),((('BLAZE SHIELD II'!$H$4*('CALCULO MORTERO'!I685^2)+'BLAZE SHIELD II'!$H$5*'CALCULO MORTERO'!I685+'BLAZE SHIELD II'!$H$6)*LN(J685))+('BLAZE SHIELD II'!$H$7*('CALCULO MORTERO'!I685^2)+'BLAZE SHIELD II'!$H$8*'CALCULO MORTERO'!I685+'BLAZE SHIELD II'!$H$9)),0)+IF(AND(L685="Blaze Shield II",M685="Software Idiem",C685="C"),((('BLAZE SHIELD II'!$L$4*('CALCULO MORTERO'!I685^2)+'BLAZE SHIELD II'!$L$5*'CALCULO MORTERO'!I685+'BLAZE SHIELD II'!$L$6)*LN(J685))+('BLAZE SHIELD II'!$L$7*('CALCULO MORTERO'!I685^2)+'BLAZE SHIELD II'!$L$8*'CALCULO MORTERO'!I685+'BLAZE SHIELD II'!$L$9)),0)+IF(AND(L685="Blaze Shield II",M685="Software Idiem",C685="L"),((('BLAZE SHIELD II'!$L$4*('CALCULO MORTERO'!I685^2)+'BLAZE SHIELD II'!$L$5*'CALCULO MORTERO'!I685+'BLAZE SHIELD II'!$L$6)*LN(J685))+('BLAZE SHIELD II'!$L$7*('CALCULO MORTERO'!I685^2)+'BLAZE SHIELD II'!$L$8*'CALCULO MORTERO'!I685+'BLAZE SHIELD II'!$L$9)),0)+IF(AND(L685="Blaze Shield II",M685="Software Idiem",C685="IN",G685=3),((('BLAZE SHIELD II'!$H$14*('CALCULO MORTERO'!I685^2)+'BLAZE SHIELD II'!$H$15*'CALCULO MORTERO'!I685+'BLAZE SHIELD II'!$H$16)*LN(J685))+('BLAZE SHIELD II'!$H$17*('CALCULO MORTERO'!I685^2)+'BLAZE SHIELD II'!$H$18*'CALCULO MORTERO'!I685+'BLAZE SHIELD II'!$H$19)),0),0)+ROUND(IF(AND(L685="Cafco 400",M685="Software Idiem",C685="IN",G685=4),((('CAFCO 400 '!$H$7*(J685^4)+'CAFCO 400 '!$H$8*(J685^3)+'CAFCO 400 '!$H$9*(J685^2)+'CAFCO 400 '!$H$10*J685+'CAFCO 400 '!$H$11)*U685^2)+(('CAFCO 400 '!$H$12*(J685^3)+'CAFCO 400 '!$H$13*(J685^2)+'CAFCO 400 '!$H$14*J685+'CAFCO 400 '!$H$15)*U685)+('CAFCO 400 '!$H$16*(J685^2)+'CAFCO 400 '!$H$17*J685+'CAFCO 400 '!$H$18)),0)+IF(AND(L685="Cafco 400",M685="Software Idiem",C685="Cj"),(((('CAFCO 400 '!$D$7*LN(J685)+'CAFCO 400 '!$D$8)*U685^2)+(('CAFCO 400 '!$D$9*LN(J685)+'CAFCO 400 '!$D$10)*U685)+('CAFCO 400 '!$D$11*LN(J685)+'CAFCO 400 '!$D$12))),0)+IF(AND(L685="Cafco 400",M685="Software Idiem",C685="C"),((('CAFCO 400 '!$L$7*(J685^3)+'CAFCO 400 '!$L$8*(J685^2)+'CAFCO 400 '!$L$9*J685+'CAFCO 400 '!$L$10)*U685^2)+(('CAFCO 400 '!$L$11*(J685^3)+'CAFCO 400 '!$L$12*(J685^2)+'CAFCO 400 '!$L$13*J685+'CAFCO 400 '!$L$14)*U685)+('CAFCO 400 '!$L$15*LN(J685)+'CAFCO 400 '!$L$16)),0)+IF(AND(L685="Cafco 400",M685="Software Idiem",C685="L"),((('CAFCO 400 '!$L$7*(J685^3)+'CAFCO 400 '!$L$8*(J685^2)+'CAFCO 400 '!$L$9*J685+'CAFCO 400 '!$L$10)*U685^2)+(('CAFCO 400 '!$L$11*(J685^3)+'CAFCO 400 '!$L$12*(J685^2)+'CAFCO 400 '!$L$13*J685+'CAFCO 400 '!$L$14)*U685)+('CAFCO 400 '!$L$15*LN(J685)+'CAFCO 400 '!$L$16)),0)+IF(AND(L685="Cafco 400",M685="Software Idiem",C685="IN",G685=3),((('CAFCO 400 '!$D$23*(J685^2)+'CAFCO 400 '!$D$24*(J685)+'CAFCO 400 '!$D$25)*U685^2)+(('CAFCO 400 '!$D$26*(J685^2)+'CAFCO 400 '!$D$27*J685+'CAFCO 400 '!$D$28)*U685)+('CAFCO 400 '!$D$29*(J685^2)+'CAFCO 400 '!$D$30*J685+'CAFCO 400 '!$D$31)),0),0)+IF(AND(L685="Cafco 300",J685&gt;=95,J685&lt;=240,C685="Cj",I685=90),VLOOKUP(T685,'CAFCO 300 IDIEM TABLAS'!$B$4:$D$23,2,FALSE),0)+IF(AND(L685="Cafco 300",J685&gt;=95,J685&lt;=240,C685="Cj",I685=120),VLOOKUP(T685,'CAFCO 300 IDIEM TABLAS'!$B$4:$D$23,3,FALSE),0)+IF(AND(L685="Cafco 300",J685&gt;=95,J685&lt;=400,G685=3,C685="IN",I685=90),VLOOKUP(T685,'CAFCO 300 IDIEM TABLAS'!$F$4:$H$35,2,FALSE),0)+IF(AND(L685="Cafco 300",J685&gt;=95,J685&lt;=400,G685=3,C685="IN",I685=120),VLOOKUP(T685,'CAFCO 300 IDIEM TABLAS'!$F$4:$H$35,3,FALSE),0)+IF(AND(L685="Cafco 300",J685&gt;=95,J685&lt;=450,G685=4,C685="IN",I685=90),VLOOKUP(T685,'CAFCO 300 IDIEM TABLAS'!$J$4:$L$40,2,FALSE),0)+IF(AND(L685="Cafco 300",J685&gt;=95,J685&lt;=450,G685=4,C685="IN",I685=120),VLOOKUP(T685,'CAFCO 300 IDIEM TABLAS'!$J$4:$L$40,3,FALSE),0)+IF(AND(M685="Ensayo Idiem",L685="Cafco 400",C685="IN",G685=4,I685=90),VLOOKUP(T685,'CAFCO 400 ENSAYO'!$B$7:$D$43,2,FALSE),0)+IF(AND(M685="Ensayo Idiem",L685="Cafco 400",C685="IN",G685=4,I685=120),VLOOKUP(T685,'CAFCO 400 ENSAYO'!$B$7:$D$43,3,FALSE),0)</f>
        <v>0</v>
      </c>
      <c r="O685" s="96">
        <f t="shared" si="72"/>
        <v>0</v>
      </c>
      <c r="P685" s="132" t="str">
        <f t="shared" si="67"/>
        <v>N/A</v>
      </c>
      <c r="Q685" s="132" t="str">
        <f t="shared" si="68"/>
        <v>N/A</v>
      </c>
      <c r="R685" s="132" t="str">
        <f t="shared" si="69"/>
        <v>NO CERT.</v>
      </c>
      <c r="S685" s="132" t="e">
        <f t="shared" si="70"/>
        <v>#N/A</v>
      </c>
      <c r="T685" s="133" t="e">
        <f>+IF(J685=LOOKUP(J685,'CAFCO 300 IDIEM TABLAS'!$J$4:$J$40),'CALCULO MORTERO'!J685,MROUND('CALCULO MORTERO'!J685,10))</f>
        <v>#N/A</v>
      </c>
      <c r="U685" s="134">
        <f t="shared" si="71"/>
        <v>0</v>
      </c>
    </row>
    <row r="686" spans="1:21" x14ac:dyDescent="0.25">
      <c r="A686" s="118">
        <f>+CUBICACION!D680</f>
        <v>0</v>
      </c>
      <c r="B686" s="819">
        <f>+CUBICACION!E680</f>
        <v>0</v>
      </c>
      <c r="C686" s="675">
        <f>+CUBICACION!F680</f>
        <v>0</v>
      </c>
      <c r="D686" s="118"/>
      <c r="E686" s="118"/>
      <c r="F686" s="820"/>
      <c r="G686" s="675">
        <f>+CUBICACION!J680</f>
        <v>0</v>
      </c>
      <c r="H686" s="118"/>
      <c r="I686" s="821">
        <f>+CUBICACION!L680</f>
        <v>0</v>
      </c>
      <c r="J686" s="64">
        <f>+CUBICACION!M680</f>
        <v>0</v>
      </c>
      <c r="K686" s="822" t="str">
        <f>+CUBICACION!N680</f>
        <v/>
      </c>
      <c r="L686" s="118">
        <f>+CUBICACION!O680</f>
        <v>0</v>
      </c>
      <c r="M686" s="823">
        <f>+CUBICACION!P680</f>
        <v>0</v>
      </c>
      <c r="N686" s="902">
        <f>ROUND(IF(AND(L686="Blaze Shield II",M686="Software Idiem",C686="IN",G686=4),((('BLAZE SHIELD II'!$D$4*('CALCULO MORTERO'!I686^2)+'BLAZE SHIELD II'!$D$5*'CALCULO MORTERO'!I686+'BLAZE SHIELD II'!$D$6)*LN(J686))+('BLAZE SHIELD II'!$D$7*('CALCULO MORTERO'!I686^2)+'BLAZE SHIELD II'!$D$8*'CALCULO MORTERO'!I686+'BLAZE SHIELD II'!$D$9)),0)+IF(AND(L686="Blaze Shield II",M686="Software Idiem",C686="Cj"),((('BLAZE SHIELD II'!$H$4*('CALCULO MORTERO'!I686^2)+'BLAZE SHIELD II'!$H$5*'CALCULO MORTERO'!I686+'BLAZE SHIELD II'!$H$6)*LN(J686))+('BLAZE SHIELD II'!$H$7*('CALCULO MORTERO'!I686^2)+'BLAZE SHIELD II'!$H$8*'CALCULO MORTERO'!I686+'BLAZE SHIELD II'!$H$9)),0)+IF(AND(L686="Blaze Shield II",M686="Software Idiem",C686="C"),((('BLAZE SHIELD II'!$L$4*('CALCULO MORTERO'!I686^2)+'BLAZE SHIELD II'!$L$5*'CALCULO MORTERO'!I686+'BLAZE SHIELD II'!$L$6)*LN(J686))+('BLAZE SHIELD II'!$L$7*('CALCULO MORTERO'!I686^2)+'BLAZE SHIELD II'!$L$8*'CALCULO MORTERO'!I686+'BLAZE SHIELD II'!$L$9)),0)+IF(AND(L686="Blaze Shield II",M686="Software Idiem",C686="L"),((('BLAZE SHIELD II'!$L$4*('CALCULO MORTERO'!I686^2)+'BLAZE SHIELD II'!$L$5*'CALCULO MORTERO'!I686+'BLAZE SHIELD II'!$L$6)*LN(J686))+('BLAZE SHIELD II'!$L$7*('CALCULO MORTERO'!I686^2)+'BLAZE SHIELD II'!$L$8*'CALCULO MORTERO'!I686+'BLAZE SHIELD II'!$L$9)),0)+IF(AND(L686="Blaze Shield II",M686="Software Idiem",C686="IN",G686=3),((('BLAZE SHIELD II'!$H$14*('CALCULO MORTERO'!I686^2)+'BLAZE SHIELD II'!$H$15*'CALCULO MORTERO'!I686+'BLAZE SHIELD II'!$H$16)*LN(J686))+('BLAZE SHIELD II'!$H$17*('CALCULO MORTERO'!I686^2)+'BLAZE SHIELD II'!$H$18*'CALCULO MORTERO'!I686+'BLAZE SHIELD II'!$H$19)),0),0)+ROUND(IF(AND(L686="Cafco 400",M686="Software Idiem",C686="IN",G686=4),((('CAFCO 400 '!$H$7*(J686^4)+'CAFCO 400 '!$H$8*(J686^3)+'CAFCO 400 '!$H$9*(J686^2)+'CAFCO 400 '!$H$10*J686+'CAFCO 400 '!$H$11)*U686^2)+(('CAFCO 400 '!$H$12*(J686^3)+'CAFCO 400 '!$H$13*(J686^2)+'CAFCO 400 '!$H$14*J686+'CAFCO 400 '!$H$15)*U686)+('CAFCO 400 '!$H$16*(J686^2)+'CAFCO 400 '!$H$17*J686+'CAFCO 400 '!$H$18)),0)+IF(AND(L686="Cafco 400",M686="Software Idiem",C686="Cj"),(((('CAFCO 400 '!$D$7*LN(J686)+'CAFCO 400 '!$D$8)*U686^2)+(('CAFCO 400 '!$D$9*LN(J686)+'CAFCO 400 '!$D$10)*U686)+('CAFCO 400 '!$D$11*LN(J686)+'CAFCO 400 '!$D$12))),0)+IF(AND(L686="Cafco 400",M686="Software Idiem",C686="C"),((('CAFCO 400 '!$L$7*(J686^3)+'CAFCO 400 '!$L$8*(J686^2)+'CAFCO 400 '!$L$9*J686+'CAFCO 400 '!$L$10)*U686^2)+(('CAFCO 400 '!$L$11*(J686^3)+'CAFCO 400 '!$L$12*(J686^2)+'CAFCO 400 '!$L$13*J686+'CAFCO 400 '!$L$14)*U686)+('CAFCO 400 '!$L$15*LN(J686)+'CAFCO 400 '!$L$16)),0)+IF(AND(L686="Cafco 400",M686="Software Idiem",C686="L"),((('CAFCO 400 '!$L$7*(J686^3)+'CAFCO 400 '!$L$8*(J686^2)+'CAFCO 400 '!$L$9*J686+'CAFCO 400 '!$L$10)*U686^2)+(('CAFCO 400 '!$L$11*(J686^3)+'CAFCO 400 '!$L$12*(J686^2)+'CAFCO 400 '!$L$13*J686+'CAFCO 400 '!$L$14)*U686)+('CAFCO 400 '!$L$15*LN(J686)+'CAFCO 400 '!$L$16)),0)+IF(AND(L686="Cafco 400",M686="Software Idiem",C686="IN",G686=3),((('CAFCO 400 '!$D$23*(J686^2)+'CAFCO 400 '!$D$24*(J686)+'CAFCO 400 '!$D$25)*U686^2)+(('CAFCO 400 '!$D$26*(J686^2)+'CAFCO 400 '!$D$27*J686+'CAFCO 400 '!$D$28)*U686)+('CAFCO 400 '!$D$29*(J686^2)+'CAFCO 400 '!$D$30*J686+'CAFCO 400 '!$D$31)),0),0)+IF(AND(L686="Cafco 300",J686&gt;=95,J686&lt;=240,C686="Cj",I686=90),VLOOKUP(T686,'CAFCO 300 IDIEM TABLAS'!$B$4:$D$23,2,FALSE),0)+IF(AND(L686="Cafco 300",J686&gt;=95,J686&lt;=240,C686="Cj",I686=120),VLOOKUP(T686,'CAFCO 300 IDIEM TABLAS'!$B$4:$D$23,3,FALSE),0)+IF(AND(L686="Cafco 300",J686&gt;=95,J686&lt;=400,G686=3,C686="IN",I686=90),VLOOKUP(T686,'CAFCO 300 IDIEM TABLAS'!$F$4:$H$35,2,FALSE),0)+IF(AND(L686="Cafco 300",J686&gt;=95,J686&lt;=400,G686=3,C686="IN",I686=120),VLOOKUP(T686,'CAFCO 300 IDIEM TABLAS'!$F$4:$H$35,3,FALSE),0)+IF(AND(L686="Cafco 300",J686&gt;=95,J686&lt;=450,G686=4,C686="IN",I686=90),VLOOKUP(T686,'CAFCO 300 IDIEM TABLAS'!$J$4:$L$40,2,FALSE),0)+IF(AND(L686="Cafco 300",J686&gt;=95,J686&lt;=450,G686=4,C686="IN",I686=120),VLOOKUP(T686,'CAFCO 300 IDIEM TABLAS'!$J$4:$L$40,3,FALSE),0)+IF(AND(M686="Ensayo Idiem",L686="Cafco 400",C686="IN",G686=4,I686=90),VLOOKUP(T686,'CAFCO 400 ENSAYO'!$B$7:$D$43,2,FALSE),0)+IF(AND(M686="Ensayo Idiem",L686="Cafco 400",C686="IN",G686=4,I686=120),VLOOKUP(T686,'CAFCO 400 ENSAYO'!$B$7:$D$43,3,FALSE),0)</f>
        <v>0</v>
      </c>
      <c r="O686" s="96">
        <f t="shared" si="72"/>
        <v>0</v>
      </c>
      <c r="P686" s="95" t="str">
        <f t="shared" si="67"/>
        <v>N/A</v>
      </c>
      <c r="Q686" s="95" t="str">
        <f t="shared" si="68"/>
        <v>N/A</v>
      </c>
      <c r="R686" s="95" t="str">
        <f t="shared" si="69"/>
        <v>NO CERT.</v>
      </c>
      <c r="S686" s="95" t="e">
        <f t="shared" si="70"/>
        <v>#N/A</v>
      </c>
      <c r="T686" s="119" t="e">
        <f>+IF(J686=LOOKUP(J686,'CAFCO 300 IDIEM TABLAS'!$J$4:$J$40),'CALCULO MORTERO'!J686,MROUND('CALCULO MORTERO'!J686,10))</f>
        <v>#N/A</v>
      </c>
      <c r="U686" s="118">
        <f t="shared" si="71"/>
        <v>0</v>
      </c>
    </row>
    <row r="687" spans="1:21" x14ac:dyDescent="0.25">
      <c r="A687" s="118">
        <f>+CUBICACION!D681</f>
        <v>0</v>
      </c>
      <c r="B687" s="819">
        <f>+CUBICACION!E681</f>
        <v>0</v>
      </c>
      <c r="C687" s="675">
        <f>+CUBICACION!F681</f>
        <v>0</v>
      </c>
      <c r="D687" s="118"/>
      <c r="E687" s="118"/>
      <c r="F687" s="820"/>
      <c r="G687" s="675">
        <f>+CUBICACION!J681</f>
        <v>0</v>
      </c>
      <c r="H687" s="118"/>
      <c r="I687" s="821">
        <f>+CUBICACION!L681</f>
        <v>0</v>
      </c>
      <c r="J687" s="64">
        <f>+CUBICACION!M681</f>
        <v>0</v>
      </c>
      <c r="K687" s="822" t="str">
        <f>+CUBICACION!N681</f>
        <v/>
      </c>
      <c r="L687" s="118">
        <f>+CUBICACION!O681</f>
        <v>0</v>
      </c>
      <c r="M687" s="823">
        <f>+CUBICACION!P681</f>
        <v>0</v>
      </c>
      <c r="N687" s="902">
        <f>ROUND(IF(AND(L687="Blaze Shield II",M687="Software Idiem",C687="IN",G687=4),((('BLAZE SHIELD II'!$D$4*('CALCULO MORTERO'!I687^2)+'BLAZE SHIELD II'!$D$5*'CALCULO MORTERO'!I687+'BLAZE SHIELD II'!$D$6)*LN(J687))+('BLAZE SHIELD II'!$D$7*('CALCULO MORTERO'!I687^2)+'BLAZE SHIELD II'!$D$8*'CALCULO MORTERO'!I687+'BLAZE SHIELD II'!$D$9)),0)+IF(AND(L687="Blaze Shield II",M687="Software Idiem",C687="Cj"),((('BLAZE SHIELD II'!$H$4*('CALCULO MORTERO'!I687^2)+'BLAZE SHIELD II'!$H$5*'CALCULO MORTERO'!I687+'BLAZE SHIELD II'!$H$6)*LN(J687))+('BLAZE SHIELD II'!$H$7*('CALCULO MORTERO'!I687^2)+'BLAZE SHIELD II'!$H$8*'CALCULO MORTERO'!I687+'BLAZE SHIELD II'!$H$9)),0)+IF(AND(L687="Blaze Shield II",M687="Software Idiem",C687="C"),((('BLAZE SHIELD II'!$L$4*('CALCULO MORTERO'!I687^2)+'BLAZE SHIELD II'!$L$5*'CALCULO MORTERO'!I687+'BLAZE SHIELD II'!$L$6)*LN(J687))+('BLAZE SHIELD II'!$L$7*('CALCULO MORTERO'!I687^2)+'BLAZE SHIELD II'!$L$8*'CALCULO MORTERO'!I687+'BLAZE SHIELD II'!$L$9)),0)+IF(AND(L687="Blaze Shield II",M687="Software Idiem",C687="L"),((('BLAZE SHIELD II'!$L$4*('CALCULO MORTERO'!I687^2)+'BLAZE SHIELD II'!$L$5*'CALCULO MORTERO'!I687+'BLAZE SHIELD II'!$L$6)*LN(J687))+('BLAZE SHIELD II'!$L$7*('CALCULO MORTERO'!I687^2)+'BLAZE SHIELD II'!$L$8*'CALCULO MORTERO'!I687+'BLAZE SHIELD II'!$L$9)),0)+IF(AND(L687="Blaze Shield II",M687="Software Idiem",C687="IN",G687=3),((('BLAZE SHIELD II'!$H$14*('CALCULO MORTERO'!I687^2)+'BLAZE SHIELD II'!$H$15*'CALCULO MORTERO'!I687+'BLAZE SHIELD II'!$H$16)*LN(J687))+('BLAZE SHIELD II'!$H$17*('CALCULO MORTERO'!I687^2)+'BLAZE SHIELD II'!$H$18*'CALCULO MORTERO'!I687+'BLAZE SHIELD II'!$H$19)),0),0)+ROUND(IF(AND(L687="Cafco 400",M687="Software Idiem",C687="IN",G687=4),((('CAFCO 400 '!$H$7*(J687^4)+'CAFCO 400 '!$H$8*(J687^3)+'CAFCO 400 '!$H$9*(J687^2)+'CAFCO 400 '!$H$10*J687+'CAFCO 400 '!$H$11)*U687^2)+(('CAFCO 400 '!$H$12*(J687^3)+'CAFCO 400 '!$H$13*(J687^2)+'CAFCO 400 '!$H$14*J687+'CAFCO 400 '!$H$15)*U687)+('CAFCO 400 '!$H$16*(J687^2)+'CAFCO 400 '!$H$17*J687+'CAFCO 400 '!$H$18)),0)+IF(AND(L687="Cafco 400",M687="Software Idiem",C687="Cj"),(((('CAFCO 400 '!$D$7*LN(J687)+'CAFCO 400 '!$D$8)*U687^2)+(('CAFCO 400 '!$D$9*LN(J687)+'CAFCO 400 '!$D$10)*U687)+('CAFCO 400 '!$D$11*LN(J687)+'CAFCO 400 '!$D$12))),0)+IF(AND(L687="Cafco 400",M687="Software Idiem",C687="C"),((('CAFCO 400 '!$L$7*(J687^3)+'CAFCO 400 '!$L$8*(J687^2)+'CAFCO 400 '!$L$9*J687+'CAFCO 400 '!$L$10)*U687^2)+(('CAFCO 400 '!$L$11*(J687^3)+'CAFCO 400 '!$L$12*(J687^2)+'CAFCO 400 '!$L$13*J687+'CAFCO 400 '!$L$14)*U687)+('CAFCO 400 '!$L$15*LN(J687)+'CAFCO 400 '!$L$16)),0)+IF(AND(L687="Cafco 400",M687="Software Idiem",C687="L"),((('CAFCO 400 '!$L$7*(J687^3)+'CAFCO 400 '!$L$8*(J687^2)+'CAFCO 400 '!$L$9*J687+'CAFCO 400 '!$L$10)*U687^2)+(('CAFCO 400 '!$L$11*(J687^3)+'CAFCO 400 '!$L$12*(J687^2)+'CAFCO 400 '!$L$13*J687+'CAFCO 400 '!$L$14)*U687)+('CAFCO 400 '!$L$15*LN(J687)+'CAFCO 400 '!$L$16)),0)+IF(AND(L687="Cafco 400",M687="Software Idiem",C687="IN",G687=3),((('CAFCO 400 '!$D$23*(J687^2)+'CAFCO 400 '!$D$24*(J687)+'CAFCO 400 '!$D$25)*U687^2)+(('CAFCO 400 '!$D$26*(J687^2)+'CAFCO 400 '!$D$27*J687+'CAFCO 400 '!$D$28)*U687)+('CAFCO 400 '!$D$29*(J687^2)+'CAFCO 400 '!$D$30*J687+'CAFCO 400 '!$D$31)),0),0)+IF(AND(L687="Cafco 300",J687&gt;=95,J687&lt;=240,C687="Cj",I687=90),VLOOKUP(T687,'CAFCO 300 IDIEM TABLAS'!$B$4:$D$23,2,FALSE),0)+IF(AND(L687="Cafco 300",J687&gt;=95,J687&lt;=240,C687="Cj",I687=120),VLOOKUP(T687,'CAFCO 300 IDIEM TABLAS'!$B$4:$D$23,3,FALSE),0)+IF(AND(L687="Cafco 300",J687&gt;=95,J687&lt;=400,G687=3,C687="IN",I687=90),VLOOKUP(T687,'CAFCO 300 IDIEM TABLAS'!$F$4:$H$35,2,FALSE),0)+IF(AND(L687="Cafco 300",J687&gt;=95,J687&lt;=400,G687=3,C687="IN",I687=120),VLOOKUP(T687,'CAFCO 300 IDIEM TABLAS'!$F$4:$H$35,3,FALSE),0)+IF(AND(L687="Cafco 300",J687&gt;=95,J687&lt;=450,G687=4,C687="IN",I687=90),VLOOKUP(T687,'CAFCO 300 IDIEM TABLAS'!$J$4:$L$40,2,FALSE),0)+IF(AND(L687="Cafco 300",J687&gt;=95,J687&lt;=450,G687=4,C687="IN",I687=120),VLOOKUP(T687,'CAFCO 300 IDIEM TABLAS'!$J$4:$L$40,3,FALSE),0)+IF(AND(M687="Ensayo Idiem",L687="Cafco 400",C687="IN",G687=4,I687=90),VLOOKUP(T687,'CAFCO 400 ENSAYO'!$B$7:$D$43,2,FALSE),0)+IF(AND(M687="Ensayo Idiem",L687="Cafco 400",C687="IN",G687=4,I687=120),VLOOKUP(T687,'CAFCO 400 ENSAYO'!$B$7:$D$43,3,FALSE),0)</f>
        <v>0</v>
      </c>
      <c r="O687" s="96">
        <f t="shared" si="72"/>
        <v>0</v>
      </c>
      <c r="P687" s="132" t="str">
        <f t="shared" si="67"/>
        <v>N/A</v>
      </c>
      <c r="Q687" s="132" t="str">
        <f t="shared" si="68"/>
        <v>N/A</v>
      </c>
      <c r="R687" s="132" t="str">
        <f t="shared" si="69"/>
        <v>NO CERT.</v>
      </c>
      <c r="S687" s="132" t="e">
        <f t="shared" si="70"/>
        <v>#N/A</v>
      </c>
      <c r="T687" s="133" t="e">
        <f>+IF(J687=LOOKUP(J687,'CAFCO 300 IDIEM TABLAS'!$J$4:$J$40),'CALCULO MORTERO'!J687,MROUND('CALCULO MORTERO'!J687,10))</f>
        <v>#N/A</v>
      </c>
      <c r="U687" s="134">
        <f t="shared" si="71"/>
        <v>0</v>
      </c>
    </row>
    <row r="688" spans="1:21" x14ac:dyDescent="0.25">
      <c r="A688" s="118">
        <f>+CUBICACION!D682</f>
        <v>0</v>
      </c>
      <c r="B688" s="819">
        <f>+CUBICACION!E682</f>
        <v>0</v>
      </c>
      <c r="C688" s="675">
        <f>+CUBICACION!F682</f>
        <v>0</v>
      </c>
      <c r="D688" s="118"/>
      <c r="E688" s="118"/>
      <c r="F688" s="820"/>
      <c r="G688" s="675">
        <f>+CUBICACION!J682</f>
        <v>0</v>
      </c>
      <c r="H688" s="118"/>
      <c r="I688" s="821">
        <f>+CUBICACION!L682</f>
        <v>0</v>
      </c>
      <c r="J688" s="64">
        <f>+CUBICACION!M682</f>
        <v>0</v>
      </c>
      <c r="K688" s="822" t="str">
        <f>+CUBICACION!N682</f>
        <v/>
      </c>
      <c r="L688" s="118">
        <f>+CUBICACION!O682</f>
        <v>0</v>
      </c>
      <c r="M688" s="823">
        <f>+CUBICACION!P682</f>
        <v>0</v>
      </c>
      <c r="N688" s="902">
        <f>ROUND(IF(AND(L688="Blaze Shield II",M688="Software Idiem",C688="IN",G688=4),((('BLAZE SHIELD II'!$D$4*('CALCULO MORTERO'!I688^2)+'BLAZE SHIELD II'!$D$5*'CALCULO MORTERO'!I688+'BLAZE SHIELD II'!$D$6)*LN(J688))+('BLAZE SHIELD II'!$D$7*('CALCULO MORTERO'!I688^2)+'BLAZE SHIELD II'!$D$8*'CALCULO MORTERO'!I688+'BLAZE SHIELD II'!$D$9)),0)+IF(AND(L688="Blaze Shield II",M688="Software Idiem",C688="Cj"),((('BLAZE SHIELD II'!$H$4*('CALCULO MORTERO'!I688^2)+'BLAZE SHIELD II'!$H$5*'CALCULO MORTERO'!I688+'BLAZE SHIELD II'!$H$6)*LN(J688))+('BLAZE SHIELD II'!$H$7*('CALCULO MORTERO'!I688^2)+'BLAZE SHIELD II'!$H$8*'CALCULO MORTERO'!I688+'BLAZE SHIELD II'!$H$9)),0)+IF(AND(L688="Blaze Shield II",M688="Software Idiem",C688="C"),((('BLAZE SHIELD II'!$L$4*('CALCULO MORTERO'!I688^2)+'BLAZE SHIELD II'!$L$5*'CALCULO MORTERO'!I688+'BLAZE SHIELD II'!$L$6)*LN(J688))+('BLAZE SHIELD II'!$L$7*('CALCULO MORTERO'!I688^2)+'BLAZE SHIELD II'!$L$8*'CALCULO MORTERO'!I688+'BLAZE SHIELD II'!$L$9)),0)+IF(AND(L688="Blaze Shield II",M688="Software Idiem",C688="L"),((('BLAZE SHIELD II'!$L$4*('CALCULO MORTERO'!I688^2)+'BLAZE SHIELD II'!$L$5*'CALCULO MORTERO'!I688+'BLAZE SHIELD II'!$L$6)*LN(J688))+('BLAZE SHIELD II'!$L$7*('CALCULO MORTERO'!I688^2)+'BLAZE SHIELD II'!$L$8*'CALCULO MORTERO'!I688+'BLAZE SHIELD II'!$L$9)),0)+IF(AND(L688="Blaze Shield II",M688="Software Idiem",C688="IN",G688=3),((('BLAZE SHIELD II'!$H$14*('CALCULO MORTERO'!I688^2)+'BLAZE SHIELD II'!$H$15*'CALCULO MORTERO'!I688+'BLAZE SHIELD II'!$H$16)*LN(J688))+('BLAZE SHIELD II'!$H$17*('CALCULO MORTERO'!I688^2)+'BLAZE SHIELD II'!$H$18*'CALCULO MORTERO'!I688+'BLAZE SHIELD II'!$H$19)),0),0)+ROUND(IF(AND(L688="Cafco 400",M688="Software Idiem",C688="IN",G688=4),((('CAFCO 400 '!$H$7*(J688^4)+'CAFCO 400 '!$H$8*(J688^3)+'CAFCO 400 '!$H$9*(J688^2)+'CAFCO 400 '!$H$10*J688+'CAFCO 400 '!$H$11)*U688^2)+(('CAFCO 400 '!$H$12*(J688^3)+'CAFCO 400 '!$H$13*(J688^2)+'CAFCO 400 '!$H$14*J688+'CAFCO 400 '!$H$15)*U688)+('CAFCO 400 '!$H$16*(J688^2)+'CAFCO 400 '!$H$17*J688+'CAFCO 400 '!$H$18)),0)+IF(AND(L688="Cafco 400",M688="Software Idiem",C688="Cj"),(((('CAFCO 400 '!$D$7*LN(J688)+'CAFCO 400 '!$D$8)*U688^2)+(('CAFCO 400 '!$D$9*LN(J688)+'CAFCO 400 '!$D$10)*U688)+('CAFCO 400 '!$D$11*LN(J688)+'CAFCO 400 '!$D$12))),0)+IF(AND(L688="Cafco 400",M688="Software Idiem",C688="C"),((('CAFCO 400 '!$L$7*(J688^3)+'CAFCO 400 '!$L$8*(J688^2)+'CAFCO 400 '!$L$9*J688+'CAFCO 400 '!$L$10)*U688^2)+(('CAFCO 400 '!$L$11*(J688^3)+'CAFCO 400 '!$L$12*(J688^2)+'CAFCO 400 '!$L$13*J688+'CAFCO 400 '!$L$14)*U688)+('CAFCO 400 '!$L$15*LN(J688)+'CAFCO 400 '!$L$16)),0)+IF(AND(L688="Cafco 400",M688="Software Idiem",C688="L"),((('CAFCO 400 '!$L$7*(J688^3)+'CAFCO 400 '!$L$8*(J688^2)+'CAFCO 400 '!$L$9*J688+'CAFCO 400 '!$L$10)*U688^2)+(('CAFCO 400 '!$L$11*(J688^3)+'CAFCO 400 '!$L$12*(J688^2)+'CAFCO 400 '!$L$13*J688+'CAFCO 400 '!$L$14)*U688)+('CAFCO 400 '!$L$15*LN(J688)+'CAFCO 400 '!$L$16)),0)+IF(AND(L688="Cafco 400",M688="Software Idiem",C688="IN",G688=3),((('CAFCO 400 '!$D$23*(J688^2)+'CAFCO 400 '!$D$24*(J688)+'CAFCO 400 '!$D$25)*U688^2)+(('CAFCO 400 '!$D$26*(J688^2)+'CAFCO 400 '!$D$27*J688+'CAFCO 400 '!$D$28)*U688)+('CAFCO 400 '!$D$29*(J688^2)+'CAFCO 400 '!$D$30*J688+'CAFCO 400 '!$D$31)),0),0)+IF(AND(L688="Cafco 300",J688&gt;=95,J688&lt;=240,C688="Cj",I688=90),VLOOKUP(T688,'CAFCO 300 IDIEM TABLAS'!$B$4:$D$23,2,FALSE),0)+IF(AND(L688="Cafco 300",J688&gt;=95,J688&lt;=240,C688="Cj",I688=120),VLOOKUP(T688,'CAFCO 300 IDIEM TABLAS'!$B$4:$D$23,3,FALSE),0)+IF(AND(L688="Cafco 300",J688&gt;=95,J688&lt;=400,G688=3,C688="IN",I688=90),VLOOKUP(T688,'CAFCO 300 IDIEM TABLAS'!$F$4:$H$35,2,FALSE),0)+IF(AND(L688="Cafco 300",J688&gt;=95,J688&lt;=400,G688=3,C688="IN",I688=120),VLOOKUP(T688,'CAFCO 300 IDIEM TABLAS'!$F$4:$H$35,3,FALSE),0)+IF(AND(L688="Cafco 300",J688&gt;=95,J688&lt;=450,G688=4,C688="IN",I688=90),VLOOKUP(T688,'CAFCO 300 IDIEM TABLAS'!$J$4:$L$40,2,FALSE),0)+IF(AND(L688="Cafco 300",J688&gt;=95,J688&lt;=450,G688=4,C688="IN",I688=120),VLOOKUP(T688,'CAFCO 300 IDIEM TABLAS'!$J$4:$L$40,3,FALSE),0)+IF(AND(M688="Ensayo Idiem",L688="Cafco 400",C688="IN",G688=4,I688=90),VLOOKUP(T688,'CAFCO 400 ENSAYO'!$B$7:$D$43,2,FALSE),0)+IF(AND(M688="Ensayo Idiem",L688="Cafco 400",C688="IN",G688=4,I688=120),VLOOKUP(T688,'CAFCO 400 ENSAYO'!$B$7:$D$43,3,FALSE),0)</f>
        <v>0</v>
      </c>
      <c r="O688" s="96">
        <f t="shared" si="72"/>
        <v>0</v>
      </c>
      <c r="P688" s="95" t="str">
        <f t="shared" si="67"/>
        <v>N/A</v>
      </c>
      <c r="Q688" s="95" t="str">
        <f t="shared" si="68"/>
        <v>N/A</v>
      </c>
      <c r="R688" s="95" t="str">
        <f t="shared" si="69"/>
        <v>NO CERT.</v>
      </c>
      <c r="S688" s="95" t="e">
        <f t="shared" si="70"/>
        <v>#N/A</v>
      </c>
      <c r="T688" s="119" t="e">
        <f>+IF(J688=LOOKUP(J688,'CAFCO 300 IDIEM TABLAS'!$J$4:$J$40),'CALCULO MORTERO'!J688,MROUND('CALCULO MORTERO'!J688,10))</f>
        <v>#N/A</v>
      </c>
      <c r="U688" s="118">
        <f t="shared" si="71"/>
        <v>0</v>
      </c>
    </row>
    <row r="689" spans="1:21" x14ac:dyDescent="0.25">
      <c r="A689" s="118">
        <f>+CUBICACION!D683</f>
        <v>0</v>
      </c>
      <c r="B689" s="819">
        <f>+CUBICACION!E683</f>
        <v>0</v>
      </c>
      <c r="C689" s="675">
        <f>+CUBICACION!F683</f>
        <v>0</v>
      </c>
      <c r="D689" s="118"/>
      <c r="E689" s="118"/>
      <c r="F689" s="820"/>
      <c r="G689" s="675">
        <f>+CUBICACION!J683</f>
        <v>0</v>
      </c>
      <c r="H689" s="118"/>
      <c r="I689" s="821">
        <f>+CUBICACION!L683</f>
        <v>0</v>
      </c>
      <c r="J689" s="64">
        <f>+CUBICACION!M683</f>
        <v>0</v>
      </c>
      <c r="K689" s="822" t="str">
        <f>+CUBICACION!N683</f>
        <v/>
      </c>
      <c r="L689" s="118">
        <f>+CUBICACION!O683</f>
        <v>0</v>
      </c>
      <c r="M689" s="823">
        <f>+CUBICACION!P683</f>
        <v>0</v>
      </c>
      <c r="N689" s="902">
        <f>ROUND(IF(AND(L689="Blaze Shield II",M689="Software Idiem",C689="IN",G689=4),((('BLAZE SHIELD II'!$D$4*('CALCULO MORTERO'!I689^2)+'BLAZE SHIELD II'!$D$5*'CALCULO MORTERO'!I689+'BLAZE SHIELD II'!$D$6)*LN(J689))+('BLAZE SHIELD II'!$D$7*('CALCULO MORTERO'!I689^2)+'BLAZE SHIELD II'!$D$8*'CALCULO MORTERO'!I689+'BLAZE SHIELD II'!$D$9)),0)+IF(AND(L689="Blaze Shield II",M689="Software Idiem",C689="Cj"),((('BLAZE SHIELD II'!$H$4*('CALCULO MORTERO'!I689^2)+'BLAZE SHIELD II'!$H$5*'CALCULO MORTERO'!I689+'BLAZE SHIELD II'!$H$6)*LN(J689))+('BLAZE SHIELD II'!$H$7*('CALCULO MORTERO'!I689^2)+'BLAZE SHIELD II'!$H$8*'CALCULO MORTERO'!I689+'BLAZE SHIELD II'!$H$9)),0)+IF(AND(L689="Blaze Shield II",M689="Software Idiem",C689="C"),((('BLAZE SHIELD II'!$L$4*('CALCULO MORTERO'!I689^2)+'BLAZE SHIELD II'!$L$5*'CALCULO MORTERO'!I689+'BLAZE SHIELD II'!$L$6)*LN(J689))+('BLAZE SHIELD II'!$L$7*('CALCULO MORTERO'!I689^2)+'BLAZE SHIELD II'!$L$8*'CALCULO MORTERO'!I689+'BLAZE SHIELD II'!$L$9)),0)+IF(AND(L689="Blaze Shield II",M689="Software Idiem",C689="L"),((('BLAZE SHIELD II'!$L$4*('CALCULO MORTERO'!I689^2)+'BLAZE SHIELD II'!$L$5*'CALCULO MORTERO'!I689+'BLAZE SHIELD II'!$L$6)*LN(J689))+('BLAZE SHIELD II'!$L$7*('CALCULO MORTERO'!I689^2)+'BLAZE SHIELD II'!$L$8*'CALCULO MORTERO'!I689+'BLAZE SHIELD II'!$L$9)),0)+IF(AND(L689="Blaze Shield II",M689="Software Idiem",C689="IN",G689=3),((('BLAZE SHIELD II'!$H$14*('CALCULO MORTERO'!I689^2)+'BLAZE SHIELD II'!$H$15*'CALCULO MORTERO'!I689+'BLAZE SHIELD II'!$H$16)*LN(J689))+('BLAZE SHIELD II'!$H$17*('CALCULO MORTERO'!I689^2)+'BLAZE SHIELD II'!$H$18*'CALCULO MORTERO'!I689+'BLAZE SHIELD II'!$H$19)),0),0)+ROUND(IF(AND(L689="Cafco 400",M689="Software Idiem",C689="IN",G689=4),((('CAFCO 400 '!$H$7*(J689^4)+'CAFCO 400 '!$H$8*(J689^3)+'CAFCO 400 '!$H$9*(J689^2)+'CAFCO 400 '!$H$10*J689+'CAFCO 400 '!$H$11)*U689^2)+(('CAFCO 400 '!$H$12*(J689^3)+'CAFCO 400 '!$H$13*(J689^2)+'CAFCO 400 '!$H$14*J689+'CAFCO 400 '!$H$15)*U689)+('CAFCO 400 '!$H$16*(J689^2)+'CAFCO 400 '!$H$17*J689+'CAFCO 400 '!$H$18)),0)+IF(AND(L689="Cafco 400",M689="Software Idiem",C689="Cj"),(((('CAFCO 400 '!$D$7*LN(J689)+'CAFCO 400 '!$D$8)*U689^2)+(('CAFCO 400 '!$D$9*LN(J689)+'CAFCO 400 '!$D$10)*U689)+('CAFCO 400 '!$D$11*LN(J689)+'CAFCO 400 '!$D$12))),0)+IF(AND(L689="Cafco 400",M689="Software Idiem",C689="C"),((('CAFCO 400 '!$L$7*(J689^3)+'CAFCO 400 '!$L$8*(J689^2)+'CAFCO 400 '!$L$9*J689+'CAFCO 400 '!$L$10)*U689^2)+(('CAFCO 400 '!$L$11*(J689^3)+'CAFCO 400 '!$L$12*(J689^2)+'CAFCO 400 '!$L$13*J689+'CAFCO 400 '!$L$14)*U689)+('CAFCO 400 '!$L$15*LN(J689)+'CAFCO 400 '!$L$16)),0)+IF(AND(L689="Cafco 400",M689="Software Idiem",C689="L"),((('CAFCO 400 '!$L$7*(J689^3)+'CAFCO 400 '!$L$8*(J689^2)+'CAFCO 400 '!$L$9*J689+'CAFCO 400 '!$L$10)*U689^2)+(('CAFCO 400 '!$L$11*(J689^3)+'CAFCO 400 '!$L$12*(J689^2)+'CAFCO 400 '!$L$13*J689+'CAFCO 400 '!$L$14)*U689)+('CAFCO 400 '!$L$15*LN(J689)+'CAFCO 400 '!$L$16)),0)+IF(AND(L689="Cafco 400",M689="Software Idiem",C689="IN",G689=3),((('CAFCO 400 '!$D$23*(J689^2)+'CAFCO 400 '!$D$24*(J689)+'CAFCO 400 '!$D$25)*U689^2)+(('CAFCO 400 '!$D$26*(J689^2)+'CAFCO 400 '!$D$27*J689+'CAFCO 400 '!$D$28)*U689)+('CAFCO 400 '!$D$29*(J689^2)+'CAFCO 400 '!$D$30*J689+'CAFCO 400 '!$D$31)),0),0)+IF(AND(L689="Cafco 300",J689&gt;=95,J689&lt;=240,C689="Cj",I689=90),VLOOKUP(T689,'CAFCO 300 IDIEM TABLAS'!$B$4:$D$23,2,FALSE),0)+IF(AND(L689="Cafco 300",J689&gt;=95,J689&lt;=240,C689="Cj",I689=120),VLOOKUP(T689,'CAFCO 300 IDIEM TABLAS'!$B$4:$D$23,3,FALSE),0)+IF(AND(L689="Cafco 300",J689&gt;=95,J689&lt;=400,G689=3,C689="IN",I689=90),VLOOKUP(T689,'CAFCO 300 IDIEM TABLAS'!$F$4:$H$35,2,FALSE),0)+IF(AND(L689="Cafco 300",J689&gt;=95,J689&lt;=400,G689=3,C689="IN",I689=120),VLOOKUP(T689,'CAFCO 300 IDIEM TABLAS'!$F$4:$H$35,3,FALSE),0)+IF(AND(L689="Cafco 300",J689&gt;=95,J689&lt;=450,G689=4,C689="IN",I689=90),VLOOKUP(T689,'CAFCO 300 IDIEM TABLAS'!$J$4:$L$40,2,FALSE),0)+IF(AND(L689="Cafco 300",J689&gt;=95,J689&lt;=450,G689=4,C689="IN",I689=120),VLOOKUP(T689,'CAFCO 300 IDIEM TABLAS'!$J$4:$L$40,3,FALSE),0)+IF(AND(M689="Ensayo Idiem",L689="Cafco 400",C689="IN",G689=4,I689=90),VLOOKUP(T689,'CAFCO 400 ENSAYO'!$B$7:$D$43,2,FALSE),0)+IF(AND(M689="Ensayo Idiem",L689="Cafco 400",C689="IN",G689=4,I689=120),VLOOKUP(T689,'CAFCO 400 ENSAYO'!$B$7:$D$43,3,FALSE),0)</f>
        <v>0</v>
      </c>
      <c r="O689" s="96">
        <f t="shared" si="72"/>
        <v>0</v>
      </c>
      <c r="P689" s="132" t="str">
        <f t="shared" si="67"/>
        <v>N/A</v>
      </c>
      <c r="Q689" s="132" t="str">
        <f t="shared" si="68"/>
        <v>N/A</v>
      </c>
      <c r="R689" s="132" t="str">
        <f t="shared" si="69"/>
        <v>NO CERT.</v>
      </c>
      <c r="S689" s="132" t="e">
        <f t="shared" si="70"/>
        <v>#N/A</v>
      </c>
      <c r="T689" s="133" t="e">
        <f>+IF(J689=LOOKUP(J689,'CAFCO 300 IDIEM TABLAS'!$J$4:$J$40),'CALCULO MORTERO'!J689,MROUND('CALCULO MORTERO'!J689,10))</f>
        <v>#N/A</v>
      </c>
      <c r="U689" s="134">
        <f t="shared" si="71"/>
        <v>0</v>
      </c>
    </row>
    <row r="690" spans="1:21" x14ac:dyDescent="0.25">
      <c r="A690" s="118">
        <f>+CUBICACION!D684</f>
        <v>0</v>
      </c>
      <c r="B690" s="819">
        <f>+CUBICACION!E684</f>
        <v>0</v>
      </c>
      <c r="C690" s="675">
        <f>+CUBICACION!F684</f>
        <v>0</v>
      </c>
      <c r="D690" s="118"/>
      <c r="E690" s="118"/>
      <c r="F690" s="820"/>
      <c r="G690" s="675">
        <f>+CUBICACION!J684</f>
        <v>0</v>
      </c>
      <c r="H690" s="118"/>
      <c r="I690" s="821">
        <f>+CUBICACION!L684</f>
        <v>0</v>
      </c>
      <c r="J690" s="64">
        <f>+CUBICACION!M684</f>
        <v>0</v>
      </c>
      <c r="K690" s="822" t="str">
        <f>+CUBICACION!N684</f>
        <v/>
      </c>
      <c r="L690" s="118">
        <f>+CUBICACION!O684</f>
        <v>0</v>
      </c>
      <c r="M690" s="823">
        <f>+CUBICACION!P684</f>
        <v>0</v>
      </c>
      <c r="N690" s="902">
        <f>ROUND(IF(AND(L690="Blaze Shield II",M690="Software Idiem",C690="IN",G690=4),((('BLAZE SHIELD II'!$D$4*('CALCULO MORTERO'!I690^2)+'BLAZE SHIELD II'!$D$5*'CALCULO MORTERO'!I690+'BLAZE SHIELD II'!$D$6)*LN(J690))+('BLAZE SHIELD II'!$D$7*('CALCULO MORTERO'!I690^2)+'BLAZE SHIELD II'!$D$8*'CALCULO MORTERO'!I690+'BLAZE SHIELD II'!$D$9)),0)+IF(AND(L690="Blaze Shield II",M690="Software Idiem",C690="Cj"),((('BLAZE SHIELD II'!$H$4*('CALCULO MORTERO'!I690^2)+'BLAZE SHIELD II'!$H$5*'CALCULO MORTERO'!I690+'BLAZE SHIELD II'!$H$6)*LN(J690))+('BLAZE SHIELD II'!$H$7*('CALCULO MORTERO'!I690^2)+'BLAZE SHIELD II'!$H$8*'CALCULO MORTERO'!I690+'BLAZE SHIELD II'!$H$9)),0)+IF(AND(L690="Blaze Shield II",M690="Software Idiem",C690="C"),((('BLAZE SHIELD II'!$L$4*('CALCULO MORTERO'!I690^2)+'BLAZE SHIELD II'!$L$5*'CALCULO MORTERO'!I690+'BLAZE SHIELD II'!$L$6)*LN(J690))+('BLAZE SHIELD II'!$L$7*('CALCULO MORTERO'!I690^2)+'BLAZE SHIELD II'!$L$8*'CALCULO MORTERO'!I690+'BLAZE SHIELD II'!$L$9)),0)+IF(AND(L690="Blaze Shield II",M690="Software Idiem",C690="L"),((('BLAZE SHIELD II'!$L$4*('CALCULO MORTERO'!I690^2)+'BLAZE SHIELD II'!$L$5*'CALCULO MORTERO'!I690+'BLAZE SHIELD II'!$L$6)*LN(J690))+('BLAZE SHIELD II'!$L$7*('CALCULO MORTERO'!I690^2)+'BLAZE SHIELD II'!$L$8*'CALCULO MORTERO'!I690+'BLAZE SHIELD II'!$L$9)),0)+IF(AND(L690="Blaze Shield II",M690="Software Idiem",C690="IN",G690=3),((('BLAZE SHIELD II'!$H$14*('CALCULO MORTERO'!I690^2)+'BLAZE SHIELD II'!$H$15*'CALCULO MORTERO'!I690+'BLAZE SHIELD II'!$H$16)*LN(J690))+('BLAZE SHIELD II'!$H$17*('CALCULO MORTERO'!I690^2)+'BLAZE SHIELD II'!$H$18*'CALCULO MORTERO'!I690+'BLAZE SHIELD II'!$H$19)),0),0)+ROUND(IF(AND(L690="Cafco 400",M690="Software Idiem",C690="IN",G690=4),((('CAFCO 400 '!$H$7*(J690^4)+'CAFCO 400 '!$H$8*(J690^3)+'CAFCO 400 '!$H$9*(J690^2)+'CAFCO 400 '!$H$10*J690+'CAFCO 400 '!$H$11)*U690^2)+(('CAFCO 400 '!$H$12*(J690^3)+'CAFCO 400 '!$H$13*(J690^2)+'CAFCO 400 '!$H$14*J690+'CAFCO 400 '!$H$15)*U690)+('CAFCO 400 '!$H$16*(J690^2)+'CAFCO 400 '!$H$17*J690+'CAFCO 400 '!$H$18)),0)+IF(AND(L690="Cafco 400",M690="Software Idiem",C690="Cj"),(((('CAFCO 400 '!$D$7*LN(J690)+'CAFCO 400 '!$D$8)*U690^2)+(('CAFCO 400 '!$D$9*LN(J690)+'CAFCO 400 '!$D$10)*U690)+('CAFCO 400 '!$D$11*LN(J690)+'CAFCO 400 '!$D$12))),0)+IF(AND(L690="Cafco 400",M690="Software Idiem",C690="C"),((('CAFCO 400 '!$L$7*(J690^3)+'CAFCO 400 '!$L$8*(J690^2)+'CAFCO 400 '!$L$9*J690+'CAFCO 400 '!$L$10)*U690^2)+(('CAFCO 400 '!$L$11*(J690^3)+'CAFCO 400 '!$L$12*(J690^2)+'CAFCO 400 '!$L$13*J690+'CAFCO 400 '!$L$14)*U690)+('CAFCO 400 '!$L$15*LN(J690)+'CAFCO 400 '!$L$16)),0)+IF(AND(L690="Cafco 400",M690="Software Idiem",C690="L"),((('CAFCO 400 '!$L$7*(J690^3)+'CAFCO 400 '!$L$8*(J690^2)+'CAFCO 400 '!$L$9*J690+'CAFCO 400 '!$L$10)*U690^2)+(('CAFCO 400 '!$L$11*(J690^3)+'CAFCO 400 '!$L$12*(J690^2)+'CAFCO 400 '!$L$13*J690+'CAFCO 400 '!$L$14)*U690)+('CAFCO 400 '!$L$15*LN(J690)+'CAFCO 400 '!$L$16)),0)+IF(AND(L690="Cafco 400",M690="Software Idiem",C690="IN",G690=3),((('CAFCO 400 '!$D$23*(J690^2)+'CAFCO 400 '!$D$24*(J690)+'CAFCO 400 '!$D$25)*U690^2)+(('CAFCO 400 '!$D$26*(J690^2)+'CAFCO 400 '!$D$27*J690+'CAFCO 400 '!$D$28)*U690)+('CAFCO 400 '!$D$29*(J690^2)+'CAFCO 400 '!$D$30*J690+'CAFCO 400 '!$D$31)),0),0)+IF(AND(L690="Cafco 300",J690&gt;=95,J690&lt;=240,C690="Cj",I690=90),VLOOKUP(T690,'CAFCO 300 IDIEM TABLAS'!$B$4:$D$23,2,FALSE),0)+IF(AND(L690="Cafco 300",J690&gt;=95,J690&lt;=240,C690="Cj",I690=120),VLOOKUP(T690,'CAFCO 300 IDIEM TABLAS'!$B$4:$D$23,3,FALSE),0)+IF(AND(L690="Cafco 300",J690&gt;=95,J690&lt;=400,G690=3,C690="IN",I690=90),VLOOKUP(T690,'CAFCO 300 IDIEM TABLAS'!$F$4:$H$35,2,FALSE),0)+IF(AND(L690="Cafco 300",J690&gt;=95,J690&lt;=400,G690=3,C690="IN",I690=120),VLOOKUP(T690,'CAFCO 300 IDIEM TABLAS'!$F$4:$H$35,3,FALSE),0)+IF(AND(L690="Cafco 300",J690&gt;=95,J690&lt;=450,G690=4,C690="IN",I690=90),VLOOKUP(T690,'CAFCO 300 IDIEM TABLAS'!$J$4:$L$40,2,FALSE),0)+IF(AND(L690="Cafco 300",J690&gt;=95,J690&lt;=450,G690=4,C690="IN",I690=120),VLOOKUP(T690,'CAFCO 300 IDIEM TABLAS'!$J$4:$L$40,3,FALSE),0)+IF(AND(M690="Ensayo Idiem",L690="Cafco 400",C690="IN",G690=4,I690=90),VLOOKUP(T690,'CAFCO 400 ENSAYO'!$B$7:$D$43,2,FALSE),0)+IF(AND(M690="Ensayo Idiem",L690="Cafco 400",C690="IN",G690=4,I690=120),VLOOKUP(T690,'CAFCO 400 ENSAYO'!$B$7:$D$43,3,FALSE),0)</f>
        <v>0</v>
      </c>
      <c r="O690" s="96">
        <f t="shared" si="72"/>
        <v>0</v>
      </c>
      <c r="P690" s="95" t="str">
        <f t="shared" ref="P690:P753" si="73">IF(AND(M690="Software Idiem"),IF(AND(C690="IN",G690=4,J690&gt;=50,J690&lt;=500),"CERT.",IF(AND(C690="Cj",J690&gt;=50,J690&lt;=500),"CERT.",IF(AND(C690="C",J690&gt;=50,J690&lt;=1000),"CERT.",IF(AND(C690="L",J690&gt;=50,J690&lt;=1000),"CERT.",IF(AND(C690="IN",G690=3,J690&gt;=50,J690&lt;=500),"CERT.","NO CERT."))))),"N/A")</f>
        <v>N/A</v>
      </c>
      <c r="Q690" s="95" t="str">
        <f t="shared" ref="Q690:Q753" si="74">IF(AND(M690="Software Idiem"),IF(AND(C690="IN",G690=4,J690&gt;=50,J690&lt;=500),"CERT.",IF(AND(C690="Cj",J690&gt;=50,J690&lt;=500),"CERT.",IF(AND(C690="C",J690&gt;=50,J690&lt;=1000),"CERT.",IF(AND(C690="L",J690&gt;=50,J690&lt;=1000),"CERT.",IF(AND(C690="IN",G690=3,J690&gt;=50,J690&lt;=500),"CERT.","NO CERT."))))),"N/A")</f>
        <v>N/A</v>
      </c>
      <c r="R690" s="95" t="str">
        <f t="shared" ref="R690:R753" si="75">IF(AND(C690="IN",G690=4,J690&gt;=95,J690&lt;=450,I690=90),"CERT.",IF(AND(C690="IN",G690=4,J690&gt;=95,J690&lt;=450,I690=120),"CERT.","NO CERT."))</f>
        <v>NO CERT.</v>
      </c>
      <c r="S690" s="95" t="e">
        <f t="shared" ref="S690:S753" si="76">IF(AND(C690="Cj",I690=90,T690&lt;=240),"CERT.",IF(AND(C690="Cj",I690=120,T690&lt;=240),"CERT.",IF(AND(C690="IN",G690=3,I690=90,T690&lt;=400),"CERT.",IF(AND(C690="IN",G690=3,I690=120,T690&lt;=400),"CERT.",IF(AND(C690="IN",G690=4,I690=90,T690&lt;=450),"CERT.",IF(AND(C690="IN",G690=4,I690=120,T690&lt;=450),"CERT.","NO CERT."))))))</f>
        <v>#N/A</v>
      </c>
      <c r="T690" s="119" t="e">
        <f>+IF(J690=LOOKUP(J690,'CAFCO 300 IDIEM TABLAS'!$J$4:$J$40),'CALCULO MORTERO'!J690,MROUND('CALCULO MORTERO'!J690,10))</f>
        <v>#N/A</v>
      </c>
      <c r="U690" s="118">
        <f t="shared" ref="U690:U753" si="77">+I690*60</f>
        <v>0</v>
      </c>
    </row>
    <row r="691" spans="1:21" x14ac:dyDescent="0.25">
      <c r="A691" s="118">
        <f>+CUBICACION!D685</f>
        <v>0</v>
      </c>
      <c r="B691" s="819">
        <f>+CUBICACION!E685</f>
        <v>0</v>
      </c>
      <c r="C691" s="675">
        <f>+CUBICACION!F685</f>
        <v>0</v>
      </c>
      <c r="D691" s="118"/>
      <c r="E691" s="118"/>
      <c r="F691" s="820"/>
      <c r="G691" s="675">
        <f>+CUBICACION!J685</f>
        <v>0</v>
      </c>
      <c r="H691" s="118"/>
      <c r="I691" s="821">
        <f>+CUBICACION!L685</f>
        <v>0</v>
      </c>
      <c r="J691" s="64">
        <f>+CUBICACION!M685</f>
        <v>0</v>
      </c>
      <c r="K691" s="822" t="str">
        <f>+CUBICACION!N685</f>
        <v/>
      </c>
      <c r="L691" s="118">
        <f>+CUBICACION!O685</f>
        <v>0</v>
      </c>
      <c r="M691" s="823">
        <f>+CUBICACION!P685</f>
        <v>0</v>
      </c>
      <c r="N691" s="902">
        <f>ROUND(IF(AND(L691="Blaze Shield II",M691="Software Idiem",C691="IN",G691=4),((('BLAZE SHIELD II'!$D$4*('CALCULO MORTERO'!I691^2)+'BLAZE SHIELD II'!$D$5*'CALCULO MORTERO'!I691+'BLAZE SHIELD II'!$D$6)*LN(J691))+('BLAZE SHIELD II'!$D$7*('CALCULO MORTERO'!I691^2)+'BLAZE SHIELD II'!$D$8*'CALCULO MORTERO'!I691+'BLAZE SHIELD II'!$D$9)),0)+IF(AND(L691="Blaze Shield II",M691="Software Idiem",C691="Cj"),((('BLAZE SHIELD II'!$H$4*('CALCULO MORTERO'!I691^2)+'BLAZE SHIELD II'!$H$5*'CALCULO MORTERO'!I691+'BLAZE SHIELD II'!$H$6)*LN(J691))+('BLAZE SHIELD II'!$H$7*('CALCULO MORTERO'!I691^2)+'BLAZE SHIELD II'!$H$8*'CALCULO MORTERO'!I691+'BLAZE SHIELD II'!$H$9)),0)+IF(AND(L691="Blaze Shield II",M691="Software Idiem",C691="C"),((('BLAZE SHIELD II'!$L$4*('CALCULO MORTERO'!I691^2)+'BLAZE SHIELD II'!$L$5*'CALCULO MORTERO'!I691+'BLAZE SHIELD II'!$L$6)*LN(J691))+('BLAZE SHIELD II'!$L$7*('CALCULO MORTERO'!I691^2)+'BLAZE SHIELD II'!$L$8*'CALCULO MORTERO'!I691+'BLAZE SHIELD II'!$L$9)),0)+IF(AND(L691="Blaze Shield II",M691="Software Idiem",C691="L"),((('BLAZE SHIELD II'!$L$4*('CALCULO MORTERO'!I691^2)+'BLAZE SHIELD II'!$L$5*'CALCULO MORTERO'!I691+'BLAZE SHIELD II'!$L$6)*LN(J691))+('BLAZE SHIELD II'!$L$7*('CALCULO MORTERO'!I691^2)+'BLAZE SHIELD II'!$L$8*'CALCULO MORTERO'!I691+'BLAZE SHIELD II'!$L$9)),0)+IF(AND(L691="Blaze Shield II",M691="Software Idiem",C691="IN",G691=3),((('BLAZE SHIELD II'!$H$14*('CALCULO MORTERO'!I691^2)+'BLAZE SHIELD II'!$H$15*'CALCULO MORTERO'!I691+'BLAZE SHIELD II'!$H$16)*LN(J691))+('BLAZE SHIELD II'!$H$17*('CALCULO MORTERO'!I691^2)+'BLAZE SHIELD II'!$H$18*'CALCULO MORTERO'!I691+'BLAZE SHIELD II'!$H$19)),0),0)+ROUND(IF(AND(L691="Cafco 400",M691="Software Idiem",C691="IN",G691=4),((('CAFCO 400 '!$H$7*(J691^4)+'CAFCO 400 '!$H$8*(J691^3)+'CAFCO 400 '!$H$9*(J691^2)+'CAFCO 400 '!$H$10*J691+'CAFCO 400 '!$H$11)*U691^2)+(('CAFCO 400 '!$H$12*(J691^3)+'CAFCO 400 '!$H$13*(J691^2)+'CAFCO 400 '!$H$14*J691+'CAFCO 400 '!$H$15)*U691)+('CAFCO 400 '!$H$16*(J691^2)+'CAFCO 400 '!$H$17*J691+'CAFCO 400 '!$H$18)),0)+IF(AND(L691="Cafco 400",M691="Software Idiem",C691="Cj"),(((('CAFCO 400 '!$D$7*LN(J691)+'CAFCO 400 '!$D$8)*U691^2)+(('CAFCO 400 '!$D$9*LN(J691)+'CAFCO 400 '!$D$10)*U691)+('CAFCO 400 '!$D$11*LN(J691)+'CAFCO 400 '!$D$12))),0)+IF(AND(L691="Cafco 400",M691="Software Idiem",C691="C"),((('CAFCO 400 '!$L$7*(J691^3)+'CAFCO 400 '!$L$8*(J691^2)+'CAFCO 400 '!$L$9*J691+'CAFCO 400 '!$L$10)*U691^2)+(('CAFCO 400 '!$L$11*(J691^3)+'CAFCO 400 '!$L$12*(J691^2)+'CAFCO 400 '!$L$13*J691+'CAFCO 400 '!$L$14)*U691)+('CAFCO 400 '!$L$15*LN(J691)+'CAFCO 400 '!$L$16)),0)+IF(AND(L691="Cafco 400",M691="Software Idiem",C691="L"),((('CAFCO 400 '!$L$7*(J691^3)+'CAFCO 400 '!$L$8*(J691^2)+'CAFCO 400 '!$L$9*J691+'CAFCO 400 '!$L$10)*U691^2)+(('CAFCO 400 '!$L$11*(J691^3)+'CAFCO 400 '!$L$12*(J691^2)+'CAFCO 400 '!$L$13*J691+'CAFCO 400 '!$L$14)*U691)+('CAFCO 400 '!$L$15*LN(J691)+'CAFCO 400 '!$L$16)),0)+IF(AND(L691="Cafco 400",M691="Software Idiem",C691="IN",G691=3),((('CAFCO 400 '!$D$23*(J691^2)+'CAFCO 400 '!$D$24*(J691)+'CAFCO 400 '!$D$25)*U691^2)+(('CAFCO 400 '!$D$26*(J691^2)+'CAFCO 400 '!$D$27*J691+'CAFCO 400 '!$D$28)*U691)+('CAFCO 400 '!$D$29*(J691^2)+'CAFCO 400 '!$D$30*J691+'CAFCO 400 '!$D$31)),0),0)+IF(AND(L691="Cafco 300",J691&gt;=95,J691&lt;=240,C691="Cj",I691=90),VLOOKUP(T691,'CAFCO 300 IDIEM TABLAS'!$B$4:$D$23,2,FALSE),0)+IF(AND(L691="Cafco 300",J691&gt;=95,J691&lt;=240,C691="Cj",I691=120),VLOOKUP(T691,'CAFCO 300 IDIEM TABLAS'!$B$4:$D$23,3,FALSE),0)+IF(AND(L691="Cafco 300",J691&gt;=95,J691&lt;=400,G691=3,C691="IN",I691=90),VLOOKUP(T691,'CAFCO 300 IDIEM TABLAS'!$F$4:$H$35,2,FALSE),0)+IF(AND(L691="Cafco 300",J691&gt;=95,J691&lt;=400,G691=3,C691="IN",I691=120),VLOOKUP(T691,'CAFCO 300 IDIEM TABLAS'!$F$4:$H$35,3,FALSE),0)+IF(AND(L691="Cafco 300",J691&gt;=95,J691&lt;=450,G691=4,C691="IN",I691=90),VLOOKUP(T691,'CAFCO 300 IDIEM TABLAS'!$J$4:$L$40,2,FALSE),0)+IF(AND(L691="Cafco 300",J691&gt;=95,J691&lt;=450,G691=4,C691="IN",I691=120),VLOOKUP(T691,'CAFCO 300 IDIEM TABLAS'!$J$4:$L$40,3,FALSE),0)+IF(AND(M691="Ensayo Idiem",L691="Cafco 400",C691="IN",G691=4,I691=90),VLOOKUP(T691,'CAFCO 400 ENSAYO'!$B$7:$D$43,2,FALSE),0)+IF(AND(M691="Ensayo Idiem",L691="Cafco 400",C691="IN",G691=4,I691=120),VLOOKUP(T691,'CAFCO 400 ENSAYO'!$B$7:$D$43,3,FALSE),0)</f>
        <v>0</v>
      </c>
      <c r="O691" s="96">
        <f t="shared" si="72"/>
        <v>0</v>
      </c>
      <c r="P691" s="132" t="str">
        <f t="shared" si="73"/>
        <v>N/A</v>
      </c>
      <c r="Q691" s="132" t="str">
        <f t="shared" si="74"/>
        <v>N/A</v>
      </c>
      <c r="R691" s="132" t="str">
        <f t="shared" si="75"/>
        <v>NO CERT.</v>
      </c>
      <c r="S691" s="132" t="e">
        <f t="shared" si="76"/>
        <v>#N/A</v>
      </c>
      <c r="T691" s="133" t="e">
        <f>+IF(J691=LOOKUP(J691,'CAFCO 300 IDIEM TABLAS'!$J$4:$J$40),'CALCULO MORTERO'!J691,MROUND('CALCULO MORTERO'!J691,10))</f>
        <v>#N/A</v>
      </c>
      <c r="U691" s="134">
        <f t="shared" si="77"/>
        <v>0</v>
      </c>
    </row>
    <row r="692" spans="1:21" x14ac:dyDescent="0.25">
      <c r="A692" s="118">
        <f>+CUBICACION!D686</f>
        <v>0</v>
      </c>
      <c r="B692" s="819">
        <f>+CUBICACION!E686</f>
        <v>0</v>
      </c>
      <c r="C692" s="675">
        <f>+CUBICACION!F686</f>
        <v>0</v>
      </c>
      <c r="D692" s="118"/>
      <c r="E692" s="118"/>
      <c r="F692" s="820"/>
      <c r="G692" s="675">
        <f>+CUBICACION!J686</f>
        <v>0</v>
      </c>
      <c r="H692" s="118"/>
      <c r="I692" s="821">
        <f>+CUBICACION!L686</f>
        <v>0</v>
      </c>
      <c r="J692" s="64">
        <f>+CUBICACION!M686</f>
        <v>0</v>
      </c>
      <c r="K692" s="822" t="str">
        <f>+CUBICACION!N686</f>
        <v/>
      </c>
      <c r="L692" s="118">
        <f>+CUBICACION!O686</f>
        <v>0</v>
      </c>
      <c r="M692" s="823">
        <f>+CUBICACION!P686</f>
        <v>0</v>
      </c>
      <c r="N692" s="902">
        <f>ROUND(IF(AND(L692="Blaze Shield II",M692="Software Idiem",C692="IN",G692=4),((('BLAZE SHIELD II'!$D$4*('CALCULO MORTERO'!I692^2)+'BLAZE SHIELD II'!$D$5*'CALCULO MORTERO'!I692+'BLAZE SHIELD II'!$D$6)*LN(J692))+('BLAZE SHIELD II'!$D$7*('CALCULO MORTERO'!I692^2)+'BLAZE SHIELD II'!$D$8*'CALCULO MORTERO'!I692+'BLAZE SHIELD II'!$D$9)),0)+IF(AND(L692="Blaze Shield II",M692="Software Idiem",C692="Cj"),((('BLAZE SHIELD II'!$H$4*('CALCULO MORTERO'!I692^2)+'BLAZE SHIELD II'!$H$5*'CALCULO MORTERO'!I692+'BLAZE SHIELD II'!$H$6)*LN(J692))+('BLAZE SHIELD II'!$H$7*('CALCULO MORTERO'!I692^2)+'BLAZE SHIELD II'!$H$8*'CALCULO MORTERO'!I692+'BLAZE SHIELD II'!$H$9)),0)+IF(AND(L692="Blaze Shield II",M692="Software Idiem",C692="C"),((('BLAZE SHIELD II'!$L$4*('CALCULO MORTERO'!I692^2)+'BLAZE SHIELD II'!$L$5*'CALCULO MORTERO'!I692+'BLAZE SHIELD II'!$L$6)*LN(J692))+('BLAZE SHIELD II'!$L$7*('CALCULO MORTERO'!I692^2)+'BLAZE SHIELD II'!$L$8*'CALCULO MORTERO'!I692+'BLAZE SHIELD II'!$L$9)),0)+IF(AND(L692="Blaze Shield II",M692="Software Idiem",C692="L"),((('BLAZE SHIELD II'!$L$4*('CALCULO MORTERO'!I692^2)+'BLAZE SHIELD II'!$L$5*'CALCULO MORTERO'!I692+'BLAZE SHIELD II'!$L$6)*LN(J692))+('BLAZE SHIELD II'!$L$7*('CALCULO MORTERO'!I692^2)+'BLAZE SHIELD II'!$L$8*'CALCULO MORTERO'!I692+'BLAZE SHIELD II'!$L$9)),0)+IF(AND(L692="Blaze Shield II",M692="Software Idiem",C692="IN",G692=3),((('BLAZE SHIELD II'!$H$14*('CALCULO MORTERO'!I692^2)+'BLAZE SHIELD II'!$H$15*'CALCULO MORTERO'!I692+'BLAZE SHIELD II'!$H$16)*LN(J692))+('BLAZE SHIELD II'!$H$17*('CALCULO MORTERO'!I692^2)+'BLAZE SHIELD II'!$H$18*'CALCULO MORTERO'!I692+'BLAZE SHIELD II'!$H$19)),0),0)+ROUND(IF(AND(L692="Cafco 400",M692="Software Idiem",C692="IN",G692=4),((('CAFCO 400 '!$H$7*(J692^4)+'CAFCO 400 '!$H$8*(J692^3)+'CAFCO 400 '!$H$9*(J692^2)+'CAFCO 400 '!$H$10*J692+'CAFCO 400 '!$H$11)*U692^2)+(('CAFCO 400 '!$H$12*(J692^3)+'CAFCO 400 '!$H$13*(J692^2)+'CAFCO 400 '!$H$14*J692+'CAFCO 400 '!$H$15)*U692)+('CAFCO 400 '!$H$16*(J692^2)+'CAFCO 400 '!$H$17*J692+'CAFCO 400 '!$H$18)),0)+IF(AND(L692="Cafco 400",M692="Software Idiem",C692="Cj"),(((('CAFCO 400 '!$D$7*LN(J692)+'CAFCO 400 '!$D$8)*U692^2)+(('CAFCO 400 '!$D$9*LN(J692)+'CAFCO 400 '!$D$10)*U692)+('CAFCO 400 '!$D$11*LN(J692)+'CAFCO 400 '!$D$12))),0)+IF(AND(L692="Cafco 400",M692="Software Idiem",C692="C"),((('CAFCO 400 '!$L$7*(J692^3)+'CAFCO 400 '!$L$8*(J692^2)+'CAFCO 400 '!$L$9*J692+'CAFCO 400 '!$L$10)*U692^2)+(('CAFCO 400 '!$L$11*(J692^3)+'CAFCO 400 '!$L$12*(J692^2)+'CAFCO 400 '!$L$13*J692+'CAFCO 400 '!$L$14)*U692)+('CAFCO 400 '!$L$15*LN(J692)+'CAFCO 400 '!$L$16)),0)+IF(AND(L692="Cafco 400",M692="Software Idiem",C692="L"),((('CAFCO 400 '!$L$7*(J692^3)+'CAFCO 400 '!$L$8*(J692^2)+'CAFCO 400 '!$L$9*J692+'CAFCO 400 '!$L$10)*U692^2)+(('CAFCO 400 '!$L$11*(J692^3)+'CAFCO 400 '!$L$12*(J692^2)+'CAFCO 400 '!$L$13*J692+'CAFCO 400 '!$L$14)*U692)+('CAFCO 400 '!$L$15*LN(J692)+'CAFCO 400 '!$L$16)),0)+IF(AND(L692="Cafco 400",M692="Software Idiem",C692="IN",G692=3),((('CAFCO 400 '!$D$23*(J692^2)+'CAFCO 400 '!$D$24*(J692)+'CAFCO 400 '!$D$25)*U692^2)+(('CAFCO 400 '!$D$26*(J692^2)+'CAFCO 400 '!$D$27*J692+'CAFCO 400 '!$D$28)*U692)+('CAFCO 400 '!$D$29*(J692^2)+'CAFCO 400 '!$D$30*J692+'CAFCO 400 '!$D$31)),0),0)+IF(AND(L692="Cafco 300",J692&gt;=95,J692&lt;=240,C692="Cj",I692=90),VLOOKUP(T692,'CAFCO 300 IDIEM TABLAS'!$B$4:$D$23,2,FALSE),0)+IF(AND(L692="Cafco 300",J692&gt;=95,J692&lt;=240,C692="Cj",I692=120),VLOOKUP(T692,'CAFCO 300 IDIEM TABLAS'!$B$4:$D$23,3,FALSE),0)+IF(AND(L692="Cafco 300",J692&gt;=95,J692&lt;=400,G692=3,C692="IN",I692=90),VLOOKUP(T692,'CAFCO 300 IDIEM TABLAS'!$F$4:$H$35,2,FALSE),0)+IF(AND(L692="Cafco 300",J692&gt;=95,J692&lt;=400,G692=3,C692="IN",I692=120),VLOOKUP(T692,'CAFCO 300 IDIEM TABLAS'!$F$4:$H$35,3,FALSE),0)+IF(AND(L692="Cafco 300",J692&gt;=95,J692&lt;=450,G692=4,C692="IN",I692=90),VLOOKUP(T692,'CAFCO 300 IDIEM TABLAS'!$J$4:$L$40,2,FALSE),0)+IF(AND(L692="Cafco 300",J692&gt;=95,J692&lt;=450,G692=4,C692="IN",I692=120),VLOOKUP(T692,'CAFCO 300 IDIEM TABLAS'!$J$4:$L$40,3,FALSE),0)+IF(AND(M692="Ensayo Idiem",L692="Cafco 400",C692="IN",G692=4,I692=90),VLOOKUP(T692,'CAFCO 400 ENSAYO'!$B$7:$D$43,2,FALSE),0)+IF(AND(M692="Ensayo Idiem",L692="Cafco 400",C692="IN",G692=4,I692=120),VLOOKUP(T692,'CAFCO 400 ENSAYO'!$B$7:$D$43,3,FALSE),0)</f>
        <v>0</v>
      </c>
      <c r="O692" s="96">
        <f t="shared" si="72"/>
        <v>0</v>
      </c>
      <c r="P692" s="95" t="str">
        <f t="shared" si="73"/>
        <v>N/A</v>
      </c>
      <c r="Q692" s="95" t="str">
        <f t="shared" si="74"/>
        <v>N/A</v>
      </c>
      <c r="R692" s="95" t="str">
        <f t="shared" si="75"/>
        <v>NO CERT.</v>
      </c>
      <c r="S692" s="95" t="e">
        <f t="shared" si="76"/>
        <v>#N/A</v>
      </c>
      <c r="T692" s="119" t="e">
        <f>+IF(J692=LOOKUP(J692,'CAFCO 300 IDIEM TABLAS'!$J$4:$J$40),'CALCULO MORTERO'!J692,MROUND('CALCULO MORTERO'!J692,10))</f>
        <v>#N/A</v>
      </c>
      <c r="U692" s="118">
        <f t="shared" si="77"/>
        <v>0</v>
      </c>
    </row>
    <row r="693" spans="1:21" x14ac:dyDescent="0.25">
      <c r="A693" s="118">
        <f>+CUBICACION!D687</f>
        <v>0</v>
      </c>
      <c r="B693" s="819">
        <f>+CUBICACION!E687</f>
        <v>0</v>
      </c>
      <c r="C693" s="675">
        <f>+CUBICACION!F687</f>
        <v>0</v>
      </c>
      <c r="D693" s="118"/>
      <c r="E693" s="118"/>
      <c r="F693" s="820"/>
      <c r="G693" s="675">
        <f>+CUBICACION!J687</f>
        <v>0</v>
      </c>
      <c r="H693" s="118"/>
      <c r="I693" s="821">
        <f>+CUBICACION!L687</f>
        <v>0</v>
      </c>
      <c r="J693" s="64">
        <f>+CUBICACION!M687</f>
        <v>0</v>
      </c>
      <c r="K693" s="822" t="str">
        <f>+CUBICACION!N687</f>
        <v/>
      </c>
      <c r="L693" s="118">
        <f>+CUBICACION!O687</f>
        <v>0</v>
      </c>
      <c r="M693" s="823">
        <f>+CUBICACION!P687</f>
        <v>0</v>
      </c>
      <c r="N693" s="902">
        <f>ROUND(IF(AND(L693="Blaze Shield II",M693="Software Idiem",C693="IN",G693=4),((('BLAZE SHIELD II'!$D$4*('CALCULO MORTERO'!I693^2)+'BLAZE SHIELD II'!$D$5*'CALCULO MORTERO'!I693+'BLAZE SHIELD II'!$D$6)*LN(J693))+('BLAZE SHIELD II'!$D$7*('CALCULO MORTERO'!I693^2)+'BLAZE SHIELD II'!$D$8*'CALCULO MORTERO'!I693+'BLAZE SHIELD II'!$D$9)),0)+IF(AND(L693="Blaze Shield II",M693="Software Idiem",C693="Cj"),((('BLAZE SHIELD II'!$H$4*('CALCULO MORTERO'!I693^2)+'BLAZE SHIELD II'!$H$5*'CALCULO MORTERO'!I693+'BLAZE SHIELD II'!$H$6)*LN(J693))+('BLAZE SHIELD II'!$H$7*('CALCULO MORTERO'!I693^2)+'BLAZE SHIELD II'!$H$8*'CALCULO MORTERO'!I693+'BLAZE SHIELD II'!$H$9)),0)+IF(AND(L693="Blaze Shield II",M693="Software Idiem",C693="C"),((('BLAZE SHIELD II'!$L$4*('CALCULO MORTERO'!I693^2)+'BLAZE SHIELD II'!$L$5*'CALCULO MORTERO'!I693+'BLAZE SHIELD II'!$L$6)*LN(J693))+('BLAZE SHIELD II'!$L$7*('CALCULO MORTERO'!I693^2)+'BLAZE SHIELD II'!$L$8*'CALCULO MORTERO'!I693+'BLAZE SHIELD II'!$L$9)),0)+IF(AND(L693="Blaze Shield II",M693="Software Idiem",C693="L"),((('BLAZE SHIELD II'!$L$4*('CALCULO MORTERO'!I693^2)+'BLAZE SHIELD II'!$L$5*'CALCULO MORTERO'!I693+'BLAZE SHIELD II'!$L$6)*LN(J693))+('BLAZE SHIELD II'!$L$7*('CALCULO MORTERO'!I693^2)+'BLAZE SHIELD II'!$L$8*'CALCULO MORTERO'!I693+'BLAZE SHIELD II'!$L$9)),0)+IF(AND(L693="Blaze Shield II",M693="Software Idiem",C693="IN",G693=3),((('BLAZE SHIELD II'!$H$14*('CALCULO MORTERO'!I693^2)+'BLAZE SHIELD II'!$H$15*'CALCULO MORTERO'!I693+'BLAZE SHIELD II'!$H$16)*LN(J693))+('BLAZE SHIELD II'!$H$17*('CALCULO MORTERO'!I693^2)+'BLAZE SHIELD II'!$H$18*'CALCULO MORTERO'!I693+'BLAZE SHIELD II'!$H$19)),0),0)+ROUND(IF(AND(L693="Cafco 400",M693="Software Idiem",C693="IN",G693=4),((('CAFCO 400 '!$H$7*(J693^4)+'CAFCO 400 '!$H$8*(J693^3)+'CAFCO 400 '!$H$9*(J693^2)+'CAFCO 400 '!$H$10*J693+'CAFCO 400 '!$H$11)*U693^2)+(('CAFCO 400 '!$H$12*(J693^3)+'CAFCO 400 '!$H$13*(J693^2)+'CAFCO 400 '!$H$14*J693+'CAFCO 400 '!$H$15)*U693)+('CAFCO 400 '!$H$16*(J693^2)+'CAFCO 400 '!$H$17*J693+'CAFCO 400 '!$H$18)),0)+IF(AND(L693="Cafco 400",M693="Software Idiem",C693="Cj"),(((('CAFCO 400 '!$D$7*LN(J693)+'CAFCO 400 '!$D$8)*U693^2)+(('CAFCO 400 '!$D$9*LN(J693)+'CAFCO 400 '!$D$10)*U693)+('CAFCO 400 '!$D$11*LN(J693)+'CAFCO 400 '!$D$12))),0)+IF(AND(L693="Cafco 400",M693="Software Idiem",C693="C"),((('CAFCO 400 '!$L$7*(J693^3)+'CAFCO 400 '!$L$8*(J693^2)+'CAFCO 400 '!$L$9*J693+'CAFCO 400 '!$L$10)*U693^2)+(('CAFCO 400 '!$L$11*(J693^3)+'CAFCO 400 '!$L$12*(J693^2)+'CAFCO 400 '!$L$13*J693+'CAFCO 400 '!$L$14)*U693)+('CAFCO 400 '!$L$15*LN(J693)+'CAFCO 400 '!$L$16)),0)+IF(AND(L693="Cafco 400",M693="Software Idiem",C693="L"),((('CAFCO 400 '!$L$7*(J693^3)+'CAFCO 400 '!$L$8*(J693^2)+'CAFCO 400 '!$L$9*J693+'CAFCO 400 '!$L$10)*U693^2)+(('CAFCO 400 '!$L$11*(J693^3)+'CAFCO 400 '!$L$12*(J693^2)+'CAFCO 400 '!$L$13*J693+'CAFCO 400 '!$L$14)*U693)+('CAFCO 400 '!$L$15*LN(J693)+'CAFCO 400 '!$L$16)),0)+IF(AND(L693="Cafco 400",M693="Software Idiem",C693="IN",G693=3),((('CAFCO 400 '!$D$23*(J693^2)+'CAFCO 400 '!$D$24*(J693)+'CAFCO 400 '!$D$25)*U693^2)+(('CAFCO 400 '!$D$26*(J693^2)+'CAFCO 400 '!$D$27*J693+'CAFCO 400 '!$D$28)*U693)+('CAFCO 400 '!$D$29*(J693^2)+'CAFCO 400 '!$D$30*J693+'CAFCO 400 '!$D$31)),0),0)+IF(AND(L693="Cafco 300",J693&gt;=95,J693&lt;=240,C693="Cj",I693=90),VLOOKUP(T693,'CAFCO 300 IDIEM TABLAS'!$B$4:$D$23,2,FALSE),0)+IF(AND(L693="Cafco 300",J693&gt;=95,J693&lt;=240,C693="Cj",I693=120),VLOOKUP(T693,'CAFCO 300 IDIEM TABLAS'!$B$4:$D$23,3,FALSE),0)+IF(AND(L693="Cafco 300",J693&gt;=95,J693&lt;=400,G693=3,C693="IN",I693=90),VLOOKUP(T693,'CAFCO 300 IDIEM TABLAS'!$F$4:$H$35,2,FALSE),0)+IF(AND(L693="Cafco 300",J693&gt;=95,J693&lt;=400,G693=3,C693="IN",I693=120),VLOOKUP(T693,'CAFCO 300 IDIEM TABLAS'!$F$4:$H$35,3,FALSE),0)+IF(AND(L693="Cafco 300",J693&gt;=95,J693&lt;=450,G693=4,C693="IN",I693=90),VLOOKUP(T693,'CAFCO 300 IDIEM TABLAS'!$J$4:$L$40,2,FALSE),0)+IF(AND(L693="Cafco 300",J693&gt;=95,J693&lt;=450,G693=4,C693="IN",I693=120),VLOOKUP(T693,'CAFCO 300 IDIEM TABLAS'!$J$4:$L$40,3,FALSE),0)+IF(AND(M693="Ensayo Idiem",L693="Cafco 400",C693="IN",G693=4,I693=90),VLOOKUP(T693,'CAFCO 400 ENSAYO'!$B$7:$D$43,2,FALSE),0)+IF(AND(M693="Ensayo Idiem",L693="Cafco 400",C693="IN",G693=4,I693=120),VLOOKUP(T693,'CAFCO 400 ENSAYO'!$B$7:$D$43,3,FALSE),0)</f>
        <v>0</v>
      </c>
      <c r="O693" s="96">
        <f t="shared" si="72"/>
        <v>0</v>
      </c>
      <c r="P693" s="132" t="str">
        <f t="shared" si="73"/>
        <v>N/A</v>
      </c>
      <c r="Q693" s="132" t="str">
        <f t="shared" si="74"/>
        <v>N/A</v>
      </c>
      <c r="R693" s="132" t="str">
        <f t="shared" si="75"/>
        <v>NO CERT.</v>
      </c>
      <c r="S693" s="132" t="e">
        <f t="shared" si="76"/>
        <v>#N/A</v>
      </c>
      <c r="T693" s="133" t="e">
        <f>+IF(J693=LOOKUP(J693,'CAFCO 300 IDIEM TABLAS'!$J$4:$J$40),'CALCULO MORTERO'!J693,MROUND('CALCULO MORTERO'!J693,10))</f>
        <v>#N/A</v>
      </c>
      <c r="U693" s="134">
        <f t="shared" si="77"/>
        <v>0</v>
      </c>
    </row>
    <row r="694" spans="1:21" x14ac:dyDescent="0.25">
      <c r="A694" s="118">
        <f>+CUBICACION!D688</f>
        <v>0</v>
      </c>
      <c r="B694" s="819">
        <f>+CUBICACION!E688</f>
        <v>0</v>
      </c>
      <c r="C694" s="675">
        <f>+CUBICACION!F688</f>
        <v>0</v>
      </c>
      <c r="D694" s="118"/>
      <c r="E694" s="118"/>
      <c r="F694" s="820"/>
      <c r="G694" s="675">
        <f>+CUBICACION!J688</f>
        <v>0</v>
      </c>
      <c r="H694" s="118"/>
      <c r="I694" s="821">
        <f>+CUBICACION!L688</f>
        <v>0</v>
      </c>
      <c r="J694" s="64">
        <f>+CUBICACION!M688</f>
        <v>0</v>
      </c>
      <c r="K694" s="822" t="str">
        <f>+CUBICACION!N688</f>
        <v/>
      </c>
      <c r="L694" s="118">
        <f>+CUBICACION!O688</f>
        <v>0</v>
      </c>
      <c r="M694" s="823">
        <f>+CUBICACION!P688</f>
        <v>0</v>
      </c>
      <c r="N694" s="902">
        <f>ROUND(IF(AND(L694="Blaze Shield II",M694="Software Idiem",C694="IN",G694=4),((('BLAZE SHIELD II'!$D$4*('CALCULO MORTERO'!I694^2)+'BLAZE SHIELD II'!$D$5*'CALCULO MORTERO'!I694+'BLAZE SHIELD II'!$D$6)*LN(J694))+('BLAZE SHIELD II'!$D$7*('CALCULO MORTERO'!I694^2)+'BLAZE SHIELD II'!$D$8*'CALCULO MORTERO'!I694+'BLAZE SHIELD II'!$D$9)),0)+IF(AND(L694="Blaze Shield II",M694="Software Idiem",C694="Cj"),((('BLAZE SHIELD II'!$H$4*('CALCULO MORTERO'!I694^2)+'BLAZE SHIELD II'!$H$5*'CALCULO MORTERO'!I694+'BLAZE SHIELD II'!$H$6)*LN(J694))+('BLAZE SHIELD II'!$H$7*('CALCULO MORTERO'!I694^2)+'BLAZE SHIELD II'!$H$8*'CALCULO MORTERO'!I694+'BLAZE SHIELD II'!$H$9)),0)+IF(AND(L694="Blaze Shield II",M694="Software Idiem",C694="C"),((('BLAZE SHIELD II'!$L$4*('CALCULO MORTERO'!I694^2)+'BLAZE SHIELD II'!$L$5*'CALCULO MORTERO'!I694+'BLAZE SHIELD II'!$L$6)*LN(J694))+('BLAZE SHIELD II'!$L$7*('CALCULO MORTERO'!I694^2)+'BLAZE SHIELD II'!$L$8*'CALCULO MORTERO'!I694+'BLAZE SHIELD II'!$L$9)),0)+IF(AND(L694="Blaze Shield II",M694="Software Idiem",C694="L"),((('BLAZE SHIELD II'!$L$4*('CALCULO MORTERO'!I694^2)+'BLAZE SHIELD II'!$L$5*'CALCULO MORTERO'!I694+'BLAZE SHIELD II'!$L$6)*LN(J694))+('BLAZE SHIELD II'!$L$7*('CALCULO MORTERO'!I694^2)+'BLAZE SHIELD II'!$L$8*'CALCULO MORTERO'!I694+'BLAZE SHIELD II'!$L$9)),0)+IF(AND(L694="Blaze Shield II",M694="Software Idiem",C694="IN",G694=3),((('BLAZE SHIELD II'!$H$14*('CALCULO MORTERO'!I694^2)+'BLAZE SHIELD II'!$H$15*'CALCULO MORTERO'!I694+'BLAZE SHIELD II'!$H$16)*LN(J694))+('BLAZE SHIELD II'!$H$17*('CALCULO MORTERO'!I694^2)+'BLAZE SHIELD II'!$H$18*'CALCULO MORTERO'!I694+'BLAZE SHIELD II'!$H$19)),0),0)+ROUND(IF(AND(L694="Cafco 400",M694="Software Idiem",C694="IN",G694=4),((('CAFCO 400 '!$H$7*(J694^4)+'CAFCO 400 '!$H$8*(J694^3)+'CAFCO 400 '!$H$9*(J694^2)+'CAFCO 400 '!$H$10*J694+'CAFCO 400 '!$H$11)*U694^2)+(('CAFCO 400 '!$H$12*(J694^3)+'CAFCO 400 '!$H$13*(J694^2)+'CAFCO 400 '!$H$14*J694+'CAFCO 400 '!$H$15)*U694)+('CAFCO 400 '!$H$16*(J694^2)+'CAFCO 400 '!$H$17*J694+'CAFCO 400 '!$H$18)),0)+IF(AND(L694="Cafco 400",M694="Software Idiem",C694="Cj"),(((('CAFCO 400 '!$D$7*LN(J694)+'CAFCO 400 '!$D$8)*U694^2)+(('CAFCO 400 '!$D$9*LN(J694)+'CAFCO 400 '!$D$10)*U694)+('CAFCO 400 '!$D$11*LN(J694)+'CAFCO 400 '!$D$12))),0)+IF(AND(L694="Cafco 400",M694="Software Idiem",C694="C"),((('CAFCO 400 '!$L$7*(J694^3)+'CAFCO 400 '!$L$8*(J694^2)+'CAFCO 400 '!$L$9*J694+'CAFCO 400 '!$L$10)*U694^2)+(('CAFCO 400 '!$L$11*(J694^3)+'CAFCO 400 '!$L$12*(J694^2)+'CAFCO 400 '!$L$13*J694+'CAFCO 400 '!$L$14)*U694)+('CAFCO 400 '!$L$15*LN(J694)+'CAFCO 400 '!$L$16)),0)+IF(AND(L694="Cafco 400",M694="Software Idiem",C694="L"),((('CAFCO 400 '!$L$7*(J694^3)+'CAFCO 400 '!$L$8*(J694^2)+'CAFCO 400 '!$L$9*J694+'CAFCO 400 '!$L$10)*U694^2)+(('CAFCO 400 '!$L$11*(J694^3)+'CAFCO 400 '!$L$12*(J694^2)+'CAFCO 400 '!$L$13*J694+'CAFCO 400 '!$L$14)*U694)+('CAFCO 400 '!$L$15*LN(J694)+'CAFCO 400 '!$L$16)),0)+IF(AND(L694="Cafco 400",M694="Software Idiem",C694="IN",G694=3),((('CAFCO 400 '!$D$23*(J694^2)+'CAFCO 400 '!$D$24*(J694)+'CAFCO 400 '!$D$25)*U694^2)+(('CAFCO 400 '!$D$26*(J694^2)+'CAFCO 400 '!$D$27*J694+'CAFCO 400 '!$D$28)*U694)+('CAFCO 400 '!$D$29*(J694^2)+'CAFCO 400 '!$D$30*J694+'CAFCO 400 '!$D$31)),0),0)+IF(AND(L694="Cafco 300",J694&gt;=95,J694&lt;=240,C694="Cj",I694=90),VLOOKUP(T694,'CAFCO 300 IDIEM TABLAS'!$B$4:$D$23,2,FALSE),0)+IF(AND(L694="Cafco 300",J694&gt;=95,J694&lt;=240,C694="Cj",I694=120),VLOOKUP(T694,'CAFCO 300 IDIEM TABLAS'!$B$4:$D$23,3,FALSE),0)+IF(AND(L694="Cafco 300",J694&gt;=95,J694&lt;=400,G694=3,C694="IN",I694=90),VLOOKUP(T694,'CAFCO 300 IDIEM TABLAS'!$F$4:$H$35,2,FALSE),0)+IF(AND(L694="Cafco 300",J694&gt;=95,J694&lt;=400,G694=3,C694="IN",I694=120),VLOOKUP(T694,'CAFCO 300 IDIEM TABLAS'!$F$4:$H$35,3,FALSE),0)+IF(AND(L694="Cafco 300",J694&gt;=95,J694&lt;=450,G694=4,C694="IN",I694=90),VLOOKUP(T694,'CAFCO 300 IDIEM TABLAS'!$J$4:$L$40,2,FALSE),0)+IF(AND(L694="Cafco 300",J694&gt;=95,J694&lt;=450,G694=4,C694="IN",I694=120),VLOOKUP(T694,'CAFCO 300 IDIEM TABLAS'!$J$4:$L$40,3,FALSE),0)+IF(AND(M694="Ensayo Idiem",L694="Cafco 400",C694="IN",G694=4,I694=90),VLOOKUP(T694,'CAFCO 400 ENSAYO'!$B$7:$D$43,2,FALSE),0)+IF(AND(M694="Ensayo Idiem",L694="Cafco 400",C694="IN",G694=4,I694=120),VLOOKUP(T694,'CAFCO 400 ENSAYO'!$B$7:$D$43,3,FALSE),0)</f>
        <v>0</v>
      </c>
      <c r="O694" s="96">
        <f t="shared" si="72"/>
        <v>0</v>
      </c>
      <c r="P694" s="95" t="str">
        <f t="shared" si="73"/>
        <v>N/A</v>
      </c>
      <c r="Q694" s="95" t="str">
        <f t="shared" si="74"/>
        <v>N/A</v>
      </c>
      <c r="R694" s="95" t="str">
        <f t="shared" si="75"/>
        <v>NO CERT.</v>
      </c>
      <c r="S694" s="95" t="e">
        <f t="shared" si="76"/>
        <v>#N/A</v>
      </c>
      <c r="T694" s="119" t="e">
        <f>+IF(J694=LOOKUP(J694,'CAFCO 300 IDIEM TABLAS'!$J$4:$J$40),'CALCULO MORTERO'!J694,MROUND('CALCULO MORTERO'!J694,10))</f>
        <v>#N/A</v>
      </c>
      <c r="U694" s="118">
        <f t="shared" si="77"/>
        <v>0</v>
      </c>
    </row>
    <row r="695" spans="1:21" x14ac:dyDescent="0.25">
      <c r="A695" s="118">
        <f>+CUBICACION!D689</f>
        <v>0</v>
      </c>
      <c r="B695" s="819">
        <f>+CUBICACION!E689</f>
        <v>0</v>
      </c>
      <c r="C695" s="675">
        <f>+CUBICACION!F689</f>
        <v>0</v>
      </c>
      <c r="D695" s="118"/>
      <c r="E695" s="118"/>
      <c r="F695" s="820"/>
      <c r="G695" s="675">
        <f>+CUBICACION!J689</f>
        <v>0</v>
      </c>
      <c r="H695" s="118"/>
      <c r="I695" s="821">
        <f>+CUBICACION!L689</f>
        <v>0</v>
      </c>
      <c r="J695" s="64">
        <f>+CUBICACION!M689</f>
        <v>0</v>
      </c>
      <c r="K695" s="822" t="str">
        <f>+CUBICACION!N689</f>
        <v/>
      </c>
      <c r="L695" s="118">
        <f>+CUBICACION!O689</f>
        <v>0</v>
      </c>
      <c r="M695" s="823">
        <f>+CUBICACION!P689</f>
        <v>0</v>
      </c>
      <c r="N695" s="902">
        <f>ROUND(IF(AND(L695="Blaze Shield II",M695="Software Idiem",C695="IN",G695=4),((('BLAZE SHIELD II'!$D$4*('CALCULO MORTERO'!I695^2)+'BLAZE SHIELD II'!$D$5*'CALCULO MORTERO'!I695+'BLAZE SHIELD II'!$D$6)*LN(J695))+('BLAZE SHIELD II'!$D$7*('CALCULO MORTERO'!I695^2)+'BLAZE SHIELD II'!$D$8*'CALCULO MORTERO'!I695+'BLAZE SHIELD II'!$D$9)),0)+IF(AND(L695="Blaze Shield II",M695="Software Idiem",C695="Cj"),((('BLAZE SHIELD II'!$H$4*('CALCULO MORTERO'!I695^2)+'BLAZE SHIELD II'!$H$5*'CALCULO MORTERO'!I695+'BLAZE SHIELD II'!$H$6)*LN(J695))+('BLAZE SHIELD II'!$H$7*('CALCULO MORTERO'!I695^2)+'BLAZE SHIELD II'!$H$8*'CALCULO MORTERO'!I695+'BLAZE SHIELD II'!$H$9)),0)+IF(AND(L695="Blaze Shield II",M695="Software Idiem",C695="C"),((('BLAZE SHIELD II'!$L$4*('CALCULO MORTERO'!I695^2)+'BLAZE SHIELD II'!$L$5*'CALCULO MORTERO'!I695+'BLAZE SHIELD II'!$L$6)*LN(J695))+('BLAZE SHIELD II'!$L$7*('CALCULO MORTERO'!I695^2)+'BLAZE SHIELD II'!$L$8*'CALCULO MORTERO'!I695+'BLAZE SHIELD II'!$L$9)),0)+IF(AND(L695="Blaze Shield II",M695="Software Idiem",C695="L"),((('BLAZE SHIELD II'!$L$4*('CALCULO MORTERO'!I695^2)+'BLAZE SHIELD II'!$L$5*'CALCULO MORTERO'!I695+'BLAZE SHIELD II'!$L$6)*LN(J695))+('BLAZE SHIELD II'!$L$7*('CALCULO MORTERO'!I695^2)+'BLAZE SHIELD II'!$L$8*'CALCULO MORTERO'!I695+'BLAZE SHIELD II'!$L$9)),0)+IF(AND(L695="Blaze Shield II",M695="Software Idiem",C695="IN",G695=3),((('BLAZE SHIELD II'!$H$14*('CALCULO MORTERO'!I695^2)+'BLAZE SHIELD II'!$H$15*'CALCULO MORTERO'!I695+'BLAZE SHIELD II'!$H$16)*LN(J695))+('BLAZE SHIELD II'!$H$17*('CALCULO MORTERO'!I695^2)+'BLAZE SHIELD II'!$H$18*'CALCULO MORTERO'!I695+'BLAZE SHIELD II'!$H$19)),0),0)+ROUND(IF(AND(L695="Cafco 400",M695="Software Idiem",C695="IN",G695=4),((('CAFCO 400 '!$H$7*(J695^4)+'CAFCO 400 '!$H$8*(J695^3)+'CAFCO 400 '!$H$9*(J695^2)+'CAFCO 400 '!$H$10*J695+'CAFCO 400 '!$H$11)*U695^2)+(('CAFCO 400 '!$H$12*(J695^3)+'CAFCO 400 '!$H$13*(J695^2)+'CAFCO 400 '!$H$14*J695+'CAFCO 400 '!$H$15)*U695)+('CAFCO 400 '!$H$16*(J695^2)+'CAFCO 400 '!$H$17*J695+'CAFCO 400 '!$H$18)),0)+IF(AND(L695="Cafco 400",M695="Software Idiem",C695="Cj"),(((('CAFCO 400 '!$D$7*LN(J695)+'CAFCO 400 '!$D$8)*U695^2)+(('CAFCO 400 '!$D$9*LN(J695)+'CAFCO 400 '!$D$10)*U695)+('CAFCO 400 '!$D$11*LN(J695)+'CAFCO 400 '!$D$12))),0)+IF(AND(L695="Cafco 400",M695="Software Idiem",C695="C"),((('CAFCO 400 '!$L$7*(J695^3)+'CAFCO 400 '!$L$8*(J695^2)+'CAFCO 400 '!$L$9*J695+'CAFCO 400 '!$L$10)*U695^2)+(('CAFCO 400 '!$L$11*(J695^3)+'CAFCO 400 '!$L$12*(J695^2)+'CAFCO 400 '!$L$13*J695+'CAFCO 400 '!$L$14)*U695)+('CAFCO 400 '!$L$15*LN(J695)+'CAFCO 400 '!$L$16)),0)+IF(AND(L695="Cafco 400",M695="Software Idiem",C695="L"),((('CAFCO 400 '!$L$7*(J695^3)+'CAFCO 400 '!$L$8*(J695^2)+'CAFCO 400 '!$L$9*J695+'CAFCO 400 '!$L$10)*U695^2)+(('CAFCO 400 '!$L$11*(J695^3)+'CAFCO 400 '!$L$12*(J695^2)+'CAFCO 400 '!$L$13*J695+'CAFCO 400 '!$L$14)*U695)+('CAFCO 400 '!$L$15*LN(J695)+'CAFCO 400 '!$L$16)),0)+IF(AND(L695="Cafco 400",M695="Software Idiem",C695="IN",G695=3),((('CAFCO 400 '!$D$23*(J695^2)+'CAFCO 400 '!$D$24*(J695)+'CAFCO 400 '!$D$25)*U695^2)+(('CAFCO 400 '!$D$26*(J695^2)+'CAFCO 400 '!$D$27*J695+'CAFCO 400 '!$D$28)*U695)+('CAFCO 400 '!$D$29*(J695^2)+'CAFCO 400 '!$D$30*J695+'CAFCO 400 '!$D$31)),0),0)+IF(AND(L695="Cafco 300",J695&gt;=95,J695&lt;=240,C695="Cj",I695=90),VLOOKUP(T695,'CAFCO 300 IDIEM TABLAS'!$B$4:$D$23,2,FALSE),0)+IF(AND(L695="Cafco 300",J695&gt;=95,J695&lt;=240,C695="Cj",I695=120),VLOOKUP(T695,'CAFCO 300 IDIEM TABLAS'!$B$4:$D$23,3,FALSE),0)+IF(AND(L695="Cafco 300",J695&gt;=95,J695&lt;=400,G695=3,C695="IN",I695=90),VLOOKUP(T695,'CAFCO 300 IDIEM TABLAS'!$F$4:$H$35,2,FALSE),0)+IF(AND(L695="Cafco 300",J695&gt;=95,J695&lt;=400,G695=3,C695="IN",I695=120),VLOOKUP(T695,'CAFCO 300 IDIEM TABLAS'!$F$4:$H$35,3,FALSE),0)+IF(AND(L695="Cafco 300",J695&gt;=95,J695&lt;=450,G695=4,C695="IN",I695=90),VLOOKUP(T695,'CAFCO 300 IDIEM TABLAS'!$J$4:$L$40,2,FALSE),0)+IF(AND(L695="Cafco 300",J695&gt;=95,J695&lt;=450,G695=4,C695="IN",I695=120),VLOOKUP(T695,'CAFCO 300 IDIEM TABLAS'!$J$4:$L$40,3,FALSE),0)+IF(AND(M695="Ensayo Idiem",L695="Cafco 400",C695="IN",G695=4,I695=90),VLOOKUP(T695,'CAFCO 400 ENSAYO'!$B$7:$D$43,2,FALSE),0)+IF(AND(M695="Ensayo Idiem",L695="Cafco 400",C695="IN",G695=4,I695=120),VLOOKUP(T695,'CAFCO 400 ENSAYO'!$B$7:$D$43,3,FALSE),0)</f>
        <v>0</v>
      </c>
      <c r="O695" s="96">
        <f t="shared" si="72"/>
        <v>0</v>
      </c>
      <c r="P695" s="132" t="str">
        <f t="shared" si="73"/>
        <v>N/A</v>
      </c>
      <c r="Q695" s="132" t="str">
        <f t="shared" si="74"/>
        <v>N/A</v>
      </c>
      <c r="R695" s="132" t="str">
        <f t="shared" si="75"/>
        <v>NO CERT.</v>
      </c>
      <c r="S695" s="132" t="e">
        <f t="shared" si="76"/>
        <v>#N/A</v>
      </c>
      <c r="T695" s="133" t="e">
        <f>+IF(J695=LOOKUP(J695,'CAFCO 300 IDIEM TABLAS'!$J$4:$J$40),'CALCULO MORTERO'!J695,MROUND('CALCULO MORTERO'!J695,10))</f>
        <v>#N/A</v>
      </c>
      <c r="U695" s="134">
        <f t="shared" si="77"/>
        <v>0</v>
      </c>
    </row>
    <row r="696" spans="1:21" x14ac:dyDescent="0.25">
      <c r="A696" s="118">
        <f>+CUBICACION!D690</f>
        <v>0</v>
      </c>
      <c r="B696" s="819">
        <f>+CUBICACION!E690</f>
        <v>0</v>
      </c>
      <c r="C696" s="675">
        <f>+CUBICACION!F690</f>
        <v>0</v>
      </c>
      <c r="D696" s="118"/>
      <c r="E696" s="118"/>
      <c r="F696" s="820"/>
      <c r="G696" s="675">
        <f>+CUBICACION!J690</f>
        <v>0</v>
      </c>
      <c r="H696" s="118"/>
      <c r="I696" s="821">
        <f>+CUBICACION!L690</f>
        <v>0</v>
      </c>
      <c r="J696" s="64">
        <f>+CUBICACION!M690</f>
        <v>0</v>
      </c>
      <c r="K696" s="822" t="str">
        <f>+CUBICACION!N690</f>
        <v/>
      </c>
      <c r="L696" s="118">
        <f>+CUBICACION!O690</f>
        <v>0</v>
      </c>
      <c r="M696" s="823">
        <f>+CUBICACION!P690</f>
        <v>0</v>
      </c>
      <c r="N696" s="902">
        <f>ROUND(IF(AND(L696="Blaze Shield II",M696="Software Idiem",C696="IN",G696=4),((('BLAZE SHIELD II'!$D$4*('CALCULO MORTERO'!I696^2)+'BLAZE SHIELD II'!$D$5*'CALCULO MORTERO'!I696+'BLAZE SHIELD II'!$D$6)*LN(J696))+('BLAZE SHIELD II'!$D$7*('CALCULO MORTERO'!I696^2)+'BLAZE SHIELD II'!$D$8*'CALCULO MORTERO'!I696+'BLAZE SHIELD II'!$D$9)),0)+IF(AND(L696="Blaze Shield II",M696="Software Idiem",C696="Cj"),((('BLAZE SHIELD II'!$H$4*('CALCULO MORTERO'!I696^2)+'BLAZE SHIELD II'!$H$5*'CALCULO MORTERO'!I696+'BLAZE SHIELD II'!$H$6)*LN(J696))+('BLAZE SHIELD II'!$H$7*('CALCULO MORTERO'!I696^2)+'BLAZE SHIELD II'!$H$8*'CALCULO MORTERO'!I696+'BLAZE SHIELD II'!$H$9)),0)+IF(AND(L696="Blaze Shield II",M696="Software Idiem",C696="C"),((('BLAZE SHIELD II'!$L$4*('CALCULO MORTERO'!I696^2)+'BLAZE SHIELD II'!$L$5*'CALCULO MORTERO'!I696+'BLAZE SHIELD II'!$L$6)*LN(J696))+('BLAZE SHIELD II'!$L$7*('CALCULO MORTERO'!I696^2)+'BLAZE SHIELD II'!$L$8*'CALCULO MORTERO'!I696+'BLAZE SHIELD II'!$L$9)),0)+IF(AND(L696="Blaze Shield II",M696="Software Idiem",C696="L"),((('BLAZE SHIELD II'!$L$4*('CALCULO MORTERO'!I696^2)+'BLAZE SHIELD II'!$L$5*'CALCULO MORTERO'!I696+'BLAZE SHIELD II'!$L$6)*LN(J696))+('BLAZE SHIELD II'!$L$7*('CALCULO MORTERO'!I696^2)+'BLAZE SHIELD II'!$L$8*'CALCULO MORTERO'!I696+'BLAZE SHIELD II'!$L$9)),0)+IF(AND(L696="Blaze Shield II",M696="Software Idiem",C696="IN",G696=3),((('BLAZE SHIELD II'!$H$14*('CALCULO MORTERO'!I696^2)+'BLAZE SHIELD II'!$H$15*'CALCULO MORTERO'!I696+'BLAZE SHIELD II'!$H$16)*LN(J696))+('BLAZE SHIELD II'!$H$17*('CALCULO MORTERO'!I696^2)+'BLAZE SHIELD II'!$H$18*'CALCULO MORTERO'!I696+'BLAZE SHIELD II'!$H$19)),0),0)+ROUND(IF(AND(L696="Cafco 400",M696="Software Idiem",C696="IN",G696=4),((('CAFCO 400 '!$H$7*(J696^4)+'CAFCO 400 '!$H$8*(J696^3)+'CAFCO 400 '!$H$9*(J696^2)+'CAFCO 400 '!$H$10*J696+'CAFCO 400 '!$H$11)*U696^2)+(('CAFCO 400 '!$H$12*(J696^3)+'CAFCO 400 '!$H$13*(J696^2)+'CAFCO 400 '!$H$14*J696+'CAFCO 400 '!$H$15)*U696)+('CAFCO 400 '!$H$16*(J696^2)+'CAFCO 400 '!$H$17*J696+'CAFCO 400 '!$H$18)),0)+IF(AND(L696="Cafco 400",M696="Software Idiem",C696="Cj"),(((('CAFCO 400 '!$D$7*LN(J696)+'CAFCO 400 '!$D$8)*U696^2)+(('CAFCO 400 '!$D$9*LN(J696)+'CAFCO 400 '!$D$10)*U696)+('CAFCO 400 '!$D$11*LN(J696)+'CAFCO 400 '!$D$12))),0)+IF(AND(L696="Cafco 400",M696="Software Idiem",C696="C"),((('CAFCO 400 '!$L$7*(J696^3)+'CAFCO 400 '!$L$8*(J696^2)+'CAFCO 400 '!$L$9*J696+'CAFCO 400 '!$L$10)*U696^2)+(('CAFCO 400 '!$L$11*(J696^3)+'CAFCO 400 '!$L$12*(J696^2)+'CAFCO 400 '!$L$13*J696+'CAFCO 400 '!$L$14)*U696)+('CAFCO 400 '!$L$15*LN(J696)+'CAFCO 400 '!$L$16)),0)+IF(AND(L696="Cafco 400",M696="Software Idiem",C696="L"),((('CAFCO 400 '!$L$7*(J696^3)+'CAFCO 400 '!$L$8*(J696^2)+'CAFCO 400 '!$L$9*J696+'CAFCO 400 '!$L$10)*U696^2)+(('CAFCO 400 '!$L$11*(J696^3)+'CAFCO 400 '!$L$12*(J696^2)+'CAFCO 400 '!$L$13*J696+'CAFCO 400 '!$L$14)*U696)+('CAFCO 400 '!$L$15*LN(J696)+'CAFCO 400 '!$L$16)),0)+IF(AND(L696="Cafco 400",M696="Software Idiem",C696="IN",G696=3),((('CAFCO 400 '!$D$23*(J696^2)+'CAFCO 400 '!$D$24*(J696)+'CAFCO 400 '!$D$25)*U696^2)+(('CAFCO 400 '!$D$26*(J696^2)+'CAFCO 400 '!$D$27*J696+'CAFCO 400 '!$D$28)*U696)+('CAFCO 400 '!$D$29*(J696^2)+'CAFCO 400 '!$D$30*J696+'CAFCO 400 '!$D$31)),0),0)+IF(AND(L696="Cafco 300",J696&gt;=95,J696&lt;=240,C696="Cj",I696=90),VLOOKUP(T696,'CAFCO 300 IDIEM TABLAS'!$B$4:$D$23,2,FALSE),0)+IF(AND(L696="Cafco 300",J696&gt;=95,J696&lt;=240,C696="Cj",I696=120),VLOOKUP(T696,'CAFCO 300 IDIEM TABLAS'!$B$4:$D$23,3,FALSE),0)+IF(AND(L696="Cafco 300",J696&gt;=95,J696&lt;=400,G696=3,C696="IN",I696=90),VLOOKUP(T696,'CAFCO 300 IDIEM TABLAS'!$F$4:$H$35,2,FALSE),0)+IF(AND(L696="Cafco 300",J696&gt;=95,J696&lt;=400,G696=3,C696="IN",I696=120),VLOOKUP(T696,'CAFCO 300 IDIEM TABLAS'!$F$4:$H$35,3,FALSE),0)+IF(AND(L696="Cafco 300",J696&gt;=95,J696&lt;=450,G696=4,C696="IN",I696=90),VLOOKUP(T696,'CAFCO 300 IDIEM TABLAS'!$J$4:$L$40,2,FALSE),0)+IF(AND(L696="Cafco 300",J696&gt;=95,J696&lt;=450,G696=4,C696="IN",I696=120),VLOOKUP(T696,'CAFCO 300 IDIEM TABLAS'!$J$4:$L$40,3,FALSE),0)+IF(AND(M696="Ensayo Idiem",L696="Cafco 400",C696="IN",G696=4,I696=90),VLOOKUP(T696,'CAFCO 400 ENSAYO'!$B$7:$D$43,2,FALSE),0)+IF(AND(M696="Ensayo Idiem",L696="Cafco 400",C696="IN",G696=4,I696=120),VLOOKUP(T696,'CAFCO 400 ENSAYO'!$B$7:$D$43,3,FALSE),0)</f>
        <v>0</v>
      </c>
      <c r="O696" s="96">
        <f t="shared" si="72"/>
        <v>0</v>
      </c>
      <c r="P696" s="95" t="str">
        <f t="shared" si="73"/>
        <v>N/A</v>
      </c>
      <c r="Q696" s="95" t="str">
        <f t="shared" si="74"/>
        <v>N/A</v>
      </c>
      <c r="R696" s="95" t="str">
        <f t="shared" si="75"/>
        <v>NO CERT.</v>
      </c>
      <c r="S696" s="95" t="e">
        <f t="shared" si="76"/>
        <v>#N/A</v>
      </c>
      <c r="T696" s="119" t="e">
        <f>+IF(J696=LOOKUP(J696,'CAFCO 300 IDIEM TABLAS'!$J$4:$J$40),'CALCULO MORTERO'!J696,MROUND('CALCULO MORTERO'!J696,10))</f>
        <v>#N/A</v>
      </c>
      <c r="U696" s="118">
        <f t="shared" si="77"/>
        <v>0</v>
      </c>
    </row>
    <row r="697" spans="1:21" x14ac:dyDescent="0.25">
      <c r="A697" s="118">
        <f>+CUBICACION!D691</f>
        <v>0</v>
      </c>
      <c r="B697" s="819">
        <f>+CUBICACION!E691</f>
        <v>0</v>
      </c>
      <c r="C697" s="675">
        <f>+CUBICACION!F691</f>
        <v>0</v>
      </c>
      <c r="D697" s="118"/>
      <c r="E697" s="118"/>
      <c r="F697" s="820"/>
      <c r="G697" s="675">
        <f>+CUBICACION!J691</f>
        <v>0</v>
      </c>
      <c r="H697" s="118"/>
      <c r="I697" s="821">
        <f>+CUBICACION!L691</f>
        <v>0</v>
      </c>
      <c r="J697" s="64">
        <f>+CUBICACION!M691</f>
        <v>0</v>
      </c>
      <c r="K697" s="822" t="str">
        <f>+CUBICACION!N691</f>
        <v/>
      </c>
      <c r="L697" s="118">
        <f>+CUBICACION!O691</f>
        <v>0</v>
      </c>
      <c r="M697" s="823">
        <f>+CUBICACION!P691</f>
        <v>0</v>
      </c>
      <c r="N697" s="902">
        <f>ROUND(IF(AND(L697="Blaze Shield II",M697="Software Idiem",C697="IN",G697=4),((('BLAZE SHIELD II'!$D$4*('CALCULO MORTERO'!I697^2)+'BLAZE SHIELD II'!$D$5*'CALCULO MORTERO'!I697+'BLAZE SHIELD II'!$D$6)*LN(J697))+('BLAZE SHIELD II'!$D$7*('CALCULO MORTERO'!I697^2)+'BLAZE SHIELD II'!$D$8*'CALCULO MORTERO'!I697+'BLAZE SHIELD II'!$D$9)),0)+IF(AND(L697="Blaze Shield II",M697="Software Idiem",C697="Cj"),((('BLAZE SHIELD II'!$H$4*('CALCULO MORTERO'!I697^2)+'BLAZE SHIELD II'!$H$5*'CALCULO MORTERO'!I697+'BLAZE SHIELD II'!$H$6)*LN(J697))+('BLAZE SHIELD II'!$H$7*('CALCULO MORTERO'!I697^2)+'BLAZE SHIELD II'!$H$8*'CALCULO MORTERO'!I697+'BLAZE SHIELD II'!$H$9)),0)+IF(AND(L697="Blaze Shield II",M697="Software Idiem",C697="C"),((('BLAZE SHIELD II'!$L$4*('CALCULO MORTERO'!I697^2)+'BLAZE SHIELD II'!$L$5*'CALCULO MORTERO'!I697+'BLAZE SHIELD II'!$L$6)*LN(J697))+('BLAZE SHIELD II'!$L$7*('CALCULO MORTERO'!I697^2)+'BLAZE SHIELD II'!$L$8*'CALCULO MORTERO'!I697+'BLAZE SHIELD II'!$L$9)),0)+IF(AND(L697="Blaze Shield II",M697="Software Idiem",C697="L"),((('BLAZE SHIELD II'!$L$4*('CALCULO MORTERO'!I697^2)+'BLAZE SHIELD II'!$L$5*'CALCULO MORTERO'!I697+'BLAZE SHIELD II'!$L$6)*LN(J697))+('BLAZE SHIELD II'!$L$7*('CALCULO MORTERO'!I697^2)+'BLAZE SHIELD II'!$L$8*'CALCULO MORTERO'!I697+'BLAZE SHIELD II'!$L$9)),0)+IF(AND(L697="Blaze Shield II",M697="Software Idiem",C697="IN",G697=3),((('BLAZE SHIELD II'!$H$14*('CALCULO MORTERO'!I697^2)+'BLAZE SHIELD II'!$H$15*'CALCULO MORTERO'!I697+'BLAZE SHIELD II'!$H$16)*LN(J697))+('BLAZE SHIELD II'!$H$17*('CALCULO MORTERO'!I697^2)+'BLAZE SHIELD II'!$H$18*'CALCULO MORTERO'!I697+'BLAZE SHIELD II'!$H$19)),0),0)+ROUND(IF(AND(L697="Cafco 400",M697="Software Idiem",C697="IN",G697=4),((('CAFCO 400 '!$H$7*(J697^4)+'CAFCO 400 '!$H$8*(J697^3)+'CAFCO 400 '!$H$9*(J697^2)+'CAFCO 400 '!$H$10*J697+'CAFCO 400 '!$H$11)*U697^2)+(('CAFCO 400 '!$H$12*(J697^3)+'CAFCO 400 '!$H$13*(J697^2)+'CAFCO 400 '!$H$14*J697+'CAFCO 400 '!$H$15)*U697)+('CAFCO 400 '!$H$16*(J697^2)+'CAFCO 400 '!$H$17*J697+'CAFCO 400 '!$H$18)),0)+IF(AND(L697="Cafco 400",M697="Software Idiem",C697="Cj"),(((('CAFCO 400 '!$D$7*LN(J697)+'CAFCO 400 '!$D$8)*U697^2)+(('CAFCO 400 '!$D$9*LN(J697)+'CAFCO 400 '!$D$10)*U697)+('CAFCO 400 '!$D$11*LN(J697)+'CAFCO 400 '!$D$12))),0)+IF(AND(L697="Cafco 400",M697="Software Idiem",C697="C"),((('CAFCO 400 '!$L$7*(J697^3)+'CAFCO 400 '!$L$8*(J697^2)+'CAFCO 400 '!$L$9*J697+'CAFCO 400 '!$L$10)*U697^2)+(('CAFCO 400 '!$L$11*(J697^3)+'CAFCO 400 '!$L$12*(J697^2)+'CAFCO 400 '!$L$13*J697+'CAFCO 400 '!$L$14)*U697)+('CAFCO 400 '!$L$15*LN(J697)+'CAFCO 400 '!$L$16)),0)+IF(AND(L697="Cafco 400",M697="Software Idiem",C697="L"),((('CAFCO 400 '!$L$7*(J697^3)+'CAFCO 400 '!$L$8*(J697^2)+'CAFCO 400 '!$L$9*J697+'CAFCO 400 '!$L$10)*U697^2)+(('CAFCO 400 '!$L$11*(J697^3)+'CAFCO 400 '!$L$12*(J697^2)+'CAFCO 400 '!$L$13*J697+'CAFCO 400 '!$L$14)*U697)+('CAFCO 400 '!$L$15*LN(J697)+'CAFCO 400 '!$L$16)),0)+IF(AND(L697="Cafco 400",M697="Software Idiem",C697="IN",G697=3),((('CAFCO 400 '!$D$23*(J697^2)+'CAFCO 400 '!$D$24*(J697)+'CAFCO 400 '!$D$25)*U697^2)+(('CAFCO 400 '!$D$26*(J697^2)+'CAFCO 400 '!$D$27*J697+'CAFCO 400 '!$D$28)*U697)+('CAFCO 400 '!$D$29*(J697^2)+'CAFCO 400 '!$D$30*J697+'CAFCO 400 '!$D$31)),0),0)+IF(AND(L697="Cafco 300",J697&gt;=95,J697&lt;=240,C697="Cj",I697=90),VLOOKUP(T697,'CAFCO 300 IDIEM TABLAS'!$B$4:$D$23,2,FALSE),0)+IF(AND(L697="Cafco 300",J697&gt;=95,J697&lt;=240,C697="Cj",I697=120),VLOOKUP(T697,'CAFCO 300 IDIEM TABLAS'!$B$4:$D$23,3,FALSE),0)+IF(AND(L697="Cafco 300",J697&gt;=95,J697&lt;=400,G697=3,C697="IN",I697=90),VLOOKUP(T697,'CAFCO 300 IDIEM TABLAS'!$F$4:$H$35,2,FALSE),0)+IF(AND(L697="Cafco 300",J697&gt;=95,J697&lt;=400,G697=3,C697="IN",I697=120),VLOOKUP(T697,'CAFCO 300 IDIEM TABLAS'!$F$4:$H$35,3,FALSE),0)+IF(AND(L697="Cafco 300",J697&gt;=95,J697&lt;=450,G697=4,C697="IN",I697=90),VLOOKUP(T697,'CAFCO 300 IDIEM TABLAS'!$J$4:$L$40,2,FALSE),0)+IF(AND(L697="Cafco 300",J697&gt;=95,J697&lt;=450,G697=4,C697="IN",I697=120),VLOOKUP(T697,'CAFCO 300 IDIEM TABLAS'!$J$4:$L$40,3,FALSE),0)+IF(AND(M697="Ensayo Idiem",L697="Cafco 400",C697="IN",G697=4,I697=90),VLOOKUP(T697,'CAFCO 400 ENSAYO'!$B$7:$D$43,2,FALSE),0)+IF(AND(M697="Ensayo Idiem",L697="Cafco 400",C697="IN",G697=4,I697=120),VLOOKUP(T697,'CAFCO 400 ENSAYO'!$B$7:$D$43,3,FALSE),0)</f>
        <v>0</v>
      </c>
      <c r="O697" s="96">
        <f t="shared" si="72"/>
        <v>0</v>
      </c>
      <c r="P697" s="132" t="str">
        <f t="shared" si="73"/>
        <v>N/A</v>
      </c>
      <c r="Q697" s="132" t="str">
        <f t="shared" si="74"/>
        <v>N/A</v>
      </c>
      <c r="R697" s="132" t="str">
        <f t="shared" si="75"/>
        <v>NO CERT.</v>
      </c>
      <c r="S697" s="132" t="e">
        <f t="shared" si="76"/>
        <v>#N/A</v>
      </c>
      <c r="T697" s="133" t="e">
        <f>+IF(J697=LOOKUP(J697,'CAFCO 300 IDIEM TABLAS'!$J$4:$J$40),'CALCULO MORTERO'!J697,MROUND('CALCULO MORTERO'!J697,10))</f>
        <v>#N/A</v>
      </c>
      <c r="U697" s="134">
        <f t="shared" si="77"/>
        <v>0</v>
      </c>
    </row>
    <row r="698" spans="1:21" x14ac:dyDescent="0.25">
      <c r="A698" s="118">
        <f>+CUBICACION!D692</f>
        <v>0</v>
      </c>
      <c r="B698" s="819">
        <f>+CUBICACION!E692</f>
        <v>0</v>
      </c>
      <c r="C698" s="675">
        <f>+CUBICACION!F692</f>
        <v>0</v>
      </c>
      <c r="D698" s="118"/>
      <c r="E698" s="118"/>
      <c r="F698" s="820"/>
      <c r="G698" s="675">
        <f>+CUBICACION!J692</f>
        <v>0</v>
      </c>
      <c r="H698" s="118"/>
      <c r="I698" s="821">
        <f>+CUBICACION!L692</f>
        <v>0</v>
      </c>
      <c r="J698" s="64">
        <f>+CUBICACION!M692</f>
        <v>0</v>
      </c>
      <c r="K698" s="822" t="str">
        <f>+CUBICACION!N692</f>
        <v/>
      </c>
      <c r="L698" s="118">
        <f>+CUBICACION!O692</f>
        <v>0</v>
      </c>
      <c r="M698" s="823">
        <f>+CUBICACION!P692</f>
        <v>0</v>
      </c>
      <c r="N698" s="902">
        <f>ROUND(IF(AND(L698="Blaze Shield II",M698="Software Idiem",C698="IN",G698=4),((('BLAZE SHIELD II'!$D$4*('CALCULO MORTERO'!I698^2)+'BLAZE SHIELD II'!$D$5*'CALCULO MORTERO'!I698+'BLAZE SHIELD II'!$D$6)*LN(J698))+('BLAZE SHIELD II'!$D$7*('CALCULO MORTERO'!I698^2)+'BLAZE SHIELD II'!$D$8*'CALCULO MORTERO'!I698+'BLAZE SHIELD II'!$D$9)),0)+IF(AND(L698="Blaze Shield II",M698="Software Idiem",C698="Cj"),((('BLAZE SHIELD II'!$H$4*('CALCULO MORTERO'!I698^2)+'BLAZE SHIELD II'!$H$5*'CALCULO MORTERO'!I698+'BLAZE SHIELD II'!$H$6)*LN(J698))+('BLAZE SHIELD II'!$H$7*('CALCULO MORTERO'!I698^2)+'BLAZE SHIELD II'!$H$8*'CALCULO MORTERO'!I698+'BLAZE SHIELD II'!$H$9)),0)+IF(AND(L698="Blaze Shield II",M698="Software Idiem",C698="C"),((('BLAZE SHIELD II'!$L$4*('CALCULO MORTERO'!I698^2)+'BLAZE SHIELD II'!$L$5*'CALCULO MORTERO'!I698+'BLAZE SHIELD II'!$L$6)*LN(J698))+('BLAZE SHIELD II'!$L$7*('CALCULO MORTERO'!I698^2)+'BLAZE SHIELD II'!$L$8*'CALCULO MORTERO'!I698+'BLAZE SHIELD II'!$L$9)),0)+IF(AND(L698="Blaze Shield II",M698="Software Idiem",C698="L"),((('BLAZE SHIELD II'!$L$4*('CALCULO MORTERO'!I698^2)+'BLAZE SHIELD II'!$L$5*'CALCULO MORTERO'!I698+'BLAZE SHIELD II'!$L$6)*LN(J698))+('BLAZE SHIELD II'!$L$7*('CALCULO MORTERO'!I698^2)+'BLAZE SHIELD II'!$L$8*'CALCULO MORTERO'!I698+'BLAZE SHIELD II'!$L$9)),0)+IF(AND(L698="Blaze Shield II",M698="Software Idiem",C698="IN",G698=3),((('BLAZE SHIELD II'!$H$14*('CALCULO MORTERO'!I698^2)+'BLAZE SHIELD II'!$H$15*'CALCULO MORTERO'!I698+'BLAZE SHIELD II'!$H$16)*LN(J698))+('BLAZE SHIELD II'!$H$17*('CALCULO MORTERO'!I698^2)+'BLAZE SHIELD II'!$H$18*'CALCULO MORTERO'!I698+'BLAZE SHIELD II'!$H$19)),0),0)+ROUND(IF(AND(L698="Cafco 400",M698="Software Idiem",C698="IN",G698=4),((('CAFCO 400 '!$H$7*(J698^4)+'CAFCO 400 '!$H$8*(J698^3)+'CAFCO 400 '!$H$9*(J698^2)+'CAFCO 400 '!$H$10*J698+'CAFCO 400 '!$H$11)*U698^2)+(('CAFCO 400 '!$H$12*(J698^3)+'CAFCO 400 '!$H$13*(J698^2)+'CAFCO 400 '!$H$14*J698+'CAFCO 400 '!$H$15)*U698)+('CAFCO 400 '!$H$16*(J698^2)+'CAFCO 400 '!$H$17*J698+'CAFCO 400 '!$H$18)),0)+IF(AND(L698="Cafco 400",M698="Software Idiem",C698="Cj"),(((('CAFCO 400 '!$D$7*LN(J698)+'CAFCO 400 '!$D$8)*U698^2)+(('CAFCO 400 '!$D$9*LN(J698)+'CAFCO 400 '!$D$10)*U698)+('CAFCO 400 '!$D$11*LN(J698)+'CAFCO 400 '!$D$12))),0)+IF(AND(L698="Cafco 400",M698="Software Idiem",C698="C"),((('CAFCO 400 '!$L$7*(J698^3)+'CAFCO 400 '!$L$8*(J698^2)+'CAFCO 400 '!$L$9*J698+'CAFCO 400 '!$L$10)*U698^2)+(('CAFCO 400 '!$L$11*(J698^3)+'CAFCO 400 '!$L$12*(J698^2)+'CAFCO 400 '!$L$13*J698+'CAFCO 400 '!$L$14)*U698)+('CAFCO 400 '!$L$15*LN(J698)+'CAFCO 400 '!$L$16)),0)+IF(AND(L698="Cafco 400",M698="Software Idiem",C698="L"),((('CAFCO 400 '!$L$7*(J698^3)+'CAFCO 400 '!$L$8*(J698^2)+'CAFCO 400 '!$L$9*J698+'CAFCO 400 '!$L$10)*U698^2)+(('CAFCO 400 '!$L$11*(J698^3)+'CAFCO 400 '!$L$12*(J698^2)+'CAFCO 400 '!$L$13*J698+'CAFCO 400 '!$L$14)*U698)+('CAFCO 400 '!$L$15*LN(J698)+'CAFCO 400 '!$L$16)),0)+IF(AND(L698="Cafco 400",M698="Software Idiem",C698="IN",G698=3),((('CAFCO 400 '!$D$23*(J698^2)+'CAFCO 400 '!$D$24*(J698)+'CAFCO 400 '!$D$25)*U698^2)+(('CAFCO 400 '!$D$26*(J698^2)+'CAFCO 400 '!$D$27*J698+'CAFCO 400 '!$D$28)*U698)+('CAFCO 400 '!$D$29*(J698^2)+'CAFCO 400 '!$D$30*J698+'CAFCO 400 '!$D$31)),0),0)+IF(AND(L698="Cafco 300",J698&gt;=95,J698&lt;=240,C698="Cj",I698=90),VLOOKUP(T698,'CAFCO 300 IDIEM TABLAS'!$B$4:$D$23,2,FALSE),0)+IF(AND(L698="Cafco 300",J698&gt;=95,J698&lt;=240,C698="Cj",I698=120),VLOOKUP(T698,'CAFCO 300 IDIEM TABLAS'!$B$4:$D$23,3,FALSE),0)+IF(AND(L698="Cafco 300",J698&gt;=95,J698&lt;=400,G698=3,C698="IN",I698=90),VLOOKUP(T698,'CAFCO 300 IDIEM TABLAS'!$F$4:$H$35,2,FALSE),0)+IF(AND(L698="Cafco 300",J698&gt;=95,J698&lt;=400,G698=3,C698="IN",I698=120),VLOOKUP(T698,'CAFCO 300 IDIEM TABLAS'!$F$4:$H$35,3,FALSE),0)+IF(AND(L698="Cafco 300",J698&gt;=95,J698&lt;=450,G698=4,C698="IN",I698=90),VLOOKUP(T698,'CAFCO 300 IDIEM TABLAS'!$J$4:$L$40,2,FALSE),0)+IF(AND(L698="Cafco 300",J698&gt;=95,J698&lt;=450,G698=4,C698="IN",I698=120),VLOOKUP(T698,'CAFCO 300 IDIEM TABLAS'!$J$4:$L$40,3,FALSE),0)+IF(AND(M698="Ensayo Idiem",L698="Cafco 400",C698="IN",G698=4,I698=90),VLOOKUP(T698,'CAFCO 400 ENSAYO'!$B$7:$D$43,2,FALSE),0)+IF(AND(M698="Ensayo Idiem",L698="Cafco 400",C698="IN",G698=4,I698=120),VLOOKUP(T698,'CAFCO 400 ENSAYO'!$B$7:$D$43,3,FALSE),0)</f>
        <v>0</v>
      </c>
      <c r="O698" s="96">
        <f t="shared" si="72"/>
        <v>0</v>
      </c>
      <c r="P698" s="95" t="str">
        <f t="shared" si="73"/>
        <v>N/A</v>
      </c>
      <c r="Q698" s="95" t="str">
        <f t="shared" si="74"/>
        <v>N/A</v>
      </c>
      <c r="R698" s="95" t="str">
        <f t="shared" si="75"/>
        <v>NO CERT.</v>
      </c>
      <c r="S698" s="95" t="e">
        <f t="shared" si="76"/>
        <v>#N/A</v>
      </c>
      <c r="T698" s="119" t="e">
        <f>+IF(J698=LOOKUP(J698,'CAFCO 300 IDIEM TABLAS'!$J$4:$J$40),'CALCULO MORTERO'!J698,MROUND('CALCULO MORTERO'!J698,10))</f>
        <v>#N/A</v>
      </c>
      <c r="U698" s="118">
        <f t="shared" si="77"/>
        <v>0</v>
      </c>
    </row>
    <row r="699" spans="1:21" x14ac:dyDescent="0.25">
      <c r="A699" s="118">
        <f>+CUBICACION!D693</f>
        <v>0</v>
      </c>
      <c r="B699" s="819">
        <f>+CUBICACION!E693</f>
        <v>0</v>
      </c>
      <c r="C699" s="675">
        <f>+CUBICACION!F693</f>
        <v>0</v>
      </c>
      <c r="D699" s="118"/>
      <c r="E699" s="118"/>
      <c r="F699" s="820"/>
      <c r="G699" s="675">
        <f>+CUBICACION!J693</f>
        <v>0</v>
      </c>
      <c r="H699" s="118"/>
      <c r="I699" s="821">
        <f>+CUBICACION!L693</f>
        <v>0</v>
      </c>
      <c r="J699" s="64">
        <f>+CUBICACION!M693</f>
        <v>0</v>
      </c>
      <c r="K699" s="822" t="str">
        <f>+CUBICACION!N693</f>
        <v/>
      </c>
      <c r="L699" s="118">
        <f>+CUBICACION!O693</f>
        <v>0</v>
      </c>
      <c r="M699" s="823">
        <f>+CUBICACION!P693</f>
        <v>0</v>
      </c>
      <c r="N699" s="902">
        <f>ROUND(IF(AND(L699="Blaze Shield II",M699="Software Idiem",C699="IN",G699=4),((('BLAZE SHIELD II'!$D$4*('CALCULO MORTERO'!I699^2)+'BLAZE SHIELD II'!$D$5*'CALCULO MORTERO'!I699+'BLAZE SHIELD II'!$D$6)*LN(J699))+('BLAZE SHIELD II'!$D$7*('CALCULO MORTERO'!I699^2)+'BLAZE SHIELD II'!$D$8*'CALCULO MORTERO'!I699+'BLAZE SHIELD II'!$D$9)),0)+IF(AND(L699="Blaze Shield II",M699="Software Idiem",C699="Cj"),((('BLAZE SHIELD II'!$H$4*('CALCULO MORTERO'!I699^2)+'BLAZE SHIELD II'!$H$5*'CALCULO MORTERO'!I699+'BLAZE SHIELD II'!$H$6)*LN(J699))+('BLAZE SHIELD II'!$H$7*('CALCULO MORTERO'!I699^2)+'BLAZE SHIELD II'!$H$8*'CALCULO MORTERO'!I699+'BLAZE SHIELD II'!$H$9)),0)+IF(AND(L699="Blaze Shield II",M699="Software Idiem",C699="C"),((('BLAZE SHIELD II'!$L$4*('CALCULO MORTERO'!I699^2)+'BLAZE SHIELD II'!$L$5*'CALCULO MORTERO'!I699+'BLAZE SHIELD II'!$L$6)*LN(J699))+('BLAZE SHIELD II'!$L$7*('CALCULO MORTERO'!I699^2)+'BLAZE SHIELD II'!$L$8*'CALCULO MORTERO'!I699+'BLAZE SHIELD II'!$L$9)),0)+IF(AND(L699="Blaze Shield II",M699="Software Idiem",C699="L"),((('BLAZE SHIELD II'!$L$4*('CALCULO MORTERO'!I699^2)+'BLAZE SHIELD II'!$L$5*'CALCULO MORTERO'!I699+'BLAZE SHIELD II'!$L$6)*LN(J699))+('BLAZE SHIELD II'!$L$7*('CALCULO MORTERO'!I699^2)+'BLAZE SHIELD II'!$L$8*'CALCULO MORTERO'!I699+'BLAZE SHIELD II'!$L$9)),0)+IF(AND(L699="Blaze Shield II",M699="Software Idiem",C699="IN",G699=3),((('BLAZE SHIELD II'!$H$14*('CALCULO MORTERO'!I699^2)+'BLAZE SHIELD II'!$H$15*'CALCULO MORTERO'!I699+'BLAZE SHIELD II'!$H$16)*LN(J699))+('BLAZE SHIELD II'!$H$17*('CALCULO MORTERO'!I699^2)+'BLAZE SHIELD II'!$H$18*'CALCULO MORTERO'!I699+'BLAZE SHIELD II'!$H$19)),0),0)+ROUND(IF(AND(L699="Cafco 400",M699="Software Idiem",C699="IN",G699=4),((('CAFCO 400 '!$H$7*(J699^4)+'CAFCO 400 '!$H$8*(J699^3)+'CAFCO 400 '!$H$9*(J699^2)+'CAFCO 400 '!$H$10*J699+'CAFCO 400 '!$H$11)*U699^2)+(('CAFCO 400 '!$H$12*(J699^3)+'CAFCO 400 '!$H$13*(J699^2)+'CAFCO 400 '!$H$14*J699+'CAFCO 400 '!$H$15)*U699)+('CAFCO 400 '!$H$16*(J699^2)+'CAFCO 400 '!$H$17*J699+'CAFCO 400 '!$H$18)),0)+IF(AND(L699="Cafco 400",M699="Software Idiem",C699="Cj"),(((('CAFCO 400 '!$D$7*LN(J699)+'CAFCO 400 '!$D$8)*U699^2)+(('CAFCO 400 '!$D$9*LN(J699)+'CAFCO 400 '!$D$10)*U699)+('CAFCO 400 '!$D$11*LN(J699)+'CAFCO 400 '!$D$12))),0)+IF(AND(L699="Cafco 400",M699="Software Idiem",C699="C"),((('CAFCO 400 '!$L$7*(J699^3)+'CAFCO 400 '!$L$8*(J699^2)+'CAFCO 400 '!$L$9*J699+'CAFCO 400 '!$L$10)*U699^2)+(('CAFCO 400 '!$L$11*(J699^3)+'CAFCO 400 '!$L$12*(J699^2)+'CAFCO 400 '!$L$13*J699+'CAFCO 400 '!$L$14)*U699)+('CAFCO 400 '!$L$15*LN(J699)+'CAFCO 400 '!$L$16)),0)+IF(AND(L699="Cafco 400",M699="Software Idiem",C699="L"),((('CAFCO 400 '!$L$7*(J699^3)+'CAFCO 400 '!$L$8*(J699^2)+'CAFCO 400 '!$L$9*J699+'CAFCO 400 '!$L$10)*U699^2)+(('CAFCO 400 '!$L$11*(J699^3)+'CAFCO 400 '!$L$12*(J699^2)+'CAFCO 400 '!$L$13*J699+'CAFCO 400 '!$L$14)*U699)+('CAFCO 400 '!$L$15*LN(J699)+'CAFCO 400 '!$L$16)),0)+IF(AND(L699="Cafco 400",M699="Software Idiem",C699="IN",G699=3),((('CAFCO 400 '!$D$23*(J699^2)+'CAFCO 400 '!$D$24*(J699)+'CAFCO 400 '!$D$25)*U699^2)+(('CAFCO 400 '!$D$26*(J699^2)+'CAFCO 400 '!$D$27*J699+'CAFCO 400 '!$D$28)*U699)+('CAFCO 400 '!$D$29*(J699^2)+'CAFCO 400 '!$D$30*J699+'CAFCO 400 '!$D$31)),0),0)+IF(AND(L699="Cafco 300",J699&gt;=95,J699&lt;=240,C699="Cj",I699=90),VLOOKUP(T699,'CAFCO 300 IDIEM TABLAS'!$B$4:$D$23,2,FALSE),0)+IF(AND(L699="Cafco 300",J699&gt;=95,J699&lt;=240,C699="Cj",I699=120),VLOOKUP(T699,'CAFCO 300 IDIEM TABLAS'!$B$4:$D$23,3,FALSE),0)+IF(AND(L699="Cafco 300",J699&gt;=95,J699&lt;=400,G699=3,C699="IN",I699=90),VLOOKUP(T699,'CAFCO 300 IDIEM TABLAS'!$F$4:$H$35,2,FALSE),0)+IF(AND(L699="Cafco 300",J699&gt;=95,J699&lt;=400,G699=3,C699="IN",I699=120),VLOOKUP(T699,'CAFCO 300 IDIEM TABLAS'!$F$4:$H$35,3,FALSE),0)+IF(AND(L699="Cafco 300",J699&gt;=95,J699&lt;=450,G699=4,C699="IN",I699=90),VLOOKUP(T699,'CAFCO 300 IDIEM TABLAS'!$J$4:$L$40,2,FALSE),0)+IF(AND(L699="Cafco 300",J699&gt;=95,J699&lt;=450,G699=4,C699="IN",I699=120),VLOOKUP(T699,'CAFCO 300 IDIEM TABLAS'!$J$4:$L$40,3,FALSE),0)+IF(AND(M699="Ensayo Idiem",L699="Cafco 400",C699="IN",G699=4,I699=90),VLOOKUP(T699,'CAFCO 400 ENSAYO'!$B$7:$D$43,2,FALSE),0)+IF(AND(M699="Ensayo Idiem",L699="Cafco 400",C699="IN",G699=4,I699=120),VLOOKUP(T699,'CAFCO 400 ENSAYO'!$B$7:$D$43,3,FALSE),0)</f>
        <v>0</v>
      </c>
      <c r="O699" s="96">
        <f t="shared" si="72"/>
        <v>0</v>
      </c>
      <c r="P699" s="132" t="str">
        <f t="shared" si="73"/>
        <v>N/A</v>
      </c>
      <c r="Q699" s="132" t="str">
        <f t="shared" si="74"/>
        <v>N/A</v>
      </c>
      <c r="R699" s="132" t="str">
        <f t="shared" si="75"/>
        <v>NO CERT.</v>
      </c>
      <c r="S699" s="132" t="e">
        <f t="shared" si="76"/>
        <v>#N/A</v>
      </c>
      <c r="T699" s="133" t="e">
        <f>+IF(J699=LOOKUP(J699,'CAFCO 300 IDIEM TABLAS'!$J$4:$J$40),'CALCULO MORTERO'!J699,MROUND('CALCULO MORTERO'!J699,10))</f>
        <v>#N/A</v>
      </c>
      <c r="U699" s="134">
        <f t="shared" si="77"/>
        <v>0</v>
      </c>
    </row>
    <row r="700" spans="1:21" x14ac:dyDescent="0.25">
      <c r="A700" s="118">
        <f>+CUBICACION!D694</f>
        <v>0</v>
      </c>
      <c r="B700" s="819">
        <f>+CUBICACION!E694</f>
        <v>0</v>
      </c>
      <c r="C700" s="675">
        <f>+CUBICACION!F694</f>
        <v>0</v>
      </c>
      <c r="D700" s="118"/>
      <c r="E700" s="118"/>
      <c r="F700" s="820"/>
      <c r="G700" s="675">
        <f>+CUBICACION!J694</f>
        <v>0</v>
      </c>
      <c r="H700" s="118"/>
      <c r="I700" s="821">
        <f>+CUBICACION!L694</f>
        <v>0</v>
      </c>
      <c r="J700" s="64">
        <f>+CUBICACION!M694</f>
        <v>0</v>
      </c>
      <c r="K700" s="822" t="str">
        <f>+CUBICACION!N694</f>
        <v/>
      </c>
      <c r="L700" s="118">
        <f>+CUBICACION!O694</f>
        <v>0</v>
      </c>
      <c r="M700" s="823">
        <f>+CUBICACION!P694</f>
        <v>0</v>
      </c>
      <c r="N700" s="902">
        <f>ROUND(IF(AND(L700="Blaze Shield II",M700="Software Idiem",C700="IN",G700=4),((('BLAZE SHIELD II'!$D$4*('CALCULO MORTERO'!I700^2)+'BLAZE SHIELD II'!$D$5*'CALCULO MORTERO'!I700+'BLAZE SHIELD II'!$D$6)*LN(J700))+('BLAZE SHIELD II'!$D$7*('CALCULO MORTERO'!I700^2)+'BLAZE SHIELD II'!$D$8*'CALCULO MORTERO'!I700+'BLAZE SHIELD II'!$D$9)),0)+IF(AND(L700="Blaze Shield II",M700="Software Idiem",C700="Cj"),((('BLAZE SHIELD II'!$H$4*('CALCULO MORTERO'!I700^2)+'BLAZE SHIELD II'!$H$5*'CALCULO MORTERO'!I700+'BLAZE SHIELD II'!$H$6)*LN(J700))+('BLAZE SHIELD II'!$H$7*('CALCULO MORTERO'!I700^2)+'BLAZE SHIELD II'!$H$8*'CALCULO MORTERO'!I700+'BLAZE SHIELD II'!$H$9)),0)+IF(AND(L700="Blaze Shield II",M700="Software Idiem",C700="C"),((('BLAZE SHIELD II'!$L$4*('CALCULO MORTERO'!I700^2)+'BLAZE SHIELD II'!$L$5*'CALCULO MORTERO'!I700+'BLAZE SHIELD II'!$L$6)*LN(J700))+('BLAZE SHIELD II'!$L$7*('CALCULO MORTERO'!I700^2)+'BLAZE SHIELD II'!$L$8*'CALCULO MORTERO'!I700+'BLAZE SHIELD II'!$L$9)),0)+IF(AND(L700="Blaze Shield II",M700="Software Idiem",C700="L"),((('BLAZE SHIELD II'!$L$4*('CALCULO MORTERO'!I700^2)+'BLAZE SHIELD II'!$L$5*'CALCULO MORTERO'!I700+'BLAZE SHIELD II'!$L$6)*LN(J700))+('BLAZE SHIELD II'!$L$7*('CALCULO MORTERO'!I700^2)+'BLAZE SHIELD II'!$L$8*'CALCULO MORTERO'!I700+'BLAZE SHIELD II'!$L$9)),0)+IF(AND(L700="Blaze Shield II",M700="Software Idiem",C700="IN",G700=3),((('BLAZE SHIELD II'!$H$14*('CALCULO MORTERO'!I700^2)+'BLAZE SHIELD II'!$H$15*'CALCULO MORTERO'!I700+'BLAZE SHIELD II'!$H$16)*LN(J700))+('BLAZE SHIELD II'!$H$17*('CALCULO MORTERO'!I700^2)+'BLAZE SHIELD II'!$H$18*'CALCULO MORTERO'!I700+'BLAZE SHIELD II'!$H$19)),0),0)+ROUND(IF(AND(L700="Cafco 400",M700="Software Idiem",C700="IN",G700=4),((('CAFCO 400 '!$H$7*(J700^4)+'CAFCO 400 '!$H$8*(J700^3)+'CAFCO 400 '!$H$9*(J700^2)+'CAFCO 400 '!$H$10*J700+'CAFCO 400 '!$H$11)*U700^2)+(('CAFCO 400 '!$H$12*(J700^3)+'CAFCO 400 '!$H$13*(J700^2)+'CAFCO 400 '!$H$14*J700+'CAFCO 400 '!$H$15)*U700)+('CAFCO 400 '!$H$16*(J700^2)+'CAFCO 400 '!$H$17*J700+'CAFCO 400 '!$H$18)),0)+IF(AND(L700="Cafco 400",M700="Software Idiem",C700="Cj"),(((('CAFCO 400 '!$D$7*LN(J700)+'CAFCO 400 '!$D$8)*U700^2)+(('CAFCO 400 '!$D$9*LN(J700)+'CAFCO 400 '!$D$10)*U700)+('CAFCO 400 '!$D$11*LN(J700)+'CAFCO 400 '!$D$12))),0)+IF(AND(L700="Cafco 400",M700="Software Idiem",C700="C"),((('CAFCO 400 '!$L$7*(J700^3)+'CAFCO 400 '!$L$8*(J700^2)+'CAFCO 400 '!$L$9*J700+'CAFCO 400 '!$L$10)*U700^2)+(('CAFCO 400 '!$L$11*(J700^3)+'CAFCO 400 '!$L$12*(J700^2)+'CAFCO 400 '!$L$13*J700+'CAFCO 400 '!$L$14)*U700)+('CAFCO 400 '!$L$15*LN(J700)+'CAFCO 400 '!$L$16)),0)+IF(AND(L700="Cafco 400",M700="Software Idiem",C700="L"),((('CAFCO 400 '!$L$7*(J700^3)+'CAFCO 400 '!$L$8*(J700^2)+'CAFCO 400 '!$L$9*J700+'CAFCO 400 '!$L$10)*U700^2)+(('CAFCO 400 '!$L$11*(J700^3)+'CAFCO 400 '!$L$12*(J700^2)+'CAFCO 400 '!$L$13*J700+'CAFCO 400 '!$L$14)*U700)+('CAFCO 400 '!$L$15*LN(J700)+'CAFCO 400 '!$L$16)),0)+IF(AND(L700="Cafco 400",M700="Software Idiem",C700="IN",G700=3),((('CAFCO 400 '!$D$23*(J700^2)+'CAFCO 400 '!$D$24*(J700)+'CAFCO 400 '!$D$25)*U700^2)+(('CAFCO 400 '!$D$26*(J700^2)+'CAFCO 400 '!$D$27*J700+'CAFCO 400 '!$D$28)*U700)+('CAFCO 400 '!$D$29*(J700^2)+'CAFCO 400 '!$D$30*J700+'CAFCO 400 '!$D$31)),0),0)+IF(AND(L700="Cafco 300",J700&gt;=95,J700&lt;=240,C700="Cj",I700=90),VLOOKUP(T700,'CAFCO 300 IDIEM TABLAS'!$B$4:$D$23,2,FALSE),0)+IF(AND(L700="Cafco 300",J700&gt;=95,J700&lt;=240,C700="Cj",I700=120),VLOOKUP(T700,'CAFCO 300 IDIEM TABLAS'!$B$4:$D$23,3,FALSE),0)+IF(AND(L700="Cafco 300",J700&gt;=95,J700&lt;=400,G700=3,C700="IN",I700=90),VLOOKUP(T700,'CAFCO 300 IDIEM TABLAS'!$F$4:$H$35,2,FALSE),0)+IF(AND(L700="Cafco 300",J700&gt;=95,J700&lt;=400,G700=3,C700="IN",I700=120),VLOOKUP(T700,'CAFCO 300 IDIEM TABLAS'!$F$4:$H$35,3,FALSE),0)+IF(AND(L700="Cafco 300",J700&gt;=95,J700&lt;=450,G700=4,C700="IN",I700=90),VLOOKUP(T700,'CAFCO 300 IDIEM TABLAS'!$J$4:$L$40,2,FALSE),0)+IF(AND(L700="Cafco 300",J700&gt;=95,J700&lt;=450,G700=4,C700="IN",I700=120),VLOOKUP(T700,'CAFCO 300 IDIEM TABLAS'!$J$4:$L$40,3,FALSE),0)+IF(AND(M700="Ensayo Idiem",L700="Cafco 400",C700="IN",G700=4,I700=90),VLOOKUP(T700,'CAFCO 400 ENSAYO'!$B$7:$D$43,2,FALSE),0)+IF(AND(M700="Ensayo Idiem",L700="Cafco 400",C700="IN",G700=4,I700=120),VLOOKUP(T700,'CAFCO 400 ENSAYO'!$B$7:$D$43,3,FALSE),0)</f>
        <v>0</v>
      </c>
      <c r="O700" s="96">
        <f t="shared" si="72"/>
        <v>0</v>
      </c>
      <c r="P700" s="95" t="str">
        <f t="shared" si="73"/>
        <v>N/A</v>
      </c>
      <c r="Q700" s="95" t="str">
        <f t="shared" si="74"/>
        <v>N/A</v>
      </c>
      <c r="R700" s="95" t="str">
        <f t="shared" si="75"/>
        <v>NO CERT.</v>
      </c>
      <c r="S700" s="95" t="e">
        <f t="shared" si="76"/>
        <v>#N/A</v>
      </c>
      <c r="T700" s="119" t="e">
        <f>+IF(J700=LOOKUP(J700,'CAFCO 300 IDIEM TABLAS'!$J$4:$J$40),'CALCULO MORTERO'!J700,MROUND('CALCULO MORTERO'!J700,10))</f>
        <v>#N/A</v>
      </c>
      <c r="U700" s="118">
        <f t="shared" si="77"/>
        <v>0</v>
      </c>
    </row>
    <row r="701" spans="1:21" x14ac:dyDescent="0.25">
      <c r="A701" s="118">
        <f>+CUBICACION!D695</f>
        <v>0</v>
      </c>
      <c r="B701" s="819">
        <f>+CUBICACION!E695</f>
        <v>0</v>
      </c>
      <c r="C701" s="675">
        <f>+CUBICACION!F695</f>
        <v>0</v>
      </c>
      <c r="D701" s="118"/>
      <c r="E701" s="118"/>
      <c r="F701" s="820"/>
      <c r="G701" s="675">
        <f>+CUBICACION!J695</f>
        <v>0</v>
      </c>
      <c r="H701" s="118"/>
      <c r="I701" s="821">
        <f>+CUBICACION!L695</f>
        <v>0</v>
      </c>
      <c r="J701" s="64">
        <f>+CUBICACION!M695</f>
        <v>0</v>
      </c>
      <c r="K701" s="822" t="str">
        <f>+CUBICACION!N695</f>
        <v/>
      </c>
      <c r="L701" s="118">
        <f>+CUBICACION!O695</f>
        <v>0</v>
      </c>
      <c r="M701" s="823">
        <f>+CUBICACION!P695</f>
        <v>0</v>
      </c>
      <c r="N701" s="902">
        <f>ROUND(IF(AND(L701="Blaze Shield II",M701="Software Idiem",C701="IN",G701=4),((('BLAZE SHIELD II'!$D$4*('CALCULO MORTERO'!I701^2)+'BLAZE SHIELD II'!$D$5*'CALCULO MORTERO'!I701+'BLAZE SHIELD II'!$D$6)*LN(J701))+('BLAZE SHIELD II'!$D$7*('CALCULO MORTERO'!I701^2)+'BLAZE SHIELD II'!$D$8*'CALCULO MORTERO'!I701+'BLAZE SHIELD II'!$D$9)),0)+IF(AND(L701="Blaze Shield II",M701="Software Idiem",C701="Cj"),((('BLAZE SHIELD II'!$H$4*('CALCULO MORTERO'!I701^2)+'BLAZE SHIELD II'!$H$5*'CALCULO MORTERO'!I701+'BLAZE SHIELD II'!$H$6)*LN(J701))+('BLAZE SHIELD II'!$H$7*('CALCULO MORTERO'!I701^2)+'BLAZE SHIELD II'!$H$8*'CALCULO MORTERO'!I701+'BLAZE SHIELD II'!$H$9)),0)+IF(AND(L701="Blaze Shield II",M701="Software Idiem",C701="C"),((('BLAZE SHIELD II'!$L$4*('CALCULO MORTERO'!I701^2)+'BLAZE SHIELD II'!$L$5*'CALCULO MORTERO'!I701+'BLAZE SHIELD II'!$L$6)*LN(J701))+('BLAZE SHIELD II'!$L$7*('CALCULO MORTERO'!I701^2)+'BLAZE SHIELD II'!$L$8*'CALCULO MORTERO'!I701+'BLAZE SHIELD II'!$L$9)),0)+IF(AND(L701="Blaze Shield II",M701="Software Idiem",C701="L"),((('BLAZE SHIELD II'!$L$4*('CALCULO MORTERO'!I701^2)+'BLAZE SHIELD II'!$L$5*'CALCULO MORTERO'!I701+'BLAZE SHIELD II'!$L$6)*LN(J701))+('BLAZE SHIELD II'!$L$7*('CALCULO MORTERO'!I701^2)+'BLAZE SHIELD II'!$L$8*'CALCULO MORTERO'!I701+'BLAZE SHIELD II'!$L$9)),0)+IF(AND(L701="Blaze Shield II",M701="Software Idiem",C701="IN",G701=3),((('BLAZE SHIELD II'!$H$14*('CALCULO MORTERO'!I701^2)+'BLAZE SHIELD II'!$H$15*'CALCULO MORTERO'!I701+'BLAZE SHIELD II'!$H$16)*LN(J701))+('BLAZE SHIELD II'!$H$17*('CALCULO MORTERO'!I701^2)+'BLAZE SHIELD II'!$H$18*'CALCULO MORTERO'!I701+'BLAZE SHIELD II'!$H$19)),0),0)+ROUND(IF(AND(L701="Cafco 400",M701="Software Idiem",C701="IN",G701=4),((('CAFCO 400 '!$H$7*(J701^4)+'CAFCO 400 '!$H$8*(J701^3)+'CAFCO 400 '!$H$9*(J701^2)+'CAFCO 400 '!$H$10*J701+'CAFCO 400 '!$H$11)*U701^2)+(('CAFCO 400 '!$H$12*(J701^3)+'CAFCO 400 '!$H$13*(J701^2)+'CAFCO 400 '!$H$14*J701+'CAFCO 400 '!$H$15)*U701)+('CAFCO 400 '!$H$16*(J701^2)+'CAFCO 400 '!$H$17*J701+'CAFCO 400 '!$H$18)),0)+IF(AND(L701="Cafco 400",M701="Software Idiem",C701="Cj"),(((('CAFCO 400 '!$D$7*LN(J701)+'CAFCO 400 '!$D$8)*U701^2)+(('CAFCO 400 '!$D$9*LN(J701)+'CAFCO 400 '!$D$10)*U701)+('CAFCO 400 '!$D$11*LN(J701)+'CAFCO 400 '!$D$12))),0)+IF(AND(L701="Cafco 400",M701="Software Idiem",C701="C"),((('CAFCO 400 '!$L$7*(J701^3)+'CAFCO 400 '!$L$8*(J701^2)+'CAFCO 400 '!$L$9*J701+'CAFCO 400 '!$L$10)*U701^2)+(('CAFCO 400 '!$L$11*(J701^3)+'CAFCO 400 '!$L$12*(J701^2)+'CAFCO 400 '!$L$13*J701+'CAFCO 400 '!$L$14)*U701)+('CAFCO 400 '!$L$15*LN(J701)+'CAFCO 400 '!$L$16)),0)+IF(AND(L701="Cafco 400",M701="Software Idiem",C701="L"),((('CAFCO 400 '!$L$7*(J701^3)+'CAFCO 400 '!$L$8*(J701^2)+'CAFCO 400 '!$L$9*J701+'CAFCO 400 '!$L$10)*U701^2)+(('CAFCO 400 '!$L$11*(J701^3)+'CAFCO 400 '!$L$12*(J701^2)+'CAFCO 400 '!$L$13*J701+'CAFCO 400 '!$L$14)*U701)+('CAFCO 400 '!$L$15*LN(J701)+'CAFCO 400 '!$L$16)),0)+IF(AND(L701="Cafco 400",M701="Software Idiem",C701="IN",G701=3),((('CAFCO 400 '!$D$23*(J701^2)+'CAFCO 400 '!$D$24*(J701)+'CAFCO 400 '!$D$25)*U701^2)+(('CAFCO 400 '!$D$26*(J701^2)+'CAFCO 400 '!$D$27*J701+'CAFCO 400 '!$D$28)*U701)+('CAFCO 400 '!$D$29*(J701^2)+'CAFCO 400 '!$D$30*J701+'CAFCO 400 '!$D$31)),0),0)+IF(AND(L701="Cafco 300",J701&gt;=95,J701&lt;=240,C701="Cj",I701=90),VLOOKUP(T701,'CAFCO 300 IDIEM TABLAS'!$B$4:$D$23,2,FALSE),0)+IF(AND(L701="Cafco 300",J701&gt;=95,J701&lt;=240,C701="Cj",I701=120),VLOOKUP(T701,'CAFCO 300 IDIEM TABLAS'!$B$4:$D$23,3,FALSE),0)+IF(AND(L701="Cafco 300",J701&gt;=95,J701&lt;=400,G701=3,C701="IN",I701=90),VLOOKUP(T701,'CAFCO 300 IDIEM TABLAS'!$F$4:$H$35,2,FALSE),0)+IF(AND(L701="Cafco 300",J701&gt;=95,J701&lt;=400,G701=3,C701="IN",I701=120),VLOOKUP(T701,'CAFCO 300 IDIEM TABLAS'!$F$4:$H$35,3,FALSE),0)+IF(AND(L701="Cafco 300",J701&gt;=95,J701&lt;=450,G701=4,C701="IN",I701=90),VLOOKUP(T701,'CAFCO 300 IDIEM TABLAS'!$J$4:$L$40,2,FALSE),0)+IF(AND(L701="Cafco 300",J701&gt;=95,J701&lt;=450,G701=4,C701="IN",I701=120),VLOOKUP(T701,'CAFCO 300 IDIEM TABLAS'!$J$4:$L$40,3,FALSE),0)+IF(AND(M701="Ensayo Idiem",L701="Cafco 400",C701="IN",G701=4,I701=90),VLOOKUP(T701,'CAFCO 400 ENSAYO'!$B$7:$D$43,2,FALSE),0)+IF(AND(M701="Ensayo Idiem",L701="Cafco 400",C701="IN",G701=4,I701=120),VLOOKUP(T701,'CAFCO 400 ENSAYO'!$B$7:$D$43,3,FALSE),0)</f>
        <v>0</v>
      </c>
      <c r="O701" s="96">
        <f t="shared" si="72"/>
        <v>0</v>
      </c>
      <c r="P701" s="132" t="str">
        <f t="shared" si="73"/>
        <v>N/A</v>
      </c>
      <c r="Q701" s="132" t="str">
        <f t="shared" si="74"/>
        <v>N/A</v>
      </c>
      <c r="R701" s="132" t="str">
        <f t="shared" si="75"/>
        <v>NO CERT.</v>
      </c>
      <c r="S701" s="132" t="e">
        <f t="shared" si="76"/>
        <v>#N/A</v>
      </c>
      <c r="T701" s="133" t="e">
        <f>+IF(J701=LOOKUP(J701,'CAFCO 300 IDIEM TABLAS'!$J$4:$J$40),'CALCULO MORTERO'!J701,MROUND('CALCULO MORTERO'!J701,10))</f>
        <v>#N/A</v>
      </c>
      <c r="U701" s="134">
        <f t="shared" si="77"/>
        <v>0</v>
      </c>
    </row>
    <row r="702" spans="1:21" x14ac:dyDescent="0.25">
      <c r="A702" s="118">
        <f>+CUBICACION!D696</f>
        <v>0</v>
      </c>
      <c r="B702" s="819">
        <f>+CUBICACION!E696</f>
        <v>0</v>
      </c>
      <c r="C702" s="675">
        <f>+CUBICACION!F696</f>
        <v>0</v>
      </c>
      <c r="D702" s="118"/>
      <c r="E702" s="118"/>
      <c r="F702" s="820"/>
      <c r="G702" s="675">
        <f>+CUBICACION!J696</f>
        <v>0</v>
      </c>
      <c r="H702" s="118"/>
      <c r="I702" s="821">
        <f>+CUBICACION!L696</f>
        <v>0</v>
      </c>
      <c r="J702" s="64">
        <f>+CUBICACION!M696</f>
        <v>0</v>
      </c>
      <c r="K702" s="822" t="str">
        <f>+CUBICACION!N696</f>
        <v/>
      </c>
      <c r="L702" s="118">
        <f>+CUBICACION!O696</f>
        <v>0</v>
      </c>
      <c r="M702" s="823">
        <f>+CUBICACION!P696</f>
        <v>0</v>
      </c>
      <c r="N702" s="902">
        <f>ROUND(IF(AND(L702="Blaze Shield II",M702="Software Idiem",C702="IN",G702=4),((('BLAZE SHIELD II'!$D$4*('CALCULO MORTERO'!I702^2)+'BLAZE SHIELD II'!$D$5*'CALCULO MORTERO'!I702+'BLAZE SHIELD II'!$D$6)*LN(J702))+('BLAZE SHIELD II'!$D$7*('CALCULO MORTERO'!I702^2)+'BLAZE SHIELD II'!$D$8*'CALCULO MORTERO'!I702+'BLAZE SHIELD II'!$D$9)),0)+IF(AND(L702="Blaze Shield II",M702="Software Idiem",C702="Cj"),((('BLAZE SHIELD II'!$H$4*('CALCULO MORTERO'!I702^2)+'BLAZE SHIELD II'!$H$5*'CALCULO MORTERO'!I702+'BLAZE SHIELD II'!$H$6)*LN(J702))+('BLAZE SHIELD II'!$H$7*('CALCULO MORTERO'!I702^2)+'BLAZE SHIELD II'!$H$8*'CALCULO MORTERO'!I702+'BLAZE SHIELD II'!$H$9)),0)+IF(AND(L702="Blaze Shield II",M702="Software Idiem",C702="C"),((('BLAZE SHIELD II'!$L$4*('CALCULO MORTERO'!I702^2)+'BLAZE SHIELD II'!$L$5*'CALCULO MORTERO'!I702+'BLAZE SHIELD II'!$L$6)*LN(J702))+('BLAZE SHIELD II'!$L$7*('CALCULO MORTERO'!I702^2)+'BLAZE SHIELD II'!$L$8*'CALCULO MORTERO'!I702+'BLAZE SHIELD II'!$L$9)),0)+IF(AND(L702="Blaze Shield II",M702="Software Idiem",C702="L"),((('BLAZE SHIELD II'!$L$4*('CALCULO MORTERO'!I702^2)+'BLAZE SHIELD II'!$L$5*'CALCULO MORTERO'!I702+'BLAZE SHIELD II'!$L$6)*LN(J702))+('BLAZE SHIELD II'!$L$7*('CALCULO MORTERO'!I702^2)+'BLAZE SHIELD II'!$L$8*'CALCULO MORTERO'!I702+'BLAZE SHIELD II'!$L$9)),0)+IF(AND(L702="Blaze Shield II",M702="Software Idiem",C702="IN",G702=3),((('BLAZE SHIELD II'!$H$14*('CALCULO MORTERO'!I702^2)+'BLAZE SHIELD II'!$H$15*'CALCULO MORTERO'!I702+'BLAZE SHIELD II'!$H$16)*LN(J702))+('BLAZE SHIELD II'!$H$17*('CALCULO MORTERO'!I702^2)+'BLAZE SHIELD II'!$H$18*'CALCULO MORTERO'!I702+'BLAZE SHIELD II'!$H$19)),0),0)+ROUND(IF(AND(L702="Cafco 400",M702="Software Idiem",C702="IN",G702=4),((('CAFCO 400 '!$H$7*(J702^4)+'CAFCO 400 '!$H$8*(J702^3)+'CAFCO 400 '!$H$9*(J702^2)+'CAFCO 400 '!$H$10*J702+'CAFCO 400 '!$H$11)*U702^2)+(('CAFCO 400 '!$H$12*(J702^3)+'CAFCO 400 '!$H$13*(J702^2)+'CAFCO 400 '!$H$14*J702+'CAFCO 400 '!$H$15)*U702)+('CAFCO 400 '!$H$16*(J702^2)+'CAFCO 400 '!$H$17*J702+'CAFCO 400 '!$H$18)),0)+IF(AND(L702="Cafco 400",M702="Software Idiem",C702="Cj"),(((('CAFCO 400 '!$D$7*LN(J702)+'CAFCO 400 '!$D$8)*U702^2)+(('CAFCO 400 '!$D$9*LN(J702)+'CAFCO 400 '!$D$10)*U702)+('CAFCO 400 '!$D$11*LN(J702)+'CAFCO 400 '!$D$12))),0)+IF(AND(L702="Cafco 400",M702="Software Idiem",C702="C"),((('CAFCO 400 '!$L$7*(J702^3)+'CAFCO 400 '!$L$8*(J702^2)+'CAFCO 400 '!$L$9*J702+'CAFCO 400 '!$L$10)*U702^2)+(('CAFCO 400 '!$L$11*(J702^3)+'CAFCO 400 '!$L$12*(J702^2)+'CAFCO 400 '!$L$13*J702+'CAFCO 400 '!$L$14)*U702)+('CAFCO 400 '!$L$15*LN(J702)+'CAFCO 400 '!$L$16)),0)+IF(AND(L702="Cafco 400",M702="Software Idiem",C702="L"),((('CAFCO 400 '!$L$7*(J702^3)+'CAFCO 400 '!$L$8*(J702^2)+'CAFCO 400 '!$L$9*J702+'CAFCO 400 '!$L$10)*U702^2)+(('CAFCO 400 '!$L$11*(J702^3)+'CAFCO 400 '!$L$12*(J702^2)+'CAFCO 400 '!$L$13*J702+'CAFCO 400 '!$L$14)*U702)+('CAFCO 400 '!$L$15*LN(J702)+'CAFCO 400 '!$L$16)),0)+IF(AND(L702="Cafco 400",M702="Software Idiem",C702="IN",G702=3),((('CAFCO 400 '!$D$23*(J702^2)+'CAFCO 400 '!$D$24*(J702)+'CAFCO 400 '!$D$25)*U702^2)+(('CAFCO 400 '!$D$26*(J702^2)+'CAFCO 400 '!$D$27*J702+'CAFCO 400 '!$D$28)*U702)+('CAFCO 400 '!$D$29*(J702^2)+'CAFCO 400 '!$D$30*J702+'CAFCO 400 '!$D$31)),0),0)+IF(AND(L702="Cafco 300",J702&gt;=95,J702&lt;=240,C702="Cj",I702=90),VLOOKUP(T702,'CAFCO 300 IDIEM TABLAS'!$B$4:$D$23,2,FALSE),0)+IF(AND(L702="Cafco 300",J702&gt;=95,J702&lt;=240,C702="Cj",I702=120),VLOOKUP(T702,'CAFCO 300 IDIEM TABLAS'!$B$4:$D$23,3,FALSE),0)+IF(AND(L702="Cafco 300",J702&gt;=95,J702&lt;=400,G702=3,C702="IN",I702=90),VLOOKUP(T702,'CAFCO 300 IDIEM TABLAS'!$F$4:$H$35,2,FALSE),0)+IF(AND(L702="Cafco 300",J702&gt;=95,J702&lt;=400,G702=3,C702="IN",I702=120),VLOOKUP(T702,'CAFCO 300 IDIEM TABLAS'!$F$4:$H$35,3,FALSE),0)+IF(AND(L702="Cafco 300",J702&gt;=95,J702&lt;=450,G702=4,C702="IN",I702=90),VLOOKUP(T702,'CAFCO 300 IDIEM TABLAS'!$J$4:$L$40,2,FALSE),0)+IF(AND(L702="Cafco 300",J702&gt;=95,J702&lt;=450,G702=4,C702="IN",I702=120),VLOOKUP(T702,'CAFCO 300 IDIEM TABLAS'!$J$4:$L$40,3,FALSE),0)+IF(AND(M702="Ensayo Idiem",L702="Cafco 400",C702="IN",G702=4,I702=90),VLOOKUP(T702,'CAFCO 400 ENSAYO'!$B$7:$D$43,2,FALSE),0)+IF(AND(M702="Ensayo Idiem",L702="Cafco 400",C702="IN",G702=4,I702=120),VLOOKUP(T702,'CAFCO 400 ENSAYO'!$B$7:$D$43,3,FALSE),0)</f>
        <v>0</v>
      </c>
      <c r="O702" s="96">
        <f t="shared" si="72"/>
        <v>0</v>
      </c>
      <c r="P702" s="95" t="str">
        <f t="shared" si="73"/>
        <v>N/A</v>
      </c>
      <c r="Q702" s="95" t="str">
        <f t="shared" si="74"/>
        <v>N/A</v>
      </c>
      <c r="R702" s="95" t="str">
        <f t="shared" si="75"/>
        <v>NO CERT.</v>
      </c>
      <c r="S702" s="95" t="e">
        <f t="shared" si="76"/>
        <v>#N/A</v>
      </c>
      <c r="T702" s="119" t="e">
        <f>+IF(J702=LOOKUP(J702,'CAFCO 300 IDIEM TABLAS'!$J$4:$J$40),'CALCULO MORTERO'!J702,MROUND('CALCULO MORTERO'!J702,10))</f>
        <v>#N/A</v>
      </c>
      <c r="U702" s="118">
        <f t="shared" si="77"/>
        <v>0</v>
      </c>
    </row>
    <row r="703" spans="1:21" x14ac:dyDescent="0.25">
      <c r="A703" s="118">
        <f>+CUBICACION!D697</f>
        <v>0</v>
      </c>
      <c r="B703" s="819">
        <f>+CUBICACION!E697</f>
        <v>0</v>
      </c>
      <c r="C703" s="675">
        <f>+CUBICACION!F697</f>
        <v>0</v>
      </c>
      <c r="D703" s="118"/>
      <c r="E703" s="118"/>
      <c r="F703" s="820"/>
      <c r="G703" s="675">
        <f>+CUBICACION!J697</f>
        <v>0</v>
      </c>
      <c r="H703" s="118"/>
      <c r="I703" s="821">
        <f>+CUBICACION!L697</f>
        <v>0</v>
      </c>
      <c r="J703" s="64">
        <f>+CUBICACION!M697</f>
        <v>0</v>
      </c>
      <c r="K703" s="822" t="str">
        <f>+CUBICACION!N697</f>
        <v/>
      </c>
      <c r="L703" s="118">
        <f>+CUBICACION!O697</f>
        <v>0</v>
      </c>
      <c r="M703" s="823">
        <f>+CUBICACION!P697</f>
        <v>0</v>
      </c>
      <c r="N703" s="902">
        <f>ROUND(IF(AND(L703="Blaze Shield II",M703="Software Idiem",C703="IN",G703=4),((('BLAZE SHIELD II'!$D$4*('CALCULO MORTERO'!I703^2)+'BLAZE SHIELD II'!$D$5*'CALCULO MORTERO'!I703+'BLAZE SHIELD II'!$D$6)*LN(J703))+('BLAZE SHIELD II'!$D$7*('CALCULO MORTERO'!I703^2)+'BLAZE SHIELD II'!$D$8*'CALCULO MORTERO'!I703+'BLAZE SHIELD II'!$D$9)),0)+IF(AND(L703="Blaze Shield II",M703="Software Idiem",C703="Cj"),((('BLAZE SHIELD II'!$H$4*('CALCULO MORTERO'!I703^2)+'BLAZE SHIELD II'!$H$5*'CALCULO MORTERO'!I703+'BLAZE SHIELD II'!$H$6)*LN(J703))+('BLAZE SHIELD II'!$H$7*('CALCULO MORTERO'!I703^2)+'BLAZE SHIELD II'!$H$8*'CALCULO MORTERO'!I703+'BLAZE SHIELD II'!$H$9)),0)+IF(AND(L703="Blaze Shield II",M703="Software Idiem",C703="C"),((('BLAZE SHIELD II'!$L$4*('CALCULO MORTERO'!I703^2)+'BLAZE SHIELD II'!$L$5*'CALCULO MORTERO'!I703+'BLAZE SHIELD II'!$L$6)*LN(J703))+('BLAZE SHIELD II'!$L$7*('CALCULO MORTERO'!I703^2)+'BLAZE SHIELD II'!$L$8*'CALCULO MORTERO'!I703+'BLAZE SHIELD II'!$L$9)),0)+IF(AND(L703="Blaze Shield II",M703="Software Idiem",C703="L"),((('BLAZE SHIELD II'!$L$4*('CALCULO MORTERO'!I703^2)+'BLAZE SHIELD II'!$L$5*'CALCULO MORTERO'!I703+'BLAZE SHIELD II'!$L$6)*LN(J703))+('BLAZE SHIELD II'!$L$7*('CALCULO MORTERO'!I703^2)+'BLAZE SHIELD II'!$L$8*'CALCULO MORTERO'!I703+'BLAZE SHIELD II'!$L$9)),0)+IF(AND(L703="Blaze Shield II",M703="Software Idiem",C703="IN",G703=3),((('BLAZE SHIELD II'!$H$14*('CALCULO MORTERO'!I703^2)+'BLAZE SHIELD II'!$H$15*'CALCULO MORTERO'!I703+'BLAZE SHIELD II'!$H$16)*LN(J703))+('BLAZE SHIELD II'!$H$17*('CALCULO MORTERO'!I703^2)+'BLAZE SHIELD II'!$H$18*'CALCULO MORTERO'!I703+'BLAZE SHIELD II'!$H$19)),0),0)+ROUND(IF(AND(L703="Cafco 400",M703="Software Idiem",C703="IN",G703=4),((('CAFCO 400 '!$H$7*(J703^4)+'CAFCO 400 '!$H$8*(J703^3)+'CAFCO 400 '!$H$9*(J703^2)+'CAFCO 400 '!$H$10*J703+'CAFCO 400 '!$H$11)*U703^2)+(('CAFCO 400 '!$H$12*(J703^3)+'CAFCO 400 '!$H$13*(J703^2)+'CAFCO 400 '!$H$14*J703+'CAFCO 400 '!$H$15)*U703)+('CAFCO 400 '!$H$16*(J703^2)+'CAFCO 400 '!$H$17*J703+'CAFCO 400 '!$H$18)),0)+IF(AND(L703="Cafco 400",M703="Software Idiem",C703="Cj"),(((('CAFCO 400 '!$D$7*LN(J703)+'CAFCO 400 '!$D$8)*U703^2)+(('CAFCO 400 '!$D$9*LN(J703)+'CAFCO 400 '!$D$10)*U703)+('CAFCO 400 '!$D$11*LN(J703)+'CAFCO 400 '!$D$12))),0)+IF(AND(L703="Cafco 400",M703="Software Idiem",C703="C"),((('CAFCO 400 '!$L$7*(J703^3)+'CAFCO 400 '!$L$8*(J703^2)+'CAFCO 400 '!$L$9*J703+'CAFCO 400 '!$L$10)*U703^2)+(('CAFCO 400 '!$L$11*(J703^3)+'CAFCO 400 '!$L$12*(J703^2)+'CAFCO 400 '!$L$13*J703+'CAFCO 400 '!$L$14)*U703)+('CAFCO 400 '!$L$15*LN(J703)+'CAFCO 400 '!$L$16)),0)+IF(AND(L703="Cafco 400",M703="Software Idiem",C703="L"),((('CAFCO 400 '!$L$7*(J703^3)+'CAFCO 400 '!$L$8*(J703^2)+'CAFCO 400 '!$L$9*J703+'CAFCO 400 '!$L$10)*U703^2)+(('CAFCO 400 '!$L$11*(J703^3)+'CAFCO 400 '!$L$12*(J703^2)+'CAFCO 400 '!$L$13*J703+'CAFCO 400 '!$L$14)*U703)+('CAFCO 400 '!$L$15*LN(J703)+'CAFCO 400 '!$L$16)),0)+IF(AND(L703="Cafco 400",M703="Software Idiem",C703="IN",G703=3),((('CAFCO 400 '!$D$23*(J703^2)+'CAFCO 400 '!$D$24*(J703)+'CAFCO 400 '!$D$25)*U703^2)+(('CAFCO 400 '!$D$26*(J703^2)+'CAFCO 400 '!$D$27*J703+'CAFCO 400 '!$D$28)*U703)+('CAFCO 400 '!$D$29*(J703^2)+'CAFCO 400 '!$D$30*J703+'CAFCO 400 '!$D$31)),0),0)+IF(AND(L703="Cafco 300",J703&gt;=95,J703&lt;=240,C703="Cj",I703=90),VLOOKUP(T703,'CAFCO 300 IDIEM TABLAS'!$B$4:$D$23,2,FALSE),0)+IF(AND(L703="Cafco 300",J703&gt;=95,J703&lt;=240,C703="Cj",I703=120),VLOOKUP(T703,'CAFCO 300 IDIEM TABLAS'!$B$4:$D$23,3,FALSE),0)+IF(AND(L703="Cafco 300",J703&gt;=95,J703&lt;=400,G703=3,C703="IN",I703=90),VLOOKUP(T703,'CAFCO 300 IDIEM TABLAS'!$F$4:$H$35,2,FALSE),0)+IF(AND(L703="Cafco 300",J703&gt;=95,J703&lt;=400,G703=3,C703="IN",I703=120),VLOOKUP(T703,'CAFCO 300 IDIEM TABLAS'!$F$4:$H$35,3,FALSE),0)+IF(AND(L703="Cafco 300",J703&gt;=95,J703&lt;=450,G703=4,C703="IN",I703=90),VLOOKUP(T703,'CAFCO 300 IDIEM TABLAS'!$J$4:$L$40,2,FALSE),0)+IF(AND(L703="Cafco 300",J703&gt;=95,J703&lt;=450,G703=4,C703="IN",I703=120),VLOOKUP(T703,'CAFCO 300 IDIEM TABLAS'!$J$4:$L$40,3,FALSE),0)+IF(AND(M703="Ensayo Idiem",L703="Cafco 400",C703="IN",G703=4,I703=90),VLOOKUP(T703,'CAFCO 400 ENSAYO'!$B$7:$D$43,2,FALSE),0)+IF(AND(M703="Ensayo Idiem",L703="Cafco 400",C703="IN",G703=4,I703=120),VLOOKUP(T703,'CAFCO 400 ENSAYO'!$B$7:$D$43,3,FALSE),0)</f>
        <v>0</v>
      </c>
      <c r="O703" s="96">
        <f t="shared" si="72"/>
        <v>0</v>
      </c>
      <c r="P703" s="132" t="str">
        <f t="shared" si="73"/>
        <v>N/A</v>
      </c>
      <c r="Q703" s="132" t="str">
        <f t="shared" si="74"/>
        <v>N/A</v>
      </c>
      <c r="R703" s="132" t="str">
        <f t="shared" si="75"/>
        <v>NO CERT.</v>
      </c>
      <c r="S703" s="132" t="e">
        <f t="shared" si="76"/>
        <v>#N/A</v>
      </c>
      <c r="T703" s="133" t="e">
        <f>+IF(J703=LOOKUP(J703,'CAFCO 300 IDIEM TABLAS'!$J$4:$J$40),'CALCULO MORTERO'!J703,MROUND('CALCULO MORTERO'!J703,10))</f>
        <v>#N/A</v>
      </c>
      <c r="U703" s="134">
        <f t="shared" si="77"/>
        <v>0</v>
      </c>
    </row>
    <row r="704" spans="1:21" x14ac:dyDescent="0.25">
      <c r="A704" s="118">
        <f>+CUBICACION!D698</f>
        <v>0</v>
      </c>
      <c r="B704" s="819">
        <f>+CUBICACION!E698</f>
        <v>0</v>
      </c>
      <c r="C704" s="675">
        <f>+CUBICACION!F698</f>
        <v>0</v>
      </c>
      <c r="D704" s="118"/>
      <c r="E704" s="118"/>
      <c r="F704" s="820"/>
      <c r="G704" s="675">
        <f>+CUBICACION!J698</f>
        <v>0</v>
      </c>
      <c r="H704" s="118"/>
      <c r="I704" s="821">
        <f>+CUBICACION!L698</f>
        <v>0</v>
      </c>
      <c r="J704" s="64">
        <f>+CUBICACION!M698</f>
        <v>0</v>
      </c>
      <c r="K704" s="822" t="str">
        <f>+CUBICACION!N698</f>
        <v/>
      </c>
      <c r="L704" s="118">
        <f>+CUBICACION!O698</f>
        <v>0</v>
      </c>
      <c r="M704" s="823">
        <f>+CUBICACION!P698</f>
        <v>0</v>
      </c>
      <c r="N704" s="902">
        <f>ROUND(IF(AND(L704="Blaze Shield II",M704="Software Idiem",C704="IN",G704=4),((('BLAZE SHIELD II'!$D$4*('CALCULO MORTERO'!I704^2)+'BLAZE SHIELD II'!$D$5*'CALCULO MORTERO'!I704+'BLAZE SHIELD II'!$D$6)*LN(J704))+('BLAZE SHIELD II'!$D$7*('CALCULO MORTERO'!I704^2)+'BLAZE SHIELD II'!$D$8*'CALCULO MORTERO'!I704+'BLAZE SHIELD II'!$D$9)),0)+IF(AND(L704="Blaze Shield II",M704="Software Idiem",C704="Cj"),((('BLAZE SHIELD II'!$H$4*('CALCULO MORTERO'!I704^2)+'BLAZE SHIELD II'!$H$5*'CALCULO MORTERO'!I704+'BLAZE SHIELD II'!$H$6)*LN(J704))+('BLAZE SHIELD II'!$H$7*('CALCULO MORTERO'!I704^2)+'BLAZE SHIELD II'!$H$8*'CALCULO MORTERO'!I704+'BLAZE SHIELD II'!$H$9)),0)+IF(AND(L704="Blaze Shield II",M704="Software Idiem",C704="C"),((('BLAZE SHIELD II'!$L$4*('CALCULO MORTERO'!I704^2)+'BLAZE SHIELD II'!$L$5*'CALCULO MORTERO'!I704+'BLAZE SHIELD II'!$L$6)*LN(J704))+('BLAZE SHIELD II'!$L$7*('CALCULO MORTERO'!I704^2)+'BLAZE SHIELD II'!$L$8*'CALCULO MORTERO'!I704+'BLAZE SHIELD II'!$L$9)),0)+IF(AND(L704="Blaze Shield II",M704="Software Idiem",C704="L"),((('BLAZE SHIELD II'!$L$4*('CALCULO MORTERO'!I704^2)+'BLAZE SHIELD II'!$L$5*'CALCULO MORTERO'!I704+'BLAZE SHIELD II'!$L$6)*LN(J704))+('BLAZE SHIELD II'!$L$7*('CALCULO MORTERO'!I704^2)+'BLAZE SHIELD II'!$L$8*'CALCULO MORTERO'!I704+'BLAZE SHIELD II'!$L$9)),0)+IF(AND(L704="Blaze Shield II",M704="Software Idiem",C704="IN",G704=3),((('BLAZE SHIELD II'!$H$14*('CALCULO MORTERO'!I704^2)+'BLAZE SHIELD II'!$H$15*'CALCULO MORTERO'!I704+'BLAZE SHIELD II'!$H$16)*LN(J704))+('BLAZE SHIELD II'!$H$17*('CALCULO MORTERO'!I704^2)+'BLAZE SHIELD II'!$H$18*'CALCULO MORTERO'!I704+'BLAZE SHIELD II'!$H$19)),0),0)+ROUND(IF(AND(L704="Cafco 400",M704="Software Idiem",C704="IN",G704=4),((('CAFCO 400 '!$H$7*(J704^4)+'CAFCO 400 '!$H$8*(J704^3)+'CAFCO 400 '!$H$9*(J704^2)+'CAFCO 400 '!$H$10*J704+'CAFCO 400 '!$H$11)*U704^2)+(('CAFCO 400 '!$H$12*(J704^3)+'CAFCO 400 '!$H$13*(J704^2)+'CAFCO 400 '!$H$14*J704+'CAFCO 400 '!$H$15)*U704)+('CAFCO 400 '!$H$16*(J704^2)+'CAFCO 400 '!$H$17*J704+'CAFCO 400 '!$H$18)),0)+IF(AND(L704="Cafco 400",M704="Software Idiem",C704="Cj"),(((('CAFCO 400 '!$D$7*LN(J704)+'CAFCO 400 '!$D$8)*U704^2)+(('CAFCO 400 '!$D$9*LN(J704)+'CAFCO 400 '!$D$10)*U704)+('CAFCO 400 '!$D$11*LN(J704)+'CAFCO 400 '!$D$12))),0)+IF(AND(L704="Cafco 400",M704="Software Idiem",C704="C"),((('CAFCO 400 '!$L$7*(J704^3)+'CAFCO 400 '!$L$8*(J704^2)+'CAFCO 400 '!$L$9*J704+'CAFCO 400 '!$L$10)*U704^2)+(('CAFCO 400 '!$L$11*(J704^3)+'CAFCO 400 '!$L$12*(J704^2)+'CAFCO 400 '!$L$13*J704+'CAFCO 400 '!$L$14)*U704)+('CAFCO 400 '!$L$15*LN(J704)+'CAFCO 400 '!$L$16)),0)+IF(AND(L704="Cafco 400",M704="Software Idiem",C704="L"),((('CAFCO 400 '!$L$7*(J704^3)+'CAFCO 400 '!$L$8*(J704^2)+'CAFCO 400 '!$L$9*J704+'CAFCO 400 '!$L$10)*U704^2)+(('CAFCO 400 '!$L$11*(J704^3)+'CAFCO 400 '!$L$12*(J704^2)+'CAFCO 400 '!$L$13*J704+'CAFCO 400 '!$L$14)*U704)+('CAFCO 400 '!$L$15*LN(J704)+'CAFCO 400 '!$L$16)),0)+IF(AND(L704="Cafco 400",M704="Software Idiem",C704="IN",G704=3),((('CAFCO 400 '!$D$23*(J704^2)+'CAFCO 400 '!$D$24*(J704)+'CAFCO 400 '!$D$25)*U704^2)+(('CAFCO 400 '!$D$26*(J704^2)+'CAFCO 400 '!$D$27*J704+'CAFCO 400 '!$D$28)*U704)+('CAFCO 400 '!$D$29*(J704^2)+'CAFCO 400 '!$D$30*J704+'CAFCO 400 '!$D$31)),0),0)+IF(AND(L704="Cafco 300",J704&gt;=95,J704&lt;=240,C704="Cj",I704=90),VLOOKUP(T704,'CAFCO 300 IDIEM TABLAS'!$B$4:$D$23,2,FALSE),0)+IF(AND(L704="Cafco 300",J704&gt;=95,J704&lt;=240,C704="Cj",I704=120),VLOOKUP(T704,'CAFCO 300 IDIEM TABLAS'!$B$4:$D$23,3,FALSE),0)+IF(AND(L704="Cafco 300",J704&gt;=95,J704&lt;=400,G704=3,C704="IN",I704=90),VLOOKUP(T704,'CAFCO 300 IDIEM TABLAS'!$F$4:$H$35,2,FALSE),0)+IF(AND(L704="Cafco 300",J704&gt;=95,J704&lt;=400,G704=3,C704="IN",I704=120),VLOOKUP(T704,'CAFCO 300 IDIEM TABLAS'!$F$4:$H$35,3,FALSE),0)+IF(AND(L704="Cafco 300",J704&gt;=95,J704&lt;=450,G704=4,C704="IN",I704=90),VLOOKUP(T704,'CAFCO 300 IDIEM TABLAS'!$J$4:$L$40,2,FALSE),0)+IF(AND(L704="Cafco 300",J704&gt;=95,J704&lt;=450,G704=4,C704="IN",I704=120),VLOOKUP(T704,'CAFCO 300 IDIEM TABLAS'!$J$4:$L$40,3,FALSE),0)+IF(AND(M704="Ensayo Idiem",L704="Cafco 400",C704="IN",G704=4,I704=90),VLOOKUP(T704,'CAFCO 400 ENSAYO'!$B$7:$D$43,2,FALSE),0)+IF(AND(M704="Ensayo Idiem",L704="Cafco 400",C704="IN",G704=4,I704=120),VLOOKUP(T704,'CAFCO 400 ENSAYO'!$B$7:$D$43,3,FALSE),0)</f>
        <v>0</v>
      </c>
      <c r="O704" s="96">
        <f t="shared" si="72"/>
        <v>0</v>
      </c>
      <c r="P704" s="95" t="str">
        <f t="shared" si="73"/>
        <v>N/A</v>
      </c>
      <c r="Q704" s="95" t="str">
        <f t="shared" si="74"/>
        <v>N/A</v>
      </c>
      <c r="R704" s="95" t="str">
        <f t="shared" si="75"/>
        <v>NO CERT.</v>
      </c>
      <c r="S704" s="95" t="e">
        <f t="shared" si="76"/>
        <v>#N/A</v>
      </c>
      <c r="T704" s="119" t="e">
        <f>+IF(J704=LOOKUP(J704,'CAFCO 300 IDIEM TABLAS'!$J$4:$J$40),'CALCULO MORTERO'!J704,MROUND('CALCULO MORTERO'!J704,10))</f>
        <v>#N/A</v>
      </c>
      <c r="U704" s="118">
        <f t="shared" si="77"/>
        <v>0</v>
      </c>
    </row>
    <row r="705" spans="1:21" x14ac:dyDescent="0.25">
      <c r="A705" s="118">
        <f>+CUBICACION!D699</f>
        <v>0</v>
      </c>
      <c r="B705" s="819">
        <f>+CUBICACION!E699</f>
        <v>0</v>
      </c>
      <c r="C705" s="675">
        <f>+CUBICACION!F699</f>
        <v>0</v>
      </c>
      <c r="D705" s="118"/>
      <c r="E705" s="118"/>
      <c r="F705" s="820"/>
      <c r="G705" s="675">
        <f>+CUBICACION!J699</f>
        <v>0</v>
      </c>
      <c r="H705" s="118"/>
      <c r="I705" s="821">
        <f>+CUBICACION!L699</f>
        <v>0</v>
      </c>
      <c r="J705" s="64">
        <f>+CUBICACION!M699</f>
        <v>0</v>
      </c>
      <c r="K705" s="822" t="str">
        <f>+CUBICACION!N699</f>
        <v/>
      </c>
      <c r="L705" s="118">
        <f>+CUBICACION!O699</f>
        <v>0</v>
      </c>
      <c r="M705" s="823">
        <f>+CUBICACION!P699</f>
        <v>0</v>
      </c>
      <c r="N705" s="902">
        <f>ROUND(IF(AND(L705="Blaze Shield II",M705="Software Idiem",C705="IN",G705=4),((('BLAZE SHIELD II'!$D$4*('CALCULO MORTERO'!I705^2)+'BLAZE SHIELD II'!$D$5*'CALCULO MORTERO'!I705+'BLAZE SHIELD II'!$D$6)*LN(J705))+('BLAZE SHIELD II'!$D$7*('CALCULO MORTERO'!I705^2)+'BLAZE SHIELD II'!$D$8*'CALCULO MORTERO'!I705+'BLAZE SHIELD II'!$D$9)),0)+IF(AND(L705="Blaze Shield II",M705="Software Idiem",C705="Cj"),((('BLAZE SHIELD II'!$H$4*('CALCULO MORTERO'!I705^2)+'BLAZE SHIELD II'!$H$5*'CALCULO MORTERO'!I705+'BLAZE SHIELD II'!$H$6)*LN(J705))+('BLAZE SHIELD II'!$H$7*('CALCULO MORTERO'!I705^2)+'BLAZE SHIELD II'!$H$8*'CALCULO MORTERO'!I705+'BLAZE SHIELD II'!$H$9)),0)+IF(AND(L705="Blaze Shield II",M705="Software Idiem",C705="C"),((('BLAZE SHIELD II'!$L$4*('CALCULO MORTERO'!I705^2)+'BLAZE SHIELD II'!$L$5*'CALCULO MORTERO'!I705+'BLAZE SHIELD II'!$L$6)*LN(J705))+('BLAZE SHIELD II'!$L$7*('CALCULO MORTERO'!I705^2)+'BLAZE SHIELD II'!$L$8*'CALCULO MORTERO'!I705+'BLAZE SHIELD II'!$L$9)),0)+IF(AND(L705="Blaze Shield II",M705="Software Idiem",C705="L"),((('BLAZE SHIELD II'!$L$4*('CALCULO MORTERO'!I705^2)+'BLAZE SHIELD II'!$L$5*'CALCULO MORTERO'!I705+'BLAZE SHIELD II'!$L$6)*LN(J705))+('BLAZE SHIELD II'!$L$7*('CALCULO MORTERO'!I705^2)+'BLAZE SHIELD II'!$L$8*'CALCULO MORTERO'!I705+'BLAZE SHIELD II'!$L$9)),0)+IF(AND(L705="Blaze Shield II",M705="Software Idiem",C705="IN",G705=3),((('BLAZE SHIELD II'!$H$14*('CALCULO MORTERO'!I705^2)+'BLAZE SHIELD II'!$H$15*'CALCULO MORTERO'!I705+'BLAZE SHIELD II'!$H$16)*LN(J705))+('BLAZE SHIELD II'!$H$17*('CALCULO MORTERO'!I705^2)+'BLAZE SHIELD II'!$H$18*'CALCULO MORTERO'!I705+'BLAZE SHIELD II'!$H$19)),0),0)+ROUND(IF(AND(L705="Cafco 400",M705="Software Idiem",C705="IN",G705=4),((('CAFCO 400 '!$H$7*(J705^4)+'CAFCO 400 '!$H$8*(J705^3)+'CAFCO 400 '!$H$9*(J705^2)+'CAFCO 400 '!$H$10*J705+'CAFCO 400 '!$H$11)*U705^2)+(('CAFCO 400 '!$H$12*(J705^3)+'CAFCO 400 '!$H$13*(J705^2)+'CAFCO 400 '!$H$14*J705+'CAFCO 400 '!$H$15)*U705)+('CAFCO 400 '!$H$16*(J705^2)+'CAFCO 400 '!$H$17*J705+'CAFCO 400 '!$H$18)),0)+IF(AND(L705="Cafco 400",M705="Software Idiem",C705="Cj"),(((('CAFCO 400 '!$D$7*LN(J705)+'CAFCO 400 '!$D$8)*U705^2)+(('CAFCO 400 '!$D$9*LN(J705)+'CAFCO 400 '!$D$10)*U705)+('CAFCO 400 '!$D$11*LN(J705)+'CAFCO 400 '!$D$12))),0)+IF(AND(L705="Cafco 400",M705="Software Idiem",C705="C"),((('CAFCO 400 '!$L$7*(J705^3)+'CAFCO 400 '!$L$8*(J705^2)+'CAFCO 400 '!$L$9*J705+'CAFCO 400 '!$L$10)*U705^2)+(('CAFCO 400 '!$L$11*(J705^3)+'CAFCO 400 '!$L$12*(J705^2)+'CAFCO 400 '!$L$13*J705+'CAFCO 400 '!$L$14)*U705)+('CAFCO 400 '!$L$15*LN(J705)+'CAFCO 400 '!$L$16)),0)+IF(AND(L705="Cafco 400",M705="Software Idiem",C705="L"),((('CAFCO 400 '!$L$7*(J705^3)+'CAFCO 400 '!$L$8*(J705^2)+'CAFCO 400 '!$L$9*J705+'CAFCO 400 '!$L$10)*U705^2)+(('CAFCO 400 '!$L$11*(J705^3)+'CAFCO 400 '!$L$12*(J705^2)+'CAFCO 400 '!$L$13*J705+'CAFCO 400 '!$L$14)*U705)+('CAFCO 400 '!$L$15*LN(J705)+'CAFCO 400 '!$L$16)),0)+IF(AND(L705="Cafco 400",M705="Software Idiem",C705="IN",G705=3),((('CAFCO 400 '!$D$23*(J705^2)+'CAFCO 400 '!$D$24*(J705)+'CAFCO 400 '!$D$25)*U705^2)+(('CAFCO 400 '!$D$26*(J705^2)+'CAFCO 400 '!$D$27*J705+'CAFCO 400 '!$D$28)*U705)+('CAFCO 400 '!$D$29*(J705^2)+'CAFCO 400 '!$D$30*J705+'CAFCO 400 '!$D$31)),0),0)+IF(AND(L705="Cafco 300",J705&gt;=95,J705&lt;=240,C705="Cj",I705=90),VLOOKUP(T705,'CAFCO 300 IDIEM TABLAS'!$B$4:$D$23,2,FALSE),0)+IF(AND(L705="Cafco 300",J705&gt;=95,J705&lt;=240,C705="Cj",I705=120),VLOOKUP(T705,'CAFCO 300 IDIEM TABLAS'!$B$4:$D$23,3,FALSE),0)+IF(AND(L705="Cafco 300",J705&gt;=95,J705&lt;=400,G705=3,C705="IN",I705=90),VLOOKUP(T705,'CAFCO 300 IDIEM TABLAS'!$F$4:$H$35,2,FALSE),0)+IF(AND(L705="Cafco 300",J705&gt;=95,J705&lt;=400,G705=3,C705="IN",I705=120),VLOOKUP(T705,'CAFCO 300 IDIEM TABLAS'!$F$4:$H$35,3,FALSE),0)+IF(AND(L705="Cafco 300",J705&gt;=95,J705&lt;=450,G705=4,C705="IN",I705=90),VLOOKUP(T705,'CAFCO 300 IDIEM TABLAS'!$J$4:$L$40,2,FALSE),0)+IF(AND(L705="Cafco 300",J705&gt;=95,J705&lt;=450,G705=4,C705="IN",I705=120),VLOOKUP(T705,'CAFCO 300 IDIEM TABLAS'!$J$4:$L$40,3,FALSE),0)+IF(AND(M705="Ensayo Idiem",L705="Cafco 400",C705="IN",G705=4,I705=90),VLOOKUP(T705,'CAFCO 400 ENSAYO'!$B$7:$D$43,2,FALSE),0)+IF(AND(M705="Ensayo Idiem",L705="Cafco 400",C705="IN",G705=4,I705=120),VLOOKUP(T705,'CAFCO 400 ENSAYO'!$B$7:$D$43,3,FALSE),0)</f>
        <v>0</v>
      </c>
      <c r="O705" s="96">
        <f t="shared" si="72"/>
        <v>0</v>
      </c>
      <c r="P705" s="132" t="str">
        <f t="shared" si="73"/>
        <v>N/A</v>
      </c>
      <c r="Q705" s="132" t="str">
        <f t="shared" si="74"/>
        <v>N/A</v>
      </c>
      <c r="R705" s="132" t="str">
        <f t="shared" si="75"/>
        <v>NO CERT.</v>
      </c>
      <c r="S705" s="132" t="e">
        <f t="shared" si="76"/>
        <v>#N/A</v>
      </c>
      <c r="T705" s="133" t="e">
        <f>+IF(J705=LOOKUP(J705,'CAFCO 300 IDIEM TABLAS'!$J$4:$J$40),'CALCULO MORTERO'!J705,MROUND('CALCULO MORTERO'!J705,10))</f>
        <v>#N/A</v>
      </c>
      <c r="U705" s="134">
        <f t="shared" si="77"/>
        <v>0</v>
      </c>
    </row>
    <row r="706" spans="1:21" x14ac:dyDescent="0.25">
      <c r="A706" s="118">
        <f>+CUBICACION!D700</f>
        <v>0</v>
      </c>
      <c r="B706" s="819">
        <f>+CUBICACION!E700</f>
        <v>0</v>
      </c>
      <c r="C706" s="675">
        <f>+CUBICACION!F700</f>
        <v>0</v>
      </c>
      <c r="D706" s="118"/>
      <c r="E706" s="118"/>
      <c r="F706" s="820"/>
      <c r="G706" s="675">
        <f>+CUBICACION!J700</f>
        <v>0</v>
      </c>
      <c r="H706" s="118"/>
      <c r="I706" s="821">
        <f>+CUBICACION!L700</f>
        <v>0</v>
      </c>
      <c r="J706" s="64">
        <f>+CUBICACION!M700</f>
        <v>0</v>
      </c>
      <c r="K706" s="822" t="str">
        <f>+CUBICACION!N700</f>
        <v/>
      </c>
      <c r="L706" s="118">
        <f>+CUBICACION!O700</f>
        <v>0</v>
      </c>
      <c r="M706" s="823">
        <f>+CUBICACION!P700</f>
        <v>0</v>
      </c>
      <c r="N706" s="902">
        <f>ROUND(IF(AND(L706="Blaze Shield II",M706="Software Idiem",C706="IN",G706=4),((('BLAZE SHIELD II'!$D$4*('CALCULO MORTERO'!I706^2)+'BLAZE SHIELD II'!$D$5*'CALCULO MORTERO'!I706+'BLAZE SHIELD II'!$D$6)*LN(J706))+('BLAZE SHIELD II'!$D$7*('CALCULO MORTERO'!I706^2)+'BLAZE SHIELD II'!$D$8*'CALCULO MORTERO'!I706+'BLAZE SHIELD II'!$D$9)),0)+IF(AND(L706="Blaze Shield II",M706="Software Idiem",C706="Cj"),((('BLAZE SHIELD II'!$H$4*('CALCULO MORTERO'!I706^2)+'BLAZE SHIELD II'!$H$5*'CALCULO MORTERO'!I706+'BLAZE SHIELD II'!$H$6)*LN(J706))+('BLAZE SHIELD II'!$H$7*('CALCULO MORTERO'!I706^2)+'BLAZE SHIELD II'!$H$8*'CALCULO MORTERO'!I706+'BLAZE SHIELD II'!$H$9)),0)+IF(AND(L706="Blaze Shield II",M706="Software Idiem",C706="C"),((('BLAZE SHIELD II'!$L$4*('CALCULO MORTERO'!I706^2)+'BLAZE SHIELD II'!$L$5*'CALCULO MORTERO'!I706+'BLAZE SHIELD II'!$L$6)*LN(J706))+('BLAZE SHIELD II'!$L$7*('CALCULO MORTERO'!I706^2)+'BLAZE SHIELD II'!$L$8*'CALCULO MORTERO'!I706+'BLAZE SHIELD II'!$L$9)),0)+IF(AND(L706="Blaze Shield II",M706="Software Idiem",C706="L"),((('BLAZE SHIELD II'!$L$4*('CALCULO MORTERO'!I706^2)+'BLAZE SHIELD II'!$L$5*'CALCULO MORTERO'!I706+'BLAZE SHIELD II'!$L$6)*LN(J706))+('BLAZE SHIELD II'!$L$7*('CALCULO MORTERO'!I706^2)+'BLAZE SHIELD II'!$L$8*'CALCULO MORTERO'!I706+'BLAZE SHIELD II'!$L$9)),0)+IF(AND(L706="Blaze Shield II",M706="Software Idiem",C706="IN",G706=3),((('BLAZE SHIELD II'!$H$14*('CALCULO MORTERO'!I706^2)+'BLAZE SHIELD II'!$H$15*'CALCULO MORTERO'!I706+'BLAZE SHIELD II'!$H$16)*LN(J706))+('BLAZE SHIELD II'!$H$17*('CALCULO MORTERO'!I706^2)+'BLAZE SHIELD II'!$H$18*'CALCULO MORTERO'!I706+'BLAZE SHIELD II'!$H$19)),0),0)+ROUND(IF(AND(L706="Cafco 400",M706="Software Idiem",C706="IN",G706=4),((('CAFCO 400 '!$H$7*(J706^4)+'CAFCO 400 '!$H$8*(J706^3)+'CAFCO 400 '!$H$9*(J706^2)+'CAFCO 400 '!$H$10*J706+'CAFCO 400 '!$H$11)*U706^2)+(('CAFCO 400 '!$H$12*(J706^3)+'CAFCO 400 '!$H$13*(J706^2)+'CAFCO 400 '!$H$14*J706+'CAFCO 400 '!$H$15)*U706)+('CAFCO 400 '!$H$16*(J706^2)+'CAFCO 400 '!$H$17*J706+'CAFCO 400 '!$H$18)),0)+IF(AND(L706="Cafco 400",M706="Software Idiem",C706="Cj"),(((('CAFCO 400 '!$D$7*LN(J706)+'CAFCO 400 '!$D$8)*U706^2)+(('CAFCO 400 '!$D$9*LN(J706)+'CAFCO 400 '!$D$10)*U706)+('CAFCO 400 '!$D$11*LN(J706)+'CAFCO 400 '!$D$12))),0)+IF(AND(L706="Cafco 400",M706="Software Idiem",C706="C"),((('CAFCO 400 '!$L$7*(J706^3)+'CAFCO 400 '!$L$8*(J706^2)+'CAFCO 400 '!$L$9*J706+'CAFCO 400 '!$L$10)*U706^2)+(('CAFCO 400 '!$L$11*(J706^3)+'CAFCO 400 '!$L$12*(J706^2)+'CAFCO 400 '!$L$13*J706+'CAFCO 400 '!$L$14)*U706)+('CAFCO 400 '!$L$15*LN(J706)+'CAFCO 400 '!$L$16)),0)+IF(AND(L706="Cafco 400",M706="Software Idiem",C706="L"),((('CAFCO 400 '!$L$7*(J706^3)+'CAFCO 400 '!$L$8*(J706^2)+'CAFCO 400 '!$L$9*J706+'CAFCO 400 '!$L$10)*U706^2)+(('CAFCO 400 '!$L$11*(J706^3)+'CAFCO 400 '!$L$12*(J706^2)+'CAFCO 400 '!$L$13*J706+'CAFCO 400 '!$L$14)*U706)+('CAFCO 400 '!$L$15*LN(J706)+'CAFCO 400 '!$L$16)),0)+IF(AND(L706="Cafco 400",M706="Software Idiem",C706="IN",G706=3),((('CAFCO 400 '!$D$23*(J706^2)+'CAFCO 400 '!$D$24*(J706)+'CAFCO 400 '!$D$25)*U706^2)+(('CAFCO 400 '!$D$26*(J706^2)+'CAFCO 400 '!$D$27*J706+'CAFCO 400 '!$D$28)*U706)+('CAFCO 400 '!$D$29*(J706^2)+'CAFCO 400 '!$D$30*J706+'CAFCO 400 '!$D$31)),0),0)+IF(AND(L706="Cafco 300",J706&gt;=95,J706&lt;=240,C706="Cj",I706=90),VLOOKUP(T706,'CAFCO 300 IDIEM TABLAS'!$B$4:$D$23,2,FALSE),0)+IF(AND(L706="Cafco 300",J706&gt;=95,J706&lt;=240,C706="Cj",I706=120),VLOOKUP(T706,'CAFCO 300 IDIEM TABLAS'!$B$4:$D$23,3,FALSE),0)+IF(AND(L706="Cafco 300",J706&gt;=95,J706&lt;=400,G706=3,C706="IN",I706=90),VLOOKUP(T706,'CAFCO 300 IDIEM TABLAS'!$F$4:$H$35,2,FALSE),0)+IF(AND(L706="Cafco 300",J706&gt;=95,J706&lt;=400,G706=3,C706="IN",I706=120),VLOOKUP(T706,'CAFCO 300 IDIEM TABLAS'!$F$4:$H$35,3,FALSE),0)+IF(AND(L706="Cafco 300",J706&gt;=95,J706&lt;=450,G706=4,C706="IN",I706=90),VLOOKUP(T706,'CAFCO 300 IDIEM TABLAS'!$J$4:$L$40,2,FALSE),0)+IF(AND(L706="Cafco 300",J706&gt;=95,J706&lt;=450,G706=4,C706="IN",I706=120),VLOOKUP(T706,'CAFCO 300 IDIEM TABLAS'!$J$4:$L$40,3,FALSE),0)+IF(AND(M706="Ensayo Idiem",L706="Cafco 400",C706="IN",G706=4,I706=90),VLOOKUP(T706,'CAFCO 400 ENSAYO'!$B$7:$D$43,2,FALSE),0)+IF(AND(M706="Ensayo Idiem",L706="Cafco 400",C706="IN",G706=4,I706=120),VLOOKUP(T706,'CAFCO 400 ENSAYO'!$B$7:$D$43,3,FALSE),0)</f>
        <v>0</v>
      </c>
      <c r="O706" s="96">
        <f t="shared" si="72"/>
        <v>0</v>
      </c>
      <c r="P706" s="95" t="str">
        <f t="shared" si="73"/>
        <v>N/A</v>
      </c>
      <c r="Q706" s="95" t="str">
        <f t="shared" si="74"/>
        <v>N/A</v>
      </c>
      <c r="R706" s="95" t="str">
        <f t="shared" si="75"/>
        <v>NO CERT.</v>
      </c>
      <c r="S706" s="95" t="e">
        <f t="shared" si="76"/>
        <v>#N/A</v>
      </c>
      <c r="T706" s="119" t="e">
        <f>+IF(J706=LOOKUP(J706,'CAFCO 300 IDIEM TABLAS'!$J$4:$J$40),'CALCULO MORTERO'!J706,MROUND('CALCULO MORTERO'!J706,10))</f>
        <v>#N/A</v>
      </c>
      <c r="U706" s="118">
        <f t="shared" si="77"/>
        <v>0</v>
      </c>
    </row>
    <row r="707" spans="1:21" x14ac:dyDescent="0.25">
      <c r="A707" s="118">
        <f>+CUBICACION!D701</f>
        <v>0</v>
      </c>
      <c r="B707" s="819">
        <f>+CUBICACION!E701</f>
        <v>0</v>
      </c>
      <c r="C707" s="675">
        <f>+CUBICACION!F701</f>
        <v>0</v>
      </c>
      <c r="D707" s="118"/>
      <c r="E707" s="118"/>
      <c r="F707" s="820"/>
      <c r="G707" s="675">
        <f>+CUBICACION!J701</f>
        <v>0</v>
      </c>
      <c r="H707" s="118"/>
      <c r="I707" s="821">
        <f>+CUBICACION!L701</f>
        <v>0</v>
      </c>
      <c r="J707" s="64">
        <f>+CUBICACION!M701</f>
        <v>0</v>
      </c>
      <c r="K707" s="822" t="str">
        <f>+CUBICACION!N701</f>
        <v/>
      </c>
      <c r="L707" s="118">
        <f>+CUBICACION!O701</f>
        <v>0</v>
      </c>
      <c r="M707" s="823">
        <f>+CUBICACION!P701</f>
        <v>0</v>
      </c>
      <c r="N707" s="902">
        <f>ROUND(IF(AND(L707="Blaze Shield II",M707="Software Idiem",C707="IN",G707=4),((('BLAZE SHIELD II'!$D$4*('CALCULO MORTERO'!I707^2)+'BLAZE SHIELD II'!$D$5*'CALCULO MORTERO'!I707+'BLAZE SHIELD II'!$D$6)*LN(J707))+('BLAZE SHIELD II'!$D$7*('CALCULO MORTERO'!I707^2)+'BLAZE SHIELD II'!$D$8*'CALCULO MORTERO'!I707+'BLAZE SHIELD II'!$D$9)),0)+IF(AND(L707="Blaze Shield II",M707="Software Idiem",C707="Cj"),((('BLAZE SHIELD II'!$H$4*('CALCULO MORTERO'!I707^2)+'BLAZE SHIELD II'!$H$5*'CALCULO MORTERO'!I707+'BLAZE SHIELD II'!$H$6)*LN(J707))+('BLAZE SHIELD II'!$H$7*('CALCULO MORTERO'!I707^2)+'BLAZE SHIELD II'!$H$8*'CALCULO MORTERO'!I707+'BLAZE SHIELD II'!$H$9)),0)+IF(AND(L707="Blaze Shield II",M707="Software Idiem",C707="C"),((('BLAZE SHIELD II'!$L$4*('CALCULO MORTERO'!I707^2)+'BLAZE SHIELD II'!$L$5*'CALCULO MORTERO'!I707+'BLAZE SHIELD II'!$L$6)*LN(J707))+('BLAZE SHIELD II'!$L$7*('CALCULO MORTERO'!I707^2)+'BLAZE SHIELD II'!$L$8*'CALCULO MORTERO'!I707+'BLAZE SHIELD II'!$L$9)),0)+IF(AND(L707="Blaze Shield II",M707="Software Idiem",C707="L"),((('BLAZE SHIELD II'!$L$4*('CALCULO MORTERO'!I707^2)+'BLAZE SHIELD II'!$L$5*'CALCULO MORTERO'!I707+'BLAZE SHIELD II'!$L$6)*LN(J707))+('BLAZE SHIELD II'!$L$7*('CALCULO MORTERO'!I707^2)+'BLAZE SHIELD II'!$L$8*'CALCULO MORTERO'!I707+'BLAZE SHIELD II'!$L$9)),0)+IF(AND(L707="Blaze Shield II",M707="Software Idiem",C707="IN",G707=3),((('BLAZE SHIELD II'!$H$14*('CALCULO MORTERO'!I707^2)+'BLAZE SHIELD II'!$H$15*'CALCULO MORTERO'!I707+'BLAZE SHIELD II'!$H$16)*LN(J707))+('BLAZE SHIELD II'!$H$17*('CALCULO MORTERO'!I707^2)+'BLAZE SHIELD II'!$H$18*'CALCULO MORTERO'!I707+'BLAZE SHIELD II'!$H$19)),0),0)+ROUND(IF(AND(L707="Cafco 400",M707="Software Idiem",C707="IN",G707=4),((('CAFCO 400 '!$H$7*(J707^4)+'CAFCO 400 '!$H$8*(J707^3)+'CAFCO 400 '!$H$9*(J707^2)+'CAFCO 400 '!$H$10*J707+'CAFCO 400 '!$H$11)*U707^2)+(('CAFCO 400 '!$H$12*(J707^3)+'CAFCO 400 '!$H$13*(J707^2)+'CAFCO 400 '!$H$14*J707+'CAFCO 400 '!$H$15)*U707)+('CAFCO 400 '!$H$16*(J707^2)+'CAFCO 400 '!$H$17*J707+'CAFCO 400 '!$H$18)),0)+IF(AND(L707="Cafco 400",M707="Software Idiem",C707="Cj"),(((('CAFCO 400 '!$D$7*LN(J707)+'CAFCO 400 '!$D$8)*U707^2)+(('CAFCO 400 '!$D$9*LN(J707)+'CAFCO 400 '!$D$10)*U707)+('CAFCO 400 '!$D$11*LN(J707)+'CAFCO 400 '!$D$12))),0)+IF(AND(L707="Cafco 400",M707="Software Idiem",C707="C"),((('CAFCO 400 '!$L$7*(J707^3)+'CAFCO 400 '!$L$8*(J707^2)+'CAFCO 400 '!$L$9*J707+'CAFCO 400 '!$L$10)*U707^2)+(('CAFCO 400 '!$L$11*(J707^3)+'CAFCO 400 '!$L$12*(J707^2)+'CAFCO 400 '!$L$13*J707+'CAFCO 400 '!$L$14)*U707)+('CAFCO 400 '!$L$15*LN(J707)+'CAFCO 400 '!$L$16)),0)+IF(AND(L707="Cafco 400",M707="Software Idiem",C707="L"),((('CAFCO 400 '!$L$7*(J707^3)+'CAFCO 400 '!$L$8*(J707^2)+'CAFCO 400 '!$L$9*J707+'CAFCO 400 '!$L$10)*U707^2)+(('CAFCO 400 '!$L$11*(J707^3)+'CAFCO 400 '!$L$12*(J707^2)+'CAFCO 400 '!$L$13*J707+'CAFCO 400 '!$L$14)*U707)+('CAFCO 400 '!$L$15*LN(J707)+'CAFCO 400 '!$L$16)),0)+IF(AND(L707="Cafco 400",M707="Software Idiem",C707="IN",G707=3),((('CAFCO 400 '!$D$23*(J707^2)+'CAFCO 400 '!$D$24*(J707)+'CAFCO 400 '!$D$25)*U707^2)+(('CAFCO 400 '!$D$26*(J707^2)+'CAFCO 400 '!$D$27*J707+'CAFCO 400 '!$D$28)*U707)+('CAFCO 400 '!$D$29*(J707^2)+'CAFCO 400 '!$D$30*J707+'CAFCO 400 '!$D$31)),0),0)+IF(AND(L707="Cafco 300",J707&gt;=95,J707&lt;=240,C707="Cj",I707=90),VLOOKUP(T707,'CAFCO 300 IDIEM TABLAS'!$B$4:$D$23,2,FALSE),0)+IF(AND(L707="Cafco 300",J707&gt;=95,J707&lt;=240,C707="Cj",I707=120),VLOOKUP(T707,'CAFCO 300 IDIEM TABLAS'!$B$4:$D$23,3,FALSE),0)+IF(AND(L707="Cafco 300",J707&gt;=95,J707&lt;=400,G707=3,C707="IN",I707=90),VLOOKUP(T707,'CAFCO 300 IDIEM TABLAS'!$F$4:$H$35,2,FALSE),0)+IF(AND(L707="Cafco 300",J707&gt;=95,J707&lt;=400,G707=3,C707="IN",I707=120),VLOOKUP(T707,'CAFCO 300 IDIEM TABLAS'!$F$4:$H$35,3,FALSE),0)+IF(AND(L707="Cafco 300",J707&gt;=95,J707&lt;=450,G707=4,C707="IN",I707=90),VLOOKUP(T707,'CAFCO 300 IDIEM TABLAS'!$J$4:$L$40,2,FALSE),0)+IF(AND(L707="Cafco 300",J707&gt;=95,J707&lt;=450,G707=4,C707="IN",I707=120),VLOOKUP(T707,'CAFCO 300 IDIEM TABLAS'!$J$4:$L$40,3,FALSE),0)+IF(AND(M707="Ensayo Idiem",L707="Cafco 400",C707="IN",G707=4,I707=90),VLOOKUP(T707,'CAFCO 400 ENSAYO'!$B$7:$D$43,2,FALSE),0)+IF(AND(M707="Ensayo Idiem",L707="Cafco 400",C707="IN",G707=4,I707=120),VLOOKUP(T707,'CAFCO 400 ENSAYO'!$B$7:$D$43,3,FALSE),0)</f>
        <v>0</v>
      </c>
      <c r="O707" s="96">
        <f t="shared" si="72"/>
        <v>0</v>
      </c>
      <c r="P707" s="132" t="str">
        <f t="shared" si="73"/>
        <v>N/A</v>
      </c>
      <c r="Q707" s="132" t="str">
        <f t="shared" si="74"/>
        <v>N/A</v>
      </c>
      <c r="R707" s="132" t="str">
        <f t="shared" si="75"/>
        <v>NO CERT.</v>
      </c>
      <c r="S707" s="132" t="e">
        <f t="shared" si="76"/>
        <v>#N/A</v>
      </c>
      <c r="T707" s="133" t="e">
        <f>+IF(J707=LOOKUP(J707,'CAFCO 300 IDIEM TABLAS'!$J$4:$J$40),'CALCULO MORTERO'!J707,MROUND('CALCULO MORTERO'!J707,10))</f>
        <v>#N/A</v>
      </c>
      <c r="U707" s="134">
        <f t="shared" si="77"/>
        <v>0</v>
      </c>
    </row>
    <row r="708" spans="1:21" x14ac:dyDescent="0.25">
      <c r="A708" s="118">
        <f>+CUBICACION!D702</f>
        <v>0</v>
      </c>
      <c r="B708" s="819">
        <f>+CUBICACION!E702</f>
        <v>0</v>
      </c>
      <c r="C708" s="675">
        <f>+CUBICACION!F702</f>
        <v>0</v>
      </c>
      <c r="D708" s="118"/>
      <c r="E708" s="118"/>
      <c r="F708" s="820"/>
      <c r="G708" s="675">
        <f>+CUBICACION!J702</f>
        <v>0</v>
      </c>
      <c r="H708" s="118"/>
      <c r="I708" s="821">
        <f>+CUBICACION!L702</f>
        <v>0</v>
      </c>
      <c r="J708" s="64">
        <f>+CUBICACION!M702</f>
        <v>0</v>
      </c>
      <c r="K708" s="822" t="str">
        <f>+CUBICACION!N702</f>
        <v/>
      </c>
      <c r="L708" s="118">
        <f>+CUBICACION!O702</f>
        <v>0</v>
      </c>
      <c r="M708" s="823">
        <f>+CUBICACION!P702</f>
        <v>0</v>
      </c>
      <c r="N708" s="902">
        <f>ROUND(IF(AND(L708="Blaze Shield II",M708="Software Idiem",C708="IN",G708=4),((('BLAZE SHIELD II'!$D$4*('CALCULO MORTERO'!I708^2)+'BLAZE SHIELD II'!$D$5*'CALCULO MORTERO'!I708+'BLAZE SHIELD II'!$D$6)*LN(J708))+('BLAZE SHIELD II'!$D$7*('CALCULO MORTERO'!I708^2)+'BLAZE SHIELD II'!$D$8*'CALCULO MORTERO'!I708+'BLAZE SHIELD II'!$D$9)),0)+IF(AND(L708="Blaze Shield II",M708="Software Idiem",C708="Cj"),((('BLAZE SHIELD II'!$H$4*('CALCULO MORTERO'!I708^2)+'BLAZE SHIELD II'!$H$5*'CALCULO MORTERO'!I708+'BLAZE SHIELD II'!$H$6)*LN(J708))+('BLAZE SHIELD II'!$H$7*('CALCULO MORTERO'!I708^2)+'BLAZE SHIELD II'!$H$8*'CALCULO MORTERO'!I708+'BLAZE SHIELD II'!$H$9)),0)+IF(AND(L708="Blaze Shield II",M708="Software Idiem",C708="C"),((('BLAZE SHIELD II'!$L$4*('CALCULO MORTERO'!I708^2)+'BLAZE SHIELD II'!$L$5*'CALCULO MORTERO'!I708+'BLAZE SHIELD II'!$L$6)*LN(J708))+('BLAZE SHIELD II'!$L$7*('CALCULO MORTERO'!I708^2)+'BLAZE SHIELD II'!$L$8*'CALCULO MORTERO'!I708+'BLAZE SHIELD II'!$L$9)),0)+IF(AND(L708="Blaze Shield II",M708="Software Idiem",C708="L"),((('BLAZE SHIELD II'!$L$4*('CALCULO MORTERO'!I708^2)+'BLAZE SHIELD II'!$L$5*'CALCULO MORTERO'!I708+'BLAZE SHIELD II'!$L$6)*LN(J708))+('BLAZE SHIELD II'!$L$7*('CALCULO MORTERO'!I708^2)+'BLAZE SHIELD II'!$L$8*'CALCULO MORTERO'!I708+'BLAZE SHIELD II'!$L$9)),0)+IF(AND(L708="Blaze Shield II",M708="Software Idiem",C708="IN",G708=3),((('BLAZE SHIELD II'!$H$14*('CALCULO MORTERO'!I708^2)+'BLAZE SHIELD II'!$H$15*'CALCULO MORTERO'!I708+'BLAZE SHIELD II'!$H$16)*LN(J708))+('BLAZE SHIELD II'!$H$17*('CALCULO MORTERO'!I708^2)+'BLAZE SHIELD II'!$H$18*'CALCULO MORTERO'!I708+'BLAZE SHIELD II'!$H$19)),0),0)+ROUND(IF(AND(L708="Cafco 400",M708="Software Idiem",C708="IN",G708=4),((('CAFCO 400 '!$H$7*(J708^4)+'CAFCO 400 '!$H$8*(J708^3)+'CAFCO 400 '!$H$9*(J708^2)+'CAFCO 400 '!$H$10*J708+'CAFCO 400 '!$H$11)*U708^2)+(('CAFCO 400 '!$H$12*(J708^3)+'CAFCO 400 '!$H$13*(J708^2)+'CAFCO 400 '!$H$14*J708+'CAFCO 400 '!$H$15)*U708)+('CAFCO 400 '!$H$16*(J708^2)+'CAFCO 400 '!$H$17*J708+'CAFCO 400 '!$H$18)),0)+IF(AND(L708="Cafco 400",M708="Software Idiem",C708="Cj"),(((('CAFCO 400 '!$D$7*LN(J708)+'CAFCO 400 '!$D$8)*U708^2)+(('CAFCO 400 '!$D$9*LN(J708)+'CAFCO 400 '!$D$10)*U708)+('CAFCO 400 '!$D$11*LN(J708)+'CAFCO 400 '!$D$12))),0)+IF(AND(L708="Cafco 400",M708="Software Idiem",C708="C"),((('CAFCO 400 '!$L$7*(J708^3)+'CAFCO 400 '!$L$8*(J708^2)+'CAFCO 400 '!$L$9*J708+'CAFCO 400 '!$L$10)*U708^2)+(('CAFCO 400 '!$L$11*(J708^3)+'CAFCO 400 '!$L$12*(J708^2)+'CAFCO 400 '!$L$13*J708+'CAFCO 400 '!$L$14)*U708)+('CAFCO 400 '!$L$15*LN(J708)+'CAFCO 400 '!$L$16)),0)+IF(AND(L708="Cafco 400",M708="Software Idiem",C708="L"),((('CAFCO 400 '!$L$7*(J708^3)+'CAFCO 400 '!$L$8*(J708^2)+'CAFCO 400 '!$L$9*J708+'CAFCO 400 '!$L$10)*U708^2)+(('CAFCO 400 '!$L$11*(J708^3)+'CAFCO 400 '!$L$12*(J708^2)+'CAFCO 400 '!$L$13*J708+'CAFCO 400 '!$L$14)*U708)+('CAFCO 400 '!$L$15*LN(J708)+'CAFCO 400 '!$L$16)),0)+IF(AND(L708="Cafco 400",M708="Software Idiem",C708="IN",G708=3),((('CAFCO 400 '!$D$23*(J708^2)+'CAFCO 400 '!$D$24*(J708)+'CAFCO 400 '!$D$25)*U708^2)+(('CAFCO 400 '!$D$26*(J708^2)+'CAFCO 400 '!$D$27*J708+'CAFCO 400 '!$D$28)*U708)+('CAFCO 400 '!$D$29*(J708^2)+'CAFCO 400 '!$D$30*J708+'CAFCO 400 '!$D$31)),0),0)+IF(AND(L708="Cafco 300",J708&gt;=95,J708&lt;=240,C708="Cj",I708=90),VLOOKUP(T708,'CAFCO 300 IDIEM TABLAS'!$B$4:$D$23,2,FALSE),0)+IF(AND(L708="Cafco 300",J708&gt;=95,J708&lt;=240,C708="Cj",I708=120),VLOOKUP(T708,'CAFCO 300 IDIEM TABLAS'!$B$4:$D$23,3,FALSE),0)+IF(AND(L708="Cafco 300",J708&gt;=95,J708&lt;=400,G708=3,C708="IN",I708=90),VLOOKUP(T708,'CAFCO 300 IDIEM TABLAS'!$F$4:$H$35,2,FALSE),0)+IF(AND(L708="Cafco 300",J708&gt;=95,J708&lt;=400,G708=3,C708="IN",I708=120),VLOOKUP(T708,'CAFCO 300 IDIEM TABLAS'!$F$4:$H$35,3,FALSE),0)+IF(AND(L708="Cafco 300",J708&gt;=95,J708&lt;=450,G708=4,C708="IN",I708=90),VLOOKUP(T708,'CAFCO 300 IDIEM TABLAS'!$J$4:$L$40,2,FALSE),0)+IF(AND(L708="Cafco 300",J708&gt;=95,J708&lt;=450,G708=4,C708="IN",I708=120),VLOOKUP(T708,'CAFCO 300 IDIEM TABLAS'!$J$4:$L$40,3,FALSE),0)+IF(AND(M708="Ensayo Idiem",L708="Cafco 400",C708="IN",G708=4,I708=90),VLOOKUP(T708,'CAFCO 400 ENSAYO'!$B$7:$D$43,2,FALSE),0)+IF(AND(M708="Ensayo Idiem",L708="Cafco 400",C708="IN",G708=4,I708=120),VLOOKUP(T708,'CAFCO 400 ENSAYO'!$B$7:$D$43,3,FALSE),0)</f>
        <v>0</v>
      </c>
      <c r="O708" s="96">
        <f t="shared" si="72"/>
        <v>0</v>
      </c>
      <c r="P708" s="95" t="str">
        <f t="shared" si="73"/>
        <v>N/A</v>
      </c>
      <c r="Q708" s="95" t="str">
        <f t="shared" si="74"/>
        <v>N/A</v>
      </c>
      <c r="R708" s="95" t="str">
        <f t="shared" si="75"/>
        <v>NO CERT.</v>
      </c>
      <c r="S708" s="95" t="e">
        <f t="shared" si="76"/>
        <v>#N/A</v>
      </c>
      <c r="T708" s="119" t="e">
        <f>+IF(J708=LOOKUP(J708,'CAFCO 300 IDIEM TABLAS'!$J$4:$J$40),'CALCULO MORTERO'!J708,MROUND('CALCULO MORTERO'!J708,10))</f>
        <v>#N/A</v>
      </c>
      <c r="U708" s="118">
        <f t="shared" si="77"/>
        <v>0</v>
      </c>
    </row>
    <row r="709" spans="1:21" x14ac:dyDescent="0.25">
      <c r="A709" s="118">
        <f>+CUBICACION!D703</f>
        <v>0</v>
      </c>
      <c r="B709" s="819">
        <f>+CUBICACION!E703</f>
        <v>0</v>
      </c>
      <c r="C709" s="675">
        <f>+CUBICACION!F703</f>
        <v>0</v>
      </c>
      <c r="D709" s="118"/>
      <c r="E709" s="118"/>
      <c r="F709" s="820"/>
      <c r="G709" s="675">
        <f>+CUBICACION!J703</f>
        <v>0</v>
      </c>
      <c r="H709" s="118"/>
      <c r="I709" s="821">
        <f>+CUBICACION!L703</f>
        <v>0</v>
      </c>
      <c r="J709" s="64">
        <f>+CUBICACION!M703</f>
        <v>0</v>
      </c>
      <c r="K709" s="822" t="str">
        <f>+CUBICACION!N703</f>
        <v/>
      </c>
      <c r="L709" s="118">
        <f>+CUBICACION!O703</f>
        <v>0</v>
      </c>
      <c r="M709" s="823">
        <f>+CUBICACION!P703</f>
        <v>0</v>
      </c>
      <c r="N709" s="902">
        <f>ROUND(IF(AND(L709="Blaze Shield II",M709="Software Idiem",C709="IN",G709=4),((('BLAZE SHIELD II'!$D$4*('CALCULO MORTERO'!I709^2)+'BLAZE SHIELD II'!$D$5*'CALCULO MORTERO'!I709+'BLAZE SHIELD II'!$D$6)*LN(J709))+('BLAZE SHIELD II'!$D$7*('CALCULO MORTERO'!I709^2)+'BLAZE SHIELD II'!$D$8*'CALCULO MORTERO'!I709+'BLAZE SHIELD II'!$D$9)),0)+IF(AND(L709="Blaze Shield II",M709="Software Idiem",C709="Cj"),((('BLAZE SHIELD II'!$H$4*('CALCULO MORTERO'!I709^2)+'BLAZE SHIELD II'!$H$5*'CALCULO MORTERO'!I709+'BLAZE SHIELD II'!$H$6)*LN(J709))+('BLAZE SHIELD II'!$H$7*('CALCULO MORTERO'!I709^2)+'BLAZE SHIELD II'!$H$8*'CALCULO MORTERO'!I709+'BLAZE SHIELD II'!$H$9)),0)+IF(AND(L709="Blaze Shield II",M709="Software Idiem",C709="C"),((('BLAZE SHIELD II'!$L$4*('CALCULO MORTERO'!I709^2)+'BLAZE SHIELD II'!$L$5*'CALCULO MORTERO'!I709+'BLAZE SHIELD II'!$L$6)*LN(J709))+('BLAZE SHIELD II'!$L$7*('CALCULO MORTERO'!I709^2)+'BLAZE SHIELD II'!$L$8*'CALCULO MORTERO'!I709+'BLAZE SHIELD II'!$L$9)),0)+IF(AND(L709="Blaze Shield II",M709="Software Idiem",C709="L"),((('BLAZE SHIELD II'!$L$4*('CALCULO MORTERO'!I709^2)+'BLAZE SHIELD II'!$L$5*'CALCULO MORTERO'!I709+'BLAZE SHIELD II'!$L$6)*LN(J709))+('BLAZE SHIELD II'!$L$7*('CALCULO MORTERO'!I709^2)+'BLAZE SHIELD II'!$L$8*'CALCULO MORTERO'!I709+'BLAZE SHIELD II'!$L$9)),0)+IF(AND(L709="Blaze Shield II",M709="Software Idiem",C709="IN",G709=3),((('BLAZE SHIELD II'!$H$14*('CALCULO MORTERO'!I709^2)+'BLAZE SHIELD II'!$H$15*'CALCULO MORTERO'!I709+'BLAZE SHIELD II'!$H$16)*LN(J709))+('BLAZE SHIELD II'!$H$17*('CALCULO MORTERO'!I709^2)+'BLAZE SHIELD II'!$H$18*'CALCULO MORTERO'!I709+'BLAZE SHIELD II'!$H$19)),0),0)+ROUND(IF(AND(L709="Cafco 400",M709="Software Idiem",C709="IN",G709=4),((('CAFCO 400 '!$H$7*(J709^4)+'CAFCO 400 '!$H$8*(J709^3)+'CAFCO 400 '!$H$9*(J709^2)+'CAFCO 400 '!$H$10*J709+'CAFCO 400 '!$H$11)*U709^2)+(('CAFCO 400 '!$H$12*(J709^3)+'CAFCO 400 '!$H$13*(J709^2)+'CAFCO 400 '!$H$14*J709+'CAFCO 400 '!$H$15)*U709)+('CAFCO 400 '!$H$16*(J709^2)+'CAFCO 400 '!$H$17*J709+'CAFCO 400 '!$H$18)),0)+IF(AND(L709="Cafco 400",M709="Software Idiem",C709="Cj"),(((('CAFCO 400 '!$D$7*LN(J709)+'CAFCO 400 '!$D$8)*U709^2)+(('CAFCO 400 '!$D$9*LN(J709)+'CAFCO 400 '!$D$10)*U709)+('CAFCO 400 '!$D$11*LN(J709)+'CAFCO 400 '!$D$12))),0)+IF(AND(L709="Cafco 400",M709="Software Idiem",C709="C"),((('CAFCO 400 '!$L$7*(J709^3)+'CAFCO 400 '!$L$8*(J709^2)+'CAFCO 400 '!$L$9*J709+'CAFCO 400 '!$L$10)*U709^2)+(('CAFCO 400 '!$L$11*(J709^3)+'CAFCO 400 '!$L$12*(J709^2)+'CAFCO 400 '!$L$13*J709+'CAFCO 400 '!$L$14)*U709)+('CAFCO 400 '!$L$15*LN(J709)+'CAFCO 400 '!$L$16)),0)+IF(AND(L709="Cafco 400",M709="Software Idiem",C709="L"),((('CAFCO 400 '!$L$7*(J709^3)+'CAFCO 400 '!$L$8*(J709^2)+'CAFCO 400 '!$L$9*J709+'CAFCO 400 '!$L$10)*U709^2)+(('CAFCO 400 '!$L$11*(J709^3)+'CAFCO 400 '!$L$12*(J709^2)+'CAFCO 400 '!$L$13*J709+'CAFCO 400 '!$L$14)*U709)+('CAFCO 400 '!$L$15*LN(J709)+'CAFCO 400 '!$L$16)),0)+IF(AND(L709="Cafco 400",M709="Software Idiem",C709="IN",G709=3),((('CAFCO 400 '!$D$23*(J709^2)+'CAFCO 400 '!$D$24*(J709)+'CAFCO 400 '!$D$25)*U709^2)+(('CAFCO 400 '!$D$26*(J709^2)+'CAFCO 400 '!$D$27*J709+'CAFCO 400 '!$D$28)*U709)+('CAFCO 400 '!$D$29*(J709^2)+'CAFCO 400 '!$D$30*J709+'CAFCO 400 '!$D$31)),0),0)+IF(AND(L709="Cafco 300",J709&gt;=95,J709&lt;=240,C709="Cj",I709=90),VLOOKUP(T709,'CAFCO 300 IDIEM TABLAS'!$B$4:$D$23,2,FALSE),0)+IF(AND(L709="Cafco 300",J709&gt;=95,J709&lt;=240,C709="Cj",I709=120),VLOOKUP(T709,'CAFCO 300 IDIEM TABLAS'!$B$4:$D$23,3,FALSE),0)+IF(AND(L709="Cafco 300",J709&gt;=95,J709&lt;=400,G709=3,C709="IN",I709=90),VLOOKUP(T709,'CAFCO 300 IDIEM TABLAS'!$F$4:$H$35,2,FALSE),0)+IF(AND(L709="Cafco 300",J709&gt;=95,J709&lt;=400,G709=3,C709="IN",I709=120),VLOOKUP(T709,'CAFCO 300 IDIEM TABLAS'!$F$4:$H$35,3,FALSE),0)+IF(AND(L709="Cafco 300",J709&gt;=95,J709&lt;=450,G709=4,C709="IN",I709=90),VLOOKUP(T709,'CAFCO 300 IDIEM TABLAS'!$J$4:$L$40,2,FALSE),0)+IF(AND(L709="Cafco 300",J709&gt;=95,J709&lt;=450,G709=4,C709="IN",I709=120),VLOOKUP(T709,'CAFCO 300 IDIEM TABLAS'!$J$4:$L$40,3,FALSE),0)+IF(AND(M709="Ensayo Idiem",L709="Cafco 400",C709="IN",G709=4,I709=90),VLOOKUP(T709,'CAFCO 400 ENSAYO'!$B$7:$D$43,2,FALSE),0)+IF(AND(M709="Ensayo Idiem",L709="Cafco 400",C709="IN",G709=4,I709=120),VLOOKUP(T709,'CAFCO 400 ENSAYO'!$B$7:$D$43,3,FALSE),0)</f>
        <v>0</v>
      </c>
      <c r="O709" s="96">
        <f t="shared" si="72"/>
        <v>0</v>
      </c>
      <c r="P709" s="132" t="str">
        <f t="shared" si="73"/>
        <v>N/A</v>
      </c>
      <c r="Q709" s="132" t="str">
        <f t="shared" si="74"/>
        <v>N/A</v>
      </c>
      <c r="R709" s="132" t="str">
        <f t="shared" si="75"/>
        <v>NO CERT.</v>
      </c>
      <c r="S709" s="132" t="e">
        <f t="shared" si="76"/>
        <v>#N/A</v>
      </c>
      <c r="T709" s="133" t="e">
        <f>+IF(J709=LOOKUP(J709,'CAFCO 300 IDIEM TABLAS'!$J$4:$J$40),'CALCULO MORTERO'!J709,MROUND('CALCULO MORTERO'!J709,10))</f>
        <v>#N/A</v>
      </c>
      <c r="U709" s="134">
        <f t="shared" si="77"/>
        <v>0</v>
      </c>
    </row>
    <row r="710" spans="1:21" x14ac:dyDescent="0.25">
      <c r="A710" s="118">
        <f>+CUBICACION!D704</f>
        <v>0</v>
      </c>
      <c r="B710" s="819">
        <f>+CUBICACION!E704</f>
        <v>0</v>
      </c>
      <c r="C710" s="675">
        <f>+CUBICACION!F704</f>
        <v>0</v>
      </c>
      <c r="D710" s="118"/>
      <c r="E710" s="118"/>
      <c r="F710" s="820"/>
      <c r="G710" s="675">
        <f>+CUBICACION!J704</f>
        <v>0</v>
      </c>
      <c r="H710" s="118"/>
      <c r="I710" s="821">
        <f>+CUBICACION!L704</f>
        <v>0</v>
      </c>
      <c r="J710" s="64">
        <f>+CUBICACION!M704</f>
        <v>0</v>
      </c>
      <c r="K710" s="822" t="str">
        <f>+CUBICACION!N704</f>
        <v/>
      </c>
      <c r="L710" s="118">
        <f>+CUBICACION!O704</f>
        <v>0</v>
      </c>
      <c r="M710" s="823">
        <f>+CUBICACION!P704</f>
        <v>0</v>
      </c>
      <c r="N710" s="902">
        <f>ROUND(IF(AND(L710="Blaze Shield II",M710="Software Idiem",C710="IN",G710=4),((('BLAZE SHIELD II'!$D$4*('CALCULO MORTERO'!I710^2)+'BLAZE SHIELD II'!$D$5*'CALCULO MORTERO'!I710+'BLAZE SHIELD II'!$D$6)*LN(J710))+('BLAZE SHIELD II'!$D$7*('CALCULO MORTERO'!I710^2)+'BLAZE SHIELD II'!$D$8*'CALCULO MORTERO'!I710+'BLAZE SHIELD II'!$D$9)),0)+IF(AND(L710="Blaze Shield II",M710="Software Idiem",C710="Cj"),((('BLAZE SHIELD II'!$H$4*('CALCULO MORTERO'!I710^2)+'BLAZE SHIELD II'!$H$5*'CALCULO MORTERO'!I710+'BLAZE SHIELD II'!$H$6)*LN(J710))+('BLAZE SHIELD II'!$H$7*('CALCULO MORTERO'!I710^2)+'BLAZE SHIELD II'!$H$8*'CALCULO MORTERO'!I710+'BLAZE SHIELD II'!$H$9)),0)+IF(AND(L710="Blaze Shield II",M710="Software Idiem",C710="C"),((('BLAZE SHIELD II'!$L$4*('CALCULO MORTERO'!I710^2)+'BLAZE SHIELD II'!$L$5*'CALCULO MORTERO'!I710+'BLAZE SHIELD II'!$L$6)*LN(J710))+('BLAZE SHIELD II'!$L$7*('CALCULO MORTERO'!I710^2)+'BLAZE SHIELD II'!$L$8*'CALCULO MORTERO'!I710+'BLAZE SHIELD II'!$L$9)),0)+IF(AND(L710="Blaze Shield II",M710="Software Idiem",C710="L"),((('BLAZE SHIELD II'!$L$4*('CALCULO MORTERO'!I710^2)+'BLAZE SHIELD II'!$L$5*'CALCULO MORTERO'!I710+'BLAZE SHIELD II'!$L$6)*LN(J710))+('BLAZE SHIELD II'!$L$7*('CALCULO MORTERO'!I710^2)+'BLAZE SHIELD II'!$L$8*'CALCULO MORTERO'!I710+'BLAZE SHIELD II'!$L$9)),0)+IF(AND(L710="Blaze Shield II",M710="Software Idiem",C710="IN",G710=3),((('BLAZE SHIELD II'!$H$14*('CALCULO MORTERO'!I710^2)+'BLAZE SHIELD II'!$H$15*'CALCULO MORTERO'!I710+'BLAZE SHIELD II'!$H$16)*LN(J710))+('BLAZE SHIELD II'!$H$17*('CALCULO MORTERO'!I710^2)+'BLAZE SHIELD II'!$H$18*'CALCULO MORTERO'!I710+'BLAZE SHIELD II'!$H$19)),0),0)+ROUND(IF(AND(L710="Cafco 400",M710="Software Idiem",C710="IN",G710=4),((('CAFCO 400 '!$H$7*(J710^4)+'CAFCO 400 '!$H$8*(J710^3)+'CAFCO 400 '!$H$9*(J710^2)+'CAFCO 400 '!$H$10*J710+'CAFCO 400 '!$H$11)*U710^2)+(('CAFCO 400 '!$H$12*(J710^3)+'CAFCO 400 '!$H$13*(J710^2)+'CAFCO 400 '!$H$14*J710+'CAFCO 400 '!$H$15)*U710)+('CAFCO 400 '!$H$16*(J710^2)+'CAFCO 400 '!$H$17*J710+'CAFCO 400 '!$H$18)),0)+IF(AND(L710="Cafco 400",M710="Software Idiem",C710="Cj"),(((('CAFCO 400 '!$D$7*LN(J710)+'CAFCO 400 '!$D$8)*U710^2)+(('CAFCO 400 '!$D$9*LN(J710)+'CAFCO 400 '!$D$10)*U710)+('CAFCO 400 '!$D$11*LN(J710)+'CAFCO 400 '!$D$12))),0)+IF(AND(L710="Cafco 400",M710="Software Idiem",C710="C"),((('CAFCO 400 '!$L$7*(J710^3)+'CAFCO 400 '!$L$8*(J710^2)+'CAFCO 400 '!$L$9*J710+'CAFCO 400 '!$L$10)*U710^2)+(('CAFCO 400 '!$L$11*(J710^3)+'CAFCO 400 '!$L$12*(J710^2)+'CAFCO 400 '!$L$13*J710+'CAFCO 400 '!$L$14)*U710)+('CAFCO 400 '!$L$15*LN(J710)+'CAFCO 400 '!$L$16)),0)+IF(AND(L710="Cafco 400",M710="Software Idiem",C710="L"),((('CAFCO 400 '!$L$7*(J710^3)+'CAFCO 400 '!$L$8*(J710^2)+'CAFCO 400 '!$L$9*J710+'CAFCO 400 '!$L$10)*U710^2)+(('CAFCO 400 '!$L$11*(J710^3)+'CAFCO 400 '!$L$12*(J710^2)+'CAFCO 400 '!$L$13*J710+'CAFCO 400 '!$L$14)*U710)+('CAFCO 400 '!$L$15*LN(J710)+'CAFCO 400 '!$L$16)),0)+IF(AND(L710="Cafco 400",M710="Software Idiem",C710="IN",G710=3),((('CAFCO 400 '!$D$23*(J710^2)+'CAFCO 400 '!$D$24*(J710)+'CAFCO 400 '!$D$25)*U710^2)+(('CAFCO 400 '!$D$26*(J710^2)+'CAFCO 400 '!$D$27*J710+'CAFCO 400 '!$D$28)*U710)+('CAFCO 400 '!$D$29*(J710^2)+'CAFCO 400 '!$D$30*J710+'CAFCO 400 '!$D$31)),0),0)+IF(AND(L710="Cafco 300",J710&gt;=95,J710&lt;=240,C710="Cj",I710=90),VLOOKUP(T710,'CAFCO 300 IDIEM TABLAS'!$B$4:$D$23,2,FALSE),0)+IF(AND(L710="Cafco 300",J710&gt;=95,J710&lt;=240,C710="Cj",I710=120),VLOOKUP(T710,'CAFCO 300 IDIEM TABLAS'!$B$4:$D$23,3,FALSE),0)+IF(AND(L710="Cafco 300",J710&gt;=95,J710&lt;=400,G710=3,C710="IN",I710=90),VLOOKUP(T710,'CAFCO 300 IDIEM TABLAS'!$F$4:$H$35,2,FALSE),0)+IF(AND(L710="Cafco 300",J710&gt;=95,J710&lt;=400,G710=3,C710="IN",I710=120),VLOOKUP(T710,'CAFCO 300 IDIEM TABLAS'!$F$4:$H$35,3,FALSE),0)+IF(AND(L710="Cafco 300",J710&gt;=95,J710&lt;=450,G710=4,C710="IN",I710=90),VLOOKUP(T710,'CAFCO 300 IDIEM TABLAS'!$J$4:$L$40,2,FALSE),0)+IF(AND(L710="Cafco 300",J710&gt;=95,J710&lt;=450,G710=4,C710="IN",I710=120),VLOOKUP(T710,'CAFCO 300 IDIEM TABLAS'!$J$4:$L$40,3,FALSE),0)+IF(AND(M710="Ensayo Idiem",L710="Cafco 400",C710="IN",G710=4,I710=90),VLOOKUP(T710,'CAFCO 400 ENSAYO'!$B$7:$D$43,2,FALSE),0)+IF(AND(M710="Ensayo Idiem",L710="Cafco 400",C710="IN",G710=4,I710=120),VLOOKUP(T710,'CAFCO 400 ENSAYO'!$B$7:$D$43,3,FALSE),0)</f>
        <v>0</v>
      </c>
      <c r="O710" s="96">
        <f t="shared" si="72"/>
        <v>0</v>
      </c>
      <c r="P710" s="95" t="str">
        <f t="shared" si="73"/>
        <v>N/A</v>
      </c>
      <c r="Q710" s="95" t="str">
        <f t="shared" si="74"/>
        <v>N/A</v>
      </c>
      <c r="R710" s="95" t="str">
        <f t="shared" si="75"/>
        <v>NO CERT.</v>
      </c>
      <c r="S710" s="95" t="e">
        <f t="shared" si="76"/>
        <v>#N/A</v>
      </c>
      <c r="T710" s="119" t="e">
        <f>+IF(J710=LOOKUP(J710,'CAFCO 300 IDIEM TABLAS'!$J$4:$J$40),'CALCULO MORTERO'!J710,MROUND('CALCULO MORTERO'!J710,10))</f>
        <v>#N/A</v>
      </c>
      <c r="U710" s="118">
        <f t="shared" si="77"/>
        <v>0</v>
      </c>
    </row>
    <row r="711" spans="1:21" x14ac:dyDescent="0.25">
      <c r="A711" s="118">
        <f>+CUBICACION!D705</f>
        <v>0</v>
      </c>
      <c r="B711" s="819">
        <f>+CUBICACION!E705</f>
        <v>0</v>
      </c>
      <c r="C711" s="675">
        <f>+CUBICACION!F705</f>
        <v>0</v>
      </c>
      <c r="D711" s="118"/>
      <c r="E711" s="118"/>
      <c r="F711" s="820"/>
      <c r="G711" s="675">
        <f>+CUBICACION!J705</f>
        <v>0</v>
      </c>
      <c r="H711" s="118"/>
      <c r="I711" s="821">
        <f>+CUBICACION!L705</f>
        <v>0</v>
      </c>
      <c r="J711" s="64">
        <f>+CUBICACION!M705</f>
        <v>0</v>
      </c>
      <c r="K711" s="822" t="str">
        <f>+CUBICACION!N705</f>
        <v/>
      </c>
      <c r="L711" s="118">
        <f>+CUBICACION!O705</f>
        <v>0</v>
      </c>
      <c r="M711" s="823">
        <f>+CUBICACION!P705</f>
        <v>0</v>
      </c>
      <c r="N711" s="902">
        <f>ROUND(IF(AND(L711="Blaze Shield II",M711="Software Idiem",C711="IN",G711=4),((('BLAZE SHIELD II'!$D$4*('CALCULO MORTERO'!I711^2)+'BLAZE SHIELD II'!$D$5*'CALCULO MORTERO'!I711+'BLAZE SHIELD II'!$D$6)*LN(J711))+('BLAZE SHIELD II'!$D$7*('CALCULO MORTERO'!I711^2)+'BLAZE SHIELD II'!$D$8*'CALCULO MORTERO'!I711+'BLAZE SHIELD II'!$D$9)),0)+IF(AND(L711="Blaze Shield II",M711="Software Idiem",C711="Cj"),((('BLAZE SHIELD II'!$H$4*('CALCULO MORTERO'!I711^2)+'BLAZE SHIELD II'!$H$5*'CALCULO MORTERO'!I711+'BLAZE SHIELD II'!$H$6)*LN(J711))+('BLAZE SHIELD II'!$H$7*('CALCULO MORTERO'!I711^2)+'BLAZE SHIELD II'!$H$8*'CALCULO MORTERO'!I711+'BLAZE SHIELD II'!$H$9)),0)+IF(AND(L711="Blaze Shield II",M711="Software Idiem",C711="C"),((('BLAZE SHIELD II'!$L$4*('CALCULO MORTERO'!I711^2)+'BLAZE SHIELD II'!$L$5*'CALCULO MORTERO'!I711+'BLAZE SHIELD II'!$L$6)*LN(J711))+('BLAZE SHIELD II'!$L$7*('CALCULO MORTERO'!I711^2)+'BLAZE SHIELD II'!$L$8*'CALCULO MORTERO'!I711+'BLAZE SHIELD II'!$L$9)),0)+IF(AND(L711="Blaze Shield II",M711="Software Idiem",C711="L"),((('BLAZE SHIELD II'!$L$4*('CALCULO MORTERO'!I711^2)+'BLAZE SHIELD II'!$L$5*'CALCULO MORTERO'!I711+'BLAZE SHIELD II'!$L$6)*LN(J711))+('BLAZE SHIELD II'!$L$7*('CALCULO MORTERO'!I711^2)+'BLAZE SHIELD II'!$L$8*'CALCULO MORTERO'!I711+'BLAZE SHIELD II'!$L$9)),0)+IF(AND(L711="Blaze Shield II",M711="Software Idiem",C711="IN",G711=3),((('BLAZE SHIELD II'!$H$14*('CALCULO MORTERO'!I711^2)+'BLAZE SHIELD II'!$H$15*'CALCULO MORTERO'!I711+'BLAZE SHIELD II'!$H$16)*LN(J711))+('BLAZE SHIELD II'!$H$17*('CALCULO MORTERO'!I711^2)+'BLAZE SHIELD II'!$H$18*'CALCULO MORTERO'!I711+'BLAZE SHIELD II'!$H$19)),0),0)+ROUND(IF(AND(L711="Cafco 400",M711="Software Idiem",C711="IN",G711=4),((('CAFCO 400 '!$H$7*(J711^4)+'CAFCO 400 '!$H$8*(J711^3)+'CAFCO 400 '!$H$9*(J711^2)+'CAFCO 400 '!$H$10*J711+'CAFCO 400 '!$H$11)*U711^2)+(('CAFCO 400 '!$H$12*(J711^3)+'CAFCO 400 '!$H$13*(J711^2)+'CAFCO 400 '!$H$14*J711+'CAFCO 400 '!$H$15)*U711)+('CAFCO 400 '!$H$16*(J711^2)+'CAFCO 400 '!$H$17*J711+'CAFCO 400 '!$H$18)),0)+IF(AND(L711="Cafco 400",M711="Software Idiem",C711="Cj"),(((('CAFCO 400 '!$D$7*LN(J711)+'CAFCO 400 '!$D$8)*U711^2)+(('CAFCO 400 '!$D$9*LN(J711)+'CAFCO 400 '!$D$10)*U711)+('CAFCO 400 '!$D$11*LN(J711)+'CAFCO 400 '!$D$12))),0)+IF(AND(L711="Cafco 400",M711="Software Idiem",C711="C"),((('CAFCO 400 '!$L$7*(J711^3)+'CAFCO 400 '!$L$8*(J711^2)+'CAFCO 400 '!$L$9*J711+'CAFCO 400 '!$L$10)*U711^2)+(('CAFCO 400 '!$L$11*(J711^3)+'CAFCO 400 '!$L$12*(J711^2)+'CAFCO 400 '!$L$13*J711+'CAFCO 400 '!$L$14)*U711)+('CAFCO 400 '!$L$15*LN(J711)+'CAFCO 400 '!$L$16)),0)+IF(AND(L711="Cafco 400",M711="Software Idiem",C711="L"),((('CAFCO 400 '!$L$7*(J711^3)+'CAFCO 400 '!$L$8*(J711^2)+'CAFCO 400 '!$L$9*J711+'CAFCO 400 '!$L$10)*U711^2)+(('CAFCO 400 '!$L$11*(J711^3)+'CAFCO 400 '!$L$12*(J711^2)+'CAFCO 400 '!$L$13*J711+'CAFCO 400 '!$L$14)*U711)+('CAFCO 400 '!$L$15*LN(J711)+'CAFCO 400 '!$L$16)),0)+IF(AND(L711="Cafco 400",M711="Software Idiem",C711="IN",G711=3),((('CAFCO 400 '!$D$23*(J711^2)+'CAFCO 400 '!$D$24*(J711)+'CAFCO 400 '!$D$25)*U711^2)+(('CAFCO 400 '!$D$26*(J711^2)+'CAFCO 400 '!$D$27*J711+'CAFCO 400 '!$D$28)*U711)+('CAFCO 400 '!$D$29*(J711^2)+'CAFCO 400 '!$D$30*J711+'CAFCO 400 '!$D$31)),0),0)+IF(AND(L711="Cafco 300",J711&gt;=95,J711&lt;=240,C711="Cj",I711=90),VLOOKUP(T711,'CAFCO 300 IDIEM TABLAS'!$B$4:$D$23,2,FALSE),0)+IF(AND(L711="Cafco 300",J711&gt;=95,J711&lt;=240,C711="Cj",I711=120),VLOOKUP(T711,'CAFCO 300 IDIEM TABLAS'!$B$4:$D$23,3,FALSE),0)+IF(AND(L711="Cafco 300",J711&gt;=95,J711&lt;=400,G711=3,C711="IN",I711=90),VLOOKUP(T711,'CAFCO 300 IDIEM TABLAS'!$F$4:$H$35,2,FALSE),0)+IF(AND(L711="Cafco 300",J711&gt;=95,J711&lt;=400,G711=3,C711="IN",I711=120),VLOOKUP(T711,'CAFCO 300 IDIEM TABLAS'!$F$4:$H$35,3,FALSE),0)+IF(AND(L711="Cafco 300",J711&gt;=95,J711&lt;=450,G711=4,C711="IN",I711=90),VLOOKUP(T711,'CAFCO 300 IDIEM TABLAS'!$J$4:$L$40,2,FALSE),0)+IF(AND(L711="Cafco 300",J711&gt;=95,J711&lt;=450,G711=4,C711="IN",I711=120),VLOOKUP(T711,'CAFCO 300 IDIEM TABLAS'!$J$4:$L$40,3,FALSE),0)+IF(AND(M711="Ensayo Idiem",L711="Cafco 400",C711="IN",G711=4,I711=90),VLOOKUP(T711,'CAFCO 400 ENSAYO'!$B$7:$D$43,2,FALSE),0)+IF(AND(M711="Ensayo Idiem",L711="Cafco 400",C711="IN",G711=4,I711=120),VLOOKUP(T711,'CAFCO 400 ENSAYO'!$B$7:$D$43,3,FALSE),0)</f>
        <v>0</v>
      </c>
      <c r="O711" s="96">
        <f t="shared" si="72"/>
        <v>0</v>
      </c>
      <c r="P711" s="132" t="str">
        <f t="shared" si="73"/>
        <v>N/A</v>
      </c>
      <c r="Q711" s="132" t="str">
        <f t="shared" si="74"/>
        <v>N/A</v>
      </c>
      <c r="R711" s="132" t="str">
        <f t="shared" si="75"/>
        <v>NO CERT.</v>
      </c>
      <c r="S711" s="132" t="e">
        <f t="shared" si="76"/>
        <v>#N/A</v>
      </c>
      <c r="T711" s="133" t="e">
        <f>+IF(J711=LOOKUP(J711,'CAFCO 300 IDIEM TABLAS'!$J$4:$J$40),'CALCULO MORTERO'!J711,MROUND('CALCULO MORTERO'!J711,10))</f>
        <v>#N/A</v>
      </c>
      <c r="U711" s="134">
        <f t="shared" si="77"/>
        <v>0</v>
      </c>
    </row>
    <row r="712" spans="1:21" x14ac:dyDescent="0.25">
      <c r="A712" s="118">
        <f>+CUBICACION!D706</f>
        <v>0</v>
      </c>
      <c r="B712" s="819">
        <f>+CUBICACION!E706</f>
        <v>0</v>
      </c>
      <c r="C712" s="675">
        <f>+CUBICACION!F706</f>
        <v>0</v>
      </c>
      <c r="D712" s="118"/>
      <c r="E712" s="118"/>
      <c r="F712" s="820"/>
      <c r="G712" s="675">
        <f>+CUBICACION!J706</f>
        <v>0</v>
      </c>
      <c r="H712" s="118"/>
      <c r="I712" s="821">
        <f>+CUBICACION!L706</f>
        <v>0</v>
      </c>
      <c r="J712" s="64">
        <f>+CUBICACION!M706</f>
        <v>0</v>
      </c>
      <c r="K712" s="822" t="str">
        <f>+CUBICACION!N706</f>
        <v/>
      </c>
      <c r="L712" s="118">
        <f>+CUBICACION!O706</f>
        <v>0</v>
      </c>
      <c r="M712" s="823">
        <f>+CUBICACION!P706</f>
        <v>0</v>
      </c>
      <c r="N712" s="902">
        <f>ROUND(IF(AND(L712="Blaze Shield II",M712="Software Idiem",C712="IN",G712=4),((('BLAZE SHIELD II'!$D$4*('CALCULO MORTERO'!I712^2)+'BLAZE SHIELD II'!$D$5*'CALCULO MORTERO'!I712+'BLAZE SHIELD II'!$D$6)*LN(J712))+('BLAZE SHIELD II'!$D$7*('CALCULO MORTERO'!I712^2)+'BLAZE SHIELD II'!$D$8*'CALCULO MORTERO'!I712+'BLAZE SHIELD II'!$D$9)),0)+IF(AND(L712="Blaze Shield II",M712="Software Idiem",C712="Cj"),((('BLAZE SHIELD II'!$H$4*('CALCULO MORTERO'!I712^2)+'BLAZE SHIELD II'!$H$5*'CALCULO MORTERO'!I712+'BLAZE SHIELD II'!$H$6)*LN(J712))+('BLAZE SHIELD II'!$H$7*('CALCULO MORTERO'!I712^2)+'BLAZE SHIELD II'!$H$8*'CALCULO MORTERO'!I712+'BLAZE SHIELD II'!$H$9)),0)+IF(AND(L712="Blaze Shield II",M712="Software Idiem",C712="C"),((('BLAZE SHIELD II'!$L$4*('CALCULO MORTERO'!I712^2)+'BLAZE SHIELD II'!$L$5*'CALCULO MORTERO'!I712+'BLAZE SHIELD II'!$L$6)*LN(J712))+('BLAZE SHIELD II'!$L$7*('CALCULO MORTERO'!I712^2)+'BLAZE SHIELD II'!$L$8*'CALCULO MORTERO'!I712+'BLAZE SHIELD II'!$L$9)),0)+IF(AND(L712="Blaze Shield II",M712="Software Idiem",C712="L"),((('BLAZE SHIELD II'!$L$4*('CALCULO MORTERO'!I712^2)+'BLAZE SHIELD II'!$L$5*'CALCULO MORTERO'!I712+'BLAZE SHIELD II'!$L$6)*LN(J712))+('BLAZE SHIELD II'!$L$7*('CALCULO MORTERO'!I712^2)+'BLAZE SHIELD II'!$L$8*'CALCULO MORTERO'!I712+'BLAZE SHIELD II'!$L$9)),0)+IF(AND(L712="Blaze Shield II",M712="Software Idiem",C712="IN",G712=3),((('BLAZE SHIELD II'!$H$14*('CALCULO MORTERO'!I712^2)+'BLAZE SHIELD II'!$H$15*'CALCULO MORTERO'!I712+'BLAZE SHIELD II'!$H$16)*LN(J712))+('BLAZE SHIELD II'!$H$17*('CALCULO MORTERO'!I712^2)+'BLAZE SHIELD II'!$H$18*'CALCULO MORTERO'!I712+'BLAZE SHIELD II'!$H$19)),0),0)+ROUND(IF(AND(L712="Cafco 400",M712="Software Idiem",C712="IN",G712=4),((('CAFCO 400 '!$H$7*(J712^4)+'CAFCO 400 '!$H$8*(J712^3)+'CAFCO 400 '!$H$9*(J712^2)+'CAFCO 400 '!$H$10*J712+'CAFCO 400 '!$H$11)*U712^2)+(('CAFCO 400 '!$H$12*(J712^3)+'CAFCO 400 '!$H$13*(J712^2)+'CAFCO 400 '!$H$14*J712+'CAFCO 400 '!$H$15)*U712)+('CAFCO 400 '!$H$16*(J712^2)+'CAFCO 400 '!$H$17*J712+'CAFCO 400 '!$H$18)),0)+IF(AND(L712="Cafco 400",M712="Software Idiem",C712="Cj"),(((('CAFCO 400 '!$D$7*LN(J712)+'CAFCO 400 '!$D$8)*U712^2)+(('CAFCO 400 '!$D$9*LN(J712)+'CAFCO 400 '!$D$10)*U712)+('CAFCO 400 '!$D$11*LN(J712)+'CAFCO 400 '!$D$12))),0)+IF(AND(L712="Cafco 400",M712="Software Idiem",C712="C"),((('CAFCO 400 '!$L$7*(J712^3)+'CAFCO 400 '!$L$8*(J712^2)+'CAFCO 400 '!$L$9*J712+'CAFCO 400 '!$L$10)*U712^2)+(('CAFCO 400 '!$L$11*(J712^3)+'CAFCO 400 '!$L$12*(J712^2)+'CAFCO 400 '!$L$13*J712+'CAFCO 400 '!$L$14)*U712)+('CAFCO 400 '!$L$15*LN(J712)+'CAFCO 400 '!$L$16)),0)+IF(AND(L712="Cafco 400",M712="Software Idiem",C712="L"),((('CAFCO 400 '!$L$7*(J712^3)+'CAFCO 400 '!$L$8*(J712^2)+'CAFCO 400 '!$L$9*J712+'CAFCO 400 '!$L$10)*U712^2)+(('CAFCO 400 '!$L$11*(J712^3)+'CAFCO 400 '!$L$12*(J712^2)+'CAFCO 400 '!$L$13*J712+'CAFCO 400 '!$L$14)*U712)+('CAFCO 400 '!$L$15*LN(J712)+'CAFCO 400 '!$L$16)),0)+IF(AND(L712="Cafco 400",M712="Software Idiem",C712="IN",G712=3),((('CAFCO 400 '!$D$23*(J712^2)+'CAFCO 400 '!$D$24*(J712)+'CAFCO 400 '!$D$25)*U712^2)+(('CAFCO 400 '!$D$26*(J712^2)+'CAFCO 400 '!$D$27*J712+'CAFCO 400 '!$D$28)*U712)+('CAFCO 400 '!$D$29*(J712^2)+'CAFCO 400 '!$D$30*J712+'CAFCO 400 '!$D$31)),0),0)+IF(AND(L712="Cafco 300",J712&gt;=95,J712&lt;=240,C712="Cj",I712=90),VLOOKUP(T712,'CAFCO 300 IDIEM TABLAS'!$B$4:$D$23,2,FALSE),0)+IF(AND(L712="Cafco 300",J712&gt;=95,J712&lt;=240,C712="Cj",I712=120),VLOOKUP(T712,'CAFCO 300 IDIEM TABLAS'!$B$4:$D$23,3,FALSE),0)+IF(AND(L712="Cafco 300",J712&gt;=95,J712&lt;=400,G712=3,C712="IN",I712=90),VLOOKUP(T712,'CAFCO 300 IDIEM TABLAS'!$F$4:$H$35,2,FALSE),0)+IF(AND(L712="Cafco 300",J712&gt;=95,J712&lt;=400,G712=3,C712="IN",I712=120),VLOOKUP(T712,'CAFCO 300 IDIEM TABLAS'!$F$4:$H$35,3,FALSE),0)+IF(AND(L712="Cafco 300",J712&gt;=95,J712&lt;=450,G712=4,C712="IN",I712=90),VLOOKUP(T712,'CAFCO 300 IDIEM TABLAS'!$J$4:$L$40,2,FALSE),0)+IF(AND(L712="Cafco 300",J712&gt;=95,J712&lt;=450,G712=4,C712="IN",I712=120),VLOOKUP(T712,'CAFCO 300 IDIEM TABLAS'!$J$4:$L$40,3,FALSE),0)+IF(AND(M712="Ensayo Idiem",L712="Cafco 400",C712="IN",G712=4,I712=90),VLOOKUP(T712,'CAFCO 400 ENSAYO'!$B$7:$D$43,2,FALSE),0)+IF(AND(M712="Ensayo Idiem",L712="Cafco 400",C712="IN",G712=4,I712=120),VLOOKUP(T712,'CAFCO 400 ENSAYO'!$B$7:$D$43,3,FALSE),0)</f>
        <v>0</v>
      </c>
      <c r="O712" s="96">
        <f t="shared" si="72"/>
        <v>0</v>
      </c>
      <c r="P712" s="95" t="str">
        <f t="shared" si="73"/>
        <v>N/A</v>
      </c>
      <c r="Q712" s="95" t="str">
        <f t="shared" si="74"/>
        <v>N/A</v>
      </c>
      <c r="R712" s="95" t="str">
        <f t="shared" si="75"/>
        <v>NO CERT.</v>
      </c>
      <c r="S712" s="95" t="e">
        <f t="shared" si="76"/>
        <v>#N/A</v>
      </c>
      <c r="T712" s="119" t="e">
        <f>+IF(J712=LOOKUP(J712,'CAFCO 300 IDIEM TABLAS'!$J$4:$J$40),'CALCULO MORTERO'!J712,MROUND('CALCULO MORTERO'!J712,10))</f>
        <v>#N/A</v>
      </c>
      <c r="U712" s="118">
        <f t="shared" si="77"/>
        <v>0</v>
      </c>
    </row>
    <row r="713" spans="1:21" x14ac:dyDescent="0.25">
      <c r="A713" s="118">
        <f>+CUBICACION!D707</f>
        <v>0</v>
      </c>
      <c r="B713" s="819">
        <f>+CUBICACION!E707</f>
        <v>0</v>
      </c>
      <c r="C713" s="675">
        <f>+CUBICACION!F707</f>
        <v>0</v>
      </c>
      <c r="D713" s="118"/>
      <c r="E713" s="118"/>
      <c r="F713" s="820"/>
      <c r="G713" s="675">
        <f>+CUBICACION!J707</f>
        <v>0</v>
      </c>
      <c r="H713" s="118"/>
      <c r="I713" s="821">
        <f>+CUBICACION!L707</f>
        <v>0</v>
      </c>
      <c r="J713" s="64">
        <f>+CUBICACION!M707</f>
        <v>0</v>
      </c>
      <c r="K713" s="822" t="str">
        <f>+CUBICACION!N707</f>
        <v/>
      </c>
      <c r="L713" s="118">
        <f>+CUBICACION!O707</f>
        <v>0</v>
      </c>
      <c r="M713" s="823">
        <f>+CUBICACION!P707</f>
        <v>0</v>
      </c>
      <c r="N713" s="902">
        <f>ROUND(IF(AND(L713="Blaze Shield II",M713="Software Idiem",C713="IN",G713=4),((('BLAZE SHIELD II'!$D$4*('CALCULO MORTERO'!I713^2)+'BLAZE SHIELD II'!$D$5*'CALCULO MORTERO'!I713+'BLAZE SHIELD II'!$D$6)*LN(J713))+('BLAZE SHIELD II'!$D$7*('CALCULO MORTERO'!I713^2)+'BLAZE SHIELD II'!$D$8*'CALCULO MORTERO'!I713+'BLAZE SHIELD II'!$D$9)),0)+IF(AND(L713="Blaze Shield II",M713="Software Idiem",C713="Cj"),((('BLAZE SHIELD II'!$H$4*('CALCULO MORTERO'!I713^2)+'BLAZE SHIELD II'!$H$5*'CALCULO MORTERO'!I713+'BLAZE SHIELD II'!$H$6)*LN(J713))+('BLAZE SHIELD II'!$H$7*('CALCULO MORTERO'!I713^2)+'BLAZE SHIELD II'!$H$8*'CALCULO MORTERO'!I713+'BLAZE SHIELD II'!$H$9)),0)+IF(AND(L713="Blaze Shield II",M713="Software Idiem",C713="C"),((('BLAZE SHIELD II'!$L$4*('CALCULO MORTERO'!I713^2)+'BLAZE SHIELD II'!$L$5*'CALCULO MORTERO'!I713+'BLAZE SHIELD II'!$L$6)*LN(J713))+('BLAZE SHIELD II'!$L$7*('CALCULO MORTERO'!I713^2)+'BLAZE SHIELD II'!$L$8*'CALCULO MORTERO'!I713+'BLAZE SHIELD II'!$L$9)),0)+IF(AND(L713="Blaze Shield II",M713="Software Idiem",C713="L"),((('BLAZE SHIELD II'!$L$4*('CALCULO MORTERO'!I713^2)+'BLAZE SHIELD II'!$L$5*'CALCULO MORTERO'!I713+'BLAZE SHIELD II'!$L$6)*LN(J713))+('BLAZE SHIELD II'!$L$7*('CALCULO MORTERO'!I713^2)+'BLAZE SHIELD II'!$L$8*'CALCULO MORTERO'!I713+'BLAZE SHIELD II'!$L$9)),0)+IF(AND(L713="Blaze Shield II",M713="Software Idiem",C713="IN",G713=3),((('BLAZE SHIELD II'!$H$14*('CALCULO MORTERO'!I713^2)+'BLAZE SHIELD II'!$H$15*'CALCULO MORTERO'!I713+'BLAZE SHIELD II'!$H$16)*LN(J713))+('BLAZE SHIELD II'!$H$17*('CALCULO MORTERO'!I713^2)+'BLAZE SHIELD II'!$H$18*'CALCULO MORTERO'!I713+'BLAZE SHIELD II'!$H$19)),0),0)+ROUND(IF(AND(L713="Cafco 400",M713="Software Idiem",C713="IN",G713=4),((('CAFCO 400 '!$H$7*(J713^4)+'CAFCO 400 '!$H$8*(J713^3)+'CAFCO 400 '!$H$9*(J713^2)+'CAFCO 400 '!$H$10*J713+'CAFCO 400 '!$H$11)*U713^2)+(('CAFCO 400 '!$H$12*(J713^3)+'CAFCO 400 '!$H$13*(J713^2)+'CAFCO 400 '!$H$14*J713+'CAFCO 400 '!$H$15)*U713)+('CAFCO 400 '!$H$16*(J713^2)+'CAFCO 400 '!$H$17*J713+'CAFCO 400 '!$H$18)),0)+IF(AND(L713="Cafco 400",M713="Software Idiem",C713="Cj"),(((('CAFCO 400 '!$D$7*LN(J713)+'CAFCO 400 '!$D$8)*U713^2)+(('CAFCO 400 '!$D$9*LN(J713)+'CAFCO 400 '!$D$10)*U713)+('CAFCO 400 '!$D$11*LN(J713)+'CAFCO 400 '!$D$12))),0)+IF(AND(L713="Cafco 400",M713="Software Idiem",C713="C"),((('CAFCO 400 '!$L$7*(J713^3)+'CAFCO 400 '!$L$8*(J713^2)+'CAFCO 400 '!$L$9*J713+'CAFCO 400 '!$L$10)*U713^2)+(('CAFCO 400 '!$L$11*(J713^3)+'CAFCO 400 '!$L$12*(J713^2)+'CAFCO 400 '!$L$13*J713+'CAFCO 400 '!$L$14)*U713)+('CAFCO 400 '!$L$15*LN(J713)+'CAFCO 400 '!$L$16)),0)+IF(AND(L713="Cafco 400",M713="Software Idiem",C713="L"),((('CAFCO 400 '!$L$7*(J713^3)+'CAFCO 400 '!$L$8*(J713^2)+'CAFCO 400 '!$L$9*J713+'CAFCO 400 '!$L$10)*U713^2)+(('CAFCO 400 '!$L$11*(J713^3)+'CAFCO 400 '!$L$12*(J713^2)+'CAFCO 400 '!$L$13*J713+'CAFCO 400 '!$L$14)*U713)+('CAFCO 400 '!$L$15*LN(J713)+'CAFCO 400 '!$L$16)),0)+IF(AND(L713="Cafco 400",M713="Software Idiem",C713="IN",G713=3),((('CAFCO 400 '!$D$23*(J713^2)+'CAFCO 400 '!$D$24*(J713)+'CAFCO 400 '!$D$25)*U713^2)+(('CAFCO 400 '!$D$26*(J713^2)+'CAFCO 400 '!$D$27*J713+'CAFCO 400 '!$D$28)*U713)+('CAFCO 400 '!$D$29*(J713^2)+'CAFCO 400 '!$D$30*J713+'CAFCO 400 '!$D$31)),0),0)+IF(AND(L713="Cafco 300",J713&gt;=95,J713&lt;=240,C713="Cj",I713=90),VLOOKUP(T713,'CAFCO 300 IDIEM TABLAS'!$B$4:$D$23,2,FALSE),0)+IF(AND(L713="Cafco 300",J713&gt;=95,J713&lt;=240,C713="Cj",I713=120),VLOOKUP(T713,'CAFCO 300 IDIEM TABLAS'!$B$4:$D$23,3,FALSE),0)+IF(AND(L713="Cafco 300",J713&gt;=95,J713&lt;=400,G713=3,C713="IN",I713=90),VLOOKUP(T713,'CAFCO 300 IDIEM TABLAS'!$F$4:$H$35,2,FALSE),0)+IF(AND(L713="Cafco 300",J713&gt;=95,J713&lt;=400,G713=3,C713="IN",I713=120),VLOOKUP(T713,'CAFCO 300 IDIEM TABLAS'!$F$4:$H$35,3,FALSE),0)+IF(AND(L713="Cafco 300",J713&gt;=95,J713&lt;=450,G713=4,C713="IN",I713=90),VLOOKUP(T713,'CAFCO 300 IDIEM TABLAS'!$J$4:$L$40,2,FALSE),0)+IF(AND(L713="Cafco 300",J713&gt;=95,J713&lt;=450,G713=4,C713="IN",I713=120),VLOOKUP(T713,'CAFCO 300 IDIEM TABLAS'!$J$4:$L$40,3,FALSE),0)+IF(AND(M713="Ensayo Idiem",L713="Cafco 400",C713="IN",G713=4,I713=90),VLOOKUP(T713,'CAFCO 400 ENSAYO'!$B$7:$D$43,2,FALSE),0)+IF(AND(M713="Ensayo Idiem",L713="Cafco 400",C713="IN",G713=4,I713=120),VLOOKUP(T713,'CAFCO 400 ENSAYO'!$B$7:$D$43,3,FALSE),0)</f>
        <v>0</v>
      </c>
      <c r="O713" s="96">
        <f t="shared" si="72"/>
        <v>0</v>
      </c>
      <c r="P713" s="132" t="str">
        <f t="shared" si="73"/>
        <v>N/A</v>
      </c>
      <c r="Q713" s="132" t="str">
        <f t="shared" si="74"/>
        <v>N/A</v>
      </c>
      <c r="R713" s="132" t="str">
        <f t="shared" si="75"/>
        <v>NO CERT.</v>
      </c>
      <c r="S713" s="132" t="e">
        <f t="shared" si="76"/>
        <v>#N/A</v>
      </c>
      <c r="T713" s="133" t="e">
        <f>+IF(J713=LOOKUP(J713,'CAFCO 300 IDIEM TABLAS'!$J$4:$J$40),'CALCULO MORTERO'!J713,MROUND('CALCULO MORTERO'!J713,10))</f>
        <v>#N/A</v>
      </c>
      <c r="U713" s="134">
        <f t="shared" si="77"/>
        <v>0</v>
      </c>
    </row>
    <row r="714" spans="1:21" x14ac:dyDescent="0.25">
      <c r="A714" s="118">
        <f>+CUBICACION!D708</f>
        <v>0</v>
      </c>
      <c r="B714" s="819">
        <f>+CUBICACION!E708</f>
        <v>0</v>
      </c>
      <c r="C714" s="675">
        <f>+CUBICACION!F708</f>
        <v>0</v>
      </c>
      <c r="D714" s="118"/>
      <c r="E714" s="118"/>
      <c r="F714" s="820"/>
      <c r="G714" s="675">
        <f>+CUBICACION!J708</f>
        <v>0</v>
      </c>
      <c r="H714" s="118"/>
      <c r="I714" s="821">
        <f>+CUBICACION!L708</f>
        <v>0</v>
      </c>
      <c r="J714" s="64">
        <f>+CUBICACION!M708</f>
        <v>0</v>
      </c>
      <c r="K714" s="822" t="str">
        <f>+CUBICACION!N708</f>
        <v/>
      </c>
      <c r="L714" s="118">
        <f>+CUBICACION!O708</f>
        <v>0</v>
      </c>
      <c r="M714" s="823">
        <f>+CUBICACION!P708</f>
        <v>0</v>
      </c>
      <c r="N714" s="902">
        <f>ROUND(IF(AND(L714="Blaze Shield II",M714="Software Idiem",C714="IN",G714=4),((('BLAZE SHIELD II'!$D$4*('CALCULO MORTERO'!I714^2)+'BLAZE SHIELD II'!$D$5*'CALCULO MORTERO'!I714+'BLAZE SHIELD II'!$D$6)*LN(J714))+('BLAZE SHIELD II'!$D$7*('CALCULO MORTERO'!I714^2)+'BLAZE SHIELD II'!$D$8*'CALCULO MORTERO'!I714+'BLAZE SHIELD II'!$D$9)),0)+IF(AND(L714="Blaze Shield II",M714="Software Idiem",C714="Cj"),((('BLAZE SHIELD II'!$H$4*('CALCULO MORTERO'!I714^2)+'BLAZE SHIELD II'!$H$5*'CALCULO MORTERO'!I714+'BLAZE SHIELD II'!$H$6)*LN(J714))+('BLAZE SHIELD II'!$H$7*('CALCULO MORTERO'!I714^2)+'BLAZE SHIELD II'!$H$8*'CALCULO MORTERO'!I714+'BLAZE SHIELD II'!$H$9)),0)+IF(AND(L714="Blaze Shield II",M714="Software Idiem",C714="C"),((('BLAZE SHIELD II'!$L$4*('CALCULO MORTERO'!I714^2)+'BLAZE SHIELD II'!$L$5*'CALCULO MORTERO'!I714+'BLAZE SHIELD II'!$L$6)*LN(J714))+('BLAZE SHIELD II'!$L$7*('CALCULO MORTERO'!I714^2)+'BLAZE SHIELD II'!$L$8*'CALCULO MORTERO'!I714+'BLAZE SHIELD II'!$L$9)),0)+IF(AND(L714="Blaze Shield II",M714="Software Idiem",C714="L"),((('BLAZE SHIELD II'!$L$4*('CALCULO MORTERO'!I714^2)+'BLAZE SHIELD II'!$L$5*'CALCULO MORTERO'!I714+'BLAZE SHIELD II'!$L$6)*LN(J714))+('BLAZE SHIELD II'!$L$7*('CALCULO MORTERO'!I714^2)+'BLAZE SHIELD II'!$L$8*'CALCULO MORTERO'!I714+'BLAZE SHIELD II'!$L$9)),0)+IF(AND(L714="Blaze Shield II",M714="Software Idiem",C714="IN",G714=3),((('BLAZE SHIELD II'!$H$14*('CALCULO MORTERO'!I714^2)+'BLAZE SHIELD II'!$H$15*'CALCULO MORTERO'!I714+'BLAZE SHIELD II'!$H$16)*LN(J714))+('BLAZE SHIELD II'!$H$17*('CALCULO MORTERO'!I714^2)+'BLAZE SHIELD II'!$H$18*'CALCULO MORTERO'!I714+'BLAZE SHIELD II'!$H$19)),0),0)+ROUND(IF(AND(L714="Cafco 400",M714="Software Idiem",C714="IN",G714=4),((('CAFCO 400 '!$H$7*(J714^4)+'CAFCO 400 '!$H$8*(J714^3)+'CAFCO 400 '!$H$9*(J714^2)+'CAFCO 400 '!$H$10*J714+'CAFCO 400 '!$H$11)*U714^2)+(('CAFCO 400 '!$H$12*(J714^3)+'CAFCO 400 '!$H$13*(J714^2)+'CAFCO 400 '!$H$14*J714+'CAFCO 400 '!$H$15)*U714)+('CAFCO 400 '!$H$16*(J714^2)+'CAFCO 400 '!$H$17*J714+'CAFCO 400 '!$H$18)),0)+IF(AND(L714="Cafco 400",M714="Software Idiem",C714="Cj"),(((('CAFCO 400 '!$D$7*LN(J714)+'CAFCO 400 '!$D$8)*U714^2)+(('CAFCO 400 '!$D$9*LN(J714)+'CAFCO 400 '!$D$10)*U714)+('CAFCO 400 '!$D$11*LN(J714)+'CAFCO 400 '!$D$12))),0)+IF(AND(L714="Cafco 400",M714="Software Idiem",C714="C"),((('CAFCO 400 '!$L$7*(J714^3)+'CAFCO 400 '!$L$8*(J714^2)+'CAFCO 400 '!$L$9*J714+'CAFCO 400 '!$L$10)*U714^2)+(('CAFCO 400 '!$L$11*(J714^3)+'CAFCO 400 '!$L$12*(J714^2)+'CAFCO 400 '!$L$13*J714+'CAFCO 400 '!$L$14)*U714)+('CAFCO 400 '!$L$15*LN(J714)+'CAFCO 400 '!$L$16)),0)+IF(AND(L714="Cafco 400",M714="Software Idiem",C714="L"),((('CAFCO 400 '!$L$7*(J714^3)+'CAFCO 400 '!$L$8*(J714^2)+'CAFCO 400 '!$L$9*J714+'CAFCO 400 '!$L$10)*U714^2)+(('CAFCO 400 '!$L$11*(J714^3)+'CAFCO 400 '!$L$12*(J714^2)+'CAFCO 400 '!$L$13*J714+'CAFCO 400 '!$L$14)*U714)+('CAFCO 400 '!$L$15*LN(J714)+'CAFCO 400 '!$L$16)),0)+IF(AND(L714="Cafco 400",M714="Software Idiem",C714="IN",G714=3),((('CAFCO 400 '!$D$23*(J714^2)+'CAFCO 400 '!$D$24*(J714)+'CAFCO 400 '!$D$25)*U714^2)+(('CAFCO 400 '!$D$26*(J714^2)+'CAFCO 400 '!$D$27*J714+'CAFCO 400 '!$D$28)*U714)+('CAFCO 400 '!$D$29*(J714^2)+'CAFCO 400 '!$D$30*J714+'CAFCO 400 '!$D$31)),0),0)+IF(AND(L714="Cafco 300",J714&gt;=95,J714&lt;=240,C714="Cj",I714=90),VLOOKUP(T714,'CAFCO 300 IDIEM TABLAS'!$B$4:$D$23,2,FALSE),0)+IF(AND(L714="Cafco 300",J714&gt;=95,J714&lt;=240,C714="Cj",I714=120),VLOOKUP(T714,'CAFCO 300 IDIEM TABLAS'!$B$4:$D$23,3,FALSE),0)+IF(AND(L714="Cafco 300",J714&gt;=95,J714&lt;=400,G714=3,C714="IN",I714=90),VLOOKUP(T714,'CAFCO 300 IDIEM TABLAS'!$F$4:$H$35,2,FALSE),0)+IF(AND(L714="Cafco 300",J714&gt;=95,J714&lt;=400,G714=3,C714="IN",I714=120),VLOOKUP(T714,'CAFCO 300 IDIEM TABLAS'!$F$4:$H$35,3,FALSE),0)+IF(AND(L714="Cafco 300",J714&gt;=95,J714&lt;=450,G714=4,C714="IN",I714=90),VLOOKUP(T714,'CAFCO 300 IDIEM TABLAS'!$J$4:$L$40,2,FALSE),0)+IF(AND(L714="Cafco 300",J714&gt;=95,J714&lt;=450,G714=4,C714="IN",I714=120),VLOOKUP(T714,'CAFCO 300 IDIEM TABLAS'!$J$4:$L$40,3,FALSE),0)+IF(AND(M714="Ensayo Idiem",L714="Cafco 400",C714="IN",G714=4,I714=90),VLOOKUP(T714,'CAFCO 400 ENSAYO'!$B$7:$D$43,2,FALSE),0)+IF(AND(M714="Ensayo Idiem",L714="Cafco 400",C714="IN",G714=4,I714=120),VLOOKUP(T714,'CAFCO 400 ENSAYO'!$B$7:$D$43,3,FALSE),0)</f>
        <v>0</v>
      </c>
      <c r="O714" s="96">
        <f t="shared" si="72"/>
        <v>0</v>
      </c>
      <c r="P714" s="95" t="str">
        <f t="shared" si="73"/>
        <v>N/A</v>
      </c>
      <c r="Q714" s="95" t="str">
        <f t="shared" si="74"/>
        <v>N/A</v>
      </c>
      <c r="R714" s="95" t="str">
        <f t="shared" si="75"/>
        <v>NO CERT.</v>
      </c>
      <c r="S714" s="95" t="e">
        <f t="shared" si="76"/>
        <v>#N/A</v>
      </c>
      <c r="T714" s="119" t="e">
        <f>+IF(J714=LOOKUP(J714,'CAFCO 300 IDIEM TABLAS'!$J$4:$J$40),'CALCULO MORTERO'!J714,MROUND('CALCULO MORTERO'!J714,10))</f>
        <v>#N/A</v>
      </c>
      <c r="U714" s="118">
        <f t="shared" si="77"/>
        <v>0</v>
      </c>
    </row>
    <row r="715" spans="1:21" x14ac:dyDescent="0.25">
      <c r="A715" s="118">
        <f>+CUBICACION!D709</f>
        <v>0</v>
      </c>
      <c r="B715" s="819">
        <f>+CUBICACION!E709</f>
        <v>0</v>
      </c>
      <c r="C715" s="675">
        <f>+CUBICACION!F709</f>
        <v>0</v>
      </c>
      <c r="D715" s="118"/>
      <c r="E715" s="118"/>
      <c r="F715" s="820"/>
      <c r="G715" s="675">
        <f>+CUBICACION!J709</f>
        <v>0</v>
      </c>
      <c r="H715" s="118"/>
      <c r="I715" s="821">
        <f>+CUBICACION!L709</f>
        <v>0</v>
      </c>
      <c r="J715" s="64">
        <f>+CUBICACION!M709</f>
        <v>0</v>
      </c>
      <c r="K715" s="822" t="str">
        <f>+CUBICACION!N709</f>
        <v/>
      </c>
      <c r="L715" s="118">
        <f>+CUBICACION!O709</f>
        <v>0</v>
      </c>
      <c r="M715" s="823">
        <f>+CUBICACION!P709</f>
        <v>0</v>
      </c>
      <c r="N715" s="902">
        <f>ROUND(IF(AND(L715="Blaze Shield II",M715="Software Idiem",C715="IN",G715=4),((('BLAZE SHIELD II'!$D$4*('CALCULO MORTERO'!I715^2)+'BLAZE SHIELD II'!$D$5*'CALCULO MORTERO'!I715+'BLAZE SHIELD II'!$D$6)*LN(J715))+('BLAZE SHIELD II'!$D$7*('CALCULO MORTERO'!I715^2)+'BLAZE SHIELD II'!$D$8*'CALCULO MORTERO'!I715+'BLAZE SHIELD II'!$D$9)),0)+IF(AND(L715="Blaze Shield II",M715="Software Idiem",C715="Cj"),((('BLAZE SHIELD II'!$H$4*('CALCULO MORTERO'!I715^2)+'BLAZE SHIELD II'!$H$5*'CALCULO MORTERO'!I715+'BLAZE SHIELD II'!$H$6)*LN(J715))+('BLAZE SHIELD II'!$H$7*('CALCULO MORTERO'!I715^2)+'BLAZE SHIELD II'!$H$8*'CALCULO MORTERO'!I715+'BLAZE SHIELD II'!$H$9)),0)+IF(AND(L715="Blaze Shield II",M715="Software Idiem",C715="C"),((('BLAZE SHIELD II'!$L$4*('CALCULO MORTERO'!I715^2)+'BLAZE SHIELD II'!$L$5*'CALCULO MORTERO'!I715+'BLAZE SHIELD II'!$L$6)*LN(J715))+('BLAZE SHIELD II'!$L$7*('CALCULO MORTERO'!I715^2)+'BLAZE SHIELD II'!$L$8*'CALCULO MORTERO'!I715+'BLAZE SHIELD II'!$L$9)),0)+IF(AND(L715="Blaze Shield II",M715="Software Idiem",C715="L"),((('BLAZE SHIELD II'!$L$4*('CALCULO MORTERO'!I715^2)+'BLAZE SHIELD II'!$L$5*'CALCULO MORTERO'!I715+'BLAZE SHIELD II'!$L$6)*LN(J715))+('BLAZE SHIELD II'!$L$7*('CALCULO MORTERO'!I715^2)+'BLAZE SHIELD II'!$L$8*'CALCULO MORTERO'!I715+'BLAZE SHIELD II'!$L$9)),0)+IF(AND(L715="Blaze Shield II",M715="Software Idiem",C715="IN",G715=3),((('BLAZE SHIELD II'!$H$14*('CALCULO MORTERO'!I715^2)+'BLAZE SHIELD II'!$H$15*'CALCULO MORTERO'!I715+'BLAZE SHIELD II'!$H$16)*LN(J715))+('BLAZE SHIELD II'!$H$17*('CALCULO MORTERO'!I715^2)+'BLAZE SHIELD II'!$H$18*'CALCULO MORTERO'!I715+'BLAZE SHIELD II'!$H$19)),0),0)+ROUND(IF(AND(L715="Cafco 400",M715="Software Idiem",C715="IN",G715=4),((('CAFCO 400 '!$H$7*(J715^4)+'CAFCO 400 '!$H$8*(J715^3)+'CAFCO 400 '!$H$9*(J715^2)+'CAFCO 400 '!$H$10*J715+'CAFCO 400 '!$H$11)*U715^2)+(('CAFCO 400 '!$H$12*(J715^3)+'CAFCO 400 '!$H$13*(J715^2)+'CAFCO 400 '!$H$14*J715+'CAFCO 400 '!$H$15)*U715)+('CAFCO 400 '!$H$16*(J715^2)+'CAFCO 400 '!$H$17*J715+'CAFCO 400 '!$H$18)),0)+IF(AND(L715="Cafco 400",M715="Software Idiem",C715="Cj"),(((('CAFCO 400 '!$D$7*LN(J715)+'CAFCO 400 '!$D$8)*U715^2)+(('CAFCO 400 '!$D$9*LN(J715)+'CAFCO 400 '!$D$10)*U715)+('CAFCO 400 '!$D$11*LN(J715)+'CAFCO 400 '!$D$12))),0)+IF(AND(L715="Cafco 400",M715="Software Idiem",C715="C"),((('CAFCO 400 '!$L$7*(J715^3)+'CAFCO 400 '!$L$8*(J715^2)+'CAFCO 400 '!$L$9*J715+'CAFCO 400 '!$L$10)*U715^2)+(('CAFCO 400 '!$L$11*(J715^3)+'CAFCO 400 '!$L$12*(J715^2)+'CAFCO 400 '!$L$13*J715+'CAFCO 400 '!$L$14)*U715)+('CAFCO 400 '!$L$15*LN(J715)+'CAFCO 400 '!$L$16)),0)+IF(AND(L715="Cafco 400",M715="Software Idiem",C715="L"),((('CAFCO 400 '!$L$7*(J715^3)+'CAFCO 400 '!$L$8*(J715^2)+'CAFCO 400 '!$L$9*J715+'CAFCO 400 '!$L$10)*U715^2)+(('CAFCO 400 '!$L$11*(J715^3)+'CAFCO 400 '!$L$12*(J715^2)+'CAFCO 400 '!$L$13*J715+'CAFCO 400 '!$L$14)*U715)+('CAFCO 400 '!$L$15*LN(J715)+'CAFCO 400 '!$L$16)),0)+IF(AND(L715="Cafco 400",M715="Software Idiem",C715="IN",G715=3),((('CAFCO 400 '!$D$23*(J715^2)+'CAFCO 400 '!$D$24*(J715)+'CAFCO 400 '!$D$25)*U715^2)+(('CAFCO 400 '!$D$26*(J715^2)+'CAFCO 400 '!$D$27*J715+'CAFCO 400 '!$D$28)*U715)+('CAFCO 400 '!$D$29*(J715^2)+'CAFCO 400 '!$D$30*J715+'CAFCO 400 '!$D$31)),0),0)+IF(AND(L715="Cafco 300",J715&gt;=95,J715&lt;=240,C715="Cj",I715=90),VLOOKUP(T715,'CAFCO 300 IDIEM TABLAS'!$B$4:$D$23,2,FALSE),0)+IF(AND(L715="Cafco 300",J715&gt;=95,J715&lt;=240,C715="Cj",I715=120),VLOOKUP(T715,'CAFCO 300 IDIEM TABLAS'!$B$4:$D$23,3,FALSE),0)+IF(AND(L715="Cafco 300",J715&gt;=95,J715&lt;=400,G715=3,C715="IN",I715=90),VLOOKUP(T715,'CAFCO 300 IDIEM TABLAS'!$F$4:$H$35,2,FALSE),0)+IF(AND(L715="Cafco 300",J715&gt;=95,J715&lt;=400,G715=3,C715="IN",I715=120),VLOOKUP(T715,'CAFCO 300 IDIEM TABLAS'!$F$4:$H$35,3,FALSE),0)+IF(AND(L715="Cafco 300",J715&gt;=95,J715&lt;=450,G715=4,C715="IN",I715=90),VLOOKUP(T715,'CAFCO 300 IDIEM TABLAS'!$J$4:$L$40,2,FALSE),0)+IF(AND(L715="Cafco 300",J715&gt;=95,J715&lt;=450,G715=4,C715="IN",I715=120),VLOOKUP(T715,'CAFCO 300 IDIEM TABLAS'!$J$4:$L$40,3,FALSE),0)+IF(AND(M715="Ensayo Idiem",L715="Cafco 400",C715="IN",G715=4,I715=90),VLOOKUP(T715,'CAFCO 400 ENSAYO'!$B$7:$D$43,2,FALSE),0)+IF(AND(M715="Ensayo Idiem",L715="Cafco 400",C715="IN",G715=4,I715=120),VLOOKUP(T715,'CAFCO 400 ENSAYO'!$B$7:$D$43,3,FALSE),0)</f>
        <v>0</v>
      </c>
      <c r="O715" s="96">
        <f t="shared" ref="O715:O778" si="78">((IF(L715="Blaze Shield II",((K715*N715*0.43)/38),IF(L715="Cafco 400",((K715*N715*0.43)/23),IF(L715="Cafco 300",((K715*N715*0.43)/31.16),0)))))</f>
        <v>0</v>
      </c>
      <c r="P715" s="132" t="str">
        <f t="shared" si="73"/>
        <v>N/A</v>
      </c>
      <c r="Q715" s="132" t="str">
        <f t="shared" si="74"/>
        <v>N/A</v>
      </c>
      <c r="R715" s="132" t="str">
        <f t="shared" si="75"/>
        <v>NO CERT.</v>
      </c>
      <c r="S715" s="132" t="e">
        <f t="shared" si="76"/>
        <v>#N/A</v>
      </c>
      <c r="T715" s="133" t="e">
        <f>+IF(J715=LOOKUP(J715,'CAFCO 300 IDIEM TABLAS'!$J$4:$J$40),'CALCULO MORTERO'!J715,MROUND('CALCULO MORTERO'!J715,10))</f>
        <v>#N/A</v>
      </c>
      <c r="U715" s="134">
        <f t="shared" si="77"/>
        <v>0</v>
      </c>
    </row>
    <row r="716" spans="1:21" x14ac:dyDescent="0.25">
      <c r="A716" s="118">
        <f>+CUBICACION!D710</f>
        <v>0</v>
      </c>
      <c r="B716" s="819">
        <f>+CUBICACION!E710</f>
        <v>0</v>
      </c>
      <c r="C716" s="675">
        <f>+CUBICACION!F710</f>
        <v>0</v>
      </c>
      <c r="D716" s="118"/>
      <c r="E716" s="118"/>
      <c r="F716" s="820"/>
      <c r="G716" s="675">
        <f>+CUBICACION!J710</f>
        <v>0</v>
      </c>
      <c r="H716" s="118"/>
      <c r="I716" s="821">
        <f>+CUBICACION!L710</f>
        <v>0</v>
      </c>
      <c r="J716" s="64">
        <f>+CUBICACION!M710</f>
        <v>0</v>
      </c>
      <c r="K716" s="822" t="str">
        <f>+CUBICACION!N710</f>
        <v/>
      </c>
      <c r="L716" s="118">
        <f>+CUBICACION!O710</f>
        <v>0</v>
      </c>
      <c r="M716" s="823">
        <f>+CUBICACION!P710</f>
        <v>0</v>
      </c>
      <c r="N716" s="902">
        <f>ROUND(IF(AND(L716="Blaze Shield II",M716="Software Idiem",C716="IN",G716=4),((('BLAZE SHIELD II'!$D$4*('CALCULO MORTERO'!I716^2)+'BLAZE SHIELD II'!$D$5*'CALCULO MORTERO'!I716+'BLAZE SHIELD II'!$D$6)*LN(J716))+('BLAZE SHIELD II'!$D$7*('CALCULO MORTERO'!I716^2)+'BLAZE SHIELD II'!$D$8*'CALCULO MORTERO'!I716+'BLAZE SHIELD II'!$D$9)),0)+IF(AND(L716="Blaze Shield II",M716="Software Idiem",C716="Cj"),((('BLAZE SHIELD II'!$H$4*('CALCULO MORTERO'!I716^2)+'BLAZE SHIELD II'!$H$5*'CALCULO MORTERO'!I716+'BLAZE SHIELD II'!$H$6)*LN(J716))+('BLAZE SHIELD II'!$H$7*('CALCULO MORTERO'!I716^2)+'BLAZE SHIELD II'!$H$8*'CALCULO MORTERO'!I716+'BLAZE SHIELD II'!$H$9)),0)+IF(AND(L716="Blaze Shield II",M716="Software Idiem",C716="C"),((('BLAZE SHIELD II'!$L$4*('CALCULO MORTERO'!I716^2)+'BLAZE SHIELD II'!$L$5*'CALCULO MORTERO'!I716+'BLAZE SHIELD II'!$L$6)*LN(J716))+('BLAZE SHIELD II'!$L$7*('CALCULO MORTERO'!I716^2)+'BLAZE SHIELD II'!$L$8*'CALCULO MORTERO'!I716+'BLAZE SHIELD II'!$L$9)),0)+IF(AND(L716="Blaze Shield II",M716="Software Idiem",C716="L"),((('BLAZE SHIELD II'!$L$4*('CALCULO MORTERO'!I716^2)+'BLAZE SHIELD II'!$L$5*'CALCULO MORTERO'!I716+'BLAZE SHIELD II'!$L$6)*LN(J716))+('BLAZE SHIELD II'!$L$7*('CALCULO MORTERO'!I716^2)+'BLAZE SHIELD II'!$L$8*'CALCULO MORTERO'!I716+'BLAZE SHIELD II'!$L$9)),0)+IF(AND(L716="Blaze Shield II",M716="Software Idiem",C716="IN",G716=3),((('BLAZE SHIELD II'!$H$14*('CALCULO MORTERO'!I716^2)+'BLAZE SHIELD II'!$H$15*'CALCULO MORTERO'!I716+'BLAZE SHIELD II'!$H$16)*LN(J716))+('BLAZE SHIELD II'!$H$17*('CALCULO MORTERO'!I716^2)+'BLAZE SHIELD II'!$H$18*'CALCULO MORTERO'!I716+'BLAZE SHIELD II'!$H$19)),0),0)+ROUND(IF(AND(L716="Cafco 400",M716="Software Idiem",C716="IN",G716=4),((('CAFCO 400 '!$H$7*(J716^4)+'CAFCO 400 '!$H$8*(J716^3)+'CAFCO 400 '!$H$9*(J716^2)+'CAFCO 400 '!$H$10*J716+'CAFCO 400 '!$H$11)*U716^2)+(('CAFCO 400 '!$H$12*(J716^3)+'CAFCO 400 '!$H$13*(J716^2)+'CAFCO 400 '!$H$14*J716+'CAFCO 400 '!$H$15)*U716)+('CAFCO 400 '!$H$16*(J716^2)+'CAFCO 400 '!$H$17*J716+'CAFCO 400 '!$H$18)),0)+IF(AND(L716="Cafco 400",M716="Software Idiem",C716="Cj"),(((('CAFCO 400 '!$D$7*LN(J716)+'CAFCO 400 '!$D$8)*U716^2)+(('CAFCO 400 '!$D$9*LN(J716)+'CAFCO 400 '!$D$10)*U716)+('CAFCO 400 '!$D$11*LN(J716)+'CAFCO 400 '!$D$12))),0)+IF(AND(L716="Cafco 400",M716="Software Idiem",C716="C"),((('CAFCO 400 '!$L$7*(J716^3)+'CAFCO 400 '!$L$8*(J716^2)+'CAFCO 400 '!$L$9*J716+'CAFCO 400 '!$L$10)*U716^2)+(('CAFCO 400 '!$L$11*(J716^3)+'CAFCO 400 '!$L$12*(J716^2)+'CAFCO 400 '!$L$13*J716+'CAFCO 400 '!$L$14)*U716)+('CAFCO 400 '!$L$15*LN(J716)+'CAFCO 400 '!$L$16)),0)+IF(AND(L716="Cafco 400",M716="Software Idiem",C716="L"),((('CAFCO 400 '!$L$7*(J716^3)+'CAFCO 400 '!$L$8*(J716^2)+'CAFCO 400 '!$L$9*J716+'CAFCO 400 '!$L$10)*U716^2)+(('CAFCO 400 '!$L$11*(J716^3)+'CAFCO 400 '!$L$12*(J716^2)+'CAFCO 400 '!$L$13*J716+'CAFCO 400 '!$L$14)*U716)+('CAFCO 400 '!$L$15*LN(J716)+'CAFCO 400 '!$L$16)),0)+IF(AND(L716="Cafco 400",M716="Software Idiem",C716="IN",G716=3),((('CAFCO 400 '!$D$23*(J716^2)+'CAFCO 400 '!$D$24*(J716)+'CAFCO 400 '!$D$25)*U716^2)+(('CAFCO 400 '!$D$26*(J716^2)+'CAFCO 400 '!$D$27*J716+'CAFCO 400 '!$D$28)*U716)+('CAFCO 400 '!$D$29*(J716^2)+'CAFCO 400 '!$D$30*J716+'CAFCO 400 '!$D$31)),0),0)+IF(AND(L716="Cafco 300",J716&gt;=95,J716&lt;=240,C716="Cj",I716=90),VLOOKUP(T716,'CAFCO 300 IDIEM TABLAS'!$B$4:$D$23,2,FALSE),0)+IF(AND(L716="Cafco 300",J716&gt;=95,J716&lt;=240,C716="Cj",I716=120),VLOOKUP(T716,'CAFCO 300 IDIEM TABLAS'!$B$4:$D$23,3,FALSE),0)+IF(AND(L716="Cafco 300",J716&gt;=95,J716&lt;=400,G716=3,C716="IN",I716=90),VLOOKUP(T716,'CAFCO 300 IDIEM TABLAS'!$F$4:$H$35,2,FALSE),0)+IF(AND(L716="Cafco 300",J716&gt;=95,J716&lt;=400,G716=3,C716="IN",I716=120),VLOOKUP(T716,'CAFCO 300 IDIEM TABLAS'!$F$4:$H$35,3,FALSE),0)+IF(AND(L716="Cafco 300",J716&gt;=95,J716&lt;=450,G716=4,C716="IN",I716=90),VLOOKUP(T716,'CAFCO 300 IDIEM TABLAS'!$J$4:$L$40,2,FALSE),0)+IF(AND(L716="Cafco 300",J716&gt;=95,J716&lt;=450,G716=4,C716="IN",I716=120),VLOOKUP(T716,'CAFCO 300 IDIEM TABLAS'!$J$4:$L$40,3,FALSE),0)+IF(AND(M716="Ensayo Idiem",L716="Cafco 400",C716="IN",G716=4,I716=90),VLOOKUP(T716,'CAFCO 400 ENSAYO'!$B$7:$D$43,2,FALSE),0)+IF(AND(M716="Ensayo Idiem",L716="Cafco 400",C716="IN",G716=4,I716=120),VLOOKUP(T716,'CAFCO 400 ENSAYO'!$B$7:$D$43,3,FALSE),0)</f>
        <v>0</v>
      </c>
      <c r="O716" s="96">
        <f t="shared" si="78"/>
        <v>0</v>
      </c>
      <c r="P716" s="95" t="str">
        <f t="shared" si="73"/>
        <v>N/A</v>
      </c>
      <c r="Q716" s="95" t="str">
        <f t="shared" si="74"/>
        <v>N/A</v>
      </c>
      <c r="R716" s="95" t="str">
        <f t="shared" si="75"/>
        <v>NO CERT.</v>
      </c>
      <c r="S716" s="95" t="e">
        <f t="shared" si="76"/>
        <v>#N/A</v>
      </c>
      <c r="T716" s="119" t="e">
        <f>+IF(J716=LOOKUP(J716,'CAFCO 300 IDIEM TABLAS'!$J$4:$J$40),'CALCULO MORTERO'!J716,MROUND('CALCULO MORTERO'!J716,10))</f>
        <v>#N/A</v>
      </c>
      <c r="U716" s="118">
        <f t="shared" si="77"/>
        <v>0</v>
      </c>
    </row>
    <row r="717" spans="1:21" x14ac:dyDescent="0.25">
      <c r="A717" s="118">
        <f>+CUBICACION!D711</f>
        <v>0</v>
      </c>
      <c r="B717" s="819">
        <f>+CUBICACION!E711</f>
        <v>0</v>
      </c>
      <c r="C717" s="675">
        <f>+CUBICACION!F711</f>
        <v>0</v>
      </c>
      <c r="D717" s="118"/>
      <c r="E717" s="118"/>
      <c r="F717" s="820"/>
      <c r="G717" s="675">
        <f>+CUBICACION!J711</f>
        <v>0</v>
      </c>
      <c r="H717" s="118"/>
      <c r="I717" s="821">
        <f>+CUBICACION!L711</f>
        <v>0</v>
      </c>
      <c r="J717" s="64">
        <f>+CUBICACION!M711</f>
        <v>0</v>
      </c>
      <c r="K717" s="822" t="str">
        <f>+CUBICACION!N711</f>
        <v/>
      </c>
      <c r="L717" s="118">
        <f>+CUBICACION!O711</f>
        <v>0</v>
      </c>
      <c r="M717" s="823">
        <f>+CUBICACION!P711</f>
        <v>0</v>
      </c>
      <c r="N717" s="902">
        <f>ROUND(IF(AND(L717="Blaze Shield II",M717="Software Idiem",C717="IN",G717=4),((('BLAZE SHIELD II'!$D$4*('CALCULO MORTERO'!I717^2)+'BLAZE SHIELD II'!$D$5*'CALCULO MORTERO'!I717+'BLAZE SHIELD II'!$D$6)*LN(J717))+('BLAZE SHIELD II'!$D$7*('CALCULO MORTERO'!I717^2)+'BLAZE SHIELD II'!$D$8*'CALCULO MORTERO'!I717+'BLAZE SHIELD II'!$D$9)),0)+IF(AND(L717="Blaze Shield II",M717="Software Idiem",C717="Cj"),((('BLAZE SHIELD II'!$H$4*('CALCULO MORTERO'!I717^2)+'BLAZE SHIELD II'!$H$5*'CALCULO MORTERO'!I717+'BLAZE SHIELD II'!$H$6)*LN(J717))+('BLAZE SHIELD II'!$H$7*('CALCULO MORTERO'!I717^2)+'BLAZE SHIELD II'!$H$8*'CALCULO MORTERO'!I717+'BLAZE SHIELD II'!$H$9)),0)+IF(AND(L717="Blaze Shield II",M717="Software Idiem",C717="C"),((('BLAZE SHIELD II'!$L$4*('CALCULO MORTERO'!I717^2)+'BLAZE SHIELD II'!$L$5*'CALCULO MORTERO'!I717+'BLAZE SHIELD II'!$L$6)*LN(J717))+('BLAZE SHIELD II'!$L$7*('CALCULO MORTERO'!I717^2)+'BLAZE SHIELD II'!$L$8*'CALCULO MORTERO'!I717+'BLAZE SHIELD II'!$L$9)),0)+IF(AND(L717="Blaze Shield II",M717="Software Idiem",C717="L"),((('BLAZE SHIELD II'!$L$4*('CALCULO MORTERO'!I717^2)+'BLAZE SHIELD II'!$L$5*'CALCULO MORTERO'!I717+'BLAZE SHIELD II'!$L$6)*LN(J717))+('BLAZE SHIELD II'!$L$7*('CALCULO MORTERO'!I717^2)+'BLAZE SHIELD II'!$L$8*'CALCULO MORTERO'!I717+'BLAZE SHIELD II'!$L$9)),0)+IF(AND(L717="Blaze Shield II",M717="Software Idiem",C717="IN",G717=3),((('BLAZE SHIELD II'!$H$14*('CALCULO MORTERO'!I717^2)+'BLAZE SHIELD II'!$H$15*'CALCULO MORTERO'!I717+'BLAZE SHIELD II'!$H$16)*LN(J717))+('BLAZE SHIELD II'!$H$17*('CALCULO MORTERO'!I717^2)+'BLAZE SHIELD II'!$H$18*'CALCULO MORTERO'!I717+'BLAZE SHIELD II'!$H$19)),0),0)+ROUND(IF(AND(L717="Cafco 400",M717="Software Idiem",C717="IN",G717=4),((('CAFCO 400 '!$H$7*(J717^4)+'CAFCO 400 '!$H$8*(J717^3)+'CAFCO 400 '!$H$9*(J717^2)+'CAFCO 400 '!$H$10*J717+'CAFCO 400 '!$H$11)*U717^2)+(('CAFCO 400 '!$H$12*(J717^3)+'CAFCO 400 '!$H$13*(J717^2)+'CAFCO 400 '!$H$14*J717+'CAFCO 400 '!$H$15)*U717)+('CAFCO 400 '!$H$16*(J717^2)+'CAFCO 400 '!$H$17*J717+'CAFCO 400 '!$H$18)),0)+IF(AND(L717="Cafco 400",M717="Software Idiem",C717="Cj"),(((('CAFCO 400 '!$D$7*LN(J717)+'CAFCO 400 '!$D$8)*U717^2)+(('CAFCO 400 '!$D$9*LN(J717)+'CAFCO 400 '!$D$10)*U717)+('CAFCO 400 '!$D$11*LN(J717)+'CAFCO 400 '!$D$12))),0)+IF(AND(L717="Cafco 400",M717="Software Idiem",C717="C"),((('CAFCO 400 '!$L$7*(J717^3)+'CAFCO 400 '!$L$8*(J717^2)+'CAFCO 400 '!$L$9*J717+'CAFCO 400 '!$L$10)*U717^2)+(('CAFCO 400 '!$L$11*(J717^3)+'CAFCO 400 '!$L$12*(J717^2)+'CAFCO 400 '!$L$13*J717+'CAFCO 400 '!$L$14)*U717)+('CAFCO 400 '!$L$15*LN(J717)+'CAFCO 400 '!$L$16)),0)+IF(AND(L717="Cafco 400",M717="Software Idiem",C717="L"),((('CAFCO 400 '!$L$7*(J717^3)+'CAFCO 400 '!$L$8*(J717^2)+'CAFCO 400 '!$L$9*J717+'CAFCO 400 '!$L$10)*U717^2)+(('CAFCO 400 '!$L$11*(J717^3)+'CAFCO 400 '!$L$12*(J717^2)+'CAFCO 400 '!$L$13*J717+'CAFCO 400 '!$L$14)*U717)+('CAFCO 400 '!$L$15*LN(J717)+'CAFCO 400 '!$L$16)),0)+IF(AND(L717="Cafco 400",M717="Software Idiem",C717="IN",G717=3),((('CAFCO 400 '!$D$23*(J717^2)+'CAFCO 400 '!$D$24*(J717)+'CAFCO 400 '!$D$25)*U717^2)+(('CAFCO 400 '!$D$26*(J717^2)+'CAFCO 400 '!$D$27*J717+'CAFCO 400 '!$D$28)*U717)+('CAFCO 400 '!$D$29*(J717^2)+'CAFCO 400 '!$D$30*J717+'CAFCO 400 '!$D$31)),0),0)+IF(AND(L717="Cafco 300",J717&gt;=95,J717&lt;=240,C717="Cj",I717=90),VLOOKUP(T717,'CAFCO 300 IDIEM TABLAS'!$B$4:$D$23,2,FALSE),0)+IF(AND(L717="Cafco 300",J717&gt;=95,J717&lt;=240,C717="Cj",I717=120),VLOOKUP(T717,'CAFCO 300 IDIEM TABLAS'!$B$4:$D$23,3,FALSE),0)+IF(AND(L717="Cafco 300",J717&gt;=95,J717&lt;=400,G717=3,C717="IN",I717=90),VLOOKUP(T717,'CAFCO 300 IDIEM TABLAS'!$F$4:$H$35,2,FALSE),0)+IF(AND(L717="Cafco 300",J717&gt;=95,J717&lt;=400,G717=3,C717="IN",I717=120),VLOOKUP(T717,'CAFCO 300 IDIEM TABLAS'!$F$4:$H$35,3,FALSE),0)+IF(AND(L717="Cafco 300",J717&gt;=95,J717&lt;=450,G717=4,C717="IN",I717=90),VLOOKUP(T717,'CAFCO 300 IDIEM TABLAS'!$J$4:$L$40,2,FALSE),0)+IF(AND(L717="Cafco 300",J717&gt;=95,J717&lt;=450,G717=4,C717="IN",I717=120),VLOOKUP(T717,'CAFCO 300 IDIEM TABLAS'!$J$4:$L$40,3,FALSE),0)+IF(AND(M717="Ensayo Idiem",L717="Cafco 400",C717="IN",G717=4,I717=90),VLOOKUP(T717,'CAFCO 400 ENSAYO'!$B$7:$D$43,2,FALSE),0)+IF(AND(M717="Ensayo Idiem",L717="Cafco 400",C717="IN",G717=4,I717=120),VLOOKUP(T717,'CAFCO 400 ENSAYO'!$B$7:$D$43,3,FALSE),0)</f>
        <v>0</v>
      </c>
      <c r="O717" s="96">
        <f t="shared" si="78"/>
        <v>0</v>
      </c>
      <c r="P717" s="132" t="str">
        <f t="shared" si="73"/>
        <v>N/A</v>
      </c>
      <c r="Q717" s="132" t="str">
        <f t="shared" si="74"/>
        <v>N/A</v>
      </c>
      <c r="R717" s="132" t="str">
        <f t="shared" si="75"/>
        <v>NO CERT.</v>
      </c>
      <c r="S717" s="132" t="e">
        <f t="shared" si="76"/>
        <v>#N/A</v>
      </c>
      <c r="T717" s="133" t="e">
        <f>+IF(J717=LOOKUP(J717,'CAFCO 300 IDIEM TABLAS'!$J$4:$J$40),'CALCULO MORTERO'!J717,MROUND('CALCULO MORTERO'!J717,10))</f>
        <v>#N/A</v>
      </c>
      <c r="U717" s="134">
        <f t="shared" si="77"/>
        <v>0</v>
      </c>
    </row>
    <row r="718" spans="1:21" x14ac:dyDescent="0.25">
      <c r="A718" s="118">
        <f>+CUBICACION!D712</f>
        <v>0</v>
      </c>
      <c r="B718" s="819">
        <f>+CUBICACION!E712</f>
        <v>0</v>
      </c>
      <c r="C718" s="675">
        <f>+CUBICACION!F712</f>
        <v>0</v>
      </c>
      <c r="D718" s="118"/>
      <c r="E718" s="118"/>
      <c r="F718" s="820"/>
      <c r="G718" s="675">
        <f>+CUBICACION!J712</f>
        <v>0</v>
      </c>
      <c r="H718" s="118"/>
      <c r="I718" s="821">
        <f>+CUBICACION!L712</f>
        <v>0</v>
      </c>
      <c r="J718" s="64">
        <f>+CUBICACION!M712</f>
        <v>0</v>
      </c>
      <c r="K718" s="822" t="str">
        <f>+CUBICACION!N712</f>
        <v/>
      </c>
      <c r="L718" s="118">
        <f>+CUBICACION!O712</f>
        <v>0</v>
      </c>
      <c r="M718" s="823">
        <f>+CUBICACION!P712</f>
        <v>0</v>
      </c>
      <c r="N718" s="902">
        <f>ROUND(IF(AND(L718="Blaze Shield II",M718="Software Idiem",C718="IN",G718=4),((('BLAZE SHIELD II'!$D$4*('CALCULO MORTERO'!I718^2)+'BLAZE SHIELD II'!$D$5*'CALCULO MORTERO'!I718+'BLAZE SHIELD II'!$D$6)*LN(J718))+('BLAZE SHIELD II'!$D$7*('CALCULO MORTERO'!I718^2)+'BLAZE SHIELD II'!$D$8*'CALCULO MORTERO'!I718+'BLAZE SHIELD II'!$D$9)),0)+IF(AND(L718="Blaze Shield II",M718="Software Idiem",C718="Cj"),((('BLAZE SHIELD II'!$H$4*('CALCULO MORTERO'!I718^2)+'BLAZE SHIELD II'!$H$5*'CALCULO MORTERO'!I718+'BLAZE SHIELD II'!$H$6)*LN(J718))+('BLAZE SHIELD II'!$H$7*('CALCULO MORTERO'!I718^2)+'BLAZE SHIELD II'!$H$8*'CALCULO MORTERO'!I718+'BLAZE SHIELD II'!$H$9)),0)+IF(AND(L718="Blaze Shield II",M718="Software Idiem",C718="C"),((('BLAZE SHIELD II'!$L$4*('CALCULO MORTERO'!I718^2)+'BLAZE SHIELD II'!$L$5*'CALCULO MORTERO'!I718+'BLAZE SHIELD II'!$L$6)*LN(J718))+('BLAZE SHIELD II'!$L$7*('CALCULO MORTERO'!I718^2)+'BLAZE SHIELD II'!$L$8*'CALCULO MORTERO'!I718+'BLAZE SHIELD II'!$L$9)),0)+IF(AND(L718="Blaze Shield II",M718="Software Idiem",C718="L"),((('BLAZE SHIELD II'!$L$4*('CALCULO MORTERO'!I718^2)+'BLAZE SHIELD II'!$L$5*'CALCULO MORTERO'!I718+'BLAZE SHIELD II'!$L$6)*LN(J718))+('BLAZE SHIELD II'!$L$7*('CALCULO MORTERO'!I718^2)+'BLAZE SHIELD II'!$L$8*'CALCULO MORTERO'!I718+'BLAZE SHIELD II'!$L$9)),0)+IF(AND(L718="Blaze Shield II",M718="Software Idiem",C718="IN",G718=3),((('BLAZE SHIELD II'!$H$14*('CALCULO MORTERO'!I718^2)+'BLAZE SHIELD II'!$H$15*'CALCULO MORTERO'!I718+'BLAZE SHIELD II'!$H$16)*LN(J718))+('BLAZE SHIELD II'!$H$17*('CALCULO MORTERO'!I718^2)+'BLAZE SHIELD II'!$H$18*'CALCULO MORTERO'!I718+'BLAZE SHIELD II'!$H$19)),0),0)+ROUND(IF(AND(L718="Cafco 400",M718="Software Idiem",C718="IN",G718=4),((('CAFCO 400 '!$H$7*(J718^4)+'CAFCO 400 '!$H$8*(J718^3)+'CAFCO 400 '!$H$9*(J718^2)+'CAFCO 400 '!$H$10*J718+'CAFCO 400 '!$H$11)*U718^2)+(('CAFCO 400 '!$H$12*(J718^3)+'CAFCO 400 '!$H$13*(J718^2)+'CAFCO 400 '!$H$14*J718+'CAFCO 400 '!$H$15)*U718)+('CAFCO 400 '!$H$16*(J718^2)+'CAFCO 400 '!$H$17*J718+'CAFCO 400 '!$H$18)),0)+IF(AND(L718="Cafco 400",M718="Software Idiem",C718="Cj"),(((('CAFCO 400 '!$D$7*LN(J718)+'CAFCO 400 '!$D$8)*U718^2)+(('CAFCO 400 '!$D$9*LN(J718)+'CAFCO 400 '!$D$10)*U718)+('CAFCO 400 '!$D$11*LN(J718)+'CAFCO 400 '!$D$12))),0)+IF(AND(L718="Cafco 400",M718="Software Idiem",C718="C"),((('CAFCO 400 '!$L$7*(J718^3)+'CAFCO 400 '!$L$8*(J718^2)+'CAFCO 400 '!$L$9*J718+'CAFCO 400 '!$L$10)*U718^2)+(('CAFCO 400 '!$L$11*(J718^3)+'CAFCO 400 '!$L$12*(J718^2)+'CAFCO 400 '!$L$13*J718+'CAFCO 400 '!$L$14)*U718)+('CAFCO 400 '!$L$15*LN(J718)+'CAFCO 400 '!$L$16)),0)+IF(AND(L718="Cafco 400",M718="Software Idiem",C718="L"),((('CAFCO 400 '!$L$7*(J718^3)+'CAFCO 400 '!$L$8*(J718^2)+'CAFCO 400 '!$L$9*J718+'CAFCO 400 '!$L$10)*U718^2)+(('CAFCO 400 '!$L$11*(J718^3)+'CAFCO 400 '!$L$12*(J718^2)+'CAFCO 400 '!$L$13*J718+'CAFCO 400 '!$L$14)*U718)+('CAFCO 400 '!$L$15*LN(J718)+'CAFCO 400 '!$L$16)),0)+IF(AND(L718="Cafco 400",M718="Software Idiem",C718="IN",G718=3),((('CAFCO 400 '!$D$23*(J718^2)+'CAFCO 400 '!$D$24*(J718)+'CAFCO 400 '!$D$25)*U718^2)+(('CAFCO 400 '!$D$26*(J718^2)+'CAFCO 400 '!$D$27*J718+'CAFCO 400 '!$D$28)*U718)+('CAFCO 400 '!$D$29*(J718^2)+'CAFCO 400 '!$D$30*J718+'CAFCO 400 '!$D$31)),0),0)+IF(AND(L718="Cafco 300",J718&gt;=95,J718&lt;=240,C718="Cj",I718=90),VLOOKUP(T718,'CAFCO 300 IDIEM TABLAS'!$B$4:$D$23,2,FALSE),0)+IF(AND(L718="Cafco 300",J718&gt;=95,J718&lt;=240,C718="Cj",I718=120),VLOOKUP(T718,'CAFCO 300 IDIEM TABLAS'!$B$4:$D$23,3,FALSE),0)+IF(AND(L718="Cafco 300",J718&gt;=95,J718&lt;=400,G718=3,C718="IN",I718=90),VLOOKUP(T718,'CAFCO 300 IDIEM TABLAS'!$F$4:$H$35,2,FALSE),0)+IF(AND(L718="Cafco 300",J718&gt;=95,J718&lt;=400,G718=3,C718="IN",I718=120),VLOOKUP(T718,'CAFCO 300 IDIEM TABLAS'!$F$4:$H$35,3,FALSE),0)+IF(AND(L718="Cafco 300",J718&gt;=95,J718&lt;=450,G718=4,C718="IN",I718=90),VLOOKUP(T718,'CAFCO 300 IDIEM TABLAS'!$J$4:$L$40,2,FALSE),0)+IF(AND(L718="Cafco 300",J718&gt;=95,J718&lt;=450,G718=4,C718="IN",I718=120),VLOOKUP(T718,'CAFCO 300 IDIEM TABLAS'!$J$4:$L$40,3,FALSE),0)+IF(AND(M718="Ensayo Idiem",L718="Cafco 400",C718="IN",G718=4,I718=90),VLOOKUP(T718,'CAFCO 400 ENSAYO'!$B$7:$D$43,2,FALSE),0)+IF(AND(M718="Ensayo Idiem",L718="Cafco 400",C718="IN",G718=4,I718=120),VLOOKUP(T718,'CAFCO 400 ENSAYO'!$B$7:$D$43,3,FALSE),0)</f>
        <v>0</v>
      </c>
      <c r="O718" s="96">
        <f t="shared" si="78"/>
        <v>0</v>
      </c>
      <c r="P718" s="95" t="str">
        <f t="shared" si="73"/>
        <v>N/A</v>
      </c>
      <c r="Q718" s="95" t="str">
        <f t="shared" si="74"/>
        <v>N/A</v>
      </c>
      <c r="R718" s="95" t="str">
        <f t="shared" si="75"/>
        <v>NO CERT.</v>
      </c>
      <c r="S718" s="95" t="e">
        <f t="shared" si="76"/>
        <v>#N/A</v>
      </c>
      <c r="T718" s="119" t="e">
        <f>+IF(J718=LOOKUP(J718,'CAFCO 300 IDIEM TABLAS'!$J$4:$J$40),'CALCULO MORTERO'!J718,MROUND('CALCULO MORTERO'!J718,10))</f>
        <v>#N/A</v>
      </c>
      <c r="U718" s="118">
        <f t="shared" si="77"/>
        <v>0</v>
      </c>
    </row>
    <row r="719" spans="1:21" x14ac:dyDescent="0.25">
      <c r="A719" s="118">
        <f>+CUBICACION!D713</f>
        <v>0</v>
      </c>
      <c r="B719" s="819">
        <f>+CUBICACION!E713</f>
        <v>0</v>
      </c>
      <c r="C719" s="675">
        <f>+CUBICACION!F713</f>
        <v>0</v>
      </c>
      <c r="D719" s="118"/>
      <c r="E719" s="118"/>
      <c r="F719" s="820"/>
      <c r="G719" s="675">
        <f>+CUBICACION!J713</f>
        <v>0</v>
      </c>
      <c r="H719" s="118"/>
      <c r="I719" s="821">
        <f>+CUBICACION!L713</f>
        <v>0</v>
      </c>
      <c r="J719" s="64">
        <f>+CUBICACION!M713</f>
        <v>0</v>
      </c>
      <c r="K719" s="822" t="str">
        <f>+CUBICACION!N713</f>
        <v/>
      </c>
      <c r="L719" s="118">
        <f>+CUBICACION!O713</f>
        <v>0</v>
      </c>
      <c r="M719" s="823">
        <f>+CUBICACION!P713</f>
        <v>0</v>
      </c>
      <c r="N719" s="902">
        <f>ROUND(IF(AND(L719="Blaze Shield II",M719="Software Idiem",C719="IN",G719=4),((('BLAZE SHIELD II'!$D$4*('CALCULO MORTERO'!I719^2)+'BLAZE SHIELD II'!$D$5*'CALCULO MORTERO'!I719+'BLAZE SHIELD II'!$D$6)*LN(J719))+('BLAZE SHIELD II'!$D$7*('CALCULO MORTERO'!I719^2)+'BLAZE SHIELD II'!$D$8*'CALCULO MORTERO'!I719+'BLAZE SHIELD II'!$D$9)),0)+IF(AND(L719="Blaze Shield II",M719="Software Idiem",C719="Cj"),((('BLAZE SHIELD II'!$H$4*('CALCULO MORTERO'!I719^2)+'BLAZE SHIELD II'!$H$5*'CALCULO MORTERO'!I719+'BLAZE SHIELD II'!$H$6)*LN(J719))+('BLAZE SHIELD II'!$H$7*('CALCULO MORTERO'!I719^2)+'BLAZE SHIELD II'!$H$8*'CALCULO MORTERO'!I719+'BLAZE SHIELD II'!$H$9)),0)+IF(AND(L719="Blaze Shield II",M719="Software Idiem",C719="C"),((('BLAZE SHIELD II'!$L$4*('CALCULO MORTERO'!I719^2)+'BLAZE SHIELD II'!$L$5*'CALCULO MORTERO'!I719+'BLAZE SHIELD II'!$L$6)*LN(J719))+('BLAZE SHIELD II'!$L$7*('CALCULO MORTERO'!I719^2)+'BLAZE SHIELD II'!$L$8*'CALCULO MORTERO'!I719+'BLAZE SHIELD II'!$L$9)),0)+IF(AND(L719="Blaze Shield II",M719="Software Idiem",C719="L"),((('BLAZE SHIELD II'!$L$4*('CALCULO MORTERO'!I719^2)+'BLAZE SHIELD II'!$L$5*'CALCULO MORTERO'!I719+'BLAZE SHIELD II'!$L$6)*LN(J719))+('BLAZE SHIELD II'!$L$7*('CALCULO MORTERO'!I719^2)+'BLAZE SHIELD II'!$L$8*'CALCULO MORTERO'!I719+'BLAZE SHIELD II'!$L$9)),0)+IF(AND(L719="Blaze Shield II",M719="Software Idiem",C719="IN",G719=3),((('BLAZE SHIELD II'!$H$14*('CALCULO MORTERO'!I719^2)+'BLAZE SHIELD II'!$H$15*'CALCULO MORTERO'!I719+'BLAZE SHIELD II'!$H$16)*LN(J719))+('BLAZE SHIELD II'!$H$17*('CALCULO MORTERO'!I719^2)+'BLAZE SHIELD II'!$H$18*'CALCULO MORTERO'!I719+'BLAZE SHIELD II'!$H$19)),0),0)+ROUND(IF(AND(L719="Cafco 400",M719="Software Idiem",C719="IN",G719=4),((('CAFCO 400 '!$H$7*(J719^4)+'CAFCO 400 '!$H$8*(J719^3)+'CAFCO 400 '!$H$9*(J719^2)+'CAFCO 400 '!$H$10*J719+'CAFCO 400 '!$H$11)*U719^2)+(('CAFCO 400 '!$H$12*(J719^3)+'CAFCO 400 '!$H$13*(J719^2)+'CAFCO 400 '!$H$14*J719+'CAFCO 400 '!$H$15)*U719)+('CAFCO 400 '!$H$16*(J719^2)+'CAFCO 400 '!$H$17*J719+'CAFCO 400 '!$H$18)),0)+IF(AND(L719="Cafco 400",M719="Software Idiem",C719="Cj"),(((('CAFCO 400 '!$D$7*LN(J719)+'CAFCO 400 '!$D$8)*U719^2)+(('CAFCO 400 '!$D$9*LN(J719)+'CAFCO 400 '!$D$10)*U719)+('CAFCO 400 '!$D$11*LN(J719)+'CAFCO 400 '!$D$12))),0)+IF(AND(L719="Cafco 400",M719="Software Idiem",C719="C"),((('CAFCO 400 '!$L$7*(J719^3)+'CAFCO 400 '!$L$8*(J719^2)+'CAFCO 400 '!$L$9*J719+'CAFCO 400 '!$L$10)*U719^2)+(('CAFCO 400 '!$L$11*(J719^3)+'CAFCO 400 '!$L$12*(J719^2)+'CAFCO 400 '!$L$13*J719+'CAFCO 400 '!$L$14)*U719)+('CAFCO 400 '!$L$15*LN(J719)+'CAFCO 400 '!$L$16)),0)+IF(AND(L719="Cafco 400",M719="Software Idiem",C719="L"),((('CAFCO 400 '!$L$7*(J719^3)+'CAFCO 400 '!$L$8*(J719^2)+'CAFCO 400 '!$L$9*J719+'CAFCO 400 '!$L$10)*U719^2)+(('CAFCO 400 '!$L$11*(J719^3)+'CAFCO 400 '!$L$12*(J719^2)+'CAFCO 400 '!$L$13*J719+'CAFCO 400 '!$L$14)*U719)+('CAFCO 400 '!$L$15*LN(J719)+'CAFCO 400 '!$L$16)),0)+IF(AND(L719="Cafco 400",M719="Software Idiem",C719="IN",G719=3),((('CAFCO 400 '!$D$23*(J719^2)+'CAFCO 400 '!$D$24*(J719)+'CAFCO 400 '!$D$25)*U719^2)+(('CAFCO 400 '!$D$26*(J719^2)+'CAFCO 400 '!$D$27*J719+'CAFCO 400 '!$D$28)*U719)+('CAFCO 400 '!$D$29*(J719^2)+'CAFCO 400 '!$D$30*J719+'CAFCO 400 '!$D$31)),0),0)+IF(AND(L719="Cafco 300",J719&gt;=95,J719&lt;=240,C719="Cj",I719=90),VLOOKUP(T719,'CAFCO 300 IDIEM TABLAS'!$B$4:$D$23,2,FALSE),0)+IF(AND(L719="Cafco 300",J719&gt;=95,J719&lt;=240,C719="Cj",I719=120),VLOOKUP(T719,'CAFCO 300 IDIEM TABLAS'!$B$4:$D$23,3,FALSE),0)+IF(AND(L719="Cafco 300",J719&gt;=95,J719&lt;=400,G719=3,C719="IN",I719=90),VLOOKUP(T719,'CAFCO 300 IDIEM TABLAS'!$F$4:$H$35,2,FALSE),0)+IF(AND(L719="Cafco 300",J719&gt;=95,J719&lt;=400,G719=3,C719="IN",I719=120),VLOOKUP(T719,'CAFCO 300 IDIEM TABLAS'!$F$4:$H$35,3,FALSE),0)+IF(AND(L719="Cafco 300",J719&gt;=95,J719&lt;=450,G719=4,C719="IN",I719=90),VLOOKUP(T719,'CAFCO 300 IDIEM TABLAS'!$J$4:$L$40,2,FALSE),0)+IF(AND(L719="Cafco 300",J719&gt;=95,J719&lt;=450,G719=4,C719="IN",I719=120),VLOOKUP(T719,'CAFCO 300 IDIEM TABLAS'!$J$4:$L$40,3,FALSE),0)+IF(AND(M719="Ensayo Idiem",L719="Cafco 400",C719="IN",G719=4,I719=90),VLOOKUP(T719,'CAFCO 400 ENSAYO'!$B$7:$D$43,2,FALSE),0)+IF(AND(M719="Ensayo Idiem",L719="Cafco 400",C719="IN",G719=4,I719=120),VLOOKUP(T719,'CAFCO 400 ENSAYO'!$B$7:$D$43,3,FALSE),0)</f>
        <v>0</v>
      </c>
      <c r="O719" s="96">
        <f t="shared" si="78"/>
        <v>0</v>
      </c>
      <c r="P719" s="132" t="str">
        <f t="shared" si="73"/>
        <v>N/A</v>
      </c>
      <c r="Q719" s="132" t="str">
        <f t="shared" si="74"/>
        <v>N/A</v>
      </c>
      <c r="R719" s="132" t="str">
        <f t="shared" si="75"/>
        <v>NO CERT.</v>
      </c>
      <c r="S719" s="132" t="e">
        <f t="shared" si="76"/>
        <v>#N/A</v>
      </c>
      <c r="T719" s="133" t="e">
        <f>+IF(J719=LOOKUP(J719,'CAFCO 300 IDIEM TABLAS'!$J$4:$J$40),'CALCULO MORTERO'!J719,MROUND('CALCULO MORTERO'!J719,10))</f>
        <v>#N/A</v>
      </c>
      <c r="U719" s="134">
        <f t="shared" si="77"/>
        <v>0</v>
      </c>
    </row>
    <row r="720" spans="1:21" x14ac:dyDescent="0.25">
      <c r="A720" s="118">
        <f>+CUBICACION!D714</f>
        <v>0</v>
      </c>
      <c r="B720" s="819">
        <f>+CUBICACION!E714</f>
        <v>0</v>
      </c>
      <c r="C720" s="675">
        <f>+CUBICACION!F714</f>
        <v>0</v>
      </c>
      <c r="D720" s="118"/>
      <c r="E720" s="118"/>
      <c r="F720" s="820"/>
      <c r="G720" s="675">
        <f>+CUBICACION!J714</f>
        <v>0</v>
      </c>
      <c r="H720" s="118"/>
      <c r="I720" s="821">
        <f>+CUBICACION!L714</f>
        <v>0</v>
      </c>
      <c r="J720" s="64">
        <f>+CUBICACION!M714</f>
        <v>0</v>
      </c>
      <c r="K720" s="822" t="str">
        <f>+CUBICACION!N714</f>
        <v/>
      </c>
      <c r="L720" s="118">
        <f>+CUBICACION!O714</f>
        <v>0</v>
      </c>
      <c r="M720" s="823">
        <f>+CUBICACION!P714</f>
        <v>0</v>
      </c>
      <c r="N720" s="902">
        <f>ROUND(IF(AND(L720="Blaze Shield II",M720="Software Idiem",C720="IN",G720=4),((('BLAZE SHIELD II'!$D$4*('CALCULO MORTERO'!I720^2)+'BLAZE SHIELD II'!$D$5*'CALCULO MORTERO'!I720+'BLAZE SHIELD II'!$D$6)*LN(J720))+('BLAZE SHIELD II'!$D$7*('CALCULO MORTERO'!I720^2)+'BLAZE SHIELD II'!$D$8*'CALCULO MORTERO'!I720+'BLAZE SHIELD II'!$D$9)),0)+IF(AND(L720="Blaze Shield II",M720="Software Idiem",C720="Cj"),((('BLAZE SHIELD II'!$H$4*('CALCULO MORTERO'!I720^2)+'BLAZE SHIELD II'!$H$5*'CALCULO MORTERO'!I720+'BLAZE SHIELD II'!$H$6)*LN(J720))+('BLAZE SHIELD II'!$H$7*('CALCULO MORTERO'!I720^2)+'BLAZE SHIELD II'!$H$8*'CALCULO MORTERO'!I720+'BLAZE SHIELD II'!$H$9)),0)+IF(AND(L720="Blaze Shield II",M720="Software Idiem",C720="C"),((('BLAZE SHIELD II'!$L$4*('CALCULO MORTERO'!I720^2)+'BLAZE SHIELD II'!$L$5*'CALCULO MORTERO'!I720+'BLAZE SHIELD II'!$L$6)*LN(J720))+('BLAZE SHIELD II'!$L$7*('CALCULO MORTERO'!I720^2)+'BLAZE SHIELD II'!$L$8*'CALCULO MORTERO'!I720+'BLAZE SHIELD II'!$L$9)),0)+IF(AND(L720="Blaze Shield II",M720="Software Idiem",C720="L"),((('BLAZE SHIELD II'!$L$4*('CALCULO MORTERO'!I720^2)+'BLAZE SHIELD II'!$L$5*'CALCULO MORTERO'!I720+'BLAZE SHIELD II'!$L$6)*LN(J720))+('BLAZE SHIELD II'!$L$7*('CALCULO MORTERO'!I720^2)+'BLAZE SHIELD II'!$L$8*'CALCULO MORTERO'!I720+'BLAZE SHIELD II'!$L$9)),0)+IF(AND(L720="Blaze Shield II",M720="Software Idiem",C720="IN",G720=3),((('BLAZE SHIELD II'!$H$14*('CALCULO MORTERO'!I720^2)+'BLAZE SHIELD II'!$H$15*'CALCULO MORTERO'!I720+'BLAZE SHIELD II'!$H$16)*LN(J720))+('BLAZE SHIELD II'!$H$17*('CALCULO MORTERO'!I720^2)+'BLAZE SHIELD II'!$H$18*'CALCULO MORTERO'!I720+'BLAZE SHIELD II'!$H$19)),0),0)+ROUND(IF(AND(L720="Cafco 400",M720="Software Idiem",C720="IN",G720=4),((('CAFCO 400 '!$H$7*(J720^4)+'CAFCO 400 '!$H$8*(J720^3)+'CAFCO 400 '!$H$9*(J720^2)+'CAFCO 400 '!$H$10*J720+'CAFCO 400 '!$H$11)*U720^2)+(('CAFCO 400 '!$H$12*(J720^3)+'CAFCO 400 '!$H$13*(J720^2)+'CAFCO 400 '!$H$14*J720+'CAFCO 400 '!$H$15)*U720)+('CAFCO 400 '!$H$16*(J720^2)+'CAFCO 400 '!$H$17*J720+'CAFCO 400 '!$H$18)),0)+IF(AND(L720="Cafco 400",M720="Software Idiem",C720="Cj"),(((('CAFCO 400 '!$D$7*LN(J720)+'CAFCO 400 '!$D$8)*U720^2)+(('CAFCO 400 '!$D$9*LN(J720)+'CAFCO 400 '!$D$10)*U720)+('CAFCO 400 '!$D$11*LN(J720)+'CAFCO 400 '!$D$12))),0)+IF(AND(L720="Cafco 400",M720="Software Idiem",C720="C"),((('CAFCO 400 '!$L$7*(J720^3)+'CAFCO 400 '!$L$8*(J720^2)+'CAFCO 400 '!$L$9*J720+'CAFCO 400 '!$L$10)*U720^2)+(('CAFCO 400 '!$L$11*(J720^3)+'CAFCO 400 '!$L$12*(J720^2)+'CAFCO 400 '!$L$13*J720+'CAFCO 400 '!$L$14)*U720)+('CAFCO 400 '!$L$15*LN(J720)+'CAFCO 400 '!$L$16)),0)+IF(AND(L720="Cafco 400",M720="Software Idiem",C720="L"),((('CAFCO 400 '!$L$7*(J720^3)+'CAFCO 400 '!$L$8*(J720^2)+'CAFCO 400 '!$L$9*J720+'CAFCO 400 '!$L$10)*U720^2)+(('CAFCO 400 '!$L$11*(J720^3)+'CAFCO 400 '!$L$12*(J720^2)+'CAFCO 400 '!$L$13*J720+'CAFCO 400 '!$L$14)*U720)+('CAFCO 400 '!$L$15*LN(J720)+'CAFCO 400 '!$L$16)),0)+IF(AND(L720="Cafco 400",M720="Software Idiem",C720="IN",G720=3),((('CAFCO 400 '!$D$23*(J720^2)+'CAFCO 400 '!$D$24*(J720)+'CAFCO 400 '!$D$25)*U720^2)+(('CAFCO 400 '!$D$26*(J720^2)+'CAFCO 400 '!$D$27*J720+'CAFCO 400 '!$D$28)*U720)+('CAFCO 400 '!$D$29*(J720^2)+'CAFCO 400 '!$D$30*J720+'CAFCO 400 '!$D$31)),0),0)+IF(AND(L720="Cafco 300",J720&gt;=95,J720&lt;=240,C720="Cj",I720=90),VLOOKUP(T720,'CAFCO 300 IDIEM TABLAS'!$B$4:$D$23,2,FALSE),0)+IF(AND(L720="Cafco 300",J720&gt;=95,J720&lt;=240,C720="Cj",I720=120),VLOOKUP(T720,'CAFCO 300 IDIEM TABLAS'!$B$4:$D$23,3,FALSE),0)+IF(AND(L720="Cafco 300",J720&gt;=95,J720&lt;=400,G720=3,C720="IN",I720=90),VLOOKUP(T720,'CAFCO 300 IDIEM TABLAS'!$F$4:$H$35,2,FALSE),0)+IF(AND(L720="Cafco 300",J720&gt;=95,J720&lt;=400,G720=3,C720="IN",I720=120),VLOOKUP(T720,'CAFCO 300 IDIEM TABLAS'!$F$4:$H$35,3,FALSE),0)+IF(AND(L720="Cafco 300",J720&gt;=95,J720&lt;=450,G720=4,C720="IN",I720=90),VLOOKUP(T720,'CAFCO 300 IDIEM TABLAS'!$J$4:$L$40,2,FALSE),0)+IF(AND(L720="Cafco 300",J720&gt;=95,J720&lt;=450,G720=4,C720="IN",I720=120),VLOOKUP(T720,'CAFCO 300 IDIEM TABLAS'!$J$4:$L$40,3,FALSE),0)+IF(AND(M720="Ensayo Idiem",L720="Cafco 400",C720="IN",G720=4,I720=90),VLOOKUP(T720,'CAFCO 400 ENSAYO'!$B$7:$D$43,2,FALSE),0)+IF(AND(M720="Ensayo Idiem",L720="Cafco 400",C720="IN",G720=4,I720=120),VLOOKUP(T720,'CAFCO 400 ENSAYO'!$B$7:$D$43,3,FALSE),0)</f>
        <v>0</v>
      </c>
      <c r="O720" s="96">
        <f t="shared" si="78"/>
        <v>0</v>
      </c>
      <c r="P720" s="95" t="str">
        <f t="shared" si="73"/>
        <v>N/A</v>
      </c>
      <c r="Q720" s="95" t="str">
        <f t="shared" si="74"/>
        <v>N/A</v>
      </c>
      <c r="R720" s="95" t="str">
        <f t="shared" si="75"/>
        <v>NO CERT.</v>
      </c>
      <c r="S720" s="95" t="e">
        <f t="shared" si="76"/>
        <v>#N/A</v>
      </c>
      <c r="T720" s="119" t="e">
        <f>+IF(J720=LOOKUP(J720,'CAFCO 300 IDIEM TABLAS'!$J$4:$J$40),'CALCULO MORTERO'!J720,MROUND('CALCULO MORTERO'!J720,10))</f>
        <v>#N/A</v>
      </c>
      <c r="U720" s="118">
        <f t="shared" si="77"/>
        <v>0</v>
      </c>
    </row>
    <row r="721" spans="1:21" x14ac:dyDescent="0.25">
      <c r="A721" s="118">
        <f>+CUBICACION!D715</f>
        <v>0</v>
      </c>
      <c r="B721" s="819">
        <f>+CUBICACION!E715</f>
        <v>0</v>
      </c>
      <c r="C721" s="675">
        <f>+CUBICACION!F715</f>
        <v>0</v>
      </c>
      <c r="D721" s="118"/>
      <c r="E721" s="118"/>
      <c r="F721" s="820"/>
      <c r="G721" s="675">
        <f>+CUBICACION!J715</f>
        <v>0</v>
      </c>
      <c r="H721" s="118"/>
      <c r="I721" s="821">
        <f>+CUBICACION!L715</f>
        <v>0</v>
      </c>
      <c r="J721" s="64">
        <f>+CUBICACION!M715</f>
        <v>0</v>
      </c>
      <c r="K721" s="822" t="str">
        <f>+CUBICACION!N715</f>
        <v/>
      </c>
      <c r="L721" s="118">
        <f>+CUBICACION!O715</f>
        <v>0</v>
      </c>
      <c r="M721" s="823">
        <f>+CUBICACION!P715</f>
        <v>0</v>
      </c>
      <c r="N721" s="902">
        <f>ROUND(IF(AND(L721="Blaze Shield II",M721="Software Idiem",C721="IN",G721=4),((('BLAZE SHIELD II'!$D$4*('CALCULO MORTERO'!I721^2)+'BLAZE SHIELD II'!$D$5*'CALCULO MORTERO'!I721+'BLAZE SHIELD II'!$D$6)*LN(J721))+('BLAZE SHIELD II'!$D$7*('CALCULO MORTERO'!I721^2)+'BLAZE SHIELD II'!$D$8*'CALCULO MORTERO'!I721+'BLAZE SHIELD II'!$D$9)),0)+IF(AND(L721="Blaze Shield II",M721="Software Idiem",C721="Cj"),((('BLAZE SHIELD II'!$H$4*('CALCULO MORTERO'!I721^2)+'BLAZE SHIELD II'!$H$5*'CALCULO MORTERO'!I721+'BLAZE SHIELD II'!$H$6)*LN(J721))+('BLAZE SHIELD II'!$H$7*('CALCULO MORTERO'!I721^2)+'BLAZE SHIELD II'!$H$8*'CALCULO MORTERO'!I721+'BLAZE SHIELD II'!$H$9)),0)+IF(AND(L721="Blaze Shield II",M721="Software Idiem",C721="C"),((('BLAZE SHIELD II'!$L$4*('CALCULO MORTERO'!I721^2)+'BLAZE SHIELD II'!$L$5*'CALCULO MORTERO'!I721+'BLAZE SHIELD II'!$L$6)*LN(J721))+('BLAZE SHIELD II'!$L$7*('CALCULO MORTERO'!I721^2)+'BLAZE SHIELD II'!$L$8*'CALCULO MORTERO'!I721+'BLAZE SHIELD II'!$L$9)),0)+IF(AND(L721="Blaze Shield II",M721="Software Idiem",C721="L"),((('BLAZE SHIELD II'!$L$4*('CALCULO MORTERO'!I721^2)+'BLAZE SHIELD II'!$L$5*'CALCULO MORTERO'!I721+'BLAZE SHIELD II'!$L$6)*LN(J721))+('BLAZE SHIELD II'!$L$7*('CALCULO MORTERO'!I721^2)+'BLAZE SHIELD II'!$L$8*'CALCULO MORTERO'!I721+'BLAZE SHIELD II'!$L$9)),0)+IF(AND(L721="Blaze Shield II",M721="Software Idiem",C721="IN",G721=3),((('BLAZE SHIELD II'!$H$14*('CALCULO MORTERO'!I721^2)+'BLAZE SHIELD II'!$H$15*'CALCULO MORTERO'!I721+'BLAZE SHIELD II'!$H$16)*LN(J721))+('BLAZE SHIELD II'!$H$17*('CALCULO MORTERO'!I721^2)+'BLAZE SHIELD II'!$H$18*'CALCULO MORTERO'!I721+'BLAZE SHIELD II'!$H$19)),0),0)+ROUND(IF(AND(L721="Cafco 400",M721="Software Idiem",C721="IN",G721=4),((('CAFCO 400 '!$H$7*(J721^4)+'CAFCO 400 '!$H$8*(J721^3)+'CAFCO 400 '!$H$9*(J721^2)+'CAFCO 400 '!$H$10*J721+'CAFCO 400 '!$H$11)*U721^2)+(('CAFCO 400 '!$H$12*(J721^3)+'CAFCO 400 '!$H$13*(J721^2)+'CAFCO 400 '!$H$14*J721+'CAFCO 400 '!$H$15)*U721)+('CAFCO 400 '!$H$16*(J721^2)+'CAFCO 400 '!$H$17*J721+'CAFCO 400 '!$H$18)),0)+IF(AND(L721="Cafco 400",M721="Software Idiem",C721="Cj"),(((('CAFCO 400 '!$D$7*LN(J721)+'CAFCO 400 '!$D$8)*U721^2)+(('CAFCO 400 '!$D$9*LN(J721)+'CAFCO 400 '!$D$10)*U721)+('CAFCO 400 '!$D$11*LN(J721)+'CAFCO 400 '!$D$12))),0)+IF(AND(L721="Cafco 400",M721="Software Idiem",C721="C"),((('CAFCO 400 '!$L$7*(J721^3)+'CAFCO 400 '!$L$8*(J721^2)+'CAFCO 400 '!$L$9*J721+'CAFCO 400 '!$L$10)*U721^2)+(('CAFCO 400 '!$L$11*(J721^3)+'CAFCO 400 '!$L$12*(J721^2)+'CAFCO 400 '!$L$13*J721+'CAFCO 400 '!$L$14)*U721)+('CAFCO 400 '!$L$15*LN(J721)+'CAFCO 400 '!$L$16)),0)+IF(AND(L721="Cafco 400",M721="Software Idiem",C721="L"),((('CAFCO 400 '!$L$7*(J721^3)+'CAFCO 400 '!$L$8*(J721^2)+'CAFCO 400 '!$L$9*J721+'CAFCO 400 '!$L$10)*U721^2)+(('CAFCO 400 '!$L$11*(J721^3)+'CAFCO 400 '!$L$12*(J721^2)+'CAFCO 400 '!$L$13*J721+'CAFCO 400 '!$L$14)*U721)+('CAFCO 400 '!$L$15*LN(J721)+'CAFCO 400 '!$L$16)),0)+IF(AND(L721="Cafco 400",M721="Software Idiem",C721="IN",G721=3),((('CAFCO 400 '!$D$23*(J721^2)+'CAFCO 400 '!$D$24*(J721)+'CAFCO 400 '!$D$25)*U721^2)+(('CAFCO 400 '!$D$26*(J721^2)+'CAFCO 400 '!$D$27*J721+'CAFCO 400 '!$D$28)*U721)+('CAFCO 400 '!$D$29*(J721^2)+'CAFCO 400 '!$D$30*J721+'CAFCO 400 '!$D$31)),0),0)+IF(AND(L721="Cafco 300",J721&gt;=95,J721&lt;=240,C721="Cj",I721=90),VLOOKUP(T721,'CAFCO 300 IDIEM TABLAS'!$B$4:$D$23,2,FALSE),0)+IF(AND(L721="Cafco 300",J721&gt;=95,J721&lt;=240,C721="Cj",I721=120),VLOOKUP(T721,'CAFCO 300 IDIEM TABLAS'!$B$4:$D$23,3,FALSE),0)+IF(AND(L721="Cafco 300",J721&gt;=95,J721&lt;=400,G721=3,C721="IN",I721=90),VLOOKUP(T721,'CAFCO 300 IDIEM TABLAS'!$F$4:$H$35,2,FALSE),0)+IF(AND(L721="Cafco 300",J721&gt;=95,J721&lt;=400,G721=3,C721="IN",I721=120),VLOOKUP(T721,'CAFCO 300 IDIEM TABLAS'!$F$4:$H$35,3,FALSE),0)+IF(AND(L721="Cafco 300",J721&gt;=95,J721&lt;=450,G721=4,C721="IN",I721=90),VLOOKUP(T721,'CAFCO 300 IDIEM TABLAS'!$J$4:$L$40,2,FALSE),0)+IF(AND(L721="Cafco 300",J721&gt;=95,J721&lt;=450,G721=4,C721="IN",I721=120),VLOOKUP(T721,'CAFCO 300 IDIEM TABLAS'!$J$4:$L$40,3,FALSE),0)+IF(AND(M721="Ensayo Idiem",L721="Cafco 400",C721="IN",G721=4,I721=90),VLOOKUP(T721,'CAFCO 400 ENSAYO'!$B$7:$D$43,2,FALSE),0)+IF(AND(M721="Ensayo Idiem",L721="Cafco 400",C721="IN",G721=4,I721=120),VLOOKUP(T721,'CAFCO 400 ENSAYO'!$B$7:$D$43,3,FALSE),0)</f>
        <v>0</v>
      </c>
      <c r="O721" s="96">
        <f t="shared" si="78"/>
        <v>0</v>
      </c>
      <c r="P721" s="132" t="str">
        <f t="shared" si="73"/>
        <v>N/A</v>
      </c>
      <c r="Q721" s="132" t="str">
        <f t="shared" si="74"/>
        <v>N/A</v>
      </c>
      <c r="R721" s="132" t="str">
        <f t="shared" si="75"/>
        <v>NO CERT.</v>
      </c>
      <c r="S721" s="132" t="e">
        <f t="shared" si="76"/>
        <v>#N/A</v>
      </c>
      <c r="T721" s="133" t="e">
        <f>+IF(J721=LOOKUP(J721,'CAFCO 300 IDIEM TABLAS'!$J$4:$J$40),'CALCULO MORTERO'!J721,MROUND('CALCULO MORTERO'!J721,10))</f>
        <v>#N/A</v>
      </c>
      <c r="U721" s="134">
        <f t="shared" si="77"/>
        <v>0</v>
      </c>
    </row>
    <row r="722" spans="1:21" x14ac:dyDescent="0.25">
      <c r="A722" s="118">
        <f>+CUBICACION!D716</f>
        <v>0</v>
      </c>
      <c r="B722" s="819">
        <f>+CUBICACION!E716</f>
        <v>0</v>
      </c>
      <c r="C722" s="675">
        <f>+CUBICACION!F716</f>
        <v>0</v>
      </c>
      <c r="D722" s="118"/>
      <c r="E722" s="118"/>
      <c r="F722" s="820"/>
      <c r="G722" s="675">
        <f>+CUBICACION!J716</f>
        <v>0</v>
      </c>
      <c r="H722" s="118"/>
      <c r="I722" s="821">
        <f>+CUBICACION!L716</f>
        <v>0</v>
      </c>
      <c r="J722" s="64">
        <f>+CUBICACION!M716</f>
        <v>0</v>
      </c>
      <c r="K722" s="822" t="str">
        <f>+CUBICACION!N716</f>
        <v/>
      </c>
      <c r="L722" s="118">
        <f>+CUBICACION!O716</f>
        <v>0</v>
      </c>
      <c r="M722" s="823">
        <f>+CUBICACION!P716</f>
        <v>0</v>
      </c>
      <c r="N722" s="902">
        <f>ROUND(IF(AND(L722="Blaze Shield II",M722="Software Idiem",C722="IN",G722=4),((('BLAZE SHIELD II'!$D$4*('CALCULO MORTERO'!I722^2)+'BLAZE SHIELD II'!$D$5*'CALCULO MORTERO'!I722+'BLAZE SHIELD II'!$D$6)*LN(J722))+('BLAZE SHIELD II'!$D$7*('CALCULO MORTERO'!I722^2)+'BLAZE SHIELD II'!$D$8*'CALCULO MORTERO'!I722+'BLAZE SHIELD II'!$D$9)),0)+IF(AND(L722="Blaze Shield II",M722="Software Idiem",C722="Cj"),((('BLAZE SHIELD II'!$H$4*('CALCULO MORTERO'!I722^2)+'BLAZE SHIELD II'!$H$5*'CALCULO MORTERO'!I722+'BLAZE SHIELD II'!$H$6)*LN(J722))+('BLAZE SHIELD II'!$H$7*('CALCULO MORTERO'!I722^2)+'BLAZE SHIELD II'!$H$8*'CALCULO MORTERO'!I722+'BLAZE SHIELD II'!$H$9)),0)+IF(AND(L722="Blaze Shield II",M722="Software Idiem",C722="C"),((('BLAZE SHIELD II'!$L$4*('CALCULO MORTERO'!I722^2)+'BLAZE SHIELD II'!$L$5*'CALCULO MORTERO'!I722+'BLAZE SHIELD II'!$L$6)*LN(J722))+('BLAZE SHIELD II'!$L$7*('CALCULO MORTERO'!I722^2)+'BLAZE SHIELD II'!$L$8*'CALCULO MORTERO'!I722+'BLAZE SHIELD II'!$L$9)),0)+IF(AND(L722="Blaze Shield II",M722="Software Idiem",C722="L"),((('BLAZE SHIELD II'!$L$4*('CALCULO MORTERO'!I722^2)+'BLAZE SHIELD II'!$L$5*'CALCULO MORTERO'!I722+'BLAZE SHIELD II'!$L$6)*LN(J722))+('BLAZE SHIELD II'!$L$7*('CALCULO MORTERO'!I722^2)+'BLAZE SHIELD II'!$L$8*'CALCULO MORTERO'!I722+'BLAZE SHIELD II'!$L$9)),0)+IF(AND(L722="Blaze Shield II",M722="Software Idiem",C722="IN",G722=3),((('BLAZE SHIELD II'!$H$14*('CALCULO MORTERO'!I722^2)+'BLAZE SHIELD II'!$H$15*'CALCULO MORTERO'!I722+'BLAZE SHIELD II'!$H$16)*LN(J722))+('BLAZE SHIELD II'!$H$17*('CALCULO MORTERO'!I722^2)+'BLAZE SHIELD II'!$H$18*'CALCULO MORTERO'!I722+'BLAZE SHIELD II'!$H$19)),0),0)+ROUND(IF(AND(L722="Cafco 400",M722="Software Idiem",C722="IN",G722=4),((('CAFCO 400 '!$H$7*(J722^4)+'CAFCO 400 '!$H$8*(J722^3)+'CAFCO 400 '!$H$9*(J722^2)+'CAFCO 400 '!$H$10*J722+'CAFCO 400 '!$H$11)*U722^2)+(('CAFCO 400 '!$H$12*(J722^3)+'CAFCO 400 '!$H$13*(J722^2)+'CAFCO 400 '!$H$14*J722+'CAFCO 400 '!$H$15)*U722)+('CAFCO 400 '!$H$16*(J722^2)+'CAFCO 400 '!$H$17*J722+'CAFCO 400 '!$H$18)),0)+IF(AND(L722="Cafco 400",M722="Software Idiem",C722="Cj"),(((('CAFCO 400 '!$D$7*LN(J722)+'CAFCO 400 '!$D$8)*U722^2)+(('CAFCO 400 '!$D$9*LN(J722)+'CAFCO 400 '!$D$10)*U722)+('CAFCO 400 '!$D$11*LN(J722)+'CAFCO 400 '!$D$12))),0)+IF(AND(L722="Cafco 400",M722="Software Idiem",C722="C"),((('CAFCO 400 '!$L$7*(J722^3)+'CAFCO 400 '!$L$8*(J722^2)+'CAFCO 400 '!$L$9*J722+'CAFCO 400 '!$L$10)*U722^2)+(('CAFCO 400 '!$L$11*(J722^3)+'CAFCO 400 '!$L$12*(J722^2)+'CAFCO 400 '!$L$13*J722+'CAFCO 400 '!$L$14)*U722)+('CAFCO 400 '!$L$15*LN(J722)+'CAFCO 400 '!$L$16)),0)+IF(AND(L722="Cafco 400",M722="Software Idiem",C722="L"),((('CAFCO 400 '!$L$7*(J722^3)+'CAFCO 400 '!$L$8*(J722^2)+'CAFCO 400 '!$L$9*J722+'CAFCO 400 '!$L$10)*U722^2)+(('CAFCO 400 '!$L$11*(J722^3)+'CAFCO 400 '!$L$12*(J722^2)+'CAFCO 400 '!$L$13*J722+'CAFCO 400 '!$L$14)*U722)+('CAFCO 400 '!$L$15*LN(J722)+'CAFCO 400 '!$L$16)),0)+IF(AND(L722="Cafco 400",M722="Software Idiem",C722="IN",G722=3),((('CAFCO 400 '!$D$23*(J722^2)+'CAFCO 400 '!$D$24*(J722)+'CAFCO 400 '!$D$25)*U722^2)+(('CAFCO 400 '!$D$26*(J722^2)+'CAFCO 400 '!$D$27*J722+'CAFCO 400 '!$D$28)*U722)+('CAFCO 400 '!$D$29*(J722^2)+'CAFCO 400 '!$D$30*J722+'CAFCO 400 '!$D$31)),0),0)+IF(AND(L722="Cafco 300",J722&gt;=95,J722&lt;=240,C722="Cj",I722=90),VLOOKUP(T722,'CAFCO 300 IDIEM TABLAS'!$B$4:$D$23,2,FALSE),0)+IF(AND(L722="Cafco 300",J722&gt;=95,J722&lt;=240,C722="Cj",I722=120),VLOOKUP(T722,'CAFCO 300 IDIEM TABLAS'!$B$4:$D$23,3,FALSE),0)+IF(AND(L722="Cafco 300",J722&gt;=95,J722&lt;=400,G722=3,C722="IN",I722=90),VLOOKUP(T722,'CAFCO 300 IDIEM TABLAS'!$F$4:$H$35,2,FALSE),0)+IF(AND(L722="Cafco 300",J722&gt;=95,J722&lt;=400,G722=3,C722="IN",I722=120),VLOOKUP(T722,'CAFCO 300 IDIEM TABLAS'!$F$4:$H$35,3,FALSE),0)+IF(AND(L722="Cafco 300",J722&gt;=95,J722&lt;=450,G722=4,C722="IN",I722=90),VLOOKUP(T722,'CAFCO 300 IDIEM TABLAS'!$J$4:$L$40,2,FALSE),0)+IF(AND(L722="Cafco 300",J722&gt;=95,J722&lt;=450,G722=4,C722="IN",I722=120),VLOOKUP(T722,'CAFCO 300 IDIEM TABLAS'!$J$4:$L$40,3,FALSE),0)+IF(AND(M722="Ensayo Idiem",L722="Cafco 400",C722="IN",G722=4,I722=90),VLOOKUP(T722,'CAFCO 400 ENSAYO'!$B$7:$D$43,2,FALSE),0)+IF(AND(M722="Ensayo Idiem",L722="Cafco 400",C722="IN",G722=4,I722=120),VLOOKUP(T722,'CAFCO 400 ENSAYO'!$B$7:$D$43,3,FALSE),0)</f>
        <v>0</v>
      </c>
      <c r="O722" s="96">
        <f t="shared" si="78"/>
        <v>0</v>
      </c>
      <c r="P722" s="95" t="str">
        <f t="shared" si="73"/>
        <v>N/A</v>
      </c>
      <c r="Q722" s="95" t="str">
        <f t="shared" si="74"/>
        <v>N/A</v>
      </c>
      <c r="R722" s="95" t="str">
        <f t="shared" si="75"/>
        <v>NO CERT.</v>
      </c>
      <c r="S722" s="95" t="e">
        <f t="shared" si="76"/>
        <v>#N/A</v>
      </c>
      <c r="T722" s="119" t="e">
        <f>+IF(J722=LOOKUP(J722,'CAFCO 300 IDIEM TABLAS'!$J$4:$J$40),'CALCULO MORTERO'!J722,MROUND('CALCULO MORTERO'!J722,10))</f>
        <v>#N/A</v>
      </c>
      <c r="U722" s="118">
        <f t="shared" si="77"/>
        <v>0</v>
      </c>
    </row>
    <row r="723" spans="1:21" x14ac:dyDescent="0.25">
      <c r="A723" s="118">
        <f>+CUBICACION!D717</f>
        <v>0</v>
      </c>
      <c r="B723" s="819">
        <f>+CUBICACION!E717</f>
        <v>0</v>
      </c>
      <c r="C723" s="675">
        <f>+CUBICACION!F717</f>
        <v>0</v>
      </c>
      <c r="D723" s="118"/>
      <c r="E723" s="118"/>
      <c r="F723" s="820"/>
      <c r="G723" s="675">
        <f>+CUBICACION!J717</f>
        <v>0</v>
      </c>
      <c r="H723" s="118"/>
      <c r="I723" s="821">
        <f>+CUBICACION!L717</f>
        <v>0</v>
      </c>
      <c r="J723" s="64">
        <f>+CUBICACION!M717</f>
        <v>0</v>
      </c>
      <c r="K723" s="822" t="str">
        <f>+CUBICACION!N717</f>
        <v/>
      </c>
      <c r="L723" s="118">
        <f>+CUBICACION!O717</f>
        <v>0</v>
      </c>
      <c r="M723" s="823">
        <f>+CUBICACION!P717</f>
        <v>0</v>
      </c>
      <c r="N723" s="902">
        <f>ROUND(IF(AND(L723="Blaze Shield II",M723="Software Idiem",C723="IN",G723=4),((('BLAZE SHIELD II'!$D$4*('CALCULO MORTERO'!I723^2)+'BLAZE SHIELD II'!$D$5*'CALCULO MORTERO'!I723+'BLAZE SHIELD II'!$D$6)*LN(J723))+('BLAZE SHIELD II'!$D$7*('CALCULO MORTERO'!I723^2)+'BLAZE SHIELD II'!$D$8*'CALCULO MORTERO'!I723+'BLAZE SHIELD II'!$D$9)),0)+IF(AND(L723="Blaze Shield II",M723="Software Idiem",C723="Cj"),((('BLAZE SHIELD II'!$H$4*('CALCULO MORTERO'!I723^2)+'BLAZE SHIELD II'!$H$5*'CALCULO MORTERO'!I723+'BLAZE SHIELD II'!$H$6)*LN(J723))+('BLAZE SHIELD II'!$H$7*('CALCULO MORTERO'!I723^2)+'BLAZE SHIELD II'!$H$8*'CALCULO MORTERO'!I723+'BLAZE SHIELD II'!$H$9)),0)+IF(AND(L723="Blaze Shield II",M723="Software Idiem",C723="C"),((('BLAZE SHIELD II'!$L$4*('CALCULO MORTERO'!I723^2)+'BLAZE SHIELD II'!$L$5*'CALCULO MORTERO'!I723+'BLAZE SHIELD II'!$L$6)*LN(J723))+('BLAZE SHIELD II'!$L$7*('CALCULO MORTERO'!I723^2)+'BLAZE SHIELD II'!$L$8*'CALCULO MORTERO'!I723+'BLAZE SHIELD II'!$L$9)),0)+IF(AND(L723="Blaze Shield II",M723="Software Idiem",C723="L"),((('BLAZE SHIELD II'!$L$4*('CALCULO MORTERO'!I723^2)+'BLAZE SHIELD II'!$L$5*'CALCULO MORTERO'!I723+'BLAZE SHIELD II'!$L$6)*LN(J723))+('BLAZE SHIELD II'!$L$7*('CALCULO MORTERO'!I723^2)+'BLAZE SHIELD II'!$L$8*'CALCULO MORTERO'!I723+'BLAZE SHIELD II'!$L$9)),0)+IF(AND(L723="Blaze Shield II",M723="Software Idiem",C723="IN",G723=3),((('BLAZE SHIELD II'!$H$14*('CALCULO MORTERO'!I723^2)+'BLAZE SHIELD II'!$H$15*'CALCULO MORTERO'!I723+'BLAZE SHIELD II'!$H$16)*LN(J723))+('BLAZE SHIELD II'!$H$17*('CALCULO MORTERO'!I723^2)+'BLAZE SHIELD II'!$H$18*'CALCULO MORTERO'!I723+'BLAZE SHIELD II'!$H$19)),0),0)+ROUND(IF(AND(L723="Cafco 400",M723="Software Idiem",C723="IN",G723=4),((('CAFCO 400 '!$H$7*(J723^4)+'CAFCO 400 '!$H$8*(J723^3)+'CAFCO 400 '!$H$9*(J723^2)+'CAFCO 400 '!$H$10*J723+'CAFCO 400 '!$H$11)*U723^2)+(('CAFCO 400 '!$H$12*(J723^3)+'CAFCO 400 '!$H$13*(J723^2)+'CAFCO 400 '!$H$14*J723+'CAFCO 400 '!$H$15)*U723)+('CAFCO 400 '!$H$16*(J723^2)+'CAFCO 400 '!$H$17*J723+'CAFCO 400 '!$H$18)),0)+IF(AND(L723="Cafco 400",M723="Software Idiem",C723="Cj"),(((('CAFCO 400 '!$D$7*LN(J723)+'CAFCO 400 '!$D$8)*U723^2)+(('CAFCO 400 '!$D$9*LN(J723)+'CAFCO 400 '!$D$10)*U723)+('CAFCO 400 '!$D$11*LN(J723)+'CAFCO 400 '!$D$12))),0)+IF(AND(L723="Cafco 400",M723="Software Idiem",C723="C"),((('CAFCO 400 '!$L$7*(J723^3)+'CAFCO 400 '!$L$8*(J723^2)+'CAFCO 400 '!$L$9*J723+'CAFCO 400 '!$L$10)*U723^2)+(('CAFCO 400 '!$L$11*(J723^3)+'CAFCO 400 '!$L$12*(J723^2)+'CAFCO 400 '!$L$13*J723+'CAFCO 400 '!$L$14)*U723)+('CAFCO 400 '!$L$15*LN(J723)+'CAFCO 400 '!$L$16)),0)+IF(AND(L723="Cafco 400",M723="Software Idiem",C723="L"),((('CAFCO 400 '!$L$7*(J723^3)+'CAFCO 400 '!$L$8*(J723^2)+'CAFCO 400 '!$L$9*J723+'CAFCO 400 '!$L$10)*U723^2)+(('CAFCO 400 '!$L$11*(J723^3)+'CAFCO 400 '!$L$12*(J723^2)+'CAFCO 400 '!$L$13*J723+'CAFCO 400 '!$L$14)*U723)+('CAFCO 400 '!$L$15*LN(J723)+'CAFCO 400 '!$L$16)),0)+IF(AND(L723="Cafco 400",M723="Software Idiem",C723="IN",G723=3),((('CAFCO 400 '!$D$23*(J723^2)+'CAFCO 400 '!$D$24*(J723)+'CAFCO 400 '!$D$25)*U723^2)+(('CAFCO 400 '!$D$26*(J723^2)+'CAFCO 400 '!$D$27*J723+'CAFCO 400 '!$D$28)*U723)+('CAFCO 400 '!$D$29*(J723^2)+'CAFCO 400 '!$D$30*J723+'CAFCO 400 '!$D$31)),0),0)+IF(AND(L723="Cafco 300",J723&gt;=95,J723&lt;=240,C723="Cj",I723=90),VLOOKUP(T723,'CAFCO 300 IDIEM TABLAS'!$B$4:$D$23,2,FALSE),0)+IF(AND(L723="Cafco 300",J723&gt;=95,J723&lt;=240,C723="Cj",I723=120),VLOOKUP(T723,'CAFCO 300 IDIEM TABLAS'!$B$4:$D$23,3,FALSE),0)+IF(AND(L723="Cafco 300",J723&gt;=95,J723&lt;=400,G723=3,C723="IN",I723=90),VLOOKUP(T723,'CAFCO 300 IDIEM TABLAS'!$F$4:$H$35,2,FALSE),0)+IF(AND(L723="Cafco 300",J723&gt;=95,J723&lt;=400,G723=3,C723="IN",I723=120),VLOOKUP(T723,'CAFCO 300 IDIEM TABLAS'!$F$4:$H$35,3,FALSE),0)+IF(AND(L723="Cafco 300",J723&gt;=95,J723&lt;=450,G723=4,C723="IN",I723=90),VLOOKUP(T723,'CAFCO 300 IDIEM TABLAS'!$J$4:$L$40,2,FALSE),0)+IF(AND(L723="Cafco 300",J723&gt;=95,J723&lt;=450,G723=4,C723="IN",I723=120),VLOOKUP(T723,'CAFCO 300 IDIEM TABLAS'!$J$4:$L$40,3,FALSE),0)+IF(AND(M723="Ensayo Idiem",L723="Cafco 400",C723="IN",G723=4,I723=90),VLOOKUP(T723,'CAFCO 400 ENSAYO'!$B$7:$D$43,2,FALSE),0)+IF(AND(M723="Ensayo Idiem",L723="Cafco 400",C723="IN",G723=4,I723=120),VLOOKUP(T723,'CAFCO 400 ENSAYO'!$B$7:$D$43,3,FALSE),0)</f>
        <v>0</v>
      </c>
      <c r="O723" s="96">
        <f t="shared" si="78"/>
        <v>0</v>
      </c>
      <c r="P723" s="132" t="str">
        <f t="shared" si="73"/>
        <v>N/A</v>
      </c>
      <c r="Q723" s="132" t="str">
        <f t="shared" si="74"/>
        <v>N/A</v>
      </c>
      <c r="R723" s="132" t="str">
        <f t="shared" si="75"/>
        <v>NO CERT.</v>
      </c>
      <c r="S723" s="132" t="e">
        <f t="shared" si="76"/>
        <v>#N/A</v>
      </c>
      <c r="T723" s="133" t="e">
        <f>+IF(J723=LOOKUP(J723,'CAFCO 300 IDIEM TABLAS'!$J$4:$J$40),'CALCULO MORTERO'!J723,MROUND('CALCULO MORTERO'!J723,10))</f>
        <v>#N/A</v>
      </c>
      <c r="U723" s="134">
        <f t="shared" si="77"/>
        <v>0</v>
      </c>
    </row>
    <row r="724" spans="1:21" x14ac:dyDescent="0.25">
      <c r="A724" s="118">
        <f>+CUBICACION!D718</f>
        <v>0</v>
      </c>
      <c r="B724" s="819">
        <f>+CUBICACION!E718</f>
        <v>0</v>
      </c>
      <c r="C724" s="675">
        <f>+CUBICACION!F718</f>
        <v>0</v>
      </c>
      <c r="D724" s="118"/>
      <c r="E724" s="118"/>
      <c r="F724" s="820"/>
      <c r="G724" s="675">
        <f>+CUBICACION!J718</f>
        <v>0</v>
      </c>
      <c r="H724" s="118"/>
      <c r="I724" s="821">
        <f>+CUBICACION!L718</f>
        <v>0</v>
      </c>
      <c r="J724" s="64">
        <f>+CUBICACION!M718</f>
        <v>0</v>
      </c>
      <c r="K724" s="822" t="str">
        <f>+CUBICACION!N718</f>
        <v/>
      </c>
      <c r="L724" s="118">
        <f>+CUBICACION!O718</f>
        <v>0</v>
      </c>
      <c r="M724" s="823">
        <f>+CUBICACION!P718</f>
        <v>0</v>
      </c>
      <c r="N724" s="902">
        <f>ROUND(IF(AND(L724="Blaze Shield II",M724="Software Idiem",C724="IN",G724=4),((('BLAZE SHIELD II'!$D$4*('CALCULO MORTERO'!I724^2)+'BLAZE SHIELD II'!$D$5*'CALCULO MORTERO'!I724+'BLAZE SHIELD II'!$D$6)*LN(J724))+('BLAZE SHIELD II'!$D$7*('CALCULO MORTERO'!I724^2)+'BLAZE SHIELD II'!$D$8*'CALCULO MORTERO'!I724+'BLAZE SHIELD II'!$D$9)),0)+IF(AND(L724="Blaze Shield II",M724="Software Idiem",C724="Cj"),((('BLAZE SHIELD II'!$H$4*('CALCULO MORTERO'!I724^2)+'BLAZE SHIELD II'!$H$5*'CALCULO MORTERO'!I724+'BLAZE SHIELD II'!$H$6)*LN(J724))+('BLAZE SHIELD II'!$H$7*('CALCULO MORTERO'!I724^2)+'BLAZE SHIELD II'!$H$8*'CALCULO MORTERO'!I724+'BLAZE SHIELD II'!$H$9)),0)+IF(AND(L724="Blaze Shield II",M724="Software Idiem",C724="C"),((('BLAZE SHIELD II'!$L$4*('CALCULO MORTERO'!I724^2)+'BLAZE SHIELD II'!$L$5*'CALCULO MORTERO'!I724+'BLAZE SHIELD II'!$L$6)*LN(J724))+('BLAZE SHIELD II'!$L$7*('CALCULO MORTERO'!I724^2)+'BLAZE SHIELD II'!$L$8*'CALCULO MORTERO'!I724+'BLAZE SHIELD II'!$L$9)),0)+IF(AND(L724="Blaze Shield II",M724="Software Idiem",C724="L"),((('BLAZE SHIELD II'!$L$4*('CALCULO MORTERO'!I724^2)+'BLAZE SHIELD II'!$L$5*'CALCULO MORTERO'!I724+'BLAZE SHIELD II'!$L$6)*LN(J724))+('BLAZE SHIELD II'!$L$7*('CALCULO MORTERO'!I724^2)+'BLAZE SHIELD II'!$L$8*'CALCULO MORTERO'!I724+'BLAZE SHIELD II'!$L$9)),0)+IF(AND(L724="Blaze Shield II",M724="Software Idiem",C724="IN",G724=3),((('BLAZE SHIELD II'!$H$14*('CALCULO MORTERO'!I724^2)+'BLAZE SHIELD II'!$H$15*'CALCULO MORTERO'!I724+'BLAZE SHIELD II'!$H$16)*LN(J724))+('BLAZE SHIELD II'!$H$17*('CALCULO MORTERO'!I724^2)+'BLAZE SHIELD II'!$H$18*'CALCULO MORTERO'!I724+'BLAZE SHIELD II'!$H$19)),0),0)+ROUND(IF(AND(L724="Cafco 400",M724="Software Idiem",C724="IN",G724=4),((('CAFCO 400 '!$H$7*(J724^4)+'CAFCO 400 '!$H$8*(J724^3)+'CAFCO 400 '!$H$9*(J724^2)+'CAFCO 400 '!$H$10*J724+'CAFCO 400 '!$H$11)*U724^2)+(('CAFCO 400 '!$H$12*(J724^3)+'CAFCO 400 '!$H$13*(J724^2)+'CAFCO 400 '!$H$14*J724+'CAFCO 400 '!$H$15)*U724)+('CAFCO 400 '!$H$16*(J724^2)+'CAFCO 400 '!$H$17*J724+'CAFCO 400 '!$H$18)),0)+IF(AND(L724="Cafco 400",M724="Software Idiem",C724="Cj"),(((('CAFCO 400 '!$D$7*LN(J724)+'CAFCO 400 '!$D$8)*U724^2)+(('CAFCO 400 '!$D$9*LN(J724)+'CAFCO 400 '!$D$10)*U724)+('CAFCO 400 '!$D$11*LN(J724)+'CAFCO 400 '!$D$12))),0)+IF(AND(L724="Cafco 400",M724="Software Idiem",C724="C"),((('CAFCO 400 '!$L$7*(J724^3)+'CAFCO 400 '!$L$8*(J724^2)+'CAFCO 400 '!$L$9*J724+'CAFCO 400 '!$L$10)*U724^2)+(('CAFCO 400 '!$L$11*(J724^3)+'CAFCO 400 '!$L$12*(J724^2)+'CAFCO 400 '!$L$13*J724+'CAFCO 400 '!$L$14)*U724)+('CAFCO 400 '!$L$15*LN(J724)+'CAFCO 400 '!$L$16)),0)+IF(AND(L724="Cafco 400",M724="Software Idiem",C724="L"),((('CAFCO 400 '!$L$7*(J724^3)+'CAFCO 400 '!$L$8*(J724^2)+'CAFCO 400 '!$L$9*J724+'CAFCO 400 '!$L$10)*U724^2)+(('CAFCO 400 '!$L$11*(J724^3)+'CAFCO 400 '!$L$12*(J724^2)+'CAFCO 400 '!$L$13*J724+'CAFCO 400 '!$L$14)*U724)+('CAFCO 400 '!$L$15*LN(J724)+'CAFCO 400 '!$L$16)),0)+IF(AND(L724="Cafco 400",M724="Software Idiem",C724="IN",G724=3),((('CAFCO 400 '!$D$23*(J724^2)+'CAFCO 400 '!$D$24*(J724)+'CAFCO 400 '!$D$25)*U724^2)+(('CAFCO 400 '!$D$26*(J724^2)+'CAFCO 400 '!$D$27*J724+'CAFCO 400 '!$D$28)*U724)+('CAFCO 400 '!$D$29*(J724^2)+'CAFCO 400 '!$D$30*J724+'CAFCO 400 '!$D$31)),0),0)+IF(AND(L724="Cafco 300",J724&gt;=95,J724&lt;=240,C724="Cj",I724=90),VLOOKUP(T724,'CAFCO 300 IDIEM TABLAS'!$B$4:$D$23,2,FALSE),0)+IF(AND(L724="Cafco 300",J724&gt;=95,J724&lt;=240,C724="Cj",I724=120),VLOOKUP(T724,'CAFCO 300 IDIEM TABLAS'!$B$4:$D$23,3,FALSE),0)+IF(AND(L724="Cafco 300",J724&gt;=95,J724&lt;=400,G724=3,C724="IN",I724=90),VLOOKUP(T724,'CAFCO 300 IDIEM TABLAS'!$F$4:$H$35,2,FALSE),0)+IF(AND(L724="Cafco 300",J724&gt;=95,J724&lt;=400,G724=3,C724="IN",I724=120),VLOOKUP(T724,'CAFCO 300 IDIEM TABLAS'!$F$4:$H$35,3,FALSE),0)+IF(AND(L724="Cafco 300",J724&gt;=95,J724&lt;=450,G724=4,C724="IN",I724=90),VLOOKUP(T724,'CAFCO 300 IDIEM TABLAS'!$J$4:$L$40,2,FALSE),0)+IF(AND(L724="Cafco 300",J724&gt;=95,J724&lt;=450,G724=4,C724="IN",I724=120),VLOOKUP(T724,'CAFCO 300 IDIEM TABLAS'!$J$4:$L$40,3,FALSE),0)+IF(AND(M724="Ensayo Idiem",L724="Cafco 400",C724="IN",G724=4,I724=90),VLOOKUP(T724,'CAFCO 400 ENSAYO'!$B$7:$D$43,2,FALSE),0)+IF(AND(M724="Ensayo Idiem",L724="Cafco 400",C724="IN",G724=4,I724=120),VLOOKUP(T724,'CAFCO 400 ENSAYO'!$B$7:$D$43,3,FALSE),0)</f>
        <v>0</v>
      </c>
      <c r="O724" s="96">
        <f t="shared" si="78"/>
        <v>0</v>
      </c>
      <c r="P724" s="95" t="str">
        <f t="shared" si="73"/>
        <v>N/A</v>
      </c>
      <c r="Q724" s="95" t="str">
        <f t="shared" si="74"/>
        <v>N/A</v>
      </c>
      <c r="R724" s="95" t="str">
        <f t="shared" si="75"/>
        <v>NO CERT.</v>
      </c>
      <c r="S724" s="95" t="e">
        <f t="shared" si="76"/>
        <v>#N/A</v>
      </c>
      <c r="T724" s="119" t="e">
        <f>+IF(J724=LOOKUP(J724,'CAFCO 300 IDIEM TABLAS'!$J$4:$J$40),'CALCULO MORTERO'!J724,MROUND('CALCULO MORTERO'!J724,10))</f>
        <v>#N/A</v>
      </c>
      <c r="U724" s="118">
        <f t="shared" si="77"/>
        <v>0</v>
      </c>
    </row>
    <row r="725" spans="1:21" x14ac:dyDescent="0.25">
      <c r="A725" s="118">
        <f>+CUBICACION!D719</f>
        <v>0</v>
      </c>
      <c r="B725" s="819">
        <f>+CUBICACION!E719</f>
        <v>0</v>
      </c>
      <c r="C725" s="675">
        <f>+CUBICACION!F719</f>
        <v>0</v>
      </c>
      <c r="D725" s="118"/>
      <c r="E725" s="118"/>
      <c r="F725" s="820"/>
      <c r="G725" s="675">
        <f>+CUBICACION!J719</f>
        <v>0</v>
      </c>
      <c r="H725" s="118"/>
      <c r="I725" s="821">
        <f>+CUBICACION!L719</f>
        <v>0</v>
      </c>
      <c r="J725" s="64">
        <f>+CUBICACION!M719</f>
        <v>0</v>
      </c>
      <c r="K725" s="822" t="str">
        <f>+CUBICACION!N719</f>
        <v/>
      </c>
      <c r="L725" s="118">
        <f>+CUBICACION!O719</f>
        <v>0</v>
      </c>
      <c r="M725" s="823">
        <f>+CUBICACION!P719</f>
        <v>0</v>
      </c>
      <c r="N725" s="902">
        <f>ROUND(IF(AND(L725="Blaze Shield II",M725="Software Idiem",C725="IN",G725=4),((('BLAZE SHIELD II'!$D$4*('CALCULO MORTERO'!I725^2)+'BLAZE SHIELD II'!$D$5*'CALCULO MORTERO'!I725+'BLAZE SHIELD II'!$D$6)*LN(J725))+('BLAZE SHIELD II'!$D$7*('CALCULO MORTERO'!I725^2)+'BLAZE SHIELD II'!$D$8*'CALCULO MORTERO'!I725+'BLAZE SHIELD II'!$D$9)),0)+IF(AND(L725="Blaze Shield II",M725="Software Idiem",C725="Cj"),((('BLAZE SHIELD II'!$H$4*('CALCULO MORTERO'!I725^2)+'BLAZE SHIELD II'!$H$5*'CALCULO MORTERO'!I725+'BLAZE SHIELD II'!$H$6)*LN(J725))+('BLAZE SHIELD II'!$H$7*('CALCULO MORTERO'!I725^2)+'BLAZE SHIELD II'!$H$8*'CALCULO MORTERO'!I725+'BLAZE SHIELD II'!$H$9)),0)+IF(AND(L725="Blaze Shield II",M725="Software Idiem",C725="C"),((('BLAZE SHIELD II'!$L$4*('CALCULO MORTERO'!I725^2)+'BLAZE SHIELD II'!$L$5*'CALCULO MORTERO'!I725+'BLAZE SHIELD II'!$L$6)*LN(J725))+('BLAZE SHIELD II'!$L$7*('CALCULO MORTERO'!I725^2)+'BLAZE SHIELD II'!$L$8*'CALCULO MORTERO'!I725+'BLAZE SHIELD II'!$L$9)),0)+IF(AND(L725="Blaze Shield II",M725="Software Idiem",C725="L"),((('BLAZE SHIELD II'!$L$4*('CALCULO MORTERO'!I725^2)+'BLAZE SHIELD II'!$L$5*'CALCULO MORTERO'!I725+'BLAZE SHIELD II'!$L$6)*LN(J725))+('BLAZE SHIELD II'!$L$7*('CALCULO MORTERO'!I725^2)+'BLAZE SHIELD II'!$L$8*'CALCULO MORTERO'!I725+'BLAZE SHIELD II'!$L$9)),0)+IF(AND(L725="Blaze Shield II",M725="Software Idiem",C725="IN",G725=3),((('BLAZE SHIELD II'!$H$14*('CALCULO MORTERO'!I725^2)+'BLAZE SHIELD II'!$H$15*'CALCULO MORTERO'!I725+'BLAZE SHIELD II'!$H$16)*LN(J725))+('BLAZE SHIELD II'!$H$17*('CALCULO MORTERO'!I725^2)+'BLAZE SHIELD II'!$H$18*'CALCULO MORTERO'!I725+'BLAZE SHIELD II'!$H$19)),0),0)+ROUND(IF(AND(L725="Cafco 400",M725="Software Idiem",C725="IN",G725=4),((('CAFCO 400 '!$H$7*(J725^4)+'CAFCO 400 '!$H$8*(J725^3)+'CAFCO 400 '!$H$9*(J725^2)+'CAFCO 400 '!$H$10*J725+'CAFCO 400 '!$H$11)*U725^2)+(('CAFCO 400 '!$H$12*(J725^3)+'CAFCO 400 '!$H$13*(J725^2)+'CAFCO 400 '!$H$14*J725+'CAFCO 400 '!$H$15)*U725)+('CAFCO 400 '!$H$16*(J725^2)+'CAFCO 400 '!$H$17*J725+'CAFCO 400 '!$H$18)),0)+IF(AND(L725="Cafco 400",M725="Software Idiem",C725="Cj"),(((('CAFCO 400 '!$D$7*LN(J725)+'CAFCO 400 '!$D$8)*U725^2)+(('CAFCO 400 '!$D$9*LN(J725)+'CAFCO 400 '!$D$10)*U725)+('CAFCO 400 '!$D$11*LN(J725)+'CAFCO 400 '!$D$12))),0)+IF(AND(L725="Cafco 400",M725="Software Idiem",C725="C"),((('CAFCO 400 '!$L$7*(J725^3)+'CAFCO 400 '!$L$8*(J725^2)+'CAFCO 400 '!$L$9*J725+'CAFCO 400 '!$L$10)*U725^2)+(('CAFCO 400 '!$L$11*(J725^3)+'CAFCO 400 '!$L$12*(J725^2)+'CAFCO 400 '!$L$13*J725+'CAFCO 400 '!$L$14)*U725)+('CAFCO 400 '!$L$15*LN(J725)+'CAFCO 400 '!$L$16)),0)+IF(AND(L725="Cafco 400",M725="Software Idiem",C725="L"),((('CAFCO 400 '!$L$7*(J725^3)+'CAFCO 400 '!$L$8*(J725^2)+'CAFCO 400 '!$L$9*J725+'CAFCO 400 '!$L$10)*U725^2)+(('CAFCO 400 '!$L$11*(J725^3)+'CAFCO 400 '!$L$12*(J725^2)+'CAFCO 400 '!$L$13*J725+'CAFCO 400 '!$L$14)*U725)+('CAFCO 400 '!$L$15*LN(J725)+'CAFCO 400 '!$L$16)),0)+IF(AND(L725="Cafco 400",M725="Software Idiem",C725="IN",G725=3),((('CAFCO 400 '!$D$23*(J725^2)+'CAFCO 400 '!$D$24*(J725)+'CAFCO 400 '!$D$25)*U725^2)+(('CAFCO 400 '!$D$26*(J725^2)+'CAFCO 400 '!$D$27*J725+'CAFCO 400 '!$D$28)*U725)+('CAFCO 400 '!$D$29*(J725^2)+'CAFCO 400 '!$D$30*J725+'CAFCO 400 '!$D$31)),0),0)+IF(AND(L725="Cafco 300",J725&gt;=95,J725&lt;=240,C725="Cj",I725=90),VLOOKUP(T725,'CAFCO 300 IDIEM TABLAS'!$B$4:$D$23,2,FALSE),0)+IF(AND(L725="Cafco 300",J725&gt;=95,J725&lt;=240,C725="Cj",I725=120),VLOOKUP(T725,'CAFCO 300 IDIEM TABLAS'!$B$4:$D$23,3,FALSE),0)+IF(AND(L725="Cafco 300",J725&gt;=95,J725&lt;=400,G725=3,C725="IN",I725=90),VLOOKUP(T725,'CAFCO 300 IDIEM TABLAS'!$F$4:$H$35,2,FALSE),0)+IF(AND(L725="Cafco 300",J725&gt;=95,J725&lt;=400,G725=3,C725="IN",I725=120),VLOOKUP(T725,'CAFCO 300 IDIEM TABLAS'!$F$4:$H$35,3,FALSE),0)+IF(AND(L725="Cafco 300",J725&gt;=95,J725&lt;=450,G725=4,C725="IN",I725=90),VLOOKUP(T725,'CAFCO 300 IDIEM TABLAS'!$J$4:$L$40,2,FALSE),0)+IF(AND(L725="Cafco 300",J725&gt;=95,J725&lt;=450,G725=4,C725="IN",I725=120),VLOOKUP(T725,'CAFCO 300 IDIEM TABLAS'!$J$4:$L$40,3,FALSE),0)+IF(AND(M725="Ensayo Idiem",L725="Cafco 400",C725="IN",G725=4,I725=90),VLOOKUP(T725,'CAFCO 400 ENSAYO'!$B$7:$D$43,2,FALSE),0)+IF(AND(M725="Ensayo Idiem",L725="Cafco 400",C725="IN",G725=4,I725=120),VLOOKUP(T725,'CAFCO 400 ENSAYO'!$B$7:$D$43,3,FALSE),0)</f>
        <v>0</v>
      </c>
      <c r="O725" s="96">
        <f t="shared" si="78"/>
        <v>0</v>
      </c>
      <c r="P725" s="132" t="str">
        <f t="shared" si="73"/>
        <v>N/A</v>
      </c>
      <c r="Q725" s="132" t="str">
        <f t="shared" si="74"/>
        <v>N/A</v>
      </c>
      <c r="R725" s="132" t="str">
        <f t="shared" si="75"/>
        <v>NO CERT.</v>
      </c>
      <c r="S725" s="132" t="e">
        <f t="shared" si="76"/>
        <v>#N/A</v>
      </c>
      <c r="T725" s="133" t="e">
        <f>+IF(J725=LOOKUP(J725,'CAFCO 300 IDIEM TABLAS'!$J$4:$J$40),'CALCULO MORTERO'!J725,MROUND('CALCULO MORTERO'!J725,10))</f>
        <v>#N/A</v>
      </c>
      <c r="U725" s="134">
        <f t="shared" si="77"/>
        <v>0</v>
      </c>
    </row>
    <row r="726" spans="1:21" x14ac:dyDescent="0.25">
      <c r="A726" s="118">
        <f>+CUBICACION!D720</f>
        <v>0</v>
      </c>
      <c r="B726" s="819">
        <f>+CUBICACION!E720</f>
        <v>0</v>
      </c>
      <c r="C726" s="675">
        <f>+CUBICACION!F720</f>
        <v>0</v>
      </c>
      <c r="D726" s="118"/>
      <c r="E726" s="118"/>
      <c r="F726" s="820"/>
      <c r="G726" s="675">
        <f>+CUBICACION!J720</f>
        <v>0</v>
      </c>
      <c r="H726" s="118"/>
      <c r="I726" s="821">
        <f>+CUBICACION!L720</f>
        <v>0</v>
      </c>
      <c r="J726" s="64">
        <f>+CUBICACION!M720</f>
        <v>0</v>
      </c>
      <c r="K726" s="822" t="str">
        <f>+CUBICACION!N720</f>
        <v/>
      </c>
      <c r="L726" s="118">
        <f>+CUBICACION!O720</f>
        <v>0</v>
      </c>
      <c r="M726" s="823">
        <f>+CUBICACION!P720</f>
        <v>0</v>
      </c>
      <c r="N726" s="902">
        <f>ROUND(IF(AND(L726="Blaze Shield II",M726="Software Idiem",C726="IN",G726=4),((('BLAZE SHIELD II'!$D$4*('CALCULO MORTERO'!I726^2)+'BLAZE SHIELD II'!$D$5*'CALCULO MORTERO'!I726+'BLAZE SHIELD II'!$D$6)*LN(J726))+('BLAZE SHIELD II'!$D$7*('CALCULO MORTERO'!I726^2)+'BLAZE SHIELD II'!$D$8*'CALCULO MORTERO'!I726+'BLAZE SHIELD II'!$D$9)),0)+IF(AND(L726="Blaze Shield II",M726="Software Idiem",C726="Cj"),((('BLAZE SHIELD II'!$H$4*('CALCULO MORTERO'!I726^2)+'BLAZE SHIELD II'!$H$5*'CALCULO MORTERO'!I726+'BLAZE SHIELD II'!$H$6)*LN(J726))+('BLAZE SHIELD II'!$H$7*('CALCULO MORTERO'!I726^2)+'BLAZE SHIELD II'!$H$8*'CALCULO MORTERO'!I726+'BLAZE SHIELD II'!$H$9)),0)+IF(AND(L726="Blaze Shield II",M726="Software Idiem",C726="C"),((('BLAZE SHIELD II'!$L$4*('CALCULO MORTERO'!I726^2)+'BLAZE SHIELD II'!$L$5*'CALCULO MORTERO'!I726+'BLAZE SHIELD II'!$L$6)*LN(J726))+('BLAZE SHIELD II'!$L$7*('CALCULO MORTERO'!I726^2)+'BLAZE SHIELD II'!$L$8*'CALCULO MORTERO'!I726+'BLAZE SHIELD II'!$L$9)),0)+IF(AND(L726="Blaze Shield II",M726="Software Idiem",C726="L"),((('BLAZE SHIELD II'!$L$4*('CALCULO MORTERO'!I726^2)+'BLAZE SHIELD II'!$L$5*'CALCULO MORTERO'!I726+'BLAZE SHIELD II'!$L$6)*LN(J726))+('BLAZE SHIELD II'!$L$7*('CALCULO MORTERO'!I726^2)+'BLAZE SHIELD II'!$L$8*'CALCULO MORTERO'!I726+'BLAZE SHIELD II'!$L$9)),0)+IF(AND(L726="Blaze Shield II",M726="Software Idiem",C726="IN",G726=3),((('BLAZE SHIELD II'!$H$14*('CALCULO MORTERO'!I726^2)+'BLAZE SHIELD II'!$H$15*'CALCULO MORTERO'!I726+'BLAZE SHIELD II'!$H$16)*LN(J726))+('BLAZE SHIELD II'!$H$17*('CALCULO MORTERO'!I726^2)+'BLAZE SHIELD II'!$H$18*'CALCULO MORTERO'!I726+'BLAZE SHIELD II'!$H$19)),0),0)+ROUND(IF(AND(L726="Cafco 400",M726="Software Idiem",C726="IN",G726=4),((('CAFCO 400 '!$H$7*(J726^4)+'CAFCO 400 '!$H$8*(J726^3)+'CAFCO 400 '!$H$9*(J726^2)+'CAFCO 400 '!$H$10*J726+'CAFCO 400 '!$H$11)*U726^2)+(('CAFCO 400 '!$H$12*(J726^3)+'CAFCO 400 '!$H$13*(J726^2)+'CAFCO 400 '!$H$14*J726+'CAFCO 400 '!$H$15)*U726)+('CAFCO 400 '!$H$16*(J726^2)+'CAFCO 400 '!$H$17*J726+'CAFCO 400 '!$H$18)),0)+IF(AND(L726="Cafco 400",M726="Software Idiem",C726="Cj"),(((('CAFCO 400 '!$D$7*LN(J726)+'CAFCO 400 '!$D$8)*U726^2)+(('CAFCO 400 '!$D$9*LN(J726)+'CAFCO 400 '!$D$10)*U726)+('CAFCO 400 '!$D$11*LN(J726)+'CAFCO 400 '!$D$12))),0)+IF(AND(L726="Cafco 400",M726="Software Idiem",C726="C"),((('CAFCO 400 '!$L$7*(J726^3)+'CAFCO 400 '!$L$8*(J726^2)+'CAFCO 400 '!$L$9*J726+'CAFCO 400 '!$L$10)*U726^2)+(('CAFCO 400 '!$L$11*(J726^3)+'CAFCO 400 '!$L$12*(J726^2)+'CAFCO 400 '!$L$13*J726+'CAFCO 400 '!$L$14)*U726)+('CAFCO 400 '!$L$15*LN(J726)+'CAFCO 400 '!$L$16)),0)+IF(AND(L726="Cafco 400",M726="Software Idiem",C726="L"),((('CAFCO 400 '!$L$7*(J726^3)+'CAFCO 400 '!$L$8*(J726^2)+'CAFCO 400 '!$L$9*J726+'CAFCO 400 '!$L$10)*U726^2)+(('CAFCO 400 '!$L$11*(J726^3)+'CAFCO 400 '!$L$12*(J726^2)+'CAFCO 400 '!$L$13*J726+'CAFCO 400 '!$L$14)*U726)+('CAFCO 400 '!$L$15*LN(J726)+'CAFCO 400 '!$L$16)),0)+IF(AND(L726="Cafco 400",M726="Software Idiem",C726="IN",G726=3),((('CAFCO 400 '!$D$23*(J726^2)+'CAFCO 400 '!$D$24*(J726)+'CAFCO 400 '!$D$25)*U726^2)+(('CAFCO 400 '!$D$26*(J726^2)+'CAFCO 400 '!$D$27*J726+'CAFCO 400 '!$D$28)*U726)+('CAFCO 400 '!$D$29*(J726^2)+'CAFCO 400 '!$D$30*J726+'CAFCO 400 '!$D$31)),0),0)+IF(AND(L726="Cafco 300",J726&gt;=95,J726&lt;=240,C726="Cj",I726=90),VLOOKUP(T726,'CAFCO 300 IDIEM TABLAS'!$B$4:$D$23,2,FALSE),0)+IF(AND(L726="Cafco 300",J726&gt;=95,J726&lt;=240,C726="Cj",I726=120),VLOOKUP(T726,'CAFCO 300 IDIEM TABLAS'!$B$4:$D$23,3,FALSE),0)+IF(AND(L726="Cafco 300",J726&gt;=95,J726&lt;=400,G726=3,C726="IN",I726=90),VLOOKUP(T726,'CAFCO 300 IDIEM TABLAS'!$F$4:$H$35,2,FALSE),0)+IF(AND(L726="Cafco 300",J726&gt;=95,J726&lt;=400,G726=3,C726="IN",I726=120),VLOOKUP(T726,'CAFCO 300 IDIEM TABLAS'!$F$4:$H$35,3,FALSE),0)+IF(AND(L726="Cafco 300",J726&gt;=95,J726&lt;=450,G726=4,C726="IN",I726=90),VLOOKUP(T726,'CAFCO 300 IDIEM TABLAS'!$J$4:$L$40,2,FALSE),0)+IF(AND(L726="Cafco 300",J726&gt;=95,J726&lt;=450,G726=4,C726="IN",I726=120),VLOOKUP(T726,'CAFCO 300 IDIEM TABLAS'!$J$4:$L$40,3,FALSE),0)+IF(AND(M726="Ensayo Idiem",L726="Cafco 400",C726="IN",G726=4,I726=90),VLOOKUP(T726,'CAFCO 400 ENSAYO'!$B$7:$D$43,2,FALSE),0)+IF(AND(M726="Ensayo Idiem",L726="Cafco 400",C726="IN",G726=4,I726=120),VLOOKUP(T726,'CAFCO 400 ENSAYO'!$B$7:$D$43,3,FALSE),0)</f>
        <v>0</v>
      </c>
      <c r="O726" s="96">
        <f t="shared" si="78"/>
        <v>0</v>
      </c>
      <c r="P726" s="95" t="str">
        <f t="shared" si="73"/>
        <v>N/A</v>
      </c>
      <c r="Q726" s="95" t="str">
        <f t="shared" si="74"/>
        <v>N/A</v>
      </c>
      <c r="R726" s="95" t="str">
        <f t="shared" si="75"/>
        <v>NO CERT.</v>
      </c>
      <c r="S726" s="95" t="e">
        <f t="shared" si="76"/>
        <v>#N/A</v>
      </c>
      <c r="T726" s="119" t="e">
        <f>+IF(J726=LOOKUP(J726,'CAFCO 300 IDIEM TABLAS'!$J$4:$J$40),'CALCULO MORTERO'!J726,MROUND('CALCULO MORTERO'!J726,10))</f>
        <v>#N/A</v>
      </c>
      <c r="U726" s="118">
        <f t="shared" si="77"/>
        <v>0</v>
      </c>
    </row>
    <row r="727" spans="1:21" x14ac:dyDescent="0.25">
      <c r="A727" s="118">
        <f>+CUBICACION!D721</f>
        <v>0</v>
      </c>
      <c r="B727" s="819">
        <f>+CUBICACION!E721</f>
        <v>0</v>
      </c>
      <c r="C727" s="675">
        <f>+CUBICACION!F721</f>
        <v>0</v>
      </c>
      <c r="D727" s="118"/>
      <c r="E727" s="118"/>
      <c r="F727" s="820"/>
      <c r="G727" s="675">
        <f>+CUBICACION!J721</f>
        <v>0</v>
      </c>
      <c r="H727" s="118"/>
      <c r="I727" s="821">
        <f>+CUBICACION!L721</f>
        <v>0</v>
      </c>
      <c r="J727" s="64">
        <f>+CUBICACION!M721</f>
        <v>0</v>
      </c>
      <c r="K727" s="822" t="str">
        <f>+CUBICACION!N721</f>
        <v/>
      </c>
      <c r="L727" s="118">
        <f>+CUBICACION!O721</f>
        <v>0</v>
      </c>
      <c r="M727" s="823">
        <f>+CUBICACION!P721</f>
        <v>0</v>
      </c>
      <c r="N727" s="902">
        <f>ROUND(IF(AND(L727="Blaze Shield II",M727="Software Idiem",C727="IN",G727=4),((('BLAZE SHIELD II'!$D$4*('CALCULO MORTERO'!I727^2)+'BLAZE SHIELD II'!$D$5*'CALCULO MORTERO'!I727+'BLAZE SHIELD II'!$D$6)*LN(J727))+('BLAZE SHIELD II'!$D$7*('CALCULO MORTERO'!I727^2)+'BLAZE SHIELD II'!$D$8*'CALCULO MORTERO'!I727+'BLAZE SHIELD II'!$D$9)),0)+IF(AND(L727="Blaze Shield II",M727="Software Idiem",C727="Cj"),((('BLAZE SHIELD II'!$H$4*('CALCULO MORTERO'!I727^2)+'BLAZE SHIELD II'!$H$5*'CALCULO MORTERO'!I727+'BLAZE SHIELD II'!$H$6)*LN(J727))+('BLAZE SHIELD II'!$H$7*('CALCULO MORTERO'!I727^2)+'BLAZE SHIELD II'!$H$8*'CALCULO MORTERO'!I727+'BLAZE SHIELD II'!$H$9)),0)+IF(AND(L727="Blaze Shield II",M727="Software Idiem",C727="C"),((('BLAZE SHIELD II'!$L$4*('CALCULO MORTERO'!I727^2)+'BLAZE SHIELD II'!$L$5*'CALCULO MORTERO'!I727+'BLAZE SHIELD II'!$L$6)*LN(J727))+('BLAZE SHIELD II'!$L$7*('CALCULO MORTERO'!I727^2)+'BLAZE SHIELD II'!$L$8*'CALCULO MORTERO'!I727+'BLAZE SHIELD II'!$L$9)),0)+IF(AND(L727="Blaze Shield II",M727="Software Idiem",C727="L"),((('BLAZE SHIELD II'!$L$4*('CALCULO MORTERO'!I727^2)+'BLAZE SHIELD II'!$L$5*'CALCULO MORTERO'!I727+'BLAZE SHIELD II'!$L$6)*LN(J727))+('BLAZE SHIELD II'!$L$7*('CALCULO MORTERO'!I727^2)+'BLAZE SHIELD II'!$L$8*'CALCULO MORTERO'!I727+'BLAZE SHIELD II'!$L$9)),0)+IF(AND(L727="Blaze Shield II",M727="Software Idiem",C727="IN",G727=3),((('BLAZE SHIELD II'!$H$14*('CALCULO MORTERO'!I727^2)+'BLAZE SHIELD II'!$H$15*'CALCULO MORTERO'!I727+'BLAZE SHIELD II'!$H$16)*LN(J727))+('BLAZE SHIELD II'!$H$17*('CALCULO MORTERO'!I727^2)+'BLAZE SHIELD II'!$H$18*'CALCULO MORTERO'!I727+'BLAZE SHIELD II'!$H$19)),0),0)+ROUND(IF(AND(L727="Cafco 400",M727="Software Idiem",C727="IN",G727=4),((('CAFCO 400 '!$H$7*(J727^4)+'CAFCO 400 '!$H$8*(J727^3)+'CAFCO 400 '!$H$9*(J727^2)+'CAFCO 400 '!$H$10*J727+'CAFCO 400 '!$H$11)*U727^2)+(('CAFCO 400 '!$H$12*(J727^3)+'CAFCO 400 '!$H$13*(J727^2)+'CAFCO 400 '!$H$14*J727+'CAFCO 400 '!$H$15)*U727)+('CAFCO 400 '!$H$16*(J727^2)+'CAFCO 400 '!$H$17*J727+'CAFCO 400 '!$H$18)),0)+IF(AND(L727="Cafco 400",M727="Software Idiem",C727="Cj"),(((('CAFCO 400 '!$D$7*LN(J727)+'CAFCO 400 '!$D$8)*U727^2)+(('CAFCO 400 '!$D$9*LN(J727)+'CAFCO 400 '!$D$10)*U727)+('CAFCO 400 '!$D$11*LN(J727)+'CAFCO 400 '!$D$12))),0)+IF(AND(L727="Cafco 400",M727="Software Idiem",C727="C"),((('CAFCO 400 '!$L$7*(J727^3)+'CAFCO 400 '!$L$8*(J727^2)+'CAFCO 400 '!$L$9*J727+'CAFCO 400 '!$L$10)*U727^2)+(('CAFCO 400 '!$L$11*(J727^3)+'CAFCO 400 '!$L$12*(J727^2)+'CAFCO 400 '!$L$13*J727+'CAFCO 400 '!$L$14)*U727)+('CAFCO 400 '!$L$15*LN(J727)+'CAFCO 400 '!$L$16)),0)+IF(AND(L727="Cafco 400",M727="Software Idiem",C727="L"),((('CAFCO 400 '!$L$7*(J727^3)+'CAFCO 400 '!$L$8*(J727^2)+'CAFCO 400 '!$L$9*J727+'CAFCO 400 '!$L$10)*U727^2)+(('CAFCO 400 '!$L$11*(J727^3)+'CAFCO 400 '!$L$12*(J727^2)+'CAFCO 400 '!$L$13*J727+'CAFCO 400 '!$L$14)*U727)+('CAFCO 400 '!$L$15*LN(J727)+'CAFCO 400 '!$L$16)),0)+IF(AND(L727="Cafco 400",M727="Software Idiem",C727="IN",G727=3),((('CAFCO 400 '!$D$23*(J727^2)+'CAFCO 400 '!$D$24*(J727)+'CAFCO 400 '!$D$25)*U727^2)+(('CAFCO 400 '!$D$26*(J727^2)+'CAFCO 400 '!$D$27*J727+'CAFCO 400 '!$D$28)*U727)+('CAFCO 400 '!$D$29*(J727^2)+'CAFCO 400 '!$D$30*J727+'CAFCO 400 '!$D$31)),0),0)+IF(AND(L727="Cafco 300",J727&gt;=95,J727&lt;=240,C727="Cj",I727=90),VLOOKUP(T727,'CAFCO 300 IDIEM TABLAS'!$B$4:$D$23,2,FALSE),0)+IF(AND(L727="Cafco 300",J727&gt;=95,J727&lt;=240,C727="Cj",I727=120),VLOOKUP(T727,'CAFCO 300 IDIEM TABLAS'!$B$4:$D$23,3,FALSE),0)+IF(AND(L727="Cafco 300",J727&gt;=95,J727&lt;=400,G727=3,C727="IN",I727=90),VLOOKUP(T727,'CAFCO 300 IDIEM TABLAS'!$F$4:$H$35,2,FALSE),0)+IF(AND(L727="Cafco 300",J727&gt;=95,J727&lt;=400,G727=3,C727="IN",I727=120),VLOOKUP(T727,'CAFCO 300 IDIEM TABLAS'!$F$4:$H$35,3,FALSE),0)+IF(AND(L727="Cafco 300",J727&gt;=95,J727&lt;=450,G727=4,C727="IN",I727=90),VLOOKUP(T727,'CAFCO 300 IDIEM TABLAS'!$J$4:$L$40,2,FALSE),0)+IF(AND(L727="Cafco 300",J727&gt;=95,J727&lt;=450,G727=4,C727="IN",I727=120),VLOOKUP(T727,'CAFCO 300 IDIEM TABLAS'!$J$4:$L$40,3,FALSE),0)+IF(AND(M727="Ensayo Idiem",L727="Cafco 400",C727="IN",G727=4,I727=90),VLOOKUP(T727,'CAFCO 400 ENSAYO'!$B$7:$D$43,2,FALSE),0)+IF(AND(M727="Ensayo Idiem",L727="Cafco 400",C727="IN",G727=4,I727=120),VLOOKUP(T727,'CAFCO 400 ENSAYO'!$B$7:$D$43,3,FALSE),0)</f>
        <v>0</v>
      </c>
      <c r="O727" s="96">
        <f t="shared" si="78"/>
        <v>0</v>
      </c>
      <c r="P727" s="132" t="str">
        <f t="shared" si="73"/>
        <v>N/A</v>
      </c>
      <c r="Q727" s="132" t="str">
        <f t="shared" si="74"/>
        <v>N/A</v>
      </c>
      <c r="R727" s="132" t="str">
        <f t="shared" si="75"/>
        <v>NO CERT.</v>
      </c>
      <c r="S727" s="132" t="e">
        <f t="shared" si="76"/>
        <v>#N/A</v>
      </c>
      <c r="T727" s="133" t="e">
        <f>+IF(J727=LOOKUP(J727,'CAFCO 300 IDIEM TABLAS'!$J$4:$J$40),'CALCULO MORTERO'!J727,MROUND('CALCULO MORTERO'!J727,10))</f>
        <v>#N/A</v>
      </c>
      <c r="U727" s="134">
        <f t="shared" si="77"/>
        <v>0</v>
      </c>
    </row>
    <row r="728" spans="1:21" x14ac:dyDescent="0.25">
      <c r="A728" s="118">
        <f>+CUBICACION!D722</f>
        <v>0</v>
      </c>
      <c r="B728" s="819">
        <f>+CUBICACION!E722</f>
        <v>0</v>
      </c>
      <c r="C728" s="675">
        <f>+CUBICACION!F722</f>
        <v>0</v>
      </c>
      <c r="D728" s="118"/>
      <c r="E728" s="118"/>
      <c r="F728" s="820"/>
      <c r="G728" s="675">
        <f>+CUBICACION!J722</f>
        <v>0</v>
      </c>
      <c r="H728" s="118"/>
      <c r="I728" s="821">
        <f>+CUBICACION!L722</f>
        <v>0</v>
      </c>
      <c r="J728" s="64">
        <f>+CUBICACION!M722</f>
        <v>0</v>
      </c>
      <c r="K728" s="822" t="str">
        <f>+CUBICACION!N722</f>
        <v/>
      </c>
      <c r="L728" s="118">
        <f>+CUBICACION!O722</f>
        <v>0</v>
      </c>
      <c r="M728" s="823">
        <f>+CUBICACION!P722</f>
        <v>0</v>
      </c>
      <c r="N728" s="902">
        <f>ROUND(IF(AND(L728="Blaze Shield II",M728="Software Idiem",C728="IN",G728=4),((('BLAZE SHIELD II'!$D$4*('CALCULO MORTERO'!I728^2)+'BLAZE SHIELD II'!$D$5*'CALCULO MORTERO'!I728+'BLAZE SHIELD II'!$D$6)*LN(J728))+('BLAZE SHIELD II'!$D$7*('CALCULO MORTERO'!I728^2)+'BLAZE SHIELD II'!$D$8*'CALCULO MORTERO'!I728+'BLAZE SHIELD II'!$D$9)),0)+IF(AND(L728="Blaze Shield II",M728="Software Idiem",C728="Cj"),((('BLAZE SHIELD II'!$H$4*('CALCULO MORTERO'!I728^2)+'BLAZE SHIELD II'!$H$5*'CALCULO MORTERO'!I728+'BLAZE SHIELD II'!$H$6)*LN(J728))+('BLAZE SHIELD II'!$H$7*('CALCULO MORTERO'!I728^2)+'BLAZE SHIELD II'!$H$8*'CALCULO MORTERO'!I728+'BLAZE SHIELD II'!$H$9)),0)+IF(AND(L728="Blaze Shield II",M728="Software Idiem",C728="C"),((('BLAZE SHIELD II'!$L$4*('CALCULO MORTERO'!I728^2)+'BLAZE SHIELD II'!$L$5*'CALCULO MORTERO'!I728+'BLAZE SHIELD II'!$L$6)*LN(J728))+('BLAZE SHIELD II'!$L$7*('CALCULO MORTERO'!I728^2)+'BLAZE SHIELD II'!$L$8*'CALCULO MORTERO'!I728+'BLAZE SHIELD II'!$L$9)),0)+IF(AND(L728="Blaze Shield II",M728="Software Idiem",C728="L"),((('BLAZE SHIELD II'!$L$4*('CALCULO MORTERO'!I728^2)+'BLAZE SHIELD II'!$L$5*'CALCULO MORTERO'!I728+'BLAZE SHIELD II'!$L$6)*LN(J728))+('BLAZE SHIELD II'!$L$7*('CALCULO MORTERO'!I728^2)+'BLAZE SHIELD II'!$L$8*'CALCULO MORTERO'!I728+'BLAZE SHIELD II'!$L$9)),0)+IF(AND(L728="Blaze Shield II",M728="Software Idiem",C728="IN",G728=3),((('BLAZE SHIELD II'!$H$14*('CALCULO MORTERO'!I728^2)+'BLAZE SHIELD II'!$H$15*'CALCULO MORTERO'!I728+'BLAZE SHIELD II'!$H$16)*LN(J728))+('BLAZE SHIELD II'!$H$17*('CALCULO MORTERO'!I728^2)+'BLAZE SHIELD II'!$H$18*'CALCULO MORTERO'!I728+'BLAZE SHIELD II'!$H$19)),0),0)+ROUND(IF(AND(L728="Cafco 400",M728="Software Idiem",C728="IN",G728=4),((('CAFCO 400 '!$H$7*(J728^4)+'CAFCO 400 '!$H$8*(J728^3)+'CAFCO 400 '!$H$9*(J728^2)+'CAFCO 400 '!$H$10*J728+'CAFCO 400 '!$H$11)*U728^2)+(('CAFCO 400 '!$H$12*(J728^3)+'CAFCO 400 '!$H$13*(J728^2)+'CAFCO 400 '!$H$14*J728+'CAFCO 400 '!$H$15)*U728)+('CAFCO 400 '!$H$16*(J728^2)+'CAFCO 400 '!$H$17*J728+'CAFCO 400 '!$H$18)),0)+IF(AND(L728="Cafco 400",M728="Software Idiem",C728="Cj"),(((('CAFCO 400 '!$D$7*LN(J728)+'CAFCO 400 '!$D$8)*U728^2)+(('CAFCO 400 '!$D$9*LN(J728)+'CAFCO 400 '!$D$10)*U728)+('CAFCO 400 '!$D$11*LN(J728)+'CAFCO 400 '!$D$12))),0)+IF(AND(L728="Cafco 400",M728="Software Idiem",C728="C"),((('CAFCO 400 '!$L$7*(J728^3)+'CAFCO 400 '!$L$8*(J728^2)+'CAFCO 400 '!$L$9*J728+'CAFCO 400 '!$L$10)*U728^2)+(('CAFCO 400 '!$L$11*(J728^3)+'CAFCO 400 '!$L$12*(J728^2)+'CAFCO 400 '!$L$13*J728+'CAFCO 400 '!$L$14)*U728)+('CAFCO 400 '!$L$15*LN(J728)+'CAFCO 400 '!$L$16)),0)+IF(AND(L728="Cafco 400",M728="Software Idiem",C728="L"),((('CAFCO 400 '!$L$7*(J728^3)+'CAFCO 400 '!$L$8*(J728^2)+'CAFCO 400 '!$L$9*J728+'CAFCO 400 '!$L$10)*U728^2)+(('CAFCO 400 '!$L$11*(J728^3)+'CAFCO 400 '!$L$12*(J728^2)+'CAFCO 400 '!$L$13*J728+'CAFCO 400 '!$L$14)*U728)+('CAFCO 400 '!$L$15*LN(J728)+'CAFCO 400 '!$L$16)),0)+IF(AND(L728="Cafco 400",M728="Software Idiem",C728="IN",G728=3),((('CAFCO 400 '!$D$23*(J728^2)+'CAFCO 400 '!$D$24*(J728)+'CAFCO 400 '!$D$25)*U728^2)+(('CAFCO 400 '!$D$26*(J728^2)+'CAFCO 400 '!$D$27*J728+'CAFCO 400 '!$D$28)*U728)+('CAFCO 400 '!$D$29*(J728^2)+'CAFCO 400 '!$D$30*J728+'CAFCO 400 '!$D$31)),0),0)+IF(AND(L728="Cafco 300",J728&gt;=95,J728&lt;=240,C728="Cj",I728=90),VLOOKUP(T728,'CAFCO 300 IDIEM TABLAS'!$B$4:$D$23,2,FALSE),0)+IF(AND(L728="Cafco 300",J728&gt;=95,J728&lt;=240,C728="Cj",I728=120),VLOOKUP(T728,'CAFCO 300 IDIEM TABLAS'!$B$4:$D$23,3,FALSE),0)+IF(AND(L728="Cafco 300",J728&gt;=95,J728&lt;=400,G728=3,C728="IN",I728=90),VLOOKUP(T728,'CAFCO 300 IDIEM TABLAS'!$F$4:$H$35,2,FALSE),0)+IF(AND(L728="Cafco 300",J728&gt;=95,J728&lt;=400,G728=3,C728="IN",I728=120),VLOOKUP(T728,'CAFCO 300 IDIEM TABLAS'!$F$4:$H$35,3,FALSE),0)+IF(AND(L728="Cafco 300",J728&gt;=95,J728&lt;=450,G728=4,C728="IN",I728=90),VLOOKUP(T728,'CAFCO 300 IDIEM TABLAS'!$J$4:$L$40,2,FALSE),0)+IF(AND(L728="Cafco 300",J728&gt;=95,J728&lt;=450,G728=4,C728="IN",I728=120),VLOOKUP(T728,'CAFCO 300 IDIEM TABLAS'!$J$4:$L$40,3,FALSE),0)+IF(AND(M728="Ensayo Idiem",L728="Cafco 400",C728="IN",G728=4,I728=90),VLOOKUP(T728,'CAFCO 400 ENSAYO'!$B$7:$D$43,2,FALSE),0)+IF(AND(M728="Ensayo Idiem",L728="Cafco 400",C728="IN",G728=4,I728=120),VLOOKUP(T728,'CAFCO 400 ENSAYO'!$B$7:$D$43,3,FALSE),0)</f>
        <v>0</v>
      </c>
      <c r="O728" s="96">
        <f t="shared" si="78"/>
        <v>0</v>
      </c>
      <c r="P728" s="95" t="str">
        <f t="shared" si="73"/>
        <v>N/A</v>
      </c>
      <c r="Q728" s="95" t="str">
        <f t="shared" si="74"/>
        <v>N/A</v>
      </c>
      <c r="R728" s="95" t="str">
        <f t="shared" si="75"/>
        <v>NO CERT.</v>
      </c>
      <c r="S728" s="95" t="e">
        <f t="shared" si="76"/>
        <v>#N/A</v>
      </c>
      <c r="T728" s="119" t="e">
        <f>+IF(J728=LOOKUP(J728,'CAFCO 300 IDIEM TABLAS'!$J$4:$J$40),'CALCULO MORTERO'!J728,MROUND('CALCULO MORTERO'!J728,10))</f>
        <v>#N/A</v>
      </c>
      <c r="U728" s="118">
        <f t="shared" si="77"/>
        <v>0</v>
      </c>
    </row>
    <row r="729" spans="1:21" x14ac:dyDescent="0.25">
      <c r="A729" s="118">
        <f>+CUBICACION!D723</f>
        <v>0</v>
      </c>
      <c r="B729" s="819">
        <f>+CUBICACION!E723</f>
        <v>0</v>
      </c>
      <c r="C729" s="675">
        <f>+CUBICACION!F723</f>
        <v>0</v>
      </c>
      <c r="D729" s="118"/>
      <c r="E729" s="118"/>
      <c r="F729" s="820"/>
      <c r="G729" s="675">
        <f>+CUBICACION!J723</f>
        <v>0</v>
      </c>
      <c r="H729" s="118"/>
      <c r="I729" s="821">
        <f>+CUBICACION!L723</f>
        <v>0</v>
      </c>
      <c r="J729" s="64">
        <f>+CUBICACION!M723</f>
        <v>0</v>
      </c>
      <c r="K729" s="822" t="str">
        <f>+CUBICACION!N723</f>
        <v/>
      </c>
      <c r="L729" s="118">
        <f>+CUBICACION!O723</f>
        <v>0</v>
      </c>
      <c r="M729" s="823">
        <f>+CUBICACION!P723</f>
        <v>0</v>
      </c>
      <c r="N729" s="902">
        <f>ROUND(IF(AND(L729="Blaze Shield II",M729="Software Idiem",C729="IN",G729=4),((('BLAZE SHIELD II'!$D$4*('CALCULO MORTERO'!I729^2)+'BLAZE SHIELD II'!$D$5*'CALCULO MORTERO'!I729+'BLAZE SHIELD II'!$D$6)*LN(J729))+('BLAZE SHIELD II'!$D$7*('CALCULO MORTERO'!I729^2)+'BLAZE SHIELD II'!$D$8*'CALCULO MORTERO'!I729+'BLAZE SHIELD II'!$D$9)),0)+IF(AND(L729="Blaze Shield II",M729="Software Idiem",C729="Cj"),((('BLAZE SHIELD II'!$H$4*('CALCULO MORTERO'!I729^2)+'BLAZE SHIELD II'!$H$5*'CALCULO MORTERO'!I729+'BLAZE SHIELD II'!$H$6)*LN(J729))+('BLAZE SHIELD II'!$H$7*('CALCULO MORTERO'!I729^2)+'BLAZE SHIELD II'!$H$8*'CALCULO MORTERO'!I729+'BLAZE SHIELD II'!$H$9)),0)+IF(AND(L729="Blaze Shield II",M729="Software Idiem",C729="C"),((('BLAZE SHIELD II'!$L$4*('CALCULO MORTERO'!I729^2)+'BLAZE SHIELD II'!$L$5*'CALCULO MORTERO'!I729+'BLAZE SHIELD II'!$L$6)*LN(J729))+('BLAZE SHIELD II'!$L$7*('CALCULO MORTERO'!I729^2)+'BLAZE SHIELD II'!$L$8*'CALCULO MORTERO'!I729+'BLAZE SHIELD II'!$L$9)),0)+IF(AND(L729="Blaze Shield II",M729="Software Idiem",C729="L"),((('BLAZE SHIELD II'!$L$4*('CALCULO MORTERO'!I729^2)+'BLAZE SHIELD II'!$L$5*'CALCULO MORTERO'!I729+'BLAZE SHIELD II'!$L$6)*LN(J729))+('BLAZE SHIELD II'!$L$7*('CALCULO MORTERO'!I729^2)+'BLAZE SHIELD II'!$L$8*'CALCULO MORTERO'!I729+'BLAZE SHIELD II'!$L$9)),0)+IF(AND(L729="Blaze Shield II",M729="Software Idiem",C729="IN",G729=3),((('BLAZE SHIELD II'!$H$14*('CALCULO MORTERO'!I729^2)+'BLAZE SHIELD II'!$H$15*'CALCULO MORTERO'!I729+'BLAZE SHIELD II'!$H$16)*LN(J729))+('BLAZE SHIELD II'!$H$17*('CALCULO MORTERO'!I729^2)+'BLAZE SHIELD II'!$H$18*'CALCULO MORTERO'!I729+'BLAZE SHIELD II'!$H$19)),0),0)+ROUND(IF(AND(L729="Cafco 400",M729="Software Idiem",C729="IN",G729=4),((('CAFCO 400 '!$H$7*(J729^4)+'CAFCO 400 '!$H$8*(J729^3)+'CAFCO 400 '!$H$9*(J729^2)+'CAFCO 400 '!$H$10*J729+'CAFCO 400 '!$H$11)*U729^2)+(('CAFCO 400 '!$H$12*(J729^3)+'CAFCO 400 '!$H$13*(J729^2)+'CAFCO 400 '!$H$14*J729+'CAFCO 400 '!$H$15)*U729)+('CAFCO 400 '!$H$16*(J729^2)+'CAFCO 400 '!$H$17*J729+'CAFCO 400 '!$H$18)),0)+IF(AND(L729="Cafco 400",M729="Software Idiem",C729="Cj"),(((('CAFCO 400 '!$D$7*LN(J729)+'CAFCO 400 '!$D$8)*U729^2)+(('CAFCO 400 '!$D$9*LN(J729)+'CAFCO 400 '!$D$10)*U729)+('CAFCO 400 '!$D$11*LN(J729)+'CAFCO 400 '!$D$12))),0)+IF(AND(L729="Cafco 400",M729="Software Idiem",C729="C"),((('CAFCO 400 '!$L$7*(J729^3)+'CAFCO 400 '!$L$8*(J729^2)+'CAFCO 400 '!$L$9*J729+'CAFCO 400 '!$L$10)*U729^2)+(('CAFCO 400 '!$L$11*(J729^3)+'CAFCO 400 '!$L$12*(J729^2)+'CAFCO 400 '!$L$13*J729+'CAFCO 400 '!$L$14)*U729)+('CAFCO 400 '!$L$15*LN(J729)+'CAFCO 400 '!$L$16)),0)+IF(AND(L729="Cafco 400",M729="Software Idiem",C729="L"),((('CAFCO 400 '!$L$7*(J729^3)+'CAFCO 400 '!$L$8*(J729^2)+'CAFCO 400 '!$L$9*J729+'CAFCO 400 '!$L$10)*U729^2)+(('CAFCO 400 '!$L$11*(J729^3)+'CAFCO 400 '!$L$12*(J729^2)+'CAFCO 400 '!$L$13*J729+'CAFCO 400 '!$L$14)*U729)+('CAFCO 400 '!$L$15*LN(J729)+'CAFCO 400 '!$L$16)),0)+IF(AND(L729="Cafco 400",M729="Software Idiem",C729="IN",G729=3),((('CAFCO 400 '!$D$23*(J729^2)+'CAFCO 400 '!$D$24*(J729)+'CAFCO 400 '!$D$25)*U729^2)+(('CAFCO 400 '!$D$26*(J729^2)+'CAFCO 400 '!$D$27*J729+'CAFCO 400 '!$D$28)*U729)+('CAFCO 400 '!$D$29*(J729^2)+'CAFCO 400 '!$D$30*J729+'CAFCO 400 '!$D$31)),0),0)+IF(AND(L729="Cafco 300",J729&gt;=95,J729&lt;=240,C729="Cj",I729=90),VLOOKUP(T729,'CAFCO 300 IDIEM TABLAS'!$B$4:$D$23,2,FALSE),0)+IF(AND(L729="Cafco 300",J729&gt;=95,J729&lt;=240,C729="Cj",I729=120),VLOOKUP(T729,'CAFCO 300 IDIEM TABLAS'!$B$4:$D$23,3,FALSE),0)+IF(AND(L729="Cafco 300",J729&gt;=95,J729&lt;=400,G729=3,C729="IN",I729=90),VLOOKUP(T729,'CAFCO 300 IDIEM TABLAS'!$F$4:$H$35,2,FALSE),0)+IF(AND(L729="Cafco 300",J729&gt;=95,J729&lt;=400,G729=3,C729="IN",I729=120),VLOOKUP(T729,'CAFCO 300 IDIEM TABLAS'!$F$4:$H$35,3,FALSE),0)+IF(AND(L729="Cafco 300",J729&gt;=95,J729&lt;=450,G729=4,C729="IN",I729=90),VLOOKUP(T729,'CAFCO 300 IDIEM TABLAS'!$J$4:$L$40,2,FALSE),0)+IF(AND(L729="Cafco 300",J729&gt;=95,J729&lt;=450,G729=4,C729="IN",I729=120),VLOOKUP(T729,'CAFCO 300 IDIEM TABLAS'!$J$4:$L$40,3,FALSE),0)+IF(AND(M729="Ensayo Idiem",L729="Cafco 400",C729="IN",G729=4,I729=90),VLOOKUP(T729,'CAFCO 400 ENSAYO'!$B$7:$D$43,2,FALSE),0)+IF(AND(M729="Ensayo Idiem",L729="Cafco 400",C729="IN",G729=4,I729=120),VLOOKUP(T729,'CAFCO 400 ENSAYO'!$B$7:$D$43,3,FALSE),0)</f>
        <v>0</v>
      </c>
      <c r="O729" s="96">
        <f t="shared" si="78"/>
        <v>0</v>
      </c>
      <c r="P729" s="132" t="str">
        <f t="shared" si="73"/>
        <v>N/A</v>
      </c>
      <c r="Q729" s="132" t="str">
        <f t="shared" si="74"/>
        <v>N/A</v>
      </c>
      <c r="R729" s="132" t="str">
        <f t="shared" si="75"/>
        <v>NO CERT.</v>
      </c>
      <c r="S729" s="132" t="e">
        <f t="shared" si="76"/>
        <v>#N/A</v>
      </c>
      <c r="T729" s="133" t="e">
        <f>+IF(J729=LOOKUP(J729,'CAFCO 300 IDIEM TABLAS'!$J$4:$J$40),'CALCULO MORTERO'!J729,MROUND('CALCULO MORTERO'!J729,10))</f>
        <v>#N/A</v>
      </c>
      <c r="U729" s="134">
        <f t="shared" si="77"/>
        <v>0</v>
      </c>
    </row>
    <row r="730" spans="1:21" x14ac:dyDescent="0.25">
      <c r="A730" s="118">
        <f>+CUBICACION!D724</f>
        <v>0</v>
      </c>
      <c r="B730" s="819">
        <f>+CUBICACION!E724</f>
        <v>0</v>
      </c>
      <c r="C730" s="675">
        <f>+CUBICACION!F724</f>
        <v>0</v>
      </c>
      <c r="D730" s="118"/>
      <c r="E730" s="118"/>
      <c r="F730" s="820"/>
      <c r="G730" s="675">
        <f>+CUBICACION!J724</f>
        <v>0</v>
      </c>
      <c r="H730" s="118"/>
      <c r="I730" s="821">
        <f>+CUBICACION!L724</f>
        <v>0</v>
      </c>
      <c r="J730" s="64">
        <f>+CUBICACION!M724</f>
        <v>0</v>
      </c>
      <c r="K730" s="822" t="str">
        <f>+CUBICACION!N724</f>
        <v/>
      </c>
      <c r="L730" s="118">
        <f>+CUBICACION!O724</f>
        <v>0</v>
      </c>
      <c r="M730" s="823">
        <f>+CUBICACION!P724</f>
        <v>0</v>
      </c>
      <c r="N730" s="902">
        <f>ROUND(IF(AND(L730="Blaze Shield II",M730="Software Idiem",C730="IN",G730=4),((('BLAZE SHIELD II'!$D$4*('CALCULO MORTERO'!I730^2)+'BLAZE SHIELD II'!$D$5*'CALCULO MORTERO'!I730+'BLAZE SHIELD II'!$D$6)*LN(J730))+('BLAZE SHIELD II'!$D$7*('CALCULO MORTERO'!I730^2)+'BLAZE SHIELD II'!$D$8*'CALCULO MORTERO'!I730+'BLAZE SHIELD II'!$D$9)),0)+IF(AND(L730="Blaze Shield II",M730="Software Idiem",C730="Cj"),((('BLAZE SHIELD II'!$H$4*('CALCULO MORTERO'!I730^2)+'BLAZE SHIELD II'!$H$5*'CALCULO MORTERO'!I730+'BLAZE SHIELD II'!$H$6)*LN(J730))+('BLAZE SHIELD II'!$H$7*('CALCULO MORTERO'!I730^2)+'BLAZE SHIELD II'!$H$8*'CALCULO MORTERO'!I730+'BLAZE SHIELD II'!$H$9)),0)+IF(AND(L730="Blaze Shield II",M730="Software Idiem",C730="C"),((('BLAZE SHIELD II'!$L$4*('CALCULO MORTERO'!I730^2)+'BLAZE SHIELD II'!$L$5*'CALCULO MORTERO'!I730+'BLAZE SHIELD II'!$L$6)*LN(J730))+('BLAZE SHIELD II'!$L$7*('CALCULO MORTERO'!I730^2)+'BLAZE SHIELD II'!$L$8*'CALCULO MORTERO'!I730+'BLAZE SHIELD II'!$L$9)),0)+IF(AND(L730="Blaze Shield II",M730="Software Idiem",C730="L"),((('BLAZE SHIELD II'!$L$4*('CALCULO MORTERO'!I730^2)+'BLAZE SHIELD II'!$L$5*'CALCULO MORTERO'!I730+'BLAZE SHIELD II'!$L$6)*LN(J730))+('BLAZE SHIELD II'!$L$7*('CALCULO MORTERO'!I730^2)+'BLAZE SHIELD II'!$L$8*'CALCULO MORTERO'!I730+'BLAZE SHIELD II'!$L$9)),0)+IF(AND(L730="Blaze Shield II",M730="Software Idiem",C730="IN",G730=3),((('BLAZE SHIELD II'!$H$14*('CALCULO MORTERO'!I730^2)+'BLAZE SHIELD II'!$H$15*'CALCULO MORTERO'!I730+'BLAZE SHIELD II'!$H$16)*LN(J730))+('BLAZE SHIELD II'!$H$17*('CALCULO MORTERO'!I730^2)+'BLAZE SHIELD II'!$H$18*'CALCULO MORTERO'!I730+'BLAZE SHIELD II'!$H$19)),0),0)+ROUND(IF(AND(L730="Cafco 400",M730="Software Idiem",C730="IN",G730=4),((('CAFCO 400 '!$H$7*(J730^4)+'CAFCO 400 '!$H$8*(J730^3)+'CAFCO 400 '!$H$9*(J730^2)+'CAFCO 400 '!$H$10*J730+'CAFCO 400 '!$H$11)*U730^2)+(('CAFCO 400 '!$H$12*(J730^3)+'CAFCO 400 '!$H$13*(J730^2)+'CAFCO 400 '!$H$14*J730+'CAFCO 400 '!$H$15)*U730)+('CAFCO 400 '!$H$16*(J730^2)+'CAFCO 400 '!$H$17*J730+'CAFCO 400 '!$H$18)),0)+IF(AND(L730="Cafco 400",M730="Software Idiem",C730="Cj"),(((('CAFCO 400 '!$D$7*LN(J730)+'CAFCO 400 '!$D$8)*U730^2)+(('CAFCO 400 '!$D$9*LN(J730)+'CAFCO 400 '!$D$10)*U730)+('CAFCO 400 '!$D$11*LN(J730)+'CAFCO 400 '!$D$12))),0)+IF(AND(L730="Cafco 400",M730="Software Idiem",C730="C"),((('CAFCO 400 '!$L$7*(J730^3)+'CAFCO 400 '!$L$8*(J730^2)+'CAFCO 400 '!$L$9*J730+'CAFCO 400 '!$L$10)*U730^2)+(('CAFCO 400 '!$L$11*(J730^3)+'CAFCO 400 '!$L$12*(J730^2)+'CAFCO 400 '!$L$13*J730+'CAFCO 400 '!$L$14)*U730)+('CAFCO 400 '!$L$15*LN(J730)+'CAFCO 400 '!$L$16)),0)+IF(AND(L730="Cafco 400",M730="Software Idiem",C730="L"),((('CAFCO 400 '!$L$7*(J730^3)+'CAFCO 400 '!$L$8*(J730^2)+'CAFCO 400 '!$L$9*J730+'CAFCO 400 '!$L$10)*U730^2)+(('CAFCO 400 '!$L$11*(J730^3)+'CAFCO 400 '!$L$12*(J730^2)+'CAFCO 400 '!$L$13*J730+'CAFCO 400 '!$L$14)*U730)+('CAFCO 400 '!$L$15*LN(J730)+'CAFCO 400 '!$L$16)),0)+IF(AND(L730="Cafco 400",M730="Software Idiem",C730="IN",G730=3),((('CAFCO 400 '!$D$23*(J730^2)+'CAFCO 400 '!$D$24*(J730)+'CAFCO 400 '!$D$25)*U730^2)+(('CAFCO 400 '!$D$26*(J730^2)+'CAFCO 400 '!$D$27*J730+'CAFCO 400 '!$D$28)*U730)+('CAFCO 400 '!$D$29*(J730^2)+'CAFCO 400 '!$D$30*J730+'CAFCO 400 '!$D$31)),0),0)+IF(AND(L730="Cafco 300",J730&gt;=95,J730&lt;=240,C730="Cj",I730=90),VLOOKUP(T730,'CAFCO 300 IDIEM TABLAS'!$B$4:$D$23,2,FALSE),0)+IF(AND(L730="Cafco 300",J730&gt;=95,J730&lt;=240,C730="Cj",I730=120),VLOOKUP(T730,'CAFCO 300 IDIEM TABLAS'!$B$4:$D$23,3,FALSE),0)+IF(AND(L730="Cafco 300",J730&gt;=95,J730&lt;=400,G730=3,C730="IN",I730=90),VLOOKUP(T730,'CAFCO 300 IDIEM TABLAS'!$F$4:$H$35,2,FALSE),0)+IF(AND(L730="Cafco 300",J730&gt;=95,J730&lt;=400,G730=3,C730="IN",I730=120),VLOOKUP(T730,'CAFCO 300 IDIEM TABLAS'!$F$4:$H$35,3,FALSE),0)+IF(AND(L730="Cafco 300",J730&gt;=95,J730&lt;=450,G730=4,C730="IN",I730=90),VLOOKUP(T730,'CAFCO 300 IDIEM TABLAS'!$J$4:$L$40,2,FALSE),0)+IF(AND(L730="Cafco 300",J730&gt;=95,J730&lt;=450,G730=4,C730="IN",I730=120),VLOOKUP(T730,'CAFCO 300 IDIEM TABLAS'!$J$4:$L$40,3,FALSE),0)+IF(AND(M730="Ensayo Idiem",L730="Cafco 400",C730="IN",G730=4,I730=90),VLOOKUP(T730,'CAFCO 400 ENSAYO'!$B$7:$D$43,2,FALSE),0)+IF(AND(M730="Ensayo Idiem",L730="Cafco 400",C730="IN",G730=4,I730=120),VLOOKUP(T730,'CAFCO 400 ENSAYO'!$B$7:$D$43,3,FALSE),0)</f>
        <v>0</v>
      </c>
      <c r="O730" s="96">
        <f t="shared" si="78"/>
        <v>0</v>
      </c>
      <c r="P730" s="95" t="str">
        <f t="shared" si="73"/>
        <v>N/A</v>
      </c>
      <c r="Q730" s="95" t="str">
        <f t="shared" si="74"/>
        <v>N/A</v>
      </c>
      <c r="R730" s="95" t="str">
        <f t="shared" si="75"/>
        <v>NO CERT.</v>
      </c>
      <c r="S730" s="95" t="e">
        <f t="shared" si="76"/>
        <v>#N/A</v>
      </c>
      <c r="T730" s="119" t="e">
        <f>+IF(J730=LOOKUP(J730,'CAFCO 300 IDIEM TABLAS'!$J$4:$J$40),'CALCULO MORTERO'!J730,MROUND('CALCULO MORTERO'!J730,10))</f>
        <v>#N/A</v>
      </c>
      <c r="U730" s="118">
        <f t="shared" si="77"/>
        <v>0</v>
      </c>
    </row>
    <row r="731" spans="1:21" x14ac:dyDescent="0.25">
      <c r="A731" s="118">
        <f>+CUBICACION!D725</f>
        <v>0</v>
      </c>
      <c r="B731" s="819">
        <f>+CUBICACION!E725</f>
        <v>0</v>
      </c>
      <c r="C731" s="675">
        <f>+CUBICACION!F725</f>
        <v>0</v>
      </c>
      <c r="D731" s="118"/>
      <c r="E731" s="118"/>
      <c r="F731" s="820"/>
      <c r="G731" s="675">
        <f>+CUBICACION!J725</f>
        <v>0</v>
      </c>
      <c r="H731" s="118"/>
      <c r="I731" s="821">
        <f>+CUBICACION!L725</f>
        <v>0</v>
      </c>
      <c r="J731" s="64">
        <f>+CUBICACION!M725</f>
        <v>0</v>
      </c>
      <c r="K731" s="822" t="str">
        <f>+CUBICACION!N725</f>
        <v/>
      </c>
      <c r="L731" s="118">
        <f>+CUBICACION!O725</f>
        <v>0</v>
      </c>
      <c r="M731" s="823">
        <f>+CUBICACION!P725</f>
        <v>0</v>
      </c>
      <c r="N731" s="902">
        <f>ROUND(IF(AND(L731="Blaze Shield II",M731="Software Idiem",C731="IN",G731=4),((('BLAZE SHIELD II'!$D$4*('CALCULO MORTERO'!I731^2)+'BLAZE SHIELD II'!$D$5*'CALCULO MORTERO'!I731+'BLAZE SHIELD II'!$D$6)*LN(J731))+('BLAZE SHIELD II'!$D$7*('CALCULO MORTERO'!I731^2)+'BLAZE SHIELD II'!$D$8*'CALCULO MORTERO'!I731+'BLAZE SHIELD II'!$D$9)),0)+IF(AND(L731="Blaze Shield II",M731="Software Idiem",C731="Cj"),((('BLAZE SHIELD II'!$H$4*('CALCULO MORTERO'!I731^2)+'BLAZE SHIELD II'!$H$5*'CALCULO MORTERO'!I731+'BLAZE SHIELD II'!$H$6)*LN(J731))+('BLAZE SHIELD II'!$H$7*('CALCULO MORTERO'!I731^2)+'BLAZE SHIELD II'!$H$8*'CALCULO MORTERO'!I731+'BLAZE SHIELD II'!$H$9)),0)+IF(AND(L731="Blaze Shield II",M731="Software Idiem",C731="C"),((('BLAZE SHIELD II'!$L$4*('CALCULO MORTERO'!I731^2)+'BLAZE SHIELD II'!$L$5*'CALCULO MORTERO'!I731+'BLAZE SHIELD II'!$L$6)*LN(J731))+('BLAZE SHIELD II'!$L$7*('CALCULO MORTERO'!I731^2)+'BLAZE SHIELD II'!$L$8*'CALCULO MORTERO'!I731+'BLAZE SHIELD II'!$L$9)),0)+IF(AND(L731="Blaze Shield II",M731="Software Idiem",C731="L"),((('BLAZE SHIELD II'!$L$4*('CALCULO MORTERO'!I731^2)+'BLAZE SHIELD II'!$L$5*'CALCULO MORTERO'!I731+'BLAZE SHIELD II'!$L$6)*LN(J731))+('BLAZE SHIELD II'!$L$7*('CALCULO MORTERO'!I731^2)+'BLAZE SHIELD II'!$L$8*'CALCULO MORTERO'!I731+'BLAZE SHIELD II'!$L$9)),0)+IF(AND(L731="Blaze Shield II",M731="Software Idiem",C731="IN",G731=3),((('BLAZE SHIELD II'!$H$14*('CALCULO MORTERO'!I731^2)+'BLAZE SHIELD II'!$H$15*'CALCULO MORTERO'!I731+'BLAZE SHIELD II'!$H$16)*LN(J731))+('BLAZE SHIELD II'!$H$17*('CALCULO MORTERO'!I731^2)+'BLAZE SHIELD II'!$H$18*'CALCULO MORTERO'!I731+'BLAZE SHIELD II'!$H$19)),0),0)+ROUND(IF(AND(L731="Cafco 400",M731="Software Idiem",C731="IN",G731=4),((('CAFCO 400 '!$H$7*(J731^4)+'CAFCO 400 '!$H$8*(J731^3)+'CAFCO 400 '!$H$9*(J731^2)+'CAFCO 400 '!$H$10*J731+'CAFCO 400 '!$H$11)*U731^2)+(('CAFCO 400 '!$H$12*(J731^3)+'CAFCO 400 '!$H$13*(J731^2)+'CAFCO 400 '!$H$14*J731+'CAFCO 400 '!$H$15)*U731)+('CAFCO 400 '!$H$16*(J731^2)+'CAFCO 400 '!$H$17*J731+'CAFCO 400 '!$H$18)),0)+IF(AND(L731="Cafco 400",M731="Software Idiem",C731="Cj"),(((('CAFCO 400 '!$D$7*LN(J731)+'CAFCO 400 '!$D$8)*U731^2)+(('CAFCO 400 '!$D$9*LN(J731)+'CAFCO 400 '!$D$10)*U731)+('CAFCO 400 '!$D$11*LN(J731)+'CAFCO 400 '!$D$12))),0)+IF(AND(L731="Cafco 400",M731="Software Idiem",C731="C"),((('CAFCO 400 '!$L$7*(J731^3)+'CAFCO 400 '!$L$8*(J731^2)+'CAFCO 400 '!$L$9*J731+'CAFCO 400 '!$L$10)*U731^2)+(('CAFCO 400 '!$L$11*(J731^3)+'CAFCO 400 '!$L$12*(J731^2)+'CAFCO 400 '!$L$13*J731+'CAFCO 400 '!$L$14)*U731)+('CAFCO 400 '!$L$15*LN(J731)+'CAFCO 400 '!$L$16)),0)+IF(AND(L731="Cafco 400",M731="Software Idiem",C731="L"),((('CAFCO 400 '!$L$7*(J731^3)+'CAFCO 400 '!$L$8*(J731^2)+'CAFCO 400 '!$L$9*J731+'CAFCO 400 '!$L$10)*U731^2)+(('CAFCO 400 '!$L$11*(J731^3)+'CAFCO 400 '!$L$12*(J731^2)+'CAFCO 400 '!$L$13*J731+'CAFCO 400 '!$L$14)*U731)+('CAFCO 400 '!$L$15*LN(J731)+'CAFCO 400 '!$L$16)),0)+IF(AND(L731="Cafco 400",M731="Software Idiem",C731="IN",G731=3),((('CAFCO 400 '!$D$23*(J731^2)+'CAFCO 400 '!$D$24*(J731)+'CAFCO 400 '!$D$25)*U731^2)+(('CAFCO 400 '!$D$26*(J731^2)+'CAFCO 400 '!$D$27*J731+'CAFCO 400 '!$D$28)*U731)+('CAFCO 400 '!$D$29*(J731^2)+'CAFCO 400 '!$D$30*J731+'CAFCO 400 '!$D$31)),0),0)+IF(AND(L731="Cafco 300",J731&gt;=95,J731&lt;=240,C731="Cj",I731=90),VLOOKUP(T731,'CAFCO 300 IDIEM TABLAS'!$B$4:$D$23,2,FALSE),0)+IF(AND(L731="Cafco 300",J731&gt;=95,J731&lt;=240,C731="Cj",I731=120),VLOOKUP(T731,'CAFCO 300 IDIEM TABLAS'!$B$4:$D$23,3,FALSE),0)+IF(AND(L731="Cafco 300",J731&gt;=95,J731&lt;=400,G731=3,C731="IN",I731=90),VLOOKUP(T731,'CAFCO 300 IDIEM TABLAS'!$F$4:$H$35,2,FALSE),0)+IF(AND(L731="Cafco 300",J731&gt;=95,J731&lt;=400,G731=3,C731="IN",I731=120),VLOOKUP(T731,'CAFCO 300 IDIEM TABLAS'!$F$4:$H$35,3,FALSE),0)+IF(AND(L731="Cafco 300",J731&gt;=95,J731&lt;=450,G731=4,C731="IN",I731=90),VLOOKUP(T731,'CAFCO 300 IDIEM TABLAS'!$J$4:$L$40,2,FALSE),0)+IF(AND(L731="Cafco 300",J731&gt;=95,J731&lt;=450,G731=4,C731="IN",I731=120),VLOOKUP(T731,'CAFCO 300 IDIEM TABLAS'!$J$4:$L$40,3,FALSE),0)+IF(AND(M731="Ensayo Idiem",L731="Cafco 400",C731="IN",G731=4,I731=90),VLOOKUP(T731,'CAFCO 400 ENSAYO'!$B$7:$D$43,2,FALSE),0)+IF(AND(M731="Ensayo Idiem",L731="Cafco 400",C731="IN",G731=4,I731=120),VLOOKUP(T731,'CAFCO 400 ENSAYO'!$B$7:$D$43,3,FALSE),0)</f>
        <v>0</v>
      </c>
      <c r="O731" s="96">
        <f t="shared" si="78"/>
        <v>0</v>
      </c>
      <c r="P731" s="132" t="str">
        <f t="shared" si="73"/>
        <v>N/A</v>
      </c>
      <c r="Q731" s="132" t="str">
        <f t="shared" si="74"/>
        <v>N/A</v>
      </c>
      <c r="R731" s="132" t="str">
        <f t="shared" si="75"/>
        <v>NO CERT.</v>
      </c>
      <c r="S731" s="132" t="e">
        <f t="shared" si="76"/>
        <v>#N/A</v>
      </c>
      <c r="T731" s="133" t="e">
        <f>+IF(J731=LOOKUP(J731,'CAFCO 300 IDIEM TABLAS'!$J$4:$J$40),'CALCULO MORTERO'!J731,MROUND('CALCULO MORTERO'!J731,10))</f>
        <v>#N/A</v>
      </c>
      <c r="U731" s="134">
        <f t="shared" si="77"/>
        <v>0</v>
      </c>
    </row>
    <row r="732" spans="1:21" x14ac:dyDescent="0.25">
      <c r="A732" s="118">
        <f>+CUBICACION!D726</f>
        <v>0</v>
      </c>
      <c r="B732" s="819">
        <f>+CUBICACION!E726</f>
        <v>0</v>
      </c>
      <c r="C732" s="675">
        <f>+CUBICACION!F726</f>
        <v>0</v>
      </c>
      <c r="D732" s="118"/>
      <c r="E732" s="118"/>
      <c r="F732" s="820"/>
      <c r="G732" s="675">
        <f>+CUBICACION!J726</f>
        <v>0</v>
      </c>
      <c r="H732" s="118"/>
      <c r="I732" s="821">
        <f>+CUBICACION!L726</f>
        <v>0</v>
      </c>
      <c r="J732" s="64">
        <f>+CUBICACION!M726</f>
        <v>0</v>
      </c>
      <c r="K732" s="822" t="str">
        <f>+CUBICACION!N726</f>
        <v/>
      </c>
      <c r="L732" s="118">
        <f>+CUBICACION!O726</f>
        <v>0</v>
      </c>
      <c r="M732" s="823">
        <f>+CUBICACION!P726</f>
        <v>0</v>
      </c>
      <c r="N732" s="902">
        <f>ROUND(IF(AND(L732="Blaze Shield II",M732="Software Idiem",C732="IN",G732=4),((('BLAZE SHIELD II'!$D$4*('CALCULO MORTERO'!I732^2)+'BLAZE SHIELD II'!$D$5*'CALCULO MORTERO'!I732+'BLAZE SHIELD II'!$D$6)*LN(J732))+('BLAZE SHIELD II'!$D$7*('CALCULO MORTERO'!I732^2)+'BLAZE SHIELD II'!$D$8*'CALCULO MORTERO'!I732+'BLAZE SHIELD II'!$D$9)),0)+IF(AND(L732="Blaze Shield II",M732="Software Idiem",C732="Cj"),((('BLAZE SHIELD II'!$H$4*('CALCULO MORTERO'!I732^2)+'BLAZE SHIELD II'!$H$5*'CALCULO MORTERO'!I732+'BLAZE SHIELD II'!$H$6)*LN(J732))+('BLAZE SHIELD II'!$H$7*('CALCULO MORTERO'!I732^2)+'BLAZE SHIELD II'!$H$8*'CALCULO MORTERO'!I732+'BLAZE SHIELD II'!$H$9)),0)+IF(AND(L732="Blaze Shield II",M732="Software Idiem",C732="C"),((('BLAZE SHIELD II'!$L$4*('CALCULO MORTERO'!I732^2)+'BLAZE SHIELD II'!$L$5*'CALCULO MORTERO'!I732+'BLAZE SHIELD II'!$L$6)*LN(J732))+('BLAZE SHIELD II'!$L$7*('CALCULO MORTERO'!I732^2)+'BLAZE SHIELD II'!$L$8*'CALCULO MORTERO'!I732+'BLAZE SHIELD II'!$L$9)),0)+IF(AND(L732="Blaze Shield II",M732="Software Idiem",C732="L"),((('BLAZE SHIELD II'!$L$4*('CALCULO MORTERO'!I732^2)+'BLAZE SHIELD II'!$L$5*'CALCULO MORTERO'!I732+'BLAZE SHIELD II'!$L$6)*LN(J732))+('BLAZE SHIELD II'!$L$7*('CALCULO MORTERO'!I732^2)+'BLAZE SHIELD II'!$L$8*'CALCULO MORTERO'!I732+'BLAZE SHIELD II'!$L$9)),0)+IF(AND(L732="Blaze Shield II",M732="Software Idiem",C732="IN",G732=3),((('BLAZE SHIELD II'!$H$14*('CALCULO MORTERO'!I732^2)+'BLAZE SHIELD II'!$H$15*'CALCULO MORTERO'!I732+'BLAZE SHIELD II'!$H$16)*LN(J732))+('BLAZE SHIELD II'!$H$17*('CALCULO MORTERO'!I732^2)+'BLAZE SHIELD II'!$H$18*'CALCULO MORTERO'!I732+'BLAZE SHIELD II'!$H$19)),0),0)+ROUND(IF(AND(L732="Cafco 400",M732="Software Idiem",C732="IN",G732=4),((('CAFCO 400 '!$H$7*(J732^4)+'CAFCO 400 '!$H$8*(J732^3)+'CAFCO 400 '!$H$9*(J732^2)+'CAFCO 400 '!$H$10*J732+'CAFCO 400 '!$H$11)*U732^2)+(('CAFCO 400 '!$H$12*(J732^3)+'CAFCO 400 '!$H$13*(J732^2)+'CAFCO 400 '!$H$14*J732+'CAFCO 400 '!$H$15)*U732)+('CAFCO 400 '!$H$16*(J732^2)+'CAFCO 400 '!$H$17*J732+'CAFCO 400 '!$H$18)),0)+IF(AND(L732="Cafco 400",M732="Software Idiem",C732="Cj"),(((('CAFCO 400 '!$D$7*LN(J732)+'CAFCO 400 '!$D$8)*U732^2)+(('CAFCO 400 '!$D$9*LN(J732)+'CAFCO 400 '!$D$10)*U732)+('CAFCO 400 '!$D$11*LN(J732)+'CAFCO 400 '!$D$12))),0)+IF(AND(L732="Cafco 400",M732="Software Idiem",C732="C"),((('CAFCO 400 '!$L$7*(J732^3)+'CAFCO 400 '!$L$8*(J732^2)+'CAFCO 400 '!$L$9*J732+'CAFCO 400 '!$L$10)*U732^2)+(('CAFCO 400 '!$L$11*(J732^3)+'CAFCO 400 '!$L$12*(J732^2)+'CAFCO 400 '!$L$13*J732+'CAFCO 400 '!$L$14)*U732)+('CAFCO 400 '!$L$15*LN(J732)+'CAFCO 400 '!$L$16)),0)+IF(AND(L732="Cafco 400",M732="Software Idiem",C732="L"),((('CAFCO 400 '!$L$7*(J732^3)+'CAFCO 400 '!$L$8*(J732^2)+'CAFCO 400 '!$L$9*J732+'CAFCO 400 '!$L$10)*U732^2)+(('CAFCO 400 '!$L$11*(J732^3)+'CAFCO 400 '!$L$12*(J732^2)+'CAFCO 400 '!$L$13*J732+'CAFCO 400 '!$L$14)*U732)+('CAFCO 400 '!$L$15*LN(J732)+'CAFCO 400 '!$L$16)),0)+IF(AND(L732="Cafco 400",M732="Software Idiem",C732="IN",G732=3),((('CAFCO 400 '!$D$23*(J732^2)+'CAFCO 400 '!$D$24*(J732)+'CAFCO 400 '!$D$25)*U732^2)+(('CAFCO 400 '!$D$26*(J732^2)+'CAFCO 400 '!$D$27*J732+'CAFCO 400 '!$D$28)*U732)+('CAFCO 400 '!$D$29*(J732^2)+'CAFCO 400 '!$D$30*J732+'CAFCO 400 '!$D$31)),0),0)+IF(AND(L732="Cafco 300",J732&gt;=95,J732&lt;=240,C732="Cj",I732=90),VLOOKUP(T732,'CAFCO 300 IDIEM TABLAS'!$B$4:$D$23,2,FALSE),0)+IF(AND(L732="Cafco 300",J732&gt;=95,J732&lt;=240,C732="Cj",I732=120),VLOOKUP(T732,'CAFCO 300 IDIEM TABLAS'!$B$4:$D$23,3,FALSE),0)+IF(AND(L732="Cafco 300",J732&gt;=95,J732&lt;=400,G732=3,C732="IN",I732=90),VLOOKUP(T732,'CAFCO 300 IDIEM TABLAS'!$F$4:$H$35,2,FALSE),0)+IF(AND(L732="Cafco 300",J732&gt;=95,J732&lt;=400,G732=3,C732="IN",I732=120),VLOOKUP(T732,'CAFCO 300 IDIEM TABLAS'!$F$4:$H$35,3,FALSE),0)+IF(AND(L732="Cafco 300",J732&gt;=95,J732&lt;=450,G732=4,C732="IN",I732=90),VLOOKUP(T732,'CAFCO 300 IDIEM TABLAS'!$J$4:$L$40,2,FALSE),0)+IF(AND(L732="Cafco 300",J732&gt;=95,J732&lt;=450,G732=4,C732="IN",I732=120),VLOOKUP(T732,'CAFCO 300 IDIEM TABLAS'!$J$4:$L$40,3,FALSE),0)+IF(AND(M732="Ensayo Idiem",L732="Cafco 400",C732="IN",G732=4,I732=90),VLOOKUP(T732,'CAFCO 400 ENSAYO'!$B$7:$D$43,2,FALSE),0)+IF(AND(M732="Ensayo Idiem",L732="Cafco 400",C732="IN",G732=4,I732=120),VLOOKUP(T732,'CAFCO 400 ENSAYO'!$B$7:$D$43,3,FALSE),0)</f>
        <v>0</v>
      </c>
      <c r="O732" s="96">
        <f t="shared" si="78"/>
        <v>0</v>
      </c>
      <c r="P732" s="95" t="str">
        <f t="shared" si="73"/>
        <v>N/A</v>
      </c>
      <c r="Q732" s="95" t="str">
        <f t="shared" si="74"/>
        <v>N/A</v>
      </c>
      <c r="R732" s="95" t="str">
        <f t="shared" si="75"/>
        <v>NO CERT.</v>
      </c>
      <c r="S732" s="95" t="e">
        <f t="shared" si="76"/>
        <v>#N/A</v>
      </c>
      <c r="T732" s="119" t="e">
        <f>+IF(J732=LOOKUP(J732,'CAFCO 300 IDIEM TABLAS'!$J$4:$J$40),'CALCULO MORTERO'!J732,MROUND('CALCULO MORTERO'!J732,10))</f>
        <v>#N/A</v>
      </c>
      <c r="U732" s="118">
        <f t="shared" si="77"/>
        <v>0</v>
      </c>
    </row>
    <row r="733" spans="1:21" x14ac:dyDescent="0.25">
      <c r="A733" s="118">
        <f>+CUBICACION!D727</f>
        <v>0</v>
      </c>
      <c r="B733" s="819">
        <f>+CUBICACION!E727</f>
        <v>0</v>
      </c>
      <c r="C733" s="675">
        <f>+CUBICACION!F727</f>
        <v>0</v>
      </c>
      <c r="D733" s="118"/>
      <c r="E733" s="118"/>
      <c r="F733" s="820"/>
      <c r="G733" s="675">
        <f>+CUBICACION!J727</f>
        <v>0</v>
      </c>
      <c r="H733" s="118"/>
      <c r="I733" s="821">
        <f>+CUBICACION!L727</f>
        <v>0</v>
      </c>
      <c r="J733" s="64">
        <f>+CUBICACION!M727</f>
        <v>0</v>
      </c>
      <c r="K733" s="822" t="str">
        <f>+CUBICACION!N727</f>
        <v/>
      </c>
      <c r="L733" s="118">
        <f>+CUBICACION!O727</f>
        <v>0</v>
      </c>
      <c r="M733" s="823">
        <f>+CUBICACION!P727</f>
        <v>0</v>
      </c>
      <c r="N733" s="902">
        <f>ROUND(IF(AND(L733="Blaze Shield II",M733="Software Idiem",C733="IN",G733=4),((('BLAZE SHIELD II'!$D$4*('CALCULO MORTERO'!I733^2)+'BLAZE SHIELD II'!$D$5*'CALCULO MORTERO'!I733+'BLAZE SHIELD II'!$D$6)*LN(J733))+('BLAZE SHIELD II'!$D$7*('CALCULO MORTERO'!I733^2)+'BLAZE SHIELD II'!$D$8*'CALCULO MORTERO'!I733+'BLAZE SHIELD II'!$D$9)),0)+IF(AND(L733="Blaze Shield II",M733="Software Idiem",C733="Cj"),((('BLAZE SHIELD II'!$H$4*('CALCULO MORTERO'!I733^2)+'BLAZE SHIELD II'!$H$5*'CALCULO MORTERO'!I733+'BLAZE SHIELD II'!$H$6)*LN(J733))+('BLAZE SHIELD II'!$H$7*('CALCULO MORTERO'!I733^2)+'BLAZE SHIELD II'!$H$8*'CALCULO MORTERO'!I733+'BLAZE SHIELD II'!$H$9)),0)+IF(AND(L733="Blaze Shield II",M733="Software Idiem",C733="C"),((('BLAZE SHIELD II'!$L$4*('CALCULO MORTERO'!I733^2)+'BLAZE SHIELD II'!$L$5*'CALCULO MORTERO'!I733+'BLAZE SHIELD II'!$L$6)*LN(J733))+('BLAZE SHIELD II'!$L$7*('CALCULO MORTERO'!I733^2)+'BLAZE SHIELD II'!$L$8*'CALCULO MORTERO'!I733+'BLAZE SHIELD II'!$L$9)),0)+IF(AND(L733="Blaze Shield II",M733="Software Idiem",C733="L"),((('BLAZE SHIELD II'!$L$4*('CALCULO MORTERO'!I733^2)+'BLAZE SHIELD II'!$L$5*'CALCULO MORTERO'!I733+'BLAZE SHIELD II'!$L$6)*LN(J733))+('BLAZE SHIELD II'!$L$7*('CALCULO MORTERO'!I733^2)+'BLAZE SHIELD II'!$L$8*'CALCULO MORTERO'!I733+'BLAZE SHIELD II'!$L$9)),0)+IF(AND(L733="Blaze Shield II",M733="Software Idiem",C733="IN",G733=3),((('BLAZE SHIELD II'!$H$14*('CALCULO MORTERO'!I733^2)+'BLAZE SHIELD II'!$H$15*'CALCULO MORTERO'!I733+'BLAZE SHIELD II'!$H$16)*LN(J733))+('BLAZE SHIELD II'!$H$17*('CALCULO MORTERO'!I733^2)+'BLAZE SHIELD II'!$H$18*'CALCULO MORTERO'!I733+'BLAZE SHIELD II'!$H$19)),0),0)+ROUND(IF(AND(L733="Cafco 400",M733="Software Idiem",C733="IN",G733=4),((('CAFCO 400 '!$H$7*(J733^4)+'CAFCO 400 '!$H$8*(J733^3)+'CAFCO 400 '!$H$9*(J733^2)+'CAFCO 400 '!$H$10*J733+'CAFCO 400 '!$H$11)*U733^2)+(('CAFCO 400 '!$H$12*(J733^3)+'CAFCO 400 '!$H$13*(J733^2)+'CAFCO 400 '!$H$14*J733+'CAFCO 400 '!$H$15)*U733)+('CAFCO 400 '!$H$16*(J733^2)+'CAFCO 400 '!$H$17*J733+'CAFCO 400 '!$H$18)),0)+IF(AND(L733="Cafco 400",M733="Software Idiem",C733="Cj"),(((('CAFCO 400 '!$D$7*LN(J733)+'CAFCO 400 '!$D$8)*U733^2)+(('CAFCO 400 '!$D$9*LN(J733)+'CAFCO 400 '!$D$10)*U733)+('CAFCO 400 '!$D$11*LN(J733)+'CAFCO 400 '!$D$12))),0)+IF(AND(L733="Cafco 400",M733="Software Idiem",C733="C"),((('CAFCO 400 '!$L$7*(J733^3)+'CAFCO 400 '!$L$8*(J733^2)+'CAFCO 400 '!$L$9*J733+'CAFCO 400 '!$L$10)*U733^2)+(('CAFCO 400 '!$L$11*(J733^3)+'CAFCO 400 '!$L$12*(J733^2)+'CAFCO 400 '!$L$13*J733+'CAFCO 400 '!$L$14)*U733)+('CAFCO 400 '!$L$15*LN(J733)+'CAFCO 400 '!$L$16)),0)+IF(AND(L733="Cafco 400",M733="Software Idiem",C733="L"),((('CAFCO 400 '!$L$7*(J733^3)+'CAFCO 400 '!$L$8*(J733^2)+'CAFCO 400 '!$L$9*J733+'CAFCO 400 '!$L$10)*U733^2)+(('CAFCO 400 '!$L$11*(J733^3)+'CAFCO 400 '!$L$12*(J733^2)+'CAFCO 400 '!$L$13*J733+'CAFCO 400 '!$L$14)*U733)+('CAFCO 400 '!$L$15*LN(J733)+'CAFCO 400 '!$L$16)),0)+IF(AND(L733="Cafco 400",M733="Software Idiem",C733="IN",G733=3),((('CAFCO 400 '!$D$23*(J733^2)+'CAFCO 400 '!$D$24*(J733)+'CAFCO 400 '!$D$25)*U733^2)+(('CAFCO 400 '!$D$26*(J733^2)+'CAFCO 400 '!$D$27*J733+'CAFCO 400 '!$D$28)*U733)+('CAFCO 400 '!$D$29*(J733^2)+'CAFCO 400 '!$D$30*J733+'CAFCO 400 '!$D$31)),0),0)+IF(AND(L733="Cafco 300",J733&gt;=95,J733&lt;=240,C733="Cj",I733=90),VLOOKUP(T733,'CAFCO 300 IDIEM TABLAS'!$B$4:$D$23,2,FALSE),0)+IF(AND(L733="Cafco 300",J733&gt;=95,J733&lt;=240,C733="Cj",I733=120),VLOOKUP(T733,'CAFCO 300 IDIEM TABLAS'!$B$4:$D$23,3,FALSE),0)+IF(AND(L733="Cafco 300",J733&gt;=95,J733&lt;=400,G733=3,C733="IN",I733=90),VLOOKUP(T733,'CAFCO 300 IDIEM TABLAS'!$F$4:$H$35,2,FALSE),0)+IF(AND(L733="Cafco 300",J733&gt;=95,J733&lt;=400,G733=3,C733="IN",I733=120),VLOOKUP(T733,'CAFCO 300 IDIEM TABLAS'!$F$4:$H$35,3,FALSE),0)+IF(AND(L733="Cafco 300",J733&gt;=95,J733&lt;=450,G733=4,C733="IN",I733=90),VLOOKUP(T733,'CAFCO 300 IDIEM TABLAS'!$J$4:$L$40,2,FALSE),0)+IF(AND(L733="Cafco 300",J733&gt;=95,J733&lt;=450,G733=4,C733="IN",I733=120),VLOOKUP(T733,'CAFCO 300 IDIEM TABLAS'!$J$4:$L$40,3,FALSE),0)+IF(AND(M733="Ensayo Idiem",L733="Cafco 400",C733="IN",G733=4,I733=90),VLOOKUP(T733,'CAFCO 400 ENSAYO'!$B$7:$D$43,2,FALSE),0)+IF(AND(M733="Ensayo Idiem",L733="Cafco 400",C733="IN",G733=4,I733=120),VLOOKUP(T733,'CAFCO 400 ENSAYO'!$B$7:$D$43,3,FALSE),0)</f>
        <v>0</v>
      </c>
      <c r="O733" s="96">
        <f t="shared" si="78"/>
        <v>0</v>
      </c>
      <c r="P733" s="132" t="str">
        <f t="shared" si="73"/>
        <v>N/A</v>
      </c>
      <c r="Q733" s="132" t="str">
        <f t="shared" si="74"/>
        <v>N/A</v>
      </c>
      <c r="R733" s="132" t="str">
        <f t="shared" si="75"/>
        <v>NO CERT.</v>
      </c>
      <c r="S733" s="132" t="e">
        <f t="shared" si="76"/>
        <v>#N/A</v>
      </c>
      <c r="T733" s="133" t="e">
        <f>+IF(J733=LOOKUP(J733,'CAFCO 300 IDIEM TABLAS'!$J$4:$J$40),'CALCULO MORTERO'!J733,MROUND('CALCULO MORTERO'!J733,10))</f>
        <v>#N/A</v>
      </c>
      <c r="U733" s="134">
        <f t="shared" si="77"/>
        <v>0</v>
      </c>
    </row>
    <row r="734" spans="1:21" x14ac:dyDescent="0.25">
      <c r="A734" s="118">
        <f>+CUBICACION!D728</f>
        <v>0</v>
      </c>
      <c r="B734" s="819">
        <f>+CUBICACION!E728</f>
        <v>0</v>
      </c>
      <c r="C734" s="675">
        <f>+CUBICACION!F728</f>
        <v>0</v>
      </c>
      <c r="D734" s="118"/>
      <c r="E734" s="118"/>
      <c r="F734" s="820"/>
      <c r="G734" s="675">
        <f>+CUBICACION!J728</f>
        <v>0</v>
      </c>
      <c r="H734" s="118"/>
      <c r="I734" s="821">
        <f>+CUBICACION!L728</f>
        <v>0</v>
      </c>
      <c r="J734" s="64">
        <f>+CUBICACION!M728</f>
        <v>0</v>
      </c>
      <c r="K734" s="822" t="str">
        <f>+CUBICACION!N728</f>
        <v/>
      </c>
      <c r="L734" s="118">
        <f>+CUBICACION!O728</f>
        <v>0</v>
      </c>
      <c r="M734" s="823">
        <f>+CUBICACION!P728</f>
        <v>0</v>
      </c>
      <c r="N734" s="902">
        <f>ROUND(IF(AND(L734="Blaze Shield II",M734="Software Idiem",C734="IN",G734=4),((('BLAZE SHIELD II'!$D$4*('CALCULO MORTERO'!I734^2)+'BLAZE SHIELD II'!$D$5*'CALCULO MORTERO'!I734+'BLAZE SHIELD II'!$D$6)*LN(J734))+('BLAZE SHIELD II'!$D$7*('CALCULO MORTERO'!I734^2)+'BLAZE SHIELD II'!$D$8*'CALCULO MORTERO'!I734+'BLAZE SHIELD II'!$D$9)),0)+IF(AND(L734="Blaze Shield II",M734="Software Idiem",C734="Cj"),((('BLAZE SHIELD II'!$H$4*('CALCULO MORTERO'!I734^2)+'BLAZE SHIELD II'!$H$5*'CALCULO MORTERO'!I734+'BLAZE SHIELD II'!$H$6)*LN(J734))+('BLAZE SHIELD II'!$H$7*('CALCULO MORTERO'!I734^2)+'BLAZE SHIELD II'!$H$8*'CALCULO MORTERO'!I734+'BLAZE SHIELD II'!$H$9)),0)+IF(AND(L734="Blaze Shield II",M734="Software Idiem",C734="C"),((('BLAZE SHIELD II'!$L$4*('CALCULO MORTERO'!I734^2)+'BLAZE SHIELD II'!$L$5*'CALCULO MORTERO'!I734+'BLAZE SHIELD II'!$L$6)*LN(J734))+('BLAZE SHIELD II'!$L$7*('CALCULO MORTERO'!I734^2)+'BLAZE SHIELD II'!$L$8*'CALCULO MORTERO'!I734+'BLAZE SHIELD II'!$L$9)),0)+IF(AND(L734="Blaze Shield II",M734="Software Idiem",C734="L"),((('BLAZE SHIELD II'!$L$4*('CALCULO MORTERO'!I734^2)+'BLAZE SHIELD II'!$L$5*'CALCULO MORTERO'!I734+'BLAZE SHIELD II'!$L$6)*LN(J734))+('BLAZE SHIELD II'!$L$7*('CALCULO MORTERO'!I734^2)+'BLAZE SHIELD II'!$L$8*'CALCULO MORTERO'!I734+'BLAZE SHIELD II'!$L$9)),0)+IF(AND(L734="Blaze Shield II",M734="Software Idiem",C734="IN",G734=3),((('BLAZE SHIELD II'!$H$14*('CALCULO MORTERO'!I734^2)+'BLAZE SHIELD II'!$H$15*'CALCULO MORTERO'!I734+'BLAZE SHIELD II'!$H$16)*LN(J734))+('BLAZE SHIELD II'!$H$17*('CALCULO MORTERO'!I734^2)+'BLAZE SHIELD II'!$H$18*'CALCULO MORTERO'!I734+'BLAZE SHIELD II'!$H$19)),0),0)+ROUND(IF(AND(L734="Cafco 400",M734="Software Idiem",C734="IN",G734=4),((('CAFCO 400 '!$H$7*(J734^4)+'CAFCO 400 '!$H$8*(J734^3)+'CAFCO 400 '!$H$9*(J734^2)+'CAFCO 400 '!$H$10*J734+'CAFCO 400 '!$H$11)*U734^2)+(('CAFCO 400 '!$H$12*(J734^3)+'CAFCO 400 '!$H$13*(J734^2)+'CAFCO 400 '!$H$14*J734+'CAFCO 400 '!$H$15)*U734)+('CAFCO 400 '!$H$16*(J734^2)+'CAFCO 400 '!$H$17*J734+'CAFCO 400 '!$H$18)),0)+IF(AND(L734="Cafco 400",M734="Software Idiem",C734="Cj"),(((('CAFCO 400 '!$D$7*LN(J734)+'CAFCO 400 '!$D$8)*U734^2)+(('CAFCO 400 '!$D$9*LN(J734)+'CAFCO 400 '!$D$10)*U734)+('CAFCO 400 '!$D$11*LN(J734)+'CAFCO 400 '!$D$12))),0)+IF(AND(L734="Cafco 400",M734="Software Idiem",C734="C"),((('CAFCO 400 '!$L$7*(J734^3)+'CAFCO 400 '!$L$8*(J734^2)+'CAFCO 400 '!$L$9*J734+'CAFCO 400 '!$L$10)*U734^2)+(('CAFCO 400 '!$L$11*(J734^3)+'CAFCO 400 '!$L$12*(J734^2)+'CAFCO 400 '!$L$13*J734+'CAFCO 400 '!$L$14)*U734)+('CAFCO 400 '!$L$15*LN(J734)+'CAFCO 400 '!$L$16)),0)+IF(AND(L734="Cafco 400",M734="Software Idiem",C734="L"),((('CAFCO 400 '!$L$7*(J734^3)+'CAFCO 400 '!$L$8*(J734^2)+'CAFCO 400 '!$L$9*J734+'CAFCO 400 '!$L$10)*U734^2)+(('CAFCO 400 '!$L$11*(J734^3)+'CAFCO 400 '!$L$12*(J734^2)+'CAFCO 400 '!$L$13*J734+'CAFCO 400 '!$L$14)*U734)+('CAFCO 400 '!$L$15*LN(J734)+'CAFCO 400 '!$L$16)),0)+IF(AND(L734="Cafco 400",M734="Software Idiem",C734="IN",G734=3),((('CAFCO 400 '!$D$23*(J734^2)+'CAFCO 400 '!$D$24*(J734)+'CAFCO 400 '!$D$25)*U734^2)+(('CAFCO 400 '!$D$26*(J734^2)+'CAFCO 400 '!$D$27*J734+'CAFCO 400 '!$D$28)*U734)+('CAFCO 400 '!$D$29*(J734^2)+'CAFCO 400 '!$D$30*J734+'CAFCO 400 '!$D$31)),0),0)+IF(AND(L734="Cafco 300",J734&gt;=95,J734&lt;=240,C734="Cj",I734=90),VLOOKUP(T734,'CAFCO 300 IDIEM TABLAS'!$B$4:$D$23,2,FALSE),0)+IF(AND(L734="Cafco 300",J734&gt;=95,J734&lt;=240,C734="Cj",I734=120),VLOOKUP(T734,'CAFCO 300 IDIEM TABLAS'!$B$4:$D$23,3,FALSE),0)+IF(AND(L734="Cafco 300",J734&gt;=95,J734&lt;=400,G734=3,C734="IN",I734=90),VLOOKUP(T734,'CAFCO 300 IDIEM TABLAS'!$F$4:$H$35,2,FALSE),0)+IF(AND(L734="Cafco 300",J734&gt;=95,J734&lt;=400,G734=3,C734="IN",I734=120),VLOOKUP(T734,'CAFCO 300 IDIEM TABLAS'!$F$4:$H$35,3,FALSE),0)+IF(AND(L734="Cafco 300",J734&gt;=95,J734&lt;=450,G734=4,C734="IN",I734=90),VLOOKUP(T734,'CAFCO 300 IDIEM TABLAS'!$J$4:$L$40,2,FALSE),0)+IF(AND(L734="Cafco 300",J734&gt;=95,J734&lt;=450,G734=4,C734="IN",I734=120),VLOOKUP(T734,'CAFCO 300 IDIEM TABLAS'!$J$4:$L$40,3,FALSE),0)+IF(AND(M734="Ensayo Idiem",L734="Cafco 400",C734="IN",G734=4,I734=90),VLOOKUP(T734,'CAFCO 400 ENSAYO'!$B$7:$D$43,2,FALSE),0)+IF(AND(M734="Ensayo Idiem",L734="Cafco 400",C734="IN",G734=4,I734=120),VLOOKUP(T734,'CAFCO 400 ENSAYO'!$B$7:$D$43,3,FALSE),0)</f>
        <v>0</v>
      </c>
      <c r="O734" s="96">
        <f t="shared" si="78"/>
        <v>0</v>
      </c>
      <c r="P734" s="95" t="str">
        <f t="shared" si="73"/>
        <v>N/A</v>
      </c>
      <c r="Q734" s="95" t="str">
        <f t="shared" si="74"/>
        <v>N/A</v>
      </c>
      <c r="R734" s="95" t="str">
        <f t="shared" si="75"/>
        <v>NO CERT.</v>
      </c>
      <c r="S734" s="95" t="e">
        <f t="shared" si="76"/>
        <v>#N/A</v>
      </c>
      <c r="T734" s="119" t="e">
        <f>+IF(J734=LOOKUP(J734,'CAFCO 300 IDIEM TABLAS'!$J$4:$J$40),'CALCULO MORTERO'!J734,MROUND('CALCULO MORTERO'!J734,10))</f>
        <v>#N/A</v>
      </c>
      <c r="U734" s="118">
        <f t="shared" si="77"/>
        <v>0</v>
      </c>
    </row>
    <row r="735" spans="1:21" x14ac:dyDescent="0.25">
      <c r="A735" s="118">
        <f>+CUBICACION!D729</f>
        <v>0</v>
      </c>
      <c r="B735" s="819">
        <f>+CUBICACION!E729</f>
        <v>0</v>
      </c>
      <c r="C735" s="675">
        <f>+CUBICACION!F729</f>
        <v>0</v>
      </c>
      <c r="D735" s="118"/>
      <c r="E735" s="118"/>
      <c r="F735" s="820"/>
      <c r="G735" s="675">
        <f>+CUBICACION!J729</f>
        <v>0</v>
      </c>
      <c r="H735" s="118"/>
      <c r="I735" s="821">
        <f>+CUBICACION!L729</f>
        <v>0</v>
      </c>
      <c r="J735" s="64">
        <f>+CUBICACION!M729</f>
        <v>0</v>
      </c>
      <c r="K735" s="822" t="str">
        <f>+CUBICACION!N729</f>
        <v/>
      </c>
      <c r="L735" s="118">
        <f>+CUBICACION!O729</f>
        <v>0</v>
      </c>
      <c r="M735" s="823">
        <f>+CUBICACION!P729</f>
        <v>0</v>
      </c>
      <c r="N735" s="902">
        <f>ROUND(IF(AND(L735="Blaze Shield II",M735="Software Idiem",C735="IN",G735=4),((('BLAZE SHIELD II'!$D$4*('CALCULO MORTERO'!I735^2)+'BLAZE SHIELD II'!$D$5*'CALCULO MORTERO'!I735+'BLAZE SHIELD II'!$D$6)*LN(J735))+('BLAZE SHIELD II'!$D$7*('CALCULO MORTERO'!I735^2)+'BLAZE SHIELD II'!$D$8*'CALCULO MORTERO'!I735+'BLAZE SHIELD II'!$D$9)),0)+IF(AND(L735="Blaze Shield II",M735="Software Idiem",C735="Cj"),((('BLAZE SHIELD II'!$H$4*('CALCULO MORTERO'!I735^2)+'BLAZE SHIELD II'!$H$5*'CALCULO MORTERO'!I735+'BLAZE SHIELD II'!$H$6)*LN(J735))+('BLAZE SHIELD II'!$H$7*('CALCULO MORTERO'!I735^2)+'BLAZE SHIELD II'!$H$8*'CALCULO MORTERO'!I735+'BLAZE SHIELD II'!$H$9)),0)+IF(AND(L735="Blaze Shield II",M735="Software Idiem",C735="C"),((('BLAZE SHIELD II'!$L$4*('CALCULO MORTERO'!I735^2)+'BLAZE SHIELD II'!$L$5*'CALCULO MORTERO'!I735+'BLAZE SHIELD II'!$L$6)*LN(J735))+('BLAZE SHIELD II'!$L$7*('CALCULO MORTERO'!I735^2)+'BLAZE SHIELD II'!$L$8*'CALCULO MORTERO'!I735+'BLAZE SHIELD II'!$L$9)),0)+IF(AND(L735="Blaze Shield II",M735="Software Idiem",C735="L"),((('BLAZE SHIELD II'!$L$4*('CALCULO MORTERO'!I735^2)+'BLAZE SHIELD II'!$L$5*'CALCULO MORTERO'!I735+'BLAZE SHIELD II'!$L$6)*LN(J735))+('BLAZE SHIELD II'!$L$7*('CALCULO MORTERO'!I735^2)+'BLAZE SHIELD II'!$L$8*'CALCULO MORTERO'!I735+'BLAZE SHIELD II'!$L$9)),0)+IF(AND(L735="Blaze Shield II",M735="Software Idiem",C735="IN",G735=3),((('BLAZE SHIELD II'!$H$14*('CALCULO MORTERO'!I735^2)+'BLAZE SHIELD II'!$H$15*'CALCULO MORTERO'!I735+'BLAZE SHIELD II'!$H$16)*LN(J735))+('BLAZE SHIELD II'!$H$17*('CALCULO MORTERO'!I735^2)+'BLAZE SHIELD II'!$H$18*'CALCULO MORTERO'!I735+'BLAZE SHIELD II'!$H$19)),0),0)+ROUND(IF(AND(L735="Cafco 400",M735="Software Idiem",C735="IN",G735=4),((('CAFCO 400 '!$H$7*(J735^4)+'CAFCO 400 '!$H$8*(J735^3)+'CAFCO 400 '!$H$9*(J735^2)+'CAFCO 400 '!$H$10*J735+'CAFCO 400 '!$H$11)*U735^2)+(('CAFCO 400 '!$H$12*(J735^3)+'CAFCO 400 '!$H$13*(J735^2)+'CAFCO 400 '!$H$14*J735+'CAFCO 400 '!$H$15)*U735)+('CAFCO 400 '!$H$16*(J735^2)+'CAFCO 400 '!$H$17*J735+'CAFCO 400 '!$H$18)),0)+IF(AND(L735="Cafco 400",M735="Software Idiem",C735="Cj"),(((('CAFCO 400 '!$D$7*LN(J735)+'CAFCO 400 '!$D$8)*U735^2)+(('CAFCO 400 '!$D$9*LN(J735)+'CAFCO 400 '!$D$10)*U735)+('CAFCO 400 '!$D$11*LN(J735)+'CAFCO 400 '!$D$12))),0)+IF(AND(L735="Cafco 400",M735="Software Idiem",C735="C"),((('CAFCO 400 '!$L$7*(J735^3)+'CAFCO 400 '!$L$8*(J735^2)+'CAFCO 400 '!$L$9*J735+'CAFCO 400 '!$L$10)*U735^2)+(('CAFCO 400 '!$L$11*(J735^3)+'CAFCO 400 '!$L$12*(J735^2)+'CAFCO 400 '!$L$13*J735+'CAFCO 400 '!$L$14)*U735)+('CAFCO 400 '!$L$15*LN(J735)+'CAFCO 400 '!$L$16)),0)+IF(AND(L735="Cafco 400",M735="Software Idiem",C735="L"),((('CAFCO 400 '!$L$7*(J735^3)+'CAFCO 400 '!$L$8*(J735^2)+'CAFCO 400 '!$L$9*J735+'CAFCO 400 '!$L$10)*U735^2)+(('CAFCO 400 '!$L$11*(J735^3)+'CAFCO 400 '!$L$12*(J735^2)+'CAFCO 400 '!$L$13*J735+'CAFCO 400 '!$L$14)*U735)+('CAFCO 400 '!$L$15*LN(J735)+'CAFCO 400 '!$L$16)),0)+IF(AND(L735="Cafco 400",M735="Software Idiem",C735="IN",G735=3),((('CAFCO 400 '!$D$23*(J735^2)+'CAFCO 400 '!$D$24*(J735)+'CAFCO 400 '!$D$25)*U735^2)+(('CAFCO 400 '!$D$26*(J735^2)+'CAFCO 400 '!$D$27*J735+'CAFCO 400 '!$D$28)*U735)+('CAFCO 400 '!$D$29*(J735^2)+'CAFCO 400 '!$D$30*J735+'CAFCO 400 '!$D$31)),0),0)+IF(AND(L735="Cafco 300",J735&gt;=95,J735&lt;=240,C735="Cj",I735=90),VLOOKUP(T735,'CAFCO 300 IDIEM TABLAS'!$B$4:$D$23,2,FALSE),0)+IF(AND(L735="Cafco 300",J735&gt;=95,J735&lt;=240,C735="Cj",I735=120),VLOOKUP(T735,'CAFCO 300 IDIEM TABLAS'!$B$4:$D$23,3,FALSE),0)+IF(AND(L735="Cafco 300",J735&gt;=95,J735&lt;=400,G735=3,C735="IN",I735=90),VLOOKUP(T735,'CAFCO 300 IDIEM TABLAS'!$F$4:$H$35,2,FALSE),0)+IF(AND(L735="Cafco 300",J735&gt;=95,J735&lt;=400,G735=3,C735="IN",I735=120),VLOOKUP(T735,'CAFCO 300 IDIEM TABLAS'!$F$4:$H$35,3,FALSE),0)+IF(AND(L735="Cafco 300",J735&gt;=95,J735&lt;=450,G735=4,C735="IN",I735=90),VLOOKUP(T735,'CAFCO 300 IDIEM TABLAS'!$J$4:$L$40,2,FALSE),0)+IF(AND(L735="Cafco 300",J735&gt;=95,J735&lt;=450,G735=4,C735="IN",I735=120),VLOOKUP(T735,'CAFCO 300 IDIEM TABLAS'!$J$4:$L$40,3,FALSE),0)+IF(AND(M735="Ensayo Idiem",L735="Cafco 400",C735="IN",G735=4,I735=90),VLOOKUP(T735,'CAFCO 400 ENSAYO'!$B$7:$D$43,2,FALSE),0)+IF(AND(M735="Ensayo Idiem",L735="Cafco 400",C735="IN",G735=4,I735=120),VLOOKUP(T735,'CAFCO 400 ENSAYO'!$B$7:$D$43,3,FALSE),0)</f>
        <v>0</v>
      </c>
      <c r="O735" s="96">
        <f t="shared" si="78"/>
        <v>0</v>
      </c>
      <c r="P735" s="132" t="str">
        <f t="shared" si="73"/>
        <v>N/A</v>
      </c>
      <c r="Q735" s="132" t="str">
        <f t="shared" si="74"/>
        <v>N/A</v>
      </c>
      <c r="R735" s="132" t="str">
        <f t="shared" si="75"/>
        <v>NO CERT.</v>
      </c>
      <c r="S735" s="132" t="e">
        <f t="shared" si="76"/>
        <v>#N/A</v>
      </c>
      <c r="T735" s="133" t="e">
        <f>+IF(J735=LOOKUP(J735,'CAFCO 300 IDIEM TABLAS'!$J$4:$J$40),'CALCULO MORTERO'!J735,MROUND('CALCULO MORTERO'!J735,10))</f>
        <v>#N/A</v>
      </c>
      <c r="U735" s="134">
        <f t="shared" si="77"/>
        <v>0</v>
      </c>
    </row>
    <row r="736" spans="1:21" x14ac:dyDescent="0.25">
      <c r="A736" s="118">
        <f>+CUBICACION!D730</f>
        <v>0</v>
      </c>
      <c r="B736" s="819">
        <f>+CUBICACION!E730</f>
        <v>0</v>
      </c>
      <c r="C736" s="675">
        <f>+CUBICACION!F730</f>
        <v>0</v>
      </c>
      <c r="D736" s="118"/>
      <c r="E736" s="118"/>
      <c r="F736" s="820"/>
      <c r="G736" s="675">
        <f>+CUBICACION!J730</f>
        <v>0</v>
      </c>
      <c r="H736" s="118"/>
      <c r="I736" s="821">
        <f>+CUBICACION!L730</f>
        <v>0</v>
      </c>
      <c r="J736" s="64">
        <f>+CUBICACION!M730</f>
        <v>0</v>
      </c>
      <c r="K736" s="822" t="str">
        <f>+CUBICACION!N730</f>
        <v/>
      </c>
      <c r="L736" s="118">
        <f>+CUBICACION!O730</f>
        <v>0</v>
      </c>
      <c r="M736" s="823">
        <f>+CUBICACION!P730</f>
        <v>0</v>
      </c>
      <c r="N736" s="902">
        <f>ROUND(IF(AND(L736="Blaze Shield II",M736="Software Idiem",C736="IN",G736=4),((('BLAZE SHIELD II'!$D$4*('CALCULO MORTERO'!I736^2)+'BLAZE SHIELD II'!$D$5*'CALCULO MORTERO'!I736+'BLAZE SHIELD II'!$D$6)*LN(J736))+('BLAZE SHIELD II'!$D$7*('CALCULO MORTERO'!I736^2)+'BLAZE SHIELD II'!$D$8*'CALCULO MORTERO'!I736+'BLAZE SHIELD II'!$D$9)),0)+IF(AND(L736="Blaze Shield II",M736="Software Idiem",C736="Cj"),((('BLAZE SHIELD II'!$H$4*('CALCULO MORTERO'!I736^2)+'BLAZE SHIELD II'!$H$5*'CALCULO MORTERO'!I736+'BLAZE SHIELD II'!$H$6)*LN(J736))+('BLAZE SHIELD II'!$H$7*('CALCULO MORTERO'!I736^2)+'BLAZE SHIELD II'!$H$8*'CALCULO MORTERO'!I736+'BLAZE SHIELD II'!$H$9)),0)+IF(AND(L736="Blaze Shield II",M736="Software Idiem",C736="C"),((('BLAZE SHIELD II'!$L$4*('CALCULO MORTERO'!I736^2)+'BLAZE SHIELD II'!$L$5*'CALCULO MORTERO'!I736+'BLAZE SHIELD II'!$L$6)*LN(J736))+('BLAZE SHIELD II'!$L$7*('CALCULO MORTERO'!I736^2)+'BLAZE SHIELD II'!$L$8*'CALCULO MORTERO'!I736+'BLAZE SHIELD II'!$L$9)),0)+IF(AND(L736="Blaze Shield II",M736="Software Idiem",C736="L"),((('BLAZE SHIELD II'!$L$4*('CALCULO MORTERO'!I736^2)+'BLAZE SHIELD II'!$L$5*'CALCULO MORTERO'!I736+'BLAZE SHIELD II'!$L$6)*LN(J736))+('BLAZE SHIELD II'!$L$7*('CALCULO MORTERO'!I736^2)+'BLAZE SHIELD II'!$L$8*'CALCULO MORTERO'!I736+'BLAZE SHIELD II'!$L$9)),0)+IF(AND(L736="Blaze Shield II",M736="Software Idiem",C736="IN",G736=3),((('BLAZE SHIELD II'!$H$14*('CALCULO MORTERO'!I736^2)+'BLAZE SHIELD II'!$H$15*'CALCULO MORTERO'!I736+'BLAZE SHIELD II'!$H$16)*LN(J736))+('BLAZE SHIELD II'!$H$17*('CALCULO MORTERO'!I736^2)+'BLAZE SHIELD II'!$H$18*'CALCULO MORTERO'!I736+'BLAZE SHIELD II'!$H$19)),0),0)+ROUND(IF(AND(L736="Cafco 400",M736="Software Idiem",C736="IN",G736=4),((('CAFCO 400 '!$H$7*(J736^4)+'CAFCO 400 '!$H$8*(J736^3)+'CAFCO 400 '!$H$9*(J736^2)+'CAFCO 400 '!$H$10*J736+'CAFCO 400 '!$H$11)*U736^2)+(('CAFCO 400 '!$H$12*(J736^3)+'CAFCO 400 '!$H$13*(J736^2)+'CAFCO 400 '!$H$14*J736+'CAFCO 400 '!$H$15)*U736)+('CAFCO 400 '!$H$16*(J736^2)+'CAFCO 400 '!$H$17*J736+'CAFCO 400 '!$H$18)),0)+IF(AND(L736="Cafco 400",M736="Software Idiem",C736="Cj"),(((('CAFCO 400 '!$D$7*LN(J736)+'CAFCO 400 '!$D$8)*U736^2)+(('CAFCO 400 '!$D$9*LN(J736)+'CAFCO 400 '!$D$10)*U736)+('CAFCO 400 '!$D$11*LN(J736)+'CAFCO 400 '!$D$12))),0)+IF(AND(L736="Cafco 400",M736="Software Idiem",C736="C"),((('CAFCO 400 '!$L$7*(J736^3)+'CAFCO 400 '!$L$8*(J736^2)+'CAFCO 400 '!$L$9*J736+'CAFCO 400 '!$L$10)*U736^2)+(('CAFCO 400 '!$L$11*(J736^3)+'CAFCO 400 '!$L$12*(J736^2)+'CAFCO 400 '!$L$13*J736+'CAFCO 400 '!$L$14)*U736)+('CAFCO 400 '!$L$15*LN(J736)+'CAFCO 400 '!$L$16)),0)+IF(AND(L736="Cafco 400",M736="Software Idiem",C736="L"),((('CAFCO 400 '!$L$7*(J736^3)+'CAFCO 400 '!$L$8*(J736^2)+'CAFCO 400 '!$L$9*J736+'CAFCO 400 '!$L$10)*U736^2)+(('CAFCO 400 '!$L$11*(J736^3)+'CAFCO 400 '!$L$12*(J736^2)+'CAFCO 400 '!$L$13*J736+'CAFCO 400 '!$L$14)*U736)+('CAFCO 400 '!$L$15*LN(J736)+'CAFCO 400 '!$L$16)),0)+IF(AND(L736="Cafco 400",M736="Software Idiem",C736="IN",G736=3),((('CAFCO 400 '!$D$23*(J736^2)+'CAFCO 400 '!$D$24*(J736)+'CAFCO 400 '!$D$25)*U736^2)+(('CAFCO 400 '!$D$26*(J736^2)+'CAFCO 400 '!$D$27*J736+'CAFCO 400 '!$D$28)*U736)+('CAFCO 400 '!$D$29*(J736^2)+'CAFCO 400 '!$D$30*J736+'CAFCO 400 '!$D$31)),0),0)+IF(AND(L736="Cafco 300",J736&gt;=95,J736&lt;=240,C736="Cj",I736=90),VLOOKUP(T736,'CAFCO 300 IDIEM TABLAS'!$B$4:$D$23,2,FALSE),0)+IF(AND(L736="Cafco 300",J736&gt;=95,J736&lt;=240,C736="Cj",I736=120),VLOOKUP(T736,'CAFCO 300 IDIEM TABLAS'!$B$4:$D$23,3,FALSE),0)+IF(AND(L736="Cafco 300",J736&gt;=95,J736&lt;=400,G736=3,C736="IN",I736=90),VLOOKUP(T736,'CAFCO 300 IDIEM TABLAS'!$F$4:$H$35,2,FALSE),0)+IF(AND(L736="Cafco 300",J736&gt;=95,J736&lt;=400,G736=3,C736="IN",I736=120),VLOOKUP(T736,'CAFCO 300 IDIEM TABLAS'!$F$4:$H$35,3,FALSE),0)+IF(AND(L736="Cafco 300",J736&gt;=95,J736&lt;=450,G736=4,C736="IN",I736=90),VLOOKUP(T736,'CAFCO 300 IDIEM TABLAS'!$J$4:$L$40,2,FALSE),0)+IF(AND(L736="Cafco 300",J736&gt;=95,J736&lt;=450,G736=4,C736="IN",I736=120),VLOOKUP(T736,'CAFCO 300 IDIEM TABLAS'!$J$4:$L$40,3,FALSE),0)+IF(AND(M736="Ensayo Idiem",L736="Cafco 400",C736="IN",G736=4,I736=90),VLOOKUP(T736,'CAFCO 400 ENSAYO'!$B$7:$D$43,2,FALSE),0)+IF(AND(M736="Ensayo Idiem",L736="Cafco 400",C736="IN",G736=4,I736=120),VLOOKUP(T736,'CAFCO 400 ENSAYO'!$B$7:$D$43,3,FALSE),0)</f>
        <v>0</v>
      </c>
      <c r="O736" s="96">
        <f t="shared" si="78"/>
        <v>0</v>
      </c>
      <c r="P736" s="95" t="str">
        <f t="shared" si="73"/>
        <v>N/A</v>
      </c>
      <c r="Q736" s="95" t="str">
        <f t="shared" si="74"/>
        <v>N/A</v>
      </c>
      <c r="R736" s="95" t="str">
        <f t="shared" si="75"/>
        <v>NO CERT.</v>
      </c>
      <c r="S736" s="95" t="e">
        <f t="shared" si="76"/>
        <v>#N/A</v>
      </c>
      <c r="T736" s="119" t="e">
        <f>+IF(J736=LOOKUP(J736,'CAFCO 300 IDIEM TABLAS'!$J$4:$J$40),'CALCULO MORTERO'!J736,MROUND('CALCULO MORTERO'!J736,10))</f>
        <v>#N/A</v>
      </c>
      <c r="U736" s="118">
        <f t="shared" si="77"/>
        <v>0</v>
      </c>
    </row>
    <row r="737" spans="1:21" x14ac:dyDescent="0.25">
      <c r="A737" s="118">
        <f>+CUBICACION!D731</f>
        <v>0</v>
      </c>
      <c r="B737" s="819">
        <f>+CUBICACION!E731</f>
        <v>0</v>
      </c>
      <c r="C737" s="675">
        <f>+CUBICACION!F731</f>
        <v>0</v>
      </c>
      <c r="D737" s="118"/>
      <c r="E737" s="118"/>
      <c r="F737" s="820"/>
      <c r="G737" s="675">
        <f>+CUBICACION!J731</f>
        <v>0</v>
      </c>
      <c r="H737" s="118"/>
      <c r="I737" s="821">
        <f>+CUBICACION!L731</f>
        <v>0</v>
      </c>
      <c r="J737" s="64">
        <f>+CUBICACION!M731</f>
        <v>0</v>
      </c>
      <c r="K737" s="822" t="str">
        <f>+CUBICACION!N731</f>
        <v/>
      </c>
      <c r="L737" s="118">
        <f>+CUBICACION!O731</f>
        <v>0</v>
      </c>
      <c r="M737" s="823">
        <f>+CUBICACION!P731</f>
        <v>0</v>
      </c>
      <c r="N737" s="902">
        <f>ROUND(IF(AND(L737="Blaze Shield II",M737="Software Idiem",C737="IN",G737=4),((('BLAZE SHIELD II'!$D$4*('CALCULO MORTERO'!I737^2)+'BLAZE SHIELD II'!$D$5*'CALCULO MORTERO'!I737+'BLAZE SHIELD II'!$D$6)*LN(J737))+('BLAZE SHIELD II'!$D$7*('CALCULO MORTERO'!I737^2)+'BLAZE SHIELD II'!$D$8*'CALCULO MORTERO'!I737+'BLAZE SHIELD II'!$D$9)),0)+IF(AND(L737="Blaze Shield II",M737="Software Idiem",C737="Cj"),((('BLAZE SHIELD II'!$H$4*('CALCULO MORTERO'!I737^2)+'BLAZE SHIELD II'!$H$5*'CALCULO MORTERO'!I737+'BLAZE SHIELD II'!$H$6)*LN(J737))+('BLAZE SHIELD II'!$H$7*('CALCULO MORTERO'!I737^2)+'BLAZE SHIELD II'!$H$8*'CALCULO MORTERO'!I737+'BLAZE SHIELD II'!$H$9)),0)+IF(AND(L737="Blaze Shield II",M737="Software Idiem",C737="C"),((('BLAZE SHIELD II'!$L$4*('CALCULO MORTERO'!I737^2)+'BLAZE SHIELD II'!$L$5*'CALCULO MORTERO'!I737+'BLAZE SHIELD II'!$L$6)*LN(J737))+('BLAZE SHIELD II'!$L$7*('CALCULO MORTERO'!I737^2)+'BLAZE SHIELD II'!$L$8*'CALCULO MORTERO'!I737+'BLAZE SHIELD II'!$L$9)),0)+IF(AND(L737="Blaze Shield II",M737="Software Idiem",C737="L"),((('BLAZE SHIELD II'!$L$4*('CALCULO MORTERO'!I737^2)+'BLAZE SHIELD II'!$L$5*'CALCULO MORTERO'!I737+'BLAZE SHIELD II'!$L$6)*LN(J737))+('BLAZE SHIELD II'!$L$7*('CALCULO MORTERO'!I737^2)+'BLAZE SHIELD II'!$L$8*'CALCULO MORTERO'!I737+'BLAZE SHIELD II'!$L$9)),0)+IF(AND(L737="Blaze Shield II",M737="Software Idiem",C737="IN",G737=3),((('BLAZE SHIELD II'!$H$14*('CALCULO MORTERO'!I737^2)+'BLAZE SHIELD II'!$H$15*'CALCULO MORTERO'!I737+'BLAZE SHIELD II'!$H$16)*LN(J737))+('BLAZE SHIELD II'!$H$17*('CALCULO MORTERO'!I737^2)+'BLAZE SHIELD II'!$H$18*'CALCULO MORTERO'!I737+'BLAZE SHIELD II'!$H$19)),0),0)+ROUND(IF(AND(L737="Cafco 400",M737="Software Idiem",C737="IN",G737=4),((('CAFCO 400 '!$H$7*(J737^4)+'CAFCO 400 '!$H$8*(J737^3)+'CAFCO 400 '!$H$9*(J737^2)+'CAFCO 400 '!$H$10*J737+'CAFCO 400 '!$H$11)*U737^2)+(('CAFCO 400 '!$H$12*(J737^3)+'CAFCO 400 '!$H$13*(J737^2)+'CAFCO 400 '!$H$14*J737+'CAFCO 400 '!$H$15)*U737)+('CAFCO 400 '!$H$16*(J737^2)+'CAFCO 400 '!$H$17*J737+'CAFCO 400 '!$H$18)),0)+IF(AND(L737="Cafco 400",M737="Software Idiem",C737="Cj"),(((('CAFCO 400 '!$D$7*LN(J737)+'CAFCO 400 '!$D$8)*U737^2)+(('CAFCO 400 '!$D$9*LN(J737)+'CAFCO 400 '!$D$10)*U737)+('CAFCO 400 '!$D$11*LN(J737)+'CAFCO 400 '!$D$12))),0)+IF(AND(L737="Cafco 400",M737="Software Idiem",C737="C"),((('CAFCO 400 '!$L$7*(J737^3)+'CAFCO 400 '!$L$8*(J737^2)+'CAFCO 400 '!$L$9*J737+'CAFCO 400 '!$L$10)*U737^2)+(('CAFCO 400 '!$L$11*(J737^3)+'CAFCO 400 '!$L$12*(J737^2)+'CAFCO 400 '!$L$13*J737+'CAFCO 400 '!$L$14)*U737)+('CAFCO 400 '!$L$15*LN(J737)+'CAFCO 400 '!$L$16)),0)+IF(AND(L737="Cafco 400",M737="Software Idiem",C737="L"),((('CAFCO 400 '!$L$7*(J737^3)+'CAFCO 400 '!$L$8*(J737^2)+'CAFCO 400 '!$L$9*J737+'CAFCO 400 '!$L$10)*U737^2)+(('CAFCO 400 '!$L$11*(J737^3)+'CAFCO 400 '!$L$12*(J737^2)+'CAFCO 400 '!$L$13*J737+'CAFCO 400 '!$L$14)*U737)+('CAFCO 400 '!$L$15*LN(J737)+'CAFCO 400 '!$L$16)),0)+IF(AND(L737="Cafco 400",M737="Software Idiem",C737="IN",G737=3),((('CAFCO 400 '!$D$23*(J737^2)+'CAFCO 400 '!$D$24*(J737)+'CAFCO 400 '!$D$25)*U737^2)+(('CAFCO 400 '!$D$26*(J737^2)+'CAFCO 400 '!$D$27*J737+'CAFCO 400 '!$D$28)*U737)+('CAFCO 400 '!$D$29*(J737^2)+'CAFCO 400 '!$D$30*J737+'CAFCO 400 '!$D$31)),0),0)+IF(AND(L737="Cafco 300",J737&gt;=95,J737&lt;=240,C737="Cj",I737=90),VLOOKUP(T737,'CAFCO 300 IDIEM TABLAS'!$B$4:$D$23,2,FALSE),0)+IF(AND(L737="Cafco 300",J737&gt;=95,J737&lt;=240,C737="Cj",I737=120),VLOOKUP(T737,'CAFCO 300 IDIEM TABLAS'!$B$4:$D$23,3,FALSE),0)+IF(AND(L737="Cafco 300",J737&gt;=95,J737&lt;=400,G737=3,C737="IN",I737=90),VLOOKUP(T737,'CAFCO 300 IDIEM TABLAS'!$F$4:$H$35,2,FALSE),0)+IF(AND(L737="Cafco 300",J737&gt;=95,J737&lt;=400,G737=3,C737="IN",I737=120),VLOOKUP(T737,'CAFCO 300 IDIEM TABLAS'!$F$4:$H$35,3,FALSE),0)+IF(AND(L737="Cafco 300",J737&gt;=95,J737&lt;=450,G737=4,C737="IN",I737=90),VLOOKUP(T737,'CAFCO 300 IDIEM TABLAS'!$J$4:$L$40,2,FALSE),0)+IF(AND(L737="Cafco 300",J737&gt;=95,J737&lt;=450,G737=4,C737="IN",I737=120),VLOOKUP(T737,'CAFCO 300 IDIEM TABLAS'!$J$4:$L$40,3,FALSE),0)+IF(AND(M737="Ensayo Idiem",L737="Cafco 400",C737="IN",G737=4,I737=90),VLOOKUP(T737,'CAFCO 400 ENSAYO'!$B$7:$D$43,2,FALSE),0)+IF(AND(M737="Ensayo Idiem",L737="Cafco 400",C737="IN",G737=4,I737=120),VLOOKUP(T737,'CAFCO 400 ENSAYO'!$B$7:$D$43,3,FALSE),0)</f>
        <v>0</v>
      </c>
      <c r="O737" s="96">
        <f t="shared" si="78"/>
        <v>0</v>
      </c>
      <c r="P737" s="132" t="str">
        <f t="shared" si="73"/>
        <v>N/A</v>
      </c>
      <c r="Q737" s="132" t="str">
        <f t="shared" si="74"/>
        <v>N/A</v>
      </c>
      <c r="R737" s="132" t="str">
        <f t="shared" si="75"/>
        <v>NO CERT.</v>
      </c>
      <c r="S737" s="132" t="e">
        <f t="shared" si="76"/>
        <v>#N/A</v>
      </c>
      <c r="T737" s="133" t="e">
        <f>+IF(J737=LOOKUP(J737,'CAFCO 300 IDIEM TABLAS'!$J$4:$J$40),'CALCULO MORTERO'!J737,MROUND('CALCULO MORTERO'!J737,10))</f>
        <v>#N/A</v>
      </c>
      <c r="U737" s="134">
        <f t="shared" si="77"/>
        <v>0</v>
      </c>
    </row>
    <row r="738" spans="1:21" x14ac:dyDescent="0.25">
      <c r="A738" s="118">
        <f>+CUBICACION!D732</f>
        <v>0</v>
      </c>
      <c r="B738" s="819">
        <f>+CUBICACION!E732</f>
        <v>0</v>
      </c>
      <c r="C738" s="675">
        <f>+CUBICACION!F732</f>
        <v>0</v>
      </c>
      <c r="D738" s="118"/>
      <c r="E738" s="118"/>
      <c r="F738" s="820"/>
      <c r="G738" s="675">
        <f>+CUBICACION!J732</f>
        <v>0</v>
      </c>
      <c r="H738" s="118"/>
      <c r="I738" s="821">
        <f>+CUBICACION!L732</f>
        <v>0</v>
      </c>
      <c r="J738" s="64">
        <f>+CUBICACION!M732</f>
        <v>0</v>
      </c>
      <c r="K738" s="822" t="str">
        <f>+CUBICACION!N732</f>
        <v/>
      </c>
      <c r="L738" s="118">
        <f>+CUBICACION!O732</f>
        <v>0</v>
      </c>
      <c r="M738" s="823">
        <f>+CUBICACION!P732</f>
        <v>0</v>
      </c>
      <c r="N738" s="902">
        <f>ROUND(IF(AND(L738="Blaze Shield II",M738="Software Idiem",C738="IN",G738=4),((('BLAZE SHIELD II'!$D$4*('CALCULO MORTERO'!I738^2)+'BLAZE SHIELD II'!$D$5*'CALCULO MORTERO'!I738+'BLAZE SHIELD II'!$D$6)*LN(J738))+('BLAZE SHIELD II'!$D$7*('CALCULO MORTERO'!I738^2)+'BLAZE SHIELD II'!$D$8*'CALCULO MORTERO'!I738+'BLAZE SHIELD II'!$D$9)),0)+IF(AND(L738="Blaze Shield II",M738="Software Idiem",C738="Cj"),((('BLAZE SHIELD II'!$H$4*('CALCULO MORTERO'!I738^2)+'BLAZE SHIELD II'!$H$5*'CALCULO MORTERO'!I738+'BLAZE SHIELD II'!$H$6)*LN(J738))+('BLAZE SHIELD II'!$H$7*('CALCULO MORTERO'!I738^2)+'BLAZE SHIELD II'!$H$8*'CALCULO MORTERO'!I738+'BLAZE SHIELD II'!$H$9)),0)+IF(AND(L738="Blaze Shield II",M738="Software Idiem",C738="C"),((('BLAZE SHIELD II'!$L$4*('CALCULO MORTERO'!I738^2)+'BLAZE SHIELD II'!$L$5*'CALCULO MORTERO'!I738+'BLAZE SHIELD II'!$L$6)*LN(J738))+('BLAZE SHIELD II'!$L$7*('CALCULO MORTERO'!I738^2)+'BLAZE SHIELD II'!$L$8*'CALCULO MORTERO'!I738+'BLAZE SHIELD II'!$L$9)),0)+IF(AND(L738="Blaze Shield II",M738="Software Idiem",C738="L"),((('BLAZE SHIELD II'!$L$4*('CALCULO MORTERO'!I738^2)+'BLAZE SHIELD II'!$L$5*'CALCULO MORTERO'!I738+'BLAZE SHIELD II'!$L$6)*LN(J738))+('BLAZE SHIELD II'!$L$7*('CALCULO MORTERO'!I738^2)+'BLAZE SHIELD II'!$L$8*'CALCULO MORTERO'!I738+'BLAZE SHIELD II'!$L$9)),0)+IF(AND(L738="Blaze Shield II",M738="Software Idiem",C738="IN",G738=3),((('BLAZE SHIELD II'!$H$14*('CALCULO MORTERO'!I738^2)+'BLAZE SHIELD II'!$H$15*'CALCULO MORTERO'!I738+'BLAZE SHIELD II'!$H$16)*LN(J738))+('BLAZE SHIELD II'!$H$17*('CALCULO MORTERO'!I738^2)+'BLAZE SHIELD II'!$H$18*'CALCULO MORTERO'!I738+'BLAZE SHIELD II'!$H$19)),0),0)+ROUND(IF(AND(L738="Cafco 400",M738="Software Idiem",C738="IN",G738=4),((('CAFCO 400 '!$H$7*(J738^4)+'CAFCO 400 '!$H$8*(J738^3)+'CAFCO 400 '!$H$9*(J738^2)+'CAFCO 400 '!$H$10*J738+'CAFCO 400 '!$H$11)*U738^2)+(('CAFCO 400 '!$H$12*(J738^3)+'CAFCO 400 '!$H$13*(J738^2)+'CAFCO 400 '!$H$14*J738+'CAFCO 400 '!$H$15)*U738)+('CAFCO 400 '!$H$16*(J738^2)+'CAFCO 400 '!$H$17*J738+'CAFCO 400 '!$H$18)),0)+IF(AND(L738="Cafco 400",M738="Software Idiem",C738="Cj"),(((('CAFCO 400 '!$D$7*LN(J738)+'CAFCO 400 '!$D$8)*U738^2)+(('CAFCO 400 '!$D$9*LN(J738)+'CAFCO 400 '!$D$10)*U738)+('CAFCO 400 '!$D$11*LN(J738)+'CAFCO 400 '!$D$12))),0)+IF(AND(L738="Cafco 400",M738="Software Idiem",C738="C"),((('CAFCO 400 '!$L$7*(J738^3)+'CAFCO 400 '!$L$8*(J738^2)+'CAFCO 400 '!$L$9*J738+'CAFCO 400 '!$L$10)*U738^2)+(('CAFCO 400 '!$L$11*(J738^3)+'CAFCO 400 '!$L$12*(J738^2)+'CAFCO 400 '!$L$13*J738+'CAFCO 400 '!$L$14)*U738)+('CAFCO 400 '!$L$15*LN(J738)+'CAFCO 400 '!$L$16)),0)+IF(AND(L738="Cafco 400",M738="Software Idiem",C738="L"),((('CAFCO 400 '!$L$7*(J738^3)+'CAFCO 400 '!$L$8*(J738^2)+'CAFCO 400 '!$L$9*J738+'CAFCO 400 '!$L$10)*U738^2)+(('CAFCO 400 '!$L$11*(J738^3)+'CAFCO 400 '!$L$12*(J738^2)+'CAFCO 400 '!$L$13*J738+'CAFCO 400 '!$L$14)*U738)+('CAFCO 400 '!$L$15*LN(J738)+'CAFCO 400 '!$L$16)),0)+IF(AND(L738="Cafco 400",M738="Software Idiem",C738="IN",G738=3),((('CAFCO 400 '!$D$23*(J738^2)+'CAFCO 400 '!$D$24*(J738)+'CAFCO 400 '!$D$25)*U738^2)+(('CAFCO 400 '!$D$26*(J738^2)+'CAFCO 400 '!$D$27*J738+'CAFCO 400 '!$D$28)*U738)+('CAFCO 400 '!$D$29*(J738^2)+'CAFCO 400 '!$D$30*J738+'CAFCO 400 '!$D$31)),0),0)+IF(AND(L738="Cafco 300",J738&gt;=95,J738&lt;=240,C738="Cj",I738=90),VLOOKUP(T738,'CAFCO 300 IDIEM TABLAS'!$B$4:$D$23,2,FALSE),0)+IF(AND(L738="Cafco 300",J738&gt;=95,J738&lt;=240,C738="Cj",I738=120),VLOOKUP(T738,'CAFCO 300 IDIEM TABLAS'!$B$4:$D$23,3,FALSE),0)+IF(AND(L738="Cafco 300",J738&gt;=95,J738&lt;=400,G738=3,C738="IN",I738=90),VLOOKUP(T738,'CAFCO 300 IDIEM TABLAS'!$F$4:$H$35,2,FALSE),0)+IF(AND(L738="Cafco 300",J738&gt;=95,J738&lt;=400,G738=3,C738="IN",I738=120),VLOOKUP(T738,'CAFCO 300 IDIEM TABLAS'!$F$4:$H$35,3,FALSE),0)+IF(AND(L738="Cafco 300",J738&gt;=95,J738&lt;=450,G738=4,C738="IN",I738=90),VLOOKUP(T738,'CAFCO 300 IDIEM TABLAS'!$J$4:$L$40,2,FALSE),0)+IF(AND(L738="Cafco 300",J738&gt;=95,J738&lt;=450,G738=4,C738="IN",I738=120),VLOOKUP(T738,'CAFCO 300 IDIEM TABLAS'!$J$4:$L$40,3,FALSE),0)+IF(AND(M738="Ensayo Idiem",L738="Cafco 400",C738="IN",G738=4,I738=90),VLOOKUP(T738,'CAFCO 400 ENSAYO'!$B$7:$D$43,2,FALSE),0)+IF(AND(M738="Ensayo Idiem",L738="Cafco 400",C738="IN",G738=4,I738=120),VLOOKUP(T738,'CAFCO 400 ENSAYO'!$B$7:$D$43,3,FALSE),0)</f>
        <v>0</v>
      </c>
      <c r="O738" s="96">
        <f t="shared" si="78"/>
        <v>0</v>
      </c>
      <c r="P738" s="95" t="str">
        <f t="shared" si="73"/>
        <v>N/A</v>
      </c>
      <c r="Q738" s="95" t="str">
        <f t="shared" si="74"/>
        <v>N/A</v>
      </c>
      <c r="R738" s="95" t="str">
        <f t="shared" si="75"/>
        <v>NO CERT.</v>
      </c>
      <c r="S738" s="95" t="e">
        <f t="shared" si="76"/>
        <v>#N/A</v>
      </c>
      <c r="T738" s="119" t="e">
        <f>+IF(J738=LOOKUP(J738,'CAFCO 300 IDIEM TABLAS'!$J$4:$J$40),'CALCULO MORTERO'!J738,MROUND('CALCULO MORTERO'!J738,10))</f>
        <v>#N/A</v>
      </c>
      <c r="U738" s="118">
        <f t="shared" si="77"/>
        <v>0</v>
      </c>
    </row>
    <row r="739" spans="1:21" x14ac:dyDescent="0.25">
      <c r="A739" s="118">
        <f>+CUBICACION!D733</f>
        <v>0</v>
      </c>
      <c r="B739" s="819">
        <f>+CUBICACION!E733</f>
        <v>0</v>
      </c>
      <c r="C739" s="675">
        <f>+CUBICACION!F733</f>
        <v>0</v>
      </c>
      <c r="D739" s="118"/>
      <c r="E739" s="118"/>
      <c r="F739" s="820"/>
      <c r="G739" s="675">
        <f>+CUBICACION!J733</f>
        <v>0</v>
      </c>
      <c r="H739" s="118"/>
      <c r="I739" s="821">
        <f>+CUBICACION!L733</f>
        <v>0</v>
      </c>
      <c r="J739" s="64">
        <f>+CUBICACION!M733</f>
        <v>0</v>
      </c>
      <c r="K739" s="822" t="str">
        <f>+CUBICACION!N733</f>
        <v/>
      </c>
      <c r="L739" s="118">
        <f>+CUBICACION!O733</f>
        <v>0</v>
      </c>
      <c r="M739" s="823">
        <f>+CUBICACION!P733</f>
        <v>0</v>
      </c>
      <c r="N739" s="902">
        <f>ROUND(IF(AND(L739="Blaze Shield II",M739="Software Idiem",C739="IN",G739=4),((('BLAZE SHIELD II'!$D$4*('CALCULO MORTERO'!I739^2)+'BLAZE SHIELD II'!$D$5*'CALCULO MORTERO'!I739+'BLAZE SHIELD II'!$D$6)*LN(J739))+('BLAZE SHIELD II'!$D$7*('CALCULO MORTERO'!I739^2)+'BLAZE SHIELD II'!$D$8*'CALCULO MORTERO'!I739+'BLAZE SHIELD II'!$D$9)),0)+IF(AND(L739="Blaze Shield II",M739="Software Idiem",C739="Cj"),((('BLAZE SHIELD II'!$H$4*('CALCULO MORTERO'!I739^2)+'BLAZE SHIELD II'!$H$5*'CALCULO MORTERO'!I739+'BLAZE SHIELD II'!$H$6)*LN(J739))+('BLAZE SHIELD II'!$H$7*('CALCULO MORTERO'!I739^2)+'BLAZE SHIELD II'!$H$8*'CALCULO MORTERO'!I739+'BLAZE SHIELD II'!$H$9)),0)+IF(AND(L739="Blaze Shield II",M739="Software Idiem",C739="C"),((('BLAZE SHIELD II'!$L$4*('CALCULO MORTERO'!I739^2)+'BLAZE SHIELD II'!$L$5*'CALCULO MORTERO'!I739+'BLAZE SHIELD II'!$L$6)*LN(J739))+('BLAZE SHIELD II'!$L$7*('CALCULO MORTERO'!I739^2)+'BLAZE SHIELD II'!$L$8*'CALCULO MORTERO'!I739+'BLAZE SHIELD II'!$L$9)),0)+IF(AND(L739="Blaze Shield II",M739="Software Idiem",C739="L"),((('BLAZE SHIELD II'!$L$4*('CALCULO MORTERO'!I739^2)+'BLAZE SHIELD II'!$L$5*'CALCULO MORTERO'!I739+'BLAZE SHIELD II'!$L$6)*LN(J739))+('BLAZE SHIELD II'!$L$7*('CALCULO MORTERO'!I739^2)+'BLAZE SHIELD II'!$L$8*'CALCULO MORTERO'!I739+'BLAZE SHIELD II'!$L$9)),0)+IF(AND(L739="Blaze Shield II",M739="Software Idiem",C739="IN",G739=3),((('BLAZE SHIELD II'!$H$14*('CALCULO MORTERO'!I739^2)+'BLAZE SHIELD II'!$H$15*'CALCULO MORTERO'!I739+'BLAZE SHIELD II'!$H$16)*LN(J739))+('BLAZE SHIELD II'!$H$17*('CALCULO MORTERO'!I739^2)+'BLAZE SHIELD II'!$H$18*'CALCULO MORTERO'!I739+'BLAZE SHIELD II'!$H$19)),0),0)+ROUND(IF(AND(L739="Cafco 400",M739="Software Idiem",C739="IN",G739=4),((('CAFCO 400 '!$H$7*(J739^4)+'CAFCO 400 '!$H$8*(J739^3)+'CAFCO 400 '!$H$9*(J739^2)+'CAFCO 400 '!$H$10*J739+'CAFCO 400 '!$H$11)*U739^2)+(('CAFCO 400 '!$H$12*(J739^3)+'CAFCO 400 '!$H$13*(J739^2)+'CAFCO 400 '!$H$14*J739+'CAFCO 400 '!$H$15)*U739)+('CAFCO 400 '!$H$16*(J739^2)+'CAFCO 400 '!$H$17*J739+'CAFCO 400 '!$H$18)),0)+IF(AND(L739="Cafco 400",M739="Software Idiem",C739="Cj"),(((('CAFCO 400 '!$D$7*LN(J739)+'CAFCO 400 '!$D$8)*U739^2)+(('CAFCO 400 '!$D$9*LN(J739)+'CAFCO 400 '!$D$10)*U739)+('CAFCO 400 '!$D$11*LN(J739)+'CAFCO 400 '!$D$12))),0)+IF(AND(L739="Cafco 400",M739="Software Idiem",C739="C"),((('CAFCO 400 '!$L$7*(J739^3)+'CAFCO 400 '!$L$8*(J739^2)+'CAFCO 400 '!$L$9*J739+'CAFCO 400 '!$L$10)*U739^2)+(('CAFCO 400 '!$L$11*(J739^3)+'CAFCO 400 '!$L$12*(J739^2)+'CAFCO 400 '!$L$13*J739+'CAFCO 400 '!$L$14)*U739)+('CAFCO 400 '!$L$15*LN(J739)+'CAFCO 400 '!$L$16)),0)+IF(AND(L739="Cafco 400",M739="Software Idiem",C739="L"),((('CAFCO 400 '!$L$7*(J739^3)+'CAFCO 400 '!$L$8*(J739^2)+'CAFCO 400 '!$L$9*J739+'CAFCO 400 '!$L$10)*U739^2)+(('CAFCO 400 '!$L$11*(J739^3)+'CAFCO 400 '!$L$12*(J739^2)+'CAFCO 400 '!$L$13*J739+'CAFCO 400 '!$L$14)*U739)+('CAFCO 400 '!$L$15*LN(J739)+'CAFCO 400 '!$L$16)),0)+IF(AND(L739="Cafco 400",M739="Software Idiem",C739="IN",G739=3),((('CAFCO 400 '!$D$23*(J739^2)+'CAFCO 400 '!$D$24*(J739)+'CAFCO 400 '!$D$25)*U739^2)+(('CAFCO 400 '!$D$26*(J739^2)+'CAFCO 400 '!$D$27*J739+'CAFCO 400 '!$D$28)*U739)+('CAFCO 400 '!$D$29*(J739^2)+'CAFCO 400 '!$D$30*J739+'CAFCO 400 '!$D$31)),0),0)+IF(AND(L739="Cafco 300",J739&gt;=95,J739&lt;=240,C739="Cj",I739=90),VLOOKUP(T739,'CAFCO 300 IDIEM TABLAS'!$B$4:$D$23,2,FALSE),0)+IF(AND(L739="Cafco 300",J739&gt;=95,J739&lt;=240,C739="Cj",I739=120),VLOOKUP(T739,'CAFCO 300 IDIEM TABLAS'!$B$4:$D$23,3,FALSE),0)+IF(AND(L739="Cafco 300",J739&gt;=95,J739&lt;=400,G739=3,C739="IN",I739=90),VLOOKUP(T739,'CAFCO 300 IDIEM TABLAS'!$F$4:$H$35,2,FALSE),0)+IF(AND(L739="Cafco 300",J739&gt;=95,J739&lt;=400,G739=3,C739="IN",I739=120),VLOOKUP(T739,'CAFCO 300 IDIEM TABLAS'!$F$4:$H$35,3,FALSE),0)+IF(AND(L739="Cafco 300",J739&gt;=95,J739&lt;=450,G739=4,C739="IN",I739=90),VLOOKUP(T739,'CAFCO 300 IDIEM TABLAS'!$J$4:$L$40,2,FALSE),0)+IF(AND(L739="Cafco 300",J739&gt;=95,J739&lt;=450,G739=4,C739="IN",I739=120),VLOOKUP(T739,'CAFCO 300 IDIEM TABLAS'!$J$4:$L$40,3,FALSE),0)+IF(AND(M739="Ensayo Idiem",L739="Cafco 400",C739="IN",G739=4,I739=90),VLOOKUP(T739,'CAFCO 400 ENSAYO'!$B$7:$D$43,2,FALSE),0)+IF(AND(M739="Ensayo Idiem",L739="Cafco 400",C739="IN",G739=4,I739=120),VLOOKUP(T739,'CAFCO 400 ENSAYO'!$B$7:$D$43,3,FALSE),0)</f>
        <v>0</v>
      </c>
      <c r="O739" s="96">
        <f t="shared" si="78"/>
        <v>0</v>
      </c>
      <c r="P739" s="132" t="str">
        <f t="shared" si="73"/>
        <v>N/A</v>
      </c>
      <c r="Q739" s="132" t="str">
        <f t="shared" si="74"/>
        <v>N/A</v>
      </c>
      <c r="R739" s="132" t="str">
        <f t="shared" si="75"/>
        <v>NO CERT.</v>
      </c>
      <c r="S739" s="132" t="e">
        <f t="shared" si="76"/>
        <v>#N/A</v>
      </c>
      <c r="T739" s="133" t="e">
        <f>+IF(J739=LOOKUP(J739,'CAFCO 300 IDIEM TABLAS'!$J$4:$J$40),'CALCULO MORTERO'!J739,MROUND('CALCULO MORTERO'!J739,10))</f>
        <v>#N/A</v>
      </c>
      <c r="U739" s="134">
        <f t="shared" si="77"/>
        <v>0</v>
      </c>
    </row>
    <row r="740" spans="1:21" x14ac:dyDescent="0.25">
      <c r="A740" s="118">
        <f>+CUBICACION!D734</f>
        <v>0</v>
      </c>
      <c r="B740" s="819">
        <f>+CUBICACION!E734</f>
        <v>0</v>
      </c>
      <c r="C740" s="675">
        <f>+CUBICACION!F734</f>
        <v>0</v>
      </c>
      <c r="D740" s="118"/>
      <c r="E740" s="118"/>
      <c r="F740" s="820"/>
      <c r="G740" s="675">
        <f>+CUBICACION!J734</f>
        <v>0</v>
      </c>
      <c r="H740" s="118"/>
      <c r="I740" s="821">
        <f>+CUBICACION!L734</f>
        <v>0</v>
      </c>
      <c r="J740" s="64">
        <f>+CUBICACION!M734</f>
        <v>0</v>
      </c>
      <c r="K740" s="822" t="str">
        <f>+CUBICACION!N734</f>
        <v/>
      </c>
      <c r="L740" s="118">
        <f>+CUBICACION!O734</f>
        <v>0</v>
      </c>
      <c r="M740" s="823">
        <f>+CUBICACION!P734</f>
        <v>0</v>
      </c>
      <c r="N740" s="902">
        <f>ROUND(IF(AND(L740="Blaze Shield II",M740="Software Idiem",C740="IN",G740=4),((('BLAZE SHIELD II'!$D$4*('CALCULO MORTERO'!I740^2)+'BLAZE SHIELD II'!$D$5*'CALCULO MORTERO'!I740+'BLAZE SHIELD II'!$D$6)*LN(J740))+('BLAZE SHIELD II'!$D$7*('CALCULO MORTERO'!I740^2)+'BLAZE SHIELD II'!$D$8*'CALCULO MORTERO'!I740+'BLAZE SHIELD II'!$D$9)),0)+IF(AND(L740="Blaze Shield II",M740="Software Idiem",C740="Cj"),((('BLAZE SHIELD II'!$H$4*('CALCULO MORTERO'!I740^2)+'BLAZE SHIELD II'!$H$5*'CALCULO MORTERO'!I740+'BLAZE SHIELD II'!$H$6)*LN(J740))+('BLAZE SHIELD II'!$H$7*('CALCULO MORTERO'!I740^2)+'BLAZE SHIELD II'!$H$8*'CALCULO MORTERO'!I740+'BLAZE SHIELD II'!$H$9)),0)+IF(AND(L740="Blaze Shield II",M740="Software Idiem",C740="C"),((('BLAZE SHIELD II'!$L$4*('CALCULO MORTERO'!I740^2)+'BLAZE SHIELD II'!$L$5*'CALCULO MORTERO'!I740+'BLAZE SHIELD II'!$L$6)*LN(J740))+('BLAZE SHIELD II'!$L$7*('CALCULO MORTERO'!I740^2)+'BLAZE SHIELD II'!$L$8*'CALCULO MORTERO'!I740+'BLAZE SHIELD II'!$L$9)),0)+IF(AND(L740="Blaze Shield II",M740="Software Idiem",C740="L"),((('BLAZE SHIELD II'!$L$4*('CALCULO MORTERO'!I740^2)+'BLAZE SHIELD II'!$L$5*'CALCULO MORTERO'!I740+'BLAZE SHIELD II'!$L$6)*LN(J740))+('BLAZE SHIELD II'!$L$7*('CALCULO MORTERO'!I740^2)+'BLAZE SHIELD II'!$L$8*'CALCULO MORTERO'!I740+'BLAZE SHIELD II'!$L$9)),0)+IF(AND(L740="Blaze Shield II",M740="Software Idiem",C740="IN",G740=3),((('BLAZE SHIELD II'!$H$14*('CALCULO MORTERO'!I740^2)+'BLAZE SHIELD II'!$H$15*'CALCULO MORTERO'!I740+'BLAZE SHIELD II'!$H$16)*LN(J740))+('BLAZE SHIELD II'!$H$17*('CALCULO MORTERO'!I740^2)+'BLAZE SHIELD II'!$H$18*'CALCULO MORTERO'!I740+'BLAZE SHIELD II'!$H$19)),0),0)+ROUND(IF(AND(L740="Cafco 400",M740="Software Idiem",C740="IN",G740=4),((('CAFCO 400 '!$H$7*(J740^4)+'CAFCO 400 '!$H$8*(J740^3)+'CAFCO 400 '!$H$9*(J740^2)+'CAFCO 400 '!$H$10*J740+'CAFCO 400 '!$H$11)*U740^2)+(('CAFCO 400 '!$H$12*(J740^3)+'CAFCO 400 '!$H$13*(J740^2)+'CAFCO 400 '!$H$14*J740+'CAFCO 400 '!$H$15)*U740)+('CAFCO 400 '!$H$16*(J740^2)+'CAFCO 400 '!$H$17*J740+'CAFCO 400 '!$H$18)),0)+IF(AND(L740="Cafco 400",M740="Software Idiem",C740="Cj"),(((('CAFCO 400 '!$D$7*LN(J740)+'CAFCO 400 '!$D$8)*U740^2)+(('CAFCO 400 '!$D$9*LN(J740)+'CAFCO 400 '!$D$10)*U740)+('CAFCO 400 '!$D$11*LN(J740)+'CAFCO 400 '!$D$12))),0)+IF(AND(L740="Cafco 400",M740="Software Idiem",C740="C"),((('CAFCO 400 '!$L$7*(J740^3)+'CAFCO 400 '!$L$8*(J740^2)+'CAFCO 400 '!$L$9*J740+'CAFCO 400 '!$L$10)*U740^2)+(('CAFCO 400 '!$L$11*(J740^3)+'CAFCO 400 '!$L$12*(J740^2)+'CAFCO 400 '!$L$13*J740+'CAFCO 400 '!$L$14)*U740)+('CAFCO 400 '!$L$15*LN(J740)+'CAFCO 400 '!$L$16)),0)+IF(AND(L740="Cafco 400",M740="Software Idiem",C740="L"),((('CAFCO 400 '!$L$7*(J740^3)+'CAFCO 400 '!$L$8*(J740^2)+'CAFCO 400 '!$L$9*J740+'CAFCO 400 '!$L$10)*U740^2)+(('CAFCO 400 '!$L$11*(J740^3)+'CAFCO 400 '!$L$12*(J740^2)+'CAFCO 400 '!$L$13*J740+'CAFCO 400 '!$L$14)*U740)+('CAFCO 400 '!$L$15*LN(J740)+'CAFCO 400 '!$L$16)),0)+IF(AND(L740="Cafco 400",M740="Software Idiem",C740="IN",G740=3),((('CAFCO 400 '!$D$23*(J740^2)+'CAFCO 400 '!$D$24*(J740)+'CAFCO 400 '!$D$25)*U740^2)+(('CAFCO 400 '!$D$26*(J740^2)+'CAFCO 400 '!$D$27*J740+'CAFCO 400 '!$D$28)*U740)+('CAFCO 400 '!$D$29*(J740^2)+'CAFCO 400 '!$D$30*J740+'CAFCO 400 '!$D$31)),0),0)+IF(AND(L740="Cafco 300",J740&gt;=95,J740&lt;=240,C740="Cj",I740=90),VLOOKUP(T740,'CAFCO 300 IDIEM TABLAS'!$B$4:$D$23,2,FALSE),0)+IF(AND(L740="Cafco 300",J740&gt;=95,J740&lt;=240,C740="Cj",I740=120),VLOOKUP(T740,'CAFCO 300 IDIEM TABLAS'!$B$4:$D$23,3,FALSE),0)+IF(AND(L740="Cafco 300",J740&gt;=95,J740&lt;=400,G740=3,C740="IN",I740=90),VLOOKUP(T740,'CAFCO 300 IDIEM TABLAS'!$F$4:$H$35,2,FALSE),0)+IF(AND(L740="Cafco 300",J740&gt;=95,J740&lt;=400,G740=3,C740="IN",I740=120),VLOOKUP(T740,'CAFCO 300 IDIEM TABLAS'!$F$4:$H$35,3,FALSE),0)+IF(AND(L740="Cafco 300",J740&gt;=95,J740&lt;=450,G740=4,C740="IN",I740=90),VLOOKUP(T740,'CAFCO 300 IDIEM TABLAS'!$J$4:$L$40,2,FALSE),0)+IF(AND(L740="Cafco 300",J740&gt;=95,J740&lt;=450,G740=4,C740="IN",I740=120),VLOOKUP(T740,'CAFCO 300 IDIEM TABLAS'!$J$4:$L$40,3,FALSE),0)+IF(AND(M740="Ensayo Idiem",L740="Cafco 400",C740="IN",G740=4,I740=90),VLOOKUP(T740,'CAFCO 400 ENSAYO'!$B$7:$D$43,2,FALSE),0)+IF(AND(M740="Ensayo Idiem",L740="Cafco 400",C740="IN",G740=4,I740=120),VLOOKUP(T740,'CAFCO 400 ENSAYO'!$B$7:$D$43,3,FALSE),0)</f>
        <v>0</v>
      </c>
      <c r="O740" s="96">
        <f t="shared" si="78"/>
        <v>0</v>
      </c>
      <c r="P740" s="95" t="str">
        <f t="shared" si="73"/>
        <v>N/A</v>
      </c>
      <c r="Q740" s="95" t="str">
        <f t="shared" si="74"/>
        <v>N/A</v>
      </c>
      <c r="R740" s="95" t="str">
        <f t="shared" si="75"/>
        <v>NO CERT.</v>
      </c>
      <c r="S740" s="95" t="e">
        <f t="shared" si="76"/>
        <v>#N/A</v>
      </c>
      <c r="T740" s="119" t="e">
        <f>+IF(J740=LOOKUP(J740,'CAFCO 300 IDIEM TABLAS'!$J$4:$J$40),'CALCULO MORTERO'!J740,MROUND('CALCULO MORTERO'!J740,10))</f>
        <v>#N/A</v>
      </c>
      <c r="U740" s="118">
        <f t="shared" si="77"/>
        <v>0</v>
      </c>
    </row>
    <row r="741" spans="1:21" x14ac:dyDescent="0.25">
      <c r="A741" s="118">
        <f>+CUBICACION!D735</f>
        <v>0</v>
      </c>
      <c r="B741" s="819">
        <f>+CUBICACION!E735</f>
        <v>0</v>
      </c>
      <c r="C741" s="675">
        <f>+CUBICACION!F735</f>
        <v>0</v>
      </c>
      <c r="D741" s="118"/>
      <c r="E741" s="118"/>
      <c r="F741" s="820"/>
      <c r="G741" s="675">
        <f>+CUBICACION!J735</f>
        <v>0</v>
      </c>
      <c r="H741" s="118"/>
      <c r="I741" s="821">
        <f>+CUBICACION!L735</f>
        <v>0</v>
      </c>
      <c r="J741" s="64">
        <f>+CUBICACION!M735</f>
        <v>0</v>
      </c>
      <c r="K741" s="822" t="str">
        <f>+CUBICACION!N735</f>
        <v/>
      </c>
      <c r="L741" s="118">
        <f>+CUBICACION!O735</f>
        <v>0</v>
      </c>
      <c r="M741" s="823">
        <f>+CUBICACION!P735</f>
        <v>0</v>
      </c>
      <c r="N741" s="902">
        <f>ROUND(IF(AND(L741="Blaze Shield II",M741="Software Idiem",C741="IN",G741=4),((('BLAZE SHIELD II'!$D$4*('CALCULO MORTERO'!I741^2)+'BLAZE SHIELD II'!$D$5*'CALCULO MORTERO'!I741+'BLAZE SHIELD II'!$D$6)*LN(J741))+('BLAZE SHIELD II'!$D$7*('CALCULO MORTERO'!I741^2)+'BLAZE SHIELD II'!$D$8*'CALCULO MORTERO'!I741+'BLAZE SHIELD II'!$D$9)),0)+IF(AND(L741="Blaze Shield II",M741="Software Idiem",C741="Cj"),((('BLAZE SHIELD II'!$H$4*('CALCULO MORTERO'!I741^2)+'BLAZE SHIELD II'!$H$5*'CALCULO MORTERO'!I741+'BLAZE SHIELD II'!$H$6)*LN(J741))+('BLAZE SHIELD II'!$H$7*('CALCULO MORTERO'!I741^2)+'BLAZE SHIELD II'!$H$8*'CALCULO MORTERO'!I741+'BLAZE SHIELD II'!$H$9)),0)+IF(AND(L741="Blaze Shield II",M741="Software Idiem",C741="C"),((('BLAZE SHIELD II'!$L$4*('CALCULO MORTERO'!I741^2)+'BLAZE SHIELD II'!$L$5*'CALCULO MORTERO'!I741+'BLAZE SHIELD II'!$L$6)*LN(J741))+('BLAZE SHIELD II'!$L$7*('CALCULO MORTERO'!I741^2)+'BLAZE SHIELD II'!$L$8*'CALCULO MORTERO'!I741+'BLAZE SHIELD II'!$L$9)),0)+IF(AND(L741="Blaze Shield II",M741="Software Idiem",C741="L"),((('BLAZE SHIELD II'!$L$4*('CALCULO MORTERO'!I741^2)+'BLAZE SHIELD II'!$L$5*'CALCULO MORTERO'!I741+'BLAZE SHIELD II'!$L$6)*LN(J741))+('BLAZE SHIELD II'!$L$7*('CALCULO MORTERO'!I741^2)+'BLAZE SHIELD II'!$L$8*'CALCULO MORTERO'!I741+'BLAZE SHIELD II'!$L$9)),0)+IF(AND(L741="Blaze Shield II",M741="Software Idiem",C741="IN",G741=3),((('BLAZE SHIELD II'!$H$14*('CALCULO MORTERO'!I741^2)+'BLAZE SHIELD II'!$H$15*'CALCULO MORTERO'!I741+'BLAZE SHIELD II'!$H$16)*LN(J741))+('BLAZE SHIELD II'!$H$17*('CALCULO MORTERO'!I741^2)+'BLAZE SHIELD II'!$H$18*'CALCULO MORTERO'!I741+'BLAZE SHIELD II'!$H$19)),0),0)+ROUND(IF(AND(L741="Cafco 400",M741="Software Idiem",C741="IN",G741=4),((('CAFCO 400 '!$H$7*(J741^4)+'CAFCO 400 '!$H$8*(J741^3)+'CAFCO 400 '!$H$9*(J741^2)+'CAFCO 400 '!$H$10*J741+'CAFCO 400 '!$H$11)*U741^2)+(('CAFCO 400 '!$H$12*(J741^3)+'CAFCO 400 '!$H$13*(J741^2)+'CAFCO 400 '!$H$14*J741+'CAFCO 400 '!$H$15)*U741)+('CAFCO 400 '!$H$16*(J741^2)+'CAFCO 400 '!$H$17*J741+'CAFCO 400 '!$H$18)),0)+IF(AND(L741="Cafco 400",M741="Software Idiem",C741="Cj"),(((('CAFCO 400 '!$D$7*LN(J741)+'CAFCO 400 '!$D$8)*U741^2)+(('CAFCO 400 '!$D$9*LN(J741)+'CAFCO 400 '!$D$10)*U741)+('CAFCO 400 '!$D$11*LN(J741)+'CAFCO 400 '!$D$12))),0)+IF(AND(L741="Cafco 400",M741="Software Idiem",C741="C"),((('CAFCO 400 '!$L$7*(J741^3)+'CAFCO 400 '!$L$8*(J741^2)+'CAFCO 400 '!$L$9*J741+'CAFCO 400 '!$L$10)*U741^2)+(('CAFCO 400 '!$L$11*(J741^3)+'CAFCO 400 '!$L$12*(J741^2)+'CAFCO 400 '!$L$13*J741+'CAFCO 400 '!$L$14)*U741)+('CAFCO 400 '!$L$15*LN(J741)+'CAFCO 400 '!$L$16)),0)+IF(AND(L741="Cafco 400",M741="Software Idiem",C741="L"),((('CAFCO 400 '!$L$7*(J741^3)+'CAFCO 400 '!$L$8*(J741^2)+'CAFCO 400 '!$L$9*J741+'CAFCO 400 '!$L$10)*U741^2)+(('CAFCO 400 '!$L$11*(J741^3)+'CAFCO 400 '!$L$12*(J741^2)+'CAFCO 400 '!$L$13*J741+'CAFCO 400 '!$L$14)*U741)+('CAFCO 400 '!$L$15*LN(J741)+'CAFCO 400 '!$L$16)),0)+IF(AND(L741="Cafco 400",M741="Software Idiem",C741="IN",G741=3),((('CAFCO 400 '!$D$23*(J741^2)+'CAFCO 400 '!$D$24*(J741)+'CAFCO 400 '!$D$25)*U741^2)+(('CAFCO 400 '!$D$26*(J741^2)+'CAFCO 400 '!$D$27*J741+'CAFCO 400 '!$D$28)*U741)+('CAFCO 400 '!$D$29*(J741^2)+'CAFCO 400 '!$D$30*J741+'CAFCO 400 '!$D$31)),0),0)+IF(AND(L741="Cafco 300",J741&gt;=95,J741&lt;=240,C741="Cj",I741=90),VLOOKUP(T741,'CAFCO 300 IDIEM TABLAS'!$B$4:$D$23,2,FALSE),0)+IF(AND(L741="Cafco 300",J741&gt;=95,J741&lt;=240,C741="Cj",I741=120),VLOOKUP(T741,'CAFCO 300 IDIEM TABLAS'!$B$4:$D$23,3,FALSE),0)+IF(AND(L741="Cafco 300",J741&gt;=95,J741&lt;=400,G741=3,C741="IN",I741=90),VLOOKUP(T741,'CAFCO 300 IDIEM TABLAS'!$F$4:$H$35,2,FALSE),0)+IF(AND(L741="Cafco 300",J741&gt;=95,J741&lt;=400,G741=3,C741="IN",I741=120),VLOOKUP(T741,'CAFCO 300 IDIEM TABLAS'!$F$4:$H$35,3,FALSE),0)+IF(AND(L741="Cafco 300",J741&gt;=95,J741&lt;=450,G741=4,C741="IN",I741=90),VLOOKUP(T741,'CAFCO 300 IDIEM TABLAS'!$J$4:$L$40,2,FALSE),0)+IF(AND(L741="Cafco 300",J741&gt;=95,J741&lt;=450,G741=4,C741="IN",I741=120),VLOOKUP(T741,'CAFCO 300 IDIEM TABLAS'!$J$4:$L$40,3,FALSE),0)+IF(AND(M741="Ensayo Idiem",L741="Cafco 400",C741="IN",G741=4,I741=90),VLOOKUP(T741,'CAFCO 400 ENSAYO'!$B$7:$D$43,2,FALSE),0)+IF(AND(M741="Ensayo Idiem",L741="Cafco 400",C741="IN",G741=4,I741=120),VLOOKUP(T741,'CAFCO 400 ENSAYO'!$B$7:$D$43,3,FALSE),0)</f>
        <v>0</v>
      </c>
      <c r="O741" s="96">
        <f t="shared" si="78"/>
        <v>0</v>
      </c>
      <c r="P741" s="132" t="str">
        <f t="shared" si="73"/>
        <v>N/A</v>
      </c>
      <c r="Q741" s="132" t="str">
        <f t="shared" si="74"/>
        <v>N/A</v>
      </c>
      <c r="R741" s="132" t="str">
        <f t="shared" si="75"/>
        <v>NO CERT.</v>
      </c>
      <c r="S741" s="132" t="e">
        <f t="shared" si="76"/>
        <v>#N/A</v>
      </c>
      <c r="T741" s="133" t="e">
        <f>+IF(J741=LOOKUP(J741,'CAFCO 300 IDIEM TABLAS'!$J$4:$J$40),'CALCULO MORTERO'!J741,MROUND('CALCULO MORTERO'!J741,10))</f>
        <v>#N/A</v>
      </c>
      <c r="U741" s="134">
        <f t="shared" si="77"/>
        <v>0</v>
      </c>
    </row>
    <row r="742" spans="1:21" x14ac:dyDescent="0.25">
      <c r="A742" s="118">
        <f>+CUBICACION!D736</f>
        <v>0</v>
      </c>
      <c r="B742" s="819">
        <f>+CUBICACION!E736</f>
        <v>0</v>
      </c>
      <c r="C742" s="675">
        <f>+CUBICACION!F736</f>
        <v>0</v>
      </c>
      <c r="D742" s="118"/>
      <c r="E742" s="118"/>
      <c r="F742" s="820"/>
      <c r="G742" s="675">
        <f>+CUBICACION!J736</f>
        <v>0</v>
      </c>
      <c r="H742" s="118"/>
      <c r="I742" s="821">
        <f>+CUBICACION!L736</f>
        <v>0</v>
      </c>
      <c r="J742" s="64">
        <f>+CUBICACION!M736</f>
        <v>0</v>
      </c>
      <c r="K742" s="822" t="str">
        <f>+CUBICACION!N736</f>
        <v/>
      </c>
      <c r="L742" s="118">
        <f>+CUBICACION!O736</f>
        <v>0</v>
      </c>
      <c r="M742" s="823">
        <f>+CUBICACION!P736</f>
        <v>0</v>
      </c>
      <c r="N742" s="902">
        <f>ROUND(IF(AND(L742="Blaze Shield II",M742="Software Idiem",C742="IN",G742=4),((('BLAZE SHIELD II'!$D$4*('CALCULO MORTERO'!I742^2)+'BLAZE SHIELD II'!$D$5*'CALCULO MORTERO'!I742+'BLAZE SHIELD II'!$D$6)*LN(J742))+('BLAZE SHIELD II'!$D$7*('CALCULO MORTERO'!I742^2)+'BLAZE SHIELD II'!$D$8*'CALCULO MORTERO'!I742+'BLAZE SHIELD II'!$D$9)),0)+IF(AND(L742="Blaze Shield II",M742="Software Idiem",C742="Cj"),((('BLAZE SHIELD II'!$H$4*('CALCULO MORTERO'!I742^2)+'BLAZE SHIELD II'!$H$5*'CALCULO MORTERO'!I742+'BLAZE SHIELD II'!$H$6)*LN(J742))+('BLAZE SHIELD II'!$H$7*('CALCULO MORTERO'!I742^2)+'BLAZE SHIELD II'!$H$8*'CALCULO MORTERO'!I742+'BLAZE SHIELD II'!$H$9)),0)+IF(AND(L742="Blaze Shield II",M742="Software Idiem",C742="C"),((('BLAZE SHIELD II'!$L$4*('CALCULO MORTERO'!I742^2)+'BLAZE SHIELD II'!$L$5*'CALCULO MORTERO'!I742+'BLAZE SHIELD II'!$L$6)*LN(J742))+('BLAZE SHIELD II'!$L$7*('CALCULO MORTERO'!I742^2)+'BLAZE SHIELD II'!$L$8*'CALCULO MORTERO'!I742+'BLAZE SHIELD II'!$L$9)),0)+IF(AND(L742="Blaze Shield II",M742="Software Idiem",C742="L"),((('BLAZE SHIELD II'!$L$4*('CALCULO MORTERO'!I742^2)+'BLAZE SHIELD II'!$L$5*'CALCULO MORTERO'!I742+'BLAZE SHIELD II'!$L$6)*LN(J742))+('BLAZE SHIELD II'!$L$7*('CALCULO MORTERO'!I742^2)+'BLAZE SHIELD II'!$L$8*'CALCULO MORTERO'!I742+'BLAZE SHIELD II'!$L$9)),0)+IF(AND(L742="Blaze Shield II",M742="Software Idiem",C742="IN",G742=3),((('BLAZE SHIELD II'!$H$14*('CALCULO MORTERO'!I742^2)+'BLAZE SHIELD II'!$H$15*'CALCULO MORTERO'!I742+'BLAZE SHIELD II'!$H$16)*LN(J742))+('BLAZE SHIELD II'!$H$17*('CALCULO MORTERO'!I742^2)+'BLAZE SHIELD II'!$H$18*'CALCULO MORTERO'!I742+'BLAZE SHIELD II'!$H$19)),0),0)+ROUND(IF(AND(L742="Cafco 400",M742="Software Idiem",C742="IN",G742=4),((('CAFCO 400 '!$H$7*(J742^4)+'CAFCO 400 '!$H$8*(J742^3)+'CAFCO 400 '!$H$9*(J742^2)+'CAFCO 400 '!$H$10*J742+'CAFCO 400 '!$H$11)*U742^2)+(('CAFCO 400 '!$H$12*(J742^3)+'CAFCO 400 '!$H$13*(J742^2)+'CAFCO 400 '!$H$14*J742+'CAFCO 400 '!$H$15)*U742)+('CAFCO 400 '!$H$16*(J742^2)+'CAFCO 400 '!$H$17*J742+'CAFCO 400 '!$H$18)),0)+IF(AND(L742="Cafco 400",M742="Software Idiem",C742="Cj"),(((('CAFCO 400 '!$D$7*LN(J742)+'CAFCO 400 '!$D$8)*U742^2)+(('CAFCO 400 '!$D$9*LN(J742)+'CAFCO 400 '!$D$10)*U742)+('CAFCO 400 '!$D$11*LN(J742)+'CAFCO 400 '!$D$12))),0)+IF(AND(L742="Cafco 400",M742="Software Idiem",C742="C"),((('CAFCO 400 '!$L$7*(J742^3)+'CAFCO 400 '!$L$8*(J742^2)+'CAFCO 400 '!$L$9*J742+'CAFCO 400 '!$L$10)*U742^2)+(('CAFCO 400 '!$L$11*(J742^3)+'CAFCO 400 '!$L$12*(J742^2)+'CAFCO 400 '!$L$13*J742+'CAFCO 400 '!$L$14)*U742)+('CAFCO 400 '!$L$15*LN(J742)+'CAFCO 400 '!$L$16)),0)+IF(AND(L742="Cafco 400",M742="Software Idiem",C742="L"),((('CAFCO 400 '!$L$7*(J742^3)+'CAFCO 400 '!$L$8*(J742^2)+'CAFCO 400 '!$L$9*J742+'CAFCO 400 '!$L$10)*U742^2)+(('CAFCO 400 '!$L$11*(J742^3)+'CAFCO 400 '!$L$12*(J742^2)+'CAFCO 400 '!$L$13*J742+'CAFCO 400 '!$L$14)*U742)+('CAFCO 400 '!$L$15*LN(J742)+'CAFCO 400 '!$L$16)),0)+IF(AND(L742="Cafco 400",M742="Software Idiem",C742="IN",G742=3),((('CAFCO 400 '!$D$23*(J742^2)+'CAFCO 400 '!$D$24*(J742)+'CAFCO 400 '!$D$25)*U742^2)+(('CAFCO 400 '!$D$26*(J742^2)+'CAFCO 400 '!$D$27*J742+'CAFCO 400 '!$D$28)*U742)+('CAFCO 400 '!$D$29*(J742^2)+'CAFCO 400 '!$D$30*J742+'CAFCO 400 '!$D$31)),0),0)+IF(AND(L742="Cafco 300",J742&gt;=95,J742&lt;=240,C742="Cj",I742=90),VLOOKUP(T742,'CAFCO 300 IDIEM TABLAS'!$B$4:$D$23,2,FALSE),0)+IF(AND(L742="Cafco 300",J742&gt;=95,J742&lt;=240,C742="Cj",I742=120),VLOOKUP(T742,'CAFCO 300 IDIEM TABLAS'!$B$4:$D$23,3,FALSE),0)+IF(AND(L742="Cafco 300",J742&gt;=95,J742&lt;=400,G742=3,C742="IN",I742=90),VLOOKUP(T742,'CAFCO 300 IDIEM TABLAS'!$F$4:$H$35,2,FALSE),0)+IF(AND(L742="Cafco 300",J742&gt;=95,J742&lt;=400,G742=3,C742="IN",I742=120),VLOOKUP(T742,'CAFCO 300 IDIEM TABLAS'!$F$4:$H$35,3,FALSE),0)+IF(AND(L742="Cafco 300",J742&gt;=95,J742&lt;=450,G742=4,C742="IN",I742=90),VLOOKUP(T742,'CAFCO 300 IDIEM TABLAS'!$J$4:$L$40,2,FALSE),0)+IF(AND(L742="Cafco 300",J742&gt;=95,J742&lt;=450,G742=4,C742="IN",I742=120),VLOOKUP(T742,'CAFCO 300 IDIEM TABLAS'!$J$4:$L$40,3,FALSE),0)+IF(AND(M742="Ensayo Idiem",L742="Cafco 400",C742="IN",G742=4,I742=90),VLOOKUP(T742,'CAFCO 400 ENSAYO'!$B$7:$D$43,2,FALSE),0)+IF(AND(M742="Ensayo Idiem",L742="Cafco 400",C742="IN",G742=4,I742=120),VLOOKUP(T742,'CAFCO 400 ENSAYO'!$B$7:$D$43,3,FALSE),0)</f>
        <v>0</v>
      </c>
      <c r="O742" s="96">
        <f t="shared" si="78"/>
        <v>0</v>
      </c>
      <c r="P742" s="95" t="str">
        <f t="shared" si="73"/>
        <v>N/A</v>
      </c>
      <c r="Q742" s="95" t="str">
        <f t="shared" si="74"/>
        <v>N/A</v>
      </c>
      <c r="R742" s="95" t="str">
        <f t="shared" si="75"/>
        <v>NO CERT.</v>
      </c>
      <c r="S742" s="95" t="e">
        <f t="shared" si="76"/>
        <v>#N/A</v>
      </c>
      <c r="T742" s="119" t="e">
        <f>+IF(J742=LOOKUP(J742,'CAFCO 300 IDIEM TABLAS'!$J$4:$J$40),'CALCULO MORTERO'!J742,MROUND('CALCULO MORTERO'!J742,10))</f>
        <v>#N/A</v>
      </c>
      <c r="U742" s="118">
        <f t="shared" si="77"/>
        <v>0</v>
      </c>
    </row>
    <row r="743" spans="1:21" x14ac:dyDescent="0.25">
      <c r="A743" s="118">
        <f>+CUBICACION!D737</f>
        <v>0</v>
      </c>
      <c r="B743" s="819">
        <f>+CUBICACION!E737</f>
        <v>0</v>
      </c>
      <c r="C743" s="675">
        <f>+CUBICACION!F737</f>
        <v>0</v>
      </c>
      <c r="D743" s="118"/>
      <c r="E743" s="118"/>
      <c r="F743" s="820"/>
      <c r="G743" s="675">
        <f>+CUBICACION!J737</f>
        <v>0</v>
      </c>
      <c r="H743" s="118"/>
      <c r="I743" s="821">
        <f>+CUBICACION!L737</f>
        <v>0</v>
      </c>
      <c r="J743" s="64">
        <f>+CUBICACION!M737</f>
        <v>0</v>
      </c>
      <c r="K743" s="822" t="str">
        <f>+CUBICACION!N737</f>
        <v/>
      </c>
      <c r="L743" s="118">
        <f>+CUBICACION!O737</f>
        <v>0</v>
      </c>
      <c r="M743" s="823">
        <f>+CUBICACION!P737</f>
        <v>0</v>
      </c>
      <c r="N743" s="902">
        <f>ROUND(IF(AND(L743="Blaze Shield II",M743="Software Idiem",C743="IN",G743=4),((('BLAZE SHIELD II'!$D$4*('CALCULO MORTERO'!I743^2)+'BLAZE SHIELD II'!$D$5*'CALCULO MORTERO'!I743+'BLAZE SHIELD II'!$D$6)*LN(J743))+('BLAZE SHIELD II'!$D$7*('CALCULO MORTERO'!I743^2)+'BLAZE SHIELD II'!$D$8*'CALCULO MORTERO'!I743+'BLAZE SHIELD II'!$D$9)),0)+IF(AND(L743="Blaze Shield II",M743="Software Idiem",C743="Cj"),((('BLAZE SHIELD II'!$H$4*('CALCULO MORTERO'!I743^2)+'BLAZE SHIELD II'!$H$5*'CALCULO MORTERO'!I743+'BLAZE SHIELD II'!$H$6)*LN(J743))+('BLAZE SHIELD II'!$H$7*('CALCULO MORTERO'!I743^2)+'BLAZE SHIELD II'!$H$8*'CALCULO MORTERO'!I743+'BLAZE SHIELD II'!$H$9)),0)+IF(AND(L743="Blaze Shield II",M743="Software Idiem",C743="C"),((('BLAZE SHIELD II'!$L$4*('CALCULO MORTERO'!I743^2)+'BLAZE SHIELD II'!$L$5*'CALCULO MORTERO'!I743+'BLAZE SHIELD II'!$L$6)*LN(J743))+('BLAZE SHIELD II'!$L$7*('CALCULO MORTERO'!I743^2)+'BLAZE SHIELD II'!$L$8*'CALCULO MORTERO'!I743+'BLAZE SHIELD II'!$L$9)),0)+IF(AND(L743="Blaze Shield II",M743="Software Idiem",C743="L"),((('BLAZE SHIELD II'!$L$4*('CALCULO MORTERO'!I743^2)+'BLAZE SHIELD II'!$L$5*'CALCULO MORTERO'!I743+'BLAZE SHIELD II'!$L$6)*LN(J743))+('BLAZE SHIELD II'!$L$7*('CALCULO MORTERO'!I743^2)+'BLAZE SHIELD II'!$L$8*'CALCULO MORTERO'!I743+'BLAZE SHIELD II'!$L$9)),0)+IF(AND(L743="Blaze Shield II",M743="Software Idiem",C743="IN",G743=3),((('BLAZE SHIELD II'!$H$14*('CALCULO MORTERO'!I743^2)+'BLAZE SHIELD II'!$H$15*'CALCULO MORTERO'!I743+'BLAZE SHIELD II'!$H$16)*LN(J743))+('BLAZE SHIELD II'!$H$17*('CALCULO MORTERO'!I743^2)+'BLAZE SHIELD II'!$H$18*'CALCULO MORTERO'!I743+'BLAZE SHIELD II'!$H$19)),0),0)+ROUND(IF(AND(L743="Cafco 400",M743="Software Idiem",C743="IN",G743=4),((('CAFCO 400 '!$H$7*(J743^4)+'CAFCO 400 '!$H$8*(J743^3)+'CAFCO 400 '!$H$9*(J743^2)+'CAFCO 400 '!$H$10*J743+'CAFCO 400 '!$H$11)*U743^2)+(('CAFCO 400 '!$H$12*(J743^3)+'CAFCO 400 '!$H$13*(J743^2)+'CAFCO 400 '!$H$14*J743+'CAFCO 400 '!$H$15)*U743)+('CAFCO 400 '!$H$16*(J743^2)+'CAFCO 400 '!$H$17*J743+'CAFCO 400 '!$H$18)),0)+IF(AND(L743="Cafco 400",M743="Software Idiem",C743="Cj"),(((('CAFCO 400 '!$D$7*LN(J743)+'CAFCO 400 '!$D$8)*U743^2)+(('CAFCO 400 '!$D$9*LN(J743)+'CAFCO 400 '!$D$10)*U743)+('CAFCO 400 '!$D$11*LN(J743)+'CAFCO 400 '!$D$12))),0)+IF(AND(L743="Cafco 400",M743="Software Idiem",C743="C"),((('CAFCO 400 '!$L$7*(J743^3)+'CAFCO 400 '!$L$8*(J743^2)+'CAFCO 400 '!$L$9*J743+'CAFCO 400 '!$L$10)*U743^2)+(('CAFCO 400 '!$L$11*(J743^3)+'CAFCO 400 '!$L$12*(J743^2)+'CAFCO 400 '!$L$13*J743+'CAFCO 400 '!$L$14)*U743)+('CAFCO 400 '!$L$15*LN(J743)+'CAFCO 400 '!$L$16)),0)+IF(AND(L743="Cafco 400",M743="Software Idiem",C743="L"),((('CAFCO 400 '!$L$7*(J743^3)+'CAFCO 400 '!$L$8*(J743^2)+'CAFCO 400 '!$L$9*J743+'CAFCO 400 '!$L$10)*U743^2)+(('CAFCO 400 '!$L$11*(J743^3)+'CAFCO 400 '!$L$12*(J743^2)+'CAFCO 400 '!$L$13*J743+'CAFCO 400 '!$L$14)*U743)+('CAFCO 400 '!$L$15*LN(J743)+'CAFCO 400 '!$L$16)),0)+IF(AND(L743="Cafco 400",M743="Software Idiem",C743="IN",G743=3),((('CAFCO 400 '!$D$23*(J743^2)+'CAFCO 400 '!$D$24*(J743)+'CAFCO 400 '!$D$25)*U743^2)+(('CAFCO 400 '!$D$26*(J743^2)+'CAFCO 400 '!$D$27*J743+'CAFCO 400 '!$D$28)*U743)+('CAFCO 400 '!$D$29*(J743^2)+'CAFCO 400 '!$D$30*J743+'CAFCO 400 '!$D$31)),0),0)+IF(AND(L743="Cafco 300",J743&gt;=95,J743&lt;=240,C743="Cj",I743=90),VLOOKUP(T743,'CAFCO 300 IDIEM TABLAS'!$B$4:$D$23,2,FALSE),0)+IF(AND(L743="Cafco 300",J743&gt;=95,J743&lt;=240,C743="Cj",I743=120),VLOOKUP(T743,'CAFCO 300 IDIEM TABLAS'!$B$4:$D$23,3,FALSE),0)+IF(AND(L743="Cafco 300",J743&gt;=95,J743&lt;=400,G743=3,C743="IN",I743=90),VLOOKUP(T743,'CAFCO 300 IDIEM TABLAS'!$F$4:$H$35,2,FALSE),0)+IF(AND(L743="Cafco 300",J743&gt;=95,J743&lt;=400,G743=3,C743="IN",I743=120),VLOOKUP(T743,'CAFCO 300 IDIEM TABLAS'!$F$4:$H$35,3,FALSE),0)+IF(AND(L743="Cafco 300",J743&gt;=95,J743&lt;=450,G743=4,C743="IN",I743=90),VLOOKUP(T743,'CAFCO 300 IDIEM TABLAS'!$J$4:$L$40,2,FALSE),0)+IF(AND(L743="Cafco 300",J743&gt;=95,J743&lt;=450,G743=4,C743="IN",I743=120),VLOOKUP(T743,'CAFCO 300 IDIEM TABLAS'!$J$4:$L$40,3,FALSE),0)+IF(AND(M743="Ensayo Idiem",L743="Cafco 400",C743="IN",G743=4,I743=90),VLOOKUP(T743,'CAFCO 400 ENSAYO'!$B$7:$D$43,2,FALSE),0)+IF(AND(M743="Ensayo Idiem",L743="Cafco 400",C743="IN",G743=4,I743=120),VLOOKUP(T743,'CAFCO 400 ENSAYO'!$B$7:$D$43,3,FALSE),0)</f>
        <v>0</v>
      </c>
      <c r="O743" s="96">
        <f t="shared" si="78"/>
        <v>0</v>
      </c>
      <c r="P743" s="132" t="str">
        <f t="shared" si="73"/>
        <v>N/A</v>
      </c>
      <c r="Q743" s="132" t="str">
        <f t="shared" si="74"/>
        <v>N/A</v>
      </c>
      <c r="R743" s="132" t="str">
        <f t="shared" si="75"/>
        <v>NO CERT.</v>
      </c>
      <c r="S743" s="132" t="e">
        <f t="shared" si="76"/>
        <v>#N/A</v>
      </c>
      <c r="T743" s="133" t="e">
        <f>+IF(J743=LOOKUP(J743,'CAFCO 300 IDIEM TABLAS'!$J$4:$J$40),'CALCULO MORTERO'!J743,MROUND('CALCULO MORTERO'!J743,10))</f>
        <v>#N/A</v>
      </c>
      <c r="U743" s="134">
        <f t="shared" si="77"/>
        <v>0</v>
      </c>
    </row>
    <row r="744" spans="1:21" x14ac:dyDescent="0.25">
      <c r="A744" s="118">
        <f>+CUBICACION!D738</f>
        <v>0</v>
      </c>
      <c r="B744" s="819">
        <f>+CUBICACION!E738</f>
        <v>0</v>
      </c>
      <c r="C744" s="675">
        <f>+CUBICACION!F738</f>
        <v>0</v>
      </c>
      <c r="D744" s="118"/>
      <c r="E744" s="118"/>
      <c r="F744" s="820"/>
      <c r="G744" s="675">
        <f>+CUBICACION!J738</f>
        <v>0</v>
      </c>
      <c r="H744" s="118"/>
      <c r="I744" s="821">
        <f>+CUBICACION!L738</f>
        <v>0</v>
      </c>
      <c r="J744" s="64">
        <f>+CUBICACION!M738</f>
        <v>0</v>
      </c>
      <c r="K744" s="822" t="str">
        <f>+CUBICACION!N738</f>
        <v/>
      </c>
      <c r="L744" s="118">
        <f>+CUBICACION!O738</f>
        <v>0</v>
      </c>
      <c r="M744" s="823">
        <f>+CUBICACION!P738</f>
        <v>0</v>
      </c>
      <c r="N744" s="902">
        <f>ROUND(IF(AND(L744="Blaze Shield II",M744="Software Idiem",C744="IN",G744=4),((('BLAZE SHIELD II'!$D$4*('CALCULO MORTERO'!I744^2)+'BLAZE SHIELD II'!$D$5*'CALCULO MORTERO'!I744+'BLAZE SHIELD II'!$D$6)*LN(J744))+('BLAZE SHIELD II'!$D$7*('CALCULO MORTERO'!I744^2)+'BLAZE SHIELD II'!$D$8*'CALCULO MORTERO'!I744+'BLAZE SHIELD II'!$D$9)),0)+IF(AND(L744="Blaze Shield II",M744="Software Idiem",C744="Cj"),((('BLAZE SHIELD II'!$H$4*('CALCULO MORTERO'!I744^2)+'BLAZE SHIELD II'!$H$5*'CALCULO MORTERO'!I744+'BLAZE SHIELD II'!$H$6)*LN(J744))+('BLAZE SHIELD II'!$H$7*('CALCULO MORTERO'!I744^2)+'BLAZE SHIELD II'!$H$8*'CALCULO MORTERO'!I744+'BLAZE SHIELD II'!$H$9)),0)+IF(AND(L744="Blaze Shield II",M744="Software Idiem",C744="C"),((('BLAZE SHIELD II'!$L$4*('CALCULO MORTERO'!I744^2)+'BLAZE SHIELD II'!$L$5*'CALCULO MORTERO'!I744+'BLAZE SHIELD II'!$L$6)*LN(J744))+('BLAZE SHIELD II'!$L$7*('CALCULO MORTERO'!I744^2)+'BLAZE SHIELD II'!$L$8*'CALCULO MORTERO'!I744+'BLAZE SHIELD II'!$L$9)),0)+IF(AND(L744="Blaze Shield II",M744="Software Idiem",C744="L"),((('BLAZE SHIELD II'!$L$4*('CALCULO MORTERO'!I744^2)+'BLAZE SHIELD II'!$L$5*'CALCULO MORTERO'!I744+'BLAZE SHIELD II'!$L$6)*LN(J744))+('BLAZE SHIELD II'!$L$7*('CALCULO MORTERO'!I744^2)+'BLAZE SHIELD II'!$L$8*'CALCULO MORTERO'!I744+'BLAZE SHIELD II'!$L$9)),0)+IF(AND(L744="Blaze Shield II",M744="Software Idiem",C744="IN",G744=3),((('BLAZE SHIELD II'!$H$14*('CALCULO MORTERO'!I744^2)+'BLAZE SHIELD II'!$H$15*'CALCULO MORTERO'!I744+'BLAZE SHIELD II'!$H$16)*LN(J744))+('BLAZE SHIELD II'!$H$17*('CALCULO MORTERO'!I744^2)+'BLAZE SHIELD II'!$H$18*'CALCULO MORTERO'!I744+'BLAZE SHIELD II'!$H$19)),0),0)+ROUND(IF(AND(L744="Cafco 400",M744="Software Idiem",C744="IN",G744=4),((('CAFCO 400 '!$H$7*(J744^4)+'CAFCO 400 '!$H$8*(J744^3)+'CAFCO 400 '!$H$9*(J744^2)+'CAFCO 400 '!$H$10*J744+'CAFCO 400 '!$H$11)*U744^2)+(('CAFCO 400 '!$H$12*(J744^3)+'CAFCO 400 '!$H$13*(J744^2)+'CAFCO 400 '!$H$14*J744+'CAFCO 400 '!$H$15)*U744)+('CAFCO 400 '!$H$16*(J744^2)+'CAFCO 400 '!$H$17*J744+'CAFCO 400 '!$H$18)),0)+IF(AND(L744="Cafco 400",M744="Software Idiem",C744="Cj"),(((('CAFCO 400 '!$D$7*LN(J744)+'CAFCO 400 '!$D$8)*U744^2)+(('CAFCO 400 '!$D$9*LN(J744)+'CAFCO 400 '!$D$10)*U744)+('CAFCO 400 '!$D$11*LN(J744)+'CAFCO 400 '!$D$12))),0)+IF(AND(L744="Cafco 400",M744="Software Idiem",C744="C"),((('CAFCO 400 '!$L$7*(J744^3)+'CAFCO 400 '!$L$8*(J744^2)+'CAFCO 400 '!$L$9*J744+'CAFCO 400 '!$L$10)*U744^2)+(('CAFCO 400 '!$L$11*(J744^3)+'CAFCO 400 '!$L$12*(J744^2)+'CAFCO 400 '!$L$13*J744+'CAFCO 400 '!$L$14)*U744)+('CAFCO 400 '!$L$15*LN(J744)+'CAFCO 400 '!$L$16)),0)+IF(AND(L744="Cafco 400",M744="Software Idiem",C744="L"),((('CAFCO 400 '!$L$7*(J744^3)+'CAFCO 400 '!$L$8*(J744^2)+'CAFCO 400 '!$L$9*J744+'CAFCO 400 '!$L$10)*U744^2)+(('CAFCO 400 '!$L$11*(J744^3)+'CAFCO 400 '!$L$12*(J744^2)+'CAFCO 400 '!$L$13*J744+'CAFCO 400 '!$L$14)*U744)+('CAFCO 400 '!$L$15*LN(J744)+'CAFCO 400 '!$L$16)),0)+IF(AND(L744="Cafco 400",M744="Software Idiem",C744="IN",G744=3),((('CAFCO 400 '!$D$23*(J744^2)+'CAFCO 400 '!$D$24*(J744)+'CAFCO 400 '!$D$25)*U744^2)+(('CAFCO 400 '!$D$26*(J744^2)+'CAFCO 400 '!$D$27*J744+'CAFCO 400 '!$D$28)*U744)+('CAFCO 400 '!$D$29*(J744^2)+'CAFCO 400 '!$D$30*J744+'CAFCO 400 '!$D$31)),0),0)+IF(AND(L744="Cafco 300",J744&gt;=95,J744&lt;=240,C744="Cj",I744=90),VLOOKUP(T744,'CAFCO 300 IDIEM TABLAS'!$B$4:$D$23,2,FALSE),0)+IF(AND(L744="Cafco 300",J744&gt;=95,J744&lt;=240,C744="Cj",I744=120),VLOOKUP(T744,'CAFCO 300 IDIEM TABLAS'!$B$4:$D$23,3,FALSE),0)+IF(AND(L744="Cafco 300",J744&gt;=95,J744&lt;=400,G744=3,C744="IN",I744=90),VLOOKUP(T744,'CAFCO 300 IDIEM TABLAS'!$F$4:$H$35,2,FALSE),0)+IF(AND(L744="Cafco 300",J744&gt;=95,J744&lt;=400,G744=3,C744="IN",I744=120),VLOOKUP(T744,'CAFCO 300 IDIEM TABLAS'!$F$4:$H$35,3,FALSE),0)+IF(AND(L744="Cafco 300",J744&gt;=95,J744&lt;=450,G744=4,C744="IN",I744=90),VLOOKUP(T744,'CAFCO 300 IDIEM TABLAS'!$J$4:$L$40,2,FALSE),0)+IF(AND(L744="Cafco 300",J744&gt;=95,J744&lt;=450,G744=4,C744="IN",I744=120),VLOOKUP(T744,'CAFCO 300 IDIEM TABLAS'!$J$4:$L$40,3,FALSE),0)+IF(AND(M744="Ensayo Idiem",L744="Cafco 400",C744="IN",G744=4,I744=90),VLOOKUP(T744,'CAFCO 400 ENSAYO'!$B$7:$D$43,2,FALSE),0)+IF(AND(M744="Ensayo Idiem",L744="Cafco 400",C744="IN",G744=4,I744=120),VLOOKUP(T744,'CAFCO 400 ENSAYO'!$B$7:$D$43,3,FALSE),0)</f>
        <v>0</v>
      </c>
      <c r="O744" s="96">
        <f t="shared" si="78"/>
        <v>0</v>
      </c>
      <c r="P744" s="95" t="str">
        <f t="shared" si="73"/>
        <v>N/A</v>
      </c>
      <c r="Q744" s="95" t="str">
        <f t="shared" si="74"/>
        <v>N/A</v>
      </c>
      <c r="R744" s="95" t="str">
        <f t="shared" si="75"/>
        <v>NO CERT.</v>
      </c>
      <c r="S744" s="95" t="e">
        <f t="shared" si="76"/>
        <v>#N/A</v>
      </c>
      <c r="T744" s="119" t="e">
        <f>+IF(J744=LOOKUP(J744,'CAFCO 300 IDIEM TABLAS'!$J$4:$J$40),'CALCULO MORTERO'!J744,MROUND('CALCULO MORTERO'!J744,10))</f>
        <v>#N/A</v>
      </c>
      <c r="U744" s="118">
        <f t="shared" si="77"/>
        <v>0</v>
      </c>
    </row>
    <row r="745" spans="1:21" x14ac:dyDescent="0.25">
      <c r="A745" s="118">
        <f>+CUBICACION!D739</f>
        <v>0</v>
      </c>
      <c r="B745" s="819">
        <f>+CUBICACION!E739</f>
        <v>0</v>
      </c>
      <c r="C745" s="675">
        <f>+CUBICACION!F739</f>
        <v>0</v>
      </c>
      <c r="D745" s="118"/>
      <c r="E745" s="118"/>
      <c r="F745" s="820"/>
      <c r="G745" s="675">
        <f>+CUBICACION!J739</f>
        <v>0</v>
      </c>
      <c r="H745" s="118"/>
      <c r="I745" s="821">
        <f>+CUBICACION!L739</f>
        <v>0</v>
      </c>
      <c r="J745" s="64">
        <f>+CUBICACION!M739</f>
        <v>0</v>
      </c>
      <c r="K745" s="822" t="str">
        <f>+CUBICACION!N739</f>
        <v/>
      </c>
      <c r="L745" s="118">
        <f>+CUBICACION!O739</f>
        <v>0</v>
      </c>
      <c r="M745" s="823">
        <f>+CUBICACION!P739</f>
        <v>0</v>
      </c>
      <c r="N745" s="902">
        <f>ROUND(IF(AND(L745="Blaze Shield II",M745="Software Idiem",C745="IN",G745=4),((('BLAZE SHIELD II'!$D$4*('CALCULO MORTERO'!I745^2)+'BLAZE SHIELD II'!$D$5*'CALCULO MORTERO'!I745+'BLAZE SHIELD II'!$D$6)*LN(J745))+('BLAZE SHIELD II'!$D$7*('CALCULO MORTERO'!I745^2)+'BLAZE SHIELD II'!$D$8*'CALCULO MORTERO'!I745+'BLAZE SHIELD II'!$D$9)),0)+IF(AND(L745="Blaze Shield II",M745="Software Idiem",C745="Cj"),((('BLAZE SHIELD II'!$H$4*('CALCULO MORTERO'!I745^2)+'BLAZE SHIELD II'!$H$5*'CALCULO MORTERO'!I745+'BLAZE SHIELD II'!$H$6)*LN(J745))+('BLAZE SHIELD II'!$H$7*('CALCULO MORTERO'!I745^2)+'BLAZE SHIELD II'!$H$8*'CALCULO MORTERO'!I745+'BLAZE SHIELD II'!$H$9)),0)+IF(AND(L745="Blaze Shield II",M745="Software Idiem",C745="C"),((('BLAZE SHIELD II'!$L$4*('CALCULO MORTERO'!I745^2)+'BLAZE SHIELD II'!$L$5*'CALCULO MORTERO'!I745+'BLAZE SHIELD II'!$L$6)*LN(J745))+('BLAZE SHIELD II'!$L$7*('CALCULO MORTERO'!I745^2)+'BLAZE SHIELD II'!$L$8*'CALCULO MORTERO'!I745+'BLAZE SHIELD II'!$L$9)),0)+IF(AND(L745="Blaze Shield II",M745="Software Idiem",C745="L"),((('BLAZE SHIELD II'!$L$4*('CALCULO MORTERO'!I745^2)+'BLAZE SHIELD II'!$L$5*'CALCULO MORTERO'!I745+'BLAZE SHIELD II'!$L$6)*LN(J745))+('BLAZE SHIELD II'!$L$7*('CALCULO MORTERO'!I745^2)+'BLAZE SHIELD II'!$L$8*'CALCULO MORTERO'!I745+'BLAZE SHIELD II'!$L$9)),0)+IF(AND(L745="Blaze Shield II",M745="Software Idiem",C745="IN",G745=3),((('BLAZE SHIELD II'!$H$14*('CALCULO MORTERO'!I745^2)+'BLAZE SHIELD II'!$H$15*'CALCULO MORTERO'!I745+'BLAZE SHIELD II'!$H$16)*LN(J745))+('BLAZE SHIELD II'!$H$17*('CALCULO MORTERO'!I745^2)+'BLAZE SHIELD II'!$H$18*'CALCULO MORTERO'!I745+'BLAZE SHIELD II'!$H$19)),0),0)+ROUND(IF(AND(L745="Cafco 400",M745="Software Idiem",C745="IN",G745=4),((('CAFCO 400 '!$H$7*(J745^4)+'CAFCO 400 '!$H$8*(J745^3)+'CAFCO 400 '!$H$9*(J745^2)+'CAFCO 400 '!$H$10*J745+'CAFCO 400 '!$H$11)*U745^2)+(('CAFCO 400 '!$H$12*(J745^3)+'CAFCO 400 '!$H$13*(J745^2)+'CAFCO 400 '!$H$14*J745+'CAFCO 400 '!$H$15)*U745)+('CAFCO 400 '!$H$16*(J745^2)+'CAFCO 400 '!$H$17*J745+'CAFCO 400 '!$H$18)),0)+IF(AND(L745="Cafco 400",M745="Software Idiem",C745="Cj"),(((('CAFCO 400 '!$D$7*LN(J745)+'CAFCO 400 '!$D$8)*U745^2)+(('CAFCO 400 '!$D$9*LN(J745)+'CAFCO 400 '!$D$10)*U745)+('CAFCO 400 '!$D$11*LN(J745)+'CAFCO 400 '!$D$12))),0)+IF(AND(L745="Cafco 400",M745="Software Idiem",C745="C"),((('CAFCO 400 '!$L$7*(J745^3)+'CAFCO 400 '!$L$8*(J745^2)+'CAFCO 400 '!$L$9*J745+'CAFCO 400 '!$L$10)*U745^2)+(('CAFCO 400 '!$L$11*(J745^3)+'CAFCO 400 '!$L$12*(J745^2)+'CAFCO 400 '!$L$13*J745+'CAFCO 400 '!$L$14)*U745)+('CAFCO 400 '!$L$15*LN(J745)+'CAFCO 400 '!$L$16)),0)+IF(AND(L745="Cafco 400",M745="Software Idiem",C745="L"),((('CAFCO 400 '!$L$7*(J745^3)+'CAFCO 400 '!$L$8*(J745^2)+'CAFCO 400 '!$L$9*J745+'CAFCO 400 '!$L$10)*U745^2)+(('CAFCO 400 '!$L$11*(J745^3)+'CAFCO 400 '!$L$12*(J745^2)+'CAFCO 400 '!$L$13*J745+'CAFCO 400 '!$L$14)*U745)+('CAFCO 400 '!$L$15*LN(J745)+'CAFCO 400 '!$L$16)),0)+IF(AND(L745="Cafco 400",M745="Software Idiem",C745="IN",G745=3),((('CAFCO 400 '!$D$23*(J745^2)+'CAFCO 400 '!$D$24*(J745)+'CAFCO 400 '!$D$25)*U745^2)+(('CAFCO 400 '!$D$26*(J745^2)+'CAFCO 400 '!$D$27*J745+'CAFCO 400 '!$D$28)*U745)+('CAFCO 400 '!$D$29*(J745^2)+'CAFCO 400 '!$D$30*J745+'CAFCO 400 '!$D$31)),0),0)+IF(AND(L745="Cafco 300",J745&gt;=95,J745&lt;=240,C745="Cj",I745=90),VLOOKUP(T745,'CAFCO 300 IDIEM TABLAS'!$B$4:$D$23,2,FALSE),0)+IF(AND(L745="Cafco 300",J745&gt;=95,J745&lt;=240,C745="Cj",I745=120),VLOOKUP(T745,'CAFCO 300 IDIEM TABLAS'!$B$4:$D$23,3,FALSE),0)+IF(AND(L745="Cafco 300",J745&gt;=95,J745&lt;=400,G745=3,C745="IN",I745=90),VLOOKUP(T745,'CAFCO 300 IDIEM TABLAS'!$F$4:$H$35,2,FALSE),0)+IF(AND(L745="Cafco 300",J745&gt;=95,J745&lt;=400,G745=3,C745="IN",I745=120),VLOOKUP(T745,'CAFCO 300 IDIEM TABLAS'!$F$4:$H$35,3,FALSE),0)+IF(AND(L745="Cafco 300",J745&gt;=95,J745&lt;=450,G745=4,C745="IN",I745=90),VLOOKUP(T745,'CAFCO 300 IDIEM TABLAS'!$J$4:$L$40,2,FALSE),0)+IF(AND(L745="Cafco 300",J745&gt;=95,J745&lt;=450,G745=4,C745="IN",I745=120),VLOOKUP(T745,'CAFCO 300 IDIEM TABLAS'!$J$4:$L$40,3,FALSE),0)+IF(AND(M745="Ensayo Idiem",L745="Cafco 400",C745="IN",G745=4,I745=90),VLOOKUP(T745,'CAFCO 400 ENSAYO'!$B$7:$D$43,2,FALSE),0)+IF(AND(M745="Ensayo Idiem",L745="Cafco 400",C745="IN",G745=4,I745=120),VLOOKUP(T745,'CAFCO 400 ENSAYO'!$B$7:$D$43,3,FALSE),0)</f>
        <v>0</v>
      </c>
      <c r="O745" s="96">
        <f t="shared" si="78"/>
        <v>0</v>
      </c>
      <c r="P745" s="132" t="str">
        <f t="shared" si="73"/>
        <v>N/A</v>
      </c>
      <c r="Q745" s="132" t="str">
        <f t="shared" si="74"/>
        <v>N/A</v>
      </c>
      <c r="R745" s="132" t="str">
        <f t="shared" si="75"/>
        <v>NO CERT.</v>
      </c>
      <c r="S745" s="132" t="e">
        <f t="shared" si="76"/>
        <v>#N/A</v>
      </c>
      <c r="T745" s="133" t="e">
        <f>+IF(J745=LOOKUP(J745,'CAFCO 300 IDIEM TABLAS'!$J$4:$J$40),'CALCULO MORTERO'!J745,MROUND('CALCULO MORTERO'!J745,10))</f>
        <v>#N/A</v>
      </c>
      <c r="U745" s="134">
        <f t="shared" si="77"/>
        <v>0</v>
      </c>
    </row>
    <row r="746" spans="1:21" x14ac:dyDescent="0.25">
      <c r="A746" s="118">
        <f>+CUBICACION!D740</f>
        <v>0</v>
      </c>
      <c r="B746" s="819">
        <f>+CUBICACION!E740</f>
        <v>0</v>
      </c>
      <c r="C746" s="675">
        <f>+CUBICACION!F740</f>
        <v>0</v>
      </c>
      <c r="D746" s="118"/>
      <c r="E746" s="118"/>
      <c r="F746" s="820"/>
      <c r="G746" s="675">
        <f>+CUBICACION!J740</f>
        <v>0</v>
      </c>
      <c r="H746" s="118"/>
      <c r="I746" s="821">
        <f>+CUBICACION!L740</f>
        <v>0</v>
      </c>
      <c r="J746" s="64">
        <f>+CUBICACION!M740</f>
        <v>0</v>
      </c>
      <c r="K746" s="822" t="str">
        <f>+CUBICACION!N740</f>
        <v/>
      </c>
      <c r="L746" s="118">
        <f>+CUBICACION!O740</f>
        <v>0</v>
      </c>
      <c r="M746" s="823">
        <f>+CUBICACION!P740</f>
        <v>0</v>
      </c>
      <c r="N746" s="902">
        <f>ROUND(IF(AND(L746="Blaze Shield II",M746="Software Idiem",C746="IN",G746=4),((('BLAZE SHIELD II'!$D$4*('CALCULO MORTERO'!I746^2)+'BLAZE SHIELD II'!$D$5*'CALCULO MORTERO'!I746+'BLAZE SHIELD II'!$D$6)*LN(J746))+('BLAZE SHIELD II'!$D$7*('CALCULO MORTERO'!I746^2)+'BLAZE SHIELD II'!$D$8*'CALCULO MORTERO'!I746+'BLAZE SHIELD II'!$D$9)),0)+IF(AND(L746="Blaze Shield II",M746="Software Idiem",C746="Cj"),((('BLAZE SHIELD II'!$H$4*('CALCULO MORTERO'!I746^2)+'BLAZE SHIELD II'!$H$5*'CALCULO MORTERO'!I746+'BLAZE SHIELD II'!$H$6)*LN(J746))+('BLAZE SHIELD II'!$H$7*('CALCULO MORTERO'!I746^2)+'BLAZE SHIELD II'!$H$8*'CALCULO MORTERO'!I746+'BLAZE SHIELD II'!$H$9)),0)+IF(AND(L746="Blaze Shield II",M746="Software Idiem",C746="C"),((('BLAZE SHIELD II'!$L$4*('CALCULO MORTERO'!I746^2)+'BLAZE SHIELD II'!$L$5*'CALCULO MORTERO'!I746+'BLAZE SHIELD II'!$L$6)*LN(J746))+('BLAZE SHIELD II'!$L$7*('CALCULO MORTERO'!I746^2)+'BLAZE SHIELD II'!$L$8*'CALCULO MORTERO'!I746+'BLAZE SHIELD II'!$L$9)),0)+IF(AND(L746="Blaze Shield II",M746="Software Idiem",C746="L"),((('BLAZE SHIELD II'!$L$4*('CALCULO MORTERO'!I746^2)+'BLAZE SHIELD II'!$L$5*'CALCULO MORTERO'!I746+'BLAZE SHIELD II'!$L$6)*LN(J746))+('BLAZE SHIELD II'!$L$7*('CALCULO MORTERO'!I746^2)+'BLAZE SHIELD II'!$L$8*'CALCULO MORTERO'!I746+'BLAZE SHIELD II'!$L$9)),0)+IF(AND(L746="Blaze Shield II",M746="Software Idiem",C746="IN",G746=3),((('BLAZE SHIELD II'!$H$14*('CALCULO MORTERO'!I746^2)+'BLAZE SHIELD II'!$H$15*'CALCULO MORTERO'!I746+'BLAZE SHIELD II'!$H$16)*LN(J746))+('BLAZE SHIELD II'!$H$17*('CALCULO MORTERO'!I746^2)+'BLAZE SHIELD II'!$H$18*'CALCULO MORTERO'!I746+'BLAZE SHIELD II'!$H$19)),0),0)+ROUND(IF(AND(L746="Cafco 400",M746="Software Idiem",C746="IN",G746=4),((('CAFCO 400 '!$H$7*(J746^4)+'CAFCO 400 '!$H$8*(J746^3)+'CAFCO 400 '!$H$9*(J746^2)+'CAFCO 400 '!$H$10*J746+'CAFCO 400 '!$H$11)*U746^2)+(('CAFCO 400 '!$H$12*(J746^3)+'CAFCO 400 '!$H$13*(J746^2)+'CAFCO 400 '!$H$14*J746+'CAFCO 400 '!$H$15)*U746)+('CAFCO 400 '!$H$16*(J746^2)+'CAFCO 400 '!$H$17*J746+'CAFCO 400 '!$H$18)),0)+IF(AND(L746="Cafco 400",M746="Software Idiem",C746="Cj"),(((('CAFCO 400 '!$D$7*LN(J746)+'CAFCO 400 '!$D$8)*U746^2)+(('CAFCO 400 '!$D$9*LN(J746)+'CAFCO 400 '!$D$10)*U746)+('CAFCO 400 '!$D$11*LN(J746)+'CAFCO 400 '!$D$12))),0)+IF(AND(L746="Cafco 400",M746="Software Idiem",C746="C"),((('CAFCO 400 '!$L$7*(J746^3)+'CAFCO 400 '!$L$8*(J746^2)+'CAFCO 400 '!$L$9*J746+'CAFCO 400 '!$L$10)*U746^2)+(('CAFCO 400 '!$L$11*(J746^3)+'CAFCO 400 '!$L$12*(J746^2)+'CAFCO 400 '!$L$13*J746+'CAFCO 400 '!$L$14)*U746)+('CAFCO 400 '!$L$15*LN(J746)+'CAFCO 400 '!$L$16)),0)+IF(AND(L746="Cafco 400",M746="Software Idiem",C746="L"),((('CAFCO 400 '!$L$7*(J746^3)+'CAFCO 400 '!$L$8*(J746^2)+'CAFCO 400 '!$L$9*J746+'CAFCO 400 '!$L$10)*U746^2)+(('CAFCO 400 '!$L$11*(J746^3)+'CAFCO 400 '!$L$12*(J746^2)+'CAFCO 400 '!$L$13*J746+'CAFCO 400 '!$L$14)*U746)+('CAFCO 400 '!$L$15*LN(J746)+'CAFCO 400 '!$L$16)),0)+IF(AND(L746="Cafco 400",M746="Software Idiem",C746="IN",G746=3),((('CAFCO 400 '!$D$23*(J746^2)+'CAFCO 400 '!$D$24*(J746)+'CAFCO 400 '!$D$25)*U746^2)+(('CAFCO 400 '!$D$26*(J746^2)+'CAFCO 400 '!$D$27*J746+'CAFCO 400 '!$D$28)*U746)+('CAFCO 400 '!$D$29*(J746^2)+'CAFCO 400 '!$D$30*J746+'CAFCO 400 '!$D$31)),0),0)+IF(AND(L746="Cafco 300",J746&gt;=95,J746&lt;=240,C746="Cj",I746=90),VLOOKUP(T746,'CAFCO 300 IDIEM TABLAS'!$B$4:$D$23,2,FALSE),0)+IF(AND(L746="Cafco 300",J746&gt;=95,J746&lt;=240,C746="Cj",I746=120),VLOOKUP(T746,'CAFCO 300 IDIEM TABLAS'!$B$4:$D$23,3,FALSE),0)+IF(AND(L746="Cafco 300",J746&gt;=95,J746&lt;=400,G746=3,C746="IN",I746=90),VLOOKUP(T746,'CAFCO 300 IDIEM TABLAS'!$F$4:$H$35,2,FALSE),0)+IF(AND(L746="Cafco 300",J746&gt;=95,J746&lt;=400,G746=3,C746="IN",I746=120),VLOOKUP(T746,'CAFCO 300 IDIEM TABLAS'!$F$4:$H$35,3,FALSE),0)+IF(AND(L746="Cafco 300",J746&gt;=95,J746&lt;=450,G746=4,C746="IN",I746=90),VLOOKUP(T746,'CAFCO 300 IDIEM TABLAS'!$J$4:$L$40,2,FALSE),0)+IF(AND(L746="Cafco 300",J746&gt;=95,J746&lt;=450,G746=4,C746="IN",I746=120),VLOOKUP(T746,'CAFCO 300 IDIEM TABLAS'!$J$4:$L$40,3,FALSE),0)+IF(AND(M746="Ensayo Idiem",L746="Cafco 400",C746="IN",G746=4,I746=90),VLOOKUP(T746,'CAFCO 400 ENSAYO'!$B$7:$D$43,2,FALSE),0)+IF(AND(M746="Ensayo Idiem",L746="Cafco 400",C746="IN",G746=4,I746=120),VLOOKUP(T746,'CAFCO 400 ENSAYO'!$B$7:$D$43,3,FALSE),0)</f>
        <v>0</v>
      </c>
      <c r="O746" s="96">
        <f t="shared" si="78"/>
        <v>0</v>
      </c>
      <c r="P746" s="95" t="str">
        <f t="shared" si="73"/>
        <v>N/A</v>
      </c>
      <c r="Q746" s="95" t="str">
        <f t="shared" si="74"/>
        <v>N/A</v>
      </c>
      <c r="R746" s="95" t="str">
        <f t="shared" si="75"/>
        <v>NO CERT.</v>
      </c>
      <c r="S746" s="95" t="e">
        <f t="shared" si="76"/>
        <v>#N/A</v>
      </c>
      <c r="T746" s="119" t="e">
        <f>+IF(J746=LOOKUP(J746,'CAFCO 300 IDIEM TABLAS'!$J$4:$J$40),'CALCULO MORTERO'!J746,MROUND('CALCULO MORTERO'!J746,10))</f>
        <v>#N/A</v>
      </c>
      <c r="U746" s="118">
        <f t="shared" si="77"/>
        <v>0</v>
      </c>
    </row>
    <row r="747" spans="1:21" x14ac:dyDescent="0.25">
      <c r="A747" s="118">
        <f>+CUBICACION!D741</f>
        <v>0</v>
      </c>
      <c r="B747" s="819">
        <f>+CUBICACION!E741</f>
        <v>0</v>
      </c>
      <c r="C747" s="675">
        <f>+CUBICACION!F741</f>
        <v>0</v>
      </c>
      <c r="D747" s="118"/>
      <c r="E747" s="118"/>
      <c r="F747" s="820"/>
      <c r="G747" s="675">
        <f>+CUBICACION!J741</f>
        <v>0</v>
      </c>
      <c r="H747" s="118"/>
      <c r="I747" s="821">
        <f>+CUBICACION!L741</f>
        <v>0</v>
      </c>
      <c r="J747" s="64">
        <f>+CUBICACION!M741</f>
        <v>0</v>
      </c>
      <c r="K747" s="822" t="str">
        <f>+CUBICACION!N741</f>
        <v/>
      </c>
      <c r="L747" s="118">
        <f>+CUBICACION!O741</f>
        <v>0</v>
      </c>
      <c r="M747" s="823">
        <f>+CUBICACION!P741</f>
        <v>0</v>
      </c>
      <c r="N747" s="902">
        <f>ROUND(IF(AND(L747="Blaze Shield II",M747="Software Idiem",C747="IN",G747=4),((('BLAZE SHIELD II'!$D$4*('CALCULO MORTERO'!I747^2)+'BLAZE SHIELD II'!$D$5*'CALCULO MORTERO'!I747+'BLAZE SHIELD II'!$D$6)*LN(J747))+('BLAZE SHIELD II'!$D$7*('CALCULO MORTERO'!I747^2)+'BLAZE SHIELD II'!$D$8*'CALCULO MORTERO'!I747+'BLAZE SHIELD II'!$D$9)),0)+IF(AND(L747="Blaze Shield II",M747="Software Idiem",C747="Cj"),((('BLAZE SHIELD II'!$H$4*('CALCULO MORTERO'!I747^2)+'BLAZE SHIELD II'!$H$5*'CALCULO MORTERO'!I747+'BLAZE SHIELD II'!$H$6)*LN(J747))+('BLAZE SHIELD II'!$H$7*('CALCULO MORTERO'!I747^2)+'BLAZE SHIELD II'!$H$8*'CALCULO MORTERO'!I747+'BLAZE SHIELD II'!$H$9)),0)+IF(AND(L747="Blaze Shield II",M747="Software Idiem",C747="C"),((('BLAZE SHIELD II'!$L$4*('CALCULO MORTERO'!I747^2)+'BLAZE SHIELD II'!$L$5*'CALCULO MORTERO'!I747+'BLAZE SHIELD II'!$L$6)*LN(J747))+('BLAZE SHIELD II'!$L$7*('CALCULO MORTERO'!I747^2)+'BLAZE SHIELD II'!$L$8*'CALCULO MORTERO'!I747+'BLAZE SHIELD II'!$L$9)),0)+IF(AND(L747="Blaze Shield II",M747="Software Idiem",C747="L"),((('BLAZE SHIELD II'!$L$4*('CALCULO MORTERO'!I747^2)+'BLAZE SHIELD II'!$L$5*'CALCULO MORTERO'!I747+'BLAZE SHIELD II'!$L$6)*LN(J747))+('BLAZE SHIELD II'!$L$7*('CALCULO MORTERO'!I747^2)+'BLAZE SHIELD II'!$L$8*'CALCULO MORTERO'!I747+'BLAZE SHIELD II'!$L$9)),0)+IF(AND(L747="Blaze Shield II",M747="Software Idiem",C747="IN",G747=3),((('BLAZE SHIELD II'!$H$14*('CALCULO MORTERO'!I747^2)+'BLAZE SHIELD II'!$H$15*'CALCULO MORTERO'!I747+'BLAZE SHIELD II'!$H$16)*LN(J747))+('BLAZE SHIELD II'!$H$17*('CALCULO MORTERO'!I747^2)+'BLAZE SHIELD II'!$H$18*'CALCULO MORTERO'!I747+'BLAZE SHIELD II'!$H$19)),0),0)+ROUND(IF(AND(L747="Cafco 400",M747="Software Idiem",C747="IN",G747=4),((('CAFCO 400 '!$H$7*(J747^4)+'CAFCO 400 '!$H$8*(J747^3)+'CAFCO 400 '!$H$9*(J747^2)+'CAFCO 400 '!$H$10*J747+'CAFCO 400 '!$H$11)*U747^2)+(('CAFCO 400 '!$H$12*(J747^3)+'CAFCO 400 '!$H$13*(J747^2)+'CAFCO 400 '!$H$14*J747+'CAFCO 400 '!$H$15)*U747)+('CAFCO 400 '!$H$16*(J747^2)+'CAFCO 400 '!$H$17*J747+'CAFCO 400 '!$H$18)),0)+IF(AND(L747="Cafco 400",M747="Software Idiem",C747="Cj"),(((('CAFCO 400 '!$D$7*LN(J747)+'CAFCO 400 '!$D$8)*U747^2)+(('CAFCO 400 '!$D$9*LN(J747)+'CAFCO 400 '!$D$10)*U747)+('CAFCO 400 '!$D$11*LN(J747)+'CAFCO 400 '!$D$12))),0)+IF(AND(L747="Cafco 400",M747="Software Idiem",C747="C"),((('CAFCO 400 '!$L$7*(J747^3)+'CAFCO 400 '!$L$8*(J747^2)+'CAFCO 400 '!$L$9*J747+'CAFCO 400 '!$L$10)*U747^2)+(('CAFCO 400 '!$L$11*(J747^3)+'CAFCO 400 '!$L$12*(J747^2)+'CAFCO 400 '!$L$13*J747+'CAFCO 400 '!$L$14)*U747)+('CAFCO 400 '!$L$15*LN(J747)+'CAFCO 400 '!$L$16)),0)+IF(AND(L747="Cafco 400",M747="Software Idiem",C747="L"),((('CAFCO 400 '!$L$7*(J747^3)+'CAFCO 400 '!$L$8*(J747^2)+'CAFCO 400 '!$L$9*J747+'CAFCO 400 '!$L$10)*U747^2)+(('CAFCO 400 '!$L$11*(J747^3)+'CAFCO 400 '!$L$12*(J747^2)+'CAFCO 400 '!$L$13*J747+'CAFCO 400 '!$L$14)*U747)+('CAFCO 400 '!$L$15*LN(J747)+'CAFCO 400 '!$L$16)),0)+IF(AND(L747="Cafco 400",M747="Software Idiem",C747="IN",G747=3),((('CAFCO 400 '!$D$23*(J747^2)+'CAFCO 400 '!$D$24*(J747)+'CAFCO 400 '!$D$25)*U747^2)+(('CAFCO 400 '!$D$26*(J747^2)+'CAFCO 400 '!$D$27*J747+'CAFCO 400 '!$D$28)*U747)+('CAFCO 400 '!$D$29*(J747^2)+'CAFCO 400 '!$D$30*J747+'CAFCO 400 '!$D$31)),0),0)+IF(AND(L747="Cafco 300",J747&gt;=95,J747&lt;=240,C747="Cj",I747=90),VLOOKUP(T747,'CAFCO 300 IDIEM TABLAS'!$B$4:$D$23,2,FALSE),0)+IF(AND(L747="Cafco 300",J747&gt;=95,J747&lt;=240,C747="Cj",I747=120),VLOOKUP(T747,'CAFCO 300 IDIEM TABLAS'!$B$4:$D$23,3,FALSE),0)+IF(AND(L747="Cafco 300",J747&gt;=95,J747&lt;=400,G747=3,C747="IN",I747=90),VLOOKUP(T747,'CAFCO 300 IDIEM TABLAS'!$F$4:$H$35,2,FALSE),0)+IF(AND(L747="Cafco 300",J747&gt;=95,J747&lt;=400,G747=3,C747="IN",I747=120),VLOOKUP(T747,'CAFCO 300 IDIEM TABLAS'!$F$4:$H$35,3,FALSE),0)+IF(AND(L747="Cafco 300",J747&gt;=95,J747&lt;=450,G747=4,C747="IN",I747=90),VLOOKUP(T747,'CAFCO 300 IDIEM TABLAS'!$J$4:$L$40,2,FALSE),0)+IF(AND(L747="Cafco 300",J747&gt;=95,J747&lt;=450,G747=4,C747="IN",I747=120),VLOOKUP(T747,'CAFCO 300 IDIEM TABLAS'!$J$4:$L$40,3,FALSE),0)+IF(AND(M747="Ensayo Idiem",L747="Cafco 400",C747="IN",G747=4,I747=90),VLOOKUP(T747,'CAFCO 400 ENSAYO'!$B$7:$D$43,2,FALSE),0)+IF(AND(M747="Ensayo Idiem",L747="Cafco 400",C747="IN",G747=4,I747=120),VLOOKUP(T747,'CAFCO 400 ENSAYO'!$B$7:$D$43,3,FALSE),0)</f>
        <v>0</v>
      </c>
      <c r="O747" s="96">
        <f t="shared" si="78"/>
        <v>0</v>
      </c>
      <c r="P747" s="132" t="str">
        <f t="shared" si="73"/>
        <v>N/A</v>
      </c>
      <c r="Q747" s="132" t="str">
        <f t="shared" si="74"/>
        <v>N/A</v>
      </c>
      <c r="R747" s="132" t="str">
        <f t="shared" si="75"/>
        <v>NO CERT.</v>
      </c>
      <c r="S747" s="132" t="e">
        <f t="shared" si="76"/>
        <v>#N/A</v>
      </c>
      <c r="T747" s="133" t="e">
        <f>+IF(J747=LOOKUP(J747,'CAFCO 300 IDIEM TABLAS'!$J$4:$J$40),'CALCULO MORTERO'!J747,MROUND('CALCULO MORTERO'!J747,10))</f>
        <v>#N/A</v>
      </c>
      <c r="U747" s="134">
        <f t="shared" si="77"/>
        <v>0</v>
      </c>
    </row>
    <row r="748" spans="1:21" x14ac:dyDescent="0.25">
      <c r="A748" s="118">
        <f>+CUBICACION!D742</f>
        <v>0</v>
      </c>
      <c r="B748" s="819">
        <f>+CUBICACION!E742</f>
        <v>0</v>
      </c>
      <c r="C748" s="675">
        <f>+CUBICACION!F742</f>
        <v>0</v>
      </c>
      <c r="D748" s="118"/>
      <c r="E748" s="118"/>
      <c r="F748" s="820"/>
      <c r="G748" s="675">
        <f>+CUBICACION!J742</f>
        <v>0</v>
      </c>
      <c r="H748" s="118"/>
      <c r="I748" s="821">
        <f>+CUBICACION!L742</f>
        <v>0</v>
      </c>
      <c r="J748" s="64">
        <f>+CUBICACION!M742</f>
        <v>0</v>
      </c>
      <c r="K748" s="822" t="str">
        <f>+CUBICACION!N742</f>
        <v/>
      </c>
      <c r="L748" s="118">
        <f>+CUBICACION!O742</f>
        <v>0</v>
      </c>
      <c r="M748" s="823">
        <f>+CUBICACION!P742</f>
        <v>0</v>
      </c>
      <c r="N748" s="902">
        <f>ROUND(IF(AND(L748="Blaze Shield II",M748="Software Idiem",C748="IN",G748=4),((('BLAZE SHIELD II'!$D$4*('CALCULO MORTERO'!I748^2)+'BLAZE SHIELD II'!$D$5*'CALCULO MORTERO'!I748+'BLAZE SHIELD II'!$D$6)*LN(J748))+('BLAZE SHIELD II'!$D$7*('CALCULO MORTERO'!I748^2)+'BLAZE SHIELD II'!$D$8*'CALCULO MORTERO'!I748+'BLAZE SHIELD II'!$D$9)),0)+IF(AND(L748="Blaze Shield II",M748="Software Idiem",C748="Cj"),((('BLAZE SHIELD II'!$H$4*('CALCULO MORTERO'!I748^2)+'BLAZE SHIELD II'!$H$5*'CALCULO MORTERO'!I748+'BLAZE SHIELD II'!$H$6)*LN(J748))+('BLAZE SHIELD II'!$H$7*('CALCULO MORTERO'!I748^2)+'BLAZE SHIELD II'!$H$8*'CALCULO MORTERO'!I748+'BLAZE SHIELD II'!$H$9)),0)+IF(AND(L748="Blaze Shield II",M748="Software Idiem",C748="C"),((('BLAZE SHIELD II'!$L$4*('CALCULO MORTERO'!I748^2)+'BLAZE SHIELD II'!$L$5*'CALCULO MORTERO'!I748+'BLAZE SHIELD II'!$L$6)*LN(J748))+('BLAZE SHIELD II'!$L$7*('CALCULO MORTERO'!I748^2)+'BLAZE SHIELD II'!$L$8*'CALCULO MORTERO'!I748+'BLAZE SHIELD II'!$L$9)),0)+IF(AND(L748="Blaze Shield II",M748="Software Idiem",C748="L"),((('BLAZE SHIELD II'!$L$4*('CALCULO MORTERO'!I748^2)+'BLAZE SHIELD II'!$L$5*'CALCULO MORTERO'!I748+'BLAZE SHIELD II'!$L$6)*LN(J748))+('BLAZE SHIELD II'!$L$7*('CALCULO MORTERO'!I748^2)+'BLAZE SHIELD II'!$L$8*'CALCULO MORTERO'!I748+'BLAZE SHIELD II'!$L$9)),0)+IF(AND(L748="Blaze Shield II",M748="Software Idiem",C748="IN",G748=3),((('BLAZE SHIELD II'!$H$14*('CALCULO MORTERO'!I748^2)+'BLAZE SHIELD II'!$H$15*'CALCULO MORTERO'!I748+'BLAZE SHIELD II'!$H$16)*LN(J748))+('BLAZE SHIELD II'!$H$17*('CALCULO MORTERO'!I748^2)+'BLAZE SHIELD II'!$H$18*'CALCULO MORTERO'!I748+'BLAZE SHIELD II'!$H$19)),0),0)+ROUND(IF(AND(L748="Cafco 400",M748="Software Idiem",C748="IN",G748=4),((('CAFCO 400 '!$H$7*(J748^4)+'CAFCO 400 '!$H$8*(J748^3)+'CAFCO 400 '!$H$9*(J748^2)+'CAFCO 400 '!$H$10*J748+'CAFCO 400 '!$H$11)*U748^2)+(('CAFCO 400 '!$H$12*(J748^3)+'CAFCO 400 '!$H$13*(J748^2)+'CAFCO 400 '!$H$14*J748+'CAFCO 400 '!$H$15)*U748)+('CAFCO 400 '!$H$16*(J748^2)+'CAFCO 400 '!$H$17*J748+'CAFCO 400 '!$H$18)),0)+IF(AND(L748="Cafco 400",M748="Software Idiem",C748="Cj"),(((('CAFCO 400 '!$D$7*LN(J748)+'CAFCO 400 '!$D$8)*U748^2)+(('CAFCO 400 '!$D$9*LN(J748)+'CAFCO 400 '!$D$10)*U748)+('CAFCO 400 '!$D$11*LN(J748)+'CAFCO 400 '!$D$12))),0)+IF(AND(L748="Cafco 400",M748="Software Idiem",C748="C"),((('CAFCO 400 '!$L$7*(J748^3)+'CAFCO 400 '!$L$8*(J748^2)+'CAFCO 400 '!$L$9*J748+'CAFCO 400 '!$L$10)*U748^2)+(('CAFCO 400 '!$L$11*(J748^3)+'CAFCO 400 '!$L$12*(J748^2)+'CAFCO 400 '!$L$13*J748+'CAFCO 400 '!$L$14)*U748)+('CAFCO 400 '!$L$15*LN(J748)+'CAFCO 400 '!$L$16)),0)+IF(AND(L748="Cafco 400",M748="Software Idiem",C748="L"),((('CAFCO 400 '!$L$7*(J748^3)+'CAFCO 400 '!$L$8*(J748^2)+'CAFCO 400 '!$L$9*J748+'CAFCO 400 '!$L$10)*U748^2)+(('CAFCO 400 '!$L$11*(J748^3)+'CAFCO 400 '!$L$12*(J748^2)+'CAFCO 400 '!$L$13*J748+'CAFCO 400 '!$L$14)*U748)+('CAFCO 400 '!$L$15*LN(J748)+'CAFCO 400 '!$L$16)),0)+IF(AND(L748="Cafco 400",M748="Software Idiem",C748="IN",G748=3),((('CAFCO 400 '!$D$23*(J748^2)+'CAFCO 400 '!$D$24*(J748)+'CAFCO 400 '!$D$25)*U748^2)+(('CAFCO 400 '!$D$26*(J748^2)+'CAFCO 400 '!$D$27*J748+'CAFCO 400 '!$D$28)*U748)+('CAFCO 400 '!$D$29*(J748^2)+'CAFCO 400 '!$D$30*J748+'CAFCO 400 '!$D$31)),0),0)+IF(AND(L748="Cafco 300",J748&gt;=95,J748&lt;=240,C748="Cj",I748=90),VLOOKUP(T748,'CAFCO 300 IDIEM TABLAS'!$B$4:$D$23,2,FALSE),0)+IF(AND(L748="Cafco 300",J748&gt;=95,J748&lt;=240,C748="Cj",I748=120),VLOOKUP(T748,'CAFCO 300 IDIEM TABLAS'!$B$4:$D$23,3,FALSE),0)+IF(AND(L748="Cafco 300",J748&gt;=95,J748&lt;=400,G748=3,C748="IN",I748=90),VLOOKUP(T748,'CAFCO 300 IDIEM TABLAS'!$F$4:$H$35,2,FALSE),0)+IF(AND(L748="Cafco 300",J748&gt;=95,J748&lt;=400,G748=3,C748="IN",I748=120),VLOOKUP(T748,'CAFCO 300 IDIEM TABLAS'!$F$4:$H$35,3,FALSE),0)+IF(AND(L748="Cafco 300",J748&gt;=95,J748&lt;=450,G748=4,C748="IN",I748=90),VLOOKUP(T748,'CAFCO 300 IDIEM TABLAS'!$J$4:$L$40,2,FALSE),0)+IF(AND(L748="Cafco 300",J748&gt;=95,J748&lt;=450,G748=4,C748="IN",I748=120),VLOOKUP(T748,'CAFCO 300 IDIEM TABLAS'!$J$4:$L$40,3,FALSE),0)+IF(AND(M748="Ensayo Idiem",L748="Cafco 400",C748="IN",G748=4,I748=90),VLOOKUP(T748,'CAFCO 400 ENSAYO'!$B$7:$D$43,2,FALSE),0)+IF(AND(M748="Ensayo Idiem",L748="Cafco 400",C748="IN",G748=4,I748=120),VLOOKUP(T748,'CAFCO 400 ENSAYO'!$B$7:$D$43,3,FALSE),0)</f>
        <v>0</v>
      </c>
      <c r="O748" s="96">
        <f t="shared" si="78"/>
        <v>0</v>
      </c>
      <c r="P748" s="95" t="str">
        <f t="shared" si="73"/>
        <v>N/A</v>
      </c>
      <c r="Q748" s="95" t="str">
        <f t="shared" si="74"/>
        <v>N/A</v>
      </c>
      <c r="R748" s="95" t="str">
        <f t="shared" si="75"/>
        <v>NO CERT.</v>
      </c>
      <c r="S748" s="95" t="e">
        <f t="shared" si="76"/>
        <v>#N/A</v>
      </c>
      <c r="T748" s="119" t="e">
        <f>+IF(J748=LOOKUP(J748,'CAFCO 300 IDIEM TABLAS'!$J$4:$J$40),'CALCULO MORTERO'!J748,MROUND('CALCULO MORTERO'!J748,10))</f>
        <v>#N/A</v>
      </c>
      <c r="U748" s="118">
        <f t="shared" si="77"/>
        <v>0</v>
      </c>
    </row>
    <row r="749" spans="1:21" x14ac:dyDescent="0.25">
      <c r="A749" s="118">
        <f>+CUBICACION!D743</f>
        <v>0</v>
      </c>
      <c r="B749" s="819">
        <f>+CUBICACION!E743</f>
        <v>0</v>
      </c>
      <c r="C749" s="675">
        <f>+CUBICACION!F743</f>
        <v>0</v>
      </c>
      <c r="D749" s="118"/>
      <c r="E749" s="118"/>
      <c r="F749" s="820"/>
      <c r="G749" s="675">
        <f>+CUBICACION!J743</f>
        <v>0</v>
      </c>
      <c r="H749" s="118"/>
      <c r="I749" s="821">
        <f>+CUBICACION!L743</f>
        <v>0</v>
      </c>
      <c r="J749" s="64">
        <f>+CUBICACION!M743</f>
        <v>0</v>
      </c>
      <c r="K749" s="822" t="str">
        <f>+CUBICACION!N743</f>
        <v/>
      </c>
      <c r="L749" s="118">
        <f>+CUBICACION!O743</f>
        <v>0</v>
      </c>
      <c r="M749" s="823">
        <f>+CUBICACION!P743</f>
        <v>0</v>
      </c>
      <c r="N749" s="902">
        <f>ROUND(IF(AND(L749="Blaze Shield II",M749="Software Idiem",C749="IN",G749=4),((('BLAZE SHIELD II'!$D$4*('CALCULO MORTERO'!I749^2)+'BLAZE SHIELD II'!$D$5*'CALCULO MORTERO'!I749+'BLAZE SHIELD II'!$D$6)*LN(J749))+('BLAZE SHIELD II'!$D$7*('CALCULO MORTERO'!I749^2)+'BLAZE SHIELD II'!$D$8*'CALCULO MORTERO'!I749+'BLAZE SHIELD II'!$D$9)),0)+IF(AND(L749="Blaze Shield II",M749="Software Idiem",C749="Cj"),((('BLAZE SHIELD II'!$H$4*('CALCULO MORTERO'!I749^2)+'BLAZE SHIELD II'!$H$5*'CALCULO MORTERO'!I749+'BLAZE SHIELD II'!$H$6)*LN(J749))+('BLAZE SHIELD II'!$H$7*('CALCULO MORTERO'!I749^2)+'BLAZE SHIELD II'!$H$8*'CALCULO MORTERO'!I749+'BLAZE SHIELD II'!$H$9)),0)+IF(AND(L749="Blaze Shield II",M749="Software Idiem",C749="C"),((('BLAZE SHIELD II'!$L$4*('CALCULO MORTERO'!I749^2)+'BLAZE SHIELD II'!$L$5*'CALCULO MORTERO'!I749+'BLAZE SHIELD II'!$L$6)*LN(J749))+('BLAZE SHIELD II'!$L$7*('CALCULO MORTERO'!I749^2)+'BLAZE SHIELD II'!$L$8*'CALCULO MORTERO'!I749+'BLAZE SHIELD II'!$L$9)),0)+IF(AND(L749="Blaze Shield II",M749="Software Idiem",C749="L"),((('BLAZE SHIELD II'!$L$4*('CALCULO MORTERO'!I749^2)+'BLAZE SHIELD II'!$L$5*'CALCULO MORTERO'!I749+'BLAZE SHIELD II'!$L$6)*LN(J749))+('BLAZE SHIELD II'!$L$7*('CALCULO MORTERO'!I749^2)+'BLAZE SHIELD II'!$L$8*'CALCULO MORTERO'!I749+'BLAZE SHIELD II'!$L$9)),0)+IF(AND(L749="Blaze Shield II",M749="Software Idiem",C749="IN",G749=3),((('BLAZE SHIELD II'!$H$14*('CALCULO MORTERO'!I749^2)+'BLAZE SHIELD II'!$H$15*'CALCULO MORTERO'!I749+'BLAZE SHIELD II'!$H$16)*LN(J749))+('BLAZE SHIELD II'!$H$17*('CALCULO MORTERO'!I749^2)+'BLAZE SHIELD II'!$H$18*'CALCULO MORTERO'!I749+'BLAZE SHIELD II'!$H$19)),0),0)+ROUND(IF(AND(L749="Cafco 400",M749="Software Idiem",C749="IN",G749=4),((('CAFCO 400 '!$H$7*(J749^4)+'CAFCO 400 '!$H$8*(J749^3)+'CAFCO 400 '!$H$9*(J749^2)+'CAFCO 400 '!$H$10*J749+'CAFCO 400 '!$H$11)*U749^2)+(('CAFCO 400 '!$H$12*(J749^3)+'CAFCO 400 '!$H$13*(J749^2)+'CAFCO 400 '!$H$14*J749+'CAFCO 400 '!$H$15)*U749)+('CAFCO 400 '!$H$16*(J749^2)+'CAFCO 400 '!$H$17*J749+'CAFCO 400 '!$H$18)),0)+IF(AND(L749="Cafco 400",M749="Software Idiem",C749="Cj"),(((('CAFCO 400 '!$D$7*LN(J749)+'CAFCO 400 '!$D$8)*U749^2)+(('CAFCO 400 '!$D$9*LN(J749)+'CAFCO 400 '!$D$10)*U749)+('CAFCO 400 '!$D$11*LN(J749)+'CAFCO 400 '!$D$12))),0)+IF(AND(L749="Cafco 400",M749="Software Idiem",C749="C"),((('CAFCO 400 '!$L$7*(J749^3)+'CAFCO 400 '!$L$8*(J749^2)+'CAFCO 400 '!$L$9*J749+'CAFCO 400 '!$L$10)*U749^2)+(('CAFCO 400 '!$L$11*(J749^3)+'CAFCO 400 '!$L$12*(J749^2)+'CAFCO 400 '!$L$13*J749+'CAFCO 400 '!$L$14)*U749)+('CAFCO 400 '!$L$15*LN(J749)+'CAFCO 400 '!$L$16)),0)+IF(AND(L749="Cafco 400",M749="Software Idiem",C749="L"),((('CAFCO 400 '!$L$7*(J749^3)+'CAFCO 400 '!$L$8*(J749^2)+'CAFCO 400 '!$L$9*J749+'CAFCO 400 '!$L$10)*U749^2)+(('CAFCO 400 '!$L$11*(J749^3)+'CAFCO 400 '!$L$12*(J749^2)+'CAFCO 400 '!$L$13*J749+'CAFCO 400 '!$L$14)*U749)+('CAFCO 400 '!$L$15*LN(J749)+'CAFCO 400 '!$L$16)),0)+IF(AND(L749="Cafco 400",M749="Software Idiem",C749="IN",G749=3),((('CAFCO 400 '!$D$23*(J749^2)+'CAFCO 400 '!$D$24*(J749)+'CAFCO 400 '!$D$25)*U749^2)+(('CAFCO 400 '!$D$26*(J749^2)+'CAFCO 400 '!$D$27*J749+'CAFCO 400 '!$D$28)*U749)+('CAFCO 400 '!$D$29*(J749^2)+'CAFCO 400 '!$D$30*J749+'CAFCO 400 '!$D$31)),0),0)+IF(AND(L749="Cafco 300",J749&gt;=95,J749&lt;=240,C749="Cj",I749=90),VLOOKUP(T749,'CAFCO 300 IDIEM TABLAS'!$B$4:$D$23,2,FALSE),0)+IF(AND(L749="Cafco 300",J749&gt;=95,J749&lt;=240,C749="Cj",I749=120),VLOOKUP(T749,'CAFCO 300 IDIEM TABLAS'!$B$4:$D$23,3,FALSE),0)+IF(AND(L749="Cafco 300",J749&gt;=95,J749&lt;=400,G749=3,C749="IN",I749=90),VLOOKUP(T749,'CAFCO 300 IDIEM TABLAS'!$F$4:$H$35,2,FALSE),0)+IF(AND(L749="Cafco 300",J749&gt;=95,J749&lt;=400,G749=3,C749="IN",I749=120),VLOOKUP(T749,'CAFCO 300 IDIEM TABLAS'!$F$4:$H$35,3,FALSE),0)+IF(AND(L749="Cafco 300",J749&gt;=95,J749&lt;=450,G749=4,C749="IN",I749=90),VLOOKUP(T749,'CAFCO 300 IDIEM TABLAS'!$J$4:$L$40,2,FALSE),0)+IF(AND(L749="Cafco 300",J749&gt;=95,J749&lt;=450,G749=4,C749="IN",I749=120),VLOOKUP(T749,'CAFCO 300 IDIEM TABLAS'!$J$4:$L$40,3,FALSE),0)+IF(AND(M749="Ensayo Idiem",L749="Cafco 400",C749="IN",G749=4,I749=90),VLOOKUP(T749,'CAFCO 400 ENSAYO'!$B$7:$D$43,2,FALSE),0)+IF(AND(M749="Ensayo Idiem",L749="Cafco 400",C749="IN",G749=4,I749=120),VLOOKUP(T749,'CAFCO 400 ENSAYO'!$B$7:$D$43,3,FALSE),0)</f>
        <v>0</v>
      </c>
      <c r="O749" s="96">
        <f t="shared" si="78"/>
        <v>0</v>
      </c>
      <c r="P749" s="132" t="str">
        <f t="shared" si="73"/>
        <v>N/A</v>
      </c>
      <c r="Q749" s="132" t="str">
        <f t="shared" si="74"/>
        <v>N/A</v>
      </c>
      <c r="R749" s="132" t="str">
        <f t="shared" si="75"/>
        <v>NO CERT.</v>
      </c>
      <c r="S749" s="132" t="e">
        <f t="shared" si="76"/>
        <v>#N/A</v>
      </c>
      <c r="T749" s="133" t="e">
        <f>+IF(J749=LOOKUP(J749,'CAFCO 300 IDIEM TABLAS'!$J$4:$J$40),'CALCULO MORTERO'!J749,MROUND('CALCULO MORTERO'!J749,10))</f>
        <v>#N/A</v>
      </c>
      <c r="U749" s="134">
        <f t="shared" si="77"/>
        <v>0</v>
      </c>
    </row>
    <row r="750" spans="1:21" x14ac:dyDescent="0.25">
      <c r="A750" s="118">
        <f>+CUBICACION!D744</f>
        <v>0</v>
      </c>
      <c r="B750" s="819">
        <f>+CUBICACION!E744</f>
        <v>0</v>
      </c>
      <c r="C750" s="675">
        <f>+CUBICACION!F744</f>
        <v>0</v>
      </c>
      <c r="D750" s="118"/>
      <c r="E750" s="118"/>
      <c r="F750" s="820"/>
      <c r="G750" s="675">
        <f>+CUBICACION!J744</f>
        <v>0</v>
      </c>
      <c r="H750" s="118"/>
      <c r="I750" s="821">
        <f>+CUBICACION!L744</f>
        <v>0</v>
      </c>
      <c r="J750" s="64">
        <f>+CUBICACION!M744</f>
        <v>0</v>
      </c>
      <c r="K750" s="822" t="str">
        <f>+CUBICACION!N744</f>
        <v/>
      </c>
      <c r="L750" s="118">
        <f>+CUBICACION!O744</f>
        <v>0</v>
      </c>
      <c r="M750" s="823">
        <f>+CUBICACION!P744</f>
        <v>0</v>
      </c>
      <c r="N750" s="902">
        <f>ROUND(IF(AND(L750="Blaze Shield II",M750="Software Idiem",C750="IN",G750=4),((('BLAZE SHIELD II'!$D$4*('CALCULO MORTERO'!I750^2)+'BLAZE SHIELD II'!$D$5*'CALCULO MORTERO'!I750+'BLAZE SHIELD II'!$D$6)*LN(J750))+('BLAZE SHIELD II'!$D$7*('CALCULO MORTERO'!I750^2)+'BLAZE SHIELD II'!$D$8*'CALCULO MORTERO'!I750+'BLAZE SHIELD II'!$D$9)),0)+IF(AND(L750="Blaze Shield II",M750="Software Idiem",C750="Cj"),((('BLAZE SHIELD II'!$H$4*('CALCULO MORTERO'!I750^2)+'BLAZE SHIELD II'!$H$5*'CALCULO MORTERO'!I750+'BLAZE SHIELD II'!$H$6)*LN(J750))+('BLAZE SHIELD II'!$H$7*('CALCULO MORTERO'!I750^2)+'BLAZE SHIELD II'!$H$8*'CALCULO MORTERO'!I750+'BLAZE SHIELD II'!$H$9)),0)+IF(AND(L750="Blaze Shield II",M750="Software Idiem",C750="C"),((('BLAZE SHIELD II'!$L$4*('CALCULO MORTERO'!I750^2)+'BLAZE SHIELD II'!$L$5*'CALCULO MORTERO'!I750+'BLAZE SHIELD II'!$L$6)*LN(J750))+('BLAZE SHIELD II'!$L$7*('CALCULO MORTERO'!I750^2)+'BLAZE SHIELD II'!$L$8*'CALCULO MORTERO'!I750+'BLAZE SHIELD II'!$L$9)),0)+IF(AND(L750="Blaze Shield II",M750="Software Idiem",C750="L"),((('BLAZE SHIELD II'!$L$4*('CALCULO MORTERO'!I750^2)+'BLAZE SHIELD II'!$L$5*'CALCULO MORTERO'!I750+'BLAZE SHIELD II'!$L$6)*LN(J750))+('BLAZE SHIELD II'!$L$7*('CALCULO MORTERO'!I750^2)+'BLAZE SHIELD II'!$L$8*'CALCULO MORTERO'!I750+'BLAZE SHIELD II'!$L$9)),0)+IF(AND(L750="Blaze Shield II",M750="Software Idiem",C750="IN",G750=3),((('BLAZE SHIELD II'!$H$14*('CALCULO MORTERO'!I750^2)+'BLAZE SHIELD II'!$H$15*'CALCULO MORTERO'!I750+'BLAZE SHIELD II'!$H$16)*LN(J750))+('BLAZE SHIELD II'!$H$17*('CALCULO MORTERO'!I750^2)+'BLAZE SHIELD II'!$H$18*'CALCULO MORTERO'!I750+'BLAZE SHIELD II'!$H$19)),0),0)+ROUND(IF(AND(L750="Cafco 400",M750="Software Idiem",C750="IN",G750=4),((('CAFCO 400 '!$H$7*(J750^4)+'CAFCO 400 '!$H$8*(J750^3)+'CAFCO 400 '!$H$9*(J750^2)+'CAFCO 400 '!$H$10*J750+'CAFCO 400 '!$H$11)*U750^2)+(('CAFCO 400 '!$H$12*(J750^3)+'CAFCO 400 '!$H$13*(J750^2)+'CAFCO 400 '!$H$14*J750+'CAFCO 400 '!$H$15)*U750)+('CAFCO 400 '!$H$16*(J750^2)+'CAFCO 400 '!$H$17*J750+'CAFCO 400 '!$H$18)),0)+IF(AND(L750="Cafco 400",M750="Software Idiem",C750="Cj"),(((('CAFCO 400 '!$D$7*LN(J750)+'CAFCO 400 '!$D$8)*U750^2)+(('CAFCO 400 '!$D$9*LN(J750)+'CAFCO 400 '!$D$10)*U750)+('CAFCO 400 '!$D$11*LN(J750)+'CAFCO 400 '!$D$12))),0)+IF(AND(L750="Cafco 400",M750="Software Idiem",C750="C"),((('CAFCO 400 '!$L$7*(J750^3)+'CAFCO 400 '!$L$8*(J750^2)+'CAFCO 400 '!$L$9*J750+'CAFCO 400 '!$L$10)*U750^2)+(('CAFCO 400 '!$L$11*(J750^3)+'CAFCO 400 '!$L$12*(J750^2)+'CAFCO 400 '!$L$13*J750+'CAFCO 400 '!$L$14)*U750)+('CAFCO 400 '!$L$15*LN(J750)+'CAFCO 400 '!$L$16)),0)+IF(AND(L750="Cafco 400",M750="Software Idiem",C750="L"),((('CAFCO 400 '!$L$7*(J750^3)+'CAFCO 400 '!$L$8*(J750^2)+'CAFCO 400 '!$L$9*J750+'CAFCO 400 '!$L$10)*U750^2)+(('CAFCO 400 '!$L$11*(J750^3)+'CAFCO 400 '!$L$12*(J750^2)+'CAFCO 400 '!$L$13*J750+'CAFCO 400 '!$L$14)*U750)+('CAFCO 400 '!$L$15*LN(J750)+'CAFCO 400 '!$L$16)),0)+IF(AND(L750="Cafco 400",M750="Software Idiem",C750="IN",G750=3),((('CAFCO 400 '!$D$23*(J750^2)+'CAFCO 400 '!$D$24*(J750)+'CAFCO 400 '!$D$25)*U750^2)+(('CAFCO 400 '!$D$26*(J750^2)+'CAFCO 400 '!$D$27*J750+'CAFCO 400 '!$D$28)*U750)+('CAFCO 400 '!$D$29*(J750^2)+'CAFCO 400 '!$D$30*J750+'CAFCO 400 '!$D$31)),0),0)+IF(AND(L750="Cafco 300",J750&gt;=95,J750&lt;=240,C750="Cj",I750=90),VLOOKUP(T750,'CAFCO 300 IDIEM TABLAS'!$B$4:$D$23,2,FALSE),0)+IF(AND(L750="Cafco 300",J750&gt;=95,J750&lt;=240,C750="Cj",I750=120),VLOOKUP(T750,'CAFCO 300 IDIEM TABLAS'!$B$4:$D$23,3,FALSE),0)+IF(AND(L750="Cafco 300",J750&gt;=95,J750&lt;=400,G750=3,C750="IN",I750=90),VLOOKUP(T750,'CAFCO 300 IDIEM TABLAS'!$F$4:$H$35,2,FALSE),0)+IF(AND(L750="Cafco 300",J750&gt;=95,J750&lt;=400,G750=3,C750="IN",I750=120),VLOOKUP(T750,'CAFCO 300 IDIEM TABLAS'!$F$4:$H$35,3,FALSE),0)+IF(AND(L750="Cafco 300",J750&gt;=95,J750&lt;=450,G750=4,C750="IN",I750=90),VLOOKUP(T750,'CAFCO 300 IDIEM TABLAS'!$J$4:$L$40,2,FALSE),0)+IF(AND(L750="Cafco 300",J750&gt;=95,J750&lt;=450,G750=4,C750="IN",I750=120),VLOOKUP(T750,'CAFCO 300 IDIEM TABLAS'!$J$4:$L$40,3,FALSE),0)+IF(AND(M750="Ensayo Idiem",L750="Cafco 400",C750="IN",G750=4,I750=90),VLOOKUP(T750,'CAFCO 400 ENSAYO'!$B$7:$D$43,2,FALSE),0)+IF(AND(M750="Ensayo Idiem",L750="Cafco 400",C750="IN",G750=4,I750=120),VLOOKUP(T750,'CAFCO 400 ENSAYO'!$B$7:$D$43,3,FALSE),0)</f>
        <v>0</v>
      </c>
      <c r="O750" s="96">
        <f t="shared" si="78"/>
        <v>0</v>
      </c>
      <c r="P750" s="95" t="str">
        <f t="shared" si="73"/>
        <v>N/A</v>
      </c>
      <c r="Q750" s="95" t="str">
        <f t="shared" si="74"/>
        <v>N/A</v>
      </c>
      <c r="R750" s="95" t="str">
        <f t="shared" si="75"/>
        <v>NO CERT.</v>
      </c>
      <c r="S750" s="95" t="e">
        <f t="shared" si="76"/>
        <v>#N/A</v>
      </c>
      <c r="T750" s="119" t="e">
        <f>+IF(J750=LOOKUP(J750,'CAFCO 300 IDIEM TABLAS'!$J$4:$J$40),'CALCULO MORTERO'!J750,MROUND('CALCULO MORTERO'!J750,10))</f>
        <v>#N/A</v>
      </c>
      <c r="U750" s="118">
        <f t="shared" si="77"/>
        <v>0</v>
      </c>
    </row>
    <row r="751" spans="1:21" x14ac:dyDescent="0.25">
      <c r="A751" s="118">
        <f>+CUBICACION!D745</f>
        <v>0</v>
      </c>
      <c r="B751" s="819">
        <f>+CUBICACION!E745</f>
        <v>0</v>
      </c>
      <c r="C751" s="675">
        <f>+CUBICACION!F745</f>
        <v>0</v>
      </c>
      <c r="D751" s="118"/>
      <c r="E751" s="118"/>
      <c r="F751" s="820"/>
      <c r="G751" s="675">
        <f>+CUBICACION!J745</f>
        <v>0</v>
      </c>
      <c r="H751" s="118"/>
      <c r="I751" s="821">
        <f>+CUBICACION!L745</f>
        <v>0</v>
      </c>
      <c r="J751" s="64">
        <f>+CUBICACION!M745</f>
        <v>0</v>
      </c>
      <c r="K751" s="822" t="str">
        <f>+CUBICACION!N745</f>
        <v/>
      </c>
      <c r="L751" s="118">
        <f>+CUBICACION!O745</f>
        <v>0</v>
      </c>
      <c r="M751" s="823">
        <f>+CUBICACION!P745</f>
        <v>0</v>
      </c>
      <c r="N751" s="902">
        <f>ROUND(IF(AND(L751="Blaze Shield II",M751="Software Idiem",C751="IN",G751=4),((('BLAZE SHIELD II'!$D$4*('CALCULO MORTERO'!I751^2)+'BLAZE SHIELD II'!$D$5*'CALCULO MORTERO'!I751+'BLAZE SHIELD II'!$D$6)*LN(J751))+('BLAZE SHIELD II'!$D$7*('CALCULO MORTERO'!I751^2)+'BLAZE SHIELD II'!$D$8*'CALCULO MORTERO'!I751+'BLAZE SHIELD II'!$D$9)),0)+IF(AND(L751="Blaze Shield II",M751="Software Idiem",C751="Cj"),((('BLAZE SHIELD II'!$H$4*('CALCULO MORTERO'!I751^2)+'BLAZE SHIELD II'!$H$5*'CALCULO MORTERO'!I751+'BLAZE SHIELD II'!$H$6)*LN(J751))+('BLAZE SHIELD II'!$H$7*('CALCULO MORTERO'!I751^2)+'BLAZE SHIELD II'!$H$8*'CALCULO MORTERO'!I751+'BLAZE SHIELD II'!$H$9)),0)+IF(AND(L751="Blaze Shield II",M751="Software Idiem",C751="C"),((('BLAZE SHIELD II'!$L$4*('CALCULO MORTERO'!I751^2)+'BLAZE SHIELD II'!$L$5*'CALCULO MORTERO'!I751+'BLAZE SHIELD II'!$L$6)*LN(J751))+('BLAZE SHIELD II'!$L$7*('CALCULO MORTERO'!I751^2)+'BLAZE SHIELD II'!$L$8*'CALCULO MORTERO'!I751+'BLAZE SHIELD II'!$L$9)),0)+IF(AND(L751="Blaze Shield II",M751="Software Idiem",C751="L"),((('BLAZE SHIELD II'!$L$4*('CALCULO MORTERO'!I751^2)+'BLAZE SHIELD II'!$L$5*'CALCULO MORTERO'!I751+'BLAZE SHIELD II'!$L$6)*LN(J751))+('BLAZE SHIELD II'!$L$7*('CALCULO MORTERO'!I751^2)+'BLAZE SHIELD II'!$L$8*'CALCULO MORTERO'!I751+'BLAZE SHIELD II'!$L$9)),0)+IF(AND(L751="Blaze Shield II",M751="Software Idiem",C751="IN",G751=3),((('BLAZE SHIELD II'!$H$14*('CALCULO MORTERO'!I751^2)+'BLAZE SHIELD II'!$H$15*'CALCULO MORTERO'!I751+'BLAZE SHIELD II'!$H$16)*LN(J751))+('BLAZE SHIELD II'!$H$17*('CALCULO MORTERO'!I751^2)+'BLAZE SHIELD II'!$H$18*'CALCULO MORTERO'!I751+'BLAZE SHIELD II'!$H$19)),0),0)+ROUND(IF(AND(L751="Cafco 400",M751="Software Idiem",C751="IN",G751=4),((('CAFCO 400 '!$H$7*(J751^4)+'CAFCO 400 '!$H$8*(J751^3)+'CAFCO 400 '!$H$9*(J751^2)+'CAFCO 400 '!$H$10*J751+'CAFCO 400 '!$H$11)*U751^2)+(('CAFCO 400 '!$H$12*(J751^3)+'CAFCO 400 '!$H$13*(J751^2)+'CAFCO 400 '!$H$14*J751+'CAFCO 400 '!$H$15)*U751)+('CAFCO 400 '!$H$16*(J751^2)+'CAFCO 400 '!$H$17*J751+'CAFCO 400 '!$H$18)),0)+IF(AND(L751="Cafco 400",M751="Software Idiem",C751="Cj"),(((('CAFCO 400 '!$D$7*LN(J751)+'CAFCO 400 '!$D$8)*U751^2)+(('CAFCO 400 '!$D$9*LN(J751)+'CAFCO 400 '!$D$10)*U751)+('CAFCO 400 '!$D$11*LN(J751)+'CAFCO 400 '!$D$12))),0)+IF(AND(L751="Cafco 400",M751="Software Idiem",C751="C"),((('CAFCO 400 '!$L$7*(J751^3)+'CAFCO 400 '!$L$8*(J751^2)+'CAFCO 400 '!$L$9*J751+'CAFCO 400 '!$L$10)*U751^2)+(('CAFCO 400 '!$L$11*(J751^3)+'CAFCO 400 '!$L$12*(J751^2)+'CAFCO 400 '!$L$13*J751+'CAFCO 400 '!$L$14)*U751)+('CAFCO 400 '!$L$15*LN(J751)+'CAFCO 400 '!$L$16)),0)+IF(AND(L751="Cafco 400",M751="Software Idiem",C751="L"),((('CAFCO 400 '!$L$7*(J751^3)+'CAFCO 400 '!$L$8*(J751^2)+'CAFCO 400 '!$L$9*J751+'CAFCO 400 '!$L$10)*U751^2)+(('CAFCO 400 '!$L$11*(J751^3)+'CAFCO 400 '!$L$12*(J751^2)+'CAFCO 400 '!$L$13*J751+'CAFCO 400 '!$L$14)*U751)+('CAFCO 400 '!$L$15*LN(J751)+'CAFCO 400 '!$L$16)),0)+IF(AND(L751="Cafco 400",M751="Software Idiem",C751="IN",G751=3),((('CAFCO 400 '!$D$23*(J751^2)+'CAFCO 400 '!$D$24*(J751)+'CAFCO 400 '!$D$25)*U751^2)+(('CAFCO 400 '!$D$26*(J751^2)+'CAFCO 400 '!$D$27*J751+'CAFCO 400 '!$D$28)*U751)+('CAFCO 400 '!$D$29*(J751^2)+'CAFCO 400 '!$D$30*J751+'CAFCO 400 '!$D$31)),0),0)+IF(AND(L751="Cafco 300",J751&gt;=95,J751&lt;=240,C751="Cj",I751=90),VLOOKUP(T751,'CAFCO 300 IDIEM TABLAS'!$B$4:$D$23,2,FALSE),0)+IF(AND(L751="Cafco 300",J751&gt;=95,J751&lt;=240,C751="Cj",I751=120),VLOOKUP(T751,'CAFCO 300 IDIEM TABLAS'!$B$4:$D$23,3,FALSE),0)+IF(AND(L751="Cafco 300",J751&gt;=95,J751&lt;=400,G751=3,C751="IN",I751=90),VLOOKUP(T751,'CAFCO 300 IDIEM TABLAS'!$F$4:$H$35,2,FALSE),0)+IF(AND(L751="Cafco 300",J751&gt;=95,J751&lt;=400,G751=3,C751="IN",I751=120),VLOOKUP(T751,'CAFCO 300 IDIEM TABLAS'!$F$4:$H$35,3,FALSE),0)+IF(AND(L751="Cafco 300",J751&gt;=95,J751&lt;=450,G751=4,C751="IN",I751=90),VLOOKUP(T751,'CAFCO 300 IDIEM TABLAS'!$J$4:$L$40,2,FALSE),0)+IF(AND(L751="Cafco 300",J751&gt;=95,J751&lt;=450,G751=4,C751="IN",I751=120),VLOOKUP(T751,'CAFCO 300 IDIEM TABLAS'!$J$4:$L$40,3,FALSE),0)+IF(AND(M751="Ensayo Idiem",L751="Cafco 400",C751="IN",G751=4,I751=90),VLOOKUP(T751,'CAFCO 400 ENSAYO'!$B$7:$D$43,2,FALSE),0)+IF(AND(M751="Ensayo Idiem",L751="Cafco 400",C751="IN",G751=4,I751=120),VLOOKUP(T751,'CAFCO 400 ENSAYO'!$B$7:$D$43,3,FALSE),0)</f>
        <v>0</v>
      </c>
      <c r="O751" s="96">
        <f t="shared" si="78"/>
        <v>0</v>
      </c>
      <c r="P751" s="132" t="str">
        <f t="shared" si="73"/>
        <v>N/A</v>
      </c>
      <c r="Q751" s="132" t="str">
        <f t="shared" si="74"/>
        <v>N/A</v>
      </c>
      <c r="R751" s="132" t="str">
        <f t="shared" si="75"/>
        <v>NO CERT.</v>
      </c>
      <c r="S751" s="132" t="e">
        <f t="shared" si="76"/>
        <v>#N/A</v>
      </c>
      <c r="T751" s="133" t="e">
        <f>+IF(J751=LOOKUP(J751,'CAFCO 300 IDIEM TABLAS'!$J$4:$J$40),'CALCULO MORTERO'!J751,MROUND('CALCULO MORTERO'!J751,10))</f>
        <v>#N/A</v>
      </c>
      <c r="U751" s="134">
        <f t="shared" si="77"/>
        <v>0</v>
      </c>
    </row>
    <row r="752" spans="1:21" x14ac:dyDescent="0.25">
      <c r="A752" s="118">
        <f>+CUBICACION!D746</f>
        <v>0</v>
      </c>
      <c r="B752" s="819">
        <f>+CUBICACION!E746</f>
        <v>0</v>
      </c>
      <c r="C752" s="675">
        <f>+CUBICACION!F746</f>
        <v>0</v>
      </c>
      <c r="D752" s="118"/>
      <c r="E752" s="118"/>
      <c r="F752" s="820"/>
      <c r="G752" s="675">
        <f>+CUBICACION!J746</f>
        <v>0</v>
      </c>
      <c r="H752" s="118"/>
      <c r="I752" s="821">
        <f>+CUBICACION!L746</f>
        <v>0</v>
      </c>
      <c r="J752" s="64">
        <f>+CUBICACION!M746</f>
        <v>0</v>
      </c>
      <c r="K752" s="822" t="str">
        <f>+CUBICACION!N746</f>
        <v/>
      </c>
      <c r="L752" s="118">
        <f>+CUBICACION!O746</f>
        <v>0</v>
      </c>
      <c r="M752" s="823">
        <f>+CUBICACION!P746</f>
        <v>0</v>
      </c>
      <c r="N752" s="902">
        <f>ROUND(IF(AND(L752="Blaze Shield II",M752="Software Idiem",C752="IN",G752=4),((('BLAZE SHIELD II'!$D$4*('CALCULO MORTERO'!I752^2)+'BLAZE SHIELD II'!$D$5*'CALCULO MORTERO'!I752+'BLAZE SHIELD II'!$D$6)*LN(J752))+('BLAZE SHIELD II'!$D$7*('CALCULO MORTERO'!I752^2)+'BLAZE SHIELD II'!$D$8*'CALCULO MORTERO'!I752+'BLAZE SHIELD II'!$D$9)),0)+IF(AND(L752="Blaze Shield II",M752="Software Idiem",C752="Cj"),((('BLAZE SHIELD II'!$H$4*('CALCULO MORTERO'!I752^2)+'BLAZE SHIELD II'!$H$5*'CALCULO MORTERO'!I752+'BLAZE SHIELD II'!$H$6)*LN(J752))+('BLAZE SHIELD II'!$H$7*('CALCULO MORTERO'!I752^2)+'BLAZE SHIELD II'!$H$8*'CALCULO MORTERO'!I752+'BLAZE SHIELD II'!$H$9)),0)+IF(AND(L752="Blaze Shield II",M752="Software Idiem",C752="C"),((('BLAZE SHIELD II'!$L$4*('CALCULO MORTERO'!I752^2)+'BLAZE SHIELD II'!$L$5*'CALCULO MORTERO'!I752+'BLAZE SHIELD II'!$L$6)*LN(J752))+('BLAZE SHIELD II'!$L$7*('CALCULO MORTERO'!I752^2)+'BLAZE SHIELD II'!$L$8*'CALCULO MORTERO'!I752+'BLAZE SHIELD II'!$L$9)),0)+IF(AND(L752="Blaze Shield II",M752="Software Idiem",C752="L"),((('BLAZE SHIELD II'!$L$4*('CALCULO MORTERO'!I752^2)+'BLAZE SHIELD II'!$L$5*'CALCULO MORTERO'!I752+'BLAZE SHIELD II'!$L$6)*LN(J752))+('BLAZE SHIELD II'!$L$7*('CALCULO MORTERO'!I752^2)+'BLAZE SHIELD II'!$L$8*'CALCULO MORTERO'!I752+'BLAZE SHIELD II'!$L$9)),0)+IF(AND(L752="Blaze Shield II",M752="Software Idiem",C752="IN",G752=3),((('BLAZE SHIELD II'!$H$14*('CALCULO MORTERO'!I752^2)+'BLAZE SHIELD II'!$H$15*'CALCULO MORTERO'!I752+'BLAZE SHIELD II'!$H$16)*LN(J752))+('BLAZE SHIELD II'!$H$17*('CALCULO MORTERO'!I752^2)+'BLAZE SHIELD II'!$H$18*'CALCULO MORTERO'!I752+'BLAZE SHIELD II'!$H$19)),0),0)+ROUND(IF(AND(L752="Cafco 400",M752="Software Idiem",C752="IN",G752=4),((('CAFCO 400 '!$H$7*(J752^4)+'CAFCO 400 '!$H$8*(J752^3)+'CAFCO 400 '!$H$9*(J752^2)+'CAFCO 400 '!$H$10*J752+'CAFCO 400 '!$H$11)*U752^2)+(('CAFCO 400 '!$H$12*(J752^3)+'CAFCO 400 '!$H$13*(J752^2)+'CAFCO 400 '!$H$14*J752+'CAFCO 400 '!$H$15)*U752)+('CAFCO 400 '!$H$16*(J752^2)+'CAFCO 400 '!$H$17*J752+'CAFCO 400 '!$H$18)),0)+IF(AND(L752="Cafco 400",M752="Software Idiem",C752="Cj"),(((('CAFCO 400 '!$D$7*LN(J752)+'CAFCO 400 '!$D$8)*U752^2)+(('CAFCO 400 '!$D$9*LN(J752)+'CAFCO 400 '!$D$10)*U752)+('CAFCO 400 '!$D$11*LN(J752)+'CAFCO 400 '!$D$12))),0)+IF(AND(L752="Cafco 400",M752="Software Idiem",C752="C"),((('CAFCO 400 '!$L$7*(J752^3)+'CAFCO 400 '!$L$8*(J752^2)+'CAFCO 400 '!$L$9*J752+'CAFCO 400 '!$L$10)*U752^2)+(('CAFCO 400 '!$L$11*(J752^3)+'CAFCO 400 '!$L$12*(J752^2)+'CAFCO 400 '!$L$13*J752+'CAFCO 400 '!$L$14)*U752)+('CAFCO 400 '!$L$15*LN(J752)+'CAFCO 400 '!$L$16)),0)+IF(AND(L752="Cafco 400",M752="Software Idiem",C752="L"),((('CAFCO 400 '!$L$7*(J752^3)+'CAFCO 400 '!$L$8*(J752^2)+'CAFCO 400 '!$L$9*J752+'CAFCO 400 '!$L$10)*U752^2)+(('CAFCO 400 '!$L$11*(J752^3)+'CAFCO 400 '!$L$12*(J752^2)+'CAFCO 400 '!$L$13*J752+'CAFCO 400 '!$L$14)*U752)+('CAFCO 400 '!$L$15*LN(J752)+'CAFCO 400 '!$L$16)),0)+IF(AND(L752="Cafco 400",M752="Software Idiem",C752="IN",G752=3),((('CAFCO 400 '!$D$23*(J752^2)+'CAFCO 400 '!$D$24*(J752)+'CAFCO 400 '!$D$25)*U752^2)+(('CAFCO 400 '!$D$26*(J752^2)+'CAFCO 400 '!$D$27*J752+'CAFCO 400 '!$D$28)*U752)+('CAFCO 400 '!$D$29*(J752^2)+'CAFCO 400 '!$D$30*J752+'CAFCO 400 '!$D$31)),0),0)+IF(AND(L752="Cafco 300",J752&gt;=95,J752&lt;=240,C752="Cj",I752=90),VLOOKUP(T752,'CAFCO 300 IDIEM TABLAS'!$B$4:$D$23,2,FALSE),0)+IF(AND(L752="Cafco 300",J752&gt;=95,J752&lt;=240,C752="Cj",I752=120),VLOOKUP(T752,'CAFCO 300 IDIEM TABLAS'!$B$4:$D$23,3,FALSE),0)+IF(AND(L752="Cafco 300",J752&gt;=95,J752&lt;=400,G752=3,C752="IN",I752=90),VLOOKUP(T752,'CAFCO 300 IDIEM TABLAS'!$F$4:$H$35,2,FALSE),0)+IF(AND(L752="Cafco 300",J752&gt;=95,J752&lt;=400,G752=3,C752="IN",I752=120),VLOOKUP(T752,'CAFCO 300 IDIEM TABLAS'!$F$4:$H$35,3,FALSE),0)+IF(AND(L752="Cafco 300",J752&gt;=95,J752&lt;=450,G752=4,C752="IN",I752=90),VLOOKUP(T752,'CAFCO 300 IDIEM TABLAS'!$J$4:$L$40,2,FALSE),0)+IF(AND(L752="Cafco 300",J752&gt;=95,J752&lt;=450,G752=4,C752="IN",I752=120),VLOOKUP(T752,'CAFCO 300 IDIEM TABLAS'!$J$4:$L$40,3,FALSE),0)+IF(AND(M752="Ensayo Idiem",L752="Cafco 400",C752="IN",G752=4,I752=90),VLOOKUP(T752,'CAFCO 400 ENSAYO'!$B$7:$D$43,2,FALSE),0)+IF(AND(M752="Ensayo Idiem",L752="Cafco 400",C752="IN",G752=4,I752=120),VLOOKUP(T752,'CAFCO 400 ENSAYO'!$B$7:$D$43,3,FALSE),0)</f>
        <v>0</v>
      </c>
      <c r="O752" s="96">
        <f t="shared" si="78"/>
        <v>0</v>
      </c>
      <c r="P752" s="95" t="str">
        <f t="shared" si="73"/>
        <v>N/A</v>
      </c>
      <c r="Q752" s="95" t="str">
        <f t="shared" si="74"/>
        <v>N/A</v>
      </c>
      <c r="R752" s="95" t="str">
        <f t="shared" si="75"/>
        <v>NO CERT.</v>
      </c>
      <c r="S752" s="95" t="e">
        <f t="shared" si="76"/>
        <v>#N/A</v>
      </c>
      <c r="T752" s="119" t="e">
        <f>+IF(J752=LOOKUP(J752,'CAFCO 300 IDIEM TABLAS'!$J$4:$J$40),'CALCULO MORTERO'!J752,MROUND('CALCULO MORTERO'!J752,10))</f>
        <v>#N/A</v>
      </c>
      <c r="U752" s="118">
        <f t="shared" si="77"/>
        <v>0</v>
      </c>
    </row>
    <row r="753" spans="1:21" x14ac:dyDescent="0.25">
      <c r="A753" s="118">
        <f>+CUBICACION!D747</f>
        <v>0</v>
      </c>
      <c r="B753" s="819">
        <f>+CUBICACION!E747</f>
        <v>0</v>
      </c>
      <c r="C753" s="675">
        <f>+CUBICACION!F747</f>
        <v>0</v>
      </c>
      <c r="D753" s="118"/>
      <c r="E753" s="118"/>
      <c r="F753" s="820"/>
      <c r="G753" s="675">
        <f>+CUBICACION!J747</f>
        <v>0</v>
      </c>
      <c r="H753" s="118"/>
      <c r="I753" s="821">
        <f>+CUBICACION!L747</f>
        <v>0</v>
      </c>
      <c r="J753" s="64">
        <f>+CUBICACION!M747</f>
        <v>0</v>
      </c>
      <c r="K753" s="822" t="str">
        <f>+CUBICACION!N747</f>
        <v/>
      </c>
      <c r="L753" s="118">
        <f>+CUBICACION!O747</f>
        <v>0</v>
      </c>
      <c r="M753" s="823">
        <f>+CUBICACION!P747</f>
        <v>0</v>
      </c>
      <c r="N753" s="902">
        <f>ROUND(IF(AND(L753="Blaze Shield II",M753="Software Idiem",C753="IN",G753=4),((('BLAZE SHIELD II'!$D$4*('CALCULO MORTERO'!I753^2)+'BLAZE SHIELD II'!$D$5*'CALCULO MORTERO'!I753+'BLAZE SHIELD II'!$D$6)*LN(J753))+('BLAZE SHIELD II'!$D$7*('CALCULO MORTERO'!I753^2)+'BLAZE SHIELD II'!$D$8*'CALCULO MORTERO'!I753+'BLAZE SHIELD II'!$D$9)),0)+IF(AND(L753="Blaze Shield II",M753="Software Idiem",C753="Cj"),((('BLAZE SHIELD II'!$H$4*('CALCULO MORTERO'!I753^2)+'BLAZE SHIELD II'!$H$5*'CALCULO MORTERO'!I753+'BLAZE SHIELD II'!$H$6)*LN(J753))+('BLAZE SHIELD II'!$H$7*('CALCULO MORTERO'!I753^2)+'BLAZE SHIELD II'!$H$8*'CALCULO MORTERO'!I753+'BLAZE SHIELD II'!$H$9)),0)+IF(AND(L753="Blaze Shield II",M753="Software Idiem",C753="C"),((('BLAZE SHIELD II'!$L$4*('CALCULO MORTERO'!I753^2)+'BLAZE SHIELD II'!$L$5*'CALCULO MORTERO'!I753+'BLAZE SHIELD II'!$L$6)*LN(J753))+('BLAZE SHIELD II'!$L$7*('CALCULO MORTERO'!I753^2)+'BLAZE SHIELD II'!$L$8*'CALCULO MORTERO'!I753+'BLAZE SHIELD II'!$L$9)),0)+IF(AND(L753="Blaze Shield II",M753="Software Idiem",C753="L"),((('BLAZE SHIELD II'!$L$4*('CALCULO MORTERO'!I753^2)+'BLAZE SHIELD II'!$L$5*'CALCULO MORTERO'!I753+'BLAZE SHIELD II'!$L$6)*LN(J753))+('BLAZE SHIELD II'!$L$7*('CALCULO MORTERO'!I753^2)+'BLAZE SHIELD II'!$L$8*'CALCULO MORTERO'!I753+'BLAZE SHIELD II'!$L$9)),0)+IF(AND(L753="Blaze Shield II",M753="Software Idiem",C753="IN",G753=3),((('BLAZE SHIELD II'!$H$14*('CALCULO MORTERO'!I753^2)+'BLAZE SHIELD II'!$H$15*'CALCULO MORTERO'!I753+'BLAZE SHIELD II'!$H$16)*LN(J753))+('BLAZE SHIELD II'!$H$17*('CALCULO MORTERO'!I753^2)+'BLAZE SHIELD II'!$H$18*'CALCULO MORTERO'!I753+'BLAZE SHIELD II'!$H$19)),0),0)+ROUND(IF(AND(L753="Cafco 400",M753="Software Idiem",C753="IN",G753=4),((('CAFCO 400 '!$H$7*(J753^4)+'CAFCO 400 '!$H$8*(J753^3)+'CAFCO 400 '!$H$9*(J753^2)+'CAFCO 400 '!$H$10*J753+'CAFCO 400 '!$H$11)*U753^2)+(('CAFCO 400 '!$H$12*(J753^3)+'CAFCO 400 '!$H$13*(J753^2)+'CAFCO 400 '!$H$14*J753+'CAFCO 400 '!$H$15)*U753)+('CAFCO 400 '!$H$16*(J753^2)+'CAFCO 400 '!$H$17*J753+'CAFCO 400 '!$H$18)),0)+IF(AND(L753="Cafco 400",M753="Software Idiem",C753="Cj"),(((('CAFCO 400 '!$D$7*LN(J753)+'CAFCO 400 '!$D$8)*U753^2)+(('CAFCO 400 '!$D$9*LN(J753)+'CAFCO 400 '!$D$10)*U753)+('CAFCO 400 '!$D$11*LN(J753)+'CAFCO 400 '!$D$12))),0)+IF(AND(L753="Cafco 400",M753="Software Idiem",C753="C"),((('CAFCO 400 '!$L$7*(J753^3)+'CAFCO 400 '!$L$8*(J753^2)+'CAFCO 400 '!$L$9*J753+'CAFCO 400 '!$L$10)*U753^2)+(('CAFCO 400 '!$L$11*(J753^3)+'CAFCO 400 '!$L$12*(J753^2)+'CAFCO 400 '!$L$13*J753+'CAFCO 400 '!$L$14)*U753)+('CAFCO 400 '!$L$15*LN(J753)+'CAFCO 400 '!$L$16)),0)+IF(AND(L753="Cafco 400",M753="Software Idiem",C753="L"),((('CAFCO 400 '!$L$7*(J753^3)+'CAFCO 400 '!$L$8*(J753^2)+'CAFCO 400 '!$L$9*J753+'CAFCO 400 '!$L$10)*U753^2)+(('CAFCO 400 '!$L$11*(J753^3)+'CAFCO 400 '!$L$12*(J753^2)+'CAFCO 400 '!$L$13*J753+'CAFCO 400 '!$L$14)*U753)+('CAFCO 400 '!$L$15*LN(J753)+'CAFCO 400 '!$L$16)),0)+IF(AND(L753="Cafco 400",M753="Software Idiem",C753="IN",G753=3),((('CAFCO 400 '!$D$23*(J753^2)+'CAFCO 400 '!$D$24*(J753)+'CAFCO 400 '!$D$25)*U753^2)+(('CAFCO 400 '!$D$26*(J753^2)+'CAFCO 400 '!$D$27*J753+'CAFCO 400 '!$D$28)*U753)+('CAFCO 400 '!$D$29*(J753^2)+'CAFCO 400 '!$D$30*J753+'CAFCO 400 '!$D$31)),0),0)+IF(AND(L753="Cafco 300",J753&gt;=95,J753&lt;=240,C753="Cj",I753=90),VLOOKUP(T753,'CAFCO 300 IDIEM TABLAS'!$B$4:$D$23,2,FALSE),0)+IF(AND(L753="Cafco 300",J753&gt;=95,J753&lt;=240,C753="Cj",I753=120),VLOOKUP(T753,'CAFCO 300 IDIEM TABLAS'!$B$4:$D$23,3,FALSE),0)+IF(AND(L753="Cafco 300",J753&gt;=95,J753&lt;=400,G753=3,C753="IN",I753=90),VLOOKUP(T753,'CAFCO 300 IDIEM TABLAS'!$F$4:$H$35,2,FALSE),0)+IF(AND(L753="Cafco 300",J753&gt;=95,J753&lt;=400,G753=3,C753="IN",I753=120),VLOOKUP(T753,'CAFCO 300 IDIEM TABLAS'!$F$4:$H$35,3,FALSE),0)+IF(AND(L753="Cafco 300",J753&gt;=95,J753&lt;=450,G753=4,C753="IN",I753=90),VLOOKUP(T753,'CAFCO 300 IDIEM TABLAS'!$J$4:$L$40,2,FALSE),0)+IF(AND(L753="Cafco 300",J753&gt;=95,J753&lt;=450,G753=4,C753="IN",I753=120),VLOOKUP(T753,'CAFCO 300 IDIEM TABLAS'!$J$4:$L$40,3,FALSE),0)+IF(AND(M753="Ensayo Idiem",L753="Cafco 400",C753="IN",G753=4,I753=90),VLOOKUP(T753,'CAFCO 400 ENSAYO'!$B$7:$D$43,2,FALSE),0)+IF(AND(M753="Ensayo Idiem",L753="Cafco 400",C753="IN",G753=4,I753=120),VLOOKUP(T753,'CAFCO 400 ENSAYO'!$B$7:$D$43,3,FALSE),0)</f>
        <v>0</v>
      </c>
      <c r="O753" s="96">
        <f t="shared" si="78"/>
        <v>0</v>
      </c>
      <c r="P753" s="132" t="str">
        <f t="shared" si="73"/>
        <v>N/A</v>
      </c>
      <c r="Q753" s="132" t="str">
        <f t="shared" si="74"/>
        <v>N/A</v>
      </c>
      <c r="R753" s="132" t="str">
        <f t="shared" si="75"/>
        <v>NO CERT.</v>
      </c>
      <c r="S753" s="132" t="e">
        <f t="shared" si="76"/>
        <v>#N/A</v>
      </c>
      <c r="T753" s="133" t="e">
        <f>+IF(J753=LOOKUP(J753,'CAFCO 300 IDIEM TABLAS'!$J$4:$J$40),'CALCULO MORTERO'!J753,MROUND('CALCULO MORTERO'!J753,10))</f>
        <v>#N/A</v>
      </c>
      <c r="U753" s="134">
        <f t="shared" si="77"/>
        <v>0</v>
      </c>
    </row>
    <row r="754" spans="1:21" x14ac:dyDescent="0.25">
      <c r="A754" s="118">
        <f>+CUBICACION!D748</f>
        <v>0</v>
      </c>
      <c r="B754" s="819">
        <f>+CUBICACION!E748</f>
        <v>0</v>
      </c>
      <c r="C754" s="675">
        <f>+CUBICACION!F748</f>
        <v>0</v>
      </c>
      <c r="D754" s="118"/>
      <c r="E754" s="118"/>
      <c r="F754" s="820"/>
      <c r="G754" s="675">
        <f>+CUBICACION!J748</f>
        <v>0</v>
      </c>
      <c r="H754" s="118"/>
      <c r="I754" s="821">
        <f>+CUBICACION!L748</f>
        <v>0</v>
      </c>
      <c r="J754" s="64">
        <f>+CUBICACION!M748</f>
        <v>0</v>
      </c>
      <c r="K754" s="822" t="str">
        <f>+CUBICACION!N748</f>
        <v/>
      </c>
      <c r="L754" s="118">
        <f>+CUBICACION!O748</f>
        <v>0</v>
      </c>
      <c r="M754" s="823">
        <f>+CUBICACION!P748</f>
        <v>0</v>
      </c>
      <c r="N754" s="902">
        <f>ROUND(IF(AND(L754="Blaze Shield II",M754="Software Idiem",C754="IN",G754=4),((('BLAZE SHIELD II'!$D$4*('CALCULO MORTERO'!I754^2)+'BLAZE SHIELD II'!$D$5*'CALCULO MORTERO'!I754+'BLAZE SHIELD II'!$D$6)*LN(J754))+('BLAZE SHIELD II'!$D$7*('CALCULO MORTERO'!I754^2)+'BLAZE SHIELD II'!$D$8*'CALCULO MORTERO'!I754+'BLAZE SHIELD II'!$D$9)),0)+IF(AND(L754="Blaze Shield II",M754="Software Idiem",C754="Cj"),((('BLAZE SHIELD II'!$H$4*('CALCULO MORTERO'!I754^2)+'BLAZE SHIELD II'!$H$5*'CALCULO MORTERO'!I754+'BLAZE SHIELD II'!$H$6)*LN(J754))+('BLAZE SHIELD II'!$H$7*('CALCULO MORTERO'!I754^2)+'BLAZE SHIELD II'!$H$8*'CALCULO MORTERO'!I754+'BLAZE SHIELD II'!$H$9)),0)+IF(AND(L754="Blaze Shield II",M754="Software Idiem",C754="C"),((('BLAZE SHIELD II'!$L$4*('CALCULO MORTERO'!I754^2)+'BLAZE SHIELD II'!$L$5*'CALCULO MORTERO'!I754+'BLAZE SHIELD II'!$L$6)*LN(J754))+('BLAZE SHIELD II'!$L$7*('CALCULO MORTERO'!I754^2)+'BLAZE SHIELD II'!$L$8*'CALCULO MORTERO'!I754+'BLAZE SHIELD II'!$L$9)),0)+IF(AND(L754="Blaze Shield II",M754="Software Idiem",C754="L"),((('BLAZE SHIELD II'!$L$4*('CALCULO MORTERO'!I754^2)+'BLAZE SHIELD II'!$L$5*'CALCULO MORTERO'!I754+'BLAZE SHIELD II'!$L$6)*LN(J754))+('BLAZE SHIELD II'!$L$7*('CALCULO MORTERO'!I754^2)+'BLAZE SHIELD II'!$L$8*'CALCULO MORTERO'!I754+'BLAZE SHIELD II'!$L$9)),0)+IF(AND(L754="Blaze Shield II",M754="Software Idiem",C754="IN",G754=3),((('BLAZE SHIELD II'!$H$14*('CALCULO MORTERO'!I754^2)+'BLAZE SHIELD II'!$H$15*'CALCULO MORTERO'!I754+'BLAZE SHIELD II'!$H$16)*LN(J754))+('BLAZE SHIELD II'!$H$17*('CALCULO MORTERO'!I754^2)+'BLAZE SHIELD II'!$H$18*'CALCULO MORTERO'!I754+'BLAZE SHIELD II'!$H$19)),0),0)+ROUND(IF(AND(L754="Cafco 400",M754="Software Idiem",C754="IN",G754=4),((('CAFCO 400 '!$H$7*(J754^4)+'CAFCO 400 '!$H$8*(J754^3)+'CAFCO 400 '!$H$9*(J754^2)+'CAFCO 400 '!$H$10*J754+'CAFCO 400 '!$H$11)*U754^2)+(('CAFCO 400 '!$H$12*(J754^3)+'CAFCO 400 '!$H$13*(J754^2)+'CAFCO 400 '!$H$14*J754+'CAFCO 400 '!$H$15)*U754)+('CAFCO 400 '!$H$16*(J754^2)+'CAFCO 400 '!$H$17*J754+'CAFCO 400 '!$H$18)),0)+IF(AND(L754="Cafco 400",M754="Software Idiem",C754="Cj"),(((('CAFCO 400 '!$D$7*LN(J754)+'CAFCO 400 '!$D$8)*U754^2)+(('CAFCO 400 '!$D$9*LN(J754)+'CAFCO 400 '!$D$10)*U754)+('CAFCO 400 '!$D$11*LN(J754)+'CAFCO 400 '!$D$12))),0)+IF(AND(L754="Cafco 400",M754="Software Idiem",C754="C"),((('CAFCO 400 '!$L$7*(J754^3)+'CAFCO 400 '!$L$8*(J754^2)+'CAFCO 400 '!$L$9*J754+'CAFCO 400 '!$L$10)*U754^2)+(('CAFCO 400 '!$L$11*(J754^3)+'CAFCO 400 '!$L$12*(J754^2)+'CAFCO 400 '!$L$13*J754+'CAFCO 400 '!$L$14)*U754)+('CAFCO 400 '!$L$15*LN(J754)+'CAFCO 400 '!$L$16)),0)+IF(AND(L754="Cafco 400",M754="Software Idiem",C754="L"),((('CAFCO 400 '!$L$7*(J754^3)+'CAFCO 400 '!$L$8*(J754^2)+'CAFCO 400 '!$L$9*J754+'CAFCO 400 '!$L$10)*U754^2)+(('CAFCO 400 '!$L$11*(J754^3)+'CAFCO 400 '!$L$12*(J754^2)+'CAFCO 400 '!$L$13*J754+'CAFCO 400 '!$L$14)*U754)+('CAFCO 400 '!$L$15*LN(J754)+'CAFCO 400 '!$L$16)),0)+IF(AND(L754="Cafco 400",M754="Software Idiem",C754="IN",G754=3),((('CAFCO 400 '!$D$23*(J754^2)+'CAFCO 400 '!$D$24*(J754)+'CAFCO 400 '!$D$25)*U754^2)+(('CAFCO 400 '!$D$26*(J754^2)+'CAFCO 400 '!$D$27*J754+'CAFCO 400 '!$D$28)*U754)+('CAFCO 400 '!$D$29*(J754^2)+'CAFCO 400 '!$D$30*J754+'CAFCO 400 '!$D$31)),0),0)+IF(AND(L754="Cafco 300",J754&gt;=95,J754&lt;=240,C754="Cj",I754=90),VLOOKUP(T754,'CAFCO 300 IDIEM TABLAS'!$B$4:$D$23,2,FALSE),0)+IF(AND(L754="Cafco 300",J754&gt;=95,J754&lt;=240,C754="Cj",I754=120),VLOOKUP(T754,'CAFCO 300 IDIEM TABLAS'!$B$4:$D$23,3,FALSE),0)+IF(AND(L754="Cafco 300",J754&gt;=95,J754&lt;=400,G754=3,C754="IN",I754=90),VLOOKUP(T754,'CAFCO 300 IDIEM TABLAS'!$F$4:$H$35,2,FALSE),0)+IF(AND(L754="Cafco 300",J754&gt;=95,J754&lt;=400,G754=3,C754="IN",I754=120),VLOOKUP(T754,'CAFCO 300 IDIEM TABLAS'!$F$4:$H$35,3,FALSE),0)+IF(AND(L754="Cafco 300",J754&gt;=95,J754&lt;=450,G754=4,C754="IN",I754=90),VLOOKUP(T754,'CAFCO 300 IDIEM TABLAS'!$J$4:$L$40,2,FALSE),0)+IF(AND(L754="Cafco 300",J754&gt;=95,J754&lt;=450,G754=4,C754="IN",I754=120),VLOOKUP(T754,'CAFCO 300 IDIEM TABLAS'!$J$4:$L$40,3,FALSE),0)+IF(AND(M754="Ensayo Idiem",L754="Cafco 400",C754="IN",G754=4,I754=90),VLOOKUP(T754,'CAFCO 400 ENSAYO'!$B$7:$D$43,2,FALSE),0)+IF(AND(M754="Ensayo Idiem",L754="Cafco 400",C754="IN",G754=4,I754=120),VLOOKUP(T754,'CAFCO 400 ENSAYO'!$B$7:$D$43,3,FALSE),0)</f>
        <v>0</v>
      </c>
      <c r="O754" s="96">
        <f t="shared" si="78"/>
        <v>0</v>
      </c>
      <c r="P754" s="95" t="str">
        <f t="shared" ref="P754:P817" si="79">IF(AND(M754="Software Idiem"),IF(AND(C754="IN",G754=4,J754&gt;=50,J754&lt;=500),"CERT.",IF(AND(C754="Cj",J754&gt;=50,J754&lt;=500),"CERT.",IF(AND(C754="C",J754&gt;=50,J754&lt;=1000),"CERT.",IF(AND(C754="L",J754&gt;=50,J754&lt;=1000),"CERT.",IF(AND(C754="IN",G754=3,J754&gt;=50,J754&lt;=500),"CERT.","NO CERT."))))),"N/A")</f>
        <v>N/A</v>
      </c>
      <c r="Q754" s="95" t="str">
        <f t="shared" ref="Q754:Q817" si="80">IF(AND(M754="Software Idiem"),IF(AND(C754="IN",G754=4,J754&gt;=50,J754&lt;=500),"CERT.",IF(AND(C754="Cj",J754&gt;=50,J754&lt;=500),"CERT.",IF(AND(C754="C",J754&gt;=50,J754&lt;=1000),"CERT.",IF(AND(C754="L",J754&gt;=50,J754&lt;=1000),"CERT.",IF(AND(C754="IN",G754=3,J754&gt;=50,J754&lt;=500),"CERT.","NO CERT."))))),"N/A")</f>
        <v>N/A</v>
      </c>
      <c r="R754" s="95" t="str">
        <f t="shared" ref="R754:R817" si="81">IF(AND(C754="IN",G754=4,J754&gt;=95,J754&lt;=450,I754=90),"CERT.",IF(AND(C754="IN",G754=4,J754&gt;=95,J754&lt;=450,I754=120),"CERT.","NO CERT."))</f>
        <v>NO CERT.</v>
      </c>
      <c r="S754" s="95" t="e">
        <f t="shared" ref="S754:S817" si="82">IF(AND(C754="Cj",I754=90,T754&lt;=240),"CERT.",IF(AND(C754="Cj",I754=120,T754&lt;=240),"CERT.",IF(AND(C754="IN",G754=3,I754=90,T754&lt;=400),"CERT.",IF(AND(C754="IN",G754=3,I754=120,T754&lt;=400),"CERT.",IF(AND(C754="IN",G754=4,I754=90,T754&lt;=450),"CERT.",IF(AND(C754="IN",G754=4,I754=120,T754&lt;=450),"CERT.","NO CERT."))))))</f>
        <v>#N/A</v>
      </c>
      <c r="T754" s="119" t="e">
        <f>+IF(J754=LOOKUP(J754,'CAFCO 300 IDIEM TABLAS'!$J$4:$J$40),'CALCULO MORTERO'!J754,MROUND('CALCULO MORTERO'!J754,10))</f>
        <v>#N/A</v>
      </c>
      <c r="U754" s="118">
        <f t="shared" ref="U754:U817" si="83">+I754*60</f>
        <v>0</v>
      </c>
    </row>
    <row r="755" spans="1:21" x14ac:dyDescent="0.25">
      <c r="A755" s="118">
        <f>+CUBICACION!D749</f>
        <v>0</v>
      </c>
      <c r="B755" s="819">
        <f>+CUBICACION!E749</f>
        <v>0</v>
      </c>
      <c r="C755" s="675">
        <f>+CUBICACION!F749</f>
        <v>0</v>
      </c>
      <c r="D755" s="118"/>
      <c r="E755" s="118"/>
      <c r="F755" s="820"/>
      <c r="G755" s="675">
        <f>+CUBICACION!J749</f>
        <v>0</v>
      </c>
      <c r="H755" s="118"/>
      <c r="I755" s="821">
        <f>+CUBICACION!L749</f>
        <v>0</v>
      </c>
      <c r="J755" s="64">
        <f>+CUBICACION!M749</f>
        <v>0</v>
      </c>
      <c r="K755" s="822" t="str">
        <f>+CUBICACION!N749</f>
        <v/>
      </c>
      <c r="L755" s="118">
        <f>+CUBICACION!O749</f>
        <v>0</v>
      </c>
      <c r="M755" s="823">
        <f>+CUBICACION!P749</f>
        <v>0</v>
      </c>
      <c r="N755" s="902">
        <f>ROUND(IF(AND(L755="Blaze Shield II",M755="Software Idiem",C755="IN",G755=4),((('BLAZE SHIELD II'!$D$4*('CALCULO MORTERO'!I755^2)+'BLAZE SHIELD II'!$D$5*'CALCULO MORTERO'!I755+'BLAZE SHIELD II'!$D$6)*LN(J755))+('BLAZE SHIELD II'!$D$7*('CALCULO MORTERO'!I755^2)+'BLAZE SHIELD II'!$D$8*'CALCULO MORTERO'!I755+'BLAZE SHIELD II'!$D$9)),0)+IF(AND(L755="Blaze Shield II",M755="Software Idiem",C755="Cj"),((('BLAZE SHIELD II'!$H$4*('CALCULO MORTERO'!I755^2)+'BLAZE SHIELD II'!$H$5*'CALCULO MORTERO'!I755+'BLAZE SHIELD II'!$H$6)*LN(J755))+('BLAZE SHIELD II'!$H$7*('CALCULO MORTERO'!I755^2)+'BLAZE SHIELD II'!$H$8*'CALCULO MORTERO'!I755+'BLAZE SHIELD II'!$H$9)),0)+IF(AND(L755="Blaze Shield II",M755="Software Idiem",C755="C"),((('BLAZE SHIELD II'!$L$4*('CALCULO MORTERO'!I755^2)+'BLAZE SHIELD II'!$L$5*'CALCULO MORTERO'!I755+'BLAZE SHIELD II'!$L$6)*LN(J755))+('BLAZE SHIELD II'!$L$7*('CALCULO MORTERO'!I755^2)+'BLAZE SHIELD II'!$L$8*'CALCULO MORTERO'!I755+'BLAZE SHIELD II'!$L$9)),0)+IF(AND(L755="Blaze Shield II",M755="Software Idiem",C755="L"),((('BLAZE SHIELD II'!$L$4*('CALCULO MORTERO'!I755^2)+'BLAZE SHIELD II'!$L$5*'CALCULO MORTERO'!I755+'BLAZE SHIELD II'!$L$6)*LN(J755))+('BLAZE SHIELD II'!$L$7*('CALCULO MORTERO'!I755^2)+'BLAZE SHIELD II'!$L$8*'CALCULO MORTERO'!I755+'BLAZE SHIELD II'!$L$9)),0)+IF(AND(L755="Blaze Shield II",M755="Software Idiem",C755="IN",G755=3),((('BLAZE SHIELD II'!$H$14*('CALCULO MORTERO'!I755^2)+'BLAZE SHIELD II'!$H$15*'CALCULO MORTERO'!I755+'BLAZE SHIELD II'!$H$16)*LN(J755))+('BLAZE SHIELD II'!$H$17*('CALCULO MORTERO'!I755^2)+'BLAZE SHIELD II'!$H$18*'CALCULO MORTERO'!I755+'BLAZE SHIELD II'!$H$19)),0),0)+ROUND(IF(AND(L755="Cafco 400",M755="Software Idiem",C755="IN",G755=4),((('CAFCO 400 '!$H$7*(J755^4)+'CAFCO 400 '!$H$8*(J755^3)+'CAFCO 400 '!$H$9*(J755^2)+'CAFCO 400 '!$H$10*J755+'CAFCO 400 '!$H$11)*U755^2)+(('CAFCO 400 '!$H$12*(J755^3)+'CAFCO 400 '!$H$13*(J755^2)+'CAFCO 400 '!$H$14*J755+'CAFCO 400 '!$H$15)*U755)+('CAFCO 400 '!$H$16*(J755^2)+'CAFCO 400 '!$H$17*J755+'CAFCO 400 '!$H$18)),0)+IF(AND(L755="Cafco 400",M755="Software Idiem",C755="Cj"),(((('CAFCO 400 '!$D$7*LN(J755)+'CAFCO 400 '!$D$8)*U755^2)+(('CAFCO 400 '!$D$9*LN(J755)+'CAFCO 400 '!$D$10)*U755)+('CAFCO 400 '!$D$11*LN(J755)+'CAFCO 400 '!$D$12))),0)+IF(AND(L755="Cafco 400",M755="Software Idiem",C755="C"),((('CAFCO 400 '!$L$7*(J755^3)+'CAFCO 400 '!$L$8*(J755^2)+'CAFCO 400 '!$L$9*J755+'CAFCO 400 '!$L$10)*U755^2)+(('CAFCO 400 '!$L$11*(J755^3)+'CAFCO 400 '!$L$12*(J755^2)+'CAFCO 400 '!$L$13*J755+'CAFCO 400 '!$L$14)*U755)+('CAFCO 400 '!$L$15*LN(J755)+'CAFCO 400 '!$L$16)),0)+IF(AND(L755="Cafco 400",M755="Software Idiem",C755="L"),((('CAFCO 400 '!$L$7*(J755^3)+'CAFCO 400 '!$L$8*(J755^2)+'CAFCO 400 '!$L$9*J755+'CAFCO 400 '!$L$10)*U755^2)+(('CAFCO 400 '!$L$11*(J755^3)+'CAFCO 400 '!$L$12*(J755^2)+'CAFCO 400 '!$L$13*J755+'CAFCO 400 '!$L$14)*U755)+('CAFCO 400 '!$L$15*LN(J755)+'CAFCO 400 '!$L$16)),0)+IF(AND(L755="Cafco 400",M755="Software Idiem",C755="IN",G755=3),((('CAFCO 400 '!$D$23*(J755^2)+'CAFCO 400 '!$D$24*(J755)+'CAFCO 400 '!$D$25)*U755^2)+(('CAFCO 400 '!$D$26*(J755^2)+'CAFCO 400 '!$D$27*J755+'CAFCO 400 '!$D$28)*U755)+('CAFCO 400 '!$D$29*(J755^2)+'CAFCO 400 '!$D$30*J755+'CAFCO 400 '!$D$31)),0),0)+IF(AND(L755="Cafco 300",J755&gt;=95,J755&lt;=240,C755="Cj",I755=90),VLOOKUP(T755,'CAFCO 300 IDIEM TABLAS'!$B$4:$D$23,2,FALSE),0)+IF(AND(L755="Cafco 300",J755&gt;=95,J755&lt;=240,C755="Cj",I755=120),VLOOKUP(T755,'CAFCO 300 IDIEM TABLAS'!$B$4:$D$23,3,FALSE),0)+IF(AND(L755="Cafco 300",J755&gt;=95,J755&lt;=400,G755=3,C755="IN",I755=90),VLOOKUP(T755,'CAFCO 300 IDIEM TABLAS'!$F$4:$H$35,2,FALSE),0)+IF(AND(L755="Cafco 300",J755&gt;=95,J755&lt;=400,G755=3,C755="IN",I755=120),VLOOKUP(T755,'CAFCO 300 IDIEM TABLAS'!$F$4:$H$35,3,FALSE),0)+IF(AND(L755="Cafco 300",J755&gt;=95,J755&lt;=450,G755=4,C755="IN",I755=90),VLOOKUP(T755,'CAFCO 300 IDIEM TABLAS'!$J$4:$L$40,2,FALSE),0)+IF(AND(L755="Cafco 300",J755&gt;=95,J755&lt;=450,G755=4,C755="IN",I755=120),VLOOKUP(T755,'CAFCO 300 IDIEM TABLAS'!$J$4:$L$40,3,FALSE),0)+IF(AND(M755="Ensayo Idiem",L755="Cafco 400",C755="IN",G755=4,I755=90),VLOOKUP(T755,'CAFCO 400 ENSAYO'!$B$7:$D$43,2,FALSE),0)+IF(AND(M755="Ensayo Idiem",L755="Cafco 400",C755="IN",G755=4,I755=120),VLOOKUP(T755,'CAFCO 400 ENSAYO'!$B$7:$D$43,3,FALSE),0)</f>
        <v>0</v>
      </c>
      <c r="O755" s="96">
        <f t="shared" si="78"/>
        <v>0</v>
      </c>
      <c r="P755" s="132" t="str">
        <f t="shared" si="79"/>
        <v>N/A</v>
      </c>
      <c r="Q755" s="132" t="str">
        <f t="shared" si="80"/>
        <v>N/A</v>
      </c>
      <c r="R755" s="132" t="str">
        <f t="shared" si="81"/>
        <v>NO CERT.</v>
      </c>
      <c r="S755" s="132" t="e">
        <f t="shared" si="82"/>
        <v>#N/A</v>
      </c>
      <c r="T755" s="133" t="e">
        <f>+IF(J755=LOOKUP(J755,'CAFCO 300 IDIEM TABLAS'!$J$4:$J$40),'CALCULO MORTERO'!J755,MROUND('CALCULO MORTERO'!J755,10))</f>
        <v>#N/A</v>
      </c>
      <c r="U755" s="134">
        <f t="shared" si="83"/>
        <v>0</v>
      </c>
    </row>
    <row r="756" spans="1:21" x14ac:dyDescent="0.25">
      <c r="A756" s="118">
        <f>+CUBICACION!D750</f>
        <v>0</v>
      </c>
      <c r="B756" s="819">
        <f>+CUBICACION!E750</f>
        <v>0</v>
      </c>
      <c r="C756" s="675">
        <f>+CUBICACION!F750</f>
        <v>0</v>
      </c>
      <c r="D756" s="118"/>
      <c r="E756" s="118"/>
      <c r="F756" s="820"/>
      <c r="G756" s="675">
        <f>+CUBICACION!J750</f>
        <v>0</v>
      </c>
      <c r="H756" s="118"/>
      <c r="I756" s="821">
        <f>+CUBICACION!L750</f>
        <v>0</v>
      </c>
      <c r="J756" s="64">
        <f>+CUBICACION!M750</f>
        <v>0</v>
      </c>
      <c r="K756" s="822" t="str">
        <f>+CUBICACION!N750</f>
        <v/>
      </c>
      <c r="L756" s="118">
        <f>+CUBICACION!O750</f>
        <v>0</v>
      </c>
      <c r="M756" s="823">
        <f>+CUBICACION!P750</f>
        <v>0</v>
      </c>
      <c r="N756" s="902">
        <f>ROUND(IF(AND(L756="Blaze Shield II",M756="Software Idiem",C756="IN",G756=4),((('BLAZE SHIELD II'!$D$4*('CALCULO MORTERO'!I756^2)+'BLAZE SHIELD II'!$D$5*'CALCULO MORTERO'!I756+'BLAZE SHIELD II'!$D$6)*LN(J756))+('BLAZE SHIELD II'!$D$7*('CALCULO MORTERO'!I756^2)+'BLAZE SHIELD II'!$D$8*'CALCULO MORTERO'!I756+'BLAZE SHIELD II'!$D$9)),0)+IF(AND(L756="Blaze Shield II",M756="Software Idiem",C756="Cj"),((('BLAZE SHIELD II'!$H$4*('CALCULO MORTERO'!I756^2)+'BLAZE SHIELD II'!$H$5*'CALCULO MORTERO'!I756+'BLAZE SHIELD II'!$H$6)*LN(J756))+('BLAZE SHIELD II'!$H$7*('CALCULO MORTERO'!I756^2)+'BLAZE SHIELD II'!$H$8*'CALCULO MORTERO'!I756+'BLAZE SHIELD II'!$H$9)),0)+IF(AND(L756="Blaze Shield II",M756="Software Idiem",C756="C"),((('BLAZE SHIELD II'!$L$4*('CALCULO MORTERO'!I756^2)+'BLAZE SHIELD II'!$L$5*'CALCULO MORTERO'!I756+'BLAZE SHIELD II'!$L$6)*LN(J756))+('BLAZE SHIELD II'!$L$7*('CALCULO MORTERO'!I756^2)+'BLAZE SHIELD II'!$L$8*'CALCULO MORTERO'!I756+'BLAZE SHIELD II'!$L$9)),0)+IF(AND(L756="Blaze Shield II",M756="Software Idiem",C756="L"),((('BLAZE SHIELD II'!$L$4*('CALCULO MORTERO'!I756^2)+'BLAZE SHIELD II'!$L$5*'CALCULO MORTERO'!I756+'BLAZE SHIELD II'!$L$6)*LN(J756))+('BLAZE SHIELD II'!$L$7*('CALCULO MORTERO'!I756^2)+'BLAZE SHIELD II'!$L$8*'CALCULO MORTERO'!I756+'BLAZE SHIELD II'!$L$9)),0)+IF(AND(L756="Blaze Shield II",M756="Software Idiem",C756="IN",G756=3),((('BLAZE SHIELD II'!$H$14*('CALCULO MORTERO'!I756^2)+'BLAZE SHIELD II'!$H$15*'CALCULO MORTERO'!I756+'BLAZE SHIELD II'!$H$16)*LN(J756))+('BLAZE SHIELD II'!$H$17*('CALCULO MORTERO'!I756^2)+'BLAZE SHIELD II'!$H$18*'CALCULO MORTERO'!I756+'BLAZE SHIELD II'!$H$19)),0),0)+ROUND(IF(AND(L756="Cafco 400",M756="Software Idiem",C756="IN",G756=4),((('CAFCO 400 '!$H$7*(J756^4)+'CAFCO 400 '!$H$8*(J756^3)+'CAFCO 400 '!$H$9*(J756^2)+'CAFCO 400 '!$H$10*J756+'CAFCO 400 '!$H$11)*U756^2)+(('CAFCO 400 '!$H$12*(J756^3)+'CAFCO 400 '!$H$13*(J756^2)+'CAFCO 400 '!$H$14*J756+'CAFCO 400 '!$H$15)*U756)+('CAFCO 400 '!$H$16*(J756^2)+'CAFCO 400 '!$H$17*J756+'CAFCO 400 '!$H$18)),0)+IF(AND(L756="Cafco 400",M756="Software Idiem",C756="Cj"),(((('CAFCO 400 '!$D$7*LN(J756)+'CAFCO 400 '!$D$8)*U756^2)+(('CAFCO 400 '!$D$9*LN(J756)+'CAFCO 400 '!$D$10)*U756)+('CAFCO 400 '!$D$11*LN(J756)+'CAFCO 400 '!$D$12))),0)+IF(AND(L756="Cafco 400",M756="Software Idiem",C756="C"),((('CAFCO 400 '!$L$7*(J756^3)+'CAFCO 400 '!$L$8*(J756^2)+'CAFCO 400 '!$L$9*J756+'CAFCO 400 '!$L$10)*U756^2)+(('CAFCO 400 '!$L$11*(J756^3)+'CAFCO 400 '!$L$12*(J756^2)+'CAFCO 400 '!$L$13*J756+'CAFCO 400 '!$L$14)*U756)+('CAFCO 400 '!$L$15*LN(J756)+'CAFCO 400 '!$L$16)),0)+IF(AND(L756="Cafco 400",M756="Software Idiem",C756="L"),((('CAFCO 400 '!$L$7*(J756^3)+'CAFCO 400 '!$L$8*(J756^2)+'CAFCO 400 '!$L$9*J756+'CAFCO 400 '!$L$10)*U756^2)+(('CAFCO 400 '!$L$11*(J756^3)+'CAFCO 400 '!$L$12*(J756^2)+'CAFCO 400 '!$L$13*J756+'CAFCO 400 '!$L$14)*U756)+('CAFCO 400 '!$L$15*LN(J756)+'CAFCO 400 '!$L$16)),0)+IF(AND(L756="Cafco 400",M756="Software Idiem",C756="IN",G756=3),((('CAFCO 400 '!$D$23*(J756^2)+'CAFCO 400 '!$D$24*(J756)+'CAFCO 400 '!$D$25)*U756^2)+(('CAFCO 400 '!$D$26*(J756^2)+'CAFCO 400 '!$D$27*J756+'CAFCO 400 '!$D$28)*U756)+('CAFCO 400 '!$D$29*(J756^2)+'CAFCO 400 '!$D$30*J756+'CAFCO 400 '!$D$31)),0),0)+IF(AND(L756="Cafco 300",J756&gt;=95,J756&lt;=240,C756="Cj",I756=90),VLOOKUP(T756,'CAFCO 300 IDIEM TABLAS'!$B$4:$D$23,2,FALSE),0)+IF(AND(L756="Cafco 300",J756&gt;=95,J756&lt;=240,C756="Cj",I756=120),VLOOKUP(T756,'CAFCO 300 IDIEM TABLAS'!$B$4:$D$23,3,FALSE),0)+IF(AND(L756="Cafco 300",J756&gt;=95,J756&lt;=400,G756=3,C756="IN",I756=90),VLOOKUP(T756,'CAFCO 300 IDIEM TABLAS'!$F$4:$H$35,2,FALSE),0)+IF(AND(L756="Cafco 300",J756&gt;=95,J756&lt;=400,G756=3,C756="IN",I756=120),VLOOKUP(T756,'CAFCO 300 IDIEM TABLAS'!$F$4:$H$35,3,FALSE),0)+IF(AND(L756="Cafco 300",J756&gt;=95,J756&lt;=450,G756=4,C756="IN",I756=90),VLOOKUP(T756,'CAFCO 300 IDIEM TABLAS'!$J$4:$L$40,2,FALSE),0)+IF(AND(L756="Cafco 300",J756&gt;=95,J756&lt;=450,G756=4,C756="IN",I756=120),VLOOKUP(T756,'CAFCO 300 IDIEM TABLAS'!$J$4:$L$40,3,FALSE),0)+IF(AND(M756="Ensayo Idiem",L756="Cafco 400",C756="IN",G756=4,I756=90),VLOOKUP(T756,'CAFCO 400 ENSAYO'!$B$7:$D$43,2,FALSE),0)+IF(AND(M756="Ensayo Idiem",L756="Cafco 400",C756="IN",G756=4,I756=120),VLOOKUP(T756,'CAFCO 400 ENSAYO'!$B$7:$D$43,3,FALSE),0)</f>
        <v>0</v>
      </c>
      <c r="O756" s="96">
        <f t="shared" si="78"/>
        <v>0</v>
      </c>
      <c r="P756" s="95" t="str">
        <f t="shared" si="79"/>
        <v>N/A</v>
      </c>
      <c r="Q756" s="95" t="str">
        <f t="shared" si="80"/>
        <v>N/A</v>
      </c>
      <c r="R756" s="95" t="str">
        <f t="shared" si="81"/>
        <v>NO CERT.</v>
      </c>
      <c r="S756" s="95" t="e">
        <f t="shared" si="82"/>
        <v>#N/A</v>
      </c>
      <c r="T756" s="119" t="e">
        <f>+IF(J756=LOOKUP(J756,'CAFCO 300 IDIEM TABLAS'!$J$4:$J$40),'CALCULO MORTERO'!J756,MROUND('CALCULO MORTERO'!J756,10))</f>
        <v>#N/A</v>
      </c>
      <c r="U756" s="118">
        <f t="shared" si="83"/>
        <v>0</v>
      </c>
    </row>
    <row r="757" spans="1:21" x14ac:dyDescent="0.25">
      <c r="A757" s="118">
        <f>+CUBICACION!D751</f>
        <v>0</v>
      </c>
      <c r="B757" s="819">
        <f>+CUBICACION!E751</f>
        <v>0</v>
      </c>
      <c r="C757" s="675">
        <f>+CUBICACION!F751</f>
        <v>0</v>
      </c>
      <c r="D757" s="118"/>
      <c r="E757" s="118"/>
      <c r="F757" s="820"/>
      <c r="G757" s="675">
        <f>+CUBICACION!J751</f>
        <v>0</v>
      </c>
      <c r="H757" s="118"/>
      <c r="I757" s="821">
        <f>+CUBICACION!L751</f>
        <v>0</v>
      </c>
      <c r="J757" s="64">
        <f>+CUBICACION!M751</f>
        <v>0</v>
      </c>
      <c r="K757" s="822" t="str">
        <f>+CUBICACION!N751</f>
        <v/>
      </c>
      <c r="L757" s="118">
        <f>+CUBICACION!O751</f>
        <v>0</v>
      </c>
      <c r="M757" s="823">
        <f>+CUBICACION!P751</f>
        <v>0</v>
      </c>
      <c r="N757" s="902">
        <f>ROUND(IF(AND(L757="Blaze Shield II",M757="Software Idiem",C757="IN",G757=4),((('BLAZE SHIELD II'!$D$4*('CALCULO MORTERO'!I757^2)+'BLAZE SHIELD II'!$D$5*'CALCULO MORTERO'!I757+'BLAZE SHIELD II'!$D$6)*LN(J757))+('BLAZE SHIELD II'!$D$7*('CALCULO MORTERO'!I757^2)+'BLAZE SHIELD II'!$D$8*'CALCULO MORTERO'!I757+'BLAZE SHIELD II'!$D$9)),0)+IF(AND(L757="Blaze Shield II",M757="Software Idiem",C757="Cj"),((('BLAZE SHIELD II'!$H$4*('CALCULO MORTERO'!I757^2)+'BLAZE SHIELD II'!$H$5*'CALCULO MORTERO'!I757+'BLAZE SHIELD II'!$H$6)*LN(J757))+('BLAZE SHIELD II'!$H$7*('CALCULO MORTERO'!I757^2)+'BLAZE SHIELD II'!$H$8*'CALCULO MORTERO'!I757+'BLAZE SHIELD II'!$H$9)),0)+IF(AND(L757="Blaze Shield II",M757="Software Idiem",C757="C"),((('BLAZE SHIELD II'!$L$4*('CALCULO MORTERO'!I757^2)+'BLAZE SHIELD II'!$L$5*'CALCULO MORTERO'!I757+'BLAZE SHIELD II'!$L$6)*LN(J757))+('BLAZE SHIELD II'!$L$7*('CALCULO MORTERO'!I757^2)+'BLAZE SHIELD II'!$L$8*'CALCULO MORTERO'!I757+'BLAZE SHIELD II'!$L$9)),0)+IF(AND(L757="Blaze Shield II",M757="Software Idiem",C757="L"),((('BLAZE SHIELD II'!$L$4*('CALCULO MORTERO'!I757^2)+'BLAZE SHIELD II'!$L$5*'CALCULO MORTERO'!I757+'BLAZE SHIELD II'!$L$6)*LN(J757))+('BLAZE SHIELD II'!$L$7*('CALCULO MORTERO'!I757^2)+'BLAZE SHIELD II'!$L$8*'CALCULO MORTERO'!I757+'BLAZE SHIELD II'!$L$9)),0)+IF(AND(L757="Blaze Shield II",M757="Software Idiem",C757="IN",G757=3),((('BLAZE SHIELD II'!$H$14*('CALCULO MORTERO'!I757^2)+'BLAZE SHIELD II'!$H$15*'CALCULO MORTERO'!I757+'BLAZE SHIELD II'!$H$16)*LN(J757))+('BLAZE SHIELD II'!$H$17*('CALCULO MORTERO'!I757^2)+'BLAZE SHIELD II'!$H$18*'CALCULO MORTERO'!I757+'BLAZE SHIELD II'!$H$19)),0),0)+ROUND(IF(AND(L757="Cafco 400",M757="Software Idiem",C757="IN",G757=4),((('CAFCO 400 '!$H$7*(J757^4)+'CAFCO 400 '!$H$8*(J757^3)+'CAFCO 400 '!$H$9*(J757^2)+'CAFCO 400 '!$H$10*J757+'CAFCO 400 '!$H$11)*U757^2)+(('CAFCO 400 '!$H$12*(J757^3)+'CAFCO 400 '!$H$13*(J757^2)+'CAFCO 400 '!$H$14*J757+'CAFCO 400 '!$H$15)*U757)+('CAFCO 400 '!$H$16*(J757^2)+'CAFCO 400 '!$H$17*J757+'CAFCO 400 '!$H$18)),0)+IF(AND(L757="Cafco 400",M757="Software Idiem",C757="Cj"),(((('CAFCO 400 '!$D$7*LN(J757)+'CAFCO 400 '!$D$8)*U757^2)+(('CAFCO 400 '!$D$9*LN(J757)+'CAFCO 400 '!$D$10)*U757)+('CAFCO 400 '!$D$11*LN(J757)+'CAFCO 400 '!$D$12))),0)+IF(AND(L757="Cafco 400",M757="Software Idiem",C757="C"),((('CAFCO 400 '!$L$7*(J757^3)+'CAFCO 400 '!$L$8*(J757^2)+'CAFCO 400 '!$L$9*J757+'CAFCO 400 '!$L$10)*U757^2)+(('CAFCO 400 '!$L$11*(J757^3)+'CAFCO 400 '!$L$12*(J757^2)+'CAFCO 400 '!$L$13*J757+'CAFCO 400 '!$L$14)*U757)+('CAFCO 400 '!$L$15*LN(J757)+'CAFCO 400 '!$L$16)),0)+IF(AND(L757="Cafco 400",M757="Software Idiem",C757="L"),((('CAFCO 400 '!$L$7*(J757^3)+'CAFCO 400 '!$L$8*(J757^2)+'CAFCO 400 '!$L$9*J757+'CAFCO 400 '!$L$10)*U757^2)+(('CAFCO 400 '!$L$11*(J757^3)+'CAFCO 400 '!$L$12*(J757^2)+'CAFCO 400 '!$L$13*J757+'CAFCO 400 '!$L$14)*U757)+('CAFCO 400 '!$L$15*LN(J757)+'CAFCO 400 '!$L$16)),0)+IF(AND(L757="Cafco 400",M757="Software Idiem",C757="IN",G757=3),((('CAFCO 400 '!$D$23*(J757^2)+'CAFCO 400 '!$D$24*(J757)+'CAFCO 400 '!$D$25)*U757^2)+(('CAFCO 400 '!$D$26*(J757^2)+'CAFCO 400 '!$D$27*J757+'CAFCO 400 '!$D$28)*U757)+('CAFCO 400 '!$D$29*(J757^2)+'CAFCO 400 '!$D$30*J757+'CAFCO 400 '!$D$31)),0),0)+IF(AND(L757="Cafco 300",J757&gt;=95,J757&lt;=240,C757="Cj",I757=90),VLOOKUP(T757,'CAFCO 300 IDIEM TABLAS'!$B$4:$D$23,2,FALSE),0)+IF(AND(L757="Cafco 300",J757&gt;=95,J757&lt;=240,C757="Cj",I757=120),VLOOKUP(T757,'CAFCO 300 IDIEM TABLAS'!$B$4:$D$23,3,FALSE),0)+IF(AND(L757="Cafco 300",J757&gt;=95,J757&lt;=400,G757=3,C757="IN",I757=90),VLOOKUP(T757,'CAFCO 300 IDIEM TABLAS'!$F$4:$H$35,2,FALSE),0)+IF(AND(L757="Cafco 300",J757&gt;=95,J757&lt;=400,G757=3,C757="IN",I757=120),VLOOKUP(T757,'CAFCO 300 IDIEM TABLAS'!$F$4:$H$35,3,FALSE),0)+IF(AND(L757="Cafco 300",J757&gt;=95,J757&lt;=450,G757=4,C757="IN",I757=90),VLOOKUP(T757,'CAFCO 300 IDIEM TABLAS'!$J$4:$L$40,2,FALSE),0)+IF(AND(L757="Cafco 300",J757&gt;=95,J757&lt;=450,G757=4,C757="IN",I757=120),VLOOKUP(T757,'CAFCO 300 IDIEM TABLAS'!$J$4:$L$40,3,FALSE),0)+IF(AND(M757="Ensayo Idiem",L757="Cafco 400",C757="IN",G757=4,I757=90),VLOOKUP(T757,'CAFCO 400 ENSAYO'!$B$7:$D$43,2,FALSE),0)+IF(AND(M757="Ensayo Idiem",L757="Cafco 400",C757="IN",G757=4,I757=120),VLOOKUP(T757,'CAFCO 400 ENSAYO'!$B$7:$D$43,3,FALSE),0)</f>
        <v>0</v>
      </c>
      <c r="O757" s="96">
        <f t="shared" si="78"/>
        <v>0</v>
      </c>
      <c r="P757" s="132" t="str">
        <f t="shared" si="79"/>
        <v>N/A</v>
      </c>
      <c r="Q757" s="132" t="str">
        <f t="shared" si="80"/>
        <v>N/A</v>
      </c>
      <c r="R757" s="132" t="str">
        <f t="shared" si="81"/>
        <v>NO CERT.</v>
      </c>
      <c r="S757" s="132" t="e">
        <f t="shared" si="82"/>
        <v>#N/A</v>
      </c>
      <c r="T757" s="133" t="e">
        <f>+IF(J757=LOOKUP(J757,'CAFCO 300 IDIEM TABLAS'!$J$4:$J$40),'CALCULO MORTERO'!J757,MROUND('CALCULO MORTERO'!J757,10))</f>
        <v>#N/A</v>
      </c>
      <c r="U757" s="134">
        <f t="shared" si="83"/>
        <v>0</v>
      </c>
    </row>
    <row r="758" spans="1:21" x14ac:dyDescent="0.25">
      <c r="A758" s="118">
        <f>+CUBICACION!D752</f>
        <v>0</v>
      </c>
      <c r="B758" s="819">
        <f>+CUBICACION!E752</f>
        <v>0</v>
      </c>
      <c r="C758" s="675">
        <f>+CUBICACION!F752</f>
        <v>0</v>
      </c>
      <c r="D758" s="118"/>
      <c r="E758" s="118"/>
      <c r="F758" s="820"/>
      <c r="G758" s="675">
        <f>+CUBICACION!J752</f>
        <v>0</v>
      </c>
      <c r="H758" s="118"/>
      <c r="I758" s="821">
        <f>+CUBICACION!L752</f>
        <v>0</v>
      </c>
      <c r="J758" s="64">
        <f>+CUBICACION!M752</f>
        <v>0</v>
      </c>
      <c r="K758" s="822" t="str">
        <f>+CUBICACION!N752</f>
        <v/>
      </c>
      <c r="L758" s="118">
        <f>+CUBICACION!O752</f>
        <v>0</v>
      </c>
      <c r="M758" s="823">
        <f>+CUBICACION!P752</f>
        <v>0</v>
      </c>
      <c r="N758" s="902">
        <f>ROUND(IF(AND(L758="Blaze Shield II",M758="Software Idiem",C758="IN",G758=4),((('BLAZE SHIELD II'!$D$4*('CALCULO MORTERO'!I758^2)+'BLAZE SHIELD II'!$D$5*'CALCULO MORTERO'!I758+'BLAZE SHIELD II'!$D$6)*LN(J758))+('BLAZE SHIELD II'!$D$7*('CALCULO MORTERO'!I758^2)+'BLAZE SHIELD II'!$D$8*'CALCULO MORTERO'!I758+'BLAZE SHIELD II'!$D$9)),0)+IF(AND(L758="Blaze Shield II",M758="Software Idiem",C758="Cj"),((('BLAZE SHIELD II'!$H$4*('CALCULO MORTERO'!I758^2)+'BLAZE SHIELD II'!$H$5*'CALCULO MORTERO'!I758+'BLAZE SHIELD II'!$H$6)*LN(J758))+('BLAZE SHIELD II'!$H$7*('CALCULO MORTERO'!I758^2)+'BLAZE SHIELD II'!$H$8*'CALCULO MORTERO'!I758+'BLAZE SHIELD II'!$H$9)),0)+IF(AND(L758="Blaze Shield II",M758="Software Idiem",C758="C"),((('BLAZE SHIELD II'!$L$4*('CALCULO MORTERO'!I758^2)+'BLAZE SHIELD II'!$L$5*'CALCULO MORTERO'!I758+'BLAZE SHIELD II'!$L$6)*LN(J758))+('BLAZE SHIELD II'!$L$7*('CALCULO MORTERO'!I758^2)+'BLAZE SHIELD II'!$L$8*'CALCULO MORTERO'!I758+'BLAZE SHIELD II'!$L$9)),0)+IF(AND(L758="Blaze Shield II",M758="Software Idiem",C758="L"),((('BLAZE SHIELD II'!$L$4*('CALCULO MORTERO'!I758^2)+'BLAZE SHIELD II'!$L$5*'CALCULO MORTERO'!I758+'BLAZE SHIELD II'!$L$6)*LN(J758))+('BLAZE SHIELD II'!$L$7*('CALCULO MORTERO'!I758^2)+'BLAZE SHIELD II'!$L$8*'CALCULO MORTERO'!I758+'BLAZE SHIELD II'!$L$9)),0)+IF(AND(L758="Blaze Shield II",M758="Software Idiem",C758="IN",G758=3),((('BLAZE SHIELD II'!$H$14*('CALCULO MORTERO'!I758^2)+'BLAZE SHIELD II'!$H$15*'CALCULO MORTERO'!I758+'BLAZE SHIELD II'!$H$16)*LN(J758))+('BLAZE SHIELD II'!$H$17*('CALCULO MORTERO'!I758^2)+'BLAZE SHIELD II'!$H$18*'CALCULO MORTERO'!I758+'BLAZE SHIELD II'!$H$19)),0),0)+ROUND(IF(AND(L758="Cafco 400",M758="Software Idiem",C758="IN",G758=4),((('CAFCO 400 '!$H$7*(J758^4)+'CAFCO 400 '!$H$8*(J758^3)+'CAFCO 400 '!$H$9*(J758^2)+'CAFCO 400 '!$H$10*J758+'CAFCO 400 '!$H$11)*U758^2)+(('CAFCO 400 '!$H$12*(J758^3)+'CAFCO 400 '!$H$13*(J758^2)+'CAFCO 400 '!$H$14*J758+'CAFCO 400 '!$H$15)*U758)+('CAFCO 400 '!$H$16*(J758^2)+'CAFCO 400 '!$H$17*J758+'CAFCO 400 '!$H$18)),0)+IF(AND(L758="Cafco 400",M758="Software Idiem",C758="Cj"),(((('CAFCO 400 '!$D$7*LN(J758)+'CAFCO 400 '!$D$8)*U758^2)+(('CAFCO 400 '!$D$9*LN(J758)+'CAFCO 400 '!$D$10)*U758)+('CAFCO 400 '!$D$11*LN(J758)+'CAFCO 400 '!$D$12))),0)+IF(AND(L758="Cafco 400",M758="Software Idiem",C758="C"),((('CAFCO 400 '!$L$7*(J758^3)+'CAFCO 400 '!$L$8*(J758^2)+'CAFCO 400 '!$L$9*J758+'CAFCO 400 '!$L$10)*U758^2)+(('CAFCO 400 '!$L$11*(J758^3)+'CAFCO 400 '!$L$12*(J758^2)+'CAFCO 400 '!$L$13*J758+'CAFCO 400 '!$L$14)*U758)+('CAFCO 400 '!$L$15*LN(J758)+'CAFCO 400 '!$L$16)),0)+IF(AND(L758="Cafco 400",M758="Software Idiem",C758="L"),((('CAFCO 400 '!$L$7*(J758^3)+'CAFCO 400 '!$L$8*(J758^2)+'CAFCO 400 '!$L$9*J758+'CAFCO 400 '!$L$10)*U758^2)+(('CAFCO 400 '!$L$11*(J758^3)+'CAFCO 400 '!$L$12*(J758^2)+'CAFCO 400 '!$L$13*J758+'CAFCO 400 '!$L$14)*U758)+('CAFCO 400 '!$L$15*LN(J758)+'CAFCO 400 '!$L$16)),0)+IF(AND(L758="Cafco 400",M758="Software Idiem",C758="IN",G758=3),((('CAFCO 400 '!$D$23*(J758^2)+'CAFCO 400 '!$D$24*(J758)+'CAFCO 400 '!$D$25)*U758^2)+(('CAFCO 400 '!$D$26*(J758^2)+'CAFCO 400 '!$D$27*J758+'CAFCO 400 '!$D$28)*U758)+('CAFCO 400 '!$D$29*(J758^2)+'CAFCO 400 '!$D$30*J758+'CAFCO 400 '!$D$31)),0),0)+IF(AND(L758="Cafco 300",J758&gt;=95,J758&lt;=240,C758="Cj",I758=90),VLOOKUP(T758,'CAFCO 300 IDIEM TABLAS'!$B$4:$D$23,2,FALSE),0)+IF(AND(L758="Cafco 300",J758&gt;=95,J758&lt;=240,C758="Cj",I758=120),VLOOKUP(T758,'CAFCO 300 IDIEM TABLAS'!$B$4:$D$23,3,FALSE),0)+IF(AND(L758="Cafco 300",J758&gt;=95,J758&lt;=400,G758=3,C758="IN",I758=90),VLOOKUP(T758,'CAFCO 300 IDIEM TABLAS'!$F$4:$H$35,2,FALSE),0)+IF(AND(L758="Cafco 300",J758&gt;=95,J758&lt;=400,G758=3,C758="IN",I758=120),VLOOKUP(T758,'CAFCO 300 IDIEM TABLAS'!$F$4:$H$35,3,FALSE),0)+IF(AND(L758="Cafco 300",J758&gt;=95,J758&lt;=450,G758=4,C758="IN",I758=90),VLOOKUP(T758,'CAFCO 300 IDIEM TABLAS'!$J$4:$L$40,2,FALSE),0)+IF(AND(L758="Cafco 300",J758&gt;=95,J758&lt;=450,G758=4,C758="IN",I758=120),VLOOKUP(T758,'CAFCO 300 IDIEM TABLAS'!$J$4:$L$40,3,FALSE),0)+IF(AND(M758="Ensayo Idiem",L758="Cafco 400",C758="IN",G758=4,I758=90),VLOOKUP(T758,'CAFCO 400 ENSAYO'!$B$7:$D$43,2,FALSE),0)+IF(AND(M758="Ensayo Idiem",L758="Cafco 400",C758="IN",G758=4,I758=120),VLOOKUP(T758,'CAFCO 400 ENSAYO'!$B$7:$D$43,3,FALSE),0)</f>
        <v>0</v>
      </c>
      <c r="O758" s="96">
        <f t="shared" si="78"/>
        <v>0</v>
      </c>
      <c r="P758" s="95" t="str">
        <f t="shared" si="79"/>
        <v>N/A</v>
      </c>
      <c r="Q758" s="95" t="str">
        <f t="shared" si="80"/>
        <v>N/A</v>
      </c>
      <c r="R758" s="95" t="str">
        <f t="shared" si="81"/>
        <v>NO CERT.</v>
      </c>
      <c r="S758" s="95" t="e">
        <f t="shared" si="82"/>
        <v>#N/A</v>
      </c>
      <c r="T758" s="119" t="e">
        <f>+IF(J758=LOOKUP(J758,'CAFCO 300 IDIEM TABLAS'!$J$4:$J$40),'CALCULO MORTERO'!J758,MROUND('CALCULO MORTERO'!J758,10))</f>
        <v>#N/A</v>
      </c>
      <c r="U758" s="118">
        <f t="shared" si="83"/>
        <v>0</v>
      </c>
    </row>
    <row r="759" spans="1:21" x14ac:dyDescent="0.25">
      <c r="A759" s="118">
        <f>+CUBICACION!D753</f>
        <v>0</v>
      </c>
      <c r="B759" s="819">
        <f>+CUBICACION!E753</f>
        <v>0</v>
      </c>
      <c r="C759" s="675">
        <f>+CUBICACION!F753</f>
        <v>0</v>
      </c>
      <c r="D759" s="118"/>
      <c r="E759" s="118"/>
      <c r="F759" s="820"/>
      <c r="G759" s="675">
        <f>+CUBICACION!J753</f>
        <v>0</v>
      </c>
      <c r="H759" s="118"/>
      <c r="I759" s="821">
        <f>+CUBICACION!L753</f>
        <v>0</v>
      </c>
      <c r="J759" s="64">
        <f>+CUBICACION!M753</f>
        <v>0</v>
      </c>
      <c r="K759" s="822" t="str">
        <f>+CUBICACION!N753</f>
        <v/>
      </c>
      <c r="L759" s="118">
        <f>+CUBICACION!O753</f>
        <v>0</v>
      </c>
      <c r="M759" s="823">
        <f>+CUBICACION!P753</f>
        <v>0</v>
      </c>
      <c r="N759" s="902">
        <f>ROUND(IF(AND(L759="Blaze Shield II",M759="Software Idiem",C759="IN",G759=4),((('BLAZE SHIELD II'!$D$4*('CALCULO MORTERO'!I759^2)+'BLAZE SHIELD II'!$D$5*'CALCULO MORTERO'!I759+'BLAZE SHIELD II'!$D$6)*LN(J759))+('BLAZE SHIELD II'!$D$7*('CALCULO MORTERO'!I759^2)+'BLAZE SHIELD II'!$D$8*'CALCULO MORTERO'!I759+'BLAZE SHIELD II'!$D$9)),0)+IF(AND(L759="Blaze Shield II",M759="Software Idiem",C759="Cj"),((('BLAZE SHIELD II'!$H$4*('CALCULO MORTERO'!I759^2)+'BLAZE SHIELD II'!$H$5*'CALCULO MORTERO'!I759+'BLAZE SHIELD II'!$H$6)*LN(J759))+('BLAZE SHIELD II'!$H$7*('CALCULO MORTERO'!I759^2)+'BLAZE SHIELD II'!$H$8*'CALCULO MORTERO'!I759+'BLAZE SHIELD II'!$H$9)),0)+IF(AND(L759="Blaze Shield II",M759="Software Idiem",C759="C"),((('BLAZE SHIELD II'!$L$4*('CALCULO MORTERO'!I759^2)+'BLAZE SHIELD II'!$L$5*'CALCULO MORTERO'!I759+'BLAZE SHIELD II'!$L$6)*LN(J759))+('BLAZE SHIELD II'!$L$7*('CALCULO MORTERO'!I759^2)+'BLAZE SHIELD II'!$L$8*'CALCULO MORTERO'!I759+'BLAZE SHIELD II'!$L$9)),0)+IF(AND(L759="Blaze Shield II",M759="Software Idiem",C759="L"),((('BLAZE SHIELD II'!$L$4*('CALCULO MORTERO'!I759^2)+'BLAZE SHIELD II'!$L$5*'CALCULO MORTERO'!I759+'BLAZE SHIELD II'!$L$6)*LN(J759))+('BLAZE SHIELD II'!$L$7*('CALCULO MORTERO'!I759^2)+'BLAZE SHIELD II'!$L$8*'CALCULO MORTERO'!I759+'BLAZE SHIELD II'!$L$9)),0)+IF(AND(L759="Blaze Shield II",M759="Software Idiem",C759="IN",G759=3),((('BLAZE SHIELD II'!$H$14*('CALCULO MORTERO'!I759^2)+'BLAZE SHIELD II'!$H$15*'CALCULO MORTERO'!I759+'BLAZE SHIELD II'!$H$16)*LN(J759))+('BLAZE SHIELD II'!$H$17*('CALCULO MORTERO'!I759^2)+'BLAZE SHIELD II'!$H$18*'CALCULO MORTERO'!I759+'BLAZE SHIELD II'!$H$19)),0),0)+ROUND(IF(AND(L759="Cafco 400",M759="Software Idiem",C759="IN",G759=4),((('CAFCO 400 '!$H$7*(J759^4)+'CAFCO 400 '!$H$8*(J759^3)+'CAFCO 400 '!$H$9*(J759^2)+'CAFCO 400 '!$H$10*J759+'CAFCO 400 '!$H$11)*U759^2)+(('CAFCO 400 '!$H$12*(J759^3)+'CAFCO 400 '!$H$13*(J759^2)+'CAFCO 400 '!$H$14*J759+'CAFCO 400 '!$H$15)*U759)+('CAFCO 400 '!$H$16*(J759^2)+'CAFCO 400 '!$H$17*J759+'CAFCO 400 '!$H$18)),0)+IF(AND(L759="Cafco 400",M759="Software Idiem",C759="Cj"),(((('CAFCO 400 '!$D$7*LN(J759)+'CAFCO 400 '!$D$8)*U759^2)+(('CAFCO 400 '!$D$9*LN(J759)+'CAFCO 400 '!$D$10)*U759)+('CAFCO 400 '!$D$11*LN(J759)+'CAFCO 400 '!$D$12))),0)+IF(AND(L759="Cafco 400",M759="Software Idiem",C759="C"),((('CAFCO 400 '!$L$7*(J759^3)+'CAFCO 400 '!$L$8*(J759^2)+'CAFCO 400 '!$L$9*J759+'CAFCO 400 '!$L$10)*U759^2)+(('CAFCO 400 '!$L$11*(J759^3)+'CAFCO 400 '!$L$12*(J759^2)+'CAFCO 400 '!$L$13*J759+'CAFCO 400 '!$L$14)*U759)+('CAFCO 400 '!$L$15*LN(J759)+'CAFCO 400 '!$L$16)),0)+IF(AND(L759="Cafco 400",M759="Software Idiem",C759="L"),((('CAFCO 400 '!$L$7*(J759^3)+'CAFCO 400 '!$L$8*(J759^2)+'CAFCO 400 '!$L$9*J759+'CAFCO 400 '!$L$10)*U759^2)+(('CAFCO 400 '!$L$11*(J759^3)+'CAFCO 400 '!$L$12*(J759^2)+'CAFCO 400 '!$L$13*J759+'CAFCO 400 '!$L$14)*U759)+('CAFCO 400 '!$L$15*LN(J759)+'CAFCO 400 '!$L$16)),0)+IF(AND(L759="Cafco 400",M759="Software Idiem",C759="IN",G759=3),((('CAFCO 400 '!$D$23*(J759^2)+'CAFCO 400 '!$D$24*(J759)+'CAFCO 400 '!$D$25)*U759^2)+(('CAFCO 400 '!$D$26*(J759^2)+'CAFCO 400 '!$D$27*J759+'CAFCO 400 '!$D$28)*U759)+('CAFCO 400 '!$D$29*(J759^2)+'CAFCO 400 '!$D$30*J759+'CAFCO 400 '!$D$31)),0),0)+IF(AND(L759="Cafco 300",J759&gt;=95,J759&lt;=240,C759="Cj",I759=90),VLOOKUP(T759,'CAFCO 300 IDIEM TABLAS'!$B$4:$D$23,2,FALSE),0)+IF(AND(L759="Cafco 300",J759&gt;=95,J759&lt;=240,C759="Cj",I759=120),VLOOKUP(T759,'CAFCO 300 IDIEM TABLAS'!$B$4:$D$23,3,FALSE),0)+IF(AND(L759="Cafco 300",J759&gt;=95,J759&lt;=400,G759=3,C759="IN",I759=90),VLOOKUP(T759,'CAFCO 300 IDIEM TABLAS'!$F$4:$H$35,2,FALSE),0)+IF(AND(L759="Cafco 300",J759&gt;=95,J759&lt;=400,G759=3,C759="IN",I759=120),VLOOKUP(T759,'CAFCO 300 IDIEM TABLAS'!$F$4:$H$35,3,FALSE),0)+IF(AND(L759="Cafco 300",J759&gt;=95,J759&lt;=450,G759=4,C759="IN",I759=90),VLOOKUP(T759,'CAFCO 300 IDIEM TABLAS'!$J$4:$L$40,2,FALSE),0)+IF(AND(L759="Cafco 300",J759&gt;=95,J759&lt;=450,G759=4,C759="IN",I759=120),VLOOKUP(T759,'CAFCO 300 IDIEM TABLAS'!$J$4:$L$40,3,FALSE),0)+IF(AND(M759="Ensayo Idiem",L759="Cafco 400",C759="IN",G759=4,I759=90),VLOOKUP(T759,'CAFCO 400 ENSAYO'!$B$7:$D$43,2,FALSE),0)+IF(AND(M759="Ensayo Idiem",L759="Cafco 400",C759="IN",G759=4,I759=120),VLOOKUP(T759,'CAFCO 400 ENSAYO'!$B$7:$D$43,3,FALSE),0)</f>
        <v>0</v>
      </c>
      <c r="O759" s="96">
        <f t="shared" si="78"/>
        <v>0</v>
      </c>
      <c r="P759" s="132" t="str">
        <f t="shared" si="79"/>
        <v>N/A</v>
      </c>
      <c r="Q759" s="132" t="str">
        <f t="shared" si="80"/>
        <v>N/A</v>
      </c>
      <c r="R759" s="132" t="str">
        <f t="shared" si="81"/>
        <v>NO CERT.</v>
      </c>
      <c r="S759" s="132" t="e">
        <f t="shared" si="82"/>
        <v>#N/A</v>
      </c>
      <c r="T759" s="133" t="e">
        <f>+IF(J759=LOOKUP(J759,'CAFCO 300 IDIEM TABLAS'!$J$4:$J$40),'CALCULO MORTERO'!J759,MROUND('CALCULO MORTERO'!J759,10))</f>
        <v>#N/A</v>
      </c>
      <c r="U759" s="134">
        <f t="shared" si="83"/>
        <v>0</v>
      </c>
    </row>
    <row r="760" spans="1:21" x14ac:dyDescent="0.25">
      <c r="A760" s="118">
        <f>+CUBICACION!D754</f>
        <v>0</v>
      </c>
      <c r="B760" s="819">
        <f>+CUBICACION!E754</f>
        <v>0</v>
      </c>
      <c r="C760" s="675">
        <f>+CUBICACION!F754</f>
        <v>0</v>
      </c>
      <c r="D760" s="118"/>
      <c r="E760" s="118"/>
      <c r="F760" s="820"/>
      <c r="G760" s="675">
        <f>+CUBICACION!J754</f>
        <v>0</v>
      </c>
      <c r="H760" s="118"/>
      <c r="I760" s="821">
        <f>+CUBICACION!L754</f>
        <v>0</v>
      </c>
      <c r="J760" s="64">
        <f>+CUBICACION!M754</f>
        <v>0</v>
      </c>
      <c r="K760" s="822" t="str">
        <f>+CUBICACION!N754</f>
        <v/>
      </c>
      <c r="L760" s="118">
        <f>+CUBICACION!O754</f>
        <v>0</v>
      </c>
      <c r="M760" s="823">
        <f>+CUBICACION!P754</f>
        <v>0</v>
      </c>
      <c r="N760" s="902">
        <f>ROUND(IF(AND(L760="Blaze Shield II",M760="Software Idiem",C760="IN",G760=4),((('BLAZE SHIELD II'!$D$4*('CALCULO MORTERO'!I760^2)+'BLAZE SHIELD II'!$D$5*'CALCULO MORTERO'!I760+'BLAZE SHIELD II'!$D$6)*LN(J760))+('BLAZE SHIELD II'!$D$7*('CALCULO MORTERO'!I760^2)+'BLAZE SHIELD II'!$D$8*'CALCULO MORTERO'!I760+'BLAZE SHIELD II'!$D$9)),0)+IF(AND(L760="Blaze Shield II",M760="Software Idiem",C760="Cj"),((('BLAZE SHIELD II'!$H$4*('CALCULO MORTERO'!I760^2)+'BLAZE SHIELD II'!$H$5*'CALCULO MORTERO'!I760+'BLAZE SHIELD II'!$H$6)*LN(J760))+('BLAZE SHIELD II'!$H$7*('CALCULO MORTERO'!I760^2)+'BLAZE SHIELD II'!$H$8*'CALCULO MORTERO'!I760+'BLAZE SHIELD II'!$H$9)),0)+IF(AND(L760="Blaze Shield II",M760="Software Idiem",C760="C"),((('BLAZE SHIELD II'!$L$4*('CALCULO MORTERO'!I760^2)+'BLAZE SHIELD II'!$L$5*'CALCULO MORTERO'!I760+'BLAZE SHIELD II'!$L$6)*LN(J760))+('BLAZE SHIELD II'!$L$7*('CALCULO MORTERO'!I760^2)+'BLAZE SHIELD II'!$L$8*'CALCULO MORTERO'!I760+'BLAZE SHIELD II'!$L$9)),0)+IF(AND(L760="Blaze Shield II",M760="Software Idiem",C760="L"),((('BLAZE SHIELD II'!$L$4*('CALCULO MORTERO'!I760^2)+'BLAZE SHIELD II'!$L$5*'CALCULO MORTERO'!I760+'BLAZE SHIELD II'!$L$6)*LN(J760))+('BLAZE SHIELD II'!$L$7*('CALCULO MORTERO'!I760^2)+'BLAZE SHIELD II'!$L$8*'CALCULO MORTERO'!I760+'BLAZE SHIELD II'!$L$9)),0)+IF(AND(L760="Blaze Shield II",M760="Software Idiem",C760="IN",G760=3),((('BLAZE SHIELD II'!$H$14*('CALCULO MORTERO'!I760^2)+'BLAZE SHIELD II'!$H$15*'CALCULO MORTERO'!I760+'BLAZE SHIELD II'!$H$16)*LN(J760))+('BLAZE SHIELD II'!$H$17*('CALCULO MORTERO'!I760^2)+'BLAZE SHIELD II'!$H$18*'CALCULO MORTERO'!I760+'BLAZE SHIELD II'!$H$19)),0),0)+ROUND(IF(AND(L760="Cafco 400",M760="Software Idiem",C760="IN",G760=4),((('CAFCO 400 '!$H$7*(J760^4)+'CAFCO 400 '!$H$8*(J760^3)+'CAFCO 400 '!$H$9*(J760^2)+'CAFCO 400 '!$H$10*J760+'CAFCO 400 '!$H$11)*U760^2)+(('CAFCO 400 '!$H$12*(J760^3)+'CAFCO 400 '!$H$13*(J760^2)+'CAFCO 400 '!$H$14*J760+'CAFCO 400 '!$H$15)*U760)+('CAFCO 400 '!$H$16*(J760^2)+'CAFCO 400 '!$H$17*J760+'CAFCO 400 '!$H$18)),0)+IF(AND(L760="Cafco 400",M760="Software Idiem",C760="Cj"),(((('CAFCO 400 '!$D$7*LN(J760)+'CAFCO 400 '!$D$8)*U760^2)+(('CAFCO 400 '!$D$9*LN(J760)+'CAFCO 400 '!$D$10)*U760)+('CAFCO 400 '!$D$11*LN(J760)+'CAFCO 400 '!$D$12))),0)+IF(AND(L760="Cafco 400",M760="Software Idiem",C760="C"),((('CAFCO 400 '!$L$7*(J760^3)+'CAFCO 400 '!$L$8*(J760^2)+'CAFCO 400 '!$L$9*J760+'CAFCO 400 '!$L$10)*U760^2)+(('CAFCO 400 '!$L$11*(J760^3)+'CAFCO 400 '!$L$12*(J760^2)+'CAFCO 400 '!$L$13*J760+'CAFCO 400 '!$L$14)*U760)+('CAFCO 400 '!$L$15*LN(J760)+'CAFCO 400 '!$L$16)),0)+IF(AND(L760="Cafco 400",M760="Software Idiem",C760="L"),((('CAFCO 400 '!$L$7*(J760^3)+'CAFCO 400 '!$L$8*(J760^2)+'CAFCO 400 '!$L$9*J760+'CAFCO 400 '!$L$10)*U760^2)+(('CAFCO 400 '!$L$11*(J760^3)+'CAFCO 400 '!$L$12*(J760^2)+'CAFCO 400 '!$L$13*J760+'CAFCO 400 '!$L$14)*U760)+('CAFCO 400 '!$L$15*LN(J760)+'CAFCO 400 '!$L$16)),0)+IF(AND(L760="Cafco 400",M760="Software Idiem",C760="IN",G760=3),((('CAFCO 400 '!$D$23*(J760^2)+'CAFCO 400 '!$D$24*(J760)+'CAFCO 400 '!$D$25)*U760^2)+(('CAFCO 400 '!$D$26*(J760^2)+'CAFCO 400 '!$D$27*J760+'CAFCO 400 '!$D$28)*U760)+('CAFCO 400 '!$D$29*(J760^2)+'CAFCO 400 '!$D$30*J760+'CAFCO 400 '!$D$31)),0),0)+IF(AND(L760="Cafco 300",J760&gt;=95,J760&lt;=240,C760="Cj",I760=90),VLOOKUP(T760,'CAFCO 300 IDIEM TABLAS'!$B$4:$D$23,2,FALSE),0)+IF(AND(L760="Cafco 300",J760&gt;=95,J760&lt;=240,C760="Cj",I760=120),VLOOKUP(T760,'CAFCO 300 IDIEM TABLAS'!$B$4:$D$23,3,FALSE),0)+IF(AND(L760="Cafco 300",J760&gt;=95,J760&lt;=400,G760=3,C760="IN",I760=90),VLOOKUP(T760,'CAFCO 300 IDIEM TABLAS'!$F$4:$H$35,2,FALSE),0)+IF(AND(L760="Cafco 300",J760&gt;=95,J760&lt;=400,G760=3,C760="IN",I760=120),VLOOKUP(T760,'CAFCO 300 IDIEM TABLAS'!$F$4:$H$35,3,FALSE),0)+IF(AND(L760="Cafco 300",J760&gt;=95,J760&lt;=450,G760=4,C760="IN",I760=90),VLOOKUP(T760,'CAFCO 300 IDIEM TABLAS'!$J$4:$L$40,2,FALSE),0)+IF(AND(L760="Cafco 300",J760&gt;=95,J760&lt;=450,G760=4,C760="IN",I760=120),VLOOKUP(T760,'CAFCO 300 IDIEM TABLAS'!$J$4:$L$40,3,FALSE),0)+IF(AND(M760="Ensayo Idiem",L760="Cafco 400",C760="IN",G760=4,I760=90),VLOOKUP(T760,'CAFCO 400 ENSAYO'!$B$7:$D$43,2,FALSE),0)+IF(AND(M760="Ensayo Idiem",L760="Cafco 400",C760="IN",G760=4,I760=120),VLOOKUP(T760,'CAFCO 400 ENSAYO'!$B$7:$D$43,3,FALSE),0)</f>
        <v>0</v>
      </c>
      <c r="O760" s="96">
        <f t="shared" si="78"/>
        <v>0</v>
      </c>
      <c r="P760" s="95" t="str">
        <f t="shared" si="79"/>
        <v>N/A</v>
      </c>
      <c r="Q760" s="95" t="str">
        <f t="shared" si="80"/>
        <v>N/A</v>
      </c>
      <c r="R760" s="95" t="str">
        <f t="shared" si="81"/>
        <v>NO CERT.</v>
      </c>
      <c r="S760" s="95" t="e">
        <f t="shared" si="82"/>
        <v>#N/A</v>
      </c>
      <c r="T760" s="119" t="e">
        <f>+IF(J760=LOOKUP(J760,'CAFCO 300 IDIEM TABLAS'!$J$4:$J$40),'CALCULO MORTERO'!J760,MROUND('CALCULO MORTERO'!J760,10))</f>
        <v>#N/A</v>
      </c>
      <c r="U760" s="118">
        <f t="shared" si="83"/>
        <v>0</v>
      </c>
    </row>
    <row r="761" spans="1:21" x14ac:dyDescent="0.25">
      <c r="A761" s="118">
        <f>+CUBICACION!D755</f>
        <v>0</v>
      </c>
      <c r="B761" s="819">
        <f>+CUBICACION!E755</f>
        <v>0</v>
      </c>
      <c r="C761" s="675">
        <f>+CUBICACION!F755</f>
        <v>0</v>
      </c>
      <c r="D761" s="118"/>
      <c r="E761" s="118"/>
      <c r="F761" s="820"/>
      <c r="G761" s="675">
        <f>+CUBICACION!J755</f>
        <v>0</v>
      </c>
      <c r="H761" s="118"/>
      <c r="I761" s="821">
        <f>+CUBICACION!L755</f>
        <v>0</v>
      </c>
      <c r="J761" s="64">
        <f>+CUBICACION!M755</f>
        <v>0</v>
      </c>
      <c r="K761" s="822" t="str">
        <f>+CUBICACION!N755</f>
        <v/>
      </c>
      <c r="L761" s="118">
        <f>+CUBICACION!O755</f>
        <v>0</v>
      </c>
      <c r="M761" s="823">
        <f>+CUBICACION!P755</f>
        <v>0</v>
      </c>
      <c r="N761" s="902">
        <f>ROUND(IF(AND(L761="Blaze Shield II",M761="Software Idiem",C761="IN",G761=4),((('BLAZE SHIELD II'!$D$4*('CALCULO MORTERO'!I761^2)+'BLAZE SHIELD II'!$D$5*'CALCULO MORTERO'!I761+'BLAZE SHIELD II'!$D$6)*LN(J761))+('BLAZE SHIELD II'!$D$7*('CALCULO MORTERO'!I761^2)+'BLAZE SHIELD II'!$D$8*'CALCULO MORTERO'!I761+'BLAZE SHIELD II'!$D$9)),0)+IF(AND(L761="Blaze Shield II",M761="Software Idiem",C761="Cj"),((('BLAZE SHIELD II'!$H$4*('CALCULO MORTERO'!I761^2)+'BLAZE SHIELD II'!$H$5*'CALCULO MORTERO'!I761+'BLAZE SHIELD II'!$H$6)*LN(J761))+('BLAZE SHIELD II'!$H$7*('CALCULO MORTERO'!I761^2)+'BLAZE SHIELD II'!$H$8*'CALCULO MORTERO'!I761+'BLAZE SHIELD II'!$H$9)),0)+IF(AND(L761="Blaze Shield II",M761="Software Idiem",C761="C"),((('BLAZE SHIELD II'!$L$4*('CALCULO MORTERO'!I761^2)+'BLAZE SHIELD II'!$L$5*'CALCULO MORTERO'!I761+'BLAZE SHIELD II'!$L$6)*LN(J761))+('BLAZE SHIELD II'!$L$7*('CALCULO MORTERO'!I761^2)+'BLAZE SHIELD II'!$L$8*'CALCULO MORTERO'!I761+'BLAZE SHIELD II'!$L$9)),0)+IF(AND(L761="Blaze Shield II",M761="Software Idiem",C761="L"),((('BLAZE SHIELD II'!$L$4*('CALCULO MORTERO'!I761^2)+'BLAZE SHIELD II'!$L$5*'CALCULO MORTERO'!I761+'BLAZE SHIELD II'!$L$6)*LN(J761))+('BLAZE SHIELD II'!$L$7*('CALCULO MORTERO'!I761^2)+'BLAZE SHIELD II'!$L$8*'CALCULO MORTERO'!I761+'BLAZE SHIELD II'!$L$9)),0)+IF(AND(L761="Blaze Shield II",M761="Software Idiem",C761="IN",G761=3),((('BLAZE SHIELD II'!$H$14*('CALCULO MORTERO'!I761^2)+'BLAZE SHIELD II'!$H$15*'CALCULO MORTERO'!I761+'BLAZE SHIELD II'!$H$16)*LN(J761))+('BLAZE SHIELD II'!$H$17*('CALCULO MORTERO'!I761^2)+'BLAZE SHIELD II'!$H$18*'CALCULO MORTERO'!I761+'BLAZE SHIELD II'!$H$19)),0),0)+ROUND(IF(AND(L761="Cafco 400",M761="Software Idiem",C761="IN",G761=4),((('CAFCO 400 '!$H$7*(J761^4)+'CAFCO 400 '!$H$8*(J761^3)+'CAFCO 400 '!$H$9*(J761^2)+'CAFCO 400 '!$H$10*J761+'CAFCO 400 '!$H$11)*U761^2)+(('CAFCO 400 '!$H$12*(J761^3)+'CAFCO 400 '!$H$13*(J761^2)+'CAFCO 400 '!$H$14*J761+'CAFCO 400 '!$H$15)*U761)+('CAFCO 400 '!$H$16*(J761^2)+'CAFCO 400 '!$H$17*J761+'CAFCO 400 '!$H$18)),0)+IF(AND(L761="Cafco 400",M761="Software Idiem",C761="Cj"),(((('CAFCO 400 '!$D$7*LN(J761)+'CAFCO 400 '!$D$8)*U761^2)+(('CAFCO 400 '!$D$9*LN(J761)+'CAFCO 400 '!$D$10)*U761)+('CAFCO 400 '!$D$11*LN(J761)+'CAFCO 400 '!$D$12))),0)+IF(AND(L761="Cafco 400",M761="Software Idiem",C761="C"),((('CAFCO 400 '!$L$7*(J761^3)+'CAFCO 400 '!$L$8*(J761^2)+'CAFCO 400 '!$L$9*J761+'CAFCO 400 '!$L$10)*U761^2)+(('CAFCO 400 '!$L$11*(J761^3)+'CAFCO 400 '!$L$12*(J761^2)+'CAFCO 400 '!$L$13*J761+'CAFCO 400 '!$L$14)*U761)+('CAFCO 400 '!$L$15*LN(J761)+'CAFCO 400 '!$L$16)),0)+IF(AND(L761="Cafco 400",M761="Software Idiem",C761="L"),((('CAFCO 400 '!$L$7*(J761^3)+'CAFCO 400 '!$L$8*(J761^2)+'CAFCO 400 '!$L$9*J761+'CAFCO 400 '!$L$10)*U761^2)+(('CAFCO 400 '!$L$11*(J761^3)+'CAFCO 400 '!$L$12*(J761^2)+'CAFCO 400 '!$L$13*J761+'CAFCO 400 '!$L$14)*U761)+('CAFCO 400 '!$L$15*LN(J761)+'CAFCO 400 '!$L$16)),0)+IF(AND(L761="Cafco 400",M761="Software Idiem",C761="IN",G761=3),((('CAFCO 400 '!$D$23*(J761^2)+'CAFCO 400 '!$D$24*(J761)+'CAFCO 400 '!$D$25)*U761^2)+(('CAFCO 400 '!$D$26*(J761^2)+'CAFCO 400 '!$D$27*J761+'CAFCO 400 '!$D$28)*U761)+('CAFCO 400 '!$D$29*(J761^2)+'CAFCO 400 '!$D$30*J761+'CAFCO 400 '!$D$31)),0),0)+IF(AND(L761="Cafco 300",J761&gt;=95,J761&lt;=240,C761="Cj",I761=90),VLOOKUP(T761,'CAFCO 300 IDIEM TABLAS'!$B$4:$D$23,2,FALSE),0)+IF(AND(L761="Cafco 300",J761&gt;=95,J761&lt;=240,C761="Cj",I761=120),VLOOKUP(T761,'CAFCO 300 IDIEM TABLAS'!$B$4:$D$23,3,FALSE),0)+IF(AND(L761="Cafco 300",J761&gt;=95,J761&lt;=400,G761=3,C761="IN",I761=90),VLOOKUP(T761,'CAFCO 300 IDIEM TABLAS'!$F$4:$H$35,2,FALSE),0)+IF(AND(L761="Cafco 300",J761&gt;=95,J761&lt;=400,G761=3,C761="IN",I761=120),VLOOKUP(T761,'CAFCO 300 IDIEM TABLAS'!$F$4:$H$35,3,FALSE),0)+IF(AND(L761="Cafco 300",J761&gt;=95,J761&lt;=450,G761=4,C761="IN",I761=90),VLOOKUP(T761,'CAFCO 300 IDIEM TABLAS'!$J$4:$L$40,2,FALSE),0)+IF(AND(L761="Cafco 300",J761&gt;=95,J761&lt;=450,G761=4,C761="IN",I761=120),VLOOKUP(T761,'CAFCO 300 IDIEM TABLAS'!$J$4:$L$40,3,FALSE),0)+IF(AND(M761="Ensayo Idiem",L761="Cafco 400",C761="IN",G761=4,I761=90),VLOOKUP(T761,'CAFCO 400 ENSAYO'!$B$7:$D$43,2,FALSE),0)+IF(AND(M761="Ensayo Idiem",L761="Cafco 400",C761="IN",G761=4,I761=120),VLOOKUP(T761,'CAFCO 400 ENSAYO'!$B$7:$D$43,3,FALSE),0)</f>
        <v>0</v>
      </c>
      <c r="O761" s="96">
        <f t="shared" si="78"/>
        <v>0</v>
      </c>
      <c r="P761" s="132" t="str">
        <f t="shared" si="79"/>
        <v>N/A</v>
      </c>
      <c r="Q761" s="132" t="str">
        <f t="shared" si="80"/>
        <v>N/A</v>
      </c>
      <c r="R761" s="132" t="str">
        <f t="shared" si="81"/>
        <v>NO CERT.</v>
      </c>
      <c r="S761" s="132" t="e">
        <f t="shared" si="82"/>
        <v>#N/A</v>
      </c>
      <c r="T761" s="133" t="e">
        <f>+IF(J761=LOOKUP(J761,'CAFCO 300 IDIEM TABLAS'!$J$4:$J$40),'CALCULO MORTERO'!J761,MROUND('CALCULO MORTERO'!J761,10))</f>
        <v>#N/A</v>
      </c>
      <c r="U761" s="134">
        <f t="shared" si="83"/>
        <v>0</v>
      </c>
    </row>
    <row r="762" spans="1:21" x14ac:dyDescent="0.25">
      <c r="A762" s="118">
        <f>+CUBICACION!D756</f>
        <v>0</v>
      </c>
      <c r="B762" s="819">
        <f>+CUBICACION!E756</f>
        <v>0</v>
      </c>
      <c r="C762" s="675">
        <f>+CUBICACION!F756</f>
        <v>0</v>
      </c>
      <c r="D762" s="118"/>
      <c r="E762" s="118"/>
      <c r="F762" s="820"/>
      <c r="G762" s="675">
        <f>+CUBICACION!J756</f>
        <v>0</v>
      </c>
      <c r="H762" s="118"/>
      <c r="I762" s="821">
        <f>+CUBICACION!L756</f>
        <v>0</v>
      </c>
      <c r="J762" s="64">
        <f>+CUBICACION!M756</f>
        <v>0</v>
      </c>
      <c r="K762" s="822" t="str">
        <f>+CUBICACION!N756</f>
        <v/>
      </c>
      <c r="L762" s="118">
        <f>+CUBICACION!O756</f>
        <v>0</v>
      </c>
      <c r="M762" s="823">
        <f>+CUBICACION!P756</f>
        <v>0</v>
      </c>
      <c r="N762" s="902">
        <f>ROUND(IF(AND(L762="Blaze Shield II",M762="Software Idiem",C762="IN",G762=4),((('BLAZE SHIELD II'!$D$4*('CALCULO MORTERO'!I762^2)+'BLAZE SHIELD II'!$D$5*'CALCULO MORTERO'!I762+'BLAZE SHIELD II'!$D$6)*LN(J762))+('BLAZE SHIELD II'!$D$7*('CALCULO MORTERO'!I762^2)+'BLAZE SHIELD II'!$D$8*'CALCULO MORTERO'!I762+'BLAZE SHIELD II'!$D$9)),0)+IF(AND(L762="Blaze Shield II",M762="Software Idiem",C762="Cj"),((('BLAZE SHIELD II'!$H$4*('CALCULO MORTERO'!I762^2)+'BLAZE SHIELD II'!$H$5*'CALCULO MORTERO'!I762+'BLAZE SHIELD II'!$H$6)*LN(J762))+('BLAZE SHIELD II'!$H$7*('CALCULO MORTERO'!I762^2)+'BLAZE SHIELD II'!$H$8*'CALCULO MORTERO'!I762+'BLAZE SHIELD II'!$H$9)),0)+IF(AND(L762="Blaze Shield II",M762="Software Idiem",C762="C"),((('BLAZE SHIELD II'!$L$4*('CALCULO MORTERO'!I762^2)+'BLAZE SHIELD II'!$L$5*'CALCULO MORTERO'!I762+'BLAZE SHIELD II'!$L$6)*LN(J762))+('BLAZE SHIELD II'!$L$7*('CALCULO MORTERO'!I762^2)+'BLAZE SHIELD II'!$L$8*'CALCULO MORTERO'!I762+'BLAZE SHIELD II'!$L$9)),0)+IF(AND(L762="Blaze Shield II",M762="Software Idiem",C762="L"),((('BLAZE SHIELD II'!$L$4*('CALCULO MORTERO'!I762^2)+'BLAZE SHIELD II'!$L$5*'CALCULO MORTERO'!I762+'BLAZE SHIELD II'!$L$6)*LN(J762))+('BLAZE SHIELD II'!$L$7*('CALCULO MORTERO'!I762^2)+'BLAZE SHIELD II'!$L$8*'CALCULO MORTERO'!I762+'BLAZE SHIELD II'!$L$9)),0)+IF(AND(L762="Blaze Shield II",M762="Software Idiem",C762="IN",G762=3),((('BLAZE SHIELD II'!$H$14*('CALCULO MORTERO'!I762^2)+'BLAZE SHIELD II'!$H$15*'CALCULO MORTERO'!I762+'BLAZE SHIELD II'!$H$16)*LN(J762))+('BLAZE SHIELD II'!$H$17*('CALCULO MORTERO'!I762^2)+'BLAZE SHIELD II'!$H$18*'CALCULO MORTERO'!I762+'BLAZE SHIELD II'!$H$19)),0),0)+ROUND(IF(AND(L762="Cafco 400",M762="Software Idiem",C762="IN",G762=4),((('CAFCO 400 '!$H$7*(J762^4)+'CAFCO 400 '!$H$8*(J762^3)+'CAFCO 400 '!$H$9*(J762^2)+'CAFCO 400 '!$H$10*J762+'CAFCO 400 '!$H$11)*U762^2)+(('CAFCO 400 '!$H$12*(J762^3)+'CAFCO 400 '!$H$13*(J762^2)+'CAFCO 400 '!$H$14*J762+'CAFCO 400 '!$H$15)*U762)+('CAFCO 400 '!$H$16*(J762^2)+'CAFCO 400 '!$H$17*J762+'CAFCO 400 '!$H$18)),0)+IF(AND(L762="Cafco 400",M762="Software Idiem",C762="Cj"),(((('CAFCO 400 '!$D$7*LN(J762)+'CAFCO 400 '!$D$8)*U762^2)+(('CAFCO 400 '!$D$9*LN(J762)+'CAFCO 400 '!$D$10)*U762)+('CAFCO 400 '!$D$11*LN(J762)+'CAFCO 400 '!$D$12))),0)+IF(AND(L762="Cafco 400",M762="Software Idiem",C762="C"),((('CAFCO 400 '!$L$7*(J762^3)+'CAFCO 400 '!$L$8*(J762^2)+'CAFCO 400 '!$L$9*J762+'CAFCO 400 '!$L$10)*U762^2)+(('CAFCO 400 '!$L$11*(J762^3)+'CAFCO 400 '!$L$12*(J762^2)+'CAFCO 400 '!$L$13*J762+'CAFCO 400 '!$L$14)*U762)+('CAFCO 400 '!$L$15*LN(J762)+'CAFCO 400 '!$L$16)),0)+IF(AND(L762="Cafco 400",M762="Software Idiem",C762="L"),((('CAFCO 400 '!$L$7*(J762^3)+'CAFCO 400 '!$L$8*(J762^2)+'CAFCO 400 '!$L$9*J762+'CAFCO 400 '!$L$10)*U762^2)+(('CAFCO 400 '!$L$11*(J762^3)+'CAFCO 400 '!$L$12*(J762^2)+'CAFCO 400 '!$L$13*J762+'CAFCO 400 '!$L$14)*U762)+('CAFCO 400 '!$L$15*LN(J762)+'CAFCO 400 '!$L$16)),0)+IF(AND(L762="Cafco 400",M762="Software Idiem",C762="IN",G762=3),((('CAFCO 400 '!$D$23*(J762^2)+'CAFCO 400 '!$D$24*(J762)+'CAFCO 400 '!$D$25)*U762^2)+(('CAFCO 400 '!$D$26*(J762^2)+'CAFCO 400 '!$D$27*J762+'CAFCO 400 '!$D$28)*U762)+('CAFCO 400 '!$D$29*(J762^2)+'CAFCO 400 '!$D$30*J762+'CAFCO 400 '!$D$31)),0),0)+IF(AND(L762="Cafco 300",J762&gt;=95,J762&lt;=240,C762="Cj",I762=90),VLOOKUP(T762,'CAFCO 300 IDIEM TABLAS'!$B$4:$D$23,2,FALSE),0)+IF(AND(L762="Cafco 300",J762&gt;=95,J762&lt;=240,C762="Cj",I762=120),VLOOKUP(T762,'CAFCO 300 IDIEM TABLAS'!$B$4:$D$23,3,FALSE),0)+IF(AND(L762="Cafco 300",J762&gt;=95,J762&lt;=400,G762=3,C762="IN",I762=90),VLOOKUP(T762,'CAFCO 300 IDIEM TABLAS'!$F$4:$H$35,2,FALSE),0)+IF(AND(L762="Cafco 300",J762&gt;=95,J762&lt;=400,G762=3,C762="IN",I762=120),VLOOKUP(T762,'CAFCO 300 IDIEM TABLAS'!$F$4:$H$35,3,FALSE),0)+IF(AND(L762="Cafco 300",J762&gt;=95,J762&lt;=450,G762=4,C762="IN",I762=90),VLOOKUP(T762,'CAFCO 300 IDIEM TABLAS'!$J$4:$L$40,2,FALSE),0)+IF(AND(L762="Cafco 300",J762&gt;=95,J762&lt;=450,G762=4,C762="IN",I762=120),VLOOKUP(T762,'CAFCO 300 IDIEM TABLAS'!$J$4:$L$40,3,FALSE),0)+IF(AND(M762="Ensayo Idiem",L762="Cafco 400",C762="IN",G762=4,I762=90),VLOOKUP(T762,'CAFCO 400 ENSAYO'!$B$7:$D$43,2,FALSE),0)+IF(AND(M762="Ensayo Idiem",L762="Cafco 400",C762="IN",G762=4,I762=120),VLOOKUP(T762,'CAFCO 400 ENSAYO'!$B$7:$D$43,3,FALSE),0)</f>
        <v>0</v>
      </c>
      <c r="O762" s="96">
        <f t="shared" si="78"/>
        <v>0</v>
      </c>
      <c r="P762" s="95" t="str">
        <f t="shared" si="79"/>
        <v>N/A</v>
      </c>
      <c r="Q762" s="95" t="str">
        <f t="shared" si="80"/>
        <v>N/A</v>
      </c>
      <c r="R762" s="95" t="str">
        <f t="shared" si="81"/>
        <v>NO CERT.</v>
      </c>
      <c r="S762" s="95" t="e">
        <f t="shared" si="82"/>
        <v>#N/A</v>
      </c>
      <c r="T762" s="119" t="e">
        <f>+IF(J762=LOOKUP(J762,'CAFCO 300 IDIEM TABLAS'!$J$4:$J$40),'CALCULO MORTERO'!J762,MROUND('CALCULO MORTERO'!J762,10))</f>
        <v>#N/A</v>
      </c>
      <c r="U762" s="118">
        <f t="shared" si="83"/>
        <v>0</v>
      </c>
    </row>
    <row r="763" spans="1:21" x14ac:dyDescent="0.25">
      <c r="A763" s="118">
        <f>+CUBICACION!D757</f>
        <v>0</v>
      </c>
      <c r="B763" s="819">
        <f>+CUBICACION!E757</f>
        <v>0</v>
      </c>
      <c r="C763" s="675">
        <f>+CUBICACION!F757</f>
        <v>0</v>
      </c>
      <c r="D763" s="118"/>
      <c r="E763" s="118"/>
      <c r="F763" s="820"/>
      <c r="G763" s="675">
        <f>+CUBICACION!J757</f>
        <v>0</v>
      </c>
      <c r="H763" s="118"/>
      <c r="I763" s="821">
        <f>+CUBICACION!L757</f>
        <v>0</v>
      </c>
      <c r="J763" s="64">
        <f>+CUBICACION!M757</f>
        <v>0</v>
      </c>
      <c r="K763" s="822" t="str">
        <f>+CUBICACION!N757</f>
        <v/>
      </c>
      <c r="L763" s="118">
        <f>+CUBICACION!O757</f>
        <v>0</v>
      </c>
      <c r="M763" s="823">
        <f>+CUBICACION!P757</f>
        <v>0</v>
      </c>
      <c r="N763" s="902">
        <f>ROUND(IF(AND(L763="Blaze Shield II",M763="Software Idiem",C763="IN",G763=4),((('BLAZE SHIELD II'!$D$4*('CALCULO MORTERO'!I763^2)+'BLAZE SHIELD II'!$D$5*'CALCULO MORTERO'!I763+'BLAZE SHIELD II'!$D$6)*LN(J763))+('BLAZE SHIELD II'!$D$7*('CALCULO MORTERO'!I763^2)+'BLAZE SHIELD II'!$D$8*'CALCULO MORTERO'!I763+'BLAZE SHIELD II'!$D$9)),0)+IF(AND(L763="Blaze Shield II",M763="Software Idiem",C763="Cj"),((('BLAZE SHIELD II'!$H$4*('CALCULO MORTERO'!I763^2)+'BLAZE SHIELD II'!$H$5*'CALCULO MORTERO'!I763+'BLAZE SHIELD II'!$H$6)*LN(J763))+('BLAZE SHIELD II'!$H$7*('CALCULO MORTERO'!I763^2)+'BLAZE SHIELD II'!$H$8*'CALCULO MORTERO'!I763+'BLAZE SHIELD II'!$H$9)),0)+IF(AND(L763="Blaze Shield II",M763="Software Idiem",C763="C"),((('BLAZE SHIELD II'!$L$4*('CALCULO MORTERO'!I763^2)+'BLAZE SHIELD II'!$L$5*'CALCULO MORTERO'!I763+'BLAZE SHIELD II'!$L$6)*LN(J763))+('BLAZE SHIELD II'!$L$7*('CALCULO MORTERO'!I763^2)+'BLAZE SHIELD II'!$L$8*'CALCULO MORTERO'!I763+'BLAZE SHIELD II'!$L$9)),0)+IF(AND(L763="Blaze Shield II",M763="Software Idiem",C763="L"),((('BLAZE SHIELD II'!$L$4*('CALCULO MORTERO'!I763^2)+'BLAZE SHIELD II'!$L$5*'CALCULO MORTERO'!I763+'BLAZE SHIELD II'!$L$6)*LN(J763))+('BLAZE SHIELD II'!$L$7*('CALCULO MORTERO'!I763^2)+'BLAZE SHIELD II'!$L$8*'CALCULO MORTERO'!I763+'BLAZE SHIELD II'!$L$9)),0)+IF(AND(L763="Blaze Shield II",M763="Software Idiem",C763="IN",G763=3),((('BLAZE SHIELD II'!$H$14*('CALCULO MORTERO'!I763^2)+'BLAZE SHIELD II'!$H$15*'CALCULO MORTERO'!I763+'BLAZE SHIELD II'!$H$16)*LN(J763))+('BLAZE SHIELD II'!$H$17*('CALCULO MORTERO'!I763^2)+'BLAZE SHIELD II'!$H$18*'CALCULO MORTERO'!I763+'BLAZE SHIELD II'!$H$19)),0),0)+ROUND(IF(AND(L763="Cafco 400",M763="Software Idiem",C763="IN",G763=4),((('CAFCO 400 '!$H$7*(J763^4)+'CAFCO 400 '!$H$8*(J763^3)+'CAFCO 400 '!$H$9*(J763^2)+'CAFCO 400 '!$H$10*J763+'CAFCO 400 '!$H$11)*U763^2)+(('CAFCO 400 '!$H$12*(J763^3)+'CAFCO 400 '!$H$13*(J763^2)+'CAFCO 400 '!$H$14*J763+'CAFCO 400 '!$H$15)*U763)+('CAFCO 400 '!$H$16*(J763^2)+'CAFCO 400 '!$H$17*J763+'CAFCO 400 '!$H$18)),0)+IF(AND(L763="Cafco 400",M763="Software Idiem",C763="Cj"),(((('CAFCO 400 '!$D$7*LN(J763)+'CAFCO 400 '!$D$8)*U763^2)+(('CAFCO 400 '!$D$9*LN(J763)+'CAFCO 400 '!$D$10)*U763)+('CAFCO 400 '!$D$11*LN(J763)+'CAFCO 400 '!$D$12))),0)+IF(AND(L763="Cafco 400",M763="Software Idiem",C763="C"),((('CAFCO 400 '!$L$7*(J763^3)+'CAFCO 400 '!$L$8*(J763^2)+'CAFCO 400 '!$L$9*J763+'CAFCO 400 '!$L$10)*U763^2)+(('CAFCO 400 '!$L$11*(J763^3)+'CAFCO 400 '!$L$12*(J763^2)+'CAFCO 400 '!$L$13*J763+'CAFCO 400 '!$L$14)*U763)+('CAFCO 400 '!$L$15*LN(J763)+'CAFCO 400 '!$L$16)),0)+IF(AND(L763="Cafco 400",M763="Software Idiem",C763="L"),((('CAFCO 400 '!$L$7*(J763^3)+'CAFCO 400 '!$L$8*(J763^2)+'CAFCO 400 '!$L$9*J763+'CAFCO 400 '!$L$10)*U763^2)+(('CAFCO 400 '!$L$11*(J763^3)+'CAFCO 400 '!$L$12*(J763^2)+'CAFCO 400 '!$L$13*J763+'CAFCO 400 '!$L$14)*U763)+('CAFCO 400 '!$L$15*LN(J763)+'CAFCO 400 '!$L$16)),0)+IF(AND(L763="Cafco 400",M763="Software Idiem",C763="IN",G763=3),((('CAFCO 400 '!$D$23*(J763^2)+'CAFCO 400 '!$D$24*(J763)+'CAFCO 400 '!$D$25)*U763^2)+(('CAFCO 400 '!$D$26*(J763^2)+'CAFCO 400 '!$D$27*J763+'CAFCO 400 '!$D$28)*U763)+('CAFCO 400 '!$D$29*(J763^2)+'CAFCO 400 '!$D$30*J763+'CAFCO 400 '!$D$31)),0),0)+IF(AND(L763="Cafco 300",J763&gt;=95,J763&lt;=240,C763="Cj",I763=90),VLOOKUP(T763,'CAFCO 300 IDIEM TABLAS'!$B$4:$D$23,2,FALSE),0)+IF(AND(L763="Cafco 300",J763&gt;=95,J763&lt;=240,C763="Cj",I763=120),VLOOKUP(T763,'CAFCO 300 IDIEM TABLAS'!$B$4:$D$23,3,FALSE),0)+IF(AND(L763="Cafco 300",J763&gt;=95,J763&lt;=400,G763=3,C763="IN",I763=90),VLOOKUP(T763,'CAFCO 300 IDIEM TABLAS'!$F$4:$H$35,2,FALSE),0)+IF(AND(L763="Cafco 300",J763&gt;=95,J763&lt;=400,G763=3,C763="IN",I763=120),VLOOKUP(T763,'CAFCO 300 IDIEM TABLAS'!$F$4:$H$35,3,FALSE),0)+IF(AND(L763="Cafco 300",J763&gt;=95,J763&lt;=450,G763=4,C763="IN",I763=90),VLOOKUP(T763,'CAFCO 300 IDIEM TABLAS'!$J$4:$L$40,2,FALSE),0)+IF(AND(L763="Cafco 300",J763&gt;=95,J763&lt;=450,G763=4,C763="IN",I763=120),VLOOKUP(T763,'CAFCO 300 IDIEM TABLAS'!$J$4:$L$40,3,FALSE),0)+IF(AND(M763="Ensayo Idiem",L763="Cafco 400",C763="IN",G763=4,I763=90),VLOOKUP(T763,'CAFCO 400 ENSAYO'!$B$7:$D$43,2,FALSE),0)+IF(AND(M763="Ensayo Idiem",L763="Cafco 400",C763="IN",G763=4,I763=120),VLOOKUP(T763,'CAFCO 400 ENSAYO'!$B$7:$D$43,3,FALSE),0)</f>
        <v>0</v>
      </c>
      <c r="O763" s="96">
        <f t="shared" si="78"/>
        <v>0</v>
      </c>
      <c r="P763" s="132" t="str">
        <f t="shared" si="79"/>
        <v>N/A</v>
      </c>
      <c r="Q763" s="132" t="str">
        <f t="shared" si="80"/>
        <v>N/A</v>
      </c>
      <c r="R763" s="132" t="str">
        <f t="shared" si="81"/>
        <v>NO CERT.</v>
      </c>
      <c r="S763" s="132" t="e">
        <f t="shared" si="82"/>
        <v>#N/A</v>
      </c>
      <c r="T763" s="133" t="e">
        <f>+IF(J763=LOOKUP(J763,'CAFCO 300 IDIEM TABLAS'!$J$4:$J$40),'CALCULO MORTERO'!J763,MROUND('CALCULO MORTERO'!J763,10))</f>
        <v>#N/A</v>
      </c>
      <c r="U763" s="134">
        <f t="shared" si="83"/>
        <v>0</v>
      </c>
    </row>
    <row r="764" spans="1:21" x14ac:dyDescent="0.25">
      <c r="A764" s="118">
        <f>+CUBICACION!D758</f>
        <v>0</v>
      </c>
      <c r="B764" s="819">
        <f>+CUBICACION!E758</f>
        <v>0</v>
      </c>
      <c r="C764" s="675">
        <f>+CUBICACION!F758</f>
        <v>0</v>
      </c>
      <c r="D764" s="118"/>
      <c r="E764" s="118"/>
      <c r="F764" s="820"/>
      <c r="G764" s="675">
        <f>+CUBICACION!J758</f>
        <v>0</v>
      </c>
      <c r="H764" s="118"/>
      <c r="I764" s="821">
        <f>+CUBICACION!L758</f>
        <v>0</v>
      </c>
      <c r="J764" s="64">
        <f>+CUBICACION!M758</f>
        <v>0</v>
      </c>
      <c r="K764" s="822" t="str">
        <f>+CUBICACION!N758</f>
        <v/>
      </c>
      <c r="L764" s="118">
        <f>+CUBICACION!O758</f>
        <v>0</v>
      </c>
      <c r="M764" s="823">
        <f>+CUBICACION!P758</f>
        <v>0</v>
      </c>
      <c r="N764" s="902">
        <f>ROUND(IF(AND(L764="Blaze Shield II",M764="Software Idiem",C764="IN",G764=4),((('BLAZE SHIELD II'!$D$4*('CALCULO MORTERO'!I764^2)+'BLAZE SHIELD II'!$D$5*'CALCULO MORTERO'!I764+'BLAZE SHIELD II'!$D$6)*LN(J764))+('BLAZE SHIELD II'!$D$7*('CALCULO MORTERO'!I764^2)+'BLAZE SHIELD II'!$D$8*'CALCULO MORTERO'!I764+'BLAZE SHIELD II'!$D$9)),0)+IF(AND(L764="Blaze Shield II",M764="Software Idiem",C764="Cj"),((('BLAZE SHIELD II'!$H$4*('CALCULO MORTERO'!I764^2)+'BLAZE SHIELD II'!$H$5*'CALCULO MORTERO'!I764+'BLAZE SHIELD II'!$H$6)*LN(J764))+('BLAZE SHIELD II'!$H$7*('CALCULO MORTERO'!I764^2)+'BLAZE SHIELD II'!$H$8*'CALCULO MORTERO'!I764+'BLAZE SHIELD II'!$H$9)),0)+IF(AND(L764="Blaze Shield II",M764="Software Idiem",C764="C"),((('BLAZE SHIELD II'!$L$4*('CALCULO MORTERO'!I764^2)+'BLAZE SHIELD II'!$L$5*'CALCULO MORTERO'!I764+'BLAZE SHIELD II'!$L$6)*LN(J764))+('BLAZE SHIELD II'!$L$7*('CALCULO MORTERO'!I764^2)+'BLAZE SHIELD II'!$L$8*'CALCULO MORTERO'!I764+'BLAZE SHIELD II'!$L$9)),0)+IF(AND(L764="Blaze Shield II",M764="Software Idiem",C764="L"),((('BLAZE SHIELD II'!$L$4*('CALCULO MORTERO'!I764^2)+'BLAZE SHIELD II'!$L$5*'CALCULO MORTERO'!I764+'BLAZE SHIELD II'!$L$6)*LN(J764))+('BLAZE SHIELD II'!$L$7*('CALCULO MORTERO'!I764^2)+'BLAZE SHIELD II'!$L$8*'CALCULO MORTERO'!I764+'BLAZE SHIELD II'!$L$9)),0)+IF(AND(L764="Blaze Shield II",M764="Software Idiem",C764="IN",G764=3),((('BLAZE SHIELD II'!$H$14*('CALCULO MORTERO'!I764^2)+'BLAZE SHIELD II'!$H$15*'CALCULO MORTERO'!I764+'BLAZE SHIELD II'!$H$16)*LN(J764))+('BLAZE SHIELD II'!$H$17*('CALCULO MORTERO'!I764^2)+'BLAZE SHIELD II'!$H$18*'CALCULO MORTERO'!I764+'BLAZE SHIELD II'!$H$19)),0),0)+ROUND(IF(AND(L764="Cafco 400",M764="Software Idiem",C764="IN",G764=4),((('CAFCO 400 '!$H$7*(J764^4)+'CAFCO 400 '!$H$8*(J764^3)+'CAFCO 400 '!$H$9*(J764^2)+'CAFCO 400 '!$H$10*J764+'CAFCO 400 '!$H$11)*U764^2)+(('CAFCO 400 '!$H$12*(J764^3)+'CAFCO 400 '!$H$13*(J764^2)+'CAFCO 400 '!$H$14*J764+'CAFCO 400 '!$H$15)*U764)+('CAFCO 400 '!$H$16*(J764^2)+'CAFCO 400 '!$H$17*J764+'CAFCO 400 '!$H$18)),0)+IF(AND(L764="Cafco 400",M764="Software Idiem",C764="Cj"),(((('CAFCO 400 '!$D$7*LN(J764)+'CAFCO 400 '!$D$8)*U764^2)+(('CAFCO 400 '!$D$9*LN(J764)+'CAFCO 400 '!$D$10)*U764)+('CAFCO 400 '!$D$11*LN(J764)+'CAFCO 400 '!$D$12))),0)+IF(AND(L764="Cafco 400",M764="Software Idiem",C764="C"),((('CAFCO 400 '!$L$7*(J764^3)+'CAFCO 400 '!$L$8*(J764^2)+'CAFCO 400 '!$L$9*J764+'CAFCO 400 '!$L$10)*U764^2)+(('CAFCO 400 '!$L$11*(J764^3)+'CAFCO 400 '!$L$12*(J764^2)+'CAFCO 400 '!$L$13*J764+'CAFCO 400 '!$L$14)*U764)+('CAFCO 400 '!$L$15*LN(J764)+'CAFCO 400 '!$L$16)),0)+IF(AND(L764="Cafco 400",M764="Software Idiem",C764="L"),((('CAFCO 400 '!$L$7*(J764^3)+'CAFCO 400 '!$L$8*(J764^2)+'CAFCO 400 '!$L$9*J764+'CAFCO 400 '!$L$10)*U764^2)+(('CAFCO 400 '!$L$11*(J764^3)+'CAFCO 400 '!$L$12*(J764^2)+'CAFCO 400 '!$L$13*J764+'CAFCO 400 '!$L$14)*U764)+('CAFCO 400 '!$L$15*LN(J764)+'CAFCO 400 '!$L$16)),0)+IF(AND(L764="Cafco 400",M764="Software Idiem",C764="IN",G764=3),((('CAFCO 400 '!$D$23*(J764^2)+'CAFCO 400 '!$D$24*(J764)+'CAFCO 400 '!$D$25)*U764^2)+(('CAFCO 400 '!$D$26*(J764^2)+'CAFCO 400 '!$D$27*J764+'CAFCO 400 '!$D$28)*U764)+('CAFCO 400 '!$D$29*(J764^2)+'CAFCO 400 '!$D$30*J764+'CAFCO 400 '!$D$31)),0),0)+IF(AND(L764="Cafco 300",J764&gt;=95,J764&lt;=240,C764="Cj",I764=90),VLOOKUP(T764,'CAFCO 300 IDIEM TABLAS'!$B$4:$D$23,2,FALSE),0)+IF(AND(L764="Cafco 300",J764&gt;=95,J764&lt;=240,C764="Cj",I764=120),VLOOKUP(T764,'CAFCO 300 IDIEM TABLAS'!$B$4:$D$23,3,FALSE),0)+IF(AND(L764="Cafco 300",J764&gt;=95,J764&lt;=400,G764=3,C764="IN",I764=90),VLOOKUP(T764,'CAFCO 300 IDIEM TABLAS'!$F$4:$H$35,2,FALSE),0)+IF(AND(L764="Cafco 300",J764&gt;=95,J764&lt;=400,G764=3,C764="IN",I764=120),VLOOKUP(T764,'CAFCO 300 IDIEM TABLAS'!$F$4:$H$35,3,FALSE),0)+IF(AND(L764="Cafco 300",J764&gt;=95,J764&lt;=450,G764=4,C764="IN",I764=90),VLOOKUP(T764,'CAFCO 300 IDIEM TABLAS'!$J$4:$L$40,2,FALSE),0)+IF(AND(L764="Cafco 300",J764&gt;=95,J764&lt;=450,G764=4,C764="IN",I764=120),VLOOKUP(T764,'CAFCO 300 IDIEM TABLAS'!$J$4:$L$40,3,FALSE),0)+IF(AND(M764="Ensayo Idiem",L764="Cafco 400",C764="IN",G764=4,I764=90),VLOOKUP(T764,'CAFCO 400 ENSAYO'!$B$7:$D$43,2,FALSE),0)+IF(AND(M764="Ensayo Idiem",L764="Cafco 400",C764="IN",G764=4,I764=120),VLOOKUP(T764,'CAFCO 400 ENSAYO'!$B$7:$D$43,3,FALSE),0)</f>
        <v>0</v>
      </c>
      <c r="O764" s="96">
        <f t="shared" si="78"/>
        <v>0</v>
      </c>
      <c r="P764" s="95" t="str">
        <f t="shared" si="79"/>
        <v>N/A</v>
      </c>
      <c r="Q764" s="95" t="str">
        <f t="shared" si="80"/>
        <v>N/A</v>
      </c>
      <c r="R764" s="95" t="str">
        <f t="shared" si="81"/>
        <v>NO CERT.</v>
      </c>
      <c r="S764" s="95" t="e">
        <f t="shared" si="82"/>
        <v>#N/A</v>
      </c>
      <c r="T764" s="119" t="e">
        <f>+IF(J764=LOOKUP(J764,'CAFCO 300 IDIEM TABLAS'!$J$4:$J$40),'CALCULO MORTERO'!J764,MROUND('CALCULO MORTERO'!J764,10))</f>
        <v>#N/A</v>
      </c>
      <c r="U764" s="118">
        <f t="shared" si="83"/>
        <v>0</v>
      </c>
    </row>
    <row r="765" spans="1:21" x14ac:dyDescent="0.25">
      <c r="A765" s="118">
        <f>+CUBICACION!D759</f>
        <v>0</v>
      </c>
      <c r="B765" s="819">
        <f>+CUBICACION!E759</f>
        <v>0</v>
      </c>
      <c r="C765" s="675">
        <f>+CUBICACION!F759</f>
        <v>0</v>
      </c>
      <c r="D765" s="118"/>
      <c r="E765" s="118"/>
      <c r="F765" s="820"/>
      <c r="G765" s="675">
        <f>+CUBICACION!J759</f>
        <v>0</v>
      </c>
      <c r="H765" s="118"/>
      <c r="I765" s="821">
        <f>+CUBICACION!L759</f>
        <v>0</v>
      </c>
      <c r="J765" s="64">
        <f>+CUBICACION!M759</f>
        <v>0</v>
      </c>
      <c r="K765" s="822" t="str">
        <f>+CUBICACION!N759</f>
        <v/>
      </c>
      <c r="L765" s="118">
        <f>+CUBICACION!O759</f>
        <v>0</v>
      </c>
      <c r="M765" s="823">
        <f>+CUBICACION!P759</f>
        <v>0</v>
      </c>
      <c r="N765" s="902">
        <f>ROUND(IF(AND(L765="Blaze Shield II",M765="Software Idiem",C765="IN",G765=4),((('BLAZE SHIELD II'!$D$4*('CALCULO MORTERO'!I765^2)+'BLAZE SHIELD II'!$D$5*'CALCULO MORTERO'!I765+'BLAZE SHIELD II'!$D$6)*LN(J765))+('BLAZE SHIELD II'!$D$7*('CALCULO MORTERO'!I765^2)+'BLAZE SHIELD II'!$D$8*'CALCULO MORTERO'!I765+'BLAZE SHIELD II'!$D$9)),0)+IF(AND(L765="Blaze Shield II",M765="Software Idiem",C765="Cj"),((('BLAZE SHIELD II'!$H$4*('CALCULO MORTERO'!I765^2)+'BLAZE SHIELD II'!$H$5*'CALCULO MORTERO'!I765+'BLAZE SHIELD II'!$H$6)*LN(J765))+('BLAZE SHIELD II'!$H$7*('CALCULO MORTERO'!I765^2)+'BLAZE SHIELD II'!$H$8*'CALCULO MORTERO'!I765+'BLAZE SHIELD II'!$H$9)),0)+IF(AND(L765="Blaze Shield II",M765="Software Idiem",C765="C"),((('BLAZE SHIELD II'!$L$4*('CALCULO MORTERO'!I765^2)+'BLAZE SHIELD II'!$L$5*'CALCULO MORTERO'!I765+'BLAZE SHIELD II'!$L$6)*LN(J765))+('BLAZE SHIELD II'!$L$7*('CALCULO MORTERO'!I765^2)+'BLAZE SHIELD II'!$L$8*'CALCULO MORTERO'!I765+'BLAZE SHIELD II'!$L$9)),0)+IF(AND(L765="Blaze Shield II",M765="Software Idiem",C765="L"),((('BLAZE SHIELD II'!$L$4*('CALCULO MORTERO'!I765^2)+'BLAZE SHIELD II'!$L$5*'CALCULO MORTERO'!I765+'BLAZE SHIELD II'!$L$6)*LN(J765))+('BLAZE SHIELD II'!$L$7*('CALCULO MORTERO'!I765^2)+'BLAZE SHIELD II'!$L$8*'CALCULO MORTERO'!I765+'BLAZE SHIELD II'!$L$9)),0)+IF(AND(L765="Blaze Shield II",M765="Software Idiem",C765="IN",G765=3),((('BLAZE SHIELD II'!$H$14*('CALCULO MORTERO'!I765^2)+'BLAZE SHIELD II'!$H$15*'CALCULO MORTERO'!I765+'BLAZE SHIELD II'!$H$16)*LN(J765))+('BLAZE SHIELD II'!$H$17*('CALCULO MORTERO'!I765^2)+'BLAZE SHIELD II'!$H$18*'CALCULO MORTERO'!I765+'BLAZE SHIELD II'!$H$19)),0),0)+ROUND(IF(AND(L765="Cafco 400",M765="Software Idiem",C765="IN",G765=4),((('CAFCO 400 '!$H$7*(J765^4)+'CAFCO 400 '!$H$8*(J765^3)+'CAFCO 400 '!$H$9*(J765^2)+'CAFCO 400 '!$H$10*J765+'CAFCO 400 '!$H$11)*U765^2)+(('CAFCO 400 '!$H$12*(J765^3)+'CAFCO 400 '!$H$13*(J765^2)+'CAFCO 400 '!$H$14*J765+'CAFCO 400 '!$H$15)*U765)+('CAFCO 400 '!$H$16*(J765^2)+'CAFCO 400 '!$H$17*J765+'CAFCO 400 '!$H$18)),0)+IF(AND(L765="Cafco 400",M765="Software Idiem",C765="Cj"),(((('CAFCO 400 '!$D$7*LN(J765)+'CAFCO 400 '!$D$8)*U765^2)+(('CAFCO 400 '!$D$9*LN(J765)+'CAFCO 400 '!$D$10)*U765)+('CAFCO 400 '!$D$11*LN(J765)+'CAFCO 400 '!$D$12))),0)+IF(AND(L765="Cafco 400",M765="Software Idiem",C765="C"),((('CAFCO 400 '!$L$7*(J765^3)+'CAFCO 400 '!$L$8*(J765^2)+'CAFCO 400 '!$L$9*J765+'CAFCO 400 '!$L$10)*U765^2)+(('CAFCO 400 '!$L$11*(J765^3)+'CAFCO 400 '!$L$12*(J765^2)+'CAFCO 400 '!$L$13*J765+'CAFCO 400 '!$L$14)*U765)+('CAFCO 400 '!$L$15*LN(J765)+'CAFCO 400 '!$L$16)),0)+IF(AND(L765="Cafco 400",M765="Software Idiem",C765="L"),((('CAFCO 400 '!$L$7*(J765^3)+'CAFCO 400 '!$L$8*(J765^2)+'CAFCO 400 '!$L$9*J765+'CAFCO 400 '!$L$10)*U765^2)+(('CAFCO 400 '!$L$11*(J765^3)+'CAFCO 400 '!$L$12*(J765^2)+'CAFCO 400 '!$L$13*J765+'CAFCO 400 '!$L$14)*U765)+('CAFCO 400 '!$L$15*LN(J765)+'CAFCO 400 '!$L$16)),0)+IF(AND(L765="Cafco 400",M765="Software Idiem",C765="IN",G765=3),((('CAFCO 400 '!$D$23*(J765^2)+'CAFCO 400 '!$D$24*(J765)+'CAFCO 400 '!$D$25)*U765^2)+(('CAFCO 400 '!$D$26*(J765^2)+'CAFCO 400 '!$D$27*J765+'CAFCO 400 '!$D$28)*U765)+('CAFCO 400 '!$D$29*(J765^2)+'CAFCO 400 '!$D$30*J765+'CAFCO 400 '!$D$31)),0),0)+IF(AND(L765="Cafco 300",J765&gt;=95,J765&lt;=240,C765="Cj",I765=90),VLOOKUP(T765,'CAFCO 300 IDIEM TABLAS'!$B$4:$D$23,2,FALSE),0)+IF(AND(L765="Cafco 300",J765&gt;=95,J765&lt;=240,C765="Cj",I765=120),VLOOKUP(T765,'CAFCO 300 IDIEM TABLAS'!$B$4:$D$23,3,FALSE),0)+IF(AND(L765="Cafco 300",J765&gt;=95,J765&lt;=400,G765=3,C765="IN",I765=90),VLOOKUP(T765,'CAFCO 300 IDIEM TABLAS'!$F$4:$H$35,2,FALSE),0)+IF(AND(L765="Cafco 300",J765&gt;=95,J765&lt;=400,G765=3,C765="IN",I765=120),VLOOKUP(T765,'CAFCO 300 IDIEM TABLAS'!$F$4:$H$35,3,FALSE),0)+IF(AND(L765="Cafco 300",J765&gt;=95,J765&lt;=450,G765=4,C765="IN",I765=90),VLOOKUP(T765,'CAFCO 300 IDIEM TABLAS'!$J$4:$L$40,2,FALSE),0)+IF(AND(L765="Cafco 300",J765&gt;=95,J765&lt;=450,G765=4,C765="IN",I765=120),VLOOKUP(T765,'CAFCO 300 IDIEM TABLAS'!$J$4:$L$40,3,FALSE),0)+IF(AND(M765="Ensayo Idiem",L765="Cafco 400",C765="IN",G765=4,I765=90),VLOOKUP(T765,'CAFCO 400 ENSAYO'!$B$7:$D$43,2,FALSE),0)+IF(AND(M765="Ensayo Idiem",L765="Cafco 400",C765="IN",G765=4,I765=120),VLOOKUP(T765,'CAFCO 400 ENSAYO'!$B$7:$D$43,3,FALSE),0)</f>
        <v>0</v>
      </c>
      <c r="O765" s="96">
        <f t="shared" si="78"/>
        <v>0</v>
      </c>
      <c r="P765" s="132" t="str">
        <f t="shared" si="79"/>
        <v>N/A</v>
      </c>
      <c r="Q765" s="132" t="str">
        <f t="shared" si="80"/>
        <v>N/A</v>
      </c>
      <c r="R765" s="132" t="str">
        <f t="shared" si="81"/>
        <v>NO CERT.</v>
      </c>
      <c r="S765" s="132" t="e">
        <f t="shared" si="82"/>
        <v>#N/A</v>
      </c>
      <c r="T765" s="133" t="e">
        <f>+IF(J765=LOOKUP(J765,'CAFCO 300 IDIEM TABLAS'!$J$4:$J$40),'CALCULO MORTERO'!J765,MROUND('CALCULO MORTERO'!J765,10))</f>
        <v>#N/A</v>
      </c>
      <c r="U765" s="134">
        <f t="shared" si="83"/>
        <v>0</v>
      </c>
    </row>
    <row r="766" spans="1:21" x14ac:dyDescent="0.25">
      <c r="A766" s="118">
        <f>+CUBICACION!D760</f>
        <v>0</v>
      </c>
      <c r="B766" s="819">
        <f>+CUBICACION!E760</f>
        <v>0</v>
      </c>
      <c r="C766" s="675">
        <f>+CUBICACION!F760</f>
        <v>0</v>
      </c>
      <c r="D766" s="118"/>
      <c r="E766" s="118"/>
      <c r="F766" s="820"/>
      <c r="G766" s="675">
        <f>+CUBICACION!J760</f>
        <v>0</v>
      </c>
      <c r="H766" s="118"/>
      <c r="I766" s="821">
        <f>+CUBICACION!L760</f>
        <v>0</v>
      </c>
      <c r="J766" s="64">
        <f>+CUBICACION!M760</f>
        <v>0</v>
      </c>
      <c r="K766" s="822" t="str">
        <f>+CUBICACION!N760</f>
        <v/>
      </c>
      <c r="L766" s="118">
        <f>+CUBICACION!O760</f>
        <v>0</v>
      </c>
      <c r="M766" s="823">
        <f>+CUBICACION!P760</f>
        <v>0</v>
      </c>
      <c r="N766" s="902">
        <f>ROUND(IF(AND(L766="Blaze Shield II",M766="Software Idiem",C766="IN",G766=4),((('BLAZE SHIELD II'!$D$4*('CALCULO MORTERO'!I766^2)+'BLAZE SHIELD II'!$D$5*'CALCULO MORTERO'!I766+'BLAZE SHIELD II'!$D$6)*LN(J766))+('BLAZE SHIELD II'!$D$7*('CALCULO MORTERO'!I766^2)+'BLAZE SHIELD II'!$D$8*'CALCULO MORTERO'!I766+'BLAZE SHIELD II'!$D$9)),0)+IF(AND(L766="Blaze Shield II",M766="Software Idiem",C766="Cj"),((('BLAZE SHIELD II'!$H$4*('CALCULO MORTERO'!I766^2)+'BLAZE SHIELD II'!$H$5*'CALCULO MORTERO'!I766+'BLAZE SHIELD II'!$H$6)*LN(J766))+('BLAZE SHIELD II'!$H$7*('CALCULO MORTERO'!I766^2)+'BLAZE SHIELD II'!$H$8*'CALCULO MORTERO'!I766+'BLAZE SHIELD II'!$H$9)),0)+IF(AND(L766="Blaze Shield II",M766="Software Idiem",C766="C"),((('BLAZE SHIELD II'!$L$4*('CALCULO MORTERO'!I766^2)+'BLAZE SHIELD II'!$L$5*'CALCULO MORTERO'!I766+'BLAZE SHIELD II'!$L$6)*LN(J766))+('BLAZE SHIELD II'!$L$7*('CALCULO MORTERO'!I766^2)+'BLAZE SHIELD II'!$L$8*'CALCULO MORTERO'!I766+'BLAZE SHIELD II'!$L$9)),0)+IF(AND(L766="Blaze Shield II",M766="Software Idiem",C766="L"),((('BLAZE SHIELD II'!$L$4*('CALCULO MORTERO'!I766^2)+'BLAZE SHIELD II'!$L$5*'CALCULO MORTERO'!I766+'BLAZE SHIELD II'!$L$6)*LN(J766))+('BLAZE SHIELD II'!$L$7*('CALCULO MORTERO'!I766^2)+'BLAZE SHIELD II'!$L$8*'CALCULO MORTERO'!I766+'BLAZE SHIELD II'!$L$9)),0)+IF(AND(L766="Blaze Shield II",M766="Software Idiem",C766="IN",G766=3),((('BLAZE SHIELD II'!$H$14*('CALCULO MORTERO'!I766^2)+'BLAZE SHIELD II'!$H$15*'CALCULO MORTERO'!I766+'BLAZE SHIELD II'!$H$16)*LN(J766))+('BLAZE SHIELD II'!$H$17*('CALCULO MORTERO'!I766^2)+'BLAZE SHIELD II'!$H$18*'CALCULO MORTERO'!I766+'BLAZE SHIELD II'!$H$19)),0),0)+ROUND(IF(AND(L766="Cafco 400",M766="Software Idiem",C766="IN",G766=4),((('CAFCO 400 '!$H$7*(J766^4)+'CAFCO 400 '!$H$8*(J766^3)+'CAFCO 400 '!$H$9*(J766^2)+'CAFCO 400 '!$H$10*J766+'CAFCO 400 '!$H$11)*U766^2)+(('CAFCO 400 '!$H$12*(J766^3)+'CAFCO 400 '!$H$13*(J766^2)+'CAFCO 400 '!$H$14*J766+'CAFCO 400 '!$H$15)*U766)+('CAFCO 400 '!$H$16*(J766^2)+'CAFCO 400 '!$H$17*J766+'CAFCO 400 '!$H$18)),0)+IF(AND(L766="Cafco 400",M766="Software Idiem",C766="Cj"),(((('CAFCO 400 '!$D$7*LN(J766)+'CAFCO 400 '!$D$8)*U766^2)+(('CAFCO 400 '!$D$9*LN(J766)+'CAFCO 400 '!$D$10)*U766)+('CAFCO 400 '!$D$11*LN(J766)+'CAFCO 400 '!$D$12))),0)+IF(AND(L766="Cafco 400",M766="Software Idiem",C766="C"),((('CAFCO 400 '!$L$7*(J766^3)+'CAFCO 400 '!$L$8*(J766^2)+'CAFCO 400 '!$L$9*J766+'CAFCO 400 '!$L$10)*U766^2)+(('CAFCO 400 '!$L$11*(J766^3)+'CAFCO 400 '!$L$12*(J766^2)+'CAFCO 400 '!$L$13*J766+'CAFCO 400 '!$L$14)*U766)+('CAFCO 400 '!$L$15*LN(J766)+'CAFCO 400 '!$L$16)),0)+IF(AND(L766="Cafco 400",M766="Software Idiem",C766="L"),((('CAFCO 400 '!$L$7*(J766^3)+'CAFCO 400 '!$L$8*(J766^2)+'CAFCO 400 '!$L$9*J766+'CAFCO 400 '!$L$10)*U766^2)+(('CAFCO 400 '!$L$11*(J766^3)+'CAFCO 400 '!$L$12*(J766^2)+'CAFCO 400 '!$L$13*J766+'CAFCO 400 '!$L$14)*U766)+('CAFCO 400 '!$L$15*LN(J766)+'CAFCO 400 '!$L$16)),0)+IF(AND(L766="Cafco 400",M766="Software Idiem",C766="IN",G766=3),((('CAFCO 400 '!$D$23*(J766^2)+'CAFCO 400 '!$D$24*(J766)+'CAFCO 400 '!$D$25)*U766^2)+(('CAFCO 400 '!$D$26*(J766^2)+'CAFCO 400 '!$D$27*J766+'CAFCO 400 '!$D$28)*U766)+('CAFCO 400 '!$D$29*(J766^2)+'CAFCO 400 '!$D$30*J766+'CAFCO 400 '!$D$31)),0),0)+IF(AND(L766="Cafco 300",J766&gt;=95,J766&lt;=240,C766="Cj",I766=90),VLOOKUP(T766,'CAFCO 300 IDIEM TABLAS'!$B$4:$D$23,2,FALSE),0)+IF(AND(L766="Cafco 300",J766&gt;=95,J766&lt;=240,C766="Cj",I766=120),VLOOKUP(T766,'CAFCO 300 IDIEM TABLAS'!$B$4:$D$23,3,FALSE),0)+IF(AND(L766="Cafco 300",J766&gt;=95,J766&lt;=400,G766=3,C766="IN",I766=90),VLOOKUP(T766,'CAFCO 300 IDIEM TABLAS'!$F$4:$H$35,2,FALSE),0)+IF(AND(L766="Cafco 300",J766&gt;=95,J766&lt;=400,G766=3,C766="IN",I766=120),VLOOKUP(T766,'CAFCO 300 IDIEM TABLAS'!$F$4:$H$35,3,FALSE),0)+IF(AND(L766="Cafco 300",J766&gt;=95,J766&lt;=450,G766=4,C766="IN",I766=90),VLOOKUP(T766,'CAFCO 300 IDIEM TABLAS'!$J$4:$L$40,2,FALSE),0)+IF(AND(L766="Cafco 300",J766&gt;=95,J766&lt;=450,G766=4,C766="IN",I766=120),VLOOKUP(T766,'CAFCO 300 IDIEM TABLAS'!$J$4:$L$40,3,FALSE),0)+IF(AND(M766="Ensayo Idiem",L766="Cafco 400",C766="IN",G766=4,I766=90),VLOOKUP(T766,'CAFCO 400 ENSAYO'!$B$7:$D$43,2,FALSE),0)+IF(AND(M766="Ensayo Idiem",L766="Cafco 400",C766="IN",G766=4,I766=120),VLOOKUP(T766,'CAFCO 400 ENSAYO'!$B$7:$D$43,3,FALSE),0)</f>
        <v>0</v>
      </c>
      <c r="O766" s="96">
        <f t="shared" si="78"/>
        <v>0</v>
      </c>
      <c r="P766" s="95" t="str">
        <f t="shared" si="79"/>
        <v>N/A</v>
      </c>
      <c r="Q766" s="95" t="str">
        <f t="shared" si="80"/>
        <v>N/A</v>
      </c>
      <c r="R766" s="95" t="str">
        <f t="shared" si="81"/>
        <v>NO CERT.</v>
      </c>
      <c r="S766" s="95" t="e">
        <f t="shared" si="82"/>
        <v>#N/A</v>
      </c>
      <c r="T766" s="119" t="e">
        <f>+IF(J766=LOOKUP(J766,'CAFCO 300 IDIEM TABLAS'!$J$4:$J$40),'CALCULO MORTERO'!J766,MROUND('CALCULO MORTERO'!J766,10))</f>
        <v>#N/A</v>
      </c>
      <c r="U766" s="118">
        <f t="shared" si="83"/>
        <v>0</v>
      </c>
    </row>
    <row r="767" spans="1:21" x14ac:dyDescent="0.25">
      <c r="A767" s="118">
        <f>+CUBICACION!D761</f>
        <v>0</v>
      </c>
      <c r="B767" s="819">
        <f>+CUBICACION!E761</f>
        <v>0</v>
      </c>
      <c r="C767" s="675">
        <f>+CUBICACION!F761</f>
        <v>0</v>
      </c>
      <c r="D767" s="118"/>
      <c r="E767" s="118"/>
      <c r="F767" s="820"/>
      <c r="G767" s="675">
        <f>+CUBICACION!J761</f>
        <v>0</v>
      </c>
      <c r="H767" s="118"/>
      <c r="I767" s="821">
        <f>+CUBICACION!L761</f>
        <v>0</v>
      </c>
      <c r="J767" s="64">
        <f>+CUBICACION!M761</f>
        <v>0</v>
      </c>
      <c r="K767" s="822" t="str">
        <f>+CUBICACION!N761</f>
        <v/>
      </c>
      <c r="L767" s="118">
        <f>+CUBICACION!O761</f>
        <v>0</v>
      </c>
      <c r="M767" s="823">
        <f>+CUBICACION!P761</f>
        <v>0</v>
      </c>
      <c r="N767" s="902">
        <f>ROUND(IF(AND(L767="Blaze Shield II",M767="Software Idiem",C767="IN",G767=4),((('BLAZE SHIELD II'!$D$4*('CALCULO MORTERO'!I767^2)+'BLAZE SHIELD II'!$D$5*'CALCULO MORTERO'!I767+'BLAZE SHIELD II'!$D$6)*LN(J767))+('BLAZE SHIELD II'!$D$7*('CALCULO MORTERO'!I767^2)+'BLAZE SHIELD II'!$D$8*'CALCULO MORTERO'!I767+'BLAZE SHIELD II'!$D$9)),0)+IF(AND(L767="Blaze Shield II",M767="Software Idiem",C767="Cj"),((('BLAZE SHIELD II'!$H$4*('CALCULO MORTERO'!I767^2)+'BLAZE SHIELD II'!$H$5*'CALCULO MORTERO'!I767+'BLAZE SHIELD II'!$H$6)*LN(J767))+('BLAZE SHIELD II'!$H$7*('CALCULO MORTERO'!I767^2)+'BLAZE SHIELD II'!$H$8*'CALCULO MORTERO'!I767+'BLAZE SHIELD II'!$H$9)),0)+IF(AND(L767="Blaze Shield II",M767="Software Idiem",C767="C"),((('BLAZE SHIELD II'!$L$4*('CALCULO MORTERO'!I767^2)+'BLAZE SHIELD II'!$L$5*'CALCULO MORTERO'!I767+'BLAZE SHIELD II'!$L$6)*LN(J767))+('BLAZE SHIELD II'!$L$7*('CALCULO MORTERO'!I767^2)+'BLAZE SHIELD II'!$L$8*'CALCULO MORTERO'!I767+'BLAZE SHIELD II'!$L$9)),0)+IF(AND(L767="Blaze Shield II",M767="Software Idiem",C767="L"),((('BLAZE SHIELD II'!$L$4*('CALCULO MORTERO'!I767^2)+'BLAZE SHIELD II'!$L$5*'CALCULO MORTERO'!I767+'BLAZE SHIELD II'!$L$6)*LN(J767))+('BLAZE SHIELD II'!$L$7*('CALCULO MORTERO'!I767^2)+'BLAZE SHIELD II'!$L$8*'CALCULO MORTERO'!I767+'BLAZE SHIELD II'!$L$9)),0)+IF(AND(L767="Blaze Shield II",M767="Software Idiem",C767="IN",G767=3),((('BLAZE SHIELD II'!$H$14*('CALCULO MORTERO'!I767^2)+'BLAZE SHIELD II'!$H$15*'CALCULO MORTERO'!I767+'BLAZE SHIELD II'!$H$16)*LN(J767))+('BLAZE SHIELD II'!$H$17*('CALCULO MORTERO'!I767^2)+'BLAZE SHIELD II'!$H$18*'CALCULO MORTERO'!I767+'BLAZE SHIELD II'!$H$19)),0),0)+ROUND(IF(AND(L767="Cafco 400",M767="Software Idiem",C767="IN",G767=4),((('CAFCO 400 '!$H$7*(J767^4)+'CAFCO 400 '!$H$8*(J767^3)+'CAFCO 400 '!$H$9*(J767^2)+'CAFCO 400 '!$H$10*J767+'CAFCO 400 '!$H$11)*U767^2)+(('CAFCO 400 '!$H$12*(J767^3)+'CAFCO 400 '!$H$13*(J767^2)+'CAFCO 400 '!$H$14*J767+'CAFCO 400 '!$H$15)*U767)+('CAFCO 400 '!$H$16*(J767^2)+'CAFCO 400 '!$H$17*J767+'CAFCO 400 '!$H$18)),0)+IF(AND(L767="Cafco 400",M767="Software Idiem",C767="Cj"),(((('CAFCO 400 '!$D$7*LN(J767)+'CAFCO 400 '!$D$8)*U767^2)+(('CAFCO 400 '!$D$9*LN(J767)+'CAFCO 400 '!$D$10)*U767)+('CAFCO 400 '!$D$11*LN(J767)+'CAFCO 400 '!$D$12))),0)+IF(AND(L767="Cafco 400",M767="Software Idiem",C767="C"),((('CAFCO 400 '!$L$7*(J767^3)+'CAFCO 400 '!$L$8*(J767^2)+'CAFCO 400 '!$L$9*J767+'CAFCO 400 '!$L$10)*U767^2)+(('CAFCO 400 '!$L$11*(J767^3)+'CAFCO 400 '!$L$12*(J767^2)+'CAFCO 400 '!$L$13*J767+'CAFCO 400 '!$L$14)*U767)+('CAFCO 400 '!$L$15*LN(J767)+'CAFCO 400 '!$L$16)),0)+IF(AND(L767="Cafco 400",M767="Software Idiem",C767="L"),((('CAFCO 400 '!$L$7*(J767^3)+'CAFCO 400 '!$L$8*(J767^2)+'CAFCO 400 '!$L$9*J767+'CAFCO 400 '!$L$10)*U767^2)+(('CAFCO 400 '!$L$11*(J767^3)+'CAFCO 400 '!$L$12*(J767^2)+'CAFCO 400 '!$L$13*J767+'CAFCO 400 '!$L$14)*U767)+('CAFCO 400 '!$L$15*LN(J767)+'CAFCO 400 '!$L$16)),0)+IF(AND(L767="Cafco 400",M767="Software Idiem",C767="IN",G767=3),((('CAFCO 400 '!$D$23*(J767^2)+'CAFCO 400 '!$D$24*(J767)+'CAFCO 400 '!$D$25)*U767^2)+(('CAFCO 400 '!$D$26*(J767^2)+'CAFCO 400 '!$D$27*J767+'CAFCO 400 '!$D$28)*U767)+('CAFCO 400 '!$D$29*(J767^2)+'CAFCO 400 '!$D$30*J767+'CAFCO 400 '!$D$31)),0),0)+IF(AND(L767="Cafco 300",J767&gt;=95,J767&lt;=240,C767="Cj",I767=90),VLOOKUP(T767,'CAFCO 300 IDIEM TABLAS'!$B$4:$D$23,2,FALSE),0)+IF(AND(L767="Cafco 300",J767&gt;=95,J767&lt;=240,C767="Cj",I767=120),VLOOKUP(T767,'CAFCO 300 IDIEM TABLAS'!$B$4:$D$23,3,FALSE),0)+IF(AND(L767="Cafco 300",J767&gt;=95,J767&lt;=400,G767=3,C767="IN",I767=90),VLOOKUP(T767,'CAFCO 300 IDIEM TABLAS'!$F$4:$H$35,2,FALSE),0)+IF(AND(L767="Cafco 300",J767&gt;=95,J767&lt;=400,G767=3,C767="IN",I767=120),VLOOKUP(T767,'CAFCO 300 IDIEM TABLAS'!$F$4:$H$35,3,FALSE),0)+IF(AND(L767="Cafco 300",J767&gt;=95,J767&lt;=450,G767=4,C767="IN",I767=90),VLOOKUP(T767,'CAFCO 300 IDIEM TABLAS'!$J$4:$L$40,2,FALSE),0)+IF(AND(L767="Cafco 300",J767&gt;=95,J767&lt;=450,G767=4,C767="IN",I767=120),VLOOKUP(T767,'CAFCO 300 IDIEM TABLAS'!$J$4:$L$40,3,FALSE),0)+IF(AND(M767="Ensayo Idiem",L767="Cafco 400",C767="IN",G767=4,I767=90),VLOOKUP(T767,'CAFCO 400 ENSAYO'!$B$7:$D$43,2,FALSE),0)+IF(AND(M767="Ensayo Idiem",L767="Cafco 400",C767="IN",G767=4,I767=120),VLOOKUP(T767,'CAFCO 400 ENSAYO'!$B$7:$D$43,3,FALSE),0)</f>
        <v>0</v>
      </c>
      <c r="O767" s="96">
        <f t="shared" si="78"/>
        <v>0</v>
      </c>
      <c r="P767" s="132" t="str">
        <f t="shared" si="79"/>
        <v>N/A</v>
      </c>
      <c r="Q767" s="132" t="str">
        <f t="shared" si="80"/>
        <v>N/A</v>
      </c>
      <c r="R767" s="132" t="str">
        <f t="shared" si="81"/>
        <v>NO CERT.</v>
      </c>
      <c r="S767" s="132" t="e">
        <f t="shared" si="82"/>
        <v>#N/A</v>
      </c>
      <c r="T767" s="133" t="e">
        <f>+IF(J767=LOOKUP(J767,'CAFCO 300 IDIEM TABLAS'!$J$4:$J$40),'CALCULO MORTERO'!J767,MROUND('CALCULO MORTERO'!J767,10))</f>
        <v>#N/A</v>
      </c>
      <c r="U767" s="134">
        <f t="shared" si="83"/>
        <v>0</v>
      </c>
    </row>
    <row r="768" spans="1:21" x14ac:dyDescent="0.25">
      <c r="A768" s="118">
        <f>+CUBICACION!D762</f>
        <v>0</v>
      </c>
      <c r="B768" s="819">
        <f>+CUBICACION!E762</f>
        <v>0</v>
      </c>
      <c r="C768" s="675">
        <f>+CUBICACION!F762</f>
        <v>0</v>
      </c>
      <c r="D768" s="118"/>
      <c r="E768" s="118"/>
      <c r="F768" s="820"/>
      <c r="G768" s="675">
        <f>+CUBICACION!J762</f>
        <v>0</v>
      </c>
      <c r="H768" s="118"/>
      <c r="I768" s="821">
        <f>+CUBICACION!L762</f>
        <v>0</v>
      </c>
      <c r="J768" s="64">
        <f>+CUBICACION!M762</f>
        <v>0</v>
      </c>
      <c r="K768" s="822" t="str">
        <f>+CUBICACION!N762</f>
        <v/>
      </c>
      <c r="L768" s="118">
        <f>+CUBICACION!O762</f>
        <v>0</v>
      </c>
      <c r="M768" s="823">
        <f>+CUBICACION!P762</f>
        <v>0</v>
      </c>
      <c r="N768" s="902">
        <f>ROUND(IF(AND(L768="Blaze Shield II",M768="Software Idiem",C768="IN",G768=4),((('BLAZE SHIELD II'!$D$4*('CALCULO MORTERO'!I768^2)+'BLAZE SHIELD II'!$D$5*'CALCULO MORTERO'!I768+'BLAZE SHIELD II'!$D$6)*LN(J768))+('BLAZE SHIELD II'!$D$7*('CALCULO MORTERO'!I768^2)+'BLAZE SHIELD II'!$D$8*'CALCULO MORTERO'!I768+'BLAZE SHIELD II'!$D$9)),0)+IF(AND(L768="Blaze Shield II",M768="Software Idiem",C768="Cj"),((('BLAZE SHIELD II'!$H$4*('CALCULO MORTERO'!I768^2)+'BLAZE SHIELD II'!$H$5*'CALCULO MORTERO'!I768+'BLAZE SHIELD II'!$H$6)*LN(J768))+('BLAZE SHIELD II'!$H$7*('CALCULO MORTERO'!I768^2)+'BLAZE SHIELD II'!$H$8*'CALCULO MORTERO'!I768+'BLAZE SHIELD II'!$H$9)),0)+IF(AND(L768="Blaze Shield II",M768="Software Idiem",C768="C"),((('BLAZE SHIELD II'!$L$4*('CALCULO MORTERO'!I768^2)+'BLAZE SHIELD II'!$L$5*'CALCULO MORTERO'!I768+'BLAZE SHIELD II'!$L$6)*LN(J768))+('BLAZE SHIELD II'!$L$7*('CALCULO MORTERO'!I768^2)+'BLAZE SHIELD II'!$L$8*'CALCULO MORTERO'!I768+'BLAZE SHIELD II'!$L$9)),0)+IF(AND(L768="Blaze Shield II",M768="Software Idiem",C768="L"),((('BLAZE SHIELD II'!$L$4*('CALCULO MORTERO'!I768^2)+'BLAZE SHIELD II'!$L$5*'CALCULO MORTERO'!I768+'BLAZE SHIELD II'!$L$6)*LN(J768))+('BLAZE SHIELD II'!$L$7*('CALCULO MORTERO'!I768^2)+'BLAZE SHIELD II'!$L$8*'CALCULO MORTERO'!I768+'BLAZE SHIELD II'!$L$9)),0)+IF(AND(L768="Blaze Shield II",M768="Software Idiem",C768="IN",G768=3),((('BLAZE SHIELD II'!$H$14*('CALCULO MORTERO'!I768^2)+'BLAZE SHIELD II'!$H$15*'CALCULO MORTERO'!I768+'BLAZE SHIELD II'!$H$16)*LN(J768))+('BLAZE SHIELD II'!$H$17*('CALCULO MORTERO'!I768^2)+'BLAZE SHIELD II'!$H$18*'CALCULO MORTERO'!I768+'BLAZE SHIELD II'!$H$19)),0),0)+ROUND(IF(AND(L768="Cafco 400",M768="Software Idiem",C768="IN",G768=4),((('CAFCO 400 '!$H$7*(J768^4)+'CAFCO 400 '!$H$8*(J768^3)+'CAFCO 400 '!$H$9*(J768^2)+'CAFCO 400 '!$H$10*J768+'CAFCO 400 '!$H$11)*U768^2)+(('CAFCO 400 '!$H$12*(J768^3)+'CAFCO 400 '!$H$13*(J768^2)+'CAFCO 400 '!$H$14*J768+'CAFCO 400 '!$H$15)*U768)+('CAFCO 400 '!$H$16*(J768^2)+'CAFCO 400 '!$H$17*J768+'CAFCO 400 '!$H$18)),0)+IF(AND(L768="Cafco 400",M768="Software Idiem",C768="Cj"),(((('CAFCO 400 '!$D$7*LN(J768)+'CAFCO 400 '!$D$8)*U768^2)+(('CAFCO 400 '!$D$9*LN(J768)+'CAFCO 400 '!$D$10)*U768)+('CAFCO 400 '!$D$11*LN(J768)+'CAFCO 400 '!$D$12))),0)+IF(AND(L768="Cafco 400",M768="Software Idiem",C768="C"),((('CAFCO 400 '!$L$7*(J768^3)+'CAFCO 400 '!$L$8*(J768^2)+'CAFCO 400 '!$L$9*J768+'CAFCO 400 '!$L$10)*U768^2)+(('CAFCO 400 '!$L$11*(J768^3)+'CAFCO 400 '!$L$12*(J768^2)+'CAFCO 400 '!$L$13*J768+'CAFCO 400 '!$L$14)*U768)+('CAFCO 400 '!$L$15*LN(J768)+'CAFCO 400 '!$L$16)),0)+IF(AND(L768="Cafco 400",M768="Software Idiem",C768="L"),((('CAFCO 400 '!$L$7*(J768^3)+'CAFCO 400 '!$L$8*(J768^2)+'CAFCO 400 '!$L$9*J768+'CAFCO 400 '!$L$10)*U768^2)+(('CAFCO 400 '!$L$11*(J768^3)+'CAFCO 400 '!$L$12*(J768^2)+'CAFCO 400 '!$L$13*J768+'CAFCO 400 '!$L$14)*U768)+('CAFCO 400 '!$L$15*LN(J768)+'CAFCO 400 '!$L$16)),0)+IF(AND(L768="Cafco 400",M768="Software Idiem",C768="IN",G768=3),((('CAFCO 400 '!$D$23*(J768^2)+'CAFCO 400 '!$D$24*(J768)+'CAFCO 400 '!$D$25)*U768^2)+(('CAFCO 400 '!$D$26*(J768^2)+'CAFCO 400 '!$D$27*J768+'CAFCO 400 '!$D$28)*U768)+('CAFCO 400 '!$D$29*(J768^2)+'CAFCO 400 '!$D$30*J768+'CAFCO 400 '!$D$31)),0),0)+IF(AND(L768="Cafco 300",J768&gt;=95,J768&lt;=240,C768="Cj",I768=90),VLOOKUP(T768,'CAFCO 300 IDIEM TABLAS'!$B$4:$D$23,2,FALSE),0)+IF(AND(L768="Cafco 300",J768&gt;=95,J768&lt;=240,C768="Cj",I768=120),VLOOKUP(T768,'CAFCO 300 IDIEM TABLAS'!$B$4:$D$23,3,FALSE),0)+IF(AND(L768="Cafco 300",J768&gt;=95,J768&lt;=400,G768=3,C768="IN",I768=90),VLOOKUP(T768,'CAFCO 300 IDIEM TABLAS'!$F$4:$H$35,2,FALSE),0)+IF(AND(L768="Cafco 300",J768&gt;=95,J768&lt;=400,G768=3,C768="IN",I768=120),VLOOKUP(T768,'CAFCO 300 IDIEM TABLAS'!$F$4:$H$35,3,FALSE),0)+IF(AND(L768="Cafco 300",J768&gt;=95,J768&lt;=450,G768=4,C768="IN",I768=90),VLOOKUP(T768,'CAFCO 300 IDIEM TABLAS'!$J$4:$L$40,2,FALSE),0)+IF(AND(L768="Cafco 300",J768&gt;=95,J768&lt;=450,G768=4,C768="IN",I768=120),VLOOKUP(T768,'CAFCO 300 IDIEM TABLAS'!$J$4:$L$40,3,FALSE),0)+IF(AND(M768="Ensayo Idiem",L768="Cafco 400",C768="IN",G768=4,I768=90),VLOOKUP(T768,'CAFCO 400 ENSAYO'!$B$7:$D$43,2,FALSE),0)+IF(AND(M768="Ensayo Idiem",L768="Cafco 400",C768="IN",G768=4,I768=120),VLOOKUP(T768,'CAFCO 400 ENSAYO'!$B$7:$D$43,3,FALSE),0)</f>
        <v>0</v>
      </c>
      <c r="O768" s="96">
        <f t="shared" si="78"/>
        <v>0</v>
      </c>
      <c r="P768" s="95" t="str">
        <f t="shared" si="79"/>
        <v>N/A</v>
      </c>
      <c r="Q768" s="95" t="str">
        <f t="shared" si="80"/>
        <v>N/A</v>
      </c>
      <c r="R768" s="95" t="str">
        <f t="shared" si="81"/>
        <v>NO CERT.</v>
      </c>
      <c r="S768" s="95" t="e">
        <f t="shared" si="82"/>
        <v>#N/A</v>
      </c>
      <c r="T768" s="119" t="e">
        <f>+IF(J768=LOOKUP(J768,'CAFCO 300 IDIEM TABLAS'!$J$4:$J$40),'CALCULO MORTERO'!J768,MROUND('CALCULO MORTERO'!J768,10))</f>
        <v>#N/A</v>
      </c>
      <c r="U768" s="118">
        <f t="shared" si="83"/>
        <v>0</v>
      </c>
    </row>
    <row r="769" spans="1:21" x14ac:dyDescent="0.25">
      <c r="A769" s="118">
        <f>+CUBICACION!D763</f>
        <v>0</v>
      </c>
      <c r="B769" s="819">
        <f>+CUBICACION!E763</f>
        <v>0</v>
      </c>
      <c r="C769" s="675">
        <f>+CUBICACION!F763</f>
        <v>0</v>
      </c>
      <c r="D769" s="118"/>
      <c r="E769" s="118"/>
      <c r="F769" s="820"/>
      <c r="G769" s="675">
        <f>+CUBICACION!J763</f>
        <v>0</v>
      </c>
      <c r="H769" s="118"/>
      <c r="I769" s="821">
        <f>+CUBICACION!L763</f>
        <v>0</v>
      </c>
      <c r="J769" s="64">
        <f>+CUBICACION!M763</f>
        <v>0</v>
      </c>
      <c r="K769" s="822" t="str">
        <f>+CUBICACION!N763</f>
        <v/>
      </c>
      <c r="L769" s="118">
        <f>+CUBICACION!O763</f>
        <v>0</v>
      </c>
      <c r="M769" s="823">
        <f>+CUBICACION!P763</f>
        <v>0</v>
      </c>
      <c r="N769" s="902">
        <f>ROUND(IF(AND(L769="Blaze Shield II",M769="Software Idiem",C769="IN",G769=4),((('BLAZE SHIELD II'!$D$4*('CALCULO MORTERO'!I769^2)+'BLAZE SHIELD II'!$D$5*'CALCULO MORTERO'!I769+'BLAZE SHIELD II'!$D$6)*LN(J769))+('BLAZE SHIELD II'!$D$7*('CALCULO MORTERO'!I769^2)+'BLAZE SHIELD II'!$D$8*'CALCULO MORTERO'!I769+'BLAZE SHIELD II'!$D$9)),0)+IF(AND(L769="Blaze Shield II",M769="Software Idiem",C769="Cj"),((('BLAZE SHIELD II'!$H$4*('CALCULO MORTERO'!I769^2)+'BLAZE SHIELD II'!$H$5*'CALCULO MORTERO'!I769+'BLAZE SHIELD II'!$H$6)*LN(J769))+('BLAZE SHIELD II'!$H$7*('CALCULO MORTERO'!I769^2)+'BLAZE SHIELD II'!$H$8*'CALCULO MORTERO'!I769+'BLAZE SHIELD II'!$H$9)),0)+IF(AND(L769="Blaze Shield II",M769="Software Idiem",C769="C"),((('BLAZE SHIELD II'!$L$4*('CALCULO MORTERO'!I769^2)+'BLAZE SHIELD II'!$L$5*'CALCULO MORTERO'!I769+'BLAZE SHIELD II'!$L$6)*LN(J769))+('BLAZE SHIELD II'!$L$7*('CALCULO MORTERO'!I769^2)+'BLAZE SHIELD II'!$L$8*'CALCULO MORTERO'!I769+'BLAZE SHIELD II'!$L$9)),0)+IF(AND(L769="Blaze Shield II",M769="Software Idiem",C769="L"),((('BLAZE SHIELD II'!$L$4*('CALCULO MORTERO'!I769^2)+'BLAZE SHIELD II'!$L$5*'CALCULO MORTERO'!I769+'BLAZE SHIELD II'!$L$6)*LN(J769))+('BLAZE SHIELD II'!$L$7*('CALCULO MORTERO'!I769^2)+'BLAZE SHIELD II'!$L$8*'CALCULO MORTERO'!I769+'BLAZE SHIELD II'!$L$9)),0)+IF(AND(L769="Blaze Shield II",M769="Software Idiem",C769="IN",G769=3),((('BLAZE SHIELD II'!$H$14*('CALCULO MORTERO'!I769^2)+'BLAZE SHIELD II'!$H$15*'CALCULO MORTERO'!I769+'BLAZE SHIELD II'!$H$16)*LN(J769))+('BLAZE SHIELD II'!$H$17*('CALCULO MORTERO'!I769^2)+'BLAZE SHIELD II'!$H$18*'CALCULO MORTERO'!I769+'BLAZE SHIELD II'!$H$19)),0),0)+ROUND(IF(AND(L769="Cafco 400",M769="Software Idiem",C769="IN",G769=4),((('CAFCO 400 '!$H$7*(J769^4)+'CAFCO 400 '!$H$8*(J769^3)+'CAFCO 400 '!$H$9*(J769^2)+'CAFCO 400 '!$H$10*J769+'CAFCO 400 '!$H$11)*U769^2)+(('CAFCO 400 '!$H$12*(J769^3)+'CAFCO 400 '!$H$13*(J769^2)+'CAFCO 400 '!$H$14*J769+'CAFCO 400 '!$H$15)*U769)+('CAFCO 400 '!$H$16*(J769^2)+'CAFCO 400 '!$H$17*J769+'CAFCO 400 '!$H$18)),0)+IF(AND(L769="Cafco 400",M769="Software Idiem",C769="Cj"),(((('CAFCO 400 '!$D$7*LN(J769)+'CAFCO 400 '!$D$8)*U769^2)+(('CAFCO 400 '!$D$9*LN(J769)+'CAFCO 400 '!$D$10)*U769)+('CAFCO 400 '!$D$11*LN(J769)+'CAFCO 400 '!$D$12))),0)+IF(AND(L769="Cafco 400",M769="Software Idiem",C769="C"),((('CAFCO 400 '!$L$7*(J769^3)+'CAFCO 400 '!$L$8*(J769^2)+'CAFCO 400 '!$L$9*J769+'CAFCO 400 '!$L$10)*U769^2)+(('CAFCO 400 '!$L$11*(J769^3)+'CAFCO 400 '!$L$12*(J769^2)+'CAFCO 400 '!$L$13*J769+'CAFCO 400 '!$L$14)*U769)+('CAFCO 400 '!$L$15*LN(J769)+'CAFCO 400 '!$L$16)),0)+IF(AND(L769="Cafco 400",M769="Software Idiem",C769="L"),((('CAFCO 400 '!$L$7*(J769^3)+'CAFCO 400 '!$L$8*(J769^2)+'CAFCO 400 '!$L$9*J769+'CAFCO 400 '!$L$10)*U769^2)+(('CAFCO 400 '!$L$11*(J769^3)+'CAFCO 400 '!$L$12*(J769^2)+'CAFCO 400 '!$L$13*J769+'CAFCO 400 '!$L$14)*U769)+('CAFCO 400 '!$L$15*LN(J769)+'CAFCO 400 '!$L$16)),0)+IF(AND(L769="Cafco 400",M769="Software Idiem",C769="IN",G769=3),((('CAFCO 400 '!$D$23*(J769^2)+'CAFCO 400 '!$D$24*(J769)+'CAFCO 400 '!$D$25)*U769^2)+(('CAFCO 400 '!$D$26*(J769^2)+'CAFCO 400 '!$D$27*J769+'CAFCO 400 '!$D$28)*U769)+('CAFCO 400 '!$D$29*(J769^2)+'CAFCO 400 '!$D$30*J769+'CAFCO 400 '!$D$31)),0),0)+IF(AND(L769="Cafco 300",J769&gt;=95,J769&lt;=240,C769="Cj",I769=90),VLOOKUP(T769,'CAFCO 300 IDIEM TABLAS'!$B$4:$D$23,2,FALSE),0)+IF(AND(L769="Cafco 300",J769&gt;=95,J769&lt;=240,C769="Cj",I769=120),VLOOKUP(T769,'CAFCO 300 IDIEM TABLAS'!$B$4:$D$23,3,FALSE),0)+IF(AND(L769="Cafco 300",J769&gt;=95,J769&lt;=400,G769=3,C769="IN",I769=90),VLOOKUP(T769,'CAFCO 300 IDIEM TABLAS'!$F$4:$H$35,2,FALSE),0)+IF(AND(L769="Cafco 300",J769&gt;=95,J769&lt;=400,G769=3,C769="IN",I769=120),VLOOKUP(T769,'CAFCO 300 IDIEM TABLAS'!$F$4:$H$35,3,FALSE),0)+IF(AND(L769="Cafco 300",J769&gt;=95,J769&lt;=450,G769=4,C769="IN",I769=90),VLOOKUP(T769,'CAFCO 300 IDIEM TABLAS'!$J$4:$L$40,2,FALSE),0)+IF(AND(L769="Cafco 300",J769&gt;=95,J769&lt;=450,G769=4,C769="IN",I769=120),VLOOKUP(T769,'CAFCO 300 IDIEM TABLAS'!$J$4:$L$40,3,FALSE),0)+IF(AND(M769="Ensayo Idiem",L769="Cafco 400",C769="IN",G769=4,I769=90),VLOOKUP(T769,'CAFCO 400 ENSAYO'!$B$7:$D$43,2,FALSE),0)+IF(AND(M769="Ensayo Idiem",L769="Cafco 400",C769="IN",G769=4,I769=120),VLOOKUP(T769,'CAFCO 400 ENSAYO'!$B$7:$D$43,3,FALSE),0)</f>
        <v>0</v>
      </c>
      <c r="O769" s="96">
        <f t="shared" si="78"/>
        <v>0</v>
      </c>
      <c r="P769" s="132" t="str">
        <f t="shared" si="79"/>
        <v>N/A</v>
      </c>
      <c r="Q769" s="132" t="str">
        <f t="shared" si="80"/>
        <v>N/A</v>
      </c>
      <c r="R769" s="132" t="str">
        <f t="shared" si="81"/>
        <v>NO CERT.</v>
      </c>
      <c r="S769" s="132" t="e">
        <f t="shared" si="82"/>
        <v>#N/A</v>
      </c>
      <c r="T769" s="133" t="e">
        <f>+IF(J769=LOOKUP(J769,'CAFCO 300 IDIEM TABLAS'!$J$4:$J$40),'CALCULO MORTERO'!J769,MROUND('CALCULO MORTERO'!J769,10))</f>
        <v>#N/A</v>
      </c>
      <c r="U769" s="134">
        <f t="shared" si="83"/>
        <v>0</v>
      </c>
    </row>
    <row r="770" spans="1:21" x14ac:dyDescent="0.25">
      <c r="A770" s="118">
        <f>+CUBICACION!D764</f>
        <v>0</v>
      </c>
      <c r="B770" s="819">
        <f>+CUBICACION!E764</f>
        <v>0</v>
      </c>
      <c r="C770" s="675">
        <f>+CUBICACION!F764</f>
        <v>0</v>
      </c>
      <c r="D770" s="118"/>
      <c r="E770" s="118"/>
      <c r="F770" s="820"/>
      <c r="G770" s="675">
        <f>+CUBICACION!J764</f>
        <v>0</v>
      </c>
      <c r="H770" s="118"/>
      <c r="I770" s="821">
        <f>+CUBICACION!L764</f>
        <v>0</v>
      </c>
      <c r="J770" s="64">
        <f>+CUBICACION!M764</f>
        <v>0</v>
      </c>
      <c r="K770" s="822" t="str">
        <f>+CUBICACION!N764</f>
        <v/>
      </c>
      <c r="L770" s="118">
        <f>+CUBICACION!O764</f>
        <v>0</v>
      </c>
      <c r="M770" s="823">
        <f>+CUBICACION!P764</f>
        <v>0</v>
      </c>
      <c r="N770" s="902">
        <f>ROUND(IF(AND(L770="Blaze Shield II",M770="Software Idiem",C770="IN",G770=4),((('BLAZE SHIELD II'!$D$4*('CALCULO MORTERO'!I770^2)+'BLAZE SHIELD II'!$D$5*'CALCULO MORTERO'!I770+'BLAZE SHIELD II'!$D$6)*LN(J770))+('BLAZE SHIELD II'!$D$7*('CALCULO MORTERO'!I770^2)+'BLAZE SHIELD II'!$D$8*'CALCULO MORTERO'!I770+'BLAZE SHIELD II'!$D$9)),0)+IF(AND(L770="Blaze Shield II",M770="Software Idiem",C770="Cj"),((('BLAZE SHIELD II'!$H$4*('CALCULO MORTERO'!I770^2)+'BLAZE SHIELD II'!$H$5*'CALCULO MORTERO'!I770+'BLAZE SHIELD II'!$H$6)*LN(J770))+('BLAZE SHIELD II'!$H$7*('CALCULO MORTERO'!I770^2)+'BLAZE SHIELD II'!$H$8*'CALCULO MORTERO'!I770+'BLAZE SHIELD II'!$H$9)),0)+IF(AND(L770="Blaze Shield II",M770="Software Idiem",C770="C"),((('BLAZE SHIELD II'!$L$4*('CALCULO MORTERO'!I770^2)+'BLAZE SHIELD II'!$L$5*'CALCULO MORTERO'!I770+'BLAZE SHIELD II'!$L$6)*LN(J770))+('BLAZE SHIELD II'!$L$7*('CALCULO MORTERO'!I770^2)+'BLAZE SHIELD II'!$L$8*'CALCULO MORTERO'!I770+'BLAZE SHIELD II'!$L$9)),0)+IF(AND(L770="Blaze Shield II",M770="Software Idiem",C770="L"),((('BLAZE SHIELD II'!$L$4*('CALCULO MORTERO'!I770^2)+'BLAZE SHIELD II'!$L$5*'CALCULO MORTERO'!I770+'BLAZE SHIELD II'!$L$6)*LN(J770))+('BLAZE SHIELD II'!$L$7*('CALCULO MORTERO'!I770^2)+'BLAZE SHIELD II'!$L$8*'CALCULO MORTERO'!I770+'BLAZE SHIELD II'!$L$9)),0)+IF(AND(L770="Blaze Shield II",M770="Software Idiem",C770="IN",G770=3),((('BLAZE SHIELD II'!$H$14*('CALCULO MORTERO'!I770^2)+'BLAZE SHIELD II'!$H$15*'CALCULO MORTERO'!I770+'BLAZE SHIELD II'!$H$16)*LN(J770))+('BLAZE SHIELD II'!$H$17*('CALCULO MORTERO'!I770^2)+'BLAZE SHIELD II'!$H$18*'CALCULO MORTERO'!I770+'BLAZE SHIELD II'!$H$19)),0),0)+ROUND(IF(AND(L770="Cafco 400",M770="Software Idiem",C770="IN",G770=4),((('CAFCO 400 '!$H$7*(J770^4)+'CAFCO 400 '!$H$8*(J770^3)+'CAFCO 400 '!$H$9*(J770^2)+'CAFCO 400 '!$H$10*J770+'CAFCO 400 '!$H$11)*U770^2)+(('CAFCO 400 '!$H$12*(J770^3)+'CAFCO 400 '!$H$13*(J770^2)+'CAFCO 400 '!$H$14*J770+'CAFCO 400 '!$H$15)*U770)+('CAFCO 400 '!$H$16*(J770^2)+'CAFCO 400 '!$H$17*J770+'CAFCO 400 '!$H$18)),0)+IF(AND(L770="Cafco 400",M770="Software Idiem",C770="Cj"),(((('CAFCO 400 '!$D$7*LN(J770)+'CAFCO 400 '!$D$8)*U770^2)+(('CAFCO 400 '!$D$9*LN(J770)+'CAFCO 400 '!$D$10)*U770)+('CAFCO 400 '!$D$11*LN(J770)+'CAFCO 400 '!$D$12))),0)+IF(AND(L770="Cafco 400",M770="Software Idiem",C770="C"),((('CAFCO 400 '!$L$7*(J770^3)+'CAFCO 400 '!$L$8*(J770^2)+'CAFCO 400 '!$L$9*J770+'CAFCO 400 '!$L$10)*U770^2)+(('CAFCO 400 '!$L$11*(J770^3)+'CAFCO 400 '!$L$12*(J770^2)+'CAFCO 400 '!$L$13*J770+'CAFCO 400 '!$L$14)*U770)+('CAFCO 400 '!$L$15*LN(J770)+'CAFCO 400 '!$L$16)),0)+IF(AND(L770="Cafco 400",M770="Software Idiem",C770="L"),((('CAFCO 400 '!$L$7*(J770^3)+'CAFCO 400 '!$L$8*(J770^2)+'CAFCO 400 '!$L$9*J770+'CAFCO 400 '!$L$10)*U770^2)+(('CAFCO 400 '!$L$11*(J770^3)+'CAFCO 400 '!$L$12*(J770^2)+'CAFCO 400 '!$L$13*J770+'CAFCO 400 '!$L$14)*U770)+('CAFCO 400 '!$L$15*LN(J770)+'CAFCO 400 '!$L$16)),0)+IF(AND(L770="Cafco 400",M770="Software Idiem",C770="IN",G770=3),((('CAFCO 400 '!$D$23*(J770^2)+'CAFCO 400 '!$D$24*(J770)+'CAFCO 400 '!$D$25)*U770^2)+(('CAFCO 400 '!$D$26*(J770^2)+'CAFCO 400 '!$D$27*J770+'CAFCO 400 '!$D$28)*U770)+('CAFCO 400 '!$D$29*(J770^2)+'CAFCO 400 '!$D$30*J770+'CAFCO 400 '!$D$31)),0),0)+IF(AND(L770="Cafco 300",J770&gt;=95,J770&lt;=240,C770="Cj",I770=90),VLOOKUP(T770,'CAFCO 300 IDIEM TABLAS'!$B$4:$D$23,2,FALSE),0)+IF(AND(L770="Cafco 300",J770&gt;=95,J770&lt;=240,C770="Cj",I770=120),VLOOKUP(T770,'CAFCO 300 IDIEM TABLAS'!$B$4:$D$23,3,FALSE),0)+IF(AND(L770="Cafco 300",J770&gt;=95,J770&lt;=400,G770=3,C770="IN",I770=90),VLOOKUP(T770,'CAFCO 300 IDIEM TABLAS'!$F$4:$H$35,2,FALSE),0)+IF(AND(L770="Cafco 300",J770&gt;=95,J770&lt;=400,G770=3,C770="IN",I770=120),VLOOKUP(T770,'CAFCO 300 IDIEM TABLAS'!$F$4:$H$35,3,FALSE),0)+IF(AND(L770="Cafco 300",J770&gt;=95,J770&lt;=450,G770=4,C770="IN",I770=90),VLOOKUP(T770,'CAFCO 300 IDIEM TABLAS'!$J$4:$L$40,2,FALSE),0)+IF(AND(L770="Cafco 300",J770&gt;=95,J770&lt;=450,G770=4,C770="IN",I770=120),VLOOKUP(T770,'CAFCO 300 IDIEM TABLAS'!$J$4:$L$40,3,FALSE),0)+IF(AND(M770="Ensayo Idiem",L770="Cafco 400",C770="IN",G770=4,I770=90),VLOOKUP(T770,'CAFCO 400 ENSAYO'!$B$7:$D$43,2,FALSE),0)+IF(AND(M770="Ensayo Idiem",L770="Cafco 400",C770="IN",G770=4,I770=120),VLOOKUP(T770,'CAFCO 400 ENSAYO'!$B$7:$D$43,3,FALSE),0)</f>
        <v>0</v>
      </c>
      <c r="O770" s="96">
        <f t="shared" si="78"/>
        <v>0</v>
      </c>
      <c r="P770" s="95" t="str">
        <f t="shared" si="79"/>
        <v>N/A</v>
      </c>
      <c r="Q770" s="95" t="str">
        <f t="shared" si="80"/>
        <v>N/A</v>
      </c>
      <c r="R770" s="95" t="str">
        <f t="shared" si="81"/>
        <v>NO CERT.</v>
      </c>
      <c r="S770" s="95" t="e">
        <f t="shared" si="82"/>
        <v>#N/A</v>
      </c>
      <c r="T770" s="119" t="e">
        <f>+IF(J770=LOOKUP(J770,'CAFCO 300 IDIEM TABLAS'!$J$4:$J$40),'CALCULO MORTERO'!J770,MROUND('CALCULO MORTERO'!J770,10))</f>
        <v>#N/A</v>
      </c>
      <c r="U770" s="118">
        <f t="shared" si="83"/>
        <v>0</v>
      </c>
    </row>
    <row r="771" spans="1:21" x14ac:dyDescent="0.25">
      <c r="A771" s="118">
        <f>+CUBICACION!D765</f>
        <v>0</v>
      </c>
      <c r="B771" s="819">
        <f>+CUBICACION!E765</f>
        <v>0</v>
      </c>
      <c r="C771" s="675">
        <f>+CUBICACION!F765</f>
        <v>0</v>
      </c>
      <c r="D771" s="118"/>
      <c r="E771" s="118"/>
      <c r="F771" s="820"/>
      <c r="G771" s="675">
        <f>+CUBICACION!J765</f>
        <v>0</v>
      </c>
      <c r="H771" s="118"/>
      <c r="I771" s="821">
        <f>+CUBICACION!L765</f>
        <v>0</v>
      </c>
      <c r="J771" s="64">
        <f>+CUBICACION!M765</f>
        <v>0</v>
      </c>
      <c r="K771" s="822" t="str">
        <f>+CUBICACION!N765</f>
        <v/>
      </c>
      <c r="L771" s="118">
        <f>+CUBICACION!O765</f>
        <v>0</v>
      </c>
      <c r="M771" s="823">
        <f>+CUBICACION!P765</f>
        <v>0</v>
      </c>
      <c r="N771" s="902">
        <f>ROUND(IF(AND(L771="Blaze Shield II",M771="Software Idiem",C771="IN",G771=4),((('BLAZE SHIELD II'!$D$4*('CALCULO MORTERO'!I771^2)+'BLAZE SHIELD II'!$D$5*'CALCULO MORTERO'!I771+'BLAZE SHIELD II'!$D$6)*LN(J771))+('BLAZE SHIELD II'!$D$7*('CALCULO MORTERO'!I771^2)+'BLAZE SHIELD II'!$D$8*'CALCULO MORTERO'!I771+'BLAZE SHIELD II'!$D$9)),0)+IF(AND(L771="Blaze Shield II",M771="Software Idiem",C771="Cj"),((('BLAZE SHIELD II'!$H$4*('CALCULO MORTERO'!I771^2)+'BLAZE SHIELD II'!$H$5*'CALCULO MORTERO'!I771+'BLAZE SHIELD II'!$H$6)*LN(J771))+('BLAZE SHIELD II'!$H$7*('CALCULO MORTERO'!I771^2)+'BLAZE SHIELD II'!$H$8*'CALCULO MORTERO'!I771+'BLAZE SHIELD II'!$H$9)),0)+IF(AND(L771="Blaze Shield II",M771="Software Idiem",C771="C"),((('BLAZE SHIELD II'!$L$4*('CALCULO MORTERO'!I771^2)+'BLAZE SHIELD II'!$L$5*'CALCULO MORTERO'!I771+'BLAZE SHIELD II'!$L$6)*LN(J771))+('BLAZE SHIELD II'!$L$7*('CALCULO MORTERO'!I771^2)+'BLAZE SHIELD II'!$L$8*'CALCULO MORTERO'!I771+'BLAZE SHIELD II'!$L$9)),0)+IF(AND(L771="Blaze Shield II",M771="Software Idiem",C771="L"),((('BLAZE SHIELD II'!$L$4*('CALCULO MORTERO'!I771^2)+'BLAZE SHIELD II'!$L$5*'CALCULO MORTERO'!I771+'BLAZE SHIELD II'!$L$6)*LN(J771))+('BLAZE SHIELD II'!$L$7*('CALCULO MORTERO'!I771^2)+'BLAZE SHIELD II'!$L$8*'CALCULO MORTERO'!I771+'BLAZE SHIELD II'!$L$9)),0)+IF(AND(L771="Blaze Shield II",M771="Software Idiem",C771="IN",G771=3),((('BLAZE SHIELD II'!$H$14*('CALCULO MORTERO'!I771^2)+'BLAZE SHIELD II'!$H$15*'CALCULO MORTERO'!I771+'BLAZE SHIELD II'!$H$16)*LN(J771))+('BLAZE SHIELD II'!$H$17*('CALCULO MORTERO'!I771^2)+'BLAZE SHIELD II'!$H$18*'CALCULO MORTERO'!I771+'BLAZE SHIELD II'!$H$19)),0),0)+ROUND(IF(AND(L771="Cafco 400",M771="Software Idiem",C771="IN",G771=4),((('CAFCO 400 '!$H$7*(J771^4)+'CAFCO 400 '!$H$8*(J771^3)+'CAFCO 400 '!$H$9*(J771^2)+'CAFCO 400 '!$H$10*J771+'CAFCO 400 '!$H$11)*U771^2)+(('CAFCO 400 '!$H$12*(J771^3)+'CAFCO 400 '!$H$13*(J771^2)+'CAFCO 400 '!$H$14*J771+'CAFCO 400 '!$H$15)*U771)+('CAFCO 400 '!$H$16*(J771^2)+'CAFCO 400 '!$H$17*J771+'CAFCO 400 '!$H$18)),0)+IF(AND(L771="Cafco 400",M771="Software Idiem",C771="Cj"),(((('CAFCO 400 '!$D$7*LN(J771)+'CAFCO 400 '!$D$8)*U771^2)+(('CAFCO 400 '!$D$9*LN(J771)+'CAFCO 400 '!$D$10)*U771)+('CAFCO 400 '!$D$11*LN(J771)+'CAFCO 400 '!$D$12))),0)+IF(AND(L771="Cafco 400",M771="Software Idiem",C771="C"),((('CAFCO 400 '!$L$7*(J771^3)+'CAFCO 400 '!$L$8*(J771^2)+'CAFCO 400 '!$L$9*J771+'CAFCO 400 '!$L$10)*U771^2)+(('CAFCO 400 '!$L$11*(J771^3)+'CAFCO 400 '!$L$12*(J771^2)+'CAFCO 400 '!$L$13*J771+'CAFCO 400 '!$L$14)*U771)+('CAFCO 400 '!$L$15*LN(J771)+'CAFCO 400 '!$L$16)),0)+IF(AND(L771="Cafco 400",M771="Software Idiem",C771="L"),((('CAFCO 400 '!$L$7*(J771^3)+'CAFCO 400 '!$L$8*(J771^2)+'CAFCO 400 '!$L$9*J771+'CAFCO 400 '!$L$10)*U771^2)+(('CAFCO 400 '!$L$11*(J771^3)+'CAFCO 400 '!$L$12*(J771^2)+'CAFCO 400 '!$L$13*J771+'CAFCO 400 '!$L$14)*U771)+('CAFCO 400 '!$L$15*LN(J771)+'CAFCO 400 '!$L$16)),0)+IF(AND(L771="Cafco 400",M771="Software Idiem",C771="IN",G771=3),((('CAFCO 400 '!$D$23*(J771^2)+'CAFCO 400 '!$D$24*(J771)+'CAFCO 400 '!$D$25)*U771^2)+(('CAFCO 400 '!$D$26*(J771^2)+'CAFCO 400 '!$D$27*J771+'CAFCO 400 '!$D$28)*U771)+('CAFCO 400 '!$D$29*(J771^2)+'CAFCO 400 '!$D$30*J771+'CAFCO 400 '!$D$31)),0),0)+IF(AND(L771="Cafco 300",J771&gt;=95,J771&lt;=240,C771="Cj",I771=90),VLOOKUP(T771,'CAFCO 300 IDIEM TABLAS'!$B$4:$D$23,2,FALSE),0)+IF(AND(L771="Cafco 300",J771&gt;=95,J771&lt;=240,C771="Cj",I771=120),VLOOKUP(T771,'CAFCO 300 IDIEM TABLAS'!$B$4:$D$23,3,FALSE),0)+IF(AND(L771="Cafco 300",J771&gt;=95,J771&lt;=400,G771=3,C771="IN",I771=90),VLOOKUP(T771,'CAFCO 300 IDIEM TABLAS'!$F$4:$H$35,2,FALSE),0)+IF(AND(L771="Cafco 300",J771&gt;=95,J771&lt;=400,G771=3,C771="IN",I771=120),VLOOKUP(T771,'CAFCO 300 IDIEM TABLAS'!$F$4:$H$35,3,FALSE),0)+IF(AND(L771="Cafco 300",J771&gt;=95,J771&lt;=450,G771=4,C771="IN",I771=90),VLOOKUP(T771,'CAFCO 300 IDIEM TABLAS'!$J$4:$L$40,2,FALSE),0)+IF(AND(L771="Cafco 300",J771&gt;=95,J771&lt;=450,G771=4,C771="IN",I771=120),VLOOKUP(T771,'CAFCO 300 IDIEM TABLAS'!$J$4:$L$40,3,FALSE),0)+IF(AND(M771="Ensayo Idiem",L771="Cafco 400",C771="IN",G771=4,I771=90),VLOOKUP(T771,'CAFCO 400 ENSAYO'!$B$7:$D$43,2,FALSE),0)+IF(AND(M771="Ensayo Idiem",L771="Cafco 400",C771="IN",G771=4,I771=120),VLOOKUP(T771,'CAFCO 400 ENSAYO'!$B$7:$D$43,3,FALSE),0)</f>
        <v>0</v>
      </c>
      <c r="O771" s="96">
        <f t="shared" si="78"/>
        <v>0</v>
      </c>
      <c r="P771" s="132" t="str">
        <f t="shared" si="79"/>
        <v>N/A</v>
      </c>
      <c r="Q771" s="132" t="str">
        <f t="shared" si="80"/>
        <v>N/A</v>
      </c>
      <c r="R771" s="132" t="str">
        <f t="shared" si="81"/>
        <v>NO CERT.</v>
      </c>
      <c r="S771" s="132" t="e">
        <f t="shared" si="82"/>
        <v>#N/A</v>
      </c>
      <c r="T771" s="133" t="e">
        <f>+IF(J771=LOOKUP(J771,'CAFCO 300 IDIEM TABLAS'!$J$4:$J$40),'CALCULO MORTERO'!J771,MROUND('CALCULO MORTERO'!J771,10))</f>
        <v>#N/A</v>
      </c>
      <c r="U771" s="134">
        <f t="shared" si="83"/>
        <v>0</v>
      </c>
    </row>
    <row r="772" spans="1:21" x14ac:dyDescent="0.25">
      <c r="A772" s="118">
        <f>+CUBICACION!D766</f>
        <v>0</v>
      </c>
      <c r="B772" s="819">
        <f>+CUBICACION!E766</f>
        <v>0</v>
      </c>
      <c r="C772" s="675">
        <f>+CUBICACION!F766</f>
        <v>0</v>
      </c>
      <c r="D772" s="118"/>
      <c r="E772" s="118"/>
      <c r="F772" s="820"/>
      <c r="G772" s="675">
        <f>+CUBICACION!J766</f>
        <v>0</v>
      </c>
      <c r="H772" s="118"/>
      <c r="I772" s="821">
        <f>+CUBICACION!L766</f>
        <v>0</v>
      </c>
      <c r="J772" s="64">
        <f>+CUBICACION!M766</f>
        <v>0</v>
      </c>
      <c r="K772" s="822" t="str">
        <f>+CUBICACION!N766</f>
        <v/>
      </c>
      <c r="L772" s="118">
        <f>+CUBICACION!O766</f>
        <v>0</v>
      </c>
      <c r="M772" s="823">
        <f>+CUBICACION!P766</f>
        <v>0</v>
      </c>
      <c r="N772" s="902">
        <f>ROUND(IF(AND(L772="Blaze Shield II",M772="Software Idiem",C772="IN",G772=4),((('BLAZE SHIELD II'!$D$4*('CALCULO MORTERO'!I772^2)+'BLAZE SHIELD II'!$D$5*'CALCULO MORTERO'!I772+'BLAZE SHIELD II'!$D$6)*LN(J772))+('BLAZE SHIELD II'!$D$7*('CALCULO MORTERO'!I772^2)+'BLAZE SHIELD II'!$D$8*'CALCULO MORTERO'!I772+'BLAZE SHIELD II'!$D$9)),0)+IF(AND(L772="Blaze Shield II",M772="Software Idiem",C772="Cj"),((('BLAZE SHIELD II'!$H$4*('CALCULO MORTERO'!I772^2)+'BLAZE SHIELD II'!$H$5*'CALCULO MORTERO'!I772+'BLAZE SHIELD II'!$H$6)*LN(J772))+('BLAZE SHIELD II'!$H$7*('CALCULO MORTERO'!I772^2)+'BLAZE SHIELD II'!$H$8*'CALCULO MORTERO'!I772+'BLAZE SHIELD II'!$H$9)),0)+IF(AND(L772="Blaze Shield II",M772="Software Idiem",C772="C"),((('BLAZE SHIELD II'!$L$4*('CALCULO MORTERO'!I772^2)+'BLAZE SHIELD II'!$L$5*'CALCULO MORTERO'!I772+'BLAZE SHIELD II'!$L$6)*LN(J772))+('BLAZE SHIELD II'!$L$7*('CALCULO MORTERO'!I772^2)+'BLAZE SHIELD II'!$L$8*'CALCULO MORTERO'!I772+'BLAZE SHIELD II'!$L$9)),0)+IF(AND(L772="Blaze Shield II",M772="Software Idiem",C772="L"),((('BLAZE SHIELD II'!$L$4*('CALCULO MORTERO'!I772^2)+'BLAZE SHIELD II'!$L$5*'CALCULO MORTERO'!I772+'BLAZE SHIELD II'!$L$6)*LN(J772))+('BLAZE SHIELD II'!$L$7*('CALCULO MORTERO'!I772^2)+'BLAZE SHIELD II'!$L$8*'CALCULO MORTERO'!I772+'BLAZE SHIELD II'!$L$9)),0)+IF(AND(L772="Blaze Shield II",M772="Software Idiem",C772="IN",G772=3),((('BLAZE SHIELD II'!$H$14*('CALCULO MORTERO'!I772^2)+'BLAZE SHIELD II'!$H$15*'CALCULO MORTERO'!I772+'BLAZE SHIELD II'!$H$16)*LN(J772))+('BLAZE SHIELD II'!$H$17*('CALCULO MORTERO'!I772^2)+'BLAZE SHIELD II'!$H$18*'CALCULO MORTERO'!I772+'BLAZE SHIELD II'!$H$19)),0),0)+ROUND(IF(AND(L772="Cafco 400",M772="Software Idiem",C772="IN",G772=4),((('CAFCO 400 '!$H$7*(J772^4)+'CAFCO 400 '!$H$8*(J772^3)+'CAFCO 400 '!$H$9*(J772^2)+'CAFCO 400 '!$H$10*J772+'CAFCO 400 '!$H$11)*U772^2)+(('CAFCO 400 '!$H$12*(J772^3)+'CAFCO 400 '!$H$13*(J772^2)+'CAFCO 400 '!$H$14*J772+'CAFCO 400 '!$H$15)*U772)+('CAFCO 400 '!$H$16*(J772^2)+'CAFCO 400 '!$H$17*J772+'CAFCO 400 '!$H$18)),0)+IF(AND(L772="Cafco 400",M772="Software Idiem",C772="Cj"),(((('CAFCO 400 '!$D$7*LN(J772)+'CAFCO 400 '!$D$8)*U772^2)+(('CAFCO 400 '!$D$9*LN(J772)+'CAFCO 400 '!$D$10)*U772)+('CAFCO 400 '!$D$11*LN(J772)+'CAFCO 400 '!$D$12))),0)+IF(AND(L772="Cafco 400",M772="Software Idiem",C772="C"),((('CAFCO 400 '!$L$7*(J772^3)+'CAFCO 400 '!$L$8*(J772^2)+'CAFCO 400 '!$L$9*J772+'CAFCO 400 '!$L$10)*U772^2)+(('CAFCO 400 '!$L$11*(J772^3)+'CAFCO 400 '!$L$12*(J772^2)+'CAFCO 400 '!$L$13*J772+'CAFCO 400 '!$L$14)*U772)+('CAFCO 400 '!$L$15*LN(J772)+'CAFCO 400 '!$L$16)),0)+IF(AND(L772="Cafco 400",M772="Software Idiem",C772="L"),((('CAFCO 400 '!$L$7*(J772^3)+'CAFCO 400 '!$L$8*(J772^2)+'CAFCO 400 '!$L$9*J772+'CAFCO 400 '!$L$10)*U772^2)+(('CAFCO 400 '!$L$11*(J772^3)+'CAFCO 400 '!$L$12*(J772^2)+'CAFCO 400 '!$L$13*J772+'CAFCO 400 '!$L$14)*U772)+('CAFCO 400 '!$L$15*LN(J772)+'CAFCO 400 '!$L$16)),0)+IF(AND(L772="Cafco 400",M772="Software Idiem",C772="IN",G772=3),((('CAFCO 400 '!$D$23*(J772^2)+'CAFCO 400 '!$D$24*(J772)+'CAFCO 400 '!$D$25)*U772^2)+(('CAFCO 400 '!$D$26*(J772^2)+'CAFCO 400 '!$D$27*J772+'CAFCO 400 '!$D$28)*U772)+('CAFCO 400 '!$D$29*(J772^2)+'CAFCO 400 '!$D$30*J772+'CAFCO 400 '!$D$31)),0),0)+IF(AND(L772="Cafco 300",J772&gt;=95,J772&lt;=240,C772="Cj",I772=90),VLOOKUP(T772,'CAFCO 300 IDIEM TABLAS'!$B$4:$D$23,2,FALSE),0)+IF(AND(L772="Cafco 300",J772&gt;=95,J772&lt;=240,C772="Cj",I772=120),VLOOKUP(T772,'CAFCO 300 IDIEM TABLAS'!$B$4:$D$23,3,FALSE),0)+IF(AND(L772="Cafco 300",J772&gt;=95,J772&lt;=400,G772=3,C772="IN",I772=90),VLOOKUP(T772,'CAFCO 300 IDIEM TABLAS'!$F$4:$H$35,2,FALSE),0)+IF(AND(L772="Cafco 300",J772&gt;=95,J772&lt;=400,G772=3,C772="IN",I772=120),VLOOKUP(T772,'CAFCO 300 IDIEM TABLAS'!$F$4:$H$35,3,FALSE),0)+IF(AND(L772="Cafco 300",J772&gt;=95,J772&lt;=450,G772=4,C772="IN",I772=90),VLOOKUP(T772,'CAFCO 300 IDIEM TABLAS'!$J$4:$L$40,2,FALSE),0)+IF(AND(L772="Cafco 300",J772&gt;=95,J772&lt;=450,G772=4,C772="IN",I772=120),VLOOKUP(T772,'CAFCO 300 IDIEM TABLAS'!$J$4:$L$40,3,FALSE),0)+IF(AND(M772="Ensayo Idiem",L772="Cafco 400",C772="IN",G772=4,I772=90),VLOOKUP(T772,'CAFCO 400 ENSAYO'!$B$7:$D$43,2,FALSE),0)+IF(AND(M772="Ensayo Idiem",L772="Cafco 400",C772="IN",G772=4,I772=120),VLOOKUP(T772,'CAFCO 400 ENSAYO'!$B$7:$D$43,3,FALSE),0)</f>
        <v>0</v>
      </c>
      <c r="O772" s="96">
        <f t="shared" si="78"/>
        <v>0</v>
      </c>
      <c r="P772" s="95" t="str">
        <f t="shared" si="79"/>
        <v>N/A</v>
      </c>
      <c r="Q772" s="95" t="str">
        <f t="shared" si="80"/>
        <v>N/A</v>
      </c>
      <c r="R772" s="95" t="str">
        <f t="shared" si="81"/>
        <v>NO CERT.</v>
      </c>
      <c r="S772" s="95" t="e">
        <f t="shared" si="82"/>
        <v>#N/A</v>
      </c>
      <c r="T772" s="119" t="e">
        <f>+IF(J772=LOOKUP(J772,'CAFCO 300 IDIEM TABLAS'!$J$4:$J$40),'CALCULO MORTERO'!J772,MROUND('CALCULO MORTERO'!J772,10))</f>
        <v>#N/A</v>
      </c>
      <c r="U772" s="118">
        <f t="shared" si="83"/>
        <v>0</v>
      </c>
    </row>
    <row r="773" spans="1:21" x14ac:dyDescent="0.25">
      <c r="A773" s="118">
        <f>+CUBICACION!D767</f>
        <v>0</v>
      </c>
      <c r="B773" s="819">
        <f>+CUBICACION!E767</f>
        <v>0</v>
      </c>
      <c r="C773" s="675">
        <f>+CUBICACION!F767</f>
        <v>0</v>
      </c>
      <c r="D773" s="118"/>
      <c r="E773" s="118"/>
      <c r="F773" s="820"/>
      <c r="G773" s="675">
        <f>+CUBICACION!J767</f>
        <v>0</v>
      </c>
      <c r="H773" s="118"/>
      <c r="I773" s="821">
        <f>+CUBICACION!L767</f>
        <v>0</v>
      </c>
      <c r="J773" s="64">
        <f>+CUBICACION!M767</f>
        <v>0</v>
      </c>
      <c r="K773" s="822" t="str">
        <f>+CUBICACION!N767</f>
        <v/>
      </c>
      <c r="L773" s="118">
        <f>+CUBICACION!O767</f>
        <v>0</v>
      </c>
      <c r="M773" s="823">
        <f>+CUBICACION!P767</f>
        <v>0</v>
      </c>
      <c r="N773" s="902">
        <f>ROUND(IF(AND(L773="Blaze Shield II",M773="Software Idiem",C773="IN",G773=4),((('BLAZE SHIELD II'!$D$4*('CALCULO MORTERO'!I773^2)+'BLAZE SHIELD II'!$D$5*'CALCULO MORTERO'!I773+'BLAZE SHIELD II'!$D$6)*LN(J773))+('BLAZE SHIELD II'!$D$7*('CALCULO MORTERO'!I773^2)+'BLAZE SHIELD II'!$D$8*'CALCULO MORTERO'!I773+'BLAZE SHIELD II'!$D$9)),0)+IF(AND(L773="Blaze Shield II",M773="Software Idiem",C773="Cj"),((('BLAZE SHIELD II'!$H$4*('CALCULO MORTERO'!I773^2)+'BLAZE SHIELD II'!$H$5*'CALCULO MORTERO'!I773+'BLAZE SHIELD II'!$H$6)*LN(J773))+('BLAZE SHIELD II'!$H$7*('CALCULO MORTERO'!I773^2)+'BLAZE SHIELD II'!$H$8*'CALCULO MORTERO'!I773+'BLAZE SHIELD II'!$H$9)),0)+IF(AND(L773="Blaze Shield II",M773="Software Idiem",C773="C"),((('BLAZE SHIELD II'!$L$4*('CALCULO MORTERO'!I773^2)+'BLAZE SHIELD II'!$L$5*'CALCULO MORTERO'!I773+'BLAZE SHIELD II'!$L$6)*LN(J773))+('BLAZE SHIELD II'!$L$7*('CALCULO MORTERO'!I773^2)+'BLAZE SHIELD II'!$L$8*'CALCULO MORTERO'!I773+'BLAZE SHIELD II'!$L$9)),0)+IF(AND(L773="Blaze Shield II",M773="Software Idiem",C773="L"),((('BLAZE SHIELD II'!$L$4*('CALCULO MORTERO'!I773^2)+'BLAZE SHIELD II'!$L$5*'CALCULO MORTERO'!I773+'BLAZE SHIELD II'!$L$6)*LN(J773))+('BLAZE SHIELD II'!$L$7*('CALCULO MORTERO'!I773^2)+'BLAZE SHIELD II'!$L$8*'CALCULO MORTERO'!I773+'BLAZE SHIELD II'!$L$9)),0)+IF(AND(L773="Blaze Shield II",M773="Software Idiem",C773="IN",G773=3),((('BLAZE SHIELD II'!$H$14*('CALCULO MORTERO'!I773^2)+'BLAZE SHIELD II'!$H$15*'CALCULO MORTERO'!I773+'BLAZE SHIELD II'!$H$16)*LN(J773))+('BLAZE SHIELD II'!$H$17*('CALCULO MORTERO'!I773^2)+'BLAZE SHIELD II'!$H$18*'CALCULO MORTERO'!I773+'BLAZE SHIELD II'!$H$19)),0),0)+ROUND(IF(AND(L773="Cafco 400",M773="Software Idiem",C773="IN",G773=4),((('CAFCO 400 '!$H$7*(J773^4)+'CAFCO 400 '!$H$8*(J773^3)+'CAFCO 400 '!$H$9*(J773^2)+'CAFCO 400 '!$H$10*J773+'CAFCO 400 '!$H$11)*U773^2)+(('CAFCO 400 '!$H$12*(J773^3)+'CAFCO 400 '!$H$13*(J773^2)+'CAFCO 400 '!$H$14*J773+'CAFCO 400 '!$H$15)*U773)+('CAFCO 400 '!$H$16*(J773^2)+'CAFCO 400 '!$H$17*J773+'CAFCO 400 '!$H$18)),0)+IF(AND(L773="Cafco 400",M773="Software Idiem",C773="Cj"),(((('CAFCO 400 '!$D$7*LN(J773)+'CAFCO 400 '!$D$8)*U773^2)+(('CAFCO 400 '!$D$9*LN(J773)+'CAFCO 400 '!$D$10)*U773)+('CAFCO 400 '!$D$11*LN(J773)+'CAFCO 400 '!$D$12))),0)+IF(AND(L773="Cafco 400",M773="Software Idiem",C773="C"),((('CAFCO 400 '!$L$7*(J773^3)+'CAFCO 400 '!$L$8*(J773^2)+'CAFCO 400 '!$L$9*J773+'CAFCO 400 '!$L$10)*U773^2)+(('CAFCO 400 '!$L$11*(J773^3)+'CAFCO 400 '!$L$12*(J773^2)+'CAFCO 400 '!$L$13*J773+'CAFCO 400 '!$L$14)*U773)+('CAFCO 400 '!$L$15*LN(J773)+'CAFCO 400 '!$L$16)),0)+IF(AND(L773="Cafco 400",M773="Software Idiem",C773="L"),((('CAFCO 400 '!$L$7*(J773^3)+'CAFCO 400 '!$L$8*(J773^2)+'CAFCO 400 '!$L$9*J773+'CAFCO 400 '!$L$10)*U773^2)+(('CAFCO 400 '!$L$11*(J773^3)+'CAFCO 400 '!$L$12*(J773^2)+'CAFCO 400 '!$L$13*J773+'CAFCO 400 '!$L$14)*U773)+('CAFCO 400 '!$L$15*LN(J773)+'CAFCO 400 '!$L$16)),0)+IF(AND(L773="Cafco 400",M773="Software Idiem",C773="IN",G773=3),((('CAFCO 400 '!$D$23*(J773^2)+'CAFCO 400 '!$D$24*(J773)+'CAFCO 400 '!$D$25)*U773^2)+(('CAFCO 400 '!$D$26*(J773^2)+'CAFCO 400 '!$D$27*J773+'CAFCO 400 '!$D$28)*U773)+('CAFCO 400 '!$D$29*(J773^2)+'CAFCO 400 '!$D$30*J773+'CAFCO 400 '!$D$31)),0),0)+IF(AND(L773="Cafco 300",J773&gt;=95,J773&lt;=240,C773="Cj",I773=90),VLOOKUP(T773,'CAFCO 300 IDIEM TABLAS'!$B$4:$D$23,2,FALSE),0)+IF(AND(L773="Cafco 300",J773&gt;=95,J773&lt;=240,C773="Cj",I773=120),VLOOKUP(T773,'CAFCO 300 IDIEM TABLAS'!$B$4:$D$23,3,FALSE),0)+IF(AND(L773="Cafco 300",J773&gt;=95,J773&lt;=400,G773=3,C773="IN",I773=90),VLOOKUP(T773,'CAFCO 300 IDIEM TABLAS'!$F$4:$H$35,2,FALSE),0)+IF(AND(L773="Cafco 300",J773&gt;=95,J773&lt;=400,G773=3,C773="IN",I773=120),VLOOKUP(T773,'CAFCO 300 IDIEM TABLAS'!$F$4:$H$35,3,FALSE),0)+IF(AND(L773="Cafco 300",J773&gt;=95,J773&lt;=450,G773=4,C773="IN",I773=90),VLOOKUP(T773,'CAFCO 300 IDIEM TABLAS'!$J$4:$L$40,2,FALSE),0)+IF(AND(L773="Cafco 300",J773&gt;=95,J773&lt;=450,G773=4,C773="IN",I773=120),VLOOKUP(T773,'CAFCO 300 IDIEM TABLAS'!$J$4:$L$40,3,FALSE),0)+IF(AND(M773="Ensayo Idiem",L773="Cafco 400",C773="IN",G773=4,I773=90),VLOOKUP(T773,'CAFCO 400 ENSAYO'!$B$7:$D$43,2,FALSE),0)+IF(AND(M773="Ensayo Idiem",L773="Cafco 400",C773="IN",G773=4,I773=120),VLOOKUP(T773,'CAFCO 400 ENSAYO'!$B$7:$D$43,3,FALSE),0)</f>
        <v>0</v>
      </c>
      <c r="O773" s="96">
        <f t="shared" si="78"/>
        <v>0</v>
      </c>
      <c r="P773" s="132" t="str">
        <f t="shared" si="79"/>
        <v>N/A</v>
      </c>
      <c r="Q773" s="132" t="str">
        <f t="shared" si="80"/>
        <v>N/A</v>
      </c>
      <c r="R773" s="132" t="str">
        <f t="shared" si="81"/>
        <v>NO CERT.</v>
      </c>
      <c r="S773" s="132" t="e">
        <f t="shared" si="82"/>
        <v>#N/A</v>
      </c>
      <c r="T773" s="133" t="e">
        <f>+IF(J773=LOOKUP(J773,'CAFCO 300 IDIEM TABLAS'!$J$4:$J$40),'CALCULO MORTERO'!J773,MROUND('CALCULO MORTERO'!J773,10))</f>
        <v>#N/A</v>
      </c>
      <c r="U773" s="134">
        <f t="shared" si="83"/>
        <v>0</v>
      </c>
    </row>
    <row r="774" spans="1:21" x14ac:dyDescent="0.25">
      <c r="A774" s="118">
        <f>+CUBICACION!D768</f>
        <v>0</v>
      </c>
      <c r="B774" s="819">
        <f>+CUBICACION!E768</f>
        <v>0</v>
      </c>
      <c r="C774" s="675">
        <f>+CUBICACION!F768</f>
        <v>0</v>
      </c>
      <c r="D774" s="118"/>
      <c r="E774" s="118"/>
      <c r="F774" s="820"/>
      <c r="G774" s="675">
        <f>+CUBICACION!J768</f>
        <v>0</v>
      </c>
      <c r="H774" s="118"/>
      <c r="I774" s="821">
        <f>+CUBICACION!L768</f>
        <v>0</v>
      </c>
      <c r="J774" s="64">
        <f>+CUBICACION!M768</f>
        <v>0</v>
      </c>
      <c r="K774" s="822" t="str">
        <f>+CUBICACION!N768</f>
        <v/>
      </c>
      <c r="L774" s="118">
        <f>+CUBICACION!O768</f>
        <v>0</v>
      </c>
      <c r="M774" s="823">
        <f>+CUBICACION!P768</f>
        <v>0</v>
      </c>
      <c r="N774" s="902">
        <f>ROUND(IF(AND(L774="Blaze Shield II",M774="Software Idiem",C774="IN",G774=4),((('BLAZE SHIELD II'!$D$4*('CALCULO MORTERO'!I774^2)+'BLAZE SHIELD II'!$D$5*'CALCULO MORTERO'!I774+'BLAZE SHIELD II'!$D$6)*LN(J774))+('BLAZE SHIELD II'!$D$7*('CALCULO MORTERO'!I774^2)+'BLAZE SHIELD II'!$D$8*'CALCULO MORTERO'!I774+'BLAZE SHIELD II'!$D$9)),0)+IF(AND(L774="Blaze Shield II",M774="Software Idiem",C774="Cj"),((('BLAZE SHIELD II'!$H$4*('CALCULO MORTERO'!I774^2)+'BLAZE SHIELD II'!$H$5*'CALCULO MORTERO'!I774+'BLAZE SHIELD II'!$H$6)*LN(J774))+('BLAZE SHIELD II'!$H$7*('CALCULO MORTERO'!I774^2)+'BLAZE SHIELD II'!$H$8*'CALCULO MORTERO'!I774+'BLAZE SHIELD II'!$H$9)),0)+IF(AND(L774="Blaze Shield II",M774="Software Idiem",C774="C"),((('BLAZE SHIELD II'!$L$4*('CALCULO MORTERO'!I774^2)+'BLAZE SHIELD II'!$L$5*'CALCULO MORTERO'!I774+'BLAZE SHIELD II'!$L$6)*LN(J774))+('BLAZE SHIELD II'!$L$7*('CALCULO MORTERO'!I774^2)+'BLAZE SHIELD II'!$L$8*'CALCULO MORTERO'!I774+'BLAZE SHIELD II'!$L$9)),0)+IF(AND(L774="Blaze Shield II",M774="Software Idiem",C774="L"),((('BLAZE SHIELD II'!$L$4*('CALCULO MORTERO'!I774^2)+'BLAZE SHIELD II'!$L$5*'CALCULO MORTERO'!I774+'BLAZE SHIELD II'!$L$6)*LN(J774))+('BLAZE SHIELD II'!$L$7*('CALCULO MORTERO'!I774^2)+'BLAZE SHIELD II'!$L$8*'CALCULO MORTERO'!I774+'BLAZE SHIELD II'!$L$9)),0)+IF(AND(L774="Blaze Shield II",M774="Software Idiem",C774="IN",G774=3),((('BLAZE SHIELD II'!$H$14*('CALCULO MORTERO'!I774^2)+'BLAZE SHIELD II'!$H$15*'CALCULO MORTERO'!I774+'BLAZE SHIELD II'!$H$16)*LN(J774))+('BLAZE SHIELD II'!$H$17*('CALCULO MORTERO'!I774^2)+'BLAZE SHIELD II'!$H$18*'CALCULO MORTERO'!I774+'BLAZE SHIELD II'!$H$19)),0),0)+ROUND(IF(AND(L774="Cafco 400",M774="Software Idiem",C774="IN",G774=4),((('CAFCO 400 '!$H$7*(J774^4)+'CAFCO 400 '!$H$8*(J774^3)+'CAFCO 400 '!$H$9*(J774^2)+'CAFCO 400 '!$H$10*J774+'CAFCO 400 '!$H$11)*U774^2)+(('CAFCO 400 '!$H$12*(J774^3)+'CAFCO 400 '!$H$13*(J774^2)+'CAFCO 400 '!$H$14*J774+'CAFCO 400 '!$H$15)*U774)+('CAFCO 400 '!$H$16*(J774^2)+'CAFCO 400 '!$H$17*J774+'CAFCO 400 '!$H$18)),0)+IF(AND(L774="Cafco 400",M774="Software Idiem",C774="Cj"),(((('CAFCO 400 '!$D$7*LN(J774)+'CAFCO 400 '!$D$8)*U774^2)+(('CAFCO 400 '!$D$9*LN(J774)+'CAFCO 400 '!$D$10)*U774)+('CAFCO 400 '!$D$11*LN(J774)+'CAFCO 400 '!$D$12))),0)+IF(AND(L774="Cafco 400",M774="Software Idiem",C774="C"),((('CAFCO 400 '!$L$7*(J774^3)+'CAFCO 400 '!$L$8*(J774^2)+'CAFCO 400 '!$L$9*J774+'CAFCO 400 '!$L$10)*U774^2)+(('CAFCO 400 '!$L$11*(J774^3)+'CAFCO 400 '!$L$12*(J774^2)+'CAFCO 400 '!$L$13*J774+'CAFCO 400 '!$L$14)*U774)+('CAFCO 400 '!$L$15*LN(J774)+'CAFCO 400 '!$L$16)),0)+IF(AND(L774="Cafco 400",M774="Software Idiem",C774="L"),((('CAFCO 400 '!$L$7*(J774^3)+'CAFCO 400 '!$L$8*(J774^2)+'CAFCO 400 '!$L$9*J774+'CAFCO 400 '!$L$10)*U774^2)+(('CAFCO 400 '!$L$11*(J774^3)+'CAFCO 400 '!$L$12*(J774^2)+'CAFCO 400 '!$L$13*J774+'CAFCO 400 '!$L$14)*U774)+('CAFCO 400 '!$L$15*LN(J774)+'CAFCO 400 '!$L$16)),0)+IF(AND(L774="Cafco 400",M774="Software Idiem",C774="IN",G774=3),((('CAFCO 400 '!$D$23*(J774^2)+'CAFCO 400 '!$D$24*(J774)+'CAFCO 400 '!$D$25)*U774^2)+(('CAFCO 400 '!$D$26*(J774^2)+'CAFCO 400 '!$D$27*J774+'CAFCO 400 '!$D$28)*U774)+('CAFCO 400 '!$D$29*(J774^2)+'CAFCO 400 '!$D$30*J774+'CAFCO 400 '!$D$31)),0),0)+IF(AND(L774="Cafco 300",J774&gt;=95,J774&lt;=240,C774="Cj",I774=90),VLOOKUP(T774,'CAFCO 300 IDIEM TABLAS'!$B$4:$D$23,2,FALSE),0)+IF(AND(L774="Cafco 300",J774&gt;=95,J774&lt;=240,C774="Cj",I774=120),VLOOKUP(T774,'CAFCO 300 IDIEM TABLAS'!$B$4:$D$23,3,FALSE),0)+IF(AND(L774="Cafco 300",J774&gt;=95,J774&lt;=400,G774=3,C774="IN",I774=90),VLOOKUP(T774,'CAFCO 300 IDIEM TABLAS'!$F$4:$H$35,2,FALSE),0)+IF(AND(L774="Cafco 300",J774&gt;=95,J774&lt;=400,G774=3,C774="IN",I774=120),VLOOKUP(T774,'CAFCO 300 IDIEM TABLAS'!$F$4:$H$35,3,FALSE),0)+IF(AND(L774="Cafco 300",J774&gt;=95,J774&lt;=450,G774=4,C774="IN",I774=90),VLOOKUP(T774,'CAFCO 300 IDIEM TABLAS'!$J$4:$L$40,2,FALSE),0)+IF(AND(L774="Cafco 300",J774&gt;=95,J774&lt;=450,G774=4,C774="IN",I774=120),VLOOKUP(T774,'CAFCO 300 IDIEM TABLAS'!$J$4:$L$40,3,FALSE),0)+IF(AND(M774="Ensayo Idiem",L774="Cafco 400",C774="IN",G774=4,I774=90),VLOOKUP(T774,'CAFCO 400 ENSAYO'!$B$7:$D$43,2,FALSE),0)+IF(AND(M774="Ensayo Idiem",L774="Cafco 400",C774="IN",G774=4,I774=120),VLOOKUP(T774,'CAFCO 400 ENSAYO'!$B$7:$D$43,3,FALSE),0)</f>
        <v>0</v>
      </c>
      <c r="O774" s="96">
        <f t="shared" si="78"/>
        <v>0</v>
      </c>
      <c r="P774" s="95" t="str">
        <f t="shared" si="79"/>
        <v>N/A</v>
      </c>
      <c r="Q774" s="95" t="str">
        <f t="shared" si="80"/>
        <v>N/A</v>
      </c>
      <c r="R774" s="95" t="str">
        <f t="shared" si="81"/>
        <v>NO CERT.</v>
      </c>
      <c r="S774" s="95" t="e">
        <f t="shared" si="82"/>
        <v>#N/A</v>
      </c>
      <c r="T774" s="119" t="e">
        <f>+IF(J774=LOOKUP(J774,'CAFCO 300 IDIEM TABLAS'!$J$4:$J$40),'CALCULO MORTERO'!J774,MROUND('CALCULO MORTERO'!J774,10))</f>
        <v>#N/A</v>
      </c>
      <c r="U774" s="118">
        <f t="shared" si="83"/>
        <v>0</v>
      </c>
    </row>
    <row r="775" spans="1:21" x14ac:dyDescent="0.25">
      <c r="A775" s="118">
        <f>+CUBICACION!D769</f>
        <v>0</v>
      </c>
      <c r="B775" s="819">
        <f>+CUBICACION!E769</f>
        <v>0</v>
      </c>
      <c r="C775" s="675">
        <f>+CUBICACION!F769</f>
        <v>0</v>
      </c>
      <c r="D775" s="118"/>
      <c r="E775" s="118"/>
      <c r="F775" s="820"/>
      <c r="G775" s="675">
        <f>+CUBICACION!J769</f>
        <v>0</v>
      </c>
      <c r="H775" s="118"/>
      <c r="I775" s="821">
        <f>+CUBICACION!L769</f>
        <v>0</v>
      </c>
      <c r="J775" s="64">
        <f>+CUBICACION!M769</f>
        <v>0</v>
      </c>
      <c r="K775" s="822" t="str">
        <f>+CUBICACION!N769</f>
        <v/>
      </c>
      <c r="L775" s="118">
        <f>+CUBICACION!O769</f>
        <v>0</v>
      </c>
      <c r="M775" s="823">
        <f>+CUBICACION!P769</f>
        <v>0</v>
      </c>
      <c r="N775" s="902">
        <f>ROUND(IF(AND(L775="Blaze Shield II",M775="Software Idiem",C775="IN",G775=4),((('BLAZE SHIELD II'!$D$4*('CALCULO MORTERO'!I775^2)+'BLAZE SHIELD II'!$D$5*'CALCULO MORTERO'!I775+'BLAZE SHIELD II'!$D$6)*LN(J775))+('BLAZE SHIELD II'!$D$7*('CALCULO MORTERO'!I775^2)+'BLAZE SHIELD II'!$D$8*'CALCULO MORTERO'!I775+'BLAZE SHIELD II'!$D$9)),0)+IF(AND(L775="Blaze Shield II",M775="Software Idiem",C775="Cj"),((('BLAZE SHIELD II'!$H$4*('CALCULO MORTERO'!I775^2)+'BLAZE SHIELD II'!$H$5*'CALCULO MORTERO'!I775+'BLAZE SHIELD II'!$H$6)*LN(J775))+('BLAZE SHIELD II'!$H$7*('CALCULO MORTERO'!I775^2)+'BLAZE SHIELD II'!$H$8*'CALCULO MORTERO'!I775+'BLAZE SHIELD II'!$H$9)),0)+IF(AND(L775="Blaze Shield II",M775="Software Idiem",C775="C"),((('BLAZE SHIELD II'!$L$4*('CALCULO MORTERO'!I775^2)+'BLAZE SHIELD II'!$L$5*'CALCULO MORTERO'!I775+'BLAZE SHIELD II'!$L$6)*LN(J775))+('BLAZE SHIELD II'!$L$7*('CALCULO MORTERO'!I775^2)+'BLAZE SHIELD II'!$L$8*'CALCULO MORTERO'!I775+'BLAZE SHIELD II'!$L$9)),0)+IF(AND(L775="Blaze Shield II",M775="Software Idiem",C775="L"),((('BLAZE SHIELD II'!$L$4*('CALCULO MORTERO'!I775^2)+'BLAZE SHIELD II'!$L$5*'CALCULO MORTERO'!I775+'BLAZE SHIELD II'!$L$6)*LN(J775))+('BLAZE SHIELD II'!$L$7*('CALCULO MORTERO'!I775^2)+'BLAZE SHIELD II'!$L$8*'CALCULO MORTERO'!I775+'BLAZE SHIELD II'!$L$9)),0)+IF(AND(L775="Blaze Shield II",M775="Software Idiem",C775="IN",G775=3),((('BLAZE SHIELD II'!$H$14*('CALCULO MORTERO'!I775^2)+'BLAZE SHIELD II'!$H$15*'CALCULO MORTERO'!I775+'BLAZE SHIELD II'!$H$16)*LN(J775))+('BLAZE SHIELD II'!$H$17*('CALCULO MORTERO'!I775^2)+'BLAZE SHIELD II'!$H$18*'CALCULO MORTERO'!I775+'BLAZE SHIELD II'!$H$19)),0),0)+ROUND(IF(AND(L775="Cafco 400",M775="Software Idiem",C775="IN",G775=4),((('CAFCO 400 '!$H$7*(J775^4)+'CAFCO 400 '!$H$8*(J775^3)+'CAFCO 400 '!$H$9*(J775^2)+'CAFCO 400 '!$H$10*J775+'CAFCO 400 '!$H$11)*U775^2)+(('CAFCO 400 '!$H$12*(J775^3)+'CAFCO 400 '!$H$13*(J775^2)+'CAFCO 400 '!$H$14*J775+'CAFCO 400 '!$H$15)*U775)+('CAFCO 400 '!$H$16*(J775^2)+'CAFCO 400 '!$H$17*J775+'CAFCO 400 '!$H$18)),0)+IF(AND(L775="Cafco 400",M775="Software Idiem",C775="Cj"),(((('CAFCO 400 '!$D$7*LN(J775)+'CAFCO 400 '!$D$8)*U775^2)+(('CAFCO 400 '!$D$9*LN(J775)+'CAFCO 400 '!$D$10)*U775)+('CAFCO 400 '!$D$11*LN(J775)+'CAFCO 400 '!$D$12))),0)+IF(AND(L775="Cafco 400",M775="Software Idiem",C775="C"),((('CAFCO 400 '!$L$7*(J775^3)+'CAFCO 400 '!$L$8*(J775^2)+'CAFCO 400 '!$L$9*J775+'CAFCO 400 '!$L$10)*U775^2)+(('CAFCO 400 '!$L$11*(J775^3)+'CAFCO 400 '!$L$12*(J775^2)+'CAFCO 400 '!$L$13*J775+'CAFCO 400 '!$L$14)*U775)+('CAFCO 400 '!$L$15*LN(J775)+'CAFCO 400 '!$L$16)),0)+IF(AND(L775="Cafco 400",M775="Software Idiem",C775="L"),((('CAFCO 400 '!$L$7*(J775^3)+'CAFCO 400 '!$L$8*(J775^2)+'CAFCO 400 '!$L$9*J775+'CAFCO 400 '!$L$10)*U775^2)+(('CAFCO 400 '!$L$11*(J775^3)+'CAFCO 400 '!$L$12*(J775^2)+'CAFCO 400 '!$L$13*J775+'CAFCO 400 '!$L$14)*U775)+('CAFCO 400 '!$L$15*LN(J775)+'CAFCO 400 '!$L$16)),0)+IF(AND(L775="Cafco 400",M775="Software Idiem",C775="IN",G775=3),((('CAFCO 400 '!$D$23*(J775^2)+'CAFCO 400 '!$D$24*(J775)+'CAFCO 400 '!$D$25)*U775^2)+(('CAFCO 400 '!$D$26*(J775^2)+'CAFCO 400 '!$D$27*J775+'CAFCO 400 '!$D$28)*U775)+('CAFCO 400 '!$D$29*(J775^2)+'CAFCO 400 '!$D$30*J775+'CAFCO 400 '!$D$31)),0),0)+IF(AND(L775="Cafco 300",J775&gt;=95,J775&lt;=240,C775="Cj",I775=90),VLOOKUP(T775,'CAFCO 300 IDIEM TABLAS'!$B$4:$D$23,2,FALSE),0)+IF(AND(L775="Cafco 300",J775&gt;=95,J775&lt;=240,C775="Cj",I775=120),VLOOKUP(T775,'CAFCO 300 IDIEM TABLAS'!$B$4:$D$23,3,FALSE),0)+IF(AND(L775="Cafco 300",J775&gt;=95,J775&lt;=400,G775=3,C775="IN",I775=90),VLOOKUP(T775,'CAFCO 300 IDIEM TABLAS'!$F$4:$H$35,2,FALSE),0)+IF(AND(L775="Cafco 300",J775&gt;=95,J775&lt;=400,G775=3,C775="IN",I775=120),VLOOKUP(T775,'CAFCO 300 IDIEM TABLAS'!$F$4:$H$35,3,FALSE),0)+IF(AND(L775="Cafco 300",J775&gt;=95,J775&lt;=450,G775=4,C775="IN",I775=90),VLOOKUP(T775,'CAFCO 300 IDIEM TABLAS'!$J$4:$L$40,2,FALSE),0)+IF(AND(L775="Cafco 300",J775&gt;=95,J775&lt;=450,G775=4,C775="IN",I775=120),VLOOKUP(T775,'CAFCO 300 IDIEM TABLAS'!$J$4:$L$40,3,FALSE),0)+IF(AND(M775="Ensayo Idiem",L775="Cafco 400",C775="IN",G775=4,I775=90),VLOOKUP(T775,'CAFCO 400 ENSAYO'!$B$7:$D$43,2,FALSE),0)+IF(AND(M775="Ensayo Idiem",L775="Cafco 400",C775="IN",G775=4,I775=120),VLOOKUP(T775,'CAFCO 400 ENSAYO'!$B$7:$D$43,3,FALSE),0)</f>
        <v>0</v>
      </c>
      <c r="O775" s="96">
        <f t="shared" si="78"/>
        <v>0</v>
      </c>
      <c r="P775" s="132" t="str">
        <f t="shared" si="79"/>
        <v>N/A</v>
      </c>
      <c r="Q775" s="132" t="str">
        <f t="shared" si="80"/>
        <v>N/A</v>
      </c>
      <c r="R775" s="132" t="str">
        <f t="shared" si="81"/>
        <v>NO CERT.</v>
      </c>
      <c r="S775" s="132" t="e">
        <f t="shared" si="82"/>
        <v>#N/A</v>
      </c>
      <c r="T775" s="133" t="e">
        <f>+IF(J775=LOOKUP(J775,'CAFCO 300 IDIEM TABLAS'!$J$4:$J$40),'CALCULO MORTERO'!J775,MROUND('CALCULO MORTERO'!J775,10))</f>
        <v>#N/A</v>
      </c>
      <c r="U775" s="134">
        <f t="shared" si="83"/>
        <v>0</v>
      </c>
    </row>
    <row r="776" spans="1:21" x14ac:dyDescent="0.25">
      <c r="A776" s="118">
        <f>+CUBICACION!D770</f>
        <v>0</v>
      </c>
      <c r="B776" s="819">
        <f>+CUBICACION!E770</f>
        <v>0</v>
      </c>
      <c r="C776" s="675">
        <f>+CUBICACION!F770</f>
        <v>0</v>
      </c>
      <c r="D776" s="118"/>
      <c r="E776" s="118"/>
      <c r="F776" s="820"/>
      <c r="G776" s="675">
        <f>+CUBICACION!J770</f>
        <v>0</v>
      </c>
      <c r="H776" s="118"/>
      <c r="I776" s="821">
        <f>+CUBICACION!L770</f>
        <v>0</v>
      </c>
      <c r="J776" s="64">
        <f>+CUBICACION!M770</f>
        <v>0</v>
      </c>
      <c r="K776" s="822" t="str">
        <f>+CUBICACION!N770</f>
        <v/>
      </c>
      <c r="L776" s="118">
        <f>+CUBICACION!O770</f>
        <v>0</v>
      </c>
      <c r="M776" s="823">
        <f>+CUBICACION!P770</f>
        <v>0</v>
      </c>
      <c r="N776" s="902">
        <f>ROUND(IF(AND(L776="Blaze Shield II",M776="Software Idiem",C776="IN",G776=4),((('BLAZE SHIELD II'!$D$4*('CALCULO MORTERO'!I776^2)+'BLAZE SHIELD II'!$D$5*'CALCULO MORTERO'!I776+'BLAZE SHIELD II'!$D$6)*LN(J776))+('BLAZE SHIELD II'!$D$7*('CALCULO MORTERO'!I776^2)+'BLAZE SHIELD II'!$D$8*'CALCULO MORTERO'!I776+'BLAZE SHIELD II'!$D$9)),0)+IF(AND(L776="Blaze Shield II",M776="Software Idiem",C776="Cj"),((('BLAZE SHIELD II'!$H$4*('CALCULO MORTERO'!I776^2)+'BLAZE SHIELD II'!$H$5*'CALCULO MORTERO'!I776+'BLAZE SHIELD II'!$H$6)*LN(J776))+('BLAZE SHIELD II'!$H$7*('CALCULO MORTERO'!I776^2)+'BLAZE SHIELD II'!$H$8*'CALCULO MORTERO'!I776+'BLAZE SHIELD II'!$H$9)),0)+IF(AND(L776="Blaze Shield II",M776="Software Idiem",C776="C"),((('BLAZE SHIELD II'!$L$4*('CALCULO MORTERO'!I776^2)+'BLAZE SHIELD II'!$L$5*'CALCULO MORTERO'!I776+'BLAZE SHIELD II'!$L$6)*LN(J776))+('BLAZE SHIELD II'!$L$7*('CALCULO MORTERO'!I776^2)+'BLAZE SHIELD II'!$L$8*'CALCULO MORTERO'!I776+'BLAZE SHIELD II'!$L$9)),0)+IF(AND(L776="Blaze Shield II",M776="Software Idiem",C776="L"),((('BLAZE SHIELD II'!$L$4*('CALCULO MORTERO'!I776^2)+'BLAZE SHIELD II'!$L$5*'CALCULO MORTERO'!I776+'BLAZE SHIELD II'!$L$6)*LN(J776))+('BLAZE SHIELD II'!$L$7*('CALCULO MORTERO'!I776^2)+'BLAZE SHIELD II'!$L$8*'CALCULO MORTERO'!I776+'BLAZE SHIELD II'!$L$9)),0)+IF(AND(L776="Blaze Shield II",M776="Software Idiem",C776="IN",G776=3),((('BLAZE SHIELD II'!$H$14*('CALCULO MORTERO'!I776^2)+'BLAZE SHIELD II'!$H$15*'CALCULO MORTERO'!I776+'BLAZE SHIELD II'!$H$16)*LN(J776))+('BLAZE SHIELD II'!$H$17*('CALCULO MORTERO'!I776^2)+'BLAZE SHIELD II'!$H$18*'CALCULO MORTERO'!I776+'BLAZE SHIELD II'!$H$19)),0),0)+ROUND(IF(AND(L776="Cafco 400",M776="Software Idiem",C776="IN",G776=4),((('CAFCO 400 '!$H$7*(J776^4)+'CAFCO 400 '!$H$8*(J776^3)+'CAFCO 400 '!$H$9*(J776^2)+'CAFCO 400 '!$H$10*J776+'CAFCO 400 '!$H$11)*U776^2)+(('CAFCO 400 '!$H$12*(J776^3)+'CAFCO 400 '!$H$13*(J776^2)+'CAFCO 400 '!$H$14*J776+'CAFCO 400 '!$H$15)*U776)+('CAFCO 400 '!$H$16*(J776^2)+'CAFCO 400 '!$H$17*J776+'CAFCO 400 '!$H$18)),0)+IF(AND(L776="Cafco 400",M776="Software Idiem",C776="Cj"),(((('CAFCO 400 '!$D$7*LN(J776)+'CAFCO 400 '!$D$8)*U776^2)+(('CAFCO 400 '!$D$9*LN(J776)+'CAFCO 400 '!$D$10)*U776)+('CAFCO 400 '!$D$11*LN(J776)+'CAFCO 400 '!$D$12))),0)+IF(AND(L776="Cafco 400",M776="Software Idiem",C776="C"),((('CAFCO 400 '!$L$7*(J776^3)+'CAFCO 400 '!$L$8*(J776^2)+'CAFCO 400 '!$L$9*J776+'CAFCO 400 '!$L$10)*U776^2)+(('CAFCO 400 '!$L$11*(J776^3)+'CAFCO 400 '!$L$12*(J776^2)+'CAFCO 400 '!$L$13*J776+'CAFCO 400 '!$L$14)*U776)+('CAFCO 400 '!$L$15*LN(J776)+'CAFCO 400 '!$L$16)),0)+IF(AND(L776="Cafco 400",M776="Software Idiem",C776="L"),((('CAFCO 400 '!$L$7*(J776^3)+'CAFCO 400 '!$L$8*(J776^2)+'CAFCO 400 '!$L$9*J776+'CAFCO 400 '!$L$10)*U776^2)+(('CAFCO 400 '!$L$11*(J776^3)+'CAFCO 400 '!$L$12*(J776^2)+'CAFCO 400 '!$L$13*J776+'CAFCO 400 '!$L$14)*U776)+('CAFCO 400 '!$L$15*LN(J776)+'CAFCO 400 '!$L$16)),0)+IF(AND(L776="Cafco 400",M776="Software Idiem",C776="IN",G776=3),((('CAFCO 400 '!$D$23*(J776^2)+'CAFCO 400 '!$D$24*(J776)+'CAFCO 400 '!$D$25)*U776^2)+(('CAFCO 400 '!$D$26*(J776^2)+'CAFCO 400 '!$D$27*J776+'CAFCO 400 '!$D$28)*U776)+('CAFCO 400 '!$D$29*(J776^2)+'CAFCO 400 '!$D$30*J776+'CAFCO 400 '!$D$31)),0),0)+IF(AND(L776="Cafco 300",J776&gt;=95,J776&lt;=240,C776="Cj",I776=90),VLOOKUP(T776,'CAFCO 300 IDIEM TABLAS'!$B$4:$D$23,2,FALSE),0)+IF(AND(L776="Cafco 300",J776&gt;=95,J776&lt;=240,C776="Cj",I776=120),VLOOKUP(T776,'CAFCO 300 IDIEM TABLAS'!$B$4:$D$23,3,FALSE),0)+IF(AND(L776="Cafco 300",J776&gt;=95,J776&lt;=400,G776=3,C776="IN",I776=90),VLOOKUP(T776,'CAFCO 300 IDIEM TABLAS'!$F$4:$H$35,2,FALSE),0)+IF(AND(L776="Cafco 300",J776&gt;=95,J776&lt;=400,G776=3,C776="IN",I776=120),VLOOKUP(T776,'CAFCO 300 IDIEM TABLAS'!$F$4:$H$35,3,FALSE),0)+IF(AND(L776="Cafco 300",J776&gt;=95,J776&lt;=450,G776=4,C776="IN",I776=90),VLOOKUP(T776,'CAFCO 300 IDIEM TABLAS'!$J$4:$L$40,2,FALSE),0)+IF(AND(L776="Cafco 300",J776&gt;=95,J776&lt;=450,G776=4,C776="IN",I776=120),VLOOKUP(T776,'CAFCO 300 IDIEM TABLAS'!$J$4:$L$40,3,FALSE),0)+IF(AND(M776="Ensayo Idiem",L776="Cafco 400",C776="IN",G776=4,I776=90),VLOOKUP(T776,'CAFCO 400 ENSAYO'!$B$7:$D$43,2,FALSE),0)+IF(AND(M776="Ensayo Idiem",L776="Cafco 400",C776="IN",G776=4,I776=120),VLOOKUP(T776,'CAFCO 400 ENSAYO'!$B$7:$D$43,3,FALSE),0)</f>
        <v>0</v>
      </c>
      <c r="O776" s="96">
        <f t="shared" si="78"/>
        <v>0</v>
      </c>
      <c r="P776" s="95" t="str">
        <f t="shared" si="79"/>
        <v>N/A</v>
      </c>
      <c r="Q776" s="95" t="str">
        <f t="shared" si="80"/>
        <v>N/A</v>
      </c>
      <c r="R776" s="95" t="str">
        <f t="shared" si="81"/>
        <v>NO CERT.</v>
      </c>
      <c r="S776" s="95" t="e">
        <f t="shared" si="82"/>
        <v>#N/A</v>
      </c>
      <c r="T776" s="119" t="e">
        <f>+IF(J776=LOOKUP(J776,'CAFCO 300 IDIEM TABLAS'!$J$4:$J$40),'CALCULO MORTERO'!J776,MROUND('CALCULO MORTERO'!J776,10))</f>
        <v>#N/A</v>
      </c>
      <c r="U776" s="118">
        <f t="shared" si="83"/>
        <v>0</v>
      </c>
    </row>
    <row r="777" spans="1:21" x14ac:dyDescent="0.25">
      <c r="A777" s="118">
        <f>+CUBICACION!D771</f>
        <v>0</v>
      </c>
      <c r="B777" s="819">
        <f>+CUBICACION!E771</f>
        <v>0</v>
      </c>
      <c r="C777" s="675">
        <f>+CUBICACION!F771</f>
        <v>0</v>
      </c>
      <c r="D777" s="118"/>
      <c r="E777" s="118"/>
      <c r="F777" s="820"/>
      <c r="G777" s="675">
        <f>+CUBICACION!J771</f>
        <v>0</v>
      </c>
      <c r="H777" s="118"/>
      <c r="I777" s="821">
        <f>+CUBICACION!L771</f>
        <v>0</v>
      </c>
      <c r="J777" s="64">
        <f>+CUBICACION!M771</f>
        <v>0</v>
      </c>
      <c r="K777" s="822" t="str">
        <f>+CUBICACION!N771</f>
        <v/>
      </c>
      <c r="L777" s="118">
        <f>+CUBICACION!O771</f>
        <v>0</v>
      </c>
      <c r="M777" s="823">
        <f>+CUBICACION!P771</f>
        <v>0</v>
      </c>
      <c r="N777" s="902">
        <f>ROUND(IF(AND(L777="Blaze Shield II",M777="Software Idiem",C777="IN",G777=4),((('BLAZE SHIELD II'!$D$4*('CALCULO MORTERO'!I777^2)+'BLAZE SHIELD II'!$D$5*'CALCULO MORTERO'!I777+'BLAZE SHIELD II'!$D$6)*LN(J777))+('BLAZE SHIELD II'!$D$7*('CALCULO MORTERO'!I777^2)+'BLAZE SHIELD II'!$D$8*'CALCULO MORTERO'!I777+'BLAZE SHIELD II'!$D$9)),0)+IF(AND(L777="Blaze Shield II",M777="Software Idiem",C777="Cj"),((('BLAZE SHIELD II'!$H$4*('CALCULO MORTERO'!I777^2)+'BLAZE SHIELD II'!$H$5*'CALCULO MORTERO'!I777+'BLAZE SHIELD II'!$H$6)*LN(J777))+('BLAZE SHIELD II'!$H$7*('CALCULO MORTERO'!I777^2)+'BLAZE SHIELD II'!$H$8*'CALCULO MORTERO'!I777+'BLAZE SHIELD II'!$H$9)),0)+IF(AND(L777="Blaze Shield II",M777="Software Idiem",C777="C"),((('BLAZE SHIELD II'!$L$4*('CALCULO MORTERO'!I777^2)+'BLAZE SHIELD II'!$L$5*'CALCULO MORTERO'!I777+'BLAZE SHIELD II'!$L$6)*LN(J777))+('BLAZE SHIELD II'!$L$7*('CALCULO MORTERO'!I777^2)+'BLAZE SHIELD II'!$L$8*'CALCULO MORTERO'!I777+'BLAZE SHIELD II'!$L$9)),0)+IF(AND(L777="Blaze Shield II",M777="Software Idiem",C777="L"),((('BLAZE SHIELD II'!$L$4*('CALCULO MORTERO'!I777^2)+'BLAZE SHIELD II'!$L$5*'CALCULO MORTERO'!I777+'BLAZE SHIELD II'!$L$6)*LN(J777))+('BLAZE SHIELD II'!$L$7*('CALCULO MORTERO'!I777^2)+'BLAZE SHIELD II'!$L$8*'CALCULO MORTERO'!I777+'BLAZE SHIELD II'!$L$9)),0)+IF(AND(L777="Blaze Shield II",M777="Software Idiem",C777="IN",G777=3),((('BLAZE SHIELD II'!$H$14*('CALCULO MORTERO'!I777^2)+'BLAZE SHIELD II'!$H$15*'CALCULO MORTERO'!I777+'BLAZE SHIELD II'!$H$16)*LN(J777))+('BLAZE SHIELD II'!$H$17*('CALCULO MORTERO'!I777^2)+'BLAZE SHIELD II'!$H$18*'CALCULO MORTERO'!I777+'BLAZE SHIELD II'!$H$19)),0),0)+ROUND(IF(AND(L777="Cafco 400",M777="Software Idiem",C777="IN",G777=4),((('CAFCO 400 '!$H$7*(J777^4)+'CAFCO 400 '!$H$8*(J777^3)+'CAFCO 400 '!$H$9*(J777^2)+'CAFCO 400 '!$H$10*J777+'CAFCO 400 '!$H$11)*U777^2)+(('CAFCO 400 '!$H$12*(J777^3)+'CAFCO 400 '!$H$13*(J777^2)+'CAFCO 400 '!$H$14*J777+'CAFCO 400 '!$H$15)*U777)+('CAFCO 400 '!$H$16*(J777^2)+'CAFCO 400 '!$H$17*J777+'CAFCO 400 '!$H$18)),0)+IF(AND(L777="Cafco 400",M777="Software Idiem",C777="Cj"),(((('CAFCO 400 '!$D$7*LN(J777)+'CAFCO 400 '!$D$8)*U777^2)+(('CAFCO 400 '!$D$9*LN(J777)+'CAFCO 400 '!$D$10)*U777)+('CAFCO 400 '!$D$11*LN(J777)+'CAFCO 400 '!$D$12))),0)+IF(AND(L777="Cafco 400",M777="Software Idiem",C777="C"),((('CAFCO 400 '!$L$7*(J777^3)+'CAFCO 400 '!$L$8*(J777^2)+'CAFCO 400 '!$L$9*J777+'CAFCO 400 '!$L$10)*U777^2)+(('CAFCO 400 '!$L$11*(J777^3)+'CAFCO 400 '!$L$12*(J777^2)+'CAFCO 400 '!$L$13*J777+'CAFCO 400 '!$L$14)*U777)+('CAFCO 400 '!$L$15*LN(J777)+'CAFCO 400 '!$L$16)),0)+IF(AND(L777="Cafco 400",M777="Software Idiem",C777="L"),((('CAFCO 400 '!$L$7*(J777^3)+'CAFCO 400 '!$L$8*(J777^2)+'CAFCO 400 '!$L$9*J777+'CAFCO 400 '!$L$10)*U777^2)+(('CAFCO 400 '!$L$11*(J777^3)+'CAFCO 400 '!$L$12*(J777^2)+'CAFCO 400 '!$L$13*J777+'CAFCO 400 '!$L$14)*U777)+('CAFCO 400 '!$L$15*LN(J777)+'CAFCO 400 '!$L$16)),0)+IF(AND(L777="Cafco 400",M777="Software Idiem",C777="IN",G777=3),((('CAFCO 400 '!$D$23*(J777^2)+'CAFCO 400 '!$D$24*(J777)+'CAFCO 400 '!$D$25)*U777^2)+(('CAFCO 400 '!$D$26*(J777^2)+'CAFCO 400 '!$D$27*J777+'CAFCO 400 '!$D$28)*U777)+('CAFCO 400 '!$D$29*(J777^2)+'CAFCO 400 '!$D$30*J777+'CAFCO 400 '!$D$31)),0),0)+IF(AND(L777="Cafco 300",J777&gt;=95,J777&lt;=240,C777="Cj",I777=90),VLOOKUP(T777,'CAFCO 300 IDIEM TABLAS'!$B$4:$D$23,2,FALSE),0)+IF(AND(L777="Cafco 300",J777&gt;=95,J777&lt;=240,C777="Cj",I777=120),VLOOKUP(T777,'CAFCO 300 IDIEM TABLAS'!$B$4:$D$23,3,FALSE),0)+IF(AND(L777="Cafco 300",J777&gt;=95,J777&lt;=400,G777=3,C777="IN",I777=90),VLOOKUP(T777,'CAFCO 300 IDIEM TABLAS'!$F$4:$H$35,2,FALSE),0)+IF(AND(L777="Cafco 300",J777&gt;=95,J777&lt;=400,G777=3,C777="IN",I777=120),VLOOKUP(T777,'CAFCO 300 IDIEM TABLAS'!$F$4:$H$35,3,FALSE),0)+IF(AND(L777="Cafco 300",J777&gt;=95,J777&lt;=450,G777=4,C777="IN",I777=90),VLOOKUP(T777,'CAFCO 300 IDIEM TABLAS'!$J$4:$L$40,2,FALSE),0)+IF(AND(L777="Cafco 300",J777&gt;=95,J777&lt;=450,G777=4,C777="IN",I777=120),VLOOKUP(T777,'CAFCO 300 IDIEM TABLAS'!$J$4:$L$40,3,FALSE),0)+IF(AND(M777="Ensayo Idiem",L777="Cafco 400",C777="IN",G777=4,I777=90),VLOOKUP(T777,'CAFCO 400 ENSAYO'!$B$7:$D$43,2,FALSE),0)+IF(AND(M777="Ensayo Idiem",L777="Cafco 400",C777="IN",G777=4,I777=120),VLOOKUP(T777,'CAFCO 400 ENSAYO'!$B$7:$D$43,3,FALSE),0)</f>
        <v>0</v>
      </c>
      <c r="O777" s="96">
        <f t="shared" si="78"/>
        <v>0</v>
      </c>
      <c r="P777" s="132" t="str">
        <f t="shared" si="79"/>
        <v>N/A</v>
      </c>
      <c r="Q777" s="132" t="str">
        <f t="shared" si="80"/>
        <v>N/A</v>
      </c>
      <c r="R777" s="132" t="str">
        <f t="shared" si="81"/>
        <v>NO CERT.</v>
      </c>
      <c r="S777" s="132" t="e">
        <f t="shared" si="82"/>
        <v>#N/A</v>
      </c>
      <c r="T777" s="133" t="e">
        <f>+IF(J777=LOOKUP(J777,'CAFCO 300 IDIEM TABLAS'!$J$4:$J$40),'CALCULO MORTERO'!J777,MROUND('CALCULO MORTERO'!J777,10))</f>
        <v>#N/A</v>
      </c>
      <c r="U777" s="134">
        <f t="shared" si="83"/>
        <v>0</v>
      </c>
    </row>
    <row r="778" spans="1:21" x14ac:dyDescent="0.25">
      <c r="A778" s="118">
        <f>+CUBICACION!D772</f>
        <v>0</v>
      </c>
      <c r="B778" s="819">
        <f>+CUBICACION!E772</f>
        <v>0</v>
      </c>
      <c r="C778" s="675">
        <f>+CUBICACION!F772</f>
        <v>0</v>
      </c>
      <c r="D778" s="118"/>
      <c r="E778" s="118"/>
      <c r="F778" s="820"/>
      <c r="G778" s="675">
        <f>+CUBICACION!J772</f>
        <v>0</v>
      </c>
      <c r="H778" s="118"/>
      <c r="I778" s="821">
        <f>+CUBICACION!L772</f>
        <v>0</v>
      </c>
      <c r="J778" s="64">
        <f>+CUBICACION!M772</f>
        <v>0</v>
      </c>
      <c r="K778" s="822" t="str">
        <f>+CUBICACION!N772</f>
        <v/>
      </c>
      <c r="L778" s="118">
        <f>+CUBICACION!O772</f>
        <v>0</v>
      </c>
      <c r="M778" s="823">
        <f>+CUBICACION!P772</f>
        <v>0</v>
      </c>
      <c r="N778" s="902">
        <f>ROUND(IF(AND(L778="Blaze Shield II",M778="Software Idiem",C778="IN",G778=4),((('BLAZE SHIELD II'!$D$4*('CALCULO MORTERO'!I778^2)+'BLAZE SHIELD II'!$D$5*'CALCULO MORTERO'!I778+'BLAZE SHIELD II'!$D$6)*LN(J778))+('BLAZE SHIELD II'!$D$7*('CALCULO MORTERO'!I778^2)+'BLAZE SHIELD II'!$D$8*'CALCULO MORTERO'!I778+'BLAZE SHIELD II'!$D$9)),0)+IF(AND(L778="Blaze Shield II",M778="Software Idiem",C778="Cj"),((('BLAZE SHIELD II'!$H$4*('CALCULO MORTERO'!I778^2)+'BLAZE SHIELD II'!$H$5*'CALCULO MORTERO'!I778+'BLAZE SHIELD II'!$H$6)*LN(J778))+('BLAZE SHIELD II'!$H$7*('CALCULO MORTERO'!I778^2)+'BLAZE SHIELD II'!$H$8*'CALCULO MORTERO'!I778+'BLAZE SHIELD II'!$H$9)),0)+IF(AND(L778="Blaze Shield II",M778="Software Idiem",C778="C"),((('BLAZE SHIELD II'!$L$4*('CALCULO MORTERO'!I778^2)+'BLAZE SHIELD II'!$L$5*'CALCULO MORTERO'!I778+'BLAZE SHIELD II'!$L$6)*LN(J778))+('BLAZE SHIELD II'!$L$7*('CALCULO MORTERO'!I778^2)+'BLAZE SHIELD II'!$L$8*'CALCULO MORTERO'!I778+'BLAZE SHIELD II'!$L$9)),0)+IF(AND(L778="Blaze Shield II",M778="Software Idiem",C778="L"),((('BLAZE SHIELD II'!$L$4*('CALCULO MORTERO'!I778^2)+'BLAZE SHIELD II'!$L$5*'CALCULO MORTERO'!I778+'BLAZE SHIELD II'!$L$6)*LN(J778))+('BLAZE SHIELD II'!$L$7*('CALCULO MORTERO'!I778^2)+'BLAZE SHIELD II'!$L$8*'CALCULO MORTERO'!I778+'BLAZE SHIELD II'!$L$9)),0)+IF(AND(L778="Blaze Shield II",M778="Software Idiem",C778="IN",G778=3),((('BLAZE SHIELD II'!$H$14*('CALCULO MORTERO'!I778^2)+'BLAZE SHIELD II'!$H$15*'CALCULO MORTERO'!I778+'BLAZE SHIELD II'!$H$16)*LN(J778))+('BLAZE SHIELD II'!$H$17*('CALCULO MORTERO'!I778^2)+'BLAZE SHIELD II'!$H$18*'CALCULO MORTERO'!I778+'BLAZE SHIELD II'!$H$19)),0),0)+ROUND(IF(AND(L778="Cafco 400",M778="Software Idiem",C778="IN",G778=4),((('CAFCO 400 '!$H$7*(J778^4)+'CAFCO 400 '!$H$8*(J778^3)+'CAFCO 400 '!$H$9*(J778^2)+'CAFCO 400 '!$H$10*J778+'CAFCO 400 '!$H$11)*U778^2)+(('CAFCO 400 '!$H$12*(J778^3)+'CAFCO 400 '!$H$13*(J778^2)+'CAFCO 400 '!$H$14*J778+'CAFCO 400 '!$H$15)*U778)+('CAFCO 400 '!$H$16*(J778^2)+'CAFCO 400 '!$H$17*J778+'CAFCO 400 '!$H$18)),0)+IF(AND(L778="Cafco 400",M778="Software Idiem",C778="Cj"),(((('CAFCO 400 '!$D$7*LN(J778)+'CAFCO 400 '!$D$8)*U778^2)+(('CAFCO 400 '!$D$9*LN(J778)+'CAFCO 400 '!$D$10)*U778)+('CAFCO 400 '!$D$11*LN(J778)+'CAFCO 400 '!$D$12))),0)+IF(AND(L778="Cafco 400",M778="Software Idiem",C778="C"),((('CAFCO 400 '!$L$7*(J778^3)+'CAFCO 400 '!$L$8*(J778^2)+'CAFCO 400 '!$L$9*J778+'CAFCO 400 '!$L$10)*U778^2)+(('CAFCO 400 '!$L$11*(J778^3)+'CAFCO 400 '!$L$12*(J778^2)+'CAFCO 400 '!$L$13*J778+'CAFCO 400 '!$L$14)*U778)+('CAFCO 400 '!$L$15*LN(J778)+'CAFCO 400 '!$L$16)),0)+IF(AND(L778="Cafco 400",M778="Software Idiem",C778="L"),((('CAFCO 400 '!$L$7*(J778^3)+'CAFCO 400 '!$L$8*(J778^2)+'CAFCO 400 '!$L$9*J778+'CAFCO 400 '!$L$10)*U778^2)+(('CAFCO 400 '!$L$11*(J778^3)+'CAFCO 400 '!$L$12*(J778^2)+'CAFCO 400 '!$L$13*J778+'CAFCO 400 '!$L$14)*U778)+('CAFCO 400 '!$L$15*LN(J778)+'CAFCO 400 '!$L$16)),0)+IF(AND(L778="Cafco 400",M778="Software Idiem",C778="IN",G778=3),((('CAFCO 400 '!$D$23*(J778^2)+'CAFCO 400 '!$D$24*(J778)+'CAFCO 400 '!$D$25)*U778^2)+(('CAFCO 400 '!$D$26*(J778^2)+'CAFCO 400 '!$D$27*J778+'CAFCO 400 '!$D$28)*U778)+('CAFCO 400 '!$D$29*(J778^2)+'CAFCO 400 '!$D$30*J778+'CAFCO 400 '!$D$31)),0),0)+IF(AND(L778="Cafco 300",J778&gt;=95,J778&lt;=240,C778="Cj",I778=90),VLOOKUP(T778,'CAFCO 300 IDIEM TABLAS'!$B$4:$D$23,2,FALSE),0)+IF(AND(L778="Cafco 300",J778&gt;=95,J778&lt;=240,C778="Cj",I778=120),VLOOKUP(T778,'CAFCO 300 IDIEM TABLAS'!$B$4:$D$23,3,FALSE),0)+IF(AND(L778="Cafco 300",J778&gt;=95,J778&lt;=400,G778=3,C778="IN",I778=90),VLOOKUP(T778,'CAFCO 300 IDIEM TABLAS'!$F$4:$H$35,2,FALSE),0)+IF(AND(L778="Cafco 300",J778&gt;=95,J778&lt;=400,G778=3,C778="IN",I778=120),VLOOKUP(T778,'CAFCO 300 IDIEM TABLAS'!$F$4:$H$35,3,FALSE),0)+IF(AND(L778="Cafco 300",J778&gt;=95,J778&lt;=450,G778=4,C778="IN",I778=90),VLOOKUP(T778,'CAFCO 300 IDIEM TABLAS'!$J$4:$L$40,2,FALSE),0)+IF(AND(L778="Cafco 300",J778&gt;=95,J778&lt;=450,G778=4,C778="IN",I778=120),VLOOKUP(T778,'CAFCO 300 IDIEM TABLAS'!$J$4:$L$40,3,FALSE),0)+IF(AND(M778="Ensayo Idiem",L778="Cafco 400",C778="IN",G778=4,I778=90),VLOOKUP(T778,'CAFCO 400 ENSAYO'!$B$7:$D$43,2,FALSE),0)+IF(AND(M778="Ensayo Idiem",L778="Cafco 400",C778="IN",G778=4,I778=120),VLOOKUP(T778,'CAFCO 400 ENSAYO'!$B$7:$D$43,3,FALSE),0)</f>
        <v>0</v>
      </c>
      <c r="O778" s="96">
        <f t="shared" si="78"/>
        <v>0</v>
      </c>
      <c r="P778" s="95" t="str">
        <f t="shared" si="79"/>
        <v>N/A</v>
      </c>
      <c r="Q778" s="95" t="str">
        <f t="shared" si="80"/>
        <v>N/A</v>
      </c>
      <c r="R778" s="95" t="str">
        <f t="shared" si="81"/>
        <v>NO CERT.</v>
      </c>
      <c r="S778" s="95" t="e">
        <f t="shared" si="82"/>
        <v>#N/A</v>
      </c>
      <c r="T778" s="119" t="e">
        <f>+IF(J778=LOOKUP(J778,'CAFCO 300 IDIEM TABLAS'!$J$4:$J$40),'CALCULO MORTERO'!J778,MROUND('CALCULO MORTERO'!J778,10))</f>
        <v>#N/A</v>
      </c>
      <c r="U778" s="118">
        <f t="shared" si="83"/>
        <v>0</v>
      </c>
    </row>
    <row r="779" spans="1:21" x14ac:dyDescent="0.25">
      <c r="A779" s="118">
        <f>+CUBICACION!D773</f>
        <v>0</v>
      </c>
      <c r="B779" s="819">
        <f>+CUBICACION!E773</f>
        <v>0</v>
      </c>
      <c r="C779" s="675">
        <f>+CUBICACION!F773</f>
        <v>0</v>
      </c>
      <c r="D779" s="118"/>
      <c r="E779" s="118"/>
      <c r="F779" s="820"/>
      <c r="G779" s="675">
        <f>+CUBICACION!J773</f>
        <v>0</v>
      </c>
      <c r="H779" s="118"/>
      <c r="I779" s="821">
        <f>+CUBICACION!L773</f>
        <v>0</v>
      </c>
      <c r="J779" s="64">
        <f>+CUBICACION!M773</f>
        <v>0</v>
      </c>
      <c r="K779" s="822" t="str">
        <f>+CUBICACION!N773</f>
        <v/>
      </c>
      <c r="L779" s="118">
        <f>+CUBICACION!O773</f>
        <v>0</v>
      </c>
      <c r="M779" s="823">
        <f>+CUBICACION!P773</f>
        <v>0</v>
      </c>
      <c r="N779" s="902">
        <f>ROUND(IF(AND(L779="Blaze Shield II",M779="Software Idiem",C779="IN",G779=4),((('BLAZE SHIELD II'!$D$4*('CALCULO MORTERO'!I779^2)+'BLAZE SHIELD II'!$D$5*'CALCULO MORTERO'!I779+'BLAZE SHIELD II'!$D$6)*LN(J779))+('BLAZE SHIELD II'!$D$7*('CALCULO MORTERO'!I779^2)+'BLAZE SHIELD II'!$D$8*'CALCULO MORTERO'!I779+'BLAZE SHIELD II'!$D$9)),0)+IF(AND(L779="Blaze Shield II",M779="Software Idiem",C779="Cj"),((('BLAZE SHIELD II'!$H$4*('CALCULO MORTERO'!I779^2)+'BLAZE SHIELD II'!$H$5*'CALCULO MORTERO'!I779+'BLAZE SHIELD II'!$H$6)*LN(J779))+('BLAZE SHIELD II'!$H$7*('CALCULO MORTERO'!I779^2)+'BLAZE SHIELD II'!$H$8*'CALCULO MORTERO'!I779+'BLAZE SHIELD II'!$H$9)),0)+IF(AND(L779="Blaze Shield II",M779="Software Idiem",C779="C"),((('BLAZE SHIELD II'!$L$4*('CALCULO MORTERO'!I779^2)+'BLAZE SHIELD II'!$L$5*'CALCULO MORTERO'!I779+'BLAZE SHIELD II'!$L$6)*LN(J779))+('BLAZE SHIELD II'!$L$7*('CALCULO MORTERO'!I779^2)+'BLAZE SHIELD II'!$L$8*'CALCULO MORTERO'!I779+'BLAZE SHIELD II'!$L$9)),0)+IF(AND(L779="Blaze Shield II",M779="Software Idiem",C779="L"),((('BLAZE SHIELD II'!$L$4*('CALCULO MORTERO'!I779^2)+'BLAZE SHIELD II'!$L$5*'CALCULO MORTERO'!I779+'BLAZE SHIELD II'!$L$6)*LN(J779))+('BLAZE SHIELD II'!$L$7*('CALCULO MORTERO'!I779^2)+'BLAZE SHIELD II'!$L$8*'CALCULO MORTERO'!I779+'BLAZE SHIELD II'!$L$9)),0)+IF(AND(L779="Blaze Shield II",M779="Software Idiem",C779="IN",G779=3),((('BLAZE SHIELD II'!$H$14*('CALCULO MORTERO'!I779^2)+'BLAZE SHIELD II'!$H$15*'CALCULO MORTERO'!I779+'BLAZE SHIELD II'!$H$16)*LN(J779))+('BLAZE SHIELD II'!$H$17*('CALCULO MORTERO'!I779^2)+'BLAZE SHIELD II'!$H$18*'CALCULO MORTERO'!I779+'BLAZE SHIELD II'!$H$19)),0),0)+ROUND(IF(AND(L779="Cafco 400",M779="Software Idiem",C779="IN",G779=4),((('CAFCO 400 '!$H$7*(J779^4)+'CAFCO 400 '!$H$8*(J779^3)+'CAFCO 400 '!$H$9*(J779^2)+'CAFCO 400 '!$H$10*J779+'CAFCO 400 '!$H$11)*U779^2)+(('CAFCO 400 '!$H$12*(J779^3)+'CAFCO 400 '!$H$13*(J779^2)+'CAFCO 400 '!$H$14*J779+'CAFCO 400 '!$H$15)*U779)+('CAFCO 400 '!$H$16*(J779^2)+'CAFCO 400 '!$H$17*J779+'CAFCO 400 '!$H$18)),0)+IF(AND(L779="Cafco 400",M779="Software Idiem",C779="Cj"),(((('CAFCO 400 '!$D$7*LN(J779)+'CAFCO 400 '!$D$8)*U779^2)+(('CAFCO 400 '!$D$9*LN(J779)+'CAFCO 400 '!$D$10)*U779)+('CAFCO 400 '!$D$11*LN(J779)+'CAFCO 400 '!$D$12))),0)+IF(AND(L779="Cafco 400",M779="Software Idiem",C779="C"),((('CAFCO 400 '!$L$7*(J779^3)+'CAFCO 400 '!$L$8*(J779^2)+'CAFCO 400 '!$L$9*J779+'CAFCO 400 '!$L$10)*U779^2)+(('CAFCO 400 '!$L$11*(J779^3)+'CAFCO 400 '!$L$12*(J779^2)+'CAFCO 400 '!$L$13*J779+'CAFCO 400 '!$L$14)*U779)+('CAFCO 400 '!$L$15*LN(J779)+'CAFCO 400 '!$L$16)),0)+IF(AND(L779="Cafco 400",M779="Software Idiem",C779="L"),((('CAFCO 400 '!$L$7*(J779^3)+'CAFCO 400 '!$L$8*(J779^2)+'CAFCO 400 '!$L$9*J779+'CAFCO 400 '!$L$10)*U779^2)+(('CAFCO 400 '!$L$11*(J779^3)+'CAFCO 400 '!$L$12*(J779^2)+'CAFCO 400 '!$L$13*J779+'CAFCO 400 '!$L$14)*U779)+('CAFCO 400 '!$L$15*LN(J779)+'CAFCO 400 '!$L$16)),0)+IF(AND(L779="Cafco 400",M779="Software Idiem",C779="IN",G779=3),((('CAFCO 400 '!$D$23*(J779^2)+'CAFCO 400 '!$D$24*(J779)+'CAFCO 400 '!$D$25)*U779^2)+(('CAFCO 400 '!$D$26*(J779^2)+'CAFCO 400 '!$D$27*J779+'CAFCO 400 '!$D$28)*U779)+('CAFCO 400 '!$D$29*(J779^2)+'CAFCO 400 '!$D$30*J779+'CAFCO 400 '!$D$31)),0),0)+IF(AND(L779="Cafco 300",J779&gt;=95,J779&lt;=240,C779="Cj",I779=90),VLOOKUP(T779,'CAFCO 300 IDIEM TABLAS'!$B$4:$D$23,2,FALSE),0)+IF(AND(L779="Cafco 300",J779&gt;=95,J779&lt;=240,C779="Cj",I779=120),VLOOKUP(T779,'CAFCO 300 IDIEM TABLAS'!$B$4:$D$23,3,FALSE),0)+IF(AND(L779="Cafco 300",J779&gt;=95,J779&lt;=400,G779=3,C779="IN",I779=90),VLOOKUP(T779,'CAFCO 300 IDIEM TABLAS'!$F$4:$H$35,2,FALSE),0)+IF(AND(L779="Cafco 300",J779&gt;=95,J779&lt;=400,G779=3,C779="IN",I779=120),VLOOKUP(T779,'CAFCO 300 IDIEM TABLAS'!$F$4:$H$35,3,FALSE),0)+IF(AND(L779="Cafco 300",J779&gt;=95,J779&lt;=450,G779=4,C779="IN",I779=90),VLOOKUP(T779,'CAFCO 300 IDIEM TABLAS'!$J$4:$L$40,2,FALSE),0)+IF(AND(L779="Cafco 300",J779&gt;=95,J779&lt;=450,G779=4,C779="IN",I779=120),VLOOKUP(T779,'CAFCO 300 IDIEM TABLAS'!$J$4:$L$40,3,FALSE),0)+IF(AND(M779="Ensayo Idiem",L779="Cafco 400",C779="IN",G779=4,I779=90),VLOOKUP(T779,'CAFCO 400 ENSAYO'!$B$7:$D$43,2,FALSE),0)+IF(AND(M779="Ensayo Idiem",L779="Cafco 400",C779="IN",G779=4,I779=120),VLOOKUP(T779,'CAFCO 400 ENSAYO'!$B$7:$D$43,3,FALSE),0)</f>
        <v>0</v>
      </c>
      <c r="O779" s="96">
        <f t="shared" ref="O779:O842" si="84">((IF(L779="Blaze Shield II",((K779*N779*0.43)/38),IF(L779="Cafco 400",((K779*N779*0.43)/23),IF(L779="Cafco 300",((K779*N779*0.43)/31.16),0)))))</f>
        <v>0</v>
      </c>
      <c r="P779" s="132" t="str">
        <f t="shared" si="79"/>
        <v>N/A</v>
      </c>
      <c r="Q779" s="132" t="str">
        <f t="shared" si="80"/>
        <v>N/A</v>
      </c>
      <c r="R779" s="132" t="str">
        <f t="shared" si="81"/>
        <v>NO CERT.</v>
      </c>
      <c r="S779" s="132" t="e">
        <f t="shared" si="82"/>
        <v>#N/A</v>
      </c>
      <c r="T779" s="133" t="e">
        <f>+IF(J779=LOOKUP(J779,'CAFCO 300 IDIEM TABLAS'!$J$4:$J$40),'CALCULO MORTERO'!J779,MROUND('CALCULO MORTERO'!J779,10))</f>
        <v>#N/A</v>
      </c>
      <c r="U779" s="134">
        <f t="shared" si="83"/>
        <v>0</v>
      </c>
    </row>
    <row r="780" spans="1:21" x14ac:dyDescent="0.25">
      <c r="A780" s="118">
        <f>+CUBICACION!D774</f>
        <v>0</v>
      </c>
      <c r="B780" s="819">
        <f>+CUBICACION!E774</f>
        <v>0</v>
      </c>
      <c r="C780" s="675">
        <f>+CUBICACION!F774</f>
        <v>0</v>
      </c>
      <c r="D780" s="118"/>
      <c r="E780" s="118"/>
      <c r="F780" s="820"/>
      <c r="G780" s="675">
        <f>+CUBICACION!J774</f>
        <v>0</v>
      </c>
      <c r="H780" s="118"/>
      <c r="I780" s="821">
        <f>+CUBICACION!L774</f>
        <v>0</v>
      </c>
      <c r="J780" s="64">
        <f>+CUBICACION!M774</f>
        <v>0</v>
      </c>
      <c r="K780" s="822" t="str">
        <f>+CUBICACION!N774</f>
        <v/>
      </c>
      <c r="L780" s="118">
        <f>+CUBICACION!O774</f>
        <v>0</v>
      </c>
      <c r="M780" s="823">
        <f>+CUBICACION!P774</f>
        <v>0</v>
      </c>
      <c r="N780" s="902">
        <f>ROUND(IF(AND(L780="Blaze Shield II",M780="Software Idiem",C780="IN",G780=4),((('BLAZE SHIELD II'!$D$4*('CALCULO MORTERO'!I780^2)+'BLAZE SHIELD II'!$D$5*'CALCULO MORTERO'!I780+'BLAZE SHIELD II'!$D$6)*LN(J780))+('BLAZE SHIELD II'!$D$7*('CALCULO MORTERO'!I780^2)+'BLAZE SHIELD II'!$D$8*'CALCULO MORTERO'!I780+'BLAZE SHIELD II'!$D$9)),0)+IF(AND(L780="Blaze Shield II",M780="Software Idiem",C780="Cj"),((('BLAZE SHIELD II'!$H$4*('CALCULO MORTERO'!I780^2)+'BLAZE SHIELD II'!$H$5*'CALCULO MORTERO'!I780+'BLAZE SHIELD II'!$H$6)*LN(J780))+('BLAZE SHIELD II'!$H$7*('CALCULO MORTERO'!I780^2)+'BLAZE SHIELD II'!$H$8*'CALCULO MORTERO'!I780+'BLAZE SHIELD II'!$H$9)),0)+IF(AND(L780="Blaze Shield II",M780="Software Idiem",C780="C"),((('BLAZE SHIELD II'!$L$4*('CALCULO MORTERO'!I780^2)+'BLAZE SHIELD II'!$L$5*'CALCULO MORTERO'!I780+'BLAZE SHIELD II'!$L$6)*LN(J780))+('BLAZE SHIELD II'!$L$7*('CALCULO MORTERO'!I780^2)+'BLAZE SHIELD II'!$L$8*'CALCULO MORTERO'!I780+'BLAZE SHIELD II'!$L$9)),0)+IF(AND(L780="Blaze Shield II",M780="Software Idiem",C780="L"),((('BLAZE SHIELD II'!$L$4*('CALCULO MORTERO'!I780^2)+'BLAZE SHIELD II'!$L$5*'CALCULO MORTERO'!I780+'BLAZE SHIELD II'!$L$6)*LN(J780))+('BLAZE SHIELD II'!$L$7*('CALCULO MORTERO'!I780^2)+'BLAZE SHIELD II'!$L$8*'CALCULO MORTERO'!I780+'BLAZE SHIELD II'!$L$9)),0)+IF(AND(L780="Blaze Shield II",M780="Software Idiem",C780="IN",G780=3),((('BLAZE SHIELD II'!$H$14*('CALCULO MORTERO'!I780^2)+'BLAZE SHIELD II'!$H$15*'CALCULO MORTERO'!I780+'BLAZE SHIELD II'!$H$16)*LN(J780))+('BLAZE SHIELD II'!$H$17*('CALCULO MORTERO'!I780^2)+'BLAZE SHIELD II'!$H$18*'CALCULO MORTERO'!I780+'BLAZE SHIELD II'!$H$19)),0),0)+ROUND(IF(AND(L780="Cafco 400",M780="Software Idiem",C780="IN",G780=4),((('CAFCO 400 '!$H$7*(J780^4)+'CAFCO 400 '!$H$8*(J780^3)+'CAFCO 400 '!$H$9*(J780^2)+'CAFCO 400 '!$H$10*J780+'CAFCO 400 '!$H$11)*U780^2)+(('CAFCO 400 '!$H$12*(J780^3)+'CAFCO 400 '!$H$13*(J780^2)+'CAFCO 400 '!$H$14*J780+'CAFCO 400 '!$H$15)*U780)+('CAFCO 400 '!$H$16*(J780^2)+'CAFCO 400 '!$H$17*J780+'CAFCO 400 '!$H$18)),0)+IF(AND(L780="Cafco 400",M780="Software Idiem",C780="Cj"),(((('CAFCO 400 '!$D$7*LN(J780)+'CAFCO 400 '!$D$8)*U780^2)+(('CAFCO 400 '!$D$9*LN(J780)+'CAFCO 400 '!$D$10)*U780)+('CAFCO 400 '!$D$11*LN(J780)+'CAFCO 400 '!$D$12))),0)+IF(AND(L780="Cafco 400",M780="Software Idiem",C780="C"),((('CAFCO 400 '!$L$7*(J780^3)+'CAFCO 400 '!$L$8*(J780^2)+'CAFCO 400 '!$L$9*J780+'CAFCO 400 '!$L$10)*U780^2)+(('CAFCO 400 '!$L$11*(J780^3)+'CAFCO 400 '!$L$12*(J780^2)+'CAFCO 400 '!$L$13*J780+'CAFCO 400 '!$L$14)*U780)+('CAFCO 400 '!$L$15*LN(J780)+'CAFCO 400 '!$L$16)),0)+IF(AND(L780="Cafco 400",M780="Software Idiem",C780="L"),((('CAFCO 400 '!$L$7*(J780^3)+'CAFCO 400 '!$L$8*(J780^2)+'CAFCO 400 '!$L$9*J780+'CAFCO 400 '!$L$10)*U780^2)+(('CAFCO 400 '!$L$11*(J780^3)+'CAFCO 400 '!$L$12*(J780^2)+'CAFCO 400 '!$L$13*J780+'CAFCO 400 '!$L$14)*U780)+('CAFCO 400 '!$L$15*LN(J780)+'CAFCO 400 '!$L$16)),0)+IF(AND(L780="Cafco 400",M780="Software Idiem",C780="IN",G780=3),((('CAFCO 400 '!$D$23*(J780^2)+'CAFCO 400 '!$D$24*(J780)+'CAFCO 400 '!$D$25)*U780^2)+(('CAFCO 400 '!$D$26*(J780^2)+'CAFCO 400 '!$D$27*J780+'CAFCO 400 '!$D$28)*U780)+('CAFCO 400 '!$D$29*(J780^2)+'CAFCO 400 '!$D$30*J780+'CAFCO 400 '!$D$31)),0),0)+IF(AND(L780="Cafco 300",J780&gt;=95,J780&lt;=240,C780="Cj",I780=90),VLOOKUP(T780,'CAFCO 300 IDIEM TABLAS'!$B$4:$D$23,2,FALSE),0)+IF(AND(L780="Cafco 300",J780&gt;=95,J780&lt;=240,C780="Cj",I780=120),VLOOKUP(T780,'CAFCO 300 IDIEM TABLAS'!$B$4:$D$23,3,FALSE),0)+IF(AND(L780="Cafco 300",J780&gt;=95,J780&lt;=400,G780=3,C780="IN",I780=90),VLOOKUP(T780,'CAFCO 300 IDIEM TABLAS'!$F$4:$H$35,2,FALSE),0)+IF(AND(L780="Cafco 300",J780&gt;=95,J780&lt;=400,G780=3,C780="IN",I780=120),VLOOKUP(T780,'CAFCO 300 IDIEM TABLAS'!$F$4:$H$35,3,FALSE),0)+IF(AND(L780="Cafco 300",J780&gt;=95,J780&lt;=450,G780=4,C780="IN",I780=90),VLOOKUP(T780,'CAFCO 300 IDIEM TABLAS'!$J$4:$L$40,2,FALSE),0)+IF(AND(L780="Cafco 300",J780&gt;=95,J780&lt;=450,G780=4,C780="IN",I780=120),VLOOKUP(T780,'CAFCO 300 IDIEM TABLAS'!$J$4:$L$40,3,FALSE),0)+IF(AND(M780="Ensayo Idiem",L780="Cafco 400",C780="IN",G780=4,I780=90),VLOOKUP(T780,'CAFCO 400 ENSAYO'!$B$7:$D$43,2,FALSE),0)+IF(AND(M780="Ensayo Idiem",L780="Cafco 400",C780="IN",G780=4,I780=120),VLOOKUP(T780,'CAFCO 400 ENSAYO'!$B$7:$D$43,3,FALSE),0)</f>
        <v>0</v>
      </c>
      <c r="O780" s="96">
        <f t="shared" si="84"/>
        <v>0</v>
      </c>
      <c r="P780" s="95" t="str">
        <f t="shared" si="79"/>
        <v>N/A</v>
      </c>
      <c r="Q780" s="95" t="str">
        <f t="shared" si="80"/>
        <v>N/A</v>
      </c>
      <c r="R780" s="95" t="str">
        <f t="shared" si="81"/>
        <v>NO CERT.</v>
      </c>
      <c r="S780" s="95" t="e">
        <f t="shared" si="82"/>
        <v>#N/A</v>
      </c>
      <c r="T780" s="119" t="e">
        <f>+IF(J780=LOOKUP(J780,'CAFCO 300 IDIEM TABLAS'!$J$4:$J$40),'CALCULO MORTERO'!J780,MROUND('CALCULO MORTERO'!J780,10))</f>
        <v>#N/A</v>
      </c>
      <c r="U780" s="118">
        <f t="shared" si="83"/>
        <v>0</v>
      </c>
    </row>
    <row r="781" spans="1:21" x14ac:dyDescent="0.25">
      <c r="A781" s="118">
        <f>+CUBICACION!D775</f>
        <v>0</v>
      </c>
      <c r="B781" s="819">
        <f>+CUBICACION!E775</f>
        <v>0</v>
      </c>
      <c r="C781" s="675">
        <f>+CUBICACION!F775</f>
        <v>0</v>
      </c>
      <c r="D781" s="118"/>
      <c r="E781" s="118"/>
      <c r="F781" s="820"/>
      <c r="G781" s="675">
        <f>+CUBICACION!J775</f>
        <v>0</v>
      </c>
      <c r="H781" s="118"/>
      <c r="I781" s="821">
        <f>+CUBICACION!L775</f>
        <v>0</v>
      </c>
      <c r="J781" s="64">
        <f>+CUBICACION!M775</f>
        <v>0</v>
      </c>
      <c r="K781" s="822" t="str">
        <f>+CUBICACION!N775</f>
        <v/>
      </c>
      <c r="L781" s="118">
        <f>+CUBICACION!O775</f>
        <v>0</v>
      </c>
      <c r="M781" s="823">
        <f>+CUBICACION!P775</f>
        <v>0</v>
      </c>
      <c r="N781" s="902">
        <f>ROUND(IF(AND(L781="Blaze Shield II",M781="Software Idiem",C781="IN",G781=4),((('BLAZE SHIELD II'!$D$4*('CALCULO MORTERO'!I781^2)+'BLAZE SHIELD II'!$D$5*'CALCULO MORTERO'!I781+'BLAZE SHIELD II'!$D$6)*LN(J781))+('BLAZE SHIELD II'!$D$7*('CALCULO MORTERO'!I781^2)+'BLAZE SHIELD II'!$D$8*'CALCULO MORTERO'!I781+'BLAZE SHIELD II'!$D$9)),0)+IF(AND(L781="Blaze Shield II",M781="Software Idiem",C781="Cj"),((('BLAZE SHIELD II'!$H$4*('CALCULO MORTERO'!I781^2)+'BLAZE SHIELD II'!$H$5*'CALCULO MORTERO'!I781+'BLAZE SHIELD II'!$H$6)*LN(J781))+('BLAZE SHIELD II'!$H$7*('CALCULO MORTERO'!I781^2)+'BLAZE SHIELD II'!$H$8*'CALCULO MORTERO'!I781+'BLAZE SHIELD II'!$H$9)),0)+IF(AND(L781="Blaze Shield II",M781="Software Idiem",C781="C"),((('BLAZE SHIELD II'!$L$4*('CALCULO MORTERO'!I781^2)+'BLAZE SHIELD II'!$L$5*'CALCULO MORTERO'!I781+'BLAZE SHIELD II'!$L$6)*LN(J781))+('BLAZE SHIELD II'!$L$7*('CALCULO MORTERO'!I781^2)+'BLAZE SHIELD II'!$L$8*'CALCULO MORTERO'!I781+'BLAZE SHIELD II'!$L$9)),0)+IF(AND(L781="Blaze Shield II",M781="Software Idiem",C781="L"),((('BLAZE SHIELD II'!$L$4*('CALCULO MORTERO'!I781^2)+'BLAZE SHIELD II'!$L$5*'CALCULO MORTERO'!I781+'BLAZE SHIELD II'!$L$6)*LN(J781))+('BLAZE SHIELD II'!$L$7*('CALCULO MORTERO'!I781^2)+'BLAZE SHIELD II'!$L$8*'CALCULO MORTERO'!I781+'BLAZE SHIELD II'!$L$9)),0)+IF(AND(L781="Blaze Shield II",M781="Software Idiem",C781="IN",G781=3),((('BLAZE SHIELD II'!$H$14*('CALCULO MORTERO'!I781^2)+'BLAZE SHIELD II'!$H$15*'CALCULO MORTERO'!I781+'BLAZE SHIELD II'!$H$16)*LN(J781))+('BLAZE SHIELD II'!$H$17*('CALCULO MORTERO'!I781^2)+'BLAZE SHIELD II'!$H$18*'CALCULO MORTERO'!I781+'BLAZE SHIELD II'!$H$19)),0),0)+ROUND(IF(AND(L781="Cafco 400",M781="Software Idiem",C781="IN",G781=4),((('CAFCO 400 '!$H$7*(J781^4)+'CAFCO 400 '!$H$8*(J781^3)+'CAFCO 400 '!$H$9*(J781^2)+'CAFCO 400 '!$H$10*J781+'CAFCO 400 '!$H$11)*U781^2)+(('CAFCO 400 '!$H$12*(J781^3)+'CAFCO 400 '!$H$13*(J781^2)+'CAFCO 400 '!$H$14*J781+'CAFCO 400 '!$H$15)*U781)+('CAFCO 400 '!$H$16*(J781^2)+'CAFCO 400 '!$H$17*J781+'CAFCO 400 '!$H$18)),0)+IF(AND(L781="Cafco 400",M781="Software Idiem",C781="Cj"),(((('CAFCO 400 '!$D$7*LN(J781)+'CAFCO 400 '!$D$8)*U781^2)+(('CAFCO 400 '!$D$9*LN(J781)+'CAFCO 400 '!$D$10)*U781)+('CAFCO 400 '!$D$11*LN(J781)+'CAFCO 400 '!$D$12))),0)+IF(AND(L781="Cafco 400",M781="Software Idiem",C781="C"),((('CAFCO 400 '!$L$7*(J781^3)+'CAFCO 400 '!$L$8*(J781^2)+'CAFCO 400 '!$L$9*J781+'CAFCO 400 '!$L$10)*U781^2)+(('CAFCO 400 '!$L$11*(J781^3)+'CAFCO 400 '!$L$12*(J781^2)+'CAFCO 400 '!$L$13*J781+'CAFCO 400 '!$L$14)*U781)+('CAFCO 400 '!$L$15*LN(J781)+'CAFCO 400 '!$L$16)),0)+IF(AND(L781="Cafco 400",M781="Software Idiem",C781="L"),((('CAFCO 400 '!$L$7*(J781^3)+'CAFCO 400 '!$L$8*(J781^2)+'CAFCO 400 '!$L$9*J781+'CAFCO 400 '!$L$10)*U781^2)+(('CAFCO 400 '!$L$11*(J781^3)+'CAFCO 400 '!$L$12*(J781^2)+'CAFCO 400 '!$L$13*J781+'CAFCO 400 '!$L$14)*U781)+('CAFCO 400 '!$L$15*LN(J781)+'CAFCO 400 '!$L$16)),0)+IF(AND(L781="Cafco 400",M781="Software Idiem",C781="IN",G781=3),((('CAFCO 400 '!$D$23*(J781^2)+'CAFCO 400 '!$D$24*(J781)+'CAFCO 400 '!$D$25)*U781^2)+(('CAFCO 400 '!$D$26*(J781^2)+'CAFCO 400 '!$D$27*J781+'CAFCO 400 '!$D$28)*U781)+('CAFCO 400 '!$D$29*(J781^2)+'CAFCO 400 '!$D$30*J781+'CAFCO 400 '!$D$31)),0),0)+IF(AND(L781="Cafco 300",J781&gt;=95,J781&lt;=240,C781="Cj",I781=90),VLOOKUP(T781,'CAFCO 300 IDIEM TABLAS'!$B$4:$D$23,2,FALSE),0)+IF(AND(L781="Cafco 300",J781&gt;=95,J781&lt;=240,C781="Cj",I781=120),VLOOKUP(T781,'CAFCO 300 IDIEM TABLAS'!$B$4:$D$23,3,FALSE),0)+IF(AND(L781="Cafco 300",J781&gt;=95,J781&lt;=400,G781=3,C781="IN",I781=90),VLOOKUP(T781,'CAFCO 300 IDIEM TABLAS'!$F$4:$H$35,2,FALSE),0)+IF(AND(L781="Cafco 300",J781&gt;=95,J781&lt;=400,G781=3,C781="IN",I781=120),VLOOKUP(T781,'CAFCO 300 IDIEM TABLAS'!$F$4:$H$35,3,FALSE),0)+IF(AND(L781="Cafco 300",J781&gt;=95,J781&lt;=450,G781=4,C781="IN",I781=90),VLOOKUP(T781,'CAFCO 300 IDIEM TABLAS'!$J$4:$L$40,2,FALSE),0)+IF(AND(L781="Cafco 300",J781&gt;=95,J781&lt;=450,G781=4,C781="IN",I781=120),VLOOKUP(T781,'CAFCO 300 IDIEM TABLAS'!$J$4:$L$40,3,FALSE),0)+IF(AND(M781="Ensayo Idiem",L781="Cafco 400",C781="IN",G781=4,I781=90),VLOOKUP(T781,'CAFCO 400 ENSAYO'!$B$7:$D$43,2,FALSE),0)+IF(AND(M781="Ensayo Idiem",L781="Cafco 400",C781="IN",G781=4,I781=120),VLOOKUP(T781,'CAFCO 400 ENSAYO'!$B$7:$D$43,3,FALSE),0)</f>
        <v>0</v>
      </c>
      <c r="O781" s="96">
        <f t="shared" si="84"/>
        <v>0</v>
      </c>
      <c r="P781" s="132" t="str">
        <f t="shared" si="79"/>
        <v>N/A</v>
      </c>
      <c r="Q781" s="132" t="str">
        <f t="shared" si="80"/>
        <v>N/A</v>
      </c>
      <c r="R781" s="132" t="str">
        <f t="shared" si="81"/>
        <v>NO CERT.</v>
      </c>
      <c r="S781" s="132" t="e">
        <f t="shared" si="82"/>
        <v>#N/A</v>
      </c>
      <c r="T781" s="133" t="e">
        <f>+IF(J781=LOOKUP(J781,'CAFCO 300 IDIEM TABLAS'!$J$4:$J$40),'CALCULO MORTERO'!J781,MROUND('CALCULO MORTERO'!J781,10))</f>
        <v>#N/A</v>
      </c>
      <c r="U781" s="134">
        <f t="shared" si="83"/>
        <v>0</v>
      </c>
    </row>
    <row r="782" spans="1:21" x14ac:dyDescent="0.25">
      <c r="A782" s="118">
        <f>+CUBICACION!D776</f>
        <v>0</v>
      </c>
      <c r="B782" s="819">
        <f>+CUBICACION!E776</f>
        <v>0</v>
      </c>
      <c r="C782" s="675">
        <f>+CUBICACION!F776</f>
        <v>0</v>
      </c>
      <c r="D782" s="118"/>
      <c r="E782" s="118"/>
      <c r="F782" s="820"/>
      <c r="G782" s="675">
        <f>+CUBICACION!J776</f>
        <v>0</v>
      </c>
      <c r="H782" s="118"/>
      <c r="I782" s="821">
        <f>+CUBICACION!L776</f>
        <v>0</v>
      </c>
      <c r="J782" s="64">
        <f>+CUBICACION!M776</f>
        <v>0</v>
      </c>
      <c r="K782" s="822" t="str">
        <f>+CUBICACION!N776</f>
        <v/>
      </c>
      <c r="L782" s="118">
        <f>+CUBICACION!O776</f>
        <v>0</v>
      </c>
      <c r="M782" s="823">
        <f>+CUBICACION!P776</f>
        <v>0</v>
      </c>
      <c r="N782" s="902">
        <f>ROUND(IF(AND(L782="Blaze Shield II",M782="Software Idiem",C782="IN",G782=4),((('BLAZE SHIELD II'!$D$4*('CALCULO MORTERO'!I782^2)+'BLAZE SHIELD II'!$D$5*'CALCULO MORTERO'!I782+'BLAZE SHIELD II'!$D$6)*LN(J782))+('BLAZE SHIELD II'!$D$7*('CALCULO MORTERO'!I782^2)+'BLAZE SHIELD II'!$D$8*'CALCULO MORTERO'!I782+'BLAZE SHIELD II'!$D$9)),0)+IF(AND(L782="Blaze Shield II",M782="Software Idiem",C782="Cj"),((('BLAZE SHIELD II'!$H$4*('CALCULO MORTERO'!I782^2)+'BLAZE SHIELD II'!$H$5*'CALCULO MORTERO'!I782+'BLAZE SHIELD II'!$H$6)*LN(J782))+('BLAZE SHIELD II'!$H$7*('CALCULO MORTERO'!I782^2)+'BLAZE SHIELD II'!$H$8*'CALCULO MORTERO'!I782+'BLAZE SHIELD II'!$H$9)),0)+IF(AND(L782="Blaze Shield II",M782="Software Idiem",C782="C"),((('BLAZE SHIELD II'!$L$4*('CALCULO MORTERO'!I782^2)+'BLAZE SHIELD II'!$L$5*'CALCULO MORTERO'!I782+'BLAZE SHIELD II'!$L$6)*LN(J782))+('BLAZE SHIELD II'!$L$7*('CALCULO MORTERO'!I782^2)+'BLAZE SHIELD II'!$L$8*'CALCULO MORTERO'!I782+'BLAZE SHIELD II'!$L$9)),0)+IF(AND(L782="Blaze Shield II",M782="Software Idiem",C782="L"),((('BLAZE SHIELD II'!$L$4*('CALCULO MORTERO'!I782^2)+'BLAZE SHIELD II'!$L$5*'CALCULO MORTERO'!I782+'BLAZE SHIELD II'!$L$6)*LN(J782))+('BLAZE SHIELD II'!$L$7*('CALCULO MORTERO'!I782^2)+'BLAZE SHIELD II'!$L$8*'CALCULO MORTERO'!I782+'BLAZE SHIELD II'!$L$9)),0)+IF(AND(L782="Blaze Shield II",M782="Software Idiem",C782="IN",G782=3),((('BLAZE SHIELD II'!$H$14*('CALCULO MORTERO'!I782^2)+'BLAZE SHIELD II'!$H$15*'CALCULO MORTERO'!I782+'BLAZE SHIELD II'!$H$16)*LN(J782))+('BLAZE SHIELD II'!$H$17*('CALCULO MORTERO'!I782^2)+'BLAZE SHIELD II'!$H$18*'CALCULO MORTERO'!I782+'BLAZE SHIELD II'!$H$19)),0),0)+ROUND(IF(AND(L782="Cafco 400",M782="Software Idiem",C782="IN",G782=4),((('CAFCO 400 '!$H$7*(J782^4)+'CAFCO 400 '!$H$8*(J782^3)+'CAFCO 400 '!$H$9*(J782^2)+'CAFCO 400 '!$H$10*J782+'CAFCO 400 '!$H$11)*U782^2)+(('CAFCO 400 '!$H$12*(J782^3)+'CAFCO 400 '!$H$13*(J782^2)+'CAFCO 400 '!$H$14*J782+'CAFCO 400 '!$H$15)*U782)+('CAFCO 400 '!$H$16*(J782^2)+'CAFCO 400 '!$H$17*J782+'CAFCO 400 '!$H$18)),0)+IF(AND(L782="Cafco 400",M782="Software Idiem",C782="Cj"),(((('CAFCO 400 '!$D$7*LN(J782)+'CAFCO 400 '!$D$8)*U782^2)+(('CAFCO 400 '!$D$9*LN(J782)+'CAFCO 400 '!$D$10)*U782)+('CAFCO 400 '!$D$11*LN(J782)+'CAFCO 400 '!$D$12))),0)+IF(AND(L782="Cafco 400",M782="Software Idiem",C782="C"),((('CAFCO 400 '!$L$7*(J782^3)+'CAFCO 400 '!$L$8*(J782^2)+'CAFCO 400 '!$L$9*J782+'CAFCO 400 '!$L$10)*U782^2)+(('CAFCO 400 '!$L$11*(J782^3)+'CAFCO 400 '!$L$12*(J782^2)+'CAFCO 400 '!$L$13*J782+'CAFCO 400 '!$L$14)*U782)+('CAFCO 400 '!$L$15*LN(J782)+'CAFCO 400 '!$L$16)),0)+IF(AND(L782="Cafco 400",M782="Software Idiem",C782="L"),((('CAFCO 400 '!$L$7*(J782^3)+'CAFCO 400 '!$L$8*(J782^2)+'CAFCO 400 '!$L$9*J782+'CAFCO 400 '!$L$10)*U782^2)+(('CAFCO 400 '!$L$11*(J782^3)+'CAFCO 400 '!$L$12*(J782^2)+'CAFCO 400 '!$L$13*J782+'CAFCO 400 '!$L$14)*U782)+('CAFCO 400 '!$L$15*LN(J782)+'CAFCO 400 '!$L$16)),0)+IF(AND(L782="Cafco 400",M782="Software Idiem",C782="IN",G782=3),((('CAFCO 400 '!$D$23*(J782^2)+'CAFCO 400 '!$D$24*(J782)+'CAFCO 400 '!$D$25)*U782^2)+(('CAFCO 400 '!$D$26*(J782^2)+'CAFCO 400 '!$D$27*J782+'CAFCO 400 '!$D$28)*U782)+('CAFCO 400 '!$D$29*(J782^2)+'CAFCO 400 '!$D$30*J782+'CAFCO 400 '!$D$31)),0),0)+IF(AND(L782="Cafco 300",J782&gt;=95,J782&lt;=240,C782="Cj",I782=90),VLOOKUP(T782,'CAFCO 300 IDIEM TABLAS'!$B$4:$D$23,2,FALSE),0)+IF(AND(L782="Cafco 300",J782&gt;=95,J782&lt;=240,C782="Cj",I782=120),VLOOKUP(T782,'CAFCO 300 IDIEM TABLAS'!$B$4:$D$23,3,FALSE),0)+IF(AND(L782="Cafco 300",J782&gt;=95,J782&lt;=400,G782=3,C782="IN",I782=90),VLOOKUP(T782,'CAFCO 300 IDIEM TABLAS'!$F$4:$H$35,2,FALSE),0)+IF(AND(L782="Cafco 300",J782&gt;=95,J782&lt;=400,G782=3,C782="IN",I782=120),VLOOKUP(T782,'CAFCO 300 IDIEM TABLAS'!$F$4:$H$35,3,FALSE),0)+IF(AND(L782="Cafco 300",J782&gt;=95,J782&lt;=450,G782=4,C782="IN",I782=90),VLOOKUP(T782,'CAFCO 300 IDIEM TABLAS'!$J$4:$L$40,2,FALSE),0)+IF(AND(L782="Cafco 300",J782&gt;=95,J782&lt;=450,G782=4,C782="IN",I782=120),VLOOKUP(T782,'CAFCO 300 IDIEM TABLAS'!$J$4:$L$40,3,FALSE),0)+IF(AND(M782="Ensayo Idiem",L782="Cafco 400",C782="IN",G782=4,I782=90),VLOOKUP(T782,'CAFCO 400 ENSAYO'!$B$7:$D$43,2,FALSE),0)+IF(AND(M782="Ensayo Idiem",L782="Cafco 400",C782="IN",G782=4,I782=120),VLOOKUP(T782,'CAFCO 400 ENSAYO'!$B$7:$D$43,3,FALSE),0)</f>
        <v>0</v>
      </c>
      <c r="O782" s="96">
        <f t="shared" si="84"/>
        <v>0</v>
      </c>
      <c r="P782" s="95" t="str">
        <f t="shared" si="79"/>
        <v>N/A</v>
      </c>
      <c r="Q782" s="95" t="str">
        <f t="shared" si="80"/>
        <v>N/A</v>
      </c>
      <c r="R782" s="95" t="str">
        <f t="shared" si="81"/>
        <v>NO CERT.</v>
      </c>
      <c r="S782" s="95" t="e">
        <f t="shared" si="82"/>
        <v>#N/A</v>
      </c>
      <c r="T782" s="119" t="e">
        <f>+IF(J782=LOOKUP(J782,'CAFCO 300 IDIEM TABLAS'!$J$4:$J$40),'CALCULO MORTERO'!J782,MROUND('CALCULO MORTERO'!J782,10))</f>
        <v>#N/A</v>
      </c>
      <c r="U782" s="118">
        <f t="shared" si="83"/>
        <v>0</v>
      </c>
    </row>
    <row r="783" spans="1:21" x14ac:dyDescent="0.25">
      <c r="A783" s="118">
        <f>+CUBICACION!D777</f>
        <v>0</v>
      </c>
      <c r="B783" s="819">
        <f>+CUBICACION!E777</f>
        <v>0</v>
      </c>
      <c r="C783" s="675">
        <f>+CUBICACION!F777</f>
        <v>0</v>
      </c>
      <c r="D783" s="118"/>
      <c r="E783" s="118"/>
      <c r="F783" s="820"/>
      <c r="G783" s="675">
        <f>+CUBICACION!J777</f>
        <v>0</v>
      </c>
      <c r="H783" s="118"/>
      <c r="I783" s="821">
        <f>+CUBICACION!L777</f>
        <v>0</v>
      </c>
      <c r="J783" s="64">
        <f>+CUBICACION!M777</f>
        <v>0</v>
      </c>
      <c r="K783" s="822" t="str">
        <f>+CUBICACION!N777</f>
        <v/>
      </c>
      <c r="L783" s="118">
        <f>+CUBICACION!O777</f>
        <v>0</v>
      </c>
      <c r="M783" s="823">
        <f>+CUBICACION!P777</f>
        <v>0</v>
      </c>
      <c r="N783" s="902">
        <f>ROUND(IF(AND(L783="Blaze Shield II",M783="Software Idiem",C783="IN",G783=4),((('BLAZE SHIELD II'!$D$4*('CALCULO MORTERO'!I783^2)+'BLAZE SHIELD II'!$D$5*'CALCULO MORTERO'!I783+'BLAZE SHIELD II'!$D$6)*LN(J783))+('BLAZE SHIELD II'!$D$7*('CALCULO MORTERO'!I783^2)+'BLAZE SHIELD II'!$D$8*'CALCULO MORTERO'!I783+'BLAZE SHIELD II'!$D$9)),0)+IF(AND(L783="Blaze Shield II",M783="Software Idiem",C783="Cj"),((('BLAZE SHIELD II'!$H$4*('CALCULO MORTERO'!I783^2)+'BLAZE SHIELD II'!$H$5*'CALCULO MORTERO'!I783+'BLAZE SHIELD II'!$H$6)*LN(J783))+('BLAZE SHIELD II'!$H$7*('CALCULO MORTERO'!I783^2)+'BLAZE SHIELD II'!$H$8*'CALCULO MORTERO'!I783+'BLAZE SHIELD II'!$H$9)),0)+IF(AND(L783="Blaze Shield II",M783="Software Idiem",C783="C"),((('BLAZE SHIELD II'!$L$4*('CALCULO MORTERO'!I783^2)+'BLAZE SHIELD II'!$L$5*'CALCULO MORTERO'!I783+'BLAZE SHIELD II'!$L$6)*LN(J783))+('BLAZE SHIELD II'!$L$7*('CALCULO MORTERO'!I783^2)+'BLAZE SHIELD II'!$L$8*'CALCULO MORTERO'!I783+'BLAZE SHIELD II'!$L$9)),0)+IF(AND(L783="Blaze Shield II",M783="Software Idiem",C783="L"),((('BLAZE SHIELD II'!$L$4*('CALCULO MORTERO'!I783^2)+'BLAZE SHIELD II'!$L$5*'CALCULO MORTERO'!I783+'BLAZE SHIELD II'!$L$6)*LN(J783))+('BLAZE SHIELD II'!$L$7*('CALCULO MORTERO'!I783^2)+'BLAZE SHIELD II'!$L$8*'CALCULO MORTERO'!I783+'BLAZE SHIELD II'!$L$9)),0)+IF(AND(L783="Blaze Shield II",M783="Software Idiem",C783="IN",G783=3),((('BLAZE SHIELD II'!$H$14*('CALCULO MORTERO'!I783^2)+'BLAZE SHIELD II'!$H$15*'CALCULO MORTERO'!I783+'BLAZE SHIELD II'!$H$16)*LN(J783))+('BLAZE SHIELD II'!$H$17*('CALCULO MORTERO'!I783^2)+'BLAZE SHIELD II'!$H$18*'CALCULO MORTERO'!I783+'BLAZE SHIELD II'!$H$19)),0),0)+ROUND(IF(AND(L783="Cafco 400",M783="Software Idiem",C783="IN",G783=4),((('CAFCO 400 '!$H$7*(J783^4)+'CAFCO 400 '!$H$8*(J783^3)+'CAFCO 400 '!$H$9*(J783^2)+'CAFCO 400 '!$H$10*J783+'CAFCO 400 '!$H$11)*U783^2)+(('CAFCO 400 '!$H$12*(J783^3)+'CAFCO 400 '!$H$13*(J783^2)+'CAFCO 400 '!$H$14*J783+'CAFCO 400 '!$H$15)*U783)+('CAFCO 400 '!$H$16*(J783^2)+'CAFCO 400 '!$H$17*J783+'CAFCO 400 '!$H$18)),0)+IF(AND(L783="Cafco 400",M783="Software Idiem",C783="Cj"),(((('CAFCO 400 '!$D$7*LN(J783)+'CAFCO 400 '!$D$8)*U783^2)+(('CAFCO 400 '!$D$9*LN(J783)+'CAFCO 400 '!$D$10)*U783)+('CAFCO 400 '!$D$11*LN(J783)+'CAFCO 400 '!$D$12))),0)+IF(AND(L783="Cafco 400",M783="Software Idiem",C783="C"),((('CAFCO 400 '!$L$7*(J783^3)+'CAFCO 400 '!$L$8*(J783^2)+'CAFCO 400 '!$L$9*J783+'CAFCO 400 '!$L$10)*U783^2)+(('CAFCO 400 '!$L$11*(J783^3)+'CAFCO 400 '!$L$12*(J783^2)+'CAFCO 400 '!$L$13*J783+'CAFCO 400 '!$L$14)*U783)+('CAFCO 400 '!$L$15*LN(J783)+'CAFCO 400 '!$L$16)),0)+IF(AND(L783="Cafco 400",M783="Software Idiem",C783="L"),((('CAFCO 400 '!$L$7*(J783^3)+'CAFCO 400 '!$L$8*(J783^2)+'CAFCO 400 '!$L$9*J783+'CAFCO 400 '!$L$10)*U783^2)+(('CAFCO 400 '!$L$11*(J783^3)+'CAFCO 400 '!$L$12*(J783^2)+'CAFCO 400 '!$L$13*J783+'CAFCO 400 '!$L$14)*U783)+('CAFCO 400 '!$L$15*LN(J783)+'CAFCO 400 '!$L$16)),0)+IF(AND(L783="Cafco 400",M783="Software Idiem",C783="IN",G783=3),((('CAFCO 400 '!$D$23*(J783^2)+'CAFCO 400 '!$D$24*(J783)+'CAFCO 400 '!$D$25)*U783^2)+(('CAFCO 400 '!$D$26*(J783^2)+'CAFCO 400 '!$D$27*J783+'CAFCO 400 '!$D$28)*U783)+('CAFCO 400 '!$D$29*(J783^2)+'CAFCO 400 '!$D$30*J783+'CAFCO 400 '!$D$31)),0),0)+IF(AND(L783="Cafco 300",J783&gt;=95,J783&lt;=240,C783="Cj",I783=90),VLOOKUP(T783,'CAFCO 300 IDIEM TABLAS'!$B$4:$D$23,2,FALSE),0)+IF(AND(L783="Cafco 300",J783&gt;=95,J783&lt;=240,C783="Cj",I783=120),VLOOKUP(T783,'CAFCO 300 IDIEM TABLAS'!$B$4:$D$23,3,FALSE),0)+IF(AND(L783="Cafco 300",J783&gt;=95,J783&lt;=400,G783=3,C783="IN",I783=90),VLOOKUP(T783,'CAFCO 300 IDIEM TABLAS'!$F$4:$H$35,2,FALSE),0)+IF(AND(L783="Cafco 300",J783&gt;=95,J783&lt;=400,G783=3,C783="IN",I783=120),VLOOKUP(T783,'CAFCO 300 IDIEM TABLAS'!$F$4:$H$35,3,FALSE),0)+IF(AND(L783="Cafco 300",J783&gt;=95,J783&lt;=450,G783=4,C783="IN",I783=90),VLOOKUP(T783,'CAFCO 300 IDIEM TABLAS'!$J$4:$L$40,2,FALSE),0)+IF(AND(L783="Cafco 300",J783&gt;=95,J783&lt;=450,G783=4,C783="IN",I783=120),VLOOKUP(T783,'CAFCO 300 IDIEM TABLAS'!$J$4:$L$40,3,FALSE),0)+IF(AND(M783="Ensayo Idiem",L783="Cafco 400",C783="IN",G783=4,I783=90),VLOOKUP(T783,'CAFCO 400 ENSAYO'!$B$7:$D$43,2,FALSE),0)+IF(AND(M783="Ensayo Idiem",L783="Cafco 400",C783="IN",G783=4,I783=120),VLOOKUP(T783,'CAFCO 400 ENSAYO'!$B$7:$D$43,3,FALSE),0)</f>
        <v>0</v>
      </c>
      <c r="O783" s="96">
        <f t="shared" si="84"/>
        <v>0</v>
      </c>
      <c r="P783" s="132" t="str">
        <f t="shared" si="79"/>
        <v>N/A</v>
      </c>
      <c r="Q783" s="132" t="str">
        <f t="shared" si="80"/>
        <v>N/A</v>
      </c>
      <c r="R783" s="132" t="str">
        <f t="shared" si="81"/>
        <v>NO CERT.</v>
      </c>
      <c r="S783" s="132" t="e">
        <f t="shared" si="82"/>
        <v>#N/A</v>
      </c>
      <c r="T783" s="133" t="e">
        <f>+IF(J783=LOOKUP(J783,'CAFCO 300 IDIEM TABLAS'!$J$4:$J$40),'CALCULO MORTERO'!J783,MROUND('CALCULO MORTERO'!J783,10))</f>
        <v>#N/A</v>
      </c>
      <c r="U783" s="134">
        <f t="shared" si="83"/>
        <v>0</v>
      </c>
    </row>
    <row r="784" spans="1:21" x14ac:dyDescent="0.25">
      <c r="A784" s="118">
        <f>+CUBICACION!D778</f>
        <v>0</v>
      </c>
      <c r="B784" s="819">
        <f>+CUBICACION!E778</f>
        <v>0</v>
      </c>
      <c r="C784" s="675">
        <f>+CUBICACION!F778</f>
        <v>0</v>
      </c>
      <c r="D784" s="118"/>
      <c r="E784" s="118"/>
      <c r="F784" s="820"/>
      <c r="G784" s="675">
        <f>+CUBICACION!J778</f>
        <v>0</v>
      </c>
      <c r="H784" s="118"/>
      <c r="I784" s="821">
        <f>+CUBICACION!L778</f>
        <v>0</v>
      </c>
      <c r="J784" s="64">
        <f>+CUBICACION!M778</f>
        <v>0</v>
      </c>
      <c r="K784" s="822" t="str">
        <f>+CUBICACION!N778</f>
        <v/>
      </c>
      <c r="L784" s="118">
        <f>+CUBICACION!O778</f>
        <v>0</v>
      </c>
      <c r="M784" s="823">
        <f>+CUBICACION!P778</f>
        <v>0</v>
      </c>
      <c r="N784" s="902">
        <f>ROUND(IF(AND(L784="Blaze Shield II",M784="Software Idiem",C784="IN",G784=4),((('BLAZE SHIELD II'!$D$4*('CALCULO MORTERO'!I784^2)+'BLAZE SHIELD II'!$D$5*'CALCULO MORTERO'!I784+'BLAZE SHIELD II'!$D$6)*LN(J784))+('BLAZE SHIELD II'!$D$7*('CALCULO MORTERO'!I784^2)+'BLAZE SHIELD II'!$D$8*'CALCULO MORTERO'!I784+'BLAZE SHIELD II'!$D$9)),0)+IF(AND(L784="Blaze Shield II",M784="Software Idiem",C784="Cj"),((('BLAZE SHIELD II'!$H$4*('CALCULO MORTERO'!I784^2)+'BLAZE SHIELD II'!$H$5*'CALCULO MORTERO'!I784+'BLAZE SHIELD II'!$H$6)*LN(J784))+('BLAZE SHIELD II'!$H$7*('CALCULO MORTERO'!I784^2)+'BLAZE SHIELD II'!$H$8*'CALCULO MORTERO'!I784+'BLAZE SHIELD II'!$H$9)),0)+IF(AND(L784="Blaze Shield II",M784="Software Idiem",C784="C"),((('BLAZE SHIELD II'!$L$4*('CALCULO MORTERO'!I784^2)+'BLAZE SHIELD II'!$L$5*'CALCULO MORTERO'!I784+'BLAZE SHIELD II'!$L$6)*LN(J784))+('BLAZE SHIELD II'!$L$7*('CALCULO MORTERO'!I784^2)+'BLAZE SHIELD II'!$L$8*'CALCULO MORTERO'!I784+'BLAZE SHIELD II'!$L$9)),0)+IF(AND(L784="Blaze Shield II",M784="Software Idiem",C784="L"),((('BLAZE SHIELD II'!$L$4*('CALCULO MORTERO'!I784^2)+'BLAZE SHIELD II'!$L$5*'CALCULO MORTERO'!I784+'BLAZE SHIELD II'!$L$6)*LN(J784))+('BLAZE SHIELD II'!$L$7*('CALCULO MORTERO'!I784^2)+'BLAZE SHIELD II'!$L$8*'CALCULO MORTERO'!I784+'BLAZE SHIELD II'!$L$9)),0)+IF(AND(L784="Blaze Shield II",M784="Software Idiem",C784="IN",G784=3),((('BLAZE SHIELD II'!$H$14*('CALCULO MORTERO'!I784^2)+'BLAZE SHIELD II'!$H$15*'CALCULO MORTERO'!I784+'BLAZE SHIELD II'!$H$16)*LN(J784))+('BLAZE SHIELD II'!$H$17*('CALCULO MORTERO'!I784^2)+'BLAZE SHIELD II'!$H$18*'CALCULO MORTERO'!I784+'BLAZE SHIELD II'!$H$19)),0),0)+ROUND(IF(AND(L784="Cafco 400",M784="Software Idiem",C784="IN",G784=4),((('CAFCO 400 '!$H$7*(J784^4)+'CAFCO 400 '!$H$8*(J784^3)+'CAFCO 400 '!$H$9*(J784^2)+'CAFCO 400 '!$H$10*J784+'CAFCO 400 '!$H$11)*U784^2)+(('CAFCO 400 '!$H$12*(J784^3)+'CAFCO 400 '!$H$13*(J784^2)+'CAFCO 400 '!$H$14*J784+'CAFCO 400 '!$H$15)*U784)+('CAFCO 400 '!$H$16*(J784^2)+'CAFCO 400 '!$H$17*J784+'CAFCO 400 '!$H$18)),0)+IF(AND(L784="Cafco 400",M784="Software Idiem",C784="Cj"),(((('CAFCO 400 '!$D$7*LN(J784)+'CAFCO 400 '!$D$8)*U784^2)+(('CAFCO 400 '!$D$9*LN(J784)+'CAFCO 400 '!$D$10)*U784)+('CAFCO 400 '!$D$11*LN(J784)+'CAFCO 400 '!$D$12))),0)+IF(AND(L784="Cafco 400",M784="Software Idiem",C784="C"),((('CAFCO 400 '!$L$7*(J784^3)+'CAFCO 400 '!$L$8*(J784^2)+'CAFCO 400 '!$L$9*J784+'CAFCO 400 '!$L$10)*U784^2)+(('CAFCO 400 '!$L$11*(J784^3)+'CAFCO 400 '!$L$12*(J784^2)+'CAFCO 400 '!$L$13*J784+'CAFCO 400 '!$L$14)*U784)+('CAFCO 400 '!$L$15*LN(J784)+'CAFCO 400 '!$L$16)),0)+IF(AND(L784="Cafco 400",M784="Software Idiem",C784="L"),((('CAFCO 400 '!$L$7*(J784^3)+'CAFCO 400 '!$L$8*(J784^2)+'CAFCO 400 '!$L$9*J784+'CAFCO 400 '!$L$10)*U784^2)+(('CAFCO 400 '!$L$11*(J784^3)+'CAFCO 400 '!$L$12*(J784^2)+'CAFCO 400 '!$L$13*J784+'CAFCO 400 '!$L$14)*U784)+('CAFCO 400 '!$L$15*LN(J784)+'CAFCO 400 '!$L$16)),0)+IF(AND(L784="Cafco 400",M784="Software Idiem",C784="IN",G784=3),((('CAFCO 400 '!$D$23*(J784^2)+'CAFCO 400 '!$D$24*(J784)+'CAFCO 400 '!$D$25)*U784^2)+(('CAFCO 400 '!$D$26*(J784^2)+'CAFCO 400 '!$D$27*J784+'CAFCO 400 '!$D$28)*U784)+('CAFCO 400 '!$D$29*(J784^2)+'CAFCO 400 '!$D$30*J784+'CAFCO 400 '!$D$31)),0),0)+IF(AND(L784="Cafco 300",J784&gt;=95,J784&lt;=240,C784="Cj",I784=90),VLOOKUP(T784,'CAFCO 300 IDIEM TABLAS'!$B$4:$D$23,2,FALSE),0)+IF(AND(L784="Cafco 300",J784&gt;=95,J784&lt;=240,C784="Cj",I784=120),VLOOKUP(T784,'CAFCO 300 IDIEM TABLAS'!$B$4:$D$23,3,FALSE),0)+IF(AND(L784="Cafco 300",J784&gt;=95,J784&lt;=400,G784=3,C784="IN",I784=90),VLOOKUP(T784,'CAFCO 300 IDIEM TABLAS'!$F$4:$H$35,2,FALSE),0)+IF(AND(L784="Cafco 300",J784&gt;=95,J784&lt;=400,G784=3,C784="IN",I784=120),VLOOKUP(T784,'CAFCO 300 IDIEM TABLAS'!$F$4:$H$35,3,FALSE),0)+IF(AND(L784="Cafco 300",J784&gt;=95,J784&lt;=450,G784=4,C784="IN",I784=90),VLOOKUP(T784,'CAFCO 300 IDIEM TABLAS'!$J$4:$L$40,2,FALSE),0)+IF(AND(L784="Cafco 300",J784&gt;=95,J784&lt;=450,G784=4,C784="IN",I784=120),VLOOKUP(T784,'CAFCO 300 IDIEM TABLAS'!$J$4:$L$40,3,FALSE),0)+IF(AND(M784="Ensayo Idiem",L784="Cafco 400",C784="IN",G784=4,I784=90),VLOOKUP(T784,'CAFCO 400 ENSAYO'!$B$7:$D$43,2,FALSE),0)+IF(AND(M784="Ensayo Idiem",L784="Cafco 400",C784="IN",G784=4,I784=120),VLOOKUP(T784,'CAFCO 400 ENSAYO'!$B$7:$D$43,3,FALSE),0)</f>
        <v>0</v>
      </c>
      <c r="O784" s="96">
        <f t="shared" si="84"/>
        <v>0</v>
      </c>
      <c r="P784" s="95" t="str">
        <f t="shared" si="79"/>
        <v>N/A</v>
      </c>
      <c r="Q784" s="95" t="str">
        <f t="shared" si="80"/>
        <v>N/A</v>
      </c>
      <c r="R784" s="95" t="str">
        <f t="shared" si="81"/>
        <v>NO CERT.</v>
      </c>
      <c r="S784" s="95" t="e">
        <f t="shared" si="82"/>
        <v>#N/A</v>
      </c>
      <c r="T784" s="119" t="e">
        <f>+IF(J784=LOOKUP(J784,'CAFCO 300 IDIEM TABLAS'!$J$4:$J$40),'CALCULO MORTERO'!J784,MROUND('CALCULO MORTERO'!J784,10))</f>
        <v>#N/A</v>
      </c>
      <c r="U784" s="118">
        <f t="shared" si="83"/>
        <v>0</v>
      </c>
    </row>
    <row r="785" spans="1:21" x14ac:dyDescent="0.25">
      <c r="A785" s="118">
        <f>+CUBICACION!D779</f>
        <v>0</v>
      </c>
      <c r="B785" s="819">
        <f>+CUBICACION!E779</f>
        <v>0</v>
      </c>
      <c r="C785" s="675">
        <f>+CUBICACION!F779</f>
        <v>0</v>
      </c>
      <c r="D785" s="118"/>
      <c r="E785" s="118"/>
      <c r="F785" s="820"/>
      <c r="G785" s="675">
        <f>+CUBICACION!J779</f>
        <v>0</v>
      </c>
      <c r="H785" s="118"/>
      <c r="I785" s="821">
        <f>+CUBICACION!L779</f>
        <v>0</v>
      </c>
      <c r="J785" s="64">
        <f>+CUBICACION!M779</f>
        <v>0</v>
      </c>
      <c r="K785" s="822" t="str">
        <f>+CUBICACION!N779</f>
        <v/>
      </c>
      <c r="L785" s="118">
        <f>+CUBICACION!O779</f>
        <v>0</v>
      </c>
      <c r="M785" s="823">
        <f>+CUBICACION!P779</f>
        <v>0</v>
      </c>
      <c r="N785" s="902">
        <f>ROUND(IF(AND(L785="Blaze Shield II",M785="Software Idiem",C785="IN",G785=4),((('BLAZE SHIELD II'!$D$4*('CALCULO MORTERO'!I785^2)+'BLAZE SHIELD II'!$D$5*'CALCULO MORTERO'!I785+'BLAZE SHIELD II'!$D$6)*LN(J785))+('BLAZE SHIELD II'!$D$7*('CALCULO MORTERO'!I785^2)+'BLAZE SHIELD II'!$D$8*'CALCULO MORTERO'!I785+'BLAZE SHIELD II'!$D$9)),0)+IF(AND(L785="Blaze Shield II",M785="Software Idiem",C785="Cj"),((('BLAZE SHIELD II'!$H$4*('CALCULO MORTERO'!I785^2)+'BLAZE SHIELD II'!$H$5*'CALCULO MORTERO'!I785+'BLAZE SHIELD II'!$H$6)*LN(J785))+('BLAZE SHIELD II'!$H$7*('CALCULO MORTERO'!I785^2)+'BLAZE SHIELD II'!$H$8*'CALCULO MORTERO'!I785+'BLAZE SHIELD II'!$H$9)),0)+IF(AND(L785="Blaze Shield II",M785="Software Idiem",C785="C"),((('BLAZE SHIELD II'!$L$4*('CALCULO MORTERO'!I785^2)+'BLAZE SHIELD II'!$L$5*'CALCULO MORTERO'!I785+'BLAZE SHIELD II'!$L$6)*LN(J785))+('BLAZE SHIELD II'!$L$7*('CALCULO MORTERO'!I785^2)+'BLAZE SHIELD II'!$L$8*'CALCULO MORTERO'!I785+'BLAZE SHIELD II'!$L$9)),0)+IF(AND(L785="Blaze Shield II",M785="Software Idiem",C785="L"),((('BLAZE SHIELD II'!$L$4*('CALCULO MORTERO'!I785^2)+'BLAZE SHIELD II'!$L$5*'CALCULO MORTERO'!I785+'BLAZE SHIELD II'!$L$6)*LN(J785))+('BLAZE SHIELD II'!$L$7*('CALCULO MORTERO'!I785^2)+'BLAZE SHIELD II'!$L$8*'CALCULO MORTERO'!I785+'BLAZE SHIELD II'!$L$9)),0)+IF(AND(L785="Blaze Shield II",M785="Software Idiem",C785="IN",G785=3),((('BLAZE SHIELD II'!$H$14*('CALCULO MORTERO'!I785^2)+'BLAZE SHIELD II'!$H$15*'CALCULO MORTERO'!I785+'BLAZE SHIELD II'!$H$16)*LN(J785))+('BLAZE SHIELD II'!$H$17*('CALCULO MORTERO'!I785^2)+'BLAZE SHIELD II'!$H$18*'CALCULO MORTERO'!I785+'BLAZE SHIELD II'!$H$19)),0),0)+ROUND(IF(AND(L785="Cafco 400",M785="Software Idiem",C785="IN",G785=4),((('CAFCO 400 '!$H$7*(J785^4)+'CAFCO 400 '!$H$8*(J785^3)+'CAFCO 400 '!$H$9*(J785^2)+'CAFCO 400 '!$H$10*J785+'CAFCO 400 '!$H$11)*U785^2)+(('CAFCO 400 '!$H$12*(J785^3)+'CAFCO 400 '!$H$13*(J785^2)+'CAFCO 400 '!$H$14*J785+'CAFCO 400 '!$H$15)*U785)+('CAFCO 400 '!$H$16*(J785^2)+'CAFCO 400 '!$H$17*J785+'CAFCO 400 '!$H$18)),0)+IF(AND(L785="Cafco 400",M785="Software Idiem",C785="Cj"),(((('CAFCO 400 '!$D$7*LN(J785)+'CAFCO 400 '!$D$8)*U785^2)+(('CAFCO 400 '!$D$9*LN(J785)+'CAFCO 400 '!$D$10)*U785)+('CAFCO 400 '!$D$11*LN(J785)+'CAFCO 400 '!$D$12))),0)+IF(AND(L785="Cafco 400",M785="Software Idiem",C785="C"),((('CAFCO 400 '!$L$7*(J785^3)+'CAFCO 400 '!$L$8*(J785^2)+'CAFCO 400 '!$L$9*J785+'CAFCO 400 '!$L$10)*U785^2)+(('CAFCO 400 '!$L$11*(J785^3)+'CAFCO 400 '!$L$12*(J785^2)+'CAFCO 400 '!$L$13*J785+'CAFCO 400 '!$L$14)*U785)+('CAFCO 400 '!$L$15*LN(J785)+'CAFCO 400 '!$L$16)),0)+IF(AND(L785="Cafco 400",M785="Software Idiem",C785="L"),((('CAFCO 400 '!$L$7*(J785^3)+'CAFCO 400 '!$L$8*(J785^2)+'CAFCO 400 '!$L$9*J785+'CAFCO 400 '!$L$10)*U785^2)+(('CAFCO 400 '!$L$11*(J785^3)+'CAFCO 400 '!$L$12*(J785^2)+'CAFCO 400 '!$L$13*J785+'CAFCO 400 '!$L$14)*U785)+('CAFCO 400 '!$L$15*LN(J785)+'CAFCO 400 '!$L$16)),0)+IF(AND(L785="Cafco 400",M785="Software Idiem",C785="IN",G785=3),((('CAFCO 400 '!$D$23*(J785^2)+'CAFCO 400 '!$D$24*(J785)+'CAFCO 400 '!$D$25)*U785^2)+(('CAFCO 400 '!$D$26*(J785^2)+'CAFCO 400 '!$D$27*J785+'CAFCO 400 '!$D$28)*U785)+('CAFCO 400 '!$D$29*(J785^2)+'CAFCO 400 '!$D$30*J785+'CAFCO 400 '!$D$31)),0),0)+IF(AND(L785="Cafco 300",J785&gt;=95,J785&lt;=240,C785="Cj",I785=90),VLOOKUP(T785,'CAFCO 300 IDIEM TABLAS'!$B$4:$D$23,2,FALSE),0)+IF(AND(L785="Cafco 300",J785&gt;=95,J785&lt;=240,C785="Cj",I785=120),VLOOKUP(T785,'CAFCO 300 IDIEM TABLAS'!$B$4:$D$23,3,FALSE),0)+IF(AND(L785="Cafco 300",J785&gt;=95,J785&lt;=400,G785=3,C785="IN",I785=90),VLOOKUP(T785,'CAFCO 300 IDIEM TABLAS'!$F$4:$H$35,2,FALSE),0)+IF(AND(L785="Cafco 300",J785&gt;=95,J785&lt;=400,G785=3,C785="IN",I785=120),VLOOKUP(T785,'CAFCO 300 IDIEM TABLAS'!$F$4:$H$35,3,FALSE),0)+IF(AND(L785="Cafco 300",J785&gt;=95,J785&lt;=450,G785=4,C785="IN",I785=90),VLOOKUP(T785,'CAFCO 300 IDIEM TABLAS'!$J$4:$L$40,2,FALSE),0)+IF(AND(L785="Cafco 300",J785&gt;=95,J785&lt;=450,G785=4,C785="IN",I785=120),VLOOKUP(T785,'CAFCO 300 IDIEM TABLAS'!$J$4:$L$40,3,FALSE),0)+IF(AND(M785="Ensayo Idiem",L785="Cafco 400",C785="IN",G785=4,I785=90),VLOOKUP(T785,'CAFCO 400 ENSAYO'!$B$7:$D$43,2,FALSE),0)+IF(AND(M785="Ensayo Idiem",L785="Cafco 400",C785="IN",G785=4,I785=120),VLOOKUP(T785,'CAFCO 400 ENSAYO'!$B$7:$D$43,3,FALSE),0)</f>
        <v>0</v>
      </c>
      <c r="O785" s="96">
        <f t="shared" si="84"/>
        <v>0</v>
      </c>
      <c r="P785" s="132" t="str">
        <f t="shared" si="79"/>
        <v>N/A</v>
      </c>
      <c r="Q785" s="132" t="str">
        <f t="shared" si="80"/>
        <v>N/A</v>
      </c>
      <c r="R785" s="132" t="str">
        <f t="shared" si="81"/>
        <v>NO CERT.</v>
      </c>
      <c r="S785" s="132" t="e">
        <f t="shared" si="82"/>
        <v>#N/A</v>
      </c>
      <c r="T785" s="133" t="e">
        <f>+IF(J785=LOOKUP(J785,'CAFCO 300 IDIEM TABLAS'!$J$4:$J$40),'CALCULO MORTERO'!J785,MROUND('CALCULO MORTERO'!J785,10))</f>
        <v>#N/A</v>
      </c>
      <c r="U785" s="134">
        <f t="shared" si="83"/>
        <v>0</v>
      </c>
    </row>
    <row r="786" spans="1:21" x14ac:dyDescent="0.25">
      <c r="A786" s="118">
        <f>+CUBICACION!D780</f>
        <v>0</v>
      </c>
      <c r="B786" s="819">
        <f>+CUBICACION!E780</f>
        <v>0</v>
      </c>
      <c r="C786" s="675">
        <f>+CUBICACION!F780</f>
        <v>0</v>
      </c>
      <c r="D786" s="118"/>
      <c r="E786" s="118"/>
      <c r="F786" s="820"/>
      <c r="G786" s="675">
        <f>+CUBICACION!J780</f>
        <v>0</v>
      </c>
      <c r="H786" s="118"/>
      <c r="I786" s="821">
        <f>+CUBICACION!L780</f>
        <v>0</v>
      </c>
      <c r="J786" s="64">
        <f>+CUBICACION!M780</f>
        <v>0</v>
      </c>
      <c r="K786" s="822" t="str">
        <f>+CUBICACION!N780</f>
        <v/>
      </c>
      <c r="L786" s="118">
        <f>+CUBICACION!O780</f>
        <v>0</v>
      </c>
      <c r="M786" s="823">
        <f>+CUBICACION!P780</f>
        <v>0</v>
      </c>
      <c r="N786" s="902">
        <f>ROUND(IF(AND(L786="Blaze Shield II",M786="Software Idiem",C786="IN",G786=4),((('BLAZE SHIELD II'!$D$4*('CALCULO MORTERO'!I786^2)+'BLAZE SHIELD II'!$D$5*'CALCULO MORTERO'!I786+'BLAZE SHIELD II'!$D$6)*LN(J786))+('BLAZE SHIELD II'!$D$7*('CALCULO MORTERO'!I786^2)+'BLAZE SHIELD II'!$D$8*'CALCULO MORTERO'!I786+'BLAZE SHIELD II'!$D$9)),0)+IF(AND(L786="Blaze Shield II",M786="Software Idiem",C786="Cj"),((('BLAZE SHIELD II'!$H$4*('CALCULO MORTERO'!I786^2)+'BLAZE SHIELD II'!$H$5*'CALCULO MORTERO'!I786+'BLAZE SHIELD II'!$H$6)*LN(J786))+('BLAZE SHIELD II'!$H$7*('CALCULO MORTERO'!I786^2)+'BLAZE SHIELD II'!$H$8*'CALCULO MORTERO'!I786+'BLAZE SHIELD II'!$H$9)),0)+IF(AND(L786="Blaze Shield II",M786="Software Idiem",C786="C"),((('BLAZE SHIELD II'!$L$4*('CALCULO MORTERO'!I786^2)+'BLAZE SHIELD II'!$L$5*'CALCULO MORTERO'!I786+'BLAZE SHIELD II'!$L$6)*LN(J786))+('BLAZE SHIELD II'!$L$7*('CALCULO MORTERO'!I786^2)+'BLAZE SHIELD II'!$L$8*'CALCULO MORTERO'!I786+'BLAZE SHIELD II'!$L$9)),0)+IF(AND(L786="Blaze Shield II",M786="Software Idiem",C786="L"),((('BLAZE SHIELD II'!$L$4*('CALCULO MORTERO'!I786^2)+'BLAZE SHIELD II'!$L$5*'CALCULO MORTERO'!I786+'BLAZE SHIELD II'!$L$6)*LN(J786))+('BLAZE SHIELD II'!$L$7*('CALCULO MORTERO'!I786^2)+'BLAZE SHIELD II'!$L$8*'CALCULO MORTERO'!I786+'BLAZE SHIELD II'!$L$9)),0)+IF(AND(L786="Blaze Shield II",M786="Software Idiem",C786="IN",G786=3),((('BLAZE SHIELD II'!$H$14*('CALCULO MORTERO'!I786^2)+'BLAZE SHIELD II'!$H$15*'CALCULO MORTERO'!I786+'BLAZE SHIELD II'!$H$16)*LN(J786))+('BLAZE SHIELD II'!$H$17*('CALCULO MORTERO'!I786^2)+'BLAZE SHIELD II'!$H$18*'CALCULO MORTERO'!I786+'BLAZE SHIELD II'!$H$19)),0),0)+ROUND(IF(AND(L786="Cafco 400",M786="Software Idiem",C786="IN",G786=4),((('CAFCO 400 '!$H$7*(J786^4)+'CAFCO 400 '!$H$8*(J786^3)+'CAFCO 400 '!$H$9*(J786^2)+'CAFCO 400 '!$H$10*J786+'CAFCO 400 '!$H$11)*U786^2)+(('CAFCO 400 '!$H$12*(J786^3)+'CAFCO 400 '!$H$13*(J786^2)+'CAFCO 400 '!$H$14*J786+'CAFCO 400 '!$H$15)*U786)+('CAFCO 400 '!$H$16*(J786^2)+'CAFCO 400 '!$H$17*J786+'CAFCO 400 '!$H$18)),0)+IF(AND(L786="Cafco 400",M786="Software Idiem",C786="Cj"),(((('CAFCO 400 '!$D$7*LN(J786)+'CAFCO 400 '!$D$8)*U786^2)+(('CAFCO 400 '!$D$9*LN(J786)+'CAFCO 400 '!$D$10)*U786)+('CAFCO 400 '!$D$11*LN(J786)+'CAFCO 400 '!$D$12))),0)+IF(AND(L786="Cafco 400",M786="Software Idiem",C786="C"),((('CAFCO 400 '!$L$7*(J786^3)+'CAFCO 400 '!$L$8*(J786^2)+'CAFCO 400 '!$L$9*J786+'CAFCO 400 '!$L$10)*U786^2)+(('CAFCO 400 '!$L$11*(J786^3)+'CAFCO 400 '!$L$12*(J786^2)+'CAFCO 400 '!$L$13*J786+'CAFCO 400 '!$L$14)*U786)+('CAFCO 400 '!$L$15*LN(J786)+'CAFCO 400 '!$L$16)),0)+IF(AND(L786="Cafco 400",M786="Software Idiem",C786="L"),((('CAFCO 400 '!$L$7*(J786^3)+'CAFCO 400 '!$L$8*(J786^2)+'CAFCO 400 '!$L$9*J786+'CAFCO 400 '!$L$10)*U786^2)+(('CAFCO 400 '!$L$11*(J786^3)+'CAFCO 400 '!$L$12*(J786^2)+'CAFCO 400 '!$L$13*J786+'CAFCO 400 '!$L$14)*U786)+('CAFCO 400 '!$L$15*LN(J786)+'CAFCO 400 '!$L$16)),0)+IF(AND(L786="Cafco 400",M786="Software Idiem",C786="IN",G786=3),((('CAFCO 400 '!$D$23*(J786^2)+'CAFCO 400 '!$D$24*(J786)+'CAFCO 400 '!$D$25)*U786^2)+(('CAFCO 400 '!$D$26*(J786^2)+'CAFCO 400 '!$D$27*J786+'CAFCO 400 '!$D$28)*U786)+('CAFCO 400 '!$D$29*(J786^2)+'CAFCO 400 '!$D$30*J786+'CAFCO 400 '!$D$31)),0),0)+IF(AND(L786="Cafco 300",J786&gt;=95,J786&lt;=240,C786="Cj",I786=90),VLOOKUP(T786,'CAFCO 300 IDIEM TABLAS'!$B$4:$D$23,2,FALSE),0)+IF(AND(L786="Cafco 300",J786&gt;=95,J786&lt;=240,C786="Cj",I786=120),VLOOKUP(T786,'CAFCO 300 IDIEM TABLAS'!$B$4:$D$23,3,FALSE),0)+IF(AND(L786="Cafco 300",J786&gt;=95,J786&lt;=400,G786=3,C786="IN",I786=90),VLOOKUP(T786,'CAFCO 300 IDIEM TABLAS'!$F$4:$H$35,2,FALSE),0)+IF(AND(L786="Cafco 300",J786&gt;=95,J786&lt;=400,G786=3,C786="IN",I786=120),VLOOKUP(T786,'CAFCO 300 IDIEM TABLAS'!$F$4:$H$35,3,FALSE),0)+IF(AND(L786="Cafco 300",J786&gt;=95,J786&lt;=450,G786=4,C786="IN",I786=90),VLOOKUP(T786,'CAFCO 300 IDIEM TABLAS'!$J$4:$L$40,2,FALSE),0)+IF(AND(L786="Cafco 300",J786&gt;=95,J786&lt;=450,G786=4,C786="IN",I786=120),VLOOKUP(T786,'CAFCO 300 IDIEM TABLAS'!$J$4:$L$40,3,FALSE),0)+IF(AND(M786="Ensayo Idiem",L786="Cafco 400",C786="IN",G786=4,I786=90),VLOOKUP(T786,'CAFCO 400 ENSAYO'!$B$7:$D$43,2,FALSE),0)+IF(AND(M786="Ensayo Idiem",L786="Cafco 400",C786="IN",G786=4,I786=120),VLOOKUP(T786,'CAFCO 400 ENSAYO'!$B$7:$D$43,3,FALSE),0)</f>
        <v>0</v>
      </c>
      <c r="O786" s="96">
        <f t="shared" si="84"/>
        <v>0</v>
      </c>
      <c r="P786" s="95" t="str">
        <f t="shared" si="79"/>
        <v>N/A</v>
      </c>
      <c r="Q786" s="95" t="str">
        <f t="shared" si="80"/>
        <v>N/A</v>
      </c>
      <c r="R786" s="95" t="str">
        <f t="shared" si="81"/>
        <v>NO CERT.</v>
      </c>
      <c r="S786" s="95" t="e">
        <f t="shared" si="82"/>
        <v>#N/A</v>
      </c>
      <c r="T786" s="119" t="e">
        <f>+IF(J786=LOOKUP(J786,'CAFCO 300 IDIEM TABLAS'!$J$4:$J$40),'CALCULO MORTERO'!J786,MROUND('CALCULO MORTERO'!J786,10))</f>
        <v>#N/A</v>
      </c>
      <c r="U786" s="118">
        <f t="shared" si="83"/>
        <v>0</v>
      </c>
    </row>
    <row r="787" spans="1:21" x14ac:dyDescent="0.25">
      <c r="A787" s="118">
        <f>+CUBICACION!D781</f>
        <v>0</v>
      </c>
      <c r="B787" s="819">
        <f>+CUBICACION!E781</f>
        <v>0</v>
      </c>
      <c r="C787" s="675">
        <f>+CUBICACION!F781</f>
        <v>0</v>
      </c>
      <c r="D787" s="118"/>
      <c r="E787" s="118"/>
      <c r="F787" s="820"/>
      <c r="G787" s="675">
        <f>+CUBICACION!J781</f>
        <v>0</v>
      </c>
      <c r="H787" s="118"/>
      <c r="I787" s="821">
        <f>+CUBICACION!L781</f>
        <v>0</v>
      </c>
      <c r="J787" s="64">
        <f>+CUBICACION!M781</f>
        <v>0</v>
      </c>
      <c r="K787" s="822" t="str">
        <f>+CUBICACION!N781</f>
        <v/>
      </c>
      <c r="L787" s="118">
        <f>+CUBICACION!O781</f>
        <v>0</v>
      </c>
      <c r="M787" s="823">
        <f>+CUBICACION!P781</f>
        <v>0</v>
      </c>
      <c r="N787" s="902">
        <f>ROUND(IF(AND(L787="Blaze Shield II",M787="Software Idiem",C787="IN",G787=4),((('BLAZE SHIELD II'!$D$4*('CALCULO MORTERO'!I787^2)+'BLAZE SHIELD II'!$D$5*'CALCULO MORTERO'!I787+'BLAZE SHIELD II'!$D$6)*LN(J787))+('BLAZE SHIELD II'!$D$7*('CALCULO MORTERO'!I787^2)+'BLAZE SHIELD II'!$D$8*'CALCULO MORTERO'!I787+'BLAZE SHIELD II'!$D$9)),0)+IF(AND(L787="Blaze Shield II",M787="Software Idiem",C787="Cj"),((('BLAZE SHIELD II'!$H$4*('CALCULO MORTERO'!I787^2)+'BLAZE SHIELD II'!$H$5*'CALCULO MORTERO'!I787+'BLAZE SHIELD II'!$H$6)*LN(J787))+('BLAZE SHIELD II'!$H$7*('CALCULO MORTERO'!I787^2)+'BLAZE SHIELD II'!$H$8*'CALCULO MORTERO'!I787+'BLAZE SHIELD II'!$H$9)),0)+IF(AND(L787="Blaze Shield II",M787="Software Idiem",C787="C"),((('BLAZE SHIELD II'!$L$4*('CALCULO MORTERO'!I787^2)+'BLAZE SHIELD II'!$L$5*'CALCULO MORTERO'!I787+'BLAZE SHIELD II'!$L$6)*LN(J787))+('BLAZE SHIELD II'!$L$7*('CALCULO MORTERO'!I787^2)+'BLAZE SHIELD II'!$L$8*'CALCULO MORTERO'!I787+'BLAZE SHIELD II'!$L$9)),0)+IF(AND(L787="Blaze Shield II",M787="Software Idiem",C787="L"),((('BLAZE SHIELD II'!$L$4*('CALCULO MORTERO'!I787^2)+'BLAZE SHIELD II'!$L$5*'CALCULO MORTERO'!I787+'BLAZE SHIELD II'!$L$6)*LN(J787))+('BLAZE SHIELD II'!$L$7*('CALCULO MORTERO'!I787^2)+'BLAZE SHIELD II'!$L$8*'CALCULO MORTERO'!I787+'BLAZE SHIELD II'!$L$9)),0)+IF(AND(L787="Blaze Shield II",M787="Software Idiem",C787="IN",G787=3),((('BLAZE SHIELD II'!$H$14*('CALCULO MORTERO'!I787^2)+'BLAZE SHIELD II'!$H$15*'CALCULO MORTERO'!I787+'BLAZE SHIELD II'!$H$16)*LN(J787))+('BLAZE SHIELD II'!$H$17*('CALCULO MORTERO'!I787^2)+'BLAZE SHIELD II'!$H$18*'CALCULO MORTERO'!I787+'BLAZE SHIELD II'!$H$19)),0),0)+ROUND(IF(AND(L787="Cafco 400",M787="Software Idiem",C787="IN",G787=4),((('CAFCO 400 '!$H$7*(J787^4)+'CAFCO 400 '!$H$8*(J787^3)+'CAFCO 400 '!$H$9*(J787^2)+'CAFCO 400 '!$H$10*J787+'CAFCO 400 '!$H$11)*U787^2)+(('CAFCO 400 '!$H$12*(J787^3)+'CAFCO 400 '!$H$13*(J787^2)+'CAFCO 400 '!$H$14*J787+'CAFCO 400 '!$H$15)*U787)+('CAFCO 400 '!$H$16*(J787^2)+'CAFCO 400 '!$H$17*J787+'CAFCO 400 '!$H$18)),0)+IF(AND(L787="Cafco 400",M787="Software Idiem",C787="Cj"),(((('CAFCO 400 '!$D$7*LN(J787)+'CAFCO 400 '!$D$8)*U787^2)+(('CAFCO 400 '!$D$9*LN(J787)+'CAFCO 400 '!$D$10)*U787)+('CAFCO 400 '!$D$11*LN(J787)+'CAFCO 400 '!$D$12))),0)+IF(AND(L787="Cafco 400",M787="Software Idiem",C787="C"),((('CAFCO 400 '!$L$7*(J787^3)+'CAFCO 400 '!$L$8*(J787^2)+'CAFCO 400 '!$L$9*J787+'CAFCO 400 '!$L$10)*U787^2)+(('CAFCO 400 '!$L$11*(J787^3)+'CAFCO 400 '!$L$12*(J787^2)+'CAFCO 400 '!$L$13*J787+'CAFCO 400 '!$L$14)*U787)+('CAFCO 400 '!$L$15*LN(J787)+'CAFCO 400 '!$L$16)),0)+IF(AND(L787="Cafco 400",M787="Software Idiem",C787="L"),((('CAFCO 400 '!$L$7*(J787^3)+'CAFCO 400 '!$L$8*(J787^2)+'CAFCO 400 '!$L$9*J787+'CAFCO 400 '!$L$10)*U787^2)+(('CAFCO 400 '!$L$11*(J787^3)+'CAFCO 400 '!$L$12*(J787^2)+'CAFCO 400 '!$L$13*J787+'CAFCO 400 '!$L$14)*U787)+('CAFCO 400 '!$L$15*LN(J787)+'CAFCO 400 '!$L$16)),0)+IF(AND(L787="Cafco 400",M787="Software Idiem",C787="IN",G787=3),((('CAFCO 400 '!$D$23*(J787^2)+'CAFCO 400 '!$D$24*(J787)+'CAFCO 400 '!$D$25)*U787^2)+(('CAFCO 400 '!$D$26*(J787^2)+'CAFCO 400 '!$D$27*J787+'CAFCO 400 '!$D$28)*U787)+('CAFCO 400 '!$D$29*(J787^2)+'CAFCO 400 '!$D$30*J787+'CAFCO 400 '!$D$31)),0),0)+IF(AND(L787="Cafco 300",J787&gt;=95,J787&lt;=240,C787="Cj",I787=90),VLOOKUP(T787,'CAFCO 300 IDIEM TABLAS'!$B$4:$D$23,2,FALSE),0)+IF(AND(L787="Cafco 300",J787&gt;=95,J787&lt;=240,C787="Cj",I787=120),VLOOKUP(T787,'CAFCO 300 IDIEM TABLAS'!$B$4:$D$23,3,FALSE),0)+IF(AND(L787="Cafco 300",J787&gt;=95,J787&lt;=400,G787=3,C787="IN",I787=90),VLOOKUP(T787,'CAFCO 300 IDIEM TABLAS'!$F$4:$H$35,2,FALSE),0)+IF(AND(L787="Cafco 300",J787&gt;=95,J787&lt;=400,G787=3,C787="IN",I787=120),VLOOKUP(T787,'CAFCO 300 IDIEM TABLAS'!$F$4:$H$35,3,FALSE),0)+IF(AND(L787="Cafco 300",J787&gt;=95,J787&lt;=450,G787=4,C787="IN",I787=90),VLOOKUP(T787,'CAFCO 300 IDIEM TABLAS'!$J$4:$L$40,2,FALSE),0)+IF(AND(L787="Cafco 300",J787&gt;=95,J787&lt;=450,G787=4,C787="IN",I787=120),VLOOKUP(T787,'CAFCO 300 IDIEM TABLAS'!$J$4:$L$40,3,FALSE),0)+IF(AND(M787="Ensayo Idiem",L787="Cafco 400",C787="IN",G787=4,I787=90),VLOOKUP(T787,'CAFCO 400 ENSAYO'!$B$7:$D$43,2,FALSE),0)+IF(AND(M787="Ensayo Idiem",L787="Cafco 400",C787="IN",G787=4,I787=120),VLOOKUP(T787,'CAFCO 400 ENSAYO'!$B$7:$D$43,3,FALSE),0)</f>
        <v>0</v>
      </c>
      <c r="O787" s="96">
        <f t="shared" si="84"/>
        <v>0</v>
      </c>
      <c r="P787" s="132" t="str">
        <f t="shared" si="79"/>
        <v>N/A</v>
      </c>
      <c r="Q787" s="132" t="str">
        <f t="shared" si="80"/>
        <v>N/A</v>
      </c>
      <c r="R787" s="132" t="str">
        <f t="shared" si="81"/>
        <v>NO CERT.</v>
      </c>
      <c r="S787" s="132" t="e">
        <f t="shared" si="82"/>
        <v>#N/A</v>
      </c>
      <c r="T787" s="133" t="e">
        <f>+IF(J787=LOOKUP(J787,'CAFCO 300 IDIEM TABLAS'!$J$4:$J$40),'CALCULO MORTERO'!J787,MROUND('CALCULO MORTERO'!J787,10))</f>
        <v>#N/A</v>
      </c>
      <c r="U787" s="134">
        <f t="shared" si="83"/>
        <v>0</v>
      </c>
    </row>
    <row r="788" spans="1:21" x14ac:dyDescent="0.25">
      <c r="A788" s="118">
        <f>+CUBICACION!D782</f>
        <v>0</v>
      </c>
      <c r="B788" s="819">
        <f>+CUBICACION!E782</f>
        <v>0</v>
      </c>
      <c r="C788" s="675">
        <f>+CUBICACION!F782</f>
        <v>0</v>
      </c>
      <c r="D788" s="118"/>
      <c r="E788" s="118"/>
      <c r="F788" s="820"/>
      <c r="G788" s="675">
        <f>+CUBICACION!J782</f>
        <v>0</v>
      </c>
      <c r="H788" s="118"/>
      <c r="I788" s="821">
        <f>+CUBICACION!L782</f>
        <v>0</v>
      </c>
      <c r="J788" s="64">
        <f>+CUBICACION!M782</f>
        <v>0</v>
      </c>
      <c r="K788" s="822" t="str">
        <f>+CUBICACION!N782</f>
        <v/>
      </c>
      <c r="L788" s="118">
        <f>+CUBICACION!O782</f>
        <v>0</v>
      </c>
      <c r="M788" s="823">
        <f>+CUBICACION!P782</f>
        <v>0</v>
      </c>
      <c r="N788" s="902">
        <f>ROUND(IF(AND(L788="Blaze Shield II",M788="Software Idiem",C788="IN",G788=4),((('BLAZE SHIELD II'!$D$4*('CALCULO MORTERO'!I788^2)+'BLAZE SHIELD II'!$D$5*'CALCULO MORTERO'!I788+'BLAZE SHIELD II'!$D$6)*LN(J788))+('BLAZE SHIELD II'!$D$7*('CALCULO MORTERO'!I788^2)+'BLAZE SHIELD II'!$D$8*'CALCULO MORTERO'!I788+'BLAZE SHIELD II'!$D$9)),0)+IF(AND(L788="Blaze Shield II",M788="Software Idiem",C788="Cj"),((('BLAZE SHIELD II'!$H$4*('CALCULO MORTERO'!I788^2)+'BLAZE SHIELD II'!$H$5*'CALCULO MORTERO'!I788+'BLAZE SHIELD II'!$H$6)*LN(J788))+('BLAZE SHIELD II'!$H$7*('CALCULO MORTERO'!I788^2)+'BLAZE SHIELD II'!$H$8*'CALCULO MORTERO'!I788+'BLAZE SHIELD II'!$H$9)),0)+IF(AND(L788="Blaze Shield II",M788="Software Idiem",C788="C"),((('BLAZE SHIELD II'!$L$4*('CALCULO MORTERO'!I788^2)+'BLAZE SHIELD II'!$L$5*'CALCULO MORTERO'!I788+'BLAZE SHIELD II'!$L$6)*LN(J788))+('BLAZE SHIELD II'!$L$7*('CALCULO MORTERO'!I788^2)+'BLAZE SHIELD II'!$L$8*'CALCULO MORTERO'!I788+'BLAZE SHIELD II'!$L$9)),0)+IF(AND(L788="Blaze Shield II",M788="Software Idiem",C788="L"),((('BLAZE SHIELD II'!$L$4*('CALCULO MORTERO'!I788^2)+'BLAZE SHIELD II'!$L$5*'CALCULO MORTERO'!I788+'BLAZE SHIELD II'!$L$6)*LN(J788))+('BLAZE SHIELD II'!$L$7*('CALCULO MORTERO'!I788^2)+'BLAZE SHIELD II'!$L$8*'CALCULO MORTERO'!I788+'BLAZE SHIELD II'!$L$9)),0)+IF(AND(L788="Blaze Shield II",M788="Software Idiem",C788="IN",G788=3),((('BLAZE SHIELD II'!$H$14*('CALCULO MORTERO'!I788^2)+'BLAZE SHIELD II'!$H$15*'CALCULO MORTERO'!I788+'BLAZE SHIELD II'!$H$16)*LN(J788))+('BLAZE SHIELD II'!$H$17*('CALCULO MORTERO'!I788^2)+'BLAZE SHIELD II'!$H$18*'CALCULO MORTERO'!I788+'BLAZE SHIELD II'!$H$19)),0),0)+ROUND(IF(AND(L788="Cafco 400",M788="Software Idiem",C788="IN",G788=4),((('CAFCO 400 '!$H$7*(J788^4)+'CAFCO 400 '!$H$8*(J788^3)+'CAFCO 400 '!$H$9*(J788^2)+'CAFCO 400 '!$H$10*J788+'CAFCO 400 '!$H$11)*U788^2)+(('CAFCO 400 '!$H$12*(J788^3)+'CAFCO 400 '!$H$13*(J788^2)+'CAFCO 400 '!$H$14*J788+'CAFCO 400 '!$H$15)*U788)+('CAFCO 400 '!$H$16*(J788^2)+'CAFCO 400 '!$H$17*J788+'CAFCO 400 '!$H$18)),0)+IF(AND(L788="Cafco 400",M788="Software Idiem",C788="Cj"),(((('CAFCO 400 '!$D$7*LN(J788)+'CAFCO 400 '!$D$8)*U788^2)+(('CAFCO 400 '!$D$9*LN(J788)+'CAFCO 400 '!$D$10)*U788)+('CAFCO 400 '!$D$11*LN(J788)+'CAFCO 400 '!$D$12))),0)+IF(AND(L788="Cafco 400",M788="Software Idiem",C788="C"),((('CAFCO 400 '!$L$7*(J788^3)+'CAFCO 400 '!$L$8*(J788^2)+'CAFCO 400 '!$L$9*J788+'CAFCO 400 '!$L$10)*U788^2)+(('CAFCO 400 '!$L$11*(J788^3)+'CAFCO 400 '!$L$12*(J788^2)+'CAFCO 400 '!$L$13*J788+'CAFCO 400 '!$L$14)*U788)+('CAFCO 400 '!$L$15*LN(J788)+'CAFCO 400 '!$L$16)),0)+IF(AND(L788="Cafco 400",M788="Software Idiem",C788="L"),((('CAFCO 400 '!$L$7*(J788^3)+'CAFCO 400 '!$L$8*(J788^2)+'CAFCO 400 '!$L$9*J788+'CAFCO 400 '!$L$10)*U788^2)+(('CAFCO 400 '!$L$11*(J788^3)+'CAFCO 400 '!$L$12*(J788^2)+'CAFCO 400 '!$L$13*J788+'CAFCO 400 '!$L$14)*U788)+('CAFCO 400 '!$L$15*LN(J788)+'CAFCO 400 '!$L$16)),0)+IF(AND(L788="Cafco 400",M788="Software Idiem",C788="IN",G788=3),((('CAFCO 400 '!$D$23*(J788^2)+'CAFCO 400 '!$D$24*(J788)+'CAFCO 400 '!$D$25)*U788^2)+(('CAFCO 400 '!$D$26*(J788^2)+'CAFCO 400 '!$D$27*J788+'CAFCO 400 '!$D$28)*U788)+('CAFCO 400 '!$D$29*(J788^2)+'CAFCO 400 '!$D$30*J788+'CAFCO 400 '!$D$31)),0),0)+IF(AND(L788="Cafco 300",J788&gt;=95,J788&lt;=240,C788="Cj",I788=90),VLOOKUP(T788,'CAFCO 300 IDIEM TABLAS'!$B$4:$D$23,2,FALSE),0)+IF(AND(L788="Cafco 300",J788&gt;=95,J788&lt;=240,C788="Cj",I788=120),VLOOKUP(T788,'CAFCO 300 IDIEM TABLAS'!$B$4:$D$23,3,FALSE),0)+IF(AND(L788="Cafco 300",J788&gt;=95,J788&lt;=400,G788=3,C788="IN",I788=90),VLOOKUP(T788,'CAFCO 300 IDIEM TABLAS'!$F$4:$H$35,2,FALSE),0)+IF(AND(L788="Cafco 300",J788&gt;=95,J788&lt;=400,G788=3,C788="IN",I788=120),VLOOKUP(T788,'CAFCO 300 IDIEM TABLAS'!$F$4:$H$35,3,FALSE),0)+IF(AND(L788="Cafco 300",J788&gt;=95,J788&lt;=450,G788=4,C788="IN",I788=90),VLOOKUP(T788,'CAFCO 300 IDIEM TABLAS'!$J$4:$L$40,2,FALSE),0)+IF(AND(L788="Cafco 300",J788&gt;=95,J788&lt;=450,G788=4,C788="IN",I788=120),VLOOKUP(T788,'CAFCO 300 IDIEM TABLAS'!$J$4:$L$40,3,FALSE),0)+IF(AND(M788="Ensayo Idiem",L788="Cafco 400",C788="IN",G788=4,I788=90),VLOOKUP(T788,'CAFCO 400 ENSAYO'!$B$7:$D$43,2,FALSE),0)+IF(AND(M788="Ensayo Idiem",L788="Cafco 400",C788="IN",G788=4,I788=120),VLOOKUP(T788,'CAFCO 400 ENSAYO'!$B$7:$D$43,3,FALSE),0)</f>
        <v>0</v>
      </c>
      <c r="O788" s="96">
        <f t="shared" si="84"/>
        <v>0</v>
      </c>
      <c r="P788" s="95" t="str">
        <f t="shared" si="79"/>
        <v>N/A</v>
      </c>
      <c r="Q788" s="95" t="str">
        <f t="shared" si="80"/>
        <v>N/A</v>
      </c>
      <c r="R788" s="95" t="str">
        <f t="shared" si="81"/>
        <v>NO CERT.</v>
      </c>
      <c r="S788" s="95" t="e">
        <f t="shared" si="82"/>
        <v>#N/A</v>
      </c>
      <c r="T788" s="119" t="e">
        <f>+IF(J788=LOOKUP(J788,'CAFCO 300 IDIEM TABLAS'!$J$4:$J$40),'CALCULO MORTERO'!J788,MROUND('CALCULO MORTERO'!J788,10))</f>
        <v>#N/A</v>
      </c>
      <c r="U788" s="118">
        <f t="shared" si="83"/>
        <v>0</v>
      </c>
    </row>
    <row r="789" spans="1:21" x14ac:dyDescent="0.25">
      <c r="A789" s="118">
        <f>+CUBICACION!D783</f>
        <v>0</v>
      </c>
      <c r="B789" s="819">
        <f>+CUBICACION!E783</f>
        <v>0</v>
      </c>
      <c r="C789" s="675">
        <f>+CUBICACION!F783</f>
        <v>0</v>
      </c>
      <c r="D789" s="118"/>
      <c r="E789" s="118"/>
      <c r="F789" s="820"/>
      <c r="G789" s="675">
        <f>+CUBICACION!J783</f>
        <v>0</v>
      </c>
      <c r="H789" s="118"/>
      <c r="I789" s="821">
        <f>+CUBICACION!L783</f>
        <v>0</v>
      </c>
      <c r="J789" s="64">
        <f>+CUBICACION!M783</f>
        <v>0</v>
      </c>
      <c r="K789" s="822" t="str">
        <f>+CUBICACION!N783</f>
        <v/>
      </c>
      <c r="L789" s="118">
        <f>+CUBICACION!O783</f>
        <v>0</v>
      </c>
      <c r="M789" s="823">
        <f>+CUBICACION!P783</f>
        <v>0</v>
      </c>
      <c r="N789" s="902">
        <f>ROUND(IF(AND(L789="Blaze Shield II",M789="Software Idiem",C789="IN",G789=4),((('BLAZE SHIELD II'!$D$4*('CALCULO MORTERO'!I789^2)+'BLAZE SHIELD II'!$D$5*'CALCULO MORTERO'!I789+'BLAZE SHIELD II'!$D$6)*LN(J789))+('BLAZE SHIELD II'!$D$7*('CALCULO MORTERO'!I789^2)+'BLAZE SHIELD II'!$D$8*'CALCULO MORTERO'!I789+'BLAZE SHIELD II'!$D$9)),0)+IF(AND(L789="Blaze Shield II",M789="Software Idiem",C789="Cj"),((('BLAZE SHIELD II'!$H$4*('CALCULO MORTERO'!I789^2)+'BLAZE SHIELD II'!$H$5*'CALCULO MORTERO'!I789+'BLAZE SHIELD II'!$H$6)*LN(J789))+('BLAZE SHIELD II'!$H$7*('CALCULO MORTERO'!I789^2)+'BLAZE SHIELD II'!$H$8*'CALCULO MORTERO'!I789+'BLAZE SHIELD II'!$H$9)),0)+IF(AND(L789="Blaze Shield II",M789="Software Idiem",C789="C"),((('BLAZE SHIELD II'!$L$4*('CALCULO MORTERO'!I789^2)+'BLAZE SHIELD II'!$L$5*'CALCULO MORTERO'!I789+'BLAZE SHIELD II'!$L$6)*LN(J789))+('BLAZE SHIELD II'!$L$7*('CALCULO MORTERO'!I789^2)+'BLAZE SHIELD II'!$L$8*'CALCULO MORTERO'!I789+'BLAZE SHIELD II'!$L$9)),0)+IF(AND(L789="Blaze Shield II",M789="Software Idiem",C789="L"),((('BLAZE SHIELD II'!$L$4*('CALCULO MORTERO'!I789^2)+'BLAZE SHIELD II'!$L$5*'CALCULO MORTERO'!I789+'BLAZE SHIELD II'!$L$6)*LN(J789))+('BLAZE SHIELD II'!$L$7*('CALCULO MORTERO'!I789^2)+'BLAZE SHIELD II'!$L$8*'CALCULO MORTERO'!I789+'BLAZE SHIELD II'!$L$9)),0)+IF(AND(L789="Blaze Shield II",M789="Software Idiem",C789="IN",G789=3),((('BLAZE SHIELD II'!$H$14*('CALCULO MORTERO'!I789^2)+'BLAZE SHIELD II'!$H$15*'CALCULO MORTERO'!I789+'BLAZE SHIELD II'!$H$16)*LN(J789))+('BLAZE SHIELD II'!$H$17*('CALCULO MORTERO'!I789^2)+'BLAZE SHIELD II'!$H$18*'CALCULO MORTERO'!I789+'BLAZE SHIELD II'!$H$19)),0),0)+ROUND(IF(AND(L789="Cafco 400",M789="Software Idiem",C789="IN",G789=4),((('CAFCO 400 '!$H$7*(J789^4)+'CAFCO 400 '!$H$8*(J789^3)+'CAFCO 400 '!$H$9*(J789^2)+'CAFCO 400 '!$H$10*J789+'CAFCO 400 '!$H$11)*U789^2)+(('CAFCO 400 '!$H$12*(J789^3)+'CAFCO 400 '!$H$13*(J789^2)+'CAFCO 400 '!$H$14*J789+'CAFCO 400 '!$H$15)*U789)+('CAFCO 400 '!$H$16*(J789^2)+'CAFCO 400 '!$H$17*J789+'CAFCO 400 '!$H$18)),0)+IF(AND(L789="Cafco 400",M789="Software Idiem",C789="Cj"),(((('CAFCO 400 '!$D$7*LN(J789)+'CAFCO 400 '!$D$8)*U789^2)+(('CAFCO 400 '!$D$9*LN(J789)+'CAFCO 400 '!$D$10)*U789)+('CAFCO 400 '!$D$11*LN(J789)+'CAFCO 400 '!$D$12))),0)+IF(AND(L789="Cafco 400",M789="Software Idiem",C789="C"),((('CAFCO 400 '!$L$7*(J789^3)+'CAFCO 400 '!$L$8*(J789^2)+'CAFCO 400 '!$L$9*J789+'CAFCO 400 '!$L$10)*U789^2)+(('CAFCO 400 '!$L$11*(J789^3)+'CAFCO 400 '!$L$12*(J789^2)+'CAFCO 400 '!$L$13*J789+'CAFCO 400 '!$L$14)*U789)+('CAFCO 400 '!$L$15*LN(J789)+'CAFCO 400 '!$L$16)),0)+IF(AND(L789="Cafco 400",M789="Software Idiem",C789="L"),((('CAFCO 400 '!$L$7*(J789^3)+'CAFCO 400 '!$L$8*(J789^2)+'CAFCO 400 '!$L$9*J789+'CAFCO 400 '!$L$10)*U789^2)+(('CAFCO 400 '!$L$11*(J789^3)+'CAFCO 400 '!$L$12*(J789^2)+'CAFCO 400 '!$L$13*J789+'CAFCO 400 '!$L$14)*U789)+('CAFCO 400 '!$L$15*LN(J789)+'CAFCO 400 '!$L$16)),0)+IF(AND(L789="Cafco 400",M789="Software Idiem",C789="IN",G789=3),((('CAFCO 400 '!$D$23*(J789^2)+'CAFCO 400 '!$D$24*(J789)+'CAFCO 400 '!$D$25)*U789^2)+(('CAFCO 400 '!$D$26*(J789^2)+'CAFCO 400 '!$D$27*J789+'CAFCO 400 '!$D$28)*U789)+('CAFCO 400 '!$D$29*(J789^2)+'CAFCO 400 '!$D$30*J789+'CAFCO 400 '!$D$31)),0),0)+IF(AND(L789="Cafco 300",J789&gt;=95,J789&lt;=240,C789="Cj",I789=90),VLOOKUP(T789,'CAFCO 300 IDIEM TABLAS'!$B$4:$D$23,2,FALSE),0)+IF(AND(L789="Cafco 300",J789&gt;=95,J789&lt;=240,C789="Cj",I789=120),VLOOKUP(T789,'CAFCO 300 IDIEM TABLAS'!$B$4:$D$23,3,FALSE),0)+IF(AND(L789="Cafco 300",J789&gt;=95,J789&lt;=400,G789=3,C789="IN",I789=90),VLOOKUP(T789,'CAFCO 300 IDIEM TABLAS'!$F$4:$H$35,2,FALSE),0)+IF(AND(L789="Cafco 300",J789&gt;=95,J789&lt;=400,G789=3,C789="IN",I789=120),VLOOKUP(T789,'CAFCO 300 IDIEM TABLAS'!$F$4:$H$35,3,FALSE),0)+IF(AND(L789="Cafco 300",J789&gt;=95,J789&lt;=450,G789=4,C789="IN",I789=90),VLOOKUP(T789,'CAFCO 300 IDIEM TABLAS'!$J$4:$L$40,2,FALSE),0)+IF(AND(L789="Cafco 300",J789&gt;=95,J789&lt;=450,G789=4,C789="IN",I789=120),VLOOKUP(T789,'CAFCO 300 IDIEM TABLAS'!$J$4:$L$40,3,FALSE),0)+IF(AND(M789="Ensayo Idiem",L789="Cafco 400",C789="IN",G789=4,I789=90),VLOOKUP(T789,'CAFCO 400 ENSAYO'!$B$7:$D$43,2,FALSE),0)+IF(AND(M789="Ensayo Idiem",L789="Cafco 400",C789="IN",G789=4,I789=120),VLOOKUP(T789,'CAFCO 400 ENSAYO'!$B$7:$D$43,3,FALSE),0)</f>
        <v>0</v>
      </c>
      <c r="O789" s="96">
        <f t="shared" si="84"/>
        <v>0</v>
      </c>
      <c r="P789" s="132" t="str">
        <f t="shared" si="79"/>
        <v>N/A</v>
      </c>
      <c r="Q789" s="132" t="str">
        <f t="shared" si="80"/>
        <v>N/A</v>
      </c>
      <c r="R789" s="132" t="str">
        <f t="shared" si="81"/>
        <v>NO CERT.</v>
      </c>
      <c r="S789" s="132" t="e">
        <f t="shared" si="82"/>
        <v>#N/A</v>
      </c>
      <c r="T789" s="133" t="e">
        <f>+IF(J789=LOOKUP(J789,'CAFCO 300 IDIEM TABLAS'!$J$4:$J$40),'CALCULO MORTERO'!J789,MROUND('CALCULO MORTERO'!J789,10))</f>
        <v>#N/A</v>
      </c>
      <c r="U789" s="134">
        <f t="shared" si="83"/>
        <v>0</v>
      </c>
    </row>
    <row r="790" spans="1:21" x14ac:dyDescent="0.25">
      <c r="A790" s="118">
        <f>+CUBICACION!D784</f>
        <v>0</v>
      </c>
      <c r="B790" s="819">
        <f>+CUBICACION!E784</f>
        <v>0</v>
      </c>
      <c r="C790" s="675">
        <f>+CUBICACION!F784</f>
        <v>0</v>
      </c>
      <c r="D790" s="118"/>
      <c r="E790" s="118"/>
      <c r="F790" s="820"/>
      <c r="G790" s="675">
        <f>+CUBICACION!J784</f>
        <v>0</v>
      </c>
      <c r="H790" s="118"/>
      <c r="I790" s="821">
        <f>+CUBICACION!L784</f>
        <v>0</v>
      </c>
      <c r="J790" s="64">
        <f>+CUBICACION!M784</f>
        <v>0</v>
      </c>
      <c r="K790" s="822" t="str">
        <f>+CUBICACION!N784</f>
        <v/>
      </c>
      <c r="L790" s="118">
        <f>+CUBICACION!O784</f>
        <v>0</v>
      </c>
      <c r="M790" s="823">
        <f>+CUBICACION!P784</f>
        <v>0</v>
      </c>
      <c r="N790" s="902">
        <f>ROUND(IF(AND(L790="Blaze Shield II",M790="Software Idiem",C790="IN",G790=4),((('BLAZE SHIELD II'!$D$4*('CALCULO MORTERO'!I790^2)+'BLAZE SHIELD II'!$D$5*'CALCULO MORTERO'!I790+'BLAZE SHIELD II'!$D$6)*LN(J790))+('BLAZE SHIELD II'!$D$7*('CALCULO MORTERO'!I790^2)+'BLAZE SHIELD II'!$D$8*'CALCULO MORTERO'!I790+'BLAZE SHIELD II'!$D$9)),0)+IF(AND(L790="Blaze Shield II",M790="Software Idiem",C790="Cj"),((('BLAZE SHIELD II'!$H$4*('CALCULO MORTERO'!I790^2)+'BLAZE SHIELD II'!$H$5*'CALCULO MORTERO'!I790+'BLAZE SHIELD II'!$H$6)*LN(J790))+('BLAZE SHIELD II'!$H$7*('CALCULO MORTERO'!I790^2)+'BLAZE SHIELD II'!$H$8*'CALCULO MORTERO'!I790+'BLAZE SHIELD II'!$H$9)),0)+IF(AND(L790="Blaze Shield II",M790="Software Idiem",C790="C"),((('BLAZE SHIELD II'!$L$4*('CALCULO MORTERO'!I790^2)+'BLAZE SHIELD II'!$L$5*'CALCULO MORTERO'!I790+'BLAZE SHIELD II'!$L$6)*LN(J790))+('BLAZE SHIELD II'!$L$7*('CALCULO MORTERO'!I790^2)+'BLAZE SHIELD II'!$L$8*'CALCULO MORTERO'!I790+'BLAZE SHIELD II'!$L$9)),0)+IF(AND(L790="Blaze Shield II",M790="Software Idiem",C790="L"),((('BLAZE SHIELD II'!$L$4*('CALCULO MORTERO'!I790^2)+'BLAZE SHIELD II'!$L$5*'CALCULO MORTERO'!I790+'BLAZE SHIELD II'!$L$6)*LN(J790))+('BLAZE SHIELD II'!$L$7*('CALCULO MORTERO'!I790^2)+'BLAZE SHIELD II'!$L$8*'CALCULO MORTERO'!I790+'BLAZE SHIELD II'!$L$9)),0)+IF(AND(L790="Blaze Shield II",M790="Software Idiem",C790="IN",G790=3),((('BLAZE SHIELD II'!$H$14*('CALCULO MORTERO'!I790^2)+'BLAZE SHIELD II'!$H$15*'CALCULO MORTERO'!I790+'BLAZE SHIELD II'!$H$16)*LN(J790))+('BLAZE SHIELD II'!$H$17*('CALCULO MORTERO'!I790^2)+'BLAZE SHIELD II'!$H$18*'CALCULO MORTERO'!I790+'BLAZE SHIELD II'!$H$19)),0),0)+ROUND(IF(AND(L790="Cafco 400",M790="Software Idiem",C790="IN",G790=4),((('CAFCO 400 '!$H$7*(J790^4)+'CAFCO 400 '!$H$8*(J790^3)+'CAFCO 400 '!$H$9*(J790^2)+'CAFCO 400 '!$H$10*J790+'CAFCO 400 '!$H$11)*U790^2)+(('CAFCO 400 '!$H$12*(J790^3)+'CAFCO 400 '!$H$13*(J790^2)+'CAFCO 400 '!$H$14*J790+'CAFCO 400 '!$H$15)*U790)+('CAFCO 400 '!$H$16*(J790^2)+'CAFCO 400 '!$H$17*J790+'CAFCO 400 '!$H$18)),0)+IF(AND(L790="Cafco 400",M790="Software Idiem",C790="Cj"),(((('CAFCO 400 '!$D$7*LN(J790)+'CAFCO 400 '!$D$8)*U790^2)+(('CAFCO 400 '!$D$9*LN(J790)+'CAFCO 400 '!$D$10)*U790)+('CAFCO 400 '!$D$11*LN(J790)+'CAFCO 400 '!$D$12))),0)+IF(AND(L790="Cafco 400",M790="Software Idiem",C790="C"),((('CAFCO 400 '!$L$7*(J790^3)+'CAFCO 400 '!$L$8*(J790^2)+'CAFCO 400 '!$L$9*J790+'CAFCO 400 '!$L$10)*U790^2)+(('CAFCO 400 '!$L$11*(J790^3)+'CAFCO 400 '!$L$12*(J790^2)+'CAFCO 400 '!$L$13*J790+'CAFCO 400 '!$L$14)*U790)+('CAFCO 400 '!$L$15*LN(J790)+'CAFCO 400 '!$L$16)),0)+IF(AND(L790="Cafco 400",M790="Software Idiem",C790="L"),((('CAFCO 400 '!$L$7*(J790^3)+'CAFCO 400 '!$L$8*(J790^2)+'CAFCO 400 '!$L$9*J790+'CAFCO 400 '!$L$10)*U790^2)+(('CAFCO 400 '!$L$11*(J790^3)+'CAFCO 400 '!$L$12*(J790^2)+'CAFCO 400 '!$L$13*J790+'CAFCO 400 '!$L$14)*U790)+('CAFCO 400 '!$L$15*LN(J790)+'CAFCO 400 '!$L$16)),0)+IF(AND(L790="Cafco 400",M790="Software Idiem",C790="IN",G790=3),((('CAFCO 400 '!$D$23*(J790^2)+'CAFCO 400 '!$D$24*(J790)+'CAFCO 400 '!$D$25)*U790^2)+(('CAFCO 400 '!$D$26*(J790^2)+'CAFCO 400 '!$D$27*J790+'CAFCO 400 '!$D$28)*U790)+('CAFCO 400 '!$D$29*(J790^2)+'CAFCO 400 '!$D$30*J790+'CAFCO 400 '!$D$31)),0),0)+IF(AND(L790="Cafco 300",J790&gt;=95,J790&lt;=240,C790="Cj",I790=90),VLOOKUP(T790,'CAFCO 300 IDIEM TABLAS'!$B$4:$D$23,2,FALSE),0)+IF(AND(L790="Cafco 300",J790&gt;=95,J790&lt;=240,C790="Cj",I790=120),VLOOKUP(T790,'CAFCO 300 IDIEM TABLAS'!$B$4:$D$23,3,FALSE),0)+IF(AND(L790="Cafco 300",J790&gt;=95,J790&lt;=400,G790=3,C790="IN",I790=90),VLOOKUP(T790,'CAFCO 300 IDIEM TABLAS'!$F$4:$H$35,2,FALSE),0)+IF(AND(L790="Cafco 300",J790&gt;=95,J790&lt;=400,G790=3,C790="IN",I790=120),VLOOKUP(T790,'CAFCO 300 IDIEM TABLAS'!$F$4:$H$35,3,FALSE),0)+IF(AND(L790="Cafco 300",J790&gt;=95,J790&lt;=450,G790=4,C790="IN",I790=90),VLOOKUP(T790,'CAFCO 300 IDIEM TABLAS'!$J$4:$L$40,2,FALSE),0)+IF(AND(L790="Cafco 300",J790&gt;=95,J790&lt;=450,G790=4,C790="IN",I790=120),VLOOKUP(T790,'CAFCO 300 IDIEM TABLAS'!$J$4:$L$40,3,FALSE),0)+IF(AND(M790="Ensayo Idiem",L790="Cafco 400",C790="IN",G790=4,I790=90),VLOOKUP(T790,'CAFCO 400 ENSAYO'!$B$7:$D$43,2,FALSE),0)+IF(AND(M790="Ensayo Idiem",L790="Cafco 400",C790="IN",G790=4,I790=120),VLOOKUP(T790,'CAFCO 400 ENSAYO'!$B$7:$D$43,3,FALSE),0)</f>
        <v>0</v>
      </c>
      <c r="O790" s="96">
        <f t="shared" si="84"/>
        <v>0</v>
      </c>
      <c r="P790" s="95" t="str">
        <f t="shared" si="79"/>
        <v>N/A</v>
      </c>
      <c r="Q790" s="95" t="str">
        <f t="shared" si="80"/>
        <v>N/A</v>
      </c>
      <c r="R790" s="95" t="str">
        <f t="shared" si="81"/>
        <v>NO CERT.</v>
      </c>
      <c r="S790" s="95" t="e">
        <f t="shared" si="82"/>
        <v>#N/A</v>
      </c>
      <c r="T790" s="119" t="e">
        <f>+IF(J790=LOOKUP(J790,'CAFCO 300 IDIEM TABLAS'!$J$4:$J$40),'CALCULO MORTERO'!J790,MROUND('CALCULO MORTERO'!J790,10))</f>
        <v>#N/A</v>
      </c>
      <c r="U790" s="118">
        <f t="shared" si="83"/>
        <v>0</v>
      </c>
    </row>
    <row r="791" spans="1:21" x14ac:dyDescent="0.25">
      <c r="A791" s="118">
        <f>+CUBICACION!D785</f>
        <v>0</v>
      </c>
      <c r="B791" s="819">
        <f>+CUBICACION!E785</f>
        <v>0</v>
      </c>
      <c r="C791" s="675">
        <f>+CUBICACION!F785</f>
        <v>0</v>
      </c>
      <c r="D791" s="118"/>
      <c r="E791" s="118"/>
      <c r="F791" s="820"/>
      <c r="G791" s="675">
        <f>+CUBICACION!J785</f>
        <v>0</v>
      </c>
      <c r="H791" s="118"/>
      <c r="I791" s="821">
        <f>+CUBICACION!L785</f>
        <v>0</v>
      </c>
      <c r="J791" s="64">
        <f>+CUBICACION!M785</f>
        <v>0</v>
      </c>
      <c r="K791" s="822" t="str">
        <f>+CUBICACION!N785</f>
        <v/>
      </c>
      <c r="L791" s="118">
        <f>+CUBICACION!O785</f>
        <v>0</v>
      </c>
      <c r="M791" s="823">
        <f>+CUBICACION!P785</f>
        <v>0</v>
      </c>
      <c r="N791" s="902">
        <f>ROUND(IF(AND(L791="Blaze Shield II",M791="Software Idiem",C791="IN",G791=4),((('BLAZE SHIELD II'!$D$4*('CALCULO MORTERO'!I791^2)+'BLAZE SHIELD II'!$D$5*'CALCULO MORTERO'!I791+'BLAZE SHIELD II'!$D$6)*LN(J791))+('BLAZE SHIELD II'!$D$7*('CALCULO MORTERO'!I791^2)+'BLAZE SHIELD II'!$D$8*'CALCULO MORTERO'!I791+'BLAZE SHIELD II'!$D$9)),0)+IF(AND(L791="Blaze Shield II",M791="Software Idiem",C791="Cj"),((('BLAZE SHIELD II'!$H$4*('CALCULO MORTERO'!I791^2)+'BLAZE SHIELD II'!$H$5*'CALCULO MORTERO'!I791+'BLAZE SHIELD II'!$H$6)*LN(J791))+('BLAZE SHIELD II'!$H$7*('CALCULO MORTERO'!I791^2)+'BLAZE SHIELD II'!$H$8*'CALCULO MORTERO'!I791+'BLAZE SHIELD II'!$H$9)),0)+IF(AND(L791="Blaze Shield II",M791="Software Idiem",C791="C"),((('BLAZE SHIELD II'!$L$4*('CALCULO MORTERO'!I791^2)+'BLAZE SHIELD II'!$L$5*'CALCULO MORTERO'!I791+'BLAZE SHIELD II'!$L$6)*LN(J791))+('BLAZE SHIELD II'!$L$7*('CALCULO MORTERO'!I791^2)+'BLAZE SHIELD II'!$L$8*'CALCULO MORTERO'!I791+'BLAZE SHIELD II'!$L$9)),0)+IF(AND(L791="Blaze Shield II",M791="Software Idiem",C791="L"),((('BLAZE SHIELD II'!$L$4*('CALCULO MORTERO'!I791^2)+'BLAZE SHIELD II'!$L$5*'CALCULO MORTERO'!I791+'BLAZE SHIELD II'!$L$6)*LN(J791))+('BLAZE SHIELD II'!$L$7*('CALCULO MORTERO'!I791^2)+'BLAZE SHIELD II'!$L$8*'CALCULO MORTERO'!I791+'BLAZE SHIELD II'!$L$9)),0)+IF(AND(L791="Blaze Shield II",M791="Software Idiem",C791="IN",G791=3),((('BLAZE SHIELD II'!$H$14*('CALCULO MORTERO'!I791^2)+'BLAZE SHIELD II'!$H$15*'CALCULO MORTERO'!I791+'BLAZE SHIELD II'!$H$16)*LN(J791))+('BLAZE SHIELD II'!$H$17*('CALCULO MORTERO'!I791^2)+'BLAZE SHIELD II'!$H$18*'CALCULO MORTERO'!I791+'BLAZE SHIELD II'!$H$19)),0),0)+ROUND(IF(AND(L791="Cafco 400",M791="Software Idiem",C791="IN",G791=4),((('CAFCO 400 '!$H$7*(J791^4)+'CAFCO 400 '!$H$8*(J791^3)+'CAFCO 400 '!$H$9*(J791^2)+'CAFCO 400 '!$H$10*J791+'CAFCO 400 '!$H$11)*U791^2)+(('CAFCO 400 '!$H$12*(J791^3)+'CAFCO 400 '!$H$13*(J791^2)+'CAFCO 400 '!$H$14*J791+'CAFCO 400 '!$H$15)*U791)+('CAFCO 400 '!$H$16*(J791^2)+'CAFCO 400 '!$H$17*J791+'CAFCO 400 '!$H$18)),0)+IF(AND(L791="Cafco 400",M791="Software Idiem",C791="Cj"),(((('CAFCO 400 '!$D$7*LN(J791)+'CAFCO 400 '!$D$8)*U791^2)+(('CAFCO 400 '!$D$9*LN(J791)+'CAFCO 400 '!$D$10)*U791)+('CAFCO 400 '!$D$11*LN(J791)+'CAFCO 400 '!$D$12))),0)+IF(AND(L791="Cafco 400",M791="Software Idiem",C791="C"),((('CAFCO 400 '!$L$7*(J791^3)+'CAFCO 400 '!$L$8*(J791^2)+'CAFCO 400 '!$L$9*J791+'CAFCO 400 '!$L$10)*U791^2)+(('CAFCO 400 '!$L$11*(J791^3)+'CAFCO 400 '!$L$12*(J791^2)+'CAFCO 400 '!$L$13*J791+'CAFCO 400 '!$L$14)*U791)+('CAFCO 400 '!$L$15*LN(J791)+'CAFCO 400 '!$L$16)),0)+IF(AND(L791="Cafco 400",M791="Software Idiem",C791="L"),((('CAFCO 400 '!$L$7*(J791^3)+'CAFCO 400 '!$L$8*(J791^2)+'CAFCO 400 '!$L$9*J791+'CAFCO 400 '!$L$10)*U791^2)+(('CAFCO 400 '!$L$11*(J791^3)+'CAFCO 400 '!$L$12*(J791^2)+'CAFCO 400 '!$L$13*J791+'CAFCO 400 '!$L$14)*U791)+('CAFCO 400 '!$L$15*LN(J791)+'CAFCO 400 '!$L$16)),0)+IF(AND(L791="Cafco 400",M791="Software Idiem",C791="IN",G791=3),((('CAFCO 400 '!$D$23*(J791^2)+'CAFCO 400 '!$D$24*(J791)+'CAFCO 400 '!$D$25)*U791^2)+(('CAFCO 400 '!$D$26*(J791^2)+'CAFCO 400 '!$D$27*J791+'CAFCO 400 '!$D$28)*U791)+('CAFCO 400 '!$D$29*(J791^2)+'CAFCO 400 '!$D$30*J791+'CAFCO 400 '!$D$31)),0),0)+IF(AND(L791="Cafco 300",J791&gt;=95,J791&lt;=240,C791="Cj",I791=90),VLOOKUP(T791,'CAFCO 300 IDIEM TABLAS'!$B$4:$D$23,2,FALSE),0)+IF(AND(L791="Cafco 300",J791&gt;=95,J791&lt;=240,C791="Cj",I791=120),VLOOKUP(T791,'CAFCO 300 IDIEM TABLAS'!$B$4:$D$23,3,FALSE),0)+IF(AND(L791="Cafco 300",J791&gt;=95,J791&lt;=400,G791=3,C791="IN",I791=90),VLOOKUP(T791,'CAFCO 300 IDIEM TABLAS'!$F$4:$H$35,2,FALSE),0)+IF(AND(L791="Cafco 300",J791&gt;=95,J791&lt;=400,G791=3,C791="IN",I791=120),VLOOKUP(T791,'CAFCO 300 IDIEM TABLAS'!$F$4:$H$35,3,FALSE),0)+IF(AND(L791="Cafco 300",J791&gt;=95,J791&lt;=450,G791=4,C791="IN",I791=90),VLOOKUP(T791,'CAFCO 300 IDIEM TABLAS'!$J$4:$L$40,2,FALSE),0)+IF(AND(L791="Cafco 300",J791&gt;=95,J791&lt;=450,G791=4,C791="IN",I791=120),VLOOKUP(T791,'CAFCO 300 IDIEM TABLAS'!$J$4:$L$40,3,FALSE),0)+IF(AND(M791="Ensayo Idiem",L791="Cafco 400",C791="IN",G791=4,I791=90),VLOOKUP(T791,'CAFCO 400 ENSAYO'!$B$7:$D$43,2,FALSE),0)+IF(AND(M791="Ensayo Idiem",L791="Cafco 400",C791="IN",G791=4,I791=120),VLOOKUP(T791,'CAFCO 400 ENSAYO'!$B$7:$D$43,3,FALSE),0)</f>
        <v>0</v>
      </c>
      <c r="O791" s="96">
        <f t="shared" si="84"/>
        <v>0</v>
      </c>
      <c r="P791" s="132" t="str">
        <f t="shared" si="79"/>
        <v>N/A</v>
      </c>
      <c r="Q791" s="132" t="str">
        <f t="shared" si="80"/>
        <v>N/A</v>
      </c>
      <c r="R791" s="132" t="str">
        <f t="shared" si="81"/>
        <v>NO CERT.</v>
      </c>
      <c r="S791" s="132" t="e">
        <f t="shared" si="82"/>
        <v>#N/A</v>
      </c>
      <c r="T791" s="133" t="e">
        <f>+IF(J791=LOOKUP(J791,'CAFCO 300 IDIEM TABLAS'!$J$4:$J$40),'CALCULO MORTERO'!J791,MROUND('CALCULO MORTERO'!J791,10))</f>
        <v>#N/A</v>
      </c>
      <c r="U791" s="134">
        <f t="shared" si="83"/>
        <v>0</v>
      </c>
    </row>
    <row r="792" spans="1:21" x14ac:dyDescent="0.25">
      <c r="A792" s="118">
        <f>+CUBICACION!D786</f>
        <v>0</v>
      </c>
      <c r="B792" s="819">
        <f>+CUBICACION!E786</f>
        <v>0</v>
      </c>
      <c r="C792" s="675">
        <f>+CUBICACION!F786</f>
        <v>0</v>
      </c>
      <c r="D792" s="118"/>
      <c r="E792" s="118"/>
      <c r="F792" s="820"/>
      <c r="G792" s="675">
        <f>+CUBICACION!J786</f>
        <v>0</v>
      </c>
      <c r="H792" s="118"/>
      <c r="I792" s="821">
        <f>+CUBICACION!L786</f>
        <v>0</v>
      </c>
      <c r="J792" s="64">
        <f>+CUBICACION!M786</f>
        <v>0</v>
      </c>
      <c r="K792" s="822" t="str">
        <f>+CUBICACION!N786</f>
        <v/>
      </c>
      <c r="L792" s="118">
        <f>+CUBICACION!O786</f>
        <v>0</v>
      </c>
      <c r="M792" s="823">
        <f>+CUBICACION!P786</f>
        <v>0</v>
      </c>
      <c r="N792" s="902">
        <f>ROUND(IF(AND(L792="Blaze Shield II",M792="Software Idiem",C792="IN",G792=4),((('BLAZE SHIELD II'!$D$4*('CALCULO MORTERO'!I792^2)+'BLAZE SHIELD II'!$D$5*'CALCULO MORTERO'!I792+'BLAZE SHIELD II'!$D$6)*LN(J792))+('BLAZE SHIELD II'!$D$7*('CALCULO MORTERO'!I792^2)+'BLAZE SHIELD II'!$D$8*'CALCULO MORTERO'!I792+'BLAZE SHIELD II'!$D$9)),0)+IF(AND(L792="Blaze Shield II",M792="Software Idiem",C792="Cj"),((('BLAZE SHIELD II'!$H$4*('CALCULO MORTERO'!I792^2)+'BLAZE SHIELD II'!$H$5*'CALCULO MORTERO'!I792+'BLAZE SHIELD II'!$H$6)*LN(J792))+('BLAZE SHIELD II'!$H$7*('CALCULO MORTERO'!I792^2)+'BLAZE SHIELD II'!$H$8*'CALCULO MORTERO'!I792+'BLAZE SHIELD II'!$H$9)),0)+IF(AND(L792="Blaze Shield II",M792="Software Idiem",C792="C"),((('BLAZE SHIELD II'!$L$4*('CALCULO MORTERO'!I792^2)+'BLAZE SHIELD II'!$L$5*'CALCULO MORTERO'!I792+'BLAZE SHIELD II'!$L$6)*LN(J792))+('BLAZE SHIELD II'!$L$7*('CALCULO MORTERO'!I792^2)+'BLAZE SHIELD II'!$L$8*'CALCULO MORTERO'!I792+'BLAZE SHIELD II'!$L$9)),0)+IF(AND(L792="Blaze Shield II",M792="Software Idiem",C792="L"),((('BLAZE SHIELD II'!$L$4*('CALCULO MORTERO'!I792^2)+'BLAZE SHIELD II'!$L$5*'CALCULO MORTERO'!I792+'BLAZE SHIELD II'!$L$6)*LN(J792))+('BLAZE SHIELD II'!$L$7*('CALCULO MORTERO'!I792^2)+'BLAZE SHIELD II'!$L$8*'CALCULO MORTERO'!I792+'BLAZE SHIELD II'!$L$9)),0)+IF(AND(L792="Blaze Shield II",M792="Software Idiem",C792="IN",G792=3),((('BLAZE SHIELD II'!$H$14*('CALCULO MORTERO'!I792^2)+'BLAZE SHIELD II'!$H$15*'CALCULO MORTERO'!I792+'BLAZE SHIELD II'!$H$16)*LN(J792))+('BLAZE SHIELD II'!$H$17*('CALCULO MORTERO'!I792^2)+'BLAZE SHIELD II'!$H$18*'CALCULO MORTERO'!I792+'BLAZE SHIELD II'!$H$19)),0),0)+ROUND(IF(AND(L792="Cafco 400",M792="Software Idiem",C792="IN",G792=4),((('CAFCO 400 '!$H$7*(J792^4)+'CAFCO 400 '!$H$8*(J792^3)+'CAFCO 400 '!$H$9*(J792^2)+'CAFCO 400 '!$H$10*J792+'CAFCO 400 '!$H$11)*U792^2)+(('CAFCO 400 '!$H$12*(J792^3)+'CAFCO 400 '!$H$13*(J792^2)+'CAFCO 400 '!$H$14*J792+'CAFCO 400 '!$H$15)*U792)+('CAFCO 400 '!$H$16*(J792^2)+'CAFCO 400 '!$H$17*J792+'CAFCO 400 '!$H$18)),0)+IF(AND(L792="Cafco 400",M792="Software Idiem",C792="Cj"),(((('CAFCO 400 '!$D$7*LN(J792)+'CAFCO 400 '!$D$8)*U792^2)+(('CAFCO 400 '!$D$9*LN(J792)+'CAFCO 400 '!$D$10)*U792)+('CAFCO 400 '!$D$11*LN(J792)+'CAFCO 400 '!$D$12))),0)+IF(AND(L792="Cafco 400",M792="Software Idiem",C792="C"),((('CAFCO 400 '!$L$7*(J792^3)+'CAFCO 400 '!$L$8*(J792^2)+'CAFCO 400 '!$L$9*J792+'CAFCO 400 '!$L$10)*U792^2)+(('CAFCO 400 '!$L$11*(J792^3)+'CAFCO 400 '!$L$12*(J792^2)+'CAFCO 400 '!$L$13*J792+'CAFCO 400 '!$L$14)*U792)+('CAFCO 400 '!$L$15*LN(J792)+'CAFCO 400 '!$L$16)),0)+IF(AND(L792="Cafco 400",M792="Software Idiem",C792="L"),((('CAFCO 400 '!$L$7*(J792^3)+'CAFCO 400 '!$L$8*(J792^2)+'CAFCO 400 '!$L$9*J792+'CAFCO 400 '!$L$10)*U792^2)+(('CAFCO 400 '!$L$11*(J792^3)+'CAFCO 400 '!$L$12*(J792^2)+'CAFCO 400 '!$L$13*J792+'CAFCO 400 '!$L$14)*U792)+('CAFCO 400 '!$L$15*LN(J792)+'CAFCO 400 '!$L$16)),0)+IF(AND(L792="Cafco 400",M792="Software Idiem",C792="IN",G792=3),((('CAFCO 400 '!$D$23*(J792^2)+'CAFCO 400 '!$D$24*(J792)+'CAFCO 400 '!$D$25)*U792^2)+(('CAFCO 400 '!$D$26*(J792^2)+'CAFCO 400 '!$D$27*J792+'CAFCO 400 '!$D$28)*U792)+('CAFCO 400 '!$D$29*(J792^2)+'CAFCO 400 '!$D$30*J792+'CAFCO 400 '!$D$31)),0),0)+IF(AND(L792="Cafco 300",J792&gt;=95,J792&lt;=240,C792="Cj",I792=90),VLOOKUP(T792,'CAFCO 300 IDIEM TABLAS'!$B$4:$D$23,2,FALSE),0)+IF(AND(L792="Cafco 300",J792&gt;=95,J792&lt;=240,C792="Cj",I792=120),VLOOKUP(T792,'CAFCO 300 IDIEM TABLAS'!$B$4:$D$23,3,FALSE),0)+IF(AND(L792="Cafco 300",J792&gt;=95,J792&lt;=400,G792=3,C792="IN",I792=90),VLOOKUP(T792,'CAFCO 300 IDIEM TABLAS'!$F$4:$H$35,2,FALSE),0)+IF(AND(L792="Cafco 300",J792&gt;=95,J792&lt;=400,G792=3,C792="IN",I792=120),VLOOKUP(T792,'CAFCO 300 IDIEM TABLAS'!$F$4:$H$35,3,FALSE),0)+IF(AND(L792="Cafco 300",J792&gt;=95,J792&lt;=450,G792=4,C792="IN",I792=90),VLOOKUP(T792,'CAFCO 300 IDIEM TABLAS'!$J$4:$L$40,2,FALSE),0)+IF(AND(L792="Cafco 300",J792&gt;=95,J792&lt;=450,G792=4,C792="IN",I792=120),VLOOKUP(T792,'CAFCO 300 IDIEM TABLAS'!$J$4:$L$40,3,FALSE),0)+IF(AND(M792="Ensayo Idiem",L792="Cafco 400",C792="IN",G792=4,I792=90),VLOOKUP(T792,'CAFCO 400 ENSAYO'!$B$7:$D$43,2,FALSE),0)+IF(AND(M792="Ensayo Idiem",L792="Cafco 400",C792="IN",G792=4,I792=120),VLOOKUP(T792,'CAFCO 400 ENSAYO'!$B$7:$D$43,3,FALSE),0)</f>
        <v>0</v>
      </c>
      <c r="O792" s="96">
        <f t="shared" si="84"/>
        <v>0</v>
      </c>
      <c r="P792" s="95" t="str">
        <f t="shared" si="79"/>
        <v>N/A</v>
      </c>
      <c r="Q792" s="95" t="str">
        <f t="shared" si="80"/>
        <v>N/A</v>
      </c>
      <c r="R792" s="95" t="str">
        <f t="shared" si="81"/>
        <v>NO CERT.</v>
      </c>
      <c r="S792" s="95" t="e">
        <f t="shared" si="82"/>
        <v>#N/A</v>
      </c>
      <c r="T792" s="119" t="e">
        <f>+IF(J792=LOOKUP(J792,'CAFCO 300 IDIEM TABLAS'!$J$4:$J$40),'CALCULO MORTERO'!J792,MROUND('CALCULO MORTERO'!J792,10))</f>
        <v>#N/A</v>
      </c>
      <c r="U792" s="118">
        <f t="shared" si="83"/>
        <v>0</v>
      </c>
    </row>
    <row r="793" spans="1:21" x14ac:dyDescent="0.25">
      <c r="A793" s="118">
        <f>+CUBICACION!D787</f>
        <v>0</v>
      </c>
      <c r="B793" s="819">
        <f>+CUBICACION!E787</f>
        <v>0</v>
      </c>
      <c r="C793" s="675">
        <f>+CUBICACION!F787</f>
        <v>0</v>
      </c>
      <c r="D793" s="118"/>
      <c r="E793" s="118"/>
      <c r="F793" s="820"/>
      <c r="G793" s="675">
        <f>+CUBICACION!J787</f>
        <v>0</v>
      </c>
      <c r="H793" s="118"/>
      <c r="I793" s="821">
        <f>+CUBICACION!L787</f>
        <v>0</v>
      </c>
      <c r="J793" s="64">
        <f>+CUBICACION!M787</f>
        <v>0</v>
      </c>
      <c r="K793" s="822" t="str">
        <f>+CUBICACION!N787</f>
        <v/>
      </c>
      <c r="L793" s="118">
        <f>+CUBICACION!O787</f>
        <v>0</v>
      </c>
      <c r="M793" s="823">
        <f>+CUBICACION!P787</f>
        <v>0</v>
      </c>
      <c r="N793" s="902">
        <f>ROUND(IF(AND(L793="Blaze Shield II",M793="Software Idiem",C793="IN",G793=4),((('BLAZE SHIELD II'!$D$4*('CALCULO MORTERO'!I793^2)+'BLAZE SHIELD II'!$D$5*'CALCULO MORTERO'!I793+'BLAZE SHIELD II'!$D$6)*LN(J793))+('BLAZE SHIELD II'!$D$7*('CALCULO MORTERO'!I793^2)+'BLAZE SHIELD II'!$D$8*'CALCULO MORTERO'!I793+'BLAZE SHIELD II'!$D$9)),0)+IF(AND(L793="Blaze Shield II",M793="Software Idiem",C793="Cj"),((('BLAZE SHIELD II'!$H$4*('CALCULO MORTERO'!I793^2)+'BLAZE SHIELD II'!$H$5*'CALCULO MORTERO'!I793+'BLAZE SHIELD II'!$H$6)*LN(J793))+('BLAZE SHIELD II'!$H$7*('CALCULO MORTERO'!I793^2)+'BLAZE SHIELD II'!$H$8*'CALCULO MORTERO'!I793+'BLAZE SHIELD II'!$H$9)),0)+IF(AND(L793="Blaze Shield II",M793="Software Idiem",C793="C"),((('BLAZE SHIELD II'!$L$4*('CALCULO MORTERO'!I793^2)+'BLAZE SHIELD II'!$L$5*'CALCULO MORTERO'!I793+'BLAZE SHIELD II'!$L$6)*LN(J793))+('BLAZE SHIELD II'!$L$7*('CALCULO MORTERO'!I793^2)+'BLAZE SHIELD II'!$L$8*'CALCULO MORTERO'!I793+'BLAZE SHIELD II'!$L$9)),0)+IF(AND(L793="Blaze Shield II",M793="Software Idiem",C793="L"),((('BLAZE SHIELD II'!$L$4*('CALCULO MORTERO'!I793^2)+'BLAZE SHIELD II'!$L$5*'CALCULO MORTERO'!I793+'BLAZE SHIELD II'!$L$6)*LN(J793))+('BLAZE SHIELD II'!$L$7*('CALCULO MORTERO'!I793^2)+'BLAZE SHIELD II'!$L$8*'CALCULO MORTERO'!I793+'BLAZE SHIELD II'!$L$9)),0)+IF(AND(L793="Blaze Shield II",M793="Software Idiem",C793="IN",G793=3),((('BLAZE SHIELD II'!$H$14*('CALCULO MORTERO'!I793^2)+'BLAZE SHIELD II'!$H$15*'CALCULO MORTERO'!I793+'BLAZE SHIELD II'!$H$16)*LN(J793))+('BLAZE SHIELD II'!$H$17*('CALCULO MORTERO'!I793^2)+'BLAZE SHIELD II'!$H$18*'CALCULO MORTERO'!I793+'BLAZE SHIELD II'!$H$19)),0),0)+ROUND(IF(AND(L793="Cafco 400",M793="Software Idiem",C793="IN",G793=4),((('CAFCO 400 '!$H$7*(J793^4)+'CAFCO 400 '!$H$8*(J793^3)+'CAFCO 400 '!$H$9*(J793^2)+'CAFCO 400 '!$H$10*J793+'CAFCO 400 '!$H$11)*U793^2)+(('CAFCO 400 '!$H$12*(J793^3)+'CAFCO 400 '!$H$13*(J793^2)+'CAFCO 400 '!$H$14*J793+'CAFCO 400 '!$H$15)*U793)+('CAFCO 400 '!$H$16*(J793^2)+'CAFCO 400 '!$H$17*J793+'CAFCO 400 '!$H$18)),0)+IF(AND(L793="Cafco 400",M793="Software Idiem",C793="Cj"),(((('CAFCO 400 '!$D$7*LN(J793)+'CAFCO 400 '!$D$8)*U793^2)+(('CAFCO 400 '!$D$9*LN(J793)+'CAFCO 400 '!$D$10)*U793)+('CAFCO 400 '!$D$11*LN(J793)+'CAFCO 400 '!$D$12))),0)+IF(AND(L793="Cafco 400",M793="Software Idiem",C793="C"),((('CAFCO 400 '!$L$7*(J793^3)+'CAFCO 400 '!$L$8*(J793^2)+'CAFCO 400 '!$L$9*J793+'CAFCO 400 '!$L$10)*U793^2)+(('CAFCO 400 '!$L$11*(J793^3)+'CAFCO 400 '!$L$12*(J793^2)+'CAFCO 400 '!$L$13*J793+'CAFCO 400 '!$L$14)*U793)+('CAFCO 400 '!$L$15*LN(J793)+'CAFCO 400 '!$L$16)),0)+IF(AND(L793="Cafco 400",M793="Software Idiem",C793="L"),((('CAFCO 400 '!$L$7*(J793^3)+'CAFCO 400 '!$L$8*(J793^2)+'CAFCO 400 '!$L$9*J793+'CAFCO 400 '!$L$10)*U793^2)+(('CAFCO 400 '!$L$11*(J793^3)+'CAFCO 400 '!$L$12*(J793^2)+'CAFCO 400 '!$L$13*J793+'CAFCO 400 '!$L$14)*U793)+('CAFCO 400 '!$L$15*LN(J793)+'CAFCO 400 '!$L$16)),0)+IF(AND(L793="Cafco 400",M793="Software Idiem",C793="IN",G793=3),((('CAFCO 400 '!$D$23*(J793^2)+'CAFCO 400 '!$D$24*(J793)+'CAFCO 400 '!$D$25)*U793^2)+(('CAFCO 400 '!$D$26*(J793^2)+'CAFCO 400 '!$D$27*J793+'CAFCO 400 '!$D$28)*U793)+('CAFCO 400 '!$D$29*(J793^2)+'CAFCO 400 '!$D$30*J793+'CAFCO 400 '!$D$31)),0),0)+IF(AND(L793="Cafco 300",J793&gt;=95,J793&lt;=240,C793="Cj",I793=90),VLOOKUP(T793,'CAFCO 300 IDIEM TABLAS'!$B$4:$D$23,2,FALSE),0)+IF(AND(L793="Cafco 300",J793&gt;=95,J793&lt;=240,C793="Cj",I793=120),VLOOKUP(T793,'CAFCO 300 IDIEM TABLAS'!$B$4:$D$23,3,FALSE),0)+IF(AND(L793="Cafco 300",J793&gt;=95,J793&lt;=400,G793=3,C793="IN",I793=90),VLOOKUP(T793,'CAFCO 300 IDIEM TABLAS'!$F$4:$H$35,2,FALSE),0)+IF(AND(L793="Cafco 300",J793&gt;=95,J793&lt;=400,G793=3,C793="IN",I793=120),VLOOKUP(T793,'CAFCO 300 IDIEM TABLAS'!$F$4:$H$35,3,FALSE),0)+IF(AND(L793="Cafco 300",J793&gt;=95,J793&lt;=450,G793=4,C793="IN",I793=90),VLOOKUP(T793,'CAFCO 300 IDIEM TABLAS'!$J$4:$L$40,2,FALSE),0)+IF(AND(L793="Cafco 300",J793&gt;=95,J793&lt;=450,G793=4,C793="IN",I793=120),VLOOKUP(T793,'CAFCO 300 IDIEM TABLAS'!$J$4:$L$40,3,FALSE),0)+IF(AND(M793="Ensayo Idiem",L793="Cafco 400",C793="IN",G793=4,I793=90),VLOOKUP(T793,'CAFCO 400 ENSAYO'!$B$7:$D$43,2,FALSE),0)+IF(AND(M793="Ensayo Idiem",L793="Cafco 400",C793="IN",G793=4,I793=120),VLOOKUP(T793,'CAFCO 400 ENSAYO'!$B$7:$D$43,3,FALSE),0)</f>
        <v>0</v>
      </c>
      <c r="O793" s="96">
        <f t="shared" si="84"/>
        <v>0</v>
      </c>
      <c r="P793" s="132" t="str">
        <f t="shared" si="79"/>
        <v>N/A</v>
      </c>
      <c r="Q793" s="132" t="str">
        <f t="shared" si="80"/>
        <v>N/A</v>
      </c>
      <c r="R793" s="132" t="str">
        <f t="shared" si="81"/>
        <v>NO CERT.</v>
      </c>
      <c r="S793" s="132" t="e">
        <f t="shared" si="82"/>
        <v>#N/A</v>
      </c>
      <c r="T793" s="133" t="e">
        <f>+IF(J793=LOOKUP(J793,'CAFCO 300 IDIEM TABLAS'!$J$4:$J$40),'CALCULO MORTERO'!J793,MROUND('CALCULO MORTERO'!J793,10))</f>
        <v>#N/A</v>
      </c>
      <c r="U793" s="134">
        <f t="shared" si="83"/>
        <v>0</v>
      </c>
    </row>
    <row r="794" spans="1:21" x14ac:dyDescent="0.25">
      <c r="A794" s="118">
        <f>+CUBICACION!D788</f>
        <v>0</v>
      </c>
      <c r="B794" s="819">
        <f>+CUBICACION!E788</f>
        <v>0</v>
      </c>
      <c r="C794" s="675">
        <f>+CUBICACION!F788</f>
        <v>0</v>
      </c>
      <c r="D794" s="118"/>
      <c r="E794" s="118"/>
      <c r="F794" s="820"/>
      <c r="G794" s="675">
        <f>+CUBICACION!J788</f>
        <v>0</v>
      </c>
      <c r="H794" s="118"/>
      <c r="I794" s="821">
        <f>+CUBICACION!L788</f>
        <v>0</v>
      </c>
      <c r="J794" s="64">
        <f>+CUBICACION!M788</f>
        <v>0</v>
      </c>
      <c r="K794" s="822" t="str">
        <f>+CUBICACION!N788</f>
        <v/>
      </c>
      <c r="L794" s="118">
        <f>+CUBICACION!O788</f>
        <v>0</v>
      </c>
      <c r="M794" s="823">
        <f>+CUBICACION!P788</f>
        <v>0</v>
      </c>
      <c r="N794" s="902">
        <f>ROUND(IF(AND(L794="Blaze Shield II",M794="Software Idiem",C794="IN",G794=4),((('BLAZE SHIELD II'!$D$4*('CALCULO MORTERO'!I794^2)+'BLAZE SHIELD II'!$D$5*'CALCULO MORTERO'!I794+'BLAZE SHIELD II'!$D$6)*LN(J794))+('BLAZE SHIELD II'!$D$7*('CALCULO MORTERO'!I794^2)+'BLAZE SHIELD II'!$D$8*'CALCULO MORTERO'!I794+'BLAZE SHIELD II'!$D$9)),0)+IF(AND(L794="Blaze Shield II",M794="Software Idiem",C794="Cj"),((('BLAZE SHIELD II'!$H$4*('CALCULO MORTERO'!I794^2)+'BLAZE SHIELD II'!$H$5*'CALCULO MORTERO'!I794+'BLAZE SHIELD II'!$H$6)*LN(J794))+('BLAZE SHIELD II'!$H$7*('CALCULO MORTERO'!I794^2)+'BLAZE SHIELD II'!$H$8*'CALCULO MORTERO'!I794+'BLAZE SHIELD II'!$H$9)),0)+IF(AND(L794="Blaze Shield II",M794="Software Idiem",C794="C"),((('BLAZE SHIELD II'!$L$4*('CALCULO MORTERO'!I794^2)+'BLAZE SHIELD II'!$L$5*'CALCULO MORTERO'!I794+'BLAZE SHIELD II'!$L$6)*LN(J794))+('BLAZE SHIELD II'!$L$7*('CALCULO MORTERO'!I794^2)+'BLAZE SHIELD II'!$L$8*'CALCULO MORTERO'!I794+'BLAZE SHIELD II'!$L$9)),0)+IF(AND(L794="Blaze Shield II",M794="Software Idiem",C794="L"),((('BLAZE SHIELD II'!$L$4*('CALCULO MORTERO'!I794^2)+'BLAZE SHIELD II'!$L$5*'CALCULO MORTERO'!I794+'BLAZE SHIELD II'!$L$6)*LN(J794))+('BLAZE SHIELD II'!$L$7*('CALCULO MORTERO'!I794^2)+'BLAZE SHIELD II'!$L$8*'CALCULO MORTERO'!I794+'BLAZE SHIELD II'!$L$9)),0)+IF(AND(L794="Blaze Shield II",M794="Software Idiem",C794="IN",G794=3),((('BLAZE SHIELD II'!$H$14*('CALCULO MORTERO'!I794^2)+'BLAZE SHIELD II'!$H$15*'CALCULO MORTERO'!I794+'BLAZE SHIELD II'!$H$16)*LN(J794))+('BLAZE SHIELD II'!$H$17*('CALCULO MORTERO'!I794^2)+'BLAZE SHIELD II'!$H$18*'CALCULO MORTERO'!I794+'BLAZE SHIELD II'!$H$19)),0),0)+ROUND(IF(AND(L794="Cafco 400",M794="Software Idiem",C794="IN",G794=4),((('CAFCO 400 '!$H$7*(J794^4)+'CAFCO 400 '!$H$8*(J794^3)+'CAFCO 400 '!$H$9*(J794^2)+'CAFCO 400 '!$H$10*J794+'CAFCO 400 '!$H$11)*U794^2)+(('CAFCO 400 '!$H$12*(J794^3)+'CAFCO 400 '!$H$13*(J794^2)+'CAFCO 400 '!$H$14*J794+'CAFCO 400 '!$H$15)*U794)+('CAFCO 400 '!$H$16*(J794^2)+'CAFCO 400 '!$H$17*J794+'CAFCO 400 '!$H$18)),0)+IF(AND(L794="Cafco 400",M794="Software Idiem",C794="Cj"),(((('CAFCO 400 '!$D$7*LN(J794)+'CAFCO 400 '!$D$8)*U794^2)+(('CAFCO 400 '!$D$9*LN(J794)+'CAFCO 400 '!$D$10)*U794)+('CAFCO 400 '!$D$11*LN(J794)+'CAFCO 400 '!$D$12))),0)+IF(AND(L794="Cafco 400",M794="Software Idiem",C794="C"),((('CAFCO 400 '!$L$7*(J794^3)+'CAFCO 400 '!$L$8*(J794^2)+'CAFCO 400 '!$L$9*J794+'CAFCO 400 '!$L$10)*U794^2)+(('CAFCO 400 '!$L$11*(J794^3)+'CAFCO 400 '!$L$12*(J794^2)+'CAFCO 400 '!$L$13*J794+'CAFCO 400 '!$L$14)*U794)+('CAFCO 400 '!$L$15*LN(J794)+'CAFCO 400 '!$L$16)),0)+IF(AND(L794="Cafco 400",M794="Software Idiem",C794="L"),((('CAFCO 400 '!$L$7*(J794^3)+'CAFCO 400 '!$L$8*(J794^2)+'CAFCO 400 '!$L$9*J794+'CAFCO 400 '!$L$10)*U794^2)+(('CAFCO 400 '!$L$11*(J794^3)+'CAFCO 400 '!$L$12*(J794^2)+'CAFCO 400 '!$L$13*J794+'CAFCO 400 '!$L$14)*U794)+('CAFCO 400 '!$L$15*LN(J794)+'CAFCO 400 '!$L$16)),0)+IF(AND(L794="Cafco 400",M794="Software Idiem",C794="IN",G794=3),((('CAFCO 400 '!$D$23*(J794^2)+'CAFCO 400 '!$D$24*(J794)+'CAFCO 400 '!$D$25)*U794^2)+(('CAFCO 400 '!$D$26*(J794^2)+'CAFCO 400 '!$D$27*J794+'CAFCO 400 '!$D$28)*U794)+('CAFCO 400 '!$D$29*(J794^2)+'CAFCO 400 '!$D$30*J794+'CAFCO 400 '!$D$31)),0),0)+IF(AND(L794="Cafco 300",J794&gt;=95,J794&lt;=240,C794="Cj",I794=90),VLOOKUP(T794,'CAFCO 300 IDIEM TABLAS'!$B$4:$D$23,2,FALSE),0)+IF(AND(L794="Cafco 300",J794&gt;=95,J794&lt;=240,C794="Cj",I794=120),VLOOKUP(T794,'CAFCO 300 IDIEM TABLAS'!$B$4:$D$23,3,FALSE),0)+IF(AND(L794="Cafco 300",J794&gt;=95,J794&lt;=400,G794=3,C794="IN",I794=90),VLOOKUP(T794,'CAFCO 300 IDIEM TABLAS'!$F$4:$H$35,2,FALSE),0)+IF(AND(L794="Cafco 300",J794&gt;=95,J794&lt;=400,G794=3,C794="IN",I794=120),VLOOKUP(T794,'CAFCO 300 IDIEM TABLAS'!$F$4:$H$35,3,FALSE),0)+IF(AND(L794="Cafco 300",J794&gt;=95,J794&lt;=450,G794=4,C794="IN",I794=90),VLOOKUP(T794,'CAFCO 300 IDIEM TABLAS'!$J$4:$L$40,2,FALSE),0)+IF(AND(L794="Cafco 300",J794&gt;=95,J794&lt;=450,G794=4,C794="IN",I794=120),VLOOKUP(T794,'CAFCO 300 IDIEM TABLAS'!$J$4:$L$40,3,FALSE),0)+IF(AND(M794="Ensayo Idiem",L794="Cafco 400",C794="IN",G794=4,I794=90),VLOOKUP(T794,'CAFCO 400 ENSAYO'!$B$7:$D$43,2,FALSE),0)+IF(AND(M794="Ensayo Idiem",L794="Cafco 400",C794="IN",G794=4,I794=120),VLOOKUP(T794,'CAFCO 400 ENSAYO'!$B$7:$D$43,3,FALSE),0)</f>
        <v>0</v>
      </c>
      <c r="O794" s="96">
        <f t="shared" si="84"/>
        <v>0</v>
      </c>
      <c r="P794" s="95" t="str">
        <f t="shared" si="79"/>
        <v>N/A</v>
      </c>
      <c r="Q794" s="95" t="str">
        <f t="shared" si="80"/>
        <v>N/A</v>
      </c>
      <c r="R794" s="95" t="str">
        <f t="shared" si="81"/>
        <v>NO CERT.</v>
      </c>
      <c r="S794" s="95" t="e">
        <f t="shared" si="82"/>
        <v>#N/A</v>
      </c>
      <c r="T794" s="119" t="e">
        <f>+IF(J794=LOOKUP(J794,'CAFCO 300 IDIEM TABLAS'!$J$4:$J$40),'CALCULO MORTERO'!J794,MROUND('CALCULO MORTERO'!J794,10))</f>
        <v>#N/A</v>
      </c>
      <c r="U794" s="118">
        <f t="shared" si="83"/>
        <v>0</v>
      </c>
    </row>
    <row r="795" spans="1:21" x14ac:dyDescent="0.25">
      <c r="A795" s="118">
        <f>+CUBICACION!D789</f>
        <v>0</v>
      </c>
      <c r="B795" s="819">
        <f>+CUBICACION!E789</f>
        <v>0</v>
      </c>
      <c r="C795" s="675">
        <f>+CUBICACION!F789</f>
        <v>0</v>
      </c>
      <c r="D795" s="118"/>
      <c r="E795" s="118"/>
      <c r="F795" s="820"/>
      <c r="G795" s="675">
        <f>+CUBICACION!J789</f>
        <v>0</v>
      </c>
      <c r="H795" s="118"/>
      <c r="I795" s="821">
        <f>+CUBICACION!L789</f>
        <v>0</v>
      </c>
      <c r="J795" s="64">
        <f>+CUBICACION!M789</f>
        <v>0</v>
      </c>
      <c r="K795" s="822" t="str">
        <f>+CUBICACION!N789</f>
        <v/>
      </c>
      <c r="L795" s="118">
        <f>+CUBICACION!O789</f>
        <v>0</v>
      </c>
      <c r="M795" s="823">
        <f>+CUBICACION!P789</f>
        <v>0</v>
      </c>
      <c r="N795" s="902">
        <f>ROUND(IF(AND(L795="Blaze Shield II",M795="Software Idiem",C795="IN",G795=4),((('BLAZE SHIELD II'!$D$4*('CALCULO MORTERO'!I795^2)+'BLAZE SHIELD II'!$D$5*'CALCULO MORTERO'!I795+'BLAZE SHIELD II'!$D$6)*LN(J795))+('BLAZE SHIELD II'!$D$7*('CALCULO MORTERO'!I795^2)+'BLAZE SHIELD II'!$D$8*'CALCULO MORTERO'!I795+'BLAZE SHIELD II'!$D$9)),0)+IF(AND(L795="Blaze Shield II",M795="Software Idiem",C795="Cj"),((('BLAZE SHIELD II'!$H$4*('CALCULO MORTERO'!I795^2)+'BLAZE SHIELD II'!$H$5*'CALCULO MORTERO'!I795+'BLAZE SHIELD II'!$H$6)*LN(J795))+('BLAZE SHIELD II'!$H$7*('CALCULO MORTERO'!I795^2)+'BLAZE SHIELD II'!$H$8*'CALCULO MORTERO'!I795+'BLAZE SHIELD II'!$H$9)),0)+IF(AND(L795="Blaze Shield II",M795="Software Idiem",C795="C"),((('BLAZE SHIELD II'!$L$4*('CALCULO MORTERO'!I795^2)+'BLAZE SHIELD II'!$L$5*'CALCULO MORTERO'!I795+'BLAZE SHIELD II'!$L$6)*LN(J795))+('BLAZE SHIELD II'!$L$7*('CALCULO MORTERO'!I795^2)+'BLAZE SHIELD II'!$L$8*'CALCULO MORTERO'!I795+'BLAZE SHIELD II'!$L$9)),0)+IF(AND(L795="Blaze Shield II",M795="Software Idiem",C795="L"),((('BLAZE SHIELD II'!$L$4*('CALCULO MORTERO'!I795^2)+'BLAZE SHIELD II'!$L$5*'CALCULO MORTERO'!I795+'BLAZE SHIELD II'!$L$6)*LN(J795))+('BLAZE SHIELD II'!$L$7*('CALCULO MORTERO'!I795^2)+'BLAZE SHIELD II'!$L$8*'CALCULO MORTERO'!I795+'BLAZE SHIELD II'!$L$9)),0)+IF(AND(L795="Blaze Shield II",M795="Software Idiem",C795="IN",G795=3),((('BLAZE SHIELD II'!$H$14*('CALCULO MORTERO'!I795^2)+'BLAZE SHIELD II'!$H$15*'CALCULO MORTERO'!I795+'BLAZE SHIELD II'!$H$16)*LN(J795))+('BLAZE SHIELD II'!$H$17*('CALCULO MORTERO'!I795^2)+'BLAZE SHIELD II'!$H$18*'CALCULO MORTERO'!I795+'BLAZE SHIELD II'!$H$19)),0),0)+ROUND(IF(AND(L795="Cafco 400",M795="Software Idiem",C795="IN",G795=4),((('CAFCO 400 '!$H$7*(J795^4)+'CAFCO 400 '!$H$8*(J795^3)+'CAFCO 400 '!$H$9*(J795^2)+'CAFCO 400 '!$H$10*J795+'CAFCO 400 '!$H$11)*U795^2)+(('CAFCO 400 '!$H$12*(J795^3)+'CAFCO 400 '!$H$13*(J795^2)+'CAFCO 400 '!$H$14*J795+'CAFCO 400 '!$H$15)*U795)+('CAFCO 400 '!$H$16*(J795^2)+'CAFCO 400 '!$H$17*J795+'CAFCO 400 '!$H$18)),0)+IF(AND(L795="Cafco 400",M795="Software Idiem",C795="Cj"),(((('CAFCO 400 '!$D$7*LN(J795)+'CAFCO 400 '!$D$8)*U795^2)+(('CAFCO 400 '!$D$9*LN(J795)+'CAFCO 400 '!$D$10)*U795)+('CAFCO 400 '!$D$11*LN(J795)+'CAFCO 400 '!$D$12))),0)+IF(AND(L795="Cafco 400",M795="Software Idiem",C795="C"),((('CAFCO 400 '!$L$7*(J795^3)+'CAFCO 400 '!$L$8*(J795^2)+'CAFCO 400 '!$L$9*J795+'CAFCO 400 '!$L$10)*U795^2)+(('CAFCO 400 '!$L$11*(J795^3)+'CAFCO 400 '!$L$12*(J795^2)+'CAFCO 400 '!$L$13*J795+'CAFCO 400 '!$L$14)*U795)+('CAFCO 400 '!$L$15*LN(J795)+'CAFCO 400 '!$L$16)),0)+IF(AND(L795="Cafco 400",M795="Software Idiem",C795="L"),((('CAFCO 400 '!$L$7*(J795^3)+'CAFCO 400 '!$L$8*(J795^2)+'CAFCO 400 '!$L$9*J795+'CAFCO 400 '!$L$10)*U795^2)+(('CAFCO 400 '!$L$11*(J795^3)+'CAFCO 400 '!$L$12*(J795^2)+'CAFCO 400 '!$L$13*J795+'CAFCO 400 '!$L$14)*U795)+('CAFCO 400 '!$L$15*LN(J795)+'CAFCO 400 '!$L$16)),0)+IF(AND(L795="Cafco 400",M795="Software Idiem",C795="IN",G795=3),((('CAFCO 400 '!$D$23*(J795^2)+'CAFCO 400 '!$D$24*(J795)+'CAFCO 400 '!$D$25)*U795^2)+(('CAFCO 400 '!$D$26*(J795^2)+'CAFCO 400 '!$D$27*J795+'CAFCO 400 '!$D$28)*U795)+('CAFCO 400 '!$D$29*(J795^2)+'CAFCO 400 '!$D$30*J795+'CAFCO 400 '!$D$31)),0),0)+IF(AND(L795="Cafco 300",J795&gt;=95,J795&lt;=240,C795="Cj",I795=90),VLOOKUP(T795,'CAFCO 300 IDIEM TABLAS'!$B$4:$D$23,2,FALSE),0)+IF(AND(L795="Cafco 300",J795&gt;=95,J795&lt;=240,C795="Cj",I795=120),VLOOKUP(T795,'CAFCO 300 IDIEM TABLAS'!$B$4:$D$23,3,FALSE),0)+IF(AND(L795="Cafco 300",J795&gt;=95,J795&lt;=400,G795=3,C795="IN",I795=90),VLOOKUP(T795,'CAFCO 300 IDIEM TABLAS'!$F$4:$H$35,2,FALSE),0)+IF(AND(L795="Cafco 300",J795&gt;=95,J795&lt;=400,G795=3,C795="IN",I795=120),VLOOKUP(T795,'CAFCO 300 IDIEM TABLAS'!$F$4:$H$35,3,FALSE),0)+IF(AND(L795="Cafco 300",J795&gt;=95,J795&lt;=450,G795=4,C795="IN",I795=90),VLOOKUP(T795,'CAFCO 300 IDIEM TABLAS'!$J$4:$L$40,2,FALSE),0)+IF(AND(L795="Cafco 300",J795&gt;=95,J795&lt;=450,G795=4,C795="IN",I795=120),VLOOKUP(T795,'CAFCO 300 IDIEM TABLAS'!$J$4:$L$40,3,FALSE),0)+IF(AND(M795="Ensayo Idiem",L795="Cafco 400",C795="IN",G795=4,I795=90),VLOOKUP(T795,'CAFCO 400 ENSAYO'!$B$7:$D$43,2,FALSE),0)+IF(AND(M795="Ensayo Idiem",L795="Cafco 400",C795="IN",G795=4,I795=120),VLOOKUP(T795,'CAFCO 400 ENSAYO'!$B$7:$D$43,3,FALSE),0)</f>
        <v>0</v>
      </c>
      <c r="O795" s="96">
        <f t="shared" si="84"/>
        <v>0</v>
      </c>
      <c r="P795" s="132" t="str">
        <f t="shared" si="79"/>
        <v>N/A</v>
      </c>
      <c r="Q795" s="132" t="str">
        <f t="shared" si="80"/>
        <v>N/A</v>
      </c>
      <c r="R795" s="132" t="str">
        <f t="shared" si="81"/>
        <v>NO CERT.</v>
      </c>
      <c r="S795" s="132" t="e">
        <f t="shared" si="82"/>
        <v>#N/A</v>
      </c>
      <c r="T795" s="133" t="e">
        <f>+IF(J795=LOOKUP(J795,'CAFCO 300 IDIEM TABLAS'!$J$4:$J$40),'CALCULO MORTERO'!J795,MROUND('CALCULO MORTERO'!J795,10))</f>
        <v>#N/A</v>
      </c>
      <c r="U795" s="134">
        <f t="shared" si="83"/>
        <v>0</v>
      </c>
    </row>
    <row r="796" spans="1:21" x14ac:dyDescent="0.25">
      <c r="A796" s="118">
        <f>+CUBICACION!D790</f>
        <v>0</v>
      </c>
      <c r="B796" s="819">
        <f>+CUBICACION!E790</f>
        <v>0</v>
      </c>
      <c r="C796" s="675">
        <f>+CUBICACION!F790</f>
        <v>0</v>
      </c>
      <c r="D796" s="118"/>
      <c r="E796" s="118"/>
      <c r="F796" s="820"/>
      <c r="G796" s="675">
        <f>+CUBICACION!J790</f>
        <v>0</v>
      </c>
      <c r="H796" s="118"/>
      <c r="I796" s="821">
        <f>+CUBICACION!L790</f>
        <v>0</v>
      </c>
      <c r="J796" s="64">
        <f>+CUBICACION!M790</f>
        <v>0</v>
      </c>
      <c r="K796" s="822" t="str">
        <f>+CUBICACION!N790</f>
        <v/>
      </c>
      <c r="L796" s="118">
        <f>+CUBICACION!O790</f>
        <v>0</v>
      </c>
      <c r="M796" s="823">
        <f>+CUBICACION!P790</f>
        <v>0</v>
      </c>
      <c r="N796" s="902">
        <f>ROUND(IF(AND(L796="Blaze Shield II",M796="Software Idiem",C796="IN",G796=4),((('BLAZE SHIELD II'!$D$4*('CALCULO MORTERO'!I796^2)+'BLAZE SHIELD II'!$D$5*'CALCULO MORTERO'!I796+'BLAZE SHIELD II'!$D$6)*LN(J796))+('BLAZE SHIELD II'!$D$7*('CALCULO MORTERO'!I796^2)+'BLAZE SHIELD II'!$D$8*'CALCULO MORTERO'!I796+'BLAZE SHIELD II'!$D$9)),0)+IF(AND(L796="Blaze Shield II",M796="Software Idiem",C796="Cj"),((('BLAZE SHIELD II'!$H$4*('CALCULO MORTERO'!I796^2)+'BLAZE SHIELD II'!$H$5*'CALCULO MORTERO'!I796+'BLAZE SHIELD II'!$H$6)*LN(J796))+('BLAZE SHIELD II'!$H$7*('CALCULO MORTERO'!I796^2)+'BLAZE SHIELD II'!$H$8*'CALCULO MORTERO'!I796+'BLAZE SHIELD II'!$H$9)),0)+IF(AND(L796="Blaze Shield II",M796="Software Idiem",C796="C"),((('BLAZE SHIELD II'!$L$4*('CALCULO MORTERO'!I796^2)+'BLAZE SHIELD II'!$L$5*'CALCULO MORTERO'!I796+'BLAZE SHIELD II'!$L$6)*LN(J796))+('BLAZE SHIELD II'!$L$7*('CALCULO MORTERO'!I796^2)+'BLAZE SHIELD II'!$L$8*'CALCULO MORTERO'!I796+'BLAZE SHIELD II'!$L$9)),0)+IF(AND(L796="Blaze Shield II",M796="Software Idiem",C796="L"),((('BLAZE SHIELD II'!$L$4*('CALCULO MORTERO'!I796^2)+'BLAZE SHIELD II'!$L$5*'CALCULO MORTERO'!I796+'BLAZE SHIELD II'!$L$6)*LN(J796))+('BLAZE SHIELD II'!$L$7*('CALCULO MORTERO'!I796^2)+'BLAZE SHIELD II'!$L$8*'CALCULO MORTERO'!I796+'BLAZE SHIELD II'!$L$9)),0)+IF(AND(L796="Blaze Shield II",M796="Software Idiem",C796="IN",G796=3),((('BLAZE SHIELD II'!$H$14*('CALCULO MORTERO'!I796^2)+'BLAZE SHIELD II'!$H$15*'CALCULO MORTERO'!I796+'BLAZE SHIELD II'!$H$16)*LN(J796))+('BLAZE SHIELD II'!$H$17*('CALCULO MORTERO'!I796^2)+'BLAZE SHIELD II'!$H$18*'CALCULO MORTERO'!I796+'BLAZE SHIELD II'!$H$19)),0),0)+ROUND(IF(AND(L796="Cafco 400",M796="Software Idiem",C796="IN",G796=4),((('CAFCO 400 '!$H$7*(J796^4)+'CAFCO 400 '!$H$8*(J796^3)+'CAFCO 400 '!$H$9*(J796^2)+'CAFCO 400 '!$H$10*J796+'CAFCO 400 '!$H$11)*U796^2)+(('CAFCO 400 '!$H$12*(J796^3)+'CAFCO 400 '!$H$13*(J796^2)+'CAFCO 400 '!$H$14*J796+'CAFCO 400 '!$H$15)*U796)+('CAFCO 400 '!$H$16*(J796^2)+'CAFCO 400 '!$H$17*J796+'CAFCO 400 '!$H$18)),0)+IF(AND(L796="Cafco 400",M796="Software Idiem",C796="Cj"),(((('CAFCO 400 '!$D$7*LN(J796)+'CAFCO 400 '!$D$8)*U796^2)+(('CAFCO 400 '!$D$9*LN(J796)+'CAFCO 400 '!$D$10)*U796)+('CAFCO 400 '!$D$11*LN(J796)+'CAFCO 400 '!$D$12))),0)+IF(AND(L796="Cafco 400",M796="Software Idiem",C796="C"),((('CAFCO 400 '!$L$7*(J796^3)+'CAFCO 400 '!$L$8*(J796^2)+'CAFCO 400 '!$L$9*J796+'CAFCO 400 '!$L$10)*U796^2)+(('CAFCO 400 '!$L$11*(J796^3)+'CAFCO 400 '!$L$12*(J796^2)+'CAFCO 400 '!$L$13*J796+'CAFCO 400 '!$L$14)*U796)+('CAFCO 400 '!$L$15*LN(J796)+'CAFCO 400 '!$L$16)),0)+IF(AND(L796="Cafco 400",M796="Software Idiem",C796="L"),((('CAFCO 400 '!$L$7*(J796^3)+'CAFCO 400 '!$L$8*(J796^2)+'CAFCO 400 '!$L$9*J796+'CAFCO 400 '!$L$10)*U796^2)+(('CAFCO 400 '!$L$11*(J796^3)+'CAFCO 400 '!$L$12*(J796^2)+'CAFCO 400 '!$L$13*J796+'CAFCO 400 '!$L$14)*U796)+('CAFCO 400 '!$L$15*LN(J796)+'CAFCO 400 '!$L$16)),0)+IF(AND(L796="Cafco 400",M796="Software Idiem",C796="IN",G796=3),((('CAFCO 400 '!$D$23*(J796^2)+'CAFCO 400 '!$D$24*(J796)+'CAFCO 400 '!$D$25)*U796^2)+(('CAFCO 400 '!$D$26*(J796^2)+'CAFCO 400 '!$D$27*J796+'CAFCO 400 '!$D$28)*U796)+('CAFCO 400 '!$D$29*(J796^2)+'CAFCO 400 '!$D$30*J796+'CAFCO 400 '!$D$31)),0),0)+IF(AND(L796="Cafco 300",J796&gt;=95,J796&lt;=240,C796="Cj",I796=90),VLOOKUP(T796,'CAFCO 300 IDIEM TABLAS'!$B$4:$D$23,2,FALSE),0)+IF(AND(L796="Cafco 300",J796&gt;=95,J796&lt;=240,C796="Cj",I796=120),VLOOKUP(T796,'CAFCO 300 IDIEM TABLAS'!$B$4:$D$23,3,FALSE),0)+IF(AND(L796="Cafco 300",J796&gt;=95,J796&lt;=400,G796=3,C796="IN",I796=90),VLOOKUP(T796,'CAFCO 300 IDIEM TABLAS'!$F$4:$H$35,2,FALSE),0)+IF(AND(L796="Cafco 300",J796&gt;=95,J796&lt;=400,G796=3,C796="IN",I796=120),VLOOKUP(T796,'CAFCO 300 IDIEM TABLAS'!$F$4:$H$35,3,FALSE),0)+IF(AND(L796="Cafco 300",J796&gt;=95,J796&lt;=450,G796=4,C796="IN",I796=90),VLOOKUP(T796,'CAFCO 300 IDIEM TABLAS'!$J$4:$L$40,2,FALSE),0)+IF(AND(L796="Cafco 300",J796&gt;=95,J796&lt;=450,G796=4,C796="IN",I796=120),VLOOKUP(T796,'CAFCO 300 IDIEM TABLAS'!$J$4:$L$40,3,FALSE),0)+IF(AND(M796="Ensayo Idiem",L796="Cafco 400",C796="IN",G796=4,I796=90),VLOOKUP(T796,'CAFCO 400 ENSAYO'!$B$7:$D$43,2,FALSE),0)+IF(AND(M796="Ensayo Idiem",L796="Cafco 400",C796="IN",G796=4,I796=120),VLOOKUP(T796,'CAFCO 400 ENSAYO'!$B$7:$D$43,3,FALSE),0)</f>
        <v>0</v>
      </c>
      <c r="O796" s="96">
        <f t="shared" si="84"/>
        <v>0</v>
      </c>
      <c r="P796" s="95" t="str">
        <f t="shared" si="79"/>
        <v>N/A</v>
      </c>
      <c r="Q796" s="95" t="str">
        <f t="shared" si="80"/>
        <v>N/A</v>
      </c>
      <c r="R796" s="95" t="str">
        <f t="shared" si="81"/>
        <v>NO CERT.</v>
      </c>
      <c r="S796" s="95" t="e">
        <f t="shared" si="82"/>
        <v>#N/A</v>
      </c>
      <c r="T796" s="119" t="e">
        <f>+IF(J796=LOOKUP(J796,'CAFCO 300 IDIEM TABLAS'!$J$4:$J$40),'CALCULO MORTERO'!J796,MROUND('CALCULO MORTERO'!J796,10))</f>
        <v>#N/A</v>
      </c>
      <c r="U796" s="118">
        <f t="shared" si="83"/>
        <v>0</v>
      </c>
    </row>
    <row r="797" spans="1:21" x14ac:dyDescent="0.25">
      <c r="A797" s="118">
        <f>+CUBICACION!D791</f>
        <v>0</v>
      </c>
      <c r="B797" s="819">
        <f>+CUBICACION!E791</f>
        <v>0</v>
      </c>
      <c r="C797" s="675">
        <f>+CUBICACION!F791</f>
        <v>0</v>
      </c>
      <c r="D797" s="118"/>
      <c r="E797" s="118"/>
      <c r="F797" s="820"/>
      <c r="G797" s="675">
        <f>+CUBICACION!J791</f>
        <v>0</v>
      </c>
      <c r="H797" s="118"/>
      <c r="I797" s="821">
        <f>+CUBICACION!L791</f>
        <v>0</v>
      </c>
      <c r="J797" s="64">
        <f>+CUBICACION!M791</f>
        <v>0</v>
      </c>
      <c r="K797" s="822" t="str">
        <f>+CUBICACION!N791</f>
        <v/>
      </c>
      <c r="L797" s="118">
        <f>+CUBICACION!O791</f>
        <v>0</v>
      </c>
      <c r="M797" s="823">
        <f>+CUBICACION!P791</f>
        <v>0</v>
      </c>
      <c r="N797" s="902">
        <f>ROUND(IF(AND(L797="Blaze Shield II",M797="Software Idiem",C797="IN",G797=4),((('BLAZE SHIELD II'!$D$4*('CALCULO MORTERO'!I797^2)+'BLAZE SHIELD II'!$D$5*'CALCULO MORTERO'!I797+'BLAZE SHIELD II'!$D$6)*LN(J797))+('BLAZE SHIELD II'!$D$7*('CALCULO MORTERO'!I797^2)+'BLAZE SHIELD II'!$D$8*'CALCULO MORTERO'!I797+'BLAZE SHIELD II'!$D$9)),0)+IF(AND(L797="Blaze Shield II",M797="Software Idiem",C797="Cj"),((('BLAZE SHIELD II'!$H$4*('CALCULO MORTERO'!I797^2)+'BLAZE SHIELD II'!$H$5*'CALCULO MORTERO'!I797+'BLAZE SHIELD II'!$H$6)*LN(J797))+('BLAZE SHIELD II'!$H$7*('CALCULO MORTERO'!I797^2)+'BLAZE SHIELD II'!$H$8*'CALCULO MORTERO'!I797+'BLAZE SHIELD II'!$H$9)),0)+IF(AND(L797="Blaze Shield II",M797="Software Idiem",C797="C"),((('BLAZE SHIELD II'!$L$4*('CALCULO MORTERO'!I797^2)+'BLAZE SHIELD II'!$L$5*'CALCULO MORTERO'!I797+'BLAZE SHIELD II'!$L$6)*LN(J797))+('BLAZE SHIELD II'!$L$7*('CALCULO MORTERO'!I797^2)+'BLAZE SHIELD II'!$L$8*'CALCULO MORTERO'!I797+'BLAZE SHIELD II'!$L$9)),0)+IF(AND(L797="Blaze Shield II",M797="Software Idiem",C797="L"),((('BLAZE SHIELD II'!$L$4*('CALCULO MORTERO'!I797^2)+'BLAZE SHIELD II'!$L$5*'CALCULO MORTERO'!I797+'BLAZE SHIELD II'!$L$6)*LN(J797))+('BLAZE SHIELD II'!$L$7*('CALCULO MORTERO'!I797^2)+'BLAZE SHIELD II'!$L$8*'CALCULO MORTERO'!I797+'BLAZE SHIELD II'!$L$9)),0)+IF(AND(L797="Blaze Shield II",M797="Software Idiem",C797="IN",G797=3),((('BLAZE SHIELD II'!$H$14*('CALCULO MORTERO'!I797^2)+'BLAZE SHIELD II'!$H$15*'CALCULO MORTERO'!I797+'BLAZE SHIELD II'!$H$16)*LN(J797))+('BLAZE SHIELD II'!$H$17*('CALCULO MORTERO'!I797^2)+'BLAZE SHIELD II'!$H$18*'CALCULO MORTERO'!I797+'BLAZE SHIELD II'!$H$19)),0),0)+ROUND(IF(AND(L797="Cafco 400",M797="Software Idiem",C797="IN",G797=4),((('CAFCO 400 '!$H$7*(J797^4)+'CAFCO 400 '!$H$8*(J797^3)+'CAFCO 400 '!$H$9*(J797^2)+'CAFCO 400 '!$H$10*J797+'CAFCO 400 '!$H$11)*U797^2)+(('CAFCO 400 '!$H$12*(J797^3)+'CAFCO 400 '!$H$13*(J797^2)+'CAFCO 400 '!$H$14*J797+'CAFCO 400 '!$H$15)*U797)+('CAFCO 400 '!$H$16*(J797^2)+'CAFCO 400 '!$H$17*J797+'CAFCO 400 '!$H$18)),0)+IF(AND(L797="Cafco 400",M797="Software Idiem",C797="Cj"),(((('CAFCO 400 '!$D$7*LN(J797)+'CAFCO 400 '!$D$8)*U797^2)+(('CAFCO 400 '!$D$9*LN(J797)+'CAFCO 400 '!$D$10)*U797)+('CAFCO 400 '!$D$11*LN(J797)+'CAFCO 400 '!$D$12))),0)+IF(AND(L797="Cafco 400",M797="Software Idiem",C797="C"),((('CAFCO 400 '!$L$7*(J797^3)+'CAFCO 400 '!$L$8*(J797^2)+'CAFCO 400 '!$L$9*J797+'CAFCO 400 '!$L$10)*U797^2)+(('CAFCO 400 '!$L$11*(J797^3)+'CAFCO 400 '!$L$12*(J797^2)+'CAFCO 400 '!$L$13*J797+'CAFCO 400 '!$L$14)*U797)+('CAFCO 400 '!$L$15*LN(J797)+'CAFCO 400 '!$L$16)),0)+IF(AND(L797="Cafco 400",M797="Software Idiem",C797="L"),((('CAFCO 400 '!$L$7*(J797^3)+'CAFCO 400 '!$L$8*(J797^2)+'CAFCO 400 '!$L$9*J797+'CAFCO 400 '!$L$10)*U797^2)+(('CAFCO 400 '!$L$11*(J797^3)+'CAFCO 400 '!$L$12*(J797^2)+'CAFCO 400 '!$L$13*J797+'CAFCO 400 '!$L$14)*U797)+('CAFCO 400 '!$L$15*LN(J797)+'CAFCO 400 '!$L$16)),0)+IF(AND(L797="Cafco 400",M797="Software Idiem",C797="IN",G797=3),((('CAFCO 400 '!$D$23*(J797^2)+'CAFCO 400 '!$D$24*(J797)+'CAFCO 400 '!$D$25)*U797^2)+(('CAFCO 400 '!$D$26*(J797^2)+'CAFCO 400 '!$D$27*J797+'CAFCO 400 '!$D$28)*U797)+('CAFCO 400 '!$D$29*(J797^2)+'CAFCO 400 '!$D$30*J797+'CAFCO 400 '!$D$31)),0),0)+IF(AND(L797="Cafco 300",J797&gt;=95,J797&lt;=240,C797="Cj",I797=90),VLOOKUP(T797,'CAFCO 300 IDIEM TABLAS'!$B$4:$D$23,2,FALSE),0)+IF(AND(L797="Cafco 300",J797&gt;=95,J797&lt;=240,C797="Cj",I797=120),VLOOKUP(T797,'CAFCO 300 IDIEM TABLAS'!$B$4:$D$23,3,FALSE),0)+IF(AND(L797="Cafco 300",J797&gt;=95,J797&lt;=400,G797=3,C797="IN",I797=90),VLOOKUP(T797,'CAFCO 300 IDIEM TABLAS'!$F$4:$H$35,2,FALSE),0)+IF(AND(L797="Cafco 300",J797&gt;=95,J797&lt;=400,G797=3,C797="IN",I797=120),VLOOKUP(T797,'CAFCO 300 IDIEM TABLAS'!$F$4:$H$35,3,FALSE),0)+IF(AND(L797="Cafco 300",J797&gt;=95,J797&lt;=450,G797=4,C797="IN",I797=90),VLOOKUP(T797,'CAFCO 300 IDIEM TABLAS'!$J$4:$L$40,2,FALSE),0)+IF(AND(L797="Cafco 300",J797&gt;=95,J797&lt;=450,G797=4,C797="IN",I797=120),VLOOKUP(T797,'CAFCO 300 IDIEM TABLAS'!$J$4:$L$40,3,FALSE),0)+IF(AND(M797="Ensayo Idiem",L797="Cafco 400",C797="IN",G797=4,I797=90),VLOOKUP(T797,'CAFCO 400 ENSAYO'!$B$7:$D$43,2,FALSE),0)+IF(AND(M797="Ensayo Idiem",L797="Cafco 400",C797="IN",G797=4,I797=120),VLOOKUP(T797,'CAFCO 400 ENSAYO'!$B$7:$D$43,3,FALSE),0)</f>
        <v>0</v>
      </c>
      <c r="O797" s="96">
        <f t="shared" si="84"/>
        <v>0</v>
      </c>
      <c r="P797" s="132" t="str">
        <f t="shared" si="79"/>
        <v>N/A</v>
      </c>
      <c r="Q797" s="132" t="str">
        <f t="shared" si="80"/>
        <v>N/A</v>
      </c>
      <c r="R797" s="132" t="str">
        <f t="shared" si="81"/>
        <v>NO CERT.</v>
      </c>
      <c r="S797" s="132" t="e">
        <f t="shared" si="82"/>
        <v>#N/A</v>
      </c>
      <c r="T797" s="133" t="e">
        <f>+IF(J797=LOOKUP(J797,'CAFCO 300 IDIEM TABLAS'!$J$4:$J$40),'CALCULO MORTERO'!J797,MROUND('CALCULO MORTERO'!J797,10))</f>
        <v>#N/A</v>
      </c>
      <c r="U797" s="134">
        <f t="shared" si="83"/>
        <v>0</v>
      </c>
    </row>
    <row r="798" spans="1:21" x14ac:dyDescent="0.25">
      <c r="A798" s="118">
        <f>+CUBICACION!D792</f>
        <v>0</v>
      </c>
      <c r="B798" s="819">
        <f>+CUBICACION!E792</f>
        <v>0</v>
      </c>
      <c r="C798" s="675">
        <f>+CUBICACION!F792</f>
        <v>0</v>
      </c>
      <c r="D798" s="118"/>
      <c r="E798" s="118"/>
      <c r="F798" s="820"/>
      <c r="G798" s="675">
        <f>+CUBICACION!J792</f>
        <v>0</v>
      </c>
      <c r="H798" s="118"/>
      <c r="I798" s="821">
        <f>+CUBICACION!L792</f>
        <v>0</v>
      </c>
      <c r="J798" s="64">
        <f>+CUBICACION!M792</f>
        <v>0</v>
      </c>
      <c r="K798" s="822" t="str">
        <f>+CUBICACION!N792</f>
        <v/>
      </c>
      <c r="L798" s="118">
        <f>+CUBICACION!O792</f>
        <v>0</v>
      </c>
      <c r="M798" s="823">
        <f>+CUBICACION!P792</f>
        <v>0</v>
      </c>
      <c r="N798" s="902">
        <f>ROUND(IF(AND(L798="Blaze Shield II",M798="Software Idiem",C798="IN",G798=4),((('BLAZE SHIELD II'!$D$4*('CALCULO MORTERO'!I798^2)+'BLAZE SHIELD II'!$D$5*'CALCULO MORTERO'!I798+'BLAZE SHIELD II'!$D$6)*LN(J798))+('BLAZE SHIELD II'!$D$7*('CALCULO MORTERO'!I798^2)+'BLAZE SHIELD II'!$D$8*'CALCULO MORTERO'!I798+'BLAZE SHIELD II'!$D$9)),0)+IF(AND(L798="Blaze Shield II",M798="Software Idiem",C798="Cj"),((('BLAZE SHIELD II'!$H$4*('CALCULO MORTERO'!I798^2)+'BLAZE SHIELD II'!$H$5*'CALCULO MORTERO'!I798+'BLAZE SHIELD II'!$H$6)*LN(J798))+('BLAZE SHIELD II'!$H$7*('CALCULO MORTERO'!I798^2)+'BLAZE SHIELD II'!$H$8*'CALCULO MORTERO'!I798+'BLAZE SHIELD II'!$H$9)),0)+IF(AND(L798="Blaze Shield II",M798="Software Idiem",C798="C"),((('BLAZE SHIELD II'!$L$4*('CALCULO MORTERO'!I798^2)+'BLAZE SHIELD II'!$L$5*'CALCULO MORTERO'!I798+'BLAZE SHIELD II'!$L$6)*LN(J798))+('BLAZE SHIELD II'!$L$7*('CALCULO MORTERO'!I798^2)+'BLAZE SHIELD II'!$L$8*'CALCULO MORTERO'!I798+'BLAZE SHIELD II'!$L$9)),0)+IF(AND(L798="Blaze Shield II",M798="Software Idiem",C798="L"),((('BLAZE SHIELD II'!$L$4*('CALCULO MORTERO'!I798^2)+'BLAZE SHIELD II'!$L$5*'CALCULO MORTERO'!I798+'BLAZE SHIELD II'!$L$6)*LN(J798))+('BLAZE SHIELD II'!$L$7*('CALCULO MORTERO'!I798^2)+'BLAZE SHIELD II'!$L$8*'CALCULO MORTERO'!I798+'BLAZE SHIELD II'!$L$9)),0)+IF(AND(L798="Blaze Shield II",M798="Software Idiem",C798="IN",G798=3),((('BLAZE SHIELD II'!$H$14*('CALCULO MORTERO'!I798^2)+'BLAZE SHIELD II'!$H$15*'CALCULO MORTERO'!I798+'BLAZE SHIELD II'!$H$16)*LN(J798))+('BLAZE SHIELD II'!$H$17*('CALCULO MORTERO'!I798^2)+'BLAZE SHIELD II'!$H$18*'CALCULO MORTERO'!I798+'BLAZE SHIELD II'!$H$19)),0),0)+ROUND(IF(AND(L798="Cafco 400",M798="Software Idiem",C798="IN",G798=4),((('CAFCO 400 '!$H$7*(J798^4)+'CAFCO 400 '!$H$8*(J798^3)+'CAFCO 400 '!$H$9*(J798^2)+'CAFCO 400 '!$H$10*J798+'CAFCO 400 '!$H$11)*U798^2)+(('CAFCO 400 '!$H$12*(J798^3)+'CAFCO 400 '!$H$13*(J798^2)+'CAFCO 400 '!$H$14*J798+'CAFCO 400 '!$H$15)*U798)+('CAFCO 400 '!$H$16*(J798^2)+'CAFCO 400 '!$H$17*J798+'CAFCO 400 '!$H$18)),0)+IF(AND(L798="Cafco 400",M798="Software Idiem",C798="Cj"),(((('CAFCO 400 '!$D$7*LN(J798)+'CAFCO 400 '!$D$8)*U798^2)+(('CAFCO 400 '!$D$9*LN(J798)+'CAFCO 400 '!$D$10)*U798)+('CAFCO 400 '!$D$11*LN(J798)+'CAFCO 400 '!$D$12))),0)+IF(AND(L798="Cafco 400",M798="Software Idiem",C798="C"),((('CAFCO 400 '!$L$7*(J798^3)+'CAFCO 400 '!$L$8*(J798^2)+'CAFCO 400 '!$L$9*J798+'CAFCO 400 '!$L$10)*U798^2)+(('CAFCO 400 '!$L$11*(J798^3)+'CAFCO 400 '!$L$12*(J798^2)+'CAFCO 400 '!$L$13*J798+'CAFCO 400 '!$L$14)*U798)+('CAFCO 400 '!$L$15*LN(J798)+'CAFCO 400 '!$L$16)),0)+IF(AND(L798="Cafco 400",M798="Software Idiem",C798="L"),((('CAFCO 400 '!$L$7*(J798^3)+'CAFCO 400 '!$L$8*(J798^2)+'CAFCO 400 '!$L$9*J798+'CAFCO 400 '!$L$10)*U798^2)+(('CAFCO 400 '!$L$11*(J798^3)+'CAFCO 400 '!$L$12*(J798^2)+'CAFCO 400 '!$L$13*J798+'CAFCO 400 '!$L$14)*U798)+('CAFCO 400 '!$L$15*LN(J798)+'CAFCO 400 '!$L$16)),0)+IF(AND(L798="Cafco 400",M798="Software Idiem",C798="IN",G798=3),((('CAFCO 400 '!$D$23*(J798^2)+'CAFCO 400 '!$D$24*(J798)+'CAFCO 400 '!$D$25)*U798^2)+(('CAFCO 400 '!$D$26*(J798^2)+'CAFCO 400 '!$D$27*J798+'CAFCO 400 '!$D$28)*U798)+('CAFCO 400 '!$D$29*(J798^2)+'CAFCO 400 '!$D$30*J798+'CAFCO 400 '!$D$31)),0),0)+IF(AND(L798="Cafco 300",J798&gt;=95,J798&lt;=240,C798="Cj",I798=90),VLOOKUP(T798,'CAFCO 300 IDIEM TABLAS'!$B$4:$D$23,2,FALSE),0)+IF(AND(L798="Cafco 300",J798&gt;=95,J798&lt;=240,C798="Cj",I798=120),VLOOKUP(T798,'CAFCO 300 IDIEM TABLAS'!$B$4:$D$23,3,FALSE),0)+IF(AND(L798="Cafco 300",J798&gt;=95,J798&lt;=400,G798=3,C798="IN",I798=90),VLOOKUP(T798,'CAFCO 300 IDIEM TABLAS'!$F$4:$H$35,2,FALSE),0)+IF(AND(L798="Cafco 300",J798&gt;=95,J798&lt;=400,G798=3,C798="IN",I798=120),VLOOKUP(T798,'CAFCO 300 IDIEM TABLAS'!$F$4:$H$35,3,FALSE),0)+IF(AND(L798="Cafco 300",J798&gt;=95,J798&lt;=450,G798=4,C798="IN",I798=90),VLOOKUP(T798,'CAFCO 300 IDIEM TABLAS'!$J$4:$L$40,2,FALSE),0)+IF(AND(L798="Cafco 300",J798&gt;=95,J798&lt;=450,G798=4,C798="IN",I798=120),VLOOKUP(T798,'CAFCO 300 IDIEM TABLAS'!$J$4:$L$40,3,FALSE),0)+IF(AND(M798="Ensayo Idiem",L798="Cafco 400",C798="IN",G798=4,I798=90),VLOOKUP(T798,'CAFCO 400 ENSAYO'!$B$7:$D$43,2,FALSE),0)+IF(AND(M798="Ensayo Idiem",L798="Cafco 400",C798="IN",G798=4,I798=120),VLOOKUP(T798,'CAFCO 400 ENSAYO'!$B$7:$D$43,3,FALSE),0)</f>
        <v>0</v>
      </c>
      <c r="O798" s="96">
        <f t="shared" si="84"/>
        <v>0</v>
      </c>
      <c r="P798" s="95" t="str">
        <f t="shared" si="79"/>
        <v>N/A</v>
      </c>
      <c r="Q798" s="95" t="str">
        <f t="shared" si="80"/>
        <v>N/A</v>
      </c>
      <c r="R798" s="95" t="str">
        <f t="shared" si="81"/>
        <v>NO CERT.</v>
      </c>
      <c r="S798" s="95" t="e">
        <f t="shared" si="82"/>
        <v>#N/A</v>
      </c>
      <c r="T798" s="119" t="e">
        <f>+IF(J798=LOOKUP(J798,'CAFCO 300 IDIEM TABLAS'!$J$4:$J$40),'CALCULO MORTERO'!J798,MROUND('CALCULO MORTERO'!J798,10))</f>
        <v>#N/A</v>
      </c>
      <c r="U798" s="118">
        <f t="shared" si="83"/>
        <v>0</v>
      </c>
    </row>
    <row r="799" spans="1:21" x14ac:dyDescent="0.25">
      <c r="A799" s="118">
        <f>+CUBICACION!D793</f>
        <v>0</v>
      </c>
      <c r="B799" s="819">
        <f>+CUBICACION!E793</f>
        <v>0</v>
      </c>
      <c r="C799" s="675">
        <f>+CUBICACION!F793</f>
        <v>0</v>
      </c>
      <c r="D799" s="118"/>
      <c r="E799" s="118"/>
      <c r="F799" s="820"/>
      <c r="G799" s="675">
        <f>+CUBICACION!J793</f>
        <v>0</v>
      </c>
      <c r="H799" s="118"/>
      <c r="I799" s="821">
        <f>+CUBICACION!L793</f>
        <v>0</v>
      </c>
      <c r="J799" s="64">
        <f>+CUBICACION!M793</f>
        <v>0</v>
      </c>
      <c r="K799" s="822" t="str">
        <f>+CUBICACION!N793</f>
        <v/>
      </c>
      <c r="L799" s="118">
        <f>+CUBICACION!O793</f>
        <v>0</v>
      </c>
      <c r="M799" s="823">
        <f>+CUBICACION!P793</f>
        <v>0</v>
      </c>
      <c r="N799" s="902">
        <f>ROUND(IF(AND(L799="Blaze Shield II",M799="Software Idiem",C799="IN",G799=4),((('BLAZE SHIELD II'!$D$4*('CALCULO MORTERO'!I799^2)+'BLAZE SHIELD II'!$D$5*'CALCULO MORTERO'!I799+'BLAZE SHIELD II'!$D$6)*LN(J799))+('BLAZE SHIELD II'!$D$7*('CALCULO MORTERO'!I799^2)+'BLAZE SHIELD II'!$D$8*'CALCULO MORTERO'!I799+'BLAZE SHIELD II'!$D$9)),0)+IF(AND(L799="Blaze Shield II",M799="Software Idiem",C799="Cj"),((('BLAZE SHIELD II'!$H$4*('CALCULO MORTERO'!I799^2)+'BLAZE SHIELD II'!$H$5*'CALCULO MORTERO'!I799+'BLAZE SHIELD II'!$H$6)*LN(J799))+('BLAZE SHIELD II'!$H$7*('CALCULO MORTERO'!I799^2)+'BLAZE SHIELD II'!$H$8*'CALCULO MORTERO'!I799+'BLAZE SHIELD II'!$H$9)),0)+IF(AND(L799="Blaze Shield II",M799="Software Idiem",C799="C"),((('BLAZE SHIELD II'!$L$4*('CALCULO MORTERO'!I799^2)+'BLAZE SHIELD II'!$L$5*'CALCULO MORTERO'!I799+'BLAZE SHIELD II'!$L$6)*LN(J799))+('BLAZE SHIELD II'!$L$7*('CALCULO MORTERO'!I799^2)+'BLAZE SHIELD II'!$L$8*'CALCULO MORTERO'!I799+'BLAZE SHIELD II'!$L$9)),0)+IF(AND(L799="Blaze Shield II",M799="Software Idiem",C799="L"),((('BLAZE SHIELD II'!$L$4*('CALCULO MORTERO'!I799^2)+'BLAZE SHIELD II'!$L$5*'CALCULO MORTERO'!I799+'BLAZE SHIELD II'!$L$6)*LN(J799))+('BLAZE SHIELD II'!$L$7*('CALCULO MORTERO'!I799^2)+'BLAZE SHIELD II'!$L$8*'CALCULO MORTERO'!I799+'BLAZE SHIELD II'!$L$9)),0)+IF(AND(L799="Blaze Shield II",M799="Software Idiem",C799="IN",G799=3),((('BLAZE SHIELD II'!$H$14*('CALCULO MORTERO'!I799^2)+'BLAZE SHIELD II'!$H$15*'CALCULO MORTERO'!I799+'BLAZE SHIELD II'!$H$16)*LN(J799))+('BLAZE SHIELD II'!$H$17*('CALCULO MORTERO'!I799^2)+'BLAZE SHIELD II'!$H$18*'CALCULO MORTERO'!I799+'BLAZE SHIELD II'!$H$19)),0),0)+ROUND(IF(AND(L799="Cafco 400",M799="Software Idiem",C799="IN",G799=4),((('CAFCO 400 '!$H$7*(J799^4)+'CAFCO 400 '!$H$8*(J799^3)+'CAFCO 400 '!$H$9*(J799^2)+'CAFCO 400 '!$H$10*J799+'CAFCO 400 '!$H$11)*U799^2)+(('CAFCO 400 '!$H$12*(J799^3)+'CAFCO 400 '!$H$13*(J799^2)+'CAFCO 400 '!$H$14*J799+'CAFCO 400 '!$H$15)*U799)+('CAFCO 400 '!$H$16*(J799^2)+'CAFCO 400 '!$H$17*J799+'CAFCO 400 '!$H$18)),0)+IF(AND(L799="Cafco 400",M799="Software Idiem",C799="Cj"),(((('CAFCO 400 '!$D$7*LN(J799)+'CAFCO 400 '!$D$8)*U799^2)+(('CAFCO 400 '!$D$9*LN(J799)+'CAFCO 400 '!$D$10)*U799)+('CAFCO 400 '!$D$11*LN(J799)+'CAFCO 400 '!$D$12))),0)+IF(AND(L799="Cafco 400",M799="Software Idiem",C799="C"),((('CAFCO 400 '!$L$7*(J799^3)+'CAFCO 400 '!$L$8*(J799^2)+'CAFCO 400 '!$L$9*J799+'CAFCO 400 '!$L$10)*U799^2)+(('CAFCO 400 '!$L$11*(J799^3)+'CAFCO 400 '!$L$12*(J799^2)+'CAFCO 400 '!$L$13*J799+'CAFCO 400 '!$L$14)*U799)+('CAFCO 400 '!$L$15*LN(J799)+'CAFCO 400 '!$L$16)),0)+IF(AND(L799="Cafco 400",M799="Software Idiem",C799="L"),((('CAFCO 400 '!$L$7*(J799^3)+'CAFCO 400 '!$L$8*(J799^2)+'CAFCO 400 '!$L$9*J799+'CAFCO 400 '!$L$10)*U799^2)+(('CAFCO 400 '!$L$11*(J799^3)+'CAFCO 400 '!$L$12*(J799^2)+'CAFCO 400 '!$L$13*J799+'CAFCO 400 '!$L$14)*U799)+('CAFCO 400 '!$L$15*LN(J799)+'CAFCO 400 '!$L$16)),0)+IF(AND(L799="Cafco 400",M799="Software Idiem",C799="IN",G799=3),((('CAFCO 400 '!$D$23*(J799^2)+'CAFCO 400 '!$D$24*(J799)+'CAFCO 400 '!$D$25)*U799^2)+(('CAFCO 400 '!$D$26*(J799^2)+'CAFCO 400 '!$D$27*J799+'CAFCO 400 '!$D$28)*U799)+('CAFCO 400 '!$D$29*(J799^2)+'CAFCO 400 '!$D$30*J799+'CAFCO 400 '!$D$31)),0),0)+IF(AND(L799="Cafco 300",J799&gt;=95,J799&lt;=240,C799="Cj",I799=90),VLOOKUP(T799,'CAFCO 300 IDIEM TABLAS'!$B$4:$D$23,2,FALSE),0)+IF(AND(L799="Cafco 300",J799&gt;=95,J799&lt;=240,C799="Cj",I799=120),VLOOKUP(T799,'CAFCO 300 IDIEM TABLAS'!$B$4:$D$23,3,FALSE),0)+IF(AND(L799="Cafco 300",J799&gt;=95,J799&lt;=400,G799=3,C799="IN",I799=90),VLOOKUP(T799,'CAFCO 300 IDIEM TABLAS'!$F$4:$H$35,2,FALSE),0)+IF(AND(L799="Cafco 300",J799&gt;=95,J799&lt;=400,G799=3,C799="IN",I799=120),VLOOKUP(T799,'CAFCO 300 IDIEM TABLAS'!$F$4:$H$35,3,FALSE),0)+IF(AND(L799="Cafco 300",J799&gt;=95,J799&lt;=450,G799=4,C799="IN",I799=90),VLOOKUP(T799,'CAFCO 300 IDIEM TABLAS'!$J$4:$L$40,2,FALSE),0)+IF(AND(L799="Cafco 300",J799&gt;=95,J799&lt;=450,G799=4,C799="IN",I799=120),VLOOKUP(T799,'CAFCO 300 IDIEM TABLAS'!$J$4:$L$40,3,FALSE),0)+IF(AND(M799="Ensayo Idiem",L799="Cafco 400",C799="IN",G799=4,I799=90),VLOOKUP(T799,'CAFCO 400 ENSAYO'!$B$7:$D$43,2,FALSE),0)+IF(AND(M799="Ensayo Idiem",L799="Cafco 400",C799="IN",G799=4,I799=120),VLOOKUP(T799,'CAFCO 400 ENSAYO'!$B$7:$D$43,3,FALSE),0)</f>
        <v>0</v>
      </c>
      <c r="O799" s="96">
        <f t="shared" si="84"/>
        <v>0</v>
      </c>
      <c r="P799" s="132" t="str">
        <f t="shared" si="79"/>
        <v>N/A</v>
      </c>
      <c r="Q799" s="132" t="str">
        <f t="shared" si="80"/>
        <v>N/A</v>
      </c>
      <c r="R799" s="132" t="str">
        <f t="shared" si="81"/>
        <v>NO CERT.</v>
      </c>
      <c r="S799" s="132" t="e">
        <f t="shared" si="82"/>
        <v>#N/A</v>
      </c>
      <c r="T799" s="133" t="e">
        <f>+IF(J799=LOOKUP(J799,'CAFCO 300 IDIEM TABLAS'!$J$4:$J$40),'CALCULO MORTERO'!J799,MROUND('CALCULO MORTERO'!J799,10))</f>
        <v>#N/A</v>
      </c>
      <c r="U799" s="134">
        <f t="shared" si="83"/>
        <v>0</v>
      </c>
    </row>
    <row r="800" spans="1:21" x14ac:dyDescent="0.25">
      <c r="A800" s="118">
        <f>+CUBICACION!D794</f>
        <v>0</v>
      </c>
      <c r="B800" s="819">
        <f>+CUBICACION!E794</f>
        <v>0</v>
      </c>
      <c r="C800" s="675">
        <f>+CUBICACION!F794</f>
        <v>0</v>
      </c>
      <c r="D800" s="118"/>
      <c r="E800" s="118"/>
      <c r="F800" s="820"/>
      <c r="G800" s="675">
        <f>+CUBICACION!J794</f>
        <v>0</v>
      </c>
      <c r="H800" s="118"/>
      <c r="I800" s="821">
        <f>+CUBICACION!L794</f>
        <v>0</v>
      </c>
      <c r="J800" s="64">
        <f>+CUBICACION!M794</f>
        <v>0</v>
      </c>
      <c r="K800" s="822" t="str">
        <f>+CUBICACION!N794</f>
        <v/>
      </c>
      <c r="L800" s="118">
        <f>+CUBICACION!O794</f>
        <v>0</v>
      </c>
      <c r="M800" s="823">
        <f>+CUBICACION!P794</f>
        <v>0</v>
      </c>
      <c r="N800" s="902">
        <f>ROUND(IF(AND(L800="Blaze Shield II",M800="Software Idiem",C800="IN",G800=4),((('BLAZE SHIELD II'!$D$4*('CALCULO MORTERO'!I800^2)+'BLAZE SHIELD II'!$D$5*'CALCULO MORTERO'!I800+'BLAZE SHIELD II'!$D$6)*LN(J800))+('BLAZE SHIELD II'!$D$7*('CALCULO MORTERO'!I800^2)+'BLAZE SHIELD II'!$D$8*'CALCULO MORTERO'!I800+'BLAZE SHIELD II'!$D$9)),0)+IF(AND(L800="Blaze Shield II",M800="Software Idiem",C800="Cj"),((('BLAZE SHIELD II'!$H$4*('CALCULO MORTERO'!I800^2)+'BLAZE SHIELD II'!$H$5*'CALCULO MORTERO'!I800+'BLAZE SHIELD II'!$H$6)*LN(J800))+('BLAZE SHIELD II'!$H$7*('CALCULO MORTERO'!I800^2)+'BLAZE SHIELD II'!$H$8*'CALCULO MORTERO'!I800+'BLAZE SHIELD II'!$H$9)),0)+IF(AND(L800="Blaze Shield II",M800="Software Idiem",C800="C"),((('BLAZE SHIELD II'!$L$4*('CALCULO MORTERO'!I800^2)+'BLAZE SHIELD II'!$L$5*'CALCULO MORTERO'!I800+'BLAZE SHIELD II'!$L$6)*LN(J800))+('BLAZE SHIELD II'!$L$7*('CALCULO MORTERO'!I800^2)+'BLAZE SHIELD II'!$L$8*'CALCULO MORTERO'!I800+'BLAZE SHIELD II'!$L$9)),0)+IF(AND(L800="Blaze Shield II",M800="Software Idiem",C800="L"),((('BLAZE SHIELD II'!$L$4*('CALCULO MORTERO'!I800^2)+'BLAZE SHIELD II'!$L$5*'CALCULO MORTERO'!I800+'BLAZE SHIELD II'!$L$6)*LN(J800))+('BLAZE SHIELD II'!$L$7*('CALCULO MORTERO'!I800^2)+'BLAZE SHIELD II'!$L$8*'CALCULO MORTERO'!I800+'BLAZE SHIELD II'!$L$9)),0)+IF(AND(L800="Blaze Shield II",M800="Software Idiem",C800="IN",G800=3),((('BLAZE SHIELD II'!$H$14*('CALCULO MORTERO'!I800^2)+'BLAZE SHIELD II'!$H$15*'CALCULO MORTERO'!I800+'BLAZE SHIELD II'!$H$16)*LN(J800))+('BLAZE SHIELD II'!$H$17*('CALCULO MORTERO'!I800^2)+'BLAZE SHIELD II'!$H$18*'CALCULO MORTERO'!I800+'BLAZE SHIELD II'!$H$19)),0),0)+ROUND(IF(AND(L800="Cafco 400",M800="Software Idiem",C800="IN",G800=4),((('CAFCO 400 '!$H$7*(J800^4)+'CAFCO 400 '!$H$8*(J800^3)+'CAFCO 400 '!$H$9*(J800^2)+'CAFCO 400 '!$H$10*J800+'CAFCO 400 '!$H$11)*U800^2)+(('CAFCO 400 '!$H$12*(J800^3)+'CAFCO 400 '!$H$13*(J800^2)+'CAFCO 400 '!$H$14*J800+'CAFCO 400 '!$H$15)*U800)+('CAFCO 400 '!$H$16*(J800^2)+'CAFCO 400 '!$H$17*J800+'CAFCO 400 '!$H$18)),0)+IF(AND(L800="Cafco 400",M800="Software Idiem",C800="Cj"),(((('CAFCO 400 '!$D$7*LN(J800)+'CAFCO 400 '!$D$8)*U800^2)+(('CAFCO 400 '!$D$9*LN(J800)+'CAFCO 400 '!$D$10)*U800)+('CAFCO 400 '!$D$11*LN(J800)+'CAFCO 400 '!$D$12))),0)+IF(AND(L800="Cafco 400",M800="Software Idiem",C800="C"),((('CAFCO 400 '!$L$7*(J800^3)+'CAFCO 400 '!$L$8*(J800^2)+'CAFCO 400 '!$L$9*J800+'CAFCO 400 '!$L$10)*U800^2)+(('CAFCO 400 '!$L$11*(J800^3)+'CAFCO 400 '!$L$12*(J800^2)+'CAFCO 400 '!$L$13*J800+'CAFCO 400 '!$L$14)*U800)+('CAFCO 400 '!$L$15*LN(J800)+'CAFCO 400 '!$L$16)),0)+IF(AND(L800="Cafco 400",M800="Software Idiem",C800="L"),((('CAFCO 400 '!$L$7*(J800^3)+'CAFCO 400 '!$L$8*(J800^2)+'CAFCO 400 '!$L$9*J800+'CAFCO 400 '!$L$10)*U800^2)+(('CAFCO 400 '!$L$11*(J800^3)+'CAFCO 400 '!$L$12*(J800^2)+'CAFCO 400 '!$L$13*J800+'CAFCO 400 '!$L$14)*U800)+('CAFCO 400 '!$L$15*LN(J800)+'CAFCO 400 '!$L$16)),0)+IF(AND(L800="Cafco 400",M800="Software Idiem",C800="IN",G800=3),((('CAFCO 400 '!$D$23*(J800^2)+'CAFCO 400 '!$D$24*(J800)+'CAFCO 400 '!$D$25)*U800^2)+(('CAFCO 400 '!$D$26*(J800^2)+'CAFCO 400 '!$D$27*J800+'CAFCO 400 '!$D$28)*U800)+('CAFCO 400 '!$D$29*(J800^2)+'CAFCO 400 '!$D$30*J800+'CAFCO 400 '!$D$31)),0),0)+IF(AND(L800="Cafco 300",J800&gt;=95,J800&lt;=240,C800="Cj",I800=90),VLOOKUP(T800,'CAFCO 300 IDIEM TABLAS'!$B$4:$D$23,2,FALSE),0)+IF(AND(L800="Cafco 300",J800&gt;=95,J800&lt;=240,C800="Cj",I800=120),VLOOKUP(T800,'CAFCO 300 IDIEM TABLAS'!$B$4:$D$23,3,FALSE),0)+IF(AND(L800="Cafco 300",J800&gt;=95,J800&lt;=400,G800=3,C800="IN",I800=90),VLOOKUP(T800,'CAFCO 300 IDIEM TABLAS'!$F$4:$H$35,2,FALSE),0)+IF(AND(L800="Cafco 300",J800&gt;=95,J800&lt;=400,G800=3,C800="IN",I800=120),VLOOKUP(T800,'CAFCO 300 IDIEM TABLAS'!$F$4:$H$35,3,FALSE),0)+IF(AND(L800="Cafco 300",J800&gt;=95,J800&lt;=450,G800=4,C800="IN",I800=90),VLOOKUP(T800,'CAFCO 300 IDIEM TABLAS'!$J$4:$L$40,2,FALSE),0)+IF(AND(L800="Cafco 300",J800&gt;=95,J800&lt;=450,G800=4,C800="IN",I800=120),VLOOKUP(T800,'CAFCO 300 IDIEM TABLAS'!$J$4:$L$40,3,FALSE),0)+IF(AND(M800="Ensayo Idiem",L800="Cafco 400",C800="IN",G800=4,I800=90),VLOOKUP(T800,'CAFCO 400 ENSAYO'!$B$7:$D$43,2,FALSE),0)+IF(AND(M800="Ensayo Idiem",L800="Cafco 400",C800="IN",G800=4,I800=120),VLOOKUP(T800,'CAFCO 400 ENSAYO'!$B$7:$D$43,3,FALSE),0)</f>
        <v>0</v>
      </c>
      <c r="O800" s="96">
        <f t="shared" si="84"/>
        <v>0</v>
      </c>
      <c r="P800" s="95" t="str">
        <f t="shared" si="79"/>
        <v>N/A</v>
      </c>
      <c r="Q800" s="95" t="str">
        <f t="shared" si="80"/>
        <v>N/A</v>
      </c>
      <c r="R800" s="95" t="str">
        <f t="shared" si="81"/>
        <v>NO CERT.</v>
      </c>
      <c r="S800" s="95" t="e">
        <f t="shared" si="82"/>
        <v>#N/A</v>
      </c>
      <c r="T800" s="119" t="e">
        <f>+IF(J800=LOOKUP(J800,'CAFCO 300 IDIEM TABLAS'!$J$4:$J$40),'CALCULO MORTERO'!J800,MROUND('CALCULO MORTERO'!J800,10))</f>
        <v>#N/A</v>
      </c>
      <c r="U800" s="118">
        <f t="shared" si="83"/>
        <v>0</v>
      </c>
    </row>
    <row r="801" spans="1:21" x14ac:dyDescent="0.25">
      <c r="A801" s="118">
        <f>+CUBICACION!D795</f>
        <v>0</v>
      </c>
      <c r="B801" s="819">
        <f>+CUBICACION!E795</f>
        <v>0</v>
      </c>
      <c r="C801" s="675">
        <f>+CUBICACION!F795</f>
        <v>0</v>
      </c>
      <c r="D801" s="118"/>
      <c r="E801" s="118"/>
      <c r="F801" s="820"/>
      <c r="G801" s="675">
        <f>+CUBICACION!J795</f>
        <v>0</v>
      </c>
      <c r="H801" s="118"/>
      <c r="I801" s="821">
        <f>+CUBICACION!L795</f>
        <v>0</v>
      </c>
      <c r="J801" s="64">
        <f>+CUBICACION!M795</f>
        <v>0</v>
      </c>
      <c r="K801" s="822" t="str">
        <f>+CUBICACION!N795</f>
        <v/>
      </c>
      <c r="L801" s="118">
        <f>+CUBICACION!O795</f>
        <v>0</v>
      </c>
      <c r="M801" s="823">
        <f>+CUBICACION!P795</f>
        <v>0</v>
      </c>
      <c r="N801" s="902">
        <f>ROUND(IF(AND(L801="Blaze Shield II",M801="Software Idiem",C801="IN",G801=4),((('BLAZE SHIELD II'!$D$4*('CALCULO MORTERO'!I801^2)+'BLAZE SHIELD II'!$D$5*'CALCULO MORTERO'!I801+'BLAZE SHIELD II'!$D$6)*LN(J801))+('BLAZE SHIELD II'!$D$7*('CALCULO MORTERO'!I801^2)+'BLAZE SHIELD II'!$D$8*'CALCULO MORTERO'!I801+'BLAZE SHIELD II'!$D$9)),0)+IF(AND(L801="Blaze Shield II",M801="Software Idiem",C801="Cj"),((('BLAZE SHIELD II'!$H$4*('CALCULO MORTERO'!I801^2)+'BLAZE SHIELD II'!$H$5*'CALCULO MORTERO'!I801+'BLAZE SHIELD II'!$H$6)*LN(J801))+('BLAZE SHIELD II'!$H$7*('CALCULO MORTERO'!I801^2)+'BLAZE SHIELD II'!$H$8*'CALCULO MORTERO'!I801+'BLAZE SHIELD II'!$H$9)),0)+IF(AND(L801="Blaze Shield II",M801="Software Idiem",C801="C"),((('BLAZE SHIELD II'!$L$4*('CALCULO MORTERO'!I801^2)+'BLAZE SHIELD II'!$L$5*'CALCULO MORTERO'!I801+'BLAZE SHIELD II'!$L$6)*LN(J801))+('BLAZE SHIELD II'!$L$7*('CALCULO MORTERO'!I801^2)+'BLAZE SHIELD II'!$L$8*'CALCULO MORTERO'!I801+'BLAZE SHIELD II'!$L$9)),0)+IF(AND(L801="Blaze Shield II",M801="Software Idiem",C801="L"),((('BLAZE SHIELD II'!$L$4*('CALCULO MORTERO'!I801^2)+'BLAZE SHIELD II'!$L$5*'CALCULO MORTERO'!I801+'BLAZE SHIELD II'!$L$6)*LN(J801))+('BLAZE SHIELD II'!$L$7*('CALCULO MORTERO'!I801^2)+'BLAZE SHIELD II'!$L$8*'CALCULO MORTERO'!I801+'BLAZE SHIELD II'!$L$9)),0)+IF(AND(L801="Blaze Shield II",M801="Software Idiem",C801="IN",G801=3),((('BLAZE SHIELD II'!$H$14*('CALCULO MORTERO'!I801^2)+'BLAZE SHIELD II'!$H$15*'CALCULO MORTERO'!I801+'BLAZE SHIELD II'!$H$16)*LN(J801))+('BLAZE SHIELD II'!$H$17*('CALCULO MORTERO'!I801^2)+'BLAZE SHIELD II'!$H$18*'CALCULO MORTERO'!I801+'BLAZE SHIELD II'!$H$19)),0),0)+ROUND(IF(AND(L801="Cafco 400",M801="Software Idiem",C801="IN",G801=4),((('CAFCO 400 '!$H$7*(J801^4)+'CAFCO 400 '!$H$8*(J801^3)+'CAFCO 400 '!$H$9*(J801^2)+'CAFCO 400 '!$H$10*J801+'CAFCO 400 '!$H$11)*U801^2)+(('CAFCO 400 '!$H$12*(J801^3)+'CAFCO 400 '!$H$13*(J801^2)+'CAFCO 400 '!$H$14*J801+'CAFCO 400 '!$H$15)*U801)+('CAFCO 400 '!$H$16*(J801^2)+'CAFCO 400 '!$H$17*J801+'CAFCO 400 '!$H$18)),0)+IF(AND(L801="Cafco 400",M801="Software Idiem",C801="Cj"),(((('CAFCO 400 '!$D$7*LN(J801)+'CAFCO 400 '!$D$8)*U801^2)+(('CAFCO 400 '!$D$9*LN(J801)+'CAFCO 400 '!$D$10)*U801)+('CAFCO 400 '!$D$11*LN(J801)+'CAFCO 400 '!$D$12))),0)+IF(AND(L801="Cafco 400",M801="Software Idiem",C801="C"),((('CAFCO 400 '!$L$7*(J801^3)+'CAFCO 400 '!$L$8*(J801^2)+'CAFCO 400 '!$L$9*J801+'CAFCO 400 '!$L$10)*U801^2)+(('CAFCO 400 '!$L$11*(J801^3)+'CAFCO 400 '!$L$12*(J801^2)+'CAFCO 400 '!$L$13*J801+'CAFCO 400 '!$L$14)*U801)+('CAFCO 400 '!$L$15*LN(J801)+'CAFCO 400 '!$L$16)),0)+IF(AND(L801="Cafco 400",M801="Software Idiem",C801="L"),((('CAFCO 400 '!$L$7*(J801^3)+'CAFCO 400 '!$L$8*(J801^2)+'CAFCO 400 '!$L$9*J801+'CAFCO 400 '!$L$10)*U801^2)+(('CAFCO 400 '!$L$11*(J801^3)+'CAFCO 400 '!$L$12*(J801^2)+'CAFCO 400 '!$L$13*J801+'CAFCO 400 '!$L$14)*U801)+('CAFCO 400 '!$L$15*LN(J801)+'CAFCO 400 '!$L$16)),0)+IF(AND(L801="Cafco 400",M801="Software Idiem",C801="IN",G801=3),((('CAFCO 400 '!$D$23*(J801^2)+'CAFCO 400 '!$D$24*(J801)+'CAFCO 400 '!$D$25)*U801^2)+(('CAFCO 400 '!$D$26*(J801^2)+'CAFCO 400 '!$D$27*J801+'CAFCO 400 '!$D$28)*U801)+('CAFCO 400 '!$D$29*(J801^2)+'CAFCO 400 '!$D$30*J801+'CAFCO 400 '!$D$31)),0),0)+IF(AND(L801="Cafco 300",J801&gt;=95,J801&lt;=240,C801="Cj",I801=90),VLOOKUP(T801,'CAFCO 300 IDIEM TABLAS'!$B$4:$D$23,2,FALSE),0)+IF(AND(L801="Cafco 300",J801&gt;=95,J801&lt;=240,C801="Cj",I801=120),VLOOKUP(T801,'CAFCO 300 IDIEM TABLAS'!$B$4:$D$23,3,FALSE),0)+IF(AND(L801="Cafco 300",J801&gt;=95,J801&lt;=400,G801=3,C801="IN",I801=90),VLOOKUP(T801,'CAFCO 300 IDIEM TABLAS'!$F$4:$H$35,2,FALSE),0)+IF(AND(L801="Cafco 300",J801&gt;=95,J801&lt;=400,G801=3,C801="IN",I801=120),VLOOKUP(T801,'CAFCO 300 IDIEM TABLAS'!$F$4:$H$35,3,FALSE),0)+IF(AND(L801="Cafco 300",J801&gt;=95,J801&lt;=450,G801=4,C801="IN",I801=90),VLOOKUP(T801,'CAFCO 300 IDIEM TABLAS'!$J$4:$L$40,2,FALSE),0)+IF(AND(L801="Cafco 300",J801&gt;=95,J801&lt;=450,G801=4,C801="IN",I801=120),VLOOKUP(T801,'CAFCO 300 IDIEM TABLAS'!$J$4:$L$40,3,FALSE),0)+IF(AND(M801="Ensayo Idiem",L801="Cafco 400",C801="IN",G801=4,I801=90),VLOOKUP(T801,'CAFCO 400 ENSAYO'!$B$7:$D$43,2,FALSE),0)+IF(AND(M801="Ensayo Idiem",L801="Cafco 400",C801="IN",G801=4,I801=120),VLOOKUP(T801,'CAFCO 400 ENSAYO'!$B$7:$D$43,3,FALSE),0)</f>
        <v>0</v>
      </c>
      <c r="O801" s="96">
        <f t="shared" si="84"/>
        <v>0</v>
      </c>
      <c r="P801" s="132" t="str">
        <f t="shared" si="79"/>
        <v>N/A</v>
      </c>
      <c r="Q801" s="132" t="str">
        <f t="shared" si="80"/>
        <v>N/A</v>
      </c>
      <c r="R801" s="132" t="str">
        <f t="shared" si="81"/>
        <v>NO CERT.</v>
      </c>
      <c r="S801" s="132" t="e">
        <f t="shared" si="82"/>
        <v>#N/A</v>
      </c>
      <c r="T801" s="133" t="e">
        <f>+IF(J801=LOOKUP(J801,'CAFCO 300 IDIEM TABLAS'!$J$4:$J$40),'CALCULO MORTERO'!J801,MROUND('CALCULO MORTERO'!J801,10))</f>
        <v>#N/A</v>
      </c>
      <c r="U801" s="134">
        <f t="shared" si="83"/>
        <v>0</v>
      </c>
    </row>
    <row r="802" spans="1:21" x14ac:dyDescent="0.25">
      <c r="A802" s="118">
        <f>+CUBICACION!D796</f>
        <v>0</v>
      </c>
      <c r="B802" s="819">
        <f>+CUBICACION!E796</f>
        <v>0</v>
      </c>
      <c r="C802" s="675">
        <f>+CUBICACION!F796</f>
        <v>0</v>
      </c>
      <c r="D802" s="118"/>
      <c r="E802" s="118"/>
      <c r="F802" s="820"/>
      <c r="G802" s="675">
        <f>+CUBICACION!J796</f>
        <v>0</v>
      </c>
      <c r="H802" s="118"/>
      <c r="I802" s="821">
        <f>+CUBICACION!L796</f>
        <v>0</v>
      </c>
      <c r="J802" s="64">
        <f>+CUBICACION!M796</f>
        <v>0</v>
      </c>
      <c r="K802" s="822" t="str">
        <f>+CUBICACION!N796</f>
        <v/>
      </c>
      <c r="L802" s="118">
        <f>+CUBICACION!O796</f>
        <v>0</v>
      </c>
      <c r="M802" s="823">
        <f>+CUBICACION!P796</f>
        <v>0</v>
      </c>
      <c r="N802" s="902">
        <f>ROUND(IF(AND(L802="Blaze Shield II",M802="Software Idiem",C802="IN",G802=4),((('BLAZE SHIELD II'!$D$4*('CALCULO MORTERO'!I802^2)+'BLAZE SHIELD II'!$D$5*'CALCULO MORTERO'!I802+'BLAZE SHIELD II'!$D$6)*LN(J802))+('BLAZE SHIELD II'!$D$7*('CALCULO MORTERO'!I802^2)+'BLAZE SHIELD II'!$D$8*'CALCULO MORTERO'!I802+'BLAZE SHIELD II'!$D$9)),0)+IF(AND(L802="Blaze Shield II",M802="Software Idiem",C802="Cj"),((('BLAZE SHIELD II'!$H$4*('CALCULO MORTERO'!I802^2)+'BLAZE SHIELD II'!$H$5*'CALCULO MORTERO'!I802+'BLAZE SHIELD II'!$H$6)*LN(J802))+('BLAZE SHIELD II'!$H$7*('CALCULO MORTERO'!I802^2)+'BLAZE SHIELD II'!$H$8*'CALCULO MORTERO'!I802+'BLAZE SHIELD II'!$H$9)),0)+IF(AND(L802="Blaze Shield II",M802="Software Idiem",C802="C"),((('BLAZE SHIELD II'!$L$4*('CALCULO MORTERO'!I802^2)+'BLAZE SHIELD II'!$L$5*'CALCULO MORTERO'!I802+'BLAZE SHIELD II'!$L$6)*LN(J802))+('BLAZE SHIELD II'!$L$7*('CALCULO MORTERO'!I802^2)+'BLAZE SHIELD II'!$L$8*'CALCULO MORTERO'!I802+'BLAZE SHIELD II'!$L$9)),0)+IF(AND(L802="Blaze Shield II",M802="Software Idiem",C802="L"),((('BLAZE SHIELD II'!$L$4*('CALCULO MORTERO'!I802^2)+'BLAZE SHIELD II'!$L$5*'CALCULO MORTERO'!I802+'BLAZE SHIELD II'!$L$6)*LN(J802))+('BLAZE SHIELD II'!$L$7*('CALCULO MORTERO'!I802^2)+'BLAZE SHIELD II'!$L$8*'CALCULO MORTERO'!I802+'BLAZE SHIELD II'!$L$9)),0)+IF(AND(L802="Blaze Shield II",M802="Software Idiem",C802="IN",G802=3),((('BLAZE SHIELD II'!$H$14*('CALCULO MORTERO'!I802^2)+'BLAZE SHIELD II'!$H$15*'CALCULO MORTERO'!I802+'BLAZE SHIELD II'!$H$16)*LN(J802))+('BLAZE SHIELD II'!$H$17*('CALCULO MORTERO'!I802^2)+'BLAZE SHIELD II'!$H$18*'CALCULO MORTERO'!I802+'BLAZE SHIELD II'!$H$19)),0),0)+ROUND(IF(AND(L802="Cafco 400",M802="Software Idiem",C802="IN",G802=4),((('CAFCO 400 '!$H$7*(J802^4)+'CAFCO 400 '!$H$8*(J802^3)+'CAFCO 400 '!$H$9*(J802^2)+'CAFCO 400 '!$H$10*J802+'CAFCO 400 '!$H$11)*U802^2)+(('CAFCO 400 '!$H$12*(J802^3)+'CAFCO 400 '!$H$13*(J802^2)+'CAFCO 400 '!$H$14*J802+'CAFCO 400 '!$H$15)*U802)+('CAFCO 400 '!$H$16*(J802^2)+'CAFCO 400 '!$H$17*J802+'CAFCO 400 '!$H$18)),0)+IF(AND(L802="Cafco 400",M802="Software Idiem",C802="Cj"),(((('CAFCO 400 '!$D$7*LN(J802)+'CAFCO 400 '!$D$8)*U802^2)+(('CAFCO 400 '!$D$9*LN(J802)+'CAFCO 400 '!$D$10)*U802)+('CAFCO 400 '!$D$11*LN(J802)+'CAFCO 400 '!$D$12))),0)+IF(AND(L802="Cafco 400",M802="Software Idiem",C802="C"),((('CAFCO 400 '!$L$7*(J802^3)+'CAFCO 400 '!$L$8*(J802^2)+'CAFCO 400 '!$L$9*J802+'CAFCO 400 '!$L$10)*U802^2)+(('CAFCO 400 '!$L$11*(J802^3)+'CAFCO 400 '!$L$12*(J802^2)+'CAFCO 400 '!$L$13*J802+'CAFCO 400 '!$L$14)*U802)+('CAFCO 400 '!$L$15*LN(J802)+'CAFCO 400 '!$L$16)),0)+IF(AND(L802="Cafco 400",M802="Software Idiem",C802="L"),((('CAFCO 400 '!$L$7*(J802^3)+'CAFCO 400 '!$L$8*(J802^2)+'CAFCO 400 '!$L$9*J802+'CAFCO 400 '!$L$10)*U802^2)+(('CAFCO 400 '!$L$11*(J802^3)+'CAFCO 400 '!$L$12*(J802^2)+'CAFCO 400 '!$L$13*J802+'CAFCO 400 '!$L$14)*U802)+('CAFCO 400 '!$L$15*LN(J802)+'CAFCO 400 '!$L$16)),0)+IF(AND(L802="Cafco 400",M802="Software Idiem",C802="IN",G802=3),((('CAFCO 400 '!$D$23*(J802^2)+'CAFCO 400 '!$D$24*(J802)+'CAFCO 400 '!$D$25)*U802^2)+(('CAFCO 400 '!$D$26*(J802^2)+'CAFCO 400 '!$D$27*J802+'CAFCO 400 '!$D$28)*U802)+('CAFCO 400 '!$D$29*(J802^2)+'CAFCO 400 '!$D$30*J802+'CAFCO 400 '!$D$31)),0),0)+IF(AND(L802="Cafco 300",J802&gt;=95,J802&lt;=240,C802="Cj",I802=90),VLOOKUP(T802,'CAFCO 300 IDIEM TABLAS'!$B$4:$D$23,2,FALSE),0)+IF(AND(L802="Cafco 300",J802&gt;=95,J802&lt;=240,C802="Cj",I802=120),VLOOKUP(T802,'CAFCO 300 IDIEM TABLAS'!$B$4:$D$23,3,FALSE),0)+IF(AND(L802="Cafco 300",J802&gt;=95,J802&lt;=400,G802=3,C802="IN",I802=90),VLOOKUP(T802,'CAFCO 300 IDIEM TABLAS'!$F$4:$H$35,2,FALSE),0)+IF(AND(L802="Cafco 300",J802&gt;=95,J802&lt;=400,G802=3,C802="IN",I802=120),VLOOKUP(T802,'CAFCO 300 IDIEM TABLAS'!$F$4:$H$35,3,FALSE),0)+IF(AND(L802="Cafco 300",J802&gt;=95,J802&lt;=450,G802=4,C802="IN",I802=90),VLOOKUP(T802,'CAFCO 300 IDIEM TABLAS'!$J$4:$L$40,2,FALSE),0)+IF(AND(L802="Cafco 300",J802&gt;=95,J802&lt;=450,G802=4,C802="IN",I802=120),VLOOKUP(T802,'CAFCO 300 IDIEM TABLAS'!$J$4:$L$40,3,FALSE),0)+IF(AND(M802="Ensayo Idiem",L802="Cafco 400",C802="IN",G802=4,I802=90),VLOOKUP(T802,'CAFCO 400 ENSAYO'!$B$7:$D$43,2,FALSE),0)+IF(AND(M802="Ensayo Idiem",L802="Cafco 400",C802="IN",G802=4,I802=120),VLOOKUP(T802,'CAFCO 400 ENSAYO'!$B$7:$D$43,3,FALSE),0)</f>
        <v>0</v>
      </c>
      <c r="O802" s="96">
        <f t="shared" si="84"/>
        <v>0</v>
      </c>
      <c r="P802" s="95" t="str">
        <f t="shared" si="79"/>
        <v>N/A</v>
      </c>
      <c r="Q802" s="95" t="str">
        <f t="shared" si="80"/>
        <v>N/A</v>
      </c>
      <c r="R802" s="95" t="str">
        <f t="shared" si="81"/>
        <v>NO CERT.</v>
      </c>
      <c r="S802" s="95" t="e">
        <f t="shared" si="82"/>
        <v>#N/A</v>
      </c>
      <c r="T802" s="119" t="e">
        <f>+IF(J802=LOOKUP(J802,'CAFCO 300 IDIEM TABLAS'!$J$4:$J$40),'CALCULO MORTERO'!J802,MROUND('CALCULO MORTERO'!J802,10))</f>
        <v>#N/A</v>
      </c>
      <c r="U802" s="118">
        <f t="shared" si="83"/>
        <v>0</v>
      </c>
    </row>
    <row r="803" spans="1:21" x14ac:dyDescent="0.25">
      <c r="A803" s="118">
        <f>+CUBICACION!D797</f>
        <v>0</v>
      </c>
      <c r="B803" s="819">
        <f>+CUBICACION!E797</f>
        <v>0</v>
      </c>
      <c r="C803" s="675">
        <f>+CUBICACION!F797</f>
        <v>0</v>
      </c>
      <c r="D803" s="118"/>
      <c r="E803" s="118"/>
      <c r="F803" s="820"/>
      <c r="G803" s="675">
        <f>+CUBICACION!J797</f>
        <v>0</v>
      </c>
      <c r="H803" s="118"/>
      <c r="I803" s="821">
        <f>+CUBICACION!L797</f>
        <v>0</v>
      </c>
      <c r="J803" s="64">
        <f>+CUBICACION!M797</f>
        <v>0</v>
      </c>
      <c r="K803" s="822" t="str">
        <f>+CUBICACION!N797</f>
        <v/>
      </c>
      <c r="L803" s="118">
        <f>+CUBICACION!O797</f>
        <v>0</v>
      </c>
      <c r="M803" s="823">
        <f>+CUBICACION!P797</f>
        <v>0</v>
      </c>
      <c r="N803" s="902">
        <f>ROUND(IF(AND(L803="Blaze Shield II",M803="Software Idiem",C803="IN",G803=4),((('BLAZE SHIELD II'!$D$4*('CALCULO MORTERO'!I803^2)+'BLAZE SHIELD II'!$D$5*'CALCULO MORTERO'!I803+'BLAZE SHIELD II'!$D$6)*LN(J803))+('BLAZE SHIELD II'!$D$7*('CALCULO MORTERO'!I803^2)+'BLAZE SHIELD II'!$D$8*'CALCULO MORTERO'!I803+'BLAZE SHIELD II'!$D$9)),0)+IF(AND(L803="Blaze Shield II",M803="Software Idiem",C803="Cj"),((('BLAZE SHIELD II'!$H$4*('CALCULO MORTERO'!I803^2)+'BLAZE SHIELD II'!$H$5*'CALCULO MORTERO'!I803+'BLAZE SHIELD II'!$H$6)*LN(J803))+('BLAZE SHIELD II'!$H$7*('CALCULO MORTERO'!I803^2)+'BLAZE SHIELD II'!$H$8*'CALCULO MORTERO'!I803+'BLAZE SHIELD II'!$H$9)),0)+IF(AND(L803="Blaze Shield II",M803="Software Idiem",C803="C"),((('BLAZE SHIELD II'!$L$4*('CALCULO MORTERO'!I803^2)+'BLAZE SHIELD II'!$L$5*'CALCULO MORTERO'!I803+'BLAZE SHIELD II'!$L$6)*LN(J803))+('BLAZE SHIELD II'!$L$7*('CALCULO MORTERO'!I803^2)+'BLAZE SHIELD II'!$L$8*'CALCULO MORTERO'!I803+'BLAZE SHIELD II'!$L$9)),0)+IF(AND(L803="Blaze Shield II",M803="Software Idiem",C803="L"),((('BLAZE SHIELD II'!$L$4*('CALCULO MORTERO'!I803^2)+'BLAZE SHIELD II'!$L$5*'CALCULO MORTERO'!I803+'BLAZE SHIELD II'!$L$6)*LN(J803))+('BLAZE SHIELD II'!$L$7*('CALCULO MORTERO'!I803^2)+'BLAZE SHIELD II'!$L$8*'CALCULO MORTERO'!I803+'BLAZE SHIELD II'!$L$9)),0)+IF(AND(L803="Blaze Shield II",M803="Software Idiem",C803="IN",G803=3),((('BLAZE SHIELD II'!$H$14*('CALCULO MORTERO'!I803^2)+'BLAZE SHIELD II'!$H$15*'CALCULO MORTERO'!I803+'BLAZE SHIELD II'!$H$16)*LN(J803))+('BLAZE SHIELD II'!$H$17*('CALCULO MORTERO'!I803^2)+'BLAZE SHIELD II'!$H$18*'CALCULO MORTERO'!I803+'BLAZE SHIELD II'!$H$19)),0),0)+ROUND(IF(AND(L803="Cafco 400",M803="Software Idiem",C803="IN",G803=4),((('CAFCO 400 '!$H$7*(J803^4)+'CAFCO 400 '!$H$8*(J803^3)+'CAFCO 400 '!$H$9*(J803^2)+'CAFCO 400 '!$H$10*J803+'CAFCO 400 '!$H$11)*U803^2)+(('CAFCO 400 '!$H$12*(J803^3)+'CAFCO 400 '!$H$13*(J803^2)+'CAFCO 400 '!$H$14*J803+'CAFCO 400 '!$H$15)*U803)+('CAFCO 400 '!$H$16*(J803^2)+'CAFCO 400 '!$H$17*J803+'CAFCO 400 '!$H$18)),0)+IF(AND(L803="Cafco 400",M803="Software Idiem",C803="Cj"),(((('CAFCO 400 '!$D$7*LN(J803)+'CAFCO 400 '!$D$8)*U803^2)+(('CAFCO 400 '!$D$9*LN(J803)+'CAFCO 400 '!$D$10)*U803)+('CAFCO 400 '!$D$11*LN(J803)+'CAFCO 400 '!$D$12))),0)+IF(AND(L803="Cafco 400",M803="Software Idiem",C803="C"),((('CAFCO 400 '!$L$7*(J803^3)+'CAFCO 400 '!$L$8*(J803^2)+'CAFCO 400 '!$L$9*J803+'CAFCO 400 '!$L$10)*U803^2)+(('CAFCO 400 '!$L$11*(J803^3)+'CAFCO 400 '!$L$12*(J803^2)+'CAFCO 400 '!$L$13*J803+'CAFCO 400 '!$L$14)*U803)+('CAFCO 400 '!$L$15*LN(J803)+'CAFCO 400 '!$L$16)),0)+IF(AND(L803="Cafco 400",M803="Software Idiem",C803="L"),((('CAFCO 400 '!$L$7*(J803^3)+'CAFCO 400 '!$L$8*(J803^2)+'CAFCO 400 '!$L$9*J803+'CAFCO 400 '!$L$10)*U803^2)+(('CAFCO 400 '!$L$11*(J803^3)+'CAFCO 400 '!$L$12*(J803^2)+'CAFCO 400 '!$L$13*J803+'CAFCO 400 '!$L$14)*U803)+('CAFCO 400 '!$L$15*LN(J803)+'CAFCO 400 '!$L$16)),0)+IF(AND(L803="Cafco 400",M803="Software Idiem",C803="IN",G803=3),((('CAFCO 400 '!$D$23*(J803^2)+'CAFCO 400 '!$D$24*(J803)+'CAFCO 400 '!$D$25)*U803^2)+(('CAFCO 400 '!$D$26*(J803^2)+'CAFCO 400 '!$D$27*J803+'CAFCO 400 '!$D$28)*U803)+('CAFCO 400 '!$D$29*(J803^2)+'CAFCO 400 '!$D$30*J803+'CAFCO 400 '!$D$31)),0),0)+IF(AND(L803="Cafco 300",J803&gt;=95,J803&lt;=240,C803="Cj",I803=90),VLOOKUP(T803,'CAFCO 300 IDIEM TABLAS'!$B$4:$D$23,2,FALSE),0)+IF(AND(L803="Cafco 300",J803&gt;=95,J803&lt;=240,C803="Cj",I803=120),VLOOKUP(T803,'CAFCO 300 IDIEM TABLAS'!$B$4:$D$23,3,FALSE),0)+IF(AND(L803="Cafco 300",J803&gt;=95,J803&lt;=400,G803=3,C803="IN",I803=90),VLOOKUP(T803,'CAFCO 300 IDIEM TABLAS'!$F$4:$H$35,2,FALSE),0)+IF(AND(L803="Cafco 300",J803&gt;=95,J803&lt;=400,G803=3,C803="IN",I803=120),VLOOKUP(T803,'CAFCO 300 IDIEM TABLAS'!$F$4:$H$35,3,FALSE),0)+IF(AND(L803="Cafco 300",J803&gt;=95,J803&lt;=450,G803=4,C803="IN",I803=90),VLOOKUP(T803,'CAFCO 300 IDIEM TABLAS'!$J$4:$L$40,2,FALSE),0)+IF(AND(L803="Cafco 300",J803&gt;=95,J803&lt;=450,G803=4,C803="IN",I803=120),VLOOKUP(T803,'CAFCO 300 IDIEM TABLAS'!$J$4:$L$40,3,FALSE),0)+IF(AND(M803="Ensayo Idiem",L803="Cafco 400",C803="IN",G803=4,I803=90),VLOOKUP(T803,'CAFCO 400 ENSAYO'!$B$7:$D$43,2,FALSE),0)+IF(AND(M803="Ensayo Idiem",L803="Cafco 400",C803="IN",G803=4,I803=120),VLOOKUP(T803,'CAFCO 400 ENSAYO'!$B$7:$D$43,3,FALSE),0)</f>
        <v>0</v>
      </c>
      <c r="O803" s="96">
        <f t="shared" si="84"/>
        <v>0</v>
      </c>
      <c r="P803" s="132" t="str">
        <f t="shared" si="79"/>
        <v>N/A</v>
      </c>
      <c r="Q803" s="132" t="str">
        <f t="shared" si="80"/>
        <v>N/A</v>
      </c>
      <c r="R803" s="132" t="str">
        <f t="shared" si="81"/>
        <v>NO CERT.</v>
      </c>
      <c r="S803" s="132" t="e">
        <f t="shared" si="82"/>
        <v>#N/A</v>
      </c>
      <c r="T803" s="133" t="e">
        <f>+IF(J803=LOOKUP(J803,'CAFCO 300 IDIEM TABLAS'!$J$4:$J$40),'CALCULO MORTERO'!J803,MROUND('CALCULO MORTERO'!J803,10))</f>
        <v>#N/A</v>
      </c>
      <c r="U803" s="134">
        <f t="shared" si="83"/>
        <v>0</v>
      </c>
    </row>
    <row r="804" spans="1:21" x14ac:dyDescent="0.25">
      <c r="A804" s="118">
        <f>+CUBICACION!D798</f>
        <v>0</v>
      </c>
      <c r="B804" s="819">
        <f>+CUBICACION!E798</f>
        <v>0</v>
      </c>
      <c r="C804" s="675">
        <f>+CUBICACION!F798</f>
        <v>0</v>
      </c>
      <c r="D804" s="118"/>
      <c r="E804" s="118"/>
      <c r="F804" s="820"/>
      <c r="G804" s="675">
        <f>+CUBICACION!J798</f>
        <v>0</v>
      </c>
      <c r="H804" s="118"/>
      <c r="I804" s="821">
        <f>+CUBICACION!L798</f>
        <v>0</v>
      </c>
      <c r="J804" s="64">
        <f>+CUBICACION!M798</f>
        <v>0</v>
      </c>
      <c r="K804" s="822" t="str">
        <f>+CUBICACION!N798</f>
        <v/>
      </c>
      <c r="L804" s="118">
        <f>+CUBICACION!O798</f>
        <v>0</v>
      </c>
      <c r="M804" s="823">
        <f>+CUBICACION!P798</f>
        <v>0</v>
      </c>
      <c r="N804" s="902">
        <f>ROUND(IF(AND(L804="Blaze Shield II",M804="Software Idiem",C804="IN",G804=4),((('BLAZE SHIELD II'!$D$4*('CALCULO MORTERO'!I804^2)+'BLAZE SHIELD II'!$D$5*'CALCULO MORTERO'!I804+'BLAZE SHIELD II'!$D$6)*LN(J804))+('BLAZE SHIELD II'!$D$7*('CALCULO MORTERO'!I804^2)+'BLAZE SHIELD II'!$D$8*'CALCULO MORTERO'!I804+'BLAZE SHIELD II'!$D$9)),0)+IF(AND(L804="Blaze Shield II",M804="Software Idiem",C804="Cj"),((('BLAZE SHIELD II'!$H$4*('CALCULO MORTERO'!I804^2)+'BLAZE SHIELD II'!$H$5*'CALCULO MORTERO'!I804+'BLAZE SHIELD II'!$H$6)*LN(J804))+('BLAZE SHIELD II'!$H$7*('CALCULO MORTERO'!I804^2)+'BLAZE SHIELD II'!$H$8*'CALCULO MORTERO'!I804+'BLAZE SHIELD II'!$H$9)),0)+IF(AND(L804="Blaze Shield II",M804="Software Idiem",C804="C"),((('BLAZE SHIELD II'!$L$4*('CALCULO MORTERO'!I804^2)+'BLAZE SHIELD II'!$L$5*'CALCULO MORTERO'!I804+'BLAZE SHIELD II'!$L$6)*LN(J804))+('BLAZE SHIELD II'!$L$7*('CALCULO MORTERO'!I804^2)+'BLAZE SHIELD II'!$L$8*'CALCULO MORTERO'!I804+'BLAZE SHIELD II'!$L$9)),0)+IF(AND(L804="Blaze Shield II",M804="Software Idiem",C804="L"),((('BLAZE SHIELD II'!$L$4*('CALCULO MORTERO'!I804^2)+'BLAZE SHIELD II'!$L$5*'CALCULO MORTERO'!I804+'BLAZE SHIELD II'!$L$6)*LN(J804))+('BLAZE SHIELD II'!$L$7*('CALCULO MORTERO'!I804^2)+'BLAZE SHIELD II'!$L$8*'CALCULO MORTERO'!I804+'BLAZE SHIELD II'!$L$9)),0)+IF(AND(L804="Blaze Shield II",M804="Software Idiem",C804="IN",G804=3),((('BLAZE SHIELD II'!$H$14*('CALCULO MORTERO'!I804^2)+'BLAZE SHIELD II'!$H$15*'CALCULO MORTERO'!I804+'BLAZE SHIELD II'!$H$16)*LN(J804))+('BLAZE SHIELD II'!$H$17*('CALCULO MORTERO'!I804^2)+'BLAZE SHIELD II'!$H$18*'CALCULO MORTERO'!I804+'BLAZE SHIELD II'!$H$19)),0),0)+ROUND(IF(AND(L804="Cafco 400",M804="Software Idiem",C804="IN",G804=4),((('CAFCO 400 '!$H$7*(J804^4)+'CAFCO 400 '!$H$8*(J804^3)+'CAFCO 400 '!$H$9*(J804^2)+'CAFCO 400 '!$H$10*J804+'CAFCO 400 '!$H$11)*U804^2)+(('CAFCO 400 '!$H$12*(J804^3)+'CAFCO 400 '!$H$13*(J804^2)+'CAFCO 400 '!$H$14*J804+'CAFCO 400 '!$H$15)*U804)+('CAFCO 400 '!$H$16*(J804^2)+'CAFCO 400 '!$H$17*J804+'CAFCO 400 '!$H$18)),0)+IF(AND(L804="Cafco 400",M804="Software Idiem",C804="Cj"),(((('CAFCO 400 '!$D$7*LN(J804)+'CAFCO 400 '!$D$8)*U804^2)+(('CAFCO 400 '!$D$9*LN(J804)+'CAFCO 400 '!$D$10)*U804)+('CAFCO 400 '!$D$11*LN(J804)+'CAFCO 400 '!$D$12))),0)+IF(AND(L804="Cafco 400",M804="Software Idiem",C804="C"),((('CAFCO 400 '!$L$7*(J804^3)+'CAFCO 400 '!$L$8*(J804^2)+'CAFCO 400 '!$L$9*J804+'CAFCO 400 '!$L$10)*U804^2)+(('CAFCO 400 '!$L$11*(J804^3)+'CAFCO 400 '!$L$12*(J804^2)+'CAFCO 400 '!$L$13*J804+'CAFCO 400 '!$L$14)*U804)+('CAFCO 400 '!$L$15*LN(J804)+'CAFCO 400 '!$L$16)),0)+IF(AND(L804="Cafco 400",M804="Software Idiem",C804="L"),((('CAFCO 400 '!$L$7*(J804^3)+'CAFCO 400 '!$L$8*(J804^2)+'CAFCO 400 '!$L$9*J804+'CAFCO 400 '!$L$10)*U804^2)+(('CAFCO 400 '!$L$11*(J804^3)+'CAFCO 400 '!$L$12*(J804^2)+'CAFCO 400 '!$L$13*J804+'CAFCO 400 '!$L$14)*U804)+('CAFCO 400 '!$L$15*LN(J804)+'CAFCO 400 '!$L$16)),0)+IF(AND(L804="Cafco 400",M804="Software Idiem",C804="IN",G804=3),((('CAFCO 400 '!$D$23*(J804^2)+'CAFCO 400 '!$D$24*(J804)+'CAFCO 400 '!$D$25)*U804^2)+(('CAFCO 400 '!$D$26*(J804^2)+'CAFCO 400 '!$D$27*J804+'CAFCO 400 '!$D$28)*U804)+('CAFCO 400 '!$D$29*(J804^2)+'CAFCO 400 '!$D$30*J804+'CAFCO 400 '!$D$31)),0),0)+IF(AND(L804="Cafco 300",J804&gt;=95,J804&lt;=240,C804="Cj",I804=90),VLOOKUP(T804,'CAFCO 300 IDIEM TABLAS'!$B$4:$D$23,2,FALSE),0)+IF(AND(L804="Cafco 300",J804&gt;=95,J804&lt;=240,C804="Cj",I804=120),VLOOKUP(T804,'CAFCO 300 IDIEM TABLAS'!$B$4:$D$23,3,FALSE),0)+IF(AND(L804="Cafco 300",J804&gt;=95,J804&lt;=400,G804=3,C804="IN",I804=90),VLOOKUP(T804,'CAFCO 300 IDIEM TABLAS'!$F$4:$H$35,2,FALSE),0)+IF(AND(L804="Cafco 300",J804&gt;=95,J804&lt;=400,G804=3,C804="IN",I804=120),VLOOKUP(T804,'CAFCO 300 IDIEM TABLAS'!$F$4:$H$35,3,FALSE),0)+IF(AND(L804="Cafco 300",J804&gt;=95,J804&lt;=450,G804=4,C804="IN",I804=90),VLOOKUP(T804,'CAFCO 300 IDIEM TABLAS'!$J$4:$L$40,2,FALSE),0)+IF(AND(L804="Cafco 300",J804&gt;=95,J804&lt;=450,G804=4,C804="IN",I804=120),VLOOKUP(T804,'CAFCO 300 IDIEM TABLAS'!$J$4:$L$40,3,FALSE),0)+IF(AND(M804="Ensayo Idiem",L804="Cafco 400",C804="IN",G804=4,I804=90),VLOOKUP(T804,'CAFCO 400 ENSAYO'!$B$7:$D$43,2,FALSE),0)+IF(AND(M804="Ensayo Idiem",L804="Cafco 400",C804="IN",G804=4,I804=120),VLOOKUP(T804,'CAFCO 400 ENSAYO'!$B$7:$D$43,3,FALSE),0)</f>
        <v>0</v>
      </c>
      <c r="O804" s="96">
        <f t="shared" si="84"/>
        <v>0</v>
      </c>
      <c r="P804" s="95" t="str">
        <f t="shared" si="79"/>
        <v>N/A</v>
      </c>
      <c r="Q804" s="95" t="str">
        <f t="shared" si="80"/>
        <v>N/A</v>
      </c>
      <c r="R804" s="95" t="str">
        <f t="shared" si="81"/>
        <v>NO CERT.</v>
      </c>
      <c r="S804" s="95" t="e">
        <f t="shared" si="82"/>
        <v>#N/A</v>
      </c>
      <c r="T804" s="119" t="e">
        <f>+IF(J804=LOOKUP(J804,'CAFCO 300 IDIEM TABLAS'!$J$4:$J$40),'CALCULO MORTERO'!J804,MROUND('CALCULO MORTERO'!J804,10))</f>
        <v>#N/A</v>
      </c>
      <c r="U804" s="118">
        <f t="shared" si="83"/>
        <v>0</v>
      </c>
    </row>
    <row r="805" spans="1:21" x14ac:dyDescent="0.25">
      <c r="A805" s="118">
        <f>+CUBICACION!D799</f>
        <v>0</v>
      </c>
      <c r="B805" s="819">
        <f>+CUBICACION!E799</f>
        <v>0</v>
      </c>
      <c r="C805" s="675">
        <f>+CUBICACION!F799</f>
        <v>0</v>
      </c>
      <c r="D805" s="118"/>
      <c r="E805" s="118"/>
      <c r="F805" s="820"/>
      <c r="G805" s="675">
        <f>+CUBICACION!J799</f>
        <v>0</v>
      </c>
      <c r="H805" s="118"/>
      <c r="I805" s="821">
        <f>+CUBICACION!L799</f>
        <v>0</v>
      </c>
      <c r="J805" s="64">
        <f>+CUBICACION!M799</f>
        <v>0</v>
      </c>
      <c r="K805" s="822" t="str">
        <f>+CUBICACION!N799</f>
        <v/>
      </c>
      <c r="L805" s="118">
        <f>+CUBICACION!O799</f>
        <v>0</v>
      </c>
      <c r="M805" s="823">
        <f>+CUBICACION!P799</f>
        <v>0</v>
      </c>
      <c r="N805" s="902">
        <f>ROUND(IF(AND(L805="Blaze Shield II",M805="Software Idiem",C805="IN",G805=4),((('BLAZE SHIELD II'!$D$4*('CALCULO MORTERO'!I805^2)+'BLAZE SHIELD II'!$D$5*'CALCULO MORTERO'!I805+'BLAZE SHIELD II'!$D$6)*LN(J805))+('BLAZE SHIELD II'!$D$7*('CALCULO MORTERO'!I805^2)+'BLAZE SHIELD II'!$D$8*'CALCULO MORTERO'!I805+'BLAZE SHIELD II'!$D$9)),0)+IF(AND(L805="Blaze Shield II",M805="Software Idiem",C805="Cj"),((('BLAZE SHIELD II'!$H$4*('CALCULO MORTERO'!I805^2)+'BLAZE SHIELD II'!$H$5*'CALCULO MORTERO'!I805+'BLAZE SHIELD II'!$H$6)*LN(J805))+('BLAZE SHIELD II'!$H$7*('CALCULO MORTERO'!I805^2)+'BLAZE SHIELD II'!$H$8*'CALCULO MORTERO'!I805+'BLAZE SHIELD II'!$H$9)),0)+IF(AND(L805="Blaze Shield II",M805="Software Idiem",C805="C"),((('BLAZE SHIELD II'!$L$4*('CALCULO MORTERO'!I805^2)+'BLAZE SHIELD II'!$L$5*'CALCULO MORTERO'!I805+'BLAZE SHIELD II'!$L$6)*LN(J805))+('BLAZE SHIELD II'!$L$7*('CALCULO MORTERO'!I805^2)+'BLAZE SHIELD II'!$L$8*'CALCULO MORTERO'!I805+'BLAZE SHIELD II'!$L$9)),0)+IF(AND(L805="Blaze Shield II",M805="Software Idiem",C805="L"),((('BLAZE SHIELD II'!$L$4*('CALCULO MORTERO'!I805^2)+'BLAZE SHIELD II'!$L$5*'CALCULO MORTERO'!I805+'BLAZE SHIELD II'!$L$6)*LN(J805))+('BLAZE SHIELD II'!$L$7*('CALCULO MORTERO'!I805^2)+'BLAZE SHIELD II'!$L$8*'CALCULO MORTERO'!I805+'BLAZE SHIELD II'!$L$9)),0)+IF(AND(L805="Blaze Shield II",M805="Software Idiem",C805="IN",G805=3),((('BLAZE SHIELD II'!$H$14*('CALCULO MORTERO'!I805^2)+'BLAZE SHIELD II'!$H$15*'CALCULO MORTERO'!I805+'BLAZE SHIELD II'!$H$16)*LN(J805))+('BLAZE SHIELD II'!$H$17*('CALCULO MORTERO'!I805^2)+'BLAZE SHIELD II'!$H$18*'CALCULO MORTERO'!I805+'BLAZE SHIELD II'!$H$19)),0),0)+ROUND(IF(AND(L805="Cafco 400",M805="Software Idiem",C805="IN",G805=4),((('CAFCO 400 '!$H$7*(J805^4)+'CAFCO 400 '!$H$8*(J805^3)+'CAFCO 400 '!$H$9*(J805^2)+'CAFCO 400 '!$H$10*J805+'CAFCO 400 '!$H$11)*U805^2)+(('CAFCO 400 '!$H$12*(J805^3)+'CAFCO 400 '!$H$13*(J805^2)+'CAFCO 400 '!$H$14*J805+'CAFCO 400 '!$H$15)*U805)+('CAFCO 400 '!$H$16*(J805^2)+'CAFCO 400 '!$H$17*J805+'CAFCO 400 '!$H$18)),0)+IF(AND(L805="Cafco 400",M805="Software Idiem",C805="Cj"),(((('CAFCO 400 '!$D$7*LN(J805)+'CAFCO 400 '!$D$8)*U805^2)+(('CAFCO 400 '!$D$9*LN(J805)+'CAFCO 400 '!$D$10)*U805)+('CAFCO 400 '!$D$11*LN(J805)+'CAFCO 400 '!$D$12))),0)+IF(AND(L805="Cafco 400",M805="Software Idiem",C805="C"),((('CAFCO 400 '!$L$7*(J805^3)+'CAFCO 400 '!$L$8*(J805^2)+'CAFCO 400 '!$L$9*J805+'CAFCO 400 '!$L$10)*U805^2)+(('CAFCO 400 '!$L$11*(J805^3)+'CAFCO 400 '!$L$12*(J805^2)+'CAFCO 400 '!$L$13*J805+'CAFCO 400 '!$L$14)*U805)+('CAFCO 400 '!$L$15*LN(J805)+'CAFCO 400 '!$L$16)),0)+IF(AND(L805="Cafco 400",M805="Software Idiem",C805="L"),((('CAFCO 400 '!$L$7*(J805^3)+'CAFCO 400 '!$L$8*(J805^2)+'CAFCO 400 '!$L$9*J805+'CAFCO 400 '!$L$10)*U805^2)+(('CAFCO 400 '!$L$11*(J805^3)+'CAFCO 400 '!$L$12*(J805^2)+'CAFCO 400 '!$L$13*J805+'CAFCO 400 '!$L$14)*U805)+('CAFCO 400 '!$L$15*LN(J805)+'CAFCO 400 '!$L$16)),0)+IF(AND(L805="Cafco 400",M805="Software Idiem",C805="IN",G805=3),((('CAFCO 400 '!$D$23*(J805^2)+'CAFCO 400 '!$D$24*(J805)+'CAFCO 400 '!$D$25)*U805^2)+(('CAFCO 400 '!$D$26*(J805^2)+'CAFCO 400 '!$D$27*J805+'CAFCO 400 '!$D$28)*U805)+('CAFCO 400 '!$D$29*(J805^2)+'CAFCO 400 '!$D$30*J805+'CAFCO 400 '!$D$31)),0),0)+IF(AND(L805="Cafco 300",J805&gt;=95,J805&lt;=240,C805="Cj",I805=90),VLOOKUP(T805,'CAFCO 300 IDIEM TABLAS'!$B$4:$D$23,2,FALSE),0)+IF(AND(L805="Cafco 300",J805&gt;=95,J805&lt;=240,C805="Cj",I805=120),VLOOKUP(T805,'CAFCO 300 IDIEM TABLAS'!$B$4:$D$23,3,FALSE),0)+IF(AND(L805="Cafco 300",J805&gt;=95,J805&lt;=400,G805=3,C805="IN",I805=90),VLOOKUP(T805,'CAFCO 300 IDIEM TABLAS'!$F$4:$H$35,2,FALSE),0)+IF(AND(L805="Cafco 300",J805&gt;=95,J805&lt;=400,G805=3,C805="IN",I805=120),VLOOKUP(T805,'CAFCO 300 IDIEM TABLAS'!$F$4:$H$35,3,FALSE),0)+IF(AND(L805="Cafco 300",J805&gt;=95,J805&lt;=450,G805=4,C805="IN",I805=90),VLOOKUP(T805,'CAFCO 300 IDIEM TABLAS'!$J$4:$L$40,2,FALSE),0)+IF(AND(L805="Cafco 300",J805&gt;=95,J805&lt;=450,G805=4,C805="IN",I805=120),VLOOKUP(T805,'CAFCO 300 IDIEM TABLAS'!$J$4:$L$40,3,FALSE),0)+IF(AND(M805="Ensayo Idiem",L805="Cafco 400",C805="IN",G805=4,I805=90),VLOOKUP(T805,'CAFCO 400 ENSAYO'!$B$7:$D$43,2,FALSE),0)+IF(AND(M805="Ensayo Idiem",L805="Cafco 400",C805="IN",G805=4,I805=120),VLOOKUP(T805,'CAFCO 400 ENSAYO'!$B$7:$D$43,3,FALSE),0)</f>
        <v>0</v>
      </c>
      <c r="O805" s="96">
        <f t="shared" si="84"/>
        <v>0</v>
      </c>
      <c r="P805" s="132" t="str">
        <f t="shared" si="79"/>
        <v>N/A</v>
      </c>
      <c r="Q805" s="132" t="str">
        <f t="shared" si="80"/>
        <v>N/A</v>
      </c>
      <c r="R805" s="132" t="str">
        <f t="shared" si="81"/>
        <v>NO CERT.</v>
      </c>
      <c r="S805" s="132" t="e">
        <f t="shared" si="82"/>
        <v>#N/A</v>
      </c>
      <c r="T805" s="133" t="e">
        <f>+IF(J805=LOOKUP(J805,'CAFCO 300 IDIEM TABLAS'!$J$4:$J$40),'CALCULO MORTERO'!J805,MROUND('CALCULO MORTERO'!J805,10))</f>
        <v>#N/A</v>
      </c>
      <c r="U805" s="134">
        <f t="shared" si="83"/>
        <v>0</v>
      </c>
    </row>
    <row r="806" spans="1:21" x14ac:dyDescent="0.25">
      <c r="A806" s="118">
        <f>+CUBICACION!D800</f>
        <v>0</v>
      </c>
      <c r="B806" s="819">
        <f>+CUBICACION!E800</f>
        <v>0</v>
      </c>
      <c r="C806" s="675">
        <f>+CUBICACION!F800</f>
        <v>0</v>
      </c>
      <c r="D806" s="118"/>
      <c r="E806" s="118"/>
      <c r="F806" s="820"/>
      <c r="G806" s="675">
        <f>+CUBICACION!J800</f>
        <v>0</v>
      </c>
      <c r="H806" s="118"/>
      <c r="I806" s="821">
        <f>+CUBICACION!L800</f>
        <v>0</v>
      </c>
      <c r="J806" s="64">
        <f>+CUBICACION!M800</f>
        <v>0</v>
      </c>
      <c r="K806" s="822" t="str">
        <f>+CUBICACION!N800</f>
        <v/>
      </c>
      <c r="L806" s="118">
        <f>+CUBICACION!O800</f>
        <v>0</v>
      </c>
      <c r="M806" s="823">
        <f>+CUBICACION!P800</f>
        <v>0</v>
      </c>
      <c r="N806" s="902">
        <f>ROUND(IF(AND(L806="Blaze Shield II",M806="Software Idiem",C806="IN",G806=4),((('BLAZE SHIELD II'!$D$4*('CALCULO MORTERO'!I806^2)+'BLAZE SHIELD II'!$D$5*'CALCULO MORTERO'!I806+'BLAZE SHIELD II'!$D$6)*LN(J806))+('BLAZE SHIELD II'!$D$7*('CALCULO MORTERO'!I806^2)+'BLAZE SHIELD II'!$D$8*'CALCULO MORTERO'!I806+'BLAZE SHIELD II'!$D$9)),0)+IF(AND(L806="Blaze Shield II",M806="Software Idiem",C806="Cj"),((('BLAZE SHIELD II'!$H$4*('CALCULO MORTERO'!I806^2)+'BLAZE SHIELD II'!$H$5*'CALCULO MORTERO'!I806+'BLAZE SHIELD II'!$H$6)*LN(J806))+('BLAZE SHIELD II'!$H$7*('CALCULO MORTERO'!I806^2)+'BLAZE SHIELD II'!$H$8*'CALCULO MORTERO'!I806+'BLAZE SHIELD II'!$H$9)),0)+IF(AND(L806="Blaze Shield II",M806="Software Idiem",C806="C"),((('BLAZE SHIELD II'!$L$4*('CALCULO MORTERO'!I806^2)+'BLAZE SHIELD II'!$L$5*'CALCULO MORTERO'!I806+'BLAZE SHIELD II'!$L$6)*LN(J806))+('BLAZE SHIELD II'!$L$7*('CALCULO MORTERO'!I806^2)+'BLAZE SHIELD II'!$L$8*'CALCULO MORTERO'!I806+'BLAZE SHIELD II'!$L$9)),0)+IF(AND(L806="Blaze Shield II",M806="Software Idiem",C806="L"),((('BLAZE SHIELD II'!$L$4*('CALCULO MORTERO'!I806^2)+'BLAZE SHIELD II'!$L$5*'CALCULO MORTERO'!I806+'BLAZE SHIELD II'!$L$6)*LN(J806))+('BLAZE SHIELD II'!$L$7*('CALCULO MORTERO'!I806^2)+'BLAZE SHIELD II'!$L$8*'CALCULO MORTERO'!I806+'BLAZE SHIELD II'!$L$9)),0)+IF(AND(L806="Blaze Shield II",M806="Software Idiem",C806="IN",G806=3),((('BLAZE SHIELD II'!$H$14*('CALCULO MORTERO'!I806^2)+'BLAZE SHIELD II'!$H$15*'CALCULO MORTERO'!I806+'BLAZE SHIELD II'!$H$16)*LN(J806))+('BLAZE SHIELD II'!$H$17*('CALCULO MORTERO'!I806^2)+'BLAZE SHIELD II'!$H$18*'CALCULO MORTERO'!I806+'BLAZE SHIELD II'!$H$19)),0),0)+ROUND(IF(AND(L806="Cafco 400",M806="Software Idiem",C806="IN",G806=4),((('CAFCO 400 '!$H$7*(J806^4)+'CAFCO 400 '!$H$8*(J806^3)+'CAFCO 400 '!$H$9*(J806^2)+'CAFCO 400 '!$H$10*J806+'CAFCO 400 '!$H$11)*U806^2)+(('CAFCO 400 '!$H$12*(J806^3)+'CAFCO 400 '!$H$13*(J806^2)+'CAFCO 400 '!$H$14*J806+'CAFCO 400 '!$H$15)*U806)+('CAFCO 400 '!$H$16*(J806^2)+'CAFCO 400 '!$H$17*J806+'CAFCO 400 '!$H$18)),0)+IF(AND(L806="Cafco 400",M806="Software Idiem",C806="Cj"),(((('CAFCO 400 '!$D$7*LN(J806)+'CAFCO 400 '!$D$8)*U806^2)+(('CAFCO 400 '!$D$9*LN(J806)+'CAFCO 400 '!$D$10)*U806)+('CAFCO 400 '!$D$11*LN(J806)+'CAFCO 400 '!$D$12))),0)+IF(AND(L806="Cafco 400",M806="Software Idiem",C806="C"),((('CAFCO 400 '!$L$7*(J806^3)+'CAFCO 400 '!$L$8*(J806^2)+'CAFCO 400 '!$L$9*J806+'CAFCO 400 '!$L$10)*U806^2)+(('CAFCO 400 '!$L$11*(J806^3)+'CAFCO 400 '!$L$12*(J806^2)+'CAFCO 400 '!$L$13*J806+'CAFCO 400 '!$L$14)*U806)+('CAFCO 400 '!$L$15*LN(J806)+'CAFCO 400 '!$L$16)),0)+IF(AND(L806="Cafco 400",M806="Software Idiem",C806="L"),((('CAFCO 400 '!$L$7*(J806^3)+'CAFCO 400 '!$L$8*(J806^2)+'CAFCO 400 '!$L$9*J806+'CAFCO 400 '!$L$10)*U806^2)+(('CAFCO 400 '!$L$11*(J806^3)+'CAFCO 400 '!$L$12*(J806^2)+'CAFCO 400 '!$L$13*J806+'CAFCO 400 '!$L$14)*U806)+('CAFCO 400 '!$L$15*LN(J806)+'CAFCO 400 '!$L$16)),0)+IF(AND(L806="Cafco 400",M806="Software Idiem",C806="IN",G806=3),((('CAFCO 400 '!$D$23*(J806^2)+'CAFCO 400 '!$D$24*(J806)+'CAFCO 400 '!$D$25)*U806^2)+(('CAFCO 400 '!$D$26*(J806^2)+'CAFCO 400 '!$D$27*J806+'CAFCO 400 '!$D$28)*U806)+('CAFCO 400 '!$D$29*(J806^2)+'CAFCO 400 '!$D$30*J806+'CAFCO 400 '!$D$31)),0),0)+IF(AND(L806="Cafco 300",J806&gt;=95,J806&lt;=240,C806="Cj",I806=90),VLOOKUP(T806,'CAFCO 300 IDIEM TABLAS'!$B$4:$D$23,2,FALSE),0)+IF(AND(L806="Cafco 300",J806&gt;=95,J806&lt;=240,C806="Cj",I806=120),VLOOKUP(T806,'CAFCO 300 IDIEM TABLAS'!$B$4:$D$23,3,FALSE),0)+IF(AND(L806="Cafco 300",J806&gt;=95,J806&lt;=400,G806=3,C806="IN",I806=90),VLOOKUP(T806,'CAFCO 300 IDIEM TABLAS'!$F$4:$H$35,2,FALSE),0)+IF(AND(L806="Cafco 300",J806&gt;=95,J806&lt;=400,G806=3,C806="IN",I806=120),VLOOKUP(T806,'CAFCO 300 IDIEM TABLAS'!$F$4:$H$35,3,FALSE),0)+IF(AND(L806="Cafco 300",J806&gt;=95,J806&lt;=450,G806=4,C806="IN",I806=90),VLOOKUP(T806,'CAFCO 300 IDIEM TABLAS'!$J$4:$L$40,2,FALSE),0)+IF(AND(L806="Cafco 300",J806&gt;=95,J806&lt;=450,G806=4,C806="IN",I806=120),VLOOKUP(T806,'CAFCO 300 IDIEM TABLAS'!$J$4:$L$40,3,FALSE),0)+IF(AND(M806="Ensayo Idiem",L806="Cafco 400",C806="IN",G806=4,I806=90),VLOOKUP(T806,'CAFCO 400 ENSAYO'!$B$7:$D$43,2,FALSE),0)+IF(AND(M806="Ensayo Idiem",L806="Cafco 400",C806="IN",G806=4,I806=120),VLOOKUP(T806,'CAFCO 400 ENSAYO'!$B$7:$D$43,3,FALSE),0)</f>
        <v>0</v>
      </c>
      <c r="O806" s="96">
        <f t="shared" si="84"/>
        <v>0</v>
      </c>
      <c r="P806" s="95" t="str">
        <f t="shared" si="79"/>
        <v>N/A</v>
      </c>
      <c r="Q806" s="95" t="str">
        <f t="shared" si="80"/>
        <v>N/A</v>
      </c>
      <c r="R806" s="95" t="str">
        <f t="shared" si="81"/>
        <v>NO CERT.</v>
      </c>
      <c r="S806" s="95" t="e">
        <f t="shared" si="82"/>
        <v>#N/A</v>
      </c>
      <c r="T806" s="119" t="e">
        <f>+IF(J806=LOOKUP(J806,'CAFCO 300 IDIEM TABLAS'!$J$4:$J$40),'CALCULO MORTERO'!J806,MROUND('CALCULO MORTERO'!J806,10))</f>
        <v>#N/A</v>
      </c>
      <c r="U806" s="118">
        <f t="shared" si="83"/>
        <v>0</v>
      </c>
    </row>
    <row r="807" spans="1:21" x14ac:dyDescent="0.25">
      <c r="A807" s="118">
        <f>+CUBICACION!D801</f>
        <v>0</v>
      </c>
      <c r="B807" s="819">
        <f>+CUBICACION!E801</f>
        <v>0</v>
      </c>
      <c r="C807" s="675">
        <f>+CUBICACION!F801</f>
        <v>0</v>
      </c>
      <c r="D807" s="118"/>
      <c r="E807" s="118"/>
      <c r="F807" s="820"/>
      <c r="G807" s="675">
        <f>+CUBICACION!J801</f>
        <v>0</v>
      </c>
      <c r="H807" s="118"/>
      <c r="I807" s="821">
        <f>+CUBICACION!L801</f>
        <v>0</v>
      </c>
      <c r="J807" s="64">
        <f>+CUBICACION!M801</f>
        <v>0</v>
      </c>
      <c r="K807" s="822" t="str">
        <f>+CUBICACION!N801</f>
        <v/>
      </c>
      <c r="L807" s="118">
        <f>+CUBICACION!O801</f>
        <v>0</v>
      </c>
      <c r="M807" s="823">
        <f>+CUBICACION!P801</f>
        <v>0</v>
      </c>
      <c r="N807" s="902">
        <f>ROUND(IF(AND(L807="Blaze Shield II",M807="Software Idiem",C807="IN",G807=4),((('BLAZE SHIELD II'!$D$4*('CALCULO MORTERO'!I807^2)+'BLAZE SHIELD II'!$D$5*'CALCULO MORTERO'!I807+'BLAZE SHIELD II'!$D$6)*LN(J807))+('BLAZE SHIELD II'!$D$7*('CALCULO MORTERO'!I807^2)+'BLAZE SHIELD II'!$D$8*'CALCULO MORTERO'!I807+'BLAZE SHIELD II'!$D$9)),0)+IF(AND(L807="Blaze Shield II",M807="Software Idiem",C807="Cj"),((('BLAZE SHIELD II'!$H$4*('CALCULO MORTERO'!I807^2)+'BLAZE SHIELD II'!$H$5*'CALCULO MORTERO'!I807+'BLAZE SHIELD II'!$H$6)*LN(J807))+('BLAZE SHIELD II'!$H$7*('CALCULO MORTERO'!I807^2)+'BLAZE SHIELD II'!$H$8*'CALCULO MORTERO'!I807+'BLAZE SHIELD II'!$H$9)),0)+IF(AND(L807="Blaze Shield II",M807="Software Idiem",C807="C"),((('BLAZE SHIELD II'!$L$4*('CALCULO MORTERO'!I807^2)+'BLAZE SHIELD II'!$L$5*'CALCULO MORTERO'!I807+'BLAZE SHIELD II'!$L$6)*LN(J807))+('BLAZE SHIELD II'!$L$7*('CALCULO MORTERO'!I807^2)+'BLAZE SHIELD II'!$L$8*'CALCULO MORTERO'!I807+'BLAZE SHIELD II'!$L$9)),0)+IF(AND(L807="Blaze Shield II",M807="Software Idiem",C807="L"),((('BLAZE SHIELD II'!$L$4*('CALCULO MORTERO'!I807^2)+'BLAZE SHIELD II'!$L$5*'CALCULO MORTERO'!I807+'BLAZE SHIELD II'!$L$6)*LN(J807))+('BLAZE SHIELD II'!$L$7*('CALCULO MORTERO'!I807^2)+'BLAZE SHIELD II'!$L$8*'CALCULO MORTERO'!I807+'BLAZE SHIELD II'!$L$9)),0)+IF(AND(L807="Blaze Shield II",M807="Software Idiem",C807="IN",G807=3),((('BLAZE SHIELD II'!$H$14*('CALCULO MORTERO'!I807^2)+'BLAZE SHIELD II'!$H$15*'CALCULO MORTERO'!I807+'BLAZE SHIELD II'!$H$16)*LN(J807))+('BLAZE SHIELD II'!$H$17*('CALCULO MORTERO'!I807^2)+'BLAZE SHIELD II'!$H$18*'CALCULO MORTERO'!I807+'BLAZE SHIELD II'!$H$19)),0),0)+ROUND(IF(AND(L807="Cafco 400",M807="Software Idiem",C807="IN",G807=4),((('CAFCO 400 '!$H$7*(J807^4)+'CAFCO 400 '!$H$8*(J807^3)+'CAFCO 400 '!$H$9*(J807^2)+'CAFCO 400 '!$H$10*J807+'CAFCO 400 '!$H$11)*U807^2)+(('CAFCO 400 '!$H$12*(J807^3)+'CAFCO 400 '!$H$13*(J807^2)+'CAFCO 400 '!$H$14*J807+'CAFCO 400 '!$H$15)*U807)+('CAFCO 400 '!$H$16*(J807^2)+'CAFCO 400 '!$H$17*J807+'CAFCO 400 '!$H$18)),0)+IF(AND(L807="Cafco 400",M807="Software Idiem",C807="Cj"),(((('CAFCO 400 '!$D$7*LN(J807)+'CAFCO 400 '!$D$8)*U807^2)+(('CAFCO 400 '!$D$9*LN(J807)+'CAFCO 400 '!$D$10)*U807)+('CAFCO 400 '!$D$11*LN(J807)+'CAFCO 400 '!$D$12))),0)+IF(AND(L807="Cafco 400",M807="Software Idiem",C807="C"),((('CAFCO 400 '!$L$7*(J807^3)+'CAFCO 400 '!$L$8*(J807^2)+'CAFCO 400 '!$L$9*J807+'CAFCO 400 '!$L$10)*U807^2)+(('CAFCO 400 '!$L$11*(J807^3)+'CAFCO 400 '!$L$12*(J807^2)+'CAFCO 400 '!$L$13*J807+'CAFCO 400 '!$L$14)*U807)+('CAFCO 400 '!$L$15*LN(J807)+'CAFCO 400 '!$L$16)),0)+IF(AND(L807="Cafco 400",M807="Software Idiem",C807="L"),((('CAFCO 400 '!$L$7*(J807^3)+'CAFCO 400 '!$L$8*(J807^2)+'CAFCO 400 '!$L$9*J807+'CAFCO 400 '!$L$10)*U807^2)+(('CAFCO 400 '!$L$11*(J807^3)+'CAFCO 400 '!$L$12*(J807^2)+'CAFCO 400 '!$L$13*J807+'CAFCO 400 '!$L$14)*U807)+('CAFCO 400 '!$L$15*LN(J807)+'CAFCO 400 '!$L$16)),0)+IF(AND(L807="Cafco 400",M807="Software Idiem",C807="IN",G807=3),((('CAFCO 400 '!$D$23*(J807^2)+'CAFCO 400 '!$D$24*(J807)+'CAFCO 400 '!$D$25)*U807^2)+(('CAFCO 400 '!$D$26*(J807^2)+'CAFCO 400 '!$D$27*J807+'CAFCO 400 '!$D$28)*U807)+('CAFCO 400 '!$D$29*(J807^2)+'CAFCO 400 '!$D$30*J807+'CAFCO 400 '!$D$31)),0),0)+IF(AND(L807="Cafco 300",J807&gt;=95,J807&lt;=240,C807="Cj",I807=90),VLOOKUP(T807,'CAFCO 300 IDIEM TABLAS'!$B$4:$D$23,2,FALSE),0)+IF(AND(L807="Cafco 300",J807&gt;=95,J807&lt;=240,C807="Cj",I807=120),VLOOKUP(T807,'CAFCO 300 IDIEM TABLAS'!$B$4:$D$23,3,FALSE),0)+IF(AND(L807="Cafco 300",J807&gt;=95,J807&lt;=400,G807=3,C807="IN",I807=90),VLOOKUP(T807,'CAFCO 300 IDIEM TABLAS'!$F$4:$H$35,2,FALSE),0)+IF(AND(L807="Cafco 300",J807&gt;=95,J807&lt;=400,G807=3,C807="IN",I807=120),VLOOKUP(T807,'CAFCO 300 IDIEM TABLAS'!$F$4:$H$35,3,FALSE),0)+IF(AND(L807="Cafco 300",J807&gt;=95,J807&lt;=450,G807=4,C807="IN",I807=90),VLOOKUP(T807,'CAFCO 300 IDIEM TABLAS'!$J$4:$L$40,2,FALSE),0)+IF(AND(L807="Cafco 300",J807&gt;=95,J807&lt;=450,G807=4,C807="IN",I807=120),VLOOKUP(T807,'CAFCO 300 IDIEM TABLAS'!$J$4:$L$40,3,FALSE),0)+IF(AND(M807="Ensayo Idiem",L807="Cafco 400",C807="IN",G807=4,I807=90),VLOOKUP(T807,'CAFCO 400 ENSAYO'!$B$7:$D$43,2,FALSE),0)+IF(AND(M807="Ensayo Idiem",L807="Cafco 400",C807="IN",G807=4,I807=120),VLOOKUP(T807,'CAFCO 400 ENSAYO'!$B$7:$D$43,3,FALSE),0)</f>
        <v>0</v>
      </c>
      <c r="O807" s="96">
        <f t="shared" si="84"/>
        <v>0</v>
      </c>
      <c r="P807" s="132" t="str">
        <f t="shared" si="79"/>
        <v>N/A</v>
      </c>
      <c r="Q807" s="132" t="str">
        <f t="shared" si="80"/>
        <v>N/A</v>
      </c>
      <c r="R807" s="132" t="str">
        <f t="shared" si="81"/>
        <v>NO CERT.</v>
      </c>
      <c r="S807" s="132" t="e">
        <f t="shared" si="82"/>
        <v>#N/A</v>
      </c>
      <c r="T807" s="133" t="e">
        <f>+IF(J807=LOOKUP(J807,'CAFCO 300 IDIEM TABLAS'!$J$4:$J$40),'CALCULO MORTERO'!J807,MROUND('CALCULO MORTERO'!J807,10))</f>
        <v>#N/A</v>
      </c>
      <c r="U807" s="134">
        <f t="shared" si="83"/>
        <v>0</v>
      </c>
    </row>
    <row r="808" spans="1:21" x14ac:dyDescent="0.25">
      <c r="A808" s="118">
        <f>+CUBICACION!D802</f>
        <v>0</v>
      </c>
      <c r="B808" s="819">
        <f>+CUBICACION!E802</f>
        <v>0</v>
      </c>
      <c r="C808" s="675">
        <f>+CUBICACION!F802</f>
        <v>0</v>
      </c>
      <c r="D808" s="118"/>
      <c r="E808" s="118"/>
      <c r="F808" s="820"/>
      <c r="G808" s="675">
        <f>+CUBICACION!J802</f>
        <v>0</v>
      </c>
      <c r="H808" s="118"/>
      <c r="I808" s="821">
        <f>+CUBICACION!L802</f>
        <v>0</v>
      </c>
      <c r="J808" s="64">
        <f>+CUBICACION!M802</f>
        <v>0</v>
      </c>
      <c r="K808" s="822" t="str">
        <f>+CUBICACION!N802</f>
        <v/>
      </c>
      <c r="L808" s="118">
        <f>+CUBICACION!O802</f>
        <v>0</v>
      </c>
      <c r="M808" s="823">
        <f>+CUBICACION!P802</f>
        <v>0</v>
      </c>
      <c r="N808" s="902">
        <f>ROUND(IF(AND(L808="Blaze Shield II",M808="Software Idiem",C808="IN",G808=4),((('BLAZE SHIELD II'!$D$4*('CALCULO MORTERO'!I808^2)+'BLAZE SHIELD II'!$D$5*'CALCULO MORTERO'!I808+'BLAZE SHIELD II'!$D$6)*LN(J808))+('BLAZE SHIELD II'!$D$7*('CALCULO MORTERO'!I808^2)+'BLAZE SHIELD II'!$D$8*'CALCULO MORTERO'!I808+'BLAZE SHIELD II'!$D$9)),0)+IF(AND(L808="Blaze Shield II",M808="Software Idiem",C808="Cj"),((('BLAZE SHIELD II'!$H$4*('CALCULO MORTERO'!I808^2)+'BLAZE SHIELD II'!$H$5*'CALCULO MORTERO'!I808+'BLAZE SHIELD II'!$H$6)*LN(J808))+('BLAZE SHIELD II'!$H$7*('CALCULO MORTERO'!I808^2)+'BLAZE SHIELD II'!$H$8*'CALCULO MORTERO'!I808+'BLAZE SHIELD II'!$H$9)),0)+IF(AND(L808="Blaze Shield II",M808="Software Idiem",C808="C"),((('BLAZE SHIELD II'!$L$4*('CALCULO MORTERO'!I808^2)+'BLAZE SHIELD II'!$L$5*'CALCULO MORTERO'!I808+'BLAZE SHIELD II'!$L$6)*LN(J808))+('BLAZE SHIELD II'!$L$7*('CALCULO MORTERO'!I808^2)+'BLAZE SHIELD II'!$L$8*'CALCULO MORTERO'!I808+'BLAZE SHIELD II'!$L$9)),0)+IF(AND(L808="Blaze Shield II",M808="Software Idiem",C808="L"),((('BLAZE SHIELD II'!$L$4*('CALCULO MORTERO'!I808^2)+'BLAZE SHIELD II'!$L$5*'CALCULO MORTERO'!I808+'BLAZE SHIELD II'!$L$6)*LN(J808))+('BLAZE SHIELD II'!$L$7*('CALCULO MORTERO'!I808^2)+'BLAZE SHIELD II'!$L$8*'CALCULO MORTERO'!I808+'BLAZE SHIELD II'!$L$9)),0)+IF(AND(L808="Blaze Shield II",M808="Software Idiem",C808="IN",G808=3),((('BLAZE SHIELD II'!$H$14*('CALCULO MORTERO'!I808^2)+'BLAZE SHIELD II'!$H$15*'CALCULO MORTERO'!I808+'BLAZE SHIELD II'!$H$16)*LN(J808))+('BLAZE SHIELD II'!$H$17*('CALCULO MORTERO'!I808^2)+'BLAZE SHIELD II'!$H$18*'CALCULO MORTERO'!I808+'BLAZE SHIELD II'!$H$19)),0),0)+ROUND(IF(AND(L808="Cafco 400",M808="Software Idiem",C808="IN",G808=4),((('CAFCO 400 '!$H$7*(J808^4)+'CAFCO 400 '!$H$8*(J808^3)+'CAFCO 400 '!$H$9*(J808^2)+'CAFCO 400 '!$H$10*J808+'CAFCO 400 '!$H$11)*U808^2)+(('CAFCO 400 '!$H$12*(J808^3)+'CAFCO 400 '!$H$13*(J808^2)+'CAFCO 400 '!$H$14*J808+'CAFCO 400 '!$H$15)*U808)+('CAFCO 400 '!$H$16*(J808^2)+'CAFCO 400 '!$H$17*J808+'CAFCO 400 '!$H$18)),0)+IF(AND(L808="Cafco 400",M808="Software Idiem",C808="Cj"),(((('CAFCO 400 '!$D$7*LN(J808)+'CAFCO 400 '!$D$8)*U808^2)+(('CAFCO 400 '!$D$9*LN(J808)+'CAFCO 400 '!$D$10)*U808)+('CAFCO 400 '!$D$11*LN(J808)+'CAFCO 400 '!$D$12))),0)+IF(AND(L808="Cafco 400",M808="Software Idiem",C808="C"),((('CAFCO 400 '!$L$7*(J808^3)+'CAFCO 400 '!$L$8*(J808^2)+'CAFCO 400 '!$L$9*J808+'CAFCO 400 '!$L$10)*U808^2)+(('CAFCO 400 '!$L$11*(J808^3)+'CAFCO 400 '!$L$12*(J808^2)+'CAFCO 400 '!$L$13*J808+'CAFCO 400 '!$L$14)*U808)+('CAFCO 400 '!$L$15*LN(J808)+'CAFCO 400 '!$L$16)),0)+IF(AND(L808="Cafco 400",M808="Software Idiem",C808="L"),((('CAFCO 400 '!$L$7*(J808^3)+'CAFCO 400 '!$L$8*(J808^2)+'CAFCO 400 '!$L$9*J808+'CAFCO 400 '!$L$10)*U808^2)+(('CAFCO 400 '!$L$11*(J808^3)+'CAFCO 400 '!$L$12*(J808^2)+'CAFCO 400 '!$L$13*J808+'CAFCO 400 '!$L$14)*U808)+('CAFCO 400 '!$L$15*LN(J808)+'CAFCO 400 '!$L$16)),0)+IF(AND(L808="Cafco 400",M808="Software Idiem",C808="IN",G808=3),((('CAFCO 400 '!$D$23*(J808^2)+'CAFCO 400 '!$D$24*(J808)+'CAFCO 400 '!$D$25)*U808^2)+(('CAFCO 400 '!$D$26*(J808^2)+'CAFCO 400 '!$D$27*J808+'CAFCO 400 '!$D$28)*U808)+('CAFCO 400 '!$D$29*(J808^2)+'CAFCO 400 '!$D$30*J808+'CAFCO 400 '!$D$31)),0),0)+IF(AND(L808="Cafco 300",J808&gt;=95,J808&lt;=240,C808="Cj",I808=90),VLOOKUP(T808,'CAFCO 300 IDIEM TABLAS'!$B$4:$D$23,2,FALSE),0)+IF(AND(L808="Cafco 300",J808&gt;=95,J808&lt;=240,C808="Cj",I808=120),VLOOKUP(T808,'CAFCO 300 IDIEM TABLAS'!$B$4:$D$23,3,FALSE),0)+IF(AND(L808="Cafco 300",J808&gt;=95,J808&lt;=400,G808=3,C808="IN",I808=90),VLOOKUP(T808,'CAFCO 300 IDIEM TABLAS'!$F$4:$H$35,2,FALSE),0)+IF(AND(L808="Cafco 300",J808&gt;=95,J808&lt;=400,G808=3,C808="IN",I808=120),VLOOKUP(T808,'CAFCO 300 IDIEM TABLAS'!$F$4:$H$35,3,FALSE),0)+IF(AND(L808="Cafco 300",J808&gt;=95,J808&lt;=450,G808=4,C808="IN",I808=90),VLOOKUP(T808,'CAFCO 300 IDIEM TABLAS'!$J$4:$L$40,2,FALSE),0)+IF(AND(L808="Cafco 300",J808&gt;=95,J808&lt;=450,G808=4,C808="IN",I808=120),VLOOKUP(T808,'CAFCO 300 IDIEM TABLAS'!$J$4:$L$40,3,FALSE),0)+IF(AND(M808="Ensayo Idiem",L808="Cafco 400",C808="IN",G808=4,I808=90),VLOOKUP(T808,'CAFCO 400 ENSAYO'!$B$7:$D$43,2,FALSE),0)+IF(AND(M808="Ensayo Idiem",L808="Cafco 400",C808="IN",G808=4,I808=120),VLOOKUP(T808,'CAFCO 400 ENSAYO'!$B$7:$D$43,3,FALSE),0)</f>
        <v>0</v>
      </c>
      <c r="O808" s="96">
        <f t="shared" si="84"/>
        <v>0</v>
      </c>
      <c r="P808" s="95" t="str">
        <f t="shared" si="79"/>
        <v>N/A</v>
      </c>
      <c r="Q808" s="95" t="str">
        <f t="shared" si="80"/>
        <v>N/A</v>
      </c>
      <c r="R808" s="95" t="str">
        <f t="shared" si="81"/>
        <v>NO CERT.</v>
      </c>
      <c r="S808" s="95" t="e">
        <f t="shared" si="82"/>
        <v>#N/A</v>
      </c>
      <c r="T808" s="119" t="e">
        <f>+IF(J808=LOOKUP(J808,'CAFCO 300 IDIEM TABLAS'!$J$4:$J$40),'CALCULO MORTERO'!J808,MROUND('CALCULO MORTERO'!J808,10))</f>
        <v>#N/A</v>
      </c>
      <c r="U808" s="118">
        <f t="shared" si="83"/>
        <v>0</v>
      </c>
    </row>
    <row r="809" spans="1:21" x14ac:dyDescent="0.25">
      <c r="A809" s="118">
        <f>+CUBICACION!D803</f>
        <v>0</v>
      </c>
      <c r="B809" s="819">
        <f>+CUBICACION!E803</f>
        <v>0</v>
      </c>
      <c r="C809" s="675">
        <f>+CUBICACION!F803</f>
        <v>0</v>
      </c>
      <c r="D809" s="118"/>
      <c r="E809" s="118"/>
      <c r="F809" s="820"/>
      <c r="G809" s="675">
        <f>+CUBICACION!J803</f>
        <v>0</v>
      </c>
      <c r="H809" s="118"/>
      <c r="I809" s="821">
        <f>+CUBICACION!L803</f>
        <v>0</v>
      </c>
      <c r="J809" s="64">
        <f>+CUBICACION!M803</f>
        <v>0</v>
      </c>
      <c r="K809" s="822" t="str">
        <f>+CUBICACION!N803</f>
        <v/>
      </c>
      <c r="L809" s="118">
        <f>+CUBICACION!O803</f>
        <v>0</v>
      </c>
      <c r="M809" s="823">
        <f>+CUBICACION!P803</f>
        <v>0</v>
      </c>
      <c r="N809" s="902">
        <f>ROUND(IF(AND(L809="Blaze Shield II",M809="Software Idiem",C809="IN",G809=4),((('BLAZE SHIELD II'!$D$4*('CALCULO MORTERO'!I809^2)+'BLAZE SHIELD II'!$D$5*'CALCULO MORTERO'!I809+'BLAZE SHIELD II'!$D$6)*LN(J809))+('BLAZE SHIELD II'!$D$7*('CALCULO MORTERO'!I809^2)+'BLAZE SHIELD II'!$D$8*'CALCULO MORTERO'!I809+'BLAZE SHIELD II'!$D$9)),0)+IF(AND(L809="Blaze Shield II",M809="Software Idiem",C809="Cj"),((('BLAZE SHIELD II'!$H$4*('CALCULO MORTERO'!I809^2)+'BLAZE SHIELD II'!$H$5*'CALCULO MORTERO'!I809+'BLAZE SHIELD II'!$H$6)*LN(J809))+('BLAZE SHIELD II'!$H$7*('CALCULO MORTERO'!I809^2)+'BLAZE SHIELD II'!$H$8*'CALCULO MORTERO'!I809+'BLAZE SHIELD II'!$H$9)),0)+IF(AND(L809="Blaze Shield II",M809="Software Idiem",C809="C"),((('BLAZE SHIELD II'!$L$4*('CALCULO MORTERO'!I809^2)+'BLAZE SHIELD II'!$L$5*'CALCULO MORTERO'!I809+'BLAZE SHIELD II'!$L$6)*LN(J809))+('BLAZE SHIELD II'!$L$7*('CALCULO MORTERO'!I809^2)+'BLAZE SHIELD II'!$L$8*'CALCULO MORTERO'!I809+'BLAZE SHIELD II'!$L$9)),0)+IF(AND(L809="Blaze Shield II",M809="Software Idiem",C809="L"),((('BLAZE SHIELD II'!$L$4*('CALCULO MORTERO'!I809^2)+'BLAZE SHIELD II'!$L$5*'CALCULO MORTERO'!I809+'BLAZE SHIELD II'!$L$6)*LN(J809))+('BLAZE SHIELD II'!$L$7*('CALCULO MORTERO'!I809^2)+'BLAZE SHIELD II'!$L$8*'CALCULO MORTERO'!I809+'BLAZE SHIELD II'!$L$9)),0)+IF(AND(L809="Blaze Shield II",M809="Software Idiem",C809="IN",G809=3),((('BLAZE SHIELD II'!$H$14*('CALCULO MORTERO'!I809^2)+'BLAZE SHIELD II'!$H$15*'CALCULO MORTERO'!I809+'BLAZE SHIELD II'!$H$16)*LN(J809))+('BLAZE SHIELD II'!$H$17*('CALCULO MORTERO'!I809^2)+'BLAZE SHIELD II'!$H$18*'CALCULO MORTERO'!I809+'BLAZE SHIELD II'!$H$19)),0),0)+ROUND(IF(AND(L809="Cafco 400",M809="Software Idiem",C809="IN",G809=4),((('CAFCO 400 '!$H$7*(J809^4)+'CAFCO 400 '!$H$8*(J809^3)+'CAFCO 400 '!$H$9*(J809^2)+'CAFCO 400 '!$H$10*J809+'CAFCO 400 '!$H$11)*U809^2)+(('CAFCO 400 '!$H$12*(J809^3)+'CAFCO 400 '!$H$13*(J809^2)+'CAFCO 400 '!$H$14*J809+'CAFCO 400 '!$H$15)*U809)+('CAFCO 400 '!$H$16*(J809^2)+'CAFCO 400 '!$H$17*J809+'CAFCO 400 '!$H$18)),0)+IF(AND(L809="Cafco 400",M809="Software Idiem",C809="Cj"),(((('CAFCO 400 '!$D$7*LN(J809)+'CAFCO 400 '!$D$8)*U809^2)+(('CAFCO 400 '!$D$9*LN(J809)+'CAFCO 400 '!$D$10)*U809)+('CAFCO 400 '!$D$11*LN(J809)+'CAFCO 400 '!$D$12))),0)+IF(AND(L809="Cafco 400",M809="Software Idiem",C809="C"),((('CAFCO 400 '!$L$7*(J809^3)+'CAFCO 400 '!$L$8*(J809^2)+'CAFCO 400 '!$L$9*J809+'CAFCO 400 '!$L$10)*U809^2)+(('CAFCO 400 '!$L$11*(J809^3)+'CAFCO 400 '!$L$12*(J809^2)+'CAFCO 400 '!$L$13*J809+'CAFCO 400 '!$L$14)*U809)+('CAFCO 400 '!$L$15*LN(J809)+'CAFCO 400 '!$L$16)),0)+IF(AND(L809="Cafco 400",M809="Software Idiem",C809="L"),((('CAFCO 400 '!$L$7*(J809^3)+'CAFCO 400 '!$L$8*(J809^2)+'CAFCO 400 '!$L$9*J809+'CAFCO 400 '!$L$10)*U809^2)+(('CAFCO 400 '!$L$11*(J809^3)+'CAFCO 400 '!$L$12*(J809^2)+'CAFCO 400 '!$L$13*J809+'CAFCO 400 '!$L$14)*U809)+('CAFCO 400 '!$L$15*LN(J809)+'CAFCO 400 '!$L$16)),0)+IF(AND(L809="Cafco 400",M809="Software Idiem",C809="IN",G809=3),((('CAFCO 400 '!$D$23*(J809^2)+'CAFCO 400 '!$D$24*(J809)+'CAFCO 400 '!$D$25)*U809^2)+(('CAFCO 400 '!$D$26*(J809^2)+'CAFCO 400 '!$D$27*J809+'CAFCO 400 '!$D$28)*U809)+('CAFCO 400 '!$D$29*(J809^2)+'CAFCO 400 '!$D$30*J809+'CAFCO 400 '!$D$31)),0),0)+IF(AND(L809="Cafco 300",J809&gt;=95,J809&lt;=240,C809="Cj",I809=90),VLOOKUP(T809,'CAFCO 300 IDIEM TABLAS'!$B$4:$D$23,2,FALSE),0)+IF(AND(L809="Cafco 300",J809&gt;=95,J809&lt;=240,C809="Cj",I809=120),VLOOKUP(T809,'CAFCO 300 IDIEM TABLAS'!$B$4:$D$23,3,FALSE),0)+IF(AND(L809="Cafco 300",J809&gt;=95,J809&lt;=400,G809=3,C809="IN",I809=90),VLOOKUP(T809,'CAFCO 300 IDIEM TABLAS'!$F$4:$H$35,2,FALSE),0)+IF(AND(L809="Cafco 300",J809&gt;=95,J809&lt;=400,G809=3,C809="IN",I809=120),VLOOKUP(T809,'CAFCO 300 IDIEM TABLAS'!$F$4:$H$35,3,FALSE),0)+IF(AND(L809="Cafco 300",J809&gt;=95,J809&lt;=450,G809=4,C809="IN",I809=90),VLOOKUP(T809,'CAFCO 300 IDIEM TABLAS'!$J$4:$L$40,2,FALSE),0)+IF(AND(L809="Cafco 300",J809&gt;=95,J809&lt;=450,G809=4,C809="IN",I809=120),VLOOKUP(T809,'CAFCO 300 IDIEM TABLAS'!$J$4:$L$40,3,FALSE),0)+IF(AND(M809="Ensayo Idiem",L809="Cafco 400",C809="IN",G809=4,I809=90),VLOOKUP(T809,'CAFCO 400 ENSAYO'!$B$7:$D$43,2,FALSE),0)+IF(AND(M809="Ensayo Idiem",L809="Cafco 400",C809="IN",G809=4,I809=120),VLOOKUP(T809,'CAFCO 400 ENSAYO'!$B$7:$D$43,3,FALSE),0)</f>
        <v>0</v>
      </c>
      <c r="O809" s="96">
        <f t="shared" si="84"/>
        <v>0</v>
      </c>
      <c r="P809" s="132" t="str">
        <f t="shared" si="79"/>
        <v>N/A</v>
      </c>
      <c r="Q809" s="132" t="str">
        <f t="shared" si="80"/>
        <v>N/A</v>
      </c>
      <c r="R809" s="132" t="str">
        <f t="shared" si="81"/>
        <v>NO CERT.</v>
      </c>
      <c r="S809" s="132" t="e">
        <f t="shared" si="82"/>
        <v>#N/A</v>
      </c>
      <c r="T809" s="133" t="e">
        <f>+IF(J809=LOOKUP(J809,'CAFCO 300 IDIEM TABLAS'!$J$4:$J$40),'CALCULO MORTERO'!J809,MROUND('CALCULO MORTERO'!J809,10))</f>
        <v>#N/A</v>
      </c>
      <c r="U809" s="134">
        <f t="shared" si="83"/>
        <v>0</v>
      </c>
    </row>
    <row r="810" spans="1:21" x14ac:dyDescent="0.25">
      <c r="A810" s="118">
        <f>+CUBICACION!D804</f>
        <v>0</v>
      </c>
      <c r="B810" s="819">
        <f>+CUBICACION!E804</f>
        <v>0</v>
      </c>
      <c r="C810" s="675">
        <f>+CUBICACION!F804</f>
        <v>0</v>
      </c>
      <c r="D810" s="118"/>
      <c r="E810" s="118"/>
      <c r="F810" s="820"/>
      <c r="G810" s="675">
        <f>+CUBICACION!J804</f>
        <v>0</v>
      </c>
      <c r="H810" s="118"/>
      <c r="I810" s="821">
        <f>+CUBICACION!L804</f>
        <v>0</v>
      </c>
      <c r="J810" s="64">
        <f>+CUBICACION!M804</f>
        <v>0</v>
      </c>
      <c r="K810" s="822" t="str">
        <f>+CUBICACION!N804</f>
        <v/>
      </c>
      <c r="L810" s="118">
        <f>+CUBICACION!O804</f>
        <v>0</v>
      </c>
      <c r="M810" s="823">
        <f>+CUBICACION!P804</f>
        <v>0</v>
      </c>
      <c r="N810" s="902">
        <f>ROUND(IF(AND(L810="Blaze Shield II",M810="Software Idiem",C810="IN",G810=4),((('BLAZE SHIELD II'!$D$4*('CALCULO MORTERO'!I810^2)+'BLAZE SHIELD II'!$D$5*'CALCULO MORTERO'!I810+'BLAZE SHIELD II'!$D$6)*LN(J810))+('BLAZE SHIELD II'!$D$7*('CALCULO MORTERO'!I810^2)+'BLAZE SHIELD II'!$D$8*'CALCULO MORTERO'!I810+'BLAZE SHIELD II'!$D$9)),0)+IF(AND(L810="Blaze Shield II",M810="Software Idiem",C810="Cj"),((('BLAZE SHIELD II'!$H$4*('CALCULO MORTERO'!I810^2)+'BLAZE SHIELD II'!$H$5*'CALCULO MORTERO'!I810+'BLAZE SHIELD II'!$H$6)*LN(J810))+('BLAZE SHIELD II'!$H$7*('CALCULO MORTERO'!I810^2)+'BLAZE SHIELD II'!$H$8*'CALCULO MORTERO'!I810+'BLAZE SHIELD II'!$H$9)),0)+IF(AND(L810="Blaze Shield II",M810="Software Idiem",C810="C"),((('BLAZE SHIELD II'!$L$4*('CALCULO MORTERO'!I810^2)+'BLAZE SHIELD II'!$L$5*'CALCULO MORTERO'!I810+'BLAZE SHIELD II'!$L$6)*LN(J810))+('BLAZE SHIELD II'!$L$7*('CALCULO MORTERO'!I810^2)+'BLAZE SHIELD II'!$L$8*'CALCULO MORTERO'!I810+'BLAZE SHIELD II'!$L$9)),0)+IF(AND(L810="Blaze Shield II",M810="Software Idiem",C810="L"),((('BLAZE SHIELD II'!$L$4*('CALCULO MORTERO'!I810^2)+'BLAZE SHIELD II'!$L$5*'CALCULO MORTERO'!I810+'BLAZE SHIELD II'!$L$6)*LN(J810))+('BLAZE SHIELD II'!$L$7*('CALCULO MORTERO'!I810^2)+'BLAZE SHIELD II'!$L$8*'CALCULO MORTERO'!I810+'BLAZE SHIELD II'!$L$9)),0)+IF(AND(L810="Blaze Shield II",M810="Software Idiem",C810="IN",G810=3),((('BLAZE SHIELD II'!$H$14*('CALCULO MORTERO'!I810^2)+'BLAZE SHIELD II'!$H$15*'CALCULO MORTERO'!I810+'BLAZE SHIELD II'!$H$16)*LN(J810))+('BLAZE SHIELD II'!$H$17*('CALCULO MORTERO'!I810^2)+'BLAZE SHIELD II'!$H$18*'CALCULO MORTERO'!I810+'BLAZE SHIELD II'!$H$19)),0),0)+ROUND(IF(AND(L810="Cafco 400",M810="Software Idiem",C810="IN",G810=4),((('CAFCO 400 '!$H$7*(J810^4)+'CAFCO 400 '!$H$8*(J810^3)+'CAFCO 400 '!$H$9*(J810^2)+'CAFCO 400 '!$H$10*J810+'CAFCO 400 '!$H$11)*U810^2)+(('CAFCO 400 '!$H$12*(J810^3)+'CAFCO 400 '!$H$13*(J810^2)+'CAFCO 400 '!$H$14*J810+'CAFCO 400 '!$H$15)*U810)+('CAFCO 400 '!$H$16*(J810^2)+'CAFCO 400 '!$H$17*J810+'CAFCO 400 '!$H$18)),0)+IF(AND(L810="Cafco 400",M810="Software Idiem",C810="Cj"),(((('CAFCO 400 '!$D$7*LN(J810)+'CAFCO 400 '!$D$8)*U810^2)+(('CAFCO 400 '!$D$9*LN(J810)+'CAFCO 400 '!$D$10)*U810)+('CAFCO 400 '!$D$11*LN(J810)+'CAFCO 400 '!$D$12))),0)+IF(AND(L810="Cafco 400",M810="Software Idiem",C810="C"),((('CAFCO 400 '!$L$7*(J810^3)+'CAFCO 400 '!$L$8*(J810^2)+'CAFCO 400 '!$L$9*J810+'CAFCO 400 '!$L$10)*U810^2)+(('CAFCO 400 '!$L$11*(J810^3)+'CAFCO 400 '!$L$12*(J810^2)+'CAFCO 400 '!$L$13*J810+'CAFCO 400 '!$L$14)*U810)+('CAFCO 400 '!$L$15*LN(J810)+'CAFCO 400 '!$L$16)),0)+IF(AND(L810="Cafco 400",M810="Software Idiem",C810="L"),((('CAFCO 400 '!$L$7*(J810^3)+'CAFCO 400 '!$L$8*(J810^2)+'CAFCO 400 '!$L$9*J810+'CAFCO 400 '!$L$10)*U810^2)+(('CAFCO 400 '!$L$11*(J810^3)+'CAFCO 400 '!$L$12*(J810^2)+'CAFCO 400 '!$L$13*J810+'CAFCO 400 '!$L$14)*U810)+('CAFCO 400 '!$L$15*LN(J810)+'CAFCO 400 '!$L$16)),0)+IF(AND(L810="Cafco 400",M810="Software Idiem",C810="IN",G810=3),((('CAFCO 400 '!$D$23*(J810^2)+'CAFCO 400 '!$D$24*(J810)+'CAFCO 400 '!$D$25)*U810^2)+(('CAFCO 400 '!$D$26*(J810^2)+'CAFCO 400 '!$D$27*J810+'CAFCO 400 '!$D$28)*U810)+('CAFCO 400 '!$D$29*(J810^2)+'CAFCO 400 '!$D$30*J810+'CAFCO 400 '!$D$31)),0),0)+IF(AND(L810="Cafco 300",J810&gt;=95,J810&lt;=240,C810="Cj",I810=90),VLOOKUP(T810,'CAFCO 300 IDIEM TABLAS'!$B$4:$D$23,2,FALSE),0)+IF(AND(L810="Cafco 300",J810&gt;=95,J810&lt;=240,C810="Cj",I810=120),VLOOKUP(T810,'CAFCO 300 IDIEM TABLAS'!$B$4:$D$23,3,FALSE),0)+IF(AND(L810="Cafco 300",J810&gt;=95,J810&lt;=400,G810=3,C810="IN",I810=90),VLOOKUP(T810,'CAFCO 300 IDIEM TABLAS'!$F$4:$H$35,2,FALSE),0)+IF(AND(L810="Cafco 300",J810&gt;=95,J810&lt;=400,G810=3,C810="IN",I810=120),VLOOKUP(T810,'CAFCO 300 IDIEM TABLAS'!$F$4:$H$35,3,FALSE),0)+IF(AND(L810="Cafco 300",J810&gt;=95,J810&lt;=450,G810=4,C810="IN",I810=90),VLOOKUP(T810,'CAFCO 300 IDIEM TABLAS'!$J$4:$L$40,2,FALSE),0)+IF(AND(L810="Cafco 300",J810&gt;=95,J810&lt;=450,G810=4,C810="IN",I810=120),VLOOKUP(T810,'CAFCO 300 IDIEM TABLAS'!$J$4:$L$40,3,FALSE),0)+IF(AND(M810="Ensayo Idiem",L810="Cafco 400",C810="IN",G810=4,I810=90),VLOOKUP(T810,'CAFCO 400 ENSAYO'!$B$7:$D$43,2,FALSE),0)+IF(AND(M810="Ensayo Idiem",L810="Cafco 400",C810="IN",G810=4,I810=120),VLOOKUP(T810,'CAFCO 400 ENSAYO'!$B$7:$D$43,3,FALSE),0)</f>
        <v>0</v>
      </c>
      <c r="O810" s="96">
        <f t="shared" si="84"/>
        <v>0</v>
      </c>
      <c r="P810" s="95" t="str">
        <f t="shared" si="79"/>
        <v>N/A</v>
      </c>
      <c r="Q810" s="95" t="str">
        <f t="shared" si="80"/>
        <v>N/A</v>
      </c>
      <c r="R810" s="95" t="str">
        <f t="shared" si="81"/>
        <v>NO CERT.</v>
      </c>
      <c r="S810" s="95" t="e">
        <f t="shared" si="82"/>
        <v>#N/A</v>
      </c>
      <c r="T810" s="119" t="e">
        <f>+IF(J810=LOOKUP(J810,'CAFCO 300 IDIEM TABLAS'!$J$4:$J$40),'CALCULO MORTERO'!J810,MROUND('CALCULO MORTERO'!J810,10))</f>
        <v>#N/A</v>
      </c>
      <c r="U810" s="118">
        <f t="shared" si="83"/>
        <v>0</v>
      </c>
    </row>
    <row r="811" spans="1:21" x14ac:dyDescent="0.25">
      <c r="A811" s="118">
        <f>+CUBICACION!D805</f>
        <v>0</v>
      </c>
      <c r="B811" s="819">
        <f>+CUBICACION!E805</f>
        <v>0</v>
      </c>
      <c r="C811" s="675">
        <f>+CUBICACION!F805</f>
        <v>0</v>
      </c>
      <c r="D811" s="118"/>
      <c r="E811" s="118"/>
      <c r="F811" s="820"/>
      <c r="G811" s="675">
        <f>+CUBICACION!J805</f>
        <v>0</v>
      </c>
      <c r="H811" s="118"/>
      <c r="I811" s="821">
        <f>+CUBICACION!L805</f>
        <v>0</v>
      </c>
      <c r="J811" s="64">
        <f>+CUBICACION!M805</f>
        <v>0</v>
      </c>
      <c r="K811" s="822" t="str">
        <f>+CUBICACION!N805</f>
        <v/>
      </c>
      <c r="L811" s="118">
        <f>+CUBICACION!O805</f>
        <v>0</v>
      </c>
      <c r="M811" s="823">
        <f>+CUBICACION!P805</f>
        <v>0</v>
      </c>
      <c r="N811" s="902">
        <f>ROUND(IF(AND(L811="Blaze Shield II",M811="Software Idiem",C811="IN",G811=4),((('BLAZE SHIELD II'!$D$4*('CALCULO MORTERO'!I811^2)+'BLAZE SHIELD II'!$D$5*'CALCULO MORTERO'!I811+'BLAZE SHIELD II'!$D$6)*LN(J811))+('BLAZE SHIELD II'!$D$7*('CALCULO MORTERO'!I811^2)+'BLAZE SHIELD II'!$D$8*'CALCULO MORTERO'!I811+'BLAZE SHIELD II'!$D$9)),0)+IF(AND(L811="Blaze Shield II",M811="Software Idiem",C811="Cj"),((('BLAZE SHIELD II'!$H$4*('CALCULO MORTERO'!I811^2)+'BLAZE SHIELD II'!$H$5*'CALCULO MORTERO'!I811+'BLAZE SHIELD II'!$H$6)*LN(J811))+('BLAZE SHIELD II'!$H$7*('CALCULO MORTERO'!I811^2)+'BLAZE SHIELD II'!$H$8*'CALCULO MORTERO'!I811+'BLAZE SHIELD II'!$H$9)),0)+IF(AND(L811="Blaze Shield II",M811="Software Idiem",C811="C"),((('BLAZE SHIELD II'!$L$4*('CALCULO MORTERO'!I811^2)+'BLAZE SHIELD II'!$L$5*'CALCULO MORTERO'!I811+'BLAZE SHIELD II'!$L$6)*LN(J811))+('BLAZE SHIELD II'!$L$7*('CALCULO MORTERO'!I811^2)+'BLAZE SHIELD II'!$L$8*'CALCULO MORTERO'!I811+'BLAZE SHIELD II'!$L$9)),0)+IF(AND(L811="Blaze Shield II",M811="Software Idiem",C811="L"),((('BLAZE SHIELD II'!$L$4*('CALCULO MORTERO'!I811^2)+'BLAZE SHIELD II'!$L$5*'CALCULO MORTERO'!I811+'BLAZE SHIELD II'!$L$6)*LN(J811))+('BLAZE SHIELD II'!$L$7*('CALCULO MORTERO'!I811^2)+'BLAZE SHIELD II'!$L$8*'CALCULO MORTERO'!I811+'BLAZE SHIELD II'!$L$9)),0)+IF(AND(L811="Blaze Shield II",M811="Software Idiem",C811="IN",G811=3),((('BLAZE SHIELD II'!$H$14*('CALCULO MORTERO'!I811^2)+'BLAZE SHIELD II'!$H$15*'CALCULO MORTERO'!I811+'BLAZE SHIELD II'!$H$16)*LN(J811))+('BLAZE SHIELD II'!$H$17*('CALCULO MORTERO'!I811^2)+'BLAZE SHIELD II'!$H$18*'CALCULO MORTERO'!I811+'BLAZE SHIELD II'!$H$19)),0),0)+ROUND(IF(AND(L811="Cafco 400",M811="Software Idiem",C811="IN",G811=4),((('CAFCO 400 '!$H$7*(J811^4)+'CAFCO 400 '!$H$8*(J811^3)+'CAFCO 400 '!$H$9*(J811^2)+'CAFCO 400 '!$H$10*J811+'CAFCO 400 '!$H$11)*U811^2)+(('CAFCO 400 '!$H$12*(J811^3)+'CAFCO 400 '!$H$13*(J811^2)+'CAFCO 400 '!$H$14*J811+'CAFCO 400 '!$H$15)*U811)+('CAFCO 400 '!$H$16*(J811^2)+'CAFCO 400 '!$H$17*J811+'CAFCO 400 '!$H$18)),0)+IF(AND(L811="Cafco 400",M811="Software Idiem",C811="Cj"),(((('CAFCO 400 '!$D$7*LN(J811)+'CAFCO 400 '!$D$8)*U811^2)+(('CAFCO 400 '!$D$9*LN(J811)+'CAFCO 400 '!$D$10)*U811)+('CAFCO 400 '!$D$11*LN(J811)+'CAFCO 400 '!$D$12))),0)+IF(AND(L811="Cafco 400",M811="Software Idiem",C811="C"),((('CAFCO 400 '!$L$7*(J811^3)+'CAFCO 400 '!$L$8*(J811^2)+'CAFCO 400 '!$L$9*J811+'CAFCO 400 '!$L$10)*U811^2)+(('CAFCO 400 '!$L$11*(J811^3)+'CAFCO 400 '!$L$12*(J811^2)+'CAFCO 400 '!$L$13*J811+'CAFCO 400 '!$L$14)*U811)+('CAFCO 400 '!$L$15*LN(J811)+'CAFCO 400 '!$L$16)),0)+IF(AND(L811="Cafco 400",M811="Software Idiem",C811="L"),((('CAFCO 400 '!$L$7*(J811^3)+'CAFCO 400 '!$L$8*(J811^2)+'CAFCO 400 '!$L$9*J811+'CAFCO 400 '!$L$10)*U811^2)+(('CAFCO 400 '!$L$11*(J811^3)+'CAFCO 400 '!$L$12*(J811^2)+'CAFCO 400 '!$L$13*J811+'CAFCO 400 '!$L$14)*U811)+('CAFCO 400 '!$L$15*LN(J811)+'CAFCO 400 '!$L$16)),0)+IF(AND(L811="Cafco 400",M811="Software Idiem",C811="IN",G811=3),((('CAFCO 400 '!$D$23*(J811^2)+'CAFCO 400 '!$D$24*(J811)+'CAFCO 400 '!$D$25)*U811^2)+(('CAFCO 400 '!$D$26*(J811^2)+'CAFCO 400 '!$D$27*J811+'CAFCO 400 '!$D$28)*U811)+('CAFCO 400 '!$D$29*(J811^2)+'CAFCO 400 '!$D$30*J811+'CAFCO 400 '!$D$31)),0),0)+IF(AND(L811="Cafco 300",J811&gt;=95,J811&lt;=240,C811="Cj",I811=90),VLOOKUP(T811,'CAFCO 300 IDIEM TABLAS'!$B$4:$D$23,2,FALSE),0)+IF(AND(L811="Cafco 300",J811&gt;=95,J811&lt;=240,C811="Cj",I811=120),VLOOKUP(T811,'CAFCO 300 IDIEM TABLAS'!$B$4:$D$23,3,FALSE),0)+IF(AND(L811="Cafco 300",J811&gt;=95,J811&lt;=400,G811=3,C811="IN",I811=90),VLOOKUP(T811,'CAFCO 300 IDIEM TABLAS'!$F$4:$H$35,2,FALSE),0)+IF(AND(L811="Cafco 300",J811&gt;=95,J811&lt;=400,G811=3,C811="IN",I811=120),VLOOKUP(T811,'CAFCO 300 IDIEM TABLAS'!$F$4:$H$35,3,FALSE),0)+IF(AND(L811="Cafco 300",J811&gt;=95,J811&lt;=450,G811=4,C811="IN",I811=90),VLOOKUP(T811,'CAFCO 300 IDIEM TABLAS'!$J$4:$L$40,2,FALSE),0)+IF(AND(L811="Cafco 300",J811&gt;=95,J811&lt;=450,G811=4,C811="IN",I811=120),VLOOKUP(T811,'CAFCO 300 IDIEM TABLAS'!$J$4:$L$40,3,FALSE),0)+IF(AND(M811="Ensayo Idiem",L811="Cafco 400",C811="IN",G811=4,I811=90),VLOOKUP(T811,'CAFCO 400 ENSAYO'!$B$7:$D$43,2,FALSE),0)+IF(AND(M811="Ensayo Idiem",L811="Cafco 400",C811="IN",G811=4,I811=120),VLOOKUP(T811,'CAFCO 400 ENSAYO'!$B$7:$D$43,3,FALSE),0)</f>
        <v>0</v>
      </c>
      <c r="O811" s="96">
        <f t="shared" si="84"/>
        <v>0</v>
      </c>
      <c r="P811" s="132" t="str">
        <f t="shared" si="79"/>
        <v>N/A</v>
      </c>
      <c r="Q811" s="132" t="str">
        <f t="shared" si="80"/>
        <v>N/A</v>
      </c>
      <c r="R811" s="132" t="str">
        <f t="shared" si="81"/>
        <v>NO CERT.</v>
      </c>
      <c r="S811" s="132" t="e">
        <f t="shared" si="82"/>
        <v>#N/A</v>
      </c>
      <c r="T811" s="133" t="e">
        <f>+IF(J811=LOOKUP(J811,'CAFCO 300 IDIEM TABLAS'!$J$4:$J$40),'CALCULO MORTERO'!J811,MROUND('CALCULO MORTERO'!J811,10))</f>
        <v>#N/A</v>
      </c>
      <c r="U811" s="134">
        <f t="shared" si="83"/>
        <v>0</v>
      </c>
    </row>
    <row r="812" spans="1:21" x14ac:dyDescent="0.25">
      <c r="A812" s="118">
        <f>+CUBICACION!D806</f>
        <v>0</v>
      </c>
      <c r="B812" s="819">
        <f>+CUBICACION!E806</f>
        <v>0</v>
      </c>
      <c r="C812" s="675">
        <f>+CUBICACION!F806</f>
        <v>0</v>
      </c>
      <c r="D812" s="118"/>
      <c r="E812" s="118"/>
      <c r="F812" s="820"/>
      <c r="G812" s="675">
        <f>+CUBICACION!J806</f>
        <v>0</v>
      </c>
      <c r="H812" s="118"/>
      <c r="I812" s="821">
        <f>+CUBICACION!L806</f>
        <v>0</v>
      </c>
      <c r="J812" s="64">
        <f>+CUBICACION!M806</f>
        <v>0</v>
      </c>
      <c r="K812" s="822" t="str">
        <f>+CUBICACION!N806</f>
        <v/>
      </c>
      <c r="L812" s="118">
        <f>+CUBICACION!O806</f>
        <v>0</v>
      </c>
      <c r="M812" s="823">
        <f>+CUBICACION!P806</f>
        <v>0</v>
      </c>
      <c r="N812" s="902">
        <f>ROUND(IF(AND(L812="Blaze Shield II",M812="Software Idiem",C812="IN",G812=4),((('BLAZE SHIELD II'!$D$4*('CALCULO MORTERO'!I812^2)+'BLAZE SHIELD II'!$D$5*'CALCULO MORTERO'!I812+'BLAZE SHIELD II'!$D$6)*LN(J812))+('BLAZE SHIELD II'!$D$7*('CALCULO MORTERO'!I812^2)+'BLAZE SHIELD II'!$D$8*'CALCULO MORTERO'!I812+'BLAZE SHIELD II'!$D$9)),0)+IF(AND(L812="Blaze Shield II",M812="Software Idiem",C812="Cj"),((('BLAZE SHIELD II'!$H$4*('CALCULO MORTERO'!I812^2)+'BLAZE SHIELD II'!$H$5*'CALCULO MORTERO'!I812+'BLAZE SHIELD II'!$H$6)*LN(J812))+('BLAZE SHIELD II'!$H$7*('CALCULO MORTERO'!I812^2)+'BLAZE SHIELD II'!$H$8*'CALCULO MORTERO'!I812+'BLAZE SHIELD II'!$H$9)),0)+IF(AND(L812="Blaze Shield II",M812="Software Idiem",C812="C"),((('BLAZE SHIELD II'!$L$4*('CALCULO MORTERO'!I812^2)+'BLAZE SHIELD II'!$L$5*'CALCULO MORTERO'!I812+'BLAZE SHIELD II'!$L$6)*LN(J812))+('BLAZE SHIELD II'!$L$7*('CALCULO MORTERO'!I812^2)+'BLAZE SHIELD II'!$L$8*'CALCULO MORTERO'!I812+'BLAZE SHIELD II'!$L$9)),0)+IF(AND(L812="Blaze Shield II",M812="Software Idiem",C812="L"),((('BLAZE SHIELD II'!$L$4*('CALCULO MORTERO'!I812^2)+'BLAZE SHIELD II'!$L$5*'CALCULO MORTERO'!I812+'BLAZE SHIELD II'!$L$6)*LN(J812))+('BLAZE SHIELD II'!$L$7*('CALCULO MORTERO'!I812^2)+'BLAZE SHIELD II'!$L$8*'CALCULO MORTERO'!I812+'BLAZE SHIELD II'!$L$9)),0)+IF(AND(L812="Blaze Shield II",M812="Software Idiem",C812="IN",G812=3),((('BLAZE SHIELD II'!$H$14*('CALCULO MORTERO'!I812^2)+'BLAZE SHIELD II'!$H$15*'CALCULO MORTERO'!I812+'BLAZE SHIELD II'!$H$16)*LN(J812))+('BLAZE SHIELD II'!$H$17*('CALCULO MORTERO'!I812^2)+'BLAZE SHIELD II'!$H$18*'CALCULO MORTERO'!I812+'BLAZE SHIELD II'!$H$19)),0),0)+ROUND(IF(AND(L812="Cafco 400",M812="Software Idiem",C812="IN",G812=4),((('CAFCO 400 '!$H$7*(J812^4)+'CAFCO 400 '!$H$8*(J812^3)+'CAFCO 400 '!$H$9*(J812^2)+'CAFCO 400 '!$H$10*J812+'CAFCO 400 '!$H$11)*U812^2)+(('CAFCO 400 '!$H$12*(J812^3)+'CAFCO 400 '!$H$13*(J812^2)+'CAFCO 400 '!$H$14*J812+'CAFCO 400 '!$H$15)*U812)+('CAFCO 400 '!$H$16*(J812^2)+'CAFCO 400 '!$H$17*J812+'CAFCO 400 '!$H$18)),0)+IF(AND(L812="Cafco 400",M812="Software Idiem",C812="Cj"),(((('CAFCO 400 '!$D$7*LN(J812)+'CAFCO 400 '!$D$8)*U812^2)+(('CAFCO 400 '!$D$9*LN(J812)+'CAFCO 400 '!$D$10)*U812)+('CAFCO 400 '!$D$11*LN(J812)+'CAFCO 400 '!$D$12))),0)+IF(AND(L812="Cafco 400",M812="Software Idiem",C812="C"),((('CAFCO 400 '!$L$7*(J812^3)+'CAFCO 400 '!$L$8*(J812^2)+'CAFCO 400 '!$L$9*J812+'CAFCO 400 '!$L$10)*U812^2)+(('CAFCO 400 '!$L$11*(J812^3)+'CAFCO 400 '!$L$12*(J812^2)+'CAFCO 400 '!$L$13*J812+'CAFCO 400 '!$L$14)*U812)+('CAFCO 400 '!$L$15*LN(J812)+'CAFCO 400 '!$L$16)),0)+IF(AND(L812="Cafco 400",M812="Software Idiem",C812="L"),((('CAFCO 400 '!$L$7*(J812^3)+'CAFCO 400 '!$L$8*(J812^2)+'CAFCO 400 '!$L$9*J812+'CAFCO 400 '!$L$10)*U812^2)+(('CAFCO 400 '!$L$11*(J812^3)+'CAFCO 400 '!$L$12*(J812^2)+'CAFCO 400 '!$L$13*J812+'CAFCO 400 '!$L$14)*U812)+('CAFCO 400 '!$L$15*LN(J812)+'CAFCO 400 '!$L$16)),0)+IF(AND(L812="Cafco 400",M812="Software Idiem",C812="IN",G812=3),((('CAFCO 400 '!$D$23*(J812^2)+'CAFCO 400 '!$D$24*(J812)+'CAFCO 400 '!$D$25)*U812^2)+(('CAFCO 400 '!$D$26*(J812^2)+'CAFCO 400 '!$D$27*J812+'CAFCO 400 '!$D$28)*U812)+('CAFCO 400 '!$D$29*(J812^2)+'CAFCO 400 '!$D$30*J812+'CAFCO 400 '!$D$31)),0),0)+IF(AND(L812="Cafco 300",J812&gt;=95,J812&lt;=240,C812="Cj",I812=90),VLOOKUP(T812,'CAFCO 300 IDIEM TABLAS'!$B$4:$D$23,2,FALSE),0)+IF(AND(L812="Cafco 300",J812&gt;=95,J812&lt;=240,C812="Cj",I812=120),VLOOKUP(T812,'CAFCO 300 IDIEM TABLAS'!$B$4:$D$23,3,FALSE),0)+IF(AND(L812="Cafco 300",J812&gt;=95,J812&lt;=400,G812=3,C812="IN",I812=90),VLOOKUP(T812,'CAFCO 300 IDIEM TABLAS'!$F$4:$H$35,2,FALSE),0)+IF(AND(L812="Cafco 300",J812&gt;=95,J812&lt;=400,G812=3,C812="IN",I812=120),VLOOKUP(T812,'CAFCO 300 IDIEM TABLAS'!$F$4:$H$35,3,FALSE),0)+IF(AND(L812="Cafco 300",J812&gt;=95,J812&lt;=450,G812=4,C812="IN",I812=90),VLOOKUP(T812,'CAFCO 300 IDIEM TABLAS'!$J$4:$L$40,2,FALSE),0)+IF(AND(L812="Cafco 300",J812&gt;=95,J812&lt;=450,G812=4,C812="IN",I812=120),VLOOKUP(T812,'CAFCO 300 IDIEM TABLAS'!$J$4:$L$40,3,FALSE),0)+IF(AND(M812="Ensayo Idiem",L812="Cafco 400",C812="IN",G812=4,I812=90),VLOOKUP(T812,'CAFCO 400 ENSAYO'!$B$7:$D$43,2,FALSE),0)+IF(AND(M812="Ensayo Idiem",L812="Cafco 400",C812="IN",G812=4,I812=120),VLOOKUP(T812,'CAFCO 400 ENSAYO'!$B$7:$D$43,3,FALSE),0)</f>
        <v>0</v>
      </c>
      <c r="O812" s="96">
        <f t="shared" si="84"/>
        <v>0</v>
      </c>
      <c r="P812" s="95" t="str">
        <f t="shared" si="79"/>
        <v>N/A</v>
      </c>
      <c r="Q812" s="95" t="str">
        <f t="shared" si="80"/>
        <v>N/A</v>
      </c>
      <c r="R812" s="95" t="str">
        <f t="shared" si="81"/>
        <v>NO CERT.</v>
      </c>
      <c r="S812" s="95" t="e">
        <f t="shared" si="82"/>
        <v>#N/A</v>
      </c>
      <c r="T812" s="119" t="e">
        <f>+IF(J812=LOOKUP(J812,'CAFCO 300 IDIEM TABLAS'!$J$4:$J$40),'CALCULO MORTERO'!J812,MROUND('CALCULO MORTERO'!J812,10))</f>
        <v>#N/A</v>
      </c>
      <c r="U812" s="118">
        <f t="shared" si="83"/>
        <v>0</v>
      </c>
    </row>
    <row r="813" spans="1:21" x14ac:dyDescent="0.25">
      <c r="A813" s="118">
        <f>+CUBICACION!D807</f>
        <v>0</v>
      </c>
      <c r="B813" s="819">
        <f>+CUBICACION!E807</f>
        <v>0</v>
      </c>
      <c r="C813" s="675">
        <f>+CUBICACION!F807</f>
        <v>0</v>
      </c>
      <c r="D813" s="118"/>
      <c r="E813" s="118"/>
      <c r="F813" s="820"/>
      <c r="G813" s="675">
        <f>+CUBICACION!J807</f>
        <v>0</v>
      </c>
      <c r="H813" s="118"/>
      <c r="I813" s="821">
        <f>+CUBICACION!L807</f>
        <v>0</v>
      </c>
      <c r="J813" s="64">
        <f>+CUBICACION!M807</f>
        <v>0</v>
      </c>
      <c r="K813" s="822" t="str">
        <f>+CUBICACION!N807</f>
        <v/>
      </c>
      <c r="L813" s="118">
        <f>+CUBICACION!O807</f>
        <v>0</v>
      </c>
      <c r="M813" s="823">
        <f>+CUBICACION!P807</f>
        <v>0</v>
      </c>
      <c r="N813" s="902">
        <f>ROUND(IF(AND(L813="Blaze Shield II",M813="Software Idiem",C813="IN",G813=4),((('BLAZE SHIELD II'!$D$4*('CALCULO MORTERO'!I813^2)+'BLAZE SHIELD II'!$D$5*'CALCULO MORTERO'!I813+'BLAZE SHIELD II'!$D$6)*LN(J813))+('BLAZE SHIELD II'!$D$7*('CALCULO MORTERO'!I813^2)+'BLAZE SHIELD II'!$D$8*'CALCULO MORTERO'!I813+'BLAZE SHIELD II'!$D$9)),0)+IF(AND(L813="Blaze Shield II",M813="Software Idiem",C813="Cj"),((('BLAZE SHIELD II'!$H$4*('CALCULO MORTERO'!I813^2)+'BLAZE SHIELD II'!$H$5*'CALCULO MORTERO'!I813+'BLAZE SHIELD II'!$H$6)*LN(J813))+('BLAZE SHIELD II'!$H$7*('CALCULO MORTERO'!I813^2)+'BLAZE SHIELD II'!$H$8*'CALCULO MORTERO'!I813+'BLAZE SHIELD II'!$H$9)),0)+IF(AND(L813="Blaze Shield II",M813="Software Idiem",C813="C"),((('BLAZE SHIELD II'!$L$4*('CALCULO MORTERO'!I813^2)+'BLAZE SHIELD II'!$L$5*'CALCULO MORTERO'!I813+'BLAZE SHIELD II'!$L$6)*LN(J813))+('BLAZE SHIELD II'!$L$7*('CALCULO MORTERO'!I813^2)+'BLAZE SHIELD II'!$L$8*'CALCULO MORTERO'!I813+'BLAZE SHIELD II'!$L$9)),0)+IF(AND(L813="Blaze Shield II",M813="Software Idiem",C813="L"),((('BLAZE SHIELD II'!$L$4*('CALCULO MORTERO'!I813^2)+'BLAZE SHIELD II'!$L$5*'CALCULO MORTERO'!I813+'BLAZE SHIELD II'!$L$6)*LN(J813))+('BLAZE SHIELD II'!$L$7*('CALCULO MORTERO'!I813^2)+'BLAZE SHIELD II'!$L$8*'CALCULO MORTERO'!I813+'BLAZE SHIELD II'!$L$9)),0)+IF(AND(L813="Blaze Shield II",M813="Software Idiem",C813="IN",G813=3),((('BLAZE SHIELD II'!$H$14*('CALCULO MORTERO'!I813^2)+'BLAZE SHIELD II'!$H$15*'CALCULO MORTERO'!I813+'BLAZE SHIELD II'!$H$16)*LN(J813))+('BLAZE SHIELD II'!$H$17*('CALCULO MORTERO'!I813^2)+'BLAZE SHIELD II'!$H$18*'CALCULO MORTERO'!I813+'BLAZE SHIELD II'!$H$19)),0),0)+ROUND(IF(AND(L813="Cafco 400",M813="Software Idiem",C813="IN",G813=4),((('CAFCO 400 '!$H$7*(J813^4)+'CAFCO 400 '!$H$8*(J813^3)+'CAFCO 400 '!$H$9*(J813^2)+'CAFCO 400 '!$H$10*J813+'CAFCO 400 '!$H$11)*U813^2)+(('CAFCO 400 '!$H$12*(J813^3)+'CAFCO 400 '!$H$13*(J813^2)+'CAFCO 400 '!$H$14*J813+'CAFCO 400 '!$H$15)*U813)+('CAFCO 400 '!$H$16*(J813^2)+'CAFCO 400 '!$H$17*J813+'CAFCO 400 '!$H$18)),0)+IF(AND(L813="Cafco 400",M813="Software Idiem",C813="Cj"),(((('CAFCO 400 '!$D$7*LN(J813)+'CAFCO 400 '!$D$8)*U813^2)+(('CAFCO 400 '!$D$9*LN(J813)+'CAFCO 400 '!$D$10)*U813)+('CAFCO 400 '!$D$11*LN(J813)+'CAFCO 400 '!$D$12))),0)+IF(AND(L813="Cafco 400",M813="Software Idiem",C813="C"),((('CAFCO 400 '!$L$7*(J813^3)+'CAFCO 400 '!$L$8*(J813^2)+'CAFCO 400 '!$L$9*J813+'CAFCO 400 '!$L$10)*U813^2)+(('CAFCO 400 '!$L$11*(J813^3)+'CAFCO 400 '!$L$12*(J813^2)+'CAFCO 400 '!$L$13*J813+'CAFCO 400 '!$L$14)*U813)+('CAFCO 400 '!$L$15*LN(J813)+'CAFCO 400 '!$L$16)),0)+IF(AND(L813="Cafco 400",M813="Software Idiem",C813="L"),((('CAFCO 400 '!$L$7*(J813^3)+'CAFCO 400 '!$L$8*(J813^2)+'CAFCO 400 '!$L$9*J813+'CAFCO 400 '!$L$10)*U813^2)+(('CAFCO 400 '!$L$11*(J813^3)+'CAFCO 400 '!$L$12*(J813^2)+'CAFCO 400 '!$L$13*J813+'CAFCO 400 '!$L$14)*U813)+('CAFCO 400 '!$L$15*LN(J813)+'CAFCO 400 '!$L$16)),0)+IF(AND(L813="Cafco 400",M813="Software Idiem",C813="IN",G813=3),((('CAFCO 400 '!$D$23*(J813^2)+'CAFCO 400 '!$D$24*(J813)+'CAFCO 400 '!$D$25)*U813^2)+(('CAFCO 400 '!$D$26*(J813^2)+'CAFCO 400 '!$D$27*J813+'CAFCO 400 '!$D$28)*U813)+('CAFCO 400 '!$D$29*(J813^2)+'CAFCO 400 '!$D$30*J813+'CAFCO 400 '!$D$31)),0),0)+IF(AND(L813="Cafco 300",J813&gt;=95,J813&lt;=240,C813="Cj",I813=90),VLOOKUP(T813,'CAFCO 300 IDIEM TABLAS'!$B$4:$D$23,2,FALSE),0)+IF(AND(L813="Cafco 300",J813&gt;=95,J813&lt;=240,C813="Cj",I813=120),VLOOKUP(T813,'CAFCO 300 IDIEM TABLAS'!$B$4:$D$23,3,FALSE),0)+IF(AND(L813="Cafco 300",J813&gt;=95,J813&lt;=400,G813=3,C813="IN",I813=90),VLOOKUP(T813,'CAFCO 300 IDIEM TABLAS'!$F$4:$H$35,2,FALSE),0)+IF(AND(L813="Cafco 300",J813&gt;=95,J813&lt;=400,G813=3,C813="IN",I813=120),VLOOKUP(T813,'CAFCO 300 IDIEM TABLAS'!$F$4:$H$35,3,FALSE),0)+IF(AND(L813="Cafco 300",J813&gt;=95,J813&lt;=450,G813=4,C813="IN",I813=90),VLOOKUP(T813,'CAFCO 300 IDIEM TABLAS'!$J$4:$L$40,2,FALSE),0)+IF(AND(L813="Cafco 300",J813&gt;=95,J813&lt;=450,G813=4,C813="IN",I813=120),VLOOKUP(T813,'CAFCO 300 IDIEM TABLAS'!$J$4:$L$40,3,FALSE),0)+IF(AND(M813="Ensayo Idiem",L813="Cafco 400",C813="IN",G813=4,I813=90),VLOOKUP(T813,'CAFCO 400 ENSAYO'!$B$7:$D$43,2,FALSE),0)+IF(AND(M813="Ensayo Idiem",L813="Cafco 400",C813="IN",G813=4,I813=120),VLOOKUP(T813,'CAFCO 400 ENSAYO'!$B$7:$D$43,3,FALSE),0)</f>
        <v>0</v>
      </c>
      <c r="O813" s="96">
        <f t="shared" si="84"/>
        <v>0</v>
      </c>
      <c r="P813" s="132" t="str">
        <f t="shared" si="79"/>
        <v>N/A</v>
      </c>
      <c r="Q813" s="132" t="str">
        <f t="shared" si="80"/>
        <v>N/A</v>
      </c>
      <c r="R813" s="132" t="str">
        <f t="shared" si="81"/>
        <v>NO CERT.</v>
      </c>
      <c r="S813" s="132" t="e">
        <f t="shared" si="82"/>
        <v>#N/A</v>
      </c>
      <c r="T813" s="133" t="e">
        <f>+IF(J813=LOOKUP(J813,'CAFCO 300 IDIEM TABLAS'!$J$4:$J$40),'CALCULO MORTERO'!J813,MROUND('CALCULO MORTERO'!J813,10))</f>
        <v>#N/A</v>
      </c>
      <c r="U813" s="134">
        <f t="shared" si="83"/>
        <v>0</v>
      </c>
    </row>
    <row r="814" spans="1:21" x14ac:dyDescent="0.25">
      <c r="A814" s="118">
        <f>+CUBICACION!D808</f>
        <v>0</v>
      </c>
      <c r="B814" s="819">
        <f>+CUBICACION!E808</f>
        <v>0</v>
      </c>
      <c r="C814" s="675">
        <f>+CUBICACION!F808</f>
        <v>0</v>
      </c>
      <c r="D814" s="118"/>
      <c r="E814" s="118"/>
      <c r="F814" s="820"/>
      <c r="G814" s="675">
        <f>+CUBICACION!J808</f>
        <v>0</v>
      </c>
      <c r="H814" s="118"/>
      <c r="I814" s="821">
        <f>+CUBICACION!L808</f>
        <v>0</v>
      </c>
      <c r="J814" s="64">
        <f>+CUBICACION!M808</f>
        <v>0</v>
      </c>
      <c r="K814" s="822" t="str">
        <f>+CUBICACION!N808</f>
        <v/>
      </c>
      <c r="L814" s="118">
        <f>+CUBICACION!O808</f>
        <v>0</v>
      </c>
      <c r="M814" s="823">
        <f>+CUBICACION!P808</f>
        <v>0</v>
      </c>
      <c r="N814" s="902">
        <f>ROUND(IF(AND(L814="Blaze Shield II",M814="Software Idiem",C814="IN",G814=4),((('BLAZE SHIELD II'!$D$4*('CALCULO MORTERO'!I814^2)+'BLAZE SHIELD II'!$D$5*'CALCULO MORTERO'!I814+'BLAZE SHIELD II'!$D$6)*LN(J814))+('BLAZE SHIELD II'!$D$7*('CALCULO MORTERO'!I814^2)+'BLAZE SHIELD II'!$D$8*'CALCULO MORTERO'!I814+'BLAZE SHIELD II'!$D$9)),0)+IF(AND(L814="Blaze Shield II",M814="Software Idiem",C814="Cj"),((('BLAZE SHIELD II'!$H$4*('CALCULO MORTERO'!I814^2)+'BLAZE SHIELD II'!$H$5*'CALCULO MORTERO'!I814+'BLAZE SHIELD II'!$H$6)*LN(J814))+('BLAZE SHIELD II'!$H$7*('CALCULO MORTERO'!I814^2)+'BLAZE SHIELD II'!$H$8*'CALCULO MORTERO'!I814+'BLAZE SHIELD II'!$H$9)),0)+IF(AND(L814="Blaze Shield II",M814="Software Idiem",C814="C"),((('BLAZE SHIELD II'!$L$4*('CALCULO MORTERO'!I814^2)+'BLAZE SHIELD II'!$L$5*'CALCULO MORTERO'!I814+'BLAZE SHIELD II'!$L$6)*LN(J814))+('BLAZE SHIELD II'!$L$7*('CALCULO MORTERO'!I814^2)+'BLAZE SHIELD II'!$L$8*'CALCULO MORTERO'!I814+'BLAZE SHIELD II'!$L$9)),0)+IF(AND(L814="Blaze Shield II",M814="Software Idiem",C814="L"),((('BLAZE SHIELD II'!$L$4*('CALCULO MORTERO'!I814^2)+'BLAZE SHIELD II'!$L$5*'CALCULO MORTERO'!I814+'BLAZE SHIELD II'!$L$6)*LN(J814))+('BLAZE SHIELD II'!$L$7*('CALCULO MORTERO'!I814^2)+'BLAZE SHIELD II'!$L$8*'CALCULO MORTERO'!I814+'BLAZE SHIELD II'!$L$9)),0)+IF(AND(L814="Blaze Shield II",M814="Software Idiem",C814="IN",G814=3),((('BLAZE SHIELD II'!$H$14*('CALCULO MORTERO'!I814^2)+'BLAZE SHIELD II'!$H$15*'CALCULO MORTERO'!I814+'BLAZE SHIELD II'!$H$16)*LN(J814))+('BLAZE SHIELD II'!$H$17*('CALCULO MORTERO'!I814^2)+'BLAZE SHIELD II'!$H$18*'CALCULO MORTERO'!I814+'BLAZE SHIELD II'!$H$19)),0),0)+ROUND(IF(AND(L814="Cafco 400",M814="Software Idiem",C814="IN",G814=4),((('CAFCO 400 '!$H$7*(J814^4)+'CAFCO 400 '!$H$8*(J814^3)+'CAFCO 400 '!$H$9*(J814^2)+'CAFCO 400 '!$H$10*J814+'CAFCO 400 '!$H$11)*U814^2)+(('CAFCO 400 '!$H$12*(J814^3)+'CAFCO 400 '!$H$13*(J814^2)+'CAFCO 400 '!$H$14*J814+'CAFCO 400 '!$H$15)*U814)+('CAFCO 400 '!$H$16*(J814^2)+'CAFCO 400 '!$H$17*J814+'CAFCO 400 '!$H$18)),0)+IF(AND(L814="Cafco 400",M814="Software Idiem",C814="Cj"),(((('CAFCO 400 '!$D$7*LN(J814)+'CAFCO 400 '!$D$8)*U814^2)+(('CAFCO 400 '!$D$9*LN(J814)+'CAFCO 400 '!$D$10)*U814)+('CAFCO 400 '!$D$11*LN(J814)+'CAFCO 400 '!$D$12))),0)+IF(AND(L814="Cafco 400",M814="Software Idiem",C814="C"),((('CAFCO 400 '!$L$7*(J814^3)+'CAFCO 400 '!$L$8*(J814^2)+'CAFCO 400 '!$L$9*J814+'CAFCO 400 '!$L$10)*U814^2)+(('CAFCO 400 '!$L$11*(J814^3)+'CAFCO 400 '!$L$12*(J814^2)+'CAFCO 400 '!$L$13*J814+'CAFCO 400 '!$L$14)*U814)+('CAFCO 400 '!$L$15*LN(J814)+'CAFCO 400 '!$L$16)),0)+IF(AND(L814="Cafco 400",M814="Software Idiem",C814="L"),((('CAFCO 400 '!$L$7*(J814^3)+'CAFCO 400 '!$L$8*(J814^2)+'CAFCO 400 '!$L$9*J814+'CAFCO 400 '!$L$10)*U814^2)+(('CAFCO 400 '!$L$11*(J814^3)+'CAFCO 400 '!$L$12*(J814^2)+'CAFCO 400 '!$L$13*J814+'CAFCO 400 '!$L$14)*U814)+('CAFCO 400 '!$L$15*LN(J814)+'CAFCO 400 '!$L$16)),0)+IF(AND(L814="Cafco 400",M814="Software Idiem",C814="IN",G814=3),((('CAFCO 400 '!$D$23*(J814^2)+'CAFCO 400 '!$D$24*(J814)+'CAFCO 400 '!$D$25)*U814^2)+(('CAFCO 400 '!$D$26*(J814^2)+'CAFCO 400 '!$D$27*J814+'CAFCO 400 '!$D$28)*U814)+('CAFCO 400 '!$D$29*(J814^2)+'CAFCO 400 '!$D$30*J814+'CAFCO 400 '!$D$31)),0),0)+IF(AND(L814="Cafco 300",J814&gt;=95,J814&lt;=240,C814="Cj",I814=90),VLOOKUP(T814,'CAFCO 300 IDIEM TABLAS'!$B$4:$D$23,2,FALSE),0)+IF(AND(L814="Cafco 300",J814&gt;=95,J814&lt;=240,C814="Cj",I814=120),VLOOKUP(T814,'CAFCO 300 IDIEM TABLAS'!$B$4:$D$23,3,FALSE),0)+IF(AND(L814="Cafco 300",J814&gt;=95,J814&lt;=400,G814=3,C814="IN",I814=90),VLOOKUP(T814,'CAFCO 300 IDIEM TABLAS'!$F$4:$H$35,2,FALSE),0)+IF(AND(L814="Cafco 300",J814&gt;=95,J814&lt;=400,G814=3,C814="IN",I814=120),VLOOKUP(T814,'CAFCO 300 IDIEM TABLAS'!$F$4:$H$35,3,FALSE),0)+IF(AND(L814="Cafco 300",J814&gt;=95,J814&lt;=450,G814=4,C814="IN",I814=90),VLOOKUP(T814,'CAFCO 300 IDIEM TABLAS'!$J$4:$L$40,2,FALSE),0)+IF(AND(L814="Cafco 300",J814&gt;=95,J814&lt;=450,G814=4,C814="IN",I814=120),VLOOKUP(T814,'CAFCO 300 IDIEM TABLAS'!$J$4:$L$40,3,FALSE),0)+IF(AND(M814="Ensayo Idiem",L814="Cafco 400",C814="IN",G814=4,I814=90),VLOOKUP(T814,'CAFCO 400 ENSAYO'!$B$7:$D$43,2,FALSE),0)+IF(AND(M814="Ensayo Idiem",L814="Cafco 400",C814="IN",G814=4,I814=120),VLOOKUP(T814,'CAFCO 400 ENSAYO'!$B$7:$D$43,3,FALSE),0)</f>
        <v>0</v>
      </c>
      <c r="O814" s="96">
        <f t="shared" si="84"/>
        <v>0</v>
      </c>
      <c r="P814" s="95" t="str">
        <f t="shared" si="79"/>
        <v>N/A</v>
      </c>
      <c r="Q814" s="95" t="str">
        <f t="shared" si="80"/>
        <v>N/A</v>
      </c>
      <c r="R814" s="95" t="str">
        <f t="shared" si="81"/>
        <v>NO CERT.</v>
      </c>
      <c r="S814" s="95" t="e">
        <f t="shared" si="82"/>
        <v>#N/A</v>
      </c>
      <c r="T814" s="119" t="e">
        <f>+IF(J814=LOOKUP(J814,'CAFCO 300 IDIEM TABLAS'!$J$4:$J$40),'CALCULO MORTERO'!J814,MROUND('CALCULO MORTERO'!J814,10))</f>
        <v>#N/A</v>
      </c>
      <c r="U814" s="118">
        <f t="shared" si="83"/>
        <v>0</v>
      </c>
    </row>
    <row r="815" spans="1:21" x14ac:dyDescent="0.25">
      <c r="A815" s="118">
        <f>+CUBICACION!D809</f>
        <v>0</v>
      </c>
      <c r="B815" s="819">
        <f>+CUBICACION!E809</f>
        <v>0</v>
      </c>
      <c r="C815" s="675">
        <f>+CUBICACION!F809</f>
        <v>0</v>
      </c>
      <c r="D815" s="118"/>
      <c r="E815" s="118"/>
      <c r="F815" s="820"/>
      <c r="G815" s="675">
        <f>+CUBICACION!J809</f>
        <v>0</v>
      </c>
      <c r="H815" s="118"/>
      <c r="I815" s="821">
        <f>+CUBICACION!L809</f>
        <v>0</v>
      </c>
      <c r="J815" s="64">
        <f>+CUBICACION!M809</f>
        <v>0</v>
      </c>
      <c r="K815" s="822" t="str">
        <f>+CUBICACION!N809</f>
        <v/>
      </c>
      <c r="L815" s="118">
        <f>+CUBICACION!O809</f>
        <v>0</v>
      </c>
      <c r="M815" s="823">
        <f>+CUBICACION!P809</f>
        <v>0</v>
      </c>
      <c r="N815" s="902">
        <f>ROUND(IF(AND(L815="Blaze Shield II",M815="Software Idiem",C815="IN",G815=4),((('BLAZE SHIELD II'!$D$4*('CALCULO MORTERO'!I815^2)+'BLAZE SHIELD II'!$D$5*'CALCULO MORTERO'!I815+'BLAZE SHIELD II'!$D$6)*LN(J815))+('BLAZE SHIELD II'!$D$7*('CALCULO MORTERO'!I815^2)+'BLAZE SHIELD II'!$D$8*'CALCULO MORTERO'!I815+'BLAZE SHIELD II'!$D$9)),0)+IF(AND(L815="Blaze Shield II",M815="Software Idiem",C815="Cj"),((('BLAZE SHIELD II'!$H$4*('CALCULO MORTERO'!I815^2)+'BLAZE SHIELD II'!$H$5*'CALCULO MORTERO'!I815+'BLAZE SHIELD II'!$H$6)*LN(J815))+('BLAZE SHIELD II'!$H$7*('CALCULO MORTERO'!I815^2)+'BLAZE SHIELD II'!$H$8*'CALCULO MORTERO'!I815+'BLAZE SHIELD II'!$H$9)),0)+IF(AND(L815="Blaze Shield II",M815="Software Idiem",C815="C"),((('BLAZE SHIELD II'!$L$4*('CALCULO MORTERO'!I815^2)+'BLAZE SHIELD II'!$L$5*'CALCULO MORTERO'!I815+'BLAZE SHIELD II'!$L$6)*LN(J815))+('BLAZE SHIELD II'!$L$7*('CALCULO MORTERO'!I815^2)+'BLAZE SHIELD II'!$L$8*'CALCULO MORTERO'!I815+'BLAZE SHIELD II'!$L$9)),0)+IF(AND(L815="Blaze Shield II",M815="Software Idiem",C815="L"),((('BLAZE SHIELD II'!$L$4*('CALCULO MORTERO'!I815^2)+'BLAZE SHIELD II'!$L$5*'CALCULO MORTERO'!I815+'BLAZE SHIELD II'!$L$6)*LN(J815))+('BLAZE SHIELD II'!$L$7*('CALCULO MORTERO'!I815^2)+'BLAZE SHIELD II'!$L$8*'CALCULO MORTERO'!I815+'BLAZE SHIELD II'!$L$9)),0)+IF(AND(L815="Blaze Shield II",M815="Software Idiem",C815="IN",G815=3),((('BLAZE SHIELD II'!$H$14*('CALCULO MORTERO'!I815^2)+'BLAZE SHIELD II'!$H$15*'CALCULO MORTERO'!I815+'BLAZE SHIELD II'!$H$16)*LN(J815))+('BLAZE SHIELD II'!$H$17*('CALCULO MORTERO'!I815^2)+'BLAZE SHIELD II'!$H$18*'CALCULO MORTERO'!I815+'BLAZE SHIELD II'!$H$19)),0),0)+ROUND(IF(AND(L815="Cafco 400",M815="Software Idiem",C815="IN",G815=4),((('CAFCO 400 '!$H$7*(J815^4)+'CAFCO 400 '!$H$8*(J815^3)+'CAFCO 400 '!$H$9*(J815^2)+'CAFCO 400 '!$H$10*J815+'CAFCO 400 '!$H$11)*U815^2)+(('CAFCO 400 '!$H$12*(J815^3)+'CAFCO 400 '!$H$13*(J815^2)+'CAFCO 400 '!$H$14*J815+'CAFCO 400 '!$H$15)*U815)+('CAFCO 400 '!$H$16*(J815^2)+'CAFCO 400 '!$H$17*J815+'CAFCO 400 '!$H$18)),0)+IF(AND(L815="Cafco 400",M815="Software Idiem",C815="Cj"),(((('CAFCO 400 '!$D$7*LN(J815)+'CAFCO 400 '!$D$8)*U815^2)+(('CAFCO 400 '!$D$9*LN(J815)+'CAFCO 400 '!$D$10)*U815)+('CAFCO 400 '!$D$11*LN(J815)+'CAFCO 400 '!$D$12))),0)+IF(AND(L815="Cafco 400",M815="Software Idiem",C815="C"),((('CAFCO 400 '!$L$7*(J815^3)+'CAFCO 400 '!$L$8*(J815^2)+'CAFCO 400 '!$L$9*J815+'CAFCO 400 '!$L$10)*U815^2)+(('CAFCO 400 '!$L$11*(J815^3)+'CAFCO 400 '!$L$12*(J815^2)+'CAFCO 400 '!$L$13*J815+'CAFCO 400 '!$L$14)*U815)+('CAFCO 400 '!$L$15*LN(J815)+'CAFCO 400 '!$L$16)),0)+IF(AND(L815="Cafco 400",M815="Software Idiem",C815="L"),((('CAFCO 400 '!$L$7*(J815^3)+'CAFCO 400 '!$L$8*(J815^2)+'CAFCO 400 '!$L$9*J815+'CAFCO 400 '!$L$10)*U815^2)+(('CAFCO 400 '!$L$11*(J815^3)+'CAFCO 400 '!$L$12*(J815^2)+'CAFCO 400 '!$L$13*J815+'CAFCO 400 '!$L$14)*U815)+('CAFCO 400 '!$L$15*LN(J815)+'CAFCO 400 '!$L$16)),0)+IF(AND(L815="Cafco 400",M815="Software Idiem",C815="IN",G815=3),((('CAFCO 400 '!$D$23*(J815^2)+'CAFCO 400 '!$D$24*(J815)+'CAFCO 400 '!$D$25)*U815^2)+(('CAFCO 400 '!$D$26*(J815^2)+'CAFCO 400 '!$D$27*J815+'CAFCO 400 '!$D$28)*U815)+('CAFCO 400 '!$D$29*(J815^2)+'CAFCO 400 '!$D$30*J815+'CAFCO 400 '!$D$31)),0),0)+IF(AND(L815="Cafco 300",J815&gt;=95,J815&lt;=240,C815="Cj",I815=90),VLOOKUP(T815,'CAFCO 300 IDIEM TABLAS'!$B$4:$D$23,2,FALSE),0)+IF(AND(L815="Cafco 300",J815&gt;=95,J815&lt;=240,C815="Cj",I815=120),VLOOKUP(T815,'CAFCO 300 IDIEM TABLAS'!$B$4:$D$23,3,FALSE),0)+IF(AND(L815="Cafco 300",J815&gt;=95,J815&lt;=400,G815=3,C815="IN",I815=90),VLOOKUP(T815,'CAFCO 300 IDIEM TABLAS'!$F$4:$H$35,2,FALSE),0)+IF(AND(L815="Cafco 300",J815&gt;=95,J815&lt;=400,G815=3,C815="IN",I815=120),VLOOKUP(T815,'CAFCO 300 IDIEM TABLAS'!$F$4:$H$35,3,FALSE),0)+IF(AND(L815="Cafco 300",J815&gt;=95,J815&lt;=450,G815=4,C815="IN",I815=90),VLOOKUP(T815,'CAFCO 300 IDIEM TABLAS'!$J$4:$L$40,2,FALSE),0)+IF(AND(L815="Cafco 300",J815&gt;=95,J815&lt;=450,G815=4,C815="IN",I815=120),VLOOKUP(T815,'CAFCO 300 IDIEM TABLAS'!$J$4:$L$40,3,FALSE),0)+IF(AND(M815="Ensayo Idiem",L815="Cafco 400",C815="IN",G815=4,I815=90),VLOOKUP(T815,'CAFCO 400 ENSAYO'!$B$7:$D$43,2,FALSE),0)+IF(AND(M815="Ensayo Idiem",L815="Cafco 400",C815="IN",G815=4,I815=120),VLOOKUP(T815,'CAFCO 400 ENSAYO'!$B$7:$D$43,3,FALSE),0)</f>
        <v>0</v>
      </c>
      <c r="O815" s="96">
        <f t="shared" si="84"/>
        <v>0</v>
      </c>
      <c r="P815" s="132" t="str">
        <f t="shared" si="79"/>
        <v>N/A</v>
      </c>
      <c r="Q815" s="132" t="str">
        <f t="shared" si="80"/>
        <v>N/A</v>
      </c>
      <c r="R815" s="132" t="str">
        <f t="shared" si="81"/>
        <v>NO CERT.</v>
      </c>
      <c r="S815" s="132" t="e">
        <f t="shared" si="82"/>
        <v>#N/A</v>
      </c>
      <c r="T815" s="133" t="e">
        <f>+IF(J815=LOOKUP(J815,'CAFCO 300 IDIEM TABLAS'!$J$4:$J$40),'CALCULO MORTERO'!J815,MROUND('CALCULO MORTERO'!J815,10))</f>
        <v>#N/A</v>
      </c>
      <c r="U815" s="134">
        <f t="shared" si="83"/>
        <v>0</v>
      </c>
    </row>
    <row r="816" spans="1:21" x14ac:dyDescent="0.25">
      <c r="A816" s="118">
        <f>+CUBICACION!D810</f>
        <v>0</v>
      </c>
      <c r="B816" s="819">
        <f>+CUBICACION!E810</f>
        <v>0</v>
      </c>
      <c r="C816" s="675">
        <f>+CUBICACION!F810</f>
        <v>0</v>
      </c>
      <c r="D816" s="118"/>
      <c r="E816" s="118"/>
      <c r="F816" s="820"/>
      <c r="G816" s="675">
        <f>+CUBICACION!J810</f>
        <v>0</v>
      </c>
      <c r="H816" s="118"/>
      <c r="I816" s="821">
        <f>+CUBICACION!L810</f>
        <v>0</v>
      </c>
      <c r="J816" s="64">
        <f>+CUBICACION!M810</f>
        <v>0</v>
      </c>
      <c r="K816" s="822" t="str">
        <f>+CUBICACION!N810</f>
        <v/>
      </c>
      <c r="L816" s="118">
        <f>+CUBICACION!O810</f>
        <v>0</v>
      </c>
      <c r="M816" s="823">
        <f>+CUBICACION!P810</f>
        <v>0</v>
      </c>
      <c r="N816" s="902">
        <f>ROUND(IF(AND(L816="Blaze Shield II",M816="Software Idiem",C816="IN",G816=4),((('BLAZE SHIELD II'!$D$4*('CALCULO MORTERO'!I816^2)+'BLAZE SHIELD II'!$D$5*'CALCULO MORTERO'!I816+'BLAZE SHIELD II'!$D$6)*LN(J816))+('BLAZE SHIELD II'!$D$7*('CALCULO MORTERO'!I816^2)+'BLAZE SHIELD II'!$D$8*'CALCULO MORTERO'!I816+'BLAZE SHIELD II'!$D$9)),0)+IF(AND(L816="Blaze Shield II",M816="Software Idiem",C816="Cj"),((('BLAZE SHIELD II'!$H$4*('CALCULO MORTERO'!I816^2)+'BLAZE SHIELD II'!$H$5*'CALCULO MORTERO'!I816+'BLAZE SHIELD II'!$H$6)*LN(J816))+('BLAZE SHIELD II'!$H$7*('CALCULO MORTERO'!I816^2)+'BLAZE SHIELD II'!$H$8*'CALCULO MORTERO'!I816+'BLAZE SHIELD II'!$H$9)),0)+IF(AND(L816="Blaze Shield II",M816="Software Idiem",C816="C"),((('BLAZE SHIELD II'!$L$4*('CALCULO MORTERO'!I816^2)+'BLAZE SHIELD II'!$L$5*'CALCULO MORTERO'!I816+'BLAZE SHIELD II'!$L$6)*LN(J816))+('BLAZE SHIELD II'!$L$7*('CALCULO MORTERO'!I816^2)+'BLAZE SHIELD II'!$L$8*'CALCULO MORTERO'!I816+'BLAZE SHIELD II'!$L$9)),0)+IF(AND(L816="Blaze Shield II",M816="Software Idiem",C816="L"),((('BLAZE SHIELD II'!$L$4*('CALCULO MORTERO'!I816^2)+'BLAZE SHIELD II'!$L$5*'CALCULO MORTERO'!I816+'BLAZE SHIELD II'!$L$6)*LN(J816))+('BLAZE SHIELD II'!$L$7*('CALCULO MORTERO'!I816^2)+'BLAZE SHIELD II'!$L$8*'CALCULO MORTERO'!I816+'BLAZE SHIELD II'!$L$9)),0)+IF(AND(L816="Blaze Shield II",M816="Software Idiem",C816="IN",G816=3),((('BLAZE SHIELD II'!$H$14*('CALCULO MORTERO'!I816^2)+'BLAZE SHIELD II'!$H$15*'CALCULO MORTERO'!I816+'BLAZE SHIELD II'!$H$16)*LN(J816))+('BLAZE SHIELD II'!$H$17*('CALCULO MORTERO'!I816^2)+'BLAZE SHIELD II'!$H$18*'CALCULO MORTERO'!I816+'BLAZE SHIELD II'!$H$19)),0),0)+ROUND(IF(AND(L816="Cafco 400",M816="Software Idiem",C816="IN",G816=4),((('CAFCO 400 '!$H$7*(J816^4)+'CAFCO 400 '!$H$8*(J816^3)+'CAFCO 400 '!$H$9*(J816^2)+'CAFCO 400 '!$H$10*J816+'CAFCO 400 '!$H$11)*U816^2)+(('CAFCO 400 '!$H$12*(J816^3)+'CAFCO 400 '!$H$13*(J816^2)+'CAFCO 400 '!$H$14*J816+'CAFCO 400 '!$H$15)*U816)+('CAFCO 400 '!$H$16*(J816^2)+'CAFCO 400 '!$H$17*J816+'CAFCO 400 '!$H$18)),0)+IF(AND(L816="Cafco 400",M816="Software Idiem",C816="Cj"),(((('CAFCO 400 '!$D$7*LN(J816)+'CAFCO 400 '!$D$8)*U816^2)+(('CAFCO 400 '!$D$9*LN(J816)+'CAFCO 400 '!$D$10)*U816)+('CAFCO 400 '!$D$11*LN(J816)+'CAFCO 400 '!$D$12))),0)+IF(AND(L816="Cafco 400",M816="Software Idiem",C816="C"),((('CAFCO 400 '!$L$7*(J816^3)+'CAFCO 400 '!$L$8*(J816^2)+'CAFCO 400 '!$L$9*J816+'CAFCO 400 '!$L$10)*U816^2)+(('CAFCO 400 '!$L$11*(J816^3)+'CAFCO 400 '!$L$12*(J816^2)+'CAFCO 400 '!$L$13*J816+'CAFCO 400 '!$L$14)*U816)+('CAFCO 400 '!$L$15*LN(J816)+'CAFCO 400 '!$L$16)),0)+IF(AND(L816="Cafco 400",M816="Software Idiem",C816="L"),((('CAFCO 400 '!$L$7*(J816^3)+'CAFCO 400 '!$L$8*(J816^2)+'CAFCO 400 '!$L$9*J816+'CAFCO 400 '!$L$10)*U816^2)+(('CAFCO 400 '!$L$11*(J816^3)+'CAFCO 400 '!$L$12*(J816^2)+'CAFCO 400 '!$L$13*J816+'CAFCO 400 '!$L$14)*U816)+('CAFCO 400 '!$L$15*LN(J816)+'CAFCO 400 '!$L$16)),0)+IF(AND(L816="Cafco 400",M816="Software Idiem",C816="IN",G816=3),((('CAFCO 400 '!$D$23*(J816^2)+'CAFCO 400 '!$D$24*(J816)+'CAFCO 400 '!$D$25)*U816^2)+(('CAFCO 400 '!$D$26*(J816^2)+'CAFCO 400 '!$D$27*J816+'CAFCO 400 '!$D$28)*U816)+('CAFCO 400 '!$D$29*(J816^2)+'CAFCO 400 '!$D$30*J816+'CAFCO 400 '!$D$31)),0),0)+IF(AND(L816="Cafco 300",J816&gt;=95,J816&lt;=240,C816="Cj",I816=90),VLOOKUP(T816,'CAFCO 300 IDIEM TABLAS'!$B$4:$D$23,2,FALSE),0)+IF(AND(L816="Cafco 300",J816&gt;=95,J816&lt;=240,C816="Cj",I816=120),VLOOKUP(T816,'CAFCO 300 IDIEM TABLAS'!$B$4:$D$23,3,FALSE),0)+IF(AND(L816="Cafco 300",J816&gt;=95,J816&lt;=400,G816=3,C816="IN",I816=90),VLOOKUP(T816,'CAFCO 300 IDIEM TABLAS'!$F$4:$H$35,2,FALSE),0)+IF(AND(L816="Cafco 300",J816&gt;=95,J816&lt;=400,G816=3,C816="IN",I816=120),VLOOKUP(T816,'CAFCO 300 IDIEM TABLAS'!$F$4:$H$35,3,FALSE),0)+IF(AND(L816="Cafco 300",J816&gt;=95,J816&lt;=450,G816=4,C816="IN",I816=90),VLOOKUP(T816,'CAFCO 300 IDIEM TABLAS'!$J$4:$L$40,2,FALSE),0)+IF(AND(L816="Cafco 300",J816&gt;=95,J816&lt;=450,G816=4,C816="IN",I816=120),VLOOKUP(T816,'CAFCO 300 IDIEM TABLAS'!$J$4:$L$40,3,FALSE),0)+IF(AND(M816="Ensayo Idiem",L816="Cafco 400",C816="IN",G816=4,I816=90),VLOOKUP(T816,'CAFCO 400 ENSAYO'!$B$7:$D$43,2,FALSE),0)+IF(AND(M816="Ensayo Idiem",L816="Cafco 400",C816="IN",G816=4,I816=120),VLOOKUP(T816,'CAFCO 400 ENSAYO'!$B$7:$D$43,3,FALSE),0)</f>
        <v>0</v>
      </c>
      <c r="O816" s="96">
        <f t="shared" si="84"/>
        <v>0</v>
      </c>
      <c r="P816" s="95" t="str">
        <f t="shared" si="79"/>
        <v>N/A</v>
      </c>
      <c r="Q816" s="95" t="str">
        <f t="shared" si="80"/>
        <v>N/A</v>
      </c>
      <c r="R816" s="95" t="str">
        <f t="shared" si="81"/>
        <v>NO CERT.</v>
      </c>
      <c r="S816" s="95" t="e">
        <f t="shared" si="82"/>
        <v>#N/A</v>
      </c>
      <c r="T816" s="119" t="e">
        <f>+IF(J816=LOOKUP(J816,'CAFCO 300 IDIEM TABLAS'!$J$4:$J$40),'CALCULO MORTERO'!J816,MROUND('CALCULO MORTERO'!J816,10))</f>
        <v>#N/A</v>
      </c>
      <c r="U816" s="118">
        <f t="shared" si="83"/>
        <v>0</v>
      </c>
    </row>
    <row r="817" spans="1:21" x14ac:dyDescent="0.25">
      <c r="A817" s="118">
        <f>+CUBICACION!D811</f>
        <v>0</v>
      </c>
      <c r="B817" s="819">
        <f>+CUBICACION!E811</f>
        <v>0</v>
      </c>
      <c r="C817" s="675">
        <f>+CUBICACION!F811</f>
        <v>0</v>
      </c>
      <c r="D817" s="118"/>
      <c r="E817" s="118"/>
      <c r="F817" s="820"/>
      <c r="G817" s="675">
        <f>+CUBICACION!J811</f>
        <v>0</v>
      </c>
      <c r="H817" s="118"/>
      <c r="I817" s="821">
        <f>+CUBICACION!L811</f>
        <v>0</v>
      </c>
      <c r="J817" s="64">
        <f>+CUBICACION!M811</f>
        <v>0</v>
      </c>
      <c r="K817" s="822" t="str">
        <f>+CUBICACION!N811</f>
        <v/>
      </c>
      <c r="L817" s="118">
        <f>+CUBICACION!O811</f>
        <v>0</v>
      </c>
      <c r="M817" s="823">
        <f>+CUBICACION!P811</f>
        <v>0</v>
      </c>
      <c r="N817" s="902">
        <f>ROUND(IF(AND(L817="Blaze Shield II",M817="Software Idiem",C817="IN",G817=4),((('BLAZE SHIELD II'!$D$4*('CALCULO MORTERO'!I817^2)+'BLAZE SHIELD II'!$D$5*'CALCULO MORTERO'!I817+'BLAZE SHIELD II'!$D$6)*LN(J817))+('BLAZE SHIELD II'!$D$7*('CALCULO MORTERO'!I817^2)+'BLAZE SHIELD II'!$D$8*'CALCULO MORTERO'!I817+'BLAZE SHIELD II'!$D$9)),0)+IF(AND(L817="Blaze Shield II",M817="Software Idiem",C817="Cj"),((('BLAZE SHIELD II'!$H$4*('CALCULO MORTERO'!I817^2)+'BLAZE SHIELD II'!$H$5*'CALCULO MORTERO'!I817+'BLAZE SHIELD II'!$H$6)*LN(J817))+('BLAZE SHIELD II'!$H$7*('CALCULO MORTERO'!I817^2)+'BLAZE SHIELD II'!$H$8*'CALCULO MORTERO'!I817+'BLAZE SHIELD II'!$H$9)),0)+IF(AND(L817="Blaze Shield II",M817="Software Idiem",C817="C"),((('BLAZE SHIELD II'!$L$4*('CALCULO MORTERO'!I817^2)+'BLAZE SHIELD II'!$L$5*'CALCULO MORTERO'!I817+'BLAZE SHIELD II'!$L$6)*LN(J817))+('BLAZE SHIELD II'!$L$7*('CALCULO MORTERO'!I817^2)+'BLAZE SHIELD II'!$L$8*'CALCULO MORTERO'!I817+'BLAZE SHIELD II'!$L$9)),0)+IF(AND(L817="Blaze Shield II",M817="Software Idiem",C817="L"),((('BLAZE SHIELD II'!$L$4*('CALCULO MORTERO'!I817^2)+'BLAZE SHIELD II'!$L$5*'CALCULO MORTERO'!I817+'BLAZE SHIELD II'!$L$6)*LN(J817))+('BLAZE SHIELD II'!$L$7*('CALCULO MORTERO'!I817^2)+'BLAZE SHIELD II'!$L$8*'CALCULO MORTERO'!I817+'BLAZE SHIELD II'!$L$9)),0)+IF(AND(L817="Blaze Shield II",M817="Software Idiem",C817="IN",G817=3),((('BLAZE SHIELD II'!$H$14*('CALCULO MORTERO'!I817^2)+'BLAZE SHIELD II'!$H$15*'CALCULO MORTERO'!I817+'BLAZE SHIELD II'!$H$16)*LN(J817))+('BLAZE SHIELD II'!$H$17*('CALCULO MORTERO'!I817^2)+'BLAZE SHIELD II'!$H$18*'CALCULO MORTERO'!I817+'BLAZE SHIELD II'!$H$19)),0),0)+ROUND(IF(AND(L817="Cafco 400",M817="Software Idiem",C817="IN",G817=4),((('CAFCO 400 '!$H$7*(J817^4)+'CAFCO 400 '!$H$8*(J817^3)+'CAFCO 400 '!$H$9*(J817^2)+'CAFCO 400 '!$H$10*J817+'CAFCO 400 '!$H$11)*U817^2)+(('CAFCO 400 '!$H$12*(J817^3)+'CAFCO 400 '!$H$13*(J817^2)+'CAFCO 400 '!$H$14*J817+'CAFCO 400 '!$H$15)*U817)+('CAFCO 400 '!$H$16*(J817^2)+'CAFCO 400 '!$H$17*J817+'CAFCO 400 '!$H$18)),0)+IF(AND(L817="Cafco 400",M817="Software Idiem",C817="Cj"),(((('CAFCO 400 '!$D$7*LN(J817)+'CAFCO 400 '!$D$8)*U817^2)+(('CAFCO 400 '!$D$9*LN(J817)+'CAFCO 400 '!$D$10)*U817)+('CAFCO 400 '!$D$11*LN(J817)+'CAFCO 400 '!$D$12))),0)+IF(AND(L817="Cafco 400",M817="Software Idiem",C817="C"),((('CAFCO 400 '!$L$7*(J817^3)+'CAFCO 400 '!$L$8*(J817^2)+'CAFCO 400 '!$L$9*J817+'CAFCO 400 '!$L$10)*U817^2)+(('CAFCO 400 '!$L$11*(J817^3)+'CAFCO 400 '!$L$12*(J817^2)+'CAFCO 400 '!$L$13*J817+'CAFCO 400 '!$L$14)*U817)+('CAFCO 400 '!$L$15*LN(J817)+'CAFCO 400 '!$L$16)),0)+IF(AND(L817="Cafco 400",M817="Software Idiem",C817="L"),((('CAFCO 400 '!$L$7*(J817^3)+'CAFCO 400 '!$L$8*(J817^2)+'CAFCO 400 '!$L$9*J817+'CAFCO 400 '!$L$10)*U817^2)+(('CAFCO 400 '!$L$11*(J817^3)+'CAFCO 400 '!$L$12*(J817^2)+'CAFCO 400 '!$L$13*J817+'CAFCO 400 '!$L$14)*U817)+('CAFCO 400 '!$L$15*LN(J817)+'CAFCO 400 '!$L$16)),0)+IF(AND(L817="Cafco 400",M817="Software Idiem",C817="IN",G817=3),((('CAFCO 400 '!$D$23*(J817^2)+'CAFCO 400 '!$D$24*(J817)+'CAFCO 400 '!$D$25)*U817^2)+(('CAFCO 400 '!$D$26*(J817^2)+'CAFCO 400 '!$D$27*J817+'CAFCO 400 '!$D$28)*U817)+('CAFCO 400 '!$D$29*(J817^2)+'CAFCO 400 '!$D$30*J817+'CAFCO 400 '!$D$31)),0),0)+IF(AND(L817="Cafco 300",J817&gt;=95,J817&lt;=240,C817="Cj",I817=90),VLOOKUP(T817,'CAFCO 300 IDIEM TABLAS'!$B$4:$D$23,2,FALSE),0)+IF(AND(L817="Cafco 300",J817&gt;=95,J817&lt;=240,C817="Cj",I817=120),VLOOKUP(T817,'CAFCO 300 IDIEM TABLAS'!$B$4:$D$23,3,FALSE),0)+IF(AND(L817="Cafco 300",J817&gt;=95,J817&lt;=400,G817=3,C817="IN",I817=90),VLOOKUP(T817,'CAFCO 300 IDIEM TABLAS'!$F$4:$H$35,2,FALSE),0)+IF(AND(L817="Cafco 300",J817&gt;=95,J817&lt;=400,G817=3,C817="IN",I817=120),VLOOKUP(T817,'CAFCO 300 IDIEM TABLAS'!$F$4:$H$35,3,FALSE),0)+IF(AND(L817="Cafco 300",J817&gt;=95,J817&lt;=450,G817=4,C817="IN",I817=90),VLOOKUP(T817,'CAFCO 300 IDIEM TABLAS'!$J$4:$L$40,2,FALSE),0)+IF(AND(L817="Cafco 300",J817&gt;=95,J817&lt;=450,G817=4,C817="IN",I817=120),VLOOKUP(T817,'CAFCO 300 IDIEM TABLAS'!$J$4:$L$40,3,FALSE),0)+IF(AND(M817="Ensayo Idiem",L817="Cafco 400",C817="IN",G817=4,I817=90),VLOOKUP(T817,'CAFCO 400 ENSAYO'!$B$7:$D$43,2,FALSE),0)+IF(AND(M817="Ensayo Idiem",L817="Cafco 400",C817="IN",G817=4,I817=120),VLOOKUP(T817,'CAFCO 400 ENSAYO'!$B$7:$D$43,3,FALSE),0)</f>
        <v>0</v>
      </c>
      <c r="O817" s="96">
        <f t="shared" si="84"/>
        <v>0</v>
      </c>
      <c r="P817" s="132" t="str">
        <f t="shared" si="79"/>
        <v>N/A</v>
      </c>
      <c r="Q817" s="132" t="str">
        <f t="shared" si="80"/>
        <v>N/A</v>
      </c>
      <c r="R817" s="132" t="str">
        <f t="shared" si="81"/>
        <v>NO CERT.</v>
      </c>
      <c r="S817" s="132" t="e">
        <f t="shared" si="82"/>
        <v>#N/A</v>
      </c>
      <c r="T817" s="133" t="e">
        <f>+IF(J817=LOOKUP(J817,'CAFCO 300 IDIEM TABLAS'!$J$4:$J$40),'CALCULO MORTERO'!J817,MROUND('CALCULO MORTERO'!J817,10))</f>
        <v>#N/A</v>
      </c>
      <c r="U817" s="134">
        <f t="shared" si="83"/>
        <v>0</v>
      </c>
    </row>
    <row r="818" spans="1:21" x14ac:dyDescent="0.25">
      <c r="A818" s="118">
        <f>+CUBICACION!D812</f>
        <v>0</v>
      </c>
      <c r="B818" s="819">
        <f>+CUBICACION!E812</f>
        <v>0</v>
      </c>
      <c r="C818" s="675">
        <f>+CUBICACION!F812</f>
        <v>0</v>
      </c>
      <c r="D818" s="118"/>
      <c r="E818" s="118"/>
      <c r="F818" s="820"/>
      <c r="G818" s="675">
        <f>+CUBICACION!J812</f>
        <v>0</v>
      </c>
      <c r="H818" s="118"/>
      <c r="I818" s="821">
        <f>+CUBICACION!L812</f>
        <v>0</v>
      </c>
      <c r="J818" s="64">
        <f>+CUBICACION!M812</f>
        <v>0</v>
      </c>
      <c r="K818" s="822" t="str">
        <f>+CUBICACION!N812</f>
        <v/>
      </c>
      <c r="L818" s="118">
        <f>+CUBICACION!O812</f>
        <v>0</v>
      </c>
      <c r="M818" s="823">
        <f>+CUBICACION!P812</f>
        <v>0</v>
      </c>
      <c r="N818" s="902">
        <f>ROUND(IF(AND(L818="Blaze Shield II",M818="Software Idiem",C818="IN",G818=4),((('BLAZE SHIELD II'!$D$4*('CALCULO MORTERO'!I818^2)+'BLAZE SHIELD II'!$D$5*'CALCULO MORTERO'!I818+'BLAZE SHIELD II'!$D$6)*LN(J818))+('BLAZE SHIELD II'!$D$7*('CALCULO MORTERO'!I818^2)+'BLAZE SHIELD II'!$D$8*'CALCULO MORTERO'!I818+'BLAZE SHIELD II'!$D$9)),0)+IF(AND(L818="Blaze Shield II",M818="Software Idiem",C818="Cj"),((('BLAZE SHIELD II'!$H$4*('CALCULO MORTERO'!I818^2)+'BLAZE SHIELD II'!$H$5*'CALCULO MORTERO'!I818+'BLAZE SHIELD II'!$H$6)*LN(J818))+('BLAZE SHIELD II'!$H$7*('CALCULO MORTERO'!I818^2)+'BLAZE SHIELD II'!$H$8*'CALCULO MORTERO'!I818+'BLAZE SHIELD II'!$H$9)),0)+IF(AND(L818="Blaze Shield II",M818="Software Idiem",C818="C"),((('BLAZE SHIELD II'!$L$4*('CALCULO MORTERO'!I818^2)+'BLAZE SHIELD II'!$L$5*'CALCULO MORTERO'!I818+'BLAZE SHIELD II'!$L$6)*LN(J818))+('BLAZE SHIELD II'!$L$7*('CALCULO MORTERO'!I818^2)+'BLAZE SHIELD II'!$L$8*'CALCULO MORTERO'!I818+'BLAZE SHIELD II'!$L$9)),0)+IF(AND(L818="Blaze Shield II",M818="Software Idiem",C818="L"),((('BLAZE SHIELD II'!$L$4*('CALCULO MORTERO'!I818^2)+'BLAZE SHIELD II'!$L$5*'CALCULO MORTERO'!I818+'BLAZE SHIELD II'!$L$6)*LN(J818))+('BLAZE SHIELD II'!$L$7*('CALCULO MORTERO'!I818^2)+'BLAZE SHIELD II'!$L$8*'CALCULO MORTERO'!I818+'BLAZE SHIELD II'!$L$9)),0)+IF(AND(L818="Blaze Shield II",M818="Software Idiem",C818="IN",G818=3),((('BLAZE SHIELD II'!$H$14*('CALCULO MORTERO'!I818^2)+'BLAZE SHIELD II'!$H$15*'CALCULO MORTERO'!I818+'BLAZE SHIELD II'!$H$16)*LN(J818))+('BLAZE SHIELD II'!$H$17*('CALCULO MORTERO'!I818^2)+'BLAZE SHIELD II'!$H$18*'CALCULO MORTERO'!I818+'BLAZE SHIELD II'!$H$19)),0),0)+ROUND(IF(AND(L818="Cafco 400",M818="Software Idiem",C818="IN",G818=4),((('CAFCO 400 '!$H$7*(J818^4)+'CAFCO 400 '!$H$8*(J818^3)+'CAFCO 400 '!$H$9*(J818^2)+'CAFCO 400 '!$H$10*J818+'CAFCO 400 '!$H$11)*U818^2)+(('CAFCO 400 '!$H$12*(J818^3)+'CAFCO 400 '!$H$13*(J818^2)+'CAFCO 400 '!$H$14*J818+'CAFCO 400 '!$H$15)*U818)+('CAFCO 400 '!$H$16*(J818^2)+'CAFCO 400 '!$H$17*J818+'CAFCO 400 '!$H$18)),0)+IF(AND(L818="Cafco 400",M818="Software Idiem",C818="Cj"),(((('CAFCO 400 '!$D$7*LN(J818)+'CAFCO 400 '!$D$8)*U818^2)+(('CAFCO 400 '!$D$9*LN(J818)+'CAFCO 400 '!$D$10)*U818)+('CAFCO 400 '!$D$11*LN(J818)+'CAFCO 400 '!$D$12))),0)+IF(AND(L818="Cafco 400",M818="Software Idiem",C818="C"),((('CAFCO 400 '!$L$7*(J818^3)+'CAFCO 400 '!$L$8*(J818^2)+'CAFCO 400 '!$L$9*J818+'CAFCO 400 '!$L$10)*U818^2)+(('CAFCO 400 '!$L$11*(J818^3)+'CAFCO 400 '!$L$12*(J818^2)+'CAFCO 400 '!$L$13*J818+'CAFCO 400 '!$L$14)*U818)+('CAFCO 400 '!$L$15*LN(J818)+'CAFCO 400 '!$L$16)),0)+IF(AND(L818="Cafco 400",M818="Software Idiem",C818="L"),((('CAFCO 400 '!$L$7*(J818^3)+'CAFCO 400 '!$L$8*(J818^2)+'CAFCO 400 '!$L$9*J818+'CAFCO 400 '!$L$10)*U818^2)+(('CAFCO 400 '!$L$11*(J818^3)+'CAFCO 400 '!$L$12*(J818^2)+'CAFCO 400 '!$L$13*J818+'CAFCO 400 '!$L$14)*U818)+('CAFCO 400 '!$L$15*LN(J818)+'CAFCO 400 '!$L$16)),0)+IF(AND(L818="Cafco 400",M818="Software Idiem",C818="IN",G818=3),((('CAFCO 400 '!$D$23*(J818^2)+'CAFCO 400 '!$D$24*(J818)+'CAFCO 400 '!$D$25)*U818^2)+(('CAFCO 400 '!$D$26*(J818^2)+'CAFCO 400 '!$D$27*J818+'CAFCO 400 '!$D$28)*U818)+('CAFCO 400 '!$D$29*(J818^2)+'CAFCO 400 '!$D$30*J818+'CAFCO 400 '!$D$31)),0),0)+IF(AND(L818="Cafco 300",J818&gt;=95,J818&lt;=240,C818="Cj",I818=90),VLOOKUP(T818,'CAFCO 300 IDIEM TABLAS'!$B$4:$D$23,2,FALSE),0)+IF(AND(L818="Cafco 300",J818&gt;=95,J818&lt;=240,C818="Cj",I818=120),VLOOKUP(T818,'CAFCO 300 IDIEM TABLAS'!$B$4:$D$23,3,FALSE),0)+IF(AND(L818="Cafco 300",J818&gt;=95,J818&lt;=400,G818=3,C818="IN",I818=90),VLOOKUP(T818,'CAFCO 300 IDIEM TABLAS'!$F$4:$H$35,2,FALSE),0)+IF(AND(L818="Cafco 300",J818&gt;=95,J818&lt;=400,G818=3,C818="IN",I818=120),VLOOKUP(T818,'CAFCO 300 IDIEM TABLAS'!$F$4:$H$35,3,FALSE),0)+IF(AND(L818="Cafco 300",J818&gt;=95,J818&lt;=450,G818=4,C818="IN",I818=90),VLOOKUP(T818,'CAFCO 300 IDIEM TABLAS'!$J$4:$L$40,2,FALSE),0)+IF(AND(L818="Cafco 300",J818&gt;=95,J818&lt;=450,G818=4,C818="IN",I818=120),VLOOKUP(T818,'CAFCO 300 IDIEM TABLAS'!$J$4:$L$40,3,FALSE),0)+IF(AND(M818="Ensayo Idiem",L818="Cafco 400",C818="IN",G818=4,I818=90),VLOOKUP(T818,'CAFCO 400 ENSAYO'!$B$7:$D$43,2,FALSE),0)+IF(AND(M818="Ensayo Idiem",L818="Cafco 400",C818="IN",G818=4,I818=120),VLOOKUP(T818,'CAFCO 400 ENSAYO'!$B$7:$D$43,3,FALSE),0)</f>
        <v>0</v>
      </c>
      <c r="O818" s="96">
        <f t="shared" si="84"/>
        <v>0</v>
      </c>
      <c r="P818" s="95" t="str">
        <f t="shared" ref="P818:P881" si="85">IF(AND(M818="Software Idiem"),IF(AND(C818="IN",G818=4,J818&gt;=50,J818&lt;=500),"CERT.",IF(AND(C818="Cj",J818&gt;=50,J818&lt;=500),"CERT.",IF(AND(C818="C",J818&gt;=50,J818&lt;=1000),"CERT.",IF(AND(C818="L",J818&gt;=50,J818&lt;=1000),"CERT.",IF(AND(C818="IN",G818=3,J818&gt;=50,J818&lt;=500),"CERT.","NO CERT."))))),"N/A")</f>
        <v>N/A</v>
      </c>
      <c r="Q818" s="95" t="str">
        <f t="shared" ref="Q818:Q881" si="86">IF(AND(M818="Software Idiem"),IF(AND(C818="IN",G818=4,J818&gt;=50,J818&lt;=500),"CERT.",IF(AND(C818="Cj",J818&gt;=50,J818&lt;=500),"CERT.",IF(AND(C818="C",J818&gt;=50,J818&lt;=1000),"CERT.",IF(AND(C818="L",J818&gt;=50,J818&lt;=1000),"CERT.",IF(AND(C818="IN",G818=3,J818&gt;=50,J818&lt;=500),"CERT.","NO CERT."))))),"N/A")</f>
        <v>N/A</v>
      </c>
      <c r="R818" s="95" t="str">
        <f t="shared" ref="R818:R881" si="87">IF(AND(C818="IN",G818=4,J818&gt;=95,J818&lt;=450,I818=90),"CERT.",IF(AND(C818="IN",G818=4,J818&gt;=95,J818&lt;=450,I818=120),"CERT.","NO CERT."))</f>
        <v>NO CERT.</v>
      </c>
      <c r="S818" s="95" t="e">
        <f t="shared" ref="S818:S881" si="88">IF(AND(C818="Cj",I818=90,T818&lt;=240),"CERT.",IF(AND(C818="Cj",I818=120,T818&lt;=240),"CERT.",IF(AND(C818="IN",G818=3,I818=90,T818&lt;=400),"CERT.",IF(AND(C818="IN",G818=3,I818=120,T818&lt;=400),"CERT.",IF(AND(C818="IN",G818=4,I818=90,T818&lt;=450),"CERT.",IF(AND(C818="IN",G818=4,I818=120,T818&lt;=450),"CERT.","NO CERT."))))))</f>
        <v>#N/A</v>
      </c>
      <c r="T818" s="119" t="e">
        <f>+IF(J818=LOOKUP(J818,'CAFCO 300 IDIEM TABLAS'!$J$4:$J$40),'CALCULO MORTERO'!J818,MROUND('CALCULO MORTERO'!J818,10))</f>
        <v>#N/A</v>
      </c>
      <c r="U818" s="118">
        <f t="shared" ref="U818:U881" si="89">+I818*60</f>
        <v>0</v>
      </c>
    </row>
    <row r="819" spans="1:21" x14ac:dyDescent="0.25">
      <c r="A819" s="118">
        <f>+CUBICACION!D813</f>
        <v>0</v>
      </c>
      <c r="B819" s="819">
        <f>+CUBICACION!E813</f>
        <v>0</v>
      </c>
      <c r="C819" s="675">
        <f>+CUBICACION!F813</f>
        <v>0</v>
      </c>
      <c r="D819" s="118"/>
      <c r="E819" s="118"/>
      <c r="F819" s="820"/>
      <c r="G819" s="675">
        <f>+CUBICACION!J813</f>
        <v>0</v>
      </c>
      <c r="H819" s="118"/>
      <c r="I819" s="821">
        <f>+CUBICACION!L813</f>
        <v>0</v>
      </c>
      <c r="J819" s="64">
        <f>+CUBICACION!M813</f>
        <v>0</v>
      </c>
      <c r="K819" s="822" t="str">
        <f>+CUBICACION!N813</f>
        <v/>
      </c>
      <c r="L819" s="118">
        <f>+CUBICACION!O813</f>
        <v>0</v>
      </c>
      <c r="M819" s="823">
        <f>+CUBICACION!P813</f>
        <v>0</v>
      </c>
      <c r="N819" s="902">
        <f>ROUND(IF(AND(L819="Blaze Shield II",M819="Software Idiem",C819="IN",G819=4),((('BLAZE SHIELD II'!$D$4*('CALCULO MORTERO'!I819^2)+'BLAZE SHIELD II'!$D$5*'CALCULO MORTERO'!I819+'BLAZE SHIELD II'!$D$6)*LN(J819))+('BLAZE SHIELD II'!$D$7*('CALCULO MORTERO'!I819^2)+'BLAZE SHIELD II'!$D$8*'CALCULO MORTERO'!I819+'BLAZE SHIELD II'!$D$9)),0)+IF(AND(L819="Blaze Shield II",M819="Software Idiem",C819="Cj"),((('BLAZE SHIELD II'!$H$4*('CALCULO MORTERO'!I819^2)+'BLAZE SHIELD II'!$H$5*'CALCULO MORTERO'!I819+'BLAZE SHIELD II'!$H$6)*LN(J819))+('BLAZE SHIELD II'!$H$7*('CALCULO MORTERO'!I819^2)+'BLAZE SHIELD II'!$H$8*'CALCULO MORTERO'!I819+'BLAZE SHIELD II'!$H$9)),0)+IF(AND(L819="Blaze Shield II",M819="Software Idiem",C819="C"),((('BLAZE SHIELD II'!$L$4*('CALCULO MORTERO'!I819^2)+'BLAZE SHIELD II'!$L$5*'CALCULO MORTERO'!I819+'BLAZE SHIELD II'!$L$6)*LN(J819))+('BLAZE SHIELD II'!$L$7*('CALCULO MORTERO'!I819^2)+'BLAZE SHIELD II'!$L$8*'CALCULO MORTERO'!I819+'BLAZE SHIELD II'!$L$9)),0)+IF(AND(L819="Blaze Shield II",M819="Software Idiem",C819="L"),((('BLAZE SHIELD II'!$L$4*('CALCULO MORTERO'!I819^2)+'BLAZE SHIELD II'!$L$5*'CALCULO MORTERO'!I819+'BLAZE SHIELD II'!$L$6)*LN(J819))+('BLAZE SHIELD II'!$L$7*('CALCULO MORTERO'!I819^2)+'BLAZE SHIELD II'!$L$8*'CALCULO MORTERO'!I819+'BLAZE SHIELD II'!$L$9)),0)+IF(AND(L819="Blaze Shield II",M819="Software Idiem",C819="IN",G819=3),((('BLAZE SHIELD II'!$H$14*('CALCULO MORTERO'!I819^2)+'BLAZE SHIELD II'!$H$15*'CALCULO MORTERO'!I819+'BLAZE SHIELD II'!$H$16)*LN(J819))+('BLAZE SHIELD II'!$H$17*('CALCULO MORTERO'!I819^2)+'BLAZE SHIELD II'!$H$18*'CALCULO MORTERO'!I819+'BLAZE SHIELD II'!$H$19)),0),0)+ROUND(IF(AND(L819="Cafco 400",M819="Software Idiem",C819="IN",G819=4),((('CAFCO 400 '!$H$7*(J819^4)+'CAFCO 400 '!$H$8*(J819^3)+'CAFCO 400 '!$H$9*(J819^2)+'CAFCO 400 '!$H$10*J819+'CAFCO 400 '!$H$11)*U819^2)+(('CAFCO 400 '!$H$12*(J819^3)+'CAFCO 400 '!$H$13*(J819^2)+'CAFCO 400 '!$H$14*J819+'CAFCO 400 '!$H$15)*U819)+('CAFCO 400 '!$H$16*(J819^2)+'CAFCO 400 '!$H$17*J819+'CAFCO 400 '!$H$18)),0)+IF(AND(L819="Cafco 400",M819="Software Idiem",C819="Cj"),(((('CAFCO 400 '!$D$7*LN(J819)+'CAFCO 400 '!$D$8)*U819^2)+(('CAFCO 400 '!$D$9*LN(J819)+'CAFCO 400 '!$D$10)*U819)+('CAFCO 400 '!$D$11*LN(J819)+'CAFCO 400 '!$D$12))),0)+IF(AND(L819="Cafco 400",M819="Software Idiem",C819="C"),((('CAFCO 400 '!$L$7*(J819^3)+'CAFCO 400 '!$L$8*(J819^2)+'CAFCO 400 '!$L$9*J819+'CAFCO 400 '!$L$10)*U819^2)+(('CAFCO 400 '!$L$11*(J819^3)+'CAFCO 400 '!$L$12*(J819^2)+'CAFCO 400 '!$L$13*J819+'CAFCO 400 '!$L$14)*U819)+('CAFCO 400 '!$L$15*LN(J819)+'CAFCO 400 '!$L$16)),0)+IF(AND(L819="Cafco 400",M819="Software Idiem",C819="L"),((('CAFCO 400 '!$L$7*(J819^3)+'CAFCO 400 '!$L$8*(J819^2)+'CAFCO 400 '!$L$9*J819+'CAFCO 400 '!$L$10)*U819^2)+(('CAFCO 400 '!$L$11*(J819^3)+'CAFCO 400 '!$L$12*(J819^2)+'CAFCO 400 '!$L$13*J819+'CAFCO 400 '!$L$14)*U819)+('CAFCO 400 '!$L$15*LN(J819)+'CAFCO 400 '!$L$16)),0)+IF(AND(L819="Cafco 400",M819="Software Idiem",C819="IN",G819=3),((('CAFCO 400 '!$D$23*(J819^2)+'CAFCO 400 '!$D$24*(J819)+'CAFCO 400 '!$D$25)*U819^2)+(('CAFCO 400 '!$D$26*(J819^2)+'CAFCO 400 '!$D$27*J819+'CAFCO 400 '!$D$28)*U819)+('CAFCO 400 '!$D$29*(J819^2)+'CAFCO 400 '!$D$30*J819+'CAFCO 400 '!$D$31)),0),0)+IF(AND(L819="Cafco 300",J819&gt;=95,J819&lt;=240,C819="Cj",I819=90),VLOOKUP(T819,'CAFCO 300 IDIEM TABLAS'!$B$4:$D$23,2,FALSE),0)+IF(AND(L819="Cafco 300",J819&gt;=95,J819&lt;=240,C819="Cj",I819=120),VLOOKUP(T819,'CAFCO 300 IDIEM TABLAS'!$B$4:$D$23,3,FALSE),0)+IF(AND(L819="Cafco 300",J819&gt;=95,J819&lt;=400,G819=3,C819="IN",I819=90),VLOOKUP(T819,'CAFCO 300 IDIEM TABLAS'!$F$4:$H$35,2,FALSE),0)+IF(AND(L819="Cafco 300",J819&gt;=95,J819&lt;=400,G819=3,C819="IN",I819=120),VLOOKUP(T819,'CAFCO 300 IDIEM TABLAS'!$F$4:$H$35,3,FALSE),0)+IF(AND(L819="Cafco 300",J819&gt;=95,J819&lt;=450,G819=4,C819="IN",I819=90),VLOOKUP(T819,'CAFCO 300 IDIEM TABLAS'!$J$4:$L$40,2,FALSE),0)+IF(AND(L819="Cafco 300",J819&gt;=95,J819&lt;=450,G819=4,C819="IN",I819=120),VLOOKUP(T819,'CAFCO 300 IDIEM TABLAS'!$J$4:$L$40,3,FALSE),0)+IF(AND(M819="Ensayo Idiem",L819="Cafco 400",C819="IN",G819=4,I819=90),VLOOKUP(T819,'CAFCO 400 ENSAYO'!$B$7:$D$43,2,FALSE),0)+IF(AND(M819="Ensayo Idiem",L819="Cafco 400",C819="IN",G819=4,I819=120),VLOOKUP(T819,'CAFCO 400 ENSAYO'!$B$7:$D$43,3,FALSE),0)</f>
        <v>0</v>
      </c>
      <c r="O819" s="96">
        <f t="shared" si="84"/>
        <v>0</v>
      </c>
      <c r="P819" s="132" t="str">
        <f t="shared" si="85"/>
        <v>N/A</v>
      </c>
      <c r="Q819" s="132" t="str">
        <f t="shared" si="86"/>
        <v>N/A</v>
      </c>
      <c r="R819" s="132" t="str">
        <f t="shared" si="87"/>
        <v>NO CERT.</v>
      </c>
      <c r="S819" s="132" t="e">
        <f t="shared" si="88"/>
        <v>#N/A</v>
      </c>
      <c r="T819" s="133" t="e">
        <f>+IF(J819=LOOKUP(J819,'CAFCO 300 IDIEM TABLAS'!$J$4:$J$40),'CALCULO MORTERO'!J819,MROUND('CALCULO MORTERO'!J819,10))</f>
        <v>#N/A</v>
      </c>
      <c r="U819" s="134">
        <f t="shared" si="89"/>
        <v>0</v>
      </c>
    </row>
    <row r="820" spans="1:21" x14ac:dyDescent="0.25">
      <c r="A820" s="118">
        <f>+CUBICACION!D814</f>
        <v>0</v>
      </c>
      <c r="B820" s="819">
        <f>+CUBICACION!E814</f>
        <v>0</v>
      </c>
      <c r="C820" s="675">
        <f>+CUBICACION!F814</f>
        <v>0</v>
      </c>
      <c r="D820" s="118"/>
      <c r="E820" s="118"/>
      <c r="F820" s="820"/>
      <c r="G820" s="675">
        <f>+CUBICACION!J814</f>
        <v>0</v>
      </c>
      <c r="H820" s="118"/>
      <c r="I820" s="821">
        <f>+CUBICACION!L814</f>
        <v>0</v>
      </c>
      <c r="J820" s="64">
        <f>+CUBICACION!M814</f>
        <v>0</v>
      </c>
      <c r="K820" s="822" t="str">
        <f>+CUBICACION!N814</f>
        <v/>
      </c>
      <c r="L820" s="118">
        <f>+CUBICACION!O814</f>
        <v>0</v>
      </c>
      <c r="M820" s="823">
        <f>+CUBICACION!P814</f>
        <v>0</v>
      </c>
      <c r="N820" s="902">
        <f>ROUND(IF(AND(L820="Blaze Shield II",M820="Software Idiem",C820="IN",G820=4),((('BLAZE SHIELD II'!$D$4*('CALCULO MORTERO'!I820^2)+'BLAZE SHIELD II'!$D$5*'CALCULO MORTERO'!I820+'BLAZE SHIELD II'!$D$6)*LN(J820))+('BLAZE SHIELD II'!$D$7*('CALCULO MORTERO'!I820^2)+'BLAZE SHIELD II'!$D$8*'CALCULO MORTERO'!I820+'BLAZE SHIELD II'!$D$9)),0)+IF(AND(L820="Blaze Shield II",M820="Software Idiem",C820="Cj"),((('BLAZE SHIELD II'!$H$4*('CALCULO MORTERO'!I820^2)+'BLAZE SHIELD II'!$H$5*'CALCULO MORTERO'!I820+'BLAZE SHIELD II'!$H$6)*LN(J820))+('BLAZE SHIELD II'!$H$7*('CALCULO MORTERO'!I820^2)+'BLAZE SHIELD II'!$H$8*'CALCULO MORTERO'!I820+'BLAZE SHIELD II'!$H$9)),0)+IF(AND(L820="Blaze Shield II",M820="Software Idiem",C820="C"),((('BLAZE SHIELD II'!$L$4*('CALCULO MORTERO'!I820^2)+'BLAZE SHIELD II'!$L$5*'CALCULO MORTERO'!I820+'BLAZE SHIELD II'!$L$6)*LN(J820))+('BLAZE SHIELD II'!$L$7*('CALCULO MORTERO'!I820^2)+'BLAZE SHIELD II'!$L$8*'CALCULO MORTERO'!I820+'BLAZE SHIELD II'!$L$9)),0)+IF(AND(L820="Blaze Shield II",M820="Software Idiem",C820="L"),((('BLAZE SHIELD II'!$L$4*('CALCULO MORTERO'!I820^2)+'BLAZE SHIELD II'!$L$5*'CALCULO MORTERO'!I820+'BLAZE SHIELD II'!$L$6)*LN(J820))+('BLAZE SHIELD II'!$L$7*('CALCULO MORTERO'!I820^2)+'BLAZE SHIELD II'!$L$8*'CALCULO MORTERO'!I820+'BLAZE SHIELD II'!$L$9)),0)+IF(AND(L820="Blaze Shield II",M820="Software Idiem",C820="IN",G820=3),((('BLAZE SHIELD II'!$H$14*('CALCULO MORTERO'!I820^2)+'BLAZE SHIELD II'!$H$15*'CALCULO MORTERO'!I820+'BLAZE SHIELD II'!$H$16)*LN(J820))+('BLAZE SHIELD II'!$H$17*('CALCULO MORTERO'!I820^2)+'BLAZE SHIELD II'!$H$18*'CALCULO MORTERO'!I820+'BLAZE SHIELD II'!$H$19)),0),0)+ROUND(IF(AND(L820="Cafco 400",M820="Software Idiem",C820="IN",G820=4),((('CAFCO 400 '!$H$7*(J820^4)+'CAFCO 400 '!$H$8*(J820^3)+'CAFCO 400 '!$H$9*(J820^2)+'CAFCO 400 '!$H$10*J820+'CAFCO 400 '!$H$11)*U820^2)+(('CAFCO 400 '!$H$12*(J820^3)+'CAFCO 400 '!$H$13*(J820^2)+'CAFCO 400 '!$H$14*J820+'CAFCO 400 '!$H$15)*U820)+('CAFCO 400 '!$H$16*(J820^2)+'CAFCO 400 '!$H$17*J820+'CAFCO 400 '!$H$18)),0)+IF(AND(L820="Cafco 400",M820="Software Idiem",C820="Cj"),(((('CAFCO 400 '!$D$7*LN(J820)+'CAFCO 400 '!$D$8)*U820^2)+(('CAFCO 400 '!$D$9*LN(J820)+'CAFCO 400 '!$D$10)*U820)+('CAFCO 400 '!$D$11*LN(J820)+'CAFCO 400 '!$D$12))),0)+IF(AND(L820="Cafco 400",M820="Software Idiem",C820="C"),((('CAFCO 400 '!$L$7*(J820^3)+'CAFCO 400 '!$L$8*(J820^2)+'CAFCO 400 '!$L$9*J820+'CAFCO 400 '!$L$10)*U820^2)+(('CAFCO 400 '!$L$11*(J820^3)+'CAFCO 400 '!$L$12*(J820^2)+'CAFCO 400 '!$L$13*J820+'CAFCO 400 '!$L$14)*U820)+('CAFCO 400 '!$L$15*LN(J820)+'CAFCO 400 '!$L$16)),0)+IF(AND(L820="Cafco 400",M820="Software Idiem",C820="L"),((('CAFCO 400 '!$L$7*(J820^3)+'CAFCO 400 '!$L$8*(J820^2)+'CAFCO 400 '!$L$9*J820+'CAFCO 400 '!$L$10)*U820^2)+(('CAFCO 400 '!$L$11*(J820^3)+'CAFCO 400 '!$L$12*(J820^2)+'CAFCO 400 '!$L$13*J820+'CAFCO 400 '!$L$14)*U820)+('CAFCO 400 '!$L$15*LN(J820)+'CAFCO 400 '!$L$16)),0)+IF(AND(L820="Cafco 400",M820="Software Idiem",C820="IN",G820=3),((('CAFCO 400 '!$D$23*(J820^2)+'CAFCO 400 '!$D$24*(J820)+'CAFCO 400 '!$D$25)*U820^2)+(('CAFCO 400 '!$D$26*(J820^2)+'CAFCO 400 '!$D$27*J820+'CAFCO 400 '!$D$28)*U820)+('CAFCO 400 '!$D$29*(J820^2)+'CAFCO 400 '!$D$30*J820+'CAFCO 400 '!$D$31)),0),0)+IF(AND(L820="Cafco 300",J820&gt;=95,J820&lt;=240,C820="Cj",I820=90),VLOOKUP(T820,'CAFCO 300 IDIEM TABLAS'!$B$4:$D$23,2,FALSE),0)+IF(AND(L820="Cafco 300",J820&gt;=95,J820&lt;=240,C820="Cj",I820=120),VLOOKUP(T820,'CAFCO 300 IDIEM TABLAS'!$B$4:$D$23,3,FALSE),0)+IF(AND(L820="Cafco 300",J820&gt;=95,J820&lt;=400,G820=3,C820="IN",I820=90),VLOOKUP(T820,'CAFCO 300 IDIEM TABLAS'!$F$4:$H$35,2,FALSE),0)+IF(AND(L820="Cafco 300",J820&gt;=95,J820&lt;=400,G820=3,C820="IN",I820=120),VLOOKUP(T820,'CAFCO 300 IDIEM TABLAS'!$F$4:$H$35,3,FALSE),0)+IF(AND(L820="Cafco 300",J820&gt;=95,J820&lt;=450,G820=4,C820="IN",I820=90),VLOOKUP(T820,'CAFCO 300 IDIEM TABLAS'!$J$4:$L$40,2,FALSE),0)+IF(AND(L820="Cafco 300",J820&gt;=95,J820&lt;=450,G820=4,C820="IN",I820=120),VLOOKUP(T820,'CAFCO 300 IDIEM TABLAS'!$J$4:$L$40,3,FALSE),0)+IF(AND(M820="Ensayo Idiem",L820="Cafco 400",C820="IN",G820=4,I820=90),VLOOKUP(T820,'CAFCO 400 ENSAYO'!$B$7:$D$43,2,FALSE),0)+IF(AND(M820="Ensayo Idiem",L820="Cafco 400",C820="IN",G820=4,I820=120),VLOOKUP(T820,'CAFCO 400 ENSAYO'!$B$7:$D$43,3,FALSE),0)</f>
        <v>0</v>
      </c>
      <c r="O820" s="96">
        <f t="shared" si="84"/>
        <v>0</v>
      </c>
      <c r="P820" s="95" t="str">
        <f t="shared" si="85"/>
        <v>N/A</v>
      </c>
      <c r="Q820" s="95" t="str">
        <f t="shared" si="86"/>
        <v>N/A</v>
      </c>
      <c r="R820" s="95" t="str">
        <f t="shared" si="87"/>
        <v>NO CERT.</v>
      </c>
      <c r="S820" s="95" t="e">
        <f t="shared" si="88"/>
        <v>#N/A</v>
      </c>
      <c r="T820" s="119" t="e">
        <f>+IF(J820=LOOKUP(J820,'CAFCO 300 IDIEM TABLAS'!$J$4:$J$40),'CALCULO MORTERO'!J820,MROUND('CALCULO MORTERO'!J820,10))</f>
        <v>#N/A</v>
      </c>
      <c r="U820" s="118">
        <f t="shared" si="89"/>
        <v>0</v>
      </c>
    </row>
    <row r="821" spans="1:21" x14ac:dyDescent="0.25">
      <c r="A821" s="118">
        <f>+CUBICACION!D815</f>
        <v>0</v>
      </c>
      <c r="B821" s="819">
        <f>+CUBICACION!E815</f>
        <v>0</v>
      </c>
      <c r="C821" s="675">
        <f>+CUBICACION!F815</f>
        <v>0</v>
      </c>
      <c r="D821" s="118"/>
      <c r="E821" s="118"/>
      <c r="F821" s="820"/>
      <c r="G821" s="675">
        <f>+CUBICACION!J815</f>
        <v>0</v>
      </c>
      <c r="H821" s="118"/>
      <c r="I821" s="821">
        <f>+CUBICACION!L815</f>
        <v>0</v>
      </c>
      <c r="J821" s="64">
        <f>+CUBICACION!M815</f>
        <v>0</v>
      </c>
      <c r="K821" s="822" t="str">
        <f>+CUBICACION!N815</f>
        <v/>
      </c>
      <c r="L821" s="118">
        <f>+CUBICACION!O815</f>
        <v>0</v>
      </c>
      <c r="M821" s="823">
        <f>+CUBICACION!P815</f>
        <v>0</v>
      </c>
      <c r="N821" s="902">
        <f>ROUND(IF(AND(L821="Blaze Shield II",M821="Software Idiem",C821="IN",G821=4),((('BLAZE SHIELD II'!$D$4*('CALCULO MORTERO'!I821^2)+'BLAZE SHIELD II'!$D$5*'CALCULO MORTERO'!I821+'BLAZE SHIELD II'!$D$6)*LN(J821))+('BLAZE SHIELD II'!$D$7*('CALCULO MORTERO'!I821^2)+'BLAZE SHIELD II'!$D$8*'CALCULO MORTERO'!I821+'BLAZE SHIELD II'!$D$9)),0)+IF(AND(L821="Blaze Shield II",M821="Software Idiem",C821="Cj"),((('BLAZE SHIELD II'!$H$4*('CALCULO MORTERO'!I821^2)+'BLAZE SHIELD II'!$H$5*'CALCULO MORTERO'!I821+'BLAZE SHIELD II'!$H$6)*LN(J821))+('BLAZE SHIELD II'!$H$7*('CALCULO MORTERO'!I821^2)+'BLAZE SHIELD II'!$H$8*'CALCULO MORTERO'!I821+'BLAZE SHIELD II'!$H$9)),0)+IF(AND(L821="Blaze Shield II",M821="Software Idiem",C821="C"),((('BLAZE SHIELD II'!$L$4*('CALCULO MORTERO'!I821^2)+'BLAZE SHIELD II'!$L$5*'CALCULO MORTERO'!I821+'BLAZE SHIELD II'!$L$6)*LN(J821))+('BLAZE SHIELD II'!$L$7*('CALCULO MORTERO'!I821^2)+'BLAZE SHIELD II'!$L$8*'CALCULO MORTERO'!I821+'BLAZE SHIELD II'!$L$9)),0)+IF(AND(L821="Blaze Shield II",M821="Software Idiem",C821="L"),((('BLAZE SHIELD II'!$L$4*('CALCULO MORTERO'!I821^2)+'BLAZE SHIELD II'!$L$5*'CALCULO MORTERO'!I821+'BLAZE SHIELD II'!$L$6)*LN(J821))+('BLAZE SHIELD II'!$L$7*('CALCULO MORTERO'!I821^2)+'BLAZE SHIELD II'!$L$8*'CALCULO MORTERO'!I821+'BLAZE SHIELD II'!$L$9)),0)+IF(AND(L821="Blaze Shield II",M821="Software Idiem",C821="IN",G821=3),((('BLAZE SHIELD II'!$H$14*('CALCULO MORTERO'!I821^2)+'BLAZE SHIELD II'!$H$15*'CALCULO MORTERO'!I821+'BLAZE SHIELD II'!$H$16)*LN(J821))+('BLAZE SHIELD II'!$H$17*('CALCULO MORTERO'!I821^2)+'BLAZE SHIELD II'!$H$18*'CALCULO MORTERO'!I821+'BLAZE SHIELD II'!$H$19)),0),0)+ROUND(IF(AND(L821="Cafco 400",M821="Software Idiem",C821="IN",G821=4),((('CAFCO 400 '!$H$7*(J821^4)+'CAFCO 400 '!$H$8*(J821^3)+'CAFCO 400 '!$H$9*(J821^2)+'CAFCO 400 '!$H$10*J821+'CAFCO 400 '!$H$11)*U821^2)+(('CAFCO 400 '!$H$12*(J821^3)+'CAFCO 400 '!$H$13*(J821^2)+'CAFCO 400 '!$H$14*J821+'CAFCO 400 '!$H$15)*U821)+('CAFCO 400 '!$H$16*(J821^2)+'CAFCO 400 '!$H$17*J821+'CAFCO 400 '!$H$18)),0)+IF(AND(L821="Cafco 400",M821="Software Idiem",C821="Cj"),(((('CAFCO 400 '!$D$7*LN(J821)+'CAFCO 400 '!$D$8)*U821^2)+(('CAFCO 400 '!$D$9*LN(J821)+'CAFCO 400 '!$D$10)*U821)+('CAFCO 400 '!$D$11*LN(J821)+'CAFCO 400 '!$D$12))),0)+IF(AND(L821="Cafco 400",M821="Software Idiem",C821="C"),((('CAFCO 400 '!$L$7*(J821^3)+'CAFCO 400 '!$L$8*(J821^2)+'CAFCO 400 '!$L$9*J821+'CAFCO 400 '!$L$10)*U821^2)+(('CAFCO 400 '!$L$11*(J821^3)+'CAFCO 400 '!$L$12*(J821^2)+'CAFCO 400 '!$L$13*J821+'CAFCO 400 '!$L$14)*U821)+('CAFCO 400 '!$L$15*LN(J821)+'CAFCO 400 '!$L$16)),0)+IF(AND(L821="Cafco 400",M821="Software Idiem",C821="L"),((('CAFCO 400 '!$L$7*(J821^3)+'CAFCO 400 '!$L$8*(J821^2)+'CAFCO 400 '!$L$9*J821+'CAFCO 400 '!$L$10)*U821^2)+(('CAFCO 400 '!$L$11*(J821^3)+'CAFCO 400 '!$L$12*(J821^2)+'CAFCO 400 '!$L$13*J821+'CAFCO 400 '!$L$14)*U821)+('CAFCO 400 '!$L$15*LN(J821)+'CAFCO 400 '!$L$16)),0)+IF(AND(L821="Cafco 400",M821="Software Idiem",C821="IN",G821=3),((('CAFCO 400 '!$D$23*(J821^2)+'CAFCO 400 '!$D$24*(J821)+'CAFCO 400 '!$D$25)*U821^2)+(('CAFCO 400 '!$D$26*(J821^2)+'CAFCO 400 '!$D$27*J821+'CAFCO 400 '!$D$28)*U821)+('CAFCO 400 '!$D$29*(J821^2)+'CAFCO 400 '!$D$30*J821+'CAFCO 400 '!$D$31)),0),0)+IF(AND(L821="Cafco 300",J821&gt;=95,J821&lt;=240,C821="Cj",I821=90),VLOOKUP(T821,'CAFCO 300 IDIEM TABLAS'!$B$4:$D$23,2,FALSE),0)+IF(AND(L821="Cafco 300",J821&gt;=95,J821&lt;=240,C821="Cj",I821=120),VLOOKUP(T821,'CAFCO 300 IDIEM TABLAS'!$B$4:$D$23,3,FALSE),0)+IF(AND(L821="Cafco 300",J821&gt;=95,J821&lt;=400,G821=3,C821="IN",I821=90),VLOOKUP(T821,'CAFCO 300 IDIEM TABLAS'!$F$4:$H$35,2,FALSE),0)+IF(AND(L821="Cafco 300",J821&gt;=95,J821&lt;=400,G821=3,C821="IN",I821=120),VLOOKUP(T821,'CAFCO 300 IDIEM TABLAS'!$F$4:$H$35,3,FALSE),0)+IF(AND(L821="Cafco 300",J821&gt;=95,J821&lt;=450,G821=4,C821="IN",I821=90),VLOOKUP(T821,'CAFCO 300 IDIEM TABLAS'!$J$4:$L$40,2,FALSE),0)+IF(AND(L821="Cafco 300",J821&gt;=95,J821&lt;=450,G821=4,C821="IN",I821=120),VLOOKUP(T821,'CAFCO 300 IDIEM TABLAS'!$J$4:$L$40,3,FALSE),0)+IF(AND(M821="Ensayo Idiem",L821="Cafco 400",C821="IN",G821=4,I821=90),VLOOKUP(T821,'CAFCO 400 ENSAYO'!$B$7:$D$43,2,FALSE),0)+IF(AND(M821="Ensayo Idiem",L821="Cafco 400",C821="IN",G821=4,I821=120),VLOOKUP(T821,'CAFCO 400 ENSAYO'!$B$7:$D$43,3,FALSE),0)</f>
        <v>0</v>
      </c>
      <c r="O821" s="96">
        <f t="shared" si="84"/>
        <v>0</v>
      </c>
      <c r="P821" s="132" t="str">
        <f t="shared" si="85"/>
        <v>N/A</v>
      </c>
      <c r="Q821" s="132" t="str">
        <f t="shared" si="86"/>
        <v>N/A</v>
      </c>
      <c r="R821" s="132" t="str">
        <f t="shared" si="87"/>
        <v>NO CERT.</v>
      </c>
      <c r="S821" s="132" t="e">
        <f t="shared" si="88"/>
        <v>#N/A</v>
      </c>
      <c r="T821" s="133" t="e">
        <f>+IF(J821=LOOKUP(J821,'CAFCO 300 IDIEM TABLAS'!$J$4:$J$40),'CALCULO MORTERO'!J821,MROUND('CALCULO MORTERO'!J821,10))</f>
        <v>#N/A</v>
      </c>
      <c r="U821" s="134">
        <f t="shared" si="89"/>
        <v>0</v>
      </c>
    </row>
    <row r="822" spans="1:21" x14ac:dyDescent="0.25">
      <c r="A822" s="118">
        <f>+CUBICACION!D816</f>
        <v>0</v>
      </c>
      <c r="B822" s="819">
        <f>+CUBICACION!E816</f>
        <v>0</v>
      </c>
      <c r="C822" s="675">
        <f>+CUBICACION!F816</f>
        <v>0</v>
      </c>
      <c r="D822" s="118"/>
      <c r="E822" s="118"/>
      <c r="F822" s="820"/>
      <c r="G822" s="675">
        <f>+CUBICACION!J816</f>
        <v>0</v>
      </c>
      <c r="H822" s="118"/>
      <c r="I822" s="821">
        <f>+CUBICACION!L816</f>
        <v>0</v>
      </c>
      <c r="J822" s="64">
        <f>+CUBICACION!M816</f>
        <v>0</v>
      </c>
      <c r="K822" s="822" t="str">
        <f>+CUBICACION!N816</f>
        <v/>
      </c>
      <c r="L822" s="118">
        <f>+CUBICACION!O816</f>
        <v>0</v>
      </c>
      <c r="M822" s="823">
        <f>+CUBICACION!P816</f>
        <v>0</v>
      </c>
      <c r="N822" s="902">
        <f>ROUND(IF(AND(L822="Blaze Shield II",M822="Software Idiem",C822="IN",G822=4),((('BLAZE SHIELD II'!$D$4*('CALCULO MORTERO'!I822^2)+'BLAZE SHIELD II'!$D$5*'CALCULO MORTERO'!I822+'BLAZE SHIELD II'!$D$6)*LN(J822))+('BLAZE SHIELD II'!$D$7*('CALCULO MORTERO'!I822^2)+'BLAZE SHIELD II'!$D$8*'CALCULO MORTERO'!I822+'BLAZE SHIELD II'!$D$9)),0)+IF(AND(L822="Blaze Shield II",M822="Software Idiem",C822="Cj"),((('BLAZE SHIELD II'!$H$4*('CALCULO MORTERO'!I822^2)+'BLAZE SHIELD II'!$H$5*'CALCULO MORTERO'!I822+'BLAZE SHIELD II'!$H$6)*LN(J822))+('BLAZE SHIELD II'!$H$7*('CALCULO MORTERO'!I822^2)+'BLAZE SHIELD II'!$H$8*'CALCULO MORTERO'!I822+'BLAZE SHIELD II'!$H$9)),0)+IF(AND(L822="Blaze Shield II",M822="Software Idiem",C822="C"),((('BLAZE SHIELD II'!$L$4*('CALCULO MORTERO'!I822^2)+'BLAZE SHIELD II'!$L$5*'CALCULO MORTERO'!I822+'BLAZE SHIELD II'!$L$6)*LN(J822))+('BLAZE SHIELD II'!$L$7*('CALCULO MORTERO'!I822^2)+'BLAZE SHIELD II'!$L$8*'CALCULO MORTERO'!I822+'BLAZE SHIELD II'!$L$9)),0)+IF(AND(L822="Blaze Shield II",M822="Software Idiem",C822="L"),((('BLAZE SHIELD II'!$L$4*('CALCULO MORTERO'!I822^2)+'BLAZE SHIELD II'!$L$5*'CALCULO MORTERO'!I822+'BLAZE SHIELD II'!$L$6)*LN(J822))+('BLAZE SHIELD II'!$L$7*('CALCULO MORTERO'!I822^2)+'BLAZE SHIELD II'!$L$8*'CALCULO MORTERO'!I822+'BLAZE SHIELD II'!$L$9)),0)+IF(AND(L822="Blaze Shield II",M822="Software Idiem",C822="IN",G822=3),((('BLAZE SHIELD II'!$H$14*('CALCULO MORTERO'!I822^2)+'BLAZE SHIELD II'!$H$15*'CALCULO MORTERO'!I822+'BLAZE SHIELD II'!$H$16)*LN(J822))+('BLAZE SHIELD II'!$H$17*('CALCULO MORTERO'!I822^2)+'BLAZE SHIELD II'!$H$18*'CALCULO MORTERO'!I822+'BLAZE SHIELD II'!$H$19)),0),0)+ROUND(IF(AND(L822="Cafco 400",M822="Software Idiem",C822="IN",G822=4),((('CAFCO 400 '!$H$7*(J822^4)+'CAFCO 400 '!$H$8*(J822^3)+'CAFCO 400 '!$H$9*(J822^2)+'CAFCO 400 '!$H$10*J822+'CAFCO 400 '!$H$11)*U822^2)+(('CAFCO 400 '!$H$12*(J822^3)+'CAFCO 400 '!$H$13*(J822^2)+'CAFCO 400 '!$H$14*J822+'CAFCO 400 '!$H$15)*U822)+('CAFCO 400 '!$H$16*(J822^2)+'CAFCO 400 '!$H$17*J822+'CAFCO 400 '!$H$18)),0)+IF(AND(L822="Cafco 400",M822="Software Idiem",C822="Cj"),(((('CAFCO 400 '!$D$7*LN(J822)+'CAFCO 400 '!$D$8)*U822^2)+(('CAFCO 400 '!$D$9*LN(J822)+'CAFCO 400 '!$D$10)*U822)+('CAFCO 400 '!$D$11*LN(J822)+'CAFCO 400 '!$D$12))),0)+IF(AND(L822="Cafco 400",M822="Software Idiem",C822="C"),((('CAFCO 400 '!$L$7*(J822^3)+'CAFCO 400 '!$L$8*(J822^2)+'CAFCO 400 '!$L$9*J822+'CAFCO 400 '!$L$10)*U822^2)+(('CAFCO 400 '!$L$11*(J822^3)+'CAFCO 400 '!$L$12*(J822^2)+'CAFCO 400 '!$L$13*J822+'CAFCO 400 '!$L$14)*U822)+('CAFCO 400 '!$L$15*LN(J822)+'CAFCO 400 '!$L$16)),0)+IF(AND(L822="Cafco 400",M822="Software Idiem",C822="L"),((('CAFCO 400 '!$L$7*(J822^3)+'CAFCO 400 '!$L$8*(J822^2)+'CAFCO 400 '!$L$9*J822+'CAFCO 400 '!$L$10)*U822^2)+(('CAFCO 400 '!$L$11*(J822^3)+'CAFCO 400 '!$L$12*(J822^2)+'CAFCO 400 '!$L$13*J822+'CAFCO 400 '!$L$14)*U822)+('CAFCO 400 '!$L$15*LN(J822)+'CAFCO 400 '!$L$16)),0)+IF(AND(L822="Cafco 400",M822="Software Idiem",C822="IN",G822=3),((('CAFCO 400 '!$D$23*(J822^2)+'CAFCO 400 '!$D$24*(J822)+'CAFCO 400 '!$D$25)*U822^2)+(('CAFCO 400 '!$D$26*(J822^2)+'CAFCO 400 '!$D$27*J822+'CAFCO 400 '!$D$28)*U822)+('CAFCO 400 '!$D$29*(J822^2)+'CAFCO 400 '!$D$30*J822+'CAFCO 400 '!$D$31)),0),0)+IF(AND(L822="Cafco 300",J822&gt;=95,J822&lt;=240,C822="Cj",I822=90),VLOOKUP(T822,'CAFCO 300 IDIEM TABLAS'!$B$4:$D$23,2,FALSE),0)+IF(AND(L822="Cafco 300",J822&gt;=95,J822&lt;=240,C822="Cj",I822=120),VLOOKUP(T822,'CAFCO 300 IDIEM TABLAS'!$B$4:$D$23,3,FALSE),0)+IF(AND(L822="Cafco 300",J822&gt;=95,J822&lt;=400,G822=3,C822="IN",I822=90),VLOOKUP(T822,'CAFCO 300 IDIEM TABLAS'!$F$4:$H$35,2,FALSE),0)+IF(AND(L822="Cafco 300",J822&gt;=95,J822&lt;=400,G822=3,C822="IN",I822=120),VLOOKUP(T822,'CAFCO 300 IDIEM TABLAS'!$F$4:$H$35,3,FALSE),0)+IF(AND(L822="Cafco 300",J822&gt;=95,J822&lt;=450,G822=4,C822="IN",I822=90),VLOOKUP(T822,'CAFCO 300 IDIEM TABLAS'!$J$4:$L$40,2,FALSE),0)+IF(AND(L822="Cafco 300",J822&gt;=95,J822&lt;=450,G822=4,C822="IN",I822=120),VLOOKUP(T822,'CAFCO 300 IDIEM TABLAS'!$J$4:$L$40,3,FALSE),0)+IF(AND(M822="Ensayo Idiem",L822="Cafco 400",C822="IN",G822=4,I822=90),VLOOKUP(T822,'CAFCO 400 ENSAYO'!$B$7:$D$43,2,FALSE),0)+IF(AND(M822="Ensayo Idiem",L822="Cafco 400",C822="IN",G822=4,I822=120),VLOOKUP(T822,'CAFCO 400 ENSAYO'!$B$7:$D$43,3,FALSE),0)</f>
        <v>0</v>
      </c>
      <c r="O822" s="96">
        <f t="shared" si="84"/>
        <v>0</v>
      </c>
      <c r="P822" s="95" t="str">
        <f t="shared" si="85"/>
        <v>N/A</v>
      </c>
      <c r="Q822" s="95" t="str">
        <f t="shared" si="86"/>
        <v>N/A</v>
      </c>
      <c r="R822" s="95" t="str">
        <f t="shared" si="87"/>
        <v>NO CERT.</v>
      </c>
      <c r="S822" s="95" t="e">
        <f t="shared" si="88"/>
        <v>#N/A</v>
      </c>
      <c r="T822" s="119" t="e">
        <f>+IF(J822=LOOKUP(J822,'CAFCO 300 IDIEM TABLAS'!$J$4:$J$40),'CALCULO MORTERO'!J822,MROUND('CALCULO MORTERO'!J822,10))</f>
        <v>#N/A</v>
      </c>
      <c r="U822" s="118">
        <f t="shared" si="89"/>
        <v>0</v>
      </c>
    </row>
    <row r="823" spans="1:21" x14ac:dyDescent="0.25">
      <c r="A823" s="118">
        <f>+CUBICACION!D817</f>
        <v>0</v>
      </c>
      <c r="B823" s="819">
        <f>+CUBICACION!E817</f>
        <v>0</v>
      </c>
      <c r="C823" s="675">
        <f>+CUBICACION!F817</f>
        <v>0</v>
      </c>
      <c r="D823" s="118"/>
      <c r="E823" s="118"/>
      <c r="F823" s="820"/>
      <c r="G823" s="675">
        <f>+CUBICACION!J817</f>
        <v>0</v>
      </c>
      <c r="H823" s="118"/>
      <c r="I823" s="821">
        <f>+CUBICACION!L817</f>
        <v>0</v>
      </c>
      <c r="J823" s="64">
        <f>+CUBICACION!M817</f>
        <v>0</v>
      </c>
      <c r="K823" s="822" t="str">
        <f>+CUBICACION!N817</f>
        <v/>
      </c>
      <c r="L823" s="118">
        <f>+CUBICACION!O817</f>
        <v>0</v>
      </c>
      <c r="M823" s="823">
        <f>+CUBICACION!P817</f>
        <v>0</v>
      </c>
      <c r="N823" s="902">
        <f>ROUND(IF(AND(L823="Blaze Shield II",M823="Software Idiem",C823="IN",G823=4),((('BLAZE SHIELD II'!$D$4*('CALCULO MORTERO'!I823^2)+'BLAZE SHIELD II'!$D$5*'CALCULO MORTERO'!I823+'BLAZE SHIELD II'!$D$6)*LN(J823))+('BLAZE SHIELD II'!$D$7*('CALCULO MORTERO'!I823^2)+'BLAZE SHIELD II'!$D$8*'CALCULO MORTERO'!I823+'BLAZE SHIELD II'!$D$9)),0)+IF(AND(L823="Blaze Shield II",M823="Software Idiem",C823="Cj"),((('BLAZE SHIELD II'!$H$4*('CALCULO MORTERO'!I823^2)+'BLAZE SHIELD II'!$H$5*'CALCULO MORTERO'!I823+'BLAZE SHIELD II'!$H$6)*LN(J823))+('BLAZE SHIELD II'!$H$7*('CALCULO MORTERO'!I823^2)+'BLAZE SHIELD II'!$H$8*'CALCULO MORTERO'!I823+'BLAZE SHIELD II'!$H$9)),0)+IF(AND(L823="Blaze Shield II",M823="Software Idiem",C823="C"),((('BLAZE SHIELD II'!$L$4*('CALCULO MORTERO'!I823^2)+'BLAZE SHIELD II'!$L$5*'CALCULO MORTERO'!I823+'BLAZE SHIELD II'!$L$6)*LN(J823))+('BLAZE SHIELD II'!$L$7*('CALCULO MORTERO'!I823^2)+'BLAZE SHIELD II'!$L$8*'CALCULO MORTERO'!I823+'BLAZE SHIELD II'!$L$9)),0)+IF(AND(L823="Blaze Shield II",M823="Software Idiem",C823="L"),((('BLAZE SHIELD II'!$L$4*('CALCULO MORTERO'!I823^2)+'BLAZE SHIELD II'!$L$5*'CALCULO MORTERO'!I823+'BLAZE SHIELD II'!$L$6)*LN(J823))+('BLAZE SHIELD II'!$L$7*('CALCULO MORTERO'!I823^2)+'BLAZE SHIELD II'!$L$8*'CALCULO MORTERO'!I823+'BLAZE SHIELD II'!$L$9)),0)+IF(AND(L823="Blaze Shield II",M823="Software Idiem",C823="IN",G823=3),((('BLAZE SHIELD II'!$H$14*('CALCULO MORTERO'!I823^2)+'BLAZE SHIELD II'!$H$15*'CALCULO MORTERO'!I823+'BLAZE SHIELD II'!$H$16)*LN(J823))+('BLAZE SHIELD II'!$H$17*('CALCULO MORTERO'!I823^2)+'BLAZE SHIELD II'!$H$18*'CALCULO MORTERO'!I823+'BLAZE SHIELD II'!$H$19)),0),0)+ROUND(IF(AND(L823="Cafco 400",M823="Software Idiem",C823="IN",G823=4),((('CAFCO 400 '!$H$7*(J823^4)+'CAFCO 400 '!$H$8*(J823^3)+'CAFCO 400 '!$H$9*(J823^2)+'CAFCO 400 '!$H$10*J823+'CAFCO 400 '!$H$11)*U823^2)+(('CAFCO 400 '!$H$12*(J823^3)+'CAFCO 400 '!$H$13*(J823^2)+'CAFCO 400 '!$H$14*J823+'CAFCO 400 '!$H$15)*U823)+('CAFCO 400 '!$H$16*(J823^2)+'CAFCO 400 '!$H$17*J823+'CAFCO 400 '!$H$18)),0)+IF(AND(L823="Cafco 400",M823="Software Idiem",C823="Cj"),(((('CAFCO 400 '!$D$7*LN(J823)+'CAFCO 400 '!$D$8)*U823^2)+(('CAFCO 400 '!$D$9*LN(J823)+'CAFCO 400 '!$D$10)*U823)+('CAFCO 400 '!$D$11*LN(J823)+'CAFCO 400 '!$D$12))),0)+IF(AND(L823="Cafco 400",M823="Software Idiem",C823="C"),((('CAFCO 400 '!$L$7*(J823^3)+'CAFCO 400 '!$L$8*(J823^2)+'CAFCO 400 '!$L$9*J823+'CAFCO 400 '!$L$10)*U823^2)+(('CAFCO 400 '!$L$11*(J823^3)+'CAFCO 400 '!$L$12*(J823^2)+'CAFCO 400 '!$L$13*J823+'CAFCO 400 '!$L$14)*U823)+('CAFCO 400 '!$L$15*LN(J823)+'CAFCO 400 '!$L$16)),0)+IF(AND(L823="Cafco 400",M823="Software Idiem",C823="L"),((('CAFCO 400 '!$L$7*(J823^3)+'CAFCO 400 '!$L$8*(J823^2)+'CAFCO 400 '!$L$9*J823+'CAFCO 400 '!$L$10)*U823^2)+(('CAFCO 400 '!$L$11*(J823^3)+'CAFCO 400 '!$L$12*(J823^2)+'CAFCO 400 '!$L$13*J823+'CAFCO 400 '!$L$14)*U823)+('CAFCO 400 '!$L$15*LN(J823)+'CAFCO 400 '!$L$16)),0)+IF(AND(L823="Cafco 400",M823="Software Idiem",C823="IN",G823=3),((('CAFCO 400 '!$D$23*(J823^2)+'CAFCO 400 '!$D$24*(J823)+'CAFCO 400 '!$D$25)*U823^2)+(('CAFCO 400 '!$D$26*(J823^2)+'CAFCO 400 '!$D$27*J823+'CAFCO 400 '!$D$28)*U823)+('CAFCO 400 '!$D$29*(J823^2)+'CAFCO 400 '!$D$30*J823+'CAFCO 400 '!$D$31)),0),0)+IF(AND(L823="Cafco 300",J823&gt;=95,J823&lt;=240,C823="Cj",I823=90),VLOOKUP(T823,'CAFCO 300 IDIEM TABLAS'!$B$4:$D$23,2,FALSE),0)+IF(AND(L823="Cafco 300",J823&gt;=95,J823&lt;=240,C823="Cj",I823=120),VLOOKUP(T823,'CAFCO 300 IDIEM TABLAS'!$B$4:$D$23,3,FALSE),0)+IF(AND(L823="Cafco 300",J823&gt;=95,J823&lt;=400,G823=3,C823="IN",I823=90),VLOOKUP(T823,'CAFCO 300 IDIEM TABLAS'!$F$4:$H$35,2,FALSE),0)+IF(AND(L823="Cafco 300",J823&gt;=95,J823&lt;=400,G823=3,C823="IN",I823=120),VLOOKUP(T823,'CAFCO 300 IDIEM TABLAS'!$F$4:$H$35,3,FALSE),0)+IF(AND(L823="Cafco 300",J823&gt;=95,J823&lt;=450,G823=4,C823="IN",I823=90),VLOOKUP(T823,'CAFCO 300 IDIEM TABLAS'!$J$4:$L$40,2,FALSE),0)+IF(AND(L823="Cafco 300",J823&gt;=95,J823&lt;=450,G823=4,C823="IN",I823=120),VLOOKUP(T823,'CAFCO 300 IDIEM TABLAS'!$J$4:$L$40,3,FALSE),0)+IF(AND(M823="Ensayo Idiem",L823="Cafco 400",C823="IN",G823=4,I823=90),VLOOKUP(T823,'CAFCO 400 ENSAYO'!$B$7:$D$43,2,FALSE),0)+IF(AND(M823="Ensayo Idiem",L823="Cafco 400",C823="IN",G823=4,I823=120),VLOOKUP(T823,'CAFCO 400 ENSAYO'!$B$7:$D$43,3,FALSE),0)</f>
        <v>0</v>
      </c>
      <c r="O823" s="96">
        <f t="shared" si="84"/>
        <v>0</v>
      </c>
      <c r="P823" s="132" t="str">
        <f t="shared" si="85"/>
        <v>N/A</v>
      </c>
      <c r="Q823" s="132" t="str">
        <f t="shared" si="86"/>
        <v>N/A</v>
      </c>
      <c r="R823" s="132" t="str">
        <f t="shared" si="87"/>
        <v>NO CERT.</v>
      </c>
      <c r="S823" s="132" t="e">
        <f t="shared" si="88"/>
        <v>#N/A</v>
      </c>
      <c r="T823" s="133" t="e">
        <f>+IF(J823=LOOKUP(J823,'CAFCO 300 IDIEM TABLAS'!$J$4:$J$40),'CALCULO MORTERO'!J823,MROUND('CALCULO MORTERO'!J823,10))</f>
        <v>#N/A</v>
      </c>
      <c r="U823" s="134">
        <f t="shared" si="89"/>
        <v>0</v>
      </c>
    </row>
    <row r="824" spans="1:21" x14ac:dyDescent="0.25">
      <c r="A824" s="118">
        <f>+CUBICACION!D818</f>
        <v>0</v>
      </c>
      <c r="B824" s="819">
        <f>+CUBICACION!E818</f>
        <v>0</v>
      </c>
      <c r="C824" s="675">
        <f>+CUBICACION!F818</f>
        <v>0</v>
      </c>
      <c r="D824" s="118"/>
      <c r="E824" s="118"/>
      <c r="F824" s="820"/>
      <c r="G824" s="675">
        <f>+CUBICACION!J818</f>
        <v>0</v>
      </c>
      <c r="H824" s="118"/>
      <c r="I824" s="821">
        <f>+CUBICACION!L818</f>
        <v>0</v>
      </c>
      <c r="J824" s="64">
        <f>+CUBICACION!M818</f>
        <v>0</v>
      </c>
      <c r="K824" s="822" t="str">
        <f>+CUBICACION!N818</f>
        <v/>
      </c>
      <c r="L824" s="118">
        <f>+CUBICACION!O818</f>
        <v>0</v>
      </c>
      <c r="M824" s="823">
        <f>+CUBICACION!P818</f>
        <v>0</v>
      </c>
      <c r="N824" s="902">
        <f>ROUND(IF(AND(L824="Blaze Shield II",M824="Software Idiem",C824="IN",G824=4),((('BLAZE SHIELD II'!$D$4*('CALCULO MORTERO'!I824^2)+'BLAZE SHIELD II'!$D$5*'CALCULO MORTERO'!I824+'BLAZE SHIELD II'!$D$6)*LN(J824))+('BLAZE SHIELD II'!$D$7*('CALCULO MORTERO'!I824^2)+'BLAZE SHIELD II'!$D$8*'CALCULO MORTERO'!I824+'BLAZE SHIELD II'!$D$9)),0)+IF(AND(L824="Blaze Shield II",M824="Software Idiem",C824="Cj"),((('BLAZE SHIELD II'!$H$4*('CALCULO MORTERO'!I824^2)+'BLAZE SHIELD II'!$H$5*'CALCULO MORTERO'!I824+'BLAZE SHIELD II'!$H$6)*LN(J824))+('BLAZE SHIELD II'!$H$7*('CALCULO MORTERO'!I824^2)+'BLAZE SHIELD II'!$H$8*'CALCULO MORTERO'!I824+'BLAZE SHIELD II'!$H$9)),0)+IF(AND(L824="Blaze Shield II",M824="Software Idiem",C824="C"),((('BLAZE SHIELD II'!$L$4*('CALCULO MORTERO'!I824^2)+'BLAZE SHIELD II'!$L$5*'CALCULO MORTERO'!I824+'BLAZE SHIELD II'!$L$6)*LN(J824))+('BLAZE SHIELD II'!$L$7*('CALCULO MORTERO'!I824^2)+'BLAZE SHIELD II'!$L$8*'CALCULO MORTERO'!I824+'BLAZE SHIELD II'!$L$9)),0)+IF(AND(L824="Blaze Shield II",M824="Software Idiem",C824="L"),((('BLAZE SHIELD II'!$L$4*('CALCULO MORTERO'!I824^2)+'BLAZE SHIELD II'!$L$5*'CALCULO MORTERO'!I824+'BLAZE SHIELD II'!$L$6)*LN(J824))+('BLAZE SHIELD II'!$L$7*('CALCULO MORTERO'!I824^2)+'BLAZE SHIELD II'!$L$8*'CALCULO MORTERO'!I824+'BLAZE SHIELD II'!$L$9)),0)+IF(AND(L824="Blaze Shield II",M824="Software Idiem",C824="IN",G824=3),((('BLAZE SHIELD II'!$H$14*('CALCULO MORTERO'!I824^2)+'BLAZE SHIELD II'!$H$15*'CALCULO MORTERO'!I824+'BLAZE SHIELD II'!$H$16)*LN(J824))+('BLAZE SHIELD II'!$H$17*('CALCULO MORTERO'!I824^2)+'BLAZE SHIELD II'!$H$18*'CALCULO MORTERO'!I824+'BLAZE SHIELD II'!$H$19)),0),0)+ROUND(IF(AND(L824="Cafco 400",M824="Software Idiem",C824="IN",G824=4),((('CAFCO 400 '!$H$7*(J824^4)+'CAFCO 400 '!$H$8*(J824^3)+'CAFCO 400 '!$H$9*(J824^2)+'CAFCO 400 '!$H$10*J824+'CAFCO 400 '!$H$11)*U824^2)+(('CAFCO 400 '!$H$12*(J824^3)+'CAFCO 400 '!$H$13*(J824^2)+'CAFCO 400 '!$H$14*J824+'CAFCO 400 '!$H$15)*U824)+('CAFCO 400 '!$H$16*(J824^2)+'CAFCO 400 '!$H$17*J824+'CAFCO 400 '!$H$18)),0)+IF(AND(L824="Cafco 400",M824="Software Idiem",C824="Cj"),(((('CAFCO 400 '!$D$7*LN(J824)+'CAFCO 400 '!$D$8)*U824^2)+(('CAFCO 400 '!$D$9*LN(J824)+'CAFCO 400 '!$D$10)*U824)+('CAFCO 400 '!$D$11*LN(J824)+'CAFCO 400 '!$D$12))),0)+IF(AND(L824="Cafco 400",M824="Software Idiem",C824="C"),((('CAFCO 400 '!$L$7*(J824^3)+'CAFCO 400 '!$L$8*(J824^2)+'CAFCO 400 '!$L$9*J824+'CAFCO 400 '!$L$10)*U824^2)+(('CAFCO 400 '!$L$11*(J824^3)+'CAFCO 400 '!$L$12*(J824^2)+'CAFCO 400 '!$L$13*J824+'CAFCO 400 '!$L$14)*U824)+('CAFCO 400 '!$L$15*LN(J824)+'CAFCO 400 '!$L$16)),0)+IF(AND(L824="Cafco 400",M824="Software Idiem",C824="L"),((('CAFCO 400 '!$L$7*(J824^3)+'CAFCO 400 '!$L$8*(J824^2)+'CAFCO 400 '!$L$9*J824+'CAFCO 400 '!$L$10)*U824^2)+(('CAFCO 400 '!$L$11*(J824^3)+'CAFCO 400 '!$L$12*(J824^2)+'CAFCO 400 '!$L$13*J824+'CAFCO 400 '!$L$14)*U824)+('CAFCO 400 '!$L$15*LN(J824)+'CAFCO 400 '!$L$16)),0)+IF(AND(L824="Cafco 400",M824="Software Idiem",C824="IN",G824=3),((('CAFCO 400 '!$D$23*(J824^2)+'CAFCO 400 '!$D$24*(J824)+'CAFCO 400 '!$D$25)*U824^2)+(('CAFCO 400 '!$D$26*(J824^2)+'CAFCO 400 '!$D$27*J824+'CAFCO 400 '!$D$28)*U824)+('CAFCO 400 '!$D$29*(J824^2)+'CAFCO 400 '!$D$30*J824+'CAFCO 400 '!$D$31)),0),0)+IF(AND(L824="Cafco 300",J824&gt;=95,J824&lt;=240,C824="Cj",I824=90),VLOOKUP(T824,'CAFCO 300 IDIEM TABLAS'!$B$4:$D$23,2,FALSE),0)+IF(AND(L824="Cafco 300",J824&gt;=95,J824&lt;=240,C824="Cj",I824=120),VLOOKUP(T824,'CAFCO 300 IDIEM TABLAS'!$B$4:$D$23,3,FALSE),0)+IF(AND(L824="Cafco 300",J824&gt;=95,J824&lt;=400,G824=3,C824="IN",I824=90),VLOOKUP(T824,'CAFCO 300 IDIEM TABLAS'!$F$4:$H$35,2,FALSE),0)+IF(AND(L824="Cafco 300",J824&gt;=95,J824&lt;=400,G824=3,C824="IN",I824=120),VLOOKUP(T824,'CAFCO 300 IDIEM TABLAS'!$F$4:$H$35,3,FALSE),0)+IF(AND(L824="Cafco 300",J824&gt;=95,J824&lt;=450,G824=4,C824="IN",I824=90),VLOOKUP(T824,'CAFCO 300 IDIEM TABLAS'!$J$4:$L$40,2,FALSE),0)+IF(AND(L824="Cafco 300",J824&gt;=95,J824&lt;=450,G824=4,C824="IN",I824=120),VLOOKUP(T824,'CAFCO 300 IDIEM TABLAS'!$J$4:$L$40,3,FALSE),0)+IF(AND(M824="Ensayo Idiem",L824="Cafco 400",C824="IN",G824=4,I824=90),VLOOKUP(T824,'CAFCO 400 ENSAYO'!$B$7:$D$43,2,FALSE),0)+IF(AND(M824="Ensayo Idiem",L824="Cafco 400",C824="IN",G824=4,I824=120),VLOOKUP(T824,'CAFCO 400 ENSAYO'!$B$7:$D$43,3,FALSE),0)</f>
        <v>0</v>
      </c>
      <c r="O824" s="96">
        <f t="shared" si="84"/>
        <v>0</v>
      </c>
      <c r="P824" s="95" t="str">
        <f t="shared" si="85"/>
        <v>N/A</v>
      </c>
      <c r="Q824" s="95" t="str">
        <f t="shared" si="86"/>
        <v>N/A</v>
      </c>
      <c r="R824" s="95" t="str">
        <f t="shared" si="87"/>
        <v>NO CERT.</v>
      </c>
      <c r="S824" s="95" t="e">
        <f t="shared" si="88"/>
        <v>#N/A</v>
      </c>
      <c r="T824" s="119" t="e">
        <f>+IF(J824=LOOKUP(J824,'CAFCO 300 IDIEM TABLAS'!$J$4:$J$40),'CALCULO MORTERO'!J824,MROUND('CALCULO MORTERO'!J824,10))</f>
        <v>#N/A</v>
      </c>
      <c r="U824" s="118">
        <f t="shared" si="89"/>
        <v>0</v>
      </c>
    </row>
    <row r="825" spans="1:21" x14ac:dyDescent="0.25">
      <c r="A825" s="118">
        <f>+CUBICACION!D819</f>
        <v>0</v>
      </c>
      <c r="B825" s="819">
        <f>+CUBICACION!E819</f>
        <v>0</v>
      </c>
      <c r="C825" s="675">
        <f>+CUBICACION!F819</f>
        <v>0</v>
      </c>
      <c r="D825" s="118"/>
      <c r="E825" s="118"/>
      <c r="F825" s="820"/>
      <c r="G825" s="675">
        <f>+CUBICACION!J819</f>
        <v>0</v>
      </c>
      <c r="H825" s="118"/>
      <c r="I825" s="821">
        <f>+CUBICACION!L819</f>
        <v>0</v>
      </c>
      <c r="J825" s="64">
        <f>+CUBICACION!M819</f>
        <v>0</v>
      </c>
      <c r="K825" s="822" t="str">
        <f>+CUBICACION!N819</f>
        <v/>
      </c>
      <c r="L825" s="118">
        <f>+CUBICACION!O819</f>
        <v>0</v>
      </c>
      <c r="M825" s="823">
        <f>+CUBICACION!P819</f>
        <v>0</v>
      </c>
      <c r="N825" s="902">
        <f>ROUND(IF(AND(L825="Blaze Shield II",M825="Software Idiem",C825="IN",G825=4),((('BLAZE SHIELD II'!$D$4*('CALCULO MORTERO'!I825^2)+'BLAZE SHIELD II'!$D$5*'CALCULO MORTERO'!I825+'BLAZE SHIELD II'!$D$6)*LN(J825))+('BLAZE SHIELD II'!$D$7*('CALCULO MORTERO'!I825^2)+'BLAZE SHIELD II'!$D$8*'CALCULO MORTERO'!I825+'BLAZE SHIELD II'!$D$9)),0)+IF(AND(L825="Blaze Shield II",M825="Software Idiem",C825="Cj"),((('BLAZE SHIELD II'!$H$4*('CALCULO MORTERO'!I825^2)+'BLAZE SHIELD II'!$H$5*'CALCULO MORTERO'!I825+'BLAZE SHIELD II'!$H$6)*LN(J825))+('BLAZE SHIELD II'!$H$7*('CALCULO MORTERO'!I825^2)+'BLAZE SHIELD II'!$H$8*'CALCULO MORTERO'!I825+'BLAZE SHIELD II'!$H$9)),0)+IF(AND(L825="Blaze Shield II",M825="Software Idiem",C825="C"),((('BLAZE SHIELD II'!$L$4*('CALCULO MORTERO'!I825^2)+'BLAZE SHIELD II'!$L$5*'CALCULO MORTERO'!I825+'BLAZE SHIELD II'!$L$6)*LN(J825))+('BLAZE SHIELD II'!$L$7*('CALCULO MORTERO'!I825^2)+'BLAZE SHIELD II'!$L$8*'CALCULO MORTERO'!I825+'BLAZE SHIELD II'!$L$9)),0)+IF(AND(L825="Blaze Shield II",M825="Software Idiem",C825="L"),((('BLAZE SHIELD II'!$L$4*('CALCULO MORTERO'!I825^2)+'BLAZE SHIELD II'!$L$5*'CALCULO MORTERO'!I825+'BLAZE SHIELD II'!$L$6)*LN(J825))+('BLAZE SHIELD II'!$L$7*('CALCULO MORTERO'!I825^2)+'BLAZE SHIELD II'!$L$8*'CALCULO MORTERO'!I825+'BLAZE SHIELD II'!$L$9)),0)+IF(AND(L825="Blaze Shield II",M825="Software Idiem",C825="IN",G825=3),((('BLAZE SHIELD II'!$H$14*('CALCULO MORTERO'!I825^2)+'BLAZE SHIELD II'!$H$15*'CALCULO MORTERO'!I825+'BLAZE SHIELD II'!$H$16)*LN(J825))+('BLAZE SHIELD II'!$H$17*('CALCULO MORTERO'!I825^2)+'BLAZE SHIELD II'!$H$18*'CALCULO MORTERO'!I825+'BLAZE SHIELD II'!$H$19)),0),0)+ROUND(IF(AND(L825="Cafco 400",M825="Software Idiem",C825="IN",G825=4),((('CAFCO 400 '!$H$7*(J825^4)+'CAFCO 400 '!$H$8*(J825^3)+'CAFCO 400 '!$H$9*(J825^2)+'CAFCO 400 '!$H$10*J825+'CAFCO 400 '!$H$11)*U825^2)+(('CAFCO 400 '!$H$12*(J825^3)+'CAFCO 400 '!$H$13*(J825^2)+'CAFCO 400 '!$H$14*J825+'CAFCO 400 '!$H$15)*U825)+('CAFCO 400 '!$H$16*(J825^2)+'CAFCO 400 '!$H$17*J825+'CAFCO 400 '!$H$18)),0)+IF(AND(L825="Cafco 400",M825="Software Idiem",C825="Cj"),(((('CAFCO 400 '!$D$7*LN(J825)+'CAFCO 400 '!$D$8)*U825^2)+(('CAFCO 400 '!$D$9*LN(J825)+'CAFCO 400 '!$D$10)*U825)+('CAFCO 400 '!$D$11*LN(J825)+'CAFCO 400 '!$D$12))),0)+IF(AND(L825="Cafco 400",M825="Software Idiem",C825="C"),((('CAFCO 400 '!$L$7*(J825^3)+'CAFCO 400 '!$L$8*(J825^2)+'CAFCO 400 '!$L$9*J825+'CAFCO 400 '!$L$10)*U825^2)+(('CAFCO 400 '!$L$11*(J825^3)+'CAFCO 400 '!$L$12*(J825^2)+'CAFCO 400 '!$L$13*J825+'CAFCO 400 '!$L$14)*U825)+('CAFCO 400 '!$L$15*LN(J825)+'CAFCO 400 '!$L$16)),0)+IF(AND(L825="Cafco 400",M825="Software Idiem",C825="L"),((('CAFCO 400 '!$L$7*(J825^3)+'CAFCO 400 '!$L$8*(J825^2)+'CAFCO 400 '!$L$9*J825+'CAFCO 400 '!$L$10)*U825^2)+(('CAFCO 400 '!$L$11*(J825^3)+'CAFCO 400 '!$L$12*(J825^2)+'CAFCO 400 '!$L$13*J825+'CAFCO 400 '!$L$14)*U825)+('CAFCO 400 '!$L$15*LN(J825)+'CAFCO 400 '!$L$16)),0)+IF(AND(L825="Cafco 400",M825="Software Idiem",C825="IN",G825=3),((('CAFCO 400 '!$D$23*(J825^2)+'CAFCO 400 '!$D$24*(J825)+'CAFCO 400 '!$D$25)*U825^2)+(('CAFCO 400 '!$D$26*(J825^2)+'CAFCO 400 '!$D$27*J825+'CAFCO 400 '!$D$28)*U825)+('CAFCO 400 '!$D$29*(J825^2)+'CAFCO 400 '!$D$30*J825+'CAFCO 400 '!$D$31)),0),0)+IF(AND(L825="Cafco 300",J825&gt;=95,J825&lt;=240,C825="Cj",I825=90),VLOOKUP(T825,'CAFCO 300 IDIEM TABLAS'!$B$4:$D$23,2,FALSE),0)+IF(AND(L825="Cafco 300",J825&gt;=95,J825&lt;=240,C825="Cj",I825=120),VLOOKUP(T825,'CAFCO 300 IDIEM TABLAS'!$B$4:$D$23,3,FALSE),0)+IF(AND(L825="Cafco 300",J825&gt;=95,J825&lt;=400,G825=3,C825="IN",I825=90),VLOOKUP(T825,'CAFCO 300 IDIEM TABLAS'!$F$4:$H$35,2,FALSE),0)+IF(AND(L825="Cafco 300",J825&gt;=95,J825&lt;=400,G825=3,C825="IN",I825=120),VLOOKUP(T825,'CAFCO 300 IDIEM TABLAS'!$F$4:$H$35,3,FALSE),0)+IF(AND(L825="Cafco 300",J825&gt;=95,J825&lt;=450,G825=4,C825="IN",I825=90),VLOOKUP(T825,'CAFCO 300 IDIEM TABLAS'!$J$4:$L$40,2,FALSE),0)+IF(AND(L825="Cafco 300",J825&gt;=95,J825&lt;=450,G825=4,C825="IN",I825=120),VLOOKUP(T825,'CAFCO 300 IDIEM TABLAS'!$J$4:$L$40,3,FALSE),0)+IF(AND(M825="Ensayo Idiem",L825="Cafco 400",C825="IN",G825=4,I825=90),VLOOKUP(T825,'CAFCO 400 ENSAYO'!$B$7:$D$43,2,FALSE),0)+IF(AND(M825="Ensayo Idiem",L825="Cafco 400",C825="IN",G825=4,I825=120),VLOOKUP(T825,'CAFCO 400 ENSAYO'!$B$7:$D$43,3,FALSE),0)</f>
        <v>0</v>
      </c>
      <c r="O825" s="96">
        <f t="shared" si="84"/>
        <v>0</v>
      </c>
      <c r="P825" s="132" t="str">
        <f t="shared" si="85"/>
        <v>N/A</v>
      </c>
      <c r="Q825" s="132" t="str">
        <f t="shared" si="86"/>
        <v>N/A</v>
      </c>
      <c r="R825" s="132" t="str">
        <f t="shared" si="87"/>
        <v>NO CERT.</v>
      </c>
      <c r="S825" s="132" t="e">
        <f t="shared" si="88"/>
        <v>#N/A</v>
      </c>
      <c r="T825" s="133" t="e">
        <f>+IF(J825=LOOKUP(J825,'CAFCO 300 IDIEM TABLAS'!$J$4:$J$40),'CALCULO MORTERO'!J825,MROUND('CALCULO MORTERO'!J825,10))</f>
        <v>#N/A</v>
      </c>
      <c r="U825" s="134">
        <f t="shared" si="89"/>
        <v>0</v>
      </c>
    </row>
    <row r="826" spans="1:21" x14ac:dyDescent="0.25">
      <c r="A826" s="118">
        <f>+CUBICACION!D820</f>
        <v>0</v>
      </c>
      <c r="B826" s="819">
        <f>+CUBICACION!E820</f>
        <v>0</v>
      </c>
      <c r="C826" s="675">
        <f>+CUBICACION!F820</f>
        <v>0</v>
      </c>
      <c r="D826" s="118"/>
      <c r="E826" s="118"/>
      <c r="F826" s="820"/>
      <c r="G826" s="675">
        <f>+CUBICACION!J820</f>
        <v>0</v>
      </c>
      <c r="H826" s="118"/>
      <c r="I826" s="821">
        <f>+CUBICACION!L820</f>
        <v>0</v>
      </c>
      <c r="J826" s="64">
        <f>+CUBICACION!M820</f>
        <v>0</v>
      </c>
      <c r="K826" s="822" t="str">
        <f>+CUBICACION!N820</f>
        <v/>
      </c>
      <c r="L826" s="118">
        <f>+CUBICACION!O820</f>
        <v>0</v>
      </c>
      <c r="M826" s="823">
        <f>+CUBICACION!P820</f>
        <v>0</v>
      </c>
      <c r="N826" s="902">
        <f>ROUND(IF(AND(L826="Blaze Shield II",M826="Software Idiem",C826="IN",G826=4),((('BLAZE SHIELD II'!$D$4*('CALCULO MORTERO'!I826^2)+'BLAZE SHIELD II'!$D$5*'CALCULO MORTERO'!I826+'BLAZE SHIELD II'!$D$6)*LN(J826))+('BLAZE SHIELD II'!$D$7*('CALCULO MORTERO'!I826^2)+'BLAZE SHIELD II'!$D$8*'CALCULO MORTERO'!I826+'BLAZE SHIELD II'!$D$9)),0)+IF(AND(L826="Blaze Shield II",M826="Software Idiem",C826="Cj"),((('BLAZE SHIELD II'!$H$4*('CALCULO MORTERO'!I826^2)+'BLAZE SHIELD II'!$H$5*'CALCULO MORTERO'!I826+'BLAZE SHIELD II'!$H$6)*LN(J826))+('BLAZE SHIELD II'!$H$7*('CALCULO MORTERO'!I826^2)+'BLAZE SHIELD II'!$H$8*'CALCULO MORTERO'!I826+'BLAZE SHIELD II'!$H$9)),0)+IF(AND(L826="Blaze Shield II",M826="Software Idiem",C826="C"),((('BLAZE SHIELD II'!$L$4*('CALCULO MORTERO'!I826^2)+'BLAZE SHIELD II'!$L$5*'CALCULO MORTERO'!I826+'BLAZE SHIELD II'!$L$6)*LN(J826))+('BLAZE SHIELD II'!$L$7*('CALCULO MORTERO'!I826^2)+'BLAZE SHIELD II'!$L$8*'CALCULO MORTERO'!I826+'BLAZE SHIELD II'!$L$9)),0)+IF(AND(L826="Blaze Shield II",M826="Software Idiem",C826="L"),((('BLAZE SHIELD II'!$L$4*('CALCULO MORTERO'!I826^2)+'BLAZE SHIELD II'!$L$5*'CALCULO MORTERO'!I826+'BLAZE SHIELD II'!$L$6)*LN(J826))+('BLAZE SHIELD II'!$L$7*('CALCULO MORTERO'!I826^2)+'BLAZE SHIELD II'!$L$8*'CALCULO MORTERO'!I826+'BLAZE SHIELD II'!$L$9)),0)+IF(AND(L826="Blaze Shield II",M826="Software Idiem",C826="IN",G826=3),((('BLAZE SHIELD II'!$H$14*('CALCULO MORTERO'!I826^2)+'BLAZE SHIELD II'!$H$15*'CALCULO MORTERO'!I826+'BLAZE SHIELD II'!$H$16)*LN(J826))+('BLAZE SHIELD II'!$H$17*('CALCULO MORTERO'!I826^2)+'BLAZE SHIELD II'!$H$18*'CALCULO MORTERO'!I826+'BLAZE SHIELD II'!$H$19)),0),0)+ROUND(IF(AND(L826="Cafco 400",M826="Software Idiem",C826="IN",G826=4),((('CAFCO 400 '!$H$7*(J826^4)+'CAFCO 400 '!$H$8*(J826^3)+'CAFCO 400 '!$H$9*(J826^2)+'CAFCO 400 '!$H$10*J826+'CAFCO 400 '!$H$11)*U826^2)+(('CAFCO 400 '!$H$12*(J826^3)+'CAFCO 400 '!$H$13*(J826^2)+'CAFCO 400 '!$H$14*J826+'CAFCO 400 '!$H$15)*U826)+('CAFCO 400 '!$H$16*(J826^2)+'CAFCO 400 '!$H$17*J826+'CAFCO 400 '!$H$18)),0)+IF(AND(L826="Cafco 400",M826="Software Idiem",C826="Cj"),(((('CAFCO 400 '!$D$7*LN(J826)+'CAFCO 400 '!$D$8)*U826^2)+(('CAFCO 400 '!$D$9*LN(J826)+'CAFCO 400 '!$D$10)*U826)+('CAFCO 400 '!$D$11*LN(J826)+'CAFCO 400 '!$D$12))),0)+IF(AND(L826="Cafco 400",M826="Software Idiem",C826="C"),((('CAFCO 400 '!$L$7*(J826^3)+'CAFCO 400 '!$L$8*(J826^2)+'CAFCO 400 '!$L$9*J826+'CAFCO 400 '!$L$10)*U826^2)+(('CAFCO 400 '!$L$11*(J826^3)+'CAFCO 400 '!$L$12*(J826^2)+'CAFCO 400 '!$L$13*J826+'CAFCO 400 '!$L$14)*U826)+('CAFCO 400 '!$L$15*LN(J826)+'CAFCO 400 '!$L$16)),0)+IF(AND(L826="Cafco 400",M826="Software Idiem",C826="L"),((('CAFCO 400 '!$L$7*(J826^3)+'CAFCO 400 '!$L$8*(J826^2)+'CAFCO 400 '!$L$9*J826+'CAFCO 400 '!$L$10)*U826^2)+(('CAFCO 400 '!$L$11*(J826^3)+'CAFCO 400 '!$L$12*(J826^2)+'CAFCO 400 '!$L$13*J826+'CAFCO 400 '!$L$14)*U826)+('CAFCO 400 '!$L$15*LN(J826)+'CAFCO 400 '!$L$16)),0)+IF(AND(L826="Cafco 400",M826="Software Idiem",C826="IN",G826=3),((('CAFCO 400 '!$D$23*(J826^2)+'CAFCO 400 '!$D$24*(J826)+'CAFCO 400 '!$D$25)*U826^2)+(('CAFCO 400 '!$D$26*(J826^2)+'CAFCO 400 '!$D$27*J826+'CAFCO 400 '!$D$28)*U826)+('CAFCO 400 '!$D$29*(J826^2)+'CAFCO 400 '!$D$30*J826+'CAFCO 400 '!$D$31)),0),0)+IF(AND(L826="Cafco 300",J826&gt;=95,J826&lt;=240,C826="Cj",I826=90),VLOOKUP(T826,'CAFCO 300 IDIEM TABLAS'!$B$4:$D$23,2,FALSE),0)+IF(AND(L826="Cafco 300",J826&gt;=95,J826&lt;=240,C826="Cj",I826=120),VLOOKUP(T826,'CAFCO 300 IDIEM TABLAS'!$B$4:$D$23,3,FALSE),0)+IF(AND(L826="Cafco 300",J826&gt;=95,J826&lt;=400,G826=3,C826="IN",I826=90),VLOOKUP(T826,'CAFCO 300 IDIEM TABLAS'!$F$4:$H$35,2,FALSE),0)+IF(AND(L826="Cafco 300",J826&gt;=95,J826&lt;=400,G826=3,C826="IN",I826=120),VLOOKUP(T826,'CAFCO 300 IDIEM TABLAS'!$F$4:$H$35,3,FALSE),0)+IF(AND(L826="Cafco 300",J826&gt;=95,J826&lt;=450,G826=4,C826="IN",I826=90),VLOOKUP(T826,'CAFCO 300 IDIEM TABLAS'!$J$4:$L$40,2,FALSE),0)+IF(AND(L826="Cafco 300",J826&gt;=95,J826&lt;=450,G826=4,C826="IN",I826=120),VLOOKUP(T826,'CAFCO 300 IDIEM TABLAS'!$J$4:$L$40,3,FALSE),0)+IF(AND(M826="Ensayo Idiem",L826="Cafco 400",C826="IN",G826=4,I826=90),VLOOKUP(T826,'CAFCO 400 ENSAYO'!$B$7:$D$43,2,FALSE),0)+IF(AND(M826="Ensayo Idiem",L826="Cafco 400",C826="IN",G826=4,I826=120),VLOOKUP(T826,'CAFCO 400 ENSAYO'!$B$7:$D$43,3,FALSE),0)</f>
        <v>0</v>
      </c>
      <c r="O826" s="96">
        <f t="shared" si="84"/>
        <v>0</v>
      </c>
      <c r="P826" s="95" t="str">
        <f t="shared" si="85"/>
        <v>N/A</v>
      </c>
      <c r="Q826" s="95" t="str">
        <f t="shared" si="86"/>
        <v>N/A</v>
      </c>
      <c r="R826" s="95" t="str">
        <f t="shared" si="87"/>
        <v>NO CERT.</v>
      </c>
      <c r="S826" s="95" t="e">
        <f t="shared" si="88"/>
        <v>#N/A</v>
      </c>
      <c r="T826" s="119" t="e">
        <f>+IF(J826=LOOKUP(J826,'CAFCO 300 IDIEM TABLAS'!$J$4:$J$40),'CALCULO MORTERO'!J826,MROUND('CALCULO MORTERO'!J826,10))</f>
        <v>#N/A</v>
      </c>
      <c r="U826" s="118">
        <f t="shared" si="89"/>
        <v>0</v>
      </c>
    </row>
    <row r="827" spans="1:21" x14ac:dyDescent="0.25">
      <c r="A827" s="118">
        <f>+CUBICACION!D821</f>
        <v>0</v>
      </c>
      <c r="B827" s="819">
        <f>+CUBICACION!E821</f>
        <v>0</v>
      </c>
      <c r="C827" s="675">
        <f>+CUBICACION!F821</f>
        <v>0</v>
      </c>
      <c r="D827" s="118"/>
      <c r="E827" s="118"/>
      <c r="F827" s="820"/>
      <c r="G827" s="675">
        <f>+CUBICACION!J821</f>
        <v>0</v>
      </c>
      <c r="H827" s="118"/>
      <c r="I827" s="821">
        <f>+CUBICACION!L821</f>
        <v>0</v>
      </c>
      <c r="J827" s="64">
        <f>+CUBICACION!M821</f>
        <v>0</v>
      </c>
      <c r="K827" s="822" t="str">
        <f>+CUBICACION!N821</f>
        <v/>
      </c>
      <c r="L827" s="118">
        <f>+CUBICACION!O821</f>
        <v>0</v>
      </c>
      <c r="M827" s="823">
        <f>+CUBICACION!P821</f>
        <v>0</v>
      </c>
      <c r="N827" s="902">
        <f>ROUND(IF(AND(L827="Blaze Shield II",M827="Software Idiem",C827="IN",G827=4),((('BLAZE SHIELD II'!$D$4*('CALCULO MORTERO'!I827^2)+'BLAZE SHIELD II'!$D$5*'CALCULO MORTERO'!I827+'BLAZE SHIELD II'!$D$6)*LN(J827))+('BLAZE SHIELD II'!$D$7*('CALCULO MORTERO'!I827^2)+'BLAZE SHIELD II'!$D$8*'CALCULO MORTERO'!I827+'BLAZE SHIELD II'!$D$9)),0)+IF(AND(L827="Blaze Shield II",M827="Software Idiem",C827="Cj"),((('BLAZE SHIELD II'!$H$4*('CALCULO MORTERO'!I827^2)+'BLAZE SHIELD II'!$H$5*'CALCULO MORTERO'!I827+'BLAZE SHIELD II'!$H$6)*LN(J827))+('BLAZE SHIELD II'!$H$7*('CALCULO MORTERO'!I827^2)+'BLAZE SHIELD II'!$H$8*'CALCULO MORTERO'!I827+'BLAZE SHIELD II'!$H$9)),0)+IF(AND(L827="Blaze Shield II",M827="Software Idiem",C827="C"),((('BLAZE SHIELD II'!$L$4*('CALCULO MORTERO'!I827^2)+'BLAZE SHIELD II'!$L$5*'CALCULO MORTERO'!I827+'BLAZE SHIELD II'!$L$6)*LN(J827))+('BLAZE SHIELD II'!$L$7*('CALCULO MORTERO'!I827^2)+'BLAZE SHIELD II'!$L$8*'CALCULO MORTERO'!I827+'BLAZE SHIELD II'!$L$9)),0)+IF(AND(L827="Blaze Shield II",M827="Software Idiem",C827="L"),((('BLAZE SHIELD II'!$L$4*('CALCULO MORTERO'!I827^2)+'BLAZE SHIELD II'!$L$5*'CALCULO MORTERO'!I827+'BLAZE SHIELD II'!$L$6)*LN(J827))+('BLAZE SHIELD II'!$L$7*('CALCULO MORTERO'!I827^2)+'BLAZE SHIELD II'!$L$8*'CALCULO MORTERO'!I827+'BLAZE SHIELD II'!$L$9)),0)+IF(AND(L827="Blaze Shield II",M827="Software Idiem",C827="IN",G827=3),((('BLAZE SHIELD II'!$H$14*('CALCULO MORTERO'!I827^2)+'BLAZE SHIELD II'!$H$15*'CALCULO MORTERO'!I827+'BLAZE SHIELD II'!$H$16)*LN(J827))+('BLAZE SHIELD II'!$H$17*('CALCULO MORTERO'!I827^2)+'BLAZE SHIELD II'!$H$18*'CALCULO MORTERO'!I827+'BLAZE SHIELD II'!$H$19)),0),0)+ROUND(IF(AND(L827="Cafco 400",M827="Software Idiem",C827="IN",G827=4),((('CAFCO 400 '!$H$7*(J827^4)+'CAFCO 400 '!$H$8*(J827^3)+'CAFCO 400 '!$H$9*(J827^2)+'CAFCO 400 '!$H$10*J827+'CAFCO 400 '!$H$11)*U827^2)+(('CAFCO 400 '!$H$12*(J827^3)+'CAFCO 400 '!$H$13*(J827^2)+'CAFCO 400 '!$H$14*J827+'CAFCO 400 '!$H$15)*U827)+('CAFCO 400 '!$H$16*(J827^2)+'CAFCO 400 '!$H$17*J827+'CAFCO 400 '!$H$18)),0)+IF(AND(L827="Cafco 400",M827="Software Idiem",C827="Cj"),(((('CAFCO 400 '!$D$7*LN(J827)+'CAFCO 400 '!$D$8)*U827^2)+(('CAFCO 400 '!$D$9*LN(J827)+'CAFCO 400 '!$D$10)*U827)+('CAFCO 400 '!$D$11*LN(J827)+'CAFCO 400 '!$D$12))),0)+IF(AND(L827="Cafco 400",M827="Software Idiem",C827="C"),((('CAFCO 400 '!$L$7*(J827^3)+'CAFCO 400 '!$L$8*(J827^2)+'CAFCO 400 '!$L$9*J827+'CAFCO 400 '!$L$10)*U827^2)+(('CAFCO 400 '!$L$11*(J827^3)+'CAFCO 400 '!$L$12*(J827^2)+'CAFCO 400 '!$L$13*J827+'CAFCO 400 '!$L$14)*U827)+('CAFCO 400 '!$L$15*LN(J827)+'CAFCO 400 '!$L$16)),0)+IF(AND(L827="Cafco 400",M827="Software Idiem",C827="L"),((('CAFCO 400 '!$L$7*(J827^3)+'CAFCO 400 '!$L$8*(J827^2)+'CAFCO 400 '!$L$9*J827+'CAFCO 400 '!$L$10)*U827^2)+(('CAFCO 400 '!$L$11*(J827^3)+'CAFCO 400 '!$L$12*(J827^2)+'CAFCO 400 '!$L$13*J827+'CAFCO 400 '!$L$14)*U827)+('CAFCO 400 '!$L$15*LN(J827)+'CAFCO 400 '!$L$16)),0)+IF(AND(L827="Cafco 400",M827="Software Idiem",C827="IN",G827=3),((('CAFCO 400 '!$D$23*(J827^2)+'CAFCO 400 '!$D$24*(J827)+'CAFCO 400 '!$D$25)*U827^2)+(('CAFCO 400 '!$D$26*(J827^2)+'CAFCO 400 '!$D$27*J827+'CAFCO 400 '!$D$28)*U827)+('CAFCO 400 '!$D$29*(J827^2)+'CAFCO 400 '!$D$30*J827+'CAFCO 400 '!$D$31)),0),0)+IF(AND(L827="Cafco 300",J827&gt;=95,J827&lt;=240,C827="Cj",I827=90),VLOOKUP(T827,'CAFCO 300 IDIEM TABLAS'!$B$4:$D$23,2,FALSE),0)+IF(AND(L827="Cafco 300",J827&gt;=95,J827&lt;=240,C827="Cj",I827=120),VLOOKUP(T827,'CAFCO 300 IDIEM TABLAS'!$B$4:$D$23,3,FALSE),0)+IF(AND(L827="Cafco 300",J827&gt;=95,J827&lt;=400,G827=3,C827="IN",I827=90),VLOOKUP(T827,'CAFCO 300 IDIEM TABLAS'!$F$4:$H$35,2,FALSE),0)+IF(AND(L827="Cafco 300",J827&gt;=95,J827&lt;=400,G827=3,C827="IN",I827=120),VLOOKUP(T827,'CAFCO 300 IDIEM TABLAS'!$F$4:$H$35,3,FALSE),0)+IF(AND(L827="Cafco 300",J827&gt;=95,J827&lt;=450,G827=4,C827="IN",I827=90),VLOOKUP(T827,'CAFCO 300 IDIEM TABLAS'!$J$4:$L$40,2,FALSE),0)+IF(AND(L827="Cafco 300",J827&gt;=95,J827&lt;=450,G827=4,C827="IN",I827=120),VLOOKUP(T827,'CAFCO 300 IDIEM TABLAS'!$J$4:$L$40,3,FALSE),0)+IF(AND(M827="Ensayo Idiem",L827="Cafco 400",C827="IN",G827=4,I827=90),VLOOKUP(T827,'CAFCO 400 ENSAYO'!$B$7:$D$43,2,FALSE),0)+IF(AND(M827="Ensayo Idiem",L827="Cafco 400",C827="IN",G827=4,I827=120),VLOOKUP(T827,'CAFCO 400 ENSAYO'!$B$7:$D$43,3,FALSE),0)</f>
        <v>0</v>
      </c>
      <c r="O827" s="96">
        <f t="shared" si="84"/>
        <v>0</v>
      </c>
      <c r="P827" s="132" t="str">
        <f t="shared" si="85"/>
        <v>N/A</v>
      </c>
      <c r="Q827" s="132" t="str">
        <f t="shared" si="86"/>
        <v>N/A</v>
      </c>
      <c r="R827" s="132" t="str">
        <f t="shared" si="87"/>
        <v>NO CERT.</v>
      </c>
      <c r="S827" s="132" t="e">
        <f t="shared" si="88"/>
        <v>#N/A</v>
      </c>
      <c r="T827" s="133" t="e">
        <f>+IF(J827=LOOKUP(J827,'CAFCO 300 IDIEM TABLAS'!$J$4:$J$40),'CALCULO MORTERO'!J827,MROUND('CALCULO MORTERO'!J827,10))</f>
        <v>#N/A</v>
      </c>
      <c r="U827" s="134">
        <f t="shared" si="89"/>
        <v>0</v>
      </c>
    </row>
    <row r="828" spans="1:21" x14ac:dyDescent="0.25">
      <c r="A828" s="118">
        <f>+CUBICACION!D822</f>
        <v>0</v>
      </c>
      <c r="B828" s="819">
        <f>+CUBICACION!E822</f>
        <v>0</v>
      </c>
      <c r="C828" s="675">
        <f>+CUBICACION!F822</f>
        <v>0</v>
      </c>
      <c r="D828" s="118"/>
      <c r="E828" s="118"/>
      <c r="F828" s="820"/>
      <c r="G828" s="675">
        <f>+CUBICACION!J822</f>
        <v>0</v>
      </c>
      <c r="H828" s="118"/>
      <c r="I828" s="821">
        <f>+CUBICACION!L822</f>
        <v>0</v>
      </c>
      <c r="J828" s="64">
        <f>+CUBICACION!M822</f>
        <v>0</v>
      </c>
      <c r="K828" s="822" t="str">
        <f>+CUBICACION!N822</f>
        <v/>
      </c>
      <c r="L828" s="118">
        <f>+CUBICACION!O822</f>
        <v>0</v>
      </c>
      <c r="M828" s="823">
        <f>+CUBICACION!P822</f>
        <v>0</v>
      </c>
      <c r="N828" s="902">
        <f>ROUND(IF(AND(L828="Blaze Shield II",M828="Software Idiem",C828="IN",G828=4),((('BLAZE SHIELD II'!$D$4*('CALCULO MORTERO'!I828^2)+'BLAZE SHIELD II'!$D$5*'CALCULO MORTERO'!I828+'BLAZE SHIELD II'!$D$6)*LN(J828))+('BLAZE SHIELD II'!$D$7*('CALCULO MORTERO'!I828^2)+'BLAZE SHIELD II'!$D$8*'CALCULO MORTERO'!I828+'BLAZE SHIELD II'!$D$9)),0)+IF(AND(L828="Blaze Shield II",M828="Software Idiem",C828="Cj"),((('BLAZE SHIELD II'!$H$4*('CALCULO MORTERO'!I828^2)+'BLAZE SHIELD II'!$H$5*'CALCULO MORTERO'!I828+'BLAZE SHIELD II'!$H$6)*LN(J828))+('BLAZE SHIELD II'!$H$7*('CALCULO MORTERO'!I828^2)+'BLAZE SHIELD II'!$H$8*'CALCULO MORTERO'!I828+'BLAZE SHIELD II'!$H$9)),0)+IF(AND(L828="Blaze Shield II",M828="Software Idiem",C828="C"),((('BLAZE SHIELD II'!$L$4*('CALCULO MORTERO'!I828^2)+'BLAZE SHIELD II'!$L$5*'CALCULO MORTERO'!I828+'BLAZE SHIELD II'!$L$6)*LN(J828))+('BLAZE SHIELD II'!$L$7*('CALCULO MORTERO'!I828^2)+'BLAZE SHIELD II'!$L$8*'CALCULO MORTERO'!I828+'BLAZE SHIELD II'!$L$9)),0)+IF(AND(L828="Blaze Shield II",M828="Software Idiem",C828="L"),((('BLAZE SHIELD II'!$L$4*('CALCULO MORTERO'!I828^2)+'BLAZE SHIELD II'!$L$5*'CALCULO MORTERO'!I828+'BLAZE SHIELD II'!$L$6)*LN(J828))+('BLAZE SHIELD II'!$L$7*('CALCULO MORTERO'!I828^2)+'BLAZE SHIELD II'!$L$8*'CALCULO MORTERO'!I828+'BLAZE SHIELD II'!$L$9)),0)+IF(AND(L828="Blaze Shield II",M828="Software Idiem",C828="IN",G828=3),((('BLAZE SHIELD II'!$H$14*('CALCULO MORTERO'!I828^2)+'BLAZE SHIELD II'!$H$15*'CALCULO MORTERO'!I828+'BLAZE SHIELD II'!$H$16)*LN(J828))+('BLAZE SHIELD II'!$H$17*('CALCULO MORTERO'!I828^2)+'BLAZE SHIELD II'!$H$18*'CALCULO MORTERO'!I828+'BLAZE SHIELD II'!$H$19)),0),0)+ROUND(IF(AND(L828="Cafco 400",M828="Software Idiem",C828="IN",G828=4),((('CAFCO 400 '!$H$7*(J828^4)+'CAFCO 400 '!$H$8*(J828^3)+'CAFCO 400 '!$H$9*(J828^2)+'CAFCO 400 '!$H$10*J828+'CAFCO 400 '!$H$11)*U828^2)+(('CAFCO 400 '!$H$12*(J828^3)+'CAFCO 400 '!$H$13*(J828^2)+'CAFCO 400 '!$H$14*J828+'CAFCO 400 '!$H$15)*U828)+('CAFCO 400 '!$H$16*(J828^2)+'CAFCO 400 '!$H$17*J828+'CAFCO 400 '!$H$18)),0)+IF(AND(L828="Cafco 400",M828="Software Idiem",C828="Cj"),(((('CAFCO 400 '!$D$7*LN(J828)+'CAFCO 400 '!$D$8)*U828^2)+(('CAFCO 400 '!$D$9*LN(J828)+'CAFCO 400 '!$D$10)*U828)+('CAFCO 400 '!$D$11*LN(J828)+'CAFCO 400 '!$D$12))),0)+IF(AND(L828="Cafco 400",M828="Software Idiem",C828="C"),((('CAFCO 400 '!$L$7*(J828^3)+'CAFCO 400 '!$L$8*(J828^2)+'CAFCO 400 '!$L$9*J828+'CAFCO 400 '!$L$10)*U828^2)+(('CAFCO 400 '!$L$11*(J828^3)+'CAFCO 400 '!$L$12*(J828^2)+'CAFCO 400 '!$L$13*J828+'CAFCO 400 '!$L$14)*U828)+('CAFCO 400 '!$L$15*LN(J828)+'CAFCO 400 '!$L$16)),0)+IF(AND(L828="Cafco 400",M828="Software Idiem",C828="L"),((('CAFCO 400 '!$L$7*(J828^3)+'CAFCO 400 '!$L$8*(J828^2)+'CAFCO 400 '!$L$9*J828+'CAFCO 400 '!$L$10)*U828^2)+(('CAFCO 400 '!$L$11*(J828^3)+'CAFCO 400 '!$L$12*(J828^2)+'CAFCO 400 '!$L$13*J828+'CAFCO 400 '!$L$14)*U828)+('CAFCO 400 '!$L$15*LN(J828)+'CAFCO 400 '!$L$16)),0)+IF(AND(L828="Cafco 400",M828="Software Idiem",C828="IN",G828=3),((('CAFCO 400 '!$D$23*(J828^2)+'CAFCO 400 '!$D$24*(J828)+'CAFCO 400 '!$D$25)*U828^2)+(('CAFCO 400 '!$D$26*(J828^2)+'CAFCO 400 '!$D$27*J828+'CAFCO 400 '!$D$28)*U828)+('CAFCO 400 '!$D$29*(J828^2)+'CAFCO 400 '!$D$30*J828+'CAFCO 400 '!$D$31)),0),0)+IF(AND(L828="Cafco 300",J828&gt;=95,J828&lt;=240,C828="Cj",I828=90),VLOOKUP(T828,'CAFCO 300 IDIEM TABLAS'!$B$4:$D$23,2,FALSE),0)+IF(AND(L828="Cafco 300",J828&gt;=95,J828&lt;=240,C828="Cj",I828=120),VLOOKUP(T828,'CAFCO 300 IDIEM TABLAS'!$B$4:$D$23,3,FALSE),0)+IF(AND(L828="Cafco 300",J828&gt;=95,J828&lt;=400,G828=3,C828="IN",I828=90),VLOOKUP(T828,'CAFCO 300 IDIEM TABLAS'!$F$4:$H$35,2,FALSE),0)+IF(AND(L828="Cafco 300",J828&gt;=95,J828&lt;=400,G828=3,C828="IN",I828=120),VLOOKUP(T828,'CAFCO 300 IDIEM TABLAS'!$F$4:$H$35,3,FALSE),0)+IF(AND(L828="Cafco 300",J828&gt;=95,J828&lt;=450,G828=4,C828="IN",I828=90),VLOOKUP(T828,'CAFCO 300 IDIEM TABLAS'!$J$4:$L$40,2,FALSE),0)+IF(AND(L828="Cafco 300",J828&gt;=95,J828&lt;=450,G828=4,C828="IN",I828=120),VLOOKUP(T828,'CAFCO 300 IDIEM TABLAS'!$J$4:$L$40,3,FALSE),0)+IF(AND(M828="Ensayo Idiem",L828="Cafco 400",C828="IN",G828=4,I828=90),VLOOKUP(T828,'CAFCO 400 ENSAYO'!$B$7:$D$43,2,FALSE),0)+IF(AND(M828="Ensayo Idiem",L828="Cafco 400",C828="IN",G828=4,I828=120),VLOOKUP(T828,'CAFCO 400 ENSAYO'!$B$7:$D$43,3,FALSE),0)</f>
        <v>0</v>
      </c>
      <c r="O828" s="96">
        <f t="shared" si="84"/>
        <v>0</v>
      </c>
      <c r="P828" s="95" t="str">
        <f t="shared" si="85"/>
        <v>N/A</v>
      </c>
      <c r="Q828" s="95" t="str">
        <f t="shared" si="86"/>
        <v>N/A</v>
      </c>
      <c r="R828" s="95" t="str">
        <f t="shared" si="87"/>
        <v>NO CERT.</v>
      </c>
      <c r="S828" s="95" t="e">
        <f t="shared" si="88"/>
        <v>#N/A</v>
      </c>
      <c r="T828" s="119" t="e">
        <f>+IF(J828=LOOKUP(J828,'CAFCO 300 IDIEM TABLAS'!$J$4:$J$40),'CALCULO MORTERO'!J828,MROUND('CALCULO MORTERO'!J828,10))</f>
        <v>#N/A</v>
      </c>
      <c r="U828" s="118">
        <f t="shared" si="89"/>
        <v>0</v>
      </c>
    </row>
    <row r="829" spans="1:21" x14ac:dyDescent="0.25">
      <c r="A829" s="118">
        <f>+CUBICACION!D823</f>
        <v>0</v>
      </c>
      <c r="B829" s="819">
        <f>+CUBICACION!E823</f>
        <v>0</v>
      </c>
      <c r="C829" s="675">
        <f>+CUBICACION!F823</f>
        <v>0</v>
      </c>
      <c r="D829" s="118"/>
      <c r="E829" s="118"/>
      <c r="F829" s="820"/>
      <c r="G829" s="675">
        <f>+CUBICACION!J823</f>
        <v>0</v>
      </c>
      <c r="H829" s="118"/>
      <c r="I829" s="821">
        <f>+CUBICACION!L823</f>
        <v>0</v>
      </c>
      <c r="J829" s="64">
        <f>+CUBICACION!M823</f>
        <v>0</v>
      </c>
      <c r="K829" s="822" t="str">
        <f>+CUBICACION!N823</f>
        <v/>
      </c>
      <c r="L829" s="118">
        <f>+CUBICACION!O823</f>
        <v>0</v>
      </c>
      <c r="M829" s="823">
        <f>+CUBICACION!P823</f>
        <v>0</v>
      </c>
      <c r="N829" s="902">
        <f>ROUND(IF(AND(L829="Blaze Shield II",M829="Software Idiem",C829="IN",G829=4),((('BLAZE SHIELD II'!$D$4*('CALCULO MORTERO'!I829^2)+'BLAZE SHIELD II'!$D$5*'CALCULO MORTERO'!I829+'BLAZE SHIELD II'!$D$6)*LN(J829))+('BLAZE SHIELD II'!$D$7*('CALCULO MORTERO'!I829^2)+'BLAZE SHIELD II'!$D$8*'CALCULO MORTERO'!I829+'BLAZE SHIELD II'!$D$9)),0)+IF(AND(L829="Blaze Shield II",M829="Software Idiem",C829="Cj"),((('BLAZE SHIELD II'!$H$4*('CALCULO MORTERO'!I829^2)+'BLAZE SHIELD II'!$H$5*'CALCULO MORTERO'!I829+'BLAZE SHIELD II'!$H$6)*LN(J829))+('BLAZE SHIELD II'!$H$7*('CALCULO MORTERO'!I829^2)+'BLAZE SHIELD II'!$H$8*'CALCULO MORTERO'!I829+'BLAZE SHIELD II'!$H$9)),0)+IF(AND(L829="Blaze Shield II",M829="Software Idiem",C829="C"),((('BLAZE SHIELD II'!$L$4*('CALCULO MORTERO'!I829^2)+'BLAZE SHIELD II'!$L$5*'CALCULO MORTERO'!I829+'BLAZE SHIELD II'!$L$6)*LN(J829))+('BLAZE SHIELD II'!$L$7*('CALCULO MORTERO'!I829^2)+'BLAZE SHIELD II'!$L$8*'CALCULO MORTERO'!I829+'BLAZE SHIELD II'!$L$9)),0)+IF(AND(L829="Blaze Shield II",M829="Software Idiem",C829="L"),((('BLAZE SHIELD II'!$L$4*('CALCULO MORTERO'!I829^2)+'BLAZE SHIELD II'!$L$5*'CALCULO MORTERO'!I829+'BLAZE SHIELD II'!$L$6)*LN(J829))+('BLAZE SHIELD II'!$L$7*('CALCULO MORTERO'!I829^2)+'BLAZE SHIELD II'!$L$8*'CALCULO MORTERO'!I829+'BLAZE SHIELD II'!$L$9)),0)+IF(AND(L829="Blaze Shield II",M829="Software Idiem",C829="IN",G829=3),((('BLAZE SHIELD II'!$H$14*('CALCULO MORTERO'!I829^2)+'BLAZE SHIELD II'!$H$15*'CALCULO MORTERO'!I829+'BLAZE SHIELD II'!$H$16)*LN(J829))+('BLAZE SHIELD II'!$H$17*('CALCULO MORTERO'!I829^2)+'BLAZE SHIELD II'!$H$18*'CALCULO MORTERO'!I829+'BLAZE SHIELD II'!$H$19)),0),0)+ROUND(IF(AND(L829="Cafco 400",M829="Software Idiem",C829="IN",G829=4),((('CAFCO 400 '!$H$7*(J829^4)+'CAFCO 400 '!$H$8*(J829^3)+'CAFCO 400 '!$H$9*(J829^2)+'CAFCO 400 '!$H$10*J829+'CAFCO 400 '!$H$11)*U829^2)+(('CAFCO 400 '!$H$12*(J829^3)+'CAFCO 400 '!$H$13*(J829^2)+'CAFCO 400 '!$H$14*J829+'CAFCO 400 '!$H$15)*U829)+('CAFCO 400 '!$H$16*(J829^2)+'CAFCO 400 '!$H$17*J829+'CAFCO 400 '!$H$18)),0)+IF(AND(L829="Cafco 400",M829="Software Idiem",C829="Cj"),(((('CAFCO 400 '!$D$7*LN(J829)+'CAFCO 400 '!$D$8)*U829^2)+(('CAFCO 400 '!$D$9*LN(J829)+'CAFCO 400 '!$D$10)*U829)+('CAFCO 400 '!$D$11*LN(J829)+'CAFCO 400 '!$D$12))),0)+IF(AND(L829="Cafco 400",M829="Software Idiem",C829="C"),((('CAFCO 400 '!$L$7*(J829^3)+'CAFCO 400 '!$L$8*(J829^2)+'CAFCO 400 '!$L$9*J829+'CAFCO 400 '!$L$10)*U829^2)+(('CAFCO 400 '!$L$11*(J829^3)+'CAFCO 400 '!$L$12*(J829^2)+'CAFCO 400 '!$L$13*J829+'CAFCO 400 '!$L$14)*U829)+('CAFCO 400 '!$L$15*LN(J829)+'CAFCO 400 '!$L$16)),0)+IF(AND(L829="Cafco 400",M829="Software Idiem",C829="L"),((('CAFCO 400 '!$L$7*(J829^3)+'CAFCO 400 '!$L$8*(J829^2)+'CAFCO 400 '!$L$9*J829+'CAFCO 400 '!$L$10)*U829^2)+(('CAFCO 400 '!$L$11*(J829^3)+'CAFCO 400 '!$L$12*(J829^2)+'CAFCO 400 '!$L$13*J829+'CAFCO 400 '!$L$14)*U829)+('CAFCO 400 '!$L$15*LN(J829)+'CAFCO 400 '!$L$16)),0)+IF(AND(L829="Cafco 400",M829="Software Idiem",C829="IN",G829=3),((('CAFCO 400 '!$D$23*(J829^2)+'CAFCO 400 '!$D$24*(J829)+'CAFCO 400 '!$D$25)*U829^2)+(('CAFCO 400 '!$D$26*(J829^2)+'CAFCO 400 '!$D$27*J829+'CAFCO 400 '!$D$28)*U829)+('CAFCO 400 '!$D$29*(J829^2)+'CAFCO 400 '!$D$30*J829+'CAFCO 400 '!$D$31)),0),0)+IF(AND(L829="Cafco 300",J829&gt;=95,J829&lt;=240,C829="Cj",I829=90),VLOOKUP(T829,'CAFCO 300 IDIEM TABLAS'!$B$4:$D$23,2,FALSE),0)+IF(AND(L829="Cafco 300",J829&gt;=95,J829&lt;=240,C829="Cj",I829=120),VLOOKUP(T829,'CAFCO 300 IDIEM TABLAS'!$B$4:$D$23,3,FALSE),0)+IF(AND(L829="Cafco 300",J829&gt;=95,J829&lt;=400,G829=3,C829="IN",I829=90),VLOOKUP(T829,'CAFCO 300 IDIEM TABLAS'!$F$4:$H$35,2,FALSE),0)+IF(AND(L829="Cafco 300",J829&gt;=95,J829&lt;=400,G829=3,C829="IN",I829=120),VLOOKUP(T829,'CAFCO 300 IDIEM TABLAS'!$F$4:$H$35,3,FALSE),0)+IF(AND(L829="Cafco 300",J829&gt;=95,J829&lt;=450,G829=4,C829="IN",I829=90),VLOOKUP(T829,'CAFCO 300 IDIEM TABLAS'!$J$4:$L$40,2,FALSE),0)+IF(AND(L829="Cafco 300",J829&gt;=95,J829&lt;=450,G829=4,C829="IN",I829=120),VLOOKUP(T829,'CAFCO 300 IDIEM TABLAS'!$J$4:$L$40,3,FALSE),0)+IF(AND(M829="Ensayo Idiem",L829="Cafco 400",C829="IN",G829=4,I829=90),VLOOKUP(T829,'CAFCO 400 ENSAYO'!$B$7:$D$43,2,FALSE),0)+IF(AND(M829="Ensayo Idiem",L829="Cafco 400",C829="IN",G829=4,I829=120),VLOOKUP(T829,'CAFCO 400 ENSAYO'!$B$7:$D$43,3,FALSE),0)</f>
        <v>0</v>
      </c>
      <c r="O829" s="96">
        <f t="shared" si="84"/>
        <v>0</v>
      </c>
      <c r="P829" s="132" t="str">
        <f t="shared" si="85"/>
        <v>N/A</v>
      </c>
      <c r="Q829" s="132" t="str">
        <f t="shared" si="86"/>
        <v>N/A</v>
      </c>
      <c r="R829" s="132" t="str">
        <f t="shared" si="87"/>
        <v>NO CERT.</v>
      </c>
      <c r="S829" s="132" t="e">
        <f t="shared" si="88"/>
        <v>#N/A</v>
      </c>
      <c r="T829" s="133" t="e">
        <f>+IF(J829=LOOKUP(J829,'CAFCO 300 IDIEM TABLAS'!$J$4:$J$40),'CALCULO MORTERO'!J829,MROUND('CALCULO MORTERO'!J829,10))</f>
        <v>#N/A</v>
      </c>
      <c r="U829" s="134">
        <f t="shared" si="89"/>
        <v>0</v>
      </c>
    </row>
    <row r="830" spans="1:21" x14ac:dyDescent="0.25">
      <c r="A830" s="118">
        <f>+CUBICACION!D824</f>
        <v>0</v>
      </c>
      <c r="B830" s="819">
        <f>+CUBICACION!E824</f>
        <v>0</v>
      </c>
      <c r="C830" s="675">
        <f>+CUBICACION!F824</f>
        <v>0</v>
      </c>
      <c r="D830" s="118"/>
      <c r="E830" s="118"/>
      <c r="F830" s="820"/>
      <c r="G830" s="675">
        <f>+CUBICACION!J824</f>
        <v>0</v>
      </c>
      <c r="H830" s="118"/>
      <c r="I830" s="821">
        <f>+CUBICACION!L824</f>
        <v>0</v>
      </c>
      <c r="J830" s="64">
        <f>+CUBICACION!M824</f>
        <v>0</v>
      </c>
      <c r="K830" s="822" t="str">
        <f>+CUBICACION!N824</f>
        <v/>
      </c>
      <c r="L830" s="118">
        <f>+CUBICACION!O824</f>
        <v>0</v>
      </c>
      <c r="M830" s="823">
        <f>+CUBICACION!P824</f>
        <v>0</v>
      </c>
      <c r="N830" s="902">
        <f>ROUND(IF(AND(L830="Blaze Shield II",M830="Software Idiem",C830="IN",G830=4),((('BLAZE SHIELD II'!$D$4*('CALCULO MORTERO'!I830^2)+'BLAZE SHIELD II'!$D$5*'CALCULO MORTERO'!I830+'BLAZE SHIELD II'!$D$6)*LN(J830))+('BLAZE SHIELD II'!$D$7*('CALCULO MORTERO'!I830^2)+'BLAZE SHIELD II'!$D$8*'CALCULO MORTERO'!I830+'BLAZE SHIELD II'!$D$9)),0)+IF(AND(L830="Blaze Shield II",M830="Software Idiem",C830="Cj"),((('BLAZE SHIELD II'!$H$4*('CALCULO MORTERO'!I830^2)+'BLAZE SHIELD II'!$H$5*'CALCULO MORTERO'!I830+'BLAZE SHIELD II'!$H$6)*LN(J830))+('BLAZE SHIELD II'!$H$7*('CALCULO MORTERO'!I830^2)+'BLAZE SHIELD II'!$H$8*'CALCULO MORTERO'!I830+'BLAZE SHIELD II'!$H$9)),0)+IF(AND(L830="Blaze Shield II",M830="Software Idiem",C830="C"),((('BLAZE SHIELD II'!$L$4*('CALCULO MORTERO'!I830^2)+'BLAZE SHIELD II'!$L$5*'CALCULO MORTERO'!I830+'BLAZE SHIELD II'!$L$6)*LN(J830))+('BLAZE SHIELD II'!$L$7*('CALCULO MORTERO'!I830^2)+'BLAZE SHIELD II'!$L$8*'CALCULO MORTERO'!I830+'BLAZE SHIELD II'!$L$9)),0)+IF(AND(L830="Blaze Shield II",M830="Software Idiem",C830="L"),((('BLAZE SHIELD II'!$L$4*('CALCULO MORTERO'!I830^2)+'BLAZE SHIELD II'!$L$5*'CALCULO MORTERO'!I830+'BLAZE SHIELD II'!$L$6)*LN(J830))+('BLAZE SHIELD II'!$L$7*('CALCULO MORTERO'!I830^2)+'BLAZE SHIELD II'!$L$8*'CALCULO MORTERO'!I830+'BLAZE SHIELD II'!$L$9)),0)+IF(AND(L830="Blaze Shield II",M830="Software Idiem",C830="IN",G830=3),((('BLAZE SHIELD II'!$H$14*('CALCULO MORTERO'!I830^2)+'BLAZE SHIELD II'!$H$15*'CALCULO MORTERO'!I830+'BLAZE SHIELD II'!$H$16)*LN(J830))+('BLAZE SHIELD II'!$H$17*('CALCULO MORTERO'!I830^2)+'BLAZE SHIELD II'!$H$18*'CALCULO MORTERO'!I830+'BLAZE SHIELD II'!$H$19)),0),0)+ROUND(IF(AND(L830="Cafco 400",M830="Software Idiem",C830="IN",G830=4),((('CAFCO 400 '!$H$7*(J830^4)+'CAFCO 400 '!$H$8*(J830^3)+'CAFCO 400 '!$H$9*(J830^2)+'CAFCO 400 '!$H$10*J830+'CAFCO 400 '!$H$11)*U830^2)+(('CAFCO 400 '!$H$12*(J830^3)+'CAFCO 400 '!$H$13*(J830^2)+'CAFCO 400 '!$H$14*J830+'CAFCO 400 '!$H$15)*U830)+('CAFCO 400 '!$H$16*(J830^2)+'CAFCO 400 '!$H$17*J830+'CAFCO 400 '!$H$18)),0)+IF(AND(L830="Cafco 400",M830="Software Idiem",C830="Cj"),(((('CAFCO 400 '!$D$7*LN(J830)+'CAFCO 400 '!$D$8)*U830^2)+(('CAFCO 400 '!$D$9*LN(J830)+'CAFCO 400 '!$D$10)*U830)+('CAFCO 400 '!$D$11*LN(J830)+'CAFCO 400 '!$D$12))),0)+IF(AND(L830="Cafco 400",M830="Software Idiem",C830="C"),((('CAFCO 400 '!$L$7*(J830^3)+'CAFCO 400 '!$L$8*(J830^2)+'CAFCO 400 '!$L$9*J830+'CAFCO 400 '!$L$10)*U830^2)+(('CAFCO 400 '!$L$11*(J830^3)+'CAFCO 400 '!$L$12*(J830^2)+'CAFCO 400 '!$L$13*J830+'CAFCO 400 '!$L$14)*U830)+('CAFCO 400 '!$L$15*LN(J830)+'CAFCO 400 '!$L$16)),0)+IF(AND(L830="Cafco 400",M830="Software Idiem",C830="L"),((('CAFCO 400 '!$L$7*(J830^3)+'CAFCO 400 '!$L$8*(J830^2)+'CAFCO 400 '!$L$9*J830+'CAFCO 400 '!$L$10)*U830^2)+(('CAFCO 400 '!$L$11*(J830^3)+'CAFCO 400 '!$L$12*(J830^2)+'CAFCO 400 '!$L$13*J830+'CAFCO 400 '!$L$14)*U830)+('CAFCO 400 '!$L$15*LN(J830)+'CAFCO 400 '!$L$16)),0)+IF(AND(L830="Cafco 400",M830="Software Idiem",C830="IN",G830=3),((('CAFCO 400 '!$D$23*(J830^2)+'CAFCO 400 '!$D$24*(J830)+'CAFCO 400 '!$D$25)*U830^2)+(('CAFCO 400 '!$D$26*(J830^2)+'CAFCO 400 '!$D$27*J830+'CAFCO 400 '!$D$28)*U830)+('CAFCO 400 '!$D$29*(J830^2)+'CAFCO 400 '!$D$30*J830+'CAFCO 400 '!$D$31)),0),0)+IF(AND(L830="Cafco 300",J830&gt;=95,J830&lt;=240,C830="Cj",I830=90),VLOOKUP(T830,'CAFCO 300 IDIEM TABLAS'!$B$4:$D$23,2,FALSE),0)+IF(AND(L830="Cafco 300",J830&gt;=95,J830&lt;=240,C830="Cj",I830=120),VLOOKUP(T830,'CAFCO 300 IDIEM TABLAS'!$B$4:$D$23,3,FALSE),0)+IF(AND(L830="Cafco 300",J830&gt;=95,J830&lt;=400,G830=3,C830="IN",I830=90),VLOOKUP(T830,'CAFCO 300 IDIEM TABLAS'!$F$4:$H$35,2,FALSE),0)+IF(AND(L830="Cafco 300",J830&gt;=95,J830&lt;=400,G830=3,C830="IN",I830=120),VLOOKUP(T830,'CAFCO 300 IDIEM TABLAS'!$F$4:$H$35,3,FALSE),0)+IF(AND(L830="Cafco 300",J830&gt;=95,J830&lt;=450,G830=4,C830="IN",I830=90),VLOOKUP(T830,'CAFCO 300 IDIEM TABLAS'!$J$4:$L$40,2,FALSE),0)+IF(AND(L830="Cafco 300",J830&gt;=95,J830&lt;=450,G830=4,C830="IN",I830=120),VLOOKUP(T830,'CAFCO 300 IDIEM TABLAS'!$J$4:$L$40,3,FALSE),0)+IF(AND(M830="Ensayo Idiem",L830="Cafco 400",C830="IN",G830=4,I830=90),VLOOKUP(T830,'CAFCO 400 ENSAYO'!$B$7:$D$43,2,FALSE),0)+IF(AND(M830="Ensayo Idiem",L830="Cafco 400",C830="IN",G830=4,I830=120),VLOOKUP(T830,'CAFCO 400 ENSAYO'!$B$7:$D$43,3,FALSE),0)</f>
        <v>0</v>
      </c>
      <c r="O830" s="96">
        <f t="shared" si="84"/>
        <v>0</v>
      </c>
      <c r="P830" s="95" t="str">
        <f t="shared" si="85"/>
        <v>N/A</v>
      </c>
      <c r="Q830" s="95" t="str">
        <f t="shared" si="86"/>
        <v>N/A</v>
      </c>
      <c r="R830" s="95" t="str">
        <f t="shared" si="87"/>
        <v>NO CERT.</v>
      </c>
      <c r="S830" s="95" t="e">
        <f t="shared" si="88"/>
        <v>#N/A</v>
      </c>
      <c r="T830" s="119" t="e">
        <f>+IF(J830=LOOKUP(J830,'CAFCO 300 IDIEM TABLAS'!$J$4:$J$40),'CALCULO MORTERO'!J830,MROUND('CALCULO MORTERO'!J830,10))</f>
        <v>#N/A</v>
      </c>
      <c r="U830" s="118">
        <f t="shared" si="89"/>
        <v>0</v>
      </c>
    </row>
    <row r="831" spans="1:21" x14ac:dyDescent="0.25">
      <c r="A831" s="118">
        <f>+CUBICACION!D825</f>
        <v>0</v>
      </c>
      <c r="B831" s="819">
        <f>+CUBICACION!E825</f>
        <v>0</v>
      </c>
      <c r="C831" s="675">
        <f>+CUBICACION!F825</f>
        <v>0</v>
      </c>
      <c r="D831" s="118"/>
      <c r="E831" s="118"/>
      <c r="F831" s="820"/>
      <c r="G831" s="675">
        <f>+CUBICACION!J825</f>
        <v>0</v>
      </c>
      <c r="H831" s="118"/>
      <c r="I831" s="821">
        <f>+CUBICACION!L825</f>
        <v>0</v>
      </c>
      <c r="J831" s="64">
        <f>+CUBICACION!M825</f>
        <v>0</v>
      </c>
      <c r="K831" s="822" t="str">
        <f>+CUBICACION!N825</f>
        <v/>
      </c>
      <c r="L831" s="118">
        <f>+CUBICACION!O825</f>
        <v>0</v>
      </c>
      <c r="M831" s="823">
        <f>+CUBICACION!P825</f>
        <v>0</v>
      </c>
      <c r="N831" s="902">
        <f>ROUND(IF(AND(L831="Blaze Shield II",M831="Software Idiem",C831="IN",G831=4),((('BLAZE SHIELD II'!$D$4*('CALCULO MORTERO'!I831^2)+'BLAZE SHIELD II'!$D$5*'CALCULO MORTERO'!I831+'BLAZE SHIELD II'!$D$6)*LN(J831))+('BLAZE SHIELD II'!$D$7*('CALCULO MORTERO'!I831^2)+'BLAZE SHIELD II'!$D$8*'CALCULO MORTERO'!I831+'BLAZE SHIELD II'!$D$9)),0)+IF(AND(L831="Blaze Shield II",M831="Software Idiem",C831="Cj"),((('BLAZE SHIELD II'!$H$4*('CALCULO MORTERO'!I831^2)+'BLAZE SHIELD II'!$H$5*'CALCULO MORTERO'!I831+'BLAZE SHIELD II'!$H$6)*LN(J831))+('BLAZE SHIELD II'!$H$7*('CALCULO MORTERO'!I831^2)+'BLAZE SHIELD II'!$H$8*'CALCULO MORTERO'!I831+'BLAZE SHIELD II'!$H$9)),0)+IF(AND(L831="Blaze Shield II",M831="Software Idiem",C831="C"),((('BLAZE SHIELD II'!$L$4*('CALCULO MORTERO'!I831^2)+'BLAZE SHIELD II'!$L$5*'CALCULO MORTERO'!I831+'BLAZE SHIELD II'!$L$6)*LN(J831))+('BLAZE SHIELD II'!$L$7*('CALCULO MORTERO'!I831^2)+'BLAZE SHIELD II'!$L$8*'CALCULO MORTERO'!I831+'BLAZE SHIELD II'!$L$9)),0)+IF(AND(L831="Blaze Shield II",M831="Software Idiem",C831="L"),((('BLAZE SHIELD II'!$L$4*('CALCULO MORTERO'!I831^2)+'BLAZE SHIELD II'!$L$5*'CALCULO MORTERO'!I831+'BLAZE SHIELD II'!$L$6)*LN(J831))+('BLAZE SHIELD II'!$L$7*('CALCULO MORTERO'!I831^2)+'BLAZE SHIELD II'!$L$8*'CALCULO MORTERO'!I831+'BLAZE SHIELD II'!$L$9)),0)+IF(AND(L831="Blaze Shield II",M831="Software Idiem",C831="IN",G831=3),((('BLAZE SHIELD II'!$H$14*('CALCULO MORTERO'!I831^2)+'BLAZE SHIELD II'!$H$15*'CALCULO MORTERO'!I831+'BLAZE SHIELD II'!$H$16)*LN(J831))+('BLAZE SHIELD II'!$H$17*('CALCULO MORTERO'!I831^2)+'BLAZE SHIELD II'!$H$18*'CALCULO MORTERO'!I831+'BLAZE SHIELD II'!$H$19)),0),0)+ROUND(IF(AND(L831="Cafco 400",M831="Software Idiem",C831="IN",G831=4),((('CAFCO 400 '!$H$7*(J831^4)+'CAFCO 400 '!$H$8*(J831^3)+'CAFCO 400 '!$H$9*(J831^2)+'CAFCO 400 '!$H$10*J831+'CAFCO 400 '!$H$11)*U831^2)+(('CAFCO 400 '!$H$12*(J831^3)+'CAFCO 400 '!$H$13*(J831^2)+'CAFCO 400 '!$H$14*J831+'CAFCO 400 '!$H$15)*U831)+('CAFCO 400 '!$H$16*(J831^2)+'CAFCO 400 '!$H$17*J831+'CAFCO 400 '!$H$18)),0)+IF(AND(L831="Cafco 400",M831="Software Idiem",C831="Cj"),(((('CAFCO 400 '!$D$7*LN(J831)+'CAFCO 400 '!$D$8)*U831^2)+(('CAFCO 400 '!$D$9*LN(J831)+'CAFCO 400 '!$D$10)*U831)+('CAFCO 400 '!$D$11*LN(J831)+'CAFCO 400 '!$D$12))),0)+IF(AND(L831="Cafco 400",M831="Software Idiem",C831="C"),((('CAFCO 400 '!$L$7*(J831^3)+'CAFCO 400 '!$L$8*(J831^2)+'CAFCO 400 '!$L$9*J831+'CAFCO 400 '!$L$10)*U831^2)+(('CAFCO 400 '!$L$11*(J831^3)+'CAFCO 400 '!$L$12*(J831^2)+'CAFCO 400 '!$L$13*J831+'CAFCO 400 '!$L$14)*U831)+('CAFCO 400 '!$L$15*LN(J831)+'CAFCO 400 '!$L$16)),0)+IF(AND(L831="Cafco 400",M831="Software Idiem",C831="L"),((('CAFCO 400 '!$L$7*(J831^3)+'CAFCO 400 '!$L$8*(J831^2)+'CAFCO 400 '!$L$9*J831+'CAFCO 400 '!$L$10)*U831^2)+(('CAFCO 400 '!$L$11*(J831^3)+'CAFCO 400 '!$L$12*(J831^2)+'CAFCO 400 '!$L$13*J831+'CAFCO 400 '!$L$14)*U831)+('CAFCO 400 '!$L$15*LN(J831)+'CAFCO 400 '!$L$16)),0)+IF(AND(L831="Cafco 400",M831="Software Idiem",C831="IN",G831=3),((('CAFCO 400 '!$D$23*(J831^2)+'CAFCO 400 '!$D$24*(J831)+'CAFCO 400 '!$D$25)*U831^2)+(('CAFCO 400 '!$D$26*(J831^2)+'CAFCO 400 '!$D$27*J831+'CAFCO 400 '!$D$28)*U831)+('CAFCO 400 '!$D$29*(J831^2)+'CAFCO 400 '!$D$30*J831+'CAFCO 400 '!$D$31)),0),0)+IF(AND(L831="Cafco 300",J831&gt;=95,J831&lt;=240,C831="Cj",I831=90),VLOOKUP(T831,'CAFCO 300 IDIEM TABLAS'!$B$4:$D$23,2,FALSE),0)+IF(AND(L831="Cafco 300",J831&gt;=95,J831&lt;=240,C831="Cj",I831=120),VLOOKUP(T831,'CAFCO 300 IDIEM TABLAS'!$B$4:$D$23,3,FALSE),0)+IF(AND(L831="Cafco 300",J831&gt;=95,J831&lt;=400,G831=3,C831="IN",I831=90),VLOOKUP(T831,'CAFCO 300 IDIEM TABLAS'!$F$4:$H$35,2,FALSE),0)+IF(AND(L831="Cafco 300",J831&gt;=95,J831&lt;=400,G831=3,C831="IN",I831=120),VLOOKUP(T831,'CAFCO 300 IDIEM TABLAS'!$F$4:$H$35,3,FALSE),0)+IF(AND(L831="Cafco 300",J831&gt;=95,J831&lt;=450,G831=4,C831="IN",I831=90),VLOOKUP(T831,'CAFCO 300 IDIEM TABLAS'!$J$4:$L$40,2,FALSE),0)+IF(AND(L831="Cafco 300",J831&gt;=95,J831&lt;=450,G831=4,C831="IN",I831=120),VLOOKUP(T831,'CAFCO 300 IDIEM TABLAS'!$J$4:$L$40,3,FALSE),0)+IF(AND(M831="Ensayo Idiem",L831="Cafco 400",C831="IN",G831=4,I831=90),VLOOKUP(T831,'CAFCO 400 ENSAYO'!$B$7:$D$43,2,FALSE),0)+IF(AND(M831="Ensayo Idiem",L831="Cafco 400",C831="IN",G831=4,I831=120),VLOOKUP(T831,'CAFCO 400 ENSAYO'!$B$7:$D$43,3,FALSE),0)</f>
        <v>0</v>
      </c>
      <c r="O831" s="96">
        <f t="shared" si="84"/>
        <v>0</v>
      </c>
      <c r="P831" s="132" t="str">
        <f t="shared" si="85"/>
        <v>N/A</v>
      </c>
      <c r="Q831" s="132" t="str">
        <f t="shared" si="86"/>
        <v>N/A</v>
      </c>
      <c r="R831" s="132" t="str">
        <f t="shared" si="87"/>
        <v>NO CERT.</v>
      </c>
      <c r="S831" s="132" t="e">
        <f t="shared" si="88"/>
        <v>#N/A</v>
      </c>
      <c r="T831" s="133" t="e">
        <f>+IF(J831=LOOKUP(J831,'CAFCO 300 IDIEM TABLAS'!$J$4:$J$40),'CALCULO MORTERO'!J831,MROUND('CALCULO MORTERO'!J831,10))</f>
        <v>#N/A</v>
      </c>
      <c r="U831" s="134">
        <f t="shared" si="89"/>
        <v>0</v>
      </c>
    </row>
    <row r="832" spans="1:21" x14ac:dyDescent="0.25">
      <c r="A832" s="118">
        <f>+CUBICACION!D826</f>
        <v>0</v>
      </c>
      <c r="B832" s="819">
        <f>+CUBICACION!E826</f>
        <v>0</v>
      </c>
      <c r="C832" s="675">
        <f>+CUBICACION!F826</f>
        <v>0</v>
      </c>
      <c r="D832" s="118"/>
      <c r="E832" s="118"/>
      <c r="F832" s="820"/>
      <c r="G832" s="675">
        <f>+CUBICACION!J826</f>
        <v>0</v>
      </c>
      <c r="H832" s="118"/>
      <c r="I832" s="821">
        <f>+CUBICACION!L826</f>
        <v>0</v>
      </c>
      <c r="J832" s="64">
        <f>+CUBICACION!M826</f>
        <v>0</v>
      </c>
      <c r="K832" s="822" t="str">
        <f>+CUBICACION!N826</f>
        <v/>
      </c>
      <c r="L832" s="118">
        <f>+CUBICACION!O826</f>
        <v>0</v>
      </c>
      <c r="M832" s="823">
        <f>+CUBICACION!P826</f>
        <v>0</v>
      </c>
      <c r="N832" s="902">
        <f>ROUND(IF(AND(L832="Blaze Shield II",M832="Software Idiem",C832="IN",G832=4),((('BLAZE SHIELD II'!$D$4*('CALCULO MORTERO'!I832^2)+'BLAZE SHIELD II'!$D$5*'CALCULO MORTERO'!I832+'BLAZE SHIELD II'!$D$6)*LN(J832))+('BLAZE SHIELD II'!$D$7*('CALCULO MORTERO'!I832^2)+'BLAZE SHIELD II'!$D$8*'CALCULO MORTERO'!I832+'BLAZE SHIELD II'!$D$9)),0)+IF(AND(L832="Blaze Shield II",M832="Software Idiem",C832="Cj"),((('BLAZE SHIELD II'!$H$4*('CALCULO MORTERO'!I832^2)+'BLAZE SHIELD II'!$H$5*'CALCULO MORTERO'!I832+'BLAZE SHIELD II'!$H$6)*LN(J832))+('BLAZE SHIELD II'!$H$7*('CALCULO MORTERO'!I832^2)+'BLAZE SHIELD II'!$H$8*'CALCULO MORTERO'!I832+'BLAZE SHIELD II'!$H$9)),0)+IF(AND(L832="Blaze Shield II",M832="Software Idiem",C832="C"),((('BLAZE SHIELD II'!$L$4*('CALCULO MORTERO'!I832^2)+'BLAZE SHIELD II'!$L$5*'CALCULO MORTERO'!I832+'BLAZE SHIELD II'!$L$6)*LN(J832))+('BLAZE SHIELD II'!$L$7*('CALCULO MORTERO'!I832^2)+'BLAZE SHIELD II'!$L$8*'CALCULO MORTERO'!I832+'BLAZE SHIELD II'!$L$9)),0)+IF(AND(L832="Blaze Shield II",M832="Software Idiem",C832="L"),((('BLAZE SHIELD II'!$L$4*('CALCULO MORTERO'!I832^2)+'BLAZE SHIELD II'!$L$5*'CALCULO MORTERO'!I832+'BLAZE SHIELD II'!$L$6)*LN(J832))+('BLAZE SHIELD II'!$L$7*('CALCULO MORTERO'!I832^2)+'BLAZE SHIELD II'!$L$8*'CALCULO MORTERO'!I832+'BLAZE SHIELD II'!$L$9)),0)+IF(AND(L832="Blaze Shield II",M832="Software Idiem",C832="IN",G832=3),((('BLAZE SHIELD II'!$H$14*('CALCULO MORTERO'!I832^2)+'BLAZE SHIELD II'!$H$15*'CALCULO MORTERO'!I832+'BLAZE SHIELD II'!$H$16)*LN(J832))+('BLAZE SHIELD II'!$H$17*('CALCULO MORTERO'!I832^2)+'BLAZE SHIELD II'!$H$18*'CALCULO MORTERO'!I832+'BLAZE SHIELD II'!$H$19)),0),0)+ROUND(IF(AND(L832="Cafco 400",M832="Software Idiem",C832="IN",G832=4),((('CAFCO 400 '!$H$7*(J832^4)+'CAFCO 400 '!$H$8*(J832^3)+'CAFCO 400 '!$H$9*(J832^2)+'CAFCO 400 '!$H$10*J832+'CAFCO 400 '!$H$11)*U832^2)+(('CAFCO 400 '!$H$12*(J832^3)+'CAFCO 400 '!$H$13*(J832^2)+'CAFCO 400 '!$H$14*J832+'CAFCO 400 '!$H$15)*U832)+('CAFCO 400 '!$H$16*(J832^2)+'CAFCO 400 '!$H$17*J832+'CAFCO 400 '!$H$18)),0)+IF(AND(L832="Cafco 400",M832="Software Idiem",C832="Cj"),(((('CAFCO 400 '!$D$7*LN(J832)+'CAFCO 400 '!$D$8)*U832^2)+(('CAFCO 400 '!$D$9*LN(J832)+'CAFCO 400 '!$D$10)*U832)+('CAFCO 400 '!$D$11*LN(J832)+'CAFCO 400 '!$D$12))),0)+IF(AND(L832="Cafco 400",M832="Software Idiem",C832="C"),((('CAFCO 400 '!$L$7*(J832^3)+'CAFCO 400 '!$L$8*(J832^2)+'CAFCO 400 '!$L$9*J832+'CAFCO 400 '!$L$10)*U832^2)+(('CAFCO 400 '!$L$11*(J832^3)+'CAFCO 400 '!$L$12*(J832^2)+'CAFCO 400 '!$L$13*J832+'CAFCO 400 '!$L$14)*U832)+('CAFCO 400 '!$L$15*LN(J832)+'CAFCO 400 '!$L$16)),0)+IF(AND(L832="Cafco 400",M832="Software Idiem",C832="L"),((('CAFCO 400 '!$L$7*(J832^3)+'CAFCO 400 '!$L$8*(J832^2)+'CAFCO 400 '!$L$9*J832+'CAFCO 400 '!$L$10)*U832^2)+(('CAFCO 400 '!$L$11*(J832^3)+'CAFCO 400 '!$L$12*(J832^2)+'CAFCO 400 '!$L$13*J832+'CAFCO 400 '!$L$14)*U832)+('CAFCO 400 '!$L$15*LN(J832)+'CAFCO 400 '!$L$16)),0)+IF(AND(L832="Cafco 400",M832="Software Idiem",C832="IN",G832=3),((('CAFCO 400 '!$D$23*(J832^2)+'CAFCO 400 '!$D$24*(J832)+'CAFCO 400 '!$D$25)*U832^2)+(('CAFCO 400 '!$D$26*(J832^2)+'CAFCO 400 '!$D$27*J832+'CAFCO 400 '!$D$28)*U832)+('CAFCO 400 '!$D$29*(J832^2)+'CAFCO 400 '!$D$30*J832+'CAFCO 400 '!$D$31)),0),0)+IF(AND(L832="Cafco 300",J832&gt;=95,J832&lt;=240,C832="Cj",I832=90),VLOOKUP(T832,'CAFCO 300 IDIEM TABLAS'!$B$4:$D$23,2,FALSE),0)+IF(AND(L832="Cafco 300",J832&gt;=95,J832&lt;=240,C832="Cj",I832=120),VLOOKUP(T832,'CAFCO 300 IDIEM TABLAS'!$B$4:$D$23,3,FALSE),0)+IF(AND(L832="Cafco 300",J832&gt;=95,J832&lt;=400,G832=3,C832="IN",I832=90),VLOOKUP(T832,'CAFCO 300 IDIEM TABLAS'!$F$4:$H$35,2,FALSE),0)+IF(AND(L832="Cafco 300",J832&gt;=95,J832&lt;=400,G832=3,C832="IN",I832=120),VLOOKUP(T832,'CAFCO 300 IDIEM TABLAS'!$F$4:$H$35,3,FALSE),0)+IF(AND(L832="Cafco 300",J832&gt;=95,J832&lt;=450,G832=4,C832="IN",I832=90),VLOOKUP(T832,'CAFCO 300 IDIEM TABLAS'!$J$4:$L$40,2,FALSE),0)+IF(AND(L832="Cafco 300",J832&gt;=95,J832&lt;=450,G832=4,C832="IN",I832=120),VLOOKUP(T832,'CAFCO 300 IDIEM TABLAS'!$J$4:$L$40,3,FALSE),0)+IF(AND(M832="Ensayo Idiem",L832="Cafco 400",C832="IN",G832=4,I832=90),VLOOKUP(T832,'CAFCO 400 ENSAYO'!$B$7:$D$43,2,FALSE),0)+IF(AND(M832="Ensayo Idiem",L832="Cafco 400",C832="IN",G832=4,I832=120),VLOOKUP(T832,'CAFCO 400 ENSAYO'!$B$7:$D$43,3,FALSE),0)</f>
        <v>0</v>
      </c>
      <c r="O832" s="96">
        <f t="shared" si="84"/>
        <v>0</v>
      </c>
      <c r="P832" s="95" t="str">
        <f t="shared" si="85"/>
        <v>N/A</v>
      </c>
      <c r="Q832" s="95" t="str">
        <f t="shared" si="86"/>
        <v>N/A</v>
      </c>
      <c r="R832" s="95" t="str">
        <f t="shared" si="87"/>
        <v>NO CERT.</v>
      </c>
      <c r="S832" s="95" t="e">
        <f t="shared" si="88"/>
        <v>#N/A</v>
      </c>
      <c r="T832" s="119" t="e">
        <f>+IF(J832=LOOKUP(J832,'CAFCO 300 IDIEM TABLAS'!$J$4:$J$40),'CALCULO MORTERO'!J832,MROUND('CALCULO MORTERO'!J832,10))</f>
        <v>#N/A</v>
      </c>
      <c r="U832" s="118">
        <f t="shared" si="89"/>
        <v>0</v>
      </c>
    </row>
    <row r="833" spans="1:21" x14ac:dyDescent="0.25">
      <c r="A833" s="118">
        <f>+CUBICACION!D827</f>
        <v>0</v>
      </c>
      <c r="B833" s="819">
        <f>+CUBICACION!E827</f>
        <v>0</v>
      </c>
      <c r="C833" s="675">
        <f>+CUBICACION!F827</f>
        <v>0</v>
      </c>
      <c r="D833" s="118"/>
      <c r="E833" s="118"/>
      <c r="F833" s="820"/>
      <c r="G833" s="675">
        <f>+CUBICACION!J827</f>
        <v>0</v>
      </c>
      <c r="H833" s="118"/>
      <c r="I833" s="821">
        <f>+CUBICACION!L827</f>
        <v>0</v>
      </c>
      <c r="J833" s="64">
        <f>+CUBICACION!M827</f>
        <v>0</v>
      </c>
      <c r="K833" s="822" t="str">
        <f>+CUBICACION!N827</f>
        <v/>
      </c>
      <c r="L833" s="118">
        <f>+CUBICACION!O827</f>
        <v>0</v>
      </c>
      <c r="M833" s="823">
        <f>+CUBICACION!P827</f>
        <v>0</v>
      </c>
      <c r="N833" s="902">
        <f>ROUND(IF(AND(L833="Blaze Shield II",M833="Software Idiem",C833="IN",G833=4),((('BLAZE SHIELD II'!$D$4*('CALCULO MORTERO'!I833^2)+'BLAZE SHIELD II'!$D$5*'CALCULO MORTERO'!I833+'BLAZE SHIELD II'!$D$6)*LN(J833))+('BLAZE SHIELD II'!$D$7*('CALCULO MORTERO'!I833^2)+'BLAZE SHIELD II'!$D$8*'CALCULO MORTERO'!I833+'BLAZE SHIELD II'!$D$9)),0)+IF(AND(L833="Blaze Shield II",M833="Software Idiem",C833="Cj"),((('BLAZE SHIELD II'!$H$4*('CALCULO MORTERO'!I833^2)+'BLAZE SHIELD II'!$H$5*'CALCULO MORTERO'!I833+'BLAZE SHIELD II'!$H$6)*LN(J833))+('BLAZE SHIELD II'!$H$7*('CALCULO MORTERO'!I833^2)+'BLAZE SHIELD II'!$H$8*'CALCULO MORTERO'!I833+'BLAZE SHIELD II'!$H$9)),0)+IF(AND(L833="Blaze Shield II",M833="Software Idiem",C833="C"),((('BLAZE SHIELD II'!$L$4*('CALCULO MORTERO'!I833^2)+'BLAZE SHIELD II'!$L$5*'CALCULO MORTERO'!I833+'BLAZE SHIELD II'!$L$6)*LN(J833))+('BLAZE SHIELD II'!$L$7*('CALCULO MORTERO'!I833^2)+'BLAZE SHIELD II'!$L$8*'CALCULO MORTERO'!I833+'BLAZE SHIELD II'!$L$9)),0)+IF(AND(L833="Blaze Shield II",M833="Software Idiem",C833="L"),((('BLAZE SHIELD II'!$L$4*('CALCULO MORTERO'!I833^2)+'BLAZE SHIELD II'!$L$5*'CALCULO MORTERO'!I833+'BLAZE SHIELD II'!$L$6)*LN(J833))+('BLAZE SHIELD II'!$L$7*('CALCULO MORTERO'!I833^2)+'BLAZE SHIELD II'!$L$8*'CALCULO MORTERO'!I833+'BLAZE SHIELD II'!$L$9)),0)+IF(AND(L833="Blaze Shield II",M833="Software Idiem",C833="IN",G833=3),((('BLAZE SHIELD II'!$H$14*('CALCULO MORTERO'!I833^2)+'BLAZE SHIELD II'!$H$15*'CALCULO MORTERO'!I833+'BLAZE SHIELD II'!$H$16)*LN(J833))+('BLAZE SHIELD II'!$H$17*('CALCULO MORTERO'!I833^2)+'BLAZE SHIELD II'!$H$18*'CALCULO MORTERO'!I833+'BLAZE SHIELD II'!$H$19)),0),0)+ROUND(IF(AND(L833="Cafco 400",M833="Software Idiem",C833="IN",G833=4),((('CAFCO 400 '!$H$7*(J833^4)+'CAFCO 400 '!$H$8*(J833^3)+'CAFCO 400 '!$H$9*(J833^2)+'CAFCO 400 '!$H$10*J833+'CAFCO 400 '!$H$11)*U833^2)+(('CAFCO 400 '!$H$12*(J833^3)+'CAFCO 400 '!$H$13*(J833^2)+'CAFCO 400 '!$H$14*J833+'CAFCO 400 '!$H$15)*U833)+('CAFCO 400 '!$H$16*(J833^2)+'CAFCO 400 '!$H$17*J833+'CAFCO 400 '!$H$18)),0)+IF(AND(L833="Cafco 400",M833="Software Idiem",C833="Cj"),(((('CAFCO 400 '!$D$7*LN(J833)+'CAFCO 400 '!$D$8)*U833^2)+(('CAFCO 400 '!$D$9*LN(J833)+'CAFCO 400 '!$D$10)*U833)+('CAFCO 400 '!$D$11*LN(J833)+'CAFCO 400 '!$D$12))),0)+IF(AND(L833="Cafco 400",M833="Software Idiem",C833="C"),((('CAFCO 400 '!$L$7*(J833^3)+'CAFCO 400 '!$L$8*(J833^2)+'CAFCO 400 '!$L$9*J833+'CAFCO 400 '!$L$10)*U833^2)+(('CAFCO 400 '!$L$11*(J833^3)+'CAFCO 400 '!$L$12*(J833^2)+'CAFCO 400 '!$L$13*J833+'CAFCO 400 '!$L$14)*U833)+('CAFCO 400 '!$L$15*LN(J833)+'CAFCO 400 '!$L$16)),0)+IF(AND(L833="Cafco 400",M833="Software Idiem",C833="L"),((('CAFCO 400 '!$L$7*(J833^3)+'CAFCO 400 '!$L$8*(J833^2)+'CAFCO 400 '!$L$9*J833+'CAFCO 400 '!$L$10)*U833^2)+(('CAFCO 400 '!$L$11*(J833^3)+'CAFCO 400 '!$L$12*(J833^2)+'CAFCO 400 '!$L$13*J833+'CAFCO 400 '!$L$14)*U833)+('CAFCO 400 '!$L$15*LN(J833)+'CAFCO 400 '!$L$16)),0)+IF(AND(L833="Cafco 400",M833="Software Idiem",C833="IN",G833=3),((('CAFCO 400 '!$D$23*(J833^2)+'CAFCO 400 '!$D$24*(J833)+'CAFCO 400 '!$D$25)*U833^2)+(('CAFCO 400 '!$D$26*(J833^2)+'CAFCO 400 '!$D$27*J833+'CAFCO 400 '!$D$28)*U833)+('CAFCO 400 '!$D$29*(J833^2)+'CAFCO 400 '!$D$30*J833+'CAFCO 400 '!$D$31)),0),0)+IF(AND(L833="Cafco 300",J833&gt;=95,J833&lt;=240,C833="Cj",I833=90),VLOOKUP(T833,'CAFCO 300 IDIEM TABLAS'!$B$4:$D$23,2,FALSE),0)+IF(AND(L833="Cafco 300",J833&gt;=95,J833&lt;=240,C833="Cj",I833=120),VLOOKUP(T833,'CAFCO 300 IDIEM TABLAS'!$B$4:$D$23,3,FALSE),0)+IF(AND(L833="Cafco 300",J833&gt;=95,J833&lt;=400,G833=3,C833="IN",I833=90),VLOOKUP(T833,'CAFCO 300 IDIEM TABLAS'!$F$4:$H$35,2,FALSE),0)+IF(AND(L833="Cafco 300",J833&gt;=95,J833&lt;=400,G833=3,C833="IN",I833=120),VLOOKUP(T833,'CAFCO 300 IDIEM TABLAS'!$F$4:$H$35,3,FALSE),0)+IF(AND(L833="Cafco 300",J833&gt;=95,J833&lt;=450,G833=4,C833="IN",I833=90),VLOOKUP(T833,'CAFCO 300 IDIEM TABLAS'!$J$4:$L$40,2,FALSE),0)+IF(AND(L833="Cafco 300",J833&gt;=95,J833&lt;=450,G833=4,C833="IN",I833=120),VLOOKUP(T833,'CAFCO 300 IDIEM TABLAS'!$J$4:$L$40,3,FALSE),0)+IF(AND(M833="Ensayo Idiem",L833="Cafco 400",C833="IN",G833=4,I833=90),VLOOKUP(T833,'CAFCO 400 ENSAYO'!$B$7:$D$43,2,FALSE),0)+IF(AND(M833="Ensayo Idiem",L833="Cafco 400",C833="IN",G833=4,I833=120),VLOOKUP(T833,'CAFCO 400 ENSAYO'!$B$7:$D$43,3,FALSE),0)</f>
        <v>0</v>
      </c>
      <c r="O833" s="96">
        <f t="shared" si="84"/>
        <v>0</v>
      </c>
      <c r="P833" s="132" t="str">
        <f t="shared" si="85"/>
        <v>N/A</v>
      </c>
      <c r="Q833" s="132" t="str">
        <f t="shared" si="86"/>
        <v>N/A</v>
      </c>
      <c r="R833" s="132" t="str">
        <f t="shared" si="87"/>
        <v>NO CERT.</v>
      </c>
      <c r="S833" s="132" t="e">
        <f t="shared" si="88"/>
        <v>#N/A</v>
      </c>
      <c r="T833" s="133" t="e">
        <f>+IF(J833=LOOKUP(J833,'CAFCO 300 IDIEM TABLAS'!$J$4:$J$40),'CALCULO MORTERO'!J833,MROUND('CALCULO MORTERO'!J833,10))</f>
        <v>#N/A</v>
      </c>
      <c r="U833" s="134">
        <f t="shared" si="89"/>
        <v>0</v>
      </c>
    </row>
    <row r="834" spans="1:21" x14ac:dyDescent="0.25">
      <c r="A834" s="118">
        <f>+CUBICACION!D828</f>
        <v>0</v>
      </c>
      <c r="B834" s="819">
        <f>+CUBICACION!E828</f>
        <v>0</v>
      </c>
      <c r="C834" s="675">
        <f>+CUBICACION!F828</f>
        <v>0</v>
      </c>
      <c r="D834" s="118"/>
      <c r="E834" s="118"/>
      <c r="F834" s="820"/>
      <c r="G834" s="675">
        <f>+CUBICACION!J828</f>
        <v>0</v>
      </c>
      <c r="H834" s="118"/>
      <c r="I834" s="821">
        <f>+CUBICACION!L828</f>
        <v>0</v>
      </c>
      <c r="J834" s="64">
        <f>+CUBICACION!M828</f>
        <v>0</v>
      </c>
      <c r="K834" s="822" t="str">
        <f>+CUBICACION!N828</f>
        <v/>
      </c>
      <c r="L834" s="118">
        <f>+CUBICACION!O828</f>
        <v>0</v>
      </c>
      <c r="M834" s="823">
        <f>+CUBICACION!P828</f>
        <v>0</v>
      </c>
      <c r="N834" s="902">
        <f>ROUND(IF(AND(L834="Blaze Shield II",M834="Software Idiem",C834="IN",G834=4),((('BLAZE SHIELD II'!$D$4*('CALCULO MORTERO'!I834^2)+'BLAZE SHIELD II'!$D$5*'CALCULO MORTERO'!I834+'BLAZE SHIELD II'!$D$6)*LN(J834))+('BLAZE SHIELD II'!$D$7*('CALCULO MORTERO'!I834^2)+'BLAZE SHIELD II'!$D$8*'CALCULO MORTERO'!I834+'BLAZE SHIELD II'!$D$9)),0)+IF(AND(L834="Blaze Shield II",M834="Software Idiem",C834="Cj"),((('BLAZE SHIELD II'!$H$4*('CALCULO MORTERO'!I834^2)+'BLAZE SHIELD II'!$H$5*'CALCULO MORTERO'!I834+'BLAZE SHIELD II'!$H$6)*LN(J834))+('BLAZE SHIELD II'!$H$7*('CALCULO MORTERO'!I834^2)+'BLAZE SHIELD II'!$H$8*'CALCULO MORTERO'!I834+'BLAZE SHIELD II'!$H$9)),0)+IF(AND(L834="Blaze Shield II",M834="Software Idiem",C834="C"),((('BLAZE SHIELD II'!$L$4*('CALCULO MORTERO'!I834^2)+'BLAZE SHIELD II'!$L$5*'CALCULO MORTERO'!I834+'BLAZE SHIELD II'!$L$6)*LN(J834))+('BLAZE SHIELD II'!$L$7*('CALCULO MORTERO'!I834^2)+'BLAZE SHIELD II'!$L$8*'CALCULO MORTERO'!I834+'BLAZE SHIELD II'!$L$9)),0)+IF(AND(L834="Blaze Shield II",M834="Software Idiem",C834="L"),((('BLAZE SHIELD II'!$L$4*('CALCULO MORTERO'!I834^2)+'BLAZE SHIELD II'!$L$5*'CALCULO MORTERO'!I834+'BLAZE SHIELD II'!$L$6)*LN(J834))+('BLAZE SHIELD II'!$L$7*('CALCULO MORTERO'!I834^2)+'BLAZE SHIELD II'!$L$8*'CALCULO MORTERO'!I834+'BLAZE SHIELD II'!$L$9)),0)+IF(AND(L834="Blaze Shield II",M834="Software Idiem",C834="IN",G834=3),((('BLAZE SHIELD II'!$H$14*('CALCULO MORTERO'!I834^2)+'BLAZE SHIELD II'!$H$15*'CALCULO MORTERO'!I834+'BLAZE SHIELD II'!$H$16)*LN(J834))+('BLAZE SHIELD II'!$H$17*('CALCULO MORTERO'!I834^2)+'BLAZE SHIELD II'!$H$18*'CALCULO MORTERO'!I834+'BLAZE SHIELD II'!$H$19)),0),0)+ROUND(IF(AND(L834="Cafco 400",M834="Software Idiem",C834="IN",G834=4),((('CAFCO 400 '!$H$7*(J834^4)+'CAFCO 400 '!$H$8*(J834^3)+'CAFCO 400 '!$H$9*(J834^2)+'CAFCO 400 '!$H$10*J834+'CAFCO 400 '!$H$11)*U834^2)+(('CAFCO 400 '!$H$12*(J834^3)+'CAFCO 400 '!$H$13*(J834^2)+'CAFCO 400 '!$H$14*J834+'CAFCO 400 '!$H$15)*U834)+('CAFCO 400 '!$H$16*(J834^2)+'CAFCO 400 '!$H$17*J834+'CAFCO 400 '!$H$18)),0)+IF(AND(L834="Cafco 400",M834="Software Idiem",C834="Cj"),(((('CAFCO 400 '!$D$7*LN(J834)+'CAFCO 400 '!$D$8)*U834^2)+(('CAFCO 400 '!$D$9*LN(J834)+'CAFCO 400 '!$D$10)*U834)+('CAFCO 400 '!$D$11*LN(J834)+'CAFCO 400 '!$D$12))),0)+IF(AND(L834="Cafco 400",M834="Software Idiem",C834="C"),((('CAFCO 400 '!$L$7*(J834^3)+'CAFCO 400 '!$L$8*(J834^2)+'CAFCO 400 '!$L$9*J834+'CAFCO 400 '!$L$10)*U834^2)+(('CAFCO 400 '!$L$11*(J834^3)+'CAFCO 400 '!$L$12*(J834^2)+'CAFCO 400 '!$L$13*J834+'CAFCO 400 '!$L$14)*U834)+('CAFCO 400 '!$L$15*LN(J834)+'CAFCO 400 '!$L$16)),0)+IF(AND(L834="Cafco 400",M834="Software Idiem",C834="L"),((('CAFCO 400 '!$L$7*(J834^3)+'CAFCO 400 '!$L$8*(J834^2)+'CAFCO 400 '!$L$9*J834+'CAFCO 400 '!$L$10)*U834^2)+(('CAFCO 400 '!$L$11*(J834^3)+'CAFCO 400 '!$L$12*(J834^2)+'CAFCO 400 '!$L$13*J834+'CAFCO 400 '!$L$14)*U834)+('CAFCO 400 '!$L$15*LN(J834)+'CAFCO 400 '!$L$16)),0)+IF(AND(L834="Cafco 400",M834="Software Idiem",C834="IN",G834=3),((('CAFCO 400 '!$D$23*(J834^2)+'CAFCO 400 '!$D$24*(J834)+'CAFCO 400 '!$D$25)*U834^2)+(('CAFCO 400 '!$D$26*(J834^2)+'CAFCO 400 '!$D$27*J834+'CAFCO 400 '!$D$28)*U834)+('CAFCO 400 '!$D$29*(J834^2)+'CAFCO 400 '!$D$30*J834+'CAFCO 400 '!$D$31)),0),0)+IF(AND(L834="Cafco 300",J834&gt;=95,J834&lt;=240,C834="Cj",I834=90),VLOOKUP(T834,'CAFCO 300 IDIEM TABLAS'!$B$4:$D$23,2,FALSE),0)+IF(AND(L834="Cafco 300",J834&gt;=95,J834&lt;=240,C834="Cj",I834=120),VLOOKUP(T834,'CAFCO 300 IDIEM TABLAS'!$B$4:$D$23,3,FALSE),0)+IF(AND(L834="Cafco 300",J834&gt;=95,J834&lt;=400,G834=3,C834="IN",I834=90),VLOOKUP(T834,'CAFCO 300 IDIEM TABLAS'!$F$4:$H$35,2,FALSE),0)+IF(AND(L834="Cafco 300",J834&gt;=95,J834&lt;=400,G834=3,C834="IN",I834=120),VLOOKUP(T834,'CAFCO 300 IDIEM TABLAS'!$F$4:$H$35,3,FALSE),0)+IF(AND(L834="Cafco 300",J834&gt;=95,J834&lt;=450,G834=4,C834="IN",I834=90),VLOOKUP(T834,'CAFCO 300 IDIEM TABLAS'!$J$4:$L$40,2,FALSE),0)+IF(AND(L834="Cafco 300",J834&gt;=95,J834&lt;=450,G834=4,C834="IN",I834=120),VLOOKUP(T834,'CAFCO 300 IDIEM TABLAS'!$J$4:$L$40,3,FALSE),0)+IF(AND(M834="Ensayo Idiem",L834="Cafco 400",C834="IN",G834=4,I834=90),VLOOKUP(T834,'CAFCO 400 ENSAYO'!$B$7:$D$43,2,FALSE),0)+IF(AND(M834="Ensayo Idiem",L834="Cafco 400",C834="IN",G834=4,I834=120),VLOOKUP(T834,'CAFCO 400 ENSAYO'!$B$7:$D$43,3,FALSE),0)</f>
        <v>0</v>
      </c>
      <c r="O834" s="96">
        <f t="shared" si="84"/>
        <v>0</v>
      </c>
      <c r="P834" s="95" t="str">
        <f t="shared" si="85"/>
        <v>N/A</v>
      </c>
      <c r="Q834" s="95" t="str">
        <f t="shared" si="86"/>
        <v>N/A</v>
      </c>
      <c r="R834" s="95" t="str">
        <f t="shared" si="87"/>
        <v>NO CERT.</v>
      </c>
      <c r="S834" s="95" t="e">
        <f t="shared" si="88"/>
        <v>#N/A</v>
      </c>
      <c r="T834" s="119" t="e">
        <f>+IF(J834=LOOKUP(J834,'CAFCO 300 IDIEM TABLAS'!$J$4:$J$40),'CALCULO MORTERO'!J834,MROUND('CALCULO MORTERO'!J834,10))</f>
        <v>#N/A</v>
      </c>
      <c r="U834" s="118">
        <f t="shared" si="89"/>
        <v>0</v>
      </c>
    </row>
    <row r="835" spans="1:21" x14ac:dyDescent="0.25">
      <c r="A835" s="118">
        <f>+CUBICACION!D829</f>
        <v>0</v>
      </c>
      <c r="B835" s="819">
        <f>+CUBICACION!E829</f>
        <v>0</v>
      </c>
      <c r="C835" s="675">
        <f>+CUBICACION!F829</f>
        <v>0</v>
      </c>
      <c r="D835" s="118"/>
      <c r="E835" s="118"/>
      <c r="F835" s="820"/>
      <c r="G835" s="675">
        <f>+CUBICACION!J829</f>
        <v>0</v>
      </c>
      <c r="H835" s="118"/>
      <c r="I835" s="821">
        <f>+CUBICACION!L829</f>
        <v>0</v>
      </c>
      <c r="J835" s="64">
        <f>+CUBICACION!M829</f>
        <v>0</v>
      </c>
      <c r="K835" s="822" t="str">
        <f>+CUBICACION!N829</f>
        <v/>
      </c>
      <c r="L835" s="118">
        <f>+CUBICACION!O829</f>
        <v>0</v>
      </c>
      <c r="M835" s="823">
        <f>+CUBICACION!P829</f>
        <v>0</v>
      </c>
      <c r="N835" s="902">
        <f>ROUND(IF(AND(L835="Blaze Shield II",M835="Software Idiem",C835="IN",G835=4),((('BLAZE SHIELD II'!$D$4*('CALCULO MORTERO'!I835^2)+'BLAZE SHIELD II'!$D$5*'CALCULO MORTERO'!I835+'BLAZE SHIELD II'!$D$6)*LN(J835))+('BLAZE SHIELD II'!$D$7*('CALCULO MORTERO'!I835^2)+'BLAZE SHIELD II'!$D$8*'CALCULO MORTERO'!I835+'BLAZE SHIELD II'!$D$9)),0)+IF(AND(L835="Blaze Shield II",M835="Software Idiem",C835="Cj"),((('BLAZE SHIELD II'!$H$4*('CALCULO MORTERO'!I835^2)+'BLAZE SHIELD II'!$H$5*'CALCULO MORTERO'!I835+'BLAZE SHIELD II'!$H$6)*LN(J835))+('BLAZE SHIELD II'!$H$7*('CALCULO MORTERO'!I835^2)+'BLAZE SHIELD II'!$H$8*'CALCULO MORTERO'!I835+'BLAZE SHIELD II'!$H$9)),0)+IF(AND(L835="Blaze Shield II",M835="Software Idiem",C835="C"),((('BLAZE SHIELD II'!$L$4*('CALCULO MORTERO'!I835^2)+'BLAZE SHIELD II'!$L$5*'CALCULO MORTERO'!I835+'BLAZE SHIELD II'!$L$6)*LN(J835))+('BLAZE SHIELD II'!$L$7*('CALCULO MORTERO'!I835^2)+'BLAZE SHIELD II'!$L$8*'CALCULO MORTERO'!I835+'BLAZE SHIELD II'!$L$9)),0)+IF(AND(L835="Blaze Shield II",M835="Software Idiem",C835="L"),((('BLAZE SHIELD II'!$L$4*('CALCULO MORTERO'!I835^2)+'BLAZE SHIELD II'!$L$5*'CALCULO MORTERO'!I835+'BLAZE SHIELD II'!$L$6)*LN(J835))+('BLAZE SHIELD II'!$L$7*('CALCULO MORTERO'!I835^2)+'BLAZE SHIELD II'!$L$8*'CALCULO MORTERO'!I835+'BLAZE SHIELD II'!$L$9)),0)+IF(AND(L835="Blaze Shield II",M835="Software Idiem",C835="IN",G835=3),((('BLAZE SHIELD II'!$H$14*('CALCULO MORTERO'!I835^2)+'BLAZE SHIELD II'!$H$15*'CALCULO MORTERO'!I835+'BLAZE SHIELD II'!$H$16)*LN(J835))+('BLAZE SHIELD II'!$H$17*('CALCULO MORTERO'!I835^2)+'BLAZE SHIELD II'!$H$18*'CALCULO MORTERO'!I835+'BLAZE SHIELD II'!$H$19)),0),0)+ROUND(IF(AND(L835="Cafco 400",M835="Software Idiem",C835="IN",G835=4),((('CAFCO 400 '!$H$7*(J835^4)+'CAFCO 400 '!$H$8*(J835^3)+'CAFCO 400 '!$H$9*(J835^2)+'CAFCO 400 '!$H$10*J835+'CAFCO 400 '!$H$11)*U835^2)+(('CAFCO 400 '!$H$12*(J835^3)+'CAFCO 400 '!$H$13*(J835^2)+'CAFCO 400 '!$H$14*J835+'CAFCO 400 '!$H$15)*U835)+('CAFCO 400 '!$H$16*(J835^2)+'CAFCO 400 '!$H$17*J835+'CAFCO 400 '!$H$18)),0)+IF(AND(L835="Cafco 400",M835="Software Idiem",C835="Cj"),(((('CAFCO 400 '!$D$7*LN(J835)+'CAFCO 400 '!$D$8)*U835^2)+(('CAFCO 400 '!$D$9*LN(J835)+'CAFCO 400 '!$D$10)*U835)+('CAFCO 400 '!$D$11*LN(J835)+'CAFCO 400 '!$D$12))),0)+IF(AND(L835="Cafco 400",M835="Software Idiem",C835="C"),((('CAFCO 400 '!$L$7*(J835^3)+'CAFCO 400 '!$L$8*(J835^2)+'CAFCO 400 '!$L$9*J835+'CAFCO 400 '!$L$10)*U835^2)+(('CAFCO 400 '!$L$11*(J835^3)+'CAFCO 400 '!$L$12*(J835^2)+'CAFCO 400 '!$L$13*J835+'CAFCO 400 '!$L$14)*U835)+('CAFCO 400 '!$L$15*LN(J835)+'CAFCO 400 '!$L$16)),0)+IF(AND(L835="Cafco 400",M835="Software Idiem",C835="L"),((('CAFCO 400 '!$L$7*(J835^3)+'CAFCO 400 '!$L$8*(J835^2)+'CAFCO 400 '!$L$9*J835+'CAFCO 400 '!$L$10)*U835^2)+(('CAFCO 400 '!$L$11*(J835^3)+'CAFCO 400 '!$L$12*(J835^2)+'CAFCO 400 '!$L$13*J835+'CAFCO 400 '!$L$14)*U835)+('CAFCO 400 '!$L$15*LN(J835)+'CAFCO 400 '!$L$16)),0)+IF(AND(L835="Cafco 400",M835="Software Idiem",C835="IN",G835=3),((('CAFCO 400 '!$D$23*(J835^2)+'CAFCO 400 '!$D$24*(J835)+'CAFCO 400 '!$D$25)*U835^2)+(('CAFCO 400 '!$D$26*(J835^2)+'CAFCO 400 '!$D$27*J835+'CAFCO 400 '!$D$28)*U835)+('CAFCO 400 '!$D$29*(J835^2)+'CAFCO 400 '!$D$30*J835+'CAFCO 400 '!$D$31)),0),0)+IF(AND(L835="Cafco 300",J835&gt;=95,J835&lt;=240,C835="Cj",I835=90),VLOOKUP(T835,'CAFCO 300 IDIEM TABLAS'!$B$4:$D$23,2,FALSE),0)+IF(AND(L835="Cafco 300",J835&gt;=95,J835&lt;=240,C835="Cj",I835=120),VLOOKUP(T835,'CAFCO 300 IDIEM TABLAS'!$B$4:$D$23,3,FALSE),0)+IF(AND(L835="Cafco 300",J835&gt;=95,J835&lt;=400,G835=3,C835="IN",I835=90),VLOOKUP(T835,'CAFCO 300 IDIEM TABLAS'!$F$4:$H$35,2,FALSE),0)+IF(AND(L835="Cafco 300",J835&gt;=95,J835&lt;=400,G835=3,C835="IN",I835=120),VLOOKUP(T835,'CAFCO 300 IDIEM TABLAS'!$F$4:$H$35,3,FALSE),0)+IF(AND(L835="Cafco 300",J835&gt;=95,J835&lt;=450,G835=4,C835="IN",I835=90),VLOOKUP(T835,'CAFCO 300 IDIEM TABLAS'!$J$4:$L$40,2,FALSE),0)+IF(AND(L835="Cafco 300",J835&gt;=95,J835&lt;=450,G835=4,C835="IN",I835=120),VLOOKUP(T835,'CAFCO 300 IDIEM TABLAS'!$J$4:$L$40,3,FALSE),0)+IF(AND(M835="Ensayo Idiem",L835="Cafco 400",C835="IN",G835=4,I835=90),VLOOKUP(T835,'CAFCO 400 ENSAYO'!$B$7:$D$43,2,FALSE),0)+IF(AND(M835="Ensayo Idiem",L835="Cafco 400",C835="IN",G835=4,I835=120),VLOOKUP(T835,'CAFCO 400 ENSAYO'!$B$7:$D$43,3,FALSE),0)</f>
        <v>0</v>
      </c>
      <c r="O835" s="96">
        <f t="shared" si="84"/>
        <v>0</v>
      </c>
      <c r="P835" s="132" t="str">
        <f t="shared" si="85"/>
        <v>N/A</v>
      </c>
      <c r="Q835" s="132" t="str">
        <f t="shared" si="86"/>
        <v>N/A</v>
      </c>
      <c r="R835" s="132" t="str">
        <f t="shared" si="87"/>
        <v>NO CERT.</v>
      </c>
      <c r="S835" s="132" t="e">
        <f t="shared" si="88"/>
        <v>#N/A</v>
      </c>
      <c r="T835" s="133" t="e">
        <f>+IF(J835=LOOKUP(J835,'CAFCO 300 IDIEM TABLAS'!$J$4:$J$40),'CALCULO MORTERO'!J835,MROUND('CALCULO MORTERO'!J835,10))</f>
        <v>#N/A</v>
      </c>
      <c r="U835" s="134">
        <f t="shared" si="89"/>
        <v>0</v>
      </c>
    </row>
    <row r="836" spans="1:21" x14ac:dyDescent="0.25">
      <c r="A836" s="118">
        <f>+CUBICACION!D830</f>
        <v>0</v>
      </c>
      <c r="B836" s="819">
        <f>+CUBICACION!E830</f>
        <v>0</v>
      </c>
      <c r="C836" s="675">
        <f>+CUBICACION!F830</f>
        <v>0</v>
      </c>
      <c r="D836" s="118"/>
      <c r="E836" s="118"/>
      <c r="F836" s="820"/>
      <c r="G836" s="675">
        <f>+CUBICACION!J830</f>
        <v>0</v>
      </c>
      <c r="H836" s="118"/>
      <c r="I836" s="821">
        <f>+CUBICACION!L830</f>
        <v>0</v>
      </c>
      <c r="J836" s="64">
        <f>+CUBICACION!M830</f>
        <v>0</v>
      </c>
      <c r="K836" s="822" t="str">
        <f>+CUBICACION!N830</f>
        <v/>
      </c>
      <c r="L836" s="118">
        <f>+CUBICACION!O830</f>
        <v>0</v>
      </c>
      <c r="M836" s="823">
        <f>+CUBICACION!P830</f>
        <v>0</v>
      </c>
      <c r="N836" s="902">
        <f>ROUND(IF(AND(L836="Blaze Shield II",M836="Software Idiem",C836="IN",G836=4),((('BLAZE SHIELD II'!$D$4*('CALCULO MORTERO'!I836^2)+'BLAZE SHIELD II'!$D$5*'CALCULO MORTERO'!I836+'BLAZE SHIELD II'!$D$6)*LN(J836))+('BLAZE SHIELD II'!$D$7*('CALCULO MORTERO'!I836^2)+'BLAZE SHIELD II'!$D$8*'CALCULO MORTERO'!I836+'BLAZE SHIELD II'!$D$9)),0)+IF(AND(L836="Blaze Shield II",M836="Software Idiem",C836="Cj"),((('BLAZE SHIELD II'!$H$4*('CALCULO MORTERO'!I836^2)+'BLAZE SHIELD II'!$H$5*'CALCULO MORTERO'!I836+'BLAZE SHIELD II'!$H$6)*LN(J836))+('BLAZE SHIELD II'!$H$7*('CALCULO MORTERO'!I836^2)+'BLAZE SHIELD II'!$H$8*'CALCULO MORTERO'!I836+'BLAZE SHIELD II'!$H$9)),0)+IF(AND(L836="Blaze Shield II",M836="Software Idiem",C836="C"),((('BLAZE SHIELD II'!$L$4*('CALCULO MORTERO'!I836^2)+'BLAZE SHIELD II'!$L$5*'CALCULO MORTERO'!I836+'BLAZE SHIELD II'!$L$6)*LN(J836))+('BLAZE SHIELD II'!$L$7*('CALCULO MORTERO'!I836^2)+'BLAZE SHIELD II'!$L$8*'CALCULO MORTERO'!I836+'BLAZE SHIELD II'!$L$9)),0)+IF(AND(L836="Blaze Shield II",M836="Software Idiem",C836="L"),((('BLAZE SHIELD II'!$L$4*('CALCULO MORTERO'!I836^2)+'BLAZE SHIELD II'!$L$5*'CALCULO MORTERO'!I836+'BLAZE SHIELD II'!$L$6)*LN(J836))+('BLAZE SHIELD II'!$L$7*('CALCULO MORTERO'!I836^2)+'BLAZE SHIELD II'!$L$8*'CALCULO MORTERO'!I836+'BLAZE SHIELD II'!$L$9)),0)+IF(AND(L836="Blaze Shield II",M836="Software Idiem",C836="IN",G836=3),((('BLAZE SHIELD II'!$H$14*('CALCULO MORTERO'!I836^2)+'BLAZE SHIELD II'!$H$15*'CALCULO MORTERO'!I836+'BLAZE SHIELD II'!$H$16)*LN(J836))+('BLAZE SHIELD II'!$H$17*('CALCULO MORTERO'!I836^2)+'BLAZE SHIELD II'!$H$18*'CALCULO MORTERO'!I836+'BLAZE SHIELD II'!$H$19)),0),0)+ROUND(IF(AND(L836="Cafco 400",M836="Software Idiem",C836="IN",G836=4),((('CAFCO 400 '!$H$7*(J836^4)+'CAFCO 400 '!$H$8*(J836^3)+'CAFCO 400 '!$H$9*(J836^2)+'CAFCO 400 '!$H$10*J836+'CAFCO 400 '!$H$11)*U836^2)+(('CAFCO 400 '!$H$12*(J836^3)+'CAFCO 400 '!$H$13*(J836^2)+'CAFCO 400 '!$H$14*J836+'CAFCO 400 '!$H$15)*U836)+('CAFCO 400 '!$H$16*(J836^2)+'CAFCO 400 '!$H$17*J836+'CAFCO 400 '!$H$18)),0)+IF(AND(L836="Cafco 400",M836="Software Idiem",C836="Cj"),(((('CAFCO 400 '!$D$7*LN(J836)+'CAFCO 400 '!$D$8)*U836^2)+(('CAFCO 400 '!$D$9*LN(J836)+'CAFCO 400 '!$D$10)*U836)+('CAFCO 400 '!$D$11*LN(J836)+'CAFCO 400 '!$D$12))),0)+IF(AND(L836="Cafco 400",M836="Software Idiem",C836="C"),((('CAFCO 400 '!$L$7*(J836^3)+'CAFCO 400 '!$L$8*(J836^2)+'CAFCO 400 '!$L$9*J836+'CAFCO 400 '!$L$10)*U836^2)+(('CAFCO 400 '!$L$11*(J836^3)+'CAFCO 400 '!$L$12*(J836^2)+'CAFCO 400 '!$L$13*J836+'CAFCO 400 '!$L$14)*U836)+('CAFCO 400 '!$L$15*LN(J836)+'CAFCO 400 '!$L$16)),0)+IF(AND(L836="Cafco 400",M836="Software Idiem",C836="L"),((('CAFCO 400 '!$L$7*(J836^3)+'CAFCO 400 '!$L$8*(J836^2)+'CAFCO 400 '!$L$9*J836+'CAFCO 400 '!$L$10)*U836^2)+(('CAFCO 400 '!$L$11*(J836^3)+'CAFCO 400 '!$L$12*(J836^2)+'CAFCO 400 '!$L$13*J836+'CAFCO 400 '!$L$14)*U836)+('CAFCO 400 '!$L$15*LN(J836)+'CAFCO 400 '!$L$16)),0)+IF(AND(L836="Cafco 400",M836="Software Idiem",C836="IN",G836=3),((('CAFCO 400 '!$D$23*(J836^2)+'CAFCO 400 '!$D$24*(J836)+'CAFCO 400 '!$D$25)*U836^2)+(('CAFCO 400 '!$D$26*(J836^2)+'CAFCO 400 '!$D$27*J836+'CAFCO 400 '!$D$28)*U836)+('CAFCO 400 '!$D$29*(J836^2)+'CAFCO 400 '!$D$30*J836+'CAFCO 400 '!$D$31)),0),0)+IF(AND(L836="Cafco 300",J836&gt;=95,J836&lt;=240,C836="Cj",I836=90),VLOOKUP(T836,'CAFCO 300 IDIEM TABLAS'!$B$4:$D$23,2,FALSE),0)+IF(AND(L836="Cafco 300",J836&gt;=95,J836&lt;=240,C836="Cj",I836=120),VLOOKUP(T836,'CAFCO 300 IDIEM TABLAS'!$B$4:$D$23,3,FALSE),0)+IF(AND(L836="Cafco 300",J836&gt;=95,J836&lt;=400,G836=3,C836="IN",I836=90),VLOOKUP(T836,'CAFCO 300 IDIEM TABLAS'!$F$4:$H$35,2,FALSE),0)+IF(AND(L836="Cafco 300",J836&gt;=95,J836&lt;=400,G836=3,C836="IN",I836=120),VLOOKUP(T836,'CAFCO 300 IDIEM TABLAS'!$F$4:$H$35,3,FALSE),0)+IF(AND(L836="Cafco 300",J836&gt;=95,J836&lt;=450,G836=4,C836="IN",I836=90),VLOOKUP(T836,'CAFCO 300 IDIEM TABLAS'!$J$4:$L$40,2,FALSE),0)+IF(AND(L836="Cafco 300",J836&gt;=95,J836&lt;=450,G836=4,C836="IN",I836=120),VLOOKUP(T836,'CAFCO 300 IDIEM TABLAS'!$J$4:$L$40,3,FALSE),0)+IF(AND(M836="Ensayo Idiem",L836="Cafco 400",C836="IN",G836=4,I836=90),VLOOKUP(T836,'CAFCO 400 ENSAYO'!$B$7:$D$43,2,FALSE),0)+IF(AND(M836="Ensayo Idiem",L836="Cafco 400",C836="IN",G836=4,I836=120),VLOOKUP(T836,'CAFCO 400 ENSAYO'!$B$7:$D$43,3,FALSE),0)</f>
        <v>0</v>
      </c>
      <c r="O836" s="96">
        <f t="shared" si="84"/>
        <v>0</v>
      </c>
      <c r="P836" s="95" t="str">
        <f t="shared" si="85"/>
        <v>N/A</v>
      </c>
      <c r="Q836" s="95" t="str">
        <f t="shared" si="86"/>
        <v>N/A</v>
      </c>
      <c r="R836" s="95" t="str">
        <f t="shared" si="87"/>
        <v>NO CERT.</v>
      </c>
      <c r="S836" s="95" t="e">
        <f t="shared" si="88"/>
        <v>#N/A</v>
      </c>
      <c r="T836" s="119" t="e">
        <f>+IF(J836=LOOKUP(J836,'CAFCO 300 IDIEM TABLAS'!$J$4:$J$40),'CALCULO MORTERO'!J836,MROUND('CALCULO MORTERO'!J836,10))</f>
        <v>#N/A</v>
      </c>
      <c r="U836" s="118">
        <f t="shared" si="89"/>
        <v>0</v>
      </c>
    </row>
    <row r="837" spans="1:21" x14ac:dyDescent="0.25">
      <c r="A837" s="118">
        <f>+CUBICACION!D831</f>
        <v>0</v>
      </c>
      <c r="B837" s="819">
        <f>+CUBICACION!E831</f>
        <v>0</v>
      </c>
      <c r="C837" s="675">
        <f>+CUBICACION!F831</f>
        <v>0</v>
      </c>
      <c r="D837" s="118"/>
      <c r="E837" s="118"/>
      <c r="F837" s="820"/>
      <c r="G837" s="675">
        <f>+CUBICACION!J831</f>
        <v>0</v>
      </c>
      <c r="H837" s="118"/>
      <c r="I837" s="821">
        <f>+CUBICACION!L831</f>
        <v>0</v>
      </c>
      <c r="J837" s="64">
        <f>+CUBICACION!M831</f>
        <v>0</v>
      </c>
      <c r="K837" s="822" t="str">
        <f>+CUBICACION!N831</f>
        <v/>
      </c>
      <c r="L837" s="118">
        <f>+CUBICACION!O831</f>
        <v>0</v>
      </c>
      <c r="M837" s="823">
        <f>+CUBICACION!P831</f>
        <v>0</v>
      </c>
      <c r="N837" s="902">
        <f>ROUND(IF(AND(L837="Blaze Shield II",M837="Software Idiem",C837="IN",G837=4),((('BLAZE SHIELD II'!$D$4*('CALCULO MORTERO'!I837^2)+'BLAZE SHIELD II'!$D$5*'CALCULO MORTERO'!I837+'BLAZE SHIELD II'!$D$6)*LN(J837))+('BLAZE SHIELD II'!$D$7*('CALCULO MORTERO'!I837^2)+'BLAZE SHIELD II'!$D$8*'CALCULO MORTERO'!I837+'BLAZE SHIELD II'!$D$9)),0)+IF(AND(L837="Blaze Shield II",M837="Software Idiem",C837="Cj"),((('BLAZE SHIELD II'!$H$4*('CALCULO MORTERO'!I837^2)+'BLAZE SHIELD II'!$H$5*'CALCULO MORTERO'!I837+'BLAZE SHIELD II'!$H$6)*LN(J837))+('BLAZE SHIELD II'!$H$7*('CALCULO MORTERO'!I837^2)+'BLAZE SHIELD II'!$H$8*'CALCULO MORTERO'!I837+'BLAZE SHIELD II'!$H$9)),0)+IF(AND(L837="Blaze Shield II",M837="Software Idiem",C837="C"),((('BLAZE SHIELD II'!$L$4*('CALCULO MORTERO'!I837^2)+'BLAZE SHIELD II'!$L$5*'CALCULO MORTERO'!I837+'BLAZE SHIELD II'!$L$6)*LN(J837))+('BLAZE SHIELD II'!$L$7*('CALCULO MORTERO'!I837^2)+'BLAZE SHIELD II'!$L$8*'CALCULO MORTERO'!I837+'BLAZE SHIELD II'!$L$9)),0)+IF(AND(L837="Blaze Shield II",M837="Software Idiem",C837="L"),((('BLAZE SHIELD II'!$L$4*('CALCULO MORTERO'!I837^2)+'BLAZE SHIELD II'!$L$5*'CALCULO MORTERO'!I837+'BLAZE SHIELD II'!$L$6)*LN(J837))+('BLAZE SHIELD II'!$L$7*('CALCULO MORTERO'!I837^2)+'BLAZE SHIELD II'!$L$8*'CALCULO MORTERO'!I837+'BLAZE SHIELD II'!$L$9)),0)+IF(AND(L837="Blaze Shield II",M837="Software Idiem",C837="IN",G837=3),((('BLAZE SHIELD II'!$H$14*('CALCULO MORTERO'!I837^2)+'BLAZE SHIELD II'!$H$15*'CALCULO MORTERO'!I837+'BLAZE SHIELD II'!$H$16)*LN(J837))+('BLAZE SHIELD II'!$H$17*('CALCULO MORTERO'!I837^2)+'BLAZE SHIELD II'!$H$18*'CALCULO MORTERO'!I837+'BLAZE SHIELD II'!$H$19)),0),0)+ROUND(IF(AND(L837="Cafco 400",M837="Software Idiem",C837="IN",G837=4),((('CAFCO 400 '!$H$7*(J837^4)+'CAFCO 400 '!$H$8*(J837^3)+'CAFCO 400 '!$H$9*(J837^2)+'CAFCO 400 '!$H$10*J837+'CAFCO 400 '!$H$11)*U837^2)+(('CAFCO 400 '!$H$12*(J837^3)+'CAFCO 400 '!$H$13*(J837^2)+'CAFCO 400 '!$H$14*J837+'CAFCO 400 '!$H$15)*U837)+('CAFCO 400 '!$H$16*(J837^2)+'CAFCO 400 '!$H$17*J837+'CAFCO 400 '!$H$18)),0)+IF(AND(L837="Cafco 400",M837="Software Idiem",C837="Cj"),(((('CAFCO 400 '!$D$7*LN(J837)+'CAFCO 400 '!$D$8)*U837^2)+(('CAFCO 400 '!$D$9*LN(J837)+'CAFCO 400 '!$D$10)*U837)+('CAFCO 400 '!$D$11*LN(J837)+'CAFCO 400 '!$D$12))),0)+IF(AND(L837="Cafco 400",M837="Software Idiem",C837="C"),((('CAFCO 400 '!$L$7*(J837^3)+'CAFCO 400 '!$L$8*(J837^2)+'CAFCO 400 '!$L$9*J837+'CAFCO 400 '!$L$10)*U837^2)+(('CAFCO 400 '!$L$11*(J837^3)+'CAFCO 400 '!$L$12*(J837^2)+'CAFCO 400 '!$L$13*J837+'CAFCO 400 '!$L$14)*U837)+('CAFCO 400 '!$L$15*LN(J837)+'CAFCO 400 '!$L$16)),0)+IF(AND(L837="Cafco 400",M837="Software Idiem",C837="L"),((('CAFCO 400 '!$L$7*(J837^3)+'CAFCO 400 '!$L$8*(J837^2)+'CAFCO 400 '!$L$9*J837+'CAFCO 400 '!$L$10)*U837^2)+(('CAFCO 400 '!$L$11*(J837^3)+'CAFCO 400 '!$L$12*(J837^2)+'CAFCO 400 '!$L$13*J837+'CAFCO 400 '!$L$14)*U837)+('CAFCO 400 '!$L$15*LN(J837)+'CAFCO 400 '!$L$16)),0)+IF(AND(L837="Cafco 400",M837="Software Idiem",C837="IN",G837=3),((('CAFCO 400 '!$D$23*(J837^2)+'CAFCO 400 '!$D$24*(J837)+'CAFCO 400 '!$D$25)*U837^2)+(('CAFCO 400 '!$D$26*(J837^2)+'CAFCO 400 '!$D$27*J837+'CAFCO 400 '!$D$28)*U837)+('CAFCO 400 '!$D$29*(J837^2)+'CAFCO 400 '!$D$30*J837+'CAFCO 400 '!$D$31)),0),0)+IF(AND(L837="Cafco 300",J837&gt;=95,J837&lt;=240,C837="Cj",I837=90),VLOOKUP(T837,'CAFCO 300 IDIEM TABLAS'!$B$4:$D$23,2,FALSE),0)+IF(AND(L837="Cafco 300",J837&gt;=95,J837&lt;=240,C837="Cj",I837=120),VLOOKUP(T837,'CAFCO 300 IDIEM TABLAS'!$B$4:$D$23,3,FALSE),0)+IF(AND(L837="Cafco 300",J837&gt;=95,J837&lt;=400,G837=3,C837="IN",I837=90),VLOOKUP(T837,'CAFCO 300 IDIEM TABLAS'!$F$4:$H$35,2,FALSE),0)+IF(AND(L837="Cafco 300",J837&gt;=95,J837&lt;=400,G837=3,C837="IN",I837=120),VLOOKUP(T837,'CAFCO 300 IDIEM TABLAS'!$F$4:$H$35,3,FALSE),0)+IF(AND(L837="Cafco 300",J837&gt;=95,J837&lt;=450,G837=4,C837="IN",I837=90),VLOOKUP(T837,'CAFCO 300 IDIEM TABLAS'!$J$4:$L$40,2,FALSE),0)+IF(AND(L837="Cafco 300",J837&gt;=95,J837&lt;=450,G837=4,C837="IN",I837=120),VLOOKUP(T837,'CAFCO 300 IDIEM TABLAS'!$J$4:$L$40,3,FALSE),0)+IF(AND(M837="Ensayo Idiem",L837="Cafco 400",C837="IN",G837=4,I837=90),VLOOKUP(T837,'CAFCO 400 ENSAYO'!$B$7:$D$43,2,FALSE),0)+IF(AND(M837="Ensayo Idiem",L837="Cafco 400",C837="IN",G837=4,I837=120),VLOOKUP(T837,'CAFCO 400 ENSAYO'!$B$7:$D$43,3,FALSE),0)</f>
        <v>0</v>
      </c>
      <c r="O837" s="96">
        <f t="shared" si="84"/>
        <v>0</v>
      </c>
      <c r="P837" s="132" t="str">
        <f t="shared" si="85"/>
        <v>N/A</v>
      </c>
      <c r="Q837" s="132" t="str">
        <f t="shared" si="86"/>
        <v>N/A</v>
      </c>
      <c r="R837" s="132" t="str">
        <f t="shared" si="87"/>
        <v>NO CERT.</v>
      </c>
      <c r="S837" s="132" t="e">
        <f t="shared" si="88"/>
        <v>#N/A</v>
      </c>
      <c r="T837" s="133" t="e">
        <f>+IF(J837=LOOKUP(J837,'CAFCO 300 IDIEM TABLAS'!$J$4:$J$40),'CALCULO MORTERO'!J837,MROUND('CALCULO MORTERO'!J837,10))</f>
        <v>#N/A</v>
      </c>
      <c r="U837" s="134">
        <f t="shared" si="89"/>
        <v>0</v>
      </c>
    </row>
    <row r="838" spans="1:21" x14ac:dyDescent="0.25">
      <c r="A838" s="118">
        <f>+CUBICACION!D832</f>
        <v>0</v>
      </c>
      <c r="B838" s="819">
        <f>+CUBICACION!E832</f>
        <v>0</v>
      </c>
      <c r="C838" s="675">
        <f>+CUBICACION!F832</f>
        <v>0</v>
      </c>
      <c r="D838" s="118"/>
      <c r="E838" s="118"/>
      <c r="F838" s="820"/>
      <c r="G838" s="675">
        <f>+CUBICACION!J832</f>
        <v>0</v>
      </c>
      <c r="H838" s="118"/>
      <c r="I838" s="821">
        <f>+CUBICACION!L832</f>
        <v>0</v>
      </c>
      <c r="J838" s="64">
        <f>+CUBICACION!M832</f>
        <v>0</v>
      </c>
      <c r="K838" s="822" t="str">
        <f>+CUBICACION!N832</f>
        <v/>
      </c>
      <c r="L838" s="118">
        <f>+CUBICACION!O832</f>
        <v>0</v>
      </c>
      <c r="M838" s="823">
        <f>+CUBICACION!P832</f>
        <v>0</v>
      </c>
      <c r="N838" s="902">
        <f>ROUND(IF(AND(L838="Blaze Shield II",M838="Software Idiem",C838="IN",G838=4),((('BLAZE SHIELD II'!$D$4*('CALCULO MORTERO'!I838^2)+'BLAZE SHIELD II'!$D$5*'CALCULO MORTERO'!I838+'BLAZE SHIELD II'!$D$6)*LN(J838))+('BLAZE SHIELD II'!$D$7*('CALCULO MORTERO'!I838^2)+'BLAZE SHIELD II'!$D$8*'CALCULO MORTERO'!I838+'BLAZE SHIELD II'!$D$9)),0)+IF(AND(L838="Blaze Shield II",M838="Software Idiem",C838="Cj"),((('BLAZE SHIELD II'!$H$4*('CALCULO MORTERO'!I838^2)+'BLAZE SHIELD II'!$H$5*'CALCULO MORTERO'!I838+'BLAZE SHIELD II'!$H$6)*LN(J838))+('BLAZE SHIELD II'!$H$7*('CALCULO MORTERO'!I838^2)+'BLAZE SHIELD II'!$H$8*'CALCULO MORTERO'!I838+'BLAZE SHIELD II'!$H$9)),0)+IF(AND(L838="Blaze Shield II",M838="Software Idiem",C838="C"),((('BLAZE SHIELD II'!$L$4*('CALCULO MORTERO'!I838^2)+'BLAZE SHIELD II'!$L$5*'CALCULO MORTERO'!I838+'BLAZE SHIELD II'!$L$6)*LN(J838))+('BLAZE SHIELD II'!$L$7*('CALCULO MORTERO'!I838^2)+'BLAZE SHIELD II'!$L$8*'CALCULO MORTERO'!I838+'BLAZE SHIELD II'!$L$9)),0)+IF(AND(L838="Blaze Shield II",M838="Software Idiem",C838="L"),((('BLAZE SHIELD II'!$L$4*('CALCULO MORTERO'!I838^2)+'BLAZE SHIELD II'!$L$5*'CALCULO MORTERO'!I838+'BLAZE SHIELD II'!$L$6)*LN(J838))+('BLAZE SHIELD II'!$L$7*('CALCULO MORTERO'!I838^2)+'BLAZE SHIELD II'!$L$8*'CALCULO MORTERO'!I838+'BLAZE SHIELD II'!$L$9)),0)+IF(AND(L838="Blaze Shield II",M838="Software Idiem",C838="IN",G838=3),((('BLAZE SHIELD II'!$H$14*('CALCULO MORTERO'!I838^2)+'BLAZE SHIELD II'!$H$15*'CALCULO MORTERO'!I838+'BLAZE SHIELD II'!$H$16)*LN(J838))+('BLAZE SHIELD II'!$H$17*('CALCULO MORTERO'!I838^2)+'BLAZE SHIELD II'!$H$18*'CALCULO MORTERO'!I838+'BLAZE SHIELD II'!$H$19)),0),0)+ROUND(IF(AND(L838="Cafco 400",M838="Software Idiem",C838="IN",G838=4),((('CAFCO 400 '!$H$7*(J838^4)+'CAFCO 400 '!$H$8*(J838^3)+'CAFCO 400 '!$H$9*(J838^2)+'CAFCO 400 '!$H$10*J838+'CAFCO 400 '!$H$11)*U838^2)+(('CAFCO 400 '!$H$12*(J838^3)+'CAFCO 400 '!$H$13*(J838^2)+'CAFCO 400 '!$H$14*J838+'CAFCO 400 '!$H$15)*U838)+('CAFCO 400 '!$H$16*(J838^2)+'CAFCO 400 '!$H$17*J838+'CAFCO 400 '!$H$18)),0)+IF(AND(L838="Cafco 400",M838="Software Idiem",C838="Cj"),(((('CAFCO 400 '!$D$7*LN(J838)+'CAFCO 400 '!$D$8)*U838^2)+(('CAFCO 400 '!$D$9*LN(J838)+'CAFCO 400 '!$D$10)*U838)+('CAFCO 400 '!$D$11*LN(J838)+'CAFCO 400 '!$D$12))),0)+IF(AND(L838="Cafco 400",M838="Software Idiem",C838="C"),((('CAFCO 400 '!$L$7*(J838^3)+'CAFCO 400 '!$L$8*(J838^2)+'CAFCO 400 '!$L$9*J838+'CAFCO 400 '!$L$10)*U838^2)+(('CAFCO 400 '!$L$11*(J838^3)+'CAFCO 400 '!$L$12*(J838^2)+'CAFCO 400 '!$L$13*J838+'CAFCO 400 '!$L$14)*U838)+('CAFCO 400 '!$L$15*LN(J838)+'CAFCO 400 '!$L$16)),0)+IF(AND(L838="Cafco 400",M838="Software Idiem",C838="L"),((('CAFCO 400 '!$L$7*(J838^3)+'CAFCO 400 '!$L$8*(J838^2)+'CAFCO 400 '!$L$9*J838+'CAFCO 400 '!$L$10)*U838^2)+(('CAFCO 400 '!$L$11*(J838^3)+'CAFCO 400 '!$L$12*(J838^2)+'CAFCO 400 '!$L$13*J838+'CAFCO 400 '!$L$14)*U838)+('CAFCO 400 '!$L$15*LN(J838)+'CAFCO 400 '!$L$16)),0)+IF(AND(L838="Cafco 400",M838="Software Idiem",C838="IN",G838=3),((('CAFCO 400 '!$D$23*(J838^2)+'CAFCO 400 '!$D$24*(J838)+'CAFCO 400 '!$D$25)*U838^2)+(('CAFCO 400 '!$D$26*(J838^2)+'CAFCO 400 '!$D$27*J838+'CAFCO 400 '!$D$28)*U838)+('CAFCO 400 '!$D$29*(J838^2)+'CAFCO 400 '!$D$30*J838+'CAFCO 400 '!$D$31)),0),0)+IF(AND(L838="Cafco 300",J838&gt;=95,J838&lt;=240,C838="Cj",I838=90),VLOOKUP(T838,'CAFCO 300 IDIEM TABLAS'!$B$4:$D$23,2,FALSE),0)+IF(AND(L838="Cafco 300",J838&gt;=95,J838&lt;=240,C838="Cj",I838=120),VLOOKUP(T838,'CAFCO 300 IDIEM TABLAS'!$B$4:$D$23,3,FALSE),0)+IF(AND(L838="Cafco 300",J838&gt;=95,J838&lt;=400,G838=3,C838="IN",I838=90),VLOOKUP(T838,'CAFCO 300 IDIEM TABLAS'!$F$4:$H$35,2,FALSE),0)+IF(AND(L838="Cafco 300",J838&gt;=95,J838&lt;=400,G838=3,C838="IN",I838=120),VLOOKUP(T838,'CAFCO 300 IDIEM TABLAS'!$F$4:$H$35,3,FALSE),0)+IF(AND(L838="Cafco 300",J838&gt;=95,J838&lt;=450,G838=4,C838="IN",I838=90),VLOOKUP(T838,'CAFCO 300 IDIEM TABLAS'!$J$4:$L$40,2,FALSE),0)+IF(AND(L838="Cafco 300",J838&gt;=95,J838&lt;=450,G838=4,C838="IN",I838=120),VLOOKUP(T838,'CAFCO 300 IDIEM TABLAS'!$J$4:$L$40,3,FALSE),0)+IF(AND(M838="Ensayo Idiem",L838="Cafco 400",C838="IN",G838=4,I838=90),VLOOKUP(T838,'CAFCO 400 ENSAYO'!$B$7:$D$43,2,FALSE),0)+IF(AND(M838="Ensayo Idiem",L838="Cafco 400",C838="IN",G838=4,I838=120),VLOOKUP(T838,'CAFCO 400 ENSAYO'!$B$7:$D$43,3,FALSE),0)</f>
        <v>0</v>
      </c>
      <c r="O838" s="96">
        <f t="shared" si="84"/>
        <v>0</v>
      </c>
      <c r="P838" s="95" t="str">
        <f t="shared" si="85"/>
        <v>N/A</v>
      </c>
      <c r="Q838" s="95" t="str">
        <f t="shared" si="86"/>
        <v>N/A</v>
      </c>
      <c r="R838" s="95" t="str">
        <f t="shared" si="87"/>
        <v>NO CERT.</v>
      </c>
      <c r="S838" s="95" t="e">
        <f t="shared" si="88"/>
        <v>#N/A</v>
      </c>
      <c r="T838" s="119" t="e">
        <f>+IF(J838=LOOKUP(J838,'CAFCO 300 IDIEM TABLAS'!$J$4:$J$40),'CALCULO MORTERO'!J838,MROUND('CALCULO MORTERO'!J838,10))</f>
        <v>#N/A</v>
      </c>
      <c r="U838" s="118">
        <f t="shared" si="89"/>
        <v>0</v>
      </c>
    </row>
    <row r="839" spans="1:21" x14ac:dyDescent="0.25">
      <c r="A839" s="118">
        <f>+CUBICACION!D833</f>
        <v>0</v>
      </c>
      <c r="B839" s="819">
        <f>+CUBICACION!E833</f>
        <v>0</v>
      </c>
      <c r="C839" s="675">
        <f>+CUBICACION!F833</f>
        <v>0</v>
      </c>
      <c r="D839" s="118"/>
      <c r="E839" s="118"/>
      <c r="F839" s="820"/>
      <c r="G839" s="675">
        <f>+CUBICACION!J833</f>
        <v>0</v>
      </c>
      <c r="H839" s="118"/>
      <c r="I839" s="821">
        <f>+CUBICACION!L833</f>
        <v>0</v>
      </c>
      <c r="J839" s="64">
        <f>+CUBICACION!M833</f>
        <v>0</v>
      </c>
      <c r="K839" s="822" t="str">
        <f>+CUBICACION!N833</f>
        <v/>
      </c>
      <c r="L839" s="118">
        <f>+CUBICACION!O833</f>
        <v>0</v>
      </c>
      <c r="M839" s="823">
        <f>+CUBICACION!P833</f>
        <v>0</v>
      </c>
      <c r="N839" s="902">
        <f>ROUND(IF(AND(L839="Blaze Shield II",M839="Software Idiem",C839="IN",G839=4),((('BLAZE SHIELD II'!$D$4*('CALCULO MORTERO'!I839^2)+'BLAZE SHIELD II'!$D$5*'CALCULO MORTERO'!I839+'BLAZE SHIELD II'!$D$6)*LN(J839))+('BLAZE SHIELD II'!$D$7*('CALCULO MORTERO'!I839^2)+'BLAZE SHIELD II'!$D$8*'CALCULO MORTERO'!I839+'BLAZE SHIELD II'!$D$9)),0)+IF(AND(L839="Blaze Shield II",M839="Software Idiem",C839="Cj"),((('BLAZE SHIELD II'!$H$4*('CALCULO MORTERO'!I839^2)+'BLAZE SHIELD II'!$H$5*'CALCULO MORTERO'!I839+'BLAZE SHIELD II'!$H$6)*LN(J839))+('BLAZE SHIELD II'!$H$7*('CALCULO MORTERO'!I839^2)+'BLAZE SHIELD II'!$H$8*'CALCULO MORTERO'!I839+'BLAZE SHIELD II'!$H$9)),0)+IF(AND(L839="Blaze Shield II",M839="Software Idiem",C839="C"),((('BLAZE SHIELD II'!$L$4*('CALCULO MORTERO'!I839^2)+'BLAZE SHIELD II'!$L$5*'CALCULO MORTERO'!I839+'BLAZE SHIELD II'!$L$6)*LN(J839))+('BLAZE SHIELD II'!$L$7*('CALCULO MORTERO'!I839^2)+'BLAZE SHIELD II'!$L$8*'CALCULO MORTERO'!I839+'BLAZE SHIELD II'!$L$9)),0)+IF(AND(L839="Blaze Shield II",M839="Software Idiem",C839="L"),((('BLAZE SHIELD II'!$L$4*('CALCULO MORTERO'!I839^2)+'BLAZE SHIELD II'!$L$5*'CALCULO MORTERO'!I839+'BLAZE SHIELD II'!$L$6)*LN(J839))+('BLAZE SHIELD II'!$L$7*('CALCULO MORTERO'!I839^2)+'BLAZE SHIELD II'!$L$8*'CALCULO MORTERO'!I839+'BLAZE SHIELD II'!$L$9)),0)+IF(AND(L839="Blaze Shield II",M839="Software Idiem",C839="IN",G839=3),((('BLAZE SHIELD II'!$H$14*('CALCULO MORTERO'!I839^2)+'BLAZE SHIELD II'!$H$15*'CALCULO MORTERO'!I839+'BLAZE SHIELD II'!$H$16)*LN(J839))+('BLAZE SHIELD II'!$H$17*('CALCULO MORTERO'!I839^2)+'BLAZE SHIELD II'!$H$18*'CALCULO MORTERO'!I839+'BLAZE SHIELD II'!$H$19)),0),0)+ROUND(IF(AND(L839="Cafco 400",M839="Software Idiem",C839="IN",G839=4),((('CAFCO 400 '!$H$7*(J839^4)+'CAFCO 400 '!$H$8*(J839^3)+'CAFCO 400 '!$H$9*(J839^2)+'CAFCO 400 '!$H$10*J839+'CAFCO 400 '!$H$11)*U839^2)+(('CAFCO 400 '!$H$12*(J839^3)+'CAFCO 400 '!$H$13*(J839^2)+'CAFCO 400 '!$H$14*J839+'CAFCO 400 '!$H$15)*U839)+('CAFCO 400 '!$H$16*(J839^2)+'CAFCO 400 '!$H$17*J839+'CAFCO 400 '!$H$18)),0)+IF(AND(L839="Cafco 400",M839="Software Idiem",C839="Cj"),(((('CAFCO 400 '!$D$7*LN(J839)+'CAFCO 400 '!$D$8)*U839^2)+(('CAFCO 400 '!$D$9*LN(J839)+'CAFCO 400 '!$D$10)*U839)+('CAFCO 400 '!$D$11*LN(J839)+'CAFCO 400 '!$D$12))),0)+IF(AND(L839="Cafco 400",M839="Software Idiem",C839="C"),((('CAFCO 400 '!$L$7*(J839^3)+'CAFCO 400 '!$L$8*(J839^2)+'CAFCO 400 '!$L$9*J839+'CAFCO 400 '!$L$10)*U839^2)+(('CAFCO 400 '!$L$11*(J839^3)+'CAFCO 400 '!$L$12*(J839^2)+'CAFCO 400 '!$L$13*J839+'CAFCO 400 '!$L$14)*U839)+('CAFCO 400 '!$L$15*LN(J839)+'CAFCO 400 '!$L$16)),0)+IF(AND(L839="Cafco 400",M839="Software Idiem",C839="L"),((('CAFCO 400 '!$L$7*(J839^3)+'CAFCO 400 '!$L$8*(J839^2)+'CAFCO 400 '!$L$9*J839+'CAFCO 400 '!$L$10)*U839^2)+(('CAFCO 400 '!$L$11*(J839^3)+'CAFCO 400 '!$L$12*(J839^2)+'CAFCO 400 '!$L$13*J839+'CAFCO 400 '!$L$14)*U839)+('CAFCO 400 '!$L$15*LN(J839)+'CAFCO 400 '!$L$16)),0)+IF(AND(L839="Cafco 400",M839="Software Idiem",C839="IN",G839=3),((('CAFCO 400 '!$D$23*(J839^2)+'CAFCO 400 '!$D$24*(J839)+'CAFCO 400 '!$D$25)*U839^2)+(('CAFCO 400 '!$D$26*(J839^2)+'CAFCO 400 '!$D$27*J839+'CAFCO 400 '!$D$28)*U839)+('CAFCO 400 '!$D$29*(J839^2)+'CAFCO 400 '!$D$30*J839+'CAFCO 400 '!$D$31)),0),0)+IF(AND(L839="Cafco 300",J839&gt;=95,J839&lt;=240,C839="Cj",I839=90),VLOOKUP(T839,'CAFCO 300 IDIEM TABLAS'!$B$4:$D$23,2,FALSE),0)+IF(AND(L839="Cafco 300",J839&gt;=95,J839&lt;=240,C839="Cj",I839=120),VLOOKUP(T839,'CAFCO 300 IDIEM TABLAS'!$B$4:$D$23,3,FALSE),0)+IF(AND(L839="Cafco 300",J839&gt;=95,J839&lt;=400,G839=3,C839="IN",I839=90),VLOOKUP(T839,'CAFCO 300 IDIEM TABLAS'!$F$4:$H$35,2,FALSE),0)+IF(AND(L839="Cafco 300",J839&gt;=95,J839&lt;=400,G839=3,C839="IN",I839=120),VLOOKUP(T839,'CAFCO 300 IDIEM TABLAS'!$F$4:$H$35,3,FALSE),0)+IF(AND(L839="Cafco 300",J839&gt;=95,J839&lt;=450,G839=4,C839="IN",I839=90),VLOOKUP(T839,'CAFCO 300 IDIEM TABLAS'!$J$4:$L$40,2,FALSE),0)+IF(AND(L839="Cafco 300",J839&gt;=95,J839&lt;=450,G839=4,C839="IN",I839=120),VLOOKUP(T839,'CAFCO 300 IDIEM TABLAS'!$J$4:$L$40,3,FALSE),0)+IF(AND(M839="Ensayo Idiem",L839="Cafco 400",C839="IN",G839=4,I839=90),VLOOKUP(T839,'CAFCO 400 ENSAYO'!$B$7:$D$43,2,FALSE),0)+IF(AND(M839="Ensayo Idiem",L839="Cafco 400",C839="IN",G839=4,I839=120),VLOOKUP(T839,'CAFCO 400 ENSAYO'!$B$7:$D$43,3,FALSE),0)</f>
        <v>0</v>
      </c>
      <c r="O839" s="96">
        <f t="shared" si="84"/>
        <v>0</v>
      </c>
      <c r="P839" s="132" t="str">
        <f t="shared" si="85"/>
        <v>N/A</v>
      </c>
      <c r="Q839" s="132" t="str">
        <f t="shared" si="86"/>
        <v>N/A</v>
      </c>
      <c r="R839" s="132" t="str">
        <f t="shared" si="87"/>
        <v>NO CERT.</v>
      </c>
      <c r="S839" s="132" t="e">
        <f t="shared" si="88"/>
        <v>#N/A</v>
      </c>
      <c r="T839" s="133" t="e">
        <f>+IF(J839=LOOKUP(J839,'CAFCO 300 IDIEM TABLAS'!$J$4:$J$40),'CALCULO MORTERO'!J839,MROUND('CALCULO MORTERO'!J839,10))</f>
        <v>#N/A</v>
      </c>
      <c r="U839" s="134">
        <f t="shared" si="89"/>
        <v>0</v>
      </c>
    </row>
    <row r="840" spans="1:21" x14ac:dyDescent="0.25">
      <c r="A840" s="118">
        <f>+CUBICACION!D834</f>
        <v>0</v>
      </c>
      <c r="B840" s="819">
        <f>+CUBICACION!E834</f>
        <v>0</v>
      </c>
      <c r="C840" s="675">
        <f>+CUBICACION!F834</f>
        <v>0</v>
      </c>
      <c r="D840" s="118"/>
      <c r="E840" s="118"/>
      <c r="F840" s="820"/>
      <c r="G840" s="675">
        <f>+CUBICACION!J834</f>
        <v>0</v>
      </c>
      <c r="H840" s="118"/>
      <c r="I840" s="821">
        <f>+CUBICACION!L834</f>
        <v>0</v>
      </c>
      <c r="J840" s="64">
        <f>+CUBICACION!M834</f>
        <v>0</v>
      </c>
      <c r="K840" s="822" t="str">
        <f>+CUBICACION!N834</f>
        <v/>
      </c>
      <c r="L840" s="118">
        <f>+CUBICACION!O834</f>
        <v>0</v>
      </c>
      <c r="M840" s="823">
        <f>+CUBICACION!P834</f>
        <v>0</v>
      </c>
      <c r="N840" s="902">
        <f>ROUND(IF(AND(L840="Blaze Shield II",M840="Software Idiem",C840="IN",G840=4),((('BLAZE SHIELD II'!$D$4*('CALCULO MORTERO'!I840^2)+'BLAZE SHIELD II'!$D$5*'CALCULO MORTERO'!I840+'BLAZE SHIELD II'!$D$6)*LN(J840))+('BLAZE SHIELD II'!$D$7*('CALCULO MORTERO'!I840^2)+'BLAZE SHIELD II'!$D$8*'CALCULO MORTERO'!I840+'BLAZE SHIELD II'!$D$9)),0)+IF(AND(L840="Blaze Shield II",M840="Software Idiem",C840="Cj"),((('BLAZE SHIELD II'!$H$4*('CALCULO MORTERO'!I840^2)+'BLAZE SHIELD II'!$H$5*'CALCULO MORTERO'!I840+'BLAZE SHIELD II'!$H$6)*LN(J840))+('BLAZE SHIELD II'!$H$7*('CALCULO MORTERO'!I840^2)+'BLAZE SHIELD II'!$H$8*'CALCULO MORTERO'!I840+'BLAZE SHIELD II'!$H$9)),0)+IF(AND(L840="Blaze Shield II",M840="Software Idiem",C840="C"),((('BLAZE SHIELD II'!$L$4*('CALCULO MORTERO'!I840^2)+'BLAZE SHIELD II'!$L$5*'CALCULO MORTERO'!I840+'BLAZE SHIELD II'!$L$6)*LN(J840))+('BLAZE SHIELD II'!$L$7*('CALCULO MORTERO'!I840^2)+'BLAZE SHIELD II'!$L$8*'CALCULO MORTERO'!I840+'BLAZE SHIELD II'!$L$9)),0)+IF(AND(L840="Blaze Shield II",M840="Software Idiem",C840="L"),((('BLAZE SHIELD II'!$L$4*('CALCULO MORTERO'!I840^2)+'BLAZE SHIELD II'!$L$5*'CALCULO MORTERO'!I840+'BLAZE SHIELD II'!$L$6)*LN(J840))+('BLAZE SHIELD II'!$L$7*('CALCULO MORTERO'!I840^2)+'BLAZE SHIELD II'!$L$8*'CALCULO MORTERO'!I840+'BLAZE SHIELD II'!$L$9)),0)+IF(AND(L840="Blaze Shield II",M840="Software Idiem",C840="IN",G840=3),((('BLAZE SHIELD II'!$H$14*('CALCULO MORTERO'!I840^2)+'BLAZE SHIELD II'!$H$15*'CALCULO MORTERO'!I840+'BLAZE SHIELD II'!$H$16)*LN(J840))+('BLAZE SHIELD II'!$H$17*('CALCULO MORTERO'!I840^2)+'BLAZE SHIELD II'!$H$18*'CALCULO MORTERO'!I840+'BLAZE SHIELD II'!$H$19)),0),0)+ROUND(IF(AND(L840="Cafco 400",M840="Software Idiem",C840="IN",G840=4),((('CAFCO 400 '!$H$7*(J840^4)+'CAFCO 400 '!$H$8*(J840^3)+'CAFCO 400 '!$H$9*(J840^2)+'CAFCO 400 '!$H$10*J840+'CAFCO 400 '!$H$11)*U840^2)+(('CAFCO 400 '!$H$12*(J840^3)+'CAFCO 400 '!$H$13*(J840^2)+'CAFCO 400 '!$H$14*J840+'CAFCO 400 '!$H$15)*U840)+('CAFCO 400 '!$H$16*(J840^2)+'CAFCO 400 '!$H$17*J840+'CAFCO 400 '!$H$18)),0)+IF(AND(L840="Cafco 400",M840="Software Idiem",C840="Cj"),(((('CAFCO 400 '!$D$7*LN(J840)+'CAFCO 400 '!$D$8)*U840^2)+(('CAFCO 400 '!$D$9*LN(J840)+'CAFCO 400 '!$D$10)*U840)+('CAFCO 400 '!$D$11*LN(J840)+'CAFCO 400 '!$D$12))),0)+IF(AND(L840="Cafco 400",M840="Software Idiem",C840="C"),((('CAFCO 400 '!$L$7*(J840^3)+'CAFCO 400 '!$L$8*(J840^2)+'CAFCO 400 '!$L$9*J840+'CAFCO 400 '!$L$10)*U840^2)+(('CAFCO 400 '!$L$11*(J840^3)+'CAFCO 400 '!$L$12*(J840^2)+'CAFCO 400 '!$L$13*J840+'CAFCO 400 '!$L$14)*U840)+('CAFCO 400 '!$L$15*LN(J840)+'CAFCO 400 '!$L$16)),0)+IF(AND(L840="Cafco 400",M840="Software Idiem",C840="L"),((('CAFCO 400 '!$L$7*(J840^3)+'CAFCO 400 '!$L$8*(J840^2)+'CAFCO 400 '!$L$9*J840+'CAFCO 400 '!$L$10)*U840^2)+(('CAFCO 400 '!$L$11*(J840^3)+'CAFCO 400 '!$L$12*(J840^2)+'CAFCO 400 '!$L$13*J840+'CAFCO 400 '!$L$14)*U840)+('CAFCO 400 '!$L$15*LN(J840)+'CAFCO 400 '!$L$16)),0)+IF(AND(L840="Cafco 400",M840="Software Idiem",C840="IN",G840=3),((('CAFCO 400 '!$D$23*(J840^2)+'CAFCO 400 '!$D$24*(J840)+'CAFCO 400 '!$D$25)*U840^2)+(('CAFCO 400 '!$D$26*(J840^2)+'CAFCO 400 '!$D$27*J840+'CAFCO 400 '!$D$28)*U840)+('CAFCO 400 '!$D$29*(J840^2)+'CAFCO 400 '!$D$30*J840+'CAFCO 400 '!$D$31)),0),0)+IF(AND(L840="Cafco 300",J840&gt;=95,J840&lt;=240,C840="Cj",I840=90),VLOOKUP(T840,'CAFCO 300 IDIEM TABLAS'!$B$4:$D$23,2,FALSE),0)+IF(AND(L840="Cafco 300",J840&gt;=95,J840&lt;=240,C840="Cj",I840=120),VLOOKUP(T840,'CAFCO 300 IDIEM TABLAS'!$B$4:$D$23,3,FALSE),0)+IF(AND(L840="Cafco 300",J840&gt;=95,J840&lt;=400,G840=3,C840="IN",I840=90),VLOOKUP(T840,'CAFCO 300 IDIEM TABLAS'!$F$4:$H$35,2,FALSE),0)+IF(AND(L840="Cafco 300",J840&gt;=95,J840&lt;=400,G840=3,C840="IN",I840=120),VLOOKUP(T840,'CAFCO 300 IDIEM TABLAS'!$F$4:$H$35,3,FALSE),0)+IF(AND(L840="Cafco 300",J840&gt;=95,J840&lt;=450,G840=4,C840="IN",I840=90),VLOOKUP(T840,'CAFCO 300 IDIEM TABLAS'!$J$4:$L$40,2,FALSE),0)+IF(AND(L840="Cafco 300",J840&gt;=95,J840&lt;=450,G840=4,C840="IN",I840=120),VLOOKUP(T840,'CAFCO 300 IDIEM TABLAS'!$J$4:$L$40,3,FALSE),0)+IF(AND(M840="Ensayo Idiem",L840="Cafco 400",C840="IN",G840=4,I840=90),VLOOKUP(T840,'CAFCO 400 ENSAYO'!$B$7:$D$43,2,FALSE),0)+IF(AND(M840="Ensayo Idiem",L840="Cafco 400",C840="IN",G840=4,I840=120),VLOOKUP(T840,'CAFCO 400 ENSAYO'!$B$7:$D$43,3,FALSE),0)</f>
        <v>0</v>
      </c>
      <c r="O840" s="96">
        <f t="shared" si="84"/>
        <v>0</v>
      </c>
      <c r="P840" s="95" t="str">
        <f t="shared" si="85"/>
        <v>N/A</v>
      </c>
      <c r="Q840" s="95" t="str">
        <f t="shared" si="86"/>
        <v>N/A</v>
      </c>
      <c r="R840" s="95" t="str">
        <f t="shared" si="87"/>
        <v>NO CERT.</v>
      </c>
      <c r="S840" s="95" t="e">
        <f t="shared" si="88"/>
        <v>#N/A</v>
      </c>
      <c r="T840" s="119" t="e">
        <f>+IF(J840=LOOKUP(J840,'CAFCO 300 IDIEM TABLAS'!$J$4:$J$40),'CALCULO MORTERO'!J840,MROUND('CALCULO MORTERO'!J840,10))</f>
        <v>#N/A</v>
      </c>
      <c r="U840" s="118">
        <f t="shared" si="89"/>
        <v>0</v>
      </c>
    </row>
    <row r="841" spans="1:21" x14ac:dyDescent="0.25">
      <c r="A841" s="118">
        <f>+CUBICACION!D835</f>
        <v>0</v>
      </c>
      <c r="B841" s="819">
        <f>+CUBICACION!E835</f>
        <v>0</v>
      </c>
      <c r="C841" s="675">
        <f>+CUBICACION!F835</f>
        <v>0</v>
      </c>
      <c r="D841" s="118"/>
      <c r="E841" s="118"/>
      <c r="F841" s="820"/>
      <c r="G841" s="675">
        <f>+CUBICACION!J835</f>
        <v>0</v>
      </c>
      <c r="H841" s="118"/>
      <c r="I841" s="821">
        <f>+CUBICACION!L835</f>
        <v>0</v>
      </c>
      <c r="J841" s="64">
        <f>+CUBICACION!M835</f>
        <v>0</v>
      </c>
      <c r="K841" s="822" t="str">
        <f>+CUBICACION!N835</f>
        <v/>
      </c>
      <c r="L841" s="118">
        <f>+CUBICACION!O835</f>
        <v>0</v>
      </c>
      <c r="M841" s="823">
        <f>+CUBICACION!P835</f>
        <v>0</v>
      </c>
      <c r="N841" s="902">
        <f>ROUND(IF(AND(L841="Blaze Shield II",M841="Software Idiem",C841="IN",G841=4),((('BLAZE SHIELD II'!$D$4*('CALCULO MORTERO'!I841^2)+'BLAZE SHIELD II'!$D$5*'CALCULO MORTERO'!I841+'BLAZE SHIELD II'!$D$6)*LN(J841))+('BLAZE SHIELD II'!$D$7*('CALCULO MORTERO'!I841^2)+'BLAZE SHIELD II'!$D$8*'CALCULO MORTERO'!I841+'BLAZE SHIELD II'!$D$9)),0)+IF(AND(L841="Blaze Shield II",M841="Software Idiem",C841="Cj"),((('BLAZE SHIELD II'!$H$4*('CALCULO MORTERO'!I841^2)+'BLAZE SHIELD II'!$H$5*'CALCULO MORTERO'!I841+'BLAZE SHIELD II'!$H$6)*LN(J841))+('BLAZE SHIELD II'!$H$7*('CALCULO MORTERO'!I841^2)+'BLAZE SHIELD II'!$H$8*'CALCULO MORTERO'!I841+'BLAZE SHIELD II'!$H$9)),0)+IF(AND(L841="Blaze Shield II",M841="Software Idiem",C841="C"),((('BLAZE SHIELD II'!$L$4*('CALCULO MORTERO'!I841^2)+'BLAZE SHIELD II'!$L$5*'CALCULO MORTERO'!I841+'BLAZE SHIELD II'!$L$6)*LN(J841))+('BLAZE SHIELD II'!$L$7*('CALCULO MORTERO'!I841^2)+'BLAZE SHIELD II'!$L$8*'CALCULO MORTERO'!I841+'BLAZE SHIELD II'!$L$9)),0)+IF(AND(L841="Blaze Shield II",M841="Software Idiem",C841="L"),((('BLAZE SHIELD II'!$L$4*('CALCULO MORTERO'!I841^2)+'BLAZE SHIELD II'!$L$5*'CALCULO MORTERO'!I841+'BLAZE SHIELD II'!$L$6)*LN(J841))+('BLAZE SHIELD II'!$L$7*('CALCULO MORTERO'!I841^2)+'BLAZE SHIELD II'!$L$8*'CALCULO MORTERO'!I841+'BLAZE SHIELD II'!$L$9)),0)+IF(AND(L841="Blaze Shield II",M841="Software Idiem",C841="IN",G841=3),((('BLAZE SHIELD II'!$H$14*('CALCULO MORTERO'!I841^2)+'BLAZE SHIELD II'!$H$15*'CALCULO MORTERO'!I841+'BLAZE SHIELD II'!$H$16)*LN(J841))+('BLAZE SHIELD II'!$H$17*('CALCULO MORTERO'!I841^2)+'BLAZE SHIELD II'!$H$18*'CALCULO MORTERO'!I841+'BLAZE SHIELD II'!$H$19)),0),0)+ROUND(IF(AND(L841="Cafco 400",M841="Software Idiem",C841="IN",G841=4),((('CAFCO 400 '!$H$7*(J841^4)+'CAFCO 400 '!$H$8*(J841^3)+'CAFCO 400 '!$H$9*(J841^2)+'CAFCO 400 '!$H$10*J841+'CAFCO 400 '!$H$11)*U841^2)+(('CAFCO 400 '!$H$12*(J841^3)+'CAFCO 400 '!$H$13*(J841^2)+'CAFCO 400 '!$H$14*J841+'CAFCO 400 '!$H$15)*U841)+('CAFCO 400 '!$H$16*(J841^2)+'CAFCO 400 '!$H$17*J841+'CAFCO 400 '!$H$18)),0)+IF(AND(L841="Cafco 400",M841="Software Idiem",C841="Cj"),(((('CAFCO 400 '!$D$7*LN(J841)+'CAFCO 400 '!$D$8)*U841^2)+(('CAFCO 400 '!$D$9*LN(J841)+'CAFCO 400 '!$D$10)*U841)+('CAFCO 400 '!$D$11*LN(J841)+'CAFCO 400 '!$D$12))),0)+IF(AND(L841="Cafco 400",M841="Software Idiem",C841="C"),((('CAFCO 400 '!$L$7*(J841^3)+'CAFCO 400 '!$L$8*(J841^2)+'CAFCO 400 '!$L$9*J841+'CAFCO 400 '!$L$10)*U841^2)+(('CAFCO 400 '!$L$11*(J841^3)+'CAFCO 400 '!$L$12*(J841^2)+'CAFCO 400 '!$L$13*J841+'CAFCO 400 '!$L$14)*U841)+('CAFCO 400 '!$L$15*LN(J841)+'CAFCO 400 '!$L$16)),0)+IF(AND(L841="Cafco 400",M841="Software Idiem",C841="L"),((('CAFCO 400 '!$L$7*(J841^3)+'CAFCO 400 '!$L$8*(J841^2)+'CAFCO 400 '!$L$9*J841+'CAFCO 400 '!$L$10)*U841^2)+(('CAFCO 400 '!$L$11*(J841^3)+'CAFCO 400 '!$L$12*(J841^2)+'CAFCO 400 '!$L$13*J841+'CAFCO 400 '!$L$14)*U841)+('CAFCO 400 '!$L$15*LN(J841)+'CAFCO 400 '!$L$16)),0)+IF(AND(L841="Cafco 400",M841="Software Idiem",C841="IN",G841=3),((('CAFCO 400 '!$D$23*(J841^2)+'CAFCO 400 '!$D$24*(J841)+'CAFCO 400 '!$D$25)*U841^2)+(('CAFCO 400 '!$D$26*(J841^2)+'CAFCO 400 '!$D$27*J841+'CAFCO 400 '!$D$28)*U841)+('CAFCO 400 '!$D$29*(J841^2)+'CAFCO 400 '!$D$30*J841+'CAFCO 400 '!$D$31)),0),0)+IF(AND(L841="Cafco 300",J841&gt;=95,J841&lt;=240,C841="Cj",I841=90),VLOOKUP(T841,'CAFCO 300 IDIEM TABLAS'!$B$4:$D$23,2,FALSE),0)+IF(AND(L841="Cafco 300",J841&gt;=95,J841&lt;=240,C841="Cj",I841=120),VLOOKUP(T841,'CAFCO 300 IDIEM TABLAS'!$B$4:$D$23,3,FALSE),0)+IF(AND(L841="Cafco 300",J841&gt;=95,J841&lt;=400,G841=3,C841="IN",I841=90),VLOOKUP(T841,'CAFCO 300 IDIEM TABLAS'!$F$4:$H$35,2,FALSE),0)+IF(AND(L841="Cafco 300",J841&gt;=95,J841&lt;=400,G841=3,C841="IN",I841=120),VLOOKUP(T841,'CAFCO 300 IDIEM TABLAS'!$F$4:$H$35,3,FALSE),0)+IF(AND(L841="Cafco 300",J841&gt;=95,J841&lt;=450,G841=4,C841="IN",I841=90),VLOOKUP(T841,'CAFCO 300 IDIEM TABLAS'!$J$4:$L$40,2,FALSE),0)+IF(AND(L841="Cafco 300",J841&gt;=95,J841&lt;=450,G841=4,C841="IN",I841=120),VLOOKUP(T841,'CAFCO 300 IDIEM TABLAS'!$J$4:$L$40,3,FALSE),0)+IF(AND(M841="Ensayo Idiem",L841="Cafco 400",C841="IN",G841=4,I841=90),VLOOKUP(T841,'CAFCO 400 ENSAYO'!$B$7:$D$43,2,FALSE),0)+IF(AND(M841="Ensayo Idiem",L841="Cafco 400",C841="IN",G841=4,I841=120),VLOOKUP(T841,'CAFCO 400 ENSAYO'!$B$7:$D$43,3,FALSE),0)</f>
        <v>0</v>
      </c>
      <c r="O841" s="96">
        <f t="shared" si="84"/>
        <v>0</v>
      </c>
      <c r="P841" s="132" t="str">
        <f t="shared" si="85"/>
        <v>N/A</v>
      </c>
      <c r="Q841" s="132" t="str">
        <f t="shared" si="86"/>
        <v>N/A</v>
      </c>
      <c r="R841" s="132" t="str">
        <f t="shared" si="87"/>
        <v>NO CERT.</v>
      </c>
      <c r="S841" s="132" t="e">
        <f t="shared" si="88"/>
        <v>#N/A</v>
      </c>
      <c r="T841" s="133" t="e">
        <f>+IF(J841=LOOKUP(J841,'CAFCO 300 IDIEM TABLAS'!$J$4:$J$40),'CALCULO MORTERO'!J841,MROUND('CALCULO MORTERO'!J841,10))</f>
        <v>#N/A</v>
      </c>
      <c r="U841" s="134">
        <f t="shared" si="89"/>
        <v>0</v>
      </c>
    </row>
    <row r="842" spans="1:21" x14ac:dyDescent="0.25">
      <c r="A842" s="118">
        <f>+CUBICACION!D836</f>
        <v>0</v>
      </c>
      <c r="B842" s="819">
        <f>+CUBICACION!E836</f>
        <v>0</v>
      </c>
      <c r="C842" s="675">
        <f>+CUBICACION!F836</f>
        <v>0</v>
      </c>
      <c r="D842" s="118"/>
      <c r="E842" s="118"/>
      <c r="F842" s="820"/>
      <c r="G842" s="675">
        <f>+CUBICACION!J836</f>
        <v>0</v>
      </c>
      <c r="H842" s="118"/>
      <c r="I842" s="821">
        <f>+CUBICACION!L836</f>
        <v>0</v>
      </c>
      <c r="J842" s="64">
        <f>+CUBICACION!M836</f>
        <v>0</v>
      </c>
      <c r="K842" s="822" t="str">
        <f>+CUBICACION!N836</f>
        <v/>
      </c>
      <c r="L842" s="118">
        <f>+CUBICACION!O836</f>
        <v>0</v>
      </c>
      <c r="M842" s="823">
        <f>+CUBICACION!P836</f>
        <v>0</v>
      </c>
      <c r="N842" s="902">
        <f>ROUND(IF(AND(L842="Blaze Shield II",M842="Software Idiem",C842="IN",G842=4),((('BLAZE SHIELD II'!$D$4*('CALCULO MORTERO'!I842^2)+'BLAZE SHIELD II'!$D$5*'CALCULO MORTERO'!I842+'BLAZE SHIELD II'!$D$6)*LN(J842))+('BLAZE SHIELD II'!$D$7*('CALCULO MORTERO'!I842^2)+'BLAZE SHIELD II'!$D$8*'CALCULO MORTERO'!I842+'BLAZE SHIELD II'!$D$9)),0)+IF(AND(L842="Blaze Shield II",M842="Software Idiem",C842="Cj"),((('BLAZE SHIELD II'!$H$4*('CALCULO MORTERO'!I842^2)+'BLAZE SHIELD II'!$H$5*'CALCULO MORTERO'!I842+'BLAZE SHIELD II'!$H$6)*LN(J842))+('BLAZE SHIELD II'!$H$7*('CALCULO MORTERO'!I842^2)+'BLAZE SHIELD II'!$H$8*'CALCULO MORTERO'!I842+'BLAZE SHIELD II'!$H$9)),0)+IF(AND(L842="Blaze Shield II",M842="Software Idiem",C842="C"),((('BLAZE SHIELD II'!$L$4*('CALCULO MORTERO'!I842^2)+'BLAZE SHIELD II'!$L$5*'CALCULO MORTERO'!I842+'BLAZE SHIELD II'!$L$6)*LN(J842))+('BLAZE SHIELD II'!$L$7*('CALCULO MORTERO'!I842^2)+'BLAZE SHIELD II'!$L$8*'CALCULO MORTERO'!I842+'BLAZE SHIELD II'!$L$9)),0)+IF(AND(L842="Blaze Shield II",M842="Software Idiem",C842="L"),((('BLAZE SHIELD II'!$L$4*('CALCULO MORTERO'!I842^2)+'BLAZE SHIELD II'!$L$5*'CALCULO MORTERO'!I842+'BLAZE SHIELD II'!$L$6)*LN(J842))+('BLAZE SHIELD II'!$L$7*('CALCULO MORTERO'!I842^2)+'BLAZE SHIELD II'!$L$8*'CALCULO MORTERO'!I842+'BLAZE SHIELD II'!$L$9)),0)+IF(AND(L842="Blaze Shield II",M842="Software Idiem",C842="IN",G842=3),((('BLAZE SHIELD II'!$H$14*('CALCULO MORTERO'!I842^2)+'BLAZE SHIELD II'!$H$15*'CALCULO MORTERO'!I842+'BLAZE SHIELD II'!$H$16)*LN(J842))+('BLAZE SHIELD II'!$H$17*('CALCULO MORTERO'!I842^2)+'BLAZE SHIELD II'!$H$18*'CALCULO MORTERO'!I842+'BLAZE SHIELD II'!$H$19)),0),0)+ROUND(IF(AND(L842="Cafco 400",M842="Software Idiem",C842="IN",G842=4),((('CAFCO 400 '!$H$7*(J842^4)+'CAFCO 400 '!$H$8*(J842^3)+'CAFCO 400 '!$H$9*(J842^2)+'CAFCO 400 '!$H$10*J842+'CAFCO 400 '!$H$11)*U842^2)+(('CAFCO 400 '!$H$12*(J842^3)+'CAFCO 400 '!$H$13*(J842^2)+'CAFCO 400 '!$H$14*J842+'CAFCO 400 '!$H$15)*U842)+('CAFCO 400 '!$H$16*(J842^2)+'CAFCO 400 '!$H$17*J842+'CAFCO 400 '!$H$18)),0)+IF(AND(L842="Cafco 400",M842="Software Idiem",C842="Cj"),(((('CAFCO 400 '!$D$7*LN(J842)+'CAFCO 400 '!$D$8)*U842^2)+(('CAFCO 400 '!$D$9*LN(J842)+'CAFCO 400 '!$D$10)*U842)+('CAFCO 400 '!$D$11*LN(J842)+'CAFCO 400 '!$D$12))),0)+IF(AND(L842="Cafco 400",M842="Software Idiem",C842="C"),((('CAFCO 400 '!$L$7*(J842^3)+'CAFCO 400 '!$L$8*(J842^2)+'CAFCO 400 '!$L$9*J842+'CAFCO 400 '!$L$10)*U842^2)+(('CAFCO 400 '!$L$11*(J842^3)+'CAFCO 400 '!$L$12*(J842^2)+'CAFCO 400 '!$L$13*J842+'CAFCO 400 '!$L$14)*U842)+('CAFCO 400 '!$L$15*LN(J842)+'CAFCO 400 '!$L$16)),0)+IF(AND(L842="Cafco 400",M842="Software Idiem",C842="L"),((('CAFCO 400 '!$L$7*(J842^3)+'CAFCO 400 '!$L$8*(J842^2)+'CAFCO 400 '!$L$9*J842+'CAFCO 400 '!$L$10)*U842^2)+(('CAFCO 400 '!$L$11*(J842^3)+'CAFCO 400 '!$L$12*(J842^2)+'CAFCO 400 '!$L$13*J842+'CAFCO 400 '!$L$14)*U842)+('CAFCO 400 '!$L$15*LN(J842)+'CAFCO 400 '!$L$16)),0)+IF(AND(L842="Cafco 400",M842="Software Idiem",C842="IN",G842=3),((('CAFCO 400 '!$D$23*(J842^2)+'CAFCO 400 '!$D$24*(J842)+'CAFCO 400 '!$D$25)*U842^2)+(('CAFCO 400 '!$D$26*(J842^2)+'CAFCO 400 '!$D$27*J842+'CAFCO 400 '!$D$28)*U842)+('CAFCO 400 '!$D$29*(J842^2)+'CAFCO 400 '!$D$30*J842+'CAFCO 400 '!$D$31)),0),0)+IF(AND(L842="Cafco 300",J842&gt;=95,J842&lt;=240,C842="Cj",I842=90),VLOOKUP(T842,'CAFCO 300 IDIEM TABLAS'!$B$4:$D$23,2,FALSE),0)+IF(AND(L842="Cafco 300",J842&gt;=95,J842&lt;=240,C842="Cj",I842=120),VLOOKUP(T842,'CAFCO 300 IDIEM TABLAS'!$B$4:$D$23,3,FALSE),0)+IF(AND(L842="Cafco 300",J842&gt;=95,J842&lt;=400,G842=3,C842="IN",I842=90),VLOOKUP(T842,'CAFCO 300 IDIEM TABLAS'!$F$4:$H$35,2,FALSE),0)+IF(AND(L842="Cafco 300",J842&gt;=95,J842&lt;=400,G842=3,C842="IN",I842=120),VLOOKUP(T842,'CAFCO 300 IDIEM TABLAS'!$F$4:$H$35,3,FALSE),0)+IF(AND(L842="Cafco 300",J842&gt;=95,J842&lt;=450,G842=4,C842="IN",I842=90),VLOOKUP(T842,'CAFCO 300 IDIEM TABLAS'!$J$4:$L$40,2,FALSE),0)+IF(AND(L842="Cafco 300",J842&gt;=95,J842&lt;=450,G842=4,C842="IN",I842=120),VLOOKUP(T842,'CAFCO 300 IDIEM TABLAS'!$J$4:$L$40,3,FALSE),0)+IF(AND(M842="Ensayo Idiem",L842="Cafco 400",C842="IN",G842=4,I842=90),VLOOKUP(T842,'CAFCO 400 ENSAYO'!$B$7:$D$43,2,FALSE),0)+IF(AND(M842="Ensayo Idiem",L842="Cafco 400",C842="IN",G842=4,I842=120),VLOOKUP(T842,'CAFCO 400 ENSAYO'!$B$7:$D$43,3,FALSE),0)</f>
        <v>0</v>
      </c>
      <c r="O842" s="96">
        <f t="shared" si="84"/>
        <v>0</v>
      </c>
      <c r="P842" s="95" t="str">
        <f t="shared" si="85"/>
        <v>N/A</v>
      </c>
      <c r="Q842" s="95" t="str">
        <f t="shared" si="86"/>
        <v>N/A</v>
      </c>
      <c r="R842" s="95" t="str">
        <f t="shared" si="87"/>
        <v>NO CERT.</v>
      </c>
      <c r="S842" s="95" t="e">
        <f t="shared" si="88"/>
        <v>#N/A</v>
      </c>
      <c r="T842" s="119" t="e">
        <f>+IF(J842=LOOKUP(J842,'CAFCO 300 IDIEM TABLAS'!$J$4:$J$40),'CALCULO MORTERO'!J842,MROUND('CALCULO MORTERO'!J842,10))</f>
        <v>#N/A</v>
      </c>
      <c r="U842" s="118">
        <f t="shared" si="89"/>
        <v>0</v>
      </c>
    </row>
    <row r="843" spans="1:21" x14ac:dyDescent="0.25">
      <c r="A843" s="118">
        <f>+CUBICACION!D837</f>
        <v>0</v>
      </c>
      <c r="B843" s="819">
        <f>+CUBICACION!E837</f>
        <v>0</v>
      </c>
      <c r="C843" s="675">
        <f>+CUBICACION!F837</f>
        <v>0</v>
      </c>
      <c r="D843" s="118"/>
      <c r="E843" s="118"/>
      <c r="F843" s="820"/>
      <c r="G843" s="675">
        <f>+CUBICACION!J837</f>
        <v>0</v>
      </c>
      <c r="H843" s="118"/>
      <c r="I843" s="821">
        <f>+CUBICACION!L837</f>
        <v>0</v>
      </c>
      <c r="J843" s="64">
        <f>+CUBICACION!M837</f>
        <v>0</v>
      </c>
      <c r="K843" s="822" t="str">
        <f>+CUBICACION!N837</f>
        <v/>
      </c>
      <c r="L843" s="118">
        <f>+CUBICACION!O837</f>
        <v>0</v>
      </c>
      <c r="M843" s="823">
        <f>+CUBICACION!P837</f>
        <v>0</v>
      </c>
      <c r="N843" s="902">
        <f>ROUND(IF(AND(L843="Blaze Shield II",M843="Software Idiem",C843="IN",G843=4),((('BLAZE SHIELD II'!$D$4*('CALCULO MORTERO'!I843^2)+'BLAZE SHIELD II'!$D$5*'CALCULO MORTERO'!I843+'BLAZE SHIELD II'!$D$6)*LN(J843))+('BLAZE SHIELD II'!$D$7*('CALCULO MORTERO'!I843^2)+'BLAZE SHIELD II'!$D$8*'CALCULO MORTERO'!I843+'BLAZE SHIELD II'!$D$9)),0)+IF(AND(L843="Blaze Shield II",M843="Software Idiem",C843="Cj"),((('BLAZE SHIELD II'!$H$4*('CALCULO MORTERO'!I843^2)+'BLAZE SHIELD II'!$H$5*'CALCULO MORTERO'!I843+'BLAZE SHIELD II'!$H$6)*LN(J843))+('BLAZE SHIELD II'!$H$7*('CALCULO MORTERO'!I843^2)+'BLAZE SHIELD II'!$H$8*'CALCULO MORTERO'!I843+'BLAZE SHIELD II'!$H$9)),0)+IF(AND(L843="Blaze Shield II",M843="Software Idiem",C843="C"),((('BLAZE SHIELD II'!$L$4*('CALCULO MORTERO'!I843^2)+'BLAZE SHIELD II'!$L$5*'CALCULO MORTERO'!I843+'BLAZE SHIELD II'!$L$6)*LN(J843))+('BLAZE SHIELD II'!$L$7*('CALCULO MORTERO'!I843^2)+'BLAZE SHIELD II'!$L$8*'CALCULO MORTERO'!I843+'BLAZE SHIELD II'!$L$9)),0)+IF(AND(L843="Blaze Shield II",M843="Software Idiem",C843="L"),((('BLAZE SHIELD II'!$L$4*('CALCULO MORTERO'!I843^2)+'BLAZE SHIELD II'!$L$5*'CALCULO MORTERO'!I843+'BLAZE SHIELD II'!$L$6)*LN(J843))+('BLAZE SHIELD II'!$L$7*('CALCULO MORTERO'!I843^2)+'BLAZE SHIELD II'!$L$8*'CALCULO MORTERO'!I843+'BLAZE SHIELD II'!$L$9)),0)+IF(AND(L843="Blaze Shield II",M843="Software Idiem",C843="IN",G843=3),((('BLAZE SHIELD II'!$H$14*('CALCULO MORTERO'!I843^2)+'BLAZE SHIELD II'!$H$15*'CALCULO MORTERO'!I843+'BLAZE SHIELD II'!$H$16)*LN(J843))+('BLAZE SHIELD II'!$H$17*('CALCULO MORTERO'!I843^2)+'BLAZE SHIELD II'!$H$18*'CALCULO MORTERO'!I843+'BLAZE SHIELD II'!$H$19)),0),0)+ROUND(IF(AND(L843="Cafco 400",M843="Software Idiem",C843="IN",G843=4),((('CAFCO 400 '!$H$7*(J843^4)+'CAFCO 400 '!$H$8*(J843^3)+'CAFCO 400 '!$H$9*(J843^2)+'CAFCO 400 '!$H$10*J843+'CAFCO 400 '!$H$11)*U843^2)+(('CAFCO 400 '!$H$12*(J843^3)+'CAFCO 400 '!$H$13*(J843^2)+'CAFCO 400 '!$H$14*J843+'CAFCO 400 '!$H$15)*U843)+('CAFCO 400 '!$H$16*(J843^2)+'CAFCO 400 '!$H$17*J843+'CAFCO 400 '!$H$18)),0)+IF(AND(L843="Cafco 400",M843="Software Idiem",C843="Cj"),(((('CAFCO 400 '!$D$7*LN(J843)+'CAFCO 400 '!$D$8)*U843^2)+(('CAFCO 400 '!$D$9*LN(J843)+'CAFCO 400 '!$D$10)*U843)+('CAFCO 400 '!$D$11*LN(J843)+'CAFCO 400 '!$D$12))),0)+IF(AND(L843="Cafco 400",M843="Software Idiem",C843="C"),((('CAFCO 400 '!$L$7*(J843^3)+'CAFCO 400 '!$L$8*(J843^2)+'CAFCO 400 '!$L$9*J843+'CAFCO 400 '!$L$10)*U843^2)+(('CAFCO 400 '!$L$11*(J843^3)+'CAFCO 400 '!$L$12*(J843^2)+'CAFCO 400 '!$L$13*J843+'CAFCO 400 '!$L$14)*U843)+('CAFCO 400 '!$L$15*LN(J843)+'CAFCO 400 '!$L$16)),0)+IF(AND(L843="Cafco 400",M843="Software Idiem",C843="L"),((('CAFCO 400 '!$L$7*(J843^3)+'CAFCO 400 '!$L$8*(J843^2)+'CAFCO 400 '!$L$9*J843+'CAFCO 400 '!$L$10)*U843^2)+(('CAFCO 400 '!$L$11*(J843^3)+'CAFCO 400 '!$L$12*(J843^2)+'CAFCO 400 '!$L$13*J843+'CAFCO 400 '!$L$14)*U843)+('CAFCO 400 '!$L$15*LN(J843)+'CAFCO 400 '!$L$16)),0)+IF(AND(L843="Cafco 400",M843="Software Idiem",C843="IN",G843=3),((('CAFCO 400 '!$D$23*(J843^2)+'CAFCO 400 '!$D$24*(J843)+'CAFCO 400 '!$D$25)*U843^2)+(('CAFCO 400 '!$D$26*(J843^2)+'CAFCO 400 '!$D$27*J843+'CAFCO 400 '!$D$28)*U843)+('CAFCO 400 '!$D$29*(J843^2)+'CAFCO 400 '!$D$30*J843+'CAFCO 400 '!$D$31)),0),0)+IF(AND(L843="Cafco 300",J843&gt;=95,J843&lt;=240,C843="Cj",I843=90),VLOOKUP(T843,'CAFCO 300 IDIEM TABLAS'!$B$4:$D$23,2,FALSE),0)+IF(AND(L843="Cafco 300",J843&gt;=95,J843&lt;=240,C843="Cj",I843=120),VLOOKUP(T843,'CAFCO 300 IDIEM TABLAS'!$B$4:$D$23,3,FALSE),0)+IF(AND(L843="Cafco 300",J843&gt;=95,J843&lt;=400,G843=3,C843="IN",I843=90),VLOOKUP(T843,'CAFCO 300 IDIEM TABLAS'!$F$4:$H$35,2,FALSE),0)+IF(AND(L843="Cafco 300",J843&gt;=95,J843&lt;=400,G843=3,C843="IN",I843=120),VLOOKUP(T843,'CAFCO 300 IDIEM TABLAS'!$F$4:$H$35,3,FALSE),0)+IF(AND(L843="Cafco 300",J843&gt;=95,J843&lt;=450,G843=4,C843="IN",I843=90),VLOOKUP(T843,'CAFCO 300 IDIEM TABLAS'!$J$4:$L$40,2,FALSE),0)+IF(AND(L843="Cafco 300",J843&gt;=95,J843&lt;=450,G843=4,C843="IN",I843=120),VLOOKUP(T843,'CAFCO 300 IDIEM TABLAS'!$J$4:$L$40,3,FALSE),0)+IF(AND(M843="Ensayo Idiem",L843="Cafco 400",C843="IN",G843=4,I843=90),VLOOKUP(T843,'CAFCO 400 ENSAYO'!$B$7:$D$43,2,FALSE),0)+IF(AND(M843="Ensayo Idiem",L843="Cafco 400",C843="IN",G843=4,I843=120),VLOOKUP(T843,'CAFCO 400 ENSAYO'!$B$7:$D$43,3,FALSE),0)</f>
        <v>0</v>
      </c>
      <c r="O843" s="96">
        <f t="shared" ref="O843:O906" si="90">((IF(L843="Blaze Shield II",((K843*N843*0.43)/38),IF(L843="Cafco 400",((K843*N843*0.43)/23),IF(L843="Cafco 300",((K843*N843*0.43)/31.16),0)))))</f>
        <v>0</v>
      </c>
      <c r="P843" s="132" t="str">
        <f t="shared" si="85"/>
        <v>N/A</v>
      </c>
      <c r="Q843" s="132" t="str">
        <f t="shared" si="86"/>
        <v>N/A</v>
      </c>
      <c r="R843" s="132" t="str">
        <f t="shared" si="87"/>
        <v>NO CERT.</v>
      </c>
      <c r="S843" s="132" t="e">
        <f t="shared" si="88"/>
        <v>#N/A</v>
      </c>
      <c r="T843" s="133" t="e">
        <f>+IF(J843=LOOKUP(J843,'CAFCO 300 IDIEM TABLAS'!$J$4:$J$40),'CALCULO MORTERO'!J843,MROUND('CALCULO MORTERO'!J843,10))</f>
        <v>#N/A</v>
      </c>
      <c r="U843" s="134">
        <f t="shared" si="89"/>
        <v>0</v>
      </c>
    </row>
    <row r="844" spans="1:21" x14ac:dyDescent="0.25">
      <c r="A844" s="118">
        <f>+CUBICACION!D838</f>
        <v>0</v>
      </c>
      <c r="B844" s="819">
        <f>+CUBICACION!E838</f>
        <v>0</v>
      </c>
      <c r="C844" s="675">
        <f>+CUBICACION!F838</f>
        <v>0</v>
      </c>
      <c r="D844" s="118"/>
      <c r="E844" s="118"/>
      <c r="F844" s="820"/>
      <c r="G844" s="675">
        <f>+CUBICACION!J838</f>
        <v>0</v>
      </c>
      <c r="H844" s="118"/>
      <c r="I844" s="821">
        <f>+CUBICACION!L838</f>
        <v>0</v>
      </c>
      <c r="J844" s="64">
        <f>+CUBICACION!M838</f>
        <v>0</v>
      </c>
      <c r="K844" s="822" t="str">
        <f>+CUBICACION!N838</f>
        <v/>
      </c>
      <c r="L844" s="118">
        <f>+CUBICACION!O838</f>
        <v>0</v>
      </c>
      <c r="M844" s="823">
        <f>+CUBICACION!P838</f>
        <v>0</v>
      </c>
      <c r="N844" s="902">
        <f>ROUND(IF(AND(L844="Blaze Shield II",M844="Software Idiem",C844="IN",G844=4),((('BLAZE SHIELD II'!$D$4*('CALCULO MORTERO'!I844^2)+'BLAZE SHIELD II'!$D$5*'CALCULO MORTERO'!I844+'BLAZE SHIELD II'!$D$6)*LN(J844))+('BLAZE SHIELD II'!$D$7*('CALCULO MORTERO'!I844^2)+'BLAZE SHIELD II'!$D$8*'CALCULO MORTERO'!I844+'BLAZE SHIELD II'!$D$9)),0)+IF(AND(L844="Blaze Shield II",M844="Software Idiem",C844="Cj"),((('BLAZE SHIELD II'!$H$4*('CALCULO MORTERO'!I844^2)+'BLAZE SHIELD II'!$H$5*'CALCULO MORTERO'!I844+'BLAZE SHIELD II'!$H$6)*LN(J844))+('BLAZE SHIELD II'!$H$7*('CALCULO MORTERO'!I844^2)+'BLAZE SHIELD II'!$H$8*'CALCULO MORTERO'!I844+'BLAZE SHIELD II'!$H$9)),0)+IF(AND(L844="Blaze Shield II",M844="Software Idiem",C844="C"),((('BLAZE SHIELD II'!$L$4*('CALCULO MORTERO'!I844^2)+'BLAZE SHIELD II'!$L$5*'CALCULO MORTERO'!I844+'BLAZE SHIELD II'!$L$6)*LN(J844))+('BLAZE SHIELD II'!$L$7*('CALCULO MORTERO'!I844^2)+'BLAZE SHIELD II'!$L$8*'CALCULO MORTERO'!I844+'BLAZE SHIELD II'!$L$9)),0)+IF(AND(L844="Blaze Shield II",M844="Software Idiem",C844="L"),((('BLAZE SHIELD II'!$L$4*('CALCULO MORTERO'!I844^2)+'BLAZE SHIELD II'!$L$5*'CALCULO MORTERO'!I844+'BLAZE SHIELD II'!$L$6)*LN(J844))+('BLAZE SHIELD II'!$L$7*('CALCULO MORTERO'!I844^2)+'BLAZE SHIELD II'!$L$8*'CALCULO MORTERO'!I844+'BLAZE SHIELD II'!$L$9)),0)+IF(AND(L844="Blaze Shield II",M844="Software Idiem",C844="IN",G844=3),((('BLAZE SHIELD II'!$H$14*('CALCULO MORTERO'!I844^2)+'BLAZE SHIELD II'!$H$15*'CALCULO MORTERO'!I844+'BLAZE SHIELD II'!$H$16)*LN(J844))+('BLAZE SHIELD II'!$H$17*('CALCULO MORTERO'!I844^2)+'BLAZE SHIELD II'!$H$18*'CALCULO MORTERO'!I844+'BLAZE SHIELD II'!$H$19)),0),0)+ROUND(IF(AND(L844="Cafco 400",M844="Software Idiem",C844="IN",G844=4),((('CAFCO 400 '!$H$7*(J844^4)+'CAFCO 400 '!$H$8*(J844^3)+'CAFCO 400 '!$H$9*(J844^2)+'CAFCO 400 '!$H$10*J844+'CAFCO 400 '!$H$11)*U844^2)+(('CAFCO 400 '!$H$12*(J844^3)+'CAFCO 400 '!$H$13*(J844^2)+'CAFCO 400 '!$H$14*J844+'CAFCO 400 '!$H$15)*U844)+('CAFCO 400 '!$H$16*(J844^2)+'CAFCO 400 '!$H$17*J844+'CAFCO 400 '!$H$18)),0)+IF(AND(L844="Cafco 400",M844="Software Idiem",C844="Cj"),(((('CAFCO 400 '!$D$7*LN(J844)+'CAFCO 400 '!$D$8)*U844^2)+(('CAFCO 400 '!$D$9*LN(J844)+'CAFCO 400 '!$D$10)*U844)+('CAFCO 400 '!$D$11*LN(J844)+'CAFCO 400 '!$D$12))),0)+IF(AND(L844="Cafco 400",M844="Software Idiem",C844="C"),((('CAFCO 400 '!$L$7*(J844^3)+'CAFCO 400 '!$L$8*(J844^2)+'CAFCO 400 '!$L$9*J844+'CAFCO 400 '!$L$10)*U844^2)+(('CAFCO 400 '!$L$11*(J844^3)+'CAFCO 400 '!$L$12*(J844^2)+'CAFCO 400 '!$L$13*J844+'CAFCO 400 '!$L$14)*U844)+('CAFCO 400 '!$L$15*LN(J844)+'CAFCO 400 '!$L$16)),0)+IF(AND(L844="Cafco 400",M844="Software Idiem",C844="L"),((('CAFCO 400 '!$L$7*(J844^3)+'CAFCO 400 '!$L$8*(J844^2)+'CAFCO 400 '!$L$9*J844+'CAFCO 400 '!$L$10)*U844^2)+(('CAFCO 400 '!$L$11*(J844^3)+'CAFCO 400 '!$L$12*(J844^2)+'CAFCO 400 '!$L$13*J844+'CAFCO 400 '!$L$14)*U844)+('CAFCO 400 '!$L$15*LN(J844)+'CAFCO 400 '!$L$16)),0)+IF(AND(L844="Cafco 400",M844="Software Idiem",C844="IN",G844=3),((('CAFCO 400 '!$D$23*(J844^2)+'CAFCO 400 '!$D$24*(J844)+'CAFCO 400 '!$D$25)*U844^2)+(('CAFCO 400 '!$D$26*(J844^2)+'CAFCO 400 '!$D$27*J844+'CAFCO 400 '!$D$28)*U844)+('CAFCO 400 '!$D$29*(J844^2)+'CAFCO 400 '!$D$30*J844+'CAFCO 400 '!$D$31)),0),0)+IF(AND(L844="Cafco 300",J844&gt;=95,J844&lt;=240,C844="Cj",I844=90),VLOOKUP(T844,'CAFCO 300 IDIEM TABLAS'!$B$4:$D$23,2,FALSE),0)+IF(AND(L844="Cafco 300",J844&gt;=95,J844&lt;=240,C844="Cj",I844=120),VLOOKUP(T844,'CAFCO 300 IDIEM TABLAS'!$B$4:$D$23,3,FALSE),0)+IF(AND(L844="Cafco 300",J844&gt;=95,J844&lt;=400,G844=3,C844="IN",I844=90),VLOOKUP(T844,'CAFCO 300 IDIEM TABLAS'!$F$4:$H$35,2,FALSE),0)+IF(AND(L844="Cafco 300",J844&gt;=95,J844&lt;=400,G844=3,C844="IN",I844=120),VLOOKUP(T844,'CAFCO 300 IDIEM TABLAS'!$F$4:$H$35,3,FALSE),0)+IF(AND(L844="Cafco 300",J844&gt;=95,J844&lt;=450,G844=4,C844="IN",I844=90),VLOOKUP(T844,'CAFCO 300 IDIEM TABLAS'!$J$4:$L$40,2,FALSE),0)+IF(AND(L844="Cafco 300",J844&gt;=95,J844&lt;=450,G844=4,C844="IN",I844=120),VLOOKUP(T844,'CAFCO 300 IDIEM TABLAS'!$J$4:$L$40,3,FALSE),0)+IF(AND(M844="Ensayo Idiem",L844="Cafco 400",C844="IN",G844=4,I844=90),VLOOKUP(T844,'CAFCO 400 ENSAYO'!$B$7:$D$43,2,FALSE),0)+IF(AND(M844="Ensayo Idiem",L844="Cafco 400",C844="IN",G844=4,I844=120),VLOOKUP(T844,'CAFCO 400 ENSAYO'!$B$7:$D$43,3,FALSE),0)</f>
        <v>0</v>
      </c>
      <c r="O844" s="96">
        <f t="shared" si="90"/>
        <v>0</v>
      </c>
      <c r="P844" s="95" t="str">
        <f t="shared" si="85"/>
        <v>N/A</v>
      </c>
      <c r="Q844" s="95" t="str">
        <f t="shared" si="86"/>
        <v>N/A</v>
      </c>
      <c r="R844" s="95" t="str">
        <f t="shared" si="87"/>
        <v>NO CERT.</v>
      </c>
      <c r="S844" s="95" t="e">
        <f t="shared" si="88"/>
        <v>#N/A</v>
      </c>
      <c r="T844" s="119" t="e">
        <f>+IF(J844=LOOKUP(J844,'CAFCO 300 IDIEM TABLAS'!$J$4:$J$40),'CALCULO MORTERO'!J844,MROUND('CALCULO MORTERO'!J844,10))</f>
        <v>#N/A</v>
      </c>
      <c r="U844" s="118">
        <f t="shared" si="89"/>
        <v>0</v>
      </c>
    </row>
    <row r="845" spans="1:21" x14ac:dyDescent="0.25">
      <c r="A845" s="118">
        <f>+CUBICACION!D839</f>
        <v>0</v>
      </c>
      <c r="B845" s="819">
        <f>+CUBICACION!E839</f>
        <v>0</v>
      </c>
      <c r="C845" s="675">
        <f>+CUBICACION!F839</f>
        <v>0</v>
      </c>
      <c r="D845" s="118"/>
      <c r="E845" s="118"/>
      <c r="F845" s="820"/>
      <c r="G845" s="675">
        <f>+CUBICACION!J839</f>
        <v>0</v>
      </c>
      <c r="H845" s="118"/>
      <c r="I845" s="821">
        <f>+CUBICACION!L839</f>
        <v>0</v>
      </c>
      <c r="J845" s="64">
        <f>+CUBICACION!M839</f>
        <v>0</v>
      </c>
      <c r="K845" s="822" t="str">
        <f>+CUBICACION!N839</f>
        <v/>
      </c>
      <c r="L845" s="118">
        <f>+CUBICACION!O839</f>
        <v>0</v>
      </c>
      <c r="M845" s="823">
        <f>+CUBICACION!P839</f>
        <v>0</v>
      </c>
      <c r="N845" s="902">
        <f>ROUND(IF(AND(L845="Blaze Shield II",M845="Software Idiem",C845="IN",G845=4),((('BLAZE SHIELD II'!$D$4*('CALCULO MORTERO'!I845^2)+'BLAZE SHIELD II'!$D$5*'CALCULO MORTERO'!I845+'BLAZE SHIELD II'!$D$6)*LN(J845))+('BLAZE SHIELD II'!$D$7*('CALCULO MORTERO'!I845^2)+'BLAZE SHIELD II'!$D$8*'CALCULO MORTERO'!I845+'BLAZE SHIELD II'!$D$9)),0)+IF(AND(L845="Blaze Shield II",M845="Software Idiem",C845="Cj"),((('BLAZE SHIELD II'!$H$4*('CALCULO MORTERO'!I845^2)+'BLAZE SHIELD II'!$H$5*'CALCULO MORTERO'!I845+'BLAZE SHIELD II'!$H$6)*LN(J845))+('BLAZE SHIELD II'!$H$7*('CALCULO MORTERO'!I845^2)+'BLAZE SHIELD II'!$H$8*'CALCULO MORTERO'!I845+'BLAZE SHIELD II'!$H$9)),0)+IF(AND(L845="Blaze Shield II",M845="Software Idiem",C845="C"),((('BLAZE SHIELD II'!$L$4*('CALCULO MORTERO'!I845^2)+'BLAZE SHIELD II'!$L$5*'CALCULO MORTERO'!I845+'BLAZE SHIELD II'!$L$6)*LN(J845))+('BLAZE SHIELD II'!$L$7*('CALCULO MORTERO'!I845^2)+'BLAZE SHIELD II'!$L$8*'CALCULO MORTERO'!I845+'BLAZE SHIELD II'!$L$9)),0)+IF(AND(L845="Blaze Shield II",M845="Software Idiem",C845="L"),((('BLAZE SHIELD II'!$L$4*('CALCULO MORTERO'!I845^2)+'BLAZE SHIELD II'!$L$5*'CALCULO MORTERO'!I845+'BLAZE SHIELD II'!$L$6)*LN(J845))+('BLAZE SHIELD II'!$L$7*('CALCULO MORTERO'!I845^2)+'BLAZE SHIELD II'!$L$8*'CALCULO MORTERO'!I845+'BLAZE SHIELD II'!$L$9)),0)+IF(AND(L845="Blaze Shield II",M845="Software Idiem",C845="IN",G845=3),((('BLAZE SHIELD II'!$H$14*('CALCULO MORTERO'!I845^2)+'BLAZE SHIELD II'!$H$15*'CALCULO MORTERO'!I845+'BLAZE SHIELD II'!$H$16)*LN(J845))+('BLAZE SHIELD II'!$H$17*('CALCULO MORTERO'!I845^2)+'BLAZE SHIELD II'!$H$18*'CALCULO MORTERO'!I845+'BLAZE SHIELD II'!$H$19)),0),0)+ROUND(IF(AND(L845="Cafco 400",M845="Software Idiem",C845="IN",G845=4),((('CAFCO 400 '!$H$7*(J845^4)+'CAFCO 400 '!$H$8*(J845^3)+'CAFCO 400 '!$H$9*(J845^2)+'CAFCO 400 '!$H$10*J845+'CAFCO 400 '!$H$11)*U845^2)+(('CAFCO 400 '!$H$12*(J845^3)+'CAFCO 400 '!$H$13*(J845^2)+'CAFCO 400 '!$H$14*J845+'CAFCO 400 '!$H$15)*U845)+('CAFCO 400 '!$H$16*(J845^2)+'CAFCO 400 '!$H$17*J845+'CAFCO 400 '!$H$18)),0)+IF(AND(L845="Cafco 400",M845="Software Idiem",C845="Cj"),(((('CAFCO 400 '!$D$7*LN(J845)+'CAFCO 400 '!$D$8)*U845^2)+(('CAFCO 400 '!$D$9*LN(J845)+'CAFCO 400 '!$D$10)*U845)+('CAFCO 400 '!$D$11*LN(J845)+'CAFCO 400 '!$D$12))),0)+IF(AND(L845="Cafco 400",M845="Software Idiem",C845="C"),((('CAFCO 400 '!$L$7*(J845^3)+'CAFCO 400 '!$L$8*(J845^2)+'CAFCO 400 '!$L$9*J845+'CAFCO 400 '!$L$10)*U845^2)+(('CAFCO 400 '!$L$11*(J845^3)+'CAFCO 400 '!$L$12*(J845^2)+'CAFCO 400 '!$L$13*J845+'CAFCO 400 '!$L$14)*U845)+('CAFCO 400 '!$L$15*LN(J845)+'CAFCO 400 '!$L$16)),0)+IF(AND(L845="Cafco 400",M845="Software Idiem",C845="L"),((('CAFCO 400 '!$L$7*(J845^3)+'CAFCO 400 '!$L$8*(J845^2)+'CAFCO 400 '!$L$9*J845+'CAFCO 400 '!$L$10)*U845^2)+(('CAFCO 400 '!$L$11*(J845^3)+'CAFCO 400 '!$L$12*(J845^2)+'CAFCO 400 '!$L$13*J845+'CAFCO 400 '!$L$14)*U845)+('CAFCO 400 '!$L$15*LN(J845)+'CAFCO 400 '!$L$16)),0)+IF(AND(L845="Cafco 400",M845="Software Idiem",C845="IN",G845=3),((('CAFCO 400 '!$D$23*(J845^2)+'CAFCO 400 '!$D$24*(J845)+'CAFCO 400 '!$D$25)*U845^2)+(('CAFCO 400 '!$D$26*(J845^2)+'CAFCO 400 '!$D$27*J845+'CAFCO 400 '!$D$28)*U845)+('CAFCO 400 '!$D$29*(J845^2)+'CAFCO 400 '!$D$30*J845+'CAFCO 400 '!$D$31)),0),0)+IF(AND(L845="Cafco 300",J845&gt;=95,J845&lt;=240,C845="Cj",I845=90),VLOOKUP(T845,'CAFCO 300 IDIEM TABLAS'!$B$4:$D$23,2,FALSE),0)+IF(AND(L845="Cafco 300",J845&gt;=95,J845&lt;=240,C845="Cj",I845=120),VLOOKUP(T845,'CAFCO 300 IDIEM TABLAS'!$B$4:$D$23,3,FALSE),0)+IF(AND(L845="Cafco 300",J845&gt;=95,J845&lt;=400,G845=3,C845="IN",I845=90),VLOOKUP(T845,'CAFCO 300 IDIEM TABLAS'!$F$4:$H$35,2,FALSE),0)+IF(AND(L845="Cafco 300",J845&gt;=95,J845&lt;=400,G845=3,C845="IN",I845=120),VLOOKUP(T845,'CAFCO 300 IDIEM TABLAS'!$F$4:$H$35,3,FALSE),0)+IF(AND(L845="Cafco 300",J845&gt;=95,J845&lt;=450,G845=4,C845="IN",I845=90),VLOOKUP(T845,'CAFCO 300 IDIEM TABLAS'!$J$4:$L$40,2,FALSE),0)+IF(AND(L845="Cafco 300",J845&gt;=95,J845&lt;=450,G845=4,C845="IN",I845=120),VLOOKUP(T845,'CAFCO 300 IDIEM TABLAS'!$J$4:$L$40,3,FALSE),0)+IF(AND(M845="Ensayo Idiem",L845="Cafco 400",C845="IN",G845=4,I845=90),VLOOKUP(T845,'CAFCO 400 ENSAYO'!$B$7:$D$43,2,FALSE),0)+IF(AND(M845="Ensayo Idiem",L845="Cafco 400",C845="IN",G845=4,I845=120),VLOOKUP(T845,'CAFCO 400 ENSAYO'!$B$7:$D$43,3,FALSE),0)</f>
        <v>0</v>
      </c>
      <c r="O845" s="96">
        <f t="shared" si="90"/>
        <v>0</v>
      </c>
      <c r="P845" s="132" t="str">
        <f t="shared" si="85"/>
        <v>N/A</v>
      </c>
      <c r="Q845" s="132" t="str">
        <f t="shared" si="86"/>
        <v>N/A</v>
      </c>
      <c r="R845" s="132" t="str">
        <f t="shared" si="87"/>
        <v>NO CERT.</v>
      </c>
      <c r="S845" s="132" t="e">
        <f t="shared" si="88"/>
        <v>#N/A</v>
      </c>
      <c r="T845" s="133" t="e">
        <f>+IF(J845=LOOKUP(J845,'CAFCO 300 IDIEM TABLAS'!$J$4:$J$40),'CALCULO MORTERO'!J845,MROUND('CALCULO MORTERO'!J845,10))</f>
        <v>#N/A</v>
      </c>
      <c r="U845" s="134">
        <f t="shared" si="89"/>
        <v>0</v>
      </c>
    </row>
    <row r="846" spans="1:21" x14ac:dyDescent="0.25">
      <c r="A846" s="118">
        <f>+CUBICACION!D840</f>
        <v>0</v>
      </c>
      <c r="B846" s="819">
        <f>+CUBICACION!E840</f>
        <v>0</v>
      </c>
      <c r="C846" s="675">
        <f>+CUBICACION!F840</f>
        <v>0</v>
      </c>
      <c r="D846" s="118"/>
      <c r="E846" s="118"/>
      <c r="F846" s="820"/>
      <c r="G846" s="675">
        <f>+CUBICACION!J840</f>
        <v>0</v>
      </c>
      <c r="H846" s="118"/>
      <c r="I846" s="821">
        <f>+CUBICACION!L840</f>
        <v>0</v>
      </c>
      <c r="J846" s="64">
        <f>+CUBICACION!M840</f>
        <v>0</v>
      </c>
      <c r="K846" s="822" t="str">
        <f>+CUBICACION!N840</f>
        <v/>
      </c>
      <c r="L846" s="118">
        <f>+CUBICACION!O840</f>
        <v>0</v>
      </c>
      <c r="M846" s="823">
        <f>+CUBICACION!P840</f>
        <v>0</v>
      </c>
      <c r="N846" s="902">
        <f>ROUND(IF(AND(L846="Blaze Shield II",M846="Software Idiem",C846="IN",G846=4),((('BLAZE SHIELD II'!$D$4*('CALCULO MORTERO'!I846^2)+'BLAZE SHIELD II'!$D$5*'CALCULO MORTERO'!I846+'BLAZE SHIELD II'!$D$6)*LN(J846))+('BLAZE SHIELD II'!$D$7*('CALCULO MORTERO'!I846^2)+'BLAZE SHIELD II'!$D$8*'CALCULO MORTERO'!I846+'BLAZE SHIELD II'!$D$9)),0)+IF(AND(L846="Blaze Shield II",M846="Software Idiem",C846="Cj"),((('BLAZE SHIELD II'!$H$4*('CALCULO MORTERO'!I846^2)+'BLAZE SHIELD II'!$H$5*'CALCULO MORTERO'!I846+'BLAZE SHIELD II'!$H$6)*LN(J846))+('BLAZE SHIELD II'!$H$7*('CALCULO MORTERO'!I846^2)+'BLAZE SHIELD II'!$H$8*'CALCULO MORTERO'!I846+'BLAZE SHIELD II'!$H$9)),0)+IF(AND(L846="Blaze Shield II",M846="Software Idiem",C846="C"),((('BLAZE SHIELD II'!$L$4*('CALCULO MORTERO'!I846^2)+'BLAZE SHIELD II'!$L$5*'CALCULO MORTERO'!I846+'BLAZE SHIELD II'!$L$6)*LN(J846))+('BLAZE SHIELD II'!$L$7*('CALCULO MORTERO'!I846^2)+'BLAZE SHIELD II'!$L$8*'CALCULO MORTERO'!I846+'BLAZE SHIELD II'!$L$9)),0)+IF(AND(L846="Blaze Shield II",M846="Software Idiem",C846="L"),((('BLAZE SHIELD II'!$L$4*('CALCULO MORTERO'!I846^2)+'BLAZE SHIELD II'!$L$5*'CALCULO MORTERO'!I846+'BLAZE SHIELD II'!$L$6)*LN(J846))+('BLAZE SHIELD II'!$L$7*('CALCULO MORTERO'!I846^2)+'BLAZE SHIELD II'!$L$8*'CALCULO MORTERO'!I846+'BLAZE SHIELD II'!$L$9)),0)+IF(AND(L846="Blaze Shield II",M846="Software Idiem",C846="IN",G846=3),((('BLAZE SHIELD II'!$H$14*('CALCULO MORTERO'!I846^2)+'BLAZE SHIELD II'!$H$15*'CALCULO MORTERO'!I846+'BLAZE SHIELD II'!$H$16)*LN(J846))+('BLAZE SHIELD II'!$H$17*('CALCULO MORTERO'!I846^2)+'BLAZE SHIELD II'!$H$18*'CALCULO MORTERO'!I846+'BLAZE SHIELD II'!$H$19)),0),0)+ROUND(IF(AND(L846="Cafco 400",M846="Software Idiem",C846="IN",G846=4),((('CAFCO 400 '!$H$7*(J846^4)+'CAFCO 400 '!$H$8*(J846^3)+'CAFCO 400 '!$H$9*(J846^2)+'CAFCO 400 '!$H$10*J846+'CAFCO 400 '!$H$11)*U846^2)+(('CAFCO 400 '!$H$12*(J846^3)+'CAFCO 400 '!$H$13*(J846^2)+'CAFCO 400 '!$H$14*J846+'CAFCO 400 '!$H$15)*U846)+('CAFCO 400 '!$H$16*(J846^2)+'CAFCO 400 '!$H$17*J846+'CAFCO 400 '!$H$18)),0)+IF(AND(L846="Cafco 400",M846="Software Idiem",C846="Cj"),(((('CAFCO 400 '!$D$7*LN(J846)+'CAFCO 400 '!$D$8)*U846^2)+(('CAFCO 400 '!$D$9*LN(J846)+'CAFCO 400 '!$D$10)*U846)+('CAFCO 400 '!$D$11*LN(J846)+'CAFCO 400 '!$D$12))),0)+IF(AND(L846="Cafco 400",M846="Software Idiem",C846="C"),((('CAFCO 400 '!$L$7*(J846^3)+'CAFCO 400 '!$L$8*(J846^2)+'CAFCO 400 '!$L$9*J846+'CAFCO 400 '!$L$10)*U846^2)+(('CAFCO 400 '!$L$11*(J846^3)+'CAFCO 400 '!$L$12*(J846^2)+'CAFCO 400 '!$L$13*J846+'CAFCO 400 '!$L$14)*U846)+('CAFCO 400 '!$L$15*LN(J846)+'CAFCO 400 '!$L$16)),0)+IF(AND(L846="Cafco 400",M846="Software Idiem",C846="L"),((('CAFCO 400 '!$L$7*(J846^3)+'CAFCO 400 '!$L$8*(J846^2)+'CAFCO 400 '!$L$9*J846+'CAFCO 400 '!$L$10)*U846^2)+(('CAFCO 400 '!$L$11*(J846^3)+'CAFCO 400 '!$L$12*(J846^2)+'CAFCO 400 '!$L$13*J846+'CAFCO 400 '!$L$14)*U846)+('CAFCO 400 '!$L$15*LN(J846)+'CAFCO 400 '!$L$16)),0)+IF(AND(L846="Cafco 400",M846="Software Idiem",C846="IN",G846=3),((('CAFCO 400 '!$D$23*(J846^2)+'CAFCO 400 '!$D$24*(J846)+'CAFCO 400 '!$D$25)*U846^2)+(('CAFCO 400 '!$D$26*(J846^2)+'CAFCO 400 '!$D$27*J846+'CAFCO 400 '!$D$28)*U846)+('CAFCO 400 '!$D$29*(J846^2)+'CAFCO 400 '!$D$30*J846+'CAFCO 400 '!$D$31)),0),0)+IF(AND(L846="Cafco 300",J846&gt;=95,J846&lt;=240,C846="Cj",I846=90),VLOOKUP(T846,'CAFCO 300 IDIEM TABLAS'!$B$4:$D$23,2,FALSE),0)+IF(AND(L846="Cafco 300",J846&gt;=95,J846&lt;=240,C846="Cj",I846=120),VLOOKUP(T846,'CAFCO 300 IDIEM TABLAS'!$B$4:$D$23,3,FALSE),0)+IF(AND(L846="Cafco 300",J846&gt;=95,J846&lt;=400,G846=3,C846="IN",I846=90),VLOOKUP(T846,'CAFCO 300 IDIEM TABLAS'!$F$4:$H$35,2,FALSE),0)+IF(AND(L846="Cafco 300",J846&gt;=95,J846&lt;=400,G846=3,C846="IN",I846=120),VLOOKUP(T846,'CAFCO 300 IDIEM TABLAS'!$F$4:$H$35,3,FALSE),0)+IF(AND(L846="Cafco 300",J846&gt;=95,J846&lt;=450,G846=4,C846="IN",I846=90),VLOOKUP(T846,'CAFCO 300 IDIEM TABLAS'!$J$4:$L$40,2,FALSE),0)+IF(AND(L846="Cafco 300",J846&gt;=95,J846&lt;=450,G846=4,C846="IN",I846=120),VLOOKUP(T846,'CAFCO 300 IDIEM TABLAS'!$J$4:$L$40,3,FALSE),0)+IF(AND(M846="Ensayo Idiem",L846="Cafco 400",C846="IN",G846=4,I846=90),VLOOKUP(T846,'CAFCO 400 ENSAYO'!$B$7:$D$43,2,FALSE),0)+IF(AND(M846="Ensayo Idiem",L846="Cafco 400",C846="IN",G846=4,I846=120),VLOOKUP(T846,'CAFCO 400 ENSAYO'!$B$7:$D$43,3,FALSE),0)</f>
        <v>0</v>
      </c>
      <c r="O846" s="96">
        <f t="shared" si="90"/>
        <v>0</v>
      </c>
      <c r="P846" s="95" t="str">
        <f t="shared" si="85"/>
        <v>N/A</v>
      </c>
      <c r="Q846" s="95" t="str">
        <f t="shared" si="86"/>
        <v>N/A</v>
      </c>
      <c r="R846" s="95" t="str">
        <f t="shared" si="87"/>
        <v>NO CERT.</v>
      </c>
      <c r="S846" s="95" t="e">
        <f t="shared" si="88"/>
        <v>#N/A</v>
      </c>
      <c r="T846" s="119" t="e">
        <f>+IF(J846=LOOKUP(J846,'CAFCO 300 IDIEM TABLAS'!$J$4:$J$40),'CALCULO MORTERO'!J846,MROUND('CALCULO MORTERO'!J846,10))</f>
        <v>#N/A</v>
      </c>
      <c r="U846" s="118">
        <f t="shared" si="89"/>
        <v>0</v>
      </c>
    </row>
    <row r="847" spans="1:21" x14ac:dyDescent="0.25">
      <c r="A847" s="118">
        <f>+CUBICACION!D841</f>
        <v>0</v>
      </c>
      <c r="B847" s="819">
        <f>+CUBICACION!E841</f>
        <v>0</v>
      </c>
      <c r="C847" s="675">
        <f>+CUBICACION!F841</f>
        <v>0</v>
      </c>
      <c r="D847" s="118"/>
      <c r="E847" s="118"/>
      <c r="F847" s="820"/>
      <c r="G847" s="675">
        <f>+CUBICACION!J841</f>
        <v>0</v>
      </c>
      <c r="H847" s="118"/>
      <c r="I847" s="821">
        <f>+CUBICACION!L841</f>
        <v>0</v>
      </c>
      <c r="J847" s="64">
        <f>+CUBICACION!M841</f>
        <v>0</v>
      </c>
      <c r="K847" s="822" t="str">
        <f>+CUBICACION!N841</f>
        <v/>
      </c>
      <c r="L847" s="118">
        <f>+CUBICACION!O841</f>
        <v>0</v>
      </c>
      <c r="M847" s="823">
        <f>+CUBICACION!P841</f>
        <v>0</v>
      </c>
      <c r="N847" s="902">
        <f>ROUND(IF(AND(L847="Blaze Shield II",M847="Software Idiem",C847="IN",G847=4),((('BLAZE SHIELD II'!$D$4*('CALCULO MORTERO'!I847^2)+'BLAZE SHIELD II'!$D$5*'CALCULO MORTERO'!I847+'BLAZE SHIELD II'!$D$6)*LN(J847))+('BLAZE SHIELD II'!$D$7*('CALCULO MORTERO'!I847^2)+'BLAZE SHIELD II'!$D$8*'CALCULO MORTERO'!I847+'BLAZE SHIELD II'!$D$9)),0)+IF(AND(L847="Blaze Shield II",M847="Software Idiem",C847="Cj"),((('BLAZE SHIELD II'!$H$4*('CALCULO MORTERO'!I847^2)+'BLAZE SHIELD II'!$H$5*'CALCULO MORTERO'!I847+'BLAZE SHIELD II'!$H$6)*LN(J847))+('BLAZE SHIELD II'!$H$7*('CALCULO MORTERO'!I847^2)+'BLAZE SHIELD II'!$H$8*'CALCULO MORTERO'!I847+'BLAZE SHIELD II'!$H$9)),0)+IF(AND(L847="Blaze Shield II",M847="Software Idiem",C847="C"),((('BLAZE SHIELD II'!$L$4*('CALCULO MORTERO'!I847^2)+'BLAZE SHIELD II'!$L$5*'CALCULO MORTERO'!I847+'BLAZE SHIELD II'!$L$6)*LN(J847))+('BLAZE SHIELD II'!$L$7*('CALCULO MORTERO'!I847^2)+'BLAZE SHIELD II'!$L$8*'CALCULO MORTERO'!I847+'BLAZE SHIELD II'!$L$9)),0)+IF(AND(L847="Blaze Shield II",M847="Software Idiem",C847="L"),((('BLAZE SHIELD II'!$L$4*('CALCULO MORTERO'!I847^2)+'BLAZE SHIELD II'!$L$5*'CALCULO MORTERO'!I847+'BLAZE SHIELD II'!$L$6)*LN(J847))+('BLAZE SHIELD II'!$L$7*('CALCULO MORTERO'!I847^2)+'BLAZE SHIELD II'!$L$8*'CALCULO MORTERO'!I847+'BLAZE SHIELD II'!$L$9)),0)+IF(AND(L847="Blaze Shield II",M847="Software Idiem",C847="IN",G847=3),((('BLAZE SHIELD II'!$H$14*('CALCULO MORTERO'!I847^2)+'BLAZE SHIELD II'!$H$15*'CALCULO MORTERO'!I847+'BLAZE SHIELD II'!$H$16)*LN(J847))+('BLAZE SHIELD II'!$H$17*('CALCULO MORTERO'!I847^2)+'BLAZE SHIELD II'!$H$18*'CALCULO MORTERO'!I847+'BLAZE SHIELD II'!$H$19)),0),0)+ROUND(IF(AND(L847="Cafco 400",M847="Software Idiem",C847="IN",G847=4),((('CAFCO 400 '!$H$7*(J847^4)+'CAFCO 400 '!$H$8*(J847^3)+'CAFCO 400 '!$H$9*(J847^2)+'CAFCO 400 '!$H$10*J847+'CAFCO 400 '!$H$11)*U847^2)+(('CAFCO 400 '!$H$12*(J847^3)+'CAFCO 400 '!$H$13*(J847^2)+'CAFCO 400 '!$H$14*J847+'CAFCO 400 '!$H$15)*U847)+('CAFCO 400 '!$H$16*(J847^2)+'CAFCO 400 '!$H$17*J847+'CAFCO 400 '!$H$18)),0)+IF(AND(L847="Cafco 400",M847="Software Idiem",C847="Cj"),(((('CAFCO 400 '!$D$7*LN(J847)+'CAFCO 400 '!$D$8)*U847^2)+(('CAFCO 400 '!$D$9*LN(J847)+'CAFCO 400 '!$D$10)*U847)+('CAFCO 400 '!$D$11*LN(J847)+'CAFCO 400 '!$D$12))),0)+IF(AND(L847="Cafco 400",M847="Software Idiem",C847="C"),((('CAFCO 400 '!$L$7*(J847^3)+'CAFCO 400 '!$L$8*(J847^2)+'CAFCO 400 '!$L$9*J847+'CAFCO 400 '!$L$10)*U847^2)+(('CAFCO 400 '!$L$11*(J847^3)+'CAFCO 400 '!$L$12*(J847^2)+'CAFCO 400 '!$L$13*J847+'CAFCO 400 '!$L$14)*U847)+('CAFCO 400 '!$L$15*LN(J847)+'CAFCO 400 '!$L$16)),0)+IF(AND(L847="Cafco 400",M847="Software Idiem",C847="L"),((('CAFCO 400 '!$L$7*(J847^3)+'CAFCO 400 '!$L$8*(J847^2)+'CAFCO 400 '!$L$9*J847+'CAFCO 400 '!$L$10)*U847^2)+(('CAFCO 400 '!$L$11*(J847^3)+'CAFCO 400 '!$L$12*(J847^2)+'CAFCO 400 '!$L$13*J847+'CAFCO 400 '!$L$14)*U847)+('CAFCO 400 '!$L$15*LN(J847)+'CAFCO 400 '!$L$16)),0)+IF(AND(L847="Cafco 400",M847="Software Idiem",C847="IN",G847=3),((('CAFCO 400 '!$D$23*(J847^2)+'CAFCO 400 '!$D$24*(J847)+'CAFCO 400 '!$D$25)*U847^2)+(('CAFCO 400 '!$D$26*(J847^2)+'CAFCO 400 '!$D$27*J847+'CAFCO 400 '!$D$28)*U847)+('CAFCO 400 '!$D$29*(J847^2)+'CAFCO 400 '!$D$30*J847+'CAFCO 400 '!$D$31)),0),0)+IF(AND(L847="Cafco 300",J847&gt;=95,J847&lt;=240,C847="Cj",I847=90),VLOOKUP(T847,'CAFCO 300 IDIEM TABLAS'!$B$4:$D$23,2,FALSE),0)+IF(AND(L847="Cafco 300",J847&gt;=95,J847&lt;=240,C847="Cj",I847=120),VLOOKUP(T847,'CAFCO 300 IDIEM TABLAS'!$B$4:$D$23,3,FALSE),0)+IF(AND(L847="Cafco 300",J847&gt;=95,J847&lt;=400,G847=3,C847="IN",I847=90),VLOOKUP(T847,'CAFCO 300 IDIEM TABLAS'!$F$4:$H$35,2,FALSE),0)+IF(AND(L847="Cafco 300",J847&gt;=95,J847&lt;=400,G847=3,C847="IN",I847=120),VLOOKUP(T847,'CAFCO 300 IDIEM TABLAS'!$F$4:$H$35,3,FALSE),0)+IF(AND(L847="Cafco 300",J847&gt;=95,J847&lt;=450,G847=4,C847="IN",I847=90),VLOOKUP(T847,'CAFCO 300 IDIEM TABLAS'!$J$4:$L$40,2,FALSE),0)+IF(AND(L847="Cafco 300",J847&gt;=95,J847&lt;=450,G847=4,C847="IN",I847=120),VLOOKUP(T847,'CAFCO 300 IDIEM TABLAS'!$J$4:$L$40,3,FALSE),0)+IF(AND(M847="Ensayo Idiem",L847="Cafco 400",C847="IN",G847=4,I847=90),VLOOKUP(T847,'CAFCO 400 ENSAYO'!$B$7:$D$43,2,FALSE),0)+IF(AND(M847="Ensayo Idiem",L847="Cafco 400",C847="IN",G847=4,I847=120),VLOOKUP(T847,'CAFCO 400 ENSAYO'!$B$7:$D$43,3,FALSE),0)</f>
        <v>0</v>
      </c>
      <c r="O847" s="96">
        <f t="shared" si="90"/>
        <v>0</v>
      </c>
      <c r="P847" s="132" t="str">
        <f t="shared" si="85"/>
        <v>N/A</v>
      </c>
      <c r="Q847" s="132" t="str">
        <f t="shared" si="86"/>
        <v>N/A</v>
      </c>
      <c r="R847" s="132" t="str">
        <f t="shared" si="87"/>
        <v>NO CERT.</v>
      </c>
      <c r="S847" s="132" t="e">
        <f t="shared" si="88"/>
        <v>#N/A</v>
      </c>
      <c r="T847" s="133" t="e">
        <f>+IF(J847=LOOKUP(J847,'CAFCO 300 IDIEM TABLAS'!$J$4:$J$40),'CALCULO MORTERO'!J847,MROUND('CALCULO MORTERO'!J847,10))</f>
        <v>#N/A</v>
      </c>
      <c r="U847" s="134">
        <f t="shared" si="89"/>
        <v>0</v>
      </c>
    </row>
    <row r="848" spans="1:21" x14ac:dyDescent="0.25">
      <c r="A848" s="118">
        <f>+CUBICACION!D842</f>
        <v>0</v>
      </c>
      <c r="B848" s="819">
        <f>+CUBICACION!E842</f>
        <v>0</v>
      </c>
      <c r="C848" s="675">
        <f>+CUBICACION!F842</f>
        <v>0</v>
      </c>
      <c r="D848" s="118"/>
      <c r="E848" s="118"/>
      <c r="F848" s="820"/>
      <c r="G848" s="675">
        <f>+CUBICACION!J842</f>
        <v>0</v>
      </c>
      <c r="H848" s="118"/>
      <c r="I848" s="821">
        <f>+CUBICACION!L842</f>
        <v>0</v>
      </c>
      <c r="J848" s="64">
        <f>+CUBICACION!M842</f>
        <v>0</v>
      </c>
      <c r="K848" s="822" t="str">
        <f>+CUBICACION!N842</f>
        <v/>
      </c>
      <c r="L848" s="118">
        <f>+CUBICACION!O842</f>
        <v>0</v>
      </c>
      <c r="M848" s="823">
        <f>+CUBICACION!P842</f>
        <v>0</v>
      </c>
      <c r="N848" s="902">
        <f>ROUND(IF(AND(L848="Blaze Shield II",M848="Software Idiem",C848="IN",G848=4),((('BLAZE SHIELD II'!$D$4*('CALCULO MORTERO'!I848^2)+'BLAZE SHIELD II'!$D$5*'CALCULO MORTERO'!I848+'BLAZE SHIELD II'!$D$6)*LN(J848))+('BLAZE SHIELD II'!$D$7*('CALCULO MORTERO'!I848^2)+'BLAZE SHIELD II'!$D$8*'CALCULO MORTERO'!I848+'BLAZE SHIELD II'!$D$9)),0)+IF(AND(L848="Blaze Shield II",M848="Software Idiem",C848="Cj"),((('BLAZE SHIELD II'!$H$4*('CALCULO MORTERO'!I848^2)+'BLAZE SHIELD II'!$H$5*'CALCULO MORTERO'!I848+'BLAZE SHIELD II'!$H$6)*LN(J848))+('BLAZE SHIELD II'!$H$7*('CALCULO MORTERO'!I848^2)+'BLAZE SHIELD II'!$H$8*'CALCULO MORTERO'!I848+'BLAZE SHIELD II'!$H$9)),0)+IF(AND(L848="Blaze Shield II",M848="Software Idiem",C848="C"),((('BLAZE SHIELD II'!$L$4*('CALCULO MORTERO'!I848^2)+'BLAZE SHIELD II'!$L$5*'CALCULO MORTERO'!I848+'BLAZE SHIELD II'!$L$6)*LN(J848))+('BLAZE SHIELD II'!$L$7*('CALCULO MORTERO'!I848^2)+'BLAZE SHIELD II'!$L$8*'CALCULO MORTERO'!I848+'BLAZE SHIELD II'!$L$9)),0)+IF(AND(L848="Blaze Shield II",M848="Software Idiem",C848="L"),((('BLAZE SHIELD II'!$L$4*('CALCULO MORTERO'!I848^2)+'BLAZE SHIELD II'!$L$5*'CALCULO MORTERO'!I848+'BLAZE SHIELD II'!$L$6)*LN(J848))+('BLAZE SHIELD II'!$L$7*('CALCULO MORTERO'!I848^2)+'BLAZE SHIELD II'!$L$8*'CALCULO MORTERO'!I848+'BLAZE SHIELD II'!$L$9)),0)+IF(AND(L848="Blaze Shield II",M848="Software Idiem",C848="IN",G848=3),((('BLAZE SHIELD II'!$H$14*('CALCULO MORTERO'!I848^2)+'BLAZE SHIELD II'!$H$15*'CALCULO MORTERO'!I848+'BLAZE SHIELD II'!$H$16)*LN(J848))+('BLAZE SHIELD II'!$H$17*('CALCULO MORTERO'!I848^2)+'BLAZE SHIELD II'!$H$18*'CALCULO MORTERO'!I848+'BLAZE SHIELD II'!$H$19)),0),0)+ROUND(IF(AND(L848="Cafco 400",M848="Software Idiem",C848="IN",G848=4),((('CAFCO 400 '!$H$7*(J848^4)+'CAFCO 400 '!$H$8*(J848^3)+'CAFCO 400 '!$H$9*(J848^2)+'CAFCO 400 '!$H$10*J848+'CAFCO 400 '!$H$11)*U848^2)+(('CAFCO 400 '!$H$12*(J848^3)+'CAFCO 400 '!$H$13*(J848^2)+'CAFCO 400 '!$H$14*J848+'CAFCO 400 '!$H$15)*U848)+('CAFCO 400 '!$H$16*(J848^2)+'CAFCO 400 '!$H$17*J848+'CAFCO 400 '!$H$18)),0)+IF(AND(L848="Cafco 400",M848="Software Idiem",C848="Cj"),(((('CAFCO 400 '!$D$7*LN(J848)+'CAFCO 400 '!$D$8)*U848^2)+(('CAFCO 400 '!$D$9*LN(J848)+'CAFCO 400 '!$D$10)*U848)+('CAFCO 400 '!$D$11*LN(J848)+'CAFCO 400 '!$D$12))),0)+IF(AND(L848="Cafco 400",M848="Software Idiem",C848="C"),((('CAFCO 400 '!$L$7*(J848^3)+'CAFCO 400 '!$L$8*(J848^2)+'CAFCO 400 '!$L$9*J848+'CAFCO 400 '!$L$10)*U848^2)+(('CAFCO 400 '!$L$11*(J848^3)+'CAFCO 400 '!$L$12*(J848^2)+'CAFCO 400 '!$L$13*J848+'CAFCO 400 '!$L$14)*U848)+('CAFCO 400 '!$L$15*LN(J848)+'CAFCO 400 '!$L$16)),0)+IF(AND(L848="Cafco 400",M848="Software Idiem",C848="L"),((('CAFCO 400 '!$L$7*(J848^3)+'CAFCO 400 '!$L$8*(J848^2)+'CAFCO 400 '!$L$9*J848+'CAFCO 400 '!$L$10)*U848^2)+(('CAFCO 400 '!$L$11*(J848^3)+'CAFCO 400 '!$L$12*(J848^2)+'CAFCO 400 '!$L$13*J848+'CAFCO 400 '!$L$14)*U848)+('CAFCO 400 '!$L$15*LN(J848)+'CAFCO 400 '!$L$16)),0)+IF(AND(L848="Cafco 400",M848="Software Idiem",C848="IN",G848=3),((('CAFCO 400 '!$D$23*(J848^2)+'CAFCO 400 '!$D$24*(J848)+'CAFCO 400 '!$D$25)*U848^2)+(('CAFCO 400 '!$D$26*(J848^2)+'CAFCO 400 '!$D$27*J848+'CAFCO 400 '!$D$28)*U848)+('CAFCO 400 '!$D$29*(J848^2)+'CAFCO 400 '!$D$30*J848+'CAFCO 400 '!$D$31)),0),0)+IF(AND(L848="Cafco 300",J848&gt;=95,J848&lt;=240,C848="Cj",I848=90),VLOOKUP(T848,'CAFCO 300 IDIEM TABLAS'!$B$4:$D$23,2,FALSE),0)+IF(AND(L848="Cafco 300",J848&gt;=95,J848&lt;=240,C848="Cj",I848=120),VLOOKUP(T848,'CAFCO 300 IDIEM TABLAS'!$B$4:$D$23,3,FALSE),0)+IF(AND(L848="Cafco 300",J848&gt;=95,J848&lt;=400,G848=3,C848="IN",I848=90),VLOOKUP(T848,'CAFCO 300 IDIEM TABLAS'!$F$4:$H$35,2,FALSE),0)+IF(AND(L848="Cafco 300",J848&gt;=95,J848&lt;=400,G848=3,C848="IN",I848=120),VLOOKUP(T848,'CAFCO 300 IDIEM TABLAS'!$F$4:$H$35,3,FALSE),0)+IF(AND(L848="Cafco 300",J848&gt;=95,J848&lt;=450,G848=4,C848="IN",I848=90),VLOOKUP(T848,'CAFCO 300 IDIEM TABLAS'!$J$4:$L$40,2,FALSE),0)+IF(AND(L848="Cafco 300",J848&gt;=95,J848&lt;=450,G848=4,C848="IN",I848=120),VLOOKUP(T848,'CAFCO 300 IDIEM TABLAS'!$J$4:$L$40,3,FALSE),0)+IF(AND(M848="Ensayo Idiem",L848="Cafco 400",C848="IN",G848=4,I848=90),VLOOKUP(T848,'CAFCO 400 ENSAYO'!$B$7:$D$43,2,FALSE),0)+IF(AND(M848="Ensayo Idiem",L848="Cafco 400",C848="IN",G848=4,I848=120),VLOOKUP(T848,'CAFCO 400 ENSAYO'!$B$7:$D$43,3,FALSE),0)</f>
        <v>0</v>
      </c>
      <c r="O848" s="96">
        <f t="shared" si="90"/>
        <v>0</v>
      </c>
      <c r="P848" s="95" t="str">
        <f t="shared" si="85"/>
        <v>N/A</v>
      </c>
      <c r="Q848" s="95" t="str">
        <f t="shared" si="86"/>
        <v>N/A</v>
      </c>
      <c r="R848" s="95" t="str">
        <f t="shared" si="87"/>
        <v>NO CERT.</v>
      </c>
      <c r="S848" s="95" t="e">
        <f t="shared" si="88"/>
        <v>#N/A</v>
      </c>
      <c r="T848" s="119" t="e">
        <f>+IF(J848=LOOKUP(J848,'CAFCO 300 IDIEM TABLAS'!$J$4:$J$40),'CALCULO MORTERO'!J848,MROUND('CALCULO MORTERO'!J848,10))</f>
        <v>#N/A</v>
      </c>
      <c r="U848" s="118">
        <f t="shared" si="89"/>
        <v>0</v>
      </c>
    </row>
    <row r="849" spans="1:21" x14ac:dyDescent="0.25">
      <c r="A849" s="118">
        <f>+CUBICACION!D843</f>
        <v>0</v>
      </c>
      <c r="B849" s="819">
        <f>+CUBICACION!E843</f>
        <v>0</v>
      </c>
      <c r="C849" s="675">
        <f>+CUBICACION!F843</f>
        <v>0</v>
      </c>
      <c r="D849" s="118"/>
      <c r="E849" s="118"/>
      <c r="F849" s="820"/>
      <c r="G849" s="675">
        <f>+CUBICACION!J843</f>
        <v>0</v>
      </c>
      <c r="H849" s="118"/>
      <c r="I849" s="821">
        <f>+CUBICACION!L843</f>
        <v>0</v>
      </c>
      <c r="J849" s="64">
        <f>+CUBICACION!M843</f>
        <v>0</v>
      </c>
      <c r="K849" s="822" t="str">
        <f>+CUBICACION!N843</f>
        <v/>
      </c>
      <c r="L849" s="118">
        <f>+CUBICACION!O843</f>
        <v>0</v>
      </c>
      <c r="M849" s="823">
        <f>+CUBICACION!P843</f>
        <v>0</v>
      </c>
      <c r="N849" s="902">
        <f>ROUND(IF(AND(L849="Blaze Shield II",M849="Software Idiem",C849="IN",G849=4),((('BLAZE SHIELD II'!$D$4*('CALCULO MORTERO'!I849^2)+'BLAZE SHIELD II'!$D$5*'CALCULO MORTERO'!I849+'BLAZE SHIELD II'!$D$6)*LN(J849))+('BLAZE SHIELD II'!$D$7*('CALCULO MORTERO'!I849^2)+'BLAZE SHIELD II'!$D$8*'CALCULO MORTERO'!I849+'BLAZE SHIELD II'!$D$9)),0)+IF(AND(L849="Blaze Shield II",M849="Software Idiem",C849="Cj"),((('BLAZE SHIELD II'!$H$4*('CALCULO MORTERO'!I849^2)+'BLAZE SHIELD II'!$H$5*'CALCULO MORTERO'!I849+'BLAZE SHIELD II'!$H$6)*LN(J849))+('BLAZE SHIELD II'!$H$7*('CALCULO MORTERO'!I849^2)+'BLAZE SHIELD II'!$H$8*'CALCULO MORTERO'!I849+'BLAZE SHIELD II'!$H$9)),0)+IF(AND(L849="Blaze Shield II",M849="Software Idiem",C849="C"),((('BLAZE SHIELD II'!$L$4*('CALCULO MORTERO'!I849^2)+'BLAZE SHIELD II'!$L$5*'CALCULO MORTERO'!I849+'BLAZE SHIELD II'!$L$6)*LN(J849))+('BLAZE SHIELD II'!$L$7*('CALCULO MORTERO'!I849^2)+'BLAZE SHIELD II'!$L$8*'CALCULO MORTERO'!I849+'BLAZE SHIELD II'!$L$9)),0)+IF(AND(L849="Blaze Shield II",M849="Software Idiem",C849="L"),((('BLAZE SHIELD II'!$L$4*('CALCULO MORTERO'!I849^2)+'BLAZE SHIELD II'!$L$5*'CALCULO MORTERO'!I849+'BLAZE SHIELD II'!$L$6)*LN(J849))+('BLAZE SHIELD II'!$L$7*('CALCULO MORTERO'!I849^2)+'BLAZE SHIELD II'!$L$8*'CALCULO MORTERO'!I849+'BLAZE SHIELD II'!$L$9)),0)+IF(AND(L849="Blaze Shield II",M849="Software Idiem",C849="IN",G849=3),((('BLAZE SHIELD II'!$H$14*('CALCULO MORTERO'!I849^2)+'BLAZE SHIELD II'!$H$15*'CALCULO MORTERO'!I849+'BLAZE SHIELD II'!$H$16)*LN(J849))+('BLAZE SHIELD II'!$H$17*('CALCULO MORTERO'!I849^2)+'BLAZE SHIELD II'!$H$18*'CALCULO MORTERO'!I849+'BLAZE SHIELD II'!$H$19)),0),0)+ROUND(IF(AND(L849="Cafco 400",M849="Software Idiem",C849="IN",G849=4),((('CAFCO 400 '!$H$7*(J849^4)+'CAFCO 400 '!$H$8*(J849^3)+'CAFCO 400 '!$H$9*(J849^2)+'CAFCO 400 '!$H$10*J849+'CAFCO 400 '!$H$11)*U849^2)+(('CAFCO 400 '!$H$12*(J849^3)+'CAFCO 400 '!$H$13*(J849^2)+'CAFCO 400 '!$H$14*J849+'CAFCO 400 '!$H$15)*U849)+('CAFCO 400 '!$H$16*(J849^2)+'CAFCO 400 '!$H$17*J849+'CAFCO 400 '!$H$18)),0)+IF(AND(L849="Cafco 400",M849="Software Idiem",C849="Cj"),(((('CAFCO 400 '!$D$7*LN(J849)+'CAFCO 400 '!$D$8)*U849^2)+(('CAFCO 400 '!$D$9*LN(J849)+'CAFCO 400 '!$D$10)*U849)+('CAFCO 400 '!$D$11*LN(J849)+'CAFCO 400 '!$D$12))),0)+IF(AND(L849="Cafco 400",M849="Software Idiem",C849="C"),((('CAFCO 400 '!$L$7*(J849^3)+'CAFCO 400 '!$L$8*(J849^2)+'CAFCO 400 '!$L$9*J849+'CAFCO 400 '!$L$10)*U849^2)+(('CAFCO 400 '!$L$11*(J849^3)+'CAFCO 400 '!$L$12*(J849^2)+'CAFCO 400 '!$L$13*J849+'CAFCO 400 '!$L$14)*U849)+('CAFCO 400 '!$L$15*LN(J849)+'CAFCO 400 '!$L$16)),0)+IF(AND(L849="Cafco 400",M849="Software Idiem",C849="L"),((('CAFCO 400 '!$L$7*(J849^3)+'CAFCO 400 '!$L$8*(J849^2)+'CAFCO 400 '!$L$9*J849+'CAFCO 400 '!$L$10)*U849^2)+(('CAFCO 400 '!$L$11*(J849^3)+'CAFCO 400 '!$L$12*(J849^2)+'CAFCO 400 '!$L$13*J849+'CAFCO 400 '!$L$14)*U849)+('CAFCO 400 '!$L$15*LN(J849)+'CAFCO 400 '!$L$16)),0)+IF(AND(L849="Cafco 400",M849="Software Idiem",C849="IN",G849=3),((('CAFCO 400 '!$D$23*(J849^2)+'CAFCO 400 '!$D$24*(J849)+'CAFCO 400 '!$D$25)*U849^2)+(('CAFCO 400 '!$D$26*(J849^2)+'CAFCO 400 '!$D$27*J849+'CAFCO 400 '!$D$28)*U849)+('CAFCO 400 '!$D$29*(J849^2)+'CAFCO 400 '!$D$30*J849+'CAFCO 400 '!$D$31)),0),0)+IF(AND(L849="Cafco 300",J849&gt;=95,J849&lt;=240,C849="Cj",I849=90),VLOOKUP(T849,'CAFCO 300 IDIEM TABLAS'!$B$4:$D$23,2,FALSE),0)+IF(AND(L849="Cafco 300",J849&gt;=95,J849&lt;=240,C849="Cj",I849=120),VLOOKUP(T849,'CAFCO 300 IDIEM TABLAS'!$B$4:$D$23,3,FALSE),0)+IF(AND(L849="Cafco 300",J849&gt;=95,J849&lt;=400,G849=3,C849="IN",I849=90),VLOOKUP(T849,'CAFCO 300 IDIEM TABLAS'!$F$4:$H$35,2,FALSE),0)+IF(AND(L849="Cafco 300",J849&gt;=95,J849&lt;=400,G849=3,C849="IN",I849=120),VLOOKUP(T849,'CAFCO 300 IDIEM TABLAS'!$F$4:$H$35,3,FALSE),0)+IF(AND(L849="Cafco 300",J849&gt;=95,J849&lt;=450,G849=4,C849="IN",I849=90),VLOOKUP(T849,'CAFCO 300 IDIEM TABLAS'!$J$4:$L$40,2,FALSE),0)+IF(AND(L849="Cafco 300",J849&gt;=95,J849&lt;=450,G849=4,C849="IN",I849=120),VLOOKUP(T849,'CAFCO 300 IDIEM TABLAS'!$J$4:$L$40,3,FALSE),0)+IF(AND(M849="Ensayo Idiem",L849="Cafco 400",C849="IN",G849=4,I849=90),VLOOKUP(T849,'CAFCO 400 ENSAYO'!$B$7:$D$43,2,FALSE),0)+IF(AND(M849="Ensayo Idiem",L849="Cafco 400",C849="IN",G849=4,I849=120),VLOOKUP(T849,'CAFCO 400 ENSAYO'!$B$7:$D$43,3,FALSE),0)</f>
        <v>0</v>
      </c>
      <c r="O849" s="96">
        <f t="shared" si="90"/>
        <v>0</v>
      </c>
      <c r="P849" s="132" t="str">
        <f t="shared" si="85"/>
        <v>N/A</v>
      </c>
      <c r="Q849" s="132" t="str">
        <f t="shared" si="86"/>
        <v>N/A</v>
      </c>
      <c r="R849" s="132" t="str">
        <f t="shared" si="87"/>
        <v>NO CERT.</v>
      </c>
      <c r="S849" s="132" t="e">
        <f t="shared" si="88"/>
        <v>#N/A</v>
      </c>
      <c r="T849" s="133" t="e">
        <f>+IF(J849=LOOKUP(J849,'CAFCO 300 IDIEM TABLAS'!$J$4:$J$40),'CALCULO MORTERO'!J849,MROUND('CALCULO MORTERO'!J849,10))</f>
        <v>#N/A</v>
      </c>
      <c r="U849" s="134">
        <f t="shared" si="89"/>
        <v>0</v>
      </c>
    </row>
    <row r="850" spans="1:21" x14ac:dyDescent="0.25">
      <c r="A850" s="118">
        <f>+CUBICACION!D844</f>
        <v>0</v>
      </c>
      <c r="B850" s="819">
        <f>+CUBICACION!E844</f>
        <v>0</v>
      </c>
      <c r="C850" s="675">
        <f>+CUBICACION!F844</f>
        <v>0</v>
      </c>
      <c r="D850" s="118"/>
      <c r="E850" s="118"/>
      <c r="F850" s="820"/>
      <c r="G850" s="675">
        <f>+CUBICACION!J844</f>
        <v>0</v>
      </c>
      <c r="H850" s="118"/>
      <c r="I850" s="821">
        <f>+CUBICACION!L844</f>
        <v>0</v>
      </c>
      <c r="J850" s="64">
        <f>+CUBICACION!M844</f>
        <v>0</v>
      </c>
      <c r="K850" s="822" t="str">
        <f>+CUBICACION!N844</f>
        <v/>
      </c>
      <c r="L850" s="118">
        <f>+CUBICACION!O844</f>
        <v>0</v>
      </c>
      <c r="M850" s="823">
        <f>+CUBICACION!P844</f>
        <v>0</v>
      </c>
      <c r="N850" s="902">
        <f>ROUND(IF(AND(L850="Blaze Shield II",M850="Software Idiem",C850="IN",G850=4),((('BLAZE SHIELD II'!$D$4*('CALCULO MORTERO'!I850^2)+'BLAZE SHIELD II'!$D$5*'CALCULO MORTERO'!I850+'BLAZE SHIELD II'!$D$6)*LN(J850))+('BLAZE SHIELD II'!$D$7*('CALCULO MORTERO'!I850^2)+'BLAZE SHIELD II'!$D$8*'CALCULO MORTERO'!I850+'BLAZE SHIELD II'!$D$9)),0)+IF(AND(L850="Blaze Shield II",M850="Software Idiem",C850="Cj"),((('BLAZE SHIELD II'!$H$4*('CALCULO MORTERO'!I850^2)+'BLAZE SHIELD II'!$H$5*'CALCULO MORTERO'!I850+'BLAZE SHIELD II'!$H$6)*LN(J850))+('BLAZE SHIELD II'!$H$7*('CALCULO MORTERO'!I850^2)+'BLAZE SHIELD II'!$H$8*'CALCULO MORTERO'!I850+'BLAZE SHIELD II'!$H$9)),0)+IF(AND(L850="Blaze Shield II",M850="Software Idiem",C850="C"),((('BLAZE SHIELD II'!$L$4*('CALCULO MORTERO'!I850^2)+'BLAZE SHIELD II'!$L$5*'CALCULO MORTERO'!I850+'BLAZE SHIELD II'!$L$6)*LN(J850))+('BLAZE SHIELD II'!$L$7*('CALCULO MORTERO'!I850^2)+'BLAZE SHIELD II'!$L$8*'CALCULO MORTERO'!I850+'BLAZE SHIELD II'!$L$9)),0)+IF(AND(L850="Blaze Shield II",M850="Software Idiem",C850="L"),((('BLAZE SHIELD II'!$L$4*('CALCULO MORTERO'!I850^2)+'BLAZE SHIELD II'!$L$5*'CALCULO MORTERO'!I850+'BLAZE SHIELD II'!$L$6)*LN(J850))+('BLAZE SHIELD II'!$L$7*('CALCULO MORTERO'!I850^2)+'BLAZE SHIELD II'!$L$8*'CALCULO MORTERO'!I850+'BLAZE SHIELD II'!$L$9)),0)+IF(AND(L850="Blaze Shield II",M850="Software Idiem",C850="IN",G850=3),((('BLAZE SHIELD II'!$H$14*('CALCULO MORTERO'!I850^2)+'BLAZE SHIELD II'!$H$15*'CALCULO MORTERO'!I850+'BLAZE SHIELD II'!$H$16)*LN(J850))+('BLAZE SHIELD II'!$H$17*('CALCULO MORTERO'!I850^2)+'BLAZE SHIELD II'!$H$18*'CALCULO MORTERO'!I850+'BLAZE SHIELD II'!$H$19)),0),0)+ROUND(IF(AND(L850="Cafco 400",M850="Software Idiem",C850="IN",G850=4),((('CAFCO 400 '!$H$7*(J850^4)+'CAFCO 400 '!$H$8*(J850^3)+'CAFCO 400 '!$H$9*(J850^2)+'CAFCO 400 '!$H$10*J850+'CAFCO 400 '!$H$11)*U850^2)+(('CAFCO 400 '!$H$12*(J850^3)+'CAFCO 400 '!$H$13*(J850^2)+'CAFCO 400 '!$H$14*J850+'CAFCO 400 '!$H$15)*U850)+('CAFCO 400 '!$H$16*(J850^2)+'CAFCO 400 '!$H$17*J850+'CAFCO 400 '!$H$18)),0)+IF(AND(L850="Cafco 400",M850="Software Idiem",C850="Cj"),(((('CAFCO 400 '!$D$7*LN(J850)+'CAFCO 400 '!$D$8)*U850^2)+(('CAFCO 400 '!$D$9*LN(J850)+'CAFCO 400 '!$D$10)*U850)+('CAFCO 400 '!$D$11*LN(J850)+'CAFCO 400 '!$D$12))),0)+IF(AND(L850="Cafco 400",M850="Software Idiem",C850="C"),((('CAFCO 400 '!$L$7*(J850^3)+'CAFCO 400 '!$L$8*(J850^2)+'CAFCO 400 '!$L$9*J850+'CAFCO 400 '!$L$10)*U850^2)+(('CAFCO 400 '!$L$11*(J850^3)+'CAFCO 400 '!$L$12*(J850^2)+'CAFCO 400 '!$L$13*J850+'CAFCO 400 '!$L$14)*U850)+('CAFCO 400 '!$L$15*LN(J850)+'CAFCO 400 '!$L$16)),0)+IF(AND(L850="Cafco 400",M850="Software Idiem",C850="L"),((('CAFCO 400 '!$L$7*(J850^3)+'CAFCO 400 '!$L$8*(J850^2)+'CAFCO 400 '!$L$9*J850+'CAFCO 400 '!$L$10)*U850^2)+(('CAFCO 400 '!$L$11*(J850^3)+'CAFCO 400 '!$L$12*(J850^2)+'CAFCO 400 '!$L$13*J850+'CAFCO 400 '!$L$14)*U850)+('CAFCO 400 '!$L$15*LN(J850)+'CAFCO 400 '!$L$16)),0)+IF(AND(L850="Cafco 400",M850="Software Idiem",C850="IN",G850=3),((('CAFCO 400 '!$D$23*(J850^2)+'CAFCO 400 '!$D$24*(J850)+'CAFCO 400 '!$D$25)*U850^2)+(('CAFCO 400 '!$D$26*(J850^2)+'CAFCO 400 '!$D$27*J850+'CAFCO 400 '!$D$28)*U850)+('CAFCO 400 '!$D$29*(J850^2)+'CAFCO 400 '!$D$30*J850+'CAFCO 400 '!$D$31)),0),0)+IF(AND(L850="Cafco 300",J850&gt;=95,J850&lt;=240,C850="Cj",I850=90),VLOOKUP(T850,'CAFCO 300 IDIEM TABLAS'!$B$4:$D$23,2,FALSE),0)+IF(AND(L850="Cafco 300",J850&gt;=95,J850&lt;=240,C850="Cj",I850=120),VLOOKUP(T850,'CAFCO 300 IDIEM TABLAS'!$B$4:$D$23,3,FALSE),0)+IF(AND(L850="Cafco 300",J850&gt;=95,J850&lt;=400,G850=3,C850="IN",I850=90),VLOOKUP(T850,'CAFCO 300 IDIEM TABLAS'!$F$4:$H$35,2,FALSE),0)+IF(AND(L850="Cafco 300",J850&gt;=95,J850&lt;=400,G850=3,C850="IN",I850=120),VLOOKUP(T850,'CAFCO 300 IDIEM TABLAS'!$F$4:$H$35,3,FALSE),0)+IF(AND(L850="Cafco 300",J850&gt;=95,J850&lt;=450,G850=4,C850="IN",I850=90),VLOOKUP(T850,'CAFCO 300 IDIEM TABLAS'!$J$4:$L$40,2,FALSE),0)+IF(AND(L850="Cafco 300",J850&gt;=95,J850&lt;=450,G850=4,C850="IN",I850=120),VLOOKUP(T850,'CAFCO 300 IDIEM TABLAS'!$J$4:$L$40,3,FALSE),0)+IF(AND(M850="Ensayo Idiem",L850="Cafco 400",C850="IN",G850=4,I850=90),VLOOKUP(T850,'CAFCO 400 ENSAYO'!$B$7:$D$43,2,FALSE),0)+IF(AND(M850="Ensayo Idiem",L850="Cafco 400",C850="IN",G850=4,I850=120),VLOOKUP(T850,'CAFCO 400 ENSAYO'!$B$7:$D$43,3,FALSE),0)</f>
        <v>0</v>
      </c>
      <c r="O850" s="96">
        <f t="shared" si="90"/>
        <v>0</v>
      </c>
      <c r="P850" s="95" t="str">
        <f t="shared" si="85"/>
        <v>N/A</v>
      </c>
      <c r="Q850" s="95" t="str">
        <f t="shared" si="86"/>
        <v>N/A</v>
      </c>
      <c r="R850" s="95" t="str">
        <f t="shared" si="87"/>
        <v>NO CERT.</v>
      </c>
      <c r="S850" s="95" t="e">
        <f t="shared" si="88"/>
        <v>#N/A</v>
      </c>
      <c r="T850" s="119" t="e">
        <f>+IF(J850=LOOKUP(J850,'CAFCO 300 IDIEM TABLAS'!$J$4:$J$40),'CALCULO MORTERO'!J850,MROUND('CALCULO MORTERO'!J850,10))</f>
        <v>#N/A</v>
      </c>
      <c r="U850" s="118">
        <f t="shared" si="89"/>
        <v>0</v>
      </c>
    </row>
    <row r="851" spans="1:21" x14ac:dyDescent="0.25">
      <c r="A851" s="118">
        <f>+CUBICACION!D845</f>
        <v>0</v>
      </c>
      <c r="B851" s="819">
        <f>+CUBICACION!E845</f>
        <v>0</v>
      </c>
      <c r="C851" s="675">
        <f>+CUBICACION!F845</f>
        <v>0</v>
      </c>
      <c r="D851" s="118"/>
      <c r="E851" s="118"/>
      <c r="F851" s="820"/>
      <c r="G851" s="675">
        <f>+CUBICACION!J845</f>
        <v>0</v>
      </c>
      <c r="H851" s="118"/>
      <c r="I851" s="821">
        <f>+CUBICACION!L845</f>
        <v>0</v>
      </c>
      <c r="J851" s="64">
        <f>+CUBICACION!M845</f>
        <v>0</v>
      </c>
      <c r="K851" s="822" t="str">
        <f>+CUBICACION!N845</f>
        <v/>
      </c>
      <c r="L851" s="118">
        <f>+CUBICACION!O845</f>
        <v>0</v>
      </c>
      <c r="M851" s="823">
        <f>+CUBICACION!P845</f>
        <v>0</v>
      </c>
      <c r="N851" s="902">
        <f>ROUND(IF(AND(L851="Blaze Shield II",M851="Software Idiem",C851="IN",G851=4),((('BLAZE SHIELD II'!$D$4*('CALCULO MORTERO'!I851^2)+'BLAZE SHIELD II'!$D$5*'CALCULO MORTERO'!I851+'BLAZE SHIELD II'!$D$6)*LN(J851))+('BLAZE SHIELD II'!$D$7*('CALCULO MORTERO'!I851^2)+'BLAZE SHIELD II'!$D$8*'CALCULO MORTERO'!I851+'BLAZE SHIELD II'!$D$9)),0)+IF(AND(L851="Blaze Shield II",M851="Software Idiem",C851="Cj"),((('BLAZE SHIELD II'!$H$4*('CALCULO MORTERO'!I851^2)+'BLAZE SHIELD II'!$H$5*'CALCULO MORTERO'!I851+'BLAZE SHIELD II'!$H$6)*LN(J851))+('BLAZE SHIELD II'!$H$7*('CALCULO MORTERO'!I851^2)+'BLAZE SHIELD II'!$H$8*'CALCULO MORTERO'!I851+'BLAZE SHIELD II'!$H$9)),0)+IF(AND(L851="Blaze Shield II",M851="Software Idiem",C851="C"),((('BLAZE SHIELD II'!$L$4*('CALCULO MORTERO'!I851^2)+'BLAZE SHIELD II'!$L$5*'CALCULO MORTERO'!I851+'BLAZE SHIELD II'!$L$6)*LN(J851))+('BLAZE SHIELD II'!$L$7*('CALCULO MORTERO'!I851^2)+'BLAZE SHIELD II'!$L$8*'CALCULO MORTERO'!I851+'BLAZE SHIELD II'!$L$9)),0)+IF(AND(L851="Blaze Shield II",M851="Software Idiem",C851="L"),((('BLAZE SHIELD II'!$L$4*('CALCULO MORTERO'!I851^2)+'BLAZE SHIELD II'!$L$5*'CALCULO MORTERO'!I851+'BLAZE SHIELD II'!$L$6)*LN(J851))+('BLAZE SHIELD II'!$L$7*('CALCULO MORTERO'!I851^2)+'BLAZE SHIELD II'!$L$8*'CALCULO MORTERO'!I851+'BLAZE SHIELD II'!$L$9)),0)+IF(AND(L851="Blaze Shield II",M851="Software Idiem",C851="IN",G851=3),((('BLAZE SHIELD II'!$H$14*('CALCULO MORTERO'!I851^2)+'BLAZE SHIELD II'!$H$15*'CALCULO MORTERO'!I851+'BLAZE SHIELD II'!$H$16)*LN(J851))+('BLAZE SHIELD II'!$H$17*('CALCULO MORTERO'!I851^2)+'BLAZE SHIELD II'!$H$18*'CALCULO MORTERO'!I851+'BLAZE SHIELD II'!$H$19)),0),0)+ROUND(IF(AND(L851="Cafco 400",M851="Software Idiem",C851="IN",G851=4),((('CAFCO 400 '!$H$7*(J851^4)+'CAFCO 400 '!$H$8*(J851^3)+'CAFCO 400 '!$H$9*(J851^2)+'CAFCO 400 '!$H$10*J851+'CAFCO 400 '!$H$11)*U851^2)+(('CAFCO 400 '!$H$12*(J851^3)+'CAFCO 400 '!$H$13*(J851^2)+'CAFCO 400 '!$H$14*J851+'CAFCO 400 '!$H$15)*U851)+('CAFCO 400 '!$H$16*(J851^2)+'CAFCO 400 '!$H$17*J851+'CAFCO 400 '!$H$18)),0)+IF(AND(L851="Cafco 400",M851="Software Idiem",C851="Cj"),(((('CAFCO 400 '!$D$7*LN(J851)+'CAFCO 400 '!$D$8)*U851^2)+(('CAFCO 400 '!$D$9*LN(J851)+'CAFCO 400 '!$D$10)*U851)+('CAFCO 400 '!$D$11*LN(J851)+'CAFCO 400 '!$D$12))),0)+IF(AND(L851="Cafco 400",M851="Software Idiem",C851="C"),((('CAFCO 400 '!$L$7*(J851^3)+'CAFCO 400 '!$L$8*(J851^2)+'CAFCO 400 '!$L$9*J851+'CAFCO 400 '!$L$10)*U851^2)+(('CAFCO 400 '!$L$11*(J851^3)+'CAFCO 400 '!$L$12*(J851^2)+'CAFCO 400 '!$L$13*J851+'CAFCO 400 '!$L$14)*U851)+('CAFCO 400 '!$L$15*LN(J851)+'CAFCO 400 '!$L$16)),0)+IF(AND(L851="Cafco 400",M851="Software Idiem",C851="L"),((('CAFCO 400 '!$L$7*(J851^3)+'CAFCO 400 '!$L$8*(J851^2)+'CAFCO 400 '!$L$9*J851+'CAFCO 400 '!$L$10)*U851^2)+(('CAFCO 400 '!$L$11*(J851^3)+'CAFCO 400 '!$L$12*(J851^2)+'CAFCO 400 '!$L$13*J851+'CAFCO 400 '!$L$14)*U851)+('CAFCO 400 '!$L$15*LN(J851)+'CAFCO 400 '!$L$16)),0)+IF(AND(L851="Cafco 400",M851="Software Idiem",C851="IN",G851=3),((('CAFCO 400 '!$D$23*(J851^2)+'CAFCO 400 '!$D$24*(J851)+'CAFCO 400 '!$D$25)*U851^2)+(('CAFCO 400 '!$D$26*(J851^2)+'CAFCO 400 '!$D$27*J851+'CAFCO 400 '!$D$28)*U851)+('CAFCO 400 '!$D$29*(J851^2)+'CAFCO 400 '!$D$30*J851+'CAFCO 400 '!$D$31)),0),0)+IF(AND(L851="Cafco 300",J851&gt;=95,J851&lt;=240,C851="Cj",I851=90),VLOOKUP(T851,'CAFCO 300 IDIEM TABLAS'!$B$4:$D$23,2,FALSE),0)+IF(AND(L851="Cafco 300",J851&gt;=95,J851&lt;=240,C851="Cj",I851=120),VLOOKUP(T851,'CAFCO 300 IDIEM TABLAS'!$B$4:$D$23,3,FALSE),0)+IF(AND(L851="Cafco 300",J851&gt;=95,J851&lt;=400,G851=3,C851="IN",I851=90),VLOOKUP(T851,'CAFCO 300 IDIEM TABLAS'!$F$4:$H$35,2,FALSE),0)+IF(AND(L851="Cafco 300",J851&gt;=95,J851&lt;=400,G851=3,C851="IN",I851=120),VLOOKUP(T851,'CAFCO 300 IDIEM TABLAS'!$F$4:$H$35,3,FALSE),0)+IF(AND(L851="Cafco 300",J851&gt;=95,J851&lt;=450,G851=4,C851="IN",I851=90),VLOOKUP(T851,'CAFCO 300 IDIEM TABLAS'!$J$4:$L$40,2,FALSE),0)+IF(AND(L851="Cafco 300",J851&gt;=95,J851&lt;=450,G851=4,C851="IN",I851=120),VLOOKUP(T851,'CAFCO 300 IDIEM TABLAS'!$J$4:$L$40,3,FALSE),0)+IF(AND(M851="Ensayo Idiem",L851="Cafco 400",C851="IN",G851=4,I851=90),VLOOKUP(T851,'CAFCO 400 ENSAYO'!$B$7:$D$43,2,FALSE),0)+IF(AND(M851="Ensayo Idiem",L851="Cafco 400",C851="IN",G851=4,I851=120),VLOOKUP(T851,'CAFCO 400 ENSAYO'!$B$7:$D$43,3,FALSE),0)</f>
        <v>0</v>
      </c>
      <c r="O851" s="96">
        <f t="shared" si="90"/>
        <v>0</v>
      </c>
      <c r="P851" s="132" t="str">
        <f t="shared" si="85"/>
        <v>N/A</v>
      </c>
      <c r="Q851" s="132" t="str">
        <f t="shared" si="86"/>
        <v>N/A</v>
      </c>
      <c r="R851" s="132" t="str">
        <f t="shared" si="87"/>
        <v>NO CERT.</v>
      </c>
      <c r="S851" s="132" t="e">
        <f t="shared" si="88"/>
        <v>#N/A</v>
      </c>
      <c r="T851" s="133" t="e">
        <f>+IF(J851=LOOKUP(J851,'CAFCO 300 IDIEM TABLAS'!$J$4:$J$40),'CALCULO MORTERO'!J851,MROUND('CALCULO MORTERO'!J851,10))</f>
        <v>#N/A</v>
      </c>
      <c r="U851" s="134">
        <f t="shared" si="89"/>
        <v>0</v>
      </c>
    </row>
    <row r="852" spans="1:21" x14ac:dyDescent="0.25">
      <c r="A852" s="118">
        <f>+CUBICACION!D846</f>
        <v>0</v>
      </c>
      <c r="B852" s="819">
        <f>+CUBICACION!E846</f>
        <v>0</v>
      </c>
      <c r="C852" s="675">
        <f>+CUBICACION!F846</f>
        <v>0</v>
      </c>
      <c r="D852" s="118"/>
      <c r="E852" s="118"/>
      <c r="F852" s="820"/>
      <c r="G852" s="675">
        <f>+CUBICACION!J846</f>
        <v>0</v>
      </c>
      <c r="H852" s="118"/>
      <c r="I852" s="821">
        <f>+CUBICACION!L846</f>
        <v>0</v>
      </c>
      <c r="J852" s="64">
        <f>+CUBICACION!M846</f>
        <v>0</v>
      </c>
      <c r="K852" s="822" t="str">
        <f>+CUBICACION!N846</f>
        <v/>
      </c>
      <c r="L852" s="118">
        <f>+CUBICACION!O846</f>
        <v>0</v>
      </c>
      <c r="M852" s="823">
        <f>+CUBICACION!P846</f>
        <v>0</v>
      </c>
      <c r="N852" s="902">
        <f>ROUND(IF(AND(L852="Blaze Shield II",M852="Software Idiem",C852="IN",G852=4),((('BLAZE SHIELD II'!$D$4*('CALCULO MORTERO'!I852^2)+'BLAZE SHIELD II'!$D$5*'CALCULO MORTERO'!I852+'BLAZE SHIELD II'!$D$6)*LN(J852))+('BLAZE SHIELD II'!$D$7*('CALCULO MORTERO'!I852^2)+'BLAZE SHIELD II'!$D$8*'CALCULO MORTERO'!I852+'BLAZE SHIELD II'!$D$9)),0)+IF(AND(L852="Blaze Shield II",M852="Software Idiem",C852="Cj"),((('BLAZE SHIELD II'!$H$4*('CALCULO MORTERO'!I852^2)+'BLAZE SHIELD II'!$H$5*'CALCULO MORTERO'!I852+'BLAZE SHIELD II'!$H$6)*LN(J852))+('BLAZE SHIELD II'!$H$7*('CALCULO MORTERO'!I852^2)+'BLAZE SHIELD II'!$H$8*'CALCULO MORTERO'!I852+'BLAZE SHIELD II'!$H$9)),0)+IF(AND(L852="Blaze Shield II",M852="Software Idiem",C852="C"),((('BLAZE SHIELD II'!$L$4*('CALCULO MORTERO'!I852^2)+'BLAZE SHIELD II'!$L$5*'CALCULO MORTERO'!I852+'BLAZE SHIELD II'!$L$6)*LN(J852))+('BLAZE SHIELD II'!$L$7*('CALCULO MORTERO'!I852^2)+'BLAZE SHIELD II'!$L$8*'CALCULO MORTERO'!I852+'BLAZE SHIELD II'!$L$9)),0)+IF(AND(L852="Blaze Shield II",M852="Software Idiem",C852="L"),((('BLAZE SHIELD II'!$L$4*('CALCULO MORTERO'!I852^2)+'BLAZE SHIELD II'!$L$5*'CALCULO MORTERO'!I852+'BLAZE SHIELD II'!$L$6)*LN(J852))+('BLAZE SHIELD II'!$L$7*('CALCULO MORTERO'!I852^2)+'BLAZE SHIELD II'!$L$8*'CALCULO MORTERO'!I852+'BLAZE SHIELD II'!$L$9)),0)+IF(AND(L852="Blaze Shield II",M852="Software Idiem",C852="IN",G852=3),((('BLAZE SHIELD II'!$H$14*('CALCULO MORTERO'!I852^2)+'BLAZE SHIELD II'!$H$15*'CALCULO MORTERO'!I852+'BLAZE SHIELD II'!$H$16)*LN(J852))+('BLAZE SHIELD II'!$H$17*('CALCULO MORTERO'!I852^2)+'BLAZE SHIELD II'!$H$18*'CALCULO MORTERO'!I852+'BLAZE SHIELD II'!$H$19)),0),0)+ROUND(IF(AND(L852="Cafco 400",M852="Software Idiem",C852="IN",G852=4),((('CAFCO 400 '!$H$7*(J852^4)+'CAFCO 400 '!$H$8*(J852^3)+'CAFCO 400 '!$H$9*(J852^2)+'CAFCO 400 '!$H$10*J852+'CAFCO 400 '!$H$11)*U852^2)+(('CAFCO 400 '!$H$12*(J852^3)+'CAFCO 400 '!$H$13*(J852^2)+'CAFCO 400 '!$H$14*J852+'CAFCO 400 '!$H$15)*U852)+('CAFCO 400 '!$H$16*(J852^2)+'CAFCO 400 '!$H$17*J852+'CAFCO 400 '!$H$18)),0)+IF(AND(L852="Cafco 400",M852="Software Idiem",C852="Cj"),(((('CAFCO 400 '!$D$7*LN(J852)+'CAFCO 400 '!$D$8)*U852^2)+(('CAFCO 400 '!$D$9*LN(J852)+'CAFCO 400 '!$D$10)*U852)+('CAFCO 400 '!$D$11*LN(J852)+'CAFCO 400 '!$D$12))),0)+IF(AND(L852="Cafco 400",M852="Software Idiem",C852="C"),((('CAFCO 400 '!$L$7*(J852^3)+'CAFCO 400 '!$L$8*(J852^2)+'CAFCO 400 '!$L$9*J852+'CAFCO 400 '!$L$10)*U852^2)+(('CAFCO 400 '!$L$11*(J852^3)+'CAFCO 400 '!$L$12*(J852^2)+'CAFCO 400 '!$L$13*J852+'CAFCO 400 '!$L$14)*U852)+('CAFCO 400 '!$L$15*LN(J852)+'CAFCO 400 '!$L$16)),0)+IF(AND(L852="Cafco 400",M852="Software Idiem",C852="L"),((('CAFCO 400 '!$L$7*(J852^3)+'CAFCO 400 '!$L$8*(J852^2)+'CAFCO 400 '!$L$9*J852+'CAFCO 400 '!$L$10)*U852^2)+(('CAFCO 400 '!$L$11*(J852^3)+'CAFCO 400 '!$L$12*(J852^2)+'CAFCO 400 '!$L$13*J852+'CAFCO 400 '!$L$14)*U852)+('CAFCO 400 '!$L$15*LN(J852)+'CAFCO 400 '!$L$16)),0)+IF(AND(L852="Cafco 400",M852="Software Idiem",C852="IN",G852=3),((('CAFCO 400 '!$D$23*(J852^2)+'CAFCO 400 '!$D$24*(J852)+'CAFCO 400 '!$D$25)*U852^2)+(('CAFCO 400 '!$D$26*(J852^2)+'CAFCO 400 '!$D$27*J852+'CAFCO 400 '!$D$28)*U852)+('CAFCO 400 '!$D$29*(J852^2)+'CAFCO 400 '!$D$30*J852+'CAFCO 400 '!$D$31)),0),0)+IF(AND(L852="Cafco 300",J852&gt;=95,J852&lt;=240,C852="Cj",I852=90),VLOOKUP(T852,'CAFCO 300 IDIEM TABLAS'!$B$4:$D$23,2,FALSE),0)+IF(AND(L852="Cafco 300",J852&gt;=95,J852&lt;=240,C852="Cj",I852=120),VLOOKUP(T852,'CAFCO 300 IDIEM TABLAS'!$B$4:$D$23,3,FALSE),0)+IF(AND(L852="Cafco 300",J852&gt;=95,J852&lt;=400,G852=3,C852="IN",I852=90),VLOOKUP(T852,'CAFCO 300 IDIEM TABLAS'!$F$4:$H$35,2,FALSE),0)+IF(AND(L852="Cafco 300",J852&gt;=95,J852&lt;=400,G852=3,C852="IN",I852=120),VLOOKUP(T852,'CAFCO 300 IDIEM TABLAS'!$F$4:$H$35,3,FALSE),0)+IF(AND(L852="Cafco 300",J852&gt;=95,J852&lt;=450,G852=4,C852="IN",I852=90),VLOOKUP(T852,'CAFCO 300 IDIEM TABLAS'!$J$4:$L$40,2,FALSE),0)+IF(AND(L852="Cafco 300",J852&gt;=95,J852&lt;=450,G852=4,C852="IN",I852=120),VLOOKUP(T852,'CAFCO 300 IDIEM TABLAS'!$J$4:$L$40,3,FALSE),0)+IF(AND(M852="Ensayo Idiem",L852="Cafco 400",C852="IN",G852=4,I852=90),VLOOKUP(T852,'CAFCO 400 ENSAYO'!$B$7:$D$43,2,FALSE),0)+IF(AND(M852="Ensayo Idiem",L852="Cafco 400",C852="IN",G852=4,I852=120),VLOOKUP(T852,'CAFCO 400 ENSAYO'!$B$7:$D$43,3,FALSE),0)</f>
        <v>0</v>
      </c>
      <c r="O852" s="96">
        <f t="shared" si="90"/>
        <v>0</v>
      </c>
      <c r="P852" s="95" t="str">
        <f t="shared" si="85"/>
        <v>N/A</v>
      </c>
      <c r="Q852" s="95" t="str">
        <f t="shared" si="86"/>
        <v>N/A</v>
      </c>
      <c r="R852" s="95" t="str">
        <f t="shared" si="87"/>
        <v>NO CERT.</v>
      </c>
      <c r="S852" s="95" t="e">
        <f t="shared" si="88"/>
        <v>#N/A</v>
      </c>
      <c r="T852" s="119" t="e">
        <f>+IF(J852=LOOKUP(J852,'CAFCO 300 IDIEM TABLAS'!$J$4:$J$40),'CALCULO MORTERO'!J852,MROUND('CALCULO MORTERO'!J852,10))</f>
        <v>#N/A</v>
      </c>
      <c r="U852" s="118">
        <f t="shared" si="89"/>
        <v>0</v>
      </c>
    </row>
    <row r="853" spans="1:21" x14ac:dyDescent="0.25">
      <c r="A853" s="118">
        <f>+CUBICACION!D847</f>
        <v>0</v>
      </c>
      <c r="B853" s="819">
        <f>+CUBICACION!E847</f>
        <v>0</v>
      </c>
      <c r="C853" s="675">
        <f>+CUBICACION!F847</f>
        <v>0</v>
      </c>
      <c r="D853" s="118"/>
      <c r="E853" s="118"/>
      <c r="F853" s="820"/>
      <c r="G853" s="675">
        <f>+CUBICACION!J847</f>
        <v>0</v>
      </c>
      <c r="H853" s="118"/>
      <c r="I853" s="821">
        <f>+CUBICACION!L847</f>
        <v>0</v>
      </c>
      <c r="J853" s="64">
        <f>+CUBICACION!M847</f>
        <v>0</v>
      </c>
      <c r="K853" s="822" t="str">
        <f>+CUBICACION!N847</f>
        <v/>
      </c>
      <c r="L853" s="118">
        <f>+CUBICACION!O847</f>
        <v>0</v>
      </c>
      <c r="M853" s="823">
        <f>+CUBICACION!P847</f>
        <v>0</v>
      </c>
      <c r="N853" s="902">
        <f>ROUND(IF(AND(L853="Blaze Shield II",M853="Software Idiem",C853="IN",G853=4),((('BLAZE SHIELD II'!$D$4*('CALCULO MORTERO'!I853^2)+'BLAZE SHIELD II'!$D$5*'CALCULO MORTERO'!I853+'BLAZE SHIELD II'!$D$6)*LN(J853))+('BLAZE SHIELD II'!$D$7*('CALCULO MORTERO'!I853^2)+'BLAZE SHIELD II'!$D$8*'CALCULO MORTERO'!I853+'BLAZE SHIELD II'!$D$9)),0)+IF(AND(L853="Blaze Shield II",M853="Software Idiem",C853="Cj"),((('BLAZE SHIELD II'!$H$4*('CALCULO MORTERO'!I853^2)+'BLAZE SHIELD II'!$H$5*'CALCULO MORTERO'!I853+'BLAZE SHIELD II'!$H$6)*LN(J853))+('BLAZE SHIELD II'!$H$7*('CALCULO MORTERO'!I853^2)+'BLAZE SHIELD II'!$H$8*'CALCULO MORTERO'!I853+'BLAZE SHIELD II'!$H$9)),0)+IF(AND(L853="Blaze Shield II",M853="Software Idiem",C853="C"),((('BLAZE SHIELD II'!$L$4*('CALCULO MORTERO'!I853^2)+'BLAZE SHIELD II'!$L$5*'CALCULO MORTERO'!I853+'BLAZE SHIELD II'!$L$6)*LN(J853))+('BLAZE SHIELD II'!$L$7*('CALCULO MORTERO'!I853^2)+'BLAZE SHIELD II'!$L$8*'CALCULO MORTERO'!I853+'BLAZE SHIELD II'!$L$9)),0)+IF(AND(L853="Blaze Shield II",M853="Software Idiem",C853="L"),((('BLAZE SHIELD II'!$L$4*('CALCULO MORTERO'!I853^2)+'BLAZE SHIELD II'!$L$5*'CALCULO MORTERO'!I853+'BLAZE SHIELD II'!$L$6)*LN(J853))+('BLAZE SHIELD II'!$L$7*('CALCULO MORTERO'!I853^2)+'BLAZE SHIELD II'!$L$8*'CALCULO MORTERO'!I853+'BLAZE SHIELD II'!$L$9)),0)+IF(AND(L853="Blaze Shield II",M853="Software Idiem",C853="IN",G853=3),((('BLAZE SHIELD II'!$H$14*('CALCULO MORTERO'!I853^2)+'BLAZE SHIELD II'!$H$15*'CALCULO MORTERO'!I853+'BLAZE SHIELD II'!$H$16)*LN(J853))+('BLAZE SHIELD II'!$H$17*('CALCULO MORTERO'!I853^2)+'BLAZE SHIELD II'!$H$18*'CALCULO MORTERO'!I853+'BLAZE SHIELD II'!$H$19)),0),0)+ROUND(IF(AND(L853="Cafco 400",M853="Software Idiem",C853="IN",G853=4),((('CAFCO 400 '!$H$7*(J853^4)+'CAFCO 400 '!$H$8*(J853^3)+'CAFCO 400 '!$H$9*(J853^2)+'CAFCO 400 '!$H$10*J853+'CAFCO 400 '!$H$11)*U853^2)+(('CAFCO 400 '!$H$12*(J853^3)+'CAFCO 400 '!$H$13*(J853^2)+'CAFCO 400 '!$H$14*J853+'CAFCO 400 '!$H$15)*U853)+('CAFCO 400 '!$H$16*(J853^2)+'CAFCO 400 '!$H$17*J853+'CAFCO 400 '!$H$18)),0)+IF(AND(L853="Cafco 400",M853="Software Idiem",C853="Cj"),(((('CAFCO 400 '!$D$7*LN(J853)+'CAFCO 400 '!$D$8)*U853^2)+(('CAFCO 400 '!$D$9*LN(J853)+'CAFCO 400 '!$D$10)*U853)+('CAFCO 400 '!$D$11*LN(J853)+'CAFCO 400 '!$D$12))),0)+IF(AND(L853="Cafco 400",M853="Software Idiem",C853="C"),((('CAFCO 400 '!$L$7*(J853^3)+'CAFCO 400 '!$L$8*(J853^2)+'CAFCO 400 '!$L$9*J853+'CAFCO 400 '!$L$10)*U853^2)+(('CAFCO 400 '!$L$11*(J853^3)+'CAFCO 400 '!$L$12*(J853^2)+'CAFCO 400 '!$L$13*J853+'CAFCO 400 '!$L$14)*U853)+('CAFCO 400 '!$L$15*LN(J853)+'CAFCO 400 '!$L$16)),0)+IF(AND(L853="Cafco 400",M853="Software Idiem",C853="L"),((('CAFCO 400 '!$L$7*(J853^3)+'CAFCO 400 '!$L$8*(J853^2)+'CAFCO 400 '!$L$9*J853+'CAFCO 400 '!$L$10)*U853^2)+(('CAFCO 400 '!$L$11*(J853^3)+'CAFCO 400 '!$L$12*(J853^2)+'CAFCO 400 '!$L$13*J853+'CAFCO 400 '!$L$14)*U853)+('CAFCO 400 '!$L$15*LN(J853)+'CAFCO 400 '!$L$16)),0)+IF(AND(L853="Cafco 400",M853="Software Idiem",C853="IN",G853=3),((('CAFCO 400 '!$D$23*(J853^2)+'CAFCO 400 '!$D$24*(J853)+'CAFCO 400 '!$D$25)*U853^2)+(('CAFCO 400 '!$D$26*(J853^2)+'CAFCO 400 '!$D$27*J853+'CAFCO 400 '!$D$28)*U853)+('CAFCO 400 '!$D$29*(J853^2)+'CAFCO 400 '!$D$30*J853+'CAFCO 400 '!$D$31)),0),0)+IF(AND(L853="Cafco 300",J853&gt;=95,J853&lt;=240,C853="Cj",I853=90),VLOOKUP(T853,'CAFCO 300 IDIEM TABLAS'!$B$4:$D$23,2,FALSE),0)+IF(AND(L853="Cafco 300",J853&gt;=95,J853&lt;=240,C853="Cj",I853=120),VLOOKUP(T853,'CAFCO 300 IDIEM TABLAS'!$B$4:$D$23,3,FALSE),0)+IF(AND(L853="Cafco 300",J853&gt;=95,J853&lt;=400,G853=3,C853="IN",I853=90),VLOOKUP(T853,'CAFCO 300 IDIEM TABLAS'!$F$4:$H$35,2,FALSE),0)+IF(AND(L853="Cafco 300",J853&gt;=95,J853&lt;=400,G853=3,C853="IN",I853=120),VLOOKUP(T853,'CAFCO 300 IDIEM TABLAS'!$F$4:$H$35,3,FALSE),0)+IF(AND(L853="Cafco 300",J853&gt;=95,J853&lt;=450,G853=4,C853="IN",I853=90),VLOOKUP(T853,'CAFCO 300 IDIEM TABLAS'!$J$4:$L$40,2,FALSE),0)+IF(AND(L853="Cafco 300",J853&gt;=95,J853&lt;=450,G853=4,C853="IN",I853=120),VLOOKUP(T853,'CAFCO 300 IDIEM TABLAS'!$J$4:$L$40,3,FALSE),0)+IF(AND(M853="Ensayo Idiem",L853="Cafco 400",C853="IN",G853=4,I853=90),VLOOKUP(T853,'CAFCO 400 ENSAYO'!$B$7:$D$43,2,FALSE),0)+IF(AND(M853="Ensayo Idiem",L853="Cafco 400",C853="IN",G853=4,I853=120),VLOOKUP(T853,'CAFCO 400 ENSAYO'!$B$7:$D$43,3,FALSE),0)</f>
        <v>0</v>
      </c>
      <c r="O853" s="96">
        <f t="shared" si="90"/>
        <v>0</v>
      </c>
      <c r="P853" s="132" t="str">
        <f t="shared" si="85"/>
        <v>N/A</v>
      </c>
      <c r="Q853" s="132" t="str">
        <f t="shared" si="86"/>
        <v>N/A</v>
      </c>
      <c r="R853" s="132" t="str">
        <f t="shared" si="87"/>
        <v>NO CERT.</v>
      </c>
      <c r="S853" s="132" t="e">
        <f t="shared" si="88"/>
        <v>#N/A</v>
      </c>
      <c r="T853" s="133" t="e">
        <f>+IF(J853=LOOKUP(J853,'CAFCO 300 IDIEM TABLAS'!$J$4:$J$40),'CALCULO MORTERO'!J853,MROUND('CALCULO MORTERO'!J853,10))</f>
        <v>#N/A</v>
      </c>
      <c r="U853" s="134">
        <f t="shared" si="89"/>
        <v>0</v>
      </c>
    </row>
    <row r="854" spans="1:21" x14ac:dyDescent="0.25">
      <c r="A854" s="118">
        <f>+CUBICACION!D848</f>
        <v>0</v>
      </c>
      <c r="B854" s="819">
        <f>+CUBICACION!E848</f>
        <v>0</v>
      </c>
      <c r="C854" s="675">
        <f>+CUBICACION!F848</f>
        <v>0</v>
      </c>
      <c r="D854" s="118"/>
      <c r="E854" s="118"/>
      <c r="F854" s="820"/>
      <c r="G854" s="675">
        <f>+CUBICACION!J848</f>
        <v>0</v>
      </c>
      <c r="H854" s="118"/>
      <c r="I854" s="821">
        <f>+CUBICACION!L848</f>
        <v>0</v>
      </c>
      <c r="J854" s="64">
        <f>+CUBICACION!M848</f>
        <v>0</v>
      </c>
      <c r="K854" s="822" t="str">
        <f>+CUBICACION!N848</f>
        <v/>
      </c>
      <c r="L854" s="118">
        <f>+CUBICACION!O848</f>
        <v>0</v>
      </c>
      <c r="M854" s="823">
        <f>+CUBICACION!P848</f>
        <v>0</v>
      </c>
      <c r="N854" s="902">
        <f>ROUND(IF(AND(L854="Blaze Shield II",M854="Software Idiem",C854="IN",G854=4),((('BLAZE SHIELD II'!$D$4*('CALCULO MORTERO'!I854^2)+'BLAZE SHIELD II'!$D$5*'CALCULO MORTERO'!I854+'BLAZE SHIELD II'!$D$6)*LN(J854))+('BLAZE SHIELD II'!$D$7*('CALCULO MORTERO'!I854^2)+'BLAZE SHIELD II'!$D$8*'CALCULO MORTERO'!I854+'BLAZE SHIELD II'!$D$9)),0)+IF(AND(L854="Blaze Shield II",M854="Software Idiem",C854="Cj"),((('BLAZE SHIELD II'!$H$4*('CALCULO MORTERO'!I854^2)+'BLAZE SHIELD II'!$H$5*'CALCULO MORTERO'!I854+'BLAZE SHIELD II'!$H$6)*LN(J854))+('BLAZE SHIELD II'!$H$7*('CALCULO MORTERO'!I854^2)+'BLAZE SHIELD II'!$H$8*'CALCULO MORTERO'!I854+'BLAZE SHIELD II'!$H$9)),0)+IF(AND(L854="Blaze Shield II",M854="Software Idiem",C854="C"),((('BLAZE SHIELD II'!$L$4*('CALCULO MORTERO'!I854^2)+'BLAZE SHIELD II'!$L$5*'CALCULO MORTERO'!I854+'BLAZE SHIELD II'!$L$6)*LN(J854))+('BLAZE SHIELD II'!$L$7*('CALCULO MORTERO'!I854^2)+'BLAZE SHIELD II'!$L$8*'CALCULO MORTERO'!I854+'BLAZE SHIELD II'!$L$9)),0)+IF(AND(L854="Blaze Shield II",M854="Software Idiem",C854="L"),((('BLAZE SHIELD II'!$L$4*('CALCULO MORTERO'!I854^2)+'BLAZE SHIELD II'!$L$5*'CALCULO MORTERO'!I854+'BLAZE SHIELD II'!$L$6)*LN(J854))+('BLAZE SHIELD II'!$L$7*('CALCULO MORTERO'!I854^2)+'BLAZE SHIELD II'!$L$8*'CALCULO MORTERO'!I854+'BLAZE SHIELD II'!$L$9)),0)+IF(AND(L854="Blaze Shield II",M854="Software Idiem",C854="IN",G854=3),((('BLAZE SHIELD II'!$H$14*('CALCULO MORTERO'!I854^2)+'BLAZE SHIELD II'!$H$15*'CALCULO MORTERO'!I854+'BLAZE SHIELD II'!$H$16)*LN(J854))+('BLAZE SHIELD II'!$H$17*('CALCULO MORTERO'!I854^2)+'BLAZE SHIELD II'!$H$18*'CALCULO MORTERO'!I854+'BLAZE SHIELD II'!$H$19)),0),0)+ROUND(IF(AND(L854="Cafco 400",M854="Software Idiem",C854="IN",G854=4),((('CAFCO 400 '!$H$7*(J854^4)+'CAFCO 400 '!$H$8*(J854^3)+'CAFCO 400 '!$H$9*(J854^2)+'CAFCO 400 '!$H$10*J854+'CAFCO 400 '!$H$11)*U854^2)+(('CAFCO 400 '!$H$12*(J854^3)+'CAFCO 400 '!$H$13*(J854^2)+'CAFCO 400 '!$H$14*J854+'CAFCO 400 '!$H$15)*U854)+('CAFCO 400 '!$H$16*(J854^2)+'CAFCO 400 '!$H$17*J854+'CAFCO 400 '!$H$18)),0)+IF(AND(L854="Cafco 400",M854="Software Idiem",C854="Cj"),(((('CAFCO 400 '!$D$7*LN(J854)+'CAFCO 400 '!$D$8)*U854^2)+(('CAFCO 400 '!$D$9*LN(J854)+'CAFCO 400 '!$D$10)*U854)+('CAFCO 400 '!$D$11*LN(J854)+'CAFCO 400 '!$D$12))),0)+IF(AND(L854="Cafco 400",M854="Software Idiem",C854="C"),((('CAFCO 400 '!$L$7*(J854^3)+'CAFCO 400 '!$L$8*(J854^2)+'CAFCO 400 '!$L$9*J854+'CAFCO 400 '!$L$10)*U854^2)+(('CAFCO 400 '!$L$11*(J854^3)+'CAFCO 400 '!$L$12*(J854^2)+'CAFCO 400 '!$L$13*J854+'CAFCO 400 '!$L$14)*U854)+('CAFCO 400 '!$L$15*LN(J854)+'CAFCO 400 '!$L$16)),0)+IF(AND(L854="Cafco 400",M854="Software Idiem",C854="L"),((('CAFCO 400 '!$L$7*(J854^3)+'CAFCO 400 '!$L$8*(J854^2)+'CAFCO 400 '!$L$9*J854+'CAFCO 400 '!$L$10)*U854^2)+(('CAFCO 400 '!$L$11*(J854^3)+'CAFCO 400 '!$L$12*(J854^2)+'CAFCO 400 '!$L$13*J854+'CAFCO 400 '!$L$14)*U854)+('CAFCO 400 '!$L$15*LN(J854)+'CAFCO 400 '!$L$16)),0)+IF(AND(L854="Cafco 400",M854="Software Idiem",C854="IN",G854=3),((('CAFCO 400 '!$D$23*(J854^2)+'CAFCO 400 '!$D$24*(J854)+'CAFCO 400 '!$D$25)*U854^2)+(('CAFCO 400 '!$D$26*(J854^2)+'CAFCO 400 '!$D$27*J854+'CAFCO 400 '!$D$28)*U854)+('CAFCO 400 '!$D$29*(J854^2)+'CAFCO 400 '!$D$30*J854+'CAFCO 400 '!$D$31)),0),0)+IF(AND(L854="Cafco 300",J854&gt;=95,J854&lt;=240,C854="Cj",I854=90),VLOOKUP(T854,'CAFCO 300 IDIEM TABLAS'!$B$4:$D$23,2,FALSE),0)+IF(AND(L854="Cafco 300",J854&gt;=95,J854&lt;=240,C854="Cj",I854=120),VLOOKUP(T854,'CAFCO 300 IDIEM TABLAS'!$B$4:$D$23,3,FALSE),0)+IF(AND(L854="Cafco 300",J854&gt;=95,J854&lt;=400,G854=3,C854="IN",I854=90),VLOOKUP(T854,'CAFCO 300 IDIEM TABLAS'!$F$4:$H$35,2,FALSE),0)+IF(AND(L854="Cafco 300",J854&gt;=95,J854&lt;=400,G854=3,C854="IN",I854=120),VLOOKUP(T854,'CAFCO 300 IDIEM TABLAS'!$F$4:$H$35,3,FALSE),0)+IF(AND(L854="Cafco 300",J854&gt;=95,J854&lt;=450,G854=4,C854="IN",I854=90),VLOOKUP(T854,'CAFCO 300 IDIEM TABLAS'!$J$4:$L$40,2,FALSE),0)+IF(AND(L854="Cafco 300",J854&gt;=95,J854&lt;=450,G854=4,C854="IN",I854=120),VLOOKUP(T854,'CAFCO 300 IDIEM TABLAS'!$J$4:$L$40,3,FALSE),0)+IF(AND(M854="Ensayo Idiem",L854="Cafco 400",C854="IN",G854=4,I854=90),VLOOKUP(T854,'CAFCO 400 ENSAYO'!$B$7:$D$43,2,FALSE),0)+IF(AND(M854="Ensayo Idiem",L854="Cafco 400",C854="IN",G854=4,I854=120),VLOOKUP(T854,'CAFCO 400 ENSAYO'!$B$7:$D$43,3,FALSE),0)</f>
        <v>0</v>
      </c>
      <c r="O854" s="96">
        <f t="shared" si="90"/>
        <v>0</v>
      </c>
      <c r="P854" s="95" t="str">
        <f t="shared" si="85"/>
        <v>N/A</v>
      </c>
      <c r="Q854" s="95" t="str">
        <f t="shared" si="86"/>
        <v>N/A</v>
      </c>
      <c r="R854" s="95" t="str">
        <f t="shared" si="87"/>
        <v>NO CERT.</v>
      </c>
      <c r="S854" s="95" t="e">
        <f t="shared" si="88"/>
        <v>#N/A</v>
      </c>
      <c r="T854" s="119" t="e">
        <f>+IF(J854=LOOKUP(J854,'CAFCO 300 IDIEM TABLAS'!$J$4:$J$40),'CALCULO MORTERO'!J854,MROUND('CALCULO MORTERO'!J854,10))</f>
        <v>#N/A</v>
      </c>
      <c r="U854" s="118">
        <f t="shared" si="89"/>
        <v>0</v>
      </c>
    </row>
    <row r="855" spans="1:21" x14ac:dyDescent="0.25">
      <c r="A855" s="118">
        <f>+CUBICACION!D849</f>
        <v>0</v>
      </c>
      <c r="B855" s="819">
        <f>+CUBICACION!E849</f>
        <v>0</v>
      </c>
      <c r="C855" s="675">
        <f>+CUBICACION!F849</f>
        <v>0</v>
      </c>
      <c r="D855" s="118"/>
      <c r="E855" s="118"/>
      <c r="F855" s="820"/>
      <c r="G855" s="675">
        <f>+CUBICACION!J849</f>
        <v>0</v>
      </c>
      <c r="H855" s="118"/>
      <c r="I855" s="821">
        <f>+CUBICACION!L849</f>
        <v>0</v>
      </c>
      <c r="J855" s="64">
        <f>+CUBICACION!M849</f>
        <v>0</v>
      </c>
      <c r="K855" s="822" t="str">
        <f>+CUBICACION!N849</f>
        <v/>
      </c>
      <c r="L855" s="118">
        <f>+CUBICACION!O849</f>
        <v>0</v>
      </c>
      <c r="M855" s="823">
        <f>+CUBICACION!P849</f>
        <v>0</v>
      </c>
      <c r="N855" s="902">
        <f>ROUND(IF(AND(L855="Blaze Shield II",M855="Software Idiem",C855="IN",G855=4),((('BLAZE SHIELD II'!$D$4*('CALCULO MORTERO'!I855^2)+'BLAZE SHIELD II'!$D$5*'CALCULO MORTERO'!I855+'BLAZE SHIELD II'!$D$6)*LN(J855))+('BLAZE SHIELD II'!$D$7*('CALCULO MORTERO'!I855^2)+'BLAZE SHIELD II'!$D$8*'CALCULO MORTERO'!I855+'BLAZE SHIELD II'!$D$9)),0)+IF(AND(L855="Blaze Shield II",M855="Software Idiem",C855="Cj"),((('BLAZE SHIELD II'!$H$4*('CALCULO MORTERO'!I855^2)+'BLAZE SHIELD II'!$H$5*'CALCULO MORTERO'!I855+'BLAZE SHIELD II'!$H$6)*LN(J855))+('BLAZE SHIELD II'!$H$7*('CALCULO MORTERO'!I855^2)+'BLAZE SHIELD II'!$H$8*'CALCULO MORTERO'!I855+'BLAZE SHIELD II'!$H$9)),0)+IF(AND(L855="Blaze Shield II",M855="Software Idiem",C855="C"),((('BLAZE SHIELD II'!$L$4*('CALCULO MORTERO'!I855^2)+'BLAZE SHIELD II'!$L$5*'CALCULO MORTERO'!I855+'BLAZE SHIELD II'!$L$6)*LN(J855))+('BLAZE SHIELD II'!$L$7*('CALCULO MORTERO'!I855^2)+'BLAZE SHIELD II'!$L$8*'CALCULO MORTERO'!I855+'BLAZE SHIELD II'!$L$9)),0)+IF(AND(L855="Blaze Shield II",M855="Software Idiem",C855="L"),((('BLAZE SHIELD II'!$L$4*('CALCULO MORTERO'!I855^2)+'BLAZE SHIELD II'!$L$5*'CALCULO MORTERO'!I855+'BLAZE SHIELD II'!$L$6)*LN(J855))+('BLAZE SHIELD II'!$L$7*('CALCULO MORTERO'!I855^2)+'BLAZE SHIELD II'!$L$8*'CALCULO MORTERO'!I855+'BLAZE SHIELD II'!$L$9)),0)+IF(AND(L855="Blaze Shield II",M855="Software Idiem",C855="IN",G855=3),((('BLAZE SHIELD II'!$H$14*('CALCULO MORTERO'!I855^2)+'BLAZE SHIELD II'!$H$15*'CALCULO MORTERO'!I855+'BLAZE SHIELD II'!$H$16)*LN(J855))+('BLAZE SHIELD II'!$H$17*('CALCULO MORTERO'!I855^2)+'BLAZE SHIELD II'!$H$18*'CALCULO MORTERO'!I855+'BLAZE SHIELD II'!$H$19)),0),0)+ROUND(IF(AND(L855="Cafco 400",M855="Software Idiem",C855="IN",G855=4),((('CAFCO 400 '!$H$7*(J855^4)+'CAFCO 400 '!$H$8*(J855^3)+'CAFCO 400 '!$H$9*(J855^2)+'CAFCO 400 '!$H$10*J855+'CAFCO 400 '!$H$11)*U855^2)+(('CAFCO 400 '!$H$12*(J855^3)+'CAFCO 400 '!$H$13*(J855^2)+'CAFCO 400 '!$H$14*J855+'CAFCO 400 '!$H$15)*U855)+('CAFCO 400 '!$H$16*(J855^2)+'CAFCO 400 '!$H$17*J855+'CAFCO 400 '!$H$18)),0)+IF(AND(L855="Cafco 400",M855="Software Idiem",C855="Cj"),(((('CAFCO 400 '!$D$7*LN(J855)+'CAFCO 400 '!$D$8)*U855^2)+(('CAFCO 400 '!$D$9*LN(J855)+'CAFCO 400 '!$D$10)*U855)+('CAFCO 400 '!$D$11*LN(J855)+'CAFCO 400 '!$D$12))),0)+IF(AND(L855="Cafco 400",M855="Software Idiem",C855="C"),((('CAFCO 400 '!$L$7*(J855^3)+'CAFCO 400 '!$L$8*(J855^2)+'CAFCO 400 '!$L$9*J855+'CAFCO 400 '!$L$10)*U855^2)+(('CAFCO 400 '!$L$11*(J855^3)+'CAFCO 400 '!$L$12*(J855^2)+'CAFCO 400 '!$L$13*J855+'CAFCO 400 '!$L$14)*U855)+('CAFCO 400 '!$L$15*LN(J855)+'CAFCO 400 '!$L$16)),0)+IF(AND(L855="Cafco 400",M855="Software Idiem",C855="L"),((('CAFCO 400 '!$L$7*(J855^3)+'CAFCO 400 '!$L$8*(J855^2)+'CAFCO 400 '!$L$9*J855+'CAFCO 400 '!$L$10)*U855^2)+(('CAFCO 400 '!$L$11*(J855^3)+'CAFCO 400 '!$L$12*(J855^2)+'CAFCO 400 '!$L$13*J855+'CAFCO 400 '!$L$14)*U855)+('CAFCO 400 '!$L$15*LN(J855)+'CAFCO 400 '!$L$16)),0)+IF(AND(L855="Cafco 400",M855="Software Idiem",C855="IN",G855=3),((('CAFCO 400 '!$D$23*(J855^2)+'CAFCO 400 '!$D$24*(J855)+'CAFCO 400 '!$D$25)*U855^2)+(('CAFCO 400 '!$D$26*(J855^2)+'CAFCO 400 '!$D$27*J855+'CAFCO 400 '!$D$28)*U855)+('CAFCO 400 '!$D$29*(J855^2)+'CAFCO 400 '!$D$30*J855+'CAFCO 400 '!$D$31)),0),0)+IF(AND(L855="Cafco 300",J855&gt;=95,J855&lt;=240,C855="Cj",I855=90),VLOOKUP(T855,'CAFCO 300 IDIEM TABLAS'!$B$4:$D$23,2,FALSE),0)+IF(AND(L855="Cafco 300",J855&gt;=95,J855&lt;=240,C855="Cj",I855=120),VLOOKUP(T855,'CAFCO 300 IDIEM TABLAS'!$B$4:$D$23,3,FALSE),0)+IF(AND(L855="Cafco 300",J855&gt;=95,J855&lt;=400,G855=3,C855="IN",I855=90),VLOOKUP(T855,'CAFCO 300 IDIEM TABLAS'!$F$4:$H$35,2,FALSE),0)+IF(AND(L855="Cafco 300",J855&gt;=95,J855&lt;=400,G855=3,C855="IN",I855=120),VLOOKUP(T855,'CAFCO 300 IDIEM TABLAS'!$F$4:$H$35,3,FALSE),0)+IF(AND(L855="Cafco 300",J855&gt;=95,J855&lt;=450,G855=4,C855="IN",I855=90),VLOOKUP(T855,'CAFCO 300 IDIEM TABLAS'!$J$4:$L$40,2,FALSE),0)+IF(AND(L855="Cafco 300",J855&gt;=95,J855&lt;=450,G855=4,C855="IN",I855=120),VLOOKUP(T855,'CAFCO 300 IDIEM TABLAS'!$J$4:$L$40,3,FALSE),0)+IF(AND(M855="Ensayo Idiem",L855="Cafco 400",C855="IN",G855=4,I855=90),VLOOKUP(T855,'CAFCO 400 ENSAYO'!$B$7:$D$43,2,FALSE),0)+IF(AND(M855="Ensayo Idiem",L855="Cafco 400",C855="IN",G855=4,I855=120),VLOOKUP(T855,'CAFCO 400 ENSAYO'!$B$7:$D$43,3,FALSE),0)</f>
        <v>0</v>
      </c>
      <c r="O855" s="96">
        <f t="shared" si="90"/>
        <v>0</v>
      </c>
      <c r="P855" s="132" t="str">
        <f t="shared" si="85"/>
        <v>N/A</v>
      </c>
      <c r="Q855" s="132" t="str">
        <f t="shared" si="86"/>
        <v>N/A</v>
      </c>
      <c r="R855" s="132" t="str">
        <f t="shared" si="87"/>
        <v>NO CERT.</v>
      </c>
      <c r="S855" s="132" t="e">
        <f t="shared" si="88"/>
        <v>#N/A</v>
      </c>
      <c r="T855" s="133" t="e">
        <f>+IF(J855=LOOKUP(J855,'CAFCO 300 IDIEM TABLAS'!$J$4:$J$40),'CALCULO MORTERO'!J855,MROUND('CALCULO MORTERO'!J855,10))</f>
        <v>#N/A</v>
      </c>
      <c r="U855" s="134">
        <f t="shared" si="89"/>
        <v>0</v>
      </c>
    </row>
    <row r="856" spans="1:21" x14ac:dyDescent="0.25">
      <c r="A856" s="118">
        <f>+CUBICACION!D850</f>
        <v>0</v>
      </c>
      <c r="B856" s="819">
        <f>+CUBICACION!E850</f>
        <v>0</v>
      </c>
      <c r="C856" s="675">
        <f>+CUBICACION!F850</f>
        <v>0</v>
      </c>
      <c r="D856" s="118"/>
      <c r="E856" s="118"/>
      <c r="F856" s="820"/>
      <c r="G856" s="675">
        <f>+CUBICACION!J850</f>
        <v>0</v>
      </c>
      <c r="H856" s="118"/>
      <c r="I856" s="821">
        <f>+CUBICACION!L850</f>
        <v>0</v>
      </c>
      <c r="J856" s="64">
        <f>+CUBICACION!M850</f>
        <v>0</v>
      </c>
      <c r="K856" s="822" t="str">
        <f>+CUBICACION!N850</f>
        <v/>
      </c>
      <c r="L856" s="118">
        <f>+CUBICACION!O850</f>
        <v>0</v>
      </c>
      <c r="M856" s="823">
        <f>+CUBICACION!P850</f>
        <v>0</v>
      </c>
      <c r="N856" s="902">
        <f>ROUND(IF(AND(L856="Blaze Shield II",M856="Software Idiem",C856="IN",G856=4),((('BLAZE SHIELD II'!$D$4*('CALCULO MORTERO'!I856^2)+'BLAZE SHIELD II'!$D$5*'CALCULO MORTERO'!I856+'BLAZE SHIELD II'!$D$6)*LN(J856))+('BLAZE SHIELD II'!$D$7*('CALCULO MORTERO'!I856^2)+'BLAZE SHIELD II'!$D$8*'CALCULO MORTERO'!I856+'BLAZE SHIELD II'!$D$9)),0)+IF(AND(L856="Blaze Shield II",M856="Software Idiem",C856="Cj"),((('BLAZE SHIELD II'!$H$4*('CALCULO MORTERO'!I856^2)+'BLAZE SHIELD II'!$H$5*'CALCULO MORTERO'!I856+'BLAZE SHIELD II'!$H$6)*LN(J856))+('BLAZE SHIELD II'!$H$7*('CALCULO MORTERO'!I856^2)+'BLAZE SHIELD II'!$H$8*'CALCULO MORTERO'!I856+'BLAZE SHIELD II'!$H$9)),0)+IF(AND(L856="Blaze Shield II",M856="Software Idiem",C856="C"),((('BLAZE SHIELD II'!$L$4*('CALCULO MORTERO'!I856^2)+'BLAZE SHIELD II'!$L$5*'CALCULO MORTERO'!I856+'BLAZE SHIELD II'!$L$6)*LN(J856))+('BLAZE SHIELD II'!$L$7*('CALCULO MORTERO'!I856^2)+'BLAZE SHIELD II'!$L$8*'CALCULO MORTERO'!I856+'BLAZE SHIELD II'!$L$9)),0)+IF(AND(L856="Blaze Shield II",M856="Software Idiem",C856="L"),((('BLAZE SHIELD II'!$L$4*('CALCULO MORTERO'!I856^2)+'BLAZE SHIELD II'!$L$5*'CALCULO MORTERO'!I856+'BLAZE SHIELD II'!$L$6)*LN(J856))+('BLAZE SHIELD II'!$L$7*('CALCULO MORTERO'!I856^2)+'BLAZE SHIELD II'!$L$8*'CALCULO MORTERO'!I856+'BLAZE SHIELD II'!$L$9)),0)+IF(AND(L856="Blaze Shield II",M856="Software Idiem",C856="IN",G856=3),((('BLAZE SHIELD II'!$H$14*('CALCULO MORTERO'!I856^2)+'BLAZE SHIELD II'!$H$15*'CALCULO MORTERO'!I856+'BLAZE SHIELD II'!$H$16)*LN(J856))+('BLAZE SHIELD II'!$H$17*('CALCULO MORTERO'!I856^2)+'BLAZE SHIELD II'!$H$18*'CALCULO MORTERO'!I856+'BLAZE SHIELD II'!$H$19)),0),0)+ROUND(IF(AND(L856="Cafco 400",M856="Software Idiem",C856="IN",G856=4),((('CAFCO 400 '!$H$7*(J856^4)+'CAFCO 400 '!$H$8*(J856^3)+'CAFCO 400 '!$H$9*(J856^2)+'CAFCO 400 '!$H$10*J856+'CAFCO 400 '!$H$11)*U856^2)+(('CAFCO 400 '!$H$12*(J856^3)+'CAFCO 400 '!$H$13*(J856^2)+'CAFCO 400 '!$H$14*J856+'CAFCO 400 '!$H$15)*U856)+('CAFCO 400 '!$H$16*(J856^2)+'CAFCO 400 '!$H$17*J856+'CAFCO 400 '!$H$18)),0)+IF(AND(L856="Cafco 400",M856="Software Idiem",C856="Cj"),(((('CAFCO 400 '!$D$7*LN(J856)+'CAFCO 400 '!$D$8)*U856^2)+(('CAFCO 400 '!$D$9*LN(J856)+'CAFCO 400 '!$D$10)*U856)+('CAFCO 400 '!$D$11*LN(J856)+'CAFCO 400 '!$D$12))),0)+IF(AND(L856="Cafco 400",M856="Software Idiem",C856="C"),((('CAFCO 400 '!$L$7*(J856^3)+'CAFCO 400 '!$L$8*(J856^2)+'CAFCO 400 '!$L$9*J856+'CAFCO 400 '!$L$10)*U856^2)+(('CAFCO 400 '!$L$11*(J856^3)+'CAFCO 400 '!$L$12*(J856^2)+'CAFCO 400 '!$L$13*J856+'CAFCO 400 '!$L$14)*U856)+('CAFCO 400 '!$L$15*LN(J856)+'CAFCO 400 '!$L$16)),0)+IF(AND(L856="Cafco 400",M856="Software Idiem",C856="L"),((('CAFCO 400 '!$L$7*(J856^3)+'CAFCO 400 '!$L$8*(J856^2)+'CAFCO 400 '!$L$9*J856+'CAFCO 400 '!$L$10)*U856^2)+(('CAFCO 400 '!$L$11*(J856^3)+'CAFCO 400 '!$L$12*(J856^2)+'CAFCO 400 '!$L$13*J856+'CAFCO 400 '!$L$14)*U856)+('CAFCO 400 '!$L$15*LN(J856)+'CAFCO 400 '!$L$16)),0)+IF(AND(L856="Cafco 400",M856="Software Idiem",C856="IN",G856=3),((('CAFCO 400 '!$D$23*(J856^2)+'CAFCO 400 '!$D$24*(J856)+'CAFCO 400 '!$D$25)*U856^2)+(('CAFCO 400 '!$D$26*(J856^2)+'CAFCO 400 '!$D$27*J856+'CAFCO 400 '!$D$28)*U856)+('CAFCO 400 '!$D$29*(J856^2)+'CAFCO 400 '!$D$30*J856+'CAFCO 400 '!$D$31)),0),0)+IF(AND(L856="Cafco 300",J856&gt;=95,J856&lt;=240,C856="Cj",I856=90),VLOOKUP(T856,'CAFCO 300 IDIEM TABLAS'!$B$4:$D$23,2,FALSE),0)+IF(AND(L856="Cafco 300",J856&gt;=95,J856&lt;=240,C856="Cj",I856=120),VLOOKUP(T856,'CAFCO 300 IDIEM TABLAS'!$B$4:$D$23,3,FALSE),0)+IF(AND(L856="Cafco 300",J856&gt;=95,J856&lt;=400,G856=3,C856="IN",I856=90),VLOOKUP(T856,'CAFCO 300 IDIEM TABLAS'!$F$4:$H$35,2,FALSE),0)+IF(AND(L856="Cafco 300",J856&gt;=95,J856&lt;=400,G856=3,C856="IN",I856=120),VLOOKUP(T856,'CAFCO 300 IDIEM TABLAS'!$F$4:$H$35,3,FALSE),0)+IF(AND(L856="Cafco 300",J856&gt;=95,J856&lt;=450,G856=4,C856="IN",I856=90),VLOOKUP(T856,'CAFCO 300 IDIEM TABLAS'!$J$4:$L$40,2,FALSE),0)+IF(AND(L856="Cafco 300",J856&gt;=95,J856&lt;=450,G856=4,C856="IN",I856=120),VLOOKUP(T856,'CAFCO 300 IDIEM TABLAS'!$J$4:$L$40,3,FALSE),0)+IF(AND(M856="Ensayo Idiem",L856="Cafco 400",C856="IN",G856=4,I856=90),VLOOKUP(T856,'CAFCO 400 ENSAYO'!$B$7:$D$43,2,FALSE),0)+IF(AND(M856="Ensayo Idiem",L856="Cafco 400",C856="IN",G856=4,I856=120),VLOOKUP(T856,'CAFCO 400 ENSAYO'!$B$7:$D$43,3,FALSE),0)</f>
        <v>0</v>
      </c>
      <c r="O856" s="96">
        <f t="shared" si="90"/>
        <v>0</v>
      </c>
      <c r="P856" s="95" t="str">
        <f t="shared" si="85"/>
        <v>N/A</v>
      </c>
      <c r="Q856" s="95" t="str">
        <f t="shared" si="86"/>
        <v>N/A</v>
      </c>
      <c r="R856" s="95" t="str">
        <f t="shared" si="87"/>
        <v>NO CERT.</v>
      </c>
      <c r="S856" s="95" t="e">
        <f t="shared" si="88"/>
        <v>#N/A</v>
      </c>
      <c r="T856" s="119" t="e">
        <f>+IF(J856=LOOKUP(J856,'CAFCO 300 IDIEM TABLAS'!$J$4:$J$40),'CALCULO MORTERO'!J856,MROUND('CALCULO MORTERO'!J856,10))</f>
        <v>#N/A</v>
      </c>
      <c r="U856" s="118">
        <f t="shared" si="89"/>
        <v>0</v>
      </c>
    </row>
    <row r="857" spans="1:21" x14ac:dyDescent="0.25">
      <c r="A857" s="118">
        <f>+CUBICACION!D851</f>
        <v>0</v>
      </c>
      <c r="B857" s="819">
        <f>+CUBICACION!E851</f>
        <v>0</v>
      </c>
      <c r="C857" s="675">
        <f>+CUBICACION!F851</f>
        <v>0</v>
      </c>
      <c r="D857" s="118"/>
      <c r="E857" s="118"/>
      <c r="F857" s="820"/>
      <c r="G857" s="675">
        <f>+CUBICACION!J851</f>
        <v>0</v>
      </c>
      <c r="H857" s="118"/>
      <c r="I857" s="821">
        <f>+CUBICACION!L851</f>
        <v>0</v>
      </c>
      <c r="J857" s="64">
        <f>+CUBICACION!M851</f>
        <v>0</v>
      </c>
      <c r="K857" s="822" t="str">
        <f>+CUBICACION!N851</f>
        <v/>
      </c>
      <c r="L857" s="118">
        <f>+CUBICACION!O851</f>
        <v>0</v>
      </c>
      <c r="M857" s="823">
        <f>+CUBICACION!P851</f>
        <v>0</v>
      </c>
      <c r="N857" s="902">
        <f>ROUND(IF(AND(L857="Blaze Shield II",M857="Software Idiem",C857="IN",G857=4),((('BLAZE SHIELD II'!$D$4*('CALCULO MORTERO'!I857^2)+'BLAZE SHIELD II'!$D$5*'CALCULO MORTERO'!I857+'BLAZE SHIELD II'!$D$6)*LN(J857))+('BLAZE SHIELD II'!$D$7*('CALCULO MORTERO'!I857^2)+'BLAZE SHIELD II'!$D$8*'CALCULO MORTERO'!I857+'BLAZE SHIELD II'!$D$9)),0)+IF(AND(L857="Blaze Shield II",M857="Software Idiem",C857="Cj"),((('BLAZE SHIELD II'!$H$4*('CALCULO MORTERO'!I857^2)+'BLAZE SHIELD II'!$H$5*'CALCULO MORTERO'!I857+'BLAZE SHIELD II'!$H$6)*LN(J857))+('BLAZE SHIELD II'!$H$7*('CALCULO MORTERO'!I857^2)+'BLAZE SHIELD II'!$H$8*'CALCULO MORTERO'!I857+'BLAZE SHIELD II'!$H$9)),0)+IF(AND(L857="Blaze Shield II",M857="Software Idiem",C857="C"),((('BLAZE SHIELD II'!$L$4*('CALCULO MORTERO'!I857^2)+'BLAZE SHIELD II'!$L$5*'CALCULO MORTERO'!I857+'BLAZE SHIELD II'!$L$6)*LN(J857))+('BLAZE SHIELD II'!$L$7*('CALCULO MORTERO'!I857^2)+'BLAZE SHIELD II'!$L$8*'CALCULO MORTERO'!I857+'BLAZE SHIELD II'!$L$9)),0)+IF(AND(L857="Blaze Shield II",M857="Software Idiem",C857="L"),((('BLAZE SHIELD II'!$L$4*('CALCULO MORTERO'!I857^2)+'BLAZE SHIELD II'!$L$5*'CALCULO MORTERO'!I857+'BLAZE SHIELD II'!$L$6)*LN(J857))+('BLAZE SHIELD II'!$L$7*('CALCULO MORTERO'!I857^2)+'BLAZE SHIELD II'!$L$8*'CALCULO MORTERO'!I857+'BLAZE SHIELD II'!$L$9)),0)+IF(AND(L857="Blaze Shield II",M857="Software Idiem",C857="IN",G857=3),((('BLAZE SHIELD II'!$H$14*('CALCULO MORTERO'!I857^2)+'BLAZE SHIELD II'!$H$15*'CALCULO MORTERO'!I857+'BLAZE SHIELD II'!$H$16)*LN(J857))+('BLAZE SHIELD II'!$H$17*('CALCULO MORTERO'!I857^2)+'BLAZE SHIELD II'!$H$18*'CALCULO MORTERO'!I857+'BLAZE SHIELD II'!$H$19)),0),0)+ROUND(IF(AND(L857="Cafco 400",M857="Software Idiem",C857="IN",G857=4),((('CAFCO 400 '!$H$7*(J857^4)+'CAFCO 400 '!$H$8*(J857^3)+'CAFCO 400 '!$H$9*(J857^2)+'CAFCO 400 '!$H$10*J857+'CAFCO 400 '!$H$11)*U857^2)+(('CAFCO 400 '!$H$12*(J857^3)+'CAFCO 400 '!$H$13*(J857^2)+'CAFCO 400 '!$H$14*J857+'CAFCO 400 '!$H$15)*U857)+('CAFCO 400 '!$H$16*(J857^2)+'CAFCO 400 '!$H$17*J857+'CAFCO 400 '!$H$18)),0)+IF(AND(L857="Cafco 400",M857="Software Idiem",C857="Cj"),(((('CAFCO 400 '!$D$7*LN(J857)+'CAFCO 400 '!$D$8)*U857^2)+(('CAFCO 400 '!$D$9*LN(J857)+'CAFCO 400 '!$D$10)*U857)+('CAFCO 400 '!$D$11*LN(J857)+'CAFCO 400 '!$D$12))),0)+IF(AND(L857="Cafco 400",M857="Software Idiem",C857="C"),((('CAFCO 400 '!$L$7*(J857^3)+'CAFCO 400 '!$L$8*(J857^2)+'CAFCO 400 '!$L$9*J857+'CAFCO 400 '!$L$10)*U857^2)+(('CAFCO 400 '!$L$11*(J857^3)+'CAFCO 400 '!$L$12*(J857^2)+'CAFCO 400 '!$L$13*J857+'CAFCO 400 '!$L$14)*U857)+('CAFCO 400 '!$L$15*LN(J857)+'CAFCO 400 '!$L$16)),0)+IF(AND(L857="Cafco 400",M857="Software Idiem",C857="L"),((('CAFCO 400 '!$L$7*(J857^3)+'CAFCO 400 '!$L$8*(J857^2)+'CAFCO 400 '!$L$9*J857+'CAFCO 400 '!$L$10)*U857^2)+(('CAFCO 400 '!$L$11*(J857^3)+'CAFCO 400 '!$L$12*(J857^2)+'CAFCO 400 '!$L$13*J857+'CAFCO 400 '!$L$14)*U857)+('CAFCO 400 '!$L$15*LN(J857)+'CAFCO 400 '!$L$16)),0)+IF(AND(L857="Cafco 400",M857="Software Idiem",C857="IN",G857=3),((('CAFCO 400 '!$D$23*(J857^2)+'CAFCO 400 '!$D$24*(J857)+'CAFCO 400 '!$D$25)*U857^2)+(('CAFCO 400 '!$D$26*(J857^2)+'CAFCO 400 '!$D$27*J857+'CAFCO 400 '!$D$28)*U857)+('CAFCO 400 '!$D$29*(J857^2)+'CAFCO 400 '!$D$30*J857+'CAFCO 400 '!$D$31)),0),0)+IF(AND(L857="Cafco 300",J857&gt;=95,J857&lt;=240,C857="Cj",I857=90),VLOOKUP(T857,'CAFCO 300 IDIEM TABLAS'!$B$4:$D$23,2,FALSE),0)+IF(AND(L857="Cafco 300",J857&gt;=95,J857&lt;=240,C857="Cj",I857=120),VLOOKUP(T857,'CAFCO 300 IDIEM TABLAS'!$B$4:$D$23,3,FALSE),0)+IF(AND(L857="Cafco 300",J857&gt;=95,J857&lt;=400,G857=3,C857="IN",I857=90),VLOOKUP(T857,'CAFCO 300 IDIEM TABLAS'!$F$4:$H$35,2,FALSE),0)+IF(AND(L857="Cafco 300",J857&gt;=95,J857&lt;=400,G857=3,C857="IN",I857=120),VLOOKUP(T857,'CAFCO 300 IDIEM TABLAS'!$F$4:$H$35,3,FALSE),0)+IF(AND(L857="Cafco 300",J857&gt;=95,J857&lt;=450,G857=4,C857="IN",I857=90),VLOOKUP(T857,'CAFCO 300 IDIEM TABLAS'!$J$4:$L$40,2,FALSE),0)+IF(AND(L857="Cafco 300",J857&gt;=95,J857&lt;=450,G857=4,C857="IN",I857=120),VLOOKUP(T857,'CAFCO 300 IDIEM TABLAS'!$J$4:$L$40,3,FALSE),0)+IF(AND(M857="Ensayo Idiem",L857="Cafco 400",C857="IN",G857=4,I857=90),VLOOKUP(T857,'CAFCO 400 ENSAYO'!$B$7:$D$43,2,FALSE),0)+IF(AND(M857="Ensayo Idiem",L857="Cafco 400",C857="IN",G857=4,I857=120),VLOOKUP(T857,'CAFCO 400 ENSAYO'!$B$7:$D$43,3,FALSE),0)</f>
        <v>0</v>
      </c>
      <c r="O857" s="96">
        <f t="shared" si="90"/>
        <v>0</v>
      </c>
      <c r="P857" s="132" t="str">
        <f t="shared" si="85"/>
        <v>N/A</v>
      </c>
      <c r="Q857" s="132" t="str">
        <f t="shared" si="86"/>
        <v>N/A</v>
      </c>
      <c r="R857" s="132" t="str">
        <f t="shared" si="87"/>
        <v>NO CERT.</v>
      </c>
      <c r="S857" s="132" t="e">
        <f t="shared" si="88"/>
        <v>#N/A</v>
      </c>
      <c r="T857" s="133" t="e">
        <f>+IF(J857=LOOKUP(J857,'CAFCO 300 IDIEM TABLAS'!$J$4:$J$40),'CALCULO MORTERO'!J857,MROUND('CALCULO MORTERO'!J857,10))</f>
        <v>#N/A</v>
      </c>
      <c r="U857" s="134">
        <f t="shared" si="89"/>
        <v>0</v>
      </c>
    </row>
    <row r="858" spans="1:21" x14ac:dyDescent="0.25">
      <c r="A858" s="118">
        <f>+CUBICACION!D852</f>
        <v>0</v>
      </c>
      <c r="B858" s="819">
        <f>+CUBICACION!E852</f>
        <v>0</v>
      </c>
      <c r="C858" s="675">
        <f>+CUBICACION!F852</f>
        <v>0</v>
      </c>
      <c r="D858" s="118"/>
      <c r="E858" s="118"/>
      <c r="F858" s="820"/>
      <c r="G858" s="675">
        <f>+CUBICACION!J852</f>
        <v>0</v>
      </c>
      <c r="H858" s="118"/>
      <c r="I858" s="821">
        <f>+CUBICACION!L852</f>
        <v>0</v>
      </c>
      <c r="J858" s="64">
        <f>+CUBICACION!M852</f>
        <v>0</v>
      </c>
      <c r="K858" s="822" t="str">
        <f>+CUBICACION!N852</f>
        <v/>
      </c>
      <c r="L858" s="118">
        <f>+CUBICACION!O852</f>
        <v>0</v>
      </c>
      <c r="M858" s="823">
        <f>+CUBICACION!P852</f>
        <v>0</v>
      </c>
      <c r="N858" s="902">
        <f>ROUND(IF(AND(L858="Blaze Shield II",M858="Software Idiem",C858="IN",G858=4),((('BLAZE SHIELD II'!$D$4*('CALCULO MORTERO'!I858^2)+'BLAZE SHIELD II'!$D$5*'CALCULO MORTERO'!I858+'BLAZE SHIELD II'!$D$6)*LN(J858))+('BLAZE SHIELD II'!$D$7*('CALCULO MORTERO'!I858^2)+'BLAZE SHIELD II'!$D$8*'CALCULO MORTERO'!I858+'BLAZE SHIELD II'!$D$9)),0)+IF(AND(L858="Blaze Shield II",M858="Software Idiem",C858="Cj"),((('BLAZE SHIELD II'!$H$4*('CALCULO MORTERO'!I858^2)+'BLAZE SHIELD II'!$H$5*'CALCULO MORTERO'!I858+'BLAZE SHIELD II'!$H$6)*LN(J858))+('BLAZE SHIELD II'!$H$7*('CALCULO MORTERO'!I858^2)+'BLAZE SHIELD II'!$H$8*'CALCULO MORTERO'!I858+'BLAZE SHIELD II'!$H$9)),0)+IF(AND(L858="Blaze Shield II",M858="Software Idiem",C858="C"),((('BLAZE SHIELD II'!$L$4*('CALCULO MORTERO'!I858^2)+'BLAZE SHIELD II'!$L$5*'CALCULO MORTERO'!I858+'BLAZE SHIELD II'!$L$6)*LN(J858))+('BLAZE SHIELD II'!$L$7*('CALCULO MORTERO'!I858^2)+'BLAZE SHIELD II'!$L$8*'CALCULO MORTERO'!I858+'BLAZE SHIELD II'!$L$9)),0)+IF(AND(L858="Blaze Shield II",M858="Software Idiem",C858="L"),((('BLAZE SHIELD II'!$L$4*('CALCULO MORTERO'!I858^2)+'BLAZE SHIELD II'!$L$5*'CALCULO MORTERO'!I858+'BLAZE SHIELD II'!$L$6)*LN(J858))+('BLAZE SHIELD II'!$L$7*('CALCULO MORTERO'!I858^2)+'BLAZE SHIELD II'!$L$8*'CALCULO MORTERO'!I858+'BLAZE SHIELD II'!$L$9)),0)+IF(AND(L858="Blaze Shield II",M858="Software Idiem",C858="IN",G858=3),((('BLAZE SHIELD II'!$H$14*('CALCULO MORTERO'!I858^2)+'BLAZE SHIELD II'!$H$15*'CALCULO MORTERO'!I858+'BLAZE SHIELD II'!$H$16)*LN(J858))+('BLAZE SHIELD II'!$H$17*('CALCULO MORTERO'!I858^2)+'BLAZE SHIELD II'!$H$18*'CALCULO MORTERO'!I858+'BLAZE SHIELD II'!$H$19)),0),0)+ROUND(IF(AND(L858="Cafco 400",M858="Software Idiem",C858="IN",G858=4),((('CAFCO 400 '!$H$7*(J858^4)+'CAFCO 400 '!$H$8*(J858^3)+'CAFCO 400 '!$H$9*(J858^2)+'CAFCO 400 '!$H$10*J858+'CAFCO 400 '!$H$11)*U858^2)+(('CAFCO 400 '!$H$12*(J858^3)+'CAFCO 400 '!$H$13*(J858^2)+'CAFCO 400 '!$H$14*J858+'CAFCO 400 '!$H$15)*U858)+('CAFCO 400 '!$H$16*(J858^2)+'CAFCO 400 '!$H$17*J858+'CAFCO 400 '!$H$18)),0)+IF(AND(L858="Cafco 400",M858="Software Idiem",C858="Cj"),(((('CAFCO 400 '!$D$7*LN(J858)+'CAFCO 400 '!$D$8)*U858^2)+(('CAFCO 400 '!$D$9*LN(J858)+'CAFCO 400 '!$D$10)*U858)+('CAFCO 400 '!$D$11*LN(J858)+'CAFCO 400 '!$D$12))),0)+IF(AND(L858="Cafco 400",M858="Software Idiem",C858="C"),((('CAFCO 400 '!$L$7*(J858^3)+'CAFCO 400 '!$L$8*(J858^2)+'CAFCO 400 '!$L$9*J858+'CAFCO 400 '!$L$10)*U858^2)+(('CAFCO 400 '!$L$11*(J858^3)+'CAFCO 400 '!$L$12*(J858^2)+'CAFCO 400 '!$L$13*J858+'CAFCO 400 '!$L$14)*U858)+('CAFCO 400 '!$L$15*LN(J858)+'CAFCO 400 '!$L$16)),0)+IF(AND(L858="Cafco 400",M858="Software Idiem",C858="L"),((('CAFCO 400 '!$L$7*(J858^3)+'CAFCO 400 '!$L$8*(J858^2)+'CAFCO 400 '!$L$9*J858+'CAFCO 400 '!$L$10)*U858^2)+(('CAFCO 400 '!$L$11*(J858^3)+'CAFCO 400 '!$L$12*(J858^2)+'CAFCO 400 '!$L$13*J858+'CAFCO 400 '!$L$14)*U858)+('CAFCO 400 '!$L$15*LN(J858)+'CAFCO 400 '!$L$16)),0)+IF(AND(L858="Cafco 400",M858="Software Idiem",C858="IN",G858=3),((('CAFCO 400 '!$D$23*(J858^2)+'CAFCO 400 '!$D$24*(J858)+'CAFCO 400 '!$D$25)*U858^2)+(('CAFCO 400 '!$D$26*(J858^2)+'CAFCO 400 '!$D$27*J858+'CAFCO 400 '!$D$28)*U858)+('CAFCO 400 '!$D$29*(J858^2)+'CAFCO 400 '!$D$30*J858+'CAFCO 400 '!$D$31)),0),0)+IF(AND(L858="Cafco 300",J858&gt;=95,J858&lt;=240,C858="Cj",I858=90),VLOOKUP(T858,'CAFCO 300 IDIEM TABLAS'!$B$4:$D$23,2,FALSE),0)+IF(AND(L858="Cafco 300",J858&gt;=95,J858&lt;=240,C858="Cj",I858=120),VLOOKUP(T858,'CAFCO 300 IDIEM TABLAS'!$B$4:$D$23,3,FALSE),0)+IF(AND(L858="Cafco 300",J858&gt;=95,J858&lt;=400,G858=3,C858="IN",I858=90),VLOOKUP(T858,'CAFCO 300 IDIEM TABLAS'!$F$4:$H$35,2,FALSE),0)+IF(AND(L858="Cafco 300",J858&gt;=95,J858&lt;=400,G858=3,C858="IN",I858=120),VLOOKUP(T858,'CAFCO 300 IDIEM TABLAS'!$F$4:$H$35,3,FALSE),0)+IF(AND(L858="Cafco 300",J858&gt;=95,J858&lt;=450,G858=4,C858="IN",I858=90),VLOOKUP(T858,'CAFCO 300 IDIEM TABLAS'!$J$4:$L$40,2,FALSE),0)+IF(AND(L858="Cafco 300",J858&gt;=95,J858&lt;=450,G858=4,C858="IN",I858=120),VLOOKUP(T858,'CAFCO 300 IDIEM TABLAS'!$J$4:$L$40,3,FALSE),0)+IF(AND(M858="Ensayo Idiem",L858="Cafco 400",C858="IN",G858=4,I858=90),VLOOKUP(T858,'CAFCO 400 ENSAYO'!$B$7:$D$43,2,FALSE),0)+IF(AND(M858="Ensayo Idiem",L858="Cafco 400",C858="IN",G858=4,I858=120),VLOOKUP(T858,'CAFCO 400 ENSAYO'!$B$7:$D$43,3,FALSE),0)</f>
        <v>0</v>
      </c>
      <c r="O858" s="96">
        <f t="shared" si="90"/>
        <v>0</v>
      </c>
      <c r="P858" s="95" t="str">
        <f t="shared" si="85"/>
        <v>N/A</v>
      </c>
      <c r="Q858" s="95" t="str">
        <f t="shared" si="86"/>
        <v>N/A</v>
      </c>
      <c r="R858" s="95" t="str">
        <f t="shared" si="87"/>
        <v>NO CERT.</v>
      </c>
      <c r="S858" s="95" t="e">
        <f t="shared" si="88"/>
        <v>#N/A</v>
      </c>
      <c r="T858" s="119" t="e">
        <f>+IF(J858=LOOKUP(J858,'CAFCO 300 IDIEM TABLAS'!$J$4:$J$40),'CALCULO MORTERO'!J858,MROUND('CALCULO MORTERO'!J858,10))</f>
        <v>#N/A</v>
      </c>
      <c r="U858" s="118">
        <f t="shared" si="89"/>
        <v>0</v>
      </c>
    </row>
    <row r="859" spans="1:21" x14ac:dyDescent="0.25">
      <c r="A859" s="118">
        <f>+CUBICACION!D853</f>
        <v>0</v>
      </c>
      <c r="B859" s="819">
        <f>+CUBICACION!E853</f>
        <v>0</v>
      </c>
      <c r="C859" s="675">
        <f>+CUBICACION!F853</f>
        <v>0</v>
      </c>
      <c r="D859" s="118"/>
      <c r="E859" s="118"/>
      <c r="F859" s="820"/>
      <c r="G859" s="675">
        <f>+CUBICACION!J853</f>
        <v>0</v>
      </c>
      <c r="H859" s="118"/>
      <c r="I859" s="821">
        <f>+CUBICACION!L853</f>
        <v>0</v>
      </c>
      <c r="J859" s="64">
        <f>+CUBICACION!M853</f>
        <v>0</v>
      </c>
      <c r="K859" s="822" t="str">
        <f>+CUBICACION!N853</f>
        <v/>
      </c>
      <c r="L859" s="118">
        <f>+CUBICACION!O853</f>
        <v>0</v>
      </c>
      <c r="M859" s="823">
        <f>+CUBICACION!P853</f>
        <v>0</v>
      </c>
      <c r="N859" s="902">
        <f>ROUND(IF(AND(L859="Blaze Shield II",M859="Software Idiem",C859="IN",G859=4),((('BLAZE SHIELD II'!$D$4*('CALCULO MORTERO'!I859^2)+'BLAZE SHIELD II'!$D$5*'CALCULO MORTERO'!I859+'BLAZE SHIELD II'!$D$6)*LN(J859))+('BLAZE SHIELD II'!$D$7*('CALCULO MORTERO'!I859^2)+'BLAZE SHIELD II'!$D$8*'CALCULO MORTERO'!I859+'BLAZE SHIELD II'!$D$9)),0)+IF(AND(L859="Blaze Shield II",M859="Software Idiem",C859="Cj"),((('BLAZE SHIELD II'!$H$4*('CALCULO MORTERO'!I859^2)+'BLAZE SHIELD II'!$H$5*'CALCULO MORTERO'!I859+'BLAZE SHIELD II'!$H$6)*LN(J859))+('BLAZE SHIELD II'!$H$7*('CALCULO MORTERO'!I859^2)+'BLAZE SHIELD II'!$H$8*'CALCULO MORTERO'!I859+'BLAZE SHIELD II'!$H$9)),0)+IF(AND(L859="Blaze Shield II",M859="Software Idiem",C859="C"),((('BLAZE SHIELD II'!$L$4*('CALCULO MORTERO'!I859^2)+'BLAZE SHIELD II'!$L$5*'CALCULO MORTERO'!I859+'BLAZE SHIELD II'!$L$6)*LN(J859))+('BLAZE SHIELD II'!$L$7*('CALCULO MORTERO'!I859^2)+'BLAZE SHIELD II'!$L$8*'CALCULO MORTERO'!I859+'BLAZE SHIELD II'!$L$9)),0)+IF(AND(L859="Blaze Shield II",M859="Software Idiem",C859="L"),((('BLAZE SHIELD II'!$L$4*('CALCULO MORTERO'!I859^2)+'BLAZE SHIELD II'!$L$5*'CALCULO MORTERO'!I859+'BLAZE SHIELD II'!$L$6)*LN(J859))+('BLAZE SHIELD II'!$L$7*('CALCULO MORTERO'!I859^2)+'BLAZE SHIELD II'!$L$8*'CALCULO MORTERO'!I859+'BLAZE SHIELD II'!$L$9)),0)+IF(AND(L859="Blaze Shield II",M859="Software Idiem",C859="IN",G859=3),((('BLAZE SHIELD II'!$H$14*('CALCULO MORTERO'!I859^2)+'BLAZE SHIELD II'!$H$15*'CALCULO MORTERO'!I859+'BLAZE SHIELD II'!$H$16)*LN(J859))+('BLAZE SHIELD II'!$H$17*('CALCULO MORTERO'!I859^2)+'BLAZE SHIELD II'!$H$18*'CALCULO MORTERO'!I859+'BLAZE SHIELD II'!$H$19)),0),0)+ROUND(IF(AND(L859="Cafco 400",M859="Software Idiem",C859="IN",G859=4),((('CAFCO 400 '!$H$7*(J859^4)+'CAFCO 400 '!$H$8*(J859^3)+'CAFCO 400 '!$H$9*(J859^2)+'CAFCO 400 '!$H$10*J859+'CAFCO 400 '!$H$11)*U859^2)+(('CAFCO 400 '!$H$12*(J859^3)+'CAFCO 400 '!$H$13*(J859^2)+'CAFCO 400 '!$H$14*J859+'CAFCO 400 '!$H$15)*U859)+('CAFCO 400 '!$H$16*(J859^2)+'CAFCO 400 '!$H$17*J859+'CAFCO 400 '!$H$18)),0)+IF(AND(L859="Cafco 400",M859="Software Idiem",C859="Cj"),(((('CAFCO 400 '!$D$7*LN(J859)+'CAFCO 400 '!$D$8)*U859^2)+(('CAFCO 400 '!$D$9*LN(J859)+'CAFCO 400 '!$D$10)*U859)+('CAFCO 400 '!$D$11*LN(J859)+'CAFCO 400 '!$D$12))),0)+IF(AND(L859="Cafco 400",M859="Software Idiem",C859="C"),((('CAFCO 400 '!$L$7*(J859^3)+'CAFCO 400 '!$L$8*(J859^2)+'CAFCO 400 '!$L$9*J859+'CAFCO 400 '!$L$10)*U859^2)+(('CAFCO 400 '!$L$11*(J859^3)+'CAFCO 400 '!$L$12*(J859^2)+'CAFCO 400 '!$L$13*J859+'CAFCO 400 '!$L$14)*U859)+('CAFCO 400 '!$L$15*LN(J859)+'CAFCO 400 '!$L$16)),0)+IF(AND(L859="Cafco 400",M859="Software Idiem",C859="L"),((('CAFCO 400 '!$L$7*(J859^3)+'CAFCO 400 '!$L$8*(J859^2)+'CAFCO 400 '!$L$9*J859+'CAFCO 400 '!$L$10)*U859^2)+(('CAFCO 400 '!$L$11*(J859^3)+'CAFCO 400 '!$L$12*(J859^2)+'CAFCO 400 '!$L$13*J859+'CAFCO 400 '!$L$14)*U859)+('CAFCO 400 '!$L$15*LN(J859)+'CAFCO 400 '!$L$16)),0)+IF(AND(L859="Cafco 400",M859="Software Idiem",C859="IN",G859=3),((('CAFCO 400 '!$D$23*(J859^2)+'CAFCO 400 '!$D$24*(J859)+'CAFCO 400 '!$D$25)*U859^2)+(('CAFCO 400 '!$D$26*(J859^2)+'CAFCO 400 '!$D$27*J859+'CAFCO 400 '!$D$28)*U859)+('CAFCO 400 '!$D$29*(J859^2)+'CAFCO 400 '!$D$30*J859+'CAFCO 400 '!$D$31)),0),0)+IF(AND(L859="Cafco 300",J859&gt;=95,J859&lt;=240,C859="Cj",I859=90),VLOOKUP(T859,'CAFCO 300 IDIEM TABLAS'!$B$4:$D$23,2,FALSE),0)+IF(AND(L859="Cafco 300",J859&gt;=95,J859&lt;=240,C859="Cj",I859=120),VLOOKUP(T859,'CAFCO 300 IDIEM TABLAS'!$B$4:$D$23,3,FALSE),0)+IF(AND(L859="Cafco 300",J859&gt;=95,J859&lt;=400,G859=3,C859="IN",I859=90),VLOOKUP(T859,'CAFCO 300 IDIEM TABLAS'!$F$4:$H$35,2,FALSE),0)+IF(AND(L859="Cafco 300",J859&gt;=95,J859&lt;=400,G859=3,C859="IN",I859=120),VLOOKUP(T859,'CAFCO 300 IDIEM TABLAS'!$F$4:$H$35,3,FALSE),0)+IF(AND(L859="Cafco 300",J859&gt;=95,J859&lt;=450,G859=4,C859="IN",I859=90),VLOOKUP(T859,'CAFCO 300 IDIEM TABLAS'!$J$4:$L$40,2,FALSE),0)+IF(AND(L859="Cafco 300",J859&gt;=95,J859&lt;=450,G859=4,C859="IN",I859=120),VLOOKUP(T859,'CAFCO 300 IDIEM TABLAS'!$J$4:$L$40,3,FALSE),0)+IF(AND(M859="Ensayo Idiem",L859="Cafco 400",C859="IN",G859=4,I859=90),VLOOKUP(T859,'CAFCO 400 ENSAYO'!$B$7:$D$43,2,FALSE),0)+IF(AND(M859="Ensayo Idiem",L859="Cafco 400",C859="IN",G859=4,I859=120),VLOOKUP(T859,'CAFCO 400 ENSAYO'!$B$7:$D$43,3,FALSE),0)</f>
        <v>0</v>
      </c>
      <c r="O859" s="96">
        <f t="shared" si="90"/>
        <v>0</v>
      </c>
      <c r="P859" s="132" t="str">
        <f t="shared" si="85"/>
        <v>N/A</v>
      </c>
      <c r="Q859" s="132" t="str">
        <f t="shared" si="86"/>
        <v>N/A</v>
      </c>
      <c r="R859" s="132" t="str">
        <f t="shared" si="87"/>
        <v>NO CERT.</v>
      </c>
      <c r="S859" s="132" t="e">
        <f t="shared" si="88"/>
        <v>#N/A</v>
      </c>
      <c r="T859" s="133" t="e">
        <f>+IF(J859=LOOKUP(J859,'CAFCO 300 IDIEM TABLAS'!$J$4:$J$40),'CALCULO MORTERO'!J859,MROUND('CALCULO MORTERO'!J859,10))</f>
        <v>#N/A</v>
      </c>
      <c r="U859" s="134">
        <f t="shared" si="89"/>
        <v>0</v>
      </c>
    </row>
    <row r="860" spans="1:21" x14ac:dyDescent="0.25">
      <c r="A860" s="118">
        <f>+CUBICACION!D854</f>
        <v>0</v>
      </c>
      <c r="B860" s="819">
        <f>+CUBICACION!E854</f>
        <v>0</v>
      </c>
      <c r="C860" s="675">
        <f>+CUBICACION!F854</f>
        <v>0</v>
      </c>
      <c r="D860" s="118"/>
      <c r="E860" s="118"/>
      <c r="F860" s="820"/>
      <c r="G860" s="675">
        <f>+CUBICACION!J854</f>
        <v>0</v>
      </c>
      <c r="H860" s="118"/>
      <c r="I860" s="821">
        <f>+CUBICACION!L854</f>
        <v>0</v>
      </c>
      <c r="J860" s="64">
        <f>+CUBICACION!M854</f>
        <v>0</v>
      </c>
      <c r="K860" s="822" t="str">
        <f>+CUBICACION!N854</f>
        <v/>
      </c>
      <c r="L860" s="118">
        <f>+CUBICACION!O854</f>
        <v>0</v>
      </c>
      <c r="M860" s="823">
        <f>+CUBICACION!P854</f>
        <v>0</v>
      </c>
      <c r="N860" s="902">
        <f>ROUND(IF(AND(L860="Blaze Shield II",M860="Software Idiem",C860="IN",G860=4),((('BLAZE SHIELD II'!$D$4*('CALCULO MORTERO'!I860^2)+'BLAZE SHIELD II'!$D$5*'CALCULO MORTERO'!I860+'BLAZE SHIELD II'!$D$6)*LN(J860))+('BLAZE SHIELD II'!$D$7*('CALCULO MORTERO'!I860^2)+'BLAZE SHIELD II'!$D$8*'CALCULO MORTERO'!I860+'BLAZE SHIELD II'!$D$9)),0)+IF(AND(L860="Blaze Shield II",M860="Software Idiem",C860="Cj"),((('BLAZE SHIELD II'!$H$4*('CALCULO MORTERO'!I860^2)+'BLAZE SHIELD II'!$H$5*'CALCULO MORTERO'!I860+'BLAZE SHIELD II'!$H$6)*LN(J860))+('BLAZE SHIELD II'!$H$7*('CALCULO MORTERO'!I860^2)+'BLAZE SHIELD II'!$H$8*'CALCULO MORTERO'!I860+'BLAZE SHIELD II'!$H$9)),0)+IF(AND(L860="Blaze Shield II",M860="Software Idiem",C860="C"),((('BLAZE SHIELD II'!$L$4*('CALCULO MORTERO'!I860^2)+'BLAZE SHIELD II'!$L$5*'CALCULO MORTERO'!I860+'BLAZE SHIELD II'!$L$6)*LN(J860))+('BLAZE SHIELD II'!$L$7*('CALCULO MORTERO'!I860^2)+'BLAZE SHIELD II'!$L$8*'CALCULO MORTERO'!I860+'BLAZE SHIELD II'!$L$9)),0)+IF(AND(L860="Blaze Shield II",M860="Software Idiem",C860="L"),((('BLAZE SHIELD II'!$L$4*('CALCULO MORTERO'!I860^2)+'BLAZE SHIELD II'!$L$5*'CALCULO MORTERO'!I860+'BLAZE SHIELD II'!$L$6)*LN(J860))+('BLAZE SHIELD II'!$L$7*('CALCULO MORTERO'!I860^2)+'BLAZE SHIELD II'!$L$8*'CALCULO MORTERO'!I860+'BLAZE SHIELD II'!$L$9)),0)+IF(AND(L860="Blaze Shield II",M860="Software Idiem",C860="IN",G860=3),((('BLAZE SHIELD II'!$H$14*('CALCULO MORTERO'!I860^2)+'BLAZE SHIELD II'!$H$15*'CALCULO MORTERO'!I860+'BLAZE SHIELD II'!$H$16)*LN(J860))+('BLAZE SHIELD II'!$H$17*('CALCULO MORTERO'!I860^2)+'BLAZE SHIELD II'!$H$18*'CALCULO MORTERO'!I860+'BLAZE SHIELD II'!$H$19)),0),0)+ROUND(IF(AND(L860="Cafco 400",M860="Software Idiem",C860="IN",G860=4),((('CAFCO 400 '!$H$7*(J860^4)+'CAFCO 400 '!$H$8*(J860^3)+'CAFCO 400 '!$H$9*(J860^2)+'CAFCO 400 '!$H$10*J860+'CAFCO 400 '!$H$11)*U860^2)+(('CAFCO 400 '!$H$12*(J860^3)+'CAFCO 400 '!$H$13*(J860^2)+'CAFCO 400 '!$H$14*J860+'CAFCO 400 '!$H$15)*U860)+('CAFCO 400 '!$H$16*(J860^2)+'CAFCO 400 '!$H$17*J860+'CAFCO 400 '!$H$18)),0)+IF(AND(L860="Cafco 400",M860="Software Idiem",C860="Cj"),(((('CAFCO 400 '!$D$7*LN(J860)+'CAFCO 400 '!$D$8)*U860^2)+(('CAFCO 400 '!$D$9*LN(J860)+'CAFCO 400 '!$D$10)*U860)+('CAFCO 400 '!$D$11*LN(J860)+'CAFCO 400 '!$D$12))),0)+IF(AND(L860="Cafco 400",M860="Software Idiem",C860="C"),((('CAFCO 400 '!$L$7*(J860^3)+'CAFCO 400 '!$L$8*(J860^2)+'CAFCO 400 '!$L$9*J860+'CAFCO 400 '!$L$10)*U860^2)+(('CAFCO 400 '!$L$11*(J860^3)+'CAFCO 400 '!$L$12*(J860^2)+'CAFCO 400 '!$L$13*J860+'CAFCO 400 '!$L$14)*U860)+('CAFCO 400 '!$L$15*LN(J860)+'CAFCO 400 '!$L$16)),0)+IF(AND(L860="Cafco 400",M860="Software Idiem",C860="L"),((('CAFCO 400 '!$L$7*(J860^3)+'CAFCO 400 '!$L$8*(J860^2)+'CAFCO 400 '!$L$9*J860+'CAFCO 400 '!$L$10)*U860^2)+(('CAFCO 400 '!$L$11*(J860^3)+'CAFCO 400 '!$L$12*(J860^2)+'CAFCO 400 '!$L$13*J860+'CAFCO 400 '!$L$14)*U860)+('CAFCO 400 '!$L$15*LN(J860)+'CAFCO 400 '!$L$16)),0)+IF(AND(L860="Cafco 400",M860="Software Idiem",C860="IN",G860=3),((('CAFCO 400 '!$D$23*(J860^2)+'CAFCO 400 '!$D$24*(J860)+'CAFCO 400 '!$D$25)*U860^2)+(('CAFCO 400 '!$D$26*(J860^2)+'CAFCO 400 '!$D$27*J860+'CAFCO 400 '!$D$28)*U860)+('CAFCO 400 '!$D$29*(J860^2)+'CAFCO 400 '!$D$30*J860+'CAFCO 400 '!$D$31)),0),0)+IF(AND(L860="Cafco 300",J860&gt;=95,J860&lt;=240,C860="Cj",I860=90),VLOOKUP(T860,'CAFCO 300 IDIEM TABLAS'!$B$4:$D$23,2,FALSE),0)+IF(AND(L860="Cafco 300",J860&gt;=95,J860&lt;=240,C860="Cj",I860=120),VLOOKUP(T860,'CAFCO 300 IDIEM TABLAS'!$B$4:$D$23,3,FALSE),0)+IF(AND(L860="Cafco 300",J860&gt;=95,J860&lt;=400,G860=3,C860="IN",I860=90),VLOOKUP(T860,'CAFCO 300 IDIEM TABLAS'!$F$4:$H$35,2,FALSE),0)+IF(AND(L860="Cafco 300",J860&gt;=95,J860&lt;=400,G860=3,C860="IN",I860=120),VLOOKUP(T860,'CAFCO 300 IDIEM TABLAS'!$F$4:$H$35,3,FALSE),0)+IF(AND(L860="Cafco 300",J860&gt;=95,J860&lt;=450,G860=4,C860="IN",I860=90),VLOOKUP(T860,'CAFCO 300 IDIEM TABLAS'!$J$4:$L$40,2,FALSE),0)+IF(AND(L860="Cafco 300",J860&gt;=95,J860&lt;=450,G860=4,C860="IN",I860=120),VLOOKUP(T860,'CAFCO 300 IDIEM TABLAS'!$J$4:$L$40,3,FALSE),0)+IF(AND(M860="Ensayo Idiem",L860="Cafco 400",C860="IN",G860=4,I860=90),VLOOKUP(T860,'CAFCO 400 ENSAYO'!$B$7:$D$43,2,FALSE),0)+IF(AND(M860="Ensayo Idiem",L860="Cafco 400",C860="IN",G860=4,I860=120),VLOOKUP(T860,'CAFCO 400 ENSAYO'!$B$7:$D$43,3,FALSE),0)</f>
        <v>0</v>
      </c>
      <c r="O860" s="96">
        <f t="shared" si="90"/>
        <v>0</v>
      </c>
      <c r="P860" s="95" t="str">
        <f t="shared" si="85"/>
        <v>N/A</v>
      </c>
      <c r="Q860" s="95" t="str">
        <f t="shared" si="86"/>
        <v>N/A</v>
      </c>
      <c r="R860" s="95" t="str">
        <f t="shared" si="87"/>
        <v>NO CERT.</v>
      </c>
      <c r="S860" s="95" t="e">
        <f t="shared" si="88"/>
        <v>#N/A</v>
      </c>
      <c r="T860" s="119" t="e">
        <f>+IF(J860=LOOKUP(J860,'CAFCO 300 IDIEM TABLAS'!$J$4:$J$40),'CALCULO MORTERO'!J860,MROUND('CALCULO MORTERO'!J860,10))</f>
        <v>#N/A</v>
      </c>
      <c r="U860" s="118">
        <f t="shared" si="89"/>
        <v>0</v>
      </c>
    </row>
    <row r="861" spans="1:21" x14ac:dyDescent="0.25">
      <c r="A861" s="118">
        <f>+CUBICACION!D855</f>
        <v>0</v>
      </c>
      <c r="B861" s="819">
        <f>+CUBICACION!E855</f>
        <v>0</v>
      </c>
      <c r="C861" s="675">
        <f>+CUBICACION!F855</f>
        <v>0</v>
      </c>
      <c r="D861" s="118"/>
      <c r="E861" s="118"/>
      <c r="F861" s="820"/>
      <c r="G861" s="675">
        <f>+CUBICACION!J855</f>
        <v>0</v>
      </c>
      <c r="H861" s="118"/>
      <c r="I861" s="821">
        <f>+CUBICACION!L855</f>
        <v>0</v>
      </c>
      <c r="J861" s="64">
        <f>+CUBICACION!M855</f>
        <v>0</v>
      </c>
      <c r="K861" s="822" t="str">
        <f>+CUBICACION!N855</f>
        <v/>
      </c>
      <c r="L861" s="118">
        <f>+CUBICACION!O855</f>
        <v>0</v>
      </c>
      <c r="M861" s="823">
        <f>+CUBICACION!P855</f>
        <v>0</v>
      </c>
      <c r="N861" s="902">
        <f>ROUND(IF(AND(L861="Blaze Shield II",M861="Software Idiem",C861="IN",G861=4),((('BLAZE SHIELD II'!$D$4*('CALCULO MORTERO'!I861^2)+'BLAZE SHIELD II'!$D$5*'CALCULO MORTERO'!I861+'BLAZE SHIELD II'!$D$6)*LN(J861))+('BLAZE SHIELD II'!$D$7*('CALCULO MORTERO'!I861^2)+'BLAZE SHIELD II'!$D$8*'CALCULO MORTERO'!I861+'BLAZE SHIELD II'!$D$9)),0)+IF(AND(L861="Blaze Shield II",M861="Software Idiem",C861="Cj"),((('BLAZE SHIELD II'!$H$4*('CALCULO MORTERO'!I861^2)+'BLAZE SHIELD II'!$H$5*'CALCULO MORTERO'!I861+'BLAZE SHIELD II'!$H$6)*LN(J861))+('BLAZE SHIELD II'!$H$7*('CALCULO MORTERO'!I861^2)+'BLAZE SHIELD II'!$H$8*'CALCULO MORTERO'!I861+'BLAZE SHIELD II'!$H$9)),0)+IF(AND(L861="Blaze Shield II",M861="Software Idiem",C861="C"),((('BLAZE SHIELD II'!$L$4*('CALCULO MORTERO'!I861^2)+'BLAZE SHIELD II'!$L$5*'CALCULO MORTERO'!I861+'BLAZE SHIELD II'!$L$6)*LN(J861))+('BLAZE SHIELD II'!$L$7*('CALCULO MORTERO'!I861^2)+'BLAZE SHIELD II'!$L$8*'CALCULO MORTERO'!I861+'BLAZE SHIELD II'!$L$9)),0)+IF(AND(L861="Blaze Shield II",M861="Software Idiem",C861="L"),((('BLAZE SHIELD II'!$L$4*('CALCULO MORTERO'!I861^2)+'BLAZE SHIELD II'!$L$5*'CALCULO MORTERO'!I861+'BLAZE SHIELD II'!$L$6)*LN(J861))+('BLAZE SHIELD II'!$L$7*('CALCULO MORTERO'!I861^2)+'BLAZE SHIELD II'!$L$8*'CALCULO MORTERO'!I861+'BLAZE SHIELD II'!$L$9)),0)+IF(AND(L861="Blaze Shield II",M861="Software Idiem",C861="IN",G861=3),((('BLAZE SHIELD II'!$H$14*('CALCULO MORTERO'!I861^2)+'BLAZE SHIELD II'!$H$15*'CALCULO MORTERO'!I861+'BLAZE SHIELD II'!$H$16)*LN(J861))+('BLAZE SHIELD II'!$H$17*('CALCULO MORTERO'!I861^2)+'BLAZE SHIELD II'!$H$18*'CALCULO MORTERO'!I861+'BLAZE SHIELD II'!$H$19)),0),0)+ROUND(IF(AND(L861="Cafco 400",M861="Software Idiem",C861="IN",G861=4),((('CAFCO 400 '!$H$7*(J861^4)+'CAFCO 400 '!$H$8*(J861^3)+'CAFCO 400 '!$H$9*(J861^2)+'CAFCO 400 '!$H$10*J861+'CAFCO 400 '!$H$11)*U861^2)+(('CAFCO 400 '!$H$12*(J861^3)+'CAFCO 400 '!$H$13*(J861^2)+'CAFCO 400 '!$H$14*J861+'CAFCO 400 '!$H$15)*U861)+('CAFCO 400 '!$H$16*(J861^2)+'CAFCO 400 '!$H$17*J861+'CAFCO 400 '!$H$18)),0)+IF(AND(L861="Cafco 400",M861="Software Idiem",C861="Cj"),(((('CAFCO 400 '!$D$7*LN(J861)+'CAFCO 400 '!$D$8)*U861^2)+(('CAFCO 400 '!$D$9*LN(J861)+'CAFCO 400 '!$D$10)*U861)+('CAFCO 400 '!$D$11*LN(J861)+'CAFCO 400 '!$D$12))),0)+IF(AND(L861="Cafco 400",M861="Software Idiem",C861="C"),((('CAFCO 400 '!$L$7*(J861^3)+'CAFCO 400 '!$L$8*(J861^2)+'CAFCO 400 '!$L$9*J861+'CAFCO 400 '!$L$10)*U861^2)+(('CAFCO 400 '!$L$11*(J861^3)+'CAFCO 400 '!$L$12*(J861^2)+'CAFCO 400 '!$L$13*J861+'CAFCO 400 '!$L$14)*U861)+('CAFCO 400 '!$L$15*LN(J861)+'CAFCO 400 '!$L$16)),0)+IF(AND(L861="Cafco 400",M861="Software Idiem",C861="L"),((('CAFCO 400 '!$L$7*(J861^3)+'CAFCO 400 '!$L$8*(J861^2)+'CAFCO 400 '!$L$9*J861+'CAFCO 400 '!$L$10)*U861^2)+(('CAFCO 400 '!$L$11*(J861^3)+'CAFCO 400 '!$L$12*(J861^2)+'CAFCO 400 '!$L$13*J861+'CAFCO 400 '!$L$14)*U861)+('CAFCO 400 '!$L$15*LN(J861)+'CAFCO 400 '!$L$16)),0)+IF(AND(L861="Cafco 400",M861="Software Idiem",C861="IN",G861=3),((('CAFCO 400 '!$D$23*(J861^2)+'CAFCO 400 '!$D$24*(J861)+'CAFCO 400 '!$D$25)*U861^2)+(('CAFCO 400 '!$D$26*(J861^2)+'CAFCO 400 '!$D$27*J861+'CAFCO 400 '!$D$28)*U861)+('CAFCO 400 '!$D$29*(J861^2)+'CAFCO 400 '!$D$30*J861+'CAFCO 400 '!$D$31)),0),0)+IF(AND(L861="Cafco 300",J861&gt;=95,J861&lt;=240,C861="Cj",I861=90),VLOOKUP(T861,'CAFCO 300 IDIEM TABLAS'!$B$4:$D$23,2,FALSE),0)+IF(AND(L861="Cafco 300",J861&gt;=95,J861&lt;=240,C861="Cj",I861=120),VLOOKUP(T861,'CAFCO 300 IDIEM TABLAS'!$B$4:$D$23,3,FALSE),0)+IF(AND(L861="Cafco 300",J861&gt;=95,J861&lt;=400,G861=3,C861="IN",I861=90),VLOOKUP(T861,'CAFCO 300 IDIEM TABLAS'!$F$4:$H$35,2,FALSE),0)+IF(AND(L861="Cafco 300",J861&gt;=95,J861&lt;=400,G861=3,C861="IN",I861=120),VLOOKUP(T861,'CAFCO 300 IDIEM TABLAS'!$F$4:$H$35,3,FALSE),0)+IF(AND(L861="Cafco 300",J861&gt;=95,J861&lt;=450,G861=4,C861="IN",I861=90),VLOOKUP(T861,'CAFCO 300 IDIEM TABLAS'!$J$4:$L$40,2,FALSE),0)+IF(AND(L861="Cafco 300",J861&gt;=95,J861&lt;=450,G861=4,C861="IN",I861=120),VLOOKUP(T861,'CAFCO 300 IDIEM TABLAS'!$J$4:$L$40,3,FALSE),0)+IF(AND(M861="Ensayo Idiem",L861="Cafco 400",C861="IN",G861=4,I861=90),VLOOKUP(T861,'CAFCO 400 ENSAYO'!$B$7:$D$43,2,FALSE),0)+IF(AND(M861="Ensayo Idiem",L861="Cafco 400",C861="IN",G861=4,I861=120),VLOOKUP(T861,'CAFCO 400 ENSAYO'!$B$7:$D$43,3,FALSE),0)</f>
        <v>0</v>
      </c>
      <c r="O861" s="96">
        <f t="shared" si="90"/>
        <v>0</v>
      </c>
      <c r="P861" s="132" t="str">
        <f t="shared" si="85"/>
        <v>N/A</v>
      </c>
      <c r="Q861" s="132" t="str">
        <f t="shared" si="86"/>
        <v>N/A</v>
      </c>
      <c r="R861" s="132" t="str">
        <f t="shared" si="87"/>
        <v>NO CERT.</v>
      </c>
      <c r="S861" s="132" t="e">
        <f t="shared" si="88"/>
        <v>#N/A</v>
      </c>
      <c r="T861" s="133" t="e">
        <f>+IF(J861=LOOKUP(J861,'CAFCO 300 IDIEM TABLAS'!$J$4:$J$40),'CALCULO MORTERO'!J861,MROUND('CALCULO MORTERO'!J861,10))</f>
        <v>#N/A</v>
      </c>
      <c r="U861" s="134">
        <f t="shared" si="89"/>
        <v>0</v>
      </c>
    </row>
    <row r="862" spans="1:21" x14ac:dyDescent="0.25">
      <c r="A862" s="118">
        <f>+CUBICACION!D856</f>
        <v>0</v>
      </c>
      <c r="B862" s="819">
        <f>+CUBICACION!E856</f>
        <v>0</v>
      </c>
      <c r="C862" s="675">
        <f>+CUBICACION!F856</f>
        <v>0</v>
      </c>
      <c r="D862" s="118"/>
      <c r="E862" s="118"/>
      <c r="F862" s="820"/>
      <c r="G862" s="675">
        <f>+CUBICACION!J856</f>
        <v>0</v>
      </c>
      <c r="H862" s="118"/>
      <c r="I862" s="821">
        <f>+CUBICACION!L856</f>
        <v>0</v>
      </c>
      <c r="J862" s="64">
        <f>+CUBICACION!M856</f>
        <v>0</v>
      </c>
      <c r="K862" s="822" t="str">
        <f>+CUBICACION!N856</f>
        <v/>
      </c>
      <c r="L862" s="118">
        <f>+CUBICACION!O856</f>
        <v>0</v>
      </c>
      <c r="M862" s="823">
        <f>+CUBICACION!P856</f>
        <v>0</v>
      </c>
      <c r="N862" s="902">
        <f>ROUND(IF(AND(L862="Blaze Shield II",M862="Software Idiem",C862="IN",G862=4),((('BLAZE SHIELD II'!$D$4*('CALCULO MORTERO'!I862^2)+'BLAZE SHIELD II'!$D$5*'CALCULO MORTERO'!I862+'BLAZE SHIELD II'!$D$6)*LN(J862))+('BLAZE SHIELD II'!$D$7*('CALCULO MORTERO'!I862^2)+'BLAZE SHIELD II'!$D$8*'CALCULO MORTERO'!I862+'BLAZE SHIELD II'!$D$9)),0)+IF(AND(L862="Blaze Shield II",M862="Software Idiem",C862="Cj"),((('BLAZE SHIELD II'!$H$4*('CALCULO MORTERO'!I862^2)+'BLAZE SHIELD II'!$H$5*'CALCULO MORTERO'!I862+'BLAZE SHIELD II'!$H$6)*LN(J862))+('BLAZE SHIELD II'!$H$7*('CALCULO MORTERO'!I862^2)+'BLAZE SHIELD II'!$H$8*'CALCULO MORTERO'!I862+'BLAZE SHIELD II'!$H$9)),0)+IF(AND(L862="Blaze Shield II",M862="Software Idiem",C862="C"),((('BLAZE SHIELD II'!$L$4*('CALCULO MORTERO'!I862^2)+'BLAZE SHIELD II'!$L$5*'CALCULO MORTERO'!I862+'BLAZE SHIELD II'!$L$6)*LN(J862))+('BLAZE SHIELD II'!$L$7*('CALCULO MORTERO'!I862^2)+'BLAZE SHIELD II'!$L$8*'CALCULO MORTERO'!I862+'BLAZE SHIELD II'!$L$9)),0)+IF(AND(L862="Blaze Shield II",M862="Software Idiem",C862="L"),((('BLAZE SHIELD II'!$L$4*('CALCULO MORTERO'!I862^2)+'BLAZE SHIELD II'!$L$5*'CALCULO MORTERO'!I862+'BLAZE SHIELD II'!$L$6)*LN(J862))+('BLAZE SHIELD II'!$L$7*('CALCULO MORTERO'!I862^2)+'BLAZE SHIELD II'!$L$8*'CALCULO MORTERO'!I862+'BLAZE SHIELD II'!$L$9)),0)+IF(AND(L862="Blaze Shield II",M862="Software Idiem",C862="IN",G862=3),((('BLAZE SHIELD II'!$H$14*('CALCULO MORTERO'!I862^2)+'BLAZE SHIELD II'!$H$15*'CALCULO MORTERO'!I862+'BLAZE SHIELD II'!$H$16)*LN(J862))+('BLAZE SHIELD II'!$H$17*('CALCULO MORTERO'!I862^2)+'BLAZE SHIELD II'!$H$18*'CALCULO MORTERO'!I862+'BLAZE SHIELD II'!$H$19)),0),0)+ROUND(IF(AND(L862="Cafco 400",M862="Software Idiem",C862="IN",G862=4),((('CAFCO 400 '!$H$7*(J862^4)+'CAFCO 400 '!$H$8*(J862^3)+'CAFCO 400 '!$H$9*(J862^2)+'CAFCO 400 '!$H$10*J862+'CAFCO 400 '!$H$11)*U862^2)+(('CAFCO 400 '!$H$12*(J862^3)+'CAFCO 400 '!$H$13*(J862^2)+'CAFCO 400 '!$H$14*J862+'CAFCO 400 '!$H$15)*U862)+('CAFCO 400 '!$H$16*(J862^2)+'CAFCO 400 '!$H$17*J862+'CAFCO 400 '!$H$18)),0)+IF(AND(L862="Cafco 400",M862="Software Idiem",C862="Cj"),(((('CAFCO 400 '!$D$7*LN(J862)+'CAFCO 400 '!$D$8)*U862^2)+(('CAFCO 400 '!$D$9*LN(J862)+'CAFCO 400 '!$D$10)*U862)+('CAFCO 400 '!$D$11*LN(J862)+'CAFCO 400 '!$D$12))),0)+IF(AND(L862="Cafco 400",M862="Software Idiem",C862="C"),((('CAFCO 400 '!$L$7*(J862^3)+'CAFCO 400 '!$L$8*(J862^2)+'CAFCO 400 '!$L$9*J862+'CAFCO 400 '!$L$10)*U862^2)+(('CAFCO 400 '!$L$11*(J862^3)+'CAFCO 400 '!$L$12*(J862^2)+'CAFCO 400 '!$L$13*J862+'CAFCO 400 '!$L$14)*U862)+('CAFCO 400 '!$L$15*LN(J862)+'CAFCO 400 '!$L$16)),0)+IF(AND(L862="Cafco 400",M862="Software Idiem",C862="L"),((('CAFCO 400 '!$L$7*(J862^3)+'CAFCO 400 '!$L$8*(J862^2)+'CAFCO 400 '!$L$9*J862+'CAFCO 400 '!$L$10)*U862^2)+(('CAFCO 400 '!$L$11*(J862^3)+'CAFCO 400 '!$L$12*(J862^2)+'CAFCO 400 '!$L$13*J862+'CAFCO 400 '!$L$14)*U862)+('CAFCO 400 '!$L$15*LN(J862)+'CAFCO 400 '!$L$16)),0)+IF(AND(L862="Cafco 400",M862="Software Idiem",C862="IN",G862=3),((('CAFCO 400 '!$D$23*(J862^2)+'CAFCO 400 '!$D$24*(J862)+'CAFCO 400 '!$D$25)*U862^2)+(('CAFCO 400 '!$D$26*(J862^2)+'CAFCO 400 '!$D$27*J862+'CAFCO 400 '!$D$28)*U862)+('CAFCO 400 '!$D$29*(J862^2)+'CAFCO 400 '!$D$30*J862+'CAFCO 400 '!$D$31)),0),0)+IF(AND(L862="Cafco 300",J862&gt;=95,J862&lt;=240,C862="Cj",I862=90),VLOOKUP(T862,'CAFCO 300 IDIEM TABLAS'!$B$4:$D$23,2,FALSE),0)+IF(AND(L862="Cafco 300",J862&gt;=95,J862&lt;=240,C862="Cj",I862=120),VLOOKUP(T862,'CAFCO 300 IDIEM TABLAS'!$B$4:$D$23,3,FALSE),0)+IF(AND(L862="Cafco 300",J862&gt;=95,J862&lt;=400,G862=3,C862="IN",I862=90),VLOOKUP(T862,'CAFCO 300 IDIEM TABLAS'!$F$4:$H$35,2,FALSE),0)+IF(AND(L862="Cafco 300",J862&gt;=95,J862&lt;=400,G862=3,C862="IN",I862=120),VLOOKUP(T862,'CAFCO 300 IDIEM TABLAS'!$F$4:$H$35,3,FALSE),0)+IF(AND(L862="Cafco 300",J862&gt;=95,J862&lt;=450,G862=4,C862="IN",I862=90),VLOOKUP(T862,'CAFCO 300 IDIEM TABLAS'!$J$4:$L$40,2,FALSE),0)+IF(AND(L862="Cafco 300",J862&gt;=95,J862&lt;=450,G862=4,C862="IN",I862=120),VLOOKUP(T862,'CAFCO 300 IDIEM TABLAS'!$J$4:$L$40,3,FALSE),0)+IF(AND(M862="Ensayo Idiem",L862="Cafco 400",C862="IN",G862=4,I862=90),VLOOKUP(T862,'CAFCO 400 ENSAYO'!$B$7:$D$43,2,FALSE),0)+IF(AND(M862="Ensayo Idiem",L862="Cafco 400",C862="IN",G862=4,I862=120),VLOOKUP(T862,'CAFCO 400 ENSAYO'!$B$7:$D$43,3,FALSE),0)</f>
        <v>0</v>
      </c>
      <c r="O862" s="96">
        <f t="shared" si="90"/>
        <v>0</v>
      </c>
      <c r="P862" s="95" t="str">
        <f t="shared" si="85"/>
        <v>N/A</v>
      </c>
      <c r="Q862" s="95" t="str">
        <f t="shared" si="86"/>
        <v>N/A</v>
      </c>
      <c r="R862" s="95" t="str">
        <f t="shared" si="87"/>
        <v>NO CERT.</v>
      </c>
      <c r="S862" s="95" t="e">
        <f t="shared" si="88"/>
        <v>#N/A</v>
      </c>
      <c r="T862" s="119" t="e">
        <f>+IF(J862=LOOKUP(J862,'CAFCO 300 IDIEM TABLAS'!$J$4:$J$40),'CALCULO MORTERO'!J862,MROUND('CALCULO MORTERO'!J862,10))</f>
        <v>#N/A</v>
      </c>
      <c r="U862" s="118">
        <f t="shared" si="89"/>
        <v>0</v>
      </c>
    </row>
    <row r="863" spans="1:21" x14ac:dyDescent="0.25">
      <c r="A863" s="118">
        <f>+CUBICACION!D857</f>
        <v>0</v>
      </c>
      <c r="B863" s="819">
        <f>+CUBICACION!E857</f>
        <v>0</v>
      </c>
      <c r="C863" s="675">
        <f>+CUBICACION!F857</f>
        <v>0</v>
      </c>
      <c r="D863" s="118"/>
      <c r="E863" s="118"/>
      <c r="F863" s="820"/>
      <c r="G863" s="675">
        <f>+CUBICACION!J857</f>
        <v>0</v>
      </c>
      <c r="H863" s="118"/>
      <c r="I863" s="821">
        <f>+CUBICACION!L857</f>
        <v>0</v>
      </c>
      <c r="J863" s="64">
        <f>+CUBICACION!M857</f>
        <v>0</v>
      </c>
      <c r="K863" s="822" t="str">
        <f>+CUBICACION!N857</f>
        <v/>
      </c>
      <c r="L863" s="118">
        <f>+CUBICACION!O857</f>
        <v>0</v>
      </c>
      <c r="M863" s="823">
        <f>+CUBICACION!P857</f>
        <v>0</v>
      </c>
      <c r="N863" s="902">
        <f>ROUND(IF(AND(L863="Blaze Shield II",M863="Software Idiem",C863="IN",G863=4),((('BLAZE SHIELD II'!$D$4*('CALCULO MORTERO'!I863^2)+'BLAZE SHIELD II'!$D$5*'CALCULO MORTERO'!I863+'BLAZE SHIELD II'!$D$6)*LN(J863))+('BLAZE SHIELD II'!$D$7*('CALCULO MORTERO'!I863^2)+'BLAZE SHIELD II'!$D$8*'CALCULO MORTERO'!I863+'BLAZE SHIELD II'!$D$9)),0)+IF(AND(L863="Blaze Shield II",M863="Software Idiem",C863="Cj"),((('BLAZE SHIELD II'!$H$4*('CALCULO MORTERO'!I863^2)+'BLAZE SHIELD II'!$H$5*'CALCULO MORTERO'!I863+'BLAZE SHIELD II'!$H$6)*LN(J863))+('BLAZE SHIELD II'!$H$7*('CALCULO MORTERO'!I863^2)+'BLAZE SHIELD II'!$H$8*'CALCULO MORTERO'!I863+'BLAZE SHIELD II'!$H$9)),0)+IF(AND(L863="Blaze Shield II",M863="Software Idiem",C863="C"),((('BLAZE SHIELD II'!$L$4*('CALCULO MORTERO'!I863^2)+'BLAZE SHIELD II'!$L$5*'CALCULO MORTERO'!I863+'BLAZE SHIELD II'!$L$6)*LN(J863))+('BLAZE SHIELD II'!$L$7*('CALCULO MORTERO'!I863^2)+'BLAZE SHIELD II'!$L$8*'CALCULO MORTERO'!I863+'BLAZE SHIELD II'!$L$9)),0)+IF(AND(L863="Blaze Shield II",M863="Software Idiem",C863="L"),((('BLAZE SHIELD II'!$L$4*('CALCULO MORTERO'!I863^2)+'BLAZE SHIELD II'!$L$5*'CALCULO MORTERO'!I863+'BLAZE SHIELD II'!$L$6)*LN(J863))+('BLAZE SHIELD II'!$L$7*('CALCULO MORTERO'!I863^2)+'BLAZE SHIELD II'!$L$8*'CALCULO MORTERO'!I863+'BLAZE SHIELD II'!$L$9)),0)+IF(AND(L863="Blaze Shield II",M863="Software Idiem",C863="IN",G863=3),((('BLAZE SHIELD II'!$H$14*('CALCULO MORTERO'!I863^2)+'BLAZE SHIELD II'!$H$15*'CALCULO MORTERO'!I863+'BLAZE SHIELD II'!$H$16)*LN(J863))+('BLAZE SHIELD II'!$H$17*('CALCULO MORTERO'!I863^2)+'BLAZE SHIELD II'!$H$18*'CALCULO MORTERO'!I863+'BLAZE SHIELD II'!$H$19)),0),0)+ROUND(IF(AND(L863="Cafco 400",M863="Software Idiem",C863="IN",G863=4),((('CAFCO 400 '!$H$7*(J863^4)+'CAFCO 400 '!$H$8*(J863^3)+'CAFCO 400 '!$H$9*(J863^2)+'CAFCO 400 '!$H$10*J863+'CAFCO 400 '!$H$11)*U863^2)+(('CAFCO 400 '!$H$12*(J863^3)+'CAFCO 400 '!$H$13*(J863^2)+'CAFCO 400 '!$H$14*J863+'CAFCO 400 '!$H$15)*U863)+('CAFCO 400 '!$H$16*(J863^2)+'CAFCO 400 '!$H$17*J863+'CAFCO 400 '!$H$18)),0)+IF(AND(L863="Cafco 400",M863="Software Idiem",C863="Cj"),(((('CAFCO 400 '!$D$7*LN(J863)+'CAFCO 400 '!$D$8)*U863^2)+(('CAFCO 400 '!$D$9*LN(J863)+'CAFCO 400 '!$D$10)*U863)+('CAFCO 400 '!$D$11*LN(J863)+'CAFCO 400 '!$D$12))),0)+IF(AND(L863="Cafco 400",M863="Software Idiem",C863="C"),((('CAFCO 400 '!$L$7*(J863^3)+'CAFCO 400 '!$L$8*(J863^2)+'CAFCO 400 '!$L$9*J863+'CAFCO 400 '!$L$10)*U863^2)+(('CAFCO 400 '!$L$11*(J863^3)+'CAFCO 400 '!$L$12*(J863^2)+'CAFCO 400 '!$L$13*J863+'CAFCO 400 '!$L$14)*U863)+('CAFCO 400 '!$L$15*LN(J863)+'CAFCO 400 '!$L$16)),0)+IF(AND(L863="Cafco 400",M863="Software Idiem",C863="L"),((('CAFCO 400 '!$L$7*(J863^3)+'CAFCO 400 '!$L$8*(J863^2)+'CAFCO 400 '!$L$9*J863+'CAFCO 400 '!$L$10)*U863^2)+(('CAFCO 400 '!$L$11*(J863^3)+'CAFCO 400 '!$L$12*(J863^2)+'CAFCO 400 '!$L$13*J863+'CAFCO 400 '!$L$14)*U863)+('CAFCO 400 '!$L$15*LN(J863)+'CAFCO 400 '!$L$16)),0)+IF(AND(L863="Cafco 400",M863="Software Idiem",C863="IN",G863=3),((('CAFCO 400 '!$D$23*(J863^2)+'CAFCO 400 '!$D$24*(J863)+'CAFCO 400 '!$D$25)*U863^2)+(('CAFCO 400 '!$D$26*(J863^2)+'CAFCO 400 '!$D$27*J863+'CAFCO 400 '!$D$28)*U863)+('CAFCO 400 '!$D$29*(J863^2)+'CAFCO 400 '!$D$30*J863+'CAFCO 400 '!$D$31)),0),0)+IF(AND(L863="Cafco 300",J863&gt;=95,J863&lt;=240,C863="Cj",I863=90),VLOOKUP(T863,'CAFCO 300 IDIEM TABLAS'!$B$4:$D$23,2,FALSE),0)+IF(AND(L863="Cafco 300",J863&gt;=95,J863&lt;=240,C863="Cj",I863=120),VLOOKUP(T863,'CAFCO 300 IDIEM TABLAS'!$B$4:$D$23,3,FALSE),0)+IF(AND(L863="Cafco 300",J863&gt;=95,J863&lt;=400,G863=3,C863="IN",I863=90),VLOOKUP(T863,'CAFCO 300 IDIEM TABLAS'!$F$4:$H$35,2,FALSE),0)+IF(AND(L863="Cafco 300",J863&gt;=95,J863&lt;=400,G863=3,C863="IN",I863=120),VLOOKUP(T863,'CAFCO 300 IDIEM TABLAS'!$F$4:$H$35,3,FALSE),0)+IF(AND(L863="Cafco 300",J863&gt;=95,J863&lt;=450,G863=4,C863="IN",I863=90),VLOOKUP(T863,'CAFCO 300 IDIEM TABLAS'!$J$4:$L$40,2,FALSE),0)+IF(AND(L863="Cafco 300",J863&gt;=95,J863&lt;=450,G863=4,C863="IN",I863=120),VLOOKUP(T863,'CAFCO 300 IDIEM TABLAS'!$J$4:$L$40,3,FALSE),0)+IF(AND(M863="Ensayo Idiem",L863="Cafco 400",C863="IN",G863=4,I863=90),VLOOKUP(T863,'CAFCO 400 ENSAYO'!$B$7:$D$43,2,FALSE),0)+IF(AND(M863="Ensayo Idiem",L863="Cafco 400",C863="IN",G863=4,I863=120),VLOOKUP(T863,'CAFCO 400 ENSAYO'!$B$7:$D$43,3,FALSE),0)</f>
        <v>0</v>
      </c>
      <c r="O863" s="96">
        <f t="shared" si="90"/>
        <v>0</v>
      </c>
      <c r="P863" s="132" t="str">
        <f t="shared" si="85"/>
        <v>N/A</v>
      </c>
      <c r="Q863" s="132" t="str">
        <f t="shared" si="86"/>
        <v>N/A</v>
      </c>
      <c r="R863" s="132" t="str">
        <f t="shared" si="87"/>
        <v>NO CERT.</v>
      </c>
      <c r="S863" s="132" t="e">
        <f t="shared" si="88"/>
        <v>#N/A</v>
      </c>
      <c r="T863" s="133" t="e">
        <f>+IF(J863=LOOKUP(J863,'CAFCO 300 IDIEM TABLAS'!$J$4:$J$40),'CALCULO MORTERO'!J863,MROUND('CALCULO MORTERO'!J863,10))</f>
        <v>#N/A</v>
      </c>
      <c r="U863" s="134">
        <f t="shared" si="89"/>
        <v>0</v>
      </c>
    </row>
    <row r="864" spans="1:21" x14ac:dyDescent="0.25">
      <c r="A864" s="118">
        <f>+CUBICACION!D858</f>
        <v>0</v>
      </c>
      <c r="B864" s="819">
        <f>+CUBICACION!E858</f>
        <v>0</v>
      </c>
      <c r="C864" s="675">
        <f>+CUBICACION!F858</f>
        <v>0</v>
      </c>
      <c r="D864" s="118"/>
      <c r="E864" s="118"/>
      <c r="F864" s="820"/>
      <c r="G864" s="675">
        <f>+CUBICACION!J858</f>
        <v>0</v>
      </c>
      <c r="H864" s="118"/>
      <c r="I864" s="821">
        <f>+CUBICACION!L858</f>
        <v>0</v>
      </c>
      <c r="J864" s="64">
        <f>+CUBICACION!M858</f>
        <v>0</v>
      </c>
      <c r="K864" s="822" t="str">
        <f>+CUBICACION!N858</f>
        <v/>
      </c>
      <c r="L864" s="118">
        <f>+CUBICACION!O858</f>
        <v>0</v>
      </c>
      <c r="M864" s="823">
        <f>+CUBICACION!P858</f>
        <v>0</v>
      </c>
      <c r="N864" s="902">
        <f>ROUND(IF(AND(L864="Blaze Shield II",M864="Software Idiem",C864="IN",G864=4),((('BLAZE SHIELD II'!$D$4*('CALCULO MORTERO'!I864^2)+'BLAZE SHIELD II'!$D$5*'CALCULO MORTERO'!I864+'BLAZE SHIELD II'!$D$6)*LN(J864))+('BLAZE SHIELD II'!$D$7*('CALCULO MORTERO'!I864^2)+'BLAZE SHIELD II'!$D$8*'CALCULO MORTERO'!I864+'BLAZE SHIELD II'!$D$9)),0)+IF(AND(L864="Blaze Shield II",M864="Software Idiem",C864="Cj"),((('BLAZE SHIELD II'!$H$4*('CALCULO MORTERO'!I864^2)+'BLAZE SHIELD II'!$H$5*'CALCULO MORTERO'!I864+'BLAZE SHIELD II'!$H$6)*LN(J864))+('BLAZE SHIELD II'!$H$7*('CALCULO MORTERO'!I864^2)+'BLAZE SHIELD II'!$H$8*'CALCULO MORTERO'!I864+'BLAZE SHIELD II'!$H$9)),0)+IF(AND(L864="Blaze Shield II",M864="Software Idiem",C864="C"),((('BLAZE SHIELD II'!$L$4*('CALCULO MORTERO'!I864^2)+'BLAZE SHIELD II'!$L$5*'CALCULO MORTERO'!I864+'BLAZE SHIELD II'!$L$6)*LN(J864))+('BLAZE SHIELD II'!$L$7*('CALCULO MORTERO'!I864^2)+'BLAZE SHIELD II'!$L$8*'CALCULO MORTERO'!I864+'BLAZE SHIELD II'!$L$9)),0)+IF(AND(L864="Blaze Shield II",M864="Software Idiem",C864="L"),((('BLAZE SHIELD II'!$L$4*('CALCULO MORTERO'!I864^2)+'BLAZE SHIELD II'!$L$5*'CALCULO MORTERO'!I864+'BLAZE SHIELD II'!$L$6)*LN(J864))+('BLAZE SHIELD II'!$L$7*('CALCULO MORTERO'!I864^2)+'BLAZE SHIELD II'!$L$8*'CALCULO MORTERO'!I864+'BLAZE SHIELD II'!$L$9)),0)+IF(AND(L864="Blaze Shield II",M864="Software Idiem",C864="IN",G864=3),((('BLAZE SHIELD II'!$H$14*('CALCULO MORTERO'!I864^2)+'BLAZE SHIELD II'!$H$15*'CALCULO MORTERO'!I864+'BLAZE SHIELD II'!$H$16)*LN(J864))+('BLAZE SHIELD II'!$H$17*('CALCULO MORTERO'!I864^2)+'BLAZE SHIELD II'!$H$18*'CALCULO MORTERO'!I864+'BLAZE SHIELD II'!$H$19)),0),0)+ROUND(IF(AND(L864="Cafco 400",M864="Software Idiem",C864="IN",G864=4),((('CAFCO 400 '!$H$7*(J864^4)+'CAFCO 400 '!$H$8*(J864^3)+'CAFCO 400 '!$H$9*(J864^2)+'CAFCO 400 '!$H$10*J864+'CAFCO 400 '!$H$11)*U864^2)+(('CAFCO 400 '!$H$12*(J864^3)+'CAFCO 400 '!$H$13*(J864^2)+'CAFCO 400 '!$H$14*J864+'CAFCO 400 '!$H$15)*U864)+('CAFCO 400 '!$H$16*(J864^2)+'CAFCO 400 '!$H$17*J864+'CAFCO 400 '!$H$18)),0)+IF(AND(L864="Cafco 400",M864="Software Idiem",C864="Cj"),(((('CAFCO 400 '!$D$7*LN(J864)+'CAFCO 400 '!$D$8)*U864^2)+(('CAFCO 400 '!$D$9*LN(J864)+'CAFCO 400 '!$D$10)*U864)+('CAFCO 400 '!$D$11*LN(J864)+'CAFCO 400 '!$D$12))),0)+IF(AND(L864="Cafco 400",M864="Software Idiem",C864="C"),((('CAFCO 400 '!$L$7*(J864^3)+'CAFCO 400 '!$L$8*(J864^2)+'CAFCO 400 '!$L$9*J864+'CAFCO 400 '!$L$10)*U864^2)+(('CAFCO 400 '!$L$11*(J864^3)+'CAFCO 400 '!$L$12*(J864^2)+'CAFCO 400 '!$L$13*J864+'CAFCO 400 '!$L$14)*U864)+('CAFCO 400 '!$L$15*LN(J864)+'CAFCO 400 '!$L$16)),0)+IF(AND(L864="Cafco 400",M864="Software Idiem",C864="L"),((('CAFCO 400 '!$L$7*(J864^3)+'CAFCO 400 '!$L$8*(J864^2)+'CAFCO 400 '!$L$9*J864+'CAFCO 400 '!$L$10)*U864^2)+(('CAFCO 400 '!$L$11*(J864^3)+'CAFCO 400 '!$L$12*(J864^2)+'CAFCO 400 '!$L$13*J864+'CAFCO 400 '!$L$14)*U864)+('CAFCO 400 '!$L$15*LN(J864)+'CAFCO 400 '!$L$16)),0)+IF(AND(L864="Cafco 400",M864="Software Idiem",C864="IN",G864=3),((('CAFCO 400 '!$D$23*(J864^2)+'CAFCO 400 '!$D$24*(J864)+'CAFCO 400 '!$D$25)*U864^2)+(('CAFCO 400 '!$D$26*(J864^2)+'CAFCO 400 '!$D$27*J864+'CAFCO 400 '!$D$28)*U864)+('CAFCO 400 '!$D$29*(J864^2)+'CAFCO 400 '!$D$30*J864+'CAFCO 400 '!$D$31)),0),0)+IF(AND(L864="Cafco 300",J864&gt;=95,J864&lt;=240,C864="Cj",I864=90),VLOOKUP(T864,'CAFCO 300 IDIEM TABLAS'!$B$4:$D$23,2,FALSE),0)+IF(AND(L864="Cafco 300",J864&gt;=95,J864&lt;=240,C864="Cj",I864=120),VLOOKUP(T864,'CAFCO 300 IDIEM TABLAS'!$B$4:$D$23,3,FALSE),0)+IF(AND(L864="Cafco 300",J864&gt;=95,J864&lt;=400,G864=3,C864="IN",I864=90),VLOOKUP(T864,'CAFCO 300 IDIEM TABLAS'!$F$4:$H$35,2,FALSE),0)+IF(AND(L864="Cafco 300",J864&gt;=95,J864&lt;=400,G864=3,C864="IN",I864=120),VLOOKUP(T864,'CAFCO 300 IDIEM TABLAS'!$F$4:$H$35,3,FALSE),0)+IF(AND(L864="Cafco 300",J864&gt;=95,J864&lt;=450,G864=4,C864="IN",I864=90),VLOOKUP(T864,'CAFCO 300 IDIEM TABLAS'!$J$4:$L$40,2,FALSE),0)+IF(AND(L864="Cafco 300",J864&gt;=95,J864&lt;=450,G864=4,C864="IN",I864=120),VLOOKUP(T864,'CAFCO 300 IDIEM TABLAS'!$J$4:$L$40,3,FALSE),0)+IF(AND(M864="Ensayo Idiem",L864="Cafco 400",C864="IN",G864=4,I864=90),VLOOKUP(T864,'CAFCO 400 ENSAYO'!$B$7:$D$43,2,FALSE),0)+IF(AND(M864="Ensayo Idiem",L864="Cafco 400",C864="IN",G864=4,I864=120),VLOOKUP(T864,'CAFCO 400 ENSAYO'!$B$7:$D$43,3,FALSE),0)</f>
        <v>0</v>
      </c>
      <c r="O864" s="96">
        <f t="shared" si="90"/>
        <v>0</v>
      </c>
      <c r="P864" s="95" t="str">
        <f t="shared" si="85"/>
        <v>N/A</v>
      </c>
      <c r="Q864" s="95" t="str">
        <f t="shared" si="86"/>
        <v>N/A</v>
      </c>
      <c r="R864" s="95" t="str">
        <f t="shared" si="87"/>
        <v>NO CERT.</v>
      </c>
      <c r="S864" s="95" t="e">
        <f t="shared" si="88"/>
        <v>#N/A</v>
      </c>
      <c r="T864" s="119" t="e">
        <f>+IF(J864=LOOKUP(J864,'CAFCO 300 IDIEM TABLAS'!$J$4:$J$40),'CALCULO MORTERO'!J864,MROUND('CALCULO MORTERO'!J864,10))</f>
        <v>#N/A</v>
      </c>
      <c r="U864" s="118">
        <f t="shared" si="89"/>
        <v>0</v>
      </c>
    </row>
    <row r="865" spans="1:21" x14ac:dyDescent="0.25">
      <c r="A865" s="118">
        <f>+CUBICACION!D859</f>
        <v>0</v>
      </c>
      <c r="B865" s="819">
        <f>+CUBICACION!E859</f>
        <v>0</v>
      </c>
      <c r="C865" s="675">
        <f>+CUBICACION!F859</f>
        <v>0</v>
      </c>
      <c r="D865" s="118"/>
      <c r="E865" s="118"/>
      <c r="F865" s="820"/>
      <c r="G865" s="675">
        <f>+CUBICACION!J859</f>
        <v>0</v>
      </c>
      <c r="H865" s="118"/>
      <c r="I865" s="821">
        <f>+CUBICACION!L859</f>
        <v>0</v>
      </c>
      <c r="J865" s="64">
        <f>+CUBICACION!M859</f>
        <v>0</v>
      </c>
      <c r="K865" s="822" t="str">
        <f>+CUBICACION!N859</f>
        <v/>
      </c>
      <c r="L865" s="118">
        <f>+CUBICACION!O859</f>
        <v>0</v>
      </c>
      <c r="M865" s="823">
        <f>+CUBICACION!P859</f>
        <v>0</v>
      </c>
      <c r="N865" s="902">
        <f>ROUND(IF(AND(L865="Blaze Shield II",M865="Software Idiem",C865="IN",G865=4),((('BLAZE SHIELD II'!$D$4*('CALCULO MORTERO'!I865^2)+'BLAZE SHIELD II'!$D$5*'CALCULO MORTERO'!I865+'BLAZE SHIELD II'!$D$6)*LN(J865))+('BLAZE SHIELD II'!$D$7*('CALCULO MORTERO'!I865^2)+'BLAZE SHIELD II'!$D$8*'CALCULO MORTERO'!I865+'BLAZE SHIELD II'!$D$9)),0)+IF(AND(L865="Blaze Shield II",M865="Software Idiem",C865="Cj"),((('BLAZE SHIELD II'!$H$4*('CALCULO MORTERO'!I865^2)+'BLAZE SHIELD II'!$H$5*'CALCULO MORTERO'!I865+'BLAZE SHIELD II'!$H$6)*LN(J865))+('BLAZE SHIELD II'!$H$7*('CALCULO MORTERO'!I865^2)+'BLAZE SHIELD II'!$H$8*'CALCULO MORTERO'!I865+'BLAZE SHIELD II'!$H$9)),0)+IF(AND(L865="Blaze Shield II",M865="Software Idiem",C865="C"),((('BLAZE SHIELD II'!$L$4*('CALCULO MORTERO'!I865^2)+'BLAZE SHIELD II'!$L$5*'CALCULO MORTERO'!I865+'BLAZE SHIELD II'!$L$6)*LN(J865))+('BLAZE SHIELD II'!$L$7*('CALCULO MORTERO'!I865^2)+'BLAZE SHIELD II'!$L$8*'CALCULO MORTERO'!I865+'BLAZE SHIELD II'!$L$9)),0)+IF(AND(L865="Blaze Shield II",M865="Software Idiem",C865="L"),((('BLAZE SHIELD II'!$L$4*('CALCULO MORTERO'!I865^2)+'BLAZE SHIELD II'!$L$5*'CALCULO MORTERO'!I865+'BLAZE SHIELD II'!$L$6)*LN(J865))+('BLAZE SHIELD II'!$L$7*('CALCULO MORTERO'!I865^2)+'BLAZE SHIELD II'!$L$8*'CALCULO MORTERO'!I865+'BLAZE SHIELD II'!$L$9)),0)+IF(AND(L865="Blaze Shield II",M865="Software Idiem",C865="IN",G865=3),((('BLAZE SHIELD II'!$H$14*('CALCULO MORTERO'!I865^2)+'BLAZE SHIELD II'!$H$15*'CALCULO MORTERO'!I865+'BLAZE SHIELD II'!$H$16)*LN(J865))+('BLAZE SHIELD II'!$H$17*('CALCULO MORTERO'!I865^2)+'BLAZE SHIELD II'!$H$18*'CALCULO MORTERO'!I865+'BLAZE SHIELD II'!$H$19)),0),0)+ROUND(IF(AND(L865="Cafco 400",M865="Software Idiem",C865="IN",G865=4),((('CAFCO 400 '!$H$7*(J865^4)+'CAFCO 400 '!$H$8*(J865^3)+'CAFCO 400 '!$H$9*(J865^2)+'CAFCO 400 '!$H$10*J865+'CAFCO 400 '!$H$11)*U865^2)+(('CAFCO 400 '!$H$12*(J865^3)+'CAFCO 400 '!$H$13*(J865^2)+'CAFCO 400 '!$H$14*J865+'CAFCO 400 '!$H$15)*U865)+('CAFCO 400 '!$H$16*(J865^2)+'CAFCO 400 '!$H$17*J865+'CAFCO 400 '!$H$18)),0)+IF(AND(L865="Cafco 400",M865="Software Idiem",C865="Cj"),(((('CAFCO 400 '!$D$7*LN(J865)+'CAFCO 400 '!$D$8)*U865^2)+(('CAFCO 400 '!$D$9*LN(J865)+'CAFCO 400 '!$D$10)*U865)+('CAFCO 400 '!$D$11*LN(J865)+'CAFCO 400 '!$D$12))),0)+IF(AND(L865="Cafco 400",M865="Software Idiem",C865="C"),((('CAFCO 400 '!$L$7*(J865^3)+'CAFCO 400 '!$L$8*(J865^2)+'CAFCO 400 '!$L$9*J865+'CAFCO 400 '!$L$10)*U865^2)+(('CAFCO 400 '!$L$11*(J865^3)+'CAFCO 400 '!$L$12*(J865^2)+'CAFCO 400 '!$L$13*J865+'CAFCO 400 '!$L$14)*U865)+('CAFCO 400 '!$L$15*LN(J865)+'CAFCO 400 '!$L$16)),0)+IF(AND(L865="Cafco 400",M865="Software Idiem",C865="L"),((('CAFCO 400 '!$L$7*(J865^3)+'CAFCO 400 '!$L$8*(J865^2)+'CAFCO 400 '!$L$9*J865+'CAFCO 400 '!$L$10)*U865^2)+(('CAFCO 400 '!$L$11*(J865^3)+'CAFCO 400 '!$L$12*(J865^2)+'CAFCO 400 '!$L$13*J865+'CAFCO 400 '!$L$14)*U865)+('CAFCO 400 '!$L$15*LN(J865)+'CAFCO 400 '!$L$16)),0)+IF(AND(L865="Cafco 400",M865="Software Idiem",C865="IN",G865=3),((('CAFCO 400 '!$D$23*(J865^2)+'CAFCO 400 '!$D$24*(J865)+'CAFCO 400 '!$D$25)*U865^2)+(('CAFCO 400 '!$D$26*(J865^2)+'CAFCO 400 '!$D$27*J865+'CAFCO 400 '!$D$28)*U865)+('CAFCO 400 '!$D$29*(J865^2)+'CAFCO 400 '!$D$30*J865+'CAFCO 400 '!$D$31)),0),0)+IF(AND(L865="Cafco 300",J865&gt;=95,J865&lt;=240,C865="Cj",I865=90),VLOOKUP(T865,'CAFCO 300 IDIEM TABLAS'!$B$4:$D$23,2,FALSE),0)+IF(AND(L865="Cafco 300",J865&gt;=95,J865&lt;=240,C865="Cj",I865=120),VLOOKUP(T865,'CAFCO 300 IDIEM TABLAS'!$B$4:$D$23,3,FALSE),0)+IF(AND(L865="Cafco 300",J865&gt;=95,J865&lt;=400,G865=3,C865="IN",I865=90),VLOOKUP(T865,'CAFCO 300 IDIEM TABLAS'!$F$4:$H$35,2,FALSE),0)+IF(AND(L865="Cafco 300",J865&gt;=95,J865&lt;=400,G865=3,C865="IN",I865=120),VLOOKUP(T865,'CAFCO 300 IDIEM TABLAS'!$F$4:$H$35,3,FALSE),0)+IF(AND(L865="Cafco 300",J865&gt;=95,J865&lt;=450,G865=4,C865="IN",I865=90),VLOOKUP(T865,'CAFCO 300 IDIEM TABLAS'!$J$4:$L$40,2,FALSE),0)+IF(AND(L865="Cafco 300",J865&gt;=95,J865&lt;=450,G865=4,C865="IN",I865=120),VLOOKUP(T865,'CAFCO 300 IDIEM TABLAS'!$J$4:$L$40,3,FALSE),0)+IF(AND(M865="Ensayo Idiem",L865="Cafco 400",C865="IN",G865=4,I865=90),VLOOKUP(T865,'CAFCO 400 ENSAYO'!$B$7:$D$43,2,FALSE),0)+IF(AND(M865="Ensayo Idiem",L865="Cafco 400",C865="IN",G865=4,I865=120),VLOOKUP(T865,'CAFCO 400 ENSAYO'!$B$7:$D$43,3,FALSE),0)</f>
        <v>0</v>
      </c>
      <c r="O865" s="96">
        <f t="shared" si="90"/>
        <v>0</v>
      </c>
      <c r="P865" s="132" t="str">
        <f t="shared" si="85"/>
        <v>N/A</v>
      </c>
      <c r="Q865" s="132" t="str">
        <f t="shared" si="86"/>
        <v>N/A</v>
      </c>
      <c r="R865" s="132" t="str">
        <f t="shared" si="87"/>
        <v>NO CERT.</v>
      </c>
      <c r="S865" s="132" t="e">
        <f t="shared" si="88"/>
        <v>#N/A</v>
      </c>
      <c r="T865" s="133" t="e">
        <f>+IF(J865=LOOKUP(J865,'CAFCO 300 IDIEM TABLAS'!$J$4:$J$40),'CALCULO MORTERO'!J865,MROUND('CALCULO MORTERO'!J865,10))</f>
        <v>#N/A</v>
      </c>
      <c r="U865" s="134">
        <f t="shared" si="89"/>
        <v>0</v>
      </c>
    </row>
    <row r="866" spans="1:21" x14ac:dyDescent="0.25">
      <c r="A866" s="118">
        <f>+CUBICACION!D860</f>
        <v>0</v>
      </c>
      <c r="B866" s="819">
        <f>+CUBICACION!E860</f>
        <v>0</v>
      </c>
      <c r="C866" s="675">
        <f>+CUBICACION!F860</f>
        <v>0</v>
      </c>
      <c r="D866" s="118"/>
      <c r="E866" s="118"/>
      <c r="F866" s="820"/>
      <c r="G866" s="675">
        <f>+CUBICACION!J860</f>
        <v>0</v>
      </c>
      <c r="H866" s="118"/>
      <c r="I866" s="821">
        <f>+CUBICACION!L860</f>
        <v>0</v>
      </c>
      <c r="J866" s="64">
        <f>+CUBICACION!M860</f>
        <v>0</v>
      </c>
      <c r="K866" s="822" t="str">
        <f>+CUBICACION!N860</f>
        <v/>
      </c>
      <c r="L866" s="118">
        <f>+CUBICACION!O860</f>
        <v>0</v>
      </c>
      <c r="M866" s="823">
        <f>+CUBICACION!P860</f>
        <v>0</v>
      </c>
      <c r="N866" s="902">
        <f>ROUND(IF(AND(L866="Blaze Shield II",M866="Software Idiem",C866="IN",G866=4),((('BLAZE SHIELD II'!$D$4*('CALCULO MORTERO'!I866^2)+'BLAZE SHIELD II'!$D$5*'CALCULO MORTERO'!I866+'BLAZE SHIELD II'!$D$6)*LN(J866))+('BLAZE SHIELD II'!$D$7*('CALCULO MORTERO'!I866^2)+'BLAZE SHIELD II'!$D$8*'CALCULO MORTERO'!I866+'BLAZE SHIELD II'!$D$9)),0)+IF(AND(L866="Blaze Shield II",M866="Software Idiem",C866="Cj"),((('BLAZE SHIELD II'!$H$4*('CALCULO MORTERO'!I866^2)+'BLAZE SHIELD II'!$H$5*'CALCULO MORTERO'!I866+'BLAZE SHIELD II'!$H$6)*LN(J866))+('BLAZE SHIELD II'!$H$7*('CALCULO MORTERO'!I866^2)+'BLAZE SHIELD II'!$H$8*'CALCULO MORTERO'!I866+'BLAZE SHIELD II'!$H$9)),0)+IF(AND(L866="Blaze Shield II",M866="Software Idiem",C866="C"),((('BLAZE SHIELD II'!$L$4*('CALCULO MORTERO'!I866^2)+'BLAZE SHIELD II'!$L$5*'CALCULO MORTERO'!I866+'BLAZE SHIELD II'!$L$6)*LN(J866))+('BLAZE SHIELD II'!$L$7*('CALCULO MORTERO'!I866^2)+'BLAZE SHIELD II'!$L$8*'CALCULO MORTERO'!I866+'BLAZE SHIELD II'!$L$9)),0)+IF(AND(L866="Blaze Shield II",M866="Software Idiem",C866="L"),((('BLAZE SHIELD II'!$L$4*('CALCULO MORTERO'!I866^2)+'BLAZE SHIELD II'!$L$5*'CALCULO MORTERO'!I866+'BLAZE SHIELD II'!$L$6)*LN(J866))+('BLAZE SHIELD II'!$L$7*('CALCULO MORTERO'!I866^2)+'BLAZE SHIELD II'!$L$8*'CALCULO MORTERO'!I866+'BLAZE SHIELD II'!$L$9)),0)+IF(AND(L866="Blaze Shield II",M866="Software Idiem",C866="IN",G866=3),((('BLAZE SHIELD II'!$H$14*('CALCULO MORTERO'!I866^2)+'BLAZE SHIELD II'!$H$15*'CALCULO MORTERO'!I866+'BLAZE SHIELD II'!$H$16)*LN(J866))+('BLAZE SHIELD II'!$H$17*('CALCULO MORTERO'!I866^2)+'BLAZE SHIELD II'!$H$18*'CALCULO MORTERO'!I866+'BLAZE SHIELD II'!$H$19)),0),0)+ROUND(IF(AND(L866="Cafco 400",M866="Software Idiem",C866="IN",G866=4),((('CAFCO 400 '!$H$7*(J866^4)+'CAFCO 400 '!$H$8*(J866^3)+'CAFCO 400 '!$H$9*(J866^2)+'CAFCO 400 '!$H$10*J866+'CAFCO 400 '!$H$11)*U866^2)+(('CAFCO 400 '!$H$12*(J866^3)+'CAFCO 400 '!$H$13*(J866^2)+'CAFCO 400 '!$H$14*J866+'CAFCO 400 '!$H$15)*U866)+('CAFCO 400 '!$H$16*(J866^2)+'CAFCO 400 '!$H$17*J866+'CAFCO 400 '!$H$18)),0)+IF(AND(L866="Cafco 400",M866="Software Idiem",C866="Cj"),(((('CAFCO 400 '!$D$7*LN(J866)+'CAFCO 400 '!$D$8)*U866^2)+(('CAFCO 400 '!$D$9*LN(J866)+'CAFCO 400 '!$D$10)*U866)+('CAFCO 400 '!$D$11*LN(J866)+'CAFCO 400 '!$D$12))),0)+IF(AND(L866="Cafco 400",M866="Software Idiem",C866="C"),((('CAFCO 400 '!$L$7*(J866^3)+'CAFCO 400 '!$L$8*(J866^2)+'CAFCO 400 '!$L$9*J866+'CAFCO 400 '!$L$10)*U866^2)+(('CAFCO 400 '!$L$11*(J866^3)+'CAFCO 400 '!$L$12*(J866^2)+'CAFCO 400 '!$L$13*J866+'CAFCO 400 '!$L$14)*U866)+('CAFCO 400 '!$L$15*LN(J866)+'CAFCO 400 '!$L$16)),0)+IF(AND(L866="Cafco 400",M866="Software Idiem",C866="L"),((('CAFCO 400 '!$L$7*(J866^3)+'CAFCO 400 '!$L$8*(J866^2)+'CAFCO 400 '!$L$9*J866+'CAFCO 400 '!$L$10)*U866^2)+(('CAFCO 400 '!$L$11*(J866^3)+'CAFCO 400 '!$L$12*(J866^2)+'CAFCO 400 '!$L$13*J866+'CAFCO 400 '!$L$14)*U866)+('CAFCO 400 '!$L$15*LN(J866)+'CAFCO 400 '!$L$16)),0)+IF(AND(L866="Cafco 400",M866="Software Idiem",C866="IN",G866=3),((('CAFCO 400 '!$D$23*(J866^2)+'CAFCO 400 '!$D$24*(J866)+'CAFCO 400 '!$D$25)*U866^2)+(('CAFCO 400 '!$D$26*(J866^2)+'CAFCO 400 '!$D$27*J866+'CAFCO 400 '!$D$28)*U866)+('CAFCO 400 '!$D$29*(J866^2)+'CAFCO 400 '!$D$30*J866+'CAFCO 400 '!$D$31)),0),0)+IF(AND(L866="Cafco 300",J866&gt;=95,J866&lt;=240,C866="Cj",I866=90),VLOOKUP(T866,'CAFCO 300 IDIEM TABLAS'!$B$4:$D$23,2,FALSE),0)+IF(AND(L866="Cafco 300",J866&gt;=95,J866&lt;=240,C866="Cj",I866=120),VLOOKUP(T866,'CAFCO 300 IDIEM TABLAS'!$B$4:$D$23,3,FALSE),0)+IF(AND(L866="Cafco 300",J866&gt;=95,J866&lt;=400,G866=3,C866="IN",I866=90),VLOOKUP(T866,'CAFCO 300 IDIEM TABLAS'!$F$4:$H$35,2,FALSE),0)+IF(AND(L866="Cafco 300",J866&gt;=95,J866&lt;=400,G866=3,C866="IN",I866=120),VLOOKUP(T866,'CAFCO 300 IDIEM TABLAS'!$F$4:$H$35,3,FALSE),0)+IF(AND(L866="Cafco 300",J866&gt;=95,J866&lt;=450,G866=4,C866="IN",I866=90),VLOOKUP(T866,'CAFCO 300 IDIEM TABLAS'!$J$4:$L$40,2,FALSE),0)+IF(AND(L866="Cafco 300",J866&gt;=95,J866&lt;=450,G866=4,C866="IN",I866=120),VLOOKUP(T866,'CAFCO 300 IDIEM TABLAS'!$J$4:$L$40,3,FALSE),0)+IF(AND(M866="Ensayo Idiem",L866="Cafco 400",C866="IN",G866=4,I866=90),VLOOKUP(T866,'CAFCO 400 ENSAYO'!$B$7:$D$43,2,FALSE),0)+IF(AND(M866="Ensayo Idiem",L866="Cafco 400",C866="IN",G866=4,I866=120),VLOOKUP(T866,'CAFCO 400 ENSAYO'!$B$7:$D$43,3,FALSE),0)</f>
        <v>0</v>
      </c>
      <c r="O866" s="96">
        <f t="shared" si="90"/>
        <v>0</v>
      </c>
      <c r="P866" s="95" t="str">
        <f t="shared" si="85"/>
        <v>N/A</v>
      </c>
      <c r="Q866" s="95" t="str">
        <f t="shared" si="86"/>
        <v>N/A</v>
      </c>
      <c r="R866" s="95" t="str">
        <f t="shared" si="87"/>
        <v>NO CERT.</v>
      </c>
      <c r="S866" s="95" t="e">
        <f t="shared" si="88"/>
        <v>#N/A</v>
      </c>
      <c r="T866" s="119" t="e">
        <f>+IF(J866=LOOKUP(J866,'CAFCO 300 IDIEM TABLAS'!$J$4:$J$40),'CALCULO MORTERO'!J866,MROUND('CALCULO MORTERO'!J866,10))</f>
        <v>#N/A</v>
      </c>
      <c r="U866" s="118">
        <f t="shared" si="89"/>
        <v>0</v>
      </c>
    </row>
    <row r="867" spans="1:21" x14ac:dyDescent="0.25">
      <c r="A867" s="118">
        <f>+CUBICACION!D861</f>
        <v>0</v>
      </c>
      <c r="B867" s="819">
        <f>+CUBICACION!E861</f>
        <v>0</v>
      </c>
      <c r="C867" s="675">
        <f>+CUBICACION!F861</f>
        <v>0</v>
      </c>
      <c r="D867" s="118"/>
      <c r="E867" s="118"/>
      <c r="F867" s="820"/>
      <c r="G867" s="675">
        <f>+CUBICACION!J861</f>
        <v>0</v>
      </c>
      <c r="H867" s="118"/>
      <c r="I867" s="821">
        <f>+CUBICACION!L861</f>
        <v>0</v>
      </c>
      <c r="J867" s="64">
        <f>+CUBICACION!M861</f>
        <v>0</v>
      </c>
      <c r="K867" s="822" t="str">
        <f>+CUBICACION!N861</f>
        <v/>
      </c>
      <c r="L867" s="118">
        <f>+CUBICACION!O861</f>
        <v>0</v>
      </c>
      <c r="M867" s="823">
        <f>+CUBICACION!P861</f>
        <v>0</v>
      </c>
      <c r="N867" s="902">
        <f>ROUND(IF(AND(L867="Blaze Shield II",M867="Software Idiem",C867="IN",G867=4),((('BLAZE SHIELD II'!$D$4*('CALCULO MORTERO'!I867^2)+'BLAZE SHIELD II'!$D$5*'CALCULO MORTERO'!I867+'BLAZE SHIELD II'!$D$6)*LN(J867))+('BLAZE SHIELD II'!$D$7*('CALCULO MORTERO'!I867^2)+'BLAZE SHIELD II'!$D$8*'CALCULO MORTERO'!I867+'BLAZE SHIELD II'!$D$9)),0)+IF(AND(L867="Blaze Shield II",M867="Software Idiem",C867="Cj"),((('BLAZE SHIELD II'!$H$4*('CALCULO MORTERO'!I867^2)+'BLAZE SHIELD II'!$H$5*'CALCULO MORTERO'!I867+'BLAZE SHIELD II'!$H$6)*LN(J867))+('BLAZE SHIELD II'!$H$7*('CALCULO MORTERO'!I867^2)+'BLAZE SHIELD II'!$H$8*'CALCULO MORTERO'!I867+'BLAZE SHIELD II'!$H$9)),0)+IF(AND(L867="Blaze Shield II",M867="Software Idiem",C867="C"),((('BLAZE SHIELD II'!$L$4*('CALCULO MORTERO'!I867^2)+'BLAZE SHIELD II'!$L$5*'CALCULO MORTERO'!I867+'BLAZE SHIELD II'!$L$6)*LN(J867))+('BLAZE SHIELD II'!$L$7*('CALCULO MORTERO'!I867^2)+'BLAZE SHIELD II'!$L$8*'CALCULO MORTERO'!I867+'BLAZE SHIELD II'!$L$9)),0)+IF(AND(L867="Blaze Shield II",M867="Software Idiem",C867="L"),((('BLAZE SHIELD II'!$L$4*('CALCULO MORTERO'!I867^2)+'BLAZE SHIELD II'!$L$5*'CALCULO MORTERO'!I867+'BLAZE SHIELD II'!$L$6)*LN(J867))+('BLAZE SHIELD II'!$L$7*('CALCULO MORTERO'!I867^2)+'BLAZE SHIELD II'!$L$8*'CALCULO MORTERO'!I867+'BLAZE SHIELD II'!$L$9)),0)+IF(AND(L867="Blaze Shield II",M867="Software Idiem",C867="IN",G867=3),((('BLAZE SHIELD II'!$H$14*('CALCULO MORTERO'!I867^2)+'BLAZE SHIELD II'!$H$15*'CALCULO MORTERO'!I867+'BLAZE SHIELD II'!$H$16)*LN(J867))+('BLAZE SHIELD II'!$H$17*('CALCULO MORTERO'!I867^2)+'BLAZE SHIELD II'!$H$18*'CALCULO MORTERO'!I867+'BLAZE SHIELD II'!$H$19)),0),0)+ROUND(IF(AND(L867="Cafco 400",M867="Software Idiem",C867="IN",G867=4),((('CAFCO 400 '!$H$7*(J867^4)+'CAFCO 400 '!$H$8*(J867^3)+'CAFCO 400 '!$H$9*(J867^2)+'CAFCO 400 '!$H$10*J867+'CAFCO 400 '!$H$11)*U867^2)+(('CAFCO 400 '!$H$12*(J867^3)+'CAFCO 400 '!$H$13*(J867^2)+'CAFCO 400 '!$H$14*J867+'CAFCO 400 '!$H$15)*U867)+('CAFCO 400 '!$H$16*(J867^2)+'CAFCO 400 '!$H$17*J867+'CAFCO 400 '!$H$18)),0)+IF(AND(L867="Cafco 400",M867="Software Idiem",C867="Cj"),(((('CAFCO 400 '!$D$7*LN(J867)+'CAFCO 400 '!$D$8)*U867^2)+(('CAFCO 400 '!$D$9*LN(J867)+'CAFCO 400 '!$D$10)*U867)+('CAFCO 400 '!$D$11*LN(J867)+'CAFCO 400 '!$D$12))),0)+IF(AND(L867="Cafco 400",M867="Software Idiem",C867="C"),((('CAFCO 400 '!$L$7*(J867^3)+'CAFCO 400 '!$L$8*(J867^2)+'CAFCO 400 '!$L$9*J867+'CAFCO 400 '!$L$10)*U867^2)+(('CAFCO 400 '!$L$11*(J867^3)+'CAFCO 400 '!$L$12*(J867^2)+'CAFCO 400 '!$L$13*J867+'CAFCO 400 '!$L$14)*U867)+('CAFCO 400 '!$L$15*LN(J867)+'CAFCO 400 '!$L$16)),0)+IF(AND(L867="Cafco 400",M867="Software Idiem",C867="L"),((('CAFCO 400 '!$L$7*(J867^3)+'CAFCO 400 '!$L$8*(J867^2)+'CAFCO 400 '!$L$9*J867+'CAFCO 400 '!$L$10)*U867^2)+(('CAFCO 400 '!$L$11*(J867^3)+'CAFCO 400 '!$L$12*(J867^2)+'CAFCO 400 '!$L$13*J867+'CAFCO 400 '!$L$14)*U867)+('CAFCO 400 '!$L$15*LN(J867)+'CAFCO 400 '!$L$16)),0)+IF(AND(L867="Cafco 400",M867="Software Idiem",C867="IN",G867=3),((('CAFCO 400 '!$D$23*(J867^2)+'CAFCO 400 '!$D$24*(J867)+'CAFCO 400 '!$D$25)*U867^2)+(('CAFCO 400 '!$D$26*(J867^2)+'CAFCO 400 '!$D$27*J867+'CAFCO 400 '!$D$28)*U867)+('CAFCO 400 '!$D$29*(J867^2)+'CAFCO 400 '!$D$30*J867+'CAFCO 400 '!$D$31)),0),0)+IF(AND(L867="Cafco 300",J867&gt;=95,J867&lt;=240,C867="Cj",I867=90),VLOOKUP(T867,'CAFCO 300 IDIEM TABLAS'!$B$4:$D$23,2,FALSE),0)+IF(AND(L867="Cafco 300",J867&gt;=95,J867&lt;=240,C867="Cj",I867=120),VLOOKUP(T867,'CAFCO 300 IDIEM TABLAS'!$B$4:$D$23,3,FALSE),0)+IF(AND(L867="Cafco 300",J867&gt;=95,J867&lt;=400,G867=3,C867="IN",I867=90),VLOOKUP(T867,'CAFCO 300 IDIEM TABLAS'!$F$4:$H$35,2,FALSE),0)+IF(AND(L867="Cafco 300",J867&gt;=95,J867&lt;=400,G867=3,C867="IN",I867=120),VLOOKUP(T867,'CAFCO 300 IDIEM TABLAS'!$F$4:$H$35,3,FALSE),0)+IF(AND(L867="Cafco 300",J867&gt;=95,J867&lt;=450,G867=4,C867="IN",I867=90),VLOOKUP(T867,'CAFCO 300 IDIEM TABLAS'!$J$4:$L$40,2,FALSE),0)+IF(AND(L867="Cafco 300",J867&gt;=95,J867&lt;=450,G867=4,C867="IN",I867=120),VLOOKUP(T867,'CAFCO 300 IDIEM TABLAS'!$J$4:$L$40,3,FALSE),0)+IF(AND(M867="Ensayo Idiem",L867="Cafco 400",C867="IN",G867=4,I867=90),VLOOKUP(T867,'CAFCO 400 ENSAYO'!$B$7:$D$43,2,FALSE),0)+IF(AND(M867="Ensayo Idiem",L867="Cafco 400",C867="IN",G867=4,I867=120),VLOOKUP(T867,'CAFCO 400 ENSAYO'!$B$7:$D$43,3,FALSE),0)</f>
        <v>0</v>
      </c>
      <c r="O867" s="96">
        <f t="shared" si="90"/>
        <v>0</v>
      </c>
      <c r="P867" s="132" t="str">
        <f t="shared" si="85"/>
        <v>N/A</v>
      </c>
      <c r="Q867" s="132" t="str">
        <f t="shared" si="86"/>
        <v>N/A</v>
      </c>
      <c r="R867" s="132" t="str">
        <f t="shared" si="87"/>
        <v>NO CERT.</v>
      </c>
      <c r="S867" s="132" t="e">
        <f t="shared" si="88"/>
        <v>#N/A</v>
      </c>
      <c r="T867" s="133" t="e">
        <f>+IF(J867=LOOKUP(J867,'CAFCO 300 IDIEM TABLAS'!$J$4:$J$40),'CALCULO MORTERO'!J867,MROUND('CALCULO MORTERO'!J867,10))</f>
        <v>#N/A</v>
      </c>
      <c r="U867" s="134">
        <f t="shared" si="89"/>
        <v>0</v>
      </c>
    </row>
    <row r="868" spans="1:21" x14ac:dyDescent="0.25">
      <c r="A868" s="118">
        <f>+CUBICACION!D862</f>
        <v>0</v>
      </c>
      <c r="B868" s="819">
        <f>+CUBICACION!E862</f>
        <v>0</v>
      </c>
      <c r="C868" s="675">
        <f>+CUBICACION!F862</f>
        <v>0</v>
      </c>
      <c r="D868" s="118"/>
      <c r="E868" s="118"/>
      <c r="F868" s="820"/>
      <c r="G868" s="675">
        <f>+CUBICACION!J862</f>
        <v>0</v>
      </c>
      <c r="H868" s="118"/>
      <c r="I868" s="821">
        <f>+CUBICACION!L862</f>
        <v>0</v>
      </c>
      <c r="J868" s="64">
        <f>+CUBICACION!M862</f>
        <v>0</v>
      </c>
      <c r="K868" s="822" t="str">
        <f>+CUBICACION!N862</f>
        <v/>
      </c>
      <c r="L868" s="118">
        <f>+CUBICACION!O862</f>
        <v>0</v>
      </c>
      <c r="M868" s="823">
        <f>+CUBICACION!P862</f>
        <v>0</v>
      </c>
      <c r="N868" s="902">
        <f>ROUND(IF(AND(L868="Blaze Shield II",M868="Software Idiem",C868="IN",G868=4),((('BLAZE SHIELD II'!$D$4*('CALCULO MORTERO'!I868^2)+'BLAZE SHIELD II'!$D$5*'CALCULO MORTERO'!I868+'BLAZE SHIELD II'!$D$6)*LN(J868))+('BLAZE SHIELD II'!$D$7*('CALCULO MORTERO'!I868^2)+'BLAZE SHIELD II'!$D$8*'CALCULO MORTERO'!I868+'BLAZE SHIELD II'!$D$9)),0)+IF(AND(L868="Blaze Shield II",M868="Software Idiem",C868="Cj"),((('BLAZE SHIELD II'!$H$4*('CALCULO MORTERO'!I868^2)+'BLAZE SHIELD II'!$H$5*'CALCULO MORTERO'!I868+'BLAZE SHIELD II'!$H$6)*LN(J868))+('BLAZE SHIELD II'!$H$7*('CALCULO MORTERO'!I868^2)+'BLAZE SHIELD II'!$H$8*'CALCULO MORTERO'!I868+'BLAZE SHIELD II'!$H$9)),0)+IF(AND(L868="Blaze Shield II",M868="Software Idiem",C868="C"),((('BLAZE SHIELD II'!$L$4*('CALCULO MORTERO'!I868^2)+'BLAZE SHIELD II'!$L$5*'CALCULO MORTERO'!I868+'BLAZE SHIELD II'!$L$6)*LN(J868))+('BLAZE SHIELD II'!$L$7*('CALCULO MORTERO'!I868^2)+'BLAZE SHIELD II'!$L$8*'CALCULO MORTERO'!I868+'BLAZE SHIELD II'!$L$9)),0)+IF(AND(L868="Blaze Shield II",M868="Software Idiem",C868="L"),((('BLAZE SHIELD II'!$L$4*('CALCULO MORTERO'!I868^2)+'BLAZE SHIELD II'!$L$5*'CALCULO MORTERO'!I868+'BLAZE SHIELD II'!$L$6)*LN(J868))+('BLAZE SHIELD II'!$L$7*('CALCULO MORTERO'!I868^2)+'BLAZE SHIELD II'!$L$8*'CALCULO MORTERO'!I868+'BLAZE SHIELD II'!$L$9)),0)+IF(AND(L868="Blaze Shield II",M868="Software Idiem",C868="IN",G868=3),((('BLAZE SHIELD II'!$H$14*('CALCULO MORTERO'!I868^2)+'BLAZE SHIELD II'!$H$15*'CALCULO MORTERO'!I868+'BLAZE SHIELD II'!$H$16)*LN(J868))+('BLAZE SHIELD II'!$H$17*('CALCULO MORTERO'!I868^2)+'BLAZE SHIELD II'!$H$18*'CALCULO MORTERO'!I868+'BLAZE SHIELD II'!$H$19)),0),0)+ROUND(IF(AND(L868="Cafco 400",M868="Software Idiem",C868="IN",G868=4),((('CAFCO 400 '!$H$7*(J868^4)+'CAFCO 400 '!$H$8*(J868^3)+'CAFCO 400 '!$H$9*(J868^2)+'CAFCO 400 '!$H$10*J868+'CAFCO 400 '!$H$11)*U868^2)+(('CAFCO 400 '!$H$12*(J868^3)+'CAFCO 400 '!$H$13*(J868^2)+'CAFCO 400 '!$H$14*J868+'CAFCO 400 '!$H$15)*U868)+('CAFCO 400 '!$H$16*(J868^2)+'CAFCO 400 '!$H$17*J868+'CAFCO 400 '!$H$18)),0)+IF(AND(L868="Cafco 400",M868="Software Idiem",C868="Cj"),(((('CAFCO 400 '!$D$7*LN(J868)+'CAFCO 400 '!$D$8)*U868^2)+(('CAFCO 400 '!$D$9*LN(J868)+'CAFCO 400 '!$D$10)*U868)+('CAFCO 400 '!$D$11*LN(J868)+'CAFCO 400 '!$D$12))),0)+IF(AND(L868="Cafco 400",M868="Software Idiem",C868="C"),((('CAFCO 400 '!$L$7*(J868^3)+'CAFCO 400 '!$L$8*(J868^2)+'CAFCO 400 '!$L$9*J868+'CAFCO 400 '!$L$10)*U868^2)+(('CAFCO 400 '!$L$11*(J868^3)+'CAFCO 400 '!$L$12*(J868^2)+'CAFCO 400 '!$L$13*J868+'CAFCO 400 '!$L$14)*U868)+('CAFCO 400 '!$L$15*LN(J868)+'CAFCO 400 '!$L$16)),0)+IF(AND(L868="Cafco 400",M868="Software Idiem",C868="L"),((('CAFCO 400 '!$L$7*(J868^3)+'CAFCO 400 '!$L$8*(J868^2)+'CAFCO 400 '!$L$9*J868+'CAFCO 400 '!$L$10)*U868^2)+(('CAFCO 400 '!$L$11*(J868^3)+'CAFCO 400 '!$L$12*(J868^2)+'CAFCO 400 '!$L$13*J868+'CAFCO 400 '!$L$14)*U868)+('CAFCO 400 '!$L$15*LN(J868)+'CAFCO 400 '!$L$16)),0)+IF(AND(L868="Cafco 400",M868="Software Idiem",C868="IN",G868=3),((('CAFCO 400 '!$D$23*(J868^2)+'CAFCO 400 '!$D$24*(J868)+'CAFCO 400 '!$D$25)*U868^2)+(('CAFCO 400 '!$D$26*(J868^2)+'CAFCO 400 '!$D$27*J868+'CAFCO 400 '!$D$28)*U868)+('CAFCO 400 '!$D$29*(J868^2)+'CAFCO 400 '!$D$30*J868+'CAFCO 400 '!$D$31)),0),0)+IF(AND(L868="Cafco 300",J868&gt;=95,J868&lt;=240,C868="Cj",I868=90),VLOOKUP(T868,'CAFCO 300 IDIEM TABLAS'!$B$4:$D$23,2,FALSE),0)+IF(AND(L868="Cafco 300",J868&gt;=95,J868&lt;=240,C868="Cj",I868=120),VLOOKUP(T868,'CAFCO 300 IDIEM TABLAS'!$B$4:$D$23,3,FALSE),0)+IF(AND(L868="Cafco 300",J868&gt;=95,J868&lt;=400,G868=3,C868="IN",I868=90),VLOOKUP(T868,'CAFCO 300 IDIEM TABLAS'!$F$4:$H$35,2,FALSE),0)+IF(AND(L868="Cafco 300",J868&gt;=95,J868&lt;=400,G868=3,C868="IN",I868=120),VLOOKUP(T868,'CAFCO 300 IDIEM TABLAS'!$F$4:$H$35,3,FALSE),0)+IF(AND(L868="Cafco 300",J868&gt;=95,J868&lt;=450,G868=4,C868="IN",I868=90),VLOOKUP(T868,'CAFCO 300 IDIEM TABLAS'!$J$4:$L$40,2,FALSE),0)+IF(AND(L868="Cafco 300",J868&gt;=95,J868&lt;=450,G868=4,C868="IN",I868=120),VLOOKUP(T868,'CAFCO 300 IDIEM TABLAS'!$J$4:$L$40,3,FALSE),0)+IF(AND(M868="Ensayo Idiem",L868="Cafco 400",C868="IN",G868=4,I868=90),VLOOKUP(T868,'CAFCO 400 ENSAYO'!$B$7:$D$43,2,FALSE),0)+IF(AND(M868="Ensayo Idiem",L868="Cafco 400",C868="IN",G868=4,I868=120),VLOOKUP(T868,'CAFCO 400 ENSAYO'!$B$7:$D$43,3,FALSE),0)</f>
        <v>0</v>
      </c>
      <c r="O868" s="96">
        <f t="shared" si="90"/>
        <v>0</v>
      </c>
      <c r="P868" s="95" t="str">
        <f t="shared" si="85"/>
        <v>N/A</v>
      </c>
      <c r="Q868" s="95" t="str">
        <f t="shared" si="86"/>
        <v>N/A</v>
      </c>
      <c r="R868" s="95" t="str">
        <f t="shared" si="87"/>
        <v>NO CERT.</v>
      </c>
      <c r="S868" s="95" t="e">
        <f t="shared" si="88"/>
        <v>#N/A</v>
      </c>
      <c r="T868" s="119" t="e">
        <f>+IF(J868=LOOKUP(J868,'CAFCO 300 IDIEM TABLAS'!$J$4:$J$40),'CALCULO MORTERO'!J868,MROUND('CALCULO MORTERO'!J868,10))</f>
        <v>#N/A</v>
      </c>
      <c r="U868" s="118">
        <f t="shared" si="89"/>
        <v>0</v>
      </c>
    </row>
    <row r="869" spans="1:21" x14ac:dyDescent="0.25">
      <c r="A869" s="118">
        <f>+CUBICACION!D863</f>
        <v>0</v>
      </c>
      <c r="B869" s="819">
        <f>+CUBICACION!E863</f>
        <v>0</v>
      </c>
      <c r="C869" s="675">
        <f>+CUBICACION!F863</f>
        <v>0</v>
      </c>
      <c r="D869" s="118"/>
      <c r="E869" s="118"/>
      <c r="F869" s="820"/>
      <c r="G869" s="675">
        <f>+CUBICACION!J863</f>
        <v>0</v>
      </c>
      <c r="H869" s="118"/>
      <c r="I869" s="821">
        <f>+CUBICACION!L863</f>
        <v>0</v>
      </c>
      <c r="J869" s="64">
        <f>+CUBICACION!M863</f>
        <v>0</v>
      </c>
      <c r="K869" s="822" t="str">
        <f>+CUBICACION!N863</f>
        <v/>
      </c>
      <c r="L869" s="118">
        <f>+CUBICACION!O863</f>
        <v>0</v>
      </c>
      <c r="M869" s="823">
        <f>+CUBICACION!P863</f>
        <v>0</v>
      </c>
      <c r="N869" s="902">
        <f>ROUND(IF(AND(L869="Blaze Shield II",M869="Software Idiem",C869="IN",G869=4),((('BLAZE SHIELD II'!$D$4*('CALCULO MORTERO'!I869^2)+'BLAZE SHIELD II'!$D$5*'CALCULO MORTERO'!I869+'BLAZE SHIELD II'!$D$6)*LN(J869))+('BLAZE SHIELD II'!$D$7*('CALCULO MORTERO'!I869^2)+'BLAZE SHIELD II'!$D$8*'CALCULO MORTERO'!I869+'BLAZE SHIELD II'!$D$9)),0)+IF(AND(L869="Blaze Shield II",M869="Software Idiem",C869="Cj"),((('BLAZE SHIELD II'!$H$4*('CALCULO MORTERO'!I869^2)+'BLAZE SHIELD II'!$H$5*'CALCULO MORTERO'!I869+'BLAZE SHIELD II'!$H$6)*LN(J869))+('BLAZE SHIELD II'!$H$7*('CALCULO MORTERO'!I869^2)+'BLAZE SHIELD II'!$H$8*'CALCULO MORTERO'!I869+'BLAZE SHIELD II'!$H$9)),0)+IF(AND(L869="Blaze Shield II",M869="Software Idiem",C869="C"),((('BLAZE SHIELD II'!$L$4*('CALCULO MORTERO'!I869^2)+'BLAZE SHIELD II'!$L$5*'CALCULO MORTERO'!I869+'BLAZE SHIELD II'!$L$6)*LN(J869))+('BLAZE SHIELD II'!$L$7*('CALCULO MORTERO'!I869^2)+'BLAZE SHIELD II'!$L$8*'CALCULO MORTERO'!I869+'BLAZE SHIELD II'!$L$9)),0)+IF(AND(L869="Blaze Shield II",M869="Software Idiem",C869="L"),((('BLAZE SHIELD II'!$L$4*('CALCULO MORTERO'!I869^2)+'BLAZE SHIELD II'!$L$5*'CALCULO MORTERO'!I869+'BLAZE SHIELD II'!$L$6)*LN(J869))+('BLAZE SHIELD II'!$L$7*('CALCULO MORTERO'!I869^2)+'BLAZE SHIELD II'!$L$8*'CALCULO MORTERO'!I869+'BLAZE SHIELD II'!$L$9)),0)+IF(AND(L869="Blaze Shield II",M869="Software Idiem",C869="IN",G869=3),((('BLAZE SHIELD II'!$H$14*('CALCULO MORTERO'!I869^2)+'BLAZE SHIELD II'!$H$15*'CALCULO MORTERO'!I869+'BLAZE SHIELD II'!$H$16)*LN(J869))+('BLAZE SHIELD II'!$H$17*('CALCULO MORTERO'!I869^2)+'BLAZE SHIELD II'!$H$18*'CALCULO MORTERO'!I869+'BLAZE SHIELD II'!$H$19)),0),0)+ROUND(IF(AND(L869="Cafco 400",M869="Software Idiem",C869="IN",G869=4),((('CAFCO 400 '!$H$7*(J869^4)+'CAFCO 400 '!$H$8*(J869^3)+'CAFCO 400 '!$H$9*(J869^2)+'CAFCO 400 '!$H$10*J869+'CAFCO 400 '!$H$11)*U869^2)+(('CAFCO 400 '!$H$12*(J869^3)+'CAFCO 400 '!$H$13*(J869^2)+'CAFCO 400 '!$H$14*J869+'CAFCO 400 '!$H$15)*U869)+('CAFCO 400 '!$H$16*(J869^2)+'CAFCO 400 '!$H$17*J869+'CAFCO 400 '!$H$18)),0)+IF(AND(L869="Cafco 400",M869="Software Idiem",C869="Cj"),(((('CAFCO 400 '!$D$7*LN(J869)+'CAFCO 400 '!$D$8)*U869^2)+(('CAFCO 400 '!$D$9*LN(J869)+'CAFCO 400 '!$D$10)*U869)+('CAFCO 400 '!$D$11*LN(J869)+'CAFCO 400 '!$D$12))),0)+IF(AND(L869="Cafco 400",M869="Software Idiem",C869="C"),((('CAFCO 400 '!$L$7*(J869^3)+'CAFCO 400 '!$L$8*(J869^2)+'CAFCO 400 '!$L$9*J869+'CAFCO 400 '!$L$10)*U869^2)+(('CAFCO 400 '!$L$11*(J869^3)+'CAFCO 400 '!$L$12*(J869^2)+'CAFCO 400 '!$L$13*J869+'CAFCO 400 '!$L$14)*U869)+('CAFCO 400 '!$L$15*LN(J869)+'CAFCO 400 '!$L$16)),0)+IF(AND(L869="Cafco 400",M869="Software Idiem",C869="L"),((('CAFCO 400 '!$L$7*(J869^3)+'CAFCO 400 '!$L$8*(J869^2)+'CAFCO 400 '!$L$9*J869+'CAFCO 400 '!$L$10)*U869^2)+(('CAFCO 400 '!$L$11*(J869^3)+'CAFCO 400 '!$L$12*(J869^2)+'CAFCO 400 '!$L$13*J869+'CAFCO 400 '!$L$14)*U869)+('CAFCO 400 '!$L$15*LN(J869)+'CAFCO 400 '!$L$16)),0)+IF(AND(L869="Cafco 400",M869="Software Idiem",C869="IN",G869=3),((('CAFCO 400 '!$D$23*(J869^2)+'CAFCO 400 '!$D$24*(J869)+'CAFCO 400 '!$D$25)*U869^2)+(('CAFCO 400 '!$D$26*(J869^2)+'CAFCO 400 '!$D$27*J869+'CAFCO 400 '!$D$28)*U869)+('CAFCO 400 '!$D$29*(J869^2)+'CAFCO 400 '!$D$30*J869+'CAFCO 400 '!$D$31)),0),0)+IF(AND(L869="Cafco 300",J869&gt;=95,J869&lt;=240,C869="Cj",I869=90),VLOOKUP(T869,'CAFCO 300 IDIEM TABLAS'!$B$4:$D$23,2,FALSE),0)+IF(AND(L869="Cafco 300",J869&gt;=95,J869&lt;=240,C869="Cj",I869=120),VLOOKUP(T869,'CAFCO 300 IDIEM TABLAS'!$B$4:$D$23,3,FALSE),0)+IF(AND(L869="Cafco 300",J869&gt;=95,J869&lt;=400,G869=3,C869="IN",I869=90),VLOOKUP(T869,'CAFCO 300 IDIEM TABLAS'!$F$4:$H$35,2,FALSE),0)+IF(AND(L869="Cafco 300",J869&gt;=95,J869&lt;=400,G869=3,C869="IN",I869=120),VLOOKUP(T869,'CAFCO 300 IDIEM TABLAS'!$F$4:$H$35,3,FALSE),0)+IF(AND(L869="Cafco 300",J869&gt;=95,J869&lt;=450,G869=4,C869="IN",I869=90),VLOOKUP(T869,'CAFCO 300 IDIEM TABLAS'!$J$4:$L$40,2,FALSE),0)+IF(AND(L869="Cafco 300",J869&gt;=95,J869&lt;=450,G869=4,C869="IN",I869=120),VLOOKUP(T869,'CAFCO 300 IDIEM TABLAS'!$J$4:$L$40,3,FALSE),0)+IF(AND(M869="Ensayo Idiem",L869="Cafco 400",C869="IN",G869=4,I869=90),VLOOKUP(T869,'CAFCO 400 ENSAYO'!$B$7:$D$43,2,FALSE),0)+IF(AND(M869="Ensayo Idiem",L869="Cafco 400",C869="IN",G869=4,I869=120),VLOOKUP(T869,'CAFCO 400 ENSAYO'!$B$7:$D$43,3,FALSE),0)</f>
        <v>0</v>
      </c>
      <c r="O869" s="96">
        <f t="shared" si="90"/>
        <v>0</v>
      </c>
      <c r="P869" s="132" t="str">
        <f t="shared" si="85"/>
        <v>N/A</v>
      </c>
      <c r="Q869" s="132" t="str">
        <f t="shared" si="86"/>
        <v>N/A</v>
      </c>
      <c r="R869" s="132" t="str">
        <f t="shared" si="87"/>
        <v>NO CERT.</v>
      </c>
      <c r="S869" s="132" t="e">
        <f t="shared" si="88"/>
        <v>#N/A</v>
      </c>
      <c r="T869" s="133" t="e">
        <f>+IF(J869=LOOKUP(J869,'CAFCO 300 IDIEM TABLAS'!$J$4:$J$40),'CALCULO MORTERO'!J869,MROUND('CALCULO MORTERO'!J869,10))</f>
        <v>#N/A</v>
      </c>
      <c r="U869" s="134">
        <f t="shared" si="89"/>
        <v>0</v>
      </c>
    </row>
    <row r="870" spans="1:21" x14ac:dyDescent="0.25">
      <c r="A870" s="118">
        <f>+CUBICACION!D864</f>
        <v>0</v>
      </c>
      <c r="B870" s="819">
        <f>+CUBICACION!E864</f>
        <v>0</v>
      </c>
      <c r="C870" s="675">
        <f>+CUBICACION!F864</f>
        <v>0</v>
      </c>
      <c r="D870" s="118"/>
      <c r="E870" s="118"/>
      <c r="F870" s="820"/>
      <c r="G870" s="675">
        <f>+CUBICACION!J864</f>
        <v>0</v>
      </c>
      <c r="H870" s="118"/>
      <c r="I870" s="821">
        <f>+CUBICACION!L864</f>
        <v>0</v>
      </c>
      <c r="J870" s="64">
        <f>+CUBICACION!M864</f>
        <v>0</v>
      </c>
      <c r="K870" s="822" t="str">
        <f>+CUBICACION!N864</f>
        <v/>
      </c>
      <c r="L870" s="118">
        <f>+CUBICACION!O864</f>
        <v>0</v>
      </c>
      <c r="M870" s="823">
        <f>+CUBICACION!P864</f>
        <v>0</v>
      </c>
      <c r="N870" s="902">
        <f>ROUND(IF(AND(L870="Blaze Shield II",M870="Software Idiem",C870="IN",G870=4),((('BLAZE SHIELD II'!$D$4*('CALCULO MORTERO'!I870^2)+'BLAZE SHIELD II'!$D$5*'CALCULO MORTERO'!I870+'BLAZE SHIELD II'!$D$6)*LN(J870))+('BLAZE SHIELD II'!$D$7*('CALCULO MORTERO'!I870^2)+'BLAZE SHIELD II'!$D$8*'CALCULO MORTERO'!I870+'BLAZE SHIELD II'!$D$9)),0)+IF(AND(L870="Blaze Shield II",M870="Software Idiem",C870="Cj"),((('BLAZE SHIELD II'!$H$4*('CALCULO MORTERO'!I870^2)+'BLAZE SHIELD II'!$H$5*'CALCULO MORTERO'!I870+'BLAZE SHIELD II'!$H$6)*LN(J870))+('BLAZE SHIELD II'!$H$7*('CALCULO MORTERO'!I870^2)+'BLAZE SHIELD II'!$H$8*'CALCULO MORTERO'!I870+'BLAZE SHIELD II'!$H$9)),0)+IF(AND(L870="Blaze Shield II",M870="Software Idiem",C870="C"),((('BLAZE SHIELD II'!$L$4*('CALCULO MORTERO'!I870^2)+'BLAZE SHIELD II'!$L$5*'CALCULO MORTERO'!I870+'BLAZE SHIELD II'!$L$6)*LN(J870))+('BLAZE SHIELD II'!$L$7*('CALCULO MORTERO'!I870^2)+'BLAZE SHIELD II'!$L$8*'CALCULO MORTERO'!I870+'BLAZE SHIELD II'!$L$9)),0)+IF(AND(L870="Blaze Shield II",M870="Software Idiem",C870="L"),((('BLAZE SHIELD II'!$L$4*('CALCULO MORTERO'!I870^2)+'BLAZE SHIELD II'!$L$5*'CALCULO MORTERO'!I870+'BLAZE SHIELD II'!$L$6)*LN(J870))+('BLAZE SHIELD II'!$L$7*('CALCULO MORTERO'!I870^2)+'BLAZE SHIELD II'!$L$8*'CALCULO MORTERO'!I870+'BLAZE SHIELD II'!$L$9)),0)+IF(AND(L870="Blaze Shield II",M870="Software Idiem",C870="IN",G870=3),((('BLAZE SHIELD II'!$H$14*('CALCULO MORTERO'!I870^2)+'BLAZE SHIELD II'!$H$15*'CALCULO MORTERO'!I870+'BLAZE SHIELD II'!$H$16)*LN(J870))+('BLAZE SHIELD II'!$H$17*('CALCULO MORTERO'!I870^2)+'BLAZE SHIELD II'!$H$18*'CALCULO MORTERO'!I870+'BLAZE SHIELD II'!$H$19)),0),0)+ROUND(IF(AND(L870="Cafco 400",M870="Software Idiem",C870="IN",G870=4),((('CAFCO 400 '!$H$7*(J870^4)+'CAFCO 400 '!$H$8*(J870^3)+'CAFCO 400 '!$H$9*(J870^2)+'CAFCO 400 '!$H$10*J870+'CAFCO 400 '!$H$11)*U870^2)+(('CAFCO 400 '!$H$12*(J870^3)+'CAFCO 400 '!$H$13*(J870^2)+'CAFCO 400 '!$H$14*J870+'CAFCO 400 '!$H$15)*U870)+('CAFCO 400 '!$H$16*(J870^2)+'CAFCO 400 '!$H$17*J870+'CAFCO 400 '!$H$18)),0)+IF(AND(L870="Cafco 400",M870="Software Idiem",C870="Cj"),(((('CAFCO 400 '!$D$7*LN(J870)+'CAFCO 400 '!$D$8)*U870^2)+(('CAFCO 400 '!$D$9*LN(J870)+'CAFCO 400 '!$D$10)*U870)+('CAFCO 400 '!$D$11*LN(J870)+'CAFCO 400 '!$D$12))),0)+IF(AND(L870="Cafco 400",M870="Software Idiem",C870="C"),((('CAFCO 400 '!$L$7*(J870^3)+'CAFCO 400 '!$L$8*(J870^2)+'CAFCO 400 '!$L$9*J870+'CAFCO 400 '!$L$10)*U870^2)+(('CAFCO 400 '!$L$11*(J870^3)+'CAFCO 400 '!$L$12*(J870^2)+'CAFCO 400 '!$L$13*J870+'CAFCO 400 '!$L$14)*U870)+('CAFCO 400 '!$L$15*LN(J870)+'CAFCO 400 '!$L$16)),0)+IF(AND(L870="Cafco 400",M870="Software Idiem",C870="L"),((('CAFCO 400 '!$L$7*(J870^3)+'CAFCO 400 '!$L$8*(J870^2)+'CAFCO 400 '!$L$9*J870+'CAFCO 400 '!$L$10)*U870^2)+(('CAFCO 400 '!$L$11*(J870^3)+'CAFCO 400 '!$L$12*(J870^2)+'CAFCO 400 '!$L$13*J870+'CAFCO 400 '!$L$14)*U870)+('CAFCO 400 '!$L$15*LN(J870)+'CAFCO 400 '!$L$16)),0)+IF(AND(L870="Cafco 400",M870="Software Idiem",C870="IN",G870=3),((('CAFCO 400 '!$D$23*(J870^2)+'CAFCO 400 '!$D$24*(J870)+'CAFCO 400 '!$D$25)*U870^2)+(('CAFCO 400 '!$D$26*(J870^2)+'CAFCO 400 '!$D$27*J870+'CAFCO 400 '!$D$28)*U870)+('CAFCO 400 '!$D$29*(J870^2)+'CAFCO 400 '!$D$30*J870+'CAFCO 400 '!$D$31)),0),0)+IF(AND(L870="Cafco 300",J870&gt;=95,J870&lt;=240,C870="Cj",I870=90),VLOOKUP(T870,'CAFCO 300 IDIEM TABLAS'!$B$4:$D$23,2,FALSE),0)+IF(AND(L870="Cafco 300",J870&gt;=95,J870&lt;=240,C870="Cj",I870=120),VLOOKUP(T870,'CAFCO 300 IDIEM TABLAS'!$B$4:$D$23,3,FALSE),0)+IF(AND(L870="Cafco 300",J870&gt;=95,J870&lt;=400,G870=3,C870="IN",I870=90),VLOOKUP(T870,'CAFCO 300 IDIEM TABLAS'!$F$4:$H$35,2,FALSE),0)+IF(AND(L870="Cafco 300",J870&gt;=95,J870&lt;=400,G870=3,C870="IN",I870=120),VLOOKUP(T870,'CAFCO 300 IDIEM TABLAS'!$F$4:$H$35,3,FALSE),0)+IF(AND(L870="Cafco 300",J870&gt;=95,J870&lt;=450,G870=4,C870="IN",I870=90),VLOOKUP(T870,'CAFCO 300 IDIEM TABLAS'!$J$4:$L$40,2,FALSE),0)+IF(AND(L870="Cafco 300",J870&gt;=95,J870&lt;=450,G870=4,C870="IN",I870=120),VLOOKUP(T870,'CAFCO 300 IDIEM TABLAS'!$J$4:$L$40,3,FALSE),0)+IF(AND(M870="Ensayo Idiem",L870="Cafco 400",C870="IN",G870=4,I870=90),VLOOKUP(T870,'CAFCO 400 ENSAYO'!$B$7:$D$43,2,FALSE),0)+IF(AND(M870="Ensayo Idiem",L870="Cafco 400",C870="IN",G870=4,I870=120),VLOOKUP(T870,'CAFCO 400 ENSAYO'!$B$7:$D$43,3,FALSE),0)</f>
        <v>0</v>
      </c>
      <c r="O870" s="96">
        <f t="shared" si="90"/>
        <v>0</v>
      </c>
      <c r="P870" s="95" t="str">
        <f t="shared" si="85"/>
        <v>N/A</v>
      </c>
      <c r="Q870" s="95" t="str">
        <f t="shared" si="86"/>
        <v>N/A</v>
      </c>
      <c r="R870" s="95" t="str">
        <f t="shared" si="87"/>
        <v>NO CERT.</v>
      </c>
      <c r="S870" s="95" t="e">
        <f t="shared" si="88"/>
        <v>#N/A</v>
      </c>
      <c r="T870" s="119" t="e">
        <f>+IF(J870=LOOKUP(J870,'CAFCO 300 IDIEM TABLAS'!$J$4:$J$40),'CALCULO MORTERO'!J870,MROUND('CALCULO MORTERO'!J870,10))</f>
        <v>#N/A</v>
      </c>
      <c r="U870" s="118">
        <f t="shared" si="89"/>
        <v>0</v>
      </c>
    </row>
    <row r="871" spans="1:21" x14ac:dyDescent="0.25">
      <c r="A871" s="118">
        <f>+CUBICACION!D865</f>
        <v>0</v>
      </c>
      <c r="B871" s="819">
        <f>+CUBICACION!E865</f>
        <v>0</v>
      </c>
      <c r="C871" s="675">
        <f>+CUBICACION!F865</f>
        <v>0</v>
      </c>
      <c r="D871" s="118"/>
      <c r="E871" s="118"/>
      <c r="F871" s="820"/>
      <c r="G871" s="675">
        <f>+CUBICACION!J865</f>
        <v>0</v>
      </c>
      <c r="H871" s="118"/>
      <c r="I871" s="821">
        <f>+CUBICACION!L865</f>
        <v>0</v>
      </c>
      <c r="J871" s="64">
        <f>+CUBICACION!M865</f>
        <v>0</v>
      </c>
      <c r="K871" s="822" t="str">
        <f>+CUBICACION!N865</f>
        <v/>
      </c>
      <c r="L871" s="118">
        <f>+CUBICACION!O865</f>
        <v>0</v>
      </c>
      <c r="M871" s="823">
        <f>+CUBICACION!P865</f>
        <v>0</v>
      </c>
      <c r="N871" s="902">
        <f>ROUND(IF(AND(L871="Blaze Shield II",M871="Software Idiem",C871="IN",G871=4),((('BLAZE SHIELD II'!$D$4*('CALCULO MORTERO'!I871^2)+'BLAZE SHIELD II'!$D$5*'CALCULO MORTERO'!I871+'BLAZE SHIELD II'!$D$6)*LN(J871))+('BLAZE SHIELD II'!$D$7*('CALCULO MORTERO'!I871^2)+'BLAZE SHIELD II'!$D$8*'CALCULO MORTERO'!I871+'BLAZE SHIELD II'!$D$9)),0)+IF(AND(L871="Blaze Shield II",M871="Software Idiem",C871="Cj"),((('BLAZE SHIELD II'!$H$4*('CALCULO MORTERO'!I871^2)+'BLAZE SHIELD II'!$H$5*'CALCULO MORTERO'!I871+'BLAZE SHIELD II'!$H$6)*LN(J871))+('BLAZE SHIELD II'!$H$7*('CALCULO MORTERO'!I871^2)+'BLAZE SHIELD II'!$H$8*'CALCULO MORTERO'!I871+'BLAZE SHIELD II'!$H$9)),0)+IF(AND(L871="Blaze Shield II",M871="Software Idiem",C871="C"),((('BLAZE SHIELD II'!$L$4*('CALCULO MORTERO'!I871^2)+'BLAZE SHIELD II'!$L$5*'CALCULO MORTERO'!I871+'BLAZE SHIELD II'!$L$6)*LN(J871))+('BLAZE SHIELD II'!$L$7*('CALCULO MORTERO'!I871^2)+'BLAZE SHIELD II'!$L$8*'CALCULO MORTERO'!I871+'BLAZE SHIELD II'!$L$9)),0)+IF(AND(L871="Blaze Shield II",M871="Software Idiem",C871="L"),((('BLAZE SHIELD II'!$L$4*('CALCULO MORTERO'!I871^2)+'BLAZE SHIELD II'!$L$5*'CALCULO MORTERO'!I871+'BLAZE SHIELD II'!$L$6)*LN(J871))+('BLAZE SHIELD II'!$L$7*('CALCULO MORTERO'!I871^2)+'BLAZE SHIELD II'!$L$8*'CALCULO MORTERO'!I871+'BLAZE SHIELD II'!$L$9)),0)+IF(AND(L871="Blaze Shield II",M871="Software Idiem",C871="IN",G871=3),((('BLAZE SHIELD II'!$H$14*('CALCULO MORTERO'!I871^2)+'BLAZE SHIELD II'!$H$15*'CALCULO MORTERO'!I871+'BLAZE SHIELD II'!$H$16)*LN(J871))+('BLAZE SHIELD II'!$H$17*('CALCULO MORTERO'!I871^2)+'BLAZE SHIELD II'!$H$18*'CALCULO MORTERO'!I871+'BLAZE SHIELD II'!$H$19)),0),0)+ROUND(IF(AND(L871="Cafco 400",M871="Software Idiem",C871="IN",G871=4),((('CAFCO 400 '!$H$7*(J871^4)+'CAFCO 400 '!$H$8*(J871^3)+'CAFCO 400 '!$H$9*(J871^2)+'CAFCO 400 '!$H$10*J871+'CAFCO 400 '!$H$11)*U871^2)+(('CAFCO 400 '!$H$12*(J871^3)+'CAFCO 400 '!$H$13*(J871^2)+'CAFCO 400 '!$H$14*J871+'CAFCO 400 '!$H$15)*U871)+('CAFCO 400 '!$H$16*(J871^2)+'CAFCO 400 '!$H$17*J871+'CAFCO 400 '!$H$18)),0)+IF(AND(L871="Cafco 400",M871="Software Idiem",C871="Cj"),(((('CAFCO 400 '!$D$7*LN(J871)+'CAFCO 400 '!$D$8)*U871^2)+(('CAFCO 400 '!$D$9*LN(J871)+'CAFCO 400 '!$D$10)*U871)+('CAFCO 400 '!$D$11*LN(J871)+'CAFCO 400 '!$D$12))),0)+IF(AND(L871="Cafco 400",M871="Software Idiem",C871="C"),((('CAFCO 400 '!$L$7*(J871^3)+'CAFCO 400 '!$L$8*(J871^2)+'CAFCO 400 '!$L$9*J871+'CAFCO 400 '!$L$10)*U871^2)+(('CAFCO 400 '!$L$11*(J871^3)+'CAFCO 400 '!$L$12*(J871^2)+'CAFCO 400 '!$L$13*J871+'CAFCO 400 '!$L$14)*U871)+('CAFCO 400 '!$L$15*LN(J871)+'CAFCO 400 '!$L$16)),0)+IF(AND(L871="Cafco 400",M871="Software Idiem",C871="L"),((('CAFCO 400 '!$L$7*(J871^3)+'CAFCO 400 '!$L$8*(J871^2)+'CAFCO 400 '!$L$9*J871+'CAFCO 400 '!$L$10)*U871^2)+(('CAFCO 400 '!$L$11*(J871^3)+'CAFCO 400 '!$L$12*(J871^2)+'CAFCO 400 '!$L$13*J871+'CAFCO 400 '!$L$14)*U871)+('CAFCO 400 '!$L$15*LN(J871)+'CAFCO 400 '!$L$16)),0)+IF(AND(L871="Cafco 400",M871="Software Idiem",C871="IN",G871=3),((('CAFCO 400 '!$D$23*(J871^2)+'CAFCO 400 '!$D$24*(J871)+'CAFCO 400 '!$D$25)*U871^2)+(('CAFCO 400 '!$D$26*(J871^2)+'CAFCO 400 '!$D$27*J871+'CAFCO 400 '!$D$28)*U871)+('CAFCO 400 '!$D$29*(J871^2)+'CAFCO 400 '!$D$30*J871+'CAFCO 400 '!$D$31)),0),0)+IF(AND(L871="Cafco 300",J871&gt;=95,J871&lt;=240,C871="Cj",I871=90),VLOOKUP(T871,'CAFCO 300 IDIEM TABLAS'!$B$4:$D$23,2,FALSE),0)+IF(AND(L871="Cafco 300",J871&gt;=95,J871&lt;=240,C871="Cj",I871=120),VLOOKUP(T871,'CAFCO 300 IDIEM TABLAS'!$B$4:$D$23,3,FALSE),0)+IF(AND(L871="Cafco 300",J871&gt;=95,J871&lt;=400,G871=3,C871="IN",I871=90),VLOOKUP(T871,'CAFCO 300 IDIEM TABLAS'!$F$4:$H$35,2,FALSE),0)+IF(AND(L871="Cafco 300",J871&gt;=95,J871&lt;=400,G871=3,C871="IN",I871=120),VLOOKUP(T871,'CAFCO 300 IDIEM TABLAS'!$F$4:$H$35,3,FALSE),0)+IF(AND(L871="Cafco 300",J871&gt;=95,J871&lt;=450,G871=4,C871="IN",I871=90),VLOOKUP(T871,'CAFCO 300 IDIEM TABLAS'!$J$4:$L$40,2,FALSE),0)+IF(AND(L871="Cafco 300",J871&gt;=95,J871&lt;=450,G871=4,C871="IN",I871=120),VLOOKUP(T871,'CAFCO 300 IDIEM TABLAS'!$J$4:$L$40,3,FALSE),0)+IF(AND(M871="Ensayo Idiem",L871="Cafco 400",C871="IN",G871=4,I871=90),VLOOKUP(T871,'CAFCO 400 ENSAYO'!$B$7:$D$43,2,FALSE),0)+IF(AND(M871="Ensayo Idiem",L871="Cafco 400",C871="IN",G871=4,I871=120),VLOOKUP(T871,'CAFCO 400 ENSAYO'!$B$7:$D$43,3,FALSE),0)</f>
        <v>0</v>
      </c>
      <c r="O871" s="96">
        <f t="shared" si="90"/>
        <v>0</v>
      </c>
      <c r="P871" s="132" t="str">
        <f t="shared" si="85"/>
        <v>N/A</v>
      </c>
      <c r="Q871" s="132" t="str">
        <f t="shared" si="86"/>
        <v>N/A</v>
      </c>
      <c r="R871" s="132" t="str">
        <f t="shared" si="87"/>
        <v>NO CERT.</v>
      </c>
      <c r="S871" s="132" t="e">
        <f t="shared" si="88"/>
        <v>#N/A</v>
      </c>
      <c r="T871" s="133" t="e">
        <f>+IF(J871=LOOKUP(J871,'CAFCO 300 IDIEM TABLAS'!$J$4:$J$40),'CALCULO MORTERO'!J871,MROUND('CALCULO MORTERO'!J871,10))</f>
        <v>#N/A</v>
      </c>
      <c r="U871" s="134">
        <f t="shared" si="89"/>
        <v>0</v>
      </c>
    </row>
    <row r="872" spans="1:21" x14ac:dyDescent="0.25">
      <c r="A872" s="118">
        <f>+CUBICACION!D866</f>
        <v>0</v>
      </c>
      <c r="B872" s="819">
        <f>+CUBICACION!E866</f>
        <v>0</v>
      </c>
      <c r="C872" s="675">
        <f>+CUBICACION!F866</f>
        <v>0</v>
      </c>
      <c r="D872" s="118"/>
      <c r="E872" s="118"/>
      <c r="F872" s="820"/>
      <c r="G872" s="675">
        <f>+CUBICACION!J866</f>
        <v>0</v>
      </c>
      <c r="H872" s="118"/>
      <c r="I872" s="821">
        <f>+CUBICACION!L866</f>
        <v>0</v>
      </c>
      <c r="J872" s="64">
        <f>+CUBICACION!M866</f>
        <v>0</v>
      </c>
      <c r="K872" s="822" t="str">
        <f>+CUBICACION!N866</f>
        <v/>
      </c>
      <c r="L872" s="118">
        <f>+CUBICACION!O866</f>
        <v>0</v>
      </c>
      <c r="M872" s="823">
        <f>+CUBICACION!P866</f>
        <v>0</v>
      </c>
      <c r="N872" s="902">
        <f>ROUND(IF(AND(L872="Blaze Shield II",M872="Software Idiem",C872="IN",G872=4),((('BLAZE SHIELD II'!$D$4*('CALCULO MORTERO'!I872^2)+'BLAZE SHIELD II'!$D$5*'CALCULO MORTERO'!I872+'BLAZE SHIELD II'!$D$6)*LN(J872))+('BLAZE SHIELD II'!$D$7*('CALCULO MORTERO'!I872^2)+'BLAZE SHIELD II'!$D$8*'CALCULO MORTERO'!I872+'BLAZE SHIELD II'!$D$9)),0)+IF(AND(L872="Blaze Shield II",M872="Software Idiem",C872="Cj"),((('BLAZE SHIELD II'!$H$4*('CALCULO MORTERO'!I872^2)+'BLAZE SHIELD II'!$H$5*'CALCULO MORTERO'!I872+'BLAZE SHIELD II'!$H$6)*LN(J872))+('BLAZE SHIELD II'!$H$7*('CALCULO MORTERO'!I872^2)+'BLAZE SHIELD II'!$H$8*'CALCULO MORTERO'!I872+'BLAZE SHIELD II'!$H$9)),0)+IF(AND(L872="Blaze Shield II",M872="Software Idiem",C872="C"),((('BLAZE SHIELD II'!$L$4*('CALCULO MORTERO'!I872^2)+'BLAZE SHIELD II'!$L$5*'CALCULO MORTERO'!I872+'BLAZE SHIELD II'!$L$6)*LN(J872))+('BLAZE SHIELD II'!$L$7*('CALCULO MORTERO'!I872^2)+'BLAZE SHIELD II'!$L$8*'CALCULO MORTERO'!I872+'BLAZE SHIELD II'!$L$9)),0)+IF(AND(L872="Blaze Shield II",M872="Software Idiem",C872="L"),((('BLAZE SHIELD II'!$L$4*('CALCULO MORTERO'!I872^2)+'BLAZE SHIELD II'!$L$5*'CALCULO MORTERO'!I872+'BLAZE SHIELD II'!$L$6)*LN(J872))+('BLAZE SHIELD II'!$L$7*('CALCULO MORTERO'!I872^2)+'BLAZE SHIELD II'!$L$8*'CALCULO MORTERO'!I872+'BLAZE SHIELD II'!$L$9)),0)+IF(AND(L872="Blaze Shield II",M872="Software Idiem",C872="IN",G872=3),((('BLAZE SHIELD II'!$H$14*('CALCULO MORTERO'!I872^2)+'BLAZE SHIELD II'!$H$15*'CALCULO MORTERO'!I872+'BLAZE SHIELD II'!$H$16)*LN(J872))+('BLAZE SHIELD II'!$H$17*('CALCULO MORTERO'!I872^2)+'BLAZE SHIELD II'!$H$18*'CALCULO MORTERO'!I872+'BLAZE SHIELD II'!$H$19)),0),0)+ROUND(IF(AND(L872="Cafco 400",M872="Software Idiem",C872="IN",G872=4),((('CAFCO 400 '!$H$7*(J872^4)+'CAFCO 400 '!$H$8*(J872^3)+'CAFCO 400 '!$H$9*(J872^2)+'CAFCO 400 '!$H$10*J872+'CAFCO 400 '!$H$11)*U872^2)+(('CAFCO 400 '!$H$12*(J872^3)+'CAFCO 400 '!$H$13*(J872^2)+'CAFCO 400 '!$H$14*J872+'CAFCO 400 '!$H$15)*U872)+('CAFCO 400 '!$H$16*(J872^2)+'CAFCO 400 '!$H$17*J872+'CAFCO 400 '!$H$18)),0)+IF(AND(L872="Cafco 400",M872="Software Idiem",C872="Cj"),(((('CAFCO 400 '!$D$7*LN(J872)+'CAFCO 400 '!$D$8)*U872^2)+(('CAFCO 400 '!$D$9*LN(J872)+'CAFCO 400 '!$D$10)*U872)+('CAFCO 400 '!$D$11*LN(J872)+'CAFCO 400 '!$D$12))),0)+IF(AND(L872="Cafco 400",M872="Software Idiem",C872="C"),((('CAFCO 400 '!$L$7*(J872^3)+'CAFCO 400 '!$L$8*(J872^2)+'CAFCO 400 '!$L$9*J872+'CAFCO 400 '!$L$10)*U872^2)+(('CAFCO 400 '!$L$11*(J872^3)+'CAFCO 400 '!$L$12*(J872^2)+'CAFCO 400 '!$L$13*J872+'CAFCO 400 '!$L$14)*U872)+('CAFCO 400 '!$L$15*LN(J872)+'CAFCO 400 '!$L$16)),0)+IF(AND(L872="Cafco 400",M872="Software Idiem",C872="L"),((('CAFCO 400 '!$L$7*(J872^3)+'CAFCO 400 '!$L$8*(J872^2)+'CAFCO 400 '!$L$9*J872+'CAFCO 400 '!$L$10)*U872^2)+(('CAFCO 400 '!$L$11*(J872^3)+'CAFCO 400 '!$L$12*(J872^2)+'CAFCO 400 '!$L$13*J872+'CAFCO 400 '!$L$14)*U872)+('CAFCO 400 '!$L$15*LN(J872)+'CAFCO 400 '!$L$16)),0)+IF(AND(L872="Cafco 400",M872="Software Idiem",C872="IN",G872=3),((('CAFCO 400 '!$D$23*(J872^2)+'CAFCO 400 '!$D$24*(J872)+'CAFCO 400 '!$D$25)*U872^2)+(('CAFCO 400 '!$D$26*(J872^2)+'CAFCO 400 '!$D$27*J872+'CAFCO 400 '!$D$28)*U872)+('CAFCO 400 '!$D$29*(J872^2)+'CAFCO 400 '!$D$30*J872+'CAFCO 400 '!$D$31)),0),0)+IF(AND(L872="Cafco 300",J872&gt;=95,J872&lt;=240,C872="Cj",I872=90),VLOOKUP(T872,'CAFCO 300 IDIEM TABLAS'!$B$4:$D$23,2,FALSE),0)+IF(AND(L872="Cafco 300",J872&gt;=95,J872&lt;=240,C872="Cj",I872=120),VLOOKUP(T872,'CAFCO 300 IDIEM TABLAS'!$B$4:$D$23,3,FALSE),0)+IF(AND(L872="Cafco 300",J872&gt;=95,J872&lt;=400,G872=3,C872="IN",I872=90),VLOOKUP(T872,'CAFCO 300 IDIEM TABLAS'!$F$4:$H$35,2,FALSE),0)+IF(AND(L872="Cafco 300",J872&gt;=95,J872&lt;=400,G872=3,C872="IN",I872=120),VLOOKUP(T872,'CAFCO 300 IDIEM TABLAS'!$F$4:$H$35,3,FALSE),0)+IF(AND(L872="Cafco 300",J872&gt;=95,J872&lt;=450,G872=4,C872="IN",I872=90),VLOOKUP(T872,'CAFCO 300 IDIEM TABLAS'!$J$4:$L$40,2,FALSE),0)+IF(AND(L872="Cafco 300",J872&gt;=95,J872&lt;=450,G872=4,C872="IN",I872=120),VLOOKUP(T872,'CAFCO 300 IDIEM TABLAS'!$J$4:$L$40,3,FALSE),0)+IF(AND(M872="Ensayo Idiem",L872="Cafco 400",C872="IN",G872=4,I872=90),VLOOKUP(T872,'CAFCO 400 ENSAYO'!$B$7:$D$43,2,FALSE),0)+IF(AND(M872="Ensayo Idiem",L872="Cafco 400",C872="IN",G872=4,I872=120),VLOOKUP(T872,'CAFCO 400 ENSAYO'!$B$7:$D$43,3,FALSE),0)</f>
        <v>0</v>
      </c>
      <c r="O872" s="96">
        <f t="shared" si="90"/>
        <v>0</v>
      </c>
      <c r="P872" s="95" t="str">
        <f t="shared" si="85"/>
        <v>N/A</v>
      </c>
      <c r="Q872" s="95" t="str">
        <f t="shared" si="86"/>
        <v>N/A</v>
      </c>
      <c r="R872" s="95" t="str">
        <f t="shared" si="87"/>
        <v>NO CERT.</v>
      </c>
      <c r="S872" s="95" t="e">
        <f t="shared" si="88"/>
        <v>#N/A</v>
      </c>
      <c r="T872" s="119" t="e">
        <f>+IF(J872=LOOKUP(J872,'CAFCO 300 IDIEM TABLAS'!$J$4:$J$40),'CALCULO MORTERO'!J872,MROUND('CALCULO MORTERO'!J872,10))</f>
        <v>#N/A</v>
      </c>
      <c r="U872" s="118">
        <f t="shared" si="89"/>
        <v>0</v>
      </c>
    </row>
    <row r="873" spans="1:21" x14ac:dyDescent="0.25">
      <c r="A873" s="118">
        <f>+CUBICACION!D867</f>
        <v>0</v>
      </c>
      <c r="B873" s="819">
        <f>+CUBICACION!E867</f>
        <v>0</v>
      </c>
      <c r="C873" s="675">
        <f>+CUBICACION!F867</f>
        <v>0</v>
      </c>
      <c r="D873" s="118"/>
      <c r="E873" s="118"/>
      <c r="F873" s="820"/>
      <c r="G873" s="675">
        <f>+CUBICACION!J867</f>
        <v>0</v>
      </c>
      <c r="H873" s="118"/>
      <c r="I873" s="821">
        <f>+CUBICACION!L867</f>
        <v>0</v>
      </c>
      <c r="J873" s="64">
        <f>+CUBICACION!M867</f>
        <v>0</v>
      </c>
      <c r="K873" s="822" t="str">
        <f>+CUBICACION!N867</f>
        <v/>
      </c>
      <c r="L873" s="118">
        <f>+CUBICACION!O867</f>
        <v>0</v>
      </c>
      <c r="M873" s="823">
        <f>+CUBICACION!P867</f>
        <v>0</v>
      </c>
      <c r="N873" s="902">
        <f>ROUND(IF(AND(L873="Blaze Shield II",M873="Software Idiem",C873="IN",G873=4),((('BLAZE SHIELD II'!$D$4*('CALCULO MORTERO'!I873^2)+'BLAZE SHIELD II'!$D$5*'CALCULO MORTERO'!I873+'BLAZE SHIELD II'!$D$6)*LN(J873))+('BLAZE SHIELD II'!$D$7*('CALCULO MORTERO'!I873^2)+'BLAZE SHIELD II'!$D$8*'CALCULO MORTERO'!I873+'BLAZE SHIELD II'!$D$9)),0)+IF(AND(L873="Blaze Shield II",M873="Software Idiem",C873="Cj"),((('BLAZE SHIELD II'!$H$4*('CALCULO MORTERO'!I873^2)+'BLAZE SHIELD II'!$H$5*'CALCULO MORTERO'!I873+'BLAZE SHIELD II'!$H$6)*LN(J873))+('BLAZE SHIELD II'!$H$7*('CALCULO MORTERO'!I873^2)+'BLAZE SHIELD II'!$H$8*'CALCULO MORTERO'!I873+'BLAZE SHIELD II'!$H$9)),0)+IF(AND(L873="Blaze Shield II",M873="Software Idiem",C873="C"),((('BLAZE SHIELD II'!$L$4*('CALCULO MORTERO'!I873^2)+'BLAZE SHIELD II'!$L$5*'CALCULO MORTERO'!I873+'BLAZE SHIELD II'!$L$6)*LN(J873))+('BLAZE SHIELD II'!$L$7*('CALCULO MORTERO'!I873^2)+'BLAZE SHIELD II'!$L$8*'CALCULO MORTERO'!I873+'BLAZE SHIELD II'!$L$9)),0)+IF(AND(L873="Blaze Shield II",M873="Software Idiem",C873="L"),((('BLAZE SHIELD II'!$L$4*('CALCULO MORTERO'!I873^2)+'BLAZE SHIELD II'!$L$5*'CALCULO MORTERO'!I873+'BLAZE SHIELD II'!$L$6)*LN(J873))+('BLAZE SHIELD II'!$L$7*('CALCULO MORTERO'!I873^2)+'BLAZE SHIELD II'!$L$8*'CALCULO MORTERO'!I873+'BLAZE SHIELD II'!$L$9)),0)+IF(AND(L873="Blaze Shield II",M873="Software Idiem",C873="IN",G873=3),((('BLAZE SHIELD II'!$H$14*('CALCULO MORTERO'!I873^2)+'BLAZE SHIELD II'!$H$15*'CALCULO MORTERO'!I873+'BLAZE SHIELD II'!$H$16)*LN(J873))+('BLAZE SHIELD II'!$H$17*('CALCULO MORTERO'!I873^2)+'BLAZE SHIELD II'!$H$18*'CALCULO MORTERO'!I873+'BLAZE SHIELD II'!$H$19)),0),0)+ROUND(IF(AND(L873="Cafco 400",M873="Software Idiem",C873="IN",G873=4),((('CAFCO 400 '!$H$7*(J873^4)+'CAFCO 400 '!$H$8*(J873^3)+'CAFCO 400 '!$H$9*(J873^2)+'CAFCO 400 '!$H$10*J873+'CAFCO 400 '!$H$11)*U873^2)+(('CAFCO 400 '!$H$12*(J873^3)+'CAFCO 400 '!$H$13*(J873^2)+'CAFCO 400 '!$H$14*J873+'CAFCO 400 '!$H$15)*U873)+('CAFCO 400 '!$H$16*(J873^2)+'CAFCO 400 '!$H$17*J873+'CAFCO 400 '!$H$18)),0)+IF(AND(L873="Cafco 400",M873="Software Idiem",C873="Cj"),(((('CAFCO 400 '!$D$7*LN(J873)+'CAFCO 400 '!$D$8)*U873^2)+(('CAFCO 400 '!$D$9*LN(J873)+'CAFCO 400 '!$D$10)*U873)+('CAFCO 400 '!$D$11*LN(J873)+'CAFCO 400 '!$D$12))),0)+IF(AND(L873="Cafco 400",M873="Software Idiem",C873="C"),((('CAFCO 400 '!$L$7*(J873^3)+'CAFCO 400 '!$L$8*(J873^2)+'CAFCO 400 '!$L$9*J873+'CAFCO 400 '!$L$10)*U873^2)+(('CAFCO 400 '!$L$11*(J873^3)+'CAFCO 400 '!$L$12*(J873^2)+'CAFCO 400 '!$L$13*J873+'CAFCO 400 '!$L$14)*U873)+('CAFCO 400 '!$L$15*LN(J873)+'CAFCO 400 '!$L$16)),0)+IF(AND(L873="Cafco 400",M873="Software Idiem",C873="L"),((('CAFCO 400 '!$L$7*(J873^3)+'CAFCO 400 '!$L$8*(J873^2)+'CAFCO 400 '!$L$9*J873+'CAFCO 400 '!$L$10)*U873^2)+(('CAFCO 400 '!$L$11*(J873^3)+'CAFCO 400 '!$L$12*(J873^2)+'CAFCO 400 '!$L$13*J873+'CAFCO 400 '!$L$14)*U873)+('CAFCO 400 '!$L$15*LN(J873)+'CAFCO 400 '!$L$16)),0)+IF(AND(L873="Cafco 400",M873="Software Idiem",C873="IN",G873=3),((('CAFCO 400 '!$D$23*(J873^2)+'CAFCO 400 '!$D$24*(J873)+'CAFCO 400 '!$D$25)*U873^2)+(('CAFCO 400 '!$D$26*(J873^2)+'CAFCO 400 '!$D$27*J873+'CAFCO 400 '!$D$28)*U873)+('CAFCO 400 '!$D$29*(J873^2)+'CAFCO 400 '!$D$30*J873+'CAFCO 400 '!$D$31)),0),0)+IF(AND(L873="Cafco 300",J873&gt;=95,J873&lt;=240,C873="Cj",I873=90),VLOOKUP(T873,'CAFCO 300 IDIEM TABLAS'!$B$4:$D$23,2,FALSE),0)+IF(AND(L873="Cafco 300",J873&gt;=95,J873&lt;=240,C873="Cj",I873=120),VLOOKUP(T873,'CAFCO 300 IDIEM TABLAS'!$B$4:$D$23,3,FALSE),0)+IF(AND(L873="Cafco 300",J873&gt;=95,J873&lt;=400,G873=3,C873="IN",I873=90),VLOOKUP(T873,'CAFCO 300 IDIEM TABLAS'!$F$4:$H$35,2,FALSE),0)+IF(AND(L873="Cafco 300",J873&gt;=95,J873&lt;=400,G873=3,C873="IN",I873=120),VLOOKUP(T873,'CAFCO 300 IDIEM TABLAS'!$F$4:$H$35,3,FALSE),0)+IF(AND(L873="Cafco 300",J873&gt;=95,J873&lt;=450,G873=4,C873="IN",I873=90),VLOOKUP(T873,'CAFCO 300 IDIEM TABLAS'!$J$4:$L$40,2,FALSE),0)+IF(AND(L873="Cafco 300",J873&gt;=95,J873&lt;=450,G873=4,C873="IN",I873=120),VLOOKUP(T873,'CAFCO 300 IDIEM TABLAS'!$J$4:$L$40,3,FALSE),0)+IF(AND(M873="Ensayo Idiem",L873="Cafco 400",C873="IN",G873=4,I873=90),VLOOKUP(T873,'CAFCO 400 ENSAYO'!$B$7:$D$43,2,FALSE),0)+IF(AND(M873="Ensayo Idiem",L873="Cafco 400",C873="IN",G873=4,I873=120),VLOOKUP(T873,'CAFCO 400 ENSAYO'!$B$7:$D$43,3,FALSE),0)</f>
        <v>0</v>
      </c>
      <c r="O873" s="96">
        <f t="shared" si="90"/>
        <v>0</v>
      </c>
      <c r="P873" s="132" t="str">
        <f t="shared" si="85"/>
        <v>N/A</v>
      </c>
      <c r="Q873" s="132" t="str">
        <f t="shared" si="86"/>
        <v>N/A</v>
      </c>
      <c r="R873" s="132" t="str">
        <f t="shared" si="87"/>
        <v>NO CERT.</v>
      </c>
      <c r="S873" s="132" t="e">
        <f t="shared" si="88"/>
        <v>#N/A</v>
      </c>
      <c r="T873" s="133" t="e">
        <f>+IF(J873=LOOKUP(J873,'CAFCO 300 IDIEM TABLAS'!$J$4:$J$40),'CALCULO MORTERO'!J873,MROUND('CALCULO MORTERO'!J873,10))</f>
        <v>#N/A</v>
      </c>
      <c r="U873" s="134">
        <f t="shared" si="89"/>
        <v>0</v>
      </c>
    </row>
    <row r="874" spans="1:21" x14ac:dyDescent="0.25">
      <c r="A874" s="118">
        <f>+CUBICACION!D868</f>
        <v>0</v>
      </c>
      <c r="B874" s="819">
        <f>+CUBICACION!E868</f>
        <v>0</v>
      </c>
      <c r="C874" s="675">
        <f>+CUBICACION!F868</f>
        <v>0</v>
      </c>
      <c r="D874" s="118"/>
      <c r="E874" s="118"/>
      <c r="F874" s="820"/>
      <c r="G874" s="675">
        <f>+CUBICACION!J868</f>
        <v>0</v>
      </c>
      <c r="H874" s="118"/>
      <c r="I874" s="821">
        <f>+CUBICACION!L868</f>
        <v>0</v>
      </c>
      <c r="J874" s="64">
        <f>+CUBICACION!M868</f>
        <v>0</v>
      </c>
      <c r="K874" s="822" t="str">
        <f>+CUBICACION!N868</f>
        <v/>
      </c>
      <c r="L874" s="118">
        <f>+CUBICACION!O868</f>
        <v>0</v>
      </c>
      <c r="M874" s="823">
        <f>+CUBICACION!P868</f>
        <v>0</v>
      </c>
      <c r="N874" s="902">
        <f>ROUND(IF(AND(L874="Blaze Shield II",M874="Software Idiem",C874="IN",G874=4),((('BLAZE SHIELD II'!$D$4*('CALCULO MORTERO'!I874^2)+'BLAZE SHIELD II'!$D$5*'CALCULO MORTERO'!I874+'BLAZE SHIELD II'!$D$6)*LN(J874))+('BLAZE SHIELD II'!$D$7*('CALCULO MORTERO'!I874^2)+'BLAZE SHIELD II'!$D$8*'CALCULO MORTERO'!I874+'BLAZE SHIELD II'!$D$9)),0)+IF(AND(L874="Blaze Shield II",M874="Software Idiem",C874="Cj"),((('BLAZE SHIELD II'!$H$4*('CALCULO MORTERO'!I874^2)+'BLAZE SHIELD II'!$H$5*'CALCULO MORTERO'!I874+'BLAZE SHIELD II'!$H$6)*LN(J874))+('BLAZE SHIELD II'!$H$7*('CALCULO MORTERO'!I874^2)+'BLAZE SHIELD II'!$H$8*'CALCULO MORTERO'!I874+'BLAZE SHIELD II'!$H$9)),0)+IF(AND(L874="Blaze Shield II",M874="Software Idiem",C874="C"),((('BLAZE SHIELD II'!$L$4*('CALCULO MORTERO'!I874^2)+'BLAZE SHIELD II'!$L$5*'CALCULO MORTERO'!I874+'BLAZE SHIELD II'!$L$6)*LN(J874))+('BLAZE SHIELD II'!$L$7*('CALCULO MORTERO'!I874^2)+'BLAZE SHIELD II'!$L$8*'CALCULO MORTERO'!I874+'BLAZE SHIELD II'!$L$9)),0)+IF(AND(L874="Blaze Shield II",M874="Software Idiem",C874="L"),((('BLAZE SHIELD II'!$L$4*('CALCULO MORTERO'!I874^2)+'BLAZE SHIELD II'!$L$5*'CALCULO MORTERO'!I874+'BLAZE SHIELD II'!$L$6)*LN(J874))+('BLAZE SHIELD II'!$L$7*('CALCULO MORTERO'!I874^2)+'BLAZE SHIELD II'!$L$8*'CALCULO MORTERO'!I874+'BLAZE SHIELD II'!$L$9)),0)+IF(AND(L874="Blaze Shield II",M874="Software Idiem",C874="IN",G874=3),((('BLAZE SHIELD II'!$H$14*('CALCULO MORTERO'!I874^2)+'BLAZE SHIELD II'!$H$15*'CALCULO MORTERO'!I874+'BLAZE SHIELD II'!$H$16)*LN(J874))+('BLAZE SHIELD II'!$H$17*('CALCULO MORTERO'!I874^2)+'BLAZE SHIELD II'!$H$18*'CALCULO MORTERO'!I874+'BLAZE SHIELD II'!$H$19)),0),0)+ROUND(IF(AND(L874="Cafco 400",M874="Software Idiem",C874="IN",G874=4),((('CAFCO 400 '!$H$7*(J874^4)+'CAFCO 400 '!$H$8*(J874^3)+'CAFCO 400 '!$H$9*(J874^2)+'CAFCO 400 '!$H$10*J874+'CAFCO 400 '!$H$11)*U874^2)+(('CAFCO 400 '!$H$12*(J874^3)+'CAFCO 400 '!$H$13*(J874^2)+'CAFCO 400 '!$H$14*J874+'CAFCO 400 '!$H$15)*U874)+('CAFCO 400 '!$H$16*(J874^2)+'CAFCO 400 '!$H$17*J874+'CAFCO 400 '!$H$18)),0)+IF(AND(L874="Cafco 400",M874="Software Idiem",C874="Cj"),(((('CAFCO 400 '!$D$7*LN(J874)+'CAFCO 400 '!$D$8)*U874^2)+(('CAFCO 400 '!$D$9*LN(J874)+'CAFCO 400 '!$D$10)*U874)+('CAFCO 400 '!$D$11*LN(J874)+'CAFCO 400 '!$D$12))),0)+IF(AND(L874="Cafco 400",M874="Software Idiem",C874="C"),((('CAFCO 400 '!$L$7*(J874^3)+'CAFCO 400 '!$L$8*(J874^2)+'CAFCO 400 '!$L$9*J874+'CAFCO 400 '!$L$10)*U874^2)+(('CAFCO 400 '!$L$11*(J874^3)+'CAFCO 400 '!$L$12*(J874^2)+'CAFCO 400 '!$L$13*J874+'CAFCO 400 '!$L$14)*U874)+('CAFCO 400 '!$L$15*LN(J874)+'CAFCO 400 '!$L$16)),0)+IF(AND(L874="Cafco 400",M874="Software Idiem",C874="L"),((('CAFCO 400 '!$L$7*(J874^3)+'CAFCO 400 '!$L$8*(J874^2)+'CAFCO 400 '!$L$9*J874+'CAFCO 400 '!$L$10)*U874^2)+(('CAFCO 400 '!$L$11*(J874^3)+'CAFCO 400 '!$L$12*(J874^2)+'CAFCO 400 '!$L$13*J874+'CAFCO 400 '!$L$14)*U874)+('CAFCO 400 '!$L$15*LN(J874)+'CAFCO 400 '!$L$16)),0)+IF(AND(L874="Cafco 400",M874="Software Idiem",C874="IN",G874=3),((('CAFCO 400 '!$D$23*(J874^2)+'CAFCO 400 '!$D$24*(J874)+'CAFCO 400 '!$D$25)*U874^2)+(('CAFCO 400 '!$D$26*(J874^2)+'CAFCO 400 '!$D$27*J874+'CAFCO 400 '!$D$28)*U874)+('CAFCO 400 '!$D$29*(J874^2)+'CAFCO 400 '!$D$30*J874+'CAFCO 400 '!$D$31)),0),0)+IF(AND(L874="Cafco 300",J874&gt;=95,J874&lt;=240,C874="Cj",I874=90),VLOOKUP(T874,'CAFCO 300 IDIEM TABLAS'!$B$4:$D$23,2,FALSE),0)+IF(AND(L874="Cafco 300",J874&gt;=95,J874&lt;=240,C874="Cj",I874=120),VLOOKUP(T874,'CAFCO 300 IDIEM TABLAS'!$B$4:$D$23,3,FALSE),0)+IF(AND(L874="Cafco 300",J874&gt;=95,J874&lt;=400,G874=3,C874="IN",I874=90),VLOOKUP(T874,'CAFCO 300 IDIEM TABLAS'!$F$4:$H$35,2,FALSE),0)+IF(AND(L874="Cafco 300",J874&gt;=95,J874&lt;=400,G874=3,C874="IN",I874=120),VLOOKUP(T874,'CAFCO 300 IDIEM TABLAS'!$F$4:$H$35,3,FALSE),0)+IF(AND(L874="Cafco 300",J874&gt;=95,J874&lt;=450,G874=4,C874="IN",I874=90),VLOOKUP(T874,'CAFCO 300 IDIEM TABLAS'!$J$4:$L$40,2,FALSE),0)+IF(AND(L874="Cafco 300",J874&gt;=95,J874&lt;=450,G874=4,C874="IN",I874=120),VLOOKUP(T874,'CAFCO 300 IDIEM TABLAS'!$J$4:$L$40,3,FALSE),0)+IF(AND(M874="Ensayo Idiem",L874="Cafco 400",C874="IN",G874=4,I874=90),VLOOKUP(T874,'CAFCO 400 ENSAYO'!$B$7:$D$43,2,FALSE),0)+IF(AND(M874="Ensayo Idiem",L874="Cafco 400",C874="IN",G874=4,I874=120),VLOOKUP(T874,'CAFCO 400 ENSAYO'!$B$7:$D$43,3,FALSE),0)</f>
        <v>0</v>
      </c>
      <c r="O874" s="96">
        <f t="shared" si="90"/>
        <v>0</v>
      </c>
      <c r="P874" s="95" t="str">
        <f t="shared" si="85"/>
        <v>N/A</v>
      </c>
      <c r="Q874" s="95" t="str">
        <f t="shared" si="86"/>
        <v>N/A</v>
      </c>
      <c r="R874" s="95" t="str">
        <f t="shared" si="87"/>
        <v>NO CERT.</v>
      </c>
      <c r="S874" s="95" t="e">
        <f t="shared" si="88"/>
        <v>#N/A</v>
      </c>
      <c r="T874" s="119" t="e">
        <f>+IF(J874=LOOKUP(J874,'CAFCO 300 IDIEM TABLAS'!$J$4:$J$40),'CALCULO MORTERO'!J874,MROUND('CALCULO MORTERO'!J874,10))</f>
        <v>#N/A</v>
      </c>
      <c r="U874" s="118">
        <f t="shared" si="89"/>
        <v>0</v>
      </c>
    </row>
    <row r="875" spans="1:21" x14ac:dyDescent="0.25">
      <c r="A875" s="118">
        <f>+CUBICACION!D869</f>
        <v>0</v>
      </c>
      <c r="B875" s="819">
        <f>+CUBICACION!E869</f>
        <v>0</v>
      </c>
      <c r="C875" s="675">
        <f>+CUBICACION!F869</f>
        <v>0</v>
      </c>
      <c r="D875" s="118"/>
      <c r="E875" s="118"/>
      <c r="F875" s="820"/>
      <c r="G875" s="675">
        <f>+CUBICACION!J869</f>
        <v>0</v>
      </c>
      <c r="H875" s="118"/>
      <c r="I875" s="821">
        <f>+CUBICACION!L869</f>
        <v>0</v>
      </c>
      <c r="J875" s="64">
        <f>+CUBICACION!M869</f>
        <v>0</v>
      </c>
      <c r="K875" s="822" t="str">
        <f>+CUBICACION!N869</f>
        <v/>
      </c>
      <c r="L875" s="118">
        <f>+CUBICACION!O869</f>
        <v>0</v>
      </c>
      <c r="M875" s="823">
        <f>+CUBICACION!P869</f>
        <v>0</v>
      </c>
      <c r="N875" s="902">
        <f>ROUND(IF(AND(L875="Blaze Shield II",M875="Software Idiem",C875="IN",G875=4),((('BLAZE SHIELD II'!$D$4*('CALCULO MORTERO'!I875^2)+'BLAZE SHIELD II'!$D$5*'CALCULO MORTERO'!I875+'BLAZE SHIELD II'!$D$6)*LN(J875))+('BLAZE SHIELD II'!$D$7*('CALCULO MORTERO'!I875^2)+'BLAZE SHIELD II'!$D$8*'CALCULO MORTERO'!I875+'BLAZE SHIELD II'!$D$9)),0)+IF(AND(L875="Blaze Shield II",M875="Software Idiem",C875="Cj"),((('BLAZE SHIELD II'!$H$4*('CALCULO MORTERO'!I875^2)+'BLAZE SHIELD II'!$H$5*'CALCULO MORTERO'!I875+'BLAZE SHIELD II'!$H$6)*LN(J875))+('BLAZE SHIELD II'!$H$7*('CALCULO MORTERO'!I875^2)+'BLAZE SHIELD II'!$H$8*'CALCULO MORTERO'!I875+'BLAZE SHIELD II'!$H$9)),0)+IF(AND(L875="Blaze Shield II",M875="Software Idiem",C875="C"),((('BLAZE SHIELD II'!$L$4*('CALCULO MORTERO'!I875^2)+'BLAZE SHIELD II'!$L$5*'CALCULO MORTERO'!I875+'BLAZE SHIELD II'!$L$6)*LN(J875))+('BLAZE SHIELD II'!$L$7*('CALCULO MORTERO'!I875^2)+'BLAZE SHIELD II'!$L$8*'CALCULO MORTERO'!I875+'BLAZE SHIELD II'!$L$9)),0)+IF(AND(L875="Blaze Shield II",M875="Software Idiem",C875="L"),((('BLAZE SHIELD II'!$L$4*('CALCULO MORTERO'!I875^2)+'BLAZE SHIELD II'!$L$5*'CALCULO MORTERO'!I875+'BLAZE SHIELD II'!$L$6)*LN(J875))+('BLAZE SHIELD II'!$L$7*('CALCULO MORTERO'!I875^2)+'BLAZE SHIELD II'!$L$8*'CALCULO MORTERO'!I875+'BLAZE SHIELD II'!$L$9)),0)+IF(AND(L875="Blaze Shield II",M875="Software Idiem",C875="IN",G875=3),((('BLAZE SHIELD II'!$H$14*('CALCULO MORTERO'!I875^2)+'BLAZE SHIELD II'!$H$15*'CALCULO MORTERO'!I875+'BLAZE SHIELD II'!$H$16)*LN(J875))+('BLAZE SHIELD II'!$H$17*('CALCULO MORTERO'!I875^2)+'BLAZE SHIELD II'!$H$18*'CALCULO MORTERO'!I875+'BLAZE SHIELD II'!$H$19)),0),0)+ROUND(IF(AND(L875="Cafco 400",M875="Software Idiem",C875="IN",G875=4),((('CAFCO 400 '!$H$7*(J875^4)+'CAFCO 400 '!$H$8*(J875^3)+'CAFCO 400 '!$H$9*(J875^2)+'CAFCO 400 '!$H$10*J875+'CAFCO 400 '!$H$11)*U875^2)+(('CAFCO 400 '!$H$12*(J875^3)+'CAFCO 400 '!$H$13*(J875^2)+'CAFCO 400 '!$H$14*J875+'CAFCO 400 '!$H$15)*U875)+('CAFCO 400 '!$H$16*(J875^2)+'CAFCO 400 '!$H$17*J875+'CAFCO 400 '!$H$18)),0)+IF(AND(L875="Cafco 400",M875="Software Idiem",C875="Cj"),(((('CAFCO 400 '!$D$7*LN(J875)+'CAFCO 400 '!$D$8)*U875^2)+(('CAFCO 400 '!$D$9*LN(J875)+'CAFCO 400 '!$D$10)*U875)+('CAFCO 400 '!$D$11*LN(J875)+'CAFCO 400 '!$D$12))),0)+IF(AND(L875="Cafco 400",M875="Software Idiem",C875="C"),((('CAFCO 400 '!$L$7*(J875^3)+'CAFCO 400 '!$L$8*(J875^2)+'CAFCO 400 '!$L$9*J875+'CAFCO 400 '!$L$10)*U875^2)+(('CAFCO 400 '!$L$11*(J875^3)+'CAFCO 400 '!$L$12*(J875^2)+'CAFCO 400 '!$L$13*J875+'CAFCO 400 '!$L$14)*U875)+('CAFCO 400 '!$L$15*LN(J875)+'CAFCO 400 '!$L$16)),0)+IF(AND(L875="Cafco 400",M875="Software Idiem",C875="L"),((('CAFCO 400 '!$L$7*(J875^3)+'CAFCO 400 '!$L$8*(J875^2)+'CAFCO 400 '!$L$9*J875+'CAFCO 400 '!$L$10)*U875^2)+(('CAFCO 400 '!$L$11*(J875^3)+'CAFCO 400 '!$L$12*(J875^2)+'CAFCO 400 '!$L$13*J875+'CAFCO 400 '!$L$14)*U875)+('CAFCO 400 '!$L$15*LN(J875)+'CAFCO 400 '!$L$16)),0)+IF(AND(L875="Cafco 400",M875="Software Idiem",C875="IN",G875=3),((('CAFCO 400 '!$D$23*(J875^2)+'CAFCO 400 '!$D$24*(J875)+'CAFCO 400 '!$D$25)*U875^2)+(('CAFCO 400 '!$D$26*(J875^2)+'CAFCO 400 '!$D$27*J875+'CAFCO 400 '!$D$28)*U875)+('CAFCO 400 '!$D$29*(J875^2)+'CAFCO 400 '!$D$30*J875+'CAFCO 400 '!$D$31)),0),0)+IF(AND(L875="Cafco 300",J875&gt;=95,J875&lt;=240,C875="Cj",I875=90),VLOOKUP(T875,'CAFCO 300 IDIEM TABLAS'!$B$4:$D$23,2,FALSE),0)+IF(AND(L875="Cafco 300",J875&gt;=95,J875&lt;=240,C875="Cj",I875=120),VLOOKUP(T875,'CAFCO 300 IDIEM TABLAS'!$B$4:$D$23,3,FALSE),0)+IF(AND(L875="Cafco 300",J875&gt;=95,J875&lt;=400,G875=3,C875="IN",I875=90),VLOOKUP(T875,'CAFCO 300 IDIEM TABLAS'!$F$4:$H$35,2,FALSE),0)+IF(AND(L875="Cafco 300",J875&gt;=95,J875&lt;=400,G875=3,C875="IN",I875=120),VLOOKUP(T875,'CAFCO 300 IDIEM TABLAS'!$F$4:$H$35,3,FALSE),0)+IF(AND(L875="Cafco 300",J875&gt;=95,J875&lt;=450,G875=4,C875="IN",I875=90),VLOOKUP(T875,'CAFCO 300 IDIEM TABLAS'!$J$4:$L$40,2,FALSE),0)+IF(AND(L875="Cafco 300",J875&gt;=95,J875&lt;=450,G875=4,C875="IN",I875=120),VLOOKUP(T875,'CAFCO 300 IDIEM TABLAS'!$J$4:$L$40,3,FALSE),0)+IF(AND(M875="Ensayo Idiem",L875="Cafco 400",C875="IN",G875=4,I875=90),VLOOKUP(T875,'CAFCO 400 ENSAYO'!$B$7:$D$43,2,FALSE),0)+IF(AND(M875="Ensayo Idiem",L875="Cafco 400",C875="IN",G875=4,I875=120),VLOOKUP(T875,'CAFCO 400 ENSAYO'!$B$7:$D$43,3,FALSE),0)</f>
        <v>0</v>
      </c>
      <c r="O875" s="96">
        <f t="shared" si="90"/>
        <v>0</v>
      </c>
      <c r="P875" s="132" t="str">
        <f t="shared" si="85"/>
        <v>N/A</v>
      </c>
      <c r="Q875" s="132" t="str">
        <f t="shared" si="86"/>
        <v>N/A</v>
      </c>
      <c r="R875" s="132" t="str">
        <f t="shared" si="87"/>
        <v>NO CERT.</v>
      </c>
      <c r="S875" s="132" t="e">
        <f t="shared" si="88"/>
        <v>#N/A</v>
      </c>
      <c r="T875" s="133" t="e">
        <f>+IF(J875=LOOKUP(J875,'CAFCO 300 IDIEM TABLAS'!$J$4:$J$40),'CALCULO MORTERO'!J875,MROUND('CALCULO MORTERO'!J875,10))</f>
        <v>#N/A</v>
      </c>
      <c r="U875" s="134">
        <f t="shared" si="89"/>
        <v>0</v>
      </c>
    </row>
    <row r="876" spans="1:21" x14ac:dyDescent="0.25">
      <c r="A876" s="118">
        <f>+CUBICACION!D870</f>
        <v>0</v>
      </c>
      <c r="B876" s="819">
        <f>+CUBICACION!E870</f>
        <v>0</v>
      </c>
      <c r="C876" s="675">
        <f>+CUBICACION!F870</f>
        <v>0</v>
      </c>
      <c r="D876" s="118"/>
      <c r="E876" s="118"/>
      <c r="F876" s="820"/>
      <c r="G876" s="675">
        <f>+CUBICACION!J870</f>
        <v>0</v>
      </c>
      <c r="H876" s="118"/>
      <c r="I876" s="821">
        <f>+CUBICACION!L870</f>
        <v>0</v>
      </c>
      <c r="J876" s="64">
        <f>+CUBICACION!M870</f>
        <v>0</v>
      </c>
      <c r="K876" s="822" t="str">
        <f>+CUBICACION!N870</f>
        <v/>
      </c>
      <c r="L876" s="118">
        <f>+CUBICACION!O870</f>
        <v>0</v>
      </c>
      <c r="M876" s="823">
        <f>+CUBICACION!P870</f>
        <v>0</v>
      </c>
      <c r="N876" s="902">
        <f>ROUND(IF(AND(L876="Blaze Shield II",M876="Software Idiem",C876="IN",G876=4),((('BLAZE SHIELD II'!$D$4*('CALCULO MORTERO'!I876^2)+'BLAZE SHIELD II'!$D$5*'CALCULO MORTERO'!I876+'BLAZE SHIELD II'!$D$6)*LN(J876))+('BLAZE SHIELD II'!$D$7*('CALCULO MORTERO'!I876^2)+'BLAZE SHIELD II'!$D$8*'CALCULO MORTERO'!I876+'BLAZE SHIELD II'!$D$9)),0)+IF(AND(L876="Blaze Shield II",M876="Software Idiem",C876="Cj"),((('BLAZE SHIELD II'!$H$4*('CALCULO MORTERO'!I876^2)+'BLAZE SHIELD II'!$H$5*'CALCULO MORTERO'!I876+'BLAZE SHIELD II'!$H$6)*LN(J876))+('BLAZE SHIELD II'!$H$7*('CALCULO MORTERO'!I876^2)+'BLAZE SHIELD II'!$H$8*'CALCULO MORTERO'!I876+'BLAZE SHIELD II'!$H$9)),0)+IF(AND(L876="Blaze Shield II",M876="Software Idiem",C876="C"),((('BLAZE SHIELD II'!$L$4*('CALCULO MORTERO'!I876^2)+'BLAZE SHIELD II'!$L$5*'CALCULO MORTERO'!I876+'BLAZE SHIELD II'!$L$6)*LN(J876))+('BLAZE SHIELD II'!$L$7*('CALCULO MORTERO'!I876^2)+'BLAZE SHIELD II'!$L$8*'CALCULO MORTERO'!I876+'BLAZE SHIELD II'!$L$9)),0)+IF(AND(L876="Blaze Shield II",M876="Software Idiem",C876="L"),((('BLAZE SHIELD II'!$L$4*('CALCULO MORTERO'!I876^2)+'BLAZE SHIELD II'!$L$5*'CALCULO MORTERO'!I876+'BLAZE SHIELD II'!$L$6)*LN(J876))+('BLAZE SHIELD II'!$L$7*('CALCULO MORTERO'!I876^2)+'BLAZE SHIELD II'!$L$8*'CALCULO MORTERO'!I876+'BLAZE SHIELD II'!$L$9)),0)+IF(AND(L876="Blaze Shield II",M876="Software Idiem",C876="IN",G876=3),((('BLAZE SHIELD II'!$H$14*('CALCULO MORTERO'!I876^2)+'BLAZE SHIELD II'!$H$15*'CALCULO MORTERO'!I876+'BLAZE SHIELD II'!$H$16)*LN(J876))+('BLAZE SHIELD II'!$H$17*('CALCULO MORTERO'!I876^2)+'BLAZE SHIELD II'!$H$18*'CALCULO MORTERO'!I876+'BLAZE SHIELD II'!$H$19)),0),0)+ROUND(IF(AND(L876="Cafco 400",M876="Software Idiem",C876="IN",G876=4),((('CAFCO 400 '!$H$7*(J876^4)+'CAFCO 400 '!$H$8*(J876^3)+'CAFCO 400 '!$H$9*(J876^2)+'CAFCO 400 '!$H$10*J876+'CAFCO 400 '!$H$11)*U876^2)+(('CAFCO 400 '!$H$12*(J876^3)+'CAFCO 400 '!$H$13*(J876^2)+'CAFCO 400 '!$H$14*J876+'CAFCO 400 '!$H$15)*U876)+('CAFCO 400 '!$H$16*(J876^2)+'CAFCO 400 '!$H$17*J876+'CAFCO 400 '!$H$18)),0)+IF(AND(L876="Cafco 400",M876="Software Idiem",C876="Cj"),(((('CAFCO 400 '!$D$7*LN(J876)+'CAFCO 400 '!$D$8)*U876^2)+(('CAFCO 400 '!$D$9*LN(J876)+'CAFCO 400 '!$D$10)*U876)+('CAFCO 400 '!$D$11*LN(J876)+'CAFCO 400 '!$D$12))),0)+IF(AND(L876="Cafco 400",M876="Software Idiem",C876="C"),((('CAFCO 400 '!$L$7*(J876^3)+'CAFCO 400 '!$L$8*(J876^2)+'CAFCO 400 '!$L$9*J876+'CAFCO 400 '!$L$10)*U876^2)+(('CAFCO 400 '!$L$11*(J876^3)+'CAFCO 400 '!$L$12*(J876^2)+'CAFCO 400 '!$L$13*J876+'CAFCO 400 '!$L$14)*U876)+('CAFCO 400 '!$L$15*LN(J876)+'CAFCO 400 '!$L$16)),0)+IF(AND(L876="Cafco 400",M876="Software Idiem",C876="L"),((('CAFCO 400 '!$L$7*(J876^3)+'CAFCO 400 '!$L$8*(J876^2)+'CAFCO 400 '!$L$9*J876+'CAFCO 400 '!$L$10)*U876^2)+(('CAFCO 400 '!$L$11*(J876^3)+'CAFCO 400 '!$L$12*(J876^2)+'CAFCO 400 '!$L$13*J876+'CAFCO 400 '!$L$14)*U876)+('CAFCO 400 '!$L$15*LN(J876)+'CAFCO 400 '!$L$16)),0)+IF(AND(L876="Cafco 400",M876="Software Idiem",C876="IN",G876=3),((('CAFCO 400 '!$D$23*(J876^2)+'CAFCO 400 '!$D$24*(J876)+'CAFCO 400 '!$D$25)*U876^2)+(('CAFCO 400 '!$D$26*(J876^2)+'CAFCO 400 '!$D$27*J876+'CAFCO 400 '!$D$28)*U876)+('CAFCO 400 '!$D$29*(J876^2)+'CAFCO 400 '!$D$30*J876+'CAFCO 400 '!$D$31)),0),0)+IF(AND(L876="Cafco 300",J876&gt;=95,J876&lt;=240,C876="Cj",I876=90),VLOOKUP(T876,'CAFCO 300 IDIEM TABLAS'!$B$4:$D$23,2,FALSE),0)+IF(AND(L876="Cafco 300",J876&gt;=95,J876&lt;=240,C876="Cj",I876=120),VLOOKUP(T876,'CAFCO 300 IDIEM TABLAS'!$B$4:$D$23,3,FALSE),0)+IF(AND(L876="Cafco 300",J876&gt;=95,J876&lt;=400,G876=3,C876="IN",I876=90),VLOOKUP(T876,'CAFCO 300 IDIEM TABLAS'!$F$4:$H$35,2,FALSE),0)+IF(AND(L876="Cafco 300",J876&gt;=95,J876&lt;=400,G876=3,C876="IN",I876=120),VLOOKUP(T876,'CAFCO 300 IDIEM TABLAS'!$F$4:$H$35,3,FALSE),0)+IF(AND(L876="Cafco 300",J876&gt;=95,J876&lt;=450,G876=4,C876="IN",I876=90),VLOOKUP(T876,'CAFCO 300 IDIEM TABLAS'!$J$4:$L$40,2,FALSE),0)+IF(AND(L876="Cafco 300",J876&gt;=95,J876&lt;=450,G876=4,C876="IN",I876=120),VLOOKUP(T876,'CAFCO 300 IDIEM TABLAS'!$J$4:$L$40,3,FALSE),0)+IF(AND(M876="Ensayo Idiem",L876="Cafco 400",C876="IN",G876=4,I876=90),VLOOKUP(T876,'CAFCO 400 ENSAYO'!$B$7:$D$43,2,FALSE),0)+IF(AND(M876="Ensayo Idiem",L876="Cafco 400",C876="IN",G876=4,I876=120),VLOOKUP(T876,'CAFCO 400 ENSAYO'!$B$7:$D$43,3,FALSE),0)</f>
        <v>0</v>
      </c>
      <c r="O876" s="96">
        <f t="shared" si="90"/>
        <v>0</v>
      </c>
      <c r="P876" s="95" t="str">
        <f t="shared" si="85"/>
        <v>N/A</v>
      </c>
      <c r="Q876" s="95" t="str">
        <f t="shared" si="86"/>
        <v>N/A</v>
      </c>
      <c r="R876" s="95" t="str">
        <f t="shared" si="87"/>
        <v>NO CERT.</v>
      </c>
      <c r="S876" s="95" t="e">
        <f t="shared" si="88"/>
        <v>#N/A</v>
      </c>
      <c r="T876" s="119" t="e">
        <f>+IF(J876=LOOKUP(J876,'CAFCO 300 IDIEM TABLAS'!$J$4:$J$40),'CALCULO MORTERO'!J876,MROUND('CALCULO MORTERO'!J876,10))</f>
        <v>#N/A</v>
      </c>
      <c r="U876" s="118">
        <f t="shared" si="89"/>
        <v>0</v>
      </c>
    </row>
    <row r="877" spans="1:21" x14ac:dyDescent="0.25">
      <c r="A877" s="118">
        <f>+CUBICACION!D871</f>
        <v>0</v>
      </c>
      <c r="B877" s="819">
        <f>+CUBICACION!E871</f>
        <v>0</v>
      </c>
      <c r="C877" s="675">
        <f>+CUBICACION!F871</f>
        <v>0</v>
      </c>
      <c r="D877" s="118"/>
      <c r="E877" s="118"/>
      <c r="F877" s="820"/>
      <c r="G877" s="675">
        <f>+CUBICACION!J871</f>
        <v>0</v>
      </c>
      <c r="H877" s="118"/>
      <c r="I877" s="821">
        <f>+CUBICACION!L871</f>
        <v>0</v>
      </c>
      <c r="J877" s="64">
        <f>+CUBICACION!M871</f>
        <v>0</v>
      </c>
      <c r="K877" s="822" t="str">
        <f>+CUBICACION!N871</f>
        <v/>
      </c>
      <c r="L877" s="118">
        <f>+CUBICACION!O871</f>
        <v>0</v>
      </c>
      <c r="M877" s="823">
        <f>+CUBICACION!P871</f>
        <v>0</v>
      </c>
      <c r="N877" s="902">
        <f>ROUND(IF(AND(L877="Blaze Shield II",M877="Software Idiem",C877="IN",G877=4),((('BLAZE SHIELD II'!$D$4*('CALCULO MORTERO'!I877^2)+'BLAZE SHIELD II'!$D$5*'CALCULO MORTERO'!I877+'BLAZE SHIELD II'!$D$6)*LN(J877))+('BLAZE SHIELD II'!$D$7*('CALCULO MORTERO'!I877^2)+'BLAZE SHIELD II'!$D$8*'CALCULO MORTERO'!I877+'BLAZE SHIELD II'!$D$9)),0)+IF(AND(L877="Blaze Shield II",M877="Software Idiem",C877="Cj"),((('BLAZE SHIELD II'!$H$4*('CALCULO MORTERO'!I877^2)+'BLAZE SHIELD II'!$H$5*'CALCULO MORTERO'!I877+'BLAZE SHIELD II'!$H$6)*LN(J877))+('BLAZE SHIELD II'!$H$7*('CALCULO MORTERO'!I877^2)+'BLAZE SHIELD II'!$H$8*'CALCULO MORTERO'!I877+'BLAZE SHIELD II'!$H$9)),0)+IF(AND(L877="Blaze Shield II",M877="Software Idiem",C877="C"),((('BLAZE SHIELD II'!$L$4*('CALCULO MORTERO'!I877^2)+'BLAZE SHIELD II'!$L$5*'CALCULO MORTERO'!I877+'BLAZE SHIELD II'!$L$6)*LN(J877))+('BLAZE SHIELD II'!$L$7*('CALCULO MORTERO'!I877^2)+'BLAZE SHIELD II'!$L$8*'CALCULO MORTERO'!I877+'BLAZE SHIELD II'!$L$9)),0)+IF(AND(L877="Blaze Shield II",M877="Software Idiem",C877="L"),((('BLAZE SHIELD II'!$L$4*('CALCULO MORTERO'!I877^2)+'BLAZE SHIELD II'!$L$5*'CALCULO MORTERO'!I877+'BLAZE SHIELD II'!$L$6)*LN(J877))+('BLAZE SHIELD II'!$L$7*('CALCULO MORTERO'!I877^2)+'BLAZE SHIELD II'!$L$8*'CALCULO MORTERO'!I877+'BLAZE SHIELD II'!$L$9)),0)+IF(AND(L877="Blaze Shield II",M877="Software Idiem",C877="IN",G877=3),((('BLAZE SHIELD II'!$H$14*('CALCULO MORTERO'!I877^2)+'BLAZE SHIELD II'!$H$15*'CALCULO MORTERO'!I877+'BLAZE SHIELD II'!$H$16)*LN(J877))+('BLAZE SHIELD II'!$H$17*('CALCULO MORTERO'!I877^2)+'BLAZE SHIELD II'!$H$18*'CALCULO MORTERO'!I877+'BLAZE SHIELD II'!$H$19)),0),0)+ROUND(IF(AND(L877="Cafco 400",M877="Software Idiem",C877="IN",G877=4),((('CAFCO 400 '!$H$7*(J877^4)+'CAFCO 400 '!$H$8*(J877^3)+'CAFCO 400 '!$H$9*(J877^2)+'CAFCO 400 '!$H$10*J877+'CAFCO 400 '!$H$11)*U877^2)+(('CAFCO 400 '!$H$12*(J877^3)+'CAFCO 400 '!$H$13*(J877^2)+'CAFCO 400 '!$H$14*J877+'CAFCO 400 '!$H$15)*U877)+('CAFCO 400 '!$H$16*(J877^2)+'CAFCO 400 '!$H$17*J877+'CAFCO 400 '!$H$18)),0)+IF(AND(L877="Cafco 400",M877="Software Idiem",C877="Cj"),(((('CAFCO 400 '!$D$7*LN(J877)+'CAFCO 400 '!$D$8)*U877^2)+(('CAFCO 400 '!$D$9*LN(J877)+'CAFCO 400 '!$D$10)*U877)+('CAFCO 400 '!$D$11*LN(J877)+'CAFCO 400 '!$D$12))),0)+IF(AND(L877="Cafco 400",M877="Software Idiem",C877="C"),((('CAFCO 400 '!$L$7*(J877^3)+'CAFCO 400 '!$L$8*(J877^2)+'CAFCO 400 '!$L$9*J877+'CAFCO 400 '!$L$10)*U877^2)+(('CAFCO 400 '!$L$11*(J877^3)+'CAFCO 400 '!$L$12*(J877^2)+'CAFCO 400 '!$L$13*J877+'CAFCO 400 '!$L$14)*U877)+('CAFCO 400 '!$L$15*LN(J877)+'CAFCO 400 '!$L$16)),0)+IF(AND(L877="Cafco 400",M877="Software Idiem",C877="L"),((('CAFCO 400 '!$L$7*(J877^3)+'CAFCO 400 '!$L$8*(J877^2)+'CAFCO 400 '!$L$9*J877+'CAFCO 400 '!$L$10)*U877^2)+(('CAFCO 400 '!$L$11*(J877^3)+'CAFCO 400 '!$L$12*(J877^2)+'CAFCO 400 '!$L$13*J877+'CAFCO 400 '!$L$14)*U877)+('CAFCO 400 '!$L$15*LN(J877)+'CAFCO 400 '!$L$16)),0)+IF(AND(L877="Cafco 400",M877="Software Idiem",C877="IN",G877=3),((('CAFCO 400 '!$D$23*(J877^2)+'CAFCO 400 '!$D$24*(J877)+'CAFCO 400 '!$D$25)*U877^2)+(('CAFCO 400 '!$D$26*(J877^2)+'CAFCO 400 '!$D$27*J877+'CAFCO 400 '!$D$28)*U877)+('CAFCO 400 '!$D$29*(J877^2)+'CAFCO 400 '!$D$30*J877+'CAFCO 400 '!$D$31)),0),0)+IF(AND(L877="Cafco 300",J877&gt;=95,J877&lt;=240,C877="Cj",I877=90),VLOOKUP(T877,'CAFCO 300 IDIEM TABLAS'!$B$4:$D$23,2,FALSE),0)+IF(AND(L877="Cafco 300",J877&gt;=95,J877&lt;=240,C877="Cj",I877=120),VLOOKUP(T877,'CAFCO 300 IDIEM TABLAS'!$B$4:$D$23,3,FALSE),0)+IF(AND(L877="Cafco 300",J877&gt;=95,J877&lt;=400,G877=3,C877="IN",I877=90),VLOOKUP(T877,'CAFCO 300 IDIEM TABLAS'!$F$4:$H$35,2,FALSE),0)+IF(AND(L877="Cafco 300",J877&gt;=95,J877&lt;=400,G877=3,C877="IN",I877=120),VLOOKUP(T877,'CAFCO 300 IDIEM TABLAS'!$F$4:$H$35,3,FALSE),0)+IF(AND(L877="Cafco 300",J877&gt;=95,J877&lt;=450,G877=4,C877="IN",I877=90),VLOOKUP(T877,'CAFCO 300 IDIEM TABLAS'!$J$4:$L$40,2,FALSE),0)+IF(AND(L877="Cafco 300",J877&gt;=95,J877&lt;=450,G877=4,C877="IN",I877=120),VLOOKUP(T877,'CAFCO 300 IDIEM TABLAS'!$J$4:$L$40,3,FALSE),0)+IF(AND(M877="Ensayo Idiem",L877="Cafco 400",C877="IN",G877=4,I877=90),VLOOKUP(T877,'CAFCO 400 ENSAYO'!$B$7:$D$43,2,FALSE),0)+IF(AND(M877="Ensayo Idiem",L877="Cafco 400",C877="IN",G877=4,I877=120),VLOOKUP(T877,'CAFCO 400 ENSAYO'!$B$7:$D$43,3,FALSE),0)</f>
        <v>0</v>
      </c>
      <c r="O877" s="96">
        <f t="shared" si="90"/>
        <v>0</v>
      </c>
      <c r="P877" s="132" t="str">
        <f t="shared" si="85"/>
        <v>N/A</v>
      </c>
      <c r="Q877" s="132" t="str">
        <f t="shared" si="86"/>
        <v>N/A</v>
      </c>
      <c r="R877" s="132" t="str">
        <f t="shared" si="87"/>
        <v>NO CERT.</v>
      </c>
      <c r="S877" s="132" t="e">
        <f t="shared" si="88"/>
        <v>#N/A</v>
      </c>
      <c r="T877" s="133" t="e">
        <f>+IF(J877=LOOKUP(J877,'CAFCO 300 IDIEM TABLAS'!$J$4:$J$40),'CALCULO MORTERO'!J877,MROUND('CALCULO MORTERO'!J877,10))</f>
        <v>#N/A</v>
      </c>
      <c r="U877" s="134">
        <f t="shared" si="89"/>
        <v>0</v>
      </c>
    </row>
    <row r="878" spans="1:21" x14ac:dyDescent="0.25">
      <c r="A878" s="118">
        <f>+CUBICACION!D872</f>
        <v>0</v>
      </c>
      <c r="B878" s="819">
        <f>+CUBICACION!E872</f>
        <v>0</v>
      </c>
      <c r="C878" s="675">
        <f>+CUBICACION!F872</f>
        <v>0</v>
      </c>
      <c r="D878" s="118"/>
      <c r="E878" s="118"/>
      <c r="F878" s="820"/>
      <c r="G878" s="675">
        <f>+CUBICACION!J872</f>
        <v>0</v>
      </c>
      <c r="H878" s="118"/>
      <c r="I878" s="821">
        <f>+CUBICACION!L872</f>
        <v>0</v>
      </c>
      <c r="J878" s="64">
        <f>+CUBICACION!M872</f>
        <v>0</v>
      </c>
      <c r="K878" s="822" t="str">
        <f>+CUBICACION!N872</f>
        <v/>
      </c>
      <c r="L878" s="118">
        <f>+CUBICACION!O872</f>
        <v>0</v>
      </c>
      <c r="M878" s="823">
        <f>+CUBICACION!P872</f>
        <v>0</v>
      </c>
      <c r="N878" s="902">
        <f>ROUND(IF(AND(L878="Blaze Shield II",M878="Software Idiem",C878="IN",G878=4),((('BLAZE SHIELD II'!$D$4*('CALCULO MORTERO'!I878^2)+'BLAZE SHIELD II'!$D$5*'CALCULO MORTERO'!I878+'BLAZE SHIELD II'!$D$6)*LN(J878))+('BLAZE SHIELD II'!$D$7*('CALCULO MORTERO'!I878^2)+'BLAZE SHIELD II'!$D$8*'CALCULO MORTERO'!I878+'BLAZE SHIELD II'!$D$9)),0)+IF(AND(L878="Blaze Shield II",M878="Software Idiem",C878="Cj"),((('BLAZE SHIELD II'!$H$4*('CALCULO MORTERO'!I878^2)+'BLAZE SHIELD II'!$H$5*'CALCULO MORTERO'!I878+'BLAZE SHIELD II'!$H$6)*LN(J878))+('BLAZE SHIELD II'!$H$7*('CALCULO MORTERO'!I878^2)+'BLAZE SHIELD II'!$H$8*'CALCULO MORTERO'!I878+'BLAZE SHIELD II'!$H$9)),0)+IF(AND(L878="Blaze Shield II",M878="Software Idiem",C878="C"),((('BLAZE SHIELD II'!$L$4*('CALCULO MORTERO'!I878^2)+'BLAZE SHIELD II'!$L$5*'CALCULO MORTERO'!I878+'BLAZE SHIELD II'!$L$6)*LN(J878))+('BLAZE SHIELD II'!$L$7*('CALCULO MORTERO'!I878^2)+'BLAZE SHIELD II'!$L$8*'CALCULO MORTERO'!I878+'BLAZE SHIELD II'!$L$9)),0)+IF(AND(L878="Blaze Shield II",M878="Software Idiem",C878="L"),((('BLAZE SHIELD II'!$L$4*('CALCULO MORTERO'!I878^2)+'BLAZE SHIELD II'!$L$5*'CALCULO MORTERO'!I878+'BLAZE SHIELD II'!$L$6)*LN(J878))+('BLAZE SHIELD II'!$L$7*('CALCULO MORTERO'!I878^2)+'BLAZE SHIELD II'!$L$8*'CALCULO MORTERO'!I878+'BLAZE SHIELD II'!$L$9)),0)+IF(AND(L878="Blaze Shield II",M878="Software Idiem",C878="IN",G878=3),((('BLAZE SHIELD II'!$H$14*('CALCULO MORTERO'!I878^2)+'BLAZE SHIELD II'!$H$15*'CALCULO MORTERO'!I878+'BLAZE SHIELD II'!$H$16)*LN(J878))+('BLAZE SHIELD II'!$H$17*('CALCULO MORTERO'!I878^2)+'BLAZE SHIELD II'!$H$18*'CALCULO MORTERO'!I878+'BLAZE SHIELD II'!$H$19)),0),0)+ROUND(IF(AND(L878="Cafco 400",M878="Software Idiem",C878="IN",G878=4),((('CAFCO 400 '!$H$7*(J878^4)+'CAFCO 400 '!$H$8*(J878^3)+'CAFCO 400 '!$H$9*(J878^2)+'CAFCO 400 '!$H$10*J878+'CAFCO 400 '!$H$11)*U878^2)+(('CAFCO 400 '!$H$12*(J878^3)+'CAFCO 400 '!$H$13*(J878^2)+'CAFCO 400 '!$H$14*J878+'CAFCO 400 '!$H$15)*U878)+('CAFCO 400 '!$H$16*(J878^2)+'CAFCO 400 '!$H$17*J878+'CAFCO 400 '!$H$18)),0)+IF(AND(L878="Cafco 400",M878="Software Idiem",C878="Cj"),(((('CAFCO 400 '!$D$7*LN(J878)+'CAFCO 400 '!$D$8)*U878^2)+(('CAFCO 400 '!$D$9*LN(J878)+'CAFCO 400 '!$D$10)*U878)+('CAFCO 400 '!$D$11*LN(J878)+'CAFCO 400 '!$D$12))),0)+IF(AND(L878="Cafco 400",M878="Software Idiem",C878="C"),((('CAFCO 400 '!$L$7*(J878^3)+'CAFCO 400 '!$L$8*(J878^2)+'CAFCO 400 '!$L$9*J878+'CAFCO 400 '!$L$10)*U878^2)+(('CAFCO 400 '!$L$11*(J878^3)+'CAFCO 400 '!$L$12*(J878^2)+'CAFCO 400 '!$L$13*J878+'CAFCO 400 '!$L$14)*U878)+('CAFCO 400 '!$L$15*LN(J878)+'CAFCO 400 '!$L$16)),0)+IF(AND(L878="Cafco 400",M878="Software Idiem",C878="L"),((('CAFCO 400 '!$L$7*(J878^3)+'CAFCO 400 '!$L$8*(J878^2)+'CAFCO 400 '!$L$9*J878+'CAFCO 400 '!$L$10)*U878^2)+(('CAFCO 400 '!$L$11*(J878^3)+'CAFCO 400 '!$L$12*(J878^2)+'CAFCO 400 '!$L$13*J878+'CAFCO 400 '!$L$14)*U878)+('CAFCO 400 '!$L$15*LN(J878)+'CAFCO 400 '!$L$16)),0)+IF(AND(L878="Cafco 400",M878="Software Idiem",C878="IN",G878=3),((('CAFCO 400 '!$D$23*(J878^2)+'CAFCO 400 '!$D$24*(J878)+'CAFCO 400 '!$D$25)*U878^2)+(('CAFCO 400 '!$D$26*(J878^2)+'CAFCO 400 '!$D$27*J878+'CAFCO 400 '!$D$28)*U878)+('CAFCO 400 '!$D$29*(J878^2)+'CAFCO 400 '!$D$30*J878+'CAFCO 400 '!$D$31)),0),0)+IF(AND(L878="Cafco 300",J878&gt;=95,J878&lt;=240,C878="Cj",I878=90),VLOOKUP(T878,'CAFCO 300 IDIEM TABLAS'!$B$4:$D$23,2,FALSE),0)+IF(AND(L878="Cafco 300",J878&gt;=95,J878&lt;=240,C878="Cj",I878=120),VLOOKUP(T878,'CAFCO 300 IDIEM TABLAS'!$B$4:$D$23,3,FALSE),0)+IF(AND(L878="Cafco 300",J878&gt;=95,J878&lt;=400,G878=3,C878="IN",I878=90),VLOOKUP(T878,'CAFCO 300 IDIEM TABLAS'!$F$4:$H$35,2,FALSE),0)+IF(AND(L878="Cafco 300",J878&gt;=95,J878&lt;=400,G878=3,C878="IN",I878=120),VLOOKUP(T878,'CAFCO 300 IDIEM TABLAS'!$F$4:$H$35,3,FALSE),0)+IF(AND(L878="Cafco 300",J878&gt;=95,J878&lt;=450,G878=4,C878="IN",I878=90),VLOOKUP(T878,'CAFCO 300 IDIEM TABLAS'!$J$4:$L$40,2,FALSE),0)+IF(AND(L878="Cafco 300",J878&gt;=95,J878&lt;=450,G878=4,C878="IN",I878=120),VLOOKUP(T878,'CAFCO 300 IDIEM TABLAS'!$J$4:$L$40,3,FALSE),0)+IF(AND(M878="Ensayo Idiem",L878="Cafco 400",C878="IN",G878=4,I878=90),VLOOKUP(T878,'CAFCO 400 ENSAYO'!$B$7:$D$43,2,FALSE),0)+IF(AND(M878="Ensayo Idiem",L878="Cafco 400",C878="IN",G878=4,I878=120),VLOOKUP(T878,'CAFCO 400 ENSAYO'!$B$7:$D$43,3,FALSE),0)</f>
        <v>0</v>
      </c>
      <c r="O878" s="96">
        <f t="shared" si="90"/>
        <v>0</v>
      </c>
      <c r="P878" s="95" t="str">
        <f t="shared" si="85"/>
        <v>N/A</v>
      </c>
      <c r="Q878" s="95" t="str">
        <f t="shared" si="86"/>
        <v>N/A</v>
      </c>
      <c r="R878" s="95" t="str">
        <f t="shared" si="87"/>
        <v>NO CERT.</v>
      </c>
      <c r="S878" s="95" t="e">
        <f t="shared" si="88"/>
        <v>#N/A</v>
      </c>
      <c r="T878" s="119" t="e">
        <f>+IF(J878=LOOKUP(J878,'CAFCO 300 IDIEM TABLAS'!$J$4:$J$40),'CALCULO MORTERO'!J878,MROUND('CALCULO MORTERO'!J878,10))</f>
        <v>#N/A</v>
      </c>
      <c r="U878" s="118">
        <f t="shared" si="89"/>
        <v>0</v>
      </c>
    </row>
    <row r="879" spans="1:21" x14ac:dyDescent="0.25">
      <c r="A879" s="118">
        <f>+CUBICACION!D873</f>
        <v>0</v>
      </c>
      <c r="B879" s="819">
        <f>+CUBICACION!E873</f>
        <v>0</v>
      </c>
      <c r="C879" s="675">
        <f>+CUBICACION!F873</f>
        <v>0</v>
      </c>
      <c r="D879" s="118"/>
      <c r="E879" s="118"/>
      <c r="F879" s="820"/>
      <c r="G879" s="675">
        <f>+CUBICACION!J873</f>
        <v>0</v>
      </c>
      <c r="H879" s="118"/>
      <c r="I879" s="821">
        <f>+CUBICACION!L873</f>
        <v>0</v>
      </c>
      <c r="J879" s="64">
        <f>+CUBICACION!M873</f>
        <v>0</v>
      </c>
      <c r="K879" s="822" t="str">
        <f>+CUBICACION!N873</f>
        <v/>
      </c>
      <c r="L879" s="118">
        <f>+CUBICACION!O873</f>
        <v>0</v>
      </c>
      <c r="M879" s="823">
        <f>+CUBICACION!P873</f>
        <v>0</v>
      </c>
      <c r="N879" s="902">
        <f>ROUND(IF(AND(L879="Blaze Shield II",M879="Software Idiem",C879="IN",G879=4),((('BLAZE SHIELD II'!$D$4*('CALCULO MORTERO'!I879^2)+'BLAZE SHIELD II'!$D$5*'CALCULO MORTERO'!I879+'BLAZE SHIELD II'!$D$6)*LN(J879))+('BLAZE SHIELD II'!$D$7*('CALCULO MORTERO'!I879^2)+'BLAZE SHIELD II'!$D$8*'CALCULO MORTERO'!I879+'BLAZE SHIELD II'!$D$9)),0)+IF(AND(L879="Blaze Shield II",M879="Software Idiem",C879="Cj"),((('BLAZE SHIELD II'!$H$4*('CALCULO MORTERO'!I879^2)+'BLAZE SHIELD II'!$H$5*'CALCULO MORTERO'!I879+'BLAZE SHIELD II'!$H$6)*LN(J879))+('BLAZE SHIELD II'!$H$7*('CALCULO MORTERO'!I879^2)+'BLAZE SHIELD II'!$H$8*'CALCULO MORTERO'!I879+'BLAZE SHIELD II'!$H$9)),0)+IF(AND(L879="Blaze Shield II",M879="Software Idiem",C879="C"),((('BLAZE SHIELD II'!$L$4*('CALCULO MORTERO'!I879^2)+'BLAZE SHIELD II'!$L$5*'CALCULO MORTERO'!I879+'BLAZE SHIELD II'!$L$6)*LN(J879))+('BLAZE SHIELD II'!$L$7*('CALCULO MORTERO'!I879^2)+'BLAZE SHIELD II'!$L$8*'CALCULO MORTERO'!I879+'BLAZE SHIELD II'!$L$9)),0)+IF(AND(L879="Blaze Shield II",M879="Software Idiem",C879="L"),((('BLAZE SHIELD II'!$L$4*('CALCULO MORTERO'!I879^2)+'BLAZE SHIELD II'!$L$5*'CALCULO MORTERO'!I879+'BLAZE SHIELD II'!$L$6)*LN(J879))+('BLAZE SHIELD II'!$L$7*('CALCULO MORTERO'!I879^2)+'BLAZE SHIELD II'!$L$8*'CALCULO MORTERO'!I879+'BLAZE SHIELD II'!$L$9)),0)+IF(AND(L879="Blaze Shield II",M879="Software Idiem",C879="IN",G879=3),((('BLAZE SHIELD II'!$H$14*('CALCULO MORTERO'!I879^2)+'BLAZE SHIELD II'!$H$15*'CALCULO MORTERO'!I879+'BLAZE SHIELD II'!$H$16)*LN(J879))+('BLAZE SHIELD II'!$H$17*('CALCULO MORTERO'!I879^2)+'BLAZE SHIELD II'!$H$18*'CALCULO MORTERO'!I879+'BLAZE SHIELD II'!$H$19)),0),0)+ROUND(IF(AND(L879="Cafco 400",M879="Software Idiem",C879="IN",G879=4),((('CAFCO 400 '!$H$7*(J879^4)+'CAFCO 400 '!$H$8*(J879^3)+'CAFCO 400 '!$H$9*(J879^2)+'CAFCO 400 '!$H$10*J879+'CAFCO 400 '!$H$11)*U879^2)+(('CAFCO 400 '!$H$12*(J879^3)+'CAFCO 400 '!$H$13*(J879^2)+'CAFCO 400 '!$H$14*J879+'CAFCO 400 '!$H$15)*U879)+('CAFCO 400 '!$H$16*(J879^2)+'CAFCO 400 '!$H$17*J879+'CAFCO 400 '!$H$18)),0)+IF(AND(L879="Cafco 400",M879="Software Idiem",C879="Cj"),(((('CAFCO 400 '!$D$7*LN(J879)+'CAFCO 400 '!$D$8)*U879^2)+(('CAFCO 400 '!$D$9*LN(J879)+'CAFCO 400 '!$D$10)*U879)+('CAFCO 400 '!$D$11*LN(J879)+'CAFCO 400 '!$D$12))),0)+IF(AND(L879="Cafco 400",M879="Software Idiem",C879="C"),((('CAFCO 400 '!$L$7*(J879^3)+'CAFCO 400 '!$L$8*(J879^2)+'CAFCO 400 '!$L$9*J879+'CAFCO 400 '!$L$10)*U879^2)+(('CAFCO 400 '!$L$11*(J879^3)+'CAFCO 400 '!$L$12*(J879^2)+'CAFCO 400 '!$L$13*J879+'CAFCO 400 '!$L$14)*U879)+('CAFCO 400 '!$L$15*LN(J879)+'CAFCO 400 '!$L$16)),0)+IF(AND(L879="Cafco 400",M879="Software Idiem",C879="L"),((('CAFCO 400 '!$L$7*(J879^3)+'CAFCO 400 '!$L$8*(J879^2)+'CAFCO 400 '!$L$9*J879+'CAFCO 400 '!$L$10)*U879^2)+(('CAFCO 400 '!$L$11*(J879^3)+'CAFCO 400 '!$L$12*(J879^2)+'CAFCO 400 '!$L$13*J879+'CAFCO 400 '!$L$14)*U879)+('CAFCO 400 '!$L$15*LN(J879)+'CAFCO 400 '!$L$16)),0)+IF(AND(L879="Cafco 400",M879="Software Idiem",C879="IN",G879=3),((('CAFCO 400 '!$D$23*(J879^2)+'CAFCO 400 '!$D$24*(J879)+'CAFCO 400 '!$D$25)*U879^2)+(('CAFCO 400 '!$D$26*(J879^2)+'CAFCO 400 '!$D$27*J879+'CAFCO 400 '!$D$28)*U879)+('CAFCO 400 '!$D$29*(J879^2)+'CAFCO 400 '!$D$30*J879+'CAFCO 400 '!$D$31)),0),0)+IF(AND(L879="Cafco 300",J879&gt;=95,J879&lt;=240,C879="Cj",I879=90),VLOOKUP(T879,'CAFCO 300 IDIEM TABLAS'!$B$4:$D$23,2,FALSE),0)+IF(AND(L879="Cafco 300",J879&gt;=95,J879&lt;=240,C879="Cj",I879=120),VLOOKUP(T879,'CAFCO 300 IDIEM TABLAS'!$B$4:$D$23,3,FALSE),0)+IF(AND(L879="Cafco 300",J879&gt;=95,J879&lt;=400,G879=3,C879="IN",I879=90),VLOOKUP(T879,'CAFCO 300 IDIEM TABLAS'!$F$4:$H$35,2,FALSE),0)+IF(AND(L879="Cafco 300",J879&gt;=95,J879&lt;=400,G879=3,C879="IN",I879=120),VLOOKUP(T879,'CAFCO 300 IDIEM TABLAS'!$F$4:$H$35,3,FALSE),0)+IF(AND(L879="Cafco 300",J879&gt;=95,J879&lt;=450,G879=4,C879="IN",I879=90),VLOOKUP(T879,'CAFCO 300 IDIEM TABLAS'!$J$4:$L$40,2,FALSE),0)+IF(AND(L879="Cafco 300",J879&gt;=95,J879&lt;=450,G879=4,C879="IN",I879=120),VLOOKUP(T879,'CAFCO 300 IDIEM TABLAS'!$J$4:$L$40,3,FALSE),0)+IF(AND(M879="Ensayo Idiem",L879="Cafco 400",C879="IN",G879=4,I879=90),VLOOKUP(T879,'CAFCO 400 ENSAYO'!$B$7:$D$43,2,FALSE),0)+IF(AND(M879="Ensayo Idiem",L879="Cafco 400",C879="IN",G879=4,I879=120),VLOOKUP(T879,'CAFCO 400 ENSAYO'!$B$7:$D$43,3,FALSE),0)</f>
        <v>0</v>
      </c>
      <c r="O879" s="96">
        <f t="shared" si="90"/>
        <v>0</v>
      </c>
      <c r="P879" s="132" t="str">
        <f t="shared" si="85"/>
        <v>N/A</v>
      </c>
      <c r="Q879" s="132" t="str">
        <f t="shared" si="86"/>
        <v>N/A</v>
      </c>
      <c r="R879" s="132" t="str">
        <f t="shared" si="87"/>
        <v>NO CERT.</v>
      </c>
      <c r="S879" s="132" t="e">
        <f t="shared" si="88"/>
        <v>#N/A</v>
      </c>
      <c r="T879" s="133" t="e">
        <f>+IF(J879=LOOKUP(J879,'CAFCO 300 IDIEM TABLAS'!$J$4:$J$40),'CALCULO MORTERO'!J879,MROUND('CALCULO MORTERO'!J879,10))</f>
        <v>#N/A</v>
      </c>
      <c r="U879" s="134">
        <f t="shared" si="89"/>
        <v>0</v>
      </c>
    </row>
    <row r="880" spans="1:21" x14ac:dyDescent="0.25">
      <c r="A880" s="118">
        <f>+CUBICACION!D874</f>
        <v>0</v>
      </c>
      <c r="B880" s="819">
        <f>+CUBICACION!E874</f>
        <v>0</v>
      </c>
      <c r="C880" s="675">
        <f>+CUBICACION!F874</f>
        <v>0</v>
      </c>
      <c r="D880" s="118"/>
      <c r="E880" s="118"/>
      <c r="F880" s="820"/>
      <c r="G880" s="675">
        <f>+CUBICACION!J874</f>
        <v>0</v>
      </c>
      <c r="H880" s="118"/>
      <c r="I880" s="821">
        <f>+CUBICACION!L874</f>
        <v>0</v>
      </c>
      <c r="J880" s="64">
        <f>+CUBICACION!M874</f>
        <v>0</v>
      </c>
      <c r="K880" s="822" t="str">
        <f>+CUBICACION!N874</f>
        <v/>
      </c>
      <c r="L880" s="118">
        <f>+CUBICACION!O874</f>
        <v>0</v>
      </c>
      <c r="M880" s="823">
        <f>+CUBICACION!P874</f>
        <v>0</v>
      </c>
      <c r="N880" s="902">
        <f>ROUND(IF(AND(L880="Blaze Shield II",M880="Software Idiem",C880="IN",G880=4),((('BLAZE SHIELD II'!$D$4*('CALCULO MORTERO'!I880^2)+'BLAZE SHIELD II'!$D$5*'CALCULO MORTERO'!I880+'BLAZE SHIELD II'!$D$6)*LN(J880))+('BLAZE SHIELD II'!$D$7*('CALCULO MORTERO'!I880^2)+'BLAZE SHIELD II'!$D$8*'CALCULO MORTERO'!I880+'BLAZE SHIELD II'!$D$9)),0)+IF(AND(L880="Blaze Shield II",M880="Software Idiem",C880="Cj"),((('BLAZE SHIELD II'!$H$4*('CALCULO MORTERO'!I880^2)+'BLAZE SHIELD II'!$H$5*'CALCULO MORTERO'!I880+'BLAZE SHIELD II'!$H$6)*LN(J880))+('BLAZE SHIELD II'!$H$7*('CALCULO MORTERO'!I880^2)+'BLAZE SHIELD II'!$H$8*'CALCULO MORTERO'!I880+'BLAZE SHIELD II'!$H$9)),0)+IF(AND(L880="Blaze Shield II",M880="Software Idiem",C880="C"),((('BLAZE SHIELD II'!$L$4*('CALCULO MORTERO'!I880^2)+'BLAZE SHIELD II'!$L$5*'CALCULO MORTERO'!I880+'BLAZE SHIELD II'!$L$6)*LN(J880))+('BLAZE SHIELD II'!$L$7*('CALCULO MORTERO'!I880^2)+'BLAZE SHIELD II'!$L$8*'CALCULO MORTERO'!I880+'BLAZE SHIELD II'!$L$9)),0)+IF(AND(L880="Blaze Shield II",M880="Software Idiem",C880="L"),((('BLAZE SHIELD II'!$L$4*('CALCULO MORTERO'!I880^2)+'BLAZE SHIELD II'!$L$5*'CALCULO MORTERO'!I880+'BLAZE SHIELD II'!$L$6)*LN(J880))+('BLAZE SHIELD II'!$L$7*('CALCULO MORTERO'!I880^2)+'BLAZE SHIELD II'!$L$8*'CALCULO MORTERO'!I880+'BLAZE SHIELD II'!$L$9)),0)+IF(AND(L880="Blaze Shield II",M880="Software Idiem",C880="IN",G880=3),((('BLAZE SHIELD II'!$H$14*('CALCULO MORTERO'!I880^2)+'BLAZE SHIELD II'!$H$15*'CALCULO MORTERO'!I880+'BLAZE SHIELD II'!$H$16)*LN(J880))+('BLAZE SHIELD II'!$H$17*('CALCULO MORTERO'!I880^2)+'BLAZE SHIELD II'!$H$18*'CALCULO MORTERO'!I880+'BLAZE SHIELD II'!$H$19)),0),0)+ROUND(IF(AND(L880="Cafco 400",M880="Software Idiem",C880="IN",G880=4),((('CAFCO 400 '!$H$7*(J880^4)+'CAFCO 400 '!$H$8*(J880^3)+'CAFCO 400 '!$H$9*(J880^2)+'CAFCO 400 '!$H$10*J880+'CAFCO 400 '!$H$11)*U880^2)+(('CAFCO 400 '!$H$12*(J880^3)+'CAFCO 400 '!$H$13*(J880^2)+'CAFCO 400 '!$H$14*J880+'CAFCO 400 '!$H$15)*U880)+('CAFCO 400 '!$H$16*(J880^2)+'CAFCO 400 '!$H$17*J880+'CAFCO 400 '!$H$18)),0)+IF(AND(L880="Cafco 400",M880="Software Idiem",C880="Cj"),(((('CAFCO 400 '!$D$7*LN(J880)+'CAFCO 400 '!$D$8)*U880^2)+(('CAFCO 400 '!$D$9*LN(J880)+'CAFCO 400 '!$D$10)*U880)+('CAFCO 400 '!$D$11*LN(J880)+'CAFCO 400 '!$D$12))),0)+IF(AND(L880="Cafco 400",M880="Software Idiem",C880="C"),((('CAFCO 400 '!$L$7*(J880^3)+'CAFCO 400 '!$L$8*(J880^2)+'CAFCO 400 '!$L$9*J880+'CAFCO 400 '!$L$10)*U880^2)+(('CAFCO 400 '!$L$11*(J880^3)+'CAFCO 400 '!$L$12*(J880^2)+'CAFCO 400 '!$L$13*J880+'CAFCO 400 '!$L$14)*U880)+('CAFCO 400 '!$L$15*LN(J880)+'CAFCO 400 '!$L$16)),0)+IF(AND(L880="Cafco 400",M880="Software Idiem",C880="L"),((('CAFCO 400 '!$L$7*(J880^3)+'CAFCO 400 '!$L$8*(J880^2)+'CAFCO 400 '!$L$9*J880+'CAFCO 400 '!$L$10)*U880^2)+(('CAFCO 400 '!$L$11*(J880^3)+'CAFCO 400 '!$L$12*(J880^2)+'CAFCO 400 '!$L$13*J880+'CAFCO 400 '!$L$14)*U880)+('CAFCO 400 '!$L$15*LN(J880)+'CAFCO 400 '!$L$16)),0)+IF(AND(L880="Cafco 400",M880="Software Idiem",C880="IN",G880=3),((('CAFCO 400 '!$D$23*(J880^2)+'CAFCO 400 '!$D$24*(J880)+'CAFCO 400 '!$D$25)*U880^2)+(('CAFCO 400 '!$D$26*(J880^2)+'CAFCO 400 '!$D$27*J880+'CAFCO 400 '!$D$28)*U880)+('CAFCO 400 '!$D$29*(J880^2)+'CAFCO 400 '!$D$30*J880+'CAFCO 400 '!$D$31)),0),0)+IF(AND(L880="Cafco 300",J880&gt;=95,J880&lt;=240,C880="Cj",I880=90),VLOOKUP(T880,'CAFCO 300 IDIEM TABLAS'!$B$4:$D$23,2,FALSE),0)+IF(AND(L880="Cafco 300",J880&gt;=95,J880&lt;=240,C880="Cj",I880=120),VLOOKUP(T880,'CAFCO 300 IDIEM TABLAS'!$B$4:$D$23,3,FALSE),0)+IF(AND(L880="Cafco 300",J880&gt;=95,J880&lt;=400,G880=3,C880="IN",I880=90),VLOOKUP(T880,'CAFCO 300 IDIEM TABLAS'!$F$4:$H$35,2,FALSE),0)+IF(AND(L880="Cafco 300",J880&gt;=95,J880&lt;=400,G880=3,C880="IN",I880=120),VLOOKUP(T880,'CAFCO 300 IDIEM TABLAS'!$F$4:$H$35,3,FALSE),0)+IF(AND(L880="Cafco 300",J880&gt;=95,J880&lt;=450,G880=4,C880="IN",I880=90),VLOOKUP(T880,'CAFCO 300 IDIEM TABLAS'!$J$4:$L$40,2,FALSE),0)+IF(AND(L880="Cafco 300",J880&gt;=95,J880&lt;=450,G880=4,C880="IN",I880=120),VLOOKUP(T880,'CAFCO 300 IDIEM TABLAS'!$J$4:$L$40,3,FALSE),0)+IF(AND(M880="Ensayo Idiem",L880="Cafco 400",C880="IN",G880=4,I880=90),VLOOKUP(T880,'CAFCO 400 ENSAYO'!$B$7:$D$43,2,FALSE),0)+IF(AND(M880="Ensayo Idiem",L880="Cafco 400",C880="IN",G880=4,I880=120),VLOOKUP(T880,'CAFCO 400 ENSAYO'!$B$7:$D$43,3,FALSE),0)</f>
        <v>0</v>
      </c>
      <c r="O880" s="96">
        <f t="shared" si="90"/>
        <v>0</v>
      </c>
      <c r="P880" s="95" t="str">
        <f t="shared" si="85"/>
        <v>N/A</v>
      </c>
      <c r="Q880" s="95" t="str">
        <f t="shared" si="86"/>
        <v>N/A</v>
      </c>
      <c r="R880" s="95" t="str">
        <f t="shared" si="87"/>
        <v>NO CERT.</v>
      </c>
      <c r="S880" s="95" t="e">
        <f t="shared" si="88"/>
        <v>#N/A</v>
      </c>
      <c r="T880" s="119" t="e">
        <f>+IF(J880=LOOKUP(J880,'CAFCO 300 IDIEM TABLAS'!$J$4:$J$40),'CALCULO MORTERO'!J880,MROUND('CALCULO MORTERO'!J880,10))</f>
        <v>#N/A</v>
      </c>
      <c r="U880" s="118">
        <f t="shared" si="89"/>
        <v>0</v>
      </c>
    </row>
    <row r="881" spans="1:21" x14ac:dyDescent="0.25">
      <c r="A881" s="118">
        <f>+CUBICACION!D875</f>
        <v>0</v>
      </c>
      <c r="B881" s="819">
        <f>+CUBICACION!E875</f>
        <v>0</v>
      </c>
      <c r="C881" s="675">
        <f>+CUBICACION!F875</f>
        <v>0</v>
      </c>
      <c r="D881" s="118"/>
      <c r="E881" s="118"/>
      <c r="F881" s="820"/>
      <c r="G881" s="675">
        <f>+CUBICACION!J875</f>
        <v>0</v>
      </c>
      <c r="H881" s="118"/>
      <c r="I881" s="821">
        <f>+CUBICACION!L875</f>
        <v>0</v>
      </c>
      <c r="J881" s="64">
        <f>+CUBICACION!M875</f>
        <v>0</v>
      </c>
      <c r="K881" s="822" t="str">
        <f>+CUBICACION!N875</f>
        <v/>
      </c>
      <c r="L881" s="118">
        <f>+CUBICACION!O875</f>
        <v>0</v>
      </c>
      <c r="M881" s="823">
        <f>+CUBICACION!P875</f>
        <v>0</v>
      </c>
      <c r="N881" s="902">
        <f>ROUND(IF(AND(L881="Blaze Shield II",M881="Software Idiem",C881="IN",G881=4),((('BLAZE SHIELD II'!$D$4*('CALCULO MORTERO'!I881^2)+'BLAZE SHIELD II'!$D$5*'CALCULO MORTERO'!I881+'BLAZE SHIELD II'!$D$6)*LN(J881))+('BLAZE SHIELD II'!$D$7*('CALCULO MORTERO'!I881^2)+'BLAZE SHIELD II'!$D$8*'CALCULO MORTERO'!I881+'BLAZE SHIELD II'!$D$9)),0)+IF(AND(L881="Blaze Shield II",M881="Software Idiem",C881="Cj"),((('BLAZE SHIELD II'!$H$4*('CALCULO MORTERO'!I881^2)+'BLAZE SHIELD II'!$H$5*'CALCULO MORTERO'!I881+'BLAZE SHIELD II'!$H$6)*LN(J881))+('BLAZE SHIELD II'!$H$7*('CALCULO MORTERO'!I881^2)+'BLAZE SHIELD II'!$H$8*'CALCULO MORTERO'!I881+'BLAZE SHIELD II'!$H$9)),0)+IF(AND(L881="Blaze Shield II",M881="Software Idiem",C881="C"),((('BLAZE SHIELD II'!$L$4*('CALCULO MORTERO'!I881^2)+'BLAZE SHIELD II'!$L$5*'CALCULO MORTERO'!I881+'BLAZE SHIELD II'!$L$6)*LN(J881))+('BLAZE SHIELD II'!$L$7*('CALCULO MORTERO'!I881^2)+'BLAZE SHIELD II'!$L$8*'CALCULO MORTERO'!I881+'BLAZE SHIELD II'!$L$9)),0)+IF(AND(L881="Blaze Shield II",M881="Software Idiem",C881="L"),((('BLAZE SHIELD II'!$L$4*('CALCULO MORTERO'!I881^2)+'BLAZE SHIELD II'!$L$5*'CALCULO MORTERO'!I881+'BLAZE SHIELD II'!$L$6)*LN(J881))+('BLAZE SHIELD II'!$L$7*('CALCULO MORTERO'!I881^2)+'BLAZE SHIELD II'!$L$8*'CALCULO MORTERO'!I881+'BLAZE SHIELD II'!$L$9)),0)+IF(AND(L881="Blaze Shield II",M881="Software Idiem",C881="IN",G881=3),((('BLAZE SHIELD II'!$H$14*('CALCULO MORTERO'!I881^2)+'BLAZE SHIELD II'!$H$15*'CALCULO MORTERO'!I881+'BLAZE SHIELD II'!$H$16)*LN(J881))+('BLAZE SHIELD II'!$H$17*('CALCULO MORTERO'!I881^2)+'BLAZE SHIELD II'!$H$18*'CALCULO MORTERO'!I881+'BLAZE SHIELD II'!$H$19)),0),0)+ROUND(IF(AND(L881="Cafco 400",M881="Software Idiem",C881="IN",G881=4),((('CAFCO 400 '!$H$7*(J881^4)+'CAFCO 400 '!$H$8*(J881^3)+'CAFCO 400 '!$H$9*(J881^2)+'CAFCO 400 '!$H$10*J881+'CAFCO 400 '!$H$11)*U881^2)+(('CAFCO 400 '!$H$12*(J881^3)+'CAFCO 400 '!$H$13*(J881^2)+'CAFCO 400 '!$H$14*J881+'CAFCO 400 '!$H$15)*U881)+('CAFCO 400 '!$H$16*(J881^2)+'CAFCO 400 '!$H$17*J881+'CAFCO 400 '!$H$18)),0)+IF(AND(L881="Cafco 400",M881="Software Idiem",C881="Cj"),(((('CAFCO 400 '!$D$7*LN(J881)+'CAFCO 400 '!$D$8)*U881^2)+(('CAFCO 400 '!$D$9*LN(J881)+'CAFCO 400 '!$D$10)*U881)+('CAFCO 400 '!$D$11*LN(J881)+'CAFCO 400 '!$D$12))),0)+IF(AND(L881="Cafco 400",M881="Software Idiem",C881="C"),((('CAFCO 400 '!$L$7*(J881^3)+'CAFCO 400 '!$L$8*(J881^2)+'CAFCO 400 '!$L$9*J881+'CAFCO 400 '!$L$10)*U881^2)+(('CAFCO 400 '!$L$11*(J881^3)+'CAFCO 400 '!$L$12*(J881^2)+'CAFCO 400 '!$L$13*J881+'CAFCO 400 '!$L$14)*U881)+('CAFCO 400 '!$L$15*LN(J881)+'CAFCO 400 '!$L$16)),0)+IF(AND(L881="Cafco 400",M881="Software Idiem",C881="L"),((('CAFCO 400 '!$L$7*(J881^3)+'CAFCO 400 '!$L$8*(J881^2)+'CAFCO 400 '!$L$9*J881+'CAFCO 400 '!$L$10)*U881^2)+(('CAFCO 400 '!$L$11*(J881^3)+'CAFCO 400 '!$L$12*(J881^2)+'CAFCO 400 '!$L$13*J881+'CAFCO 400 '!$L$14)*U881)+('CAFCO 400 '!$L$15*LN(J881)+'CAFCO 400 '!$L$16)),0)+IF(AND(L881="Cafco 400",M881="Software Idiem",C881="IN",G881=3),((('CAFCO 400 '!$D$23*(J881^2)+'CAFCO 400 '!$D$24*(J881)+'CAFCO 400 '!$D$25)*U881^2)+(('CAFCO 400 '!$D$26*(J881^2)+'CAFCO 400 '!$D$27*J881+'CAFCO 400 '!$D$28)*U881)+('CAFCO 400 '!$D$29*(J881^2)+'CAFCO 400 '!$D$30*J881+'CAFCO 400 '!$D$31)),0),0)+IF(AND(L881="Cafco 300",J881&gt;=95,J881&lt;=240,C881="Cj",I881=90),VLOOKUP(T881,'CAFCO 300 IDIEM TABLAS'!$B$4:$D$23,2,FALSE),0)+IF(AND(L881="Cafco 300",J881&gt;=95,J881&lt;=240,C881="Cj",I881=120),VLOOKUP(T881,'CAFCO 300 IDIEM TABLAS'!$B$4:$D$23,3,FALSE),0)+IF(AND(L881="Cafco 300",J881&gt;=95,J881&lt;=400,G881=3,C881="IN",I881=90),VLOOKUP(T881,'CAFCO 300 IDIEM TABLAS'!$F$4:$H$35,2,FALSE),0)+IF(AND(L881="Cafco 300",J881&gt;=95,J881&lt;=400,G881=3,C881="IN",I881=120),VLOOKUP(T881,'CAFCO 300 IDIEM TABLAS'!$F$4:$H$35,3,FALSE),0)+IF(AND(L881="Cafco 300",J881&gt;=95,J881&lt;=450,G881=4,C881="IN",I881=90),VLOOKUP(T881,'CAFCO 300 IDIEM TABLAS'!$J$4:$L$40,2,FALSE),0)+IF(AND(L881="Cafco 300",J881&gt;=95,J881&lt;=450,G881=4,C881="IN",I881=120),VLOOKUP(T881,'CAFCO 300 IDIEM TABLAS'!$J$4:$L$40,3,FALSE),0)+IF(AND(M881="Ensayo Idiem",L881="Cafco 400",C881="IN",G881=4,I881=90),VLOOKUP(T881,'CAFCO 400 ENSAYO'!$B$7:$D$43,2,FALSE),0)+IF(AND(M881="Ensayo Idiem",L881="Cafco 400",C881="IN",G881=4,I881=120),VLOOKUP(T881,'CAFCO 400 ENSAYO'!$B$7:$D$43,3,FALSE),0)</f>
        <v>0</v>
      </c>
      <c r="O881" s="96">
        <f t="shared" si="90"/>
        <v>0</v>
      </c>
      <c r="P881" s="132" t="str">
        <f t="shared" si="85"/>
        <v>N/A</v>
      </c>
      <c r="Q881" s="132" t="str">
        <f t="shared" si="86"/>
        <v>N/A</v>
      </c>
      <c r="R881" s="132" t="str">
        <f t="shared" si="87"/>
        <v>NO CERT.</v>
      </c>
      <c r="S881" s="132" t="e">
        <f t="shared" si="88"/>
        <v>#N/A</v>
      </c>
      <c r="T881" s="133" t="e">
        <f>+IF(J881=LOOKUP(J881,'CAFCO 300 IDIEM TABLAS'!$J$4:$J$40),'CALCULO MORTERO'!J881,MROUND('CALCULO MORTERO'!J881,10))</f>
        <v>#N/A</v>
      </c>
      <c r="U881" s="134">
        <f t="shared" si="89"/>
        <v>0</v>
      </c>
    </row>
    <row r="882" spans="1:21" x14ac:dyDescent="0.25">
      <c r="A882" s="118">
        <f>+CUBICACION!D876</f>
        <v>0</v>
      </c>
      <c r="B882" s="819">
        <f>+CUBICACION!E876</f>
        <v>0</v>
      </c>
      <c r="C882" s="675">
        <f>+CUBICACION!F876</f>
        <v>0</v>
      </c>
      <c r="D882" s="118"/>
      <c r="E882" s="118"/>
      <c r="F882" s="820"/>
      <c r="G882" s="675">
        <f>+CUBICACION!J876</f>
        <v>0</v>
      </c>
      <c r="H882" s="118"/>
      <c r="I882" s="821">
        <f>+CUBICACION!L876</f>
        <v>0</v>
      </c>
      <c r="J882" s="64">
        <f>+CUBICACION!M876</f>
        <v>0</v>
      </c>
      <c r="K882" s="822" t="str">
        <f>+CUBICACION!N876</f>
        <v/>
      </c>
      <c r="L882" s="118">
        <f>+CUBICACION!O876</f>
        <v>0</v>
      </c>
      <c r="M882" s="823">
        <f>+CUBICACION!P876</f>
        <v>0</v>
      </c>
      <c r="N882" s="902">
        <f>ROUND(IF(AND(L882="Blaze Shield II",M882="Software Idiem",C882="IN",G882=4),((('BLAZE SHIELD II'!$D$4*('CALCULO MORTERO'!I882^2)+'BLAZE SHIELD II'!$D$5*'CALCULO MORTERO'!I882+'BLAZE SHIELD II'!$D$6)*LN(J882))+('BLAZE SHIELD II'!$D$7*('CALCULO MORTERO'!I882^2)+'BLAZE SHIELD II'!$D$8*'CALCULO MORTERO'!I882+'BLAZE SHIELD II'!$D$9)),0)+IF(AND(L882="Blaze Shield II",M882="Software Idiem",C882="Cj"),((('BLAZE SHIELD II'!$H$4*('CALCULO MORTERO'!I882^2)+'BLAZE SHIELD II'!$H$5*'CALCULO MORTERO'!I882+'BLAZE SHIELD II'!$H$6)*LN(J882))+('BLAZE SHIELD II'!$H$7*('CALCULO MORTERO'!I882^2)+'BLAZE SHIELD II'!$H$8*'CALCULO MORTERO'!I882+'BLAZE SHIELD II'!$H$9)),0)+IF(AND(L882="Blaze Shield II",M882="Software Idiem",C882="C"),((('BLAZE SHIELD II'!$L$4*('CALCULO MORTERO'!I882^2)+'BLAZE SHIELD II'!$L$5*'CALCULO MORTERO'!I882+'BLAZE SHIELD II'!$L$6)*LN(J882))+('BLAZE SHIELD II'!$L$7*('CALCULO MORTERO'!I882^2)+'BLAZE SHIELD II'!$L$8*'CALCULO MORTERO'!I882+'BLAZE SHIELD II'!$L$9)),0)+IF(AND(L882="Blaze Shield II",M882="Software Idiem",C882="L"),((('BLAZE SHIELD II'!$L$4*('CALCULO MORTERO'!I882^2)+'BLAZE SHIELD II'!$L$5*'CALCULO MORTERO'!I882+'BLAZE SHIELD II'!$L$6)*LN(J882))+('BLAZE SHIELD II'!$L$7*('CALCULO MORTERO'!I882^2)+'BLAZE SHIELD II'!$L$8*'CALCULO MORTERO'!I882+'BLAZE SHIELD II'!$L$9)),0)+IF(AND(L882="Blaze Shield II",M882="Software Idiem",C882="IN",G882=3),((('BLAZE SHIELD II'!$H$14*('CALCULO MORTERO'!I882^2)+'BLAZE SHIELD II'!$H$15*'CALCULO MORTERO'!I882+'BLAZE SHIELD II'!$H$16)*LN(J882))+('BLAZE SHIELD II'!$H$17*('CALCULO MORTERO'!I882^2)+'BLAZE SHIELD II'!$H$18*'CALCULO MORTERO'!I882+'BLAZE SHIELD II'!$H$19)),0),0)+ROUND(IF(AND(L882="Cafco 400",M882="Software Idiem",C882="IN",G882=4),((('CAFCO 400 '!$H$7*(J882^4)+'CAFCO 400 '!$H$8*(J882^3)+'CAFCO 400 '!$H$9*(J882^2)+'CAFCO 400 '!$H$10*J882+'CAFCO 400 '!$H$11)*U882^2)+(('CAFCO 400 '!$H$12*(J882^3)+'CAFCO 400 '!$H$13*(J882^2)+'CAFCO 400 '!$H$14*J882+'CAFCO 400 '!$H$15)*U882)+('CAFCO 400 '!$H$16*(J882^2)+'CAFCO 400 '!$H$17*J882+'CAFCO 400 '!$H$18)),0)+IF(AND(L882="Cafco 400",M882="Software Idiem",C882="Cj"),(((('CAFCO 400 '!$D$7*LN(J882)+'CAFCO 400 '!$D$8)*U882^2)+(('CAFCO 400 '!$D$9*LN(J882)+'CAFCO 400 '!$D$10)*U882)+('CAFCO 400 '!$D$11*LN(J882)+'CAFCO 400 '!$D$12))),0)+IF(AND(L882="Cafco 400",M882="Software Idiem",C882="C"),((('CAFCO 400 '!$L$7*(J882^3)+'CAFCO 400 '!$L$8*(J882^2)+'CAFCO 400 '!$L$9*J882+'CAFCO 400 '!$L$10)*U882^2)+(('CAFCO 400 '!$L$11*(J882^3)+'CAFCO 400 '!$L$12*(J882^2)+'CAFCO 400 '!$L$13*J882+'CAFCO 400 '!$L$14)*U882)+('CAFCO 400 '!$L$15*LN(J882)+'CAFCO 400 '!$L$16)),0)+IF(AND(L882="Cafco 400",M882="Software Idiem",C882="L"),((('CAFCO 400 '!$L$7*(J882^3)+'CAFCO 400 '!$L$8*(J882^2)+'CAFCO 400 '!$L$9*J882+'CAFCO 400 '!$L$10)*U882^2)+(('CAFCO 400 '!$L$11*(J882^3)+'CAFCO 400 '!$L$12*(J882^2)+'CAFCO 400 '!$L$13*J882+'CAFCO 400 '!$L$14)*U882)+('CAFCO 400 '!$L$15*LN(J882)+'CAFCO 400 '!$L$16)),0)+IF(AND(L882="Cafco 400",M882="Software Idiem",C882="IN",G882=3),((('CAFCO 400 '!$D$23*(J882^2)+'CAFCO 400 '!$D$24*(J882)+'CAFCO 400 '!$D$25)*U882^2)+(('CAFCO 400 '!$D$26*(J882^2)+'CAFCO 400 '!$D$27*J882+'CAFCO 400 '!$D$28)*U882)+('CAFCO 400 '!$D$29*(J882^2)+'CAFCO 400 '!$D$30*J882+'CAFCO 400 '!$D$31)),0),0)+IF(AND(L882="Cafco 300",J882&gt;=95,J882&lt;=240,C882="Cj",I882=90),VLOOKUP(T882,'CAFCO 300 IDIEM TABLAS'!$B$4:$D$23,2,FALSE),0)+IF(AND(L882="Cafco 300",J882&gt;=95,J882&lt;=240,C882="Cj",I882=120),VLOOKUP(T882,'CAFCO 300 IDIEM TABLAS'!$B$4:$D$23,3,FALSE),0)+IF(AND(L882="Cafco 300",J882&gt;=95,J882&lt;=400,G882=3,C882="IN",I882=90),VLOOKUP(T882,'CAFCO 300 IDIEM TABLAS'!$F$4:$H$35,2,FALSE),0)+IF(AND(L882="Cafco 300",J882&gt;=95,J882&lt;=400,G882=3,C882="IN",I882=120),VLOOKUP(T882,'CAFCO 300 IDIEM TABLAS'!$F$4:$H$35,3,FALSE),0)+IF(AND(L882="Cafco 300",J882&gt;=95,J882&lt;=450,G882=4,C882="IN",I882=90),VLOOKUP(T882,'CAFCO 300 IDIEM TABLAS'!$J$4:$L$40,2,FALSE),0)+IF(AND(L882="Cafco 300",J882&gt;=95,J882&lt;=450,G882=4,C882="IN",I882=120),VLOOKUP(T882,'CAFCO 300 IDIEM TABLAS'!$J$4:$L$40,3,FALSE),0)+IF(AND(M882="Ensayo Idiem",L882="Cafco 400",C882="IN",G882=4,I882=90),VLOOKUP(T882,'CAFCO 400 ENSAYO'!$B$7:$D$43,2,FALSE),0)+IF(AND(M882="Ensayo Idiem",L882="Cafco 400",C882="IN",G882=4,I882=120),VLOOKUP(T882,'CAFCO 400 ENSAYO'!$B$7:$D$43,3,FALSE),0)</f>
        <v>0</v>
      </c>
      <c r="O882" s="96">
        <f t="shared" si="90"/>
        <v>0</v>
      </c>
      <c r="P882" s="95" t="str">
        <f t="shared" ref="P882:P945" si="91">IF(AND(M882="Software Idiem"),IF(AND(C882="IN",G882=4,J882&gt;=50,J882&lt;=500),"CERT.",IF(AND(C882="Cj",J882&gt;=50,J882&lt;=500),"CERT.",IF(AND(C882="C",J882&gt;=50,J882&lt;=1000),"CERT.",IF(AND(C882="L",J882&gt;=50,J882&lt;=1000),"CERT.",IF(AND(C882="IN",G882=3,J882&gt;=50,J882&lt;=500),"CERT.","NO CERT."))))),"N/A")</f>
        <v>N/A</v>
      </c>
      <c r="Q882" s="95" t="str">
        <f t="shared" ref="Q882:Q945" si="92">IF(AND(M882="Software Idiem"),IF(AND(C882="IN",G882=4,J882&gt;=50,J882&lt;=500),"CERT.",IF(AND(C882="Cj",J882&gt;=50,J882&lt;=500),"CERT.",IF(AND(C882="C",J882&gt;=50,J882&lt;=1000),"CERT.",IF(AND(C882="L",J882&gt;=50,J882&lt;=1000),"CERT.",IF(AND(C882="IN",G882=3,J882&gt;=50,J882&lt;=500),"CERT.","NO CERT."))))),"N/A")</f>
        <v>N/A</v>
      </c>
      <c r="R882" s="95" t="str">
        <f t="shared" ref="R882:R945" si="93">IF(AND(C882="IN",G882=4,J882&gt;=95,J882&lt;=450,I882=90),"CERT.",IF(AND(C882="IN",G882=4,J882&gt;=95,J882&lt;=450,I882=120),"CERT.","NO CERT."))</f>
        <v>NO CERT.</v>
      </c>
      <c r="S882" s="95" t="e">
        <f t="shared" ref="S882:S945" si="94">IF(AND(C882="Cj",I882=90,T882&lt;=240),"CERT.",IF(AND(C882="Cj",I882=120,T882&lt;=240),"CERT.",IF(AND(C882="IN",G882=3,I882=90,T882&lt;=400),"CERT.",IF(AND(C882="IN",G882=3,I882=120,T882&lt;=400),"CERT.",IF(AND(C882="IN",G882=4,I882=90,T882&lt;=450),"CERT.",IF(AND(C882="IN",G882=4,I882=120,T882&lt;=450),"CERT.","NO CERT."))))))</f>
        <v>#N/A</v>
      </c>
      <c r="T882" s="119" t="e">
        <f>+IF(J882=LOOKUP(J882,'CAFCO 300 IDIEM TABLAS'!$J$4:$J$40),'CALCULO MORTERO'!J882,MROUND('CALCULO MORTERO'!J882,10))</f>
        <v>#N/A</v>
      </c>
      <c r="U882" s="118">
        <f t="shared" ref="U882:U945" si="95">+I882*60</f>
        <v>0</v>
      </c>
    </row>
    <row r="883" spans="1:21" x14ac:dyDescent="0.25">
      <c r="A883" s="118">
        <f>+CUBICACION!D877</f>
        <v>0</v>
      </c>
      <c r="B883" s="819">
        <f>+CUBICACION!E877</f>
        <v>0</v>
      </c>
      <c r="C883" s="675">
        <f>+CUBICACION!F877</f>
        <v>0</v>
      </c>
      <c r="D883" s="118"/>
      <c r="E883" s="118"/>
      <c r="F883" s="820"/>
      <c r="G883" s="675">
        <f>+CUBICACION!J877</f>
        <v>0</v>
      </c>
      <c r="H883" s="118"/>
      <c r="I883" s="821">
        <f>+CUBICACION!L877</f>
        <v>0</v>
      </c>
      <c r="J883" s="64">
        <f>+CUBICACION!M877</f>
        <v>0</v>
      </c>
      <c r="K883" s="822" t="str">
        <f>+CUBICACION!N877</f>
        <v/>
      </c>
      <c r="L883" s="118">
        <f>+CUBICACION!O877</f>
        <v>0</v>
      </c>
      <c r="M883" s="823">
        <f>+CUBICACION!P877</f>
        <v>0</v>
      </c>
      <c r="N883" s="902">
        <f>ROUND(IF(AND(L883="Blaze Shield II",M883="Software Idiem",C883="IN",G883=4),((('BLAZE SHIELD II'!$D$4*('CALCULO MORTERO'!I883^2)+'BLAZE SHIELD II'!$D$5*'CALCULO MORTERO'!I883+'BLAZE SHIELD II'!$D$6)*LN(J883))+('BLAZE SHIELD II'!$D$7*('CALCULO MORTERO'!I883^2)+'BLAZE SHIELD II'!$D$8*'CALCULO MORTERO'!I883+'BLAZE SHIELD II'!$D$9)),0)+IF(AND(L883="Blaze Shield II",M883="Software Idiem",C883="Cj"),((('BLAZE SHIELD II'!$H$4*('CALCULO MORTERO'!I883^2)+'BLAZE SHIELD II'!$H$5*'CALCULO MORTERO'!I883+'BLAZE SHIELD II'!$H$6)*LN(J883))+('BLAZE SHIELD II'!$H$7*('CALCULO MORTERO'!I883^2)+'BLAZE SHIELD II'!$H$8*'CALCULO MORTERO'!I883+'BLAZE SHIELD II'!$H$9)),0)+IF(AND(L883="Blaze Shield II",M883="Software Idiem",C883="C"),((('BLAZE SHIELD II'!$L$4*('CALCULO MORTERO'!I883^2)+'BLAZE SHIELD II'!$L$5*'CALCULO MORTERO'!I883+'BLAZE SHIELD II'!$L$6)*LN(J883))+('BLAZE SHIELD II'!$L$7*('CALCULO MORTERO'!I883^2)+'BLAZE SHIELD II'!$L$8*'CALCULO MORTERO'!I883+'BLAZE SHIELD II'!$L$9)),0)+IF(AND(L883="Blaze Shield II",M883="Software Idiem",C883="L"),((('BLAZE SHIELD II'!$L$4*('CALCULO MORTERO'!I883^2)+'BLAZE SHIELD II'!$L$5*'CALCULO MORTERO'!I883+'BLAZE SHIELD II'!$L$6)*LN(J883))+('BLAZE SHIELD II'!$L$7*('CALCULO MORTERO'!I883^2)+'BLAZE SHIELD II'!$L$8*'CALCULO MORTERO'!I883+'BLAZE SHIELD II'!$L$9)),0)+IF(AND(L883="Blaze Shield II",M883="Software Idiem",C883="IN",G883=3),((('BLAZE SHIELD II'!$H$14*('CALCULO MORTERO'!I883^2)+'BLAZE SHIELD II'!$H$15*'CALCULO MORTERO'!I883+'BLAZE SHIELD II'!$H$16)*LN(J883))+('BLAZE SHIELD II'!$H$17*('CALCULO MORTERO'!I883^2)+'BLAZE SHIELD II'!$H$18*'CALCULO MORTERO'!I883+'BLAZE SHIELD II'!$H$19)),0),0)+ROUND(IF(AND(L883="Cafco 400",M883="Software Idiem",C883="IN",G883=4),((('CAFCO 400 '!$H$7*(J883^4)+'CAFCO 400 '!$H$8*(J883^3)+'CAFCO 400 '!$H$9*(J883^2)+'CAFCO 400 '!$H$10*J883+'CAFCO 400 '!$H$11)*U883^2)+(('CAFCO 400 '!$H$12*(J883^3)+'CAFCO 400 '!$H$13*(J883^2)+'CAFCO 400 '!$H$14*J883+'CAFCO 400 '!$H$15)*U883)+('CAFCO 400 '!$H$16*(J883^2)+'CAFCO 400 '!$H$17*J883+'CAFCO 400 '!$H$18)),0)+IF(AND(L883="Cafco 400",M883="Software Idiem",C883="Cj"),(((('CAFCO 400 '!$D$7*LN(J883)+'CAFCO 400 '!$D$8)*U883^2)+(('CAFCO 400 '!$D$9*LN(J883)+'CAFCO 400 '!$D$10)*U883)+('CAFCO 400 '!$D$11*LN(J883)+'CAFCO 400 '!$D$12))),0)+IF(AND(L883="Cafco 400",M883="Software Idiem",C883="C"),((('CAFCO 400 '!$L$7*(J883^3)+'CAFCO 400 '!$L$8*(J883^2)+'CAFCO 400 '!$L$9*J883+'CAFCO 400 '!$L$10)*U883^2)+(('CAFCO 400 '!$L$11*(J883^3)+'CAFCO 400 '!$L$12*(J883^2)+'CAFCO 400 '!$L$13*J883+'CAFCO 400 '!$L$14)*U883)+('CAFCO 400 '!$L$15*LN(J883)+'CAFCO 400 '!$L$16)),0)+IF(AND(L883="Cafco 400",M883="Software Idiem",C883="L"),((('CAFCO 400 '!$L$7*(J883^3)+'CAFCO 400 '!$L$8*(J883^2)+'CAFCO 400 '!$L$9*J883+'CAFCO 400 '!$L$10)*U883^2)+(('CAFCO 400 '!$L$11*(J883^3)+'CAFCO 400 '!$L$12*(J883^2)+'CAFCO 400 '!$L$13*J883+'CAFCO 400 '!$L$14)*U883)+('CAFCO 400 '!$L$15*LN(J883)+'CAFCO 400 '!$L$16)),0)+IF(AND(L883="Cafco 400",M883="Software Idiem",C883="IN",G883=3),((('CAFCO 400 '!$D$23*(J883^2)+'CAFCO 400 '!$D$24*(J883)+'CAFCO 400 '!$D$25)*U883^2)+(('CAFCO 400 '!$D$26*(J883^2)+'CAFCO 400 '!$D$27*J883+'CAFCO 400 '!$D$28)*U883)+('CAFCO 400 '!$D$29*(J883^2)+'CAFCO 400 '!$D$30*J883+'CAFCO 400 '!$D$31)),0),0)+IF(AND(L883="Cafco 300",J883&gt;=95,J883&lt;=240,C883="Cj",I883=90),VLOOKUP(T883,'CAFCO 300 IDIEM TABLAS'!$B$4:$D$23,2,FALSE),0)+IF(AND(L883="Cafco 300",J883&gt;=95,J883&lt;=240,C883="Cj",I883=120),VLOOKUP(T883,'CAFCO 300 IDIEM TABLAS'!$B$4:$D$23,3,FALSE),0)+IF(AND(L883="Cafco 300",J883&gt;=95,J883&lt;=400,G883=3,C883="IN",I883=90),VLOOKUP(T883,'CAFCO 300 IDIEM TABLAS'!$F$4:$H$35,2,FALSE),0)+IF(AND(L883="Cafco 300",J883&gt;=95,J883&lt;=400,G883=3,C883="IN",I883=120),VLOOKUP(T883,'CAFCO 300 IDIEM TABLAS'!$F$4:$H$35,3,FALSE),0)+IF(AND(L883="Cafco 300",J883&gt;=95,J883&lt;=450,G883=4,C883="IN",I883=90),VLOOKUP(T883,'CAFCO 300 IDIEM TABLAS'!$J$4:$L$40,2,FALSE),0)+IF(AND(L883="Cafco 300",J883&gt;=95,J883&lt;=450,G883=4,C883="IN",I883=120),VLOOKUP(T883,'CAFCO 300 IDIEM TABLAS'!$J$4:$L$40,3,FALSE),0)+IF(AND(M883="Ensayo Idiem",L883="Cafco 400",C883="IN",G883=4,I883=90),VLOOKUP(T883,'CAFCO 400 ENSAYO'!$B$7:$D$43,2,FALSE),0)+IF(AND(M883="Ensayo Idiem",L883="Cafco 400",C883="IN",G883=4,I883=120),VLOOKUP(T883,'CAFCO 400 ENSAYO'!$B$7:$D$43,3,FALSE),0)</f>
        <v>0</v>
      </c>
      <c r="O883" s="96">
        <f t="shared" si="90"/>
        <v>0</v>
      </c>
      <c r="P883" s="132" t="str">
        <f t="shared" si="91"/>
        <v>N/A</v>
      </c>
      <c r="Q883" s="132" t="str">
        <f t="shared" si="92"/>
        <v>N/A</v>
      </c>
      <c r="R883" s="132" t="str">
        <f t="shared" si="93"/>
        <v>NO CERT.</v>
      </c>
      <c r="S883" s="132" t="e">
        <f t="shared" si="94"/>
        <v>#N/A</v>
      </c>
      <c r="T883" s="133" t="e">
        <f>+IF(J883=LOOKUP(J883,'CAFCO 300 IDIEM TABLAS'!$J$4:$J$40),'CALCULO MORTERO'!J883,MROUND('CALCULO MORTERO'!J883,10))</f>
        <v>#N/A</v>
      </c>
      <c r="U883" s="134">
        <f t="shared" si="95"/>
        <v>0</v>
      </c>
    </row>
    <row r="884" spans="1:21" x14ac:dyDescent="0.25">
      <c r="A884" s="118">
        <f>+CUBICACION!D878</f>
        <v>0</v>
      </c>
      <c r="B884" s="819">
        <f>+CUBICACION!E878</f>
        <v>0</v>
      </c>
      <c r="C884" s="675">
        <f>+CUBICACION!F878</f>
        <v>0</v>
      </c>
      <c r="D884" s="118"/>
      <c r="E884" s="118"/>
      <c r="F884" s="820"/>
      <c r="G884" s="675">
        <f>+CUBICACION!J878</f>
        <v>0</v>
      </c>
      <c r="H884" s="118"/>
      <c r="I884" s="821">
        <f>+CUBICACION!L878</f>
        <v>0</v>
      </c>
      <c r="J884" s="64">
        <f>+CUBICACION!M878</f>
        <v>0</v>
      </c>
      <c r="K884" s="822" t="str">
        <f>+CUBICACION!N878</f>
        <v/>
      </c>
      <c r="L884" s="118">
        <f>+CUBICACION!O878</f>
        <v>0</v>
      </c>
      <c r="M884" s="823">
        <f>+CUBICACION!P878</f>
        <v>0</v>
      </c>
      <c r="N884" s="902">
        <f>ROUND(IF(AND(L884="Blaze Shield II",M884="Software Idiem",C884="IN",G884=4),((('BLAZE SHIELD II'!$D$4*('CALCULO MORTERO'!I884^2)+'BLAZE SHIELD II'!$D$5*'CALCULO MORTERO'!I884+'BLAZE SHIELD II'!$D$6)*LN(J884))+('BLAZE SHIELD II'!$D$7*('CALCULO MORTERO'!I884^2)+'BLAZE SHIELD II'!$D$8*'CALCULO MORTERO'!I884+'BLAZE SHIELD II'!$D$9)),0)+IF(AND(L884="Blaze Shield II",M884="Software Idiem",C884="Cj"),((('BLAZE SHIELD II'!$H$4*('CALCULO MORTERO'!I884^2)+'BLAZE SHIELD II'!$H$5*'CALCULO MORTERO'!I884+'BLAZE SHIELD II'!$H$6)*LN(J884))+('BLAZE SHIELD II'!$H$7*('CALCULO MORTERO'!I884^2)+'BLAZE SHIELD II'!$H$8*'CALCULO MORTERO'!I884+'BLAZE SHIELD II'!$H$9)),0)+IF(AND(L884="Blaze Shield II",M884="Software Idiem",C884="C"),((('BLAZE SHIELD II'!$L$4*('CALCULO MORTERO'!I884^2)+'BLAZE SHIELD II'!$L$5*'CALCULO MORTERO'!I884+'BLAZE SHIELD II'!$L$6)*LN(J884))+('BLAZE SHIELD II'!$L$7*('CALCULO MORTERO'!I884^2)+'BLAZE SHIELD II'!$L$8*'CALCULO MORTERO'!I884+'BLAZE SHIELD II'!$L$9)),0)+IF(AND(L884="Blaze Shield II",M884="Software Idiem",C884="L"),((('BLAZE SHIELD II'!$L$4*('CALCULO MORTERO'!I884^2)+'BLAZE SHIELD II'!$L$5*'CALCULO MORTERO'!I884+'BLAZE SHIELD II'!$L$6)*LN(J884))+('BLAZE SHIELD II'!$L$7*('CALCULO MORTERO'!I884^2)+'BLAZE SHIELD II'!$L$8*'CALCULO MORTERO'!I884+'BLAZE SHIELD II'!$L$9)),0)+IF(AND(L884="Blaze Shield II",M884="Software Idiem",C884="IN",G884=3),((('BLAZE SHIELD II'!$H$14*('CALCULO MORTERO'!I884^2)+'BLAZE SHIELD II'!$H$15*'CALCULO MORTERO'!I884+'BLAZE SHIELD II'!$H$16)*LN(J884))+('BLAZE SHIELD II'!$H$17*('CALCULO MORTERO'!I884^2)+'BLAZE SHIELD II'!$H$18*'CALCULO MORTERO'!I884+'BLAZE SHIELD II'!$H$19)),0),0)+ROUND(IF(AND(L884="Cafco 400",M884="Software Idiem",C884="IN",G884=4),((('CAFCO 400 '!$H$7*(J884^4)+'CAFCO 400 '!$H$8*(J884^3)+'CAFCO 400 '!$H$9*(J884^2)+'CAFCO 400 '!$H$10*J884+'CAFCO 400 '!$H$11)*U884^2)+(('CAFCO 400 '!$H$12*(J884^3)+'CAFCO 400 '!$H$13*(J884^2)+'CAFCO 400 '!$H$14*J884+'CAFCO 400 '!$H$15)*U884)+('CAFCO 400 '!$H$16*(J884^2)+'CAFCO 400 '!$H$17*J884+'CAFCO 400 '!$H$18)),0)+IF(AND(L884="Cafco 400",M884="Software Idiem",C884="Cj"),(((('CAFCO 400 '!$D$7*LN(J884)+'CAFCO 400 '!$D$8)*U884^2)+(('CAFCO 400 '!$D$9*LN(J884)+'CAFCO 400 '!$D$10)*U884)+('CAFCO 400 '!$D$11*LN(J884)+'CAFCO 400 '!$D$12))),0)+IF(AND(L884="Cafco 400",M884="Software Idiem",C884="C"),((('CAFCO 400 '!$L$7*(J884^3)+'CAFCO 400 '!$L$8*(J884^2)+'CAFCO 400 '!$L$9*J884+'CAFCO 400 '!$L$10)*U884^2)+(('CAFCO 400 '!$L$11*(J884^3)+'CAFCO 400 '!$L$12*(J884^2)+'CAFCO 400 '!$L$13*J884+'CAFCO 400 '!$L$14)*U884)+('CAFCO 400 '!$L$15*LN(J884)+'CAFCO 400 '!$L$16)),0)+IF(AND(L884="Cafco 400",M884="Software Idiem",C884="L"),((('CAFCO 400 '!$L$7*(J884^3)+'CAFCO 400 '!$L$8*(J884^2)+'CAFCO 400 '!$L$9*J884+'CAFCO 400 '!$L$10)*U884^2)+(('CAFCO 400 '!$L$11*(J884^3)+'CAFCO 400 '!$L$12*(J884^2)+'CAFCO 400 '!$L$13*J884+'CAFCO 400 '!$L$14)*U884)+('CAFCO 400 '!$L$15*LN(J884)+'CAFCO 400 '!$L$16)),0)+IF(AND(L884="Cafco 400",M884="Software Idiem",C884="IN",G884=3),((('CAFCO 400 '!$D$23*(J884^2)+'CAFCO 400 '!$D$24*(J884)+'CAFCO 400 '!$D$25)*U884^2)+(('CAFCO 400 '!$D$26*(J884^2)+'CAFCO 400 '!$D$27*J884+'CAFCO 400 '!$D$28)*U884)+('CAFCO 400 '!$D$29*(J884^2)+'CAFCO 400 '!$D$30*J884+'CAFCO 400 '!$D$31)),0),0)+IF(AND(L884="Cafco 300",J884&gt;=95,J884&lt;=240,C884="Cj",I884=90),VLOOKUP(T884,'CAFCO 300 IDIEM TABLAS'!$B$4:$D$23,2,FALSE),0)+IF(AND(L884="Cafco 300",J884&gt;=95,J884&lt;=240,C884="Cj",I884=120),VLOOKUP(T884,'CAFCO 300 IDIEM TABLAS'!$B$4:$D$23,3,FALSE),0)+IF(AND(L884="Cafco 300",J884&gt;=95,J884&lt;=400,G884=3,C884="IN",I884=90),VLOOKUP(T884,'CAFCO 300 IDIEM TABLAS'!$F$4:$H$35,2,FALSE),0)+IF(AND(L884="Cafco 300",J884&gt;=95,J884&lt;=400,G884=3,C884="IN",I884=120),VLOOKUP(T884,'CAFCO 300 IDIEM TABLAS'!$F$4:$H$35,3,FALSE),0)+IF(AND(L884="Cafco 300",J884&gt;=95,J884&lt;=450,G884=4,C884="IN",I884=90),VLOOKUP(T884,'CAFCO 300 IDIEM TABLAS'!$J$4:$L$40,2,FALSE),0)+IF(AND(L884="Cafco 300",J884&gt;=95,J884&lt;=450,G884=4,C884="IN",I884=120),VLOOKUP(T884,'CAFCO 300 IDIEM TABLAS'!$J$4:$L$40,3,FALSE),0)+IF(AND(M884="Ensayo Idiem",L884="Cafco 400",C884="IN",G884=4,I884=90),VLOOKUP(T884,'CAFCO 400 ENSAYO'!$B$7:$D$43,2,FALSE),0)+IF(AND(M884="Ensayo Idiem",L884="Cafco 400",C884="IN",G884=4,I884=120),VLOOKUP(T884,'CAFCO 400 ENSAYO'!$B$7:$D$43,3,FALSE),0)</f>
        <v>0</v>
      </c>
      <c r="O884" s="96">
        <f t="shared" si="90"/>
        <v>0</v>
      </c>
      <c r="P884" s="95" t="str">
        <f t="shared" si="91"/>
        <v>N/A</v>
      </c>
      <c r="Q884" s="95" t="str">
        <f t="shared" si="92"/>
        <v>N/A</v>
      </c>
      <c r="R884" s="95" t="str">
        <f t="shared" si="93"/>
        <v>NO CERT.</v>
      </c>
      <c r="S884" s="95" t="e">
        <f t="shared" si="94"/>
        <v>#N/A</v>
      </c>
      <c r="T884" s="119" t="e">
        <f>+IF(J884=LOOKUP(J884,'CAFCO 300 IDIEM TABLAS'!$J$4:$J$40),'CALCULO MORTERO'!J884,MROUND('CALCULO MORTERO'!J884,10))</f>
        <v>#N/A</v>
      </c>
      <c r="U884" s="118">
        <f t="shared" si="95"/>
        <v>0</v>
      </c>
    </row>
    <row r="885" spans="1:21" x14ac:dyDescent="0.25">
      <c r="A885" s="118">
        <f>+CUBICACION!D879</f>
        <v>0</v>
      </c>
      <c r="B885" s="819">
        <f>+CUBICACION!E879</f>
        <v>0</v>
      </c>
      <c r="C885" s="675">
        <f>+CUBICACION!F879</f>
        <v>0</v>
      </c>
      <c r="D885" s="118"/>
      <c r="E885" s="118"/>
      <c r="F885" s="820"/>
      <c r="G885" s="675">
        <f>+CUBICACION!J879</f>
        <v>0</v>
      </c>
      <c r="H885" s="118"/>
      <c r="I885" s="821">
        <f>+CUBICACION!L879</f>
        <v>0</v>
      </c>
      <c r="J885" s="64">
        <f>+CUBICACION!M879</f>
        <v>0</v>
      </c>
      <c r="K885" s="822" t="str">
        <f>+CUBICACION!N879</f>
        <v/>
      </c>
      <c r="L885" s="118">
        <f>+CUBICACION!O879</f>
        <v>0</v>
      </c>
      <c r="M885" s="823">
        <f>+CUBICACION!P879</f>
        <v>0</v>
      </c>
      <c r="N885" s="902">
        <f>ROUND(IF(AND(L885="Blaze Shield II",M885="Software Idiem",C885="IN",G885=4),((('BLAZE SHIELD II'!$D$4*('CALCULO MORTERO'!I885^2)+'BLAZE SHIELD II'!$D$5*'CALCULO MORTERO'!I885+'BLAZE SHIELD II'!$D$6)*LN(J885))+('BLAZE SHIELD II'!$D$7*('CALCULO MORTERO'!I885^2)+'BLAZE SHIELD II'!$D$8*'CALCULO MORTERO'!I885+'BLAZE SHIELD II'!$D$9)),0)+IF(AND(L885="Blaze Shield II",M885="Software Idiem",C885="Cj"),((('BLAZE SHIELD II'!$H$4*('CALCULO MORTERO'!I885^2)+'BLAZE SHIELD II'!$H$5*'CALCULO MORTERO'!I885+'BLAZE SHIELD II'!$H$6)*LN(J885))+('BLAZE SHIELD II'!$H$7*('CALCULO MORTERO'!I885^2)+'BLAZE SHIELD II'!$H$8*'CALCULO MORTERO'!I885+'BLAZE SHIELD II'!$H$9)),0)+IF(AND(L885="Blaze Shield II",M885="Software Idiem",C885="C"),((('BLAZE SHIELD II'!$L$4*('CALCULO MORTERO'!I885^2)+'BLAZE SHIELD II'!$L$5*'CALCULO MORTERO'!I885+'BLAZE SHIELD II'!$L$6)*LN(J885))+('BLAZE SHIELD II'!$L$7*('CALCULO MORTERO'!I885^2)+'BLAZE SHIELD II'!$L$8*'CALCULO MORTERO'!I885+'BLAZE SHIELD II'!$L$9)),0)+IF(AND(L885="Blaze Shield II",M885="Software Idiem",C885="L"),((('BLAZE SHIELD II'!$L$4*('CALCULO MORTERO'!I885^2)+'BLAZE SHIELD II'!$L$5*'CALCULO MORTERO'!I885+'BLAZE SHIELD II'!$L$6)*LN(J885))+('BLAZE SHIELD II'!$L$7*('CALCULO MORTERO'!I885^2)+'BLAZE SHIELD II'!$L$8*'CALCULO MORTERO'!I885+'BLAZE SHIELD II'!$L$9)),0)+IF(AND(L885="Blaze Shield II",M885="Software Idiem",C885="IN",G885=3),((('BLAZE SHIELD II'!$H$14*('CALCULO MORTERO'!I885^2)+'BLAZE SHIELD II'!$H$15*'CALCULO MORTERO'!I885+'BLAZE SHIELD II'!$H$16)*LN(J885))+('BLAZE SHIELD II'!$H$17*('CALCULO MORTERO'!I885^2)+'BLAZE SHIELD II'!$H$18*'CALCULO MORTERO'!I885+'BLAZE SHIELD II'!$H$19)),0),0)+ROUND(IF(AND(L885="Cafco 400",M885="Software Idiem",C885="IN",G885=4),((('CAFCO 400 '!$H$7*(J885^4)+'CAFCO 400 '!$H$8*(J885^3)+'CAFCO 400 '!$H$9*(J885^2)+'CAFCO 400 '!$H$10*J885+'CAFCO 400 '!$H$11)*U885^2)+(('CAFCO 400 '!$H$12*(J885^3)+'CAFCO 400 '!$H$13*(J885^2)+'CAFCO 400 '!$H$14*J885+'CAFCO 400 '!$H$15)*U885)+('CAFCO 400 '!$H$16*(J885^2)+'CAFCO 400 '!$H$17*J885+'CAFCO 400 '!$H$18)),0)+IF(AND(L885="Cafco 400",M885="Software Idiem",C885="Cj"),(((('CAFCO 400 '!$D$7*LN(J885)+'CAFCO 400 '!$D$8)*U885^2)+(('CAFCO 400 '!$D$9*LN(J885)+'CAFCO 400 '!$D$10)*U885)+('CAFCO 400 '!$D$11*LN(J885)+'CAFCO 400 '!$D$12))),0)+IF(AND(L885="Cafco 400",M885="Software Idiem",C885="C"),((('CAFCO 400 '!$L$7*(J885^3)+'CAFCO 400 '!$L$8*(J885^2)+'CAFCO 400 '!$L$9*J885+'CAFCO 400 '!$L$10)*U885^2)+(('CAFCO 400 '!$L$11*(J885^3)+'CAFCO 400 '!$L$12*(J885^2)+'CAFCO 400 '!$L$13*J885+'CAFCO 400 '!$L$14)*U885)+('CAFCO 400 '!$L$15*LN(J885)+'CAFCO 400 '!$L$16)),0)+IF(AND(L885="Cafco 400",M885="Software Idiem",C885="L"),((('CAFCO 400 '!$L$7*(J885^3)+'CAFCO 400 '!$L$8*(J885^2)+'CAFCO 400 '!$L$9*J885+'CAFCO 400 '!$L$10)*U885^2)+(('CAFCO 400 '!$L$11*(J885^3)+'CAFCO 400 '!$L$12*(J885^2)+'CAFCO 400 '!$L$13*J885+'CAFCO 400 '!$L$14)*U885)+('CAFCO 400 '!$L$15*LN(J885)+'CAFCO 400 '!$L$16)),0)+IF(AND(L885="Cafco 400",M885="Software Idiem",C885="IN",G885=3),((('CAFCO 400 '!$D$23*(J885^2)+'CAFCO 400 '!$D$24*(J885)+'CAFCO 400 '!$D$25)*U885^2)+(('CAFCO 400 '!$D$26*(J885^2)+'CAFCO 400 '!$D$27*J885+'CAFCO 400 '!$D$28)*U885)+('CAFCO 400 '!$D$29*(J885^2)+'CAFCO 400 '!$D$30*J885+'CAFCO 400 '!$D$31)),0),0)+IF(AND(L885="Cafco 300",J885&gt;=95,J885&lt;=240,C885="Cj",I885=90),VLOOKUP(T885,'CAFCO 300 IDIEM TABLAS'!$B$4:$D$23,2,FALSE),0)+IF(AND(L885="Cafco 300",J885&gt;=95,J885&lt;=240,C885="Cj",I885=120),VLOOKUP(T885,'CAFCO 300 IDIEM TABLAS'!$B$4:$D$23,3,FALSE),0)+IF(AND(L885="Cafco 300",J885&gt;=95,J885&lt;=400,G885=3,C885="IN",I885=90),VLOOKUP(T885,'CAFCO 300 IDIEM TABLAS'!$F$4:$H$35,2,FALSE),0)+IF(AND(L885="Cafco 300",J885&gt;=95,J885&lt;=400,G885=3,C885="IN",I885=120),VLOOKUP(T885,'CAFCO 300 IDIEM TABLAS'!$F$4:$H$35,3,FALSE),0)+IF(AND(L885="Cafco 300",J885&gt;=95,J885&lt;=450,G885=4,C885="IN",I885=90),VLOOKUP(T885,'CAFCO 300 IDIEM TABLAS'!$J$4:$L$40,2,FALSE),0)+IF(AND(L885="Cafco 300",J885&gt;=95,J885&lt;=450,G885=4,C885="IN",I885=120),VLOOKUP(T885,'CAFCO 300 IDIEM TABLAS'!$J$4:$L$40,3,FALSE),0)+IF(AND(M885="Ensayo Idiem",L885="Cafco 400",C885="IN",G885=4,I885=90),VLOOKUP(T885,'CAFCO 400 ENSAYO'!$B$7:$D$43,2,FALSE),0)+IF(AND(M885="Ensayo Idiem",L885="Cafco 400",C885="IN",G885=4,I885=120),VLOOKUP(T885,'CAFCO 400 ENSAYO'!$B$7:$D$43,3,FALSE),0)</f>
        <v>0</v>
      </c>
      <c r="O885" s="96">
        <f t="shared" si="90"/>
        <v>0</v>
      </c>
      <c r="P885" s="132" t="str">
        <f t="shared" si="91"/>
        <v>N/A</v>
      </c>
      <c r="Q885" s="132" t="str">
        <f t="shared" si="92"/>
        <v>N/A</v>
      </c>
      <c r="R885" s="132" t="str">
        <f t="shared" si="93"/>
        <v>NO CERT.</v>
      </c>
      <c r="S885" s="132" t="e">
        <f t="shared" si="94"/>
        <v>#N/A</v>
      </c>
      <c r="T885" s="133" t="e">
        <f>+IF(J885=LOOKUP(J885,'CAFCO 300 IDIEM TABLAS'!$J$4:$J$40),'CALCULO MORTERO'!J885,MROUND('CALCULO MORTERO'!J885,10))</f>
        <v>#N/A</v>
      </c>
      <c r="U885" s="134">
        <f t="shared" si="95"/>
        <v>0</v>
      </c>
    </row>
    <row r="886" spans="1:21" x14ac:dyDescent="0.25">
      <c r="A886" s="118">
        <f>+CUBICACION!D880</f>
        <v>0</v>
      </c>
      <c r="B886" s="819">
        <f>+CUBICACION!E880</f>
        <v>0</v>
      </c>
      <c r="C886" s="675">
        <f>+CUBICACION!F880</f>
        <v>0</v>
      </c>
      <c r="D886" s="118"/>
      <c r="E886" s="118"/>
      <c r="F886" s="820"/>
      <c r="G886" s="675">
        <f>+CUBICACION!J880</f>
        <v>0</v>
      </c>
      <c r="H886" s="118"/>
      <c r="I886" s="821">
        <f>+CUBICACION!L880</f>
        <v>0</v>
      </c>
      <c r="J886" s="64">
        <f>+CUBICACION!M880</f>
        <v>0</v>
      </c>
      <c r="K886" s="822" t="str">
        <f>+CUBICACION!N880</f>
        <v/>
      </c>
      <c r="L886" s="118">
        <f>+CUBICACION!O880</f>
        <v>0</v>
      </c>
      <c r="M886" s="823">
        <f>+CUBICACION!P880</f>
        <v>0</v>
      </c>
      <c r="N886" s="902">
        <f>ROUND(IF(AND(L886="Blaze Shield II",M886="Software Idiem",C886="IN",G886=4),((('BLAZE SHIELD II'!$D$4*('CALCULO MORTERO'!I886^2)+'BLAZE SHIELD II'!$D$5*'CALCULO MORTERO'!I886+'BLAZE SHIELD II'!$D$6)*LN(J886))+('BLAZE SHIELD II'!$D$7*('CALCULO MORTERO'!I886^2)+'BLAZE SHIELD II'!$D$8*'CALCULO MORTERO'!I886+'BLAZE SHIELD II'!$D$9)),0)+IF(AND(L886="Blaze Shield II",M886="Software Idiem",C886="Cj"),((('BLAZE SHIELD II'!$H$4*('CALCULO MORTERO'!I886^2)+'BLAZE SHIELD II'!$H$5*'CALCULO MORTERO'!I886+'BLAZE SHIELD II'!$H$6)*LN(J886))+('BLAZE SHIELD II'!$H$7*('CALCULO MORTERO'!I886^2)+'BLAZE SHIELD II'!$H$8*'CALCULO MORTERO'!I886+'BLAZE SHIELD II'!$H$9)),0)+IF(AND(L886="Blaze Shield II",M886="Software Idiem",C886="C"),((('BLAZE SHIELD II'!$L$4*('CALCULO MORTERO'!I886^2)+'BLAZE SHIELD II'!$L$5*'CALCULO MORTERO'!I886+'BLAZE SHIELD II'!$L$6)*LN(J886))+('BLAZE SHIELD II'!$L$7*('CALCULO MORTERO'!I886^2)+'BLAZE SHIELD II'!$L$8*'CALCULO MORTERO'!I886+'BLAZE SHIELD II'!$L$9)),0)+IF(AND(L886="Blaze Shield II",M886="Software Idiem",C886="L"),((('BLAZE SHIELD II'!$L$4*('CALCULO MORTERO'!I886^2)+'BLAZE SHIELD II'!$L$5*'CALCULO MORTERO'!I886+'BLAZE SHIELD II'!$L$6)*LN(J886))+('BLAZE SHIELD II'!$L$7*('CALCULO MORTERO'!I886^2)+'BLAZE SHIELD II'!$L$8*'CALCULO MORTERO'!I886+'BLAZE SHIELD II'!$L$9)),0)+IF(AND(L886="Blaze Shield II",M886="Software Idiem",C886="IN",G886=3),((('BLAZE SHIELD II'!$H$14*('CALCULO MORTERO'!I886^2)+'BLAZE SHIELD II'!$H$15*'CALCULO MORTERO'!I886+'BLAZE SHIELD II'!$H$16)*LN(J886))+('BLAZE SHIELD II'!$H$17*('CALCULO MORTERO'!I886^2)+'BLAZE SHIELD II'!$H$18*'CALCULO MORTERO'!I886+'BLAZE SHIELD II'!$H$19)),0),0)+ROUND(IF(AND(L886="Cafco 400",M886="Software Idiem",C886="IN",G886=4),((('CAFCO 400 '!$H$7*(J886^4)+'CAFCO 400 '!$H$8*(J886^3)+'CAFCO 400 '!$H$9*(J886^2)+'CAFCO 400 '!$H$10*J886+'CAFCO 400 '!$H$11)*U886^2)+(('CAFCO 400 '!$H$12*(J886^3)+'CAFCO 400 '!$H$13*(J886^2)+'CAFCO 400 '!$H$14*J886+'CAFCO 400 '!$H$15)*U886)+('CAFCO 400 '!$H$16*(J886^2)+'CAFCO 400 '!$H$17*J886+'CAFCO 400 '!$H$18)),0)+IF(AND(L886="Cafco 400",M886="Software Idiem",C886="Cj"),(((('CAFCO 400 '!$D$7*LN(J886)+'CAFCO 400 '!$D$8)*U886^2)+(('CAFCO 400 '!$D$9*LN(J886)+'CAFCO 400 '!$D$10)*U886)+('CAFCO 400 '!$D$11*LN(J886)+'CAFCO 400 '!$D$12))),0)+IF(AND(L886="Cafco 400",M886="Software Idiem",C886="C"),((('CAFCO 400 '!$L$7*(J886^3)+'CAFCO 400 '!$L$8*(J886^2)+'CAFCO 400 '!$L$9*J886+'CAFCO 400 '!$L$10)*U886^2)+(('CAFCO 400 '!$L$11*(J886^3)+'CAFCO 400 '!$L$12*(J886^2)+'CAFCO 400 '!$L$13*J886+'CAFCO 400 '!$L$14)*U886)+('CAFCO 400 '!$L$15*LN(J886)+'CAFCO 400 '!$L$16)),0)+IF(AND(L886="Cafco 400",M886="Software Idiem",C886="L"),((('CAFCO 400 '!$L$7*(J886^3)+'CAFCO 400 '!$L$8*(J886^2)+'CAFCO 400 '!$L$9*J886+'CAFCO 400 '!$L$10)*U886^2)+(('CAFCO 400 '!$L$11*(J886^3)+'CAFCO 400 '!$L$12*(J886^2)+'CAFCO 400 '!$L$13*J886+'CAFCO 400 '!$L$14)*U886)+('CAFCO 400 '!$L$15*LN(J886)+'CAFCO 400 '!$L$16)),0)+IF(AND(L886="Cafco 400",M886="Software Idiem",C886="IN",G886=3),((('CAFCO 400 '!$D$23*(J886^2)+'CAFCO 400 '!$D$24*(J886)+'CAFCO 400 '!$D$25)*U886^2)+(('CAFCO 400 '!$D$26*(J886^2)+'CAFCO 400 '!$D$27*J886+'CAFCO 400 '!$D$28)*U886)+('CAFCO 400 '!$D$29*(J886^2)+'CAFCO 400 '!$D$30*J886+'CAFCO 400 '!$D$31)),0),0)+IF(AND(L886="Cafco 300",J886&gt;=95,J886&lt;=240,C886="Cj",I886=90),VLOOKUP(T886,'CAFCO 300 IDIEM TABLAS'!$B$4:$D$23,2,FALSE),0)+IF(AND(L886="Cafco 300",J886&gt;=95,J886&lt;=240,C886="Cj",I886=120),VLOOKUP(T886,'CAFCO 300 IDIEM TABLAS'!$B$4:$D$23,3,FALSE),0)+IF(AND(L886="Cafco 300",J886&gt;=95,J886&lt;=400,G886=3,C886="IN",I886=90),VLOOKUP(T886,'CAFCO 300 IDIEM TABLAS'!$F$4:$H$35,2,FALSE),0)+IF(AND(L886="Cafco 300",J886&gt;=95,J886&lt;=400,G886=3,C886="IN",I886=120),VLOOKUP(T886,'CAFCO 300 IDIEM TABLAS'!$F$4:$H$35,3,FALSE),0)+IF(AND(L886="Cafco 300",J886&gt;=95,J886&lt;=450,G886=4,C886="IN",I886=90),VLOOKUP(T886,'CAFCO 300 IDIEM TABLAS'!$J$4:$L$40,2,FALSE),0)+IF(AND(L886="Cafco 300",J886&gt;=95,J886&lt;=450,G886=4,C886="IN",I886=120),VLOOKUP(T886,'CAFCO 300 IDIEM TABLAS'!$J$4:$L$40,3,FALSE),0)+IF(AND(M886="Ensayo Idiem",L886="Cafco 400",C886="IN",G886=4,I886=90),VLOOKUP(T886,'CAFCO 400 ENSAYO'!$B$7:$D$43,2,FALSE),0)+IF(AND(M886="Ensayo Idiem",L886="Cafco 400",C886="IN",G886=4,I886=120),VLOOKUP(T886,'CAFCO 400 ENSAYO'!$B$7:$D$43,3,FALSE),0)</f>
        <v>0</v>
      </c>
      <c r="O886" s="96">
        <f t="shared" si="90"/>
        <v>0</v>
      </c>
      <c r="P886" s="95" t="str">
        <f t="shared" si="91"/>
        <v>N/A</v>
      </c>
      <c r="Q886" s="95" t="str">
        <f t="shared" si="92"/>
        <v>N/A</v>
      </c>
      <c r="R886" s="95" t="str">
        <f t="shared" si="93"/>
        <v>NO CERT.</v>
      </c>
      <c r="S886" s="95" t="e">
        <f t="shared" si="94"/>
        <v>#N/A</v>
      </c>
      <c r="T886" s="119" t="e">
        <f>+IF(J886=LOOKUP(J886,'CAFCO 300 IDIEM TABLAS'!$J$4:$J$40),'CALCULO MORTERO'!J886,MROUND('CALCULO MORTERO'!J886,10))</f>
        <v>#N/A</v>
      </c>
      <c r="U886" s="118">
        <f t="shared" si="95"/>
        <v>0</v>
      </c>
    </row>
    <row r="887" spans="1:21" x14ac:dyDescent="0.25">
      <c r="A887" s="118">
        <f>+CUBICACION!D881</f>
        <v>0</v>
      </c>
      <c r="B887" s="819">
        <f>+CUBICACION!E881</f>
        <v>0</v>
      </c>
      <c r="C887" s="675">
        <f>+CUBICACION!F881</f>
        <v>0</v>
      </c>
      <c r="D887" s="118"/>
      <c r="E887" s="118"/>
      <c r="F887" s="820"/>
      <c r="G887" s="675">
        <f>+CUBICACION!J881</f>
        <v>0</v>
      </c>
      <c r="H887" s="118"/>
      <c r="I887" s="821">
        <f>+CUBICACION!L881</f>
        <v>0</v>
      </c>
      <c r="J887" s="64">
        <f>+CUBICACION!M881</f>
        <v>0</v>
      </c>
      <c r="K887" s="822" t="str">
        <f>+CUBICACION!N881</f>
        <v/>
      </c>
      <c r="L887" s="118">
        <f>+CUBICACION!O881</f>
        <v>0</v>
      </c>
      <c r="M887" s="823">
        <f>+CUBICACION!P881</f>
        <v>0</v>
      </c>
      <c r="N887" s="902">
        <f>ROUND(IF(AND(L887="Blaze Shield II",M887="Software Idiem",C887="IN",G887=4),((('BLAZE SHIELD II'!$D$4*('CALCULO MORTERO'!I887^2)+'BLAZE SHIELD II'!$D$5*'CALCULO MORTERO'!I887+'BLAZE SHIELD II'!$D$6)*LN(J887))+('BLAZE SHIELD II'!$D$7*('CALCULO MORTERO'!I887^2)+'BLAZE SHIELD II'!$D$8*'CALCULO MORTERO'!I887+'BLAZE SHIELD II'!$D$9)),0)+IF(AND(L887="Blaze Shield II",M887="Software Idiem",C887="Cj"),((('BLAZE SHIELD II'!$H$4*('CALCULO MORTERO'!I887^2)+'BLAZE SHIELD II'!$H$5*'CALCULO MORTERO'!I887+'BLAZE SHIELD II'!$H$6)*LN(J887))+('BLAZE SHIELD II'!$H$7*('CALCULO MORTERO'!I887^2)+'BLAZE SHIELD II'!$H$8*'CALCULO MORTERO'!I887+'BLAZE SHIELD II'!$H$9)),0)+IF(AND(L887="Blaze Shield II",M887="Software Idiem",C887="C"),((('BLAZE SHIELD II'!$L$4*('CALCULO MORTERO'!I887^2)+'BLAZE SHIELD II'!$L$5*'CALCULO MORTERO'!I887+'BLAZE SHIELD II'!$L$6)*LN(J887))+('BLAZE SHIELD II'!$L$7*('CALCULO MORTERO'!I887^2)+'BLAZE SHIELD II'!$L$8*'CALCULO MORTERO'!I887+'BLAZE SHIELD II'!$L$9)),0)+IF(AND(L887="Blaze Shield II",M887="Software Idiem",C887="L"),((('BLAZE SHIELD II'!$L$4*('CALCULO MORTERO'!I887^2)+'BLAZE SHIELD II'!$L$5*'CALCULO MORTERO'!I887+'BLAZE SHIELD II'!$L$6)*LN(J887))+('BLAZE SHIELD II'!$L$7*('CALCULO MORTERO'!I887^2)+'BLAZE SHIELD II'!$L$8*'CALCULO MORTERO'!I887+'BLAZE SHIELD II'!$L$9)),0)+IF(AND(L887="Blaze Shield II",M887="Software Idiem",C887="IN",G887=3),((('BLAZE SHIELD II'!$H$14*('CALCULO MORTERO'!I887^2)+'BLAZE SHIELD II'!$H$15*'CALCULO MORTERO'!I887+'BLAZE SHIELD II'!$H$16)*LN(J887))+('BLAZE SHIELD II'!$H$17*('CALCULO MORTERO'!I887^2)+'BLAZE SHIELD II'!$H$18*'CALCULO MORTERO'!I887+'BLAZE SHIELD II'!$H$19)),0),0)+ROUND(IF(AND(L887="Cafco 400",M887="Software Idiem",C887="IN",G887=4),((('CAFCO 400 '!$H$7*(J887^4)+'CAFCO 400 '!$H$8*(J887^3)+'CAFCO 400 '!$H$9*(J887^2)+'CAFCO 400 '!$H$10*J887+'CAFCO 400 '!$H$11)*U887^2)+(('CAFCO 400 '!$H$12*(J887^3)+'CAFCO 400 '!$H$13*(J887^2)+'CAFCO 400 '!$H$14*J887+'CAFCO 400 '!$H$15)*U887)+('CAFCO 400 '!$H$16*(J887^2)+'CAFCO 400 '!$H$17*J887+'CAFCO 400 '!$H$18)),0)+IF(AND(L887="Cafco 400",M887="Software Idiem",C887="Cj"),(((('CAFCO 400 '!$D$7*LN(J887)+'CAFCO 400 '!$D$8)*U887^2)+(('CAFCO 400 '!$D$9*LN(J887)+'CAFCO 400 '!$D$10)*U887)+('CAFCO 400 '!$D$11*LN(J887)+'CAFCO 400 '!$D$12))),0)+IF(AND(L887="Cafco 400",M887="Software Idiem",C887="C"),((('CAFCO 400 '!$L$7*(J887^3)+'CAFCO 400 '!$L$8*(J887^2)+'CAFCO 400 '!$L$9*J887+'CAFCO 400 '!$L$10)*U887^2)+(('CAFCO 400 '!$L$11*(J887^3)+'CAFCO 400 '!$L$12*(J887^2)+'CAFCO 400 '!$L$13*J887+'CAFCO 400 '!$L$14)*U887)+('CAFCO 400 '!$L$15*LN(J887)+'CAFCO 400 '!$L$16)),0)+IF(AND(L887="Cafco 400",M887="Software Idiem",C887="L"),((('CAFCO 400 '!$L$7*(J887^3)+'CAFCO 400 '!$L$8*(J887^2)+'CAFCO 400 '!$L$9*J887+'CAFCO 400 '!$L$10)*U887^2)+(('CAFCO 400 '!$L$11*(J887^3)+'CAFCO 400 '!$L$12*(J887^2)+'CAFCO 400 '!$L$13*J887+'CAFCO 400 '!$L$14)*U887)+('CAFCO 400 '!$L$15*LN(J887)+'CAFCO 400 '!$L$16)),0)+IF(AND(L887="Cafco 400",M887="Software Idiem",C887="IN",G887=3),((('CAFCO 400 '!$D$23*(J887^2)+'CAFCO 400 '!$D$24*(J887)+'CAFCO 400 '!$D$25)*U887^2)+(('CAFCO 400 '!$D$26*(J887^2)+'CAFCO 400 '!$D$27*J887+'CAFCO 400 '!$D$28)*U887)+('CAFCO 400 '!$D$29*(J887^2)+'CAFCO 400 '!$D$30*J887+'CAFCO 400 '!$D$31)),0),0)+IF(AND(L887="Cafco 300",J887&gt;=95,J887&lt;=240,C887="Cj",I887=90),VLOOKUP(T887,'CAFCO 300 IDIEM TABLAS'!$B$4:$D$23,2,FALSE),0)+IF(AND(L887="Cafco 300",J887&gt;=95,J887&lt;=240,C887="Cj",I887=120),VLOOKUP(T887,'CAFCO 300 IDIEM TABLAS'!$B$4:$D$23,3,FALSE),0)+IF(AND(L887="Cafco 300",J887&gt;=95,J887&lt;=400,G887=3,C887="IN",I887=90),VLOOKUP(T887,'CAFCO 300 IDIEM TABLAS'!$F$4:$H$35,2,FALSE),0)+IF(AND(L887="Cafco 300",J887&gt;=95,J887&lt;=400,G887=3,C887="IN",I887=120),VLOOKUP(T887,'CAFCO 300 IDIEM TABLAS'!$F$4:$H$35,3,FALSE),0)+IF(AND(L887="Cafco 300",J887&gt;=95,J887&lt;=450,G887=4,C887="IN",I887=90),VLOOKUP(T887,'CAFCO 300 IDIEM TABLAS'!$J$4:$L$40,2,FALSE),0)+IF(AND(L887="Cafco 300",J887&gt;=95,J887&lt;=450,G887=4,C887="IN",I887=120),VLOOKUP(T887,'CAFCO 300 IDIEM TABLAS'!$J$4:$L$40,3,FALSE),0)+IF(AND(M887="Ensayo Idiem",L887="Cafco 400",C887="IN",G887=4,I887=90),VLOOKUP(T887,'CAFCO 400 ENSAYO'!$B$7:$D$43,2,FALSE),0)+IF(AND(M887="Ensayo Idiem",L887="Cafco 400",C887="IN",G887=4,I887=120),VLOOKUP(T887,'CAFCO 400 ENSAYO'!$B$7:$D$43,3,FALSE),0)</f>
        <v>0</v>
      </c>
      <c r="O887" s="96">
        <f t="shared" si="90"/>
        <v>0</v>
      </c>
      <c r="P887" s="132" t="str">
        <f t="shared" si="91"/>
        <v>N/A</v>
      </c>
      <c r="Q887" s="132" t="str">
        <f t="shared" si="92"/>
        <v>N/A</v>
      </c>
      <c r="R887" s="132" t="str">
        <f t="shared" si="93"/>
        <v>NO CERT.</v>
      </c>
      <c r="S887" s="132" t="e">
        <f t="shared" si="94"/>
        <v>#N/A</v>
      </c>
      <c r="T887" s="133" t="e">
        <f>+IF(J887=LOOKUP(J887,'CAFCO 300 IDIEM TABLAS'!$J$4:$J$40),'CALCULO MORTERO'!J887,MROUND('CALCULO MORTERO'!J887,10))</f>
        <v>#N/A</v>
      </c>
      <c r="U887" s="134">
        <f t="shared" si="95"/>
        <v>0</v>
      </c>
    </row>
    <row r="888" spans="1:21" x14ac:dyDescent="0.25">
      <c r="A888" s="118">
        <f>+CUBICACION!D882</f>
        <v>0</v>
      </c>
      <c r="B888" s="819">
        <f>+CUBICACION!E882</f>
        <v>0</v>
      </c>
      <c r="C888" s="675">
        <f>+CUBICACION!F882</f>
        <v>0</v>
      </c>
      <c r="D888" s="118"/>
      <c r="E888" s="118"/>
      <c r="F888" s="820"/>
      <c r="G888" s="675">
        <f>+CUBICACION!J882</f>
        <v>0</v>
      </c>
      <c r="H888" s="118"/>
      <c r="I888" s="821">
        <f>+CUBICACION!L882</f>
        <v>0</v>
      </c>
      <c r="J888" s="64">
        <f>+CUBICACION!M882</f>
        <v>0</v>
      </c>
      <c r="K888" s="822" t="str">
        <f>+CUBICACION!N882</f>
        <v/>
      </c>
      <c r="L888" s="118">
        <f>+CUBICACION!O882</f>
        <v>0</v>
      </c>
      <c r="M888" s="823">
        <f>+CUBICACION!P882</f>
        <v>0</v>
      </c>
      <c r="N888" s="902">
        <f>ROUND(IF(AND(L888="Blaze Shield II",M888="Software Idiem",C888="IN",G888=4),((('BLAZE SHIELD II'!$D$4*('CALCULO MORTERO'!I888^2)+'BLAZE SHIELD II'!$D$5*'CALCULO MORTERO'!I888+'BLAZE SHIELD II'!$D$6)*LN(J888))+('BLAZE SHIELD II'!$D$7*('CALCULO MORTERO'!I888^2)+'BLAZE SHIELD II'!$D$8*'CALCULO MORTERO'!I888+'BLAZE SHIELD II'!$D$9)),0)+IF(AND(L888="Blaze Shield II",M888="Software Idiem",C888="Cj"),((('BLAZE SHIELD II'!$H$4*('CALCULO MORTERO'!I888^2)+'BLAZE SHIELD II'!$H$5*'CALCULO MORTERO'!I888+'BLAZE SHIELD II'!$H$6)*LN(J888))+('BLAZE SHIELD II'!$H$7*('CALCULO MORTERO'!I888^2)+'BLAZE SHIELD II'!$H$8*'CALCULO MORTERO'!I888+'BLAZE SHIELD II'!$H$9)),0)+IF(AND(L888="Blaze Shield II",M888="Software Idiem",C888="C"),((('BLAZE SHIELD II'!$L$4*('CALCULO MORTERO'!I888^2)+'BLAZE SHIELD II'!$L$5*'CALCULO MORTERO'!I888+'BLAZE SHIELD II'!$L$6)*LN(J888))+('BLAZE SHIELD II'!$L$7*('CALCULO MORTERO'!I888^2)+'BLAZE SHIELD II'!$L$8*'CALCULO MORTERO'!I888+'BLAZE SHIELD II'!$L$9)),0)+IF(AND(L888="Blaze Shield II",M888="Software Idiem",C888="L"),((('BLAZE SHIELD II'!$L$4*('CALCULO MORTERO'!I888^2)+'BLAZE SHIELD II'!$L$5*'CALCULO MORTERO'!I888+'BLAZE SHIELD II'!$L$6)*LN(J888))+('BLAZE SHIELD II'!$L$7*('CALCULO MORTERO'!I888^2)+'BLAZE SHIELD II'!$L$8*'CALCULO MORTERO'!I888+'BLAZE SHIELD II'!$L$9)),0)+IF(AND(L888="Blaze Shield II",M888="Software Idiem",C888="IN",G888=3),((('BLAZE SHIELD II'!$H$14*('CALCULO MORTERO'!I888^2)+'BLAZE SHIELD II'!$H$15*'CALCULO MORTERO'!I888+'BLAZE SHIELD II'!$H$16)*LN(J888))+('BLAZE SHIELD II'!$H$17*('CALCULO MORTERO'!I888^2)+'BLAZE SHIELD II'!$H$18*'CALCULO MORTERO'!I888+'BLAZE SHIELD II'!$H$19)),0),0)+ROUND(IF(AND(L888="Cafco 400",M888="Software Idiem",C888="IN",G888=4),((('CAFCO 400 '!$H$7*(J888^4)+'CAFCO 400 '!$H$8*(J888^3)+'CAFCO 400 '!$H$9*(J888^2)+'CAFCO 400 '!$H$10*J888+'CAFCO 400 '!$H$11)*U888^2)+(('CAFCO 400 '!$H$12*(J888^3)+'CAFCO 400 '!$H$13*(J888^2)+'CAFCO 400 '!$H$14*J888+'CAFCO 400 '!$H$15)*U888)+('CAFCO 400 '!$H$16*(J888^2)+'CAFCO 400 '!$H$17*J888+'CAFCO 400 '!$H$18)),0)+IF(AND(L888="Cafco 400",M888="Software Idiem",C888="Cj"),(((('CAFCO 400 '!$D$7*LN(J888)+'CAFCO 400 '!$D$8)*U888^2)+(('CAFCO 400 '!$D$9*LN(J888)+'CAFCO 400 '!$D$10)*U888)+('CAFCO 400 '!$D$11*LN(J888)+'CAFCO 400 '!$D$12))),0)+IF(AND(L888="Cafco 400",M888="Software Idiem",C888="C"),((('CAFCO 400 '!$L$7*(J888^3)+'CAFCO 400 '!$L$8*(J888^2)+'CAFCO 400 '!$L$9*J888+'CAFCO 400 '!$L$10)*U888^2)+(('CAFCO 400 '!$L$11*(J888^3)+'CAFCO 400 '!$L$12*(J888^2)+'CAFCO 400 '!$L$13*J888+'CAFCO 400 '!$L$14)*U888)+('CAFCO 400 '!$L$15*LN(J888)+'CAFCO 400 '!$L$16)),0)+IF(AND(L888="Cafco 400",M888="Software Idiem",C888="L"),((('CAFCO 400 '!$L$7*(J888^3)+'CAFCO 400 '!$L$8*(J888^2)+'CAFCO 400 '!$L$9*J888+'CAFCO 400 '!$L$10)*U888^2)+(('CAFCO 400 '!$L$11*(J888^3)+'CAFCO 400 '!$L$12*(J888^2)+'CAFCO 400 '!$L$13*J888+'CAFCO 400 '!$L$14)*U888)+('CAFCO 400 '!$L$15*LN(J888)+'CAFCO 400 '!$L$16)),0)+IF(AND(L888="Cafco 400",M888="Software Idiem",C888="IN",G888=3),((('CAFCO 400 '!$D$23*(J888^2)+'CAFCO 400 '!$D$24*(J888)+'CAFCO 400 '!$D$25)*U888^2)+(('CAFCO 400 '!$D$26*(J888^2)+'CAFCO 400 '!$D$27*J888+'CAFCO 400 '!$D$28)*U888)+('CAFCO 400 '!$D$29*(J888^2)+'CAFCO 400 '!$D$30*J888+'CAFCO 400 '!$D$31)),0),0)+IF(AND(L888="Cafco 300",J888&gt;=95,J888&lt;=240,C888="Cj",I888=90),VLOOKUP(T888,'CAFCO 300 IDIEM TABLAS'!$B$4:$D$23,2,FALSE),0)+IF(AND(L888="Cafco 300",J888&gt;=95,J888&lt;=240,C888="Cj",I888=120),VLOOKUP(T888,'CAFCO 300 IDIEM TABLAS'!$B$4:$D$23,3,FALSE),0)+IF(AND(L888="Cafco 300",J888&gt;=95,J888&lt;=400,G888=3,C888="IN",I888=90),VLOOKUP(T888,'CAFCO 300 IDIEM TABLAS'!$F$4:$H$35,2,FALSE),0)+IF(AND(L888="Cafco 300",J888&gt;=95,J888&lt;=400,G888=3,C888="IN",I888=120),VLOOKUP(T888,'CAFCO 300 IDIEM TABLAS'!$F$4:$H$35,3,FALSE),0)+IF(AND(L888="Cafco 300",J888&gt;=95,J888&lt;=450,G888=4,C888="IN",I888=90),VLOOKUP(T888,'CAFCO 300 IDIEM TABLAS'!$J$4:$L$40,2,FALSE),0)+IF(AND(L888="Cafco 300",J888&gt;=95,J888&lt;=450,G888=4,C888="IN",I888=120),VLOOKUP(T888,'CAFCO 300 IDIEM TABLAS'!$J$4:$L$40,3,FALSE),0)+IF(AND(M888="Ensayo Idiem",L888="Cafco 400",C888="IN",G888=4,I888=90),VLOOKUP(T888,'CAFCO 400 ENSAYO'!$B$7:$D$43,2,FALSE),0)+IF(AND(M888="Ensayo Idiem",L888="Cafco 400",C888="IN",G888=4,I888=120),VLOOKUP(T888,'CAFCO 400 ENSAYO'!$B$7:$D$43,3,FALSE),0)</f>
        <v>0</v>
      </c>
      <c r="O888" s="96">
        <f t="shared" si="90"/>
        <v>0</v>
      </c>
      <c r="P888" s="95" t="str">
        <f t="shared" si="91"/>
        <v>N/A</v>
      </c>
      <c r="Q888" s="95" t="str">
        <f t="shared" si="92"/>
        <v>N/A</v>
      </c>
      <c r="R888" s="95" t="str">
        <f t="shared" si="93"/>
        <v>NO CERT.</v>
      </c>
      <c r="S888" s="95" t="e">
        <f t="shared" si="94"/>
        <v>#N/A</v>
      </c>
      <c r="T888" s="119" t="e">
        <f>+IF(J888=LOOKUP(J888,'CAFCO 300 IDIEM TABLAS'!$J$4:$J$40),'CALCULO MORTERO'!J888,MROUND('CALCULO MORTERO'!J888,10))</f>
        <v>#N/A</v>
      </c>
      <c r="U888" s="118">
        <f t="shared" si="95"/>
        <v>0</v>
      </c>
    </row>
    <row r="889" spans="1:21" x14ac:dyDescent="0.25">
      <c r="A889" s="118">
        <f>+CUBICACION!D883</f>
        <v>0</v>
      </c>
      <c r="B889" s="819">
        <f>+CUBICACION!E883</f>
        <v>0</v>
      </c>
      <c r="C889" s="675">
        <f>+CUBICACION!F883</f>
        <v>0</v>
      </c>
      <c r="D889" s="118"/>
      <c r="E889" s="118"/>
      <c r="F889" s="820"/>
      <c r="G889" s="675">
        <f>+CUBICACION!J883</f>
        <v>0</v>
      </c>
      <c r="H889" s="118"/>
      <c r="I889" s="821">
        <f>+CUBICACION!L883</f>
        <v>0</v>
      </c>
      <c r="J889" s="64">
        <f>+CUBICACION!M883</f>
        <v>0</v>
      </c>
      <c r="K889" s="822" t="str">
        <f>+CUBICACION!N883</f>
        <v/>
      </c>
      <c r="L889" s="118">
        <f>+CUBICACION!O883</f>
        <v>0</v>
      </c>
      <c r="M889" s="823">
        <f>+CUBICACION!P883</f>
        <v>0</v>
      </c>
      <c r="N889" s="902">
        <f>ROUND(IF(AND(L889="Blaze Shield II",M889="Software Idiem",C889="IN",G889=4),((('BLAZE SHIELD II'!$D$4*('CALCULO MORTERO'!I889^2)+'BLAZE SHIELD II'!$D$5*'CALCULO MORTERO'!I889+'BLAZE SHIELD II'!$D$6)*LN(J889))+('BLAZE SHIELD II'!$D$7*('CALCULO MORTERO'!I889^2)+'BLAZE SHIELD II'!$D$8*'CALCULO MORTERO'!I889+'BLAZE SHIELD II'!$D$9)),0)+IF(AND(L889="Blaze Shield II",M889="Software Idiem",C889="Cj"),((('BLAZE SHIELD II'!$H$4*('CALCULO MORTERO'!I889^2)+'BLAZE SHIELD II'!$H$5*'CALCULO MORTERO'!I889+'BLAZE SHIELD II'!$H$6)*LN(J889))+('BLAZE SHIELD II'!$H$7*('CALCULO MORTERO'!I889^2)+'BLAZE SHIELD II'!$H$8*'CALCULO MORTERO'!I889+'BLAZE SHIELD II'!$H$9)),0)+IF(AND(L889="Blaze Shield II",M889="Software Idiem",C889="C"),((('BLAZE SHIELD II'!$L$4*('CALCULO MORTERO'!I889^2)+'BLAZE SHIELD II'!$L$5*'CALCULO MORTERO'!I889+'BLAZE SHIELD II'!$L$6)*LN(J889))+('BLAZE SHIELD II'!$L$7*('CALCULO MORTERO'!I889^2)+'BLAZE SHIELD II'!$L$8*'CALCULO MORTERO'!I889+'BLAZE SHIELD II'!$L$9)),0)+IF(AND(L889="Blaze Shield II",M889="Software Idiem",C889="L"),((('BLAZE SHIELD II'!$L$4*('CALCULO MORTERO'!I889^2)+'BLAZE SHIELD II'!$L$5*'CALCULO MORTERO'!I889+'BLAZE SHIELD II'!$L$6)*LN(J889))+('BLAZE SHIELD II'!$L$7*('CALCULO MORTERO'!I889^2)+'BLAZE SHIELD II'!$L$8*'CALCULO MORTERO'!I889+'BLAZE SHIELD II'!$L$9)),0)+IF(AND(L889="Blaze Shield II",M889="Software Idiem",C889="IN",G889=3),((('BLAZE SHIELD II'!$H$14*('CALCULO MORTERO'!I889^2)+'BLAZE SHIELD II'!$H$15*'CALCULO MORTERO'!I889+'BLAZE SHIELD II'!$H$16)*LN(J889))+('BLAZE SHIELD II'!$H$17*('CALCULO MORTERO'!I889^2)+'BLAZE SHIELD II'!$H$18*'CALCULO MORTERO'!I889+'BLAZE SHIELD II'!$H$19)),0),0)+ROUND(IF(AND(L889="Cafco 400",M889="Software Idiem",C889="IN",G889=4),((('CAFCO 400 '!$H$7*(J889^4)+'CAFCO 400 '!$H$8*(J889^3)+'CAFCO 400 '!$H$9*(J889^2)+'CAFCO 400 '!$H$10*J889+'CAFCO 400 '!$H$11)*U889^2)+(('CAFCO 400 '!$H$12*(J889^3)+'CAFCO 400 '!$H$13*(J889^2)+'CAFCO 400 '!$H$14*J889+'CAFCO 400 '!$H$15)*U889)+('CAFCO 400 '!$H$16*(J889^2)+'CAFCO 400 '!$H$17*J889+'CAFCO 400 '!$H$18)),0)+IF(AND(L889="Cafco 400",M889="Software Idiem",C889="Cj"),(((('CAFCO 400 '!$D$7*LN(J889)+'CAFCO 400 '!$D$8)*U889^2)+(('CAFCO 400 '!$D$9*LN(J889)+'CAFCO 400 '!$D$10)*U889)+('CAFCO 400 '!$D$11*LN(J889)+'CAFCO 400 '!$D$12))),0)+IF(AND(L889="Cafco 400",M889="Software Idiem",C889="C"),((('CAFCO 400 '!$L$7*(J889^3)+'CAFCO 400 '!$L$8*(J889^2)+'CAFCO 400 '!$L$9*J889+'CAFCO 400 '!$L$10)*U889^2)+(('CAFCO 400 '!$L$11*(J889^3)+'CAFCO 400 '!$L$12*(J889^2)+'CAFCO 400 '!$L$13*J889+'CAFCO 400 '!$L$14)*U889)+('CAFCO 400 '!$L$15*LN(J889)+'CAFCO 400 '!$L$16)),0)+IF(AND(L889="Cafco 400",M889="Software Idiem",C889="L"),((('CAFCO 400 '!$L$7*(J889^3)+'CAFCO 400 '!$L$8*(J889^2)+'CAFCO 400 '!$L$9*J889+'CAFCO 400 '!$L$10)*U889^2)+(('CAFCO 400 '!$L$11*(J889^3)+'CAFCO 400 '!$L$12*(J889^2)+'CAFCO 400 '!$L$13*J889+'CAFCO 400 '!$L$14)*U889)+('CAFCO 400 '!$L$15*LN(J889)+'CAFCO 400 '!$L$16)),0)+IF(AND(L889="Cafco 400",M889="Software Idiem",C889="IN",G889=3),((('CAFCO 400 '!$D$23*(J889^2)+'CAFCO 400 '!$D$24*(J889)+'CAFCO 400 '!$D$25)*U889^2)+(('CAFCO 400 '!$D$26*(J889^2)+'CAFCO 400 '!$D$27*J889+'CAFCO 400 '!$D$28)*U889)+('CAFCO 400 '!$D$29*(J889^2)+'CAFCO 400 '!$D$30*J889+'CAFCO 400 '!$D$31)),0),0)+IF(AND(L889="Cafco 300",J889&gt;=95,J889&lt;=240,C889="Cj",I889=90),VLOOKUP(T889,'CAFCO 300 IDIEM TABLAS'!$B$4:$D$23,2,FALSE),0)+IF(AND(L889="Cafco 300",J889&gt;=95,J889&lt;=240,C889="Cj",I889=120),VLOOKUP(T889,'CAFCO 300 IDIEM TABLAS'!$B$4:$D$23,3,FALSE),0)+IF(AND(L889="Cafco 300",J889&gt;=95,J889&lt;=400,G889=3,C889="IN",I889=90),VLOOKUP(T889,'CAFCO 300 IDIEM TABLAS'!$F$4:$H$35,2,FALSE),0)+IF(AND(L889="Cafco 300",J889&gt;=95,J889&lt;=400,G889=3,C889="IN",I889=120),VLOOKUP(T889,'CAFCO 300 IDIEM TABLAS'!$F$4:$H$35,3,FALSE),0)+IF(AND(L889="Cafco 300",J889&gt;=95,J889&lt;=450,G889=4,C889="IN",I889=90),VLOOKUP(T889,'CAFCO 300 IDIEM TABLAS'!$J$4:$L$40,2,FALSE),0)+IF(AND(L889="Cafco 300",J889&gt;=95,J889&lt;=450,G889=4,C889="IN",I889=120),VLOOKUP(T889,'CAFCO 300 IDIEM TABLAS'!$J$4:$L$40,3,FALSE),0)+IF(AND(M889="Ensayo Idiem",L889="Cafco 400",C889="IN",G889=4,I889=90),VLOOKUP(T889,'CAFCO 400 ENSAYO'!$B$7:$D$43,2,FALSE),0)+IF(AND(M889="Ensayo Idiem",L889="Cafco 400",C889="IN",G889=4,I889=120),VLOOKUP(T889,'CAFCO 400 ENSAYO'!$B$7:$D$43,3,FALSE),0)</f>
        <v>0</v>
      </c>
      <c r="O889" s="96">
        <f t="shared" si="90"/>
        <v>0</v>
      </c>
      <c r="P889" s="132" t="str">
        <f t="shared" si="91"/>
        <v>N/A</v>
      </c>
      <c r="Q889" s="132" t="str">
        <f t="shared" si="92"/>
        <v>N/A</v>
      </c>
      <c r="R889" s="132" t="str">
        <f t="shared" si="93"/>
        <v>NO CERT.</v>
      </c>
      <c r="S889" s="132" t="e">
        <f t="shared" si="94"/>
        <v>#N/A</v>
      </c>
      <c r="T889" s="133" t="e">
        <f>+IF(J889=LOOKUP(J889,'CAFCO 300 IDIEM TABLAS'!$J$4:$J$40),'CALCULO MORTERO'!J889,MROUND('CALCULO MORTERO'!J889,10))</f>
        <v>#N/A</v>
      </c>
      <c r="U889" s="134">
        <f t="shared" si="95"/>
        <v>0</v>
      </c>
    </row>
    <row r="890" spans="1:21" x14ac:dyDescent="0.25">
      <c r="A890" s="118">
        <f>+CUBICACION!D884</f>
        <v>0</v>
      </c>
      <c r="B890" s="819">
        <f>+CUBICACION!E884</f>
        <v>0</v>
      </c>
      <c r="C890" s="675">
        <f>+CUBICACION!F884</f>
        <v>0</v>
      </c>
      <c r="D890" s="118"/>
      <c r="E890" s="118"/>
      <c r="F890" s="820"/>
      <c r="G890" s="675">
        <f>+CUBICACION!J884</f>
        <v>0</v>
      </c>
      <c r="H890" s="118"/>
      <c r="I890" s="821">
        <f>+CUBICACION!L884</f>
        <v>0</v>
      </c>
      <c r="J890" s="64">
        <f>+CUBICACION!M884</f>
        <v>0</v>
      </c>
      <c r="K890" s="822" t="str">
        <f>+CUBICACION!N884</f>
        <v/>
      </c>
      <c r="L890" s="118">
        <f>+CUBICACION!O884</f>
        <v>0</v>
      </c>
      <c r="M890" s="823">
        <f>+CUBICACION!P884</f>
        <v>0</v>
      </c>
      <c r="N890" s="902">
        <f>ROUND(IF(AND(L890="Blaze Shield II",M890="Software Idiem",C890="IN",G890=4),((('BLAZE SHIELD II'!$D$4*('CALCULO MORTERO'!I890^2)+'BLAZE SHIELD II'!$D$5*'CALCULO MORTERO'!I890+'BLAZE SHIELD II'!$D$6)*LN(J890))+('BLAZE SHIELD II'!$D$7*('CALCULO MORTERO'!I890^2)+'BLAZE SHIELD II'!$D$8*'CALCULO MORTERO'!I890+'BLAZE SHIELD II'!$D$9)),0)+IF(AND(L890="Blaze Shield II",M890="Software Idiem",C890="Cj"),((('BLAZE SHIELD II'!$H$4*('CALCULO MORTERO'!I890^2)+'BLAZE SHIELD II'!$H$5*'CALCULO MORTERO'!I890+'BLAZE SHIELD II'!$H$6)*LN(J890))+('BLAZE SHIELD II'!$H$7*('CALCULO MORTERO'!I890^2)+'BLAZE SHIELD II'!$H$8*'CALCULO MORTERO'!I890+'BLAZE SHIELD II'!$H$9)),0)+IF(AND(L890="Blaze Shield II",M890="Software Idiem",C890="C"),((('BLAZE SHIELD II'!$L$4*('CALCULO MORTERO'!I890^2)+'BLAZE SHIELD II'!$L$5*'CALCULO MORTERO'!I890+'BLAZE SHIELD II'!$L$6)*LN(J890))+('BLAZE SHIELD II'!$L$7*('CALCULO MORTERO'!I890^2)+'BLAZE SHIELD II'!$L$8*'CALCULO MORTERO'!I890+'BLAZE SHIELD II'!$L$9)),0)+IF(AND(L890="Blaze Shield II",M890="Software Idiem",C890="L"),((('BLAZE SHIELD II'!$L$4*('CALCULO MORTERO'!I890^2)+'BLAZE SHIELD II'!$L$5*'CALCULO MORTERO'!I890+'BLAZE SHIELD II'!$L$6)*LN(J890))+('BLAZE SHIELD II'!$L$7*('CALCULO MORTERO'!I890^2)+'BLAZE SHIELD II'!$L$8*'CALCULO MORTERO'!I890+'BLAZE SHIELD II'!$L$9)),0)+IF(AND(L890="Blaze Shield II",M890="Software Idiem",C890="IN",G890=3),((('BLAZE SHIELD II'!$H$14*('CALCULO MORTERO'!I890^2)+'BLAZE SHIELD II'!$H$15*'CALCULO MORTERO'!I890+'BLAZE SHIELD II'!$H$16)*LN(J890))+('BLAZE SHIELD II'!$H$17*('CALCULO MORTERO'!I890^2)+'BLAZE SHIELD II'!$H$18*'CALCULO MORTERO'!I890+'BLAZE SHIELD II'!$H$19)),0),0)+ROUND(IF(AND(L890="Cafco 400",M890="Software Idiem",C890="IN",G890=4),((('CAFCO 400 '!$H$7*(J890^4)+'CAFCO 400 '!$H$8*(J890^3)+'CAFCO 400 '!$H$9*(J890^2)+'CAFCO 400 '!$H$10*J890+'CAFCO 400 '!$H$11)*U890^2)+(('CAFCO 400 '!$H$12*(J890^3)+'CAFCO 400 '!$H$13*(J890^2)+'CAFCO 400 '!$H$14*J890+'CAFCO 400 '!$H$15)*U890)+('CAFCO 400 '!$H$16*(J890^2)+'CAFCO 400 '!$H$17*J890+'CAFCO 400 '!$H$18)),0)+IF(AND(L890="Cafco 400",M890="Software Idiem",C890="Cj"),(((('CAFCO 400 '!$D$7*LN(J890)+'CAFCO 400 '!$D$8)*U890^2)+(('CAFCO 400 '!$D$9*LN(J890)+'CAFCO 400 '!$D$10)*U890)+('CAFCO 400 '!$D$11*LN(J890)+'CAFCO 400 '!$D$12))),0)+IF(AND(L890="Cafco 400",M890="Software Idiem",C890="C"),((('CAFCO 400 '!$L$7*(J890^3)+'CAFCO 400 '!$L$8*(J890^2)+'CAFCO 400 '!$L$9*J890+'CAFCO 400 '!$L$10)*U890^2)+(('CAFCO 400 '!$L$11*(J890^3)+'CAFCO 400 '!$L$12*(J890^2)+'CAFCO 400 '!$L$13*J890+'CAFCO 400 '!$L$14)*U890)+('CAFCO 400 '!$L$15*LN(J890)+'CAFCO 400 '!$L$16)),0)+IF(AND(L890="Cafco 400",M890="Software Idiem",C890="L"),((('CAFCO 400 '!$L$7*(J890^3)+'CAFCO 400 '!$L$8*(J890^2)+'CAFCO 400 '!$L$9*J890+'CAFCO 400 '!$L$10)*U890^2)+(('CAFCO 400 '!$L$11*(J890^3)+'CAFCO 400 '!$L$12*(J890^2)+'CAFCO 400 '!$L$13*J890+'CAFCO 400 '!$L$14)*U890)+('CAFCO 400 '!$L$15*LN(J890)+'CAFCO 400 '!$L$16)),0)+IF(AND(L890="Cafco 400",M890="Software Idiem",C890="IN",G890=3),((('CAFCO 400 '!$D$23*(J890^2)+'CAFCO 400 '!$D$24*(J890)+'CAFCO 400 '!$D$25)*U890^2)+(('CAFCO 400 '!$D$26*(J890^2)+'CAFCO 400 '!$D$27*J890+'CAFCO 400 '!$D$28)*U890)+('CAFCO 400 '!$D$29*(J890^2)+'CAFCO 400 '!$D$30*J890+'CAFCO 400 '!$D$31)),0),0)+IF(AND(L890="Cafco 300",J890&gt;=95,J890&lt;=240,C890="Cj",I890=90),VLOOKUP(T890,'CAFCO 300 IDIEM TABLAS'!$B$4:$D$23,2,FALSE),0)+IF(AND(L890="Cafco 300",J890&gt;=95,J890&lt;=240,C890="Cj",I890=120),VLOOKUP(T890,'CAFCO 300 IDIEM TABLAS'!$B$4:$D$23,3,FALSE),0)+IF(AND(L890="Cafco 300",J890&gt;=95,J890&lt;=400,G890=3,C890="IN",I890=90),VLOOKUP(T890,'CAFCO 300 IDIEM TABLAS'!$F$4:$H$35,2,FALSE),0)+IF(AND(L890="Cafco 300",J890&gt;=95,J890&lt;=400,G890=3,C890="IN",I890=120),VLOOKUP(T890,'CAFCO 300 IDIEM TABLAS'!$F$4:$H$35,3,FALSE),0)+IF(AND(L890="Cafco 300",J890&gt;=95,J890&lt;=450,G890=4,C890="IN",I890=90),VLOOKUP(T890,'CAFCO 300 IDIEM TABLAS'!$J$4:$L$40,2,FALSE),0)+IF(AND(L890="Cafco 300",J890&gt;=95,J890&lt;=450,G890=4,C890="IN",I890=120),VLOOKUP(T890,'CAFCO 300 IDIEM TABLAS'!$J$4:$L$40,3,FALSE),0)+IF(AND(M890="Ensayo Idiem",L890="Cafco 400",C890="IN",G890=4,I890=90),VLOOKUP(T890,'CAFCO 400 ENSAYO'!$B$7:$D$43,2,FALSE),0)+IF(AND(M890="Ensayo Idiem",L890="Cafco 400",C890="IN",G890=4,I890=120),VLOOKUP(T890,'CAFCO 400 ENSAYO'!$B$7:$D$43,3,FALSE),0)</f>
        <v>0</v>
      </c>
      <c r="O890" s="96">
        <f t="shared" si="90"/>
        <v>0</v>
      </c>
      <c r="P890" s="95" t="str">
        <f t="shared" si="91"/>
        <v>N/A</v>
      </c>
      <c r="Q890" s="95" t="str">
        <f t="shared" si="92"/>
        <v>N/A</v>
      </c>
      <c r="R890" s="95" t="str">
        <f t="shared" si="93"/>
        <v>NO CERT.</v>
      </c>
      <c r="S890" s="95" t="e">
        <f t="shared" si="94"/>
        <v>#N/A</v>
      </c>
      <c r="T890" s="119" t="e">
        <f>+IF(J890=LOOKUP(J890,'CAFCO 300 IDIEM TABLAS'!$J$4:$J$40),'CALCULO MORTERO'!J890,MROUND('CALCULO MORTERO'!J890,10))</f>
        <v>#N/A</v>
      </c>
      <c r="U890" s="118">
        <f t="shared" si="95"/>
        <v>0</v>
      </c>
    </row>
    <row r="891" spans="1:21" x14ac:dyDescent="0.25">
      <c r="A891" s="118">
        <f>+CUBICACION!D885</f>
        <v>0</v>
      </c>
      <c r="B891" s="819">
        <f>+CUBICACION!E885</f>
        <v>0</v>
      </c>
      <c r="C891" s="675">
        <f>+CUBICACION!F885</f>
        <v>0</v>
      </c>
      <c r="D891" s="118"/>
      <c r="E891" s="118"/>
      <c r="F891" s="820"/>
      <c r="G891" s="675">
        <f>+CUBICACION!J885</f>
        <v>0</v>
      </c>
      <c r="H891" s="118"/>
      <c r="I891" s="821">
        <f>+CUBICACION!L885</f>
        <v>0</v>
      </c>
      <c r="J891" s="64">
        <f>+CUBICACION!M885</f>
        <v>0</v>
      </c>
      <c r="K891" s="822" t="str">
        <f>+CUBICACION!N885</f>
        <v/>
      </c>
      <c r="L891" s="118">
        <f>+CUBICACION!O885</f>
        <v>0</v>
      </c>
      <c r="M891" s="823">
        <f>+CUBICACION!P885</f>
        <v>0</v>
      </c>
      <c r="N891" s="902">
        <f>ROUND(IF(AND(L891="Blaze Shield II",M891="Software Idiem",C891="IN",G891=4),((('BLAZE SHIELD II'!$D$4*('CALCULO MORTERO'!I891^2)+'BLAZE SHIELD II'!$D$5*'CALCULO MORTERO'!I891+'BLAZE SHIELD II'!$D$6)*LN(J891))+('BLAZE SHIELD II'!$D$7*('CALCULO MORTERO'!I891^2)+'BLAZE SHIELD II'!$D$8*'CALCULO MORTERO'!I891+'BLAZE SHIELD II'!$D$9)),0)+IF(AND(L891="Blaze Shield II",M891="Software Idiem",C891="Cj"),((('BLAZE SHIELD II'!$H$4*('CALCULO MORTERO'!I891^2)+'BLAZE SHIELD II'!$H$5*'CALCULO MORTERO'!I891+'BLAZE SHIELD II'!$H$6)*LN(J891))+('BLAZE SHIELD II'!$H$7*('CALCULO MORTERO'!I891^2)+'BLAZE SHIELD II'!$H$8*'CALCULO MORTERO'!I891+'BLAZE SHIELD II'!$H$9)),0)+IF(AND(L891="Blaze Shield II",M891="Software Idiem",C891="C"),((('BLAZE SHIELD II'!$L$4*('CALCULO MORTERO'!I891^2)+'BLAZE SHIELD II'!$L$5*'CALCULO MORTERO'!I891+'BLAZE SHIELD II'!$L$6)*LN(J891))+('BLAZE SHIELD II'!$L$7*('CALCULO MORTERO'!I891^2)+'BLAZE SHIELD II'!$L$8*'CALCULO MORTERO'!I891+'BLAZE SHIELD II'!$L$9)),0)+IF(AND(L891="Blaze Shield II",M891="Software Idiem",C891="L"),((('BLAZE SHIELD II'!$L$4*('CALCULO MORTERO'!I891^2)+'BLAZE SHIELD II'!$L$5*'CALCULO MORTERO'!I891+'BLAZE SHIELD II'!$L$6)*LN(J891))+('BLAZE SHIELD II'!$L$7*('CALCULO MORTERO'!I891^2)+'BLAZE SHIELD II'!$L$8*'CALCULO MORTERO'!I891+'BLAZE SHIELD II'!$L$9)),0)+IF(AND(L891="Blaze Shield II",M891="Software Idiem",C891="IN",G891=3),((('BLAZE SHIELD II'!$H$14*('CALCULO MORTERO'!I891^2)+'BLAZE SHIELD II'!$H$15*'CALCULO MORTERO'!I891+'BLAZE SHIELD II'!$H$16)*LN(J891))+('BLAZE SHIELD II'!$H$17*('CALCULO MORTERO'!I891^2)+'BLAZE SHIELD II'!$H$18*'CALCULO MORTERO'!I891+'BLAZE SHIELD II'!$H$19)),0),0)+ROUND(IF(AND(L891="Cafco 400",M891="Software Idiem",C891="IN",G891=4),((('CAFCO 400 '!$H$7*(J891^4)+'CAFCO 400 '!$H$8*(J891^3)+'CAFCO 400 '!$H$9*(J891^2)+'CAFCO 400 '!$H$10*J891+'CAFCO 400 '!$H$11)*U891^2)+(('CAFCO 400 '!$H$12*(J891^3)+'CAFCO 400 '!$H$13*(J891^2)+'CAFCO 400 '!$H$14*J891+'CAFCO 400 '!$H$15)*U891)+('CAFCO 400 '!$H$16*(J891^2)+'CAFCO 400 '!$H$17*J891+'CAFCO 400 '!$H$18)),0)+IF(AND(L891="Cafco 400",M891="Software Idiem",C891="Cj"),(((('CAFCO 400 '!$D$7*LN(J891)+'CAFCO 400 '!$D$8)*U891^2)+(('CAFCO 400 '!$D$9*LN(J891)+'CAFCO 400 '!$D$10)*U891)+('CAFCO 400 '!$D$11*LN(J891)+'CAFCO 400 '!$D$12))),0)+IF(AND(L891="Cafco 400",M891="Software Idiem",C891="C"),((('CAFCO 400 '!$L$7*(J891^3)+'CAFCO 400 '!$L$8*(J891^2)+'CAFCO 400 '!$L$9*J891+'CAFCO 400 '!$L$10)*U891^2)+(('CAFCO 400 '!$L$11*(J891^3)+'CAFCO 400 '!$L$12*(J891^2)+'CAFCO 400 '!$L$13*J891+'CAFCO 400 '!$L$14)*U891)+('CAFCO 400 '!$L$15*LN(J891)+'CAFCO 400 '!$L$16)),0)+IF(AND(L891="Cafco 400",M891="Software Idiem",C891="L"),((('CAFCO 400 '!$L$7*(J891^3)+'CAFCO 400 '!$L$8*(J891^2)+'CAFCO 400 '!$L$9*J891+'CAFCO 400 '!$L$10)*U891^2)+(('CAFCO 400 '!$L$11*(J891^3)+'CAFCO 400 '!$L$12*(J891^2)+'CAFCO 400 '!$L$13*J891+'CAFCO 400 '!$L$14)*U891)+('CAFCO 400 '!$L$15*LN(J891)+'CAFCO 400 '!$L$16)),0)+IF(AND(L891="Cafco 400",M891="Software Idiem",C891="IN",G891=3),((('CAFCO 400 '!$D$23*(J891^2)+'CAFCO 400 '!$D$24*(J891)+'CAFCO 400 '!$D$25)*U891^2)+(('CAFCO 400 '!$D$26*(J891^2)+'CAFCO 400 '!$D$27*J891+'CAFCO 400 '!$D$28)*U891)+('CAFCO 400 '!$D$29*(J891^2)+'CAFCO 400 '!$D$30*J891+'CAFCO 400 '!$D$31)),0),0)+IF(AND(L891="Cafco 300",J891&gt;=95,J891&lt;=240,C891="Cj",I891=90),VLOOKUP(T891,'CAFCO 300 IDIEM TABLAS'!$B$4:$D$23,2,FALSE),0)+IF(AND(L891="Cafco 300",J891&gt;=95,J891&lt;=240,C891="Cj",I891=120),VLOOKUP(T891,'CAFCO 300 IDIEM TABLAS'!$B$4:$D$23,3,FALSE),0)+IF(AND(L891="Cafco 300",J891&gt;=95,J891&lt;=400,G891=3,C891="IN",I891=90),VLOOKUP(T891,'CAFCO 300 IDIEM TABLAS'!$F$4:$H$35,2,FALSE),0)+IF(AND(L891="Cafco 300",J891&gt;=95,J891&lt;=400,G891=3,C891="IN",I891=120),VLOOKUP(T891,'CAFCO 300 IDIEM TABLAS'!$F$4:$H$35,3,FALSE),0)+IF(AND(L891="Cafco 300",J891&gt;=95,J891&lt;=450,G891=4,C891="IN",I891=90),VLOOKUP(T891,'CAFCO 300 IDIEM TABLAS'!$J$4:$L$40,2,FALSE),0)+IF(AND(L891="Cafco 300",J891&gt;=95,J891&lt;=450,G891=4,C891="IN",I891=120),VLOOKUP(T891,'CAFCO 300 IDIEM TABLAS'!$J$4:$L$40,3,FALSE),0)+IF(AND(M891="Ensayo Idiem",L891="Cafco 400",C891="IN",G891=4,I891=90),VLOOKUP(T891,'CAFCO 400 ENSAYO'!$B$7:$D$43,2,FALSE),0)+IF(AND(M891="Ensayo Idiem",L891="Cafco 400",C891="IN",G891=4,I891=120),VLOOKUP(T891,'CAFCO 400 ENSAYO'!$B$7:$D$43,3,FALSE),0)</f>
        <v>0</v>
      </c>
      <c r="O891" s="96">
        <f t="shared" si="90"/>
        <v>0</v>
      </c>
      <c r="P891" s="132" t="str">
        <f t="shared" si="91"/>
        <v>N/A</v>
      </c>
      <c r="Q891" s="132" t="str">
        <f t="shared" si="92"/>
        <v>N/A</v>
      </c>
      <c r="R891" s="132" t="str">
        <f t="shared" si="93"/>
        <v>NO CERT.</v>
      </c>
      <c r="S891" s="132" t="e">
        <f t="shared" si="94"/>
        <v>#N/A</v>
      </c>
      <c r="T891" s="133" t="e">
        <f>+IF(J891=LOOKUP(J891,'CAFCO 300 IDIEM TABLAS'!$J$4:$J$40),'CALCULO MORTERO'!J891,MROUND('CALCULO MORTERO'!J891,10))</f>
        <v>#N/A</v>
      </c>
      <c r="U891" s="134">
        <f t="shared" si="95"/>
        <v>0</v>
      </c>
    </row>
    <row r="892" spans="1:21" x14ac:dyDescent="0.25">
      <c r="A892" s="118">
        <f>+CUBICACION!D886</f>
        <v>0</v>
      </c>
      <c r="B892" s="819">
        <f>+CUBICACION!E886</f>
        <v>0</v>
      </c>
      <c r="C892" s="675">
        <f>+CUBICACION!F886</f>
        <v>0</v>
      </c>
      <c r="D892" s="118"/>
      <c r="E892" s="118"/>
      <c r="F892" s="820"/>
      <c r="G892" s="675">
        <f>+CUBICACION!J886</f>
        <v>0</v>
      </c>
      <c r="H892" s="118"/>
      <c r="I892" s="821">
        <f>+CUBICACION!L886</f>
        <v>0</v>
      </c>
      <c r="J892" s="64">
        <f>+CUBICACION!M886</f>
        <v>0</v>
      </c>
      <c r="K892" s="822" t="str">
        <f>+CUBICACION!N886</f>
        <v/>
      </c>
      <c r="L892" s="118">
        <f>+CUBICACION!O886</f>
        <v>0</v>
      </c>
      <c r="M892" s="823">
        <f>+CUBICACION!P886</f>
        <v>0</v>
      </c>
      <c r="N892" s="902">
        <f>ROUND(IF(AND(L892="Blaze Shield II",M892="Software Idiem",C892="IN",G892=4),((('BLAZE SHIELD II'!$D$4*('CALCULO MORTERO'!I892^2)+'BLAZE SHIELD II'!$D$5*'CALCULO MORTERO'!I892+'BLAZE SHIELD II'!$D$6)*LN(J892))+('BLAZE SHIELD II'!$D$7*('CALCULO MORTERO'!I892^2)+'BLAZE SHIELD II'!$D$8*'CALCULO MORTERO'!I892+'BLAZE SHIELD II'!$D$9)),0)+IF(AND(L892="Blaze Shield II",M892="Software Idiem",C892="Cj"),((('BLAZE SHIELD II'!$H$4*('CALCULO MORTERO'!I892^2)+'BLAZE SHIELD II'!$H$5*'CALCULO MORTERO'!I892+'BLAZE SHIELD II'!$H$6)*LN(J892))+('BLAZE SHIELD II'!$H$7*('CALCULO MORTERO'!I892^2)+'BLAZE SHIELD II'!$H$8*'CALCULO MORTERO'!I892+'BLAZE SHIELD II'!$H$9)),0)+IF(AND(L892="Blaze Shield II",M892="Software Idiem",C892="C"),((('BLAZE SHIELD II'!$L$4*('CALCULO MORTERO'!I892^2)+'BLAZE SHIELD II'!$L$5*'CALCULO MORTERO'!I892+'BLAZE SHIELD II'!$L$6)*LN(J892))+('BLAZE SHIELD II'!$L$7*('CALCULO MORTERO'!I892^2)+'BLAZE SHIELD II'!$L$8*'CALCULO MORTERO'!I892+'BLAZE SHIELD II'!$L$9)),0)+IF(AND(L892="Blaze Shield II",M892="Software Idiem",C892="L"),((('BLAZE SHIELD II'!$L$4*('CALCULO MORTERO'!I892^2)+'BLAZE SHIELD II'!$L$5*'CALCULO MORTERO'!I892+'BLAZE SHIELD II'!$L$6)*LN(J892))+('BLAZE SHIELD II'!$L$7*('CALCULO MORTERO'!I892^2)+'BLAZE SHIELD II'!$L$8*'CALCULO MORTERO'!I892+'BLAZE SHIELD II'!$L$9)),0)+IF(AND(L892="Blaze Shield II",M892="Software Idiem",C892="IN",G892=3),((('BLAZE SHIELD II'!$H$14*('CALCULO MORTERO'!I892^2)+'BLAZE SHIELD II'!$H$15*'CALCULO MORTERO'!I892+'BLAZE SHIELD II'!$H$16)*LN(J892))+('BLAZE SHIELD II'!$H$17*('CALCULO MORTERO'!I892^2)+'BLAZE SHIELD II'!$H$18*'CALCULO MORTERO'!I892+'BLAZE SHIELD II'!$H$19)),0),0)+ROUND(IF(AND(L892="Cafco 400",M892="Software Idiem",C892="IN",G892=4),((('CAFCO 400 '!$H$7*(J892^4)+'CAFCO 400 '!$H$8*(J892^3)+'CAFCO 400 '!$H$9*(J892^2)+'CAFCO 400 '!$H$10*J892+'CAFCO 400 '!$H$11)*U892^2)+(('CAFCO 400 '!$H$12*(J892^3)+'CAFCO 400 '!$H$13*(J892^2)+'CAFCO 400 '!$H$14*J892+'CAFCO 400 '!$H$15)*U892)+('CAFCO 400 '!$H$16*(J892^2)+'CAFCO 400 '!$H$17*J892+'CAFCO 400 '!$H$18)),0)+IF(AND(L892="Cafco 400",M892="Software Idiem",C892="Cj"),(((('CAFCO 400 '!$D$7*LN(J892)+'CAFCO 400 '!$D$8)*U892^2)+(('CAFCO 400 '!$D$9*LN(J892)+'CAFCO 400 '!$D$10)*U892)+('CAFCO 400 '!$D$11*LN(J892)+'CAFCO 400 '!$D$12))),0)+IF(AND(L892="Cafco 400",M892="Software Idiem",C892="C"),((('CAFCO 400 '!$L$7*(J892^3)+'CAFCO 400 '!$L$8*(J892^2)+'CAFCO 400 '!$L$9*J892+'CAFCO 400 '!$L$10)*U892^2)+(('CAFCO 400 '!$L$11*(J892^3)+'CAFCO 400 '!$L$12*(J892^2)+'CAFCO 400 '!$L$13*J892+'CAFCO 400 '!$L$14)*U892)+('CAFCO 400 '!$L$15*LN(J892)+'CAFCO 400 '!$L$16)),0)+IF(AND(L892="Cafco 400",M892="Software Idiem",C892="L"),((('CAFCO 400 '!$L$7*(J892^3)+'CAFCO 400 '!$L$8*(J892^2)+'CAFCO 400 '!$L$9*J892+'CAFCO 400 '!$L$10)*U892^2)+(('CAFCO 400 '!$L$11*(J892^3)+'CAFCO 400 '!$L$12*(J892^2)+'CAFCO 400 '!$L$13*J892+'CAFCO 400 '!$L$14)*U892)+('CAFCO 400 '!$L$15*LN(J892)+'CAFCO 400 '!$L$16)),0)+IF(AND(L892="Cafco 400",M892="Software Idiem",C892="IN",G892=3),((('CAFCO 400 '!$D$23*(J892^2)+'CAFCO 400 '!$D$24*(J892)+'CAFCO 400 '!$D$25)*U892^2)+(('CAFCO 400 '!$D$26*(J892^2)+'CAFCO 400 '!$D$27*J892+'CAFCO 400 '!$D$28)*U892)+('CAFCO 400 '!$D$29*(J892^2)+'CAFCO 400 '!$D$30*J892+'CAFCO 400 '!$D$31)),0),0)+IF(AND(L892="Cafco 300",J892&gt;=95,J892&lt;=240,C892="Cj",I892=90),VLOOKUP(T892,'CAFCO 300 IDIEM TABLAS'!$B$4:$D$23,2,FALSE),0)+IF(AND(L892="Cafco 300",J892&gt;=95,J892&lt;=240,C892="Cj",I892=120),VLOOKUP(T892,'CAFCO 300 IDIEM TABLAS'!$B$4:$D$23,3,FALSE),0)+IF(AND(L892="Cafco 300",J892&gt;=95,J892&lt;=400,G892=3,C892="IN",I892=90),VLOOKUP(T892,'CAFCO 300 IDIEM TABLAS'!$F$4:$H$35,2,FALSE),0)+IF(AND(L892="Cafco 300",J892&gt;=95,J892&lt;=400,G892=3,C892="IN",I892=120),VLOOKUP(T892,'CAFCO 300 IDIEM TABLAS'!$F$4:$H$35,3,FALSE),0)+IF(AND(L892="Cafco 300",J892&gt;=95,J892&lt;=450,G892=4,C892="IN",I892=90),VLOOKUP(T892,'CAFCO 300 IDIEM TABLAS'!$J$4:$L$40,2,FALSE),0)+IF(AND(L892="Cafco 300",J892&gt;=95,J892&lt;=450,G892=4,C892="IN",I892=120),VLOOKUP(T892,'CAFCO 300 IDIEM TABLAS'!$J$4:$L$40,3,FALSE),0)+IF(AND(M892="Ensayo Idiem",L892="Cafco 400",C892="IN",G892=4,I892=90),VLOOKUP(T892,'CAFCO 400 ENSAYO'!$B$7:$D$43,2,FALSE),0)+IF(AND(M892="Ensayo Idiem",L892="Cafco 400",C892="IN",G892=4,I892=120),VLOOKUP(T892,'CAFCO 400 ENSAYO'!$B$7:$D$43,3,FALSE),0)</f>
        <v>0</v>
      </c>
      <c r="O892" s="96">
        <f t="shared" si="90"/>
        <v>0</v>
      </c>
      <c r="P892" s="95" t="str">
        <f t="shared" si="91"/>
        <v>N/A</v>
      </c>
      <c r="Q892" s="95" t="str">
        <f t="shared" si="92"/>
        <v>N/A</v>
      </c>
      <c r="R892" s="95" t="str">
        <f t="shared" si="93"/>
        <v>NO CERT.</v>
      </c>
      <c r="S892" s="95" t="e">
        <f t="shared" si="94"/>
        <v>#N/A</v>
      </c>
      <c r="T892" s="119" t="e">
        <f>+IF(J892=LOOKUP(J892,'CAFCO 300 IDIEM TABLAS'!$J$4:$J$40),'CALCULO MORTERO'!J892,MROUND('CALCULO MORTERO'!J892,10))</f>
        <v>#N/A</v>
      </c>
      <c r="U892" s="118">
        <f t="shared" si="95"/>
        <v>0</v>
      </c>
    </row>
    <row r="893" spans="1:21" x14ac:dyDescent="0.25">
      <c r="A893" s="118">
        <f>+CUBICACION!D887</f>
        <v>0</v>
      </c>
      <c r="B893" s="819">
        <f>+CUBICACION!E887</f>
        <v>0</v>
      </c>
      <c r="C893" s="675">
        <f>+CUBICACION!F887</f>
        <v>0</v>
      </c>
      <c r="D893" s="118"/>
      <c r="E893" s="118"/>
      <c r="F893" s="820"/>
      <c r="G893" s="675">
        <f>+CUBICACION!J887</f>
        <v>0</v>
      </c>
      <c r="H893" s="118"/>
      <c r="I893" s="821">
        <f>+CUBICACION!L887</f>
        <v>0</v>
      </c>
      <c r="J893" s="64">
        <f>+CUBICACION!M887</f>
        <v>0</v>
      </c>
      <c r="K893" s="822" t="str">
        <f>+CUBICACION!N887</f>
        <v/>
      </c>
      <c r="L893" s="118">
        <f>+CUBICACION!O887</f>
        <v>0</v>
      </c>
      <c r="M893" s="823">
        <f>+CUBICACION!P887</f>
        <v>0</v>
      </c>
      <c r="N893" s="902">
        <f>ROUND(IF(AND(L893="Blaze Shield II",M893="Software Idiem",C893="IN",G893=4),((('BLAZE SHIELD II'!$D$4*('CALCULO MORTERO'!I893^2)+'BLAZE SHIELD II'!$D$5*'CALCULO MORTERO'!I893+'BLAZE SHIELD II'!$D$6)*LN(J893))+('BLAZE SHIELD II'!$D$7*('CALCULO MORTERO'!I893^2)+'BLAZE SHIELD II'!$D$8*'CALCULO MORTERO'!I893+'BLAZE SHIELD II'!$D$9)),0)+IF(AND(L893="Blaze Shield II",M893="Software Idiem",C893="Cj"),((('BLAZE SHIELD II'!$H$4*('CALCULO MORTERO'!I893^2)+'BLAZE SHIELD II'!$H$5*'CALCULO MORTERO'!I893+'BLAZE SHIELD II'!$H$6)*LN(J893))+('BLAZE SHIELD II'!$H$7*('CALCULO MORTERO'!I893^2)+'BLAZE SHIELD II'!$H$8*'CALCULO MORTERO'!I893+'BLAZE SHIELD II'!$H$9)),0)+IF(AND(L893="Blaze Shield II",M893="Software Idiem",C893="C"),((('BLAZE SHIELD II'!$L$4*('CALCULO MORTERO'!I893^2)+'BLAZE SHIELD II'!$L$5*'CALCULO MORTERO'!I893+'BLAZE SHIELD II'!$L$6)*LN(J893))+('BLAZE SHIELD II'!$L$7*('CALCULO MORTERO'!I893^2)+'BLAZE SHIELD II'!$L$8*'CALCULO MORTERO'!I893+'BLAZE SHIELD II'!$L$9)),0)+IF(AND(L893="Blaze Shield II",M893="Software Idiem",C893="L"),((('BLAZE SHIELD II'!$L$4*('CALCULO MORTERO'!I893^2)+'BLAZE SHIELD II'!$L$5*'CALCULO MORTERO'!I893+'BLAZE SHIELD II'!$L$6)*LN(J893))+('BLAZE SHIELD II'!$L$7*('CALCULO MORTERO'!I893^2)+'BLAZE SHIELD II'!$L$8*'CALCULO MORTERO'!I893+'BLAZE SHIELD II'!$L$9)),0)+IF(AND(L893="Blaze Shield II",M893="Software Idiem",C893="IN",G893=3),((('BLAZE SHIELD II'!$H$14*('CALCULO MORTERO'!I893^2)+'BLAZE SHIELD II'!$H$15*'CALCULO MORTERO'!I893+'BLAZE SHIELD II'!$H$16)*LN(J893))+('BLAZE SHIELD II'!$H$17*('CALCULO MORTERO'!I893^2)+'BLAZE SHIELD II'!$H$18*'CALCULO MORTERO'!I893+'BLAZE SHIELD II'!$H$19)),0),0)+ROUND(IF(AND(L893="Cafco 400",M893="Software Idiem",C893="IN",G893=4),((('CAFCO 400 '!$H$7*(J893^4)+'CAFCO 400 '!$H$8*(J893^3)+'CAFCO 400 '!$H$9*(J893^2)+'CAFCO 400 '!$H$10*J893+'CAFCO 400 '!$H$11)*U893^2)+(('CAFCO 400 '!$H$12*(J893^3)+'CAFCO 400 '!$H$13*(J893^2)+'CAFCO 400 '!$H$14*J893+'CAFCO 400 '!$H$15)*U893)+('CAFCO 400 '!$H$16*(J893^2)+'CAFCO 400 '!$H$17*J893+'CAFCO 400 '!$H$18)),0)+IF(AND(L893="Cafco 400",M893="Software Idiem",C893="Cj"),(((('CAFCO 400 '!$D$7*LN(J893)+'CAFCO 400 '!$D$8)*U893^2)+(('CAFCO 400 '!$D$9*LN(J893)+'CAFCO 400 '!$D$10)*U893)+('CAFCO 400 '!$D$11*LN(J893)+'CAFCO 400 '!$D$12))),0)+IF(AND(L893="Cafco 400",M893="Software Idiem",C893="C"),((('CAFCO 400 '!$L$7*(J893^3)+'CAFCO 400 '!$L$8*(J893^2)+'CAFCO 400 '!$L$9*J893+'CAFCO 400 '!$L$10)*U893^2)+(('CAFCO 400 '!$L$11*(J893^3)+'CAFCO 400 '!$L$12*(J893^2)+'CAFCO 400 '!$L$13*J893+'CAFCO 400 '!$L$14)*U893)+('CAFCO 400 '!$L$15*LN(J893)+'CAFCO 400 '!$L$16)),0)+IF(AND(L893="Cafco 400",M893="Software Idiem",C893="L"),((('CAFCO 400 '!$L$7*(J893^3)+'CAFCO 400 '!$L$8*(J893^2)+'CAFCO 400 '!$L$9*J893+'CAFCO 400 '!$L$10)*U893^2)+(('CAFCO 400 '!$L$11*(J893^3)+'CAFCO 400 '!$L$12*(J893^2)+'CAFCO 400 '!$L$13*J893+'CAFCO 400 '!$L$14)*U893)+('CAFCO 400 '!$L$15*LN(J893)+'CAFCO 400 '!$L$16)),0)+IF(AND(L893="Cafco 400",M893="Software Idiem",C893="IN",G893=3),((('CAFCO 400 '!$D$23*(J893^2)+'CAFCO 400 '!$D$24*(J893)+'CAFCO 400 '!$D$25)*U893^2)+(('CAFCO 400 '!$D$26*(J893^2)+'CAFCO 400 '!$D$27*J893+'CAFCO 400 '!$D$28)*U893)+('CAFCO 400 '!$D$29*(J893^2)+'CAFCO 400 '!$D$30*J893+'CAFCO 400 '!$D$31)),0),0)+IF(AND(L893="Cafco 300",J893&gt;=95,J893&lt;=240,C893="Cj",I893=90),VLOOKUP(T893,'CAFCO 300 IDIEM TABLAS'!$B$4:$D$23,2,FALSE),0)+IF(AND(L893="Cafco 300",J893&gt;=95,J893&lt;=240,C893="Cj",I893=120),VLOOKUP(T893,'CAFCO 300 IDIEM TABLAS'!$B$4:$D$23,3,FALSE),0)+IF(AND(L893="Cafco 300",J893&gt;=95,J893&lt;=400,G893=3,C893="IN",I893=90),VLOOKUP(T893,'CAFCO 300 IDIEM TABLAS'!$F$4:$H$35,2,FALSE),0)+IF(AND(L893="Cafco 300",J893&gt;=95,J893&lt;=400,G893=3,C893="IN",I893=120),VLOOKUP(T893,'CAFCO 300 IDIEM TABLAS'!$F$4:$H$35,3,FALSE),0)+IF(AND(L893="Cafco 300",J893&gt;=95,J893&lt;=450,G893=4,C893="IN",I893=90),VLOOKUP(T893,'CAFCO 300 IDIEM TABLAS'!$J$4:$L$40,2,FALSE),0)+IF(AND(L893="Cafco 300",J893&gt;=95,J893&lt;=450,G893=4,C893="IN",I893=120),VLOOKUP(T893,'CAFCO 300 IDIEM TABLAS'!$J$4:$L$40,3,FALSE),0)+IF(AND(M893="Ensayo Idiem",L893="Cafco 400",C893="IN",G893=4,I893=90),VLOOKUP(T893,'CAFCO 400 ENSAYO'!$B$7:$D$43,2,FALSE),0)+IF(AND(M893="Ensayo Idiem",L893="Cafco 400",C893="IN",G893=4,I893=120),VLOOKUP(T893,'CAFCO 400 ENSAYO'!$B$7:$D$43,3,FALSE),0)</f>
        <v>0</v>
      </c>
      <c r="O893" s="96">
        <f t="shared" si="90"/>
        <v>0</v>
      </c>
      <c r="P893" s="132" t="str">
        <f t="shared" si="91"/>
        <v>N/A</v>
      </c>
      <c r="Q893" s="132" t="str">
        <f t="shared" si="92"/>
        <v>N/A</v>
      </c>
      <c r="R893" s="132" t="str">
        <f t="shared" si="93"/>
        <v>NO CERT.</v>
      </c>
      <c r="S893" s="132" t="e">
        <f t="shared" si="94"/>
        <v>#N/A</v>
      </c>
      <c r="T893" s="133" t="e">
        <f>+IF(J893=LOOKUP(J893,'CAFCO 300 IDIEM TABLAS'!$J$4:$J$40),'CALCULO MORTERO'!J893,MROUND('CALCULO MORTERO'!J893,10))</f>
        <v>#N/A</v>
      </c>
      <c r="U893" s="134">
        <f t="shared" si="95"/>
        <v>0</v>
      </c>
    </row>
    <row r="894" spans="1:21" x14ac:dyDescent="0.25">
      <c r="A894" s="118">
        <f>+CUBICACION!D888</f>
        <v>0</v>
      </c>
      <c r="B894" s="819">
        <f>+CUBICACION!E888</f>
        <v>0</v>
      </c>
      <c r="C894" s="675">
        <f>+CUBICACION!F888</f>
        <v>0</v>
      </c>
      <c r="D894" s="118"/>
      <c r="E894" s="118"/>
      <c r="F894" s="820"/>
      <c r="G894" s="675">
        <f>+CUBICACION!J888</f>
        <v>0</v>
      </c>
      <c r="H894" s="118"/>
      <c r="I894" s="821">
        <f>+CUBICACION!L888</f>
        <v>0</v>
      </c>
      <c r="J894" s="64">
        <f>+CUBICACION!M888</f>
        <v>0</v>
      </c>
      <c r="K894" s="822" t="str">
        <f>+CUBICACION!N888</f>
        <v/>
      </c>
      <c r="L894" s="118">
        <f>+CUBICACION!O888</f>
        <v>0</v>
      </c>
      <c r="M894" s="823">
        <f>+CUBICACION!P888</f>
        <v>0</v>
      </c>
      <c r="N894" s="902">
        <f>ROUND(IF(AND(L894="Blaze Shield II",M894="Software Idiem",C894="IN",G894=4),((('BLAZE SHIELD II'!$D$4*('CALCULO MORTERO'!I894^2)+'BLAZE SHIELD II'!$D$5*'CALCULO MORTERO'!I894+'BLAZE SHIELD II'!$D$6)*LN(J894))+('BLAZE SHIELD II'!$D$7*('CALCULO MORTERO'!I894^2)+'BLAZE SHIELD II'!$D$8*'CALCULO MORTERO'!I894+'BLAZE SHIELD II'!$D$9)),0)+IF(AND(L894="Blaze Shield II",M894="Software Idiem",C894="Cj"),((('BLAZE SHIELD II'!$H$4*('CALCULO MORTERO'!I894^2)+'BLAZE SHIELD II'!$H$5*'CALCULO MORTERO'!I894+'BLAZE SHIELD II'!$H$6)*LN(J894))+('BLAZE SHIELD II'!$H$7*('CALCULO MORTERO'!I894^2)+'BLAZE SHIELD II'!$H$8*'CALCULO MORTERO'!I894+'BLAZE SHIELD II'!$H$9)),0)+IF(AND(L894="Blaze Shield II",M894="Software Idiem",C894="C"),((('BLAZE SHIELD II'!$L$4*('CALCULO MORTERO'!I894^2)+'BLAZE SHIELD II'!$L$5*'CALCULO MORTERO'!I894+'BLAZE SHIELD II'!$L$6)*LN(J894))+('BLAZE SHIELD II'!$L$7*('CALCULO MORTERO'!I894^2)+'BLAZE SHIELD II'!$L$8*'CALCULO MORTERO'!I894+'BLAZE SHIELD II'!$L$9)),0)+IF(AND(L894="Blaze Shield II",M894="Software Idiem",C894="L"),((('BLAZE SHIELD II'!$L$4*('CALCULO MORTERO'!I894^2)+'BLAZE SHIELD II'!$L$5*'CALCULO MORTERO'!I894+'BLAZE SHIELD II'!$L$6)*LN(J894))+('BLAZE SHIELD II'!$L$7*('CALCULO MORTERO'!I894^2)+'BLAZE SHIELD II'!$L$8*'CALCULO MORTERO'!I894+'BLAZE SHIELD II'!$L$9)),0)+IF(AND(L894="Blaze Shield II",M894="Software Idiem",C894="IN",G894=3),((('BLAZE SHIELD II'!$H$14*('CALCULO MORTERO'!I894^2)+'BLAZE SHIELD II'!$H$15*'CALCULO MORTERO'!I894+'BLAZE SHIELD II'!$H$16)*LN(J894))+('BLAZE SHIELD II'!$H$17*('CALCULO MORTERO'!I894^2)+'BLAZE SHIELD II'!$H$18*'CALCULO MORTERO'!I894+'BLAZE SHIELD II'!$H$19)),0),0)+ROUND(IF(AND(L894="Cafco 400",M894="Software Idiem",C894="IN",G894=4),((('CAFCO 400 '!$H$7*(J894^4)+'CAFCO 400 '!$H$8*(J894^3)+'CAFCO 400 '!$H$9*(J894^2)+'CAFCO 400 '!$H$10*J894+'CAFCO 400 '!$H$11)*U894^2)+(('CAFCO 400 '!$H$12*(J894^3)+'CAFCO 400 '!$H$13*(J894^2)+'CAFCO 400 '!$H$14*J894+'CAFCO 400 '!$H$15)*U894)+('CAFCO 400 '!$H$16*(J894^2)+'CAFCO 400 '!$H$17*J894+'CAFCO 400 '!$H$18)),0)+IF(AND(L894="Cafco 400",M894="Software Idiem",C894="Cj"),(((('CAFCO 400 '!$D$7*LN(J894)+'CAFCO 400 '!$D$8)*U894^2)+(('CAFCO 400 '!$D$9*LN(J894)+'CAFCO 400 '!$D$10)*U894)+('CAFCO 400 '!$D$11*LN(J894)+'CAFCO 400 '!$D$12))),0)+IF(AND(L894="Cafco 400",M894="Software Idiem",C894="C"),((('CAFCO 400 '!$L$7*(J894^3)+'CAFCO 400 '!$L$8*(J894^2)+'CAFCO 400 '!$L$9*J894+'CAFCO 400 '!$L$10)*U894^2)+(('CAFCO 400 '!$L$11*(J894^3)+'CAFCO 400 '!$L$12*(J894^2)+'CAFCO 400 '!$L$13*J894+'CAFCO 400 '!$L$14)*U894)+('CAFCO 400 '!$L$15*LN(J894)+'CAFCO 400 '!$L$16)),0)+IF(AND(L894="Cafco 400",M894="Software Idiem",C894="L"),((('CAFCO 400 '!$L$7*(J894^3)+'CAFCO 400 '!$L$8*(J894^2)+'CAFCO 400 '!$L$9*J894+'CAFCO 400 '!$L$10)*U894^2)+(('CAFCO 400 '!$L$11*(J894^3)+'CAFCO 400 '!$L$12*(J894^2)+'CAFCO 400 '!$L$13*J894+'CAFCO 400 '!$L$14)*U894)+('CAFCO 400 '!$L$15*LN(J894)+'CAFCO 400 '!$L$16)),0)+IF(AND(L894="Cafco 400",M894="Software Idiem",C894="IN",G894=3),((('CAFCO 400 '!$D$23*(J894^2)+'CAFCO 400 '!$D$24*(J894)+'CAFCO 400 '!$D$25)*U894^2)+(('CAFCO 400 '!$D$26*(J894^2)+'CAFCO 400 '!$D$27*J894+'CAFCO 400 '!$D$28)*U894)+('CAFCO 400 '!$D$29*(J894^2)+'CAFCO 400 '!$D$30*J894+'CAFCO 400 '!$D$31)),0),0)+IF(AND(L894="Cafco 300",J894&gt;=95,J894&lt;=240,C894="Cj",I894=90),VLOOKUP(T894,'CAFCO 300 IDIEM TABLAS'!$B$4:$D$23,2,FALSE),0)+IF(AND(L894="Cafco 300",J894&gt;=95,J894&lt;=240,C894="Cj",I894=120),VLOOKUP(T894,'CAFCO 300 IDIEM TABLAS'!$B$4:$D$23,3,FALSE),0)+IF(AND(L894="Cafco 300",J894&gt;=95,J894&lt;=400,G894=3,C894="IN",I894=90),VLOOKUP(T894,'CAFCO 300 IDIEM TABLAS'!$F$4:$H$35,2,FALSE),0)+IF(AND(L894="Cafco 300",J894&gt;=95,J894&lt;=400,G894=3,C894="IN",I894=120),VLOOKUP(T894,'CAFCO 300 IDIEM TABLAS'!$F$4:$H$35,3,FALSE),0)+IF(AND(L894="Cafco 300",J894&gt;=95,J894&lt;=450,G894=4,C894="IN",I894=90),VLOOKUP(T894,'CAFCO 300 IDIEM TABLAS'!$J$4:$L$40,2,FALSE),0)+IF(AND(L894="Cafco 300",J894&gt;=95,J894&lt;=450,G894=4,C894="IN",I894=120),VLOOKUP(T894,'CAFCO 300 IDIEM TABLAS'!$J$4:$L$40,3,FALSE),0)+IF(AND(M894="Ensayo Idiem",L894="Cafco 400",C894="IN",G894=4,I894=90),VLOOKUP(T894,'CAFCO 400 ENSAYO'!$B$7:$D$43,2,FALSE),0)+IF(AND(M894="Ensayo Idiem",L894="Cafco 400",C894="IN",G894=4,I894=120),VLOOKUP(T894,'CAFCO 400 ENSAYO'!$B$7:$D$43,3,FALSE),0)</f>
        <v>0</v>
      </c>
      <c r="O894" s="96">
        <f t="shared" si="90"/>
        <v>0</v>
      </c>
      <c r="P894" s="95" t="str">
        <f t="shared" si="91"/>
        <v>N/A</v>
      </c>
      <c r="Q894" s="95" t="str">
        <f t="shared" si="92"/>
        <v>N/A</v>
      </c>
      <c r="R894" s="95" t="str">
        <f t="shared" si="93"/>
        <v>NO CERT.</v>
      </c>
      <c r="S894" s="95" t="e">
        <f t="shared" si="94"/>
        <v>#N/A</v>
      </c>
      <c r="T894" s="119" t="e">
        <f>+IF(J894=LOOKUP(J894,'CAFCO 300 IDIEM TABLAS'!$J$4:$J$40),'CALCULO MORTERO'!J894,MROUND('CALCULO MORTERO'!J894,10))</f>
        <v>#N/A</v>
      </c>
      <c r="U894" s="118">
        <f t="shared" si="95"/>
        <v>0</v>
      </c>
    </row>
    <row r="895" spans="1:21" x14ac:dyDescent="0.25">
      <c r="A895" s="118">
        <f>+CUBICACION!D889</f>
        <v>0</v>
      </c>
      <c r="B895" s="819">
        <f>+CUBICACION!E889</f>
        <v>0</v>
      </c>
      <c r="C895" s="675">
        <f>+CUBICACION!F889</f>
        <v>0</v>
      </c>
      <c r="D895" s="118"/>
      <c r="E895" s="118"/>
      <c r="F895" s="820"/>
      <c r="G895" s="675">
        <f>+CUBICACION!J889</f>
        <v>0</v>
      </c>
      <c r="H895" s="118"/>
      <c r="I895" s="821">
        <f>+CUBICACION!L889</f>
        <v>0</v>
      </c>
      <c r="J895" s="64">
        <f>+CUBICACION!M889</f>
        <v>0</v>
      </c>
      <c r="K895" s="822" t="str">
        <f>+CUBICACION!N889</f>
        <v/>
      </c>
      <c r="L895" s="118">
        <f>+CUBICACION!O889</f>
        <v>0</v>
      </c>
      <c r="M895" s="823">
        <f>+CUBICACION!P889</f>
        <v>0</v>
      </c>
      <c r="N895" s="902">
        <f>ROUND(IF(AND(L895="Blaze Shield II",M895="Software Idiem",C895="IN",G895=4),((('BLAZE SHIELD II'!$D$4*('CALCULO MORTERO'!I895^2)+'BLAZE SHIELD II'!$D$5*'CALCULO MORTERO'!I895+'BLAZE SHIELD II'!$D$6)*LN(J895))+('BLAZE SHIELD II'!$D$7*('CALCULO MORTERO'!I895^2)+'BLAZE SHIELD II'!$D$8*'CALCULO MORTERO'!I895+'BLAZE SHIELD II'!$D$9)),0)+IF(AND(L895="Blaze Shield II",M895="Software Idiem",C895="Cj"),((('BLAZE SHIELD II'!$H$4*('CALCULO MORTERO'!I895^2)+'BLAZE SHIELD II'!$H$5*'CALCULO MORTERO'!I895+'BLAZE SHIELD II'!$H$6)*LN(J895))+('BLAZE SHIELD II'!$H$7*('CALCULO MORTERO'!I895^2)+'BLAZE SHIELD II'!$H$8*'CALCULO MORTERO'!I895+'BLAZE SHIELD II'!$H$9)),0)+IF(AND(L895="Blaze Shield II",M895="Software Idiem",C895="C"),((('BLAZE SHIELD II'!$L$4*('CALCULO MORTERO'!I895^2)+'BLAZE SHIELD II'!$L$5*'CALCULO MORTERO'!I895+'BLAZE SHIELD II'!$L$6)*LN(J895))+('BLAZE SHIELD II'!$L$7*('CALCULO MORTERO'!I895^2)+'BLAZE SHIELD II'!$L$8*'CALCULO MORTERO'!I895+'BLAZE SHIELD II'!$L$9)),0)+IF(AND(L895="Blaze Shield II",M895="Software Idiem",C895="L"),((('BLAZE SHIELD II'!$L$4*('CALCULO MORTERO'!I895^2)+'BLAZE SHIELD II'!$L$5*'CALCULO MORTERO'!I895+'BLAZE SHIELD II'!$L$6)*LN(J895))+('BLAZE SHIELD II'!$L$7*('CALCULO MORTERO'!I895^2)+'BLAZE SHIELD II'!$L$8*'CALCULO MORTERO'!I895+'BLAZE SHIELD II'!$L$9)),0)+IF(AND(L895="Blaze Shield II",M895="Software Idiem",C895="IN",G895=3),((('BLAZE SHIELD II'!$H$14*('CALCULO MORTERO'!I895^2)+'BLAZE SHIELD II'!$H$15*'CALCULO MORTERO'!I895+'BLAZE SHIELD II'!$H$16)*LN(J895))+('BLAZE SHIELD II'!$H$17*('CALCULO MORTERO'!I895^2)+'BLAZE SHIELD II'!$H$18*'CALCULO MORTERO'!I895+'BLAZE SHIELD II'!$H$19)),0),0)+ROUND(IF(AND(L895="Cafco 400",M895="Software Idiem",C895="IN",G895=4),((('CAFCO 400 '!$H$7*(J895^4)+'CAFCO 400 '!$H$8*(J895^3)+'CAFCO 400 '!$H$9*(J895^2)+'CAFCO 400 '!$H$10*J895+'CAFCO 400 '!$H$11)*U895^2)+(('CAFCO 400 '!$H$12*(J895^3)+'CAFCO 400 '!$H$13*(J895^2)+'CAFCO 400 '!$H$14*J895+'CAFCO 400 '!$H$15)*U895)+('CAFCO 400 '!$H$16*(J895^2)+'CAFCO 400 '!$H$17*J895+'CAFCO 400 '!$H$18)),0)+IF(AND(L895="Cafco 400",M895="Software Idiem",C895="Cj"),(((('CAFCO 400 '!$D$7*LN(J895)+'CAFCO 400 '!$D$8)*U895^2)+(('CAFCO 400 '!$D$9*LN(J895)+'CAFCO 400 '!$D$10)*U895)+('CAFCO 400 '!$D$11*LN(J895)+'CAFCO 400 '!$D$12))),0)+IF(AND(L895="Cafco 400",M895="Software Idiem",C895="C"),((('CAFCO 400 '!$L$7*(J895^3)+'CAFCO 400 '!$L$8*(J895^2)+'CAFCO 400 '!$L$9*J895+'CAFCO 400 '!$L$10)*U895^2)+(('CAFCO 400 '!$L$11*(J895^3)+'CAFCO 400 '!$L$12*(J895^2)+'CAFCO 400 '!$L$13*J895+'CAFCO 400 '!$L$14)*U895)+('CAFCO 400 '!$L$15*LN(J895)+'CAFCO 400 '!$L$16)),0)+IF(AND(L895="Cafco 400",M895="Software Idiem",C895="L"),((('CAFCO 400 '!$L$7*(J895^3)+'CAFCO 400 '!$L$8*(J895^2)+'CAFCO 400 '!$L$9*J895+'CAFCO 400 '!$L$10)*U895^2)+(('CAFCO 400 '!$L$11*(J895^3)+'CAFCO 400 '!$L$12*(J895^2)+'CAFCO 400 '!$L$13*J895+'CAFCO 400 '!$L$14)*U895)+('CAFCO 400 '!$L$15*LN(J895)+'CAFCO 400 '!$L$16)),0)+IF(AND(L895="Cafco 400",M895="Software Idiem",C895="IN",G895=3),((('CAFCO 400 '!$D$23*(J895^2)+'CAFCO 400 '!$D$24*(J895)+'CAFCO 400 '!$D$25)*U895^2)+(('CAFCO 400 '!$D$26*(J895^2)+'CAFCO 400 '!$D$27*J895+'CAFCO 400 '!$D$28)*U895)+('CAFCO 400 '!$D$29*(J895^2)+'CAFCO 400 '!$D$30*J895+'CAFCO 400 '!$D$31)),0),0)+IF(AND(L895="Cafco 300",J895&gt;=95,J895&lt;=240,C895="Cj",I895=90),VLOOKUP(T895,'CAFCO 300 IDIEM TABLAS'!$B$4:$D$23,2,FALSE),0)+IF(AND(L895="Cafco 300",J895&gt;=95,J895&lt;=240,C895="Cj",I895=120),VLOOKUP(T895,'CAFCO 300 IDIEM TABLAS'!$B$4:$D$23,3,FALSE),0)+IF(AND(L895="Cafco 300",J895&gt;=95,J895&lt;=400,G895=3,C895="IN",I895=90),VLOOKUP(T895,'CAFCO 300 IDIEM TABLAS'!$F$4:$H$35,2,FALSE),0)+IF(AND(L895="Cafco 300",J895&gt;=95,J895&lt;=400,G895=3,C895="IN",I895=120),VLOOKUP(T895,'CAFCO 300 IDIEM TABLAS'!$F$4:$H$35,3,FALSE),0)+IF(AND(L895="Cafco 300",J895&gt;=95,J895&lt;=450,G895=4,C895="IN",I895=90),VLOOKUP(T895,'CAFCO 300 IDIEM TABLAS'!$J$4:$L$40,2,FALSE),0)+IF(AND(L895="Cafco 300",J895&gt;=95,J895&lt;=450,G895=4,C895="IN",I895=120),VLOOKUP(T895,'CAFCO 300 IDIEM TABLAS'!$J$4:$L$40,3,FALSE),0)+IF(AND(M895="Ensayo Idiem",L895="Cafco 400",C895="IN",G895=4,I895=90),VLOOKUP(T895,'CAFCO 400 ENSAYO'!$B$7:$D$43,2,FALSE),0)+IF(AND(M895="Ensayo Idiem",L895="Cafco 400",C895="IN",G895=4,I895=120),VLOOKUP(T895,'CAFCO 400 ENSAYO'!$B$7:$D$43,3,FALSE),0)</f>
        <v>0</v>
      </c>
      <c r="O895" s="96">
        <f t="shared" si="90"/>
        <v>0</v>
      </c>
      <c r="P895" s="132" t="str">
        <f t="shared" si="91"/>
        <v>N/A</v>
      </c>
      <c r="Q895" s="132" t="str">
        <f t="shared" si="92"/>
        <v>N/A</v>
      </c>
      <c r="R895" s="132" t="str">
        <f t="shared" si="93"/>
        <v>NO CERT.</v>
      </c>
      <c r="S895" s="132" t="e">
        <f t="shared" si="94"/>
        <v>#N/A</v>
      </c>
      <c r="T895" s="133" t="e">
        <f>+IF(J895=LOOKUP(J895,'CAFCO 300 IDIEM TABLAS'!$J$4:$J$40),'CALCULO MORTERO'!J895,MROUND('CALCULO MORTERO'!J895,10))</f>
        <v>#N/A</v>
      </c>
      <c r="U895" s="134">
        <f t="shared" si="95"/>
        <v>0</v>
      </c>
    </row>
    <row r="896" spans="1:21" x14ac:dyDescent="0.25">
      <c r="A896" s="118">
        <f>+CUBICACION!D890</f>
        <v>0</v>
      </c>
      <c r="B896" s="819">
        <f>+CUBICACION!E890</f>
        <v>0</v>
      </c>
      <c r="C896" s="675">
        <f>+CUBICACION!F890</f>
        <v>0</v>
      </c>
      <c r="D896" s="118"/>
      <c r="E896" s="118"/>
      <c r="F896" s="820"/>
      <c r="G896" s="675">
        <f>+CUBICACION!J890</f>
        <v>0</v>
      </c>
      <c r="H896" s="118"/>
      <c r="I896" s="821">
        <f>+CUBICACION!L890</f>
        <v>0</v>
      </c>
      <c r="J896" s="64">
        <f>+CUBICACION!M890</f>
        <v>0</v>
      </c>
      <c r="K896" s="822" t="str">
        <f>+CUBICACION!N890</f>
        <v/>
      </c>
      <c r="L896" s="118">
        <f>+CUBICACION!O890</f>
        <v>0</v>
      </c>
      <c r="M896" s="823">
        <f>+CUBICACION!P890</f>
        <v>0</v>
      </c>
      <c r="N896" s="902">
        <f>ROUND(IF(AND(L896="Blaze Shield II",M896="Software Idiem",C896="IN",G896=4),((('BLAZE SHIELD II'!$D$4*('CALCULO MORTERO'!I896^2)+'BLAZE SHIELD II'!$D$5*'CALCULO MORTERO'!I896+'BLAZE SHIELD II'!$D$6)*LN(J896))+('BLAZE SHIELD II'!$D$7*('CALCULO MORTERO'!I896^2)+'BLAZE SHIELD II'!$D$8*'CALCULO MORTERO'!I896+'BLAZE SHIELD II'!$D$9)),0)+IF(AND(L896="Blaze Shield II",M896="Software Idiem",C896="Cj"),((('BLAZE SHIELD II'!$H$4*('CALCULO MORTERO'!I896^2)+'BLAZE SHIELD II'!$H$5*'CALCULO MORTERO'!I896+'BLAZE SHIELD II'!$H$6)*LN(J896))+('BLAZE SHIELD II'!$H$7*('CALCULO MORTERO'!I896^2)+'BLAZE SHIELD II'!$H$8*'CALCULO MORTERO'!I896+'BLAZE SHIELD II'!$H$9)),0)+IF(AND(L896="Blaze Shield II",M896="Software Idiem",C896="C"),((('BLAZE SHIELD II'!$L$4*('CALCULO MORTERO'!I896^2)+'BLAZE SHIELD II'!$L$5*'CALCULO MORTERO'!I896+'BLAZE SHIELD II'!$L$6)*LN(J896))+('BLAZE SHIELD II'!$L$7*('CALCULO MORTERO'!I896^2)+'BLAZE SHIELD II'!$L$8*'CALCULO MORTERO'!I896+'BLAZE SHIELD II'!$L$9)),0)+IF(AND(L896="Blaze Shield II",M896="Software Idiem",C896="L"),((('BLAZE SHIELD II'!$L$4*('CALCULO MORTERO'!I896^2)+'BLAZE SHIELD II'!$L$5*'CALCULO MORTERO'!I896+'BLAZE SHIELD II'!$L$6)*LN(J896))+('BLAZE SHIELD II'!$L$7*('CALCULO MORTERO'!I896^2)+'BLAZE SHIELD II'!$L$8*'CALCULO MORTERO'!I896+'BLAZE SHIELD II'!$L$9)),0)+IF(AND(L896="Blaze Shield II",M896="Software Idiem",C896="IN",G896=3),((('BLAZE SHIELD II'!$H$14*('CALCULO MORTERO'!I896^2)+'BLAZE SHIELD II'!$H$15*'CALCULO MORTERO'!I896+'BLAZE SHIELD II'!$H$16)*LN(J896))+('BLAZE SHIELD II'!$H$17*('CALCULO MORTERO'!I896^2)+'BLAZE SHIELD II'!$H$18*'CALCULO MORTERO'!I896+'BLAZE SHIELD II'!$H$19)),0),0)+ROUND(IF(AND(L896="Cafco 400",M896="Software Idiem",C896="IN",G896=4),((('CAFCO 400 '!$H$7*(J896^4)+'CAFCO 400 '!$H$8*(J896^3)+'CAFCO 400 '!$H$9*(J896^2)+'CAFCO 400 '!$H$10*J896+'CAFCO 400 '!$H$11)*U896^2)+(('CAFCO 400 '!$H$12*(J896^3)+'CAFCO 400 '!$H$13*(J896^2)+'CAFCO 400 '!$H$14*J896+'CAFCO 400 '!$H$15)*U896)+('CAFCO 400 '!$H$16*(J896^2)+'CAFCO 400 '!$H$17*J896+'CAFCO 400 '!$H$18)),0)+IF(AND(L896="Cafco 400",M896="Software Idiem",C896="Cj"),(((('CAFCO 400 '!$D$7*LN(J896)+'CAFCO 400 '!$D$8)*U896^2)+(('CAFCO 400 '!$D$9*LN(J896)+'CAFCO 400 '!$D$10)*U896)+('CAFCO 400 '!$D$11*LN(J896)+'CAFCO 400 '!$D$12))),0)+IF(AND(L896="Cafco 400",M896="Software Idiem",C896="C"),((('CAFCO 400 '!$L$7*(J896^3)+'CAFCO 400 '!$L$8*(J896^2)+'CAFCO 400 '!$L$9*J896+'CAFCO 400 '!$L$10)*U896^2)+(('CAFCO 400 '!$L$11*(J896^3)+'CAFCO 400 '!$L$12*(J896^2)+'CAFCO 400 '!$L$13*J896+'CAFCO 400 '!$L$14)*U896)+('CAFCO 400 '!$L$15*LN(J896)+'CAFCO 400 '!$L$16)),0)+IF(AND(L896="Cafco 400",M896="Software Idiem",C896="L"),((('CAFCO 400 '!$L$7*(J896^3)+'CAFCO 400 '!$L$8*(J896^2)+'CAFCO 400 '!$L$9*J896+'CAFCO 400 '!$L$10)*U896^2)+(('CAFCO 400 '!$L$11*(J896^3)+'CAFCO 400 '!$L$12*(J896^2)+'CAFCO 400 '!$L$13*J896+'CAFCO 400 '!$L$14)*U896)+('CAFCO 400 '!$L$15*LN(J896)+'CAFCO 400 '!$L$16)),0)+IF(AND(L896="Cafco 400",M896="Software Idiem",C896="IN",G896=3),((('CAFCO 400 '!$D$23*(J896^2)+'CAFCO 400 '!$D$24*(J896)+'CAFCO 400 '!$D$25)*U896^2)+(('CAFCO 400 '!$D$26*(J896^2)+'CAFCO 400 '!$D$27*J896+'CAFCO 400 '!$D$28)*U896)+('CAFCO 400 '!$D$29*(J896^2)+'CAFCO 400 '!$D$30*J896+'CAFCO 400 '!$D$31)),0),0)+IF(AND(L896="Cafco 300",J896&gt;=95,J896&lt;=240,C896="Cj",I896=90),VLOOKUP(T896,'CAFCO 300 IDIEM TABLAS'!$B$4:$D$23,2,FALSE),0)+IF(AND(L896="Cafco 300",J896&gt;=95,J896&lt;=240,C896="Cj",I896=120),VLOOKUP(T896,'CAFCO 300 IDIEM TABLAS'!$B$4:$D$23,3,FALSE),0)+IF(AND(L896="Cafco 300",J896&gt;=95,J896&lt;=400,G896=3,C896="IN",I896=90),VLOOKUP(T896,'CAFCO 300 IDIEM TABLAS'!$F$4:$H$35,2,FALSE),0)+IF(AND(L896="Cafco 300",J896&gt;=95,J896&lt;=400,G896=3,C896="IN",I896=120),VLOOKUP(T896,'CAFCO 300 IDIEM TABLAS'!$F$4:$H$35,3,FALSE),0)+IF(AND(L896="Cafco 300",J896&gt;=95,J896&lt;=450,G896=4,C896="IN",I896=90),VLOOKUP(T896,'CAFCO 300 IDIEM TABLAS'!$J$4:$L$40,2,FALSE),0)+IF(AND(L896="Cafco 300",J896&gt;=95,J896&lt;=450,G896=4,C896="IN",I896=120),VLOOKUP(T896,'CAFCO 300 IDIEM TABLAS'!$J$4:$L$40,3,FALSE),0)+IF(AND(M896="Ensayo Idiem",L896="Cafco 400",C896="IN",G896=4,I896=90),VLOOKUP(T896,'CAFCO 400 ENSAYO'!$B$7:$D$43,2,FALSE),0)+IF(AND(M896="Ensayo Idiem",L896="Cafco 400",C896="IN",G896=4,I896=120),VLOOKUP(T896,'CAFCO 400 ENSAYO'!$B$7:$D$43,3,FALSE),0)</f>
        <v>0</v>
      </c>
      <c r="O896" s="96">
        <f t="shared" si="90"/>
        <v>0</v>
      </c>
      <c r="P896" s="95" t="str">
        <f t="shared" si="91"/>
        <v>N/A</v>
      </c>
      <c r="Q896" s="95" t="str">
        <f t="shared" si="92"/>
        <v>N/A</v>
      </c>
      <c r="R896" s="95" t="str">
        <f t="shared" si="93"/>
        <v>NO CERT.</v>
      </c>
      <c r="S896" s="95" t="e">
        <f t="shared" si="94"/>
        <v>#N/A</v>
      </c>
      <c r="T896" s="119" t="e">
        <f>+IF(J896=LOOKUP(J896,'CAFCO 300 IDIEM TABLAS'!$J$4:$J$40),'CALCULO MORTERO'!J896,MROUND('CALCULO MORTERO'!J896,10))</f>
        <v>#N/A</v>
      </c>
      <c r="U896" s="118">
        <f t="shared" si="95"/>
        <v>0</v>
      </c>
    </row>
    <row r="897" spans="1:21" x14ac:dyDescent="0.25">
      <c r="A897" s="118">
        <f>+CUBICACION!D891</f>
        <v>0</v>
      </c>
      <c r="B897" s="819">
        <f>+CUBICACION!E891</f>
        <v>0</v>
      </c>
      <c r="C897" s="675">
        <f>+CUBICACION!F891</f>
        <v>0</v>
      </c>
      <c r="D897" s="118"/>
      <c r="E897" s="118"/>
      <c r="F897" s="820"/>
      <c r="G897" s="675">
        <f>+CUBICACION!J891</f>
        <v>0</v>
      </c>
      <c r="H897" s="118"/>
      <c r="I897" s="821">
        <f>+CUBICACION!L891</f>
        <v>0</v>
      </c>
      <c r="J897" s="64">
        <f>+CUBICACION!M891</f>
        <v>0</v>
      </c>
      <c r="K897" s="822" t="str">
        <f>+CUBICACION!N891</f>
        <v/>
      </c>
      <c r="L897" s="118">
        <f>+CUBICACION!O891</f>
        <v>0</v>
      </c>
      <c r="M897" s="823">
        <f>+CUBICACION!P891</f>
        <v>0</v>
      </c>
      <c r="N897" s="902">
        <f>ROUND(IF(AND(L897="Blaze Shield II",M897="Software Idiem",C897="IN",G897=4),((('BLAZE SHIELD II'!$D$4*('CALCULO MORTERO'!I897^2)+'BLAZE SHIELD II'!$D$5*'CALCULO MORTERO'!I897+'BLAZE SHIELD II'!$D$6)*LN(J897))+('BLAZE SHIELD II'!$D$7*('CALCULO MORTERO'!I897^2)+'BLAZE SHIELD II'!$D$8*'CALCULO MORTERO'!I897+'BLAZE SHIELD II'!$D$9)),0)+IF(AND(L897="Blaze Shield II",M897="Software Idiem",C897="Cj"),((('BLAZE SHIELD II'!$H$4*('CALCULO MORTERO'!I897^2)+'BLAZE SHIELD II'!$H$5*'CALCULO MORTERO'!I897+'BLAZE SHIELD II'!$H$6)*LN(J897))+('BLAZE SHIELD II'!$H$7*('CALCULO MORTERO'!I897^2)+'BLAZE SHIELD II'!$H$8*'CALCULO MORTERO'!I897+'BLAZE SHIELD II'!$H$9)),0)+IF(AND(L897="Blaze Shield II",M897="Software Idiem",C897="C"),((('BLAZE SHIELD II'!$L$4*('CALCULO MORTERO'!I897^2)+'BLAZE SHIELD II'!$L$5*'CALCULO MORTERO'!I897+'BLAZE SHIELD II'!$L$6)*LN(J897))+('BLAZE SHIELD II'!$L$7*('CALCULO MORTERO'!I897^2)+'BLAZE SHIELD II'!$L$8*'CALCULO MORTERO'!I897+'BLAZE SHIELD II'!$L$9)),0)+IF(AND(L897="Blaze Shield II",M897="Software Idiem",C897="L"),((('BLAZE SHIELD II'!$L$4*('CALCULO MORTERO'!I897^2)+'BLAZE SHIELD II'!$L$5*'CALCULO MORTERO'!I897+'BLAZE SHIELD II'!$L$6)*LN(J897))+('BLAZE SHIELD II'!$L$7*('CALCULO MORTERO'!I897^2)+'BLAZE SHIELD II'!$L$8*'CALCULO MORTERO'!I897+'BLAZE SHIELD II'!$L$9)),0)+IF(AND(L897="Blaze Shield II",M897="Software Idiem",C897="IN",G897=3),((('BLAZE SHIELD II'!$H$14*('CALCULO MORTERO'!I897^2)+'BLAZE SHIELD II'!$H$15*'CALCULO MORTERO'!I897+'BLAZE SHIELD II'!$H$16)*LN(J897))+('BLAZE SHIELD II'!$H$17*('CALCULO MORTERO'!I897^2)+'BLAZE SHIELD II'!$H$18*'CALCULO MORTERO'!I897+'BLAZE SHIELD II'!$H$19)),0),0)+ROUND(IF(AND(L897="Cafco 400",M897="Software Idiem",C897="IN",G897=4),((('CAFCO 400 '!$H$7*(J897^4)+'CAFCO 400 '!$H$8*(J897^3)+'CAFCO 400 '!$H$9*(J897^2)+'CAFCO 400 '!$H$10*J897+'CAFCO 400 '!$H$11)*U897^2)+(('CAFCO 400 '!$H$12*(J897^3)+'CAFCO 400 '!$H$13*(J897^2)+'CAFCO 400 '!$H$14*J897+'CAFCO 400 '!$H$15)*U897)+('CAFCO 400 '!$H$16*(J897^2)+'CAFCO 400 '!$H$17*J897+'CAFCO 400 '!$H$18)),0)+IF(AND(L897="Cafco 400",M897="Software Idiem",C897="Cj"),(((('CAFCO 400 '!$D$7*LN(J897)+'CAFCO 400 '!$D$8)*U897^2)+(('CAFCO 400 '!$D$9*LN(J897)+'CAFCO 400 '!$D$10)*U897)+('CAFCO 400 '!$D$11*LN(J897)+'CAFCO 400 '!$D$12))),0)+IF(AND(L897="Cafco 400",M897="Software Idiem",C897="C"),((('CAFCO 400 '!$L$7*(J897^3)+'CAFCO 400 '!$L$8*(J897^2)+'CAFCO 400 '!$L$9*J897+'CAFCO 400 '!$L$10)*U897^2)+(('CAFCO 400 '!$L$11*(J897^3)+'CAFCO 400 '!$L$12*(J897^2)+'CAFCO 400 '!$L$13*J897+'CAFCO 400 '!$L$14)*U897)+('CAFCO 400 '!$L$15*LN(J897)+'CAFCO 400 '!$L$16)),0)+IF(AND(L897="Cafco 400",M897="Software Idiem",C897="L"),((('CAFCO 400 '!$L$7*(J897^3)+'CAFCO 400 '!$L$8*(J897^2)+'CAFCO 400 '!$L$9*J897+'CAFCO 400 '!$L$10)*U897^2)+(('CAFCO 400 '!$L$11*(J897^3)+'CAFCO 400 '!$L$12*(J897^2)+'CAFCO 400 '!$L$13*J897+'CAFCO 400 '!$L$14)*U897)+('CAFCO 400 '!$L$15*LN(J897)+'CAFCO 400 '!$L$16)),0)+IF(AND(L897="Cafco 400",M897="Software Idiem",C897="IN",G897=3),((('CAFCO 400 '!$D$23*(J897^2)+'CAFCO 400 '!$D$24*(J897)+'CAFCO 400 '!$D$25)*U897^2)+(('CAFCO 400 '!$D$26*(J897^2)+'CAFCO 400 '!$D$27*J897+'CAFCO 400 '!$D$28)*U897)+('CAFCO 400 '!$D$29*(J897^2)+'CAFCO 400 '!$D$30*J897+'CAFCO 400 '!$D$31)),0),0)+IF(AND(L897="Cafco 300",J897&gt;=95,J897&lt;=240,C897="Cj",I897=90),VLOOKUP(T897,'CAFCO 300 IDIEM TABLAS'!$B$4:$D$23,2,FALSE),0)+IF(AND(L897="Cafco 300",J897&gt;=95,J897&lt;=240,C897="Cj",I897=120),VLOOKUP(T897,'CAFCO 300 IDIEM TABLAS'!$B$4:$D$23,3,FALSE),0)+IF(AND(L897="Cafco 300",J897&gt;=95,J897&lt;=400,G897=3,C897="IN",I897=90),VLOOKUP(T897,'CAFCO 300 IDIEM TABLAS'!$F$4:$H$35,2,FALSE),0)+IF(AND(L897="Cafco 300",J897&gt;=95,J897&lt;=400,G897=3,C897="IN",I897=120),VLOOKUP(T897,'CAFCO 300 IDIEM TABLAS'!$F$4:$H$35,3,FALSE),0)+IF(AND(L897="Cafco 300",J897&gt;=95,J897&lt;=450,G897=4,C897="IN",I897=90),VLOOKUP(T897,'CAFCO 300 IDIEM TABLAS'!$J$4:$L$40,2,FALSE),0)+IF(AND(L897="Cafco 300",J897&gt;=95,J897&lt;=450,G897=4,C897="IN",I897=120),VLOOKUP(T897,'CAFCO 300 IDIEM TABLAS'!$J$4:$L$40,3,FALSE),0)+IF(AND(M897="Ensayo Idiem",L897="Cafco 400",C897="IN",G897=4,I897=90),VLOOKUP(T897,'CAFCO 400 ENSAYO'!$B$7:$D$43,2,FALSE),0)+IF(AND(M897="Ensayo Idiem",L897="Cafco 400",C897="IN",G897=4,I897=120),VLOOKUP(T897,'CAFCO 400 ENSAYO'!$B$7:$D$43,3,FALSE),0)</f>
        <v>0</v>
      </c>
      <c r="O897" s="96">
        <f t="shared" si="90"/>
        <v>0</v>
      </c>
      <c r="P897" s="132" t="str">
        <f t="shared" si="91"/>
        <v>N/A</v>
      </c>
      <c r="Q897" s="132" t="str">
        <f t="shared" si="92"/>
        <v>N/A</v>
      </c>
      <c r="R897" s="132" t="str">
        <f t="shared" si="93"/>
        <v>NO CERT.</v>
      </c>
      <c r="S897" s="132" t="e">
        <f t="shared" si="94"/>
        <v>#N/A</v>
      </c>
      <c r="T897" s="133" t="e">
        <f>+IF(J897=LOOKUP(J897,'CAFCO 300 IDIEM TABLAS'!$J$4:$J$40),'CALCULO MORTERO'!J897,MROUND('CALCULO MORTERO'!J897,10))</f>
        <v>#N/A</v>
      </c>
      <c r="U897" s="134">
        <f t="shared" si="95"/>
        <v>0</v>
      </c>
    </row>
    <row r="898" spans="1:21" x14ac:dyDescent="0.25">
      <c r="A898" s="118">
        <f>+CUBICACION!D892</f>
        <v>0</v>
      </c>
      <c r="B898" s="819">
        <f>+CUBICACION!E892</f>
        <v>0</v>
      </c>
      <c r="C898" s="675">
        <f>+CUBICACION!F892</f>
        <v>0</v>
      </c>
      <c r="D898" s="118"/>
      <c r="E898" s="118"/>
      <c r="F898" s="820"/>
      <c r="G898" s="675">
        <f>+CUBICACION!J892</f>
        <v>0</v>
      </c>
      <c r="H898" s="118"/>
      <c r="I898" s="821">
        <f>+CUBICACION!L892</f>
        <v>0</v>
      </c>
      <c r="J898" s="64">
        <f>+CUBICACION!M892</f>
        <v>0</v>
      </c>
      <c r="K898" s="822" t="str">
        <f>+CUBICACION!N892</f>
        <v/>
      </c>
      <c r="L898" s="118">
        <f>+CUBICACION!O892</f>
        <v>0</v>
      </c>
      <c r="M898" s="823">
        <f>+CUBICACION!P892</f>
        <v>0</v>
      </c>
      <c r="N898" s="902">
        <f>ROUND(IF(AND(L898="Blaze Shield II",M898="Software Idiem",C898="IN",G898=4),((('BLAZE SHIELD II'!$D$4*('CALCULO MORTERO'!I898^2)+'BLAZE SHIELD II'!$D$5*'CALCULO MORTERO'!I898+'BLAZE SHIELD II'!$D$6)*LN(J898))+('BLAZE SHIELD II'!$D$7*('CALCULO MORTERO'!I898^2)+'BLAZE SHIELD II'!$D$8*'CALCULO MORTERO'!I898+'BLAZE SHIELD II'!$D$9)),0)+IF(AND(L898="Blaze Shield II",M898="Software Idiem",C898="Cj"),((('BLAZE SHIELD II'!$H$4*('CALCULO MORTERO'!I898^2)+'BLAZE SHIELD II'!$H$5*'CALCULO MORTERO'!I898+'BLAZE SHIELD II'!$H$6)*LN(J898))+('BLAZE SHIELD II'!$H$7*('CALCULO MORTERO'!I898^2)+'BLAZE SHIELD II'!$H$8*'CALCULO MORTERO'!I898+'BLAZE SHIELD II'!$H$9)),0)+IF(AND(L898="Blaze Shield II",M898="Software Idiem",C898="C"),((('BLAZE SHIELD II'!$L$4*('CALCULO MORTERO'!I898^2)+'BLAZE SHIELD II'!$L$5*'CALCULO MORTERO'!I898+'BLAZE SHIELD II'!$L$6)*LN(J898))+('BLAZE SHIELD II'!$L$7*('CALCULO MORTERO'!I898^2)+'BLAZE SHIELD II'!$L$8*'CALCULO MORTERO'!I898+'BLAZE SHIELD II'!$L$9)),0)+IF(AND(L898="Blaze Shield II",M898="Software Idiem",C898="L"),((('BLAZE SHIELD II'!$L$4*('CALCULO MORTERO'!I898^2)+'BLAZE SHIELD II'!$L$5*'CALCULO MORTERO'!I898+'BLAZE SHIELD II'!$L$6)*LN(J898))+('BLAZE SHIELD II'!$L$7*('CALCULO MORTERO'!I898^2)+'BLAZE SHIELD II'!$L$8*'CALCULO MORTERO'!I898+'BLAZE SHIELD II'!$L$9)),0)+IF(AND(L898="Blaze Shield II",M898="Software Idiem",C898="IN",G898=3),((('BLAZE SHIELD II'!$H$14*('CALCULO MORTERO'!I898^2)+'BLAZE SHIELD II'!$H$15*'CALCULO MORTERO'!I898+'BLAZE SHIELD II'!$H$16)*LN(J898))+('BLAZE SHIELD II'!$H$17*('CALCULO MORTERO'!I898^2)+'BLAZE SHIELD II'!$H$18*'CALCULO MORTERO'!I898+'BLAZE SHIELD II'!$H$19)),0),0)+ROUND(IF(AND(L898="Cafco 400",M898="Software Idiem",C898="IN",G898=4),((('CAFCO 400 '!$H$7*(J898^4)+'CAFCO 400 '!$H$8*(J898^3)+'CAFCO 400 '!$H$9*(J898^2)+'CAFCO 400 '!$H$10*J898+'CAFCO 400 '!$H$11)*U898^2)+(('CAFCO 400 '!$H$12*(J898^3)+'CAFCO 400 '!$H$13*(J898^2)+'CAFCO 400 '!$H$14*J898+'CAFCO 400 '!$H$15)*U898)+('CAFCO 400 '!$H$16*(J898^2)+'CAFCO 400 '!$H$17*J898+'CAFCO 400 '!$H$18)),0)+IF(AND(L898="Cafco 400",M898="Software Idiem",C898="Cj"),(((('CAFCO 400 '!$D$7*LN(J898)+'CAFCO 400 '!$D$8)*U898^2)+(('CAFCO 400 '!$D$9*LN(J898)+'CAFCO 400 '!$D$10)*U898)+('CAFCO 400 '!$D$11*LN(J898)+'CAFCO 400 '!$D$12))),0)+IF(AND(L898="Cafco 400",M898="Software Idiem",C898="C"),((('CAFCO 400 '!$L$7*(J898^3)+'CAFCO 400 '!$L$8*(J898^2)+'CAFCO 400 '!$L$9*J898+'CAFCO 400 '!$L$10)*U898^2)+(('CAFCO 400 '!$L$11*(J898^3)+'CAFCO 400 '!$L$12*(J898^2)+'CAFCO 400 '!$L$13*J898+'CAFCO 400 '!$L$14)*U898)+('CAFCO 400 '!$L$15*LN(J898)+'CAFCO 400 '!$L$16)),0)+IF(AND(L898="Cafco 400",M898="Software Idiem",C898="L"),((('CAFCO 400 '!$L$7*(J898^3)+'CAFCO 400 '!$L$8*(J898^2)+'CAFCO 400 '!$L$9*J898+'CAFCO 400 '!$L$10)*U898^2)+(('CAFCO 400 '!$L$11*(J898^3)+'CAFCO 400 '!$L$12*(J898^2)+'CAFCO 400 '!$L$13*J898+'CAFCO 400 '!$L$14)*U898)+('CAFCO 400 '!$L$15*LN(J898)+'CAFCO 400 '!$L$16)),0)+IF(AND(L898="Cafco 400",M898="Software Idiem",C898="IN",G898=3),((('CAFCO 400 '!$D$23*(J898^2)+'CAFCO 400 '!$D$24*(J898)+'CAFCO 400 '!$D$25)*U898^2)+(('CAFCO 400 '!$D$26*(J898^2)+'CAFCO 400 '!$D$27*J898+'CAFCO 400 '!$D$28)*U898)+('CAFCO 400 '!$D$29*(J898^2)+'CAFCO 400 '!$D$30*J898+'CAFCO 400 '!$D$31)),0),0)+IF(AND(L898="Cafco 300",J898&gt;=95,J898&lt;=240,C898="Cj",I898=90),VLOOKUP(T898,'CAFCO 300 IDIEM TABLAS'!$B$4:$D$23,2,FALSE),0)+IF(AND(L898="Cafco 300",J898&gt;=95,J898&lt;=240,C898="Cj",I898=120),VLOOKUP(T898,'CAFCO 300 IDIEM TABLAS'!$B$4:$D$23,3,FALSE),0)+IF(AND(L898="Cafco 300",J898&gt;=95,J898&lt;=400,G898=3,C898="IN",I898=90),VLOOKUP(T898,'CAFCO 300 IDIEM TABLAS'!$F$4:$H$35,2,FALSE),0)+IF(AND(L898="Cafco 300",J898&gt;=95,J898&lt;=400,G898=3,C898="IN",I898=120),VLOOKUP(T898,'CAFCO 300 IDIEM TABLAS'!$F$4:$H$35,3,FALSE),0)+IF(AND(L898="Cafco 300",J898&gt;=95,J898&lt;=450,G898=4,C898="IN",I898=90),VLOOKUP(T898,'CAFCO 300 IDIEM TABLAS'!$J$4:$L$40,2,FALSE),0)+IF(AND(L898="Cafco 300",J898&gt;=95,J898&lt;=450,G898=4,C898="IN",I898=120),VLOOKUP(T898,'CAFCO 300 IDIEM TABLAS'!$J$4:$L$40,3,FALSE),0)+IF(AND(M898="Ensayo Idiem",L898="Cafco 400",C898="IN",G898=4,I898=90),VLOOKUP(T898,'CAFCO 400 ENSAYO'!$B$7:$D$43,2,FALSE),0)+IF(AND(M898="Ensayo Idiem",L898="Cafco 400",C898="IN",G898=4,I898=120),VLOOKUP(T898,'CAFCO 400 ENSAYO'!$B$7:$D$43,3,FALSE),0)</f>
        <v>0</v>
      </c>
      <c r="O898" s="96">
        <f t="shared" si="90"/>
        <v>0</v>
      </c>
      <c r="P898" s="95" t="str">
        <f t="shared" si="91"/>
        <v>N/A</v>
      </c>
      <c r="Q898" s="95" t="str">
        <f t="shared" si="92"/>
        <v>N/A</v>
      </c>
      <c r="R898" s="95" t="str">
        <f t="shared" si="93"/>
        <v>NO CERT.</v>
      </c>
      <c r="S898" s="95" t="e">
        <f t="shared" si="94"/>
        <v>#N/A</v>
      </c>
      <c r="T898" s="119" t="e">
        <f>+IF(J898=LOOKUP(J898,'CAFCO 300 IDIEM TABLAS'!$J$4:$J$40),'CALCULO MORTERO'!J898,MROUND('CALCULO MORTERO'!J898,10))</f>
        <v>#N/A</v>
      </c>
      <c r="U898" s="118">
        <f t="shared" si="95"/>
        <v>0</v>
      </c>
    </row>
    <row r="899" spans="1:21" x14ac:dyDescent="0.25">
      <c r="A899" s="118">
        <f>+CUBICACION!D893</f>
        <v>0</v>
      </c>
      <c r="B899" s="819">
        <f>+CUBICACION!E893</f>
        <v>0</v>
      </c>
      <c r="C899" s="675">
        <f>+CUBICACION!F893</f>
        <v>0</v>
      </c>
      <c r="D899" s="118"/>
      <c r="E899" s="118"/>
      <c r="F899" s="820"/>
      <c r="G899" s="675">
        <f>+CUBICACION!J893</f>
        <v>0</v>
      </c>
      <c r="H899" s="118"/>
      <c r="I899" s="821">
        <f>+CUBICACION!L893</f>
        <v>0</v>
      </c>
      <c r="J899" s="64">
        <f>+CUBICACION!M893</f>
        <v>0</v>
      </c>
      <c r="K899" s="822" t="str">
        <f>+CUBICACION!N893</f>
        <v/>
      </c>
      <c r="L899" s="118">
        <f>+CUBICACION!O893</f>
        <v>0</v>
      </c>
      <c r="M899" s="823">
        <f>+CUBICACION!P893</f>
        <v>0</v>
      </c>
      <c r="N899" s="902">
        <f>ROUND(IF(AND(L899="Blaze Shield II",M899="Software Idiem",C899="IN",G899=4),((('BLAZE SHIELD II'!$D$4*('CALCULO MORTERO'!I899^2)+'BLAZE SHIELD II'!$D$5*'CALCULO MORTERO'!I899+'BLAZE SHIELD II'!$D$6)*LN(J899))+('BLAZE SHIELD II'!$D$7*('CALCULO MORTERO'!I899^2)+'BLAZE SHIELD II'!$D$8*'CALCULO MORTERO'!I899+'BLAZE SHIELD II'!$D$9)),0)+IF(AND(L899="Blaze Shield II",M899="Software Idiem",C899="Cj"),((('BLAZE SHIELD II'!$H$4*('CALCULO MORTERO'!I899^2)+'BLAZE SHIELD II'!$H$5*'CALCULO MORTERO'!I899+'BLAZE SHIELD II'!$H$6)*LN(J899))+('BLAZE SHIELD II'!$H$7*('CALCULO MORTERO'!I899^2)+'BLAZE SHIELD II'!$H$8*'CALCULO MORTERO'!I899+'BLAZE SHIELD II'!$H$9)),0)+IF(AND(L899="Blaze Shield II",M899="Software Idiem",C899="C"),((('BLAZE SHIELD II'!$L$4*('CALCULO MORTERO'!I899^2)+'BLAZE SHIELD II'!$L$5*'CALCULO MORTERO'!I899+'BLAZE SHIELD II'!$L$6)*LN(J899))+('BLAZE SHIELD II'!$L$7*('CALCULO MORTERO'!I899^2)+'BLAZE SHIELD II'!$L$8*'CALCULO MORTERO'!I899+'BLAZE SHIELD II'!$L$9)),0)+IF(AND(L899="Blaze Shield II",M899="Software Idiem",C899="L"),((('BLAZE SHIELD II'!$L$4*('CALCULO MORTERO'!I899^2)+'BLAZE SHIELD II'!$L$5*'CALCULO MORTERO'!I899+'BLAZE SHIELD II'!$L$6)*LN(J899))+('BLAZE SHIELD II'!$L$7*('CALCULO MORTERO'!I899^2)+'BLAZE SHIELD II'!$L$8*'CALCULO MORTERO'!I899+'BLAZE SHIELD II'!$L$9)),0)+IF(AND(L899="Blaze Shield II",M899="Software Idiem",C899="IN",G899=3),((('BLAZE SHIELD II'!$H$14*('CALCULO MORTERO'!I899^2)+'BLAZE SHIELD II'!$H$15*'CALCULO MORTERO'!I899+'BLAZE SHIELD II'!$H$16)*LN(J899))+('BLAZE SHIELD II'!$H$17*('CALCULO MORTERO'!I899^2)+'BLAZE SHIELD II'!$H$18*'CALCULO MORTERO'!I899+'BLAZE SHIELD II'!$H$19)),0),0)+ROUND(IF(AND(L899="Cafco 400",M899="Software Idiem",C899="IN",G899=4),((('CAFCO 400 '!$H$7*(J899^4)+'CAFCO 400 '!$H$8*(J899^3)+'CAFCO 400 '!$H$9*(J899^2)+'CAFCO 400 '!$H$10*J899+'CAFCO 400 '!$H$11)*U899^2)+(('CAFCO 400 '!$H$12*(J899^3)+'CAFCO 400 '!$H$13*(J899^2)+'CAFCO 400 '!$H$14*J899+'CAFCO 400 '!$H$15)*U899)+('CAFCO 400 '!$H$16*(J899^2)+'CAFCO 400 '!$H$17*J899+'CAFCO 400 '!$H$18)),0)+IF(AND(L899="Cafco 400",M899="Software Idiem",C899="Cj"),(((('CAFCO 400 '!$D$7*LN(J899)+'CAFCO 400 '!$D$8)*U899^2)+(('CAFCO 400 '!$D$9*LN(J899)+'CAFCO 400 '!$D$10)*U899)+('CAFCO 400 '!$D$11*LN(J899)+'CAFCO 400 '!$D$12))),0)+IF(AND(L899="Cafco 400",M899="Software Idiem",C899="C"),((('CAFCO 400 '!$L$7*(J899^3)+'CAFCO 400 '!$L$8*(J899^2)+'CAFCO 400 '!$L$9*J899+'CAFCO 400 '!$L$10)*U899^2)+(('CAFCO 400 '!$L$11*(J899^3)+'CAFCO 400 '!$L$12*(J899^2)+'CAFCO 400 '!$L$13*J899+'CAFCO 400 '!$L$14)*U899)+('CAFCO 400 '!$L$15*LN(J899)+'CAFCO 400 '!$L$16)),0)+IF(AND(L899="Cafco 400",M899="Software Idiem",C899="L"),((('CAFCO 400 '!$L$7*(J899^3)+'CAFCO 400 '!$L$8*(J899^2)+'CAFCO 400 '!$L$9*J899+'CAFCO 400 '!$L$10)*U899^2)+(('CAFCO 400 '!$L$11*(J899^3)+'CAFCO 400 '!$L$12*(J899^2)+'CAFCO 400 '!$L$13*J899+'CAFCO 400 '!$L$14)*U899)+('CAFCO 400 '!$L$15*LN(J899)+'CAFCO 400 '!$L$16)),0)+IF(AND(L899="Cafco 400",M899="Software Idiem",C899="IN",G899=3),((('CAFCO 400 '!$D$23*(J899^2)+'CAFCO 400 '!$D$24*(J899)+'CAFCO 400 '!$D$25)*U899^2)+(('CAFCO 400 '!$D$26*(J899^2)+'CAFCO 400 '!$D$27*J899+'CAFCO 400 '!$D$28)*U899)+('CAFCO 400 '!$D$29*(J899^2)+'CAFCO 400 '!$D$30*J899+'CAFCO 400 '!$D$31)),0),0)+IF(AND(L899="Cafco 300",J899&gt;=95,J899&lt;=240,C899="Cj",I899=90),VLOOKUP(T899,'CAFCO 300 IDIEM TABLAS'!$B$4:$D$23,2,FALSE),0)+IF(AND(L899="Cafco 300",J899&gt;=95,J899&lt;=240,C899="Cj",I899=120),VLOOKUP(T899,'CAFCO 300 IDIEM TABLAS'!$B$4:$D$23,3,FALSE),0)+IF(AND(L899="Cafco 300",J899&gt;=95,J899&lt;=400,G899=3,C899="IN",I899=90),VLOOKUP(T899,'CAFCO 300 IDIEM TABLAS'!$F$4:$H$35,2,FALSE),0)+IF(AND(L899="Cafco 300",J899&gt;=95,J899&lt;=400,G899=3,C899="IN",I899=120),VLOOKUP(T899,'CAFCO 300 IDIEM TABLAS'!$F$4:$H$35,3,FALSE),0)+IF(AND(L899="Cafco 300",J899&gt;=95,J899&lt;=450,G899=4,C899="IN",I899=90),VLOOKUP(T899,'CAFCO 300 IDIEM TABLAS'!$J$4:$L$40,2,FALSE),0)+IF(AND(L899="Cafco 300",J899&gt;=95,J899&lt;=450,G899=4,C899="IN",I899=120),VLOOKUP(T899,'CAFCO 300 IDIEM TABLAS'!$J$4:$L$40,3,FALSE),0)+IF(AND(M899="Ensayo Idiem",L899="Cafco 400",C899="IN",G899=4,I899=90),VLOOKUP(T899,'CAFCO 400 ENSAYO'!$B$7:$D$43,2,FALSE),0)+IF(AND(M899="Ensayo Idiem",L899="Cafco 400",C899="IN",G899=4,I899=120),VLOOKUP(T899,'CAFCO 400 ENSAYO'!$B$7:$D$43,3,FALSE),0)</f>
        <v>0</v>
      </c>
      <c r="O899" s="96">
        <f t="shared" si="90"/>
        <v>0</v>
      </c>
      <c r="P899" s="132" t="str">
        <f t="shared" si="91"/>
        <v>N/A</v>
      </c>
      <c r="Q899" s="132" t="str">
        <f t="shared" si="92"/>
        <v>N/A</v>
      </c>
      <c r="R899" s="132" t="str">
        <f t="shared" si="93"/>
        <v>NO CERT.</v>
      </c>
      <c r="S899" s="132" t="e">
        <f t="shared" si="94"/>
        <v>#N/A</v>
      </c>
      <c r="T899" s="133" t="e">
        <f>+IF(J899=LOOKUP(J899,'CAFCO 300 IDIEM TABLAS'!$J$4:$J$40),'CALCULO MORTERO'!J899,MROUND('CALCULO MORTERO'!J899,10))</f>
        <v>#N/A</v>
      </c>
      <c r="U899" s="134">
        <f t="shared" si="95"/>
        <v>0</v>
      </c>
    </row>
    <row r="900" spans="1:21" x14ac:dyDescent="0.25">
      <c r="A900" s="118">
        <f>+CUBICACION!D894</f>
        <v>0</v>
      </c>
      <c r="B900" s="819">
        <f>+CUBICACION!E894</f>
        <v>0</v>
      </c>
      <c r="C900" s="675">
        <f>+CUBICACION!F894</f>
        <v>0</v>
      </c>
      <c r="D900" s="118"/>
      <c r="E900" s="118"/>
      <c r="F900" s="820"/>
      <c r="G900" s="675">
        <f>+CUBICACION!J894</f>
        <v>0</v>
      </c>
      <c r="H900" s="118"/>
      <c r="I900" s="821">
        <f>+CUBICACION!L894</f>
        <v>0</v>
      </c>
      <c r="J900" s="64">
        <f>+CUBICACION!M894</f>
        <v>0</v>
      </c>
      <c r="K900" s="822" t="str">
        <f>+CUBICACION!N894</f>
        <v/>
      </c>
      <c r="L900" s="118">
        <f>+CUBICACION!O894</f>
        <v>0</v>
      </c>
      <c r="M900" s="823">
        <f>+CUBICACION!P894</f>
        <v>0</v>
      </c>
      <c r="N900" s="902">
        <f>ROUND(IF(AND(L900="Blaze Shield II",M900="Software Idiem",C900="IN",G900=4),((('BLAZE SHIELD II'!$D$4*('CALCULO MORTERO'!I900^2)+'BLAZE SHIELD II'!$D$5*'CALCULO MORTERO'!I900+'BLAZE SHIELD II'!$D$6)*LN(J900))+('BLAZE SHIELD II'!$D$7*('CALCULO MORTERO'!I900^2)+'BLAZE SHIELD II'!$D$8*'CALCULO MORTERO'!I900+'BLAZE SHIELD II'!$D$9)),0)+IF(AND(L900="Blaze Shield II",M900="Software Idiem",C900="Cj"),((('BLAZE SHIELD II'!$H$4*('CALCULO MORTERO'!I900^2)+'BLAZE SHIELD II'!$H$5*'CALCULO MORTERO'!I900+'BLAZE SHIELD II'!$H$6)*LN(J900))+('BLAZE SHIELD II'!$H$7*('CALCULO MORTERO'!I900^2)+'BLAZE SHIELD II'!$H$8*'CALCULO MORTERO'!I900+'BLAZE SHIELD II'!$H$9)),0)+IF(AND(L900="Blaze Shield II",M900="Software Idiem",C900="C"),((('BLAZE SHIELD II'!$L$4*('CALCULO MORTERO'!I900^2)+'BLAZE SHIELD II'!$L$5*'CALCULO MORTERO'!I900+'BLAZE SHIELD II'!$L$6)*LN(J900))+('BLAZE SHIELD II'!$L$7*('CALCULO MORTERO'!I900^2)+'BLAZE SHIELD II'!$L$8*'CALCULO MORTERO'!I900+'BLAZE SHIELD II'!$L$9)),0)+IF(AND(L900="Blaze Shield II",M900="Software Idiem",C900="L"),((('BLAZE SHIELD II'!$L$4*('CALCULO MORTERO'!I900^2)+'BLAZE SHIELD II'!$L$5*'CALCULO MORTERO'!I900+'BLAZE SHIELD II'!$L$6)*LN(J900))+('BLAZE SHIELD II'!$L$7*('CALCULO MORTERO'!I900^2)+'BLAZE SHIELD II'!$L$8*'CALCULO MORTERO'!I900+'BLAZE SHIELD II'!$L$9)),0)+IF(AND(L900="Blaze Shield II",M900="Software Idiem",C900="IN",G900=3),((('BLAZE SHIELD II'!$H$14*('CALCULO MORTERO'!I900^2)+'BLAZE SHIELD II'!$H$15*'CALCULO MORTERO'!I900+'BLAZE SHIELD II'!$H$16)*LN(J900))+('BLAZE SHIELD II'!$H$17*('CALCULO MORTERO'!I900^2)+'BLAZE SHIELD II'!$H$18*'CALCULO MORTERO'!I900+'BLAZE SHIELD II'!$H$19)),0),0)+ROUND(IF(AND(L900="Cafco 400",M900="Software Idiem",C900="IN",G900=4),((('CAFCO 400 '!$H$7*(J900^4)+'CAFCO 400 '!$H$8*(J900^3)+'CAFCO 400 '!$H$9*(J900^2)+'CAFCO 400 '!$H$10*J900+'CAFCO 400 '!$H$11)*U900^2)+(('CAFCO 400 '!$H$12*(J900^3)+'CAFCO 400 '!$H$13*(J900^2)+'CAFCO 400 '!$H$14*J900+'CAFCO 400 '!$H$15)*U900)+('CAFCO 400 '!$H$16*(J900^2)+'CAFCO 400 '!$H$17*J900+'CAFCO 400 '!$H$18)),0)+IF(AND(L900="Cafco 400",M900="Software Idiem",C900="Cj"),(((('CAFCO 400 '!$D$7*LN(J900)+'CAFCO 400 '!$D$8)*U900^2)+(('CAFCO 400 '!$D$9*LN(J900)+'CAFCO 400 '!$D$10)*U900)+('CAFCO 400 '!$D$11*LN(J900)+'CAFCO 400 '!$D$12))),0)+IF(AND(L900="Cafco 400",M900="Software Idiem",C900="C"),((('CAFCO 400 '!$L$7*(J900^3)+'CAFCO 400 '!$L$8*(J900^2)+'CAFCO 400 '!$L$9*J900+'CAFCO 400 '!$L$10)*U900^2)+(('CAFCO 400 '!$L$11*(J900^3)+'CAFCO 400 '!$L$12*(J900^2)+'CAFCO 400 '!$L$13*J900+'CAFCO 400 '!$L$14)*U900)+('CAFCO 400 '!$L$15*LN(J900)+'CAFCO 400 '!$L$16)),0)+IF(AND(L900="Cafco 400",M900="Software Idiem",C900="L"),((('CAFCO 400 '!$L$7*(J900^3)+'CAFCO 400 '!$L$8*(J900^2)+'CAFCO 400 '!$L$9*J900+'CAFCO 400 '!$L$10)*U900^2)+(('CAFCO 400 '!$L$11*(J900^3)+'CAFCO 400 '!$L$12*(J900^2)+'CAFCO 400 '!$L$13*J900+'CAFCO 400 '!$L$14)*U900)+('CAFCO 400 '!$L$15*LN(J900)+'CAFCO 400 '!$L$16)),0)+IF(AND(L900="Cafco 400",M900="Software Idiem",C900="IN",G900=3),((('CAFCO 400 '!$D$23*(J900^2)+'CAFCO 400 '!$D$24*(J900)+'CAFCO 400 '!$D$25)*U900^2)+(('CAFCO 400 '!$D$26*(J900^2)+'CAFCO 400 '!$D$27*J900+'CAFCO 400 '!$D$28)*U900)+('CAFCO 400 '!$D$29*(J900^2)+'CAFCO 400 '!$D$30*J900+'CAFCO 400 '!$D$31)),0),0)+IF(AND(L900="Cafco 300",J900&gt;=95,J900&lt;=240,C900="Cj",I900=90),VLOOKUP(T900,'CAFCO 300 IDIEM TABLAS'!$B$4:$D$23,2,FALSE),0)+IF(AND(L900="Cafco 300",J900&gt;=95,J900&lt;=240,C900="Cj",I900=120),VLOOKUP(T900,'CAFCO 300 IDIEM TABLAS'!$B$4:$D$23,3,FALSE),0)+IF(AND(L900="Cafco 300",J900&gt;=95,J900&lt;=400,G900=3,C900="IN",I900=90),VLOOKUP(T900,'CAFCO 300 IDIEM TABLAS'!$F$4:$H$35,2,FALSE),0)+IF(AND(L900="Cafco 300",J900&gt;=95,J900&lt;=400,G900=3,C900="IN",I900=120),VLOOKUP(T900,'CAFCO 300 IDIEM TABLAS'!$F$4:$H$35,3,FALSE),0)+IF(AND(L900="Cafco 300",J900&gt;=95,J900&lt;=450,G900=4,C900="IN",I900=90),VLOOKUP(T900,'CAFCO 300 IDIEM TABLAS'!$J$4:$L$40,2,FALSE),0)+IF(AND(L900="Cafco 300",J900&gt;=95,J900&lt;=450,G900=4,C900="IN",I900=120),VLOOKUP(T900,'CAFCO 300 IDIEM TABLAS'!$J$4:$L$40,3,FALSE),0)+IF(AND(M900="Ensayo Idiem",L900="Cafco 400",C900="IN",G900=4,I900=90),VLOOKUP(T900,'CAFCO 400 ENSAYO'!$B$7:$D$43,2,FALSE),0)+IF(AND(M900="Ensayo Idiem",L900="Cafco 400",C900="IN",G900=4,I900=120),VLOOKUP(T900,'CAFCO 400 ENSAYO'!$B$7:$D$43,3,FALSE),0)</f>
        <v>0</v>
      </c>
      <c r="O900" s="96">
        <f t="shared" si="90"/>
        <v>0</v>
      </c>
      <c r="P900" s="95" t="str">
        <f t="shared" si="91"/>
        <v>N/A</v>
      </c>
      <c r="Q900" s="95" t="str">
        <f t="shared" si="92"/>
        <v>N/A</v>
      </c>
      <c r="R900" s="95" t="str">
        <f t="shared" si="93"/>
        <v>NO CERT.</v>
      </c>
      <c r="S900" s="95" t="e">
        <f t="shared" si="94"/>
        <v>#N/A</v>
      </c>
      <c r="T900" s="119" t="e">
        <f>+IF(J900=LOOKUP(J900,'CAFCO 300 IDIEM TABLAS'!$J$4:$J$40),'CALCULO MORTERO'!J900,MROUND('CALCULO MORTERO'!J900,10))</f>
        <v>#N/A</v>
      </c>
      <c r="U900" s="118">
        <f t="shared" si="95"/>
        <v>0</v>
      </c>
    </row>
    <row r="901" spans="1:21" x14ac:dyDescent="0.25">
      <c r="A901" s="118">
        <f>+CUBICACION!D895</f>
        <v>0</v>
      </c>
      <c r="B901" s="819">
        <f>+CUBICACION!E895</f>
        <v>0</v>
      </c>
      <c r="C901" s="675">
        <f>+CUBICACION!F895</f>
        <v>0</v>
      </c>
      <c r="D901" s="118"/>
      <c r="E901" s="118"/>
      <c r="F901" s="820"/>
      <c r="G901" s="675">
        <f>+CUBICACION!J895</f>
        <v>0</v>
      </c>
      <c r="H901" s="118"/>
      <c r="I901" s="821">
        <f>+CUBICACION!L895</f>
        <v>0</v>
      </c>
      <c r="J901" s="64">
        <f>+CUBICACION!M895</f>
        <v>0</v>
      </c>
      <c r="K901" s="822" t="str">
        <f>+CUBICACION!N895</f>
        <v/>
      </c>
      <c r="L901" s="118">
        <f>+CUBICACION!O895</f>
        <v>0</v>
      </c>
      <c r="M901" s="823">
        <f>+CUBICACION!P895</f>
        <v>0</v>
      </c>
      <c r="N901" s="902">
        <f>ROUND(IF(AND(L901="Blaze Shield II",M901="Software Idiem",C901="IN",G901=4),((('BLAZE SHIELD II'!$D$4*('CALCULO MORTERO'!I901^2)+'BLAZE SHIELD II'!$D$5*'CALCULO MORTERO'!I901+'BLAZE SHIELD II'!$D$6)*LN(J901))+('BLAZE SHIELD II'!$D$7*('CALCULO MORTERO'!I901^2)+'BLAZE SHIELD II'!$D$8*'CALCULO MORTERO'!I901+'BLAZE SHIELD II'!$D$9)),0)+IF(AND(L901="Blaze Shield II",M901="Software Idiem",C901="Cj"),((('BLAZE SHIELD II'!$H$4*('CALCULO MORTERO'!I901^2)+'BLAZE SHIELD II'!$H$5*'CALCULO MORTERO'!I901+'BLAZE SHIELD II'!$H$6)*LN(J901))+('BLAZE SHIELD II'!$H$7*('CALCULO MORTERO'!I901^2)+'BLAZE SHIELD II'!$H$8*'CALCULO MORTERO'!I901+'BLAZE SHIELD II'!$H$9)),0)+IF(AND(L901="Blaze Shield II",M901="Software Idiem",C901="C"),((('BLAZE SHIELD II'!$L$4*('CALCULO MORTERO'!I901^2)+'BLAZE SHIELD II'!$L$5*'CALCULO MORTERO'!I901+'BLAZE SHIELD II'!$L$6)*LN(J901))+('BLAZE SHIELD II'!$L$7*('CALCULO MORTERO'!I901^2)+'BLAZE SHIELD II'!$L$8*'CALCULO MORTERO'!I901+'BLAZE SHIELD II'!$L$9)),0)+IF(AND(L901="Blaze Shield II",M901="Software Idiem",C901="L"),((('BLAZE SHIELD II'!$L$4*('CALCULO MORTERO'!I901^2)+'BLAZE SHIELD II'!$L$5*'CALCULO MORTERO'!I901+'BLAZE SHIELD II'!$L$6)*LN(J901))+('BLAZE SHIELD II'!$L$7*('CALCULO MORTERO'!I901^2)+'BLAZE SHIELD II'!$L$8*'CALCULO MORTERO'!I901+'BLAZE SHIELD II'!$L$9)),0)+IF(AND(L901="Blaze Shield II",M901="Software Idiem",C901="IN",G901=3),((('BLAZE SHIELD II'!$H$14*('CALCULO MORTERO'!I901^2)+'BLAZE SHIELD II'!$H$15*'CALCULO MORTERO'!I901+'BLAZE SHIELD II'!$H$16)*LN(J901))+('BLAZE SHIELD II'!$H$17*('CALCULO MORTERO'!I901^2)+'BLAZE SHIELD II'!$H$18*'CALCULO MORTERO'!I901+'BLAZE SHIELD II'!$H$19)),0),0)+ROUND(IF(AND(L901="Cafco 400",M901="Software Idiem",C901="IN",G901=4),((('CAFCO 400 '!$H$7*(J901^4)+'CAFCO 400 '!$H$8*(J901^3)+'CAFCO 400 '!$H$9*(J901^2)+'CAFCO 400 '!$H$10*J901+'CAFCO 400 '!$H$11)*U901^2)+(('CAFCO 400 '!$H$12*(J901^3)+'CAFCO 400 '!$H$13*(J901^2)+'CAFCO 400 '!$H$14*J901+'CAFCO 400 '!$H$15)*U901)+('CAFCO 400 '!$H$16*(J901^2)+'CAFCO 400 '!$H$17*J901+'CAFCO 400 '!$H$18)),0)+IF(AND(L901="Cafco 400",M901="Software Idiem",C901="Cj"),(((('CAFCO 400 '!$D$7*LN(J901)+'CAFCO 400 '!$D$8)*U901^2)+(('CAFCO 400 '!$D$9*LN(J901)+'CAFCO 400 '!$D$10)*U901)+('CAFCO 400 '!$D$11*LN(J901)+'CAFCO 400 '!$D$12))),0)+IF(AND(L901="Cafco 400",M901="Software Idiem",C901="C"),((('CAFCO 400 '!$L$7*(J901^3)+'CAFCO 400 '!$L$8*(J901^2)+'CAFCO 400 '!$L$9*J901+'CAFCO 400 '!$L$10)*U901^2)+(('CAFCO 400 '!$L$11*(J901^3)+'CAFCO 400 '!$L$12*(J901^2)+'CAFCO 400 '!$L$13*J901+'CAFCO 400 '!$L$14)*U901)+('CAFCO 400 '!$L$15*LN(J901)+'CAFCO 400 '!$L$16)),0)+IF(AND(L901="Cafco 400",M901="Software Idiem",C901="L"),((('CAFCO 400 '!$L$7*(J901^3)+'CAFCO 400 '!$L$8*(J901^2)+'CAFCO 400 '!$L$9*J901+'CAFCO 400 '!$L$10)*U901^2)+(('CAFCO 400 '!$L$11*(J901^3)+'CAFCO 400 '!$L$12*(J901^2)+'CAFCO 400 '!$L$13*J901+'CAFCO 400 '!$L$14)*U901)+('CAFCO 400 '!$L$15*LN(J901)+'CAFCO 400 '!$L$16)),0)+IF(AND(L901="Cafco 400",M901="Software Idiem",C901="IN",G901=3),((('CAFCO 400 '!$D$23*(J901^2)+'CAFCO 400 '!$D$24*(J901)+'CAFCO 400 '!$D$25)*U901^2)+(('CAFCO 400 '!$D$26*(J901^2)+'CAFCO 400 '!$D$27*J901+'CAFCO 400 '!$D$28)*U901)+('CAFCO 400 '!$D$29*(J901^2)+'CAFCO 400 '!$D$30*J901+'CAFCO 400 '!$D$31)),0),0)+IF(AND(L901="Cafco 300",J901&gt;=95,J901&lt;=240,C901="Cj",I901=90),VLOOKUP(T901,'CAFCO 300 IDIEM TABLAS'!$B$4:$D$23,2,FALSE),0)+IF(AND(L901="Cafco 300",J901&gt;=95,J901&lt;=240,C901="Cj",I901=120),VLOOKUP(T901,'CAFCO 300 IDIEM TABLAS'!$B$4:$D$23,3,FALSE),0)+IF(AND(L901="Cafco 300",J901&gt;=95,J901&lt;=400,G901=3,C901="IN",I901=90),VLOOKUP(T901,'CAFCO 300 IDIEM TABLAS'!$F$4:$H$35,2,FALSE),0)+IF(AND(L901="Cafco 300",J901&gt;=95,J901&lt;=400,G901=3,C901="IN",I901=120),VLOOKUP(T901,'CAFCO 300 IDIEM TABLAS'!$F$4:$H$35,3,FALSE),0)+IF(AND(L901="Cafco 300",J901&gt;=95,J901&lt;=450,G901=4,C901="IN",I901=90),VLOOKUP(T901,'CAFCO 300 IDIEM TABLAS'!$J$4:$L$40,2,FALSE),0)+IF(AND(L901="Cafco 300",J901&gt;=95,J901&lt;=450,G901=4,C901="IN",I901=120),VLOOKUP(T901,'CAFCO 300 IDIEM TABLAS'!$J$4:$L$40,3,FALSE),0)+IF(AND(M901="Ensayo Idiem",L901="Cafco 400",C901="IN",G901=4,I901=90),VLOOKUP(T901,'CAFCO 400 ENSAYO'!$B$7:$D$43,2,FALSE),0)+IF(AND(M901="Ensayo Idiem",L901="Cafco 400",C901="IN",G901=4,I901=120),VLOOKUP(T901,'CAFCO 400 ENSAYO'!$B$7:$D$43,3,FALSE),0)</f>
        <v>0</v>
      </c>
      <c r="O901" s="96">
        <f t="shared" si="90"/>
        <v>0</v>
      </c>
      <c r="P901" s="132" t="str">
        <f t="shared" si="91"/>
        <v>N/A</v>
      </c>
      <c r="Q901" s="132" t="str">
        <f t="shared" si="92"/>
        <v>N/A</v>
      </c>
      <c r="R901" s="132" t="str">
        <f t="shared" si="93"/>
        <v>NO CERT.</v>
      </c>
      <c r="S901" s="132" t="e">
        <f t="shared" si="94"/>
        <v>#N/A</v>
      </c>
      <c r="T901" s="133" t="e">
        <f>+IF(J901=LOOKUP(J901,'CAFCO 300 IDIEM TABLAS'!$J$4:$J$40),'CALCULO MORTERO'!J901,MROUND('CALCULO MORTERO'!J901,10))</f>
        <v>#N/A</v>
      </c>
      <c r="U901" s="134">
        <f t="shared" si="95"/>
        <v>0</v>
      </c>
    </row>
    <row r="902" spans="1:21" x14ac:dyDescent="0.25">
      <c r="A902" s="118">
        <f>+CUBICACION!D896</f>
        <v>0</v>
      </c>
      <c r="B902" s="819">
        <f>+CUBICACION!E896</f>
        <v>0</v>
      </c>
      <c r="C902" s="675">
        <f>+CUBICACION!F896</f>
        <v>0</v>
      </c>
      <c r="D902" s="118"/>
      <c r="E902" s="118"/>
      <c r="F902" s="820"/>
      <c r="G902" s="675">
        <f>+CUBICACION!J896</f>
        <v>0</v>
      </c>
      <c r="H902" s="118"/>
      <c r="I902" s="821">
        <f>+CUBICACION!L896</f>
        <v>0</v>
      </c>
      <c r="J902" s="64">
        <f>+CUBICACION!M896</f>
        <v>0</v>
      </c>
      <c r="K902" s="822" t="str">
        <f>+CUBICACION!N896</f>
        <v/>
      </c>
      <c r="L902" s="118">
        <f>+CUBICACION!O896</f>
        <v>0</v>
      </c>
      <c r="M902" s="823">
        <f>+CUBICACION!P896</f>
        <v>0</v>
      </c>
      <c r="N902" s="902">
        <f>ROUND(IF(AND(L902="Blaze Shield II",M902="Software Idiem",C902="IN",G902=4),((('BLAZE SHIELD II'!$D$4*('CALCULO MORTERO'!I902^2)+'BLAZE SHIELD II'!$D$5*'CALCULO MORTERO'!I902+'BLAZE SHIELD II'!$D$6)*LN(J902))+('BLAZE SHIELD II'!$D$7*('CALCULO MORTERO'!I902^2)+'BLAZE SHIELD II'!$D$8*'CALCULO MORTERO'!I902+'BLAZE SHIELD II'!$D$9)),0)+IF(AND(L902="Blaze Shield II",M902="Software Idiem",C902="Cj"),((('BLAZE SHIELD II'!$H$4*('CALCULO MORTERO'!I902^2)+'BLAZE SHIELD II'!$H$5*'CALCULO MORTERO'!I902+'BLAZE SHIELD II'!$H$6)*LN(J902))+('BLAZE SHIELD II'!$H$7*('CALCULO MORTERO'!I902^2)+'BLAZE SHIELD II'!$H$8*'CALCULO MORTERO'!I902+'BLAZE SHIELD II'!$H$9)),0)+IF(AND(L902="Blaze Shield II",M902="Software Idiem",C902="C"),((('BLAZE SHIELD II'!$L$4*('CALCULO MORTERO'!I902^2)+'BLAZE SHIELD II'!$L$5*'CALCULO MORTERO'!I902+'BLAZE SHIELD II'!$L$6)*LN(J902))+('BLAZE SHIELD II'!$L$7*('CALCULO MORTERO'!I902^2)+'BLAZE SHIELD II'!$L$8*'CALCULO MORTERO'!I902+'BLAZE SHIELD II'!$L$9)),0)+IF(AND(L902="Blaze Shield II",M902="Software Idiem",C902="L"),((('BLAZE SHIELD II'!$L$4*('CALCULO MORTERO'!I902^2)+'BLAZE SHIELD II'!$L$5*'CALCULO MORTERO'!I902+'BLAZE SHIELD II'!$L$6)*LN(J902))+('BLAZE SHIELD II'!$L$7*('CALCULO MORTERO'!I902^2)+'BLAZE SHIELD II'!$L$8*'CALCULO MORTERO'!I902+'BLAZE SHIELD II'!$L$9)),0)+IF(AND(L902="Blaze Shield II",M902="Software Idiem",C902="IN",G902=3),((('BLAZE SHIELD II'!$H$14*('CALCULO MORTERO'!I902^2)+'BLAZE SHIELD II'!$H$15*'CALCULO MORTERO'!I902+'BLAZE SHIELD II'!$H$16)*LN(J902))+('BLAZE SHIELD II'!$H$17*('CALCULO MORTERO'!I902^2)+'BLAZE SHIELD II'!$H$18*'CALCULO MORTERO'!I902+'BLAZE SHIELD II'!$H$19)),0),0)+ROUND(IF(AND(L902="Cafco 400",M902="Software Idiem",C902="IN",G902=4),((('CAFCO 400 '!$H$7*(J902^4)+'CAFCO 400 '!$H$8*(J902^3)+'CAFCO 400 '!$H$9*(J902^2)+'CAFCO 400 '!$H$10*J902+'CAFCO 400 '!$H$11)*U902^2)+(('CAFCO 400 '!$H$12*(J902^3)+'CAFCO 400 '!$H$13*(J902^2)+'CAFCO 400 '!$H$14*J902+'CAFCO 400 '!$H$15)*U902)+('CAFCO 400 '!$H$16*(J902^2)+'CAFCO 400 '!$H$17*J902+'CAFCO 400 '!$H$18)),0)+IF(AND(L902="Cafco 400",M902="Software Idiem",C902="Cj"),(((('CAFCO 400 '!$D$7*LN(J902)+'CAFCO 400 '!$D$8)*U902^2)+(('CAFCO 400 '!$D$9*LN(J902)+'CAFCO 400 '!$D$10)*U902)+('CAFCO 400 '!$D$11*LN(J902)+'CAFCO 400 '!$D$12))),0)+IF(AND(L902="Cafco 400",M902="Software Idiem",C902="C"),((('CAFCO 400 '!$L$7*(J902^3)+'CAFCO 400 '!$L$8*(J902^2)+'CAFCO 400 '!$L$9*J902+'CAFCO 400 '!$L$10)*U902^2)+(('CAFCO 400 '!$L$11*(J902^3)+'CAFCO 400 '!$L$12*(J902^2)+'CAFCO 400 '!$L$13*J902+'CAFCO 400 '!$L$14)*U902)+('CAFCO 400 '!$L$15*LN(J902)+'CAFCO 400 '!$L$16)),0)+IF(AND(L902="Cafco 400",M902="Software Idiem",C902="L"),((('CAFCO 400 '!$L$7*(J902^3)+'CAFCO 400 '!$L$8*(J902^2)+'CAFCO 400 '!$L$9*J902+'CAFCO 400 '!$L$10)*U902^2)+(('CAFCO 400 '!$L$11*(J902^3)+'CAFCO 400 '!$L$12*(J902^2)+'CAFCO 400 '!$L$13*J902+'CAFCO 400 '!$L$14)*U902)+('CAFCO 400 '!$L$15*LN(J902)+'CAFCO 400 '!$L$16)),0)+IF(AND(L902="Cafco 400",M902="Software Idiem",C902="IN",G902=3),((('CAFCO 400 '!$D$23*(J902^2)+'CAFCO 400 '!$D$24*(J902)+'CAFCO 400 '!$D$25)*U902^2)+(('CAFCO 400 '!$D$26*(J902^2)+'CAFCO 400 '!$D$27*J902+'CAFCO 400 '!$D$28)*U902)+('CAFCO 400 '!$D$29*(J902^2)+'CAFCO 400 '!$D$30*J902+'CAFCO 400 '!$D$31)),0),0)+IF(AND(L902="Cafco 300",J902&gt;=95,J902&lt;=240,C902="Cj",I902=90),VLOOKUP(T902,'CAFCO 300 IDIEM TABLAS'!$B$4:$D$23,2,FALSE),0)+IF(AND(L902="Cafco 300",J902&gt;=95,J902&lt;=240,C902="Cj",I902=120),VLOOKUP(T902,'CAFCO 300 IDIEM TABLAS'!$B$4:$D$23,3,FALSE),0)+IF(AND(L902="Cafco 300",J902&gt;=95,J902&lt;=400,G902=3,C902="IN",I902=90),VLOOKUP(T902,'CAFCO 300 IDIEM TABLAS'!$F$4:$H$35,2,FALSE),0)+IF(AND(L902="Cafco 300",J902&gt;=95,J902&lt;=400,G902=3,C902="IN",I902=120),VLOOKUP(T902,'CAFCO 300 IDIEM TABLAS'!$F$4:$H$35,3,FALSE),0)+IF(AND(L902="Cafco 300",J902&gt;=95,J902&lt;=450,G902=4,C902="IN",I902=90),VLOOKUP(T902,'CAFCO 300 IDIEM TABLAS'!$J$4:$L$40,2,FALSE),0)+IF(AND(L902="Cafco 300",J902&gt;=95,J902&lt;=450,G902=4,C902="IN",I902=120),VLOOKUP(T902,'CAFCO 300 IDIEM TABLAS'!$J$4:$L$40,3,FALSE),0)+IF(AND(M902="Ensayo Idiem",L902="Cafco 400",C902="IN",G902=4,I902=90),VLOOKUP(T902,'CAFCO 400 ENSAYO'!$B$7:$D$43,2,FALSE),0)+IF(AND(M902="Ensayo Idiem",L902="Cafco 400",C902="IN",G902=4,I902=120),VLOOKUP(T902,'CAFCO 400 ENSAYO'!$B$7:$D$43,3,FALSE),0)</f>
        <v>0</v>
      </c>
      <c r="O902" s="96">
        <f t="shared" si="90"/>
        <v>0</v>
      </c>
      <c r="P902" s="95" t="str">
        <f t="shared" si="91"/>
        <v>N/A</v>
      </c>
      <c r="Q902" s="95" t="str">
        <f t="shared" si="92"/>
        <v>N/A</v>
      </c>
      <c r="R902" s="95" t="str">
        <f t="shared" si="93"/>
        <v>NO CERT.</v>
      </c>
      <c r="S902" s="95" t="e">
        <f t="shared" si="94"/>
        <v>#N/A</v>
      </c>
      <c r="T902" s="119" t="e">
        <f>+IF(J902=LOOKUP(J902,'CAFCO 300 IDIEM TABLAS'!$J$4:$J$40),'CALCULO MORTERO'!J902,MROUND('CALCULO MORTERO'!J902,10))</f>
        <v>#N/A</v>
      </c>
      <c r="U902" s="118">
        <f t="shared" si="95"/>
        <v>0</v>
      </c>
    </row>
    <row r="903" spans="1:21" x14ac:dyDescent="0.25">
      <c r="A903" s="118">
        <f>+CUBICACION!D897</f>
        <v>0</v>
      </c>
      <c r="B903" s="819">
        <f>+CUBICACION!E897</f>
        <v>0</v>
      </c>
      <c r="C903" s="675">
        <f>+CUBICACION!F897</f>
        <v>0</v>
      </c>
      <c r="D903" s="118"/>
      <c r="E903" s="118"/>
      <c r="F903" s="820"/>
      <c r="G903" s="675">
        <f>+CUBICACION!J897</f>
        <v>0</v>
      </c>
      <c r="H903" s="118"/>
      <c r="I903" s="821">
        <f>+CUBICACION!L897</f>
        <v>0</v>
      </c>
      <c r="J903" s="64">
        <f>+CUBICACION!M897</f>
        <v>0</v>
      </c>
      <c r="K903" s="822" t="str">
        <f>+CUBICACION!N897</f>
        <v/>
      </c>
      <c r="L903" s="118">
        <f>+CUBICACION!O897</f>
        <v>0</v>
      </c>
      <c r="M903" s="823">
        <f>+CUBICACION!P897</f>
        <v>0</v>
      </c>
      <c r="N903" s="902">
        <f>ROUND(IF(AND(L903="Blaze Shield II",M903="Software Idiem",C903="IN",G903=4),((('BLAZE SHIELD II'!$D$4*('CALCULO MORTERO'!I903^2)+'BLAZE SHIELD II'!$D$5*'CALCULO MORTERO'!I903+'BLAZE SHIELD II'!$D$6)*LN(J903))+('BLAZE SHIELD II'!$D$7*('CALCULO MORTERO'!I903^2)+'BLAZE SHIELD II'!$D$8*'CALCULO MORTERO'!I903+'BLAZE SHIELD II'!$D$9)),0)+IF(AND(L903="Blaze Shield II",M903="Software Idiem",C903="Cj"),((('BLAZE SHIELD II'!$H$4*('CALCULO MORTERO'!I903^2)+'BLAZE SHIELD II'!$H$5*'CALCULO MORTERO'!I903+'BLAZE SHIELD II'!$H$6)*LN(J903))+('BLAZE SHIELD II'!$H$7*('CALCULO MORTERO'!I903^2)+'BLAZE SHIELD II'!$H$8*'CALCULO MORTERO'!I903+'BLAZE SHIELD II'!$H$9)),0)+IF(AND(L903="Blaze Shield II",M903="Software Idiem",C903="C"),((('BLAZE SHIELD II'!$L$4*('CALCULO MORTERO'!I903^2)+'BLAZE SHIELD II'!$L$5*'CALCULO MORTERO'!I903+'BLAZE SHIELD II'!$L$6)*LN(J903))+('BLAZE SHIELD II'!$L$7*('CALCULO MORTERO'!I903^2)+'BLAZE SHIELD II'!$L$8*'CALCULO MORTERO'!I903+'BLAZE SHIELD II'!$L$9)),0)+IF(AND(L903="Blaze Shield II",M903="Software Idiem",C903="L"),((('BLAZE SHIELD II'!$L$4*('CALCULO MORTERO'!I903^2)+'BLAZE SHIELD II'!$L$5*'CALCULO MORTERO'!I903+'BLAZE SHIELD II'!$L$6)*LN(J903))+('BLAZE SHIELD II'!$L$7*('CALCULO MORTERO'!I903^2)+'BLAZE SHIELD II'!$L$8*'CALCULO MORTERO'!I903+'BLAZE SHIELD II'!$L$9)),0)+IF(AND(L903="Blaze Shield II",M903="Software Idiem",C903="IN",G903=3),((('BLAZE SHIELD II'!$H$14*('CALCULO MORTERO'!I903^2)+'BLAZE SHIELD II'!$H$15*'CALCULO MORTERO'!I903+'BLAZE SHIELD II'!$H$16)*LN(J903))+('BLAZE SHIELD II'!$H$17*('CALCULO MORTERO'!I903^2)+'BLAZE SHIELD II'!$H$18*'CALCULO MORTERO'!I903+'BLAZE SHIELD II'!$H$19)),0),0)+ROUND(IF(AND(L903="Cafco 400",M903="Software Idiem",C903="IN",G903=4),((('CAFCO 400 '!$H$7*(J903^4)+'CAFCO 400 '!$H$8*(J903^3)+'CAFCO 400 '!$H$9*(J903^2)+'CAFCO 400 '!$H$10*J903+'CAFCO 400 '!$H$11)*U903^2)+(('CAFCO 400 '!$H$12*(J903^3)+'CAFCO 400 '!$H$13*(J903^2)+'CAFCO 400 '!$H$14*J903+'CAFCO 400 '!$H$15)*U903)+('CAFCO 400 '!$H$16*(J903^2)+'CAFCO 400 '!$H$17*J903+'CAFCO 400 '!$H$18)),0)+IF(AND(L903="Cafco 400",M903="Software Idiem",C903="Cj"),(((('CAFCO 400 '!$D$7*LN(J903)+'CAFCO 400 '!$D$8)*U903^2)+(('CAFCO 400 '!$D$9*LN(J903)+'CAFCO 400 '!$D$10)*U903)+('CAFCO 400 '!$D$11*LN(J903)+'CAFCO 400 '!$D$12))),0)+IF(AND(L903="Cafco 400",M903="Software Idiem",C903="C"),((('CAFCO 400 '!$L$7*(J903^3)+'CAFCO 400 '!$L$8*(J903^2)+'CAFCO 400 '!$L$9*J903+'CAFCO 400 '!$L$10)*U903^2)+(('CAFCO 400 '!$L$11*(J903^3)+'CAFCO 400 '!$L$12*(J903^2)+'CAFCO 400 '!$L$13*J903+'CAFCO 400 '!$L$14)*U903)+('CAFCO 400 '!$L$15*LN(J903)+'CAFCO 400 '!$L$16)),0)+IF(AND(L903="Cafco 400",M903="Software Idiem",C903="L"),((('CAFCO 400 '!$L$7*(J903^3)+'CAFCO 400 '!$L$8*(J903^2)+'CAFCO 400 '!$L$9*J903+'CAFCO 400 '!$L$10)*U903^2)+(('CAFCO 400 '!$L$11*(J903^3)+'CAFCO 400 '!$L$12*(J903^2)+'CAFCO 400 '!$L$13*J903+'CAFCO 400 '!$L$14)*U903)+('CAFCO 400 '!$L$15*LN(J903)+'CAFCO 400 '!$L$16)),0)+IF(AND(L903="Cafco 400",M903="Software Idiem",C903="IN",G903=3),((('CAFCO 400 '!$D$23*(J903^2)+'CAFCO 400 '!$D$24*(J903)+'CAFCO 400 '!$D$25)*U903^2)+(('CAFCO 400 '!$D$26*(J903^2)+'CAFCO 400 '!$D$27*J903+'CAFCO 400 '!$D$28)*U903)+('CAFCO 400 '!$D$29*(J903^2)+'CAFCO 400 '!$D$30*J903+'CAFCO 400 '!$D$31)),0),0)+IF(AND(L903="Cafco 300",J903&gt;=95,J903&lt;=240,C903="Cj",I903=90),VLOOKUP(T903,'CAFCO 300 IDIEM TABLAS'!$B$4:$D$23,2,FALSE),0)+IF(AND(L903="Cafco 300",J903&gt;=95,J903&lt;=240,C903="Cj",I903=120),VLOOKUP(T903,'CAFCO 300 IDIEM TABLAS'!$B$4:$D$23,3,FALSE),0)+IF(AND(L903="Cafco 300",J903&gt;=95,J903&lt;=400,G903=3,C903="IN",I903=90),VLOOKUP(T903,'CAFCO 300 IDIEM TABLAS'!$F$4:$H$35,2,FALSE),0)+IF(AND(L903="Cafco 300",J903&gt;=95,J903&lt;=400,G903=3,C903="IN",I903=120),VLOOKUP(T903,'CAFCO 300 IDIEM TABLAS'!$F$4:$H$35,3,FALSE),0)+IF(AND(L903="Cafco 300",J903&gt;=95,J903&lt;=450,G903=4,C903="IN",I903=90),VLOOKUP(T903,'CAFCO 300 IDIEM TABLAS'!$J$4:$L$40,2,FALSE),0)+IF(AND(L903="Cafco 300",J903&gt;=95,J903&lt;=450,G903=4,C903="IN",I903=120),VLOOKUP(T903,'CAFCO 300 IDIEM TABLAS'!$J$4:$L$40,3,FALSE),0)+IF(AND(M903="Ensayo Idiem",L903="Cafco 400",C903="IN",G903=4,I903=90),VLOOKUP(T903,'CAFCO 400 ENSAYO'!$B$7:$D$43,2,FALSE),0)+IF(AND(M903="Ensayo Idiem",L903="Cafco 400",C903="IN",G903=4,I903=120),VLOOKUP(T903,'CAFCO 400 ENSAYO'!$B$7:$D$43,3,FALSE),0)</f>
        <v>0</v>
      </c>
      <c r="O903" s="96">
        <f t="shared" si="90"/>
        <v>0</v>
      </c>
      <c r="P903" s="132" t="str">
        <f t="shared" si="91"/>
        <v>N/A</v>
      </c>
      <c r="Q903" s="132" t="str">
        <f t="shared" si="92"/>
        <v>N/A</v>
      </c>
      <c r="R903" s="132" t="str">
        <f t="shared" si="93"/>
        <v>NO CERT.</v>
      </c>
      <c r="S903" s="132" t="e">
        <f t="shared" si="94"/>
        <v>#N/A</v>
      </c>
      <c r="T903" s="133" t="e">
        <f>+IF(J903=LOOKUP(J903,'CAFCO 300 IDIEM TABLAS'!$J$4:$J$40),'CALCULO MORTERO'!J903,MROUND('CALCULO MORTERO'!J903,10))</f>
        <v>#N/A</v>
      </c>
      <c r="U903" s="134">
        <f t="shared" si="95"/>
        <v>0</v>
      </c>
    </row>
    <row r="904" spans="1:21" x14ac:dyDescent="0.25">
      <c r="A904" s="118">
        <f>+CUBICACION!D898</f>
        <v>0</v>
      </c>
      <c r="B904" s="819">
        <f>+CUBICACION!E898</f>
        <v>0</v>
      </c>
      <c r="C904" s="675">
        <f>+CUBICACION!F898</f>
        <v>0</v>
      </c>
      <c r="D904" s="118"/>
      <c r="E904" s="118"/>
      <c r="F904" s="820"/>
      <c r="G904" s="675">
        <f>+CUBICACION!J898</f>
        <v>0</v>
      </c>
      <c r="H904" s="118"/>
      <c r="I904" s="821">
        <f>+CUBICACION!L898</f>
        <v>0</v>
      </c>
      <c r="J904" s="64">
        <f>+CUBICACION!M898</f>
        <v>0</v>
      </c>
      <c r="K904" s="822" t="str">
        <f>+CUBICACION!N898</f>
        <v/>
      </c>
      <c r="L904" s="118">
        <f>+CUBICACION!O898</f>
        <v>0</v>
      </c>
      <c r="M904" s="823">
        <f>+CUBICACION!P898</f>
        <v>0</v>
      </c>
      <c r="N904" s="902">
        <f>ROUND(IF(AND(L904="Blaze Shield II",M904="Software Idiem",C904="IN",G904=4),((('BLAZE SHIELD II'!$D$4*('CALCULO MORTERO'!I904^2)+'BLAZE SHIELD II'!$D$5*'CALCULO MORTERO'!I904+'BLAZE SHIELD II'!$D$6)*LN(J904))+('BLAZE SHIELD II'!$D$7*('CALCULO MORTERO'!I904^2)+'BLAZE SHIELD II'!$D$8*'CALCULO MORTERO'!I904+'BLAZE SHIELD II'!$D$9)),0)+IF(AND(L904="Blaze Shield II",M904="Software Idiem",C904="Cj"),((('BLAZE SHIELD II'!$H$4*('CALCULO MORTERO'!I904^2)+'BLAZE SHIELD II'!$H$5*'CALCULO MORTERO'!I904+'BLAZE SHIELD II'!$H$6)*LN(J904))+('BLAZE SHIELD II'!$H$7*('CALCULO MORTERO'!I904^2)+'BLAZE SHIELD II'!$H$8*'CALCULO MORTERO'!I904+'BLAZE SHIELD II'!$H$9)),0)+IF(AND(L904="Blaze Shield II",M904="Software Idiem",C904="C"),((('BLAZE SHIELD II'!$L$4*('CALCULO MORTERO'!I904^2)+'BLAZE SHIELD II'!$L$5*'CALCULO MORTERO'!I904+'BLAZE SHIELD II'!$L$6)*LN(J904))+('BLAZE SHIELD II'!$L$7*('CALCULO MORTERO'!I904^2)+'BLAZE SHIELD II'!$L$8*'CALCULO MORTERO'!I904+'BLAZE SHIELD II'!$L$9)),0)+IF(AND(L904="Blaze Shield II",M904="Software Idiem",C904="L"),((('BLAZE SHIELD II'!$L$4*('CALCULO MORTERO'!I904^2)+'BLAZE SHIELD II'!$L$5*'CALCULO MORTERO'!I904+'BLAZE SHIELD II'!$L$6)*LN(J904))+('BLAZE SHIELD II'!$L$7*('CALCULO MORTERO'!I904^2)+'BLAZE SHIELD II'!$L$8*'CALCULO MORTERO'!I904+'BLAZE SHIELD II'!$L$9)),0)+IF(AND(L904="Blaze Shield II",M904="Software Idiem",C904="IN",G904=3),((('BLAZE SHIELD II'!$H$14*('CALCULO MORTERO'!I904^2)+'BLAZE SHIELD II'!$H$15*'CALCULO MORTERO'!I904+'BLAZE SHIELD II'!$H$16)*LN(J904))+('BLAZE SHIELD II'!$H$17*('CALCULO MORTERO'!I904^2)+'BLAZE SHIELD II'!$H$18*'CALCULO MORTERO'!I904+'BLAZE SHIELD II'!$H$19)),0),0)+ROUND(IF(AND(L904="Cafco 400",M904="Software Idiem",C904="IN",G904=4),((('CAFCO 400 '!$H$7*(J904^4)+'CAFCO 400 '!$H$8*(J904^3)+'CAFCO 400 '!$H$9*(J904^2)+'CAFCO 400 '!$H$10*J904+'CAFCO 400 '!$H$11)*U904^2)+(('CAFCO 400 '!$H$12*(J904^3)+'CAFCO 400 '!$H$13*(J904^2)+'CAFCO 400 '!$H$14*J904+'CAFCO 400 '!$H$15)*U904)+('CAFCO 400 '!$H$16*(J904^2)+'CAFCO 400 '!$H$17*J904+'CAFCO 400 '!$H$18)),0)+IF(AND(L904="Cafco 400",M904="Software Idiem",C904="Cj"),(((('CAFCO 400 '!$D$7*LN(J904)+'CAFCO 400 '!$D$8)*U904^2)+(('CAFCO 400 '!$D$9*LN(J904)+'CAFCO 400 '!$D$10)*U904)+('CAFCO 400 '!$D$11*LN(J904)+'CAFCO 400 '!$D$12))),0)+IF(AND(L904="Cafco 400",M904="Software Idiem",C904="C"),((('CAFCO 400 '!$L$7*(J904^3)+'CAFCO 400 '!$L$8*(J904^2)+'CAFCO 400 '!$L$9*J904+'CAFCO 400 '!$L$10)*U904^2)+(('CAFCO 400 '!$L$11*(J904^3)+'CAFCO 400 '!$L$12*(J904^2)+'CAFCO 400 '!$L$13*J904+'CAFCO 400 '!$L$14)*U904)+('CAFCO 400 '!$L$15*LN(J904)+'CAFCO 400 '!$L$16)),0)+IF(AND(L904="Cafco 400",M904="Software Idiem",C904="L"),((('CAFCO 400 '!$L$7*(J904^3)+'CAFCO 400 '!$L$8*(J904^2)+'CAFCO 400 '!$L$9*J904+'CAFCO 400 '!$L$10)*U904^2)+(('CAFCO 400 '!$L$11*(J904^3)+'CAFCO 400 '!$L$12*(J904^2)+'CAFCO 400 '!$L$13*J904+'CAFCO 400 '!$L$14)*U904)+('CAFCO 400 '!$L$15*LN(J904)+'CAFCO 400 '!$L$16)),0)+IF(AND(L904="Cafco 400",M904="Software Idiem",C904="IN",G904=3),((('CAFCO 400 '!$D$23*(J904^2)+'CAFCO 400 '!$D$24*(J904)+'CAFCO 400 '!$D$25)*U904^2)+(('CAFCO 400 '!$D$26*(J904^2)+'CAFCO 400 '!$D$27*J904+'CAFCO 400 '!$D$28)*U904)+('CAFCO 400 '!$D$29*(J904^2)+'CAFCO 400 '!$D$30*J904+'CAFCO 400 '!$D$31)),0),0)+IF(AND(L904="Cafco 300",J904&gt;=95,J904&lt;=240,C904="Cj",I904=90),VLOOKUP(T904,'CAFCO 300 IDIEM TABLAS'!$B$4:$D$23,2,FALSE),0)+IF(AND(L904="Cafco 300",J904&gt;=95,J904&lt;=240,C904="Cj",I904=120),VLOOKUP(T904,'CAFCO 300 IDIEM TABLAS'!$B$4:$D$23,3,FALSE),0)+IF(AND(L904="Cafco 300",J904&gt;=95,J904&lt;=400,G904=3,C904="IN",I904=90),VLOOKUP(T904,'CAFCO 300 IDIEM TABLAS'!$F$4:$H$35,2,FALSE),0)+IF(AND(L904="Cafco 300",J904&gt;=95,J904&lt;=400,G904=3,C904="IN",I904=120),VLOOKUP(T904,'CAFCO 300 IDIEM TABLAS'!$F$4:$H$35,3,FALSE),0)+IF(AND(L904="Cafco 300",J904&gt;=95,J904&lt;=450,G904=4,C904="IN",I904=90),VLOOKUP(T904,'CAFCO 300 IDIEM TABLAS'!$J$4:$L$40,2,FALSE),0)+IF(AND(L904="Cafco 300",J904&gt;=95,J904&lt;=450,G904=4,C904="IN",I904=120),VLOOKUP(T904,'CAFCO 300 IDIEM TABLAS'!$J$4:$L$40,3,FALSE),0)+IF(AND(M904="Ensayo Idiem",L904="Cafco 400",C904="IN",G904=4,I904=90),VLOOKUP(T904,'CAFCO 400 ENSAYO'!$B$7:$D$43,2,FALSE),0)+IF(AND(M904="Ensayo Idiem",L904="Cafco 400",C904="IN",G904=4,I904=120),VLOOKUP(T904,'CAFCO 400 ENSAYO'!$B$7:$D$43,3,FALSE),0)</f>
        <v>0</v>
      </c>
      <c r="O904" s="96">
        <f t="shared" si="90"/>
        <v>0</v>
      </c>
      <c r="P904" s="95" t="str">
        <f t="shared" si="91"/>
        <v>N/A</v>
      </c>
      <c r="Q904" s="95" t="str">
        <f t="shared" si="92"/>
        <v>N/A</v>
      </c>
      <c r="R904" s="95" t="str">
        <f t="shared" si="93"/>
        <v>NO CERT.</v>
      </c>
      <c r="S904" s="95" t="e">
        <f t="shared" si="94"/>
        <v>#N/A</v>
      </c>
      <c r="T904" s="119" t="e">
        <f>+IF(J904=LOOKUP(J904,'CAFCO 300 IDIEM TABLAS'!$J$4:$J$40),'CALCULO MORTERO'!J904,MROUND('CALCULO MORTERO'!J904,10))</f>
        <v>#N/A</v>
      </c>
      <c r="U904" s="118">
        <f t="shared" si="95"/>
        <v>0</v>
      </c>
    </row>
    <row r="905" spans="1:21" x14ac:dyDescent="0.25">
      <c r="A905" s="118">
        <f>+CUBICACION!D899</f>
        <v>0</v>
      </c>
      <c r="B905" s="819">
        <f>+CUBICACION!E899</f>
        <v>0</v>
      </c>
      <c r="C905" s="675">
        <f>+CUBICACION!F899</f>
        <v>0</v>
      </c>
      <c r="D905" s="118"/>
      <c r="E905" s="118"/>
      <c r="F905" s="820"/>
      <c r="G905" s="675">
        <f>+CUBICACION!J899</f>
        <v>0</v>
      </c>
      <c r="H905" s="118"/>
      <c r="I905" s="821">
        <f>+CUBICACION!L899</f>
        <v>0</v>
      </c>
      <c r="J905" s="64">
        <f>+CUBICACION!M899</f>
        <v>0</v>
      </c>
      <c r="K905" s="822" t="str">
        <f>+CUBICACION!N899</f>
        <v/>
      </c>
      <c r="L905" s="118">
        <f>+CUBICACION!O899</f>
        <v>0</v>
      </c>
      <c r="M905" s="823">
        <f>+CUBICACION!P899</f>
        <v>0</v>
      </c>
      <c r="N905" s="902">
        <f>ROUND(IF(AND(L905="Blaze Shield II",M905="Software Idiem",C905="IN",G905=4),((('BLAZE SHIELD II'!$D$4*('CALCULO MORTERO'!I905^2)+'BLAZE SHIELD II'!$D$5*'CALCULO MORTERO'!I905+'BLAZE SHIELD II'!$D$6)*LN(J905))+('BLAZE SHIELD II'!$D$7*('CALCULO MORTERO'!I905^2)+'BLAZE SHIELD II'!$D$8*'CALCULO MORTERO'!I905+'BLAZE SHIELD II'!$D$9)),0)+IF(AND(L905="Blaze Shield II",M905="Software Idiem",C905="Cj"),((('BLAZE SHIELD II'!$H$4*('CALCULO MORTERO'!I905^2)+'BLAZE SHIELD II'!$H$5*'CALCULO MORTERO'!I905+'BLAZE SHIELD II'!$H$6)*LN(J905))+('BLAZE SHIELD II'!$H$7*('CALCULO MORTERO'!I905^2)+'BLAZE SHIELD II'!$H$8*'CALCULO MORTERO'!I905+'BLAZE SHIELD II'!$H$9)),0)+IF(AND(L905="Blaze Shield II",M905="Software Idiem",C905="C"),((('BLAZE SHIELD II'!$L$4*('CALCULO MORTERO'!I905^2)+'BLAZE SHIELD II'!$L$5*'CALCULO MORTERO'!I905+'BLAZE SHIELD II'!$L$6)*LN(J905))+('BLAZE SHIELD II'!$L$7*('CALCULO MORTERO'!I905^2)+'BLAZE SHIELD II'!$L$8*'CALCULO MORTERO'!I905+'BLAZE SHIELD II'!$L$9)),0)+IF(AND(L905="Blaze Shield II",M905="Software Idiem",C905="L"),((('BLAZE SHIELD II'!$L$4*('CALCULO MORTERO'!I905^2)+'BLAZE SHIELD II'!$L$5*'CALCULO MORTERO'!I905+'BLAZE SHIELD II'!$L$6)*LN(J905))+('BLAZE SHIELD II'!$L$7*('CALCULO MORTERO'!I905^2)+'BLAZE SHIELD II'!$L$8*'CALCULO MORTERO'!I905+'BLAZE SHIELD II'!$L$9)),0)+IF(AND(L905="Blaze Shield II",M905="Software Idiem",C905="IN",G905=3),((('BLAZE SHIELD II'!$H$14*('CALCULO MORTERO'!I905^2)+'BLAZE SHIELD II'!$H$15*'CALCULO MORTERO'!I905+'BLAZE SHIELD II'!$H$16)*LN(J905))+('BLAZE SHIELD II'!$H$17*('CALCULO MORTERO'!I905^2)+'BLAZE SHIELD II'!$H$18*'CALCULO MORTERO'!I905+'BLAZE SHIELD II'!$H$19)),0),0)+ROUND(IF(AND(L905="Cafco 400",M905="Software Idiem",C905="IN",G905=4),((('CAFCO 400 '!$H$7*(J905^4)+'CAFCO 400 '!$H$8*(J905^3)+'CAFCO 400 '!$H$9*(J905^2)+'CAFCO 400 '!$H$10*J905+'CAFCO 400 '!$H$11)*U905^2)+(('CAFCO 400 '!$H$12*(J905^3)+'CAFCO 400 '!$H$13*(J905^2)+'CAFCO 400 '!$H$14*J905+'CAFCO 400 '!$H$15)*U905)+('CAFCO 400 '!$H$16*(J905^2)+'CAFCO 400 '!$H$17*J905+'CAFCO 400 '!$H$18)),0)+IF(AND(L905="Cafco 400",M905="Software Idiem",C905="Cj"),(((('CAFCO 400 '!$D$7*LN(J905)+'CAFCO 400 '!$D$8)*U905^2)+(('CAFCO 400 '!$D$9*LN(J905)+'CAFCO 400 '!$D$10)*U905)+('CAFCO 400 '!$D$11*LN(J905)+'CAFCO 400 '!$D$12))),0)+IF(AND(L905="Cafco 400",M905="Software Idiem",C905="C"),((('CAFCO 400 '!$L$7*(J905^3)+'CAFCO 400 '!$L$8*(J905^2)+'CAFCO 400 '!$L$9*J905+'CAFCO 400 '!$L$10)*U905^2)+(('CAFCO 400 '!$L$11*(J905^3)+'CAFCO 400 '!$L$12*(J905^2)+'CAFCO 400 '!$L$13*J905+'CAFCO 400 '!$L$14)*U905)+('CAFCO 400 '!$L$15*LN(J905)+'CAFCO 400 '!$L$16)),0)+IF(AND(L905="Cafco 400",M905="Software Idiem",C905="L"),((('CAFCO 400 '!$L$7*(J905^3)+'CAFCO 400 '!$L$8*(J905^2)+'CAFCO 400 '!$L$9*J905+'CAFCO 400 '!$L$10)*U905^2)+(('CAFCO 400 '!$L$11*(J905^3)+'CAFCO 400 '!$L$12*(J905^2)+'CAFCO 400 '!$L$13*J905+'CAFCO 400 '!$L$14)*U905)+('CAFCO 400 '!$L$15*LN(J905)+'CAFCO 400 '!$L$16)),0)+IF(AND(L905="Cafco 400",M905="Software Idiem",C905="IN",G905=3),((('CAFCO 400 '!$D$23*(J905^2)+'CAFCO 400 '!$D$24*(J905)+'CAFCO 400 '!$D$25)*U905^2)+(('CAFCO 400 '!$D$26*(J905^2)+'CAFCO 400 '!$D$27*J905+'CAFCO 400 '!$D$28)*U905)+('CAFCO 400 '!$D$29*(J905^2)+'CAFCO 400 '!$D$30*J905+'CAFCO 400 '!$D$31)),0),0)+IF(AND(L905="Cafco 300",J905&gt;=95,J905&lt;=240,C905="Cj",I905=90),VLOOKUP(T905,'CAFCO 300 IDIEM TABLAS'!$B$4:$D$23,2,FALSE),0)+IF(AND(L905="Cafco 300",J905&gt;=95,J905&lt;=240,C905="Cj",I905=120),VLOOKUP(T905,'CAFCO 300 IDIEM TABLAS'!$B$4:$D$23,3,FALSE),0)+IF(AND(L905="Cafco 300",J905&gt;=95,J905&lt;=400,G905=3,C905="IN",I905=90),VLOOKUP(T905,'CAFCO 300 IDIEM TABLAS'!$F$4:$H$35,2,FALSE),0)+IF(AND(L905="Cafco 300",J905&gt;=95,J905&lt;=400,G905=3,C905="IN",I905=120),VLOOKUP(T905,'CAFCO 300 IDIEM TABLAS'!$F$4:$H$35,3,FALSE),0)+IF(AND(L905="Cafco 300",J905&gt;=95,J905&lt;=450,G905=4,C905="IN",I905=90),VLOOKUP(T905,'CAFCO 300 IDIEM TABLAS'!$J$4:$L$40,2,FALSE),0)+IF(AND(L905="Cafco 300",J905&gt;=95,J905&lt;=450,G905=4,C905="IN",I905=120),VLOOKUP(T905,'CAFCO 300 IDIEM TABLAS'!$J$4:$L$40,3,FALSE),0)+IF(AND(M905="Ensayo Idiem",L905="Cafco 400",C905="IN",G905=4,I905=90),VLOOKUP(T905,'CAFCO 400 ENSAYO'!$B$7:$D$43,2,FALSE),0)+IF(AND(M905="Ensayo Idiem",L905="Cafco 400",C905="IN",G905=4,I905=120),VLOOKUP(T905,'CAFCO 400 ENSAYO'!$B$7:$D$43,3,FALSE),0)</f>
        <v>0</v>
      </c>
      <c r="O905" s="96">
        <f t="shared" si="90"/>
        <v>0</v>
      </c>
      <c r="P905" s="132" t="str">
        <f t="shared" si="91"/>
        <v>N/A</v>
      </c>
      <c r="Q905" s="132" t="str">
        <f t="shared" si="92"/>
        <v>N/A</v>
      </c>
      <c r="R905" s="132" t="str">
        <f t="shared" si="93"/>
        <v>NO CERT.</v>
      </c>
      <c r="S905" s="132" t="e">
        <f t="shared" si="94"/>
        <v>#N/A</v>
      </c>
      <c r="T905" s="133" t="e">
        <f>+IF(J905=LOOKUP(J905,'CAFCO 300 IDIEM TABLAS'!$J$4:$J$40),'CALCULO MORTERO'!J905,MROUND('CALCULO MORTERO'!J905,10))</f>
        <v>#N/A</v>
      </c>
      <c r="U905" s="134">
        <f t="shared" si="95"/>
        <v>0</v>
      </c>
    </row>
    <row r="906" spans="1:21" x14ac:dyDescent="0.25">
      <c r="A906" s="118">
        <f>+CUBICACION!D900</f>
        <v>0</v>
      </c>
      <c r="B906" s="819">
        <f>+CUBICACION!E900</f>
        <v>0</v>
      </c>
      <c r="C906" s="675">
        <f>+CUBICACION!F900</f>
        <v>0</v>
      </c>
      <c r="D906" s="118"/>
      <c r="E906" s="118"/>
      <c r="F906" s="820"/>
      <c r="G906" s="675">
        <f>+CUBICACION!J900</f>
        <v>0</v>
      </c>
      <c r="H906" s="118"/>
      <c r="I906" s="821">
        <f>+CUBICACION!L900</f>
        <v>0</v>
      </c>
      <c r="J906" s="64">
        <f>+CUBICACION!M900</f>
        <v>0</v>
      </c>
      <c r="K906" s="822" t="str">
        <f>+CUBICACION!N900</f>
        <v/>
      </c>
      <c r="L906" s="118">
        <f>+CUBICACION!O900</f>
        <v>0</v>
      </c>
      <c r="M906" s="823">
        <f>+CUBICACION!P900</f>
        <v>0</v>
      </c>
      <c r="N906" s="902">
        <f>ROUND(IF(AND(L906="Blaze Shield II",M906="Software Idiem",C906="IN",G906=4),((('BLAZE SHIELD II'!$D$4*('CALCULO MORTERO'!I906^2)+'BLAZE SHIELD II'!$D$5*'CALCULO MORTERO'!I906+'BLAZE SHIELD II'!$D$6)*LN(J906))+('BLAZE SHIELD II'!$D$7*('CALCULO MORTERO'!I906^2)+'BLAZE SHIELD II'!$D$8*'CALCULO MORTERO'!I906+'BLAZE SHIELD II'!$D$9)),0)+IF(AND(L906="Blaze Shield II",M906="Software Idiem",C906="Cj"),((('BLAZE SHIELD II'!$H$4*('CALCULO MORTERO'!I906^2)+'BLAZE SHIELD II'!$H$5*'CALCULO MORTERO'!I906+'BLAZE SHIELD II'!$H$6)*LN(J906))+('BLAZE SHIELD II'!$H$7*('CALCULO MORTERO'!I906^2)+'BLAZE SHIELD II'!$H$8*'CALCULO MORTERO'!I906+'BLAZE SHIELD II'!$H$9)),0)+IF(AND(L906="Blaze Shield II",M906="Software Idiem",C906="C"),((('BLAZE SHIELD II'!$L$4*('CALCULO MORTERO'!I906^2)+'BLAZE SHIELD II'!$L$5*'CALCULO MORTERO'!I906+'BLAZE SHIELD II'!$L$6)*LN(J906))+('BLAZE SHIELD II'!$L$7*('CALCULO MORTERO'!I906^2)+'BLAZE SHIELD II'!$L$8*'CALCULO MORTERO'!I906+'BLAZE SHIELD II'!$L$9)),0)+IF(AND(L906="Blaze Shield II",M906="Software Idiem",C906="L"),((('BLAZE SHIELD II'!$L$4*('CALCULO MORTERO'!I906^2)+'BLAZE SHIELD II'!$L$5*'CALCULO MORTERO'!I906+'BLAZE SHIELD II'!$L$6)*LN(J906))+('BLAZE SHIELD II'!$L$7*('CALCULO MORTERO'!I906^2)+'BLAZE SHIELD II'!$L$8*'CALCULO MORTERO'!I906+'BLAZE SHIELD II'!$L$9)),0)+IF(AND(L906="Blaze Shield II",M906="Software Idiem",C906="IN",G906=3),((('BLAZE SHIELD II'!$H$14*('CALCULO MORTERO'!I906^2)+'BLAZE SHIELD II'!$H$15*'CALCULO MORTERO'!I906+'BLAZE SHIELD II'!$H$16)*LN(J906))+('BLAZE SHIELD II'!$H$17*('CALCULO MORTERO'!I906^2)+'BLAZE SHIELD II'!$H$18*'CALCULO MORTERO'!I906+'BLAZE SHIELD II'!$H$19)),0),0)+ROUND(IF(AND(L906="Cafco 400",M906="Software Idiem",C906="IN",G906=4),((('CAFCO 400 '!$H$7*(J906^4)+'CAFCO 400 '!$H$8*(J906^3)+'CAFCO 400 '!$H$9*(J906^2)+'CAFCO 400 '!$H$10*J906+'CAFCO 400 '!$H$11)*U906^2)+(('CAFCO 400 '!$H$12*(J906^3)+'CAFCO 400 '!$H$13*(J906^2)+'CAFCO 400 '!$H$14*J906+'CAFCO 400 '!$H$15)*U906)+('CAFCO 400 '!$H$16*(J906^2)+'CAFCO 400 '!$H$17*J906+'CAFCO 400 '!$H$18)),0)+IF(AND(L906="Cafco 400",M906="Software Idiem",C906="Cj"),(((('CAFCO 400 '!$D$7*LN(J906)+'CAFCO 400 '!$D$8)*U906^2)+(('CAFCO 400 '!$D$9*LN(J906)+'CAFCO 400 '!$D$10)*U906)+('CAFCO 400 '!$D$11*LN(J906)+'CAFCO 400 '!$D$12))),0)+IF(AND(L906="Cafco 400",M906="Software Idiem",C906="C"),((('CAFCO 400 '!$L$7*(J906^3)+'CAFCO 400 '!$L$8*(J906^2)+'CAFCO 400 '!$L$9*J906+'CAFCO 400 '!$L$10)*U906^2)+(('CAFCO 400 '!$L$11*(J906^3)+'CAFCO 400 '!$L$12*(J906^2)+'CAFCO 400 '!$L$13*J906+'CAFCO 400 '!$L$14)*U906)+('CAFCO 400 '!$L$15*LN(J906)+'CAFCO 400 '!$L$16)),0)+IF(AND(L906="Cafco 400",M906="Software Idiem",C906="L"),((('CAFCO 400 '!$L$7*(J906^3)+'CAFCO 400 '!$L$8*(J906^2)+'CAFCO 400 '!$L$9*J906+'CAFCO 400 '!$L$10)*U906^2)+(('CAFCO 400 '!$L$11*(J906^3)+'CAFCO 400 '!$L$12*(J906^2)+'CAFCO 400 '!$L$13*J906+'CAFCO 400 '!$L$14)*U906)+('CAFCO 400 '!$L$15*LN(J906)+'CAFCO 400 '!$L$16)),0)+IF(AND(L906="Cafco 400",M906="Software Idiem",C906="IN",G906=3),((('CAFCO 400 '!$D$23*(J906^2)+'CAFCO 400 '!$D$24*(J906)+'CAFCO 400 '!$D$25)*U906^2)+(('CAFCO 400 '!$D$26*(J906^2)+'CAFCO 400 '!$D$27*J906+'CAFCO 400 '!$D$28)*U906)+('CAFCO 400 '!$D$29*(J906^2)+'CAFCO 400 '!$D$30*J906+'CAFCO 400 '!$D$31)),0),0)+IF(AND(L906="Cafco 300",J906&gt;=95,J906&lt;=240,C906="Cj",I906=90),VLOOKUP(T906,'CAFCO 300 IDIEM TABLAS'!$B$4:$D$23,2,FALSE),0)+IF(AND(L906="Cafco 300",J906&gt;=95,J906&lt;=240,C906="Cj",I906=120),VLOOKUP(T906,'CAFCO 300 IDIEM TABLAS'!$B$4:$D$23,3,FALSE),0)+IF(AND(L906="Cafco 300",J906&gt;=95,J906&lt;=400,G906=3,C906="IN",I906=90),VLOOKUP(T906,'CAFCO 300 IDIEM TABLAS'!$F$4:$H$35,2,FALSE),0)+IF(AND(L906="Cafco 300",J906&gt;=95,J906&lt;=400,G906=3,C906="IN",I906=120),VLOOKUP(T906,'CAFCO 300 IDIEM TABLAS'!$F$4:$H$35,3,FALSE),0)+IF(AND(L906="Cafco 300",J906&gt;=95,J906&lt;=450,G906=4,C906="IN",I906=90),VLOOKUP(T906,'CAFCO 300 IDIEM TABLAS'!$J$4:$L$40,2,FALSE),0)+IF(AND(L906="Cafco 300",J906&gt;=95,J906&lt;=450,G906=4,C906="IN",I906=120),VLOOKUP(T906,'CAFCO 300 IDIEM TABLAS'!$J$4:$L$40,3,FALSE),0)+IF(AND(M906="Ensayo Idiem",L906="Cafco 400",C906="IN",G906=4,I906=90),VLOOKUP(T906,'CAFCO 400 ENSAYO'!$B$7:$D$43,2,FALSE),0)+IF(AND(M906="Ensayo Idiem",L906="Cafco 400",C906="IN",G906=4,I906=120),VLOOKUP(T906,'CAFCO 400 ENSAYO'!$B$7:$D$43,3,FALSE),0)</f>
        <v>0</v>
      </c>
      <c r="O906" s="96">
        <f t="shared" si="90"/>
        <v>0</v>
      </c>
      <c r="P906" s="95" t="str">
        <f t="shared" si="91"/>
        <v>N/A</v>
      </c>
      <c r="Q906" s="95" t="str">
        <f t="shared" si="92"/>
        <v>N/A</v>
      </c>
      <c r="R906" s="95" t="str">
        <f t="shared" si="93"/>
        <v>NO CERT.</v>
      </c>
      <c r="S906" s="95" t="e">
        <f t="shared" si="94"/>
        <v>#N/A</v>
      </c>
      <c r="T906" s="119" t="e">
        <f>+IF(J906=LOOKUP(J906,'CAFCO 300 IDIEM TABLAS'!$J$4:$J$40),'CALCULO MORTERO'!J906,MROUND('CALCULO MORTERO'!J906,10))</f>
        <v>#N/A</v>
      </c>
      <c r="U906" s="118">
        <f t="shared" si="95"/>
        <v>0</v>
      </c>
    </row>
    <row r="907" spans="1:21" x14ac:dyDescent="0.25">
      <c r="A907" s="118">
        <f>+CUBICACION!D901</f>
        <v>0</v>
      </c>
      <c r="B907" s="819">
        <f>+CUBICACION!E901</f>
        <v>0</v>
      </c>
      <c r="C907" s="675">
        <f>+CUBICACION!F901</f>
        <v>0</v>
      </c>
      <c r="D907" s="118"/>
      <c r="E907" s="118"/>
      <c r="F907" s="820"/>
      <c r="G907" s="675">
        <f>+CUBICACION!J901</f>
        <v>0</v>
      </c>
      <c r="H907" s="118"/>
      <c r="I907" s="821">
        <f>+CUBICACION!L901</f>
        <v>0</v>
      </c>
      <c r="J907" s="64">
        <f>+CUBICACION!M901</f>
        <v>0</v>
      </c>
      <c r="K907" s="822" t="str">
        <f>+CUBICACION!N901</f>
        <v/>
      </c>
      <c r="L907" s="118">
        <f>+CUBICACION!O901</f>
        <v>0</v>
      </c>
      <c r="M907" s="823">
        <f>+CUBICACION!P901</f>
        <v>0</v>
      </c>
      <c r="N907" s="902">
        <f>ROUND(IF(AND(L907="Blaze Shield II",M907="Software Idiem",C907="IN",G907=4),((('BLAZE SHIELD II'!$D$4*('CALCULO MORTERO'!I907^2)+'BLAZE SHIELD II'!$D$5*'CALCULO MORTERO'!I907+'BLAZE SHIELD II'!$D$6)*LN(J907))+('BLAZE SHIELD II'!$D$7*('CALCULO MORTERO'!I907^2)+'BLAZE SHIELD II'!$D$8*'CALCULO MORTERO'!I907+'BLAZE SHIELD II'!$D$9)),0)+IF(AND(L907="Blaze Shield II",M907="Software Idiem",C907="Cj"),((('BLAZE SHIELD II'!$H$4*('CALCULO MORTERO'!I907^2)+'BLAZE SHIELD II'!$H$5*'CALCULO MORTERO'!I907+'BLAZE SHIELD II'!$H$6)*LN(J907))+('BLAZE SHIELD II'!$H$7*('CALCULO MORTERO'!I907^2)+'BLAZE SHIELD II'!$H$8*'CALCULO MORTERO'!I907+'BLAZE SHIELD II'!$H$9)),0)+IF(AND(L907="Blaze Shield II",M907="Software Idiem",C907="C"),((('BLAZE SHIELD II'!$L$4*('CALCULO MORTERO'!I907^2)+'BLAZE SHIELD II'!$L$5*'CALCULO MORTERO'!I907+'BLAZE SHIELD II'!$L$6)*LN(J907))+('BLAZE SHIELD II'!$L$7*('CALCULO MORTERO'!I907^2)+'BLAZE SHIELD II'!$L$8*'CALCULO MORTERO'!I907+'BLAZE SHIELD II'!$L$9)),0)+IF(AND(L907="Blaze Shield II",M907="Software Idiem",C907="L"),((('BLAZE SHIELD II'!$L$4*('CALCULO MORTERO'!I907^2)+'BLAZE SHIELD II'!$L$5*'CALCULO MORTERO'!I907+'BLAZE SHIELD II'!$L$6)*LN(J907))+('BLAZE SHIELD II'!$L$7*('CALCULO MORTERO'!I907^2)+'BLAZE SHIELD II'!$L$8*'CALCULO MORTERO'!I907+'BLAZE SHIELD II'!$L$9)),0)+IF(AND(L907="Blaze Shield II",M907="Software Idiem",C907="IN",G907=3),((('BLAZE SHIELD II'!$H$14*('CALCULO MORTERO'!I907^2)+'BLAZE SHIELD II'!$H$15*'CALCULO MORTERO'!I907+'BLAZE SHIELD II'!$H$16)*LN(J907))+('BLAZE SHIELD II'!$H$17*('CALCULO MORTERO'!I907^2)+'BLAZE SHIELD II'!$H$18*'CALCULO MORTERO'!I907+'BLAZE SHIELD II'!$H$19)),0),0)+ROUND(IF(AND(L907="Cafco 400",M907="Software Idiem",C907="IN",G907=4),((('CAFCO 400 '!$H$7*(J907^4)+'CAFCO 400 '!$H$8*(J907^3)+'CAFCO 400 '!$H$9*(J907^2)+'CAFCO 400 '!$H$10*J907+'CAFCO 400 '!$H$11)*U907^2)+(('CAFCO 400 '!$H$12*(J907^3)+'CAFCO 400 '!$H$13*(J907^2)+'CAFCO 400 '!$H$14*J907+'CAFCO 400 '!$H$15)*U907)+('CAFCO 400 '!$H$16*(J907^2)+'CAFCO 400 '!$H$17*J907+'CAFCO 400 '!$H$18)),0)+IF(AND(L907="Cafco 400",M907="Software Idiem",C907="Cj"),(((('CAFCO 400 '!$D$7*LN(J907)+'CAFCO 400 '!$D$8)*U907^2)+(('CAFCO 400 '!$D$9*LN(J907)+'CAFCO 400 '!$D$10)*U907)+('CAFCO 400 '!$D$11*LN(J907)+'CAFCO 400 '!$D$12))),0)+IF(AND(L907="Cafco 400",M907="Software Idiem",C907="C"),((('CAFCO 400 '!$L$7*(J907^3)+'CAFCO 400 '!$L$8*(J907^2)+'CAFCO 400 '!$L$9*J907+'CAFCO 400 '!$L$10)*U907^2)+(('CAFCO 400 '!$L$11*(J907^3)+'CAFCO 400 '!$L$12*(J907^2)+'CAFCO 400 '!$L$13*J907+'CAFCO 400 '!$L$14)*U907)+('CAFCO 400 '!$L$15*LN(J907)+'CAFCO 400 '!$L$16)),0)+IF(AND(L907="Cafco 400",M907="Software Idiem",C907="L"),((('CAFCO 400 '!$L$7*(J907^3)+'CAFCO 400 '!$L$8*(J907^2)+'CAFCO 400 '!$L$9*J907+'CAFCO 400 '!$L$10)*U907^2)+(('CAFCO 400 '!$L$11*(J907^3)+'CAFCO 400 '!$L$12*(J907^2)+'CAFCO 400 '!$L$13*J907+'CAFCO 400 '!$L$14)*U907)+('CAFCO 400 '!$L$15*LN(J907)+'CAFCO 400 '!$L$16)),0)+IF(AND(L907="Cafco 400",M907="Software Idiem",C907="IN",G907=3),((('CAFCO 400 '!$D$23*(J907^2)+'CAFCO 400 '!$D$24*(J907)+'CAFCO 400 '!$D$25)*U907^2)+(('CAFCO 400 '!$D$26*(J907^2)+'CAFCO 400 '!$D$27*J907+'CAFCO 400 '!$D$28)*U907)+('CAFCO 400 '!$D$29*(J907^2)+'CAFCO 400 '!$D$30*J907+'CAFCO 400 '!$D$31)),0),0)+IF(AND(L907="Cafco 300",J907&gt;=95,J907&lt;=240,C907="Cj",I907=90),VLOOKUP(T907,'CAFCO 300 IDIEM TABLAS'!$B$4:$D$23,2,FALSE),0)+IF(AND(L907="Cafco 300",J907&gt;=95,J907&lt;=240,C907="Cj",I907=120),VLOOKUP(T907,'CAFCO 300 IDIEM TABLAS'!$B$4:$D$23,3,FALSE),0)+IF(AND(L907="Cafco 300",J907&gt;=95,J907&lt;=400,G907=3,C907="IN",I907=90),VLOOKUP(T907,'CAFCO 300 IDIEM TABLAS'!$F$4:$H$35,2,FALSE),0)+IF(AND(L907="Cafco 300",J907&gt;=95,J907&lt;=400,G907=3,C907="IN",I907=120),VLOOKUP(T907,'CAFCO 300 IDIEM TABLAS'!$F$4:$H$35,3,FALSE),0)+IF(AND(L907="Cafco 300",J907&gt;=95,J907&lt;=450,G907=4,C907="IN",I907=90),VLOOKUP(T907,'CAFCO 300 IDIEM TABLAS'!$J$4:$L$40,2,FALSE),0)+IF(AND(L907="Cafco 300",J907&gt;=95,J907&lt;=450,G907=4,C907="IN",I907=120),VLOOKUP(T907,'CAFCO 300 IDIEM TABLAS'!$J$4:$L$40,3,FALSE),0)+IF(AND(M907="Ensayo Idiem",L907="Cafco 400",C907="IN",G907=4,I907=90),VLOOKUP(T907,'CAFCO 400 ENSAYO'!$B$7:$D$43,2,FALSE),0)+IF(AND(M907="Ensayo Idiem",L907="Cafco 400",C907="IN",G907=4,I907=120),VLOOKUP(T907,'CAFCO 400 ENSAYO'!$B$7:$D$43,3,FALSE),0)</f>
        <v>0</v>
      </c>
      <c r="O907" s="96">
        <f t="shared" ref="O907:O970" si="96">((IF(L907="Blaze Shield II",((K907*N907*0.43)/38),IF(L907="Cafco 400",((K907*N907*0.43)/23),IF(L907="Cafco 300",((K907*N907*0.43)/31.16),0)))))</f>
        <v>0</v>
      </c>
      <c r="P907" s="132" t="str">
        <f t="shared" si="91"/>
        <v>N/A</v>
      </c>
      <c r="Q907" s="132" t="str">
        <f t="shared" si="92"/>
        <v>N/A</v>
      </c>
      <c r="R907" s="132" t="str">
        <f t="shared" si="93"/>
        <v>NO CERT.</v>
      </c>
      <c r="S907" s="132" t="e">
        <f t="shared" si="94"/>
        <v>#N/A</v>
      </c>
      <c r="T907" s="133" t="e">
        <f>+IF(J907=LOOKUP(J907,'CAFCO 300 IDIEM TABLAS'!$J$4:$J$40),'CALCULO MORTERO'!J907,MROUND('CALCULO MORTERO'!J907,10))</f>
        <v>#N/A</v>
      </c>
      <c r="U907" s="134">
        <f t="shared" si="95"/>
        <v>0</v>
      </c>
    </row>
    <row r="908" spans="1:21" x14ac:dyDescent="0.25">
      <c r="A908" s="118">
        <f>+CUBICACION!D902</f>
        <v>0</v>
      </c>
      <c r="B908" s="819">
        <f>+CUBICACION!E902</f>
        <v>0</v>
      </c>
      <c r="C908" s="675">
        <f>+CUBICACION!F902</f>
        <v>0</v>
      </c>
      <c r="D908" s="118"/>
      <c r="E908" s="118"/>
      <c r="F908" s="820"/>
      <c r="G908" s="675">
        <f>+CUBICACION!J902</f>
        <v>0</v>
      </c>
      <c r="H908" s="118"/>
      <c r="I908" s="821">
        <f>+CUBICACION!L902</f>
        <v>0</v>
      </c>
      <c r="J908" s="64">
        <f>+CUBICACION!M902</f>
        <v>0</v>
      </c>
      <c r="K908" s="822" t="str">
        <f>+CUBICACION!N902</f>
        <v/>
      </c>
      <c r="L908" s="118">
        <f>+CUBICACION!O902</f>
        <v>0</v>
      </c>
      <c r="M908" s="823">
        <f>+CUBICACION!P902</f>
        <v>0</v>
      </c>
      <c r="N908" s="902">
        <f>ROUND(IF(AND(L908="Blaze Shield II",M908="Software Idiem",C908="IN",G908=4),((('BLAZE SHIELD II'!$D$4*('CALCULO MORTERO'!I908^2)+'BLAZE SHIELD II'!$D$5*'CALCULO MORTERO'!I908+'BLAZE SHIELD II'!$D$6)*LN(J908))+('BLAZE SHIELD II'!$D$7*('CALCULO MORTERO'!I908^2)+'BLAZE SHIELD II'!$D$8*'CALCULO MORTERO'!I908+'BLAZE SHIELD II'!$D$9)),0)+IF(AND(L908="Blaze Shield II",M908="Software Idiem",C908="Cj"),((('BLAZE SHIELD II'!$H$4*('CALCULO MORTERO'!I908^2)+'BLAZE SHIELD II'!$H$5*'CALCULO MORTERO'!I908+'BLAZE SHIELD II'!$H$6)*LN(J908))+('BLAZE SHIELD II'!$H$7*('CALCULO MORTERO'!I908^2)+'BLAZE SHIELD II'!$H$8*'CALCULO MORTERO'!I908+'BLAZE SHIELD II'!$H$9)),0)+IF(AND(L908="Blaze Shield II",M908="Software Idiem",C908="C"),((('BLAZE SHIELD II'!$L$4*('CALCULO MORTERO'!I908^2)+'BLAZE SHIELD II'!$L$5*'CALCULO MORTERO'!I908+'BLAZE SHIELD II'!$L$6)*LN(J908))+('BLAZE SHIELD II'!$L$7*('CALCULO MORTERO'!I908^2)+'BLAZE SHIELD II'!$L$8*'CALCULO MORTERO'!I908+'BLAZE SHIELD II'!$L$9)),0)+IF(AND(L908="Blaze Shield II",M908="Software Idiem",C908="L"),((('BLAZE SHIELD II'!$L$4*('CALCULO MORTERO'!I908^2)+'BLAZE SHIELD II'!$L$5*'CALCULO MORTERO'!I908+'BLAZE SHIELD II'!$L$6)*LN(J908))+('BLAZE SHIELD II'!$L$7*('CALCULO MORTERO'!I908^2)+'BLAZE SHIELD II'!$L$8*'CALCULO MORTERO'!I908+'BLAZE SHIELD II'!$L$9)),0)+IF(AND(L908="Blaze Shield II",M908="Software Idiem",C908="IN",G908=3),((('BLAZE SHIELD II'!$H$14*('CALCULO MORTERO'!I908^2)+'BLAZE SHIELD II'!$H$15*'CALCULO MORTERO'!I908+'BLAZE SHIELD II'!$H$16)*LN(J908))+('BLAZE SHIELD II'!$H$17*('CALCULO MORTERO'!I908^2)+'BLAZE SHIELD II'!$H$18*'CALCULO MORTERO'!I908+'BLAZE SHIELD II'!$H$19)),0),0)+ROUND(IF(AND(L908="Cafco 400",M908="Software Idiem",C908="IN",G908=4),((('CAFCO 400 '!$H$7*(J908^4)+'CAFCO 400 '!$H$8*(J908^3)+'CAFCO 400 '!$H$9*(J908^2)+'CAFCO 400 '!$H$10*J908+'CAFCO 400 '!$H$11)*U908^2)+(('CAFCO 400 '!$H$12*(J908^3)+'CAFCO 400 '!$H$13*(J908^2)+'CAFCO 400 '!$H$14*J908+'CAFCO 400 '!$H$15)*U908)+('CAFCO 400 '!$H$16*(J908^2)+'CAFCO 400 '!$H$17*J908+'CAFCO 400 '!$H$18)),0)+IF(AND(L908="Cafco 400",M908="Software Idiem",C908="Cj"),(((('CAFCO 400 '!$D$7*LN(J908)+'CAFCO 400 '!$D$8)*U908^2)+(('CAFCO 400 '!$D$9*LN(J908)+'CAFCO 400 '!$D$10)*U908)+('CAFCO 400 '!$D$11*LN(J908)+'CAFCO 400 '!$D$12))),0)+IF(AND(L908="Cafco 400",M908="Software Idiem",C908="C"),((('CAFCO 400 '!$L$7*(J908^3)+'CAFCO 400 '!$L$8*(J908^2)+'CAFCO 400 '!$L$9*J908+'CAFCO 400 '!$L$10)*U908^2)+(('CAFCO 400 '!$L$11*(J908^3)+'CAFCO 400 '!$L$12*(J908^2)+'CAFCO 400 '!$L$13*J908+'CAFCO 400 '!$L$14)*U908)+('CAFCO 400 '!$L$15*LN(J908)+'CAFCO 400 '!$L$16)),0)+IF(AND(L908="Cafco 400",M908="Software Idiem",C908="L"),((('CAFCO 400 '!$L$7*(J908^3)+'CAFCO 400 '!$L$8*(J908^2)+'CAFCO 400 '!$L$9*J908+'CAFCO 400 '!$L$10)*U908^2)+(('CAFCO 400 '!$L$11*(J908^3)+'CAFCO 400 '!$L$12*(J908^2)+'CAFCO 400 '!$L$13*J908+'CAFCO 400 '!$L$14)*U908)+('CAFCO 400 '!$L$15*LN(J908)+'CAFCO 400 '!$L$16)),0)+IF(AND(L908="Cafco 400",M908="Software Idiem",C908="IN",G908=3),((('CAFCO 400 '!$D$23*(J908^2)+'CAFCO 400 '!$D$24*(J908)+'CAFCO 400 '!$D$25)*U908^2)+(('CAFCO 400 '!$D$26*(J908^2)+'CAFCO 400 '!$D$27*J908+'CAFCO 400 '!$D$28)*U908)+('CAFCO 400 '!$D$29*(J908^2)+'CAFCO 400 '!$D$30*J908+'CAFCO 400 '!$D$31)),0),0)+IF(AND(L908="Cafco 300",J908&gt;=95,J908&lt;=240,C908="Cj",I908=90),VLOOKUP(T908,'CAFCO 300 IDIEM TABLAS'!$B$4:$D$23,2,FALSE),0)+IF(AND(L908="Cafco 300",J908&gt;=95,J908&lt;=240,C908="Cj",I908=120),VLOOKUP(T908,'CAFCO 300 IDIEM TABLAS'!$B$4:$D$23,3,FALSE),0)+IF(AND(L908="Cafco 300",J908&gt;=95,J908&lt;=400,G908=3,C908="IN",I908=90),VLOOKUP(T908,'CAFCO 300 IDIEM TABLAS'!$F$4:$H$35,2,FALSE),0)+IF(AND(L908="Cafco 300",J908&gt;=95,J908&lt;=400,G908=3,C908="IN",I908=120),VLOOKUP(T908,'CAFCO 300 IDIEM TABLAS'!$F$4:$H$35,3,FALSE),0)+IF(AND(L908="Cafco 300",J908&gt;=95,J908&lt;=450,G908=4,C908="IN",I908=90),VLOOKUP(T908,'CAFCO 300 IDIEM TABLAS'!$J$4:$L$40,2,FALSE),0)+IF(AND(L908="Cafco 300",J908&gt;=95,J908&lt;=450,G908=4,C908="IN",I908=120),VLOOKUP(T908,'CAFCO 300 IDIEM TABLAS'!$J$4:$L$40,3,FALSE),0)+IF(AND(M908="Ensayo Idiem",L908="Cafco 400",C908="IN",G908=4,I908=90),VLOOKUP(T908,'CAFCO 400 ENSAYO'!$B$7:$D$43,2,FALSE),0)+IF(AND(M908="Ensayo Idiem",L908="Cafco 400",C908="IN",G908=4,I908=120),VLOOKUP(T908,'CAFCO 400 ENSAYO'!$B$7:$D$43,3,FALSE),0)</f>
        <v>0</v>
      </c>
      <c r="O908" s="96">
        <f t="shared" si="96"/>
        <v>0</v>
      </c>
      <c r="P908" s="95" t="str">
        <f t="shared" si="91"/>
        <v>N/A</v>
      </c>
      <c r="Q908" s="95" t="str">
        <f t="shared" si="92"/>
        <v>N/A</v>
      </c>
      <c r="R908" s="95" t="str">
        <f t="shared" si="93"/>
        <v>NO CERT.</v>
      </c>
      <c r="S908" s="95" t="e">
        <f t="shared" si="94"/>
        <v>#N/A</v>
      </c>
      <c r="T908" s="119" t="e">
        <f>+IF(J908=LOOKUP(J908,'CAFCO 300 IDIEM TABLAS'!$J$4:$J$40),'CALCULO MORTERO'!J908,MROUND('CALCULO MORTERO'!J908,10))</f>
        <v>#N/A</v>
      </c>
      <c r="U908" s="118">
        <f t="shared" si="95"/>
        <v>0</v>
      </c>
    </row>
    <row r="909" spans="1:21" x14ac:dyDescent="0.25">
      <c r="A909" s="118">
        <f>+CUBICACION!D903</f>
        <v>0</v>
      </c>
      <c r="B909" s="819">
        <f>+CUBICACION!E903</f>
        <v>0</v>
      </c>
      <c r="C909" s="675">
        <f>+CUBICACION!F903</f>
        <v>0</v>
      </c>
      <c r="D909" s="118"/>
      <c r="E909" s="118"/>
      <c r="F909" s="820"/>
      <c r="G909" s="675">
        <f>+CUBICACION!J903</f>
        <v>0</v>
      </c>
      <c r="H909" s="118"/>
      <c r="I909" s="821">
        <f>+CUBICACION!L903</f>
        <v>0</v>
      </c>
      <c r="J909" s="64">
        <f>+CUBICACION!M903</f>
        <v>0</v>
      </c>
      <c r="K909" s="822" t="str">
        <f>+CUBICACION!N903</f>
        <v/>
      </c>
      <c r="L909" s="118">
        <f>+CUBICACION!O903</f>
        <v>0</v>
      </c>
      <c r="M909" s="823">
        <f>+CUBICACION!P903</f>
        <v>0</v>
      </c>
      <c r="N909" s="902">
        <f>ROUND(IF(AND(L909="Blaze Shield II",M909="Software Idiem",C909="IN",G909=4),((('BLAZE SHIELD II'!$D$4*('CALCULO MORTERO'!I909^2)+'BLAZE SHIELD II'!$D$5*'CALCULO MORTERO'!I909+'BLAZE SHIELD II'!$D$6)*LN(J909))+('BLAZE SHIELD II'!$D$7*('CALCULO MORTERO'!I909^2)+'BLAZE SHIELD II'!$D$8*'CALCULO MORTERO'!I909+'BLAZE SHIELD II'!$D$9)),0)+IF(AND(L909="Blaze Shield II",M909="Software Idiem",C909="Cj"),((('BLAZE SHIELD II'!$H$4*('CALCULO MORTERO'!I909^2)+'BLAZE SHIELD II'!$H$5*'CALCULO MORTERO'!I909+'BLAZE SHIELD II'!$H$6)*LN(J909))+('BLAZE SHIELD II'!$H$7*('CALCULO MORTERO'!I909^2)+'BLAZE SHIELD II'!$H$8*'CALCULO MORTERO'!I909+'BLAZE SHIELD II'!$H$9)),0)+IF(AND(L909="Blaze Shield II",M909="Software Idiem",C909="C"),((('BLAZE SHIELD II'!$L$4*('CALCULO MORTERO'!I909^2)+'BLAZE SHIELD II'!$L$5*'CALCULO MORTERO'!I909+'BLAZE SHIELD II'!$L$6)*LN(J909))+('BLAZE SHIELD II'!$L$7*('CALCULO MORTERO'!I909^2)+'BLAZE SHIELD II'!$L$8*'CALCULO MORTERO'!I909+'BLAZE SHIELD II'!$L$9)),0)+IF(AND(L909="Blaze Shield II",M909="Software Idiem",C909="L"),((('BLAZE SHIELD II'!$L$4*('CALCULO MORTERO'!I909^2)+'BLAZE SHIELD II'!$L$5*'CALCULO MORTERO'!I909+'BLAZE SHIELD II'!$L$6)*LN(J909))+('BLAZE SHIELD II'!$L$7*('CALCULO MORTERO'!I909^2)+'BLAZE SHIELD II'!$L$8*'CALCULO MORTERO'!I909+'BLAZE SHIELD II'!$L$9)),0)+IF(AND(L909="Blaze Shield II",M909="Software Idiem",C909="IN",G909=3),((('BLAZE SHIELD II'!$H$14*('CALCULO MORTERO'!I909^2)+'BLAZE SHIELD II'!$H$15*'CALCULO MORTERO'!I909+'BLAZE SHIELD II'!$H$16)*LN(J909))+('BLAZE SHIELD II'!$H$17*('CALCULO MORTERO'!I909^2)+'BLAZE SHIELD II'!$H$18*'CALCULO MORTERO'!I909+'BLAZE SHIELD II'!$H$19)),0),0)+ROUND(IF(AND(L909="Cafco 400",M909="Software Idiem",C909="IN",G909=4),((('CAFCO 400 '!$H$7*(J909^4)+'CAFCO 400 '!$H$8*(J909^3)+'CAFCO 400 '!$H$9*(J909^2)+'CAFCO 400 '!$H$10*J909+'CAFCO 400 '!$H$11)*U909^2)+(('CAFCO 400 '!$H$12*(J909^3)+'CAFCO 400 '!$H$13*(J909^2)+'CAFCO 400 '!$H$14*J909+'CAFCO 400 '!$H$15)*U909)+('CAFCO 400 '!$H$16*(J909^2)+'CAFCO 400 '!$H$17*J909+'CAFCO 400 '!$H$18)),0)+IF(AND(L909="Cafco 400",M909="Software Idiem",C909="Cj"),(((('CAFCO 400 '!$D$7*LN(J909)+'CAFCO 400 '!$D$8)*U909^2)+(('CAFCO 400 '!$D$9*LN(J909)+'CAFCO 400 '!$D$10)*U909)+('CAFCO 400 '!$D$11*LN(J909)+'CAFCO 400 '!$D$12))),0)+IF(AND(L909="Cafco 400",M909="Software Idiem",C909="C"),((('CAFCO 400 '!$L$7*(J909^3)+'CAFCO 400 '!$L$8*(J909^2)+'CAFCO 400 '!$L$9*J909+'CAFCO 400 '!$L$10)*U909^2)+(('CAFCO 400 '!$L$11*(J909^3)+'CAFCO 400 '!$L$12*(J909^2)+'CAFCO 400 '!$L$13*J909+'CAFCO 400 '!$L$14)*U909)+('CAFCO 400 '!$L$15*LN(J909)+'CAFCO 400 '!$L$16)),0)+IF(AND(L909="Cafco 400",M909="Software Idiem",C909="L"),((('CAFCO 400 '!$L$7*(J909^3)+'CAFCO 400 '!$L$8*(J909^2)+'CAFCO 400 '!$L$9*J909+'CAFCO 400 '!$L$10)*U909^2)+(('CAFCO 400 '!$L$11*(J909^3)+'CAFCO 400 '!$L$12*(J909^2)+'CAFCO 400 '!$L$13*J909+'CAFCO 400 '!$L$14)*U909)+('CAFCO 400 '!$L$15*LN(J909)+'CAFCO 400 '!$L$16)),0)+IF(AND(L909="Cafco 400",M909="Software Idiem",C909="IN",G909=3),((('CAFCO 400 '!$D$23*(J909^2)+'CAFCO 400 '!$D$24*(J909)+'CAFCO 400 '!$D$25)*U909^2)+(('CAFCO 400 '!$D$26*(J909^2)+'CAFCO 400 '!$D$27*J909+'CAFCO 400 '!$D$28)*U909)+('CAFCO 400 '!$D$29*(J909^2)+'CAFCO 400 '!$D$30*J909+'CAFCO 400 '!$D$31)),0),0)+IF(AND(L909="Cafco 300",J909&gt;=95,J909&lt;=240,C909="Cj",I909=90),VLOOKUP(T909,'CAFCO 300 IDIEM TABLAS'!$B$4:$D$23,2,FALSE),0)+IF(AND(L909="Cafco 300",J909&gt;=95,J909&lt;=240,C909="Cj",I909=120),VLOOKUP(T909,'CAFCO 300 IDIEM TABLAS'!$B$4:$D$23,3,FALSE),0)+IF(AND(L909="Cafco 300",J909&gt;=95,J909&lt;=400,G909=3,C909="IN",I909=90),VLOOKUP(T909,'CAFCO 300 IDIEM TABLAS'!$F$4:$H$35,2,FALSE),0)+IF(AND(L909="Cafco 300",J909&gt;=95,J909&lt;=400,G909=3,C909="IN",I909=120),VLOOKUP(T909,'CAFCO 300 IDIEM TABLAS'!$F$4:$H$35,3,FALSE),0)+IF(AND(L909="Cafco 300",J909&gt;=95,J909&lt;=450,G909=4,C909="IN",I909=90),VLOOKUP(T909,'CAFCO 300 IDIEM TABLAS'!$J$4:$L$40,2,FALSE),0)+IF(AND(L909="Cafco 300",J909&gt;=95,J909&lt;=450,G909=4,C909="IN",I909=120),VLOOKUP(T909,'CAFCO 300 IDIEM TABLAS'!$J$4:$L$40,3,FALSE),0)+IF(AND(M909="Ensayo Idiem",L909="Cafco 400",C909="IN",G909=4,I909=90),VLOOKUP(T909,'CAFCO 400 ENSAYO'!$B$7:$D$43,2,FALSE),0)+IF(AND(M909="Ensayo Idiem",L909="Cafco 400",C909="IN",G909=4,I909=120),VLOOKUP(T909,'CAFCO 400 ENSAYO'!$B$7:$D$43,3,FALSE),0)</f>
        <v>0</v>
      </c>
      <c r="O909" s="96">
        <f t="shared" si="96"/>
        <v>0</v>
      </c>
      <c r="P909" s="132" t="str">
        <f t="shared" si="91"/>
        <v>N/A</v>
      </c>
      <c r="Q909" s="132" t="str">
        <f t="shared" si="92"/>
        <v>N/A</v>
      </c>
      <c r="R909" s="132" t="str">
        <f t="shared" si="93"/>
        <v>NO CERT.</v>
      </c>
      <c r="S909" s="132" t="e">
        <f t="shared" si="94"/>
        <v>#N/A</v>
      </c>
      <c r="T909" s="133" t="e">
        <f>+IF(J909=LOOKUP(J909,'CAFCO 300 IDIEM TABLAS'!$J$4:$J$40),'CALCULO MORTERO'!J909,MROUND('CALCULO MORTERO'!J909,10))</f>
        <v>#N/A</v>
      </c>
      <c r="U909" s="134">
        <f t="shared" si="95"/>
        <v>0</v>
      </c>
    </row>
    <row r="910" spans="1:21" x14ac:dyDescent="0.25">
      <c r="A910" s="118">
        <f>+CUBICACION!D904</f>
        <v>0</v>
      </c>
      <c r="B910" s="819">
        <f>+CUBICACION!E904</f>
        <v>0</v>
      </c>
      <c r="C910" s="675">
        <f>+CUBICACION!F904</f>
        <v>0</v>
      </c>
      <c r="D910" s="118"/>
      <c r="E910" s="118"/>
      <c r="F910" s="820"/>
      <c r="G910" s="675">
        <f>+CUBICACION!J904</f>
        <v>0</v>
      </c>
      <c r="H910" s="118"/>
      <c r="I910" s="821">
        <f>+CUBICACION!L904</f>
        <v>0</v>
      </c>
      <c r="J910" s="64">
        <f>+CUBICACION!M904</f>
        <v>0</v>
      </c>
      <c r="K910" s="822" t="str">
        <f>+CUBICACION!N904</f>
        <v/>
      </c>
      <c r="L910" s="118">
        <f>+CUBICACION!O904</f>
        <v>0</v>
      </c>
      <c r="M910" s="823">
        <f>+CUBICACION!P904</f>
        <v>0</v>
      </c>
      <c r="N910" s="902">
        <f>ROUND(IF(AND(L910="Blaze Shield II",M910="Software Idiem",C910="IN",G910=4),((('BLAZE SHIELD II'!$D$4*('CALCULO MORTERO'!I910^2)+'BLAZE SHIELD II'!$D$5*'CALCULO MORTERO'!I910+'BLAZE SHIELD II'!$D$6)*LN(J910))+('BLAZE SHIELD II'!$D$7*('CALCULO MORTERO'!I910^2)+'BLAZE SHIELD II'!$D$8*'CALCULO MORTERO'!I910+'BLAZE SHIELD II'!$D$9)),0)+IF(AND(L910="Blaze Shield II",M910="Software Idiem",C910="Cj"),((('BLAZE SHIELD II'!$H$4*('CALCULO MORTERO'!I910^2)+'BLAZE SHIELD II'!$H$5*'CALCULO MORTERO'!I910+'BLAZE SHIELD II'!$H$6)*LN(J910))+('BLAZE SHIELD II'!$H$7*('CALCULO MORTERO'!I910^2)+'BLAZE SHIELD II'!$H$8*'CALCULO MORTERO'!I910+'BLAZE SHIELD II'!$H$9)),0)+IF(AND(L910="Blaze Shield II",M910="Software Idiem",C910="C"),((('BLAZE SHIELD II'!$L$4*('CALCULO MORTERO'!I910^2)+'BLAZE SHIELD II'!$L$5*'CALCULO MORTERO'!I910+'BLAZE SHIELD II'!$L$6)*LN(J910))+('BLAZE SHIELD II'!$L$7*('CALCULO MORTERO'!I910^2)+'BLAZE SHIELD II'!$L$8*'CALCULO MORTERO'!I910+'BLAZE SHIELD II'!$L$9)),0)+IF(AND(L910="Blaze Shield II",M910="Software Idiem",C910="L"),((('BLAZE SHIELD II'!$L$4*('CALCULO MORTERO'!I910^2)+'BLAZE SHIELD II'!$L$5*'CALCULO MORTERO'!I910+'BLAZE SHIELD II'!$L$6)*LN(J910))+('BLAZE SHIELD II'!$L$7*('CALCULO MORTERO'!I910^2)+'BLAZE SHIELD II'!$L$8*'CALCULO MORTERO'!I910+'BLAZE SHIELD II'!$L$9)),0)+IF(AND(L910="Blaze Shield II",M910="Software Idiem",C910="IN",G910=3),((('BLAZE SHIELD II'!$H$14*('CALCULO MORTERO'!I910^2)+'BLAZE SHIELD II'!$H$15*'CALCULO MORTERO'!I910+'BLAZE SHIELD II'!$H$16)*LN(J910))+('BLAZE SHIELD II'!$H$17*('CALCULO MORTERO'!I910^2)+'BLAZE SHIELD II'!$H$18*'CALCULO MORTERO'!I910+'BLAZE SHIELD II'!$H$19)),0),0)+ROUND(IF(AND(L910="Cafco 400",M910="Software Idiem",C910="IN",G910=4),((('CAFCO 400 '!$H$7*(J910^4)+'CAFCO 400 '!$H$8*(J910^3)+'CAFCO 400 '!$H$9*(J910^2)+'CAFCO 400 '!$H$10*J910+'CAFCO 400 '!$H$11)*U910^2)+(('CAFCO 400 '!$H$12*(J910^3)+'CAFCO 400 '!$H$13*(J910^2)+'CAFCO 400 '!$H$14*J910+'CAFCO 400 '!$H$15)*U910)+('CAFCO 400 '!$H$16*(J910^2)+'CAFCO 400 '!$H$17*J910+'CAFCO 400 '!$H$18)),0)+IF(AND(L910="Cafco 400",M910="Software Idiem",C910="Cj"),(((('CAFCO 400 '!$D$7*LN(J910)+'CAFCO 400 '!$D$8)*U910^2)+(('CAFCO 400 '!$D$9*LN(J910)+'CAFCO 400 '!$D$10)*U910)+('CAFCO 400 '!$D$11*LN(J910)+'CAFCO 400 '!$D$12))),0)+IF(AND(L910="Cafco 400",M910="Software Idiem",C910="C"),((('CAFCO 400 '!$L$7*(J910^3)+'CAFCO 400 '!$L$8*(J910^2)+'CAFCO 400 '!$L$9*J910+'CAFCO 400 '!$L$10)*U910^2)+(('CAFCO 400 '!$L$11*(J910^3)+'CAFCO 400 '!$L$12*(J910^2)+'CAFCO 400 '!$L$13*J910+'CAFCO 400 '!$L$14)*U910)+('CAFCO 400 '!$L$15*LN(J910)+'CAFCO 400 '!$L$16)),0)+IF(AND(L910="Cafco 400",M910="Software Idiem",C910="L"),((('CAFCO 400 '!$L$7*(J910^3)+'CAFCO 400 '!$L$8*(J910^2)+'CAFCO 400 '!$L$9*J910+'CAFCO 400 '!$L$10)*U910^2)+(('CAFCO 400 '!$L$11*(J910^3)+'CAFCO 400 '!$L$12*(J910^2)+'CAFCO 400 '!$L$13*J910+'CAFCO 400 '!$L$14)*U910)+('CAFCO 400 '!$L$15*LN(J910)+'CAFCO 400 '!$L$16)),0)+IF(AND(L910="Cafco 400",M910="Software Idiem",C910="IN",G910=3),((('CAFCO 400 '!$D$23*(J910^2)+'CAFCO 400 '!$D$24*(J910)+'CAFCO 400 '!$D$25)*U910^2)+(('CAFCO 400 '!$D$26*(J910^2)+'CAFCO 400 '!$D$27*J910+'CAFCO 400 '!$D$28)*U910)+('CAFCO 400 '!$D$29*(J910^2)+'CAFCO 400 '!$D$30*J910+'CAFCO 400 '!$D$31)),0),0)+IF(AND(L910="Cafco 300",J910&gt;=95,J910&lt;=240,C910="Cj",I910=90),VLOOKUP(T910,'CAFCO 300 IDIEM TABLAS'!$B$4:$D$23,2,FALSE),0)+IF(AND(L910="Cafco 300",J910&gt;=95,J910&lt;=240,C910="Cj",I910=120),VLOOKUP(T910,'CAFCO 300 IDIEM TABLAS'!$B$4:$D$23,3,FALSE),0)+IF(AND(L910="Cafco 300",J910&gt;=95,J910&lt;=400,G910=3,C910="IN",I910=90),VLOOKUP(T910,'CAFCO 300 IDIEM TABLAS'!$F$4:$H$35,2,FALSE),0)+IF(AND(L910="Cafco 300",J910&gt;=95,J910&lt;=400,G910=3,C910="IN",I910=120),VLOOKUP(T910,'CAFCO 300 IDIEM TABLAS'!$F$4:$H$35,3,FALSE),0)+IF(AND(L910="Cafco 300",J910&gt;=95,J910&lt;=450,G910=4,C910="IN",I910=90),VLOOKUP(T910,'CAFCO 300 IDIEM TABLAS'!$J$4:$L$40,2,FALSE),0)+IF(AND(L910="Cafco 300",J910&gt;=95,J910&lt;=450,G910=4,C910="IN",I910=120),VLOOKUP(T910,'CAFCO 300 IDIEM TABLAS'!$J$4:$L$40,3,FALSE),0)+IF(AND(M910="Ensayo Idiem",L910="Cafco 400",C910="IN",G910=4,I910=90),VLOOKUP(T910,'CAFCO 400 ENSAYO'!$B$7:$D$43,2,FALSE),0)+IF(AND(M910="Ensayo Idiem",L910="Cafco 400",C910="IN",G910=4,I910=120),VLOOKUP(T910,'CAFCO 400 ENSAYO'!$B$7:$D$43,3,FALSE),0)</f>
        <v>0</v>
      </c>
      <c r="O910" s="96">
        <f t="shared" si="96"/>
        <v>0</v>
      </c>
      <c r="P910" s="95" t="str">
        <f t="shared" si="91"/>
        <v>N/A</v>
      </c>
      <c r="Q910" s="95" t="str">
        <f t="shared" si="92"/>
        <v>N/A</v>
      </c>
      <c r="R910" s="95" t="str">
        <f t="shared" si="93"/>
        <v>NO CERT.</v>
      </c>
      <c r="S910" s="95" t="e">
        <f t="shared" si="94"/>
        <v>#N/A</v>
      </c>
      <c r="T910" s="119" t="e">
        <f>+IF(J910=LOOKUP(J910,'CAFCO 300 IDIEM TABLAS'!$J$4:$J$40),'CALCULO MORTERO'!J910,MROUND('CALCULO MORTERO'!J910,10))</f>
        <v>#N/A</v>
      </c>
      <c r="U910" s="118">
        <f t="shared" si="95"/>
        <v>0</v>
      </c>
    </row>
    <row r="911" spans="1:21" x14ac:dyDescent="0.25">
      <c r="A911" s="118">
        <f>+CUBICACION!D905</f>
        <v>0</v>
      </c>
      <c r="B911" s="819">
        <f>+CUBICACION!E905</f>
        <v>0</v>
      </c>
      <c r="C911" s="675">
        <f>+CUBICACION!F905</f>
        <v>0</v>
      </c>
      <c r="D911" s="118"/>
      <c r="E911" s="118"/>
      <c r="F911" s="820"/>
      <c r="G911" s="675">
        <f>+CUBICACION!J905</f>
        <v>0</v>
      </c>
      <c r="H911" s="118"/>
      <c r="I911" s="821">
        <f>+CUBICACION!L905</f>
        <v>0</v>
      </c>
      <c r="J911" s="64">
        <f>+CUBICACION!M905</f>
        <v>0</v>
      </c>
      <c r="K911" s="822" t="str">
        <f>+CUBICACION!N905</f>
        <v/>
      </c>
      <c r="L911" s="118">
        <f>+CUBICACION!O905</f>
        <v>0</v>
      </c>
      <c r="M911" s="823">
        <f>+CUBICACION!P905</f>
        <v>0</v>
      </c>
      <c r="N911" s="902">
        <f>ROUND(IF(AND(L911="Blaze Shield II",M911="Software Idiem",C911="IN",G911=4),((('BLAZE SHIELD II'!$D$4*('CALCULO MORTERO'!I911^2)+'BLAZE SHIELD II'!$D$5*'CALCULO MORTERO'!I911+'BLAZE SHIELD II'!$D$6)*LN(J911))+('BLAZE SHIELD II'!$D$7*('CALCULO MORTERO'!I911^2)+'BLAZE SHIELD II'!$D$8*'CALCULO MORTERO'!I911+'BLAZE SHIELD II'!$D$9)),0)+IF(AND(L911="Blaze Shield II",M911="Software Idiem",C911="Cj"),((('BLAZE SHIELD II'!$H$4*('CALCULO MORTERO'!I911^2)+'BLAZE SHIELD II'!$H$5*'CALCULO MORTERO'!I911+'BLAZE SHIELD II'!$H$6)*LN(J911))+('BLAZE SHIELD II'!$H$7*('CALCULO MORTERO'!I911^2)+'BLAZE SHIELD II'!$H$8*'CALCULO MORTERO'!I911+'BLAZE SHIELD II'!$H$9)),0)+IF(AND(L911="Blaze Shield II",M911="Software Idiem",C911="C"),((('BLAZE SHIELD II'!$L$4*('CALCULO MORTERO'!I911^2)+'BLAZE SHIELD II'!$L$5*'CALCULO MORTERO'!I911+'BLAZE SHIELD II'!$L$6)*LN(J911))+('BLAZE SHIELD II'!$L$7*('CALCULO MORTERO'!I911^2)+'BLAZE SHIELD II'!$L$8*'CALCULO MORTERO'!I911+'BLAZE SHIELD II'!$L$9)),0)+IF(AND(L911="Blaze Shield II",M911="Software Idiem",C911="L"),((('BLAZE SHIELD II'!$L$4*('CALCULO MORTERO'!I911^2)+'BLAZE SHIELD II'!$L$5*'CALCULO MORTERO'!I911+'BLAZE SHIELD II'!$L$6)*LN(J911))+('BLAZE SHIELD II'!$L$7*('CALCULO MORTERO'!I911^2)+'BLAZE SHIELD II'!$L$8*'CALCULO MORTERO'!I911+'BLAZE SHIELD II'!$L$9)),0)+IF(AND(L911="Blaze Shield II",M911="Software Idiem",C911="IN",G911=3),((('BLAZE SHIELD II'!$H$14*('CALCULO MORTERO'!I911^2)+'BLAZE SHIELD II'!$H$15*'CALCULO MORTERO'!I911+'BLAZE SHIELD II'!$H$16)*LN(J911))+('BLAZE SHIELD II'!$H$17*('CALCULO MORTERO'!I911^2)+'BLAZE SHIELD II'!$H$18*'CALCULO MORTERO'!I911+'BLAZE SHIELD II'!$H$19)),0),0)+ROUND(IF(AND(L911="Cafco 400",M911="Software Idiem",C911="IN",G911=4),((('CAFCO 400 '!$H$7*(J911^4)+'CAFCO 400 '!$H$8*(J911^3)+'CAFCO 400 '!$H$9*(J911^2)+'CAFCO 400 '!$H$10*J911+'CAFCO 400 '!$H$11)*U911^2)+(('CAFCO 400 '!$H$12*(J911^3)+'CAFCO 400 '!$H$13*(J911^2)+'CAFCO 400 '!$H$14*J911+'CAFCO 400 '!$H$15)*U911)+('CAFCO 400 '!$H$16*(J911^2)+'CAFCO 400 '!$H$17*J911+'CAFCO 400 '!$H$18)),0)+IF(AND(L911="Cafco 400",M911="Software Idiem",C911="Cj"),(((('CAFCO 400 '!$D$7*LN(J911)+'CAFCO 400 '!$D$8)*U911^2)+(('CAFCO 400 '!$D$9*LN(J911)+'CAFCO 400 '!$D$10)*U911)+('CAFCO 400 '!$D$11*LN(J911)+'CAFCO 400 '!$D$12))),0)+IF(AND(L911="Cafco 400",M911="Software Idiem",C911="C"),((('CAFCO 400 '!$L$7*(J911^3)+'CAFCO 400 '!$L$8*(J911^2)+'CAFCO 400 '!$L$9*J911+'CAFCO 400 '!$L$10)*U911^2)+(('CAFCO 400 '!$L$11*(J911^3)+'CAFCO 400 '!$L$12*(J911^2)+'CAFCO 400 '!$L$13*J911+'CAFCO 400 '!$L$14)*U911)+('CAFCO 400 '!$L$15*LN(J911)+'CAFCO 400 '!$L$16)),0)+IF(AND(L911="Cafco 400",M911="Software Idiem",C911="L"),((('CAFCO 400 '!$L$7*(J911^3)+'CAFCO 400 '!$L$8*(J911^2)+'CAFCO 400 '!$L$9*J911+'CAFCO 400 '!$L$10)*U911^2)+(('CAFCO 400 '!$L$11*(J911^3)+'CAFCO 400 '!$L$12*(J911^2)+'CAFCO 400 '!$L$13*J911+'CAFCO 400 '!$L$14)*U911)+('CAFCO 400 '!$L$15*LN(J911)+'CAFCO 400 '!$L$16)),0)+IF(AND(L911="Cafco 400",M911="Software Idiem",C911="IN",G911=3),((('CAFCO 400 '!$D$23*(J911^2)+'CAFCO 400 '!$D$24*(J911)+'CAFCO 400 '!$D$25)*U911^2)+(('CAFCO 400 '!$D$26*(J911^2)+'CAFCO 400 '!$D$27*J911+'CAFCO 400 '!$D$28)*U911)+('CAFCO 400 '!$D$29*(J911^2)+'CAFCO 400 '!$D$30*J911+'CAFCO 400 '!$D$31)),0),0)+IF(AND(L911="Cafco 300",J911&gt;=95,J911&lt;=240,C911="Cj",I911=90),VLOOKUP(T911,'CAFCO 300 IDIEM TABLAS'!$B$4:$D$23,2,FALSE),0)+IF(AND(L911="Cafco 300",J911&gt;=95,J911&lt;=240,C911="Cj",I911=120),VLOOKUP(T911,'CAFCO 300 IDIEM TABLAS'!$B$4:$D$23,3,FALSE),0)+IF(AND(L911="Cafco 300",J911&gt;=95,J911&lt;=400,G911=3,C911="IN",I911=90),VLOOKUP(T911,'CAFCO 300 IDIEM TABLAS'!$F$4:$H$35,2,FALSE),0)+IF(AND(L911="Cafco 300",J911&gt;=95,J911&lt;=400,G911=3,C911="IN",I911=120),VLOOKUP(T911,'CAFCO 300 IDIEM TABLAS'!$F$4:$H$35,3,FALSE),0)+IF(AND(L911="Cafco 300",J911&gt;=95,J911&lt;=450,G911=4,C911="IN",I911=90),VLOOKUP(T911,'CAFCO 300 IDIEM TABLAS'!$J$4:$L$40,2,FALSE),0)+IF(AND(L911="Cafco 300",J911&gt;=95,J911&lt;=450,G911=4,C911="IN",I911=120),VLOOKUP(T911,'CAFCO 300 IDIEM TABLAS'!$J$4:$L$40,3,FALSE),0)+IF(AND(M911="Ensayo Idiem",L911="Cafco 400",C911="IN",G911=4,I911=90),VLOOKUP(T911,'CAFCO 400 ENSAYO'!$B$7:$D$43,2,FALSE),0)+IF(AND(M911="Ensayo Idiem",L911="Cafco 400",C911="IN",G911=4,I911=120),VLOOKUP(T911,'CAFCO 400 ENSAYO'!$B$7:$D$43,3,FALSE),0)</f>
        <v>0</v>
      </c>
      <c r="O911" s="96">
        <f t="shared" si="96"/>
        <v>0</v>
      </c>
      <c r="P911" s="132" t="str">
        <f t="shared" si="91"/>
        <v>N/A</v>
      </c>
      <c r="Q911" s="132" t="str">
        <f t="shared" si="92"/>
        <v>N/A</v>
      </c>
      <c r="R911" s="132" t="str">
        <f t="shared" si="93"/>
        <v>NO CERT.</v>
      </c>
      <c r="S911" s="132" t="e">
        <f t="shared" si="94"/>
        <v>#N/A</v>
      </c>
      <c r="T911" s="133" t="e">
        <f>+IF(J911=LOOKUP(J911,'CAFCO 300 IDIEM TABLAS'!$J$4:$J$40),'CALCULO MORTERO'!J911,MROUND('CALCULO MORTERO'!J911,10))</f>
        <v>#N/A</v>
      </c>
      <c r="U911" s="134">
        <f t="shared" si="95"/>
        <v>0</v>
      </c>
    </row>
    <row r="912" spans="1:21" x14ac:dyDescent="0.25">
      <c r="A912" s="118">
        <f>+CUBICACION!D906</f>
        <v>0</v>
      </c>
      <c r="B912" s="819">
        <f>+CUBICACION!E906</f>
        <v>0</v>
      </c>
      <c r="C912" s="675">
        <f>+CUBICACION!F906</f>
        <v>0</v>
      </c>
      <c r="D912" s="118"/>
      <c r="E912" s="118"/>
      <c r="F912" s="820"/>
      <c r="G912" s="675">
        <f>+CUBICACION!J906</f>
        <v>0</v>
      </c>
      <c r="H912" s="118"/>
      <c r="I912" s="821">
        <f>+CUBICACION!L906</f>
        <v>0</v>
      </c>
      <c r="J912" s="64">
        <f>+CUBICACION!M906</f>
        <v>0</v>
      </c>
      <c r="K912" s="822" t="str">
        <f>+CUBICACION!N906</f>
        <v/>
      </c>
      <c r="L912" s="118">
        <f>+CUBICACION!O906</f>
        <v>0</v>
      </c>
      <c r="M912" s="823">
        <f>+CUBICACION!P906</f>
        <v>0</v>
      </c>
      <c r="N912" s="902">
        <f>ROUND(IF(AND(L912="Blaze Shield II",M912="Software Idiem",C912="IN",G912=4),((('BLAZE SHIELD II'!$D$4*('CALCULO MORTERO'!I912^2)+'BLAZE SHIELD II'!$D$5*'CALCULO MORTERO'!I912+'BLAZE SHIELD II'!$D$6)*LN(J912))+('BLAZE SHIELD II'!$D$7*('CALCULO MORTERO'!I912^2)+'BLAZE SHIELD II'!$D$8*'CALCULO MORTERO'!I912+'BLAZE SHIELD II'!$D$9)),0)+IF(AND(L912="Blaze Shield II",M912="Software Idiem",C912="Cj"),((('BLAZE SHIELD II'!$H$4*('CALCULO MORTERO'!I912^2)+'BLAZE SHIELD II'!$H$5*'CALCULO MORTERO'!I912+'BLAZE SHIELD II'!$H$6)*LN(J912))+('BLAZE SHIELD II'!$H$7*('CALCULO MORTERO'!I912^2)+'BLAZE SHIELD II'!$H$8*'CALCULO MORTERO'!I912+'BLAZE SHIELD II'!$H$9)),0)+IF(AND(L912="Blaze Shield II",M912="Software Idiem",C912="C"),((('BLAZE SHIELD II'!$L$4*('CALCULO MORTERO'!I912^2)+'BLAZE SHIELD II'!$L$5*'CALCULO MORTERO'!I912+'BLAZE SHIELD II'!$L$6)*LN(J912))+('BLAZE SHIELD II'!$L$7*('CALCULO MORTERO'!I912^2)+'BLAZE SHIELD II'!$L$8*'CALCULO MORTERO'!I912+'BLAZE SHIELD II'!$L$9)),0)+IF(AND(L912="Blaze Shield II",M912="Software Idiem",C912="L"),((('BLAZE SHIELD II'!$L$4*('CALCULO MORTERO'!I912^2)+'BLAZE SHIELD II'!$L$5*'CALCULO MORTERO'!I912+'BLAZE SHIELD II'!$L$6)*LN(J912))+('BLAZE SHIELD II'!$L$7*('CALCULO MORTERO'!I912^2)+'BLAZE SHIELD II'!$L$8*'CALCULO MORTERO'!I912+'BLAZE SHIELD II'!$L$9)),0)+IF(AND(L912="Blaze Shield II",M912="Software Idiem",C912="IN",G912=3),((('BLAZE SHIELD II'!$H$14*('CALCULO MORTERO'!I912^2)+'BLAZE SHIELD II'!$H$15*'CALCULO MORTERO'!I912+'BLAZE SHIELD II'!$H$16)*LN(J912))+('BLAZE SHIELD II'!$H$17*('CALCULO MORTERO'!I912^2)+'BLAZE SHIELD II'!$H$18*'CALCULO MORTERO'!I912+'BLAZE SHIELD II'!$H$19)),0),0)+ROUND(IF(AND(L912="Cafco 400",M912="Software Idiem",C912="IN",G912=4),((('CAFCO 400 '!$H$7*(J912^4)+'CAFCO 400 '!$H$8*(J912^3)+'CAFCO 400 '!$H$9*(J912^2)+'CAFCO 400 '!$H$10*J912+'CAFCO 400 '!$H$11)*U912^2)+(('CAFCO 400 '!$H$12*(J912^3)+'CAFCO 400 '!$H$13*(J912^2)+'CAFCO 400 '!$H$14*J912+'CAFCO 400 '!$H$15)*U912)+('CAFCO 400 '!$H$16*(J912^2)+'CAFCO 400 '!$H$17*J912+'CAFCO 400 '!$H$18)),0)+IF(AND(L912="Cafco 400",M912="Software Idiem",C912="Cj"),(((('CAFCO 400 '!$D$7*LN(J912)+'CAFCO 400 '!$D$8)*U912^2)+(('CAFCO 400 '!$D$9*LN(J912)+'CAFCO 400 '!$D$10)*U912)+('CAFCO 400 '!$D$11*LN(J912)+'CAFCO 400 '!$D$12))),0)+IF(AND(L912="Cafco 400",M912="Software Idiem",C912="C"),((('CAFCO 400 '!$L$7*(J912^3)+'CAFCO 400 '!$L$8*(J912^2)+'CAFCO 400 '!$L$9*J912+'CAFCO 400 '!$L$10)*U912^2)+(('CAFCO 400 '!$L$11*(J912^3)+'CAFCO 400 '!$L$12*(J912^2)+'CAFCO 400 '!$L$13*J912+'CAFCO 400 '!$L$14)*U912)+('CAFCO 400 '!$L$15*LN(J912)+'CAFCO 400 '!$L$16)),0)+IF(AND(L912="Cafco 400",M912="Software Idiem",C912="L"),((('CAFCO 400 '!$L$7*(J912^3)+'CAFCO 400 '!$L$8*(J912^2)+'CAFCO 400 '!$L$9*J912+'CAFCO 400 '!$L$10)*U912^2)+(('CAFCO 400 '!$L$11*(J912^3)+'CAFCO 400 '!$L$12*(J912^2)+'CAFCO 400 '!$L$13*J912+'CAFCO 400 '!$L$14)*U912)+('CAFCO 400 '!$L$15*LN(J912)+'CAFCO 400 '!$L$16)),0)+IF(AND(L912="Cafco 400",M912="Software Idiem",C912="IN",G912=3),((('CAFCO 400 '!$D$23*(J912^2)+'CAFCO 400 '!$D$24*(J912)+'CAFCO 400 '!$D$25)*U912^2)+(('CAFCO 400 '!$D$26*(J912^2)+'CAFCO 400 '!$D$27*J912+'CAFCO 400 '!$D$28)*U912)+('CAFCO 400 '!$D$29*(J912^2)+'CAFCO 400 '!$D$30*J912+'CAFCO 400 '!$D$31)),0),0)+IF(AND(L912="Cafco 300",J912&gt;=95,J912&lt;=240,C912="Cj",I912=90),VLOOKUP(T912,'CAFCO 300 IDIEM TABLAS'!$B$4:$D$23,2,FALSE),0)+IF(AND(L912="Cafco 300",J912&gt;=95,J912&lt;=240,C912="Cj",I912=120),VLOOKUP(T912,'CAFCO 300 IDIEM TABLAS'!$B$4:$D$23,3,FALSE),0)+IF(AND(L912="Cafco 300",J912&gt;=95,J912&lt;=400,G912=3,C912="IN",I912=90),VLOOKUP(T912,'CAFCO 300 IDIEM TABLAS'!$F$4:$H$35,2,FALSE),0)+IF(AND(L912="Cafco 300",J912&gt;=95,J912&lt;=400,G912=3,C912="IN",I912=120),VLOOKUP(T912,'CAFCO 300 IDIEM TABLAS'!$F$4:$H$35,3,FALSE),0)+IF(AND(L912="Cafco 300",J912&gt;=95,J912&lt;=450,G912=4,C912="IN",I912=90),VLOOKUP(T912,'CAFCO 300 IDIEM TABLAS'!$J$4:$L$40,2,FALSE),0)+IF(AND(L912="Cafco 300",J912&gt;=95,J912&lt;=450,G912=4,C912="IN",I912=120),VLOOKUP(T912,'CAFCO 300 IDIEM TABLAS'!$J$4:$L$40,3,FALSE),0)+IF(AND(M912="Ensayo Idiem",L912="Cafco 400",C912="IN",G912=4,I912=90),VLOOKUP(T912,'CAFCO 400 ENSAYO'!$B$7:$D$43,2,FALSE),0)+IF(AND(M912="Ensayo Idiem",L912="Cafco 400",C912="IN",G912=4,I912=120),VLOOKUP(T912,'CAFCO 400 ENSAYO'!$B$7:$D$43,3,FALSE),0)</f>
        <v>0</v>
      </c>
      <c r="O912" s="96">
        <f t="shared" si="96"/>
        <v>0</v>
      </c>
      <c r="P912" s="95" t="str">
        <f t="shared" si="91"/>
        <v>N/A</v>
      </c>
      <c r="Q912" s="95" t="str">
        <f t="shared" si="92"/>
        <v>N/A</v>
      </c>
      <c r="R912" s="95" t="str">
        <f t="shared" si="93"/>
        <v>NO CERT.</v>
      </c>
      <c r="S912" s="95" t="e">
        <f t="shared" si="94"/>
        <v>#N/A</v>
      </c>
      <c r="T912" s="119" t="e">
        <f>+IF(J912=LOOKUP(J912,'CAFCO 300 IDIEM TABLAS'!$J$4:$J$40),'CALCULO MORTERO'!J912,MROUND('CALCULO MORTERO'!J912,10))</f>
        <v>#N/A</v>
      </c>
      <c r="U912" s="118">
        <f t="shared" si="95"/>
        <v>0</v>
      </c>
    </row>
    <row r="913" spans="1:21" x14ac:dyDescent="0.25">
      <c r="A913" s="118">
        <f>+CUBICACION!D907</f>
        <v>0</v>
      </c>
      <c r="B913" s="819">
        <f>+CUBICACION!E907</f>
        <v>0</v>
      </c>
      <c r="C913" s="675">
        <f>+CUBICACION!F907</f>
        <v>0</v>
      </c>
      <c r="D913" s="118"/>
      <c r="E913" s="118"/>
      <c r="F913" s="820"/>
      <c r="G913" s="675">
        <f>+CUBICACION!J907</f>
        <v>0</v>
      </c>
      <c r="H913" s="118"/>
      <c r="I913" s="821">
        <f>+CUBICACION!L907</f>
        <v>0</v>
      </c>
      <c r="J913" s="64">
        <f>+CUBICACION!M907</f>
        <v>0</v>
      </c>
      <c r="K913" s="822" t="str">
        <f>+CUBICACION!N907</f>
        <v/>
      </c>
      <c r="L913" s="118">
        <f>+CUBICACION!O907</f>
        <v>0</v>
      </c>
      <c r="M913" s="823">
        <f>+CUBICACION!P907</f>
        <v>0</v>
      </c>
      <c r="N913" s="902">
        <f>ROUND(IF(AND(L913="Blaze Shield II",M913="Software Idiem",C913="IN",G913=4),((('BLAZE SHIELD II'!$D$4*('CALCULO MORTERO'!I913^2)+'BLAZE SHIELD II'!$D$5*'CALCULO MORTERO'!I913+'BLAZE SHIELD II'!$D$6)*LN(J913))+('BLAZE SHIELD II'!$D$7*('CALCULO MORTERO'!I913^2)+'BLAZE SHIELD II'!$D$8*'CALCULO MORTERO'!I913+'BLAZE SHIELD II'!$D$9)),0)+IF(AND(L913="Blaze Shield II",M913="Software Idiem",C913="Cj"),((('BLAZE SHIELD II'!$H$4*('CALCULO MORTERO'!I913^2)+'BLAZE SHIELD II'!$H$5*'CALCULO MORTERO'!I913+'BLAZE SHIELD II'!$H$6)*LN(J913))+('BLAZE SHIELD II'!$H$7*('CALCULO MORTERO'!I913^2)+'BLAZE SHIELD II'!$H$8*'CALCULO MORTERO'!I913+'BLAZE SHIELD II'!$H$9)),0)+IF(AND(L913="Blaze Shield II",M913="Software Idiem",C913="C"),((('BLAZE SHIELD II'!$L$4*('CALCULO MORTERO'!I913^2)+'BLAZE SHIELD II'!$L$5*'CALCULO MORTERO'!I913+'BLAZE SHIELD II'!$L$6)*LN(J913))+('BLAZE SHIELD II'!$L$7*('CALCULO MORTERO'!I913^2)+'BLAZE SHIELD II'!$L$8*'CALCULO MORTERO'!I913+'BLAZE SHIELD II'!$L$9)),0)+IF(AND(L913="Blaze Shield II",M913="Software Idiem",C913="L"),((('BLAZE SHIELD II'!$L$4*('CALCULO MORTERO'!I913^2)+'BLAZE SHIELD II'!$L$5*'CALCULO MORTERO'!I913+'BLAZE SHIELD II'!$L$6)*LN(J913))+('BLAZE SHIELD II'!$L$7*('CALCULO MORTERO'!I913^2)+'BLAZE SHIELD II'!$L$8*'CALCULO MORTERO'!I913+'BLAZE SHIELD II'!$L$9)),0)+IF(AND(L913="Blaze Shield II",M913="Software Idiem",C913="IN",G913=3),((('BLAZE SHIELD II'!$H$14*('CALCULO MORTERO'!I913^2)+'BLAZE SHIELD II'!$H$15*'CALCULO MORTERO'!I913+'BLAZE SHIELD II'!$H$16)*LN(J913))+('BLAZE SHIELD II'!$H$17*('CALCULO MORTERO'!I913^2)+'BLAZE SHIELD II'!$H$18*'CALCULO MORTERO'!I913+'BLAZE SHIELD II'!$H$19)),0),0)+ROUND(IF(AND(L913="Cafco 400",M913="Software Idiem",C913="IN",G913=4),((('CAFCO 400 '!$H$7*(J913^4)+'CAFCO 400 '!$H$8*(J913^3)+'CAFCO 400 '!$H$9*(J913^2)+'CAFCO 400 '!$H$10*J913+'CAFCO 400 '!$H$11)*U913^2)+(('CAFCO 400 '!$H$12*(J913^3)+'CAFCO 400 '!$H$13*(J913^2)+'CAFCO 400 '!$H$14*J913+'CAFCO 400 '!$H$15)*U913)+('CAFCO 400 '!$H$16*(J913^2)+'CAFCO 400 '!$H$17*J913+'CAFCO 400 '!$H$18)),0)+IF(AND(L913="Cafco 400",M913="Software Idiem",C913="Cj"),(((('CAFCO 400 '!$D$7*LN(J913)+'CAFCO 400 '!$D$8)*U913^2)+(('CAFCO 400 '!$D$9*LN(J913)+'CAFCO 400 '!$D$10)*U913)+('CAFCO 400 '!$D$11*LN(J913)+'CAFCO 400 '!$D$12))),0)+IF(AND(L913="Cafco 400",M913="Software Idiem",C913="C"),((('CAFCO 400 '!$L$7*(J913^3)+'CAFCO 400 '!$L$8*(J913^2)+'CAFCO 400 '!$L$9*J913+'CAFCO 400 '!$L$10)*U913^2)+(('CAFCO 400 '!$L$11*(J913^3)+'CAFCO 400 '!$L$12*(J913^2)+'CAFCO 400 '!$L$13*J913+'CAFCO 400 '!$L$14)*U913)+('CAFCO 400 '!$L$15*LN(J913)+'CAFCO 400 '!$L$16)),0)+IF(AND(L913="Cafco 400",M913="Software Idiem",C913="L"),((('CAFCO 400 '!$L$7*(J913^3)+'CAFCO 400 '!$L$8*(J913^2)+'CAFCO 400 '!$L$9*J913+'CAFCO 400 '!$L$10)*U913^2)+(('CAFCO 400 '!$L$11*(J913^3)+'CAFCO 400 '!$L$12*(J913^2)+'CAFCO 400 '!$L$13*J913+'CAFCO 400 '!$L$14)*U913)+('CAFCO 400 '!$L$15*LN(J913)+'CAFCO 400 '!$L$16)),0)+IF(AND(L913="Cafco 400",M913="Software Idiem",C913="IN",G913=3),((('CAFCO 400 '!$D$23*(J913^2)+'CAFCO 400 '!$D$24*(J913)+'CAFCO 400 '!$D$25)*U913^2)+(('CAFCO 400 '!$D$26*(J913^2)+'CAFCO 400 '!$D$27*J913+'CAFCO 400 '!$D$28)*U913)+('CAFCO 400 '!$D$29*(J913^2)+'CAFCO 400 '!$D$30*J913+'CAFCO 400 '!$D$31)),0),0)+IF(AND(L913="Cafco 300",J913&gt;=95,J913&lt;=240,C913="Cj",I913=90),VLOOKUP(T913,'CAFCO 300 IDIEM TABLAS'!$B$4:$D$23,2,FALSE),0)+IF(AND(L913="Cafco 300",J913&gt;=95,J913&lt;=240,C913="Cj",I913=120),VLOOKUP(T913,'CAFCO 300 IDIEM TABLAS'!$B$4:$D$23,3,FALSE),0)+IF(AND(L913="Cafco 300",J913&gt;=95,J913&lt;=400,G913=3,C913="IN",I913=90),VLOOKUP(T913,'CAFCO 300 IDIEM TABLAS'!$F$4:$H$35,2,FALSE),0)+IF(AND(L913="Cafco 300",J913&gt;=95,J913&lt;=400,G913=3,C913="IN",I913=120),VLOOKUP(T913,'CAFCO 300 IDIEM TABLAS'!$F$4:$H$35,3,FALSE),0)+IF(AND(L913="Cafco 300",J913&gt;=95,J913&lt;=450,G913=4,C913="IN",I913=90),VLOOKUP(T913,'CAFCO 300 IDIEM TABLAS'!$J$4:$L$40,2,FALSE),0)+IF(AND(L913="Cafco 300",J913&gt;=95,J913&lt;=450,G913=4,C913="IN",I913=120),VLOOKUP(T913,'CAFCO 300 IDIEM TABLAS'!$J$4:$L$40,3,FALSE),0)+IF(AND(M913="Ensayo Idiem",L913="Cafco 400",C913="IN",G913=4,I913=90),VLOOKUP(T913,'CAFCO 400 ENSAYO'!$B$7:$D$43,2,FALSE),0)+IF(AND(M913="Ensayo Idiem",L913="Cafco 400",C913="IN",G913=4,I913=120),VLOOKUP(T913,'CAFCO 400 ENSAYO'!$B$7:$D$43,3,FALSE),0)</f>
        <v>0</v>
      </c>
      <c r="O913" s="96">
        <f t="shared" si="96"/>
        <v>0</v>
      </c>
      <c r="P913" s="132" t="str">
        <f t="shared" si="91"/>
        <v>N/A</v>
      </c>
      <c r="Q913" s="132" t="str">
        <f t="shared" si="92"/>
        <v>N/A</v>
      </c>
      <c r="R913" s="132" t="str">
        <f t="shared" si="93"/>
        <v>NO CERT.</v>
      </c>
      <c r="S913" s="132" t="e">
        <f t="shared" si="94"/>
        <v>#N/A</v>
      </c>
      <c r="T913" s="133" t="e">
        <f>+IF(J913=LOOKUP(J913,'CAFCO 300 IDIEM TABLAS'!$J$4:$J$40),'CALCULO MORTERO'!J913,MROUND('CALCULO MORTERO'!J913,10))</f>
        <v>#N/A</v>
      </c>
      <c r="U913" s="134">
        <f t="shared" si="95"/>
        <v>0</v>
      </c>
    </row>
    <row r="914" spans="1:21" x14ac:dyDescent="0.25">
      <c r="A914" s="118">
        <f>+CUBICACION!D908</f>
        <v>0</v>
      </c>
      <c r="B914" s="819">
        <f>+CUBICACION!E908</f>
        <v>0</v>
      </c>
      <c r="C914" s="675">
        <f>+CUBICACION!F908</f>
        <v>0</v>
      </c>
      <c r="D914" s="118"/>
      <c r="E914" s="118"/>
      <c r="F914" s="820"/>
      <c r="G914" s="675">
        <f>+CUBICACION!J908</f>
        <v>0</v>
      </c>
      <c r="H914" s="118"/>
      <c r="I914" s="821">
        <f>+CUBICACION!L908</f>
        <v>0</v>
      </c>
      <c r="J914" s="64">
        <f>+CUBICACION!M908</f>
        <v>0</v>
      </c>
      <c r="K914" s="822" t="str">
        <f>+CUBICACION!N908</f>
        <v/>
      </c>
      <c r="L914" s="118">
        <f>+CUBICACION!O908</f>
        <v>0</v>
      </c>
      <c r="M914" s="823">
        <f>+CUBICACION!P908</f>
        <v>0</v>
      </c>
      <c r="N914" s="902">
        <f>ROUND(IF(AND(L914="Blaze Shield II",M914="Software Idiem",C914="IN",G914=4),((('BLAZE SHIELD II'!$D$4*('CALCULO MORTERO'!I914^2)+'BLAZE SHIELD II'!$D$5*'CALCULO MORTERO'!I914+'BLAZE SHIELD II'!$D$6)*LN(J914))+('BLAZE SHIELD II'!$D$7*('CALCULO MORTERO'!I914^2)+'BLAZE SHIELD II'!$D$8*'CALCULO MORTERO'!I914+'BLAZE SHIELD II'!$D$9)),0)+IF(AND(L914="Blaze Shield II",M914="Software Idiem",C914="Cj"),((('BLAZE SHIELD II'!$H$4*('CALCULO MORTERO'!I914^2)+'BLAZE SHIELD II'!$H$5*'CALCULO MORTERO'!I914+'BLAZE SHIELD II'!$H$6)*LN(J914))+('BLAZE SHIELD II'!$H$7*('CALCULO MORTERO'!I914^2)+'BLAZE SHIELD II'!$H$8*'CALCULO MORTERO'!I914+'BLAZE SHIELD II'!$H$9)),0)+IF(AND(L914="Blaze Shield II",M914="Software Idiem",C914="C"),((('BLAZE SHIELD II'!$L$4*('CALCULO MORTERO'!I914^2)+'BLAZE SHIELD II'!$L$5*'CALCULO MORTERO'!I914+'BLAZE SHIELD II'!$L$6)*LN(J914))+('BLAZE SHIELD II'!$L$7*('CALCULO MORTERO'!I914^2)+'BLAZE SHIELD II'!$L$8*'CALCULO MORTERO'!I914+'BLAZE SHIELD II'!$L$9)),0)+IF(AND(L914="Blaze Shield II",M914="Software Idiem",C914="L"),((('BLAZE SHIELD II'!$L$4*('CALCULO MORTERO'!I914^2)+'BLAZE SHIELD II'!$L$5*'CALCULO MORTERO'!I914+'BLAZE SHIELD II'!$L$6)*LN(J914))+('BLAZE SHIELD II'!$L$7*('CALCULO MORTERO'!I914^2)+'BLAZE SHIELD II'!$L$8*'CALCULO MORTERO'!I914+'BLAZE SHIELD II'!$L$9)),0)+IF(AND(L914="Blaze Shield II",M914="Software Idiem",C914="IN",G914=3),((('BLAZE SHIELD II'!$H$14*('CALCULO MORTERO'!I914^2)+'BLAZE SHIELD II'!$H$15*'CALCULO MORTERO'!I914+'BLAZE SHIELD II'!$H$16)*LN(J914))+('BLAZE SHIELD II'!$H$17*('CALCULO MORTERO'!I914^2)+'BLAZE SHIELD II'!$H$18*'CALCULO MORTERO'!I914+'BLAZE SHIELD II'!$H$19)),0),0)+ROUND(IF(AND(L914="Cafco 400",M914="Software Idiem",C914="IN",G914=4),((('CAFCO 400 '!$H$7*(J914^4)+'CAFCO 400 '!$H$8*(J914^3)+'CAFCO 400 '!$H$9*(J914^2)+'CAFCO 400 '!$H$10*J914+'CAFCO 400 '!$H$11)*U914^2)+(('CAFCO 400 '!$H$12*(J914^3)+'CAFCO 400 '!$H$13*(J914^2)+'CAFCO 400 '!$H$14*J914+'CAFCO 400 '!$H$15)*U914)+('CAFCO 400 '!$H$16*(J914^2)+'CAFCO 400 '!$H$17*J914+'CAFCO 400 '!$H$18)),0)+IF(AND(L914="Cafco 400",M914="Software Idiem",C914="Cj"),(((('CAFCO 400 '!$D$7*LN(J914)+'CAFCO 400 '!$D$8)*U914^2)+(('CAFCO 400 '!$D$9*LN(J914)+'CAFCO 400 '!$D$10)*U914)+('CAFCO 400 '!$D$11*LN(J914)+'CAFCO 400 '!$D$12))),0)+IF(AND(L914="Cafco 400",M914="Software Idiem",C914="C"),((('CAFCO 400 '!$L$7*(J914^3)+'CAFCO 400 '!$L$8*(J914^2)+'CAFCO 400 '!$L$9*J914+'CAFCO 400 '!$L$10)*U914^2)+(('CAFCO 400 '!$L$11*(J914^3)+'CAFCO 400 '!$L$12*(J914^2)+'CAFCO 400 '!$L$13*J914+'CAFCO 400 '!$L$14)*U914)+('CAFCO 400 '!$L$15*LN(J914)+'CAFCO 400 '!$L$16)),0)+IF(AND(L914="Cafco 400",M914="Software Idiem",C914="L"),((('CAFCO 400 '!$L$7*(J914^3)+'CAFCO 400 '!$L$8*(J914^2)+'CAFCO 400 '!$L$9*J914+'CAFCO 400 '!$L$10)*U914^2)+(('CAFCO 400 '!$L$11*(J914^3)+'CAFCO 400 '!$L$12*(J914^2)+'CAFCO 400 '!$L$13*J914+'CAFCO 400 '!$L$14)*U914)+('CAFCO 400 '!$L$15*LN(J914)+'CAFCO 400 '!$L$16)),0)+IF(AND(L914="Cafco 400",M914="Software Idiem",C914="IN",G914=3),((('CAFCO 400 '!$D$23*(J914^2)+'CAFCO 400 '!$D$24*(J914)+'CAFCO 400 '!$D$25)*U914^2)+(('CAFCO 400 '!$D$26*(J914^2)+'CAFCO 400 '!$D$27*J914+'CAFCO 400 '!$D$28)*U914)+('CAFCO 400 '!$D$29*(J914^2)+'CAFCO 400 '!$D$30*J914+'CAFCO 400 '!$D$31)),0),0)+IF(AND(L914="Cafco 300",J914&gt;=95,J914&lt;=240,C914="Cj",I914=90),VLOOKUP(T914,'CAFCO 300 IDIEM TABLAS'!$B$4:$D$23,2,FALSE),0)+IF(AND(L914="Cafco 300",J914&gt;=95,J914&lt;=240,C914="Cj",I914=120),VLOOKUP(T914,'CAFCO 300 IDIEM TABLAS'!$B$4:$D$23,3,FALSE),0)+IF(AND(L914="Cafco 300",J914&gt;=95,J914&lt;=400,G914=3,C914="IN",I914=90),VLOOKUP(T914,'CAFCO 300 IDIEM TABLAS'!$F$4:$H$35,2,FALSE),0)+IF(AND(L914="Cafco 300",J914&gt;=95,J914&lt;=400,G914=3,C914="IN",I914=120),VLOOKUP(T914,'CAFCO 300 IDIEM TABLAS'!$F$4:$H$35,3,FALSE),0)+IF(AND(L914="Cafco 300",J914&gt;=95,J914&lt;=450,G914=4,C914="IN",I914=90),VLOOKUP(T914,'CAFCO 300 IDIEM TABLAS'!$J$4:$L$40,2,FALSE),0)+IF(AND(L914="Cafco 300",J914&gt;=95,J914&lt;=450,G914=4,C914="IN",I914=120),VLOOKUP(T914,'CAFCO 300 IDIEM TABLAS'!$J$4:$L$40,3,FALSE),0)+IF(AND(M914="Ensayo Idiem",L914="Cafco 400",C914="IN",G914=4,I914=90),VLOOKUP(T914,'CAFCO 400 ENSAYO'!$B$7:$D$43,2,FALSE),0)+IF(AND(M914="Ensayo Idiem",L914="Cafco 400",C914="IN",G914=4,I914=120),VLOOKUP(T914,'CAFCO 400 ENSAYO'!$B$7:$D$43,3,FALSE),0)</f>
        <v>0</v>
      </c>
      <c r="O914" s="96">
        <f t="shared" si="96"/>
        <v>0</v>
      </c>
      <c r="P914" s="95" t="str">
        <f t="shared" si="91"/>
        <v>N/A</v>
      </c>
      <c r="Q914" s="95" t="str">
        <f t="shared" si="92"/>
        <v>N/A</v>
      </c>
      <c r="R914" s="95" t="str">
        <f t="shared" si="93"/>
        <v>NO CERT.</v>
      </c>
      <c r="S914" s="95" t="e">
        <f t="shared" si="94"/>
        <v>#N/A</v>
      </c>
      <c r="T914" s="119" t="e">
        <f>+IF(J914=LOOKUP(J914,'CAFCO 300 IDIEM TABLAS'!$J$4:$J$40),'CALCULO MORTERO'!J914,MROUND('CALCULO MORTERO'!J914,10))</f>
        <v>#N/A</v>
      </c>
      <c r="U914" s="118">
        <f t="shared" si="95"/>
        <v>0</v>
      </c>
    </row>
    <row r="915" spans="1:21" x14ac:dyDescent="0.25">
      <c r="A915" s="118">
        <f>+CUBICACION!D909</f>
        <v>0</v>
      </c>
      <c r="B915" s="819">
        <f>+CUBICACION!E909</f>
        <v>0</v>
      </c>
      <c r="C915" s="675">
        <f>+CUBICACION!F909</f>
        <v>0</v>
      </c>
      <c r="D915" s="118"/>
      <c r="E915" s="118"/>
      <c r="F915" s="820"/>
      <c r="G915" s="675">
        <f>+CUBICACION!J909</f>
        <v>0</v>
      </c>
      <c r="H915" s="118"/>
      <c r="I915" s="821">
        <f>+CUBICACION!L909</f>
        <v>0</v>
      </c>
      <c r="J915" s="64">
        <f>+CUBICACION!M909</f>
        <v>0</v>
      </c>
      <c r="K915" s="822" t="str">
        <f>+CUBICACION!N909</f>
        <v/>
      </c>
      <c r="L915" s="118">
        <f>+CUBICACION!O909</f>
        <v>0</v>
      </c>
      <c r="M915" s="823">
        <f>+CUBICACION!P909</f>
        <v>0</v>
      </c>
      <c r="N915" s="902">
        <f>ROUND(IF(AND(L915="Blaze Shield II",M915="Software Idiem",C915="IN",G915=4),((('BLAZE SHIELD II'!$D$4*('CALCULO MORTERO'!I915^2)+'BLAZE SHIELD II'!$D$5*'CALCULO MORTERO'!I915+'BLAZE SHIELD II'!$D$6)*LN(J915))+('BLAZE SHIELD II'!$D$7*('CALCULO MORTERO'!I915^2)+'BLAZE SHIELD II'!$D$8*'CALCULO MORTERO'!I915+'BLAZE SHIELD II'!$D$9)),0)+IF(AND(L915="Blaze Shield II",M915="Software Idiem",C915="Cj"),((('BLAZE SHIELD II'!$H$4*('CALCULO MORTERO'!I915^2)+'BLAZE SHIELD II'!$H$5*'CALCULO MORTERO'!I915+'BLAZE SHIELD II'!$H$6)*LN(J915))+('BLAZE SHIELD II'!$H$7*('CALCULO MORTERO'!I915^2)+'BLAZE SHIELD II'!$H$8*'CALCULO MORTERO'!I915+'BLAZE SHIELD II'!$H$9)),0)+IF(AND(L915="Blaze Shield II",M915="Software Idiem",C915="C"),((('BLAZE SHIELD II'!$L$4*('CALCULO MORTERO'!I915^2)+'BLAZE SHIELD II'!$L$5*'CALCULO MORTERO'!I915+'BLAZE SHIELD II'!$L$6)*LN(J915))+('BLAZE SHIELD II'!$L$7*('CALCULO MORTERO'!I915^2)+'BLAZE SHIELD II'!$L$8*'CALCULO MORTERO'!I915+'BLAZE SHIELD II'!$L$9)),0)+IF(AND(L915="Blaze Shield II",M915="Software Idiem",C915="L"),((('BLAZE SHIELD II'!$L$4*('CALCULO MORTERO'!I915^2)+'BLAZE SHIELD II'!$L$5*'CALCULO MORTERO'!I915+'BLAZE SHIELD II'!$L$6)*LN(J915))+('BLAZE SHIELD II'!$L$7*('CALCULO MORTERO'!I915^2)+'BLAZE SHIELD II'!$L$8*'CALCULO MORTERO'!I915+'BLAZE SHIELD II'!$L$9)),0)+IF(AND(L915="Blaze Shield II",M915="Software Idiem",C915="IN",G915=3),((('BLAZE SHIELD II'!$H$14*('CALCULO MORTERO'!I915^2)+'BLAZE SHIELD II'!$H$15*'CALCULO MORTERO'!I915+'BLAZE SHIELD II'!$H$16)*LN(J915))+('BLAZE SHIELD II'!$H$17*('CALCULO MORTERO'!I915^2)+'BLAZE SHIELD II'!$H$18*'CALCULO MORTERO'!I915+'BLAZE SHIELD II'!$H$19)),0),0)+ROUND(IF(AND(L915="Cafco 400",M915="Software Idiem",C915="IN",G915=4),((('CAFCO 400 '!$H$7*(J915^4)+'CAFCO 400 '!$H$8*(J915^3)+'CAFCO 400 '!$H$9*(J915^2)+'CAFCO 400 '!$H$10*J915+'CAFCO 400 '!$H$11)*U915^2)+(('CAFCO 400 '!$H$12*(J915^3)+'CAFCO 400 '!$H$13*(J915^2)+'CAFCO 400 '!$H$14*J915+'CAFCO 400 '!$H$15)*U915)+('CAFCO 400 '!$H$16*(J915^2)+'CAFCO 400 '!$H$17*J915+'CAFCO 400 '!$H$18)),0)+IF(AND(L915="Cafco 400",M915="Software Idiem",C915="Cj"),(((('CAFCO 400 '!$D$7*LN(J915)+'CAFCO 400 '!$D$8)*U915^2)+(('CAFCO 400 '!$D$9*LN(J915)+'CAFCO 400 '!$D$10)*U915)+('CAFCO 400 '!$D$11*LN(J915)+'CAFCO 400 '!$D$12))),0)+IF(AND(L915="Cafco 400",M915="Software Idiem",C915="C"),((('CAFCO 400 '!$L$7*(J915^3)+'CAFCO 400 '!$L$8*(J915^2)+'CAFCO 400 '!$L$9*J915+'CAFCO 400 '!$L$10)*U915^2)+(('CAFCO 400 '!$L$11*(J915^3)+'CAFCO 400 '!$L$12*(J915^2)+'CAFCO 400 '!$L$13*J915+'CAFCO 400 '!$L$14)*U915)+('CAFCO 400 '!$L$15*LN(J915)+'CAFCO 400 '!$L$16)),0)+IF(AND(L915="Cafco 400",M915="Software Idiem",C915="L"),((('CAFCO 400 '!$L$7*(J915^3)+'CAFCO 400 '!$L$8*(J915^2)+'CAFCO 400 '!$L$9*J915+'CAFCO 400 '!$L$10)*U915^2)+(('CAFCO 400 '!$L$11*(J915^3)+'CAFCO 400 '!$L$12*(J915^2)+'CAFCO 400 '!$L$13*J915+'CAFCO 400 '!$L$14)*U915)+('CAFCO 400 '!$L$15*LN(J915)+'CAFCO 400 '!$L$16)),0)+IF(AND(L915="Cafco 400",M915="Software Idiem",C915="IN",G915=3),((('CAFCO 400 '!$D$23*(J915^2)+'CAFCO 400 '!$D$24*(J915)+'CAFCO 400 '!$D$25)*U915^2)+(('CAFCO 400 '!$D$26*(J915^2)+'CAFCO 400 '!$D$27*J915+'CAFCO 400 '!$D$28)*U915)+('CAFCO 400 '!$D$29*(J915^2)+'CAFCO 400 '!$D$30*J915+'CAFCO 400 '!$D$31)),0),0)+IF(AND(L915="Cafco 300",J915&gt;=95,J915&lt;=240,C915="Cj",I915=90),VLOOKUP(T915,'CAFCO 300 IDIEM TABLAS'!$B$4:$D$23,2,FALSE),0)+IF(AND(L915="Cafco 300",J915&gt;=95,J915&lt;=240,C915="Cj",I915=120),VLOOKUP(T915,'CAFCO 300 IDIEM TABLAS'!$B$4:$D$23,3,FALSE),0)+IF(AND(L915="Cafco 300",J915&gt;=95,J915&lt;=400,G915=3,C915="IN",I915=90),VLOOKUP(T915,'CAFCO 300 IDIEM TABLAS'!$F$4:$H$35,2,FALSE),0)+IF(AND(L915="Cafco 300",J915&gt;=95,J915&lt;=400,G915=3,C915="IN",I915=120),VLOOKUP(T915,'CAFCO 300 IDIEM TABLAS'!$F$4:$H$35,3,FALSE),0)+IF(AND(L915="Cafco 300",J915&gt;=95,J915&lt;=450,G915=4,C915="IN",I915=90),VLOOKUP(T915,'CAFCO 300 IDIEM TABLAS'!$J$4:$L$40,2,FALSE),0)+IF(AND(L915="Cafco 300",J915&gt;=95,J915&lt;=450,G915=4,C915="IN",I915=120),VLOOKUP(T915,'CAFCO 300 IDIEM TABLAS'!$J$4:$L$40,3,FALSE),0)+IF(AND(M915="Ensayo Idiem",L915="Cafco 400",C915="IN",G915=4,I915=90),VLOOKUP(T915,'CAFCO 400 ENSAYO'!$B$7:$D$43,2,FALSE),0)+IF(AND(M915="Ensayo Idiem",L915="Cafco 400",C915="IN",G915=4,I915=120),VLOOKUP(T915,'CAFCO 400 ENSAYO'!$B$7:$D$43,3,FALSE),0)</f>
        <v>0</v>
      </c>
      <c r="O915" s="96">
        <f t="shared" si="96"/>
        <v>0</v>
      </c>
      <c r="P915" s="132" t="str">
        <f t="shared" si="91"/>
        <v>N/A</v>
      </c>
      <c r="Q915" s="132" t="str">
        <f t="shared" si="92"/>
        <v>N/A</v>
      </c>
      <c r="R915" s="132" t="str">
        <f t="shared" si="93"/>
        <v>NO CERT.</v>
      </c>
      <c r="S915" s="132" t="e">
        <f t="shared" si="94"/>
        <v>#N/A</v>
      </c>
      <c r="T915" s="133" t="e">
        <f>+IF(J915=LOOKUP(J915,'CAFCO 300 IDIEM TABLAS'!$J$4:$J$40),'CALCULO MORTERO'!J915,MROUND('CALCULO MORTERO'!J915,10))</f>
        <v>#N/A</v>
      </c>
      <c r="U915" s="134">
        <f t="shared" si="95"/>
        <v>0</v>
      </c>
    </row>
    <row r="916" spans="1:21" x14ac:dyDescent="0.25">
      <c r="A916" s="118">
        <f>+CUBICACION!D910</f>
        <v>0</v>
      </c>
      <c r="B916" s="819">
        <f>+CUBICACION!E910</f>
        <v>0</v>
      </c>
      <c r="C916" s="675">
        <f>+CUBICACION!F910</f>
        <v>0</v>
      </c>
      <c r="D916" s="118"/>
      <c r="E916" s="118"/>
      <c r="F916" s="820"/>
      <c r="G916" s="675">
        <f>+CUBICACION!J910</f>
        <v>0</v>
      </c>
      <c r="H916" s="118"/>
      <c r="I916" s="821">
        <f>+CUBICACION!L910</f>
        <v>0</v>
      </c>
      <c r="J916" s="64">
        <f>+CUBICACION!M910</f>
        <v>0</v>
      </c>
      <c r="K916" s="822" t="str">
        <f>+CUBICACION!N910</f>
        <v/>
      </c>
      <c r="L916" s="118">
        <f>+CUBICACION!O910</f>
        <v>0</v>
      </c>
      <c r="M916" s="823">
        <f>+CUBICACION!P910</f>
        <v>0</v>
      </c>
      <c r="N916" s="902">
        <f>ROUND(IF(AND(L916="Blaze Shield II",M916="Software Idiem",C916="IN",G916=4),((('BLAZE SHIELD II'!$D$4*('CALCULO MORTERO'!I916^2)+'BLAZE SHIELD II'!$D$5*'CALCULO MORTERO'!I916+'BLAZE SHIELD II'!$D$6)*LN(J916))+('BLAZE SHIELD II'!$D$7*('CALCULO MORTERO'!I916^2)+'BLAZE SHIELD II'!$D$8*'CALCULO MORTERO'!I916+'BLAZE SHIELD II'!$D$9)),0)+IF(AND(L916="Blaze Shield II",M916="Software Idiem",C916="Cj"),((('BLAZE SHIELD II'!$H$4*('CALCULO MORTERO'!I916^2)+'BLAZE SHIELD II'!$H$5*'CALCULO MORTERO'!I916+'BLAZE SHIELD II'!$H$6)*LN(J916))+('BLAZE SHIELD II'!$H$7*('CALCULO MORTERO'!I916^2)+'BLAZE SHIELD II'!$H$8*'CALCULO MORTERO'!I916+'BLAZE SHIELD II'!$H$9)),0)+IF(AND(L916="Blaze Shield II",M916="Software Idiem",C916="C"),((('BLAZE SHIELD II'!$L$4*('CALCULO MORTERO'!I916^2)+'BLAZE SHIELD II'!$L$5*'CALCULO MORTERO'!I916+'BLAZE SHIELD II'!$L$6)*LN(J916))+('BLAZE SHIELD II'!$L$7*('CALCULO MORTERO'!I916^2)+'BLAZE SHIELD II'!$L$8*'CALCULO MORTERO'!I916+'BLAZE SHIELD II'!$L$9)),0)+IF(AND(L916="Blaze Shield II",M916="Software Idiem",C916="L"),((('BLAZE SHIELD II'!$L$4*('CALCULO MORTERO'!I916^2)+'BLAZE SHIELD II'!$L$5*'CALCULO MORTERO'!I916+'BLAZE SHIELD II'!$L$6)*LN(J916))+('BLAZE SHIELD II'!$L$7*('CALCULO MORTERO'!I916^2)+'BLAZE SHIELD II'!$L$8*'CALCULO MORTERO'!I916+'BLAZE SHIELD II'!$L$9)),0)+IF(AND(L916="Blaze Shield II",M916="Software Idiem",C916="IN",G916=3),((('BLAZE SHIELD II'!$H$14*('CALCULO MORTERO'!I916^2)+'BLAZE SHIELD II'!$H$15*'CALCULO MORTERO'!I916+'BLAZE SHIELD II'!$H$16)*LN(J916))+('BLAZE SHIELD II'!$H$17*('CALCULO MORTERO'!I916^2)+'BLAZE SHIELD II'!$H$18*'CALCULO MORTERO'!I916+'BLAZE SHIELD II'!$H$19)),0),0)+ROUND(IF(AND(L916="Cafco 400",M916="Software Idiem",C916="IN",G916=4),((('CAFCO 400 '!$H$7*(J916^4)+'CAFCO 400 '!$H$8*(J916^3)+'CAFCO 400 '!$H$9*(J916^2)+'CAFCO 400 '!$H$10*J916+'CAFCO 400 '!$H$11)*U916^2)+(('CAFCO 400 '!$H$12*(J916^3)+'CAFCO 400 '!$H$13*(J916^2)+'CAFCO 400 '!$H$14*J916+'CAFCO 400 '!$H$15)*U916)+('CAFCO 400 '!$H$16*(J916^2)+'CAFCO 400 '!$H$17*J916+'CAFCO 400 '!$H$18)),0)+IF(AND(L916="Cafco 400",M916="Software Idiem",C916="Cj"),(((('CAFCO 400 '!$D$7*LN(J916)+'CAFCO 400 '!$D$8)*U916^2)+(('CAFCO 400 '!$D$9*LN(J916)+'CAFCO 400 '!$D$10)*U916)+('CAFCO 400 '!$D$11*LN(J916)+'CAFCO 400 '!$D$12))),0)+IF(AND(L916="Cafco 400",M916="Software Idiem",C916="C"),((('CAFCO 400 '!$L$7*(J916^3)+'CAFCO 400 '!$L$8*(J916^2)+'CAFCO 400 '!$L$9*J916+'CAFCO 400 '!$L$10)*U916^2)+(('CAFCO 400 '!$L$11*(J916^3)+'CAFCO 400 '!$L$12*(J916^2)+'CAFCO 400 '!$L$13*J916+'CAFCO 400 '!$L$14)*U916)+('CAFCO 400 '!$L$15*LN(J916)+'CAFCO 400 '!$L$16)),0)+IF(AND(L916="Cafco 400",M916="Software Idiem",C916="L"),((('CAFCO 400 '!$L$7*(J916^3)+'CAFCO 400 '!$L$8*(J916^2)+'CAFCO 400 '!$L$9*J916+'CAFCO 400 '!$L$10)*U916^2)+(('CAFCO 400 '!$L$11*(J916^3)+'CAFCO 400 '!$L$12*(J916^2)+'CAFCO 400 '!$L$13*J916+'CAFCO 400 '!$L$14)*U916)+('CAFCO 400 '!$L$15*LN(J916)+'CAFCO 400 '!$L$16)),0)+IF(AND(L916="Cafco 400",M916="Software Idiem",C916="IN",G916=3),((('CAFCO 400 '!$D$23*(J916^2)+'CAFCO 400 '!$D$24*(J916)+'CAFCO 400 '!$D$25)*U916^2)+(('CAFCO 400 '!$D$26*(J916^2)+'CAFCO 400 '!$D$27*J916+'CAFCO 400 '!$D$28)*U916)+('CAFCO 400 '!$D$29*(J916^2)+'CAFCO 400 '!$D$30*J916+'CAFCO 400 '!$D$31)),0),0)+IF(AND(L916="Cafco 300",J916&gt;=95,J916&lt;=240,C916="Cj",I916=90),VLOOKUP(T916,'CAFCO 300 IDIEM TABLAS'!$B$4:$D$23,2,FALSE),0)+IF(AND(L916="Cafco 300",J916&gt;=95,J916&lt;=240,C916="Cj",I916=120),VLOOKUP(T916,'CAFCO 300 IDIEM TABLAS'!$B$4:$D$23,3,FALSE),0)+IF(AND(L916="Cafco 300",J916&gt;=95,J916&lt;=400,G916=3,C916="IN",I916=90),VLOOKUP(T916,'CAFCO 300 IDIEM TABLAS'!$F$4:$H$35,2,FALSE),0)+IF(AND(L916="Cafco 300",J916&gt;=95,J916&lt;=400,G916=3,C916="IN",I916=120),VLOOKUP(T916,'CAFCO 300 IDIEM TABLAS'!$F$4:$H$35,3,FALSE),0)+IF(AND(L916="Cafco 300",J916&gt;=95,J916&lt;=450,G916=4,C916="IN",I916=90),VLOOKUP(T916,'CAFCO 300 IDIEM TABLAS'!$J$4:$L$40,2,FALSE),0)+IF(AND(L916="Cafco 300",J916&gt;=95,J916&lt;=450,G916=4,C916="IN",I916=120),VLOOKUP(T916,'CAFCO 300 IDIEM TABLAS'!$J$4:$L$40,3,FALSE),0)+IF(AND(M916="Ensayo Idiem",L916="Cafco 400",C916="IN",G916=4,I916=90),VLOOKUP(T916,'CAFCO 400 ENSAYO'!$B$7:$D$43,2,FALSE),0)+IF(AND(M916="Ensayo Idiem",L916="Cafco 400",C916="IN",G916=4,I916=120),VLOOKUP(T916,'CAFCO 400 ENSAYO'!$B$7:$D$43,3,FALSE),0)</f>
        <v>0</v>
      </c>
      <c r="O916" s="96">
        <f t="shared" si="96"/>
        <v>0</v>
      </c>
      <c r="P916" s="95" t="str">
        <f t="shared" si="91"/>
        <v>N/A</v>
      </c>
      <c r="Q916" s="95" t="str">
        <f t="shared" si="92"/>
        <v>N/A</v>
      </c>
      <c r="R916" s="95" t="str">
        <f t="shared" si="93"/>
        <v>NO CERT.</v>
      </c>
      <c r="S916" s="95" t="e">
        <f t="shared" si="94"/>
        <v>#N/A</v>
      </c>
      <c r="T916" s="119" t="e">
        <f>+IF(J916=LOOKUP(J916,'CAFCO 300 IDIEM TABLAS'!$J$4:$J$40),'CALCULO MORTERO'!J916,MROUND('CALCULO MORTERO'!J916,10))</f>
        <v>#N/A</v>
      </c>
      <c r="U916" s="118">
        <f t="shared" si="95"/>
        <v>0</v>
      </c>
    </row>
    <row r="917" spans="1:21" x14ac:dyDescent="0.25">
      <c r="A917" s="118">
        <f>+CUBICACION!D911</f>
        <v>0</v>
      </c>
      <c r="B917" s="819">
        <f>+CUBICACION!E911</f>
        <v>0</v>
      </c>
      <c r="C917" s="675">
        <f>+CUBICACION!F911</f>
        <v>0</v>
      </c>
      <c r="D917" s="118"/>
      <c r="E917" s="118"/>
      <c r="F917" s="820"/>
      <c r="G917" s="675">
        <f>+CUBICACION!J911</f>
        <v>0</v>
      </c>
      <c r="H917" s="118"/>
      <c r="I917" s="821">
        <f>+CUBICACION!L911</f>
        <v>0</v>
      </c>
      <c r="J917" s="64">
        <f>+CUBICACION!M911</f>
        <v>0</v>
      </c>
      <c r="K917" s="822" t="str">
        <f>+CUBICACION!N911</f>
        <v/>
      </c>
      <c r="L917" s="118">
        <f>+CUBICACION!O911</f>
        <v>0</v>
      </c>
      <c r="M917" s="823">
        <f>+CUBICACION!P911</f>
        <v>0</v>
      </c>
      <c r="N917" s="902">
        <f>ROUND(IF(AND(L917="Blaze Shield II",M917="Software Idiem",C917="IN",G917=4),((('BLAZE SHIELD II'!$D$4*('CALCULO MORTERO'!I917^2)+'BLAZE SHIELD II'!$D$5*'CALCULO MORTERO'!I917+'BLAZE SHIELD II'!$D$6)*LN(J917))+('BLAZE SHIELD II'!$D$7*('CALCULO MORTERO'!I917^2)+'BLAZE SHIELD II'!$D$8*'CALCULO MORTERO'!I917+'BLAZE SHIELD II'!$D$9)),0)+IF(AND(L917="Blaze Shield II",M917="Software Idiem",C917="Cj"),((('BLAZE SHIELD II'!$H$4*('CALCULO MORTERO'!I917^2)+'BLAZE SHIELD II'!$H$5*'CALCULO MORTERO'!I917+'BLAZE SHIELD II'!$H$6)*LN(J917))+('BLAZE SHIELD II'!$H$7*('CALCULO MORTERO'!I917^2)+'BLAZE SHIELD II'!$H$8*'CALCULO MORTERO'!I917+'BLAZE SHIELD II'!$H$9)),0)+IF(AND(L917="Blaze Shield II",M917="Software Idiem",C917="C"),((('BLAZE SHIELD II'!$L$4*('CALCULO MORTERO'!I917^2)+'BLAZE SHIELD II'!$L$5*'CALCULO MORTERO'!I917+'BLAZE SHIELD II'!$L$6)*LN(J917))+('BLAZE SHIELD II'!$L$7*('CALCULO MORTERO'!I917^2)+'BLAZE SHIELD II'!$L$8*'CALCULO MORTERO'!I917+'BLAZE SHIELD II'!$L$9)),0)+IF(AND(L917="Blaze Shield II",M917="Software Idiem",C917="L"),((('BLAZE SHIELD II'!$L$4*('CALCULO MORTERO'!I917^2)+'BLAZE SHIELD II'!$L$5*'CALCULO MORTERO'!I917+'BLAZE SHIELD II'!$L$6)*LN(J917))+('BLAZE SHIELD II'!$L$7*('CALCULO MORTERO'!I917^2)+'BLAZE SHIELD II'!$L$8*'CALCULO MORTERO'!I917+'BLAZE SHIELD II'!$L$9)),0)+IF(AND(L917="Blaze Shield II",M917="Software Idiem",C917="IN",G917=3),((('BLAZE SHIELD II'!$H$14*('CALCULO MORTERO'!I917^2)+'BLAZE SHIELD II'!$H$15*'CALCULO MORTERO'!I917+'BLAZE SHIELD II'!$H$16)*LN(J917))+('BLAZE SHIELD II'!$H$17*('CALCULO MORTERO'!I917^2)+'BLAZE SHIELD II'!$H$18*'CALCULO MORTERO'!I917+'BLAZE SHIELD II'!$H$19)),0),0)+ROUND(IF(AND(L917="Cafco 400",M917="Software Idiem",C917="IN",G917=4),((('CAFCO 400 '!$H$7*(J917^4)+'CAFCO 400 '!$H$8*(J917^3)+'CAFCO 400 '!$H$9*(J917^2)+'CAFCO 400 '!$H$10*J917+'CAFCO 400 '!$H$11)*U917^2)+(('CAFCO 400 '!$H$12*(J917^3)+'CAFCO 400 '!$H$13*(J917^2)+'CAFCO 400 '!$H$14*J917+'CAFCO 400 '!$H$15)*U917)+('CAFCO 400 '!$H$16*(J917^2)+'CAFCO 400 '!$H$17*J917+'CAFCO 400 '!$H$18)),0)+IF(AND(L917="Cafco 400",M917="Software Idiem",C917="Cj"),(((('CAFCO 400 '!$D$7*LN(J917)+'CAFCO 400 '!$D$8)*U917^2)+(('CAFCO 400 '!$D$9*LN(J917)+'CAFCO 400 '!$D$10)*U917)+('CAFCO 400 '!$D$11*LN(J917)+'CAFCO 400 '!$D$12))),0)+IF(AND(L917="Cafco 400",M917="Software Idiem",C917="C"),((('CAFCO 400 '!$L$7*(J917^3)+'CAFCO 400 '!$L$8*(J917^2)+'CAFCO 400 '!$L$9*J917+'CAFCO 400 '!$L$10)*U917^2)+(('CAFCO 400 '!$L$11*(J917^3)+'CAFCO 400 '!$L$12*(J917^2)+'CAFCO 400 '!$L$13*J917+'CAFCO 400 '!$L$14)*U917)+('CAFCO 400 '!$L$15*LN(J917)+'CAFCO 400 '!$L$16)),0)+IF(AND(L917="Cafco 400",M917="Software Idiem",C917="L"),((('CAFCO 400 '!$L$7*(J917^3)+'CAFCO 400 '!$L$8*(J917^2)+'CAFCO 400 '!$L$9*J917+'CAFCO 400 '!$L$10)*U917^2)+(('CAFCO 400 '!$L$11*(J917^3)+'CAFCO 400 '!$L$12*(J917^2)+'CAFCO 400 '!$L$13*J917+'CAFCO 400 '!$L$14)*U917)+('CAFCO 400 '!$L$15*LN(J917)+'CAFCO 400 '!$L$16)),0)+IF(AND(L917="Cafco 400",M917="Software Idiem",C917="IN",G917=3),((('CAFCO 400 '!$D$23*(J917^2)+'CAFCO 400 '!$D$24*(J917)+'CAFCO 400 '!$D$25)*U917^2)+(('CAFCO 400 '!$D$26*(J917^2)+'CAFCO 400 '!$D$27*J917+'CAFCO 400 '!$D$28)*U917)+('CAFCO 400 '!$D$29*(J917^2)+'CAFCO 400 '!$D$30*J917+'CAFCO 400 '!$D$31)),0),0)+IF(AND(L917="Cafco 300",J917&gt;=95,J917&lt;=240,C917="Cj",I917=90),VLOOKUP(T917,'CAFCO 300 IDIEM TABLAS'!$B$4:$D$23,2,FALSE),0)+IF(AND(L917="Cafco 300",J917&gt;=95,J917&lt;=240,C917="Cj",I917=120),VLOOKUP(T917,'CAFCO 300 IDIEM TABLAS'!$B$4:$D$23,3,FALSE),0)+IF(AND(L917="Cafco 300",J917&gt;=95,J917&lt;=400,G917=3,C917="IN",I917=90),VLOOKUP(T917,'CAFCO 300 IDIEM TABLAS'!$F$4:$H$35,2,FALSE),0)+IF(AND(L917="Cafco 300",J917&gt;=95,J917&lt;=400,G917=3,C917="IN",I917=120),VLOOKUP(T917,'CAFCO 300 IDIEM TABLAS'!$F$4:$H$35,3,FALSE),0)+IF(AND(L917="Cafco 300",J917&gt;=95,J917&lt;=450,G917=4,C917="IN",I917=90),VLOOKUP(T917,'CAFCO 300 IDIEM TABLAS'!$J$4:$L$40,2,FALSE),0)+IF(AND(L917="Cafco 300",J917&gt;=95,J917&lt;=450,G917=4,C917="IN",I917=120),VLOOKUP(T917,'CAFCO 300 IDIEM TABLAS'!$J$4:$L$40,3,FALSE),0)+IF(AND(M917="Ensayo Idiem",L917="Cafco 400",C917="IN",G917=4,I917=90),VLOOKUP(T917,'CAFCO 400 ENSAYO'!$B$7:$D$43,2,FALSE),0)+IF(AND(M917="Ensayo Idiem",L917="Cafco 400",C917="IN",G917=4,I917=120),VLOOKUP(T917,'CAFCO 400 ENSAYO'!$B$7:$D$43,3,FALSE),0)</f>
        <v>0</v>
      </c>
      <c r="O917" s="96">
        <f t="shared" si="96"/>
        <v>0</v>
      </c>
      <c r="P917" s="132" t="str">
        <f t="shared" si="91"/>
        <v>N/A</v>
      </c>
      <c r="Q917" s="132" t="str">
        <f t="shared" si="92"/>
        <v>N/A</v>
      </c>
      <c r="R917" s="132" t="str">
        <f t="shared" si="93"/>
        <v>NO CERT.</v>
      </c>
      <c r="S917" s="132" t="e">
        <f t="shared" si="94"/>
        <v>#N/A</v>
      </c>
      <c r="T917" s="133" t="e">
        <f>+IF(J917=LOOKUP(J917,'CAFCO 300 IDIEM TABLAS'!$J$4:$J$40),'CALCULO MORTERO'!J917,MROUND('CALCULO MORTERO'!J917,10))</f>
        <v>#N/A</v>
      </c>
      <c r="U917" s="134">
        <f t="shared" si="95"/>
        <v>0</v>
      </c>
    </row>
    <row r="918" spans="1:21" x14ac:dyDescent="0.25">
      <c r="A918" s="118">
        <f>+CUBICACION!D912</f>
        <v>0</v>
      </c>
      <c r="B918" s="819">
        <f>+CUBICACION!E912</f>
        <v>0</v>
      </c>
      <c r="C918" s="675">
        <f>+CUBICACION!F912</f>
        <v>0</v>
      </c>
      <c r="D918" s="118"/>
      <c r="E918" s="118"/>
      <c r="F918" s="820"/>
      <c r="G918" s="675">
        <f>+CUBICACION!J912</f>
        <v>0</v>
      </c>
      <c r="H918" s="118"/>
      <c r="I918" s="821">
        <f>+CUBICACION!L912</f>
        <v>0</v>
      </c>
      <c r="J918" s="64">
        <f>+CUBICACION!M912</f>
        <v>0</v>
      </c>
      <c r="K918" s="822" t="str">
        <f>+CUBICACION!N912</f>
        <v/>
      </c>
      <c r="L918" s="118">
        <f>+CUBICACION!O912</f>
        <v>0</v>
      </c>
      <c r="M918" s="823">
        <f>+CUBICACION!P912</f>
        <v>0</v>
      </c>
      <c r="N918" s="902">
        <f>ROUND(IF(AND(L918="Blaze Shield II",M918="Software Idiem",C918="IN",G918=4),((('BLAZE SHIELD II'!$D$4*('CALCULO MORTERO'!I918^2)+'BLAZE SHIELD II'!$D$5*'CALCULO MORTERO'!I918+'BLAZE SHIELD II'!$D$6)*LN(J918))+('BLAZE SHIELD II'!$D$7*('CALCULO MORTERO'!I918^2)+'BLAZE SHIELD II'!$D$8*'CALCULO MORTERO'!I918+'BLAZE SHIELD II'!$D$9)),0)+IF(AND(L918="Blaze Shield II",M918="Software Idiem",C918="Cj"),((('BLAZE SHIELD II'!$H$4*('CALCULO MORTERO'!I918^2)+'BLAZE SHIELD II'!$H$5*'CALCULO MORTERO'!I918+'BLAZE SHIELD II'!$H$6)*LN(J918))+('BLAZE SHIELD II'!$H$7*('CALCULO MORTERO'!I918^2)+'BLAZE SHIELD II'!$H$8*'CALCULO MORTERO'!I918+'BLAZE SHIELD II'!$H$9)),0)+IF(AND(L918="Blaze Shield II",M918="Software Idiem",C918="C"),((('BLAZE SHIELD II'!$L$4*('CALCULO MORTERO'!I918^2)+'BLAZE SHIELD II'!$L$5*'CALCULO MORTERO'!I918+'BLAZE SHIELD II'!$L$6)*LN(J918))+('BLAZE SHIELD II'!$L$7*('CALCULO MORTERO'!I918^2)+'BLAZE SHIELD II'!$L$8*'CALCULO MORTERO'!I918+'BLAZE SHIELD II'!$L$9)),0)+IF(AND(L918="Blaze Shield II",M918="Software Idiem",C918="L"),((('BLAZE SHIELD II'!$L$4*('CALCULO MORTERO'!I918^2)+'BLAZE SHIELD II'!$L$5*'CALCULO MORTERO'!I918+'BLAZE SHIELD II'!$L$6)*LN(J918))+('BLAZE SHIELD II'!$L$7*('CALCULO MORTERO'!I918^2)+'BLAZE SHIELD II'!$L$8*'CALCULO MORTERO'!I918+'BLAZE SHIELD II'!$L$9)),0)+IF(AND(L918="Blaze Shield II",M918="Software Idiem",C918="IN",G918=3),((('BLAZE SHIELD II'!$H$14*('CALCULO MORTERO'!I918^2)+'BLAZE SHIELD II'!$H$15*'CALCULO MORTERO'!I918+'BLAZE SHIELD II'!$H$16)*LN(J918))+('BLAZE SHIELD II'!$H$17*('CALCULO MORTERO'!I918^2)+'BLAZE SHIELD II'!$H$18*'CALCULO MORTERO'!I918+'BLAZE SHIELD II'!$H$19)),0),0)+ROUND(IF(AND(L918="Cafco 400",M918="Software Idiem",C918="IN",G918=4),((('CAFCO 400 '!$H$7*(J918^4)+'CAFCO 400 '!$H$8*(J918^3)+'CAFCO 400 '!$H$9*(J918^2)+'CAFCO 400 '!$H$10*J918+'CAFCO 400 '!$H$11)*U918^2)+(('CAFCO 400 '!$H$12*(J918^3)+'CAFCO 400 '!$H$13*(J918^2)+'CAFCO 400 '!$H$14*J918+'CAFCO 400 '!$H$15)*U918)+('CAFCO 400 '!$H$16*(J918^2)+'CAFCO 400 '!$H$17*J918+'CAFCO 400 '!$H$18)),0)+IF(AND(L918="Cafco 400",M918="Software Idiem",C918="Cj"),(((('CAFCO 400 '!$D$7*LN(J918)+'CAFCO 400 '!$D$8)*U918^2)+(('CAFCO 400 '!$D$9*LN(J918)+'CAFCO 400 '!$D$10)*U918)+('CAFCO 400 '!$D$11*LN(J918)+'CAFCO 400 '!$D$12))),0)+IF(AND(L918="Cafco 400",M918="Software Idiem",C918="C"),((('CAFCO 400 '!$L$7*(J918^3)+'CAFCO 400 '!$L$8*(J918^2)+'CAFCO 400 '!$L$9*J918+'CAFCO 400 '!$L$10)*U918^2)+(('CAFCO 400 '!$L$11*(J918^3)+'CAFCO 400 '!$L$12*(J918^2)+'CAFCO 400 '!$L$13*J918+'CAFCO 400 '!$L$14)*U918)+('CAFCO 400 '!$L$15*LN(J918)+'CAFCO 400 '!$L$16)),0)+IF(AND(L918="Cafco 400",M918="Software Idiem",C918="L"),((('CAFCO 400 '!$L$7*(J918^3)+'CAFCO 400 '!$L$8*(J918^2)+'CAFCO 400 '!$L$9*J918+'CAFCO 400 '!$L$10)*U918^2)+(('CAFCO 400 '!$L$11*(J918^3)+'CAFCO 400 '!$L$12*(J918^2)+'CAFCO 400 '!$L$13*J918+'CAFCO 400 '!$L$14)*U918)+('CAFCO 400 '!$L$15*LN(J918)+'CAFCO 400 '!$L$16)),0)+IF(AND(L918="Cafco 400",M918="Software Idiem",C918="IN",G918=3),((('CAFCO 400 '!$D$23*(J918^2)+'CAFCO 400 '!$D$24*(J918)+'CAFCO 400 '!$D$25)*U918^2)+(('CAFCO 400 '!$D$26*(J918^2)+'CAFCO 400 '!$D$27*J918+'CAFCO 400 '!$D$28)*U918)+('CAFCO 400 '!$D$29*(J918^2)+'CAFCO 400 '!$D$30*J918+'CAFCO 400 '!$D$31)),0),0)+IF(AND(L918="Cafco 300",J918&gt;=95,J918&lt;=240,C918="Cj",I918=90),VLOOKUP(T918,'CAFCO 300 IDIEM TABLAS'!$B$4:$D$23,2,FALSE),0)+IF(AND(L918="Cafco 300",J918&gt;=95,J918&lt;=240,C918="Cj",I918=120),VLOOKUP(T918,'CAFCO 300 IDIEM TABLAS'!$B$4:$D$23,3,FALSE),0)+IF(AND(L918="Cafco 300",J918&gt;=95,J918&lt;=400,G918=3,C918="IN",I918=90),VLOOKUP(T918,'CAFCO 300 IDIEM TABLAS'!$F$4:$H$35,2,FALSE),0)+IF(AND(L918="Cafco 300",J918&gt;=95,J918&lt;=400,G918=3,C918="IN",I918=120),VLOOKUP(T918,'CAFCO 300 IDIEM TABLAS'!$F$4:$H$35,3,FALSE),0)+IF(AND(L918="Cafco 300",J918&gt;=95,J918&lt;=450,G918=4,C918="IN",I918=90),VLOOKUP(T918,'CAFCO 300 IDIEM TABLAS'!$J$4:$L$40,2,FALSE),0)+IF(AND(L918="Cafco 300",J918&gt;=95,J918&lt;=450,G918=4,C918="IN",I918=120),VLOOKUP(T918,'CAFCO 300 IDIEM TABLAS'!$J$4:$L$40,3,FALSE),0)+IF(AND(M918="Ensayo Idiem",L918="Cafco 400",C918="IN",G918=4,I918=90),VLOOKUP(T918,'CAFCO 400 ENSAYO'!$B$7:$D$43,2,FALSE),0)+IF(AND(M918="Ensayo Idiem",L918="Cafco 400",C918="IN",G918=4,I918=120),VLOOKUP(T918,'CAFCO 400 ENSAYO'!$B$7:$D$43,3,FALSE),0)</f>
        <v>0</v>
      </c>
      <c r="O918" s="96">
        <f t="shared" si="96"/>
        <v>0</v>
      </c>
      <c r="P918" s="95" t="str">
        <f t="shared" si="91"/>
        <v>N/A</v>
      </c>
      <c r="Q918" s="95" t="str">
        <f t="shared" si="92"/>
        <v>N/A</v>
      </c>
      <c r="R918" s="95" t="str">
        <f t="shared" si="93"/>
        <v>NO CERT.</v>
      </c>
      <c r="S918" s="95" t="e">
        <f t="shared" si="94"/>
        <v>#N/A</v>
      </c>
      <c r="T918" s="119" t="e">
        <f>+IF(J918=LOOKUP(J918,'CAFCO 300 IDIEM TABLAS'!$J$4:$J$40),'CALCULO MORTERO'!J918,MROUND('CALCULO MORTERO'!J918,10))</f>
        <v>#N/A</v>
      </c>
      <c r="U918" s="118">
        <f t="shared" si="95"/>
        <v>0</v>
      </c>
    </row>
    <row r="919" spans="1:21" x14ac:dyDescent="0.25">
      <c r="A919" s="118">
        <f>+CUBICACION!D913</f>
        <v>0</v>
      </c>
      <c r="B919" s="819">
        <f>+CUBICACION!E913</f>
        <v>0</v>
      </c>
      <c r="C919" s="675">
        <f>+CUBICACION!F913</f>
        <v>0</v>
      </c>
      <c r="D919" s="118"/>
      <c r="E919" s="118"/>
      <c r="F919" s="820"/>
      <c r="G919" s="675">
        <f>+CUBICACION!J913</f>
        <v>0</v>
      </c>
      <c r="H919" s="118"/>
      <c r="I919" s="821">
        <f>+CUBICACION!L913</f>
        <v>0</v>
      </c>
      <c r="J919" s="64">
        <f>+CUBICACION!M913</f>
        <v>0</v>
      </c>
      <c r="K919" s="822" t="str">
        <f>+CUBICACION!N913</f>
        <v/>
      </c>
      <c r="L919" s="118">
        <f>+CUBICACION!O913</f>
        <v>0</v>
      </c>
      <c r="M919" s="823">
        <f>+CUBICACION!P913</f>
        <v>0</v>
      </c>
      <c r="N919" s="902">
        <f>ROUND(IF(AND(L919="Blaze Shield II",M919="Software Idiem",C919="IN",G919=4),((('BLAZE SHIELD II'!$D$4*('CALCULO MORTERO'!I919^2)+'BLAZE SHIELD II'!$D$5*'CALCULO MORTERO'!I919+'BLAZE SHIELD II'!$D$6)*LN(J919))+('BLAZE SHIELD II'!$D$7*('CALCULO MORTERO'!I919^2)+'BLAZE SHIELD II'!$D$8*'CALCULO MORTERO'!I919+'BLAZE SHIELD II'!$D$9)),0)+IF(AND(L919="Blaze Shield II",M919="Software Idiem",C919="Cj"),((('BLAZE SHIELD II'!$H$4*('CALCULO MORTERO'!I919^2)+'BLAZE SHIELD II'!$H$5*'CALCULO MORTERO'!I919+'BLAZE SHIELD II'!$H$6)*LN(J919))+('BLAZE SHIELD II'!$H$7*('CALCULO MORTERO'!I919^2)+'BLAZE SHIELD II'!$H$8*'CALCULO MORTERO'!I919+'BLAZE SHIELD II'!$H$9)),0)+IF(AND(L919="Blaze Shield II",M919="Software Idiem",C919="C"),((('BLAZE SHIELD II'!$L$4*('CALCULO MORTERO'!I919^2)+'BLAZE SHIELD II'!$L$5*'CALCULO MORTERO'!I919+'BLAZE SHIELD II'!$L$6)*LN(J919))+('BLAZE SHIELD II'!$L$7*('CALCULO MORTERO'!I919^2)+'BLAZE SHIELD II'!$L$8*'CALCULO MORTERO'!I919+'BLAZE SHIELD II'!$L$9)),0)+IF(AND(L919="Blaze Shield II",M919="Software Idiem",C919="L"),((('BLAZE SHIELD II'!$L$4*('CALCULO MORTERO'!I919^2)+'BLAZE SHIELD II'!$L$5*'CALCULO MORTERO'!I919+'BLAZE SHIELD II'!$L$6)*LN(J919))+('BLAZE SHIELD II'!$L$7*('CALCULO MORTERO'!I919^2)+'BLAZE SHIELD II'!$L$8*'CALCULO MORTERO'!I919+'BLAZE SHIELD II'!$L$9)),0)+IF(AND(L919="Blaze Shield II",M919="Software Idiem",C919="IN",G919=3),((('BLAZE SHIELD II'!$H$14*('CALCULO MORTERO'!I919^2)+'BLAZE SHIELD II'!$H$15*'CALCULO MORTERO'!I919+'BLAZE SHIELD II'!$H$16)*LN(J919))+('BLAZE SHIELD II'!$H$17*('CALCULO MORTERO'!I919^2)+'BLAZE SHIELD II'!$H$18*'CALCULO MORTERO'!I919+'BLAZE SHIELD II'!$H$19)),0),0)+ROUND(IF(AND(L919="Cafco 400",M919="Software Idiem",C919="IN",G919=4),((('CAFCO 400 '!$H$7*(J919^4)+'CAFCO 400 '!$H$8*(J919^3)+'CAFCO 400 '!$H$9*(J919^2)+'CAFCO 400 '!$H$10*J919+'CAFCO 400 '!$H$11)*U919^2)+(('CAFCO 400 '!$H$12*(J919^3)+'CAFCO 400 '!$H$13*(J919^2)+'CAFCO 400 '!$H$14*J919+'CAFCO 400 '!$H$15)*U919)+('CAFCO 400 '!$H$16*(J919^2)+'CAFCO 400 '!$H$17*J919+'CAFCO 400 '!$H$18)),0)+IF(AND(L919="Cafco 400",M919="Software Idiem",C919="Cj"),(((('CAFCO 400 '!$D$7*LN(J919)+'CAFCO 400 '!$D$8)*U919^2)+(('CAFCO 400 '!$D$9*LN(J919)+'CAFCO 400 '!$D$10)*U919)+('CAFCO 400 '!$D$11*LN(J919)+'CAFCO 400 '!$D$12))),0)+IF(AND(L919="Cafco 400",M919="Software Idiem",C919="C"),((('CAFCO 400 '!$L$7*(J919^3)+'CAFCO 400 '!$L$8*(J919^2)+'CAFCO 400 '!$L$9*J919+'CAFCO 400 '!$L$10)*U919^2)+(('CAFCO 400 '!$L$11*(J919^3)+'CAFCO 400 '!$L$12*(J919^2)+'CAFCO 400 '!$L$13*J919+'CAFCO 400 '!$L$14)*U919)+('CAFCO 400 '!$L$15*LN(J919)+'CAFCO 400 '!$L$16)),0)+IF(AND(L919="Cafco 400",M919="Software Idiem",C919="L"),((('CAFCO 400 '!$L$7*(J919^3)+'CAFCO 400 '!$L$8*(J919^2)+'CAFCO 400 '!$L$9*J919+'CAFCO 400 '!$L$10)*U919^2)+(('CAFCO 400 '!$L$11*(J919^3)+'CAFCO 400 '!$L$12*(J919^2)+'CAFCO 400 '!$L$13*J919+'CAFCO 400 '!$L$14)*U919)+('CAFCO 400 '!$L$15*LN(J919)+'CAFCO 400 '!$L$16)),0)+IF(AND(L919="Cafco 400",M919="Software Idiem",C919="IN",G919=3),((('CAFCO 400 '!$D$23*(J919^2)+'CAFCO 400 '!$D$24*(J919)+'CAFCO 400 '!$D$25)*U919^2)+(('CAFCO 400 '!$D$26*(J919^2)+'CAFCO 400 '!$D$27*J919+'CAFCO 400 '!$D$28)*U919)+('CAFCO 400 '!$D$29*(J919^2)+'CAFCO 400 '!$D$30*J919+'CAFCO 400 '!$D$31)),0),0)+IF(AND(L919="Cafco 300",J919&gt;=95,J919&lt;=240,C919="Cj",I919=90),VLOOKUP(T919,'CAFCO 300 IDIEM TABLAS'!$B$4:$D$23,2,FALSE),0)+IF(AND(L919="Cafco 300",J919&gt;=95,J919&lt;=240,C919="Cj",I919=120),VLOOKUP(T919,'CAFCO 300 IDIEM TABLAS'!$B$4:$D$23,3,FALSE),0)+IF(AND(L919="Cafco 300",J919&gt;=95,J919&lt;=400,G919=3,C919="IN",I919=90),VLOOKUP(T919,'CAFCO 300 IDIEM TABLAS'!$F$4:$H$35,2,FALSE),0)+IF(AND(L919="Cafco 300",J919&gt;=95,J919&lt;=400,G919=3,C919="IN",I919=120),VLOOKUP(T919,'CAFCO 300 IDIEM TABLAS'!$F$4:$H$35,3,FALSE),0)+IF(AND(L919="Cafco 300",J919&gt;=95,J919&lt;=450,G919=4,C919="IN",I919=90),VLOOKUP(T919,'CAFCO 300 IDIEM TABLAS'!$J$4:$L$40,2,FALSE),0)+IF(AND(L919="Cafco 300",J919&gt;=95,J919&lt;=450,G919=4,C919="IN",I919=120),VLOOKUP(T919,'CAFCO 300 IDIEM TABLAS'!$J$4:$L$40,3,FALSE),0)+IF(AND(M919="Ensayo Idiem",L919="Cafco 400",C919="IN",G919=4,I919=90),VLOOKUP(T919,'CAFCO 400 ENSAYO'!$B$7:$D$43,2,FALSE),0)+IF(AND(M919="Ensayo Idiem",L919="Cafco 400",C919="IN",G919=4,I919=120),VLOOKUP(T919,'CAFCO 400 ENSAYO'!$B$7:$D$43,3,FALSE),0)</f>
        <v>0</v>
      </c>
      <c r="O919" s="96">
        <f t="shared" si="96"/>
        <v>0</v>
      </c>
      <c r="P919" s="132" t="str">
        <f t="shared" si="91"/>
        <v>N/A</v>
      </c>
      <c r="Q919" s="132" t="str">
        <f t="shared" si="92"/>
        <v>N/A</v>
      </c>
      <c r="R919" s="132" t="str">
        <f t="shared" si="93"/>
        <v>NO CERT.</v>
      </c>
      <c r="S919" s="132" t="e">
        <f t="shared" si="94"/>
        <v>#N/A</v>
      </c>
      <c r="T919" s="133" t="e">
        <f>+IF(J919=LOOKUP(J919,'CAFCO 300 IDIEM TABLAS'!$J$4:$J$40),'CALCULO MORTERO'!J919,MROUND('CALCULO MORTERO'!J919,10))</f>
        <v>#N/A</v>
      </c>
      <c r="U919" s="134">
        <f t="shared" si="95"/>
        <v>0</v>
      </c>
    </row>
    <row r="920" spans="1:21" x14ac:dyDescent="0.25">
      <c r="A920" s="118">
        <f>+CUBICACION!D914</f>
        <v>0</v>
      </c>
      <c r="B920" s="819">
        <f>+CUBICACION!E914</f>
        <v>0</v>
      </c>
      <c r="C920" s="675">
        <f>+CUBICACION!F914</f>
        <v>0</v>
      </c>
      <c r="D920" s="118"/>
      <c r="E920" s="118"/>
      <c r="F920" s="820"/>
      <c r="G920" s="675">
        <f>+CUBICACION!J914</f>
        <v>0</v>
      </c>
      <c r="H920" s="118"/>
      <c r="I920" s="821">
        <f>+CUBICACION!L914</f>
        <v>0</v>
      </c>
      <c r="J920" s="64">
        <f>+CUBICACION!M914</f>
        <v>0</v>
      </c>
      <c r="K920" s="822" t="str">
        <f>+CUBICACION!N914</f>
        <v/>
      </c>
      <c r="L920" s="118">
        <f>+CUBICACION!O914</f>
        <v>0</v>
      </c>
      <c r="M920" s="823">
        <f>+CUBICACION!P914</f>
        <v>0</v>
      </c>
      <c r="N920" s="902">
        <f>ROUND(IF(AND(L920="Blaze Shield II",M920="Software Idiem",C920="IN",G920=4),((('BLAZE SHIELD II'!$D$4*('CALCULO MORTERO'!I920^2)+'BLAZE SHIELD II'!$D$5*'CALCULO MORTERO'!I920+'BLAZE SHIELD II'!$D$6)*LN(J920))+('BLAZE SHIELD II'!$D$7*('CALCULO MORTERO'!I920^2)+'BLAZE SHIELD II'!$D$8*'CALCULO MORTERO'!I920+'BLAZE SHIELD II'!$D$9)),0)+IF(AND(L920="Blaze Shield II",M920="Software Idiem",C920="Cj"),((('BLAZE SHIELD II'!$H$4*('CALCULO MORTERO'!I920^2)+'BLAZE SHIELD II'!$H$5*'CALCULO MORTERO'!I920+'BLAZE SHIELD II'!$H$6)*LN(J920))+('BLAZE SHIELD II'!$H$7*('CALCULO MORTERO'!I920^2)+'BLAZE SHIELD II'!$H$8*'CALCULO MORTERO'!I920+'BLAZE SHIELD II'!$H$9)),0)+IF(AND(L920="Blaze Shield II",M920="Software Idiem",C920="C"),((('BLAZE SHIELD II'!$L$4*('CALCULO MORTERO'!I920^2)+'BLAZE SHIELD II'!$L$5*'CALCULO MORTERO'!I920+'BLAZE SHIELD II'!$L$6)*LN(J920))+('BLAZE SHIELD II'!$L$7*('CALCULO MORTERO'!I920^2)+'BLAZE SHIELD II'!$L$8*'CALCULO MORTERO'!I920+'BLAZE SHIELD II'!$L$9)),0)+IF(AND(L920="Blaze Shield II",M920="Software Idiem",C920="L"),((('BLAZE SHIELD II'!$L$4*('CALCULO MORTERO'!I920^2)+'BLAZE SHIELD II'!$L$5*'CALCULO MORTERO'!I920+'BLAZE SHIELD II'!$L$6)*LN(J920))+('BLAZE SHIELD II'!$L$7*('CALCULO MORTERO'!I920^2)+'BLAZE SHIELD II'!$L$8*'CALCULO MORTERO'!I920+'BLAZE SHIELD II'!$L$9)),0)+IF(AND(L920="Blaze Shield II",M920="Software Idiem",C920="IN",G920=3),((('BLAZE SHIELD II'!$H$14*('CALCULO MORTERO'!I920^2)+'BLAZE SHIELD II'!$H$15*'CALCULO MORTERO'!I920+'BLAZE SHIELD II'!$H$16)*LN(J920))+('BLAZE SHIELD II'!$H$17*('CALCULO MORTERO'!I920^2)+'BLAZE SHIELD II'!$H$18*'CALCULO MORTERO'!I920+'BLAZE SHIELD II'!$H$19)),0),0)+ROUND(IF(AND(L920="Cafco 400",M920="Software Idiem",C920="IN",G920=4),((('CAFCO 400 '!$H$7*(J920^4)+'CAFCO 400 '!$H$8*(J920^3)+'CAFCO 400 '!$H$9*(J920^2)+'CAFCO 400 '!$H$10*J920+'CAFCO 400 '!$H$11)*U920^2)+(('CAFCO 400 '!$H$12*(J920^3)+'CAFCO 400 '!$H$13*(J920^2)+'CAFCO 400 '!$H$14*J920+'CAFCO 400 '!$H$15)*U920)+('CAFCO 400 '!$H$16*(J920^2)+'CAFCO 400 '!$H$17*J920+'CAFCO 400 '!$H$18)),0)+IF(AND(L920="Cafco 400",M920="Software Idiem",C920="Cj"),(((('CAFCO 400 '!$D$7*LN(J920)+'CAFCO 400 '!$D$8)*U920^2)+(('CAFCO 400 '!$D$9*LN(J920)+'CAFCO 400 '!$D$10)*U920)+('CAFCO 400 '!$D$11*LN(J920)+'CAFCO 400 '!$D$12))),0)+IF(AND(L920="Cafco 400",M920="Software Idiem",C920="C"),((('CAFCO 400 '!$L$7*(J920^3)+'CAFCO 400 '!$L$8*(J920^2)+'CAFCO 400 '!$L$9*J920+'CAFCO 400 '!$L$10)*U920^2)+(('CAFCO 400 '!$L$11*(J920^3)+'CAFCO 400 '!$L$12*(J920^2)+'CAFCO 400 '!$L$13*J920+'CAFCO 400 '!$L$14)*U920)+('CAFCO 400 '!$L$15*LN(J920)+'CAFCO 400 '!$L$16)),0)+IF(AND(L920="Cafco 400",M920="Software Idiem",C920="L"),((('CAFCO 400 '!$L$7*(J920^3)+'CAFCO 400 '!$L$8*(J920^2)+'CAFCO 400 '!$L$9*J920+'CAFCO 400 '!$L$10)*U920^2)+(('CAFCO 400 '!$L$11*(J920^3)+'CAFCO 400 '!$L$12*(J920^2)+'CAFCO 400 '!$L$13*J920+'CAFCO 400 '!$L$14)*U920)+('CAFCO 400 '!$L$15*LN(J920)+'CAFCO 400 '!$L$16)),0)+IF(AND(L920="Cafco 400",M920="Software Idiem",C920="IN",G920=3),((('CAFCO 400 '!$D$23*(J920^2)+'CAFCO 400 '!$D$24*(J920)+'CAFCO 400 '!$D$25)*U920^2)+(('CAFCO 400 '!$D$26*(J920^2)+'CAFCO 400 '!$D$27*J920+'CAFCO 400 '!$D$28)*U920)+('CAFCO 400 '!$D$29*(J920^2)+'CAFCO 400 '!$D$30*J920+'CAFCO 400 '!$D$31)),0),0)+IF(AND(L920="Cafco 300",J920&gt;=95,J920&lt;=240,C920="Cj",I920=90),VLOOKUP(T920,'CAFCO 300 IDIEM TABLAS'!$B$4:$D$23,2,FALSE),0)+IF(AND(L920="Cafco 300",J920&gt;=95,J920&lt;=240,C920="Cj",I920=120),VLOOKUP(T920,'CAFCO 300 IDIEM TABLAS'!$B$4:$D$23,3,FALSE),0)+IF(AND(L920="Cafco 300",J920&gt;=95,J920&lt;=400,G920=3,C920="IN",I920=90),VLOOKUP(T920,'CAFCO 300 IDIEM TABLAS'!$F$4:$H$35,2,FALSE),0)+IF(AND(L920="Cafco 300",J920&gt;=95,J920&lt;=400,G920=3,C920="IN",I920=120),VLOOKUP(T920,'CAFCO 300 IDIEM TABLAS'!$F$4:$H$35,3,FALSE),0)+IF(AND(L920="Cafco 300",J920&gt;=95,J920&lt;=450,G920=4,C920="IN",I920=90),VLOOKUP(T920,'CAFCO 300 IDIEM TABLAS'!$J$4:$L$40,2,FALSE),0)+IF(AND(L920="Cafco 300",J920&gt;=95,J920&lt;=450,G920=4,C920="IN",I920=120),VLOOKUP(T920,'CAFCO 300 IDIEM TABLAS'!$J$4:$L$40,3,FALSE),0)+IF(AND(M920="Ensayo Idiem",L920="Cafco 400",C920="IN",G920=4,I920=90),VLOOKUP(T920,'CAFCO 400 ENSAYO'!$B$7:$D$43,2,FALSE),0)+IF(AND(M920="Ensayo Idiem",L920="Cafco 400",C920="IN",G920=4,I920=120),VLOOKUP(T920,'CAFCO 400 ENSAYO'!$B$7:$D$43,3,FALSE),0)</f>
        <v>0</v>
      </c>
      <c r="O920" s="96">
        <f t="shared" si="96"/>
        <v>0</v>
      </c>
      <c r="P920" s="95" t="str">
        <f t="shared" si="91"/>
        <v>N/A</v>
      </c>
      <c r="Q920" s="95" t="str">
        <f t="shared" si="92"/>
        <v>N/A</v>
      </c>
      <c r="R920" s="95" t="str">
        <f t="shared" si="93"/>
        <v>NO CERT.</v>
      </c>
      <c r="S920" s="95" t="e">
        <f t="shared" si="94"/>
        <v>#N/A</v>
      </c>
      <c r="T920" s="119" t="e">
        <f>+IF(J920=LOOKUP(J920,'CAFCO 300 IDIEM TABLAS'!$J$4:$J$40),'CALCULO MORTERO'!J920,MROUND('CALCULO MORTERO'!J920,10))</f>
        <v>#N/A</v>
      </c>
      <c r="U920" s="118">
        <f t="shared" si="95"/>
        <v>0</v>
      </c>
    </row>
    <row r="921" spans="1:21" x14ac:dyDescent="0.25">
      <c r="A921" s="118">
        <f>+CUBICACION!D915</f>
        <v>0</v>
      </c>
      <c r="B921" s="819">
        <f>+CUBICACION!E915</f>
        <v>0</v>
      </c>
      <c r="C921" s="675">
        <f>+CUBICACION!F915</f>
        <v>0</v>
      </c>
      <c r="D921" s="118"/>
      <c r="E921" s="118"/>
      <c r="F921" s="820"/>
      <c r="G921" s="675">
        <f>+CUBICACION!J915</f>
        <v>0</v>
      </c>
      <c r="H921" s="118"/>
      <c r="I921" s="821">
        <f>+CUBICACION!L915</f>
        <v>0</v>
      </c>
      <c r="J921" s="64">
        <f>+CUBICACION!M915</f>
        <v>0</v>
      </c>
      <c r="K921" s="822" t="str">
        <f>+CUBICACION!N915</f>
        <v/>
      </c>
      <c r="L921" s="118">
        <f>+CUBICACION!O915</f>
        <v>0</v>
      </c>
      <c r="M921" s="823">
        <f>+CUBICACION!P915</f>
        <v>0</v>
      </c>
      <c r="N921" s="902">
        <f>ROUND(IF(AND(L921="Blaze Shield II",M921="Software Idiem",C921="IN",G921=4),((('BLAZE SHIELD II'!$D$4*('CALCULO MORTERO'!I921^2)+'BLAZE SHIELD II'!$D$5*'CALCULO MORTERO'!I921+'BLAZE SHIELD II'!$D$6)*LN(J921))+('BLAZE SHIELD II'!$D$7*('CALCULO MORTERO'!I921^2)+'BLAZE SHIELD II'!$D$8*'CALCULO MORTERO'!I921+'BLAZE SHIELD II'!$D$9)),0)+IF(AND(L921="Blaze Shield II",M921="Software Idiem",C921="Cj"),((('BLAZE SHIELD II'!$H$4*('CALCULO MORTERO'!I921^2)+'BLAZE SHIELD II'!$H$5*'CALCULO MORTERO'!I921+'BLAZE SHIELD II'!$H$6)*LN(J921))+('BLAZE SHIELD II'!$H$7*('CALCULO MORTERO'!I921^2)+'BLAZE SHIELD II'!$H$8*'CALCULO MORTERO'!I921+'BLAZE SHIELD II'!$H$9)),0)+IF(AND(L921="Blaze Shield II",M921="Software Idiem",C921="C"),((('BLAZE SHIELD II'!$L$4*('CALCULO MORTERO'!I921^2)+'BLAZE SHIELD II'!$L$5*'CALCULO MORTERO'!I921+'BLAZE SHIELD II'!$L$6)*LN(J921))+('BLAZE SHIELD II'!$L$7*('CALCULO MORTERO'!I921^2)+'BLAZE SHIELD II'!$L$8*'CALCULO MORTERO'!I921+'BLAZE SHIELD II'!$L$9)),0)+IF(AND(L921="Blaze Shield II",M921="Software Idiem",C921="L"),((('BLAZE SHIELD II'!$L$4*('CALCULO MORTERO'!I921^2)+'BLAZE SHIELD II'!$L$5*'CALCULO MORTERO'!I921+'BLAZE SHIELD II'!$L$6)*LN(J921))+('BLAZE SHIELD II'!$L$7*('CALCULO MORTERO'!I921^2)+'BLAZE SHIELD II'!$L$8*'CALCULO MORTERO'!I921+'BLAZE SHIELD II'!$L$9)),0)+IF(AND(L921="Blaze Shield II",M921="Software Idiem",C921="IN",G921=3),((('BLAZE SHIELD II'!$H$14*('CALCULO MORTERO'!I921^2)+'BLAZE SHIELD II'!$H$15*'CALCULO MORTERO'!I921+'BLAZE SHIELD II'!$H$16)*LN(J921))+('BLAZE SHIELD II'!$H$17*('CALCULO MORTERO'!I921^2)+'BLAZE SHIELD II'!$H$18*'CALCULO MORTERO'!I921+'BLAZE SHIELD II'!$H$19)),0),0)+ROUND(IF(AND(L921="Cafco 400",M921="Software Idiem",C921="IN",G921=4),((('CAFCO 400 '!$H$7*(J921^4)+'CAFCO 400 '!$H$8*(J921^3)+'CAFCO 400 '!$H$9*(J921^2)+'CAFCO 400 '!$H$10*J921+'CAFCO 400 '!$H$11)*U921^2)+(('CAFCO 400 '!$H$12*(J921^3)+'CAFCO 400 '!$H$13*(J921^2)+'CAFCO 400 '!$H$14*J921+'CAFCO 400 '!$H$15)*U921)+('CAFCO 400 '!$H$16*(J921^2)+'CAFCO 400 '!$H$17*J921+'CAFCO 400 '!$H$18)),0)+IF(AND(L921="Cafco 400",M921="Software Idiem",C921="Cj"),(((('CAFCO 400 '!$D$7*LN(J921)+'CAFCO 400 '!$D$8)*U921^2)+(('CAFCO 400 '!$D$9*LN(J921)+'CAFCO 400 '!$D$10)*U921)+('CAFCO 400 '!$D$11*LN(J921)+'CAFCO 400 '!$D$12))),0)+IF(AND(L921="Cafco 400",M921="Software Idiem",C921="C"),((('CAFCO 400 '!$L$7*(J921^3)+'CAFCO 400 '!$L$8*(J921^2)+'CAFCO 400 '!$L$9*J921+'CAFCO 400 '!$L$10)*U921^2)+(('CAFCO 400 '!$L$11*(J921^3)+'CAFCO 400 '!$L$12*(J921^2)+'CAFCO 400 '!$L$13*J921+'CAFCO 400 '!$L$14)*U921)+('CAFCO 400 '!$L$15*LN(J921)+'CAFCO 400 '!$L$16)),0)+IF(AND(L921="Cafco 400",M921="Software Idiem",C921="L"),((('CAFCO 400 '!$L$7*(J921^3)+'CAFCO 400 '!$L$8*(J921^2)+'CAFCO 400 '!$L$9*J921+'CAFCO 400 '!$L$10)*U921^2)+(('CAFCO 400 '!$L$11*(J921^3)+'CAFCO 400 '!$L$12*(J921^2)+'CAFCO 400 '!$L$13*J921+'CAFCO 400 '!$L$14)*U921)+('CAFCO 400 '!$L$15*LN(J921)+'CAFCO 400 '!$L$16)),0)+IF(AND(L921="Cafco 400",M921="Software Idiem",C921="IN",G921=3),((('CAFCO 400 '!$D$23*(J921^2)+'CAFCO 400 '!$D$24*(J921)+'CAFCO 400 '!$D$25)*U921^2)+(('CAFCO 400 '!$D$26*(J921^2)+'CAFCO 400 '!$D$27*J921+'CAFCO 400 '!$D$28)*U921)+('CAFCO 400 '!$D$29*(J921^2)+'CAFCO 400 '!$D$30*J921+'CAFCO 400 '!$D$31)),0),0)+IF(AND(L921="Cafco 300",J921&gt;=95,J921&lt;=240,C921="Cj",I921=90),VLOOKUP(T921,'CAFCO 300 IDIEM TABLAS'!$B$4:$D$23,2,FALSE),0)+IF(AND(L921="Cafco 300",J921&gt;=95,J921&lt;=240,C921="Cj",I921=120),VLOOKUP(T921,'CAFCO 300 IDIEM TABLAS'!$B$4:$D$23,3,FALSE),0)+IF(AND(L921="Cafco 300",J921&gt;=95,J921&lt;=400,G921=3,C921="IN",I921=90),VLOOKUP(T921,'CAFCO 300 IDIEM TABLAS'!$F$4:$H$35,2,FALSE),0)+IF(AND(L921="Cafco 300",J921&gt;=95,J921&lt;=400,G921=3,C921="IN",I921=120),VLOOKUP(T921,'CAFCO 300 IDIEM TABLAS'!$F$4:$H$35,3,FALSE),0)+IF(AND(L921="Cafco 300",J921&gt;=95,J921&lt;=450,G921=4,C921="IN",I921=90),VLOOKUP(T921,'CAFCO 300 IDIEM TABLAS'!$J$4:$L$40,2,FALSE),0)+IF(AND(L921="Cafco 300",J921&gt;=95,J921&lt;=450,G921=4,C921="IN",I921=120),VLOOKUP(T921,'CAFCO 300 IDIEM TABLAS'!$J$4:$L$40,3,FALSE),0)+IF(AND(M921="Ensayo Idiem",L921="Cafco 400",C921="IN",G921=4,I921=90),VLOOKUP(T921,'CAFCO 400 ENSAYO'!$B$7:$D$43,2,FALSE),0)+IF(AND(M921="Ensayo Idiem",L921="Cafco 400",C921="IN",G921=4,I921=120),VLOOKUP(T921,'CAFCO 400 ENSAYO'!$B$7:$D$43,3,FALSE),0)</f>
        <v>0</v>
      </c>
      <c r="O921" s="96">
        <f t="shared" si="96"/>
        <v>0</v>
      </c>
      <c r="P921" s="132" t="str">
        <f t="shared" si="91"/>
        <v>N/A</v>
      </c>
      <c r="Q921" s="132" t="str">
        <f t="shared" si="92"/>
        <v>N/A</v>
      </c>
      <c r="R921" s="132" t="str">
        <f t="shared" si="93"/>
        <v>NO CERT.</v>
      </c>
      <c r="S921" s="132" t="e">
        <f t="shared" si="94"/>
        <v>#N/A</v>
      </c>
      <c r="T921" s="133" t="e">
        <f>+IF(J921=LOOKUP(J921,'CAFCO 300 IDIEM TABLAS'!$J$4:$J$40),'CALCULO MORTERO'!J921,MROUND('CALCULO MORTERO'!J921,10))</f>
        <v>#N/A</v>
      </c>
      <c r="U921" s="134">
        <f t="shared" si="95"/>
        <v>0</v>
      </c>
    </row>
    <row r="922" spans="1:21" x14ac:dyDescent="0.25">
      <c r="A922" s="118">
        <f>+CUBICACION!D916</f>
        <v>0</v>
      </c>
      <c r="B922" s="819">
        <f>+CUBICACION!E916</f>
        <v>0</v>
      </c>
      <c r="C922" s="675">
        <f>+CUBICACION!F916</f>
        <v>0</v>
      </c>
      <c r="D922" s="118"/>
      <c r="E922" s="118"/>
      <c r="F922" s="820"/>
      <c r="G922" s="675">
        <f>+CUBICACION!J916</f>
        <v>0</v>
      </c>
      <c r="H922" s="118"/>
      <c r="I922" s="821">
        <f>+CUBICACION!L916</f>
        <v>0</v>
      </c>
      <c r="J922" s="64">
        <f>+CUBICACION!M916</f>
        <v>0</v>
      </c>
      <c r="K922" s="822" t="str">
        <f>+CUBICACION!N916</f>
        <v/>
      </c>
      <c r="L922" s="118">
        <f>+CUBICACION!O916</f>
        <v>0</v>
      </c>
      <c r="M922" s="823">
        <f>+CUBICACION!P916</f>
        <v>0</v>
      </c>
      <c r="N922" s="902">
        <f>ROUND(IF(AND(L922="Blaze Shield II",M922="Software Idiem",C922="IN",G922=4),((('BLAZE SHIELD II'!$D$4*('CALCULO MORTERO'!I922^2)+'BLAZE SHIELD II'!$D$5*'CALCULO MORTERO'!I922+'BLAZE SHIELD II'!$D$6)*LN(J922))+('BLAZE SHIELD II'!$D$7*('CALCULO MORTERO'!I922^2)+'BLAZE SHIELD II'!$D$8*'CALCULO MORTERO'!I922+'BLAZE SHIELD II'!$D$9)),0)+IF(AND(L922="Blaze Shield II",M922="Software Idiem",C922="Cj"),((('BLAZE SHIELD II'!$H$4*('CALCULO MORTERO'!I922^2)+'BLAZE SHIELD II'!$H$5*'CALCULO MORTERO'!I922+'BLAZE SHIELD II'!$H$6)*LN(J922))+('BLAZE SHIELD II'!$H$7*('CALCULO MORTERO'!I922^2)+'BLAZE SHIELD II'!$H$8*'CALCULO MORTERO'!I922+'BLAZE SHIELD II'!$H$9)),0)+IF(AND(L922="Blaze Shield II",M922="Software Idiem",C922="C"),((('BLAZE SHIELD II'!$L$4*('CALCULO MORTERO'!I922^2)+'BLAZE SHIELD II'!$L$5*'CALCULO MORTERO'!I922+'BLAZE SHIELD II'!$L$6)*LN(J922))+('BLAZE SHIELD II'!$L$7*('CALCULO MORTERO'!I922^2)+'BLAZE SHIELD II'!$L$8*'CALCULO MORTERO'!I922+'BLAZE SHIELD II'!$L$9)),0)+IF(AND(L922="Blaze Shield II",M922="Software Idiem",C922="L"),((('BLAZE SHIELD II'!$L$4*('CALCULO MORTERO'!I922^2)+'BLAZE SHIELD II'!$L$5*'CALCULO MORTERO'!I922+'BLAZE SHIELD II'!$L$6)*LN(J922))+('BLAZE SHIELD II'!$L$7*('CALCULO MORTERO'!I922^2)+'BLAZE SHIELD II'!$L$8*'CALCULO MORTERO'!I922+'BLAZE SHIELD II'!$L$9)),0)+IF(AND(L922="Blaze Shield II",M922="Software Idiem",C922="IN",G922=3),((('BLAZE SHIELD II'!$H$14*('CALCULO MORTERO'!I922^2)+'BLAZE SHIELD II'!$H$15*'CALCULO MORTERO'!I922+'BLAZE SHIELD II'!$H$16)*LN(J922))+('BLAZE SHIELD II'!$H$17*('CALCULO MORTERO'!I922^2)+'BLAZE SHIELD II'!$H$18*'CALCULO MORTERO'!I922+'BLAZE SHIELD II'!$H$19)),0),0)+ROUND(IF(AND(L922="Cafco 400",M922="Software Idiem",C922="IN",G922=4),((('CAFCO 400 '!$H$7*(J922^4)+'CAFCO 400 '!$H$8*(J922^3)+'CAFCO 400 '!$H$9*(J922^2)+'CAFCO 400 '!$H$10*J922+'CAFCO 400 '!$H$11)*U922^2)+(('CAFCO 400 '!$H$12*(J922^3)+'CAFCO 400 '!$H$13*(J922^2)+'CAFCO 400 '!$H$14*J922+'CAFCO 400 '!$H$15)*U922)+('CAFCO 400 '!$H$16*(J922^2)+'CAFCO 400 '!$H$17*J922+'CAFCO 400 '!$H$18)),0)+IF(AND(L922="Cafco 400",M922="Software Idiem",C922="Cj"),(((('CAFCO 400 '!$D$7*LN(J922)+'CAFCO 400 '!$D$8)*U922^2)+(('CAFCO 400 '!$D$9*LN(J922)+'CAFCO 400 '!$D$10)*U922)+('CAFCO 400 '!$D$11*LN(J922)+'CAFCO 400 '!$D$12))),0)+IF(AND(L922="Cafco 400",M922="Software Idiem",C922="C"),((('CAFCO 400 '!$L$7*(J922^3)+'CAFCO 400 '!$L$8*(J922^2)+'CAFCO 400 '!$L$9*J922+'CAFCO 400 '!$L$10)*U922^2)+(('CAFCO 400 '!$L$11*(J922^3)+'CAFCO 400 '!$L$12*(J922^2)+'CAFCO 400 '!$L$13*J922+'CAFCO 400 '!$L$14)*U922)+('CAFCO 400 '!$L$15*LN(J922)+'CAFCO 400 '!$L$16)),0)+IF(AND(L922="Cafco 400",M922="Software Idiem",C922="L"),((('CAFCO 400 '!$L$7*(J922^3)+'CAFCO 400 '!$L$8*(J922^2)+'CAFCO 400 '!$L$9*J922+'CAFCO 400 '!$L$10)*U922^2)+(('CAFCO 400 '!$L$11*(J922^3)+'CAFCO 400 '!$L$12*(J922^2)+'CAFCO 400 '!$L$13*J922+'CAFCO 400 '!$L$14)*U922)+('CAFCO 400 '!$L$15*LN(J922)+'CAFCO 400 '!$L$16)),0)+IF(AND(L922="Cafco 400",M922="Software Idiem",C922="IN",G922=3),((('CAFCO 400 '!$D$23*(J922^2)+'CAFCO 400 '!$D$24*(J922)+'CAFCO 400 '!$D$25)*U922^2)+(('CAFCO 400 '!$D$26*(J922^2)+'CAFCO 400 '!$D$27*J922+'CAFCO 400 '!$D$28)*U922)+('CAFCO 400 '!$D$29*(J922^2)+'CAFCO 400 '!$D$30*J922+'CAFCO 400 '!$D$31)),0),0)+IF(AND(L922="Cafco 300",J922&gt;=95,J922&lt;=240,C922="Cj",I922=90),VLOOKUP(T922,'CAFCO 300 IDIEM TABLAS'!$B$4:$D$23,2,FALSE),0)+IF(AND(L922="Cafco 300",J922&gt;=95,J922&lt;=240,C922="Cj",I922=120),VLOOKUP(T922,'CAFCO 300 IDIEM TABLAS'!$B$4:$D$23,3,FALSE),0)+IF(AND(L922="Cafco 300",J922&gt;=95,J922&lt;=400,G922=3,C922="IN",I922=90),VLOOKUP(T922,'CAFCO 300 IDIEM TABLAS'!$F$4:$H$35,2,FALSE),0)+IF(AND(L922="Cafco 300",J922&gt;=95,J922&lt;=400,G922=3,C922="IN",I922=120),VLOOKUP(T922,'CAFCO 300 IDIEM TABLAS'!$F$4:$H$35,3,FALSE),0)+IF(AND(L922="Cafco 300",J922&gt;=95,J922&lt;=450,G922=4,C922="IN",I922=90),VLOOKUP(T922,'CAFCO 300 IDIEM TABLAS'!$J$4:$L$40,2,FALSE),0)+IF(AND(L922="Cafco 300",J922&gt;=95,J922&lt;=450,G922=4,C922="IN",I922=120),VLOOKUP(T922,'CAFCO 300 IDIEM TABLAS'!$J$4:$L$40,3,FALSE),0)+IF(AND(M922="Ensayo Idiem",L922="Cafco 400",C922="IN",G922=4,I922=90),VLOOKUP(T922,'CAFCO 400 ENSAYO'!$B$7:$D$43,2,FALSE),0)+IF(AND(M922="Ensayo Idiem",L922="Cafco 400",C922="IN",G922=4,I922=120),VLOOKUP(T922,'CAFCO 400 ENSAYO'!$B$7:$D$43,3,FALSE),0)</f>
        <v>0</v>
      </c>
      <c r="O922" s="96">
        <f t="shared" si="96"/>
        <v>0</v>
      </c>
      <c r="P922" s="95" t="str">
        <f t="shared" si="91"/>
        <v>N/A</v>
      </c>
      <c r="Q922" s="95" t="str">
        <f t="shared" si="92"/>
        <v>N/A</v>
      </c>
      <c r="R922" s="95" t="str">
        <f t="shared" si="93"/>
        <v>NO CERT.</v>
      </c>
      <c r="S922" s="95" t="e">
        <f t="shared" si="94"/>
        <v>#N/A</v>
      </c>
      <c r="T922" s="119" t="e">
        <f>+IF(J922=LOOKUP(J922,'CAFCO 300 IDIEM TABLAS'!$J$4:$J$40),'CALCULO MORTERO'!J922,MROUND('CALCULO MORTERO'!J922,10))</f>
        <v>#N/A</v>
      </c>
      <c r="U922" s="118">
        <f t="shared" si="95"/>
        <v>0</v>
      </c>
    </row>
    <row r="923" spans="1:21" x14ac:dyDescent="0.25">
      <c r="A923" s="118">
        <f>+CUBICACION!D917</f>
        <v>0</v>
      </c>
      <c r="B923" s="819">
        <f>+CUBICACION!E917</f>
        <v>0</v>
      </c>
      <c r="C923" s="675">
        <f>+CUBICACION!F917</f>
        <v>0</v>
      </c>
      <c r="D923" s="118"/>
      <c r="E923" s="118"/>
      <c r="F923" s="820"/>
      <c r="G923" s="675">
        <f>+CUBICACION!J917</f>
        <v>0</v>
      </c>
      <c r="H923" s="118"/>
      <c r="I923" s="821">
        <f>+CUBICACION!L917</f>
        <v>0</v>
      </c>
      <c r="J923" s="64">
        <f>+CUBICACION!M917</f>
        <v>0</v>
      </c>
      <c r="K923" s="822" t="str">
        <f>+CUBICACION!N917</f>
        <v/>
      </c>
      <c r="L923" s="118">
        <f>+CUBICACION!O917</f>
        <v>0</v>
      </c>
      <c r="M923" s="823">
        <f>+CUBICACION!P917</f>
        <v>0</v>
      </c>
      <c r="N923" s="902">
        <f>ROUND(IF(AND(L923="Blaze Shield II",M923="Software Idiem",C923="IN",G923=4),((('BLAZE SHIELD II'!$D$4*('CALCULO MORTERO'!I923^2)+'BLAZE SHIELD II'!$D$5*'CALCULO MORTERO'!I923+'BLAZE SHIELD II'!$D$6)*LN(J923))+('BLAZE SHIELD II'!$D$7*('CALCULO MORTERO'!I923^2)+'BLAZE SHIELD II'!$D$8*'CALCULO MORTERO'!I923+'BLAZE SHIELD II'!$D$9)),0)+IF(AND(L923="Blaze Shield II",M923="Software Idiem",C923="Cj"),((('BLAZE SHIELD II'!$H$4*('CALCULO MORTERO'!I923^2)+'BLAZE SHIELD II'!$H$5*'CALCULO MORTERO'!I923+'BLAZE SHIELD II'!$H$6)*LN(J923))+('BLAZE SHIELD II'!$H$7*('CALCULO MORTERO'!I923^2)+'BLAZE SHIELD II'!$H$8*'CALCULO MORTERO'!I923+'BLAZE SHIELD II'!$H$9)),0)+IF(AND(L923="Blaze Shield II",M923="Software Idiem",C923="C"),((('BLAZE SHIELD II'!$L$4*('CALCULO MORTERO'!I923^2)+'BLAZE SHIELD II'!$L$5*'CALCULO MORTERO'!I923+'BLAZE SHIELD II'!$L$6)*LN(J923))+('BLAZE SHIELD II'!$L$7*('CALCULO MORTERO'!I923^2)+'BLAZE SHIELD II'!$L$8*'CALCULO MORTERO'!I923+'BLAZE SHIELD II'!$L$9)),0)+IF(AND(L923="Blaze Shield II",M923="Software Idiem",C923="L"),((('BLAZE SHIELD II'!$L$4*('CALCULO MORTERO'!I923^2)+'BLAZE SHIELD II'!$L$5*'CALCULO MORTERO'!I923+'BLAZE SHIELD II'!$L$6)*LN(J923))+('BLAZE SHIELD II'!$L$7*('CALCULO MORTERO'!I923^2)+'BLAZE SHIELD II'!$L$8*'CALCULO MORTERO'!I923+'BLAZE SHIELD II'!$L$9)),0)+IF(AND(L923="Blaze Shield II",M923="Software Idiem",C923="IN",G923=3),((('BLAZE SHIELD II'!$H$14*('CALCULO MORTERO'!I923^2)+'BLAZE SHIELD II'!$H$15*'CALCULO MORTERO'!I923+'BLAZE SHIELD II'!$H$16)*LN(J923))+('BLAZE SHIELD II'!$H$17*('CALCULO MORTERO'!I923^2)+'BLAZE SHIELD II'!$H$18*'CALCULO MORTERO'!I923+'BLAZE SHIELD II'!$H$19)),0),0)+ROUND(IF(AND(L923="Cafco 400",M923="Software Idiem",C923="IN",G923=4),((('CAFCO 400 '!$H$7*(J923^4)+'CAFCO 400 '!$H$8*(J923^3)+'CAFCO 400 '!$H$9*(J923^2)+'CAFCO 400 '!$H$10*J923+'CAFCO 400 '!$H$11)*U923^2)+(('CAFCO 400 '!$H$12*(J923^3)+'CAFCO 400 '!$H$13*(J923^2)+'CAFCO 400 '!$H$14*J923+'CAFCO 400 '!$H$15)*U923)+('CAFCO 400 '!$H$16*(J923^2)+'CAFCO 400 '!$H$17*J923+'CAFCO 400 '!$H$18)),0)+IF(AND(L923="Cafco 400",M923="Software Idiem",C923="Cj"),(((('CAFCO 400 '!$D$7*LN(J923)+'CAFCO 400 '!$D$8)*U923^2)+(('CAFCO 400 '!$D$9*LN(J923)+'CAFCO 400 '!$D$10)*U923)+('CAFCO 400 '!$D$11*LN(J923)+'CAFCO 400 '!$D$12))),0)+IF(AND(L923="Cafco 400",M923="Software Idiem",C923="C"),((('CAFCO 400 '!$L$7*(J923^3)+'CAFCO 400 '!$L$8*(J923^2)+'CAFCO 400 '!$L$9*J923+'CAFCO 400 '!$L$10)*U923^2)+(('CAFCO 400 '!$L$11*(J923^3)+'CAFCO 400 '!$L$12*(J923^2)+'CAFCO 400 '!$L$13*J923+'CAFCO 400 '!$L$14)*U923)+('CAFCO 400 '!$L$15*LN(J923)+'CAFCO 400 '!$L$16)),0)+IF(AND(L923="Cafco 400",M923="Software Idiem",C923="L"),((('CAFCO 400 '!$L$7*(J923^3)+'CAFCO 400 '!$L$8*(J923^2)+'CAFCO 400 '!$L$9*J923+'CAFCO 400 '!$L$10)*U923^2)+(('CAFCO 400 '!$L$11*(J923^3)+'CAFCO 400 '!$L$12*(J923^2)+'CAFCO 400 '!$L$13*J923+'CAFCO 400 '!$L$14)*U923)+('CAFCO 400 '!$L$15*LN(J923)+'CAFCO 400 '!$L$16)),0)+IF(AND(L923="Cafco 400",M923="Software Idiem",C923="IN",G923=3),((('CAFCO 400 '!$D$23*(J923^2)+'CAFCO 400 '!$D$24*(J923)+'CAFCO 400 '!$D$25)*U923^2)+(('CAFCO 400 '!$D$26*(J923^2)+'CAFCO 400 '!$D$27*J923+'CAFCO 400 '!$D$28)*U923)+('CAFCO 400 '!$D$29*(J923^2)+'CAFCO 400 '!$D$30*J923+'CAFCO 400 '!$D$31)),0),0)+IF(AND(L923="Cafco 300",J923&gt;=95,J923&lt;=240,C923="Cj",I923=90),VLOOKUP(T923,'CAFCO 300 IDIEM TABLAS'!$B$4:$D$23,2,FALSE),0)+IF(AND(L923="Cafco 300",J923&gt;=95,J923&lt;=240,C923="Cj",I923=120),VLOOKUP(T923,'CAFCO 300 IDIEM TABLAS'!$B$4:$D$23,3,FALSE),0)+IF(AND(L923="Cafco 300",J923&gt;=95,J923&lt;=400,G923=3,C923="IN",I923=90),VLOOKUP(T923,'CAFCO 300 IDIEM TABLAS'!$F$4:$H$35,2,FALSE),0)+IF(AND(L923="Cafco 300",J923&gt;=95,J923&lt;=400,G923=3,C923="IN",I923=120),VLOOKUP(T923,'CAFCO 300 IDIEM TABLAS'!$F$4:$H$35,3,FALSE),0)+IF(AND(L923="Cafco 300",J923&gt;=95,J923&lt;=450,G923=4,C923="IN",I923=90),VLOOKUP(T923,'CAFCO 300 IDIEM TABLAS'!$J$4:$L$40,2,FALSE),0)+IF(AND(L923="Cafco 300",J923&gt;=95,J923&lt;=450,G923=4,C923="IN",I923=120),VLOOKUP(T923,'CAFCO 300 IDIEM TABLAS'!$J$4:$L$40,3,FALSE),0)+IF(AND(M923="Ensayo Idiem",L923="Cafco 400",C923="IN",G923=4,I923=90),VLOOKUP(T923,'CAFCO 400 ENSAYO'!$B$7:$D$43,2,FALSE),0)+IF(AND(M923="Ensayo Idiem",L923="Cafco 400",C923="IN",G923=4,I923=120),VLOOKUP(T923,'CAFCO 400 ENSAYO'!$B$7:$D$43,3,FALSE),0)</f>
        <v>0</v>
      </c>
      <c r="O923" s="96">
        <f t="shared" si="96"/>
        <v>0</v>
      </c>
      <c r="P923" s="132" t="str">
        <f t="shared" si="91"/>
        <v>N/A</v>
      </c>
      <c r="Q923" s="132" t="str">
        <f t="shared" si="92"/>
        <v>N/A</v>
      </c>
      <c r="R923" s="132" t="str">
        <f t="shared" si="93"/>
        <v>NO CERT.</v>
      </c>
      <c r="S923" s="132" t="e">
        <f t="shared" si="94"/>
        <v>#N/A</v>
      </c>
      <c r="T923" s="133" t="e">
        <f>+IF(J923=LOOKUP(J923,'CAFCO 300 IDIEM TABLAS'!$J$4:$J$40),'CALCULO MORTERO'!J923,MROUND('CALCULO MORTERO'!J923,10))</f>
        <v>#N/A</v>
      </c>
      <c r="U923" s="134">
        <f t="shared" si="95"/>
        <v>0</v>
      </c>
    </row>
    <row r="924" spans="1:21" x14ac:dyDescent="0.25">
      <c r="A924" s="118">
        <f>+CUBICACION!D918</f>
        <v>0</v>
      </c>
      <c r="B924" s="819">
        <f>+CUBICACION!E918</f>
        <v>0</v>
      </c>
      <c r="C924" s="675">
        <f>+CUBICACION!F918</f>
        <v>0</v>
      </c>
      <c r="D924" s="118"/>
      <c r="E924" s="118"/>
      <c r="F924" s="820"/>
      <c r="G924" s="675">
        <f>+CUBICACION!J918</f>
        <v>0</v>
      </c>
      <c r="H924" s="118"/>
      <c r="I924" s="821">
        <f>+CUBICACION!L918</f>
        <v>0</v>
      </c>
      <c r="J924" s="64">
        <f>+CUBICACION!M918</f>
        <v>0</v>
      </c>
      <c r="K924" s="822" t="str">
        <f>+CUBICACION!N918</f>
        <v/>
      </c>
      <c r="L924" s="118">
        <f>+CUBICACION!O918</f>
        <v>0</v>
      </c>
      <c r="M924" s="823">
        <f>+CUBICACION!P918</f>
        <v>0</v>
      </c>
      <c r="N924" s="902">
        <f>ROUND(IF(AND(L924="Blaze Shield II",M924="Software Idiem",C924="IN",G924=4),((('BLAZE SHIELD II'!$D$4*('CALCULO MORTERO'!I924^2)+'BLAZE SHIELD II'!$D$5*'CALCULO MORTERO'!I924+'BLAZE SHIELD II'!$D$6)*LN(J924))+('BLAZE SHIELD II'!$D$7*('CALCULO MORTERO'!I924^2)+'BLAZE SHIELD II'!$D$8*'CALCULO MORTERO'!I924+'BLAZE SHIELD II'!$D$9)),0)+IF(AND(L924="Blaze Shield II",M924="Software Idiem",C924="Cj"),((('BLAZE SHIELD II'!$H$4*('CALCULO MORTERO'!I924^2)+'BLAZE SHIELD II'!$H$5*'CALCULO MORTERO'!I924+'BLAZE SHIELD II'!$H$6)*LN(J924))+('BLAZE SHIELD II'!$H$7*('CALCULO MORTERO'!I924^2)+'BLAZE SHIELD II'!$H$8*'CALCULO MORTERO'!I924+'BLAZE SHIELD II'!$H$9)),0)+IF(AND(L924="Blaze Shield II",M924="Software Idiem",C924="C"),((('BLAZE SHIELD II'!$L$4*('CALCULO MORTERO'!I924^2)+'BLAZE SHIELD II'!$L$5*'CALCULO MORTERO'!I924+'BLAZE SHIELD II'!$L$6)*LN(J924))+('BLAZE SHIELD II'!$L$7*('CALCULO MORTERO'!I924^2)+'BLAZE SHIELD II'!$L$8*'CALCULO MORTERO'!I924+'BLAZE SHIELD II'!$L$9)),0)+IF(AND(L924="Blaze Shield II",M924="Software Idiem",C924="L"),((('BLAZE SHIELD II'!$L$4*('CALCULO MORTERO'!I924^2)+'BLAZE SHIELD II'!$L$5*'CALCULO MORTERO'!I924+'BLAZE SHIELD II'!$L$6)*LN(J924))+('BLAZE SHIELD II'!$L$7*('CALCULO MORTERO'!I924^2)+'BLAZE SHIELD II'!$L$8*'CALCULO MORTERO'!I924+'BLAZE SHIELD II'!$L$9)),0)+IF(AND(L924="Blaze Shield II",M924="Software Idiem",C924="IN",G924=3),((('BLAZE SHIELD II'!$H$14*('CALCULO MORTERO'!I924^2)+'BLAZE SHIELD II'!$H$15*'CALCULO MORTERO'!I924+'BLAZE SHIELD II'!$H$16)*LN(J924))+('BLAZE SHIELD II'!$H$17*('CALCULO MORTERO'!I924^2)+'BLAZE SHIELD II'!$H$18*'CALCULO MORTERO'!I924+'BLAZE SHIELD II'!$H$19)),0),0)+ROUND(IF(AND(L924="Cafco 400",M924="Software Idiem",C924="IN",G924=4),((('CAFCO 400 '!$H$7*(J924^4)+'CAFCO 400 '!$H$8*(J924^3)+'CAFCO 400 '!$H$9*(J924^2)+'CAFCO 400 '!$H$10*J924+'CAFCO 400 '!$H$11)*U924^2)+(('CAFCO 400 '!$H$12*(J924^3)+'CAFCO 400 '!$H$13*(J924^2)+'CAFCO 400 '!$H$14*J924+'CAFCO 400 '!$H$15)*U924)+('CAFCO 400 '!$H$16*(J924^2)+'CAFCO 400 '!$H$17*J924+'CAFCO 400 '!$H$18)),0)+IF(AND(L924="Cafco 400",M924="Software Idiem",C924="Cj"),(((('CAFCO 400 '!$D$7*LN(J924)+'CAFCO 400 '!$D$8)*U924^2)+(('CAFCO 400 '!$D$9*LN(J924)+'CAFCO 400 '!$D$10)*U924)+('CAFCO 400 '!$D$11*LN(J924)+'CAFCO 400 '!$D$12))),0)+IF(AND(L924="Cafco 400",M924="Software Idiem",C924="C"),((('CAFCO 400 '!$L$7*(J924^3)+'CAFCO 400 '!$L$8*(J924^2)+'CAFCO 400 '!$L$9*J924+'CAFCO 400 '!$L$10)*U924^2)+(('CAFCO 400 '!$L$11*(J924^3)+'CAFCO 400 '!$L$12*(J924^2)+'CAFCO 400 '!$L$13*J924+'CAFCO 400 '!$L$14)*U924)+('CAFCO 400 '!$L$15*LN(J924)+'CAFCO 400 '!$L$16)),0)+IF(AND(L924="Cafco 400",M924="Software Idiem",C924="L"),((('CAFCO 400 '!$L$7*(J924^3)+'CAFCO 400 '!$L$8*(J924^2)+'CAFCO 400 '!$L$9*J924+'CAFCO 400 '!$L$10)*U924^2)+(('CAFCO 400 '!$L$11*(J924^3)+'CAFCO 400 '!$L$12*(J924^2)+'CAFCO 400 '!$L$13*J924+'CAFCO 400 '!$L$14)*U924)+('CAFCO 400 '!$L$15*LN(J924)+'CAFCO 400 '!$L$16)),0)+IF(AND(L924="Cafco 400",M924="Software Idiem",C924="IN",G924=3),((('CAFCO 400 '!$D$23*(J924^2)+'CAFCO 400 '!$D$24*(J924)+'CAFCO 400 '!$D$25)*U924^2)+(('CAFCO 400 '!$D$26*(J924^2)+'CAFCO 400 '!$D$27*J924+'CAFCO 400 '!$D$28)*U924)+('CAFCO 400 '!$D$29*(J924^2)+'CAFCO 400 '!$D$30*J924+'CAFCO 400 '!$D$31)),0),0)+IF(AND(L924="Cafco 300",J924&gt;=95,J924&lt;=240,C924="Cj",I924=90),VLOOKUP(T924,'CAFCO 300 IDIEM TABLAS'!$B$4:$D$23,2,FALSE),0)+IF(AND(L924="Cafco 300",J924&gt;=95,J924&lt;=240,C924="Cj",I924=120),VLOOKUP(T924,'CAFCO 300 IDIEM TABLAS'!$B$4:$D$23,3,FALSE),0)+IF(AND(L924="Cafco 300",J924&gt;=95,J924&lt;=400,G924=3,C924="IN",I924=90),VLOOKUP(T924,'CAFCO 300 IDIEM TABLAS'!$F$4:$H$35,2,FALSE),0)+IF(AND(L924="Cafco 300",J924&gt;=95,J924&lt;=400,G924=3,C924="IN",I924=120),VLOOKUP(T924,'CAFCO 300 IDIEM TABLAS'!$F$4:$H$35,3,FALSE),0)+IF(AND(L924="Cafco 300",J924&gt;=95,J924&lt;=450,G924=4,C924="IN",I924=90),VLOOKUP(T924,'CAFCO 300 IDIEM TABLAS'!$J$4:$L$40,2,FALSE),0)+IF(AND(L924="Cafco 300",J924&gt;=95,J924&lt;=450,G924=4,C924="IN",I924=120),VLOOKUP(T924,'CAFCO 300 IDIEM TABLAS'!$J$4:$L$40,3,FALSE),0)+IF(AND(M924="Ensayo Idiem",L924="Cafco 400",C924="IN",G924=4,I924=90),VLOOKUP(T924,'CAFCO 400 ENSAYO'!$B$7:$D$43,2,FALSE),0)+IF(AND(M924="Ensayo Idiem",L924="Cafco 400",C924="IN",G924=4,I924=120),VLOOKUP(T924,'CAFCO 400 ENSAYO'!$B$7:$D$43,3,FALSE),0)</f>
        <v>0</v>
      </c>
      <c r="O924" s="96">
        <f t="shared" si="96"/>
        <v>0</v>
      </c>
      <c r="P924" s="95" t="str">
        <f t="shared" si="91"/>
        <v>N/A</v>
      </c>
      <c r="Q924" s="95" t="str">
        <f t="shared" si="92"/>
        <v>N/A</v>
      </c>
      <c r="R924" s="95" t="str">
        <f t="shared" si="93"/>
        <v>NO CERT.</v>
      </c>
      <c r="S924" s="95" t="e">
        <f t="shared" si="94"/>
        <v>#N/A</v>
      </c>
      <c r="T924" s="119" t="e">
        <f>+IF(J924=LOOKUP(J924,'CAFCO 300 IDIEM TABLAS'!$J$4:$J$40),'CALCULO MORTERO'!J924,MROUND('CALCULO MORTERO'!J924,10))</f>
        <v>#N/A</v>
      </c>
      <c r="U924" s="118">
        <f t="shared" si="95"/>
        <v>0</v>
      </c>
    </row>
    <row r="925" spans="1:21" x14ac:dyDescent="0.25">
      <c r="A925" s="118">
        <f>+CUBICACION!D919</f>
        <v>0</v>
      </c>
      <c r="B925" s="819">
        <f>+CUBICACION!E919</f>
        <v>0</v>
      </c>
      <c r="C925" s="675">
        <f>+CUBICACION!F919</f>
        <v>0</v>
      </c>
      <c r="D925" s="118"/>
      <c r="E925" s="118"/>
      <c r="F925" s="820"/>
      <c r="G925" s="675">
        <f>+CUBICACION!J919</f>
        <v>0</v>
      </c>
      <c r="H925" s="118"/>
      <c r="I925" s="821">
        <f>+CUBICACION!L919</f>
        <v>0</v>
      </c>
      <c r="J925" s="64">
        <f>+CUBICACION!M919</f>
        <v>0</v>
      </c>
      <c r="K925" s="822" t="str">
        <f>+CUBICACION!N919</f>
        <v/>
      </c>
      <c r="L925" s="118">
        <f>+CUBICACION!O919</f>
        <v>0</v>
      </c>
      <c r="M925" s="823">
        <f>+CUBICACION!P919</f>
        <v>0</v>
      </c>
      <c r="N925" s="902">
        <f>ROUND(IF(AND(L925="Blaze Shield II",M925="Software Idiem",C925="IN",G925=4),((('BLAZE SHIELD II'!$D$4*('CALCULO MORTERO'!I925^2)+'BLAZE SHIELD II'!$D$5*'CALCULO MORTERO'!I925+'BLAZE SHIELD II'!$D$6)*LN(J925))+('BLAZE SHIELD II'!$D$7*('CALCULO MORTERO'!I925^2)+'BLAZE SHIELD II'!$D$8*'CALCULO MORTERO'!I925+'BLAZE SHIELD II'!$D$9)),0)+IF(AND(L925="Blaze Shield II",M925="Software Idiem",C925="Cj"),((('BLAZE SHIELD II'!$H$4*('CALCULO MORTERO'!I925^2)+'BLAZE SHIELD II'!$H$5*'CALCULO MORTERO'!I925+'BLAZE SHIELD II'!$H$6)*LN(J925))+('BLAZE SHIELD II'!$H$7*('CALCULO MORTERO'!I925^2)+'BLAZE SHIELD II'!$H$8*'CALCULO MORTERO'!I925+'BLAZE SHIELD II'!$H$9)),0)+IF(AND(L925="Blaze Shield II",M925="Software Idiem",C925="C"),((('BLAZE SHIELD II'!$L$4*('CALCULO MORTERO'!I925^2)+'BLAZE SHIELD II'!$L$5*'CALCULO MORTERO'!I925+'BLAZE SHIELD II'!$L$6)*LN(J925))+('BLAZE SHIELD II'!$L$7*('CALCULO MORTERO'!I925^2)+'BLAZE SHIELD II'!$L$8*'CALCULO MORTERO'!I925+'BLAZE SHIELD II'!$L$9)),0)+IF(AND(L925="Blaze Shield II",M925="Software Idiem",C925="L"),((('BLAZE SHIELD II'!$L$4*('CALCULO MORTERO'!I925^2)+'BLAZE SHIELD II'!$L$5*'CALCULO MORTERO'!I925+'BLAZE SHIELD II'!$L$6)*LN(J925))+('BLAZE SHIELD II'!$L$7*('CALCULO MORTERO'!I925^2)+'BLAZE SHIELD II'!$L$8*'CALCULO MORTERO'!I925+'BLAZE SHIELD II'!$L$9)),0)+IF(AND(L925="Blaze Shield II",M925="Software Idiem",C925="IN",G925=3),((('BLAZE SHIELD II'!$H$14*('CALCULO MORTERO'!I925^2)+'BLAZE SHIELD II'!$H$15*'CALCULO MORTERO'!I925+'BLAZE SHIELD II'!$H$16)*LN(J925))+('BLAZE SHIELD II'!$H$17*('CALCULO MORTERO'!I925^2)+'BLAZE SHIELD II'!$H$18*'CALCULO MORTERO'!I925+'BLAZE SHIELD II'!$H$19)),0),0)+ROUND(IF(AND(L925="Cafco 400",M925="Software Idiem",C925="IN",G925=4),((('CAFCO 400 '!$H$7*(J925^4)+'CAFCO 400 '!$H$8*(J925^3)+'CAFCO 400 '!$H$9*(J925^2)+'CAFCO 400 '!$H$10*J925+'CAFCO 400 '!$H$11)*U925^2)+(('CAFCO 400 '!$H$12*(J925^3)+'CAFCO 400 '!$H$13*(J925^2)+'CAFCO 400 '!$H$14*J925+'CAFCO 400 '!$H$15)*U925)+('CAFCO 400 '!$H$16*(J925^2)+'CAFCO 400 '!$H$17*J925+'CAFCO 400 '!$H$18)),0)+IF(AND(L925="Cafco 400",M925="Software Idiem",C925="Cj"),(((('CAFCO 400 '!$D$7*LN(J925)+'CAFCO 400 '!$D$8)*U925^2)+(('CAFCO 400 '!$D$9*LN(J925)+'CAFCO 400 '!$D$10)*U925)+('CAFCO 400 '!$D$11*LN(J925)+'CAFCO 400 '!$D$12))),0)+IF(AND(L925="Cafco 400",M925="Software Idiem",C925="C"),((('CAFCO 400 '!$L$7*(J925^3)+'CAFCO 400 '!$L$8*(J925^2)+'CAFCO 400 '!$L$9*J925+'CAFCO 400 '!$L$10)*U925^2)+(('CAFCO 400 '!$L$11*(J925^3)+'CAFCO 400 '!$L$12*(J925^2)+'CAFCO 400 '!$L$13*J925+'CAFCO 400 '!$L$14)*U925)+('CAFCO 400 '!$L$15*LN(J925)+'CAFCO 400 '!$L$16)),0)+IF(AND(L925="Cafco 400",M925="Software Idiem",C925="L"),((('CAFCO 400 '!$L$7*(J925^3)+'CAFCO 400 '!$L$8*(J925^2)+'CAFCO 400 '!$L$9*J925+'CAFCO 400 '!$L$10)*U925^2)+(('CAFCO 400 '!$L$11*(J925^3)+'CAFCO 400 '!$L$12*(J925^2)+'CAFCO 400 '!$L$13*J925+'CAFCO 400 '!$L$14)*U925)+('CAFCO 400 '!$L$15*LN(J925)+'CAFCO 400 '!$L$16)),0)+IF(AND(L925="Cafco 400",M925="Software Idiem",C925="IN",G925=3),((('CAFCO 400 '!$D$23*(J925^2)+'CAFCO 400 '!$D$24*(J925)+'CAFCO 400 '!$D$25)*U925^2)+(('CAFCO 400 '!$D$26*(J925^2)+'CAFCO 400 '!$D$27*J925+'CAFCO 400 '!$D$28)*U925)+('CAFCO 400 '!$D$29*(J925^2)+'CAFCO 400 '!$D$30*J925+'CAFCO 400 '!$D$31)),0),0)+IF(AND(L925="Cafco 300",J925&gt;=95,J925&lt;=240,C925="Cj",I925=90),VLOOKUP(T925,'CAFCO 300 IDIEM TABLAS'!$B$4:$D$23,2,FALSE),0)+IF(AND(L925="Cafco 300",J925&gt;=95,J925&lt;=240,C925="Cj",I925=120),VLOOKUP(T925,'CAFCO 300 IDIEM TABLAS'!$B$4:$D$23,3,FALSE),0)+IF(AND(L925="Cafco 300",J925&gt;=95,J925&lt;=400,G925=3,C925="IN",I925=90),VLOOKUP(T925,'CAFCO 300 IDIEM TABLAS'!$F$4:$H$35,2,FALSE),0)+IF(AND(L925="Cafco 300",J925&gt;=95,J925&lt;=400,G925=3,C925="IN",I925=120),VLOOKUP(T925,'CAFCO 300 IDIEM TABLAS'!$F$4:$H$35,3,FALSE),0)+IF(AND(L925="Cafco 300",J925&gt;=95,J925&lt;=450,G925=4,C925="IN",I925=90),VLOOKUP(T925,'CAFCO 300 IDIEM TABLAS'!$J$4:$L$40,2,FALSE),0)+IF(AND(L925="Cafco 300",J925&gt;=95,J925&lt;=450,G925=4,C925="IN",I925=120),VLOOKUP(T925,'CAFCO 300 IDIEM TABLAS'!$J$4:$L$40,3,FALSE),0)+IF(AND(M925="Ensayo Idiem",L925="Cafco 400",C925="IN",G925=4,I925=90),VLOOKUP(T925,'CAFCO 400 ENSAYO'!$B$7:$D$43,2,FALSE),0)+IF(AND(M925="Ensayo Idiem",L925="Cafco 400",C925="IN",G925=4,I925=120),VLOOKUP(T925,'CAFCO 400 ENSAYO'!$B$7:$D$43,3,FALSE),0)</f>
        <v>0</v>
      </c>
      <c r="O925" s="96">
        <f t="shared" si="96"/>
        <v>0</v>
      </c>
      <c r="P925" s="132" t="str">
        <f t="shared" si="91"/>
        <v>N/A</v>
      </c>
      <c r="Q925" s="132" t="str">
        <f t="shared" si="92"/>
        <v>N/A</v>
      </c>
      <c r="R925" s="132" t="str">
        <f t="shared" si="93"/>
        <v>NO CERT.</v>
      </c>
      <c r="S925" s="132" t="e">
        <f t="shared" si="94"/>
        <v>#N/A</v>
      </c>
      <c r="T925" s="133" t="e">
        <f>+IF(J925=LOOKUP(J925,'CAFCO 300 IDIEM TABLAS'!$J$4:$J$40),'CALCULO MORTERO'!J925,MROUND('CALCULO MORTERO'!J925,10))</f>
        <v>#N/A</v>
      </c>
      <c r="U925" s="134">
        <f t="shared" si="95"/>
        <v>0</v>
      </c>
    </row>
    <row r="926" spans="1:21" x14ac:dyDescent="0.25">
      <c r="A926" s="118">
        <f>+CUBICACION!D920</f>
        <v>0</v>
      </c>
      <c r="B926" s="819">
        <f>+CUBICACION!E920</f>
        <v>0</v>
      </c>
      <c r="C926" s="675">
        <f>+CUBICACION!F920</f>
        <v>0</v>
      </c>
      <c r="D926" s="118"/>
      <c r="E926" s="118"/>
      <c r="F926" s="820"/>
      <c r="G926" s="675">
        <f>+CUBICACION!J920</f>
        <v>0</v>
      </c>
      <c r="H926" s="118"/>
      <c r="I926" s="821">
        <f>+CUBICACION!L920</f>
        <v>0</v>
      </c>
      <c r="J926" s="64">
        <f>+CUBICACION!M920</f>
        <v>0</v>
      </c>
      <c r="K926" s="822" t="str">
        <f>+CUBICACION!N920</f>
        <v/>
      </c>
      <c r="L926" s="118">
        <f>+CUBICACION!O920</f>
        <v>0</v>
      </c>
      <c r="M926" s="823">
        <f>+CUBICACION!P920</f>
        <v>0</v>
      </c>
      <c r="N926" s="902">
        <f>ROUND(IF(AND(L926="Blaze Shield II",M926="Software Idiem",C926="IN",G926=4),((('BLAZE SHIELD II'!$D$4*('CALCULO MORTERO'!I926^2)+'BLAZE SHIELD II'!$D$5*'CALCULO MORTERO'!I926+'BLAZE SHIELD II'!$D$6)*LN(J926))+('BLAZE SHIELD II'!$D$7*('CALCULO MORTERO'!I926^2)+'BLAZE SHIELD II'!$D$8*'CALCULO MORTERO'!I926+'BLAZE SHIELD II'!$D$9)),0)+IF(AND(L926="Blaze Shield II",M926="Software Idiem",C926="Cj"),((('BLAZE SHIELD II'!$H$4*('CALCULO MORTERO'!I926^2)+'BLAZE SHIELD II'!$H$5*'CALCULO MORTERO'!I926+'BLAZE SHIELD II'!$H$6)*LN(J926))+('BLAZE SHIELD II'!$H$7*('CALCULO MORTERO'!I926^2)+'BLAZE SHIELD II'!$H$8*'CALCULO MORTERO'!I926+'BLAZE SHIELD II'!$H$9)),0)+IF(AND(L926="Blaze Shield II",M926="Software Idiem",C926="C"),((('BLAZE SHIELD II'!$L$4*('CALCULO MORTERO'!I926^2)+'BLAZE SHIELD II'!$L$5*'CALCULO MORTERO'!I926+'BLAZE SHIELD II'!$L$6)*LN(J926))+('BLAZE SHIELD II'!$L$7*('CALCULO MORTERO'!I926^2)+'BLAZE SHIELD II'!$L$8*'CALCULO MORTERO'!I926+'BLAZE SHIELD II'!$L$9)),0)+IF(AND(L926="Blaze Shield II",M926="Software Idiem",C926="L"),((('BLAZE SHIELD II'!$L$4*('CALCULO MORTERO'!I926^2)+'BLAZE SHIELD II'!$L$5*'CALCULO MORTERO'!I926+'BLAZE SHIELD II'!$L$6)*LN(J926))+('BLAZE SHIELD II'!$L$7*('CALCULO MORTERO'!I926^2)+'BLAZE SHIELD II'!$L$8*'CALCULO MORTERO'!I926+'BLAZE SHIELD II'!$L$9)),0)+IF(AND(L926="Blaze Shield II",M926="Software Idiem",C926="IN",G926=3),((('BLAZE SHIELD II'!$H$14*('CALCULO MORTERO'!I926^2)+'BLAZE SHIELD II'!$H$15*'CALCULO MORTERO'!I926+'BLAZE SHIELD II'!$H$16)*LN(J926))+('BLAZE SHIELD II'!$H$17*('CALCULO MORTERO'!I926^2)+'BLAZE SHIELD II'!$H$18*'CALCULO MORTERO'!I926+'BLAZE SHIELD II'!$H$19)),0),0)+ROUND(IF(AND(L926="Cafco 400",M926="Software Idiem",C926="IN",G926=4),((('CAFCO 400 '!$H$7*(J926^4)+'CAFCO 400 '!$H$8*(J926^3)+'CAFCO 400 '!$H$9*(J926^2)+'CAFCO 400 '!$H$10*J926+'CAFCO 400 '!$H$11)*U926^2)+(('CAFCO 400 '!$H$12*(J926^3)+'CAFCO 400 '!$H$13*(J926^2)+'CAFCO 400 '!$H$14*J926+'CAFCO 400 '!$H$15)*U926)+('CAFCO 400 '!$H$16*(J926^2)+'CAFCO 400 '!$H$17*J926+'CAFCO 400 '!$H$18)),0)+IF(AND(L926="Cafco 400",M926="Software Idiem",C926="Cj"),(((('CAFCO 400 '!$D$7*LN(J926)+'CAFCO 400 '!$D$8)*U926^2)+(('CAFCO 400 '!$D$9*LN(J926)+'CAFCO 400 '!$D$10)*U926)+('CAFCO 400 '!$D$11*LN(J926)+'CAFCO 400 '!$D$12))),0)+IF(AND(L926="Cafco 400",M926="Software Idiem",C926="C"),((('CAFCO 400 '!$L$7*(J926^3)+'CAFCO 400 '!$L$8*(J926^2)+'CAFCO 400 '!$L$9*J926+'CAFCO 400 '!$L$10)*U926^2)+(('CAFCO 400 '!$L$11*(J926^3)+'CAFCO 400 '!$L$12*(J926^2)+'CAFCO 400 '!$L$13*J926+'CAFCO 400 '!$L$14)*U926)+('CAFCO 400 '!$L$15*LN(J926)+'CAFCO 400 '!$L$16)),0)+IF(AND(L926="Cafco 400",M926="Software Idiem",C926="L"),((('CAFCO 400 '!$L$7*(J926^3)+'CAFCO 400 '!$L$8*(J926^2)+'CAFCO 400 '!$L$9*J926+'CAFCO 400 '!$L$10)*U926^2)+(('CAFCO 400 '!$L$11*(J926^3)+'CAFCO 400 '!$L$12*(J926^2)+'CAFCO 400 '!$L$13*J926+'CAFCO 400 '!$L$14)*U926)+('CAFCO 400 '!$L$15*LN(J926)+'CAFCO 400 '!$L$16)),0)+IF(AND(L926="Cafco 400",M926="Software Idiem",C926="IN",G926=3),((('CAFCO 400 '!$D$23*(J926^2)+'CAFCO 400 '!$D$24*(J926)+'CAFCO 400 '!$D$25)*U926^2)+(('CAFCO 400 '!$D$26*(J926^2)+'CAFCO 400 '!$D$27*J926+'CAFCO 400 '!$D$28)*U926)+('CAFCO 400 '!$D$29*(J926^2)+'CAFCO 400 '!$D$30*J926+'CAFCO 400 '!$D$31)),0),0)+IF(AND(L926="Cafco 300",J926&gt;=95,J926&lt;=240,C926="Cj",I926=90),VLOOKUP(T926,'CAFCO 300 IDIEM TABLAS'!$B$4:$D$23,2,FALSE),0)+IF(AND(L926="Cafco 300",J926&gt;=95,J926&lt;=240,C926="Cj",I926=120),VLOOKUP(T926,'CAFCO 300 IDIEM TABLAS'!$B$4:$D$23,3,FALSE),0)+IF(AND(L926="Cafco 300",J926&gt;=95,J926&lt;=400,G926=3,C926="IN",I926=90),VLOOKUP(T926,'CAFCO 300 IDIEM TABLAS'!$F$4:$H$35,2,FALSE),0)+IF(AND(L926="Cafco 300",J926&gt;=95,J926&lt;=400,G926=3,C926="IN",I926=120),VLOOKUP(T926,'CAFCO 300 IDIEM TABLAS'!$F$4:$H$35,3,FALSE),0)+IF(AND(L926="Cafco 300",J926&gt;=95,J926&lt;=450,G926=4,C926="IN",I926=90),VLOOKUP(T926,'CAFCO 300 IDIEM TABLAS'!$J$4:$L$40,2,FALSE),0)+IF(AND(L926="Cafco 300",J926&gt;=95,J926&lt;=450,G926=4,C926="IN",I926=120),VLOOKUP(T926,'CAFCO 300 IDIEM TABLAS'!$J$4:$L$40,3,FALSE),0)+IF(AND(M926="Ensayo Idiem",L926="Cafco 400",C926="IN",G926=4,I926=90),VLOOKUP(T926,'CAFCO 400 ENSAYO'!$B$7:$D$43,2,FALSE),0)+IF(AND(M926="Ensayo Idiem",L926="Cafco 400",C926="IN",G926=4,I926=120),VLOOKUP(T926,'CAFCO 400 ENSAYO'!$B$7:$D$43,3,FALSE),0)</f>
        <v>0</v>
      </c>
      <c r="O926" s="96">
        <f t="shared" si="96"/>
        <v>0</v>
      </c>
      <c r="P926" s="95" t="str">
        <f t="shared" si="91"/>
        <v>N/A</v>
      </c>
      <c r="Q926" s="95" t="str">
        <f t="shared" si="92"/>
        <v>N/A</v>
      </c>
      <c r="R926" s="95" t="str">
        <f t="shared" si="93"/>
        <v>NO CERT.</v>
      </c>
      <c r="S926" s="95" t="e">
        <f t="shared" si="94"/>
        <v>#N/A</v>
      </c>
      <c r="T926" s="119" t="e">
        <f>+IF(J926=LOOKUP(J926,'CAFCO 300 IDIEM TABLAS'!$J$4:$J$40),'CALCULO MORTERO'!J926,MROUND('CALCULO MORTERO'!J926,10))</f>
        <v>#N/A</v>
      </c>
      <c r="U926" s="118">
        <f t="shared" si="95"/>
        <v>0</v>
      </c>
    </row>
    <row r="927" spans="1:21" x14ac:dyDescent="0.25">
      <c r="A927" s="118">
        <f>+CUBICACION!D921</f>
        <v>0</v>
      </c>
      <c r="B927" s="819">
        <f>+CUBICACION!E921</f>
        <v>0</v>
      </c>
      <c r="C927" s="675">
        <f>+CUBICACION!F921</f>
        <v>0</v>
      </c>
      <c r="D927" s="118"/>
      <c r="E927" s="118"/>
      <c r="F927" s="820"/>
      <c r="G927" s="675">
        <f>+CUBICACION!J921</f>
        <v>0</v>
      </c>
      <c r="H927" s="118"/>
      <c r="I927" s="821">
        <f>+CUBICACION!L921</f>
        <v>0</v>
      </c>
      <c r="J927" s="64">
        <f>+CUBICACION!M921</f>
        <v>0</v>
      </c>
      <c r="K927" s="822" t="str">
        <f>+CUBICACION!N921</f>
        <v/>
      </c>
      <c r="L927" s="118">
        <f>+CUBICACION!O921</f>
        <v>0</v>
      </c>
      <c r="M927" s="823">
        <f>+CUBICACION!P921</f>
        <v>0</v>
      </c>
      <c r="N927" s="902">
        <f>ROUND(IF(AND(L927="Blaze Shield II",M927="Software Idiem",C927="IN",G927=4),((('BLAZE SHIELD II'!$D$4*('CALCULO MORTERO'!I927^2)+'BLAZE SHIELD II'!$D$5*'CALCULO MORTERO'!I927+'BLAZE SHIELD II'!$D$6)*LN(J927))+('BLAZE SHIELD II'!$D$7*('CALCULO MORTERO'!I927^2)+'BLAZE SHIELD II'!$D$8*'CALCULO MORTERO'!I927+'BLAZE SHIELD II'!$D$9)),0)+IF(AND(L927="Blaze Shield II",M927="Software Idiem",C927="Cj"),((('BLAZE SHIELD II'!$H$4*('CALCULO MORTERO'!I927^2)+'BLAZE SHIELD II'!$H$5*'CALCULO MORTERO'!I927+'BLAZE SHIELD II'!$H$6)*LN(J927))+('BLAZE SHIELD II'!$H$7*('CALCULO MORTERO'!I927^2)+'BLAZE SHIELD II'!$H$8*'CALCULO MORTERO'!I927+'BLAZE SHIELD II'!$H$9)),0)+IF(AND(L927="Blaze Shield II",M927="Software Idiem",C927="C"),((('BLAZE SHIELD II'!$L$4*('CALCULO MORTERO'!I927^2)+'BLAZE SHIELD II'!$L$5*'CALCULO MORTERO'!I927+'BLAZE SHIELD II'!$L$6)*LN(J927))+('BLAZE SHIELD II'!$L$7*('CALCULO MORTERO'!I927^2)+'BLAZE SHIELD II'!$L$8*'CALCULO MORTERO'!I927+'BLAZE SHIELD II'!$L$9)),0)+IF(AND(L927="Blaze Shield II",M927="Software Idiem",C927="L"),((('BLAZE SHIELD II'!$L$4*('CALCULO MORTERO'!I927^2)+'BLAZE SHIELD II'!$L$5*'CALCULO MORTERO'!I927+'BLAZE SHIELD II'!$L$6)*LN(J927))+('BLAZE SHIELD II'!$L$7*('CALCULO MORTERO'!I927^2)+'BLAZE SHIELD II'!$L$8*'CALCULO MORTERO'!I927+'BLAZE SHIELD II'!$L$9)),0)+IF(AND(L927="Blaze Shield II",M927="Software Idiem",C927="IN",G927=3),((('BLAZE SHIELD II'!$H$14*('CALCULO MORTERO'!I927^2)+'BLAZE SHIELD II'!$H$15*'CALCULO MORTERO'!I927+'BLAZE SHIELD II'!$H$16)*LN(J927))+('BLAZE SHIELD II'!$H$17*('CALCULO MORTERO'!I927^2)+'BLAZE SHIELD II'!$H$18*'CALCULO MORTERO'!I927+'BLAZE SHIELD II'!$H$19)),0),0)+ROUND(IF(AND(L927="Cafco 400",M927="Software Idiem",C927="IN",G927=4),((('CAFCO 400 '!$H$7*(J927^4)+'CAFCO 400 '!$H$8*(J927^3)+'CAFCO 400 '!$H$9*(J927^2)+'CAFCO 400 '!$H$10*J927+'CAFCO 400 '!$H$11)*U927^2)+(('CAFCO 400 '!$H$12*(J927^3)+'CAFCO 400 '!$H$13*(J927^2)+'CAFCO 400 '!$H$14*J927+'CAFCO 400 '!$H$15)*U927)+('CAFCO 400 '!$H$16*(J927^2)+'CAFCO 400 '!$H$17*J927+'CAFCO 400 '!$H$18)),0)+IF(AND(L927="Cafco 400",M927="Software Idiem",C927="Cj"),(((('CAFCO 400 '!$D$7*LN(J927)+'CAFCO 400 '!$D$8)*U927^2)+(('CAFCO 400 '!$D$9*LN(J927)+'CAFCO 400 '!$D$10)*U927)+('CAFCO 400 '!$D$11*LN(J927)+'CAFCO 400 '!$D$12))),0)+IF(AND(L927="Cafco 400",M927="Software Idiem",C927="C"),((('CAFCO 400 '!$L$7*(J927^3)+'CAFCO 400 '!$L$8*(J927^2)+'CAFCO 400 '!$L$9*J927+'CAFCO 400 '!$L$10)*U927^2)+(('CAFCO 400 '!$L$11*(J927^3)+'CAFCO 400 '!$L$12*(J927^2)+'CAFCO 400 '!$L$13*J927+'CAFCO 400 '!$L$14)*U927)+('CAFCO 400 '!$L$15*LN(J927)+'CAFCO 400 '!$L$16)),0)+IF(AND(L927="Cafco 400",M927="Software Idiem",C927="L"),((('CAFCO 400 '!$L$7*(J927^3)+'CAFCO 400 '!$L$8*(J927^2)+'CAFCO 400 '!$L$9*J927+'CAFCO 400 '!$L$10)*U927^2)+(('CAFCO 400 '!$L$11*(J927^3)+'CAFCO 400 '!$L$12*(J927^2)+'CAFCO 400 '!$L$13*J927+'CAFCO 400 '!$L$14)*U927)+('CAFCO 400 '!$L$15*LN(J927)+'CAFCO 400 '!$L$16)),0)+IF(AND(L927="Cafco 400",M927="Software Idiem",C927="IN",G927=3),((('CAFCO 400 '!$D$23*(J927^2)+'CAFCO 400 '!$D$24*(J927)+'CAFCO 400 '!$D$25)*U927^2)+(('CAFCO 400 '!$D$26*(J927^2)+'CAFCO 400 '!$D$27*J927+'CAFCO 400 '!$D$28)*U927)+('CAFCO 400 '!$D$29*(J927^2)+'CAFCO 400 '!$D$30*J927+'CAFCO 400 '!$D$31)),0),0)+IF(AND(L927="Cafco 300",J927&gt;=95,J927&lt;=240,C927="Cj",I927=90),VLOOKUP(T927,'CAFCO 300 IDIEM TABLAS'!$B$4:$D$23,2,FALSE),0)+IF(AND(L927="Cafco 300",J927&gt;=95,J927&lt;=240,C927="Cj",I927=120),VLOOKUP(T927,'CAFCO 300 IDIEM TABLAS'!$B$4:$D$23,3,FALSE),0)+IF(AND(L927="Cafco 300",J927&gt;=95,J927&lt;=400,G927=3,C927="IN",I927=90),VLOOKUP(T927,'CAFCO 300 IDIEM TABLAS'!$F$4:$H$35,2,FALSE),0)+IF(AND(L927="Cafco 300",J927&gt;=95,J927&lt;=400,G927=3,C927="IN",I927=120),VLOOKUP(T927,'CAFCO 300 IDIEM TABLAS'!$F$4:$H$35,3,FALSE),0)+IF(AND(L927="Cafco 300",J927&gt;=95,J927&lt;=450,G927=4,C927="IN",I927=90),VLOOKUP(T927,'CAFCO 300 IDIEM TABLAS'!$J$4:$L$40,2,FALSE),0)+IF(AND(L927="Cafco 300",J927&gt;=95,J927&lt;=450,G927=4,C927="IN",I927=120),VLOOKUP(T927,'CAFCO 300 IDIEM TABLAS'!$J$4:$L$40,3,FALSE),0)+IF(AND(M927="Ensayo Idiem",L927="Cafco 400",C927="IN",G927=4,I927=90),VLOOKUP(T927,'CAFCO 400 ENSAYO'!$B$7:$D$43,2,FALSE),0)+IF(AND(M927="Ensayo Idiem",L927="Cafco 400",C927="IN",G927=4,I927=120),VLOOKUP(T927,'CAFCO 400 ENSAYO'!$B$7:$D$43,3,FALSE),0)</f>
        <v>0</v>
      </c>
      <c r="O927" s="96">
        <f t="shared" si="96"/>
        <v>0</v>
      </c>
      <c r="P927" s="132" t="str">
        <f t="shared" si="91"/>
        <v>N/A</v>
      </c>
      <c r="Q927" s="132" t="str">
        <f t="shared" si="92"/>
        <v>N/A</v>
      </c>
      <c r="R927" s="132" t="str">
        <f t="shared" si="93"/>
        <v>NO CERT.</v>
      </c>
      <c r="S927" s="132" t="e">
        <f t="shared" si="94"/>
        <v>#N/A</v>
      </c>
      <c r="T927" s="133" t="e">
        <f>+IF(J927=LOOKUP(J927,'CAFCO 300 IDIEM TABLAS'!$J$4:$J$40),'CALCULO MORTERO'!J927,MROUND('CALCULO MORTERO'!J927,10))</f>
        <v>#N/A</v>
      </c>
      <c r="U927" s="134">
        <f t="shared" si="95"/>
        <v>0</v>
      </c>
    </row>
    <row r="928" spans="1:21" x14ac:dyDescent="0.25">
      <c r="A928" s="118">
        <f>+CUBICACION!D922</f>
        <v>0</v>
      </c>
      <c r="B928" s="819">
        <f>+CUBICACION!E922</f>
        <v>0</v>
      </c>
      <c r="C928" s="675">
        <f>+CUBICACION!F922</f>
        <v>0</v>
      </c>
      <c r="D928" s="118"/>
      <c r="E928" s="118"/>
      <c r="F928" s="820"/>
      <c r="G928" s="675">
        <f>+CUBICACION!J922</f>
        <v>0</v>
      </c>
      <c r="H928" s="118"/>
      <c r="I928" s="821">
        <f>+CUBICACION!L922</f>
        <v>0</v>
      </c>
      <c r="J928" s="64">
        <f>+CUBICACION!M922</f>
        <v>0</v>
      </c>
      <c r="K928" s="822" t="str">
        <f>+CUBICACION!N922</f>
        <v/>
      </c>
      <c r="L928" s="118">
        <f>+CUBICACION!O922</f>
        <v>0</v>
      </c>
      <c r="M928" s="823">
        <f>+CUBICACION!P922</f>
        <v>0</v>
      </c>
      <c r="N928" s="902">
        <f>ROUND(IF(AND(L928="Blaze Shield II",M928="Software Idiem",C928="IN",G928=4),((('BLAZE SHIELD II'!$D$4*('CALCULO MORTERO'!I928^2)+'BLAZE SHIELD II'!$D$5*'CALCULO MORTERO'!I928+'BLAZE SHIELD II'!$D$6)*LN(J928))+('BLAZE SHIELD II'!$D$7*('CALCULO MORTERO'!I928^2)+'BLAZE SHIELD II'!$D$8*'CALCULO MORTERO'!I928+'BLAZE SHIELD II'!$D$9)),0)+IF(AND(L928="Blaze Shield II",M928="Software Idiem",C928="Cj"),((('BLAZE SHIELD II'!$H$4*('CALCULO MORTERO'!I928^2)+'BLAZE SHIELD II'!$H$5*'CALCULO MORTERO'!I928+'BLAZE SHIELD II'!$H$6)*LN(J928))+('BLAZE SHIELD II'!$H$7*('CALCULO MORTERO'!I928^2)+'BLAZE SHIELD II'!$H$8*'CALCULO MORTERO'!I928+'BLAZE SHIELD II'!$H$9)),0)+IF(AND(L928="Blaze Shield II",M928="Software Idiem",C928="C"),((('BLAZE SHIELD II'!$L$4*('CALCULO MORTERO'!I928^2)+'BLAZE SHIELD II'!$L$5*'CALCULO MORTERO'!I928+'BLAZE SHIELD II'!$L$6)*LN(J928))+('BLAZE SHIELD II'!$L$7*('CALCULO MORTERO'!I928^2)+'BLAZE SHIELD II'!$L$8*'CALCULO MORTERO'!I928+'BLAZE SHIELD II'!$L$9)),0)+IF(AND(L928="Blaze Shield II",M928="Software Idiem",C928="L"),((('BLAZE SHIELD II'!$L$4*('CALCULO MORTERO'!I928^2)+'BLAZE SHIELD II'!$L$5*'CALCULO MORTERO'!I928+'BLAZE SHIELD II'!$L$6)*LN(J928))+('BLAZE SHIELD II'!$L$7*('CALCULO MORTERO'!I928^2)+'BLAZE SHIELD II'!$L$8*'CALCULO MORTERO'!I928+'BLAZE SHIELD II'!$L$9)),0)+IF(AND(L928="Blaze Shield II",M928="Software Idiem",C928="IN",G928=3),((('BLAZE SHIELD II'!$H$14*('CALCULO MORTERO'!I928^2)+'BLAZE SHIELD II'!$H$15*'CALCULO MORTERO'!I928+'BLAZE SHIELD II'!$H$16)*LN(J928))+('BLAZE SHIELD II'!$H$17*('CALCULO MORTERO'!I928^2)+'BLAZE SHIELD II'!$H$18*'CALCULO MORTERO'!I928+'BLAZE SHIELD II'!$H$19)),0),0)+ROUND(IF(AND(L928="Cafco 400",M928="Software Idiem",C928="IN",G928=4),((('CAFCO 400 '!$H$7*(J928^4)+'CAFCO 400 '!$H$8*(J928^3)+'CAFCO 400 '!$H$9*(J928^2)+'CAFCO 400 '!$H$10*J928+'CAFCO 400 '!$H$11)*U928^2)+(('CAFCO 400 '!$H$12*(J928^3)+'CAFCO 400 '!$H$13*(J928^2)+'CAFCO 400 '!$H$14*J928+'CAFCO 400 '!$H$15)*U928)+('CAFCO 400 '!$H$16*(J928^2)+'CAFCO 400 '!$H$17*J928+'CAFCO 400 '!$H$18)),0)+IF(AND(L928="Cafco 400",M928="Software Idiem",C928="Cj"),(((('CAFCO 400 '!$D$7*LN(J928)+'CAFCO 400 '!$D$8)*U928^2)+(('CAFCO 400 '!$D$9*LN(J928)+'CAFCO 400 '!$D$10)*U928)+('CAFCO 400 '!$D$11*LN(J928)+'CAFCO 400 '!$D$12))),0)+IF(AND(L928="Cafco 400",M928="Software Idiem",C928="C"),((('CAFCO 400 '!$L$7*(J928^3)+'CAFCO 400 '!$L$8*(J928^2)+'CAFCO 400 '!$L$9*J928+'CAFCO 400 '!$L$10)*U928^2)+(('CAFCO 400 '!$L$11*(J928^3)+'CAFCO 400 '!$L$12*(J928^2)+'CAFCO 400 '!$L$13*J928+'CAFCO 400 '!$L$14)*U928)+('CAFCO 400 '!$L$15*LN(J928)+'CAFCO 400 '!$L$16)),0)+IF(AND(L928="Cafco 400",M928="Software Idiem",C928="L"),((('CAFCO 400 '!$L$7*(J928^3)+'CAFCO 400 '!$L$8*(J928^2)+'CAFCO 400 '!$L$9*J928+'CAFCO 400 '!$L$10)*U928^2)+(('CAFCO 400 '!$L$11*(J928^3)+'CAFCO 400 '!$L$12*(J928^2)+'CAFCO 400 '!$L$13*J928+'CAFCO 400 '!$L$14)*U928)+('CAFCO 400 '!$L$15*LN(J928)+'CAFCO 400 '!$L$16)),0)+IF(AND(L928="Cafco 400",M928="Software Idiem",C928="IN",G928=3),((('CAFCO 400 '!$D$23*(J928^2)+'CAFCO 400 '!$D$24*(J928)+'CAFCO 400 '!$D$25)*U928^2)+(('CAFCO 400 '!$D$26*(J928^2)+'CAFCO 400 '!$D$27*J928+'CAFCO 400 '!$D$28)*U928)+('CAFCO 400 '!$D$29*(J928^2)+'CAFCO 400 '!$D$30*J928+'CAFCO 400 '!$D$31)),0),0)+IF(AND(L928="Cafco 300",J928&gt;=95,J928&lt;=240,C928="Cj",I928=90),VLOOKUP(T928,'CAFCO 300 IDIEM TABLAS'!$B$4:$D$23,2,FALSE),0)+IF(AND(L928="Cafco 300",J928&gt;=95,J928&lt;=240,C928="Cj",I928=120),VLOOKUP(T928,'CAFCO 300 IDIEM TABLAS'!$B$4:$D$23,3,FALSE),0)+IF(AND(L928="Cafco 300",J928&gt;=95,J928&lt;=400,G928=3,C928="IN",I928=90),VLOOKUP(T928,'CAFCO 300 IDIEM TABLAS'!$F$4:$H$35,2,FALSE),0)+IF(AND(L928="Cafco 300",J928&gt;=95,J928&lt;=400,G928=3,C928="IN",I928=120),VLOOKUP(T928,'CAFCO 300 IDIEM TABLAS'!$F$4:$H$35,3,FALSE),0)+IF(AND(L928="Cafco 300",J928&gt;=95,J928&lt;=450,G928=4,C928="IN",I928=90),VLOOKUP(T928,'CAFCO 300 IDIEM TABLAS'!$J$4:$L$40,2,FALSE),0)+IF(AND(L928="Cafco 300",J928&gt;=95,J928&lt;=450,G928=4,C928="IN",I928=120),VLOOKUP(T928,'CAFCO 300 IDIEM TABLAS'!$J$4:$L$40,3,FALSE),0)+IF(AND(M928="Ensayo Idiem",L928="Cafco 400",C928="IN",G928=4,I928=90),VLOOKUP(T928,'CAFCO 400 ENSAYO'!$B$7:$D$43,2,FALSE),0)+IF(AND(M928="Ensayo Idiem",L928="Cafco 400",C928="IN",G928=4,I928=120),VLOOKUP(T928,'CAFCO 400 ENSAYO'!$B$7:$D$43,3,FALSE),0)</f>
        <v>0</v>
      </c>
      <c r="O928" s="96">
        <f t="shared" si="96"/>
        <v>0</v>
      </c>
      <c r="P928" s="95" t="str">
        <f t="shared" si="91"/>
        <v>N/A</v>
      </c>
      <c r="Q928" s="95" t="str">
        <f t="shared" si="92"/>
        <v>N/A</v>
      </c>
      <c r="R928" s="95" t="str">
        <f t="shared" si="93"/>
        <v>NO CERT.</v>
      </c>
      <c r="S928" s="95" t="e">
        <f t="shared" si="94"/>
        <v>#N/A</v>
      </c>
      <c r="T928" s="119" t="e">
        <f>+IF(J928=LOOKUP(J928,'CAFCO 300 IDIEM TABLAS'!$J$4:$J$40),'CALCULO MORTERO'!J928,MROUND('CALCULO MORTERO'!J928,10))</f>
        <v>#N/A</v>
      </c>
      <c r="U928" s="118">
        <f t="shared" si="95"/>
        <v>0</v>
      </c>
    </row>
    <row r="929" spans="1:21" x14ac:dyDescent="0.25">
      <c r="A929" s="118">
        <f>+CUBICACION!D923</f>
        <v>0</v>
      </c>
      <c r="B929" s="819">
        <f>+CUBICACION!E923</f>
        <v>0</v>
      </c>
      <c r="C929" s="675">
        <f>+CUBICACION!F923</f>
        <v>0</v>
      </c>
      <c r="D929" s="118"/>
      <c r="E929" s="118"/>
      <c r="F929" s="820"/>
      <c r="G929" s="675">
        <f>+CUBICACION!J923</f>
        <v>0</v>
      </c>
      <c r="H929" s="118"/>
      <c r="I929" s="821">
        <f>+CUBICACION!L923</f>
        <v>0</v>
      </c>
      <c r="J929" s="64">
        <f>+CUBICACION!M923</f>
        <v>0</v>
      </c>
      <c r="K929" s="822" t="str">
        <f>+CUBICACION!N923</f>
        <v/>
      </c>
      <c r="L929" s="118">
        <f>+CUBICACION!O923</f>
        <v>0</v>
      </c>
      <c r="M929" s="823">
        <f>+CUBICACION!P923</f>
        <v>0</v>
      </c>
      <c r="N929" s="902">
        <f>ROUND(IF(AND(L929="Blaze Shield II",M929="Software Idiem",C929="IN",G929=4),((('BLAZE SHIELD II'!$D$4*('CALCULO MORTERO'!I929^2)+'BLAZE SHIELD II'!$D$5*'CALCULO MORTERO'!I929+'BLAZE SHIELD II'!$D$6)*LN(J929))+('BLAZE SHIELD II'!$D$7*('CALCULO MORTERO'!I929^2)+'BLAZE SHIELD II'!$D$8*'CALCULO MORTERO'!I929+'BLAZE SHIELD II'!$D$9)),0)+IF(AND(L929="Blaze Shield II",M929="Software Idiem",C929="Cj"),((('BLAZE SHIELD II'!$H$4*('CALCULO MORTERO'!I929^2)+'BLAZE SHIELD II'!$H$5*'CALCULO MORTERO'!I929+'BLAZE SHIELD II'!$H$6)*LN(J929))+('BLAZE SHIELD II'!$H$7*('CALCULO MORTERO'!I929^2)+'BLAZE SHIELD II'!$H$8*'CALCULO MORTERO'!I929+'BLAZE SHIELD II'!$H$9)),0)+IF(AND(L929="Blaze Shield II",M929="Software Idiem",C929="C"),((('BLAZE SHIELD II'!$L$4*('CALCULO MORTERO'!I929^2)+'BLAZE SHIELD II'!$L$5*'CALCULO MORTERO'!I929+'BLAZE SHIELD II'!$L$6)*LN(J929))+('BLAZE SHIELD II'!$L$7*('CALCULO MORTERO'!I929^2)+'BLAZE SHIELD II'!$L$8*'CALCULO MORTERO'!I929+'BLAZE SHIELD II'!$L$9)),0)+IF(AND(L929="Blaze Shield II",M929="Software Idiem",C929="L"),((('BLAZE SHIELD II'!$L$4*('CALCULO MORTERO'!I929^2)+'BLAZE SHIELD II'!$L$5*'CALCULO MORTERO'!I929+'BLAZE SHIELD II'!$L$6)*LN(J929))+('BLAZE SHIELD II'!$L$7*('CALCULO MORTERO'!I929^2)+'BLAZE SHIELD II'!$L$8*'CALCULO MORTERO'!I929+'BLAZE SHIELD II'!$L$9)),0)+IF(AND(L929="Blaze Shield II",M929="Software Idiem",C929="IN",G929=3),((('BLAZE SHIELD II'!$H$14*('CALCULO MORTERO'!I929^2)+'BLAZE SHIELD II'!$H$15*'CALCULO MORTERO'!I929+'BLAZE SHIELD II'!$H$16)*LN(J929))+('BLAZE SHIELD II'!$H$17*('CALCULO MORTERO'!I929^2)+'BLAZE SHIELD II'!$H$18*'CALCULO MORTERO'!I929+'BLAZE SHIELD II'!$H$19)),0),0)+ROUND(IF(AND(L929="Cafco 400",M929="Software Idiem",C929="IN",G929=4),((('CAFCO 400 '!$H$7*(J929^4)+'CAFCO 400 '!$H$8*(J929^3)+'CAFCO 400 '!$H$9*(J929^2)+'CAFCO 400 '!$H$10*J929+'CAFCO 400 '!$H$11)*U929^2)+(('CAFCO 400 '!$H$12*(J929^3)+'CAFCO 400 '!$H$13*(J929^2)+'CAFCO 400 '!$H$14*J929+'CAFCO 400 '!$H$15)*U929)+('CAFCO 400 '!$H$16*(J929^2)+'CAFCO 400 '!$H$17*J929+'CAFCO 400 '!$H$18)),0)+IF(AND(L929="Cafco 400",M929="Software Idiem",C929="Cj"),(((('CAFCO 400 '!$D$7*LN(J929)+'CAFCO 400 '!$D$8)*U929^2)+(('CAFCO 400 '!$D$9*LN(J929)+'CAFCO 400 '!$D$10)*U929)+('CAFCO 400 '!$D$11*LN(J929)+'CAFCO 400 '!$D$12))),0)+IF(AND(L929="Cafco 400",M929="Software Idiem",C929="C"),((('CAFCO 400 '!$L$7*(J929^3)+'CAFCO 400 '!$L$8*(J929^2)+'CAFCO 400 '!$L$9*J929+'CAFCO 400 '!$L$10)*U929^2)+(('CAFCO 400 '!$L$11*(J929^3)+'CAFCO 400 '!$L$12*(J929^2)+'CAFCO 400 '!$L$13*J929+'CAFCO 400 '!$L$14)*U929)+('CAFCO 400 '!$L$15*LN(J929)+'CAFCO 400 '!$L$16)),0)+IF(AND(L929="Cafco 400",M929="Software Idiem",C929="L"),((('CAFCO 400 '!$L$7*(J929^3)+'CAFCO 400 '!$L$8*(J929^2)+'CAFCO 400 '!$L$9*J929+'CAFCO 400 '!$L$10)*U929^2)+(('CAFCO 400 '!$L$11*(J929^3)+'CAFCO 400 '!$L$12*(J929^2)+'CAFCO 400 '!$L$13*J929+'CAFCO 400 '!$L$14)*U929)+('CAFCO 400 '!$L$15*LN(J929)+'CAFCO 400 '!$L$16)),0)+IF(AND(L929="Cafco 400",M929="Software Idiem",C929="IN",G929=3),((('CAFCO 400 '!$D$23*(J929^2)+'CAFCO 400 '!$D$24*(J929)+'CAFCO 400 '!$D$25)*U929^2)+(('CAFCO 400 '!$D$26*(J929^2)+'CAFCO 400 '!$D$27*J929+'CAFCO 400 '!$D$28)*U929)+('CAFCO 400 '!$D$29*(J929^2)+'CAFCO 400 '!$D$30*J929+'CAFCO 400 '!$D$31)),0),0)+IF(AND(L929="Cafco 300",J929&gt;=95,J929&lt;=240,C929="Cj",I929=90),VLOOKUP(T929,'CAFCO 300 IDIEM TABLAS'!$B$4:$D$23,2,FALSE),0)+IF(AND(L929="Cafco 300",J929&gt;=95,J929&lt;=240,C929="Cj",I929=120),VLOOKUP(T929,'CAFCO 300 IDIEM TABLAS'!$B$4:$D$23,3,FALSE),0)+IF(AND(L929="Cafco 300",J929&gt;=95,J929&lt;=400,G929=3,C929="IN",I929=90),VLOOKUP(T929,'CAFCO 300 IDIEM TABLAS'!$F$4:$H$35,2,FALSE),0)+IF(AND(L929="Cafco 300",J929&gt;=95,J929&lt;=400,G929=3,C929="IN",I929=120),VLOOKUP(T929,'CAFCO 300 IDIEM TABLAS'!$F$4:$H$35,3,FALSE),0)+IF(AND(L929="Cafco 300",J929&gt;=95,J929&lt;=450,G929=4,C929="IN",I929=90),VLOOKUP(T929,'CAFCO 300 IDIEM TABLAS'!$J$4:$L$40,2,FALSE),0)+IF(AND(L929="Cafco 300",J929&gt;=95,J929&lt;=450,G929=4,C929="IN",I929=120),VLOOKUP(T929,'CAFCO 300 IDIEM TABLAS'!$J$4:$L$40,3,FALSE),0)+IF(AND(M929="Ensayo Idiem",L929="Cafco 400",C929="IN",G929=4,I929=90),VLOOKUP(T929,'CAFCO 400 ENSAYO'!$B$7:$D$43,2,FALSE),0)+IF(AND(M929="Ensayo Idiem",L929="Cafco 400",C929="IN",G929=4,I929=120),VLOOKUP(T929,'CAFCO 400 ENSAYO'!$B$7:$D$43,3,FALSE),0)</f>
        <v>0</v>
      </c>
      <c r="O929" s="96">
        <f t="shared" si="96"/>
        <v>0</v>
      </c>
      <c r="P929" s="132" t="str">
        <f t="shared" si="91"/>
        <v>N/A</v>
      </c>
      <c r="Q929" s="132" t="str">
        <f t="shared" si="92"/>
        <v>N/A</v>
      </c>
      <c r="R929" s="132" t="str">
        <f t="shared" si="93"/>
        <v>NO CERT.</v>
      </c>
      <c r="S929" s="132" t="e">
        <f t="shared" si="94"/>
        <v>#N/A</v>
      </c>
      <c r="T929" s="133" t="e">
        <f>+IF(J929=LOOKUP(J929,'CAFCO 300 IDIEM TABLAS'!$J$4:$J$40),'CALCULO MORTERO'!J929,MROUND('CALCULO MORTERO'!J929,10))</f>
        <v>#N/A</v>
      </c>
      <c r="U929" s="134">
        <f t="shared" si="95"/>
        <v>0</v>
      </c>
    </row>
    <row r="930" spans="1:21" x14ac:dyDescent="0.25">
      <c r="A930" s="118">
        <f>+CUBICACION!D924</f>
        <v>0</v>
      </c>
      <c r="B930" s="819">
        <f>+CUBICACION!E924</f>
        <v>0</v>
      </c>
      <c r="C930" s="675">
        <f>+CUBICACION!F924</f>
        <v>0</v>
      </c>
      <c r="D930" s="118"/>
      <c r="E930" s="118"/>
      <c r="F930" s="820"/>
      <c r="G930" s="675">
        <f>+CUBICACION!J924</f>
        <v>0</v>
      </c>
      <c r="H930" s="118"/>
      <c r="I930" s="821">
        <f>+CUBICACION!L924</f>
        <v>0</v>
      </c>
      <c r="J930" s="64">
        <f>+CUBICACION!M924</f>
        <v>0</v>
      </c>
      <c r="K930" s="822" t="str">
        <f>+CUBICACION!N924</f>
        <v/>
      </c>
      <c r="L930" s="118">
        <f>+CUBICACION!O924</f>
        <v>0</v>
      </c>
      <c r="M930" s="823">
        <f>+CUBICACION!P924</f>
        <v>0</v>
      </c>
      <c r="N930" s="902">
        <f>ROUND(IF(AND(L930="Blaze Shield II",M930="Software Idiem",C930="IN",G930=4),((('BLAZE SHIELD II'!$D$4*('CALCULO MORTERO'!I930^2)+'BLAZE SHIELD II'!$D$5*'CALCULO MORTERO'!I930+'BLAZE SHIELD II'!$D$6)*LN(J930))+('BLAZE SHIELD II'!$D$7*('CALCULO MORTERO'!I930^2)+'BLAZE SHIELD II'!$D$8*'CALCULO MORTERO'!I930+'BLAZE SHIELD II'!$D$9)),0)+IF(AND(L930="Blaze Shield II",M930="Software Idiem",C930="Cj"),((('BLAZE SHIELD II'!$H$4*('CALCULO MORTERO'!I930^2)+'BLAZE SHIELD II'!$H$5*'CALCULO MORTERO'!I930+'BLAZE SHIELD II'!$H$6)*LN(J930))+('BLAZE SHIELD II'!$H$7*('CALCULO MORTERO'!I930^2)+'BLAZE SHIELD II'!$H$8*'CALCULO MORTERO'!I930+'BLAZE SHIELD II'!$H$9)),0)+IF(AND(L930="Blaze Shield II",M930="Software Idiem",C930="C"),((('BLAZE SHIELD II'!$L$4*('CALCULO MORTERO'!I930^2)+'BLAZE SHIELD II'!$L$5*'CALCULO MORTERO'!I930+'BLAZE SHIELD II'!$L$6)*LN(J930))+('BLAZE SHIELD II'!$L$7*('CALCULO MORTERO'!I930^2)+'BLAZE SHIELD II'!$L$8*'CALCULO MORTERO'!I930+'BLAZE SHIELD II'!$L$9)),0)+IF(AND(L930="Blaze Shield II",M930="Software Idiem",C930="L"),((('BLAZE SHIELD II'!$L$4*('CALCULO MORTERO'!I930^2)+'BLAZE SHIELD II'!$L$5*'CALCULO MORTERO'!I930+'BLAZE SHIELD II'!$L$6)*LN(J930))+('BLAZE SHIELD II'!$L$7*('CALCULO MORTERO'!I930^2)+'BLAZE SHIELD II'!$L$8*'CALCULO MORTERO'!I930+'BLAZE SHIELD II'!$L$9)),0)+IF(AND(L930="Blaze Shield II",M930="Software Idiem",C930="IN",G930=3),((('BLAZE SHIELD II'!$H$14*('CALCULO MORTERO'!I930^2)+'BLAZE SHIELD II'!$H$15*'CALCULO MORTERO'!I930+'BLAZE SHIELD II'!$H$16)*LN(J930))+('BLAZE SHIELD II'!$H$17*('CALCULO MORTERO'!I930^2)+'BLAZE SHIELD II'!$H$18*'CALCULO MORTERO'!I930+'BLAZE SHIELD II'!$H$19)),0),0)+ROUND(IF(AND(L930="Cafco 400",M930="Software Idiem",C930="IN",G930=4),((('CAFCO 400 '!$H$7*(J930^4)+'CAFCO 400 '!$H$8*(J930^3)+'CAFCO 400 '!$H$9*(J930^2)+'CAFCO 400 '!$H$10*J930+'CAFCO 400 '!$H$11)*U930^2)+(('CAFCO 400 '!$H$12*(J930^3)+'CAFCO 400 '!$H$13*(J930^2)+'CAFCO 400 '!$H$14*J930+'CAFCO 400 '!$H$15)*U930)+('CAFCO 400 '!$H$16*(J930^2)+'CAFCO 400 '!$H$17*J930+'CAFCO 400 '!$H$18)),0)+IF(AND(L930="Cafco 400",M930="Software Idiem",C930="Cj"),(((('CAFCO 400 '!$D$7*LN(J930)+'CAFCO 400 '!$D$8)*U930^2)+(('CAFCO 400 '!$D$9*LN(J930)+'CAFCO 400 '!$D$10)*U930)+('CAFCO 400 '!$D$11*LN(J930)+'CAFCO 400 '!$D$12))),0)+IF(AND(L930="Cafco 400",M930="Software Idiem",C930="C"),((('CAFCO 400 '!$L$7*(J930^3)+'CAFCO 400 '!$L$8*(J930^2)+'CAFCO 400 '!$L$9*J930+'CAFCO 400 '!$L$10)*U930^2)+(('CAFCO 400 '!$L$11*(J930^3)+'CAFCO 400 '!$L$12*(J930^2)+'CAFCO 400 '!$L$13*J930+'CAFCO 400 '!$L$14)*U930)+('CAFCO 400 '!$L$15*LN(J930)+'CAFCO 400 '!$L$16)),0)+IF(AND(L930="Cafco 400",M930="Software Idiem",C930="L"),((('CAFCO 400 '!$L$7*(J930^3)+'CAFCO 400 '!$L$8*(J930^2)+'CAFCO 400 '!$L$9*J930+'CAFCO 400 '!$L$10)*U930^2)+(('CAFCO 400 '!$L$11*(J930^3)+'CAFCO 400 '!$L$12*(J930^2)+'CAFCO 400 '!$L$13*J930+'CAFCO 400 '!$L$14)*U930)+('CAFCO 400 '!$L$15*LN(J930)+'CAFCO 400 '!$L$16)),0)+IF(AND(L930="Cafco 400",M930="Software Idiem",C930="IN",G930=3),((('CAFCO 400 '!$D$23*(J930^2)+'CAFCO 400 '!$D$24*(J930)+'CAFCO 400 '!$D$25)*U930^2)+(('CAFCO 400 '!$D$26*(J930^2)+'CAFCO 400 '!$D$27*J930+'CAFCO 400 '!$D$28)*U930)+('CAFCO 400 '!$D$29*(J930^2)+'CAFCO 400 '!$D$30*J930+'CAFCO 400 '!$D$31)),0),0)+IF(AND(L930="Cafco 300",J930&gt;=95,J930&lt;=240,C930="Cj",I930=90),VLOOKUP(T930,'CAFCO 300 IDIEM TABLAS'!$B$4:$D$23,2,FALSE),0)+IF(AND(L930="Cafco 300",J930&gt;=95,J930&lt;=240,C930="Cj",I930=120),VLOOKUP(T930,'CAFCO 300 IDIEM TABLAS'!$B$4:$D$23,3,FALSE),0)+IF(AND(L930="Cafco 300",J930&gt;=95,J930&lt;=400,G930=3,C930="IN",I930=90),VLOOKUP(T930,'CAFCO 300 IDIEM TABLAS'!$F$4:$H$35,2,FALSE),0)+IF(AND(L930="Cafco 300",J930&gt;=95,J930&lt;=400,G930=3,C930="IN",I930=120),VLOOKUP(T930,'CAFCO 300 IDIEM TABLAS'!$F$4:$H$35,3,FALSE),0)+IF(AND(L930="Cafco 300",J930&gt;=95,J930&lt;=450,G930=4,C930="IN",I930=90),VLOOKUP(T930,'CAFCO 300 IDIEM TABLAS'!$J$4:$L$40,2,FALSE),0)+IF(AND(L930="Cafco 300",J930&gt;=95,J930&lt;=450,G930=4,C930="IN",I930=120),VLOOKUP(T930,'CAFCO 300 IDIEM TABLAS'!$J$4:$L$40,3,FALSE),0)+IF(AND(M930="Ensayo Idiem",L930="Cafco 400",C930="IN",G930=4,I930=90),VLOOKUP(T930,'CAFCO 400 ENSAYO'!$B$7:$D$43,2,FALSE),0)+IF(AND(M930="Ensayo Idiem",L930="Cafco 400",C930="IN",G930=4,I930=120),VLOOKUP(T930,'CAFCO 400 ENSAYO'!$B$7:$D$43,3,FALSE),0)</f>
        <v>0</v>
      </c>
      <c r="O930" s="96">
        <f t="shared" si="96"/>
        <v>0</v>
      </c>
      <c r="P930" s="95" t="str">
        <f t="shared" si="91"/>
        <v>N/A</v>
      </c>
      <c r="Q930" s="95" t="str">
        <f t="shared" si="92"/>
        <v>N/A</v>
      </c>
      <c r="R930" s="95" t="str">
        <f t="shared" si="93"/>
        <v>NO CERT.</v>
      </c>
      <c r="S930" s="95" t="e">
        <f t="shared" si="94"/>
        <v>#N/A</v>
      </c>
      <c r="T930" s="119" t="e">
        <f>+IF(J930=LOOKUP(J930,'CAFCO 300 IDIEM TABLAS'!$J$4:$J$40),'CALCULO MORTERO'!J930,MROUND('CALCULO MORTERO'!J930,10))</f>
        <v>#N/A</v>
      </c>
      <c r="U930" s="118">
        <f t="shared" si="95"/>
        <v>0</v>
      </c>
    </row>
    <row r="931" spans="1:21" x14ac:dyDescent="0.25">
      <c r="A931" s="118">
        <f>+CUBICACION!D925</f>
        <v>0</v>
      </c>
      <c r="B931" s="819">
        <f>+CUBICACION!E925</f>
        <v>0</v>
      </c>
      <c r="C931" s="675">
        <f>+CUBICACION!F925</f>
        <v>0</v>
      </c>
      <c r="D931" s="118"/>
      <c r="E931" s="118"/>
      <c r="F931" s="820"/>
      <c r="G931" s="675">
        <f>+CUBICACION!J925</f>
        <v>0</v>
      </c>
      <c r="H931" s="118"/>
      <c r="I931" s="821">
        <f>+CUBICACION!L925</f>
        <v>0</v>
      </c>
      <c r="J931" s="64">
        <f>+CUBICACION!M925</f>
        <v>0</v>
      </c>
      <c r="K931" s="822" t="str">
        <f>+CUBICACION!N925</f>
        <v/>
      </c>
      <c r="L931" s="118">
        <f>+CUBICACION!O925</f>
        <v>0</v>
      </c>
      <c r="M931" s="823">
        <f>+CUBICACION!P925</f>
        <v>0</v>
      </c>
      <c r="N931" s="902">
        <f>ROUND(IF(AND(L931="Blaze Shield II",M931="Software Idiem",C931="IN",G931=4),((('BLAZE SHIELD II'!$D$4*('CALCULO MORTERO'!I931^2)+'BLAZE SHIELD II'!$D$5*'CALCULO MORTERO'!I931+'BLAZE SHIELD II'!$D$6)*LN(J931))+('BLAZE SHIELD II'!$D$7*('CALCULO MORTERO'!I931^2)+'BLAZE SHIELD II'!$D$8*'CALCULO MORTERO'!I931+'BLAZE SHIELD II'!$D$9)),0)+IF(AND(L931="Blaze Shield II",M931="Software Idiem",C931="Cj"),((('BLAZE SHIELD II'!$H$4*('CALCULO MORTERO'!I931^2)+'BLAZE SHIELD II'!$H$5*'CALCULO MORTERO'!I931+'BLAZE SHIELD II'!$H$6)*LN(J931))+('BLAZE SHIELD II'!$H$7*('CALCULO MORTERO'!I931^2)+'BLAZE SHIELD II'!$H$8*'CALCULO MORTERO'!I931+'BLAZE SHIELD II'!$H$9)),0)+IF(AND(L931="Blaze Shield II",M931="Software Idiem",C931="C"),((('BLAZE SHIELD II'!$L$4*('CALCULO MORTERO'!I931^2)+'BLAZE SHIELD II'!$L$5*'CALCULO MORTERO'!I931+'BLAZE SHIELD II'!$L$6)*LN(J931))+('BLAZE SHIELD II'!$L$7*('CALCULO MORTERO'!I931^2)+'BLAZE SHIELD II'!$L$8*'CALCULO MORTERO'!I931+'BLAZE SHIELD II'!$L$9)),0)+IF(AND(L931="Blaze Shield II",M931="Software Idiem",C931="L"),((('BLAZE SHIELD II'!$L$4*('CALCULO MORTERO'!I931^2)+'BLAZE SHIELD II'!$L$5*'CALCULO MORTERO'!I931+'BLAZE SHIELD II'!$L$6)*LN(J931))+('BLAZE SHIELD II'!$L$7*('CALCULO MORTERO'!I931^2)+'BLAZE SHIELD II'!$L$8*'CALCULO MORTERO'!I931+'BLAZE SHIELD II'!$L$9)),0)+IF(AND(L931="Blaze Shield II",M931="Software Idiem",C931="IN",G931=3),((('BLAZE SHIELD II'!$H$14*('CALCULO MORTERO'!I931^2)+'BLAZE SHIELD II'!$H$15*'CALCULO MORTERO'!I931+'BLAZE SHIELD II'!$H$16)*LN(J931))+('BLAZE SHIELD II'!$H$17*('CALCULO MORTERO'!I931^2)+'BLAZE SHIELD II'!$H$18*'CALCULO MORTERO'!I931+'BLAZE SHIELD II'!$H$19)),0),0)+ROUND(IF(AND(L931="Cafco 400",M931="Software Idiem",C931="IN",G931=4),((('CAFCO 400 '!$H$7*(J931^4)+'CAFCO 400 '!$H$8*(J931^3)+'CAFCO 400 '!$H$9*(J931^2)+'CAFCO 400 '!$H$10*J931+'CAFCO 400 '!$H$11)*U931^2)+(('CAFCO 400 '!$H$12*(J931^3)+'CAFCO 400 '!$H$13*(J931^2)+'CAFCO 400 '!$H$14*J931+'CAFCO 400 '!$H$15)*U931)+('CAFCO 400 '!$H$16*(J931^2)+'CAFCO 400 '!$H$17*J931+'CAFCO 400 '!$H$18)),0)+IF(AND(L931="Cafco 400",M931="Software Idiem",C931="Cj"),(((('CAFCO 400 '!$D$7*LN(J931)+'CAFCO 400 '!$D$8)*U931^2)+(('CAFCO 400 '!$D$9*LN(J931)+'CAFCO 400 '!$D$10)*U931)+('CAFCO 400 '!$D$11*LN(J931)+'CAFCO 400 '!$D$12))),0)+IF(AND(L931="Cafco 400",M931="Software Idiem",C931="C"),((('CAFCO 400 '!$L$7*(J931^3)+'CAFCO 400 '!$L$8*(J931^2)+'CAFCO 400 '!$L$9*J931+'CAFCO 400 '!$L$10)*U931^2)+(('CAFCO 400 '!$L$11*(J931^3)+'CAFCO 400 '!$L$12*(J931^2)+'CAFCO 400 '!$L$13*J931+'CAFCO 400 '!$L$14)*U931)+('CAFCO 400 '!$L$15*LN(J931)+'CAFCO 400 '!$L$16)),0)+IF(AND(L931="Cafco 400",M931="Software Idiem",C931="L"),((('CAFCO 400 '!$L$7*(J931^3)+'CAFCO 400 '!$L$8*(J931^2)+'CAFCO 400 '!$L$9*J931+'CAFCO 400 '!$L$10)*U931^2)+(('CAFCO 400 '!$L$11*(J931^3)+'CAFCO 400 '!$L$12*(J931^2)+'CAFCO 400 '!$L$13*J931+'CAFCO 400 '!$L$14)*U931)+('CAFCO 400 '!$L$15*LN(J931)+'CAFCO 400 '!$L$16)),0)+IF(AND(L931="Cafco 400",M931="Software Idiem",C931="IN",G931=3),((('CAFCO 400 '!$D$23*(J931^2)+'CAFCO 400 '!$D$24*(J931)+'CAFCO 400 '!$D$25)*U931^2)+(('CAFCO 400 '!$D$26*(J931^2)+'CAFCO 400 '!$D$27*J931+'CAFCO 400 '!$D$28)*U931)+('CAFCO 400 '!$D$29*(J931^2)+'CAFCO 400 '!$D$30*J931+'CAFCO 400 '!$D$31)),0),0)+IF(AND(L931="Cafco 300",J931&gt;=95,J931&lt;=240,C931="Cj",I931=90),VLOOKUP(T931,'CAFCO 300 IDIEM TABLAS'!$B$4:$D$23,2,FALSE),0)+IF(AND(L931="Cafco 300",J931&gt;=95,J931&lt;=240,C931="Cj",I931=120),VLOOKUP(T931,'CAFCO 300 IDIEM TABLAS'!$B$4:$D$23,3,FALSE),0)+IF(AND(L931="Cafco 300",J931&gt;=95,J931&lt;=400,G931=3,C931="IN",I931=90),VLOOKUP(T931,'CAFCO 300 IDIEM TABLAS'!$F$4:$H$35,2,FALSE),0)+IF(AND(L931="Cafco 300",J931&gt;=95,J931&lt;=400,G931=3,C931="IN",I931=120),VLOOKUP(T931,'CAFCO 300 IDIEM TABLAS'!$F$4:$H$35,3,FALSE),0)+IF(AND(L931="Cafco 300",J931&gt;=95,J931&lt;=450,G931=4,C931="IN",I931=90),VLOOKUP(T931,'CAFCO 300 IDIEM TABLAS'!$J$4:$L$40,2,FALSE),0)+IF(AND(L931="Cafco 300",J931&gt;=95,J931&lt;=450,G931=4,C931="IN",I931=120),VLOOKUP(T931,'CAFCO 300 IDIEM TABLAS'!$J$4:$L$40,3,FALSE),0)+IF(AND(M931="Ensayo Idiem",L931="Cafco 400",C931="IN",G931=4,I931=90),VLOOKUP(T931,'CAFCO 400 ENSAYO'!$B$7:$D$43,2,FALSE),0)+IF(AND(M931="Ensayo Idiem",L931="Cafco 400",C931="IN",G931=4,I931=120),VLOOKUP(T931,'CAFCO 400 ENSAYO'!$B$7:$D$43,3,FALSE),0)</f>
        <v>0</v>
      </c>
      <c r="O931" s="96">
        <f t="shared" si="96"/>
        <v>0</v>
      </c>
      <c r="P931" s="132" t="str">
        <f t="shared" si="91"/>
        <v>N/A</v>
      </c>
      <c r="Q931" s="132" t="str">
        <f t="shared" si="92"/>
        <v>N/A</v>
      </c>
      <c r="R931" s="132" t="str">
        <f t="shared" si="93"/>
        <v>NO CERT.</v>
      </c>
      <c r="S931" s="132" t="e">
        <f t="shared" si="94"/>
        <v>#N/A</v>
      </c>
      <c r="T931" s="133" t="e">
        <f>+IF(J931=LOOKUP(J931,'CAFCO 300 IDIEM TABLAS'!$J$4:$J$40),'CALCULO MORTERO'!J931,MROUND('CALCULO MORTERO'!J931,10))</f>
        <v>#N/A</v>
      </c>
      <c r="U931" s="134">
        <f t="shared" si="95"/>
        <v>0</v>
      </c>
    </row>
    <row r="932" spans="1:21" x14ac:dyDescent="0.25">
      <c r="A932" s="118">
        <f>+CUBICACION!D926</f>
        <v>0</v>
      </c>
      <c r="B932" s="819">
        <f>+CUBICACION!E926</f>
        <v>0</v>
      </c>
      <c r="C932" s="675">
        <f>+CUBICACION!F926</f>
        <v>0</v>
      </c>
      <c r="D932" s="118"/>
      <c r="E932" s="118"/>
      <c r="F932" s="820"/>
      <c r="G932" s="675">
        <f>+CUBICACION!J926</f>
        <v>0</v>
      </c>
      <c r="H932" s="118"/>
      <c r="I932" s="821">
        <f>+CUBICACION!L926</f>
        <v>0</v>
      </c>
      <c r="J932" s="64">
        <f>+CUBICACION!M926</f>
        <v>0</v>
      </c>
      <c r="K932" s="822" t="str">
        <f>+CUBICACION!N926</f>
        <v/>
      </c>
      <c r="L932" s="118">
        <f>+CUBICACION!O926</f>
        <v>0</v>
      </c>
      <c r="M932" s="823">
        <f>+CUBICACION!P926</f>
        <v>0</v>
      </c>
      <c r="N932" s="902">
        <f>ROUND(IF(AND(L932="Blaze Shield II",M932="Software Idiem",C932="IN",G932=4),((('BLAZE SHIELD II'!$D$4*('CALCULO MORTERO'!I932^2)+'BLAZE SHIELD II'!$D$5*'CALCULO MORTERO'!I932+'BLAZE SHIELD II'!$D$6)*LN(J932))+('BLAZE SHIELD II'!$D$7*('CALCULO MORTERO'!I932^2)+'BLAZE SHIELD II'!$D$8*'CALCULO MORTERO'!I932+'BLAZE SHIELD II'!$D$9)),0)+IF(AND(L932="Blaze Shield II",M932="Software Idiem",C932="Cj"),((('BLAZE SHIELD II'!$H$4*('CALCULO MORTERO'!I932^2)+'BLAZE SHIELD II'!$H$5*'CALCULO MORTERO'!I932+'BLAZE SHIELD II'!$H$6)*LN(J932))+('BLAZE SHIELD II'!$H$7*('CALCULO MORTERO'!I932^2)+'BLAZE SHIELD II'!$H$8*'CALCULO MORTERO'!I932+'BLAZE SHIELD II'!$H$9)),0)+IF(AND(L932="Blaze Shield II",M932="Software Idiem",C932="C"),((('BLAZE SHIELD II'!$L$4*('CALCULO MORTERO'!I932^2)+'BLAZE SHIELD II'!$L$5*'CALCULO MORTERO'!I932+'BLAZE SHIELD II'!$L$6)*LN(J932))+('BLAZE SHIELD II'!$L$7*('CALCULO MORTERO'!I932^2)+'BLAZE SHIELD II'!$L$8*'CALCULO MORTERO'!I932+'BLAZE SHIELD II'!$L$9)),0)+IF(AND(L932="Blaze Shield II",M932="Software Idiem",C932="L"),((('BLAZE SHIELD II'!$L$4*('CALCULO MORTERO'!I932^2)+'BLAZE SHIELD II'!$L$5*'CALCULO MORTERO'!I932+'BLAZE SHIELD II'!$L$6)*LN(J932))+('BLAZE SHIELD II'!$L$7*('CALCULO MORTERO'!I932^2)+'BLAZE SHIELD II'!$L$8*'CALCULO MORTERO'!I932+'BLAZE SHIELD II'!$L$9)),0)+IF(AND(L932="Blaze Shield II",M932="Software Idiem",C932="IN",G932=3),((('BLAZE SHIELD II'!$H$14*('CALCULO MORTERO'!I932^2)+'BLAZE SHIELD II'!$H$15*'CALCULO MORTERO'!I932+'BLAZE SHIELD II'!$H$16)*LN(J932))+('BLAZE SHIELD II'!$H$17*('CALCULO MORTERO'!I932^2)+'BLAZE SHIELD II'!$H$18*'CALCULO MORTERO'!I932+'BLAZE SHIELD II'!$H$19)),0),0)+ROUND(IF(AND(L932="Cafco 400",M932="Software Idiem",C932="IN",G932=4),((('CAFCO 400 '!$H$7*(J932^4)+'CAFCO 400 '!$H$8*(J932^3)+'CAFCO 400 '!$H$9*(J932^2)+'CAFCO 400 '!$H$10*J932+'CAFCO 400 '!$H$11)*U932^2)+(('CAFCO 400 '!$H$12*(J932^3)+'CAFCO 400 '!$H$13*(J932^2)+'CAFCO 400 '!$H$14*J932+'CAFCO 400 '!$H$15)*U932)+('CAFCO 400 '!$H$16*(J932^2)+'CAFCO 400 '!$H$17*J932+'CAFCO 400 '!$H$18)),0)+IF(AND(L932="Cafco 400",M932="Software Idiem",C932="Cj"),(((('CAFCO 400 '!$D$7*LN(J932)+'CAFCO 400 '!$D$8)*U932^2)+(('CAFCO 400 '!$D$9*LN(J932)+'CAFCO 400 '!$D$10)*U932)+('CAFCO 400 '!$D$11*LN(J932)+'CAFCO 400 '!$D$12))),0)+IF(AND(L932="Cafco 400",M932="Software Idiem",C932="C"),((('CAFCO 400 '!$L$7*(J932^3)+'CAFCO 400 '!$L$8*(J932^2)+'CAFCO 400 '!$L$9*J932+'CAFCO 400 '!$L$10)*U932^2)+(('CAFCO 400 '!$L$11*(J932^3)+'CAFCO 400 '!$L$12*(J932^2)+'CAFCO 400 '!$L$13*J932+'CAFCO 400 '!$L$14)*U932)+('CAFCO 400 '!$L$15*LN(J932)+'CAFCO 400 '!$L$16)),0)+IF(AND(L932="Cafco 400",M932="Software Idiem",C932="L"),((('CAFCO 400 '!$L$7*(J932^3)+'CAFCO 400 '!$L$8*(J932^2)+'CAFCO 400 '!$L$9*J932+'CAFCO 400 '!$L$10)*U932^2)+(('CAFCO 400 '!$L$11*(J932^3)+'CAFCO 400 '!$L$12*(J932^2)+'CAFCO 400 '!$L$13*J932+'CAFCO 400 '!$L$14)*U932)+('CAFCO 400 '!$L$15*LN(J932)+'CAFCO 400 '!$L$16)),0)+IF(AND(L932="Cafco 400",M932="Software Idiem",C932="IN",G932=3),((('CAFCO 400 '!$D$23*(J932^2)+'CAFCO 400 '!$D$24*(J932)+'CAFCO 400 '!$D$25)*U932^2)+(('CAFCO 400 '!$D$26*(J932^2)+'CAFCO 400 '!$D$27*J932+'CAFCO 400 '!$D$28)*U932)+('CAFCO 400 '!$D$29*(J932^2)+'CAFCO 400 '!$D$30*J932+'CAFCO 400 '!$D$31)),0),0)+IF(AND(L932="Cafco 300",J932&gt;=95,J932&lt;=240,C932="Cj",I932=90),VLOOKUP(T932,'CAFCO 300 IDIEM TABLAS'!$B$4:$D$23,2,FALSE),0)+IF(AND(L932="Cafco 300",J932&gt;=95,J932&lt;=240,C932="Cj",I932=120),VLOOKUP(T932,'CAFCO 300 IDIEM TABLAS'!$B$4:$D$23,3,FALSE),0)+IF(AND(L932="Cafco 300",J932&gt;=95,J932&lt;=400,G932=3,C932="IN",I932=90),VLOOKUP(T932,'CAFCO 300 IDIEM TABLAS'!$F$4:$H$35,2,FALSE),0)+IF(AND(L932="Cafco 300",J932&gt;=95,J932&lt;=400,G932=3,C932="IN",I932=120),VLOOKUP(T932,'CAFCO 300 IDIEM TABLAS'!$F$4:$H$35,3,FALSE),0)+IF(AND(L932="Cafco 300",J932&gt;=95,J932&lt;=450,G932=4,C932="IN",I932=90),VLOOKUP(T932,'CAFCO 300 IDIEM TABLAS'!$J$4:$L$40,2,FALSE),0)+IF(AND(L932="Cafco 300",J932&gt;=95,J932&lt;=450,G932=4,C932="IN",I932=120),VLOOKUP(T932,'CAFCO 300 IDIEM TABLAS'!$J$4:$L$40,3,FALSE),0)+IF(AND(M932="Ensayo Idiem",L932="Cafco 400",C932="IN",G932=4,I932=90),VLOOKUP(T932,'CAFCO 400 ENSAYO'!$B$7:$D$43,2,FALSE),0)+IF(AND(M932="Ensayo Idiem",L932="Cafco 400",C932="IN",G932=4,I932=120),VLOOKUP(T932,'CAFCO 400 ENSAYO'!$B$7:$D$43,3,FALSE),0)</f>
        <v>0</v>
      </c>
      <c r="O932" s="96">
        <f t="shared" si="96"/>
        <v>0</v>
      </c>
      <c r="P932" s="95" t="str">
        <f t="shared" si="91"/>
        <v>N/A</v>
      </c>
      <c r="Q932" s="95" t="str">
        <f t="shared" si="92"/>
        <v>N/A</v>
      </c>
      <c r="R932" s="95" t="str">
        <f t="shared" si="93"/>
        <v>NO CERT.</v>
      </c>
      <c r="S932" s="95" t="e">
        <f t="shared" si="94"/>
        <v>#N/A</v>
      </c>
      <c r="T932" s="119" t="e">
        <f>+IF(J932=LOOKUP(J932,'CAFCO 300 IDIEM TABLAS'!$J$4:$J$40),'CALCULO MORTERO'!J932,MROUND('CALCULO MORTERO'!J932,10))</f>
        <v>#N/A</v>
      </c>
      <c r="U932" s="118">
        <f t="shared" si="95"/>
        <v>0</v>
      </c>
    </row>
    <row r="933" spans="1:21" x14ac:dyDescent="0.25">
      <c r="A933" s="118">
        <f>+CUBICACION!D927</f>
        <v>0</v>
      </c>
      <c r="B933" s="819">
        <f>+CUBICACION!E927</f>
        <v>0</v>
      </c>
      <c r="C933" s="675">
        <f>+CUBICACION!F927</f>
        <v>0</v>
      </c>
      <c r="D933" s="118"/>
      <c r="E933" s="118"/>
      <c r="F933" s="820"/>
      <c r="G933" s="675">
        <f>+CUBICACION!J927</f>
        <v>0</v>
      </c>
      <c r="H933" s="118"/>
      <c r="I933" s="821">
        <f>+CUBICACION!L927</f>
        <v>0</v>
      </c>
      <c r="J933" s="64">
        <f>+CUBICACION!M927</f>
        <v>0</v>
      </c>
      <c r="K933" s="822" t="str">
        <f>+CUBICACION!N927</f>
        <v/>
      </c>
      <c r="L933" s="118">
        <f>+CUBICACION!O927</f>
        <v>0</v>
      </c>
      <c r="M933" s="823">
        <f>+CUBICACION!P927</f>
        <v>0</v>
      </c>
      <c r="N933" s="902">
        <f>ROUND(IF(AND(L933="Blaze Shield II",M933="Software Idiem",C933="IN",G933=4),((('BLAZE SHIELD II'!$D$4*('CALCULO MORTERO'!I933^2)+'BLAZE SHIELD II'!$D$5*'CALCULO MORTERO'!I933+'BLAZE SHIELD II'!$D$6)*LN(J933))+('BLAZE SHIELD II'!$D$7*('CALCULO MORTERO'!I933^2)+'BLAZE SHIELD II'!$D$8*'CALCULO MORTERO'!I933+'BLAZE SHIELD II'!$D$9)),0)+IF(AND(L933="Blaze Shield II",M933="Software Idiem",C933="Cj"),((('BLAZE SHIELD II'!$H$4*('CALCULO MORTERO'!I933^2)+'BLAZE SHIELD II'!$H$5*'CALCULO MORTERO'!I933+'BLAZE SHIELD II'!$H$6)*LN(J933))+('BLAZE SHIELD II'!$H$7*('CALCULO MORTERO'!I933^2)+'BLAZE SHIELD II'!$H$8*'CALCULO MORTERO'!I933+'BLAZE SHIELD II'!$H$9)),0)+IF(AND(L933="Blaze Shield II",M933="Software Idiem",C933="C"),((('BLAZE SHIELD II'!$L$4*('CALCULO MORTERO'!I933^2)+'BLAZE SHIELD II'!$L$5*'CALCULO MORTERO'!I933+'BLAZE SHIELD II'!$L$6)*LN(J933))+('BLAZE SHIELD II'!$L$7*('CALCULO MORTERO'!I933^2)+'BLAZE SHIELD II'!$L$8*'CALCULO MORTERO'!I933+'BLAZE SHIELD II'!$L$9)),0)+IF(AND(L933="Blaze Shield II",M933="Software Idiem",C933="L"),((('BLAZE SHIELD II'!$L$4*('CALCULO MORTERO'!I933^2)+'BLAZE SHIELD II'!$L$5*'CALCULO MORTERO'!I933+'BLAZE SHIELD II'!$L$6)*LN(J933))+('BLAZE SHIELD II'!$L$7*('CALCULO MORTERO'!I933^2)+'BLAZE SHIELD II'!$L$8*'CALCULO MORTERO'!I933+'BLAZE SHIELD II'!$L$9)),0)+IF(AND(L933="Blaze Shield II",M933="Software Idiem",C933="IN",G933=3),((('BLAZE SHIELD II'!$H$14*('CALCULO MORTERO'!I933^2)+'BLAZE SHIELD II'!$H$15*'CALCULO MORTERO'!I933+'BLAZE SHIELD II'!$H$16)*LN(J933))+('BLAZE SHIELD II'!$H$17*('CALCULO MORTERO'!I933^2)+'BLAZE SHIELD II'!$H$18*'CALCULO MORTERO'!I933+'BLAZE SHIELD II'!$H$19)),0),0)+ROUND(IF(AND(L933="Cafco 400",M933="Software Idiem",C933="IN",G933=4),((('CAFCO 400 '!$H$7*(J933^4)+'CAFCO 400 '!$H$8*(J933^3)+'CAFCO 400 '!$H$9*(J933^2)+'CAFCO 400 '!$H$10*J933+'CAFCO 400 '!$H$11)*U933^2)+(('CAFCO 400 '!$H$12*(J933^3)+'CAFCO 400 '!$H$13*(J933^2)+'CAFCO 400 '!$H$14*J933+'CAFCO 400 '!$H$15)*U933)+('CAFCO 400 '!$H$16*(J933^2)+'CAFCO 400 '!$H$17*J933+'CAFCO 400 '!$H$18)),0)+IF(AND(L933="Cafco 400",M933="Software Idiem",C933="Cj"),(((('CAFCO 400 '!$D$7*LN(J933)+'CAFCO 400 '!$D$8)*U933^2)+(('CAFCO 400 '!$D$9*LN(J933)+'CAFCO 400 '!$D$10)*U933)+('CAFCO 400 '!$D$11*LN(J933)+'CAFCO 400 '!$D$12))),0)+IF(AND(L933="Cafco 400",M933="Software Idiem",C933="C"),((('CAFCO 400 '!$L$7*(J933^3)+'CAFCO 400 '!$L$8*(J933^2)+'CAFCO 400 '!$L$9*J933+'CAFCO 400 '!$L$10)*U933^2)+(('CAFCO 400 '!$L$11*(J933^3)+'CAFCO 400 '!$L$12*(J933^2)+'CAFCO 400 '!$L$13*J933+'CAFCO 400 '!$L$14)*U933)+('CAFCO 400 '!$L$15*LN(J933)+'CAFCO 400 '!$L$16)),0)+IF(AND(L933="Cafco 400",M933="Software Idiem",C933="L"),((('CAFCO 400 '!$L$7*(J933^3)+'CAFCO 400 '!$L$8*(J933^2)+'CAFCO 400 '!$L$9*J933+'CAFCO 400 '!$L$10)*U933^2)+(('CAFCO 400 '!$L$11*(J933^3)+'CAFCO 400 '!$L$12*(J933^2)+'CAFCO 400 '!$L$13*J933+'CAFCO 400 '!$L$14)*U933)+('CAFCO 400 '!$L$15*LN(J933)+'CAFCO 400 '!$L$16)),0)+IF(AND(L933="Cafco 400",M933="Software Idiem",C933="IN",G933=3),((('CAFCO 400 '!$D$23*(J933^2)+'CAFCO 400 '!$D$24*(J933)+'CAFCO 400 '!$D$25)*U933^2)+(('CAFCO 400 '!$D$26*(J933^2)+'CAFCO 400 '!$D$27*J933+'CAFCO 400 '!$D$28)*U933)+('CAFCO 400 '!$D$29*(J933^2)+'CAFCO 400 '!$D$30*J933+'CAFCO 400 '!$D$31)),0),0)+IF(AND(L933="Cafco 300",J933&gt;=95,J933&lt;=240,C933="Cj",I933=90),VLOOKUP(T933,'CAFCO 300 IDIEM TABLAS'!$B$4:$D$23,2,FALSE),0)+IF(AND(L933="Cafco 300",J933&gt;=95,J933&lt;=240,C933="Cj",I933=120),VLOOKUP(T933,'CAFCO 300 IDIEM TABLAS'!$B$4:$D$23,3,FALSE),0)+IF(AND(L933="Cafco 300",J933&gt;=95,J933&lt;=400,G933=3,C933="IN",I933=90),VLOOKUP(T933,'CAFCO 300 IDIEM TABLAS'!$F$4:$H$35,2,FALSE),0)+IF(AND(L933="Cafco 300",J933&gt;=95,J933&lt;=400,G933=3,C933="IN",I933=120),VLOOKUP(T933,'CAFCO 300 IDIEM TABLAS'!$F$4:$H$35,3,FALSE),0)+IF(AND(L933="Cafco 300",J933&gt;=95,J933&lt;=450,G933=4,C933="IN",I933=90),VLOOKUP(T933,'CAFCO 300 IDIEM TABLAS'!$J$4:$L$40,2,FALSE),0)+IF(AND(L933="Cafco 300",J933&gt;=95,J933&lt;=450,G933=4,C933="IN",I933=120),VLOOKUP(T933,'CAFCO 300 IDIEM TABLAS'!$J$4:$L$40,3,FALSE),0)+IF(AND(M933="Ensayo Idiem",L933="Cafco 400",C933="IN",G933=4,I933=90),VLOOKUP(T933,'CAFCO 400 ENSAYO'!$B$7:$D$43,2,FALSE),0)+IF(AND(M933="Ensayo Idiem",L933="Cafco 400",C933="IN",G933=4,I933=120),VLOOKUP(T933,'CAFCO 400 ENSAYO'!$B$7:$D$43,3,FALSE),0)</f>
        <v>0</v>
      </c>
      <c r="O933" s="96">
        <f t="shared" si="96"/>
        <v>0</v>
      </c>
      <c r="P933" s="132" t="str">
        <f t="shared" si="91"/>
        <v>N/A</v>
      </c>
      <c r="Q933" s="132" t="str">
        <f t="shared" si="92"/>
        <v>N/A</v>
      </c>
      <c r="R933" s="132" t="str">
        <f t="shared" si="93"/>
        <v>NO CERT.</v>
      </c>
      <c r="S933" s="132" t="e">
        <f t="shared" si="94"/>
        <v>#N/A</v>
      </c>
      <c r="T933" s="133" t="e">
        <f>+IF(J933=LOOKUP(J933,'CAFCO 300 IDIEM TABLAS'!$J$4:$J$40),'CALCULO MORTERO'!J933,MROUND('CALCULO MORTERO'!J933,10))</f>
        <v>#N/A</v>
      </c>
      <c r="U933" s="134">
        <f t="shared" si="95"/>
        <v>0</v>
      </c>
    </row>
    <row r="934" spans="1:21" x14ac:dyDescent="0.25">
      <c r="A934" s="118">
        <f>+CUBICACION!D928</f>
        <v>0</v>
      </c>
      <c r="B934" s="819">
        <f>+CUBICACION!E928</f>
        <v>0</v>
      </c>
      <c r="C934" s="675">
        <f>+CUBICACION!F928</f>
        <v>0</v>
      </c>
      <c r="D934" s="118"/>
      <c r="E934" s="118"/>
      <c r="F934" s="820"/>
      <c r="G934" s="675">
        <f>+CUBICACION!J928</f>
        <v>0</v>
      </c>
      <c r="H934" s="118"/>
      <c r="I934" s="821">
        <f>+CUBICACION!L928</f>
        <v>0</v>
      </c>
      <c r="J934" s="64">
        <f>+CUBICACION!M928</f>
        <v>0</v>
      </c>
      <c r="K934" s="822" t="str">
        <f>+CUBICACION!N928</f>
        <v/>
      </c>
      <c r="L934" s="118">
        <f>+CUBICACION!O928</f>
        <v>0</v>
      </c>
      <c r="M934" s="823">
        <f>+CUBICACION!P928</f>
        <v>0</v>
      </c>
      <c r="N934" s="902">
        <f>ROUND(IF(AND(L934="Blaze Shield II",M934="Software Idiem",C934="IN",G934=4),((('BLAZE SHIELD II'!$D$4*('CALCULO MORTERO'!I934^2)+'BLAZE SHIELD II'!$D$5*'CALCULO MORTERO'!I934+'BLAZE SHIELD II'!$D$6)*LN(J934))+('BLAZE SHIELD II'!$D$7*('CALCULO MORTERO'!I934^2)+'BLAZE SHIELD II'!$D$8*'CALCULO MORTERO'!I934+'BLAZE SHIELD II'!$D$9)),0)+IF(AND(L934="Blaze Shield II",M934="Software Idiem",C934="Cj"),((('BLAZE SHIELD II'!$H$4*('CALCULO MORTERO'!I934^2)+'BLAZE SHIELD II'!$H$5*'CALCULO MORTERO'!I934+'BLAZE SHIELD II'!$H$6)*LN(J934))+('BLAZE SHIELD II'!$H$7*('CALCULO MORTERO'!I934^2)+'BLAZE SHIELD II'!$H$8*'CALCULO MORTERO'!I934+'BLAZE SHIELD II'!$H$9)),0)+IF(AND(L934="Blaze Shield II",M934="Software Idiem",C934="C"),((('BLAZE SHIELD II'!$L$4*('CALCULO MORTERO'!I934^2)+'BLAZE SHIELD II'!$L$5*'CALCULO MORTERO'!I934+'BLAZE SHIELD II'!$L$6)*LN(J934))+('BLAZE SHIELD II'!$L$7*('CALCULO MORTERO'!I934^2)+'BLAZE SHIELD II'!$L$8*'CALCULO MORTERO'!I934+'BLAZE SHIELD II'!$L$9)),0)+IF(AND(L934="Blaze Shield II",M934="Software Idiem",C934="L"),((('BLAZE SHIELD II'!$L$4*('CALCULO MORTERO'!I934^2)+'BLAZE SHIELD II'!$L$5*'CALCULO MORTERO'!I934+'BLAZE SHIELD II'!$L$6)*LN(J934))+('BLAZE SHIELD II'!$L$7*('CALCULO MORTERO'!I934^2)+'BLAZE SHIELD II'!$L$8*'CALCULO MORTERO'!I934+'BLAZE SHIELD II'!$L$9)),0)+IF(AND(L934="Blaze Shield II",M934="Software Idiem",C934="IN",G934=3),((('BLAZE SHIELD II'!$H$14*('CALCULO MORTERO'!I934^2)+'BLAZE SHIELD II'!$H$15*'CALCULO MORTERO'!I934+'BLAZE SHIELD II'!$H$16)*LN(J934))+('BLAZE SHIELD II'!$H$17*('CALCULO MORTERO'!I934^2)+'BLAZE SHIELD II'!$H$18*'CALCULO MORTERO'!I934+'BLAZE SHIELD II'!$H$19)),0),0)+ROUND(IF(AND(L934="Cafco 400",M934="Software Idiem",C934="IN",G934=4),((('CAFCO 400 '!$H$7*(J934^4)+'CAFCO 400 '!$H$8*(J934^3)+'CAFCO 400 '!$H$9*(J934^2)+'CAFCO 400 '!$H$10*J934+'CAFCO 400 '!$H$11)*U934^2)+(('CAFCO 400 '!$H$12*(J934^3)+'CAFCO 400 '!$H$13*(J934^2)+'CAFCO 400 '!$H$14*J934+'CAFCO 400 '!$H$15)*U934)+('CAFCO 400 '!$H$16*(J934^2)+'CAFCO 400 '!$H$17*J934+'CAFCO 400 '!$H$18)),0)+IF(AND(L934="Cafco 400",M934="Software Idiem",C934="Cj"),(((('CAFCO 400 '!$D$7*LN(J934)+'CAFCO 400 '!$D$8)*U934^2)+(('CAFCO 400 '!$D$9*LN(J934)+'CAFCO 400 '!$D$10)*U934)+('CAFCO 400 '!$D$11*LN(J934)+'CAFCO 400 '!$D$12))),0)+IF(AND(L934="Cafco 400",M934="Software Idiem",C934="C"),((('CAFCO 400 '!$L$7*(J934^3)+'CAFCO 400 '!$L$8*(J934^2)+'CAFCO 400 '!$L$9*J934+'CAFCO 400 '!$L$10)*U934^2)+(('CAFCO 400 '!$L$11*(J934^3)+'CAFCO 400 '!$L$12*(J934^2)+'CAFCO 400 '!$L$13*J934+'CAFCO 400 '!$L$14)*U934)+('CAFCO 400 '!$L$15*LN(J934)+'CAFCO 400 '!$L$16)),0)+IF(AND(L934="Cafco 400",M934="Software Idiem",C934="L"),((('CAFCO 400 '!$L$7*(J934^3)+'CAFCO 400 '!$L$8*(J934^2)+'CAFCO 400 '!$L$9*J934+'CAFCO 400 '!$L$10)*U934^2)+(('CAFCO 400 '!$L$11*(J934^3)+'CAFCO 400 '!$L$12*(J934^2)+'CAFCO 400 '!$L$13*J934+'CAFCO 400 '!$L$14)*U934)+('CAFCO 400 '!$L$15*LN(J934)+'CAFCO 400 '!$L$16)),0)+IF(AND(L934="Cafco 400",M934="Software Idiem",C934="IN",G934=3),((('CAFCO 400 '!$D$23*(J934^2)+'CAFCO 400 '!$D$24*(J934)+'CAFCO 400 '!$D$25)*U934^2)+(('CAFCO 400 '!$D$26*(J934^2)+'CAFCO 400 '!$D$27*J934+'CAFCO 400 '!$D$28)*U934)+('CAFCO 400 '!$D$29*(J934^2)+'CAFCO 400 '!$D$30*J934+'CAFCO 400 '!$D$31)),0),0)+IF(AND(L934="Cafco 300",J934&gt;=95,J934&lt;=240,C934="Cj",I934=90),VLOOKUP(T934,'CAFCO 300 IDIEM TABLAS'!$B$4:$D$23,2,FALSE),0)+IF(AND(L934="Cafco 300",J934&gt;=95,J934&lt;=240,C934="Cj",I934=120),VLOOKUP(T934,'CAFCO 300 IDIEM TABLAS'!$B$4:$D$23,3,FALSE),0)+IF(AND(L934="Cafco 300",J934&gt;=95,J934&lt;=400,G934=3,C934="IN",I934=90),VLOOKUP(T934,'CAFCO 300 IDIEM TABLAS'!$F$4:$H$35,2,FALSE),0)+IF(AND(L934="Cafco 300",J934&gt;=95,J934&lt;=400,G934=3,C934="IN",I934=120),VLOOKUP(T934,'CAFCO 300 IDIEM TABLAS'!$F$4:$H$35,3,FALSE),0)+IF(AND(L934="Cafco 300",J934&gt;=95,J934&lt;=450,G934=4,C934="IN",I934=90),VLOOKUP(T934,'CAFCO 300 IDIEM TABLAS'!$J$4:$L$40,2,FALSE),0)+IF(AND(L934="Cafco 300",J934&gt;=95,J934&lt;=450,G934=4,C934="IN",I934=120),VLOOKUP(T934,'CAFCO 300 IDIEM TABLAS'!$J$4:$L$40,3,FALSE),0)+IF(AND(M934="Ensayo Idiem",L934="Cafco 400",C934="IN",G934=4,I934=90),VLOOKUP(T934,'CAFCO 400 ENSAYO'!$B$7:$D$43,2,FALSE),0)+IF(AND(M934="Ensayo Idiem",L934="Cafco 400",C934="IN",G934=4,I934=120),VLOOKUP(T934,'CAFCO 400 ENSAYO'!$B$7:$D$43,3,FALSE),0)</f>
        <v>0</v>
      </c>
      <c r="O934" s="96">
        <f t="shared" si="96"/>
        <v>0</v>
      </c>
      <c r="P934" s="95" t="str">
        <f t="shared" si="91"/>
        <v>N/A</v>
      </c>
      <c r="Q934" s="95" t="str">
        <f t="shared" si="92"/>
        <v>N/A</v>
      </c>
      <c r="R934" s="95" t="str">
        <f t="shared" si="93"/>
        <v>NO CERT.</v>
      </c>
      <c r="S934" s="95" t="e">
        <f t="shared" si="94"/>
        <v>#N/A</v>
      </c>
      <c r="T934" s="119" t="e">
        <f>+IF(J934=LOOKUP(J934,'CAFCO 300 IDIEM TABLAS'!$J$4:$J$40),'CALCULO MORTERO'!J934,MROUND('CALCULO MORTERO'!J934,10))</f>
        <v>#N/A</v>
      </c>
      <c r="U934" s="118">
        <f t="shared" si="95"/>
        <v>0</v>
      </c>
    </row>
    <row r="935" spans="1:21" x14ac:dyDescent="0.25">
      <c r="A935" s="118">
        <f>+CUBICACION!D929</f>
        <v>0</v>
      </c>
      <c r="B935" s="819">
        <f>+CUBICACION!E929</f>
        <v>0</v>
      </c>
      <c r="C935" s="675">
        <f>+CUBICACION!F929</f>
        <v>0</v>
      </c>
      <c r="D935" s="118"/>
      <c r="E935" s="118"/>
      <c r="F935" s="820"/>
      <c r="G935" s="675">
        <f>+CUBICACION!J929</f>
        <v>0</v>
      </c>
      <c r="H935" s="118"/>
      <c r="I935" s="821">
        <f>+CUBICACION!L929</f>
        <v>0</v>
      </c>
      <c r="J935" s="64">
        <f>+CUBICACION!M929</f>
        <v>0</v>
      </c>
      <c r="K935" s="822" t="str">
        <f>+CUBICACION!N929</f>
        <v/>
      </c>
      <c r="L935" s="118">
        <f>+CUBICACION!O929</f>
        <v>0</v>
      </c>
      <c r="M935" s="823">
        <f>+CUBICACION!P929</f>
        <v>0</v>
      </c>
      <c r="N935" s="902">
        <f>ROUND(IF(AND(L935="Blaze Shield II",M935="Software Idiem",C935="IN",G935=4),((('BLAZE SHIELD II'!$D$4*('CALCULO MORTERO'!I935^2)+'BLAZE SHIELD II'!$D$5*'CALCULO MORTERO'!I935+'BLAZE SHIELD II'!$D$6)*LN(J935))+('BLAZE SHIELD II'!$D$7*('CALCULO MORTERO'!I935^2)+'BLAZE SHIELD II'!$D$8*'CALCULO MORTERO'!I935+'BLAZE SHIELD II'!$D$9)),0)+IF(AND(L935="Blaze Shield II",M935="Software Idiem",C935="Cj"),((('BLAZE SHIELD II'!$H$4*('CALCULO MORTERO'!I935^2)+'BLAZE SHIELD II'!$H$5*'CALCULO MORTERO'!I935+'BLAZE SHIELD II'!$H$6)*LN(J935))+('BLAZE SHIELD II'!$H$7*('CALCULO MORTERO'!I935^2)+'BLAZE SHIELD II'!$H$8*'CALCULO MORTERO'!I935+'BLAZE SHIELD II'!$H$9)),0)+IF(AND(L935="Blaze Shield II",M935="Software Idiem",C935="C"),((('BLAZE SHIELD II'!$L$4*('CALCULO MORTERO'!I935^2)+'BLAZE SHIELD II'!$L$5*'CALCULO MORTERO'!I935+'BLAZE SHIELD II'!$L$6)*LN(J935))+('BLAZE SHIELD II'!$L$7*('CALCULO MORTERO'!I935^2)+'BLAZE SHIELD II'!$L$8*'CALCULO MORTERO'!I935+'BLAZE SHIELD II'!$L$9)),0)+IF(AND(L935="Blaze Shield II",M935="Software Idiem",C935="L"),((('BLAZE SHIELD II'!$L$4*('CALCULO MORTERO'!I935^2)+'BLAZE SHIELD II'!$L$5*'CALCULO MORTERO'!I935+'BLAZE SHIELD II'!$L$6)*LN(J935))+('BLAZE SHIELD II'!$L$7*('CALCULO MORTERO'!I935^2)+'BLAZE SHIELD II'!$L$8*'CALCULO MORTERO'!I935+'BLAZE SHIELD II'!$L$9)),0)+IF(AND(L935="Blaze Shield II",M935="Software Idiem",C935="IN",G935=3),((('BLAZE SHIELD II'!$H$14*('CALCULO MORTERO'!I935^2)+'BLAZE SHIELD II'!$H$15*'CALCULO MORTERO'!I935+'BLAZE SHIELD II'!$H$16)*LN(J935))+('BLAZE SHIELD II'!$H$17*('CALCULO MORTERO'!I935^2)+'BLAZE SHIELD II'!$H$18*'CALCULO MORTERO'!I935+'BLAZE SHIELD II'!$H$19)),0),0)+ROUND(IF(AND(L935="Cafco 400",M935="Software Idiem",C935="IN",G935=4),((('CAFCO 400 '!$H$7*(J935^4)+'CAFCO 400 '!$H$8*(J935^3)+'CAFCO 400 '!$H$9*(J935^2)+'CAFCO 400 '!$H$10*J935+'CAFCO 400 '!$H$11)*U935^2)+(('CAFCO 400 '!$H$12*(J935^3)+'CAFCO 400 '!$H$13*(J935^2)+'CAFCO 400 '!$H$14*J935+'CAFCO 400 '!$H$15)*U935)+('CAFCO 400 '!$H$16*(J935^2)+'CAFCO 400 '!$H$17*J935+'CAFCO 400 '!$H$18)),0)+IF(AND(L935="Cafco 400",M935="Software Idiem",C935="Cj"),(((('CAFCO 400 '!$D$7*LN(J935)+'CAFCO 400 '!$D$8)*U935^2)+(('CAFCO 400 '!$D$9*LN(J935)+'CAFCO 400 '!$D$10)*U935)+('CAFCO 400 '!$D$11*LN(J935)+'CAFCO 400 '!$D$12))),0)+IF(AND(L935="Cafco 400",M935="Software Idiem",C935="C"),((('CAFCO 400 '!$L$7*(J935^3)+'CAFCO 400 '!$L$8*(J935^2)+'CAFCO 400 '!$L$9*J935+'CAFCO 400 '!$L$10)*U935^2)+(('CAFCO 400 '!$L$11*(J935^3)+'CAFCO 400 '!$L$12*(J935^2)+'CAFCO 400 '!$L$13*J935+'CAFCO 400 '!$L$14)*U935)+('CAFCO 400 '!$L$15*LN(J935)+'CAFCO 400 '!$L$16)),0)+IF(AND(L935="Cafco 400",M935="Software Idiem",C935="L"),((('CAFCO 400 '!$L$7*(J935^3)+'CAFCO 400 '!$L$8*(J935^2)+'CAFCO 400 '!$L$9*J935+'CAFCO 400 '!$L$10)*U935^2)+(('CAFCO 400 '!$L$11*(J935^3)+'CAFCO 400 '!$L$12*(J935^2)+'CAFCO 400 '!$L$13*J935+'CAFCO 400 '!$L$14)*U935)+('CAFCO 400 '!$L$15*LN(J935)+'CAFCO 400 '!$L$16)),0)+IF(AND(L935="Cafco 400",M935="Software Idiem",C935="IN",G935=3),((('CAFCO 400 '!$D$23*(J935^2)+'CAFCO 400 '!$D$24*(J935)+'CAFCO 400 '!$D$25)*U935^2)+(('CAFCO 400 '!$D$26*(J935^2)+'CAFCO 400 '!$D$27*J935+'CAFCO 400 '!$D$28)*U935)+('CAFCO 400 '!$D$29*(J935^2)+'CAFCO 400 '!$D$30*J935+'CAFCO 400 '!$D$31)),0),0)+IF(AND(L935="Cafco 300",J935&gt;=95,J935&lt;=240,C935="Cj",I935=90),VLOOKUP(T935,'CAFCO 300 IDIEM TABLAS'!$B$4:$D$23,2,FALSE),0)+IF(AND(L935="Cafco 300",J935&gt;=95,J935&lt;=240,C935="Cj",I935=120),VLOOKUP(T935,'CAFCO 300 IDIEM TABLAS'!$B$4:$D$23,3,FALSE),0)+IF(AND(L935="Cafco 300",J935&gt;=95,J935&lt;=400,G935=3,C935="IN",I935=90),VLOOKUP(T935,'CAFCO 300 IDIEM TABLAS'!$F$4:$H$35,2,FALSE),0)+IF(AND(L935="Cafco 300",J935&gt;=95,J935&lt;=400,G935=3,C935="IN",I935=120),VLOOKUP(T935,'CAFCO 300 IDIEM TABLAS'!$F$4:$H$35,3,FALSE),0)+IF(AND(L935="Cafco 300",J935&gt;=95,J935&lt;=450,G935=4,C935="IN",I935=90),VLOOKUP(T935,'CAFCO 300 IDIEM TABLAS'!$J$4:$L$40,2,FALSE),0)+IF(AND(L935="Cafco 300",J935&gt;=95,J935&lt;=450,G935=4,C935="IN",I935=120),VLOOKUP(T935,'CAFCO 300 IDIEM TABLAS'!$J$4:$L$40,3,FALSE),0)+IF(AND(M935="Ensayo Idiem",L935="Cafco 400",C935="IN",G935=4,I935=90),VLOOKUP(T935,'CAFCO 400 ENSAYO'!$B$7:$D$43,2,FALSE),0)+IF(AND(M935="Ensayo Idiem",L935="Cafco 400",C935="IN",G935=4,I935=120),VLOOKUP(T935,'CAFCO 400 ENSAYO'!$B$7:$D$43,3,FALSE),0)</f>
        <v>0</v>
      </c>
      <c r="O935" s="96">
        <f t="shared" si="96"/>
        <v>0</v>
      </c>
      <c r="P935" s="132" t="str">
        <f t="shared" si="91"/>
        <v>N/A</v>
      </c>
      <c r="Q935" s="132" t="str">
        <f t="shared" si="92"/>
        <v>N/A</v>
      </c>
      <c r="R935" s="132" t="str">
        <f t="shared" si="93"/>
        <v>NO CERT.</v>
      </c>
      <c r="S935" s="132" t="e">
        <f t="shared" si="94"/>
        <v>#N/A</v>
      </c>
      <c r="T935" s="133" t="e">
        <f>+IF(J935=LOOKUP(J935,'CAFCO 300 IDIEM TABLAS'!$J$4:$J$40),'CALCULO MORTERO'!J935,MROUND('CALCULO MORTERO'!J935,10))</f>
        <v>#N/A</v>
      </c>
      <c r="U935" s="134">
        <f t="shared" si="95"/>
        <v>0</v>
      </c>
    </row>
    <row r="936" spans="1:21" x14ac:dyDescent="0.25">
      <c r="A936" s="118">
        <f>+CUBICACION!D930</f>
        <v>0</v>
      </c>
      <c r="B936" s="819">
        <f>+CUBICACION!E930</f>
        <v>0</v>
      </c>
      <c r="C936" s="675">
        <f>+CUBICACION!F930</f>
        <v>0</v>
      </c>
      <c r="D936" s="118"/>
      <c r="E936" s="118"/>
      <c r="F936" s="820"/>
      <c r="G936" s="675">
        <f>+CUBICACION!J930</f>
        <v>0</v>
      </c>
      <c r="H936" s="118"/>
      <c r="I936" s="821">
        <f>+CUBICACION!L930</f>
        <v>0</v>
      </c>
      <c r="J936" s="64">
        <f>+CUBICACION!M930</f>
        <v>0</v>
      </c>
      <c r="K936" s="822" t="str">
        <f>+CUBICACION!N930</f>
        <v/>
      </c>
      <c r="L936" s="118">
        <f>+CUBICACION!O930</f>
        <v>0</v>
      </c>
      <c r="M936" s="823">
        <f>+CUBICACION!P930</f>
        <v>0</v>
      </c>
      <c r="N936" s="902">
        <f>ROUND(IF(AND(L936="Blaze Shield II",M936="Software Idiem",C936="IN",G936=4),((('BLAZE SHIELD II'!$D$4*('CALCULO MORTERO'!I936^2)+'BLAZE SHIELD II'!$D$5*'CALCULO MORTERO'!I936+'BLAZE SHIELD II'!$D$6)*LN(J936))+('BLAZE SHIELD II'!$D$7*('CALCULO MORTERO'!I936^2)+'BLAZE SHIELD II'!$D$8*'CALCULO MORTERO'!I936+'BLAZE SHIELD II'!$D$9)),0)+IF(AND(L936="Blaze Shield II",M936="Software Idiem",C936="Cj"),((('BLAZE SHIELD II'!$H$4*('CALCULO MORTERO'!I936^2)+'BLAZE SHIELD II'!$H$5*'CALCULO MORTERO'!I936+'BLAZE SHIELD II'!$H$6)*LN(J936))+('BLAZE SHIELD II'!$H$7*('CALCULO MORTERO'!I936^2)+'BLAZE SHIELD II'!$H$8*'CALCULO MORTERO'!I936+'BLAZE SHIELD II'!$H$9)),0)+IF(AND(L936="Blaze Shield II",M936="Software Idiem",C936="C"),((('BLAZE SHIELD II'!$L$4*('CALCULO MORTERO'!I936^2)+'BLAZE SHIELD II'!$L$5*'CALCULO MORTERO'!I936+'BLAZE SHIELD II'!$L$6)*LN(J936))+('BLAZE SHIELD II'!$L$7*('CALCULO MORTERO'!I936^2)+'BLAZE SHIELD II'!$L$8*'CALCULO MORTERO'!I936+'BLAZE SHIELD II'!$L$9)),0)+IF(AND(L936="Blaze Shield II",M936="Software Idiem",C936="L"),((('BLAZE SHIELD II'!$L$4*('CALCULO MORTERO'!I936^2)+'BLAZE SHIELD II'!$L$5*'CALCULO MORTERO'!I936+'BLAZE SHIELD II'!$L$6)*LN(J936))+('BLAZE SHIELD II'!$L$7*('CALCULO MORTERO'!I936^2)+'BLAZE SHIELD II'!$L$8*'CALCULO MORTERO'!I936+'BLAZE SHIELD II'!$L$9)),0)+IF(AND(L936="Blaze Shield II",M936="Software Idiem",C936="IN",G936=3),((('BLAZE SHIELD II'!$H$14*('CALCULO MORTERO'!I936^2)+'BLAZE SHIELD II'!$H$15*'CALCULO MORTERO'!I936+'BLAZE SHIELD II'!$H$16)*LN(J936))+('BLAZE SHIELD II'!$H$17*('CALCULO MORTERO'!I936^2)+'BLAZE SHIELD II'!$H$18*'CALCULO MORTERO'!I936+'BLAZE SHIELD II'!$H$19)),0),0)+ROUND(IF(AND(L936="Cafco 400",M936="Software Idiem",C936="IN",G936=4),((('CAFCO 400 '!$H$7*(J936^4)+'CAFCO 400 '!$H$8*(J936^3)+'CAFCO 400 '!$H$9*(J936^2)+'CAFCO 400 '!$H$10*J936+'CAFCO 400 '!$H$11)*U936^2)+(('CAFCO 400 '!$H$12*(J936^3)+'CAFCO 400 '!$H$13*(J936^2)+'CAFCO 400 '!$H$14*J936+'CAFCO 400 '!$H$15)*U936)+('CAFCO 400 '!$H$16*(J936^2)+'CAFCO 400 '!$H$17*J936+'CAFCO 400 '!$H$18)),0)+IF(AND(L936="Cafco 400",M936="Software Idiem",C936="Cj"),(((('CAFCO 400 '!$D$7*LN(J936)+'CAFCO 400 '!$D$8)*U936^2)+(('CAFCO 400 '!$D$9*LN(J936)+'CAFCO 400 '!$D$10)*U936)+('CAFCO 400 '!$D$11*LN(J936)+'CAFCO 400 '!$D$12))),0)+IF(AND(L936="Cafco 400",M936="Software Idiem",C936="C"),((('CAFCO 400 '!$L$7*(J936^3)+'CAFCO 400 '!$L$8*(J936^2)+'CAFCO 400 '!$L$9*J936+'CAFCO 400 '!$L$10)*U936^2)+(('CAFCO 400 '!$L$11*(J936^3)+'CAFCO 400 '!$L$12*(J936^2)+'CAFCO 400 '!$L$13*J936+'CAFCO 400 '!$L$14)*U936)+('CAFCO 400 '!$L$15*LN(J936)+'CAFCO 400 '!$L$16)),0)+IF(AND(L936="Cafco 400",M936="Software Idiem",C936="L"),((('CAFCO 400 '!$L$7*(J936^3)+'CAFCO 400 '!$L$8*(J936^2)+'CAFCO 400 '!$L$9*J936+'CAFCO 400 '!$L$10)*U936^2)+(('CAFCO 400 '!$L$11*(J936^3)+'CAFCO 400 '!$L$12*(J936^2)+'CAFCO 400 '!$L$13*J936+'CAFCO 400 '!$L$14)*U936)+('CAFCO 400 '!$L$15*LN(J936)+'CAFCO 400 '!$L$16)),0)+IF(AND(L936="Cafco 400",M936="Software Idiem",C936="IN",G936=3),((('CAFCO 400 '!$D$23*(J936^2)+'CAFCO 400 '!$D$24*(J936)+'CAFCO 400 '!$D$25)*U936^2)+(('CAFCO 400 '!$D$26*(J936^2)+'CAFCO 400 '!$D$27*J936+'CAFCO 400 '!$D$28)*U936)+('CAFCO 400 '!$D$29*(J936^2)+'CAFCO 400 '!$D$30*J936+'CAFCO 400 '!$D$31)),0),0)+IF(AND(L936="Cafco 300",J936&gt;=95,J936&lt;=240,C936="Cj",I936=90),VLOOKUP(T936,'CAFCO 300 IDIEM TABLAS'!$B$4:$D$23,2,FALSE),0)+IF(AND(L936="Cafco 300",J936&gt;=95,J936&lt;=240,C936="Cj",I936=120),VLOOKUP(T936,'CAFCO 300 IDIEM TABLAS'!$B$4:$D$23,3,FALSE),0)+IF(AND(L936="Cafco 300",J936&gt;=95,J936&lt;=400,G936=3,C936="IN",I936=90),VLOOKUP(T936,'CAFCO 300 IDIEM TABLAS'!$F$4:$H$35,2,FALSE),0)+IF(AND(L936="Cafco 300",J936&gt;=95,J936&lt;=400,G936=3,C936="IN",I936=120),VLOOKUP(T936,'CAFCO 300 IDIEM TABLAS'!$F$4:$H$35,3,FALSE),0)+IF(AND(L936="Cafco 300",J936&gt;=95,J936&lt;=450,G936=4,C936="IN",I936=90),VLOOKUP(T936,'CAFCO 300 IDIEM TABLAS'!$J$4:$L$40,2,FALSE),0)+IF(AND(L936="Cafco 300",J936&gt;=95,J936&lt;=450,G936=4,C936="IN",I936=120),VLOOKUP(T936,'CAFCO 300 IDIEM TABLAS'!$J$4:$L$40,3,FALSE),0)+IF(AND(M936="Ensayo Idiem",L936="Cafco 400",C936="IN",G936=4,I936=90),VLOOKUP(T936,'CAFCO 400 ENSAYO'!$B$7:$D$43,2,FALSE),0)+IF(AND(M936="Ensayo Idiem",L936="Cafco 400",C936="IN",G936=4,I936=120),VLOOKUP(T936,'CAFCO 400 ENSAYO'!$B$7:$D$43,3,FALSE),0)</f>
        <v>0</v>
      </c>
      <c r="O936" s="96">
        <f t="shared" si="96"/>
        <v>0</v>
      </c>
      <c r="P936" s="95" t="str">
        <f t="shared" si="91"/>
        <v>N/A</v>
      </c>
      <c r="Q936" s="95" t="str">
        <f t="shared" si="92"/>
        <v>N/A</v>
      </c>
      <c r="R936" s="95" t="str">
        <f t="shared" si="93"/>
        <v>NO CERT.</v>
      </c>
      <c r="S936" s="95" t="e">
        <f t="shared" si="94"/>
        <v>#N/A</v>
      </c>
      <c r="T936" s="119" t="e">
        <f>+IF(J936=LOOKUP(J936,'CAFCO 300 IDIEM TABLAS'!$J$4:$J$40),'CALCULO MORTERO'!J936,MROUND('CALCULO MORTERO'!J936,10))</f>
        <v>#N/A</v>
      </c>
      <c r="U936" s="118">
        <f t="shared" si="95"/>
        <v>0</v>
      </c>
    </row>
    <row r="937" spans="1:21" x14ac:dyDescent="0.25">
      <c r="A937" s="118">
        <f>+CUBICACION!D931</f>
        <v>0</v>
      </c>
      <c r="B937" s="819">
        <f>+CUBICACION!E931</f>
        <v>0</v>
      </c>
      <c r="C937" s="675">
        <f>+CUBICACION!F931</f>
        <v>0</v>
      </c>
      <c r="D937" s="118"/>
      <c r="E937" s="118"/>
      <c r="F937" s="820"/>
      <c r="G937" s="675">
        <f>+CUBICACION!J931</f>
        <v>0</v>
      </c>
      <c r="H937" s="118"/>
      <c r="I937" s="821">
        <f>+CUBICACION!L931</f>
        <v>0</v>
      </c>
      <c r="J937" s="64">
        <f>+CUBICACION!M931</f>
        <v>0</v>
      </c>
      <c r="K937" s="822" t="str">
        <f>+CUBICACION!N931</f>
        <v/>
      </c>
      <c r="L937" s="118">
        <f>+CUBICACION!O931</f>
        <v>0</v>
      </c>
      <c r="M937" s="823">
        <f>+CUBICACION!P931</f>
        <v>0</v>
      </c>
      <c r="N937" s="902">
        <f>ROUND(IF(AND(L937="Blaze Shield II",M937="Software Idiem",C937="IN",G937=4),((('BLAZE SHIELD II'!$D$4*('CALCULO MORTERO'!I937^2)+'BLAZE SHIELD II'!$D$5*'CALCULO MORTERO'!I937+'BLAZE SHIELD II'!$D$6)*LN(J937))+('BLAZE SHIELD II'!$D$7*('CALCULO MORTERO'!I937^2)+'BLAZE SHIELD II'!$D$8*'CALCULO MORTERO'!I937+'BLAZE SHIELD II'!$D$9)),0)+IF(AND(L937="Blaze Shield II",M937="Software Idiem",C937="Cj"),((('BLAZE SHIELD II'!$H$4*('CALCULO MORTERO'!I937^2)+'BLAZE SHIELD II'!$H$5*'CALCULO MORTERO'!I937+'BLAZE SHIELD II'!$H$6)*LN(J937))+('BLAZE SHIELD II'!$H$7*('CALCULO MORTERO'!I937^2)+'BLAZE SHIELD II'!$H$8*'CALCULO MORTERO'!I937+'BLAZE SHIELD II'!$H$9)),0)+IF(AND(L937="Blaze Shield II",M937="Software Idiem",C937="C"),((('BLAZE SHIELD II'!$L$4*('CALCULO MORTERO'!I937^2)+'BLAZE SHIELD II'!$L$5*'CALCULO MORTERO'!I937+'BLAZE SHIELD II'!$L$6)*LN(J937))+('BLAZE SHIELD II'!$L$7*('CALCULO MORTERO'!I937^2)+'BLAZE SHIELD II'!$L$8*'CALCULO MORTERO'!I937+'BLAZE SHIELD II'!$L$9)),0)+IF(AND(L937="Blaze Shield II",M937="Software Idiem",C937="L"),((('BLAZE SHIELD II'!$L$4*('CALCULO MORTERO'!I937^2)+'BLAZE SHIELD II'!$L$5*'CALCULO MORTERO'!I937+'BLAZE SHIELD II'!$L$6)*LN(J937))+('BLAZE SHIELD II'!$L$7*('CALCULO MORTERO'!I937^2)+'BLAZE SHIELD II'!$L$8*'CALCULO MORTERO'!I937+'BLAZE SHIELD II'!$L$9)),0)+IF(AND(L937="Blaze Shield II",M937="Software Idiem",C937="IN",G937=3),((('BLAZE SHIELD II'!$H$14*('CALCULO MORTERO'!I937^2)+'BLAZE SHIELD II'!$H$15*'CALCULO MORTERO'!I937+'BLAZE SHIELD II'!$H$16)*LN(J937))+('BLAZE SHIELD II'!$H$17*('CALCULO MORTERO'!I937^2)+'BLAZE SHIELD II'!$H$18*'CALCULO MORTERO'!I937+'BLAZE SHIELD II'!$H$19)),0),0)+ROUND(IF(AND(L937="Cafco 400",M937="Software Idiem",C937="IN",G937=4),((('CAFCO 400 '!$H$7*(J937^4)+'CAFCO 400 '!$H$8*(J937^3)+'CAFCO 400 '!$H$9*(J937^2)+'CAFCO 400 '!$H$10*J937+'CAFCO 400 '!$H$11)*U937^2)+(('CAFCO 400 '!$H$12*(J937^3)+'CAFCO 400 '!$H$13*(J937^2)+'CAFCO 400 '!$H$14*J937+'CAFCO 400 '!$H$15)*U937)+('CAFCO 400 '!$H$16*(J937^2)+'CAFCO 400 '!$H$17*J937+'CAFCO 400 '!$H$18)),0)+IF(AND(L937="Cafco 400",M937="Software Idiem",C937="Cj"),(((('CAFCO 400 '!$D$7*LN(J937)+'CAFCO 400 '!$D$8)*U937^2)+(('CAFCO 400 '!$D$9*LN(J937)+'CAFCO 400 '!$D$10)*U937)+('CAFCO 400 '!$D$11*LN(J937)+'CAFCO 400 '!$D$12))),0)+IF(AND(L937="Cafco 400",M937="Software Idiem",C937="C"),((('CAFCO 400 '!$L$7*(J937^3)+'CAFCO 400 '!$L$8*(J937^2)+'CAFCO 400 '!$L$9*J937+'CAFCO 400 '!$L$10)*U937^2)+(('CAFCO 400 '!$L$11*(J937^3)+'CAFCO 400 '!$L$12*(J937^2)+'CAFCO 400 '!$L$13*J937+'CAFCO 400 '!$L$14)*U937)+('CAFCO 400 '!$L$15*LN(J937)+'CAFCO 400 '!$L$16)),0)+IF(AND(L937="Cafco 400",M937="Software Idiem",C937="L"),((('CAFCO 400 '!$L$7*(J937^3)+'CAFCO 400 '!$L$8*(J937^2)+'CAFCO 400 '!$L$9*J937+'CAFCO 400 '!$L$10)*U937^2)+(('CAFCO 400 '!$L$11*(J937^3)+'CAFCO 400 '!$L$12*(J937^2)+'CAFCO 400 '!$L$13*J937+'CAFCO 400 '!$L$14)*U937)+('CAFCO 400 '!$L$15*LN(J937)+'CAFCO 400 '!$L$16)),0)+IF(AND(L937="Cafco 400",M937="Software Idiem",C937="IN",G937=3),((('CAFCO 400 '!$D$23*(J937^2)+'CAFCO 400 '!$D$24*(J937)+'CAFCO 400 '!$D$25)*U937^2)+(('CAFCO 400 '!$D$26*(J937^2)+'CAFCO 400 '!$D$27*J937+'CAFCO 400 '!$D$28)*U937)+('CAFCO 400 '!$D$29*(J937^2)+'CAFCO 400 '!$D$30*J937+'CAFCO 400 '!$D$31)),0),0)+IF(AND(L937="Cafco 300",J937&gt;=95,J937&lt;=240,C937="Cj",I937=90),VLOOKUP(T937,'CAFCO 300 IDIEM TABLAS'!$B$4:$D$23,2,FALSE),0)+IF(AND(L937="Cafco 300",J937&gt;=95,J937&lt;=240,C937="Cj",I937=120),VLOOKUP(T937,'CAFCO 300 IDIEM TABLAS'!$B$4:$D$23,3,FALSE),0)+IF(AND(L937="Cafco 300",J937&gt;=95,J937&lt;=400,G937=3,C937="IN",I937=90),VLOOKUP(T937,'CAFCO 300 IDIEM TABLAS'!$F$4:$H$35,2,FALSE),0)+IF(AND(L937="Cafco 300",J937&gt;=95,J937&lt;=400,G937=3,C937="IN",I937=120),VLOOKUP(T937,'CAFCO 300 IDIEM TABLAS'!$F$4:$H$35,3,FALSE),0)+IF(AND(L937="Cafco 300",J937&gt;=95,J937&lt;=450,G937=4,C937="IN",I937=90),VLOOKUP(T937,'CAFCO 300 IDIEM TABLAS'!$J$4:$L$40,2,FALSE),0)+IF(AND(L937="Cafco 300",J937&gt;=95,J937&lt;=450,G937=4,C937="IN",I937=120),VLOOKUP(T937,'CAFCO 300 IDIEM TABLAS'!$J$4:$L$40,3,FALSE),0)+IF(AND(M937="Ensayo Idiem",L937="Cafco 400",C937="IN",G937=4,I937=90),VLOOKUP(T937,'CAFCO 400 ENSAYO'!$B$7:$D$43,2,FALSE),0)+IF(AND(M937="Ensayo Idiem",L937="Cafco 400",C937="IN",G937=4,I937=120),VLOOKUP(T937,'CAFCO 400 ENSAYO'!$B$7:$D$43,3,FALSE),0)</f>
        <v>0</v>
      </c>
      <c r="O937" s="96">
        <f t="shared" si="96"/>
        <v>0</v>
      </c>
      <c r="P937" s="132" t="str">
        <f t="shared" si="91"/>
        <v>N/A</v>
      </c>
      <c r="Q937" s="132" t="str">
        <f t="shared" si="92"/>
        <v>N/A</v>
      </c>
      <c r="R937" s="132" t="str">
        <f t="shared" si="93"/>
        <v>NO CERT.</v>
      </c>
      <c r="S937" s="132" t="e">
        <f t="shared" si="94"/>
        <v>#N/A</v>
      </c>
      <c r="T937" s="133" t="e">
        <f>+IF(J937=LOOKUP(J937,'CAFCO 300 IDIEM TABLAS'!$J$4:$J$40),'CALCULO MORTERO'!J937,MROUND('CALCULO MORTERO'!J937,10))</f>
        <v>#N/A</v>
      </c>
      <c r="U937" s="134">
        <f t="shared" si="95"/>
        <v>0</v>
      </c>
    </row>
    <row r="938" spans="1:21" x14ac:dyDescent="0.25">
      <c r="A938" s="118">
        <f>+CUBICACION!D932</f>
        <v>0</v>
      </c>
      <c r="B938" s="819">
        <f>+CUBICACION!E932</f>
        <v>0</v>
      </c>
      <c r="C938" s="675">
        <f>+CUBICACION!F932</f>
        <v>0</v>
      </c>
      <c r="D938" s="118"/>
      <c r="E938" s="118"/>
      <c r="F938" s="820"/>
      <c r="G938" s="675">
        <f>+CUBICACION!J932</f>
        <v>0</v>
      </c>
      <c r="H938" s="118"/>
      <c r="I938" s="821">
        <f>+CUBICACION!L932</f>
        <v>0</v>
      </c>
      <c r="J938" s="64">
        <f>+CUBICACION!M932</f>
        <v>0</v>
      </c>
      <c r="K938" s="822" t="str">
        <f>+CUBICACION!N932</f>
        <v/>
      </c>
      <c r="L938" s="118">
        <f>+CUBICACION!O932</f>
        <v>0</v>
      </c>
      <c r="M938" s="823">
        <f>+CUBICACION!P932</f>
        <v>0</v>
      </c>
      <c r="N938" s="902">
        <f>ROUND(IF(AND(L938="Blaze Shield II",M938="Software Idiem",C938="IN",G938=4),((('BLAZE SHIELD II'!$D$4*('CALCULO MORTERO'!I938^2)+'BLAZE SHIELD II'!$D$5*'CALCULO MORTERO'!I938+'BLAZE SHIELD II'!$D$6)*LN(J938))+('BLAZE SHIELD II'!$D$7*('CALCULO MORTERO'!I938^2)+'BLAZE SHIELD II'!$D$8*'CALCULO MORTERO'!I938+'BLAZE SHIELD II'!$D$9)),0)+IF(AND(L938="Blaze Shield II",M938="Software Idiem",C938="Cj"),((('BLAZE SHIELD II'!$H$4*('CALCULO MORTERO'!I938^2)+'BLAZE SHIELD II'!$H$5*'CALCULO MORTERO'!I938+'BLAZE SHIELD II'!$H$6)*LN(J938))+('BLAZE SHIELD II'!$H$7*('CALCULO MORTERO'!I938^2)+'BLAZE SHIELD II'!$H$8*'CALCULO MORTERO'!I938+'BLAZE SHIELD II'!$H$9)),0)+IF(AND(L938="Blaze Shield II",M938="Software Idiem",C938="C"),((('BLAZE SHIELD II'!$L$4*('CALCULO MORTERO'!I938^2)+'BLAZE SHIELD II'!$L$5*'CALCULO MORTERO'!I938+'BLAZE SHIELD II'!$L$6)*LN(J938))+('BLAZE SHIELD II'!$L$7*('CALCULO MORTERO'!I938^2)+'BLAZE SHIELD II'!$L$8*'CALCULO MORTERO'!I938+'BLAZE SHIELD II'!$L$9)),0)+IF(AND(L938="Blaze Shield II",M938="Software Idiem",C938="L"),((('BLAZE SHIELD II'!$L$4*('CALCULO MORTERO'!I938^2)+'BLAZE SHIELD II'!$L$5*'CALCULO MORTERO'!I938+'BLAZE SHIELD II'!$L$6)*LN(J938))+('BLAZE SHIELD II'!$L$7*('CALCULO MORTERO'!I938^2)+'BLAZE SHIELD II'!$L$8*'CALCULO MORTERO'!I938+'BLAZE SHIELD II'!$L$9)),0)+IF(AND(L938="Blaze Shield II",M938="Software Idiem",C938="IN",G938=3),((('BLAZE SHIELD II'!$H$14*('CALCULO MORTERO'!I938^2)+'BLAZE SHIELD II'!$H$15*'CALCULO MORTERO'!I938+'BLAZE SHIELD II'!$H$16)*LN(J938))+('BLAZE SHIELD II'!$H$17*('CALCULO MORTERO'!I938^2)+'BLAZE SHIELD II'!$H$18*'CALCULO MORTERO'!I938+'BLAZE SHIELD II'!$H$19)),0),0)+ROUND(IF(AND(L938="Cafco 400",M938="Software Idiem",C938="IN",G938=4),((('CAFCO 400 '!$H$7*(J938^4)+'CAFCO 400 '!$H$8*(J938^3)+'CAFCO 400 '!$H$9*(J938^2)+'CAFCO 400 '!$H$10*J938+'CAFCO 400 '!$H$11)*U938^2)+(('CAFCO 400 '!$H$12*(J938^3)+'CAFCO 400 '!$H$13*(J938^2)+'CAFCO 400 '!$H$14*J938+'CAFCO 400 '!$H$15)*U938)+('CAFCO 400 '!$H$16*(J938^2)+'CAFCO 400 '!$H$17*J938+'CAFCO 400 '!$H$18)),0)+IF(AND(L938="Cafco 400",M938="Software Idiem",C938="Cj"),(((('CAFCO 400 '!$D$7*LN(J938)+'CAFCO 400 '!$D$8)*U938^2)+(('CAFCO 400 '!$D$9*LN(J938)+'CAFCO 400 '!$D$10)*U938)+('CAFCO 400 '!$D$11*LN(J938)+'CAFCO 400 '!$D$12))),0)+IF(AND(L938="Cafco 400",M938="Software Idiem",C938="C"),((('CAFCO 400 '!$L$7*(J938^3)+'CAFCO 400 '!$L$8*(J938^2)+'CAFCO 400 '!$L$9*J938+'CAFCO 400 '!$L$10)*U938^2)+(('CAFCO 400 '!$L$11*(J938^3)+'CAFCO 400 '!$L$12*(J938^2)+'CAFCO 400 '!$L$13*J938+'CAFCO 400 '!$L$14)*U938)+('CAFCO 400 '!$L$15*LN(J938)+'CAFCO 400 '!$L$16)),0)+IF(AND(L938="Cafco 400",M938="Software Idiem",C938="L"),((('CAFCO 400 '!$L$7*(J938^3)+'CAFCO 400 '!$L$8*(J938^2)+'CAFCO 400 '!$L$9*J938+'CAFCO 400 '!$L$10)*U938^2)+(('CAFCO 400 '!$L$11*(J938^3)+'CAFCO 400 '!$L$12*(J938^2)+'CAFCO 400 '!$L$13*J938+'CAFCO 400 '!$L$14)*U938)+('CAFCO 400 '!$L$15*LN(J938)+'CAFCO 400 '!$L$16)),0)+IF(AND(L938="Cafco 400",M938="Software Idiem",C938="IN",G938=3),((('CAFCO 400 '!$D$23*(J938^2)+'CAFCO 400 '!$D$24*(J938)+'CAFCO 400 '!$D$25)*U938^2)+(('CAFCO 400 '!$D$26*(J938^2)+'CAFCO 400 '!$D$27*J938+'CAFCO 400 '!$D$28)*U938)+('CAFCO 400 '!$D$29*(J938^2)+'CAFCO 400 '!$D$30*J938+'CAFCO 400 '!$D$31)),0),0)+IF(AND(L938="Cafco 300",J938&gt;=95,J938&lt;=240,C938="Cj",I938=90),VLOOKUP(T938,'CAFCO 300 IDIEM TABLAS'!$B$4:$D$23,2,FALSE),0)+IF(AND(L938="Cafco 300",J938&gt;=95,J938&lt;=240,C938="Cj",I938=120),VLOOKUP(T938,'CAFCO 300 IDIEM TABLAS'!$B$4:$D$23,3,FALSE),0)+IF(AND(L938="Cafco 300",J938&gt;=95,J938&lt;=400,G938=3,C938="IN",I938=90),VLOOKUP(T938,'CAFCO 300 IDIEM TABLAS'!$F$4:$H$35,2,FALSE),0)+IF(AND(L938="Cafco 300",J938&gt;=95,J938&lt;=400,G938=3,C938="IN",I938=120),VLOOKUP(T938,'CAFCO 300 IDIEM TABLAS'!$F$4:$H$35,3,FALSE),0)+IF(AND(L938="Cafco 300",J938&gt;=95,J938&lt;=450,G938=4,C938="IN",I938=90),VLOOKUP(T938,'CAFCO 300 IDIEM TABLAS'!$J$4:$L$40,2,FALSE),0)+IF(AND(L938="Cafco 300",J938&gt;=95,J938&lt;=450,G938=4,C938="IN",I938=120),VLOOKUP(T938,'CAFCO 300 IDIEM TABLAS'!$J$4:$L$40,3,FALSE),0)+IF(AND(M938="Ensayo Idiem",L938="Cafco 400",C938="IN",G938=4,I938=90),VLOOKUP(T938,'CAFCO 400 ENSAYO'!$B$7:$D$43,2,FALSE),0)+IF(AND(M938="Ensayo Idiem",L938="Cafco 400",C938="IN",G938=4,I938=120),VLOOKUP(T938,'CAFCO 400 ENSAYO'!$B$7:$D$43,3,FALSE),0)</f>
        <v>0</v>
      </c>
      <c r="O938" s="96">
        <f t="shared" si="96"/>
        <v>0</v>
      </c>
      <c r="P938" s="95" t="str">
        <f t="shared" si="91"/>
        <v>N/A</v>
      </c>
      <c r="Q938" s="95" t="str">
        <f t="shared" si="92"/>
        <v>N/A</v>
      </c>
      <c r="R938" s="95" t="str">
        <f t="shared" si="93"/>
        <v>NO CERT.</v>
      </c>
      <c r="S938" s="95" t="e">
        <f t="shared" si="94"/>
        <v>#N/A</v>
      </c>
      <c r="T938" s="119" t="e">
        <f>+IF(J938=LOOKUP(J938,'CAFCO 300 IDIEM TABLAS'!$J$4:$J$40),'CALCULO MORTERO'!J938,MROUND('CALCULO MORTERO'!J938,10))</f>
        <v>#N/A</v>
      </c>
      <c r="U938" s="118">
        <f t="shared" si="95"/>
        <v>0</v>
      </c>
    </row>
    <row r="939" spans="1:21" x14ac:dyDescent="0.25">
      <c r="A939" s="118">
        <f>+CUBICACION!D933</f>
        <v>0</v>
      </c>
      <c r="B939" s="819">
        <f>+CUBICACION!E933</f>
        <v>0</v>
      </c>
      <c r="C939" s="675">
        <f>+CUBICACION!F933</f>
        <v>0</v>
      </c>
      <c r="D939" s="118"/>
      <c r="E939" s="118"/>
      <c r="F939" s="820"/>
      <c r="G939" s="675">
        <f>+CUBICACION!J933</f>
        <v>0</v>
      </c>
      <c r="H939" s="118"/>
      <c r="I939" s="821">
        <f>+CUBICACION!L933</f>
        <v>0</v>
      </c>
      <c r="J939" s="64">
        <f>+CUBICACION!M933</f>
        <v>0</v>
      </c>
      <c r="K939" s="822" t="str">
        <f>+CUBICACION!N933</f>
        <v/>
      </c>
      <c r="L939" s="118">
        <f>+CUBICACION!O933</f>
        <v>0</v>
      </c>
      <c r="M939" s="823">
        <f>+CUBICACION!P933</f>
        <v>0</v>
      </c>
      <c r="N939" s="902">
        <f>ROUND(IF(AND(L939="Blaze Shield II",M939="Software Idiem",C939="IN",G939=4),((('BLAZE SHIELD II'!$D$4*('CALCULO MORTERO'!I939^2)+'BLAZE SHIELD II'!$D$5*'CALCULO MORTERO'!I939+'BLAZE SHIELD II'!$D$6)*LN(J939))+('BLAZE SHIELD II'!$D$7*('CALCULO MORTERO'!I939^2)+'BLAZE SHIELD II'!$D$8*'CALCULO MORTERO'!I939+'BLAZE SHIELD II'!$D$9)),0)+IF(AND(L939="Blaze Shield II",M939="Software Idiem",C939="Cj"),((('BLAZE SHIELD II'!$H$4*('CALCULO MORTERO'!I939^2)+'BLAZE SHIELD II'!$H$5*'CALCULO MORTERO'!I939+'BLAZE SHIELD II'!$H$6)*LN(J939))+('BLAZE SHIELD II'!$H$7*('CALCULO MORTERO'!I939^2)+'BLAZE SHIELD II'!$H$8*'CALCULO MORTERO'!I939+'BLAZE SHIELD II'!$H$9)),0)+IF(AND(L939="Blaze Shield II",M939="Software Idiem",C939="C"),((('BLAZE SHIELD II'!$L$4*('CALCULO MORTERO'!I939^2)+'BLAZE SHIELD II'!$L$5*'CALCULO MORTERO'!I939+'BLAZE SHIELD II'!$L$6)*LN(J939))+('BLAZE SHIELD II'!$L$7*('CALCULO MORTERO'!I939^2)+'BLAZE SHIELD II'!$L$8*'CALCULO MORTERO'!I939+'BLAZE SHIELD II'!$L$9)),0)+IF(AND(L939="Blaze Shield II",M939="Software Idiem",C939="L"),((('BLAZE SHIELD II'!$L$4*('CALCULO MORTERO'!I939^2)+'BLAZE SHIELD II'!$L$5*'CALCULO MORTERO'!I939+'BLAZE SHIELD II'!$L$6)*LN(J939))+('BLAZE SHIELD II'!$L$7*('CALCULO MORTERO'!I939^2)+'BLAZE SHIELD II'!$L$8*'CALCULO MORTERO'!I939+'BLAZE SHIELD II'!$L$9)),0)+IF(AND(L939="Blaze Shield II",M939="Software Idiem",C939="IN",G939=3),((('BLAZE SHIELD II'!$H$14*('CALCULO MORTERO'!I939^2)+'BLAZE SHIELD II'!$H$15*'CALCULO MORTERO'!I939+'BLAZE SHIELD II'!$H$16)*LN(J939))+('BLAZE SHIELD II'!$H$17*('CALCULO MORTERO'!I939^2)+'BLAZE SHIELD II'!$H$18*'CALCULO MORTERO'!I939+'BLAZE SHIELD II'!$H$19)),0),0)+ROUND(IF(AND(L939="Cafco 400",M939="Software Idiem",C939="IN",G939=4),((('CAFCO 400 '!$H$7*(J939^4)+'CAFCO 400 '!$H$8*(J939^3)+'CAFCO 400 '!$H$9*(J939^2)+'CAFCO 400 '!$H$10*J939+'CAFCO 400 '!$H$11)*U939^2)+(('CAFCO 400 '!$H$12*(J939^3)+'CAFCO 400 '!$H$13*(J939^2)+'CAFCO 400 '!$H$14*J939+'CAFCO 400 '!$H$15)*U939)+('CAFCO 400 '!$H$16*(J939^2)+'CAFCO 400 '!$H$17*J939+'CAFCO 400 '!$H$18)),0)+IF(AND(L939="Cafco 400",M939="Software Idiem",C939="Cj"),(((('CAFCO 400 '!$D$7*LN(J939)+'CAFCO 400 '!$D$8)*U939^2)+(('CAFCO 400 '!$D$9*LN(J939)+'CAFCO 400 '!$D$10)*U939)+('CAFCO 400 '!$D$11*LN(J939)+'CAFCO 400 '!$D$12))),0)+IF(AND(L939="Cafco 400",M939="Software Idiem",C939="C"),((('CAFCO 400 '!$L$7*(J939^3)+'CAFCO 400 '!$L$8*(J939^2)+'CAFCO 400 '!$L$9*J939+'CAFCO 400 '!$L$10)*U939^2)+(('CAFCO 400 '!$L$11*(J939^3)+'CAFCO 400 '!$L$12*(J939^2)+'CAFCO 400 '!$L$13*J939+'CAFCO 400 '!$L$14)*U939)+('CAFCO 400 '!$L$15*LN(J939)+'CAFCO 400 '!$L$16)),0)+IF(AND(L939="Cafco 400",M939="Software Idiem",C939="L"),((('CAFCO 400 '!$L$7*(J939^3)+'CAFCO 400 '!$L$8*(J939^2)+'CAFCO 400 '!$L$9*J939+'CAFCO 400 '!$L$10)*U939^2)+(('CAFCO 400 '!$L$11*(J939^3)+'CAFCO 400 '!$L$12*(J939^2)+'CAFCO 400 '!$L$13*J939+'CAFCO 400 '!$L$14)*U939)+('CAFCO 400 '!$L$15*LN(J939)+'CAFCO 400 '!$L$16)),0)+IF(AND(L939="Cafco 400",M939="Software Idiem",C939="IN",G939=3),((('CAFCO 400 '!$D$23*(J939^2)+'CAFCO 400 '!$D$24*(J939)+'CAFCO 400 '!$D$25)*U939^2)+(('CAFCO 400 '!$D$26*(J939^2)+'CAFCO 400 '!$D$27*J939+'CAFCO 400 '!$D$28)*U939)+('CAFCO 400 '!$D$29*(J939^2)+'CAFCO 400 '!$D$30*J939+'CAFCO 400 '!$D$31)),0),0)+IF(AND(L939="Cafco 300",J939&gt;=95,J939&lt;=240,C939="Cj",I939=90),VLOOKUP(T939,'CAFCO 300 IDIEM TABLAS'!$B$4:$D$23,2,FALSE),0)+IF(AND(L939="Cafco 300",J939&gt;=95,J939&lt;=240,C939="Cj",I939=120),VLOOKUP(T939,'CAFCO 300 IDIEM TABLAS'!$B$4:$D$23,3,FALSE),0)+IF(AND(L939="Cafco 300",J939&gt;=95,J939&lt;=400,G939=3,C939="IN",I939=90),VLOOKUP(T939,'CAFCO 300 IDIEM TABLAS'!$F$4:$H$35,2,FALSE),0)+IF(AND(L939="Cafco 300",J939&gt;=95,J939&lt;=400,G939=3,C939="IN",I939=120),VLOOKUP(T939,'CAFCO 300 IDIEM TABLAS'!$F$4:$H$35,3,FALSE),0)+IF(AND(L939="Cafco 300",J939&gt;=95,J939&lt;=450,G939=4,C939="IN",I939=90),VLOOKUP(T939,'CAFCO 300 IDIEM TABLAS'!$J$4:$L$40,2,FALSE),0)+IF(AND(L939="Cafco 300",J939&gt;=95,J939&lt;=450,G939=4,C939="IN",I939=120),VLOOKUP(T939,'CAFCO 300 IDIEM TABLAS'!$J$4:$L$40,3,FALSE),0)+IF(AND(M939="Ensayo Idiem",L939="Cafco 400",C939="IN",G939=4,I939=90),VLOOKUP(T939,'CAFCO 400 ENSAYO'!$B$7:$D$43,2,FALSE),0)+IF(AND(M939="Ensayo Idiem",L939="Cafco 400",C939="IN",G939=4,I939=120),VLOOKUP(T939,'CAFCO 400 ENSAYO'!$B$7:$D$43,3,FALSE),0)</f>
        <v>0</v>
      </c>
      <c r="O939" s="96">
        <f t="shared" si="96"/>
        <v>0</v>
      </c>
      <c r="P939" s="132" t="str">
        <f t="shared" si="91"/>
        <v>N/A</v>
      </c>
      <c r="Q939" s="132" t="str">
        <f t="shared" si="92"/>
        <v>N/A</v>
      </c>
      <c r="R939" s="132" t="str">
        <f t="shared" si="93"/>
        <v>NO CERT.</v>
      </c>
      <c r="S939" s="132" t="e">
        <f t="shared" si="94"/>
        <v>#N/A</v>
      </c>
      <c r="T939" s="133" t="e">
        <f>+IF(J939=LOOKUP(J939,'CAFCO 300 IDIEM TABLAS'!$J$4:$J$40),'CALCULO MORTERO'!J939,MROUND('CALCULO MORTERO'!J939,10))</f>
        <v>#N/A</v>
      </c>
      <c r="U939" s="134">
        <f t="shared" si="95"/>
        <v>0</v>
      </c>
    </row>
    <row r="940" spans="1:21" x14ac:dyDescent="0.25">
      <c r="A940" s="118">
        <f>+CUBICACION!D934</f>
        <v>0</v>
      </c>
      <c r="B940" s="819">
        <f>+CUBICACION!E934</f>
        <v>0</v>
      </c>
      <c r="C940" s="675">
        <f>+CUBICACION!F934</f>
        <v>0</v>
      </c>
      <c r="D940" s="118"/>
      <c r="E940" s="118"/>
      <c r="F940" s="820"/>
      <c r="G940" s="675">
        <f>+CUBICACION!J934</f>
        <v>0</v>
      </c>
      <c r="H940" s="118"/>
      <c r="I940" s="821">
        <f>+CUBICACION!L934</f>
        <v>0</v>
      </c>
      <c r="J940" s="64">
        <f>+CUBICACION!M934</f>
        <v>0</v>
      </c>
      <c r="K940" s="822" t="str">
        <f>+CUBICACION!N934</f>
        <v/>
      </c>
      <c r="L940" s="118">
        <f>+CUBICACION!O934</f>
        <v>0</v>
      </c>
      <c r="M940" s="823">
        <f>+CUBICACION!P934</f>
        <v>0</v>
      </c>
      <c r="N940" s="902">
        <f>ROUND(IF(AND(L940="Blaze Shield II",M940="Software Idiem",C940="IN",G940=4),((('BLAZE SHIELD II'!$D$4*('CALCULO MORTERO'!I940^2)+'BLAZE SHIELD II'!$D$5*'CALCULO MORTERO'!I940+'BLAZE SHIELD II'!$D$6)*LN(J940))+('BLAZE SHIELD II'!$D$7*('CALCULO MORTERO'!I940^2)+'BLAZE SHIELD II'!$D$8*'CALCULO MORTERO'!I940+'BLAZE SHIELD II'!$D$9)),0)+IF(AND(L940="Blaze Shield II",M940="Software Idiem",C940="Cj"),((('BLAZE SHIELD II'!$H$4*('CALCULO MORTERO'!I940^2)+'BLAZE SHIELD II'!$H$5*'CALCULO MORTERO'!I940+'BLAZE SHIELD II'!$H$6)*LN(J940))+('BLAZE SHIELD II'!$H$7*('CALCULO MORTERO'!I940^2)+'BLAZE SHIELD II'!$H$8*'CALCULO MORTERO'!I940+'BLAZE SHIELD II'!$H$9)),0)+IF(AND(L940="Blaze Shield II",M940="Software Idiem",C940="C"),((('BLAZE SHIELD II'!$L$4*('CALCULO MORTERO'!I940^2)+'BLAZE SHIELD II'!$L$5*'CALCULO MORTERO'!I940+'BLAZE SHIELD II'!$L$6)*LN(J940))+('BLAZE SHIELD II'!$L$7*('CALCULO MORTERO'!I940^2)+'BLAZE SHIELD II'!$L$8*'CALCULO MORTERO'!I940+'BLAZE SHIELD II'!$L$9)),0)+IF(AND(L940="Blaze Shield II",M940="Software Idiem",C940="L"),((('BLAZE SHIELD II'!$L$4*('CALCULO MORTERO'!I940^2)+'BLAZE SHIELD II'!$L$5*'CALCULO MORTERO'!I940+'BLAZE SHIELD II'!$L$6)*LN(J940))+('BLAZE SHIELD II'!$L$7*('CALCULO MORTERO'!I940^2)+'BLAZE SHIELD II'!$L$8*'CALCULO MORTERO'!I940+'BLAZE SHIELD II'!$L$9)),0)+IF(AND(L940="Blaze Shield II",M940="Software Idiem",C940="IN",G940=3),((('BLAZE SHIELD II'!$H$14*('CALCULO MORTERO'!I940^2)+'BLAZE SHIELD II'!$H$15*'CALCULO MORTERO'!I940+'BLAZE SHIELD II'!$H$16)*LN(J940))+('BLAZE SHIELD II'!$H$17*('CALCULO MORTERO'!I940^2)+'BLAZE SHIELD II'!$H$18*'CALCULO MORTERO'!I940+'BLAZE SHIELD II'!$H$19)),0),0)+ROUND(IF(AND(L940="Cafco 400",M940="Software Idiem",C940="IN",G940=4),((('CAFCO 400 '!$H$7*(J940^4)+'CAFCO 400 '!$H$8*(J940^3)+'CAFCO 400 '!$H$9*(J940^2)+'CAFCO 400 '!$H$10*J940+'CAFCO 400 '!$H$11)*U940^2)+(('CAFCO 400 '!$H$12*(J940^3)+'CAFCO 400 '!$H$13*(J940^2)+'CAFCO 400 '!$H$14*J940+'CAFCO 400 '!$H$15)*U940)+('CAFCO 400 '!$H$16*(J940^2)+'CAFCO 400 '!$H$17*J940+'CAFCO 400 '!$H$18)),0)+IF(AND(L940="Cafco 400",M940="Software Idiem",C940="Cj"),(((('CAFCO 400 '!$D$7*LN(J940)+'CAFCO 400 '!$D$8)*U940^2)+(('CAFCO 400 '!$D$9*LN(J940)+'CAFCO 400 '!$D$10)*U940)+('CAFCO 400 '!$D$11*LN(J940)+'CAFCO 400 '!$D$12))),0)+IF(AND(L940="Cafco 400",M940="Software Idiem",C940="C"),((('CAFCO 400 '!$L$7*(J940^3)+'CAFCO 400 '!$L$8*(J940^2)+'CAFCO 400 '!$L$9*J940+'CAFCO 400 '!$L$10)*U940^2)+(('CAFCO 400 '!$L$11*(J940^3)+'CAFCO 400 '!$L$12*(J940^2)+'CAFCO 400 '!$L$13*J940+'CAFCO 400 '!$L$14)*U940)+('CAFCO 400 '!$L$15*LN(J940)+'CAFCO 400 '!$L$16)),0)+IF(AND(L940="Cafco 400",M940="Software Idiem",C940="L"),((('CAFCO 400 '!$L$7*(J940^3)+'CAFCO 400 '!$L$8*(J940^2)+'CAFCO 400 '!$L$9*J940+'CAFCO 400 '!$L$10)*U940^2)+(('CAFCO 400 '!$L$11*(J940^3)+'CAFCO 400 '!$L$12*(J940^2)+'CAFCO 400 '!$L$13*J940+'CAFCO 400 '!$L$14)*U940)+('CAFCO 400 '!$L$15*LN(J940)+'CAFCO 400 '!$L$16)),0)+IF(AND(L940="Cafco 400",M940="Software Idiem",C940="IN",G940=3),((('CAFCO 400 '!$D$23*(J940^2)+'CAFCO 400 '!$D$24*(J940)+'CAFCO 400 '!$D$25)*U940^2)+(('CAFCO 400 '!$D$26*(J940^2)+'CAFCO 400 '!$D$27*J940+'CAFCO 400 '!$D$28)*U940)+('CAFCO 400 '!$D$29*(J940^2)+'CAFCO 400 '!$D$30*J940+'CAFCO 400 '!$D$31)),0),0)+IF(AND(L940="Cafco 300",J940&gt;=95,J940&lt;=240,C940="Cj",I940=90),VLOOKUP(T940,'CAFCO 300 IDIEM TABLAS'!$B$4:$D$23,2,FALSE),0)+IF(AND(L940="Cafco 300",J940&gt;=95,J940&lt;=240,C940="Cj",I940=120),VLOOKUP(T940,'CAFCO 300 IDIEM TABLAS'!$B$4:$D$23,3,FALSE),0)+IF(AND(L940="Cafco 300",J940&gt;=95,J940&lt;=400,G940=3,C940="IN",I940=90),VLOOKUP(T940,'CAFCO 300 IDIEM TABLAS'!$F$4:$H$35,2,FALSE),0)+IF(AND(L940="Cafco 300",J940&gt;=95,J940&lt;=400,G940=3,C940="IN",I940=120),VLOOKUP(T940,'CAFCO 300 IDIEM TABLAS'!$F$4:$H$35,3,FALSE),0)+IF(AND(L940="Cafco 300",J940&gt;=95,J940&lt;=450,G940=4,C940="IN",I940=90),VLOOKUP(T940,'CAFCO 300 IDIEM TABLAS'!$J$4:$L$40,2,FALSE),0)+IF(AND(L940="Cafco 300",J940&gt;=95,J940&lt;=450,G940=4,C940="IN",I940=120),VLOOKUP(T940,'CAFCO 300 IDIEM TABLAS'!$J$4:$L$40,3,FALSE),0)+IF(AND(M940="Ensayo Idiem",L940="Cafco 400",C940="IN",G940=4,I940=90),VLOOKUP(T940,'CAFCO 400 ENSAYO'!$B$7:$D$43,2,FALSE),0)+IF(AND(M940="Ensayo Idiem",L940="Cafco 400",C940="IN",G940=4,I940=120),VLOOKUP(T940,'CAFCO 400 ENSAYO'!$B$7:$D$43,3,FALSE),0)</f>
        <v>0</v>
      </c>
      <c r="O940" s="96">
        <f t="shared" si="96"/>
        <v>0</v>
      </c>
      <c r="P940" s="95" t="str">
        <f t="shared" si="91"/>
        <v>N/A</v>
      </c>
      <c r="Q940" s="95" t="str">
        <f t="shared" si="92"/>
        <v>N/A</v>
      </c>
      <c r="R940" s="95" t="str">
        <f t="shared" si="93"/>
        <v>NO CERT.</v>
      </c>
      <c r="S940" s="95" t="e">
        <f t="shared" si="94"/>
        <v>#N/A</v>
      </c>
      <c r="T940" s="119" t="e">
        <f>+IF(J940=LOOKUP(J940,'CAFCO 300 IDIEM TABLAS'!$J$4:$J$40),'CALCULO MORTERO'!J940,MROUND('CALCULO MORTERO'!J940,10))</f>
        <v>#N/A</v>
      </c>
      <c r="U940" s="118">
        <f t="shared" si="95"/>
        <v>0</v>
      </c>
    </row>
    <row r="941" spans="1:21" x14ac:dyDescent="0.25">
      <c r="A941" s="118">
        <f>+CUBICACION!D935</f>
        <v>0</v>
      </c>
      <c r="B941" s="819">
        <f>+CUBICACION!E935</f>
        <v>0</v>
      </c>
      <c r="C941" s="675">
        <f>+CUBICACION!F935</f>
        <v>0</v>
      </c>
      <c r="D941" s="118"/>
      <c r="E941" s="118"/>
      <c r="F941" s="820"/>
      <c r="G941" s="675">
        <f>+CUBICACION!J935</f>
        <v>0</v>
      </c>
      <c r="H941" s="118"/>
      <c r="I941" s="821">
        <f>+CUBICACION!L935</f>
        <v>0</v>
      </c>
      <c r="J941" s="64">
        <f>+CUBICACION!M935</f>
        <v>0</v>
      </c>
      <c r="K941" s="822" t="str">
        <f>+CUBICACION!N935</f>
        <v/>
      </c>
      <c r="L941" s="118">
        <f>+CUBICACION!O935</f>
        <v>0</v>
      </c>
      <c r="M941" s="823">
        <f>+CUBICACION!P935</f>
        <v>0</v>
      </c>
      <c r="N941" s="902">
        <f>ROUND(IF(AND(L941="Blaze Shield II",M941="Software Idiem",C941="IN",G941=4),((('BLAZE SHIELD II'!$D$4*('CALCULO MORTERO'!I941^2)+'BLAZE SHIELD II'!$D$5*'CALCULO MORTERO'!I941+'BLAZE SHIELD II'!$D$6)*LN(J941))+('BLAZE SHIELD II'!$D$7*('CALCULO MORTERO'!I941^2)+'BLAZE SHIELD II'!$D$8*'CALCULO MORTERO'!I941+'BLAZE SHIELD II'!$D$9)),0)+IF(AND(L941="Blaze Shield II",M941="Software Idiem",C941="Cj"),((('BLAZE SHIELD II'!$H$4*('CALCULO MORTERO'!I941^2)+'BLAZE SHIELD II'!$H$5*'CALCULO MORTERO'!I941+'BLAZE SHIELD II'!$H$6)*LN(J941))+('BLAZE SHIELD II'!$H$7*('CALCULO MORTERO'!I941^2)+'BLAZE SHIELD II'!$H$8*'CALCULO MORTERO'!I941+'BLAZE SHIELD II'!$H$9)),0)+IF(AND(L941="Blaze Shield II",M941="Software Idiem",C941="C"),((('BLAZE SHIELD II'!$L$4*('CALCULO MORTERO'!I941^2)+'BLAZE SHIELD II'!$L$5*'CALCULO MORTERO'!I941+'BLAZE SHIELD II'!$L$6)*LN(J941))+('BLAZE SHIELD II'!$L$7*('CALCULO MORTERO'!I941^2)+'BLAZE SHIELD II'!$L$8*'CALCULO MORTERO'!I941+'BLAZE SHIELD II'!$L$9)),0)+IF(AND(L941="Blaze Shield II",M941="Software Idiem",C941="L"),((('BLAZE SHIELD II'!$L$4*('CALCULO MORTERO'!I941^2)+'BLAZE SHIELD II'!$L$5*'CALCULO MORTERO'!I941+'BLAZE SHIELD II'!$L$6)*LN(J941))+('BLAZE SHIELD II'!$L$7*('CALCULO MORTERO'!I941^2)+'BLAZE SHIELD II'!$L$8*'CALCULO MORTERO'!I941+'BLAZE SHIELD II'!$L$9)),0)+IF(AND(L941="Blaze Shield II",M941="Software Idiem",C941="IN",G941=3),((('BLAZE SHIELD II'!$H$14*('CALCULO MORTERO'!I941^2)+'BLAZE SHIELD II'!$H$15*'CALCULO MORTERO'!I941+'BLAZE SHIELD II'!$H$16)*LN(J941))+('BLAZE SHIELD II'!$H$17*('CALCULO MORTERO'!I941^2)+'BLAZE SHIELD II'!$H$18*'CALCULO MORTERO'!I941+'BLAZE SHIELD II'!$H$19)),0),0)+ROUND(IF(AND(L941="Cafco 400",M941="Software Idiem",C941="IN",G941=4),((('CAFCO 400 '!$H$7*(J941^4)+'CAFCO 400 '!$H$8*(J941^3)+'CAFCO 400 '!$H$9*(J941^2)+'CAFCO 400 '!$H$10*J941+'CAFCO 400 '!$H$11)*U941^2)+(('CAFCO 400 '!$H$12*(J941^3)+'CAFCO 400 '!$H$13*(J941^2)+'CAFCO 400 '!$H$14*J941+'CAFCO 400 '!$H$15)*U941)+('CAFCO 400 '!$H$16*(J941^2)+'CAFCO 400 '!$H$17*J941+'CAFCO 400 '!$H$18)),0)+IF(AND(L941="Cafco 400",M941="Software Idiem",C941="Cj"),(((('CAFCO 400 '!$D$7*LN(J941)+'CAFCO 400 '!$D$8)*U941^2)+(('CAFCO 400 '!$D$9*LN(J941)+'CAFCO 400 '!$D$10)*U941)+('CAFCO 400 '!$D$11*LN(J941)+'CAFCO 400 '!$D$12))),0)+IF(AND(L941="Cafco 400",M941="Software Idiem",C941="C"),((('CAFCO 400 '!$L$7*(J941^3)+'CAFCO 400 '!$L$8*(J941^2)+'CAFCO 400 '!$L$9*J941+'CAFCO 400 '!$L$10)*U941^2)+(('CAFCO 400 '!$L$11*(J941^3)+'CAFCO 400 '!$L$12*(J941^2)+'CAFCO 400 '!$L$13*J941+'CAFCO 400 '!$L$14)*U941)+('CAFCO 400 '!$L$15*LN(J941)+'CAFCO 400 '!$L$16)),0)+IF(AND(L941="Cafco 400",M941="Software Idiem",C941="L"),((('CAFCO 400 '!$L$7*(J941^3)+'CAFCO 400 '!$L$8*(J941^2)+'CAFCO 400 '!$L$9*J941+'CAFCO 400 '!$L$10)*U941^2)+(('CAFCO 400 '!$L$11*(J941^3)+'CAFCO 400 '!$L$12*(J941^2)+'CAFCO 400 '!$L$13*J941+'CAFCO 400 '!$L$14)*U941)+('CAFCO 400 '!$L$15*LN(J941)+'CAFCO 400 '!$L$16)),0)+IF(AND(L941="Cafco 400",M941="Software Idiem",C941="IN",G941=3),((('CAFCO 400 '!$D$23*(J941^2)+'CAFCO 400 '!$D$24*(J941)+'CAFCO 400 '!$D$25)*U941^2)+(('CAFCO 400 '!$D$26*(J941^2)+'CAFCO 400 '!$D$27*J941+'CAFCO 400 '!$D$28)*U941)+('CAFCO 400 '!$D$29*(J941^2)+'CAFCO 400 '!$D$30*J941+'CAFCO 400 '!$D$31)),0),0)+IF(AND(L941="Cafco 300",J941&gt;=95,J941&lt;=240,C941="Cj",I941=90),VLOOKUP(T941,'CAFCO 300 IDIEM TABLAS'!$B$4:$D$23,2,FALSE),0)+IF(AND(L941="Cafco 300",J941&gt;=95,J941&lt;=240,C941="Cj",I941=120),VLOOKUP(T941,'CAFCO 300 IDIEM TABLAS'!$B$4:$D$23,3,FALSE),0)+IF(AND(L941="Cafco 300",J941&gt;=95,J941&lt;=400,G941=3,C941="IN",I941=90),VLOOKUP(T941,'CAFCO 300 IDIEM TABLAS'!$F$4:$H$35,2,FALSE),0)+IF(AND(L941="Cafco 300",J941&gt;=95,J941&lt;=400,G941=3,C941="IN",I941=120),VLOOKUP(T941,'CAFCO 300 IDIEM TABLAS'!$F$4:$H$35,3,FALSE),0)+IF(AND(L941="Cafco 300",J941&gt;=95,J941&lt;=450,G941=4,C941="IN",I941=90),VLOOKUP(T941,'CAFCO 300 IDIEM TABLAS'!$J$4:$L$40,2,FALSE),0)+IF(AND(L941="Cafco 300",J941&gt;=95,J941&lt;=450,G941=4,C941="IN",I941=120),VLOOKUP(T941,'CAFCO 300 IDIEM TABLAS'!$J$4:$L$40,3,FALSE),0)+IF(AND(M941="Ensayo Idiem",L941="Cafco 400",C941="IN",G941=4,I941=90),VLOOKUP(T941,'CAFCO 400 ENSAYO'!$B$7:$D$43,2,FALSE),0)+IF(AND(M941="Ensayo Idiem",L941="Cafco 400",C941="IN",G941=4,I941=120),VLOOKUP(T941,'CAFCO 400 ENSAYO'!$B$7:$D$43,3,FALSE),0)</f>
        <v>0</v>
      </c>
      <c r="O941" s="96">
        <f t="shared" si="96"/>
        <v>0</v>
      </c>
      <c r="P941" s="132" t="str">
        <f t="shared" si="91"/>
        <v>N/A</v>
      </c>
      <c r="Q941" s="132" t="str">
        <f t="shared" si="92"/>
        <v>N/A</v>
      </c>
      <c r="R941" s="132" t="str">
        <f t="shared" si="93"/>
        <v>NO CERT.</v>
      </c>
      <c r="S941" s="132" t="e">
        <f t="shared" si="94"/>
        <v>#N/A</v>
      </c>
      <c r="T941" s="133" t="e">
        <f>+IF(J941=LOOKUP(J941,'CAFCO 300 IDIEM TABLAS'!$J$4:$J$40),'CALCULO MORTERO'!J941,MROUND('CALCULO MORTERO'!J941,10))</f>
        <v>#N/A</v>
      </c>
      <c r="U941" s="134">
        <f t="shared" si="95"/>
        <v>0</v>
      </c>
    </row>
    <row r="942" spans="1:21" x14ac:dyDescent="0.25">
      <c r="A942" s="118">
        <f>+CUBICACION!D936</f>
        <v>0</v>
      </c>
      <c r="B942" s="819">
        <f>+CUBICACION!E936</f>
        <v>0</v>
      </c>
      <c r="C942" s="675">
        <f>+CUBICACION!F936</f>
        <v>0</v>
      </c>
      <c r="D942" s="118"/>
      <c r="E942" s="118"/>
      <c r="F942" s="820"/>
      <c r="G942" s="675">
        <f>+CUBICACION!J936</f>
        <v>0</v>
      </c>
      <c r="H942" s="118"/>
      <c r="I942" s="821">
        <f>+CUBICACION!L936</f>
        <v>0</v>
      </c>
      <c r="J942" s="64">
        <f>+CUBICACION!M936</f>
        <v>0</v>
      </c>
      <c r="K942" s="822" t="str">
        <f>+CUBICACION!N936</f>
        <v/>
      </c>
      <c r="L942" s="118">
        <f>+CUBICACION!O936</f>
        <v>0</v>
      </c>
      <c r="M942" s="823">
        <f>+CUBICACION!P936</f>
        <v>0</v>
      </c>
      <c r="N942" s="902">
        <f>ROUND(IF(AND(L942="Blaze Shield II",M942="Software Idiem",C942="IN",G942=4),((('BLAZE SHIELD II'!$D$4*('CALCULO MORTERO'!I942^2)+'BLAZE SHIELD II'!$D$5*'CALCULO MORTERO'!I942+'BLAZE SHIELD II'!$D$6)*LN(J942))+('BLAZE SHIELD II'!$D$7*('CALCULO MORTERO'!I942^2)+'BLAZE SHIELD II'!$D$8*'CALCULO MORTERO'!I942+'BLAZE SHIELD II'!$D$9)),0)+IF(AND(L942="Blaze Shield II",M942="Software Idiem",C942="Cj"),((('BLAZE SHIELD II'!$H$4*('CALCULO MORTERO'!I942^2)+'BLAZE SHIELD II'!$H$5*'CALCULO MORTERO'!I942+'BLAZE SHIELD II'!$H$6)*LN(J942))+('BLAZE SHIELD II'!$H$7*('CALCULO MORTERO'!I942^2)+'BLAZE SHIELD II'!$H$8*'CALCULO MORTERO'!I942+'BLAZE SHIELD II'!$H$9)),0)+IF(AND(L942="Blaze Shield II",M942="Software Idiem",C942="C"),((('BLAZE SHIELD II'!$L$4*('CALCULO MORTERO'!I942^2)+'BLAZE SHIELD II'!$L$5*'CALCULO MORTERO'!I942+'BLAZE SHIELD II'!$L$6)*LN(J942))+('BLAZE SHIELD II'!$L$7*('CALCULO MORTERO'!I942^2)+'BLAZE SHIELD II'!$L$8*'CALCULO MORTERO'!I942+'BLAZE SHIELD II'!$L$9)),0)+IF(AND(L942="Blaze Shield II",M942="Software Idiem",C942="L"),((('BLAZE SHIELD II'!$L$4*('CALCULO MORTERO'!I942^2)+'BLAZE SHIELD II'!$L$5*'CALCULO MORTERO'!I942+'BLAZE SHIELD II'!$L$6)*LN(J942))+('BLAZE SHIELD II'!$L$7*('CALCULO MORTERO'!I942^2)+'BLAZE SHIELD II'!$L$8*'CALCULO MORTERO'!I942+'BLAZE SHIELD II'!$L$9)),0)+IF(AND(L942="Blaze Shield II",M942="Software Idiem",C942="IN",G942=3),((('BLAZE SHIELD II'!$H$14*('CALCULO MORTERO'!I942^2)+'BLAZE SHIELD II'!$H$15*'CALCULO MORTERO'!I942+'BLAZE SHIELD II'!$H$16)*LN(J942))+('BLAZE SHIELD II'!$H$17*('CALCULO MORTERO'!I942^2)+'BLAZE SHIELD II'!$H$18*'CALCULO MORTERO'!I942+'BLAZE SHIELD II'!$H$19)),0),0)+ROUND(IF(AND(L942="Cafco 400",M942="Software Idiem",C942="IN",G942=4),((('CAFCO 400 '!$H$7*(J942^4)+'CAFCO 400 '!$H$8*(J942^3)+'CAFCO 400 '!$H$9*(J942^2)+'CAFCO 400 '!$H$10*J942+'CAFCO 400 '!$H$11)*U942^2)+(('CAFCO 400 '!$H$12*(J942^3)+'CAFCO 400 '!$H$13*(J942^2)+'CAFCO 400 '!$H$14*J942+'CAFCO 400 '!$H$15)*U942)+('CAFCO 400 '!$H$16*(J942^2)+'CAFCO 400 '!$H$17*J942+'CAFCO 400 '!$H$18)),0)+IF(AND(L942="Cafco 400",M942="Software Idiem",C942="Cj"),(((('CAFCO 400 '!$D$7*LN(J942)+'CAFCO 400 '!$D$8)*U942^2)+(('CAFCO 400 '!$D$9*LN(J942)+'CAFCO 400 '!$D$10)*U942)+('CAFCO 400 '!$D$11*LN(J942)+'CAFCO 400 '!$D$12))),0)+IF(AND(L942="Cafco 400",M942="Software Idiem",C942="C"),((('CAFCO 400 '!$L$7*(J942^3)+'CAFCO 400 '!$L$8*(J942^2)+'CAFCO 400 '!$L$9*J942+'CAFCO 400 '!$L$10)*U942^2)+(('CAFCO 400 '!$L$11*(J942^3)+'CAFCO 400 '!$L$12*(J942^2)+'CAFCO 400 '!$L$13*J942+'CAFCO 400 '!$L$14)*U942)+('CAFCO 400 '!$L$15*LN(J942)+'CAFCO 400 '!$L$16)),0)+IF(AND(L942="Cafco 400",M942="Software Idiem",C942="L"),((('CAFCO 400 '!$L$7*(J942^3)+'CAFCO 400 '!$L$8*(J942^2)+'CAFCO 400 '!$L$9*J942+'CAFCO 400 '!$L$10)*U942^2)+(('CAFCO 400 '!$L$11*(J942^3)+'CAFCO 400 '!$L$12*(J942^2)+'CAFCO 400 '!$L$13*J942+'CAFCO 400 '!$L$14)*U942)+('CAFCO 400 '!$L$15*LN(J942)+'CAFCO 400 '!$L$16)),0)+IF(AND(L942="Cafco 400",M942="Software Idiem",C942="IN",G942=3),((('CAFCO 400 '!$D$23*(J942^2)+'CAFCO 400 '!$D$24*(J942)+'CAFCO 400 '!$D$25)*U942^2)+(('CAFCO 400 '!$D$26*(J942^2)+'CAFCO 400 '!$D$27*J942+'CAFCO 400 '!$D$28)*U942)+('CAFCO 400 '!$D$29*(J942^2)+'CAFCO 400 '!$D$30*J942+'CAFCO 400 '!$D$31)),0),0)+IF(AND(L942="Cafco 300",J942&gt;=95,J942&lt;=240,C942="Cj",I942=90),VLOOKUP(T942,'CAFCO 300 IDIEM TABLAS'!$B$4:$D$23,2,FALSE),0)+IF(AND(L942="Cafco 300",J942&gt;=95,J942&lt;=240,C942="Cj",I942=120),VLOOKUP(T942,'CAFCO 300 IDIEM TABLAS'!$B$4:$D$23,3,FALSE),0)+IF(AND(L942="Cafco 300",J942&gt;=95,J942&lt;=400,G942=3,C942="IN",I942=90),VLOOKUP(T942,'CAFCO 300 IDIEM TABLAS'!$F$4:$H$35,2,FALSE),0)+IF(AND(L942="Cafco 300",J942&gt;=95,J942&lt;=400,G942=3,C942="IN",I942=120),VLOOKUP(T942,'CAFCO 300 IDIEM TABLAS'!$F$4:$H$35,3,FALSE),0)+IF(AND(L942="Cafco 300",J942&gt;=95,J942&lt;=450,G942=4,C942="IN",I942=90),VLOOKUP(T942,'CAFCO 300 IDIEM TABLAS'!$J$4:$L$40,2,FALSE),0)+IF(AND(L942="Cafco 300",J942&gt;=95,J942&lt;=450,G942=4,C942="IN",I942=120),VLOOKUP(T942,'CAFCO 300 IDIEM TABLAS'!$J$4:$L$40,3,FALSE),0)+IF(AND(M942="Ensayo Idiem",L942="Cafco 400",C942="IN",G942=4,I942=90),VLOOKUP(T942,'CAFCO 400 ENSAYO'!$B$7:$D$43,2,FALSE),0)+IF(AND(M942="Ensayo Idiem",L942="Cafco 400",C942="IN",G942=4,I942=120),VLOOKUP(T942,'CAFCO 400 ENSAYO'!$B$7:$D$43,3,FALSE),0)</f>
        <v>0</v>
      </c>
      <c r="O942" s="96">
        <f t="shared" si="96"/>
        <v>0</v>
      </c>
      <c r="P942" s="95" t="str">
        <f t="shared" si="91"/>
        <v>N/A</v>
      </c>
      <c r="Q942" s="95" t="str">
        <f t="shared" si="92"/>
        <v>N/A</v>
      </c>
      <c r="R942" s="95" t="str">
        <f t="shared" si="93"/>
        <v>NO CERT.</v>
      </c>
      <c r="S942" s="95" t="e">
        <f t="shared" si="94"/>
        <v>#N/A</v>
      </c>
      <c r="T942" s="119" t="e">
        <f>+IF(J942=LOOKUP(J942,'CAFCO 300 IDIEM TABLAS'!$J$4:$J$40),'CALCULO MORTERO'!J942,MROUND('CALCULO MORTERO'!J942,10))</f>
        <v>#N/A</v>
      </c>
      <c r="U942" s="118">
        <f t="shared" si="95"/>
        <v>0</v>
      </c>
    </row>
    <row r="943" spans="1:21" x14ac:dyDescent="0.25">
      <c r="A943" s="118">
        <f>+CUBICACION!D937</f>
        <v>0</v>
      </c>
      <c r="B943" s="819">
        <f>+CUBICACION!E937</f>
        <v>0</v>
      </c>
      <c r="C943" s="675">
        <f>+CUBICACION!F937</f>
        <v>0</v>
      </c>
      <c r="D943" s="118"/>
      <c r="E943" s="118"/>
      <c r="F943" s="820"/>
      <c r="G943" s="675">
        <f>+CUBICACION!J937</f>
        <v>0</v>
      </c>
      <c r="H943" s="118"/>
      <c r="I943" s="821">
        <f>+CUBICACION!L937</f>
        <v>0</v>
      </c>
      <c r="J943" s="64">
        <f>+CUBICACION!M937</f>
        <v>0</v>
      </c>
      <c r="K943" s="822" t="str">
        <f>+CUBICACION!N937</f>
        <v/>
      </c>
      <c r="L943" s="118">
        <f>+CUBICACION!O937</f>
        <v>0</v>
      </c>
      <c r="M943" s="823">
        <f>+CUBICACION!P937</f>
        <v>0</v>
      </c>
      <c r="N943" s="902">
        <f>ROUND(IF(AND(L943="Blaze Shield II",M943="Software Idiem",C943="IN",G943=4),((('BLAZE SHIELD II'!$D$4*('CALCULO MORTERO'!I943^2)+'BLAZE SHIELD II'!$D$5*'CALCULO MORTERO'!I943+'BLAZE SHIELD II'!$D$6)*LN(J943))+('BLAZE SHIELD II'!$D$7*('CALCULO MORTERO'!I943^2)+'BLAZE SHIELD II'!$D$8*'CALCULO MORTERO'!I943+'BLAZE SHIELD II'!$D$9)),0)+IF(AND(L943="Blaze Shield II",M943="Software Idiem",C943="Cj"),((('BLAZE SHIELD II'!$H$4*('CALCULO MORTERO'!I943^2)+'BLAZE SHIELD II'!$H$5*'CALCULO MORTERO'!I943+'BLAZE SHIELD II'!$H$6)*LN(J943))+('BLAZE SHIELD II'!$H$7*('CALCULO MORTERO'!I943^2)+'BLAZE SHIELD II'!$H$8*'CALCULO MORTERO'!I943+'BLAZE SHIELD II'!$H$9)),0)+IF(AND(L943="Blaze Shield II",M943="Software Idiem",C943="C"),((('BLAZE SHIELD II'!$L$4*('CALCULO MORTERO'!I943^2)+'BLAZE SHIELD II'!$L$5*'CALCULO MORTERO'!I943+'BLAZE SHIELD II'!$L$6)*LN(J943))+('BLAZE SHIELD II'!$L$7*('CALCULO MORTERO'!I943^2)+'BLAZE SHIELD II'!$L$8*'CALCULO MORTERO'!I943+'BLAZE SHIELD II'!$L$9)),0)+IF(AND(L943="Blaze Shield II",M943="Software Idiem",C943="L"),((('BLAZE SHIELD II'!$L$4*('CALCULO MORTERO'!I943^2)+'BLAZE SHIELD II'!$L$5*'CALCULO MORTERO'!I943+'BLAZE SHIELD II'!$L$6)*LN(J943))+('BLAZE SHIELD II'!$L$7*('CALCULO MORTERO'!I943^2)+'BLAZE SHIELD II'!$L$8*'CALCULO MORTERO'!I943+'BLAZE SHIELD II'!$L$9)),0)+IF(AND(L943="Blaze Shield II",M943="Software Idiem",C943="IN",G943=3),((('BLAZE SHIELD II'!$H$14*('CALCULO MORTERO'!I943^2)+'BLAZE SHIELD II'!$H$15*'CALCULO MORTERO'!I943+'BLAZE SHIELD II'!$H$16)*LN(J943))+('BLAZE SHIELD II'!$H$17*('CALCULO MORTERO'!I943^2)+'BLAZE SHIELD II'!$H$18*'CALCULO MORTERO'!I943+'BLAZE SHIELD II'!$H$19)),0),0)+ROUND(IF(AND(L943="Cafco 400",M943="Software Idiem",C943="IN",G943=4),((('CAFCO 400 '!$H$7*(J943^4)+'CAFCO 400 '!$H$8*(J943^3)+'CAFCO 400 '!$H$9*(J943^2)+'CAFCO 400 '!$H$10*J943+'CAFCO 400 '!$H$11)*U943^2)+(('CAFCO 400 '!$H$12*(J943^3)+'CAFCO 400 '!$H$13*(J943^2)+'CAFCO 400 '!$H$14*J943+'CAFCO 400 '!$H$15)*U943)+('CAFCO 400 '!$H$16*(J943^2)+'CAFCO 400 '!$H$17*J943+'CAFCO 400 '!$H$18)),0)+IF(AND(L943="Cafco 400",M943="Software Idiem",C943="Cj"),(((('CAFCO 400 '!$D$7*LN(J943)+'CAFCO 400 '!$D$8)*U943^2)+(('CAFCO 400 '!$D$9*LN(J943)+'CAFCO 400 '!$D$10)*U943)+('CAFCO 400 '!$D$11*LN(J943)+'CAFCO 400 '!$D$12))),0)+IF(AND(L943="Cafco 400",M943="Software Idiem",C943="C"),((('CAFCO 400 '!$L$7*(J943^3)+'CAFCO 400 '!$L$8*(J943^2)+'CAFCO 400 '!$L$9*J943+'CAFCO 400 '!$L$10)*U943^2)+(('CAFCO 400 '!$L$11*(J943^3)+'CAFCO 400 '!$L$12*(J943^2)+'CAFCO 400 '!$L$13*J943+'CAFCO 400 '!$L$14)*U943)+('CAFCO 400 '!$L$15*LN(J943)+'CAFCO 400 '!$L$16)),0)+IF(AND(L943="Cafco 400",M943="Software Idiem",C943="L"),((('CAFCO 400 '!$L$7*(J943^3)+'CAFCO 400 '!$L$8*(J943^2)+'CAFCO 400 '!$L$9*J943+'CAFCO 400 '!$L$10)*U943^2)+(('CAFCO 400 '!$L$11*(J943^3)+'CAFCO 400 '!$L$12*(J943^2)+'CAFCO 400 '!$L$13*J943+'CAFCO 400 '!$L$14)*U943)+('CAFCO 400 '!$L$15*LN(J943)+'CAFCO 400 '!$L$16)),0)+IF(AND(L943="Cafco 400",M943="Software Idiem",C943="IN",G943=3),((('CAFCO 400 '!$D$23*(J943^2)+'CAFCO 400 '!$D$24*(J943)+'CAFCO 400 '!$D$25)*U943^2)+(('CAFCO 400 '!$D$26*(J943^2)+'CAFCO 400 '!$D$27*J943+'CAFCO 400 '!$D$28)*U943)+('CAFCO 400 '!$D$29*(J943^2)+'CAFCO 400 '!$D$30*J943+'CAFCO 400 '!$D$31)),0),0)+IF(AND(L943="Cafco 300",J943&gt;=95,J943&lt;=240,C943="Cj",I943=90),VLOOKUP(T943,'CAFCO 300 IDIEM TABLAS'!$B$4:$D$23,2,FALSE),0)+IF(AND(L943="Cafco 300",J943&gt;=95,J943&lt;=240,C943="Cj",I943=120),VLOOKUP(T943,'CAFCO 300 IDIEM TABLAS'!$B$4:$D$23,3,FALSE),0)+IF(AND(L943="Cafco 300",J943&gt;=95,J943&lt;=400,G943=3,C943="IN",I943=90),VLOOKUP(T943,'CAFCO 300 IDIEM TABLAS'!$F$4:$H$35,2,FALSE),0)+IF(AND(L943="Cafco 300",J943&gt;=95,J943&lt;=400,G943=3,C943="IN",I943=120),VLOOKUP(T943,'CAFCO 300 IDIEM TABLAS'!$F$4:$H$35,3,FALSE),0)+IF(AND(L943="Cafco 300",J943&gt;=95,J943&lt;=450,G943=4,C943="IN",I943=90),VLOOKUP(T943,'CAFCO 300 IDIEM TABLAS'!$J$4:$L$40,2,FALSE),0)+IF(AND(L943="Cafco 300",J943&gt;=95,J943&lt;=450,G943=4,C943="IN",I943=120),VLOOKUP(T943,'CAFCO 300 IDIEM TABLAS'!$J$4:$L$40,3,FALSE),0)+IF(AND(M943="Ensayo Idiem",L943="Cafco 400",C943="IN",G943=4,I943=90),VLOOKUP(T943,'CAFCO 400 ENSAYO'!$B$7:$D$43,2,FALSE),0)+IF(AND(M943="Ensayo Idiem",L943="Cafco 400",C943="IN",G943=4,I943=120),VLOOKUP(T943,'CAFCO 400 ENSAYO'!$B$7:$D$43,3,FALSE),0)</f>
        <v>0</v>
      </c>
      <c r="O943" s="96">
        <f t="shared" si="96"/>
        <v>0</v>
      </c>
      <c r="P943" s="132" t="str">
        <f t="shared" si="91"/>
        <v>N/A</v>
      </c>
      <c r="Q943" s="132" t="str">
        <f t="shared" si="92"/>
        <v>N/A</v>
      </c>
      <c r="R943" s="132" t="str">
        <f t="shared" si="93"/>
        <v>NO CERT.</v>
      </c>
      <c r="S943" s="132" t="e">
        <f t="shared" si="94"/>
        <v>#N/A</v>
      </c>
      <c r="T943" s="133" t="e">
        <f>+IF(J943=LOOKUP(J943,'CAFCO 300 IDIEM TABLAS'!$J$4:$J$40),'CALCULO MORTERO'!J943,MROUND('CALCULO MORTERO'!J943,10))</f>
        <v>#N/A</v>
      </c>
      <c r="U943" s="134">
        <f t="shared" si="95"/>
        <v>0</v>
      </c>
    </row>
    <row r="944" spans="1:21" x14ac:dyDescent="0.25">
      <c r="A944" s="118">
        <f>+CUBICACION!D938</f>
        <v>0</v>
      </c>
      <c r="B944" s="819">
        <f>+CUBICACION!E938</f>
        <v>0</v>
      </c>
      <c r="C944" s="675">
        <f>+CUBICACION!F938</f>
        <v>0</v>
      </c>
      <c r="D944" s="118"/>
      <c r="E944" s="118"/>
      <c r="F944" s="820"/>
      <c r="G944" s="675">
        <f>+CUBICACION!J938</f>
        <v>0</v>
      </c>
      <c r="H944" s="118"/>
      <c r="I944" s="821">
        <f>+CUBICACION!L938</f>
        <v>0</v>
      </c>
      <c r="J944" s="64">
        <f>+CUBICACION!M938</f>
        <v>0</v>
      </c>
      <c r="K944" s="822" t="str">
        <f>+CUBICACION!N938</f>
        <v/>
      </c>
      <c r="L944" s="118">
        <f>+CUBICACION!O938</f>
        <v>0</v>
      </c>
      <c r="M944" s="823">
        <f>+CUBICACION!P938</f>
        <v>0</v>
      </c>
      <c r="N944" s="902">
        <f>ROUND(IF(AND(L944="Blaze Shield II",M944="Software Idiem",C944="IN",G944=4),((('BLAZE SHIELD II'!$D$4*('CALCULO MORTERO'!I944^2)+'BLAZE SHIELD II'!$D$5*'CALCULO MORTERO'!I944+'BLAZE SHIELD II'!$D$6)*LN(J944))+('BLAZE SHIELD II'!$D$7*('CALCULO MORTERO'!I944^2)+'BLAZE SHIELD II'!$D$8*'CALCULO MORTERO'!I944+'BLAZE SHIELD II'!$D$9)),0)+IF(AND(L944="Blaze Shield II",M944="Software Idiem",C944="Cj"),((('BLAZE SHIELD II'!$H$4*('CALCULO MORTERO'!I944^2)+'BLAZE SHIELD II'!$H$5*'CALCULO MORTERO'!I944+'BLAZE SHIELD II'!$H$6)*LN(J944))+('BLAZE SHIELD II'!$H$7*('CALCULO MORTERO'!I944^2)+'BLAZE SHIELD II'!$H$8*'CALCULO MORTERO'!I944+'BLAZE SHIELD II'!$H$9)),0)+IF(AND(L944="Blaze Shield II",M944="Software Idiem",C944="C"),((('BLAZE SHIELD II'!$L$4*('CALCULO MORTERO'!I944^2)+'BLAZE SHIELD II'!$L$5*'CALCULO MORTERO'!I944+'BLAZE SHIELD II'!$L$6)*LN(J944))+('BLAZE SHIELD II'!$L$7*('CALCULO MORTERO'!I944^2)+'BLAZE SHIELD II'!$L$8*'CALCULO MORTERO'!I944+'BLAZE SHIELD II'!$L$9)),0)+IF(AND(L944="Blaze Shield II",M944="Software Idiem",C944="L"),((('BLAZE SHIELD II'!$L$4*('CALCULO MORTERO'!I944^2)+'BLAZE SHIELD II'!$L$5*'CALCULO MORTERO'!I944+'BLAZE SHIELD II'!$L$6)*LN(J944))+('BLAZE SHIELD II'!$L$7*('CALCULO MORTERO'!I944^2)+'BLAZE SHIELD II'!$L$8*'CALCULO MORTERO'!I944+'BLAZE SHIELD II'!$L$9)),0)+IF(AND(L944="Blaze Shield II",M944="Software Idiem",C944="IN",G944=3),((('BLAZE SHIELD II'!$H$14*('CALCULO MORTERO'!I944^2)+'BLAZE SHIELD II'!$H$15*'CALCULO MORTERO'!I944+'BLAZE SHIELD II'!$H$16)*LN(J944))+('BLAZE SHIELD II'!$H$17*('CALCULO MORTERO'!I944^2)+'BLAZE SHIELD II'!$H$18*'CALCULO MORTERO'!I944+'BLAZE SHIELD II'!$H$19)),0),0)+ROUND(IF(AND(L944="Cafco 400",M944="Software Idiem",C944="IN",G944=4),((('CAFCO 400 '!$H$7*(J944^4)+'CAFCO 400 '!$H$8*(J944^3)+'CAFCO 400 '!$H$9*(J944^2)+'CAFCO 400 '!$H$10*J944+'CAFCO 400 '!$H$11)*U944^2)+(('CAFCO 400 '!$H$12*(J944^3)+'CAFCO 400 '!$H$13*(J944^2)+'CAFCO 400 '!$H$14*J944+'CAFCO 400 '!$H$15)*U944)+('CAFCO 400 '!$H$16*(J944^2)+'CAFCO 400 '!$H$17*J944+'CAFCO 400 '!$H$18)),0)+IF(AND(L944="Cafco 400",M944="Software Idiem",C944="Cj"),(((('CAFCO 400 '!$D$7*LN(J944)+'CAFCO 400 '!$D$8)*U944^2)+(('CAFCO 400 '!$D$9*LN(J944)+'CAFCO 400 '!$D$10)*U944)+('CAFCO 400 '!$D$11*LN(J944)+'CAFCO 400 '!$D$12))),0)+IF(AND(L944="Cafco 400",M944="Software Idiem",C944="C"),((('CAFCO 400 '!$L$7*(J944^3)+'CAFCO 400 '!$L$8*(J944^2)+'CAFCO 400 '!$L$9*J944+'CAFCO 400 '!$L$10)*U944^2)+(('CAFCO 400 '!$L$11*(J944^3)+'CAFCO 400 '!$L$12*(J944^2)+'CAFCO 400 '!$L$13*J944+'CAFCO 400 '!$L$14)*U944)+('CAFCO 400 '!$L$15*LN(J944)+'CAFCO 400 '!$L$16)),0)+IF(AND(L944="Cafco 400",M944="Software Idiem",C944="L"),((('CAFCO 400 '!$L$7*(J944^3)+'CAFCO 400 '!$L$8*(J944^2)+'CAFCO 400 '!$L$9*J944+'CAFCO 400 '!$L$10)*U944^2)+(('CAFCO 400 '!$L$11*(J944^3)+'CAFCO 400 '!$L$12*(J944^2)+'CAFCO 400 '!$L$13*J944+'CAFCO 400 '!$L$14)*U944)+('CAFCO 400 '!$L$15*LN(J944)+'CAFCO 400 '!$L$16)),0)+IF(AND(L944="Cafco 400",M944="Software Idiem",C944="IN",G944=3),((('CAFCO 400 '!$D$23*(J944^2)+'CAFCO 400 '!$D$24*(J944)+'CAFCO 400 '!$D$25)*U944^2)+(('CAFCO 400 '!$D$26*(J944^2)+'CAFCO 400 '!$D$27*J944+'CAFCO 400 '!$D$28)*U944)+('CAFCO 400 '!$D$29*(J944^2)+'CAFCO 400 '!$D$30*J944+'CAFCO 400 '!$D$31)),0),0)+IF(AND(L944="Cafco 300",J944&gt;=95,J944&lt;=240,C944="Cj",I944=90),VLOOKUP(T944,'CAFCO 300 IDIEM TABLAS'!$B$4:$D$23,2,FALSE),0)+IF(AND(L944="Cafco 300",J944&gt;=95,J944&lt;=240,C944="Cj",I944=120),VLOOKUP(T944,'CAFCO 300 IDIEM TABLAS'!$B$4:$D$23,3,FALSE),0)+IF(AND(L944="Cafco 300",J944&gt;=95,J944&lt;=400,G944=3,C944="IN",I944=90),VLOOKUP(T944,'CAFCO 300 IDIEM TABLAS'!$F$4:$H$35,2,FALSE),0)+IF(AND(L944="Cafco 300",J944&gt;=95,J944&lt;=400,G944=3,C944="IN",I944=120),VLOOKUP(T944,'CAFCO 300 IDIEM TABLAS'!$F$4:$H$35,3,FALSE),0)+IF(AND(L944="Cafco 300",J944&gt;=95,J944&lt;=450,G944=4,C944="IN",I944=90),VLOOKUP(T944,'CAFCO 300 IDIEM TABLAS'!$J$4:$L$40,2,FALSE),0)+IF(AND(L944="Cafco 300",J944&gt;=95,J944&lt;=450,G944=4,C944="IN",I944=120),VLOOKUP(T944,'CAFCO 300 IDIEM TABLAS'!$J$4:$L$40,3,FALSE),0)+IF(AND(M944="Ensayo Idiem",L944="Cafco 400",C944="IN",G944=4,I944=90),VLOOKUP(T944,'CAFCO 400 ENSAYO'!$B$7:$D$43,2,FALSE),0)+IF(AND(M944="Ensayo Idiem",L944="Cafco 400",C944="IN",G944=4,I944=120),VLOOKUP(T944,'CAFCO 400 ENSAYO'!$B$7:$D$43,3,FALSE),0)</f>
        <v>0</v>
      </c>
      <c r="O944" s="96">
        <f t="shared" si="96"/>
        <v>0</v>
      </c>
      <c r="P944" s="95" t="str">
        <f t="shared" si="91"/>
        <v>N/A</v>
      </c>
      <c r="Q944" s="95" t="str">
        <f t="shared" si="92"/>
        <v>N/A</v>
      </c>
      <c r="R944" s="95" t="str">
        <f t="shared" si="93"/>
        <v>NO CERT.</v>
      </c>
      <c r="S944" s="95" t="e">
        <f t="shared" si="94"/>
        <v>#N/A</v>
      </c>
      <c r="T944" s="119" t="e">
        <f>+IF(J944=LOOKUP(J944,'CAFCO 300 IDIEM TABLAS'!$J$4:$J$40),'CALCULO MORTERO'!J944,MROUND('CALCULO MORTERO'!J944,10))</f>
        <v>#N/A</v>
      </c>
      <c r="U944" s="118">
        <f t="shared" si="95"/>
        <v>0</v>
      </c>
    </row>
    <row r="945" spans="1:21" x14ac:dyDescent="0.25">
      <c r="A945" s="118">
        <f>+CUBICACION!D939</f>
        <v>0</v>
      </c>
      <c r="B945" s="819">
        <f>+CUBICACION!E939</f>
        <v>0</v>
      </c>
      <c r="C945" s="675">
        <f>+CUBICACION!F939</f>
        <v>0</v>
      </c>
      <c r="D945" s="118"/>
      <c r="E945" s="118"/>
      <c r="F945" s="820"/>
      <c r="G945" s="675">
        <f>+CUBICACION!J939</f>
        <v>0</v>
      </c>
      <c r="H945" s="118"/>
      <c r="I945" s="821">
        <f>+CUBICACION!L939</f>
        <v>0</v>
      </c>
      <c r="J945" s="64">
        <f>+CUBICACION!M939</f>
        <v>0</v>
      </c>
      <c r="K945" s="822" t="str">
        <f>+CUBICACION!N939</f>
        <v/>
      </c>
      <c r="L945" s="118">
        <f>+CUBICACION!O939</f>
        <v>0</v>
      </c>
      <c r="M945" s="823">
        <f>+CUBICACION!P939</f>
        <v>0</v>
      </c>
      <c r="N945" s="902">
        <f>ROUND(IF(AND(L945="Blaze Shield II",M945="Software Idiem",C945="IN",G945=4),((('BLAZE SHIELD II'!$D$4*('CALCULO MORTERO'!I945^2)+'BLAZE SHIELD II'!$D$5*'CALCULO MORTERO'!I945+'BLAZE SHIELD II'!$D$6)*LN(J945))+('BLAZE SHIELD II'!$D$7*('CALCULO MORTERO'!I945^2)+'BLAZE SHIELD II'!$D$8*'CALCULO MORTERO'!I945+'BLAZE SHIELD II'!$D$9)),0)+IF(AND(L945="Blaze Shield II",M945="Software Idiem",C945="Cj"),((('BLAZE SHIELD II'!$H$4*('CALCULO MORTERO'!I945^2)+'BLAZE SHIELD II'!$H$5*'CALCULO MORTERO'!I945+'BLAZE SHIELD II'!$H$6)*LN(J945))+('BLAZE SHIELD II'!$H$7*('CALCULO MORTERO'!I945^2)+'BLAZE SHIELD II'!$H$8*'CALCULO MORTERO'!I945+'BLAZE SHIELD II'!$H$9)),0)+IF(AND(L945="Blaze Shield II",M945="Software Idiem",C945="C"),((('BLAZE SHIELD II'!$L$4*('CALCULO MORTERO'!I945^2)+'BLAZE SHIELD II'!$L$5*'CALCULO MORTERO'!I945+'BLAZE SHIELD II'!$L$6)*LN(J945))+('BLAZE SHIELD II'!$L$7*('CALCULO MORTERO'!I945^2)+'BLAZE SHIELD II'!$L$8*'CALCULO MORTERO'!I945+'BLAZE SHIELD II'!$L$9)),0)+IF(AND(L945="Blaze Shield II",M945="Software Idiem",C945="L"),((('BLAZE SHIELD II'!$L$4*('CALCULO MORTERO'!I945^2)+'BLAZE SHIELD II'!$L$5*'CALCULO MORTERO'!I945+'BLAZE SHIELD II'!$L$6)*LN(J945))+('BLAZE SHIELD II'!$L$7*('CALCULO MORTERO'!I945^2)+'BLAZE SHIELD II'!$L$8*'CALCULO MORTERO'!I945+'BLAZE SHIELD II'!$L$9)),0)+IF(AND(L945="Blaze Shield II",M945="Software Idiem",C945="IN",G945=3),((('BLAZE SHIELD II'!$H$14*('CALCULO MORTERO'!I945^2)+'BLAZE SHIELD II'!$H$15*'CALCULO MORTERO'!I945+'BLAZE SHIELD II'!$H$16)*LN(J945))+('BLAZE SHIELD II'!$H$17*('CALCULO MORTERO'!I945^2)+'BLAZE SHIELD II'!$H$18*'CALCULO MORTERO'!I945+'BLAZE SHIELD II'!$H$19)),0),0)+ROUND(IF(AND(L945="Cafco 400",M945="Software Idiem",C945="IN",G945=4),((('CAFCO 400 '!$H$7*(J945^4)+'CAFCO 400 '!$H$8*(J945^3)+'CAFCO 400 '!$H$9*(J945^2)+'CAFCO 400 '!$H$10*J945+'CAFCO 400 '!$H$11)*U945^2)+(('CAFCO 400 '!$H$12*(J945^3)+'CAFCO 400 '!$H$13*(J945^2)+'CAFCO 400 '!$H$14*J945+'CAFCO 400 '!$H$15)*U945)+('CAFCO 400 '!$H$16*(J945^2)+'CAFCO 400 '!$H$17*J945+'CAFCO 400 '!$H$18)),0)+IF(AND(L945="Cafco 400",M945="Software Idiem",C945="Cj"),(((('CAFCO 400 '!$D$7*LN(J945)+'CAFCO 400 '!$D$8)*U945^2)+(('CAFCO 400 '!$D$9*LN(J945)+'CAFCO 400 '!$D$10)*U945)+('CAFCO 400 '!$D$11*LN(J945)+'CAFCO 400 '!$D$12))),0)+IF(AND(L945="Cafco 400",M945="Software Idiem",C945="C"),((('CAFCO 400 '!$L$7*(J945^3)+'CAFCO 400 '!$L$8*(J945^2)+'CAFCO 400 '!$L$9*J945+'CAFCO 400 '!$L$10)*U945^2)+(('CAFCO 400 '!$L$11*(J945^3)+'CAFCO 400 '!$L$12*(J945^2)+'CAFCO 400 '!$L$13*J945+'CAFCO 400 '!$L$14)*U945)+('CAFCO 400 '!$L$15*LN(J945)+'CAFCO 400 '!$L$16)),0)+IF(AND(L945="Cafco 400",M945="Software Idiem",C945="L"),((('CAFCO 400 '!$L$7*(J945^3)+'CAFCO 400 '!$L$8*(J945^2)+'CAFCO 400 '!$L$9*J945+'CAFCO 400 '!$L$10)*U945^2)+(('CAFCO 400 '!$L$11*(J945^3)+'CAFCO 400 '!$L$12*(J945^2)+'CAFCO 400 '!$L$13*J945+'CAFCO 400 '!$L$14)*U945)+('CAFCO 400 '!$L$15*LN(J945)+'CAFCO 400 '!$L$16)),0)+IF(AND(L945="Cafco 400",M945="Software Idiem",C945="IN",G945=3),((('CAFCO 400 '!$D$23*(J945^2)+'CAFCO 400 '!$D$24*(J945)+'CAFCO 400 '!$D$25)*U945^2)+(('CAFCO 400 '!$D$26*(J945^2)+'CAFCO 400 '!$D$27*J945+'CAFCO 400 '!$D$28)*U945)+('CAFCO 400 '!$D$29*(J945^2)+'CAFCO 400 '!$D$30*J945+'CAFCO 400 '!$D$31)),0),0)+IF(AND(L945="Cafco 300",J945&gt;=95,J945&lt;=240,C945="Cj",I945=90),VLOOKUP(T945,'CAFCO 300 IDIEM TABLAS'!$B$4:$D$23,2,FALSE),0)+IF(AND(L945="Cafco 300",J945&gt;=95,J945&lt;=240,C945="Cj",I945=120),VLOOKUP(T945,'CAFCO 300 IDIEM TABLAS'!$B$4:$D$23,3,FALSE),0)+IF(AND(L945="Cafco 300",J945&gt;=95,J945&lt;=400,G945=3,C945="IN",I945=90),VLOOKUP(T945,'CAFCO 300 IDIEM TABLAS'!$F$4:$H$35,2,FALSE),0)+IF(AND(L945="Cafco 300",J945&gt;=95,J945&lt;=400,G945=3,C945="IN",I945=120),VLOOKUP(T945,'CAFCO 300 IDIEM TABLAS'!$F$4:$H$35,3,FALSE),0)+IF(AND(L945="Cafco 300",J945&gt;=95,J945&lt;=450,G945=4,C945="IN",I945=90),VLOOKUP(T945,'CAFCO 300 IDIEM TABLAS'!$J$4:$L$40,2,FALSE),0)+IF(AND(L945="Cafco 300",J945&gt;=95,J945&lt;=450,G945=4,C945="IN",I945=120),VLOOKUP(T945,'CAFCO 300 IDIEM TABLAS'!$J$4:$L$40,3,FALSE),0)+IF(AND(M945="Ensayo Idiem",L945="Cafco 400",C945="IN",G945=4,I945=90),VLOOKUP(T945,'CAFCO 400 ENSAYO'!$B$7:$D$43,2,FALSE),0)+IF(AND(M945="Ensayo Idiem",L945="Cafco 400",C945="IN",G945=4,I945=120),VLOOKUP(T945,'CAFCO 400 ENSAYO'!$B$7:$D$43,3,FALSE),0)</f>
        <v>0</v>
      </c>
      <c r="O945" s="96">
        <f t="shared" si="96"/>
        <v>0</v>
      </c>
      <c r="P945" s="132" t="str">
        <f t="shared" si="91"/>
        <v>N/A</v>
      </c>
      <c r="Q945" s="132" t="str">
        <f t="shared" si="92"/>
        <v>N/A</v>
      </c>
      <c r="R945" s="132" t="str">
        <f t="shared" si="93"/>
        <v>NO CERT.</v>
      </c>
      <c r="S945" s="132" t="e">
        <f t="shared" si="94"/>
        <v>#N/A</v>
      </c>
      <c r="T945" s="133" t="e">
        <f>+IF(J945=LOOKUP(J945,'CAFCO 300 IDIEM TABLAS'!$J$4:$J$40),'CALCULO MORTERO'!J945,MROUND('CALCULO MORTERO'!J945,10))</f>
        <v>#N/A</v>
      </c>
      <c r="U945" s="134">
        <f t="shared" si="95"/>
        <v>0</v>
      </c>
    </row>
    <row r="946" spans="1:21" x14ac:dyDescent="0.25">
      <c r="A946" s="118">
        <f>+CUBICACION!D940</f>
        <v>0</v>
      </c>
      <c r="B946" s="819">
        <f>+CUBICACION!E940</f>
        <v>0</v>
      </c>
      <c r="C946" s="675">
        <f>+CUBICACION!F940</f>
        <v>0</v>
      </c>
      <c r="D946" s="118"/>
      <c r="E946" s="118"/>
      <c r="F946" s="820"/>
      <c r="G946" s="675">
        <f>+CUBICACION!J940</f>
        <v>0</v>
      </c>
      <c r="H946" s="118"/>
      <c r="I946" s="821">
        <f>+CUBICACION!L940</f>
        <v>0</v>
      </c>
      <c r="J946" s="64">
        <f>+CUBICACION!M940</f>
        <v>0</v>
      </c>
      <c r="K946" s="822" t="str">
        <f>+CUBICACION!N940</f>
        <v/>
      </c>
      <c r="L946" s="118">
        <f>+CUBICACION!O940</f>
        <v>0</v>
      </c>
      <c r="M946" s="823">
        <f>+CUBICACION!P940</f>
        <v>0</v>
      </c>
      <c r="N946" s="902">
        <f>ROUND(IF(AND(L946="Blaze Shield II",M946="Software Idiem",C946="IN",G946=4),((('BLAZE SHIELD II'!$D$4*('CALCULO MORTERO'!I946^2)+'BLAZE SHIELD II'!$D$5*'CALCULO MORTERO'!I946+'BLAZE SHIELD II'!$D$6)*LN(J946))+('BLAZE SHIELD II'!$D$7*('CALCULO MORTERO'!I946^2)+'BLAZE SHIELD II'!$D$8*'CALCULO MORTERO'!I946+'BLAZE SHIELD II'!$D$9)),0)+IF(AND(L946="Blaze Shield II",M946="Software Idiem",C946="Cj"),((('BLAZE SHIELD II'!$H$4*('CALCULO MORTERO'!I946^2)+'BLAZE SHIELD II'!$H$5*'CALCULO MORTERO'!I946+'BLAZE SHIELD II'!$H$6)*LN(J946))+('BLAZE SHIELD II'!$H$7*('CALCULO MORTERO'!I946^2)+'BLAZE SHIELD II'!$H$8*'CALCULO MORTERO'!I946+'BLAZE SHIELD II'!$H$9)),0)+IF(AND(L946="Blaze Shield II",M946="Software Idiem",C946="C"),((('BLAZE SHIELD II'!$L$4*('CALCULO MORTERO'!I946^2)+'BLAZE SHIELD II'!$L$5*'CALCULO MORTERO'!I946+'BLAZE SHIELD II'!$L$6)*LN(J946))+('BLAZE SHIELD II'!$L$7*('CALCULO MORTERO'!I946^2)+'BLAZE SHIELD II'!$L$8*'CALCULO MORTERO'!I946+'BLAZE SHIELD II'!$L$9)),0)+IF(AND(L946="Blaze Shield II",M946="Software Idiem",C946="L"),((('BLAZE SHIELD II'!$L$4*('CALCULO MORTERO'!I946^2)+'BLAZE SHIELD II'!$L$5*'CALCULO MORTERO'!I946+'BLAZE SHIELD II'!$L$6)*LN(J946))+('BLAZE SHIELD II'!$L$7*('CALCULO MORTERO'!I946^2)+'BLAZE SHIELD II'!$L$8*'CALCULO MORTERO'!I946+'BLAZE SHIELD II'!$L$9)),0)+IF(AND(L946="Blaze Shield II",M946="Software Idiem",C946="IN",G946=3),((('BLAZE SHIELD II'!$H$14*('CALCULO MORTERO'!I946^2)+'BLAZE SHIELD II'!$H$15*'CALCULO MORTERO'!I946+'BLAZE SHIELD II'!$H$16)*LN(J946))+('BLAZE SHIELD II'!$H$17*('CALCULO MORTERO'!I946^2)+'BLAZE SHIELD II'!$H$18*'CALCULO MORTERO'!I946+'BLAZE SHIELD II'!$H$19)),0),0)+ROUND(IF(AND(L946="Cafco 400",M946="Software Idiem",C946="IN",G946=4),((('CAFCO 400 '!$H$7*(J946^4)+'CAFCO 400 '!$H$8*(J946^3)+'CAFCO 400 '!$H$9*(J946^2)+'CAFCO 400 '!$H$10*J946+'CAFCO 400 '!$H$11)*U946^2)+(('CAFCO 400 '!$H$12*(J946^3)+'CAFCO 400 '!$H$13*(J946^2)+'CAFCO 400 '!$H$14*J946+'CAFCO 400 '!$H$15)*U946)+('CAFCO 400 '!$H$16*(J946^2)+'CAFCO 400 '!$H$17*J946+'CAFCO 400 '!$H$18)),0)+IF(AND(L946="Cafco 400",M946="Software Idiem",C946="Cj"),(((('CAFCO 400 '!$D$7*LN(J946)+'CAFCO 400 '!$D$8)*U946^2)+(('CAFCO 400 '!$D$9*LN(J946)+'CAFCO 400 '!$D$10)*U946)+('CAFCO 400 '!$D$11*LN(J946)+'CAFCO 400 '!$D$12))),0)+IF(AND(L946="Cafco 400",M946="Software Idiem",C946="C"),((('CAFCO 400 '!$L$7*(J946^3)+'CAFCO 400 '!$L$8*(J946^2)+'CAFCO 400 '!$L$9*J946+'CAFCO 400 '!$L$10)*U946^2)+(('CAFCO 400 '!$L$11*(J946^3)+'CAFCO 400 '!$L$12*(J946^2)+'CAFCO 400 '!$L$13*J946+'CAFCO 400 '!$L$14)*U946)+('CAFCO 400 '!$L$15*LN(J946)+'CAFCO 400 '!$L$16)),0)+IF(AND(L946="Cafco 400",M946="Software Idiem",C946="L"),((('CAFCO 400 '!$L$7*(J946^3)+'CAFCO 400 '!$L$8*(J946^2)+'CAFCO 400 '!$L$9*J946+'CAFCO 400 '!$L$10)*U946^2)+(('CAFCO 400 '!$L$11*(J946^3)+'CAFCO 400 '!$L$12*(J946^2)+'CAFCO 400 '!$L$13*J946+'CAFCO 400 '!$L$14)*U946)+('CAFCO 400 '!$L$15*LN(J946)+'CAFCO 400 '!$L$16)),0)+IF(AND(L946="Cafco 400",M946="Software Idiem",C946="IN",G946=3),((('CAFCO 400 '!$D$23*(J946^2)+'CAFCO 400 '!$D$24*(J946)+'CAFCO 400 '!$D$25)*U946^2)+(('CAFCO 400 '!$D$26*(J946^2)+'CAFCO 400 '!$D$27*J946+'CAFCO 400 '!$D$28)*U946)+('CAFCO 400 '!$D$29*(J946^2)+'CAFCO 400 '!$D$30*J946+'CAFCO 400 '!$D$31)),0),0)+IF(AND(L946="Cafco 300",J946&gt;=95,J946&lt;=240,C946="Cj",I946=90),VLOOKUP(T946,'CAFCO 300 IDIEM TABLAS'!$B$4:$D$23,2,FALSE),0)+IF(AND(L946="Cafco 300",J946&gt;=95,J946&lt;=240,C946="Cj",I946=120),VLOOKUP(T946,'CAFCO 300 IDIEM TABLAS'!$B$4:$D$23,3,FALSE),0)+IF(AND(L946="Cafco 300",J946&gt;=95,J946&lt;=400,G946=3,C946="IN",I946=90),VLOOKUP(T946,'CAFCO 300 IDIEM TABLAS'!$F$4:$H$35,2,FALSE),0)+IF(AND(L946="Cafco 300",J946&gt;=95,J946&lt;=400,G946=3,C946="IN",I946=120),VLOOKUP(T946,'CAFCO 300 IDIEM TABLAS'!$F$4:$H$35,3,FALSE),0)+IF(AND(L946="Cafco 300",J946&gt;=95,J946&lt;=450,G946=4,C946="IN",I946=90),VLOOKUP(T946,'CAFCO 300 IDIEM TABLAS'!$J$4:$L$40,2,FALSE),0)+IF(AND(L946="Cafco 300",J946&gt;=95,J946&lt;=450,G946=4,C946="IN",I946=120),VLOOKUP(T946,'CAFCO 300 IDIEM TABLAS'!$J$4:$L$40,3,FALSE),0)+IF(AND(M946="Ensayo Idiem",L946="Cafco 400",C946="IN",G946=4,I946=90),VLOOKUP(T946,'CAFCO 400 ENSAYO'!$B$7:$D$43,2,FALSE),0)+IF(AND(M946="Ensayo Idiem",L946="Cafco 400",C946="IN",G946=4,I946=120),VLOOKUP(T946,'CAFCO 400 ENSAYO'!$B$7:$D$43,3,FALSE),0)</f>
        <v>0</v>
      </c>
      <c r="O946" s="96">
        <f t="shared" si="96"/>
        <v>0</v>
      </c>
      <c r="P946" s="95" t="str">
        <f t="shared" ref="P946:P1009" si="97">IF(AND(M946="Software Idiem"),IF(AND(C946="IN",G946=4,J946&gt;=50,J946&lt;=500),"CERT.",IF(AND(C946="Cj",J946&gt;=50,J946&lt;=500),"CERT.",IF(AND(C946="C",J946&gt;=50,J946&lt;=1000),"CERT.",IF(AND(C946="L",J946&gt;=50,J946&lt;=1000),"CERT.",IF(AND(C946="IN",G946=3,J946&gt;=50,J946&lt;=500),"CERT.","NO CERT."))))),"N/A")</f>
        <v>N/A</v>
      </c>
      <c r="Q946" s="95" t="str">
        <f t="shared" ref="Q946:Q1009" si="98">IF(AND(M946="Software Idiem"),IF(AND(C946="IN",G946=4,J946&gt;=50,J946&lt;=500),"CERT.",IF(AND(C946="Cj",J946&gt;=50,J946&lt;=500),"CERT.",IF(AND(C946="C",J946&gt;=50,J946&lt;=1000),"CERT.",IF(AND(C946="L",J946&gt;=50,J946&lt;=1000),"CERT.",IF(AND(C946="IN",G946=3,J946&gt;=50,J946&lt;=500),"CERT.","NO CERT."))))),"N/A")</f>
        <v>N/A</v>
      </c>
      <c r="R946" s="95" t="str">
        <f t="shared" ref="R946:R1009" si="99">IF(AND(C946="IN",G946=4,J946&gt;=95,J946&lt;=450,I946=90),"CERT.",IF(AND(C946="IN",G946=4,J946&gt;=95,J946&lt;=450,I946=120),"CERT.","NO CERT."))</f>
        <v>NO CERT.</v>
      </c>
      <c r="S946" s="95" t="e">
        <f t="shared" ref="S946:S1009" si="100">IF(AND(C946="Cj",I946=90,T946&lt;=240),"CERT.",IF(AND(C946="Cj",I946=120,T946&lt;=240),"CERT.",IF(AND(C946="IN",G946=3,I946=90,T946&lt;=400),"CERT.",IF(AND(C946="IN",G946=3,I946=120,T946&lt;=400),"CERT.",IF(AND(C946="IN",G946=4,I946=90,T946&lt;=450),"CERT.",IF(AND(C946="IN",G946=4,I946=120,T946&lt;=450),"CERT.","NO CERT."))))))</f>
        <v>#N/A</v>
      </c>
      <c r="T946" s="119" t="e">
        <f>+IF(J946=LOOKUP(J946,'CAFCO 300 IDIEM TABLAS'!$J$4:$J$40),'CALCULO MORTERO'!J946,MROUND('CALCULO MORTERO'!J946,10))</f>
        <v>#N/A</v>
      </c>
      <c r="U946" s="118">
        <f t="shared" ref="U946:U1009" si="101">+I946*60</f>
        <v>0</v>
      </c>
    </row>
    <row r="947" spans="1:21" x14ac:dyDescent="0.25">
      <c r="A947" s="118">
        <f>+CUBICACION!D941</f>
        <v>0</v>
      </c>
      <c r="B947" s="819">
        <f>+CUBICACION!E941</f>
        <v>0</v>
      </c>
      <c r="C947" s="675">
        <f>+CUBICACION!F941</f>
        <v>0</v>
      </c>
      <c r="D947" s="118"/>
      <c r="E947" s="118"/>
      <c r="F947" s="820"/>
      <c r="G947" s="675">
        <f>+CUBICACION!J941</f>
        <v>0</v>
      </c>
      <c r="H947" s="118"/>
      <c r="I947" s="821">
        <f>+CUBICACION!L941</f>
        <v>0</v>
      </c>
      <c r="J947" s="64">
        <f>+CUBICACION!M941</f>
        <v>0</v>
      </c>
      <c r="K947" s="822" t="str">
        <f>+CUBICACION!N941</f>
        <v/>
      </c>
      <c r="L947" s="118">
        <f>+CUBICACION!O941</f>
        <v>0</v>
      </c>
      <c r="M947" s="823">
        <f>+CUBICACION!P941</f>
        <v>0</v>
      </c>
      <c r="N947" s="902">
        <f>ROUND(IF(AND(L947="Blaze Shield II",M947="Software Idiem",C947="IN",G947=4),((('BLAZE SHIELD II'!$D$4*('CALCULO MORTERO'!I947^2)+'BLAZE SHIELD II'!$D$5*'CALCULO MORTERO'!I947+'BLAZE SHIELD II'!$D$6)*LN(J947))+('BLAZE SHIELD II'!$D$7*('CALCULO MORTERO'!I947^2)+'BLAZE SHIELD II'!$D$8*'CALCULO MORTERO'!I947+'BLAZE SHIELD II'!$D$9)),0)+IF(AND(L947="Blaze Shield II",M947="Software Idiem",C947="Cj"),((('BLAZE SHIELD II'!$H$4*('CALCULO MORTERO'!I947^2)+'BLAZE SHIELD II'!$H$5*'CALCULO MORTERO'!I947+'BLAZE SHIELD II'!$H$6)*LN(J947))+('BLAZE SHIELD II'!$H$7*('CALCULO MORTERO'!I947^2)+'BLAZE SHIELD II'!$H$8*'CALCULO MORTERO'!I947+'BLAZE SHIELD II'!$H$9)),0)+IF(AND(L947="Blaze Shield II",M947="Software Idiem",C947="C"),((('BLAZE SHIELD II'!$L$4*('CALCULO MORTERO'!I947^2)+'BLAZE SHIELD II'!$L$5*'CALCULO MORTERO'!I947+'BLAZE SHIELD II'!$L$6)*LN(J947))+('BLAZE SHIELD II'!$L$7*('CALCULO MORTERO'!I947^2)+'BLAZE SHIELD II'!$L$8*'CALCULO MORTERO'!I947+'BLAZE SHIELD II'!$L$9)),0)+IF(AND(L947="Blaze Shield II",M947="Software Idiem",C947="L"),((('BLAZE SHIELD II'!$L$4*('CALCULO MORTERO'!I947^2)+'BLAZE SHIELD II'!$L$5*'CALCULO MORTERO'!I947+'BLAZE SHIELD II'!$L$6)*LN(J947))+('BLAZE SHIELD II'!$L$7*('CALCULO MORTERO'!I947^2)+'BLAZE SHIELD II'!$L$8*'CALCULO MORTERO'!I947+'BLAZE SHIELD II'!$L$9)),0)+IF(AND(L947="Blaze Shield II",M947="Software Idiem",C947="IN",G947=3),((('BLAZE SHIELD II'!$H$14*('CALCULO MORTERO'!I947^2)+'BLAZE SHIELD II'!$H$15*'CALCULO MORTERO'!I947+'BLAZE SHIELD II'!$H$16)*LN(J947))+('BLAZE SHIELD II'!$H$17*('CALCULO MORTERO'!I947^2)+'BLAZE SHIELD II'!$H$18*'CALCULO MORTERO'!I947+'BLAZE SHIELD II'!$H$19)),0),0)+ROUND(IF(AND(L947="Cafco 400",M947="Software Idiem",C947="IN",G947=4),((('CAFCO 400 '!$H$7*(J947^4)+'CAFCO 400 '!$H$8*(J947^3)+'CAFCO 400 '!$H$9*(J947^2)+'CAFCO 400 '!$H$10*J947+'CAFCO 400 '!$H$11)*U947^2)+(('CAFCO 400 '!$H$12*(J947^3)+'CAFCO 400 '!$H$13*(J947^2)+'CAFCO 400 '!$H$14*J947+'CAFCO 400 '!$H$15)*U947)+('CAFCO 400 '!$H$16*(J947^2)+'CAFCO 400 '!$H$17*J947+'CAFCO 400 '!$H$18)),0)+IF(AND(L947="Cafco 400",M947="Software Idiem",C947="Cj"),(((('CAFCO 400 '!$D$7*LN(J947)+'CAFCO 400 '!$D$8)*U947^2)+(('CAFCO 400 '!$D$9*LN(J947)+'CAFCO 400 '!$D$10)*U947)+('CAFCO 400 '!$D$11*LN(J947)+'CAFCO 400 '!$D$12))),0)+IF(AND(L947="Cafco 400",M947="Software Idiem",C947="C"),((('CAFCO 400 '!$L$7*(J947^3)+'CAFCO 400 '!$L$8*(J947^2)+'CAFCO 400 '!$L$9*J947+'CAFCO 400 '!$L$10)*U947^2)+(('CAFCO 400 '!$L$11*(J947^3)+'CAFCO 400 '!$L$12*(J947^2)+'CAFCO 400 '!$L$13*J947+'CAFCO 400 '!$L$14)*U947)+('CAFCO 400 '!$L$15*LN(J947)+'CAFCO 400 '!$L$16)),0)+IF(AND(L947="Cafco 400",M947="Software Idiem",C947="L"),((('CAFCO 400 '!$L$7*(J947^3)+'CAFCO 400 '!$L$8*(J947^2)+'CAFCO 400 '!$L$9*J947+'CAFCO 400 '!$L$10)*U947^2)+(('CAFCO 400 '!$L$11*(J947^3)+'CAFCO 400 '!$L$12*(J947^2)+'CAFCO 400 '!$L$13*J947+'CAFCO 400 '!$L$14)*U947)+('CAFCO 400 '!$L$15*LN(J947)+'CAFCO 400 '!$L$16)),0)+IF(AND(L947="Cafco 400",M947="Software Idiem",C947="IN",G947=3),((('CAFCO 400 '!$D$23*(J947^2)+'CAFCO 400 '!$D$24*(J947)+'CAFCO 400 '!$D$25)*U947^2)+(('CAFCO 400 '!$D$26*(J947^2)+'CAFCO 400 '!$D$27*J947+'CAFCO 400 '!$D$28)*U947)+('CAFCO 400 '!$D$29*(J947^2)+'CAFCO 400 '!$D$30*J947+'CAFCO 400 '!$D$31)),0),0)+IF(AND(L947="Cafco 300",J947&gt;=95,J947&lt;=240,C947="Cj",I947=90),VLOOKUP(T947,'CAFCO 300 IDIEM TABLAS'!$B$4:$D$23,2,FALSE),0)+IF(AND(L947="Cafco 300",J947&gt;=95,J947&lt;=240,C947="Cj",I947=120),VLOOKUP(T947,'CAFCO 300 IDIEM TABLAS'!$B$4:$D$23,3,FALSE),0)+IF(AND(L947="Cafco 300",J947&gt;=95,J947&lt;=400,G947=3,C947="IN",I947=90),VLOOKUP(T947,'CAFCO 300 IDIEM TABLAS'!$F$4:$H$35,2,FALSE),0)+IF(AND(L947="Cafco 300",J947&gt;=95,J947&lt;=400,G947=3,C947="IN",I947=120),VLOOKUP(T947,'CAFCO 300 IDIEM TABLAS'!$F$4:$H$35,3,FALSE),0)+IF(AND(L947="Cafco 300",J947&gt;=95,J947&lt;=450,G947=4,C947="IN",I947=90),VLOOKUP(T947,'CAFCO 300 IDIEM TABLAS'!$J$4:$L$40,2,FALSE),0)+IF(AND(L947="Cafco 300",J947&gt;=95,J947&lt;=450,G947=4,C947="IN",I947=120),VLOOKUP(T947,'CAFCO 300 IDIEM TABLAS'!$J$4:$L$40,3,FALSE),0)+IF(AND(M947="Ensayo Idiem",L947="Cafco 400",C947="IN",G947=4,I947=90),VLOOKUP(T947,'CAFCO 400 ENSAYO'!$B$7:$D$43,2,FALSE),0)+IF(AND(M947="Ensayo Idiem",L947="Cafco 400",C947="IN",G947=4,I947=120),VLOOKUP(T947,'CAFCO 400 ENSAYO'!$B$7:$D$43,3,FALSE),0)</f>
        <v>0</v>
      </c>
      <c r="O947" s="96">
        <f t="shared" si="96"/>
        <v>0</v>
      </c>
      <c r="P947" s="132" t="str">
        <f t="shared" si="97"/>
        <v>N/A</v>
      </c>
      <c r="Q947" s="132" t="str">
        <f t="shared" si="98"/>
        <v>N/A</v>
      </c>
      <c r="R947" s="132" t="str">
        <f t="shared" si="99"/>
        <v>NO CERT.</v>
      </c>
      <c r="S947" s="132" t="e">
        <f t="shared" si="100"/>
        <v>#N/A</v>
      </c>
      <c r="T947" s="133" t="e">
        <f>+IF(J947=LOOKUP(J947,'CAFCO 300 IDIEM TABLAS'!$J$4:$J$40),'CALCULO MORTERO'!J947,MROUND('CALCULO MORTERO'!J947,10))</f>
        <v>#N/A</v>
      </c>
      <c r="U947" s="134">
        <f t="shared" si="101"/>
        <v>0</v>
      </c>
    </row>
    <row r="948" spans="1:21" x14ac:dyDescent="0.25">
      <c r="A948" s="118">
        <f>+CUBICACION!D942</f>
        <v>0</v>
      </c>
      <c r="B948" s="819">
        <f>+CUBICACION!E942</f>
        <v>0</v>
      </c>
      <c r="C948" s="675">
        <f>+CUBICACION!F942</f>
        <v>0</v>
      </c>
      <c r="D948" s="118"/>
      <c r="E948" s="118"/>
      <c r="F948" s="820"/>
      <c r="G948" s="675">
        <f>+CUBICACION!J942</f>
        <v>0</v>
      </c>
      <c r="H948" s="118"/>
      <c r="I948" s="821">
        <f>+CUBICACION!L942</f>
        <v>0</v>
      </c>
      <c r="J948" s="64">
        <f>+CUBICACION!M942</f>
        <v>0</v>
      </c>
      <c r="K948" s="822" t="str">
        <f>+CUBICACION!N942</f>
        <v/>
      </c>
      <c r="L948" s="118">
        <f>+CUBICACION!O942</f>
        <v>0</v>
      </c>
      <c r="M948" s="823">
        <f>+CUBICACION!P942</f>
        <v>0</v>
      </c>
      <c r="N948" s="902">
        <f>ROUND(IF(AND(L948="Blaze Shield II",M948="Software Idiem",C948="IN",G948=4),((('BLAZE SHIELD II'!$D$4*('CALCULO MORTERO'!I948^2)+'BLAZE SHIELD II'!$D$5*'CALCULO MORTERO'!I948+'BLAZE SHIELD II'!$D$6)*LN(J948))+('BLAZE SHIELD II'!$D$7*('CALCULO MORTERO'!I948^2)+'BLAZE SHIELD II'!$D$8*'CALCULO MORTERO'!I948+'BLAZE SHIELD II'!$D$9)),0)+IF(AND(L948="Blaze Shield II",M948="Software Idiem",C948="Cj"),((('BLAZE SHIELD II'!$H$4*('CALCULO MORTERO'!I948^2)+'BLAZE SHIELD II'!$H$5*'CALCULO MORTERO'!I948+'BLAZE SHIELD II'!$H$6)*LN(J948))+('BLAZE SHIELD II'!$H$7*('CALCULO MORTERO'!I948^2)+'BLAZE SHIELD II'!$H$8*'CALCULO MORTERO'!I948+'BLAZE SHIELD II'!$H$9)),0)+IF(AND(L948="Blaze Shield II",M948="Software Idiem",C948="C"),((('BLAZE SHIELD II'!$L$4*('CALCULO MORTERO'!I948^2)+'BLAZE SHIELD II'!$L$5*'CALCULO MORTERO'!I948+'BLAZE SHIELD II'!$L$6)*LN(J948))+('BLAZE SHIELD II'!$L$7*('CALCULO MORTERO'!I948^2)+'BLAZE SHIELD II'!$L$8*'CALCULO MORTERO'!I948+'BLAZE SHIELD II'!$L$9)),0)+IF(AND(L948="Blaze Shield II",M948="Software Idiem",C948="L"),((('BLAZE SHIELD II'!$L$4*('CALCULO MORTERO'!I948^2)+'BLAZE SHIELD II'!$L$5*'CALCULO MORTERO'!I948+'BLAZE SHIELD II'!$L$6)*LN(J948))+('BLAZE SHIELD II'!$L$7*('CALCULO MORTERO'!I948^2)+'BLAZE SHIELD II'!$L$8*'CALCULO MORTERO'!I948+'BLAZE SHIELD II'!$L$9)),0)+IF(AND(L948="Blaze Shield II",M948="Software Idiem",C948="IN",G948=3),((('BLAZE SHIELD II'!$H$14*('CALCULO MORTERO'!I948^2)+'BLAZE SHIELD II'!$H$15*'CALCULO MORTERO'!I948+'BLAZE SHIELD II'!$H$16)*LN(J948))+('BLAZE SHIELD II'!$H$17*('CALCULO MORTERO'!I948^2)+'BLAZE SHIELD II'!$H$18*'CALCULO MORTERO'!I948+'BLAZE SHIELD II'!$H$19)),0),0)+ROUND(IF(AND(L948="Cafco 400",M948="Software Idiem",C948="IN",G948=4),((('CAFCO 400 '!$H$7*(J948^4)+'CAFCO 400 '!$H$8*(J948^3)+'CAFCO 400 '!$H$9*(J948^2)+'CAFCO 400 '!$H$10*J948+'CAFCO 400 '!$H$11)*U948^2)+(('CAFCO 400 '!$H$12*(J948^3)+'CAFCO 400 '!$H$13*(J948^2)+'CAFCO 400 '!$H$14*J948+'CAFCO 400 '!$H$15)*U948)+('CAFCO 400 '!$H$16*(J948^2)+'CAFCO 400 '!$H$17*J948+'CAFCO 400 '!$H$18)),0)+IF(AND(L948="Cafco 400",M948="Software Idiem",C948="Cj"),(((('CAFCO 400 '!$D$7*LN(J948)+'CAFCO 400 '!$D$8)*U948^2)+(('CAFCO 400 '!$D$9*LN(J948)+'CAFCO 400 '!$D$10)*U948)+('CAFCO 400 '!$D$11*LN(J948)+'CAFCO 400 '!$D$12))),0)+IF(AND(L948="Cafco 400",M948="Software Idiem",C948="C"),((('CAFCO 400 '!$L$7*(J948^3)+'CAFCO 400 '!$L$8*(J948^2)+'CAFCO 400 '!$L$9*J948+'CAFCO 400 '!$L$10)*U948^2)+(('CAFCO 400 '!$L$11*(J948^3)+'CAFCO 400 '!$L$12*(J948^2)+'CAFCO 400 '!$L$13*J948+'CAFCO 400 '!$L$14)*U948)+('CAFCO 400 '!$L$15*LN(J948)+'CAFCO 400 '!$L$16)),0)+IF(AND(L948="Cafco 400",M948="Software Idiem",C948="L"),((('CAFCO 400 '!$L$7*(J948^3)+'CAFCO 400 '!$L$8*(J948^2)+'CAFCO 400 '!$L$9*J948+'CAFCO 400 '!$L$10)*U948^2)+(('CAFCO 400 '!$L$11*(J948^3)+'CAFCO 400 '!$L$12*(J948^2)+'CAFCO 400 '!$L$13*J948+'CAFCO 400 '!$L$14)*U948)+('CAFCO 400 '!$L$15*LN(J948)+'CAFCO 400 '!$L$16)),0)+IF(AND(L948="Cafco 400",M948="Software Idiem",C948="IN",G948=3),((('CAFCO 400 '!$D$23*(J948^2)+'CAFCO 400 '!$D$24*(J948)+'CAFCO 400 '!$D$25)*U948^2)+(('CAFCO 400 '!$D$26*(J948^2)+'CAFCO 400 '!$D$27*J948+'CAFCO 400 '!$D$28)*U948)+('CAFCO 400 '!$D$29*(J948^2)+'CAFCO 400 '!$D$30*J948+'CAFCO 400 '!$D$31)),0),0)+IF(AND(L948="Cafco 300",J948&gt;=95,J948&lt;=240,C948="Cj",I948=90),VLOOKUP(T948,'CAFCO 300 IDIEM TABLAS'!$B$4:$D$23,2,FALSE),0)+IF(AND(L948="Cafco 300",J948&gt;=95,J948&lt;=240,C948="Cj",I948=120),VLOOKUP(T948,'CAFCO 300 IDIEM TABLAS'!$B$4:$D$23,3,FALSE),0)+IF(AND(L948="Cafco 300",J948&gt;=95,J948&lt;=400,G948=3,C948="IN",I948=90),VLOOKUP(T948,'CAFCO 300 IDIEM TABLAS'!$F$4:$H$35,2,FALSE),0)+IF(AND(L948="Cafco 300",J948&gt;=95,J948&lt;=400,G948=3,C948="IN",I948=120),VLOOKUP(T948,'CAFCO 300 IDIEM TABLAS'!$F$4:$H$35,3,FALSE),0)+IF(AND(L948="Cafco 300",J948&gt;=95,J948&lt;=450,G948=4,C948="IN",I948=90),VLOOKUP(T948,'CAFCO 300 IDIEM TABLAS'!$J$4:$L$40,2,FALSE),0)+IF(AND(L948="Cafco 300",J948&gt;=95,J948&lt;=450,G948=4,C948="IN",I948=120),VLOOKUP(T948,'CAFCO 300 IDIEM TABLAS'!$J$4:$L$40,3,FALSE),0)+IF(AND(M948="Ensayo Idiem",L948="Cafco 400",C948="IN",G948=4,I948=90),VLOOKUP(T948,'CAFCO 400 ENSAYO'!$B$7:$D$43,2,FALSE),0)+IF(AND(M948="Ensayo Idiem",L948="Cafco 400",C948="IN",G948=4,I948=120),VLOOKUP(T948,'CAFCO 400 ENSAYO'!$B$7:$D$43,3,FALSE),0)</f>
        <v>0</v>
      </c>
      <c r="O948" s="96">
        <f t="shared" si="96"/>
        <v>0</v>
      </c>
      <c r="P948" s="95" t="str">
        <f t="shared" si="97"/>
        <v>N/A</v>
      </c>
      <c r="Q948" s="95" t="str">
        <f t="shared" si="98"/>
        <v>N/A</v>
      </c>
      <c r="R948" s="95" t="str">
        <f t="shared" si="99"/>
        <v>NO CERT.</v>
      </c>
      <c r="S948" s="95" t="e">
        <f t="shared" si="100"/>
        <v>#N/A</v>
      </c>
      <c r="T948" s="119" t="e">
        <f>+IF(J948=LOOKUP(J948,'CAFCO 300 IDIEM TABLAS'!$J$4:$J$40),'CALCULO MORTERO'!J948,MROUND('CALCULO MORTERO'!J948,10))</f>
        <v>#N/A</v>
      </c>
      <c r="U948" s="118">
        <f t="shared" si="101"/>
        <v>0</v>
      </c>
    </row>
    <row r="949" spans="1:21" x14ac:dyDescent="0.25">
      <c r="A949" s="118">
        <f>+CUBICACION!D943</f>
        <v>0</v>
      </c>
      <c r="B949" s="819">
        <f>+CUBICACION!E943</f>
        <v>0</v>
      </c>
      <c r="C949" s="675">
        <f>+CUBICACION!F943</f>
        <v>0</v>
      </c>
      <c r="D949" s="118"/>
      <c r="E949" s="118"/>
      <c r="F949" s="820"/>
      <c r="G949" s="675">
        <f>+CUBICACION!J943</f>
        <v>0</v>
      </c>
      <c r="H949" s="118"/>
      <c r="I949" s="821">
        <f>+CUBICACION!L943</f>
        <v>0</v>
      </c>
      <c r="J949" s="64">
        <f>+CUBICACION!M943</f>
        <v>0</v>
      </c>
      <c r="K949" s="822" t="str">
        <f>+CUBICACION!N943</f>
        <v/>
      </c>
      <c r="L949" s="118">
        <f>+CUBICACION!O943</f>
        <v>0</v>
      </c>
      <c r="M949" s="823">
        <f>+CUBICACION!P943</f>
        <v>0</v>
      </c>
      <c r="N949" s="902">
        <f>ROUND(IF(AND(L949="Blaze Shield II",M949="Software Idiem",C949="IN",G949=4),((('BLAZE SHIELD II'!$D$4*('CALCULO MORTERO'!I949^2)+'BLAZE SHIELD II'!$D$5*'CALCULO MORTERO'!I949+'BLAZE SHIELD II'!$D$6)*LN(J949))+('BLAZE SHIELD II'!$D$7*('CALCULO MORTERO'!I949^2)+'BLAZE SHIELD II'!$D$8*'CALCULO MORTERO'!I949+'BLAZE SHIELD II'!$D$9)),0)+IF(AND(L949="Blaze Shield II",M949="Software Idiem",C949="Cj"),((('BLAZE SHIELD II'!$H$4*('CALCULO MORTERO'!I949^2)+'BLAZE SHIELD II'!$H$5*'CALCULO MORTERO'!I949+'BLAZE SHIELD II'!$H$6)*LN(J949))+('BLAZE SHIELD II'!$H$7*('CALCULO MORTERO'!I949^2)+'BLAZE SHIELD II'!$H$8*'CALCULO MORTERO'!I949+'BLAZE SHIELD II'!$H$9)),0)+IF(AND(L949="Blaze Shield II",M949="Software Idiem",C949="C"),((('BLAZE SHIELD II'!$L$4*('CALCULO MORTERO'!I949^2)+'BLAZE SHIELD II'!$L$5*'CALCULO MORTERO'!I949+'BLAZE SHIELD II'!$L$6)*LN(J949))+('BLAZE SHIELD II'!$L$7*('CALCULO MORTERO'!I949^2)+'BLAZE SHIELD II'!$L$8*'CALCULO MORTERO'!I949+'BLAZE SHIELD II'!$L$9)),0)+IF(AND(L949="Blaze Shield II",M949="Software Idiem",C949="L"),((('BLAZE SHIELD II'!$L$4*('CALCULO MORTERO'!I949^2)+'BLAZE SHIELD II'!$L$5*'CALCULO MORTERO'!I949+'BLAZE SHIELD II'!$L$6)*LN(J949))+('BLAZE SHIELD II'!$L$7*('CALCULO MORTERO'!I949^2)+'BLAZE SHIELD II'!$L$8*'CALCULO MORTERO'!I949+'BLAZE SHIELD II'!$L$9)),0)+IF(AND(L949="Blaze Shield II",M949="Software Idiem",C949="IN",G949=3),((('BLAZE SHIELD II'!$H$14*('CALCULO MORTERO'!I949^2)+'BLAZE SHIELD II'!$H$15*'CALCULO MORTERO'!I949+'BLAZE SHIELD II'!$H$16)*LN(J949))+('BLAZE SHIELD II'!$H$17*('CALCULO MORTERO'!I949^2)+'BLAZE SHIELD II'!$H$18*'CALCULO MORTERO'!I949+'BLAZE SHIELD II'!$H$19)),0),0)+ROUND(IF(AND(L949="Cafco 400",M949="Software Idiem",C949="IN",G949=4),((('CAFCO 400 '!$H$7*(J949^4)+'CAFCO 400 '!$H$8*(J949^3)+'CAFCO 400 '!$H$9*(J949^2)+'CAFCO 400 '!$H$10*J949+'CAFCO 400 '!$H$11)*U949^2)+(('CAFCO 400 '!$H$12*(J949^3)+'CAFCO 400 '!$H$13*(J949^2)+'CAFCO 400 '!$H$14*J949+'CAFCO 400 '!$H$15)*U949)+('CAFCO 400 '!$H$16*(J949^2)+'CAFCO 400 '!$H$17*J949+'CAFCO 400 '!$H$18)),0)+IF(AND(L949="Cafco 400",M949="Software Idiem",C949="Cj"),(((('CAFCO 400 '!$D$7*LN(J949)+'CAFCO 400 '!$D$8)*U949^2)+(('CAFCO 400 '!$D$9*LN(J949)+'CAFCO 400 '!$D$10)*U949)+('CAFCO 400 '!$D$11*LN(J949)+'CAFCO 400 '!$D$12))),0)+IF(AND(L949="Cafco 400",M949="Software Idiem",C949="C"),((('CAFCO 400 '!$L$7*(J949^3)+'CAFCO 400 '!$L$8*(J949^2)+'CAFCO 400 '!$L$9*J949+'CAFCO 400 '!$L$10)*U949^2)+(('CAFCO 400 '!$L$11*(J949^3)+'CAFCO 400 '!$L$12*(J949^2)+'CAFCO 400 '!$L$13*J949+'CAFCO 400 '!$L$14)*U949)+('CAFCO 400 '!$L$15*LN(J949)+'CAFCO 400 '!$L$16)),0)+IF(AND(L949="Cafco 400",M949="Software Idiem",C949="L"),((('CAFCO 400 '!$L$7*(J949^3)+'CAFCO 400 '!$L$8*(J949^2)+'CAFCO 400 '!$L$9*J949+'CAFCO 400 '!$L$10)*U949^2)+(('CAFCO 400 '!$L$11*(J949^3)+'CAFCO 400 '!$L$12*(J949^2)+'CAFCO 400 '!$L$13*J949+'CAFCO 400 '!$L$14)*U949)+('CAFCO 400 '!$L$15*LN(J949)+'CAFCO 400 '!$L$16)),0)+IF(AND(L949="Cafco 400",M949="Software Idiem",C949="IN",G949=3),((('CAFCO 400 '!$D$23*(J949^2)+'CAFCO 400 '!$D$24*(J949)+'CAFCO 400 '!$D$25)*U949^2)+(('CAFCO 400 '!$D$26*(J949^2)+'CAFCO 400 '!$D$27*J949+'CAFCO 400 '!$D$28)*U949)+('CAFCO 400 '!$D$29*(J949^2)+'CAFCO 400 '!$D$30*J949+'CAFCO 400 '!$D$31)),0),0)+IF(AND(L949="Cafco 300",J949&gt;=95,J949&lt;=240,C949="Cj",I949=90),VLOOKUP(T949,'CAFCO 300 IDIEM TABLAS'!$B$4:$D$23,2,FALSE),0)+IF(AND(L949="Cafco 300",J949&gt;=95,J949&lt;=240,C949="Cj",I949=120),VLOOKUP(T949,'CAFCO 300 IDIEM TABLAS'!$B$4:$D$23,3,FALSE),0)+IF(AND(L949="Cafco 300",J949&gt;=95,J949&lt;=400,G949=3,C949="IN",I949=90),VLOOKUP(T949,'CAFCO 300 IDIEM TABLAS'!$F$4:$H$35,2,FALSE),0)+IF(AND(L949="Cafco 300",J949&gt;=95,J949&lt;=400,G949=3,C949="IN",I949=120),VLOOKUP(T949,'CAFCO 300 IDIEM TABLAS'!$F$4:$H$35,3,FALSE),0)+IF(AND(L949="Cafco 300",J949&gt;=95,J949&lt;=450,G949=4,C949="IN",I949=90),VLOOKUP(T949,'CAFCO 300 IDIEM TABLAS'!$J$4:$L$40,2,FALSE),0)+IF(AND(L949="Cafco 300",J949&gt;=95,J949&lt;=450,G949=4,C949="IN",I949=120),VLOOKUP(T949,'CAFCO 300 IDIEM TABLAS'!$J$4:$L$40,3,FALSE),0)+IF(AND(M949="Ensayo Idiem",L949="Cafco 400",C949="IN",G949=4,I949=90),VLOOKUP(T949,'CAFCO 400 ENSAYO'!$B$7:$D$43,2,FALSE),0)+IF(AND(M949="Ensayo Idiem",L949="Cafco 400",C949="IN",G949=4,I949=120),VLOOKUP(T949,'CAFCO 400 ENSAYO'!$B$7:$D$43,3,FALSE),0)</f>
        <v>0</v>
      </c>
      <c r="O949" s="96">
        <f t="shared" si="96"/>
        <v>0</v>
      </c>
      <c r="P949" s="132" t="str">
        <f t="shared" si="97"/>
        <v>N/A</v>
      </c>
      <c r="Q949" s="132" t="str">
        <f t="shared" si="98"/>
        <v>N/A</v>
      </c>
      <c r="R949" s="132" t="str">
        <f t="shared" si="99"/>
        <v>NO CERT.</v>
      </c>
      <c r="S949" s="132" t="e">
        <f t="shared" si="100"/>
        <v>#N/A</v>
      </c>
      <c r="T949" s="133" t="e">
        <f>+IF(J949=LOOKUP(J949,'CAFCO 300 IDIEM TABLAS'!$J$4:$J$40),'CALCULO MORTERO'!J949,MROUND('CALCULO MORTERO'!J949,10))</f>
        <v>#N/A</v>
      </c>
      <c r="U949" s="134">
        <f t="shared" si="101"/>
        <v>0</v>
      </c>
    </row>
    <row r="950" spans="1:21" x14ac:dyDescent="0.25">
      <c r="A950" s="118">
        <f>+CUBICACION!D944</f>
        <v>0</v>
      </c>
      <c r="B950" s="819">
        <f>+CUBICACION!E944</f>
        <v>0</v>
      </c>
      <c r="C950" s="675">
        <f>+CUBICACION!F944</f>
        <v>0</v>
      </c>
      <c r="D950" s="118"/>
      <c r="E950" s="118"/>
      <c r="F950" s="820"/>
      <c r="G950" s="675">
        <f>+CUBICACION!J944</f>
        <v>0</v>
      </c>
      <c r="H950" s="118"/>
      <c r="I950" s="821">
        <f>+CUBICACION!L944</f>
        <v>0</v>
      </c>
      <c r="J950" s="64">
        <f>+CUBICACION!M944</f>
        <v>0</v>
      </c>
      <c r="K950" s="822" t="str">
        <f>+CUBICACION!N944</f>
        <v/>
      </c>
      <c r="L950" s="118">
        <f>+CUBICACION!O944</f>
        <v>0</v>
      </c>
      <c r="M950" s="823">
        <f>+CUBICACION!P944</f>
        <v>0</v>
      </c>
      <c r="N950" s="902">
        <f>ROUND(IF(AND(L950="Blaze Shield II",M950="Software Idiem",C950="IN",G950=4),((('BLAZE SHIELD II'!$D$4*('CALCULO MORTERO'!I950^2)+'BLAZE SHIELD II'!$D$5*'CALCULO MORTERO'!I950+'BLAZE SHIELD II'!$D$6)*LN(J950))+('BLAZE SHIELD II'!$D$7*('CALCULO MORTERO'!I950^2)+'BLAZE SHIELD II'!$D$8*'CALCULO MORTERO'!I950+'BLAZE SHIELD II'!$D$9)),0)+IF(AND(L950="Blaze Shield II",M950="Software Idiem",C950="Cj"),((('BLAZE SHIELD II'!$H$4*('CALCULO MORTERO'!I950^2)+'BLAZE SHIELD II'!$H$5*'CALCULO MORTERO'!I950+'BLAZE SHIELD II'!$H$6)*LN(J950))+('BLAZE SHIELD II'!$H$7*('CALCULO MORTERO'!I950^2)+'BLAZE SHIELD II'!$H$8*'CALCULO MORTERO'!I950+'BLAZE SHIELD II'!$H$9)),0)+IF(AND(L950="Blaze Shield II",M950="Software Idiem",C950="C"),((('BLAZE SHIELD II'!$L$4*('CALCULO MORTERO'!I950^2)+'BLAZE SHIELD II'!$L$5*'CALCULO MORTERO'!I950+'BLAZE SHIELD II'!$L$6)*LN(J950))+('BLAZE SHIELD II'!$L$7*('CALCULO MORTERO'!I950^2)+'BLAZE SHIELD II'!$L$8*'CALCULO MORTERO'!I950+'BLAZE SHIELD II'!$L$9)),0)+IF(AND(L950="Blaze Shield II",M950="Software Idiem",C950="L"),((('BLAZE SHIELD II'!$L$4*('CALCULO MORTERO'!I950^2)+'BLAZE SHIELD II'!$L$5*'CALCULO MORTERO'!I950+'BLAZE SHIELD II'!$L$6)*LN(J950))+('BLAZE SHIELD II'!$L$7*('CALCULO MORTERO'!I950^2)+'BLAZE SHIELD II'!$L$8*'CALCULO MORTERO'!I950+'BLAZE SHIELD II'!$L$9)),0)+IF(AND(L950="Blaze Shield II",M950="Software Idiem",C950="IN",G950=3),((('BLAZE SHIELD II'!$H$14*('CALCULO MORTERO'!I950^2)+'BLAZE SHIELD II'!$H$15*'CALCULO MORTERO'!I950+'BLAZE SHIELD II'!$H$16)*LN(J950))+('BLAZE SHIELD II'!$H$17*('CALCULO MORTERO'!I950^2)+'BLAZE SHIELD II'!$H$18*'CALCULO MORTERO'!I950+'BLAZE SHIELD II'!$H$19)),0),0)+ROUND(IF(AND(L950="Cafco 400",M950="Software Idiem",C950="IN",G950=4),((('CAFCO 400 '!$H$7*(J950^4)+'CAFCO 400 '!$H$8*(J950^3)+'CAFCO 400 '!$H$9*(J950^2)+'CAFCO 400 '!$H$10*J950+'CAFCO 400 '!$H$11)*U950^2)+(('CAFCO 400 '!$H$12*(J950^3)+'CAFCO 400 '!$H$13*(J950^2)+'CAFCO 400 '!$H$14*J950+'CAFCO 400 '!$H$15)*U950)+('CAFCO 400 '!$H$16*(J950^2)+'CAFCO 400 '!$H$17*J950+'CAFCO 400 '!$H$18)),0)+IF(AND(L950="Cafco 400",M950="Software Idiem",C950="Cj"),(((('CAFCO 400 '!$D$7*LN(J950)+'CAFCO 400 '!$D$8)*U950^2)+(('CAFCO 400 '!$D$9*LN(J950)+'CAFCO 400 '!$D$10)*U950)+('CAFCO 400 '!$D$11*LN(J950)+'CAFCO 400 '!$D$12))),0)+IF(AND(L950="Cafco 400",M950="Software Idiem",C950="C"),((('CAFCO 400 '!$L$7*(J950^3)+'CAFCO 400 '!$L$8*(J950^2)+'CAFCO 400 '!$L$9*J950+'CAFCO 400 '!$L$10)*U950^2)+(('CAFCO 400 '!$L$11*(J950^3)+'CAFCO 400 '!$L$12*(J950^2)+'CAFCO 400 '!$L$13*J950+'CAFCO 400 '!$L$14)*U950)+('CAFCO 400 '!$L$15*LN(J950)+'CAFCO 400 '!$L$16)),0)+IF(AND(L950="Cafco 400",M950="Software Idiem",C950="L"),((('CAFCO 400 '!$L$7*(J950^3)+'CAFCO 400 '!$L$8*(J950^2)+'CAFCO 400 '!$L$9*J950+'CAFCO 400 '!$L$10)*U950^2)+(('CAFCO 400 '!$L$11*(J950^3)+'CAFCO 400 '!$L$12*(J950^2)+'CAFCO 400 '!$L$13*J950+'CAFCO 400 '!$L$14)*U950)+('CAFCO 400 '!$L$15*LN(J950)+'CAFCO 400 '!$L$16)),0)+IF(AND(L950="Cafco 400",M950="Software Idiem",C950="IN",G950=3),((('CAFCO 400 '!$D$23*(J950^2)+'CAFCO 400 '!$D$24*(J950)+'CAFCO 400 '!$D$25)*U950^2)+(('CAFCO 400 '!$D$26*(J950^2)+'CAFCO 400 '!$D$27*J950+'CAFCO 400 '!$D$28)*U950)+('CAFCO 400 '!$D$29*(J950^2)+'CAFCO 400 '!$D$30*J950+'CAFCO 400 '!$D$31)),0),0)+IF(AND(L950="Cafco 300",J950&gt;=95,J950&lt;=240,C950="Cj",I950=90),VLOOKUP(T950,'CAFCO 300 IDIEM TABLAS'!$B$4:$D$23,2,FALSE),0)+IF(AND(L950="Cafco 300",J950&gt;=95,J950&lt;=240,C950="Cj",I950=120),VLOOKUP(T950,'CAFCO 300 IDIEM TABLAS'!$B$4:$D$23,3,FALSE),0)+IF(AND(L950="Cafco 300",J950&gt;=95,J950&lt;=400,G950=3,C950="IN",I950=90),VLOOKUP(T950,'CAFCO 300 IDIEM TABLAS'!$F$4:$H$35,2,FALSE),0)+IF(AND(L950="Cafco 300",J950&gt;=95,J950&lt;=400,G950=3,C950="IN",I950=120),VLOOKUP(T950,'CAFCO 300 IDIEM TABLAS'!$F$4:$H$35,3,FALSE),0)+IF(AND(L950="Cafco 300",J950&gt;=95,J950&lt;=450,G950=4,C950="IN",I950=90),VLOOKUP(T950,'CAFCO 300 IDIEM TABLAS'!$J$4:$L$40,2,FALSE),0)+IF(AND(L950="Cafco 300",J950&gt;=95,J950&lt;=450,G950=4,C950="IN",I950=120),VLOOKUP(T950,'CAFCO 300 IDIEM TABLAS'!$J$4:$L$40,3,FALSE),0)+IF(AND(M950="Ensayo Idiem",L950="Cafco 400",C950="IN",G950=4,I950=90),VLOOKUP(T950,'CAFCO 400 ENSAYO'!$B$7:$D$43,2,FALSE),0)+IF(AND(M950="Ensayo Idiem",L950="Cafco 400",C950="IN",G950=4,I950=120),VLOOKUP(T950,'CAFCO 400 ENSAYO'!$B$7:$D$43,3,FALSE),0)</f>
        <v>0</v>
      </c>
      <c r="O950" s="96">
        <f t="shared" si="96"/>
        <v>0</v>
      </c>
      <c r="P950" s="95" t="str">
        <f t="shared" si="97"/>
        <v>N/A</v>
      </c>
      <c r="Q950" s="95" t="str">
        <f t="shared" si="98"/>
        <v>N/A</v>
      </c>
      <c r="R950" s="95" t="str">
        <f t="shared" si="99"/>
        <v>NO CERT.</v>
      </c>
      <c r="S950" s="95" t="e">
        <f t="shared" si="100"/>
        <v>#N/A</v>
      </c>
      <c r="T950" s="119" t="e">
        <f>+IF(J950=LOOKUP(J950,'CAFCO 300 IDIEM TABLAS'!$J$4:$J$40),'CALCULO MORTERO'!J950,MROUND('CALCULO MORTERO'!J950,10))</f>
        <v>#N/A</v>
      </c>
      <c r="U950" s="118">
        <f t="shared" si="101"/>
        <v>0</v>
      </c>
    </row>
    <row r="951" spans="1:21" x14ac:dyDescent="0.25">
      <c r="A951" s="118">
        <f>+CUBICACION!D945</f>
        <v>0</v>
      </c>
      <c r="B951" s="819">
        <f>+CUBICACION!E945</f>
        <v>0</v>
      </c>
      <c r="C951" s="675">
        <f>+CUBICACION!F945</f>
        <v>0</v>
      </c>
      <c r="D951" s="118"/>
      <c r="E951" s="118"/>
      <c r="F951" s="820"/>
      <c r="G951" s="675">
        <f>+CUBICACION!J945</f>
        <v>0</v>
      </c>
      <c r="H951" s="118"/>
      <c r="I951" s="821">
        <f>+CUBICACION!L945</f>
        <v>0</v>
      </c>
      <c r="J951" s="64">
        <f>+CUBICACION!M945</f>
        <v>0</v>
      </c>
      <c r="K951" s="822" t="str">
        <f>+CUBICACION!N945</f>
        <v/>
      </c>
      <c r="L951" s="118">
        <f>+CUBICACION!O945</f>
        <v>0</v>
      </c>
      <c r="M951" s="823">
        <f>+CUBICACION!P945</f>
        <v>0</v>
      </c>
      <c r="N951" s="902">
        <f>ROUND(IF(AND(L951="Blaze Shield II",M951="Software Idiem",C951="IN",G951=4),((('BLAZE SHIELD II'!$D$4*('CALCULO MORTERO'!I951^2)+'BLAZE SHIELD II'!$D$5*'CALCULO MORTERO'!I951+'BLAZE SHIELD II'!$D$6)*LN(J951))+('BLAZE SHIELD II'!$D$7*('CALCULO MORTERO'!I951^2)+'BLAZE SHIELD II'!$D$8*'CALCULO MORTERO'!I951+'BLAZE SHIELD II'!$D$9)),0)+IF(AND(L951="Blaze Shield II",M951="Software Idiem",C951="Cj"),((('BLAZE SHIELD II'!$H$4*('CALCULO MORTERO'!I951^2)+'BLAZE SHIELD II'!$H$5*'CALCULO MORTERO'!I951+'BLAZE SHIELD II'!$H$6)*LN(J951))+('BLAZE SHIELD II'!$H$7*('CALCULO MORTERO'!I951^2)+'BLAZE SHIELD II'!$H$8*'CALCULO MORTERO'!I951+'BLAZE SHIELD II'!$H$9)),0)+IF(AND(L951="Blaze Shield II",M951="Software Idiem",C951="C"),((('BLAZE SHIELD II'!$L$4*('CALCULO MORTERO'!I951^2)+'BLAZE SHIELD II'!$L$5*'CALCULO MORTERO'!I951+'BLAZE SHIELD II'!$L$6)*LN(J951))+('BLAZE SHIELD II'!$L$7*('CALCULO MORTERO'!I951^2)+'BLAZE SHIELD II'!$L$8*'CALCULO MORTERO'!I951+'BLAZE SHIELD II'!$L$9)),0)+IF(AND(L951="Blaze Shield II",M951="Software Idiem",C951="L"),((('BLAZE SHIELD II'!$L$4*('CALCULO MORTERO'!I951^2)+'BLAZE SHIELD II'!$L$5*'CALCULO MORTERO'!I951+'BLAZE SHIELD II'!$L$6)*LN(J951))+('BLAZE SHIELD II'!$L$7*('CALCULO MORTERO'!I951^2)+'BLAZE SHIELD II'!$L$8*'CALCULO MORTERO'!I951+'BLAZE SHIELD II'!$L$9)),0)+IF(AND(L951="Blaze Shield II",M951="Software Idiem",C951="IN",G951=3),((('BLAZE SHIELD II'!$H$14*('CALCULO MORTERO'!I951^2)+'BLAZE SHIELD II'!$H$15*'CALCULO MORTERO'!I951+'BLAZE SHIELD II'!$H$16)*LN(J951))+('BLAZE SHIELD II'!$H$17*('CALCULO MORTERO'!I951^2)+'BLAZE SHIELD II'!$H$18*'CALCULO MORTERO'!I951+'BLAZE SHIELD II'!$H$19)),0),0)+ROUND(IF(AND(L951="Cafco 400",M951="Software Idiem",C951="IN",G951=4),((('CAFCO 400 '!$H$7*(J951^4)+'CAFCO 400 '!$H$8*(J951^3)+'CAFCO 400 '!$H$9*(J951^2)+'CAFCO 400 '!$H$10*J951+'CAFCO 400 '!$H$11)*U951^2)+(('CAFCO 400 '!$H$12*(J951^3)+'CAFCO 400 '!$H$13*(J951^2)+'CAFCO 400 '!$H$14*J951+'CAFCO 400 '!$H$15)*U951)+('CAFCO 400 '!$H$16*(J951^2)+'CAFCO 400 '!$H$17*J951+'CAFCO 400 '!$H$18)),0)+IF(AND(L951="Cafco 400",M951="Software Idiem",C951="Cj"),(((('CAFCO 400 '!$D$7*LN(J951)+'CAFCO 400 '!$D$8)*U951^2)+(('CAFCO 400 '!$D$9*LN(J951)+'CAFCO 400 '!$D$10)*U951)+('CAFCO 400 '!$D$11*LN(J951)+'CAFCO 400 '!$D$12))),0)+IF(AND(L951="Cafco 400",M951="Software Idiem",C951="C"),((('CAFCO 400 '!$L$7*(J951^3)+'CAFCO 400 '!$L$8*(J951^2)+'CAFCO 400 '!$L$9*J951+'CAFCO 400 '!$L$10)*U951^2)+(('CAFCO 400 '!$L$11*(J951^3)+'CAFCO 400 '!$L$12*(J951^2)+'CAFCO 400 '!$L$13*J951+'CAFCO 400 '!$L$14)*U951)+('CAFCO 400 '!$L$15*LN(J951)+'CAFCO 400 '!$L$16)),0)+IF(AND(L951="Cafco 400",M951="Software Idiem",C951="L"),((('CAFCO 400 '!$L$7*(J951^3)+'CAFCO 400 '!$L$8*(J951^2)+'CAFCO 400 '!$L$9*J951+'CAFCO 400 '!$L$10)*U951^2)+(('CAFCO 400 '!$L$11*(J951^3)+'CAFCO 400 '!$L$12*(J951^2)+'CAFCO 400 '!$L$13*J951+'CAFCO 400 '!$L$14)*U951)+('CAFCO 400 '!$L$15*LN(J951)+'CAFCO 400 '!$L$16)),0)+IF(AND(L951="Cafco 400",M951="Software Idiem",C951="IN",G951=3),((('CAFCO 400 '!$D$23*(J951^2)+'CAFCO 400 '!$D$24*(J951)+'CAFCO 400 '!$D$25)*U951^2)+(('CAFCO 400 '!$D$26*(J951^2)+'CAFCO 400 '!$D$27*J951+'CAFCO 400 '!$D$28)*U951)+('CAFCO 400 '!$D$29*(J951^2)+'CAFCO 400 '!$D$30*J951+'CAFCO 400 '!$D$31)),0),0)+IF(AND(L951="Cafco 300",J951&gt;=95,J951&lt;=240,C951="Cj",I951=90),VLOOKUP(T951,'CAFCO 300 IDIEM TABLAS'!$B$4:$D$23,2,FALSE),0)+IF(AND(L951="Cafco 300",J951&gt;=95,J951&lt;=240,C951="Cj",I951=120),VLOOKUP(T951,'CAFCO 300 IDIEM TABLAS'!$B$4:$D$23,3,FALSE),0)+IF(AND(L951="Cafco 300",J951&gt;=95,J951&lt;=400,G951=3,C951="IN",I951=90),VLOOKUP(T951,'CAFCO 300 IDIEM TABLAS'!$F$4:$H$35,2,FALSE),0)+IF(AND(L951="Cafco 300",J951&gt;=95,J951&lt;=400,G951=3,C951="IN",I951=120),VLOOKUP(T951,'CAFCO 300 IDIEM TABLAS'!$F$4:$H$35,3,FALSE),0)+IF(AND(L951="Cafco 300",J951&gt;=95,J951&lt;=450,G951=4,C951="IN",I951=90),VLOOKUP(T951,'CAFCO 300 IDIEM TABLAS'!$J$4:$L$40,2,FALSE),0)+IF(AND(L951="Cafco 300",J951&gt;=95,J951&lt;=450,G951=4,C951="IN",I951=120),VLOOKUP(T951,'CAFCO 300 IDIEM TABLAS'!$J$4:$L$40,3,FALSE),0)+IF(AND(M951="Ensayo Idiem",L951="Cafco 400",C951="IN",G951=4,I951=90),VLOOKUP(T951,'CAFCO 400 ENSAYO'!$B$7:$D$43,2,FALSE),0)+IF(AND(M951="Ensayo Idiem",L951="Cafco 400",C951="IN",G951=4,I951=120),VLOOKUP(T951,'CAFCO 400 ENSAYO'!$B$7:$D$43,3,FALSE),0)</f>
        <v>0</v>
      </c>
      <c r="O951" s="96">
        <f t="shared" si="96"/>
        <v>0</v>
      </c>
      <c r="P951" s="132" t="str">
        <f t="shared" si="97"/>
        <v>N/A</v>
      </c>
      <c r="Q951" s="132" t="str">
        <f t="shared" si="98"/>
        <v>N/A</v>
      </c>
      <c r="R951" s="132" t="str">
        <f t="shared" si="99"/>
        <v>NO CERT.</v>
      </c>
      <c r="S951" s="132" t="e">
        <f t="shared" si="100"/>
        <v>#N/A</v>
      </c>
      <c r="T951" s="133" t="e">
        <f>+IF(J951=LOOKUP(J951,'CAFCO 300 IDIEM TABLAS'!$J$4:$J$40),'CALCULO MORTERO'!J951,MROUND('CALCULO MORTERO'!J951,10))</f>
        <v>#N/A</v>
      </c>
      <c r="U951" s="134">
        <f t="shared" si="101"/>
        <v>0</v>
      </c>
    </row>
    <row r="952" spans="1:21" x14ac:dyDescent="0.25">
      <c r="A952" s="118">
        <f>+CUBICACION!D946</f>
        <v>0</v>
      </c>
      <c r="B952" s="819">
        <f>+CUBICACION!E946</f>
        <v>0</v>
      </c>
      <c r="C952" s="675">
        <f>+CUBICACION!F946</f>
        <v>0</v>
      </c>
      <c r="D952" s="118"/>
      <c r="E952" s="118"/>
      <c r="F952" s="820"/>
      <c r="G952" s="675">
        <f>+CUBICACION!J946</f>
        <v>0</v>
      </c>
      <c r="H952" s="118"/>
      <c r="I952" s="821">
        <f>+CUBICACION!L946</f>
        <v>0</v>
      </c>
      <c r="J952" s="64">
        <f>+CUBICACION!M946</f>
        <v>0</v>
      </c>
      <c r="K952" s="822" t="str">
        <f>+CUBICACION!N946</f>
        <v/>
      </c>
      <c r="L952" s="118">
        <f>+CUBICACION!O946</f>
        <v>0</v>
      </c>
      <c r="M952" s="823">
        <f>+CUBICACION!P946</f>
        <v>0</v>
      </c>
      <c r="N952" s="902">
        <f>ROUND(IF(AND(L952="Blaze Shield II",M952="Software Idiem",C952="IN",G952=4),((('BLAZE SHIELD II'!$D$4*('CALCULO MORTERO'!I952^2)+'BLAZE SHIELD II'!$D$5*'CALCULO MORTERO'!I952+'BLAZE SHIELD II'!$D$6)*LN(J952))+('BLAZE SHIELD II'!$D$7*('CALCULO MORTERO'!I952^2)+'BLAZE SHIELD II'!$D$8*'CALCULO MORTERO'!I952+'BLAZE SHIELD II'!$D$9)),0)+IF(AND(L952="Blaze Shield II",M952="Software Idiem",C952="Cj"),((('BLAZE SHIELD II'!$H$4*('CALCULO MORTERO'!I952^2)+'BLAZE SHIELD II'!$H$5*'CALCULO MORTERO'!I952+'BLAZE SHIELD II'!$H$6)*LN(J952))+('BLAZE SHIELD II'!$H$7*('CALCULO MORTERO'!I952^2)+'BLAZE SHIELD II'!$H$8*'CALCULO MORTERO'!I952+'BLAZE SHIELD II'!$H$9)),0)+IF(AND(L952="Blaze Shield II",M952="Software Idiem",C952="C"),((('BLAZE SHIELD II'!$L$4*('CALCULO MORTERO'!I952^2)+'BLAZE SHIELD II'!$L$5*'CALCULO MORTERO'!I952+'BLAZE SHIELD II'!$L$6)*LN(J952))+('BLAZE SHIELD II'!$L$7*('CALCULO MORTERO'!I952^2)+'BLAZE SHIELD II'!$L$8*'CALCULO MORTERO'!I952+'BLAZE SHIELD II'!$L$9)),0)+IF(AND(L952="Blaze Shield II",M952="Software Idiem",C952="L"),((('BLAZE SHIELD II'!$L$4*('CALCULO MORTERO'!I952^2)+'BLAZE SHIELD II'!$L$5*'CALCULO MORTERO'!I952+'BLAZE SHIELD II'!$L$6)*LN(J952))+('BLAZE SHIELD II'!$L$7*('CALCULO MORTERO'!I952^2)+'BLAZE SHIELD II'!$L$8*'CALCULO MORTERO'!I952+'BLAZE SHIELD II'!$L$9)),0)+IF(AND(L952="Blaze Shield II",M952="Software Idiem",C952="IN",G952=3),((('BLAZE SHIELD II'!$H$14*('CALCULO MORTERO'!I952^2)+'BLAZE SHIELD II'!$H$15*'CALCULO MORTERO'!I952+'BLAZE SHIELD II'!$H$16)*LN(J952))+('BLAZE SHIELD II'!$H$17*('CALCULO MORTERO'!I952^2)+'BLAZE SHIELD II'!$H$18*'CALCULO MORTERO'!I952+'BLAZE SHIELD II'!$H$19)),0),0)+ROUND(IF(AND(L952="Cafco 400",M952="Software Idiem",C952="IN",G952=4),((('CAFCO 400 '!$H$7*(J952^4)+'CAFCO 400 '!$H$8*(J952^3)+'CAFCO 400 '!$H$9*(J952^2)+'CAFCO 400 '!$H$10*J952+'CAFCO 400 '!$H$11)*U952^2)+(('CAFCO 400 '!$H$12*(J952^3)+'CAFCO 400 '!$H$13*(J952^2)+'CAFCO 400 '!$H$14*J952+'CAFCO 400 '!$H$15)*U952)+('CAFCO 400 '!$H$16*(J952^2)+'CAFCO 400 '!$H$17*J952+'CAFCO 400 '!$H$18)),0)+IF(AND(L952="Cafco 400",M952="Software Idiem",C952="Cj"),(((('CAFCO 400 '!$D$7*LN(J952)+'CAFCO 400 '!$D$8)*U952^2)+(('CAFCO 400 '!$D$9*LN(J952)+'CAFCO 400 '!$D$10)*U952)+('CAFCO 400 '!$D$11*LN(J952)+'CAFCO 400 '!$D$12))),0)+IF(AND(L952="Cafco 400",M952="Software Idiem",C952="C"),((('CAFCO 400 '!$L$7*(J952^3)+'CAFCO 400 '!$L$8*(J952^2)+'CAFCO 400 '!$L$9*J952+'CAFCO 400 '!$L$10)*U952^2)+(('CAFCO 400 '!$L$11*(J952^3)+'CAFCO 400 '!$L$12*(J952^2)+'CAFCO 400 '!$L$13*J952+'CAFCO 400 '!$L$14)*U952)+('CAFCO 400 '!$L$15*LN(J952)+'CAFCO 400 '!$L$16)),0)+IF(AND(L952="Cafco 400",M952="Software Idiem",C952="L"),((('CAFCO 400 '!$L$7*(J952^3)+'CAFCO 400 '!$L$8*(J952^2)+'CAFCO 400 '!$L$9*J952+'CAFCO 400 '!$L$10)*U952^2)+(('CAFCO 400 '!$L$11*(J952^3)+'CAFCO 400 '!$L$12*(J952^2)+'CAFCO 400 '!$L$13*J952+'CAFCO 400 '!$L$14)*U952)+('CAFCO 400 '!$L$15*LN(J952)+'CAFCO 400 '!$L$16)),0)+IF(AND(L952="Cafco 400",M952="Software Idiem",C952="IN",G952=3),((('CAFCO 400 '!$D$23*(J952^2)+'CAFCO 400 '!$D$24*(J952)+'CAFCO 400 '!$D$25)*U952^2)+(('CAFCO 400 '!$D$26*(J952^2)+'CAFCO 400 '!$D$27*J952+'CAFCO 400 '!$D$28)*U952)+('CAFCO 400 '!$D$29*(J952^2)+'CAFCO 400 '!$D$30*J952+'CAFCO 400 '!$D$31)),0),0)+IF(AND(L952="Cafco 300",J952&gt;=95,J952&lt;=240,C952="Cj",I952=90),VLOOKUP(T952,'CAFCO 300 IDIEM TABLAS'!$B$4:$D$23,2,FALSE),0)+IF(AND(L952="Cafco 300",J952&gt;=95,J952&lt;=240,C952="Cj",I952=120),VLOOKUP(T952,'CAFCO 300 IDIEM TABLAS'!$B$4:$D$23,3,FALSE),0)+IF(AND(L952="Cafco 300",J952&gt;=95,J952&lt;=400,G952=3,C952="IN",I952=90),VLOOKUP(T952,'CAFCO 300 IDIEM TABLAS'!$F$4:$H$35,2,FALSE),0)+IF(AND(L952="Cafco 300",J952&gt;=95,J952&lt;=400,G952=3,C952="IN",I952=120),VLOOKUP(T952,'CAFCO 300 IDIEM TABLAS'!$F$4:$H$35,3,FALSE),0)+IF(AND(L952="Cafco 300",J952&gt;=95,J952&lt;=450,G952=4,C952="IN",I952=90),VLOOKUP(T952,'CAFCO 300 IDIEM TABLAS'!$J$4:$L$40,2,FALSE),0)+IF(AND(L952="Cafco 300",J952&gt;=95,J952&lt;=450,G952=4,C952="IN",I952=120),VLOOKUP(T952,'CAFCO 300 IDIEM TABLAS'!$J$4:$L$40,3,FALSE),0)+IF(AND(M952="Ensayo Idiem",L952="Cafco 400",C952="IN",G952=4,I952=90),VLOOKUP(T952,'CAFCO 400 ENSAYO'!$B$7:$D$43,2,FALSE),0)+IF(AND(M952="Ensayo Idiem",L952="Cafco 400",C952="IN",G952=4,I952=120),VLOOKUP(T952,'CAFCO 400 ENSAYO'!$B$7:$D$43,3,FALSE),0)</f>
        <v>0</v>
      </c>
      <c r="O952" s="96">
        <f t="shared" si="96"/>
        <v>0</v>
      </c>
      <c r="P952" s="95" t="str">
        <f t="shared" si="97"/>
        <v>N/A</v>
      </c>
      <c r="Q952" s="95" t="str">
        <f t="shared" si="98"/>
        <v>N/A</v>
      </c>
      <c r="R952" s="95" t="str">
        <f t="shared" si="99"/>
        <v>NO CERT.</v>
      </c>
      <c r="S952" s="95" t="e">
        <f t="shared" si="100"/>
        <v>#N/A</v>
      </c>
      <c r="T952" s="119" t="e">
        <f>+IF(J952=LOOKUP(J952,'CAFCO 300 IDIEM TABLAS'!$J$4:$J$40),'CALCULO MORTERO'!J952,MROUND('CALCULO MORTERO'!J952,10))</f>
        <v>#N/A</v>
      </c>
      <c r="U952" s="118">
        <f t="shared" si="101"/>
        <v>0</v>
      </c>
    </row>
    <row r="953" spans="1:21" x14ac:dyDescent="0.25">
      <c r="A953" s="118">
        <f>+CUBICACION!D947</f>
        <v>0</v>
      </c>
      <c r="B953" s="819">
        <f>+CUBICACION!E947</f>
        <v>0</v>
      </c>
      <c r="C953" s="675">
        <f>+CUBICACION!F947</f>
        <v>0</v>
      </c>
      <c r="D953" s="118"/>
      <c r="E953" s="118"/>
      <c r="F953" s="820"/>
      <c r="G953" s="675">
        <f>+CUBICACION!J947</f>
        <v>0</v>
      </c>
      <c r="H953" s="118"/>
      <c r="I953" s="821">
        <f>+CUBICACION!L947</f>
        <v>0</v>
      </c>
      <c r="J953" s="64">
        <f>+CUBICACION!M947</f>
        <v>0</v>
      </c>
      <c r="K953" s="822" t="str">
        <f>+CUBICACION!N947</f>
        <v/>
      </c>
      <c r="L953" s="118">
        <f>+CUBICACION!O947</f>
        <v>0</v>
      </c>
      <c r="M953" s="823">
        <f>+CUBICACION!P947</f>
        <v>0</v>
      </c>
      <c r="N953" s="902">
        <f>ROUND(IF(AND(L953="Blaze Shield II",M953="Software Idiem",C953="IN",G953=4),((('BLAZE SHIELD II'!$D$4*('CALCULO MORTERO'!I953^2)+'BLAZE SHIELD II'!$D$5*'CALCULO MORTERO'!I953+'BLAZE SHIELD II'!$D$6)*LN(J953))+('BLAZE SHIELD II'!$D$7*('CALCULO MORTERO'!I953^2)+'BLAZE SHIELD II'!$D$8*'CALCULO MORTERO'!I953+'BLAZE SHIELD II'!$D$9)),0)+IF(AND(L953="Blaze Shield II",M953="Software Idiem",C953="Cj"),((('BLAZE SHIELD II'!$H$4*('CALCULO MORTERO'!I953^2)+'BLAZE SHIELD II'!$H$5*'CALCULO MORTERO'!I953+'BLAZE SHIELD II'!$H$6)*LN(J953))+('BLAZE SHIELD II'!$H$7*('CALCULO MORTERO'!I953^2)+'BLAZE SHIELD II'!$H$8*'CALCULO MORTERO'!I953+'BLAZE SHIELD II'!$H$9)),0)+IF(AND(L953="Blaze Shield II",M953="Software Idiem",C953="C"),((('BLAZE SHIELD II'!$L$4*('CALCULO MORTERO'!I953^2)+'BLAZE SHIELD II'!$L$5*'CALCULO MORTERO'!I953+'BLAZE SHIELD II'!$L$6)*LN(J953))+('BLAZE SHIELD II'!$L$7*('CALCULO MORTERO'!I953^2)+'BLAZE SHIELD II'!$L$8*'CALCULO MORTERO'!I953+'BLAZE SHIELD II'!$L$9)),0)+IF(AND(L953="Blaze Shield II",M953="Software Idiem",C953="L"),((('BLAZE SHIELD II'!$L$4*('CALCULO MORTERO'!I953^2)+'BLAZE SHIELD II'!$L$5*'CALCULO MORTERO'!I953+'BLAZE SHIELD II'!$L$6)*LN(J953))+('BLAZE SHIELD II'!$L$7*('CALCULO MORTERO'!I953^2)+'BLAZE SHIELD II'!$L$8*'CALCULO MORTERO'!I953+'BLAZE SHIELD II'!$L$9)),0)+IF(AND(L953="Blaze Shield II",M953="Software Idiem",C953="IN",G953=3),((('BLAZE SHIELD II'!$H$14*('CALCULO MORTERO'!I953^2)+'BLAZE SHIELD II'!$H$15*'CALCULO MORTERO'!I953+'BLAZE SHIELD II'!$H$16)*LN(J953))+('BLAZE SHIELD II'!$H$17*('CALCULO MORTERO'!I953^2)+'BLAZE SHIELD II'!$H$18*'CALCULO MORTERO'!I953+'BLAZE SHIELD II'!$H$19)),0),0)+ROUND(IF(AND(L953="Cafco 400",M953="Software Idiem",C953="IN",G953=4),((('CAFCO 400 '!$H$7*(J953^4)+'CAFCO 400 '!$H$8*(J953^3)+'CAFCO 400 '!$H$9*(J953^2)+'CAFCO 400 '!$H$10*J953+'CAFCO 400 '!$H$11)*U953^2)+(('CAFCO 400 '!$H$12*(J953^3)+'CAFCO 400 '!$H$13*(J953^2)+'CAFCO 400 '!$H$14*J953+'CAFCO 400 '!$H$15)*U953)+('CAFCO 400 '!$H$16*(J953^2)+'CAFCO 400 '!$H$17*J953+'CAFCO 400 '!$H$18)),0)+IF(AND(L953="Cafco 400",M953="Software Idiem",C953="Cj"),(((('CAFCO 400 '!$D$7*LN(J953)+'CAFCO 400 '!$D$8)*U953^2)+(('CAFCO 400 '!$D$9*LN(J953)+'CAFCO 400 '!$D$10)*U953)+('CAFCO 400 '!$D$11*LN(J953)+'CAFCO 400 '!$D$12))),0)+IF(AND(L953="Cafco 400",M953="Software Idiem",C953="C"),((('CAFCO 400 '!$L$7*(J953^3)+'CAFCO 400 '!$L$8*(J953^2)+'CAFCO 400 '!$L$9*J953+'CAFCO 400 '!$L$10)*U953^2)+(('CAFCO 400 '!$L$11*(J953^3)+'CAFCO 400 '!$L$12*(J953^2)+'CAFCO 400 '!$L$13*J953+'CAFCO 400 '!$L$14)*U953)+('CAFCO 400 '!$L$15*LN(J953)+'CAFCO 400 '!$L$16)),0)+IF(AND(L953="Cafco 400",M953="Software Idiem",C953="L"),((('CAFCO 400 '!$L$7*(J953^3)+'CAFCO 400 '!$L$8*(J953^2)+'CAFCO 400 '!$L$9*J953+'CAFCO 400 '!$L$10)*U953^2)+(('CAFCO 400 '!$L$11*(J953^3)+'CAFCO 400 '!$L$12*(J953^2)+'CAFCO 400 '!$L$13*J953+'CAFCO 400 '!$L$14)*U953)+('CAFCO 400 '!$L$15*LN(J953)+'CAFCO 400 '!$L$16)),0)+IF(AND(L953="Cafco 400",M953="Software Idiem",C953="IN",G953=3),((('CAFCO 400 '!$D$23*(J953^2)+'CAFCO 400 '!$D$24*(J953)+'CAFCO 400 '!$D$25)*U953^2)+(('CAFCO 400 '!$D$26*(J953^2)+'CAFCO 400 '!$D$27*J953+'CAFCO 400 '!$D$28)*U953)+('CAFCO 400 '!$D$29*(J953^2)+'CAFCO 400 '!$D$30*J953+'CAFCO 400 '!$D$31)),0),0)+IF(AND(L953="Cafco 300",J953&gt;=95,J953&lt;=240,C953="Cj",I953=90),VLOOKUP(T953,'CAFCO 300 IDIEM TABLAS'!$B$4:$D$23,2,FALSE),0)+IF(AND(L953="Cafco 300",J953&gt;=95,J953&lt;=240,C953="Cj",I953=120),VLOOKUP(T953,'CAFCO 300 IDIEM TABLAS'!$B$4:$D$23,3,FALSE),0)+IF(AND(L953="Cafco 300",J953&gt;=95,J953&lt;=400,G953=3,C953="IN",I953=90),VLOOKUP(T953,'CAFCO 300 IDIEM TABLAS'!$F$4:$H$35,2,FALSE),0)+IF(AND(L953="Cafco 300",J953&gt;=95,J953&lt;=400,G953=3,C953="IN",I953=120),VLOOKUP(T953,'CAFCO 300 IDIEM TABLAS'!$F$4:$H$35,3,FALSE),0)+IF(AND(L953="Cafco 300",J953&gt;=95,J953&lt;=450,G953=4,C953="IN",I953=90),VLOOKUP(T953,'CAFCO 300 IDIEM TABLAS'!$J$4:$L$40,2,FALSE),0)+IF(AND(L953="Cafco 300",J953&gt;=95,J953&lt;=450,G953=4,C953="IN",I953=120),VLOOKUP(T953,'CAFCO 300 IDIEM TABLAS'!$J$4:$L$40,3,FALSE),0)+IF(AND(M953="Ensayo Idiem",L953="Cafco 400",C953="IN",G953=4,I953=90),VLOOKUP(T953,'CAFCO 400 ENSAYO'!$B$7:$D$43,2,FALSE),0)+IF(AND(M953="Ensayo Idiem",L953="Cafco 400",C953="IN",G953=4,I953=120),VLOOKUP(T953,'CAFCO 400 ENSAYO'!$B$7:$D$43,3,FALSE),0)</f>
        <v>0</v>
      </c>
      <c r="O953" s="96">
        <f t="shared" si="96"/>
        <v>0</v>
      </c>
      <c r="P953" s="132" t="str">
        <f t="shared" si="97"/>
        <v>N/A</v>
      </c>
      <c r="Q953" s="132" t="str">
        <f t="shared" si="98"/>
        <v>N/A</v>
      </c>
      <c r="R953" s="132" t="str">
        <f t="shared" si="99"/>
        <v>NO CERT.</v>
      </c>
      <c r="S953" s="132" t="e">
        <f t="shared" si="100"/>
        <v>#N/A</v>
      </c>
      <c r="T953" s="133" t="e">
        <f>+IF(J953=LOOKUP(J953,'CAFCO 300 IDIEM TABLAS'!$J$4:$J$40),'CALCULO MORTERO'!J953,MROUND('CALCULO MORTERO'!J953,10))</f>
        <v>#N/A</v>
      </c>
      <c r="U953" s="134">
        <f t="shared" si="101"/>
        <v>0</v>
      </c>
    </row>
    <row r="954" spans="1:21" x14ac:dyDescent="0.25">
      <c r="A954" s="118">
        <f>+CUBICACION!D948</f>
        <v>0</v>
      </c>
      <c r="B954" s="819">
        <f>+CUBICACION!E948</f>
        <v>0</v>
      </c>
      <c r="C954" s="675">
        <f>+CUBICACION!F948</f>
        <v>0</v>
      </c>
      <c r="D954" s="118"/>
      <c r="E954" s="118"/>
      <c r="F954" s="820"/>
      <c r="G954" s="675">
        <f>+CUBICACION!J948</f>
        <v>0</v>
      </c>
      <c r="H954" s="118"/>
      <c r="I954" s="821">
        <f>+CUBICACION!L948</f>
        <v>0</v>
      </c>
      <c r="J954" s="64">
        <f>+CUBICACION!M948</f>
        <v>0</v>
      </c>
      <c r="K954" s="822" t="str">
        <f>+CUBICACION!N948</f>
        <v/>
      </c>
      <c r="L954" s="118">
        <f>+CUBICACION!O948</f>
        <v>0</v>
      </c>
      <c r="M954" s="823">
        <f>+CUBICACION!P948</f>
        <v>0</v>
      </c>
      <c r="N954" s="902">
        <f>ROUND(IF(AND(L954="Blaze Shield II",M954="Software Idiem",C954="IN",G954=4),((('BLAZE SHIELD II'!$D$4*('CALCULO MORTERO'!I954^2)+'BLAZE SHIELD II'!$D$5*'CALCULO MORTERO'!I954+'BLAZE SHIELD II'!$D$6)*LN(J954))+('BLAZE SHIELD II'!$D$7*('CALCULO MORTERO'!I954^2)+'BLAZE SHIELD II'!$D$8*'CALCULO MORTERO'!I954+'BLAZE SHIELD II'!$D$9)),0)+IF(AND(L954="Blaze Shield II",M954="Software Idiem",C954="Cj"),((('BLAZE SHIELD II'!$H$4*('CALCULO MORTERO'!I954^2)+'BLAZE SHIELD II'!$H$5*'CALCULO MORTERO'!I954+'BLAZE SHIELD II'!$H$6)*LN(J954))+('BLAZE SHIELD II'!$H$7*('CALCULO MORTERO'!I954^2)+'BLAZE SHIELD II'!$H$8*'CALCULO MORTERO'!I954+'BLAZE SHIELD II'!$H$9)),0)+IF(AND(L954="Blaze Shield II",M954="Software Idiem",C954="C"),((('BLAZE SHIELD II'!$L$4*('CALCULO MORTERO'!I954^2)+'BLAZE SHIELD II'!$L$5*'CALCULO MORTERO'!I954+'BLAZE SHIELD II'!$L$6)*LN(J954))+('BLAZE SHIELD II'!$L$7*('CALCULO MORTERO'!I954^2)+'BLAZE SHIELD II'!$L$8*'CALCULO MORTERO'!I954+'BLAZE SHIELD II'!$L$9)),0)+IF(AND(L954="Blaze Shield II",M954="Software Idiem",C954="L"),((('BLAZE SHIELD II'!$L$4*('CALCULO MORTERO'!I954^2)+'BLAZE SHIELD II'!$L$5*'CALCULO MORTERO'!I954+'BLAZE SHIELD II'!$L$6)*LN(J954))+('BLAZE SHIELD II'!$L$7*('CALCULO MORTERO'!I954^2)+'BLAZE SHIELD II'!$L$8*'CALCULO MORTERO'!I954+'BLAZE SHIELD II'!$L$9)),0)+IF(AND(L954="Blaze Shield II",M954="Software Idiem",C954="IN",G954=3),((('BLAZE SHIELD II'!$H$14*('CALCULO MORTERO'!I954^2)+'BLAZE SHIELD II'!$H$15*'CALCULO MORTERO'!I954+'BLAZE SHIELD II'!$H$16)*LN(J954))+('BLAZE SHIELD II'!$H$17*('CALCULO MORTERO'!I954^2)+'BLAZE SHIELD II'!$H$18*'CALCULO MORTERO'!I954+'BLAZE SHIELD II'!$H$19)),0),0)+ROUND(IF(AND(L954="Cafco 400",M954="Software Idiem",C954="IN",G954=4),((('CAFCO 400 '!$H$7*(J954^4)+'CAFCO 400 '!$H$8*(J954^3)+'CAFCO 400 '!$H$9*(J954^2)+'CAFCO 400 '!$H$10*J954+'CAFCO 400 '!$H$11)*U954^2)+(('CAFCO 400 '!$H$12*(J954^3)+'CAFCO 400 '!$H$13*(J954^2)+'CAFCO 400 '!$H$14*J954+'CAFCO 400 '!$H$15)*U954)+('CAFCO 400 '!$H$16*(J954^2)+'CAFCO 400 '!$H$17*J954+'CAFCO 400 '!$H$18)),0)+IF(AND(L954="Cafco 400",M954="Software Idiem",C954="Cj"),(((('CAFCO 400 '!$D$7*LN(J954)+'CAFCO 400 '!$D$8)*U954^2)+(('CAFCO 400 '!$D$9*LN(J954)+'CAFCO 400 '!$D$10)*U954)+('CAFCO 400 '!$D$11*LN(J954)+'CAFCO 400 '!$D$12))),0)+IF(AND(L954="Cafco 400",M954="Software Idiem",C954="C"),((('CAFCO 400 '!$L$7*(J954^3)+'CAFCO 400 '!$L$8*(J954^2)+'CAFCO 400 '!$L$9*J954+'CAFCO 400 '!$L$10)*U954^2)+(('CAFCO 400 '!$L$11*(J954^3)+'CAFCO 400 '!$L$12*(J954^2)+'CAFCO 400 '!$L$13*J954+'CAFCO 400 '!$L$14)*U954)+('CAFCO 400 '!$L$15*LN(J954)+'CAFCO 400 '!$L$16)),0)+IF(AND(L954="Cafco 400",M954="Software Idiem",C954="L"),((('CAFCO 400 '!$L$7*(J954^3)+'CAFCO 400 '!$L$8*(J954^2)+'CAFCO 400 '!$L$9*J954+'CAFCO 400 '!$L$10)*U954^2)+(('CAFCO 400 '!$L$11*(J954^3)+'CAFCO 400 '!$L$12*(J954^2)+'CAFCO 400 '!$L$13*J954+'CAFCO 400 '!$L$14)*U954)+('CAFCO 400 '!$L$15*LN(J954)+'CAFCO 400 '!$L$16)),0)+IF(AND(L954="Cafco 400",M954="Software Idiem",C954="IN",G954=3),((('CAFCO 400 '!$D$23*(J954^2)+'CAFCO 400 '!$D$24*(J954)+'CAFCO 400 '!$D$25)*U954^2)+(('CAFCO 400 '!$D$26*(J954^2)+'CAFCO 400 '!$D$27*J954+'CAFCO 400 '!$D$28)*U954)+('CAFCO 400 '!$D$29*(J954^2)+'CAFCO 400 '!$D$30*J954+'CAFCO 400 '!$D$31)),0),0)+IF(AND(L954="Cafco 300",J954&gt;=95,J954&lt;=240,C954="Cj",I954=90),VLOOKUP(T954,'CAFCO 300 IDIEM TABLAS'!$B$4:$D$23,2,FALSE),0)+IF(AND(L954="Cafco 300",J954&gt;=95,J954&lt;=240,C954="Cj",I954=120),VLOOKUP(T954,'CAFCO 300 IDIEM TABLAS'!$B$4:$D$23,3,FALSE),0)+IF(AND(L954="Cafco 300",J954&gt;=95,J954&lt;=400,G954=3,C954="IN",I954=90),VLOOKUP(T954,'CAFCO 300 IDIEM TABLAS'!$F$4:$H$35,2,FALSE),0)+IF(AND(L954="Cafco 300",J954&gt;=95,J954&lt;=400,G954=3,C954="IN",I954=120),VLOOKUP(T954,'CAFCO 300 IDIEM TABLAS'!$F$4:$H$35,3,FALSE),0)+IF(AND(L954="Cafco 300",J954&gt;=95,J954&lt;=450,G954=4,C954="IN",I954=90),VLOOKUP(T954,'CAFCO 300 IDIEM TABLAS'!$J$4:$L$40,2,FALSE),0)+IF(AND(L954="Cafco 300",J954&gt;=95,J954&lt;=450,G954=4,C954="IN",I954=120),VLOOKUP(T954,'CAFCO 300 IDIEM TABLAS'!$J$4:$L$40,3,FALSE),0)+IF(AND(M954="Ensayo Idiem",L954="Cafco 400",C954="IN",G954=4,I954=90),VLOOKUP(T954,'CAFCO 400 ENSAYO'!$B$7:$D$43,2,FALSE),0)+IF(AND(M954="Ensayo Idiem",L954="Cafco 400",C954="IN",G954=4,I954=120),VLOOKUP(T954,'CAFCO 400 ENSAYO'!$B$7:$D$43,3,FALSE),0)</f>
        <v>0</v>
      </c>
      <c r="O954" s="96">
        <f t="shared" si="96"/>
        <v>0</v>
      </c>
      <c r="P954" s="95" t="str">
        <f t="shared" si="97"/>
        <v>N/A</v>
      </c>
      <c r="Q954" s="95" t="str">
        <f t="shared" si="98"/>
        <v>N/A</v>
      </c>
      <c r="R954" s="95" t="str">
        <f t="shared" si="99"/>
        <v>NO CERT.</v>
      </c>
      <c r="S954" s="95" t="e">
        <f t="shared" si="100"/>
        <v>#N/A</v>
      </c>
      <c r="T954" s="119" t="e">
        <f>+IF(J954=LOOKUP(J954,'CAFCO 300 IDIEM TABLAS'!$J$4:$J$40),'CALCULO MORTERO'!J954,MROUND('CALCULO MORTERO'!J954,10))</f>
        <v>#N/A</v>
      </c>
      <c r="U954" s="118">
        <f t="shared" si="101"/>
        <v>0</v>
      </c>
    </row>
    <row r="955" spans="1:21" x14ac:dyDescent="0.25">
      <c r="A955" s="118">
        <f>+CUBICACION!D949</f>
        <v>0</v>
      </c>
      <c r="B955" s="819">
        <f>+CUBICACION!E949</f>
        <v>0</v>
      </c>
      <c r="C955" s="675">
        <f>+CUBICACION!F949</f>
        <v>0</v>
      </c>
      <c r="D955" s="118"/>
      <c r="E955" s="118"/>
      <c r="F955" s="820"/>
      <c r="G955" s="675">
        <f>+CUBICACION!J949</f>
        <v>0</v>
      </c>
      <c r="H955" s="118"/>
      <c r="I955" s="821">
        <f>+CUBICACION!L949</f>
        <v>0</v>
      </c>
      <c r="J955" s="64">
        <f>+CUBICACION!M949</f>
        <v>0</v>
      </c>
      <c r="K955" s="822" t="str">
        <f>+CUBICACION!N949</f>
        <v/>
      </c>
      <c r="L955" s="118">
        <f>+CUBICACION!O949</f>
        <v>0</v>
      </c>
      <c r="M955" s="823">
        <f>+CUBICACION!P949</f>
        <v>0</v>
      </c>
      <c r="N955" s="902">
        <f>ROUND(IF(AND(L955="Blaze Shield II",M955="Software Idiem",C955="IN",G955=4),((('BLAZE SHIELD II'!$D$4*('CALCULO MORTERO'!I955^2)+'BLAZE SHIELD II'!$D$5*'CALCULO MORTERO'!I955+'BLAZE SHIELD II'!$D$6)*LN(J955))+('BLAZE SHIELD II'!$D$7*('CALCULO MORTERO'!I955^2)+'BLAZE SHIELD II'!$D$8*'CALCULO MORTERO'!I955+'BLAZE SHIELD II'!$D$9)),0)+IF(AND(L955="Blaze Shield II",M955="Software Idiem",C955="Cj"),((('BLAZE SHIELD II'!$H$4*('CALCULO MORTERO'!I955^2)+'BLAZE SHIELD II'!$H$5*'CALCULO MORTERO'!I955+'BLAZE SHIELD II'!$H$6)*LN(J955))+('BLAZE SHIELD II'!$H$7*('CALCULO MORTERO'!I955^2)+'BLAZE SHIELD II'!$H$8*'CALCULO MORTERO'!I955+'BLAZE SHIELD II'!$H$9)),0)+IF(AND(L955="Blaze Shield II",M955="Software Idiem",C955="C"),((('BLAZE SHIELD II'!$L$4*('CALCULO MORTERO'!I955^2)+'BLAZE SHIELD II'!$L$5*'CALCULO MORTERO'!I955+'BLAZE SHIELD II'!$L$6)*LN(J955))+('BLAZE SHIELD II'!$L$7*('CALCULO MORTERO'!I955^2)+'BLAZE SHIELD II'!$L$8*'CALCULO MORTERO'!I955+'BLAZE SHIELD II'!$L$9)),0)+IF(AND(L955="Blaze Shield II",M955="Software Idiem",C955="L"),((('BLAZE SHIELD II'!$L$4*('CALCULO MORTERO'!I955^2)+'BLAZE SHIELD II'!$L$5*'CALCULO MORTERO'!I955+'BLAZE SHIELD II'!$L$6)*LN(J955))+('BLAZE SHIELD II'!$L$7*('CALCULO MORTERO'!I955^2)+'BLAZE SHIELD II'!$L$8*'CALCULO MORTERO'!I955+'BLAZE SHIELD II'!$L$9)),0)+IF(AND(L955="Blaze Shield II",M955="Software Idiem",C955="IN",G955=3),((('BLAZE SHIELD II'!$H$14*('CALCULO MORTERO'!I955^2)+'BLAZE SHIELD II'!$H$15*'CALCULO MORTERO'!I955+'BLAZE SHIELD II'!$H$16)*LN(J955))+('BLAZE SHIELD II'!$H$17*('CALCULO MORTERO'!I955^2)+'BLAZE SHIELD II'!$H$18*'CALCULO MORTERO'!I955+'BLAZE SHIELD II'!$H$19)),0),0)+ROUND(IF(AND(L955="Cafco 400",M955="Software Idiem",C955="IN",G955=4),((('CAFCO 400 '!$H$7*(J955^4)+'CAFCO 400 '!$H$8*(J955^3)+'CAFCO 400 '!$H$9*(J955^2)+'CAFCO 400 '!$H$10*J955+'CAFCO 400 '!$H$11)*U955^2)+(('CAFCO 400 '!$H$12*(J955^3)+'CAFCO 400 '!$H$13*(J955^2)+'CAFCO 400 '!$H$14*J955+'CAFCO 400 '!$H$15)*U955)+('CAFCO 400 '!$H$16*(J955^2)+'CAFCO 400 '!$H$17*J955+'CAFCO 400 '!$H$18)),0)+IF(AND(L955="Cafco 400",M955="Software Idiem",C955="Cj"),(((('CAFCO 400 '!$D$7*LN(J955)+'CAFCO 400 '!$D$8)*U955^2)+(('CAFCO 400 '!$D$9*LN(J955)+'CAFCO 400 '!$D$10)*U955)+('CAFCO 400 '!$D$11*LN(J955)+'CAFCO 400 '!$D$12))),0)+IF(AND(L955="Cafco 400",M955="Software Idiem",C955="C"),((('CAFCO 400 '!$L$7*(J955^3)+'CAFCO 400 '!$L$8*(J955^2)+'CAFCO 400 '!$L$9*J955+'CAFCO 400 '!$L$10)*U955^2)+(('CAFCO 400 '!$L$11*(J955^3)+'CAFCO 400 '!$L$12*(J955^2)+'CAFCO 400 '!$L$13*J955+'CAFCO 400 '!$L$14)*U955)+('CAFCO 400 '!$L$15*LN(J955)+'CAFCO 400 '!$L$16)),0)+IF(AND(L955="Cafco 400",M955="Software Idiem",C955="L"),((('CAFCO 400 '!$L$7*(J955^3)+'CAFCO 400 '!$L$8*(J955^2)+'CAFCO 400 '!$L$9*J955+'CAFCO 400 '!$L$10)*U955^2)+(('CAFCO 400 '!$L$11*(J955^3)+'CAFCO 400 '!$L$12*(J955^2)+'CAFCO 400 '!$L$13*J955+'CAFCO 400 '!$L$14)*U955)+('CAFCO 400 '!$L$15*LN(J955)+'CAFCO 400 '!$L$16)),0)+IF(AND(L955="Cafco 400",M955="Software Idiem",C955="IN",G955=3),((('CAFCO 400 '!$D$23*(J955^2)+'CAFCO 400 '!$D$24*(J955)+'CAFCO 400 '!$D$25)*U955^2)+(('CAFCO 400 '!$D$26*(J955^2)+'CAFCO 400 '!$D$27*J955+'CAFCO 400 '!$D$28)*U955)+('CAFCO 400 '!$D$29*(J955^2)+'CAFCO 400 '!$D$30*J955+'CAFCO 400 '!$D$31)),0),0)+IF(AND(L955="Cafco 300",J955&gt;=95,J955&lt;=240,C955="Cj",I955=90),VLOOKUP(T955,'CAFCO 300 IDIEM TABLAS'!$B$4:$D$23,2,FALSE),0)+IF(AND(L955="Cafco 300",J955&gt;=95,J955&lt;=240,C955="Cj",I955=120),VLOOKUP(T955,'CAFCO 300 IDIEM TABLAS'!$B$4:$D$23,3,FALSE),0)+IF(AND(L955="Cafco 300",J955&gt;=95,J955&lt;=400,G955=3,C955="IN",I955=90),VLOOKUP(T955,'CAFCO 300 IDIEM TABLAS'!$F$4:$H$35,2,FALSE),0)+IF(AND(L955="Cafco 300",J955&gt;=95,J955&lt;=400,G955=3,C955="IN",I955=120),VLOOKUP(T955,'CAFCO 300 IDIEM TABLAS'!$F$4:$H$35,3,FALSE),0)+IF(AND(L955="Cafco 300",J955&gt;=95,J955&lt;=450,G955=4,C955="IN",I955=90),VLOOKUP(T955,'CAFCO 300 IDIEM TABLAS'!$J$4:$L$40,2,FALSE),0)+IF(AND(L955="Cafco 300",J955&gt;=95,J955&lt;=450,G955=4,C955="IN",I955=120),VLOOKUP(T955,'CAFCO 300 IDIEM TABLAS'!$J$4:$L$40,3,FALSE),0)+IF(AND(M955="Ensayo Idiem",L955="Cafco 400",C955="IN",G955=4,I955=90),VLOOKUP(T955,'CAFCO 400 ENSAYO'!$B$7:$D$43,2,FALSE),0)+IF(AND(M955="Ensayo Idiem",L955="Cafco 400",C955="IN",G955=4,I955=120),VLOOKUP(T955,'CAFCO 400 ENSAYO'!$B$7:$D$43,3,FALSE),0)</f>
        <v>0</v>
      </c>
      <c r="O955" s="96">
        <f t="shared" si="96"/>
        <v>0</v>
      </c>
      <c r="P955" s="132" t="str">
        <f t="shared" si="97"/>
        <v>N/A</v>
      </c>
      <c r="Q955" s="132" t="str">
        <f t="shared" si="98"/>
        <v>N/A</v>
      </c>
      <c r="R955" s="132" t="str">
        <f t="shared" si="99"/>
        <v>NO CERT.</v>
      </c>
      <c r="S955" s="132" t="e">
        <f t="shared" si="100"/>
        <v>#N/A</v>
      </c>
      <c r="T955" s="133" t="e">
        <f>+IF(J955=LOOKUP(J955,'CAFCO 300 IDIEM TABLAS'!$J$4:$J$40),'CALCULO MORTERO'!J955,MROUND('CALCULO MORTERO'!J955,10))</f>
        <v>#N/A</v>
      </c>
      <c r="U955" s="134">
        <f t="shared" si="101"/>
        <v>0</v>
      </c>
    </row>
    <row r="956" spans="1:21" x14ac:dyDescent="0.25">
      <c r="A956" s="118">
        <f>+CUBICACION!D950</f>
        <v>0</v>
      </c>
      <c r="B956" s="819">
        <f>+CUBICACION!E950</f>
        <v>0</v>
      </c>
      <c r="C956" s="675">
        <f>+CUBICACION!F950</f>
        <v>0</v>
      </c>
      <c r="D956" s="118"/>
      <c r="E956" s="118"/>
      <c r="F956" s="820"/>
      <c r="G956" s="675">
        <f>+CUBICACION!J950</f>
        <v>0</v>
      </c>
      <c r="H956" s="118"/>
      <c r="I956" s="821">
        <f>+CUBICACION!L950</f>
        <v>0</v>
      </c>
      <c r="J956" s="64">
        <f>+CUBICACION!M950</f>
        <v>0</v>
      </c>
      <c r="K956" s="822" t="str">
        <f>+CUBICACION!N950</f>
        <v/>
      </c>
      <c r="L956" s="118">
        <f>+CUBICACION!O950</f>
        <v>0</v>
      </c>
      <c r="M956" s="823">
        <f>+CUBICACION!P950</f>
        <v>0</v>
      </c>
      <c r="N956" s="902">
        <f>ROUND(IF(AND(L956="Blaze Shield II",M956="Software Idiem",C956="IN",G956=4),((('BLAZE SHIELD II'!$D$4*('CALCULO MORTERO'!I956^2)+'BLAZE SHIELD II'!$D$5*'CALCULO MORTERO'!I956+'BLAZE SHIELD II'!$D$6)*LN(J956))+('BLAZE SHIELD II'!$D$7*('CALCULO MORTERO'!I956^2)+'BLAZE SHIELD II'!$D$8*'CALCULO MORTERO'!I956+'BLAZE SHIELD II'!$D$9)),0)+IF(AND(L956="Blaze Shield II",M956="Software Idiem",C956="Cj"),((('BLAZE SHIELD II'!$H$4*('CALCULO MORTERO'!I956^2)+'BLAZE SHIELD II'!$H$5*'CALCULO MORTERO'!I956+'BLAZE SHIELD II'!$H$6)*LN(J956))+('BLAZE SHIELD II'!$H$7*('CALCULO MORTERO'!I956^2)+'BLAZE SHIELD II'!$H$8*'CALCULO MORTERO'!I956+'BLAZE SHIELD II'!$H$9)),0)+IF(AND(L956="Blaze Shield II",M956="Software Idiem",C956="C"),((('BLAZE SHIELD II'!$L$4*('CALCULO MORTERO'!I956^2)+'BLAZE SHIELD II'!$L$5*'CALCULO MORTERO'!I956+'BLAZE SHIELD II'!$L$6)*LN(J956))+('BLAZE SHIELD II'!$L$7*('CALCULO MORTERO'!I956^2)+'BLAZE SHIELD II'!$L$8*'CALCULO MORTERO'!I956+'BLAZE SHIELD II'!$L$9)),0)+IF(AND(L956="Blaze Shield II",M956="Software Idiem",C956="L"),((('BLAZE SHIELD II'!$L$4*('CALCULO MORTERO'!I956^2)+'BLAZE SHIELD II'!$L$5*'CALCULO MORTERO'!I956+'BLAZE SHIELD II'!$L$6)*LN(J956))+('BLAZE SHIELD II'!$L$7*('CALCULO MORTERO'!I956^2)+'BLAZE SHIELD II'!$L$8*'CALCULO MORTERO'!I956+'BLAZE SHIELD II'!$L$9)),0)+IF(AND(L956="Blaze Shield II",M956="Software Idiem",C956="IN",G956=3),((('BLAZE SHIELD II'!$H$14*('CALCULO MORTERO'!I956^2)+'BLAZE SHIELD II'!$H$15*'CALCULO MORTERO'!I956+'BLAZE SHIELD II'!$H$16)*LN(J956))+('BLAZE SHIELD II'!$H$17*('CALCULO MORTERO'!I956^2)+'BLAZE SHIELD II'!$H$18*'CALCULO MORTERO'!I956+'BLAZE SHIELD II'!$H$19)),0),0)+ROUND(IF(AND(L956="Cafco 400",M956="Software Idiem",C956="IN",G956=4),((('CAFCO 400 '!$H$7*(J956^4)+'CAFCO 400 '!$H$8*(J956^3)+'CAFCO 400 '!$H$9*(J956^2)+'CAFCO 400 '!$H$10*J956+'CAFCO 400 '!$H$11)*U956^2)+(('CAFCO 400 '!$H$12*(J956^3)+'CAFCO 400 '!$H$13*(J956^2)+'CAFCO 400 '!$H$14*J956+'CAFCO 400 '!$H$15)*U956)+('CAFCO 400 '!$H$16*(J956^2)+'CAFCO 400 '!$H$17*J956+'CAFCO 400 '!$H$18)),0)+IF(AND(L956="Cafco 400",M956="Software Idiem",C956="Cj"),(((('CAFCO 400 '!$D$7*LN(J956)+'CAFCO 400 '!$D$8)*U956^2)+(('CAFCO 400 '!$D$9*LN(J956)+'CAFCO 400 '!$D$10)*U956)+('CAFCO 400 '!$D$11*LN(J956)+'CAFCO 400 '!$D$12))),0)+IF(AND(L956="Cafco 400",M956="Software Idiem",C956="C"),((('CAFCO 400 '!$L$7*(J956^3)+'CAFCO 400 '!$L$8*(J956^2)+'CAFCO 400 '!$L$9*J956+'CAFCO 400 '!$L$10)*U956^2)+(('CAFCO 400 '!$L$11*(J956^3)+'CAFCO 400 '!$L$12*(J956^2)+'CAFCO 400 '!$L$13*J956+'CAFCO 400 '!$L$14)*U956)+('CAFCO 400 '!$L$15*LN(J956)+'CAFCO 400 '!$L$16)),0)+IF(AND(L956="Cafco 400",M956="Software Idiem",C956="L"),((('CAFCO 400 '!$L$7*(J956^3)+'CAFCO 400 '!$L$8*(J956^2)+'CAFCO 400 '!$L$9*J956+'CAFCO 400 '!$L$10)*U956^2)+(('CAFCO 400 '!$L$11*(J956^3)+'CAFCO 400 '!$L$12*(J956^2)+'CAFCO 400 '!$L$13*J956+'CAFCO 400 '!$L$14)*U956)+('CAFCO 400 '!$L$15*LN(J956)+'CAFCO 400 '!$L$16)),0)+IF(AND(L956="Cafco 400",M956="Software Idiem",C956="IN",G956=3),((('CAFCO 400 '!$D$23*(J956^2)+'CAFCO 400 '!$D$24*(J956)+'CAFCO 400 '!$D$25)*U956^2)+(('CAFCO 400 '!$D$26*(J956^2)+'CAFCO 400 '!$D$27*J956+'CAFCO 400 '!$D$28)*U956)+('CAFCO 400 '!$D$29*(J956^2)+'CAFCO 400 '!$D$30*J956+'CAFCO 400 '!$D$31)),0),0)+IF(AND(L956="Cafco 300",J956&gt;=95,J956&lt;=240,C956="Cj",I956=90),VLOOKUP(T956,'CAFCO 300 IDIEM TABLAS'!$B$4:$D$23,2,FALSE),0)+IF(AND(L956="Cafco 300",J956&gt;=95,J956&lt;=240,C956="Cj",I956=120),VLOOKUP(T956,'CAFCO 300 IDIEM TABLAS'!$B$4:$D$23,3,FALSE),0)+IF(AND(L956="Cafco 300",J956&gt;=95,J956&lt;=400,G956=3,C956="IN",I956=90),VLOOKUP(T956,'CAFCO 300 IDIEM TABLAS'!$F$4:$H$35,2,FALSE),0)+IF(AND(L956="Cafco 300",J956&gt;=95,J956&lt;=400,G956=3,C956="IN",I956=120),VLOOKUP(T956,'CAFCO 300 IDIEM TABLAS'!$F$4:$H$35,3,FALSE),0)+IF(AND(L956="Cafco 300",J956&gt;=95,J956&lt;=450,G956=4,C956="IN",I956=90),VLOOKUP(T956,'CAFCO 300 IDIEM TABLAS'!$J$4:$L$40,2,FALSE),0)+IF(AND(L956="Cafco 300",J956&gt;=95,J956&lt;=450,G956=4,C956="IN",I956=120),VLOOKUP(T956,'CAFCO 300 IDIEM TABLAS'!$J$4:$L$40,3,FALSE),0)+IF(AND(M956="Ensayo Idiem",L956="Cafco 400",C956="IN",G956=4,I956=90),VLOOKUP(T956,'CAFCO 400 ENSAYO'!$B$7:$D$43,2,FALSE),0)+IF(AND(M956="Ensayo Idiem",L956="Cafco 400",C956="IN",G956=4,I956=120),VLOOKUP(T956,'CAFCO 400 ENSAYO'!$B$7:$D$43,3,FALSE),0)</f>
        <v>0</v>
      </c>
      <c r="O956" s="96">
        <f t="shared" si="96"/>
        <v>0</v>
      </c>
      <c r="P956" s="95" t="str">
        <f t="shared" si="97"/>
        <v>N/A</v>
      </c>
      <c r="Q956" s="95" t="str">
        <f t="shared" si="98"/>
        <v>N/A</v>
      </c>
      <c r="R956" s="95" t="str">
        <f t="shared" si="99"/>
        <v>NO CERT.</v>
      </c>
      <c r="S956" s="95" t="e">
        <f t="shared" si="100"/>
        <v>#N/A</v>
      </c>
      <c r="T956" s="119" t="e">
        <f>+IF(J956=LOOKUP(J956,'CAFCO 300 IDIEM TABLAS'!$J$4:$J$40),'CALCULO MORTERO'!J956,MROUND('CALCULO MORTERO'!J956,10))</f>
        <v>#N/A</v>
      </c>
      <c r="U956" s="118">
        <f t="shared" si="101"/>
        <v>0</v>
      </c>
    </row>
    <row r="957" spans="1:21" x14ac:dyDescent="0.25">
      <c r="A957" s="118">
        <f>+CUBICACION!D951</f>
        <v>0</v>
      </c>
      <c r="B957" s="819">
        <f>+CUBICACION!E951</f>
        <v>0</v>
      </c>
      <c r="C957" s="675">
        <f>+CUBICACION!F951</f>
        <v>0</v>
      </c>
      <c r="D957" s="118"/>
      <c r="E957" s="118"/>
      <c r="F957" s="820"/>
      <c r="G957" s="675">
        <f>+CUBICACION!J951</f>
        <v>0</v>
      </c>
      <c r="H957" s="118"/>
      <c r="I957" s="821">
        <f>+CUBICACION!L951</f>
        <v>0</v>
      </c>
      <c r="J957" s="64">
        <f>+CUBICACION!M951</f>
        <v>0</v>
      </c>
      <c r="K957" s="822" t="str">
        <f>+CUBICACION!N951</f>
        <v/>
      </c>
      <c r="L957" s="118">
        <f>+CUBICACION!O951</f>
        <v>0</v>
      </c>
      <c r="M957" s="823">
        <f>+CUBICACION!P951</f>
        <v>0</v>
      </c>
      <c r="N957" s="902">
        <f>ROUND(IF(AND(L957="Blaze Shield II",M957="Software Idiem",C957="IN",G957=4),((('BLAZE SHIELD II'!$D$4*('CALCULO MORTERO'!I957^2)+'BLAZE SHIELD II'!$D$5*'CALCULO MORTERO'!I957+'BLAZE SHIELD II'!$D$6)*LN(J957))+('BLAZE SHIELD II'!$D$7*('CALCULO MORTERO'!I957^2)+'BLAZE SHIELD II'!$D$8*'CALCULO MORTERO'!I957+'BLAZE SHIELD II'!$D$9)),0)+IF(AND(L957="Blaze Shield II",M957="Software Idiem",C957="Cj"),((('BLAZE SHIELD II'!$H$4*('CALCULO MORTERO'!I957^2)+'BLAZE SHIELD II'!$H$5*'CALCULO MORTERO'!I957+'BLAZE SHIELD II'!$H$6)*LN(J957))+('BLAZE SHIELD II'!$H$7*('CALCULO MORTERO'!I957^2)+'BLAZE SHIELD II'!$H$8*'CALCULO MORTERO'!I957+'BLAZE SHIELD II'!$H$9)),0)+IF(AND(L957="Blaze Shield II",M957="Software Idiem",C957="C"),((('BLAZE SHIELD II'!$L$4*('CALCULO MORTERO'!I957^2)+'BLAZE SHIELD II'!$L$5*'CALCULO MORTERO'!I957+'BLAZE SHIELD II'!$L$6)*LN(J957))+('BLAZE SHIELD II'!$L$7*('CALCULO MORTERO'!I957^2)+'BLAZE SHIELD II'!$L$8*'CALCULO MORTERO'!I957+'BLAZE SHIELD II'!$L$9)),0)+IF(AND(L957="Blaze Shield II",M957="Software Idiem",C957="L"),((('BLAZE SHIELD II'!$L$4*('CALCULO MORTERO'!I957^2)+'BLAZE SHIELD II'!$L$5*'CALCULO MORTERO'!I957+'BLAZE SHIELD II'!$L$6)*LN(J957))+('BLAZE SHIELD II'!$L$7*('CALCULO MORTERO'!I957^2)+'BLAZE SHIELD II'!$L$8*'CALCULO MORTERO'!I957+'BLAZE SHIELD II'!$L$9)),0)+IF(AND(L957="Blaze Shield II",M957="Software Idiem",C957="IN",G957=3),((('BLAZE SHIELD II'!$H$14*('CALCULO MORTERO'!I957^2)+'BLAZE SHIELD II'!$H$15*'CALCULO MORTERO'!I957+'BLAZE SHIELD II'!$H$16)*LN(J957))+('BLAZE SHIELD II'!$H$17*('CALCULO MORTERO'!I957^2)+'BLAZE SHIELD II'!$H$18*'CALCULO MORTERO'!I957+'BLAZE SHIELD II'!$H$19)),0),0)+ROUND(IF(AND(L957="Cafco 400",M957="Software Idiem",C957="IN",G957=4),((('CAFCO 400 '!$H$7*(J957^4)+'CAFCO 400 '!$H$8*(J957^3)+'CAFCO 400 '!$H$9*(J957^2)+'CAFCO 400 '!$H$10*J957+'CAFCO 400 '!$H$11)*U957^2)+(('CAFCO 400 '!$H$12*(J957^3)+'CAFCO 400 '!$H$13*(J957^2)+'CAFCO 400 '!$H$14*J957+'CAFCO 400 '!$H$15)*U957)+('CAFCO 400 '!$H$16*(J957^2)+'CAFCO 400 '!$H$17*J957+'CAFCO 400 '!$H$18)),0)+IF(AND(L957="Cafco 400",M957="Software Idiem",C957="Cj"),(((('CAFCO 400 '!$D$7*LN(J957)+'CAFCO 400 '!$D$8)*U957^2)+(('CAFCO 400 '!$D$9*LN(J957)+'CAFCO 400 '!$D$10)*U957)+('CAFCO 400 '!$D$11*LN(J957)+'CAFCO 400 '!$D$12))),0)+IF(AND(L957="Cafco 400",M957="Software Idiem",C957="C"),((('CAFCO 400 '!$L$7*(J957^3)+'CAFCO 400 '!$L$8*(J957^2)+'CAFCO 400 '!$L$9*J957+'CAFCO 400 '!$L$10)*U957^2)+(('CAFCO 400 '!$L$11*(J957^3)+'CAFCO 400 '!$L$12*(J957^2)+'CAFCO 400 '!$L$13*J957+'CAFCO 400 '!$L$14)*U957)+('CAFCO 400 '!$L$15*LN(J957)+'CAFCO 400 '!$L$16)),0)+IF(AND(L957="Cafco 400",M957="Software Idiem",C957="L"),((('CAFCO 400 '!$L$7*(J957^3)+'CAFCO 400 '!$L$8*(J957^2)+'CAFCO 400 '!$L$9*J957+'CAFCO 400 '!$L$10)*U957^2)+(('CAFCO 400 '!$L$11*(J957^3)+'CAFCO 400 '!$L$12*(J957^2)+'CAFCO 400 '!$L$13*J957+'CAFCO 400 '!$L$14)*U957)+('CAFCO 400 '!$L$15*LN(J957)+'CAFCO 400 '!$L$16)),0)+IF(AND(L957="Cafco 400",M957="Software Idiem",C957="IN",G957=3),((('CAFCO 400 '!$D$23*(J957^2)+'CAFCO 400 '!$D$24*(J957)+'CAFCO 400 '!$D$25)*U957^2)+(('CAFCO 400 '!$D$26*(J957^2)+'CAFCO 400 '!$D$27*J957+'CAFCO 400 '!$D$28)*U957)+('CAFCO 400 '!$D$29*(J957^2)+'CAFCO 400 '!$D$30*J957+'CAFCO 400 '!$D$31)),0),0)+IF(AND(L957="Cafco 300",J957&gt;=95,J957&lt;=240,C957="Cj",I957=90),VLOOKUP(T957,'CAFCO 300 IDIEM TABLAS'!$B$4:$D$23,2,FALSE),0)+IF(AND(L957="Cafco 300",J957&gt;=95,J957&lt;=240,C957="Cj",I957=120),VLOOKUP(T957,'CAFCO 300 IDIEM TABLAS'!$B$4:$D$23,3,FALSE),0)+IF(AND(L957="Cafco 300",J957&gt;=95,J957&lt;=400,G957=3,C957="IN",I957=90),VLOOKUP(T957,'CAFCO 300 IDIEM TABLAS'!$F$4:$H$35,2,FALSE),0)+IF(AND(L957="Cafco 300",J957&gt;=95,J957&lt;=400,G957=3,C957="IN",I957=120),VLOOKUP(T957,'CAFCO 300 IDIEM TABLAS'!$F$4:$H$35,3,FALSE),0)+IF(AND(L957="Cafco 300",J957&gt;=95,J957&lt;=450,G957=4,C957="IN",I957=90),VLOOKUP(T957,'CAFCO 300 IDIEM TABLAS'!$J$4:$L$40,2,FALSE),0)+IF(AND(L957="Cafco 300",J957&gt;=95,J957&lt;=450,G957=4,C957="IN",I957=120),VLOOKUP(T957,'CAFCO 300 IDIEM TABLAS'!$J$4:$L$40,3,FALSE),0)+IF(AND(M957="Ensayo Idiem",L957="Cafco 400",C957="IN",G957=4,I957=90),VLOOKUP(T957,'CAFCO 400 ENSAYO'!$B$7:$D$43,2,FALSE),0)+IF(AND(M957="Ensayo Idiem",L957="Cafco 400",C957="IN",G957=4,I957=120),VLOOKUP(T957,'CAFCO 400 ENSAYO'!$B$7:$D$43,3,FALSE),0)</f>
        <v>0</v>
      </c>
      <c r="O957" s="96">
        <f t="shared" si="96"/>
        <v>0</v>
      </c>
      <c r="P957" s="132" t="str">
        <f t="shared" si="97"/>
        <v>N/A</v>
      </c>
      <c r="Q957" s="132" t="str">
        <f t="shared" si="98"/>
        <v>N/A</v>
      </c>
      <c r="R957" s="132" t="str">
        <f t="shared" si="99"/>
        <v>NO CERT.</v>
      </c>
      <c r="S957" s="132" t="e">
        <f t="shared" si="100"/>
        <v>#N/A</v>
      </c>
      <c r="T957" s="133" t="e">
        <f>+IF(J957=LOOKUP(J957,'CAFCO 300 IDIEM TABLAS'!$J$4:$J$40),'CALCULO MORTERO'!J957,MROUND('CALCULO MORTERO'!J957,10))</f>
        <v>#N/A</v>
      </c>
      <c r="U957" s="134">
        <f t="shared" si="101"/>
        <v>0</v>
      </c>
    </row>
    <row r="958" spans="1:21" x14ac:dyDescent="0.25">
      <c r="A958" s="118">
        <f>+CUBICACION!D952</f>
        <v>0</v>
      </c>
      <c r="B958" s="819">
        <f>+CUBICACION!E952</f>
        <v>0</v>
      </c>
      <c r="C958" s="675">
        <f>+CUBICACION!F952</f>
        <v>0</v>
      </c>
      <c r="D958" s="118"/>
      <c r="E958" s="118"/>
      <c r="F958" s="820"/>
      <c r="G958" s="675">
        <f>+CUBICACION!J952</f>
        <v>0</v>
      </c>
      <c r="H958" s="118"/>
      <c r="I958" s="821">
        <f>+CUBICACION!L952</f>
        <v>0</v>
      </c>
      <c r="J958" s="64">
        <f>+CUBICACION!M952</f>
        <v>0</v>
      </c>
      <c r="K958" s="822" t="str">
        <f>+CUBICACION!N952</f>
        <v/>
      </c>
      <c r="L958" s="118">
        <f>+CUBICACION!O952</f>
        <v>0</v>
      </c>
      <c r="M958" s="823">
        <f>+CUBICACION!P952</f>
        <v>0</v>
      </c>
      <c r="N958" s="902">
        <f>ROUND(IF(AND(L958="Blaze Shield II",M958="Software Idiem",C958="IN",G958=4),((('BLAZE SHIELD II'!$D$4*('CALCULO MORTERO'!I958^2)+'BLAZE SHIELD II'!$D$5*'CALCULO MORTERO'!I958+'BLAZE SHIELD II'!$D$6)*LN(J958))+('BLAZE SHIELD II'!$D$7*('CALCULO MORTERO'!I958^2)+'BLAZE SHIELD II'!$D$8*'CALCULO MORTERO'!I958+'BLAZE SHIELD II'!$D$9)),0)+IF(AND(L958="Blaze Shield II",M958="Software Idiem",C958="Cj"),((('BLAZE SHIELD II'!$H$4*('CALCULO MORTERO'!I958^2)+'BLAZE SHIELD II'!$H$5*'CALCULO MORTERO'!I958+'BLAZE SHIELD II'!$H$6)*LN(J958))+('BLAZE SHIELD II'!$H$7*('CALCULO MORTERO'!I958^2)+'BLAZE SHIELD II'!$H$8*'CALCULO MORTERO'!I958+'BLAZE SHIELD II'!$H$9)),0)+IF(AND(L958="Blaze Shield II",M958="Software Idiem",C958="C"),((('BLAZE SHIELD II'!$L$4*('CALCULO MORTERO'!I958^2)+'BLAZE SHIELD II'!$L$5*'CALCULO MORTERO'!I958+'BLAZE SHIELD II'!$L$6)*LN(J958))+('BLAZE SHIELD II'!$L$7*('CALCULO MORTERO'!I958^2)+'BLAZE SHIELD II'!$L$8*'CALCULO MORTERO'!I958+'BLAZE SHIELD II'!$L$9)),0)+IF(AND(L958="Blaze Shield II",M958="Software Idiem",C958="L"),((('BLAZE SHIELD II'!$L$4*('CALCULO MORTERO'!I958^2)+'BLAZE SHIELD II'!$L$5*'CALCULO MORTERO'!I958+'BLAZE SHIELD II'!$L$6)*LN(J958))+('BLAZE SHIELD II'!$L$7*('CALCULO MORTERO'!I958^2)+'BLAZE SHIELD II'!$L$8*'CALCULO MORTERO'!I958+'BLAZE SHIELD II'!$L$9)),0)+IF(AND(L958="Blaze Shield II",M958="Software Idiem",C958="IN",G958=3),((('BLAZE SHIELD II'!$H$14*('CALCULO MORTERO'!I958^2)+'BLAZE SHIELD II'!$H$15*'CALCULO MORTERO'!I958+'BLAZE SHIELD II'!$H$16)*LN(J958))+('BLAZE SHIELD II'!$H$17*('CALCULO MORTERO'!I958^2)+'BLAZE SHIELD II'!$H$18*'CALCULO MORTERO'!I958+'BLAZE SHIELD II'!$H$19)),0),0)+ROUND(IF(AND(L958="Cafco 400",M958="Software Idiem",C958="IN",G958=4),((('CAFCO 400 '!$H$7*(J958^4)+'CAFCO 400 '!$H$8*(J958^3)+'CAFCO 400 '!$H$9*(J958^2)+'CAFCO 400 '!$H$10*J958+'CAFCO 400 '!$H$11)*U958^2)+(('CAFCO 400 '!$H$12*(J958^3)+'CAFCO 400 '!$H$13*(J958^2)+'CAFCO 400 '!$H$14*J958+'CAFCO 400 '!$H$15)*U958)+('CAFCO 400 '!$H$16*(J958^2)+'CAFCO 400 '!$H$17*J958+'CAFCO 400 '!$H$18)),0)+IF(AND(L958="Cafco 400",M958="Software Idiem",C958="Cj"),(((('CAFCO 400 '!$D$7*LN(J958)+'CAFCO 400 '!$D$8)*U958^2)+(('CAFCO 400 '!$D$9*LN(J958)+'CAFCO 400 '!$D$10)*U958)+('CAFCO 400 '!$D$11*LN(J958)+'CAFCO 400 '!$D$12))),0)+IF(AND(L958="Cafco 400",M958="Software Idiem",C958="C"),((('CAFCO 400 '!$L$7*(J958^3)+'CAFCO 400 '!$L$8*(J958^2)+'CAFCO 400 '!$L$9*J958+'CAFCO 400 '!$L$10)*U958^2)+(('CAFCO 400 '!$L$11*(J958^3)+'CAFCO 400 '!$L$12*(J958^2)+'CAFCO 400 '!$L$13*J958+'CAFCO 400 '!$L$14)*U958)+('CAFCO 400 '!$L$15*LN(J958)+'CAFCO 400 '!$L$16)),0)+IF(AND(L958="Cafco 400",M958="Software Idiem",C958="L"),((('CAFCO 400 '!$L$7*(J958^3)+'CAFCO 400 '!$L$8*(J958^2)+'CAFCO 400 '!$L$9*J958+'CAFCO 400 '!$L$10)*U958^2)+(('CAFCO 400 '!$L$11*(J958^3)+'CAFCO 400 '!$L$12*(J958^2)+'CAFCO 400 '!$L$13*J958+'CAFCO 400 '!$L$14)*U958)+('CAFCO 400 '!$L$15*LN(J958)+'CAFCO 400 '!$L$16)),0)+IF(AND(L958="Cafco 400",M958="Software Idiem",C958="IN",G958=3),((('CAFCO 400 '!$D$23*(J958^2)+'CAFCO 400 '!$D$24*(J958)+'CAFCO 400 '!$D$25)*U958^2)+(('CAFCO 400 '!$D$26*(J958^2)+'CAFCO 400 '!$D$27*J958+'CAFCO 400 '!$D$28)*U958)+('CAFCO 400 '!$D$29*(J958^2)+'CAFCO 400 '!$D$30*J958+'CAFCO 400 '!$D$31)),0),0)+IF(AND(L958="Cafco 300",J958&gt;=95,J958&lt;=240,C958="Cj",I958=90),VLOOKUP(T958,'CAFCO 300 IDIEM TABLAS'!$B$4:$D$23,2,FALSE),0)+IF(AND(L958="Cafco 300",J958&gt;=95,J958&lt;=240,C958="Cj",I958=120),VLOOKUP(T958,'CAFCO 300 IDIEM TABLAS'!$B$4:$D$23,3,FALSE),0)+IF(AND(L958="Cafco 300",J958&gt;=95,J958&lt;=400,G958=3,C958="IN",I958=90),VLOOKUP(T958,'CAFCO 300 IDIEM TABLAS'!$F$4:$H$35,2,FALSE),0)+IF(AND(L958="Cafco 300",J958&gt;=95,J958&lt;=400,G958=3,C958="IN",I958=120),VLOOKUP(T958,'CAFCO 300 IDIEM TABLAS'!$F$4:$H$35,3,FALSE),0)+IF(AND(L958="Cafco 300",J958&gt;=95,J958&lt;=450,G958=4,C958="IN",I958=90),VLOOKUP(T958,'CAFCO 300 IDIEM TABLAS'!$J$4:$L$40,2,FALSE),0)+IF(AND(L958="Cafco 300",J958&gt;=95,J958&lt;=450,G958=4,C958="IN",I958=120),VLOOKUP(T958,'CAFCO 300 IDIEM TABLAS'!$J$4:$L$40,3,FALSE),0)+IF(AND(M958="Ensayo Idiem",L958="Cafco 400",C958="IN",G958=4,I958=90),VLOOKUP(T958,'CAFCO 400 ENSAYO'!$B$7:$D$43,2,FALSE),0)+IF(AND(M958="Ensayo Idiem",L958="Cafco 400",C958="IN",G958=4,I958=120),VLOOKUP(T958,'CAFCO 400 ENSAYO'!$B$7:$D$43,3,FALSE),0)</f>
        <v>0</v>
      </c>
      <c r="O958" s="96">
        <f t="shared" si="96"/>
        <v>0</v>
      </c>
      <c r="P958" s="95" t="str">
        <f t="shared" si="97"/>
        <v>N/A</v>
      </c>
      <c r="Q958" s="95" t="str">
        <f t="shared" si="98"/>
        <v>N/A</v>
      </c>
      <c r="R958" s="95" t="str">
        <f t="shared" si="99"/>
        <v>NO CERT.</v>
      </c>
      <c r="S958" s="95" t="e">
        <f t="shared" si="100"/>
        <v>#N/A</v>
      </c>
      <c r="T958" s="119" t="e">
        <f>+IF(J958=LOOKUP(J958,'CAFCO 300 IDIEM TABLAS'!$J$4:$J$40),'CALCULO MORTERO'!J958,MROUND('CALCULO MORTERO'!J958,10))</f>
        <v>#N/A</v>
      </c>
      <c r="U958" s="118">
        <f t="shared" si="101"/>
        <v>0</v>
      </c>
    </row>
    <row r="959" spans="1:21" x14ac:dyDescent="0.25">
      <c r="A959" s="118">
        <f>+CUBICACION!D953</f>
        <v>0</v>
      </c>
      <c r="B959" s="819">
        <f>+CUBICACION!E953</f>
        <v>0</v>
      </c>
      <c r="C959" s="675">
        <f>+CUBICACION!F953</f>
        <v>0</v>
      </c>
      <c r="D959" s="118"/>
      <c r="E959" s="118"/>
      <c r="F959" s="820"/>
      <c r="G959" s="675">
        <f>+CUBICACION!J953</f>
        <v>0</v>
      </c>
      <c r="H959" s="118"/>
      <c r="I959" s="821">
        <f>+CUBICACION!L953</f>
        <v>0</v>
      </c>
      <c r="J959" s="64">
        <f>+CUBICACION!M953</f>
        <v>0</v>
      </c>
      <c r="K959" s="822" t="str">
        <f>+CUBICACION!N953</f>
        <v/>
      </c>
      <c r="L959" s="118">
        <f>+CUBICACION!O953</f>
        <v>0</v>
      </c>
      <c r="M959" s="823">
        <f>+CUBICACION!P953</f>
        <v>0</v>
      </c>
      <c r="N959" s="902">
        <f>ROUND(IF(AND(L959="Blaze Shield II",M959="Software Idiem",C959="IN",G959=4),((('BLAZE SHIELD II'!$D$4*('CALCULO MORTERO'!I959^2)+'BLAZE SHIELD II'!$D$5*'CALCULO MORTERO'!I959+'BLAZE SHIELD II'!$D$6)*LN(J959))+('BLAZE SHIELD II'!$D$7*('CALCULO MORTERO'!I959^2)+'BLAZE SHIELD II'!$D$8*'CALCULO MORTERO'!I959+'BLAZE SHIELD II'!$D$9)),0)+IF(AND(L959="Blaze Shield II",M959="Software Idiem",C959="Cj"),((('BLAZE SHIELD II'!$H$4*('CALCULO MORTERO'!I959^2)+'BLAZE SHIELD II'!$H$5*'CALCULO MORTERO'!I959+'BLAZE SHIELD II'!$H$6)*LN(J959))+('BLAZE SHIELD II'!$H$7*('CALCULO MORTERO'!I959^2)+'BLAZE SHIELD II'!$H$8*'CALCULO MORTERO'!I959+'BLAZE SHIELD II'!$H$9)),0)+IF(AND(L959="Blaze Shield II",M959="Software Idiem",C959="C"),((('BLAZE SHIELD II'!$L$4*('CALCULO MORTERO'!I959^2)+'BLAZE SHIELD II'!$L$5*'CALCULO MORTERO'!I959+'BLAZE SHIELD II'!$L$6)*LN(J959))+('BLAZE SHIELD II'!$L$7*('CALCULO MORTERO'!I959^2)+'BLAZE SHIELD II'!$L$8*'CALCULO MORTERO'!I959+'BLAZE SHIELD II'!$L$9)),0)+IF(AND(L959="Blaze Shield II",M959="Software Idiem",C959="L"),((('BLAZE SHIELD II'!$L$4*('CALCULO MORTERO'!I959^2)+'BLAZE SHIELD II'!$L$5*'CALCULO MORTERO'!I959+'BLAZE SHIELD II'!$L$6)*LN(J959))+('BLAZE SHIELD II'!$L$7*('CALCULO MORTERO'!I959^2)+'BLAZE SHIELD II'!$L$8*'CALCULO MORTERO'!I959+'BLAZE SHIELD II'!$L$9)),0)+IF(AND(L959="Blaze Shield II",M959="Software Idiem",C959="IN",G959=3),((('BLAZE SHIELD II'!$H$14*('CALCULO MORTERO'!I959^2)+'BLAZE SHIELD II'!$H$15*'CALCULO MORTERO'!I959+'BLAZE SHIELD II'!$H$16)*LN(J959))+('BLAZE SHIELD II'!$H$17*('CALCULO MORTERO'!I959^2)+'BLAZE SHIELD II'!$H$18*'CALCULO MORTERO'!I959+'BLAZE SHIELD II'!$H$19)),0),0)+ROUND(IF(AND(L959="Cafco 400",M959="Software Idiem",C959="IN",G959=4),((('CAFCO 400 '!$H$7*(J959^4)+'CAFCO 400 '!$H$8*(J959^3)+'CAFCO 400 '!$H$9*(J959^2)+'CAFCO 400 '!$H$10*J959+'CAFCO 400 '!$H$11)*U959^2)+(('CAFCO 400 '!$H$12*(J959^3)+'CAFCO 400 '!$H$13*(J959^2)+'CAFCO 400 '!$H$14*J959+'CAFCO 400 '!$H$15)*U959)+('CAFCO 400 '!$H$16*(J959^2)+'CAFCO 400 '!$H$17*J959+'CAFCO 400 '!$H$18)),0)+IF(AND(L959="Cafco 400",M959="Software Idiem",C959="Cj"),(((('CAFCO 400 '!$D$7*LN(J959)+'CAFCO 400 '!$D$8)*U959^2)+(('CAFCO 400 '!$D$9*LN(J959)+'CAFCO 400 '!$D$10)*U959)+('CAFCO 400 '!$D$11*LN(J959)+'CAFCO 400 '!$D$12))),0)+IF(AND(L959="Cafco 400",M959="Software Idiem",C959="C"),((('CAFCO 400 '!$L$7*(J959^3)+'CAFCO 400 '!$L$8*(J959^2)+'CAFCO 400 '!$L$9*J959+'CAFCO 400 '!$L$10)*U959^2)+(('CAFCO 400 '!$L$11*(J959^3)+'CAFCO 400 '!$L$12*(J959^2)+'CAFCO 400 '!$L$13*J959+'CAFCO 400 '!$L$14)*U959)+('CAFCO 400 '!$L$15*LN(J959)+'CAFCO 400 '!$L$16)),0)+IF(AND(L959="Cafco 400",M959="Software Idiem",C959="L"),((('CAFCO 400 '!$L$7*(J959^3)+'CAFCO 400 '!$L$8*(J959^2)+'CAFCO 400 '!$L$9*J959+'CAFCO 400 '!$L$10)*U959^2)+(('CAFCO 400 '!$L$11*(J959^3)+'CAFCO 400 '!$L$12*(J959^2)+'CAFCO 400 '!$L$13*J959+'CAFCO 400 '!$L$14)*U959)+('CAFCO 400 '!$L$15*LN(J959)+'CAFCO 400 '!$L$16)),0)+IF(AND(L959="Cafco 400",M959="Software Idiem",C959="IN",G959=3),((('CAFCO 400 '!$D$23*(J959^2)+'CAFCO 400 '!$D$24*(J959)+'CAFCO 400 '!$D$25)*U959^2)+(('CAFCO 400 '!$D$26*(J959^2)+'CAFCO 400 '!$D$27*J959+'CAFCO 400 '!$D$28)*U959)+('CAFCO 400 '!$D$29*(J959^2)+'CAFCO 400 '!$D$30*J959+'CAFCO 400 '!$D$31)),0),0)+IF(AND(L959="Cafco 300",J959&gt;=95,J959&lt;=240,C959="Cj",I959=90),VLOOKUP(T959,'CAFCO 300 IDIEM TABLAS'!$B$4:$D$23,2,FALSE),0)+IF(AND(L959="Cafco 300",J959&gt;=95,J959&lt;=240,C959="Cj",I959=120),VLOOKUP(T959,'CAFCO 300 IDIEM TABLAS'!$B$4:$D$23,3,FALSE),0)+IF(AND(L959="Cafco 300",J959&gt;=95,J959&lt;=400,G959=3,C959="IN",I959=90),VLOOKUP(T959,'CAFCO 300 IDIEM TABLAS'!$F$4:$H$35,2,FALSE),0)+IF(AND(L959="Cafco 300",J959&gt;=95,J959&lt;=400,G959=3,C959="IN",I959=120),VLOOKUP(T959,'CAFCO 300 IDIEM TABLAS'!$F$4:$H$35,3,FALSE),0)+IF(AND(L959="Cafco 300",J959&gt;=95,J959&lt;=450,G959=4,C959="IN",I959=90),VLOOKUP(T959,'CAFCO 300 IDIEM TABLAS'!$J$4:$L$40,2,FALSE),0)+IF(AND(L959="Cafco 300",J959&gt;=95,J959&lt;=450,G959=4,C959="IN",I959=120),VLOOKUP(T959,'CAFCO 300 IDIEM TABLAS'!$J$4:$L$40,3,FALSE),0)+IF(AND(M959="Ensayo Idiem",L959="Cafco 400",C959="IN",G959=4,I959=90),VLOOKUP(T959,'CAFCO 400 ENSAYO'!$B$7:$D$43,2,FALSE),0)+IF(AND(M959="Ensayo Idiem",L959="Cafco 400",C959="IN",G959=4,I959=120),VLOOKUP(T959,'CAFCO 400 ENSAYO'!$B$7:$D$43,3,FALSE),0)</f>
        <v>0</v>
      </c>
      <c r="O959" s="96">
        <f t="shared" si="96"/>
        <v>0</v>
      </c>
      <c r="P959" s="132" t="str">
        <f t="shared" si="97"/>
        <v>N/A</v>
      </c>
      <c r="Q959" s="132" t="str">
        <f t="shared" si="98"/>
        <v>N/A</v>
      </c>
      <c r="R959" s="132" t="str">
        <f t="shared" si="99"/>
        <v>NO CERT.</v>
      </c>
      <c r="S959" s="132" t="e">
        <f t="shared" si="100"/>
        <v>#N/A</v>
      </c>
      <c r="T959" s="133" t="e">
        <f>+IF(J959=LOOKUP(J959,'CAFCO 300 IDIEM TABLAS'!$J$4:$J$40),'CALCULO MORTERO'!J959,MROUND('CALCULO MORTERO'!J959,10))</f>
        <v>#N/A</v>
      </c>
      <c r="U959" s="134">
        <f t="shared" si="101"/>
        <v>0</v>
      </c>
    </row>
    <row r="960" spans="1:21" x14ac:dyDescent="0.25">
      <c r="A960" s="118">
        <f>+CUBICACION!D954</f>
        <v>0</v>
      </c>
      <c r="B960" s="819">
        <f>+CUBICACION!E954</f>
        <v>0</v>
      </c>
      <c r="C960" s="675">
        <f>+CUBICACION!F954</f>
        <v>0</v>
      </c>
      <c r="D960" s="118"/>
      <c r="E960" s="118"/>
      <c r="F960" s="820"/>
      <c r="G960" s="675">
        <f>+CUBICACION!J954</f>
        <v>0</v>
      </c>
      <c r="H960" s="118"/>
      <c r="I960" s="821">
        <f>+CUBICACION!L954</f>
        <v>0</v>
      </c>
      <c r="J960" s="64">
        <f>+CUBICACION!M954</f>
        <v>0</v>
      </c>
      <c r="K960" s="822" t="str">
        <f>+CUBICACION!N954</f>
        <v/>
      </c>
      <c r="L960" s="118">
        <f>+CUBICACION!O954</f>
        <v>0</v>
      </c>
      <c r="M960" s="823">
        <f>+CUBICACION!P954</f>
        <v>0</v>
      </c>
      <c r="N960" s="902">
        <f>ROUND(IF(AND(L960="Blaze Shield II",M960="Software Idiem",C960="IN",G960=4),((('BLAZE SHIELD II'!$D$4*('CALCULO MORTERO'!I960^2)+'BLAZE SHIELD II'!$D$5*'CALCULO MORTERO'!I960+'BLAZE SHIELD II'!$D$6)*LN(J960))+('BLAZE SHIELD II'!$D$7*('CALCULO MORTERO'!I960^2)+'BLAZE SHIELD II'!$D$8*'CALCULO MORTERO'!I960+'BLAZE SHIELD II'!$D$9)),0)+IF(AND(L960="Blaze Shield II",M960="Software Idiem",C960="Cj"),((('BLAZE SHIELD II'!$H$4*('CALCULO MORTERO'!I960^2)+'BLAZE SHIELD II'!$H$5*'CALCULO MORTERO'!I960+'BLAZE SHIELD II'!$H$6)*LN(J960))+('BLAZE SHIELD II'!$H$7*('CALCULO MORTERO'!I960^2)+'BLAZE SHIELD II'!$H$8*'CALCULO MORTERO'!I960+'BLAZE SHIELD II'!$H$9)),0)+IF(AND(L960="Blaze Shield II",M960="Software Idiem",C960="C"),((('BLAZE SHIELD II'!$L$4*('CALCULO MORTERO'!I960^2)+'BLAZE SHIELD II'!$L$5*'CALCULO MORTERO'!I960+'BLAZE SHIELD II'!$L$6)*LN(J960))+('BLAZE SHIELD II'!$L$7*('CALCULO MORTERO'!I960^2)+'BLAZE SHIELD II'!$L$8*'CALCULO MORTERO'!I960+'BLAZE SHIELD II'!$L$9)),0)+IF(AND(L960="Blaze Shield II",M960="Software Idiem",C960="L"),((('BLAZE SHIELD II'!$L$4*('CALCULO MORTERO'!I960^2)+'BLAZE SHIELD II'!$L$5*'CALCULO MORTERO'!I960+'BLAZE SHIELD II'!$L$6)*LN(J960))+('BLAZE SHIELD II'!$L$7*('CALCULO MORTERO'!I960^2)+'BLAZE SHIELD II'!$L$8*'CALCULO MORTERO'!I960+'BLAZE SHIELD II'!$L$9)),0)+IF(AND(L960="Blaze Shield II",M960="Software Idiem",C960="IN",G960=3),((('BLAZE SHIELD II'!$H$14*('CALCULO MORTERO'!I960^2)+'BLAZE SHIELD II'!$H$15*'CALCULO MORTERO'!I960+'BLAZE SHIELD II'!$H$16)*LN(J960))+('BLAZE SHIELD II'!$H$17*('CALCULO MORTERO'!I960^2)+'BLAZE SHIELD II'!$H$18*'CALCULO MORTERO'!I960+'BLAZE SHIELD II'!$H$19)),0),0)+ROUND(IF(AND(L960="Cafco 400",M960="Software Idiem",C960="IN",G960=4),((('CAFCO 400 '!$H$7*(J960^4)+'CAFCO 400 '!$H$8*(J960^3)+'CAFCO 400 '!$H$9*(J960^2)+'CAFCO 400 '!$H$10*J960+'CAFCO 400 '!$H$11)*U960^2)+(('CAFCO 400 '!$H$12*(J960^3)+'CAFCO 400 '!$H$13*(J960^2)+'CAFCO 400 '!$H$14*J960+'CAFCO 400 '!$H$15)*U960)+('CAFCO 400 '!$H$16*(J960^2)+'CAFCO 400 '!$H$17*J960+'CAFCO 400 '!$H$18)),0)+IF(AND(L960="Cafco 400",M960="Software Idiem",C960="Cj"),(((('CAFCO 400 '!$D$7*LN(J960)+'CAFCO 400 '!$D$8)*U960^2)+(('CAFCO 400 '!$D$9*LN(J960)+'CAFCO 400 '!$D$10)*U960)+('CAFCO 400 '!$D$11*LN(J960)+'CAFCO 400 '!$D$12))),0)+IF(AND(L960="Cafco 400",M960="Software Idiem",C960="C"),((('CAFCO 400 '!$L$7*(J960^3)+'CAFCO 400 '!$L$8*(J960^2)+'CAFCO 400 '!$L$9*J960+'CAFCO 400 '!$L$10)*U960^2)+(('CAFCO 400 '!$L$11*(J960^3)+'CAFCO 400 '!$L$12*(J960^2)+'CAFCO 400 '!$L$13*J960+'CAFCO 400 '!$L$14)*U960)+('CAFCO 400 '!$L$15*LN(J960)+'CAFCO 400 '!$L$16)),0)+IF(AND(L960="Cafco 400",M960="Software Idiem",C960="L"),((('CAFCO 400 '!$L$7*(J960^3)+'CAFCO 400 '!$L$8*(J960^2)+'CAFCO 400 '!$L$9*J960+'CAFCO 400 '!$L$10)*U960^2)+(('CAFCO 400 '!$L$11*(J960^3)+'CAFCO 400 '!$L$12*(J960^2)+'CAFCO 400 '!$L$13*J960+'CAFCO 400 '!$L$14)*U960)+('CAFCO 400 '!$L$15*LN(J960)+'CAFCO 400 '!$L$16)),0)+IF(AND(L960="Cafco 400",M960="Software Idiem",C960="IN",G960=3),((('CAFCO 400 '!$D$23*(J960^2)+'CAFCO 400 '!$D$24*(J960)+'CAFCO 400 '!$D$25)*U960^2)+(('CAFCO 400 '!$D$26*(J960^2)+'CAFCO 400 '!$D$27*J960+'CAFCO 400 '!$D$28)*U960)+('CAFCO 400 '!$D$29*(J960^2)+'CAFCO 400 '!$D$30*J960+'CAFCO 400 '!$D$31)),0),0)+IF(AND(L960="Cafco 300",J960&gt;=95,J960&lt;=240,C960="Cj",I960=90),VLOOKUP(T960,'CAFCO 300 IDIEM TABLAS'!$B$4:$D$23,2,FALSE),0)+IF(AND(L960="Cafco 300",J960&gt;=95,J960&lt;=240,C960="Cj",I960=120),VLOOKUP(T960,'CAFCO 300 IDIEM TABLAS'!$B$4:$D$23,3,FALSE),0)+IF(AND(L960="Cafco 300",J960&gt;=95,J960&lt;=400,G960=3,C960="IN",I960=90),VLOOKUP(T960,'CAFCO 300 IDIEM TABLAS'!$F$4:$H$35,2,FALSE),0)+IF(AND(L960="Cafco 300",J960&gt;=95,J960&lt;=400,G960=3,C960="IN",I960=120),VLOOKUP(T960,'CAFCO 300 IDIEM TABLAS'!$F$4:$H$35,3,FALSE),0)+IF(AND(L960="Cafco 300",J960&gt;=95,J960&lt;=450,G960=4,C960="IN",I960=90),VLOOKUP(T960,'CAFCO 300 IDIEM TABLAS'!$J$4:$L$40,2,FALSE),0)+IF(AND(L960="Cafco 300",J960&gt;=95,J960&lt;=450,G960=4,C960="IN",I960=120),VLOOKUP(T960,'CAFCO 300 IDIEM TABLAS'!$J$4:$L$40,3,FALSE),0)+IF(AND(M960="Ensayo Idiem",L960="Cafco 400",C960="IN",G960=4,I960=90),VLOOKUP(T960,'CAFCO 400 ENSAYO'!$B$7:$D$43,2,FALSE),0)+IF(AND(M960="Ensayo Idiem",L960="Cafco 400",C960="IN",G960=4,I960=120),VLOOKUP(T960,'CAFCO 400 ENSAYO'!$B$7:$D$43,3,FALSE),0)</f>
        <v>0</v>
      </c>
      <c r="O960" s="96">
        <f t="shared" si="96"/>
        <v>0</v>
      </c>
      <c r="P960" s="95" t="str">
        <f t="shared" si="97"/>
        <v>N/A</v>
      </c>
      <c r="Q960" s="95" t="str">
        <f t="shared" si="98"/>
        <v>N/A</v>
      </c>
      <c r="R960" s="95" t="str">
        <f t="shared" si="99"/>
        <v>NO CERT.</v>
      </c>
      <c r="S960" s="95" t="e">
        <f t="shared" si="100"/>
        <v>#N/A</v>
      </c>
      <c r="T960" s="119" t="e">
        <f>+IF(J960=LOOKUP(J960,'CAFCO 300 IDIEM TABLAS'!$J$4:$J$40),'CALCULO MORTERO'!J960,MROUND('CALCULO MORTERO'!J960,10))</f>
        <v>#N/A</v>
      </c>
      <c r="U960" s="118">
        <f t="shared" si="101"/>
        <v>0</v>
      </c>
    </row>
    <row r="961" spans="1:21" x14ac:dyDescent="0.25">
      <c r="A961" s="118">
        <f>+CUBICACION!D955</f>
        <v>0</v>
      </c>
      <c r="B961" s="819">
        <f>+CUBICACION!E955</f>
        <v>0</v>
      </c>
      <c r="C961" s="675">
        <f>+CUBICACION!F955</f>
        <v>0</v>
      </c>
      <c r="D961" s="118"/>
      <c r="E961" s="118"/>
      <c r="F961" s="820"/>
      <c r="G961" s="675">
        <f>+CUBICACION!J955</f>
        <v>0</v>
      </c>
      <c r="H961" s="118"/>
      <c r="I961" s="821">
        <f>+CUBICACION!L955</f>
        <v>0</v>
      </c>
      <c r="J961" s="64">
        <f>+CUBICACION!M955</f>
        <v>0</v>
      </c>
      <c r="K961" s="822" t="str">
        <f>+CUBICACION!N955</f>
        <v/>
      </c>
      <c r="L961" s="118">
        <f>+CUBICACION!O955</f>
        <v>0</v>
      </c>
      <c r="M961" s="823">
        <f>+CUBICACION!P955</f>
        <v>0</v>
      </c>
      <c r="N961" s="902">
        <f>ROUND(IF(AND(L961="Blaze Shield II",M961="Software Idiem",C961="IN",G961=4),((('BLAZE SHIELD II'!$D$4*('CALCULO MORTERO'!I961^2)+'BLAZE SHIELD II'!$D$5*'CALCULO MORTERO'!I961+'BLAZE SHIELD II'!$D$6)*LN(J961))+('BLAZE SHIELD II'!$D$7*('CALCULO MORTERO'!I961^2)+'BLAZE SHIELD II'!$D$8*'CALCULO MORTERO'!I961+'BLAZE SHIELD II'!$D$9)),0)+IF(AND(L961="Blaze Shield II",M961="Software Idiem",C961="Cj"),((('BLAZE SHIELD II'!$H$4*('CALCULO MORTERO'!I961^2)+'BLAZE SHIELD II'!$H$5*'CALCULO MORTERO'!I961+'BLAZE SHIELD II'!$H$6)*LN(J961))+('BLAZE SHIELD II'!$H$7*('CALCULO MORTERO'!I961^2)+'BLAZE SHIELD II'!$H$8*'CALCULO MORTERO'!I961+'BLAZE SHIELD II'!$H$9)),0)+IF(AND(L961="Blaze Shield II",M961="Software Idiem",C961="C"),((('BLAZE SHIELD II'!$L$4*('CALCULO MORTERO'!I961^2)+'BLAZE SHIELD II'!$L$5*'CALCULO MORTERO'!I961+'BLAZE SHIELD II'!$L$6)*LN(J961))+('BLAZE SHIELD II'!$L$7*('CALCULO MORTERO'!I961^2)+'BLAZE SHIELD II'!$L$8*'CALCULO MORTERO'!I961+'BLAZE SHIELD II'!$L$9)),0)+IF(AND(L961="Blaze Shield II",M961="Software Idiem",C961="L"),((('BLAZE SHIELD II'!$L$4*('CALCULO MORTERO'!I961^2)+'BLAZE SHIELD II'!$L$5*'CALCULO MORTERO'!I961+'BLAZE SHIELD II'!$L$6)*LN(J961))+('BLAZE SHIELD II'!$L$7*('CALCULO MORTERO'!I961^2)+'BLAZE SHIELD II'!$L$8*'CALCULO MORTERO'!I961+'BLAZE SHIELD II'!$L$9)),0)+IF(AND(L961="Blaze Shield II",M961="Software Idiem",C961="IN",G961=3),((('BLAZE SHIELD II'!$H$14*('CALCULO MORTERO'!I961^2)+'BLAZE SHIELD II'!$H$15*'CALCULO MORTERO'!I961+'BLAZE SHIELD II'!$H$16)*LN(J961))+('BLAZE SHIELD II'!$H$17*('CALCULO MORTERO'!I961^2)+'BLAZE SHIELD II'!$H$18*'CALCULO MORTERO'!I961+'BLAZE SHIELD II'!$H$19)),0),0)+ROUND(IF(AND(L961="Cafco 400",M961="Software Idiem",C961="IN",G961=4),((('CAFCO 400 '!$H$7*(J961^4)+'CAFCO 400 '!$H$8*(J961^3)+'CAFCO 400 '!$H$9*(J961^2)+'CAFCO 400 '!$H$10*J961+'CAFCO 400 '!$H$11)*U961^2)+(('CAFCO 400 '!$H$12*(J961^3)+'CAFCO 400 '!$H$13*(J961^2)+'CAFCO 400 '!$H$14*J961+'CAFCO 400 '!$H$15)*U961)+('CAFCO 400 '!$H$16*(J961^2)+'CAFCO 400 '!$H$17*J961+'CAFCO 400 '!$H$18)),0)+IF(AND(L961="Cafco 400",M961="Software Idiem",C961="Cj"),(((('CAFCO 400 '!$D$7*LN(J961)+'CAFCO 400 '!$D$8)*U961^2)+(('CAFCO 400 '!$D$9*LN(J961)+'CAFCO 400 '!$D$10)*U961)+('CAFCO 400 '!$D$11*LN(J961)+'CAFCO 400 '!$D$12))),0)+IF(AND(L961="Cafco 400",M961="Software Idiem",C961="C"),((('CAFCO 400 '!$L$7*(J961^3)+'CAFCO 400 '!$L$8*(J961^2)+'CAFCO 400 '!$L$9*J961+'CAFCO 400 '!$L$10)*U961^2)+(('CAFCO 400 '!$L$11*(J961^3)+'CAFCO 400 '!$L$12*(J961^2)+'CAFCO 400 '!$L$13*J961+'CAFCO 400 '!$L$14)*U961)+('CAFCO 400 '!$L$15*LN(J961)+'CAFCO 400 '!$L$16)),0)+IF(AND(L961="Cafco 400",M961="Software Idiem",C961="L"),((('CAFCO 400 '!$L$7*(J961^3)+'CAFCO 400 '!$L$8*(J961^2)+'CAFCO 400 '!$L$9*J961+'CAFCO 400 '!$L$10)*U961^2)+(('CAFCO 400 '!$L$11*(J961^3)+'CAFCO 400 '!$L$12*(J961^2)+'CAFCO 400 '!$L$13*J961+'CAFCO 400 '!$L$14)*U961)+('CAFCO 400 '!$L$15*LN(J961)+'CAFCO 400 '!$L$16)),0)+IF(AND(L961="Cafco 400",M961="Software Idiem",C961="IN",G961=3),((('CAFCO 400 '!$D$23*(J961^2)+'CAFCO 400 '!$D$24*(J961)+'CAFCO 400 '!$D$25)*U961^2)+(('CAFCO 400 '!$D$26*(J961^2)+'CAFCO 400 '!$D$27*J961+'CAFCO 400 '!$D$28)*U961)+('CAFCO 400 '!$D$29*(J961^2)+'CAFCO 400 '!$D$30*J961+'CAFCO 400 '!$D$31)),0),0)+IF(AND(L961="Cafco 300",J961&gt;=95,J961&lt;=240,C961="Cj",I961=90),VLOOKUP(T961,'CAFCO 300 IDIEM TABLAS'!$B$4:$D$23,2,FALSE),0)+IF(AND(L961="Cafco 300",J961&gt;=95,J961&lt;=240,C961="Cj",I961=120),VLOOKUP(T961,'CAFCO 300 IDIEM TABLAS'!$B$4:$D$23,3,FALSE),0)+IF(AND(L961="Cafco 300",J961&gt;=95,J961&lt;=400,G961=3,C961="IN",I961=90),VLOOKUP(T961,'CAFCO 300 IDIEM TABLAS'!$F$4:$H$35,2,FALSE),0)+IF(AND(L961="Cafco 300",J961&gt;=95,J961&lt;=400,G961=3,C961="IN",I961=120),VLOOKUP(T961,'CAFCO 300 IDIEM TABLAS'!$F$4:$H$35,3,FALSE),0)+IF(AND(L961="Cafco 300",J961&gt;=95,J961&lt;=450,G961=4,C961="IN",I961=90),VLOOKUP(T961,'CAFCO 300 IDIEM TABLAS'!$J$4:$L$40,2,FALSE),0)+IF(AND(L961="Cafco 300",J961&gt;=95,J961&lt;=450,G961=4,C961="IN",I961=120),VLOOKUP(T961,'CAFCO 300 IDIEM TABLAS'!$J$4:$L$40,3,FALSE),0)+IF(AND(M961="Ensayo Idiem",L961="Cafco 400",C961="IN",G961=4,I961=90),VLOOKUP(T961,'CAFCO 400 ENSAYO'!$B$7:$D$43,2,FALSE),0)+IF(AND(M961="Ensayo Idiem",L961="Cafco 400",C961="IN",G961=4,I961=120),VLOOKUP(T961,'CAFCO 400 ENSAYO'!$B$7:$D$43,3,FALSE),0)</f>
        <v>0</v>
      </c>
      <c r="O961" s="96">
        <f t="shared" si="96"/>
        <v>0</v>
      </c>
      <c r="P961" s="132" t="str">
        <f t="shared" si="97"/>
        <v>N/A</v>
      </c>
      <c r="Q961" s="132" t="str">
        <f t="shared" si="98"/>
        <v>N/A</v>
      </c>
      <c r="R961" s="132" t="str">
        <f t="shared" si="99"/>
        <v>NO CERT.</v>
      </c>
      <c r="S961" s="132" t="e">
        <f t="shared" si="100"/>
        <v>#N/A</v>
      </c>
      <c r="T961" s="133" t="e">
        <f>+IF(J961=LOOKUP(J961,'CAFCO 300 IDIEM TABLAS'!$J$4:$J$40),'CALCULO MORTERO'!J961,MROUND('CALCULO MORTERO'!J961,10))</f>
        <v>#N/A</v>
      </c>
      <c r="U961" s="134">
        <f t="shared" si="101"/>
        <v>0</v>
      </c>
    </row>
    <row r="962" spans="1:21" x14ac:dyDescent="0.25">
      <c r="A962" s="118">
        <f>+CUBICACION!D956</f>
        <v>0</v>
      </c>
      <c r="B962" s="819">
        <f>+CUBICACION!E956</f>
        <v>0</v>
      </c>
      <c r="C962" s="675">
        <f>+CUBICACION!F956</f>
        <v>0</v>
      </c>
      <c r="D962" s="118"/>
      <c r="E962" s="118"/>
      <c r="F962" s="820"/>
      <c r="G962" s="675">
        <f>+CUBICACION!J956</f>
        <v>0</v>
      </c>
      <c r="H962" s="118"/>
      <c r="I962" s="821">
        <f>+CUBICACION!L956</f>
        <v>0</v>
      </c>
      <c r="J962" s="64">
        <f>+CUBICACION!M956</f>
        <v>0</v>
      </c>
      <c r="K962" s="822" t="str">
        <f>+CUBICACION!N956</f>
        <v/>
      </c>
      <c r="L962" s="118">
        <f>+CUBICACION!O956</f>
        <v>0</v>
      </c>
      <c r="M962" s="823">
        <f>+CUBICACION!P956</f>
        <v>0</v>
      </c>
      <c r="N962" s="902">
        <f>ROUND(IF(AND(L962="Blaze Shield II",M962="Software Idiem",C962="IN",G962=4),((('BLAZE SHIELD II'!$D$4*('CALCULO MORTERO'!I962^2)+'BLAZE SHIELD II'!$D$5*'CALCULO MORTERO'!I962+'BLAZE SHIELD II'!$D$6)*LN(J962))+('BLAZE SHIELD II'!$D$7*('CALCULO MORTERO'!I962^2)+'BLAZE SHIELD II'!$D$8*'CALCULO MORTERO'!I962+'BLAZE SHIELD II'!$D$9)),0)+IF(AND(L962="Blaze Shield II",M962="Software Idiem",C962="Cj"),((('BLAZE SHIELD II'!$H$4*('CALCULO MORTERO'!I962^2)+'BLAZE SHIELD II'!$H$5*'CALCULO MORTERO'!I962+'BLAZE SHIELD II'!$H$6)*LN(J962))+('BLAZE SHIELD II'!$H$7*('CALCULO MORTERO'!I962^2)+'BLAZE SHIELD II'!$H$8*'CALCULO MORTERO'!I962+'BLAZE SHIELD II'!$H$9)),0)+IF(AND(L962="Blaze Shield II",M962="Software Idiem",C962="C"),((('BLAZE SHIELD II'!$L$4*('CALCULO MORTERO'!I962^2)+'BLAZE SHIELD II'!$L$5*'CALCULO MORTERO'!I962+'BLAZE SHIELD II'!$L$6)*LN(J962))+('BLAZE SHIELD II'!$L$7*('CALCULO MORTERO'!I962^2)+'BLAZE SHIELD II'!$L$8*'CALCULO MORTERO'!I962+'BLAZE SHIELD II'!$L$9)),0)+IF(AND(L962="Blaze Shield II",M962="Software Idiem",C962="L"),((('BLAZE SHIELD II'!$L$4*('CALCULO MORTERO'!I962^2)+'BLAZE SHIELD II'!$L$5*'CALCULO MORTERO'!I962+'BLAZE SHIELD II'!$L$6)*LN(J962))+('BLAZE SHIELD II'!$L$7*('CALCULO MORTERO'!I962^2)+'BLAZE SHIELD II'!$L$8*'CALCULO MORTERO'!I962+'BLAZE SHIELD II'!$L$9)),0)+IF(AND(L962="Blaze Shield II",M962="Software Idiem",C962="IN",G962=3),((('BLAZE SHIELD II'!$H$14*('CALCULO MORTERO'!I962^2)+'BLAZE SHIELD II'!$H$15*'CALCULO MORTERO'!I962+'BLAZE SHIELD II'!$H$16)*LN(J962))+('BLAZE SHIELD II'!$H$17*('CALCULO MORTERO'!I962^2)+'BLAZE SHIELD II'!$H$18*'CALCULO MORTERO'!I962+'BLAZE SHIELD II'!$H$19)),0),0)+ROUND(IF(AND(L962="Cafco 400",M962="Software Idiem",C962="IN",G962=4),((('CAFCO 400 '!$H$7*(J962^4)+'CAFCO 400 '!$H$8*(J962^3)+'CAFCO 400 '!$H$9*(J962^2)+'CAFCO 400 '!$H$10*J962+'CAFCO 400 '!$H$11)*U962^2)+(('CAFCO 400 '!$H$12*(J962^3)+'CAFCO 400 '!$H$13*(J962^2)+'CAFCO 400 '!$H$14*J962+'CAFCO 400 '!$H$15)*U962)+('CAFCO 400 '!$H$16*(J962^2)+'CAFCO 400 '!$H$17*J962+'CAFCO 400 '!$H$18)),0)+IF(AND(L962="Cafco 400",M962="Software Idiem",C962="Cj"),(((('CAFCO 400 '!$D$7*LN(J962)+'CAFCO 400 '!$D$8)*U962^2)+(('CAFCO 400 '!$D$9*LN(J962)+'CAFCO 400 '!$D$10)*U962)+('CAFCO 400 '!$D$11*LN(J962)+'CAFCO 400 '!$D$12))),0)+IF(AND(L962="Cafco 400",M962="Software Idiem",C962="C"),((('CAFCO 400 '!$L$7*(J962^3)+'CAFCO 400 '!$L$8*(J962^2)+'CAFCO 400 '!$L$9*J962+'CAFCO 400 '!$L$10)*U962^2)+(('CAFCO 400 '!$L$11*(J962^3)+'CAFCO 400 '!$L$12*(J962^2)+'CAFCO 400 '!$L$13*J962+'CAFCO 400 '!$L$14)*U962)+('CAFCO 400 '!$L$15*LN(J962)+'CAFCO 400 '!$L$16)),0)+IF(AND(L962="Cafco 400",M962="Software Idiem",C962="L"),((('CAFCO 400 '!$L$7*(J962^3)+'CAFCO 400 '!$L$8*(J962^2)+'CAFCO 400 '!$L$9*J962+'CAFCO 400 '!$L$10)*U962^2)+(('CAFCO 400 '!$L$11*(J962^3)+'CAFCO 400 '!$L$12*(J962^2)+'CAFCO 400 '!$L$13*J962+'CAFCO 400 '!$L$14)*U962)+('CAFCO 400 '!$L$15*LN(J962)+'CAFCO 400 '!$L$16)),0)+IF(AND(L962="Cafco 400",M962="Software Idiem",C962="IN",G962=3),((('CAFCO 400 '!$D$23*(J962^2)+'CAFCO 400 '!$D$24*(J962)+'CAFCO 400 '!$D$25)*U962^2)+(('CAFCO 400 '!$D$26*(J962^2)+'CAFCO 400 '!$D$27*J962+'CAFCO 400 '!$D$28)*U962)+('CAFCO 400 '!$D$29*(J962^2)+'CAFCO 400 '!$D$30*J962+'CAFCO 400 '!$D$31)),0),0)+IF(AND(L962="Cafco 300",J962&gt;=95,J962&lt;=240,C962="Cj",I962=90),VLOOKUP(T962,'CAFCO 300 IDIEM TABLAS'!$B$4:$D$23,2,FALSE),0)+IF(AND(L962="Cafco 300",J962&gt;=95,J962&lt;=240,C962="Cj",I962=120),VLOOKUP(T962,'CAFCO 300 IDIEM TABLAS'!$B$4:$D$23,3,FALSE),0)+IF(AND(L962="Cafco 300",J962&gt;=95,J962&lt;=400,G962=3,C962="IN",I962=90),VLOOKUP(T962,'CAFCO 300 IDIEM TABLAS'!$F$4:$H$35,2,FALSE),0)+IF(AND(L962="Cafco 300",J962&gt;=95,J962&lt;=400,G962=3,C962="IN",I962=120),VLOOKUP(T962,'CAFCO 300 IDIEM TABLAS'!$F$4:$H$35,3,FALSE),0)+IF(AND(L962="Cafco 300",J962&gt;=95,J962&lt;=450,G962=4,C962="IN",I962=90),VLOOKUP(T962,'CAFCO 300 IDIEM TABLAS'!$J$4:$L$40,2,FALSE),0)+IF(AND(L962="Cafco 300",J962&gt;=95,J962&lt;=450,G962=4,C962="IN",I962=120),VLOOKUP(T962,'CAFCO 300 IDIEM TABLAS'!$J$4:$L$40,3,FALSE),0)+IF(AND(M962="Ensayo Idiem",L962="Cafco 400",C962="IN",G962=4,I962=90),VLOOKUP(T962,'CAFCO 400 ENSAYO'!$B$7:$D$43,2,FALSE),0)+IF(AND(M962="Ensayo Idiem",L962="Cafco 400",C962="IN",G962=4,I962=120),VLOOKUP(T962,'CAFCO 400 ENSAYO'!$B$7:$D$43,3,FALSE),0)</f>
        <v>0</v>
      </c>
      <c r="O962" s="96">
        <f t="shared" si="96"/>
        <v>0</v>
      </c>
      <c r="P962" s="95" t="str">
        <f t="shared" si="97"/>
        <v>N/A</v>
      </c>
      <c r="Q962" s="95" t="str">
        <f t="shared" si="98"/>
        <v>N/A</v>
      </c>
      <c r="R962" s="95" t="str">
        <f t="shared" si="99"/>
        <v>NO CERT.</v>
      </c>
      <c r="S962" s="95" t="e">
        <f t="shared" si="100"/>
        <v>#N/A</v>
      </c>
      <c r="T962" s="119" t="e">
        <f>+IF(J962=LOOKUP(J962,'CAFCO 300 IDIEM TABLAS'!$J$4:$J$40),'CALCULO MORTERO'!J962,MROUND('CALCULO MORTERO'!J962,10))</f>
        <v>#N/A</v>
      </c>
      <c r="U962" s="118">
        <f t="shared" si="101"/>
        <v>0</v>
      </c>
    </row>
    <row r="963" spans="1:21" x14ac:dyDescent="0.25">
      <c r="A963" s="118">
        <f>+CUBICACION!D957</f>
        <v>0</v>
      </c>
      <c r="B963" s="819">
        <f>+CUBICACION!E957</f>
        <v>0</v>
      </c>
      <c r="C963" s="675">
        <f>+CUBICACION!F957</f>
        <v>0</v>
      </c>
      <c r="D963" s="118"/>
      <c r="E963" s="118"/>
      <c r="F963" s="820"/>
      <c r="G963" s="675">
        <f>+CUBICACION!J957</f>
        <v>0</v>
      </c>
      <c r="H963" s="118"/>
      <c r="I963" s="821">
        <f>+CUBICACION!L957</f>
        <v>0</v>
      </c>
      <c r="J963" s="64">
        <f>+CUBICACION!M957</f>
        <v>0</v>
      </c>
      <c r="K963" s="822" t="str">
        <f>+CUBICACION!N957</f>
        <v/>
      </c>
      <c r="L963" s="118">
        <f>+CUBICACION!O957</f>
        <v>0</v>
      </c>
      <c r="M963" s="823">
        <f>+CUBICACION!P957</f>
        <v>0</v>
      </c>
      <c r="N963" s="902">
        <f>ROUND(IF(AND(L963="Blaze Shield II",M963="Software Idiem",C963="IN",G963=4),((('BLAZE SHIELD II'!$D$4*('CALCULO MORTERO'!I963^2)+'BLAZE SHIELD II'!$D$5*'CALCULO MORTERO'!I963+'BLAZE SHIELD II'!$D$6)*LN(J963))+('BLAZE SHIELD II'!$D$7*('CALCULO MORTERO'!I963^2)+'BLAZE SHIELD II'!$D$8*'CALCULO MORTERO'!I963+'BLAZE SHIELD II'!$D$9)),0)+IF(AND(L963="Blaze Shield II",M963="Software Idiem",C963="Cj"),((('BLAZE SHIELD II'!$H$4*('CALCULO MORTERO'!I963^2)+'BLAZE SHIELD II'!$H$5*'CALCULO MORTERO'!I963+'BLAZE SHIELD II'!$H$6)*LN(J963))+('BLAZE SHIELD II'!$H$7*('CALCULO MORTERO'!I963^2)+'BLAZE SHIELD II'!$H$8*'CALCULO MORTERO'!I963+'BLAZE SHIELD II'!$H$9)),0)+IF(AND(L963="Blaze Shield II",M963="Software Idiem",C963="C"),((('BLAZE SHIELD II'!$L$4*('CALCULO MORTERO'!I963^2)+'BLAZE SHIELD II'!$L$5*'CALCULO MORTERO'!I963+'BLAZE SHIELD II'!$L$6)*LN(J963))+('BLAZE SHIELD II'!$L$7*('CALCULO MORTERO'!I963^2)+'BLAZE SHIELD II'!$L$8*'CALCULO MORTERO'!I963+'BLAZE SHIELD II'!$L$9)),0)+IF(AND(L963="Blaze Shield II",M963="Software Idiem",C963="L"),((('BLAZE SHIELD II'!$L$4*('CALCULO MORTERO'!I963^2)+'BLAZE SHIELD II'!$L$5*'CALCULO MORTERO'!I963+'BLAZE SHIELD II'!$L$6)*LN(J963))+('BLAZE SHIELD II'!$L$7*('CALCULO MORTERO'!I963^2)+'BLAZE SHIELD II'!$L$8*'CALCULO MORTERO'!I963+'BLAZE SHIELD II'!$L$9)),0)+IF(AND(L963="Blaze Shield II",M963="Software Idiem",C963="IN",G963=3),((('BLAZE SHIELD II'!$H$14*('CALCULO MORTERO'!I963^2)+'BLAZE SHIELD II'!$H$15*'CALCULO MORTERO'!I963+'BLAZE SHIELD II'!$H$16)*LN(J963))+('BLAZE SHIELD II'!$H$17*('CALCULO MORTERO'!I963^2)+'BLAZE SHIELD II'!$H$18*'CALCULO MORTERO'!I963+'BLAZE SHIELD II'!$H$19)),0),0)+ROUND(IF(AND(L963="Cafco 400",M963="Software Idiem",C963="IN",G963=4),((('CAFCO 400 '!$H$7*(J963^4)+'CAFCO 400 '!$H$8*(J963^3)+'CAFCO 400 '!$H$9*(J963^2)+'CAFCO 400 '!$H$10*J963+'CAFCO 400 '!$H$11)*U963^2)+(('CAFCO 400 '!$H$12*(J963^3)+'CAFCO 400 '!$H$13*(J963^2)+'CAFCO 400 '!$H$14*J963+'CAFCO 400 '!$H$15)*U963)+('CAFCO 400 '!$H$16*(J963^2)+'CAFCO 400 '!$H$17*J963+'CAFCO 400 '!$H$18)),0)+IF(AND(L963="Cafco 400",M963="Software Idiem",C963="Cj"),(((('CAFCO 400 '!$D$7*LN(J963)+'CAFCO 400 '!$D$8)*U963^2)+(('CAFCO 400 '!$D$9*LN(J963)+'CAFCO 400 '!$D$10)*U963)+('CAFCO 400 '!$D$11*LN(J963)+'CAFCO 400 '!$D$12))),0)+IF(AND(L963="Cafco 400",M963="Software Idiem",C963="C"),((('CAFCO 400 '!$L$7*(J963^3)+'CAFCO 400 '!$L$8*(J963^2)+'CAFCO 400 '!$L$9*J963+'CAFCO 400 '!$L$10)*U963^2)+(('CAFCO 400 '!$L$11*(J963^3)+'CAFCO 400 '!$L$12*(J963^2)+'CAFCO 400 '!$L$13*J963+'CAFCO 400 '!$L$14)*U963)+('CAFCO 400 '!$L$15*LN(J963)+'CAFCO 400 '!$L$16)),0)+IF(AND(L963="Cafco 400",M963="Software Idiem",C963="L"),((('CAFCO 400 '!$L$7*(J963^3)+'CAFCO 400 '!$L$8*(J963^2)+'CAFCO 400 '!$L$9*J963+'CAFCO 400 '!$L$10)*U963^2)+(('CAFCO 400 '!$L$11*(J963^3)+'CAFCO 400 '!$L$12*(J963^2)+'CAFCO 400 '!$L$13*J963+'CAFCO 400 '!$L$14)*U963)+('CAFCO 400 '!$L$15*LN(J963)+'CAFCO 400 '!$L$16)),0)+IF(AND(L963="Cafco 400",M963="Software Idiem",C963="IN",G963=3),((('CAFCO 400 '!$D$23*(J963^2)+'CAFCO 400 '!$D$24*(J963)+'CAFCO 400 '!$D$25)*U963^2)+(('CAFCO 400 '!$D$26*(J963^2)+'CAFCO 400 '!$D$27*J963+'CAFCO 400 '!$D$28)*U963)+('CAFCO 400 '!$D$29*(J963^2)+'CAFCO 400 '!$D$30*J963+'CAFCO 400 '!$D$31)),0),0)+IF(AND(L963="Cafco 300",J963&gt;=95,J963&lt;=240,C963="Cj",I963=90),VLOOKUP(T963,'CAFCO 300 IDIEM TABLAS'!$B$4:$D$23,2,FALSE),0)+IF(AND(L963="Cafco 300",J963&gt;=95,J963&lt;=240,C963="Cj",I963=120),VLOOKUP(T963,'CAFCO 300 IDIEM TABLAS'!$B$4:$D$23,3,FALSE),0)+IF(AND(L963="Cafco 300",J963&gt;=95,J963&lt;=400,G963=3,C963="IN",I963=90),VLOOKUP(T963,'CAFCO 300 IDIEM TABLAS'!$F$4:$H$35,2,FALSE),0)+IF(AND(L963="Cafco 300",J963&gt;=95,J963&lt;=400,G963=3,C963="IN",I963=120),VLOOKUP(T963,'CAFCO 300 IDIEM TABLAS'!$F$4:$H$35,3,FALSE),0)+IF(AND(L963="Cafco 300",J963&gt;=95,J963&lt;=450,G963=4,C963="IN",I963=90),VLOOKUP(T963,'CAFCO 300 IDIEM TABLAS'!$J$4:$L$40,2,FALSE),0)+IF(AND(L963="Cafco 300",J963&gt;=95,J963&lt;=450,G963=4,C963="IN",I963=120),VLOOKUP(T963,'CAFCO 300 IDIEM TABLAS'!$J$4:$L$40,3,FALSE),0)+IF(AND(M963="Ensayo Idiem",L963="Cafco 400",C963="IN",G963=4,I963=90),VLOOKUP(T963,'CAFCO 400 ENSAYO'!$B$7:$D$43,2,FALSE),0)+IF(AND(M963="Ensayo Idiem",L963="Cafco 400",C963="IN",G963=4,I963=120),VLOOKUP(T963,'CAFCO 400 ENSAYO'!$B$7:$D$43,3,FALSE),0)</f>
        <v>0</v>
      </c>
      <c r="O963" s="96">
        <f t="shared" si="96"/>
        <v>0</v>
      </c>
      <c r="P963" s="132" t="str">
        <f t="shared" si="97"/>
        <v>N/A</v>
      </c>
      <c r="Q963" s="132" t="str">
        <f t="shared" si="98"/>
        <v>N/A</v>
      </c>
      <c r="R963" s="132" t="str">
        <f t="shared" si="99"/>
        <v>NO CERT.</v>
      </c>
      <c r="S963" s="132" t="e">
        <f t="shared" si="100"/>
        <v>#N/A</v>
      </c>
      <c r="T963" s="133" t="e">
        <f>+IF(J963=LOOKUP(J963,'CAFCO 300 IDIEM TABLAS'!$J$4:$J$40),'CALCULO MORTERO'!J963,MROUND('CALCULO MORTERO'!J963,10))</f>
        <v>#N/A</v>
      </c>
      <c r="U963" s="134">
        <f t="shared" si="101"/>
        <v>0</v>
      </c>
    </row>
    <row r="964" spans="1:21" x14ac:dyDescent="0.25">
      <c r="A964" s="118">
        <f>+CUBICACION!D958</f>
        <v>0</v>
      </c>
      <c r="B964" s="819">
        <f>+CUBICACION!E958</f>
        <v>0</v>
      </c>
      <c r="C964" s="675">
        <f>+CUBICACION!F958</f>
        <v>0</v>
      </c>
      <c r="D964" s="118"/>
      <c r="E964" s="118"/>
      <c r="F964" s="820"/>
      <c r="G964" s="675">
        <f>+CUBICACION!J958</f>
        <v>0</v>
      </c>
      <c r="H964" s="118"/>
      <c r="I964" s="821">
        <f>+CUBICACION!L958</f>
        <v>0</v>
      </c>
      <c r="J964" s="64">
        <f>+CUBICACION!M958</f>
        <v>0</v>
      </c>
      <c r="K964" s="822" t="str">
        <f>+CUBICACION!N958</f>
        <v/>
      </c>
      <c r="L964" s="118">
        <f>+CUBICACION!O958</f>
        <v>0</v>
      </c>
      <c r="M964" s="823">
        <f>+CUBICACION!P958</f>
        <v>0</v>
      </c>
      <c r="N964" s="902">
        <f>ROUND(IF(AND(L964="Blaze Shield II",M964="Software Idiem",C964="IN",G964=4),((('BLAZE SHIELD II'!$D$4*('CALCULO MORTERO'!I964^2)+'BLAZE SHIELD II'!$D$5*'CALCULO MORTERO'!I964+'BLAZE SHIELD II'!$D$6)*LN(J964))+('BLAZE SHIELD II'!$D$7*('CALCULO MORTERO'!I964^2)+'BLAZE SHIELD II'!$D$8*'CALCULO MORTERO'!I964+'BLAZE SHIELD II'!$D$9)),0)+IF(AND(L964="Blaze Shield II",M964="Software Idiem",C964="Cj"),((('BLAZE SHIELD II'!$H$4*('CALCULO MORTERO'!I964^2)+'BLAZE SHIELD II'!$H$5*'CALCULO MORTERO'!I964+'BLAZE SHIELD II'!$H$6)*LN(J964))+('BLAZE SHIELD II'!$H$7*('CALCULO MORTERO'!I964^2)+'BLAZE SHIELD II'!$H$8*'CALCULO MORTERO'!I964+'BLAZE SHIELD II'!$H$9)),0)+IF(AND(L964="Blaze Shield II",M964="Software Idiem",C964="C"),((('BLAZE SHIELD II'!$L$4*('CALCULO MORTERO'!I964^2)+'BLAZE SHIELD II'!$L$5*'CALCULO MORTERO'!I964+'BLAZE SHIELD II'!$L$6)*LN(J964))+('BLAZE SHIELD II'!$L$7*('CALCULO MORTERO'!I964^2)+'BLAZE SHIELD II'!$L$8*'CALCULO MORTERO'!I964+'BLAZE SHIELD II'!$L$9)),0)+IF(AND(L964="Blaze Shield II",M964="Software Idiem",C964="L"),((('BLAZE SHIELD II'!$L$4*('CALCULO MORTERO'!I964^2)+'BLAZE SHIELD II'!$L$5*'CALCULO MORTERO'!I964+'BLAZE SHIELD II'!$L$6)*LN(J964))+('BLAZE SHIELD II'!$L$7*('CALCULO MORTERO'!I964^2)+'BLAZE SHIELD II'!$L$8*'CALCULO MORTERO'!I964+'BLAZE SHIELD II'!$L$9)),0)+IF(AND(L964="Blaze Shield II",M964="Software Idiem",C964="IN",G964=3),((('BLAZE SHIELD II'!$H$14*('CALCULO MORTERO'!I964^2)+'BLAZE SHIELD II'!$H$15*'CALCULO MORTERO'!I964+'BLAZE SHIELD II'!$H$16)*LN(J964))+('BLAZE SHIELD II'!$H$17*('CALCULO MORTERO'!I964^2)+'BLAZE SHIELD II'!$H$18*'CALCULO MORTERO'!I964+'BLAZE SHIELD II'!$H$19)),0),0)+ROUND(IF(AND(L964="Cafco 400",M964="Software Idiem",C964="IN",G964=4),((('CAFCO 400 '!$H$7*(J964^4)+'CAFCO 400 '!$H$8*(J964^3)+'CAFCO 400 '!$H$9*(J964^2)+'CAFCO 400 '!$H$10*J964+'CAFCO 400 '!$H$11)*U964^2)+(('CAFCO 400 '!$H$12*(J964^3)+'CAFCO 400 '!$H$13*(J964^2)+'CAFCO 400 '!$H$14*J964+'CAFCO 400 '!$H$15)*U964)+('CAFCO 400 '!$H$16*(J964^2)+'CAFCO 400 '!$H$17*J964+'CAFCO 400 '!$H$18)),0)+IF(AND(L964="Cafco 400",M964="Software Idiem",C964="Cj"),(((('CAFCO 400 '!$D$7*LN(J964)+'CAFCO 400 '!$D$8)*U964^2)+(('CAFCO 400 '!$D$9*LN(J964)+'CAFCO 400 '!$D$10)*U964)+('CAFCO 400 '!$D$11*LN(J964)+'CAFCO 400 '!$D$12))),0)+IF(AND(L964="Cafco 400",M964="Software Idiem",C964="C"),((('CAFCO 400 '!$L$7*(J964^3)+'CAFCO 400 '!$L$8*(J964^2)+'CAFCO 400 '!$L$9*J964+'CAFCO 400 '!$L$10)*U964^2)+(('CAFCO 400 '!$L$11*(J964^3)+'CAFCO 400 '!$L$12*(J964^2)+'CAFCO 400 '!$L$13*J964+'CAFCO 400 '!$L$14)*U964)+('CAFCO 400 '!$L$15*LN(J964)+'CAFCO 400 '!$L$16)),0)+IF(AND(L964="Cafco 400",M964="Software Idiem",C964="L"),((('CAFCO 400 '!$L$7*(J964^3)+'CAFCO 400 '!$L$8*(J964^2)+'CAFCO 400 '!$L$9*J964+'CAFCO 400 '!$L$10)*U964^2)+(('CAFCO 400 '!$L$11*(J964^3)+'CAFCO 400 '!$L$12*(J964^2)+'CAFCO 400 '!$L$13*J964+'CAFCO 400 '!$L$14)*U964)+('CAFCO 400 '!$L$15*LN(J964)+'CAFCO 400 '!$L$16)),0)+IF(AND(L964="Cafco 400",M964="Software Idiem",C964="IN",G964=3),((('CAFCO 400 '!$D$23*(J964^2)+'CAFCO 400 '!$D$24*(J964)+'CAFCO 400 '!$D$25)*U964^2)+(('CAFCO 400 '!$D$26*(J964^2)+'CAFCO 400 '!$D$27*J964+'CAFCO 400 '!$D$28)*U964)+('CAFCO 400 '!$D$29*(J964^2)+'CAFCO 400 '!$D$30*J964+'CAFCO 400 '!$D$31)),0),0)+IF(AND(L964="Cafco 300",J964&gt;=95,J964&lt;=240,C964="Cj",I964=90),VLOOKUP(T964,'CAFCO 300 IDIEM TABLAS'!$B$4:$D$23,2,FALSE),0)+IF(AND(L964="Cafco 300",J964&gt;=95,J964&lt;=240,C964="Cj",I964=120),VLOOKUP(T964,'CAFCO 300 IDIEM TABLAS'!$B$4:$D$23,3,FALSE),0)+IF(AND(L964="Cafco 300",J964&gt;=95,J964&lt;=400,G964=3,C964="IN",I964=90),VLOOKUP(T964,'CAFCO 300 IDIEM TABLAS'!$F$4:$H$35,2,FALSE),0)+IF(AND(L964="Cafco 300",J964&gt;=95,J964&lt;=400,G964=3,C964="IN",I964=120),VLOOKUP(T964,'CAFCO 300 IDIEM TABLAS'!$F$4:$H$35,3,FALSE),0)+IF(AND(L964="Cafco 300",J964&gt;=95,J964&lt;=450,G964=4,C964="IN",I964=90),VLOOKUP(T964,'CAFCO 300 IDIEM TABLAS'!$J$4:$L$40,2,FALSE),0)+IF(AND(L964="Cafco 300",J964&gt;=95,J964&lt;=450,G964=4,C964="IN",I964=120),VLOOKUP(T964,'CAFCO 300 IDIEM TABLAS'!$J$4:$L$40,3,FALSE),0)+IF(AND(M964="Ensayo Idiem",L964="Cafco 400",C964="IN",G964=4,I964=90),VLOOKUP(T964,'CAFCO 400 ENSAYO'!$B$7:$D$43,2,FALSE),0)+IF(AND(M964="Ensayo Idiem",L964="Cafco 400",C964="IN",G964=4,I964=120),VLOOKUP(T964,'CAFCO 400 ENSAYO'!$B$7:$D$43,3,FALSE),0)</f>
        <v>0</v>
      </c>
      <c r="O964" s="96">
        <f t="shared" si="96"/>
        <v>0</v>
      </c>
      <c r="P964" s="95" t="str">
        <f t="shared" si="97"/>
        <v>N/A</v>
      </c>
      <c r="Q964" s="95" t="str">
        <f t="shared" si="98"/>
        <v>N/A</v>
      </c>
      <c r="R964" s="95" t="str">
        <f t="shared" si="99"/>
        <v>NO CERT.</v>
      </c>
      <c r="S964" s="95" t="e">
        <f t="shared" si="100"/>
        <v>#N/A</v>
      </c>
      <c r="T964" s="119" t="e">
        <f>+IF(J964=LOOKUP(J964,'CAFCO 300 IDIEM TABLAS'!$J$4:$J$40),'CALCULO MORTERO'!J964,MROUND('CALCULO MORTERO'!J964,10))</f>
        <v>#N/A</v>
      </c>
      <c r="U964" s="118">
        <f t="shared" si="101"/>
        <v>0</v>
      </c>
    </row>
    <row r="965" spans="1:21" x14ac:dyDescent="0.25">
      <c r="A965" s="118">
        <f>+CUBICACION!D959</f>
        <v>0</v>
      </c>
      <c r="B965" s="819">
        <f>+CUBICACION!E959</f>
        <v>0</v>
      </c>
      <c r="C965" s="675">
        <f>+CUBICACION!F959</f>
        <v>0</v>
      </c>
      <c r="D965" s="118"/>
      <c r="E965" s="118"/>
      <c r="F965" s="820"/>
      <c r="G965" s="675">
        <f>+CUBICACION!J959</f>
        <v>0</v>
      </c>
      <c r="H965" s="118"/>
      <c r="I965" s="821">
        <f>+CUBICACION!L959</f>
        <v>0</v>
      </c>
      <c r="J965" s="64">
        <f>+CUBICACION!M959</f>
        <v>0</v>
      </c>
      <c r="K965" s="822" t="str">
        <f>+CUBICACION!N959</f>
        <v/>
      </c>
      <c r="L965" s="118">
        <f>+CUBICACION!O959</f>
        <v>0</v>
      </c>
      <c r="M965" s="823">
        <f>+CUBICACION!P959</f>
        <v>0</v>
      </c>
      <c r="N965" s="902">
        <f>ROUND(IF(AND(L965="Blaze Shield II",M965="Software Idiem",C965="IN",G965=4),((('BLAZE SHIELD II'!$D$4*('CALCULO MORTERO'!I965^2)+'BLAZE SHIELD II'!$D$5*'CALCULO MORTERO'!I965+'BLAZE SHIELD II'!$D$6)*LN(J965))+('BLAZE SHIELD II'!$D$7*('CALCULO MORTERO'!I965^2)+'BLAZE SHIELD II'!$D$8*'CALCULO MORTERO'!I965+'BLAZE SHIELD II'!$D$9)),0)+IF(AND(L965="Blaze Shield II",M965="Software Idiem",C965="Cj"),((('BLAZE SHIELD II'!$H$4*('CALCULO MORTERO'!I965^2)+'BLAZE SHIELD II'!$H$5*'CALCULO MORTERO'!I965+'BLAZE SHIELD II'!$H$6)*LN(J965))+('BLAZE SHIELD II'!$H$7*('CALCULO MORTERO'!I965^2)+'BLAZE SHIELD II'!$H$8*'CALCULO MORTERO'!I965+'BLAZE SHIELD II'!$H$9)),0)+IF(AND(L965="Blaze Shield II",M965="Software Idiem",C965="C"),((('BLAZE SHIELD II'!$L$4*('CALCULO MORTERO'!I965^2)+'BLAZE SHIELD II'!$L$5*'CALCULO MORTERO'!I965+'BLAZE SHIELD II'!$L$6)*LN(J965))+('BLAZE SHIELD II'!$L$7*('CALCULO MORTERO'!I965^2)+'BLAZE SHIELD II'!$L$8*'CALCULO MORTERO'!I965+'BLAZE SHIELD II'!$L$9)),0)+IF(AND(L965="Blaze Shield II",M965="Software Idiem",C965="L"),((('BLAZE SHIELD II'!$L$4*('CALCULO MORTERO'!I965^2)+'BLAZE SHIELD II'!$L$5*'CALCULO MORTERO'!I965+'BLAZE SHIELD II'!$L$6)*LN(J965))+('BLAZE SHIELD II'!$L$7*('CALCULO MORTERO'!I965^2)+'BLAZE SHIELD II'!$L$8*'CALCULO MORTERO'!I965+'BLAZE SHIELD II'!$L$9)),0)+IF(AND(L965="Blaze Shield II",M965="Software Idiem",C965="IN",G965=3),((('BLAZE SHIELD II'!$H$14*('CALCULO MORTERO'!I965^2)+'BLAZE SHIELD II'!$H$15*'CALCULO MORTERO'!I965+'BLAZE SHIELD II'!$H$16)*LN(J965))+('BLAZE SHIELD II'!$H$17*('CALCULO MORTERO'!I965^2)+'BLAZE SHIELD II'!$H$18*'CALCULO MORTERO'!I965+'BLAZE SHIELD II'!$H$19)),0),0)+ROUND(IF(AND(L965="Cafco 400",M965="Software Idiem",C965="IN",G965=4),((('CAFCO 400 '!$H$7*(J965^4)+'CAFCO 400 '!$H$8*(J965^3)+'CAFCO 400 '!$H$9*(J965^2)+'CAFCO 400 '!$H$10*J965+'CAFCO 400 '!$H$11)*U965^2)+(('CAFCO 400 '!$H$12*(J965^3)+'CAFCO 400 '!$H$13*(J965^2)+'CAFCO 400 '!$H$14*J965+'CAFCO 400 '!$H$15)*U965)+('CAFCO 400 '!$H$16*(J965^2)+'CAFCO 400 '!$H$17*J965+'CAFCO 400 '!$H$18)),0)+IF(AND(L965="Cafco 400",M965="Software Idiem",C965="Cj"),(((('CAFCO 400 '!$D$7*LN(J965)+'CAFCO 400 '!$D$8)*U965^2)+(('CAFCO 400 '!$D$9*LN(J965)+'CAFCO 400 '!$D$10)*U965)+('CAFCO 400 '!$D$11*LN(J965)+'CAFCO 400 '!$D$12))),0)+IF(AND(L965="Cafco 400",M965="Software Idiem",C965="C"),((('CAFCO 400 '!$L$7*(J965^3)+'CAFCO 400 '!$L$8*(J965^2)+'CAFCO 400 '!$L$9*J965+'CAFCO 400 '!$L$10)*U965^2)+(('CAFCO 400 '!$L$11*(J965^3)+'CAFCO 400 '!$L$12*(J965^2)+'CAFCO 400 '!$L$13*J965+'CAFCO 400 '!$L$14)*U965)+('CAFCO 400 '!$L$15*LN(J965)+'CAFCO 400 '!$L$16)),0)+IF(AND(L965="Cafco 400",M965="Software Idiem",C965="L"),((('CAFCO 400 '!$L$7*(J965^3)+'CAFCO 400 '!$L$8*(J965^2)+'CAFCO 400 '!$L$9*J965+'CAFCO 400 '!$L$10)*U965^2)+(('CAFCO 400 '!$L$11*(J965^3)+'CAFCO 400 '!$L$12*(J965^2)+'CAFCO 400 '!$L$13*J965+'CAFCO 400 '!$L$14)*U965)+('CAFCO 400 '!$L$15*LN(J965)+'CAFCO 400 '!$L$16)),0)+IF(AND(L965="Cafco 400",M965="Software Idiem",C965="IN",G965=3),((('CAFCO 400 '!$D$23*(J965^2)+'CAFCO 400 '!$D$24*(J965)+'CAFCO 400 '!$D$25)*U965^2)+(('CAFCO 400 '!$D$26*(J965^2)+'CAFCO 400 '!$D$27*J965+'CAFCO 400 '!$D$28)*U965)+('CAFCO 400 '!$D$29*(J965^2)+'CAFCO 400 '!$D$30*J965+'CAFCO 400 '!$D$31)),0),0)+IF(AND(L965="Cafco 300",J965&gt;=95,J965&lt;=240,C965="Cj",I965=90),VLOOKUP(T965,'CAFCO 300 IDIEM TABLAS'!$B$4:$D$23,2,FALSE),0)+IF(AND(L965="Cafco 300",J965&gt;=95,J965&lt;=240,C965="Cj",I965=120),VLOOKUP(T965,'CAFCO 300 IDIEM TABLAS'!$B$4:$D$23,3,FALSE),0)+IF(AND(L965="Cafco 300",J965&gt;=95,J965&lt;=400,G965=3,C965="IN",I965=90),VLOOKUP(T965,'CAFCO 300 IDIEM TABLAS'!$F$4:$H$35,2,FALSE),0)+IF(AND(L965="Cafco 300",J965&gt;=95,J965&lt;=400,G965=3,C965="IN",I965=120),VLOOKUP(T965,'CAFCO 300 IDIEM TABLAS'!$F$4:$H$35,3,FALSE),0)+IF(AND(L965="Cafco 300",J965&gt;=95,J965&lt;=450,G965=4,C965="IN",I965=90),VLOOKUP(T965,'CAFCO 300 IDIEM TABLAS'!$J$4:$L$40,2,FALSE),0)+IF(AND(L965="Cafco 300",J965&gt;=95,J965&lt;=450,G965=4,C965="IN",I965=120),VLOOKUP(T965,'CAFCO 300 IDIEM TABLAS'!$J$4:$L$40,3,FALSE),0)+IF(AND(M965="Ensayo Idiem",L965="Cafco 400",C965="IN",G965=4,I965=90),VLOOKUP(T965,'CAFCO 400 ENSAYO'!$B$7:$D$43,2,FALSE),0)+IF(AND(M965="Ensayo Idiem",L965="Cafco 400",C965="IN",G965=4,I965=120),VLOOKUP(T965,'CAFCO 400 ENSAYO'!$B$7:$D$43,3,FALSE),0)</f>
        <v>0</v>
      </c>
      <c r="O965" s="96">
        <f t="shared" si="96"/>
        <v>0</v>
      </c>
      <c r="P965" s="132" t="str">
        <f t="shared" si="97"/>
        <v>N/A</v>
      </c>
      <c r="Q965" s="132" t="str">
        <f t="shared" si="98"/>
        <v>N/A</v>
      </c>
      <c r="R965" s="132" t="str">
        <f t="shared" si="99"/>
        <v>NO CERT.</v>
      </c>
      <c r="S965" s="132" t="e">
        <f t="shared" si="100"/>
        <v>#N/A</v>
      </c>
      <c r="T965" s="133" t="e">
        <f>+IF(J965=LOOKUP(J965,'CAFCO 300 IDIEM TABLAS'!$J$4:$J$40),'CALCULO MORTERO'!J965,MROUND('CALCULO MORTERO'!J965,10))</f>
        <v>#N/A</v>
      </c>
      <c r="U965" s="134">
        <f t="shared" si="101"/>
        <v>0</v>
      </c>
    </row>
    <row r="966" spans="1:21" x14ac:dyDescent="0.25">
      <c r="A966" s="118">
        <f>+CUBICACION!D960</f>
        <v>0</v>
      </c>
      <c r="B966" s="819">
        <f>+CUBICACION!E960</f>
        <v>0</v>
      </c>
      <c r="C966" s="675">
        <f>+CUBICACION!F960</f>
        <v>0</v>
      </c>
      <c r="D966" s="118"/>
      <c r="E966" s="118"/>
      <c r="F966" s="820"/>
      <c r="G966" s="675">
        <f>+CUBICACION!J960</f>
        <v>0</v>
      </c>
      <c r="H966" s="118"/>
      <c r="I966" s="821">
        <f>+CUBICACION!L960</f>
        <v>0</v>
      </c>
      <c r="J966" s="64">
        <f>+CUBICACION!M960</f>
        <v>0</v>
      </c>
      <c r="K966" s="822" t="str">
        <f>+CUBICACION!N960</f>
        <v/>
      </c>
      <c r="L966" s="118">
        <f>+CUBICACION!O960</f>
        <v>0</v>
      </c>
      <c r="M966" s="823">
        <f>+CUBICACION!P960</f>
        <v>0</v>
      </c>
      <c r="N966" s="902">
        <f>ROUND(IF(AND(L966="Blaze Shield II",M966="Software Idiem",C966="IN",G966=4),((('BLAZE SHIELD II'!$D$4*('CALCULO MORTERO'!I966^2)+'BLAZE SHIELD II'!$D$5*'CALCULO MORTERO'!I966+'BLAZE SHIELD II'!$D$6)*LN(J966))+('BLAZE SHIELD II'!$D$7*('CALCULO MORTERO'!I966^2)+'BLAZE SHIELD II'!$D$8*'CALCULO MORTERO'!I966+'BLAZE SHIELD II'!$D$9)),0)+IF(AND(L966="Blaze Shield II",M966="Software Idiem",C966="Cj"),((('BLAZE SHIELD II'!$H$4*('CALCULO MORTERO'!I966^2)+'BLAZE SHIELD II'!$H$5*'CALCULO MORTERO'!I966+'BLAZE SHIELD II'!$H$6)*LN(J966))+('BLAZE SHIELD II'!$H$7*('CALCULO MORTERO'!I966^2)+'BLAZE SHIELD II'!$H$8*'CALCULO MORTERO'!I966+'BLAZE SHIELD II'!$H$9)),0)+IF(AND(L966="Blaze Shield II",M966="Software Idiem",C966="C"),((('BLAZE SHIELD II'!$L$4*('CALCULO MORTERO'!I966^2)+'BLAZE SHIELD II'!$L$5*'CALCULO MORTERO'!I966+'BLAZE SHIELD II'!$L$6)*LN(J966))+('BLAZE SHIELD II'!$L$7*('CALCULO MORTERO'!I966^2)+'BLAZE SHIELD II'!$L$8*'CALCULO MORTERO'!I966+'BLAZE SHIELD II'!$L$9)),0)+IF(AND(L966="Blaze Shield II",M966="Software Idiem",C966="L"),((('BLAZE SHIELD II'!$L$4*('CALCULO MORTERO'!I966^2)+'BLAZE SHIELD II'!$L$5*'CALCULO MORTERO'!I966+'BLAZE SHIELD II'!$L$6)*LN(J966))+('BLAZE SHIELD II'!$L$7*('CALCULO MORTERO'!I966^2)+'BLAZE SHIELD II'!$L$8*'CALCULO MORTERO'!I966+'BLAZE SHIELD II'!$L$9)),0)+IF(AND(L966="Blaze Shield II",M966="Software Idiem",C966="IN",G966=3),((('BLAZE SHIELD II'!$H$14*('CALCULO MORTERO'!I966^2)+'BLAZE SHIELD II'!$H$15*'CALCULO MORTERO'!I966+'BLAZE SHIELD II'!$H$16)*LN(J966))+('BLAZE SHIELD II'!$H$17*('CALCULO MORTERO'!I966^2)+'BLAZE SHIELD II'!$H$18*'CALCULO MORTERO'!I966+'BLAZE SHIELD II'!$H$19)),0),0)+ROUND(IF(AND(L966="Cafco 400",M966="Software Idiem",C966="IN",G966=4),((('CAFCO 400 '!$H$7*(J966^4)+'CAFCO 400 '!$H$8*(J966^3)+'CAFCO 400 '!$H$9*(J966^2)+'CAFCO 400 '!$H$10*J966+'CAFCO 400 '!$H$11)*U966^2)+(('CAFCO 400 '!$H$12*(J966^3)+'CAFCO 400 '!$H$13*(J966^2)+'CAFCO 400 '!$H$14*J966+'CAFCO 400 '!$H$15)*U966)+('CAFCO 400 '!$H$16*(J966^2)+'CAFCO 400 '!$H$17*J966+'CAFCO 400 '!$H$18)),0)+IF(AND(L966="Cafco 400",M966="Software Idiem",C966="Cj"),(((('CAFCO 400 '!$D$7*LN(J966)+'CAFCO 400 '!$D$8)*U966^2)+(('CAFCO 400 '!$D$9*LN(J966)+'CAFCO 400 '!$D$10)*U966)+('CAFCO 400 '!$D$11*LN(J966)+'CAFCO 400 '!$D$12))),0)+IF(AND(L966="Cafco 400",M966="Software Idiem",C966="C"),((('CAFCO 400 '!$L$7*(J966^3)+'CAFCO 400 '!$L$8*(J966^2)+'CAFCO 400 '!$L$9*J966+'CAFCO 400 '!$L$10)*U966^2)+(('CAFCO 400 '!$L$11*(J966^3)+'CAFCO 400 '!$L$12*(J966^2)+'CAFCO 400 '!$L$13*J966+'CAFCO 400 '!$L$14)*U966)+('CAFCO 400 '!$L$15*LN(J966)+'CAFCO 400 '!$L$16)),0)+IF(AND(L966="Cafco 400",M966="Software Idiem",C966="L"),((('CAFCO 400 '!$L$7*(J966^3)+'CAFCO 400 '!$L$8*(J966^2)+'CAFCO 400 '!$L$9*J966+'CAFCO 400 '!$L$10)*U966^2)+(('CAFCO 400 '!$L$11*(J966^3)+'CAFCO 400 '!$L$12*(J966^2)+'CAFCO 400 '!$L$13*J966+'CAFCO 400 '!$L$14)*U966)+('CAFCO 400 '!$L$15*LN(J966)+'CAFCO 400 '!$L$16)),0)+IF(AND(L966="Cafco 400",M966="Software Idiem",C966="IN",G966=3),((('CAFCO 400 '!$D$23*(J966^2)+'CAFCO 400 '!$D$24*(J966)+'CAFCO 400 '!$D$25)*U966^2)+(('CAFCO 400 '!$D$26*(J966^2)+'CAFCO 400 '!$D$27*J966+'CAFCO 400 '!$D$28)*U966)+('CAFCO 400 '!$D$29*(J966^2)+'CAFCO 400 '!$D$30*J966+'CAFCO 400 '!$D$31)),0),0)+IF(AND(L966="Cafco 300",J966&gt;=95,J966&lt;=240,C966="Cj",I966=90),VLOOKUP(T966,'CAFCO 300 IDIEM TABLAS'!$B$4:$D$23,2,FALSE),0)+IF(AND(L966="Cafco 300",J966&gt;=95,J966&lt;=240,C966="Cj",I966=120),VLOOKUP(T966,'CAFCO 300 IDIEM TABLAS'!$B$4:$D$23,3,FALSE),0)+IF(AND(L966="Cafco 300",J966&gt;=95,J966&lt;=400,G966=3,C966="IN",I966=90),VLOOKUP(T966,'CAFCO 300 IDIEM TABLAS'!$F$4:$H$35,2,FALSE),0)+IF(AND(L966="Cafco 300",J966&gt;=95,J966&lt;=400,G966=3,C966="IN",I966=120),VLOOKUP(T966,'CAFCO 300 IDIEM TABLAS'!$F$4:$H$35,3,FALSE),0)+IF(AND(L966="Cafco 300",J966&gt;=95,J966&lt;=450,G966=4,C966="IN",I966=90),VLOOKUP(T966,'CAFCO 300 IDIEM TABLAS'!$J$4:$L$40,2,FALSE),0)+IF(AND(L966="Cafco 300",J966&gt;=95,J966&lt;=450,G966=4,C966="IN",I966=120),VLOOKUP(T966,'CAFCO 300 IDIEM TABLAS'!$J$4:$L$40,3,FALSE),0)+IF(AND(M966="Ensayo Idiem",L966="Cafco 400",C966="IN",G966=4,I966=90),VLOOKUP(T966,'CAFCO 400 ENSAYO'!$B$7:$D$43,2,FALSE),0)+IF(AND(M966="Ensayo Idiem",L966="Cafco 400",C966="IN",G966=4,I966=120),VLOOKUP(T966,'CAFCO 400 ENSAYO'!$B$7:$D$43,3,FALSE),0)</f>
        <v>0</v>
      </c>
      <c r="O966" s="96">
        <f t="shared" si="96"/>
        <v>0</v>
      </c>
      <c r="P966" s="95" t="str">
        <f t="shared" si="97"/>
        <v>N/A</v>
      </c>
      <c r="Q966" s="95" t="str">
        <f t="shared" si="98"/>
        <v>N/A</v>
      </c>
      <c r="R966" s="95" t="str">
        <f t="shared" si="99"/>
        <v>NO CERT.</v>
      </c>
      <c r="S966" s="95" t="e">
        <f t="shared" si="100"/>
        <v>#N/A</v>
      </c>
      <c r="T966" s="119" t="e">
        <f>+IF(J966=LOOKUP(J966,'CAFCO 300 IDIEM TABLAS'!$J$4:$J$40),'CALCULO MORTERO'!J966,MROUND('CALCULO MORTERO'!J966,10))</f>
        <v>#N/A</v>
      </c>
      <c r="U966" s="118">
        <f t="shared" si="101"/>
        <v>0</v>
      </c>
    </row>
    <row r="967" spans="1:21" x14ac:dyDescent="0.25">
      <c r="A967" s="118">
        <f>+CUBICACION!D961</f>
        <v>0</v>
      </c>
      <c r="B967" s="819">
        <f>+CUBICACION!E961</f>
        <v>0</v>
      </c>
      <c r="C967" s="675">
        <f>+CUBICACION!F961</f>
        <v>0</v>
      </c>
      <c r="D967" s="118"/>
      <c r="E967" s="118"/>
      <c r="F967" s="820"/>
      <c r="G967" s="675">
        <f>+CUBICACION!J961</f>
        <v>0</v>
      </c>
      <c r="H967" s="118"/>
      <c r="I967" s="821">
        <f>+CUBICACION!L961</f>
        <v>0</v>
      </c>
      <c r="J967" s="64">
        <f>+CUBICACION!M961</f>
        <v>0</v>
      </c>
      <c r="K967" s="822" t="str">
        <f>+CUBICACION!N961</f>
        <v/>
      </c>
      <c r="L967" s="118">
        <f>+CUBICACION!O961</f>
        <v>0</v>
      </c>
      <c r="M967" s="823">
        <f>+CUBICACION!P961</f>
        <v>0</v>
      </c>
      <c r="N967" s="902">
        <f>ROUND(IF(AND(L967="Blaze Shield II",M967="Software Idiem",C967="IN",G967=4),((('BLAZE SHIELD II'!$D$4*('CALCULO MORTERO'!I967^2)+'BLAZE SHIELD II'!$D$5*'CALCULO MORTERO'!I967+'BLAZE SHIELD II'!$D$6)*LN(J967))+('BLAZE SHIELD II'!$D$7*('CALCULO MORTERO'!I967^2)+'BLAZE SHIELD II'!$D$8*'CALCULO MORTERO'!I967+'BLAZE SHIELD II'!$D$9)),0)+IF(AND(L967="Blaze Shield II",M967="Software Idiem",C967="Cj"),((('BLAZE SHIELD II'!$H$4*('CALCULO MORTERO'!I967^2)+'BLAZE SHIELD II'!$H$5*'CALCULO MORTERO'!I967+'BLAZE SHIELD II'!$H$6)*LN(J967))+('BLAZE SHIELD II'!$H$7*('CALCULO MORTERO'!I967^2)+'BLAZE SHIELD II'!$H$8*'CALCULO MORTERO'!I967+'BLAZE SHIELD II'!$H$9)),0)+IF(AND(L967="Blaze Shield II",M967="Software Idiem",C967="C"),((('BLAZE SHIELD II'!$L$4*('CALCULO MORTERO'!I967^2)+'BLAZE SHIELD II'!$L$5*'CALCULO MORTERO'!I967+'BLAZE SHIELD II'!$L$6)*LN(J967))+('BLAZE SHIELD II'!$L$7*('CALCULO MORTERO'!I967^2)+'BLAZE SHIELD II'!$L$8*'CALCULO MORTERO'!I967+'BLAZE SHIELD II'!$L$9)),0)+IF(AND(L967="Blaze Shield II",M967="Software Idiem",C967="L"),((('BLAZE SHIELD II'!$L$4*('CALCULO MORTERO'!I967^2)+'BLAZE SHIELD II'!$L$5*'CALCULO MORTERO'!I967+'BLAZE SHIELD II'!$L$6)*LN(J967))+('BLAZE SHIELD II'!$L$7*('CALCULO MORTERO'!I967^2)+'BLAZE SHIELD II'!$L$8*'CALCULO MORTERO'!I967+'BLAZE SHIELD II'!$L$9)),0)+IF(AND(L967="Blaze Shield II",M967="Software Idiem",C967="IN",G967=3),((('BLAZE SHIELD II'!$H$14*('CALCULO MORTERO'!I967^2)+'BLAZE SHIELD II'!$H$15*'CALCULO MORTERO'!I967+'BLAZE SHIELD II'!$H$16)*LN(J967))+('BLAZE SHIELD II'!$H$17*('CALCULO MORTERO'!I967^2)+'BLAZE SHIELD II'!$H$18*'CALCULO MORTERO'!I967+'BLAZE SHIELD II'!$H$19)),0),0)+ROUND(IF(AND(L967="Cafco 400",M967="Software Idiem",C967="IN",G967=4),((('CAFCO 400 '!$H$7*(J967^4)+'CAFCO 400 '!$H$8*(J967^3)+'CAFCO 400 '!$H$9*(J967^2)+'CAFCO 400 '!$H$10*J967+'CAFCO 400 '!$H$11)*U967^2)+(('CAFCO 400 '!$H$12*(J967^3)+'CAFCO 400 '!$H$13*(J967^2)+'CAFCO 400 '!$H$14*J967+'CAFCO 400 '!$H$15)*U967)+('CAFCO 400 '!$H$16*(J967^2)+'CAFCO 400 '!$H$17*J967+'CAFCO 400 '!$H$18)),0)+IF(AND(L967="Cafco 400",M967="Software Idiem",C967="Cj"),(((('CAFCO 400 '!$D$7*LN(J967)+'CAFCO 400 '!$D$8)*U967^2)+(('CAFCO 400 '!$D$9*LN(J967)+'CAFCO 400 '!$D$10)*U967)+('CAFCO 400 '!$D$11*LN(J967)+'CAFCO 400 '!$D$12))),0)+IF(AND(L967="Cafco 400",M967="Software Idiem",C967="C"),((('CAFCO 400 '!$L$7*(J967^3)+'CAFCO 400 '!$L$8*(J967^2)+'CAFCO 400 '!$L$9*J967+'CAFCO 400 '!$L$10)*U967^2)+(('CAFCO 400 '!$L$11*(J967^3)+'CAFCO 400 '!$L$12*(J967^2)+'CAFCO 400 '!$L$13*J967+'CAFCO 400 '!$L$14)*U967)+('CAFCO 400 '!$L$15*LN(J967)+'CAFCO 400 '!$L$16)),0)+IF(AND(L967="Cafco 400",M967="Software Idiem",C967="L"),((('CAFCO 400 '!$L$7*(J967^3)+'CAFCO 400 '!$L$8*(J967^2)+'CAFCO 400 '!$L$9*J967+'CAFCO 400 '!$L$10)*U967^2)+(('CAFCO 400 '!$L$11*(J967^3)+'CAFCO 400 '!$L$12*(J967^2)+'CAFCO 400 '!$L$13*J967+'CAFCO 400 '!$L$14)*U967)+('CAFCO 400 '!$L$15*LN(J967)+'CAFCO 400 '!$L$16)),0)+IF(AND(L967="Cafco 400",M967="Software Idiem",C967="IN",G967=3),((('CAFCO 400 '!$D$23*(J967^2)+'CAFCO 400 '!$D$24*(J967)+'CAFCO 400 '!$D$25)*U967^2)+(('CAFCO 400 '!$D$26*(J967^2)+'CAFCO 400 '!$D$27*J967+'CAFCO 400 '!$D$28)*U967)+('CAFCO 400 '!$D$29*(J967^2)+'CAFCO 400 '!$D$30*J967+'CAFCO 400 '!$D$31)),0),0)+IF(AND(L967="Cafco 300",J967&gt;=95,J967&lt;=240,C967="Cj",I967=90),VLOOKUP(T967,'CAFCO 300 IDIEM TABLAS'!$B$4:$D$23,2,FALSE),0)+IF(AND(L967="Cafco 300",J967&gt;=95,J967&lt;=240,C967="Cj",I967=120),VLOOKUP(T967,'CAFCO 300 IDIEM TABLAS'!$B$4:$D$23,3,FALSE),0)+IF(AND(L967="Cafco 300",J967&gt;=95,J967&lt;=400,G967=3,C967="IN",I967=90),VLOOKUP(T967,'CAFCO 300 IDIEM TABLAS'!$F$4:$H$35,2,FALSE),0)+IF(AND(L967="Cafco 300",J967&gt;=95,J967&lt;=400,G967=3,C967="IN",I967=120),VLOOKUP(T967,'CAFCO 300 IDIEM TABLAS'!$F$4:$H$35,3,FALSE),0)+IF(AND(L967="Cafco 300",J967&gt;=95,J967&lt;=450,G967=4,C967="IN",I967=90),VLOOKUP(T967,'CAFCO 300 IDIEM TABLAS'!$J$4:$L$40,2,FALSE),0)+IF(AND(L967="Cafco 300",J967&gt;=95,J967&lt;=450,G967=4,C967="IN",I967=120),VLOOKUP(T967,'CAFCO 300 IDIEM TABLAS'!$J$4:$L$40,3,FALSE),0)+IF(AND(M967="Ensayo Idiem",L967="Cafco 400",C967="IN",G967=4,I967=90),VLOOKUP(T967,'CAFCO 400 ENSAYO'!$B$7:$D$43,2,FALSE),0)+IF(AND(M967="Ensayo Idiem",L967="Cafco 400",C967="IN",G967=4,I967=120),VLOOKUP(T967,'CAFCO 400 ENSAYO'!$B$7:$D$43,3,FALSE),0)</f>
        <v>0</v>
      </c>
      <c r="O967" s="96">
        <f t="shared" si="96"/>
        <v>0</v>
      </c>
      <c r="P967" s="132" t="str">
        <f t="shared" si="97"/>
        <v>N/A</v>
      </c>
      <c r="Q967" s="132" t="str">
        <f t="shared" si="98"/>
        <v>N/A</v>
      </c>
      <c r="R967" s="132" t="str">
        <f t="shared" si="99"/>
        <v>NO CERT.</v>
      </c>
      <c r="S967" s="132" t="e">
        <f t="shared" si="100"/>
        <v>#N/A</v>
      </c>
      <c r="T967" s="133" t="e">
        <f>+IF(J967=LOOKUP(J967,'CAFCO 300 IDIEM TABLAS'!$J$4:$J$40),'CALCULO MORTERO'!J967,MROUND('CALCULO MORTERO'!J967,10))</f>
        <v>#N/A</v>
      </c>
      <c r="U967" s="134">
        <f t="shared" si="101"/>
        <v>0</v>
      </c>
    </row>
    <row r="968" spans="1:21" x14ac:dyDescent="0.25">
      <c r="A968" s="118">
        <f>+CUBICACION!D962</f>
        <v>0</v>
      </c>
      <c r="B968" s="819">
        <f>+CUBICACION!E962</f>
        <v>0</v>
      </c>
      <c r="C968" s="675">
        <f>+CUBICACION!F962</f>
        <v>0</v>
      </c>
      <c r="D968" s="118"/>
      <c r="E968" s="118"/>
      <c r="F968" s="820"/>
      <c r="G968" s="675">
        <f>+CUBICACION!J962</f>
        <v>0</v>
      </c>
      <c r="H968" s="118"/>
      <c r="I968" s="821">
        <f>+CUBICACION!L962</f>
        <v>0</v>
      </c>
      <c r="J968" s="64">
        <f>+CUBICACION!M962</f>
        <v>0</v>
      </c>
      <c r="K968" s="822" t="str">
        <f>+CUBICACION!N962</f>
        <v/>
      </c>
      <c r="L968" s="118">
        <f>+CUBICACION!O962</f>
        <v>0</v>
      </c>
      <c r="M968" s="823">
        <f>+CUBICACION!P962</f>
        <v>0</v>
      </c>
      <c r="N968" s="902">
        <f>ROUND(IF(AND(L968="Blaze Shield II",M968="Software Idiem",C968="IN",G968=4),((('BLAZE SHIELD II'!$D$4*('CALCULO MORTERO'!I968^2)+'BLAZE SHIELD II'!$D$5*'CALCULO MORTERO'!I968+'BLAZE SHIELD II'!$D$6)*LN(J968))+('BLAZE SHIELD II'!$D$7*('CALCULO MORTERO'!I968^2)+'BLAZE SHIELD II'!$D$8*'CALCULO MORTERO'!I968+'BLAZE SHIELD II'!$D$9)),0)+IF(AND(L968="Blaze Shield II",M968="Software Idiem",C968="Cj"),((('BLAZE SHIELD II'!$H$4*('CALCULO MORTERO'!I968^2)+'BLAZE SHIELD II'!$H$5*'CALCULO MORTERO'!I968+'BLAZE SHIELD II'!$H$6)*LN(J968))+('BLAZE SHIELD II'!$H$7*('CALCULO MORTERO'!I968^2)+'BLAZE SHIELD II'!$H$8*'CALCULO MORTERO'!I968+'BLAZE SHIELD II'!$H$9)),0)+IF(AND(L968="Blaze Shield II",M968="Software Idiem",C968="C"),((('BLAZE SHIELD II'!$L$4*('CALCULO MORTERO'!I968^2)+'BLAZE SHIELD II'!$L$5*'CALCULO MORTERO'!I968+'BLAZE SHIELD II'!$L$6)*LN(J968))+('BLAZE SHIELD II'!$L$7*('CALCULO MORTERO'!I968^2)+'BLAZE SHIELD II'!$L$8*'CALCULO MORTERO'!I968+'BLAZE SHIELD II'!$L$9)),0)+IF(AND(L968="Blaze Shield II",M968="Software Idiem",C968="L"),((('BLAZE SHIELD II'!$L$4*('CALCULO MORTERO'!I968^2)+'BLAZE SHIELD II'!$L$5*'CALCULO MORTERO'!I968+'BLAZE SHIELD II'!$L$6)*LN(J968))+('BLAZE SHIELD II'!$L$7*('CALCULO MORTERO'!I968^2)+'BLAZE SHIELD II'!$L$8*'CALCULO MORTERO'!I968+'BLAZE SHIELD II'!$L$9)),0)+IF(AND(L968="Blaze Shield II",M968="Software Idiem",C968="IN",G968=3),((('BLAZE SHIELD II'!$H$14*('CALCULO MORTERO'!I968^2)+'BLAZE SHIELD II'!$H$15*'CALCULO MORTERO'!I968+'BLAZE SHIELD II'!$H$16)*LN(J968))+('BLAZE SHIELD II'!$H$17*('CALCULO MORTERO'!I968^2)+'BLAZE SHIELD II'!$H$18*'CALCULO MORTERO'!I968+'BLAZE SHIELD II'!$H$19)),0),0)+ROUND(IF(AND(L968="Cafco 400",M968="Software Idiem",C968="IN",G968=4),((('CAFCO 400 '!$H$7*(J968^4)+'CAFCO 400 '!$H$8*(J968^3)+'CAFCO 400 '!$H$9*(J968^2)+'CAFCO 400 '!$H$10*J968+'CAFCO 400 '!$H$11)*U968^2)+(('CAFCO 400 '!$H$12*(J968^3)+'CAFCO 400 '!$H$13*(J968^2)+'CAFCO 400 '!$H$14*J968+'CAFCO 400 '!$H$15)*U968)+('CAFCO 400 '!$H$16*(J968^2)+'CAFCO 400 '!$H$17*J968+'CAFCO 400 '!$H$18)),0)+IF(AND(L968="Cafco 400",M968="Software Idiem",C968="Cj"),(((('CAFCO 400 '!$D$7*LN(J968)+'CAFCO 400 '!$D$8)*U968^2)+(('CAFCO 400 '!$D$9*LN(J968)+'CAFCO 400 '!$D$10)*U968)+('CAFCO 400 '!$D$11*LN(J968)+'CAFCO 400 '!$D$12))),0)+IF(AND(L968="Cafco 400",M968="Software Idiem",C968="C"),((('CAFCO 400 '!$L$7*(J968^3)+'CAFCO 400 '!$L$8*(J968^2)+'CAFCO 400 '!$L$9*J968+'CAFCO 400 '!$L$10)*U968^2)+(('CAFCO 400 '!$L$11*(J968^3)+'CAFCO 400 '!$L$12*(J968^2)+'CAFCO 400 '!$L$13*J968+'CAFCO 400 '!$L$14)*U968)+('CAFCO 400 '!$L$15*LN(J968)+'CAFCO 400 '!$L$16)),0)+IF(AND(L968="Cafco 400",M968="Software Idiem",C968="L"),((('CAFCO 400 '!$L$7*(J968^3)+'CAFCO 400 '!$L$8*(J968^2)+'CAFCO 400 '!$L$9*J968+'CAFCO 400 '!$L$10)*U968^2)+(('CAFCO 400 '!$L$11*(J968^3)+'CAFCO 400 '!$L$12*(J968^2)+'CAFCO 400 '!$L$13*J968+'CAFCO 400 '!$L$14)*U968)+('CAFCO 400 '!$L$15*LN(J968)+'CAFCO 400 '!$L$16)),0)+IF(AND(L968="Cafco 400",M968="Software Idiem",C968="IN",G968=3),((('CAFCO 400 '!$D$23*(J968^2)+'CAFCO 400 '!$D$24*(J968)+'CAFCO 400 '!$D$25)*U968^2)+(('CAFCO 400 '!$D$26*(J968^2)+'CAFCO 400 '!$D$27*J968+'CAFCO 400 '!$D$28)*U968)+('CAFCO 400 '!$D$29*(J968^2)+'CAFCO 400 '!$D$30*J968+'CAFCO 400 '!$D$31)),0),0)+IF(AND(L968="Cafco 300",J968&gt;=95,J968&lt;=240,C968="Cj",I968=90),VLOOKUP(T968,'CAFCO 300 IDIEM TABLAS'!$B$4:$D$23,2,FALSE),0)+IF(AND(L968="Cafco 300",J968&gt;=95,J968&lt;=240,C968="Cj",I968=120),VLOOKUP(T968,'CAFCO 300 IDIEM TABLAS'!$B$4:$D$23,3,FALSE),0)+IF(AND(L968="Cafco 300",J968&gt;=95,J968&lt;=400,G968=3,C968="IN",I968=90),VLOOKUP(T968,'CAFCO 300 IDIEM TABLAS'!$F$4:$H$35,2,FALSE),0)+IF(AND(L968="Cafco 300",J968&gt;=95,J968&lt;=400,G968=3,C968="IN",I968=120),VLOOKUP(T968,'CAFCO 300 IDIEM TABLAS'!$F$4:$H$35,3,FALSE),0)+IF(AND(L968="Cafco 300",J968&gt;=95,J968&lt;=450,G968=4,C968="IN",I968=90),VLOOKUP(T968,'CAFCO 300 IDIEM TABLAS'!$J$4:$L$40,2,FALSE),0)+IF(AND(L968="Cafco 300",J968&gt;=95,J968&lt;=450,G968=4,C968="IN",I968=120),VLOOKUP(T968,'CAFCO 300 IDIEM TABLAS'!$J$4:$L$40,3,FALSE),0)+IF(AND(M968="Ensayo Idiem",L968="Cafco 400",C968="IN",G968=4,I968=90),VLOOKUP(T968,'CAFCO 400 ENSAYO'!$B$7:$D$43,2,FALSE),0)+IF(AND(M968="Ensayo Idiem",L968="Cafco 400",C968="IN",G968=4,I968=120),VLOOKUP(T968,'CAFCO 400 ENSAYO'!$B$7:$D$43,3,FALSE),0)</f>
        <v>0</v>
      </c>
      <c r="O968" s="96">
        <f t="shared" si="96"/>
        <v>0</v>
      </c>
      <c r="P968" s="95" t="str">
        <f t="shared" si="97"/>
        <v>N/A</v>
      </c>
      <c r="Q968" s="95" t="str">
        <f t="shared" si="98"/>
        <v>N/A</v>
      </c>
      <c r="R968" s="95" t="str">
        <f t="shared" si="99"/>
        <v>NO CERT.</v>
      </c>
      <c r="S968" s="95" t="e">
        <f t="shared" si="100"/>
        <v>#N/A</v>
      </c>
      <c r="T968" s="119" t="e">
        <f>+IF(J968=LOOKUP(J968,'CAFCO 300 IDIEM TABLAS'!$J$4:$J$40),'CALCULO MORTERO'!J968,MROUND('CALCULO MORTERO'!J968,10))</f>
        <v>#N/A</v>
      </c>
      <c r="U968" s="118">
        <f t="shared" si="101"/>
        <v>0</v>
      </c>
    </row>
    <row r="969" spans="1:21" x14ac:dyDescent="0.25">
      <c r="A969" s="118">
        <f>+CUBICACION!D963</f>
        <v>0</v>
      </c>
      <c r="B969" s="819">
        <f>+CUBICACION!E963</f>
        <v>0</v>
      </c>
      <c r="C969" s="675">
        <f>+CUBICACION!F963</f>
        <v>0</v>
      </c>
      <c r="D969" s="118"/>
      <c r="E969" s="118"/>
      <c r="F969" s="820"/>
      <c r="G969" s="675">
        <f>+CUBICACION!J963</f>
        <v>0</v>
      </c>
      <c r="H969" s="118"/>
      <c r="I969" s="821">
        <f>+CUBICACION!L963</f>
        <v>0</v>
      </c>
      <c r="J969" s="64">
        <f>+CUBICACION!M963</f>
        <v>0</v>
      </c>
      <c r="K969" s="822" t="str">
        <f>+CUBICACION!N963</f>
        <v/>
      </c>
      <c r="L969" s="118">
        <f>+CUBICACION!O963</f>
        <v>0</v>
      </c>
      <c r="M969" s="823">
        <f>+CUBICACION!P963</f>
        <v>0</v>
      </c>
      <c r="N969" s="902">
        <f>ROUND(IF(AND(L969="Blaze Shield II",M969="Software Idiem",C969="IN",G969=4),((('BLAZE SHIELD II'!$D$4*('CALCULO MORTERO'!I969^2)+'BLAZE SHIELD II'!$D$5*'CALCULO MORTERO'!I969+'BLAZE SHIELD II'!$D$6)*LN(J969))+('BLAZE SHIELD II'!$D$7*('CALCULO MORTERO'!I969^2)+'BLAZE SHIELD II'!$D$8*'CALCULO MORTERO'!I969+'BLAZE SHIELD II'!$D$9)),0)+IF(AND(L969="Blaze Shield II",M969="Software Idiem",C969="Cj"),((('BLAZE SHIELD II'!$H$4*('CALCULO MORTERO'!I969^2)+'BLAZE SHIELD II'!$H$5*'CALCULO MORTERO'!I969+'BLAZE SHIELD II'!$H$6)*LN(J969))+('BLAZE SHIELD II'!$H$7*('CALCULO MORTERO'!I969^2)+'BLAZE SHIELD II'!$H$8*'CALCULO MORTERO'!I969+'BLAZE SHIELD II'!$H$9)),0)+IF(AND(L969="Blaze Shield II",M969="Software Idiem",C969="C"),((('BLAZE SHIELD II'!$L$4*('CALCULO MORTERO'!I969^2)+'BLAZE SHIELD II'!$L$5*'CALCULO MORTERO'!I969+'BLAZE SHIELD II'!$L$6)*LN(J969))+('BLAZE SHIELD II'!$L$7*('CALCULO MORTERO'!I969^2)+'BLAZE SHIELD II'!$L$8*'CALCULO MORTERO'!I969+'BLAZE SHIELD II'!$L$9)),0)+IF(AND(L969="Blaze Shield II",M969="Software Idiem",C969="L"),((('BLAZE SHIELD II'!$L$4*('CALCULO MORTERO'!I969^2)+'BLAZE SHIELD II'!$L$5*'CALCULO MORTERO'!I969+'BLAZE SHIELD II'!$L$6)*LN(J969))+('BLAZE SHIELD II'!$L$7*('CALCULO MORTERO'!I969^2)+'BLAZE SHIELD II'!$L$8*'CALCULO MORTERO'!I969+'BLAZE SHIELD II'!$L$9)),0)+IF(AND(L969="Blaze Shield II",M969="Software Idiem",C969="IN",G969=3),((('BLAZE SHIELD II'!$H$14*('CALCULO MORTERO'!I969^2)+'BLAZE SHIELD II'!$H$15*'CALCULO MORTERO'!I969+'BLAZE SHIELD II'!$H$16)*LN(J969))+('BLAZE SHIELD II'!$H$17*('CALCULO MORTERO'!I969^2)+'BLAZE SHIELD II'!$H$18*'CALCULO MORTERO'!I969+'BLAZE SHIELD II'!$H$19)),0),0)+ROUND(IF(AND(L969="Cafco 400",M969="Software Idiem",C969="IN",G969=4),((('CAFCO 400 '!$H$7*(J969^4)+'CAFCO 400 '!$H$8*(J969^3)+'CAFCO 400 '!$H$9*(J969^2)+'CAFCO 400 '!$H$10*J969+'CAFCO 400 '!$H$11)*U969^2)+(('CAFCO 400 '!$H$12*(J969^3)+'CAFCO 400 '!$H$13*(J969^2)+'CAFCO 400 '!$H$14*J969+'CAFCO 400 '!$H$15)*U969)+('CAFCO 400 '!$H$16*(J969^2)+'CAFCO 400 '!$H$17*J969+'CAFCO 400 '!$H$18)),0)+IF(AND(L969="Cafco 400",M969="Software Idiem",C969="Cj"),(((('CAFCO 400 '!$D$7*LN(J969)+'CAFCO 400 '!$D$8)*U969^2)+(('CAFCO 400 '!$D$9*LN(J969)+'CAFCO 400 '!$D$10)*U969)+('CAFCO 400 '!$D$11*LN(J969)+'CAFCO 400 '!$D$12))),0)+IF(AND(L969="Cafco 400",M969="Software Idiem",C969="C"),((('CAFCO 400 '!$L$7*(J969^3)+'CAFCO 400 '!$L$8*(J969^2)+'CAFCO 400 '!$L$9*J969+'CAFCO 400 '!$L$10)*U969^2)+(('CAFCO 400 '!$L$11*(J969^3)+'CAFCO 400 '!$L$12*(J969^2)+'CAFCO 400 '!$L$13*J969+'CAFCO 400 '!$L$14)*U969)+('CAFCO 400 '!$L$15*LN(J969)+'CAFCO 400 '!$L$16)),0)+IF(AND(L969="Cafco 400",M969="Software Idiem",C969="L"),((('CAFCO 400 '!$L$7*(J969^3)+'CAFCO 400 '!$L$8*(J969^2)+'CAFCO 400 '!$L$9*J969+'CAFCO 400 '!$L$10)*U969^2)+(('CAFCO 400 '!$L$11*(J969^3)+'CAFCO 400 '!$L$12*(J969^2)+'CAFCO 400 '!$L$13*J969+'CAFCO 400 '!$L$14)*U969)+('CAFCO 400 '!$L$15*LN(J969)+'CAFCO 400 '!$L$16)),0)+IF(AND(L969="Cafco 400",M969="Software Idiem",C969="IN",G969=3),((('CAFCO 400 '!$D$23*(J969^2)+'CAFCO 400 '!$D$24*(J969)+'CAFCO 400 '!$D$25)*U969^2)+(('CAFCO 400 '!$D$26*(J969^2)+'CAFCO 400 '!$D$27*J969+'CAFCO 400 '!$D$28)*U969)+('CAFCO 400 '!$D$29*(J969^2)+'CAFCO 400 '!$D$30*J969+'CAFCO 400 '!$D$31)),0),0)+IF(AND(L969="Cafco 300",J969&gt;=95,J969&lt;=240,C969="Cj",I969=90),VLOOKUP(T969,'CAFCO 300 IDIEM TABLAS'!$B$4:$D$23,2,FALSE),0)+IF(AND(L969="Cafco 300",J969&gt;=95,J969&lt;=240,C969="Cj",I969=120),VLOOKUP(T969,'CAFCO 300 IDIEM TABLAS'!$B$4:$D$23,3,FALSE),0)+IF(AND(L969="Cafco 300",J969&gt;=95,J969&lt;=400,G969=3,C969="IN",I969=90),VLOOKUP(T969,'CAFCO 300 IDIEM TABLAS'!$F$4:$H$35,2,FALSE),0)+IF(AND(L969="Cafco 300",J969&gt;=95,J969&lt;=400,G969=3,C969="IN",I969=120),VLOOKUP(T969,'CAFCO 300 IDIEM TABLAS'!$F$4:$H$35,3,FALSE),0)+IF(AND(L969="Cafco 300",J969&gt;=95,J969&lt;=450,G969=4,C969="IN",I969=90),VLOOKUP(T969,'CAFCO 300 IDIEM TABLAS'!$J$4:$L$40,2,FALSE),0)+IF(AND(L969="Cafco 300",J969&gt;=95,J969&lt;=450,G969=4,C969="IN",I969=120),VLOOKUP(T969,'CAFCO 300 IDIEM TABLAS'!$J$4:$L$40,3,FALSE),0)+IF(AND(M969="Ensayo Idiem",L969="Cafco 400",C969="IN",G969=4,I969=90),VLOOKUP(T969,'CAFCO 400 ENSAYO'!$B$7:$D$43,2,FALSE),0)+IF(AND(M969="Ensayo Idiem",L969="Cafco 400",C969="IN",G969=4,I969=120),VLOOKUP(T969,'CAFCO 400 ENSAYO'!$B$7:$D$43,3,FALSE),0)</f>
        <v>0</v>
      </c>
      <c r="O969" s="96">
        <f t="shared" si="96"/>
        <v>0</v>
      </c>
      <c r="P969" s="132" t="str">
        <f t="shared" si="97"/>
        <v>N/A</v>
      </c>
      <c r="Q969" s="132" t="str">
        <f t="shared" si="98"/>
        <v>N/A</v>
      </c>
      <c r="R969" s="132" t="str">
        <f t="shared" si="99"/>
        <v>NO CERT.</v>
      </c>
      <c r="S969" s="132" t="e">
        <f t="shared" si="100"/>
        <v>#N/A</v>
      </c>
      <c r="T969" s="133" t="e">
        <f>+IF(J969=LOOKUP(J969,'CAFCO 300 IDIEM TABLAS'!$J$4:$J$40),'CALCULO MORTERO'!J969,MROUND('CALCULO MORTERO'!J969,10))</f>
        <v>#N/A</v>
      </c>
      <c r="U969" s="134">
        <f t="shared" si="101"/>
        <v>0</v>
      </c>
    </row>
    <row r="970" spans="1:21" x14ac:dyDescent="0.25">
      <c r="A970" s="118">
        <f>+CUBICACION!D964</f>
        <v>0</v>
      </c>
      <c r="B970" s="819">
        <f>+CUBICACION!E964</f>
        <v>0</v>
      </c>
      <c r="C970" s="675">
        <f>+CUBICACION!F964</f>
        <v>0</v>
      </c>
      <c r="D970" s="118"/>
      <c r="E970" s="118"/>
      <c r="F970" s="820"/>
      <c r="G970" s="675">
        <f>+CUBICACION!J964</f>
        <v>0</v>
      </c>
      <c r="H970" s="118"/>
      <c r="I970" s="821">
        <f>+CUBICACION!L964</f>
        <v>0</v>
      </c>
      <c r="J970" s="64">
        <f>+CUBICACION!M964</f>
        <v>0</v>
      </c>
      <c r="K970" s="822" t="str">
        <f>+CUBICACION!N964</f>
        <v/>
      </c>
      <c r="L970" s="118">
        <f>+CUBICACION!O964</f>
        <v>0</v>
      </c>
      <c r="M970" s="823">
        <f>+CUBICACION!P964</f>
        <v>0</v>
      </c>
      <c r="N970" s="902">
        <f>ROUND(IF(AND(L970="Blaze Shield II",M970="Software Idiem",C970="IN",G970=4),((('BLAZE SHIELD II'!$D$4*('CALCULO MORTERO'!I970^2)+'BLAZE SHIELD II'!$D$5*'CALCULO MORTERO'!I970+'BLAZE SHIELD II'!$D$6)*LN(J970))+('BLAZE SHIELD II'!$D$7*('CALCULO MORTERO'!I970^2)+'BLAZE SHIELD II'!$D$8*'CALCULO MORTERO'!I970+'BLAZE SHIELD II'!$D$9)),0)+IF(AND(L970="Blaze Shield II",M970="Software Idiem",C970="Cj"),((('BLAZE SHIELD II'!$H$4*('CALCULO MORTERO'!I970^2)+'BLAZE SHIELD II'!$H$5*'CALCULO MORTERO'!I970+'BLAZE SHIELD II'!$H$6)*LN(J970))+('BLAZE SHIELD II'!$H$7*('CALCULO MORTERO'!I970^2)+'BLAZE SHIELD II'!$H$8*'CALCULO MORTERO'!I970+'BLAZE SHIELD II'!$H$9)),0)+IF(AND(L970="Blaze Shield II",M970="Software Idiem",C970="C"),((('BLAZE SHIELD II'!$L$4*('CALCULO MORTERO'!I970^2)+'BLAZE SHIELD II'!$L$5*'CALCULO MORTERO'!I970+'BLAZE SHIELD II'!$L$6)*LN(J970))+('BLAZE SHIELD II'!$L$7*('CALCULO MORTERO'!I970^2)+'BLAZE SHIELD II'!$L$8*'CALCULO MORTERO'!I970+'BLAZE SHIELD II'!$L$9)),0)+IF(AND(L970="Blaze Shield II",M970="Software Idiem",C970="L"),((('BLAZE SHIELD II'!$L$4*('CALCULO MORTERO'!I970^2)+'BLAZE SHIELD II'!$L$5*'CALCULO MORTERO'!I970+'BLAZE SHIELD II'!$L$6)*LN(J970))+('BLAZE SHIELD II'!$L$7*('CALCULO MORTERO'!I970^2)+'BLAZE SHIELD II'!$L$8*'CALCULO MORTERO'!I970+'BLAZE SHIELD II'!$L$9)),0)+IF(AND(L970="Blaze Shield II",M970="Software Idiem",C970="IN",G970=3),((('BLAZE SHIELD II'!$H$14*('CALCULO MORTERO'!I970^2)+'BLAZE SHIELD II'!$H$15*'CALCULO MORTERO'!I970+'BLAZE SHIELD II'!$H$16)*LN(J970))+('BLAZE SHIELD II'!$H$17*('CALCULO MORTERO'!I970^2)+'BLAZE SHIELD II'!$H$18*'CALCULO MORTERO'!I970+'BLAZE SHIELD II'!$H$19)),0),0)+ROUND(IF(AND(L970="Cafco 400",M970="Software Idiem",C970="IN",G970=4),((('CAFCO 400 '!$H$7*(J970^4)+'CAFCO 400 '!$H$8*(J970^3)+'CAFCO 400 '!$H$9*(J970^2)+'CAFCO 400 '!$H$10*J970+'CAFCO 400 '!$H$11)*U970^2)+(('CAFCO 400 '!$H$12*(J970^3)+'CAFCO 400 '!$H$13*(J970^2)+'CAFCO 400 '!$H$14*J970+'CAFCO 400 '!$H$15)*U970)+('CAFCO 400 '!$H$16*(J970^2)+'CAFCO 400 '!$H$17*J970+'CAFCO 400 '!$H$18)),0)+IF(AND(L970="Cafco 400",M970="Software Idiem",C970="Cj"),(((('CAFCO 400 '!$D$7*LN(J970)+'CAFCO 400 '!$D$8)*U970^2)+(('CAFCO 400 '!$D$9*LN(J970)+'CAFCO 400 '!$D$10)*U970)+('CAFCO 400 '!$D$11*LN(J970)+'CAFCO 400 '!$D$12))),0)+IF(AND(L970="Cafco 400",M970="Software Idiem",C970="C"),((('CAFCO 400 '!$L$7*(J970^3)+'CAFCO 400 '!$L$8*(J970^2)+'CAFCO 400 '!$L$9*J970+'CAFCO 400 '!$L$10)*U970^2)+(('CAFCO 400 '!$L$11*(J970^3)+'CAFCO 400 '!$L$12*(J970^2)+'CAFCO 400 '!$L$13*J970+'CAFCO 400 '!$L$14)*U970)+('CAFCO 400 '!$L$15*LN(J970)+'CAFCO 400 '!$L$16)),0)+IF(AND(L970="Cafco 400",M970="Software Idiem",C970="L"),((('CAFCO 400 '!$L$7*(J970^3)+'CAFCO 400 '!$L$8*(J970^2)+'CAFCO 400 '!$L$9*J970+'CAFCO 400 '!$L$10)*U970^2)+(('CAFCO 400 '!$L$11*(J970^3)+'CAFCO 400 '!$L$12*(J970^2)+'CAFCO 400 '!$L$13*J970+'CAFCO 400 '!$L$14)*U970)+('CAFCO 400 '!$L$15*LN(J970)+'CAFCO 400 '!$L$16)),0)+IF(AND(L970="Cafco 400",M970="Software Idiem",C970="IN",G970=3),((('CAFCO 400 '!$D$23*(J970^2)+'CAFCO 400 '!$D$24*(J970)+'CAFCO 400 '!$D$25)*U970^2)+(('CAFCO 400 '!$D$26*(J970^2)+'CAFCO 400 '!$D$27*J970+'CAFCO 400 '!$D$28)*U970)+('CAFCO 400 '!$D$29*(J970^2)+'CAFCO 400 '!$D$30*J970+'CAFCO 400 '!$D$31)),0),0)+IF(AND(L970="Cafco 300",J970&gt;=95,J970&lt;=240,C970="Cj",I970=90),VLOOKUP(T970,'CAFCO 300 IDIEM TABLAS'!$B$4:$D$23,2,FALSE),0)+IF(AND(L970="Cafco 300",J970&gt;=95,J970&lt;=240,C970="Cj",I970=120),VLOOKUP(T970,'CAFCO 300 IDIEM TABLAS'!$B$4:$D$23,3,FALSE),0)+IF(AND(L970="Cafco 300",J970&gt;=95,J970&lt;=400,G970=3,C970="IN",I970=90),VLOOKUP(T970,'CAFCO 300 IDIEM TABLAS'!$F$4:$H$35,2,FALSE),0)+IF(AND(L970="Cafco 300",J970&gt;=95,J970&lt;=400,G970=3,C970="IN",I970=120),VLOOKUP(T970,'CAFCO 300 IDIEM TABLAS'!$F$4:$H$35,3,FALSE),0)+IF(AND(L970="Cafco 300",J970&gt;=95,J970&lt;=450,G970=4,C970="IN",I970=90),VLOOKUP(T970,'CAFCO 300 IDIEM TABLAS'!$J$4:$L$40,2,FALSE),0)+IF(AND(L970="Cafco 300",J970&gt;=95,J970&lt;=450,G970=4,C970="IN",I970=120),VLOOKUP(T970,'CAFCO 300 IDIEM TABLAS'!$J$4:$L$40,3,FALSE),0)+IF(AND(M970="Ensayo Idiem",L970="Cafco 400",C970="IN",G970=4,I970=90),VLOOKUP(T970,'CAFCO 400 ENSAYO'!$B$7:$D$43,2,FALSE),0)+IF(AND(M970="Ensayo Idiem",L970="Cafco 400",C970="IN",G970=4,I970=120),VLOOKUP(T970,'CAFCO 400 ENSAYO'!$B$7:$D$43,3,FALSE),0)</f>
        <v>0</v>
      </c>
      <c r="O970" s="96">
        <f t="shared" si="96"/>
        <v>0</v>
      </c>
      <c r="P970" s="95" t="str">
        <f t="shared" si="97"/>
        <v>N/A</v>
      </c>
      <c r="Q970" s="95" t="str">
        <f t="shared" si="98"/>
        <v>N/A</v>
      </c>
      <c r="R970" s="95" t="str">
        <f t="shared" si="99"/>
        <v>NO CERT.</v>
      </c>
      <c r="S970" s="95" t="e">
        <f t="shared" si="100"/>
        <v>#N/A</v>
      </c>
      <c r="T970" s="119" t="e">
        <f>+IF(J970=LOOKUP(J970,'CAFCO 300 IDIEM TABLAS'!$J$4:$J$40),'CALCULO MORTERO'!J970,MROUND('CALCULO MORTERO'!J970,10))</f>
        <v>#N/A</v>
      </c>
      <c r="U970" s="118">
        <f t="shared" si="101"/>
        <v>0</v>
      </c>
    </row>
    <row r="971" spans="1:21" x14ac:dyDescent="0.25">
      <c r="A971" s="118">
        <f>+CUBICACION!D965</f>
        <v>0</v>
      </c>
      <c r="B971" s="819">
        <f>+CUBICACION!E965</f>
        <v>0</v>
      </c>
      <c r="C971" s="675">
        <f>+CUBICACION!F965</f>
        <v>0</v>
      </c>
      <c r="D971" s="118"/>
      <c r="E971" s="118"/>
      <c r="F971" s="820"/>
      <c r="G971" s="675">
        <f>+CUBICACION!J965</f>
        <v>0</v>
      </c>
      <c r="H971" s="118"/>
      <c r="I971" s="821">
        <f>+CUBICACION!L965</f>
        <v>0</v>
      </c>
      <c r="J971" s="64">
        <f>+CUBICACION!M965</f>
        <v>0</v>
      </c>
      <c r="K971" s="822" t="str">
        <f>+CUBICACION!N965</f>
        <v/>
      </c>
      <c r="L971" s="118">
        <f>+CUBICACION!O965</f>
        <v>0</v>
      </c>
      <c r="M971" s="823">
        <f>+CUBICACION!P965</f>
        <v>0</v>
      </c>
      <c r="N971" s="902">
        <f>ROUND(IF(AND(L971="Blaze Shield II",M971="Software Idiem",C971="IN",G971=4),((('BLAZE SHIELD II'!$D$4*('CALCULO MORTERO'!I971^2)+'BLAZE SHIELD II'!$D$5*'CALCULO MORTERO'!I971+'BLAZE SHIELD II'!$D$6)*LN(J971))+('BLAZE SHIELD II'!$D$7*('CALCULO MORTERO'!I971^2)+'BLAZE SHIELD II'!$D$8*'CALCULO MORTERO'!I971+'BLAZE SHIELD II'!$D$9)),0)+IF(AND(L971="Blaze Shield II",M971="Software Idiem",C971="Cj"),((('BLAZE SHIELD II'!$H$4*('CALCULO MORTERO'!I971^2)+'BLAZE SHIELD II'!$H$5*'CALCULO MORTERO'!I971+'BLAZE SHIELD II'!$H$6)*LN(J971))+('BLAZE SHIELD II'!$H$7*('CALCULO MORTERO'!I971^2)+'BLAZE SHIELD II'!$H$8*'CALCULO MORTERO'!I971+'BLAZE SHIELD II'!$H$9)),0)+IF(AND(L971="Blaze Shield II",M971="Software Idiem",C971="C"),((('BLAZE SHIELD II'!$L$4*('CALCULO MORTERO'!I971^2)+'BLAZE SHIELD II'!$L$5*'CALCULO MORTERO'!I971+'BLAZE SHIELD II'!$L$6)*LN(J971))+('BLAZE SHIELD II'!$L$7*('CALCULO MORTERO'!I971^2)+'BLAZE SHIELD II'!$L$8*'CALCULO MORTERO'!I971+'BLAZE SHIELD II'!$L$9)),0)+IF(AND(L971="Blaze Shield II",M971="Software Idiem",C971="L"),((('BLAZE SHIELD II'!$L$4*('CALCULO MORTERO'!I971^2)+'BLAZE SHIELD II'!$L$5*'CALCULO MORTERO'!I971+'BLAZE SHIELD II'!$L$6)*LN(J971))+('BLAZE SHIELD II'!$L$7*('CALCULO MORTERO'!I971^2)+'BLAZE SHIELD II'!$L$8*'CALCULO MORTERO'!I971+'BLAZE SHIELD II'!$L$9)),0)+IF(AND(L971="Blaze Shield II",M971="Software Idiem",C971="IN",G971=3),((('BLAZE SHIELD II'!$H$14*('CALCULO MORTERO'!I971^2)+'BLAZE SHIELD II'!$H$15*'CALCULO MORTERO'!I971+'BLAZE SHIELD II'!$H$16)*LN(J971))+('BLAZE SHIELD II'!$H$17*('CALCULO MORTERO'!I971^2)+'BLAZE SHIELD II'!$H$18*'CALCULO MORTERO'!I971+'BLAZE SHIELD II'!$H$19)),0),0)+ROUND(IF(AND(L971="Cafco 400",M971="Software Idiem",C971="IN",G971=4),((('CAFCO 400 '!$H$7*(J971^4)+'CAFCO 400 '!$H$8*(J971^3)+'CAFCO 400 '!$H$9*(J971^2)+'CAFCO 400 '!$H$10*J971+'CAFCO 400 '!$H$11)*U971^2)+(('CAFCO 400 '!$H$12*(J971^3)+'CAFCO 400 '!$H$13*(J971^2)+'CAFCO 400 '!$H$14*J971+'CAFCO 400 '!$H$15)*U971)+('CAFCO 400 '!$H$16*(J971^2)+'CAFCO 400 '!$H$17*J971+'CAFCO 400 '!$H$18)),0)+IF(AND(L971="Cafco 400",M971="Software Idiem",C971="Cj"),(((('CAFCO 400 '!$D$7*LN(J971)+'CAFCO 400 '!$D$8)*U971^2)+(('CAFCO 400 '!$D$9*LN(J971)+'CAFCO 400 '!$D$10)*U971)+('CAFCO 400 '!$D$11*LN(J971)+'CAFCO 400 '!$D$12))),0)+IF(AND(L971="Cafco 400",M971="Software Idiem",C971="C"),((('CAFCO 400 '!$L$7*(J971^3)+'CAFCO 400 '!$L$8*(J971^2)+'CAFCO 400 '!$L$9*J971+'CAFCO 400 '!$L$10)*U971^2)+(('CAFCO 400 '!$L$11*(J971^3)+'CAFCO 400 '!$L$12*(J971^2)+'CAFCO 400 '!$L$13*J971+'CAFCO 400 '!$L$14)*U971)+('CAFCO 400 '!$L$15*LN(J971)+'CAFCO 400 '!$L$16)),0)+IF(AND(L971="Cafco 400",M971="Software Idiem",C971="L"),((('CAFCO 400 '!$L$7*(J971^3)+'CAFCO 400 '!$L$8*(J971^2)+'CAFCO 400 '!$L$9*J971+'CAFCO 400 '!$L$10)*U971^2)+(('CAFCO 400 '!$L$11*(J971^3)+'CAFCO 400 '!$L$12*(J971^2)+'CAFCO 400 '!$L$13*J971+'CAFCO 400 '!$L$14)*U971)+('CAFCO 400 '!$L$15*LN(J971)+'CAFCO 400 '!$L$16)),0)+IF(AND(L971="Cafco 400",M971="Software Idiem",C971="IN",G971=3),((('CAFCO 400 '!$D$23*(J971^2)+'CAFCO 400 '!$D$24*(J971)+'CAFCO 400 '!$D$25)*U971^2)+(('CAFCO 400 '!$D$26*(J971^2)+'CAFCO 400 '!$D$27*J971+'CAFCO 400 '!$D$28)*U971)+('CAFCO 400 '!$D$29*(J971^2)+'CAFCO 400 '!$D$30*J971+'CAFCO 400 '!$D$31)),0),0)+IF(AND(L971="Cafco 300",J971&gt;=95,J971&lt;=240,C971="Cj",I971=90),VLOOKUP(T971,'CAFCO 300 IDIEM TABLAS'!$B$4:$D$23,2,FALSE),0)+IF(AND(L971="Cafco 300",J971&gt;=95,J971&lt;=240,C971="Cj",I971=120),VLOOKUP(T971,'CAFCO 300 IDIEM TABLAS'!$B$4:$D$23,3,FALSE),0)+IF(AND(L971="Cafco 300",J971&gt;=95,J971&lt;=400,G971=3,C971="IN",I971=90),VLOOKUP(T971,'CAFCO 300 IDIEM TABLAS'!$F$4:$H$35,2,FALSE),0)+IF(AND(L971="Cafco 300",J971&gt;=95,J971&lt;=400,G971=3,C971="IN",I971=120),VLOOKUP(T971,'CAFCO 300 IDIEM TABLAS'!$F$4:$H$35,3,FALSE),0)+IF(AND(L971="Cafco 300",J971&gt;=95,J971&lt;=450,G971=4,C971="IN",I971=90),VLOOKUP(T971,'CAFCO 300 IDIEM TABLAS'!$J$4:$L$40,2,FALSE),0)+IF(AND(L971="Cafco 300",J971&gt;=95,J971&lt;=450,G971=4,C971="IN",I971=120),VLOOKUP(T971,'CAFCO 300 IDIEM TABLAS'!$J$4:$L$40,3,FALSE),0)+IF(AND(M971="Ensayo Idiem",L971="Cafco 400",C971="IN",G971=4,I971=90),VLOOKUP(T971,'CAFCO 400 ENSAYO'!$B$7:$D$43,2,FALSE),0)+IF(AND(M971="Ensayo Idiem",L971="Cafco 400",C971="IN",G971=4,I971=120),VLOOKUP(T971,'CAFCO 400 ENSAYO'!$B$7:$D$43,3,FALSE),0)</f>
        <v>0</v>
      </c>
      <c r="O971" s="96">
        <f t="shared" ref="O971:O1034" si="102">((IF(L971="Blaze Shield II",((K971*N971*0.43)/38),IF(L971="Cafco 400",((K971*N971*0.43)/23),IF(L971="Cafco 300",((K971*N971*0.43)/31.16),0)))))</f>
        <v>0</v>
      </c>
      <c r="P971" s="132" t="str">
        <f t="shared" si="97"/>
        <v>N/A</v>
      </c>
      <c r="Q971" s="132" t="str">
        <f t="shared" si="98"/>
        <v>N/A</v>
      </c>
      <c r="R971" s="132" t="str">
        <f t="shared" si="99"/>
        <v>NO CERT.</v>
      </c>
      <c r="S971" s="132" t="e">
        <f t="shared" si="100"/>
        <v>#N/A</v>
      </c>
      <c r="T971" s="133" t="e">
        <f>+IF(J971=LOOKUP(J971,'CAFCO 300 IDIEM TABLAS'!$J$4:$J$40),'CALCULO MORTERO'!J971,MROUND('CALCULO MORTERO'!J971,10))</f>
        <v>#N/A</v>
      </c>
      <c r="U971" s="134">
        <f t="shared" si="101"/>
        <v>0</v>
      </c>
    </row>
    <row r="972" spans="1:21" x14ac:dyDescent="0.25">
      <c r="A972" s="118">
        <f>+CUBICACION!D966</f>
        <v>0</v>
      </c>
      <c r="B972" s="819">
        <f>+CUBICACION!E966</f>
        <v>0</v>
      </c>
      <c r="C972" s="675">
        <f>+CUBICACION!F966</f>
        <v>0</v>
      </c>
      <c r="D972" s="118"/>
      <c r="E972" s="118"/>
      <c r="F972" s="820"/>
      <c r="G972" s="675">
        <f>+CUBICACION!J966</f>
        <v>0</v>
      </c>
      <c r="H972" s="118"/>
      <c r="I972" s="821">
        <f>+CUBICACION!L966</f>
        <v>0</v>
      </c>
      <c r="J972" s="64">
        <f>+CUBICACION!M966</f>
        <v>0</v>
      </c>
      <c r="K972" s="822" t="str">
        <f>+CUBICACION!N966</f>
        <v/>
      </c>
      <c r="L972" s="118">
        <f>+CUBICACION!O966</f>
        <v>0</v>
      </c>
      <c r="M972" s="823">
        <f>+CUBICACION!P966</f>
        <v>0</v>
      </c>
      <c r="N972" s="902">
        <f>ROUND(IF(AND(L972="Blaze Shield II",M972="Software Idiem",C972="IN",G972=4),((('BLAZE SHIELD II'!$D$4*('CALCULO MORTERO'!I972^2)+'BLAZE SHIELD II'!$D$5*'CALCULO MORTERO'!I972+'BLAZE SHIELD II'!$D$6)*LN(J972))+('BLAZE SHIELD II'!$D$7*('CALCULO MORTERO'!I972^2)+'BLAZE SHIELD II'!$D$8*'CALCULO MORTERO'!I972+'BLAZE SHIELD II'!$D$9)),0)+IF(AND(L972="Blaze Shield II",M972="Software Idiem",C972="Cj"),((('BLAZE SHIELD II'!$H$4*('CALCULO MORTERO'!I972^2)+'BLAZE SHIELD II'!$H$5*'CALCULO MORTERO'!I972+'BLAZE SHIELD II'!$H$6)*LN(J972))+('BLAZE SHIELD II'!$H$7*('CALCULO MORTERO'!I972^2)+'BLAZE SHIELD II'!$H$8*'CALCULO MORTERO'!I972+'BLAZE SHIELD II'!$H$9)),0)+IF(AND(L972="Blaze Shield II",M972="Software Idiem",C972="C"),((('BLAZE SHIELD II'!$L$4*('CALCULO MORTERO'!I972^2)+'BLAZE SHIELD II'!$L$5*'CALCULO MORTERO'!I972+'BLAZE SHIELD II'!$L$6)*LN(J972))+('BLAZE SHIELD II'!$L$7*('CALCULO MORTERO'!I972^2)+'BLAZE SHIELD II'!$L$8*'CALCULO MORTERO'!I972+'BLAZE SHIELD II'!$L$9)),0)+IF(AND(L972="Blaze Shield II",M972="Software Idiem",C972="L"),((('BLAZE SHIELD II'!$L$4*('CALCULO MORTERO'!I972^2)+'BLAZE SHIELD II'!$L$5*'CALCULO MORTERO'!I972+'BLAZE SHIELD II'!$L$6)*LN(J972))+('BLAZE SHIELD II'!$L$7*('CALCULO MORTERO'!I972^2)+'BLAZE SHIELD II'!$L$8*'CALCULO MORTERO'!I972+'BLAZE SHIELD II'!$L$9)),0)+IF(AND(L972="Blaze Shield II",M972="Software Idiem",C972="IN",G972=3),((('BLAZE SHIELD II'!$H$14*('CALCULO MORTERO'!I972^2)+'BLAZE SHIELD II'!$H$15*'CALCULO MORTERO'!I972+'BLAZE SHIELD II'!$H$16)*LN(J972))+('BLAZE SHIELD II'!$H$17*('CALCULO MORTERO'!I972^2)+'BLAZE SHIELD II'!$H$18*'CALCULO MORTERO'!I972+'BLAZE SHIELD II'!$H$19)),0),0)+ROUND(IF(AND(L972="Cafco 400",M972="Software Idiem",C972="IN",G972=4),((('CAFCO 400 '!$H$7*(J972^4)+'CAFCO 400 '!$H$8*(J972^3)+'CAFCO 400 '!$H$9*(J972^2)+'CAFCO 400 '!$H$10*J972+'CAFCO 400 '!$H$11)*U972^2)+(('CAFCO 400 '!$H$12*(J972^3)+'CAFCO 400 '!$H$13*(J972^2)+'CAFCO 400 '!$H$14*J972+'CAFCO 400 '!$H$15)*U972)+('CAFCO 400 '!$H$16*(J972^2)+'CAFCO 400 '!$H$17*J972+'CAFCO 400 '!$H$18)),0)+IF(AND(L972="Cafco 400",M972="Software Idiem",C972="Cj"),(((('CAFCO 400 '!$D$7*LN(J972)+'CAFCO 400 '!$D$8)*U972^2)+(('CAFCO 400 '!$D$9*LN(J972)+'CAFCO 400 '!$D$10)*U972)+('CAFCO 400 '!$D$11*LN(J972)+'CAFCO 400 '!$D$12))),0)+IF(AND(L972="Cafco 400",M972="Software Idiem",C972="C"),((('CAFCO 400 '!$L$7*(J972^3)+'CAFCO 400 '!$L$8*(J972^2)+'CAFCO 400 '!$L$9*J972+'CAFCO 400 '!$L$10)*U972^2)+(('CAFCO 400 '!$L$11*(J972^3)+'CAFCO 400 '!$L$12*(J972^2)+'CAFCO 400 '!$L$13*J972+'CAFCO 400 '!$L$14)*U972)+('CAFCO 400 '!$L$15*LN(J972)+'CAFCO 400 '!$L$16)),0)+IF(AND(L972="Cafco 400",M972="Software Idiem",C972="L"),((('CAFCO 400 '!$L$7*(J972^3)+'CAFCO 400 '!$L$8*(J972^2)+'CAFCO 400 '!$L$9*J972+'CAFCO 400 '!$L$10)*U972^2)+(('CAFCO 400 '!$L$11*(J972^3)+'CAFCO 400 '!$L$12*(J972^2)+'CAFCO 400 '!$L$13*J972+'CAFCO 400 '!$L$14)*U972)+('CAFCO 400 '!$L$15*LN(J972)+'CAFCO 400 '!$L$16)),0)+IF(AND(L972="Cafco 400",M972="Software Idiem",C972="IN",G972=3),((('CAFCO 400 '!$D$23*(J972^2)+'CAFCO 400 '!$D$24*(J972)+'CAFCO 400 '!$D$25)*U972^2)+(('CAFCO 400 '!$D$26*(J972^2)+'CAFCO 400 '!$D$27*J972+'CAFCO 400 '!$D$28)*U972)+('CAFCO 400 '!$D$29*(J972^2)+'CAFCO 400 '!$D$30*J972+'CAFCO 400 '!$D$31)),0),0)+IF(AND(L972="Cafco 300",J972&gt;=95,J972&lt;=240,C972="Cj",I972=90),VLOOKUP(T972,'CAFCO 300 IDIEM TABLAS'!$B$4:$D$23,2,FALSE),0)+IF(AND(L972="Cafco 300",J972&gt;=95,J972&lt;=240,C972="Cj",I972=120),VLOOKUP(T972,'CAFCO 300 IDIEM TABLAS'!$B$4:$D$23,3,FALSE),0)+IF(AND(L972="Cafco 300",J972&gt;=95,J972&lt;=400,G972=3,C972="IN",I972=90),VLOOKUP(T972,'CAFCO 300 IDIEM TABLAS'!$F$4:$H$35,2,FALSE),0)+IF(AND(L972="Cafco 300",J972&gt;=95,J972&lt;=400,G972=3,C972="IN",I972=120),VLOOKUP(T972,'CAFCO 300 IDIEM TABLAS'!$F$4:$H$35,3,FALSE),0)+IF(AND(L972="Cafco 300",J972&gt;=95,J972&lt;=450,G972=4,C972="IN",I972=90),VLOOKUP(T972,'CAFCO 300 IDIEM TABLAS'!$J$4:$L$40,2,FALSE),0)+IF(AND(L972="Cafco 300",J972&gt;=95,J972&lt;=450,G972=4,C972="IN",I972=120),VLOOKUP(T972,'CAFCO 300 IDIEM TABLAS'!$J$4:$L$40,3,FALSE),0)+IF(AND(M972="Ensayo Idiem",L972="Cafco 400",C972="IN",G972=4,I972=90),VLOOKUP(T972,'CAFCO 400 ENSAYO'!$B$7:$D$43,2,FALSE),0)+IF(AND(M972="Ensayo Idiem",L972="Cafco 400",C972="IN",G972=4,I972=120),VLOOKUP(T972,'CAFCO 400 ENSAYO'!$B$7:$D$43,3,FALSE),0)</f>
        <v>0</v>
      </c>
      <c r="O972" s="96">
        <f t="shared" si="102"/>
        <v>0</v>
      </c>
      <c r="P972" s="95" t="str">
        <f t="shared" si="97"/>
        <v>N/A</v>
      </c>
      <c r="Q972" s="95" t="str">
        <f t="shared" si="98"/>
        <v>N/A</v>
      </c>
      <c r="R972" s="95" t="str">
        <f t="shared" si="99"/>
        <v>NO CERT.</v>
      </c>
      <c r="S972" s="95" t="e">
        <f t="shared" si="100"/>
        <v>#N/A</v>
      </c>
      <c r="T972" s="119" t="e">
        <f>+IF(J972=LOOKUP(J972,'CAFCO 300 IDIEM TABLAS'!$J$4:$J$40),'CALCULO MORTERO'!J972,MROUND('CALCULO MORTERO'!J972,10))</f>
        <v>#N/A</v>
      </c>
      <c r="U972" s="118">
        <f t="shared" si="101"/>
        <v>0</v>
      </c>
    </row>
    <row r="973" spans="1:21" x14ac:dyDescent="0.25">
      <c r="A973" s="118">
        <f>+CUBICACION!D967</f>
        <v>0</v>
      </c>
      <c r="B973" s="819">
        <f>+CUBICACION!E967</f>
        <v>0</v>
      </c>
      <c r="C973" s="675">
        <f>+CUBICACION!F967</f>
        <v>0</v>
      </c>
      <c r="D973" s="118"/>
      <c r="E973" s="118"/>
      <c r="F973" s="820"/>
      <c r="G973" s="675">
        <f>+CUBICACION!J967</f>
        <v>0</v>
      </c>
      <c r="H973" s="118"/>
      <c r="I973" s="821">
        <f>+CUBICACION!L967</f>
        <v>0</v>
      </c>
      <c r="J973" s="64">
        <f>+CUBICACION!M967</f>
        <v>0</v>
      </c>
      <c r="K973" s="822" t="str">
        <f>+CUBICACION!N967</f>
        <v/>
      </c>
      <c r="L973" s="118">
        <f>+CUBICACION!O967</f>
        <v>0</v>
      </c>
      <c r="M973" s="823">
        <f>+CUBICACION!P967</f>
        <v>0</v>
      </c>
      <c r="N973" s="902">
        <f>ROUND(IF(AND(L973="Blaze Shield II",M973="Software Idiem",C973="IN",G973=4),((('BLAZE SHIELD II'!$D$4*('CALCULO MORTERO'!I973^2)+'BLAZE SHIELD II'!$D$5*'CALCULO MORTERO'!I973+'BLAZE SHIELD II'!$D$6)*LN(J973))+('BLAZE SHIELD II'!$D$7*('CALCULO MORTERO'!I973^2)+'BLAZE SHIELD II'!$D$8*'CALCULO MORTERO'!I973+'BLAZE SHIELD II'!$D$9)),0)+IF(AND(L973="Blaze Shield II",M973="Software Idiem",C973="Cj"),((('BLAZE SHIELD II'!$H$4*('CALCULO MORTERO'!I973^2)+'BLAZE SHIELD II'!$H$5*'CALCULO MORTERO'!I973+'BLAZE SHIELD II'!$H$6)*LN(J973))+('BLAZE SHIELD II'!$H$7*('CALCULO MORTERO'!I973^2)+'BLAZE SHIELD II'!$H$8*'CALCULO MORTERO'!I973+'BLAZE SHIELD II'!$H$9)),0)+IF(AND(L973="Blaze Shield II",M973="Software Idiem",C973="C"),((('BLAZE SHIELD II'!$L$4*('CALCULO MORTERO'!I973^2)+'BLAZE SHIELD II'!$L$5*'CALCULO MORTERO'!I973+'BLAZE SHIELD II'!$L$6)*LN(J973))+('BLAZE SHIELD II'!$L$7*('CALCULO MORTERO'!I973^2)+'BLAZE SHIELD II'!$L$8*'CALCULO MORTERO'!I973+'BLAZE SHIELD II'!$L$9)),0)+IF(AND(L973="Blaze Shield II",M973="Software Idiem",C973="L"),((('BLAZE SHIELD II'!$L$4*('CALCULO MORTERO'!I973^2)+'BLAZE SHIELD II'!$L$5*'CALCULO MORTERO'!I973+'BLAZE SHIELD II'!$L$6)*LN(J973))+('BLAZE SHIELD II'!$L$7*('CALCULO MORTERO'!I973^2)+'BLAZE SHIELD II'!$L$8*'CALCULO MORTERO'!I973+'BLAZE SHIELD II'!$L$9)),0)+IF(AND(L973="Blaze Shield II",M973="Software Idiem",C973="IN",G973=3),((('BLAZE SHIELD II'!$H$14*('CALCULO MORTERO'!I973^2)+'BLAZE SHIELD II'!$H$15*'CALCULO MORTERO'!I973+'BLAZE SHIELD II'!$H$16)*LN(J973))+('BLAZE SHIELD II'!$H$17*('CALCULO MORTERO'!I973^2)+'BLAZE SHIELD II'!$H$18*'CALCULO MORTERO'!I973+'BLAZE SHIELD II'!$H$19)),0),0)+ROUND(IF(AND(L973="Cafco 400",M973="Software Idiem",C973="IN",G973=4),((('CAFCO 400 '!$H$7*(J973^4)+'CAFCO 400 '!$H$8*(J973^3)+'CAFCO 400 '!$H$9*(J973^2)+'CAFCO 400 '!$H$10*J973+'CAFCO 400 '!$H$11)*U973^2)+(('CAFCO 400 '!$H$12*(J973^3)+'CAFCO 400 '!$H$13*(J973^2)+'CAFCO 400 '!$H$14*J973+'CAFCO 400 '!$H$15)*U973)+('CAFCO 400 '!$H$16*(J973^2)+'CAFCO 400 '!$H$17*J973+'CAFCO 400 '!$H$18)),0)+IF(AND(L973="Cafco 400",M973="Software Idiem",C973="Cj"),(((('CAFCO 400 '!$D$7*LN(J973)+'CAFCO 400 '!$D$8)*U973^2)+(('CAFCO 400 '!$D$9*LN(J973)+'CAFCO 400 '!$D$10)*U973)+('CAFCO 400 '!$D$11*LN(J973)+'CAFCO 400 '!$D$12))),0)+IF(AND(L973="Cafco 400",M973="Software Idiem",C973="C"),((('CAFCO 400 '!$L$7*(J973^3)+'CAFCO 400 '!$L$8*(J973^2)+'CAFCO 400 '!$L$9*J973+'CAFCO 400 '!$L$10)*U973^2)+(('CAFCO 400 '!$L$11*(J973^3)+'CAFCO 400 '!$L$12*(J973^2)+'CAFCO 400 '!$L$13*J973+'CAFCO 400 '!$L$14)*U973)+('CAFCO 400 '!$L$15*LN(J973)+'CAFCO 400 '!$L$16)),0)+IF(AND(L973="Cafco 400",M973="Software Idiem",C973="L"),((('CAFCO 400 '!$L$7*(J973^3)+'CAFCO 400 '!$L$8*(J973^2)+'CAFCO 400 '!$L$9*J973+'CAFCO 400 '!$L$10)*U973^2)+(('CAFCO 400 '!$L$11*(J973^3)+'CAFCO 400 '!$L$12*(J973^2)+'CAFCO 400 '!$L$13*J973+'CAFCO 400 '!$L$14)*U973)+('CAFCO 400 '!$L$15*LN(J973)+'CAFCO 400 '!$L$16)),0)+IF(AND(L973="Cafco 400",M973="Software Idiem",C973="IN",G973=3),((('CAFCO 400 '!$D$23*(J973^2)+'CAFCO 400 '!$D$24*(J973)+'CAFCO 400 '!$D$25)*U973^2)+(('CAFCO 400 '!$D$26*(J973^2)+'CAFCO 400 '!$D$27*J973+'CAFCO 400 '!$D$28)*U973)+('CAFCO 400 '!$D$29*(J973^2)+'CAFCO 400 '!$D$30*J973+'CAFCO 400 '!$D$31)),0),0)+IF(AND(L973="Cafco 300",J973&gt;=95,J973&lt;=240,C973="Cj",I973=90),VLOOKUP(T973,'CAFCO 300 IDIEM TABLAS'!$B$4:$D$23,2,FALSE),0)+IF(AND(L973="Cafco 300",J973&gt;=95,J973&lt;=240,C973="Cj",I973=120),VLOOKUP(T973,'CAFCO 300 IDIEM TABLAS'!$B$4:$D$23,3,FALSE),0)+IF(AND(L973="Cafco 300",J973&gt;=95,J973&lt;=400,G973=3,C973="IN",I973=90),VLOOKUP(T973,'CAFCO 300 IDIEM TABLAS'!$F$4:$H$35,2,FALSE),0)+IF(AND(L973="Cafco 300",J973&gt;=95,J973&lt;=400,G973=3,C973="IN",I973=120),VLOOKUP(T973,'CAFCO 300 IDIEM TABLAS'!$F$4:$H$35,3,FALSE),0)+IF(AND(L973="Cafco 300",J973&gt;=95,J973&lt;=450,G973=4,C973="IN",I973=90),VLOOKUP(T973,'CAFCO 300 IDIEM TABLAS'!$J$4:$L$40,2,FALSE),0)+IF(AND(L973="Cafco 300",J973&gt;=95,J973&lt;=450,G973=4,C973="IN",I973=120),VLOOKUP(T973,'CAFCO 300 IDIEM TABLAS'!$J$4:$L$40,3,FALSE),0)+IF(AND(M973="Ensayo Idiem",L973="Cafco 400",C973="IN",G973=4,I973=90),VLOOKUP(T973,'CAFCO 400 ENSAYO'!$B$7:$D$43,2,FALSE),0)+IF(AND(M973="Ensayo Idiem",L973="Cafco 400",C973="IN",G973=4,I973=120),VLOOKUP(T973,'CAFCO 400 ENSAYO'!$B$7:$D$43,3,FALSE),0)</f>
        <v>0</v>
      </c>
      <c r="O973" s="96">
        <f t="shared" si="102"/>
        <v>0</v>
      </c>
      <c r="P973" s="132" t="str">
        <f t="shared" si="97"/>
        <v>N/A</v>
      </c>
      <c r="Q973" s="132" t="str">
        <f t="shared" si="98"/>
        <v>N/A</v>
      </c>
      <c r="R973" s="132" t="str">
        <f t="shared" si="99"/>
        <v>NO CERT.</v>
      </c>
      <c r="S973" s="132" t="e">
        <f t="shared" si="100"/>
        <v>#N/A</v>
      </c>
      <c r="T973" s="133" t="e">
        <f>+IF(J973=LOOKUP(J973,'CAFCO 300 IDIEM TABLAS'!$J$4:$J$40),'CALCULO MORTERO'!J973,MROUND('CALCULO MORTERO'!J973,10))</f>
        <v>#N/A</v>
      </c>
      <c r="U973" s="134">
        <f t="shared" si="101"/>
        <v>0</v>
      </c>
    </row>
    <row r="974" spans="1:21" x14ac:dyDescent="0.25">
      <c r="A974" s="118">
        <f>+CUBICACION!D968</f>
        <v>0</v>
      </c>
      <c r="B974" s="819">
        <f>+CUBICACION!E968</f>
        <v>0</v>
      </c>
      <c r="C974" s="675">
        <f>+CUBICACION!F968</f>
        <v>0</v>
      </c>
      <c r="D974" s="118"/>
      <c r="E974" s="118"/>
      <c r="F974" s="820"/>
      <c r="G974" s="675">
        <f>+CUBICACION!J968</f>
        <v>0</v>
      </c>
      <c r="H974" s="118"/>
      <c r="I974" s="821">
        <f>+CUBICACION!L968</f>
        <v>0</v>
      </c>
      <c r="J974" s="64">
        <f>+CUBICACION!M968</f>
        <v>0</v>
      </c>
      <c r="K974" s="822" t="str">
        <f>+CUBICACION!N968</f>
        <v/>
      </c>
      <c r="L974" s="118">
        <f>+CUBICACION!O968</f>
        <v>0</v>
      </c>
      <c r="M974" s="823">
        <f>+CUBICACION!P968</f>
        <v>0</v>
      </c>
      <c r="N974" s="902">
        <f>ROUND(IF(AND(L974="Blaze Shield II",M974="Software Idiem",C974="IN",G974=4),((('BLAZE SHIELD II'!$D$4*('CALCULO MORTERO'!I974^2)+'BLAZE SHIELD II'!$D$5*'CALCULO MORTERO'!I974+'BLAZE SHIELD II'!$D$6)*LN(J974))+('BLAZE SHIELD II'!$D$7*('CALCULO MORTERO'!I974^2)+'BLAZE SHIELD II'!$D$8*'CALCULO MORTERO'!I974+'BLAZE SHIELD II'!$D$9)),0)+IF(AND(L974="Blaze Shield II",M974="Software Idiem",C974="Cj"),((('BLAZE SHIELD II'!$H$4*('CALCULO MORTERO'!I974^2)+'BLAZE SHIELD II'!$H$5*'CALCULO MORTERO'!I974+'BLAZE SHIELD II'!$H$6)*LN(J974))+('BLAZE SHIELD II'!$H$7*('CALCULO MORTERO'!I974^2)+'BLAZE SHIELD II'!$H$8*'CALCULO MORTERO'!I974+'BLAZE SHIELD II'!$H$9)),0)+IF(AND(L974="Blaze Shield II",M974="Software Idiem",C974="C"),((('BLAZE SHIELD II'!$L$4*('CALCULO MORTERO'!I974^2)+'BLAZE SHIELD II'!$L$5*'CALCULO MORTERO'!I974+'BLAZE SHIELD II'!$L$6)*LN(J974))+('BLAZE SHIELD II'!$L$7*('CALCULO MORTERO'!I974^2)+'BLAZE SHIELD II'!$L$8*'CALCULO MORTERO'!I974+'BLAZE SHIELD II'!$L$9)),0)+IF(AND(L974="Blaze Shield II",M974="Software Idiem",C974="L"),((('BLAZE SHIELD II'!$L$4*('CALCULO MORTERO'!I974^2)+'BLAZE SHIELD II'!$L$5*'CALCULO MORTERO'!I974+'BLAZE SHIELD II'!$L$6)*LN(J974))+('BLAZE SHIELD II'!$L$7*('CALCULO MORTERO'!I974^2)+'BLAZE SHIELD II'!$L$8*'CALCULO MORTERO'!I974+'BLAZE SHIELD II'!$L$9)),0)+IF(AND(L974="Blaze Shield II",M974="Software Idiem",C974="IN",G974=3),((('BLAZE SHIELD II'!$H$14*('CALCULO MORTERO'!I974^2)+'BLAZE SHIELD II'!$H$15*'CALCULO MORTERO'!I974+'BLAZE SHIELD II'!$H$16)*LN(J974))+('BLAZE SHIELD II'!$H$17*('CALCULO MORTERO'!I974^2)+'BLAZE SHIELD II'!$H$18*'CALCULO MORTERO'!I974+'BLAZE SHIELD II'!$H$19)),0),0)+ROUND(IF(AND(L974="Cafco 400",M974="Software Idiem",C974="IN",G974=4),((('CAFCO 400 '!$H$7*(J974^4)+'CAFCO 400 '!$H$8*(J974^3)+'CAFCO 400 '!$H$9*(J974^2)+'CAFCO 400 '!$H$10*J974+'CAFCO 400 '!$H$11)*U974^2)+(('CAFCO 400 '!$H$12*(J974^3)+'CAFCO 400 '!$H$13*(J974^2)+'CAFCO 400 '!$H$14*J974+'CAFCO 400 '!$H$15)*U974)+('CAFCO 400 '!$H$16*(J974^2)+'CAFCO 400 '!$H$17*J974+'CAFCO 400 '!$H$18)),0)+IF(AND(L974="Cafco 400",M974="Software Idiem",C974="Cj"),(((('CAFCO 400 '!$D$7*LN(J974)+'CAFCO 400 '!$D$8)*U974^2)+(('CAFCO 400 '!$D$9*LN(J974)+'CAFCO 400 '!$D$10)*U974)+('CAFCO 400 '!$D$11*LN(J974)+'CAFCO 400 '!$D$12))),0)+IF(AND(L974="Cafco 400",M974="Software Idiem",C974="C"),((('CAFCO 400 '!$L$7*(J974^3)+'CAFCO 400 '!$L$8*(J974^2)+'CAFCO 400 '!$L$9*J974+'CAFCO 400 '!$L$10)*U974^2)+(('CAFCO 400 '!$L$11*(J974^3)+'CAFCO 400 '!$L$12*(J974^2)+'CAFCO 400 '!$L$13*J974+'CAFCO 400 '!$L$14)*U974)+('CAFCO 400 '!$L$15*LN(J974)+'CAFCO 400 '!$L$16)),0)+IF(AND(L974="Cafco 400",M974="Software Idiem",C974="L"),((('CAFCO 400 '!$L$7*(J974^3)+'CAFCO 400 '!$L$8*(J974^2)+'CAFCO 400 '!$L$9*J974+'CAFCO 400 '!$L$10)*U974^2)+(('CAFCO 400 '!$L$11*(J974^3)+'CAFCO 400 '!$L$12*(J974^2)+'CAFCO 400 '!$L$13*J974+'CAFCO 400 '!$L$14)*U974)+('CAFCO 400 '!$L$15*LN(J974)+'CAFCO 400 '!$L$16)),0)+IF(AND(L974="Cafco 400",M974="Software Idiem",C974="IN",G974=3),((('CAFCO 400 '!$D$23*(J974^2)+'CAFCO 400 '!$D$24*(J974)+'CAFCO 400 '!$D$25)*U974^2)+(('CAFCO 400 '!$D$26*(J974^2)+'CAFCO 400 '!$D$27*J974+'CAFCO 400 '!$D$28)*U974)+('CAFCO 400 '!$D$29*(J974^2)+'CAFCO 400 '!$D$30*J974+'CAFCO 400 '!$D$31)),0),0)+IF(AND(L974="Cafco 300",J974&gt;=95,J974&lt;=240,C974="Cj",I974=90),VLOOKUP(T974,'CAFCO 300 IDIEM TABLAS'!$B$4:$D$23,2,FALSE),0)+IF(AND(L974="Cafco 300",J974&gt;=95,J974&lt;=240,C974="Cj",I974=120),VLOOKUP(T974,'CAFCO 300 IDIEM TABLAS'!$B$4:$D$23,3,FALSE),0)+IF(AND(L974="Cafco 300",J974&gt;=95,J974&lt;=400,G974=3,C974="IN",I974=90),VLOOKUP(T974,'CAFCO 300 IDIEM TABLAS'!$F$4:$H$35,2,FALSE),0)+IF(AND(L974="Cafco 300",J974&gt;=95,J974&lt;=400,G974=3,C974="IN",I974=120),VLOOKUP(T974,'CAFCO 300 IDIEM TABLAS'!$F$4:$H$35,3,FALSE),0)+IF(AND(L974="Cafco 300",J974&gt;=95,J974&lt;=450,G974=4,C974="IN",I974=90),VLOOKUP(T974,'CAFCO 300 IDIEM TABLAS'!$J$4:$L$40,2,FALSE),0)+IF(AND(L974="Cafco 300",J974&gt;=95,J974&lt;=450,G974=4,C974="IN",I974=120),VLOOKUP(T974,'CAFCO 300 IDIEM TABLAS'!$J$4:$L$40,3,FALSE),0)+IF(AND(M974="Ensayo Idiem",L974="Cafco 400",C974="IN",G974=4,I974=90),VLOOKUP(T974,'CAFCO 400 ENSAYO'!$B$7:$D$43,2,FALSE),0)+IF(AND(M974="Ensayo Idiem",L974="Cafco 400",C974="IN",G974=4,I974=120),VLOOKUP(T974,'CAFCO 400 ENSAYO'!$B$7:$D$43,3,FALSE),0)</f>
        <v>0</v>
      </c>
      <c r="O974" s="96">
        <f t="shared" si="102"/>
        <v>0</v>
      </c>
      <c r="P974" s="95" t="str">
        <f t="shared" si="97"/>
        <v>N/A</v>
      </c>
      <c r="Q974" s="95" t="str">
        <f t="shared" si="98"/>
        <v>N/A</v>
      </c>
      <c r="R974" s="95" t="str">
        <f t="shared" si="99"/>
        <v>NO CERT.</v>
      </c>
      <c r="S974" s="95" t="e">
        <f t="shared" si="100"/>
        <v>#N/A</v>
      </c>
      <c r="T974" s="119" t="e">
        <f>+IF(J974=LOOKUP(J974,'CAFCO 300 IDIEM TABLAS'!$J$4:$J$40),'CALCULO MORTERO'!J974,MROUND('CALCULO MORTERO'!J974,10))</f>
        <v>#N/A</v>
      </c>
      <c r="U974" s="118">
        <f t="shared" si="101"/>
        <v>0</v>
      </c>
    </row>
    <row r="975" spans="1:21" x14ac:dyDescent="0.25">
      <c r="A975" s="118">
        <f>+CUBICACION!D969</f>
        <v>0</v>
      </c>
      <c r="B975" s="819">
        <f>+CUBICACION!E969</f>
        <v>0</v>
      </c>
      <c r="C975" s="675">
        <f>+CUBICACION!F969</f>
        <v>0</v>
      </c>
      <c r="D975" s="118"/>
      <c r="E975" s="118"/>
      <c r="F975" s="820"/>
      <c r="G975" s="675">
        <f>+CUBICACION!J969</f>
        <v>0</v>
      </c>
      <c r="H975" s="118"/>
      <c r="I975" s="821">
        <f>+CUBICACION!L969</f>
        <v>0</v>
      </c>
      <c r="J975" s="64">
        <f>+CUBICACION!M969</f>
        <v>0</v>
      </c>
      <c r="K975" s="822" t="str">
        <f>+CUBICACION!N969</f>
        <v/>
      </c>
      <c r="L975" s="118">
        <f>+CUBICACION!O969</f>
        <v>0</v>
      </c>
      <c r="M975" s="823">
        <f>+CUBICACION!P969</f>
        <v>0</v>
      </c>
      <c r="N975" s="902">
        <f>ROUND(IF(AND(L975="Blaze Shield II",M975="Software Idiem",C975="IN",G975=4),((('BLAZE SHIELD II'!$D$4*('CALCULO MORTERO'!I975^2)+'BLAZE SHIELD II'!$D$5*'CALCULO MORTERO'!I975+'BLAZE SHIELD II'!$D$6)*LN(J975))+('BLAZE SHIELD II'!$D$7*('CALCULO MORTERO'!I975^2)+'BLAZE SHIELD II'!$D$8*'CALCULO MORTERO'!I975+'BLAZE SHIELD II'!$D$9)),0)+IF(AND(L975="Blaze Shield II",M975="Software Idiem",C975="Cj"),((('BLAZE SHIELD II'!$H$4*('CALCULO MORTERO'!I975^2)+'BLAZE SHIELD II'!$H$5*'CALCULO MORTERO'!I975+'BLAZE SHIELD II'!$H$6)*LN(J975))+('BLAZE SHIELD II'!$H$7*('CALCULO MORTERO'!I975^2)+'BLAZE SHIELD II'!$H$8*'CALCULO MORTERO'!I975+'BLAZE SHIELD II'!$H$9)),0)+IF(AND(L975="Blaze Shield II",M975="Software Idiem",C975="C"),((('BLAZE SHIELD II'!$L$4*('CALCULO MORTERO'!I975^2)+'BLAZE SHIELD II'!$L$5*'CALCULO MORTERO'!I975+'BLAZE SHIELD II'!$L$6)*LN(J975))+('BLAZE SHIELD II'!$L$7*('CALCULO MORTERO'!I975^2)+'BLAZE SHIELD II'!$L$8*'CALCULO MORTERO'!I975+'BLAZE SHIELD II'!$L$9)),0)+IF(AND(L975="Blaze Shield II",M975="Software Idiem",C975="L"),((('BLAZE SHIELD II'!$L$4*('CALCULO MORTERO'!I975^2)+'BLAZE SHIELD II'!$L$5*'CALCULO MORTERO'!I975+'BLAZE SHIELD II'!$L$6)*LN(J975))+('BLAZE SHIELD II'!$L$7*('CALCULO MORTERO'!I975^2)+'BLAZE SHIELD II'!$L$8*'CALCULO MORTERO'!I975+'BLAZE SHIELD II'!$L$9)),0)+IF(AND(L975="Blaze Shield II",M975="Software Idiem",C975="IN",G975=3),((('BLAZE SHIELD II'!$H$14*('CALCULO MORTERO'!I975^2)+'BLAZE SHIELD II'!$H$15*'CALCULO MORTERO'!I975+'BLAZE SHIELD II'!$H$16)*LN(J975))+('BLAZE SHIELD II'!$H$17*('CALCULO MORTERO'!I975^2)+'BLAZE SHIELD II'!$H$18*'CALCULO MORTERO'!I975+'BLAZE SHIELD II'!$H$19)),0),0)+ROUND(IF(AND(L975="Cafco 400",M975="Software Idiem",C975="IN",G975=4),((('CAFCO 400 '!$H$7*(J975^4)+'CAFCO 400 '!$H$8*(J975^3)+'CAFCO 400 '!$H$9*(J975^2)+'CAFCO 400 '!$H$10*J975+'CAFCO 400 '!$H$11)*U975^2)+(('CAFCO 400 '!$H$12*(J975^3)+'CAFCO 400 '!$H$13*(J975^2)+'CAFCO 400 '!$H$14*J975+'CAFCO 400 '!$H$15)*U975)+('CAFCO 400 '!$H$16*(J975^2)+'CAFCO 400 '!$H$17*J975+'CAFCO 400 '!$H$18)),0)+IF(AND(L975="Cafco 400",M975="Software Idiem",C975="Cj"),(((('CAFCO 400 '!$D$7*LN(J975)+'CAFCO 400 '!$D$8)*U975^2)+(('CAFCO 400 '!$D$9*LN(J975)+'CAFCO 400 '!$D$10)*U975)+('CAFCO 400 '!$D$11*LN(J975)+'CAFCO 400 '!$D$12))),0)+IF(AND(L975="Cafco 400",M975="Software Idiem",C975="C"),((('CAFCO 400 '!$L$7*(J975^3)+'CAFCO 400 '!$L$8*(J975^2)+'CAFCO 400 '!$L$9*J975+'CAFCO 400 '!$L$10)*U975^2)+(('CAFCO 400 '!$L$11*(J975^3)+'CAFCO 400 '!$L$12*(J975^2)+'CAFCO 400 '!$L$13*J975+'CAFCO 400 '!$L$14)*U975)+('CAFCO 400 '!$L$15*LN(J975)+'CAFCO 400 '!$L$16)),0)+IF(AND(L975="Cafco 400",M975="Software Idiem",C975="L"),((('CAFCO 400 '!$L$7*(J975^3)+'CAFCO 400 '!$L$8*(J975^2)+'CAFCO 400 '!$L$9*J975+'CAFCO 400 '!$L$10)*U975^2)+(('CAFCO 400 '!$L$11*(J975^3)+'CAFCO 400 '!$L$12*(J975^2)+'CAFCO 400 '!$L$13*J975+'CAFCO 400 '!$L$14)*U975)+('CAFCO 400 '!$L$15*LN(J975)+'CAFCO 400 '!$L$16)),0)+IF(AND(L975="Cafco 400",M975="Software Idiem",C975="IN",G975=3),((('CAFCO 400 '!$D$23*(J975^2)+'CAFCO 400 '!$D$24*(J975)+'CAFCO 400 '!$D$25)*U975^2)+(('CAFCO 400 '!$D$26*(J975^2)+'CAFCO 400 '!$D$27*J975+'CAFCO 400 '!$D$28)*U975)+('CAFCO 400 '!$D$29*(J975^2)+'CAFCO 400 '!$D$30*J975+'CAFCO 400 '!$D$31)),0),0)+IF(AND(L975="Cafco 300",J975&gt;=95,J975&lt;=240,C975="Cj",I975=90),VLOOKUP(T975,'CAFCO 300 IDIEM TABLAS'!$B$4:$D$23,2,FALSE),0)+IF(AND(L975="Cafco 300",J975&gt;=95,J975&lt;=240,C975="Cj",I975=120),VLOOKUP(T975,'CAFCO 300 IDIEM TABLAS'!$B$4:$D$23,3,FALSE),0)+IF(AND(L975="Cafco 300",J975&gt;=95,J975&lt;=400,G975=3,C975="IN",I975=90),VLOOKUP(T975,'CAFCO 300 IDIEM TABLAS'!$F$4:$H$35,2,FALSE),0)+IF(AND(L975="Cafco 300",J975&gt;=95,J975&lt;=400,G975=3,C975="IN",I975=120),VLOOKUP(T975,'CAFCO 300 IDIEM TABLAS'!$F$4:$H$35,3,FALSE),0)+IF(AND(L975="Cafco 300",J975&gt;=95,J975&lt;=450,G975=4,C975="IN",I975=90),VLOOKUP(T975,'CAFCO 300 IDIEM TABLAS'!$J$4:$L$40,2,FALSE),0)+IF(AND(L975="Cafco 300",J975&gt;=95,J975&lt;=450,G975=4,C975="IN",I975=120),VLOOKUP(T975,'CAFCO 300 IDIEM TABLAS'!$J$4:$L$40,3,FALSE),0)+IF(AND(M975="Ensayo Idiem",L975="Cafco 400",C975="IN",G975=4,I975=90),VLOOKUP(T975,'CAFCO 400 ENSAYO'!$B$7:$D$43,2,FALSE),0)+IF(AND(M975="Ensayo Idiem",L975="Cafco 400",C975="IN",G975=4,I975=120),VLOOKUP(T975,'CAFCO 400 ENSAYO'!$B$7:$D$43,3,FALSE),0)</f>
        <v>0</v>
      </c>
      <c r="O975" s="96">
        <f t="shared" si="102"/>
        <v>0</v>
      </c>
      <c r="P975" s="132" t="str">
        <f t="shared" si="97"/>
        <v>N/A</v>
      </c>
      <c r="Q975" s="132" t="str">
        <f t="shared" si="98"/>
        <v>N/A</v>
      </c>
      <c r="R975" s="132" t="str">
        <f t="shared" si="99"/>
        <v>NO CERT.</v>
      </c>
      <c r="S975" s="132" t="e">
        <f t="shared" si="100"/>
        <v>#N/A</v>
      </c>
      <c r="T975" s="133" t="e">
        <f>+IF(J975=LOOKUP(J975,'CAFCO 300 IDIEM TABLAS'!$J$4:$J$40),'CALCULO MORTERO'!J975,MROUND('CALCULO MORTERO'!J975,10))</f>
        <v>#N/A</v>
      </c>
      <c r="U975" s="134">
        <f t="shared" si="101"/>
        <v>0</v>
      </c>
    </row>
    <row r="976" spans="1:21" x14ac:dyDescent="0.25">
      <c r="A976" s="118">
        <f>+CUBICACION!D970</f>
        <v>0</v>
      </c>
      <c r="B976" s="819">
        <f>+CUBICACION!E970</f>
        <v>0</v>
      </c>
      <c r="C976" s="675">
        <f>+CUBICACION!F970</f>
        <v>0</v>
      </c>
      <c r="D976" s="118"/>
      <c r="E976" s="118"/>
      <c r="F976" s="820"/>
      <c r="G976" s="675">
        <f>+CUBICACION!J970</f>
        <v>0</v>
      </c>
      <c r="H976" s="118"/>
      <c r="I976" s="821">
        <f>+CUBICACION!L970</f>
        <v>0</v>
      </c>
      <c r="J976" s="64">
        <f>+CUBICACION!M970</f>
        <v>0</v>
      </c>
      <c r="K976" s="822" t="str">
        <f>+CUBICACION!N970</f>
        <v/>
      </c>
      <c r="L976" s="118">
        <f>+CUBICACION!O970</f>
        <v>0</v>
      </c>
      <c r="M976" s="823">
        <f>+CUBICACION!P970</f>
        <v>0</v>
      </c>
      <c r="N976" s="902">
        <f>ROUND(IF(AND(L976="Blaze Shield II",M976="Software Idiem",C976="IN",G976=4),((('BLAZE SHIELD II'!$D$4*('CALCULO MORTERO'!I976^2)+'BLAZE SHIELD II'!$D$5*'CALCULO MORTERO'!I976+'BLAZE SHIELD II'!$D$6)*LN(J976))+('BLAZE SHIELD II'!$D$7*('CALCULO MORTERO'!I976^2)+'BLAZE SHIELD II'!$D$8*'CALCULO MORTERO'!I976+'BLAZE SHIELD II'!$D$9)),0)+IF(AND(L976="Blaze Shield II",M976="Software Idiem",C976="Cj"),((('BLAZE SHIELD II'!$H$4*('CALCULO MORTERO'!I976^2)+'BLAZE SHIELD II'!$H$5*'CALCULO MORTERO'!I976+'BLAZE SHIELD II'!$H$6)*LN(J976))+('BLAZE SHIELD II'!$H$7*('CALCULO MORTERO'!I976^2)+'BLAZE SHIELD II'!$H$8*'CALCULO MORTERO'!I976+'BLAZE SHIELD II'!$H$9)),0)+IF(AND(L976="Blaze Shield II",M976="Software Idiem",C976="C"),((('BLAZE SHIELD II'!$L$4*('CALCULO MORTERO'!I976^2)+'BLAZE SHIELD II'!$L$5*'CALCULO MORTERO'!I976+'BLAZE SHIELD II'!$L$6)*LN(J976))+('BLAZE SHIELD II'!$L$7*('CALCULO MORTERO'!I976^2)+'BLAZE SHIELD II'!$L$8*'CALCULO MORTERO'!I976+'BLAZE SHIELD II'!$L$9)),0)+IF(AND(L976="Blaze Shield II",M976="Software Idiem",C976="L"),((('BLAZE SHIELD II'!$L$4*('CALCULO MORTERO'!I976^2)+'BLAZE SHIELD II'!$L$5*'CALCULO MORTERO'!I976+'BLAZE SHIELD II'!$L$6)*LN(J976))+('BLAZE SHIELD II'!$L$7*('CALCULO MORTERO'!I976^2)+'BLAZE SHIELD II'!$L$8*'CALCULO MORTERO'!I976+'BLAZE SHIELD II'!$L$9)),0)+IF(AND(L976="Blaze Shield II",M976="Software Idiem",C976="IN",G976=3),((('BLAZE SHIELD II'!$H$14*('CALCULO MORTERO'!I976^2)+'BLAZE SHIELD II'!$H$15*'CALCULO MORTERO'!I976+'BLAZE SHIELD II'!$H$16)*LN(J976))+('BLAZE SHIELD II'!$H$17*('CALCULO MORTERO'!I976^2)+'BLAZE SHIELD II'!$H$18*'CALCULO MORTERO'!I976+'BLAZE SHIELD II'!$H$19)),0),0)+ROUND(IF(AND(L976="Cafco 400",M976="Software Idiem",C976="IN",G976=4),((('CAFCO 400 '!$H$7*(J976^4)+'CAFCO 400 '!$H$8*(J976^3)+'CAFCO 400 '!$H$9*(J976^2)+'CAFCO 400 '!$H$10*J976+'CAFCO 400 '!$H$11)*U976^2)+(('CAFCO 400 '!$H$12*(J976^3)+'CAFCO 400 '!$H$13*(J976^2)+'CAFCO 400 '!$H$14*J976+'CAFCO 400 '!$H$15)*U976)+('CAFCO 400 '!$H$16*(J976^2)+'CAFCO 400 '!$H$17*J976+'CAFCO 400 '!$H$18)),0)+IF(AND(L976="Cafco 400",M976="Software Idiem",C976="Cj"),(((('CAFCO 400 '!$D$7*LN(J976)+'CAFCO 400 '!$D$8)*U976^2)+(('CAFCO 400 '!$D$9*LN(J976)+'CAFCO 400 '!$D$10)*U976)+('CAFCO 400 '!$D$11*LN(J976)+'CAFCO 400 '!$D$12))),0)+IF(AND(L976="Cafco 400",M976="Software Idiem",C976="C"),((('CAFCO 400 '!$L$7*(J976^3)+'CAFCO 400 '!$L$8*(J976^2)+'CAFCO 400 '!$L$9*J976+'CAFCO 400 '!$L$10)*U976^2)+(('CAFCO 400 '!$L$11*(J976^3)+'CAFCO 400 '!$L$12*(J976^2)+'CAFCO 400 '!$L$13*J976+'CAFCO 400 '!$L$14)*U976)+('CAFCO 400 '!$L$15*LN(J976)+'CAFCO 400 '!$L$16)),0)+IF(AND(L976="Cafco 400",M976="Software Idiem",C976="L"),((('CAFCO 400 '!$L$7*(J976^3)+'CAFCO 400 '!$L$8*(J976^2)+'CAFCO 400 '!$L$9*J976+'CAFCO 400 '!$L$10)*U976^2)+(('CAFCO 400 '!$L$11*(J976^3)+'CAFCO 400 '!$L$12*(J976^2)+'CAFCO 400 '!$L$13*J976+'CAFCO 400 '!$L$14)*U976)+('CAFCO 400 '!$L$15*LN(J976)+'CAFCO 400 '!$L$16)),0)+IF(AND(L976="Cafco 400",M976="Software Idiem",C976="IN",G976=3),((('CAFCO 400 '!$D$23*(J976^2)+'CAFCO 400 '!$D$24*(J976)+'CAFCO 400 '!$D$25)*U976^2)+(('CAFCO 400 '!$D$26*(J976^2)+'CAFCO 400 '!$D$27*J976+'CAFCO 400 '!$D$28)*U976)+('CAFCO 400 '!$D$29*(J976^2)+'CAFCO 400 '!$D$30*J976+'CAFCO 400 '!$D$31)),0),0)+IF(AND(L976="Cafco 300",J976&gt;=95,J976&lt;=240,C976="Cj",I976=90),VLOOKUP(T976,'CAFCO 300 IDIEM TABLAS'!$B$4:$D$23,2,FALSE),0)+IF(AND(L976="Cafco 300",J976&gt;=95,J976&lt;=240,C976="Cj",I976=120),VLOOKUP(T976,'CAFCO 300 IDIEM TABLAS'!$B$4:$D$23,3,FALSE),0)+IF(AND(L976="Cafco 300",J976&gt;=95,J976&lt;=400,G976=3,C976="IN",I976=90),VLOOKUP(T976,'CAFCO 300 IDIEM TABLAS'!$F$4:$H$35,2,FALSE),0)+IF(AND(L976="Cafco 300",J976&gt;=95,J976&lt;=400,G976=3,C976="IN",I976=120),VLOOKUP(T976,'CAFCO 300 IDIEM TABLAS'!$F$4:$H$35,3,FALSE),0)+IF(AND(L976="Cafco 300",J976&gt;=95,J976&lt;=450,G976=4,C976="IN",I976=90),VLOOKUP(T976,'CAFCO 300 IDIEM TABLAS'!$J$4:$L$40,2,FALSE),0)+IF(AND(L976="Cafco 300",J976&gt;=95,J976&lt;=450,G976=4,C976="IN",I976=120),VLOOKUP(T976,'CAFCO 300 IDIEM TABLAS'!$J$4:$L$40,3,FALSE),0)+IF(AND(M976="Ensayo Idiem",L976="Cafco 400",C976="IN",G976=4,I976=90),VLOOKUP(T976,'CAFCO 400 ENSAYO'!$B$7:$D$43,2,FALSE),0)+IF(AND(M976="Ensayo Idiem",L976="Cafco 400",C976="IN",G976=4,I976=120),VLOOKUP(T976,'CAFCO 400 ENSAYO'!$B$7:$D$43,3,FALSE),0)</f>
        <v>0</v>
      </c>
      <c r="O976" s="96">
        <f t="shared" si="102"/>
        <v>0</v>
      </c>
      <c r="P976" s="95" t="str">
        <f t="shared" si="97"/>
        <v>N/A</v>
      </c>
      <c r="Q976" s="95" t="str">
        <f t="shared" si="98"/>
        <v>N/A</v>
      </c>
      <c r="R976" s="95" t="str">
        <f t="shared" si="99"/>
        <v>NO CERT.</v>
      </c>
      <c r="S976" s="95" t="e">
        <f t="shared" si="100"/>
        <v>#N/A</v>
      </c>
      <c r="T976" s="119" t="e">
        <f>+IF(J976=LOOKUP(J976,'CAFCO 300 IDIEM TABLAS'!$J$4:$J$40),'CALCULO MORTERO'!J976,MROUND('CALCULO MORTERO'!J976,10))</f>
        <v>#N/A</v>
      </c>
      <c r="U976" s="118">
        <f t="shared" si="101"/>
        <v>0</v>
      </c>
    </row>
    <row r="977" spans="1:21" x14ac:dyDescent="0.25">
      <c r="A977" s="118">
        <f>+CUBICACION!D971</f>
        <v>0</v>
      </c>
      <c r="B977" s="819">
        <f>+CUBICACION!E971</f>
        <v>0</v>
      </c>
      <c r="C977" s="675">
        <f>+CUBICACION!F971</f>
        <v>0</v>
      </c>
      <c r="D977" s="118"/>
      <c r="E977" s="118"/>
      <c r="F977" s="820"/>
      <c r="G977" s="675">
        <f>+CUBICACION!J971</f>
        <v>0</v>
      </c>
      <c r="H977" s="118"/>
      <c r="I977" s="821">
        <f>+CUBICACION!L971</f>
        <v>0</v>
      </c>
      <c r="J977" s="64">
        <f>+CUBICACION!M971</f>
        <v>0</v>
      </c>
      <c r="K977" s="822" t="str">
        <f>+CUBICACION!N971</f>
        <v/>
      </c>
      <c r="L977" s="118">
        <f>+CUBICACION!O971</f>
        <v>0</v>
      </c>
      <c r="M977" s="823">
        <f>+CUBICACION!P971</f>
        <v>0</v>
      </c>
      <c r="N977" s="902">
        <f>ROUND(IF(AND(L977="Blaze Shield II",M977="Software Idiem",C977="IN",G977=4),((('BLAZE SHIELD II'!$D$4*('CALCULO MORTERO'!I977^2)+'BLAZE SHIELD II'!$D$5*'CALCULO MORTERO'!I977+'BLAZE SHIELD II'!$D$6)*LN(J977))+('BLAZE SHIELD II'!$D$7*('CALCULO MORTERO'!I977^2)+'BLAZE SHIELD II'!$D$8*'CALCULO MORTERO'!I977+'BLAZE SHIELD II'!$D$9)),0)+IF(AND(L977="Blaze Shield II",M977="Software Idiem",C977="Cj"),((('BLAZE SHIELD II'!$H$4*('CALCULO MORTERO'!I977^2)+'BLAZE SHIELD II'!$H$5*'CALCULO MORTERO'!I977+'BLAZE SHIELD II'!$H$6)*LN(J977))+('BLAZE SHIELD II'!$H$7*('CALCULO MORTERO'!I977^2)+'BLAZE SHIELD II'!$H$8*'CALCULO MORTERO'!I977+'BLAZE SHIELD II'!$H$9)),0)+IF(AND(L977="Blaze Shield II",M977="Software Idiem",C977="C"),((('BLAZE SHIELD II'!$L$4*('CALCULO MORTERO'!I977^2)+'BLAZE SHIELD II'!$L$5*'CALCULO MORTERO'!I977+'BLAZE SHIELD II'!$L$6)*LN(J977))+('BLAZE SHIELD II'!$L$7*('CALCULO MORTERO'!I977^2)+'BLAZE SHIELD II'!$L$8*'CALCULO MORTERO'!I977+'BLAZE SHIELD II'!$L$9)),0)+IF(AND(L977="Blaze Shield II",M977="Software Idiem",C977="L"),((('BLAZE SHIELD II'!$L$4*('CALCULO MORTERO'!I977^2)+'BLAZE SHIELD II'!$L$5*'CALCULO MORTERO'!I977+'BLAZE SHIELD II'!$L$6)*LN(J977))+('BLAZE SHIELD II'!$L$7*('CALCULO MORTERO'!I977^2)+'BLAZE SHIELD II'!$L$8*'CALCULO MORTERO'!I977+'BLAZE SHIELD II'!$L$9)),0)+IF(AND(L977="Blaze Shield II",M977="Software Idiem",C977="IN",G977=3),((('BLAZE SHIELD II'!$H$14*('CALCULO MORTERO'!I977^2)+'BLAZE SHIELD II'!$H$15*'CALCULO MORTERO'!I977+'BLAZE SHIELD II'!$H$16)*LN(J977))+('BLAZE SHIELD II'!$H$17*('CALCULO MORTERO'!I977^2)+'BLAZE SHIELD II'!$H$18*'CALCULO MORTERO'!I977+'BLAZE SHIELD II'!$H$19)),0),0)+ROUND(IF(AND(L977="Cafco 400",M977="Software Idiem",C977="IN",G977=4),((('CAFCO 400 '!$H$7*(J977^4)+'CAFCO 400 '!$H$8*(J977^3)+'CAFCO 400 '!$H$9*(J977^2)+'CAFCO 400 '!$H$10*J977+'CAFCO 400 '!$H$11)*U977^2)+(('CAFCO 400 '!$H$12*(J977^3)+'CAFCO 400 '!$H$13*(J977^2)+'CAFCO 400 '!$H$14*J977+'CAFCO 400 '!$H$15)*U977)+('CAFCO 400 '!$H$16*(J977^2)+'CAFCO 400 '!$H$17*J977+'CAFCO 400 '!$H$18)),0)+IF(AND(L977="Cafco 400",M977="Software Idiem",C977="Cj"),(((('CAFCO 400 '!$D$7*LN(J977)+'CAFCO 400 '!$D$8)*U977^2)+(('CAFCO 400 '!$D$9*LN(J977)+'CAFCO 400 '!$D$10)*U977)+('CAFCO 400 '!$D$11*LN(J977)+'CAFCO 400 '!$D$12))),0)+IF(AND(L977="Cafco 400",M977="Software Idiem",C977="C"),((('CAFCO 400 '!$L$7*(J977^3)+'CAFCO 400 '!$L$8*(J977^2)+'CAFCO 400 '!$L$9*J977+'CAFCO 400 '!$L$10)*U977^2)+(('CAFCO 400 '!$L$11*(J977^3)+'CAFCO 400 '!$L$12*(J977^2)+'CAFCO 400 '!$L$13*J977+'CAFCO 400 '!$L$14)*U977)+('CAFCO 400 '!$L$15*LN(J977)+'CAFCO 400 '!$L$16)),0)+IF(AND(L977="Cafco 400",M977="Software Idiem",C977="L"),((('CAFCO 400 '!$L$7*(J977^3)+'CAFCO 400 '!$L$8*(J977^2)+'CAFCO 400 '!$L$9*J977+'CAFCO 400 '!$L$10)*U977^2)+(('CAFCO 400 '!$L$11*(J977^3)+'CAFCO 400 '!$L$12*(J977^2)+'CAFCO 400 '!$L$13*J977+'CAFCO 400 '!$L$14)*U977)+('CAFCO 400 '!$L$15*LN(J977)+'CAFCO 400 '!$L$16)),0)+IF(AND(L977="Cafco 400",M977="Software Idiem",C977="IN",G977=3),((('CAFCO 400 '!$D$23*(J977^2)+'CAFCO 400 '!$D$24*(J977)+'CAFCO 400 '!$D$25)*U977^2)+(('CAFCO 400 '!$D$26*(J977^2)+'CAFCO 400 '!$D$27*J977+'CAFCO 400 '!$D$28)*U977)+('CAFCO 400 '!$D$29*(J977^2)+'CAFCO 400 '!$D$30*J977+'CAFCO 400 '!$D$31)),0),0)+IF(AND(L977="Cafco 300",J977&gt;=95,J977&lt;=240,C977="Cj",I977=90),VLOOKUP(T977,'CAFCO 300 IDIEM TABLAS'!$B$4:$D$23,2,FALSE),0)+IF(AND(L977="Cafco 300",J977&gt;=95,J977&lt;=240,C977="Cj",I977=120),VLOOKUP(T977,'CAFCO 300 IDIEM TABLAS'!$B$4:$D$23,3,FALSE),0)+IF(AND(L977="Cafco 300",J977&gt;=95,J977&lt;=400,G977=3,C977="IN",I977=90),VLOOKUP(T977,'CAFCO 300 IDIEM TABLAS'!$F$4:$H$35,2,FALSE),0)+IF(AND(L977="Cafco 300",J977&gt;=95,J977&lt;=400,G977=3,C977="IN",I977=120),VLOOKUP(T977,'CAFCO 300 IDIEM TABLAS'!$F$4:$H$35,3,FALSE),0)+IF(AND(L977="Cafco 300",J977&gt;=95,J977&lt;=450,G977=4,C977="IN",I977=90),VLOOKUP(T977,'CAFCO 300 IDIEM TABLAS'!$J$4:$L$40,2,FALSE),0)+IF(AND(L977="Cafco 300",J977&gt;=95,J977&lt;=450,G977=4,C977="IN",I977=120),VLOOKUP(T977,'CAFCO 300 IDIEM TABLAS'!$J$4:$L$40,3,FALSE),0)+IF(AND(M977="Ensayo Idiem",L977="Cafco 400",C977="IN",G977=4,I977=90),VLOOKUP(T977,'CAFCO 400 ENSAYO'!$B$7:$D$43,2,FALSE),0)+IF(AND(M977="Ensayo Idiem",L977="Cafco 400",C977="IN",G977=4,I977=120),VLOOKUP(T977,'CAFCO 400 ENSAYO'!$B$7:$D$43,3,FALSE),0)</f>
        <v>0</v>
      </c>
      <c r="O977" s="96">
        <f t="shared" si="102"/>
        <v>0</v>
      </c>
      <c r="P977" s="132" t="str">
        <f t="shared" si="97"/>
        <v>N/A</v>
      </c>
      <c r="Q977" s="132" t="str">
        <f t="shared" si="98"/>
        <v>N/A</v>
      </c>
      <c r="R977" s="132" t="str">
        <f t="shared" si="99"/>
        <v>NO CERT.</v>
      </c>
      <c r="S977" s="132" t="e">
        <f t="shared" si="100"/>
        <v>#N/A</v>
      </c>
      <c r="T977" s="133" t="e">
        <f>+IF(J977=LOOKUP(J977,'CAFCO 300 IDIEM TABLAS'!$J$4:$J$40),'CALCULO MORTERO'!J977,MROUND('CALCULO MORTERO'!J977,10))</f>
        <v>#N/A</v>
      </c>
      <c r="U977" s="134">
        <f t="shared" si="101"/>
        <v>0</v>
      </c>
    </row>
    <row r="978" spans="1:21" x14ac:dyDescent="0.25">
      <c r="A978" s="118">
        <f>+CUBICACION!D972</f>
        <v>0</v>
      </c>
      <c r="B978" s="819">
        <f>+CUBICACION!E972</f>
        <v>0</v>
      </c>
      <c r="C978" s="675">
        <f>+CUBICACION!F972</f>
        <v>0</v>
      </c>
      <c r="D978" s="118"/>
      <c r="E978" s="118"/>
      <c r="F978" s="820"/>
      <c r="G978" s="675">
        <f>+CUBICACION!J972</f>
        <v>0</v>
      </c>
      <c r="H978" s="118"/>
      <c r="I978" s="821">
        <f>+CUBICACION!L972</f>
        <v>0</v>
      </c>
      <c r="J978" s="64">
        <f>+CUBICACION!M972</f>
        <v>0</v>
      </c>
      <c r="K978" s="822" t="str">
        <f>+CUBICACION!N972</f>
        <v/>
      </c>
      <c r="L978" s="118">
        <f>+CUBICACION!O972</f>
        <v>0</v>
      </c>
      <c r="M978" s="823">
        <f>+CUBICACION!P972</f>
        <v>0</v>
      </c>
      <c r="N978" s="902">
        <f>ROUND(IF(AND(L978="Blaze Shield II",M978="Software Idiem",C978="IN",G978=4),((('BLAZE SHIELD II'!$D$4*('CALCULO MORTERO'!I978^2)+'BLAZE SHIELD II'!$D$5*'CALCULO MORTERO'!I978+'BLAZE SHIELD II'!$D$6)*LN(J978))+('BLAZE SHIELD II'!$D$7*('CALCULO MORTERO'!I978^2)+'BLAZE SHIELD II'!$D$8*'CALCULO MORTERO'!I978+'BLAZE SHIELD II'!$D$9)),0)+IF(AND(L978="Blaze Shield II",M978="Software Idiem",C978="Cj"),((('BLAZE SHIELD II'!$H$4*('CALCULO MORTERO'!I978^2)+'BLAZE SHIELD II'!$H$5*'CALCULO MORTERO'!I978+'BLAZE SHIELD II'!$H$6)*LN(J978))+('BLAZE SHIELD II'!$H$7*('CALCULO MORTERO'!I978^2)+'BLAZE SHIELD II'!$H$8*'CALCULO MORTERO'!I978+'BLAZE SHIELD II'!$H$9)),0)+IF(AND(L978="Blaze Shield II",M978="Software Idiem",C978="C"),((('BLAZE SHIELD II'!$L$4*('CALCULO MORTERO'!I978^2)+'BLAZE SHIELD II'!$L$5*'CALCULO MORTERO'!I978+'BLAZE SHIELD II'!$L$6)*LN(J978))+('BLAZE SHIELD II'!$L$7*('CALCULO MORTERO'!I978^2)+'BLAZE SHIELD II'!$L$8*'CALCULO MORTERO'!I978+'BLAZE SHIELD II'!$L$9)),0)+IF(AND(L978="Blaze Shield II",M978="Software Idiem",C978="L"),((('BLAZE SHIELD II'!$L$4*('CALCULO MORTERO'!I978^2)+'BLAZE SHIELD II'!$L$5*'CALCULO MORTERO'!I978+'BLAZE SHIELD II'!$L$6)*LN(J978))+('BLAZE SHIELD II'!$L$7*('CALCULO MORTERO'!I978^2)+'BLAZE SHIELD II'!$L$8*'CALCULO MORTERO'!I978+'BLAZE SHIELD II'!$L$9)),0)+IF(AND(L978="Blaze Shield II",M978="Software Idiem",C978="IN",G978=3),((('BLAZE SHIELD II'!$H$14*('CALCULO MORTERO'!I978^2)+'BLAZE SHIELD II'!$H$15*'CALCULO MORTERO'!I978+'BLAZE SHIELD II'!$H$16)*LN(J978))+('BLAZE SHIELD II'!$H$17*('CALCULO MORTERO'!I978^2)+'BLAZE SHIELD II'!$H$18*'CALCULO MORTERO'!I978+'BLAZE SHIELD II'!$H$19)),0),0)+ROUND(IF(AND(L978="Cafco 400",M978="Software Idiem",C978="IN",G978=4),((('CAFCO 400 '!$H$7*(J978^4)+'CAFCO 400 '!$H$8*(J978^3)+'CAFCO 400 '!$H$9*(J978^2)+'CAFCO 400 '!$H$10*J978+'CAFCO 400 '!$H$11)*U978^2)+(('CAFCO 400 '!$H$12*(J978^3)+'CAFCO 400 '!$H$13*(J978^2)+'CAFCO 400 '!$H$14*J978+'CAFCO 400 '!$H$15)*U978)+('CAFCO 400 '!$H$16*(J978^2)+'CAFCO 400 '!$H$17*J978+'CAFCO 400 '!$H$18)),0)+IF(AND(L978="Cafco 400",M978="Software Idiem",C978="Cj"),(((('CAFCO 400 '!$D$7*LN(J978)+'CAFCO 400 '!$D$8)*U978^2)+(('CAFCO 400 '!$D$9*LN(J978)+'CAFCO 400 '!$D$10)*U978)+('CAFCO 400 '!$D$11*LN(J978)+'CAFCO 400 '!$D$12))),0)+IF(AND(L978="Cafco 400",M978="Software Idiem",C978="C"),((('CAFCO 400 '!$L$7*(J978^3)+'CAFCO 400 '!$L$8*(J978^2)+'CAFCO 400 '!$L$9*J978+'CAFCO 400 '!$L$10)*U978^2)+(('CAFCO 400 '!$L$11*(J978^3)+'CAFCO 400 '!$L$12*(J978^2)+'CAFCO 400 '!$L$13*J978+'CAFCO 400 '!$L$14)*U978)+('CAFCO 400 '!$L$15*LN(J978)+'CAFCO 400 '!$L$16)),0)+IF(AND(L978="Cafco 400",M978="Software Idiem",C978="L"),((('CAFCO 400 '!$L$7*(J978^3)+'CAFCO 400 '!$L$8*(J978^2)+'CAFCO 400 '!$L$9*J978+'CAFCO 400 '!$L$10)*U978^2)+(('CAFCO 400 '!$L$11*(J978^3)+'CAFCO 400 '!$L$12*(J978^2)+'CAFCO 400 '!$L$13*J978+'CAFCO 400 '!$L$14)*U978)+('CAFCO 400 '!$L$15*LN(J978)+'CAFCO 400 '!$L$16)),0)+IF(AND(L978="Cafco 400",M978="Software Idiem",C978="IN",G978=3),((('CAFCO 400 '!$D$23*(J978^2)+'CAFCO 400 '!$D$24*(J978)+'CAFCO 400 '!$D$25)*U978^2)+(('CAFCO 400 '!$D$26*(J978^2)+'CAFCO 400 '!$D$27*J978+'CAFCO 400 '!$D$28)*U978)+('CAFCO 400 '!$D$29*(J978^2)+'CAFCO 400 '!$D$30*J978+'CAFCO 400 '!$D$31)),0),0)+IF(AND(L978="Cafco 300",J978&gt;=95,J978&lt;=240,C978="Cj",I978=90),VLOOKUP(T978,'CAFCO 300 IDIEM TABLAS'!$B$4:$D$23,2,FALSE),0)+IF(AND(L978="Cafco 300",J978&gt;=95,J978&lt;=240,C978="Cj",I978=120),VLOOKUP(T978,'CAFCO 300 IDIEM TABLAS'!$B$4:$D$23,3,FALSE),0)+IF(AND(L978="Cafco 300",J978&gt;=95,J978&lt;=400,G978=3,C978="IN",I978=90),VLOOKUP(T978,'CAFCO 300 IDIEM TABLAS'!$F$4:$H$35,2,FALSE),0)+IF(AND(L978="Cafco 300",J978&gt;=95,J978&lt;=400,G978=3,C978="IN",I978=120),VLOOKUP(T978,'CAFCO 300 IDIEM TABLAS'!$F$4:$H$35,3,FALSE),0)+IF(AND(L978="Cafco 300",J978&gt;=95,J978&lt;=450,G978=4,C978="IN",I978=90),VLOOKUP(T978,'CAFCO 300 IDIEM TABLAS'!$J$4:$L$40,2,FALSE),0)+IF(AND(L978="Cafco 300",J978&gt;=95,J978&lt;=450,G978=4,C978="IN",I978=120),VLOOKUP(T978,'CAFCO 300 IDIEM TABLAS'!$J$4:$L$40,3,FALSE),0)+IF(AND(M978="Ensayo Idiem",L978="Cafco 400",C978="IN",G978=4,I978=90),VLOOKUP(T978,'CAFCO 400 ENSAYO'!$B$7:$D$43,2,FALSE),0)+IF(AND(M978="Ensayo Idiem",L978="Cafco 400",C978="IN",G978=4,I978=120),VLOOKUP(T978,'CAFCO 400 ENSAYO'!$B$7:$D$43,3,FALSE),0)</f>
        <v>0</v>
      </c>
      <c r="O978" s="96">
        <f t="shared" si="102"/>
        <v>0</v>
      </c>
      <c r="P978" s="95" t="str">
        <f t="shared" si="97"/>
        <v>N/A</v>
      </c>
      <c r="Q978" s="95" t="str">
        <f t="shared" si="98"/>
        <v>N/A</v>
      </c>
      <c r="R978" s="95" t="str">
        <f t="shared" si="99"/>
        <v>NO CERT.</v>
      </c>
      <c r="S978" s="95" t="e">
        <f t="shared" si="100"/>
        <v>#N/A</v>
      </c>
      <c r="T978" s="119" t="e">
        <f>+IF(J978=LOOKUP(J978,'CAFCO 300 IDIEM TABLAS'!$J$4:$J$40),'CALCULO MORTERO'!J978,MROUND('CALCULO MORTERO'!J978,10))</f>
        <v>#N/A</v>
      </c>
      <c r="U978" s="118">
        <f t="shared" si="101"/>
        <v>0</v>
      </c>
    </row>
    <row r="979" spans="1:21" x14ac:dyDescent="0.25">
      <c r="A979" s="118">
        <f>+CUBICACION!D973</f>
        <v>0</v>
      </c>
      <c r="B979" s="819">
        <f>+CUBICACION!E973</f>
        <v>0</v>
      </c>
      <c r="C979" s="675">
        <f>+CUBICACION!F973</f>
        <v>0</v>
      </c>
      <c r="D979" s="118"/>
      <c r="E979" s="118"/>
      <c r="F979" s="820"/>
      <c r="G979" s="675">
        <f>+CUBICACION!J973</f>
        <v>0</v>
      </c>
      <c r="H979" s="118"/>
      <c r="I979" s="821">
        <f>+CUBICACION!L973</f>
        <v>0</v>
      </c>
      <c r="J979" s="64">
        <f>+CUBICACION!M973</f>
        <v>0</v>
      </c>
      <c r="K979" s="822" t="str">
        <f>+CUBICACION!N973</f>
        <v/>
      </c>
      <c r="L979" s="118">
        <f>+CUBICACION!O973</f>
        <v>0</v>
      </c>
      <c r="M979" s="823">
        <f>+CUBICACION!P973</f>
        <v>0</v>
      </c>
      <c r="N979" s="902">
        <f>ROUND(IF(AND(L979="Blaze Shield II",M979="Software Idiem",C979="IN",G979=4),((('BLAZE SHIELD II'!$D$4*('CALCULO MORTERO'!I979^2)+'BLAZE SHIELD II'!$D$5*'CALCULO MORTERO'!I979+'BLAZE SHIELD II'!$D$6)*LN(J979))+('BLAZE SHIELD II'!$D$7*('CALCULO MORTERO'!I979^2)+'BLAZE SHIELD II'!$D$8*'CALCULO MORTERO'!I979+'BLAZE SHIELD II'!$D$9)),0)+IF(AND(L979="Blaze Shield II",M979="Software Idiem",C979="Cj"),((('BLAZE SHIELD II'!$H$4*('CALCULO MORTERO'!I979^2)+'BLAZE SHIELD II'!$H$5*'CALCULO MORTERO'!I979+'BLAZE SHIELD II'!$H$6)*LN(J979))+('BLAZE SHIELD II'!$H$7*('CALCULO MORTERO'!I979^2)+'BLAZE SHIELD II'!$H$8*'CALCULO MORTERO'!I979+'BLAZE SHIELD II'!$H$9)),0)+IF(AND(L979="Blaze Shield II",M979="Software Idiem",C979="C"),((('BLAZE SHIELD II'!$L$4*('CALCULO MORTERO'!I979^2)+'BLAZE SHIELD II'!$L$5*'CALCULO MORTERO'!I979+'BLAZE SHIELD II'!$L$6)*LN(J979))+('BLAZE SHIELD II'!$L$7*('CALCULO MORTERO'!I979^2)+'BLAZE SHIELD II'!$L$8*'CALCULO MORTERO'!I979+'BLAZE SHIELD II'!$L$9)),0)+IF(AND(L979="Blaze Shield II",M979="Software Idiem",C979="L"),((('BLAZE SHIELD II'!$L$4*('CALCULO MORTERO'!I979^2)+'BLAZE SHIELD II'!$L$5*'CALCULO MORTERO'!I979+'BLAZE SHIELD II'!$L$6)*LN(J979))+('BLAZE SHIELD II'!$L$7*('CALCULO MORTERO'!I979^2)+'BLAZE SHIELD II'!$L$8*'CALCULO MORTERO'!I979+'BLAZE SHIELD II'!$L$9)),0)+IF(AND(L979="Blaze Shield II",M979="Software Idiem",C979="IN",G979=3),((('BLAZE SHIELD II'!$H$14*('CALCULO MORTERO'!I979^2)+'BLAZE SHIELD II'!$H$15*'CALCULO MORTERO'!I979+'BLAZE SHIELD II'!$H$16)*LN(J979))+('BLAZE SHIELD II'!$H$17*('CALCULO MORTERO'!I979^2)+'BLAZE SHIELD II'!$H$18*'CALCULO MORTERO'!I979+'BLAZE SHIELD II'!$H$19)),0),0)+ROUND(IF(AND(L979="Cafco 400",M979="Software Idiem",C979="IN",G979=4),((('CAFCO 400 '!$H$7*(J979^4)+'CAFCO 400 '!$H$8*(J979^3)+'CAFCO 400 '!$H$9*(J979^2)+'CAFCO 400 '!$H$10*J979+'CAFCO 400 '!$H$11)*U979^2)+(('CAFCO 400 '!$H$12*(J979^3)+'CAFCO 400 '!$H$13*(J979^2)+'CAFCO 400 '!$H$14*J979+'CAFCO 400 '!$H$15)*U979)+('CAFCO 400 '!$H$16*(J979^2)+'CAFCO 400 '!$H$17*J979+'CAFCO 400 '!$H$18)),0)+IF(AND(L979="Cafco 400",M979="Software Idiem",C979="Cj"),(((('CAFCO 400 '!$D$7*LN(J979)+'CAFCO 400 '!$D$8)*U979^2)+(('CAFCO 400 '!$D$9*LN(J979)+'CAFCO 400 '!$D$10)*U979)+('CAFCO 400 '!$D$11*LN(J979)+'CAFCO 400 '!$D$12))),0)+IF(AND(L979="Cafco 400",M979="Software Idiem",C979="C"),((('CAFCO 400 '!$L$7*(J979^3)+'CAFCO 400 '!$L$8*(J979^2)+'CAFCO 400 '!$L$9*J979+'CAFCO 400 '!$L$10)*U979^2)+(('CAFCO 400 '!$L$11*(J979^3)+'CAFCO 400 '!$L$12*(J979^2)+'CAFCO 400 '!$L$13*J979+'CAFCO 400 '!$L$14)*U979)+('CAFCO 400 '!$L$15*LN(J979)+'CAFCO 400 '!$L$16)),0)+IF(AND(L979="Cafco 400",M979="Software Idiem",C979="L"),((('CAFCO 400 '!$L$7*(J979^3)+'CAFCO 400 '!$L$8*(J979^2)+'CAFCO 400 '!$L$9*J979+'CAFCO 400 '!$L$10)*U979^2)+(('CAFCO 400 '!$L$11*(J979^3)+'CAFCO 400 '!$L$12*(J979^2)+'CAFCO 400 '!$L$13*J979+'CAFCO 400 '!$L$14)*U979)+('CAFCO 400 '!$L$15*LN(J979)+'CAFCO 400 '!$L$16)),0)+IF(AND(L979="Cafco 400",M979="Software Idiem",C979="IN",G979=3),((('CAFCO 400 '!$D$23*(J979^2)+'CAFCO 400 '!$D$24*(J979)+'CAFCO 400 '!$D$25)*U979^2)+(('CAFCO 400 '!$D$26*(J979^2)+'CAFCO 400 '!$D$27*J979+'CAFCO 400 '!$D$28)*U979)+('CAFCO 400 '!$D$29*(J979^2)+'CAFCO 400 '!$D$30*J979+'CAFCO 400 '!$D$31)),0),0)+IF(AND(L979="Cafco 300",J979&gt;=95,J979&lt;=240,C979="Cj",I979=90),VLOOKUP(T979,'CAFCO 300 IDIEM TABLAS'!$B$4:$D$23,2,FALSE),0)+IF(AND(L979="Cafco 300",J979&gt;=95,J979&lt;=240,C979="Cj",I979=120),VLOOKUP(T979,'CAFCO 300 IDIEM TABLAS'!$B$4:$D$23,3,FALSE),0)+IF(AND(L979="Cafco 300",J979&gt;=95,J979&lt;=400,G979=3,C979="IN",I979=90),VLOOKUP(T979,'CAFCO 300 IDIEM TABLAS'!$F$4:$H$35,2,FALSE),0)+IF(AND(L979="Cafco 300",J979&gt;=95,J979&lt;=400,G979=3,C979="IN",I979=120),VLOOKUP(T979,'CAFCO 300 IDIEM TABLAS'!$F$4:$H$35,3,FALSE),0)+IF(AND(L979="Cafco 300",J979&gt;=95,J979&lt;=450,G979=4,C979="IN",I979=90),VLOOKUP(T979,'CAFCO 300 IDIEM TABLAS'!$J$4:$L$40,2,FALSE),0)+IF(AND(L979="Cafco 300",J979&gt;=95,J979&lt;=450,G979=4,C979="IN",I979=120),VLOOKUP(T979,'CAFCO 300 IDIEM TABLAS'!$J$4:$L$40,3,FALSE),0)+IF(AND(M979="Ensayo Idiem",L979="Cafco 400",C979="IN",G979=4,I979=90),VLOOKUP(T979,'CAFCO 400 ENSAYO'!$B$7:$D$43,2,FALSE),0)+IF(AND(M979="Ensayo Idiem",L979="Cafco 400",C979="IN",G979=4,I979=120),VLOOKUP(T979,'CAFCO 400 ENSAYO'!$B$7:$D$43,3,FALSE),0)</f>
        <v>0</v>
      </c>
      <c r="O979" s="96">
        <f t="shared" si="102"/>
        <v>0</v>
      </c>
      <c r="P979" s="132" t="str">
        <f t="shared" si="97"/>
        <v>N/A</v>
      </c>
      <c r="Q979" s="132" t="str">
        <f t="shared" si="98"/>
        <v>N/A</v>
      </c>
      <c r="R979" s="132" t="str">
        <f t="shared" si="99"/>
        <v>NO CERT.</v>
      </c>
      <c r="S979" s="132" t="e">
        <f t="shared" si="100"/>
        <v>#N/A</v>
      </c>
      <c r="T979" s="133" t="e">
        <f>+IF(J979=LOOKUP(J979,'CAFCO 300 IDIEM TABLAS'!$J$4:$J$40),'CALCULO MORTERO'!J979,MROUND('CALCULO MORTERO'!J979,10))</f>
        <v>#N/A</v>
      </c>
      <c r="U979" s="134">
        <f t="shared" si="101"/>
        <v>0</v>
      </c>
    </row>
    <row r="980" spans="1:21" x14ac:dyDescent="0.25">
      <c r="A980" s="118">
        <f>+CUBICACION!D974</f>
        <v>0</v>
      </c>
      <c r="B980" s="819">
        <f>+CUBICACION!E974</f>
        <v>0</v>
      </c>
      <c r="C980" s="675">
        <f>+CUBICACION!F974</f>
        <v>0</v>
      </c>
      <c r="D980" s="118"/>
      <c r="E980" s="118"/>
      <c r="F980" s="820"/>
      <c r="G980" s="675">
        <f>+CUBICACION!J974</f>
        <v>0</v>
      </c>
      <c r="H980" s="118"/>
      <c r="I980" s="821">
        <f>+CUBICACION!L974</f>
        <v>0</v>
      </c>
      <c r="J980" s="64">
        <f>+CUBICACION!M974</f>
        <v>0</v>
      </c>
      <c r="K980" s="822" t="str">
        <f>+CUBICACION!N974</f>
        <v/>
      </c>
      <c r="L980" s="118">
        <f>+CUBICACION!O974</f>
        <v>0</v>
      </c>
      <c r="M980" s="823">
        <f>+CUBICACION!P974</f>
        <v>0</v>
      </c>
      <c r="N980" s="902">
        <f>ROUND(IF(AND(L980="Blaze Shield II",M980="Software Idiem",C980="IN",G980=4),((('BLAZE SHIELD II'!$D$4*('CALCULO MORTERO'!I980^2)+'BLAZE SHIELD II'!$D$5*'CALCULO MORTERO'!I980+'BLAZE SHIELD II'!$D$6)*LN(J980))+('BLAZE SHIELD II'!$D$7*('CALCULO MORTERO'!I980^2)+'BLAZE SHIELD II'!$D$8*'CALCULO MORTERO'!I980+'BLAZE SHIELD II'!$D$9)),0)+IF(AND(L980="Blaze Shield II",M980="Software Idiem",C980="Cj"),((('BLAZE SHIELD II'!$H$4*('CALCULO MORTERO'!I980^2)+'BLAZE SHIELD II'!$H$5*'CALCULO MORTERO'!I980+'BLAZE SHIELD II'!$H$6)*LN(J980))+('BLAZE SHIELD II'!$H$7*('CALCULO MORTERO'!I980^2)+'BLAZE SHIELD II'!$H$8*'CALCULO MORTERO'!I980+'BLAZE SHIELD II'!$H$9)),0)+IF(AND(L980="Blaze Shield II",M980="Software Idiem",C980="C"),((('BLAZE SHIELD II'!$L$4*('CALCULO MORTERO'!I980^2)+'BLAZE SHIELD II'!$L$5*'CALCULO MORTERO'!I980+'BLAZE SHIELD II'!$L$6)*LN(J980))+('BLAZE SHIELD II'!$L$7*('CALCULO MORTERO'!I980^2)+'BLAZE SHIELD II'!$L$8*'CALCULO MORTERO'!I980+'BLAZE SHIELD II'!$L$9)),0)+IF(AND(L980="Blaze Shield II",M980="Software Idiem",C980="L"),((('BLAZE SHIELD II'!$L$4*('CALCULO MORTERO'!I980^2)+'BLAZE SHIELD II'!$L$5*'CALCULO MORTERO'!I980+'BLAZE SHIELD II'!$L$6)*LN(J980))+('BLAZE SHIELD II'!$L$7*('CALCULO MORTERO'!I980^2)+'BLAZE SHIELD II'!$L$8*'CALCULO MORTERO'!I980+'BLAZE SHIELD II'!$L$9)),0)+IF(AND(L980="Blaze Shield II",M980="Software Idiem",C980="IN",G980=3),((('BLAZE SHIELD II'!$H$14*('CALCULO MORTERO'!I980^2)+'BLAZE SHIELD II'!$H$15*'CALCULO MORTERO'!I980+'BLAZE SHIELD II'!$H$16)*LN(J980))+('BLAZE SHIELD II'!$H$17*('CALCULO MORTERO'!I980^2)+'BLAZE SHIELD II'!$H$18*'CALCULO MORTERO'!I980+'BLAZE SHIELD II'!$H$19)),0),0)+ROUND(IF(AND(L980="Cafco 400",M980="Software Idiem",C980="IN",G980=4),((('CAFCO 400 '!$H$7*(J980^4)+'CAFCO 400 '!$H$8*(J980^3)+'CAFCO 400 '!$H$9*(J980^2)+'CAFCO 400 '!$H$10*J980+'CAFCO 400 '!$H$11)*U980^2)+(('CAFCO 400 '!$H$12*(J980^3)+'CAFCO 400 '!$H$13*(J980^2)+'CAFCO 400 '!$H$14*J980+'CAFCO 400 '!$H$15)*U980)+('CAFCO 400 '!$H$16*(J980^2)+'CAFCO 400 '!$H$17*J980+'CAFCO 400 '!$H$18)),0)+IF(AND(L980="Cafco 400",M980="Software Idiem",C980="Cj"),(((('CAFCO 400 '!$D$7*LN(J980)+'CAFCO 400 '!$D$8)*U980^2)+(('CAFCO 400 '!$D$9*LN(J980)+'CAFCO 400 '!$D$10)*U980)+('CAFCO 400 '!$D$11*LN(J980)+'CAFCO 400 '!$D$12))),0)+IF(AND(L980="Cafco 400",M980="Software Idiem",C980="C"),((('CAFCO 400 '!$L$7*(J980^3)+'CAFCO 400 '!$L$8*(J980^2)+'CAFCO 400 '!$L$9*J980+'CAFCO 400 '!$L$10)*U980^2)+(('CAFCO 400 '!$L$11*(J980^3)+'CAFCO 400 '!$L$12*(J980^2)+'CAFCO 400 '!$L$13*J980+'CAFCO 400 '!$L$14)*U980)+('CAFCO 400 '!$L$15*LN(J980)+'CAFCO 400 '!$L$16)),0)+IF(AND(L980="Cafco 400",M980="Software Idiem",C980="L"),((('CAFCO 400 '!$L$7*(J980^3)+'CAFCO 400 '!$L$8*(J980^2)+'CAFCO 400 '!$L$9*J980+'CAFCO 400 '!$L$10)*U980^2)+(('CAFCO 400 '!$L$11*(J980^3)+'CAFCO 400 '!$L$12*(J980^2)+'CAFCO 400 '!$L$13*J980+'CAFCO 400 '!$L$14)*U980)+('CAFCO 400 '!$L$15*LN(J980)+'CAFCO 400 '!$L$16)),0)+IF(AND(L980="Cafco 400",M980="Software Idiem",C980="IN",G980=3),((('CAFCO 400 '!$D$23*(J980^2)+'CAFCO 400 '!$D$24*(J980)+'CAFCO 400 '!$D$25)*U980^2)+(('CAFCO 400 '!$D$26*(J980^2)+'CAFCO 400 '!$D$27*J980+'CAFCO 400 '!$D$28)*U980)+('CAFCO 400 '!$D$29*(J980^2)+'CAFCO 400 '!$D$30*J980+'CAFCO 400 '!$D$31)),0),0)+IF(AND(L980="Cafco 300",J980&gt;=95,J980&lt;=240,C980="Cj",I980=90),VLOOKUP(T980,'CAFCO 300 IDIEM TABLAS'!$B$4:$D$23,2,FALSE),0)+IF(AND(L980="Cafco 300",J980&gt;=95,J980&lt;=240,C980="Cj",I980=120),VLOOKUP(T980,'CAFCO 300 IDIEM TABLAS'!$B$4:$D$23,3,FALSE),0)+IF(AND(L980="Cafco 300",J980&gt;=95,J980&lt;=400,G980=3,C980="IN",I980=90),VLOOKUP(T980,'CAFCO 300 IDIEM TABLAS'!$F$4:$H$35,2,FALSE),0)+IF(AND(L980="Cafco 300",J980&gt;=95,J980&lt;=400,G980=3,C980="IN",I980=120),VLOOKUP(T980,'CAFCO 300 IDIEM TABLAS'!$F$4:$H$35,3,FALSE),0)+IF(AND(L980="Cafco 300",J980&gt;=95,J980&lt;=450,G980=4,C980="IN",I980=90),VLOOKUP(T980,'CAFCO 300 IDIEM TABLAS'!$J$4:$L$40,2,FALSE),0)+IF(AND(L980="Cafco 300",J980&gt;=95,J980&lt;=450,G980=4,C980="IN",I980=120),VLOOKUP(T980,'CAFCO 300 IDIEM TABLAS'!$J$4:$L$40,3,FALSE),0)+IF(AND(M980="Ensayo Idiem",L980="Cafco 400",C980="IN",G980=4,I980=90),VLOOKUP(T980,'CAFCO 400 ENSAYO'!$B$7:$D$43,2,FALSE),0)+IF(AND(M980="Ensayo Idiem",L980="Cafco 400",C980="IN",G980=4,I980=120),VLOOKUP(T980,'CAFCO 400 ENSAYO'!$B$7:$D$43,3,FALSE),0)</f>
        <v>0</v>
      </c>
      <c r="O980" s="96">
        <f t="shared" si="102"/>
        <v>0</v>
      </c>
      <c r="P980" s="95" t="str">
        <f t="shared" si="97"/>
        <v>N/A</v>
      </c>
      <c r="Q980" s="95" t="str">
        <f t="shared" si="98"/>
        <v>N/A</v>
      </c>
      <c r="R980" s="95" t="str">
        <f t="shared" si="99"/>
        <v>NO CERT.</v>
      </c>
      <c r="S980" s="95" t="e">
        <f t="shared" si="100"/>
        <v>#N/A</v>
      </c>
      <c r="T980" s="119" t="e">
        <f>+IF(J980=LOOKUP(J980,'CAFCO 300 IDIEM TABLAS'!$J$4:$J$40),'CALCULO MORTERO'!J980,MROUND('CALCULO MORTERO'!J980,10))</f>
        <v>#N/A</v>
      </c>
      <c r="U980" s="118">
        <f t="shared" si="101"/>
        <v>0</v>
      </c>
    </row>
    <row r="981" spans="1:21" x14ac:dyDescent="0.25">
      <c r="A981" s="118">
        <f>+CUBICACION!D975</f>
        <v>0</v>
      </c>
      <c r="B981" s="819">
        <f>+CUBICACION!E975</f>
        <v>0</v>
      </c>
      <c r="C981" s="675">
        <f>+CUBICACION!F975</f>
        <v>0</v>
      </c>
      <c r="D981" s="118"/>
      <c r="E981" s="118"/>
      <c r="F981" s="820"/>
      <c r="G981" s="675">
        <f>+CUBICACION!J975</f>
        <v>0</v>
      </c>
      <c r="H981" s="118"/>
      <c r="I981" s="821">
        <f>+CUBICACION!L975</f>
        <v>0</v>
      </c>
      <c r="J981" s="64">
        <f>+CUBICACION!M975</f>
        <v>0</v>
      </c>
      <c r="K981" s="822" t="str">
        <f>+CUBICACION!N975</f>
        <v/>
      </c>
      <c r="L981" s="118">
        <f>+CUBICACION!O975</f>
        <v>0</v>
      </c>
      <c r="M981" s="823">
        <f>+CUBICACION!P975</f>
        <v>0</v>
      </c>
      <c r="N981" s="902">
        <f>ROUND(IF(AND(L981="Blaze Shield II",M981="Software Idiem",C981="IN",G981=4),((('BLAZE SHIELD II'!$D$4*('CALCULO MORTERO'!I981^2)+'BLAZE SHIELD II'!$D$5*'CALCULO MORTERO'!I981+'BLAZE SHIELD II'!$D$6)*LN(J981))+('BLAZE SHIELD II'!$D$7*('CALCULO MORTERO'!I981^2)+'BLAZE SHIELD II'!$D$8*'CALCULO MORTERO'!I981+'BLAZE SHIELD II'!$D$9)),0)+IF(AND(L981="Blaze Shield II",M981="Software Idiem",C981="Cj"),((('BLAZE SHIELD II'!$H$4*('CALCULO MORTERO'!I981^2)+'BLAZE SHIELD II'!$H$5*'CALCULO MORTERO'!I981+'BLAZE SHIELD II'!$H$6)*LN(J981))+('BLAZE SHIELD II'!$H$7*('CALCULO MORTERO'!I981^2)+'BLAZE SHIELD II'!$H$8*'CALCULO MORTERO'!I981+'BLAZE SHIELD II'!$H$9)),0)+IF(AND(L981="Blaze Shield II",M981="Software Idiem",C981="C"),((('BLAZE SHIELD II'!$L$4*('CALCULO MORTERO'!I981^2)+'BLAZE SHIELD II'!$L$5*'CALCULO MORTERO'!I981+'BLAZE SHIELD II'!$L$6)*LN(J981))+('BLAZE SHIELD II'!$L$7*('CALCULO MORTERO'!I981^2)+'BLAZE SHIELD II'!$L$8*'CALCULO MORTERO'!I981+'BLAZE SHIELD II'!$L$9)),0)+IF(AND(L981="Blaze Shield II",M981="Software Idiem",C981="L"),((('BLAZE SHIELD II'!$L$4*('CALCULO MORTERO'!I981^2)+'BLAZE SHIELD II'!$L$5*'CALCULO MORTERO'!I981+'BLAZE SHIELD II'!$L$6)*LN(J981))+('BLAZE SHIELD II'!$L$7*('CALCULO MORTERO'!I981^2)+'BLAZE SHIELD II'!$L$8*'CALCULO MORTERO'!I981+'BLAZE SHIELD II'!$L$9)),0)+IF(AND(L981="Blaze Shield II",M981="Software Idiem",C981="IN",G981=3),((('BLAZE SHIELD II'!$H$14*('CALCULO MORTERO'!I981^2)+'BLAZE SHIELD II'!$H$15*'CALCULO MORTERO'!I981+'BLAZE SHIELD II'!$H$16)*LN(J981))+('BLAZE SHIELD II'!$H$17*('CALCULO MORTERO'!I981^2)+'BLAZE SHIELD II'!$H$18*'CALCULO MORTERO'!I981+'BLAZE SHIELD II'!$H$19)),0),0)+ROUND(IF(AND(L981="Cafco 400",M981="Software Idiem",C981="IN",G981=4),((('CAFCO 400 '!$H$7*(J981^4)+'CAFCO 400 '!$H$8*(J981^3)+'CAFCO 400 '!$H$9*(J981^2)+'CAFCO 400 '!$H$10*J981+'CAFCO 400 '!$H$11)*U981^2)+(('CAFCO 400 '!$H$12*(J981^3)+'CAFCO 400 '!$H$13*(J981^2)+'CAFCO 400 '!$H$14*J981+'CAFCO 400 '!$H$15)*U981)+('CAFCO 400 '!$H$16*(J981^2)+'CAFCO 400 '!$H$17*J981+'CAFCO 400 '!$H$18)),0)+IF(AND(L981="Cafco 400",M981="Software Idiem",C981="Cj"),(((('CAFCO 400 '!$D$7*LN(J981)+'CAFCO 400 '!$D$8)*U981^2)+(('CAFCO 400 '!$D$9*LN(J981)+'CAFCO 400 '!$D$10)*U981)+('CAFCO 400 '!$D$11*LN(J981)+'CAFCO 400 '!$D$12))),0)+IF(AND(L981="Cafco 400",M981="Software Idiem",C981="C"),((('CAFCO 400 '!$L$7*(J981^3)+'CAFCO 400 '!$L$8*(J981^2)+'CAFCO 400 '!$L$9*J981+'CAFCO 400 '!$L$10)*U981^2)+(('CAFCO 400 '!$L$11*(J981^3)+'CAFCO 400 '!$L$12*(J981^2)+'CAFCO 400 '!$L$13*J981+'CAFCO 400 '!$L$14)*U981)+('CAFCO 400 '!$L$15*LN(J981)+'CAFCO 400 '!$L$16)),0)+IF(AND(L981="Cafco 400",M981="Software Idiem",C981="L"),((('CAFCO 400 '!$L$7*(J981^3)+'CAFCO 400 '!$L$8*(J981^2)+'CAFCO 400 '!$L$9*J981+'CAFCO 400 '!$L$10)*U981^2)+(('CAFCO 400 '!$L$11*(J981^3)+'CAFCO 400 '!$L$12*(J981^2)+'CAFCO 400 '!$L$13*J981+'CAFCO 400 '!$L$14)*U981)+('CAFCO 400 '!$L$15*LN(J981)+'CAFCO 400 '!$L$16)),0)+IF(AND(L981="Cafco 400",M981="Software Idiem",C981="IN",G981=3),((('CAFCO 400 '!$D$23*(J981^2)+'CAFCO 400 '!$D$24*(J981)+'CAFCO 400 '!$D$25)*U981^2)+(('CAFCO 400 '!$D$26*(J981^2)+'CAFCO 400 '!$D$27*J981+'CAFCO 400 '!$D$28)*U981)+('CAFCO 400 '!$D$29*(J981^2)+'CAFCO 400 '!$D$30*J981+'CAFCO 400 '!$D$31)),0),0)+IF(AND(L981="Cafco 300",J981&gt;=95,J981&lt;=240,C981="Cj",I981=90),VLOOKUP(T981,'CAFCO 300 IDIEM TABLAS'!$B$4:$D$23,2,FALSE),0)+IF(AND(L981="Cafco 300",J981&gt;=95,J981&lt;=240,C981="Cj",I981=120),VLOOKUP(T981,'CAFCO 300 IDIEM TABLAS'!$B$4:$D$23,3,FALSE),0)+IF(AND(L981="Cafco 300",J981&gt;=95,J981&lt;=400,G981=3,C981="IN",I981=90),VLOOKUP(T981,'CAFCO 300 IDIEM TABLAS'!$F$4:$H$35,2,FALSE),0)+IF(AND(L981="Cafco 300",J981&gt;=95,J981&lt;=400,G981=3,C981="IN",I981=120),VLOOKUP(T981,'CAFCO 300 IDIEM TABLAS'!$F$4:$H$35,3,FALSE),0)+IF(AND(L981="Cafco 300",J981&gt;=95,J981&lt;=450,G981=4,C981="IN",I981=90),VLOOKUP(T981,'CAFCO 300 IDIEM TABLAS'!$J$4:$L$40,2,FALSE),0)+IF(AND(L981="Cafco 300",J981&gt;=95,J981&lt;=450,G981=4,C981="IN",I981=120),VLOOKUP(T981,'CAFCO 300 IDIEM TABLAS'!$J$4:$L$40,3,FALSE),0)+IF(AND(M981="Ensayo Idiem",L981="Cafco 400",C981="IN",G981=4,I981=90),VLOOKUP(T981,'CAFCO 400 ENSAYO'!$B$7:$D$43,2,FALSE),0)+IF(AND(M981="Ensayo Idiem",L981="Cafco 400",C981="IN",G981=4,I981=120),VLOOKUP(T981,'CAFCO 400 ENSAYO'!$B$7:$D$43,3,FALSE),0)</f>
        <v>0</v>
      </c>
      <c r="O981" s="96">
        <f t="shared" si="102"/>
        <v>0</v>
      </c>
      <c r="P981" s="132" t="str">
        <f t="shared" si="97"/>
        <v>N/A</v>
      </c>
      <c r="Q981" s="132" t="str">
        <f t="shared" si="98"/>
        <v>N/A</v>
      </c>
      <c r="R981" s="132" t="str">
        <f t="shared" si="99"/>
        <v>NO CERT.</v>
      </c>
      <c r="S981" s="132" t="e">
        <f t="shared" si="100"/>
        <v>#N/A</v>
      </c>
      <c r="T981" s="133" t="e">
        <f>+IF(J981=LOOKUP(J981,'CAFCO 300 IDIEM TABLAS'!$J$4:$J$40),'CALCULO MORTERO'!J981,MROUND('CALCULO MORTERO'!J981,10))</f>
        <v>#N/A</v>
      </c>
      <c r="U981" s="134">
        <f t="shared" si="101"/>
        <v>0</v>
      </c>
    </row>
    <row r="982" spans="1:21" x14ac:dyDescent="0.25">
      <c r="A982" s="118">
        <f>+CUBICACION!D976</f>
        <v>0</v>
      </c>
      <c r="B982" s="819">
        <f>+CUBICACION!E976</f>
        <v>0</v>
      </c>
      <c r="C982" s="675">
        <f>+CUBICACION!F976</f>
        <v>0</v>
      </c>
      <c r="D982" s="118"/>
      <c r="E982" s="118"/>
      <c r="F982" s="820"/>
      <c r="G982" s="675">
        <f>+CUBICACION!J976</f>
        <v>0</v>
      </c>
      <c r="H982" s="118"/>
      <c r="I982" s="821">
        <f>+CUBICACION!L976</f>
        <v>0</v>
      </c>
      <c r="J982" s="64">
        <f>+CUBICACION!M976</f>
        <v>0</v>
      </c>
      <c r="K982" s="822" t="str">
        <f>+CUBICACION!N976</f>
        <v/>
      </c>
      <c r="L982" s="118">
        <f>+CUBICACION!O976</f>
        <v>0</v>
      </c>
      <c r="M982" s="823">
        <f>+CUBICACION!P976</f>
        <v>0</v>
      </c>
      <c r="N982" s="902">
        <f>ROUND(IF(AND(L982="Blaze Shield II",M982="Software Idiem",C982="IN",G982=4),((('BLAZE SHIELD II'!$D$4*('CALCULO MORTERO'!I982^2)+'BLAZE SHIELD II'!$D$5*'CALCULO MORTERO'!I982+'BLAZE SHIELD II'!$D$6)*LN(J982))+('BLAZE SHIELD II'!$D$7*('CALCULO MORTERO'!I982^2)+'BLAZE SHIELD II'!$D$8*'CALCULO MORTERO'!I982+'BLAZE SHIELD II'!$D$9)),0)+IF(AND(L982="Blaze Shield II",M982="Software Idiem",C982="Cj"),((('BLAZE SHIELD II'!$H$4*('CALCULO MORTERO'!I982^2)+'BLAZE SHIELD II'!$H$5*'CALCULO MORTERO'!I982+'BLAZE SHIELD II'!$H$6)*LN(J982))+('BLAZE SHIELD II'!$H$7*('CALCULO MORTERO'!I982^2)+'BLAZE SHIELD II'!$H$8*'CALCULO MORTERO'!I982+'BLAZE SHIELD II'!$H$9)),0)+IF(AND(L982="Blaze Shield II",M982="Software Idiem",C982="C"),((('BLAZE SHIELD II'!$L$4*('CALCULO MORTERO'!I982^2)+'BLAZE SHIELD II'!$L$5*'CALCULO MORTERO'!I982+'BLAZE SHIELD II'!$L$6)*LN(J982))+('BLAZE SHIELD II'!$L$7*('CALCULO MORTERO'!I982^2)+'BLAZE SHIELD II'!$L$8*'CALCULO MORTERO'!I982+'BLAZE SHIELD II'!$L$9)),0)+IF(AND(L982="Blaze Shield II",M982="Software Idiem",C982="L"),((('BLAZE SHIELD II'!$L$4*('CALCULO MORTERO'!I982^2)+'BLAZE SHIELD II'!$L$5*'CALCULO MORTERO'!I982+'BLAZE SHIELD II'!$L$6)*LN(J982))+('BLAZE SHIELD II'!$L$7*('CALCULO MORTERO'!I982^2)+'BLAZE SHIELD II'!$L$8*'CALCULO MORTERO'!I982+'BLAZE SHIELD II'!$L$9)),0)+IF(AND(L982="Blaze Shield II",M982="Software Idiem",C982="IN",G982=3),((('BLAZE SHIELD II'!$H$14*('CALCULO MORTERO'!I982^2)+'BLAZE SHIELD II'!$H$15*'CALCULO MORTERO'!I982+'BLAZE SHIELD II'!$H$16)*LN(J982))+('BLAZE SHIELD II'!$H$17*('CALCULO MORTERO'!I982^2)+'BLAZE SHIELD II'!$H$18*'CALCULO MORTERO'!I982+'BLAZE SHIELD II'!$H$19)),0),0)+ROUND(IF(AND(L982="Cafco 400",M982="Software Idiem",C982="IN",G982=4),((('CAFCO 400 '!$H$7*(J982^4)+'CAFCO 400 '!$H$8*(J982^3)+'CAFCO 400 '!$H$9*(J982^2)+'CAFCO 400 '!$H$10*J982+'CAFCO 400 '!$H$11)*U982^2)+(('CAFCO 400 '!$H$12*(J982^3)+'CAFCO 400 '!$H$13*(J982^2)+'CAFCO 400 '!$H$14*J982+'CAFCO 400 '!$H$15)*U982)+('CAFCO 400 '!$H$16*(J982^2)+'CAFCO 400 '!$H$17*J982+'CAFCO 400 '!$H$18)),0)+IF(AND(L982="Cafco 400",M982="Software Idiem",C982="Cj"),(((('CAFCO 400 '!$D$7*LN(J982)+'CAFCO 400 '!$D$8)*U982^2)+(('CAFCO 400 '!$D$9*LN(J982)+'CAFCO 400 '!$D$10)*U982)+('CAFCO 400 '!$D$11*LN(J982)+'CAFCO 400 '!$D$12))),0)+IF(AND(L982="Cafco 400",M982="Software Idiem",C982="C"),((('CAFCO 400 '!$L$7*(J982^3)+'CAFCO 400 '!$L$8*(J982^2)+'CAFCO 400 '!$L$9*J982+'CAFCO 400 '!$L$10)*U982^2)+(('CAFCO 400 '!$L$11*(J982^3)+'CAFCO 400 '!$L$12*(J982^2)+'CAFCO 400 '!$L$13*J982+'CAFCO 400 '!$L$14)*U982)+('CAFCO 400 '!$L$15*LN(J982)+'CAFCO 400 '!$L$16)),0)+IF(AND(L982="Cafco 400",M982="Software Idiem",C982="L"),((('CAFCO 400 '!$L$7*(J982^3)+'CAFCO 400 '!$L$8*(J982^2)+'CAFCO 400 '!$L$9*J982+'CAFCO 400 '!$L$10)*U982^2)+(('CAFCO 400 '!$L$11*(J982^3)+'CAFCO 400 '!$L$12*(J982^2)+'CAFCO 400 '!$L$13*J982+'CAFCO 400 '!$L$14)*U982)+('CAFCO 400 '!$L$15*LN(J982)+'CAFCO 400 '!$L$16)),0)+IF(AND(L982="Cafco 400",M982="Software Idiem",C982="IN",G982=3),((('CAFCO 400 '!$D$23*(J982^2)+'CAFCO 400 '!$D$24*(J982)+'CAFCO 400 '!$D$25)*U982^2)+(('CAFCO 400 '!$D$26*(J982^2)+'CAFCO 400 '!$D$27*J982+'CAFCO 400 '!$D$28)*U982)+('CAFCO 400 '!$D$29*(J982^2)+'CAFCO 400 '!$D$30*J982+'CAFCO 400 '!$D$31)),0),0)+IF(AND(L982="Cafco 300",J982&gt;=95,J982&lt;=240,C982="Cj",I982=90),VLOOKUP(T982,'CAFCO 300 IDIEM TABLAS'!$B$4:$D$23,2,FALSE),0)+IF(AND(L982="Cafco 300",J982&gt;=95,J982&lt;=240,C982="Cj",I982=120),VLOOKUP(T982,'CAFCO 300 IDIEM TABLAS'!$B$4:$D$23,3,FALSE),0)+IF(AND(L982="Cafco 300",J982&gt;=95,J982&lt;=400,G982=3,C982="IN",I982=90),VLOOKUP(T982,'CAFCO 300 IDIEM TABLAS'!$F$4:$H$35,2,FALSE),0)+IF(AND(L982="Cafco 300",J982&gt;=95,J982&lt;=400,G982=3,C982="IN",I982=120),VLOOKUP(T982,'CAFCO 300 IDIEM TABLAS'!$F$4:$H$35,3,FALSE),0)+IF(AND(L982="Cafco 300",J982&gt;=95,J982&lt;=450,G982=4,C982="IN",I982=90),VLOOKUP(T982,'CAFCO 300 IDIEM TABLAS'!$J$4:$L$40,2,FALSE),0)+IF(AND(L982="Cafco 300",J982&gt;=95,J982&lt;=450,G982=4,C982="IN",I982=120),VLOOKUP(T982,'CAFCO 300 IDIEM TABLAS'!$J$4:$L$40,3,FALSE),0)+IF(AND(M982="Ensayo Idiem",L982="Cafco 400",C982="IN",G982=4,I982=90),VLOOKUP(T982,'CAFCO 400 ENSAYO'!$B$7:$D$43,2,FALSE),0)+IF(AND(M982="Ensayo Idiem",L982="Cafco 400",C982="IN",G982=4,I982=120),VLOOKUP(T982,'CAFCO 400 ENSAYO'!$B$7:$D$43,3,FALSE),0)</f>
        <v>0</v>
      </c>
      <c r="O982" s="96">
        <f t="shared" si="102"/>
        <v>0</v>
      </c>
      <c r="P982" s="95" t="str">
        <f t="shared" si="97"/>
        <v>N/A</v>
      </c>
      <c r="Q982" s="95" t="str">
        <f t="shared" si="98"/>
        <v>N/A</v>
      </c>
      <c r="R982" s="95" t="str">
        <f t="shared" si="99"/>
        <v>NO CERT.</v>
      </c>
      <c r="S982" s="95" t="e">
        <f t="shared" si="100"/>
        <v>#N/A</v>
      </c>
      <c r="T982" s="119" t="e">
        <f>+IF(J982=LOOKUP(J982,'CAFCO 300 IDIEM TABLAS'!$J$4:$J$40),'CALCULO MORTERO'!J982,MROUND('CALCULO MORTERO'!J982,10))</f>
        <v>#N/A</v>
      </c>
      <c r="U982" s="118">
        <f t="shared" si="101"/>
        <v>0</v>
      </c>
    </row>
    <row r="983" spans="1:21" x14ac:dyDescent="0.25">
      <c r="A983" s="118">
        <f>+CUBICACION!D977</f>
        <v>0</v>
      </c>
      <c r="B983" s="819">
        <f>+CUBICACION!E977</f>
        <v>0</v>
      </c>
      <c r="C983" s="675">
        <f>+CUBICACION!F977</f>
        <v>0</v>
      </c>
      <c r="D983" s="118"/>
      <c r="E983" s="118"/>
      <c r="F983" s="820"/>
      <c r="G983" s="675">
        <f>+CUBICACION!J977</f>
        <v>0</v>
      </c>
      <c r="H983" s="118"/>
      <c r="I983" s="821">
        <f>+CUBICACION!L977</f>
        <v>0</v>
      </c>
      <c r="J983" s="64">
        <f>+CUBICACION!M977</f>
        <v>0</v>
      </c>
      <c r="K983" s="822" t="str">
        <f>+CUBICACION!N977</f>
        <v/>
      </c>
      <c r="L983" s="118">
        <f>+CUBICACION!O977</f>
        <v>0</v>
      </c>
      <c r="M983" s="823">
        <f>+CUBICACION!P977</f>
        <v>0</v>
      </c>
      <c r="N983" s="902">
        <f>ROUND(IF(AND(L983="Blaze Shield II",M983="Software Idiem",C983="IN",G983=4),((('BLAZE SHIELD II'!$D$4*('CALCULO MORTERO'!I983^2)+'BLAZE SHIELD II'!$D$5*'CALCULO MORTERO'!I983+'BLAZE SHIELD II'!$D$6)*LN(J983))+('BLAZE SHIELD II'!$D$7*('CALCULO MORTERO'!I983^2)+'BLAZE SHIELD II'!$D$8*'CALCULO MORTERO'!I983+'BLAZE SHIELD II'!$D$9)),0)+IF(AND(L983="Blaze Shield II",M983="Software Idiem",C983="Cj"),((('BLAZE SHIELD II'!$H$4*('CALCULO MORTERO'!I983^2)+'BLAZE SHIELD II'!$H$5*'CALCULO MORTERO'!I983+'BLAZE SHIELD II'!$H$6)*LN(J983))+('BLAZE SHIELD II'!$H$7*('CALCULO MORTERO'!I983^2)+'BLAZE SHIELD II'!$H$8*'CALCULO MORTERO'!I983+'BLAZE SHIELD II'!$H$9)),0)+IF(AND(L983="Blaze Shield II",M983="Software Idiem",C983="C"),((('BLAZE SHIELD II'!$L$4*('CALCULO MORTERO'!I983^2)+'BLAZE SHIELD II'!$L$5*'CALCULO MORTERO'!I983+'BLAZE SHIELD II'!$L$6)*LN(J983))+('BLAZE SHIELD II'!$L$7*('CALCULO MORTERO'!I983^2)+'BLAZE SHIELD II'!$L$8*'CALCULO MORTERO'!I983+'BLAZE SHIELD II'!$L$9)),0)+IF(AND(L983="Blaze Shield II",M983="Software Idiem",C983="L"),((('BLAZE SHIELD II'!$L$4*('CALCULO MORTERO'!I983^2)+'BLAZE SHIELD II'!$L$5*'CALCULO MORTERO'!I983+'BLAZE SHIELD II'!$L$6)*LN(J983))+('BLAZE SHIELD II'!$L$7*('CALCULO MORTERO'!I983^2)+'BLAZE SHIELD II'!$L$8*'CALCULO MORTERO'!I983+'BLAZE SHIELD II'!$L$9)),0)+IF(AND(L983="Blaze Shield II",M983="Software Idiem",C983="IN",G983=3),((('BLAZE SHIELD II'!$H$14*('CALCULO MORTERO'!I983^2)+'BLAZE SHIELD II'!$H$15*'CALCULO MORTERO'!I983+'BLAZE SHIELD II'!$H$16)*LN(J983))+('BLAZE SHIELD II'!$H$17*('CALCULO MORTERO'!I983^2)+'BLAZE SHIELD II'!$H$18*'CALCULO MORTERO'!I983+'BLAZE SHIELD II'!$H$19)),0),0)+ROUND(IF(AND(L983="Cafco 400",M983="Software Idiem",C983="IN",G983=4),((('CAFCO 400 '!$H$7*(J983^4)+'CAFCO 400 '!$H$8*(J983^3)+'CAFCO 400 '!$H$9*(J983^2)+'CAFCO 400 '!$H$10*J983+'CAFCO 400 '!$H$11)*U983^2)+(('CAFCO 400 '!$H$12*(J983^3)+'CAFCO 400 '!$H$13*(J983^2)+'CAFCO 400 '!$H$14*J983+'CAFCO 400 '!$H$15)*U983)+('CAFCO 400 '!$H$16*(J983^2)+'CAFCO 400 '!$H$17*J983+'CAFCO 400 '!$H$18)),0)+IF(AND(L983="Cafco 400",M983="Software Idiem",C983="Cj"),(((('CAFCO 400 '!$D$7*LN(J983)+'CAFCO 400 '!$D$8)*U983^2)+(('CAFCO 400 '!$D$9*LN(J983)+'CAFCO 400 '!$D$10)*U983)+('CAFCO 400 '!$D$11*LN(J983)+'CAFCO 400 '!$D$12))),0)+IF(AND(L983="Cafco 400",M983="Software Idiem",C983="C"),((('CAFCO 400 '!$L$7*(J983^3)+'CAFCO 400 '!$L$8*(J983^2)+'CAFCO 400 '!$L$9*J983+'CAFCO 400 '!$L$10)*U983^2)+(('CAFCO 400 '!$L$11*(J983^3)+'CAFCO 400 '!$L$12*(J983^2)+'CAFCO 400 '!$L$13*J983+'CAFCO 400 '!$L$14)*U983)+('CAFCO 400 '!$L$15*LN(J983)+'CAFCO 400 '!$L$16)),0)+IF(AND(L983="Cafco 400",M983="Software Idiem",C983="L"),((('CAFCO 400 '!$L$7*(J983^3)+'CAFCO 400 '!$L$8*(J983^2)+'CAFCO 400 '!$L$9*J983+'CAFCO 400 '!$L$10)*U983^2)+(('CAFCO 400 '!$L$11*(J983^3)+'CAFCO 400 '!$L$12*(J983^2)+'CAFCO 400 '!$L$13*J983+'CAFCO 400 '!$L$14)*U983)+('CAFCO 400 '!$L$15*LN(J983)+'CAFCO 400 '!$L$16)),0)+IF(AND(L983="Cafco 400",M983="Software Idiem",C983="IN",G983=3),((('CAFCO 400 '!$D$23*(J983^2)+'CAFCO 400 '!$D$24*(J983)+'CAFCO 400 '!$D$25)*U983^2)+(('CAFCO 400 '!$D$26*(J983^2)+'CAFCO 400 '!$D$27*J983+'CAFCO 400 '!$D$28)*U983)+('CAFCO 400 '!$D$29*(J983^2)+'CAFCO 400 '!$D$30*J983+'CAFCO 400 '!$D$31)),0),0)+IF(AND(L983="Cafco 300",J983&gt;=95,J983&lt;=240,C983="Cj",I983=90),VLOOKUP(T983,'CAFCO 300 IDIEM TABLAS'!$B$4:$D$23,2,FALSE),0)+IF(AND(L983="Cafco 300",J983&gt;=95,J983&lt;=240,C983="Cj",I983=120),VLOOKUP(T983,'CAFCO 300 IDIEM TABLAS'!$B$4:$D$23,3,FALSE),0)+IF(AND(L983="Cafco 300",J983&gt;=95,J983&lt;=400,G983=3,C983="IN",I983=90),VLOOKUP(T983,'CAFCO 300 IDIEM TABLAS'!$F$4:$H$35,2,FALSE),0)+IF(AND(L983="Cafco 300",J983&gt;=95,J983&lt;=400,G983=3,C983="IN",I983=120),VLOOKUP(T983,'CAFCO 300 IDIEM TABLAS'!$F$4:$H$35,3,FALSE),0)+IF(AND(L983="Cafco 300",J983&gt;=95,J983&lt;=450,G983=4,C983="IN",I983=90),VLOOKUP(T983,'CAFCO 300 IDIEM TABLAS'!$J$4:$L$40,2,FALSE),0)+IF(AND(L983="Cafco 300",J983&gt;=95,J983&lt;=450,G983=4,C983="IN",I983=120),VLOOKUP(T983,'CAFCO 300 IDIEM TABLAS'!$J$4:$L$40,3,FALSE),0)+IF(AND(M983="Ensayo Idiem",L983="Cafco 400",C983="IN",G983=4,I983=90),VLOOKUP(T983,'CAFCO 400 ENSAYO'!$B$7:$D$43,2,FALSE),0)+IF(AND(M983="Ensayo Idiem",L983="Cafco 400",C983="IN",G983=4,I983=120),VLOOKUP(T983,'CAFCO 400 ENSAYO'!$B$7:$D$43,3,FALSE),0)</f>
        <v>0</v>
      </c>
      <c r="O983" s="96">
        <f t="shared" si="102"/>
        <v>0</v>
      </c>
      <c r="P983" s="132" t="str">
        <f t="shared" si="97"/>
        <v>N/A</v>
      </c>
      <c r="Q983" s="132" t="str">
        <f t="shared" si="98"/>
        <v>N/A</v>
      </c>
      <c r="R983" s="132" t="str">
        <f t="shared" si="99"/>
        <v>NO CERT.</v>
      </c>
      <c r="S983" s="132" t="e">
        <f t="shared" si="100"/>
        <v>#N/A</v>
      </c>
      <c r="T983" s="133" t="e">
        <f>+IF(J983=LOOKUP(J983,'CAFCO 300 IDIEM TABLAS'!$J$4:$J$40),'CALCULO MORTERO'!J983,MROUND('CALCULO MORTERO'!J983,10))</f>
        <v>#N/A</v>
      </c>
      <c r="U983" s="134">
        <f t="shared" si="101"/>
        <v>0</v>
      </c>
    </row>
    <row r="984" spans="1:21" x14ac:dyDescent="0.25">
      <c r="A984" s="118">
        <f>+CUBICACION!D978</f>
        <v>0</v>
      </c>
      <c r="B984" s="819">
        <f>+CUBICACION!E978</f>
        <v>0</v>
      </c>
      <c r="C984" s="675">
        <f>+CUBICACION!F978</f>
        <v>0</v>
      </c>
      <c r="D984" s="118"/>
      <c r="E984" s="118"/>
      <c r="F984" s="820"/>
      <c r="G984" s="675">
        <f>+CUBICACION!J978</f>
        <v>0</v>
      </c>
      <c r="H984" s="118"/>
      <c r="I984" s="821">
        <f>+CUBICACION!L978</f>
        <v>0</v>
      </c>
      <c r="J984" s="64">
        <f>+CUBICACION!M978</f>
        <v>0</v>
      </c>
      <c r="K984" s="822" t="str">
        <f>+CUBICACION!N978</f>
        <v/>
      </c>
      <c r="L984" s="118">
        <f>+CUBICACION!O978</f>
        <v>0</v>
      </c>
      <c r="M984" s="823">
        <f>+CUBICACION!P978</f>
        <v>0</v>
      </c>
      <c r="N984" s="902">
        <f>ROUND(IF(AND(L984="Blaze Shield II",M984="Software Idiem",C984="IN",G984=4),((('BLAZE SHIELD II'!$D$4*('CALCULO MORTERO'!I984^2)+'BLAZE SHIELD II'!$D$5*'CALCULO MORTERO'!I984+'BLAZE SHIELD II'!$D$6)*LN(J984))+('BLAZE SHIELD II'!$D$7*('CALCULO MORTERO'!I984^2)+'BLAZE SHIELD II'!$D$8*'CALCULO MORTERO'!I984+'BLAZE SHIELD II'!$D$9)),0)+IF(AND(L984="Blaze Shield II",M984="Software Idiem",C984="Cj"),((('BLAZE SHIELD II'!$H$4*('CALCULO MORTERO'!I984^2)+'BLAZE SHIELD II'!$H$5*'CALCULO MORTERO'!I984+'BLAZE SHIELD II'!$H$6)*LN(J984))+('BLAZE SHIELD II'!$H$7*('CALCULO MORTERO'!I984^2)+'BLAZE SHIELD II'!$H$8*'CALCULO MORTERO'!I984+'BLAZE SHIELD II'!$H$9)),0)+IF(AND(L984="Blaze Shield II",M984="Software Idiem",C984="C"),((('BLAZE SHIELD II'!$L$4*('CALCULO MORTERO'!I984^2)+'BLAZE SHIELD II'!$L$5*'CALCULO MORTERO'!I984+'BLAZE SHIELD II'!$L$6)*LN(J984))+('BLAZE SHIELD II'!$L$7*('CALCULO MORTERO'!I984^2)+'BLAZE SHIELD II'!$L$8*'CALCULO MORTERO'!I984+'BLAZE SHIELD II'!$L$9)),0)+IF(AND(L984="Blaze Shield II",M984="Software Idiem",C984="L"),((('BLAZE SHIELD II'!$L$4*('CALCULO MORTERO'!I984^2)+'BLAZE SHIELD II'!$L$5*'CALCULO MORTERO'!I984+'BLAZE SHIELD II'!$L$6)*LN(J984))+('BLAZE SHIELD II'!$L$7*('CALCULO MORTERO'!I984^2)+'BLAZE SHIELD II'!$L$8*'CALCULO MORTERO'!I984+'BLAZE SHIELD II'!$L$9)),0)+IF(AND(L984="Blaze Shield II",M984="Software Idiem",C984="IN",G984=3),((('BLAZE SHIELD II'!$H$14*('CALCULO MORTERO'!I984^2)+'BLAZE SHIELD II'!$H$15*'CALCULO MORTERO'!I984+'BLAZE SHIELD II'!$H$16)*LN(J984))+('BLAZE SHIELD II'!$H$17*('CALCULO MORTERO'!I984^2)+'BLAZE SHIELD II'!$H$18*'CALCULO MORTERO'!I984+'BLAZE SHIELD II'!$H$19)),0),0)+ROUND(IF(AND(L984="Cafco 400",M984="Software Idiem",C984="IN",G984=4),((('CAFCO 400 '!$H$7*(J984^4)+'CAFCO 400 '!$H$8*(J984^3)+'CAFCO 400 '!$H$9*(J984^2)+'CAFCO 400 '!$H$10*J984+'CAFCO 400 '!$H$11)*U984^2)+(('CAFCO 400 '!$H$12*(J984^3)+'CAFCO 400 '!$H$13*(J984^2)+'CAFCO 400 '!$H$14*J984+'CAFCO 400 '!$H$15)*U984)+('CAFCO 400 '!$H$16*(J984^2)+'CAFCO 400 '!$H$17*J984+'CAFCO 400 '!$H$18)),0)+IF(AND(L984="Cafco 400",M984="Software Idiem",C984="Cj"),(((('CAFCO 400 '!$D$7*LN(J984)+'CAFCO 400 '!$D$8)*U984^2)+(('CAFCO 400 '!$D$9*LN(J984)+'CAFCO 400 '!$D$10)*U984)+('CAFCO 400 '!$D$11*LN(J984)+'CAFCO 400 '!$D$12))),0)+IF(AND(L984="Cafco 400",M984="Software Idiem",C984="C"),((('CAFCO 400 '!$L$7*(J984^3)+'CAFCO 400 '!$L$8*(J984^2)+'CAFCO 400 '!$L$9*J984+'CAFCO 400 '!$L$10)*U984^2)+(('CAFCO 400 '!$L$11*(J984^3)+'CAFCO 400 '!$L$12*(J984^2)+'CAFCO 400 '!$L$13*J984+'CAFCO 400 '!$L$14)*U984)+('CAFCO 400 '!$L$15*LN(J984)+'CAFCO 400 '!$L$16)),0)+IF(AND(L984="Cafco 400",M984="Software Idiem",C984="L"),((('CAFCO 400 '!$L$7*(J984^3)+'CAFCO 400 '!$L$8*(J984^2)+'CAFCO 400 '!$L$9*J984+'CAFCO 400 '!$L$10)*U984^2)+(('CAFCO 400 '!$L$11*(J984^3)+'CAFCO 400 '!$L$12*(J984^2)+'CAFCO 400 '!$L$13*J984+'CAFCO 400 '!$L$14)*U984)+('CAFCO 400 '!$L$15*LN(J984)+'CAFCO 400 '!$L$16)),0)+IF(AND(L984="Cafco 400",M984="Software Idiem",C984="IN",G984=3),((('CAFCO 400 '!$D$23*(J984^2)+'CAFCO 400 '!$D$24*(J984)+'CAFCO 400 '!$D$25)*U984^2)+(('CAFCO 400 '!$D$26*(J984^2)+'CAFCO 400 '!$D$27*J984+'CAFCO 400 '!$D$28)*U984)+('CAFCO 400 '!$D$29*(J984^2)+'CAFCO 400 '!$D$30*J984+'CAFCO 400 '!$D$31)),0),0)+IF(AND(L984="Cafco 300",J984&gt;=95,J984&lt;=240,C984="Cj",I984=90),VLOOKUP(T984,'CAFCO 300 IDIEM TABLAS'!$B$4:$D$23,2,FALSE),0)+IF(AND(L984="Cafco 300",J984&gt;=95,J984&lt;=240,C984="Cj",I984=120),VLOOKUP(T984,'CAFCO 300 IDIEM TABLAS'!$B$4:$D$23,3,FALSE),0)+IF(AND(L984="Cafco 300",J984&gt;=95,J984&lt;=400,G984=3,C984="IN",I984=90),VLOOKUP(T984,'CAFCO 300 IDIEM TABLAS'!$F$4:$H$35,2,FALSE),0)+IF(AND(L984="Cafco 300",J984&gt;=95,J984&lt;=400,G984=3,C984="IN",I984=120),VLOOKUP(T984,'CAFCO 300 IDIEM TABLAS'!$F$4:$H$35,3,FALSE),0)+IF(AND(L984="Cafco 300",J984&gt;=95,J984&lt;=450,G984=4,C984="IN",I984=90),VLOOKUP(T984,'CAFCO 300 IDIEM TABLAS'!$J$4:$L$40,2,FALSE),0)+IF(AND(L984="Cafco 300",J984&gt;=95,J984&lt;=450,G984=4,C984="IN",I984=120),VLOOKUP(T984,'CAFCO 300 IDIEM TABLAS'!$J$4:$L$40,3,FALSE),0)+IF(AND(M984="Ensayo Idiem",L984="Cafco 400",C984="IN",G984=4,I984=90),VLOOKUP(T984,'CAFCO 400 ENSAYO'!$B$7:$D$43,2,FALSE),0)+IF(AND(M984="Ensayo Idiem",L984="Cafco 400",C984="IN",G984=4,I984=120),VLOOKUP(T984,'CAFCO 400 ENSAYO'!$B$7:$D$43,3,FALSE),0)</f>
        <v>0</v>
      </c>
      <c r="O984" s="96">
        <f t="shared" si="102"/>
        <v>0</v>
      </c>
      <c r="P984" s="95" t="str">
        <f t="shared" si="97"/>
        <v>N/A</v>
      </c>
      <c r="Q984" s="95" t="str">
        <f t="shared" si="98"/>
        <v>N/A</v>
      </c>
      <c r="R984" s="95" t="str">
        <f t="shared" si="99"/>
        <v>NO CERT.</v>
      </c>
      <c r="S984" s="95" t="e">
        <f t="shared" si="100"/>
        <v>#N/A</v>
      </c>
      <c r="T984" s="119" t="e">
        <f>+IF(J984=LOOKUP(J984,'CAFCO 300 IDIEM TABLAS'!$J$4:$J$40),'CALCULO MORTERO'!J984,MROUND('CALCULO MORTERO'!J984,10))</f>
        <v>#N/A</v>
      </c>
      <c r="U984" s="118">
        <f t="shared" si="101"/>
        <v>0</v>
      </c>
    </row>
    <row r="985" spans="1:21" x14ac:dyDescent="0.25">
      <c r="A985" s="118">
        <f>+CUBICACION!D979</f>
        <v>0</v>
      </c>
      <c r="B985" s="819">
        <f>+CUBICACION!E979</f>
        <v>0</v>
      </c>
      <c r="C985" s="675">
        <f>+CUBICACION!F979</f>
        <v>0</v>
      </c>
      <c r="D985" s="118"/>
      <c r="E985" s="118"/>
      <c r="F985" s="820"/>
      <c r="G985" s="675">
        <f>+CUBICACION!J979</f>
        <v>0</v>
      </c>
      <c r="H985" s="118"/>
      <c r="I985" s="821">
        <f>+CUBICACION!L979</f>
        <v>0</v>
      </c>
      <c r="J985" s="64">
        <f>+CUBICACION!M979</f>
        <v>0</v>
      </c>
      <c r="K985" s="822" t="str">
        <f>+CUBICACION!N979</f>
        <v/>
      </c>
      <c r="L985" s="118">
        <f>+CUBICACION!O979</f>
        <v>0</v>
      </c>
      <c r="M985" s="823">
        <f>+CUBICACION!P979</f>
        <v>0</v>
      </c>
      <c r="N985" s="902">
        <f>ROUND(IF(AND(L985="Blaze Shield II",M985="Software Idiem",C985="IN",G985=4),((('BLAZE SHIELD II'!$D$4*('CALCULO MORTERO'!I985^2)+'BLAZE SHIELD II'!$D$5*'CALCULO MORTERO'!I985+'BLAZE SHIELD II'!$D$6)*LN(J985))+('BLAZE SHIELD II'!$D$7*('CALCULO MORTERO'!I985^2)+'BLAZE SHIELD II'!$D$8*'CALCULO MORTERO'!I985+'BLAZE SHIELD II'!$D$9)),0)+IF(AND(L985="Blaze Shield II",M985="Software Idiem",C985="Cj"),((('BLAZE SHIELD II'!$H$4*('CALCULO MORTERO'!I985^2)+'BLAZE SHIELD II'!$H$5*'CALCULO MORTERO'!I985+'BLAZE SHIELD II'!$H$6)*LN(J985))+('BLAZE SHIELD II'!$H$7*('CALCULO MORTERO'!I985^2)+'BLAZE SHIELD II'!$H$8*'CALCULO MORTERO'!I985+'BLAZE SHIELD II'!$H$9)),0)+IF(AND(L985="Blaze Shield II",M985="Software Idiem",C985="C"),((('BLAZE SHIELD II'!$L$4*('CALCULO MORTERO'!I985^2)+'BLAZE SHIELD II'!$L$5*'CALCULO MORTERO'!I985+'BLAZE SHIELD II'!$L$6)*LN(J985))+('BLAZE SHIELD II'!$L$7*('CALCULO MORTERO'!I985^2)+'BLAZE SHIELD II'!$L$8*'CALCULO MORTERO'!I985+'BLAZE SHIELD II'!$L$9)),0)+IF(AND(L985="Blaze Shield II",M985="Software Idiem",C985="L"),((('BLAZE SHIELD II'!$L$4*('CALCULO MORTERO'!I985^2)+'BLAZE SHIELD II'!$L$5*'CALCULO MORTERO'!I985+'BLAZE SHIELD II'!$L$6)*LN(J985))+('BLAZE SHIELD II'!$L$7*('CALCULO MORTERO'!I985^2)+'BLAZE SHIELD II'!$L$8*'CALCULO MORTERO'!I985+'BLAZE SHIELD II'!$L$9)),0)+IF(AND(L985="Blaze Shield II",M985="Software Idiem",C985="IN",G985=3),((('BLAZE SHIELD II'!$H$14*('CALCULO MORTERO'!I985^2)+'BLAZE SHIELD II'!$H$15*'CALCULO MORTERO'!I985+'BLAZE SHIELD II'!$H$16)*LN(J985))+('BLAZE SHIELD II'!$H$17*('CALCULO MORTERO'!I985^2)+'BLAZE SHIELD II'!$H$18*'CALCULO MORTERO'!I985+'BLAZE SHIELD II'!$H$19)),0),0)+ROUND(IF(AND(L985="Cafco 400",M985="Software Idiem",C985="IN",G985=4),((('CAFCO 400 '!$H$7*(J985^4)+'CAFCO 400 '!$H$8*(J985^3)+'CAFCO 400 '!$H$9*(J985^2)+'CAFCO 400 '!$H$10*J985+'CAFCO 400 '!$H$11)*U985^2)+(('CAFCO 400 '!$H$12*(J985^3)+'CAFCO 400 '!$H$13*(J985^2)+'CAFCO 400 '!$H$14*J985+'CAFCO 400 '!$H$15)*U985)+('CAFCO 400 '!$H$16*(J985^2)+'CAFCO 400 '!$H$17*J985+'CAFCO 400 '!$H$18)),0)+IF(AND(L985="Cafco 400",M985="Software Idiem",C985="Cj"),(((('CAFCO 400 '!$D$7*LN(J985)+'CAFCO 400 '!$D$8)*U985^2)+(('CAFCO 400 '!$D$9*LN(J985)+'CAFCO 400 '!$D$10)*U985)+('CAFCO 400 '!$D$11*LN(J985)+'CAFCO 400 '!$D$12))),0)+IF(AND(L985="Cafco 400",M985="Software Idiem",C985="C"),((('CAFCO 400 '!$L$7*(J985^3)+'CAFCO 400 '!$L$8*(J985^2)+'CAFCO 400 '!$L$9*J985+'CAFCO 400 '!$L$10)*U985^2)+(('CAFCO 400 '!$L$11*(J985^3)+'CAFCO 400 '!$L$12*(J985^2)+'CAFCO 400 '!$L$13*J985+'CAFCO 400 '!$L$14)*U985)+('CAFCO 400 '!$L$15*LN(J985)+'CAFCO 400 '!$L$16)),0)+IF(AND(L985="Cafco 400",M985="Software Idiem",C985="L"),((('CAFCO 400 '!$L$7*(J985^3)+'CAFCO 400 '!$L$8*(J985^2)+'CAFCO 400 '!$L$9*J985+'CAFCO 400 '!$L$10)*U985^2)+(('CAFCO 400 '!$L$11*(J985^3)+'CAFCO 400 '!$L$12*(J985^2)+'CAFCO 400 '!$L$13*J985+'CAFCO 400 '!$L$14)*U985)+('CAFCO 400 '!$L$15*LN(J985)+'CAFCO 400 '!$L$16)),0)+IF(AND(L985="Cafco 400",M985="Software Idiem",C985="IN",G985=3),((('CAFCO 400 '!$D$23*(J985^2)+'CAFCO 400 '!$D$24*(J985)+'CAFCO 400 '!$D$25)*U985^2)+(('CAFCO 400 '!$D$26*(J985^2)+'CAFCO 400 '!$D$27*J985+'CAFCO 400 '!$D$28)*U985)+('CAFCO 400 '!$D$29*(J985^2)+'CAFCO 400 '!$D$30*J985+'CAFCO 400 '!$D$31)),0),0)+IF(AND(L985="Cafco 300",J985&gt;=95,J985&lt;=240,C985="Cj",I985=90),VLOOKUP(T985,'CAFCO 300 IDIEM TABLAS'!$B$4:$D$23,2,FALSE),0)+IF(AND(L985="Cafco 300",J985&gt;=95,J985&lt;=240,C985="Cj",I985=120),VLOOKUP(T985,'CAFCO 300 IDIEM TABLAS'!$B$4:$D$23,3,FALSE),0)+IF(AND(L985="Cafco 300",J985&gt;=95,J985&lt;=400,G985=3,C985="IN",I985=90),VLOOKUP(T985,'CAFCO 300 IDIEM TABLAS'!$F$4:$H$35,2,FALSE),0)+IF(AND(L985="Cafco 300",J985&gt;=95,J985&lt;=400,G985=3,C985="IN",I985=120),VLOOKUP(T985,'CAFCO 300 IDIEM TABLAS'!$F$4:$H$35,3,FALSE),0)+IF(AND(L985="Cafco 300",J985&gt;=95,J985&lt;=450,G985=4,C985="IN",I985=90),VLOOKUP(T985,'CAFCO 300 IDIEM TABLAS'!$J$4:$L$40,2,FALSE),0)+IF(AND(L985="Cafco 300",J985&gt;=95,J985&lt;=450,G985=4,C985="IN",I985=120),VLOOKUP(T985,'CAFCO 300 IDIEM TABLAS'!$J$4:$L$40,3,FALSE),0)+IF(AND(M985="Ensayo Idiem",L985="Cafco 400",C985="IN",G985=4,I985=90),VLOOKUP(T985,'CAFCO 400 ENSAYO'!$B$7:$D$43,2,FALSE),0)+IF(AND(M985="Ensayo Idiem",L985="Cafco 400",C985="IN",G985=4,I985=120),VLOOKUP(T985,'CAFCO 400 ENSAYO'!$B$7:$D$43,3,FALSE),0)</f>
        <v>0</v>
      </c>
      <c r="O985" s="96">
        <f t="shared" si="102"/>
        <v>0</v>
      </c>
      <c r="P985" s="132" t="str">
        <f t="shared" si="97"/>
        <v>N/A</v>
      </c>
      <c r="Q985" s="132" t="str">
        <f t="shared" si="98"/>
        <v>N/A</v>
      </c>
      <c r="R985" s="132" t="str">
        <f t="shared" si="99"/>
        <v>NO CERT.</v>
      </c>
      <c r="S985" s="132" t="e">
        <f t="shared" si="100"/>
        <v>#N/A</v>
      </c>
      <c r="T985" s="133" t="e">
        <f>+IF(J985=LOOKUP(J985,'CAFCO 300 IDIEM TABLAS'!$J$4:$J$40),'CALCULO MORTERO'!J985,MROUND('CALCULO MORTERO'!J985,10))</f>
        <v>#N/A</v>
      </c>
      <c r="U985" s="134">
        <f t="shared" si="101"/>
        <v>0</v>
      </c>
    </row>
    <row r="986" spans="1:21" x14ac:dyDescent="0.25">
      <c r="A986" s="118">
        <f>+CUBICACION!D980</f>
        <v>0</v>
      </c>
      <c r="B986" s="819">
        <f>+CUBICACION!E980</f>
        <v>0</v>
      </c>
      <c r="C986" s="675">
        <f>+CUBICACION!F980</f>
        <v>0</v>
      </c>
      <c r="D986" s="118"/>
      <c r="E986" s="118"/>
      <c r="F986" s="820"/>
      <c r="G986" s="675">
        <f>+CUBICACION!J980</f>
        <v>0</v>
      </c>
      <c r="H986" s="118"/>
      <c r="I986" s="821">
        <f>+CUBICACION!L980</f>
        <v>0</v>
      </c>
      <c r="J986" s="64">
        <f>+CUBICACION!M980</f>
        <v>0</v>
      </c>
      <c r="K986" s="822" t="str">
        <f>+CUBICACION!N980</f>
        <v/>
      </c>
      <c r="L986" s="118">
        <f>+CUBICACION!O980</f>
        <v>0</v>
      </c>
      <c r="M986" s="823">
        <f>+CUBICACION!P980</f>
        <v>0</v>
      </c>
      <c r="N986" s="902">
        <f>ROUND(IF(AND(L986="Blaze Shield II",M986="Software Idiem",C986="IN",G986=4),((('BLAZE SHIELD II'!$D$4*('CALCULO MORTERO'!I986^2)+'BLAZE SHIELD II'!$D$5*'CALCULO MORTERO'!I986+'BLAZE SHIELD II'!$D$6)*LN(J986))+('BLAZE SHIELD II'!$D$7*('CALCULO MORTERO'!I986^2)+'BLAZE SHIELD II'!$D$8*'CALCULO MORTERO'!I986+'BLAZE SHIELD II'!$D$9)),0)+IF(AND(L986="Blaze Shield II",M986="Software Idiem",C986="Cj"),((('BLAZE SHIELD II'!$H$4*('CALCULO MORTERO'!I986^2)+'BLAZE SHIELD II'!$H$5*'CALCULO MORTERO'!I986+'BLAZE SHIELD II'!$H$6)*LN(J986))+('BLAZE SHIELD II'!$H$7*('CALCULO MORTERO'!I986^2)+'BLAZE SHIELD II'!$H$8*'CALCULO MORTERO'!I986+'BLAZE SHIELD II'!$H$9)),0)+IF(AND(L986="Blaze Shield II",M986="Software Idiem",C986="C"),((('BLAZE SHIELD II'!$L$4*('CALCULO MORTERO'!I986^2)+'BLAZE SHIELD II'!$L$5*'CALCULO MORTERO'!I986+'BLAZE SHIELD II'!$L$6)*LN(J986))+('BLAZE SHIELD II'!$L$7*('CALCULO MORTERO'!I986^2)+'BLAZE SHIELD II'!$L$8*'CALCULO MORTERO'!I986+'BLAZE SHIELD II'!$L$9)),0)+IF(AND(L986="Blaze Shield II",M986="Software Idiem",C986="L"),((('BLAZE SHIELD II'!$L$4*('CALCULO MORTERO'!I986^2)+'BLAZE SHIELD II'!$L$5*'CALCULO MORTERO'!I986+'BLAZE SHIELD II'!$L$6)*LN(J986))+('BLAZE SHIELD II'!$L$7*('CALCULO MORTERO'!I986^2)+'BLAZE SHIELD II'!$L$8*'CALCULO MORTERO'!I986+'BLAZE SHIELD II'!$L$9)),0)+IF(AND(L986="Blaze Shield II",M986="Software Idiem",C986="IN",G986=3),((('BLAZE SHIELD II'!$H$14*('CALCULO MORTERO'!I986^2)+'BLAZE SHIELD II'!$H$15*'CALCULO MORTERO'!I986+'BLAZE SHIELD II'!$H$16)*LN(J986))+('BLAZE SHIELD II'!$H$17*('CALCULO MORTERO'!I986^2)+'BLAZE SHIELD II'!$H$18*'CALCULO MORTERO'!I986+'BLAZE SHIELD II'!$H$19)),0),0)+ROUND(IF(AND(L986="Cafco 400",M986="Software Idiem",C986="IN",G986=4),((('CAFCO 400 '!$H$7*(J986^4)+'CAFCO 400 '!$H$8*(J986^3)+'CAFCO 400 '!$H$9*(J986^2)+'CAFCO 400 '!$H$10*J986+'CAFCO 400 '!$H$11)*U986^2)+(('CAFCO 400 '!$H$12*(J986^3)+'CAFCO 400 '!$H$13*(J986^2)+'CAFCO 400 '!$H$14*J986+'CAFCO 400 '!$H$15)*U986)+('CAFCO 400 '!$H$16*(J986^2)+'CAFCO 400 '!$H$17*J986+'CAFCO 400 '!$H$18)),0)+IF(AND(L986="Cafco 400",M986="Software Idiem",C986="Cj"),(((('CAFCO 400 '!$D$7*LN(J986)+'CAFCO 400 '!$D$8)*U986^2)+(('CAFCO 400 '!$D$9*LN(J986)+'CAFCO 400 '!$D$10)*U986)+('CAFCO 400 '!$D$11*LN(J986)+'CAFCO 400 '!$D$12))),0)+IF(AND(L986="Cafco 400",M986="Software Idiem",C986="C"),((('CAFCO 400 '!$L$7*(J986^3)+'CAFCO 400 '!$L$8*(J986^2)+'CAFCO 400 '!$L$9*J986+'CAFCO 400 '!$L$10)*U986^2)+(('CAFCO 400 '!$L$11*(J986^3)+'CAFCO 400 '!$L$12*(J986^2)+'CAFCO 400 '!$L$13*J986+'CAFCO 400 '!$L$14)*U986)+('CAFCO 400 '!$L$15*LN(J986)+'CAFCO 400 '!$L$16)),0)+IF(AND(L986="Cafco 400",M986="Software Idiem",C986="L"),((('CAFCO 400 '!$L$7*(J986^3)+'CAFCO 400 '!$L$8*(J986^2)+'CAFCO 400 '!$L$9*J986+'CAFCO 400 '!$L$10)*U986^2)+(('CAFCO 400 '!$L$11*(J986^3)+'CAFCO 400 '!$L$12*(J986^2)+'CAFCO 400 '!$L$13*J986+'CAFCO 400 '!$L$14)*U986)+('CAFCO 400 '!$L$15*LN(J986)+'CAFCO 400 '!$L$16)),0)+IF(AND(L986="Cafco 400",M986="Software Idiem",C986="IN",G986=3),((('CAFCO 400 '!$D$23*(J986^2)+'CAFCO 400 '!$D$24*(J986)+'CAFCO 400 '!$D$25)*U986^2)+(('CAFCO 400 '!$D$26*(J986^2)+'CAFCO 400 '!$D$27*J986+'CAFCO 400 '!$D$28)*U986)+('CAFCO 400 '!$D$29*(J986^2)+'CAFCO 400 '!$D$30*J986+'CAFCO 400 '!$D$31)),0),0)+IF(AND(L986="Cafco 300",J986&gt;=95,J986&lt;=240,C986="Cj",I986=90),VLOOKUP(T986,'CAFCO 300 IDIEM TABLAS'!$B$4:$D$23,2,FALSE),0)+IF(AND(L986="Cafco 300",J986&gt;=95,J986&lt;=240,C986="Cj",I986=120),VLOOKUP(T986,'CAFCO 300 IDIEM TABLAS'!$B$4:$D$23,3,FALSE),0)+IF(AND(L986="Cafco 300",J986&gt;=95,J986&lt;=400,G986=3,C986="IN",I986=90),VLOOKUP(T986,'CAFCO 300 IDIEM TABLAS'!$F$4:$H$35,2,FALSE),0)+IF(AND(L986="Cafco 300",J986&gt;=95,J986&lt;=400,G986=3,C986="IN",I986=120),VLOOKUP(T986,'CAFCO 300 IDIEM TABLAS'!$F$4:$H$35,3,FALSE),0)+IF(AND(L986="Cafco 300",J986&gt;=95,J986&lt;=450,G986=4,C986="IN",I986=90),VLOOKUP(T986,'CAFCO 300 IDIEM TABLAS'!$J$4:$L$40,2,FALSE),0)+IF(AND(L986="Cafco 300",J986&gt;=95,J986&lt;=450,G986=4,C986="IN",I986=120),VLOOKUP(T986,'CAFCO 300 IDIEM TABLAS'!$J$4:$L$40,3,FALSE),0)+IF(AND(M986="Ensayo Idiem",L986="Cafco 400",C986="IN",G986=4,I986=90),VLOOKUP(T986,'CAFCO 400 ENSAYO'!$B$7:$D$43,2,FALSE),0)+IF(AND(M986="Ensayo Idiem",L986="Cafco 400",C986="IN",G986=4,I986=120),VLOOKUP(T986,'CAFCO 400 ENSAYO'!$B$7:$D$43,3,FALSE),0)</f>
        <v>0</v>
      </c>
      <c r="O986" s="96">
        <f t="shared" si="102"/>
        <v>0</v>
      </c>
      <c r="P986" s="95" t="str">
        <f t="shared" si="97"/>
        <v>N/A</v>
      </c>
      <c r="Q986" s="95" t="str">
        <f t="shared" si="98"/>
        <v>N/A</v>
      </c>
      <c r="R986" s="95" t="str">
        <f t="shared" si="99"/>
        <v>NO CERT.</v>
      </c>
      <c r="S986" s="95" t="e">
        <f t="shared" si="100"/>
        <v>#N/A</v>
      </c>
      <c r="T986" s="119" t="e">
        <f>+IF(J986=LOOKUP(J986,'CAFCO 300 IDIEM TABLAS'!$J$4:$J$40),'CALCULO MORTERO'!J986,MROUND('CALCULO MORTERO'!J986,10))</f>
        <v>#N/A</v>
      </c>
      <c r="U986" s="118">
        <f t="shared" si="101"/>
        <v>0</v>
      </c>
    </row>
    <row r="987" spans="1:21" x14ac:dyDescent="0.25">
      <c r="A987" s="118">
        <f>+CUBICACION!D981</f>
        <v>0</v>
      </c>
      <c r="B987" s="819">
        <f>+CUBICACION!E981</f>
        <v>0</v>
      </c>
      <c r="C987" s="675">
        <f>+CUBICACION!F981</f>
        <v>0</v>
      </c>
      <c r="D987" s="118"/>
      <c r="E987" s="118"/>
      <c r="F987" s="820"/>
      <c r="G987" s="675">
        <f>+CUBICACION!J981</f>
        <v>0</v>
      </c>
      <c r="H987" s="118"/>
      <c r="I987" s="821">
        <f>+CUBICACION!L981</f>
        <v>0</v>
      </c>
      <c r="J987" s="64">
        <f>+CUBICACION!M981</f>
        <v>0</v>
      </c>
      <c r="K987" s="822" t="str">
        <f>+CUBICACION!N981</f>
        <v/>
      </c>
      <c r="L987" s="118">
        <f>+CUBICACION!O981</f>
        <v>0</v>
      </c>
      <c r="M987" s="823">
        <f>+CUBICACION!P981</f>
        <v>0</v>
      </c>
      <c r="N987" s="902">
        <f>ROUND(IF(AND(L987="Blaze Shield II",M987="Software Idiem",C987="IN",G987=4),((('BLAZE SHIELD II'!$D$4*('CALCULO MORTERO'!I987^2)+'BLAZE SHIELD II'!$D$5*'CALCULO MORTERO'!I987+'BLAZE SHIELD II'!$D$6)*LN(J987))+('BLAZE SHIELD II'!$D$7*('CALCULO MORTERO'!I987^2)+'BLAZE SHIELD II'!$D$8*'CALCULO MORTERO'!I987+'BLAZE SHIELD II'!$D$9)),0)+IF(AND(L987="Blaze Shield II",M987="Software Idiem",C987="Cj"),((('BLAZE SHIELD II'!$H$4*('CALCULO MORTERO'!I987^2)+'BLAZE SHIELD II'!$H$5*'CALCULO MORTERO'!I987+'BLAZE SHIELD II'!$H$6)*LN(J987))+('BLAZE SHIELD II'!$H$7*('CALCULO MORTERO'!I987^2)+'BLAZE SHIELD II'!$H$8*'CALCULO MORTERO'!I987+'BLAZE SHIELD II'!$H$9)),0)+IF(AND(L987="Blaze Shield II",M987="Software Idiem",C987="C"),((('BLAZE SHIELD II'!$L$4*('CALCULO MORTERO'!I987^2)+'BLAZE SHIELD II'!$L$5*'CALCULO MORTERO'!I987+'BLAZE SHIELD II'!$L$6)*LN(J987))+('BLAZE SHIELD II'!$L$7*('CALCULO MORTERO'!I987^2)+'BLAZE SHIELD II'!$L$8*'CALCULO MORTERO'!I987+'BLAZE SHIELD II'!$L$9)),0)+IF(AND(L987="Blaze Shield II",M987="Software Idiem",C987="L"),((('BLAZE SHIELD II'!$L$4*('CALCULO MORTERO'!I987^2)+'BLAZE SHIELD II'!$L$5*'CALCULO MORTERO'!I987+'BLAZE SHIELD II'!$L$6)*LN(J987))+('BLAZE SHIELD II'!$L$7*('CALCULO MORTERO'!I987^2)+'BLAZE SHIELD II'!$L$8*'CALCULO MORTERO'!I987+'BLAZE SHIELD II'!$L$9)),0)+IF(AND(L987="Blaze Shield II",M987="Software Idiem",C987="IN",G987=3),((('BLAZE SHIELD II'!$H$14*('CALCULO MORTERO'!I987^2)+'BLAZE SHIELD II'!$H$15*'CALCULO MORTERO'!I987+'BLAZE SHIELD II'!$H$16)*LN(J987))+('BLAZE SHIELD II'!$H$17*('CALCULO MORTERO'!I987^2)+'BLAZE SHIELD II'!$H$18*'CALCULO MORTERO'!I987+'BLAZE SHIELD II'!$H$19)),0),0)+ROUND(IF(AND(L987="Cafco 400",M987="Software Idiem",C987="IN",G987=4),((('CAFCO 400 '!$H$7*(J987^4)+'CAFCO 400 '!$H$8*(J987^3)+'CAFCO 400 '!$H$9*(J987^2)+'CAFCO 400 '!$H$10*J987+'CAFCO 400 '!$H$11)*U987^2)+(('CAFCO 400 '!$H$12*(J987^3)+'CAFCO 400 '!$H$13*(J987^2)+'CAFCO 400 '!$H$14*J987+'CAFCO 400 '!$H$15)*U987)+('CAFCO 400 '!$H$16*(J987^2)+'CAFCO 400 '!$H$17*J987+'CAFCO 400 '!$H$18)),0)+IF(AND(L987="Cafco 400",M987="Software Idiem",C987="Cj"),(((('CAFCO 400 '!$D$7*LN(J987)+'CAFCO 400 '!$D$8)*U987^2)+(('CAFCO 400 '!$D$9*LN(J987)+'CAFCO 400 '!$D$10)*U987)+('CAFCO 400 '!$D$11*LN(J987)+'CAFCO 400 '!$D$12))),0)+IF(AND(L987="Cafco 400",M987="Software Idiem",C987="C"),((('CAFCO 400 '!$L$7*(J987^3)+'CAFCO 400 '!$L$8*(J987^2)+'CAFCO 400 '!$L$9*J987+'CAFCO 400 '!$L$10)*U987^2)+(('CAFCO 400 '!$L$11*(J987^3)+'CAFCO 400 '!$L$12*(J987^2)+'CAFCO 400 '!$L$13*J987+'CAFCO 400 '!$L$14)*U987)+('CAFCO 400 '!$L$15*LN(J987)+'CAFCO 400 '!$L$16)),0)+IF(AND(L987="Cafco 400",M987="Software Idiem",C987="L"),((('CAFCO 400 '!$L$7*(J987^3)+'CAFCO 400 '!$L$8*(J987^2)+'CAFCO 400 '!$L$9*J987+'CAFCO 400 '!$L$10)*U987^2)+(('CAFCO 400 '!$L$11*(J987^3)+'CAFCO 400 '!$L$12*(J987^2)+'CAFCO 400 '!$L$13*J987+'CAFCO 400 '!$L$14)*U987)+('CAFCO 400 '!$L$15*LN(J987)+'CAFCO 400 '!$L$16)),0)+IF(AND(L987="Cafco 400",M987="Software Idiem",C987="IN",G987=3),((('CAFCO 400 '!$D$23*(J987^2)+'CAFCO 400 '!$D$24*(J987)+'CAFCO 400 '!$D$25)*U987^2)+(('CAFCO 400 '!$D$26*(J987^2)+'CAFCO 400 '!$D$27*J987+'CAFCO 400 '!$D$28)*U987)+('CAFCO 400 '!$D$29*(J987^2)+'CAFCO 400 '!$D$30*J987+'CAFCO 400 '!$D$31)),0),0)+IF(AND(L987="Cafco 300",J987&gt;=95,J987&lt;=240,C987="Cj",I987=90),VLOOKUP(T987,'CAFCO 300 IDIEM TABLAS'!$B$4:$D$23,2,FALSE),0)+IF(AND(L987="Cafco 300",J987&gt;=95,J987&lt;=240,C987="Cj",I987=120),VLOOKUP(T987,'CAFCO 300 IDIEM TABLAS'!$B$4:$D$23,3,FALSE),0)+IF(AND(L987="Cafco 300",J987&gt;=95,J987&lt;=400,G987=3,C987="IN",I987=90),VLOOKUP(T987,'CAFCO 300 IDIEM TABLAS'!$F$4:$H$35,2,FALSE),0)+IF(AND(L987="Cafco 300",J987&gt;=95,J987&lt;=400,G987=3,C987="IN",I987=120),VLOOKUP(T987,'CAFCO 300 IDIEM TABLAS'!$F$4:$H$35,3,FALSE),0)+IF(AND(L987="Cafco 300",J987&gt;=95,J987&lt;=450,G987=4,C987="IN",I987=90),VLOOKUP(T987,'CAFCO 300 IDIEM TABLAS'!$J$4:$L$40,2,FALSE),0)+IF(AND(L987="Cafco 300",J987&gt;=95,J987&lt;=450,G987=4,C987="IN",I987=120),VLOOKUP(T987,'CAFCO 300 IDIEM TABLAS'!$J$4:$L$40,3,FALSE),0)+IF(AND(M987="Ensayo Idiem",L987="Cafco 400",C987="IN",G987=4,I987=90),VLOOKUP(T987,'CAFCO 400 ENSAYO'!$B$7:$D$43,2,FALSE),0)+IF(AND(M987="Ensayo Idiem",L987="Cafco 400",C987="IN",G987=4,I987=120),VLOOKUP(T987,'CAFCO 400 ENSAYO'!$B$7:$D$43,3,FALSE),0)</f>
        <v>0</v>
      </c>
      <c r="O987" s="96">
        <f t="shared" si="102"/>
        <v>0</v>
      </c>
      <c r="P987" s="132" t="str">
        <f t="shared" si="97"/>
        <v>N/A</v>
      </c>
      <c r="Q987" s="132" t="str">
        <f t="shared" si="98"/>
        <v>N/A</v>
      </c>
      <c r="R987" s="132" t="str">
        <f t="shared" si="99"/>
        <v>NO CERT.</v>
      </c>
      <c r="S987" s="132" t="e">
        <f t="shared" si="100"/>
        <v>#N/A</v>
      </c>
      <c r="T987" s="133" t="e">
        <f>+IF(J987=LOOKUP(J987,'CAFCO 300 IDIEM TABLAS'!$J$4:$J$40),'CALCULO MORTERO'!J987,MROUND('CALCULO MORTERO'!J987,10))</f>
        <v>#N/A</v>
      </c>
      <c r="U987" s="134">
        <f t="shared" si="101"/>
        <v>0</v>
      </c>
    </row>
    <row r="988" spans="1:21" x14ac:dyDescent="0.25">
      <c r="A988" s="118">
        <f>+CUBICACION!D982</f>
        <v>0</v>
      </c>
      <c r="B988" s="819">
        <f>+CUBICACION!E982</f>
        <v>0</v>
      </c>
      <c r="C988" s="675">
        <f>+CUBICACION!F982</f>
        <v>0</v>
      </c>
      <c r="D988" s="118"/>
      <c r="E988" s="118"/>
      <c r="F988" s="820"/>
      <c r="G988" s="675">
        <f>+CUBICACION!J982</f>
        <v>0</v>
      </c>
      <c r="H988" s="118"/>
      <c r="I988" s="821">
        <f>+CUBICACION!L982</f>
        <v>0</v>
      </c>
      <c r="J988" s="64">
        <f>+CUBICACION!M982</f>
        <v>0</v>
      </c>
      <c r="K988" s="822" t="str">
        <f>+CUBICACION!N982</f>
        <v/>
      </c>
      <c r="L988" s="118">
        <f>+CUBICACION!O982</f>
        <v>0</v>
      </c>
      <c r="M988" s="823">
        <f>+CUBICACION!P982</f>
        <v>0</v>
      </c>
      <c r="N988" s="902">
        <f>ROUND(IF(AND(L988="Blaze Shield II",M988="Software Idiem",C988="IN",G988=4),((('BLAZE SHIELD II'!$D$4*('CALCULO MORTERO'!I988^2)+'BLAZE SHIELD II'!$D$5*'CALCULO MORTERO'!I988+'BLAZE SHIELD II'!$D$6)*LN(J988))+('BLAZE SHIELD II'!$D$7*('CALCULO MORTERO'!I988^2)+'BLAZE SHIELD II'!$D$8*'CALCULO MORTERO'!I988+'BLAZE SHIELD II'!$D$9)),0)+IF(AND(L988="Blaze Shield II",M988="Software Idiem",C988="Cj"),((('BLAZE SHIELD II'!$H$4*('CALCULO MORTERO'!I988^2)+'BLAZE SHIELD II'!$H$5*'CALCULO MORTERO'!I988+'BLAZE SHIELD II'!$H$6)*LN(J988))+('BLAZE SHIELD II'!$H$7*('CALCULO MORTERO'!I988^2)+'BLAZE SHIELD II'!$H$8*'CALCULO MORTERO'!I988+'BLAZE SHIELD II'!$H$9)),0)+IF(AND(L988="Blaze Shield II",M988="Software Idiem",C988="C"),((('BLAZE SHIELD II'!$L$4*('CALCULO MORTERO'!I988^2)+'BLAZE SHIELD II'!$L$5*'CALCULO MORTERO'!I988+'BLAZE SHIELD II'!$L$6)*LN(J988))+('BLAZE SHIELD II'!$L$7*('CALCULO MORTERO'!I988^2)+'BLAZE SHIELD II'!$L$8*'CALCULO MORTERO'!I988+'BLAZE SHIELD II'!$L$9)),0)+IF(AND(L988="Blaze Shield II",M988="Software Idiem",C988="L"),((('BLAZE SHIELD II'!$L$4*('CALCULO MORTERO'!I988^2)+'BLAZE SHIELD II'!$L$5*'CALCULO MORTERO'!I988+'BLAZE SHIELD II'!$L$6)*LN(J988))+('BLAZE SHIELD II'!$L$7*('CALCULO MORTERO'!I988^2)+'BLAZE SHIELD II'!$L$8*'CALCULO MORTERO'!I988+'BLAZE SHIELD II'!$L$9)),0)+IF(AND(L988="Blaze Shield II",M988="Software Idiem",C988="IN",G988=3),((('BLAZE SHIELD II'!$H$14*('CALCULO MORTERO'!I988^2)+'BLAZE SHIELD II'!$H$15*'CALCULO MORTERO'!I988+'BLAZE SHIELD II'!$H$16)*LN(J988))+('BLAZE SHIELD II'!$H$17*('CALCULO MORTERO'!I988^2)+'BLAZE SHIELD II'!$H$18*'CALCULO MORTERO'!I988+'BLAZE SHIELD II'!$H$19)),0),0)+ROUND(IF(AND(L988="Cafco 400",M988="Software Idiem",C988="IN",G988=4),((('CAFCO 400 '!$H$7*(J988^4)+'CAFCO 400 '!$H$8*(J988^3)+'CAFCO 400 '!$H$9*(J988^2)+'CAFCO 400 '!$H$10*J988+'CAFCO 400 '!$H$11)*U988^2)+(('CAFCO 400 '!$H$12*(J988^3)+'CAFCO 400 '!$H$13*(J988^2)+'CAFCO 400 '!$H$14*J988+'CAFCO 400 '!$H$15)*U988)+('CAFCO 400 '!$H$16*(J988^2)+'CAFCO 400 '!$H$17*J988+'CAFCO 400 '!$H$18)),0)+IF(AND(L988="Cafco 400",M988="Software Idiem",C988="Cj"),(((('CAFCO 400 '!$D$7*LN(J988)+'CAFCO 400 '!$D$8)*U988^2)+(('CAFCO 400 '!$D$9*LN(J988)+'CAFCO 400 '!$D$10)*U988)+('CAFCO 400 '!$D$11*LN(J988)+'CAFCO 400 '!$D$12))),0)+IF(AND(L988="Cafco 400",M988="Software Idiem",C988="C"),((('CAFCO 400 '!$L$7*(J988^3)+'CAFCO 400 '!$L$8*(J988^2)+'CAFCO 400 '!$L$9*J988+'CAFCO 400 '!$L$10)*U988^2)+(('CAFCO 400 '!$L$11*(J988^3)+'CAFCO 400 '!$L$12*(J988^2)+'CAFCO 400 '!$L$13*J988+'CAFCO 400 '!$L$14)*U988)+('CAFCO 400 '!$L$15*LN(J988)+'CAFCO 400 '!$L$16)),0)+IF(AND(L988="Cafco 400",M988="Software Idiem",C988="L"),((('CAFCO 400 '!$L$7*(J988^3)+'CAFCO 400 '!$L$8*(J988^2)+'CAFCO 400 '!$L$9*J988+'CAFCO 400 '!$L$10)*U988^2)+(('CAFCO 400 '!$L$11*(J988^3)+'CAFCO 400 '!$L$12*(J988^2)+'CAFCO 400 '!$L$13*J988+'CAFCO 400 '!$L$14)*U988)+('CAFCO 400 '!$L$15*LN(J988)+'CAFCO 400 '!$L$16)),0)+IF(AND(L988="Cafco 400",M988="Software Idiem",C988="IN",G988=3),((('CAFCO 400 '!$D$23*(J988^2)+'CAFCO 400 '!$D$24*(J988)+'CAFCO 400 '!$D$25)*U988^2)+(('CAFCO 400 '!$D$26*(J988^2)+'CAFCO 400 '!$D$27*J988+'CAFCO 400 '!$D$28)*U988)+('CAFCO 400 '!$D$29*(J988^2)+'CAFCO 400 '!$D$30*J988+'CAFCO 400 '!$D$31)),0),0)+IF(AND(L988="Cafco 300",J988&gt;=95,J988&lt;=240,C988="Cj",I988=90),VLOOKUP(T988,'CAFCO 300 IDIEM TABLAS'!$B$4:$D$23,2,FALSE),0)+IF(AND(L988="Cafco 300",J988&gt;=95,J988&lt;=240,C988="Cj",I988=120),VLOOKUP(T988,'CAFCO 300 IDIEM TABLAS'!$B$4:$D$23,3,FALSE),0)+IF(AND(L988="Cafco 300",J988&gt;=95,J988&lt;=400,G988=3,C988="IN",I988=90),VLOOKUP(T988,'CAFCO 300 IDIEM TABLAS'!$F$4:$H$35,2,FALSE),0)+IF(AND(L988="Cafco 300",J988&gt;=95,J988&lt;=400,G988=3,C988="IN",I988=120),VLOOKUP(T988,'CAFCO 300 IDIEM TABLAS'!$F$4:$H$35,3,FALSE),0)+IF(AND(L988="Cafco 300",J988&gt;=95,J988&lt;=450,G988=4,C988="IN",I988=90),VLOOKUP(T988,'CAFCO 300 IDIEM TABLAS'!$J$4:$L$40,2,FALSE),0)+IF(AND(L988="Cafco 300",J988&gt;=95,J988&lt;=450,G988=4,C988="IN",I988=120),VLOOKUP(T988,'CAFCO 300 IDIEM TABLAS'!$J$4:$L$40,3,FALSE),0)+IF(AND(M988="Ensayo Idiem",L988="Cafco 400",C988="IN",G988=4,I988=90),VLOOKUP(T988,'CAFCO 400 ENSAYO'!$B$7:$D$43,2,FALSE),0)+IF(AND(M988="Ensayo Idiem",L988="Cafco 400",C988="IN",G988=4,I988=120),VLOOKUP(T988,'CAFCO 400 ENSAYO'!$B$7:$D$43,3,FALSE),0)</f>
        <v>0</v>
      </c>
      <c r="O988" s="96">
        <f t="shared" si="102"/>
        <v>0</v>
      </c>
      <c r="P988" s="95" t="str">
        <f t="shared" si="97"/>
        <v>N/A</v>
      </c>
      <c r="Q988" s="95" t="str">
        <f t="shared" si="98"/>
        <v>N/A</v>
      </c>
      <c r="R988" s="95" t="str">
        <f t="shared" si="99"/>
        <v>NO CERT.</v>
      </c>
      <c r="S988" s="95" t="e">
        <f t="shared" si="100"/>
        <v>#N/A</v>
      </c>
      <c r="T988" s="119" t="e">
        <f>+IF(J988=LOOKUP(J988,'CAFCO 300 IDIEM TABLAS'!$J$4:$J$40),'CALCULO MORTERO'!J988,MROUND('CALCULO MORTERO'!J988,10))</f>
        <v>#N/A</v>
      </c>
      <c r="U988" s="118">
        <f t="shared" si="101"/>
        <v>0</v>
      </c>
    </row>
    <row r="989" spans="1:21" x14ac:dyDescent="0.25">
      <c r="A989" s="118">
        <f>+CUBICACION!D983</f>
        <v>0</v>
      </c>
      <c r="B989" s="819">
        <f>+CUBICACION!E983</f>
        <v>0</v>
      </c>
      <c r="C989" s="675">
        <f>+CUBICACION!F983</f>
        <v>0</v>
      </c>
      <c r="D989" s="118"/>
      <c r="E989" s="118"/>
      <c r="F989" s="820"/>
      <c r="G989" s="675">
        <f>+CUBICACION!J983</f>
        <v>0</v>
      </c>
      <c r="H989" s="118"/>
      <c r="I989" s="821">
        <f>+CUBICACION!L983</f>
        <v>0</v>
      </c>
      <c r="J989" s="64">
        <f>+CUBICACION!M983</f>
        <v>0</v>
      </c>
      <c r="K989" s="822" t="str">
        <f>+CUBICACION!N983</f>
        <v/>
      </c>
      <c r="L989" s="118">
        <f>+CUBICACION!O983</f>
        <v>0</v>
      </c>
      <c r="M989" s="823">
        <f>+CUBICACION!P983</f>
        <v>0</v>
      </c>
      <c r="N989" s="902">
        <f>ROUND(IF(AND(L989="Blaze Shield II",M989="Software Idiem",C989="IN",G989=4),((('BLAZE SHIELD II'!$D$4*('CALCULO MORTERO'!I989^2)+'BLAZE SHIELD II'!$D$5*'CALCULO MORTERO'!I989+'BLAZE SHIELD II'!$D$6)*LN(J989))+('BLAZE SHIELD II'!$D$7*('CALCULO MORTERO'!I989^2)+'BLAZE SHIELD II'!$D$8*'CALCULO MORTERO'!I989+'BLAZE SHIELD II'!$D$9)),0)+IF(AND(L989="Blaze Shield II",M989="Software Idiem",C989="Cj"),((('BLAZE SHIELD II'!$H$4*('CALCULO MORTERO'!I989^2)+'BLAZE SHIELD II'!$H$5*'CALCULO MORTERO'!I989+'BLAZE SHIELD II'!$H$6)*LN(J989))+('BLAZE SHIELD II'!$H$7*('CALCULO MORTERO'!I989^2)+'BLAZE SHIELD II'!$H$8*'CALCULO MORTERO'!I989+'BLAZE SHIELD II'!$H$9)),0)+IF(AND(L989="Blaze Shield II",M989="Software Idiem",C989="C"),((('BLAZE SHIELD II'!$L$4*('CALCULO MORTERO'!I989^2)+'BLAZE SHIELD II'!$L$5*'CALCULO MORTERO'!I989+'BLAZE SHIELD II'!$L$6)*LN(J989))+('BLAZE SHIELD II'!$L$7*('CALCULO MORTERO'!I989^2)+'BLAZE SHIELD II'!$L$8*'CALCULO MORTERO'!I989+'BLAZE SHIELD II'!$L$9)),0)+IF(AND(L989="Blaze Shield II",M989="Software Idiem",C989="L"),((('BLAZE SHIELD II'!$L$4*('CALCULO MORTERO'!I989^2)+'BLAZE SHIELD II'!$L$5*'CALCULO MORTERO'!I989+'BLAZE SHIELD II'!$L$6)*LN(J989))+('BLAZE SHIELD II'!$L$7*('CALCULO MORTERO'!I989^2)+'BLAZE SHIELD II'!$L$8*'CALCULO MORTERO'!I989+'BLAZE SHIELD II'!$L$9)),0)+IF(AND(L989="Blaze Shield II",M989="Software Idiem",C989="IN",G989=3),((('BLAZE SHIELD II'!$H$14*('CALCULO MORTERO'!I989^2)+'BLAZE SHIELD II'!$H$15*'CALCULO MORTERO'!I989+'BLAZE SHIELD II'!$H$16)*LN(J989))+('BLAZE SHIELD II'!$H$17*('CALCULO MORTERO'!I989^2)+'BLAZE SHIELD II'!$H$18*'CALCULO MORTERO'!I989+'BLAZE SHIELD II'!$H$19)),0),0)+ROUND(IF(AND(L989="Cafco 400",M989="Software Idiem",C989="IN",G989=4),((('CAFCO 400 '!$H$7*(J989^4)+'CAFCO 400 '!$H$8*(J989^3)+'CAFCO 400 '!$H$9*(J989^2)+'CAFCO 400 '!$H$10*J989+'CAFCO 400 '!$H$11)*U989^2)+(('CAFCO 400 '!$H$12*(J989^3)+'CAFCO 400 '!$H$13*(J989^2)+'CAFCO 400 '!$H$14*J989+'CAFCO 400 '!$H$15)*U989)+('CAFCO 400 '!$H$16*(J989^2)+'CAFCO 400 '!$H$17*J989+'CAFCO 400 '!$H$18)),0)+IF(AND(L989="Cafco 400",M989="Software Idiem",C989="Cj"),(((('CAFCO 400 '!$D$7*LN(J989)+'CAFCO 400 '!$D$8)*U989^2)+(('CAFCO 400 '!$D$9*LN(J989)+'CAFCO 400 '!$D$10)*U989)+('CAFCO 400 '!$D$11*LN(J989)+'CAFCO 400 '!$D$12))),0)+IF(AND(L989="Cafco 400",M989="Software Idiem",C989="C"),((('CAFCO 400 '!$L$7*(J989^3)+'CAFCO 400 '!$L$8*(J989^2)+'CAFCO 400 '!$L$9*J989+'CAFCO 400 '!$L$10)*U989^2)+(('CAFCO 400 '!$L$11*(J989^3)+'CAFCO 400 '!$L$12*(J989^2)+'CAFCO 400 '!$L$13*J989+'CAFCO 400 '!$L$14)*U989)+('CAFCO 400 '!$L$15*LN(J989)+'CAFCO 400 '!$L$16)),0)+IF(AND(L989="Cafco 400",M989="Software Idiem",C989="L"),((('CAFCO 400 '!$L$7*(J989^3)+'CAFCO 400 '!$L$8*(J989^2)+'CAFCO 400 '!$L$9*J989+'CAFCO 400 '!$L$10)*U989^2)+(('CAFCO 400 '!$L$11*(J989^3)+'CAFCO 400 '!$L$12*(J989^2)+'CAFCO 400 '!$L$13*J989+'CAFCO 400 '!$L$14)*U989)+('CAFCO 400 '!$L$15*LN(J989)+'CAFCO 400 '!$L$16)),0)+IF(AND(L989="Cafco 400",M989="Software Idiem",C989="IN",G989=3),((('CAFCO 400 '!$D$23*(J989^2)+'CAFCO 400 '!$D$24*(J989)+'CAFCO 400 '!$D$25)*U989^2)+(('CAFCO 400 '!$D$26*(J989^2)+'CAFCO 400 '!$D$27*J989+'CAFCO 400 '!$D$28)*U989)+('CAFCO 400 '!$D$29*(J989^2)+'CAFCO 400 '!$D$30*J989+'CAFCO 400 '!$D$31)),0),0)+IF(AND(L989="Cafco 300",J989&gt;=95,J989&lt;=240,C989="Cj",I989=90),VLOOKUP(T989,'CAFCO 300 IDIEM TABLAS'!$B$4:$D$23,2,FALSE),0)+IF(AND(L989="Cafco 300",J989&gt;=95,J989&lt;=240,C989="Cj",I989=120),VLOOKUP(T989,'CAFCO 300 IDIEM TABLAS'!$B$4:$D$23,3,FALSE),0)+IF(AND(L989="Cafco 300",J989&gt;=95,J989&lt;=400,G989=3,C989="IN",I989=90),VLOOKUP(T989,'CAFCO 300 IDIEM TABLAS'!$F$4:$H$35,2,FALSE),0)+IF(AND(L989="Cafco 300",J989&gt;=95,J989&lt;=400,G989=3,C989="IN",I989=120),VLOOKUP(T989,'CAFCO 300 IDIEM TABLAS'!$F$4:$H$35,3,FALSE),0)+IF(AND(L989="Cafco 300",J989&gt;=95,J989&lt;=450,G989=4,C989="IN",I989=90),VLOOKUP(T989,'CAFCO 300 IDIEM TABLAS'!$J$4:$L$40,2,FALSE),0)+IF(AND(L989="Cafco 300",J989&gt;=95,J989&lt;=450,G989=4,C989="IN",I989=120),VLOOKUP(T989,'CAFCO 300 IDIEM TABLAS'!$J$4:$L$40,3,FALSE),0)+IF(AND(M989="Ensayo Idiem",L989="Cafco 400",C989="IN",G989=4,I989=90),VLOOKUP(T989,'CAFCO 400 ENSAYO'!$B$7:$D$43,2,FALSE),0)+IF(AND(M989="Ensayo Idiem",L989="Cafco 400",C989="IN",G989=4,I989=120),VLOOKUP(T989,'CAFCO 400 ENSAYO'!$B$7:$D$43,3,FALSE),0)</f>
        <v>0</v>
      </c>
      <c r="O989" s="96">
        <f t="shared" si="102"/>
        <v>0</v>
      </c>
      <c r="P989" s="132" t="str">
        <f t="shared" si="97"/>
        <v>N/A</v>
      </c>
      <c r="Q989" s="132" t="str">
        <f t="shared" si="98"/>
        <v>N/A</v>
      </c>
      <c r="R989" s="132" t="str">
        <f t="shared" si="99"/>
        <v>NO CERT.</v>
      </c>
      <c r="S989" s="132" t="e">
        <f t="shared" si="100"/>
        <v>#N/A</v>
      </c>
      <c r="T989" s="133" t="e">
        <f>+IF(J989=LOOKUP(J989,'CAFCO 300 IDIEM TABLAS'!$J$4:$J$40),'CALCULO MORTERO'!J989,MROUND('CALCULO MORTERO'!J989,10))</f>
        <v>#N/A</v>
      </c>
      <c r="U989" s="134">
        <f t="shared" si="101"/>
        <v>0</v>
      </c>
    </row>
    <row r="990" spans="1:21" x14ac:dyDescent="0.25">
      <c r="A990" s="118">
        <f>+CUBICACION!D984</f>
        <v>0</v>
      </c>
      <c r="B990" s="819">
        <f>+CUBICACION!E984</f>
        <v>0</v>
      </c>
      <c r="C990" s="675">
        <f>+CUBICACION!F984</f>
        <v>0</v>
      </c>
      <c r="D990" s="118"/>
      <c r="E990" s="118"/>
      <c r="F990" s="820"/>
      <c r="G990" s="675">
        <f>+CUBICACION!J984</f>
        <v>0</v>
      </c>
      <c r="H990" s="118"/>
      <c r="I990" s="821">
        <f>+CUBICACION!L984</f>
        <v>0</v>
      </c>
      <c r="J990" s="64">
        <f>+CUBICACION!M984</f>
        <v>0</v>
      </c>
      <c r="K990" s="822" t="str">
        <f>+CUBICACION!N984</f>
        <v/>
      </c>
      <c r="L990" s="118">
        <f>+CUBICACION!O984</f>
        <v>0</v>
      </c>
      <c r="M990" s="823">
        <f>+CUBICACION!P984</f>
        <v>0</v>
      </c>
      <c r="N990" s="902">
        <f>ROUND(IF(AND(L990="Blaze Shield II",M990="Software Idiem",C990="IN",G990=4),((('BLAZE SHIELD II'!$D$4*('CALCULO MORTERO'!I990^2)+'BLAZE SHIELD II'!$D$5*'CALCULO MORTERO'!I990+'BLAZE SHIELD II'!$D$6)*LN(J990))+('BLAZE SHIELD II'!$D$7*('CALCULO MORTERO'!I990^2)+'BLAZE SHIELD II'!$D$8*'CALCULO MORTERO'!I990+'BLAZE SHIELD II'!$D$9)),0)+IF(AND(L990="Blaze Shield II",M990="Software Idiem",C990="Cj"),((('BLAZE SHIELD II'!$H$4*('CALCULO MORTERO'!I990^2)+'BLAZE SHIELD II'!$H$5*'CALCULO MORTERO'!I990+'BLAZE SHIELD II'!$H$6)*LN(J990))+('BLAZE SHIELD II'!$H$7*('CALCULO MORTERO'!I990^2)+'BLAZE SHIELD II'!$H$8*'CALCULO MORTERO'!I990+'BLAZE SHIELD II'!$H$9)),0)+IF(AND(L990="Blaze Shield II",M990="Software Idiem",C990="C"),((('BLAZE SHIELD II'!$L$4*('CALCULO MORTERO'!I990^2)+'BLAZE SHIELD II'!$L$5*'CALCULO MORTERO'!I990+'BLAZE SHIELD II'!$L$6)*LN(J990))+('BLAZE SHIELD II'!$L$7*('CALCULO MORTERO'!I990^2)+'BLAZE SHIELD II'!$L$8*'CALCULO MORTERO'!I990+'BLAZE SHIELD II'!$L$9)),0)+IF(AND(L990="Blaze Shield II",M990="Software Idiem",C990="L"),((('BLAZE SHIELD II'!$L$4*('CALCULO MORTERO'!I990^2)+'BLAZE SHIELD II'!$L$5*'CALCULO MORTERO'!I990+'BLAZE SHIELD II'!$L$6)*LN(J990))+('BLAZE SHIELD II'!$L$7*('CALCULO MORTERO'!I990^2)+'BLAZE SHIELD II'!$L$8*'CALCULO MORTERO'!I990+'BLAZE SHIELD II'!$L$9)),0)+IF(AND(L990="Blaze Shield II",M990="Software Idiem",C990="IN",G990=3),((('BLAZE SHIELD II'!$H$14*('CALCULO MORTERO'!I990^2)+'BLAZE SHIELD II'!$H$15*'CALCULO MORTERO'!I990+'BLAZE SHIELD II'!$H$16)*LN(J990))+('BLAZE SHIELD II'!$H$17*('CALCULO MORTERO'!I990^2)+'BLAZE SHIELD II'!$H$18*'CALCULO MORTERO'!I990+'BLAZE SHIELD II'!$H$19)),0),0)+ROUND(IF(AND(L990="Cafco 400",M990="Software Idiem",C990="IN",G990=4),((('CAFCO 400 '!$H$7*(J990^4)+'CAFCO 400 '!$H$8*(J990^3)+'CAFCO 400 '!$H$9*(J990^2)+'CAFCO 400 '!$H$10*J990+'CAFCO 400 '!$H$11)*U990^2)+(('CAFCO 400 '!$H$12*(J990^3)+'CAFCO 400 '!$H$13*(J990^2)+'CAFCO 400 '!$H$14*J990+'CAFCO 400 '!$H$15)*U990)+('CAFCO 400 '!$H$16*(J990^2)+'CAFCO 400 '!$H$17*J990+'CAFCO 400 '!$H$18)),0)+IF(AND(L990="Cafco 400",M990="Software Idiem",C990="Cj"),(((('CAFCO 400 '!$D$7*LN(J990)+'CAFCO 400 '!$D$8)*U990^2)+(('CAFCO 400 '!$D$9*LN(J990)+'CAFCO 400 '!$D$10)*U990)+('CAFCO 400 '!$D$11*LN(J990)+'CAFCO 400 '!$D$12))),0)+IF(AND(L990="Cafco 400",M990="Software Idiem",C990="C"),((('CAFCO 400 '!$L$7*(J990^3)+'CAFCO 400 '!$L$8*(J990^2)+'CAFCO 400 '!$L$9*J990+'CAFCO 400 '!$L$10)*U990^2)+(('CAFCO 400 '!$L$11*(J990^3)+'CAFCO 400 '!$L$12*(J990^2)+'CAFCO 400 '!$L$13*J990+'CAFCO 400 '!$L$14)*U990)+('CAFCO 400 '!$L$15*LN(J990)+'CAFCO 400 '!$L$16)),0)+IF(AND(L990="Cafco 400",M990="Software Idiem",C990="L"),((('CAFCO 400 '!$L$7*(J990^3)+'CAFCO 400 '!$L$8*(J990^2)+'CAFCO 400 '!$L$9*J990+'CAFCO 400 '!$L$10)*U990^2)+(('CAFCO 400 '!$L$11*(J990^3)+'CAFCO 400 '!$L$12*(J990^2)+'CAFCO 400 '!$L$13*J990+'CAFCO 400 '!$L$14)*U990)+('CAFCO 400 '!$L$15*LN(J990)+'CAFCO 400 '!$L$16)),0)+IF(AND(L990="Cafco 400",M990="Software Idiem",C990="IN",G990=3),((('CAFCO 400 '!$D$23*(J990^2)+'CAFCO 400 '!$D$24*(J990)+'CAFCO 400 '!$D$25)*U990^2)+(('CAFCO 400 '!$D$26*(J990^2)+'CAFCO 400 '!$D$27*J990+'CAFCO 400 '!$D$28)*U990)+('CAFCO 400 '!$D$29*(J990^2)+'CAFCO 400 '!$D$30*J990+'CAFCO 400 '!$D$31)),0),0)+IF(AND(L990="Cafco 300",J990&gt;=95,J990&lt;=240,C990="Cj",I990=90),VLOOKUP(T990,'CAFCO 300 IDIEM TABLAS'!$B$4:$D$23,2,FALSE),0)+IF(AND(L990="Cafco 300",J990&gt;=95,J990&lt;=240,C990="Cj",I990=120),VLOOKUP(T990,'CAFCO 300 IDIEM TABLAS'!$B$4:$D$23,3,FALSE),0)+IF(AND(L990="Cafco 300",J990&gt;=95,J990&lt;=400,G990=3,C990="IN",I990=90),VLOOKUP(T990,'CAFCO 300 IDIEM TABLAS'!$F$4:$H$35,2,FALSE),0)+IF(AND(L990="Cafco 300",J990&gt;=95,J990&lt;=400,G990=3,C990="IN",I990=120),VLOOKUP(T990,'CAFCO 300 IDIEM TABLAS'!$F$4:$H$35,3,FALSE),0)+IF(AND(L990="Cafco 300",J990&gt;=95,J990&lt;=450,G990=4,C990="IN",I990=90),VLOOKUP(T990,'CAFCO 300 IDIEM TABLAS'!$J$4:$L$40,2,FALSE),0)+IF(AND(L990="Cafco 300",J990&gt;=95,J990&lt;=450,G990=4,C990="IN",I990=120),VLOOKUP(T990,'CAFCO 300 IDIEM TABLAS'!$J$4:$L$40,3,FALSE),0)+IF(AND(M990="Ensayo Idiem",L990="Cafco 400",C990="IN",G990=4,I990=90),VLOOKUP(T990,'CAFCO 400 ENSAYO'!$B$7:$D$43,2,FALSE),0)+IF(AND(M990="Ensayo Idiem",L990="Cafco 400",C990="IN",G990=4,I990=120),VLOOKUP(T990,'CAFCO 400 ENSAYO'!$B$7:$D$43,3,FALSE),0)</f>
        <v>0</v>
      </c>
      <c r="O990" s="96">
        <f t="shared" si="102"/>
        <v>0</v>
      </c>
      <c r="P990" s="95" t="str">
        <f t="shared" si="97"/>
        <v>N/A</v>
      </c>
      <c r="Q990" s="95" t="str">
        <f t="shared" si="98"/>
        <v>N/A</v>
      </c>
      <c r="R990" s="95" t="str">
        <f t="shared" si="99"/>
        <v>NO CERT.</v>
      </c>
      <c r="S990" s="95" t="e">
        <f t="shared" si="100"/>
        <v>#N/A</v>
      </c>
      <c r="T990" s="119" t="e">
        <f>+IF(J990=LOOKUP(J990,'CAFCO 300 IDIEM TABLAS'!$J$4:$J$40),'CALCULO MORTERO'!J990,MROUND('CALCULO MORTERO'!J990,10))</f>
        <v>#N/A</v>
      </c>
      <c r="U990" s="118">
        <f t="shared" si="101"/>
        <v>0</v>
      </c>
    </row>
    <row r="991" spans="1:21" x14ac:dyDescent="0.25">
      <c r="A991" s="118">
        <f>+CUBICACION!D985</f>
        <v>0</v>
      </c>
      <c r="B991" s="819">
        <f>+CUBICACION!E985</f>
        <v>0</v>
      </c>
      <c r="C991" s="675">
        <f>+CUBICACION!F985</f>
        <v>0</v>
      </c>
      <c r="D991" s="118"/>
      <c r="E991" s="118"/>
      <c r="F991" s="820"/>
      <c r="G991" s="675">
        <f>+CUBICACION!J985</f>
        <v>0</v>
      </c>
      <c r="H991" s="118"/>
      <c r="I991" s="821">
        <f>+CUBICACION!L985</f>
        <v>0</v>
      </c>
      <c r="J991" s="64">
        <f>+CUBICACION!M985</f>
        <v>0</v>
      </c>
      <c r="K991" s="822" t="str">
        <f>+CUBICACION!N985</f>
        <v/>
      </c>
      <c r="L991" s="118">
        <f>+CUBICACION!O985</f>
        <v>0</v>
      </c>
      <c r="M991" s="823">
        <f>+CUBICACION!P985</f>
        <v>0</v>
      </c>
      <c r="N991" s="902">
        <f>ROUND(IF(AND(L991="Blaze Shield II",M991="Software Idiem",C991="IN",G991=4),((('BLAZE SHIELD II'!$D$4*('CALCULO MORTERO'!I991^2)+'BLAZE SHIELD II'!$D$5*'CALCULO MORTERO'!I991+'BLAZE SHIELD II'!$D$6)*LN(J991))+('BLAZE SHIELD II'!$D$7*('CALCULO MORTERO'!I991^2)+'BLAZE SHIELD II'!$D$8*'CALCULO MORTERO'!I991+'BLAZE SHIELD II'!$D$9)),0)+IF(AND(L991="Blaze Shield II",M991="Software Idiem",C991="Cj"),((('BLAZE SHIELD II'!$H$4*('CALCULO MORTERO'!I991^2)+'BLAZE SHIELD II'!$H$5*'CALCULO MORTERO'!I991+'BLAZE SHIELD II'!$H$6)*LN(J991))+('BLAZE SHIELD II'!$H$7*('CALCULO MORTERO'!I991^2)+'BLAZE SHIELD II'!$H$8*'CALCULO MORTERO'!I991+'BLAZE SHIELD II'!$H$9)),0)+IF(AND(L991="Blaze Shield II",M991="Software Idiem",C991="C"),((('BLAZE SHIELD II'!$L$4*('CALCULO MORTERO'!I991^2)+'BLAZE SHIELD II'!$L$5*'CALCULO MORTERO'!I991+'BLAZE SHIELD II'!$L$6)*LN(J991))+('BLAZE SHIELD II'!$L$7*('CALCULO MORTERO'!I991^2)+'BLAZE SHIELD II'!$L$8*'CALCULO MORTERO'!I991+'BLAZE SHIELD II'!$L$9)),0)+IF(AND(L991="Blaze Shield II",M991="Software Idiem",C991="L"),((('BLAZE SHIELD II'!$L$4*('CALCULO MORTERO'!I991^2)+'BLAZE SHIELD II'!$L$5*'CALCULO MORTERO'!I991+'BLAZE SHIELD II'!$L$6)*LN(J991))+('BLAZE SHIELD II'!$L$7*('CALCULO MORTERO'!I991^2)+'BLAZE SHIELD II'!$L$8*'CALCULO MORTERO'!I991+'BLAZE SHIELD II'!$L$9)),0)+IF(AND(L991="Blaze Shield II",M991="Software Idiem",C991="IN",G991=3),((('BLAZE SHIELD II'!$H$14*('CALCULO MORTERO'!I991^2)+'BLAZE SHIELD II'!$H$15*'CALCULO MORTERO'!I991+'BLAZE SHIELD II'!$H$16)*LN(J991))+('BLAZE SHIELD II'!$H$17*('CALCULO MORTERO'!I991^2)+'BLAZE SHIELD II'!$H$18*'CALCULO MORTERO'!I991+'BLAZE SHIELD II'!$H$19)),0),0)+ROUND(IF(AND(L991="Cafco 400",M991="Software Idiem",C991="IN",G991=4),((('CAFCO 400 '!$H$7*(J991^4)+'CAFCO 400 '!$H$8*(J991^3)+'CAFCO 400 '!$H$9*(J991^2)+'CAFCO 400 '!$H$10*J991+'CAFCO 400 '!$H$11)*U991^2)+(('CAFCO 400 '!$H$12*(J991^3)+'CAFCO 400 '!$H$13*(J991^2)+'CAFCO 400 '!$H$14*J991+'CAFCO 400 '!$H$15)*U991)+('CAFCO 400 '!$H$16*(J991^2)+'CAFCO 400 '!$H$17*J991+'CAFCO 400 '!$H$18)),0)+IF(AND(L991="Cafco 400",M991="Software Idiem",C991="Cj"),(((('CAFCO 400 '!$D$7*LN(J991)+'CAFCO 400 '!$D$8)*U991^2)+(('CAFCO 400 '!$D$9*LN(J991)+'CAFCO 400 '!$D$10)*U991)+('CAFCO 400 '!$D$11*LN(J991)+'CAFCO 400 '!$D$12))),0)+IF(AND(L991="Cafco 400",M991="Software Idiem",C991="C"),((('CAFCO 400 '!$L$7*(J991^3)+'CAFCO 400 '!$L$8*(J991^2)+'CAFCO 400 '!$L$9*J991+'CAFCO 400 '!$L$10)*U991^2)+(('CAFCO 400 '!$L$11*(J991^3)+'CAFCO 400 '!$L$12*(J991^2)+'CAFCO 400 '!$L$13*J991+'CAFCO 400 '!$L$14)*U991)+('CAFCO 400 '!$L$15*LN(J991)+'CAFCO 400 '!$L$16)),0)+IF(AND(L991="Cafco 400",M991="Software Idiem",C991="L"),((('CAFCO 400 '!$L$7*(J991^3)+'CAFCO 400 '!$L$8*(J991^2)+'CAFCO 400 '!$L$9*J991+'CAFCO 400 '!$L$10)*U991^2)+(('CAFCO 400 '!$L$11*(J991^3)+'CAFCO 400 '!$L$12*(J991^2)+'CAFCO 400 '!$L$13*J991+'CAFCO 400 '!$L$14)*U991)+('CAFCO 400 '!$L$15*LN(J991)+'CAFCO 400 '!$L$16)),0)+IF(AND(L991="Cafco 400",M991="Software Idiem",C991="IN",G991=3),((('CAFCO 400 '!$D$23*(J991^2)+'CAFCO 400 '!$D$24*(J991)+'CAFCO 400 '!$D$25)*U991^2)+(('CAFCO 400 '!$D$26*(J991^2)+'CAFCO 400 '!$D$27*J991+'CAFCO 400 '!$D$28)*U991)+('CAFCO 400 '!$D$29*(J991^2)+'CAFCO 400 '!$D$30*J991+'CAFCO 400 '!$D$31)),0),0)+IF(AND(L991="Cafco 300",J991&gt;=95,J991&lt;=240,C991="Cj",I991=90),VLOOKUP(T991,'CAFCO 300 IDIEM TABLAS'!$B$4:$D$23,2,FALSE),0)+IF(AND(L991="Cafco 300",J991&gt;=95,J991&lt;=240,C991="Cj",I991=120),VLOOKUP(T991,'CAFCO 300 IDIEM TABLAS'!$B$4:$D$23,3,FALSE),0)+IF(AND(L991="Cafco 300",J991&gt;=95,J991&lt;=400,G991=3,C991="IN",I991=90),VLOOKUP(T991,'CAFCO 300 IDIEM TABLAS'!$F$4:$H$35,2,FALSE),0)+IF(AND(L991="Cafco 300",J991&gt;=95,J991&lt;=400,G991=3,C991="IN",I991=120),VLOOKUP(T991,'CAFCO 300 IDIEM TABLAS'!$F$4:$H$35,3,FALSE),0)+IF(AND(L991="Cafco 300",J991&gt;=95,J991&lt;=450,G991=4,C991="IN",I991=90),VLOOKUP(T991,'CAFCO 300 IDIEM TABLAS'!$J$4:$L$40,2,FALSE),0)+IF(AND(L991="Cafco 300",J991&gt;=95,J991&lt;=450,G991=4,C991="IN",I991=120),VLOOKUP(T991,'CAFCO 300 IDIEM TABLAS'!$J$4:$L$40,3,FALSE),0)+IF(AND(M991="Ensayo Idiem",L991="Cafco 400",C991="IN",G991=4,I991=90),VLOOKUP(T991,'CAFCO 400 ENSAYO'!$B$7:$D$43,2,FALSE),0)+IF(AND(M991="Ensayo Idiem",L991="Cafco 400",C991="IN",G991=4,I991=120),VLOOKUP(T991,'CAFCO 400 ENSAYO'!$B$7:$D$43,3,FALSE),0)</f>
        <v>0</v>
      </c>
      <c r="O991" s="96">
        <f t="shared" si="102"/>
        <v>0</v>
      </c>
      <c r="P991" s="132" t="str">
        <f t="shared" si="97"/>
        <v>N/A</v>
      </c>
      <c r="Q991" s="132" t="str">
        <f t="shared" si="98"/>
        <v>N/A</v>
      </c>
      <c r="R991" s="132" t="str">
        <f t="shared" si="99"/>
        <v>NO CERT.</v>
      </c>
      <c r="S991" s="132" t="e">
        <f t="shared" si="100"/>
        <v>#N/A</v>
      </c>
      <c r="T991" s="133" t="e">
        <f>+IF(J991=LOOKUP(J991,'CAFCO 300 IDIEM TABLAS'!$J$4:$J$40),'CALCULO MORTERO'!J991,MROUND('CALCULO MORTERO'!J991,10))</f>
        <v>#N/A</v>
      </c>
      <c r="U991" s="134">
        <f t="shared" si="101"/>
        <v>0</v>
      </c>
    </row>
    <row r="992" spans="1:21" x14ac:dyDescent="0.25">
      <c r="A992" s="118">
        <f>+CUBICACION!D986</f>
        <v>0</v>
      </c>
      <c r="B992" s="819">
        <f>+CUBICACION!E986</f>
        <v>0</v>
      </c>
      <c r="C992" s="675">
        <f>+CUBICACION!F986</f>
        <v>0</v>
      </c>
      <c r="D992" s="118"/>
      <c r="E992" s="118"/>
      <c r="F992" s="820"/>
      <c r="G992" s="675">
        <f>+CUBICACION!J986</f>
        <v>0</v>
      </c>
      <c r="H992" s="118"/>
      <c r="I992" s="821">
        <f>+CUBICACION!L986</f>
        <v>0</v>
      </c>
      <c r="J992" s="64">
        <f>+CUBICACION!M986</f>
        <v>0</v>
      </c>
      <c r="K992" s="822" t="str">
        <f>+CUBICACION!N986</f>
        <v/>
      </c>
      <c r="L992" s="118">
        <f>+CUBICACION!O986</f>
        <v>0</v>
      </c>
      <c r="M992" s="823">
        <f>+CUBICACION!P986</f>
        <v>0</v>
      </c>
      <c r="N992" s="902">
        <f>ROUND(IF(AND(L992="Blaze Shield II",M992="Software Idiem",C992="IN",G992=4),((('BLAZE SHIELD II'!$D$4*('CALCULO MORTERO'!I992^2)+'BLAZE SHIELD II'!$D$5*'CALCULO MORTERO'!I992+'BLAZE SHIELD II'!$D$6)*LN(J992))+('BLAZE SHIELD II'!$D$7*('CALCULO MORTERO'!I992^2)+'BLAZE SHIELD II'!$D$8*'CALCULO MORTERO'!I992+'BLAZE SHIELD II'!$D$9)),0)+IF(AND(L992="Blaze Shield II",M992="Software Idiem",C992="Cj"),((('BLAZE SHIELD II'!$H$4*('CALCULO MORTERO'!I992^2)+'BLAZE SHIELD II'!$H$5*'CALCULO MORTERO'!I992+'BLAZE SHIELD II'!$H$6)*LN(J992))+('BLAZE SHIELD II'!$H$7*('CALCULO MORTERO'!I992^2)+'BLAZE SHIELD II'!$H$8*'CALCULO MORTERO'!I992+'BLAZE SHIELD II'!$H$9)),0)+IF(AND(L992="Blaze Shield II",M992="Software Idiem",C992="C"),((('BLAZE SHIELD II'!$L$4*('CALCULO MORTERO'!I992^2)+'BLAZE SHIELD II'!$L$5*'CALCULO MORTERO'!I992+'BLAZE SHIELD II'!$L$6)*LN(J992))+('BLAZE SHIELD II'!$L$7*('CALCULO MORTERO'!I992^2)+'BLAZE SHIELD II'!$L$8*'CALCULO MORTERO'!I992+'BLAZE SHIELD II'!$L$9)),0)+IF(AND(L992="Blaze Shield II",M992="Software Idiem",C992="L"),((('BLAZE SHIELD II'!$L$4*('CALCULO MORTERO'!I992^2)+'BLAZE SHIELD II'!$L$5*'CALCULO MORTERO'!I992+'BLAZE SHIELD II'!$L$6)*LN(J992))+('BLAZE SHIELD II'!$L$7*('CALCULO MORTERO'!I992^2)+'BLAZE SHIELD II'!$L$8*'CALCULO MORTERO'!I992+'BLAZE SHIELD II'!$L$9)),0)+IF(AND(L992="Blaze Shield II",M992="Software Idiem",C992="IN",G992=3),((('BLAZE SHIELD II'!$H$14*('CALCULO MORTERO'!I992^2)+'BLAZE SHIELD II'!$H$15*'CALCULO MORTERO'!I992+'BLAZE SHIELD II'!$H$16)*LN(J992))+('BLAZE SHIELD II'!$H$17*('CALCULO MORTERO'!I992^2)+'BLAZE SHIELD II'!$H$18*'CALCULO MORTERO'!I992+'BLAZE SHIELD II'!$H$19)),0),0)+ROUND(IF(AND(L992="Cafco 400",M992="Software Idiem",C992="IN",G992=4),((('CAFCO 400 '!$H$7*(J992^4)+'CAFCO 400 '!$H$8*(J992^3)+'CAFCO 400 '!$H$9*(J992^2)+'CAFCO 400 '!$H$10*J992+'CAFCO 400 '!$H$11)*U992^2)+(('CAFCO 400 '!$H$12*(J992^3)+'CAFCO 400 '!$H$13*(J992^2)+'CAFCO 400 '!$H$14*J992+'CAFCO 400 '!$H$15)*U992)+('CAFCO 400 '!$H$16*(J992^2)+'CAFCO 400 '!$H$17*J992+'CAFCO 400 '!$H$18)),0)+IF(AND(L992="Cafco 400",M992="Software Idiem",C992="Cj"),(((('CAFCO 400 '!$D$7*LN(J992)+'CAFCO 400 '!$D$8)*U992^2)+(('CAFCO 400 '!$D$9*LN(J992)+'CAFCO 400 '!$D$10)*U992)+('CAFCO 400 '!$D$11*LN(J992)+'CAFCO 400 '!$D$12))),0)+IF(AND(L992="Cafco 400",M992="Software Idiem",C992="C"),((('CAFCO 400 '!$L$7*(J992^3)+'CAFCO 400 '!$L$8*(J992^2)+'CAFCO 400 '!$L$9*J992+'CAFCO 400 '!$L$10)*U992^2)+(('CAFCO 400 '!$L$11*(J992^3)+'CAFCO 400 '!$L$12*(J992^2)+'CAFCO 400 '!$L$13*J992+'CAFCO 400 '!$L$14)*U992)+('CAFCO 400 '!$L$15*LN(J992)+'CAFCO 400 '!$L$16)),0)+IF(AND(L992="Cafco 400",M992="Software Idiem",C992="L"),((('CAFCO 400 '!$L$7*(J992^3)+'CAFCO 400 '!$L$8*(J992^2)+'CAFCO 400 '!$L$9*J992+'CAFCO 400 '!$L$10)*U992^2)+(('CAFCO 400 '!$L$11*(J992^3)+'CAFCO 400 '!$L$12*(J992^2)+'CAFCO 400 '!$L$13*J992+'CAFCO 400 '!$L$14)*U992)+('CAFCO 400 '!$L$15*LN(J992)+'CAFCO 400 '!$L$16)),0)+IF(AND(L992="Cafco 400",M992="Software Idiem",C992="IN",G992=3),((('CAFCO 400 '!$D$23*(J992^2)+'CAFCO 400 '!$D$24*(J992)+'CAFCO 400 '!$D$25)*U992^2)+(('CAFCO 400 '!$D$26*(J992^2)+'CAFCO 400 '!$D$27*J992+'CAFCO 400 '!$D$28)*U992)+('CAFCO 400 '!$D$29*(J992^2)+'CAFCO 400 '!$D$30*J992+'CAFCO 400 '!$D$31)),0),0)+IF(AND(L992="Cafco 300",J992&gt;=95,J992&lt;=240,C992="Cj",I992=90),VLOOKUP(T992,'CAFCO 300 IDIEM TABLAS'!$B$4:$D$23,2,FALSE),0)+IF(AND(L992="Cafco 300",J992&gt;=95,J992&lt;=240,C992="Cj",I992=120),VLOOKUP(T992,'CAFCO 300 IDIEM TABLAS'!$B$4:$D$23,3,FALSE),0)+IF(AND(L992="Cafco 300",J992&gt;=95,J992&lt;=400,G992=3,C992="IN",I992=90),VLOOKUP(T992,'CAFCO 300 IDIEM TABLAS'!$F$4:$H$35,2,FALSE),0)+IF(AND(L992="Cafco 300",J992&gt;=95,J992&lt;=400,G992=3,C992="IN",I992=120),VLOOKUP(T992,'CAFCO 300 IDIEM TABLAS'!$F$4:$H$35,3,FALSE),0)+IF(AND(L992="Cafco 300",J992&gt;=95,J992&lt;=450,G992=4,C992="IN",I992=90),VLOOKUP(T992,'CAFCO 300 IDIEM TABLAS'!$J$4:$L$40,2,FALSE),0)+IF(AND(L992="Cafco 300",J992&gt;=95,J992&lt;=450,G992=4,C992="IN",I992=120),VLOOKUP(T992,'CAFCO 300 IDIEM TABLAS'!$J$4:$L$40,3,FALSE),0)+IF(AND(M992="Ensayo Idiem",L992="Cafco 400",C992="IN",G992=4,I992=90),VLOOKUP(T992,'CAFCO 400 ENSAYO'!$B$7:$D$43,2,FALSE),0)+IF(AND(M992="Ensayo Idiem",L992="Cafco 400",C992="IN",G992=4,I992=120),VLOOKUP(T992,'CAFCO 400 ENSAYO'!$B$7:$D$43,3,FALSE),0)</f>
        <v>0</v>
      </c>
      <c r="O992" s="96">
        <f t="shared" si="102"/>
        <v>0</v>
      </c>
      <c r="P992" s="95" t="str">
        <f t="shared" si="97"/>
        <v>N/A</v>
      </c>
      <c r="Q992" s="95" t="str">
        <f t="shared" si="98"/>
        <v>N/A</v>
      </c>
      <c r="R992" s="95" t="str">
        <f t="shared" si="99"/>
        <v>NO CERT.</v>
      </c>
      <c r="S992" s="95" t="e">
        <f t="shared" si="100"/>
        <v>#N/A</v>
      </c>
      <c r="T992" s="119" t="e">
        <f>+IF(J992=LOOKUP(J992,'CAFCO 300 IDIEM TABLAS'!$J$4:$J$40),'CALCULO MORTERO'!J992,MROUND('CALCULO MORTERO'!J992,10))</f>
        <v>#N/A</v>
      </c>
      <c r="U992" s="118">
        <f t="shared" si="101"/>
        <v>0</v>
      </c>
    </row>
    <row r="993" spans="1:21" x14ac:dyDescent="0.25">
      <c r="A993" s="118">
        <f>+CUBICACION!D987</f>
        <v>0</v>
      </c>
      <c r="B993" s="819">
        <f>+CUBICACION!E987</f>
        <v>0</v>
      </c>
      <c r="C993" s="675">
        <f>+CUBICACION!F987</f>
        <v>0</v>
      </c>
      <c r="D993" s="118"/>
      <c r="E993" s="118"/>
      <c r="F993" s="820"/>
      <c r="G993" s="675">
        <f>+CUBICACION!J987</f>
        <v>0</v>
      </c>
      <c r="H993" s="118"/>
      <c r="I993" s="821">
        <f>+CUBICACION!L987</f>
        <v>0</v>
      </c>
      <c r="J993" s="64">
        <f>+CUBICACION!M987</f>
        <v>0</v>
      </c>
      <c r="K993" s="822" t="str">
        <f>+CUBICACION!N987</f>
        <v/>
      </c>
      <c r="L993" s="118">
        <f>+CUBICACION!O987</f>
        <v>0</v>
      </c>
      <c r="M993" s="823">
        <f>+CUBICACION!P987</f>
        <v>0</v>
      </c>
      <c r="N993" s="902">
        <f>ROUND(IF(AND(L993="Blaze Shield II",M993="Software Idiem",C993="IN",G993=4),((('BLAZE SHIELD II'!$D$4*('CALCULO MORTERO'!I993^2)+'BLAZE SHIELD II'!$D$5*'CALCULO MORTERO'!I993+'BLAZE SHIELD II'!$D$6)*LN(J993))+('BLAZE SHIELD II'!$D$7*('CALCULO MORTERO'!I993^2)+'BLAZE SHIELD II'!$D$8*'CALCULO MORTERO'!I993+'BLAZE SHIELD II'!$D$9)),0)+IF(AND(L993="Blaze Shield II",M993="Software Idiem",C993="Cj"),((('BLAZE SHIELD II'!$H$4*('CALCULO MORTERO'!I993^2)+'BLAZE SHIELD II'!$H$5*'CALCULO MORTERO'!I993+'BLAZE SHIELD II'!$H$6)*LN(J993))+('BLAZE SHIELD II'!$H$7*('CALCULO MORTERO'!I993^2)+'BLAZE SHIELD II'!$H$8*'CALCULO MORTERO'!I993+'BLAZE SHIELD II'!$H$9)),0)+IF(AND(L993="Blaze Shield II",M993="Software Idiem",C993="C"),((('BLAZE SHIELD II'!$L$4*('CALCULO MORTERO'!I993^2)+'BLAZE SHIELD II'!$L$5*'CALCULO MORTERO'!I993+'BLAZE SHIELD II'!$L$6)*LN(J993))+('BLAZE SHIELD II'!$L$7*('CALCULO MORTERO'!I993^2)+'BLAZE SHIELD II'!$L$8*'CALCULO MORTERO'!I993+'BLAZE SHIELD II'!$L$9)),0)+IF(AND(L993="Blaze Shield II",M993="Software Idiem",C993="L"),((('BLAZE SHIELD II'!$L$4*('CALCULO MORTERO'!I993^2)+'BLAZE SHIELD II'!$L$5*'CALCULO MORTERO'!I993+'BLAZE SHIELD II'!$L$6)*LN(J993))+('BLAZE SHIELD II'!$L$7*('CALCULO MORTERO'!I993^2)+'BLAZE SHIELD II'!$L$8*'CALCULO MORTERO'!I993+'BLAZE SHIELD II'!$L$9)),0)+IF(AND(L993="Blaze Shield II",M993="Software Idiem",C993="IN",G993=3),((('BLAZE SHIELD II'!$H$14*('CALCULO MORTERO'!I993^2)+'BLAZE SHIELD II'!$H$15*'CALCULO MORTERO'!I993+'BLAZE SHIELD II'!$H$16)*LN(J993))+('BLAZE SHIELD II'!$H$17*('CALCULO MORTERO'!I993^2)+'BLAZE SHIELD II'!$H$18*'CALCULO MORTERO'!I993+'BLAZE SHIELD II'!$H$19)),0),0)+ROUND(IF(AND(L993="Cafco 400",M993="Software Idiem",C993="IN",G993=4),((('CAFCO 400 '!$H$7*(J993^4)+'CAFCO 400 '!$H$8*(J993^3)+'CAFCO 400 '!$H$9*(J993^2)+'CAFCO 400 '!$H$10*J993+'CAFCO 400 '!$H$11)*U993^2)+(('CAFCO 400 '!$H$12*(J993^3)+'CAFCO 400 '!$H$13*(J993^2)+'CAFCO 400 '!$H$14*J993+'CAFCO 400 '!$H$15)*U993)+('CAFCO 400 '!$H$16*(J993^2)+'CAFCO 400 '!$H$17*J993+'CAFCO 400 '!$H$18)),0)+IF(AND(L993="Cafco 400",M993="Software Idiem",C993="Cj"),(((('CAFCO 400 '!$D$7*LN(J993)+'CAFCO 400 '!$D$8)*U993^2)+(('CAFCO 400 '!$D$9*LN(J993)+'CAFCO 400 '!$D$10)*U993)+('CAFCO 400 '!$D$11*LN(J993)+'CAFCO 400 '!$D$12))),0)+IF(AND(L993="Cafco 400",M993="Software Idiem",C993="C"),((('CAFCO 400 '!$L$7*(J993^3)+'CAFCO 400 '!$L$8*(J993^2)+'CAFCO 400 '!$L$9*J993+'CAFCO 400 '!$L$10)*U993^2)+(('CAFCO 400 '!$L$11*(J993^3)+'CAFCO 400 '!$L$12*(J993^2)+'CAFCO 400 '!$L$13*J993+'CAFCO 400 '!$L$14)*U993)+('CAFCO 400 '!$L$15*LN(J993)+'CAFCO 400 '!$L$16)),0)+IF(AND(L993="Cafco 400",M993="Software Idiem",C993="L"),((('CAFCO 400 '!$L$7*(J993^3)+'CAFCO 400 '!$L$8*(J993^2)+'CAFCO 400 '!$L$9*J993+'CAFCO 400 '!$L$10)*U993^2)+(('CAFCO 400 '!$L$11*(J993^3)+'CAFCO 400 '!$L$12*(J993^2)+'CAFCO 400 '!$L$13*J993+'CAFCO 400 '!$L$14)*U993)+('CAFCO 400 '!$L$15*LN(J993)+'CAFCO 400 '!$L$16)),0)+IF(AND(L993="Cafco 400",M993="Software Idiem",C993="IN",G993=3),((('CAFCO 400 '!$D$23*(J993^2)+'CAFCO 400 '!$D$24*(J993)+'CAFCO 400 '!$D$25)*U993^2)+(('CAFCO 400 '!$D$26*(J993^2)+'CAFCO 400 '!$D$27*J993+'CAFCO 400 '!$D$28)*U993)+('CAFCO 400 '!$D$29*(J993^2)+'CAFCO 400 '!$D$30*J993+'CAFCO 400 '!$D$31)),0),0)+IF(AND(L993="Cafco 300",J993&gt;=95,J993&lt;=240,C993="Cj",I993=90),VLOOKUP(T993,'CAFCO 300 IDIEM TABLAS'!$B$4:$D$23,2,FALSE),0)+IF(AND(L993="Cafco 300",J993&gt;=95,J993&lt;=240,C993="Cj",I993=120),VLOOKUP(T993,'CAFCO 300 IDIEM TABLAS'!$B$4:$D$23,3,FALSE),0)+IF(AND(L993="Cafco 300",J993&gt;=95,J993&lt;=400,G993=3,C993="IN",I993=90),VLOOKUP(T993,'CAFCO 300 IDIEM TABLAS'!$F$4:$H$35,2,FALSE),0)+IF(AND(L993="Cafco 300",J993&gt;=95,J993&lt;=400,G993=3,C993="IN",I993=120),VLOOKUP(T993,'CAFCO 300 IDIEM TABLAS'!$F$4:$H$35,3,FALSE),0)+IF(AND(L993="Cafco 300",J993&gt;=95,J993&lt;=450,G993=4,C993="IN",I993=90),VLOOKUP(T993,'CAFCO 300 IDIEM TABLAS'!$J$4:$L$40,2,FALSE),0)+IF(AND(L993="Cafco 300",J993&gt;=95,J993&lt;=450,G993=4,C993="IN",I993=120),VLOOKUP(T993,'CAFCO 300 IDIEM TABLAS'!$J$4:$L$40,3,FALSE),0)+IF(AND(M993="Ensayo Idiem",L993="Cafco 400",C993="IN",G993=4,I993=90),VLOOKUP(T993,'CAFCO 400 ENSAYO'!$B$7:$D$43,2,FALSE),0)+IF(AND(M993="Ensayo Idiem",L993="Cafco 400",C993="IN",G993=4,I993=120),VLOOKUP(T993,'CAFCO 400 ENSAYO'!$B$7:$D$43,3,FALSE),0)</f>
        <v>0</v>
      </c>
      <c r="O993" s="96">
        <f t="shared" si="102"/>
        <v>0</v>
      </c>
      <c r="P993" s="132" t="str">
        <f t="shared" si="97"/>
        <v>N/A</v>
      </c>
      <c r="Q993" s="132" t="str">
        <f t="shared" si="98"/>
        <v>N/A</v>
      </c>
      <c r="R993" s="132" t="str">
        <f t="shared" si="99"/>
        <v>NO CERT.</v>
      </c>
      <c r="S993" s="132" t="e">
        <f t="shared" si="100"/>
        <v>#N/A</v>
      </c>
      <c r="T993" s="133" t="e">
        <f>+IF(J993=LOOKUP(J993,'CAFCO 300 IDIEM TABLAS'!$J$4:$J$40),'CALCULO MORTERO'!J993,MROUND('CALCULO MORTERO'!J993,10))</f>
        <v>#N/A</v>
      </c>
      <c r="U993" s="134">
        <f t="shared" si="101"/>
        <v>0</v>
      </c>
    </row>
    <row r="994" spans="1:21" x14ac:dyDescent="0.25">
      <c r="A994" s="118">
        <f>+CUBICACION!D988</f>
        <v>0</v>
      </c>
      <c r="B994" s="819">
        <f>+CUBICACION!E988</f>
        <v>0</v>
      </c>
      <c r="C994" s="675">
        <f>+CUBICACION!F988</f>
        <v>0</v>
      </c>
      <c r="D994" s="118"/>
      <c r="E994" s="118"/>
      <c r="F994" s="820"/>
      <c r="G994" s="675">
        <f>+CUBICACION!J988</f>
        <v>0</v>
      </c>
      <c r="H994" s="118"/>
      <c r="I994" s="821">
        <f>+CUBICACION!L988</f>
        <v>0</v>
      </c>
      <c r="J994" s="64">
        <f>+CUBICACION!M988</f>
        <v>0</v>
      </c>
      <c r="K994" s="822" t="str">
        <f>+CUBICACION!N988</f>
        <v/>
      </c>
      <c r="L994" s="118">
        <f>+CUBICACION!O988</f>
        <v>0</v>
      </c>
      <c r="M994" s="823">
        <f>+CUBICACION!P988</f>
        <v>0</v>
      </c>
      <c r="N994" s="902">
        <f>ROUND(IF(AND(L994="Blaze Shield II",M994="Software Idiem",C994="IN",G994=4),((('BLAZE SHIELD II'!$D$4*('CALCULO MORTERO'!I994^2)+'BLAZE SHIELD II'!$D$5*'CALCULO MORTERO'!I994+'BLAZE SHIELD II'!$D$6)*LN(J994))+('BLAZE SHIELD II'!$D$7*('CALCULO MORTERO'!I994^2)+'BLAZE SHIELD II'!$D$8*'CALCULO MORTERO'!I994+'BLAZE SHIELD II'!$D$9)),0)+IF(AND(L994="Blaze Shield II",M994="Software Idiem",C994="Cj"),((('BLAZE SHIELD II'!$H$4*('CALCULO MORTERO'!I994^2)+'BLAZE SHIELD II'!$H$5*'CALCULO MORTERO'!I994+'BLAZE SHIELD II'!$H$6)*LN(J994))+('BLAZE SHIELD II'!$H$7*('CALCULO MORTERO'!I994^2)+'BLAZE SHIELD II'!$H$8*'CALCULO MORTERO'!I994+'BLAZE SHIELD II'!$H$9)),0)+IF(AND(L994="Blaze Shield II",M994="Software Idiem",C994="C"),((('BLAZE SHIELD II'!$L$4*('CALCULO MORTERO'!I994^2)+'BLAZE SHIELD II'!$L$5*'CALCULO MORTERO'!I994+'BLAZE SHIELD II'!$L$6)*LN(J994))+('BLAZE SHIELD II'!$L$7*('CALCULO MORTERO'!I994^2)+'BLAZE SHIELD II'!$L$8*'CALCULO MORTERO'!I994+'BLAZE SHIELD II'!$L$9)),0)+IF(AND(L994="Blaze Shield II",M994="Software Idiem",C994="L"),((('BLAZE SHIELD II'!$L$4*('CALCULO MORTERO'!I994^2)+'BLAZE SHIELD II'!$L$5*'CALCULO MORTERO'!I994+'BLAZE SHIELD II'!$L$6)*LN(J994))+('BLAZE SHIELD II'!$L$7*('CALCULO MORTERO'!I994^2)+'BLAZE SHIELD II'!$L$8*'CALCULO MORTERO'!I994+'BLAZE SHIELD II'!$L$9)),0)+IF(AND(L994="Blaze Shield II",M994="Software Idiem",C994="IN",G994=3),((('BLAZE SHIELD II'!$H$14*('CALCULO MORTERO'!I994^2)+'BLAZE SHIELD II'!$H$15*'CALCULO MORTERO'!I994+'BLAZE SHIELD II'!$H$16)*LN(J994))+('BLAZE SHIELD II'!$H$17*('CALCULO MORTERO'!I994^2)+'BLAZE SHIELD II'!$H$18*'CALCULO MORTERO'!I994+'BLAZE SHIELD II'!$H$19)),0),0)+ROUND(IF(AND(L994="Cafco 400",M994="Software Idiem",C994="IN",G994=4),((('CAFCO 400 '!$H$7*(J994^4)+'CAFCO 400 '!$H$8*(J994^3)+'CAFCO 400 '!$H$9*(J994^2)+'CAFCO 400 '!$H$10*J994+'CAFCO 400 '!$H$11)*U994^2)+(('CAFCO 400 '!$H$12*(J994^3)+'CAFCO 400 '!$H$13*(J994^2)+'CAFCO 400 '!$H$14*J994+'CAFCO 400 '!$H$15)*U994)+('CAFCO 400 '!$H$16*(J994^2)+'CAFCO 400 '!$H$17*J994+'CAFCO 400 '!$H$18)),0)+IF(AND(L994="Cafco 400",M994="Software Idiem",C994="Cj"),(((('CAFCO 400 '!$D$7*LN(J994)+'CAFCO 400 '!$D$8)*U994^2)+(('CAFCO 400 '!$D$9*LN(J994)+'CAFCO 400 '!$D$10)*U994)+('CAFCO 400 '!$D$11*LN(J994)+'CAFCO 400 '!$D$12))),0)+IF(AND(L994="Cafco 400",M994="Software Idiem",C994="C"),((('CAFCO 400 '!$L$7*(J994^3)+'CAFCO 400 '!$L$8*(J994^2)+'CAFCO 400 '!$L$9*J994+'CAFCO 400 '!$L$10)*U994^2)+(('CAFCO 400 '!$L$11*(J994^3)+'CAFCO 400 '!$L$12*(J994^2)+'CAFCO 400 '!$L$13*J994+'CAFCO 400 '!$L$14)*U994)+('CAFCO 400 '!$L$15*LN(J994)+'CAFCO 400 '!$L$16)),0)+IF(AND(L994="Cafco 400",M994="Software Idiem",C994="L"),((('CAFCO 400 '!$L$7*(J994^3)+'CAFCO 400 '!$L$8*(J994^2)+'CAFCO 400 '!$L$9*J994+'CAFCO 400 '!$L$10)*U994^2)+(('CAFCO 400 '!$L$11*(J994^3)+'CAFCO 400 '!$L$12*(J994^2)+'CAFCO 400 '!$L$13*J994+'CAFCO 400 '!$L$14)*U994)+('CAFCO 400 '!$L$15*LN(J994)+'CAFCO 400 '!$L$16)),0)+IF(AND(L994="Cafco 400",M994="Software Idiem",C994="IN",G994=3),((('CAFCO 400 '!$D$23*(J994^2)+'CAFCO 400 '!$D$24*(J994)+'CAFCO 400 '!$D$25)*U994^2)+(('CAFCO 400 '!$D$26*(J994^2)+'CAFCO 400 '!$D$27*J994+'CAFCO 400 '!$D$28)*U994)+('CAFCO 400 '!$D$29*(J994^2)+'CAFCO 400 '!$D$30*J994+'CAFCO 400 '!$D$31)),0),0)+IF(AND(L994="Cafco 300",J994&gt;=95,J994&lt;=240,C994="Cj",I994=90),VLOOKUP(T994,'CAFCO 300 IDIEM TABLAS'!$B$4:$D$23,2,FALSE),0)+IF(AND(L994="Cafco 300",J994&gt;=95,J994&lt;=240,C994="Cj",I994=120),VLOOKUP(T994,'CAFCO 300 IDIEM TABLAS'!$B$4:$D$23,3,FALSE),0)+IF(AND(L994="Cafco 300",J994&gt;=95,J994&lt;=400,G994=3,C994="IN",I994=90),VLOOKUP(T994,'CAFCO 300 IDIEM TABLAS'!$F$4:$H$35,2,FALSE),0)+IF(AND(L994="Cafco 300",J994&gt;=95,J994&lt;=400,G994=3,C994="IN",I994=120),VLOOKUP(T994,'CAFCO 300 IDIEM TABLAS'!$F$4:$H$35,3,FALSE),0)+IF(AND(L994="Cafco 300",J994&gt;=95,J994&lt;=450,G994=4,C994="IN",I994=90),VLOOKUP(T994,'CAFCO 300 IDIEM TABLAS'!$J$4:$L$40,2,FALSE),0)+IF(AND(L994="Cafco 300",J994&gt;=95,J994&lt;=450,G994=4,C994="IN",I994=120),VLOOKUP(T994,'CAFCO 300 IDIEM TABLAS'!$J$4:$L$40,3,FALSE),0)+IF(AND(M994="Ensayo Idiem",L994="Cafco 400",C994="IN",G994=4,I994=90),VLOOKUP(T994,'CAFCO 400 ENSAYO'!$B$7:$D$43,2,FALSE),0)+IF(AND(M994="Ensayo Idiem",L994="Cafco 400",C994="IN",G994=4,I994=120),VLOOKUP(T994,'CAFCO 400 ENSAYO'!$B$7:$D$43,3,FALSE),0)</f>
        <v>0</v>
      </c>
      <c r="O994" s="96">
        <f t="shared" si="102"/>
        <v>0</v>
      </c>
      <c r="P994" s="95" t="str">
        <f t="shared" si="97"/>
        <v>N/A</v>
      </c>
      <c r="Q994" s="95" t="str">
        <f t="shared" si="98"/>
        <v>N/A</v>
      </c>
      <c r="R994" s="95" t="str">
        <f t="shared" si="99"/>
        <v>NO CERT.</v>
      </c>
      <c r="S994" s="95" t="e">
        <f t="shared" si="100"/>
        <v>#N/A</v>
      </c>
      <c r="T994" s="119" t="e">
        <f>+IF(J994=LOOKUP(J994,'CAFCO 300 IDIEM TABLAS'!$J$4:$J$40),'CALCULO MORTERO'!J994,MROUND('CALCULO MORTERO'!J994,10))</f>
        <v>#N/A</v>
      </c>
      <c r="U994" s="118">
        <f t="shared" si="101"/>
        <v>0</v>
      </c>
    </row>
    <row r="995" spans="1:21" x14ac:dyDescent="0.25">
      <c r="A995" s="118">
        <f>+CUBICACION!D989</f>
        <v>0</v>
      </c>
      <c r="B995" s="819">
        <f>+CUBICACION!E989</f>
        <v>0</v>
      </c>
      <c r="C995" s="675">
        <f>+CUBICACION!F989</f>
        <v>0</v>
      </c>
      <c r="D995" s="118"/>
      <c r="E995" s="118"/>
      <c r="F995" s="820"/>
      <c r="G995" s="675">
        <f>+CUBICACION!J989</f>
        <v>0</v>
      </c>
      <c r="H995" s="118"/>
      <c r="I995" s="821">
        <f>+CUBICACION!L989</f>
        <v>0</v>
      </c>
      <c r="J995" s="64">
        <f>+CUBICACION!M989</f>
        <v>0</v>
      </c>
      <c r="K995" s="822" t="str">
        <f>+CUBICACION!N989</f>
        <v/>
      </c>
      <c r="L995" s="118">
        <f>+CUBICACION!O989</f>
        <v>0</v>
      </c>
      <c r="M995" s="823">
        <f>+CUBICACION!P989</f>
        <v>0</v>
      </c>
      <c r="N995" s="902">
        <f>ROUND(IF(AND(L995="Blaze Shield II",M995="Software Idiem",C995="IN",G995=4),((('BLAZE SHIELD II'!$D$4*('CALCULO MORTERO'!I995^2)+'BLAZE SHIELD II'!$D$5*'CALCULO MORTERO'!I995+'BLAZE SHIELD II'!$D$6)*LN(J995))+('BLAZE SHIELD II'!$D$7*('CALCULO MORTERO'!I995^2)+'BLAZE SHIELD II'!$D$8*'CALCULO MORTERO'!I995+'BLAZE SHIELD II'!$D$9)),0)+IF(AND(L995="Blaze Shield II",M995="Software Idiem",C995="Cj"),((('BLAZE SHIELD II'!$H$4*('CALCULO MORTERO'!I995^2)+'BLAZE SHIELD II'!$H$5*'CALCULO MORTERO'!I995+'BLAZE SHIELD II'!$H$6)*LN(J995))+('BLAZE SHIELD II'!$H$7*('CALCULO MORTERO'!I995^2)+'BLAZE SHIELD II'!$H$8*'CALCULO MORTERO'!I995+'BLAZE SHIELD II'!$H$9)),0)+IF(AND(L995="Blaze Shield II",M995="Software Idiem",C995="C"),((('BLAZE SHIELD II'!$L$4*('CALCULO MORTERO'!I995^2)+'BLAZE SHIELD II'!$L$5*'CALCULO MORTERO'!I995+'BLAZE SHIELD II'!$L$6)*LN(J995))+('BLAZE SHIELD II'!$L$7*('CALCULO MORTERO'!I995^2)+'BLAZE SHIELD II'!$L$8*'CALCULO MORTERO'!I995+'BLAZE SHIELD II'!$L$9)),0)+IF(AND(L995="Blaze Shield II",M995="Software Idiem",C995="L"),((('BLAZE SHIELD II'!$L$4*('CALCULO MORTERO'!I995^2)+'BLAZE SHIELD II'!$L$5*'CALCULO MORTERO'!I995+'BLAZE SHIELD II'!$L$6)*LN(J995))+('BLAZE SHIELD II'!$L$7*('CALCULO MORTERO'!I995^2)+'BLAZE SHIELD II'!$L$8*'CALCULO MORTERO'!I995+'BLAZE SHIELD II'!$L$9)),0)+IF(AND(L995="Blaze Shield II",M995="Software Idiem",C995="IN",G995=3),((('BLAZE SHIELD II'!$H$14*('CALCULO MORTERO'!I995^2)+'BLAZE SHIELD II'!$H$15*'CALCULO MORTERO'!I995+'BLAZE SHIELD II'!$H$16)*LN(J995))+('BLAZE SHIELD II'!$H$17*('CALCULO MORTERO'!I995^2)+'BLAZE SHIELD II'!$H$18*'CALCULO MORTERO'!I995+'BLAZE SHIELD II'!$H$19)),0),0)+ROUND(IF(AND(L995="Cafco 400",M995="Software Idiem",C995="IN",G995=4),((('CAFCO 400 '!$H$7*(J995^4)+'CAFCO 400 '!$H$8*(J995^3)+'CAFCO 400 '!$H$9*(J995^2)+'CAFCO 400 '!$H$10*J995+'CAFCO 400 '!$H$11)*U995^2)+(('CAFCO 400 '!$H$12*(J995^3)+'CAFCO 400 '!$H$13*(J995^2)+'CAFCO 400 '!$H$14*J995+'CAFCO 400 '!$H$15)*U995)+('CAFCO 400 '!$H$16*(J995^2)+'CAFCO 400 '!$H$17*J995+'CAFCO 400 '!$H$18)),0)+IF(AND(L995="Cafco 400",M995="Software Idiem",C995="Cj"),(((('CAFCO 400 '!$D$7*LN(J995)+'CAFCO 400 '!$D$8)*U995^2)+(('CAFCO 400 '!$D$9*LN(J995)+'CAFCO 400 '!$D$10)*U995)+('CAFCO 400 '!$D$11*LN(J995)+'CAFCO 400 '!$D$12))),0)+IF(AND(L995="Cafco 400",M995="Software Idiem",C995="C"),((('CAFCO 400 '!$L$7*(J995^3)+'CAFCO 400 '!$L$8*(J995^2)+'CAFCO 400 '!$L$9*J995+'CAFCO 400 '!$L$10)*U995^2)+(('CAFCO 400 '!$L$11*(J995^3)+'CAFCO 400 '!$L$12*(J995^2)+'CAFCO 400 '!$L$13*J995+'CAFCO 400 '!$L$14)*U995)+('CAFCO 400 '!$L$15*LN(J995)+'CAFCO 400 '!$L$16)),0)+IF(AND(L995="Cafco 400",M995="Software Idiem",C995="L"),((('CAFCO 400 '!$L$7*(J995^3)+'CAFCO 400 '!$L$8*(J995^2)+'CAFCO 400 '!$L$9*J995+'CAFCO 400 '!$L$10)*U995^2)+(('CAFCO 400 '!$L$11*(J995^3)+'CAFCO 400 '!$L$12*(J995^2)+'CAFCO 400 '!$L$13*J995+'CAFCO 400 '!$L$14)*U995)+('CAFCO 400 '!$L$15*LN(J995)+'CAFCO 400 '!$L$16)),0)+IF(AND(L995="Cafco 400",M995="Software Idiem",C995="IN",G995=3),((('CAFCO 400 '!$D$23*(J995^2)+'CAFCO 400 '!$D$24*(J995)+'CAFCO 400 '!$D$25)*U995^2)+(('CAFCO 400 '!$D$26*(J995^2)+'CAFCO 400 '!$D$27*J995+'CAFCO 400 '!$D$28)*U995)+('CAFCO 400 '!$D$29*(J995^2)+'CAFCO 400 '!$D$30*J995+'CAFCO 400 '!$D$31)),0),0)+IF(AND(L995="Cafco 300",J995&gt;=95,J995&lt;=240,C995="Cj",I995=90),VLOOKUP(T995,'CAFCO 300 IDIEM TABLAS'!$B$4:$D$23,2,FALSE),0)+IF(AND(L995="Cafco 300",J995&gt;=95,J995&lt;=240,C995="Cj",I995=120),VLOOKUP(T995,'CAFCO 300 IDIEM TABLAS'!$B$4:$D$23,3,FALSE),0)+IF(AND(L995="Cafco 300",J995&gt;=95,J995&lt;=400,G995=3,C995="IN",I995=90),VLOOKUP(T995,'CAFCO 300 IDIEM TABLAS'!$F$4:$H$35,2,FALSE),0)+IF(AND(L995="Cafco 300",J995&gt;=95,J995&lt;=400,G995=3,C995="IN",I995=120),VLOOKUP(T995,'CAFCO 300 IDIEM TABLAS'!$F$4:$H$35,3,FALSE),0)+IF(AND(L995="Cafco 300",J995&gt;=95,J995&lt;=450,G995=4,C995="IN",I995=90),VLOOKUP(T995,'CAFCO 300 IDIEM TABLAS'!$J$4:$L$40,2,FALSE),0)+IF(AND(L995="Cafco 300",J995&gt;=95,J995&lt;=450,G995=4,C995="IN",I995=120),VLOOKUP(T995,'CAFCO 300 IDIEM TABLAS'!$J$4:$L$40,3,FALSE),0)+IF(AND(M995="Ensayo Idiem",L995="Cafco 400",C995="IN",G995=4,I995=90),VLOOKUP(T995,'CAFCO 400 ENSAYO'!$B$7:$D$43,2,FALSE),0)+IF(AND(M995="Ensayo Idiem",L995="Cafco 400",C995="IN",G995=4,I995=120),VLOOKUP(T995,'CAFCO 400 ENSAYO'!$B$7:$D$43,3,FALSE),0)</f>
        <v>0</v>
      </c>
      <c r="O995" s="96">
        <f t="shared" si="102"/>
        <v>0</v>
      </c>
      <c r="P995" s="132" t="str">
        <f t="shared" si="97"/>
        <v>N/A</v>
      </c>
      <c r="Q995" s="132" t="str">
        <f t="shared" si="98"/>
        <v>N/A</v>
      </c>
      <c r="R995" s="132" t="str">
        <f t="shared" si="99"/>
        <v>NO CERT.</v>
      </c>
      <c r="S995" s="132" t="e">
        <f t="shared" si="100"/>
        <v>#N/A</v>
      </c>
      <c r="T995" s="133" t="e">
        <f>+IF(J995=LOOKUP(J995,'CAFCO 300 IDIEM TABLAS'!$J$4:$J$40),'CALCULO MORTERO'!J995,MROUND('CALCULO MORTERO'!J995,10))</f>
        <v>#N/A</v>
      </c>
      <c r="U995" s="134">
        <f t="shared" si="101"/>
        <v>0</v>
      </c>
    </row>
    <row r="996" spans="1:21" x14ac:dyDescent="0.25">
      <c r="A996" s="118">
        <f>+CUBICACION!D990</f>
        <v>0</v>
      </c>
      <c r="B996" s="819">
        <f>+CUBICACION!E990</f>
        <v>0</v>
      </c>
      <c r="C996" s="675">
        <f>+CUBICACION!F990</f>
        <v>0</v>
      </c>
      <c r="D996" s="118"/>
      <c r="E996" s="118"/>
      <c r="F996" s="820"/>
      <c r="G996" s="675">
        <f>+CUBICACION!J990</f>
        <v>0</v>
      </c>
      <c r="H996" s="118"/>
      <c r="I996" s="821">
        <f>+CUBICACION!L990</f>
        <v>0</v>
      </c>
      <c r="J996" s="64">
        <f>+CUBICACION!M990</f>
        <v>0</v>
      </c>
      <c r="K996" s="822" t="str">
        <f>+CUBICACION!N990</f>
        <v/>
      </c>
      <c r="L996" s="118">
        <f>+CUBICACION!O990</f>
        <v>0</v>
      </c>
      <c r="M996" s="823">
        <f>+CUBICACION!P990</f>
        <v>0</v>
      </c>
      <c r="N996" s="902">
        <f>ROUND(IF(AND(L996="Blaze Shield II",M996="Software Idiem",C996="IN",G996=4),((('BLAZE SHIELD II'!$D$4*('CALCULO MORTERO'!I996^2)+'BLAZE SHIELD II'!$D$5*'CALCULO MORTERO'!I996+'BLAZE SHIELD II'!$D$6)*LN(J996))+('BLAZE SHIELD II'!$D$7*('CALCULO MORTERO'!I996^2)+'BLAZE SHIELD II'!$D$8*'CALCULO MORTERO'!I996+'BLAZE SHIELD II'!$D$9)),0)+IF(AND(L996="Blaze Shield II",M996="Software Idiem",C996="Cj"),((('BLAZE SHIELD II'!$H$4*('CALCULO MORTERO'!I996^2)+'BLAZE SHIELD II'!$H$5*'CALCULO MORTERO'!I996+'BLAZE SHIELD II'!$H$6)*LN(J996))+('BLAZE SHIELD II'!$H$7*('CALCULO MORTERO'!I996^2)+'BLAZE SHIELD II'!$H$8*'CALCULO MORTERO'!I996+'BLAZE SHIELD II'!$H$9)),0)+IF(AND(L996="Blaze Shield II",M996="Software Idiem",C996="C"),((('BLAZE SHIELD II'!$L$4*('CALCULO MORTERO'!I996^2)+'BLAZE SHIELD II'!$L$5*'CALCULO MORTERO'!I996+'BLAZE SHIELD II'!$L$6)*LN(J996))+('BLAZE SHIELD II'!$L$7*('CALCULO MORTERO'!I996^2)+'BLAZE SHIELD II'!$L$8*'CALCULO MORTERO'!I996+'BLAZE SHIELD II'!$L$9)),0)+IF(AND(L996="Blaze Shield II",M996="Software Idiem",C996="L"),((('BLAZE SHIELD II'!$L$4*('CALCULO MORTERO'!I996^2)+'BLAZE SHIELD II'!$L$5*'CALCULO MORTERO'!I996+'BLAZE SHIELD II'!$L$6)*LN(J996))+('BLAZE SHIELD II'!$L$7*('CALCULO MORTERO'!I996^2)+'BLAZE SHIELD II'!$L$8*'CALCULO MORTERO'!I996+'BLAZE SHIELD II'!$L$9)),0)+IF(AND(L996="Blaze Shield II",M996="Software Idiem",C996="IN",G996=3),((('BLAZE SHIELD II'!$H$14*('CALCULO MORTERO'!I996^2)+'BLAZE SHIELD II'!$H$15*'CALCULO MORTERO'!I996+'BLAZE SHIELD II'!$H$16)*LN(J996))+('BLAZE SHIELD II'!$H$17*('CALCULO MORTERO'!I996^2)+'BLAZE SHIELD II'!$H$18*'CALCULO MORTERO'!I996+'BLAZE SHIELD II'!$H$19)),0),0)+ROUND(IF(AND(L996="Cafco 400",M996="Software Idiem",C996="IN",G996=4),((('CAFCO 400 '!$H$7*(J996^4)+'CAFCO 400 '!$H$8*(J996^3)+'CAFCO 400 '!$H$9*(J996^2)+'CAFCO 400 '!$H$10*J996+'CAFCO 400 '!$H$11)*U996^2)+(('CAFCO 400 '!$H$12*(J996^3)+'CAFCO 400 '!$H$13*(J996^2)+'CAFCO 400 '!$H$14*J996+'CAFCO 400 '!$H$15)*U996)+('CAFCO 400 '!$H$16*(J996^2)+'CAFCO 400 '!$H$17*J996+'CAFCO 400 '!$H$18)),0)+IF(AND(L996="Cafco 400",M996="Software Idiem",C996="Cj"),(((('CAFCO 400 '!$D$7*LN(J996)+'CAFCO 400 '!$D$8)*U996^2)+(('CAFCO 400 '!$D$9*LN(J996)+'CAFCO 400 '!$D$10)*U996)+('CAFCO 400 '!$D$11*LN(J996)+'CAFCO 400 '!$D$12))),0)+IF(AND(L996="Cafco 400",M996="Software Idiem",C996="C"),((('CAFCO 400 '!$L$7*(J996^3)+'CAFCO 400 '!$L$8*(J996^2)+'CAFCO 400 '!$L$9*J996+'CAFCO 400 '!$L$10)*U996^2)+(('CAFCO 400 '!$L$11*(J996^3)+'CAFCO 400 '!$L$12*(J996^2)+'CAFCO 400 '!$L$13*J996+'CAFCO 400 '!$L$14)*U996)+('CAFCO 400 '!$L$15*LN(J996)+'CAFCO 400 '!$L$16)),0)+IF(AND(L996="Cafco 400",M996="Software Idiem",C996="L"),((('CAFCO 400 '!$L$7*(J996^3)+'CAFCO 400 '!$L$8*(J996^2)+'CAFCO 400 '!$L$9*J996+'CAFCO 400 '!$L$10)*U996^2)+(('CAFCO 400 '!$L$11*(J996^3)+'CAFCO 400 '!$L$12*(J996^2)+'CAFCO 400 '!$L$13*J996+'CAFCO 400 '!$L$14)*U996)+('CAFCO 400 '!$L$15*LN(J996)+'CAFCO 400 '!$L$16)),0)+IF(AND(L996="Cafco 400",M996="Software Idiem",C996="IN",G996=3),((('CAFCO 400 '!$D$23*(J996^2)+'CAFCO 400 '!$D$24*(J996)+'CAFCO 400 '!$D$25)*U996^2)+(('CAFCO 400 '!$D$26*(J996^2)+'CAFCO 400 '!$D$27*J996+'CAFCO 400 '!$D$28)*U996)+('CAFCO 400 '!$D$29*(J996^2)+'CAFCO 400 '!$D$30*J996+'CAFCO 400 '!$D$31)),0),0)+IF(AND(L996="Cafco 300",J996&gt;=95,J996&lt;=240,C996="Cj",I996=90),VLOOKUP(T996,'CAFCO 300 IDIEM TABLAS'!$B$4:$D$23,2,FALSE),0)+IF(AND(L996="Cafco 300",J996&gt;=95,J996&lt;=240,C996="Cj",I996=120),VLOOKUP(T996,'CAFCO 300 IDIEM TABLAS'!$B$4:$D$23,3,FALSE),0)+IF(AND(L996="Cafco 300",J996&gt;=95,J996&lt;=400,G996=3,C996="IN",I996=90),VLOOKUP(T996,'CAFCO 300 IDIEM TABLAS'!$F$4:$H$35,2,FALSE),0)+IF(AND(L996="Cafco 300",J996&gt;=95,J996&lt;=400,G996=3,C996="IN",I996=120),VLOOKUP(T996,'CAFCO 300 IDIEM TABLAS'!$F$4:$H$35,3,FALSE),0)+IF(AND(L996="Cafco 300",J996&gt;=95,J996&lt;=450,G996=4,C996="IN",I996=90),VLOOKUP(T996,'CAFCO 300 IDIEM TABLAS'!$J$4:$L$40,2,FALSE),0)+IF(AND(L996="Cafco 300",J996&gt;=95,J996&lt;=450,G996=4,C996="IN",I996=120),VLOOKUP(T996,'CAFCO 300 IDIEM TABLAS'!$J$4:$L$40,3,FALSE),0)+IF(AND(M996="Ensayo Idiem",L996="Cafco 400",C996="IN",G996=4,I996=90),VLOOKUP(T996,'CAFCO 400 ENSAYO'!$B$7:$D$43,2,FALSE),0)+IF(AND(M996="Ensayo Idiem",L996="Cafco 400",C996="IN",G996=4,I996=120),VLOOKUP(T996,'CAFCO 400 ENSAYO'!$B$7:$D$43,3,FALSE),0)</f>
        <v>0</v>
      </c>
      <c r="O996" s="96">
        <f t="shared" si="102"/>
        <v>0</v>
      </c>
      <c r="P996" s="95" t="str">
        <f t="shared" si="97"/>
        <v>N/A</v>
      </c>
      <c r="Q996" s="95" t="str">
        <f t="shared" si="98"/>
        <v>N/A</v>
      </c>
      <c r="R996" s="95" t="str">
        <f t="shared" si="99"/>
        <v>NO CERT.</v>
      </c>
      <c r="S996" s="95" t="e">
        <f t="shared" si="100"/>
        <v>#N/A</v>
      </c>
      <c r="T996" s="119" t="e">
        <f>+IF(J996=LOOKUP(J996,'CAFCO 300 IDIEM TABLAS'!$J$4:$J$40),'CALCULO MORTERO'!J996,MROUND('CALCULO MORTERO'!J996,10))</f>
        <v>#N/A</v>
      </c>
      <c r="U996" s="118">
        <f t="shared" si="101"/>
        <v>0</v>
      </c>
    </row>
    <row r="997" spans="1:21" x14ac:dyDescent="0.25">
      <c r="A997" s="118">
        <f>+CUBICACION!D991</f>
        <v>0</v>
      </c>
      <c r="B997" s="819">
        <f>+CUBICACION!E991</f>
        <v>0</v>
      </c>
      <c r="C997" s="675">
        <f>+CUBICACION!F991</f>
        <v>0</v>
      </c>
      <c r="D997" s="118"/>
      <c r="E997" s="118"/>
      <c r="F997" s="820"/>
      <c r="G997" s="675">
        <f>+CUBICACION!J991</f>
        <v>0</v>
      </c>
      <c r="H997" s="118"/>
      <c r="I997" s="821">
        <f>+CUBICACION!L991</f>
        <v>0</v>
      </c>
      <c r="J997" s="64">
        <f>+CUBICACION!M991</f>
        <v>0</v>
      </c>
      <c r="K997" s="822" t="str">
        <f>+CUBICACION!N991</f>
        <v/>
      </c>
      <c r="L997" s="118">
        <f>+CUBICACION!O991</f>
        <v>0</v>
      </c>
      <c r="M997" s="823">
        <f>+CUBICACION!P991</f>
        <v>0</v>
      </c>
      <c r="N997" s="902">
        <f>ROUND(IF(AND(L997="Blaze Shield II",M997="Software Idiem",C997="IN",G997=4),((('BLAZE SHIELD II'!$D$4*('CALCULO MORTERO'!I997^2)+'BLAZE SHIELD II'!$D$5*'CALCULO MORTERO'!I997+'BLAZE SHIELD II'!$D$6)*LN(J997))+('BLAZE SHIELD II'!$D$7*('CALCULO MORTERO'!I997^2)+'BLAZE SHIELD II'!$D$8*'CALCULO MORTERO'!I997+'BLAZE SHIELD II'!$D$9)),0)+IF(AND(L997="Blaze Shield II",M997="Software Idiem",C997="Cj"),((('BLAZE SHIELD II'!$H$4*('CALCULO MORTERO'!I997^2)+'BLAZE SHIELD II'!$H$5*'CALCULO MORTERO'!I997+'BLAZE SHIELD II'!$H$6)*LN(J997))+('BLAZE SHIELD II'!$H$7*('CALCULO MORTERO'!I997^2)+'BLAZE SHIELD II'!$H$8*'CALCULO MORTERO'!I997+'BLAZE SHIELD II'!$H$9)),0)+IF(AND(L997="Blaze Shield II",M997="Software Idiem",C997="C"),((('BLAZE SHIELD II'!$L$4*('CALCULO MORTERO'!I997^2)+'BLAZE SHIELD II'!$L$5*'CALCULO MORTERO'!I997+'BLAZE SHIELD II'!$L$6)*LN(J997))+('BLAZE SHIELD II'!$L$7*('CALCULO MORTERO'!I997^2)+'BLAZE SHIELD II'!$L$8*'CALCULO MORTERO'!I997+'BLAZE SHIELD II'!$L$9)),0)+IF(AND(L997="Blaze Shield II",M997="Software Idiem",C997="L"),((('BLAZE SHIELD II'!$L$4*('CALCULO MORTERO'!I997^2)+'BLAZE SHIELD II'!$L$5*'CALCULO MORTERO'!I997+'BLAZE SHIELD II'!$L$6)*LN(J997))+('BLAZE SHIELD II'!$L$7*('CALCULO MORTERO'!I997^2)+'BLAZE SHIELD II'!$L$8*'CALCULO MORTERO'!I997+'BLAZE SHIELD II'!$L$9)),0)+IF(AND(L997="Blaze Shield II",M997="Software Idiem",C997="IN",G997=3),((('BLAZE SHIELD II'!$H$14*('CALCULO MORTERO'!I997^2)+'BLAZE SHIELD II'!$H$15*'CALCULO MORTERO'!I997+'BLAZE SHIELD II'!$H$16)*LN(J997))+('BLAZE SHIELD II'!$H$17*('CALCULO MORTERO'!I997^2)+'BLAZE SHIELD II'!$H$18*'CALCULO MORTERO'!I997+'BLAZE SHIELD II'!$H$19)),0),0)+ROUND(IF(AND(L997="Cafco 400",M997="Software Idiem",C997="IN",G997=4),((('CAFCO 400 '!$H$7*(J997^4)+'CAFCO 400 '!$H$8*(J997^3)+'CAFCO 400 '!$H$9*(J997^2)+'CAFCO 400 '!$H$10*J997+'CAFCO 400 '!$H$11)*U997^2)+(('CAFCO 400 '!$H$12*(J997^3)+'CAFCO 400 '!$H$13*(J997^2)+'CAFCO 400 '!$H$14*J997+'CAFCO 400 '!$H$15)*U997)+('CAFCO 400 '!$H$16*(J997^2)+'CAFCO 400 '!$H$17*J997+'CAFCO 400 '!$H$18)),0)+IF(AND(L997="Cafco 400",M997="Software Idiem",C997="Cj"),(((('CAFCO 400 '!$D$7*LN(J997)+'CAFCO 400 '!$D$8)*U997^2)+(('CAFCO 400 '!$D$9*LN(J997)+'CAFCO 400 '!$D$10)*U997)+('CAFCO 400 '!$D$11*LN(J997)+'CAFCO 400 '!$D$12))),0)+IF(AND(L997="Cafco 400",M997="Software Idiem",C997="C"),((('CAFCO 400 '!$L$7*(J997^3)+'CAFCO 400 '!$L$8*(J997^2)+'CAFCO 400 '!$L$9*J997+'CAFCO 400 '!$L$10)*U997^2)+(('CAFCO 400 '!$L$11*(J997^3)+'CAFCO 400 '!$L$12*(J997^2)+'CAFCO 400 '!$L$13*J997+'CAFCO 400 '!$L$14)*U997)+('CAFCO 400 '!$L$15*LN(J997)+'CAFCO 400 '!$L$16)),0)+IF(AND(L997="Cafco 400",M997="Software Idiem",C997="L"),((('CAFCO 400 '!$L$7*(J997^3)+'CAFCO 400 '!$L$8*(J997^2)+'CAFCO 400 '!$L$9*J997+'CAFCO 400 '!$L$10)*U997^2)+(('CAFCO 400 '!$L$11*(J997^3)+'CAFCO 400 '!$L$12*(J997^2)+'CAFCO 400 '!$L$13*J997+'CAFCO 400 '!$L$14)*U997)+('CAFCO 400 '!$L$15*LN(J997)+'CAFCO 400 '!$L$16)),0)+IF(AND(L997="Cafco 400",M997="Software Idiem",C997="IN",G997=3),((('CAFCO 400 '!$D$23*(J997^2)+'CAFCO 400 '!$D$24*(J997)+'CAFCO 400 '!$D$25)*U997^2)+(('CAFCO 400 '!$D$26*(J997^2)+'CAFCO 400 '!$D$27*J997+'CAFCO 400 '!$D$28)*U997)+('CAFCO 400 '!$D$29*(J997^2)+'CAFCO 400 '!$D$30*J997+'CAFCO 400 '!$D$31)),0),0)+IF(AND(L997="Cafco 300",J997&gt;=95,J997&lt;=240,C997="Cj",I997=90),VLOOKUP(T997,'CAFCO 300 IDIEM TABLAS'!$B$4:$D$23,2,FALSE),0)+IF(AND(L997="Cafco 300",J997&gt;=95,J997&lt;=240,C997="Cj",I997=120),VLOOKUP(T997,'CAFCO 300 IDIEM TABLAS'!$B$4:$D$23,3,FALSE),0)+IF(AND(L997="Cafco 300",J997&gt;=95,J997&lt;=400,G997=3,C997="IN",I997=90),VLOOKUP(T997,'CAFCO 300 IDIEM TABLAS'!$F$4:$H$35,2,FALSE),0)+IF(AND(L997="Cafco 300",J997&gt;=95,J997&lt;=400,G997=3,C997="IN",I997=120),VLOOKUP(T997,'CAFCO 300 IDIEM TABLAS'!$F$4:$H$35,3,FALSE),0)+IF(AND(L997="Cafco 300",J997&gt;=95,J997&lt;=450,G997=4,C997="IN",I997=90),VLOOKUP(T997,'CAFCO 300 IDIEM TABLAS'!$J$4:$L$40,2,FALSE),0)+IF(AND(L997="Cafco 300",J997&gt;=95,J997&lt;=450,G997=4,C997="IN",I997=120),VLOOKUP(T997,'CAFCO 300 IDIEM TABLAS'!$J$4:$L$40,3,FALSE),0)+IF(AND(M997="Ensayo Idiem",L997="Cafco 400",C997="IN",G997=4,I997=90),VLOOKUP(T997,'CAFCO 400 ENSAYO'!$B$7:$D$43,2,FALSE),0)+IF(AND(M997="Ensayo Idiem",L997="Cafco 400",C997="IN",G997=4,I997=120),VLOOKUP(T997,'CAFCO 400 ENSAYO'!$B$7:$D$43,3,FALSE),0)</f>
        <v>0</v>
      </c>
      <c r="O997" s="96">
        <f t="shared" si="102"/>
        <v>0</v>
      </c>
      <c r="P997" s="132" t="str">
        <f t="shared" si="97"/>
        <v>N/A</v>
      </c>
      <c r="Q997" s="132" t="str">
        <f t="shared" si="98"/>
        <v>N/A</v>
      </c>
      <c r="R997" s="132" t="str">
        <f t="shared" si="99"/>
        <v>NO CERT.</v>
      </c>
      <c r="S997" s="132" t="e">
        <f t="shared" si="100"/>
        <v>#N/A</v>
      </c>
      <c r="T997" s="133" t="e">
        <f>+IF(J997=LOOKUP(J997,'CAFCO 300 IDIEM TABLAS'!$J$4:$J$40),'CALCULO MORTERO'!J997,MROUND('CALCULO MORTERO'!J997,10))</f>
        <v>#N/A</v>
      </c>
      <c r="U997" s="134">
        <f t="shared" si="101"/>
        <v>0</v>
      </c>
    </row>
    <row r="998" spans="1:21" x14ac:dyDescent="0.25">
      <c r="A998" s="118">
        <f>+CUBICACION!D992</f>
        <v>0</v>
      </c>
      <c r="B998" s="819">
        <f>+CUBICACION!E992</f>
        <v>0</v>
      </c>
      <c r="C998" s="675">
        <f>+CUBICACION!F992</f>
        <v>0</v>
      </c>
      <c r="D998" s="118"/>
      <c r="E998" s="118"/>
      <c r="F998" s="820"/>
      <c r="G998" s="675">
        <f>+CUBICACION!J992</f>
        <v>0</v>
      </c>
      <c r="H998" s="118"/>
      <c r="I998" s="821">
        <f>+CUBICACION!L992</f>
        <v>0</v>
      </c>
      <c r="J998" s="64">
        <f>+CUBICACION!M992</f>
        <v>0</v>
      </c>
      <c r="K998" s="822" t="str">
        <f>+CUBICACION!N992</f>
        <v/>
      </c>
      <c r="L998" s="118">
        <f>+CUBICACION!O992</f>
        <v>0</v>
      </c>
      <c r="M998" s="823">
        <f>+CUBICACION!P992</f>
        <v>0</v>
      </c>
      <c r="N998" s="902">
        <f>ROUND(IF(AND(L998="Blaze Shield II",M998="Software Idiem",C998="IN",G998=4),((('BLAZE SHIELD II'!$D$4*('CALCULO MORTERO'!I998^2)+'BLAZE SHIELD II'!$D$5*'CALCULO MORTERO'!I998+'BLAZE SHIELD II'!$D$6)*LN(J998))+('BLAZE SHIELD II'!$D$7*('CALCULO MORTERO'!I998^2)+'BLAZE SHIELD II'!$D$8*'CALCULO MORTERO'!I998+'BLAZE SHIELD II'!$D$9)),0)+IF(AND(L998="Blaze Shield II",M998="Software Idiem",C998="Cj"),((('BLAZE SHIELD II'!$H$4*('CALCULO MORTERO'!I998^2)+'BLAZE SHIELD II'!$H$5*'CALCULO MORTERO'!I998+'BLAZE SHIELD II'!$H$6)*LN(J998))+('BLAZE SHIELD II'!$H$7*('CALCULO MORTERO'!I998^2)+'BLAZE SHIELD II'!$H$8*'CALCULO MORTERO'!I998+'BLAZE SHIELD II'!$H$9)),0)+IF(AND(L998="Blaze Shield II",M998="Software Idiem",C998="C"),((('BLAZE SHIELD II'!$L$4*('CALCULO MORTERO'!I998^2)+'BLAZE SHIELD II'!$L$5*'CALCULO MORTERO'!I998+'BLAZE SHIELD II'!$L$6)*LN(J998))+('BLAZE SHIELD II'!$L$7*('CALCULO MORTERO'!I998^2)+'BLAZE SHIELD II'!$L$8*'CALCULO MORTERO'!I998+'BLAZE SHIELD II'!$L$9)),0)+IF(AND(L998="Blaze Shield II",M998="Software Idiem",C998="L"),((('BLAZE SHIELD II'!$L$4*('CALCULO MORTERO'!I998^2)+'BLAZE SHIELD II'!$L$5*'CALCULO MORTERO'!I998+'BLAZE SHIELD II'!$L$6)*LN(J998))+('BLAZE SHIELD II'!$L$7*('CALCULO MORTERO'!I998^2)+'BLAZE SHIELD II'!$L$8*'CALCULO MORTERO'!I998+'BLAZE SHIELD II'!$L$9)),0)+IF(AND(L998="Blaze Shield II",M998="Software Idiem",C998="IN",G998=3),((('BLAZE SHIELD II'!$H$14*('CALCULO MORTERO'!I998^2)+'BLAZE SHIELD II'!$H$15*'CALCULO MORTERO'!I998+'BLAZE SHIELD II'!$H$16)*LN(J998))+('BLAZE SHIELD II'!$H$17*('CALCULO MORTERO'!I998^2)+'BLAZE SHIELD II'!$H$18*'CALCULO MORTERO'!I998+'BLAZE SHIELD II'!$H$19)),0),0)+ROUND(IF(AND(L998="Cafco 400",M998="Software Idiem",C998="IN",G998=4),((('CAFCO 400 '!$H$7*(J998^4)+'CAFCO 400 '!$H$8*(J998^3)+'CAFCO 400 '!$H$9*(J998^2)+'CAFCO 400 '!$H$10*J998+'CAFCO 400 '!$H$11)*U998^2)+(('CAFCO 400 '!$H$12*(J998^3)+'CAFCO 400 '!$H$13*(J998^2)+'CAFCO 400 '!$H$14*J998+'CAFCO 400 '!$H$15)*U998)+('CAFCO 400 '!$H$16*(J998^2)+'CAFCO 400 '!$H$17*J998+'CAFCO 400 '!$H$18)),0)+IF(AND(L998="Cafco 400",M998="Software Idiem",C998="Cj"),(((('CAFCO 400 '!$D$7*LN(J998)+'CAFCO 400 '!$D$8)*U998^2)+(('CAFCO 400 '!$D$9*LN(J998)+'CAFCO 400 '!$D$10)*U998)+('CAFCO 400 '!$D$11*LN(J998)+'CAFCO 400 '!$D$12))),0)+IF(AND(L998="Cafco 400",M998="Software Idiem",C998="C"),((('CAFCO 400 '!$L$7*(J998^3)+'CAFCO 400 '!$L$8*(J998^2)+'CAFCO 400 '!$L$9*J998+'CAFCO 400 '!$L$10)*U998^2)+(('CAFCO 400 '!$L$11*(J998^3)+'CAFCO 400 '!$L$12*(J998^2)+'CAFCO 400 '!$L$13*J998+'CAFCO 400 '!$L$14)*U998)+('CAFCO 400 '!$L$15*LN(J998)+'CAFCO 400 '!$L$16)),0)+IF(AND(L998="Cafco 400",M998="Software Idiem",C998="L"),((('CAFCO 400 '!$L$7*(J998^3)+'CAFCO 400 '!$L$8*(J998^2)+'CAFCO 400 '!$L$9*J998+'CAFCO 400 '!$L$10)*U998^2)+(('CAFCO 400 '!$L$11*(J998^3)+'CAFCO 400 '!$L$12*(J998^2)+'CAFCO 400 '!$L$13*J998+'CAFCO 400 '!$L$14)*U998)+('CAFCO 400 '!$L$15*LN(J998)+'CAFCO 400 '!$L$16)),0)+IF(AND(L998="Cafco 400",M998="Software Idiem",C998="IN",G998=3),((('CAFCO 400 '!$D$23*(J998^2)+'CAFCO 400 '!$D$24*(J998)+'CAFCO 400 '!$D$25)*U998^2)+(('CAFCO 400 '!$D$26*(J998^2)+'CAFCO 400 '!$D$27*J998+'CAFCO 400 '!$D$28)*U998)+('CAFCO 400 '!$D$29*(J998^2)+'CAFCO 400 '!$D$30*J998+'CAFCO 400 '!$D$31)),0),0)+IF(AND(L998="Cafco 300",J998&gt;=95,J998&lt;=240,C998="Cj",I998=90),VLOOKUP(T998,'CAFCO 300 IDIEM TABLAS'!$B$4:$D$23,2,FALSE),0)+IF(AND(L998="Cafco 300",J998&gt;=95,J998&lt;=240,C998="Cj",I998=120),VLOOKUP(T998,'CAFCO 300 IDIEM TABLAS'!$B$4:$D$23,3,FALSE),0)+IF(AND(L998="Cafco 300",J998&gt;=95,J998&lt;=400,G998=3,C998="IN",I998=90),VLOOKUP(T998,'CAFCO 300 IDIEM TABLAS'!$F$4:$H$35,2,FALSE),0)+IF(AND(L998="Cafco 300",J998&gt;=95,J998&lt;=400,G998=3,C998="IN",I998=120),VLOOKUP(T998,'CAFCO 300 IDIEM TABLAS'!$F$4:$H$35,3,FALSE),0)+IF(AND(L998="Cafco 300",J998&gt;=95,J998&lt;=450,G998=4,C998="IN",I998=90),VLOOKUP(T998,'CAFCO 300 IDIEM TABLAS'!$J$4:$L$40,2,FALSE),0)+IF(AND(L998="Cafco 300",J998&gt;=95,J998&lt;=450,G998=4,C998="IN",I998=120),VLOOKUP(T998,'CAFCO 300 IDIEM TABLAS'!$J$4:$L$40,3,FALSE),0)+IF(AND(M998="Ensayo Idiem",L998="Cafco 400",C998="IN",G998=4,I998=90),VLOOKUP(T998,'CAFCO 400 ENSAYO'!$B$7:$D$43,2,FALSE),0)+IF(AND(M998="Ensayo Idiem",L998="Cafco 400",C998="IN",G998=4,I998=120),VLOOKUP(T998,'CAFCO 400 ENSAYO'!$B$7:$D$43,3,FALSE),0)</f>
        <v>0</v>
      </c>
      <c r="O998" s="96">
        <f t="shared" si="102"/>
        <v>0</v>
      </c>
      <c r="P998" s="95" t="str">
        <f t="shared" si="97"/>
        <v>N/A</v>
      </c>
      <c r="Q998" s="95" t="str">
        <f t="shared" si="98"/>
        <v>N/A</v>
      </c>
      <c r="R998" s="95" t="str">
        <f t="shared" si="99"/>
        <v>NO CERT.</v>
      </c>
      <c r="S998" s="95" t="e">
        <f t="shared" si="100"/>
        <v>#N/A</v>
      </c>
      <c r="T998" s="119" t="e">
        <f>+IF(J998=LOOKUP(J998,'CAFCO 300 IDIEM TABLAS'!$J$4:$J$40),'CALCULO MORTERO'!J998,MROUND('CALCULO MORTERO'!J998,10))</f>
        <v>#N/A</v>
      </c>
      <c r="U998" s="118">
        <f t="shared" si="101"/>
        <v>0</v>
      </c>
    </row>
    <row r="999" spans="1:21" x14ac:dyDescent="0.25">
      <c r="A999" s="118">
        <f>+CUBICACION!D993</f>
        <v>0</v>
      </c>
      <c r="B999" s="819">
        <f>+CUBICACION!E993</f>
        <v>0</v>
      </c>
      <c r="C999" s="675">
        <f>+CUBICACION!F993</f>
        <v>0</v>
      </c>
      <c r="D999" s="118"/>
      <c r="E999" s="118"/>
      <c r="F999" s="820"/>
      <c r="G999" s="675">
        <f>+CUBICACION!J993</f>
        <v>0</v>
      </c>
      <c r="H999" s="118"/>
      <c r="I999" s="821">
        <f>+CUBICACION!L993</f>
        <v>0</v>
      </c>
      <c r="J999" s="64">
        <f>+CUBICACION!M993</f>
        <v>0</v>
      </c>
      <c r="K999" s="822" t="str">
        <f>+CUBICACION!N993</f>
        <v/>
      </c>
      <c r="L999" s="118">
        <f>+CUBICACION!O993</f>
        <v>0</v>
      </c>
      <c r="M999" s="823">
        <f>+CUBICACION!P993</f>
        <v>0</v>
      </c>
      <c r="N999" s="902">
        <f>ROUND(IF(AND(L999="Blaze Shield II",M999="Software Idiem",C999="IN",G999=4),((('BLAZE SHIELD II'!$D$4*('CALCULO MORTERO'!I999^2)+'BLAZE SHIELD II'!$D$5*'CALCULO MORTERO'!I999+'BLAZE SHIELD II'!$D$6)*LN(J999))+('BLAZE SHIELD II'!$D$7*('CALCULO MORTERO'!I999^2)+'BLAZE SHIELD II'!$D$8*'CALCULO MORTERO'!I999+'BLAZE SHIELD II'!$D$9)),0)+IF(AND(L999="Blaze Shield II",M999="Software Idiem",C999="Cj"),((('BLAZE SHIELD II'!$H$4*('CALCULO MORTERO'!I999^2)+'BLAZE SHIELD II'!$H$5*'CALCULO MORTERO'!I999+'BLAZE SHIELD II'!$H$6)*LN(J999))+('BLAZE SHIELD II'!$H$7*('CALCULO MORTERO'!I999^2)+'BLAZE SHIELD II'!$H$8*'CALCULO MORTERO'!I999+'BLAZE SHIELD II'!$H$9)),0)+IF(AND(L999="Blaze Shield II",M999="Software Idiem",C999="C"),((('BLAZE SHIELD II'!$L$4*('CALCULO MORTERO'!I999^2)+'BLAZE SHIELD II'!$L$5*'CALCULO MORTERO'!I999+'BLAZE SHIELD II'!$L$6)*LN(J999))+('BLAZE SHIELD II'!$L$7*('CALCULO MORTERO'!I999^2)+'BLAZE SHIELD II'!$L$8*'CALCULO MORTERO'!I999+'BLAZE SHIELD II'!$L$9)),0)+IF(AND(L999="Blaze Shield II",M999="Software Idiem",C999="L"),((('BLAZE SHIELD II'!$L$4*('CALCULO MORTERO'!I999^2)+'BLAZE SHIELD II'!$L$5*'CALCULO MORTERO'!I999+'BLAZE SHIELD II'!$L$6)*LN(J999))+('BLAZE SHIELD II'!$L$7*('CALCULO MORTERO'!I999^2)+'BLAZE SHIELD II'!$L$8*'CALCULO MORTERO'!I999+'BLAZE SHIELD II'!$L$9)),0)+IF(AND(L999="Blaze Shield II",M999="Software Idiem",C999="IN",G999=3),((('BLAZE SHIELD II'!$H$14*('CALCULO MORTERO'!I999^2)+'BLAZE SHIELD II'!$H$15*'CALCULO MORTERO'!I999+'BLAZE SHIELD II'!$H$16)*LN(J999))+('BLAZE SHIELD II'!$H$17*('CALCULO MORTERO'!I999^2)+'BLAZE SHIELD II'!$H$18*'CALCULO MORTERO'!I999+'BLAZE SHIELD II'!$H$19)),0),0)+ROUND(IF(AND(L999="Cafco 400",M999="Software Idiem",C999="IN",G999=4),((('CAFCO 400 '!$H$7*(J999^4)+'CAFCO 400 '!$H$8*(J999^3)+'CAFCO 400 '!$H$9*(J999^2)+'CAFCO 400 '!$H$10*J999+'CAFCO 400 '!$H$11)*U999^2)+(('CAFCO 400 '!$H$12*(J999^3)+'CAFCO 400 '!$H$13*(J999^2)+'CAFCO 400 '!$H$14*J999+'CAFCO 400 '!$H$15)*U999)+('CAFCO 400 '!$H$16*(J999^2)+'CAFCO 400 '!$H$17*J999+'CAFCO 400 '!$H$18)),0)+IF(AND(L999="Cafco 400",M999="Software Idiem",C999="Cj"),(((('CAFCO 400 '!$D$7*LN(J999)+'CAFCO 400 '!$D$8)*U999^2)+(('CAFCO 400 '!$D$9*LN(J999)+'CAFCO 400 '!$D$10)*U999)+('CAFCO 400 '!$D$11*LN(J999)+'CAFCO 400 '!$D$12))),0)+IF(AND(L999="Cafco 400",M999="Software Idiem",C999="C"),((('CAFCO 400 '!$L$7*(J999^3)+'CAFCO 400 '!$L$8*(J999^2)+'CAFCO 400 '!$L$9*J999+'CAFCO 400 '!$L$10)*U999^2)+(('CAFCO 400 '!$L$11*(J999^3)+'CAFCO 400 '!$L$12*(J999^2)+'CAFCO 400 '!$L$13*J999+'CAFCO 400 '!$L$14)*U999)+('CAFCO 400 '!$L$15*LN(J999)+'CAFCO 400 '!$L$16)),0)+IF(AND(L999="Cafco 400",M999="Software Idiem",C999="L"),((('CAFCO 400 '!$L$7*(J999^3)+'CAFCO 400 '!$L$8*(J999^2)+'CAFCO 400 '!$L$9*J999+'CAFCO 400 '!$L$10)*U999^2)+(('CAFCO 400 '!$L$11*(J999^3)+'CAFCO 400 '!$L$12*(J999^2)+'CAFCO 400 '!$L$13*J999+'CAFCO 400 '!$L$14)*U999)+('CAFCO 400 '!$L$15*LN(J999)+'CAFCO 400 '!$L$16)),0)+IF(AND(L999="Cafco 400",M999="Software Idiem",C999="IN",G999=3),((('CAFCO 400 '!$D$23*(J999^2)+'CAFCO 400 '!$D$24*(J999)+'CAFCO 400 '!$D$25)*U999^2)+(('CAFCO 400 '!$D$26*(J999^2)+'CAFCO 400 '!$D$27*J999+'CAFCO 400 '!$D$28)*U999)+('CAFCO 400 '!$D$29*(J999^2)+'CAFCO 400 '!$D$30*J999+'CAFCO 400 '!$D$31)),0),0)+IF(AND(L999="Cafco 300",J999&gt;=95,J999&lt;=240,C999="Cj",I999=90),VLOOKUP(T999,'CAFCO 300 IDIEM TABLAS'!$B$4:$D$23,2,FALSE),0)+IF(AND(L999="Cafco 300",J999&gt;=95,J999&lt;=240,C999="Cj",I999=120),VLOOKUP(T999,'CAFCO 300 IDIEM TABLAS'!$B$4:$D$23,3,FALSE),0)+IF(AND(L999="Cafco 300",J999&gt;=95,J999&lt;=400,G999=3,C999="IN",I999=90),VLOOKUP(T999,'CAFCO 300 IDIEM TABLAS'!$F$4:$H$35,2,FALSE),0)+IF(AND(L999="Cafco 300",J999&gt;=95,J999&lt;=400,G999=3,C999="IN",I999=120),VLOOKUP(T999,'CAFCO 300 IDIEM TABLAS'!$F$4:$H$35,3,FALSE),0)+IF(AND(L999="Cafco 300",J999&gt;=95,J999&lt;=450,G999=4,C999="IN",I999=90),VLOOKUP(T999,'CAFCO 300 IDIEM TABLAS'!$J$4:$L$40,2,FALSE),0)+IF(AND(L999="Cafco 300",J999&gt;=95,J999&lt;=450,G999=4,C999="IN",I999=120),VLOOKUP(T999,'CAFCO 300 IDIEM TABLAS'!$J$4:$L$40,3,FALSE),0)+IF(AND(M999="Ensayo Idiem",L999="Cafco 400",C999="IN",G999=4,I999=90),VLOOKUP(T999,'CAFCO 400 ENSAYO'!$B$7:$D$43,2,FALSE),0)+IF(AND(M999="Ensayo Idiem",L999="Cafco 400",C999="IN",G999=4,I999=120),VLOOKUP(T999,'CAFCO 400 ENSAYO'!$B$7:$D$43,3,FALSE),0)</f>
        <v>0</v>
      </c>
      <c r="O999" s="96">
        <f t="shared" si="102"/>
        <v>0</v>
      </c>
      <c r="P999" s="132" t="str">
        <f t="shared" si="97"/>
        <v>N/A</v>
      </c>
      <c r="Q999" s="132" t="str">
        <f t="shared" si="98"/>
        <v>N/A</v>
      </c>
      <c r="R999" s="132" t="str">
        <f t="shared" si="99"/>
        <v>NO CERT.</v>
      </c>
      <c r="S999" s="132" t="e">
        <f t="shared" si="100"/>
        <v>#N/A</v>
      </c>
      <c r="T999" s="133" t="e">
        <f>+IF(J999=LOOKUP(J999,'CAFCO 300 IDIEM TABLAS'!$J$4:$J$40),'CALCULO MORTERO'!J999,MROUND('CALCULO MORTERO'!J999,10))</f>
        <v>#N/A</v>
      </c>
      <c r="U999" s="134">
        <f t="shared" si="101"/>
        <v>0</v>
      </c>
    </row>
    <row r="1000" spans="1:21" x14ac:dyDescent="0.25">
      <c r="A1000" s="118">
        <f>+CUBICACION!D994</f>
        <v>0</v>
      </c>
      <c r="B1000" s="819">
        <f>+CUBICACION!E994</f>
        <v>0</v>
      </c>
      <c r="C1000" s="675">
        <f>+CUBICACION!F994</f>
        <v>0</v>
      </c>
      <c r="D1000" s="118"/>
      <c r="E1000" s="118"/>
      <c r="F1000" s="820"/>
      <c r="G1000" s="675">
        <f>+CUBICACION!J994</f>
        <v>0</v>
      </c>
      <c r="H1000" s="118"/>
      <c r="I1000" s="821">
        <f>+CUBICACION!L994</f>
        <v>0</v>
      </c>
      <c r="J1000" s="64">
        <f>+CUBICACION!M994</f>
        <v>0</v>
      </c>
      <c r="K1000" s="822" t="str">
        <f>+CUBICACION!N994</f>
        <v/>
      </c>
      <c r="L1000" s="118">
        <f>+CUBICACION!O994</f>
        <v>0</v>
      </c>
      <c r="M1000" s="823">
        <f>+CUBICACION!P994</f>
        <v>0</v>
      </c>
      <c r="N1000" s="902">
        <f>ROUND(IF(AND(L1000="Blaze Shield II",M1000="Software Idiem",C1000="IN",G1000=4),((('BLAZE SHIELD II'!$D$4*('CALCULO MORTERO'!I1000^2)+'BLAZE SHIELD II'!$D$5*'CALCULO MORTERO'!I1000+'BLAZE SHIELD II'!$D$6)*LN(J1000))+('BLAZE SHIELD II'!$D$7*('CALCULO MORTERO'!I1000^2)+'BLAZE SHIELD II'!$D$8*'CALCULO MORTERO'!I1000+'BLAZE SHIELD II'!$D$9)),0)+IF(AND(L1000="Blaze Shield II",M1000="Software Idiem",C1000="Cj"),((('BLAZE SHIELD II'!$H$4*('CALCULO MORTERO'!I1000^2)+'BLAZE SHIELD II'!$H$5*'CALCULO MORTERO'!I1000+'BLAZE SHIELD II'!$H$6)*LN(J1000))+('BLAZE SHIELD II'!$H$7*('CALCULO MORTERO'!I1000^2)+'BLAZE SHIELD II'!$H$8*'CALCULO MORTERO'!I1000+'BLAZE SHIELD II'!$H$9)),0)+IF(AND(L1000="Blaze Shield II",M1000="Software Idiem",C1000="C"),((('BLAZE SHIELD II'!$L$4*('CALCULO MORTERO'!I1000^2)+'BLAZE SHIELD II'!$L$5*'CALCULO MORTERO'!I1000+'BLAZE SHIELD II'!$L$6)*LN(J1000))+('BLAZE SHIELD II'!$L$7*('CALCULO MORTERO'!I1000^2)+'BLAZE SHIELD II'!$L$8*'CALCULO MORTERO'!I1000+'BLAZE SHIELD II'!$L$9)),0)+IF(AND(L1000="Blaze Shield II",M1000="Software Idiem",C1000="L"),((('BLAZE SHIELD II'!$L$4*('CALCULO MORTERO'!I1000^2)+'BLAZE SHIELD II'!$L$5*'CALCULO MORTERO'!I1000+'BLAZE SHIELD II'!$L$6)*LN(J1000))+('BLAZE SHIELD II'!$L$7*('CALCULO MORTERO'!I1000^2)+'BLAZE SHIELD II'!$L$8*'CALCULO MORTERO'!I1000+'BLAZE SHIELD II'!$L$9)),0)+IF(AND(L1000="Blaze Shield II",M1000="Software Idiem",C1000="IN",G1000=3),((('BLAZE SHIELD II'!$H$14*('CALCULO MORTERO'!I1000^2)+'BLAZE SHIELD II'!$H$15*'CALCULO MORTERO'!I1000+'BLAZE SHIELD II'!$H$16)*LN(J1000))+('BLAZE SHIELD II'!$H$17*('CALCULO MORTERO'!I1000^2)+'BLAZE SHIELD II'!$H$18*'CALCULO MORTERO'!I1000+'BLAZE SHIELD II'!$H$19)),0),0)+ROUND(IF(AND(L1000="Cafco 400",M1000="Software Idiem",C1000="IN",G1000=4),((('CAFCO 400 '!$H$7*(J1000^4)+'CAFCO 400 '!$H$8*(J1000^3)+'CAFCO 400 '!$H$9*(J1000^2)+'CAFCO 400 '!$H$10*J1000+'CAFCO 400 '!$H$11)*U1000^2)+(('CAFCO 400 '!$H$12*(J1000^3)+'CAFCO 400 '!$H$13*(J1000^2)+'CAFCO 400 '!$H$14*J1000+'CAFCO 400 '!$H$15)*U1000)+('CAFCO 400 '!$H$16*(J1000^2)+'CAFCO 400 '!$H$17*J1000+'CAFCO 400 '!$H$18)),0)+IF(AND(L1000="Cafco 400",M1000="Software Idiem",C1000="Cj"),(((('CAFCO 400 '!$D$7*LN(J1000)+'CAFCO 400 '!$D$8)*U1000^2)+(('CAFCO 400 '!$D$9*LN(J1000)+'CAFCO 400 '!$D$10)*U1000)+('CAFCO 400 '!$D$11*LN(J1000)+'CAFCO 400 '!$D$12))),0)+IF(AND(L1000="Cafco 400",M1000="Software Idiem",C1000="C"),((('CAFCO 400 '!$L$7*(J1000^3)+'CAFCO 400 '!$L$8*(J1000^2)+'CAFCO 400 '!$L$9*J1000+'CAFCO 400 '!$L$10)*U1000^2)+(('CAFCO 400 '!$L$11*(J1000^3)+'CAFCO 400 '!$L$12*(J1000^2)+'CAFCO 400 '!$L$13*J1000+'CAFCO 400 '!$L$14)*U1000)+('CAFCO 400 '!$L$15*LN(J1000)+'CAFCO 400 '!$L$16)),0)+IF(AND(L1000="Cafco 400",M1000="Software Idiem",C1000="L"),((('CAFCO 400 '!$L$7*(J1000^3)+'CAFCO 400 '!$L$8*(J1000^2)+'CAFCO 400 '!$L$9*J1000+'CAFCO 400 '!$L$10)*U1000^2)+(('CAFCO 400 '!$L$11*(J1000^3)+'CAFCO 400 '!$L$12*(J1000^2)+'CAFCO 400 '!$L$13*J1000+'CAFCO 400 '!$L$14)*U1000)+('CAFCO 400 '!$L$15*LN(J1000)+'CAFCO 400 '!$L$16)),0)+IF(AND(L1000="Cafco 400",M1000="Software Idiem",C1000="IN",G1000=3),((('CAFCO 400 '!$D$23*(J1000^2)+'CAFCO 400 '!$D$24*(J1000)+'CAFCO 400 '!$D$25)*U1000^2)+(('CAFCO 400 '!$D$26*(J1000^2)+'CAFCO 400 '!$D$27*J1000+'CAFCO 400 '!$D$28)*U1000)+('CAFCO 400 '!$D$29*(J1000^2)+'CAFCO 400 '!$D$30*J1000+'CAFCO 400 '!$D$31)),0),0)+IF(AND(L1000="Cafco 300",J1000&gt;=95,J1000&lt;=240,C1000="Cj",I1000=90),VLOOKUP(T1000,'CAFCO 300 IDIEM TABLAS'!$B$4:$D$23,2,FALSE),0)+IF(AND(L1000="Cafco 300",J1000&gt;=95,J1000&lt;=240,C1000="Cj",I1000=120),VLOOKUP(T1000,'CAFCO 300 IDIEM TABLAS'!$B$4:$D$23,3,FALSE),0)+IF(AND(L1000="Cafco 300",J1000&gt;=95,J1000&lt;=400,G1000=3,C1000="IN",I1000=90),VLOOKUP(T1000,'CAFCO 300 IDIEM TABLAS'!$F$4:$H$35,2,FALSE),0)+IF(AND(L1000="Cafco 300",J1000&gt;=95,J1000&lt;=400,G1000=3,C1000="IN",I1000=120),VLOOKUP(T1000,'CAFCO 300 IDIEM TABLAS'!$F$4:$H$35,3,FALSE),0)+IF(AND(L1000="Cafco 300",J1000&gt;=95,J1000&lt;=450,G1000=4,C1000="IN",I1000=90),VLOOKUP(T1000,'CAFCO 300 IDIEM TABLAS'!$J$4:$L$40,2,FALSE),0)+IF(AND(L1000="Cafco 300",J1000&gt;=95,J1000&lt;=450,G1000=4,C1000="IN",I1000=120),VLOOKUP(T1000,'CAFCO 300 IDIEM TABLAS'!$J$4:$L$40,3,FALSE),0)+IF(AND(M1000="Ensayo Idiem",L1000="Cafco 400",C1000="IN",G1000=4,I1000=90),VLOOKUP(T1000,'CAFCO 400 ENSAYO'!$B$7:$D$43,2,FALSE),0)+IF(AND(M1000="Ensayo Idiem",L1000="Cafco 400",C1000="IN",G1000=4,I1000=120),VLOOKUP(T1000,'CAFCO 400 ENSAYO'!$B$7:$D$43,3,FALSE),0)</f>
        <v>0</v>
      </c>
      <c r="O1000" s="96">
        <f t="shared" si="102"/>
        <v>0</v>
      </c>
      <c r="P1000" s="95" t="str">
        <f t="shared" si="97"/>
        <v>N/A</v>
      </c>
      <c r="Q1000" s="95" t="str">
        <f t="shared" si="98"/>
        <v>N/A</v>
      </c>
      <c r="R1000" s="95" t="str">
        <f t="shared" si="99"/>
        <v>NO CERT.</v>
      </c>
      <c r="S1000" s="95" t="e">
        <f t="shared" si="100"/>
        <v>#N/A</v>
      </c>
      <c r="T1000" s="119" t="e">
        <f>+IF(J1000=LOOKUP(J1000,'CAFCO 300 IDIEM TABLAS'!$J$4:$J$40),'CALCULO MORTERO'!J1000,MROUND('CALCULO MORTERO'!J1000,10))</f>
        <v>#N/A</v>
      </c>
      <c r="U1000" s="118">
        <f t="shared" si="101"/>
        <v>0</v>
      </c>
    </row>
    <row r="1001" spans="1:21" x14ac:dyDescent="0.25">
      <c r="A1001" s="118">
        <f>+CUBICACION!D995</f>
        <v>0</v>
      </c>
      <c r="B1001" s="819">
        <f>+CUBICACION!E995</f>
        <v>0</v>
      </c>
      <c r="C1001" s="675">
        <f>+CUBICACION!F995</f>
        <v>0</v>
      </c>
      <c r="D1001" s="118"/>
      <c r="E1001" s="118"/>
      <c r="F1001" s="820"/>
      <c r="G1001" s="675">
        <f>+CUBICACION!J995</f>
        <v>0</v>
      </c>
      <c r="H1001" s="118"/>
      <c r="I1001" s="821">
        <f>+CUBICACION!L995</f>
        <v>0</v>
      </c>
      <c r="J1001" s="64">
        <f>+CUBICACION!M995</f>
        <v>0</v>
      </c>
      <c r="K1001" s="822" t="str">
        <f>+CUBICACION!N995</f>
        <v/>
      </c>
      <c r="L1001" s="118">
        <f>+CUBICACION!O995</f>
        <v>0</v>
      </c>
      <c r="M1001" s="823">
        <f>+CUBICACION!P995</f>
        <v>0</v>
      </c>
      <c r="N1001" s="902">
        <f>ROUND(IF(AND(L1001="Blaze Shield II",M1001="Software Idiem",C1001="IN",G1001=4),((('BLAZE SHIELD II'!$D$4*('CALCULO MORTERO'!I1001^2)+'BLAZE SHIELD II'!$D$5*'CALCULO MORTERO'!I1001+'BLAZE SHIELD II'!$D$6)*LN(J1001))+('BLAZE SHIELD II'!$D$7*('CALCULO MORTERO'!I1001^2)+'BLAZE SHIELD II'!$D$8*'CALCULO MORTERO'!I1001+'BLAZE SHIELD II'!$D$9)),0)+IF(AND(L1001="Blaze Shield II",M1001="Software Idiem",C1001="Cj"),((('BLAZE SHIELD II'!$H$4*('CALCULO MORTERO'!I1001^2)+'BLAZE SHIELD II'!$H$5*'CALCULO MORTERO'!I1001+'BLAZE SHIELD II'!$H$6)*LN(J1001))+('BLAZE SHIELD II'!$H$7*('CALCULO MORTERO'!I1001^2)+'BLAZE SHIELD II'!$H$8*'CALCULO MORTERO'!I1001+'BLAZE SHIELD II'!$H$9)),0)+IF(AND(L1001="Blaze Shield II",M1001="Software Idiem",C1001="C"),((('BLAZE SHIELD II'!$L$4*('CALCULO MORTERO'!I1001^2)+'BLAZE SHIELD II'!$L$5*'CALCULO MORTERO'!I1001+'BLAZE SHIELD II'!$L$6)*LN(J1001))+('BLAZE SHIELD II'!$L$7*('CALCULO MORTERO'!I1001^2)+'BLAZE SHIELD II'!$L$8*'CALCULO MORTERO'!I1001+'BLAZE SHIELD II'!$L$9)),0)+IF(AND(L1001="Blaze Shield II",M1001="Software Idiem",C1001="L"),((('BLAZE SHIELD II'!$L$4*('CALCULO MORTERO'!I1001^2)+'BLAZE SHIELD II'!$L$5*'CALCULO MORTERO'!I1001+'BLAZE SHIELD II'!$L$6)*LN(J1001))+('BLAZE SHIELD II'!$L$7*('CALCULO MORTERO'!I1001^2)+'BLAZE SHIELD II'!$L$8*'CALCULO MORTERO'!I1001+'BLAZE SHIELD II'!$L$9)),0)+IF(AND(L1001="Blaze Shield II",M1001="Software Idiem",C1001="IN",G1001=3),((('BLAZE SHIELD II'!$H$14*('CALCULO MORTERO'!I1001^2)+'BLAZE SHIELD II'!$H$15*'CALCULO MORTERO'!I1001+'BLAZE SHIELD II'!$H$16)*LN(J1001))+('BLAZE SHIELD II'!$H$17*('CALCULO MORTERO'!I1001^2)+'BLAZE SHIELD II'!$H$18*'CALCULO MORTERO'!I1001+'BLAZE SHIELD II'!$H$19)),0),0)+ROUND(IF(AND(L1001="Cafco 400",M1001="Software Idiem",C1001="IN",G1001=4),((('CAFCO 400 '!$H$7*(J1001^4)+'CAFCO 400 '!$H$8*(J1001^3)+'CAFCO 400 '!$H$9*(J1001^2)+'CAFCO 400 '!$H$10*J1001+'CAFCO 400 '!$H$11)*U1001^2)+(('CAFCO 400 '!$H$12*(J1001^3)+'CAFCO 400 '!$H$13*(J1001^2)+'CAFCO 400 '!$H$14*J1001+'CAFCO 400 '!$H$15)*U1001)+('CAFCO 400 '!$H$16*(J1001^2)+'CAFCO 400 '!$H$17*J1001+'CAFCO 400 '!$H$18)),0)+IF(AND(L1001="Cafco 400",M1001="Software Idiem",C1001="Cj"),(((('CAFCO 400 '!$D$7*LN(J1001)+'CAFCO 400 '!$D$8)*U1001^2)+(('CAFCO 400 '!$D$9*LN(J1001)+'CAFCO 400 '!$D$10)*U1001)+('CAFCO 400 '!$D$11*LN(J1001)+'CAFCO 400 '!$D$12))),0)+IF(AND(L1001="Cafco 400",M1001="Software Idiem",C1001="C"),((('CAFCO 400 '!$L$7*(J1001^3)+'CAFCO 400 '!$L$8*(J1001^2)+'CAFCO 400 '!$L$9*J1001+'CAFCO 400 '!$L$10)*U1001^2)+(('CAFCO 400 '!$L$11*(J1001^3)+'CAFCO 400 '!$L$12*(J1001^2)+'CAFCO 400 '!$L$13*J1001+'CAFCO 400 '!$L$14)*U1001)+('CAFCO 400 '!$L$15*LN(J1001)+'CAFCO 400 '!$L$16)),0)+IF(AND(L1001="Cafco 400",M1001="Software Idiem",C1001="L"),((('CAFCO 400 '!$L$7*(J1001^3)+'CAFCO 400 '!$L$8*(J1001^2)+'CAFCO 400 '!$L$9*J1001+'CAFCO 400 '!$L$10)*U1001^2)+(('CAFCO 400 '!$L$11*(J1001^3)+'CAFCO 400 '!$L$12*(J1001^2)+'CAFCO 400 '!$L$13*J1001+'CAFCO 400 '!$L$14)*U1001)+('CAFCO 400 '!$L$15*LN(J1001)+'CAFCO 400 '!$L$16)),0)+IF(AND(L1001="Cafco 400",M1001="Software Idiem",C1001="IN",G1001=3),((('CAFCO 400 '!$D$23*(J1001^2)+'CAFCO 400 '!$D$24*(J1001)+'CAFCO 400 '!$D$25)*U1001^2)+(('CAFCO 400 '!$D$26*(J1001^2)+'CAFCO 400 '!$D$27*J1001+'CAFCO 400 '!$D$28)*U1001)+('CAFCO 400 '!$D$29*(J1001^2)+'CAFCO 400 '!$D$30*J1001+'CAFCO 400 '!$D$31)),0),0)+IF(AND(L1001="Cafco 300",J1001&gt;=95,J1001&lt;=240,C1001="Cj",I1001=90),VLOOKUP(T1001,'CAFCO 300 IDIEM TABLAS'!$B$4:$D$23,2,FALSE),0)+IF(AND(L1001="Cafco 300",J1001&gt;=95,J1001&lt;=240,C1001="Cj",I1001=120),VLOOKUP(T1001,'CAFCO 300 IDIEM TABLAS'!$B$4:$D$23,3,FALSE),0)+IF(AND(L1001="Cafco 300",J1001&gt;=95,J1001&lt;=400,G1001=3,C1001="IN",I1001=90),VLOOKUP(T1001,'CAFCO 300 IDIEM TABLAS'!$F$4:$H$35,2,FALSE),0)+IF(AND(L1001="Cafco 300",J1001&gt;=95,J1001&lt;=400,G1001=3,C1001="IN",I1001=120),VLOOKUP(T1001,'CAFCO 300 IDIEM TABLAS'!$F$4:$H$35,3,FALSE),0)+IF(AND(L1001="Cafco 300",J1001&gt;=95,J1001&lt;=450,G1001=4,C1001="IN",I1001=90),VLOOKUP(T1001,'CAFCO 300 IDIEM TABLAS'!$J$4:$L$40,2,FALSE),0)+IF(AND(L1001="Cafco 300",J1001&gt;=95,J1001&lt;=450,G1001=4,C1001="IN",I1001=120),VLOOKUP(T1001,'CAFCO 300 IDIEM TABLAS'!$J$4:$L$40,3,FALSE),0)+IF(AND(M1001="Ensayo Idiem",L1001="Cafco 400",C1001="IN",G1001=4,I1001=90),VLOOKUP(T1001,'CAFCO 400 ENSAYO'!$B$7:$D$43,2,FALSE),0)+IF(AND(M1001="Ensayo Idiem",L1001="Cafco 400",C1001="IN",G1001=4,I1001=120),VLOOKUP(T1001,'CAFCO 400 ENSAYO'!$B$7:$D$43,3,FALSE),0)</f>
        <v>0</v>
      </c>
      <c r="O1001" s="96">
        <f t="shared" si="102"/>
        <v>0</v>
      </c>
      <c r="P1001" s="132" t="str">
        <f t="shared" si="97"/>
        <v>N/A</v>
      </c>
      <c r="Q1001" s="132" t="str">
        <f t="shared" si="98"/>
        <v>N/A</v>
      </c>
      <c r="R1001" s="132" t="str">
        <f t="shared" si="99"/>
        <v>NO CERT.</v>
      </c>
      <c r="S1001" s="132" t="e">
        <f t="shared" si="100"/>
        <v>#N/A</v>
      </c>
      <c r="T1001" s="133" t="e">
        <f>+IF(J1001=LOOKUP(J1001,'CAFCO 300 IDIEM TABLAS'!$J$4:$J$40),'CALCULO MORTERO'!J1001,MROUND('CALCULO MORTERO'!J1001,10))</f>
        <v>#N/A</v>
      </c>
      <c r="U1001" s="134">
        <f t="shared" si="101"/>
        <v>0</v>
      </c>
    </row>
    <row r="1002" spans="1:21" x14ac:dyDescent="0.25">
      <c r="A1002" s="118">
        <f>+CUBICACION!D996</f>
        <v>0</v>
      </c>
      <c r="B1002" s="819">
        <f>+CUBICACION!E996</f>
        <v>0</v>
      </c>
      <c r="C1002" s="675">
        <f>+CUBICACION!F996</f>
        <v>0</v>
      </c>
      <c r="D1002" s="118"/>
      <c r="E1002" s="118"/>
      <c r="F1002" s="820"/>
      <c r="G1002" s="675">
        <f>+CUBICACION!J996</f>
        <v>0</v>
      </c>
      <c r="H1002" s="118"/>
      <c r="I1002" s="821">
        <f>+CUBICACION!L996</f>
        <v>0</v>
      </c>
      <c r="J1002" s="64">
        <f>+CUBICACION!M996</f>
        <v>0</v>
      </c>
      <c r="K1002" s="822" t="str">
        <f>+CUBICACION!N996</f>
        <v/>
      </c>
      <c r="L1002" s="118">
        <f>+CUBICACION!O996</f>
        <v>0</v>
      </c>
      <c r="M1002" s="823">
        <f>+CUBICACION!P996</f>
        <v>0</v>
      </c>
      <c r="N1002" s="902">
        <f>ROUND(IF(AND(L1002="Blaze Shield II",M1002="Software Idiem",C1002="IN",G1002=4),((('BLAZE SHIELD II'!$D$4*('CALCULO MORTERO'!I1002^2)+'BLAZE SHIELD II'!$D$5*'CALCULO MORTERO'!I1002+'BLAZE SHIELD II'!$D$6)*LN(J1002))+('BLAZE SHIELD II'!$D$7*('CALCULO MORTERO'!I1002^2)+'BLAZE SHIELD II'!$D$8*'CALCULO MORTERO'!I1002+'BLAZE SHIELD II'!$D$9)),0)+IF(AND(L1002="Blaze Shield II",M1002="Software Idiem",C1002="Cj"),((('BLAZE SHIELD II'!$H$4*('CALCULO MORTERO'!I1002^2)+'BLAZE SHIELD II'!$H$5*'CALCULO MORTERO'!I1002+'BLAZE SHIELD II'!$H$6)*LN(J1002))+('BLAZE SHIELD II'!$H$7*('CALCULO MORTERO'!I1002^2)+'BLAZE SHIELD II'!$H$8*'CALCULO MORTERO'!I1002+'BLAZE SHIELD II'!$H$9)),0)+IF(AND(L1002="Blaze Shield II",M1002="Software Idiem",C1002="C"),((('BLAZE SHIELD II'!$L$4*('CALCULO MORTERO'!I1002^2)+'BLAZE SHIELD II'!$L$5*'CALCULO MORTERO'!I1002+'BLAZE SHIELD II'!$L$6)*LN(J1002))+('BLAZE SHIELD II'!$L$7*('CALCULO MORTERO'!I1002^2)+'BLAZE SHIELD II'!$L$8*'CALCULO MORTERO'!I1002+'BLAZE SHIELD II'!$L$9)),0)+IF(AND(L1002="Blaze Shield II",M1002="Software Idiem",C1002="L"),((('BLAZE SHIELD II'!$L$4*('CALCULO MORTERO'!I1002^2)+'BLAZE SHIELD II'!$L$5*'CALCULO MORTERO'!I1002+'BLAZE SHIELD II'!$L$6)*LN(J1002))+('BLAZE SHIELD II'!$L$7*('CALCULO MORTERO'!I1002^2)+'BLAZE SHIELD II'!$L$8*'CALCULO MORTERO'!I1002+'BLAZE SHIELD II'!$L$9)),0)+IF(AND(L1002="Blaze Shield II",M1002="Software Idiem",C1002="IN",G1002=3),((('BLAZE SHIELD II'!$H$14*('CALCULO MORTERO'!I1002^2)+'BLAZE SHIELD II'!$H$15*'CALCULO MORTERO'!I1002+'BLAZE SHIELD II'!$H$16)*LN(J1002))+('BLAZE SHIELD II'!$H$17*('CALCULO MORTERO'!I1002^2)+'BLAZE SHIELD II'!$H$18*'CALCULO MORTERO'!I1002+'BLAZE SHIELD II'!$H$19)),0),0)+ROUND(IF(AND(L1002="Cafco 400",M1002="Software Idiem",C1002="IN",G1002=4),((('CAFCO 400 '!$H$7*(J1002^4)+'CAFCO 400 '!$H$8*(J1002^3)+'CAFCO 400 '!$H$9*(J1002^2)+'CAFCO 400 '!$H$10*J1002+'CAFCO 400 '!$H$11)*U1002^2)+(('CAFCO 400 '!$H$12*(J1002^3)+'CAFCO 400 '!$H$13*(J1002^2)+'CAFCO 400 '!$H$14*J1002+'CAFCO 400 '!$H$15)*U1002)+('CAFCO 400 '!$H$16*(J1002^2)+'CAFCO 400 '!$H$17*J1002+'CAFCO 400 '!$H$18)),0)+IF(AND(L1002="Cafco 400",M1002="Software Idiem",C1002="Cj"),(((('CAFCO 400 '!$D$7*LN(J1002)+'CAFCO 400 '!$D$8)*U1002^2)+(('CAFCO 400 '!$D$9*LN(J1002)+'CAFCO 400 '!$D$10)*U1002)+('CAFCO 400 '!$D$11*LN(J1002)+'CAFCO 400 '!$D$12))),0)+IF(AND(L1002="Cafco 400",M1002="Software Idiem",C1002="C"),((('CAFCO 400 '!$L$7*(J1002^3)+'CAFCO 400 '!$L$8*(J1002^2)+'CAFCO 400 '!$L$9*J1002+'CAFCO 400 '!$L$10)*U1002^2)+(('CAFCO 400 '!$L$11*(J1002^3)+'CAFCO 400 '!$L$12*(J1002^2)+'CAFCO 400 '!$L$13*J1002+'CAFCO 400 '!$L$14)*U1002)+('CAFCO 400 '!$L$15*LN(J1002)+'CAFCO 400 '!$L$16)),0)+IF(AND(L1002="Cafco 400",M1002="Software Idiem",C1002="L"),((('CAFCO 400 '!$L$7*(J1002^3)+'CAFCO 400 '!$L$8*(J1002^2)+'CAFCO 400 '!$L$9*J1002+'CAFCO 400 '!$L$10)*U1002^2)+(('CAFCO 400 '!$L$11*(J1002^3)+'CAFCO 400 '!$L$12*(J1002^2)+'CAFCO 400 '!$L$13*J1002+'CAFCO 400 '!$L$14)*U1002)+('CAFCO 400 '!$L$15*LN(J1002)+'CAFCO 400 '!$L$16)),0)+IF(AND(L1002="Cafco 400",M1002="Software Idiem",C1002="IN",G1002=3),((('CAFCO 400 '!$D$23*(J1002^2)+'CAFCO 400 '!$D$24*(J1002)+'CAFCO 400 '!$D$25)*U1002^2)+(('CAFCO 400 '!$D$26*(J1002^2)+'CAFCO 400 '!$D$27*J1002+'CAFCO 400 '!$D$28)*U1002)+('CAFCO 400 '!$D$29*(J1002^2)+'CAFCO 400 '!$D$30*J1002+'CAFCO 400 '!$D$31)),0),0)+IF(AND(L1002="Cafco 300",J1002&gt;=95,J1002&lt;=240,C1002="Cj",I1002=90),VLOOKUP(T1002,'CAFCO 300 IDIEM TABLAS'!$B$4:$D$23,2,FALSE),0)+IF(AND(L1002="Cafco 300",J1002&gt;=95,J1002&lt;=240,C1002="Cj",I1002=120),VLOOKUP(T1002,'CAFCO 300 IDIEM TABLAS'!$B$4:$D$23,3,FALSE),0)+IF(AND(L1002="Cafco 300",J1002&gt;=95,J1002&lt;=400,G1002=3,C1002="IN",I1002=90),VLOOKUP(T1002,'CAFCO 300 IDIEM TABLAS'!$F$4:$H$35,2,FALSE),0)+IF(AND(L1002="Cafco 300",J1002&gt;=95,J1002&lt;=400,G1002=3,C1002="IN",I1002=120),VLOOKUP(T1002,'CAFCO 300 IDIEM TABLAS'!$F$4:$H$35,3,FALSE),0)+IF(AND(L1002="Cafco 300",J1002&gt;=95,J1002&lt;=450,G1002=4,C1002="IN",I1002=90),VLOOKUP(T1002,'CAFCO 300 IDIEM TABLAS'!$J$4:$L$40,2,FALSE),0)+IF(AND(L1002="Cafco 300",J1002&gt;=95,J1002&lt;=450,G1002=4,C1002="IN",I1002=120),VLOOKUP(T1002,'CAFCO 300 IDIEM TABLAS'!$J$4:$L$40,3,FALSE),0)+IF(AND(M1002="Ensayo Idiem",L1002="Cafco 400",C1002="IN",G1002=4,I1002=90),VLOOKUP(T1002,'CAFCO 400 ENSAYO'!$B$7:$D$43,2,FALSE),0)+IF(AND(M1002="Ensayo Idiem",L1002="Cafco 400",C1002="IN",G1002=4,I1002=120),VLOOKUP(T1002,'CAFCO 400 ENSAYO'!$B$7:$D$43,3,FALSE),0)</f>
        <v>0</v>
      </c>
      <c r="O1002" s="96">
        <f t="shared" si="102"/>
        <v>0</v>
      </c>
      <c r="P1002" s="95" t="str">
        <f t="shared" si="97"/>
        <v>N/A</v>
      </c>
      <c r="Q1002" s="95" t="str">
        <f t="shared" si="98"/>
        <v>N/A</v>
      </c>
      <c r="R1002" s="95" t="str">
        <f t="shared" si="99"/>
        <v>NO CERT.</v>
      </c>
      <c r="S1002" s="95" t="e">
        <f t="shared" si="100"/>
        <v>#N/A</v>
      </c>
      <c r="T1002" s="119" t="e">
        <f>+IF(J1002=LOOKUP(J1002,'CAFCO 300 IDIEM TABLAS'!$J$4:$J$40),'CALCULO MORTERO'!J1002,MROUND('CALCULO MORTERO'!J1002,10))</f>
        <v>#N/A</v>
      </c>
      <c r="U1002" s="118">
        <f t="shared" si="101"/>
        <v>0</v>
      </c>
    </row>
    <row r="1003" spans="1:21" x14ac:dyDescent="0.25">
      <c r="A1003" s="118">
        <f>+CUBICACION!D997</f>
        <v>0</v>
      </c>
      <c r="B1003" s="819">
        <f>+CUBICACION!E997</f>
        <v>0</v>
      </c>
      <c r="C1003" s="675">
        <f>+CUBICACION!F997</f>
        <v>0</v>
      </c>
      <c r="D1003" s="118"/>
      <c r="E1003" s="118"/>
      <c r="F1003" s="820"/>
      <c r="G1003" s="675">
        <f>+CUBICACION!J997</f>
        <v>0</v>
      </c>
      <c r="H1003" s="118"/>
      <c r="I1003" s="821">
        <f>+CUBICACION!L997</f>
        <v>0</v>
      </c>
      <c r="J1003" s="64">
        <f>+CUBICACION!M997</f>
        <v>0</v>
      </c>
      <c r="K1003" s="822" t="str">
        <f>+CUBICACION!N997</f>
        <v/>
      </c>
      <c r="L1003" s="118">
        <f>+CUBICACION!O997</f>
        <v>0</v>
      </c>
      <c r="M1003" s="823">
        <f>+CUBICACION!P997</f>
        <v>0</v>
      </c>
      <c r="N1003" s="902">
        <f>ROUND(IF(AND(L1003="Blaze Shield II",M1003="Software Idiem",C1003="IN",G1003=4),((('BLAZE SHIELD II'!$D$4*('CALCULO MORTERO'!I1003^2)+'BLAZE SHIELD II'!$D$5*'CALCULO MORTERO'!I1003+'BLAZE SHIELD II'!$D$6)*LN(J1003))+('BLAZE SHIELD II'!$D$7*('CALCULO MORTERO'!I1003^2)+'BLAZE SHIELD II'!$D$8*'CALCULO MORTERO'!I1003+'BLAZE SHIELD II'!$D$9)),0)+IF(AND(L1003="Blaze Shield II",M1003="Software Idiem",C1003="Cj"),((('BLAZE SHIELD II'!$H$4*('CALCULO MORTERO'!I1003^2)+'BLAZE SHIELD II'!$H$5*'CALCULO MORTERO'!I1003+'BLAZE SHIELD II'!$H$6)*LN(J1003))+('BLAZE SHIELD II'!$H$7*('CALCULO MORTERO'!I1003^2)+'BLAZE SHIELD II'!$H$8*'CALCULO MORTERO'!I1003+'BLAZE SHIELD II'!$H$9)),0)+IF(AND(L1003="Blaze Shield II",M1003="Software Idiem",C1003="C"),((('BLAZE SHIELD II'!$L$4*('CALCULO MORTERO'!I1003^2)+'BLAZE SHIELD II'!$L$5*'CALCULO MORTERO'!I1003+'BLAZE SHIELD II'!$L$6)*LN(J1003))+('BLAZE SHIELD II'!$L$7*('CALCULO MORTERO'!I1003^2)+'BLAZE SHIELD II'!$L$8*'CALCULO MORTERO'!I1003+'BLAZE SHIELD II'!$L$9)),0)+IF(AND(L1003="Blaze Shield II",M1003="Software Idiem",C1003="L"),((('BLAZE SHIELD II'!$L$4*('CALCULO MORTERO'!I1003^2)+'BLAZE SHIELD II'!$L$5*'CALCULO MORTERO'!I1003+'BLAZE SHIELD II'!$L$6)*LN(J1003))+('BLAZE SHIELD II'!$L$7*('CALCULO MORTERO'!I1003^2)+'BLAZE SHIELD II'!$L$8*'CALCULO MORTERO'!I1003+'BLAZE SHIELD II'!$L$9)),0)+IF(AND(L1003="Blaze Shield II",M1003="Software Idiem",C1003="IN",G1003=3),((('BLAZE SHIELD II'!$H$14*('CALCULO MORTERO'!I1003^2)+'BLAZE SHIELD II'!$H$15*'CALCULO MORTERO'!I1003+'BLAZE SHIELD II'!$H$16)*LN(J1003))+('BLAZE SHIELD II'!$H$17*('CALCULO MORTERO'!I1003^2)+'BLAZE SHIELD II'!$H$18*'CALCULO MORTERO'!I1003+'BLAZE SHIELD II'!$H$19)),0),0)+ROUND(IF(AND(L1003="Cafco 400",M1003="Software Idiem",C1003="IN",G1003=4),((('CAFCO 400 '!$H$7*(J1003^4)+'CAFCO 400 '!$H$8*(J1003^3)+'CAFCO 400 '!$H$9*(J1003^2)+'CAFCO 400 '!$H$10*J1003+'CAFCO 400 '!$H$11)*U1003^2)+(('CAFCO 400 '!$H$12*(J1003^3)+'CAFCO 400 '!$H$13*(J1003^2)+'CAFCO 400 '!$H$14*J1003+'CAFCO 400 '!$H$15)*U1003)+('CAFCO 400 '!$H$16*(J1003^2)+'CAFCO 400 '!$H$17*J1003+'CAFCO 400 '!$H$18)),0)+IF(AND(L1003="Cafco 400",M1003="Software Idiem",C1003="Cj"),(((('CAFCO 400 '!$D$7*LN(J1003)+'CAFCO 400 '!$D$8)*U1003^2)+(('CAFCO 400 '!$D$9*LN(J1003)+'CAFCO 400 '!$D$10)*U1003)+('CAFCO 400 '!$D$11*LN(J1003)+'CAFCO 400 '!$D$12))),0)+IF(AND(L1003="Cafco 400",M1003="Software Idiem",C1003="C"),((('CAFCO 400 '!$L$7*(J1003^3)+'CAFCO 400 '!$L$8*(J1003^2)+'CAFCO 400 '!$L$9*J1003+'CAFCO 400 '!$L$10)*U1003^2)+(('CAFCO 400 '!$L$11*(J1003^3)+'CAFCO 400 '!$L$12*(J1003^2)+'CAFCO 400 '!$L$13*J1003+'CAFCO 400 '!$L$14)*U1003)+('CAFCO 400 '!$L$15*LN(J1003)+'CAFCO 400 '!$L$16)),0)+IF(AND(L1003="Cafco 400",M1003="Software Idiem",C1003="L"),((('CAFCO 400 '!$L$7*(J1003^3)+'CAFCO 400 '!$L$8*(J1003^2)+'CAFCO 400 '!$L$9*J1003+'CAFCO 400 '!$L$10)*U1003^2)+(('CAFCO 400 '!$L$11*(J1003^3)+'CAFCO 400 '!$L$12*(J1003^2)+'CAFCO 400 '!$L$13*J1003+'CAFCO 400 '!$L$14)*U1003)+('CAFCO 400 '!$L$15*LN(J1003)+'CAFCO 400 '!$L$16)),0)+IF(AND(L1003="Cafco 400",M1003="Software Idiem",C1003="IN",G1003=3),((('CAFCO 400 '!$D$23*(J1003^2)+'CAFCO 400 '!$D$24*(J1003)+'CAFCO 400 '!$D$25)*U1003^2)+(('CAFCO 400 '!$D$26*(J1003^2)+'CAFCO 400 '!$D$27*J1003+'CAFCO 400 '!$D$28)*U1003)+('CAFCO 400 '!$D$29*(J1003^2)+'CAFCO 400 '!$D$30*J1003+'CAFCO 400 '!$D$31)),0),0)+IF(AND(L1003="Cafco 300",J1003&gt;=95,J1003&lt;=240,C1003="Cj",I1003=90),VLOOKUP(T1003,'CAFCO 300 IDIEM TABLAS'!$B$4:$D$23,2,FALSE),0)+IF(AND(L1003="Cafco 300",J1003&gt;=95,J1003&lt;=240,C1003="Cj",I1003=120),VLOOKUP(T1003,'CAFCO 300 IDIEM TABLAS'!$B$4:$D$23,3,FALSE),0)+IF(AND(L1003="Cafco 300",J1003&gt;=95,J1003&lt;=400,G1003=3,C1003="IN",I1003=90),VLOOKUP(T1003,'CAFCO 300 IDIEM TABLAS'!$F$4:$H$35,2,FALSE),0)+IF(AND(L1003="Cafco 300",J1003&gt;=95,J1003&lt;=400,G1003=3,C1003="IN",I1003=120),VLOOKUP(T1003,'CAFCO 300 IDIEM TABLAS'!$F$4:$H$35,3,FALSE),0)+IF(AND(L1003="Cafco 300",J1003&gt;=95,J1003&lt;=450,G1003=4,C1003="IN",I1003=90),VLOOKUP(T1003,'CAFCO 300 IDIEM TABLAS'!$J$4:$L$40,2,FALSE),0)+IF(AND(L1003="Cafco 300",J1003&gt;=95,J1003&lt;=450,G1003=4,C1003="IN",I1003=120),VLOOKUP(T1003,'CAFCO 300 IDIEM TABLAS'!$J$4:$L$40,3,FALSE),0)+IF(AND(M1003="Ensayo Idiem",L1003="Cafco 400",C1003="IN",G1003=4,I1003=90),VLOOKUP(T1003,'CAFCO 400 ENSAYO'!$B$7:$D$43,2,FALSE),0)+IF(AND(M1003="Ensayo Idiem",L1003="Cafco 400",C1003="IN",G1003=4,I1003=120),VLOOKUP(T1003,'CAFCO 400 ENSAYO'!$B$7:$D$43,3,FALSE),0)</f>
        <v>0</v>
      </c>
      <c r="O1003" s="96">
        <f t="shared" si="102"/>
        <v>0</v>
      </c>
      <c r="P1003" s="132" t="str">
        <f t="shared" si="97"/>
        <v>N/A</v>
      </c>
      <c r="Q1003" s="132" t="str">
        <f t="shared" si="98"/>
        <v>N/A</v>
      </c>
      <c r="R1003" s="132" t="str">
        <f t="shared" si="99"/>
        <v>NO CERT.</v>
      </c>
      <c r="S1003" s="132" t="e">
        <f t="shared" si="100"/>
        <v>#N/A</v>
      </c>
      <c r="T1003" s="133" t="e">
        <f>+IF(J1003=LOOKUP(J1003,'CAFCO 300 IDIEM TABLAS'!$J$4:$J$40),'CALCULO MORTERO'!J1003,MROUND('CALCULO MORTERO'!J1003,10))</f>
        <v>#N/A</v>
      </c>
      <c r="U1003" s="134">
        <f t="shared" si="101"/>
        <v>0</v>
      </c>
    </row>
    <row r="1004" spans="1:21" x14ac:dyDescent="0.25">
      <c r="A1004" s="118">
        <f>+CUBICACION!D998</f>
        <v>0</v>
      </c>
      <c r="B1004" s="819">
        <f>+CUBICACION!E998</f>
        <v>0</v>
      </c>
      <c r="C1004" s="675">
        <f>+CUBICACION!F998</f>
        <v>0</v>
      </c>
      <c r="D1004" s="118"/>
      <c r="E1004" s="118"/>
      <c r="F1004" s="820"/>
      <c r="G1004" s="675">
        <f>+CUBICACION!J998</f>
        <v>0</v>
      </c>
      <c r="H1004" s="118"/>
      <c r="I1004" s="821">
        <f>+CUBICACION!L998</f>
        <v>0</v>
      </c>
      <c r="J1004" s="64">
        <f>+CUBICACION!M998</f>
        <v>0</v>
      </c>
      <c r="K1004" s="822" t="str">
        <f>+CUBICACION!N998</f>
        <v/>
      </c>
      <c r="L1004" s="118">
        <f>+CUBICACION!O998</f>
        <v>0</v>
      </c>
      <c r="M1004" s="823">
        <f>+CUBICACION!P998</f>
        <v>0</v>
      </c>
      <c r="N1004" s="902">
        <f>ROUND(IF(AND(L1004="Blaze Shield II",M1004="Software Idiem",C1004="IN",G1004=4),((('BLAZE SHIELD II'!$D$4*('CALCULO MORTERO'!I1004^2)+'BLAZE SHIELD II'!$D$5*'CALCULO MORTERO'!I1004+'BLAZE SHIELD II'!$D$6)*LN(J1004))+('BLAZE SHIELD II'!$D$7*('CALCULO MORTERO'!I1004^2)+'BLAZE SHIELD II'!$D$8*'CALCULO MORTERO'!I1004+'BLAZE SHIELD II'!$D$9)),0)+IF(AND(L1004="Blaze Shield II",M1004="Software Idiem",C1004="Cj"),((('BLAZE SHIELD II'!$H$4*('CALCULO MORTERO'!I1004^2)+'BLAZE SHIELD II'!$H$5*'CALCULO MORTERO'!I1004+'BLAZE SHIELD II'!$H$6)*LN(J1004))+('BLAZE SHIELD II'!$H$7*('CALCULO MORTERO'!I1004^2)+'BLAZE SHIELD II'!$H$8*'CALCULO MORTERO'!I1004+'BLAZE SHIELD II'!$H$9)),0)+IF(AND(L1004="Blaze Shield II",M1004="Software Idiem",C1004="C"),((('BLAZE SHIELD II'!$L$4*('CALCULO MORTERO'!I1004^2)+'BLAZE SHIELD II'!$L$5*'CALCULO MORTERO'!I1004+'BLAZE SHIELD II'!$L$6)*LN(J1004))+('BLAZE SHIELD II'!$L$7*('CALCULO MORTERO'!I1004^2)+'BLAZE SHIELD II'!$L$8*'CALCULO MORTERO'!I1004+'BLAZE SHIELD II'!$L$9)),0)+IF(AND(L1004="Blaze Shield II",M1004="Software Idiem",C1004="L"),((('BLAZE SHIELD II'!$L$4*('CALCULO MORTERO'!I1004^2)+'BLAZE SHIELD II'!$L$5*'CALCULO MORTERO'!I1004+'BLAZE SHIELD II'!$L$6)*LN(J1004))+('BLAZE SHIELD II'!$L$7*('CALCULO MORTERO'!I1004^2)+'BLAZE SHIELD II'!$L$8*'CALCULO MORTERO'!I1004+'BLAZE SHIELD II'!$L$9)),0)+IF(AND(L1004="Blaze Shield II",M1004="Software Idiem",C1004="IN",G1004=3),((('BLAZE SHIELD II'!$H$14*('CALCULO MORTERO'!I1004^2)+'BLAZE SHIELD II'!$H$15*'CALCULO MORTERO'!I1004+'BLAZE SHIELD II'!$H$16)*LN(J1004))+('BLAZE SHIELD II'!$H$17*('CALCULO MORTERO'!I1004^2)+'BLAZE SHIELD II'!$H$18*'CALCULO MORTERO'!I1004+'BLAZE SHIELD II'!$H$19)),0),0)+ROUND(IF(AND(L1004="Cafco 400",M1004="Software Idiem",C1004="IN",G1004=4),((('CAFCO 400 '!$H$7*(J1004^4)+'CAFCO 400 '!$H$8*(J1004^3)+'CAFCO 400 '!$H$9*(J1004^2)+'CAFCO 400 '!$H$10*J1004+'CAFCO 400 '!$H$11)*U1004^2)+(('CAFCO 400 '!$H$12*(J1004^3)+'CAFCO 400 '!$H$13*(J1004^2)+'CAFCO 400 '!$H$14*J1004+'CAFCO 400 '!$H$15)*U1004)+('CAFCO 400 '!$H$16*(J1004^2)+'CAFCO 400 '!$H$17*J1004+'CAFCO 400 '!$H$18)),0)+IF(AND(L1004="Cafco 400",M1004="Software Idiem",C1004="Cj"),(((('CAFCO 400 '!$D$7*LN(J1004)+'CAFCO 400 '!$D$8)*U1004^2)+(('CAFCO 400 '!$D$9*LN(J1004)+'CAFCO 400 '!$D$10)*U1004)+('CAFCO 400 '!$D$11*LN(J1004)+'CAFCO 400 '!$D$12))),0)+IF(AND(L1004="Cafco 400",M1004="Software Idiem",C1004="C"),((('CAFCO 400 '!$L$7*(J1004^3)+'CAFCO 400 '!$L$8*(J1004^2)+'CAFCO 400 '!$L$9*J1004+'CAFCO 400 '!$L$10)*U1004^2)+(('CAFCO 400 '!$L$11*(J1004^3)+'CAFCO 400 '!$L$12*(J1004^2)+'CAFCO 400 '!$L$13*J1004+'CAFCO 400 '!$L$14)*U1004)+('CAFCO 400 '!$L$15*LN(J1004)+'CAFCO 400 '!$L$16)),0)+IF(AND(L1004="Cafco 400",M1004="Software Idiem",C1004="L"),((('CAFCO 400 '!$L$7*(J1004^3)+'CAFCO 400 '!$L$8*(J1004^2)+'CAFCO 400 '!$L$9*J1004+'CAFCO 400 '!$L$10)*U1004^2)+(('CAFCO 400 '!$L$11*(J1004^3)+'CAFCO 400 '!$L$12*(J1004^2)+'CAFCO 400 '!$L$13*J1004+'CAFCO 400 '!$L$14)*U1004)+('CAFCO 400 '!$L$15*LN(J1004)+'CAFCO 400 '!$L$16)),0)+IF(AND(L1004="Cafco 400",M1004="Software Idiem",C1004="IN",G1004=3),((('CAFCO 400 '!$D$23*(J1004^2)+'CAFCO 400 '!$D$24*(J1004)+'CAFCO 400 '!$D$25)*U1004^2)+(('CAFCO 400 '!$D$26*(J1004^2)+'CAFCO 400 '!$D$27*J1004+'CAFCO 400 '!$D$28)*U1004)+('CAFCO 400 '!$D$29*(J1004^2)+'CAFCO 400 '!$D$30*J1004+'CAFCO 400 '!$D$31)),0),0)+IF(AND(L1004="Cafco 300",J1004&gt;=95,J1004&lt;=240,C1004="Cj",I1004=90),VLOOKUP(T1004,'CAFCO 300 IDIEM TABLAS'!$B$4:$D$23,2,FALSE),0)+IF(AND(L1004="Cafco 300",J1004&gt;=95,J1004&lt;=240,C1004="Cj",I1004=120),VLOOKUP(T1004,'CAFCO 300 IDIEM TABLAS'!$B$4:$D$23,3,FALSE),0)+IF(AND(L1004="Cafco 300",J1004&gt;=95,J1004&lt;=400,G1004=3,C1004="IN",I1004=90),VLOOKUP(T1004,'CAFCO 300 IDIEM TABLAS'!$F$4:$H$35,2,FALSE),0)+IF(AND(L1004="Cafco 300",J1004&gt;=95,J1004&lt;=400,G1004=3,C1004="IN",I1004=120),VLOOKUP(T1004,'CAFCO 300 IDIEM TABLAS'!$F$4:$H$35,3,FALSE),0)+IF(AND(L1004="Cafco 300",J1004&gt;=95,J1004&lt;=450,G1004=4,C1004="IN",I1004=90),VLOOKUP(T1004,'CAFCO 300 IDIEM TABLAS'!$J$4:$L$40,2,FALSE),0)+IF(AND(L1004="Cafco 300",J1004&gt;=95,J1004&lt;=450,G1004=4,C1004="IN",I1004=120),VLOOKUP(T1004,'CAFCO 300 IDIEM TABLAS'!$J$4:$L$40,3,FALSE),0)+IF(AND(M1004="Ensayo Idiem",L1004="Cafco 400",C1004="IN",G1004=4,I1004=90),VLOOKUP(T1004,'CAFCO 400 ENSAYO'!$B$7:$D$43,2,FALSE),0)+IF(AND(M1004="Ensayo Idiem",L1004="Cafco 400",C1004="IN",G1004=4,I1004=120),VLOOKUP(T1004,'CAFCO 400 ENSAYO'!$B$7:$D$43,3,FALSE),0)</f>
        <v>0</v>
      </c>
      <c r="O1004" s="96">
        <f t="shared" si="102"/>
        <v>0</v>
      </c>
      <c r="P1004" s="95" t="str">
        <f t="shared" si="97"/>
        <v>N/A</v>
      </c>
      <c r="Q1004" s="95" t="str">
        <f t="shared" si="98"/>
        <v>N/A</v>
      </c>
      <c r="R1004" s="95" t="str">
        <f t="shared" si="99"/>
        <v>NO CERT.</v>
      </c>
      <c r="S1004" s="95" t="e">
        <f t="shared" si="100"/>
        <v>#N/A</v>
      </c>
      <c r="T1004" s="119" t="e">
        <f>+IF(J1004=LOOKUP(J1004,'CAFCO 300 IDIEM TABLAS'!$J$4:$J$40),'CALCULO MORTERO'!J1004,MROUND('CALCULO MORTERO'!J1004,10))</f>
        <v>#N/A</v>
      </c>
      <c r="U1004" s="118">
        <f t="shared" si="101"/>
        <v>0</v>
      </c>
    </row>
    <row r="1005" spans="1:21" x14ac:dyDescent="0.25">
      <c r="A1005" s="118">
        <f>+CUBICACION!D999</f>
        <v>0</v>
      </c>
      <c r="B1005" s="819">
        <f>+CUBICACION!E999</f>
        <v>0</v>
      </c>
      <c r="C1005" s="675">
        <f>+CUBICACION!F999</f>
        <v>0</v>
      </c>
      <c r="D1005" s="118"/>
      <c r="E1005" s="118"/>
      <c r="F1005" s="820"/>
      <c r="G1005" s="675">
        <f>+CUBICACION!J999</f>
        <v>0</v>
      </c>
      <c r="H1005" s="118"/>
      <c r="I1005" s="821">
        <f>+CUBICACION!L999</f>
        <v>0</v>
      </c>
      <c r="J1005" s="64">
        <f>+CUBICACION!M999</f>
        <v>0</v>
      </c>
      <c r="K1005" s="822" t="str">
        <f>+CUBICACION!N999</f>
        <v/>
      </c>
      <c r="L1005" s="118">
        <f>+CUBICACION!O999</f>
        <v>0</v>
      </c>
      <c r="M1005" s="823">
        <f>+CUBICACION!P999</f>
        <v>0</v>
      </c>
      <c r="N1005" s="902">
        <f>ROUND(IF(AND(L1005="Blaze Shield II",M1005="Software Idiem",C1005="IN",G1005=4),((('BLAZE SHIELD II'!$D$4*('CALCULO MORTERO'!I1005^2)+'BLAZE SHIELD II'!$D$5*'CALCULO MORTERO'!I1005+'BLAZE SHIELD II'!$D$6)*LN(J1005))+('BLAZE SHIELD II'!$D$7*('CALCULO MORTERO'!I1005^2)+'BLAZE SHIELD II'!$D$8*'CALCULO MORTERO'!I1005+'BLAZE SHIELD II'!$D$9)),0)+IF(AND(L1005="Blaze Shield II",M1005="Software Idiem",C1005="Cj"),((('BLAZE SHIELD II'!$H$4*('CALCULO MORTERO'!I1005^2)+'BLAZE SHIELD II'!$H$5*'CALCULO MORTERO'!I1005+'BLAZE SHIELD II'!$H$6)*LN(J1005))+('BLAZE SHIELD II'!$H$7*('CALCULO MORTERO'!I1005^2)+'BLAZE SHIELD II'!$H$8*'CALCULO MORTERO'!I1005+'BLAZE SHIELD II'!$H$9)),0)+IF(AND(L1005="Blaze Shield II",M1005="Software Idiem",C1005="C"),((('BLAZE SHIELD II'!$L$4*('CALCULO MORTERO'!I1005^2)+'BLAZE SHIELD II'!$L$5*'CALCULO MORTERO'!I1005+'BLAZE SHIELD II'!$L$6)*LN(J1005))+('BLAZE SHIELD II'!$L$7*('CALCULO MORTERO'!I1005^2)+'BLAZE SHIELD II'!$L$8*'CALCULO MORTERO'!I1005+'BLAZE SHIELD II'!$L$9)),0)+IF(AND(L1005="Blaze Shield II",M1005="Software Idiem",C1005="L"),((('BLAZE SHIELD II'!$L$4*('CALCULO MORTERO'!I1005^2)+'BLAZE SHIELD II'!$L$5*'CALCULO MORTERO'!I1005+'BLAZE SHIELD II'!$L$6)*LN(J1005))+('BLAZE SHIELD II'!$L$7*('CALCULO MORTERO'!I1005^2)+'BLAZE SHIELD II'!$L$8*'CALCULO MORTERO'!I1005+'BLAZE SHIELD II'!$L$9)),0)+IF(AND(L1005="Blaze Shield II",M1005="Software Idiem",C1005="IN",G1005=3),((('BLAZE SHIELD II'!$H$14*('CALCULO MORTERO'!I1005^2)+'BLAZE SHIELD II'!$H$15*'CALCULO MORTERO'!I1005+'BLAZE SHIELD II'!$H$16)*LN(J1005))+('BLAZE SHIELD II'!$H$17*('CALCULO MORTERO'!I1005^2)+'BLAZE SHIELD II'!$H$18*'CALCULO MORTERO'!I1005+'BLAZE SHIELD II'!$H$19)),0),0)+ROUND(IF(AND(L1005="Cafco 400",M1005="Software Idiem",C1005="IN",G1005=4),((('CAFCO 400 '!$H$7*(J1005^4)+'CAFCO 400 '!$H$8*(J1005^3)+'CAFCO 400 '!$H$9*(J1005^2)+'CAFCO 400 '!$H$10*J1005+'CAFCO 400 '!$H$11)*U1005^2)+(('CAFCO 400 '!$H$12*(J1005^3)+'CAFCO 400 '!$H$13*(J1005^2)+'CAFCO 400 '!$H$14*J1005+'CAFCO 400 '!$H$15)*U1005)+('CAFCO 400 '!$H$16*(J1005^2)+'CAFCO 400 '!$H$17*J1005+'CAFCO 400 '!$H$18)),0)+IF(AND(L1005="Cafco 400",M1005="Software Idiem",C1005="Cj"),(((('CAFCO 400 '!$D$7*LN(J1005)+'CAFCO 400 '!$D$8)*U1005^2)+(('CAFCO 400 '!$D$9*LN(J1005)+'CAFCO 400 '!$D$10)*U1005)+('CAFCO 400 '!$D$11*LN(J1005)+'CAFCO 400 '!$D$12))),0)+IF(AND(L1005="Cafco 400",M1005="Software Idiem",C1005="C"),((('CAFCO 400 '!$L$7*(J1005^3)+'CAFCO 400 '!$L$8*(J1005^2)+'CAFCO 400 '!$L$9*J1005+'CAFCO 400 '!$L$10)*U1005^2)+(('CAFCO 400 '!$L$11*(J1005^3)+'CAFCO 400 '!$L$12*(J1005^2)+'CAFCO 400 '!$L$13*J1005+'CAFCO 400 '!$L$14)*U1005)+('CAFCO 400 '!$L$15*LN(J1005)+'CAFCO 400 '!$L$16)),0)+IF(AND(L1005="Cafco 400",M1005="Software Idiem",C1005="L"),((('CAFCO 400 '!$L$7*(J1005^3)+'CAFCO 400 '!$L$8*(J1005^2)+'CAFCO 400 '!$L$9*J1005+'CAFCO 400 '!$L$10)*U1005^2)+(('CAFCO 400 '!$L$11*(J1005^3)+'CAFCO 400 '!$L$12*(J1005^2)+'CAFCO 400 '!$L$13*J1005+'CAFCO 400 '!$L$14)*U1005)+('CAFCO 400 '!$L$15*LN(J1005)+'CAFCO 400 '!$L$16)),0)+IF(AND(L1005="Cafco 400",M1005="Software Idiem",C1005="IN",G1005=3),((('CAFCO 400 '!$D$23*(J1005^2)+'CAFCO 400 '!$D$24*(J1005)+'CAFCO 400 '!$D$25)*U1005^2)+(('CAFCO 400 '!$D$26*(J1005^2)+'CAFCO 400 '!$D$27*J1005+'CAFCO 400 '!$D$28)*U1005)+('CAFCO 400 '!$D$29*(J1005^2)+'CAFCO 400 '!$D$30*J1005+'CAFCO 400 '!$D$31)),0),0)+IF(AND(L1005="Cafco 300",J1005&gt;=95,J1005&lt;=240,C1005="Cj",I1005=90),VLOOKUP(T1005,'CAFCO 300 IDIEM TABLAS'!$B$4:$D$23,2,FALSE),0)+IF(AND(L1005="Cafco 300",J1005&gt;=95,J1005&lt;=240,C1005="Cj",I1005=120),VLOOKUP(T1005,'CAFCO 300 IDIEM TABLAS'!$B$4:$D$23,3,FALSE),0)+IF(AND(L1005="Cafco 300",J1005&gt;=95,J1005&lt;=400,G1005=3,C1005="IN",I1005=90),VLOOKUP(T1005,'CAFCO 300 IDIEM TABLAS'!$F$4:$H$35,2,FALSE),0)+IF(AND(L1005="Cafco 300",J1005&gt;=95,J1005&lt;=400,G1005=3,C1005="IN",I1005=120),VLOOKUP(T1005,'CAFCO 300 IDIEM TABLAS'!$F$4:$H$35,3,FALSE),0)+IF(AND(L1005="Cafco 300",J1005&gt;=95,J1005&lt;=450,G1005=4,C1005="IN",I1005=90),VLOOKUP(T1005,'CAFCO 300 IDIEM TABLAS'!$J$4:$L$40,2,FALSE),0)+IF(AND(L1005="Cafco 300",J1005&gt;=95,J1005&lt;=450,G1005=4,C1005="IN",I1005=120),VLOOKUP(T1005,'CAFCO 300 IDIEM TABLAS'!$J$4:$L$40,3,FALSE),0)+IF(AND(M1005="Ensayo Idiem",L1005="Cafco 400",C1005="IN",G1005=4,I1005=90),VLOOKUP(T1005,'CAFCO 400 ENSAYO'!$B$7:$D$43,2,FALSE),0)+IF(AND(M1005="Ensayo Idiem",L1005="Cafco 400",C1005="IN",G1005=4,I1005=120),VLOOKUP(T1005,'CAFCO 400 ENSAYO'!$B$7:$D$43,3,FALSE),0)</f>
        <v>0</v>
      </c>
      <c r="O1005" s="96">
        <f t="shared" si="102"/>
        <v>0</v>
      </c>
      <c r="P1005" s="132" t="str">
        <f t="shared" si="97"/>
        <v>N/A</v>
      </c>
      <c r="Q1005" s="132" t="str">
        <f t="shared" si="98"/>
        <v>N/A</v>
      </c>
      <c r="R1005" s="132" t="str">
        <f t="shared" si="99"/>
        <v>NO CERT.</v>
      </c>
      <c r="S1005" s="132" t="e">
        <f t="shared" si="100"/>
        <v>#N/A</v>
      </c>
      <c r="T1005" s="133" t="e">
        <f>+IF(J1005=LOOKUP(J1005,'CAFCO 300 IDIEM TABLAS'!$J$4:$J$40),'CALCULO MORTERO'!J1005,MROUND('CALCULO MORTERO'!J1005,10))</f>
        <v>#N/A</v>
      </c>
      <c r="U1005" s="134">
        <f t="shared" si="101"/>
        <v>0</v>
      </c>
    </row>
    <row r="1006" spans="1:21" x14ac:dyDescent="0.25">
      <c r="A1006" s="118">
        <f>+CUBICACION!D1000</f>
        <v>0</v>
      </c>
      <c r="B1006" s="819">
        <f>+CUBICACION!E1000</f>
        <v>0</v>
      </c>
      <c r="C1006" s="675">
        <f>+CUBICACION!F1000</f>
        <v>0</v>
      </c>
      <c r="D1006" s="118"/>
      <c r="E1006" s="118"/>
      <c r="F1006" s="820"/>
      <c r="G1006" s="675">
        <f>+CUBICACION!J1000</f>
        <v>0</v>
      </c>
      <c r="H1006" s="118"/>
      <c r="I1006" s="821">
        <f>+CUBICACION!L1000</f>
        <v>0</v>
      </c>
      <c r="J1006" s="64">
        <f>+CUBICACION!M1000</f>
        <v>0</v>
      </c>
      <c r="K1006" s="822" t="str">
        <f>+CUBICACION!N1000</f>
        <v/>
      </c>
      <c r="L1006" s="118">
        <f>+CUBICACION!O1000</f>
        <v>0</v>
      </c>
      <c r="M1006" s="823">
        <f>+CUBICACION!P1000</f>
        <v>0</v>
      </c>
      <c r="N1006" s="902">
        <f>ROUND(IF(AND(L1006="Blaze Shield II",M1006="Software Idiem",C1006="IN",G1006=4),((('BLAZE SHIELD II'!$D$4*('CALCULO MORTERO'!I1006^2)+'BLAZE SHIELD II'!$D$5*'CALCULO MORTERO'!I1006+'BLAZE SHIELD II'!$D$6)*LN(J1006))+('BLAZE SHIELD II'!$D$7*('CALCULO MORTERO'!I1006^2)+'BLAZE SHIELD II'!$D$8*'CALCULO MORTERO'!I1006+'BLAZE SHIELD II'!$D$9)),0)+IF(AND(L1006="Blaze Shield II",M1006="Software Idiem",C1006="Cj"),((('BLAZE SHIELD II'!$H$4*('CALCULO MORTERO'!I1006^2)+'BLAZE SHIELD II'!$H$5*'CALCULO MORTERO'!I1006+'BLAZE SHIELD II'!$H$6)*LN(J1006))+('BLAZE SHIELD II'!$H$7*('CALCULO MORTERO'!I1006^2)+'BLAZE SHIELD II'!$H$8*'CALCULO MORTERO'!I1006+'BLAZE SHIELD II'!$H$9)),0)+IF(AND(L1006="Blaze Shield II",M1006="Software Idiem",C1006="C"),((('BLAZE SHIELD II'!$L$4*('CALCULO MORTERO'!I1006^2)+'BLAZE SHIELD II'!$L$5*'CALCULO MORTERO'!I1006+'BLAZE SHIELD II'!$L$6)*LN(J1006))+('BLAZE SHIELD II'!$L$7*('CALCULO MORTERO'!I1006^2)+'BLAZE SHIELD II'!$L$8*'CALCULO MORTERO'!I1006+'BLAZE SHIELD II'!$L$9)),0)+IF(AND(L1006="Blaze Shield II",M1006="Software Idiem",C1006="L"),((('BLAZE SHIELD II'!$L$4*('CALCULO MORTERO'!I1006^2)+'BLAZE SHIELD II'!$L$5*'CALCULO MORTERO'!I1006+'BLAZE SHIELD II'!$L$6)*LN(J1006))+('BLAZE SHIELD II'!$L$7*('CALCULO MORTERO'!I1006^2)+'BLAZE SHIELD II'!$L$8*'CALCULO MORTERO'!I1006+'BLAZE SHIELD II'!$L$9)),0)+IF(AND(L1006="Blaze Shield II",M1006="Software Idiem",C1006="IN",G1006=3),((('BLAZE SHIELD II'!$H$14*('CALCULO MORTERO'!I1006^2)+'BLAZE SHIELD II'!$H$15*'CALCULO MORTERO'!I1006+'BLAZE SHIELD II'!$H$16)*LN(J1006))+('BLAZE SHIELD II'!$H$17*('CALCULO MORTERO'!I1006^2)+'BLAZE SHIELD II'!$H$18*'CALCULO MORTERO'!I1006+'BLAZE SHIELD II'!$H$19)),0),0)+ROUND(IF(AND(L1006="Cafco 400",M1006="Software Idiem",C1006="IN",G1006=4),((('CAFCO 400 '!$H$7*(J1006^4)+'CAFCO 400 '!$H$8*(J1006^3)+'CAFCO 400 '!$H$9*(J1006^2)+'CAFCO 400 '!$H$10*J1006+'CAFCO 400 '!$H$11)*U1006^2)+(('CAFCO 400 '!$H$12*(J1006^3)+'CAFCO 400 '!$H$13*(J1006^2)+'CAFCO 400 '!$H$14*J1006+'CAFCO 400 '!$H$15)*U1006)+('CAFCO 400 '!$H$16*(J1006^2)+'CAFCO 400 '!$H$17*J1006+'CAFCO 400 '!$H$18)),0)+IF(AND(L1006="Cafco 400",M1006="Software Idiem",C1006="Cj"),(((('CAFCO 400 '!$D$7*LN(J1006)+'CAFCO 400 '!$D$8)*U1006^2)+(('CAFCO 400 '!$D$9*LN(J1006)+'CAFCO 400 '!$D$10)*U1006)+('CAFCO 400 '!$D$11*LN(J1006)+'CAFCO 400 '!$D$12))),0)+IF(AND(L1006="Cafco 400",M1006="Software Idiem",C1006="C"),((('CAFCO 400 '!$L$7*(J1006^3)+'CAFCO 400 '!$L$8*(J1006^2)+'CAFCO 400 '!$L$9*J1006+'CAFCO 400 '!$L$10)*U1006^2)+(('CAFCO 400 '!$L$11*(J1006^3)+'CAFCO 400 '!$L$12*(J1006^2)+'CAFCO 400 '!$L$13*J1006+'CAFCO 400 '!$L$14)*U1006)+('CAFCO 400 '!$L$15*LN(J1006)+'CAFCO 400 '!$L$16)),0)+IF(AND(L1006="Cafco 400",M1006="Software Idiem",C1006="L"),((('CAFCO 400 '!$L$7*(J1006^3)+'CAFCO 400 '!$L$8*(J1006^2)+'CAFCO 400 '!$L$9*J1006+'CAFCO 400 '!$L$10)*U1006^2)+(('CAFCO 400 '!$L$11*(J1006^3)+'CAFCO 400 '!$L$12*(J1006^2)+'CAFCO 400 '!$L$13*J1006+'CAFCO 400 '!$L$14)*U1006)+('CAFCO 400 '!$L$15*LN(J1006)+'CAFCO 400 '!$L$16)),0)+IF(AND(L1006="Cafco 400",M1006="Software Idiem",C1006="IN",G1006=3),((('CAFCO 400 '!$D$23*(J1006^2)+'CAFCO 400 '!$D$24*(J1006)+'CAFCO 400 '!$D$25)*U1006^2)+(('CAFCO 400 '!$D$26*(J1006^2)+'CAFCO 400 '!$D$27*J1006+'CAFCO 400 '!$D$28)*U1006)+('CAFCO 400 '!$D$29*(J1006^2)+'CAFCO 400 '!$D$30*J1006+'CAFCO 400 '!$D$31)),0),0)+IF(AND(L1006="Cafco 300",J1006&gt;=95,J1006&lt;=240,C1006="Cj",I1006=90),VLOOKUP(T1006,'CAFCO 300 IDIEM TABLAS'!$B$4:$D$23,2,FALSE),0)+IF(AND(L1006="Cafco 300",J1006&gt;=95,J1006&lt;=240,C1006="Cj",I1006=120),VLOOKUP(T1006,'CAFCO 300 IDIEM TABLAS'!$B$4:$D$23,3,FALSE),0)+IF(AND(L1006="Cafco 300",J1006&gt;=95,J1006&lt;=400,G1006=3,C1006="IN",I1006=90),VLOOKUP(T1006,'CAFCO 300 IDIEM TABLAS'!$F$4:$H$35,2,FALSE),0)+IF(AND(L1006="Cafco 300",J1006&gt;=95,J1006&lt;=400,G1006=3,C1006="IN",I1006=120),VLOOKUP(T1006,'CAFCO 300 IDIEM TABLAS'!$F$4:$H$35,3,FALSE),0)+IF(AND(L1006="Cafco 300",J1006&gt;=95,J1006&lt;=450,G1006=4,C1006="IN",I1006=90),VLOOKUP(T1006,'CAFCO 300 IDIEM TABLAS'!$J$4:$L$40,2,FALSE),0)+IF(AND(L1006="Cafco 300",J1006&gt;=95,J1006&lt;=450,G1006=4,C1006="IN",I1006=120),VLOOKUP(T1006,'CAFCO 300 IDIEM TABLAS'!$J$4:$L$40,3,FALSE),0)+IF(AND(M1006="Ensayo Idiem",L1006="Cafco 400",C1006="IN",G1006=4,I1006=90),VLOOKUP(T1006,'CAFCO 400 ENSAYO'!$B$7:$D$43,2,FALSE),0)+IF(AND(M1006="Ensayo Idiem",L1006="Cafco 400",C1006="IN",G1006=4,I1006=120),VLOOKUP(T1006,'CAFCO 400 ENSAYO'!$B$7:$D$43,3,FALSE),0)</f>
        <v>0</v>
      </c>
      <c r="O1006" s="96">
        <f t="shared" si="102"/>
        <v>0</v>
      </c>
      <c r="P1006" s="95" t="str">
        <f t="shared" si="97"/>
        <v>N/A</v>
      </c>
      <c r="Q1006" s="95" t="str">
        <f t="shared" si="98"/>
        <v>N/A</v>
      </c>
      <c r="R1006" s="95" t="str">
        <f t="shared" si="99"/>
        <v>NO CERT.</v>
      </c>
      <c r="S1006" s="95" t="e">
        <f t="shared" si="100"/>
        <v>#N/A</v>
      </c>
      <c r="T1006" s="119" t="e">
        <f>+IF(J1006=LOOKUP(J1006,'CAFCO 300 IDIEM TABLAS'!$J$4:$J$40),'CALCULO MORTERO'!J1006,MROUND('CALCULO MORTERO'!J1006,10))</f>
        <v>#N/A</v>
      </c>
      <c r="U1006" s="118">
        <f t="shared" si="101"/>
        <v>0</v>
      </c>
    </row>
    <row r="1007" spans="1:21" x14ac:dyDescent="0.25">
      <c r="A1007" s="118">
        <f>+CUBICACION!D1001</f>
        <v>0</v>
      </c>
      <c r="B1007" s="819">
        <f>+CUBICACION!E1001</f>
        <v>0</v>
      </c>
      <c r="C1007" s="675">
        <f>+CUBICACION!F1001</f>
        <v>0</v>
      </c>
      <c r="D1007" s="118"/>
      <c r="E1007" s="118"/>
      <c r="F1007" s="820"/>
      <c r="G1007" s="675">
        <f>+CUBICACION!J1001</f>
        <v>0</v>
      </c>
      <c r="H1007" s="118"/>
      <c r="I1007" s="821">
        <f>+CUBICACION!L1001</f>
        <v>0</v>
      </c>
      <c r="J1007" s="64">
        <f>+CUBICACION!M1001</f>
        <v>0</v>
      </c>
      <c r="K1007" s="822" t="str">
        <f>+CUBICACION!N1001</f>
        <v/>
      </c>
      <c r="L1007" s="118">
        <f>+CUBICACION!O1001</f>
        <v>0</v>
      </c>
      <c r="M1007" s="823">
        <f>+CUBICACION!P1001</f>
        <v>0</v>
      </c>
      <c r="N1007" s="902">
        <f>ROUND(IF(AND(L1007="Blaze Shield II",M1007="Software Idiem",C1007="IN",G1007=4),((('BLAZE SHIELD II'!$D$4*('CALCULO MORTERO'!I1007^2)+'BLAZE SHIELD II'!$D$5*'CALCULO MORTERO'!I1007+'BLAZE SHIELD II'!$D$6)*LN(J1007))+('BLAZE SHIELD II'!$D$7*('CALCULO MORTERO'!I1007^2)+'BLAZE SHIELD II'!$D$8*'CALCULO MORTERO'!I1007+'BLAZE SHIELD II'!$D$9)),0)+IF(AND(L1007="Blaze Shield II",M1007="Software Idiem",C1007="Cj"),((('BLAZE SHIELD II'!$H$4*('CALCULO MORTERO'!I1007^2)+'BLAZE SHIELD II'!$H$5*'CALCULO MORTERO'!I1007+'BLAZE SHIELD II'!$H$6)*LN(J1007))+('BLAZE SHIELD II'!$H$7*('CALCULO MORTERO'!I1007^2)+'BLAZE SHIELD II'!$H$8*'CALCULO MORTERO'!I1007+'BLAZE SHIELD II'!$H$9)),0)+IF(AND(L1007="Blaze Shield II",M1007="Software Idiem",C1007="C"),((('BLAZE SHIELD II'!$L$4*('CALCULO MORTERO'!I1007^2)+'BLAZE SHIELD II'!$L$5*'CALCULO MORTERO'!I1007+'BLAZE SHIELD II'!$L$6)*LN(J1007))+('BLAZE SHIELD II'!$L$7*('CALCULO MORTERO'!I1007^2)+'BLAZE SHIELD II'!$L$8*'CALCULO MORTERO'!I1007+'BLAZE SHIELD II'!$L$9)),0)+IF(AND(L1007="Blaze Shield II",M1007="Software Idiem",C1007="L"),((('BLAZE SHIELD II'!$L$4*('CALCULO MORTERO'!I1007^2)+'BLAZE SHIELD II'!$L$5*'CALCULO MORTERO'!I1007+'BLAZE SHIELD II'!$L$6)*LN(J1007))+('BLAZE SHIELD II'!$L$7*('CALCULO MORTERO'!I1007^2)+'BLAZE SHIELD II'!$L$8*'CALCULO MORTERO'!I1007+'BLAZE SHIELD II'!$L$9)),0)+IF(AND(L1007="Blaze Shield II",M1007="Software Idiem",C1007="IN",G1007=3),((('BLAZE SHIELD II'!$H$14*('CALCULO MORTERO'!I1007^2)+'BLAZE SHIELD II'!$H$15*'CALCULO MORTERO'!I1007+'BLAZE SHIELD II'!$H$16)*LN(J1007))+('BLAZE SHIELD II'!$H$17*('CALCULO MORTERO'!I1007^2)+'BLAZE SHIELD II'!$H$18*'CALCULO MORTERO'!I1007+'BLAZE SHIELD II'!$H$19)),0),0)+ROUND(IF(AND(L1007="Cafco 400",M1007="Software Idiem",C1007="IN",G1007=4),((('CAFCO 400 '!$H$7*(J1007^4)+'CAFCO 400 '!$H$8*(J1007^3)+'CAFCO 400 '!$H$9*(J1007^2)+'CAFCO 400 '!$H$10*J1007+'CAFCO 400 '!$H$11)*U1007^2)+(('CAFCO 400 '!$H$12*(J1007^3)+'CAFCO 400 '!$H$13*(J1007^2)+'CAFCO 400 '!$H$14*J1007+'CAFCO 400 '!$H$15)*U1007)+('CAFCO 400 '!$H$16*(J1007^2)+'CAFCO 400 '!$H$17*J1007+'CAFCO 400 '!$H$18)),0)+IF(AND(L1007="Cafco 400",M1007="Software Idiem",C1007="Cj"),(((('CAFCO 400 '!$D$7*LN(J1007)+'CAFCO 400 '!$D$8)*U1007^2)+(('CAFCO 400 '!$D$9*LN(J1007)+'CAFCO 400 '!$D$10)*U1007)+('CAFCO 400 '!$D$11*LN(J1007)+'CAFCO 400 '!$D$12))),0)+IF(AND(L1007="Cafco 400",M1007="Software Idiem",C1007="C"),((('CAFCO 400 '!$L$7*(J1007^3)+'CAFCO 400 '!$L$8*(J1007^2)+'CAFCO 400 '!$L$9*J1007+'CAFCO 400 '!$L$10)*U1007^2)+(('CAFCO 400 '!$L$11*(J1007^3)+'CAFCO 400 '!$L$12*(J1007^2)+'CAFCO 400 '!$L$13*J1007+'CAFCO 400 '!$L$14)*U1007)+('CAFCO 400 '!$L$15*LN(J1007)+'CAFCO 400 '!$L$16)),0)+IF(AND(L1007="Cafco 400",M1007="Software Idiem",C1007="L"),((('CAFCO 400 '!$L$7*(J1007^3)+'CAFCO 400 '!$L$8*(J1007^2)+'CAFCO 400 '!$L$9*J1007+'CAFCO 400 '!$L$10)*U1007^2)+(('CAFCO 400 '!$L$11*(J1007^3)+'CAFCO 400 '!$L$12*(J1007^2)+'CAFCO 400 '!$L$13*J1007+'CAFCO 400 '!$L$14)*U1007)+('CAFCO 400 '!$L$15*LN(J1007)+'CAFCO 400 '!$L$16)),0)+IF(AND(L1007="Cafco 400",M1007="Software Idiem",C1007="IN",G1007=3),((('CAFCO 400 '!$D$23*(J1007^2)+'CAFCO 400 '!$D$24*(J1007)+'CAFCO 400 '!$D$25)*U1007^2)+(('CAFCO 400 '!$D$26*(J1007^2)+'CAFCO 400 '!$D$27*J1007+'CAFCO 400 '!$D$28)*U1007)+('CAFCO 400 '!$D$29*(J1007^2)+'CAFCO 400 '!$D$30*J1007+'CAFCO 400 '!$D$31)),0),0)+IF(AND(L1007="Cafco 300",J1007&gt;=95,J1007&lt;=240,C1007="Cj",I1007=90),VLOOKUP(T1007,'CAFCO 300 IDIEM TABLAS'!$B$4:$D$23,2,FALSE),0)+IF(AND(L1007="Cafco 300",J1007&gt;=95,J1007&lt;=240,C1007="Cj",I1007=120),VLOOKUP(T1007,'CAFCO 300 IDIEM TABLAS'!$B$4:$D$23,3,FALSE),0)+IF(AND(L1007="Cafco 300",J1007&gt;=95,J1007&lt;=400,G1007=3,C1007="IN",I1007=90),VLOOKUP(T1007,'CAFCO 300 IDIEM TABLAS'!$F$4:$H$35,2,FALSE),0)+IF(AND(L1007="Cafco 300",J1007&gt;=95,J1007&lt;=400,G1007=3,C1007="IN",I1007=120),VLOOKUP(T1007,'CAFCO 300 IDIEM TABLAS'!$F$4:$H$35,3,FALSE),0)+IF(AND(L1007="Cafco 300",J1007&gt;=95,J1007&lt;=450,G1007=4,C1007="IN",I1007=90),VLOOKUP(T1007,'CAFCO 300 IDIEM TABLAS'!$J$4:$L$40,2,FALSE),0)+IF(AND(L1007="Cafco 300",J1007&gt;=95,J1007&lt;=450,G1007=4,C1007="IN",I1007=120),VLOOKUP(T1007,'CAFCO 300 IDIEM TABLAS'!$J$4:$L$40,3,FALSE),0)+IF(AND(M1007="Ensayo Idiem",L1007="Cafco 400",C1007="IN",G1007=4,I1007=90),VLOOKUP(T1007,'CAFCO 400 ENSAYO'!$B$7:$D$43,2,FALSE),0)+IF(AND(M1007="Ensayo Idiem",L1007="Cafco 400",C1007="IN",G1007=4,I1007=120),VLOOKUP(T1007,'CAFCO 400 ENSAYO'!$B$7:$D$43,3,FALSE),0)</f>
        <v>0</v>
      </c>
      <c r="O1007" s="96">
        <f t="shared" si="102"/>
        <v>0</v>
      </c>
      <c r="P1007" s="132" t="str">
        <f t="shared" si="97"/>
        <v>N/A</v>
      </c>
      <c r="Q1007" s="132" t="str">
        <f t="shared" si="98"/>
        <v>N/A</v>
      </c>
      <c r="R1007" s="132" t="str">
        <f t="shared" si="99"/>
        <v>NO CERT.</v>
      </c>
      <c r="S1007" s="132" t="e">
        <f t="shared" si="100"/>
        <v>#N/A</v>
      </c>
      <c r="T1007" s="133" t="e">
        <f>+IF(J1007=LOOKUP(J1007,'CAFCO 300 IDIEM TABLAS'!$J$4:$J$40),'CALCULO MORTERO'!J1007,MROUND('CALCULO MORTERO'!J1007,10))</f>
        <v>#N/A</v>
      </c>
      <c r="U1007" s="134">
        <f t="shared" si="101"/>
        <v>0</v>
      </c>
    </row>
    <row r="1008" spans="1:21" x14ac:dyDescent="0.25">
      <c r="A1008" s="118">
        <f>+CUBICACION!D1002</f>
        <v>0</v>
      </c>
      <c r="B1008" s="819">
        <f>+CUBICACION!E1002</f>
        <v>0</v>
      </c>
      <c r="C1008" s="675">
        <f>+CUBICACION!F1002</f>
        <v>0</v>
      </c>
      <c r="D1008" s="118"/>
      <c r="E1008" s="118"/>
      <c r="F1008" s="820"/>
      <c r="G1008" s="675">
        <f>+CUBICACION!J1002</f>
        <v>0</v>
      </c>
      <c r="H1008" s="118"/>
      <c r="I1008" s="821">
        <f>+CUBICACION!L1002</f>
        <v>0</v>
      </c>
      <c r="J1008" s="64">
        <f>+CUBICACION!M1002</f>
        <v>0</v>
      </c>
      <c r="K1008" s="822" t="str">
        <f>+CUBICACION!N1002</f>
        <v/>
      </c>
      <c r="L1008" s="118">
        <f>+CUBICACION!O1002</f>
        <v>0</v>
      </c>
      <c r="M1008" s="823">
        <f>+CUBICACION!P1002</f>
        <v>0</v>
      </c>
      <c r="N1008" s="902">
        <f>ROUND(IF(AND(L1008="Blaze Shield II",M1008="Software Idiem",C1008="IN",G1008=4),((('BLAZE SHIELD II'!$D$4*('CALCULO MORTERO'!I1008^2)+'BLAZE SHIELD II'!$D$5*'CALCULO MORTERO'!I1008+'BLAZE SHIELD II'!$D$6)*LN(J1008))+('BLAZE SHIELD II'!$D$7*('CALCULO MORTERO'!I1008^2)+'BLAZE SHIELD II'!$D$8*'CALCULO MORTERO'!I1008+'BLAZE SHIELD II'!$D$9)),0)+IF(AND(L1008="Blaze Shield II",M1008="Software Idiem",C1008="Cj"),((('BLAZE SHIELD II'!$H$4*('CALCULO MORTERO'!I1008^2)+'BLAZE SHIELD II'!$H$5*'CALCULO MORTERO'!I1008+'BLAZE SHIELD II'!$H$6)*LN(J1008))+('BLAZE SHIELD II'!$H$7*('CALCULO MORTERO'!I1008^2)+'BLAZE SHIELD II'!$H$8*'CALCULO MORTERO'!I1008+'BLAZE SHIELD II'!$H$9)),0)+IF(AND(L1008="Blaze Shield II",M1008="Software Idiem",C1008="C"),((('BLAZE SHIELD II'!$L$4*('CALCULO MORTERO'!I1008^2)+'BLAZE SHIELD II'!$L$5*'CALCULO MORTERO'!I1008+'BLAZE SHIELD II'!$L$6)*LN(J1008))+('BLAZE SHIELD II'!$L$7*('CALCULO MORTERO'!I1008^2)+'BLAZE SHIELD II'!$L$8*'CALCULO MORTERO'!I1008+'BLAZE SHIELD II'!$L$9)),0)+IF(AND(L1008="Blaze Shield II",M1008="Software Idiem",C1008="L"),((('BLAZE SHIELD II'!$L$4*('CALCULO MORTERO'!I1008^2)+'BLAZE SHIELD II'!$L$5*'CALCULO MORTERO'!I1008+'BLAZE SHIELD II'!$L$6)*LN(J1008))+('BLAZE SHIELD II'!$L$7*('CALCULO MORTERO'!I1008^2)+'BLAZE SHIELD II'!$L$8*'CALCULO MORTERO'!I1008+'BLAZE SHIELD II'!$L$9)),0)+IF(AND(L1008="Blaze Shield II",M1008="Software Idiem",C1008="IN",G1008=3),((('BLAZE SHIELD II'!$H$14*('CALCULO MORTERO'!I1008^2)+'BLAZE SHIELD II'!$H$15*'CALCULO MORTERO'!I1008+'BLAZE SHIELD II'!$H$16)*LN(J1008))+('BLAZE SHIELD II'!$H$17*('CALCULO MORTERO'!I1008^2)+'BLAZE SHIELD II'!$H$18*'CALCULO MORTERO'!I1008+'BLAZE SHIELD II'!$H$19)),0),0)+ROUND(IF(AND(L1008="Cafco 400",M1008="Software Idiem",C1008="IN",G1008=4),((('CAFCO 400 '!$H$7*(J1008^4)+'CAFCO 400 '!$H$8*(J1008^3)+'CAFCO 400 '!$H$9*(J1008^2)+'CAFCO 400 '!$H$10*J1008+'CAFCO 400 '!$H$11)*U1008^2)+(('CAFCO 400 '!$H$12*(J1008^3)+'CAFCO 400 '!$H$13*(J1008^2)+'CAFCO 400 '!$H$14*J1008+'CAFCO 400 '!$H$15)*U1008)+('CAFCO 400 '!$H$16*(J1008^2)+'CAFCO 400 '!$H$17*J1008+'CAFCO 400 '!$H$18)),0)+IF(AND(L1008="Cafco 400",M1008="Software Idiem",C1008="Cj"),(((('CAFCO 400 '!$D$7*LN(J1008)+'CAFCO 400 '!$D$8)*U1008^2)+(('CAFCO 400 '!$D$9*LN(J1008)+'CAFCO 400 '!$D$10)*U1008)+('CAFCO 400 '!$D$11*LN(J1008)+'CAFCO 400 '!$D$12))),0)+IF(AND(L1008="Cafco 400",M1008="Software Idiem",C1008="C"),((('CAFCO 400 '!$L$7*(J1008^3)+'CAFCO 400 '!$L$8*(J1008^2)+'CAFCO 400 '!$L$9*J1008+'CAFCO 400 '!$L$10)*U1008^2)+(('CAFCO 400 '!$L$11*(J1008^3)+'CAFCO 400 '!$L$12*(J1008^2)+'CAFCO 400 '!$L$13*J1008+'CAFCO 400 '!$L$14)*U1008)+('CAFCO 400 '!$L$15*LN(J1008)+'CAFCO 400 '!$L$16)),0)+IF(AND(L1008="Cafco 400",M1008="Software Idiem",C1008="L"),((('CAFCO 400 '!$L$7*(J1008^3)+'CAFCO 400 '!$L$8*(J1008^2)+'CAFCO 400 '!$L$9*J1008+'CAFCO 400 '!$L$10)*U1008^2)+(('CAFCO 400 '!$L$11*(J1008^3)+'CAFCO 400 '!$L$12*(J1008^2)+'CAFCO 400 '!$L$13*J1008+'CAFCO 400 '!$L$14)*U1008)+('CAFCO 400 '!$L$15*LN(J1008)+'CAFCO 400 '!$L$16)),0)+IF(AND(L1008="Cafco 400",M1008="Software Idiem",C1008="IN",G1008=3),((('CAFCO 400 '!$D$23*(J1008^2)+'CAFCO 400 '!$D$24*(J1008)+'CAFCO 400 '!$D$25)*U1008^2)+(('CAFCO 400 '!$D$26*(J1008^2)+'CAFCO 400 '!$D$27*J1008+'CAFCO 400 '!$D$28)*U1008)+('CAFCO 400 '!$D$29*(J1008^2)+'CAFCO 400 '!$D$30*J1008+'CAFCO 400 '!$D$31)),0),0)+IF(AND(L1008="Cafco 300",J1008&gt;=95,J1008&lt;=240,C1008="Cj",I1008=90),VLOOKUP(T1008,'CAFCO 300 IDIEM TABLAS'!$B$4:$D$23,2,FALSE),0)+IF(AND(L1008="Cafco 300",J1008&gt;=95,J1008&lt;=240,C1008="Cj",I1008=120),VLOOKUP(T1008,'CAFCO 300 IDIEM TABLAS'!$B$4:$D$23,3,FALSE),0)+IF(AND(L1008="Cafco 300",J1008&gt;=95,J1008&lt;=400,G1008=3,C1008="IN",I1008=90),VLOOKUP(T1008,'CAFCO 300 IDIEM TABLAS'!$F$4:$H$35,2,FALSE),0)+IF(AND(L1008="Cafco 300",J1008&gt;=95,J1008&lt;=400,G1008=3,C1008="IN",I1008=120),VLOOKUP(T1008,'CAFCO 300 IDIEM TABLAS'!$F$4:$H$35,3,FALSE),0)+IF(AND(L1008="Cafco 300",J1008&gt;=95,J1008&lt;=450,G1008=4,C1008="IN",I1008=90),VLOOKUP(T1008,'CAFCO 300 IDIEM TABLAS'!$J$4:$L$40,2,FALSE),0)+IF(AND(L1008="Cafco 300",J1008&gt;=95,J1008&lt;=450,G1008=4,C1008="IN",I1008=120),VLOOKUP(T1008,'CAFCO 300 IDIEM TABLAS'!$J$4:$L$40,3,FALSE),0)+IF(AND(M1008="Ensayo Idiem",L1008="Cafco 400",C1008="IN",G1008=4,I1008=90),VLOOKUP(T1008,'CAFCO 400 ENSAYO'!$B$7:$D$43,2,FALSE),0)+IF(AND(M1008="Ensayo Idiem",L1008="Cafco 400",C1008="IN",G1008=4,I1008=120),VLOOKUP(T1008,'CAFCO 400 ENSAYO'!$B$7:$D$43,3,FALSE),0)</f>
        <v>0</v>
      </c>
      <c r="O1008" s="96">
        <f t="shared" si="102"/>
        <v>0</v>
      </c>
      <c r="P1008" s="95" t="str">
        <f t="shared" si="97"/>
        <v>N/A</v>
      </c>
      <c r="Q1008" s="95" t="str">
        <f t="shared" si="98"/>
        <v>N/A</v>
      </c>
      <c r="R1008" s="95" t="str">
        <f t="shared" si="99"/>
        <v>NO CERT.</v>
      </c>
      <c r="S1008" s="95" t="e">
        <f t="shared" si="100"/>
        <v>#N/A</v>
      </c>
      <c r="T1008" s="119" t="e">
        <f>+IF(J1008=LOOKUP(J1008,'CAFCO 300 IDIEM TABLAS'!$J$4:$J$40),'CALCULO MORTERO'!J1008,MROUND('CALCULO MORTERO'!J1008,10))</f>
        <v>#N/A</v>
      </c>
      <c r="U1008" s="118">
        <f t="shared" si="101"/>
        <v>0</v>
      </c>
    </row>
    <row r="1009" spans="1:21" x14ac:dyDescent="0.25">
      <c r="A1009" s="118">
        <f>+CUBICACION!D1003</f>
        <v>0</v>
      </c>
      <c r="B1009" s="819">
        <f>+CUBICACION!E1003</f>
        <v>0</v>
      </c>
      <c r="C1009" s="675">
        <f>+CUBICACION!F1003</f>
        <v>0</v>
      </c>
      <c r="D1009" s="118"/>
      <c r="E1009" s="118"/>
      <c r="F1009" s="820"/>
      <c r="G1009" s="675">
        <f>+CUBICACION!J1003</f>
        <v>0</v>
      </c>
      <c r="H1009" s="118"/>
      <c r="I1009" s="821">
        <f>+CUBICACION!L1003</f>
        <v>0</v>
      </c>
      <c r="J1009" s="64">
        <f>+CUBICACION!M1003</f>
        <v>0</v>
      </c>
      <c r="K1009" s="822" t="str">
        <f>+CUBICACION!N1003</f>
        <v/>
      </c>
      <c r="L1009" s="118">
        <f>+CUBICACION!O1003</f>
        <v>0</v>
      </c>
      <c r="M1009" s="823">
        <f>+CUBICACION!P1003</f>
        <v>0</v>
      </c>
      <c r="N1009" s="902">
        <f>ROUND(IF(AND(L1009="Blaze Shield II",M1009="Software Idiem",C1009="IN",G1009=4),((('BLAZE SHIELD II'!$D$4*('CALCULO MORTERO'!I1009^2)+'BLAZE SHIELD II'!$D$5*'CALCULO MORTERO'!I1009+'BLAZE SHIELD II'!$D$6)*LN(J1009))+('BLAZE SHIELD II'!$D$7*('CALCULO MORTERO'!I1009^2)+'BLAZE SHIELD II'!$D$8*'CALCULO MORTERO'!I1009+'BLAZE SHIELD II'!$D$9)),0)+IF(AND(L1009="Blaze Shield II",M1009="Software Idiem",C1009="Cj"),((('BLAZE SHIELD II'!$H$4*('CALCULO MORTERO'!I1009^2)+'BLAZE SHIELD II'!$H$5*'CALCULO MORTERO'!I1009+'BLAZE SHIELD II'!$H$6)*LN(J1009))+('BLAZE SHIELD II'!$H$7*('CALCULO MORTERO'!I1009^2)+'BLAZE SHIELD II'!$H$8*'CALCULO MORTERO'!I1009+'BLAZE SHIELD II'!$H$9)),0)+IF(AND(L1009="Blaze Shield II",M1009="Software Idiem",C1009="C"),((('BLAZE SHIELD II'!$L$4*('CALCULO MORTERO'!I1009^2)+'BLAZE SHIELD II'!$L$5*'CALCULO MORTERO'!I1009+'BLAZE SHIELD II'!$L$6)*LN(J1009))+('BLAZE SHIELD II'!$L$7*('CALCULO MORTERO'!I1009^2)+'BLAZE SHIELD II'!$L$8*'CALCULO MORTERO'!I1009+'BLAZE SHIELD II'!$L$9)),0)+IF(AND(L1009="Blaze Shield II",M1009="Software Idiem",C1009="L"),((('BLAZE SHIELD II'!$L$4*('CALCULO MORTERO'!I1009^2)+'BLAZE SHIELD II'!$L$5*'CALCULO MORTERO'!I1009+'BLAZE SHIELD II'!$L$6)*LN(J1009))+('BLAZE SHIELD II'!$L$7*('CALCULO MORTERO'!I1009^2)+'BLAZE SHIELD II'!$L$8*'CALCULO MORTERO'!I1009+'BLAZE SHIELD II'!$L$9)),0)+IF(AND(L1009="Blaze Shield II",M1009="Software Idiem",C1009="IN",G1009=3),((('BLAZE SHIELD II'!$H$14*('CALCULO MORTERO'!I1009^2)+'BLAZE SHIELD II'!$H$15*'CALCULO MORTERO'!I1009+'BLAZE SHIELD II'!$H$16)*LN(J1009))+('BLAZE SHIELD II'!$H$17*('CALCULO MORTERO'!I1009^2)+'BLAZE SHIELD II'!$H$18*'CALCULO MORTERO'!I1009+'BLAZE SHIELD II'!$H$19)),0),0)+ROUND(IF(AND(L1009="Cafco 400",M1009="Software Idiem",C1009="IN",G1009=4),((('CAFCO 400 '!$H$7*(J1009^4)+'CAFCO 400 '!$H$8*(J1009^3)+'CAFCO 400 '!$H$9*(J1009^2)+'CAFCO 400 '!$H$10*J1009+'CAFCO 400 '!$H$11)*U1009^2)+(('CAFCO 400 '!$H$12*(J1009^3)+'CAFCO 400 '!$H$13*(J1009^2)+'CAFCO 400 '!$H$14*J1009+'CAFCO 400 '!$H$15)*U1009)+('CAFCO 400 '!$H$16*(J1009^2)+'CAFCO 400 '!$H$17*J1009+'CAFCO 400 '!$H$18)),0)+IF(AND(L1009="Cafco 400",M1009="Software Idiem",C1009="Cj"),(((('CAFCO 400 '!$D$7*LN(J1009)+'CAFCO 400 '!$D$8)*U1009^2)+(('CAFCO 400 '!$D$9*LN(J1009)+'CAFCO 400 '!$D$10)*U1009)+('CAFCO 400 '!$D$11*LN(J1009)+'CAFCO 400 '!$D$12))),0)+IF(AND(L1009="Cafco 400",M1009="Software Idiem",C1009="C"),((('CAFCO 400 '!$L$7*(J1009^3)+'CAFCO 400 '!$L$8*(J1009^2)+'CAFCO 400 '!$L$9*J1009+'CAFCO 400 '!$L$10)*U1009^2)+(('CAFCO 400 '!$L$11*(J1009^3)+'CAFCO 400 '!$L$12*(J1009^2)+'CAFCO 400 '!$L$13*J1009+'CAFCO 400 '!$L$14)*U1009)+('CAFCO 400 '!$L$15*LN(J1009)+'CAFCO 400 '!$L$16)),0)+IF(AND(L1009="Cafco 400",M1009="Software Idiem",C1009="L"),((('CAFCO 400 '!$L$7*(J1009^3)+'CAFCO 400 '!$L$8*(J1009^2)+'CAFCO 400 '!$L$9*J1009+'CAFCO 400 '!$L$10)*U1009^2)+(('CAFCO 400 '!$L$11*(J1009^3)+'CAFCO 400 '!$L$12*(J1009^2)+'CAFCO 400 '!$L$13*J1009+'CAFCO 400 '!$L$14)*U1009)+('CAFCO 400 '!$L$15*LN(J1009)+'CAFCO 400 '!$L$16)),0)+IF(AND(L1009="Cafco 400",M1009="Software Idiem",C1009="IN",G1009=3),((('CAFCO 400 '!$D$23*(J1009^2)+'CAFCO 400 '!$D$24*(J1009)+'CAFCO 400 '!$D$25)*U1009^2)+(('CAFCO 400 '!$D$26*(J1009^2)+'CAFCO 400 '!$D$27*J1009+'CAFCO 400 '!$D$28)*U1009)+('CAFCO 400 '!$D$29*(J1009^2)+'CAFCO 400 '!$D$30*J1009+'CAFCO 400 '!$D$31)),0),0)+IF(AND(L1009="Cafco 300",J1009&gt;=95,J1009&lt;=240,C1009="Cj",I1009=90),VLOOKUP(T1009,'CAFCO 300 IDIEM TABLAS'!$B$4:$D$23,2,FALSE),0)+IF(AND(L1009="Cafco 300",J1009&gt;=95,J1009&lt;=240,C1009="Cj",I1009=120),VLOOKUP(T1009,'CAFCO 300 IDIEM TABLAS'!$B$4:$D$23,3,FALSE),0)+IF(AND(L1009="Cafco 300",J1009&gt;=95,J1009&lt;=400,G1009=3,C1009="IN",I1009=90),VLOOKUP(T1009,'CAFCO 300 IDIEM TABLAS'!$F$4:$H$35,2,FALSE),0)+IF(AND(L1009="Cafco 300",J1009&gt;=95,J1009&lt;=400,G1009=3,C1009="IN",I1009=120),VLOOKUP(T1009,'CAFCO 300 IDIEM TABLAS'!$F$4:$H$35,3,FALSE),0)+IF(AND(L1009="Cafco 300",J1009&gt;=95,J1009&lt;=450,G1009=4,C1009="IN",I1009=90),VLOOKUP(T1009,'CAFCO 300 IDIEM TABLAS'!$J$4:$L$40,2,FALSE),0)+IF(AND(L1009="Cafco 300",J1009&gt;=95,J1009&lt;=450,G1009=4,C1009="IN",I1009=120),VLOOKUP(T1009,'CAFCO 300 IDIEM TABLAS'!$J$4:$L$40,3,FALSE),0)+IF(AND(M1009="Ensayo Idiem",L1009="Cafco 400",C1009="IN",G1009=4,I1009=90),VLOOKUP(T1009,'CAFCO 400 ENSAYO'!$B$7:$D$43,2,FALSE),0)+IF(AND(M1009="Ensayo Idiem",L1009="Cafco 400",C1009="IN",G1009=4,I1009=120),VLOOKUP(T1009,'CAFCO 400 ENSAYO'!$B$7:$D$43,3,FALSE),0)</f>
        <v>0</v>
      </c>
      <c r="O1009" s="96">
        <f t="shared" si="102"/>
        <v>0</v>
      </c>
      <c r="P1009" s="132" t="str">
        <f t="shared" si="97"/>
        <v>N/A</v>
      </c>
      <c r="Q1009" s="132" t="str">
        <f t="shared" si="98"/>
        <v>N/A</v>
      </c>
      <c r="R1009" s="132" t="str">
        <f t="shared" si="99"/>
        <v>NO CERT.</v>
      </c>
      <c r="S1009" s="132" t="e">
        <f t="shared" si="100"/>
        <v>#N/A</v>
      </c>
      <c r="T1009" s="133" t="e">
        <f>+IF(J1009=LOOKUP(J1009,'CAFCO 300 IDIEM TABLAS'!$J$4:$J$40),'CALCULO MORTERO'!J1009,MROUND('CALCULO MORTERO'!J1009,10))</f>
        <v>#N/A</v>
      </c>
      <c r="U1009" s="134">
        <f t="shared" si="101"/>
        <v>0</v>
      </c>
    </row>
    <row r="1010" spans="1:21" x14ac:dyDescent="0.25">
      <c r="A1010" s="118">
        <f>+CUBICACION!D1004</f>
        <v>0</v>
      </c>
      <c r="B1010" s="819">
        <f>+CUBICACION!E1004</f>
        <v>0</v>
      </c>
      <c r="C1010" s="675">
        <f>+CUBICACION!F1004</f>
        <v>0</v>
      </c>
      <c r="D1010" s="118"/>
      <c r="E1010" s="118"/>
      <c r="F1010" s="820"/>
      <c r="G1010" s="675">
        <f>+CUBICACION!J1004</f>
        <v>0</v>
      </c>
      <c r="H1010" s="118"/>
      <c r="I1010" s="821">
        <f>+CUBICACION!L1004</f>
        <v>0</v>
      </c>
      <c r="J1010" s="64">
        <f>+CUBICACION!M1004</f>
        <v>0</v>
      </c>
      <c r="K1010" s="822" t="str">
        <f>+CUBICACION!N1004</f>
        <v/>
      </c>
      <c r="L1010" s="118">
        <f>+CUBICACION!O1004</f>
        <v>0</v>
      </c>
      <c r="M1010" s="823">
        <f>+CUBICACION!P1004</f>
        <v>0</v>
      </c>
      <c r="N1010" s="902">
        <f>ROUND(IF(AND(L1010="Blaze Shield II",M1010="Software Idiem",C1010="IN",G1010=4),((('BLAZE SHIELD II'!$D$4*('CALCULO MORTERO'!I1010^2)+'BLAZE SHIELD II'!$D$5*'CALCULO MORTERO'!I1010+'BLAZE SHIELD II'!$D$6)*LN(J1010))+('BLAZE SHIELD II'!$D$7*('CALCULO MORTERO'!I1010^2)+'BLAZE SHIELD II'!$D$8*'CALCULO MORTERO'!I1010+'BLAZE SHIELD II'!$D$9)),0)+IF(AND(L1010="Blaze Shield II",M1010="Software Idiem",C1010="Cj"),((('BLAZE SHIELD II'!$H$4*('CALCULO MORTERO'!I1010^2)+'BLAZE SHIELD II'!$H$5*'CALCULO MORTERO'!I1010+'BLAZE SHIELD II'!$H$6)*LN(J1010))+('BLAZE SHIELD II'!$H$7*('CALCULO MORTERO'!I1010^2)+'BLAZE SHIELD II'!$H$8*'CALCULO MORTERO'!I1010+'BLAZE SHIELD II'!$H$9)),0)+IF(AND(L1010="Blaze Shield II",M1010="Software Idiem",C1010="C"),((('BLAZE SHIELD II'!$L$4*('CALCULO MORTERO'!I1010^2)+'BLAZE SHIELD II'!$L$5*'CALCULO MORTERO'!I1010+'BLAZE SHIELD II'!$L$6)*LN(J1010))+('BLAZE SHIELD II'!$L$7*('CALCULO MORTERO'!I1010^2)+'BLAZE SHIELD II'!$L$8*'CALCULO MORTERO'!I1010+'BLAZE SHIELD II'!$L$9)),0)+IF(AND(L1010="Blaze Shield II",M1010="Software Idiem",C1010="L"),((('BLAZE SHIELD II'!$L$4*('CALCULO MORTERO'!I1010^2)+'BLAZE SHIELD II'!$L$5*'CALCULO MORTERO'!I1010+'BLAZE SHIELD II'!$L$6)*LN(J1010))+('BLAZE SHIELD II'!$L$7*('CALCULO MORTERO'!I1010^2)+'BLAZE SHIELD II'!$L$8*'CALCULO MORTERO'!I1010+'BLAZE SHIELD II'!$L$9)),0)+IF(AND(L1010="Blaze Shield II",M1010="Software Idiem",C1010="IN",G1010=3),((('BLAZE SHIELD II'!$H$14*('CALCULO MORTERO'!I1010^2)+'BLAZE SHIELD II'!$H$15*'CALCULO MORTERO'!I1010+'BLAZE SHIELD II'!$H$16)*LN(J1010))+('BLAZE SHIELD II'!$H$17*('CALCULO MORTERO'!I1010^2)+'BLAZE SHIELD II'!$H$18*'CALCULO MORTERO'!I1010+'BLAZE SHIELD II'!$H$19)),0),0)+ROUND(IF(AND(L1010="Cafco 400",M1010="Software Idiem",C1010="IN",G1010=4),((('CAFCO 400 '!$H$7*(J1010^4)+'CAFCO 400 '!$H$8*(J1010^3)+'CAFCO 400 '!$H$9*(J1010^2)+'CAFCO 400 '!$H$10*J1010+'CAFCO 400 '!$H$11)*U1010^2)+(('CAFCO 400 '!$H$12*(J1010^3)+'CAFCO 400 '!$H$13*(J1010^2)+'CAFCO 400 '!$H$14*J1010+'CAFCO 400 '!$H$15)*U1010)+('CAFCO 400 '!$H$16*(J1010^2)+'CAFCO 400 '!$H$17*J1010+'CAFCO 400 '!$H$18)),0)+IF(AND(L1010="Cafco 400",M1010="Software Idiem",C1010="Cj"),(((('CAFCO 400 '!$D$7*LN(J1010)+'CAFCO 400 '!$D$8)*U1010^2)+(('CAFCO 400 '!$D$9*LN(J1010)+'CAFCO 400 '!$D$10)*U1010)+('CAFCO 400 '!$D$11*LN(J1010)+'CAFCO 400 '!$D$12))),0)+IF(AND(L1010="Cafco 400",M1010="Software Idiem",C1010="C"),((('CAFCO 400 '!$L$7*(J1010^3)+'CAFCO 400 '!$L$8*(J1010^2)+'CAFCO 400 '!$L$9*J1010+'CAFCO 400 '!$L$10)*U1010^2)+(('CAFCO 400 '!$L$11*(J1010^3)+'CAFCO 400 '!$L$12*(J1010^2)+'CAFCO 400 '!$L$13*J1010+'CAFCO 400 '!$L$14)*U1010)+('CAFCO 400 '!$L$15*LN(J1010)+'CAFCO 400 '!$L$16)),0)+IF(AND(L1010="Cafco 400",M1010="Software Idiem",C1010="L"),((('CAFCO 400 '!$L$7*(J1010^3)+'CAFCO 400 '!$L$8*(J1010^2)+'CAFCO 400 '!$L$9*J1010+'CAFCO 400 '!$L$10)*U1010^2)+(('CAFCO 400 '!$L$11*(J1010^3)+'CAFCO 400 '!$L$12*(J1010^2)+'CAFCO 400 '!$L$13*J1010+'CAFCO 400 '!$L$14)*U1010)+('CAFCO 400 '!$L$15*LN(J1010)+'CAFCO 400 '!$L$16)),0)+IF(AND(L1010="Cafco 400",M1010="Software Idiem",C1010="IN",G1010=3),((('CAFCO 400 '!$D$23*(J1010^2)+'CAFCO 400 '!$D$24*(J1010)+'CAFCO 400 '!$D$25)*U1010^2)+(('CAFCO 400 '!$D$26*(J1010^2)+'CAFCO 400 '!$D$27*J1010+'CAFCO 400 '!$D$28)*U1010)+('CAFCO 400 '!$D$29*(J1010^2)+'CAFCO 400 '!$D$30*J1010+'CAFCO 400 '!$D$31)),0),0)+IF(AND(L1010="Cafco 300",J1010&gt;=95,J1010&lt;=240,C1010="Cj",I1010=90),VLOOKUP(T1010,'CAFCO 300 IDIEM TABLAS'!$B$4:$D$23,2,FALSE),0)+IF(AND(L1010="Cafco 300",J1010&gt;=95,J1010&lt;=240,C1010="Cj",I1010=120),VLOOKUP(T1010,'CAFCO 300 IDIEM TABLAS'!$B$4:$D$23,3,FALSE),0)+IF(AND(L1010="Cafco 300",J1010&gt;=95,J1010&lt;=400,G1010=3,C1010="IN",I1010=90),VLOOKUP(T1010,'CAFCO 300 IDIEM TABLAS'!$F$4:$H$35,2,FALSE),0)+IF(AND(L1010="Cafco 300",J1010&gt;=95,J1010&lt;=400,G1010=3,C1010="IN",I1010=120),VLOOKUP(T1010,'CAFCO 300 IDIEM TABLAS'!$F$4:$H$35,3,FALSE),0)+IF(AND(L1010="Cafco 300",J1010&gt;=95,J1010&lt;=450,G1010=4,C1010="IN",I1010=90),VLOOKUP(T1010,'CAFCO 300 IDIEM TABLAS'!$J$4:$L$40,2,FALSE),0)+IF(AND(L1010="Cafco 300",J1010&gt;=95,J1010&lt;=450,G1010=4,C1010="IN",I1010=120),VLOOKUP(T1010,'CAFCO 300 IDIEM TABLAS'!$J$4:$L$40,3,FALSE),0)+IF(AND(M1010="Ensayo Idiem",L1010="Cafco 400",C1010="IN",G1010=4,I1010=90),VLOOKUP(T1010,'CAFCO 400 ENSAYO'!$B$7:$D$43,2,FALSE),0)+IF(AND(M1010="Ensayo Idiem",L1010="Cafco 400",C1010="IN",G1010=4,I1010=120),VLOOKUP(T1010,'CAFCO 400 ENSAYO'!$B$7:$D$43,3,FALSE),0)</f>
        <v>0</v>
      </c>
      <c r="O1010" s="96">
        <f t="shared" si="102"/>
        <v>0</v>
      </c>
      <c r="P1010" s="95" t="str">
        <f t="shared" ref="P1010:P1073" si="103">IF(AND(M1010="Software Idiem"),IF(AND(C1010="IN",G1010=4,J1010&gt;=50,J1010&lt;=500),"CERT.",IF(AND(C1010="Cj",J1010&gt;=50,J1010&lt;=500),"CERT.",IF(AND(C1010="C",J1010&gt;=50,J1010&lt;=1000),"CERT.",IF(AND(C1010="L",J1010&gt;=50,J1010&lt;=1000),"CERT.",IF(AND(C1010="IN",G1010=3,J1010&gt;=50,J1010&lt;=500),"CERT.","NO CERT."))))),"N/A")</f>
        <v>N/A</v>
      </c>
      <c r="Q1010" s="95" t="str">
        <f t="shared" ref="Q1010:Q1073" si="104">IF(AND(M1010="Software Idiem"),IF(AND(C1010="IN",G1010=4,J1010&gt;=50,J1010&lt;=500),"CERT.",IF(AND(C1010="Cj",J1010&gt;=50,J1010&lt;=500),"CERT.",IF(AND(C1010="C",J1010&gt;=50,J1010&lt;=1000),"CERT.",IF(AND(C1010="L",J1010&gt;=50,J1010&lt;=1000),"CERT.",IF(AND(C1010="IN",G1010=3,J1010&gt;=50,J1010&lt;=500),"CERT.","NO CERT."))))),"N/A")</f>
        <v>N/A</v>
      </c>
      <c r="R1010" s="95" t="str">
        <f t="shared" ref="R1010:R1073" si="105">IF(AND(C1010="IN",G1010=4,J1010&gt;=95,J1010&lt;=450,I1010=90),"CERT.",IF(AND(C1010="IN",G1010=4,J1010&gt;=95,J1010&lt;=450,I1010=120),"CERT.","NO CERT."))</f>
        <v>NO CERT.</v>
      </c>
      <c r="S1010" s="95" t="e">
        <f t="shared" ref="S1010:S1073" si="106">IF(AND(C1010="Cj",I1010=90,T1010&lt;=240),"CERT.",IF(AND(C1010="Cj",I1010=120,T1010&lt;=240),"CERT.",IF(AND(C1010="IN",G1010=3,I1010=90,T1010&lt;=400),"CERT.",IF(AND(C1010="IN",G1010=3,I1010=120,T1010&lt;=400),"CERT.",IF(AND(C1010="IN",G1010=4,I1010=90,T1010&lt;=450),"CERT.",IF(AND(C1010="IN",G1010=4,I1010=120,T1010&lt;=450),"CERT.","NO CERT."))))))</f>
        <v>#N/A</v>
      </c>
      <c r="T1010" s="119" t="e">
        <f>+IF(J1010=LOOKUP(J1010,'CAFCO 300 IDIEM TABLAS'!$J$4:$J$40),'CALCULO MORTERO'!J1010,MROUND('CALCULO MORTERO'!J1010,10))</f>
        <v>#N/A</v>
      </c>
      <c r="U1010" s="118">
        <f t="shared" ref="U1010:U1073" si="107">+I1010*60</f>
        <v>0</v>
      </c>
    </row>
    <row r="1011" spans="1:21" x14ac:dyDescent="0.25">
      <c r="A1011" s="118">
        <f>+CUBICACION!D1005</f>
        <v>0</v>
      </c>
      <c r="B1011" s="819">
        <f>+CUBICACION!E1005</f>
        <v>0</v>
      </c>
      <c r="C1011" s="675">
        <f>+CUBICACION!F1005</f>
        <v>0</v>
      </c>
      <c r="D1011" s="118"/>
      <c r="E1011" s="118"/>
      <c r="F1011" s="820"/>
      <c r="G1011" s="675">
        <f>+CUBICACION!J1005</f>
        <v>0</v>
      </c>
      <c r="H1011" s="118"/>
      <c r="I1011" s="821">
        <f>+CUBICACION!L1005</f>
        <v>0</v>
      </c>
      <c r="J1011" s="64">
        <f>+CUBICACION!M1005</f>
        <v>0</v>
      </c>
      <c r="K1011" s="822" t="str">
        <f>+CUBICACION!N1005</f>
        <v/>
      </c>
      <c r="L1011" s="118">
        <f>+CUBICACION!O1005</f>
        <v>0</v>
      </c>
      <c r="M1011" s="823">
        <f>+CUBICACION!P1005</f>
        <v>0</v>
      </c>
      <c r="N1011" s="902">
        <f>ROUND(IF(AND(L1011="Blaze Shield II",M1011="Software Idiem",C1011="IN",G1011=4),((('BLAZE SHIELD II'!$D$4*('CALCULO MORTERO'!I1011^2)+'BLAZE SHIELD II'!$D$5*'CALCULO MORTERO'!I1011+'BLAZE SHIELD II'!$D$6)*LN(J1011))+('BLAZE SHIELD II'!$D$7*('CALCULO MORTERO'!I1011^2)+'BLAZE SHIELD II'!$D$8*'CALCULO MORTERO'!I1011+'BLAZE SHIELD II'!$D$9)),0)+IF(AND(L1011="Blaze Shield II",M1011="Software Idiem",C1011="Cj"),((('BLAZE SHIELD II'!$H$4*('CALCULO MORTERO'!I1011^2)+'BLAZE SHIELD II'!$H$5*'CALCULO MORTERO'!I1011+'BLAZE SHIELD II'!$H$6)*LN(J1011))+('BLAZE SHIELD II'!$H$7*('CALCULO MORTERO'!I1011^2)+'BLAZE SHIELD II'!$H$8*'CALCULO MORTERO'!I1011+'BLAZE SHIELD II'!$H$9)),0)+IF(AND(L1011="Blaze Shield II",M1011="Software Idiem",C1011="C"),((('BLAZE SHIELD II'!$L$4*('CALCULO MORTERO'!I1011^2)+'BLAZE SHIELD II'!$L$5*'CALCULO MORTERO'!I1011+'BLAZE SHIELD II'!$L$6)*LN(J1011))+('BLAZE SHIELD II'!$L$7*('CALCULO MORTERO'!I1011^2)+'BLAZE SHIELD II'!$L$8*'CALCULO MORTERO'!I1011+'BLAZE SHIELD II'!$L$9)),0)+IF(AND(L1011="Blaze Shield II",M1011="Software Idiem",C1011="L"),((('BLAZE SHIELD II'!$L$4*('CALCULO MORTERO'!I1011^2)+'BLAZE SHIELD II'!$L$5*'CALCULO MORTERO'!I1011+'BLAZE SHIELD II'!$L$6)*LN(J1011))+('BLAZE SHIELD II'!$L$7*('CALCULO MORTERO'!I1011^2)+'BLAZE SHIELD II'!$L$8*'CALCULO MORTERO'!I1011+'BLAZE SHIELD II'!$L$9)),0)+IF(AND(L1011="Blaze Shield II",M1011="Software Idiem",C1011="IN",G1011=3),((('BLAZE SHIELD II'!$H$14*('CALCULO MORTERO'!I1011^2)+'BLAZE SHIELD II'!$H$15*'CALCULO MORTERO'!I1011+'BLAZE SHIELD II'!$H$16)*LN(J1011))+('BLAZE SHIELD II'!$H$17*('CALCULO MORTERO'!I1011^2)+'BLAZE SHIELD II'!$H$18*'CALCULO MORTERO'!I1011+'BLAZE SHIELD II'!$H$19)),0),0)+ROUND(IF(AND(L1011="Cafco 400",M1011="Software Idiem",C1011="IN",G1011=4),((('CAFCO 400 '!$H$7*(J1011^4)+'CAFCO 400 '!$H$8*(J1011^3)+'CAFCO 400 '!$H$9*(J1011^2)+'CAFCO 400 '!$H$10*J1011+'CAFCO 400 '!$H$11)*U1011^2)+(('CAFCO 400 '!$H$12*(J1011^3)+'CAFCO 400 '!$H$13*(J1011^2)+'CAFCO 400 '!$H$14*J1011+'CAFCO 400 '!$H$15)*U1011)+('CAFCO 400 '!$H$16*(J1011^2)+'CAFCO 400 '!$H$17*J1011+'CAFCO 400 '!$H$18)),0)+IF(AND(L1011="Cafco 400",M1011="Software Idiem",C1011="Cj"),(((('CAFCO 400 '!$D$7*LN(J1011)+'CAFCO 400 '!$D$8)*U1011^2)+(('CAFCO 400 '!$D$9*LN(J1011)+'CAFCO 400 '!$D$10)*U1011)+('CAFCO 400 '!$D$11*LN(J1011)+'CAFCO 400 '!$D$12))),0)+IF(AND(L1011="Cafco 400",M1011="Software Idiem",C1011="C"),((('CAFCO 400 '!$L$7*(J1011^3)+'CAFCO 400 '!$L$8*(J1011^2)+'CAFCO 400 '!$L$9*J1011+'CAFCO 400 '!$L$10)*U1011^2)+(('CAFCO 400 '!$L$11*(J1011^3)+'CAFCO 400 '!$L$12*(J1011^2)+'CAFCO 400 '!$L$13*J1011+'CAFCO 400 '!$L$14)*U1011)+('CAFCO 400 '!$L$15*LN(J1011)+'CAFCO 400 '!$L$16)),0)+IF(AND(L1011="Cafco 400",M1011="Software Idiem",C1011="L"),((('CAFCO 400 '!$L$7*(J1011^3)+'CAFCO 400 '!$L$8*(J1011^2)+'CAFCO 400 '!$L$9*J1011+'CAFCO 400 '!$L$10)*U1011^2)+(('CAFCO 400 '!$L$11*(J1011^3)+'CAFCO 400 '!$L$12*(J1011^2)+'CAFCO 400 '!$L$13*J1011+'CAFCO 400 '!$L$14)*U1011)+('CAFCO 400 '!$L$15*LN(J1011)+'CAFCO 400 '!$L$16)),0)+IF(AND(L1011="Cafco 400",M1011="Software Idiem",C1011="IN",G1011=3),((('CAFCO 400 '!$D$23*(J1011^2)+'CAFCO 400 '!$D$24*(J1011)+'CAFCO 400 '!$D$25)*U1011^2)+(('CAFCO 400 '!$D$26*(J1011^2)+'CAFCO 400 '!$D$27*J1011+'CAFCO 400 '!$D$28)*U1011)+('CAFCO 400 '!$D$29*(J1011^2)+'CAFCO 400 '!$D$30*J1011+'CAFCO 400 '!$D$31)),0),0)+IF(AND(L1011="Cafco 300",J1011&gt;=95,J1011&lt;=240,C1011="Cj",I1011=90),VLOOKUP(T1011,'CAFCO 300 IDIEM TABLAS'!$B$4:$D$23,2,FALSE),0)+IF(AND(L1011="Cafco 300",J1011&gt;=95,J1011&lt;=240,C1011="Cj",I1011=120),VLOOKUP(T1011,'CAFCO 300 IDIEM TABLAS'!$B$4:$D$23,3,FALSE),0)+IF(AND(L1011="Cafco 300",J1011&gt;=95,J1011&lt;=400,G1011=3,C1011="IN",I1011=90),VLOOKUP(T1011,'CAFCO 300 IDIEM TABLAS'!$F$4:$H$35,2,FALSE),0)+IF(AND(L1011="Cafco 300",J1011&gt;=95,J1011&lt;=400,G1011=3,C1011="IN",I1011=120),VLOOKUP(T1011,'CAFCO 300 IDIEM TABLAS'!$F$4:$H$35,3,FALSE),0)+IF(AND(L1011="Cafco 300",J1011&gt;=95,J1011&lt;=450,G1011=4,C1011="IN",I1011=90),VLOOKUP(T1011,'CAFCO 300 IDIEM TABLAS'!$J$4:$L$40,2,FALSE),0)+IF(AND(L1011="Cafco 300",J1011&gt;=95,J1011&lt;=450,G1011=4,C1011="IN",I1011=120),VLOOKUP(T1011,'CAFCO 300 IDIEM TABLAS'!$J$4:$L$40,3,FALSE),0)+IF(AND(M1011="Ensayo Idiem",L1011="Cafco 400",C1011="IN",G1011=4,I1011=90),VLOOKUP(T1011,'CAFCO 400 ENSAYO'!$B$7:$D$43,2,FALSE),0)+IF(AND(M1011="Ensayo Idiem",L1011="Cafco 400",C1011="IN",G1011=4,I1011=120),VLOOKUP(T1011,'CAFCO 400 ENSAYO'!$B$7:$D$43,3,FALSE),0)</f>
        <v>0</v>
      </c>
      <c r="O1011" s="96">
        <f t="shared" si="102"/>
        <v>0</v>
      </c>
      <c r="P1011" s="132" t="str">
        <f t="shared" si="103"/>
        <v>N/A</v>
      </c>
      <c r="Q1011" s="132" t="str">
        <f t="shared" si="104"/>
        <v>N/A</v>
      </c>
      <c r="R1011" s="132" t="str">
        <f t="shared" si="105"/>
        <v>NO CERT.</v>
      </c>
      <c r="S1011" s="132" t="e">
        <f t="shared" si="106"/>
        <v>#N/A</v>
      </c>
      <c r="T1011" s="133" t="e">
        <f>+IF(J1011=LOOKUP(J1011,'CAFCO 300 IDIEM TABLAS'!$J$4:$J$40),'CALCULO MORTERO'!J1011,MROUND('CALCULO MORTERO'!J1011,10))</f>
        <v>#N/A</v>
      </c>
      <c r="U1011" s="134">
        <f t="shared" si="107"/>
        <v>0</v>
      </c>
    </row>
    <row r="1012" spans="1:21" x14ac:dyDescent="0.25">
      <c r="A1012" s="118">
        <f>+CUBICACION!D1006</f>
        <v>0</v>
      </c>
      <c r="B1012" s="819">
        <f>+CUBICACION!E1006</f>
        <v>0</v>
      </c>
      <c r="C1012" s="675">
        <f>+CUBICACION!F1006</f>
        <v>0</v>
      </c>
      <c r="D1012" s="118"/>
      <c r="E1012" s="118"/>
      <c r="F1012" s="820"/>
      <c r="G1012" s="675">
        <f>+CUBICACION!J1006</f>
        <v>0</v>
      </c>
      <c r="H1012" s="118"/>
      <c r="I1012" s="821">
        <f>+CUBICACION!L1006</f>
        <v>0</v>
      </c>
      <c r="J1012" s="64">
        <f>+CUBICACION!M1006</f>
        <v>0</v>
      </c>
      <c r="K1012" s="822" t="str">
        <f>+CUBICACION!N1006</f>
        <v/>
      </c>
      <c r="L1012" s="118">
        <f>+CUBICACION!O1006</f>
        <v>0</v>
      </c>
      <c r="M1012" s="823">
        <f>+CUBICACION!P1006</f>
        <v>0</v>
      </c>
      <c r="N1012" s="902">
        <f>ROUND(IF(AND(L1012="Blaze Shield II",M1012="Software Idiem",C1012="IN",G1012=4),((('BLAZE SHIELD II'!$D$4*('CALCULO MORTERO'!I1012^2)+'BLAZE SHIELD II'!$D$5*'CALCULO MORTERO'!I1012+'BLAZE SHIELD II'!$D$6)*LN(J1012))+('BLAZE SHIELD II'!$D$7*('CALCULO MORTERO'!I1012^2)+'BLAZE SHIELD II'!$D$8*'CALCULO MORTERO'!I1012+'BLAZE SHIELD II'!$D$9)),0)+IF(AND(L1012="Blaze Shield II",M1012="Software Idiem",C1012="Cj"),((('BLAZE SHIELD II'!$H$4*('CALCULO MORTERO'!I1012^2)+'BLAZE SHIELD II'!$H$5*'CALCULO MORTERO'!I1012+'BLAZE SHIELD II'!$H$6)*LN(J1012))+('BLAZE SHIELD II'!$H$7*('CALCULO MORTERO'!I1012^2)+'BLAZE SHIELD II'!$H$8*'CALCULO MORTERO'!I1012+'BLAZE SHIELD II'!$H$9)),0)+IF(AND(L1012="Blaze Shield II",M1012="Software Idiem",C1012="C"),((('BLAZE SHIELD II'!$L$4*('CALCULO MORTERO'!I1012^2)+'BLAZE SHIELD II'!$L$5*'CALCULO MORTERO'!I1012+'BLAZE SHIELD II'!$L$6)*LN(J1012))+('BLAZE SHIELD II'!$L$7*('CALCULO MORTERO'!I1012^2)+'BLAZE SHIELD II'!$L$8*'CALCULO MORTERO'!I1012+'BLAZE SHIELD II'!$L$9)),0)+IF(AND(L1012="Blaze Shield II",M1012="Software Idiem",C1012="L"),((('BLAZE SHIELD II'!$L$4*('CALCULO MORTERO'!I1012^2)+'BLAZE SHIELD II'!$L$5*'CALCULO MORTERO'!I1012+'BLAZE SHIELD II'!$L$6)*LN(J1012))+('BLAZE SHIELD II'!$L$7*('CALCULO MORTERO'!I1012^2)+'BLAZE SHIELD II'!$L$8*'CALCULO MORTERO'!I1012+'BLAZE SHIELD II'!$L$9)),0)+IF(AND(L1012="Blaze Shield II",M1012="Software Idiem",C1012="IN",G1012=3),((('BLAZE SHIELD II'!$H$14*('CALCULO MORTERO'!I1012^2)+'BLAZE SHIELD II'!$H$15*'CALCULO MORTERO'!I1012+'BLAZE SHIELD II'!$H$16)*LN(J1012))+('BLAZE SHIELD II'!$H$17*('CALCULO MORTERO'!I1012^2)+'BLAZE SHIELD II'!$H$18*'CALCULO MORTERO'!I1012+'BLAZE SHIELD II'!$H$19)),0),0)+ROUND(IF(AND(L1012="Cafco 400",M1012="Software Idiem",C1012="IN",G1012=4),((('CAFCO 400 '!$H$7*(J1012^4)+'CAFCO 400 '!$H$8*(J1012^3)+'CAFCO 400 '!$H$9*(J1012^2)+'CAFCO 400 '!$H$10*J1012+'CAFCO 400 '!$H$11)*U1012^2)+(('CAFCO 400 '!$H$12*(J1012^3)+'CAFCO 400 '!$H$13*(J1012^2)+'CAFCO 400 '!$H$14*J1012+'CAFCO 400 '!$H$15)*U1012)+('CAFCO 400 '!$H$16*(J1012^2)+'CAFCO 400 '!$H$17*J1012+'CAFCO 400 '!$H$18)),0)+IF(AND(L1012="Cafco 400",M1012="Software Idiem",C1012="Cj"),(((('CAFCO 400 '!$D$7*LN(J1012)+'CAFCO 400 '!$D$8)*U1012^2)+(('CAFCO 400 '!$D$9*LN(J1012)+'CAFCO 400 '!$D$10)*U1012)+('CAFCO 400 '!$D$11*LN(J1012)+'CAFCO 400 '!$D$12))),0)+IF(AND(L1012="Cafco 400",M1012="Software Idiem",C1012="C"),((('CAFCO 400 '!$L$7*(J1012^3)+'CAFCO 400 '!$L$8*(J1012^2)+'CAFCO 400 '!$L$9*J1012+'CAFCO 400 '!$L$10)*U1012^2)+(('CAFCO 400 '!$L$11*(J1012^3)+'CAFCO 400 '!$L$12*(J1012^2)+'CAFCO 400 '!$L$13*J1012+'CAFCO 400 '!$L$14)*U1012)+('CAFCO 400 '!$L$15*LN(J1012)+'CAFCO 400 '!$L$16)),0)+IF(AND(L1012="Cafco 400",M1012="Software Idiem",C1012="L"),((('CAFCO 400 '!$L$7*(J1012^3)+'CAFCO 400 '!$L$8*(J1012^2)+'CAFCO 400 '!$L$9*J1012+'CAFCO 400 '!$L$10)*U1012^2)+(('CAFCO 400 '!$L$11*(J1012^3)+'CAFCO 400 '!$L$12*(J1012^2)+'CAFCO 400 '!$L$13*J1012+'CAFCO 400 '!$L$14)*U1012)+('CAFCO 400 '!$L$15*LN(J1012)+'CAFCO 400 '!$L$16)),0)+IF(AND(L1012="Cafco 400",M1012="Software Idiem",C1012="IN",G1012=3),((('CAFCO 400 '!$D$23*(J1012^2)+'CAFCO 400 '!$D$24*(J1012)+'CAFCO 400 '!$D$25)*U1012^2)+(('CAFCO 400 '!$D$26*(J1012^2)+'CAFCO 400 '!$D$27*J1012+'CAFCO 400 '!$D$28)*U1012)+('CAFCO 400 '!$D$29*(J1012^2)+'CAFCO 400 '!$D$30*J1012+'CAFCO 400 '!$D$31)),0),0)+IF(AND(L1012="Cafco 300",J1012&gt;=95,J1012&lt;=240,C1012="Cj",I1012=90),VLOOKUP(T1012,'CAFCO 300 IDIEM TABLAS'!$B$4:$D$23,2,FALSE),0)+IF(AND(L1012="Cafco 300",J1012&gt;=95,J1012&lt;=240,C1012="Cj",I1012=120),VLOOKUP(T1012,'CAFCO 300 IDIEM TABLAS'!$B$4:$D$23,3,FALSE),0)+IF(AND(L1012="Cafco 300",J1012&gt;=95,J1012&lt;=400,G1012=3,C1012="IN",I1012=90),VLOOKUP(T1012,'CAFCO 300 IDIEM TABLAS'!$F$4:$H$35,2,FALSE),0)+IF(AND(L1012="Cafco 300",J1012&gt;=95,J1012&lt;=400,G1012=3,C1012="IN",I1012=120),VLOOKUP(T1012,'CAFCO 300 IDIEM TABLAS'!$F$4:$H$35,3,FALSE),0)+IF(AND(L1012="Cafco 300",J1012&gt;=95,J1012&lt;=450,G1012=4,C1012="IN",I1012=90),VLOOKUP(T1012,'CAFCO 300 IDIEM TABLAS'!$J$4:$L$40,2,FALSE),0)+IF(AND(L1012="Cafco 300",J1012&gt;=95,J1012&lt;=450,G1012=4,C1012="IN",I1012=120),VLOOKUP(T1012,'CAFCO 300 IDIEM TABLAS'!$J$4:$L$40,3,FALSE),0)+IF(AND(M1012="Ensayo Idiem",L1012="Cafco 400",C1012="IN",G1012=4,I1012=90),VLOOKUP(T1012,'CAFCO 400 ENSAYO'!$B$7:$D$43,2,FALSE),0)+IF(AND(M1012="Ensayo Idiem",L1012="Cafco 400",C1012="IN",G1012=4,I1012=120),VLOOKUP(T1012,'CAFCO 400 ENSAYO'!$B$7:$D$43,3,FALSE),0)</f>
        <v>0</v>
      </c>
      <c r="O1012" s="96">
        <f t="shared" si="102"/>
        <v>0</v>
      </c>
      <c r="P1012" s="95" t="str">
        <f t="shared" si="103"/>
        <v>N/A</v>
      </c>
      <c r="Q1012" s="95" t="str">
        <f t="shared" si="104"/>
        <v>N/A</v>
      </c>
      <c r="R1012" s="95" t="str">
        <f t="shared" si="105"/>
        <v>NO CERT.</v>
      </c>
      <c r="S1012" s="95" t="e">
        <f t="shared" si="106"/>
        <v>#N/A</v>
      </c>
      <c r="T1012" s="119" t="e">
        <f>+IF(J1012=LOOKUP(J1012,'CAFCO 300 IDIEM TABLAS'!$J$4:$J$40),'CALCULO MORTERO'!J1012,MROUND('CALCULO MORTERO'!J1012,10))</f>
        <v>#N/A</v>
      </c>
      <c r="U1012" s="118">
        <f t="shared" si="107"/>
        <v>0</v>
      </c>
    </row>
    <row r="1013" spans="1:21" x14ac:dyDescent="0.25">
      <c r="A1013" s="118">
        <f>+CUBICACION!D1007</f>
        <v>0</v>
      </c>
      <c r="B1013" s="819">
        <f>+CUBICACION!E1007</f>
        <v>0</v>
      </c>
      <c r="C1013" s="675">
        <f>+CUBICACION!F1007</f>
        <v>0</v>
      </c>
      <c r="D1013" s="118"/>
      <c r="E1013" s="118"/>
      <c r="F1013" s="820"/>
      <c r="G1013" s="675">
        <f>+CUBICACION!J1007</f>
        <v>0</v>
      </c>
      <c r="H1013" s="118"/>
      <c r="I1013" s="821">
        <f>+CUBICACION!L1007</f>
        <v>0</v>
      </c>
      <c r="J1013" s="64">
        <f>+CUBICACION!M1007</f>
        <v>0</v>
      </c>
      <c r="K1013" s="822" t="str">
        <f>+CUBICACION!N1007</f>
        <v/>
      </c>
      <c r="L1013" s="118">
        <f>+CUBICACION!O1007</f>
        <v>0</v>
      </c>
      <c r="M1013" s="823">
        <f>+CUBICACION!P1007</f>
        <v>0</v>
      </c>
      <c r="N1013" s="902">
        <f>ROUND(IF(AND(L1013="Blaze Shield II",M1013="Software Idiem",C1013="IN",G1013=4),((('BLAZE SHIELD II'!$D$4*('CALCULO MORTERO'!I1013^2)+'BLAZE SHIELD II'!$D$5*'CALCULO MORTERO'!I1013+'BLAZE SHIELD II'!$D$6)*LN(J1013))+('BLAZE SHIELD II'!$D$7*('CALCULO MORTERO'!I1013^2)+'BLAZE SHIELD II'!$D$8*'CALCULO MORTERO'!I1013+'BLAZE SHIELD II'!$D$9)),0)+IF(AND(L1013="Blaze Shield II",M1013="Software Idiem",C1013="Cj"),((('BLAZE SHIELD II'!$H$4*('CALCULO MORTERO'!I1013^2)+'BLAZE SHIELD II'!$H$5*'CALCULO MORTERO'!I1013+'BLAZE SHIELD II'!$H$6)*LN(J1013))+('BLAZE SHIELD II'!$H$7*('CALCULO MORTERO'!I1013^2)+'BLAZE SHIELD II'!$H$8*'CALCULO MORTERO'!I1013+'BLAZE SHIELD II'!$H$9)),0)+IF(AND(L1013="Blaze Shield II",M1013="Software Idiem",C1013="C"),((('BLAZE SHIELD II'!$L$4*('CALCULO MORTERO'!I1013^2)+'BLAZE SHIELD II'!$L$5*'CALCULO MORTERO'!I1013+'BLAZE SHIELD II'!$L$6)*LN(J1013))+('BLAZE SHIELD II'!$L$7*('CALCULO MORTERO'!I1013^2)+'BLAZE SHIELD II'!$L$8*'CALCULO MORTERO'!I1013+'BLAZE SHIELD II'!$L$9)),0)+IF(AND(L1013="Blaze Shield II",M1013="Software Idiem",C1013="L"),((('BLAZE SHIELD II'!$L$4*('CALCULO MORTERO'!I1013^2)+'BLAZE SHIELD II'!$L$5*'CALCULO MORTERO'!I1013+'BLAZE SHIELD II'!$L$6)*LN(J1013))+('BLAZE SHIELD II'!$L$7*('CALCULO MORTERO'!I1013^2)+'BLAZE SHIELD II'!$L$8*'CALCULO MORTERO'!I1013+'BLAZE SHIELD II'!$L$9)),0)+IF(AND(L1013="Blaze Shield II",M1013="Software Idiem",C1013="IN",G1013=3),((('BLAZE SHIELD II'!$H$14*('CALCULO MORTERO'!I1013^2)+'BLAZE SHIELD II'!$H$15*'CALCULO MORTERO'!I1013+'BLAZE SHIELD II'!$H$16)*LN(J1013))+('BLAZE SHIELD II'!$H$17*('CALCULO MORTERO'!I1013^2)+'BLAZE SHIELD II'!$H$18*'CALCULO MORTERO'!I1013+'BLAZE SHIELD II'!$H$19)),0),0)+ROUND(IF(AND(L1013="Cafco 400",M1013="Software Idiem",C1013="IN",G1013=4),((('CAFCO 400 '!$H$7*(J1013^4)+'CAFCO 400 '!$H$8*(J1013^3)+'CAFCO 400 '!$H$9*(J1013^2)+'CAFCO 400 '!$H$10*J1013+'CAFCO 400 '!$H$11)*U1013^2)+(('CAFCO 400 '!$H$12*(J1013^3)+'CAFCO 400 '!$H$13*(J1013^2)+'CAFCO 400 '!$H$14*J1013+'CAFCO 400 '!$H$15)*U1013)+('CAFCO 400 '!$H$16*(J1013^2)+'CAFCO 400 '!$H$17*J1013+'CAFCO 400 '!$H$18)),0)+IF(AND(L1013="Cafco 400",M1013="Software Idiem",C1013="Cj"),(((('CAFCO 400 '!$D$7*LN(J1013)+'CAFCO 400 '!$D$8)*U1013^2)+(('CAFCO 400 '!$D$9*LN(J1013)+'CAFCO 400 '!$D$10)*U1013)+('CAFCO 400 '!$D$11*LN(J1013)+'CAFCO 400 '!$D$12))),0)+IF(AND(L1013="Cafco 400",M1013="Software Idiem",C1013="C"),((('CAFCO 400 '!$L$7*(J1013^3)+'CAFCO 400 '!$L$8*(J1013^2)+'CAFCO 400 '!$L$9*J1013+'CAFCO 400 '!$L$10)*U1013^2)+(('CAFCO 400 '!$L$11*(J1013^3)+'CAFCO 400 '!$L$12*(J1013^2)+'CAFCO 400 '!$L$13*J1013+'CAFCO 400 '!$L$14)*U1013)+('CAFCO 400 '!$L$15*LN(J1013)+'CAFCO 400 '!$L$16)),0)+IF(AND(L1013="Cafco 400",M1013="Software Idiem",C1013="L"),((('CAFCO 400 '!$L$7*(J1013^3)+'CAFCO 400 '!$L$8*(J1013^2)+'CAFCO 400 '!$L$9*J1013+'CAFCO 400 '!$L$10)*U1013^2)+(('CAFCO 400 '!$L$11*(J1013^3)+'CAFCO 400 '!$L$12*(J1013^2)+'CAFCO 400 '!$L$13*J1013+'CAFCO 400 '!$L$14)*U1013)+('CAFCO 400 '!$L$15*LN(J1013)+'CAFCO 400 '!$L$16)),0)+IF(AND(L1013="Cafco 400",M1013="Software Idiem",C1013="IN",G1013=3),((('CAFCO 400 '!$D$23*(J1013^2)+'CAFCO 400 '!$D$24*(J1013)+'CAFCO 400 '!$D$25)*U1013^2)+(('CAFCO 400 '!$D$26*(J1013^2)+'CAFCO 400 '!$D$27*J1013+'CAFCO 400 '!$D$28)*U1013)+('CAFCO 400 '!$D$29*(J1013^2)+'CAFCO 400 '!$D$30*J1013+'CAFCO 400 '!$D$31)),0),0)+IF(AND(L1013="Cafco 300",J1013&gt;=95,J1013&lt;=240,C1013="Cj",I1013=90),VLOOKUP(T1013,'CAFCO 300 IDIEM TABLAS'!$B$4:$D$23,2,FALSE),0)+IF(AND(L1013="Cafco 300",J1013&gt;=95,J1013&lt;=240,C1013="Cj",I1013=120),VLOOKUP(T1013,'CAFCO 300 IDIEM TABLAS'!$B$4:$D$23,3,FALSE),0)+IF(AND(L1013="Cafco 300",J1013&gt;=95,J1013&lt;=400,G1013=3,C1013="IN",I1013=90),VLOOKUP(T1013,'CAFCO 300 IDIEM TABLAS'!$F$4:$H$35,2,FALSE),0)+IF(AND(L1013="Cafco 300",J1013&gt;=95,J1013&lt;=400,G1013=3,C1013="IN",I1013=120),VLOOKUP(T1013,'CAFCO 300 IDIEM TABLAS'!$F$4:$H$35,3,FALSE),0)+IF(AND(L1013="Cafco 300",J1013&gt;=95,J1013&lt;=450,G1013=4,C1013="IN",I1013=90),VLOOKUP(T1013,'CAFCO 300 IDIEM TABLAS'!$J$4:$L$40,2,FALSE),0)+IF(AND(L1013="Cafco 300",J1013&gt;=95,J1013&lt;=450,G1013=4,C1013="IN",I1013=120),VLOOKUP(T1013,'CAFCO 300 IDIEM TABLAS'!$J$4:$L$40,3,FALSE),0)+IF(AND(M1013="Ensayo Idiem",L1013="Cafco 400",C1013="IN",G1013=4,I1013=90),VLOOKUP(T1013,'CAFCO 400 ENSAYO'!$B$7:$D$43,2,FALSE),0)+IF(AND(M1013="Ensayo Idiem",L1013="Cafco 400",C1013="IN",G1013=4,I1013=120),VLOOKUP(T1013,'CAFCO 400 ENSAYO'!$B$7:$D$43,3,FALSE),0)</f>
        <v>0</v>
      </c>
      <c r="O1013" s="96">
        <f t="shared" si="102"/>
        <v>0</v>
      </c>
      <c r="P1013" s="132" t="str">
        <f t="shared" si="103"/>
        <v>N/A</v>
      </c>
      <c r="Q1013" s="132" t="str">
        <f t="shared" si="104"/>
        <v>N/A</v>
      </c>
      <c r="R1013" s="132" t="str">
        <f t="shared" si="105"/>
        <v>NO CERT.</v>
      </c>
      <c r="S1013" s="132" t="e">
        <f t="shared" si="106"/>
        <v>#N/A</v>
      </c>
      <c r="T1013" s="133" t="e">
        <f>+IF(J1013=LOOKUP(J1013,'CAFCO 300 IDIEM TABLAS'!$J$4:$J$40),'CALCULO MORTERO'!J1013,MROUND('CALCULO MORTERO'!J1013,10))</f>
        <v>#N/A</v>
      </c>
      <c r="U1013" s="134">
        <f t="shared" si="107"/>
        <v>0</v>
      </c>
    </row>
    <row r="1014" spans="1:21" x14ac:dyDescent="0.25">
      <c r="A1014" s="118">
        <f>+CUBICACION!D1008</f>
        <v>0</v>
      </c>
      <c r="B1014" s="819">
        <f>+CUBICACION!E1008</f>
        <v>0</v>
      </c>
      <c r="C1014" s="675">
        <f>+CUBICACION!F1008</f>
        <v>0</v>
      </c>
      <c r="D1014" s="118"/>
      <c r="E1014" s="118"/>
      <c r="F1014" s="820"/>
      <c r="G1014" s="675">
        <f>+CUBICACION!J1008</f>
        <v>0</v>
      </c>
      <c r="H1014" s="118"/>
      <c r="I1014" s="821">
        <f>+CUBICACION!L1008</f>
        <v>0</v>
      </c>
      <c r="J1014" s="64">
        <f>+CUBICACION!M1008</f>
        <v>0</v>
      </c>
      <c r="K1014" s="822" t="str">
        <f>+CUBICACION!N1008</f>
        <v/>
      </c>
      <c r="L1014" s="118">
        <f>+CUBICACION!O1008</f>
        <v>0</v>
      </c>
      <c r="M1014" s="823">
        <f>+CUBICACION!P1008</f>
        <v>0</v>
      </c>
      <c r="N1014" s="902">
        <f>ROUND(IF(AND(L1014="Blaze Shield II",M1014="Software Idiem",C1014="IN",G1014=4),((('BLAZE SHIELD II'!$D$4*('CALCULO MORTERO'!I1014^2)+'BLAZE SHIELD II'!$D$5*'CALCULO MORTERO'!I1014+'BLAZE SHIELD II'!$D$6)*LN(J1014))+('BLAZE SHIELD II'!$D$7*('CALCULO MORTERO'!I1014^2)+'BLAZE SHIELD II'!$D$8*'CALCULO MORTERO'!I1014+'BLAZE SHIELD II'!$D$9)),0)+IF(AND(L1014="Blaze Shield II",M1014="Software Idiem",C1014="Cj"),((('BLAZE SHIELD II'!$H$4*('CALCULO MORTERO'!I1014^2)+'BLAZE SHIELD II'!$H$5*'CALCULO MORTERO'!I1014+'BLAZE SHIELD II'!$H$6)*LN(J1014))+('BLAZE SHIELD II'!$H$7*('CALCULO MORTERO'!I1014^2)+'BLAZE SHIELD II'!$H$8*'CALCULO MORTERO'!I1014+'BLAZE SHIELD II'!$H$9)),0)+IF(AND(L1014="Blaze Shield II",M1014="Software Idiem",C1014="C"),((('BLAZE SHIELD II'!$L$4*('CALCULO MORTERO'!I1014^2)+'BLAZE SHIELD II'!$L$5*'CALCULO MORTERO'!I1014+'BLAZE SHIELD II'!$L$6)*LN(J1014))+('BLAZE SHIELD II'!$L$7*('CALCULO MORTERO'!I1014^2)+'BLAZE SHIELD II'!$L$8*'CALCULO MORTERO'!I1014+'BLAZE SHIELD II'!$L$9)),0)+IF(AND(L1014="Blaze Shield II",M1014="Software Idiem",C1014="L"),((('BLAZE SHIELD II'!$L$4*('CALCULO MORTERO'!I1014^2)+'BLAZE SHIELD II'!$L$5*'CALCULO MORTERO'!I1014+'BLAZE SHIELD II'!$L$6)*LN(J1014))+('BLAZE SHIELD II'!$L$7*('CALCULO MORTERO'!I1014^2)+'BLAZE SHIELD II'!$L$8*'CALCULO MORTERO'!I1014+'BLAZE SHIELD II'!$L$9)),0)+IF(AND(L1014="Blaze Shield II",M1014="Software Idiem",C1014="IN",G1014=3),((('BLAZE SHIELD II'!$H$14*('CALCULO MORTERO'!I1014^2)+'BLAZE SHIELD II'!$H$15*'CALCULO MORTERO'!I1014+'BLAZE SHIELD II'!$H$16)*LN(J1014))+('BLAZE SHIELD II'!$H$17*('CALCULO MORTERO'!I1014^2)+'BLAZE SHIELD II'!$H$18*'CALCULO MORTERO'!I1014+'BLAZE SHIELD II'!$H$19)),0),0)+ROUND(IF(AND(L1014="Cafco 400",M1014="Software Idiem",C1014="IN",G1014=4),((('CAFCO 400 '!$H$7*(J1014^4)+'CAFCO 400 '!$H$8*(J1014^3)+'CAFCO 400 '!$H$9*(J1014^2)+'CAFCO 400 '!$H$10*J1014+'CAFCO 400 '!$H$11)*U1014^2)+(('CAFCO 400 '!$H$12*(J1014^3)+'CAFCO 400 '!$H$13*(J1014^2)+'CAFCO 400 '!$H$14*J1014+'CAFCO 400 '!$H$15)*U1014)+('CAFCO 400 '!$H$16*(J1014^2)+'CAFCO 400 '!$H$17*J1014+'CAFCO 400 '!$H$18)),0)+IF(AND(L1014="Cafco 400",M1014="Software Idiem",C1014="Cj"),(((('CAFCO 400 '!$D$7*LN(J1014)+'CAFCO 400 '!$D$8)*U1014^2)+(('CAFCO 400 '!$D$9*LN(J1014)+'CAFCO 400 '!$D$10)*U1014)+('CAFCO 400 '!$D$11*LN(J1014)+'CAFCO 400 '!$D$12))),0)+IF(AND(L1014="Cafco 400",M1014="Software Idiem",C1014="C"),((('CAFCO 400 '!$L$7*(J1014^3)+'CAFCO 400 '!$L$8*(J1014^2)+'CAFCO 400 '!$L$9*J1014+'CAFCO 400 '!$L$10)*U1014^2)+(('CAFCO 400 '!$L$11*(J1014^3)+'CAFCO 400 '!$L$12*(J1014^2)+'CAFCO 400 '!$L$13*J1014+'CAFCO 400 '!$L$14)*U1014)+('CAFCO 400 '!$L$15*LN(J1014)+'CAFCO 400 '!$L$16)),0)+IF(AND(L1014="Cafco 400",M1014="Software Idiem",C1014="L"),((('CAFCO 400 '!$L$7*(J1014^3)+'CAFCO 400 '!$L$8*(J1014^2)+'CAFCO 400 '!$L$9*J1014+'CAFCO 400 '!$L$10)*U1014^2)+(('CAFCO 400 '!$L$11*(J1014^3)+'CAFCO 400 '!$L$12*(J1014^2)+'CAFCO 400 '!$L$13*J1014+'CAFCO 400 '!$L$14)*U1014)+('CAFCO 400 '!$L$15*LN(J1014)+'CAFCO 400 '!$L$16)),0)+IF(AND(L1014="Cafco 400",M1014="Software Idiem",C1014="IN",G1014=3),((('CAFCO 400 '!$D$23*(J1014^2)+'CAFCO 400 '!$D$24*(J1014)+'CAFCO 400 '!$D$25)*U1014^2)+(('CAFCO 400 '!$D$26*(J1014^2)+'CAFCO 400 '!$D$27*J1014+'CAFCO 400 '!$D$28)*U1014)+('CAFCO 400 '!$D$29*(J1014^2)+'CAFCO 400 '!$D$30*J1014+'CAFCO 400 '!$D$31)),0),0)+IF(AND(L1014="Cafco 300",J1014&gt;=95,J1014&lt;=240,C1014="Cj",I1014=90),VLOOKUP(T1014,'CAFCO 300 IDIEM TABLAS'!$B$4:$D$23,2,FALSE),0)+IF(AND(L1014="Cafco 300",J1014&gt;=95,J1014&lt;=240,C1014="Cj",I1014=120),VLOOKUP(T1014,'CAFCO 300 IDIEM TABLAS'!$B$4:$D$23,3,FALSE),0)+IF(AND(L1014="Cafco 300",J1014&gt;=95,J1014&lt;=400,G1014=3,C1014="IN",I1014=90),VLOOKUP(T1014,'CAFCO 300 IDIEM TABLAS'!$F$4:$H$35,2,FALSE),0)+IF(AND(L1014="Cafco 300",J1014&gt;=95,J1014&lt;=400,G1014=3,C1014="IN",I1014=120),VLOOKUP(T1014,'CAFCO 300 IDIEM TABLAS'!$F$4:$H$35,3,FALSE),0)+IF(AND(L1014="Cafco 300",J1014&gt;=95,J1014&lt;=450,G1014=4,C1014="IN",I1014=90),VLOOKUP(T1014,'CAFCO 300 IDIEM TABLAS'!$J$4:$L$40,2,FALSE),0)+IF(AND(L1014="Cafco 300",J1014&gt;=95,J1014&lt;=450,G1014=4,C1014="IN",I1014=120),VLOOKUP(T1014,'CAFCO 300 IDIEM TABLAS'!$J$4:$L$40,3,FALSE),0)+IF(AND(M1014="Ensayo Idiem",L1014="Cafco 400",C1014="IN",G1014=4,I1014=90),VLOOKUP(T1014,'CAFCO 400 ENSAYO'!$B$7:$D$43,2,FALSE),0)+IF(AND(M1014="Ensayo Idiem",L1014="Cafco 400",C1014="IN",G1014=4,I1014=120),VLOOKUP(T1014,'CAFCO 400 ENSAYO'!$B$7:$D$43,3,FALSE),0)</f>
        <v>0</v>
      </c>
      <c r="O1014" s="96">
        <f t="shared" si="102"/>
        <v>0</v>
      </c>
      <c r="P1014" s="95" t="str">
        <f t="shared" si="103"/>
        <v>N/A</v>
      </c>
      <c r="Q1014" s="95" t="str">
        <f t="shared" si="104"/>
        <v>N/A</v>
      </c>
      <c r="R1014" s="95" t="str">
        <f t="shared" si="105"/>
        <v>NO CERT.</v>
      </c>
      <c r="S1014" s="95" t="e">
        <f t="shared" si="106"/>
        <v>#N/A</v>
      </c>
      <c r="T1014" s="119" t="e">
        <f>+IF(J1014=LOOKUP(J1014,'CAFCO 300 IDIEM TABLAS'!$J$4:$J$40),'CALCULO MORTERO'!J1014,MROUND('CALCULO MORTERO'!J1014,10))</f>
        <v>#N/A</v>
      </c>
      <c r="U1014" s="118">
        <f t="shared" si="107"/>
        <v>0</v>
      </c>
    </row>
    <row r="1015" spans="1:21" x14ac:dyDescent="0.25">
      <c r="A1015" s="118">
        <f>+CUBICACION!D1009</f>
        <v>0</v>
      </c>
      <c r="B1015" s="819">
        <f>+CUBICACION!E1009</f>
        <v>0</v>
      </c>
      <c r="C1015" s="675">
        <f>+CUBICACION!F1009</f>
        <v>0</v>
      </c>
      <c r="D1015" s="118"/>
      <c r="E1015" s="118"/>
      <c r="F1015" s="820"/>
      <c r="G1015" s="675">
        <f>+CUBICACION!J1009</f>
        <v>0</v>
      </c>
      <c r="H1015" s="118"/>
      <c r="I1015" s="821">
        <f>+CUBICACION!L1009</f>
        <v>0</v>
      </c>
      <c r="J1015" s="64">
        <f>+CUBICACION!M1009</f>
        <v>0</v>
      </c>
      <c r="K1015" s="822" t="str">
        <f>+CUBICACION!N1009</f>
        <v/>
      </c>
      <c r="L1015" s="118">
        <f>+CUBICACION!O1009</f>
        <v>0</v>
      </c>
      <c r="M1015" s="823">
        <f>+CUBICACION!P1009</f>
        <v>0</v>
      </c>
      <c r="N1015" s="902">
        <f>ROUND(IF(AND(L1015="Blaze Shield II",M1015="Software Idiem",C1015="IN",G1015=4),((('BLAZE SHIELD II'!$D$4*('CALCULO MORTERO'!I1015^2)+'BLAZE SHIELD II'!$D$5*'CALCULO MORTERO'!I1015+'BLAZE SHIELD II'!$D$6)*LN(J1015))+('BLAZE SHIELD II'!$D$7*('CALCULO MORTERO'!I1015^2)+'BLAZE SHIELD II'!$D$8*'CALCULO MORTERO'!I1015+'BLAZE SHIELD II'!$D$9)),0)+IF(AND(L1015="Blaze Shield II",M1015="Software Idiem",C1015="Cj"),((('BLAZE SHIELD II'!$H$4*('CALCULO MORTERO'!I1015^2)+'BLAZE SHIELD II'!$H$5*'CALCULO MORTERO'!I1015+'BLAZE SHIELD II'!$H$6)*LN(J1015))+('BLAZE SHIELD II'!$H$7*('CALCULO MORTERO'!I1015^2)+'BLAZE SHIELD II'!$H$8*'CALCULO MORTERO'!I1015+'BLAZE SHIELD II'!$H$9)),0)+IF(AND(L1015="Blaze Shield II",M1015="Software Idiem",C1015="C"),((('BLAZE SHIELD II'!$L$4*('CALCULO MORTERO'!I1015^2)+'BLAZE SHIELD II'!$L$5*'CALCULO MORTERO'!I1015+'BLAZE SHIELD II'!$L$6)*LN(J1015))+('BLAZE SHIELD II'!$L$7*('CALCULO MORTERO'!I1015^2)+'BLAZE SHIELD II'!$L$8*'CALCULO MORTERO'!I1015+'BLAZE SHIELD II'!$L$9)),0)+IF(AND(L1015="Blaze Shield II",M1015="Software Idiem",C1015="L"),((('BLAZE SHIELD II'!$L$4*('CALCULO MORTERO'!I1015^2)+'BLAZE SHIELD II'!$L$5*'CALCULO MORTERO'!I1015+'BLAZE SHIELD II'!$L$6)*LN(J1015))+('BLAZE SHIELD II'!$L$7*('CALCULO MORTERO'!I1015^2)+'BLAZE SHIELD II'!$L$8*'CALCULO MORTERO'!I1015+'BLAZE SHIELD II'!$L$9)),0)+IF(AND(L1015="Blaze Shield II",M1015="Software Idiem",C1015="IN",G1015=3),((('BLAZE SHIELD II'!$H$14*('CALCULO MORTERO'!I1015^2)+'BLAZE SHIELD II'!$H$15*'CALCULO MORTERO'!I1015+'BLAZE SHIELD II'!$H$16)*LN(J1015))+('BLAZE SHIELD II'!$H$17*('CALCULO MORTERO'!I1015^2)+'BLAZE SHIELD II'!$H$18*'CALCULO MORTERO'!I1015+'BLAZE SHIELD II'!$H$19)),0),0)+ROUND(IF(AND(L1015="Cafco 400",M1015="Software Idiem",C1015="IN",G1015=4),((('CAFCO 400 '!$H$7*(J1015^4)+'CAFCO 400 '!$H$8*(J1015^3)+'CAFCO 400 '!$H$9*(J1015^2)+'CAFCO 400 '!$H$10*J1015+'CAFCO 400 '!$H$11)*U1015^2)+(('CAFCO 400 '!$H$12*(J1015^3)+'CAFCO 400 '!$H$13*(J1015^2)+'CAFCO 400 '!$H$14*J1015+'CAFCO 400 '!$H$15)*U1015)+('CAFCO 400 '!$H$16*(J1015^2)+'CAFCO 400 '!$H$17*J1015+'CAFCO 400 '!$H$18)),0)+IF(AND(L1015="Cafco 400",M1015="Software Idiem",C1015="Cj"),(((('CAFCO 400 '!$D$7*LN(J1015)+'CAFCO 400 '!$D$8)*U1015^2)+(('CAFCO 400 '!$D$9*LN(J1015)+'CAFCO 400 '!$D$10)*U1015)+('CAFCO 400 '!$D$11*LN(J1015)+'CAFCO 400 '!$D$12))),0)+IF(AND(L1015="Cafco 400",M1015="Software Idiem",C1015="C"),((('CAFCO 400 '!$L$7*(J1015^3)+'CAFCO 400 '!$L$8*(J1015^2)+'CAFCO 400 '!$L$9*J1015+'CAFCO 400 '!$L$10)*U1015^2)+(('CAFCO 400 '!$L$11*(J1015^3)+'CAFCO 400 '!$L$12*(J1015^2)+'CAFCO 400 '!$L$13*J1015+'CAFCO 400 '!$L$14)*U1015)+('CAFCO 400 '!$L$15*LN(J1015)+'CAFCO 400 '!$L$16)),0)+IF(AND(L1015="Cafco 400",M1015="Software Idiem",C1015="L"),((('CAFCO 400 '!$L$7*(J1015^3)+'CAFCO 400 '!$L$8*(J1015^2)+'CAFCO 400 '!$L$9*J1015+'CAFCO 400 '!$L$10)*U1015^2)+(('CAFCO 400 '!$L$11*(J1015^3)+'CAFCO 400 '!$L$12*(J1015^2)+'CAFCO 400 '!$L$13*J1015+'CAFCO 400 '!$L$14)*U1015)+('CAFCO 400 '!$L$15*LN(J1015)+'CAFCO 400 '!$L$16)),0)+IF(AND(L1015="Cafco 400",M1015="Software Idiem",C1015="IN",G1015=3),((('CAFCO 400 '!$D$23*(J1015^2)+'CAFCO 400 '!$D$24*(J1015)+'CAFCO 400 '!$D$25)*U1015^2)+(('CAFCO 400 '!$D$26*(J1015^2)+'CAFCO 400 '!$D$27*J1015+'CAFCO 400 '!$D$28)*U1015)+('CAFCO 400 '!$D$29*(J1015^2)+'CAFCO 400 '!$D$30*J1015+'CAFCO 400 '!$D$31)),0),0)+IF(AND(L1015="Cafco 300",J1015&gt;=95,J1015&lt;=240,C1015="Cj",I1015=90),VLOOKUP(T1015,'CAFCO 300 IDIEM TABLAS'!$B$4:$D$23,2,FALSE),0)+IF(AND(L1015="Cafco 300",J1015&gt;=95,J1015&lt;=240,C1015="Cj",I1015=120),VLOOKUP(T1015,'CAFCO 300 IDIEM TABLAS'!$B$4:$D$23,3,FALSE),0)+IF(AND(L1015="Cafco 300",J1015&gt;=95,J1015&lt;=400,G1015=3,C1015="IN",I1015=90),VLOOKUP(T1015,'CAFCO 300 IDIEM TABLAS'!$F$4:$H$35,2,FALSE),0)+IF(AND(L1015="Cafco 300",J1015&gt;=95,J1015&lt;=400,G1015=3,C1015="IN",I1015=120),VLOOKUP(T1015,'CAFCO 300 IDIEM TABLAS'!$F$4:$H$35,3,FALSE),0)+IF(AND(L1015="Cafco 300",J1015&gt;=95,J1015&lt;=450,G1015=4,C1015="IN",I1015=90),VLOOKUP(T1015,'CAFCO 300 IDIEM TABLAS'!$J$4:$L$40,2,FALSE),0)+IF(AND(L1015="Cafco 300",J1015&gt;=95,J1015&lt;=450,G1015=4,C1015="IN",I1015=120),VLOOKUP(T1015,'CAFCO 300 IDIEM TABLAS'!$J$4:$L$40,3,FALSE),0)+IF(AND(M1015="Ensayo Idiem",L1015="Cafco 400",C1015="IN",G1015=4,I1015=90),VLOOKUP(T1015,'CAFCO 400 ENSAYO'!$B$7:$D$43,2,FALSE),0)+IF(AND(M1015="Ensayo Idiem",L1015="Cafco 400",C1015="IN",G1015=4,I1015=120),VLOOKUP(T1015,'CAFCO 400 ENSAYO'!$B$7:$D$43,3,FALSE),0)</f>
        <v>0</v>
      </c>
      <c r="O1015" s="96">
        <f t="shared" si="102"/>
        <v>0</v>
      </c>
      <c r="P1015" s="132" t="str">
        <f t="shared" si="103"/>
        <v>N/A</v>
      </c>
      <c r="Q1015" s="132" t="str">
        <f t="shared" si="104"/>
        <v>N/A</v>
      </c>
      <c r="R1015" s="132" t="str">
        <f t="shared" si="105"/>
        <v>NO CERT.</v>
      </c>
      <c r="S1015" s="132" t="e">
        <f t="shared" si="106"/>
        <v>#N/A</v>
      </c>
      <c r="T1015" s="133" t="e">
        <f>+IF(J1015=LOOKUP(J1015,'CAFCO 300 IDIEM TABLAS'!$J$4:$J$40),'CALCULO MORTERO'!J1015,MROUND('CALCULO MORTERO'!J1015,10))</f>
        <v>#N/A</v>
      </c>
      <c r="U1015" s="134">
        <f t="shared" si="107"/>
        <v>0</v>
      </c>
    </row>
    <row r="1016" spans="1:21" x14ac:dyDescent="0.25">
      <c r="A1016" s="118">
        <f>+CUBICACION!D1010</f>
        <v>0</v>
      </c>
      <c r="B1016" s="819">
        <f>+CUBICACION!E1010</f>
        <v>0</v>
      </c>
      <c r="C1016" s="675">
        <f>+CUBICACION!F1010</f>
        <v>0</v>
      </c>
      <c r="D1016" s="118"/>
      <c r="E1016" s="118"/>
      <c r="F1016" s="820"/>
      <c r="G1016" s="675">
        <f>+CUBICACION!J1010</f>
        <v>0</v>
      </c>
      <c r="H1016" s="118"/>
      <c r="I1016" s="821">
        <f>+CUBICACION!L1010</f>
        <v>0</v>
      </c>
      <c r="J1016" s="64">
        <f>+CUBICACION!M1010</f>
        <v>0</v>
      </c>
      <c r="K1016" s="822" t="str">
        <f>+CUBICACION!N1010</f>
        <v/>
      </c>
      <c r="L1016" s="118">
        <f>+CUBICACION!O1010</f>
        <v>0</v>
      </c>
      <c r="M1016" s="823">
        <f>+CUBICACION!P1010</f>
        <v>0</v>
      </c>
      <c r="N1016" s="902">
        <f>ROUND(IF(AND(L1016="Blaze Shield II",M1016="Software Idiem",C1016="IN",G1016=4),((('BLAZE SHIELD II'!$D$4*('CALCULO MORTERO'!I1016^2)+'BLAZE SHIELD II'!$D$5*'CALCULO MORTERO'!I1016+'BLAZE SHIELD II'!$D$6)*LN(J1016))+('BLAZE SHIELD II'!$D$7*('CALCULO MORTERO'!I1016^2)+'BLAZE SHIELD II'!$D$8*'CALCULO MORTERO'!I1016+'BLAZE SHIELD II'!$D$9)),0)+IF(AND(L1016="Blaze Shield II",M1016="Software Idiem",C1016="Cj"),((('BLAZE SHIELD II'!$H$4*('CALCULO MORTERO'!I1016^2)+'BLAZE SHIELD II'!$H$5*'CALCULO MORTERO'!I1016+'BLAZE SHIELD II'!$H$6)*LN(J1016))+('BLAZE SHIELD II'!$H$7*('CALCULO MORTERO'!I1016^2)+'BLAZE SHIELD II'!$H$8*'CALCULO MORTERO'!I1016+'BLAZE SHIELD II'!$H$9)),0)+IF(AND(L1016="Blaze Shield II",M1016="Software Idiem",C1016="C"),((('BLAZE SHIELD II'!$L$4*('CALCULO MORTERO'!I1016^2)+'BLAZE SHIELD II'!$L$5*'CALCULO MORTERO'!I1016+'BLAZE SHIELD II'!$L$6)*LN(J1016))+('BLAZE SHIELD II'!$L$7*('CALCULO MORTERO'!I1016^2)+'BLAZE SHIELD II'!$L$8*'CALCULO MORTERO'!I1016+'BLAZE SHIELD II'!$L$9)),0)+IF(AND(L1016="Blaze Shield II",M1016="Software Idiem",C1016="L"),((('BLAZE SHIELD II'!$L$4*('CALCULO MORTERO'!I1016^2)+'BLAZE SHIELD II'!$L$5*'CALCULO MORTERO'!I1016+'BLAZE SHIELD II'!$L$6)*LN(J1016))+('BLAZE SHIELD II'!$L$7*('CALCULO MORTERO'!I1016^2)+'BLAZE SHIELD II'!$L$8*'CALCULO MORTERO'!I1016+'BLAZE SHIELD II'!$L$9)),0)+IF(AND(L1016="Blaze Shield II",M1016="Software Idiem",C1016="IN",G1016=3),((('BLAZE SHIELD II'!$H$14*('CALCULO MORTERO'!I1016^2)+'BLAZE SHIELD II'!$H$15*'CALCULO MORTERO'!I1016+'BLAZE SHIELD II'!$H$16)*LN(J1016))+('BLAZE SHIELD II'!$H$17*('CALCULO MORTERO'!I1016^2)+'BLAZE SHIELD II'!$H$18*'CALCULO MORTERO'!I1016+'BLAZE SHIELD II'!$H$19)),0),0)+ROUND(IF(AND(L1016="Cafco 400",M1016="Software Idiem",C1016="IN",G1016=4),((('CAFCO 400 '!$H$7*(J1016^4)+'CAFCO 400 '!$H$8*(J1016^3)+'CAFCO 400 '!$H$9*(J1016^2)+'CAFCO 400 '!$H$10*J1016+'CAFCO 400 '!$H$11)*U1016^2)+(('CAFCO 400 '!$H$12*(J1016^3)+'CAFCO 400 '!$H$13*(J1016^2)+'CAFCO 400 '!$H$14*J1016+'CAFCO 400 '!$H$15)*U1016)+('CAFCO 400 '!$H$16*(J1016^2)+'CAFCO 400 '!$H$17*J1016+'CAFCO 400 '!$H$18)),0)+IF(AND(L1016="Cafco 400",M1016="Software Idiem",C1016="Cj"),(((('CAFCO 400 '!$D$7*LN(J1016)+'CAFCO 400 '!$D$8)*U1016^2)+(('CAFCO 400 '!$D$9*LN(J1016)+'CAFCO 400 '!$D$10)*U1016)+('CAFCO 400 '!$D$11*LN(J1016)+'CAFCO 400 '!$D$12))),0)+IF(AND(L1016="Cafco 400",M1016="Software Idiem",C1016="C"),((('CAFCO 400 '!$L$7*(J1016^3)+'CAFCO 400 '!$L$8*(J1016^2)+'CAFCO 400 '!$L$9*J1016+'CAFCO 400 '!$L$10)*U1016^2)+(('CAFCO 400 '!$L$11*(J1016^3)+'CAFCO 400 '!$L$12*(J1016^2)+'CAFCO 400 '!$L$13*J1016+'CAFCO 400 '!$L$14)*U1016)+('CAFCO 400 '!$L$15*LN(J1016)+'CAFCO 400 '!$L$16)),0)+IF(AND(L1016="Cafco 400",M1016="Software Idiem",C1016="L"),((('CAFCO 400 '!$L$7*(J1016^3)+'CAFCO 400 '!$L$8*(J1016^2)+'CAFCO 400 '!$L$9*J1016+'CAFCO 400 '!$L$10)*U1016^2)+(('CAFCO 400 '!$L$11*(J1016^3)+'CAFCO 400 '!$L$12*(J1016^2)+'CAFCO 400 '!$L$13*J1016+'CAFCO 400 '!$L$14)*U1016)+('CAFCO 400 '!$L$15*LN(J1016)+'CAFCO 400 '!$L$16)),0)+IF(AND(L1016="Cafco 400",M1016="Software Idiem",C1016="IN",G1016=3),((('CAFCO 400 '!$D$23*(J1016^2)+'CAFCO 400 '!$D$24*(J1016)+'CAFCO 400 '!$D$25)*U1016^2)+(('CAFCO 400 '!$D$26*(J1016^2)+'CAFCO 400 '!$D$27*J1016+'CAFCO 400 '!$D$28)*U1016)+('CAFCO 400 '!$D$29*(J1016^2)+'CAFCO 400 '!$D$30*J1016+'CAFCO 400 '!$D$31)),0),0)+IF(AND(L1016="Cafco 300",J1016&gt;=95,J1016&lt;=240,C1016="Cj",I1016=90),VLOOKUP(T1016,'CAFCO 300 IDIEM TABLAS'!$B$4:$D$23,2,FALSE),0)+IF(AND(L1016="Cafco 300",J1016&gt;=95,J1016&lt;=240,C1016="Cj",I1016=120),VLOOKUP(T1016,'CAFCO 300 IDIEM TABLAS'!$B$4:$D$23,3,FALSE),0)+IF(AND(L1016="Cafco 300",J1016&gt;=95,J1016&lt;=400,G1016=3,C1016="IN",I1016=90),VLOOKUP(T1016,'CAFCO 300 IDIEM TABLAS'!$F$4:$H$35,2,FALSE),0)+IF(AND(L1016="Cafco 300",J1016&gt;=95,J1016&lt;=400,G1016=3,C1016="IN",I1016=120),VLOOKUP(T1016,'CAFCO 300 IDIEM TABLAS'!$F$4:$H$35,3,FALSE),0)+IF(AND(L1016="Cafco 300",J1016&gt;=95,J1016&lt;=450,G1016=4,C1016="IN",I1016=90),VLOOKUP(T1016,'CAFCO 300 IDIEM TABLAS'!$J$4:$L$40,2,FALSE),0)+IF(AND(L1016="Cafco 300",J1016&gt;=95,J1016&lt;=450,G1016=4,C1016="IN",I1016=120),VLOOKUP(T1016,'CAFCO 300 IDIEM TABLAS'!$J$4:$L$40,3,FALSE),0)+IF(AND(M1016="Ensayo Idiem",L1016="Cafco 400",C1016="IN",G1016=4,I1016=90),VLOOKUP(T1016,'CAFCO 400 ENSAYO'!$B$7:$D$43,2,FALSE),0)+IF(AND(M1016="Ensayo Idiem",L1016="Cafco 400",C1016="IN",G1016=4,I1016=120),VLOOKUP(T1016,'CAFCO 400 ENSAYO'!$B$7:$D$43,3,FALSE),0)</f>
        <v>0</v>
      </c>
      <c r="O1016" s="96">
        <f t="shared" si="102"/>
        <v>0</v>
      </c>
      <c r="P1016" s="95" t="str">
        <f t="shared" si="103"/>
        <v>N/A</v>
      </c>
      <c r="Q1016" s="95" t="str">
        <f t="shared" si="104"/>
        <v>N/A</v>
      </c>
      <c r="R1016" s="95" t="str">
        <f t="shared" si="105"/>
        <v>NO CERT.</v>
      </c>
      <c r="S1016" s="95" t="e">
        <f t="shared" si="106"/>
        <v>#N/A</v>
      </c>
      <c r="T1016" s="119" t="e">
        <f>+IF(J1016=LOOKUP(J1016,'CAFCO 300 IDIEM TABLAS'!$J$4:$J$40),'CALCULO MORTERO'!J1016,MROUND('CALCULO MORTERO'!J1016,10))</f>
        <v>#N/A</v>
      </c>
      <c r="U1016" s="118">
        <f t="shared" si="107"/>
        <v>0</v>
      </c>
    </row>
    <row r="1017" spans="1:21" x14ac:dyDescent="0.25">
      <c r="A1017" s="118">
        <f>+CUBICACION!D1011</f>
        <v>0</v>
      </c>
      <c r="B1017" s="819">
        <f>+CUBICACION!E1011</f>
        <v>0</v>
      </c>
      <c r="C1017" s="675">
        <f>+CUBICACION!F1011</f>
        <v>0</v>
      </c>
      <c r="D1017" s="118"/>
      <c r="E1017" s="118"/>
      <c r="F1017" s="820"/>
      <c r="G1017" s="675">
        <f>+CUBICACION!J1011</f>
        <v>0</v>
      </c>
      <c r="H1017" s="118"/>
      <c r="I1017" s="821">
        <f>+CUBICACION!L1011</f>
        <v>0</v>
      </c>
      <c r="J1017" s="64">
        <f>+CUBICACION!M1011</f>
        <v>0</v>
      </c>
      <c r="K1017" s="822" t="str">
        <f>+CUBICACION!N1011</f>
        <v/>
      </c>
      <c r="L1017" s="118">
        <f>+CUBICACION!O1011</f>
        <v>0</v>
      </c>
      <c r="M1017" s="823">
        <f>+CUBICACION!P1011</f>
        <v>0</v>
      </c>
      <c r="N1017" s="902">
        <f>ROUND(IF(AND(L1017="Blaze Shield II",M1017="Software Idiem",C1017="IN",G1017=4),((('BLAZE SHIELD II'!$D$4*('CALCULO MORTERO'!I1017^2)+'BLAZE SHIELD II'!$D$5*'CALCULO MORTERO'!I1017+'BLAZE SHIELD II'!$D$6)*LN(J1017))+('BLAZE SHIELD II'!$D$7*('CALCULO MORTERO'!I1017^2)+'BLAZE SHIELD II'!$D$8*'CALCULO MORTERO'!I1017+'BLAZE SHIELD II'!$D$9)),0)+IF(AND(L1017="Blaze Shield II",M1017="Software Idiem",C1017="Cj"),((('BLAZE SHIELD II'!$H$4*('CALCULO MORTERO'!I1017^2)+'BLAZE SHIELD II'!$H$5*'CALCULO MORTERO'!I1017+'BLAZE SHIELD II'!$H$6)*LN(J1017))+('BLAZE SHIELD II'!$H$7*('CALCULO MORTERO'!I1017^2)+'BLAZE SHIELD II'!$H$8*'CALCULO MORTERO'!I1017+'BLAZE SHIELD II'!$H$9)),0)+IF(AND(L1017="Blaze Shield II",M1017="Software Idiem",C1017="C"),((('BLAZE SHIELD II'!$L$4*('CALCULO MORTERO'!I1017^2)+'BLAZE SHIELD II'!$L$5*'CALCULO MORTERO'!I1017+'BLAZE SHIELD II'!$L$6)*LN(J1017))+('BLAZE SHIELD II'!$L$7*('CALCULO MORTERO'!I1017^2)+'BLAZE SHIELD II'!$L$8*'CALCULO MORTERO'!I1017+'BLAZE SHIELD II'!$L$9)),0)+IF(AND(L1017="Blaze Shield II",M1017="Software Idiem",C1017="L"),((('BLAZE SHIELD II'!$L$4*('CALCULO MORTERO'!I1017^2)+'BLAZE SHIELD II'!$L$5*'CALCULO MORTERO'!I1017+'BLAZE SHIELD II'!$L$6)*LN(J1017))+('BLAZE SHIELD II'!$L$7*('CALCULO MORTERO'!I1017^2)+'BLAZE SHIELD II'!$L$8*'CALCULO MORTERO'!I1017+'BLAZE SHIELD II'!$L$9)),0)+IF(AND(L1017="Blaze Shield II",M1017="Software Idiem",C1017="IN",G1017=3),((('BLAZE SHIELD II'!$H$14*('CALCULO MORTERO'!I1017^2)+'BLAZE SHIELD II'!$H$15*'CALCULO MORTERO'!I1017+'BLAZE SHIELD II'!$H$16)*LN(J1017))+('BLAZE SHIELD II'!$H$17*('CALCULO MORTERO'!I1017^2)+'BLAZE SHIELD II'!$H$18*'CALCULO MORTERO'!I1017+'BLAZE SHIELD II'!$H$19)),0),0)+ROUND(IF(AND(L1017="Cafco 400",M1017="Software Idiem",C1017="IN",G1017=4),((('CAFCO 400 '!$H$7*(J1017^4)+'CAFCO 400 '!$H$8*(J1017^3)+'CAFCO 400 '!$H$9*(J1017^2)+'CAFCO 400 '!$H$10*J1017+'CAFCO 400 '!$H$11)*U1017^2)+(('CAFCO 400 '!$H$12*(J1017^3)+'CAFCO 400 '!$H$13*(J1017^2)+'CAFCO 400 '!$H$14*J1017+'CAFCO 400 '!$H$15)*U1017)+('CAFCO 400 '!$H$16*(J1017^2)+'CAFCO 400 '!$H$17*J1017+'CAFCO 400 '!$H$18)),0)+IF(AND(L1017="Cafco 400",M1017="Software Idiem",C1017="Cj"),(((('CAFCO 400 '!$D$7*LN(J1017)+'CAFCO 400 '!$D$8)*U1017^2)+(('CAFCO 400 '!$D$9*LN(J1017)+'CAFCO 400 '!$D$10)*U1017)+('CAFCO 400 '!$D$11*LN(J1017)+'CAFCO 400 '!$D$12))),0)+IF(AND(L1017="Cafco 400",M1017="Software Idiem",C1017="C"),((('CAFCO 400 '!$L$7*(J1017^3)+'CAFCO 400 '!$L$8*(J1017^2)+'CAFCO 400 '!$L$9*J1017+'CAFCO 400 '!$L$10)*U1017^2)+(('CAFCO 400 '!$L$11*(J1017^3)+'CAFCO 400 '!$L$12*(J1017^2)+'CAFCO 400 '!$L$13*J1017+'CAFCO 400 '!$L$14)*U1017)+('CAFCO 400 '!$L$15*LN(J1017)+'CAFCO 400 '!$L$16)),0)+IF(AND(L1017="Cafco 400",M1017="Software Idiem",C1017="L"),((('CAFCO 400 '!$L$7*(J1017^3)+'CAFCO 400 '!$L$8*(J1017^2)+'CAFCO 400 '!$L$9*J1017+'CAFCO 400 '!$L$10)*U1017^2)+(('CAFCO 400 '!$L$11*(J1017^3)+'CAFCO 400 '!$L$12*(J1017^2)+'CAFCO 400 '!$L$13*J1017+'CAFCO 400 '!$L$14)*U1017)+('CAFCO 400 '!$L$15*LN(J1017)+'CAFCO 400 '!$L$16)),0)+IF(AND(L1017="Cafco 400",M1017="Software Idiem",C1017="IN",G1017=3),((('CAFCO 400 '!$D$23*(J1017^2)+'CAFCO 400 '!$D$24*(J1017)+'CAFCO 400 '!$D$25)*U1017^2)+(('CAFCO 400 '!$D$26*(J1017^2)+'CAFCO 400 '!$D$27*J1017+'CAFCO 400 '!$D$28)*U1017)+('CAFCO 400 '!$D$29*(J1017^2)+'CAFCO 400 '!$D$30*J1017+'CAFCO 400 '!$D$31)),0),0)+IF(AND(L1017="Cafco 300",J1017&gt;=95,J1017&lt;=240,C1017="Cj",I1017=90),VLOOKUP(T1017,'CAFCO 300 IDIEM TABLAS'!$B$4:$D$23,2,FALSE),0)+IF(AND(L1017="Cafco 300",J1017&gt;=95,J1017&lt;=240,C1017="Cj",I1017=120),VLOOKUP(T1017,'CAFCO 300 IDIEM TABLAS'!$B$4:$D$23,3,FALSE),0)+IF(AND(L1017="Cafco 300",J1017&gt;=95,J1017&lt;=400,G1017=3,C1017="IN",I1017=90),VLOOKUP(T1017,'CAFCO 300 IDIEM TABLAS'!$F$4:$H$35,2,FALSE),0)+IF(AND(L1017="Cafco 300",J1017&gt;=95,J1017&lt;=400,G1017=3,C1017="IN",I1017=120),VLOOKUP(T1017,'CAFCO 300 IDIEM TABLAS'!$F$4:$H$35,3,FALSE),0)+IF(AND(L1017="Cafco 300",J1017&gt;=95,J1017&lt;=450,G1017=4,C1017="IN",I1017=90),VLOOKUP(T1017,'CAFCO 300 IDIEM TABLAS'!$J$4:$L$40,2,FALSE),0)+IF(AND(L1017="Cafco 300",J1017&gt;=95,J1017&lt;=450,G1017=4,C1017="IN",I1017=120),VLOOKUP(T1017,'CAFCO 300 IDIEM TABLAS'!$J$4:$L$40,3,FALSE),0)+IF(AND(M1017="Ensayo Idiem",L1017="Cafco 400",C1017="IN",G1017=4,I1017=90),VLOOKUP(T1017,'CAFCO 400 ENSAYO'!$B$7:$D$43,2,FALSE),0)+IF(AND(M1017="Ensayo Idiem",L1017="Cafco 400",C1017="IN",G1017=4,I1017=120),VLOOKUP(T1017,'CAFCO 400 ENSAYO'!$B$7:$D$43,3,FALSE),0)</f>
        <v>0</v>
      </c>
      <c r="O1017" s="96">
        <f t="shared" si="102"/>
        <v>0</v>
      </c>
      <c r="P1017" s="132" t="str">
        <f t="shared" si="103"/>
        <v>N/A</v>
      </c>
      <c r="Q1017" s="132" t="str">
        <f t="shared" si="104"/>
        <v>N/A</v>
      </c>
      <c r="R1017" s="132" t="str">
        <f t="shared" si="105"/>
        <v>NO CERT.</v>
      </c>
      <c r="S1017" s="132" t="e">
        <f t="shared" si="106"/>
        <v>#N/A</v>
      </c>
      <c r="T1017" s="133" t="e">
        <f>+IF(J1017=LOOKUP(J1017,'CAFCO 300 IDIEM TABLAS'!$J$4:$J$40),'CALCULO MORTERO'!J1017,MROUND('CALCULO MORTERO'!J1017,10))</f>
        <v>#N/A</v>
      </c>
      <c r="U1017" s="134">
        <f t="shared" si="107"/>
        <v>0</v>
      </c>
    </row>
    <row r="1018" spans="1:21" x14ac:dyDescent="0.25">
      <c r="A1018" s="118">
        <f>+CUBICACION!D1012</f>
        <v>0</v>
      </c>
      <c r="B1018" s="819">
        <f>+CUBICACION!E1012</f>
        <v>0</v>
      </c>
      <c r="C1018" s="675">
        <f>+CUBICACION!F1012</f>
        <v>0</v>
      </c>
      <c r="D1018" s="118"/>
      <c r="E1018" s="118"/>
      <c r="F1018" s="820"/>
      <c r="G1018" s="675">
        <f>+CUBICACION!J1012</f>
        <v>0</v>
      </c>
      <c r="H1018" s="118"/>
      <c r="I1018" s="821">
        <f>+CUBICACION!L1012</f>
        <v>0</v>
      </c>
      <c r="J1018" s="64">
        <f>+CUBICACION!M1012</f>
        <v>0</v>
      </c>
      <c r="K1018" s="822" t="str">
        <f>+CUBICACION!N1012</f>
        <v/>
      </c>
      <c r="L1018" s="118">
        <f>+CUBICACION!O1012</f>
        <v>0</v>
      </c>
      <c r="M1018" s="823">
        <f>+CUBICACION!P1012</f>
        <v>0</v>
      </c>
      <c r="N1018" s="902">
        <f>ROUND(IF(AND(L1018="Blaze Shield II",M1018="Software Idiem",C1018="IN",G1018=4),((('BLAZE SHIELD II'!$D$4*('CALCULO MORTERO'!I1018^2)+'BLAZE SHIELD II'!$D$5*'CALCULO MORTERO'!I1018+'BLAZE SHIELD II'!$D$6)*LN(J1018))+('BLAZE SHIELD II'!$D$7*('CALCULO MORTERO'!I1018^2)+'BLAZE SHIELD II'!$D$8*'CALCULO MORTERO'!I1018+'BLAZE SHIELD II'!$D$9)),0)+IF(AND(L1018="Blaze Shield II",M1018="Software Idiem",C1018="Cj"),((('BLAZE SHIELD II'!$H$4*('CALCULO MORTERO'!I1018^2)+'BLAZE SHIELD II'!$H$5*'CALCULO MORTERO'!I1018+'BLAZE SHIELD II'!$H$6)*LN(J1018))+('BLAZE SHIELD II'!$H$7*('CALCULO MORTERO'!I1018^2)+'BLAZE SHIELD II'!$H$8*'CALCULO MORTERO'!I1018+'BLAZE SHIELD II'!$H$9)),0)+IF(AND(L1018="Blaze Shield II",M1018="Software Idiem",C1018="C"),((('BLAZE SHIELD II'!$L$4*('CALCULO MORTERO'!I1018^2)+'BLAZE SHIELD II'!$L$5*'CALCULO MORTERO'!I1018+'BLAZE SHIELD II'!$L$6)*LN(J1018))+('BLAZE SHIELD II'!$L$7*('CALCULO MORTERO'!I1018^2)+'BLAZE SHIELD II'!$L$8*'CALCULO MORTERO'!I1018+'BLAZE SHIELD II'!$L$9)),0)+IF(AND(L1018="Blaze Shield II",M1018="Software Idiem",C1018="L"),((('BLAZE SHIELD II'!$L$4*('CALCULO MORTERO'!I1018^2)+'BLAZE SHIELD II'!$L$5*'CALCULO MORTERO'!I1018+'BLAZE SHIELD II'!$L$6)*LN(J1018))+('BLAZE SHIELD II'!$L$7*('CALCULO MORTERO'!I1018^2)+'BLAZE SHIELD II'!$L$8*'CALCULO MORTERO'!I1018+'BLAZE SHIELD II'!$L$9)),0)+IF(AND(L1018="Blaze Shield II",M1018="Software Idiem",C1018="IN",G1018=3),((('BLAZE SHIELD II'!$H$14*('CALCULO MORTERO'!I1018^2)+'BLAZE SHIELD II'!$H$15*'CALCULO MORTERO'!I1018+'BLAZE SHIELD II'!$H$16)*LN(J1018))+('BLAZE SHIELD II'!$H$17*('CALCULO MORTERO'!I1018^2)+'BLAZE SHIELD II'!$H$18*'CALCULO MORTERO'!I1018+'BLAZE SHIELD II'!$H$19)),0),0)+ROUND(IF(AND(L1018="Cafco 400",M1018="Software Idiem",C1018="IN",G1018=4),((('CAFCO 400 '!$H$7*(J1018^4)+'CAFCO 400 '!$H$8*(J1018^3)+'CAFCO 400 '!$H$9*(J1018^2)+'CAFCO 400 '!$H$10*J1018+'CAFCO 400 '!$H$11)*U1018^2)+(('CAFCO 400 '!$H$12*(J1018^3)+'CAFCO 400 '!$H$13*(J1018^2)+'CAFCO 400 '!$H$14*J1018+'CAFCO 400 '!$H$15)*U1018)+('CAFCO 400 '!$H$16*(J1018^2)+'CAFCO 400 '!$H$17*J1018+'CAFCO 400 '!$H$18)),0)+IF(AND(L1018="Cafco 400",M1018="Software Idiem",C1018="Cj"),(((('CAFCO 400 '!$D$7*LN(J1018)+'CAFCO 400 '!$D$8)*U1018^2)+(('CAFCO 400 '!$D$9*LN(J1018)+'CAFCO 400 '!$D$10)*U1018)+('CAFCO 400 '!$D$11*LN(J1018)+'CAFCO 400 '!$D$12))),0)+IF(AND(L1018="Cafco 400",M1018="Software Idiem",C1018="C"),((('CAFCO 400 '!$L$7*(J1018^3)+'CAFCO 400 '!$L$8*(J1018^2)+'CAFCO 400 '!$L$9*J1018+'CAFCO 400 '!$L$10)*U1018^2)+(('CAFCO 400 '!$L$11*(J1018^3)+'CAFCO 400 '!$L$12*(J1018^2)+'CAFCO 400 '!$L$13*J1018+'CAFCO 400 '!$L$14)*U1018)+('CAFCO 400 '!$L$15*LN(J1018)+'CAFCO 400 '!$L$16)),0)+IF(AND(L1018="Cafco 400",M1018="Software Idiem",C1018="L"),((('CAFCO 400 '!$L$7*(J1018^3)+'CAFCO 400 '!$L$8*(J1018^2)+'CAFCO 400 '!$L$9*J1018+'CAFCO 400 '!$L$10)*U1018^2)+(('CAFCO 400 '!$L$11*(J1018^3)+'CAFCO 400 '!$L$12*(J1018^2)+'CAFCO 400 '!$L$13*J1018+'CAFCO 400 '!$L$14)*U1018)+('CAFCO 400 '!$L$15*LN(J1018)+'CAFCO 400 '!$L$16)),0)+IF(AND(L1018="Cafco 400",M1018="Software Idiem",C1018="IN",G1018=3),((('CAFCO 400 '!$D$23*(J1018^2)+'CAFCO 400 '!$D$24*(J1018)+'CAFCO 400 '!$D$25)*U1018^2)+(('CAFCO 400 '!$D$26*(J1018^2)+'CAFCO 400 '!$D$27*J1018+'CAFCO 400 '!$D$28)*U1018)+('CAFCO 400 '!$D$29*(J1018^2)+'CAFCO 400 '!$D$30*J1018+'CAFCO 400 '!$D$31)),0),0)+IF(AND(L1018="Cafco 300",J1018&gt;=95,J1018&lt;=240,C1018="Cj",I1018=90),VLOOKUP(T1018,'CAFCO 300 IDIEM TABLAS'!$B$4:$D$23,2,FALSE),0)+IF(AND(L1018="Cafco 300",J1018&gt;=95,J1018&lt;=240,C1018="Cj",I1018=120),VLOOKUP(T1018,'CAFCO 300 IDIEM TABLAS'!$B$4:$D$23,3,FALSE),0)+IF(AND(L1018="Cafco 300",J1018&gt;=95,J1018&lt;=400,G1018=3,C1018="IN",I1018=90),VLOOKUP(T1018,'CAFCO 300 IDIEM TABLAS'!$F$4:$H$35,2,FALSE),0)+IF(AND(L1018="Cafco 300",J1018&gt;=95,J1018&lt;=400,G1018=3,C1018="IN",I1018=120),VLOOKUP(T1018,'CAFCO 300 IDIEM TABLAS'!$F$4:$H$35,3,FALSE),0)+IF(AND(L1018="Cafco 300",J1018&gt;=95,J1018&lt;=450,G1018=4,C1018="IN",I1018=90),VLOOKUP(T1018,'CAFCO 300 IDIEM TABLAS'!$J$4:$L$40,2,FALSE),0)+IF(AND(L1018="Cafco 300",J1018&gt;=95,J1018&lt;=450,G1018=4,C1018="IN",I1018=120),VLOOKUP(T1018,'CAFCO 300 IDIEM TABLAS'!$J$4:$L$40,3,FALSE),0)+IF(AND(M1018="Ensayo Idiem",L1018="Cafco 400",C1018="IN",G1018=4,I1018=90),VLOOKUP(T1018,'CAFCO 400 ENSAYO'!$B$7:$D$43,2,FALSE),0)+IF(AND(M1018="Ensayo Idiem",L1018="Cafco 400",C1018="IN",G1018=4,I1018=120),VLOOKUP(T1018,'CAFCO 400 ENSAYO'!$B$7:$D$43,3,FALSE),0)</f>
        <v>0</v>
      </c>
      <c r="O1018" s="96">
        <f t="shared" si="102"/>
        <v>0</v>
      </c>
      <c r="P1018" s="95" t="str">
        <f t="shared" si="103"/>
        <v>N/A</v>
      </c>
      <c r="Q1018" s="95" t="str">
        <f t="shared" si="104"/>
        <v>N/A</v>
      </c>
      <c r="R1018" s="95" t="str">
        <f t="shared" si="105"/>
        <v>NO CERT.</v>
      </c>
      <c r="S1018" s="95" t="e">
        <f t="shared" si="106"/>
        <v>#N/A</v>
      </c>
      <c r="T1018" s="119" t="e">
        <f>+IF(J1018=LOOKUP(J1018,'CAFCO 300 IDIEM TABLAS'!$J$4:$J$40),'CALCULO MORTERO'!J1018,MROUND('CALCULO MORTERO'!J1018,10))</f>
        <v>#N/A</v>
      </c>
      <c r="U1018" s="118">
        <f t="shared" si="107"/>
        <v>0</v>
      </c>
    </row>
    <row r="1019" spans="1:21" x14ac:dyDescent="0.25">
      <c r="A1019" s="118">
        <f>+CUBICACION!D1013</f>
        <v>0</v>
      </c>
      <c r="B1019" s="819">
        <f>+CUBICACION!E1013</f>
        <v>0</v>
      </c>
      <c r="C1019" s="675">
        <f>+CUBICACION!F1013</f>
        <v>0</v>
      </c>
      <c r="D1019" s="118"/>
      <c r="E1019" s="118"/>
      <c r="F1019" s="820"/>
      <c r="G1019" s="675">
        <f>+CUBICACION!J1013</f>
        <v>0</v>
      </c>
      <c r="H1019" s="118"/>
      <c r="I1019" s="821">
        <f>+CUBICACION!L1013</f>
        <v>0</v>
      </c>
      <c r="J1019" s="64">
        <f>+CUBICACION!M1013</f>
        <v>0</v>
      </c>
      <c r="K1019" s="822" t="str">
        <f>+CUBICACION!N1013</f>
        <v/>
      </c>
      <c r="L1019" s="118">
        <f>+CUBICACION!O1013</f>
        <v>0</v>
      </c>
      <c r="M1019" s="823">
        <f>+CUBICACION!P1013</f>
        <v>0</v>
      </c>
      <c r="N1019" s="902">
        <f>ROUND(IF(AND(L1019="Blaze Shield II",M1019="Software Idiem",C1019="IN",G1019=4),((('BLAZE SHIELD II'!$D$4*('CALCULO MORTERO'!I1019^2)+'BLAZE SHIELD II'!$D$5*'CALCULO MORTERO'!I1019+'BLAZE SHIELD II'!$D$6)*LN(J1019))+('BLAZE SHIELD II'!$D$7*('CALCULO MORTERO'!I1019^2)+'BLAZE SHIELD II'!$D$8*'CALCULO MORTERO'!I1019+'BLAZE SHIELD II'!$D$9)),0)+IF(AND(L1019="Blaze Shield II",M1019="Software Idiem",C1019="Cj"),((('BLAZE SHIELD II'!$H$4*('CALCULO MORTERO'!I1019^2)+'BLAZE SHIELD II'!$H$5*'CALCULO MORTERO'!I1019+'BLAZE SHIELD II'!$H$6)*LN(J1019))+('BLAZE SHIELD II'!$H$7*('CALCULO MORTERO'!I1019^2)+'BLAZE SHIELD II'!$H$8*'CALCULO MORTERO'!I1019+'BLAZE SHIELD II'!$H$9)),0)+IF(AND(L1019="Blaze Shield II",M1019="Software Idiem",C1019="C"),((('BLAZE SHIELD II'!$L$4*('CALCULO MORTERO'!I1019^2)+'BLAZE SHIELD II'!$L$5*'CALCULO MORTERO'!I1019+'BLAZE SHIELD II'!$L$6)*LN(J1019))+('BLAZE SHIELD II'!$L$7*('CALCULO MORTERO'!I1019^2)+'BLAZE SHIELD II'!$L$8*'CALCULO MORTERO'!I1019+'BLAZE SHIELD II'!$L$9)),0)+IF(AND(L1019="Blaze Shield II",M1019="Software Idiem",C1019="L"),((('BLAZE SHIELD II'!$L$4*('CALCULO MORTERO'!I1019^2)+'BLAZE SHIELD II'!$L$5*'CALCULO MORTERO'!I1019+'BLAZE SHIELD II'!$L$6)*LN(J1019))+('BLAZE SHIELD II'!$L$7*('CALCULO MORTERO'!I1019^2)+'BLAZE SHIELD II'!$L$8*'CALCULO MORTERO'!I1019+'BLAZE SHIELD II'!$L$9)),0)+IF(AND(L1019="Blaze Shield II",M1019="Software Idiem",C1019="IN",G1019=3),((('BLAZE SHIELD II'!$H$14*('CALCULO MORTERO'!I1019^2)+'BLAZE SHIELD II'!$H$15*'CALCULO MORTERO'!I1019+'BLAZE SHIELD II'!$H$16)*LN(J1019))+('BLAZE SHIELD II'!$H$17*('CALCULO MORTERO'!I1019^2)+'BLAZE SHIELD II'!$H$18*'CALCULO MORTERO'!I1019+'BLAZE SHIELD II'!$H$19)),0),0)+ROUND(IF(AND(L1019="Cafco 400",M1019="Software Idiem",C1019="IN",G1019=4),((('CAFCO 400 '!$H$7*(J1019^4)+'CAFCO 400 '!$H$8*(J1019^3)+'CAFCO 400 '!$H$9*(J1019^2)+'CAFCO 400 '!$H$10*J1019+'CAFCO 400 '!$H$11)*U1019^2)+(('CAFCO 400 '!$H$12*(J1019^3)+'CAFCO 400 '!$H$13*(J1019^2)+'CAFCO 400 '!$H$14*J1019+'CAFCO 400 '!$H$15)*U1019)+('CAFCO 400 '!$H$16*(J1019^2)+'CAFCO 400 '!$H$17*J1019+'CAFCO 400 '!$H$18)),0)+IF(AND(L1019="Cafco 400",M1019="Software Idiem",C1019="Cj"),(((('CAFCO 400 '!$D$7*LN(J1019)+'CAFCO 400 '!$D$8)*U1019^2)+(('CAFCO 400 '!$D$9*LN(J1019)+'CAFCO 400 '!$D$10)*U1019)+('CAFCO 400 '!$D$11*LN(J1019)+'CAFCO 400 '!$D$12))),0)+IF(AND(L1019="Cafco 400",M1019="Software Idiem",C1019="C"),((('CAFCO 400 '!$L$7*(J1019^3)+'CAFCO 400 '!$L$8*(J1019^2)+'CAFCO 400 '!$L$9*J1019+'CAFCO 400 '!$L$10)*U1019^2)+(('CAFCO 400 '!$L$11*(J1019^3)+'CAFCO 400 '!$L$12*(J1019^2)+'CAFCO 400 '!$L$13*J1019+'CAFCO 400 '!$L$14)*U1019)+('CAFCO 400 '!$L$15*LN(J1019)+'CAFCO 400 '!$L$16)),0)+IF(AND(L1019="Cafco 400",M1019="Software Idiem",C1019="L"),((('CAFCO 400 '!$L$7*(J1019^3)+'CAFCO 400 '!$L$8*(J1019^2)+'CAFCO 400 '!$L$9*J1019+'CAFCO 400 '!$L$10)*U1019^2)+(('CAFCO 400 '!$L$11*(J1019^3)+'CAFCO 400 '!$L$12*(J1019^2)+'CAFCO 400 '!$L$13*J1019+'CAFCO 400 '!$L$14)*U1019)+('CAFCO 400 '!$L$15*LN(J1019)+'CAFCO 400 '!$L$16)),0)+IF(AND(L1019="Cafco 400",M1019="Software Idiem",C1019="IN",G1019=3),((('CAFCO 400 '!$D$23*(J1019^2)+'CAFCO 400 '!$D$24*(J1019)+'CAFCO 400 '!$D$25)*U1019^2)+(('CAFCO 400 '!$D$26*(J1019^2)+'CAFCO 400 '!$D$27*J1019+'CAFCO 400 '!$D$28)*U1019)+('CAFCO 400 '!$D$29*(J1019^2)+'CAFCO 400 '!$D$30*J1019+'CAFCO 400 '!$D$31)),0),0)+IF(AND(L1019="Cafco 300",J1019&gt;=95,J1019&lt;=240,C1019="Cj",I1019=90),VLOOKUP(T1019,'CAFCO 300 IDIEM TABLAS'!$B$4:$D$23,2,FALSE),0)+IF(AND(L1019="Cafco 300",J1019&gt;=95,J1019&lt;=240,C1019="Cj",I1019=120),VLOOKUP(T1019,'CAFCO 300 IDIEM TABLAS'!$B$4:$D$23,3,FALSE),0)+IF(AND(L1019="Cafco 300",J1019&gt;=95,J1019&lt;=400,G1019=3,C1019="IN",I1019=90),VLOOKUP(T1019,'CAFCO 300 IDIEM TABLAS'!$F$4:$H$35,2,FALSE),0)+IF(AND(L1019="Cafco 300",J1019&gt;=95,J1019&lt;=400,G1019=3,C1019="IN",I1019=120),VLOOKUP(T1019,'CAFCO 300 IDIEM TABLAS'!$F$4:$H$35,3,FALSE),0)+IF(AND(L1019="Cafco 300",J1019&gt;=95,J1019&lt;=450,G1019=4,C1019="IN",I1019=90),VLOOKUP(T1019,'CAFCO 300 IDIEM TABLAS'!$J$4:$L$40,2,FALSE),0)+IF(AND(L1019="Cafco 300",J1019&gt;=95,J1019&lt;=450,G1019=4,C1019="IN",I1019=120),VLOOKUP(T1019,'CAFCO 300 IDIEM TABLAS'!$J$4:$L$40,3,FALSE),0)+IF(AND(M1019="Ensayo Idiem",L1019="Cafco 400",C1019="IN",G1019=4,I1019=90),VLOOKUP(T1019,'CAFCO 400 ENSAYO'!$B$7:$D$43,2,FALSE),0)+IF(AND(M1019="Ensayo Idiem",L1019="Cafco 400",C1019="IN",G1019=4,I1019=120),VLOOKUP(T1019,'CAFCO 400 ENSAYO'!$B$7:$D$43,3,FALSE),0)</f>
        <v>0</v>
      </c>
      <c r="O1019" s="96">
        <f t="shared" si="102"/>
        <v>0</v>
      </c>
      <c r="P1019" s="132" t="str">
        <f t="shared" si="103"/>
        <v>N/A</v>
      </c>
      <c r="Q1019" s="132" t="str">
        <f t="shared" si="104"/>
        <v>N/A</v>
      </c>
      <c r="R1019" s="132" t="str">
        <f t="shared" si="105"/>
        <v>NO CERT.</v>
      </c>
      <c r="S1019" s="132" t="e">
        <f t="shared" si="106"/>
        <v>#N/A</v>
      </c>
      <c r="T1019" s="133" t="e">
        <f>+IF(J1019=LOOKUP(J1019,'CAFCO 300 IDIEM TABLAS'!$J$4:$J$40),'CALCULO MORTERO'!J1019,MROUND('CALCULO MORTERO'!J1019,10))</f>
        <v>#N/A</v>
      </c>
      <c r="U1019" s="134">
        <f t="shared" si="107"/>
        <v>0</v>
      </c>
    </row>
    <row r="1020" spans="1:21" x14ac:dyDescent="0.25">
      <c r="A1020" s="118">
        <f>+CUBICACION!D1014</f>
        <v>0</v>
      </c>
      <c r="B1020" s="819">
        <f>+CUBICACION!E1014</f>
        <v>0</v>
      </c>
      <c r="C1020" s="675">
        <f>+CUBICACION!F1014</f>
        <v>0</v>
      </c>
      <c r="D1020" s="118"/>
      <c r="E1020" s="118"/>
      <c r="F1020" s="820"/>
      <c r="G1020" s="675">
        <f>+CUBICACION!J1014</f>
        <v>0</v>
      </c>
      <c r="H1020" s="118"/>
      <c r="I1020" s="821">
        <f>+CUBICACION!L1014</f>
        <v>0</v>
      </c>
      <c r="J1020" s="64">
        <f>+CUBICACION!M1014</f>
        <v>0</v>
      </c>
      <c r="K1020" s="822" t="str">
        <f>+CUBICACION!N1014</f>
        <v/>
      </c>
      <c r="L1020" s="118">
        <f>+CUBICACION!O1014</f>
        <v>0</v>
      </c>
      <c r="M1020" s="823">
        <f>+CUBICACION!P1014</f>
        <v>0</v>
      </c>
      <c r="N1020" s="902">
        <f>ROUND(IF(AND(L1020="Blaze Shield II",M1020="Software Idiem",C1020="IN",G1020=4),((('BLAZE SHIELD II'!$D$4*('CALCULO MORTERO'!I1020^2)+'BLAZE SHIELD II'!$D$5*'CALCULO MORTERO'!I1020+'BLAZE SHIELD II'!$D$6)*LN(J1020))+('BLAZE SHIELD II'!$D$7*('CALCULO MORTERO'!I1020^2)+'BLAZE SHIELD II'!$D$8*'CALCULO MORTERO'!I1020+'BLAZE SHIELD II'!$D$9)),0)+IF(AND(L1020="Blaze Shield II",M1020="Software Idiem",C1020="Cj"),((('BLAZE SHIELD II'!$H$4*('CALCULO MORTERO'!I1020^2)+'BLAZE SHIELD II'!$H$5*'CALCULO MORTERO'!I1020+'BLAZE SHIELD II'!$H$6)*LN(J1020))+('BLAZE SHIELD II'!$H$7*('CALCULO MORTERO'!I1020^2)+'BLAZE SHIELD II'!$H$8*'CALCULO MORTERO'!I1020+'BLAZE SHIELD II'!$H$9)),0)+IF(AND(L1020="Blaze Shield II",M1020="Software Idiem",C1020="C"),((('BLAZE SHIELD II'!$L$4*('CALCULO MORTERO'!I1020^2)+'BLAZE SHIELD II'!$L$5*'CALCULO MORTERO'!I1020+'BLAZE SHIELD II'!$L$6)*LN(J1020))+('BLAZE SHIELD II'!$L$7*('CALCULO MORTERO'!I1020^2)+'BLAZE SHIELD II'!$L$8*'CALCULO MORTERO'!I1020+'BLAZE SHIELD II'!$L$9)),0)+IF(AND(L1020="Blaze Shield II",M1020="Software Idiem",C1020="L"),((('BLAZE SHIELD II'!$L$4*('CALCULO MORTERO'!I1020^2)+'BLAZE SHIELD II'!$L$5*'CALCULO MORTERO'!I1020+'BLAZE SHIELD II'!$L$6)*LN(J1020))+('BLAZE SHIELD II'!$L$7*('CALCULO MORTERO'!I1020^2)+'BLAZE SHIELD II'!$L$8*'CALCULO MORTERO'!I1020+'BLAZE SHIELD II'!$L$9)),0)+IF(AND(L1020="Blaze Shield II",M1020="Software Idiem",C1020="IN",G1020=3),((('BLAZE SHIELD II'!$H$14*('CALCULO MORTERO'!I1020^2)+'BLAZE SHIELD II'!$H$15*'CALCULO MORTERO'!I1020+'BLAZE SHIELD II'!$H$16)*LN(J1020))+('BLAZE SHIELD II'!$H$17*('CALCULO MORTERO'!I1020^2)+'BLAZE SHIELD II'!$H$18*'CALCULO MORTERO'!I1020+'BLAZE SHIELD II'!$H$19)),0),0)+ROUND(IF(AND(L1020="Cafco 400",M1020="Software Idiem",C1020="IN",G1020=4),((('CAFCO 400 '!$H$7*(J1020^4)+'CAFCO 400 '!$H$8*(J1020^3)+'CAFCO 400 '!$H$9*(J1020^2)+'CAFCO 400 '!$H$10*J1020+'CAFCO 400 '!$H$11)*U1020^2)+(('CAFCO 400 '!$H$12*(J1020^3)+'CAFCO 400 '!$H$13*(J1020^2)+'CAFCO 400 '!$H$14*J1020+'CAFCO 400 '!$H$15)*U1020)+('CAFCO 400 '!$H$16*(J1020^2)+'CAFCO 400 '!$H$17*J1020+'CAFCO 400 '!$H$18)),0)+IF(AND(L1020="Cafco 400",M1020="Software Idiem",C1020="Cj"),(((('CAFCO 400 '!$D$7*LN(J1020)+'CAFCO 400 '!$D$8)*U1020^2)+(('CAFCO 400 '!$D$9*LN(J1020)+'CAFCO 400 '!$D$10)*U1020)+('CAFCO 400 '!$D$11*LN(J1020)+'CAFCO 400 '!$D$12))),0)+IF(AND(L1020="Cafco 400",M1020="Software Idiem",C1020="C"),((('CAFCO 400 '!$L$7*(J1020^3)+'CAFCO 400 '!$L$8*(J1020^2)+'CAFCO 400 '!$L$9*J1020+'CAFCO 400 '!$L$10)*U1020^2)+(('CAFCO 400 '!$L$11*(J1020^3)+'CAFCO 400 '!$L$12*(J1020^2)+'CAFCO 400 '!$L$13*J1020+'CAFCO 400 '!$L$14)*U1020)+('CAFCO 400 '!$L$15*LN(J1020)+'CAFCO 400 '!$L$16)),0)+IF(AND(L1020="Cafco 400",M1020="Software Idiem",C1020="L"),((('CAFCO 400 '!$L$7*(J1020^3)+'CAFCO 400 '!$L$8*(J1020^2)+'CAFCO 400 '!$L$9*J1020+'CAFCO 400 '!$L$10)*U1020^2)+(('CAFCO 400 '!$L$11*(J1020^3)+'CAFCO 400 '!$L$12*(J1020^2)+'CAFCO 400 '!$L$13*J1020+'CAFCO 400 '!$L$14)*U1020)+('CAFCO 400 '!$L$15*LN(J1020)+'CAFCO 400 '!$L$16)),0)+IF(AND(L1020="Cafco 400",M1020="Software Idiem",C1020="IN",G1020=3),((('CAFCO 400 '!$D$23*(J1020^2)+'CAFCO 400 '!$D$24*(J1020)+'CAFCO 400 '!$D$25)*U1020^2)+(('CAFCO 400 '!$D$26*(J1020^2)+'CAFCO 400 '!$D$27*J1020+'CAFCO 400 '!$D$28)*U1020)+('CAFCO 400 '!$D$29*(J1020^2)+'CAFCO 400 '!$D$30*J1020+'CAFCO 400 '!$D$31)),0),0)+IF(AND(L1020="Cafco 300",J1020&gt;=95,J1020&lt;=240,C1020="Cj",I1020=90),VLOOKUP(T1020,'CAFCO 300 IDIEM TABLAS'!$B$4:$D$23,2,FALSE),0)+IF(AND(L1020="Cafco 300",J1020&gt;=95,J1020&lt;=240,C1020="Cj",I1020=120),VLOOKUP(T1020,'CAFCO 300 IDIEM TABLAS'!$B$4:$D$23,3,FALSE),0)+IF(AND(L1020="Cafco 300",J1020&gt;=95,J1020&lt;=400,G1020=3,C1020="IN",I1020=90),VLOOKUP(T1020,'CAFCO 300 IDIEM TABLAS'!$F$4:$H$35,2,FALSE),0)+IF(AND(L1020="Cafco 300",J1020&gt;=95,J1020&lt;=400,G1020=3,C1020="IN",I1020=120),VLOOKUP(T1020,'CAFCO 300 IDIEM TABLAS'!$F$4:$H$35,3,FALSE),0)+IF(AND(L1020="Cafco 300",J1020&gt;=95,J1020&lt;=450,G1020=4,C1020="IN",I1020=90),VLOOKUP(T1020,'CAFCO 300 IDIEM TABLAS'!$J$4:$L$40,2,FALSE),0)+IF(AND(L1020="Cafco 300",J1020&gt;=95,J1020&lt;=450,G1020=4,C1020="IN",I1020=120),VLOOKUP(T1020,'CAFCO 300 IDIEM TABLAS'!$J$4:$L$40,3,FALSE),0)+IF(AND(M1020="Ensayo Idiem",L1020="Cafco 400",C1020="IN",G1020=4,I1020=90),VLOOKUP(T1020,'CAFCO 400 ENSAYO'!$B$7:$D$43,2,FALSE),0)+IF(AND(M1020="Ensayo Idiem",L1020="Cafco 400",C1020="IN",G1020=4,I1020=120),VLOOKUP(T1020,'CAFCO 400 ENSAYO'!$B$7:$D$43,3,FALSE),0)</f>
        <v>0</v>
      </c>
      <c r="O1020" s="96">
        <f t="shared" si="102"/>
        <v>0</v>
      </c>
      <c r="P1020" s="95" t="str">
        <f t="shared" si="103"/>
        <v>N/A</v>
      </c>
      <c r="Q1020" s="95" t="str">
        <f t="shared" si="104"/>
        <v>N/A</v>
      </c>
      <c r="R1020" s="95" t="str">
        <f t="shared" si="105"/>
        <v>NO CERT.</v>
      </c>
      <c r="S1020" s="95" t="e">
        <f t="shared" si="106"/>
        <v>#N/A</v>
      </c>
      <c r="T1020" s="119" t="e">
        <f>+IF(J1020=LOOKUP(J1020,'CAFCO 300 IDIEM TABLAS'!$J$4:$J$40),'CALCULO MORTERO'!J1020,MROUND('CALCULO MORTERO'!J1020,10))</f>
        <v>#N/A</v>
      </c>
      <c r="U1020" s="118">
        <f t="shared" si="107"/>
        <v>0</v>
      </c>
    </row>
    <row r="1021" spans="1:21" x14ac:dyDescent="0.25">
      <c r="A1021" s="118">
        <f>+CUBICACION!D1015</f>
        <v>0</v>
      </c>
      <c r="B1021" s="819">
        <f>+CUBICACION!E1015</f>
        <v>0</v>
      </c>
      <c r="C1021" s="675">
        <f>+CUBICACION!F1015</f>
        <v>0</v>
      </c>
      <c r="D1021" s="118"/>
      <c r="E1021" s="118"/>
      <c r="F1021" s="820"/>
      <c r="G1021" s="675">
        <f>+CUBICACION!J1015</f>
        <v>0</v>
      </c>
      <c r="H1021" s="118"/>
      <c r="I1021" s="821">
        <f>+CUBICACION!L1015</f>
        <v>0</v>
      </c>
      <c r="J1021" s="64">
        <f>+CUBICACION!M1015</f>
        <v>0</v>
      </c>
      <c r="K1021" s="822" t="str">
        <f>+CUBICACION!N1015</f>
        <v/>
      </c>
      <c r="L1021" s="118">
        <f>+CUBICACION!O1015</f>
        <v>0</v>
      </c>
      <c r="M1021" s="823">
        <f>+CUBICACION!P1015</f>
        <v>0</v>
      </c>
      <c r="N1021" s="902">
        <f>ROUND(IF(AND(L1021="Blaze Shield II",M1021="Software Idiem",C1021="IN",G1021=4),((('BLAZE SHIELD II'!$D$4*('CALCULO MORTERO'!I1021^2)+'BLAZE SHIELD II'!$D$5*'CALCULO MORTERO'!I1021+'BLAZE SHIELD II'!$D$6)*LN(J1021))+('BLAZE SHIELD II'!$D$7*('CALCULO MORTERO'!I1021^2)+'BLAZE SHIELD II'!$D$8*'CALCULO MORTERO'!I1021+'BLAZE SHIELD II'!$D$9)),0)+IF(AND(L1021="Blaze Shield II",M1021="Software Idiem",C1021="Cj"),((('BLAZE SHIELD II'!$H$4*('CALCULO MORTERO'!I1021^2)+'BLAZE SHIELD II'!$H$5*'CALCULO MORTERO'!I1021+'BLAZE SHIELD II'!$H$6)*LN(J1021))+('BLAZE SHIELD II'!$H$7*('CALCULO MORTERO'!I1021^2)+'BLAZE SHIELD II'!$H$8*'CALCULO MORTERO'!I1021+'BLAZE SHIELD II'!$H$9)),0)+IF(AND(L1021="Blaze Shield II",M1021="Software Idiem",C1021="C"),((('BLAZE SHIELD II'!$L$4*('CALCULO MORTERO'!I1021^2)+'BLAZE SHIELD II'!$L$5*'CALCULO MORTERO'!I1021+'BLAZE SHIELD II'!$L$6)*LN(J1021))+('BLAZE SHIELD II'!$L$7*('CALCULO MORTERO'!I1021^2)+'BLAZE SHIELD II'!$L$8*'CALCULO MORTERO'!I1021+'BLAZE SHIELD II'!$L$9)),0)+IF(AND(L1021="Blaze Shield II",M1021="Software Idiem",C1021="L"),((('BLAZE SHIELD II'!$L$4*('CALCULO MORTERO'!I1021^2)+'BLAZE SHIELD II'!$L$5*'CALCULO MORTERO'!I1021+'BLAZE SHIELD II'!$L$6)*LN(J1021))+('BLAZE SHIELD II'!$L$7*('CALCULO MORTERO'!I1021^2)+'BLAZE SHIELD II'!$L$8*'CALCULO MORTERO'!I1021+'BLAZE SHIELD II'!$L$9)),0)+IF(AND(L1021="Blaze Shield II",M1021="Software Idiem",C1021="IN",G1021=3),((('BLAZE SHIELD II'!$H$14*('CALCULO MORTERO'!I1021^2)+'BLAZE SHIELD II'!$H$15*'CALCULO MORTERO'!I1021+'BLAZE SHIELD II'!$H$16)*LN(J1021))+('BLAZE SHIELD II'!$H$17*('CALCULO MORTERO'!I1021^2)+'BLAZE SHIELD II'!$H$18*'CALCULO MORTERO'!I1021+'BLAZE SHIELD II'!$H$19)),0),0)+ROUND(IF(AND(L1021="Cafco 400",M1021="Software Idiem",C1021="IN",G1021=4),((('CAFCO 400 '!$H$7*(J1021^4)+'CAFCO 400 '!$H$8*(J1021^3)+'CAFCO 400 '!$H$9*(J1021^2)+'CAFCO 400 '!$H$10*J1021+'CAFCO 400 '!$H$11)*U1021^2)+(('CAFCO 400 '!$H$12*(J1021^3)+'CAFCO 400 '!$H$13*(J1021^2)+'CAFCO 400 '!$H$14*J1021+'CAFCO 400 '!$H$15)*U1021)+('CAFCO 400 '!$H$16*(J1021^2)+'CAFCO 400 '!$H$17*J1021+'CAFCO 400 '!$H$18)),0)+IF(AND(L1021="Cafco 400",M1021="Software Idiem",C1021="Cj"),(((('CAFCO 400 '!$D$7*LN(J1021)+'CAFCO 400 '!$D$8)*U1021^2)+(('CAFCO 400 '!$D$9*LN(J1021)+'CAFCO 400 '!$D$10)*U1021)+('CAFCO 400 '!$D$11*LN(J1021)+'CAFCO 400 '!$D$12))),0)+IF(AND(L1021="Cafco 400",M1021="Software Idiem",C1021="C"),((('CAFCO 400 '!$L$7*(J1021^3)+'CAFCO 400 '!$L$8*(J1021^2)+'CAFCO 400 '!$L$9*J1021+'CAFCO 400 '!$L$10)*U1021^2)+(('CAFCO 400 '!$L$11*(J1021^3)+'CAFCO 400 '!$L$12*(J1021^2)+'CAFCO 400 '!$L$13*J1021+'CAFCO 400 '!$L$14)*U1021)+('CAFCO 400 '!$L$15*LN(J1021)+'CAFCO 400 '!$L$16)),0)+IF(AND(L1021="Cafco 400",M1021="Software Idiem",C1021="L"),((('CAFCO 400 '!$L$7*(J1021^3)+'CAFCO 400 '!$L$8*(J1021^2)+'CAFCO 400 '!$L$9*J1021+'CAFCO 400 '!$L$10)*U1021^2)+(('CAFCO 400 '!$L$11*(J1021^3)+'CAFCO 400 '!$L$12*(J1021^2)+'CAFCO 400 '!$L$13*J1021+'CAFCO 400 '!$L$14)*U1021)+('CAFCO 400 '!$L$15*LN(J1021)+'CAFCO 400 '!$L$16)),0)+IF(AND(L1021="Cafco 400",M1021="Software Idiem",C1021="IN",G1021=3),((('CAFCO 400 '!$D$23*(J1021^2)+'CAFCO 400 '!$D$24*(J1021)+'CAFCO 400 '!$D$25)*U1021^2)+(('CAFCO 400 '!$D$26*(J1021^2)+'CAFCO 400 '!$D$27*J1021+'CAFCO 400 '!$D$28)*U1021)+('CAFCO 400 '!$D$29*(J1021^2)+'CAFCO 400 '!$D$30*J1021+'CAFCO 400 '!$D$31)),0),0)+IF(AND(L1021="Cafco 300",J1021&gt;=95,J1021&lt;=240,C1021="Cj",I1021=90),VLOOKUP(T1021,'CAFCO 300 IDIEM TABLAS'!$B$4:$D$23,2,FALSE),0)+IF(AND(L1021="Cafco 300",J1021&gt;=95,J1021&lt;=240,C1021="Cj",I1021=120),VLOOKUP(T1021,'CAFCO 300 IDIEM TABLAS'!$B$4:$D$23,3,FALSE),0)+IF(AND(L1021="Cafco 300",J1021&gt;=95,J1021&lt;=400,G1021=3,C1021="IN",I1021=90),VLOOKUP(T1021,'CAFCO 300 IDIEM TABLAS'!$F$4:$H$35,2,FALSE),0)+IF(AND(L1021="Cafco 300",J1021&gt;=95,J1021&lt;=400,G1021=3,C1021="IN",I1021=120),VLOOKUP(T1021,'CAFCO 300 IDIEM TABLAS'!$F$4:$H$35,3,FALSE),0)+IF(AND(L1021="Cafco 300",J1021&gt;=95,J1021&lt;=450,G1021=4,C1021="IN",I1021=90),VLOOKUP(T1021,'CAFCO 300 IDIEM TABLAS'!$J$4:$L$40,2,FALSE),0)+IF(AND(L1021="Cafco 300",J1021&gt;=95,J1021&lt;=450,G1021=4,C1021="IN",I1021=120),VLOOKUP(T1021,'CAFCO 300 IDIEM TABLAS'!$J$4:$L$40,3,FALSE),0)+IF(AND(M1021="Ensayo Idiem",L1021="Cafco 400",C1021="IN",G1021=4,I1021=90),VLOOKUP(T1021,'CAFCO 400 ENSAYO'!$B$7:$D$43,2,FALSE),0)+IF(AND(M1021="Ensayo Idiem",L1021="Cafco 400",C1021="IN",G1021=4,I1021=120),VLOOKUP(T1021,'CAFCO 400 ENSAYO'!$B$7:$D$43,3,FALSE),0)</f>
        <v>0</v>
      </c>
      <c r="O1021" s="96">
        <f t="shared" si="102"/>
        <v>0</v>
      </c>
      <c r="P1021" s="132" t="str">
        <f t="shared" si="103"/>
        <v>N/A</v>
      </c>
      <c r="Q1021" s="132" t="str">
        <f t="shared" si="104"/>
        <v>N/A</v>
      </c>
      <c r="R1021" s="132" t="str">
        <f t="shared" si="105"/>
        <v>NO CERT.</v>
      </c>
      <c r="S1021" s="132" t="e">
        <f t="shared" si="106"/>
        <v>#N/A</v>
      </c>
      <c r="T1021" s="133" t="e">
        <f>+IF(J1021=LOOKUP(J1021,'CAFCO 300 IDIEM TABLAS'!$J$4:$J$40),'CALCULO MORTERO'!J1021,MROUND('CALCULO MORTERO'!J1021,10))</f>
        <v>#N/A</v>
      </c>
      <c r="U1021" s="134">
        <f t="shared" si="107"/>
        <v>0</v>
      </c>
    </row>
    <row r="1022" spans="1:21" x14ac:dyDescent="0.25">
      <c r="A1022" s="118">
        <f>+CUBICACION!D1016</f>
        <v>0</v>
      </c>
      <c r="B1022" s="819">
        <f>+CUBICACION!E1016</f>
        <v>0</v>
      </c>
      <c r="C1022" s="675">
        <f>+CUBICACION!F1016</f>
        <v>0</v>
      </c>
      <c r="D1022" s="118"/>
      <c r="E1022" s="118"/>
      <c r="F1022" s="820"/>
      <c r="G1022" s="675">
        <f>+CUBICACION!J1016</f>
        <v>0</v>
      </c>
      <c r="H1022" s="118"/>
      <c r="I1022" s="821">
        <f>+CUBICACION!L1016</f>
        <v>0</v>
      </c>
      <c r="J1022" s="64">
        <f>+CUBICACION!M1016</f>
        <v>0</v>
      </c>
      <c r="K1022" s="822" t="str">
        <f>+CUBICACION!N1016</f>
        <v/>
      </c>
      <c r="L1022" s="118">
        <f>+CUBICACION!O1016</f>
        <v>0</v>
      </c>
      <c r="M1022" s="823">
        <f>+CUBICACION!P1016</f>
        <v>0</v>
      </c>
      <c r="N1022" s="902">
        <f>ROUND(IF(AND(L1022="Blaze Shield II",M1022="Software Idiem",C1022="IN",G1022=4),((('BLAZE SHIELD II'!$D$4*('CALCULO MORTERO'!I1022^2)+'BLAZE SHIELD II'!$D$5*'CALCULO MORTERO'!I1022+'BLAZE SHIELD II'!$D$6)*LN(J1022))+('BLAZE SHIELD II'!$D$7*('CALCULO MORTERO'!I1022^2)+'BLAZE SHIELD II'!$D$8*'CALCULO MORTERO'!I1022+'BLAZE SHIELD II'!$D$9)),0)+IF(AND(L1022="Blaze Shield II",M1022="Software Idiem",C1022="Cj"),((('BLAZE SHIELD II'!$H$4*('CALCULO MORTERO'!I1022^2)+'BLAZE SHIELD II'!$H$5*'CALCULO MORTERO'!I1022+'BLAZE SHIELD II'!$H$6)*LN(J1022))+('BLAZE SHIELD II'!$H$7*('CALCULO MORTERO'!I1022^2)+'BLAZE SHIELD II'!$H$8*'CALCULO MORTERO'!I1022+'BLAZE SHIELD II'!$H$9)),0)+IF(AND(L1022="Blaze Shield II",M1022="Software Idiem",C1022="C"),((('BLAZE SHIELD II'!$L$4*('CALCULO MORTERO'!I1022^2)+'BLAZE SHIELD II'!$L$5*'CALCULO MORTERO'!I1022+'BLAZE SHIELD II'!$L$6)*LN(J1022))+('BLAZE SHIELD II'!$L$7*('CALCULO MORTERO'!I1022^2)+'BLAZE SHIELD II'!$L$8*'CALCULO MORTERO'!I1022+'BLAZE SHIELD II'!$L$9)),0)+IF(AND(L1022="Blaze Shield II",M1022="Software Idiem",C1022="L"),((('BLAZE SHIELD II'!$L$4*('CALCULO MORTERO'!I1022^2)+'BLAZE SHIELD II'!$L$5*'CALCULO MORTERO'!I1022+'BLAZE SHIELD II'!$L$6)*LN(J1022))+('BLAZE SHIELD II'!$L$7*('CALCULO MORTERO'!I1022^2)+'BLAZE SHIELD II'!$L$8*'CALCULO MORTERO'!I1022+'BLAZE SHIELD II'!$L$9)),0)+IF(AND(L1022="Blaze Shield II",M1022="Software Idiem",C1022="IN",G1022=3),((('BLAZE SHIELD II'!$H$14*('CALCULO MORTERO'!I1022^2)+'BLAZE SHIELD II'!$H$15*'CALCULO MORTERO'!I1022+'BLAZE SHIELD II'!$H$16)*LN(J1022))+('BLAZE SHIELD II'!$H$17*('CALCULO MORTERO'!I1022^2)+'BLAZE SHIELD II'!$H$18*'CALCULO MORTERO'!I1022+'BLAZE SHIELD II'!$H$19)),0),0)+ROUND(IF(AND(L1022="Cafco 400",M1022="Software Idiem",C1022="IN",G1022=4),((('CAFCO 400 '!$H$7*(J1022^4)+'CAFCO 400 '!$H$8*(J1022^3)+'CAFCO 400 '!$H$9*(J1022^2)+'CAFCO 400 '!$H$10*J1022+'CAFCO 400 '!$H$11)*U1022^2)+(('CAFCO 400 '!$H$12*(J1022^3)+'CAFCO 400 '!$H$13*(J1022^2)+'CAFCO 400 '!$H$14*J1022+'CAFCO 400 '!$H$15)*U1022)+('CAFCO 400 '!$H$16*(J1022^2)+'CAFCO 400 '!$H$17*J1022+'CAFCO 400 '!$H$18)),0)+IF(AND(L1022="Cafco 400",M1022="Software Idiem",C1022="Cj"),(((('CAFCO 400 '!$D$7*LN(J1022)+'CAFCO 400 '!$D$8)*U1022^2)+(('CAFCO 400 '!$D$9*LN(J1022)+'CAFCO 400 '!$D$10)*U1022)+('CAFCO 400 '!$D$11*LN(J1022)+'CAFCO 400 '!$D$12))),0)+IF(AND(L1022="Cafco 400",M1022="Software Idiem",C1022="C"),((('CAFCO 400 '!$L$7*(J1022^3)+'CAFCO 400 '!$L$8*(J1022^2)+'CAFCO 400 '!$L$9*J1022+'CAFCO 400 '!$L$10)*U1022^2)+(('CAFCO 400 '!$L$11*(J1022^3)+'CAFCO 400 '!$L$12*(J1022^2)+'CAFCO 400 '!$L$13*J1022+'CAFCO 400 '!$L$14)*U1022)+('CAFCO 400 '!$L$15*LN(J1022)+'CAFCO 400 '!$L$16)),0)+IF(AND(L1022="Cafco 400",M1022="Software Idiem",C1022="L"),((('CAFCO 400 '!$L$7*(J1022^3)+'CAFCO 400 '!$L$8*(J1022^2)+'CAFCO 400 '!$L$9*J1022+'CAFCO 400 '!$L$10)*U1022^2)+(('CAFCO 400 '!$L$11*(J1022^3)+'CAFCO 400 '!$L$12*(J1022^2)+'CAFCO 400 '!$L$13*J1022+'CAFCO 400 '!$L$14)*U1022)+('CAFCO 400 '!$L$15*LN(J1022)+'CAFCO 400 '!$L$16)),0)+IF(AND(L1022="Cafco 400",M1022="Software Idiem",C1022="IN",G1022=3),((('CAFCO 400 '!$D$23*(J1022^2)+'CAFCO 400 '!$D$24*(J1022)+'CAFCO 400 '!$D$25)*U1022^2)+(('CAFCO 400 '!$D$26*(J1022^2)+'CAFCO 400 '!$D$27*J1022+'CAFCO 400 '!$D$28)*U1022)+('CAFCO 400 '!$D$29*(J1022^2)+'CAFCO 400 '!$D$30*J1022+'CAFCO 400 '!$D$31)),0),0)+IF(AND(L1022="Cafco 300",J1022&gt;=95,J1022&lt;=240,C1022="Cj",I1022=90),VLOOKUP(T1022,'CAFCO 300 IDIEM TABLAS'!$B$4:$D$23,2,FALSE),0)+IF(AND(L1022="Cafco 300",J1022&gt;=95,J1022&lt;=240,C1022="Cj",I1022=120),VLOOKUP(T1022,'CAFCO 300 IDIEM TABLAS'!$B$4:$D$23,3,FALSE),0)+IF(AND(L1022="Cafco 300",J1022&gt;=95,J1022&lt;=400,G1022=3,C1022="IN",I1022=90),VLOOKUP(T1022,'CAFCO 300 IDIEM TABLAS'!$F$4:$H$35,2,FALSE),0)+IF(AND(L1022="Cafco 300",J1022&gt;=95,J1022&lt;=400,G1022=3,C1022="IN",I1022=120),VLOOKUP(T1022,'CAFCO 300 IDIEM TABLAS'!$F$4:$H$35,3,FALSE),0)+IF(AND(L1022="Cafco 300",J1022&gt;=95,J1022&lt;=450,G1022=4,C1022="IN",I1022=90),VLOOKUP(T1022,'CAFCO 300 IDIEM TABLAS'!$J$4:$L$40,2,FALSE),0)+IF(AND(L1022="Cafco 300",J1022&gt;=95,J1022&lt;=450,G1022=4,C1022="IN",I1022=120),VLOOKUP(T1022,'CAFCO 300 IDIEM TABLAS'!$J$4:$L$40,3,FALSE),0)+IF(AND(M1022="Ensayo Idiem",L1022="Cafco 400",C1022="IN",G1022=4,I1022=90),VLOOKUP(T1022,'CAFCO 400 ENSAYO'!$B$7:$D$43,2,FALSE),0)+IF(AND(M1022="Ensayo Idiem",L1022="Cafco 400",C1022="IN",G1022=4,I1022=120),VLOOKUP(T1022,'CAFCO 400 ENSAYO'!$B$7:$D$43,3,FALSE),0)</f>
        <v>0</v>
      </c>
      <c r="O1022" s="96">
        <f t="shared" si="102"/>
        <v>0</v>
      </c>
      <c r="P1022" s="95" t="str">
        <f t="shared" si="103"/>
        <v>N/A</v>
      </c>
      <c r="Q1022" s="95" t="str">
        <f t="shared" si="104"/>
        <v>N/A</v>
      </c>
      <c r="R1022" s="95" t="str">
        <f t="shared" si="105"/>
        <v>NO CERT.</v>
      </c>
      <c r="S1022" s="95" t="e">
        <f t="shared" si="106"/>
        <v>#N/A</v>
      </c>
      <c r="T1022" s="119" t="e">
        <f>+IF(J1022=LOOKUP(J1022,'CAFCO 300 IDIEM TABLAS'!$J$4:$J$40),'CALCULO MORTERO'!J1022,MROUND('CALCULO MORTERO'!J1022,10))</f>
        <v>#N/A</v>
      </c>
      <c r="U1022" s="118">
        <f t="shared" si="107"/>
        <v>0</v>
      </c>
    </row>
    <row r="1023" spans="1:21" x14ac:dyDescent="0.25">
      <c r="A1023" s="118">
        <f>+CUBICACION!D1017</f>
        <v>0</v>
      </c>
      <c r="B1023" s="819">
        <f>+CUBICACION!E1017</f>
        <v>0</v>
      </c>
      <c r="C1023" s="675">
        <f>+CUBICACION!F1017</f>
        <v>0</v>
      </c>
      <c r="D1023" s="118"/>
      <c r="E1023" s="118"/>
      <c r="F1023" s="820"/>
      <c r="G1023" s="675">
        <f>+CUBICACION!J1017</f>
        <v>0</v>
      </c>
      <c r="H1023" s="118"/>
      <c r="I1023" s="821">
        <f>+CUBICACION!L1017</f>
        <v>0</v>
      </c>
      <c r="J1023" s="64">
        <f>+CUBICACION!M1017</f>
        <v>0</v>
      </c>
      <c r="K1023" s="822" t="str">
        <f>+CUBICACION!N1017</f>
        <v/>
      </c>
      <c r="L1023" s="118">
        <f>+CUBICACION!O1017</f>
        <v>0</v>
      </c>
      <c r="M1023" s="823">
        <f>+CUBICACION!P1017</f>
        <v>0</v>
      </c>
      <c r="N1023" s="902">
        <f>ROUND(IF(AND(L1023="Blaze Shield II",M1023="Software Idiem",C1023="IN",G1023=4),((('BLAZE SHIELD II'!$D$4*('CALCULO MORTERO'!I1023^2)+'BLAZE SHIELD II'!$D$5*'CALCULO MORTERO'!I1023+'BLAZE SHIELD II'!$D$6)*LN(J1023))+('BLAZE SHIELD II'!$D$7*('CALCULO MORTERO'!I1023^2)+'BLAZE SHIELD II'!$D$8*'CALCULO MORTERO'!I1023+'BLAZE SHIELD II'!$D$9)),0)+IF(AND(L1023="Blaze Shield II",M1023="Software Idiem",C1023="Cj"),((('BLAZE SHIELD II'!$H$4*('CALCULO MORTERO'!I1023^2)+'BLAZE SHIELD II'!$H$5*'CALCULO MORTERO'!I1023+'BLAZE SHIELD II'!$H$6)*LN(J1023))+('BLAZE SHIELD II'!$H$7*('CALCULO MORTERO'!I1023^2)+'BLAZE SHIELD II'!$H$8*'CALCULO MORTERO'!I1023+'BLAZE SHIELD II'!$H$9)),0)+IF(AND(L1023="Blaze Shield II",M1023="Software Idiem",C1023="C"),((('BLAZE SHIELD II'!$L$4*('CALCULO MORTERO'!I1023^2)+'BLAZE SHIELD II'!$L$5*'CALCULO MORTERO'!I1023+'BLAZE SHIELD II'!$L$6)*LN(J1023))+('BLAZE SHIELD II'!$L$7*('CALCULO MORTERO'!I1023^2)+'BLAZE SHIELD II'!$L$8*'CALCULO MORTERO'!I1023+'BLAZE SHIELD II'!$L$9)),0)+IF(AND(L1023="Blaze Shield II",M1023="Software Idiem",C1023="L"),((('BLAZE SHIELD II'!$L$4*('CALCULO MORTERO'!I1023^2)+'BLAZE SHIELD II'!$L$5*'CALCULO MORTERO'!I1023+'BLAZE SHIELD II'!$L$6)*LN(J1023))+('BLAZE SHIELD II'!$L$7*('CALCULO MORTERO'!I1023^2)+'BLAZE SHIELD II'!$L$8*'CALCULO MORTERO'!I1023+'BLAZE SHIELD II'!$L$9)),0)+IF(AND(L1023="Blaze Shield II",M1023="Software Idiem",C1023="IN",G1023=3),((('BLAZE SHIELD II'!$H$14*('CALCULO MORTERO'!I1023^2)+'BLAZE SHIELD II'!$H$15*'CALCULO MORTERO'!I1023+'BLAZE SHIELD II'!$H$16)*LN(J1023))+('BLAZE SHIELD II'!$H$17*('CALCULO MORTERO'!I1023^2)+'BLAZE SHIELD II'!$H$18*'CALCULO MORTERO'!I1023+'BLAZE SHIELD II'!$H$19)),0),0)+ROUND(IF(AND(L1023="Cafco 400",M1023="Software Idiem",C1023="IN",G1023=4),((('CAFCO 400 '!$H$7*(J1023^4)+'CAFCO 400 '!$H$8*(J1023^3)+'CAFCO 400 '!$H$9*(J1023^2)+'CAFCO 400 '!$H$10*J1023+'CAFCO 400 '!$H$11)*U1023^2)+(('CAFCO 400 '!$H$12*(J1023^3)+'CAFCO 400 '!$H$13*(J1023^2)+'CAFCO 400 '!$H$14*J1023+'CAFCO 400 '!$H$15)*U1023)+('CAFCO 400 '!$H$16*(J1023^2)+'CAFCO 400 '!$H$17*J1023+'CAFCO 400 '!$H$18)),0)+IF(AND(L1023="Cafco 400",M1023="Software Idiem",C1023="Cj"),(((('CAFCO 400 '!$D$7*LN(J1023)+'CAFCO 400 '!$D$8)*U1023^2)+(('CAFCO 400 '!$D$9*LN(J1023)+'CAFCO 400 '!$D$10)*U1023)+('CAFCO 400 '!$D$11*LN(J1023)+'CAFCO 400 '!$D$12))),0)+IF(AND(L1023="Cafco 400",M1023="Software Idiem",C1023="C"),((('CAFCO 400 '!$L$7*(J1023^3)+'CAFCO 400 '!$L$8*(J1023^2)+'CAFCO 400 '!$L$9*J1023+'CAFCO 400 '!$L$10)*U1023^2)+(('CAFCO 400 '!$L$11*(J1023^3)+'CAFCO 400 '!$L$12*(J1023^2)+'CAFCO 400 '!$L$13*J1023+'CAFCO 400 '!$L$14)*U1023)+('CAFCO 400 '!$L$15*LN(J1023)+'CAFCO 400 '!$L$16)),0)+IF(AND(L1023="Cafco 400",M1023="Software Idiem",C1023="L"),((('CAFCO 400 '!$L$7*(J1023^3)+'CAFCO 400 '!$L$8*(J1023^2)+'CAFCO 400 '!$L$9*J1023+'CAFCO 400 '!$L$10)*U1023^2)+(('CAFCO 400 '!$L$11*(J1023^3)+'CAFCO 400 '!$L$12*(J1023^2)+'CAFCO 400 '!$L$13*J1023+'CAFCO 400 '!$L$14)*U1023)+('CAFCO 400 '!$L$15*LN(J1023)+'CAFCO 400 '!$L$16)),0)+IF(AND(L1023="Cafco 400",M1023="Software Idiem",C1023="IN",G1023=3),((('CAFCO 400 '!$D$23*(J1023^2)+'CAFCO 400 '!$D$24*(J1023)+'CAFCO 400 '!$D$25)*U1023^2)+(('CAFCO 400 '!$D$26*(J1023^2)+'CAFCO 400 '!$D$27*J1023+'CAFCO 400 '!$D$28)*U1023)+('CAFCO 400 '!$D$29*(J1023^2)+'CAFCO 400 '!$D$30*J1023+'CAFCO 400 '!$D$31)),0),0)+IF(AND(L1023="Cafco 300",J1023&gt;=95,J1023&lt;=240,C1023="Cj",I1023=90),VLOOKUP(T1023,'CAFCO 300 IDIEM TABLAS'!$B$4:$D$23,2,FALSE),0)+IF(AND(L1023="Cafco 300",J1023&gt;=95,J1023&lt;=240,C1023="Cj",I1023=120),VLOOKUP(T1023,'CAFCO 300 IDIEM TABLAS'!$B$4:$D$23,3,FALSE),0)+IF(AND(L1023="Cafco 300",J1023&gt;=95,J1023&lt;=400,G1023=3,C1023="IN",I1023=90),VLOOKUP(T1023,'CAFCO 300 IDIEM TABLAS'!$F$4:$H$35,2,FALSE),0)+IF(AND(L1023="Cafco 300",J1023&gt;=95,J1023&lt;=400,G1023=3,C1023="IN",I1023=120),VLOOKUP(T1023,'CAFCO 300 IDIEM TABLAS'!$F$4:$H$35,3,FALSE),0)+IF(AND(L1023="Cafco 300",J1023&gt;=95,J1023&lt;=450,G1023=4,C1023="IN",I1023=90),VLOOKUP(T1023,'CAFCO 300 IDIEM TABLAS'!$J$4:$L$40,2,FALSE),0)+IF(AND(L1023="Cafco 300",J1023&gt;=95,J1023&lt;=450,G1023=4,C1023="IN",I1023=120),VLOOKUP(T1023,'CAFCO 300 IDIEM TABLAS'!$J$4:$L$40,3,FALSE),0)+IF(AND(M1023="Ensayo Idiem",L1023="Cafco 400",C1023="IN",G1023=4,I1023=90),VLOOKUP(T1023,'CAFCO 400 ENSAYO'!$B$7:$D$43,2,FALSE),0)+IF(AND(M1023="Ensayo Idiem",L1023="Cafco 400",C1023="IN",G1023=4,I1023=120),VLOOKUP(T1023,'CAFCO 400 ENSAYO'!$B$7:$D$43,3,FALSE),0)</f>
        <v>0</v>
      </c>
      <c r="O1023" s="96">
        <f t="shared" si="102"/>
        <v>0</v>
      </c>
      <c r="P1023" s="132" t="str">
        <f t="shared" si="103"/>
        <v>N/A</v>
      </c>
      <c r="Q1023" s="132" t="str">
        <f t="shared" si="104"/>
        <v>N/A</v>
      </c>
      <c r="R1023" s="132" t="str">
        <f t="shared" si="105"/>
        <v>NO CERT.</v>
      </c>
      <c r="S1023" s="132" t="e">
        <f t="shared" si="106"/>
        <v>#N/A</v>
      </c>
      <c r="T1023" s="133" t="e">
        <f>+IF(J1023=LOOKUP(J1023,'CAFCO 300 IDIEM TABLAS'!$J$4:$J$40),'CALCULO MORTERO'!J1023,MROUND('CALCULO MORTERO'!J1023,10))</f>
        <v>#N/A</v>
      </c>
      <c r="U1023" s="134">
        <f t="shared" si="107"/>
        <v>0</v>
      </c>
    </row>
    <row r="1024" spans="1:21" x14ac:dyDescent="0.25">
      <c r="A1024" s="118">
        <f>+CUBICACION!D1018</f>
        <v>0</v>
      </c>
      <c r="B1024" s="819">
        <f>+CUBICACION!E1018</f>
        <v>0</v>
      </c>
      <c r="C1024" s="675">
        <f>+CUBICACION!F1018</f>
        <v>0</v>
      </c>
      <c r="D1024" s="118"/>
      <c r="E1024" s="118"/>
      <c r="F1024" s="820"/>
      <c r="G1024" s="675">
        <f>+CUBICACION!J1018</f>
        <v>0</v>
      </c>
      <c r="H1024" s="118"/>
      <c r="I1024" s="821">
        <f>+CUBICACION!L1018</f>
        <v>0</v>
      </c>
      <c r="J1024" s="64">
        <f>+CUBICACION!M1018</f>
        <v>0</v>
      </c>
      <c r="K1024" s="822" t="str">
        <f>+CUBICACION!N1018</f>
        <v/>
      </c>
      <c r="L1024" s="118">
        <f>+CUBICACION!O1018</f>
        <v>0</v>
      </c>
      <c r="M1024" s="823">
        <f>+CUBICACION!P1018</f>
        <v>0</v>
      </c>
      <c r="N1024" s="902">
        <f>ROUND(IF(AND(L1024="Blaze Shield II",M1024="Software Idiem",C1024="IN",G1024=4),((('BLAZE SHIELD II'!$D$4*('CALCULO MORTERO'!I1024^2)+'BLAZE SHIELD II'!$D$5*'CALCULO MORTERO'!I1024+'BLAZE SHIELD II'!$D$6)*LN(J1024))+('BLAZE SHIELD II'!$D$7*('CALCULO MORTERO'!I1024^2)+'BLAZE SHIELD II'!$D$8*'CALCULO MORTERO'!I1024+'BLAZE SHIELD II'!$D$9)),0)+IF(AND(L1024="Blaze Shield II",M1024="Software Idiem",C1024="Cj"),((('BLAZE SHIELD II'!$H$4*('CALCULO MORTERO'!I1024^2)+'BLAZE SHIELD II'!$H$5*'CALCULO MORTERO'!I1024+'BLAZE SHIELD II'!$H$6)*LN(J1024))+('BLAZE SHIELD II'!$H$7*('CALCULO MORTERO'!I1024^2)+'BLAZE SHIELD II'!$H$8*'CALCULO MORTERO'!I1024+'BLAZE SHIELD II'!$H$9)),0)+IF(AND(L1024="Blaze Shield II",M1024="Software Idiem",C1024="C"),((('BLAZE SHIELD II'!$L$4*('CALCULO MORTERO'!I1024^2)+'BLAZE SHIELD II'!$L$5*'CALCULO MORTERO'!I1024+'BLAZE SHIELD II'!$L$6)*LN(J1024))+('BLAZE SHIELD II'!$L$7*('CALCULO MORTERO'!I1024^2)+'BLAZE SHIELD II'!$L$8*'CALCULO MORTERO'!I1024+'BLAZE SHIELD II'!$L$9)),0)+IF(AND(L1024="Blaze Shield II",M1024="Software Idiem",C1024="L"),((('BLAZE SHIELD II'!$L$4*('CALCULO MORTERO'!I1024^2)+'BLAZE SHIELD II'!$L$5*'CALCULO MORTERO'!I1024+'BLAZE SHIELD II'!$L$6)*LN(J1024))+('BLAZE SHIELD II'!$L$7*('CALCULO MORTERO'!I1024^2)+'BLAZE SHIELD II'!$L$8*'CALCULO MORTERO'!I1024+'BLAZE SHIELD II'!$L$9)),0)+IF(AND(L1024="Blaze Shield II",M1024="Software Idiem",C1024="IN",G1024=3),((('BLAZE SHIELD II'!$H$14*('CALCULO MORTERO'!I1024^2)+'BLAZE SHIELD II'!$H$15*'CALCULO MORTERO'!I1024+'BLAZE SHIELD II'!$H$16)*LN(J1024))+('BLAZE SHIELD II'!$H$17*('CALCULO MORTERO'!I1024^2)+'BLAZE SHIELD II'!$H$18*'CALCULO MORTERO'!I1024+'BLAZE SHIELD II'!$H$19)),0),0)+ROUND(IF(AND(L1024="Cafco 400",M1024="Software Idiem",C1024="IN",G1024=4),((('CAFCO 400 '!$H$7*(J1024^4)+'CAFCO 400 '!$H$8*(J1024^3)+'CAFCO 400 '!$H$9*(J1024^2)+'CAFCO 400 '!$H$10*J1024+'CAFCO 400 '!$H$11)*U1024^2)+(('CAFCO 400 '!$H$12*(J1024^3)+'CAFCO 400 '!$H$13*(J1024^2)+'CAFCO 400 '!$H$14*J1024+'CAFCO 400 '!$H$15)*U1024)+('CAFCO 400 '!$H$16*(J1024^2)+'CAFCO 400 '!$H$17*J1024+'CAFCO 400 '!$H$18)),0)+IF(AND(L1024="Cafco 400",M1024="Software Idiem",C1024="Cj"),(((('CAFCO 400 '!$D$7*LN(J1024)+'CAFCO 400 '!$D$8)*U1024^2)+(('CAFCO 400 '!$D$9*LN(J1024)+'CAFCO 400 '!$D$10)*U1024)+('CAFCO 400 '!$D$11*LN(J1024)+'CAFCO 400 '!$D$12))),0)+IF(AND(L1024="Cafco 400",M1024="Software Idiem",C1024="C"),((('CAFCO 400 '!$L$7*(J1024^3)+'CAFCO 400 '!$L$8*(J1024^2)+'CAFCO 400 '!$L$9*J1024+'CAFCO 400 '!$L$10)*U1024^2)+(('CAFCO 400 '!$L$11*(J1024^3)+'CAFCO 400 '!$L$12*(J1024^2)+'CAFCO 400 '!$L$13*J1024+'CAFCO 400 '!$L$14)*U1024)+('CAFCO 400 '!$L$15*LN(J1024)+'CAFCO 400 '!$L$16)),0)+IF(AND(L1024="Cafco 400",M1024="Software Idiem",C1024="L"),((('CAFCO 400 '!$L$7*(J1024^3)+'CAFCO 400 '!$L$8*(J1024^2)+'CAFCO 400 '!$L$9*J1024+'CAFCO 400 '!$L$10)*U1024^2)+(('CAFCO 400 '!$L$11*(J1024^3)+'CAFCO 400 '!$L$12*(J1024^2)+'CAFCO 400 '!$L$13*J1024+'CAFCO 400 '!$L$14)*U1024)+('CAFCO 400 '!$L$15*LN(J1024)+'CAFCO 400 '!$L$16)),0)+IF(AND(L1024="Cafco 400",M1024="Software Idiem",C1024="IN",G1024=3),((('CAFCO 400 '!$D$23*(J1024^2)+'CAFCO 400 '!$D$24*(J1024)+'CAFCO 400 '!$D$25)*U1024^2)+(('CAFCO 400 '!$D$26*(J1024^2)+'CAFCO 400 '!$D$27*J1024+'CAFCO 400 '!$D$28)*U1024)+('CAFCO 400 '!$D$29*(J1024^2)+'CAFCO 400 '!$D$30*J1024+'CAFCO 400 '!$D$31)),0),0)+IF(AND(L1024="Cafco 300",J1024&gt;=95,J1024&lt;=240,C1024="Cj",I1024=90),VLOOKUP(T1024,'CAFCO 300 IDIEM TABLAS'!$B$4:$D$23,2,FALSE),0)+IF(AND(L1024="Cafco 300",J1024&gt;=95,J1024&lt;=240,C1024="Cj",I1024=120),VLOOKUP(T1024,'CAFCO 300 IDIEM TABLAS'!$B$4:$D$23,3,FALSE),0)+IF(AND(L1024="Cafco 300",J1024&gt;=95,J1024&lt;=400,G1024=3,C1024="IN",I1024=90),VLOOKUP(T1024,'CAFCO 300 IDIEM TABLAS'!$F$4:$H$35,2,FALSE),0)+IF(AND(L1024="Cafco 300",J1024&gt;=95,J1024&lt;=400,G1024=3,C1024="IN",I1024=120),VLOOKUP(T1024,'CAFCO 300 IDIEM TABLAS'!$F$4:$H$35,3,FALSE),0)+IF(AND(L1024="Cafco 300",J1024&gt;=95,J1024&lt;=450,G1024=4,C1024="IN",I1024=90),VLOOKUP(T1024,'CAFCO 300 IDIEM TABLAS'!$J$4:$L$40,2,FALSE),0)+IF(AND(L1024="Cafco 300",J1024&gt;=95,J1024&lt;=450,G1024=4,C1024="IN",I1024=120),VLOOKUP(T1024,'CAFCO 300 IDIEM TABLAS'!$J$4:$L$40,3,FALSE),0)+IF(AND(M1024="Ensayo Idiem",L1024="Cafco 400",C1024="IN",G1024=4,I1024=90),VLOOKUP(T1024,'CAFCO 400 ENSAYO'!$B$7:$D$43,2,FALSE),0)+IF(AND(M1024="Ensayo Idiem",L1024="Cafco 400",C1024="IN",G1024=4,I1024=120),VLOOKUP(T1024,'CAFCO 400 ENSAYO'!$B$7:$D$43,3,FALSE),0)</f>
        <v>0</v>
      </c>
      <c r="O1024" s="96">
        <f t="shared" si="102"/>
        <v>0</v>
      </c>
      <c r="P1024" s="95" t="str">
        <f t="shared" si="103"/>
        <v>N/A</v>
      </c>
      <c r="Q1024" s="95" t="str">
        <f t="shared" si="104"/>
        <v>N/A</v>
      </c>
      <c r="R1024" s="95" t="str">
        <f t="shared" si="105"/>
        <v>NO CERT.</v>
      </c>
      <c r="S1024" s="95" t="e">
        <f t="shared" si="106"/>
        <v>#N/A</v>
      </c>
      <c r="T1024" s="119" t="e">
        <f>+IF(J1024=LOOKUP(J1024,'CAFCO 300 IDIEM TABLAS'!$J$4:$J$40),'CALCULO MORTERO'!J1024,MROUND('CALCULO MORTERO'!J1024,10))</f>
        <v>#N/A</v>
      </c>
      <c r="U1024" s="118">
        <f t="shared" si="107"/>
        <v>0</v>
      </c>
    </row>
    <row r="1025" spans="1:21" x14ac:dyDescent="0.25">
      <c r="A1025" s="118">
        <f>+CUBICACION!D1019</f>
        <v>0</v>
      </c>
      <c r="B1025" s="819">
        <f>+CUBICACION!E1019</f>
        <v>0</v>
      </c>
      <c r="C1025" s="675">
        <f>+CUBICACION!F1019</f>
        <v>0</v>
      </c>
      <c r="D1025" s="118"/>
      <c r="E1025" s="118"/>
      <c r="F1025" s="820"/>
      <c r="G1025" s="675">
        <f>+CUBICACION!J1019</f>
        <v>0</v>
      </c>
      <c r="H1025" s="118"/>
      <c r="I1025" s="821">
        <f>+CUBICACION!L1019</f>
        <v>0</v>
      </c>
      <c r="J1025" s="64">
        <f>+CUBICACION!M1019</f>
        <v>0</v>
      </c>
      <c r="K1025" s="822" t="str">
        <f>+CUBICACION!N1019</f>
        <v/>
      </c>
      <c r="L1025" s="118">
        <f>+CUBICACION!O1019</f>
        <v>0</v>
      </c>
      <c r="M1025" s="823">
        <f>+CUBICACION!P1019</f>
        <v>0</v>
      </c>
      <c r="N1025" s="902">
        <f>ROUND(IF(AND(L1025="Blaze Shield II",M1025="Software Idiem",C1025="IN",G1025=4),((('BLAZE SHIELD II'!$D$4*('CALCULO MORTERO'!I1025^2)+'BLAZE SHIELD II'!$D$5*'CALCULO MORTERO'!I1025+'BLAZE SHIELD II'!$D$6)*LN(J1025))+('BLAZE SHIELD II'!$D$7*('CALCULO MORTERO'!I1025^2)+'BLAZE SHIELD II'!$D$8*'CALCULO MORTERO'!I1025+'BLAZE SHIELD II'!$D$9)),0)+IF(AND(L1025="Blaze Shield II",M1025="Software Idiem",C1025="Cj"),((('BLAZE SHIELD II'!$H$4*('CALCULO MORTERO'!I1025^2)+'BLAZE SHIELD II'!$H$5*'CALCULO MORTERO'!I1025+'BLAZE SHIELD II'!$H$6)*LN(J1025))+('BLAZE SHIELD II'!$H$7*('CALCULO MORTERO'!I1025^2)+'BLAZE SHIELD II'!$H$8*'CALCULO MORTERO'!I1025+'BLAZE SHIELD II'!$H$9)),0)+IF(AND(L1025="Blaze Shield II",M1025="Software Idiem",C1025="C"),((('BLAZE SHIELD II'!$L$4*('CALCULO MORTERO'!I1025^2)+'BLAZE SHIELD II'!$L$5*'CALCULO MORTERO'!I1025+'BLAZE SHIELD II'!$L$6)*LN(J1025))+('BLAZE SHIELD II'!$L$7*('CALCULO MORTERO'!I1025^2)+'BLAZE SHIELD II'!$L$8*'CALCULO MORTERO'!I1025+'BLAZE SHIELD II'!$L$9)),0)+IF(AND(L1025="Blaze Shield II",M1025="Software Idiem",C1025="L"),((('BLAZE SHIELD II'!$L$4*('CALCULO MORTERO'!I1025^2)+'BLAZE SHIELD II'!$L$5*'CALCULO MORTERO'!I1025+'BLAZE SHIELD II'!$L$6)*LN(J1025))+('BLAZE SHIELD II'!$L$7*('CALCULO MORTERO'!I1025^2)+'BLAZE SHIELD II'!$L$8*'CALCULO MORTERO'!I1025+'BLAZE SHIELD II'!$L$9)),0)+IF(AND(L1025="Blaze Shield II",M1025="Software Idiem",C1025="IN",G1025=3),((('BLAZE SHIELD II'!$H$14*('CALCULO MORTERO'!I1025^2)+'BLAZE SHIELD II'!$H$15*'CALCULO MORTERO'!I1025+'BLAZE SHIELD II'!$H$16)*LN(J1025))+('BLAZE SHIELD II'!$H$17*('CALCULO MORTERO'!I1025^2)+'BLAZE SHIELD II'!$H$18*'CALCULO MORTERO'!I1025+'BLAZE SHIELD II'!$H$19)),0),0)+ROUND(IF(AND(L1025="Cafco 400",M1025="Software Idiem",C1025="IN",G1025=4),((('CAFCO 400 '!$H$7*(J1025^4)+'CAFCO 400 '!$H$8*(J1025^3)+'CAFCO 400 '!$H$9*(J1025^2)+'CAFCO 400 '!$H$10*J1025+'CAFCO 400 '!$H$11)*U1025^2)+(('CAFCO 400 '!$H$12*(J1025^3)+'CAFCO 400 '!$H$13*(J1025^2)+'CAFCO 400 '!$H$14*J1025+'CAFCO 400 '!$H$15)*U1025)+('CAFCO 400 '!$H$16*(J1025^2)+'CAFCO 400 '!$H$17*J1025+'CAFCO 400 '!$H$18)),0)+IF(AND(L1025="Cafco 400",M1025="Software Idiem",C1025="Cj"),(((('CAFCO 400 '!$D$7*LN(J1025)+'CAFCO 400 '!$D$8)*U1025^2)+(('CAFCO 400 '!$D$9*LN(J1025)+'CAFCO 400 '!$D$10)*U1025)+('CAFCO 400 '!$D$11*LN(J1025)+'CAFCO 400 '!$D$12))),0)+IF(AND(L1025="Cafco 400",M1025="Software Idiem",C1025="C"),((('CAFCO 400 '!$L$7*(J1025^3)+'CAFCO 400 '!$L$8*(J1025^2)+'CAFCO 400 '!$L$9*J1025+'CAFCO 400 '!$L$10)*U1025^2)+(('CAFCO 400 '!$L$11*(J1025^3)+'CAFCO 400 '!$L$12*(J1025^2)+'CAFCO 400 '!$L$13*J1025+'CAFCO 400 '!$L$14)*U1025)+('CAFCO 400 '!$L$15*LN(J1025)+'CAFCO 400 '!$L$16)),0)+IF(AND(L1025="Cafco 400",M1025="Software Idiem",C1025="L"),((('CAFCO 400 '!$L$7*(J1025^3)+'CAFCO 400 '!$L$8*(J1025^2)+'CAFCO 400 '!$L$9*J1025+'CAFCO 400 '!$L$10)*U1025^2)+(('CAFCO 400 '!$L$11*(J1025^3)+'CAFCO 400 '!$L$12*(J1025^2)+'CAFCO 400 '!$L$13*J1025+'CAFCO 400 '!$L$14)*U1025)+('CAFCO 400 '!$L$15*LN(J1025)+'CAFCO 400 '!$L$16)),0)+IF(AND(L1025="Cafco 400",M1025="Software Idiem",C1025="IN",G1025=3),((('CAFCO 400 '!$D$23*(J1025^2)+'CAFCO 400 '!$D$24*(J1025)+'CAFCO 400 '!$D$25)*U1025^2)+(('CAFCO 400 '!$D$26*(J1025^2)+'CAFCO 400 '!$D$27*J1025+'CAFCO 400 '!$D$28)*U1025)+('CAFCO 400 '!$D$29*(J1025^2)+'CAFCO 400 '!$D$30*J1025+'CAFCO 400 '!$D$31)),0),0)+IF(AND(L1025="Cafco 300",J1025&gt;=95,J1025&lt;=240,C1025="Cj",I1025=90),VLOOKUP(T1025,'CAFCO 300 IDIEM TABLAS'!$B$4:$D$23,2,FALSE),0)+IF(AND(L1025="Cafco 300",J1025&gt;=95,J1025&lt;=240,C1025="Cj",I1025=120),VLOOKUP(T1025,'CAFCO 300 IDIEM TABLAS'!$B$4:$D$23,3,FALSE),0)+IF(AND(L1025="Cafco 300",J1025&gt;=95,J1025&lt;=400,G1025=3,C1025="IN",I1025=90),VLOOKUP(T1025,'CAFCO 300 IDIEM TABLAS'!$F$4:$H$35,2,FALSE),0)+IF(AND(L1025="Cafco 300",J1025&gt;=95,J1025&lt;=400,G1025=3,C1025="IN",I1025=120),VLOOKUP(T1025,'CAFCO 300 IDIEM TABLAS'!$F$4:$H$35,3,FALSE),0)+IF(AND(L1025="Cafco 300",J1025&gt;=95,J1025&lt;=450,G1025=4,C1025="IN",I1025=90),VLOOKUP(T1025,'CAFCO 300 IDIEM TABLAS'!$J$4:$L$40,2,FALSE),0)+IF(AND(L1025="Cafco 300",J1025&gt;=95,J1025&lt;=450,G1025=4,C1025="IN",I1025=120),VLOOKUP(T1025,'CAFCO 300 IDIEM TABLAS'!$J$4:$L$40,3,FALSE),0)+IF(AND(M1025="Ensayo Idiem",L1025="Cafco 400",C1025="IN",G1025=4,I1025=90),VLOOKUP(T1025,'CAFCO 400 ENSAYO'!$B$7:$D$43,2,FALSE),0)+IF(AND(M1025="Ensayo Idiem",L1025="Cafco 400",C1025="IN",G1025=4,I1025=120),VLOOKUP(T1025,'CAFCO 400 ENSAYO'!$B$7:$D$43,3,FALSE),0)</f>
        <v>0</v>
      </c>
      <c r="O1025" s="96">
        <f t="shared" si="102"/>
        <v>0</v>
      </c>
      <c r="P1025" s="132" t="str">
        <f t="shared" si="103"/>
        <v>N/A</v>
      </c>
      <c r="Q1025" s="132" t="str">
        <f t="shared" si="104"/>
        <v>N/A</v>
      </c>
      <c r="R1025" s="132" t="str">
        <f t="shared" si="105"/>
        <v>NO CERT.</v>
      </c>
      <c r="S1025" s="132" t="e">
        <f t="shared" si="106"/>
        <v>#N/A</v>
      </c>
      <c r="T1025" s="133" t="e">
        <f>+IF(J1025=LOOKUP(J1025,'CAFCO 300 IDIEM TABLAS'!$J$4:$J$40),'CALCULO MORTERO'!J1025,MROUND('CALCULO MORTERO'!J1025,10))</f>
        <v>#N/A</v>
      </c>
      <c r="U1025" s="134">
        <f t="shared" si="107"/>
        <v>0</v>
      </c>
    </row>
    <row r="1026" spans="1:21" x14ac:dyDescent="0.25">
      <c r="A1026" s="118">
        <f>+CUBICACION!D1020</f>
        <v>0</v>
      </c>
      <c r="B1026" s="819">
        <f>+CUBICACION!E1020</f>
        <v>0</v>
      </c>
      <c r="C1026" s="675">
        <f>+CUBICACION!F1020</f>
        <v>0</v>
      </c>
      <c r="D1026" s="118"/>
      <c r="E1026" s="118"/>
      <c r="F1026" s="820"/>
      <c r="G1026" s="675">
        <f>+CUBICACION!J1020</f>
        <v>0</v>
      </c>
      <c r="H1026" s="118"/>
      <c r="I1026" s="821">
        <f>+CUBICACION!L1020</f>
        <v>0</v>
      </c>
      <c r="J1026" s="64">
        <f>+CUBICACION!M1020</f>
        <v>0</v>
      </c>
      <c r="K1026" s="822" t="str">
        <f>+CUBICACION!N1020</f>
        <v/>
      </c>
      <c r="L1026" s="118">
        <f>+CUBICACION!O1020</f>
        <v>0</v>
      </c>
      <c r="M1026" s="823">
        <f>+CUBICACION!P1020</f>
        <v>0</v>
      </c>
      <c r="N1026" s="902">
        <f>ROUND(IF(AND(L1026="Blaze Shield II",M1026="Software Idiem",C1026="IN",G1026=4),((('BLAZE SHIELD II'!$D$4*('CALCULO MORTERO'!I1026^2)+'BLAZE SHIELD II'!$D$5*'CALCULO MORTERO'!I1026+'BLAZE SHIELD II'!$D$6)*LN(J1026))+('BLAZE SHIELD II'!$D$7*('CALCULO MORTERO'!I1026^2)+'BLAZE SHIELD II'!$D$8*'CALCULO MORTERO'!I1026+'BLAZE SHIELD II'!$D$9)),0)+IF(AND(L1026="Blaze Shield II",M1026="Software Idiem",C1026="Cj"),((('BLAZE SHIELD II'!$H$4*('CALCULO MORTERO'!I1026^2)+'BLAZE SHIELD II'!$H$5*'CALCULO MORTERO'!I1026+'BLAZE SHIELD II'!$H$6)*LN(J1026))+('BLAZE SHIELD II'!$H$7*('CALCULO MORTERO'!I1026^2)+'BLAZE SHIELD II'!$H$8*'CALCULO MORTERO'!I1026+'BLAZE SHIELD II'!$H$9)),0)+IF(AND(L1026="Blaze Shield II",M1026="Software Idiem",C1026="C"),((('BLAZE SHIELD II'!$L$4*('CALCULO MORTERO'!I1026^2)+'BLAZE SHIELD II'!$L$5*'CALCULO MORTERO'!I1026+'BLAZE SHIELD II'!$L$6)*LN(J1026))+('BLAZE SHIELD II'!$L$7*('CALCULO MORTERO'!I1026^2)+'BLAZE SHIELD II'!$L$8*'CALCULO MORTERO'!I1026+'BLAZE SHIELD II'!$L$9)),0)+IF(AND(L1026="Blaze Shield II",M1026="Software Idiem",C1026="L"),((('BLAZE SHIELD II'!$L$4*('CALCULO MORTERO'!I1026^2)+'BLAZE SHIELD II'!$L$5*'CALCULO MORTERO'!I1026+'BLAZE SHIELD II'!$L$6)*LN(J1026))+('BLAZE SHIELD II'!$L$7*('CALCULO MORTERO'!I1026^2)+'BLAZE SHIELD II'!$L$8*'CALCULO MORTERO'!I1026+'BLAZE SHIELD II'!$L$9)),0)+IF(AND(L1026="Blaze Shield II",M1026="Software Idiem",C1026="IN",G1026=3),((('BLAZE SHIELD II'!$H$14*('CALCULO MORTERO'!I1026^2)+'BLAZE SHIELD II'!$H$15*'CALCULO MORTERO'!I1026+'BLAZE SHIELD II'!$H$16)*LN(J1026))+('BLAZE SHIELD II'!$H$17*('CALCULO MORTERO'!I1026^2)+'BLAZE SHIELD II'!$H$18*'CALCULO MORTERO'!I1026+'BLAZE SHIELD II'!$H$19)),0),0)+ROUND(IF(AND(L1026="Cafco 400",M1026="Software Idiem",C1026="IN",G1026=4),((('CAFCO 400 '!$H$7*(J1026^4)+'CAFCO 400 '!$H$8*(J1026^3)+'CAFCO 400 '!$H$9*(J1026^2)+'CAFCO 400 '!$H$10*J1026+'CAFCO 400 '!$H$11)*U1026^2)+(('CAFCO 400 '!$H$12*(J1026^3)+'CAFCO 400 '!$H$13*(J1026^2)+'CAFCO 400 '!$H$14*J1026+'CAFCO 400 '!$H$15)*U1026)+('CAFCO 400 '!$H$16*(J1026^2)+'CAFCO 400 '!$H$17*J1026+'CAFCO 400 '!$H$18)),0)+IF(AND(L1026="Cafco 400",M1026="Software Idiem",C1026="Cj"),(((('CAFCO 400 '!$D$7*LN(J1026)+'CAFCO 400 '!$D$8)*U1026^2)+(('CAFCO 400 '!$D$9*LN(J1026)+'CAFCO 400 '!$D$10)*U1026)+('CAFCO 400 '!$D$11*LN(J1026)+'CAFCO 400 '!$D$12))),0)+IF(AND(L1026="Cafco 400",M1026="Software Idiem",C1026="C"),((('CAFCO 400 '!$L$7*(J1026^3)+'CAFCO 400 '!$L$8*(J1026^2)+'CAFCO 400 '!$L$9*J1026+'CAFCO 400 '!$L$10)*U1026^2)+(('CAFCO 400 '!$L$11*(J1026^3)+'CAFCO 400 '!$L$12*(J1026^2)+'CAFCO 400 '!$L$13*J1026+'CAFCO 400 '!$L$14)*U1026)+('CAFCO 400 '!$L$15*LN(J1026)+'CAFCO 400 '!$L$16)),0)+IF(AND(L1026="Cafco 400",M1026="Software Idiem",C1026="L"),((('CAFCO 400 '!$L$7*(J1026^3)+'CAFCO 400 '!$L$8*(J1026^2)+'CAFCO 400 '!$L$9*J1026+'CAFCO 400 '!$L$10)*U1026^2)+(('CAFCO 400 '!$L$11*(J1026^3)+'CAFCO 400 '!$L$12*(J1026^2)+'CAFCO 400 '!$L$13*J1026+'CAFCO 400 '!$L$14)*U1026)+('CAFCO 400 '!$L$15*LN(J1026)+'CAFCO 400 '!$L$16)),0)+IF(AND(L1026="Cafco 400",M1026="Software Idiem",C1026="IN",G1026=3),((('CAFCO 400 '!$D$23*(J1026^2)+'CAFCO 400 '!$D$24*(J1026)+'CAFCO 400 '!$D$25)*U1026^2)+(('CAFCO 400 '!$D$26*(J1026^2)+'CAFCO 400 '!$D$27*J1026+'CAFCO 400 '!$D$28)*U1026)+('CAFCO 400 '!$D$29*(J1026^2)+'CAFCO 400 '!$D$30*J1026+'CAFCO 400 '!$D$31)),0),0)+IF(AND(L1026="Cafco 300",J1026&gt;=95,J1026&lt;=240,C1026="Cj",I1026=90),VLOOKUP(T1026,'CAFCO 300 IDIEM TABLAS'!$B$4:$D$23,2,FALSE),0)+IF(AND(L1026="Cafco 300",J1026&gt;=95,J1026&lt;=240,C1026="Cj",I1026=120),VLOOKUP(T1026,'CAFCO 300 IDIEM TABLAS'!$B$4:$D$23,3,FALSE),0)+IF(AND(L1026="Cafco 300",J1026&gt;=95,J1026&lt;=400,G1026=3,C1026="IN",I1026=90),VLOOKUP(T1026,'CAFCO 300 IDIEM TABLAS'!$F$4:$H$35,2,FALSE),0)+IF(AND(L1026="Cafco 300",J1026&gt;=95,J1026&lt;=400,G1026=3,C1026="IN",I1026=120),VLOOKUP(T1026,'CAFCO 300 IDIEM TABLAS'!$F$4:$H$35,3,FALSE),0)+IF(AND(L1026="Cafco 300",J1026&gt;=95,J1026&lt;=450,G1026=4,C1026="IN",I1026=90),VLOOKUP(T1026,'CAFCO 300 IDIEM TABLAS'!$J$4:$L$40,2,FALSE),0)+IF(AND(L1026="Cafco 300",J1026&gt;=95,J1026&lt;=450,G1026=4,C1026="IN",I1026=120),VLOOKUP(T1026,'CAFCO 300 IDIEM TABLAS'!$J$4:$L$40,3,FALSE),0)+IF(AND(M1026="Ensayo Idiem",L1026="Cafco 400",C1026="IN",G1026=4,I1026=90),VLOOKUP(T1026,'CAFCO 400 ENSAYO'!$B$7:$D$43,2,FALSE),0)+IF(AND(M1026="Ensayo Idiem",L1026="Cafco 400",C1026="IN",G1026=4,I1026=120),VLOOKUP(T1026,'CAFCO 400 ENSAYO'!$B$7:$D$43,3,FALSE),0)</f>
        <v>0</v>
      </c>
      <c r="O1026" s="96">
        <f t="shared" si="102"/>
        <v>0</v>
      </c>
      <c r="P1026" s="95" t="str">
        <f t="shared" si="103"/>
        <v>N/A</v>
      </c>
      <c r="Q1026" s="95" t="str">
        <f t="shared" si="104"/>
        <v>N/A</v>
      </c>
      <c r="R1026" s="95" t="str">
        <f t="shared" si="105"/>
        <v>NO CERT.</v>
      </c>
      <c r="S1026" s="95" t="e">
        <f t="shared" si="106"/>
        <v>#N/A</v>
      </c>
      <c r="T1026" s="119" t="e">
        <f>+IF(J1026=LOOKUP(J1026,'CAFCO 300 IDIEM TABLAS'!$J$4:$J$40),'CALCULO MORTERO'!J1026,MROUND('CALCULO MORTERO'!J1026,10))</f>
        <v>#N/A</v>
      </c>
      <c r="U1026" s="118">
        <f t="shared" si="107"/>
        <v>0</v>
      </c>
    </row>
    <row r="1027" spans="1:21" x14ac:dyDescent="0.25">
      <c r="A1027" s="118">
        <f>+CUBICACION!D1021</f>
        <v>0</v>
      </c>
      <c r="B1027" s="819">
        <f>+CUBICACION!E1021</f>
        <v>0</v>
      </c>
      <c r="C1027" s="675">
        <f>+CUBICACION!F1021</f>
        <v>0</v>
      </c>
      <c r="D1027" s="118"/>
      <c r="E1027" s="118"/>
      <c r="F1027" s="820"/>
      <c r="G1027" s="675">
        <f>+CUBICACION!J1021</f>
        <v>0</v>
      </c>
      <c r="H1027" s="118"/>
      <c r="I1027" s="821">
        <f>+CUBICACION!L1021</f>
        <v>0</v>
      </c>
      <c r="J1027" s="64">
        <f>+CUBICACION!M1021</f>
        <v>0</v>
      </c>
      <c r="K1027" s="822" t="str">
        <f>+CUBICACION!N1021</f>
        <v/>
      </c>
      <c r="L1027" s="118">
        <f>+CUBICACION!O1021</f>
        <v>0</v>
      </c>
      <c r="M1027" s="823">
        <f>+CUBICACION!P1021</f>
        <v>0</v>
      </c>
      <c r="N1027" s="902">
        <f>ROUND(IF(AND(L1027="Blaze Shield II",M1027="Software Idiem",C1027="IN",G1027=4),((('BLAZE SHIELD II'!$D$4*('CALCULO MORTERO'!I1027^2)+'BLAZE SHIELD II'!$D$5*'CALCULO MORTERO'!I1027+'BLAZE SHIELD II'!$D$6)*LN(J1027))+('BLAZE SHIELD II'!$D$7*('CALCULO MORTERO'!I1027^2)+'BLAZE SHIELD II'!$D$8*'CALCULO MORTERO'!I1027+'BLAZE SHIELD II'!$D$9)),0)+IF(AND(L1027="Blaze Shield II",M1027="Software Idiem",C1027="Cj"),((('BLAZE SHIELD II'!$H$4*('CALCULO MORTERO'!I1027^2)+'BLAZE SHIELD II'!$H$5*'CALCULO MORTERO'!I1027+'BLAZE SHIELD II'!$H$6)*LN(J1027))+('BLAZE SHIELD II'!$H$7*('CALCULO MORTERO'!I1027^2)+'BLAZE SHIELD II'!$H$8*'CALCULO MORTERO'!I1027+'BLAZE SHIELD II'!$H$9)),0)+IF(AND(L1027="Blaze Shield II",M1027="Software Idiem",C1027="C"),((('BLAZE SHIELD II'!$L$4*('CALCULO MORTERO'!I1027^2)+'BLAZE SHIELD II'!$L$5*'CALCULO MORTERO'!I1027+'BLAZE SHIELD II'!$L$6)*LN(J1027))+('BLAZE SHIELD II'!$L$7*('CALCULO MORTERO'!I1027^2)+'BLAZE SHIELD II'!$L$8*'CALCULO MORTERO'!I1027+'BLAZE SHIELD II'!$L$9)),0)+IF(AND(L1027="Blaze Shield II",M1027="Software Idiem",C1027="L"),((('BLAZE SHIELD II'!$L$4*('CALCULO MORTERO'!I1027^2)+'BLAZE SHIELD II'!$L$5*'CALCULO MORTERO'!I1027+'BLAZE SHIELD II'!$L$6)*LN(J1027))+('BLAZE SHIELD II'!$L$7*('CALCULO MORTERO'!I1027^2)+'BLAZE SHIELD II'!$L$8*'CALCULO MORTERO'!I1027+'BLAZE SHIELD II'!$L$9)),0)+IF(AND(L1027="Blaze Shield II",M1027="Software Idiem",C1027="IN",G1027=3),((('BLAZE SHIELD II'!$H$14*('CALCULO MORTERO'!I1027^2)+'BLAZE SHIELD II'!$H$15*'CALCULO MORTERO'!I1027+'BLAZE SHIELD II'!$H$16)*LN(J1027))+('BLAZE SHIELD II'!$H$17*('CALCULO MORTERO'!I1027^2)+'BLAZE SHIELD II'!$H$18*'CALCULO MORTERO'!I1027+'BLAZE SHIELD II'!$H$19)),0),0)+ROUND(IF(AND(L1027="Cafco 400",M1027="Software Idiem",C1027="IN",G1027=4),((('CAFCO 400 '!$H$7*(J1027^4)+'CAFCO 400 '!$H$8*(J1027^3)+'CAFCO 400 '!$H$9*(J1027^2)+'CAFCO 400 '!$H$10*J1027+'CAFCO 400 '!$H$11)*U1027^2)+(('CAFCO 400 '!$H$12*(J1027^3)+'CAFCO 400 '!$H$13*(J1027^2)+'CAFCO 400 '!$H$14*J1027+'CAFCO 400 '!$H$15)*U1027)+('CAFCO 400 '!$H$16*(J1027^2)+'CAFCO 400 '!$H$17*J1027+'CAFCO 400 '!$H$18)),0)+IF(AND(L1027="Cafco 400",M1027="Software Idiem",C1027="Cj"),(((('CAFCO 400 '!$D$7*LN(J1027)+'CAFCO 400 '!$D$8)*U1027^2)+(('CAFCO 400 '!$D$9*LN(J1027)+'CAFCO 400 '!$D$10)*U1027)+('CAFCO 400 '!$D$11*LN(J1027)+'CAFCO 400 '!$D$12))),0)+IF(AND(L1027="Cafco 400",M1027="Software Idiem",C1027="C"),((('CAFCO 400 '!$L$7*(J1027^3)+'CAFCO 400 '!$L$8*(J1027^2)+'CAFCO 400 '!$L$9*J1027+'CAFCO 400 '!$L$10)*U1027^2)+(('CAFCO 400 '!$L$11*(J1027^3)+'CAFCO 400 '!$L$12*(J1027^2)+'CAFCO 400 '!$L$13*J1027+'CAFCO 400 '!$L$14)*U1027)+('CAFCO 400 '!$L$15*LN(J1027)+'CAFCO 400 '!$L$16)),0)+IF(AND(L1027="Cafco 400",M1027="Software Idiem",C1027="L"),((('CAFCO 400 '!$L$7*(J1027^3)+'CAFCO 400 '!$L$8*(J1027^2)+'CAFCO 400 '!$L$9*J1027+'CAFCO 400 '!$L$10)*U1027^2)+(('CAFCO 400 '!$L$11*(J1027^3)+'CAFCO 400 '!$L$12*(J1027^2)+'CAFCO 400 '!$L$13*J1027+'CAFCO 400 '!$L$14)*U1027)+('CAFCO 400 '!$L$15*LN(J1027)+'CAFCO 400 '!$L$16)),0)+IF(AND(L1027="Cafco 400",M1027="Software Idiem",C1027="IN",G1027=3),((('CAFCO 400 '!$D$23*(J1027^2)+'CAFCO 400 '!$D$24*(J1027)+'CAFCO 400 '!$D$25)*U1027^2)+(('CAFCO 400 '!$D$26*(J1027^2)+'CAFCO 400 '!$D$27*J1027+'CAFCO 400 '!$D$28)*U1027)+('CAFCO 400 '!$D$29*(J1027^2)+'CAFCO 400 '!$D$30*J1027+'CAFCO 400 '!$D$31)),0),0)+IF(AND(L1027="Cafco 300",J1027&gt;=95,J1027&lt;=240,C1027="Cj",I1027=90),VLOOKUP(T1027,'CAFCO 300 IDIEM TABLAS'!$B$4:$D$23,2,FALSE),0)+IF(AND(L1027="Cafco 300",J1027&gt;=95,J1027&lt;=240,C1027="Cj",I1027=120),VLOOKUP(T1027,'CAFCO 300 IDIEM TABLAS'!$B$4:$D$23,3,FALSE),0)+IF(AND(L1027="Cafco 300",J1027&gt;=95,J1027&lt;=400,G1027=3,C1027="IN",I1027=90),VLOOKUP(T1027,'CAFCO 300 IDIEM TABLAS'!$F$4:$H$35,2,FALSE),0)+IF(AND(L1027="Cafco 300",J1027&gt;=95,J1027&lt;=400,G1027=3,C1027="IN",I1027=120),VLOOKUP(T1027,'CAFCO 300 IDIEM TABLAS'!$F$4:$H$35,3,FALSE),0)+IF(AND(L1027="Cafco 300",J1027&gt;=95,J1027&lt;=450,G1027=4,C1027="IN",I1027=90),VLOOKUP(T1027,'CAFCO 300 IDIEM TABLAS'!$J$4:$L$40,2,FALSE),0)+IF(AND(L1027="Cafco 300",J1027&gt;=95,J1027&lt;=450,G1027=4,C1027="IN",I1027=120),VLOOKUP(T1027,'CAFCO 300 IDIEM TABLAS'!$J$4:$L$40,3,FALSE),0)+IF(AND(M1027="Ensayo Idiem",L1027="Cafco 400",C1027="IN",G1027=4,I1027=90),VLOOKUP(T1027,'CAFCO 400 ENSAYO'!$B$7:$D$43,2,FALSE),0)+IF(AND(M1027="Ensayo Idiem",L1027="Cafco 400",C1027="IN",G1027=4,I1027=120),VLOOKUP(T1027,'CAFCO 400 ENSAYO'!$B$7:$D$43,3,FALSE),0)</f>
        <v>0</v>
      </c>
      <c r="O1027" s="96">
        <f t="shared" si="102"/>
        <v>0</v>
      </c>
      <c r="P1027" s="132" t="str">
        <f t="shared" si="103"/>
        <v>N/A</v>
      </c>
      <c r="Q1027" s="132" t="str">
        <f t="shared" si="104"/>
        <v>N/A</v>
      </c>
      <c r="R1027" s="132" t="str">
        <f t="shared" si="105"/>
        <v>NO CERT.</v>
      </c>
      <c r="S1027" s="132" t="e">
        <f t="shared" si="106"/>
        <v>#N/A</v>
      </c>
      <c r="T1027" s="133" t="e">
        <f>+IF(J1027=LOOKUP(J1027,'CAFCO 300 IDIEM TABLAS'!$J$4:$J$40),'CALCULO MORTERO'!J1027,MROUND('CALCULO MORTERO'!J1027,10))</f>
        <v>#N/A</v>
      </c>
      <c r="U1027" s="134">
        <f t="shared" si="107"/>
        <v>0</v>
      </c>
    </row>
    <row r="1028" spans="1:21" x14ac:dyDescent="0.25">
      <c r="A1028" s="118">
        <f>+CUBICACION!D1022</f>
        <v>0</v>
      </c>
      <c r="B1028" s="819">
        <f>+CUBICACION!E1022</f>
        <v>0</v>
      </c>
      <c r="C1028" s="675">
        <f>+CUBICACION!F1022</f>
        <v>0</v>
      </c>
      <c r="D1028" s="118"/>
      <c r="E1028" s="118"/>
      <c r="F1028" s="820"/>
      <c r="G1028" s="675">
        <f>+CUBICACION!J1022</f>
        <v>0</v>
      </c>
      <c r="H1028" s="118"/>
      <c r="I1028" s="821">
        <f>+CUBICACION!L1022</f>
        <v>0</v>
      </c>
      <c r="J1028" s="64">
        <f>+CUBICACION!M1022</f>
        <v>0</v>
      </c>
      <c r="K1028" s="822" t="str">
        <f>+CUBICACION!N1022</f>
        <v/>
      </c>
      <c r="L1028" s="118">
        <f>+CUBICACION!O1022</f>
        <v>0</v>
      </c>
      <c r="M1028" s="823">
        <f>+CUBICACION!P1022</f>
        <v>0</v>
      </c>
      <c r="N1028" s="902">
        <f>ROUND(IF(AND(L1028="Blaze Shield II",M1028="Software Idiem",C1028="IN",G1028=4),((('BLAZE SHIELD II'!$D$4*('CALCULO MORTERO'!I1028^2)+'BLAZE SHIELD II'!$D$5*'CALCULO MORTERO'!I1028+'BLAZE SHIELD II'!$D$6)*LN(J1028))+('BLAZE SHIELD II'!$D$7*('CALCULO MORTERO'!I1028^2)+'BLAZE SHIELD II'!$D$8*'CALCULO MORTERO'!I1028+'BLAZE SHIELD II'!$D$9)),0)+IF(AND(L1028="Blaze Shield II",M1028="Software Idiem",C1028="Cj"),((('BLAZE SHIELD II'!$H$4*('CALCULO MORTERO'!I1028^2)+'BLAZE SHIELD II'!$H$5*'CALCULO MORTERO'!I1028+'BLAZE SHIELD II'!$H$6)*LN(J1028))+('BLAZE SHIELD II'!$H$7*('CALCULO MORTERO'!I1028^2)+'BLAZE SHIELD II'!$H$8*'CALCULO MORTERO'!I1028+'BLAZE SHIELD II'!$H$9)),0)+IF(AND(L1028="Blaze Shield II",M1028="Software Idiem",C1028="C"),((('BLAZE SHIELD II'!$L$4*('CALCULO MORTERO'!I1028^2)+'BLAZE SHIELD II'!$L$5*'CALCULO MORTERO'!I1028+'BLAZE SHIELD II'!$L$6)*LN(J1028))+('BLAZE SHIELD II'!$L$7*('CALCULO MORTERO'!I1028^2)+'BLAZE SHIELD II'!$L$8*'CALCULO MORTERO'!I1028+'BLAZE SHIELD II'!$L$9)),0)+IF(AND(L1028="Blaze Shield II",M1028="Software Idiem",C1028="L"),((('BLAZE SHIELD II'!$L$4*('CALCULO MORTERO'!I1028^2)+'BLAZE SHIELD II'!$L$5*'CALCULO MORTERO'!I1028+'BLAZE SHIELD II'!$L$6)*LN(J1028))+('BLAZE SHIELD II'!$L$7*('CALCULO MORTERO'!I1028^2)+'BLAZE SHIELD II'!$L$8*'CALCULO MORTERO'!I1028+'BLAZE SHIELD II'!$L$9)),0)+IF(AND(L1028="Blaze Shield II",M1028="Software Idiem",C1028="IN",G1028=3),((('BLAZE SHIELD II'!$H$14*('CALCULO MORTERO'!I1028^2)+'BLAZE SHIELD II'!$H$15*'CALCULO MORTERO'!I1028+'BLAZE SHIELD II'!$H$16)*LN(J1028))+('BLAZE SHIELD II'!$H$17*('CALCULO MORTERO'!I1028^2)+'BLAZE SHIELD II'!$H$18*'CALCULO MORTERO'!I1028+'BLAZE SHIELD II'!$H$19)),0),0)+ROUND(IF(AND(L1028="Cafco 400",M1028="Software Idiem",C1028="IN",G1028=4),((('CAFCO 400 '!$H$7*(J1028^4)+'CAFCO 400 '!$H$8*(J1028^3)+'CAFCO 400 '!$H$9*(J1028^2)+'CAFCO 400 '!$H$10*J1028+'CAFCO 400 '!$H$11)*U1028^2)+(('CAFCO 400 '!$H$12*(J1028^3)+'CAFCO 400 '!$H$13*(J1028^2)+'CAFCO 400 '!$H$14*J1028+'CAFCO 400 '!$H$15)*U1028)+('CAFCO 400 '!$H$16*(J1028^2)+'CAFCO 400 '!$H$17*J1028+'CAFCO 400 '!$H$18)),0)+IF(AND(L1028="Cafco 400",M1028="Software Idiem",C1028="Cj"),(((('CAFCO 400 '!$D$7*LN(J1028)+'CAFCO 400 '!$D$8)*U1028^2)+(('CAFCO 400 '!$D$9*LN(J1028)+'CAFCO 400 '!$D$10)*U1028)+('CAFCO 400 '!$D$11*LN(J1028)+'CAFCO 400 '!$D$12))),0)+IF(AND(L1028="Cafco 400",M1028="Software Idiem",C1028="C"),((('CAFCO 400 '!$L$7*(J1028^3)+'CAFCO 400 '!$L$8*(J1028^2)+'CAFCO 400 '!$L$9*J1028+'CAFCO 400 '!$L$10)*U1028^2)+(('CAFCO 400 '!$L$11*(J1028^3)+'CAFCO 400 '!$L$12*(J1028^2)+'CAFCO 400 '!$L$13*J1028+'CAFCO 400 '!$L$14)*U1028)+('CAFCO 400 '!$L$15*LN(J1028)+'CAFCO 400 '!$L$16)),0)+IF(AND(L1028="Cafco 400",M1028="Software Idiem",C1028="L"),((('CAFCO 400 '!$L$7*(J1028^3)+'CAFCO 400 '!$L$8*(J1028^2)+'CAFCO 400 '!$L$9*J1028+'CAFCO 400 '!$L$10)*U1028^2)+(('CAFCO 400 '!$L$11*(J1028^3)+'CAFCO 400 '!$L$12*(J1028^2)+'CAFCO 400 '!$L$13*J1028+'CAFCO 400 '!$L$14)*U1028)+('CAFCO 400 '!$L$15*LN(J1028)+'CAFCO 400 '!$L$16)),0)+IF(AND(L1028="Cafco 400",M1028="Software Idiem",C1028="IN",G1028=3),((('CAFCO 400 '!$D$23*(J1028^2)+'CAFCO 400 '!$D$24*(J1028)+'CAFCO 400 '!$D$25)*U1028^2)+(('CAFCO 400 '!$D$26*(J1028^2)+'CAFCO 400 '!$D$27*J1028+'CAFCO 400 '!$D$28)*U1028)+('CAFCO 400 '!$D$29*(J1028^2)+'CAFCO 400 '!$D$30*J1028+'CAFCO 400 '!$D$31)),0),0)+IF(AND(L1028="Cafco 300",J1028&gt;=95,J1028&lt;=240,C1028="Cj",I1028=90),VLOOKUP(T1028,'CAFCO 300 IDIEM TABLAS'!$B$4:$D$23,2,FALSE),0)+IF(AND(L1028="Cafco 300",J1028&gt;=95,J1028&lt;=240,C1028="Cj",I1028=120),VLOOKUP(T1028,'CAFCO 300 IDIEM TABLAS'!$B$4:$D$23,3,FALSE),0)+IF(AND(L1028="Cafco 300",J1028&gt;=95,J1028&lt;=400,G1028=3,C1028="IN",I1028=90),VLOOKUP(T1028,'CAFCO 300 IDIEM TABLAS'!$F$4:$H$35,2,FALSE),0)+IF(AND(L1028="Cafco 300",J1028&gt;=95,J1028&lt;=400,G1028=3,C1028="IN",I1028=120),VLOOKUP(T1028,'CAFCO 300 IDIEM TABLAS'!$F$4:$H$35,3,FALSE),0)+IF(AND(L1028="Cafco 300",J1028&gt;=95,J1028&lt;=450,G1028=4,C1028="IN",I1028=90),VLOOKUP(T1028,'CAFCO 300 IDIEM TABLAS'!$J$4:$L$40,2,FALSE),0)+IF(AND(L1028="Cafco 300",J1028&gt;=95,J1028&lt;=450,G1028=4,C1028="IN",I1028=120),VLOOKUP(T1028,'CAFCO 300 IDIEM TABLAS'!$J$4:$L$40,3,FALSE),0)+IF(AND(M1028="Ensayo Idiem",L1028="Cafco 400",C1028="IN",G1028=4,I1028=90),VLOOKUP(T1028,'CAFCO 400 ENSAYO'!$B$7:$D$43,2,FALSE),0)+IF(AND(M1028="Ensayo Idiem",L1028="Cafco 400",C1028="IN",G1028=4,I1028=120),VLOOKUP(T1028,'CAFCO 400 ENSAYO'!$B$7:$D$43,3,FALSE),0)</f>
        <v>0</v>
      </c>
      <c r="O1028" s="96">
        <f t="shared" si="102"/>
        <v>0</v>
      </c>
      <c r="P1028" s="95" t="str">
        <f t="shared" si="103"/>
        <v>N/A</v>
      </c>
      <c r="Q1028" s="95" t="str">
        <f t="shared" si="104"/>
        <v>N/A</v>
      </c>
      <c r="R1028" s="95" t="str">
        <f t="shared" si="105"/>
        <v>NO CERT.</v>
      </c>
      <c r="S1028" s="95" t="e">
        <f t="shared" si="106"/>
        <v>#N/A</v>
      </c>
      <c r="T1028" s="119" t="e">
        <f>+IF(J1028=LOOKUP(J1028,'CAFCO 300 IDIEM TABLAS'!$J$4:$J$40),'CALCULO MORTERO'!J1028,MROUND('CALCULO MORTERO'!J1028,10))</f>
        <v>#N/A</v>
      </c>
      <c r="U1028" s="118">
        <f t="shared" si="107"/>
        <v>0</v>
      </c>
    </row>
    <row r="1029" spans="1:21" x14ac:dyDescent="0.25">
      <c r="A1029" s="118">
        <f>+CUBICACION!D1023</f>
        <v>0</v>
      </c>
      <c r="B1029" s="819">
        <f>+CUBICACION!E1023</f>
        <v>0</v>
      </c>
      <c r="C1029" s="675">
        <f>+CUBICACION!F1023</f>
        <v>0</v>
      </c>
      <c r="D1029" s="118"/>
      <c r="E1029" s="118"/>
      <c r="F1029" s="820"/>
      <c r="G1029" s="675">
        <f>+CUBICACION!J1023</f>
        <v>0</v>
      </c>
      <c r="H1029" s="118"/>
      <c r="I1029" s="821">
        <f>+CUBICACION!L1023</f>
        <v>0</v>
      </c>
      <c r="J1029" s="64">
        <f>+CUBICACION!M1023</f>
        <v>0</v>
      </c>
      <c r="K1029" s="822" t="str">
        <f>+CUBICACION!N1023</f>
        <v/>
      </c>
      <c r="L1029" s="118">
        <f>+CUBICACION!O1023</f>
        <v>0</v>
      </c>
      <c r="M1029" s="823">
        <f>+CUBICACION!P1023</f>
        <v>0</v>
      </c>
      <c r="N1029" s="902">
        <f>ROUND(IF(AND(L1029="Blaze Shield II",M1029="Software Idiem",C1029="IN",G1029=4),((('BLAZE SHIELD II'!$D$4*('CALCULO MORTERO'!I1029^2)+'BLAZE SHIELD II'!$D$5*'CALCULO MORTERO'!I1029+'BLAZE SHIELD II'!$D$6)*LN(J1029))+('BLAZE SHIELD II'!$D$7*('CALCULO MORTERO'!I1029^2)+'BLAZE SHIELD II'!$D$8*'CALCULO MORTERO'!I1029+'BLAZE SHIELD II'!$D$9)),0)+IF(AND(L1029="Blaze Shield II",M1029="Software Idiem",C1029="Cj"),((('BLAZE SHIELD II'!$H$4*('CALCULO MORTERO'!I1029^2)+'BLAZE SHIELD II'!$H$5*'CALCULO MORTERO'!I1029+'BLAZE SHIELD II'!$H$6)*LN(J1029))+('BLAZE SHIELD II'!$H$7*('CALCULO MORTERO'!I1029^2)+'BLAZE SHIELD II'!$H$8*'CALCULO MORTERO'!I1029+'BLAZE SHIELD II'!$H$9)),0)+IF(AND(L1029="Blaze Shield II",M1029="Software Idiem",C1029="C"),((('BLAZE SHIELD II'!$L$4*('CALCULO MORTERO'!I1029^2)+'BLAZE SHIELD II'!$L$5*'CALCULO MORTERO'!I1029+'BLAZE SHIELD II'!$L$6)*LN(J1029))+('BLAZE SHIELD II'!$L$7*('CALCULO MORTERO'!I1029^2)+'BLAZE SHIELD II'!$L$8*'CALCULO MORTERO'!I1029+'BLAZE SHIELD II'!$L$9)),0)+IF(AND(L1029="Blaze Shield II",M1029="Software Idiem",C1029="L"),((('BLAZE SHIELD II'!$L$4*('CALCULO MORTERO'!I1029^2)+'BLAZE SHIELD II'!$L$5*'CALCULO MORTERO'!I1029+'BLAZE SHIELD II'!$L$6)*LN(J1029))+('BLAZE SHIELD II'!$L$7*('CALCULO MORTERO'!I1029^2)+'BLAZE SHIELD II'!$L$8*'CALCULO MORTERO'!I1029+'BLAZE SHIELD II'!$L$9)),0)+IF(AND(L1029="Blaze Shield II",M1029="Software Idiem",C1029="IN",G1029=3),((('BLAZE SHIELD II'!$H$14*('CALCULO MORTERO'!I1029^2)+'BLAZE SHIELD II'!$H$15*'CALCULO MORTERO'!I1029+'BLAZE SHIELD II'!$H$16)*LN(J1029))+('BLAZE SHIELD II'!$H$17*('CALCULO MORTERO'!I1029^2)+'BLAZE SHIELD II'!$H$18*'CALCULO MORTERO'!I1029+'BLAZE SHIELD II'!$H$19)),0),0)+ROUND(IF(AND(L1029="Cafco 400",M1029="Software Idiem",C1029="IN",G1029=4),((('CAFCO 400 '!$H$7*(J1029^4)+'CAFCO 400 '!$H$8*(J1029^3)+'CAFCO 400 '!$H$9*(J1029^2)+'CAFCO 400 '!$H$10*J1029+'CAFCO 400 '!$H$11)*U1029^2)+(('CAFCO 400 '!$H$12*(J1029^3)+'CAFCO 400 '!$H$13*(J1029^2)+'CAFCO 400 '!$H$14*J1029+'CAFCO 400 '!$H$15)*U1029)+('CAFCO 400 '!$H$16*(J1029^2)+'CAFCO 400 '!$H$17*J1029+'CAFCO 400 '!$H$18)),0)+IF(AND(L1029="Cafco 400",M1029="Software Idiem",C1029="Cj"),(((('CAFCO 400 '!$D$7*LN(J1029)+'CAFCO 400 '!$D$8)*U1029^2)+(('CAFCO 400 '!$D$9*LN(J1029)+'CAFCO 400 '!$D$10)*U1029)+('CAFCO 400 '!$D$11*LN(J1029)+'CAFCO 400 '!$D$12))),0)+IF(AND(L1029="Cafco 400",M1029="Software Idiem",C1029="C"),((('CAFCO 400 '!$L$7*(J1029^3)+'CAFCO 400 '!$L$8*(J1029^2)+'CAFCO 400 '!$L$9*J1029+'CAFCO 400 '!$L$10)*U1029^2)+(('CAFCO 400 '!$L$11*(J1029^3)+'CAFCO 400 '!$L$12*(J1029^2)+'CAFCO 400 '!$L$13*J1029+'CAFCO 400 '!$L$14)*U1029)+('CAFCO 400 '!$L$15*LN(J1029)+'CAFCO 400 '!$L$16)),0)+IF(AND(L1029="Cafco 400",M1029="Software Idiem",C1029="L"),((('CAFCO 400 '!$L$7*(J1029^3)+'CAFCO 400 '!$L$8*(J1029^2)+'CAFCO 400 '!$L$9*J1029+'CAFCO 400 '!$L$10)*U1029^2)+(('CAFCO 400 '!$L$11*(J1029^3)+'CAFCO 400 '!$L$12*(J1029^2)+'CAFCO 400 '!$L$13*J1029+'CAFCO 400 '!$L$14)*U1029)+('CAFCO 400 '!$L$15*LN(J1029)+'CAFCO 400 '!$L$16)),0)+IF(AND(L1029="Cafco 400",M1029="Software Idiem",C1029="IN",G1029=3),((('CAFCO 400 '!$D$23*(J1029^2)+'CAFCO 400 '!$D$24*(J1029)+'CAFCO 400 '!$D$25)*U1029^2)+(('CAFCO 400 '!$D$26*(J1029^2)+'CAFCO 400 '!$D$27*J1029+'CAFCO 400 '!$D$28)*U1029)+('CAFCO 400 '!$D$29*(J1029^2)+'CAFCO 400 '!$D$30*J1029+'CAFCO 400 '!$D$31)),0),0)+IF(AND(L1029="Cafco 300",J1029&gt;=95,J1029&lt;=240,C1029="Cj",I1029=90),VLOOKUP(T1029,'CAFCO 300 IDIEM TABLAS'!$B$4:$D$23,2,FALSE),0)+IF(AND(L1029="Cafco 300",J1029&gt;=95,J1029&lt;=240,C1029="Cj",I1029=120),VLOOKUP(T1029,'CAFCO 300 IDIEM TABLAS'!$B$4:$D$23,3,FALSE),0)+IF(AND(L1029="Cafco 300",J1029&gt;=95,J1029&lt;=400,G1029=3,C1029="IN",I1029=90),VLOOKUP(T1029,'CAFCO 300 IDIEM TABLAS'!$F$4:$H$35,2,FALSE),0)+IF(AND(L1029="Cafco 300",J1029&gt;=95,J1029&lt;=400,G1029=3,C1029="IN",I1029=120),VLOOKUP(T1029,'CAFCO 300 IDIEM TABLAS'!$F$4:$H$35,3,FALSE),0)+IF(AND(L1029="Cafco 300",J1029&gt;=95,J1029&lt;=450,G1029=4,C1029="IN",I1029=90),VLOOKUP(T1029,'CAFCO 300 IDIEM TABLAS'!$J$4:$L$40,2,FALSE),0)+IF(AND(L1029="Cafco 300",J1029&gt;=95,J1029&lt;=450,G1029=4,C1029="IN",I1029=120),VLOOKUP(T1029,'CAFCO 300 IDIEM TABLAS'!$J$4:$L$40,3,FALSE),0)+IF(AND(M1029="Ensayo Idiem",L1029="Cafco 400",C1029="IN",G1029=4,I1029=90),VLOOKUP(T1029,'CAFCO 400 ENSAYO'!$B$7:$D$43,2,FALSE),0)+IF(AND(M1029="Ensayo Idiem",L1029="Cafco 400",C1029="IN",G1029=4,I1029=120),VLOOKUP(T1029,'CAFCO 400 ENSAYO'!$B$7:$D$43,3,FALSE),0)</f>
        <v>0</v>
      </c>
      <c r="O1029" s="96">
        <f t="shared" si="102"/>
        <v>0</v>
      </c>
      <c r="P1029" s="132" t="str">
        <f t="shared" si="103"/>
        <v>N/A</v>
      </c>
      <c r="Q1029" s="132" t="str">
        <f t="shared" si="104"/>
        <v>N/A</v>
      </c>
      <c r="R1029" s="132" t="str">
        <f t="shared" si="105"/>
        <v>NO CERT.</v>
      </c>
      <c r="S1029" s="132" t="e">
        <f t="shared" si="106"/>
        <v>#N/A</v>
      </c>
      <c r="T1029" s="133" t="e">
        <f>+IF(J1029=LOOKUP(J1029,'CAFCO 300 IDIEM TABLAS'!$J$4:$J$40),'CALCULO MORTERO'!J1029,MROUND('CALCULO MORTERO'!J1029,10))</f>
        <v>#N/A</v>
      </c>
      <c r="U1029" s="134">
        <f t="shared" si="107"/>
        <v>0</v>
      </c>
    </row>
    <row r="1030" spans="1:21" x14ac:dyDescent="0.25">
      <c r="A1030" s="118">
        <f>+CUBICACION!D1024</f>
        <v>0</v>
      </c>
      <c r="B1030" s="819">
        <f>+CUBICACION!E1024</f>
        <v>0</v>
      </c>
      <c r="C1030" s="675">
        <f>+CUBICACION!F1024</f>
        <v>0</v>
      </c>
      <c r="D1030" s="118"/>
      <c r="E1030" s="118"/>
      <c r="F1030" s="820"/>
      <c r="G1030" s="675">
        <f>+CUBICACION!J1024</f>
        <v>0</v>
      </c>
      <c r="H1030" s="118"/>
      <c r="I1030" s="821">
        <f>+CUBICACION!L1024</f>
        <v>0</v>
      </c>
      <c r="J1030" s="64">
        <f>+CUBICACION!M1024</f>
        <v>0</v>
      </c>
      <c r="K1030" s="822" t="str">
        <f>+CUBICACION!N1024</f>
        <v/>
      </c>
      <c r="L1030" s="118">
        <f>+CUBICACION!O1024</f>
        <v>0</v>
      </c>
      <c r="M1030" s="823">
        <f>+CUBICACION!P1024</f>
        <v>0</v>
      </c>
      <c r="N1030" s="902">
        <f>ROUND(IF(AND(L1030="Blaze Shield II",M1030="Software Idiem",C1030="IN",G1030=4),((('BLAZE SHIELD II'!$D$4*('CALCULO MORTERO'!I1030^2)+'BLAZE SHIELD II'!$D$5*'CALCULO MORTERO'!I1030+'BLAZE SHIELD II'!$D$6)*LN(J1030))+('BLAZE SHIELD II'!$D$7*('CALCULO MORTERO'!I1030^2)+'BLAZE SHIELD II'!$D$8*'CALCULO MORTERO'!I1030+'BLAZE SHIELD II'!$D$9)),0)+IF(AND(L1030="Blaze Shield II",M1030="Software Idiem",C1030="Cj"),((('BLAZE SHIELD II'!$H$4*('CALCULO MORTERO'!I1030^2)+'BLAZE SHIELD II'!$H$5*'CALCULO MORTERO'!I1030+'BLAZE SHIELD II'!$H$6)*LN(J1030))+('BLAZE SHIELD II'!$H$7*('CALCULO MORTERO'!I1030^2)+'BLAZE SHIELD II'!$H$8*'CALCULO MORTERO'!I1030+'BLAZE SHIELD II'!$H$9)),0)+IF(AND(L1030="Blaze Shield II",M1030="Software Idiem",C1030="C"),((('BLAZE SHIELD II'!$L$4*('CALCULO MORTERO'!I1030^2)+'BLAZE SHIELD II'!$L$5*'CALCULO MORTERO'!I1030+'BLAZE SHIELD II'!$L$6)*LN(J1030))+('BLAZE SHIELD II'!$L$7*('CALCULO MORTERO'!I1030^2)+'BLAZE SHIELD II'!$L$8*'CALCULO MORTERO'!I1030+'BLAZE SHIELD II'!$L$9)),0)+IF(AND(L1030="Blaze Shield II",M1030="Software Idiem",C1030="L"),((('BLAZE SHIELD II'!$L$4*('CALCULO MORTERO'!I1030^2)+'BLAZE SHIELD II'!$L$5*'CALCULO MORTERO'!I1030+'BLAZE SHIELD II'!$L$6)*LN(J1030))+('BLAZE SHIELD II'!$L$7*('CALCULO MORTERO'!I1030^2)+'BLAZE SHIELD II'!$L$8*'CALCULO MORTERO'!I1030+'BLAZE SHIELD II'!$L$9)),0)+IF(AND(L1030="Blaze Shield II",M1030="Software Idiem",C1030="IN",G1030=3),((('BLAZE SHIELD II'!$H$14*('CALCULO MORTERO'!I1030^2)+'BLAZE SHIELD II'!$H$15*'CALCULO MORTERO'!I1030+'BLAZE SHIELD II'!$H$16)*LN(J1030))+('BLAZE SHIELD II'!$H$17*('CALCULO MORTERO'!I1030^2)+'BLAZE SHIELD II'!$H$18*'CALCULO MORTERO'!I1030+'BLAZE SHIELD II'!$H$19)),0),0)+ROUND(IF(AND(L1030="Cafco 400",M1030="Software Idiem",C1030="IN",G1030=4),((('CAFCO 400 '!$H$7*(J1030^4)+'CAFCO 400 '!$H$8*(J1030^3)+'CAFCO 400 '!$H$9*(J1030^2)+'CAFCO 400 '!$H$10*J1030+'CAFCO 400 '!$H$11)*U1030^2)+(('CAFCO 400 '!$H$12*(J1030^3)+'CAFCO 400 '!$H$13*(J1030^2)+'CAFCO 400 '!$H$14*J1030+'CAFCO 400 '!$H$15)*U1030)+('CAFCO 400 '!$H$16*(J1030^2)+'CAFCO 400 '!$H$17*J1030+'CAFCO 400 '!$H$18)),0)+IF(AND(L1030="Cafco 400",M1030="Software Idiem",C1030="Cj"),(((('CAFCO 400 '!$D$7*LN(J1030)+'CAFCO 400 '!$D$8)*U1030^2)+(('CAFCO 400 '!$D$9*LN(J1030)+'CAFCO 400 '!$D$10)*U1030)+('CAFCO 400 '!$D$11*LN(J1030)+'CAFCO 400 '!$D$12))),0)+IF(AND(L1030="Cafco 400",M1030="Software Idiem",C1030="C"),((('CAFCO 400 '!$L$7*(J1030^3)+'CAFCO 400 '!$L$8*(J1030^2)+'CAFCO 400 '!$L$9*J1030+'CAFCO 400 '!$L$10)*U1030^2)+(('CAFCO 400 '!$L$11*(J1030^3)+'CAFCO 400 '!$L$12*(J1030^2)+'CAFCO 400 '!$L$13*J1030+'CAFCO 400 '!$L$14)*U1030)+('CAFCO 400 '!$L$15*LN(J1030)+'CAFCO 400 '!$L$16)),0)+IF(AND(L1030="Cafco 400",M1030="Software Idiem",C1030="L"),((('CAFCO 400 '!$L$7*(J1030^3)+'CAFCO 400 '!$L$8*(J1030^2)+'CAFCO 400 '!$L$9*J1030+'CAFCO 400 '!$L$10)*U1030^2)+(('CAFCO 400 '!$L$11*(J1030^3)+'CAFCO 400 '!$L$12*(J1030^2)+'CAFCO 400 '!$L$13*J1030+'CAFCO 400 '!$L$14)*U1030)+('CAFCO 400 '!$L$15*LN(J1030)+'CAFCO 400 '!$L$16)),0)+IF(AND(L1030="Cafco 400",M1030="Software Idiem",C1030="IN",G1030=3),((('CAFCO 400 '!$D$23*(J1030^2)+'CAFCO 400 '!$D$24*(J1030)+'CAFCO 400 '!$D$25)*U1030^2)+(('CAFCO 400 '!$D$26*(J1030^2)+'CAFCO 400 '!$D$27*J1030+'CAFCO 400 '!$D$28)*U1030)+('CAFCO 400 '!$D$29*(J1030^2)+'CAFCO 400 '!$D$30*J1030+'CAFCO 400 '!$D$31)),0),0)+IF(AND(L1030="Cafco 300",J1030&gt;=95,J1030&lt;=240,C1030="Cj",I1030=90),VLOOKUP(T1030,'CAFCO 300 IDIEM TABLAS'!$B$4:$D$23,2,FALSE),0)+IF(AND(L1030="Cafco 300",J1030&gt;=95,J1030&lt;=240,C1030="Cj",I1030=120),VLOOKUP(T1030,'CAFCO 300 IDIEM TABLAS'!$B$4:$D$23,3,FALSE),0)+IF(AND(L1030="Cafco 300",J1030&gt;=95,J1030&lt;=400,G1030=3,C1030="IN",I1030=90),VLOOKUP(T1030,'CAFCO 300 IDIEM TABLAS'!$F$4:$H$35,2,FALSE),0)+IF(AND(L1030="Cafco 300",J1030&gt;=95,J1030&lt;=400,G1030=3,C1030="IN",I1030=120),VLOOKUP(T1030,'CAFCO 300 IDIEM TABLAS'!$F$4:$H$35,3,FALSE),0)+IF(AND(L1030="Cafco 300",J1030&gt;=95,J1030&lt;=450,G1030=4,C1030="IN",I1030=90),VLOOKUP(T1030,'CAFCO 300 IDIEM TABLAS'!$J$4:$L$40,2,FALSE),0)+IF(AND(L1030="Cafco 300",J1030&gt;=95,J1030&lt;=450,G1030=4,C1030="IN",I1030=120),VLOOKUP(T1030,'CAFCO 300 IDIEM TABLAS'!$J$4:$L$40,3,FALSE),0)+IF(AND(M1030="Ensayo Idiem",L1030="Cafco 400",C1030="IN",G1030=4,I1030=90),VLOOKUP(T1030,'CAFCO 400 ENSAYO'!$B$7:$D$43,2,FALSE),0)+IF(AND(M1030="Ensayo Idiem",L1030="Cafco 400",C1030="IN",G1030=4,I1030=120),VLOOKUP(T1030,'CAFCO 400 ENSAYO'!$B$7:$D$43,3,FALSE),0)</f>
        <v>0</v>
      </c>
      <c r="O1030" s="96">
        <f t="shared" si="102"/>
        <v>0</v>
      </c>
      <c r="P1030" s="95" t="str">
        <f t="shared" si="103"/>
        <v>N/A</v>
      </c>
      <c r="Q1030" s="95" t="str">
        <f t="shared" si="104"/>
        <v>N/A</v>
      </c>
      <c r="R1030" s="95" t="str">
        <f t="shared" si="105"/>
        <v>NO CERT.</v>
      </c>
      <c r="S1030" s="95" t="e">
        <f t="shared" si="106"/>
        <v>#N/A</v>
      </c>
      <c r="T1030" s="119" t="e">
        <f>+IF(J1030=LOOKUP(J1030,'CAFCO 300 IDIEM TABLAS'!$J$4:$J$40),'CALCULO MORTERO'!J1030,MROUND('CALCULO MORTERO'!J1030,10))</f>
        <v>#N/A</v>
      </c>
      <c r="U1030" s="118">
        <f t="shared" si="107"/>
        <v>0</v>
      </c>
    </row>
    <row r="1031" spans="1:21" x14ac:dyDescent="0.25">
      <c r="A1031" s="118">
        <f>+CUBICACION!D1025</f>
        <v>0</v>
      </c>
      <c r="B1031" s="819">
        <f>+CUBICACION!E1025</f>
        <v>0</v>
      </c>
      <c r="C1031" s="675">
        <f>+CUBICACION!F1025</f>
        <v>0</v>
      </c>
      <c r="D1031" s="118"/>
      <c r="E1031" s="118"/>
      <c r="F1031" s="820"/>
      <c r="G1031" s="675">
        <f>+CUBICACION!J1025</f>
        <v>0</v>
      </c>
      <c r="H1031" s="118"/>
      <c r="I1031" s="821">
        <f>+CUBICACION!L1025</f>
        <v>0</v>
      </c>
      <c r="J1031" s="64">
        <f>+CUBICACION!M1025</f>
        <v>0</v>
      </c>
      <c r="K1031" s="822" t="str">
        <f>+CUBICACION!N1025</f>
        <v/>
      </c>
      <c r="L1031" s="118">
        <f>+CUBICACION!O1025</f>
        <v>0</v>
      </c>
      <c r="M1031" s="823">
        <f>+CUBICACION!P1025</f>
        <v>0</v>
      </c>
      <c r="N1031" s="902">
        <f>ROUND(IF(AND(L1031="Blaze Shield II",M1031="Software Idiem",C1031="IN",G1031=4),((('BLAZE SHIELD II'!$D$4*('CALCULO MORTERO'!I1031^2)+'BLAZE SHIELD II'!$D$5*'CALCULO MORTERO'!I1031+'BLAZE SHIELD II'!$D$6)*LN(J1031))+('BLAZE SHIELD II'!$D$7*('CALCULO MORTERO'!I1031^2)+'BLAZE SHIELD II'!$D$8*'CALCULO MORTERO'!I1031+'BLAZE SHIELD II'!$D$9)),0)+IF(AND(L1031="Blaze Shield II",M1031="Software Idiem",C1031="Cj"),((('BLAZE SHIELD II'!$H$4*('CALCULO MORTERO'!I1031^2)+'BLAZE SHIELD II'!$H$5*'CALCULO MORTERO'!I1031+'BLAZE SHIELD II'!$H$6)*LN(J1031))+('BLAZE SHIELD II'!$H$7*('CALCULO MORTERO'!I1031^2)+'BLAZE SHIELD II'!$H$8*'CALCULO MORTERO'!I1031+'BLAZE SHIELD II'!$H$9)),0)+IF(AND(L1031="Blaze Shield II",M1031="Software Idiem",C1031="C"),((('BLAZE SHIELD II'!$L$4*('CALCULO MORTERO'!I1031^2)+'BLAZE SHIELD II'!$L$5*'CALCULO MORTERO'!I1031+'BLAZE SHIELD II'!$L$6)*LN(J1031))+('BLAZE SHIELD II'!$L$7*('CALCULO MORTERO'!I1031^2)+'BLAZE SHIELD II'!$L$8*'CALCULO MORTERO'!I1031+'BLAZE SHIELD II'!$L$9)),0)+IF(AND(L1031="Blaze Shield II",M1031="Software Idiem",C1031="L"),((('BLAZE SHIELD II'!$L$4*('CALCULO MORTERO'!I1031^2)+'BLAZE SHIELD II'!$L$5*'CALCULO MORTERO'!I1031+'BLAZE SHIELD II'!$L$6)*LN(J1031))+('BLAZE SHIELD II'!$L$7*('CALCULO MORTERO'!I1031^2)+'BLAZE SHIELD II'!$L$8*'CALCULO MORTERO'!I1031+'BLAZE SHIELD II'!$L$9)),0)+IF(AND(L1031="Blaze Shield II",M1031="Software Idiem",C1031="IN",G1031=3),((('BLAZE SHIELD II'!$H$14*('CALCULO MORTERO'!I1031^2)+'BLAZE SHIELD II'!$H$15*'CALCULO MORTERO'!I1031+'BLAZE SHIELD II'!$H$16)*LN(J1031))+('BLAZE SHIELD II'!$H$17*('CALCULO MORTERO'!I1031^2)+'BLAZE SHIELD II'!$H$18*'CALCULO MORTERO'!I1031+'BLAZE SHIELD II'!$H$19)),0),0)+ROUND(IF(AND(L1031="Cafco 400",M1031="Software Idiem",C1031="IN",G1031=4),((('CAFCO 400 '!$H$7*(J1031^4)+'CAFCO 400 '!$H$8*(J1031^3)+'CAFCO 400 '!$H$9*(J1031^2)+'CAFCO 400 '!$H$10*J1031+'CAFCO 400 '!$H$11)*U1031^2)+(('CAFCO 400 '!$H$12*(J1031^3)+'CAFCO 400 '!$H$13*(J1031^2)+'CAFCO 400 '!$H$14*J1031+'CAFCO 400 '!$H$15)*U1031)+('CAFCO 400 '!$H$16*(J1031^2)+'CAFCO 400 '!$H$17*J1031+'CAFCO 400 '!$H$18)),0)+IF(AND(L1031="Cafco 400",M1031="Software Idiem",C1031="Cj"),(((('CAFCO 400 '!$D$7*LN(J1031)+'CAFCO 400 '!$D$8)*U1031^2)+(('CAFCO 400 '!$D$9*LN(J1031)+'CAFCO 400 '!$D$10)*U1031)+('CAFCO 400 '!$D$11*LN(J1031)+'CAFCO 400 '!$D$12))),0)+IF(AND(L1031="Cafco 400",M1031="Software Idiem",C1031="C"),((('CAFCO 400 '!$L$7*(J1031^3)+'CAFCO 400 '!$L$8*(J1031^2)+'CAFCO 400 '!$L$9*J1031+'CAFCO 400 '!$L$10)*U1031^2)+(('CAFCO 400 '!$L$11*(J1031^3)+'CAFCO 400 '!$L$12*(J1031^2)+'CAFCO 400 '!$L$13*J1031+'CAFCO 400 '!$L$14)*U1031)+('CAFCO 400 '!$L$15*LN(J1031)+'CAFCO 400 '!$L$16)),0)+IF(AND(L1031="Cafco 400",M1031="Software Idiem",C1031="L"),((('CAFCO 400 '!$L$7*(J1031^3)+'CAFCO 400 '!$L$8*(J1031^2)+'CAFCO 400 '!$L$9*J1031+'CAFCO 400 '!$L$10)*U1031^2)+(('CAFCO 400 '!$L$11*(J1031^3)+'CAFCO 400 '!$L$12*(J1031^2)+'CAFCO 400 '!$L$13*J1031+'CAFCO 400 '!$L$14)*U1031)+('CAFCO 400 '!$L$15*LN(J1031)+'CAFCO 400 '!$L$16)),0)+IF(AND(L1031="Cafco 400",M1031="Software Idiem",C1031="IN",G1031=3),((('CAFCO 400 '!$D$23*(J1031^2)+'CAFCO 400 '!$D$24*(J1031)+'CAFCO 400 '!$D$25)*U1031^2)+(('CAFCO 400 '!$D$26*(J1031^2)+'CAFCO 400 '!$D$27*J1031+'CAFCO 400 '!$D$28)*U1031)+('CAFCO 400 '!$D$29*(J1031^2)+'CAFCO 400 '!$D$30*J1031+'CAFCO 400 '!$D$31)),0),0)+IF(AND(L1031="Cafco 300",J1031&gt;=95,J1031&lt;=240,C1031="Cj",I1031=90),VLOOKUP(T1031,'CAFCO 300 IDIEM TABLAS'!$B$4:$D$23,2,FALSE),0)+IF(AND(L1031="Cafco 300",J1031&gt;=95,J1031&lt;=240,C1031="Cj",I1031=120),VLOOKUP(T1031,'CAFCO 300 IDIEM TABLAS'!$B$4:$D$23,3,FALSE),0)+IF(AND(L1031="Cafco 300",J1031&gt;=95,J1031&lt;=400,G1031=3,C1031="IN",I1031=90),VLOOKUP(T1031,'CAFCO 300 IDIEM TABLAS'!$F$4:$H$35,2,FALSE),0)+IF(AND(L1031="Cafco 300",J1031&gt;=95,J1031&lt;=400,G1031=3,C1031="IN",I1031=120),VLOOKUP(T1031,'CAFCO 300 IDIEM TABLAS'!$F$4:$H$35,3,FALSE),0)+IF(AND(L1031="Cafco 300",J1031&gt;=95,J1031&lt;=450,G1031=4,C1031="IN",I1031=90),VLOOKUP(T1031,'CAFCO 300 IDIEM TABLAS'!$J$4:$L$40,2,FALSE),0)+IF(AND(L1031="Cafco 300",J1031&gt;=95,J1031&lt;=450,G1031=4,C1031="IN",I1031=120),VLOOKUP(T1031,'CAFCO 300 IDIEM TABLAS'!$J$4:$L$40,3,FALSE),0)+IF(AND(M1031="Ensayo Idiem",L1031="Cafco 400",C1031="IN",G1031=4,I1031=90),VLOOKUP(T1031,'CAFCO 400 ENSAYO'!$B$7:$D$43,2,FALSE),0)+IF(AND(M1031="Ensayo Idiem",L1031="Cafco 400",C1031="IN",G1031=4,I1031=120),VLOOKUP(T1031,'CAFCO 400 ENSAYO'!$B$7:$D$43,3,FALSE),0)</f>
        <v>0</v>
      </c>
      <c r="O1031" s="96">
        <f t="shared" si="102"/>
        <v>0</v>
      </c>
      <c r="P1031" s="132" t="str">
        <f t="shared" si="103"/>
        <v>N/A</v>
      </c>
      <c r="Q1031" s="132" t="str">
        <f t="shared" si="104"/>
        <v>N/A</v>
      </c>
      <c r="R1031" s="132" t="str">
        <f t="shared" si="105"/>
        <v>NO CERT.</v>
      </c>
      <c r="S1031" s="132" t="e">
        <f t="shared" si="106"/>
        <v>#N/A</v>
      </c>
      <c r="T1031" s="133" t="e">
        <f>+IF(J1031=LOOKUP(J1031,'CAFCO 300 IDIEM TABLAS'!$J$4:$J$40),'CALCULO MORTERO'!J1031,MROUND('CALCULO MORTERO'!J1031,10))</f>
        <v>#N/A</v>
      </c>
      <c r="U1031" s="134">
        <f t="shared" si="107"/>
        <v>0</v>
      </c>
    </row>
    <row r="1032" spans="1:21" x14ac:dyDescent="0.25">
      <c r="A1032" s="118">
        <f>+CUBICACION!D1026</f>
        <v>0</v>
      </c>
      <c r="B1032" s="819">
        <f>+CUBICACION!E1026</f>
        <v>0</v>
      </c>
      <c r="C1032" s="675">
        <f>+CUBICACION!F1026</f>
        <v>0</v>
      </c>
      <c r="D1032" s="118"/>
      <c r="E1032" s="118"/>
      <c r="F1032" s="820"/>
      <c r="G1032" s="675">
        <f>+CUBICACION!J1026</f>
        <v>0</v>
      </c>
      <c r="H1032" s="118"/>
      <c r="I1032" s="821">
        <f>+CUBICACION!L1026</f>
        <v>0</v>
      </c>
      <c r="J1032" s="64">
        <f>+CUBICACION!M1026</f>
        <v>0</v>
      </c>
      <c r="K1032" s="822" t="str">
        <f>+CUBICACION!N1026</f>
        <v/>
      </c>
      <c r="L1032" s="118">
        <f>+CUBICACION!O1026</f>
        <v>0</v>
      </c>
      <c r="M1032" s="823">
        <f>+CUBICACION!P1026</f>
        <v>0</v>
      </c>
      <c r="N1032" s="902">
        <f>ROUND(IF(AND(L1032="Blaze Shield II",M1032="Software Idiem",C1032="IN",G1032=4),((('BLAZE SHIELD II'!$D$4*('CALCULO MORTERO'!I1032^2)+'BLAZE SHIELD II'!$D$5*'CALCULO MORTERO'!I1032+'BLAZE SHIELD II'!$D$6)*LN(J1032))+('BLAZE SHIELD II'!$D$7*('CALCULO MORTERO'!I1032^2)+'BLAZE SHIELD II'!$D$8*'CALCULO MORTERO'!I1032+'BLAZE SHIELD II'!$D$9)),0)+IF(AND(L1032="Blaze Shield II",M1032="Software Idiem",C1032="Cj"),((('BLAZE SHIELD II'!$H$4*('CALCULO MORTERO'!I1032^2)+'BLAZE SHIELD II'!$H$5*'CALCULO MORTERO'!I1032+'BLAZE SHIELD II'!$H$6)*LN(J1032))+('BLAZE SHIELD II'!$H$7*('CALCULO MORTERO'!I1032^2)+'BLAZE SHIELD II'!$H$8*'CALCULO MORTERO'!I1032+'BLAZE SHIELD II'!$H$9)),0)+IF(AND(L1032="Blaze Shield II",M1032="Software Idiem",C1032="C"),((('BLAZE SHIELD II'!$L$4*('CALCULO MORTERO'!I1032^2)+'BLAZE SHIELD II'!$L$5*'CALCULO MORTERO'!I1032+'BLAZE SHIELD II'!$L$6)*LN(J1032))+('BLAZE SHIELD II'!$L$7*('CALCULO MORTERO'!I1032^2)+'BLAZE SHIELD II'!$L$8*'CALCULO MORTERO'!I1032+'BLAZE SHIELD II'!$L$9)),0)+IF(AND(L1032="Blaze Shield II",M1032="Software Idiem",C1032="L"),((('BLAZE SHIELD II'!$L$4*('CALCULO MORTERO'!I1032^2)+'BLAZE SHIELD II'!$L$5*'CALCULO MORTERO'!I1032+'BLAZE SHIELD II'!$L$6)*LN(J1032))+('BLAZE SHIELD II'!$L$7*('CALCULO MORTERO'!I1032^2)+'BLAZE SHIELD II'!$L$8*'CALCULO MORTERO'!I1032+'BLAZE SHIELD II'!$L$9)),0)+IF(AND(L1032="Blaze Shield II",M1032="Software Idiem",C1032="IN",G1032=3),((('BLAZE SHIELD II'!$H$14*('CALCULO MORTERO'!I1032^2)+'BLAZE SHIELD II'!$H$15*'CALCULO MORTERO'!I1032+'BLAZE SHIELD II'!$H$16)*LN(J1032))+('BLAZE SHIELD II'!$H$17*('CALCULO MORTERO'!I1032^2)+'BLAZE SHIELD II'!$H$18*'CALCULO MORTERO'!I1032+'BLAZE SHIELD II'!$H$19)),0),0)+ROUND(IF(AND(L1032="Cafco 400",M1032="Software Idiem",C1032="IN",G1032=4),((('CAFCO 400 '!$H$7*(J1032^4)+'CAFCO 400 '!$H$8*(J1032^3)+'CAFCO 400 '!$H$9*(J1032^2)+'CAFCO 400 '!$H$10*J1032+'CAFCO 400 '!$H$11)*U1032^2)+(('CAFCO 400 '!$H$12*(J1032^3)+'CAFCO 400 '!$H$13*(J1032^2)+'CAFCO 400 '!$H$14*J1032+'CAFCO 400 '!$H$15)*U1032)+('CAFCO 400 '!$H$16*(J1032^2)+'CAFCO 400 '!$H$17*J1032+'CAFCO 400 '!$H$18)),0)+IF(AND(L1032="Cafco 400",M1032="Software Idiem",C1032="Cj"),(((('CAFCO 400 '!$D$7*LN(J1032)+'CAFCO 400 '!$D$8)*U1032^2)+(('CAFCO 400 '!$D$9*LN(J1032)+'CAFCO 400 '!$D$10)*U1032)+('CAFCO 400 '!$D$11*LN(J1032)+'CAFCO 400 '!$D$12))),0)+IF(AND(L1032="Cafco 400",M1032="Software Idiem",C1032="C"),((('CAFCO 400 '!$L$7*(J1032^3)+'CAFCO 400 '!$L$8*(J1032^2)+'CAFCO 400 '!$L$9*J1032+'CAFCO 400 '!$L$10)*U1032^2)+(('CAFCO 400 '!$L$11*(J1032^3)+'CAFCO 400 '!$L$12*(J1032^2)+'CAFCO 400 '!$L$13*J1032+'CAFCO 400 '!$L$14)*U1032)+('CAFCO 400 '!$L$15*LN(J1032)+'CAFCO 400 '!$L$16)),0)+IF(AND(L1032="Cafco 400",M1032="Software Idiem",C1032="L"),((('CAFCO 400 '!$L$7*(J1032^3)+'CAFCO 400 '!$L$8*(J1032^2)+'CAFCO 400 '!$L$9*J1032+'CAFCO 400 '!$L$10)*U1032^2)+(('CAFCO 400 '!$L$11*(J1032^3)+'CAFCO 400 '!$L$12*(J1032^2)+'CAFCO 400 '!$L$13*J1032+'CAFCO 400 '!$L$14)*U1032)+('CAFCO 400 '!$L$15*LN(J1032)+'CAFCO 400 '!$L$16)),0)+IF(AND(L1032="Cafco 400",M1032="Software Idiem",C1032="IN",G1032=3),((('CAFCO 400 '!$D$23*(J1032^2)+'CAFCO 400 '!$D$24*(J1032)+'CAFCO 400 '!$D$25)*U1032^2)+(('CAFCO 400 '!$D$26*(J1032^2)+'CAFCO 400 '!$D$27*J1032+'CAFCO 400 '!$D$28)*U1032)+('CAFCO 400 '!$D$29*(J1032^2)+'CAFCO 400 '!$D$30*J1032+'CAFCO 400 '!$D$31)),0),0)+IF(AND(L1032="Cafco 300",J1032&gt;=95,J1032&lt;=240,C1032="Cj",I1032=90),VLOOKUP(T1032,'CAFCO 300 IDIEM TABLAS'!$B$4:$D$23,2,FALSE),0)+IF(AND(L1032="Cafco 300",J1032&gt;=95,J1032&lt;=240,C1032="Cj",I1032=120),VLOOKUP(T1032,'CAFCO 300 IDIEM TABLAS'!$B$4:$D$23,3,FALSE),0)+IF(AND(L1032="Cafco 300",J1032&gt;=95,J1032&lt;=400,G1032=3,C1032="IN",I1032=90),VLOOKUP(T1032,'CAFCO 300 IDIEM TABLAS'!$F$4:$H$35,2,FALSE),0)+IF(AND(L1032="Cafco 300",J1032&gt;=95,J1032&lt;=400,G1032=3,C1032="IN",I1032=120),VLOOKUP(T1032,'CAFCO 300 IDIEM TABLAS'!$F$4:$H$35,3,FALSE),0)+IF(AND(L1032="Cafco 300",J1032&gt;=95,J1032&lt;=450,G1032=4,C1032="IN",I1032=90),VLOOKUP(T1032,'CAFCO 300 IDIEM TABLAS'!$J$4:$L$40,2,FALSE),0)+IF(AND(L1032="Cafco 300",J1032&gt;=95,J1032&lt;=450,G1032=4,C1032="IN",I1032=120),VLOOKUP(T1032,'CAFCO 300 IDIEM TABLAS'!$J$4:$L$40,3,FALSE),0)+IF(AND(M1032="Ensayo Idiem",L1032="Cafco 400",C1032="IN",G1032=4,I1032=90),VLOOKUP(T1032,'CAFCO 400 ENSAYO'!$B$7:$D$43,2,FALSE),0)+IF(AND(M1032="Ensayo Idiem",L1032="Cafco 400",C1032="IN",G1032=4,I1032=120),VLOOKUP(T1032,'CAFCO 400 ENSAYO'!$B$7:$D$43,3,FALSE),0)</f>
        <v>0</v>
      </c>
      <c r="O1032" s="96">
        <f t="shared" si="102"/>
        <v>0</v>
      </c>
      <c r="P1032" s="95" t="str">
        <f t="shared" si="103"/>
        <v>N/A</v>
      </c>
      <c r="Q1032" s="95" t="str">
        <f t="shared" si="104"/>
        <v>N/A</v>
      </c>
      <c r="R1032" s="95" t="str">
        <f t="shared" si="105"/>
        <v>NO CERT.</v>
      </c>
      <c r="S1032" s="95" t="e">
        <f t="shared" si="106"/>
        <v>#N/A</v>
      </c>
      <c r="T1032" s="119" t="e">
        <f>+IF(J1032=LOOKUP(J1032,'CAFCO 300 IDIEM TABLAS'!$J$4:$J$40),'CALCULO MORTERO'!J1032,MROUND('CALCULO MORTERO'!J1032,10))</f>
        <v>#N/A</v>
      </c>
      <c r="U1032" s="118">
        <f t="shared" si="107"/>
        <v>0</v>
      </c>
    </row>
    <row r="1033" spans="1:21" x14ac:dyDescent="0.25">
      <c r="A1033" s="118">
        <f>+CUBICACION!D1027</f>
        <v>0</v>
      </c>
      <c r="B1033" s="819">
        <f>+CUBICACION!E1027</f>
        <v>0</v>
      </c>
      <c r="C1033" s="675">
        <f>+CUBICACION!F1027</f>
        <v>0</v>
      </c>
      <c r="D1033" s="118"/>
      <c r="E1033" s="118"/>
      <c r="F1033" s="820"/>
      <c r="G1033" s="675">
        <f>+CUBICACION!J1027</f>
        <v>0</v>
      </c>
      <c r="H1033" s="118"/>
      <c r="I1033" s="821">
        <f>+CUBICACION!L1027</f>
        <v>0</v>
      </c>
      <c r="J1033" s="64">
        <f>+CUBICACION!M1027</f>
        <v>0</v>
      </c>
      <c r="K1033" s="822" t="str">
        <f>+CUBICACION!N1027</f>
        <v/>
      </c>
      <c r="L1033" s="118">
        <f>+CUBICACION!O1027</f>
        <v>0</v>
      </c>
      <c r="M1033" s="823">
        <f>+CUBICACION!P1027</f>
        <v>0</v>
      </c>
      <c r="N1033" s="902">
        <f>ROUND(IF(AND(L1033="Blaze Shield II",M1033="Software Idiem",C1033="IN",G1033=4),((('BLAZE SHIELD II'!$D$4*('CALCULO MORTERO'!I1033^2)+'BLAZE SHIELD II'!$D$5*'CALCULO MORTERO'!I1033+'BLAZE SHIELD II'!$D$6)*LN(J1033))+('BLAZE SHIELD II'!$D$7*('CALCULO MORTERO'!I1033^2)+'BLAZE SHIELD II'!$D$8*'CALCULO MORTERO'!I1033+'BLAZE SHIELD II'!$D$9)),0)+IF(AND(L1033="Blaze Shield II",M1033="Software Idiem",C1033="Cj"),((('BLAZE SHIELD II'!$H$4*('CALCULO MORTERO'!I1033^2)+'BLAZE SHIELD II'!$H$5*'CALCULO MORTERO'!I1033+'BLAZE SHIELD II'!$H$6)*LN(J1033))+('BLAZE SHIELD II'!$H$7*('CALCULO MORTERO'!I1033^2)+'BLAZE SHIELD II'!$H$8*'CALCULO MORTERO'!I1033+'BLAZE SHIELD II'!$H$9)),0)+IF(AND(L1033="Blaze Shield II",M1033="Software Idiem",C1033="C"),((('BLAZE SHIELD II'!$L$4*('CALCULO MORTERO'!I1033^2)+'BLAZE SHIELD II'!$L$5*'CALCULO MORTERO'!I1033+'BLAZE SHIELD II'!$L$6)*LN(J1033))+('BLAZE SHIELD II'!$L$7*('CALCULO MORTERO'!I1033^2)+'BLAZE SHIELD II'!$L$8*'CALCULO MORTERO'!I1033+'BLAZE SHIELD II'!$L$9)),0)+IF(AND(L1033="Blaze Shield II",M1033="Software Idiem",C1033="L"),((('BLAZE SHIELD II'!$L$4*('CALCULO MORTERO'!I1033^2)+'BLAZE SHIELD II'!$L$5*'CALCULO MORTERO'!I1033+'BLAZE SHIELD II'!$L$6)*LN(J1033))+('BLAZE SHIELD II'!$L$7*('CALCULO MORTERO'!I1033^2)+'BLAZE SHIELD II'!$L$8*'CALCULO MORTERO'!I1033+'BLAZE SHIELD II'!$L$9)),0)+IF(AND(L1033="Blaze Shield II",M1033="Software Idiem",C1033="IN",G1033=3),((('BLAZE SHIELD II'!$H$14*('CALCULO MORTERO'!I1033^2)+'BLAZE SHIELD II'!$H$15*'CALCULO MORTERO'!I1033+'BLAZE SHIELD II'!$H$16)*LN(J1033))+('BLAZE SHIELD II'!$H$17*('CALCULO MORTERO'!I1033^2)+'BLAZE SHIELD II'!$H$18*'CALCULO MORTERO'!I1033+'BLAZE SHIELD II'!$H$19)),0),0)+ROUND(IF(AND(L1033="Cafco 400",M1033="Software Idiem",C1033="IN",G1033=4),((('CAFCO 400 '!$H$7*(J1033^4)+'CAFCO 400 '!$H$8*(J1033^3)+'CAFCO 400 '!$H$9*(J1033^2)+'CAFCO 400 '!$H$10*J1033+'CAFCO 400 '!$H$11)*U1033^2)+(('CAFCO 400 '!$H$12*(J1033^3)+'CAFCO 400 '!$H$13*(J1033^2)+'CAFCO 400 '!$H$14*J1033+'CAFCO 400 '!$H$15)*U1033)+('CAFCO 400 '!$H$16*(J1033^2)+'CAFCO 400 '!$H$17*J1033+'CAFCO 400 '!$H$18)),0)+IF(AND(L1033="Cafco 400",M1033="Software Idiem",C1033="Cj"),(((('CAFCO 400 '!$D$7*LN(J1033)+'CAFCO 400 '!$D$8)*U1033^2)+(('CAFCO 400 '!$D$9*LN(J1033)+'CAFCO 400 '!$D$10)*U1033)+('CAFCO 400 '!$D$11*LN(J1033)+'CAFCO 400 '!$D$12))),0)+IF(AND(L1033="Cafco 400",M1033="Software Idiem",C1033="C"),((('CAFCO 400 '!$L$7*(J1033^3)+'CAFCO 400 '!$L$8*(J1033^2)+'CAFCO 400 '!$L$9*J1033+'CAFCO 400 '!$L$10)*U1033^2)+(('CAFCO 400 '!$L$11*(J1033^3)+'CAFCO 400 '!$L$12*(J1033^2)+'CAFCO 400 '!$L$13*J1033+'CAFCO 400 '!$L$14)*U1033)+('CAFCO 400 '!$L$15*LN(J1033)+'CAFCO 400 '!$L$16)),0)+IF(AND(L1033="Cafco 400",M1033="Software Idiem",C1033="L"),((('CAFCO 400 '!$L$7*(J1033^3)+'CAFCO 400 '!$L$8*(J1033^2)+'CAFCO 400 '!$L$9*J1033+'CAFCO 400 '!$L$10)*U1033^2)+(('CAFCO 400 '!$L$11*(J1033^3)+'CAFCO 400 '!$L$12*(J1033^2)+'CAFCO 400 '!$L$13*J1033+'CAFCO 400 '!$L$14)*U1033)+('CAFCO 400 '!$L$15*LN(J1033)+'CAFCO 400 '!$L$16)),0)+IF(AND(L1033="Cafco 400",M1033="Software Idiem",C1033="IN",G1033=3),((('CAFCO 400 '!$D$23*(J1033^2)+'CAFCO 400 '!$D$24*(J1033)+'CAFCO 400 '!$D$25)*U1033^2)+(('CAFCO 400 '!$D$26*(J1033^2)+'CAFCO 400 '!$D$27*J1033+'CAFCO 400 '!$D$28)*U1033)+('CAFCO 400 '!$D$29*(J1033^2)+'CAFCO 400 '!$D$30*J1033+'CAFCO 400 '!$D$31)),0),0)+IF(AND(L1033="Cafco 300",J1033&gt;=95,J1033&lt;=240,C1033="Cj",I1033=90),VLOOKUP(T1033,'CAFCO 300 IDIEM TABLAS'!$B$4:$D$23,2,FALSE),0)+IF(AND(L1033="Cafco 300",J1033&gt;=95,J1033&lt;=240,C1033="Cj",I1033=120),VLOOKUP(T1033,'CAFCO 300 IDIEM TABLAS'!$B$4:$D$23,3,FALSE),0)+IF(AND(L1033="Cafco 300",J1033&gt;=95,J1033&lt;=400,G1033=3,C1033="IN",I1033=90),VLOOKUP(T1033,'CAFCO 300 IDIEM TABLAS'!$F$4:$H$35,2,FALSE),0)+IF(AND(L1033="Cafco 300",J1033&gt;=95,J1033&lt;=400,G1033=3,C1033="IN",I1033=120),VLOOKUP(T1033,'CAFCO 300 IDIEM TABLAS'!$F$4:$H$35,3,FALSE),0)+IF(AND(L1033="Cafco 300",J1033&gt;=95,J1033&lt;=450,G1033=4,C1033="IN",I1033=90),VLOOKUP(T1033,'CAFCO 300 IDIEM TABLAS'!$J$4:$L$40,2,FALSE),0)+IF(AND(L1033="Cafco 300",J1033&gt;=95,J1033&lt;=450,G1033=4,C1033="IN",I1033=120),VLOOKUP(T1033,'CAFCO 300 IDIEM TABLAS'!$J$4:$L$40,3,FALSE),0)+IF(AND(M1033="Ensayo Idiem",L1033="Cafco 400",C1033="IN",G1033=4,I1033=90),VLOOKUP(T1033,'CAFCO 400 ENSAYO'!$B$7:$D$43,2,FALSE),0)+IF(AND(M1033="Ensayo Idiem",L1033="Cafco 400",C1033="IN",G1033=4,I1033=120),VLOOKUP(T1033,'CAFCO 400 ENSAYO'!$B$7:$D$43,3,FALSE),0)</f>
        <v>0</v>
      </c>
      <c r="O1033" s="96">
        <f t="shared" si="102"/>
        <v>0</v>
      </c>
      <c r="P1033" s="132" t="str">
        <f t="shared" si="103"/>
        <v>N/A</v>
      </c>
      <c r="Q1033" s="132" t="str">
        <f t="shared" si="104"/>
        <v>N/A</v>
      </c>
      <c r="R1033" s="132" t="str">
        <f t="shared" si="105"/>
        <v>NO CERT.</v>
      </c>
      <c r="S1033" s="132" t="e">
        <f t="shared" si="106"/>
        <v>#N/A</v>
      </c>
      <c r="T1033" s="133" t="e">
        <f>+IF(J1033=LOOKUP(J1033,'CAFCO 300 IDIEM TABLAS'!$J$4:$J$40),'CALCULO MORTERO'!J1033,MROUND('CALCULO MORTERO'!J1033,10))</f>
        <v>#N/A</v>
      </c>
      <c r="U1033" s="134">
        <f t="shared" si="107"/>
        <v>0</v>
      </c>
    </row>
    <row r="1034" spans="1:21" x14ac:dyDescent="0.25">
      <c r="A1034" s="118">
        <f>+CUBICACION!D1028</f>
        <v>0</v>
      </c>
      <c r="B1034" s="819">
        <f>+CUBICACION!E1028</f>
        <v>0</v>
      </c>
      <c r="C1034" s="675">
        <f>+CUBICACION!F1028</f>
        <v>0</v>
      </c>
      <c r="D1034" s="118"/>
      <c r="E1034" s="118"/>
      <c r="F1034" s="820"/>
      <c r="G1034" s="675">
        <f>+CUBICACION!J1028</f>
        <v>0</v>
      </c>
      <c r="H1034" s="118"/>
      <c r="I1034" s="821">
        <f>+CUBICACION!L1028</f>
        <v>0</v>
      </c>
      <c r="J1034" s="64">
        <f>+CUBICACION!M1028</f>
        <v>0</v>
      </c>
      <c r="K1034" s="822" t="str">
        <f>+CUBICACION!N1028</f>
        <v/>
      </c>
      <c r="L1034" s="118">
        <f>+CUBICACION!O1028</f>
        <v>0</v>
      </c>
      <c r="M1034" s="823">
        <f>+CUBICACION!P1028</f>
        <v>0</v>
      </c>
      <c r="N1034" s="902">
        <f>ROUND(IF(AND(L1034="Blaze Shield II",M1034="Software Idiem",C1034="IN",G1034=4),((('BLAZE SHIELD II'!$D$4*('CALCULO MORTERO'!I1034^2)+'BLAZE SHIELD II'!$D$5*'CALCULO MORTERO'!I1034+'BLAZE SHIELD II'!$D$6)*LN(J1034))+('BLAZE SHIELD II'!$D$7*('CALCULO MORTERO'!I1034^2)+'BLAZE SHIELD II'!$D$8*'CALCULO MORTERO'!I1034+'BLAZE SHIELD II'!$D$9)),0)+IF(AND(L1034="Blaze Shield II",M1034="Software Idiem",C1034="Cj"),((('BLAZE SHIELD II'!$H$4*('CALCULO MORTERO'!I1034^2)+'BLAZE SHIELD II'!$H$5*'CALCULO MORTERO'!I1034+'BLAZE SHIELD II'!$H$6)*LN(J1034))+('BLAZE SHIELD II'!$H$7*('CALCULO MORTERO'!I1034^2)+'BLAZE SHIELD II'!$H$8*'CALCULO MORTERO'!I1034+'BLAZE SHIELD II'!$H$9)),0)+IF(AND(L1034="Blaze Shield II",M1034="Software Idiem",C1034="C"),((('BLAZE SHIELD II'!$L$4*('CALCULO MORTERO'!I1034^2)+'BLAZE SHIELD II'!$L$5*'CALCULO MORTERO'!I1034+'BLAZE SHIELD II'!$L$6)*LN(J1034))+('BLAZE SHIELD II'!$L$7*('CALCULO MORTERO'!I1034^2)+'BLAZE SHIELD II'!$L$8*'CALCULO MORTERO'!I1034+'BLAZE SHIELD II'!$L$9)),0)+IF(AND(L1034="Blaze Shield II",M1034="Software Idiem",C1034="L"),((('BLAZE SHIELD II'!$L$4*('CALCULO MORTERO'!I1034^2)+'BLAZE SHIELD II'!$L$5*'CALCULO MORTERO'!I1034+'BLAZE SHIELD II'!$L$6)*LN(J1034))+('BLAZE SHIELD II'!$L$7*('CALCULO MORTERO'!I1034^2)+'BLAZE SHIELD II'!$L$8*'CALCULO MORTERO'!I1034+'BLAZE SHIELD II'!$L$9)),0)+IF(AND(L1034="Blaze Shield II",M1034="Software Idiem",C1034="IN",G1034=3),((('BLAZE SHIELD II'!$H$14*('CALCULO MORTERO'!I1034^2)+'BLAZE SHIELD II'!$H$15*'CALCULO MORTERO'!I1034+'BLAZE SHIELD II'!$H$16)*LN(J1034))+('BLAZE SHIELD II'!$H$17*('CALCULO MORTERO'!I1034^2)+'BLAZE SHIELD II'!$H$18*'CALCULO MORTERO'!I1034+'BLAZE SHIELD II'!$H$19)),0),0)+ROUND(IF(AND(L1034="Cafco 400",M1034="Software Idiem",C1034="IN",G1034=4),((('CAFCO 400 '!$H$7*(J1034^4)+'CAFCO 400 '!$H$8*(J1034^3)+'CAFCO 400 '!$H$9*(J1034^2)+'CAFCO 400 '!$H$10*J1034+'CAFCO 400 '!$H$11)*U1034^2)+(('CAFCO 400 '!$H$12*(J1034^3)+'CAFCO 400 '!$H$13*(J1034^2)+'CAFCO 400 '!$H$14*J1034+'CAFCO 400 '!$H$15)*U1034)+('CAFCO 400 '!$H$16*(J1034^2)+'CAFCO 400 '!$H$17*J1034+'CAFCO 400 '!$H$18)),0)+IF(AND(L1034="Cafco 400",M1034="Software Idiem",C1034="Cj"),(((('CAFCO 400 '!$D$7*LN(J1034)+'CAFCO 400 '!$D$8)*U1034^2)+(('CAFCO 400 '!$D$9*LN(J1034)+'CAFCO 400 '!$D$10)*U1034)+('CAFCO 400 '!$D$11*LN(J1034)+'CAFCO 400 '!$D$12))),0)+IF(AND(L1034="Cafco 400",M1034="Software Idiem",C1034="C"),((('CAFCO 400 '!$L$7*(J1034^3)+'CAFCO 400 '!$L$8*(J1034^2)+'CAFCO 400 '!$L$9*J1034+'CAFCO 400 '!$L$10)*U1034^2)+(('CAFCO 400 '!$L$11*(J1034^3)+'CAFCO 400 '!$L$12*(J1034^2)+'CAFCO 400 '!$L$13*J1034+'CAFCO 400 '!$L$14)*U1034)+('CAFCO 400 '!$L$15*LN(J1034)+'CAFCO 400 '!$L$16)),0)+IF(AND(L1034="Cafco 400",M1034="Software Idiem",C1034="L"),((('CAFCO 400 '!$L$7*(J1034^3)+'CAFCO 400 '!$L$8*(J1034^2)+'CAFCO 400 '!$L$9*J1034+'CAFCO 400 '!$L$10)*U1034^2)+(('CAFCO 400 '!$L$11*(J1034^3)+'CAFCO 400 '!$L$12*(J1034^2)+'CAFCO 400 '!$L$13*J1034+'CAFCO 400 '!$L$14)*U1034)+('CAFCO 400 '!$L$15*LN(J1034)+'CAFCO 400 '!$L$16)),0)+IF(AND(L1034="Cafco 400",M1034="Software Idiem",C1034="IN",G1034=3),((('CAFCO 400 '!$D$23*(J1034^2)+'CAFCO 400 '!$D$24*(J1034)+'CAFCO 400 '!$D$25)*U1034^2)+(('CAFCO 400 '!$D$26*(J1034^2)+'CAFCO 400 '!$D$27*J1034+'CAFCO 400 '!$D$28)*U1034)+('CAFCO 400 '!$D$29*(J1034^2)+'CAFCO 400 '!$D$30*J1034+'CAFCO 400 '!$D$31)),0),0)+IF(AND(L1034="Cafco 300",J1034&gt;=95,J1034&lt;=240,C1034="Cj",I1034=90),VLOOKUP(T1034,'CAFCO 300 IDIEM TABLAS'!$B$4:$D$23,2,FALSE),0)+IF(AND(L1034="Cafco 300",J1034&gt;=95,J1034&lt;=240,C1034="Cj",I1034=120),VLOOKUP(T1034,'CAFCO 300 IDIEM TABLAS'!$B$4:$D$23,3,FALSE),0)+IF(AND(L1034="Cafco 300",J1034&gt;=95,J1034&lt;=400,G1034=3,C1034="IN",I1034=90),VLOOKUP(T1034,'CAFCO 300 IDIEM TABLAS'!$F$4:$H$35,2,FALSE),0)+IF(AND(L1034="Cafco 300",J1034&gt;=95,J1034&lt;=400,G1034=3,C1034="IN",I1034=120),VLOOKUP(T1034,'CAFCO 300 IDIEM TABLAS'!$F$4:$H$35,3,FALSE),0)+IF(AND(L1034="Cafco 300",J1034&gt;=95,J1034&lt;=450,G1034=4,C1034="IN",I1034=90),VLOOKUP(T1034,'CAFCO 300 IDIEM TABLAS'!$J$4:$L$40,2,FALSE),0)+IF(AND(L1034="Cafco 300",J1034&gt;=95,J1034&lt;=450,G1034=4,C1034="IN",I1034=120),VLOOKUP(T1034,'CAFCO 300 IDIEM TABLAS'!$J$4:$L$40,3,FALSE),0)+IF(AND(M1034="Ensayo Idiem",L1034="Cafco 400",C1034="IN",G1034=4,I1034=90),VLOOKUP(T1034,'CAFCO 400 ENSAYO'!$B$7:$D$43,2,FALSE),0)+IF(AND(M1034="Ensayo Idiem",L1034="Cafco 400",C1034="IN",G1034=4,I1034=120),VLOOKUP(T1034,'CAFCO 400 ENSAYO'!$B$7:$D$43,3,FALSE),0)</f>
        <v>0</v>
      </c>
      <c r="O1034" s="96">
        <f t="shared" si="102"/>
        <v>0</v>
      </c>
      <c r="P1034" s="95" t="str">
        <f t="shared" si="103"/>
        <v>N/A</v>
      </c>
      <c r="Q1034" s="95" t="str">
        <f t="shared" si="104"/>
        <v>N/A</v>
      </c>
      <c r="R1034" s="95" t="str">
        <f t="shared" si="105"/>
        <v>NO CERT.</v>
      </c>
      <c r="S1034" s="95" t="e">
        <f t="shared" si="106"/>
        <v>#N/A</v>
      </c>
      <c r="T1034" s="119" t="e">
        <f>+IF(J1034=LOOKUP(J1034,'CAFCO 300 IDIEM TABLAS'!$J$4:$J$40),'CALCULO MORTERO'!J1034,MROUND('CALCULO MORTERO'!J1034,10))</f>
        <v>#N/A</v>
      </c>
      <c r="U1034" s="118">
        <f t="shared" si="107"/>
        <v>0</v>
      </c>
    </row>
    <row r="1035" spans="1:21" x14ac:dyDescent="0.25">
      <c r="A1035" s="118">
        <f>+CUBICACION!D1029</f>
        <v>0</v>
      </c>
      <c r="B1035" s="819">
        <f>+CUBICACION!E1029</f>
        <v>0</v>
      </c>
      <c r="C1035" s="675">
        <f>+CUBICACION!F1029</f>
        <v>0</v>
      </c>
      <c r="D1035" s="118"/>
      <c r="E1035" s="118"/>
      <c r="F1035" s="820"/>
      <c r="G1035" s="675">
        <f>+CUBICACION!J1029</f>
        <v>0</v>
      </c>
      <c r="H1035" s="118"/>
      <c r="I1035" s="821">
        <f>+CUBICACION!L1029</f>
        <v>0</v>
      </c>
      <c r="J1035" s="64">
        <f>+CUBICACION!M1029</f>
        <v>0</v>
      </c>
      <c r="K1035" s="822" t="str">
        <f>+CUBICACION!N1029</f>
        <v/>
      </c>
      <c r="L1035" s="118">
        <f>+CUBICACION!O1029</f>
        <v>0</v>
      </c>
      <c r="M1035" s="823">
        <f>+CUBICACION!P1029</f>
        <v>0</v>
      </c>
      <c r="N1035" s="902">
        <f>ROUND(IF(AND(L1035="Blaze Shield II",M1035="Software Idiem",C1035="IN",G1035=4),((('BLAZE SHIELD II'!$D$4*('CALCULO MORTERO'!I1035^2)+'BLAZE SHIELD II'!$D$5*'CALCULO MORTERO'!I1035+'BLAZE SHIELD II'!$D$6)*LN(J1035))+('BLAZE SHIELD II'!$D$7*('CALCULO MORTERO'!I1035^2)+'BLAZE SHIELD II'!$D$8*'CALCULO MORTERO'!I1035+'BLAZE SHIELD II'!$D$9)),0)+IF(AND(L1035="Blaze Shield II",M1035="Software Idiem",C1035="Cj"),((('BLAZE SHIELD II'!$H$4*('CALCULO MORTERO'!I1035^2)+'BLAZE SHIELD II'!$H$5*'CALCULO MORTERO'!I1035+'BLAZE SHIELD II'!$H$6)*LN(J1035))+('BLAZE SHIELD II'!$H$7*('CALCULO MORTERO'!I1035^2)+'BLAZE SHIELD II'!$H$8*'CALCULO MORTERO'!I1035+'BLAZE SHIELD II'!$H$9)),0)+IF(AND(L1035="Blaze Shield II",M1035="Software Idiem",C1035="C"),((('BLAZE SHIELD II'!$L$4*('CALCULO MORTERO'!I1035^2)+'BLAZE SHIELD II'!$L$5*'CALCULO MORTERO'!I1035+'BLAZE SHIELD II'!$L$6)*LN(J1035))+('BLAZE SHIELD II'!$L$7*('CALCULO MORTERO'!I1035^2)+'BLAZE SHIELD II'!$L$8*'CALCULO MORTERO'!I1035+'BLAZE SHIELD II'!$L$9)),0)+IF(AND(L1035="Blaze Shield II",M1035="Software Idiem",C1035="L"),((('BLAZE SHIELD II'!$L$4*('CALCULO MORTERO'!I1035^2)+'BLAZE SHIELD II'!$L$5*'CALCULO MORTERO'!I1035+'BLAZE SHIELD II'!$L$6)*LN(J1035))+('BLAZE SHIELD II'!$L$7*('CALCULO MORTERO'!I1035^2)+'BLAZE SHIELD II'!$L$8*'CALCULO MORTERO'!I1035+'BLAZE SHIELD II'!$L$9)),0)+IF(AND(L1035="Blaze Shield II",M1035="Software Idiem",C1035="IN",G1035=3),((('BLAZE SHIELD II'!$H$14*('CALCULO MORTERO'!I1035^2)+'BLAZE SHIELD II'!$H$15*'CALCULO MORTERO'!I1035+'BLAZE SHIELD II'!$H$16)*LN(J1035))+('BLAZE SHIELD II'!$H$17*('CALCULO MORTERO'!I1035^2)+'BLAZE SHIELD II'!$H$18*'CALCULO MORTERO'!I1035+'BLAZE SHIELD II'!$H$19)),0),0)+ROUND(IF(AND(L1035="Cafco 400",M1035="Software Idiem",C1035="IN",G1035=4),((('CAFCO 400 '!$H$7*(J1035^4)+'CAFCO 400 '!$H$8*(J1035^3)+'CAFCO 400 '!$H$9*(J1035^2)+'CAFCO 400 '!$H$10*J1035+'CAFCO 400 '!$H$11)*U1035^2)+(('CAFCO 400 '!$H$12*(J1035^3)+'CAFCO 400 '!$H$13*(J1035^2)+'CAFCO 400 '!$H$14*J1035+'CAFCO 400 '!$H$15)*U1035)+('CAFCO 400 '!$H$16*(J1035^2)+'CAFCO 400 '!$H$17*J1035+'CAFCO 400 '!$H$18)),0)+IF(AND(L1035="Cafco 400",M1035="Software Idiem",C1035="Cj"),(((('CAFCO 400 '!$D$7*LN(J1035)+'CAFCO 400 '!$D$8)*U1035^2)+(('CAFCO 400 '!$D$9*LN(J1035)+'CAFCO 400 '!$D$10)*U1035)+('CAFCO 400 '!$D$11*LN(J1035)+'CAFCO 400 '!$D$12))),0)+IF(AND(L1035="Cafco 400",M1035="Software Idiem",C1035="C"),((('CAFCO 400 '!$L$7*(J1035^3)+'CAFCO 400 '!$L$8*(J1035^2)+'CAFCO 400 '!$L$9*J1035+'CAFCO 400 '!$L$10)*U1035^2)+(('CAFCO 400 '!$L$11*(J1035^3)+'CAFCO 400 '!$L$12*(J1035^2)+'CAFCO 400 '!$L$13*J1035+'CAFCO 400 '!$L$14)*U1035)+('CAFCO 400 '!$L$15*LN(J1035)+'CAFCO 400 '!$L$16)),0)+IF(AND(L1035="Cafco 400",M1035="Software Idiem",C1035="L"),((('CAFCO 400 '!$L$7*(J1035^3)+'CAFCO 400 '!$L$8*(J1035^2)+'CAFCO 400 '!$L$9*J1035+'CAFCO 400 '!$L$10)*U1035^2)+(('CAFCO 400 '!$L$11*(J1035^3)+'CAFCO 400 '!$L$12*(J1035^2)+'CAFCO 400 '!$L$13*J1035+'CAFCO 400 '!$L$14)*U1035)+('CAFCO 400 '!$L$15*LN(J1035)+'CAFCO 400 '!$L$16)),0)+IF(AND(L1035="Cafco 400",M1035="Software Idiem",C1035="IN",G1035=3),((('CAFCO 400 '!$D$23*(J1035^2)+'CAFCO 400 '!$D$24*(J1035)+'CAFCO 400 '!$D$25)*U1035^2)+(('CAFCO 400 '!$D$26*(J1035^2)+'CAFCO 400 '!$D$27*J1035+'CAFCO 400 '!$D$28)*U1035)+('CAFCO 400 '!$D$29*(J1035^2)+'CAFCO 400 '!$D$30*J1035+'CAFCO 400 '!$D$31)),0),0)+IF(AND(L1035="Cafco 300",J1035&gt;=95,J1035&lt;=240,C1035="Cj",I1035=90),VLOOKUP(T1035,'CAFCO 300 IDIEM TABLAS'!$B$4:$D$23,2,FALSE),0)+IF(AND(L1035="Cafco 300",J1035&gt;=95,J1035&lt;=240,C1035="Cj",I1035=120),VLOOKUP(T1035,'CAFCO 300 IDIEM TABLAS'!$B$4:$D$23,3,FALSE),0)+IF(AND(L1035="Cafco 300",J1035&gt;=95,J1035&lt;=400,G1035=3,C1035="IN",I1035=90),VLOOKUP(T1035,'CAFCO 300 IDIEM TABLAS'!$F$4:$H$35,2,FALSE),0)+IF(AND(L1035="Cafco 300",J1035&gt;=95,J1035&lt;=400,G1035=3,C1035="IN",I1035=120),VLOOKUP(T1035,'CAFCO 300 IDIEM TABLAS'!$F$4:$H$35,3,FALSE),0)+IF(AND(L1035="Cafco 300",J1035&gt;=95,J1035&lt;=450,G1035=4,C1035="IN",I1035=90),VLOOKUP(T1035,'CAFCO 300 IDIEM TABLAS'!$J$4:$L$40,2,FALSE),0)+IF(AND(L1035="Cafco 300",J1035&gt;=95,J1035&lt;=450,G1035=4,C1035="IN",I1035=120),VLOOKUP(T1035,'CAFCO 300 IDIEM TABLAS'!$J$4:$L$40,3,FALSE),0)+IF(AND(M1035="Ensayo Idiem",L1035="Cafco 400",C1035="IN",G1035=4,I1035=90),VLOOKUP(T1035,'CAFCO 400 ENSAYO'!$B$7:$D$43,2,FALSE),0)+IF(AND(M1035="Ensayo Idiem",L1035="Cafco 400",C1035="IN",G1035=4,I1035=120),VLOOKUP(T1035,'CAFCO 400 ENSAYO'!$B$7:$D$43,3,FALSE),0)</f>
        <v>0</v>
      </c>
      <c r="O1035" s="96">
        <f t="shared" ref="O1035:O1098" si="108">((IF(L1035="Blaze Shield II",((K1035*N1035*0.43)/38),IF(L1035="Cafco 400",((K1035*N1035*0.43)/23),IF(L1035="Cafco 300",((K1035*N1035*0.43)/31.16),0)))))</f>
        <v>0</v>
      </c>
      <c r="P1035" s="132" t="str">
        <f t="shared" si="103"/>
        <v>N/A</v>
      </c>
      <c r="Q1035" s="132" t="str">
        <f t="shared" si="104"/>
        <v>N/A</v>
      </c>
      <c r="R1035" s="132" t="str">
        <f t="shared" si="105"/>
        <v>NO CERT.</v>
      </c>
      <c r="S1035" s="132" t="e">
        <f t="shared" si="106"/>
        <v>#N/A</v>
      </c>
      <c r="T1035" s="133" t="e">
        <f>+IF(J1035=LOOKUP(J1035,'CAFCO 300 IDIEM TABLAS'!$J$4:$J$40),'CALCULO MORTERO'!J1035,MROUND('CALCULO MORTERO'!J1035,10))</f>
        <v>#N/A</v>
      </c>
      <c r="U1035" s="134">
        <f t="shared" si="107"/>
        <v>0</v>
      </c>
    </row>
    <row r="1036" spans="1:21" x14ac:dyDescent="0.25">
      <c r="A1036" s="118">
        <f>+CUBICACION!D1030</f>
        <v>0</v>
      </c>
      <c r="B1036" s="819">
        <f>+CUBICACION!E1030</f>
        <v>0</v>
      </c>
      <c r="C1036" s="675">
        <f>+CUBICACION!F1030</f>
        <v>0</v>
      </c>
      <c r="D1036" s="118"/>
      <c r="E1036" s="118"/>
      <c r="F1036" s="820"/>
      <c r="G1036" s="675">
        <f>+CUBICACION!J1030</f>
        <v>0</v>
      </c>
      <c r="H1036" s="118"/>
      <c r="I1036" s="821">
        <f>+CUBICACION!L1030</f>
        <v>0</v>
      </c>
      <c r="J1036" s="64">
        <f>+CUBICACION!M1030</f>
        <v>0</v>
      </c>
      <c r="K1036" s="822" t="str">
        <f>+CUBICACION!N1030</f>
        <v/>
      </c>
      <c r="L1036" s="118">
        <f>+CUBICACION!O1030</f>
        <v>0</v>
      </c>
      <c r="M1036" s="823">
        <f>+CUBICACION!P1030</f>
        <v>0</v>
      </c>
      <c r="N1036" s="902">
        <f>ROUND(IF(AND(L1036="Blaze Shield II",M1036="Software Idiem",C1036="IN",G1036=4),((('BLAZE SHIELD II'!$D$4*('CALCULO MORTERO'!I1036^2)+'BLAZE SHIELD II'!$D$5*'CALCULO MORTERO'!I1036+'BLAZE SHIELD II'!$D$6)*LN(J1036))+('BLAZE SHIELD II'!$D$7*('CALCULO MORTERO'!I1036^2)+'BLAZE SHIELD II'!$D$8*'CALCULO MORTERO'!I1036+'BLAZE SHIELD II'!$D$9)),0)+IF(AND(L1036="Blaze Shield II",M1036="Software Idiem",C1036="Cj"),((('BLAZE SHIELD II'!$H$4*('CALCULO MORTERO'!I1036^2)+'BLAZE SHIELD II'!$H$5*'CALCULO MORTERO'!I1036+'BLAZE SHIELD II'!$H$6)*LN(J1036))+('BLAZE SHIELD II'!$H$7*('CALCULO MORTERO'!I1036^2)+'BLAZE SHIELD II'!$H$8*'CALCULO MORTERO'!I1036+'BLAZE SHIELD II'!$H$9)),0)+IF(AND(L1036="Blaze Shield II",M1036="Software Idiem",C1036="C"),((('BLAZE SHIELD II'!$L$4*('CALCULO MORTERO'!I1036^2)+'BLAZE SHIELD II'!$L$5*'CALCULO MORTERO'!I1036+'BLAZE SHIELD II'!$L$6)*LN(J1036))+('BLAZE SHIELD II'!$L$7*('CALCULO MORTERO'!I1036^2)+'BLAZE SHIELD II'!$L$8*'CALCULO MORTERO'!I1036+'BLAZE SHIELD II'!$L$9)),0)+IF(AND(L1036="Blaze Shield II",M1036="Software Idiem",C1036="L"),((('BLAZE SHIELD II'!$L$4*('CALCULO MORTERO'!I1036^2)+'BLAZE SHIELD II'!$L$5*'CALCULO MORTERO'!I1036+'BLAZE SHIELD II'!$L$6)*LN(J1036))+('BLAZE SHIELD II'!$L$7*('CALCULO MORTERO'!I1036^2)+'BLAZE SHIELD II'!$L$8*'CALCULO MORTERO'!I1036+'BLAZE SHIELD II'!$L$9)),0)+IF(AND(L1036="Blaze Shield II",M1036="Software Idiem",C1036="IN",G1036=3),((('BLAZE SHIELD II'!$H$14*('CALCULO MORTERO'!I1036^2)+'BLAZE SHIELD II'!$H$15*'CALCULO MORTERO'!I1036+'BLAZE SHIELD II'!$H$16)*LN(J1036))+('BLAZE SHIELD II'!$H$17*('CALCULO MORTERO'!I1036^2)+'BLAZE SHIELD II'!$H$18*'CALCULO MORTERO'!I1036+'BLAZE SHIELD II'!$H$19)),0),0)+ROUND(IF(AND(L1036="Cafco 400",M1036="Software Idiem",C1036="IN",G1036=4),((('CAFCO 400 '!$H$7*(J1036^4)+'CAFCO 400 '!$H$8*(J1036^3)+'CAFCO 400 '!$H$9*(J1036^2)+'CAFCO 400 '!$H$10*J1036+'CAFCO 400 '!$H$11)*U1036^2)+(('CAFCO 400 '!$H$12*(J1036^3)+'CAFCO 400 '!$H$13*(J1036^2)+'CAFCO 400 '!$H$14*J1036+'CAFCO 400 '!$H$15)*U1036)+('CAFCO 400 '!$H$16*(J1036^2)+'CAFCO 400 '!$H$17*J1036+'CAFCO 400 '!$H$18)),0)+IF(AND(L1036="Cafco 400",M1036="Software Idiem",C1036="Cj"),(((('CAFCO 400 '!$D$7*LN(J1036)+'CAFCO 400 '!$D$8)*U1036^2)+(('CAFCO 400 '!$D$9*LN(J1036)+'CAFCO 400 '!$D$10)*U1036)+('CAFCO 400 '!$D$11*LN(J1036)+'CAFCO 400 '!$D$12))),0)+IF(AND(L1036="Cafco 400",M1036="Software Idiem",C1036="C"),((('CAFCO 400 '!$L$7*(J1036^3)+'CAFCO 400 '!$L$8*(J1036^2)+'CAFCO 400 '!$L$9*J1036+'CAFCO 400 '!$L$10)*U1036^2)+(('CAFCO 400 '!$L$11*(J1036^3)+'CAFCO 400 '!$L$12*(J1036^2)+'CAFCO 400 '!$L$13*J1036+'CAFCO 400 '!$L$14)*U1036)+('CAFCO 400 '!$L$15*LN(J1036)+'CAFCO 400 '!$L$16)),0)+IF(AND(L1036="Cafco 400",M1036="Software Idiem",C1036="L"),((('CAFCO 400 '!$L$7*(J1036^3)+'CAFCO 400 '!$L$8*(J1036^2)+'CAFCO 400 '!$L$9*J1036+'CAFCO 400 '!$L$10)*U1036^2)+(('CAFCO 400 '!$L$11*(J1036^3)+'CAFCO 400 '!$L$12*(J1036^2)+'CAFCO 400 '!$L$13*J1036+'CAFCO 400 '!$L$14)*U1036)+('CAFCO 400 '!$L$15*LN(J1036)+'CAFCO 400 '!$L$16)),0)+IF(AND(L1036="Cafco 400",M1036="Software Idiem",C1036="IN",G1036=3),((('CAFCO 400 '!$D$23*(J1036^2)+'CAFCO 400 '!$D$24*(J1036)+'CAFCO 400 '!$D$25)*U1036^2)+(('CAFCO 400 '!$D$26*(J1036^2)+'CAFCO 400 '!$D$27*J1036+'CAFCO 400 '!$D$28)*U1036)+('CAFCO 400 '!$D$29*(J1036^2)+'CAFCO 400 '!$D$30*J1036+'CAFCO 400 '!$D$31)),0),0)+IF(AND(L1036="Cafco 300",J1036&gt;=95,J1036&lt;=240,C1036="Cj",I1036=90),VLOOKUP(T1036,'CAFCO 300 IDIEM TABLAS'!$B$4:$D$23,2,FALSE),0)+IF(AND(L1036="Cafco 300",J1036&gt;=95,J1036&lt;=240,C1036="Cj",I1036=120),VLOOKUP(T1036,'CAFCO 300 IDIEM TABLAS'!$B$4:$D$23,3,FALSE),0)+IF(AND(L1036="Cafco 300",J1036&gt;=95,J1036&lt;=400,G1036=3,C1036="IN",I1036=90),VLOOKUP(T1036,'CAFCO 300 IDIEM TABLAS'!$F$4:$H$35,2,FALSE),0)+IF(AND(L1036="Cafco 300",J1036&gt;=95,J1036&lt;=400,G1036=3,C1036="IN",I1036=120),VLOOKUP(T1036,'CAFCO 300 IDIEM TABLAS'!$F$4:$H$35,3,FALSE),0)+IF(AND(L1036="Cafco 300",J1036&gt;=95,J1036&lt;=450,G1036=4,C1036="IN",I1036=90),VLOOKUP(T1036,'CAFCO 300 IDIEM TABLAS'!$J$4:$L$40,2,FALSE),0)+IF(AND(L1036="Cafco 300",J1036&gt;=95,J1036&lt;=450,G1036=4,C1036="IN",I1036=120),VLOOKUP(T1036,'CAFCO 300 IDIEM TABLAS'!$J$4:$L$40,3,FALSE),0)+IF(AND(M1036="Ensayo Idiem",L1036="Cafco 400",C1036="IN",G1036=4,I1036=90),VLOOKUP(T1036,'CAFCO 400 ENSAYO'!$B$7:$D$43,2,FALSE),0)+IF(AND(M1036="Ensayo Idiem",L1036="Cafco 400",C1036="IN",G1036=4,I1036=120),VLOOKUP(T1036,'CAFCO 400 ENSAYO'!$B$7:$D$43,3,FALSE),0)</f>
        <v>0</v>
      </c>
      <c r="O1036" s="96">
        <f t="shared" si="108"/>
        <v>0</v>
      </c>
      <c r="P1036" s="95" t="str">
        <f t="shared" si="103"/>
        <v>N/A</v>
      </c>
      <c r="Q1036" s="95" t="str">
        <f t="shared" si="104"/>
        <v>N/A</v>
      </c>
      <c r="R1036" s="95" t="str">
        <f t="shared" si="105"/>
        <v>NO CERT.</v>
      </c>
      <c r="S1036" s="95" t="e">
        <f t="shared" si="106"/>
        <v>#N/A</v>
      </c>
      <c r="T1036" s="119" t="e">
        <f>+IF(J1036=LOOKUP(J1036,'CAFCO 300 IDIEM TABLAS'!$J$4:$J$40),'CALCULO MORTERO'!J1036,MROUND('CALCULO MORTERO'!J1036,10))</f>
        <v>#N/A</v>
      </c>
      <c r="U1036" s="118">
        <f t="shared" si="107"/>
        <v>0</v>
      </c>
    </row>
    <row r="1037" spans="1:21" x14ac:dyDescent="0.25">
      <c r="A1037" s="118">
        <f>+CUBICACION!D1031</f>
        <v>0</v>
      </c>
      <c r="B1037" s="819">
        <f>+CUBICACION!E1031</f>
        <v>0</v>
      </c>
      <c r="C1037" s="675">
        <f>+CUBICACION!F1031</f>
        <v>0</v>
      </c>
      <c r="D1037" s="118"/>
      <c r="E1037" s="118"/>
      <c r="F1037" s="820"/>
      <c r="G1037" s="675">
        <f>+CUBICACION!J1031</f>
        <v>0</v>
      </c>
      <c r="H1037" s="118"/>
      <c r="I1037" s="821">
        <f>+CUBICACION!L1031</f>
        <v>0</v>
      </c>
      <c r="J1037" s="64">
        <f>+CUBICACION!M1031</f>
        <v>0</v>
      </c>
      <c r="K1037" s="822" t="str">
        <f>+CUBICACION!N1031</f>
        <v/>
      </c>
      <c r="L1037" s="118">
        <f>+CUBICACION!O1031</f>
        <v>0</v>
      </c>
      <c r="M1037" s="823">
        <f>+CUBICACION!P1031</f>
        <v>0</v>
      </c>
      <c r="N1037" s="902">
        <f>ROUND(IF(AND(L1037="Blaze Shield II",M1037="Software Idiem",C1037="IN",G1037=4),((('BLAZE SHIELD II'!$D$4*('CALCULO MORTERO'!I1037^2)+'BLAZE SHIELD II'!$D$5*'CALCULO MORTERO'!I1037+'BLAZE SHIELD II'!$D$6)*LN(J1037))+('BLAZE SHIELD II'!$D$7*('CALCULO MORTERO'!I1037^2)+'BLAZE SHIELD II'!$D$8*'CALCULO MORTERO'!I1037+'BLAZE SHIELD II'!$D$9)),0)+IF(AND(L1037="Blaze Shield II",M1037="Software Idiem",C1037="Cj"),((('BLAZE SHIELD II'!$H$4*('CALCULO MORTERO'!I1037^2)+'BLAZE SHIELD II'!$H$5*'CALCULO MORTERO'!I1037+'BLAZE SHIELD II'!$H$6)*LN(J1037))+('BLAZE SHIELD II'!$H$7*('CALCULO MORTERO'!I1037^2)+'BLAZE SHIELD II'!$H$8*'CALCULO MORTERO'!I1037+'BLAZE SHIELD II'!$H$9)),0)+IF(AND(L1037="Blaze Shield II",M1037="Software Idiem",C1037="C"),((('BLAZE SHIELD II'!$L$4*('CALCULO MORTERO'!I1037^2)+'BLAZE SHIELD II'!$L$5*'CALCULO MORTERO'!I1037+'BLAZE SHIELD II'!$L$6)*LN(J1037))+('BLAZE SHIELD II'!$L$7*('CALCULO MORTERO'!I1037^2)+'BLAZE SHIELD II'!$L$8*'CALCULO MORTERO'!I1037+'BLAZE SHIELD II'!$L$9)),0)+IF(AND(L1037="Blaze Shield II",M1037="Software Idiem",C1037="L"),((('BLAZE SHIELD II'!$L$4*('CALCULO MORTERO'!I1037^2)+'BLAZE SHIELD II'!$L$5*'CALCULO MORTERO'!I1037+'BLAZE SHIELD II'!$L$6)*LN(J1037))+('BLAZE SHIELD II'!$L$7*('CALCULO MORTERO'!I1037^2)+'BLAZE SHIELD II'!$L$8*'CALCULO MORTERO'!I1037+'BLAZE SHIELD II'!$L$9)),0)+IF(AND(L1037="Blaze Shield II",M1037="Software Idiem",C1037="IN",G1037=3),((('BLAZE SHIELD II'!$H$14*('CALCULO MORTERO'!I1037^2)+'BLAZE SHIELD II'!$H$15*'CALCULO MORTERO'!I1037+'BLAZE SHIELD II'!$H$16)*LN(J1037))+('BLAZE SHIELD II'!$H$17*('CALCULO MORTERO'!I1037^2)+'BLAZE SHIELD II'!$H$18*'CALCULO MORTERO'!I1037+'BLAZE SHIELD II'!$H$19)),0),0)+ROUND(IF(AND(L1037="Cafco 400",M1037="Software Idiem",C1037="IN",G1037=4),((('CAFCO 400 '!$H$7*(J1037^4)+'CAFCO 400 '!$H$8*(J1037^3)+'CAFCO 400 '!$H$9*(J1037^2)+'CAFCO 400 '!$H$10*J1037+'CAFCO 400 '!$H$11)*U1037^2)+(('CAFCO 400 '!$H$12*(J1037^3)+'CAFCO 400 '!$H$13*(J1037^2)+'CAFCO 400 '!$H$14*J1037+'CAFCO 400 '!$H$15)*U1037)+('CAFCO 400 '!$H$16*(J1037^2)+'CAFCO 400 '!$H$17*J1037+'CAFCO 400 '!$H$18)),0)+IF(AND(L1037="Cafco 400",M1037="Software Idiem",C1037="Cj"),(((('CAFCO 400 '!$D$7*LN(J1037)+'CAFCO 400 '!$D$8)*U1037^2)+(('CAFCO 400 '!$D$9*LN(J1037)+'CAFCO 400 '!$D$10)*U1037)+('CAFCO 400 '!$D$11*LN(J1037)+'CAFCO 400 '!$D$12))),0)+IF(AND(L1037="Cafco 400",M1037="Software Idiem",C1037="C"),((('CAFCO 400 '!$L$7*(J1037^3)+'CAFCO 400 '!$L$8*(J1037^2)+'CAFCO 400 '!$L$9*J1037+'CAFCO 400 '!$L$10)*U1037^2)+(('CAFCO 400 '!$L$11*(J1037^3)+'CAFCO 400 '!$L$12*(J1037^2)+'CAFCO 400 '!$L$13*J1037+'CAFCO 400 '!$L$14)*U1037)+('CAFCO 400 '!$L$15*LN(J1037)+'CAFCO 400 '!$L$16)),0)+IF(AND(L1037="Cafco 400",M1037="Software Idiem",C1037="L"),((('CAFCO 400 '!$L$7*(J1037^3)+'CAFCO 400 '!$L$8*(J1037^2)+'CAFCO 400 '!$L$9*J1037+'CAFCO 400 '!$L$10)*U1037^2)+(('CAFCO 400 '!$L$11*(J1037^3)+'CAFCO 400 '!$L$12*(J1037^2)+'CAFCO 400 '!$L$13*J1037+'CAFCO 400 '!$L$14)*U1037)+('CAFCO 400 '!$L$15*LN(J1037)+'CAFCO 400 '!$L$16)),0)+IF(AND(L1037="Cafco 400",M1037="Software Idiem",C1037="IN",G1037=3),((('CAFCO 400 '!$D$23*(J1037^2)+'CAFCO 400 '!$D$24*(J1037)+'CAFCO 400 '!$D$25)*U1037^2)+(('CAFCO 400 '!$D$26*(J1037^2)+'CAFCO 400 '!$D$27*J1037+'CAFCO 400 '!$D$28)*U1037)+('CAFCO 400 '!$D$29*(J1037^2)+'CAFCO 400 '!$D$30*J1037+'CAFCO 400 '!$D$31)),0),0)+IF(AND(L1037="Cafco 300",J1037&gt;=95,J1037&lt;=240,C1037="Cj",I1037=90),VLOOKUP(T1037,'CAFCO 300 IDIEM TABLAS'!$B$4:$D$23,2,FALSE),0)+IF(AND(L1037="Cafco 300",J1037&gt;=95,J1037&lt;=240,C1037="Cj",I1037=120),VLOOKUP(T1037,'CAFCO 300 IDIEM TABLAS'!$B$4:$D$23,3,FALSE),0)+IF(AND(L1037="Cafco 300",J1037&gt;=95,J1037&lt;=400,G1037=3,C1037="IN",I1037=90),VLOOKUP(T1037,'CAFCO 300 IDIEM TABLAS'!$F$4:$H$35,2,FALSE),0)+IF(AND(L1037="Cafco 300",J1037&gt;=95,J1037&lt;=400,G1037=3,C1037="IN",I1037=120),VLOOKUP(T1037,'CAFCO 300 IDIEM TABLAS'!$F$4:$H$35,3,FALSE),0)+IF(AND(L1037="Cafco 300",J1037&gt;=95,J1037&lt;=450,G1037=4,C1037="IN",I1037=90),VLOOKUP(T1037,'CAFCO 300 IDIEM TABLAS'!$J$4:$L$40,2,FALSE),0)+IF(AND(L1037="Cafco 300",J1037&gt;=95,J1037&lt;=450,G1037=4,C1037="IN",I1037=120),VLOOKUP(T1037,'CAFCO 300 IDIEM TABLAS'!$J$4:$L$40,3,FALSE),0)+IF(AND(M1037="Ensayo Idiem",L1037="Cafco 400",C1037="IN",G1037=4,I1037=90),VLOOKUP(T1037,'CAFCO 400 ENSAYO'!$B$7:$D$43,2,FALSE),0)+IF(AND(M1037="Ensayo Idiem",L1037="Cafco 400",C1037="IN",G1037=4,I1037=120),VLOOKUP(T1037,'CAFCO 400 ENSAYO'!$B$7:$D$43,3,FALSE),0)</f>
        <v>0</v>
      </c>
      <c r="O1037" s="96">
        <f t="shared" si="108"/>
        <v>0</v>
      </c>
      <c r="P1037" s="132" t="str">
        <f t="shared" si="103"/>
        <v>N/A</v>
      </c>
      <c r="Q1037" s="132" t="str">
        <f t="shared" si="104"/>
        <v>N/A</v>
      </c>
      <c r="R1037" s="132" t="str">
        <f t="shared" si="105"/>
        <v>NO CERT.</v>
      </c>
      <c r="S1037" s="132" t="e">
        <f t="shared" si="106"/>
        <v>#N/A</v>
      </c>
      <c r="T1037" s="133" t="e">
        <f>+IF(J1037=LOOKUP(J1037,'CAFCO 300 IDIEM TABLAS'!$J$4:$J$40),'CALCULO MORTERO'!J1037,MROUND('CALCULO MORTERO'!J1037,10))</f>
        <v>#N/A</v>
      </c>
      <c r="U1037" s="134">
        <f t="shared" si="107"/>
        <v>0</v>
      </c>
    </row>
    <row r="1038" spans="1:21" x14ac:dyDescent="0.25">
      <c r="A1038" s="118">
        <f>+CUBICACION!D1032</f>
        <v>0</v>
      </c>
      <c r="B1038" s="819">
        <f>+CUBICACION!E1032</f>
        <v>0</v>
      </c>
      <c r="C1038" s="675">
        <f>+CUBICACION!F1032</f>
        <v>0</v>
      </c>
      <c r="D1038" s="118"/>
      <c r="E1038" s="118"/>
      <c r="F1038" s="820"/>
      <c r="G1038" s="675">
        <f>+CUBICACION!J1032</f>
        <v>0</v>
      </c>
      <c r="H1038" s="118"/>
      <c r="I1038" s="821">
        <f>+CUBICACION!L1032</f>
        <v>0</v>
      </c>
      <c r="J1038" s="64">
        <f>+CUBICACION!M1032</f>
        <v>0</v>
      </c>
      <c r="K1038" s="822" t="str">
        <f>+CUBICACION!N1032</f>
        <v/>
      </c>
      <c r="L1038" s="118">
        <f>+CUBICACION!O1032</f>
        <v>0</v>
      </c>
      <c r="M1038" s="823">
        <f>+CUBICACION!P1032</f>
        <v>0</v>
      </c>
      <c r="N1038" s="902">
        <f>ROUND(IF(AND(L1038="Blaze Shield II",M1038="Software Idiem",C1038="IN",G1038=4),((('BLAZE SHIELD II'!$D$4*('CALCULO MORTERO'!I1038^2)+'BLAZE SHIELD II'!$D$5*'CALCULO MORTERO'!I1038+'BLAZE SHIELD II'!$D$6)*LN(J1038))+('BLAZE SHIELD II'!$D$7*('CALCULO MORTERO'!I1038^2)+'BLAZE SHIELD II'!$D$8*'CALCULO MORTERO'!I1038+'BLAZE SHIELD II'!$D$9)),0)+IF(AND(L1038="Blaze Shield II",M1038="Software Idiem",C1038="Cj"),((('BLAZE SHIELD II'!$H$4*('CALCULO MORTERO'!I1038^2)+'BLAZE SHIELD II'!$H$5*'CALCULO MORTERO'!I1038+'BLAZE SHIELD II'!$H$6)*LN(J1038))+('BLAZE SHIELD II'!$H$7*('CALCULO MORTERO'!I1038^2)+'BLAZE SHIELD II'!$H$8*'CALCULO MORTERO'!I1038+'BLAZE SHIELD II'!$H$9)),0)+IF(AND(L1038="Blaze Shield II",M1038="Software Idiem",C1038="C"),((('BLAZE SHIELD II'!$L$4*('CALCULO MORTERO'!I1038^2)+'BLAZE SHIELD II'!$L$5*'CALCULO MORTERO'!I1038+'BLAZE SHIELD II'!$L$6)*LN(J1038))+('BLAZE SHIELD II'!$L$7*('CALCULO MORTERO'!I1038^2)+'BLAZE SHIELD II'!$L$8*'CALCULO MORTERO'!I1038+'BLAZE SHIELD II'!$L$9)),0)+IF(AND(L1038="Blaze Shield II",M1038="Software Idiem",C1038="L"),((('BLAZE SHIELD II'!$L$4*('CALCULO MORTERO'!I1038^2)+'BLAZE SHIELD II'!$L$5*'CALCULO MORTERO'!I1038+'BLAZE SHIELD II'!$L$6)*LN(J1038))+('BLAZE SHIELD II'!$L$7*('CALCULO MORTERO'!I1038^2)+'BLAZE SHIELD II'!$L$8*'CALCULO MORTERO'!I1038+'BLAZE SHIELD II'!$L$9)),0)+IF(AND(L1038="Blaze Shield II",M1038="Software Idiem",C1038="IN",G1038=3),((('BLAZE SHIELD II'!$H$14*('CALCULO MORTERO'!I1038^2)+'BLAZE SHIELD II'!$H$15*'CALCULO MORTERO'!I1038+'BLAZE SHIELD II'!$H$16)*LN(J1038))+('BLAZE SHIELD II'!$H$17*('CALCULO MORTERO'!I1038^2)+'BLAZE SHIELD II'!$H$18*'CALCULO MORTERO'!I1038+'BLAZE SHIELD II'!$H$19)),0),0)+ROUND(IF(AND(L1038="Cafco 400",M1038="Software Idiem",C1038="IN",G1038=4),((('CAFCO 400 '!$H$7*(J1038^4)+'CAFCO 400 '!$H$8*(J1038^3)+'CAFCO 400 '!$H$9*(J1038^2)+'CAFCO 400 '!$H$10*J1038+'CAFCO 400 '!$H$11)*U1038^2)+(('CAFCO 400 '!$H$12*(J1038^3)+'CAFCO 400 '!$H$13*(J1038^2)+'CAFCO 400 '!$H$14*J1038+'CAFCO 400 '!$H$15)*U1038)+('CAFCO 400 '!$H$16*(J1038^2)+'CAFCO 400 '!$H$17*J1038+'CAFCO 400 '!$H$18)),0)+IF(AND(L1038="Cafco 400",M1038="Software Idiem",C1038="Cj"),(((('CAFCO 400 '!$D$7*LN(J1038)+'CAFCO 400 '!$D$8)*U1038^2)+(('CAFCO 400 '!$D$9*LN(J1038)+'CAFCO 400 '!$D$10)*U1038)+('CAFCO 400 '!$D$11*LN(J1038)+'CAFCO 400 '!$D$12))),0)+IF(AND(L1038="Cafco 400",M1038="Software Idiem",C1038="C"),((('CAFCO 400 '!$L$7*(J1038^3)+'CAFCO 400 '!$L$8*(J1038^2)+'CAFCO 400 '!$L$9*J1038+'CAFCO 400 '!$L$10)*U1038^2)+(('CAFCO 400 '!$L$11*(J1038^3)+'CAFCO 400 '!$L$12*(J1038^2)+'CAFCO 400 '!$L$13*J1038+'CAFCO 400 '!$L$14)*U1038)+('CAFCO 400 '!$L$15*LN(J1038)+'CAFCO 400 '!$L$16)),0)+IF(AND(L1038="Cafco 400",M1038="Software Idiem",C1038="L"),((('CAFCO 400 '!$L$7*(J1038^3)+'CAFCO 400 '!$L$8*(J1038^2)+'CAFCO 400 '!$L$9*J1038+'CAFCO 400 '!$L$10)*U1038^2)+(('CAFCO 400 '!$L$11*(J1038^3)+'CAFCO 400 '!$L$12*(J1038^2)+'CAFCO 400 '!$L$13*J1038+'CAFCO 400 '!$L$14)*U1038)+('CAFCO 400 '!$L$15*LN(J1038)+'CAFCO 400 '!$L$16)),0)+IF(AND(L1038="Cafco 400",M1038="Software Idiem",C1038="IN",G1038=3),((('CAFCO 400 '!$D$23*(J1038^2)+'CAFCO 400 '!$D$24*(J1038)+'CAFCO 400 '!$D$25)*U1038^2)+(('CAFCO 400 '!$D$26*(J1038^2)+'CAFCO 400 '!$D$27*J1038+'CAFCO 400 '!$D$28)*U1038)+('CAFCO 400 '!$D$29*(J1038^2)+'CAFCO 400 '!$D$30*J1038+'CAFCO 400 '!$D$31)),0),0)+IF(AND(L1038="Cafco 300",J1038&gt;=95,J1038&lt;=240,C1038="Cj",I1038=90),VLOOKUP(T1038,'CAFCO 300 IDIEM TABLAS'!$B$4:$D$23,2,FALSE),0)+IF(AND(L1038="Cafco 300",J1038&gt;=95,J1038&lt;=240,C1038="Cj",I1038=120),VLOOKUP(T1038,'CAFCO 300 IDIEM TABLAS'!$B$4:$D$23,3,FALSE),0)+IF(AND(L1038="Cafco 300",J1038&gt;=95,J1038&lt;=400,G1038=3,C1038="IN",I1038=90),VLOOKUP(T1038,'CAFCO 300 IDIEM TABLAS'!$F$4:$H$35,2,FALSE),0)+IF(AND(L1038="Cafco 300",J1038&gt;=95,J1038&lt;=400,G1038=3,C1038="IN",I1038=120),VLOOKUP(T1038,'CAFCO 300 IDIEM TABLAS'!$F$4:$H$35,3,FALSE),0)+IF(AND(L1038="Cafco 300",J1038&gt;=95,J1038&lt;=450,G1038=4,C1038="IN",I1038=90),VLOOKUP(T1038,'CAFCO 300 IDIEM TABLAS'!$J$4:$L$40,2,FALSE),0)+IF(AND(L1038="Cafco 300",J1038&gt;=95,J1038&lt;=450,G1038=4,C1038="IN",I1038=120),VLOOKUP(T1038,'CAFCO 300 IDIEM TABLAS'!$J$4:$L$40,3,FALSE),0)+IF(AND(M1038="Ensayo Idiem",L1038="Cafco 400",C1038="IN",G1038=4,I1038=90),VLOOKUP(T1038,'CAFCO 400 ENSAYO'!$B$7:$D$43,2,FALSE),0)+IF(AND(M1038="Ensayo Idiem",L1038="Cafco 400",C1038="IN",G1038=4,I1038=120),VLOOKUP(T1038,'CAFCO 400 ENSAYO'!$B$7:$D$43,3,FALSE),0)</f>
        <v>0</v>
      </c>
      <c r="O1038" s="96">
        <f t="shared" si="108"/>
        <v>0</v>
      </c>
      <c r="P1038" s="95" t="str">
        <f t="shared" si="103"/>
        <v>N/A</v>
      </c>
      <c r="Q1038" s="95" t="str">
        <f t="shared" si="104"/>
        <v>N/A</v>
      </c>
      <c r="R1038" s="95" t="str">
        <f t="shared" si="105"/>
        <v>NO CERT.</v>
      </c>
      <c r="S1038" s="95" t="e">
        <f t="shared" si="106"/>
        <v>#N/A</v>
      </c>
      <c r="T1038" s="119" t="e">
        <f>+IF(J1038=LOOKUP(J1038,'CAFCO 300 IDIEM TABLAS'!$J$4:$J$40),'CALCULO MORTERO'!J1038,MROUND('CALCULO MORTERO'!J1038,10))</f>
        <v>#N/A</v>
      </c>
      <c r="U1038" s="118">
        <f t="shared" si="107"/>
        <v>0</v>
      </c>
    </row>
    <row r="1039" spans="1:21" x14ac:dyDescent="0.25">
      <c r="A1039" s="118">
        <f>+CUBICACION!D1033</f>
        <v>0</v>
      </c>
      <c r="B1039" s="819">
        <f>+CUBICACION!E1033</f>
        <v>0</v>
      </c>
      <c r="C1039" s="675">
        <f>+CUBICACION!F1033</f>
        <v>0</v>
      </c>
      <c r="D1039" s="118"/>
      <c r="E1039" s="118"/>
      <c r="F1039" s="820"/>
      <c r="G1039" s="675">
        <f>+CUBICACION!J1033</f>
        <v>0</v>
      </c>
      <c r="H1039" s="118"/>
      <c r="I1039" s="821">
        <f>+CUBICACION!L1033</f>
        <v>0</v>
      </c>
      <c r="J1039" s="64">
        <f>+CUBICACION!M1033</f>
        <v>0</v>
      </c>
      <c r="K1039" s="822" t="str">
        <f>+CUBICACION!N1033</f>
        <v/>
      </c>
      <c r="L1039" s="118">
        <f>+CUBICACION!O1033</f>
        <v>0</v>
      </c>
      <c r="M1039" s="823">
        <f>+CUBICACION!P1033</f>
        <v>0</v>
      </c>
      <c r="N1039" s="902">
        <f>ROUND(IF(AND(L1039="Blaze Shield II",M1039="Software Idiem",C1039="IN",G1039=4),((('BLAZE SHIELD II'!$D$4*('CALCULO MORTERO'!I1039^2)+'BLAZE SHIELD II'!$D$5*'CALCULO MORTERO'!I1039+'BLAZE SHIELD II'!$D$6)*LN(J1039))+('BLAZE SHIELD II'!$D$7*('CALCULO MORTERO'!I1039^2)+'BLAZE SHIELD II'!$D$8*'CALCULO MORTERO'!I1039+'BLAZE SHIELD II'!$D$9)),0)+IF(AND(L1039="Blaze Shield II",M1039="Software Idiem",C1039="Cj"),((('BLAZE SHIELD II'!$H$4*('CALCULO MORTERO'!I1039^2)+'BLAZE SHIELD II'!$H$5*'CALCULO MORTERO'!I1039+'BLAZE SHIELD II'!$H$6)*LN(J1039))+('BLAZE SHIELD II'!$H$7*('CALCULO MORTERO'!I1039^2)+'BLAZE SHIELD II'!$H$8*'CALCULO MORTERO'!I1039+'BLAZE SHIELD II'!$H$9)),0)+IF(AND(L1039="Blaze Shield II",M1039="Software Idiem",C1039="C"),((('BLAZE SHIELD II'!$L$4*('CALCULO MORTERO'!I1039^2)+'BLAZE SHIELD II'!$L$5*'CALCULO MORTERO'!I1039+'BLAZE SHIELD II'!$L$6)*LN(J1039))+('BLAZE SHIELD II'!$L$7*('CALCULO MORTERO'!I1039^2)+'BLAZE SHIELD II'!$L$8*'CALCULO MORTERO'!I1039+'BLAZE SHIELD II'!$L$9)),0)+IF(AND(L1039="Blaze Shield II",M1039="Software Idiem",C1039="L"),((('BLAZE SHIELD II'!$L$4*('CALCULO MORTERO'!I1039^2)+'BLAZE SHIELD II'!$L$5*'CALCULO MORTERO'!I1039+'BLAZE SHIELD II'!$L$6)*LN(J1039))+('BLAZE SHIELD II'!$L$7*('CALCULO MORTERO'!I1039^2)+'BLAZE SHIELD II'!$L$8*'CALCULO MORTERO'!I1039+'BLAZE SHIELD II'!$L$9)),0)+IF(AND(L1039="Blaze Shield II",M1039="Software Idiem",C1039="IN",G1039=3),((('BLAZE SHIELD II'!$H$14*('CALCULO MORTERO'!I1039^2)+'BLAZE SHIELD II'!$H$15*'CALCULO MORTERO'!I1039+'BLAZE SHIELD II'!$H$16)*LN(J1039))+('BLAZE SHIELD II'!$H$17*('CALCULO MORTERO'!I1039^2)+'BLAZE SHIELD II'!$H$18*'CALCULO MORTERO'!I1039+'BLAZE SHIELD II'!$H$19)),0),0)+ROUND(IF(AND(L1039="Cafco 400",M1039="Software Idiem",C1039="IN",G1039=4),((('CAFCO 400 '!$H$7*(J1039^4)+'CAFCO 400 '!$H$8*(J1039^3)+'CAFCO 400 '!$H$9*(J1039^2)+'CAFCO 400 '!$H$10*J1039+'CAFCO 400 '!$H$11)*U1039^2)+(('CAFCO 400 '!$H$12*(J1039^3)+'CAFCO 400 '!$H$13*(J1039^2)+'CAFCO 400 '!$H$14*J1039+'CAFCO 400 '!$H$15)*U1039)+('CAFCO 400 '!$H$16*(J1039^2)+'CAFCO 400 '!$H$17*J1039+'CAFCO 400 '!$H$18)),0)+IF(AND(L1039="Cafco 400",M1039="Software Idiem",C1039="Cj"),(((('CAFCO 400 '!$D$7*LN(J1039)+'CAFCO 400 '!$D$8)*U1039^2)+(('CAFCO 400 '!$D$9*LN(J1039)+'CAFCO 400 '!$D$10)*U1039)+('CAFCO 400 '!$D$11*LN(J1039)+'CAFCO 400 '!$D$12))),0)+IF(AND(L1039="Cafco 400",M1039="Software Idiem",C1039="C"),((('CAFCO 400 '!$L$7*(J1039^3)+'CAFCO 400 '!$L$8*(J1039^2)+'CAFCO 400 '!$L$9*J1039+'CAFCO 400 '!$L$10)*U1039^2)+(('CAFCO 400 '!$L$11*(J1039^3)+'CAFCO 400 '!$L$12*(J1039^2)+'CAFCO 400 '!$L$13*J1039+'CAFCO 400 '!$L$14)*U1039)+('CAFCO 400 '!$L$15*LN(J1039)+'CAFCO 400 '!$L$16)),0)+IF(AND(L1039="Cafco 400",M1039="Software Idiem",C1039="L"),((('CAFCO 400 '!$L$7*(J1039^3)+'CAFCO 400 '!$L$8*(J1039^2)+'CAFCO 400 '!$L$9*J1039+'CAFCO 400 '!$L$10)*U1039^2)+(('CAFCO 400 '!$L$11*(J1039^3)+'CAFCO 400 '!$L$12*(J1039^2)+'CAFCO 400 '!$L$13*J1039+'CAFCO 400 '!$L$14)*U1039)+('CAFCO 400 '!$L$15*LN(J1039)+'CAFCO 400 '!$L$16)),0)+IF(AND(L1039="Cafco 400",M1039="Software Idiem",C1039="IN",G1039=3),((('CAFCO 400 '!$D$23*(J1039^2)+'CAFCO 400 '!$D$24*(J1039)+'CAFCO 400 '!$D$25)*U1039^2)+(('CAFCO 400 '!$D$26*(J1039^2)+'CAFCO 400 '!$D$27*J1039+'CAFCO 400 '!$D$28)*U1039)+('CAFCO 400 '!$D$29*(J1039^2)+'CAFCO 400 '!$D$30*J1039+'CAFCO 400 '!$D$31)),0),0)+IF(AND(L1039="Cafco 300",J1039&gt;=95,J1039&lt;=240,C1039="Cj",I1039=90),VLOOKUP(T1039,'CAFCO 300 IDIEM TABLAS'!$B$4:$D$23,2,FALSE),0)+IF(AND(L1039="Cafco 300",J1039&gt;=95,J1039&lt;=240,C1039="Cj",I1039=120),VLOOKUP(T1039,'CAFCO 300 IDIEM TABLAS'!$B$4:$D$23,3,FALSE),0)+IF(AND(L1039="Cafco 300",J1039&gt;=95,J1039&lt;=400,G1039=3,C1039="IN",I1039=90),VLOOKUP(T1039,'CAFCO 300 IDIEM TABLAS'!$F$4:$H$35,2,FALSE),0)+IF(AND(L1039="Cafco 300",J1039&gt;=95,J1039&lt;=400,G1039=3,C1039="IN",I1039=120),VLOOKUP(T1039,'CAFCO 300 IDIEM TABLAS'!$F$4:$H$35,3,FALSE),0)+IF(AND(L1039="Cafco 300",J1039&gt;=95,J1039&lt;=450,G1039=4,C1039="IN",I1039=90),VLOOKUP(T1039,'CAFCO 300 IDIEM TABLAS'!$J$4:$L$40,2,FALSE),0)+IF(AND(L1039="Cafco 300",J1039&gt;=95,J1039&lt;=450,G1039=4,C1039="IN",I1039=120),VLOOKUP(T1039,'CAFCO 300 IDIEM TABLAS'!$J$4:$L$40,3,FALSE),0)+IF(AND(M1039="Ensayo Idiem",L1039="Cafco 400",C1039="IN",G1039=4,I1039=90),VLOOKUP(T1039,'CAFCO 400 ENSAYO'!$B$7:$D$43,2,FALSE),0)+IF(AND(M1039="Ensayo Idiem",L1039="Cafco 400",C1039="IN",G1039=4,I1039=120),VLOOKUP(T1039,'CAFCO 400 ENSAYO'!$B$7:$D$43,3,FALSE),0)</f>
        <v>0</v>
      </c>
      <c r="O1039" s="96">
        <f t="shared" si="108"/>
        <v>0</v>
      </c>
      <c r="P1039" s="132" t="str">
        <f t="shared" si="103"/>
        <v>N/A</v>
      </c>
      <c r="Q1039" s="132" t="str">
        <f t="shared" si="104"/>
        <v>N/A</v>
      </c>
      <c r="R1039" s="132" t="str">
        <f t="shared" si="105"/>
        <v>NO CERT.</v>
      </c>
      <c r="S1039" s="132" t="e">
        <f t="shared" si="106"/>
        <v>#N/A</v>
      </c>
      <c r="T1039" s="133" t="e">
        <f>+IF(J1039=LOOKUP(J1039,'CAFCO 300 IDIEM TABLAS'!$J$4:$J$40),'CALCULO MORTERO'!J1039,MROUND('CALCULO MORTERO'!J1039,10))</f>
        <v>#N/A</v>
      </c>
      <c r="U1039" s="134">
        <f t="shared" si="107"/>
        <v>0</v>
      </c>
    </row>
    <row r="1040" spans="1:21" x14ac:dyDescent="0.25">
      <c r="A1040" s="118">
        <f>+CUBICACION!D1034</f>
        <v>0</v>
      </c>
      <c r="B1040" s="819">
        <f>+CUBICACION!E1034</f>
        <v>0</v>
      </c>
      <c r="C1040" s="675">
        <f>+CUBICACION!F1034</f>
        <v>0</v>
      </c>
      <c r="D1040" s="118"/>
      <c r="E1040" s="118"/>
      <c r="F1040" s="820"/>
      <c r="G1040" s="675">
        <f>+CUBICACION!J1034</f>
        <v>0</v>
      </c>
      <c r="H1040" s="118"/>
      <c r="I1040" s="821">
        <f>+CUBICACION!L1034</f>
        <v>0</v>
      </c>
      <c r="J1040" s="64">
        <f>+CUBICACION!M1034</f>
        <v>0</v>
      </c>
      <c r="K1040" s="822" t="str">
        <f>+CUBICACION!N1034</f>
        <v/>
      </c>
      <c r="L1040" s="118">
        <f>+CUBICACION!O1034</f>
        <v>0</v>
      </c>
      <c r="M1040" s="823">
        <f>+CUBICACION!P1034</f>
        <v>0</v>
      </c>
      <c r="N1040" s="902">
        <f>ROUND(IF(AND(L1040="Blaze Shield II",M1040="Software Idiem",C1040="IN",G1040=4),((('BLAZE SHIELD II'!$D$4*('CALCULO MORTERO'!I1040^2)+'BLAZE SHIELD II'!$D$5*'CALCULO MORTERO'!I1040+'BLAZE SHIELD II'!$D$6)*LN(J1040))+('BLAZE SHIELD II'!$D$7*('CALCULO MORTERO'!I1040^2)+'BLAZE SHIELD II'!$D$8*'CALCULO MORTERO'!I1040+'BLAZE SHIELD II'!$D$9)),0)+IF(AND(L1040="Blaze Shield II",M1040="Software Idiem",C1040="Cj"),((('BLAZE SHIELD II'!$H$4*('CALCULO MORTERO'!I1040^2)+'BLAZE SHIELD II'!$H$5*'CALCULO MORTERO'!I1040+'BLAZE SHIELD II'!$H$6)*LN(J1040))+('BLAZE SHIELD II'!$H$7*('CALCULO MORTERO'!I1040^2)+'BLAZE SHIELD II'!$H$8*'CALCULO MORTERO'!I1040+'BLAZE SHIELD II'!$H$9)),0)+IF(AND(L1040="Blaze Shield II",M1040="Software Idiem",C1040="C"),((('BLAZE SHIELD II'!$L$4*('CALCULO MORTERO'!I1040^2)+'BLAZE SHIELD II'!$L$5*'CALCULO MORTERO'!I1040+'BLAZE SHIELD II'!$L$6)*LN(J1040))+('BLAZE SHIELD II'!$L$7*('CALCULO MORTERO'!I1040^2)+'BLAZE SHIELD II'!$L$8*'CALCULO MORTERO'!I1040+'BLAZE SHIELD II'!$L$9)),0)+IF(AND(L1040="Blaze Shield II",M1040="Software Idiem",C1040="L"),((('BLAZE SHIELD II'!$L$4*('CALCULO MORTERO'!I1040^2)+'BLAZE SHIELD II'!$L$5*'CALCULO MORTERO'!I1040+'BLAZE SHIELD II'!$L$6)*LN(J1040))+('BLAZE SHIELD II'!$L$7*('CALCULO MORTERO'!I1040^2)+'BLAZE SHIELD II'!$L$8*'CALCULO MORTERO'!I1040+'BLAZE SHIELD II'!$L$9)),0)+IF(AND(L1040="Blaze Shield II",M1040="Software Idiem",C1040="IN",G1040=3),((('BLAZE SHIELD II'!$H$14*('CALCULO MORTERO'!I1040^2)+'BLAZE SHIELD II'!$H$15*'CALCULO MORTERO'!I1040+'BLAZE SHIELD II'!$H$16)*LN(J1040))+('BLAZE SHIELD II'!$H$17*('CALCULO MORTERO'!I1040^2)+'BLAZE SHIELD II'!$H$18*'CALCULO MORTERO'!I1040+'BLAZE SHIELD II'!$H$19)),0),0)+ROUND(IF(AND(L1040="Cafco 400",M1040="Software Idiem",C1040="IN",G1040=4),((('CAFCO 400 '!$H$7*(J1040^4)+'CAFCO 400 '!$H$8*(J1040^3)+'CAFCO 400 '!$H$9*(J1040^2)+'CAFCO 400 '!$H$10*J1040+'CAFCO 400 '!$H$11)*U1040^2)+(('CAFCO 400 '!$H$12*(J1040^3)+'CAFCO 400 '!$H$13*(J1040^2)+'CAFCO 400 '!$H$14*J1040+'CAFCO 400 '!$H$15)*U1040)+('CAFCO 400 '!$H$16*(J1040^2)+'CAFCO 400 '!$H$17*J1040+'CAFCO 400 '!$H$18)),0)+IF(AND(L1040="Cafco 400",M1040="Software Idiem",C1040="Cj"),(((('CAFCO 400 '!$D$7*LN(J1040)+'CAFCO 400 '!$D$8)*U1040^2)+(('CAFCO 400 '!$D$9*LN(J1040)+'CAFCO 400 '!$D$10)*U1040)+('CAFCO 400 '!$D$11*LN(J1040)+'CAFCO 400 '!$D$12))),0)+IF(AND(L1040="Cafco 400",M1040="Software Idiem",C1040="C"),((('CAFCO 400 '!$L$7*(J1040^3)+'CAFCO 400 '!$L$8*(J1040^2)+'CAFCO 400 '!$L$9*J1040+'CAFCO 400 '!$L$10)*U1040^2)+(('CAFCO 400 '!$L$11*(J1040^3)+'CAFCO 400 '!$L$12*(J1040^2)+'CAFCO 400 '!$L$13*J1040+'CAFCO 400 '!$L$14)*U1040)+('CAFCO 400 '!$L$15*LN(J1040)+'CAFCO 400 '!$L$16)),0)+IF(AND(L1040="Cafco 400",M1040="Software Idiem",C1040="L"),((('CAFCO 400 '!$L$7*(J1040^3)+'CAFCO 400 '!$L$8*(J1040^2)+'CAFCO 400 '!$L$9*J1040+'CAFCO 400 '!$L$10)*U1040^2)+(('CAFCO 400 '!$L$11*(J1040^3)+'CAFCO 400 '!$L$12*(J1040^2)+'CAFCO 400 '!$L$13*J1040+'CAFCO 400 '!$L$14)*U1040)+('CAFCO 400 '!$L$15*LN(J1040)+'CAFCO 400 '!$L$16)),0)+IF(AND(L1040="Cafco 400",M1040="Software Idiem",C1040="IN",G1040=3),((('CAFCO 400 '!$D$23*(J1040^2)+'CAFCO 400 '!$D$24*(J1040)+'CAFCO 400 '!$D$25)*U1040^2)+(('CAFCO 400 '!$D$26*(J1040^2)+'CAFCO 400 '!$D$27*J1040+'CAFCO 400 '!$D$28)*U1040)+('CAFCO 400 '!$D$29*(J1040^2)+'CAFCO 400 '!$D$30*J1040+'CAFCO 400 '!$D$31)),0),0)+IF(AND(L1040="Cafco 300",J1040&gt;=95,J1040&lt;=240,C1040="Cj",I1040=90),VLOOKUP(T1040,'CAFCO 300 IDIEM TABLAS'!$B$4:$D$23,2,FALSE),0)+IF(AND(L1040="Cafco 300",J1040&gt;=95,J1040&lt;=240,C1040="Cj",I1040=120),VLOOKUP(T1040,'CAFCO 300 IDIEM TABLAS'!$B$4:$D$23,3,FALSE),0)+IF(AND(L1040="Cafco 300",J1040&gt;=95,J1040&lt;=400,G1040=3,C1040="IN",I1040=90),VLOOKUP(T1040,'CAFCO 300 IDIEM TABLAS'!$F$4:$H$35,2,FALSE),0)+IF(AND(L1040="Cafco 300",J1040&gt;=95,J1040&lt;=400,G1040=3,C1040="IN",I1040=120),VLOOKUP(T1040,'CAFCO 300 IDIEM TABLAS'!$F$4:$H$35,3,FALSE),0)+IF(AND(L1040="Cafco 300",J1040&gt;=95,J1040&lt;=450,G1040=4,C1040="IN",I1040=90),VLOOKUP(T1040,'CAFCO 300 IDIEM TABLAS'!$J$4:$L$40,2,FALSE),0)+IF(AND(L1040="Cafco 300",J1040&gt;=95,J1040&lt;=450,G1040=4,C1040="IN",I1040=120),VLOOKUP(T1040,'CAFCO 300 IDIEM TABLAS'!$J$4:$L$40,3,FALSE),0)+IF(AND(M1040="Ensayo Idiem",L1040="Cafco 400",C1040="IN",G1040=4,I1040=90),VLOOKUP(T1040,'CAFCO 400 ENSAYO'!$B$7:$D$43,2,FALSE),0)+IF(AND(M1040="Ensayo Idiem",L1040="Cafco 400",C1040="IN",G1040=4,I1040=120),VLOOKUP(T1040,'CAFCO 400 ENSAYO'!$B$7:$D$43,3,FALSE),0)</f>
        <v>0</v>
      </c>
      <c r="O1040" s="96">
        <f t="shared" si="108"/>
        <v>0</v>
      </c>
      <c r="P1040" s="95" t="str">
        <f t="shared" si="103"/>
        <v>N/A</v>
      </c>
      <c r="Q1040" s="95" t="str">
        <f t="shared" si="104"/>
        <v>N/A</v>
      </c>
      <c r="R1040" s="95" t="str">
        <f t="shared" si="105"/>
        <v>NO CERT.</v>
      </c>
      <c r="S1040" s="95" t="e">
        <f t="shared" si="106"/>
        <v>#N/A</v>
      </c>
      <c r="T1040" s="119" t="e">
        <f>+IF(J1040=LOOKUP(J1040,'CAFCO 300 IDIEM TABLAS'!$J$4:$J$40),'CALCULO MORTERO'!J1040,MROUND('CALCULO MORTERO'!J1040,10))</f>
        <v>#N/A</v>
      </c>
      <c r="U1040" s="118">
        <f t="shared" si="107"/>
        <v>0</v>
      </c>
    </row>
    <row r="1041" spans="1:21" x14ac:dyDescent="0.25">
      <c r="A1041" s="118">
        <f>+CUBICACION!D1035</f>
        <v>0</v>
      </c>
      <c r="B1041" s="819">
        <f>+CUBICACION!E1035</f>
        <v>0</v>
      </c>
      <c r="C1041" s="675">
        <f>+CUBICACION!F1035</f>
        <v>0</v>
      </c>
      <c r="D1041" s="118"/>
      <c r="E1041" s="118"/>
      <c r="F1041" s="820"/>
      <c r="G1041" s="675">
        <f>+CUBICACION!J1035</f>
        <v>0</v>
      </c>
      <c r="H1041" s="118"/>
      <c r="I1041" s="821">
        <f>+CUBICACION!L1035</f>
        <v>0</v>
      </c>
      <c r="J1041" s="64">
        <f>+CUBICACION!M1035</f>
        <v>0</v>
      </c>
      <c r="K1041" s="822" t="str">
        <f>+CUBICACION!N1035</f>
        <v/>
      </c>
      <c r="L1041" s="118">
        <f>+CUBICACION!O1035</f>
        <v>0</v>
      </c>
      <c r="M1041" s="823">
        <f>+CUBICACION!P1035</f>
        <v>0</v>
      </c>
      <c r="N1041" s="902">
        <f>ROUND(IF(AND(L1041="Blaze Shield II",M1041="Software Idiem",C1041="IN",G1041=4),((('BLAZE SHIELD II'!$D$4*('CALCULO MORTERO'!I1041^2)+'BLAZE SHIELD II'!$D$5*'CALCULO MORTERO'!I1041+'BLAZE SHIELD II'!$D$6)*LN(J1041))+('BLAZE SHIELD II'!$D$7*('CALCULO MORTERO'!I1041^2)+'BLAZE SHIELD II'!$D$8*'CALCULO MORTERO'!I1041+'BLAZE SHIELD II'!$D$9)),0)+IF(AND(L1041="Blaze Shield II",M1041="Software Idiem",C1041="Cj"),((('BLAZE SHIELD II'!$H$4*('CALCULO MORTERO'!I1041^2)+'BLAZE SHIELD II'!$H$5*'CALCULO MORTERO'!I1041+'BLAZE SHIELD II'!$H$6)*LN(J1041))+('BLAZE SHIELD II'!$H$7*('CALCULO MORTERO'!I1041^2)+'BLAZE SHIELD II'!$H$8*'CALCULO MORTERO'!I1041+'BLAZE SHIELD II'!$H$9)),0)+IF(AND(L1041="Blaze Shield II",M1041="Software Idiem",C1041="C"),((('BLAZE SHIELD II'!$L$4*('CALCULO MORTERO'!I1041^2)+'BLAZE SHIELD II'!$L$5*'CALCULO MORTERO'!I1041+'BLAZE SHIELD II'!$L$6)*LN(J1041))+('BLAZE SHIELD II'!$L$7*('CALCULO MORTERO'!I1041^2)+'BLAZE SHIELD II'!$L$8*'CALCULO MORTERO'!I1041+'BLAZE SHIELD II'!$L$9)),0)+IF(AND(L1041="Blaze Shield II",M1041="Software Idiem",C1041="L"),((('BLAZE SHIELD II'!$L$4*('CALCULO MORTERO'!I1041^2)+'BLAZE SHIELD II'!$L$5*'CALCULO MORTERO'!I1041+'BLAZE SHIELD II'!$L$6)*LN(J1041))+('BLAZE SHIELD II'!$L$7*('CALCULO MORTERO'!I1041^2)+'BLAZE SHIELD II'!$L$8*'CALCULO MORTERO'!I1041+'BLAZE SHIELD II'!$L$9)),0)+IF(AND(L1041="Blaze Shield II",M1041="Software Idiem",C1041="IN",G1041=3),((('BLAZE SHIELD II'!$H$14*('CALCULO MORTERO'!I1041^2)+'BLAZE SHIELD II'!$H$15*'CALCULO MORTERO'!I1041+'BLAZE SHIELD II'!$H$16)*LN(J1041))+('BLAZE SHIELD II'!$H$17*('CALCULO MORTERO'!I1041^2)+'BLAZE SHIELD II'!$H$18*'CALCULO MORTERO'!I1041+'BLAZE SHIELD II'!$H$19)),0),0)+ROUND(IF(AND(L1041="Cafco 400",M1041="Software Idiem",C1041="IN",G1041=4),((('CAFCO 400 '!$H$7*(J1041^4)+'CAFCO 400 '!$H$8*(J1041^3)+'CAFCO 400 '!$H$9*(J1041^2)+'CAFCO 400 '!$H$10*J1041+'CAFCO 400 '!$H$11)*U1041^2)+(('CAFCO 400 '!$H$12*(J1041^3)+'CAFCO 400 '!$H$13*(J1041^2)+'CAFCO 400 '!$H$14*J1041+'CAFCO 400 '!$H$15)*U1041)+('CAFCO 400 '!$H$16*(J1041^2)+'CAFCO 400 '!$H$17*J1041+'CAFCO 400 '!$H$18)),0)+IF(AND(L1041="Cafco 400",M1041="Software Idiem",C1041="Cj"),(((('CAFCO 400 '!$D$7*LN(J1041)+'CAFCO 400 '!$D$8)*U1041^2)+(('CAFCO 400 '!$D$9*LN(J1041)+'CAFCO 400 '!$D$10)*U1041)+('CAFCO 400 '!$D$11*LN(J1041)+'CAFCO 400 '!$D$12))),0)+IF(AND(L1041="Cafco 400",M1041="Software Idiem",C1041="C"),((('CAFCO 400 '!$L$7*(J1041^3)+'CAFCO 400 '!$L$8*(J1041^2)+'CAFCO 400 '!$L$9*J1041+'CAFCO 400 '!$L$10)*U1041^2)+(('CAFCO 400 '!$L$11*(J1041^3)+'CAFCO 400 '!$L$12*(J1041^2)+'CAFCO 400 '!$L$13*J1041+'CAFCO 400 '!$L$14)*U1041)+('CAFCO 400 '!$L$15*LN(J1041)+'CAFCO 400 '!$L$16)),0)+IF(AND(L1041="Cafco 400",M1041="Software Idiem",C1041="L"),((('CAFCO 400 '!$L$7*(J1041^3)+'CAFCO 400 '!$L$8*(J1041^2)+'CAFCO 400 '!$L$9*J1041+'CAFCO 400 '!$L$10)*U1041^2)+(('CAFCO 400 '!$L$11*(J1041^3)+'CAFCO 400 '!$L$12*(J1041^2)+'CAFCO 400 '!$L$13*J1041+'CAFCO 400 '!$L$14)*U1041)+('CAFCO 400 '!$L$15*LN(J1041)+'CAFCO 400 '!$L$16)),0)+IF(AND(L1041="Cafco 400",M1041="Software Idiem",C1041="IN",G1041=3),((('CAFCO 400 '!$D$23*(J1041^2)+'CAFCO 400 '!$D$24*(J1041)+'CAFCO 400 '!$D$25)*U1041^2)+(('CAFCO 400 '!$D$26*(J1041^2)+'CAFCO 400 '!$D$27*J1041+'CAFCO 400 '!$D$28)*U1041)+('CAFCO 400 '!$D$29*(J1041^2)+'CAFCO 400 '!$D$30*J1041+'CAFCO 400 '!$D$31)),0),0)+IF(AND(L1041="Cafco 300",J1041&gt;=95,J1041&lt;=240,C1041="Cj",I1041=90),VLOOKUP(T1041,'CAFCO 300 IDIEM TABLAS'!$B$4:$D$23,2,FALSE),0)+IF(AND(L1041="Cafco 300",J1041&gt;=95,J1041&lt;=240,C1041="Cj",I1041=120),VLOOKUP(T1041,'CAFCO 300 IDIEM TABLAS'!$B$4:$D$23,3,FALSE),0)+IF(AND(L1041="Cafco 300",J1041&gt;=95,J1041&lt;=400,G1041=3,C1041="IN",I1041=90),VLOOKUP(T1041,'CAFCO 300 IDIEM TABLAS'!$F$4:$H$35,2,FALSE),0)+IF(AND(L1041="Cafco 300",J1041&gt;=95,J1041&lt;=400,G1041=3,C1041="IN",I1041=120),VLOOKUP(T1041,'CAFCO 300 IDIEM TABLAS'!$F$4:$H$35,3,FALSE),0)+IF(AND(L1041="Cafco 300",J1041&gt;=95,J1041&lt;=450,G1041=4,C1041="IN",I1041=90),VLOOKUP(T1041,'CAFCO 300 IDIEM TABLAS'!$J$4:$L$40,2,FALSE),0)+IF(AND(L1041="Cafco 300",J1041&gt;=95,J1041&lt;=450,G1041=4,C1041="IN",I1041=120),VLOOKUP(T1041,'CAFCO 300 IDIEM TABLAS'!$J$4:$L$40,3,FALSE),0)+IF(AND(M1041="Ensayo Idiem",L1041="Cafco 400",C1041="IN",G1041=4,I1041=90),VLOOKUP(T1041,'CAFCO 400 ENSAYO'!$B$7:$D$43,2,FALSE),0)+IF(AND(M1041="Ensayo Idiem",L1041="Cafco 400",C1041="IN",G1041=4,I1041=120),VLOOKUP(T1041,'CAFCO 400 ENSAYO'!$B$7:$D$43,3,FALSE),0)</f>
        <v>0</v>
      </c>
      <c r="O1041" s="96">
        <f t="shared" si="108"/>
        <v>0</v>
      </c>
      <c r="P1041" s="132" t="str">
        <f t="shared" si="103"/>
        <v>N/A</v>
      </c>
      <c r="Q1041" s="132" t="str">
        <f t="shared" si="104"/>
        <v>N/A</v>
      </c>
      <c r="R1041" s="132" t="str">
        <f t="shared" si="105"/>
        <v>NO CERT.</v>
      </c>
      <c r="S1041" s="132" t="e">
        <f t="shared" si="106"/>
        <v>#N/A</v>
      </c>
      <c r="T1041" s="133" t="e">
        <f>+IF(J1041=LOOKUP(J1041,'CAFCO 300 IDIEM TABLAS'!$J$4:$J$40),'CALCULO MORTERO'!J1041,MROUND('CALCULO MORTERO'!J1041,10))</f>
        <v>#N/A</v>
      </c>
      <c r="U1041" s="134">
        <f t="shared" si="107"/>
        <v>0</v>
      </c>
    </row>
    <row r="1042" spans="1:21" x14ac:dyDescent="0.25">
      <c r="A1042" s="118">
        <f>+CUBICACION!D1036</f>
        <v>0</v>
      </c>
      <c r="B1042" s="819">
        <f>+CUBICACION!E1036</f>
        <v>0</v>
      </c>
      <c r="C1042" s="675">
        <f>+CUBICACION!F1036</f>
        <v>0</v>
      </c>
      <c r="D1042" s="118"/>
      <c r="E1042" s="118"/>
      <c r="F1042" s="820"/>
      <c r="G1042" s="675">
        <f>+CUBICACION!J1036</f>
        <v>0</v>
      </c>
      <c r="H1042" s="118"/>
      <c r="I1042" s="821">
        <f>+CUBICACION!L1036</f>
        <v>0</v>
      </c>
      <c r="J1042" s="64">
        <f>+CUBICACION!M1036</f>
        <v>0</v>
      </c>
      <c r="K1042" s="822" t="str">
        <f>+CUBICACION!N1036</f>
        <v/>
      </c>
      <c r="L1042" s="118">
        <f>+CUBICACION!O1036</f>
        <v>0</v>
      </c>
      <c r="M1042" s="823">
        <f>+CUBICACION!P1036</f>
        <v>0</v>
      </c>
      <c r="N1042" s="902">
        <f>ROUND(IF(AND(L1042="Blaze Shield II",M1042="Software Idiem",C1042="IN",G1042=4),((('BLAZE SHIELD II'!$D$4*('CALCULO MORTERO'!I1042^2)+'BLAZE SHIELD II'!$D$5*'CALCULO MORTERO'!I1042+'BLAZE SHIELD II'!$D$6)*LN(J1042))+('BLAZE SHIELD II'!$D$7*('CALCULO MORTERO'!I1042^2)+'BLAZE SHIELD II'!$D$8*'CALCULO MORTERO'!I1042+'BLAZE SHIELD II'!$D$9)),0)+IF(AND(L1042="Blaze Shield II",M1042="Software Idiem",C1042="Cj"),((('BLAZE SHIELD II'!$H$4*('CALCULO MORTERO'!I1042^2)+'BLAZE SHIELD II'!$H$5*'CALCULO MORTERO'!I1042+'BLAZE SHIELD II'!$H$6)*LN(J1042))+('BLAZE SHIELD II'!$H$7*('CALCULO MORTERO'!I1042^2)+'BLAZE SHIELD II'!$H$8*'CALCULO MORTERO'!I1042+'BLAZE SHIELD II'!$H$9)),0)+IF(AND(L1042="Blaze Shield II",M1042="Software Idiem",C1042="C"),((('BLAZE SHIELD II'!$L$4*('CALCULO MORTERO'!I1042^2)+'BLAZE SHIELD II'!$L$5*'CALCULO MORTERO'!I1042+'BLAZE SHIELD II'!$L$6)*LN(J1042))+('BLAZE SHIELD II'!$L$7*('CALCULO MORTERO'!I1042^2)+'BLAZE SHIELD II'!$L$8*'CALCULO MORTERO'!I1042+'BLAZE SHIELD II'!$L$9)),0)+IF(AND(L1042="Blaze Shield II",M1042="Software Idiem",C1042="L"),((('BLAZE SHIELD II'!$L$4*('CALCULO MORTERO'!I1042^2)+'BLAZE SHIELD II'!$L$5*'CALCULO MORTERO'!I1042+'BLAZE SHIELD II'!$L$6)*LN(J1042))+('BLAZE SHIELD II'!$L$7*('CALCULO MORTERO'!I1042^2)+'BLAZE SHIELD II'!$L$8*'CALCULO MORTERO'!I1042+'BLAZE SHIELD II'!$L$9)),0)+IF(AND(L1042="Blaze Shield II",M1042="Software Idiem",C1042="IN",G1042=3),((('BLAZE SHIELD II'!$H$14*('CALCULO MORTERO'!I1042^2)+'BLAZE SHIELD II'!$H$15*'CALCULO MORTERO'!I1042+'BLAZE SHIELD II'!$H$16)*LN(J1042))+('BLAZE SHIELD II'!$H$17*('CALCULO MORTERO'!I1042^2)+'BLAZE SHIELD II'!$H$18*'CALCULO MORTERO'!I1042+'BLAZE SHIELD II'!$H$19)),0),0)+ROUND(IF(AND(L1042="Cafco 400",M1042="Software Idiem",C1042="IN",G1042=4),((('CAFCO 400 '!$H$7*(J1042^4)+'CAFCO 400 '!$H$8*(J1042^3)+'CAFCO 400 '!$H$9*(J1042^2)+'CAFCO 400 '!$H$10*J1042+'CAFCO 400 '!$H$11)*U1042^2)+(('CAFCO 400 '!$H$12*(J1042^3)+'CAFCO 400 '!$H$13*(J1042^2)+'CAFCO 400 '!$H$14*J1042+'CAFCO 400 '!$H$15)*U1042)+('CAFCO 400 '!$H$16*(J1042^2)+'CAFCO 400 '!$H$17*J1042+'CAFCO 400 '!$H$18)),0)+IF(AND(L1042="Cafco 400",M1042="Software Idiem",C1042="Cj"),(((('CAFCO 400 '!$D$7*LN(J1042)+'CAFCO 400 '!$D$8)*U1042^2)+(('CAFCO 400 '!$D$9*LN(J1042)+'CAFCO 400 '!$D$10)*U1042)+('CAFCO 400 '!$D$11*LN(J1042)+'CAFCO 400 '!$D$12))),0)+IF(AND(L1042="Cafco 400",M1042="Software Idiem",C1042="C"),((('CAFCO 400 '!$L$7*(J1042^3)+'CAFCO 400 '!$L$8*(J1042^2)+'CAFCO 400 '!$L$9*J1042+'CAFCO 400 '!$L$10)*U1042^2)+(('CAFCO 400 '!$L$11*(J1042^3)+'CAFCO 400 '!$L$12*(J1042^2)+'CAFCO 400 '!$L$13*J1042+'CAFCO 400 '!$L$14)*U1042)+('CAFCO 400 '!$L$15*LN(J1042)+'CAFCO 400 '!$L$16)),0)+IF(AND(L1042="Cafco 400",M1042="Software Idiem",C1042="L"),((('CAFCO 400 '!$L$7*(J1042^3)+'CAFCO 400 '!$L$8*(J1042^2)+'CAFCO 400 '!$L$9*J1042+'CAFCO 400 '!$L$10)*U1042^2)+(('CAFCO 400 '!$L$11*(J1042^3)+'CAFCO 400 '!$L$12*(J1042^2)+'CAFCO 400 '!$L$13*J1042+'CAFCO 400 '!$L$14)*U1042)+('CAFCO 400 '!$L$15*LN(J1042)+'CAFCO 400 '!$L$16)),0)+IF(AND(L1042="Cafco 400",M1042="Software Idiem",C1042="IN",G1042=3),((('CAFCO 400 '!$D$23*(J1042^2)+'CAFCO 400 '!$D$24*(J1042)+'CAFCO 400 '!$D$25)*U1042^2)+(('CAFCO 400 '!$D$26*(J1042^2)+'CAFCO 400 '!$D$27*J1042+'CAFCO 400 '!$D$28)*U1042)+('CAFCO 400 '!$D$29*(J1042^2)+'CAFCO 400 '!$D$30*J1042+'CAFCO 400 '!$D$31)),0),0)+IF(AND(L1042="Cafco 300",J1042&gt;=95,J1042&lt;=240,C1042="Cj",I1042=90),VLOOKUP(T1042,'CAFCO 300 IDIEM TABLAS'!$B$4:$D$23,2,FALSE),0)+IF(AND(L1042="Cafco 300",J1042&gt;=95,J1042&lt;=240,C1042="Cj",I1042=120),VLOOKUP(T1042,'CAFCO 300 IDIEM TABLAS'!$B$4:$D$23,3,FALSE),0)+IF(AND(L1042="Cafco 300",J1042&gt;=95,J1042&lt;=400,G1042=3,C1042="IN",I1042=90),VLOOKUP(T1042,'CAFCO 300 IDIEM TABLAS'!$F$4:$H$35,2,FALSE),0)+IF(AND(L1042="Cafco 300",J1042&gt;=95,J1042&lt;=400,G1042=3,C1042="IN",I1042=120),VLOOKUP(T1042,'CAFCO 300 IDIEM TABLAS'!$F$4:$H$35,3,FALSE),0)+IF(AND(L1042="Cafco 300",J1042&gt;=95,J1042&lt;=450,G1042=4,C1042="IN",I1042=90),VLOOKUP(T1042,'CAFCO 300 IDIEM TABLAS'!$J$4:$L$40,2,FALSE),0)+IF(AND(L1042="Cafco 300",J1042&gt;=95,J1042&lt;=450,G1042=4,C1042="IN",I1042=120),VLOOKUP(T1042,'CAFCO 300 IDIEM TABLAS'!$J$4:$L$40,3,FALSE),0)+IF(AND(M1042="Ensayo Idiem",L1042="Cafco 400",C1042="IN",G1042=4,I1042=90),VLOOKUP(T1042,'CAFCO 400 ENSAYO'!$B$7:$D$43,2,FALSE),0)+IF(AND(M1042="Ensayo Idiem",L1042="Cafco 400",C1042="IN",G1042=4,I1042=120),VLOOKUP(T1042,'CAFCO 400 ENSAYO'!$B$7:$D$43,3,FALSE),0)</f>
        <v>0</v>
      </c>
      <c r="O1042" s="96">
        <f t="shared" si="108"/>
        <v>0</v>
      </c>
      <c r="P1042" s="95" t="str">
        <f t="shared" si="103"/>
        <v>N/A</v>
      </c>
      <c r="Q1042" s="95" t="str">
        <f t="shared" si="104"/>
        <v>N/A</v>
      </c>
      <c r="R1042" s="95" t="str">
        <f t="shared" si="105"/>
        <v>NO CERT.</v>
      </c>
      <c r="S1042" s="95" t="e">
        <f t="shared" si="106"/>
        <v>#N/A</v>
      </c>
      <c r="T1042" s="119" t="e">
        <f>+IF(J1042=LOOKUP(J1042,'CAFCO 300 IDIEM TABLAS'!$J$4:$J$40),'CALCULO MORTERO'!J1042,MROUND('CALCULO MORTERO'!J1042,10))</f>
        <v>#N/A</v>
      </c>
      <c r="U1042" s="118">
        <f t="shared" si="107"/>
        <v>0</v>
      </c>
    </row>
    <row r="1043" spans="1:21" x14ac:dyDescent="0.25">
      <c r="A1043" s="118">
        <f>+CUBICACION!D1037</f>
        <v>0</v>
      </c>
      <c r="B1043" s="819">
        <f>+CUBICACION!E1037</f>
        <v>0</v>
      </c>
      <c r="C1043" s="675">
        <f>+CUBICACION!F1037</f>
        <v>0</v>
      </c>
      <c r="D1043" s="118"/>
      <c r="E1043" s="118"/>
      <c r="F1043" s="820"/>
      <c r="G1043" s="675">
        <f>+CUBICACION!J1037</f>
        <v>0</v>
      </c>
      <c r="H1043" s="118"/>
      <c r="I1043" s="821">
        <f>+CUBICACION!L1037</f>
        <v>0</v>
      </c>
      <c r="J1043" s="64">
        <f>+CUBICACION!M1037</f>
        <v>0</v>
      </c>
      <c r="K1043" s="822" t="str">
        <f>+CUBICACION!N1037</f>
        <v/>
      </c>
      <c r="L1043" s="118">
        <f>+CUBICACION!O1037</f>
        <v>0</v>
      </c>
      <c r="M1043" s="823">
        <f>+CUBICACION!P1037</f>
        <v>0</v>
      </c>
      <c r="N1043" s="902">
        <f>ROUND(IF(AND(L1043="Blaze Shield II",M1043="Software Idiem",C1043="IN",G1043=4),((('BLAZE SHIELD II'!$D$4*('CALCULO MORTERO'!I1043^2)+'BLAZE SHIELD II'!$D$5*'CALCULO MORTERO'!I1043+'BLAZE SHIELD II'!$D$6)*LN(J1043))+('BLAZE SHIELD II'!$D$7*('CALCULO MORTERO'!I1043^2)+'BLAZE SHIELD II'!$D$8*'CALCULO MORTERO'!I1043+'BLAZE SHIELD II'!$D$9)),0)+IF(AND(L1043="Blaze Shield II",M1043="Software Idiem",C1043="Cj"),((('BLAZE SHIELD II'!$H$4*('CALCULO MORTERO'!I1043^2)+'BLAZE SHIELD II'!$H$5*'CALCULO MORTERO'!I1043+'BLAZE SHIELD II'!$H$6)*LN(J1043))+('BLAZE SHIELD II'!$H$7*('CALCULO MORTERO'!I1043^2)+'BLAZE SHIELD II'!$H$8*'CALCULO MORTERO'!I1043+'BLAZE SHIELD II'!$H$9)),0)+IF(AND(L1043="Blaze Shield II",M1043="Software Idiem",C1043="C"),((('BLAZE SHIELD II'!$L$4*('CALCULO MORTERO'!I1043^2)+'BLAZE SHIELD II'!$L$5*'CALCULO MORTERO'!I1043+'BLAZE SHIELD II'!$L$6)*LN(J1043))+('BLAZE SHIELD II'!$L$7*('CALCULO MORTERO'!I1043^2)+'BLAZE SHIELD II'!$L$8*'CALCULO MORTERO'!I1043+'BLAZE SHIELD II'!$L$9)),0)+IF(AND(L1043="Blaze Shield II",M1043="Software Idiem",C1043="L"),((('BLAZE SHIELD II'!$L$4*('CALCULO MORTERO'!I1043^2)+'BLAZE SHIELD II'!$L$5*'CALCULO MORTERO'!I1043+'BLAZE SHIELD II'!$L$6)*LN(J1043))+('BLAZE SHIELD II'!$L$7*('CALCULO MORTERO'!I1043^2)+'BLAZE SHIELD II'!$L$8*'CALCULO MORTERO'!I1043+'BLAZE SHIELD II'!$L$9)),0)+IF(AND(L1043="Blaze Shield II",M1043="Software Idiem",C1043="IN",G1043=3),((('BLAZE SHIELD II'!$H$14*('CALCULO MORTERO'!I1043^2)+'BLAZE SHIELD II'!$H$15*'CALCULO MORTERO'!I1043+'BLAZE SHIELD II'!$H$16)*LN(J1043))+('BLAZE SHIELD II'!$H$17*('CALCULO MORTERO'!I1043^2)+'BLAZE SHIELD II'!$H$18*'CALCULO MORTERO'!I1043+'BLAZE SHIELD II'!$H$19)),0),0)+ROUND(IF(AND(L1043="Cafco 400",M1043="Software Idiem",C1043="IN",G1043=4),((('CAFCO 400 '!$H$7*(J1043^4)+'CAFCO 400 '!$H$8*(J1043^3)+'CAFCO 400 '!$H$9*(J1043^2)+'CAFCO 400 '!$H$10*J1043+'CAFCO 400 '!$H$11)*U1043^2)+(('CAFCO 400 '!$H$12*(J1043^3)+'CAFCO 400 '!$H$13*(J1043^2)+'CAFCO 400 '!$H$14*J1043+'CAFCO 400 '!$H$15)*U1043)+('CAFCO 400 '!$H$16*(J1043^2)+'CAFCO 400 '!$H$17*J1043+'CAFCO 400 '!$H$18)),0)+IF(AND(L1043="Cafco 400",M1043="Software Idiem",C1043="Cj"),(((('CAFCO 400 '!$D$7*LN(J1043)+'CAFCO 400 '!$D$8)*U1043^2)+(('CAFCO 400 '!$D$9*LN(J1043)+'CAFCO 400 '!$D$10)*U1043)+('CAFCO 400 '!$D$11*LN(J1043)+'CAFCO 400 '!$D$12))),0)+IF(AND(L1043="Cafco 400",M1043="Software Idiem",C1043="C"),((('CAFCO 400 '!$L$7*(J1043^3)+'CAFCO 400 '!$L$8*(J1043^2)+'CAFCO 400 '!$L$9*J1043+'CAFCO 400 '!$L$10)*U1043^2)+(('CAFCO 400 '!$L$11*(J1043^3)+'CAFCO 400 '!$L$12*(J1043^2)+'CAFCO 400 '!$L$13*J1043+'CAFCO 400 '!$L$14)*U1043)+('CAFCO 400 '!$L$15*LN(J1043)+'CAFCO 400 '!$L$16)),0)+IF(AND(L1043="Cafco 400",M1043="Software Idiem",C1043="L"),((('CAFCO 400 '!$L$7*(J1043^3)+'CAFCO 400 '!$L$8*(J1043^2)+'CAFCO 400 '!$L$9*J1043+'CAFCO 400 '!$L$10)*U1043^2)+(('CAFCO 400 '!$L$11*(J1043^3)+'CAFCO 400 '!$L$12*(J1043^2)+'CAFCO 400 '!$L$13*J1043+'CAFCO 400 '!$L$14)*U1043)+('CAFCO 400 '!$L$15*LN(J1043)+'CAFCO 400 '!$L$16)),0)+IF(AND(L1043="Cafco 400",M1043="Software Idiem",C1043="IN",G1043=3),((('CAFCO 400 '!$D$23*(J1043^2)+'CAFCO 400 '!$D$24*(J1043)+'CAFCO 400 '!$D$25)*U1043^2)+(('CAFCO 400 '!$D$26*(J1043^2)+'CAFCO 400 '!$D$27*J1043+'CAFCO 400 '!$D$28)*U1043)+('CAFCO 400 '!$D$29*(J1043^2)+'CAFCO 400 '!$D$30*J1043+'CAFCO 400 '!$D$31)),0),0)+IF(AND(L1043="Cafco 300",J1043&gt;=95,J1043&lt;=240,C1043="Cj",I1043=90),VLOOKUP(T1043,'CAFCO 300 IDIEM TABLAS'!$B$4:$D$23,2,FALSE),0)+IF(AND(L1043="Cafco 300",J1043&gt;=95,J1043&lt;=240,C1043="Cj",I1043=120),VLOOKUP(T1043,'CAFCO 300 IDIEM TABLAS'!$B$4:$D$23,3,FALSE),0)+IF(AND(L1043="Cafco 300",J1043&gt;=95,J1043&lt;=400,G1043=3,C1043="IN",I1043=90),VLOOKUP(T1043,'CAFCO 300 IDIEM TABLAS'!$F$4:$H$35,2,FALSE),0)+IF(AND(L1043="Cafco 300",J1043&gt;=95,J1043&lt;=400,G1043=3,C1043="IN",I1043=120),VLOOKUP(T1043,'CAFCO 300 IDIEM TABLAS'!$F$4:$H$35,3,FALSE),0)+IF(AND(L1043="Cafco 300",J1043&gt;=95,J1043&lt;=450,G1043=4,C1043="IN",I1043=90),VLOOKUP(T1043,'CAFCO 300 IDIEM TABLAS'!$J$4:$L$40,2,FALSE),0)+IF(AND(L1043="Cafco 300",J1043&gt;=95,J1043&lt;=450,G1043=4,C1043="IN",I1043=120),VLOOKUP(T1043,'CAFCO 300 IDIEM TABLAS'!$J$4:$L$40,3,FALSE),0)+IF(AND(M1043="Ensayo Idiem",L1043="Cafco 400",C1043="IN",G1043=4,I1043=90),VLOOKUP(T1043,'CAFCO 400 ENSAYO'!$B$7:$D$43,2,FALSE),0)+IF(AND(M1043="Ensayo Idiem",L1043="Cafco 400",C1043="IN",G1043=4,I1043=120),VLOOKUP(T1043,'CAFCO 400 ENSAYO'!$B$7:$D$43,3,FALSE),0)</f>
        <v>0</v>
      </c>
      <c r="O1043" s="96">
        <f t="shared" si="108"/>
        <v>0</v>
      </c>
      <c r="P1043" s="132" t="str">
        <f t="shared" si="103"/>
        <v>N/A</v>
      </c>
      <c r="Q1043" s="132" t="str">
        <f t="shared" si="104"/>
        <v>N/A</v>
      </c>
      <c r="R1043" s="132" t="str">
        <f t="shared" si="105"/>
        <v>NO CERT.</v>
      </c>
      <c r="S1043" s="132" t="e">
        <f t="shared" si="106"/>
        <v>#N/A</v>
      </c>
      <c r="T1043" s="133" t="e">
        <f>+IF(J1043=LOOKUP(J1043,'CAFCO 300 IDIEM TABLAS'!$J$4:$J$40),'CALCULO MORTERO'!J1043,MROUND('CALCULO MORTERO'!J1043,10))</f>
        <v>#N/A</v>
      </c>
      <c r="U1043" s="134">
        <f t="shared" si="107"/>
        <v>0</v>
      </c>
    </row>
    <row r="1044" spans="1:21" x14ac:dyDescent="0.25">
      <c r="A1044" s="118">
        <f>+CUBICACION!D1038</f>
        <v>0</v>
      </c>
      <c r="B1044" s="819">
        <f>+CUBICACION!E1038</f>
        <v>0</v>
      </c>
      <c r="C1044" s="675">
        <f>+CUBICACION!F1038</f>
        <v>0</v>
      </c>
      <c r="D1044" s="118"/>
      <c r="E1044" s="118"/>
      <c r="F1044" s="820"/>
      <c r="G1044" s="675">
        <f>+CUBICACION!J1038</f>
        <v>0</v>
      </c>
      <c r="H1044" s="118"/>
      <c r="I1044" s="821">
        <f>+CUBICACION!L1038</f>
        <v>0</v>
      </c>
      <c r="J1044" s="64">
        <f>+CUBICACION!M1038</f>
        <v>0</v>
      </c>
      <c r="K1044" s="822" t="str">
        <f>+CUBICACION!N1038</f>
        <v/>
      </c>
      <c r="L1044" s="118">
        <f>+CUBICACION!O1038</f>
        <v>0</v>
      </c>
      <c r="M1044" s="823">
        <f>+CUBICACION!P1038</f>
        <v>0</v>
      </c>
      <c r="N1044" s="902">
        <f>ROUND(IF(AND(L1044="Blaze Shield II",M1044="Software Idiem",C1044="IN",G1044=4),((('BLAZE SHIELD II'!$D$4*('CALCULO MORTERO'!I1044^2)+'BLAZE SHIELD II'!$D$5*'CALCULO MORTERO'!I1044+'BLAZE SHIELD II'!$D$6)*LN(J1044))+('BLAZE SHIELD II'!$D$7*('CALCULO MORTERO'!I1044^2)+'BLAZE SHIELD II'!$D$8*'CALCULO MORTERO'!I1044+'BLAZE SHIELD II'!$D$9)),0)+IF(AND(L1044="Blaze Shield II",M1044="Software Idiem",C1044="Cj"),((('BLAZE SHIELD II'!$H$4*('CALCULO MORTERO'!I1044^2)+'BLAZE SHIELD II'!$H$5*'CALCULO MORTERO'!I1044+'BLAZE SHIELD II'!$H$6)*LN(J1044))+('BLAZE SHIELD II'!$H$7*('CALCULO MORTERO'!I1044^2)+'BLAZE SHIELD II'!$H$8*'CALCULO MORTERO'!I1044+'BLAZE SHIELD II'!$H$9)),0)+IF(AND(L1044="Blaze Shield II",M1044="Software Idiem",C1044="C"),((('BLAZE SHIELD II'!$L$4*('CALCULO MORTERO'!I1044^2)+'BLAZE SHIELD II'!$L$5*'CALCULO MORTERO'!I1044+'BLAZE SHIELD II'!$L$6)*LN(J1044))+('BLAZE SHIELD II'!$L$7*('CALCULO MORTERO'!I1044^2)+'BLAZE SHIELD II'!$L$8*'CALCULO MORTERO'!I1044+'BLAZE SHIELD II'!$L$9)),0)+IF(AND(L1044="Blaze Shield II",M1044="Software Idiem",C1044="L"),((('BLAZE SHIELD II'!$L$4*('CALCULO MORTERO'!I1044^2)+'BLAZE SHIELD II'!$L$5*'CALCULO MORTERO'!I1044+'BLAZE SHIELD II'!$L$6)*LN(J1044))+('BLAZE SHIELD II'!$L$7*('CALCULO MORTERO'!I1044^2)+'BLAZE SHIELD II'!$L$8*'CALCULO MORTERO'!I1044+'BLAZE SHIELD II'!$L$9)),0)+IF(AND(L1044="Blaze Shield II",M1044="Software Idiem",C1044="IN",G1044=3),((('BLAZE SHIELD II'!$H$14*('CALCULO MORTERO'!I1044^2)+'BLAZE SHIELD II'!$H$15*'CALCULO MORTERO'!I1044+'BLAZE SHIELD II'!$H$16)*LN(J1044))+('BLAZE SHIELD II'!$H$17*('CALCULO MORTERO'!I1044^2)+'BLAZE SHIELD II'!$H$18*'CALCULO MORTERO'!I1044+'BLAZE SHIELD II'!$H$19)),0),0)+ROUND(IF(AND(L1044="Cafco 400",M1044="Software Idiem",C1044="IN",G1044=4),((('CAFCO 400 '!$H$7*(J1044^4)+'CAFCO 400 '!$H$8*(J1044^3)+'CAFCO 400 '!$H$9*(J1044^2)+'CAFCO 400 '!$H$10*J1044+'CAFCO 400 '!$H$11)*U1044^2)+(('CAFCO 400 '!$H$12*(J1044^3)+'CAFCO 400 '!$H$13*(J1044^2)+'CAFCO 400 '!$H$14*J1044+'CAFCO 400 '!$H$15)*U1044)+('CAFCO 400 '!$H$16*(J1044^2)+'CAFCO 400 '!$H$17*J1044+'CAFCO 400 '!$H$18)),0)+IF(AND(L1044="Cafco 400",M1044="Software Idiem",C1044="Cj"),(((('CAFCO 400 '!$D$7*LN(J1044)+'CAFCO 400 '!$D$8)*U1044^2)+(('CAFCO 400 '!$D$9*LN(J1044)+'CAFCO 400 '!$D$10)*U1044)+('CAFCO 400 '!$D$11*LN(J1044)+'CAFCO 400 '!$D$12))),0)+IF(AND(L1044="Cafco 400",M1044="Software Idiem",C1044="C"),((('CAFCO 400 '!$L$7*(J1044^3)+'CAFCO 400 '!$L$8*(J1044^2)+'CAFCO 400 '!$L$9*J1044+'CAFCO 400 '!$L$10)*U1044^2)+(('CAFCO 400 '!$L$11*(J1044^3)+'CAFCO 400 '!$L$12*(J1044^2)+'CAFCO 400 '!$L$13*J1044+'CAFCO 400 '!$L$14)*U1044)+('CAFCO 400 '!$L$15*LN(J1044)+'CAFCO 400 '!$L$16)),0)+IF(AND(L1044="Cafco 400",M1044="Software Idiem",C1044="L"),((('CAFCO 400 '!$L$7*(J1044^3)+'CAFCO 400 '!$L$8*(J1044^2)+'CAFCO 400 '!$L$9*J1044+'CAFCO 400 '!$L$10)*U1044^2)+(('CAFCO 400 '!$L$11*(J1044^3)+'CAFCO 400 '!$L$12*(J1044^2)+'CAFCO 400 '!$L$13*J1044+'CAFCO 400 '!$L$14)*U1044)+('CAFCO 400 '!$L$15*LN(J1044)+'CAFCO 400 '!$L$16)),0)+IF(AND(L1044="Cafco 400",M1044="Software Idiem",C1044="IN",G1044=3),((('CAFCO 400 '!$D$23*(J1044^2)+'CAFCO 400 '!$D$24*(J1044)+'CAFCO 400 '!$D$25)*U1044^2)+(('CAFCO 400 '!$D$26*(J1044^2)+'CAFCO 400 '!$D$27*J1044+'CAFCO 400 '!$D$28)*U1044)+('CAFCO 400 '!$D$29*(J1044^2)+'CAFCO 400 '!$D$30*J1044+'CAFCO 400 '!$D$31)),0),0)+IF(AND(L1044="Cafco 300",J1044&gt;=95,J1044&lt;=240,C1044="Cj",I1044=90),VLOOKUP(T1044,'CAFCO 300 IDIEM TABLAS'!$B$4:$D$23,2,FALSE),0)+IF(AND(L1044="Cafco 300",J1044&gt;=95,J1044&lt;=240,C1044="Cj",I1044=120),VLOOKUP(T1044,'CAFCO 300 IDIEM TABLAS'!$B$4:$D$23,3,FALSE),0)+IF(AND(L1044="Cafco 300",J1044&gt;=95,J1044&lt;=400,G1044=3,C1044="IN",I1044=90),VLOOKUP(T1044,'CAFCO 300 IDIEM TABLAS'!$F$4:$H$35,2,FALSE),0)+IF(AND(L1044="Cafco 300",J1044&gt;=95,J1044&lt;=400,G1044=3,C1044="IN",I1044=120),VLOOKUP(T1044,'CAFCO 300 IDIEM TABLAS'!$F$4:$H$35,3,FALSE),0)+IF(AND(L1044="Cafco 300",J1044&gt;=95,J1044&lt;=450,G1044=4,C1044="IN",I1044=90),VLOOKUP(T1044,'CAFCO 300 IDIEM TABLAS'!$J$4:$L$40,2,FALSE),0)+IF(AND(L1044="Cafco 300",J1044&gt;=95,J1044&lt;=450,G1044=4,C1044="IN",I1044=120),VLOOKUP(T1044,'CAFCO 300 IDIEM TABLAS'!$J$4:$L$40,3,FALSE),0)+IF(AND(M1044="Ensayo Idiem",L1044="Cafco 400",C1044="IN",G1044=4,I1044=90),VLOOKUP(T1044,'CAFCO 400 ENSAYO'!$B$7:$D$43,2,FALSE),0)+IF(AND(M1044="Ensayo Idiem",L1044="Cafco 400",C1044="IN",G1044=4,I1044=120),VLOOKUP(T1044,'CAFCO 400 ENSAYO'!$B$7:$D$43,3,FALSE),0)</f>
        <v>0</v>
      </c>
      <c r="O1044" s="96">
        <f t="shared" si="108"/>
        <v>0</v>
      </c>
      <c r="P1044" s="95" t="str">
        <f t="shared" si="103"/>
        <v>N/A</v>
      </c>
      <c r="Q1044" s="95" t="str">
        <f t="shared" si="104"/>
        <v>N/A</v>
      </c>
      <c r="R1044" s="95" t="str">
        <f t="shared" si="105"/>
        <v>NO CERT.</v>
      </c>
      <c r="S1044" s="95" t="e">
        <f t="shared" si="106"/>
        <v>#N/A</v>
      </c>
      <c r="T1044" s="119" t="e">
        <f>+IF(J1044=LOOKUP(J1044,'CAFCO 300 IDIEM TABLAS'!$J$4:$J$40),'CALCULO MORTERO'!J1044,MROUND('CALCULO MORTERO'!J1044,10))</f>
        <v>#N/A</v>
      </c>
      <c r="U1044" s="118">
        <f t="shared" si="107"/>
        <v>0</v>
      </c>
    </row>
    <row r="1045" spans="1:21" x14ac:dyDescent="0.25">
      <c r="A1045" s="118">
        <f>+CUBICACION!D1039</f>
        <v>0</v>
      </c>
      <c r="B1045" s="819">
        <f>+CUBICACION!E1039</f>
        <v>0</v>
      </c>
      <c r="C1045" s="675">
        <f>+CUBICACION!F1039</f>
        <v>0</v>
      </c>
      <c r="D1045" s="118"/>
      <c r="E1045" s="118"/>
      <c r="F1045" s="820"/>
      <c r="G1045" s="675">
        <f>+CUBICACION!J1039</f>
        <v>0</v>
      </c>
      <c r="H1045" s="118"/>
      <c r="I1045" s="821">
        <f>+CUBICACION!L1039</f>
        <v>0</v>
      </c>
      <c r="J1045" s="64">
        <f>+CUBICACION!M1039</f>
        <v>0</v>
      </c>
      <c r="K1045" s="822" t="str">
        <f>+CUBICACION!N1039</f>
        <v/>
      </c>
      <c r="L1045" s="118">
        <f>+CUBICACION!O1039</f>
        <v>0</v>
      </c>
      <c r="M1045" s="823">
        <f>+CUBICACION!P1039</f>
        <v>0</v>
      </c>
      <c r="N1045" s="902">
        <f>ROUND(IF(AND(L1045="Blaze Shield II",M1045="Software Idiem",C1045="IN",G1045=4),((('BLAZE SHIELD II'!$D$4*('CALCULO MORTERO'!I1045^2)+'BLAZE SHIELD II'!$D$5*'CALCULO MORTERO'!I1045+'BLAZE SHIELD II'!$D$6)*LN(J1045))+('BLAZE SHIELD II'!$D$7*('CALCULO MORTERO'!I1045^2)+'BLAZE SHIELD II'!$D$8*'CALCULO MORTERO'!I1045+'BLAZE SHIELD II'!$D$9)),0)+IF(AND(L1045="Blaze Shield II",M1045="Software Idiem",C1045="Cj"),((('BLAZE SHIELD II'!$H$4*('CALCULO MORTERO'!I1045^2)+'BLAZE SHIELD II'!$H$5*'CALCULO MORTERO'!I1045+'BLAZE SHIELD II'!$H$6)*LN(J1045))+('BLAZE SHIELD II'!$H$7*('CALCULO MORTERO'!I1045^2)+'BLAZE SHIELD II'!$H$8*'CALCULO MORTERO'!I1045+'BLAZE SHIELD II'!$H$9)),0)+IF(AND(L1045="Blaze Shield II",M1045="Software Idiem",C1045="C"),((('BLAZE SHIELD II'!$L$4*('CALCULO MORTERO'!I1045^2)+'BLAZE SHIELD II'!$L$5*'CALCULO MORTERO'!I1045+'BLAZE SHIELD II'!$L$6)*LN(J1045))+('BLAZE SHIELD II'!$L$7*('CALCULO MORTERO'!I1045^2)+'BLAZE SHIELD II'!$L$8*'CALCULO MORTERO'!I1045+'BLAZE SHIELD II'!$L$9)),0)+IF(AND(L1045="Blaze Shield II",M1045="Software Idiem",C1045="L"),((('BLAZE SHIELD II'!$L$4*('CALCULO MORTERO'!I1045^2)+'BLAZE SHIELD II'!$L$5*'CALCULO MORTERO'!I1045+'BLAZE SHIELD II'!$L$6)*LN(J1045))+('BLAZE SHIELD II'!$L$7*('CALCULO MORTERO'!I1045^2)+'BLAZE SHIELD II'!$L$8*'CALCULO MORTERO'!I1045+'BLAZE SHIELD II'!$L$9)),0)+IF(AND(L1045="Blaze Shield II",M1045="Software Idiem",C1045="IN",G1045=3),((('BLAZE SHIELD II'!$H$14*('CALCULO MORTERO'!I1045^2)+'BLAZE SHIELD II'!$H$15*'CALCULO MORTERO'!I1045+'BLAZE SHIELD II'!$H$16)*LN(J1045))+('BLAZE SHIELD II'!$H$17*('CALCULO MORTERO'!I1045^2)+'BLAZE SHIELD II'!$H$18*'CALCULO MORTERO'!I1045+'BLAZE SHIELD II'!$H$19)),0),0)+ROUND(IF(AND(L1045="Cafco 400",M1045="Software Idiem",C1045="IN",G1045=4),((('CAFCO 400 '!$H$7*(J1045^4)+'CAFCO 400 '!$H$8*(J1045^3)+'CAFCO 400 '!$H$9*(J1045^2)+'CAFCO 400 '!$H$10*J1045+'CAFCO 400 '!$H$11)*U1045^2)+(('CAFCO 400 '!$H$12*(J1045^3)+'CAFCO 400 '!$H$13*(J1045^2)+'CAFCO 400 '!$H$14*J1045+'CAFCO 400 '!$H$15)*U1045)+('CAFCO 400 '!$H$16*(J1045^2)+'CAFCO 400 '!$H$17*J1045+'CAFCO 400 '!$H$18)),0)+IF(AND(L1045="Cafco 400",M1045="Software Idiem",C1045="Cj"),(((('CAFCO 400 '!$D$7*LN(J1045)+'CAFCO 400 '!$D$8)*U1045^2)+(('CAFCO 400 '!$D$9*LN(J1045)+'CAFCO 400 '!$D$10)*U1045)+('CAFCO 400 '!$D$11*LN(J1045)+'CAFCO 400 '!$D$12))),0)+IF(AND(L1045="Cafco 400",M1045="Software Idiem",C1045="C"),((('CAFCO 400 '!$L$7*(J1045^3)+'CAFCO 400 '!$L$8*(J1045^2)+'CAFCO 400 '!$L$9*J1045+'CAFCO 400 '!$L$10)*U1045^2)+(('CAFCO 400 '!$L$11*(J1045^3)+'CAFCO 400 '!$L$12*(J1045^2)+'CAFCO 400 '!$L$13*J1045+'CAFCO 400 '!$L$14)*U1045)+('CAFCO 400 '!$L$15*LN(J1045)+'CAFCO 400 '!$L$16)),0)+IF(AND(L1045="Cafco 400",M1045="Software Idiem",C1045="L"),((('CAFCO 400 '!$L$7*(J1045^3)+'CAFCO 400 '!$L$8*(J1045^2)+'CAFCO 400 '!$L$9*J1045+'CAFCO 400 '!$L$10)*U1045^2)+(('CAFCO 400 '!$L$11*(J1045^3)+'CAFCO 400 '!$L$12*(J1045^2)+'CAFCO 400 '!$L$13*J1045+'CAFCO 400 '!$L$14)*U1045)+('CAFCO 400 '!$L$15*LN(J1045)+'CAFCO 400 '!$L$16)),0)+IF(AND(L1045="Cafco 400",M1045="Software Idiem",C1045="IN",G1045=3),((('CAFCO 400 '!$D$23*(J1045^2)+'CAFCO 400 '!$D$24*(J1045)+'CAFCO 400 '!$D$25)*U1045^2)+(('CAFCO 400 '!$D$26*(J1045^2)+'CAFCO 400 '!$D$27*J1045+'CAFCO 400 '!$D$28)*U1045)+('CAFCO 400 '!$D$29*(J1045^2)+'CAFCO 400 '!$D$30*J1045+'CAFCO 400 '!$D$31)),0),0)+IF(AND(L1045="Cafco 300",J1045&gt;=95,J1045&lt;=240,C1045="Cj",I1045=90),VLOOKUP(T1045,'CAFCO 300 IDIEM TABLAS'!$B$4:$D$23,2,FALSE),0)+IF(AND(L1045="Cafco 300",J1045&gt;=95,J1045&lt;=240,C1045="Cj",I1045=120),VLOOKUP(T1045,'CAFCO 300 IDIEM TABLAS'!$B$4:$D$23,3,FALSE),0)+IF(AND(L1045="Cafco 300",J1045&gt;=95,J1045&lt;=400,G1045=3,C1045="IN",I1045=90),VLOOKUP(T1045,'CAFCO 300 IDIEM TABLAS'!$F$4:$H$35,2,FALSE),0)+IF(AND(L1045="Cafco 300",J1045&gt;=95,J1045&lt;=400,G1045=3,C1045="IN",I1045=120),VLOOKUP(T1045,'CAFCO 300 IDIEM TABLAS'!$F$4:$H$35,3,FALSE),0)+IF(AND(L1045="Cafco 300",J1045&gt;=95,J1045&lt;=450,G1045=4,C1045="IN",I1045=90),VLOOKUP(T1045,'CAFCO 300 IDIEM TABLAS'!$J$4:$L$40,2,FALSE),0)+IF(AND(L1045="Cafco 300",J1045&gt;=95,J1045&lt;=450,G1045=4,C1045="IN",I1045=120),VLOOKUP(T1045,'CAFCO 300 IDIEM TABLAS'!$J$4:$L$40,3,FALSE),0)+IF(AND(M1045="Ensayo Idiem",L1045="Cafco 400",C1045="IN",G1045=4,I1045=90),VLOOKUP(T1045,'CAFCO 400 ENSAYO'!$B$7:$D$43,2,FALSE),0)+IF(AND(M1045="Ensayo Idiem",L1045="Cafco 400",C1045="IN",G1045=4,I1045=120),VLOOKUP(T1045,'CAFCO 400 ENSAYO'!$B$7:$D$43,3,FALSE),0)</f>
        <v>0</v>
      </c>
      <c r="O1045" s="96">
        <f t="shared" si="108"/>
        <v>0</v>
      </c>
      <c r="P1045" s="132" t="str">
        <f t="shared" si="103"/>
        <v>N/A</v>
      </c>
      <c r="Q1045" s="132" t="str">
        <f t="shared" si="104"/>
        <v>N/A</v>
      </c>
      <c r="R1045" s="132" t="str">
        <f t="shared" si="105"/>
        <v>NO CERT.</v>
      </c>
      <c r="S1045" s="132" t="e">
        <f t="shared" si="106"/>
        <v>#N/A</v>
      </c>
      <c r="T1045" s="133" t="e">
        <f>+IF(J1045=LOOKUP(J1045,'CAFCO 300 IDIEM TABLAS'!$J$4:$J$40),'CALCULO MORTERO'!J1045,MROUND('CALCULO MORTERO'!J1045,10))</f>
        <v>#N/A</v>
      </c>
      <c r="U1045" s="134">
        <f t="shared" si="107"/>
        <v>0</v>
      </c>
    </row>
    <row r="1046" spans="1:21" x14ac:dyDescent="0.25">
      <c r="A1046" s="118">
        <f>+CUBICACION!D1040</f>
        <v>0</v>
      </c>
      <c r="B1046" s="819">
        <f>+CUBICACION!E1040</f>
        <v>0</v>
      </c>
      <c r="C1046" s="675">
        <f>+CUBICACION!F1040</f>
        <v>0</v>
      </c>
      <c r="D1046" s="118"/>
      <c r="E1046" s="118"/>
      <c r="F1046" s="820"/>
      <c r="G1046" s="675">
        <f>+CUBICACION!J1040</f>
        <v>0</v>
      </c>
      <c r="H1046" s="118"/>
      <c r="I1046" s="821">
        <f>+CUBICACION!L1040</f>
        <v>0</v>
      </c>
      <c r="J1046" s="64">
        <f>+CUBICACION!M1040</f>
        <v>0</v>
      </c>
      <c r="K1046" s="822" t="str">
        <f>+CUBICACION!N1040</f>
        <v/>
      </c>
      <c r="L1046" s="118">
        <f>+CUBICACION!O1040</f>
        <v>0</v>
      </c>
      <c r="M1046" s="823">
        <f>+CUBICACION!P1040</f>
        <v>0</v>
      </c>
      <c r="N1046" s="902">
        <f>ROUND(IF(AND(L1046="Blaze Shield II",M1046="Software Idiem",C1046="IN",G1046=4),((('BLAZE SHIELD II'!$D$4*('CALCULO MORTERO'!I1046^2)+'BLAZE SHIELD II'!$D$5*'CALCULO MORTERO'!I1046+'BLAZE SHIELD II'!$D$6)*LN(J1046))+('BLAZE SHIELD II'!$D$7*('CALCULO MORTERO'!I1046^2)+'BLAZE SHIELD II'!$D$8*'CALCULO MORTERO'!I1046+'BLAZE SHIELD II'!$D$9)),0)+IF(AND(L1046="Blaze Shield II",M1046="Software Idiem",C1046="Cj"),((('BLAZE SHIELD II'!$H$4*('CALCULO MORTERO'!I1046^2)+'BLAZE SHIELD II'!$H$5*'CALCULO MORTERO'!I1046+'BLAZE SHIELD II'!$H$6)*LN(J1046))+('BLAZE SHIELD II'!$H$7*('CALCULO MORTERO'!I1046^2)+'BLAZE SHIELD II'!$H$8*'CALCULO MORTERO'!I1046+'BLAZE SHIELD II'!$H$9)),0)+IF(AND(L1046="Blaze Shield II",M1046="Software Idiem",C1046="C"),((('BLAZE SHIELD II'!$L$4*('CALCULO MORTERO'!I1046^2)+'BLAZE SHIELD II'!$L$5*'CALCULO MORTERO'!I1046+'BLAZE SHIELD II'!$L$6)*LN(J1046))+('BLAZE SHIELD II'!$L$7*('CALCULO MORTERO'!I1046^2)+'BLAZE SHIELD II'!$L$8*'CALCULO MORTERO'!I1046+'BLAZE SHIELD II'!$L$9)),0)+IF(AND(L1046="Blaze Shield II",M1046="Software Idiem",C1046="L"),((('BLAZE SHIELD II'!$L$4*('CALCULO MORTERO'!I1046^2)+'BLAZE SHIELD II'!$L$5*'CALCULO MORTERO'!I1046+'BLAZE SHIELD II'!$L$6)*LN(J1046))+('BLAZE SHIELD II'!$L$7*('CALCULO MORTERO'!I1046^2)+'BLAZE SHIELD II'!$L$8*'CALCULO MORTERO'!I1046+'BLAZE SHIELD II'!$L$9)),0)+IF(AND(L1046="Blaze Shield II",M1046="Software Idiem",C1046="IN",G1046=3),((('BLAZE SHIELD II'!$H$14*('CALCULO MORTERO'!I1046^2)+'BLAZE SHIELD II'!$H$15*'CALCULO MORTERO'!I1046+'BLAZE SHIELD II'!$H$16)*LN(J1046))+('BLAZE SHIELD II'!$H$17*('CALCULO MORTERO'!I1046^2)+'BLAZE SHIELD II'!$H$18*'CALCULO MORTERO'!I1046+'BLAZE SHIELD II'!$H$19)),0),0)+ROUND(IF(AND(L1046="Cafco 400",M1046="Software Idiem",C1046="IN",G1046=4),((('CAFCO 400 '!$H$7*(J1046^4)+'CAFCO 400 '!$H$8*(J1046^3)+'CAFCO 400 '!$H$9*(J1046^2)+'CAFCO 400 '!$H$10*J1046+'CAFCO 400 '!$H$11)*U1046^2)+(('CAFCO 400 '!$H$12*(J1046^3)+'CAFCO 400 '!$H$13*(J1046^2)+'CAFCO 400 '!$H$14*J1046+'CAFCO 400 '!$H$15)*U1046)+('CAFCO 400 '!$H$16*(J1046^2)+'CAFCO 400 '!$H$17*J1046+'CAFCO 400 '!$H$18)),0)+IF(AND(L1046="Cafco 400",M1046="Software Idiem",C1046="Cj"),(((('CAFCO 400 '!$D$7*LN(J1046)+'CAFCO 400 '!$D$8)*U1046^2)+(('CAFCO 400 '!$D$9*LN(J1046)+'CAFCO 400 '!$D$10)*U1046)+('CAFCO 400 '!$D$11*LN(J1046)+'CAFCO 400 '!$D$12))),0)+IF(AND(L1046="Cafco 400",M1046="Software Idiem",C1046="C"),((('CAFCO 400 '!$L$7*(J1046^3)+'CAFCO 400 '!$L$8*(J1046^2)+'CAFCO 400 '!$L$9*J1046+'CAFCO 400 '!$L$10)*U1046^2)+(('CAFCO 400 '!$L$11*(J1046^3)+'CAFCO 400 '!$L$12*(J1046^2)+'CAFCO 400 '!$L$13*J1046+'CAFCO 400 '!$L$14)*U1046)+('CAFCO 400 '!$L$15*LN(J1046)+'CAFCO 400 '!$L$16)),0)+IF(AND(L1046="Cafco 400",M1046="Software Idiem",C1046="L"),((('CAFCO 400 '!$L$7*(J1046^3)+'CAFCO 400 '!$L$8*(J1046^2)+'CAFCO 400 '!$L$9*J1046+'CAFCO 400 '!$L$10)*U1046^2)+(('CAFCO 400 '!$L$11*(J1046^3)+'CAFCO 400 '!$L$12*(J1046^2)+'CAFCO 400 '!$L$13*J1046+'CAFCO 400 '!$L$14)*U1046)+('CAFCO 400 '!$L$15*LN(J1046)+'CAFCO 400 '!$L$16)),0)+IF(AND(L1046="Cafco 400",M1046="Software Idiem",C1046="IN",G1046=3),((('CAFCO 400 '!$D$23*(J1046^2)+'CAFCO 400 '!$D$24*(J1046)+'CAFCO 400 '!$D$25)*U1046^2)+(('CAFCO 400 '!$D$26*(J1046^2)+'CAFCO 400 '!$D$27*J1046+'CAFCO 400 '!$D$28)*U1046)+('CAFCO 400 '!$D$29*(J1046^2)+'CAFCO 400 '!$D$30*J1046+'CAFCO 400 '!$D$31)),0),0)+IF(AND(L1046="Cafco 300",J1046&gt;=95,J1046&lt;=240,C1046="Cj",I1046=90),VLOOKUP(T1046,'CAFCO 300 IDIEM TABLAS'!$B$4:$D$23,2,FALSE),0)+IF(AND(L1046="Cafco 300",J1046&gt;=95,J1046&lt;=240,C1046="Cj",I1046=120),VLOOKUP(T1046,'CAFCO 300 IDIEM TABLAS'!$B$4:$D$23,3,FALSE),0)+IF(AND(L1046="Cafco 300",J1046&gt;=95,J1046&lt;=400,G1046=3,C1046="IN",I1046=90),VLOOKUP(T1046,'CAFCO 300 IDIEM TABLAS'!$F$4:$H$35,2,FALSE),0)+IF(AND(L1046="Cafco 300",J1046&gt;=95,J1046&lt;=400,G1046=3,C1046="IN",I1046=120),VLOOKUP(T1046,'CAFCO 300 IDIEM TABLAS'!$F$4:$H$35,3,FALSE),0)+IF(AND(L1046="Cafco 300",J1046&gt;=95,J1046&lt;=450,G1046=4,C1046="IN",I1046=90),VLOOKUP(T1046,'CAFCO 300 IDIEM TABLAS'!$J$4:$L$40,2,FALSE),0)+IF(AND(L1046="Cafco 300",J1046&gt;=95,J1046&lt;=450,G1046=4,C1046="IN",I1046=120),VLOOKUP(T1046,'CAFCO 300 IDIEM TABLAS'!$J$4:$L$40,3,FALSE),0)+IF(AND(M1046="Ensayo Idiem",L1046="Cafco 400",C1046="IN",G1046=4,I1046=90),VLOOKUP(T1046,'CAFCO 400 ENSAYO'!$B$7:$D$43,2,FALSE),0)+IF(AND(M1046="Ensayo Idiem",L1046="Cafco 400",C1046="IN",G1046=4,I1046=120),VLOOKUP(T1046,'CAFCO 400 ENSAYO'!$B$7:$D$43,3,FALSE),0)</f>
        <v>0</v>
      </c>
      <c r="O1046" s="96">
        <f t="shared" si="108"/>
        <v>0</v>
      </c>
      <c r="P1046" s="95" t="str">
        <f t="shared" si="103"/>
        <v>N/A</v>
      </c>
      <c r="Q1046" s="95" t="str">
        <f t="shared" si="104"/>
        <v>N/A</v>
      </c>
      <c r="R1046" s="95" t="str">
        <f t="shared" si="105"/>
        <v>NO CERT.</v>
      </c>
      <c r="S1046" s="95" t="e">
        <f t="shared" si="106"/>
        <v>#N/A</v>
      </c>
      <c r="T1046" s="119" t="e">
        <f>+IF(J1046=LOOKUP(J1046,'CAFCO 300 IDIEM TABLAS'!$J$4:$J$40),'CALCULO MORTERO'!J1046,MROUND('CALCULO MORTERO'!J1046,10))</f>
        <v>#N/A</v>
      </c>
      <c r="U1046" s="118">
        <f t="shared" si="107"/>
        <v>0</v>
      </c>
    </row>
    <row r="1047" spans="1:21" x14ac:dyDescent="0.25">
      <c r="A1047" s="118">
        <f>+CUBICACION!D1041</f>
        <v>0</v>
      </c>
      <c r="B1047" s="819">
        <f>+CUBICACION!E1041</f>
        <v>0</v>
      </c>
      <c r="C1047" s="675">
        <f>+CUBICACION!F1041</f>
        <v>0</v>
      </c>
      <c r="D1047" s="118"/>
      <c r="E1047" s="118"/>
      <c r="F1047" s="820"/>
      <c r="G1047" s="675">
        <f>+CUBICACION!J1041</f>
        <v>0</v>
      </c>
      <c r="H1047" s="118"/>
      <c r="I1047" s="821">
        <f>+CUBICACION!L1041</f>
        <v>0</v>
      </c>
      <c r="J1047" s="64">
        <f>+CUBICACION!M1041</f>
        <v>0</v>
      </c>
      <c r="K1047" s="822" t="str">
        <f>+CUBICACION!N1041</f>
        <v/>
      </c>
      <c r="L1047" s="118">
        <f>+CUBICACION!O1041</f>
        <v>0</v>
      </c>
      <c r="M1047" s="823">
        <f>+CUBICACION!P1041</f>
        <v>0</v>
      </c>
      <c r="N1047" s="902">
        <f>ROUND(IF(AND(L1047="Blaze Shield II",M1047="Software Idiem",C1047="IN",G1047=4),((('BLAZE SHIELD II'!$D$4*('CALCULO MORTERO'!I1047^2)+'BLAZE SHIELD II'!$D$5*'CALCULO MORTERO'!I1047+'BLAZE SHIELD II'!$D$6)*LN(J1047))+('BLAZE SHIELD II'!$D$7*('CALCULO MORTERO'!I1047^2)+'BLAZE SHIELD II'!$D$8*'CALCULO MORTERO'!I1047+'BLAZE SHIELD II'!$D$9)),0)+IF(AND(L1047="Blaze Shield II",M1047="Software Idiem",C1047="Cj"),((('BLAZE SHIELD II'!$H$4*('CALCULO MORTERO'!I1047^2)+'BLAZE SHIELD II'!$H$5*'CALCULO MORTERO'!I1047+'BLAZE SHIELD II'!$H$6)*LN(J1047))+('BLAZE SHIELD II'!$H$7*('CALCULO MORTERO'!I1047^2)+'BLAZE SHIELD II'!$H$8*'CALCULO MORTERO'!I1047+'BLAZE SHIELD II'!$H$9)),0)+IF(AND(L1047="Blaze Shield II",M1047="Software Idiem",C1047="C"),((('BLAZE SHIELD II'!$L$4*('CALCULO MORTERO'!I1047^2)+'BLAZE SHIELD II'!$L$5*'CALCULO MORTERO'!I1047+'BLAZE SHIELD II'!$L$6)*LN(J1047))+('BLAZE SHIELD II'!$L$7*('CALCULO MORTERO'!I1047^2)+'BLAZE SHIELD II'!$L$8*'CALCULO MORTERO'!I1047+'BLAZE SHIELD II'!$L$9)),0)+IF(AND(L1047="Blaze Shield II",M1047="Software Idiem",C1047="L"),((('BLAZE SHIELD II'!$L$4*('CALCULO MORTERO'!I1047^2)+'BLAZE SHIELD II'!$L$5*'CALCULO MORTERO'!I1047+'BLAZE SHIELD II'!$L$6)*LN(J1047))+('BLAZE SHIELD II'!$L$7*('CALCULO MORTERO'!I1047^2)+'BLAZE SHIELD II'!$L$8*'CALCULO MORTERO'!I1047+'BLAZE SHIELD II'!$L$9)),0)+IF(AND(L1047="Blaze Shield II",M1047="Software Idiem",C1047="IN",G1047=3),((('BLAZE SHIELD II'!$H$14*('CALCULO MORTERO'!I1047^2)+'BLAZE SHIELD II'!$H$15*'CALCULO MORTERO'!I1047+'BLAZE SHIELD II'!$H$16)*LN(J1047))+('BLAZE SHIELD II'!$H$17*('CALCULO MORTERO'!I1047^2)+'BLAZE SHIELD II'!$H$18*'CALCULO MORTERO'!I1047+'BLAZE SHIELD II'!$H$19)),0),0)+ROUND(IF(AND(L1047="Cafco 400",M1047="Software Idiem",C1047="IN",G1047=4),((('CAFCO 400 '!$H$7*(J1047^4)+'CAFCO 400 '!$H$8*(J1047^3)+'CAFCO 400 '!$H$9*(J1047^2)+'CAFCO 400 '!$H$10*J1047+'CAFCO 400 '!$H$11)*U1047^2)+(('CAFCO 400 '!$H$12*(J1047^3)+'CAFCO 400 '!$H$13*(J1047^2)+'CAFCO 400 '!$H$14*J1047+'CAFCO 400 '!$H$15)*U1047)+('CAFCO 400 '!$H$16*(J1047^2)+'CAFCO 400 '!$H$17*J1047+'CAFCO 400 '!$H$18)),0)+IF(AND(L1047="Cafco 400",M1047="Software Idiem",C1047="Cj"),(((('CAFCO 400 '!$D$7*LN(J1047)+'CAFCO 400 '!$D$8)*U1047^2)+(('CAFCO 400 '!$D$9*LN(J1047)+'CAFCO 400 '!$D$10)*U1047)+('CAFCO 400 '!$D$11*LN(J1047)+'CAFCO 400 '!$D$12))),0)+IF(AND(L1047="Cafco 400",M1047="Software Idiem",C1047="C"),((('CAFCO 400 '!$L$7*(J1047^3)+'CAFCO 400 '!$L$8*(J1047^2)+'CAFCO 400 '!$L$9*J1047+'CAFCO 400 '!$L$10)*U1047^2)+(('CAFCO 400 '!$L$11*(J1047^3)+'CAFCO 400 '!$L$12*(J1047^2)+'CAFCO 400 '!$L$13*J1047+'CAFCO 400 '!$L$14)*U1047)+('CAFCO 400 '!$L$15*LN(J1047)+'CAFCO 400 '!$L$16)),0)+IF(AND(L1047="Cafco 400",M1047="Software Idiem",C1047="L"),((('CAFCO 400 '!$L$7*(J1047^3)+'CAFCO 400 '!$L$8*(J1047^2)+'CAFCO 400 '!$L$9*J1047+'CAFCO 400 '!$L$10)*U1047^2)+(('CAFCO 400 '!$L$11*(J1047^3)+'CAFCO 400 '!$L$12*(J1047^2)+'CAFCO 400 '!$L$13*J1047+'CAFCO 400 '!$L$14)*U1047)+('CAFCO 400 '!$L$15*LN(J1047)+'CAFCO 400 '!$L$16)),0)+IF(AND(L1047="Cafco 400",M1047="Software Idiem",C1047="IN",G1047=3),((('CAFCO 400 '!$D$23*(J1047^2)+'CAFCO 400 '!$D$24*(J1047)+'CAFCO 400 '!$D$25)*U1047^2)+(('CAFCO 400 '!$D$26*(J1047^2)+'CAFCO 400 '!$D$27*J1047+'CAFCO 400 '!$D$28)*U1047)+('CAFCO 400 '!$D$29*(J1047^2)+'CAFCO 400 '!$D$30*J1047+'CAFCO 400 '!$D$31)),0),0)+IF(AND(L1047="Cafco 300",J1047&gt;=95,J1047&lt;=240,C1047="Cj",I1047=90),VLOOKUP(T1047,'CAFCO 300 IDIEM TABLAS'!$B$4:$D$23,2,FALSE),0)+IF(AND(L1047="Cafco 300",J1047&gt;=95,J1047&lt;=240,C1047="Cj",I1047=120),VLOOKUP(T1047,'CAFCO 300 IDIEM TABLAS'!$B$4:$D$23,3,FALSE),0)+IF(AND(L1047="Cafco 300",J1047&gt;=95,J1047&lt;=400,G1047=3,C1047="IN",I1047=90),VLOOKUP(T1047,'CAFCO 300 IDIEM TABLAS'!$F$4:$H$35,2,FALSE),0)+IF(AND(L1047="Cafco 300",J1047&gt;=95,J1047&lt;=400,G1047=3,C1047="IN",I1047=120),VLOOKUP(T1047,'CAFCO 300 IDIEM TABLAS'!$F$4:$H$35,3,FALSE),0)+IF(AND(L1047="Cafco 300",J1047&gt;=95,J1047&lt;=450,G1047=4,C1047="IN",I1047=90),VLOOKUP(T1047,'CAFCO 300 IDIEM TABLAS'!$J$4:$L$40,2,FALSE),0)+IF(AND(L1047="Cafco 300",J1047&gt;=95,J1047&lt;=450,G1047=4,C1047="IN",I1047=120),VLOOKUP(T1047,'CAFCO 300 IDIEM TABLAS'!$J$4:$L$40,3,FALSE),0)+IF(AND(M1047="Ensayo Idiem",L1047="Cafco 400",C1047="IN",G1047=4,I1047=90),VLOOKUP(T1047,'CAFCO 400 ENSAYO'!$B$7:$D$43,2,FALSE),0)+IF(AND(M1047="Ensayo Idiem",L1047="Cafco 400",C1047="IN",G1047=4,I1047=120),VLOOKUP(T1047,'CAFCO 400 ENSAYO'!$B$7:$D$43,3,FALSE),0)</f>
        <v>0</v>
      </c>
      <c r="O1047" s="96">
        <f t="shared" si="108"/>
        <v>0</v>
      </c>
      <c r="P1047" s="132" t="str">
        <f t="shared" si="103"/>
        <v>N/A</v>
      </c>
      <c r="Q1047" s="132" t="str">
        <f t="shared" si="104"/>
        <v>N/A</v>
      </c>
      <c r="R1047" s="132" t="str">
        <f t="shared" si="105"/>
        <v>NO CERT.</v>
      </c>
      <c r="S1047" s="132" t="e">
        <f t="shared" si="106"/>
        <v>#N/A</v>
      </c>
      <c r="T1047" s="133" t="e">
        <f>+IF(J1047=LOOKUP(J1047,'CAFCO 300 IDIEM TABLAS'!$J$4:$J$40),'CALCULO MORTERO'!J1047,MROUND('CALCULO MORTERO'!J1047,10))</f>
        <v>#N/A</v>
      </c>
      <c r="U1047" s="134">
        <f t="shared" si="107"/>
        <v>0</v>
      </c>
    </row>
    <row r="1048" spans="1:21" x14ac:dyDescent="0.25">
      <c r="A1048" s="118">
        <f>+CUBICACION!D1042</f>
        <v>0</v>
      </c>
      <c r="B1048" s="819">
        <f>+CUBICACION!E1042</f>
        <v>0</v>
      </c>
      <c r="C1048" s="675">
        <f>+CUBICACION!F1042</f>
        <v>0</v>
      </c>
      <c r="D1048" s="118"/>
      <c r="E1048" s="118"/>
      <c r="F1048" s="820"/>
      <c r="G1048" s="675">
        <f>+CUBICACION!J1042</f>
        <v>0</v>
      </c>
      <c r="H1048" s="118"/>
      <c r="I1048" s="821">
        <f>+CUBICACION!L1042</f>
        <v>0</v>
      </c>
      <c r="J1048" s="64">
        <f>+CUBICACION!M1042</f>
        <v>0</v>
      </c>
      <c r="K1048" s="822" t="str">
        <f>+CUBICACION!N1042</f>
        <v/>
      </c>
      <c r="L1048" s="118">
        <f>+CUBICACION!O1042</f>
        <v>0</v>
      </c>
      <c r="M1048" s="823">
        <f>+CUBICACION!P1042</f>
        <v>0</v>
      </c>
      <c r="N1048" s="902">
        <f>ROUND(IF(AND(L1048="Blaze Shield II",M1048="Software Idiem",C1048="IN",G1048=4),((('BLAZE SHIELD II'!$D$4*('CALCULO MORTERO'!I1048^2)+'BLAZE SHIELD II'!$D$5*'CALCULO MORTERO'!I1048+'BLAZE SHIELD II'!$D$6)*LN(J1048))+('BLAZE SHIELD II'!$D$7*('CALCULO MORTERO'!I1048^2)+'BLAZE SHIELD II'!$D$8*'CALCULO MORTERO'!I1048+'BLAZE SHIELD II'!$D$9)),0)+IF(AND(L1048="Blaze Shield II",M1048="Software Idiem",C1048="Cj"),((('BLAZE SHIELD II'!$H$4*('CALCULO MORTERO'!I1048^2)+'BLAZE SHIELD II'!$H$5*'CALCULO MORTERO'!I1048+'BLAZE SHIELD II'!$H$6)*LN(J1048))+('BLAZE SHIELD II'!$H$7*('CALCULO MORTERO'!I1048^2)+'BLAZE SHIELD II'!$H$8*'CALCULO MORTERO'!I1048+'BLAZE SHIELD II'!$H$9)),0)+IF(AND(L1048="Blaze Shield II",M1048="Software Idiem",C1048="C"),((('BLAZE SHIELD II'!$L$4*('CALCULO MORTERO'!I1048^2)+'BLAZE SHIELD II'!$L$5*'CALCULO MORTERO'!I1048+'BLAZE SHIELD II'!$L$6)*LN(J1048))+('BLAZE SHIELD II'!$L$7*('CALCULO MORTERO'!I1048^2)+'BLAZE SHIELD II'!$L$8*'CALCULO MORTERO'!I1048+'BLAZE SHIELD II'!$L$9)),0)+IF(AND(L1048="Blaze Shield II",M1048="Software Idiem",C1048="L"),((('BLAZE SHIELD II'!$L$4*('CALCULO MORTERO'!I1048^2)+'BLAZE SHIELD II'!$L$5*'CALCULO MORTERO'!I1048+'BLAZE SHIELD II'!$L$6)*LN(J1048))+('BLAZE SHIELD II'!$L$7*('CALCULO MORTERO'!I1048^2)+'BLAZE SHIELD II'!$L$8*'CALCULO MORTERO'!I1048+'BLAZE SHIELD II'!$L$9)),0)+IF(AND(L1048="Blaze Shield II",M1048="Software Idiem",C1048="IN",G1048=3),((('BLAZE SHIELD II'!$H$14*('CALCULO MORTERO'!I1048^2)+'BLAZE SHIELD II'!$H$15*'CALCULO MORTERO'!I1048+'BLAZE SHIELD II'!$H$16)*LN(J1048))+('BLAZE SHIELD II'!$H$17*('CALCULO MORTERO'!I1048^2)+'BLAZE SHIELD II'!$H$18*'CALCULO MORTERO'!I1048+'BLAZE SHIELD II'!$H$19)),0),0)+ROUND(IF(AND(L1048="Cafco 400",M1048="Software Idiem",C1048="IN",G1048=4),((('CAFCO 400 '!$H$7*(J1048^4)+'CAFCO 400 '!$H$8*(J1048^3)+'CAFCO 400 '!$H$9*(J1048^2)+'CAFCO 400 '!$H$10*J1048+'CAFCO 400 '!$H$11)*U1048^2)+(('CAFCO 400 '!$H$12*(J1048^3)+'CAFCO 400 '!$H$13*(J1048^2)+'CAFCO 400 '!$H$14*J1048+'CAFCO 400 '!$H$15)*U1048)+('CAFCO 400 '!$H$16*(J1048^2)+'CAFCO 400 '!$H$17*J1048+'CAFCO 400 '!$H$18)),0)+IF(AND(L1048="Cafco 400",M1048="Software Idiem",C1048="Cj"),(((('CAFCO 400 '!$D$7*LN(J1048)+'CAFCO 400 '!$D$8)*U1048^2)+(('CAFCO 400 '!$D$9*LN(J1048)+'CAFCO 400 '!$D$10)*U1048)+('CAFCO 400 '!$D$11*LN(J1048)+'CAFCO 400 '!$D$12))),0)+IF(AND(L1048="Cafco 400",M1048="Software Idiem",C1048="C"),((('CAFCO 400 '!$L$7*(J1048^3)+'CAFCO 400 '!$L$8*(J1048^2)+'CAFCO 400 '!$L$9*J1048+'CAFCO 400 '!$L$10)*U1048^2)+(('CAFCO 400 '!$L$11*(J1048^3)+'CAFCO 400 '!$L$12*(J1048^2)+'CAFCO 400 '!$L$13*J1048+'CAFCO 400 '!$L$14)*U1048)+('CAFCO 400 '!$L$15*LN(J1048)+'CAFCO 400 '!$L$16)),0)+IF(AND(L1048="Cafco 400",M1048="Software Idiem",C1048="L"),((('CAFCO 400 '!$L$7*(J1048^3)+'CAFCO 400 '!$L$8*(J1048^2)+'CAFCO 400 '!$L$9*J1048+'CAFCO 400 '!$L$10)*U1048^2)+(('CAFCO 400 '!$L$11*(J1048^3)+'CAFCO 400 '!$L$12*(J1048^2)+'CAFCO 400 '!$L$13*J1048+'CAFCO 400 '!$L$14)*U1048)+('CAFCO 400 '!$L$15*LN(J1048)+'CAFCO 400 '!$L$16)),0)+IF(AND(L1048="Cafco 400",M1048="Software Idiem",C1048="IN",G1048=3),((('CAFCO 400 '!$D$23*(J1048^2)+'CAFCO 400 '!$D$24*(J1048)+'CAFCO 400 '!$D$25)*U1048^2)+(('CAFCO 400 '!$D$26*(J1048^2)+'CAFCO 400 '!$D$27*J1048+'CAFCO 400 '!$D$28)*U1048)+('CAFCO 400 '!$D$29*(J1048^2)+'CAFCO 400 '!$D$30*J1048+'CAFCO 400 '!$D$31)),0),0)+IF(AND(L1048="Cafco 300",J1048&gt;=95,J1048&lt;=240,C1048="Cj",I1048=90),VLOOKUP(T1048,'CAFCO 300 IDIEM TABLAS'!$B$4:$D$23,2,FALSE),0)+IF(AND(L1048="Cafco 300",J1048&gt;=95,J1048&lt;=240,C1048="Cj",I1048=120),VLOOKUP(T1048,'CAFCO 300 IDIEM TABLAS'!$B$4:$D$23,3,FALSE),0)+IF(AND(L1048="Cafco 300",J1048&gt;=95,J1048&lt;=400,G1048=3,C1048="IN",I1048=90),VLOOKUP(T1048,'CAFCO 300 IDIEM TABLAS'!$F$4:$H$35,2,FALSE),0)+IF(AND(L1048="Cafco 300",J1048&gt;=95,J1048&lt;=400,G1048=3,C1048="IN",I1048=120),VLOOKUP(T1048,'CAFCO 300 IDIEM TABLAS'!$F$4:$H$35,3,FALSE),0)+IF(AND(L1048="Cafco 300",J1048&gt;=95,J1048&lt;=450,G1048=4,C1048="IN",I1048=90),VLOOKUP(T1048,'CAFCO 300 IDIEM TABLAS'!$J$4:$L$40,2,FALSE),0)+IF(AND(L1048="Cafco 300",J1048&gt;=95,J1048&lt;=450,G1048=4,C1048="IN",I1048=120),VLOOKUP(T1048,'CAFCO 300 IDIEM TABLAS'!$J$4:$L$40,3,FALSE),0)+IF(AND(M1048="Ensayo Idiem",L1048="Cafco 400",C1048="IN",G1048=4,I1048=90),VLOOKUP(T1048,'CAFCO 400 ENSAYO'!$B$7:$D$43,2,FALSE),0)+IF(AND(M1048="Ensayo Idiem",L1048="Cafco 400",C1048="IN",G1048=4,I1048=120),VLOOKUP(T1048,'CAFCO 400 ENSAYO'!$B$7:$D$43,3,FALSE),0)</f>
        <v>0</v>
      </c>
      <c r="O1048" s="96">
        <f t="shared" si="108"/>
        <v>0</v>
      </c>
      <c r="P1048" s="95" t="str">
        <f t="shared" si="103"/>
        <v>N/A</v>
      </c>
      <c r="Q1048" s="95" t="str">
        <f t="shared" si="104"/>
        <v>N/A</v>
      </c>
      <c r="R1048" s="95" t="str">
        <f t="shared" si="105"/>
        <v>NO CERT.</v>
      </c>
      <c r="S1048" s="95" t="e">
        <f t="shared" si="106"/>
        <v>#N/A</v>
      </c>
      <c r="T1048" s="119" t="e">
        <f>+IF(J1048=LOOKUP(J1048,'CAFCO 300 IDIEM TABLAS'!$J$4:$J$40),'CALCULO MORTERO'!J1048,MROUND('CALCULO MORTERO'!J1048,10))</f>
        <v>#N/A</v>
      </c>
      <c r="U1048" s="118">
        <f t="shared" si="107"/>
        <v>0</v>
      </c>
    </row>
    <row r="1049" spans="1:21" x14ac:dyDescent="0.25">
      <c r="A1049" s="118">
        <f>+CUBICACION!D1043</f>
        <v>0</v>
      </c>
      <c r="B1049" s="819">
        <f>+CUBICACION!E1043</f>
        <v>0</v>
      </c>
      <c r="C1049" s="675">
        <f>+CUBICACION!F1043</f>
        <v>0</v>
      </c>
      <c r="D1049" s="118"/>
      <c r="E1049" s="118"/>
      <c r="F1049" s="820"/>
      <c r="G1049" s="675">
        <f>+CUBICACION!J1043</f>
        <v>0</v>
      </c>
      <c r="H1049" s="118"/>
      <c r="I1049" s="821">
        <f>+CUBICACION!L1043</f>
        <v>0</v>
      </c>
      <c r="J1049" s="64">
        <f>+CUBICACION!M1043</f>
        <v>0</v>
      </c>
      <c r="K1049" s="822" t="str">
        <f>+CUBICACION!N1043</f>
        <v/>
      </c>
      <c r="L1049" s="118">
        <f>+CUBICACION!O1043</f>
        <v>0</v>
      </c>
      <c r="M1049" s="823">
        <f>+CUBICACION!P1043</f>
        <v>0</v>
      </c>
      <c r="N1049" s="902">
        <f>ROUND(IF(AND(L1049="Blaze Shield II",M1049="Software Idiem",C1049="IN",G1049=4),((('BLAZE SHIELD II'!$D$4*('CALCULO MORTERO'!I1049^2)+'BLAZE SHIELD II'!$D$5*'CALCULO MORTERO'!I1049+'BLAZE SHIELD II'!$D$6)*LN(J1049))+('BLAZE SHIELD II'!$D$7*('CALCULO MORTERO'!I1049^2)+'BLAZE SHIELD II'!$D$8*'CALCULO MORTERO'!I1049+'BLAZE SHIELD II'!$D$9)),0)+IF(AND(L1049="Blaze Shield II",M1049="Software Idiem",C1049="Cj"),((('BLAZE SHIELD II'!$H$4*('CALCULO MORTERO'!I1049^2)+'BLAZE SHIELD II'!$H$5*'CALCULO MORTERO'!I1049+'BLAZE SHIELD II'!$H$6)*LN(J1049))+('BLAZE SHIELD II'!$H$7*('CALCULO MORTERO'!I1049^2)+'BLAZE SHIELD II'!$H$8*'CALCULO MORTERO'!I1049+'BLAZE SHIELD II'!$H$9)),0)+IF(AND(L1049="Blaze Shield II",M1049="Software Idiem",C1049="C"),((('BLAZE SHIELD II'!$L$4*('CALCULO MORTERO'!I1049^2)+'BLAZE SHIELD II'!$L$5*'CALCULO MORTERO'!I1049+'BLAZE SHIELD II'!$L$6)*LN(J1049))+('BLAZE SHIELD II'!$L$7*('CALCULO MORTERO'!I1049^2)+'BLAZE SHIELD II'!$L$8*'CALCULO MORTERO'!I1049+'BLAZE SHIELD II'!$L$9)),0)+IF(AND(L1049="Blaze Shield II",M1049="Software Idiem",C1049="L"),((('BLAZE SHIELD II'!$L$4*('CALCULO MORTERO'!I1049^2)+'BLAZE SHIELD II'!$L$5*'CALCULO MORTERO'!I1049+'BLAZE SHIELD II'!$L$6)*LN(J1049))+('BLAZE SHIELD II'!$L$7*('CALCULO MORTERO'!I1049^2)+'BLAZE SHIELD II'!$L$8*'CALCULO MORTERO'!I1049+'BLAZE SHIELD II'!$L$9)),0)+IF(AND(L1049="Blaze Shield II",M1049="Software Idiem",C1049="IN",G1049=3),((('BLAZE SHIELD II'!$H$14*('CALCULO MORTERO'!I1049^2)+'BLAZE SHIELD II'!$H$15*'CALCULO MORTERO'!I1049+'BLAZE SHIELD II'!$H$16)*LN(J1049))+('BLAZE SHIELD II'!$H$17*('CALCULO MORTERO'!I1049^2)+'BLAZE SHIELD II'!$H$18*'CALCULO MORTERO'!I1049+'BLAZE SHIELD II'!$H$19)),0),0)+ROUND(IF(AND(L1049="Cafco 400",M1049="Software Idiem",C1049="IN",G1049=4),((('CAFCO 400 '!$H$7*(J1049^4)+'CAFCO 400 '!$H$8*(J1049^3)+'CAFCO 400 '!$H$9*(J1049^2)+'CAFCO 400 '!$H$10*J1049+'CAFCO 400 '!$H$11)*U1049^2)+(('CAFCO 400 '!$H$12*(J1049^3)+'CAFCO 400 '!$H$13*(J1049^2)+'CAFCO 400 '!$H$14*J1049+'CAFCO 400 '!$H$15)*U1049)+('CAFCO 400 '!$H$16*(J1049^2)+'CAFCO 400 '!$H$17*J1049+'CAFCO 400 '!$H$18)),0)+IF(AND(L1049="Cafco 400",M1049="Software Idiem",C1049="Cj"),(((('CAFCO 400 '!$D$7*LN(J1049)+'CAFCO 400 '!$D$8)*U1049^2)+(('CAFCO 400 '!$D$9*LN(J1049)+'CAFCO 400 '!$D$10)*U1049)+('CAFCO 400 '!$D$11*LN(J1049)+'CAFCO 400 '!$D$12))),0)+IF(AND(L1049="Cafco 400",M1049="Software Idiem",C1049="C"),((('CAFCO 400 '!$L$7*(J1049^3)+'CAFCO 400 '!$L$8*(J1049^2)+'CAFCO 400 '!$L$9*J1049+'CAFCO 400 '!$L$10)*U1049^2)+(('CAFCO 400 '!$L$11*(J1049^3)+'CAFCO 400 '!$L$12*(J1049^2)+'CAFCO 400 '!$L$13*J1049+'CAFCO 400 '!$L$14)*U1049)+('CAFCO 400 '!$L$15*LN(J1049)+'CAFCO 400 '!$L$16)),0)+IF(AND(L1049="Cafco 400",M1049="Software Idiem",C1049="L"),((('CAFCO 400 '!$L$7*(J1049^3)+'CAFCO 400 '!$L$8*(J1049^2)+'CAFCO 400 '!$L$9*J1049+'CAFCO 400 '!$L$10)*U1049^2)+(('CAFCO 400 '!$L$11*(J1049^3)+'CAFCO 400 '!$L$12*(J1049^2)+'CAFCO 400 '!$L$13*J1049+'CAFCO 400 '!$L$14)*U1049)+('CAFCO 400 '!$L$15*LN(J1049)+'CAFCO 400 '!$L$16)),0)+IF(AND(L1049="Cafco 400",M1049="Software Idiem",C1049="IN",G1049=3),((('CAFCO 400 '!$D$23*(J1049^2)+'CAFCO 400 '!$D$24*(J1049)+'CAFCO 400 '!$D$25)*U1049^2)+(('CAFCO 400 '!$D$26*(J1049^2)+'CAFCO 400 '!$D$27*J1049+'CAFCO 400 '!$D$28)*U1049)+('CAFCO 400 '!$D$29*(J1049^2)+'CAFCO 400 '!$D$30*J1049+'CAFCO 400 '!$D$31)),0),0)+IF(AND(L1049="Cafco 300",J1049&gt;=95,J1049&lt;=240,C1049="Cj",I1049=90),VLOOKUP(T1049,'CAFCO 300 IDIEM TABLAS'!$B$4:$D$23,2,FALSE),0)+IF(AND(L1049="Cafco 300",J1049&gt;=95,J1049&lt;=240,C1049="Cj",I1049=120),VLOOKUP(T1049,'CAFCO 300 IDIEM TABLAS'!$B$4:$D$23,3,FALSE),0)+IF(AND(L1049="Cafco 300",J1049&gt;=95,J1049&lt;=400,G1049=3,C1049="IN",I1049=90),VLOOKUP(T1049,'CAFCO 300 IDIEM TABLAS'!$F$4:$H$35,2,FALSE),0)+IF(AND(L1049="Cafco 300",J1049&gt;=95,J1049&lt;=400,G1049=3,C1049="IN",I1049=120),VLOOKUP(T1049,'CAFCO 300 IDIEM TABLAS'!$F$4:$H$35,3,FALSE),0)+IF(AND(L1049="Cafco 300",J1049&gt;=95,J1049&lt;=450,G1049=4,C1049="IN",I1049=90),VLOOKUP(T1049,'CAFCO 300 IDIEM TABLAS'!$J$4:$L$40,2,FALSE),0)+IF(AND(L1049="Cafco 300",J1049&gt;=95,J1049&lt;=450,G1049=4,C1049="IN",I1049=120),VLOOKUP(T1049,'CAFCO 300 IDIEM TABLAS'!$J$4:$L$40,3,FALSE),0)+IF(AND(M1049="Ensayo Idiem",L1049="Cafco 400",C1049="IN",G1049=4,I1049=90),VLOOKUP(T1049,'CAFCO 400 ENSAYO'!$B$7:$D$43,2,FALSE),0)+IF(AND(M1049="Ensayo Idiem",L1049="Cafco 400",C1049="IN",G1049=4,I1049=120),VLOOKUP(T1049,'CAFCO 400 ENSAYO'!$B$7:$D$43,3,FALSE),0)</f>
        <v>0</v>
      </c>
      <c r="O1049" s="96">
        <f t="shared" si="108"/>
        <v>0</v>
      </c>
      <c r="P1049" s="132" t="str">
        <f t="shared" si="103"/>
        <v>N/A</v>
      </c>
      <c r="Q1049" s="132" t="str">
        <f t="shared" si="104"/>
        <v>N/A</v>
      </c>
      <c r="R1049" s="132" t="str">
        <f t="shared" si="105"/>
        <v>NO CERT.</v>
      </c>
      <c r="S1049" s="132" t="e">
        <f t="shared" si="106"/>
        <v>#N/A</v>
      </c>
      <c r="T1049" s="133" t="e">
        <f>+IF(J1049=LOOKUP(J1049,'CAFCO 300 IDIEM TABLAS'!$J$4:$J$40),'CALCULO MORTERO'!J1049,MROUND('CALCULO MORTERO'!J1049,10))</f>
        <v>#N/A</v>
      </c>
      <c r="U1049" s="134">
        <f t="shared" si="107"/>
        <v>0</v>
      </c>
    </row>
    <row r="1050" spans="1:21" x14ac:dyDescent="0.25">
      <c r="A1050" s="118">
        <f>+CUBICACION!D1044</f>
        <v>0</v>
      </c>
      <c r="B1050" s="819">
        <f>+CUBICACION!E1044</f>
        <v>0</v>
      </c>
      <c r="C1050" s="675">
        <f>+CUBICACION!F1044</f>
        <v>0</v>
      </c>
      <c r="D1050" s="118"/>
      <c r="E1050" s="118"/>
      <c r="F1050" s="820"/>
      <c r="G1050" s="675">
        <f>+CUBICACION!J1044</f>
        <v>0</v>
      </c>
      <c r="H1050" s="118"/>
      <c r="I1050" s="821">
        <f>+CUBICACION!L1044</f>
        <v>0</v>
      </c>
      <c r="J1050" s="64">
        <f>+CUBICACION!M1044</f>
        <v>0</v>
      </c>
      <c r="K1050" s="822" t="str">
        <f>+CUBICACION!N1044</f>
        <v/>
      </c>
      <c r="L1050" s="118">
        <f>+CUBICACION!O1044</f>
        <v>0</v>
      </c>
      <c r="M1050" s="823">
        <f>+CUBICACION!P1044</f>
        <v>0</v>
      </c>
      <c r="N1050" s="902">
        <f>ROUND(IF(AND(L1050="Blaze Shield II",M1050="Software Idiem",C1050="IN",G1050=4),((('BLAZE SHIELD II'!$D$4*('CALCULO MORTERO'!I1050^2)+'BLAZE SHIELD II'!$D$5*'CALCULO MORTERO'!I1050+'BLAZE SHIELD II'!$D$6)*LN(J1050))+('BLAZE SHIELD II'!$D$7*('CALCULO MORTERO'!I1050^2)+'BLAZE SHIELD II'!$D$8*'CALCULO MORTERO'!I1050+'BLAZE SHIELD II'!$D$9)),0)+IF(AND(L1050="Blaze Shield II",M1050="Software Idiem",C1050="Cj"),((('BLAZE SHIELD II'!$H$4*('CALCULO MORTERO'!I1050^2)+'BLAZE SHIELD II'!$H$5*'CALCULO MORTERO'!I1050+'BLAZE SHIELD II'!$H$6)*LN(J1050))+('BLAZE SHIELD II'!$H$7*('CALCULO MORTERO'!I1050^2)+'BLAZE SHIELD II'!$H$8*'CALCULO MORTERO'!I1050+'BLAZE SHIELD II'!$H$9)),0)+IF(AND(L1050="Blaze Shield II",M1050="Software Idiem",C1050="C"),((('BLAZE SHIELD II'!$L$4*('CALCULO MORTERO'!I1050^2)+'BLAZE SHIELD II'!$L$5*'CALCULO MORTERO'!I1050+'BLAZE SHIELD II'!$L$6)*LN(J1050))+('BLAZE SHIELD II'!$L$7*('CALCULO MORTERO'!I1050^2)+'BLAZE SHIELD II'!$L$8*'CALCULO MORTERO'!I1050+'BLAZE SHIELD II'!$L$9)),0)+IF(AND(L1050="Blaze Shield II",M1050="Software Idiem",C1050="L"),((('BLAZE SHIELD II'!$L$4*('CALCULO MORTERO'!I1050^2)+'BLAZE SHIELD II'!$L$5*'CALCULO MORTERO'!I1050+'BLAZE SHIELD II'!$L$6)*LN(J1050))+('BLAZE SHIELD II'!$L$7*('CALCULO MORTERO'!I1050^2)+'BLAZE SHIELD II'!$L$8*'CALCULO MORTERO'!I1050+'BLAZE SHIELD II'!$L$9)),0)+IF(AND(L1050="Blaze Shield II",M1050="Software Idiem",C1050="IN",G1050=3),((('BLAZE SHIELD II'!$H$14*('CALCULO MORTERO'!I1050^2)+'BLAZE SHIELD II'!$H$15*'CALCULO MORTERO'!I1050+'BLAZE SHIELD II'!$H$16)*LN(J1050))+('BLAZE SHIELD II'!$H$17*('CALCULO MORTERO'!I1050^2)+'BLAZE SHIELD II'!$H$18*'CALCULO MORTERO'!I1050+'BLAZE SHIELD II'!$H$19)),0),0)+ROUND(IF(AND(L1050="Cafco 400",M1050="Software Idiem",C1050="IN",G1050=4),((('CAFCO 400 '!$H$7*(J1050^4)+'CAFCO 400 '!$H$8*(J1050^3)+'CAFCO 400 '!$H$9*(J1050^2)+'CAFCO 400 '!$H$10*J1050+'CAFCO 400 '!$H$11)*U1050^2)+(('CAFCO 400 '!$H$12*(J1050^3)+'CAFCO 400 '!$H$13*(J1050^2)+'CAFCO 400 '!$H$14*J1050+'CAFCO 400 '!$H$15)*U1050)+('CAFCO 400 '!$H$16*(J1050^2)+'CAFCO 400 '!$H$17*J1050+'CAFCO 400 '!$H$18)),0)+IF(AND(L1050="Cafco 400",M1050="Software Idiem",C1050="Cj"),(((('CAFCO 400 '!$D$7*LN(J1050)+'CAFCO 400 '!$D$8)*U1050^2)+(('CAFCO 400 '!$D$9*LN(J1050)+'CAFCO 400 '!$D$10)*U1050)+('CAFCO 400 '!$D$11*LN(J1050)+'CAFCO 400 '!$D$12))),0)+IF(AND(L1050="Cafco 400",M1050="Software Idiem",C1050="C"),((('CAFCO 400 '!$L$7*(J1050^3)+'CAFCO 400 '!$L$8*(J1050^2)+'CAFCO 400 '!$L$9*J1050+'CAFCO 400 '!$L$10)*U1050^2)+(('CAFCO 400 '!$L$11*(J1050^3)+'CAFCO 400 '!$L$12*(J1050^2)+'CAFCO 400 '!$L$13*J1050+'CAFCO 400 '!$L$14)*U1050)+('CAFCO 400 '!$L$15*LN(J1050)+'CAFCO 400 '!$L$16)),0)+IF(AND(L1050="Cafco 400",M1050="Software Idiem",C1050="L"),((('CAFCO 400 '!$L$7*(J1050^3)+'CAFCO 400 '!$L$8*(J1050^2)+'CAFCO 400 '!$L$9*J1050+'CAFCO 400 '!$L$10)*U1050^2)+(('CAFCO 400 '!$L$11*(J1050^3)+'CAFCO 400 '!$L$12*(J1050^2)+'CAFCO 400 '!$L$13*J1050+'CAFCO 400 '!$L$14)*U1050)+('CAFCO 400 '!$L$15*LN(J1050)+'CAFCO 400 '!$L$16)),0)+IF(AND(L1050="Cafco 400",M1050="Software Idiem",C1050="IN",G1050=3),((('CAFCO 400 '!$D$23*(J1050^2)+'CAFCO 400 '!$D$24*(J1050)+'CAFCO 400 '!$D$25)*U1050^2)+(('CAFCO 400 '!$D$26*(J1050^2)+'CAFCO 400 '!$D$27*J1050+'CAFCO 400 '!$D$28)*U1050)+('CAFCO 400 '!$D$29*(J1050^2)+'CAFCO 400 '!$D$30*J1050+'CAFCO 400 '!$D$31)),0),0)+IF(AND(L1050="Cafco 300",J1050&gt;=95,J1050&lt;=240,C1050="Cj",I1050=90),VLOOKUP(T1050,'CAFCO 300 IDIEM TABLAS'!$B$4:$D$23,2,FALSE),0)+IF(AND(L1050="Cafco 300",J1050&gt;=95,J1050&lt;=240,C1050="Cj",I1050=120),VLOOKUP(T1050,'CAFCO 300 IDIEM TABLAS'!$B$4:$D$23,3,FALSE),0)+IF(AND(L1050="Cafco 300",J1050&gt;=95,J1050&lt;=400,G1050=3,C1050="IN",I1050=90),VLOOKUP(T1050,'CAFCO 300 IDIEM TABLAS'!$F$4:$H$35,2,FALSE),0)+IF(AND(L1050="Cafco 300",J1050&gt;=95,J1050&lt;=400,G1050=3,C1050="IN",I1050=120),VLOOKUP(T1050,'CAFCO 300 IDIEM TABLAS'!$F$4:$H$35,3,FALSE),0)+IF(AND(L1050="Cafco 300",J1050&gt;=95,J1050&lt;=450,G1050=4,C1050="IN",I1050=90),VLOOKUP(T1050,'CAFCO 300 IDIEM TABLAS'!$J$4:$L$40,2,FALSE),0)+IF(AND(L1050="Cafco 300",J1050&gt;=95,J1050&lt;=450,G1050=4,C1050="IN",I1050=120),VLOOKUP(T1050,'CAFCO 300 IDIEM TABLAS'!$J$4:$L$40,3,FALSE),0)+IF(AND(M1050="Ensayo Idiem",L1050="Cafco 400",C1050="IN",G1050=4,I1050=90),VLOOKUP(T1050,'CAFCO 400 ENSAYO'!$B$7:$D$43,2,FALSE),0)+IF(AND(M1050="Ensayo Idiem",L1050="Cafco 400",C1050="IN",G1050=4,I1050=120),VLOOKUP(T1050,'CAFCO 400 ENSAYO'!$B$7:$D$43,3,FALSE),0)</f>
        <v>0</v>
      </c>
      <c r="O1050" s="96">
        <f t="shared" si="108"/>
        <v>0</v>
      </c>
      <c r="P1050" s="95" t="str">
        <f t="shared" si="103"/>
        <v>N/A</v>
      </c>
      <c r="Q1050" s="95" t="str">
        <f t="shared" si="104"/>
        <v>N/A</v>
      </c>
      <c r="R1050" s="95" t="str">
        <f t="shared" si="105"/>
        <v>NO CERT.</v>
      </c>
      <c r="S1050" s="95" t="e">
        <f t="shared" si="106"/>
        <v>#N/A</v>
      </c>
      <c r="T1050" s="119" t="e">
        <f>+IF(J1050=LOOKUP(J1050,'CAFCO 300 IDIEM TABLAS'!$J$4:$J$40),'CALCULO MORTERO'!J1050,MROUND('CALCULO MORTERO'!J1050,10))</f>
        <v>#N/A</v>
      </c>
      <c r="U1050" s="118">
        <f t="shared" si="107"/>
        <v>0</v>
      </c>
    </row>
    <row r="1051" spans="1:21" x14ac:dyDescent="0.25">
      <c r="A1051" s="118">
        <f>+CUBICACION!D1045</f>
        <v>0</v>
      </c>
      <c r="B1051" s="819">
        <f>+CUBICACION!E1045</f>
        <v>0</v>
      </c>
      <c r="C1051" s="675">
        <f>+CUBICACION!F1045</f>
        <v>0</v>
      </c>
      <c r="D1051" s="118"/>
      <c r="E1051" s="118"/>
      <c r="F1051" s="820"/>
      <c r="G1051" s="675">
        <f>+CUBICACION!J1045</f>
        <v>0</v>
      </c>
      <c r="H1051" s="118"/>
      <c r="I1051" s="821">
        <f>+CUBICACION!L1045</f>
        <v>0</v>
      </c>
      <c r="J1051" s="64">
        <f>+CUBICACION!M1045</f>
        <v>0</v>
      </c>
      <c r="K1051" s="822" t="str">
        <f>+CUBICACION!N1045</f>
        <v/>
      </c>
      <c r="L1051" s="118">
        <f>+CUBICACION!O1045</f>
        <v>0</v>
      </c>
      <c r="M1051" s="823">
        <f>+CUBICACION!P1045</f>
        <v>0</v>
      </c>
      <c r="N1051" s="902">
        <f>ROUND(IF(AND(L1051="Blaze Shield II",M1051="Software Idiem",C1051="IN",G1051=4),((('BLAZE SHIELD II'!$D$4*('CALCULO MORTERO'!I1051^2)+'BLAZE SHIELD II'!$D$5*'CALCULO MORTERO'!I1051+'BLAZE SHIELD II'!$D$6)*LN(J1051))+('BLAZE SHIELD II'!$D$7*('CALCULO MORTERO'!I1051^2)+'BLAZE SHIELD II'!$D$8*'CALCULO MORTERO'!I1051+'BLAZE SHIELD II'!$D$9)),0)+IF(AND(L1051="Blaze Shield II",M1051="Software Idiem",C1051="Cj"),((('BLAZE SHIELD II'!$H$4*('CALCULO MORTERO'!I1051^2)+'BLAZE SHIELD II'!$H$5*'CALCULO MORTERO'!I1051+'BLAZE SHIELD II'!$H$6)*LN(J1051))+('BLAZE SHIELD II'!$H$7*('CALCULO MORTERO'!I1051^2)+'BLAZE SHIELD II'!$H$8*'CALCULO MORTERO'!I1051+'BLAZE SHIELD II'!$H$9)),0)+IF(AND(L1051="Blaze Shield II",M1051="Software Idiem",C1051="C"),((('BLAZE SHIELD II'!$L$4*('CALCULO MORTERO'!I1051^2)+'BLAZE SHIELD II'!$L$5*'CALCULO MORTERO'!I1051+'BLAZE SHIELD II'!$L$6)*LN(J1051))+('BLAZE SHIELD II'!$L$7*('CALCULO MORTERO'!I1051^2)+'BLAZE SHIELD II'!$L$8*'CALCULO MORTERO'!I1051+'BLAZE SHIELD II'!$L$9)),0)+IF(AND(L1051="Blaze Shield II",M1051="Software Idiem",C1051="L"),((('BLAZE SHIELD II'!$L$4*('CALCULO MORTERO'!I1051^2)+'BLAZE SHIELD II'!$L$5*'CALCULO MORTERO'!I1051+'BLAZE SHIELD II'!$L$6)*LN(J1051))+('BLAZE SHIELD II'!$L$7*('CALCULO MORTERO'!I1051^2)+'BLAZE SHIELD II'!$L$8*'CALCULO MORTERO'!I1051+'BLAZE SHIELD II'!$L$9)),0)+IF(AND(L1051="Blaze Shield II",M1051="Software Idiem",C1051="IN",G1051=3),((('BLAZE SHIELD II'!$H$14*('CALCULO MORTERO'!I1051^2)+'BLAZE SHIELD II'!$H$15*'CALCULO MORTERO'!I1051+'BLAZE SHIELD II'!$H$16)*LN(J1051))+('BLAZE SHIELD II'!$H$17*('CALCULO MORTERO'!I1051^2)+'BLAZE SHIELD II'!$H$18*'CALCULO MORTERO'!I1051+'BLAZE SHIELD II'!$H$19)),0),0)+ROUND(IF(AND(L1051="Cafco 400",M1051="Software Idiem",C1051="IN",G1051=4),((('CAFCO 400 '!$H$7*(J1051^4)+'CAFCO 400 '!$H$8*(J1051^3)+'CAFCO 400 '!$H$9*(J1051^2)+'CAFCO 400 '!$H$10*J1051+'CAFCO 400 '!$H$11)*U1051^2)+(('CAFCO 400 '!$H$12*(J1051^3)+'CAFCO 400 '!$H$13*(J1051^2)+'CAFCO 400 '!$H$14*J1051+'CAFCO 400 '!$H$15)*U1051)+('CAFCO 400 '!$H$16*(J1051^2)+'CAFCO 400 '!$H$17*J1051+'CAFCO 400 '!$H$18)),0)+IF(AND(L1051="Cafco 400",M1051="Software Idiem",C1051="Cj"),(((('CAFCO 400 '!$D$7*LN(J1051)+'CAFCO 400 '!$D$8)*U1051^2)+(('CAFCO 400 '!$D$9*LN(J1051)+'CAFCO 400 '!$D$10)*U1051)+('CAFCO 400 '!$D$11*LN(J1051)+'CAFCO 400 '!$D$12))),0)+IF(AND(L1051="Cafco 400",M1051="Software Idiem",C1051="C"),((('CAFCO 400 '!$L$7*(J1051^3)+'CAFCO 400 '!$L$8*(J1051^2)+'CAFCO 400 '!$L$9*J1051+'CAFCO 400 '!$L$10)*U1051^2)+(('CAFCO 400 '!$L$11*(J1051^3)+'CAFCO 400 '!$L$12*(J1051^2)+'CAFCO 400 '!$L$13*J1051+'CAFCO 400 '!$L$14)*U1051)+('CAFCO 400 '!$L$15*LN(J1051)+'CAFCO 400 '!$L$16)),0)+IF(AND(L1051="Cafco 400",M1051="Software Idiem",C1051="L"),((('CAFCO 400 '!$L$7*(J1051^3)+'CAFCO 400 '!$L$8*(J1051^2)+'CAFCO 400 '!$L$9*J1051+'CAFCO 400 '!$L$10)*U1051^2)+(('CAFCO 400 '!$L$11*(J1051^3)+'CAFCO 400 '!$L$12*(J1051^2)+'CAFCO 400 '!$L$13*J1051+'CAFCO 400 '!$L$14)*U1051)+('CAFCO 400 '!$L$15*LN(J1051)+'CAFCO 400 '!$L$16)),0)+IF(AND(L1051="Cafco 400",M1051="Software Idiem",C1051="IN",G1051=3),((('CAFCO 400 '!$D$23*(J1051^2)+'CAFCO 400 '!$D$24*(J1051)+'CAFCO 400 '!$D$25)*U1051^2)+(('CAFCO 400 '!$D$26*(J1051^2)+'CAFCO 400 '!$D$27*J1051+'CAFCO 400 '!$D$28)*U1051)+('CAFCO 400 '!$D$29*(J1051^2)+'CAFCO 400 '!$D$30*J1051+'CAFCO 400 '!$D$31)),0),0)+IF(AND(L1051="Cafco 300",J1051&gt;=95,J1051&lt;=240,C1051="Cj",I1051=90),VLOOKUP(T1051,'CAFCO 300 IDIEM TABLAS'!$B$4:$D$23,2,FALSE),0)+IF(AND(L1051="Cafco 300",J1051&gt;=95,J1051&lt;=240,C1051="Cj",I1051=120),VLOOKUP(T1051,'CAFCO 300 IDIEM TABLAS'!$B$4:$D$23,3,FALSE),0)+IF(AND(L1051="Cafco 300",J1051&gt;=95,J1051&lt;=400,G1051=3,C1051="IN",I1051=90),VLOOKUP(T1051,'CAFCO 300 IDIEM TABLAS'!$F$4:$H$35,2,FALSE),0)+IF(AND(L1051="Cafco 300",J1051&gt;=95,J1051&lt;=400,G1051=3,C1051="IN",I1051=120),VLOOKUP(T1051,'CAFCO 300 IDIEM TABLAS'!$F$4:$H$35,3,FALSE),0)+IF(AND(L1051="Cafco 300",J1051&gt;=95,J1051&lt;=450,G1051=4,C1051="IN",I1051=90),VLOOKUP(T1051,'CAFCO 300 IDIEM TABLAS'!$J$4:$L$40,2,FALSE),0)+IF(AND(L1051="Cafco 300",J1051&gt;=95,J1051&lt;=450,G1051=4,C1051="IN",I1051=120),VLOOKUP(T1051,'CAFCO 300 IDIEM TABLAS'!$J$4:$L$40,3,FALSE),0)+IF(AND(M1051="Ensayo Idiem",L1051="Cafco 400",C1051="IN",G1051=4,I1051=90),VLOOKUP(T1051,'CAFCO 400 ENSAYO'!$B$7:$D$43,2,FALSE),0)+IF(AND(M1051="Ensayo Idiem",L1051="Cafco 400",C1051="IN",G1051=4,I1051=120),VLOOKUP(T1051,'CAFCO 400 ENSAYO'!$B$7:$D$43,3,FALSE),0)</f>
        <v>0</v>
      </c>
      <c r="O1051" s="96">
        <f t="shared" si="108"/>
        <v>0</v>
      </c>
      <c r="P1051" s="132" t="str">
        <f t="shared" si="103"/>
        <v>N/A</v>
      </c>
      <c r="Q1051" s="132" t="str">
        <f t="shared" si="104"/>
        <v>N/A</v>
      </c>
      <c r="R1051" s="132" t="str">
        <f t="shared" si="105"/>
        <v>NO CERT.</v>
      </c>
      <c r="S1051" s="132" t="e">
        <f t="shared" si="106"/>
        <v>#N/A</v>
      </c>
      <c r="T1051" s="133" t="e">
        <f>+IF(J1051=LOOKUP(J1051,'CAFCO 300 IDIEM TABLAS'!$J$4:$J$40),'CALCULO MORTERO'!J1051,MROUND('CALCULO MORTERO'!J1051,10))</f>
        <v>#N/A</v>
      </c>
      <c r="U1051" s="134">
        <f t="shared" si="107"/>
        <v>0</v>
      </c>
    </row>
    <row r="1052" spans="1:21" x14ac:dyDescent="0.25">
      <c r="A1052" s="118">
        <f>+CUBICACION!D1046</f>
        <v>0</v>
      </c>
      <c r="B1052" s="819">
        <f>+CUBICACION!E1046</f>
        <v>0</v>
      </c>
      <c r="C1052" s="675">
        <f>+CUBICACION!F1046</f>
        <v>0</v>
      </c>
      <c r="D1052" s="118"/>
      <c r="E1052" s="118"/>
      <c r="F1052" s="820"/>
      <c r="G1052" s="675">
        <f>+CUBICACION!J1046</f>
        <v>0</v>
      </c>
      <c r="H1052" s="118"/>
      <c r="I1052" s="821">
        <f>+CUBICACION!L1046</f>
        <v>0</v>
      </c>
      <c r="J1052" s="64">
        <f>+CUBICACION!M1046</f>
        <v>0</v>
      </c>
      <c r="K1052" s="822" t="str">
        <f>+CUBICACION!N1046</f>
        <v/>
      </c>
      <c r="L1052" s="118">
        <f>+CUBICACION!O1046</f>
        <v>0</v>
      </c>
      <c r="M1052" s="823">
        <f>+CUBICACION!P1046</f>
        <v>0</v>
      </c>
      <c r="N1052" s="902">
        <f>ROUND(IF(AND(L1052="Blaze Shield II",M1052="Software Idiem",C1052="IN",G1052=4),((('BLAZE SHIELD II'!$D$4*('CALCULO MORTERO'!I1052^2)+'BLAZE SHIELD II'!$D$5*'CALCULO MORTERO'!I1052+'BLAZE SHIELD II'!$D$6)*LN(J1052))+('BLAZE SHIELD II'!$D$7*('CALCULO MORTERO'!I1052^2)+'BLAZE SHIELD II'!$D$8*'CALCULO MORTERO'!I1052+'BLAZE SHIELD II'!$D$9)),0)+IF(AND(L1052="Blaze Shield II",M1052="Software Idiem",C1052="Cj"),((('BLAZE SHIELD II'!$H$4*('CALCULO MORTERO'!I1052^2)+'BLAZE SHIELD II'!$H$5*'CALCULO MORTERO'!I1052+'BLAZE SHIELD II'!$H$6)*LN(J1052))+('BLAZE SHIELD II'!$H$7*('CALCULO MORTERO'!I1052^2)+'BLAZE SHIELD II'!$H$8*'CALCULO MORTERO'!I1052+'BLAZE SHIELD II'!$H$9)),0)+IF(AND(L1052="Blaze Shield II",M1052="Software Idiem",C1052="C"),((('BLAZE SHIELD II'!$L$4*('CALCULO MORTERO'!I1052^2)+'BLAZE SHIELD II'!$L$5*'CALCULO MORTERO'!I1052+'BLAZE SHIELD II'!$L$6)*LN(J1052))+('BLAZE SHIELD II'!$L$7*('CALCULO MORTERO'!I1052^2)+'BLAZE SHIELD II'!$L$8*'CALCULO MORTERO'!I1052+'BLAZE SHIELD II'!$L$9)),0)+IF(AND(L1052="Blaze Shield II",M1052="Software Idiem",C1052="L"),((('BLAZE SHIELD II'!$L$4*('CALCULO MORTERO'!I1052^2)+'BLAZE SHIELD II'!$L$5*'CALCULO MORTERO'!I1052+'BLAZE SHIELD II'!$L$6)*LN(J1052))+('BLAZE SHIELD II'!$L$7*('CALCULO MORTERO'!I1052^2)+'BLAZE SHIELD II'!$L$8*'CALCULO MORTERO'!I1052+'BLAZE SHIELD II'!$L$9)),0)+IF(AND(L1052="Blaze Shield II",M1052="Software Idiem",C1052="IN",G1052=3),((('BLAZE SHIELD II'!$H$14*('CALCULO MORTERO'!I1052^2)+'BLAZE SHIELD II'!$H$15*'CALCULO MORTERO'!I1052+'BLAZE SHIELD II'!$H$16)*LN(J1052))+('BLAZE SHIELD II'!$H$17*('CALCULO MORTERO'!I1052^2)+'BLAZE SHIELD II'!$H$18*'CALCULO MORTERO'!I1052+'BLAZE SHIELD II'!$H$19)),0),0)+ROUND(IF(AND(L1052="Cafco 400",M1052="Software Idiem",C1052="IN",G1052=4),((('CAFCO 400 '!$H$7*(J1052^4)+'CAFCO 400 '!$H$8*(J1052^3)+'CAFCO 400 '!$H$9*(J1052^2)+'CAFCO 400 '!$H$10*J1052+'CAFCO 400 '!$H$11)*U1052^2)+(('CAFCO 400 '!$H$12*(J1052^3)+'CAFCO 400 '!$H$13*(J1052^2)+'CAFCO 400 '!$H$14*J1052+'CAFCO 400 '!$H$15)*U1052)+('CAFCO 400 '!$H$16*(J1052^2)+'CAFCO 400 '!$H$17*J1052+'CAFCO 400 '!$H$18)),0)+IF(AND(L1052="Cafco 400",M1052="Software Idiem",C1052="Cj"),(((('CAFCO 400 '!$D$7*LN(J1052)+'CAFCO 400 '!$D$8)*U1052^2)+(('CAFCO 400 '!$D$9*LN(J1052)+'CAFCO 400 '!$D$10)*U1052)+('CAFCO 400 '!$D$11*LN(J1052)+'CAFCO 400 '!$D$12))),0)+IF(AND(L1052="Cafco 400",M1052="Software Idiem",C1052="C"),((('CAFCO 400 '!$L$7*(J1052^3)+'CAFCO 400 '!$L$8*(J1052^2)+'CAFCO 400 '!$L$9*J1052+'CAFCO 400 '!$L$10)*U1052^2)+(('CAFCO 400 '!$L$11*(J1052^3)+'CAFCO 400 '!$L$12*(J1052^2)+'CAFCO 400 '!$L$13*J1052+'CAFCO 400 '!$L$14)*U1052)+('CAFCO 400 '!$L$15*LN(J1052)+'CAFCO 400 '!$L$16)),0)+IF(AND(L1052="Cafco 400",M1052="Software Idiem",C1052="L"),((('CAFCO 400 '!$L$7*(J1052^3)+'CAFCO 400 '!$L$8*(J1052^2)+'CAFCO 400 '!$L$9*J1052+'CAFCO 400 '!$L$10)*U1052^2)+(('CAFCO 400 '!$L$11*(J1052^3)+'CAFCO 400 '!$L$12*(J1052^2)+'CAFCO 400 '!$L$13*J1052+'CAFCO 400 '!$L$14)*U1052)+('CAFCO 400 '!$L$15*LN(J1052)+'CAFCO 400 '!$L$16)),0)+IF(AND(L1052="Cafco 400",M1052="Software Idiem",C1052="IN",G1052=3),((('CAFCO 400 '!$D$23*(J1052^2)+'CAFCO 400 '!$D$24*(J1052)+'CAFCO 400 '!$D$25)*U1052^2)+(('CAFCO 400 '!$D$26*(J1052^2)+'CAFCO 400 '!$D$27*J1052+'CAFCO 400 '!$D$28)*U1052)+('CAFCO 400 '!$D$29*(J1052^2)+'CAFCO 400 '!$D$30*J1052+'CAFCO 400 '!$D$31)),0),0)+IF(AND(L1052="Cafco 300",J1052&gt;=95,J1052&lt;=240,C1052="Cj",I1052=90),VLOOKUP(T1052,'CAFCO 300 IDIEM TABLAS'!$B$4:$D$23,2,FALSE),0)+IF(AND(L1052="Cafco 300",J1052&gt;=95,J1052&lt;=240,C1052="Cj",I1052=120),VLOOKUP(T1052,'CAFCO 300 IDIEM TABLAS'!$B$4:$D$23,3,FALSE),0)+IF(AND(L1052="Cafco 300",J1052&gt;=95,J1052&lt;=400,G1052=3,C1052="IN",I1052=90),VLOOKUP(T1052,'CAFCO 300 IDIEM TABLAS'!$F$4:$H$35,2,FALSE),0)+IF(AND(L1052="Cafco 300",J1052&gt;=95,J1052&lt;=400,G1052=3,C1052="IN",I1052=120),VLOOKUP(T1052,'CAFCO 300 IDIEM TABLAS'!$F$4:$H$35,3,FALSE),0)+IF(AND(L1052="Cafco 300",J1052&gt;=95,J1052&lt;=450,G1052=4,C1052="IN",I1052=90),VLOOKUP(T1052,'CAFCO 300 IDIEM TABLAS'!$J$4:$L$40,2,FALSE),0)+IF(AND(L1052="Cafco 300",J1052&gt;=95,J1052&lt;=450,G1052=4,C1052="IN",I1052=120),VLOOKUP(T1052,'CAFCO 300 IDIEM TABLAS'!$J$4:$L$40,3,FALSE),0)+IF(AND(M1052="Ensayo Idiem",L1052="Cafco 400",C1052="IN",G1052=4,I1052=90),VLOOKUP(T1052,'CAFCO 400 ENSAYO'!$B$7:$D$43,2,FALSE),0)+IF(AND(M1052="Ensayo Idiem",L1052="Cafco 400",C1052="IN",G1052=4,I1052=120),VLOOKUP(T1052,'CAFCO 400 ENSAYO'!$B$7:$D$43,3,FALSE),0)</f>
        <v>0</v>
      </c>
      <c r="O1052" s="96">
        <f t="shared" si="108"/>
        <v>0</v>
      </c>
      <c r="P1052" s="95" t="str">
        <f t="shared" si="103"/>
        <v>N/A</v>
      </c>
      <c r="Q1052" s="95" t="str">
        <f t="shared" si="104"/>
        <v>N/A</v>
      </c>
      <c r="R1052" s="95" t="str">
        <f t="shared" si="105"/>
        <v>NO CERT.</v>
      </c>
      <c r="S1052" s="95" t="e">
        <f t="shared" si="106"/>
        <v>#N/A</v>
      </c>
      <c r="T1052" s="119" t="e">
        <f>+IF(J1052=LOOKUP(J1052,'CAFCO 300 IDIEM TABLAS'!$J$4:$J$40),'CALCULO MORTERO'!J1052,MROUND('CALCULO MORTERO'!J1052,10))</f>
        <v>#N/A</v>
      </c>
      <c r="U1052" s="118">
        <f t="shared" si="107"/>
        <v>0</v>
      </c>
    </row>
    <row r="1053" spans="1:21" x14ac:dyDescent="0.25">
      <c r="A1053" s="118">
        <f>+CUBICACION!D1047</f>
        <v>0</v>
      </c>
      <c r="B1053" s="819">
        <f>+CUBICACION!E1047</f>
        <v>0</v>
      </c>
      <c r="C1053" s="675">
        <f>+CUBICACION!F1047</f>
        <v>0</v>
      </c>
      <c r="D1053" s="118"/>
      <c r="E1053" s="118"/>
      <c r="F1053" s="820"/>
      <c r="G1053" s="675">
        <f>+CUBICACION!J1047</f>
        <v>0</v>
      </c>
      <c r="H1053" s="118"/>
      <c r="I1053" s="821">
        <f>+CUBICACION!L1047</f>
        <v>0</v>
      </c>
      <c r="J1053" s="64">
        <f>+CUBICACION!M1047</f>
        <v>0</v>
      </c>
      <c r="K1053" s="822" t="str">
        <f>+CUBICACION!N1047</f>
        <v/>
      </c>
      <c r="L1053" s="118">
        <f>+CUBICACION!O1047</f>
        <v>0</v>
      </c>
      <c r="M1053" s="823">
        <f>+CUBICACION!P1047</f>
        <v>0</v>
      </c>
      <c r="N1053" s="902">
        <f>ROUND(IF(AND(L1053="Blaze Shield II",M1053="Software Idiem",C1053="IN",G1053=4),((('BLAZE SHIELD II'!$D$4*('CALCULO MORTERO'!I1053^2)+'BLAZE SHIELD II'!$D$5*'CALCULO MORTERO'!I1053+'BLAZE SHIELD II'!$D$6)*LN(J1053))+('BLAZE SHIELD II'!$D$7*('CALCULO MORTERO'!I1053^2)+'BLAZE SHIELD II'!$D$8*'CALCULO MORTERO'!I1053+'BLAZE SHIELD II'!$D$9)),0)+IF(AND(L1053="Blaze Shield II",M1053="Software Idiem",C1053="Cj"),((('BLAZE SHIELD II'!$H$4*('CALCULO MORTERO'!I1053^2)+'BLAZE SHIELD II'!$H$5*'CALCULO MORTERO'!I1053+'BLAZE SHIELD II'!$H$6)*LN(J1053))+('BLAZE SHIELD II'!$H$7*('CALCULO MORTERO'!I1053^2)+'BLAZE SHIELD II'!$H$8*'CALCULO MORTERO'!I1053+'BLAZE SHIELD II'!$H$9)),0)+IF(AND(L1053="Blaze Shield II",M1053="Software Idiem",C1053="C"),((('BLAZE SHIELD II'!$L$4*('CALCULO MORTERO'!I1053^2)+'BLAZE SHIELD II'!$L$5*'CALCULO MORTERO'!I1053+'BLAZE SHIELD II'!$L$6)*LN(J1053))+('BLAZE SHIELD II'!$L$7*('CALCULO MORTERO'!I1053^2)+'BLAZE SHIELD II'!$L$8*'CALCULO MORTERO'!I1053+'BLAZE SHIELD II'!$L$9)),0)+IF(AND(L1053="Blaze Shield II",M1053="Software Idiem",C1053="L"),((('BLAZE SHIELD II'!$L$4*('CALCULO MORTERO'!I1053^2)+'BLAZE SHIELD II'!$L$5*'CALCULO MORTERO'!I1053+'BLAZE SHIELD II'!$L$6)*LN(J1053))+('BLAZE SHIELD II'!$L$7*('CALCULO MORTERO'!I1053^2)+'BLAZE SHIELD II'!$L$8*'CALCULO MORTERO'!I1053+'BLAZE SHIELD II'!$L$9)),0)+IF(AND(L1053="Blaze Shield II",M1053="Software Idiem",C1053="IN",G1053=3),((('BLAZE SHIELD II'!$H$14*('CALCULO MORTERO'!I1053^2)+'BLAZE SHIELD II'!$H$15*'CALCULO MORTERO'!I1053+'BLAZE SHIELD II'!$H$16)*LN(J1053))+('BLAZE SHIELD II'!$H$17*('CALCULO MORTERO'!I1053^2)+'BLAZE SHIELD II'!$H$18*'CALCULO MORTERO'!I1053+'BLAZE SHIELD II'!$H$19)),0),0)+ROUND(IF(AND(L1053="Cafco 400",M1053="Software Idiem",C1053="IN",G1053=4),((('CAFCO 400 '!$H$7*(J1053^4)+'CAFCO 400 '!$H$8*(J1053^3)+'CAFCO 400 '!$H$9*(J1053^2)+'CAFCO 400 '!$H$10*J1053+'CAFCO 400 '!$H$11)*U1053^2)+(('CAFCO 400 '!$H$12*(J1053^3)+'CAFCO 400 '!$H$13*(J1053^2)+'CAFCO 400 '!$H$14*J1053+'CAFCO 400 '!$H$15)*U1053)+('CAFCO 400 '!$H$16*(J1053^2)+'CAFCO 400 '!$H$17*J1053+'CAFCO 400 '!$H$18)),0)+IF(AND(L1053="Cafco 400",M1053="Software Idiem",C1053="Cj"),(((('CAFCO 400 '!$D$7*LN(J1053)+'CAFCO 400 '!$D$8)*U1053^2)+(('CAFCO 400 '!$D$9*LN(J1053)+'CAFCO 400 '!$D$10)*U1053)+('CAFCO 400 '!$D$11*LN(J1053)+'CAFCO 400 '!$D$12))),0)+IF(AND(L1053="Cafco 400",M1053="Software Idiem",C1053="C"),((('CAFCO 400 '!$L$7*(J1053^3)+'CAFCO 400 '!$L$8*(J1053^2)+'CAFCO 400 '!$L$9*J1053+'CAFCO 400 '!$L$10)*U1053^2)+(('CAFCO 400 '!$L$11*(J1053^3)+'CAFCO 400 '!$L$12*(J1053^2)+'CAFCO 400 '!$L$13*J1053+'CAFCO 400 '!$L$14)*U1053)+('CAFCO 400 '!$L$15*LN(J1053)+'CAFCO 400 '!$L$16)),0)+IF(AND(L1053="Cafco 400",M1053="Software Idiem",C1053="L"),((('CAFCO 400 '!$L$7*(J1053^3)+'CAFCO 400 '!$L$8*(J1053^2)+'CAFCO 400 '!$L$9*J1053+'CAFCO 400 '!$L$10)*U1053^2)+(('CAFCO 400 '!$L$11*(J1053^3)+'CAFCO 400 '!$L$12*(J1053^2)+'CAFCO 400 '!$L$13*J1053+'CAFCO 400 '!$L$14)*U1053)+('CAFCO 400 '!$L$15*LN(J1053)+'CAFCO 400 '!$L$16)),0)+IF(AND(L1053="Cafco 400",M1053="Software Idiem",C1053="IN",G1053=3),((('CAFCO 400 '!$D$23*(J1053^2)+'CAFCO 400 '!$D$24*(J1053)+'CAFCO 400 '!$D$25)*U1053^2)+(('CAFCO 400 '!$D$26*(J1053^2)+'CAFCO 400 '!$D$27*J1053+'CAFCO 400 '!$D$28)*U1053)+('CAFCO 400 '!$D$29*(J1053^2)+'CAFCO 400 '!$D$30*J1053+'CAFCO 400 '!$D$31)),0),0)+IF(AND(L1053="Cafco 300",J1053&gt;=95,J1053&lt;=240,C1053="Cj",I1053=90),VLOOKUP(T1053,'CAFCO 300 IDIEM TABLAS'!$B$4:$D$23,2,FALSE),0)+IF(AND(L1053="Cafco 300",J1053&gt;=95,J1053&lt;=240,C1053="Cj",I1053=120),VLOOKUP(T1053,'CAFCO 300 IDIEM TABLAS'!$B$4:$D$23,3,FALSE),0)+IF(AND(L1053="Cafco 300",J1053&gt;=95,J1053&lt;=400,G1053=3,C1053="IN",I1053=90),VLOOKUP(T1053,'CAFCO 300 IDIEM TABLAS'!$F$4:$H$35,2,FALSE),0)+IF(AND(L1053="Cafco 300",J1053&gt;=95,J1053&lt;=400,G1053=3,C1053="IN",I1053=120),VLOOKUP(T1053,'CAFCO 300 IDIEM TABLAS'!$F$4:$H$35,3,FALSE),0)+IF(AND(L1053="Cafco 300",J1053&gt;=95,J1053&lt;=450,G1053=4,C1053="IN",I1053=90),VLOOKUP(T1053,'CAFCO 300 IDIEM TABLAS'!$J$4:$L$40,2,FALSE),0)+IF(AND(L1053="Cafco 300",J1053&gt;=95,J1053&lt;=450,G1053=4,C1053="IN",I1053=120),VLOOKUP(T1053,'CAFCO 300 IDIEM TABLAS'!$J$4:$L$40,3,FALSE),0)+IF(AND(M1053="Ensayo Idiem",L1053="Cafco 400",C1053="IN",G1053=4,I1053=90),VLOOKUP(T1053,'CAFCO 400 ENSAYO'!$B$7:$D$43,2,FALSE),0)+IF(AND(M1053="Ensayo Idiem",L1053="Cafco 400",C1053="IN",G1053=4,I1053=120),VLOOKUP(T1053,'CAFCO 400 ENSAYO'!$B$7:$D$43,3,FALSE),0)</f>
        <v>0</v>
      </c>
      <c r="O1053" s="96">
        <f t="shared" si="108"/>
        <v>0</v>
      </c>
      <c r="P1053" s="132" t="str">
        <f t="shared" si="103"/>
        <v>N/A</v>
      </c>
      <c r="Q1053" s="132" t="str">
        <f t="shared" si="104"/>
        <v>N/A</v>
      </c>
      <c r="R1053" s="132" t="str">
        <f t="shared" si="105"/>
        <v>NO CERT.</v>
      </c>
      <c r="S1053" s="132" t="e">
        <f t="shared" si="106"/>
        <v>#N/A</v>
      </c>
      <c r="T1053" s="133" t="e">
        <f>+IF(J1053=LOOKUP(J1053,'CAFCO 300 IDIEM TABLAS'!$J$4:$J$40),'CALCULO MORTERO'!J1053,MROUND('CALCULO MORTERO'!J1053,10))</f>
        <v>#N/A</v>
      </c>
      <c r="U1053" s="134">
        <f t="shared" si="107"/>
        <v>0</v>
      </c>
    </row>
    <row r="1054" spans="1:21" x14ac:dyDescent="0.25">
      <c r="A1054" s="118">
        <f>+CUBICACION!D1048</f>
        <v>0</v>
      </c>
      <c r="B1054" s="819">
        <f>+CUBICACION!E1048</f>
        <v>0</v>
      </c>
      <c r="C1054" s="675">
        <f>+CUBICACION!F1048</f>
        <v>0</v>
      </c>
      <c r="D1054" s="118"/>
      <c r="E1054" s="118"/>
      <c r="F1054" s="820"/>
      <c r="G1054" s="675">
        <f>+CUBICACION!J1048</f>
        <v>0</v>
      </c>
      <c r="H1054" s="118"/>
      <c r="I1054" s="821">
        <f>+CUBICACION!L1048</f>
        <v>0</v>
      </c>
      <c r="J1054" s="64">
        <f>+CUBICACION!M1048</f>
        <v>0</v>
      </c>
      <c r="K1054" s="822" t="str">
        <f>+CUBICACION!N1048</f>
        <v/>
      </c>
      <c r="L1054" s="118">
        <f>+CUBICACION!O1048</f>
        <v>0</v>
      </c>
      <c r="M1054" s="823">
        <f>+CUBICACION!P1048</f>
        <v>0</v>
      </c>
      <c r="N1054" s="902">
        <f>ROUND(IF(AND(L1054="Blaze Shield II",M1054="Software Idiem",C1054="IN",G1054=4),((('BLAZE SHIELD II'!$D$4*('CALCULO MORTERO'!I1054^2)+'BLAZE SHIELD II'!$D$5*'CALCULO MORTERO'!I1054+'BLAZE SHIELD II'!$D$6)*LN(J1054))+('BLAZE SHIELD II'!$D$7*('CALCULO MORTERO'!I1054^2)+'BLAZE SHIELD II'!$D$8*'CALCULO MORTERO'!I1054+'BLAZE SHIELD II'!$D$9)),0)+IF(AND(L1054="Blaze Shield II",M1054="Software Idiem",C1054="Cj"),((('BLAZE SHIELD II'!$H$4*('CALCULO MORTERO'!I1054^2)+'BLAZE SHIELD II'!$H$5*'CALCULO MORTERO'!I1054+'BLAZE SHIELD II'!$H$6)*LN(J1054))+('BLAZE SHIELD II'!$H$7*('CALCULO MORTERO'!I1054^2)+'BLAZE SHIELD II'!$H$8*'CALCULO MORTERO'!I1054+'BLAZE SHIELD II'!$H$9)),0)+IF(AND(L1054="Blaze Shield II",M1054="Software Idiem",C1054="C"),((('BLAZE SHIELD II'!$L$4*('CALCULO MORTERO'!I1054^2)+'BLAZE SHIELD II'!$L$5*'CALCULO MORTERO'!I1054+'BLAZE SHIELD II'!$L$6)*LN(J1054))+('BLAZE SHIELD II'!$L$7*('CALCULO MORTERO'!I1054^2)+'BLAZE SHIELD II'!$L$8*'CALCULO MORTERO'!I1054+'BLAZE SHIELD II'!$L$9)),0)+IF(AND(L1054="Blaze Shield II",M1054="Software Idiem",C1054="L"),((('BLAZE SHIELD II'!$L$4*('CALCULO MORTERO'!I1054^2)+'BLAZE SHIELD II'!$L$5*'CALCULO MORTERO'!I1054+'BLAZE SHIELD II'!$L$6)*LN(J1054))+('BLAZE SHIELD II'!$L$7*('CALCULO MORTERO'!I1054^2)+'BLAZE SHIELD II'!$L$8*'CALCULO MORTERO'!I1054+'BLAZE SHIELD II'!$L$9)),0)+IF(AND(L1054="Blaze Shield II",M1054="Software Idiem",C1054="IN",G1054=3),((('BLAZE SHIELD II'!$H$14*('CALCULO MORTERO'!I1054^2)+'BLAZE SHIELD II'!$H$15*'CALCULO MORTERO'!I1054+'BLAZE SHIELD II'!$H$16)*LN(J1054))+('BLAZE SHIELD II'!$H$17*('CALCULO MORTERO'!I1054^2)+'BLAZE SHIELD II'!$H$18*'CALCULO MORTERO'!I1054+'BLAZE SHIELD II'!$H$19)),0),0)+ROUND(IF(AND(L1054="Cafco 400",M1054="Software Idiem",C1054="IN",G1054=4),((('CAFCO 400 '!$H$7*(J1054^4)+'CAFCO 400 '!$H$8*(J1054^3)+'CAFCO 400 '!$H$9*(J1054^2)+'CAFCO 400 '!$H$10*J1054+'CAFCO 400 '!$H$11)*U1054^2)+(('CAFCO 400 '!$H$12*(J1054^3)+'CAFCO 400 '!$H$13*(J1054^2)+'CAFCO 400 '!$H$14*J1054+'CAFCO 400 '!$H$15)*U1054)+('CAFCO 400 '!$H$16*(J1054^2)+'CAFCO 400 '!$H$17*J1054+'CAFCO 400 '!$H$18)),0)+IF(AND(L1054="Cafco 400",M1054="Software Idiem",C1054="Cj"),(((('CAFCO 400 '!$D$7*LN(J1054)+'CAFCO 400 '!$D$8)*U1054^2)+(('CAFCO 400 '!$D$9*LN(J1054)+'CAFCO 400 '!$D$10)*U1054)+('CAFCO 400 '!$D$11*LN(J1054)+'CAFCO 400 '!$D$12))),0)+IF(AND(L1054="Cafco 400",M1054="Software Idiem",C1054="C"),((('CAFCO 400 '!$L$7*(J1054^3)+'CAFCO 400 '!$L$8*(J1054^2)+'CAFCO 400 '!$L$9*J1054+'CAFCO 400 '!$L$10)*U1054^2)+(('CAFCO 400 '!$L$11*(J1054^3)+'CAFCO 400 '!$L$12*(J1054^2)+'CAFCO 400 '!$L$13*J1054+'CAFCO 400 '!$L$14)*U1054)+('CAFCO 400 '!$L$15*LN(J1054)+'CAFCO 400 '!$L$16)),0)+IF(AND(L1054="Cafco 400",M1054="Software Idiem",C1054="L"),((('CAFCO 400 '!$L$7*(J1054^3)+'CAFCO 400 '!$L$8*(J1054^2)+'CAFCO 400 '!$L$9*J1054+'CAFCO 400 '!$L$10)*U1054^2)+(('CAFCO 400 '!$L$11*(J1054^3)+'CAFCO 400 '!$L$12*(J1054^2)+'CAFCO 400 '!$L$13*J1054+'CAFCO 400 '!$L$14)*U1054)+('CAFCO 400 '!$L$15*LN(J1054)+'CAFCO 400 '!$L$16)),0)+IF(AND(L1054="Cafco 400",M1054="Software Idiem",C1054="IN",G1054=3),((('CAFCO 400 '!$D$23*(J1054^2)+'CAFCO 400 '!$D$24*(J1054)+'CAFCO 400 '!$D$25)*U1054^2)+(('CAFCO 400 '!$D$26*(J1054^2)+'CAFCO 400 '!$D$27*J1054+'CAFCO 400 '!$D$28)*U1054)+('CAFCO 400 '!$D$29*(J1054^2)+'CAFCO 400 '!$D$30*J1054+'CAFCO 400 '!$D$31)),0),0)+IF(AND(L1054="Cafco 300",J1054&gt;=95,J1054&lt;=240,C1054="Cj",I1054=90),VLOOKUP(T1054,'CAFCO 300 IDIEM TABLAS'!$B$4:$D$23,2,FALSE),0)+IF(AND(L1054="Cafco 300",J1054&gt;=95,J1054&lt;=240,C1054="Cj",I1054=120),VLOOKUP(T1054,'CAFCO 300 IDIEM TABLAS'!$B$4:$D$23,3,FALSE),0)+IF(AND(L1054="Cafco 300",J1054&gt;=95,J1054&lt;=400,G1054=3,C1054="IN",I1054=90),VLOOKUP(T1054,'CAFCO 300 IDIEM TABLAS'!$F$4:$H$35,2,FALSE),0)+IF(AND(L1054="Cafco 300",J1054&gt;=95,J1054&lt;=400,G1054=3,C1054="IN",I1054=120),VLOOKUP(T1054,'CAFCO 300 IDIEM TABLAS'!$F$4:$H$35,3,FALSE),0)+IF(AND(L1054="Cafco 300",J1054&gt;=95,J1054&lt;=450,G1054=4,C1054="IN",I1054=90),VLOOKUP(T1054,'CAFCO 300 IDIEM TABLAS'!$J$4:$L$40,2,FALSE),0)+IF(AND(L1054="Cafco 300",J1054&gt;=95,J1054&lt;=450,G1054=4,C1054="IN",I1054=120),VLOOKUP(T1054,'CAFCO 300 IDIEM TABLAS'!$J$4:$L$40,3,FALSE),0)+IF(AND(M1054="Ensayo Idiem",L1054="Cafco 400",C1054="IN",G1054=4,I1054=90),VLOOKUP(T1054,'CAFCO 400 ENSAYO'!$B$7:$D$43,2,FALSE),0)+IF(AND(M1054="Ensayo Idiem",L1054="Cafco 400",C1054="IN",G1054=4,I1054=120),VLOOKUP(T1054,'CAFCO 400 ENSAYO'!$B$7:$D$43,3,FALSE),0)</f>
        <v>0</v>
      </c>
      <c r="O1054" s="96">
        <f t="shared" si="108"/>
        <v>0</v>
      </c>
      <c r="P1054" s="95" t="str">
        <f t="shared" si="103"/>
        <v>N/A</v>
      </c>
      <c r="Q1054" s="95" t="str">
        <f t="shared" si="104"/>
        <v>N/A</v>
      </c>
      <c r="R1054" s="95" t="str">
        <f t="shared" si="105"/>
        <v>NO CERT.</v>
      </c>
      <c r="S1054" s="95" t="e">
        <f t="shared" si="106"/>
        <v>#N/A</v>
      </c>
      <c r="T1054" s="119" t="e">
        <f>+IF(J1054=LOOKUP(J1054,'CAFCO 300 IDIEM TABLAS'!$J$4:$J$40),'CALCULO MORTERO'!J1054,MROUND('CALCULO MORTERO'!J1054,10))</f>
        <v>#N/A</v>
      </c>
      <c r="U1054" s="118">
        <f t="shared" si="107"/>
        <v>0</v>
      </c>
    </row>
    <row r="1055" spans="1:21" x14ac:dyDescent="0.25">
      <c r="A1055" s="118">
        <f>+CUBICACION!D1049</f>
        <v>0</v>
      </c>
      <c r="B1055" s="819">
        <f>+CUBICACION!E1049</f>
        <v>0</v>
      </c>
      <c r="C1055" s="675">
        <f>+CUBICACION!F1049</f>
        <v>0</v>
      </c>
      <c r="D1055" s="118"/>
      <c r="E1055" s="118"/>
      <c r="F1055" s="820"/>
      <c r="G1055" s="675">
        <f>+CUBICACION!J1049</f>
        <v>0</v>
      </c>
      <c r="H1055" s="118"/>
      <c r="I1055" s="821">
        <f>+CUBICACION!L1049</f>
        <v>0</v>
      </c>
      <c r="J1055" s="64">
        <f>+CUBICACION!M1049</f>
        <v>0</v>
      </c>
      <c r="K1055" s="822" t="str">
        <f>+CUBICACION!N1049</f>
        <v/>
      </c>
      <c r="L1055" s="118">
        <f>+CUBICACION!O1049</f>
        <v>0</v>
      </c>
      <c r="M1055" s="823">
        <f>+CUBICACION!P1049</f>
        <v>0</v>
      </c>
      <c r="N1055" s="902">
        <f>ROUND(IF(AND(L1055="Blaze Shield II",M1055="Software Idiem",C1055="IN",G1055=4),((('BLAZE SHIELD II'!$D$4*('CALCULO MORTERO'!I1055^2)+'BLAZE SHIELD II'!$D$5*'CALCULO MORTERO'!I1055+'BLAZE SHIELD II'!$D$6)*LN(J1055))+('BLAZE SHIELD II'!$D$7*('CALCULO MORTERO'!I1055^2)+'BLAZE SHIELD II'!$D$8*'CALCULO MORTERO'!I1055+'BLAZE SHIELD II'!$D$9)),0)+IF(AND(L1055="Blaze Shield II",M1055="Software Idiem",C1055="Cj"),((('BLAZE SHIELD II'!$H$4*('CALCULO MORTERO'!I1055^2)+'BLAZE SHIELD II'!$H$5*'CALCULO MORTERO'!I1055+'BLAZE SHIELD II'!$H$6)*LN(J1055))+('BLAZE SHIELD II'!$H$7*('CALCULO MORTERO'!I1055^2)+'BLAZE SHIELD II'!$H$8*'CALCULO MORTERO'!I1055+'BLAZE SHIELD II'!$H$9)),0)+IF(AND(L1055="Blaze Shield II",M1055="Software Idiem",C1055="C"),((('BLAZE SHIELD II'!$L$4*('CALCULO MORTERO'!I1055^2)+'BLAZE SHIELD II'!$L$5*'CALCULO MORTERO'!I1055+'BLAZE SHIELD II'!$L$6)*LN(J1055))+('BLAZE SHIELD II'!$L$7*('CALCULO MORTERO'!I1055^2)+'BLAZE SHIELD II'!$L$8*'CALCULO MORTERO'!I1055+'BLAZE SHIELD II'!$L$9)),0)+IF(AND(L1055="Blaze Shield II",M1055="Software Idiem",C1055="L"),((('BLAZE SHIELD II'!$L$4*('CALCULO MORTERO'!I1055^2)+'BLAZE SHIELD II'!$L$5*'CALCULO MORTERO'!I1055+'BLAZE SHIELD II'!$L$6)*LN(J1055))+('BLAZE SHIELD II'!$L$7*('CALCULO MORTERO'!I1055^2)+'BLAZE SHIELD II'!$L$8*'CALCULO MORTERO'!I1055+'BLAZE SHIELD II'!$L$9)),0)+IF(AND(L1055="Blaze Shield II",M1055="Software Idiem",C1055="IN",G1055=3),((('BLAZE SHIELD II'!$H$14*('CALCULO MORTERO'!I1055^2)+'BLAZE SHIELD II'!$H$15*'CALCULO MORTERO'!I1055+'BLAZE SHIELD II'!$H$16)*LN(J1055))+('BLAZE SHIELD II'!$H$17*('CALCULO MORTERO'!I1055^2)+'BLAZE SHIELD II'!$H$18*'CALCULO MORTERO'!I1055+'BLAZE SHIELD II'!$H$19)),0),0)+ROUND(IF(AND(L1055="Cafco 400",M1055="Software Idiem",C1055="IN",G1055=4),((('CAFCO 400 '!$H$7*(J1055^4)+'CAFCO 400 '!$H$8*(J1055^3)+'CAFCO 400 '!$H$9*(J1055^2)+'CAFCO 400 '!$H$10*J1055+'CAFCO 400 '!$H$11)*U1055^2)+(('CAFCO 400 '!$H$12*(J1055^3)+'CAFCO 400 '!$H$13*(J1055^2)+'CAFCO 400 '!$H$14*J1055+'CAFCO 400 '!$H$15)*U1055)+('CAFCO 400 '!$H$16*(J1055^2)+'CAFCO 400 '!$H$17*J1055+'CAFCO 400 '!$H$18)),0)+IF(AND(L1055="Cafco 400",M1055="Software Idiem",C1055="Cj"),(((('CAFCO 400 '!$D$7*LN(J1055)+'CAFCO 400 '!$D$8)*U1055^2)+(('CAFCO 400 '!$D$9*LN(J1055)+'CAFCO 400 '!$D$10)*U1055)+('CAFCO 400 '!$D$11*LN(J1055)+'CAFCO 400 '!$D$12))),0)+IF(AND(L1055="Cafco 400",M1055="Software Idiem",C1055="C"),((('CAFCO 400 '!$L$7*(J1055^3)+'CAFCO 400 '!$L$8*(J1055^2)+'CAFCO 400 '!$L$9*J1055+'CAFCO 400 '!$L$10)*U1055^2)+(('CAFCO 400 '!$L$11*(J1055^3)+'CAFCO 400 '!$L$12*(J1055^2)+'CAFCO 400 '!$L$13*J1055+'CAFCO 400 '!$L$14)*U1055)+('CAFCO 400 '!$L$15*LN(J1055)+'CAFCO 400 '!$L$16)),0)+IF(AND(L1055="Cafco 400",M1055="Software Idiem",C1055="L"),((('CAFCO 400 '!$L$7*(J1055^3)+'CAFCO 400 '!$L$8*(J1055^2)+'CAFCO 400 '!$L$9*J1055+'CAFCO 400 '!$L$10)*U1055^2)+(('CAFCO 400 '!$L$11*(J1055^3)+'CAFCO 400 '!$L$12*(J1055^2)+'CAFCO 400 '!$L$13*J1055+'CAFCO 400 '!$L$14)*U1055)+('CAFCO 400 '!$L$15*LN(J1055)+'CAFCO 400 '!$L$16)),0)+IF(AND(L1055="Cafco 400",M1055="Software Idiem",C1055="IN",G1055=3),((('CAFCO 400 '!$D$23*(J1055^2)+'CAFCO 400 '!$D$24*(J1055)+'CAFCO 400 '!$D$25)*U1055^2)+(('CAFCO 400 '!$D$26*(J1055^2)+'CAFCO 400 '!$D$27*J1055+'CAFCO 400 '!$D$28)*U1055)+('CAFCO 400 '!$D$29*(J1055^2)+'CAFCO 400 '!$D$30*J1055+'CAFCO 400 '!$D$31)),0),0)+IF(AND(L1055="Cafco 300",J1055&gt;=95,J1055&lt;=240,C1055="Cj",I1055=90),VLOOKUP(T1055,'CAFCO 300 IDIEM TABLAS'!$B$4:$D$23,2,FALSE),0)+IF(AND(L1055="Cafco 300",J1055&gt;=95,J1055&lt;=240,C1055="Cj",I1055=120),VLOOKUP(T1055,'CAFCO 300 IDIEM TABLAS'!$B$4:$D$23,3,FALSE),0)+IF(AND(L1055="Cafco 300",J1055&gt;=95,J1055&lt;=400,G1055=3,C1055="IN",I1055=90),VLOOKUP(T1055,'CAFCO 300 IDIEM TABLAS'!$F$4:$H$35,2,FALSE),0)+IF(AND(L1055="Cafco 300",J1055&gt;=95,J1055&lt;=400,G1055=3,C1055="IN",I1055=120),VLOOKUP(T1055,'CAFCO 300 IDIEM TABLAS'!$F$4:$H$35,3,FALSE),0)+IF(AND(L1055="Cafco 300",J1055&gt;=95,J1055&lt;=450,G1055=4,C1055="IN",I1055=90),VLOOKUP(T1055,'CAFCO 300 IDIEM TABLAS'!$J$4:$L$40,2,FALSE),0)+IF(AND(L1055="Cafco 300",J1055&gt;=95,J1055&lt;=450,G1055=4,C1055="IN",I1055=120),VLOOKUP(T1055,'CAFCO 300 IDIEM TABLAS'!$J$4:$L$40,3,FALSE),0)+IF(AND(M1055="Ensayo Idiem",L1055="Cafco 400",C1055="IN",G1055=4,I1055=90),VLOOKUP(T1055,'CAFCO 400 ENSAYO'!$B$7:$D$43,2,FALSE),0)+IF(AND(M1055="Ensayo Idiem",L1055="Cafco 400",C1055="IN",G1055=4,I1055=120),VLOOKUP(T1055,'CAFCO 400 ENSAYO'!$B$7:$D$43,3,FALSE),0)</f>
        <v>0</v>
      </c>
      <c r="O1055" s="96">
        <f t="shared" si="108"/>
        <v>0</v>
      </c>
      <c r="P1055" s="132" t="str">
        <f t="shared" si="103"/>
        <v>N/A</v>
      </c>
      <c r="Q1055" s="132" t="str">
        <f t="shared" si="104"/>
        <v>N/A</v>
      </c>
      <c r="R1055" s="132" t="str">
        <f t="shared" si="105"/>
        <v>NO CERT.</v>
      </c>
      <c r="S1055" s="132" t="e">
        <f t="shared" si="106"/>
        <v>#N/A</v>
      </c>
      <c r="T1055" s="133" t="e">
        <f>+IF(J1055=LOOKUP(J1055,'CAFCO 300 IDIEM TABLAS'!$J$4:$J$40),'CALCULO MORTERO'!J1055,MROUND('CALCULO MORTERO'!J1055,10))</f>
        <v>#N/A</v>
      </c>
      <c r="U1055" s="134">
        <f t="shared" si="107"/>
        <v>0</v>
      </c>
    </row>
    <row r="1056" spans="1:21" x14ac:dyDescent="0.25">
      <c r="A1056" s="118">
        <f>+CUBICACION!D1050</f>
        <v>0</v>
      </c>
      <c r="B1056" s="819">
        <f>+CUBICACION!E1050</f>
        <v>0</v>
      </c>
      <c r="C1056" s="675">
        <f>+CUBICACION!F1050</f>
        <v>0</v>
      </c>
      <c r="D1056" s="118"/>
      <c r="E1056" s="118"/>
      <c r="F1056" s="820"/>
      <c r="G1056" s="675">
        <f>+CUBICACION!J1050</f>
        <v>0</v>
      </c>
      <c r="H1056" s="118"/>
      <c r="I1056" s="821">
        <f>+CUBICACION!L1050</f>
        <v>0</v>
      </c>
      <c r="J1056" s="64">
        <f>+CUBICACION!M1050</f>
        <v>0</v>
      </c>
      <c r="K1056" s="822" t="str">
        <f>+CUBICACION!N1050</f>
        <v/>
      </c>
      <c r="L1056" s="118">
        <f>+CUBICACION!O1050</f>
        <v>0</v>
      </c>
      <c r="M1056" s="823">
        <f>+CUBICACION!P1050</f>
        <v>0</v>
      </c>
      <c r="N1056" s="902">
        <f>ROUND(IF(AND(L1056="Blaze Shield II",M1056="Software Idiem",C1056="IN",G1056=4),((('BLAZE SHIELD II'!$D$4*('CALCULO MORTERO'!I1056^2)+'BLAZE SHIELD II'!$D$5*'CALCULO MORTERO'!I1056+'BLAZE SHIELD II'!$D$6)*LN(J1056))+('BLAZE SHIELD II'!$D$7*('CALCULO MORTERO'!I1056^2)+'BLAZE SHIELD II'!$D$8*'CALCULO MORTERO'!I1056+'BLAZE SHIELD II'!$D$9)),0)+IF(AND(L1056="Blaze Shield II",M1056="Software Idiem",C1056="Cj"),((('BLAZE SHIELD II'!$H$4*('CALCULO MORTERO'!I1056^2)+'BLAZE SHIELD II'!$H$5*'CALCULO MORTERO'!I1056+'BLAZE SHIELD II'!$H$6)*LN(J1056))+('BLAZE SHIELD II'!$H$7*('CALCULO MORTERO'!I1056^2)+'BLAZE SHIELD II'!$H$8*'CALCULO MORTERO'!I1056+'BLAZE SHIELD II'!$H$9)),0)+IF(AND(L1056="Blaze Shield II",M1056="Software Idiem",C1056="C"),((('BLAZE SHIELD II'!$L$4*('CALCULO MORTERO'!I1056^2)+'BLAZE SHIELD II'!$L$5*'CALCULO MORTERO'!I1056+'BLAZE SHIELD II'!$L$6)*LN(J1056))+('BLAZE SHIELD II'!$L$7*('CALCULO MORTERO'!I1056^2)+'BLAZE SHIELD II'!$L$8*'CALCULO MORTERO'!I1056+'BLAZE SHIELD II'!$L$9)),0)+IF(AND(L1056="Blaze Shield II",M1056="Software Idiem",C1056="L"),((('BLAZE SHIELD II'!$L$4*('CALCULO MORTERO'!I1056^2)+'BLAZE SHIELD II'!$L$5*'CALCULO MORTERO'!I1056+'BLAZE SHIELD II'!$L$6)*LN(J1056))+('BLAZE SHIELD II'!$L$7*('CALCULO MORTERO'!I1056^2)+'BLAZE SHIELD II'!$L$8*'CALCULO MORTERO'!I1056+'BLAZE SHIELD II'!$L$9)),0)+IF(AND(L1056="Blaze Shield II",M1056="Software Idiem",C1056="IN",G1056=3),((('BLAZE SHIELD II'!$H$14*('CALCULO MORTERO'!I1056^2)+'BLAZE SHIELD II'!$H$15*'CALCULO MORTERO'!I1056+'BLAZE SHIELD II'!$H$16)*LN(J1056))+('BLAZE SHIELD II'!$H$17*('CALCULO MORTERO'!I1056^2)+'BLAZE SHIELD II'!$H$18*'CALCULO MORTERO'!I1056+'BLAZE SHIELD II'!$H$19)),0),0)+ROUND(IF(AND(L1056="Cafco 400",M1056="Software Idiem",C1056="IN",G1056=4),((('CAFCO 400 '!$H$7*(J1056^4)+'CAFCO 400 '!$H$8*(J1056^3)+'CAFCO 400 '!$H$9*(J1056^2)+'CAFCO 400 '!$H$10*J1056+'CAFCO 400 '!$H$11)*U1056^2)+(('CAFCO 400 '!$H$12*(J1056^3)+'CAFCO 400 '!$H$13*(J1056^2)+'CAFCO 400 '!$H$14*J1056+'CAFCO 400 '!$H$15)*U1056)+('CAFCO 400 '!$H$16*(J1056^2)+'CAFCO 400 '!$H$17*J1056+'CAFCO 400 '!$H$18)),0)+IF(AND(L1056="Cafco 400",M1056="Software Idiem",C1056="Cj"),(((('CAFCO 400 '!$D$7*LN(J1056)+'CAFCO 400 '!$D$8)*U1056^2)+(('CAFCO 400 '!$D$9*LN(J1056)+'CAFCO 400 '!$D$10)*U1056)+('CAFCO 400 '!$D$11*LN(J1056)+'CAFCO 400 '!$D$12))),0)+IF(AND(L1056="Cafco 400",M1056="Software Idiem",C1056="C"),((('CAFCO 400 '!$L$7*(J1056^3)+'CAFCO 400 '!$L$8*(J1056^2)+'CAFCO 400 '!$L$9*J1056+'CAFCO 400 '!$L$10)*U1056^2)+(('CAFCO 400 '!$L$11*(J1056^3)+'CAFCO 400 '!$L$12*(J1056^2)+'CAFCO 400 '!$L$13*J1056+'CAFCO 400 '!$L$14)*U1056)+('CAFCO 400 '!$L$15*LN(J1056)+'CAFCO 400 '!$L$16)),0)+IF(AND(L1056="Cafco 400",M1056="Software Idiem",C1056="L"),((('CAFCO 400 '!$L$7*(J1056^3)+'CAFCO 400 '!$L$8*(J1056^2)+'CAFCO 400 '!$L$9*J1056+'CAFCO 400 '!$L$10)*U1056^2)+(('CAFCO 400 '!$L$11*(J1056^3)+'CAFCO 400 '!$L$12*(J1056^2)+'CAFCO 400 '!$L$13*J1056+'CAFCO 400 '!$L$14)*U1056)+('CAFCO 400 '!$L$15*LN(J1056)+'CAFCO 400 '!$L$16)),0)+IF(AND(L1056="Cafco 400",M1056="Software Idiem",C1056="IN",G1056=3),((('CAFCO 400 '!$D$23*(J1056^2)+'CAFCO 400 '!$D$24*(J1056)+'CAFCO 400 '!$D$25)*U1056^2)+(('CAFCO 400 '!$D$26*(J1056^2)+'CAFCO 400 '!$D$27*J1056+'CAFCO 400 '!$D$28)*U1056)+('CAFCO 400 '!$D$29*(J1056^2)+'CAFCO 400 '!$D$30*J1056+'CAFCO 400 '!$D$31)),0),0)+IF(AND(L1056="Cafco 300",J1056&gt;=95,J1056&lt;=240,C1056="Cj",I1056=90),VLOOKUP(T1056,'CAFCO 300 IDIEM TABLAS'!$B$4:$D$23,2,FALSE),0)+IF(AND(L1056="Cafco 300",J1056&gt;=95,J1056&lt;=240,C1056="Cj",I1056=120),VLOOKUP(T1056,'CAFCO 300 IDIEM TABLAS'!$B$4:$D$23,3,FALSE),0)+IF(AND(L1056="Cafco 300",J1056&gt;=95,J1056&lt;=400,G1056=3,C1056="IN",I1056=90),VLOOKUP(T1056,'CAFCO 300 IDIEM TABLAS'!$F$4:$H$35,2,FALSE),0)+IF(AND(L1056="Cafco 300",J1056&gt;=95,J1056&lt;=400,G1056=3,C1056="IN",I1056=120),VLOOKUP(T1056,'CAFCO 300 IDIEM TABLAS'!$F$4:$H$35,3,FALSE),0)+IF(AND(L1056="Cafco 300",J1056&gt;=95,J1056&lt;=450,G1056=4,C1056="IN",I1056=90),VLOOKUP(T1056,'CAFCO 300 IDIEM TABLAS'!$J$4:$L$40,2,FALSE),0)+IF(AND(L1056="Cafco 300",J1056&gt;=95,J1056&lt;=450,G1056=4,C1056="IN",I1056=120),VLOOKUP(T1056,'CAFCO 300 IDIEM TABLAS'!$J$4:$L$40,3,FALSE),0)+IF(AND(M1056="Ensayo Idiem",L1056="Cafco 400",C1056="IN",G1056=4,I1056=90),VLOOKUP(T1056,'CAFCO 400 ENSAYO'!$B$7:$D$43,2,FALSE),0)+IF(AND(M1056="Ensayo Idiem",L1056="Cafco 400",C1056="IN",G1056=4,I1056=120),VLOOKUP(T1056,'CAFCO 400 ENSAYO'!$B$7:$D$43,3,FALSE),0)</f>
        <v>0</v>
      </c>
      <c r="O1056" s="96">
        <f t="shared" si="108"/>
        <v>0</v>
      </c>
      <c r="P1056" s="95" t="str">
        <f t="shared" si="103"/>
        <v>N/A</v>
      </c>
      <c r="Q1056" s="95" t="str">
        <f t="shared" si="104"/>
        <v>N/A</v>
      </c>
      <c r="R1056" s="95" t="str">
        <f t="shared" si="105"/>
        <v>NO CERT.</v>
      </c>
      <c r="S1056" s="95" t="e">
        <f t="shared" si="106"/>
        <v>#N/A</v>
      </c>
      <c r="T1056" s="119" t="e">
        <f>+IF(J1056=LOOKUP(J1056,'CAFCO 300 IDIEM TABLAS'!$J$4:$J$40),'CALCULO MORTERO'!J1056,MROUND('CALCULO MORTERO'!J1056,10))</f>
        <v>#N/A</v>
      </c>
      <c r="U1056" s="118">
        <f t="shared" si="107"/>
        <v>0</v>
      </c>
    </row>
    <row r="1057" spans="1:21" x14ac:dyDescent="0.25">
      <c r="A1057" s="118">
        <f>+CUBICACION!D1051</f>
        <v>0</v>
      </c>
      <c r="B1057" s="819">
        <f>+CUBICACION!E1051</f>
        <v>0</v>
      </c>
      <c r="C1057" s="675">
        <f>+CUBICACION!F1051</f>
        <v>0</v>
      </c>
      <c r="D1057" s="118"/>
      <c r="E1057" s="118"/>
      <c r="F1057" s="820"/>
      <c r="G1057" s="675">
        <f>+CUBICACION!J1051</f>
        <v>0</v>
      </c>
      <c r="H1057" s="118"/>
      <c r="I1057" s="821">
        <f>+CUBICACION!L1051</f>
        <v>0</v>
      </c>
      <c r="J1057" s="64">
        <f>+CUBICACION!M1051</f>
        <v>0</v>
      </c>
      <c r="K1057" s="822" t="str">
        <f>+CUBICACION!N1051</f>
        <v/>
      </c>
      <c r="L1057" s="118">
        <f>+CUBICACION!O1051</f>
        <v>0</v>
      </c>
      <c r="M1057" s="823">
        <f>+CUBICACION!P1051</f>
        <v>0</v>
      </c>
      <c r="N1057" s="902">
        <f>ROUND(IF(AND(L1057="Blaze Shield II",M1057="Software Idiem",C1057="IN",G1057=4),((('BLAZE SHIELD II'!$D$4*('CALCULO MORTERO'!I1057^2)+'BLAZE SHIELD II'!$D$5*'CALCULO MORTERO'!I1057+'BLAZE SHIELD II'!$D$6)*LN(J1057))+('BLAZE SHIELD II'!$D$7*('CALCULO MORTERO'!I1057^2)+'BLAZE SHIELD II'!$D$8*'CALCULO MORTERO'!I1057+'BLAZE SHIELD II'!$D$9)),0)+IF(AND(L1057="Blaze Shield II",M1057="Software Idiem",C1057="Cj"),((('BLAZE SHIELD II'!$H$4*('CALCULO MORTERO'!I1057^2)+'BLAZE SHIELD II'!$H$5*'CALCULO MORTERO'!I1057+'BLAZE SHIELD II'!$H$6)*LN(J1057))+('BLAZE SHIELD II'!$H$7*('CALCULO MORTERO'!I1057^2)+'BLAZE SHIELD II'!$H$8*'CALCULO MORTERO'!I1057+'BLAZE SHIELD II'!$H$9)),0)+IF(AND(L1057="Blaze Shield II",M1057="Software Idiem",C1057="C"),((('BLAZE SHIELD II'!$L$4*('CALCULO MORTERO'!I1057^2)+'BLAZE SHIELD II'!$L$5*'CALCULO MORTERO'!I1057+'BLAZE SHIELD II'!$L$6)*LN(J1057))+('BLAZE SHIELD II'!$L$7*('CALCULO MORTERO'!I1057^2)+'BLAZE SHIELD II'!$L$8*'CALCULO MORTERO'!I1057+'BLAZE SHIELD II'!$L$9)),0)+IF(AND(L1057="Blaze Shield II",M1057="Software Idiem",C1057="L"),((('BLAZE SHIELD II'!$L$4*('CALCULO MORTERO'!I1057^2)+'BLAZE SHIELD II'!$L$5*'CALCULO MORTERO'!I1057+'BLAZE SHIELD II'!$L$6)*LN(J1057))+('BLAZE SHIELD II'!$L$7*('CALCULO MORTERO'!I1057^2)+'BLAZE SHIELD II'!$L$8*'CALCULO MORTERO'!I1057+'BLAZE SHIELD II'!$L$9)),0)+IF(AND(L1057="Blaze Shield II",M1057="Software Idiem",C1057="IN",G1057=3),((('BLAZE SHIELD II'!$H$14*('CALCULO MORTERO'!I1057^2)+'BLAZE SHIELD II'!$H$15*'CALCULO MORTERO'!I1057+'BLAZE SHIELD II'!$H$16)*LN(J1057))+('BLAZE SHIELD II'!$H$17*('CALCULO MORTERO'!I1057^2)+'BLAZE SHIELD II'!$H$18*'CALCULO MORTERO'!I1057+'BLAZE SHIELD II'!$H$19)),0),0)+ROUND(IF(AND(L1057="Cafco 400",M1057="Software Idiem",C1057="IN",G1057=4),((('CAFCO 400 '!$H$7*(J1057^4)+'CAFCO 400 '!$H$8*(J1057^3)+'CAFCO 400 '!$H$9*(J1057^2)+'CAFCO 400 '!$H$10*J1057+'CAFCO 400 '!$H$11)*U1057^2)+(('CAFCO 400 '!$H$12*(J1057^3)+'CAFCO 400 '!$H$13*(J1057^2)+'CAFCO 400 '!$H$14*J1057+'CAFCO 400 '!$H$15)*U1057)+('CAFCO 400 '!$H$16*(J1057^2)+'CAFCO 400 '!$H$17*J1057+'CAFCO 400 '!$H$18)),0)+IF(AND(L1057="Cafco 400",M1057="Software Idiem",C1057="Cj"),(((('CAFCO 400 '!$D$7*LN(J1057)+'CAFCO 400 '!$D$8)*U1057^2)+(('CAFCO 400 '!$D$9*LN(J1057)+'CAFCO 400 '!$D$10)*U1057)+('CAFCO 400 '!$D$11*LN(J1057)+'CAFCO 400 '!$D$12))),0)+IF(AND(L1057="Cafco 400",M1057="Software Idiem",C1057="C"),((('CAFCO 400 '!$L$7*(J1057^3)+'CAFCO 400 '!$L$8*(J1057^2)+'CAFCO 400 '!$L$9*J1057+'CAFCO 400 '!$L$10)*U1057^2)+(('CAFCO 400 '!$L$11*(J1057^3)+'CAFCO 400 '!$L$12*(J1057^2)+'CAFCO 400 '!$L$13*J1057+'CAFCO 400 '!$L$14)*U1057)+('CAFCO 400 '!$L$15*LN(J1057)+'CAFCO 400 '!$L$16)),0)+IF(AND(L1057="Cafco 400",M1057="Software Idiem",C1057="L"),((('CAFCO 400 '!$L$7*(J1057^3)+'CAFCO 400 '!$L$8*(J1057^2)+'CAFCO 400 '!$L$9*J1057+'CAFCO 400 '!$L$10)*U1057^2)+(('CAFCO 400 '!$L$11*(J1057^3)+'CAFCO 400 '!$L$12*(J1057^2)+'CAFCO 400 '!$L$13*J1057+'CAFCO 400 '!$L$14)*U1057)+('CAFCO 400 '!$L$15*LN(J1057)+'CAFCO 400 '!$L$16)),0)+IF(AND(L1057="Cafco 400",M1057="Software Idiem",C1057="IN",G1057=3),((('CAFCO 400 '!$D$23*(J1057^2)+'CAFCO 400 '!$D$24*(J1057)+'CAFCO 400 '!$D$25)*U1057^2)+(('CAFCO 400 '!$D$26*(J1057^2)+'CAFCO 400 '!$D$27*J1057+'CAFCO 400 '!$D$28)*U1057)+('CAFCO 400 '!$D$29*(J1057^2)+'CAFCO 400 '!$D$30*J1057+'CAFCO 400 '!$D$31)),0),0)+IF(AND(L1057="Cafco 300",J1057&gt;=95,J1057&lt;=240,C1057="Cj",I1057=90),VLOOKUP(T1057,'CAFCO 300 IDIEM TABLAS'!$B$4:$D$23,2,FALSE),0)+IF(AND(L1057="Cafco 300",J1057&gt;=95,J1057&lt;=240,C1057="Cj",I1057=120),VLOOKUP(T1057,'CAFCO 300 IDIEM TABLAS'!$B$4:$D$23,3,FALSE),0)+IF(AND(L1057="Cafco 300",J1057&gt;=95,J1057&lt;=400,G1057=3,C1057="IN",I1057=90),VLOOKUP(T1057,'CAFCO 300 IDIEM TABLAS'!$F$4:$H$35,2,FALSE),0)+IF(AND(L1057="Cafco 300",J1057&gt;=95,J1057&lt;=400,G1057=3,C1057="IN",I1057=120),VLOOKUP(T1057,'CAFCO 300 IDIEM TABLAS'!$F$4:$H$35,3,FALSE),0)+IF(AND(L1057="Cafco 300",J1057&gt;=95,J1057&lt;=450,G1057=4,C1057="IN",I1057=90),VLOOKUP(T1057,'CAFCO 300 IDIEM TABLAS'!$J$4:$L$40,2,FALSE),0)+IF(AND(L1057="Cafco 300",J1057&gt;=95,J1057&lt;=450,G1057=4,C1057="IN",I1057=120),VLOOKUP(T1057,'CAFCO 300 IDIEM TABLAS'!$J$4:$L$40,3,FALSE),0)+IF(AND(M1057="Ensayo Idiem",L1057="Cafco 400",C1057="IN",G1057=4,I1057=90),VLOOKUP(T1057,'CAFCO 400 ENSAYO'!$B$7:$D$43,2,FALSE),0)+IF(AND(M1057="Ensayo Idiem",L1057="Cafco 400",C1057="IN",G1057=4,I1057=120),VLOOKUP(T1057,'CAFCO 400 ENSAYO'!$B$7:$D$43,3,FALSE),0)</f>
        <v>0</v>
      </c>
      <c r="O1057" s="96">
        <f t="shared" si="108"/>
        <v>0</v>
      </c>
      <c r="P1057" s="132" t="str">
        <f t="shared" si="103"/>
        <v>N/A</v>
      </c>
      <c r="Q1057" s="132" t="str">
        <f t="shared" si="104"/>
        <v>N/A</v>
      </c>
      <c r="R1057" s="132" t="str">
        <f t="shared" si="105"/>
        <v>NO CERT.</v>
      </c>
      <c r="S1057" s="132" t="e">
        <f t="shared" si="106"/>
        <v>#N/A</v>
      </c>
      <c r="T1057" s="133" t="e">
        <f>+IF(J1057=LOOKUP(J1057,'CAFCO 300 IDIEM TABLAS'!$J$4:$J$40),'CALCULO MORTERO'!J1057,MROUND('CALCULO MORTERO'!J1057,10))</f>
        <v>#N/A</v>
      </c>
      <c r="U1057" s="134">
        <f t="shared" si="107"/>
        <v>0</v>
      </c>
    </row>
    <row r="1058" spans="1:21" x14ac:dyDescent="0.25">
      <c r="A1058" s="118">
        <f>+CUBICACION!D1052</f>
        <v>0</v>
      </c>
      <c r="B1058" s="819">
        <f>+CUBICACION!E1052</f>
        <v>0</v>
      </c>
      <c r="C1058" s="675">
        <f>+CUBICACION!F1052</f>
        <v>0</v>
      </c>
      <c r="D1058" s="118"/>
      <c r="E1058" s="118"/>
      <c r="F1058" s="820"/>
      <c r="G1058" s="675">
        <f>+CUBICACION!J1052</f>
        <v>0</v>
      </c>
      <c r="H1058" s="118"/>
      <c r="I1058" s="821">
        <f>+CUBICACION!L1052</f>
        <v>0</v>
      </c>
      <c r="J1058" s="64">
        <f>+CUBICACION!M1052</f>
        <v>0</v>
      </c>
      <c r="K1058" s="822" t="str">
        <f>+CUBICACION!N1052</f>
        <v/>
      </c>
      <c r="L1058" s="118">
        <f>+CUBICACION!O1052</f>
        <v>0</v>
      </c>
      <c r="M1058" s="823">
        <f>+CUBICACION!P1052</f>
        <v>0</v>
      </c>
      <c r="N1058" s="902">
        <f>ROUND(IF(AND(L1058="Blaze Shield II",M1058="Software Idiem",C1058="IN",G1058=4),((('BLAZE SHIELD II'!$D$4*('CALCULO MORTERO'!I1058^2)+'BLAZE SHIELD II'!$D$5*'CALCULO MORTERO'!I1058+'BLAZE SHIELD II'!$D$6)*LN(J1058))+('BLAZE SHIELD II'!$D$7*('CALCULO MORTERO'!I1058^2)+'BLAZE SHIELD II'!$D$8*'CALCULO MORTERO'!I1058+'BLAZE SHIELD II'!$D$9)),0)+IF(AND(L1058="Blaze Shield II",M1058="Software Idiem",C1058="Cj"),((('BLAZE SHIELD II'!$H$4*('CALCULO MORTERO'!I1058^2)+'BLAZE SHIELD II'!$H$5*'CALCULO MORTERO'!I1058+'BLAZE SHIELD II'!$H$6)*LN(J1058))+('BLAZE SHIELD II'!$H$7*('CALCULO MORTERO'!I1058^2)+'BLAZE SHIELD II'!$H$8*'CALCULO MORTERO'!I1058+'BLAZE SHIELD II'!$H$9)),0)+IF(AND(L1058="Blaze Shield II",M1058="Software Idiem",C1058="C"),((('BLAZE SHIELD II'!$L$4*('CALCULO MORTERO'!I1058^2)+'BLAZE SHIELD II'!$L$5*'CALCULO MORTERO'!I1058+'BLAZE SHIELD II'!$L$6)*LN(J1058))+('BLAZE SHIELD II'!$L$7*('CALCULO MORTERO'!I1058^2)+'BLAZE SHIELD II'!$L$8*'CALCULO MORTERO'!I1058+'BLAZE SHIELD II'!$L$9)),0)+IF(AND(L1058="Blaze Shield II",M1058="Software Idiem",C1058="L"),((('BLAZE SHIELD II'!$L$4*('CALCULO MORTERO'!I1058^2)+'BLAZE SHIELD II'!$L$5*'CALCULO MORTERO'!I1058+'BLAZE SHIELD II'!$L$6)*LN(J1058))+('BLAZE SHIELD II'!$L$7*('CALCULO MORTERO'!I1058^2)+'BLAZE SHIELD II'!$L$8*'CALCULO MORTERO'!I1058+'BLAZE SHIELD II'!$L$9)),0)+IF(AND(L1058="Blaze Shield II",M1058="Software Idiem",C1058="IN",G1058=3),((('BLAZE SHIELD II'!$H$14*('CALCULO MORTERO'!I1058^2)+'BLAZE SHIELD II'!$H$15*'CALCULO MORTERO'!I1058+'BLAZE SHIELD II'!$H$16)*LN(J1058))+('BLAZE SHIELD II'!$H$17*('CALCULO MORTERO'!I1058^2)+'BLAZE SHIELD II'!$H$18*'CALCULO MORTERO'!I1058+'BLAZE SHIELD II'!$H$19)),0),0)+ROUND(IF(AND(L1058="Cafco 400",M1058="Software Idiem",C1058="IN",G1058=4),((('CAFCO 400 '!$H$7*(J1058^4)+'CAFCO 400 '!$H$8*(J1058^3)+'CAFCO 400 '!$H$9*(J1058^2)+'CAFCO 400 '!$H$10*J1058+'CAFCO 400 '!$H$11)*U1058^2)+(('CAFCO 400 '!$H$12*(J1058^3)+'CAFCO 400 '!$H$13*(J1058^2)+'CAFCO 400 '!$H$14*J1058+'CAFCO 400 '!$H$15)*U1058)+('CAFCO 400 '!$H$16*(J1058^2)+'CAFCO 400 '!$H$17*J1058+'CAFCO 400 '!$H$18)),0)+IF(AND(L1058="Cafco 400",M1058="Software Idiem",C1058="Cj"),(((('CAFCO 400 '!$D$7*LN(J1058)+'CAFCO 400 '!$D$8)*U1058^2)+(('CAFCO 400 '!$D$9*LN(J1058)+'CAFCO 400 '!$D$10)*U1058)+('CAFCO 400 '!$D$11*LN(J1058)+'CAFCO 400 '!$D$12))),0)+IF(AND(L1058="Cafco 400",M1058="Software Idiem",C1058="C"),((('CAFCO 400 '!$L$7*(J1058^3)+'CAFCO 400 '!$L$8*(J1058^2)+'CAFCO 400 '!$L$9*J1058+'CAFCO 400 '!$L$10)*U1058^2)+(('CAFCO 400 '!$L$11*(J1058^3)+'CAFCO 400 '!$L$12*(J1058^2)+'CAFCO 400 '!$L$13*J1058+'CAFCO 400 '!$L$14)*U1058)+('CAFCO 400 '!$L$15*LN(J1058)+'CAFCO 400 '!$L$16)),0)+IF(AND(L1058="Cafco 400",M1058="Software Idiem",C1058="L"),((('CAFCO 400 '!$L$7*(J1058^3)+'CAFCO 400 '!$L$8*(J1058^2)+'CAFCO 400 '!$L$9*J1058+'CAFCO 400 '!$L$10)*U1058^2)+(('CAFCO 400 '!$L$11*(J1058^3)+'CAFCO 400 '!$L$12*(J1058^2)+'CAFCO 400 '!$L$13*J1058+'CAFCO 400 '!$L$14)*U1058)+('CAFCO 400 '!$L$15*LN(J1058)+'CAFCO 400 '!$L$16)),0)+IF(AND(L1058="Cafco 400",M1058="Software Idiem",C1058="IN",G1058=3),((('CAFCO 400 '!$D$23*(J1058^2)+'CAFCO 400 '!$D$24*(J1058)+'CAFCO 400 '!$D$25)*U1058^2)+(('CAFCO 400 '!$D$26*(J1058^2)+'CAFCO 400 '!$D$27*J1058+'CAFCO 400 '!$D$28)*U1058)+('CAFCO 400 '!$D$29*(J1058^2)+'CAFCO 400 '!$D$30*J1058+'CAFCO 400 '!$D$31)),0),0)+IF(AND(L1058="Cafco 300",J1058&gt;=95,J1058&lt;=240,C1058="Cj",I1058=90),VLOOKUP(T1058,'CAFCO 300 IDIEM TABLAS'!$B$4:$D$23,2,FALSE),0)+IF(AND(L1058="Cafco 300",J1058&gt;=95,J1058&lt;=240,C1058="Cj",I1058=120),VLOOKUP(T1058,'CAFCO 300 IDIEM TABLAS'!$B$4:$D$23,3,FALSE),0)+IF(AND(L1058="Cafco 300",J1058&gt;=95,J1058&lt;=400,G1058=3,C1058="IN",I1058=90),VLOOKUP(T1058,'CAFCO 300 IDIEM TABLAS'!$F$4:$H$35,2,FALSE),0)+IF(AND(L1058="Cafco 300",J1058&gt;=95,J1058&lt;=400,G1058=3,C1058="IN",I1058=120),VLOOKUP(T1058,'CAFCO 300 IDIEM TABLAS'!$F$4:$H$35,3,FALSE),0)+IF(AND(L1058="Cafco 300",J1058&gt;=95,J1058&lt;=450,G1058=4,C1058="IN",I1058=90),VLOOKUP(T1058,'CAFCO 300 IDIEM TABLAS'!$J$4:$L$40,2,FALSE),0)+IF(AND(L1058="Cafco 300",J1058&gt;=95,J1058&lt;=450,G1058=4,C1058="IN",I1058=120),VLOOKUP(T1058,'CAFCO 300 IDIEM TABLAS'!$J$4:$L$40,3,FALSE),0)+IF(AND(M1058="Ensayo Idiem",L1058="Cafco 400",C1058="IN",G1058=4,I1058=90),VLOOKUP(T1058,'CAFCO 400 ENSAYO'!$B$7:$D$43,2,FALSE),0)+IF(AND(M1058="Ensayo Idiem",L1058="Cafco 400",C1058="IN",G1058=4,I1058=120),VLOOKUP(T1058,'CAFCO 400 ENSAYO'!$B$7:$D$43,3,FALSE),0)</f>
        <v>0</v>
      </c>
      <c r="O1058" s="96">
        <f t="shared" si="108"/>
        <v>0</v>
      </c>
      <c r="P1058" s="95" t="str">
        <f t="shared" si="103"/>
        <v>N/A</v>
      </c>
      <c r="Q1058" s="95" t="str">
        <f t="shared" si="104"/>
        <v>N/A</v>
      </c>
      <c r="R1058" s="95" t="str">
        <f t="shared" si="105"/>
        <v>NO CERT.</v>
      </c>
      <c r="S1058" s="95" t="e">
        <f t="shared" si="106"/>
        <v>#N/A</v>
      </c>
      <c r="T1058" s="119" t="e">
        <f>+IF(J1058=LOOKUP(J1058,'CAFCO 300 IDIEM TABLAS'!$J$4:$J$40),'CALCULO MORTERO'!J1058,MROUND('CALCULO MORTERO'!J1058,10))</f>
        <v>#N/A</v>
      </c>
      <c r="U1058" s="118">
        <f t="shared" si="107"/>
        <v>0</v>
      </c>
    </row>
    <row r="1059" spans="1:21" x14ac:dyDescent="0.25">
      <c r="A1059" s="118">
        <f>+CUBICACION!D1053</f>
        <v>0</v>
      </c>
      <c r="B1059" s="819">
        <f>+CUBICACION!E1053</f>
        <v>0</v>
      </c>
      <c r="C1059" s="675">
        <f>+CUBICACION!F1053</f>
        <v>0</v>
      </c>
      <c r="D1059" s="118"/>
      <c r="E1059" s="118"/>
      <c r="F1059" s="820"/>
      <c r="G1059" s="675">
        <f>+CUBICACION!J1053</f>
        <v>0</v>
      </c>
      <c r="H1059" s="118"/>
      <c r="I1059" s="821">
        <f>+CUBICACION!L1053</f>
        <v>0</v>
      </c>
      <c r="J1059" s="64">
        <f>+CUBICACION!M1053</f>
        <v>0</v>
      </c>
      <c r="K1059" s="822" t="str">
        <f>+CUBICACION!N1053</f>
        <v/>
      </c>
      <c r="L1059" s="118">
        <f>+CUBICACION!O1053</f>
        <v>0</v>
      </c>
      <c r="M1059" s="823">
        <f>+CUBICACION!P1053</f>
        <v>0</v>
      </c>
      <c r="N1059" s="902">
        <f>ROUND(IF(AND(L1059="Blaze Shield II",M1059="Software Idiem",C1059="IN",G1059=4),((('BLAZE SHIELD II'!$D$4*('CALCULO MORTERO'!I1059^2)+'BLAZE SHIELD II'!$D$5*'CALCULO MORTERO'!I1059+'BLAZE SHIELD II'!$D$6)*LN(J1059))+('BLAZE SHIELD II'!$D$7*('CALCULO MORTERO'!I1059^2)+'BLAZE SHIELD II'!$D$8*'CALCULO MORTERO'!I1059+'BLAZE SHIELD II'!$D$9)),0)+IF(AND(L1059="Blaze Shield II",M1059="Software Idiem",C1059="Cj"),((('BLAZE SHIELD II'!$H$4*('CALCULO MORTERO'!I1059^2)+'BLAZE SHIELD II'!$H$5*'CALCULO MORTERO'!I1059+'BLAZE SHIELD II'!$H$6)*LN(J1059))+('BLAZE SHIELD II'!$H$7*('CALCULO MORTERO'!I1059^2)+'BLAZE SHIELD II'!$H$8*'CALCULO MORTERO'!I1059+'BLAZE SHIELD II'!$H$9)),0)+IF(AND(L1059="Blaze Shield II",M1059="Software Idiem",C1059="C"),((('BLAZE SHIELD II'!$L$4*('CALCULO MORTERO'!I1059^2)+'BLAZE SHIELD II'!$L$5*'CALCULO MORTERO'!I1059+'BLAZE SHIELD II'!$L$6)*LN(J1059))+('BLAZE SHIELD II'!$L$7*('CALCULO MORTERO'!I1059^2)+'BLAZE SHIELD II'!$L$8*'CALCULO MORTERO'!I1059+'BLAZE SHIELD II'!$L$9)),0)+IF(AND(L1059="Blaze Shield II",M1059="Software Idiem",C1059="L"),((('BLAZE SHIELD II'!$L$4*('CALCULO MORTERO'!I1059^2)+'BLAZE SHIELD II'!$L$5*'CALCULO MORTERO'!I1059+'BLAZE SHIELD II'!$L$6)*LN(J1059))+('BLAZE SHIELD II'!$L$7*('CALCULO MORTERO'!I1059^2)+'BLAZE SHIELD II'!$L$8*'CALCULO MORTERO'!I1059+'BLAZE SHIELD II'!$L$9)),0)+IF(AND(L1059="Blaze Shield II",M1059="Software Idiem",C1059="IN",G1059=3),((('BLAZE SHIELD II'!$H$14*('CALCULO MORTERO'!I1059^2)+'BLAZE SHIELD II'!$H$15*'CALCULO MORTERO'!I1059+'BLAZE SHIELD II'!$H$16)*LN(J1059))+('BLAZE SHIELD II'!$H$17*('CALCULO MORTERO'!I1059^2)+'BLAZE SHIELD II'!$H$18*'CALCULO MORTERO'!I1059+'BLAZE SHIELD II'!$H$19)),0),0)+ROUND(IF(AND(L1059="Cafco 400",M1059="Software Idiem",C1059="IN",G1059=4),((('CAFCO 400 '!$H$7*(J1059^4)+'CAFCO 400 '!$H$8*(J1059^3)+'CAFCO 400 '!$H$9*(J1059^2)+'CAFCO 400 '!$H$10*J1059+'CAFCO 400 '!$H$11)*U1059^2)+(('CAFCO 400 '!$H$12*(J1059^3)+'CAFCO 400 '!$H$13*(J1059^2)+'CAFCO 400 '!$H$14*J1059+'CAFCO 400 '!$H$15)*U1059)+('CAFCO 400 '!$H$16*(J1059^2)+'CAFCO 400 '!$H$17*J1059+'CAFCO 400 '!$H$18)),0)+IF(AND(L1059="Cafco 400",M1059="Software Idiem",C1059="Cj"),(((('CAFCO 400 '!$D$7*LN(J1059)+'CAFCO 400 '!$D$8)*U1059^2)+(('CAFCO 400 '!$D$9*LN(J1059)+'CAFCO 400 '!$D$10)*U1059)+('CAFCO 400 '!$D$11*LN(J1059)+'CAFCO 400 '!$D$12))),0)+IF(AND(L1059="Cafco 400",M1059="Software Idiem",C1059="C"),((('CAFCO 400 '!$L$7*(J1059^3)+'CAFCO 400 '!$L$8*(J1059^2)+'CAFCO 400 '!$L$9*J1059+'CAFCO 400 '!$L$10)*U1059^2)+(('CAFCO 400 '!$L$11*(J1059^3)+'CAFCO 400 '!$L$12*(J1059^2)+'CAFCO 400 '!$L$13*J1059+'CAFCO 400 '!$L$14)*U1059)+('CAFCO 400 '!$L$15*LN(J1059)+'CAFCO 400 '!$L$16)),0)+IF(AND(L1059="Cafco 400",M1059="Software Idiem",C1059="L"),((('CAFCO 400 '!$L$7*(J1059^3)+'CAFCO 400 '!$L$8*(J1059^2)+'CAFCO 400 '!$L$9*J1059+'CAFCO 400 '!$L$10)*U1059^2)+(('CAFCO 400 '!$L$11*(J1059^3)+'CAFCO 400 '!$L$12*(J1059^2)+'CAFCO 400 '!$L$13*J1059+'CAFCO 400 '!$L$14)*U1059)+('CAFCO 400 '!$L$15*LN(J1059)+'CAFCO 400 '!$L$16)),0)+IF(AND(L1059="Cafco 400",M1059="Software Idiem",C1059="IN",G1059=3),((('CAFCO 400 '!$D$23*(J1059^2)+'CAFCO 400 '!$D$24*(J1059)+'CAFCO 400 '!$D$25)*U1059^2)+(('CAFCO 400 '!$D$26*(J1059^2)+'CAFCO 400 '!$D$27*J1059+'CAFCO 400 '!$D$28)*U1059)+('CAFCO 400 '!$D$29*(J1059^2)+'CAFCO 400 '!$D$30*J1059+'CAFCO 400 '!$D$31)),0),0)+IF(AND(L1059="Cafco 300",J1059&gt;=95,J1059&lt;=240,C1059="Cj",I1059=90),VLOOKUP(T1059,'CAFCO 300 IDIEM TABLAS'!$B$4:$D$23,2,FALSE),0)+IF(AND(L1059="Cafco 300",J1059&gt;=95,J1059&lt;=240,C1059="Cj",I1059=120),VLOOKUP(T1059,'CAFCO 300 IDIEM TABLAS'!$B$4:$D$23,3,FALSE),0)+IF(AND(L1059="Cafco 300",J1059&gt;=95,J1059&lt;=400,G1059=3,C1059="IN",I1059=90),VLOOKUP(T1059,'CAFCO 300 IDIEM TABLAS'!$F$4:$H$35,2,FALSE),0)+IF(AND(L1059="Cafco 300",J1059&gt;=95,J1059&lt;=400,G1059=3,C1059="IN",I1059=120),VLOOKUP(T1059,'CAFCO 300 IDIEM TABLAS'!$F$4:$H$35,3,FALSE),0)+IF(AND(L1059="Cafco 300",J1059&gt;=95,J1059&lt;=450,G1059=4,C1059="IN",I1059=90),VLOOKUP(T1059,'CAFCO 300 IDIEM TABLAS'!$J$4:$L$40,2,FALSE),0)+IF(AND(L1059="Cafco 300",J1059&gt;=95,J1059&lt;=450,G1059=4,C1059="IN",I1059=120),VLOOKUP(T1059,'CAFCO 300 IDIEM TABLAS'!$J$4:$L$40,3,FALSE),0)+IF(AND(M1059="Ensayo Idiem",L1059="Cafco 400",C1059="IN",G1059=4,I1059=90),VLOOKUP(T1059,'CAFCO 400 ENSAYO'!$B$7:$D$43,2,FALSE),0)+IF(AND(M1059="Ensayo Idiem",L1059="Cafco 400",C1059="IN",G1059=4,I1059=120),VLOOKUP(T1059,'CAFCO 400 ENSAYO'!$B$7:$D$43,3,FALSE),0)</f>
        <v>0</v>
      </c>
      <c r="O1059" s="96">
        <f t="shared" si="108"/>
        <v>0</v>
      </c>
      <c r="P1059" s="132" t="str">
        <f t="shared" si="103"/>
        <v>N/A</v>
      </c>
      <c r="Q1059" s="132" t="str">
        <f t="shared" si="104"/>
        <v>N/A</v>
      </c>
      <c r="R1059" s="132" t="str">
        <f t="shared" si="105"/>
        <v>NO CERT.</v>
      </c>
      <c r="S1059" s="132" t="e">
        <f t="shared" si="106"/>
        <v>#N/A</v>
      </c>
      <c r="T1059" s="133" t="e">
        <f>+IF(J1059=LOOKUP(J1059,'CAFCO 300 IDIEM TABLAS'!$J$4:$J$40),'CALCULO MORTERO'!J1059,MROUND('CALCULO MORTERO'!J1059,10))</f>
        <v>#N/A</v>
      </c>
      <c r="U1059" s="134">
        <f t="shared" si="107"/>
        <v>0</v>
      </c>
    </row>
    <row r="1060" spans="1:21" x14ac:dyDescent="0.25">
      <c r="A1060" s="118">
        <f>+CUBICACION!D1054</f>
        <v>0</v>
      </c>
      <c r="B1060" s="819">
        <f>+CUBICACION!E1054</f>
        <v>0</v>
      </c>
      <c r="C1060" s="675">
        <f>+CUBICACION!F1054</f>
        <v>0</v>
      </c>
      <c r="D1060" s="118"/>
      <c r="E1060" s="118"/>
      <c r="F1060" s="820"/>
      <c r="G1060" s="675">
        <f>+CUBICACION!J1054</f>
        <v>0</v>
      </c>
      <c r="H1060" s="118"/>
      <c r="I1060" s="821">
        <f>+CUBICACION!L1054</f>
        <v>0</v>
      </c>
      <c r="J1060" s="64">
        <f>+CUBICACION!M1054</f>
        <v>0</v>
      </c>
      <c r="K1060" s="822" t="str">
        <f>+CUBICACION!N1054</f>
        <v/>
      </c>
      <c r="L1060" s="118">
        <f>+CUBICACION!O1054</f>
        <v>0</v>
      </c>
      <c r="M1060" s="823">
        <f>+CUBICACION!P1054</f>
        <v>0</v>
      </c>
      <c r="N1060" s="902">
        <f>ROUND(IF(AND(L1060="Blaze Shield II",M1060="Software Idiem",C1060="IN",G1060=4),((('BLAZE SHIELD II'!$D$4*('CALCULO MORTERO'!I1060^2)+'BLAZE SHIELD II'!$D$5*'CALCULO MORTERO'!I1060+'BLAZE SHIELD II'!$D$6)*LN(J1060))+('BLAZE SHIELD II'!$D$7*('CALCULO MORTERO'!I1060^2)+'BLAZE SHIELD II'!$D$8*'CALCULO MORTERO'!I1060+'BLAZE SHIELD II'!$D$9)),0)+IF(AND(L1060="Blaze Shield II",M1060="Software Idiem",C1060="Cj"),((('BLAZE SHIELD II'!$H$4*('CALCULO MORTERO'!I1060^2)+'BLAZE SHIELD II'!$H$5*'CALCULO MORTERO'!I1060+'BLAZE SHIELD II'!$H$6)*LN(J1060))+('BLAZE SHIELD II'!$H$7*('CALCULO MORTERO'!I1060^2)+'BLAZE SHIELD II'!$H$8*'CALCULO MORTERO'!I1060+'BLAZE SHIELD II'!$H$9)),0)+IF(AND(L1060="Blaze Shield II",M1060="Software Idiem",C1060="C"),((('BLAZE SHIELD II'!$L$4*('CALCULO MORTERO'!I1060^2)+'BLAZE SHIELD II'!$L$5*'CALCULO MORTERO'!I1060+'BLAZE SHIELD II'!$L$6)*LN(J1060))+('BLAZE SHIELD II'!$L$7*('CALCULO MORTERO'!I1060^2)+'BLAZE SHIELD II'!$L$8*'CALCULO MORTERO'!I1060+'BLAZE SHIELD II'!$L$9)),0)+IF(AND(L1060="Blaze Shield II",M1060="Software Idiem",C1060="L"),((('BLAZE SHIELD II'!$L$4*('CALCULO MORTERO'!I1060^2)+'BLAZE SHIELD II'!$L$5*'CALCULO MORTERO'!I1060+'BLAZE SHIELD II'!$L$6)*LN(J1060))+('BLAZE SHIELD II'!$L$7*('CALCULO MORTERO'!I1060^2)+'BLAZE SHIELD II'!$L$8*'CALCULO MORTERO'!I1060+'BLAZE SHIELD II'!$L$9)),0)+IF(AND(L1060="Blaze Shield II",M1060="Software Idiem",C1060="IN",G1060=3),((('BLAZE SHIELD II'!$H$14*('CALCULO MORTERO'!I1060^2)+'BLAZE SHIELD II'!$H$15*'CALCULO MORTERO'!I1060+'BLAZE SHIELD II'!$H$16)*LN(J1060))+('BLAZE SHIELD II'!$H$17*('CALCULO MORTERO'!I1060^2)+'BLAZE SHIELD II'!$H$18*'CALCULO MORTERO'!I1060+'BLAZE SHIELD II'!$H$19)),0),0)+ROUND(IF(AND(L1060="Cafco 400",M1060="Software Idiem",C1060="IN",G1060=4),((('CAFCO 400 '!$H$7*(J1060^4)+'CAFCO 400 '!$H$8*(J1060^3)+'CAFCO 400 '!$H$9*(J1060^2)+'CAFCO 400 '!$H$10*J1060+'CAFCO 400 '!$H$11)*U1060^2)+(('CAFCO 400 '!$H$12*(J1060^3)+'CAFCO 400 '!$H$13*(J1060^2)+'CAFCO 400 '!$H$14*J1060+'CAFCO 400 '!$H$15)*U1060)+('CAFCO 400 '!$H$16*(J1060^2)+'CAFCO 400 '!$H$17*J1060+'CAFCO 400 '!$H$18)),0)+IF(AND(L1060="Cafco 400",M1060="Software Idiem",C1060="Cj"),(((('CAFCO 400 '!$D$7*LN(J1060)+'CAFCO 400 '!$D$8)*U1060^2)+(('CAFCO 400 '!$D$9*LN(J1060)+'CAFCO 400 '!$D$10)*U1060)+('CAFCO 400 '!$D$11*LN(J1060)+'CAFCO 400 '!$D$12))),0)+IF(AND(L1060="Cafco 400",M1060="Software Idiem",C1060="C"),((('CAFCO 400 '!$L$7*(J1060^3)+'CAFCO 400 '!$L$8*(J1060^2)+'CAFCO 400 '!$L$9*J1060+'CAFCO 400 '!$L$10)*U1060^2)+(('CAFCO 400 '!$L$11*(J1060^3)+'CAFCO 400 '!$L$12*(J1060^2)+'CAFCO 400 '!$L$13*J1060+'CAFCO 400 '!$L$14)*U1060)+('CAFCO 400 '!$L$15*LN(J1060)+'CAFCO 400 '!$L$16)),0)+IF(AND(L1060="Cafco 400",M1060="Software Idiem",C1060="L"),((('CAFCO 400 '!$L$7*(J1060^3)+'CAFCO 400 '!$L$8*(J1060^2)+'CAFCO 400 '!$L$9*J1060+'CAFCO 400 '!$L$10)*U1060^2)+(('CAFCO 400 '!$L$11*(J1060^3)+'CAFCO 400 '!$L$12*(J1060^2)+'CAFCO 400 '!$L$13*J1060+'CAFCO 400 '!$L$14)*U1060)+('CAFCO 400 '!$L$15*LN(J1060)+'CAFCO 400 '!$L$16)),0)+IF(AND(L1060="Cafco 400",M1060="Software Idiem",C1060="IN",G1060=3),((('CAFCO 400 '!$D$23*(J1060^2)+'CAFCO 400 '!$D$24*(J1060)+'CAFCO 400 '!$D$25)*U1060^2)+(('CAFCO 400 '!$D$26*(J1060^2)+'CAFCO 400 '!$D$27*J1060+'CAFCO 400 '!$D$28)*U1060)+('CAFCO 400 '!$D$29*(J1060^2)+'CAFCO 400 '!$D$30*J1060+'CAFCO 400 '!$D$31)),0),0)+IF(AND(L1060="Cafco 300",J1060&gt;=95,J1060&lt;=240,C1060="Cj",I1060=90),VLOOKUP(T1060,'CAFCO 300 IDIEM TABLAS'!$B$4:$D$23,2,FALSE),0)+IF(AND(L1060="Cafco 300",J1060&gt;=95,J1060&lt;=240,C1060="Cj",I1060=120),VLOOKUP(T1060,'CAFCO 300 IDIEM TABLAS'!$B$4:$D$23,3,FALSE),0)+IF(AND(L1060="Cafco 300",J1060&gt;=95,J1060&lt;=400,G1060=3,C1060="IN",I1060=90),VLOOKUP(T1060,'CAFCO 300 IDIEM TABLAS'!$F$4:$H$35,2,FALSE),0)+IF(AND(L1060="Cafco 300",J1060&gt;=95,J1060&lt;=400,G1060=3,C1060="IN",I1060=120),VLOOKUP(T1060,'CAFCO 300 IDIEM TABLAS'!$F$4:$H$35,3,FALSE),0)+IF(AND(L1060="Cafco 300",J1060&gt;=95,J1060&lt;=450,G1060=4,C1060="IN",I1060=90),VLOOKUP(T1060,'CAFCO 300 IDIEM TABLAS'!$J$4:$L$40,2,FALSE),0)+IF(AND(L1060="Cafco 300",J1060&gt;=95,J1060&lt;=450,G1060=4,C1060="IN",I1060=120),VLOOKUP(T1060,'CAFCO 300 IDIEM TABLAS'!$J$4:$L$40,3,FALSE),0)+IF(AND(M1060="Ensayo Idiem",L1060="Cafco 400",C1060="IN",G1060=4,I1060=90),VLOOKUP(T1060,'CAFCO 400 ENSAYO'!$B$7:$D$43,2,FALSE),0)+IF(AND(M1060="Ensayo Idiem",L1060="Cafco 400",C1060="IN",G1060=4,I1060=120),VLOOKUP(T1060,'CAFCO 400 ENSAYO'!$B$7:$D$43,3,FALSE),0)</f>
        <v>0</v>
      </c>
      <c r="O1060" s="96">
        <f t="shared" si="108"/>
        <v>0</v>
      </c>
      <c r="P1060" s="95" t="str">
        <f t="shared" si="103"/>
        <v>N/A</v>
      </c>
      <c r="Q1060" s="95" t="str">
        <f t="shared" si="104"/>
        <v>N/A</v>
      </c>
      <c r="R1060" s="95" t="str">
        <f t="shared" si="105"/>
        <v>NO CERT.</v>
      </c>
      <c r="S1060" s="95" t="e">
        <f t="shared" si="106"/>
        <v>#N/A</v>
      </c>
      <c r="T1060" s="119" t="e">
        <f>+IF(J1060=LOOKUP(J1060,'CAFCO 300 IDIEM TABLAS'!$J$4:$J$40),'CALCULO MORTERO'!J1060,MROUND('CALCULO MORTERO'!J1060,10))</f>
        <v>#N/A</v>
      </c>
      <c r="U1060" s="118">
        <f t="shared" si="107"/>
        <v>0</v>
      </c>
    </row>
    <row r="1061" spans="1:21" x14ac:dyDescent="0.25">
      <c r="A1061" s="118">
        <f>+CUBICACION!D1055</f>
        <v>0</v>
      </c>
      <c r="B1061" s="819">
        <f>+CUBICACION!E1055</f>
        <v>0</v>
      </c>
      <c r="C1061" s="675">
        <f>+CUBICACION!F1055</f>
        <v>0</v>
      </c>
      <c r="D1061" s="118"/>
      <c r="E1061" s="118"/>
      <c r="F1061" s="820"/>
      <c r="G1061" s="675">
        <f>+CUBICACION!J1055</f>
        <v>0</v>
      </c>
      <c r="H1061" s="118"/>
      <c r="I1061" s="821">
        <f>+CUBICACION!L1055</f>
        <v>0</v>
      </c>
      <c r="J1061" s="64">
        <f>+CUBICACION!M1055</f>
        <v>0</v>
      </c>
      <c r="K1061" s="822" t="str">
        <f>+CUBICACION!N1055</f>
        <v/>
      </c>
      <c r="L1061" s="118">
        <f>+CUBICACION!O1055</f>
        <v>0</v>
      </c>
      <c r="M1061" s="823">
        <f>+CUBICACION!P1055</f>
        <v>0</v>
      </c>
      <c r="N1061" s="902">
        <f>ROUND(IF(AND(L1061="Blaze Shield II",M1061="Software Idiem",C1061="IN",G1061=4),((('BLAZE SHIELD II'!$D$4*('CALCULO MORTERO'!I1061^2)+'BLAZE SHIELD II'!$D$5*'CALCULO MORTERO'!I1061+'BLAZE SHIELD II'!$D$6)*LN(J1061))+('BLAZE SHIELD II'!$D$7*('CALCULO MORTERO'!I1061^2)+'BLAZE SHIELD II'!$D$8*'CALCULO MORTERO'!I1061+'BLAZE SHIELD II'!$D$9)),0)+IF(AND(L1061="Blaze Shield II",M1061="Software Idiem",C1061="Cj"),((('BLAZE SHIELD II'!$H$4*('CALCULO MORTERO'!I1061^2)+'BLAZE SHIELD II'!$H$5*'CALCULO MORTERO'!I1061+'BLAZE SHIELD II'!$H$6)*LN(J1061))+('BLAZE SHIELD II'!$H$7*('CALCULO MORTERO'!I1061^2)+'BLAZE SHIELD II'!$H$8*'CALCULO MORTERO'!I1061+'BLAZE SHIELD II'!$H$9)),0)+IF(AND(L1061="Blaze Shield II",M1061="Software Idiem",C1061="C"),((('BLAZE SHIELD II'!$L$4*('CALCULO MORTERO'!I1061^2)+'BLAZE SHIELD II'!$L$5*'CALCULO MORTERO'!I1061+'BLAZE SHIELD II'!$L$6)*LN(J1061))+('BLAZE SHIELD II'!$L$7*('CALCULO MORTERO'!I1061^2)+'BLAZE SHIELD II'!$L$8*'CALCULO MORTERO'!I1061+'BLAZE SHIELD II'!$L$9)),0)+IF(AND(L1061="Blaze Shield II",M1061="Software Idiem",C1061="L"),((('BLAZE SHIELD II'!$L$4*('CALCULO MORTERO'!I1061^2)+'BLAZE SHIELD II'!$L$5*'CALCULO MORTERO'!I1061+'BLAZE SHIELD II'!$L$6)*LN(J1061))+('BLAZE SHIELD II'!$L$7*('CALCULO MORTERO'!I1061^2)+'BLAZE SHIELD II'!$L$8*'CALCULO MORTERO'!I1061+'BLAZE SHIELD II'!$L$9)),0)+IF(AND(L1061="Blaze Shield II",M1061="Software Idiem",C1061="IN",G1061=3),((('BLAZE SHIELD II'!$H$14*('CALCULO MORTERO'!I1061^2)+'BLAZE SHIELD II'!$H$15*'CALCULO MORTERO'!I1061+'BLAZE SHIELD II'!$H$16)*LN(J1061))+('BLAZE SHIELD II'!$H$17*('CALCULO MORTERO'!I1061^2)+'BLAZE SHIELD II'!$H$18*'CALCULO MORTERO'!I1061+'BLAZE SHIELD II'!$H$19)),0),0)+ROUND(IF(AND(L1061="Cafco 400",M1061="Software Idiem",C1061="IN",G1061=4),((('CAFCO 400 '!$H$7*(J1061^4)+'CAFCO 400 '!$H$8*(J1061^3)+'CAFCO 400 '!$H$9*(J1061^2)+'CAFCO 400 '!$H$10*J1061+'CAFCO 400 '!$H$11)*U1061^2)+(('CAFCO 400 '!$H$12*(J1061^3)+'CAFCO 400 '!$H$13*(J1061^2)+'CAFCO 400 '!$H$14*J1061+'CAFCO 400 '!$H$15)*U1061)+('CAFCO 400 '!$H$16*(J1061^2)+'CAFCO 400 '!$H$17*J1061+'CAFCO 400 '!$H$18)),0)+IF(AND(L1061="Cafco 400",M1061="Software Idiem",C1061="Cj"),(((('CAFCO 400 '!$D$7*LN(J1061)+'CAFCO 400 '!$D$8)*U1061^2)+(('CAFCO 400 '!$D$9*LN(J1061)+'CAFCO 400 '!$D$10)*U1061)+('CAFCO 400 '!$D$11*LN(J1061)+'CAFCO 400 '!$D$12))),0)+IF(AND(L1061="Cafco 400",M1061="Software Idiem",C1061="C"),((('CAFCO 400 '!$L$7*(J1061^3)+'CAFCO 400 '!$L$8*(J1061^2)+'CAFCO 400 '!$L$9*J1061+'CAFCO 400 '!$L$10)*U1061^2)+(('CAFCO 400 '!$L$11*(J1061^3)+'CAFCO 400 '!$L$12*(J1061^2)+'CAFCO 400 '!$L$13*J1061+'CAFCO 400 '!$L$14)*U1061)+('CAFCO 400 '!$L$15*LN(J1061)+'CAFCO 400 '!$L$16)),0)+IF(AND(L1061="Cafco 400",M1061="Software Idiem",C1061="L"),((('CAFCO 400 '!$L$7*(J1061^3)+'CAFCO 400 '!$L$8*(J1061^2)+'CAFCO 400 '!$L$9*J1061+'CAFCO 400 '!$L$10)*U1061^2)+(('CAFCO 400 '!$L$11*(J1061^3)+'CAFCO 400 '!$L$12*(J1061^2)+'CAFCO 400 '!$L$13*J1061+'CAFCO 400 '!$L$14)*U1061)+('CAFCO 400 '!$L$15*LN(J1061)+'CAFCO 400 '!$L$16)),0)+IF(AND(L1061="Cafco 400",M1061="Software Idiem",C1061="IN",G1061=3),((('CAFCO 400 '!$D$23*(J1061^2)+'CAFCO 400 '!$D$24*(J1061)+'CAFCO 400 '!$D$25)*U1061^2)+(('CAFCO 400 '!$D$26*(J1061^2)+'CAFCO 400 '!$D$27*J1061+'CAFCO 400 '!$D$28)*U1061)+('CAFCO 400 '!$D$29*(J1061^2)+'CAFCO 400 '!$D$30*J1061+'CAFCO 400 '!$D$31)),0),0)+IF(AND(L1061="Cafco 300",J1061&gt;=95,J1061&lt;=240,C1061="Cj",I1061=90),VLOOKUP(T1061,'CAFCO 300 IDIEM TABLAS'!$B$4:$D$23,2,FALSE),0)+IF(AND(L1061="Cafco 300",J1061&gt;=95,J1061&lt;=240,C1061="Cj",I1061=120),VLOOKUP(T1061,'CAFCO 300 IDIEM TABLAS'!$B$4:$D$23,3,FALSE),0)+IF(AND(L1061="Cafco 300",J1061&gt;=95,J1061&lt;=400,G1061=3,C1061="IN",I1061=90),VLOOKUP(T1061,'CAFCO 300 IDIEM TABLAS'!$F$4:$H$35,2,FALSE),0)+IF(AND(L1061="Cafco 300",J1061&gt;=95,J1061&lt;=400,G1061=3,C1061="IN",I1061=120),VLOOKUP(T1061,'CAFCO 300 IDIEM TABLAS'!$F$4:$H$35,3,FALSE),0)+IF(AND(L1061="Cafco 300",J1061&gt;=95,J1061&lt;=450,G1061=4,C1061="IN",I1061=90),VLOOKUP(T1061,'CAFCO 300 IDIEM TABLAS'!$J$4:$L$40,2,FALSE),0)+IF(AND(L1061="Cafco 300",J1061&gt;=95,J1061&lt;=450,G1061=4,C1061="IN",I1061=120),VLOOKUP(T1061,'CAFCO 300 IDIEM TABLAS'!$J$4:$L$40,3,FALSE),0)+IF(AND(M1061="Ensayo Idiem",L1061="Cafco 400",C1061="IN",G1061=4,I1061=90),VLOOKUP(T1061,'CAFCO 400 ENSAYO'!$B$7:$D$43,2,FALSE),0)+IF(AND(M1061="Ensayo Idiem",L1061="Cafco 400",C1061="IN",G1061=4,I1061=120),VLOOKUP(T1061,'CAFCO 400 ENSAYO'!$B$7:$D$43,3,FALSE),0)</f>
        <v>0</v>
      </c>
      <c r="O1061" s="96">
        <f t="shared" si="108"/>
        <v>0</v>
      </c>
      <c r="P1061" s="132" t="str">
        <f t="shared" si="103"/>
        <v>N/A</v>
      </c>
      <c r="Q1061" s="132" t="str">
        <f t="shared" si="104"/>
        <v>N/A</v>
      </c>
      <c r="R1061" s="132" t="str">
        <f t="shared" si="105"/>
        <v>NO CERT.</v>
      </c>
      <c r="S1061" s="132" t="e">
        <f t="shared" si="106"/>
        <v>#N/A</v>
      </c>
      <c r="T1061" s="133" t="e">
        <f>+IF(J1061=LOOKUP(J1061,'CAFCO 300 IDIEM TABLAS'!$J$4:$J$40),'CALCULO MORTERO'!J1061,MROUND('CALCULO MORTERO'!J1061,10))</f>
        <v>#N/A</v>
      </c>
      <c r="U1061" s="134">
        <f t="shared" si="107"/>
        <v>0</v>
      </c>
    </row>
    <row r="1062" spans="1:21" x14ac:dyDescent="0.25">
      <c r="A1062" s="118">
        <f>+CUBICACION!D1056</f>
        <v>0</v>
      </c>
      <c r="B1062" s="819">
        <f>+CUBICACION!E1056</f>
        <v>0</v>
      </c>
      <c r="C1062" s="675">
        <f>+CUBICACION!F1056</f>
        <v>0</v>
      </c>
      <c r="D1062" s="118"/>
      <c r="E1062" s="118"/>
      <c r="F1062" s="820"/>
      <c r="G1062" s="675">
        <f>+CUBICACION!J1056</f>
        <v>0</v>
      </c>
      <c r="H1062" s="118"/>
      <c r="I1062" s="821">
        <f>+CUBICACION!L1056</f>
        <v>0</v>
      </c>
      <c r="J1062" s="64">
        <f>+CUBICACION!M1056</f>
        <v>0</v>
      </c>
      <c r="K1062" s="822" t="str">
        <f>+CUBICACION!N1056</f>
        <v/>
      </c>
      <c r="L1062" s="118">
        <f>+CUBICACION!O1056</f>
        <v>0</v>
      </c>
      <c r="M1062" s="823">
        <f>+CUBICACION!P1056</f>
        <v>0</v>
      </c>
      <c r="N1062" s="902">
        <f>ROUND(IF(AND(L1062="Blaze Shield II",M1062="Software Idiem",C1062="IN",G1062=4),((('BLAZE SHIELD II'!$D$4*('CALCULO MORTERO'!I1062^2)+'BLAZE SHIELD II'!$D$5*'CALCULO MORTERO'!I1062+'BLAZE SHIELD II'!$D$6)*LN(J1062))+('BLAZE SHIELD II'!$D$7*('CALCULO MORTERO'!I1062^2)+'BLAZE SHIELD II'!$D$8*'CALCULO MORTERO'!I1062+'BLAZE SHIELD II'!$D$9)),0)+IF(AND(L1062="Blaze Shield II",M1062="Software Idiem",C1062="Cj"),((('BLAZE SHIELD II'!$H$4*('CALCULO MORTERO'!I1062^2)+'BLAZE SHIELD II'!$H$5*'CALCULO MORTERO'!I1062+'BLAZE SHIELD II'!$H$6)*LN(J1062))+('BLAZE SHIELD II'!$H$7*('CALCULO MORTERO'!I1062^2)+'BLAZE SHIELD II'!$H$8*'CALCULO MORTERO'!I1062+'BLAZE SHIELD II'!$H$9)),0)+IF(AND(L1062="Blaze Shield II",M1062="Software Idiem",C1062="C"),((('BLAZE SHIELD II'!$L$4*('CALCULO MORTERO'!I1062^2)+'BLAZE SHIELD II'!$L$5*'CALCULO MORTERO'!I1062+'BLAZE SHIELD II'!$L$6)*LN(J1062))+('BLAZE SHIELD II'!$L$7*('CALCULO MORTERO'!I1062^2)+'BLAZE SHIELD II'!$L$8*'CALCULO MORTERO'!I1062+'BLAZE SHIELD II'!$L$9)),0)+IF(AND(L1062="Blaze Shield II",M1062="Software Idiem",C1062="L"),((('BLAZE SHIELD II'!$L$4*('CALCULO MORTERO'!I1062^2)+'BLAZE SHIELD II'!$L$5*'CALCULO MORTERO'!I1062+'BLAZE SHIELD II'!$L$6)*LN(J1062))+('BLAZE SHIELD II'!$L$7*('CALCULO MORTERO'!I1062^2)+'BLAZE SHIELD II'!$L$8*'CALCULO MORTERO'!I1062+'BLAZE SHIELD II'!$L$9)),0)+IF(AND(L1062="Blaze Shield II",M1062="Software Idiem",C1062="IN",G1062=3),((('BLAZE SHIELD II'!$H$14*('CALCULO MORTERO'!I1062^2)+'BLAZE SHIELD II'!$H$15*'CALCULO MORTERO'!I1062+'BLAZE SHIELD II'!$H$16)*LN(J1062))+('BLAZE SHIELD II'!$H$17*('CALCULO MORTERO'!I1062^2)+'BLAZE SHIELD II'!$H$18*'CALCULO MORTERO'!I1062+'BLAZE SHIELD II'!$H$19)),0),0)+ROUND(IF(AND(L1062="Cafco 400",M1062="Software Idiem",C1062="IN",G1062=4),((('CAFCO 400 '!$H$7*(J1062^4)+'CAFCO 400 '!$H$8*(J1062^3)+'CAFCO 400 '!$H$9*(J1062^2)+'CAFCO 400 '!$H$10*J1062+'CAFCO 400 '!$H$11)*U1062^2)+(('CAFCO 400 '!$H$12*(J1062^3)+'CAFCO 400 '!$H$13*(J1062^2)+'CAFCO 400 '!$H$14*J1062+'CAFCO 400 '!$H$15)*U1062)+('CAFCO 400 '!$H$16*(J1062^2)+'CAFCO 400 '!$H$17*J1062+'CAFCO 400 '!$H$18)),0)+IF(AND(L1062="Cafco 400",M1062="Software Idiem",C1062="Cj"),(((('CAFCO 400 '!$D$7*LN(J1062)+'CAFCO 400 '!$D$8)*U1062^2)+(('CAFCO 400 '!$D$9*LN(J1062)+'CAFCO 400 '!$D$10)*U1062)+('CAFCO 400 '!$D$11*LN(J1062)+'CAFCO 400 '!$D$12))),0)+IF(AND(L1062="Cafco 400",M1062="Software Idiem",C1062="C"),((('CAFCO 400 '!$L$7*(J1062^3)+'CAFCO 400 '!$L$8*(J1062^2)+'CAFCO 400 '!$L$9*J1062+'CAFCO 400 '!$L$10)*U1062^2)+(('CAFCO 400 '!$L$11*(J1062^3)+'CAFCO 400 '!$L$12*(J1062^2)+'CAFCO 400 '!$L$13*J1062+'CAFCO 400 '!$L$14)*U1062)+('CAFCO 400 '!$L$15*LN(J1062)+'CAFCO 400 '!$L$16)),0)+IF(AND(L1062="Cafco 400",M1062="Software Idiem",C1062="L"),((('CAFCO 400 '!$L$7*(J1062^3)+'CAFCO 400 '!$L$8*(J1062^2)+'CAFCO 400 '!$L$9*J1062+'CAFCO 400 '!$L$10)*U1062^2)+(('CAFCO 400 '!$L$11*(J1062^3)+'CAFCO 400 '!$L$12*(J1062^2)+'CAFCO 400 '!$L$13*J1062+'CAFCO 400 '!$L$14)*U1062)+('CAFCO 400 '!$L$15*LN(J1062)+'CAFCO 400 '!$L$16)),0)+IF(AND(L1062="Cafco 400",M1062="Software Idiem",C1062="IN",G1062=3),((('CAFCO 400 '!$D$23*(J1062^2)+'CAFCO 400 '!$D$24*(J1062)+'CAFCO 400 '!$D$25)*U1062^2)+(('CAFCO 400 '!$D$26*(J1062^2)+'CAFCO 400 '!$D$27*J1062+'CAFCO 400 '!$D$28)*U1062)+('CAFCO 400 '!$D$29*(J1062^2)+'CAFCO 400 '!$D$30*J1062+'CAFCO 400 '!$D$31)),0),0)+IF(AND(L1062="Cafco 300",J1062&gt;=95,J1062&lt;=240,C1062="Cj",I1062=90),VLOOKUP(T1062,'CAFCO 300 IDIEM TABLAS'!$B$4:$D$23,2,FALSE),0)+IF(AND(L1062="Cafco 300",J1062&gt;=95,J1062&lt;=240,C1062="Cj",I1062=120),VLOOKUP(T1062,'CAFCO 300 IDIEM TABLAS'!$B$4:$D$23,3,FALSE),0)+IF(AND(L1062="Cafco 300",J1062&gt;=95,J1062&lt;=400,G1062=3,C1062="IN",I1062=90),VLOOKUP(T1062,'CAFCO 300 IDIEM TABLAS'!$F$4:$H$35,2,FALSE),0)+IF(AND(L1062="Cafco 300",J1062&gt;=95,J1062&lt;=400,G1062=3,C1062="IN",I1062=120),VLOOKUP(T1062,'CAFCO 300 IDIEM TABLAS'!$F$4:$H$35,3,FALSE),0)+IF(AND(L1062="Cafco 300",J1062&gt;=95,J1062&lt;=450,G1062=4,C1062="IN",I1062=90),VLOOKUP(T1062,'CAFCO 300 IDIEM TABLAS'!$J$4:$L$40,2,FALSE),0)+IF(AND(L1062="Cafco 300",J1062&gt;=95,J1062&lt;=450,G1062=4,C1062="IN",I1062=120),VLOOKUP(T1062,'CAFCO 300 IDIEM TABLAS'!$J$4:$L$40,3,FALSE),0)+IF(AND(M1062="Ensayo Idiem",L1062="Cafco 400",C1062="IN",G1062=4,I1062=90),VLOOKUP(T1062,'CAFCO 400 ENSAYO'!$B$7:$D$43,2,FALSE),0)+IF(AND(M1062="Ensayo Idiem",L1062="Cafco 400",C1062="IN",G1062=4,I1062=120),VLOOKUP(T1062,'CAFCO 400 ENSAYO'!$B$7:$D$43,3,FALSE),0)</f>
        <v>0</v>
      </c>
      <c r="O1062" s="96">
        <f t="shared" si="108"/>
        <v>0</v>
      </c>
      <c r="P1062" s="95" t="str">
        <f t="shared" si="103"/>
        <v>N/A</v>
      </c>
      <c r="Q1062" s="95" t="str">
        <f t="shared" si="104"/>
        <v>N/A</v>
      </c>
      <c r="R1062" s="95" t="str">
        <f t="shared" si="105"/>
        <v>NO CERT.</v>
      </c>
      <c r="S1062" s="95" t="e">
        <f t="shared" si="106"/>
        <v>#N/A</v>
      </c>
      <c r="T1062" s="119" t="e">
        <f>+IF(J1062=LOOKUP(J1062,'CAFCO 300 IDIEM TABLAS'!$J$4:$J$40),'CALCULO MORTERO'!J1062,MROUND('CALCULO MORTERO'!J1062,10))</f>
        <v>#N/A</v>
      </c>
      <c r="U1062" s="118">
        <f t="shared" si="107"/>
        <v>0</v>
      </c>
    </row>
    <row r="1063" spans="1:21" x14ac:dyDescent="0.25">
      <c r="A1063" s="118">
        <f>+CUBICACION!D1057</f>
        <v>0</v>
      </c>
      <c r="B1063" s="819">
        <f>+CUBICACION!E1057</f>
        <v>0</v>
      </c>
      <c r="C1063" s="675">
        <f>+CUBICACION!F1057</f>
        <v>0</v>
      </c>
      <c r="D1063" s="118"/>
      <c r="E1063" s="118"/>
      <c r="F1063" s="820"/>
      <c r="G1063" s="675">
        <f>+CUBICACION!J1057</f>
        <v>0</v>
      </c>
      <c r="H1063" s="118"/>
      <c r="I1063" s="821">
        <f>+CUBICACION!L1057</f>
        <v>0</v>
      </c>
      <c r="J1063" s="64">
        <f>+CUBICACION!M1057</f>
        <v>0</v>
      </c>
      <c r="K1063" s="822" t="str">
        <f>+CUBICACION!N1057</f>
        <v/>
      </c>
      <c r="L1063" s="118">
        <f>+CUBICACION!O1057</f>
        <v>0</v>
      </c>
      <c r="M1063" s="823">
        <f>+CUBICACION!P1057</f>
        <v>0</v>
      </c>
      <c r="N1063" s="902">
        <f>ROUND(IF(AND(L1063="Blaze Shield II",M1063="Software Idiem",C1063="IN",G1063=4),((('BLAZE SHIELD II'!$D$4*('CALCULO MORTERO'!I1063^2)+'BLAZE SHIELD II'!$D$5*'CALCULO MORTERO'!I1063+'BLAZE SHIELD II'!$D$6)*LN(J1063))+('BLAZE SHIELD II'!$D$7*('CALCULO MORTERO'!I1063^2)+'BLAZE SHIELD II'!$D$8*'CALCULO MORTERO'!I1063+'BLAZE SHIELD II'!$D$9)),0)+IF(AND(L1063="Blaze Shield II",M1063="Software Idiem",C1063="Cj"),((('BLAZE SHIELD II'!$H$4*('CALCULO MORTERO'!I1063^2)+'BLAZE SHIELD II'!$H$5*'CALCULO MORTERO'!I1063+'BLAZE SHIELD II'!$H$6)*LN(J1063))+('BLAZE SHIELD II'!$H$7*('CALCULO MORTERO'!I1063^2)+'BLAZE SHIELD II'!$H$8*'CALCULO MORTERO'!I1063+'BLAZE SHIELD II'!$H$9)),0)+IF(AND(L1063="Blaze Shield II",M1063="Software Idiem",C1063="C"),((('BLAZE SHIELD II'!$L$4*('CALCULO MORTERO'!I1063^2)+'BLAZE SHIELD II'!$L$5*'CALCULO MORTERO'!I1063+'BLAZE SHIELD II'!$L$6)*LN(J1063))+('BLAZE SHIELD II'!$L$7*('CALCULO MORTERO'!I1063^2)+'BLAZE SHIELD II'!$L$8*'CALCULO MORTERO'!I1063+'BLAZE SHIELD II'!$L$9)),0)+IF(AND(L1063="Blaze Shield II",M1063="Software Idiem",C1063="L"),((('BLAZE SHIELD II'!$L$4*('CALCULO MORTERO'!I1063^2)+'BLAZE SHIELD II'!$L$5*'CALCULO MORTERO'!I1063+'BLAZE SHIELD II'!$L$6)*LN(J1063))+('BLAZE SHIELD II'!$L$7*('CALCULO MORTERO'!I1063^2)+'BLAZE SHIELD II'!$L$8*'CALCULO MORTERO'!I1063+'BLAZE SHIELD II'!$L$9)),0)+IF(AND(L1063="Blaze Shield II",M1063="Software Idiem",C1063="IN",G1063=3),((('BLAZE SHIELD II'!$H$14*('CALCULO MORTERO'!I1063^2)+'BLAZE SHIELD II'!$H$15*'CALCULO MORTERO'!I1063+'BLAZE SHIELD II'!$H$16)*LN(J1063))+('BLAZE SHIELD II'!$H$17*('CALCULO MORTERO'!I1063^2)+'BLAZE SHIELD II'!$H$18*'CALCULO MORTERO'!I1063+'BLAZE SHIELD II'!$H$19)),0),0)+ROUND(IF(AND(L1063="Cafco 400",M1063="Software Idiem",C1063="IN",G1063=4),((('CAFCO 400 '!$H$7*(J1063^4)+'CAFCO 400 '!$H$8*(J1063^3)+'CAFCO 400 '!$H$9*(J1063^2)+'CAFCO 400 '!$H$10*J1063+'CAFCO 400 '!$H$11)*U1063^2)+(('CAFCO 400 '!$H$12*(J1063^3)+'CAFCO 400 '!$H$13*(J1063^2)+'CAFCO 400 '!$H$14*J1063+'CAFCO 400 '!$H$15)*U1063)+('CAFCO 400 '!$H$16*(J1063^2)+'CAFCO 400 '!$H$17*J1063+'CAFCO 400 '!$H$18)),0)+IF(AND(L1063="Cafco 400",M1063="Software Idiem",C1063="Cj"),(((('CAFCO 400 '!$D$7*LN(J1063)+'CAFCO 400 '!$D$8)*U1063^2)+(('CAFCO 400 '!$D$9*LN(J1063)+'CAFCO 400 '!$D$10)*U1063)+('CAFCO 400 '!$D$11*LN(J1063)+'CAFCO 400 '!$D$12))),0)+IF(AND(L1063="Cafco 400",M1063="Software Idiem",C1063="C"),((('CAFCO 400 '!$L$7*(J1063^3)+'CAFCO 400 '!$L$8*(J1063^2)+'CAFCO 400 '!$L$9*J1063+'CAFCO 400 '!$L$10)*U1063^2)+(('CAFCO 400 '!$L$11*(J1063^3)+'CAFCO 400 '!$L$12*(J1063^2)+'CAFCO 400 '!$L$13*J1063+'CAFCO 400 '!$L$14)*U1063)+('CAFCO 400 '!$L$15*LN(J1063)+'CAFCO 400 '!$L$16)),0)+IF(AND(L1063="Cafco 400",M1063="Software Idiem",C1063="L"),((('CAFCO 400 '!$L$7*(J1063^3)+'CAFCO 400 '!$L$8*(J1063^2)+'CAFCO 400 '!$L$9*J1063+'CAFCO 400 '!$L$10)*U1063^2)+(('CAFCO 400 '!$L$11*(J1063^3)+'CAFCO 400 '!$L$12*(J1063^2)+'CAFCO 400 '!$L$13*J1063+'CAFCO 400 '!$L$14)*U1063)+('CAFCO 400 '!$L$15*LN(J1063)+'CAFCO 400 '!$L$16)),0)+IF(AND(L1063="Cafco 400",M1063="Software Idiem",C1063="IN",G1063=3),((('CAFCO 400 '!$D$23*(J1063^2)+'CAFCO 400 '!$D$24*(J1063)+'CAFCO 400 '!$D$25)*U1063^2)+(('CAFCO 400 '!$D$26*(J1063^2)+'CAFCO 400 '!$D$27*J1063+'CAFCO 400 '!$D$28)*U1063)+('CAFCO 400 '!$D$29*(J1063^2)+'CAFCO 400 '!$D$30*J1063+'CAFCO 400 '!$D$31)),0),0)+IF(AND(L1063="Cafco 300",J1063&gt;=95,J1063&lt;=240,C1063="Cj",I1063=90),VLOOKUP(T1063,'CAFCO 300 IDIEM TABLAS'!$B$4:$D$23,2,FALSE),0)+IF(AND(L1063="Cafco 300",J1063&gt;=95,J1063&lt;=240,C1063="Cj",I1063=120),VLOOKUP(T1063,'CAFCO 300 IDIEM TABLAS'!$B$4:$D$23,3,FALSE),0)+IF(AND(L1063="Cafco 300",J1063&gt;=95,J1063&lt;=400,G1063=3,C1063="IN",I1063=90),VLOOKUP(T1063,'CAFCO 300 IDIEM TABLAS'!$F$4:$H$35,2,FALSE),0)+IF(AND(L1063="Cafco 300",J1063&gt;=95,J1063&lt;=400,G1063=3,C1063="IN",I1063=120),VLOOKUP(T1063,'CAFCO 300 IDIEM TABLAS'!$F$4:$H$35,3,FALSE),0)+IF(AND(L1063="Cafco 300",J1063&gt;=95,J1063&lt;=450,G1063=4,C1063="IN",I1063=90),VLOOKUP(T1063,'CAFCO 300 IDIEM TABLAS'!$J$4:$L$40,2,FALSE),0)+IF(AND(L1063="Cafco 300",J1063&gt;=95,J1063&lt;=450,G1063=4,C1063="IN",I1063=120),VLOOKUP(T1063,'CAFCO 300 IDIEM TABLAS'!$J$4:$L$40,3,FALSE),0)+IF(AND(M1063="Ensayo Idiem",L1063="Cafco 400",C1063="IN",G1063=4,I1063=90),VLOOKUP(T1063,'CAFCO 400 ENSAYO'!$B$7:$D$43,2,FALSE),0)+IF(AND(M1063="Ensayo Idiem",L1063="Cafco 400",C1063="IN",G1063=4,I1063=120),VLOOKUP(T1063,'CAFCO 400 ENSAYO'!$B$7:$D$43,3,FALSE),0)</f>
        <v>0</v>
      </c>
      <c r="O1063" s="96">
        <f t="shared" si="108"/>
        <v>0</v>
      </c>
      <c r="P1063" s="132" t="str">
        <f t="shared" si="103"/>
        <v>N/A</v>
      </c>
      <c r="Q1063" s="132" t="str">
        <f t="shared" si="104"/>
        <v>N/A</v>
      </c>
      <c r="R1063" s="132" t="str">
        <f t="shared" si="105"/>
        <v>NO CERT.</v>
      </c>
      <c r="S1063" s="132" t="e">
        <f t="shared" si="106"/>
        <v>#N/A</v>
      </c>
      <c r="T1063" s="133" t="e">
        <f>+IF(J1063=LOOKUP(J1063,'CAFCO 300 IDIEM TABLAS'!$J$4:$J$40),'CALCULO MORTERO'!J1063,MROUND('CALCULO MORTERO'!J1063,10))</f>
        <v>#N/A</v>
      </c>
      <c r="U1063" s="134">
        <f t="shared" si="107"/>
        <v>0</v>
      </c>
    </row>
    <row r="1064" spans="1:21" x14ac:dyDescent="0.25">
      <c r="A1064" s="118">
        <f>+CUBICACION!D1058</f>
        <v>0</v>
      </c>
      <c r="B1064" s="819">
        <f>+CUBICACION!E1058</f>
        <v>0</v>
      </c>
      <c r="C1064" s="675">
        <f>+CUBICACION!F1058</f>
        <v>0</v>
      </c>
      <c r="D1064" s="118"/>
      <c r="E1064" s="118"/>
      <c r="F1064" s="820"/>
      <c r="G1064" s="675">
        <f>+CUBICACION!J1058</f>
        <v>0</v>
      </c>
      <c r="H1064" s="118"/>
      <c r="I1064" s="821">
        <f>+CUBICACION!L1058</f>
        <v>0</v>
      </c>
      <c r="J1064" s="64">
        <f>+CUBICACION!M1058</f>
        <v>0</v>
      </c>
      <c r="K1064" s="822" t="str">
        <f>+CUBICACION!N1058</f>
        <v/>
      </c>
      <c r="L1064" s="118">
        <f>+CUBICACION!O1058</f>
        <v>0</v>
      </c>
      <c r="M1064" s="823">
        <f>+CUBICACION!P1058</f>
        <v>0</v>
      </c>
      <c r="N1064" s="902">
        <f>ROUND(IF(AND(L1064="Blaze Shield II",M1064="Software Idiem",C1064="IN",G1064=4),((('BLAZE SHIELD II'!$D$4*('CALCULO MORTERO'!I1064^2)+'BLAZE SHIELD II'!$D$5*'CALCULO MORTERO'!I1064+'BLAZE SHIELD II'!$D$6)*LN(J1064))+('BLAZE SHIELD II'!$D$7*('CALCULO MORTERO'!I1064^2)+'BLAZE SHIELD II'!$D$8*'CALCULO MORTERO'!I1064+'BLAZE SHIELD II'!$D$9)),0)+IF(AND(L1064="Blaze Shield II",M1064="Software Idiem",C1064="Cj"),((('BLAZE SHIELD II'!$H$4*('CALCULO MORTERO'!I1064^2)+'BLAZE SHIELD II'!$H$5*'CALCULO MORTERO'!I1064+'BLAZE SHIELD II'!$H$6)*LN(J1064))+('BLAZE SHIELD II'!$H$7*('CALCULO MORTERO'!I1064^2)+'BLAZE SHIELD II'!$H$8*'CALCULO MORTERO'!I1064+'BLAZE SHIELD II'!$H$9)),0)+IF(AND(L1064="Blaze Shield II",M1064="Software Idiem",C1064="C"),((('BLAZE SHIELD II'!$L$4*('CALCULO MORTERO'!I1064^2)+'BLAZE SHIELD II'!$L$5*'CALCULO MORTERO'!I1064+'BLAZE SHIELD II'!$L$6)*LN(J1064))+('BLAZE SHIELD II'!$L$7*('CALCULO MORTERO'!I1064^2)+'BLAZE SHIELD II'!$L$8*'CALCULO MORTERO'!I1064+'BLAZE SHIELD II'!$L$9)),0)+IF(AND(L1064="Blaze Shield II",M1064="Software Idiem",C1064="L"),((('BLAZE SHIELD II'!$L$4*('CALCULO MORTERO'!I1064^2)+'BLAZE SHIELD II'!$L$5*'CALCULO MORTERO'!I1064+'BLAZE SHIELD II'!$L$6)*LN(J1064))+('BLAZE SHIELD II'!$L$7*('CALCULO MORTERO'!I1064^2)+'BLAZE SHIELD II'!$L$8*'CALCULO MORTERO'!I1064+'BLAZE SHIELD II'!$L$9)),0)+IF(AND(L1064="Blaze Shield II",M1064="Software Idiem",C1064="IN",G1064=3),((('BLAZE SHIELD II'!$H$14*('CALCULO MORTERO'!I1064^2)+'BLAZE SHIELD II'!$H$15*'CALCULO MORTERO'!I1064+'BLAZE SHIELD II'!$H$16)*LN(J1064))+('BLAZE SHIELD II'!$H$17*('CALCULO MORTERO'!I1064^2)+'BLAZE SHIELD II'!$H$18*'CALCULO MORTERO'!I1064+'BLAZE SHIELD II'!$H$19)),0),0)+ROUND(IF(AND(L1064="Cafco 400",M1064="Software Idiem",C1064="IN",G1064=4),((('CAFCO 400 '!$H$7*(J1064^4)+'CAFCO 400 '!$H$8*(J1064^3)+'CAFCO 400 '!$H$9*(J1064^2)+'CAFCO 400 '!$H$10*J1064+'CAFCO 400 '!$H$11)*U1064^2)+(('CAFCO 400 '!$H$12*(J1064^3)+'CAFCO 400 '!$H$13*(J1064^2)+'CAFCO 400 '!$H$14*J1064+'CAFCO 400 '!$H$15)*U1064)+('CAFCO 400 '!$H$16*(J1064^2)+'CAFCO 400 '!$H$17*J1064+'CAFCO 400 '!$H$18)),0)+IF(AND(L1064="Cafco 400",M1064="Software Idiem",C1064="Cj"),(((('CAFCO 400 '!$D$7*LN(J1064)+'CAFCO 400 '!$D$8)*U1064^2)+(('CAFCO 400 '!$D$9*LN(J1064)+'CAFCO 400 '!$D$10)*U1064)+('CAFCO 400 '!$D$11*LN(J1064)+'CAFCO 400 '!$D$12))),0)+IF(AND(L1064="Cafco 400",M1064="Software Idiem",C1064="C"),((('CAFCO 400 '!$L$7*(J1064^3)+'CAFCO 400 '!$L$8*(J1064^2)+'CAFCO 400 '!$L$9*J1064+'CAFCO 400 '!$L$10)*U1064^2)+(('CAFCO 400 '!$L$11*(J1064^3)+'CAFCO 400 '!$L$12*(J1064^2)+'CAFCO 400 '!$L$13*J1064+'CAFCO 400 '!$L$14)*U1064)+('CAFCO 400 '!$L$15*LN(J1064)+'CAFCO 400 '!$L$16)),0)+IF(AND(L1064="Cafco 400",M1064="Software Idiem",C1064="L"),((('CAFCO 400 '!$L$7*(J1064^3)+'CAFCO 400 '!$L$8*(J1064^2)+'CAFCO 400 '!$L$9*J1064+'CAFCO 400 '!$L$10)*U1064^2)+(('CAFCO 400 '!$L$11*(J1064^3)+'CAFCO 400 '!$L$12*(J1064^2)+'CAFCO 400 '!$L$13*J1064+'CAFCO 400 '!$L$14)*U1064)+('CAFCO 400 '!$L$15*LN(J1064)+'CAFCO 400 '!$L$16)),0)+IF(AND(L1064="Cafco 400",M1064="Software Idiem",C1064="IN",G1064=3),((('CAFCO 400 '!$D$23*(J1064^2)+'CAFCO 400 '!$D$24*(J1064)+'CAFCO 400 '!$D$25)*U1064^2)+(('CAFCO 400 '!$D$26*(J1064^2)+'CAFCO 400 '!$D$27*J1064+'CAFCO 400 '!$D$28)*U1064)+('CAFCO 400 '!$D$29*(J1064^2)+'CAFCO 400 '!$D$30*J1064+'CAFCO 400 '!$D$31)),0),0)+IF(AND(L1064="Cafco 300",J1064&gt;=95,J1064&lt;=240,C1064="Cj",I1064=90),VLOOKUP(T1064,'CAFCO 300 IDIEM TABLAS'!$B$4:$D$23,2,FALSE),0)+IF(AND(L1064="Cafco 300",J1064&gt;=95,J1064&lt;=240,C1064="Cj",I1064=120),VLOOKUP(T1064,'CAFCO 300 IDIEM TABLAS'!$B$4:$D$23,3,FALSE),0)+IF(AND(L1064="Cafco 300",J1064&gt;=95,J1064&lt;=400,G1064=3,C1064="IN",I1064=90),VLOOKUP(T1064,'CAFCO 300 IDIEM TABLAS'!$F$4:$H$35,2,FALSE),0)+IF(AND(L1064="Cafco 300",J1064&gt;=95,J1064&lt;=400,G1064=3,C1064="IN",I1064=120),VLOOKUP(T1064,'CAFCO 300 IDIEM TABLAS'!$F$4:$H$35,3,FALSE),0)+IF(AND(L1064="Cafco 300",J1064&gt;=95,J1064&lt;=450,G1064=4,C1064="IN",I1064=90),VLOOKUP(T1064,'CAFCO 300 IDIEM TABLAS'!$J$4:$L$40,2,FALSE),0)+IF(AND(L1064="Cafco 300",J1064&gt;=95,J1064&lt;=450,G1064=4,C1064="IN",I1064=120),VLOOKUP(T1064,'CAFCO 300 IDIEM TABLAS'!$J$4:$L$40,3,FALSE),0)+IF(AND(M1064="Ensayo Idiem",L1064="Cafco 400",C1064="IN",G1064=4,I1064=90),VLOOKUP(T1064,'CAFCO 400 ENSAYO'!$B$7:$D$43,2,FALSE),0)+IF(AND(M1064="Ensayo Idiem",L1064="Cafco 400",C1064="IN",G1064=4,I1064=120),VLOOKUP(T1064,'CAFCO 400 ENSAYO'!$B$7:$D$43,3,FALSE),0)</f>
        <v>0</v>
      </c>
      <c r="O1064" s="96">
        <f t="shared" si="108"/>
        <v>0</v>
      </c>
      <c r="P1064" s="95" t="str">
        <f t="shared" si="103"/>
        <v>N/A</v>
      </c>
      <c r="Q1064" s="95" t="str">
        <f t="shared" si="104"/>
        <v>N/A</v>
      </c>
      <c r="R1064" s="95" t="str">
        <f t="shared" si="105"/>
        <v>NO CERT.</v>
      </c>
      <c r="S1064" s="95" t="e">
        <f t="shared" si="106"/>
        <v>#N/A</v>
      </c>
      <c r="T1064" s="119" t="e">
        <f>+IF(J1064=LOOKUP(J1064,'CAFCO 300 IDIEM TABLAS'!$J$4:$J$40),'CALCULO MORTERO'!J1064,MROUND('CALCULO MORTERO'!J1064,10))</f>
        <v>#N/A</v>
      </c>
      <c r="U1064" s="118">
        <f t="shared" si="107"/>
        <v>0</v>
      </c>
    </row>
    <row r="1065" spans="1:21" x14ac:dyDescent="0.25">
      <c r="A1065" s="118">
        <f>+CUBICACION!D1059</f>
        <v>0</v>
      </c>
      <c r="B1065" s="819">
        <f>+CUBICACION!E1059</f>
        <v>0</v>
      </c>
      <c r="C1065" s="675">
        <f>+CUBICACION!F1059</f>
        <v>0</v>
      </c>
      <c r="D1065" s="118"/>
      <c r="E1065" s="118"/>
      <c r="F1065" s="820"/>
      <c r="G1065" s="675">
        <f>+CUBICACION!J1059</f>
        <v>0</v>
      </c>
      <c r="H1065" s="118"/>
      <c r="I1065" s="821">
        <f>+CUBICACION!L1059</f>
        <v>0</v>
      </c>
      <c r="J1065" s="64">
        <f>+CUBICACION!M1059</f>
        <v>0</v>
      </c>
      <c r="K1065" s="822" t="str">
        <f>+CUBICACION!N1059</f>
        <v/>
      </c>
      <c r="L1065" s="118">
        <f>+CUBICACION!O1059</f>
        <v>0</v>
      </c>
      <c r="M1065" s="823">
        <f>+CUBICACION!P1059</f>
        <v>0</v>
      </c>
      <c r="N1065" s="902">
        <f>ROUND(IF(AND(L1065="Blaze Shield II",M1065="Software Idiem",C1065="IN",G1065=4),((('BLAZE SHIELD II'!$D$4*('CALCULO MORTERO'!I1065^2)+'BLAZE SHIELD II'!$D$5*'CALCULO MORTERO'!I1065+'BLAZE SHIELD II'!$D$6)*LN(J1065))+('BLAZE SHIELD II'!$D$7*('CALCULO MORTERO'!I1065^2)+'BLAZE SHIELD II'!$D$8*'CALCULO MORTERO'!I1065+'BLAZE SHIELD II'!$D$9)),0)+IF(AND(L1065="Blaze Shield II",M1065="Software Idiem",C1065="Cj"),((('BLAZE SHIELD II'!$H$4*('CALCULO MORTERO'!I1065^2)+'BLAZE SHIELD II'!$H$5*'CALCULO MORTERO'!I1065+'BLAZE SHIELD II'!$H$6)*LN(J1065))+('BLAZE SHIELD II'!$H$7*('CALCULO MORTERO'!I1065^2)+'BLAZE SHIELD II'!$H$8*'CALCULO MORTERO'!I1065+'BLAZE SHIELD II'!$H$9)),0)+IF(AND(L1065="Blaze Shield II",M1065="Software Idiem",C1065="C"),((('BLAZE SHIELD II'!$L$4*('CALCULO MORTERO'!I1065^2)+'BLAZE SHIELD II'!$L$5*'CALCULO MORTERO'!I1065+'BLAZE SHIELD II'!$L$6)*LN(J1065))+('BLAZE SHIELD II'!$L$7*('CALCULO MORTERO'!I1065^2)+'BLAZE SHIELD II'!$L$8*'CALCULO MORTERO'!I1065+'BLAZE SHIELD II'!$L$9)),0)+IF(AND(L1065="Blaze Shield II",M1065="Software Idiem",C1065="L"),((('BLAZE SHIELD II'!$L$4*('CALCULO MORTERO'!I1065^2)+'BLAZE SHIELD II'!$L$5*'CALCULO MORTERO'!I1065+'BLAZE SHIELD II'!$L$6)*LN(J1065))+('BLAZE SHIELD II'!$L$7*('CALCULO MORTERO'!I1065^2)+'BLAZE SHIELD II'!$L$8*'CALCULO MORTERO'!I1065+'BLAZE SHIELD II'!$L$9)),0)+IF(AND(L1065="Blaze Shield II",M1065="Software Idiem",C1065="IN",G1065=3),((('BLAZE SHIELD II'!$H$14*('CALCULO MORTERO'!I1065^2)+'BLAZE SHIELD II'!$H$15*'CALCULO MORTERO'!I1065+'BLAZE SHIELD II'!$H$16)*LN(J1065))+('BLAZE SHIELD II'!$H$17*('CALCULO MORTERO'!I1065^2)+'BLAZE SHIELD II'!$H$18*'CALCULO MORTERO'!I1065+'BLAZE SHIELD II'!$H$19)),0),0)+ROUND(IF(AND(L1065="Cafco 400",M1065="Software Idiem",C1065="IN",G1065=4),((('CAFCO 400 '!$H$7*(J1065^4)+'CAFCO 400 '!$H$8*(J1065^3)+'CAFCO 400 '!$H$9*(J1065^2)+'CAFCO 400 '!$H$10*J1065+'CAFCO 400 '!$H$11)*U1065^2)+(('CAFCO 400 '!$H$12*(J1065^3)+'CAFCO 400 '!$H$13*(J1065^2)+'CAFCO 400 '!$H$14*J1065+'CAFCO 400 '!$H$15)*U1065)+('CAFCO 400 '!$H$16*(J1065^2)+'CAFCO 400 '!$H$17*J1065+'CAFCO 400 '!$H$18)),0)+IF(AND(L1065="Cafco 400",M1065="Software Idiem",C1065="Cj"),(((('CAFCO 400 '!$D$7*LN(J1065)+'CAFCO 400 '!$D$8)*U1065^2)+(('CAFCO 400 '!$D$9*LN(J1065)+'CAFCO 400 '!$D$10)*U1065)+('CAFCO 400 '!$D$11*LN(J1065)+'CAFCO 400 '!$D$12))),0)+IF(AND(L1065="Cafco 400",M1065="Software Idiem",C1065="C"),((('CAFCO 400 '!$L$7*(J1065^3)+'CAFCO 400 '!$L$8*(J1065^2)+'CAFCO 400 '!$L$9*J1065+'CAFCO 400 '!$L$10)*U1065^2)+(('CAFCO 400 '!$L$11*(J1065^3)+'CAFCO 400 '!$L$12*(J1065^2)+'CAFCO 400 '!$L$13*J1065+'CAFCO 400 '!$L$14)*U1065)+('CAFCO 400 '!$L$15*LN(J1065)+'CAFCO 400 '!$L$16)),0)+IF(AND(L1065="Cafco 400",M1065="Software Idiem",C1065="L"),((('CAFCO 400 '!$L$7*(J1065^3)+'CAFCO 400 '!$L$8*(J1065^2)+'CAFCO 400 '!$L$9*J1065+'CAFCO 400 '!$L$10)*U1065^2)+(('CAFCO 400 '!$L$11*(J1065^3)+'CAFCO 400 '!$L$12*(J1065^2)+'CAFCO 400 '!$L$13*J1065+'CAFCO 400 '!$L$14)*U1065)+('CAFCO 400 '!$L$15*LN(J1065)+'CAFCO 400 '!$L$16)),0)+IF(AND(L1065="Cafco 400",M1065="Software Idiem",C1065="IN",G1065=3),((('CAFCO 400 '!$D$23*(J1065^2)+'CAFCO 400 '!$D$24*(J1065)+'CAFCO 400 '!$D$25)*U1065^2)+(('CAFCO 400 '!$D$26*(J1065^2)+'CAFCO 400 '!$D$27*J1065+'CAFCO 400 '!$D$28)*U1065)+('CAFCO 400 '!$D$29*(J1065^2)+'CAFCO 400 '!$D$30*J1065+'CAFCO 400 '!$D$31)),0),0)+IF(AND(L1065="Cafco 300",J1065&gt;=95,J1065&lt;=240,C1065="Cj",I1065=90),VLOOKUP(T1065,'CAFCO 300 IDIEM TABLAS'!$B$4:$D$23,2,FALSE),0)+IF(AND(L1065="Cafco 300",J1065&gt;=95,J1065&lt;=240,C1065="Cj",I1065=120),VLOOKUP(T1065,'CAFCO 300 IDIEM TABLAS'!$B$4:$D$23,3,FALSE),0)+IF(AND(L1065="Cafco 300",J1065&gt;=95,J1065&lt;=400,G1065=3,C1065="IN",I1065=90),VLOOKUP(T1065,'CAFCO 300 IDIEM TABLAS'!$F$4:$H$35,2,FALSE),0)+IF(AND(L1065="Cafco 300",J1065&gt;=95,J1065&lt;=400,G1065=3,C1065="IN",I1065=120),VLOOKUP(T1065,'CAFCO 300 IDIEM TABLAS'!$F$4:$H$35,3,FALSE),0)+IF(AND(L1065="Cafco 300",J1065&gt;=95,J1065&lt;=450,G1065=4,C1065="IN",I1065=90),VLOOKUP(T1065,'CAFCO 300 IDIEM TABLAS'!$J$4:$L$40,2,FALSE),0)+IF(AND(L1065="Cafco 300",J1065&gt;=95,J1065&lt;=450,G1065=4,C1065="IN",I1065=120),VLOOKUP(T1065,'CAFCO 300 IDIEM TABLAS'!$J$4:$L$40,3,FALSE),0)+IF(AND(M1065="Ensayo Idiem",L1065="Cafco 400",C1065="IN",G1065=4,I1065=90),VLOOKUP(T1065,'CAFCO 400 ENSAYO'!$B$7:$D$43,2,FALSE),0)+IF(AND(M1065="Ensayo Idiem",L1065="Cafco 400",C1065="IN",G1065=4,I1065=120),VLOOKUP(T1065,'CAFCO 400 ENSAYO'!$B$7:$D$43,3,FALSE),0)</f>
        <v>0</v>
      </c>
      <c r="O1065" s="96">
        <f t="shared" si="108"/>
        <v>0</v>
      </c>
      <c r="P1065" s="132" t="str">
        <f t="shared" si="103"/>
        <v>N/A</v>
      </c>
      <c r="Q1065" s="132" t="str">
        <f t="shared" si="104"/>
        <v>N/A</v>
      </c>
      <c r="R1065" s="132" t="str">
        <f t="shared" si="105"/>
        <v>NO CERT.</v>
      </c>
      <c r="S1065" s="132" t="e">
        <f t="shared" si="106"/>
        <v>#N/A</v>
      </c>
      <c r="T1065" s="133" t="e">
        <f>+IF(J1065=LOOKUP(J1065,'CAFCO 300 IDIEM TABLAS'!$J$4:$J$40),'CALCULO MORTERO'!J1065,MROUND('CALCULO MORTERO'!J1065,10))</f>
        <v>#N/A</v>
      </c>
      <c r="U1065" s="134">
        <f t="shared" si="107"/>
        <v>0</v>
      </c>
    </row>
    <row r="1066" spans="1:21" x14ac:dyDescent="0.25">
      <c r="A1066" s="118">
        <f>+CUBICACION!D1060</f>
        <v>0</v>
      </c>
      <c r="B1066" s="819">
        <f>+CUBICACION!E1060</f>
        <v>0</v>
      </c>
      <c r="C1066" s="675">
        <f>+CUBICACION!F1060</f>
        <v>0</v>
      </c>
      <c r="D1066" s="118"/>
      <c r="E1066" s="118"/>
      <c r="F1066" s="820"/>
      <c r="G1066" s="675">
        <f>+CUBICACION!J1060</f>
        <v>0</v>
      </c>
      <c r="H1066" s="118"/>
      <c r="I1066" s="821">
        <f>+CUBICACION!L1060</f>
        <v>0</v>
      </c>
      <c r="J1066" s="64">
        <f>+CUBICACION!M1060</f>
        <v>0</v>
      </c>
      <c r="K1066" s="822" t="str">
        <f>+CUBICACION!N1060</f>
        <v/>
      </c>
      <c r="L1066" s="118">
        <f>+CUBICACION!O1060</f>
        <v>0</v>
      </c>
      <c r="M1066" s="823">
        <f>+CUBICACION!P1060</f>
        <v>0</v>
      </c>
      <c r="N1066" s="902">
        <f>ROUND(IF(AND(L1066="Blaze Shield II",M1066="Software Idiem",C1066="IN",G1066=4),((('BLAZE SHIELD II'!$D$4*('CALCULO MORTERO'!I1066^2)+'BLAZE SHIELD II'!$D$5*'CALCULO MORTERO'!I1066+'BLAZE SHIELD II'!$D$6)*LN(J1066))+('BLAZE SHIELD II'!$D$7*('CALCULO MORTERO'!I1066^2)+'BLAZE SHIELD II'!$D$8*'CALCULO MORTERO'!I1066+'BLAZE SHIELD II'!$D$9)),0)+IF(AND(L1066="Blaze Shield II",M1066="Software Idiem",C1066="Cj"),((('BLAZE SHIELD II'!$H$4*('CALCULO MORTERO'!I1066^2)+'BLAZE SHIELD II'!$H$5*'CALCULO MORTERO'!I1066+'BLAZE SHIELD II'!$H$6)*LN(J1066))+('BLAZE SHIELD II'!$H$7*('CALCULO MORTERO'!I1066^2)+'BLAZE SHIELD II'!$H$8*'CALCULO MORTERO'!I1066+'BLAZE SHIELD II'!$H$9)),0)+IF(AND(L1066="Blaze Shield II",M1066="Software Idiem",C1066="C"),((('BLAZE SHIELD II'!$L$4*('CALCULO MORTERO'!I1066^2)+'BLAZE SHIELD II'!$L$5*'CALCULO MORTERO'!I1066+'BLAZE SHIELD II'!$L$6)*LN(J1066))+('BLAZE SHIELD II'!$L$7*('CALCULO MORTERO'!I1066^2)+'BLAZE SHIELD II'!$L$8*'CALCULO MORTERO'!I1066+'BLAZE SHIELD II'!$L$9)),0)+IF(AND(L1066="Blaze Shield II",M1066="Software Idiem",C1066="L"),((('BLAZE SHIELD II'!$L$4*('CALCULO MORTERO'!I1066^2)+'BLAZE SHIELD II'!$L$5*'CALCULO MORTERO'!I1066+'BLAZE SHIELD II'!$L$6)*LN(J1066))+('BLAZE SHIELD II'!$L$7*('CALCULO MORTERO'!I1066^2)+'BLAZE SHIELD II'!$L$8*'CALCULO MORTERO'!I1066+'BLAZE SHIELD II'!$L$9)),0)+IF(AND(L1066="Blaze Shield II",M1066="Software Idiem",C1066="IN",G1066=3),((('BLAZE SHIELD II'!$H$14*('CALCULO MORTERO'!I1066^2)+'BLAZE SHIELD II'!$H$15*'CALCULO MORTERO'!I1066+'BLAZE SHIELD II'!$H$16)*LN(J1066))+('BLAZE SHIELD II'!$H$17*('CALCULO MORTERO'!I1066^2)+'BLAZE SHIELD II'!$H$18*'CALCULO MORTERO'!I1066+'BLAZE SHIELD II'!$H$19)),0),0)+ROUND(IF(AND(L1066="Cafco 400",M1066="Software Idiem",C1066="IN",G1066=4),((('CAFCO 400 '!$H$7*(J1066^4)+'CAFCO 400 '!$H$8*(J1066^3)+'CAFCO 400 '!$H$9*(J1066^2)+'CAFCO 400 '!$H$10*J1066+'CAFCO 400 '!$H$11)*U1066^2)+(('CAFCO 400 '!$H$12*(J1066^3)+'CAFCO 400 '!$H$13*(J1066^2)+'CAFCO 400 '!$H$14*J1066+'CAFCO 400 '!$H$15)*U1066)+('CAFCO 400 '!$H$16*(J1066^2)+'CAFCO 400 '!$H$17*J1066+'CAFCO 400 '!$H$18)),0)+IF(AND(L1066="Cafco 400",M1066="Software Idiem",C1066="Cj"),(((('CAFCO 400 '!$D$7*LN(J1066)+'CAFCO 400 '!$D$8)*U1066^2)+(('CAFCO 400 '!$D$9*LN(J1066)+'CAFCO 400 '!$D$10)*U1066)+('CAFCO 400 '!$D$11*LN(J1066)+'CAFCO 400 '!$D$12))),0)+IF(AND(L1066="Cafco 400",M1066="Software Idiem",C1066="C"),((('CAFCO 400 '!$L$7*(J1066^3)+'CAFCO 400 '!$L$8*(J1066^2)+'CAFCO 400 '!$L$9*J1066+'CAFCO 400 '!$L$10)*U1066^2)+(('CAFCO 400 '!$L$11*(J1066^3)+'CAFCO 400 '!$L$12*(J1066^2)+'CAFCO 400 '!$L$13*J1066+'CAFCO 400 '!$L$14)*U1066)+('CAFCO 400 '!$L$15*LN(J1066)+'CAFCO 400 '!$L$16)),0)+IF(AND(L1066="Cafco 400",M1066="Software Idiem",C1066="L"),((('CAFCO 400 '!$L$7*(J1066^3)+'CAFCO 400 '!$L$8*(J1066^2)+'CAFCO 400 '!$L$9*J1066+'CAFCO 400 '!$L$10)*U1066^2)+(('CAFCO 400 '!$L$11*(J1066^3)+'CAFCO 400 '!$L$12*(J1066^2)+'CAFCO 400 '!$L$13*J1066+'CAFCO 400 '!$L$14)*U1066)+('CAFCO 400 '!$L$15*LN(J1066)+'CAFCO 400 '!$L$16)),0)+IF(AND(L1066="Cafco 400",M1066="Software Idiem",C1066="IN",G1066=3),((('CAFCO 400 '!$D$23*(J1066^2)+'CAFCO 400 '!$D$24*(J1066)+'CAFCO 400 '!$D$25)*U1066^2)+(('CAFCO 400 '!$D$26*(J1066^2)+'CAFCO 400 '!$D$27*J1066+'CAFCO 400 '!$D$28)*U1066)+('CAFCO 400 '!$D$29*(J1066^2)+'CAFCO 400 '!$D$30*J1066+'CAFCO 400 '!$D$31)),0),0)+IF(AND(L1066="Cafco 300",J1066&gt;=95,J1066&lt;=240,C1066="Cj",I1066=90),VLOOKUP(T1066,'CAFCO 300 IDIEM TABLAS'!$B$4:$D$23,2,FALSE),0)+IF(AND(L1066="Cafco 300",J1066&gt;=95,J1066&lt;=240,C1066="Cj",I1066=120),VLOOKUP(T1066,'CAFCO 300 IDIEM TABLAS'!$B$4:$D$23,3,FALSE),0)+IF(AND(L1066="Cafco 300",J1066&gt;=95,J1066&lt;=400,G1066=3,C1066="IN",I1066=90),VLOOKUP(T1066,'CAFCO 300 IDIEM TABLAS'!$F$4:$H$35,2,FALSE),0)+IF(AND(L1066="Cafco 300",J1066&gt;=95,J1066&lt;=400,G1066=3,C1066="IN",I1066=120),VLOOKUP(T1066,'CAFCO 300 IDIEM TABLAS'!$F$4:$H$35,3,FALSE),0)+IF(AND(L1066="Cafco 300",J1066&gt;=95,J1066&lt;=450,G1066=4,C1066="IN",I1066=90),VLOOKUP(T1066,'CAFCO 300 IDIEM TABLAS'!$J$4:$L$40,2,FALSE),0)+IF(AND(L1066="Cafco 300",J1066&gt;=95,J1066&lt;=450,G1066=4,C1066="IN",I1066=120),VLOOKUP(T1066,'CAFCO 300 IDIEM TABLAS'!$J$4:$L$40,3,FALSE),0)+IF(AND(M1066="Ensayo Idiem",L1066="Cafco 400",C1066="IN",G1066=4,I1066=90),VLOOKUP(T1066,'CAFCO 400 ENSAYO'!$B$7:$D$43,2,FALSE),0)+IF(AND(M1066="Ensayo Idiem",L1066="Cafco 400",C1066="IN",G1066=4,I1066=120),VLOOKUP(T1066,'CAFCO 400 ENSAYO'!$B$7:$D$43,3,FALSE),0)</f>
        <v>0</v>
      </c>
      <c r="O1066" s="96">
        <f t="shared" si="108"/>
        <v>0</v>
      </c>
      <c r="P1066" s="95" t="str">
        <f t="shared" si="103"/>
        <v>N/A</v>
      </c>
      <c r="Q1066" s="95" t="str">
        <f t="shared" si="104"/>
        <v>N/A</v>
      </c>
      <c r="R1066" s="95" t="str">
        <f t="shared" si="105"/>
        <v>NO CERT.</v>
      </c>
      <c r="S1066" s="95" t="e">
        <f t="shared" si="106"/>
        <v>#N/A</v>
      </c>
      <c r="T1066" s="119" t="e">
        <f>+IF(J1066=LOOKUP(J1066,'CAFCO 300 IDIEM TABLAS'!$J$4:$J$40),'CALCULO MORTERO'!J1066,MROUND('CALCULO MORTERO'!J1066,10))</f>
        <v>#N/A</v>
      </c>
      <c r="U1066" s="118">
        <f t="shared" si="107"/>
        <v>0</v>
      </c>
    </row>
    <row r="1067" spans="1:21" x14ac:dyDescent="0.25">
      <c r="A1067" s="118">
        <f>+CUBICACION!D1061</f>
        <v>0</v>
      </c>
      <c r="B1067" s="819">
        <f>+CUBICACION!E1061</f>
        <v>0</v>
      </c>
      <c r="C1067" s="675">
        <f>+CUBICACION!F1061</f>
        <v>0</v>
      </c>
      <c r="D1067" s="118"/>
      <c r="E1067" s="118"/>
      <c r="F1067" s="820"/>
      <c r="G1067" s="675">
        <f>+CUBICACION!J1061</f>
        <v>0</v>
      </c>
      <c r="H1067" s="118"/>
      <c r="I1067" s="821">
        <f>+CUBICACION!L1061</f>
        <v>0</v>
      </c>
      <c r="J1067" s="64">
        <f>+CUBICACION!M1061</f>
        <v>0</v>
      </c>
      <c r="K1067" s="822" t="str">
        <f>+CUBICACION!N1061</f>
        <v/>
      </c>
      <c r="L1067" s="118">
        <f>+CUBICACION!O1061</f>
        <v>0</v>
      </c>
      <c r="M1067" s="823">
        <f>+CUBICACION!P1061</f>
        <v>0</v>
      </c>
      <c r="N1067" s="902">
        <f>ROUND(IF(AND(L1067="Blaze Shield II",M1067="Software Idiem",C1067="IN",G1067=4),((('BLAZE SHIELD II'!$D$4*('CALCULO MORTERO'!I1067^2)+'BLAZE SHIELD II'!$D$5*'CALCULO MORTERO'!I1067+'BLAZE SHIELD II'!$D$6)*LN(J1067))+('BLAZE SHIELD II'!$D$7*('CALCULO MORTERO'!I1067^2)+'BLAZE SHIELD II'!$D$8*'CALCULO MORTERO'!I1067+'BLAZE SHIELD II'!$D$9)),0)+IF(AND(L1067="Blaze Shield II",M1067="Software Idiem",C1067="Cj"),((('BLAZE SHIELD II'!$H$4*('CALCULO MORTERO'!I1067^2)+'BLAZE SHIELD II'!$H$5*'CALCULO MORTERO'!I1067+'BLAZE SHIELD II'!$H$6)*LN(J1067))+('BLAZE SHIELD II'!$H$7*('CALCULO MORTERO'!I1067^2)+'BLAZE SHIELD II'!$H$8*'CALCULO MORTERO'!I1067+'BLAZE SHIELD II'!$H$9)),0)+IF(AND(L1067="Blaze Shield II",M1067="Software Idiem",C1067="C"),((('BLAZE SHIELD II'!$L$4*('CALCULO MORTERO'!I1067^2)+'BLAZE SHIELD II'!$L$5*'CALCULO MORTERO'!I1067+'BLAZE SHIELD II'!$L$6)*LN(J1067))+('BLAZE SHIELD II'!$L$7*('CALCULO MORTERO'!I1067^2)+'BLAZE SHIELD II'!$L$8*'CALCULO MORTERO'!I1067+'BLAZE SHIELD II'!$L$9)),0)+IF(AND(L1067="Blaze Shield II",M1067="Software Idiem",C1067="L"),((('BLAZE SHIELD II'!$L$4*('CALCULO MORTERO'!I1067^2)+'BLAZE SHIELD II'!$L$5*'CALCULO MORTERO'!I1067+'BLAZE SHIELD II'!$L$6)*LN(J1067))+('BLAZE SHIELD II'!$L$7*('CALCULO MORTERO'!I1067^2)+'BLAZE SHIELD II'!$L$8*'CALCULO MORTERO'!I1067+'BLAZE SHIELD II'!$L$9)),0)+IF(AND(L1067="Blaze Shield II",M1067="Software Idiem",C1067="IN",G1067=3),((('BLAZE SHIELD II'!$H$14*('CALCULO MORTERO'!I1067^2)+'BLAZE SHIELD II'!$H$15*'CALCULO MORTERO'!I1067+'BLAZE SHIELD II'!$H$16)*LN(J1067))+('BLAZE SHIELD II'!$H$17*('CALCULO MORTERO'!I1067^2)+'BLAZE SHIELD II'!$H$18*'CALCULO MORTERO'!I1067+'BLAZE SHIELD II'!$H$19)),0),0)+ROUND(IF(AND(L1067="Cafco 400",M1067="Software Idiem",C1067="IN",G1067=4),((('CAFCO 400 '!$H$7*(J1067^4)+'CAFCO 400 '!$H$8*(J1067^3)+'CAFCO 400 '!$H$9*(J1067^2)+'CAFCO 400 '!$H$10*J1067+'CAFCO 400 '!$H$11)*U1067^2)+(('CAFCO 400 '!$H$12*(J1067^3)+'CAFCO 400 '!$H$13*(J1067^2)+'CAFCO 400 '!$H$14*J1067+'CAFCO 400 '!$H$15)*U1067)+('CAFCO 400 '!$H$16*(J1067^2)+'CAFCO 400 '!$H$17*J1067+'CAFCO 400 '!$H$18)),0)+IF(AND(L1067="Cafco 400",M1067="Software Idiem",C1067="Cj"),(((('CAFCO 400 '!$D$7*LN(J1067)+'CAFCO 400 '!$D$8)*U1067^2)+(('CAFCO 400 '!$D$9*LN(J1067)+'CAFCO 400 '!$D$10)*U1067)+('CAFCO 400 '!$D$11*LN(J1067)+'CAFCO 400 '!$D$12))),0)+IF(AND(L1067="Cafco 400",M1067="Software Idiem",C1067="C"),((('CAFCO 400 '!$L$7*(J1067^3)+'CAFCO 400 '!$L$8*(J1067^2)+'CAFCO 400 '!$L$9*J1067+'CAFCO 400 '!$L$10)*U1067^2)+(('CAFCO 400 '!$L$11*(J1067^3)+'CAFCO 400 '!$L$12*(J1067^2)+'CAFCO 400 '!$L$13*J1067+'CAFCO 400 '!$L$14)*U1067)+('CAFCO 400 '!$L$15*LN(J1067)+'CAFCO 400 '!$L$16)),0)+IF(AND(L1067="Cafco 400",M1067="Software Idiem",C1067="L"),((('CAFCO 400 '!$L$7*(J1067^3)+'CAFCO 400 '!$L$8*(J1067^2)+'CAFCO 400 '!$L$9*J1067+'CAFCO 400 '!$L$10)*U1067^2)+(('CAFCO 400 '!$L$11*(J1067^3)+'CAFCO 400 '!$L$12*(J1067^2)+'CAFCO 400 '!$L$13*J1067+'CAFCO 400 '!$L$14)*U1067)+('CAFCO 400 '!$L$15*LN(J1067)+'CAFCO 400 '!$L$16)),0)+IF(AND(L1067="Cafco 400",M1067="Software Idiem",C1067="IN",G1067=3),((('CAFCO 400 '!$D$23*(J1067^2)+'CAFCO 400 '!$D$24*(J1067)+'CAFCO 400 '!$D$25)*U1067^2)+(('CAFCO 400 '!$D$26*(J1067^2)+'CAFCO 400 '!$D$27*J1067+'CAFCO 400 '!$D$28)*U1067)+('CAFCO 400 '!$D$29*(J1067^2)+'CAFCO 400 '!$D$30*J1067+'CAFCO 400 '!$D$31)),0),0)+IF(AND(L1067="Cafco 300",J1067&gt;=95,J1067&lt;=240,C1067="Cj",I1067=90),VLOOKUP(T1067,'CAFCO 300 IDIEM TABLAS'!$B$4:$D$23,2,FALSE),0)+IF(AND(L1067="Cafco 300",J1067&gt;=95,J1067&lt;=240,C1067="Cj",I1067=120),VLOOKUP(T1067,'CAFCO 300 IDIEM TABLAS'!$B$4:$D$23,3,FALSE),0)+IF(AND(L1067="Cafco 300",J1067&gt;=95,J1067&lt;=400,G1067=3,C1067="IN",I1067=90),VLOOKUP(T1067,'CAFCO 300 IDIEM TABLAS'!$F$4:$H$35,2,FALSE),0)+IF(AND(L1067="Cafco 300",J1067&gt;=95,J1067&lt;=400,G1067=3,C1067="IN",I1067=120),VLOOKUP(T1067,'CAFCO 300 IDIEM TABLAS'!$F$4:$H$35,3,FALSE),0)+IF(AND(L1067="Cafco 300",J1067&gt;=95,J1067&lt;=450,G1067=4,C1067="IN",I1067=90),VLOOKUP(T1067,'CAFCO 300 IDIEM TABLAS'!$J$4:$L$40,2,FALSE),0)+IF(AND(L1067="Cafco 300",J1067&gt;=95,J1067&lt;=450,G1067=4,C1067="IN",I1067=120),VLOOKUP(T1067,'CAFCO 300 IDIEM TABLAS'!$J$4:$L$40,3,FALSE),0)+IF(AND(M1067="Ensayo Idiem",L1067="Cafco 400",C1067="IN",G1067=4,I1067=90),VLOOKUP(T1067,'CAFCO 400 ENSAYO'!$B$7:$D$43,2,FALSE),0)+IF(AND(M1067="Ensayo Idiem",L1067="Cafco 400",C1067="IN",G1067=4,I1067=120),VLOOKUP(T1067,'CAFCO 400 ENSAYO'!$B$7:$D$43,3,FALSE),0)</f>
        <v>0</v>
      </c>
      <c r="O1067" s="96">
        <f t="shared" si="108"/>
        <v>0</v>
      </c>
      <c r="P1067" s="132" t="str">
        <f t="shared" si="103"/>
        <v>N/A</v>
      </c>
      <c r="Q1067" s="132" t="str">
        <f t="shared" si="104"/>
        <v>N/A</v>
      </c>
      <c r="R1067" s="132" t="str">
        <f t="shared" si="105"/>
        <v>NO CERT.</v>
      </c>
      <c r="S1067" s="132" t="e">
        <f t="shared" si="106"/>
        <v>#N/A</v>
      </c>
      <c r="T1067" s="133" t="e">
        <f>+IF(J1067=LOOKUP(J1067,'CAFCO 300 IDIEM TABLAS'!$J$4:$J$40),'CALCULO MORTERO'!J1067,MROUND('CALCULO MORTERO'!J1067,10))</f>
        <v>#N/A</v>
      </c>
      <c r="U1067" s="134">
        <f t="shared" si="107"/>
        <v>0</v>
      </c>
    </row>
    <row r="1068" spans="1:21" x14ac:dyDescent="0.25">
      <c r="A1068" s="118">
        <f>+CUBICACION!D1062</f>
        <v>0</v>
      </c>
      <c r="B1068" s="819">
        <f>+CUBICACION!E1062</f>
        <v>0</v>
      </c>
      <c r="C1068" s="675">
        <f>+CUBICACION!F1062</f>
        <v>0</v>
      </c>
      <c r="D1068" s="118"/>
      <c r="E1068" s="118"/>
      <c r="F1068" s="820"/>
      <c r="G1068" s="675">
        <f>+CUBICACION!J1062</f>
        <v>0</v>
      </c>
      <c r="H1068" s="118"/>
      <c r="I1068" s="821">
        <f>+CUBICACION!L1062</f>
        <v>0</v>
      </c>
      <c r="J1068" s="64">
        <f>+CUBICACION!M1062</f>
        <v>0</v>
      </c>
      <c r="K1068" s="822" t="str">
        <f>+CUBICACION!N1062</f>
        <v/>
      </c>
      <c r="L1068" s="118">
        <f>+CUBICACION!O1062</f>
        <v>0</v>
      </c>
      <c r="M1068" s="823">
        <f>+CUBICACION!P1062</f>
        <v>0</v>
      </c>
      <c r="N1068" s="902">
        <f>ROUND(IF(AND(L1068="Blaze Shield II",M1068="Software Idiem",C1068="IN",G1068=4),((('BLAZE SHIELD II'!$D$4*('CALCULO MORTERO'!I1068^2)+'BLAZE SHIELD II'!$D$5*'CALCULO MORTERO'!I1068+'BLAZE SHIELD II'!$D$6)*LN(J1068))+('BLAZE SHIELD II'!$D$7*('CALCULO MORTERO'!I1068^2)+'BLAZE SHIELD II'!$D$8*'CALCULO MORTERO'!I1068+'BLAZE SHIELD II'!$D$9)),0)+IF(AND(L1068="Blaze Shield II",M1068="Software Idiem",C1068="Cj"),((('BLAZE SHIELD II'!$H$4*('CALCULO MORTERO'!I1068^2)+'BLAZE SHIELD II'!$H$5*'CALCULO MORTERO'!I1068+'BLAZE SHIELD II'!$H$6)*LN(J1068))+('BLAZE SHIELD II'!$H$7*('CALCULO MORTERO'!I1068^2)+'BLAZE SHIELD II'!$H$8*'CALCULO MORTERO'!I1068+'BLAZE SHIELD II'!$H$9)),0)+IF(AND(L1068="Blaze Shield II",M1068="Software Idiem",C1068="C"),((('BLAZE SHIELD II'!$L$4*('CALCULO MORTERO'!I1068^2)+'BLAZE SHIELD II'!$L$5*'CALCULO MORTERO'!I1068+'BLAZE SHIELD II'!$L$6)*LN(J1068))+('BLAZE SHIELD II'!$L$7*('CALCULO MORTERO'!I1068^2)+'BLAZE SHIELD II'!$L$8*'CALCULO MORTERO'!I1068+'BLAZE SHIELD II'!$L$9)),0)+IF(AND(L1068="Blaze Shield II",M1068="Software Idiem",C1068="L"),((('BLAZE SHIELD II'!$L$4*('CALCULO MORTERO'!I1068^2)+'BLAZE SHIELD II'!$L$5*'CALCULO MORTERO'!I1068+'BLAZE SHIELD II'!$L$6)*LN(J1068))+('BLAZE SHIELD II'!$L$7*('CALCULO MORTERO'!I1068^2)+'BLAZE SHIELD II'!$L$8*'CALCULO MORTERO'!I1068+'BLAZE SHIELD II'!$L$9)),0)+IF(AND(L1068="Blaze Shield II",M1068="Software Idiem",C1068="IN",G1068=3),((('BLAZE SHIELD II'!$H$14*('CALCULO MORTERO'!I1068^2)+'BLAZE SHIELD II'!$H$15*'CALCULO MORTERO'!I1068+'BLAZE SHIELD II'!$H$16)*LN(J1068))+('BLAZE SHIELD II'!$H$17*('CALCULO MORTERO'!I1068^2)+'BLAZE SHIELD II'!$H$18*'CALCULO MORTERO'!I1068+'BLAZE SHIELD II'!$H$19)),0),0)+ROUND(IF(AND(L1068="Cafco 400",M1068="Software Idiem",C1068="IN",G1068=4),((('CAFCO 400 '!$H$7*(J1068^4)+'CAFCO 400 '!$H$8*(J1068^3)+'CAFCO 400 '!$H$9*(J1068^2)+'CAFCO 400 '!$H$10*J1068+'CAFCO 400 '!$H$11)*U1068^2)+(('CAFCO 400 '!$H$12*(J1068^3)+'CAFCO 400 '!$H$13*(J1068^2)+'CAFCO 400 '!$H$14*J1068+'CAFCO 400 '!$H$15)*U1068)+('CAFCO 400 '!$H$16*(J1068^2)+'CAFCO 400 '!$H$17*J1068+'CAFCO 400 '!$H$18)),0)+IF(AND(L1068="Cafco 400",M1068="Software Idiem",C1068="Cj"),(((('CAFCO 400 '!$D$7*LN(J1068)+'CAFCO 400 '!$D$8)*U1068^2)+(('CAFCO 400 '!$D$9*LN(J1068)+'CAFCO 400 '!$D$10)*U1068)+('CAFCO 400 '!$D$11*LN(J1068)+'CAFCO 400 '!$D$12))),0)+IF(AND(L1068="Cafco 400",M1068="Software Idiem",C1068="C"),((('CAFCO 400 '!$L$7*(J1068^3)+'CAFCO 400 '!$L$8*(J1068^2)+'CAFCO 400 '!$L$9*J1068+'CAFCO 400 '!$L$10)*U1068^2)+(('CAFCO 400 '!$L$11*(J1068^3)+'CAFCO 400 '!$L$12*(J1068^2)+'CAFCO 400 '!$L$13*J1068+'CAFCO 400 '!$L$14)*U1068)+('CAFCO 400 '!$L$15*LN(J1068)+'CAFCO 400 '!$L$16)),0)+IF(AND(L1068="Cafco 400",M1068="Software Idiem",C1068="L"),((('CAFCO 400 '!$L$7*(J1068^3)+'CAFCO 400 '!$L$8*(J1068^2)+'CAFCO 400 '!$L$9*J1068+'CAFCO 400 '!$L$10)*U1068^2)+(('CAFCO 400 '!$L$11*(J1068^3)+'CAFCO 400 '!$L$12*(J1068^2)+'CAFCO 400 '!$L$13*J1068+'CAFCO 400 '!$L$14)*U1068)+('CAFCO 400 '!$L$15*LN(J1068)+'CAFCO 400 '!$L$16)),0)+IF(AND(L1068="Cafco 400",M1068="Software Idiem",C1068="IN",G1068=3),((('CAFCO 400 '!$D$23*(J1068^2)+'CAFCO 400 '!$D$24*(J1068)+'CAFCO 400 '!$D$25)*U1068^2)+(('CAFCO 400 '!$D$26*(J1068^2)+'CAFCO 400 '!$D$27*J1068+'CAFCO 400 '!$D$28)*U1068)+('CAFCO 400 '!$D$29*(J1068^2)+'CAFCO 400 '!$D$30*J1068+'CAFCO 400 '!$D$31)),0),0)+IF(AND(L1068="Cafco 300",J1068&gt;=95,J1068&lt;=240,C1068="Cj",I1068=90),VLOOKUP(T1068,'CAFCO 300 IDIEM TABLAS'!$B$4:$D$23,2,FALSE),0)+IF(AND(L1068="Cafco 300",J1068&gt;=95,J1068&lt;=240,C1068="Cj",I1068=120),VLOOKUP(T1068,'CAFCO 300 IDIEM TABLAS'!$B$4:$D$23,3,FALSE),0)+IF(AND(L1068="Cafco 300",J1068&gt;=95,J1068&lt;=400,G1068=3,C1068="IN",I1068=90),VLOOKUP(T1068,'CAFCO 300 IDIEM TABLAS'!$F$4:$H$35,2,FALSE),0)+IF(AND(L1068="Cafco 300",J1068&gt;=95,J1068&lt;=400,G1068=3,C1068="IN",I1068=120),VLOOKUP(T1068,'CAFCO 300 IDIEM TABLAS'!$F$4:$H$35,3,FALSE),0)+IF(AND(L1068="Cafco 300",J1068&gt;=95,J1068&lt;=450,G1068=4,C1068="IN",I1068=90),VLOOKUP(T1068,'CAFCO 300 IDIEM TABLAS'!$J$4:$L$40,2,FALSE),0)+IF(AND(L1068="Cafco 300",J1068&gt;=95,J1068&lt;=450,G1068=4,C1068="IN",I1068=120),VLOOKUP(T1068,'CAFCO 300 IDIEM TABLAS'!$J$4:$L$40,3,FALSE),0)+IF(AND(M1068="Ensayo Idiem",L1068="Cafco 400",C1068="IN",G1068=4,I1068=90),VLOOKUP(T1068,'CAFCO 400 ENSAYO'!$B$7:$D$43,2,FALSE),0)+IF(AND(M1068="Ensayo Idiem",L1068="Cafco 400",C1068="IN",G1068=4,I1068=120),VLOOKUP(T1068,'CAFCO 400 ENSAYO'!$B$7:$D$43,3,FALSE),0)</f>
        <v>0</v>
      </c>
      <c r="O1068" s="96">
        <f t="shared" si="108"/>
        <v>0</v>
      </c>
      <c r="P1068" s="95" t="str">
        <f t="shared" si="103"/>
        <v>N/A</v>
      </c>
      <c r="Q1068" s="95" t="str">
        <f t="shared" si="104"/>
        <v>N/A</v>
      </c>
      <c r="R1068" s="95" t="str">
        <f t="shared" si="105"/>
        <v>NO CERT.</v>
      </c>
      <c r="S1068" s="95" t="e">
        <f t="shared" si="106"/>
        <v>#N/A</v>
      </c>
      <c r="T1068" s="119" t="e">
        <f>+IF(J1068=LOOKUP(J1068,'CAFCO 300 IDIEM TABLAS'!$J$4:$J$40),'CALCULO MORTERO'!J1068,MROUND('CALCULO MORTERO'!J1068,10))</f>
        <v>#N/A</v>
      </c>
      <c r="U1068" s="118">
        <f t="shared" si="107"/>
        <v>0</v>
      </c>
    </row>
    <row r="1069" spans="1:21" x14ac:dyDescent="0.25">
      <c r="A1069" s="118">
        <f>+CUBICACION!D1063</f>
        <v>0</v>
      </c>
      <c r="B1069" s="819">
        <f>+CUBICACION!E1063</f>
        <v>0</v>
      </c>
      <c r="C1069" s="675">
        <f>+CUBICACION!F1063</f>
        <v>0</v>
      </c>
      <c r="D1069" s="118"/>
      <c r="E1069" s="118"/>
      <c r="F1069" s="820"/>
      <c r="G1069" s="675">
        <f>+CUBICACION!J1063</f>
        <v>0</v>
      </c>
      <c r="H1069" s="118"/>
      <c r="I1069" s="821">
        <f>+CUBICACION!L1063</f>
        <v>0</v>
      </c>
      <c r="J1069" s="64">
        <f>+CUBICACION!M1063</f>
        <v>0</v>
      </c>
      <c r="K1069" s="822" t="str">
        <f>+CUBICACION!N1063</f>
        <v/>
      </c>
      <c r="L1069" s="118">
        <f>+CUBICACION!O1063</f>
        <v>0</v>
      </c>
      <c r="M1069" s="823">
        <f>+CUBICACION!P1063</f>
        <v>0</v>
      </c>
      <c r="N1069" s="902">
        <f>ROUND(IF(AND(L1069="Blaze Shield II",M1069="Software Idiem",C1069="IN",G1069=4),((('BLAZE SHIELD II'!$D$4*('CALCULO MORTERO'!I1069^2)+'BLAZE SHIELD II'!$D$5*'CALCULO MORTERO'!I1069+'BLAZE SHIELD II'!$D$6)*LN(J1069))+('BLAZE SHIELD II'!$D$7*('CALCULO MORTERO'!I1069^2)+'BLAZE SHIELD II'!$D$8*'CALCULO MORTERO'!I1069+'BLAZE SHIELD II'!$D$9)),0)+IF(AND(L1069="Blaze Shield II",M1069="Software Idiem",C1069="Cj"),((('BLAZE SHIELD II'!$H$4*('CALCULO MORTERO'!I1069^2)+'BLAZE SHIELD II'!$H$5*'CALCULO MORTERO'!I1069+'BLAZE SHIELD II'!$H$6)*LN(J1069))+('BLAZE SHIELD II'!$H$7*('CALCULO MORTERO'!I1069^2)+'BLAZE SHIELD II'!$H$8*'CALCULO MORTERO'!I1069+'BLAZE SHIELD II'!$H$9)),0)+IF(AND(L1069="Blaze Shield II",M1069="Software Idiem",C1069="C"),((('BLAZE SHIELD II'!$L$4*('CALCULO MORTERO'!I1069^2)+'BLAZE SHIELD II'!$L$5*'CALCULO MORTERO'!I1069+'BLAZE SHIELD II'!$L$6)*LN(J1069))+('BLAZE SHIELD II'!$L$7*('CALCULO MORTERO'!I1069^2)+'BLAZE SHIELD II'!$L$8*'CALCULO MORTERO'!I1069+'BLAZE SHIELD II'!$L$9)),0)+IF(AND(L1069="Blaze Shield II",M1069="Software Idiem",C1069="L"),((('BLAZE SHIELD II'!$L$4*('CALCULO MORTERO'!I1069^2)+'BLAZE SHIELD II'!$L$5*'CALCULO MORTERO'!I1069+'BLAZE SHIELD II'!$L$6)*LN(J1069))+('BLAZE SHIELD II'!$L$7*('CALCULO MORTERO'!I1069^2)+'BLAZE SHIELD II'!$L$8*'CALCULO MORTERO'!I1069+'BLAZE SHIELD II'!$L$9)),0)+IF(AND(L1069="Blaze Shield II",M1069="Software Idiem",C1069="IN",G1069=3),((('BLAZE SHIELD II'!$H$14*('CALCULO MORTERO'!I1069^2)+'BLAZE SHIELD II'!$H$15*'CALCULO MORTERO'!I1069+'BLAZE SHIELD II'!$H$16)*LN(J1069))+('BLAZE SHIELD II'!$H$17*('CALCULO MORTERO'!I1069^2)+'BLAZE SHIELD II'!$H$18*'CALCULO MORTERO'!I1069+'BLAZE SHIELD II'!$H$19)),0),0)+ROUND(IF(AND(L1069="Cafco 400",M1069="Software Idiem",C1069="IN",G1069=4),((('CAFCO 400 '!$H$7*(J1069^4)+'CAFCO 400 '!$H$8*(J1069^3)+'CAFCO 400 '!$H$9*(J1069^2)+'CAFCO 400 '!$H$10*J1069+'CAFCO 400 '!$H$11)*U1069^2)+(('CAFCO 400 '!$H$12*(J1069^3)+'CAFCO 400 '!$H$13*(J1069^2)+'CAFCO 400 '!$H$14*J1069+'CAFCO 400 '!$H$15)*U1069)+('CAFCO 400 '!$H$16*(J1069^2)+'CAFCO 400 '!$H$17*J1069+'CAFCO 400 '!$H$18)),0)+IF(AND(L1069="Cafco 400",M1069="Software Idiem",C1069="Cj"),(((('CAFCO 400 '!$D$7*LN(J1069)+'CAFCO 400 '!$D$8)*U1069^2)+(('CAFCO 400 '!$D$9*LN(J1069)+'CAFCO 400 '!$D$10)*U1069)+('CAFCO 400 '!$D$11*LN(J1069)+'CAFCO 400 '!$D$12))),0)+IF(AND(L1069="Cafco 400",M1069="Software Idiem",C1069="C"),((('CAFCO 400 '!$L$7*(J1069^3)+'CAFCO 400 '!$L$8*(J1069^2)+'CAFCO 400 '!$L$9*J1069+'CAFCO 400 '!$L$10)*U1069^2)+(('CAFCO 400 '!$L$11*(J1069^3)+'CAFCO 400 '!$L$12*(J1069^2)+'CAFCO 400 '!$L$13*J1069+'CAFCO 400 '!$L$14)*U1069)+('CAFCO 400 '!$L$15*LN(J1069)+'CAFCO 400 '!$L$16)),0)+IF(AND(L1069="Cafco 400",M1069="Software Idiem",C1069="L"),((('CAFCO 400 '!$L$7*(J1069^3)+'CAFCO 400 '!$L$8*(J1069^2)+'CAFCO 400 '!$L$9*J1069+'CAFCO 400 '!$L$10)*U1069^2)+(('CAFCO 400 '!$L$11*(J1069^3)+'CAFCO 400 '!$L$12*(J1069^2)+'CAFCO 400 '!$L$13*J1069+'CAFCO 400 '!$L$14)*U1069)+('CAFCO 400 '!$L$15*LN(J1069)+'CAFCO 400 '!$L$16)),0)+IF(AND(L1069="Cafco 400",M1069="Software Idiem",C1069="IN",G1069=3),((('CAFCO 400 '!$D$23*(J1069^2)+'CAFCO 400 '!$D$24*(J1069)+'CAFCO 400 '!$D$25)*U1069^2)+(('CAFCO 400 '!$D$26*(J1069^2)+'CAFCO 400 '!$D$27*J1069+'CAFCO 400 '!$D$28)*U1069)+('CAFCO 400 '!$D$29*(J1069^2)+'CAFCO 400 '!$D$30*J1069+'CAFCO 400 '!$D$31)),0),0)+IF(AND(L1069="Cafco 300",J1069&gt;=95,J1069&lt;=240,C1069="Cj",I1069=90),VLOOKUP(T1069,'CAFCO 300 IDIEM TABLAS'!$B$4:$D$23,2,FALSE),0)+IF(AND(L1069="Cafco 300",J1069&gt;=95,J1069&lt;=240,C1069="Cj",I1069=120),VLOOKUP(T1069,'CAFCO 300 IDIEM TABLAS'!$B$4:$D$23,3,FALSE),0)+IF(AND(L1069="Cafco 300",J1069&gt;=95,J1069&lt;=400,G1069=3,C1069="IN",I1069=90),VLOOKUP(T1069,'CAFCO 300 IDIEM TABLAS'!$F$4:$H$35,2,FALSE),0)+IF(AND(L1069="Cafco 300",J1069&gt;=95,J1069&lt;=400,G1069=3,C1069="IN",I1069=120),VLOOKUP(T1069,'CAFCO 300 IDIEM TABLAS'!$F$4:$H$35,3,FALSE),0)+IF(AND(L1069="Cafco 300",J1069&gt;=95,J1069&lt;=450,G1069=4,C1069="IN",I1069=90),VLOOKUP(T1069,'CAFCO 300 IDIEM TABLAS'!$J$4:$L$40,2,FALSE),0)+IF(AND(L1069="Cafco 300",J1069&gt;=95,J1069&lt;=450,G1069=4,C1069="IN",I1069=120),VLOOKUP(T1069,'CAFCO 300 IDIEM TABLAS'!$J$4:$L$40,3,FALSE),0)+IF(AND(M1069="Ensayo Idiem",L1069="Cafco 400",C1069="IN",G1069=4,I1069=90),VLOOKUP(T1069,'CAFCO 400 ENSAYO'!$B$7:$D$43,2,FALSE),0)+IF(AND(M1069="Ensayo Idiem",L1069="Cafco 400",C1069="IN",G1069=4,I1069=120),VLOOKUP(T1069,'CAFCO 400 ENSAYO'!$B$7:$D$43,3,FALSE),0)</f>
        <v>0</v>
      </c>
      <c r="O1069" s="96">
        <f t="shared" si="108"/>
        <v>0</v>
      </c>
      <c r="P1069" s="132" t="str">
        <f t="shared" si="103"/>
        <v>N/A</v>
      </c>
      <c r="Q1069" s="132" t="str">
        <f t="shared" si="104"/>
        <v>N/A</v>
      </c>
      <c r="R1069" s="132" t="str">
        <f t="shared" si="105"/>
        <v>NO CERT.</v>
      </c>
      <c r="S1069" s="132" t="e">
        <f t="shared" si="106"/>
        <v>#N/A</v>
      </c>
      <c r="T1069" s="133" t="e">
        <f>+IF(J1069=LOOKUP(J1069,'CAFCO 300 IDIEM TABLAS'!$J$4:$J$40),'CALCULO MORTERO'!J1069,MROUND('CALCULO MORTERO'!J1069,10))</f>
        <v>#N/A</v>
      </c>
      <c r="U1069" s="134">
        <f t="shared" si="107"/>
        <v>0</v>
      </c>
    </row>
    <row r="1070" spans="1:21" x14ac:dyDescent="0.25">
      <c r="A1070" s="118">
        <f>+CUBICACION!D1064</f>
        <v>0</v>
      </c>
      <c r="B1070" s="819">
        <f>+CUBICACION!E1064</f>
        <v>0</v>
      </c>
      <c r="C1070" s="675">
        <f>+CUBICACION!F1064</f>
        <v>0</v>
      </c>
      <c r="D1070" s="118"/>
      <c r="E1070" s="118"/>
      <c r="F1070" s="820"/>
      <c r="G1070" s="675">
        <f>+CUBICACION!J1064</f>
        <v>0</v>
      </c>
      <c r="H1070" s="118"/>
      <c r="I1070" s="821">
        <f>+CUBICACION!L1064</f>
        <v>0</v>
      </c>
      <c r="J1070" s="64">
        <f>+CUBICACION!M1064</f>
        <v>0</v>
      </c>
      <c r="K1070" s="822" t="str">
        <f>+CUBICACION!N1064</f>
        <v/>
      </c>
      <c r="L1070" s="118">
        <f>+CUBICACION!O1064</f>
        <v>0</v>
      </c>
      <c r="M1070" s="823">
        <f>+CUBICACION!P1064</f>
        <v>0</v>
      </c>
      <c r="N1070" s="902">
        <f>ROUND(IF(AND(L1070="Blaze Shield II",M1070="Software Idiem",C1070="IN",G1070=4),((('BLAZE SHIELD II'!$D$4*('CALCULO MORTERO'!I1070^2)+'BLAZE SHIELD II'!$D$5*'CALCULO MORTERO'!I1070+'BLAZE SHIELD II'!$D$6)*LN(J1070))+('BLAZE SHIELD II'!$D$7*('CALCULO MORTERO'!I1070^2)+'BLAZE SHIELD II'!$D$8*'CALCULO MORTERO'!I1070+'BLAZE SHIELD II'!$D$9)),0)+IF(AND(L1070="Blaze Shield II",M1070="Software Idiem",C1070="Cj"),((('BLAZE SHIELD II'!$H$4*('CALCULO MORTERO'!I1070^2)+'BLAZE SHIELD II'!$H$5*'CALCULO MORTERO'!I1070+'BLAZE SHIELD II'!$H$6)*LN(J1070))+('BLAZE SHIELD II'!$H$7*('CALCULO MORTERO'!I1070^2)+'BLAZE SHIELD II'!$H$8*'CALCULO MORTERO'!I1070+'BLAZE SHIELD II'!$H$9)),0)+IF(AND(L1070="Blaze Shield II",M1070="Software Idiem",C1070="C"),((('BLAZE SHIELD II'!$L$4*('CALCULO MORTERO'!I1070^2)+'BLAZE SHIELD II'!$L$5*'CALCULO MORTERO'!I1070+'BLAZE SHIELD II'!$L$6)*LN(J1070))+('BLAZE SHIELD II'!$L$7*('CALCULO MORTERO'!I1070^2)+'BLAZE SHIELD II'!$L$8*'CALCULO MORTERO'!I1070+'BLAZE SHIELD II'!$L$9)),0)+IF(AND(L1070="Blaze Shield II",M1070="Software Idiem",C1070="L"),((('BLAZE SHIELD II'!$L$4*('CALCULO MORTERO'!I1070^2)+'BLAZE SHIELD II'!$L$5*'CALCULO MORTERO'!I1070+'BLAZE SHIELD II'!$L$6)*LN(J1070))+('BLAZE SHIELD II'!$L$7*('CALCULO MORTERO'!I1070^2)+'BLAZE SHIELD II'!$L$8*'CALCULO MORTERO'!I1070+'BLAZE SHIELD II'!$L$9)),0)+IF(AND(L1070="Blaze Shield II",M1070="Software Idiem",C1070="IN",G1070=3),((('BLAZE SHIELD II'!$H$14*('CALCULO MORTERO'!I1070^2)+'BLAZE SHIELD II'!$H$15*'CALCULO MORTERO'!I1070+'BLAZE SHIELD II'!$H$16)*LN(J1070))+('BLAZE SHIELD II'!$H$17*('CALCULO MORTERO'!I1070^2)+'BLAZE SHIELD II'!$H$18*'CALCULO MORTERO'!I1070+'BLAZE SHIELD II'!$H$19)),0),0)+ROUND(IF(AND(L1070="Cafco 400",M1070="Software Idiem",C1070="IN",G1070=4),((('CAFCO 400 '!$H$7*(J1070^4)+'CAFCO 400 '!$H$8*(J1070^3)+'CAFCO 400 '!$H$9*(J1070^2)+'CAFCO 400 '!$H$10*J1070+'CAFCO 400 '!$H$11)*U1070^2)+(('CAFCO 400 '!$H$12*(J1070^3)+'CAFCO 400 '!$H$13*(J1070^2)+'CAFCO 400 '!$H$14*J1070+'CAFCO 400 '!$H$15)*U1070)+('CAFCO 400 '!$H$16*(J1070^2)+'CAFCO 400 '!$H$17*J1070+'CAFCO 400 '!$H$18)),0)+IF(AND(L1070="Cafco 400",M1070="Software Idiem",C1070="Cj"),(((('CAFCO 400 '!$D$7*LN(J1070)+'CAFCO 400 '!$D$8)*U1070^2)+(('CAFCO 400 '!$D$9*LN(J1070)+'CAFCO 400 '!$D$10)*U1070)+('CAFCO 400 '!$D$11*LN(J1070)+'CAFCO 400 '!$D$12))),0)+IF(AND(L1070="Cafco 400",M1070="Software Idiem",C1070="C"),((('CAFCO 400 '!$L$7*(J1070^3)+'CAFCO 400 '!$L$8*(J1070^2)+'CAFCO 400 '!$L$9*J1070+'CAFCO 400 '!$L$10)*U1070^2)+(('CAFCO 400 '!$L$11*(J1070^3)+'CAFCO 400 '!$L$12*(J1070^2)+'CAFCO 400 '!$L$13*J1070+'CAFCO 400 '!$L$14)*U1070)+('CAFCO 400 '!$L$15*LN(J1070)+'CAFCO 400 '!$L$16)),0)+IF(AND(L1070="Cafco 400",M1070="Software Idiem",C1070="L"),((('CAFCO 400 '!$L$7*(J1070^3)+'CAFCO 400 '!$L$8*(J1070^2)+'CAFCO 400 '!$L$9*J1070+'CAFCO 400 '!$L$10)*U1070^2)+(('CAFCO 400 '!$L$11*(J1070^3)+'CAFCO 400 '!$L$12*(J1070^2)+'CAFCO 400 '!$L$13*J1070+'CAFCO 400 '!$L$14)*U1070)+('CAFCO 400 '!$L$15*LN(J1070)+'CAFCO 400 '!$L$16)),0)+IF(AND(L1070="Cafco 400",M1070="Software Idiem",C1070="IN",G1070=3),((('CAFCO 400 '!$D$23*(J1070^2)+'CAFCO 400 '!$D$24*(J1070)+'CAFCO 400 '!$D$25)*U1070^2)+(('CAFCO 400 '!$D$26*(J1070^2)+'CAFCO 400 '!$D$27*J1070+'CAFCO 400 '!$D$28)*U1070)+('CAFCO 400 '!$D$29*(J1070^2)+'CAFCO 400 '!$D$30*J1070+'CAFCO 400 '!$D$31)),0),0)+IF(AND(L1070="Cafco 300",J1070&gt;=95,J1070&lt;=240,C1070="Cj",I1070=90),VLOOKUP(T1070,'CAFCO 300 IDIEM TABLAS'!$B$4:$D$23,2,FALSE),0)+IF(AND(L1070="Cafco 300",J1070&gt;=95,J1070&lt;=240,C1070="Cj",I1070=120),VLOOKUP(T1070,'CAFCO 300 IDIEM TABLAS'!$B$4:$D$23,3,FALSE),0)+IF(AND(L1070="Cafco 300",J1070&gt;=95,J1070&lt;=400,G1070=3,C1070="IN",I1070=90),VLOOKUP(T1070,'CAFCO 300 IDIEM TABLAS'!$F$4:$H$35,2,FALSE),0)+IF(AND(L1070="Cafco 300",J1070&gt;=95,J1070&lt;=400,G1070=3,C1070="IN",I1070=120),VLOOKUP(T1070,'CAFCO 300 IDIEM TABLAS'!$F$4:$H$35,3,FALSE),0)+IF(AND(L1070="Cafco 300",J1070&gt;=95,J1070&lt;=450,G1070=4,C1070="IN",I1070=90),VLOOKUP(T1070,'CAFCO 300 IDIEM TABLAS'!$J$4:$L$40,2,FALSE),0)+IF(AND(L1070="Cafco 300",J1070&gt;=95,J1070&lt;=450,G1070=4,C1070="IN",I1070=120),VLOOKUP(T1070,'CAFCO 300 IDIEM TABLAS'!$J$4:$L$40,3,FALSE),0)+IF(AND(M1070="Ensayo Idiem",L1070="Cafco 400",C1070="IN",G1070=4,I1070=90),VLOOKUP(T1070,'CAFCO 400 ENSAYO'!$B$7:$D$43,2,FALSE),0)+IF(AND(M1070="Ensayo Idiem",L1070="Cafco 400",C1070="IN",G1070=4,I1070=120),VLOOKUP(T1070,'CAFCO 400 ENSAYO'!$B$7:$D$43,3,FALSE),0)</f>
        <v>0</v>
      </c>
      <c r="O1070" s="96">
        <f t="shared" si="108"/>
        <v>0</v>
      </c>
      <c r="P1070" s="95" t="str">
        <f t="shared" si="103"/>
        <v>N/A</v>
      </c>
      <c r="Q1070" s="95" t="str">
        <f t="shared" si="104"/>
        <v>N/A</v>
      </c>
      <c r="R1070" s="95" t="str">
        <f t="shared" si="105"/>
        <v>NO CERT.</v>
      </c>
      <c r="S1070" s="95" t="e">
        <f t="shared" si="106"/>
        <v>#N/A</v>
      </c>
      <c r="T1070" s="119" t="e">
        <f>+IF(J1070=LOOKUP(J1070,'CAFCO 300 IDIEM TABLAS'!$J$4:$J$40),'CALCULO MORTERO'!J1070,MROUND('CALCULO MORTERO'!J1070,10))</f>
        <v>#N/A</v>
      </c>
      <c r="U1070" s="118">
        <f t="shared" si="107"/>
        <v>0</v>
      </c>
    </row>
    <row r="1071" spans="1:21" x14ac:dyDescent="0.25">
      <c r="A1071" s="118">
        <f>+CUBICACION!D1065</f>
        <v>0</v>
      </c>
      <c r="B1071" s="819">
        <f>+CUBICACION!E1065</f>
        <v>0</v>
      </c>
      <c r="C1071" s="675">
        <f>+CUBICACION!F1065</f>
        <v>0</v>
      </c>
      <c r="D1071" s="118"/>
      <c r="E1071" s="118"/>
      <c r="F1071" s="820"/>
      <c r="G1071" s="675">
        <f>+CUBICACION!J1065</f>
        <v>0</v>
      </c>
      <c r="H1071" s="118"/>
      <c r="I1071" s="821">
        <f>+CUBICACION!L1065</f>
        <v>0</v>
      </c>
      <c r="J1071" s="64">
        <f>+CUBICACION!M1065</f>
        <v>0</v>
      </c>
      <c r="K1071" s="822" t="str">
        <f>+CUBICACION!N1065</f>
        <v/>
      </c>
      <c r="L1071" s="118">
        <f>+CUBICACION!O1065</f>
        <v>0</v>
      </c>
      <c r="M1071" s="823">
        <f>+CUBICACION!P1065</f>
        <v>0</v>
      </c>
      <c r="N1071" s="902">
        <f>ROUND(IF(AND(L1071="Blaze Shield II",M1071="Software Idiem",C1071="IN",G1071=4),((('BLAZE SHIELD II'!$D$4*('CALCULO MORTERO'!I1071^2)+'BLAZE SHIELD II'!$D$5*'CALCULO MORTERO'!I1071+'BLAZE SHIELD II'!$D$6)*LN(J1071))+('BLAZE SHIELD II'!$D$7*('CALCULO MORTERO'!I1071^2)+'BLAZE SHIELD II'!$D$8*'CALCULO MORTERO'!I1071+'BLAZE SHIELD II'!$D$9)),0)+IF(AND(L1071="Blaze Shield II",M1071="Software Idiem",C1071="Cj"),((('BLAZE SHIELD II'!$H$4*('CALCULO MORTERO'!I1071^2)+'BLAZE SHIELD II'!$H$5*'CALCULO MORTERO'!I1071+'BLAZE SHIELD II'!$H$6)*LN(J1071))+('BLAZE SHIELD II'!$H$7*('CALCULO MORTERO'!I1071^2)+'BLAZE SHIELD II'!$H$8*'CALCULO MORTERO'!I1071+'BLAZE SHIELD II'!$H$9)),0)+IF(AND(L1071="Blaze Shield II",M1071="Software Idiem",C1071="C"),((('BLAZE SHIELD II'!$L$4*('CALCULO MORTERO'!I1071^2)+'BLAZE SHIELD II'!$L$5*'CALCULO MORTERO'!I1071+'BLAZE SHIELD II'!$L$6)*LN(J1071))+('BLAZE SHIELD II'!$L$7*('CALCULO MORTERO'!I1071^2)+'BLAZE SHIELD II'!$L$8*'CALCULO MORTERO'!I1071+'BLAZE SHIELD II'!$L$9)),0)+IF(AND(L1071="Blaze Shield II",M1071="Software Idiem",C1071="L"),((('BLAZE SHIELD II'!$L$4*('CALCULO MORTERO'!I1071^2)+'BLAZE SHIELD II'!$L$5*'CALCULO MORTERO'!I1071+'BLAZE SHIELD II'!$L$6)*LN(J1071))+('BLAZE SHIELD II'!$L$7*('CALCULO MORTERO'!I1071^2)+'BLAZE SHIELD II'!$L$8*'CALCULO MORTERO'!I1071+'BLAZE SHIELD II'!$L$9)),0)+IF(AND(L1071="Blaze Shield II",M1071="Software Idiem",C1071="IN",G1071=3),((('BLAZE SHIELD II'!$H$14*('CALCULO MORTERO'!I1071^2)+'BLAZE SHIELD II'!$H$15*'CALCULO MORTERO'!I1071+'BLAZE SHIELD II'!$H$16)*LN(J1071))+('BLAZE SHIELD II'!$H$17*('CALCULO MORTERO'!I1071^2)+'BLAZE SHIELD II'!$H$18*'CALCULO MORTERO'!I1071+'BLAZE SHIELD II'!$H$19)),0),0)+ROUND(IF(AND(L1071="Cafco 400",M1071="Software Idiem",C1071="IN",G1071=4),((('CAFCO 400 '!$H$7*(J1071^4)+'CAFCO 400 '!$H$8*(J1071^3)+'CAFCO 400 '!$H$9*(J1071^2)+'CAFCO 400 '!$H$10*J1071+'CAFCO 400 '!$H$11)*U1071^2)+(('CAFCO 400 '!$H$12*(J1071^3)+'CAFCO 400 '!$H$13*(J1071^2)+'CAFCO 400 '!$H$14*J1071+'CAFCO 400 '!$H$15)*U1071)+('CAFCO 400 '!$H$16*(J1071^2)+'CAFCO 400 '!$H$17*J1071+'CAFCO 400 '!$H$18)),0)+IF(AND(L1071="Cafco 400",M1071="Software Idiem",C1071="Cj"),(((('CAFCO 400 '!$D$7*LN(J1071)+'CAFCO 400 '!$D$8)*U1071^2)+(('CAFCO 400 '!$D$9*LN(J1071)+'CAFCO 400 '!$D$10)*U1071)+('CAFCO 400 '!$D$11*LN(J1071)+'CAFCO 400 '!$D$12))),0)+IF(AND(L1071="Cafco 400",M1071="Software Idiem",C1071="C"),((('CAFCO 400 '!$L$7*(J1071^3)+'CAFCO 400 '!$L$8*(J1071^2)+'CAFCO 400 '!$L$9*J1071+'CAFCO 400 '!$L$10)*U1071^2)+(('CAFCO 400 '!$L$11*(J1071^3)+'CAFCO 400 '!$L$12*(J1071^2)+'CAFCO 400 '!$L$13*J1071+'CAFCO 400 '!$L$14)*U1071)+('CAFCO 400 '!$L$15*LN(J1071)+'CAFCO 400 '!$L$16)),0)+IF(AND(L1071="Cafco 400",M1071="Software Idiem",C1071="L"),((('CAFCO 400 '!$L$7*(J1071^3)+'CAFCO 400 '!$L$8*(J1071^2)+'CAFCO 400 '!$L$9*J1071+'CAFCO 400 '!$L$10)*U1071^2)+(('CAFCO 400 '!$L$11*(J1071^3)+'CAFCO 400 '!$L$12*(J1071^2)+'CAFCO 400 '!$L$13*J1071+'CAFCO 400 '!$L$14)*U1071)+('CAFCO 400 '!$L$15*LN(J1071)+'CAFCO 400 '!$L$16)),0)+IF(AND(L1071="Cafco 400",M1071="Software Idiem",C1071="IN",G1071=3),((('CAFCO 400 '!$D$23*(J1071^2)+'CAFCO 400 '!$D$24*(J1071)+'CAFCO 400 '!$D$25)*U1071^2)+(('CAFCO 400 '!$D$26*(J1071^2)+'CAFCO 400 '!$D$27*J1071+'CAFCO 400 '!$D$28)*U1071)+('CAFCO 400 '!$D$29*(J1071^2)+'CAFCO 400 '!$D$30*J1071+'CAFCO 400 '!$D$31)),0),0)+IF(AND(L1071="Cafco 300",J1071&gt;=95,J1071&lt;=240,C1071="Cj",I1071=90),VLOOKUP(T1071,'CAFCO 300 IDIEM TABLAS'!$B$4:$D$23,2,FALSE),0)+IF(AND(L1071="Cafco 300",J1071&gt;=95,J1071&lt;=240,C1071="Cj",I1071=120),VLOOKUP(T1071,'CAFCO 300 IDIEM TABLAS'!$B$4:$D$23,3,FALSE),0)+IF(AND(L1071="Cafco 300",J1071&gt;=95,J1071&lt;=400,G1071=3,C1071="IN",I1071=90),VLOOKUP(T1071,'CAFCO 300 IDIEM TABLAS'!$F$4:$H$35,2,FALSE),0)+IF(AND(L1071="Cafco 300",J1071&gt;=95,J1071&lt;=400,G1071=3,C1071="IN",I1071=120),VLOOKUP(T1071,'CAFCO 300 IDIEM TABLAS'!$F$4:$H$35,3,FALSE),0)+IF(AND(L1071="Cafco 300",J1071&gt;=95,J1071&lt;=450,G1071=4,C1071="IN",I1071=90),VLOOKUP(T1071,'CAFCO 300 IDIEM TABLAS'!$J$4:$L$40,2,FALSE),0)+IF(AND(L1071="Cafco 300",J1071&gt;=95,J1071&lt;=450,G1071=4,C1071="IN",I1071=120),VLOOKUP(T1071,'CAFCO 300 IDIEM TABLAS'!$J$4:$L$40,3,FALSE),0)+IF(AND(M1071="Ensayo Idiem",L1071="Cafco 400",C1071="IN",G1071=4,I1071=90),VLOOKUP(T1071,'CAFCO 400 ENSAYO'!$B$7:$D$43,2,FALSE),0)+IF(AND(M1071="Ensayo Idiem",L1071="Cafco 400",C1071="IN",G1071=4,I1071=120),VLOOKUP(T1071,'CAFCO 400 ENSAYO'!$B$7:$D$43,3,FALSE),0)</f>
        <v>0</v>
      </c>
      <c r="O1071" s="96">
        <f t="shared" si="108"/>
        <v>0</v>
      </c>
      <c r="P1071" s="132" t="str">
        <f t="shared" si="103"/>
        <v>N/A</v>
      </c>
      <c r="Q1071" s="132" t="str">
        <f t="shared" si="104"/>
        <v>N/A</v>
      </c>
      <c r="R1071" s="132" t="str">
        <f t="shared" si="105"/>
        <v>NO CERT.</v>
      </c>
      <c r="S1071" s="132" t="e">
        <f t="shared" si="106"/>
        <v>#N/A</v>
      </c>
      <c r="T1071" s="133" t="e">
        <f>+IF(J1071=LOOKUP(J1071,'CAFCO 300 IDIEM TABLAS'!$J$4:$J$40),'CALCULO MORTERO'!J1071,MROUND('CALCULO MORTERO'!J1071,10))</f>
        <v>#N/A</v>
      </c>
      <c r="U1071" s="134">
        <f t="shared" si="107"/>
        <v>0</v>
      </c>
    </row>
    <row r="1072" spans="1:21" x14ac:dyDescent="0.25">
      <c r="A1072" s="118">
        <f>+CUBICACION!D1066</f>
        <v>0</v>
      </c>
      <c r="B1072" s="819">
        <f>+CUBICACION!E1066</f>
        <v>0</v>
      </c>
      <c r="C1072" s="675">
        <f>+CUBICACION!F1066</f>
        <v>0</v>
      </c>
      <c r="D1072" s="118"/>
      <c r="E1072" s="118"/>
      <c r="F1072" s="820"/>
      <c r="G1072" s="675">
        <f>+CUBICACION!J1066</f>
        <v>0</v>
      </c>
      <c r="H1072" s="118"/>
      <c r="I1072" s="821">
        <f>+CUBICACION!L1066</f>
        <v>0</v>
      </c>
      <c r="J1072" s="64">
        <f>+CUBICACION!M1066</f>
        <v>0</v>
      </c>
      <c r="K1072" s="822" t="str">
        <f>+CUBICACION!N1066</f>
        <v/>
      </c>
      <c r="L1072" s="118">
        <f>+CUBICACION!O1066</f>
        <v>0</v>
      </c>
      <c r="M1072" s="823">
        <f>+CUBICACION!P1066</f>
        <v>0</v>
      </c>
      <c r="N1072" s="902">
        <f>ROUND(IF(AND(L1072="Blaze Shield II",M1072="Software Idiem",C1072="IN",G1072=4),((('BLAZE SHIELD II'!$D$4*('CALCULO MORTERO'!I1072^2)+'BLAZE SHIELD II'!$D$5*'CALCULO MORTERO'!I1072+'BLAZE SHIELD II'!$D$6)*LN(J1072))+('BLAZE SHIELD II'!$D$7*('CALCULO MORTERO'!I1072^2)+'BLAZE SHIELD II'!$D$8*'CALCULO MORTERO'!I1072+'BLAZE SHIELD II'!$D$9)),0)+IF(AND(L1072="Blaze Shield II",M1072="Software Idiem",C1072="Cj"),((('BLAZE SHIELD II'!$H$4*('CALCULO MORTERO'!I1072^2)+'BLAZE SHIELD II'!$H$5*'CALCULO MORTERO'!I1072+'BLAZE SHIELD II'!$H$6)*LN(J1072))+('BLAZE SHIELD II'!$H$7*('CALCULO MORTERO'!I1072^2)+'BLAZE SHIELD II'!$H$8*'CALCULO MORTERO'!I1072+'BLAZE SHIELD II'!$H$9)),0)+IF(AND(L1072="Blaze Shield II",M1072="Software Idiem",C1072="C"),((('BLAZE SHIELD II'!$L$4*('CALCULO MORTERO'!I1072^2)+'BLAZE SHIELD II'!$L$5*'CALCULO MORTERO'!I1072+'BLAZE SHIELD II'!$L$6)*LN(J1072))+('BLAZE SHIELD II'!$L$7*('CALCULO MORTERO'!I1072^2)+'BLAZE SHIELD II'!$L$8*'CALCULO MORTERO'!I1072+'BLAZE SHIELD II'!$L$9)),0)+IF(AND(L1072="Blaze Shield II",M1072="Software Idiem",C1072="L"),((('BLAZE SHIELD II'!$L$4*('CALCULO MORTERO'!I1072^2)+'BLAZE SHIELD II'!$L$5*'CALCULO MORTERO'!I1072+'BLAZE SHIELD II'!$L$6)*LN(J1072))+('BLAZE SHIELD II'!$L$7*('CALCULO MORTERO'!I1072^2)+'BLAZE SHIELD II'!$L$8*'CALCULO MORTERO'!I1072+'BLAZE SHIELD II'!$L$9)),0)+IF(AND(L1072="Blaze Shield II",M1072="Software Idiem",C1072="IN",G1072=3),((('BLAZE SHIELD II'!$H$14*('CALCULO MORTERO'!I1072^2)+'BLAZE SHIELD II'!$H$15*'CALCULO MORTERO'!I1072+'BLAZE SHIELD II'!$H$16)*LN(J1072))+('BLAZE SHIELD II'!$H$17*('CALCULO MORTERO'!I1072^2)+'BLAZE SHIELD II'!$H$18*'CALCULO MORTERO'!I1072+'BLAZE SHIELD II'!$H$19)),0),0)+ROUND(IF(AND(L1072="Cafco 400",M1072="Software Idiem",C1072="IN",G1072=4),((('CAFCO 400 '!$H$7*(J1072^4)+'CAFCO 400 '!$H$8*(J1072^3)+'CAFCO 400 '!$H$9*(J1072^2)+'CAFCO 400 '!$H$10*J1072+'CAFCO 400 '!$H$11)*U1072^2)+(('CAFCO 400 '!$H$12*(J1072^3)+'CAFCO 400 '!$H$13*(J1072^2)+'CAFCO 400 '!$H$14*J1072+'CAFCO 400 '!$H$15)*U1072)+('CAFCO 400 '!$H$16*(J1072^2)+'CAFCO 400 '!$H$17*J1072+'CAFCO 400 '!$H$18)),0)+IF(AND(L1072="Cafco 400",M1072="Software Idiem",C1072="Cj"),(((('CAFCO 400 '!$D$7*LN(J1072)+'CAFCO 400 '!$D$8)*U1072^2)+(('CAFCO 400 '!$D$9*LN(J1072)+'CAFCO 400 '!$D$10)*U1072)+('CAFCO 400 '!$D$11*LN(J1072)+'CAFCO 400 '!$D$12))),0)+IF(AND(L1072="Cafco 400",M1072="Software Idiem",C1072="C"),((('CAFCO 400 '!$L$7*(J1072^3)+'CAFCO 400 '!$L$8*(J1072^2)+'CAFCO 400 '!$L$9*J1072+'CAFCO 400 '!$L$10)*U1072^2)+(('CAFCO 400 '!$L$11*(J1072^3)+'CAFCO 400 '!$L$12*(J1072^2)+'CAFCO 400 '!$L$13*J1072+'CAFCO 400 '!$L$14)*U1072)+('CAFCO 400 '!$L$15*LN(J1072)+'CAFCO 400 '!$L$16)),0)+IF(AND(L1072="Cafco 400",M1072="Software Idiem",C1072="L"),((('CAFCO 400 '!$L$7*(J1072^3)+'CAFCO 400 '!$L$8*(J1072^2)+'CAFCO 400 '!$L$9*J1072+'CAFCO 400 '!$L$10)*U1072^2)+(('CAFCO 400 '!$L$11*(J1072^3)+'CAFCO 400 '!$L$12*(J1072^2)+'CAFCO 400 '!$L$13*J1072+'CAFCO 400 '!$L$14)*U1072)+('CAFCO 400 '!$L$15*LN(J1072)+'CAFCO 400 '!$L$16)),0)+IF(AND(L1072="Cafco 400",M1072="Software Idiem",C1072="IN",G1072=3),((('CAFCO 400 '!$D$23*(J1072^2)+'CAFCO 400 '!$D$24*(J1072)+'CAFCO 400 '!$D$25)*U1072^2)+(('CAFCO 400 '!$D$26*(J1072^2)+'CAFCO 400 '!$D$27*J1072+'CAFCO 400 '!$D$28)*U1072)+('CAFCO 400 '!$D$29*(J1072^2)+'CAFCO 400 '!$D$30*J1072+'CAFCO 400 '!$D$31)),0),0)+IF(AND(L1072="Cafco 300",J1072&gt;=95,J1072&lt;=240,C1072="Cj",I1072=90),VLOOKUP(T1072,'CAFCO 300 IDIEM TABLAS'!$B$4:$D$23,2,FALSE),0)+IF(AND(L1072="Cafco 300",J1072&gt;=95,J1072&lt;=240,C1072="Cj",I1072=120),VLOOKUP(T1072,'CAFCO 300 IDIEM TABLAS'!$B$4:$D$23,3,FALSE),0)+IF(AND(L1072="Cafco 300",J1072&gt;=95,J1072&lt;=400,G1072=3,C1072="IN",I1072=90),VLOOKUP(T1072,'CAFCO 300 IDIEM TABLAS'!$F$4:$H$35,2,FALSE),0)+IF(AND(L1072="Cafco 300",J1072&gt;=95,J1072&lt;=400,G1072=3,C1072="IN",I1072=120),VLOOKUP(T1072,'CAFCO 300 IDIEM TABLAS'!$F$4:$H$35,3,FALSE),0)+IF(AND(L1072="Cafco 300",J1072&gt;=95,J1072&lt;=450,G1072=4,C1072="IN",I1072=90),VLOOKUP(T1072,'CAFCO 300 IDIEM TABLAS'!$J$4:$L$40,2,FALSE),0)+IF(AND(L1072="Cafco 300",J1072&gt;=95,J1072&lt;=450,G1072=4,C1072="IN",I1072=120),VLOOKUP(T1072,'CAFCO 300 IDIEM TABLAS'!$J$4:$L$40,3,FALSE),0)+IF(AND(M1072="Ensayo Idiem",L1072="Cafco 400",C1072="IN",G1072=4,I1072=90),VLOOKUP(T1072,'CAFCO 400 ENSAYO'!$B$7:$D$43,2,FALSE),0)+IF(AND(M1072="Ensayo Idiem",L1072="Cafco 400",C1072="IN",G1072=4,I1072=120),VLOOKUP(T1072,'CAFCO 400 ENSAYO'!$B$7:$D$43,3,FALSE),0)</f>
        <v>0</v>
      </c>
      <c r="O1072" s="96">
        <f t="shared" si="108"/>
        <v>0</v>
      </c>
      <c r="P1072" s="95" t="str">
        <f t="shared" si="103"/>
        <v>N/A</v>
      </c>
      <c r="Q1072" s="95" t="str">
        <f t="shared" si="104"/>
        <v>N/A</v>
      </c>
      <c r="R1072" s="95" t="str">
        <f t="shared" si="105"/>
        <v>NO CERT.</v>
      </c>
      <c r="S1072" s="95" t="e">
        <f t="shared" si="106"/>
        <v>#N/A</v>
      </c>
      <c r="T1072" s="119" t="e">
        <f>+IF(J1072=LOOKUP(J1072,'CAFCO 300 IDIEM TABLAS'!$J$4:$J$40),'CALCULO MORTERO'!J1072,MROUND('CALCULO MORTERO'!J1072,10))</f>
        <v>#N/A</v>
      </c>
      <c r="U1072" s="118">
        <f t="shared" si="107"/>
        <v>0</v>
      </c>
    </row>
    <row r="1073" spans="1:21" x14ac:dyDescent="0.25">
      <c r="A1073" s="118">
        <f>+CUBICACION!D1067</f>
        <v>0</v>
      </c>
      <c r="B1073" s="819">
        <f>+CUBICACION!E1067</f>
        <v>0</v>
      </c>
      <c r="C1073" s="675">
        <f>+CUBICACION!F1067</f>
        <v>0</v>
      </c>
      <c r="D1073" s="118"/>
      <c r="E1073" s="118"/>
      <c r="F1073" s="820"/>
      <c r="G1073" s="675">
        <f>+CUBICACION!J1067</f>
        <v>0</v>
      </c>
      <c r="H1073" s="118"/>
      <c r="I1073" s="821">
        <f>+CUBICACION!L1067</f>
        <v>0</v>
      </c>
      <c r="J1073" s="64">
        <f>+CUBICACION!M1067</f>
        <v>0</v>
      </c>
      <c r="K1073" s="822" t="str">
        <f>+CUBICACION!N1067</f>
        <v/>
      </c>
      <c r="L1073" s="118">
        <f>+CUBICACION!O1067</f>
        <v>0</v>
      </c>
      <c r="M1073" s="823">
        <f>+CUBICACION!P1067</f>
        <v>0</v>
      </c>
      <c r="N1073" s="902">
        <f>ROUND(IF(AND(L1073="Blaze Shield II",M1073="Software Idiem",C1073="IN",G1073=4),((('BLAZE SHIELD II'!$D$4*('CALCULO MORTERO'!I1073^2)+'BLAZE SHIELD II'!$D$5*'CALCULO MORTERO'!I1073+'BLAZE SHIELD II'!$D$6)*LN(J1073))+('BLAZE SHIELD II'!$D$7*('CALCULO MORTERO'!I1073^2)+'BLAZE SHIELD II'!$D$8*'CALCULO MORTERO'!I1073+'BLAZE SHIELD II'!$D$9)),0)+IF(AND(L1073="Blaze Shield II",M1073="Software Idiem",C1073="Cj"),((('BLAZE SHIELD II'!$H$4*('CALCULO MORTERO'!I1073^2)+'BLAZE SHIELD II'!$H$5*'CALCULO MORTERO'!I1073+'BLAZE SHIELD II'!$H$6)*LN(J1073))+('BLAZE SHIELD II'!$H$7*('CALCULO MORTERO'!I1073^2)+'BLAZE SHIELD II'!$H$8*'CALCULO MORTERO'!I1073+'BLAZE SHIELD II'!$H$9)),0)+IF(AND(L1073="Blaze Shield II",M1073="Software Idiem",C1073="C"),((('BLAZE SHIELD II'!$L$4*('CALCULO MORTERO'!I1073^2)+'BLAZE SHIELD II'!$L$5*'CALCULO MORTERO'!I1073+'BLAZE SHIELD II'!$L$6)*LN(J1073))+('BLAZE SHIELD II'!$L$7*('CALCULO MORTERO'!I1073^2)+'BLAZE SHIELD II'!$L$8*'CALCULO MORTERO'!I1073+'BLAZE SHIELD II'!$L$9)),0)+IF(AND(L1073="Blaze Shield II",M1073="Software Idiem",C1073="L"),((('BLAZE SHIELD II'!$L$4*('CALCULO MORTERO'!I1073^2)+'BLAZE SHIELD II'!$L$5*'CALCULO MORTERO'!I1073+'BLAZE SHIELD II'!$L$6)*LN(J1073))+('BLAZE SHIELD II'!$L$7*('CALCULO MORTERO'!I1073^2)+'BLAZE SHIELD II'!$L$8*'CALCULO MORTERO'!I1073+'BLAZE SHIELD II'!$L$9)),0)+IF(AND(L1073="Blaze Shield II",M1073="Software Idiem",C1073="IN",G1073=3),((('BLAZE SHIELD II'!$H$14*('CALCULO MORTERO'!I1073^2)+'BLAZE SHIELD II'!$H$15*'CALCULO MORTERO'!I1073+'BLAZE SHIELD II'!$H$16)*LN(J1073))+('BLAZE SHIELD II'!$H$17*('CALCULO MORTERO'!I1073^2)+'BLAZE SHIELD II'!$H$18*'CALCULO MORTERO'!I1073+'BLAZE SHIELD II'!$H$19)),0),0)+ROUND(IF(AND(L1073="Cafco 400",M1073="Software Idiem",C1073="IN",G1073=4),((('CAFCO 400 '!$H$7*(J1073^4)+'CAFCO 400 '!$H$8*(J1073^3)+'CAFCO 400 '!$H$9*(J1073^2)+'CAFCO 400 '!$H$10*J1073+'CAFCO 400 '!$H$11)*U1073^2)+(('CAFCO 400 '!$H$12*(J1073^3)+'CAFCO 400 '!$H$13*(J1073^2)+'CAFCO 400 '!$H$14*J1073+'CAFCO 400 '!$H$15)*U1073)+('CAFCO 400 '!$H$16*(J1073^2)+'CAFCO 400 '!$H$17*J1073+'CAFCO 400 '!$H$18)),0)+IF(AND(L1073="Cafco 400",M1073="Software Idiem",C1073="Cj"),(((('CAFCO 400 '!$D$7*LN(J1073)+'CAFCO 400 '!$D$8)*U1073^2)+(('CAFCO 400 '!$D$9*LN(J1073)+'CAFCO 400 '!$D$10)*U1073)+('CAFCO 400 '!$D$11*LN(J1073)+'CAFCO 400 '!$D$12))),0)+IF(AND(L1073="Cafco 400",M1073="Software Idiem",C1073="C"),((('CAFCO 400 '!$L$7*(J1073^3)+'CAFCO 400 '!$L$8*(J1073^2)+'CAFCO 400 '!$L$9*J1073+'CAFCO 400 '!$L$10)*U1073^2)+(('CAFCO 400 '!$L$11*(J1073^3)+'CAFCO 400 '!$L$12*(J1073^2)+'CAFCO 400 '!$L$13*J1073+'CAFCO 400 '!$L$14)*U1073)+('CAFCO 400 '!$L$15*LN(J1073)+'CAFCO 400 '!$L$16)),0)+IF(AND(L1073="Cafco 400",M1073="Software Idiem",C1073="L"),((('CAFCO 400 '!$L$7*(J1073^3)+'CAFCO 400 '!$L$8*(J1073^2)+'CAFCO 400 '!$L$9*J1073+'CAFCO 400 '!$L$10)*U1073^2)+(('CAFCO 400 '!$L$11*(J1073^3)+'CAFCO 400 '!$L$12*(J1073^2)+'CAFCO 400 '!$L$13*J1073+'CAFCO 400 '!$L$14)*U1073)+('CAFCO 400 '!$L$15*LN(J1073)+'CAFCO 400 '!$L$16)),0)+IF(AND(L1073="Cafco 400",M1073="Software Idiem",C1073="IN",G1073=3),((('CAFCO 400 '!$D$23*(J1073^2)+'CAFCO 400 '!$D$24*(J1073)+'CAFCO 400 '!$D$25)*U1073^2)+(('CAFCO 400 '!$D$26*(J1073^2)+'CAFCO 400 '!$D$27*J1073+'CAFCO 400 '!$D$28)*U1073)+('CAFCO 400 '!$D$29*(J1073^2)+'CAFCO 400 '!$D$30*J1073+'CAFCO 400 '!$D$31)),0),0)+IF(AND(L1073="Cafco 300",J1073&gt;=95,J1073&lt;=240,C1073="Cj",I1073=90),VLOOKUP(T1073,'CAFCO 300 IDIEM TABLAS'!$B$4:$D$23,2,FALSE),0)+IF(AND(L1073="Cafco 300",J1073&gt;=95,J1073&lt;=240,C1073="Cj",I1073=120),VLOOKUP(T1073,'CAFCO 300 IDIEM TABLAS'!$B$4:$D$23,3,FALSE),0)+IF(AND(L1073="Cafco 300",J1073&gt;=95,J1073&lt;=400,G1073=3,C1073="IN",I1073=90),VLOOKUP(T1073,'CAFCO 300 IDIEM TABLAS'!$F$4:$H$35,2,FALSE),0)+IF(AND(L1073="Cafco 300",J1073&gt;=95,J1073&lt;=400,G1073=3,C1073="IN",I1073=120),VLOOKUP(T1073,'CAFCO 300 IDIEM TABLAS'!$F$4:$H$35,3,FALSE),0)+IF(AND(L1073="Cafco 300",J1073&gt;=95,J1073&lt;=450,G1073=4,C1073="IN",I1073=90),VLOOKUP(T1073,'CAFCO 300 IDIEM TABLAS'!$J$4:$L$40,2,FALSE),0)+IF(AND(L1073="Cafco 300",J1073&gt;=95,J1073&lt;=450,G1073=4,C1073="IN",I1073=120),VLOOKUP(T1073,'CAFCO 300 IDIEM TABLAS'!$J$4:$L$40,3,FALSE),0)+IF(AND(M1073="Ensayo Idiem",L1073="Cafco 400",C1073="IN",G1073=4,I1073=90),VLOOKUP(T1073,'CAFCO 400 ENSAYO'!$B$7:$D$43,2,FALSE),0)+IF(AND(M1073="Ensayo Idiem",L1073="Cafco 400",C1073="IN",G1073=4,I1073=120),VLOOKUP(T1073,'CAFCO 400 ENSAYO'!$B$7:$D$43,3,FALSE),0)</f>
        <v>0</v>
      </c>
      <c r="O1073" s="96">
        <f t="shared" si="108"/>
        <v>0</v>
      </c>
      <c r="P1073" s="132" t="str">
        <f t="shared" si="103"/>
        <v>N/A</v>
      </c>
      <c r="Q1073" s="132" t="str">
        <f t="shared" si="104"/>
        <v>N/A</v>
      </c>
      <c r="R1073" s="132" t="str">
        <f t="shared" si="105"/>
        <v>NO CERT.</v>
      </c>
      <c r="S1073" s="132" t="e">
        <f t="shared" si="106"/>
        <v>#N/A</v>
      </c>
      <c r="T1073" s="133" t="e">
        <f>+IF(J1073=LOOKUP(J1073,'CAFCO 300 IDIEM TABLAS'!$J$4:$J$40),'CALCULO MORTERO'!J1073,MROUND('CALCULO MORTERO'!J1073,10))</f>
        <v>#N/A</v>
      </c>
      <c r="U1073" s="134">
        <f t="shared" si="107"/>
        <v>0</v>
      </c>
    </row>
    <row r="1074" spans="1:21" x14ac:dyDescent="0.25">
      <c r="A1074" s="118">
        <f>+CUBICACION!D1068</f>
        <v>0</v>
      </c>
      <c r="B1074" s="819">
        <f>+CUBICACION!E1068</f>
        <v>0</v>
      </c>
      <c r="C1074" s="675">
        <f>+CUBICACION!F1068</f>
        <v>0</v>
      </c>
      <c r="D1074" s="118"/>
      <c r="E1074" s="118"/>
      <c r="F1074" s="820"/>
      <c r="G1074" s="675">
        <f>+CUBICACION!J1068</f>
        <v>0</v>
      </c>
      <c r="H1074" s="118"/>
      <c r="I1074" s="821">
        <f>+CUBICACION!L1068</f>
        <v>0</v>
      </c>
      <c r="J1074" s="64">
        <f>+CUBICACION!M1068</f>
        <v>0</v>
      </c>
      <c r="K1074" s="822" t="str">
        <f>+CUBICACION!N1068</f>
        <v/>
      </c>
      <c r="L1074" s="118">
        <f>+CUBICACION!O1068</f>
        <v>0</v>
      </c>
      <c r="M1074" s="823">
        <f>+CUBICACION!P1068</f>
        <v>0</v>
      </c>
      <c r="N1074" s="902">
        <f>ROUND(IF(AND(L1074="Blaze Shield II",M1074="Software Idiem",C1074="IN",G1074=4),((('BLAZE SHIELD II'!$D$4*('CALCULO MORTERO'!I1074^2)+'BLAZE SHIELD II'!$D$5*'CALCULO MORTERO'!I1074+'BLAZE SHIELD II'!$D$6)*LN(J1074))+('BLAZE SHIELD II'!$D$7*('CALCULO MORTERO'!I1074^2)+'BLAZE SHIELD II'!$D$8*'CALCULO MORTERO'!I1074+'BLAZE SHIELD II'!$D$9)),0)+IF(AND(L1074="Blaze Shield II",M1074="Software Idiem",C1074="Cj"),((('BLAZE SHIELD II'!$H$4*('CALCULO MORTERO'!I1074^2)+'BLAZE SHIELD II'!$H$5*'CALCULO MORTERO'!I1074+'BLAZE SHIELD II'!$H$6)*LN(J1074))+('BLAZE SHIELD II'!$H$7*('CALCULO MORTERO'!I1074^2)+'BLAZE SHIELD II'!$H$8*'CALCULO MORTERO'!I1074+'BLAZE SHIELD II'!$H$9)),0)+IF(AND(L1074="Blaze Shield II",M1074="Software Idiem",C1074="C"),((('BLAZE SHIELD II'!$L$4*('CALCULO MORTERO'!I1074^2)+'BLAZE SHIELD II'!$L$5*'CALCULO MORTERO'!I1074+'BLAZE SHIELD II'!$L$6)*LN(J1074))+('BLAZE SHIELD II'!$L$7*('CALCULO MORTERO'!I1074^2)+'BLAZE SHIELD II'!$L$8*'CALCULO MORTERO'!I1074+'BLAZE SHIELD II'!$L$9)),0)+IF(AND(L1074="Blaze Shield II",M1074="Software Idiem",C1074="L"),((('BLAZE SHIELD II'!$L$4*('CALCULO MORTERO'!I1074^2)+'BLAZE SHIELD II'!$L$5*'CALCULO MORTERO'!I1074+'BLAZE SHIELD II'!$L$6)*LN(J1074))+('BLAZE SHIELD II'!$L$7*('CALCULO MORTERO'!I1074^2)+'BLAZE SHIELD II'!$L$8*'CALCULO MORTERO'!I1074+'BLAZE SHIELD II'!$L$9)),0)+IF(AND(L1074="Blaze Shield II",M1074="Software Idiem",C1074="IN",G1074=3),((('BLAZE SHIELD II'!$H$14*('CALCULO MORTERO'!I1074^2)+'BLAZE SHIELD II'!$H$15*'CALCULO MORTERO'!I1074+'BLAZE SHIELD II'!$H$16)*LN(J1074))+('BLAZE SHIELD II'!$H$17*('CALCULO MORTERO'!I1074^2)+'BLAZE SHIELD II'!$H$18*'CALCULO MORTERO'!I1074+'BLAZE SHIELD II'!$H$19)),0),0)+ROUND(IF(AND(L1074="Cafco 400",M1074="Software Idiem",C1074="IN",G1074=4),((('CAFCO 400 '!$H$7*(J1074^4)+'CAFCO 400 '!$H$8*(J1074^3)+'CAFCO 400 '!$H$9*(J1074^2)+'CAFCO 400 '!$H$10*J1074+'CAFCO 400 '!$H$11)*U1074^2)+(('CAFCO 400 '!$H$12*(J1074^3)+'CAFCO 400 '!$H$13*(J1074^2)+'CAFCO 400 '!$H$14*J1074+'CAFCO 400 '!$H$15)*U1074)+('CAFCO 400 '!$H$16*(J1074^2)+'CAFCO 400 '!$H$17*J1074+'CAFCO 400 '!$H$18)),0)+IF(AND(L1074="Cafco 400",M1074="Software Idiem",C1074="Cj"),(((('CAFCO 400 '!$D$7*LN(J1074)+'CAFCO 400 '!$D$8)*U1074^2)+(('CAFCO 400 '!$D$9*LN(J1074)+'CAFCO 400 '!$D$10)*U1074)+('CAFCO 400 '!$D$11*LN(J1074)+'CAFCO 400 '!$D$12))),0)+IF(AND(L1074="Cafco 400",M1074="Software Idiem",C1074="C"),((('CAFCO 400 '!$L$7*(J1074^3)+'CAFCO 400 '!$L$8*(J1074^2)+'CAFCO 400 '!$L$9*J1074+'CAFCO 400 '!$L$10)*U1074^2)+(('CAFCO 400 '!$L$11*(J1074^3)+'CAFCO 400 '!$L$12*(J1074^2)+'CAFCO 400 '!$L$13*J1074+'CAFCO 400 '!$L$14)*U1074)+('CAFCO 400 '!$L$15*LN(J1074)+'CAFCO 400 '!$L$16)),0)+IF(AND(L1074="Cafco 400",M1074="Software Idiem",C1074="L"),((('CAFCO 400 '!$L$7*(J1074^3)+'CAFCO 400 '!$L$8*(J1074^2)+'CAFCO 400 '!$L$9*J1074+'CAFCO 400 '!$L$10)*U1074^2)+(('CAFCO 400 '!$L$11*(J1074^3)+'CAFCO 400 '!$L$12*(J1074^2)+'CAFCO 400 '!$L$13*J1074+'CAFCO 400 '!$L$14)*U1074)+('CAFCO 400 '!$L$15*LN(J1074)+'CAFCO 400 '!$L$16)),0)+IF(AND(L1074="Cafco 400",M1074="Software Idiem",C1074="IN",G1074=3),((('CAFCO 400 '!$D$23*(J1074^2)+'CAFCO 400 '!$D$24*(J1074)+'CAFCO 400 '!$D$25)*U1074^2)+(('CAFCO 400 '!$D$26*(J1074^2)+'CAFCO 400 '!$D$27*J1074+'CAFCO 400 '!$D$28)*U1074)+('CAFCO 400 '!$D$29*(J1074^2)+'CAFCO 400 '!$D$30*J1074+'CAFCO 400 '!$D$31)),0),0)+IF(AND(L1074="Cafco 300",J1074&gt;=95,J1074&lt;=240,C1074="Cj",I1074=90),VLOOKUP(T1074,'CAFCO 300 IDIEM TABLAS'!$B$4:$D$23,2,FALSE),0)+IF(AND(L1074="Cafco 300",J1074&gt;=95,J1074&lt;=240,C1074="Cj",I1074=120),VLOOKUP(T1074,'CAFCO 300 IDIEM TABLAS'!$B$4:$D$23,3,FALSE),0)+IF(AND(L1074="Cafco 300",J1074&gt;=95,J1074&lt;=400,G1074=3,C1074="IN",I1074=90),VLOOKUP(T1074,'CAFCO 300 IDIEM TABLAS'!$F$4:$H$35,2,FALSE),0)+IF(AND(L1074="Cafco 300",J1074&gt;=95,J1074&lt;=400,G1074=3,C1074="IN",I1074=120),VLOOKUP(T1074,'CAFCO 300 IDIEM TABLAS'!$F$4:$H$35,3,FALSE),0)+IF(AND(L1074="Cafco 300",J1074&gt;=95,J1074&lt;=450,G1074=4,C1074="IN",I1074=90),VLOOKUP(T1074,'CAFCO 300 IDIEM TABLAS'!$J$4:$L$40,2,FALSE),0)+IF(AND(L1074="Cafco 300",J1074&gt;=95,J1074&lt;=450,G1074=4,C1074="IN",I1074=120),VLOOKUP(T1074,'CAFCO 300 IDIEM TABLAS'!$J$4:$L$40,3,FALSE),0)+IF(AND(M1074="Ensayo Idiem",L1074="Cafco 400",C1074="IN",G1074=4,I1074=90),VLOOKUP(T1074,'CAFCO 400 ENSAYO'!$B$7:$D$43,2,FALSE),0)+IF(AND(M1074="Ensayo Idiem",L1074="Cafco 400",C1074="IN",G1074=4,I1074=120),VLOOKUP(T1074,'CAFCO 400 ENSAYO'!$B$7:$D$43,3,FALSE),0)</f>
        <v>0</v>
      </c>
      <c r="O1074" s="96">
        <f t="shared" si="108"/>
        <v>0</v>
      </c>
      <c r="P1074" s="95" t="str">
        <f t="shared" ref="P1074:P1137" si="109">IF(AND(M1074="Software Idiem"),IF(AND(C1074="IN",G1074=4,J1074&gt;=50,J1074&lt;=500),"CERT.",IF(AND(C1074="Cj",J1074&gt;=50,J1074&lt;=500),"CERT.",IF(AND(C1074="C",J1074&gt;=50,J1074&lt;=1000),"CERT.",IF(AND(C1074="L",J1074&gt;=50,J1074&lt;=1000),"CERT.",IF(AND(C1074="IN",G1074=3,J1074&gt;=50,J1074&lt;=500),"CERT.","NO CERT."))))),"N/A")</f>
        <v>N/A</v>
      </c>
      <c r="Q1074" s="95" t="str">
        <f t="shared" ref="Q1074:Q1137" si="110">IF(AND(M1074="Software Idiem"),IF(AND(C1074="IN",G1074=4,J1074&gt;=50,J1074&lt;=500),"CERT.",IF(AND(C1074="Cj",J1074&gt;=50,J1074&lt;=500),"CERT.",IF(AND(C1074="C",J1074&gt;=50,J1074&lt;=1000),"CERT.",IF(AND(C1074="L",J1074&gt;=50,J1074&lt;=1000),"CERT.",IF(AND(C1074="IN",G1074=3,J1074&gt;=50,J1074&lt;=500),"CERT.","NO CERT."))))),"N/A")</f>
        <v>N/A</v>
      </c>
      <c r="R1074" s="95" t="str">
        <f t="shared" ref="R1074:R1137" si="111">IF(AND(C1074="IN",G1074=4,J1074&gt;=95,J1074&lt;=450,I1074=90),"CERT.",IF(AND(C1074="IN",G1074=4,J1074&gt;=95,J1074&lt;=450,I1074=120),"CERT.","NO CERT."))</f>
        <v>NO CERT.</v>
      </c>
      <c r="S1074" s="95" t="e">
        <f t="shared" ref="S1074:S1137" si="112">IF(AND(C1074="Cj",I1074=90,T1074&lt;=240),"CERT.",IF(AND(C1074="Cj",I1074=120,T1074&lt;=240),"CERT.",IF(AND(C1074="IN",G1074=3,I1074=90,T1074&lt;=400),"CERT.",IF(AND(C1074="IN",G1074=3,I1074=120,T1074&lt;=400),"CERT.",IF(AND(C1074="IN",G1074=4,I1074=90,T1074&lt;=450),"CERT.",IF(AND(C1074="IN",G1074=4,I1074=120,T1074&lt;=450),"CERT.","NO CERT."))))))</f>
        <v>#N/A</v>
      </c>
      <c r="T1074" s="119" t="e">
        <f>+IF(J1074=LOOKUP(J1074,'CAFCO 300 IDIEM TABLAS'!$J$4:$J$40),'CALCULO MORTERO'!J1074,MROUND('CALCULO MORTERO'!J1074,10))</f>
        <v>#N/A</v>
      </c>
      <c r="U1074" s="118">
        <f t="shared" ref="U1074:U1137" si="113">+I1074*60</f>
        <v>0</v>
      </c>
    </row>
    <row r="1075" spans="1:21" x14ac:dyDescent="0.25">
      <c r="A1075" s="118">
        <f>+CUBICACION!D1069</f>
        <v>0</v>
      </c>
      <c r="B1075" s="819">
        <f>+CUBICACION!E1069</f>
        <v>0</v>
      </c>
      <c r="C1075" s="675">
        <f>+CUBICACION!F1069</f>
        <v>0</v>
      </c>
      <c r="D1075" s="118"/>
      <c r="E1075" s="118"/>
      <c r="F1075" s="820"/>
      <c r="G1075" s="675">
        <f>+CUBICACION!J1069</f>
        <v>0</v>
      </c>
      <c r="H1075" s="118"/>
      <c r="I1075" s="821">
        <f>+CUBICACION!L1069</f>
        <v>0</v>
      </c>
      <c r="J1075" s="64">
        <f>+CUBICACION!M1069</f>
        <v>0</v>
      </c>
      <c r="K1075" s="822" t="str">
        <f>+CUBICACION!N1069</f>
        <v/>
      </c>
      <c r="L1075" s="118">
        <f>+CUBICACION!O1069</f>
        <v>0</v>
      </c>
      <c r="M1075" s="823">
        <f>+CUBICACION!P1069</f>
        <v>0</v>
      </c>
      <c r="N1075" s="902">
        <f>ROUND(IF(AND(L1075="Blaze Shield II",M1075="Software Idiem",C1075="IN",G1075=4),((('BLAZE SHIELD II'!$D$4*('CALCULO MORTERO'!I1075^2)+'BLAZE SHIELD II'!$D$5*'CALCULO MORTERO'!I1075+'BLAZE SHIELD II'!$D$6)*LN(J1075))+('BLAZE SHIELD II'!$D$7*('CALCULO MORTERO'!I1075^2)+'BLAZE SHIELD II'!$D$8*'CALCULO MORTERO'!I1075+'BLAZE SHIELD II'!$D$9)),0)+IF(AND(L1075="Blaze Shield II",M1075="Software Idiem",C1075="Cj"),((('BLAZE SHIELD II'!$H$4*('CALCULO MORTERO'!I1075^2)+'BLAZE SHIELD II'!$H$5*'CALCULO MORTERO'!I1075+'BLAZE SHIELD II'!$H$6)*LN(J1075))+('BLAZE SHIELD II'!$H$7*('CALCULO MORTERO'!I1075^2)+'BLAZE SHIELD II'!$H$8*'CALCULO MORTERO'!I1075+'BLAZE SHIELD II'!$H$9)),0)+IF(AND(L1075="Blaze Shield II",M1075="Software Idiem",C1075="C"),((('BLAZE SHIELD II'!$L$4*('CALCULO MORTERO'!I1075^2)+'BLAZE SHIELD II'!$L$5*'CALCULO MORTERO'!I1075+'BLAZE SHIELD II'!$L$6)*LN(J1075))+('BLAZE SHIELD II'!$L$7*('CALCULO MORTERO'!I1075^2)+'BLAZE SHIELD II'!$L$8*'CALCULO MORTERO'!I1075+'BLAZE SHIELD II'!$L$9)),0)+IF(AND(L1075="Blaze Shield II",M1075="Software Idiem",C1075="L"),((('BLAZE SHIELD II'!$L$4*('CALCULO MORTERO'!I1075^2)+'BLAZE SHIELD II'!$L$5*'CALCULO MORTERO'!I1075+'BLAZE SHIELD II'!$L$6)*LN(J1075))+('BLAZE SHIELD II'!$L$7*('CALCULO MORTERO'!I1075^2)+'BLAZE SHIELD II'!$L$8*'CALCULO MORTERO'!I1075+'BLAZE SHIELD II'!$L$9)),0)+IF(AND(L1075="Blaze Shield II",M1075="Software Idiem",C1075="IN",G1075=3),((('BLAZE SHIELD II'!$H$14*('CALCULO MORTERO'!I1075^2)+'BLAZE SHIELD II'!$H$15*'CALCULO MORTERO'!I1075+'BLAZE SHIELD II'!$H$16)*LN(J1075))+('BLAZE SHIELD II'!$H$17*('CALCULO MORTERO'!I1075^2)+'BLAZE SHIELD II'!$H$18*'CALCULO MORTERO'!I1075+'BLAZE SHIELD II'!$H$19)),0),0)+ROUND(IF(AND(L1075="Cafco 400",M1075="Software Idiem",C1075="IN",G1075=4),((('CAFCO 400 '!$H$7*(J1075^4)+'CAFCO 400 '!$H$8*(J1075^3)+'CAFCO 400 '!$H$9*(J1075^2)+'CAFCO 400 '!$H$10*J1075+'CAFCO 400 '!$H$11)*U1075^2)+(('CAFCO 400 '!$H$12*(J1075^3)+'CAFCO 400 '!$H$13*(J1075^2)+'CAFCO 400 '!$H$14*J1075+'CAFCO 400 '!$H$15)*U1075)+('CAFCO 400 '!$H$16*(J1075^2)+'CAFCO 400 '!$H$17*J1075+'CAFCO 400 '!$H$18)),0)+IF(AND(L1075="Cafco 400",M1075="Software Idiem",C1075="Cj"),(((('CAFCO 400 '!$D$7*LN(J1075)+'CAFCO 400 '!$D$8)*U1075^2)+(('CAFCO 400 '!$D$9*LN(J1075)+'CAFCO 400 '!$D$10)*U1075)+('CAFCO 400 '!$D$11*LN(J1075)+'CAFCO 400 '!$D$12))),0)+IF(AND(L1075="Cafco 400",M1075="Software Idiem",C1075="C"),((('CAFCO 400 '!$L$7*(J1075^3)+'CAFCO 400 '!$L$8*(J1075^2)+'CAFCO 400 '!$L$9*J1075+'CAFCO 400 '!$L$10)*U1075^2)+(('CAFCO 400 '!$L$11*(J1075^3)+'CAFCO 400 '!$L$12*(J1075^2)+'CAFCO 400 '!$L$13*J1075+'CAFCO 400 '!$L$14)*U1075)+('CAFCO 400 '!$L$15*LN(J1075)+'CAFCO 400 '!$L$16)),0)+IF(AND(L1075="Cafco 400",M1075="Software Idiem",C1075="L"),((('CAFCO 400 '!$L$7*(J1075^3)+'CAFCO 400 '!$L$8*(J1075^2)+'CAFCO 400 '!$L$9*J1075+'CAFCO 400 '!$L$10)*U1075^2)+(('CAFCO 400 '!$L$11*(J1075^3)+'CAFCO 400 '!$L$12*(J1075^2)+'CAFCO 400 '!$L$13*J1075+'CAFCO 400 '!$L$14)*U1075)+('CAFCO 400 '!$L$15*LN(J1075)+'CAFCO 400 '!$L$16)),0)+IF(AND(L1075="Cafco 400",M1075="Software Idiem",C1075="IN",G1075=3),((('CAFCO 400 '!$D$23*(J1075^2)+'CAFCO 400 '!$D$24*(J1075)+'CAFCO 400 '!$D$25)*U1075^2)+(('CAFCO 400 '!$D$26*(J1075^2)+'CAFCO 400 '!$D$27*J1075+'CAFCO 400 '!$D$28)*U1075)+('CAFCO 400 '!$D$29*(J1075^2)+'CAFCO 400 '!$D$30*J1075+'CAFCO 400 '!$D$31)),0),0)+IF(AND(L1075="Cafco 300",J1075&gt;=95,J1075&lt;=240,C1075="Cj",I1075=90),VLOOKUP(T1075,'CAFCO 300 IDIEM TABLAS'!$B$4:$D$23,2,FALSE),0)+IF(AND(L1075="Cafco 300",J1075&gt;=95,J1075&lt;=240,C1075="Cj",I1075=120),VLOOKUP(T1075,'CAFCO 300 IDIEM TABLAS'!$B$4:$D$23,3,FALSE),0)+IF(AND(L1075="Cafco 300",J1075&gt;=95,J1075&lt;=400,G1075=3,C1075="IN",I1075=90),VLOOKUP(T1075,'CAFCO 300 IDIEM TABLAS'!$F$4:$H$35,2,FALSE),0)+IF(AND(L1075="Cafco 300",J1075&gt;=95,J1075&lt;=400,G1075=3,C1075="IN",I1075=120),VLOOKUP(T1075,'CAFCO 300 IDIEM TABLAS'!$F$4:$H$35,3,FALSE),0)+IF(AND(L1075="Cafco 300",J1075&gt;=95,J1075&lt;=450,G1075=4,C1075="IN",I1075=90),VLOOKUP(T1075,'CAFCO 300 IDIEM TABLAS'!$J$4:$L$40,2,FALSE),0)+IF(AND(L1075="Cafco 300",J1075&gt;=95,J1075&lt;=450,G1075=4,C1075="IN",I1075=120),VLOOKUP(T1075,'CAFCO 300 IDIEM TABLAS'!$J$4:$L$40,3,FALSE),0)+IF(AND(M1075="Ensayo Idiem",L1075="Cafco 400",C1075="IN",G1075=4,I1075=90),VLOOKUP(T1075,'CAFCO 400 ENSAYO'!$B$7:$D$43,2,FALSE),0)+IF(AND(M1075="Ensayo Idiem",L1075="Cafco 400",C1075="IN",G1075=4,I1075=120),VLOOKUP(T1075,'CAFCO 400 ENSAYO'!$B$7:$D$43,3,FALSE),0)</f>
        <v>0</v>
      </c>
      <c r="O1075" s="96">
        <f t="shared" si="108"/>
        <v>0</v>
      </c>
      <c r="P1075" s="132" t="str">
        <f t="shared" si="109"/>
        <v>N/A</v>
      </c>
      <c r="Q1075" s="132" t="str">
        <f t="shared" si="110"/>
        <v>N/A</v>
      </c>
      <c r="R1075" s="132" t="str">
        <f t="shared" si="111"/>
        <v>NO CERT.</v>
      </c>
      <c r="S1075" s="132" t="e">
        <f t="shared" si="112"/>
        <v>#N/A</v>
      </c>
      <c r="T1075" s="133" t="e">
        <f>+IF(J1075=LOOKUP(J1075,'CAFCO 300 IDIEM TABLAS'!$J$4:$J$40),'CALCULO MORTERO'!J1075,MROUND('CALCULO MORTERO'!J1075,10))</f>
        <v>#N/A</v>
      </c>
      <c r="U1075" s="134">
        <f t="shared" si="113"/>
        <v>0</v>
      </c>
    </row>
    <row r="1076" spans="1:21" x14ac:dyDescent="0.25">
      <c r="A1076" s="118">
        <f>+CUBICACION!D1070</f>
        <v>0</v>
      </c>
      <c r="B1076" s="819">
        <f>+CUBICACION!E1070</f>
        <v>0</v>
      </c>
      <c r="C1076" s="675">
        <f>+CUBICACION!F1070</f>
        <v>0</v>
      </c>
      <c r="D1076" s="118"/>
      <c r="E1076" s="118"/>
      <c r="F1076" s="820"/>
      <c r="G1076" s="675">
        <f>+CUBICACION!J1070</f>
        <v>0</v>
      </c>
      <c r="H1076" s="118"/>
      <c r="I1076" s="821">
        <f>+CUBICACION!L1070</f>
        <v>0</v>
      </c>
      <c r="J1076" s="64">
        <f>+CUBICACION!M1070</f>
        <v>0</v>
      </c>
      <c r="K1076" s="822" t="str">
        <f>+CUBICACION!N1070</f>
        <v/>
      </c>
      <c r="L1076" s="118">
        <f>+CUBICACION!O1070</f>
        <v>0</v>
      </c>
      <c r="M1076" s="823">
        <f>+CUBICACION!P1070</f>
        <v>0</v>
      </c>
      <c r="N1076" s="902">
        <f>ROUND(IF(AND(L1076="Blaze Shield II",M1076="Software Idiem",C1076="IN",G1076=4),((('BLAZE SHIELD II'!$D$4*('CALCULO MORTERO'!I1076^2)+'BLAZE SHIELD II'!$D$5*'CALCULO MORTERO'!I1076+'BLAZE SHIELD II'!$D$6)*LN(J1076))+('BLAZE SHIELD II'!$D$7*('CALCULO MORTERO'!I1076^2)+'BLAZE SHIELD II'!$D$8*'CALCULO MORTERO'!I1076+'BLAZE SHIELD II'!$D$9)),0)+IF(AND(L1076="Blaze Shield II",M1076="Software Idiem",C1076="Cj"),((('BLAZE SHIELD II'!$H$4*('CALCULO MORTERO'!I1076^2)+'BLAZE SHIELD II'!$H$5*'CALCULO MORTERO'!I1076+'BLAZE SHIELD II'!$H$6)*LN(J1076))+('BLAZE SHIELD II'!$H$7*('CALCULO MORTERO'!I1076^2)+'BLAZE SHIELD II'!$H$8*'CALCULO MORTERO'!I1076+'BLAZE SHIELD II'!$H$9)),0)+IF(AND(L1076="Blaze Shield II",M1076="Software Idiem",C1076="C"),((('BLAZE SHIELD II'!$L$4*('CALCULO MORTERO'!I1076^2)+'BLAZE SHIELD II'!$L$5*'CALCULO MORTERO'!I1076+'BLAZE SHIELD II'!$L$6)*LN(J1076))+('BLAZE SHIELD II'!$L$7*('CALCULO MORTERO'!I1076^2)+'BLAZE SHIELD II'!$L$8*'CALCULO MORTERO'!I1076+'BLAZE SHIELD II'!$L$9)),0)+IF(AND(L1076="Blaze Shield II",M1076="Software Idiem",C1076="L"),((('BLAZE SHIELD II'!$L$4*('CALCULO MORTERO'!I1076^2)+'BLAZE SHIELD II'!$L$5*'CALCULO MORTERO'!I1076+'BLAZE SHIELD II'!$L$6)*LN(J1076))+('BLAZE SHIELD II'!$L$7*('CALCULO MORTERO'!I1076^2)+'BLAZE SHIELD II'!$L$8*'CALCULO MORTERO'!I1076+'BLAZE SHIELD II'!$L$9)),0)+IF(AND(L1076="Blaze Shield II",M1076="Software Idiem",C1076="IN",G1076=3),((('BLAZE SHIELD II'!$H$14*('CALCULO MORTERO'!I1076^2)+'BLAZE SHIELD II'!$H$15*'CALCULO MORTERO'!I1076+'BLAZE SHIELD II'!$H$16)*LN(J1076))+('BLAZE SHIELD II'!$H$17*('CALCULO MORTERO'!I1076^2)+'BLAZE SHIELD II'!$H$18*'CALCULO MORTERO'!I1076+'BLAZE SHIELD II'!$H$19)),0),0)+ROUND(IF(AND(L1076="Cafco 400",M1076="Software Idiem",C1076="IN",G1076=4),((('CAFCO 400 '!$H$7*(J1076^4)+'CAFCO 400 '!$H$8*(J1076^3)+'CAFCO 400 '!$H$9*(J1076^2)+'CAFCO 400 '!$H$10*J1076+'CAFCO 400 '!$H$11)*U1076^2)+(('CAFCO 400 '!$H$12*(J1076^3)+'CAFCO 400 '!$H$13*(J1076^2)+'CAFCO 400 '!$H$14*J1076+'CAFCO 400 '!$H$15)*U1076)+('CAFCO 400 '!$H$16*(J1076^2)+'CAFCO 400 '!$H$17*J1076+'CAFCO 400 '!$H$18)),0)+IF(AND(L1076="Cafco 400",M1076="Software Idiem",C1076="Cj"),(((('CAFCO 400 '!$D$7*LN(J1076)+'CAFCO 400 '!$D$8)*U1076^2)+(('CAFCO 400 '!$D$9*LN(J1076)+'CAFCO 400 '!$D$10)*U1076)+('CAFCO 400 '!$D$11*LN(J1076)+'CAFCO 400 '!$D$12))),0)+IF(AND(L1076="Cafco 400",M1076="Software Idiem",C1076="C"),((('CAFCO 400 '!$L$7*(J1076^3)+'CAFCO 400 '!$L$8*(J1076^2)+'CAFCO 400 '!$L$9*J1076+'CAFCO 400 '!$L$10)*U1076^2)+(('CAFCO 400 '!$L$11*(J1076^3)+'CAFCO 400 '!$L$12*(J1076^2)+'CAFCO 400 '!$L$13*J1076+'CAFCO 400 '!$L$14)*U1076)+('CAFCO 400 '!$L$15*LN(J1076)+'CAFCO 400 '!$L$16)),0)+IF(AND(L1076="Cafco 400",M1076="Software Idiem",C1076="L"),((('CAFCO 400 '!$L$7*(J1076^3)+'CAFCO 400 '!$L$8*(J1076^2)+'CAFCO 400 '!$L$9*J1076+'CAFCO 400 '!$L$10)*U1076^2)+(('CAFCO 400 '!$L$11*(J1076^3)+'CAFCO 400 '!$L$12*(J1076^2)+'CAFCO 400 '!$L$13*J1076+'CAFCO 400 '!$L$14)*U1076)+('CAFCO 400 '!$L$15*LN(J1076)+'CAFCO 400 '!$L$16)),0)+IF(AND(L1076="Cafco 400",M1076="Software Idiem",C1076="IN",G1076=3),((('CAFCO 400 '!$D$23*(J1076^2)+'CAFCO 400 '!$D$24*(J1076)+'CAFCO 400 '!$D$25)*U1076^2)+(('CAFCO 400 '!$D$26*(J1076^2)+'CAFCO 400 '!$D$27*J1076+'CAFCO 400 '!$D$28)*U1076)+('CAFCO 400 '!$D$29*(J1076^2)+'CAFCO 400 '!$D$30*J1076+'CAFCO 400 '!$D$31)),0),0)+IF(AND(L1076="Cafco 300",J1076&gt;=95,J1076&lt;=240,C1076="Cj",I1076=90),VLOOKUP(T1076,'CAFCO 300 IDIEM TABLAS'!$B$4:$D$23,2,FALSE),0)+IF(AND(L1076="Cafco 300",J1076&gt;=95,J1076&lt;=240,C1076="Cj",I1076=120),VLOOKUP(T1076,'CAFCO 300 IDIEM TABLAS'!$B$4:$D$23,3,FALSE),0)+IF(AND(L1076="Cafco 300",J1076&gt;=95,J1076&lt;=400,G1076=3,C1076="IN",I1076=90),VLOOKUP(T1076,'CAFCO 300 IDIEM TABLAS'!$F$4:$H$35,2,FALSE),0)+IF(AND(L1076="Cafco 300",J1076&gt;=95,J1076&lt;=400,G1076=3,C1076="IN",I1076=120),VLOOKUP(T1076,'CAFCO 300 IDIEM TABLAS'!$F$4:$H$35,3,FALSE),0)+IF(AND(L1076="Cafco 300",J1076&gt;=95,J1076&lt;=450,G1076=4,C1076="IN",I1076=90),VLOOKUP(T1076,'CAFCO 300 IDIEM TABLAS'!$J$4:$L$40,2,FALSE),0)+IF(AND(L1076="Cafco 300",J1076&gt;=95,J1076&lt;=450,G1076=4,C1076="IN",I1076=120),VLOOKUP(T1076,'CAFCO 300 IDIEM TABLAS'!$J$4:$L$40,3,FALSE),0)+IF(AND(M1076="Ensayo Idiem",L1076="Cafco 400",C1076="IN",G1076=4,I1076=90),VLOOKUP(T1076,'CAFCO 400 ENSAYO'!$B$7:$D$43,2,FALSE),0)+IF(AND(M1076="Ensayo Idiem",L1076="Cafco 400",C1076="IN",G1076=4,I1076=120),VLOOKUP(T1076,'CAFCO 400 ENSAYO'!$B$7:$D$43,3,FALSE),0)</f>
        <v>0</v>
      </c>
      <c r="O1076" s="96">
        <f t="shared" si="108"/>
        <v>0</v>
      </c>
      <c r="P1076" s="95" t="str">
        <f t="shared" si="109"/>
        <v>N/A</v>
      </c>
      <c r="Q1076" s="95" t="str">
        <f t="shared" si="110"/>
        <v>N/A</v>
      </c>
      <c r="R1076" s="95" t="str">
        <f t="shared" si="111"/>
        <v>NO CERT.</v>
      </c>
      <c r="S1076" s="95" t="e">
        <f t="shared" si="112"/>
        <v>#N/A</v>
      </c>
      <c r="T1076" s="119" t="e">
        <f>+IF(J1076=LOOKUP(J1076,'CAFCO 300 IDIEM TABLAS'!$J$4:$J$40),'CALCULO MORTERO'!J1076,MROUND('CALCULO MORTERO'!J1076,10))</f>
        <v>#N/A</v>
      </c>
      <c r="U1076" s="118">
        <f t="shared" si="113"/>
        <v>0</v>
      </c>
    </row>
    <row r="1077" spans="1:21" x14ac:dyDescent="0.25">
      <c r="A1077" s="118">
        <f>+CUBICACION!D1071</f>
        <v>0</v>
      </c>
      <c r="B1077" s="819">
        <f>+CUBICACION!E1071</f>
        <v>0</v>
      </c>
      <c r="C1077" s="675">
        <f>+CUBICACION!F1071</f>
        <v>0</v>
      </c>
      <c r="D1077" s="118"/>
      <c r="E1077" s="118"/>
      <c r="F1077" s="820"/>
      <c r="G1077" s="675">
        <f>+CUBICACION!J1071</f>
        <v>0</v>
      </c>
      <c r="H1077" s="118"/>
      <c r="I1077" s="821">
        <f>+CUBICACION!L1071</f>
        <v>0</v>
      </c>
      <c r="J1077" s="64">
        <f>+CUBICACION!M1071</f>
        <v>0</v>
      </c>
      <c r="K1077" s="822" t="str">
        <f>+CUBICACION!N1071</f>
        <v/>
      </c>
      <c r="L1077" s="118">
        <f>+CUBICACION!O1071</f>
        <v>0</v>
      </c>
      <c r="M1077" s="823">
        <f>+CUBICACION!P1071</f>
        <v>0</v>
      </c>
      <c r="N1077" s="902">
        <f>ROUND(IF(AND(L1077="Blaze Shield II",M1077="Software Idiem",C1077="IN",G1077=4),((('BLAZE SHIELD II'!$D$4*('CALCULO MORTERO'!I1077^2)+'BLAZE SHIELD II'!$D$5*'CALCULO MORTERO'!I1077+'BLAZE SHIELD II'!$D$6)*LN(J1077))+('BLAZE SHIELD II'!$D$7*('CALCULO MORTERO'!I1077^2)+'BLAZE SHIELD II'!$D$8*'CALCULO MORTERO'!I1077+'BLAZE SHIELD II'!$D$9)),0)+IF(AND(L1077="Blaze Shield II",M1077="Software Idiem",C1077="Cj"),((('BLAZE SHIELD II'!$H$4*('CALCULO MORTERO'!I1077^2)+'BLAZE SHIELD II'!$H$5*'CALCULO MORTERO'!I1077+'BLAZE SHIELD II'!$H$6)*LN(J1077))+('BLAZE SHIELD II'!$H$7*('CALCULO MORTERO'!I1077^2)+'BLAZE SHIELD II'!$H$8*'CALCULO MORTERO'!I1077+'BLAZE SHIELD II'!$H$9)),0)+IF(AND(L1077="Blaze Shield II",M1077="Software Idiem",C1077="C"),((('BLAZE SHIELD II'!$L$4*('CALCULO MORTERO'!I1077^2)+'BLAZE SHIELD II'!$L$5*'CALCULO MORTERO'!I1077+'BLAZE SHIELD II'!$L$6)*LN(J1077))+('BLAZE SHIELD II'!$L$7*('CALCULO MORTERO'!I1077^2)+'BLAZE SHIELD II'!$L$8*'CALCULO MORTERO'!I1077+'BLAZE SHIELD II'!$L$9)),0)+IF(AND(L1077="Blaze Shield II",M1077="Software Idiem",C1077="L"),((('BLAZE SHIELD II'!$L$4*('CALCULO MORTERO'!I1077^2)+'BLAZE SHIELD II'!$L$5*'CALCULO MORTERO'!I1077+'BLAZE SHIELD II'!$L$6)*LN(J1077))+('BLAZE SHIELD II'!$L$7*('CALCULO MORTERO'!I1077^2)+'BLAZE SHIELD II'!$L$8*'CALCULO MORTERO'!I1077+'BLAZE SHIELD II'!$L$9)),0)+IF(AND(L1077="Blaze Shield II",M1077="Software Idiem",C1077="IN",G1077=3),((('BLAZE SHIELD II'!$H$14*('CALCULO MORTERO'!I1077^2)+'BLAZE SHIELD II'!$H$15*'CALCULO MORTERO'!I1077+'BLAZE SHIELD II'!$H$16)*LN(J1077))+('BLAZE SHIELD II'!$H$17*('CALCULO MORTERO'!I1077^2)+'BLAZE SHIELD II'!$H$18*'CALCULO MORTERO'!I1077+'BLAZE SHIELD II'!$H$19)),0),0)+ROUND(IF(AND(L1077="Cafco 400",M1077="Software Idiem",C1077="IN",G1077=4),((('CAFCO 400 '!$H$7*(J1077^4)+'CAFCO 400 '!$H$8*(J1077^3)+'CAFCO 400 '!$H$9*(J1077^2)+'CAFCO 400 '!$H$10*J1077+'CAFCO 400 '!$H$11)*U1077^2)+(('CAFCO 400 '!$H$12*(J1077^3)+'CAFCO 400 '!$H$13*(J1077^2)+'CAFCO 400 '!$H$14*J1077+'CAFCO 400 '!$H$15)*U1077)+('CAFCO 400 '!$H$16*(J1077^2)+'CAFCO 400 '!$H$17*J1077+'CAFCO 400 '!$H$18)),0)+IF(AND(L1077="Cafco 400",M1077="Software Idiem",C1077="Cj"),(((('CAFCO 400 '!$D$7*LN(J1077)+'CAFCO 400 '!$D$8)*U1077^2)+(('CAFCO 400 '!$D$9*LN(J1077)+'CAFCO 400 '!$D$10)*U1077)+('CAFCO 400 '!$D$11*LN(J1077)+'CAFCO 400 '!$D$12))),0)+IF(AND(L1077="Cafco 400",M1077="Software Idiem",C1077="C"),((('CAFCO 400 '!$L$7*(J1077^3)+'CAFCO 400 '!$L$8*(J1077^2)+'CAFCO 400 '!$L$9*J1077+'CAFCO 400 '!$L$10)*U1077^2)+(('CAFCO 400 '!$L$11*(J1077^3)+'CAFCO 400 '!$L$12*(J1077^2)+'CAFCO 400 '!$L$13*J1077+'CAFCO 400 '!$L$14)*U1077)+('CAFCO 400 '!$L$15*LN(J1077)+'CAFCO 400 '!$L$16)),0)+IF(AND(L1077="Cafco 400",M1077="Software Idiem",C1077="L"),((('CAFCO 400 '!$L$7*(J1077^3)+'CAFCO 400 '!$L$8*(J1077^2)+'CAFCO 400 '!$L$9*J1077+'CAFCO 400 '!$L$10)*U1077^2)+(('CAFCO 400 '!$L$11*(J1077^3)+'CAFCO 400 '!$L$12*(J1077^2)+'CAFCO 400 '!$L$13*J1077+'CAFCO 400 '!$L$14)*U1077)+('CAFCO 400 '!$L$15*LN(J1077)+'CAFCO 400 '!$L$16)),0)+IF(AND(L1077="Cafco 400",M1077="Software Idiem",C1077="IN",G1077=3),((('CAFCO 400 '!$D$23*(J1077^2)+'CAFCO 400 '!$D$24*(J1077)+'CAFCO 400 '!$D$25)*U1077^2)+(('CAFCO 400 '!$D$26*(J1077^2)+'CAFCO 400 '!$D$27*J1077+'CAFCO 400 '!$D$28)*U1077)+('CAFCO 400 '!$D$29*(J1077^2)+'CAFCO 400 '!$D$30*J1077+'CAFCO 400 '!$D$31)),0),0)+IF(AND(L1077="Cafco 300",J1077&gt;=95,J1077&lt;=240,C1077="Cj",I1077=90),VLOOKUP(T1077,'CAFCO 300 IDIEM TABLAS'!$B$4:$D$23,2,FALSE),0)+IF(AND(L1077="Cafco 300",J1077&gt;=95,J1077&lt;=240,C1077="Cj",I1077=120),VLOOKUP(T1077,'CAFCO 300 IDIEM TABLAS'!$B$4:$D$23,3,FALSE),0)+IF(AND(L1077="Cafco 300",J1077&gt;=95,J1077&lt;=400,G1077=3,C1077="IN",I1077=90),VLOOKUP(T1077,'CAFCO 300 IDIEM TABLAS'!$F$4:$H$35,2,FALSE),0)+IF(AND(L1077="Cafco 300",J1077&gt;=95,J1077&lt;=400,G1077=3,C1077="IN",I1077=120),VLOOKUP(T1077,'CAFCO 300 IDIEM TABLAS'!$F$4:$H$35,3,FALSE),0)+IF(AND(L1077="Cafco 300",J1077&gt;=95,J1077&lt;=450,G1077=4,C1077="IN",I1077=90),VLOOKUP(T1077,'CAFCO 300 IDIEM TABLAS'!$J$4:$L$40,2,FALSE),0)+IF(AND(L1077="Cafco 300",J1077&gt;=95,J1077&lt;=450,G1077=4,C1077="IN",I1077=120),VLOOKUP(T1077,'CAFCO 300 IDIEM TABLAS'!$J$4:$L$40,3,FALSE),0)+IF(AND(M1077="Ensayo Idiem",L1077="Cafco 400",C1077="IN",G1077=4,I1077=90),VLOOKUP(T1077,'CAFCO 400 ENSAYO'!$B$7:$D$43,2,FALSE),0)+IF(AND(M1077="Ensayo Idiem",L1077="Cafco 400",C1077="IN",G1077=4,I1077=120),VLOOKUP(T1077,'CAFCO 400 ENSAYO'!$B$7:$D$43,3,FALSE),0)</f>
        <v>0</v>
      </c>
      <c r="O1077" s="96">
        <f t="shared" si="108"/>
        <v>0</v>
      </c>
      <c r="P1077" s="132" t="str">
        <f t="shared" si="109"/>
        <v>N/A</v>
      </c>
      <c r="Q1077" s="132" t="str">
        <f t="shared" si="110"/>
        <v>N/A</v>
      </c>
      <c r="R1077" s="132" t="str">
        <f t="shared" si="111"/>
        <v>NO CERT.</v>
      </c>
      <c r="S1077" s="132" t="e">
        <f t="shared" si="112"/>
        <v>#N/A</v>
      </c>
      <c r="T1077" s="133" t="e">
        <f>+IF(J1077=LOOKUP(J1077,'CAFCO 300 IDIEM TABLAS'!$J$4:$J$40),'CALCULO MORTERO'!J1077,MROUND('CALCULO MORTERO'!J1077,10))</f>
        <v>#N/A</v>
      </c>
      <c r="U1077" s="134">
        <f t="shared" si="113"/>
        <v>0</v>
      </c>
    </row>
    <row r="1078" spans="1:21" x14ac:dyDescent="0.25">
      <c r="A1078" s="118">
        <f>+CUBICACION!D1072</f>
        <v>0</v>
      </c>
      <c r="B1078" s="819">
        <f>+CUBICACION!E1072</f>
        <v>0</v>
      </c>
      <c r="C1078" s="675">
        <f>+CUBICACION!F1072</f>
        <v>0</v>
      </c>
      <c r="D1078" s="118"/>
      <c r="E1078" s="118"/>
      <c r="F1078" s="820"/>
      <c r="G1078" s="675">
        <f>+CUBICACION!J1072</f>
        <v>0</v>
      </c>
      <c r="H1078" s="118"/>
      <c r="I1078" s="821">
        <f>+CUBICACION!L1072</f>
        <v>0</v>
      </c>
      <c r="J1078" s="64">
        <f>+CUBICACION!M1072</f>
        <v>0</v>
      </c>
      <c r="K1078" s="822" t="str">
        <f>+CUBICACION!N1072</f>
        <v/>
      </c>
      <c r="L1078" s="118">
        <f>+CUBICACION!O1072</f>
        <v>0</v>
      </c>
      <c r="M1078" s="823">
        <f>+CUBICACION!P1072</f>
        <v>0</v>
      </c>
      <c r="N1078" s="902">
        <f>ROUND(IF(AND(L1078="Blaze Shield II",M1078="Software Idiem",C1078="IN",G1078=4),((('BLAZE SHIELD II'!$D$4*('CALCULO MORTERO'!I1078^2)+'BLAZE SHIELD II'!$D$5*'CALCULO MORTERO'!I1078+'BLAZE SHIELD II'!$D$6)*LN(J1078))+('BLAZE SHIELD II'!$D$7*('CALCULO MORTERO'!I1078^2)+'BLAZE SHIELD II'!$D$8*'CALCULO MORTERO'!I1078+'BLAZE SHIELD II'!$D$9)),0)+IF(AND(L1078="Blaze Shield II",M1078="Software Idiem",C1078="Cj"),((('BLAZE SHIELD II'!$H$4*('CALCULO MORTERO'!I1078^2)+'BLAZE SHIELD II'!$H$5*'CALCULO MORTERO'!I1078+'BLAZE SHIELD II'!$H$6)*LN(J1078))+('BLAZE SHIELD II'!$H$7*('CALCULO MORTERO'!I1078^2)+'BLAZE SHIELD II'!$H$8*'CALCULO MORTERO'!I1078+'BLAZE SHIELD II'!$H$9)),0)+IF(AND(L1078="Blaze Shield II",M1078="Software Idiem",C1078="C"),((('BLAZE SHIELD II'!$L$4*('CALCULO MORTERO'!I1078^2)+'BLAZE SHIELD II'!$L$5*'CALCULO MORTERO'!I1078+'BLAZE SHIELD II'!$L$6)*LN(J1078))+('BLAZE SHIELD II'!$L$7*('CALCULO MORTERO'!I1078^2)+'BLAZE SHIELD II'!$L$8*'CALCULO MORTERO'!I1078+'BLAZE SHIELD II'!$L$9)),0)+IF(AND(L1078="Blaze Shield II",M1078="Software Idiem",C1078="L"),((('BLAZE SHIELD II'!$L$4*('CALCULO MORTERO'!I1078^2)+'BLAZE SHIELD II'!$L$5*'CALCULO MORTERO'!I1078+'BLAZE SHIELD II'!$L$6)*LN(J1078))+('BLAZE SHIELD II'!$L$7*('CALCULO MORTERO'!I1078^2)+'BLAZE SHIELD II'!$L$8*'CALCULO MORTERO'!I1078+'BLAZE SHIELD II'!$L$9)),0)+IF(AND(L1078="Blaze Shield II",M1078="Software Idiem",C1078="IN",G1078=3),((('BLAZE SHIELD II'!$H$14*('CALCULO MORTERO'!I1078^2)+'BLAZE SHIELD II'!$H$15*'CALCULO MORTERO'!I1078+'BLAZE SHIELD II'!$H$16)*LN(J1078))+('BLAZE SHIELD II'!$H$17*('CALCULO MORTERO'!I1078^2)+'BLAZE SHIELD II'!$H$18*'CALCULO MORTERO'!I1078+'BLAZE SHIELD II'!$H$19)),0),0)+ROUND(IF(AND(L1078="Cafco 400",M1078="Software Idiem",C1078="IN",G1078=4),((('CAFCO 400 '!$H$7*(J1078^4)+'CAFCO 400 '!$H$8*(J1078^3)+'CAFCO 400 '!$H$9*(J1078^2)+'CAFCO 400 '!$H$10*J1078+'CAFCO 400 '!$H$11)*U1078^2)+(('CAFCO 400 '!$H$12*(J1078^3)+'CAFCO 400 '!$H$13*(J1078^2)+'CAFCO 400 '!$H$14*J1078+'CAFCO 400 '!$H$15)*U1078)+('CAFCO 400 '!$H$16*(J1078^2)+'CAFCO 400 '!$H$17*J1078+'CAFCO 400 '!$H$18)),0)+IF(AND(L1078="Cafco 400",M1078="Software Idiem",C1078="Cj"),(((('CAFCO 400 '!$D$7*LN(J1078)+'CAFCO 400 '!$D$8)*U1078^2)+(('CAFCO 400 '!$D$9*LN(J1078)+'CAFCO 400 '!$D$10)*U1078)+('CAFCO 400 '!$D$11*LN(J1078)+'CAFCO 400 '!$D$12))),0)+IF(AND(L1078="Cafco 400",M1078="Software Idiem",C1078="C"),((('CAFCO 400 '!$L$7*(J1078^3)+'CAFCO 400 '!$L$8*(J1078^2)+'CAFCO 400 '!$L$9*J1078+'CAFCO 400 '!$L$10)*U1078^2)+(('CAFCO 400 '!$L$11*(J1078^3)+'CAFCO 400 '!$L$12*(J1078^2)+'CAFCO 400 '!$L$13*J1078+'CAFCO 400 '!$L$14)*U1078)+('CAFCO 400 '!$L$15*LN(J1078)+'CAFCO 400 '!$L$16)),0)+IF(AND(L1078="Cafco 400",M1078="Software Idiem",C1078="L"),((('CAFCO 400 '!$L$7*(J1078^3)+'CAFCO 400 '!$L$8*(J1078^2)+'CAFCO 400 '!$L$9*J1078+'CAFCO 400 '!$L$10)*U1078^2)+(('CAFCO 400 '!$L$11*(J1078^3)+'CAFCO 400 '!$L$12*(J1078^2)+'CAFCO 400 '!$L$13*J1078+'CAFCO 400 '!$L$14)*U1078)+('CAFCO 400 '!$L$15*LN(J1078)+'CAFCO 400 '!$L$16)),0)+IF(AND(L1078="Cafco 400",M1078="Software Idiem",C1078="IN",G1078=3),((('CAFCO 400 '!$D$23*(J1078^2)+'CAFCO 400 '!$D$24*(J1078)+'CAFCO 400 '!$D$25)*U1078^2)+(('CAFCO 400 '!$D$26*(J1078^2)+'CAFCO 400 '!$D$27*J1078+'CAFCO 400 '!$D$28)*U1078)+('CAFCO 400 '!$D$29*(J1078^2)+'CAFCO 400 '!$D$30*J1078+'CAFCO 400 '!$D$31)),0),0)+IF(AND(L1078="Cafco 300",J1078&gt;=95,J1078&lt;=240,C1078="Cj",I1078=90),VLOOKUP(T1078,'CAFCO 300 IDIEM TABLAS'!$B$4:$D$23,2,FALSE),0)+IF(AND(L1078="Cafco 300",J1078&gt;=95,J1078&lt;=240,C1078="Cj",I1078=120),VLOOKUP(T1078,'CAFCO 300 IDIEM TABLAS'!$B$4:$D$23,3,FALSE),0)+IF(AND(L1078="Cafco 300",J1078&gt;=95,J1078&lt;=400,G1078=3,C1078="IN",I1078=90),VLOOKUP(T1078,'CAFCO 300 IDIEM TABLAS'!$F$4:$H$35,2,FALSE),0)+IF(AND(L1078="Cafco 300",J1078&gt;=95,J1078&lt;=400,G1078=3,C1078="IN",I1078=120),VLOOKUP(T1078,'CAFCO 300 IDIEM TABLAS'!$F$4:$H$35,3,FALSE),0)+IF(AND(L1078="Cafco 300",J1078&gt;=95,J1078&lt;=450,G1078=4,C1078="IN",I1078=90),VLOOKUP(T1078,'CAFCO 300 IDIEM TABLAS'!$J$4:$L$40,2,FALSE),0)+IF(AND(L1078="Cafco 300",J1078&gt;=95,J1078&lt;=450,G1078=4,C1078="IN",I1078=120),VLOOKUP(T1078,'CAFCO 300 IDIEM TABLAS'!$J$4:$L$40,3,FALSE),0)+IF(AND(M1078="Ensayo Idiem",L1078="Cafco 400",C1078="IN",G1078=4,I1078=90),VLOOKUP(T1078,'CAFCO 400 ENSAYO'!$B$7:$D$43,2,FALSE),0)+IF(AND(M1078="Ensayo Idiem",L1078="Cafco 400",C1078="IN",G1078=4,I1078=120),VLOOKUP(T1078,'CAFCO 400 ENSAYO'!$B$7:$D$43,3,FALSE),0)</f>
        <v>0</v>
      </c>
      <c r="O1078" s="96">
        <f t="shared" si="108"/>
        <v>0</v>
      </c>
      <c r="P1078" s="95" t="str">
        <f t="shared" si="109"/>
        <v>N/A</v>
      </c>
      <c r="Q1078" s="95" t="str">
        <f t="shared" si="110"/>
        <v>N/A</v>
      </c>
      <c r="R1078" s="95" t="str">
        <f t="shared" si="111"/>
        <v>NO CERT.</v>
      </c>
      <c r="S1078" s="95" t="e">
        <f t="shared" si="112"/>
        <v>#N/A</v>
      </c>
      <c r="T1078" s="119" t="e">
        <f>+IF(J1078=LOOKUP(J1078,'CAFCO 300 IDIEM TABLAS'!$J$4:$J$40),'CALCULO MORTERO'!J1078,MROUND('CALCULO MORTERO'!J1078,10))</f>
        <v>#N/A</v>
      </c>
      <c r="U1078" s="118">
        <f t="shared" si="113"/>
        <v>0</v>
      </c>
    </row>
    <row r="1079" spans="1:21" x14ac:dyDescent="0.25">
      <c r="A1079" s="118">
        <f>+CUBICACION!D1073</f>
        <v>0</v>
      </c>
      <c r="B1079" s="819">
        <f>+CUBICACION!E1073</f>
        <v>0</v>
      </c>
      <c r="C1079" s="675">
        <f>+CUBICACION!F1073</f>
        <v>0</v>
      </c>
      <c r="D1079" s="118"/>
      <c r="E1079" s="118"/>
      <c r="F1079" s="820"/>
      <c r="G1079" s="675">
        <f>+CUBICACION!J1073</f>
        <v>0</v>
      </c>
      <c r="H1079" s="118"/>
      <c r="I1079" s="821">
        <f>+CUBICACION!L1073</f>
        <v>0</v>
      </c>
      <c r="J1079" s="64">
        <f>+CUBICACION!M1073</f>
        <v>0</v>
      </c>
      <c r="K1079" s="822" t="str">
        <f>+CUBICACION!N1073</f>
        <v/>
      </c>
      <c r="L1079" s="118">
        <f>+CUBICACION!O1073</f>
        <v>0</v>
      </c>
      <c r="M1079" s="823">
        <f>+CUBICACION!P1073</f>
        <v>0</v>
      </c>
      <c r="N1079" s="902">
        <f>ROUND(IF(AND(L1079="Blaze Shield II",M1079="Software Idiem",C1079="IN",G1079=4),((('BLAZE SHIELD II'!$D$4*('CALCULO MORTERO'!I1079^2)+'BLAZE SHIELD II'!$D$5*'CALCULO MORTERO'!I1079+'BLAZE SHIELD II'!$D$6)*LN(J1079))+('BLAZE SHIELD II'!$D$7*('CALCULO MORTERO'!I1079^2)+'BLAZE SHIELD II'!$D$8*'CALCULO MORTERO'!I1079+'BLAZE SHIELD II'!$D$9)),0)+IF(AND(L1079="Blaze Shield II",M1079="Software Idiem",C1079="Cj"),((('BLAZE SHIELD II'!$H$4*('CALCULO MORTERO'!I1079^2)+'BLAZE SHIELD II'!$H$5*'CALCULO MORTERO'!I1079+'BLAZE SHIELD II'!$H$6)*LN(J1079))+('BLAZE SHIELD II'!$H$7*('CALCULO MORTERO'!I1079^2)+'BLAZE SHIELD II'!$H$8*'CALCULO MORTERO'!I1079+'BLAZE SHIELD II'!$H$9)),0)+IF(AND(L1079="Blaze Shield II",M1079="Software Idiem",C1079="C"),((('BLAZE SHIELD II'!$L$4*('CALCULO MORTERO'!I1079^2)+'BLAZE SHIELD II'!$L$5*'CALCULO MORTERO'!I1079+'BLAZE SHIELD II'!$L$6)*LN(J1079))+('BLAZE SHIELD II'!$L$7*('CALCULO MORTERO'!I1079^2)+'BLAZE SHIELD II'!$L$8*'CALCULO MORTERO'!I1079+'BLAZE SHIELD II'!$L$9)),0)+IF(AND(L1079="Blaze Shield II",M1079="Software Idiem",C1079="L"),((('BLAZE SHIELD II'!$L$4*('CALCULO MORTERO'!I1079^2)+'BLAZE SHIELD II'!$L$5*'CALCULO MORTERO'!I1079+'BLAZE SHIELD II'!$L$6)*LN(J1079))+('BLAZE SHIELD II'!$L$7*('CALCULO MORTERO'!I1079^2)+'BLAZE SHIELD II'!$L$8*'CALCULO MORTERO'!I1079+'BLAZE SHIELD II'!$L$9)),0)+IF(AND(L1079="Blaze Shield II",M1079="Software Idiem",C1079="IN",G1079=3),((('BLAZE SHIELD II'!$H$14*('CALCULO MORTERO'!I1079^2)+'BLAZE SHIELD II'!$H$15*'CALCULO MORTERO'!I1079+'BLAZE SHIELD II'!$H$16)*LN(J1079))+('BLAZE SHIELD II'!$H$17*('CALCULO MORTERO'!I1079^2)+'BLAZE SHIELD II'!$H$18*'CALCULO MORTERO'!I1079+'BLAZE SHIELD II'!$H$19)),0),0)+ROUND(IF(AND(L1079="Cafco 400",M1079="Software Idiem",C1079="IN",G1079=4),((('CAFCO 400 '!$H$7*(J1079^4)+'CAFCO 400 '!$H$8*(J1079^3)+'CAFCO 400 '!$H$9*(J1079^2)+'CAFCO 400 '!$H$10*J1079+'CAFCO 400 '!$H$11)*U1079^2)+(('CAFCO 400 '!$H$12*(J1079^3)+'CAFCO 400 '!$H$13*(J1079^2)+'CAFCO 400 '!$H$14*J1079+'CAFCO 400 '!$H$15)*U1079)+('CAFCO 400 '!$H$16*(J1079^2)+'CAFCO 400 '!$H$17*J1079+'CAFCO 400 '!$H$18)),0)+IF(AND(L1079="Cafco 400",M1079="Software Idiem",C1079="Cj"),(((('CAFCO 400 '!$D$7*LN(J1079)+'CAFCO 400 '!$D$8)*U1079^2)+(('CAFCO 400 '!$D$9*LN(J1079)+'CAFCO 400 '!$D$10)*U1079)+('CAFCO 400 '!$D$11*LN(J1079)+'CAFCO 400 '!$D$12))),0)+IF(AND(L1079="Cafco 400",M1079="Software Idiem",C1079="C"),((('CAFCO 400 '!$L$7*(J1079^3)+'CAFCO 400 '!$L$8*(J1079^2)+'CAFCO 400 '!$L$9*J1079+'CAFCO 400 '!$L$10)*U1079^2)+(('CAFCO 400 '!$L$11*(J1079^3)+'CAFCO 400 '!$L$12*(J1079^2)+'CAFCO 400 '!$L$13*J1079+'CAFCO 400 '!$L$14)*U1079)+('CAFCO 400 '!$L$15*LN(J1079)+'CAFCO 400 '!$L$16)),0)+IF(AND(L1079="Cafco 400",M1079="Software Idiem",C1079="L"),((('CAFCO 400 '!$L$7*(J1079^3)+'CAFCO 400 '!$L$8*(J1079^2)+'CAFCO 400 '!$L$9*J1079+'CAFCO 400 '!$L$10)*U1079^2)+(('CAFCO 400 '!$L$11*(J1079^3)+'CAFCO 400 '!$L$12*(J1079^2)+'CAFCO 400 '!$L$13*J1079+'CAFCO 400 '!$L$14)*U1079)+('CAFCO 400 '!$L$15*LN(J1079)+'CAFCO 400 '!$L$16)),0)+IF(AND(L1079="Cafco 400",M1079="Software Idiem",C1079="IN",G1079=3),((('CAFCO 400 '!$D$23*(J1079^2)+'CAFCO 400 '!$D$24*(J1079)+'CAFCO 400 '!$D$25)*U1079^2)+(('CAFCO 400 '!$D$26*(J1079^2)+'CAFCO 400 '!$D$27*J1079+'CAFCO 400 '!$D$28)*U1079)+('CAFCO 400 '!$D$29*(J1079^2)+'CAFCO 400 '!$D$30*J1079+'CAFCO 400 '!$D$31)),0),0)+IF(AND(L1079="Cafco 300",J1079&gt;=95,J1079&lt;=240,C1079="Cj",I1079=90),VLOOKUP(T1079,'CAFCO 300 IDIEM TABLAS'!$B$4:$D$23,2,FALSE),0)+IF(AND(L1079="Cafco 300",J1079&gt;=95,J1079&lt;=240,C1079="Cj",I1079=120),VLOOKUP(T1079,'CAFCO 300 IDIEM TABLAS'!$B$4:$D$23,3,FALSE),0)+IF(AND(L1079="Cafco 300",J1079&gt;=95,J1079&lt;=400,G1079=3,C1079="IN",I1079=90),VLOOKUP(T1079,'CAFCO 300 IDIEM TABLAS'!$F$4:$H$35,2,FALSE),0)+IF(AND(L1079="Cafco 300",J1079&gt;=95,J1079&lt;=400,G1079=3,C1079="IN",I1079=120),VLOOKUP(T1079,'CAFCO 300 IDIEM TABLAS'!$F$4:$H$35,3,FALSE),0)+IF(AND(L1079="Cafco 300",J1079&gt;=95,J1079&lt;=450,G1079=4,C1079="IN",I1079=90),VLOOKUP(T1079,'CAFCO 300 IDIEM TABLAS'!$J$4:$L$40,2,FALSE),0)+IF(AND(L1079="Cafco 300",J1079&gt;=95,J1079&lt;=450,G1079=4,C1079="IN",I1079=120),VLOOKUP(T1079,'CAFCO 300 IDIEM TABLAS'!$J$4:$L$40,3,FALSE),0)+IF(AND(M1079="Ensayo Idiem",L1079="Cafco 400",C1079="IN",G1079=4,I1079=90),VLOOKUP(T1079,'CAFCO 400 ENSAYO'!$B$7:$D$43,2,FALSE),0)+IF(AND(M1079="Ensayo Idiem",L1079="Cafco 400",C1079="IN",G1079=4,I1079=120),VLOOKUP(T1079,'CAFCO 400 ENSAYO'!$B$7:$D$43,3,FALSE),0)</f>
        <v>0</v>
      </c>
      <c r="O1079" s="96">
        <f t="shared" si="108"/>
        <v>0</v>
      </c>
      <c r="P1079" s="132" t="str">
        <f t="shared" si="109"/>
        <v>N/A</v>
      </c>
      <c r="Q1079" s="132" t="str">
        <f t="shared" si="110"/>
        <v>N/A</v>
      </c>
      <c r="R1079" s="132" t="str">
        <f t="shared" si="111"/>
        <v>NO CERT.</v>
      </c>
      <c r="S1079" s="132" t="e">
        <f t="shared" si="112"/>
        <v>#N/A</v>
      </c>
      <c r="T1079" s="133" t="e">
        <f>+IF(J1079=LOOKUP(J1079,'CAFCO 300 IDIEM TABLAS'!$J$4:$J$40),'CALCULO MORTERO'!J1079,MROUND('CALCULO MORTERO'!J1079,10))</f>
        <v>#N/A</v>
      </c>
      <c r="U1079" s="134">
        <f t="shared" si="113"/>
        <v>0</v>
      </c>
    </row>
    <row r="1080" spans="1:21" x14ac:dyDescent="0.25">
      <c r="A1080" s="118">
        <f>+CUBICACION!D1074</f>
        <v>0</v>
      </c>
      <c r="B1080" s="819">
        <f>+CUBICACION!E1074</f>
        <v>0</v>
      </c>
      <c r="C1080" s="675">
        <f>+CUBICACION!F1074</f>
        <v>0</v>
      </c>
      <c r="D1080" s="118"/>
      <c r="E1080" s="118"/>
      <c r="F1080" s="820"/>
      <c r="G1080" s="675">
        <f>+CUBICACION!J1074</f>
        <v>0</v>
      </c>
      <c r="H1080" s="118"/>
      <c r="I1080" s="821">
        <f>+CUBICACION!L1074</f>
        <v>0</v>
      </c>
      <c r="J1080" s="64">
        <f>+CUBICACION!M1074</f>
        <v>0</v>
      </c>
      <c r="K1080" s="822" t="str">
        <f>+CUBICACION!N1074</f>
        <v/>
      </c>
      <c r="L1080" s="118">
        <f>+CUBICACION!O1074</f>
        <v>0</v>
      </c>
      <c r="M1080" s="823">
        <f>+CUBICACION!P1074</f>
        <v>0</v>
      </c>
      <c r="N1080" s="902">
        <f>ROUND(IF(AND(L1080="Blaze Shield II",M1080="Software Idiem",C1080="IN",G1080=4),((('BLAZE SHIELD II'!$D$4*('CALCULO MORTERO'!I1080^2)+'BLAZE SHIELD II'!$D$5*'CALCULO MORTERO'!I1080+'BLAZE SHIELD II'!$D$6)*LN(J1080))+('BLAZE SHIELD II'!$D$7*('CALCULO MORTERO'!I1080^2)+'BLAZE SHIELD II'!$D$8*'CALCULO MORTERO'!I1080+'BLAZE SHIELD II'!$D$9)),0)+IF(AND(L1080="Blaze Shield II",M1080="Software Idiem",C1080="Cj"),((('BLAZE SHIELD II'!$H$4*('CALCULO MORTERO'!I1080^2)+'BLAZE SHIELD II'!$H$5*'CALCULO MORTERO'!I1080+'BLAZE SHIELD II'!$H$6)*LN(J1080))+('BLAZE SHIELD II'!$H$7*('CALCULO MORTERO'!I1080^2)+'BLAZE SHIELD II'!$H$8*'CALCULO MORTERO'!I1080+'BLAZE SHIELD II'!$H$9)),0)+IF(AND(L1080="Blaze Shield II",M1080="Software Idiem",C1080="C"),((('BLAZE SHIELD II'!$L$4*('CALCULO MORTERO'!I1080^2)+'BLAZE SHIELD II'!$L$5*'CALCULO MORTERO'!I1080+'BLAZE SHIELD II'!$L$6)*LN(J1080))+('BLAZE SHIELD II'!$L$7*('CALCULO MORTERO'!I1080^2)+'BLAZE SHIELD II'!$L$8*'CALCULO MORTERO'!I1080+'BLAZE SHIELD II'!$L$9)),0)+IF(AND(L1080="Blaze Shield II",M1080="Software Idiem",C1080="L"),((('BLAZE SHIELD II'!$L$4*('CALCULO MORTERO'!I1080^2)+'BLAZE SHIELD II'!$L$5*'CALCULO MORTERO'!I1080+'BLAZE SHIELD II'!$L$6)*LN(J1080))+('BLAZE SHIELD II'!$L$7*('CALCULO MORTERO'!I1080^2)+'BLAZE SHIELD II'!$L$8*'CALCULO MORTERO'!I1080+'BLAZE SHIELD II'!$L$9)),0)+IF(AND(L1080="Blaze Shield II",M1080="Software Idiem",C1080="IN",G1080=3),((('BLAZE SHIELD II'!$H$14*('CALCULO MORTERO'!I1080^2)+'BLAZE SHIELD II'!$H$15*'CALCULO MORTERO'!I1080+'BLAZE SHIELD II'!$H$16)*LN(J1080))+('BLAZE SHIELD II'!$H$17*('CALCULO MORTERO'!I1080^2)+'BLAZE SHIELD II'!$H$18*'CALCULO MORTERO'!I1080+'BLAZE SHIELD II'!$H$19)),0),0)+ROUND(IF(AND(L1080="Cafco 400",M1080="Software Idiem",C1080="IN",G1080=4),((('CAFCO 400 '!$H$7*(J1080^4)+'CAFCO 400 '!$H$8*(J1080^3)+'CAFCO 400 '!$H$9*(J1080^2)+'CAFCO 400 '!$H$10*J1080+'CAFCO 400 '!$H$11)*U1080^2)+(('CAFCO 400 '!$H$12*(J1080^3)+'CAFCO 400 '!$H$13*(J1080^2)+'CAFCO 400 '!$H$14*J1080+'CAFCO 400 '!$H$15)*U1080)+('CAFCO 400 '!$H$16*(J1080^2)+'CAFCO 400 '!$H$17*J1080+'CAFCO 400 '!$H$18)),0)+IF(AND(L1080="Cafco 400",M1080="Software Idiem",C1080="Cj"),(((('CAFCO 400 '!$D$7*LN(J1080)+'CAFCO 400 '!$D$8)*U1080^2)+(('CAFCO 400 '!$D$9*LN(J1080)+'CAFCO 400 '!$D$10)*U1080)+('CAFCO 400 '!$D$11*LN(J1080)+'CAFCO 400 '!$D$12))),0)+IF(AND(L1080="Cafco 400",M1080="Software Idiem",C1080="C"),((('CAFCO 400 '!$L$7*(J1080^3)+'CAFCO 400 '!$L$8*(J1080^2)+'CAFCO 400 '!$L$9*J1080+'CAFCO 400 '!$L$10)*U1080^2)+(('CAFCO 400 '!$L$11*(J1080^3)+'CAFCO 400 '!$L$12*(J1080^2)+'CAFCO 400 '!$L$13*J1080+'CAFCO 400 '!$L$14)*U1080)+('CAFCO 400 '!$L$15*LN(J1080)+'CAFCO 400 '!$L$16)),0)+IF(AND(L1080="Cafco 400",M1080="Software Idiem",C1080="L"),((('CAFCO 400 '!$L$7*(J1080^3)+'CAFCO 400 '!$L$8*(J1080^2)+'CAFCO 400 '!$L$9*J1080+'CAFCO 400 '!$L$10)*U1080^2)+(('CAFCO 400 '!$L$11*(J1080^3)+'CAFCO 400 '!$L$12*(J1080^2)+'CAFCO 400 '!$L$13*J1080+'CAFCO 400 '!$L$14)*U1080)+('CAFCO 400 '!$L$15*LN(J1080)+'CAFCO 400 '!$L$16)),0)+IF(AND(L1080="Cafco 400",M1080="Software Idiem",C1080="IN",G1080=3),((('CAFCO 400 '!$D$23*(J1080^2)+'CAFCO 400 '!$D$24*(J1080)+'CAFCO 400 '!$D$25)*U1080^2)+(('CAFCO 400 '!$D$26*(J1080^2)+'CAFCO 400 '!$D$27*J1080+'CAFCO 400 '!$D$28)*U1080)+('CAFCO 400 '!$D$29*(J1080^2)+'CAFCO 400 '!$D$30*J1080+'CAFCO 400 '!$D$31)),0),0)+IF(AND(L1080="Cafco 300",J1080&gt;=95,J1080&lt;=240,C1080="Cj",I1080=90),VLOOKUP(T1080,'CAFCO 300 IDIEM TABLAS'!$B$4:$D$23,2,FALSE),0)+IF(AND(L1080="Cafco 300",J1080&gt;=95,J1080&lt;=240,C1080="Cj",I1080=120),VLOOKUP(T1080,'CAFCO 300 IDIEM TABLAS'!$B$4:$D$23,3,FALSE),0)+IF(AND(L1080="Cafco 300",J1080&gt;=95,J1080&lt;=400,G1080=3,C1080="IN",I1080=90),VLOOKUP(T1080,'CAFCO 300 IDIEM TABLAS'!$F$4:$H$35,2,FALSE),0)+IF(AND(L1080="Cafco 300",J1080&gt;=95,J1080&lt;=400,G1080=3,C1080="IN",I1080=120),VLOOKUP(T1080,'CAFCO 300 IDIEM TABLAS'!$F$4:$H$35,3,FALSE),0)+IF(AND(L1080="Cafco 300",J1080&gt;=95,J1080&lt;=450,G1080=4,C1080="IN",I1080=90),VLOOKUP(T1080,'CAFCO 300 IDIEM TABLAS'!$J$4:$L$40,2,FALSE),0)+IF(AND(L1080="Cafco 300",J1080&gt;=95,J1080&lt;=450,G1080=4,C1080="IN",I1080=120),VLOOKUP(T1080,'CAFCO 300 IDIEM TABLAS'!$J$4:$L$40,3,FALSE),0)+IF(AND(M1080="Ensayo Idiem",L1080="Cafco 400",C1080="IN",G1080=4,I1080=90),VLOOKUP(T1080,'CAFCO 400 ENSAYO'!$B$7:$D$43,2,FALSE),0)+IF(AND(M1080="Ensayo Idiem",L1080="Cafco 400",C1080="IN",G1080=4,I1080=120),VLOOKUP(T1080,'CAFCO 400 ENSAYO'!$B$7:$D$43,3,FALSE),0)</f>
        <v>0</v>
      </c>
      <c r="O1080" s="96">
        <f t="shared" si="108"/>
        <v>0</v>
      </c>
      <c r="P1080" s="95" t="str">
        <f t="shared" si="109"/>
        <v>N/A</v>
      </c>
      <c r="Q1080" s="95" t="str">
        <f t="shared" si="110"/>
        <v>N/A</v>
      </c>
      <c r="R1080" s="95" t="str">
        <f t="shared" si="111"/>
        <v>NO CERT.</v>
      </c>
      <c r="S1080" s="95" t="e">
        <f t="shared" si="112"/>
        <v>#N/A</v>
      </c>
      <c r="T1080" s="119" t="e">
        <f>+IF(J1080=LOOKUP(J1080,'CAFCO 300 IDIEM TABLAS'!$J$4:$J$40),'CALCULO MORTERO'!J1080,MROUND('CALCULO MORTERO'!J1080,10))</f>
        <v>#N/A</v>
      </c>
      <c r="U1080" s="118">
        <f t="shared" si="113"/>
        <v>0</v>
      </c>
    </row>
    <row r="1081" spans="1:21" x14ac:dyDescent="0.25">
      <c r="A1081" s="118">
        <f>+CUBICACION!D1075</f>
        <v>0</v>
      </c>
      <c r="B1081" s="819">
        <f>+CUBICACION!E1075</f>
        <v>0</v>
      </c>
      <c r="C1081" s="675">
        <f>+CUBICACION!F1075</f>
        <v>0</v>
      </c>
      <c r="D1081" s="118"/>
      <c r="E1081" s="118"/>
      <c r="F1081" s="820"/>
      <c r="G1081" s="675">
        <f>+CUBICACION!J1075</f>
        <v>0</v>
      </c>
      <c r="H1081" s="118"/>
      <c r="I1081" s="821">
        <f>+CUBICACION!L1075</f>
        <v>0</v>
      </c>
      <c r="J1081" s="64">
        <f>+CUBICACION!M1075</f>
        <v>0</v>
      </c>
      <c r="K1081" s="822" t="str">
        <f>+CUBICACION!N1075</f>
        <v/>
      </c>
      <c r="L1081" s="118">
        <f>+CUBICACION!O1075</f>
        <v>0</v>
      </c>
      <c r="M1081" s="823">
        <f>+CUBICACION!P1075</f>
        <v>0</v>
      </c>
      <c r="N1081" s="902">
        <f>ROUND(IF(AND(L1081="Blaze Shield II",M1081="Software Idiem",C1081="IN",G1081=4),((('BLAZE SHIELD II'!$D$4*('CALCULO MORTERO'!I1081^2)+'BLAZE SHIELD II'!$D$5*'CALCULO MORTERO'!I1081+'BLAZE SHIELD II'!$D$6)*LN(J1081))+('BLAZE SHIELD II'!$D$7*('CALCULO MORTERO'!I1081^2)+'BLAZE SHIELD II'!$D$8*'CALCULO MORTERO'!I1081+'BLAZE SHIELD II'!$D$9)),0)+IF(AND(L1081="Blaze Shield II",M1081="Software Idiem",C1081="Cj"),((('BLAZE SHIELD II'!$H$4*('CALCULO MORTERO'!I1081^2)+'BLAZE SHIELD II'!$H$5*'CALCULO MORTERO'!I1081+'BLAZE SHIELD II'!$H$6)*LN(J1081))+('BLAZE SHIELD II'!$H$7*('CALCULO MORTERO'!I1081^2)+'BLAZE SHIELD II'!$H$8*'CALCULO MORTERO'!I1081+'BLAZE SHIELD II'!$H$9)),0)+IF(AND(L1081="Blaze Shield II",M1081="Software Idiem",C1081="C"),((('BLAZE SHIELD II'!$L$4*('CALCULO MORTERO'!I1081^2)+'BLAZE SHIELD II'!$L$5*'CALCULO MORTERO'!I1081+'BLAZE SHIELD II'!$L$6)*LN(J1081))+('BLAZE SHIELD II'!$L$7*('CALCULO MORTERO'!I1081^2)+'BLAZE SHIELD II'!$L$8*'CALCULO MORTERO'!I1081+'BLAZE SHIELD II'!$L$9)),0)+IF(AND(L1081="Blaze Shield II",M1081="Software Idiem",C1081="L"),((('BLAZE SHIELD II'!$L$4*('CALCULO MORTERO'!I1081^2)+'BLAZE SHIELD II'!$L$5*'CALCULO MORTERO'!I1081+'BLAZE SHIELD II'!$L$6)*LN(J1081))+('BLAZE SHIELD II'!$L$7*('CALCULO MORTERO'!I1081^2)+'BLAZE SHIELD II'!$L$8*'CALCULO MORTERO'!I1081+'BLAZE SHIELD II'!$L$9)),0)+IF(AND(L1081="Blaze Shield II",M1081="Software Idiem",C1081="IN",G1081=3),((('BLAZE SHIELD II'!$H$14*('CALCULO MORTERO'!I1081^2)+'BLAZE SHIELD II'!$H$15*'CALCULO MORTERO'!I1081+'BLAZE SHIELD II'!$H$16)*LN(J1081))+('BLAZE SHIELD II'!$H$17*('CALCULO MORTERO'!I1081^2)+'BLAZE SHIELD II'!$H$18*'CALCULO MORTERO'!I1081+'BLAZE SHIELD II'!$H$19)),0),0)+ROUND(IF(AND(L1081="Cafco 400",M1081="Software Idiem",C1081="IN",G1081=4),((('CAFCO 400 '!$H$7*(J1081^4)+'CAFCO 400 '!$H$8*(J1081^3)+'CAFCO 400 '!$H$9*(J1081^2)+'CAFCO 400 '!$H$10*J1081+'CAFCO 400 '!$H$11)*U1081^2)+(('CAFCO 400 '!$H$12*(J1081^3)+'CAFCO 400 '!$H$13*(J1081^2)+'CAFCO 400 '!$H$14*J1081+'CAFCO 400 '!$H$15)*U1081)+('CAFCO 400 '!$H$16*(J1081^2)+'CAFCO 400 '!$H$17*J1081+'CAFCO 400 '!$H$18)),0)+IF(AND(L1081="Cafco 400",M1081="Software Idiem",C1081="Cj"),(((('CAFCO 400 '!$D$7*LN(J1081)+'CAFCO 400 '!$D$8)*U1081^2)+(('CAFCO 400 '!$D$9*LN(J1081)+'CAFCO 400 '!$D$10)*U1081)+('CAFCO 400 '!$D$11*LN(J1081)+'CAFCO 400 '!$D$12))),0)+IF(AND(L1081="Cafco 400",M1081="Software Idiem",C1081="C"),((('CAFCO 400 '!$L$7*(J1081^3)+'CAFCO 400 '!$L$8*(J1081^2)+'CAFCO 400 '!$L$9*J1081+'CAFCO 400 '!$L$10)*U1081^2)+(('CAFCO 400 '!$L$11*(J1081^3)+'CAFCO 400 '!$L$12*(J1081^2)+'CAFCO 400 '!$L$13*J1081+'CAFCO 400 '!$L$14)*U1081)+('CAFCO 400 '!$L$15*LN(J1081)+'CAFCO 400 '!$L$16)),0)+IF(AND(L1081="Cafco 400",M1081="Software Idiem",C1081="L"),((('CAFCO 400 '!$L$7*(J1081^3)+'CAFCO 400 '!$L$8*(J1081^2)+'CAFCO 400 '!$L$9*J1081+'CAFCO 400 '!$L$10)*U1081^2)+(('CAFCO 400 '!$L$11*(J1081^3)+'CAFCO 400 '!$L$12*(J1081^2)+'CAFCO 400 '!$L$13*J1081+'CAFCO 400 '!$L$14)*U1081)+('CAFCO 400 '!$L$15*LN(J1081)+'CAFCO 400 '!$L$16)),0)+IF(AND(L1081="Cafco 400",M1081="Software Idiem",C1081="IN",G1081=3),((('CAFCO 400 '!$D$23*(J1081^2)+'CAFCO 400 '!$D$24*(J1081)+'CAFCO 400 '!$D$25)*U1081^2)+(('CAFCO 400 '!$D$26*(J1081^2)+'CAFCO 400 '!$D$27*J1081+'CAFCO 400 '!$D$28)*U1081)+('CAFCO 400 '!$D$29*(J1081^2)+'CAFCO 400 '!$D$30*J1081+'CAFCO 400 '!$D$31)),0),0)+IF(AND(L1081="Cafco 300",J1081&gt;=95,J1081&lt;=240,C1081="Cj",I1081=90),VLOOKUP(T1081,'CAFCO 300 IDIEM TABLAS'!$B$4:$D$23,2,FALSE),0)+IF(AND(L1081="Cafco 300",J1081&gt;=95,J1081&lt;=240,C1081="Cj",I1081=120),VLOOKUP(T1081,'CAFCO 300 IDIEM TABLAS'!$B$4:$D$23,3,FALSE),0)+IF(AND(L1081="Cafco 300",J1081&gt;=95,J1081&lt;=400,G1081=3,C1081="IN",I1081=90),VLOOKUP(T1081,'CAFCO 300 IDIEM TABLAS'!$F$4:$H$35,2,FALSE),0)+IF(AND(L1081="Cafco 300",J1081&gt;=95,J1081&lt;=400,G1081=3,C1081="IN",I1081=120),VLOOKUP(T1081,'CAFCO 300 IDIEM TABLAS'!$F$4:$H$35,3,FALSE),0)+IF(AND(L1081="Cafco 300",J1081&gt;=95,J1081&lt;=450,G1081=4,C1081="IN",I1081=90),VLOOKUP(T1081,'CAFCO 300 IDIEM TABLAS'!$J$4:$L$40,2,FALSE),0)+IF(AND(L1081="Cafco 300",J1081&gt;=95,J1081&lt;=450,G1081=4,C1081="IN",I1081=120),VLOOKUP(T1081,'CAFCO 300 IDIEM TABLAS'!$J$4:$L$40,3,FALSE),0)+IF(AND(M1081="Ensayo Idiem",L1081="Cafco 400",C1081="IN",G1081=4,I1081=90),VLOOKUP(T1081,'CAFCO 400 ENSAYO'!$B$7:$D$43,2,FALSE),0)+IF(AND(M1081="Ensayo Idiem",L1081="Cafco 400",C1081="IN",G1081=4,I1081=120),VLOOKUP(T1081,'CAFCO 400 ENSAYO'!$B$7:$D$43,3,FALSE),0)</f>
        <v>0</v>
      </c>
      <c r="O1081" s="96">
        <f t="shared" si="108"/>
        <v>0</v>
      </c>
      <c r="P1081" s="132" t="str">
        <f t="shared" si="109"/>
        <v>N/A</v>
      </c>
      <c r="Q1081" s="132" t="str">
        <f t="shared" si="110"/>
        <v>N/A</v>
      </c>
      <c r="R1081" s="132" t="str">
        <f t="shared" si="111"/>
        <v>NO CERT.</v>
      </c>
      <c r="S1081" s="132" t="e">
        <f t="shared" si="112"/>
        <v>#N/A</v>
      </c>
      <c r="T1081" s="133" t="e">
        <f>+IF(J1081=LOOKUP(J1081,'CAFCO 300 IDIEM TABLAS'!$J$4:$J$40),'CALCULO MORTERO'!J1081,MROUND('CALCULO MORTERO'!J1081,10))</f>
        <v>#N/A</v>
      </c>
      <c r="U1081" s="134">
        <f t="shared" si="113"/>
        <v>0</v>
      </c>
    </row>
    <row r="1082" spans="1:21" x14ac:dyDescent="0.25">
      <c r="A1082" s="118">
        <f>+CUBICACION!D1076</f>
        <v>0</v>
      </c>
      <c r="B1082" s="819">
        <f>+CUBICACION!E1076</f>
        <v>0</v>
      </c>
      <c r="C1082" s="675">
        <f>+CUBICACION!F1076</f>
        <v>0</v>
      </c>
      <c r="D1082" s="118"/>
      <c r="E1082" s="118"/>
      <c r="F1082" s="820"/>
      <c r="G1082" s="675">
        <f>+CUBICACION!J1076</f>
        <v>0</v>
      </c>
      <c r="H1082" s="118"/>
      <c r="I1082" s="821">
        <f>+CUBICACION!L1076</f>
        <v>0</v>
      </c>
      <c r="J1082" s="64">
        <f>+CUBICACION!M1076</f>
        <v>0</v>
      </c>
      <c r="K1082" s="822" t="str">
        <f>+CUBICACION!N1076</f>
        <v/>
      </c>
      <c r="L1082" s="118">
        <f>+CUBICACION!O1076</f>
        <v>0</v>
      </c>
      <c r="M1082" s="823">
        <f>+CUBICACION!P1076</f>
        <v>0</v>
      </c>
      <c r="N1082" s="902">
        <f>ROUND(IF(AND(L1082="Blaze Shield II",M1082="Software Idiem",C1082="IN",G1082=4),((('BLAZE SHIELD II'!$D$4*('CALCULO MORTERO'!I1082^2)+'BLAZE SHIELD II'!$D$5*'CALCULO MORTERO'!I1082+'BLAZE SHIELD II'!$D$6)*LN(J1082))+('BLAZE SHIELD II'!$D$7*('CALCULO MORTERO'!I1082^2)+'BLAZE SHIELD II'!$D$8*'CALCULO MORTERO'!I1082+'BLAZE SHIELD II'!$D$9)),0)+IF(AND(L1082="Blaze Shield II",M1082="Software Idiem",C1082="Cj"),((('BLAZE SHIELD II'!$H$4*('CALCULO MORTERO'!I1082^2)+'BLAZE SHIELD II'!$H$5*'CALCULO MORTERO'!I1082+'BLAZE SHIELD II'!$H$6)*LN(J1082))+('BLAZE SHIELD II'!$H$7*('CALCULO MORTERO'!I1082^2)+'BLAZE SHIELD II'!$H$8*'CALCULO MORTERO'!I1082+'BLAZE SHIELD II'!$H$9)),0)+IF(AND(L1082="Blaze Shield II",M1082="Software Idiem",C1082="C"),((('BLAZE SHIELD II'!$L$4*('CALCULO MORTERO'!I1082^2)+'BLAZE SHIELD II'!$L$5*'CALCULO MORTERO'!I1082+'BLAZE SHIELD II'!$L$6)*LN(J1082))+('BLAZE SHIELD II'!$L$7*('CALCULO MORTERO'!I1082^2)+'BLAZE SHIELD II'!$L$8*'CALCULO MORTERO'!I1082+'BLAZE SHIELD II'!$L$9)),0)+IF(AND(L1082="Blaze Shield II",M1082="Software Idiem",C1082="L"),((('BLAZE SHIELD II'!$L$4*('CALCULO MORTERO'!I1082^2)+'BLAZE SHIELD II'!$L$5*'CALCULO MORTERO'!I1082+'BLAZE SHIELD II'!$L$6)*LN(J1082))+('BLAZE SHIELD II'!$L$7*('CALCULO MORTERO'!I1082^2)+'BLAZE SHIELD II'!$L$8*'CALCULO MORTERO'!I1082+'BLAZE SHIELD II'!$L$9)),0)+IF(AND(L1082="Blaze Shield II",M1082="Software Idiem",C1082="IN",G1082=3),((('BLAZE SHIELD II'!$H$14*('CALCULO MORTERO'!I1082^2)+'BLAZE SHIELD II'!$H$15*'CALCULO MORTERO'!I1082+'BLAZE SHIELD II'!$H$16)*LN(J1082))+('BLAZE SHIELD II'!$H$17*('CALCULO MORTERO'!I1082^2)+'BLAZE SHIELD II'!$H$18*'CALCULO MORTERO'!I1082+'BLAZE SHIELD II'!$H$19)),0),0)+ROUND(IF(AND(L1082="Cafco 400",M1082="Software Idiem",C1082="IN",G1082=4),((('CAFCO 400 '!$H$7*(J1082^4)+'CAFCO 400 '!$H$8*(J1082^3)+'CAFCO 400 '!$H$9*(J1082^2)+'CAFCO 400 '!$H$10*J1082+'CAFCO 400 '!$H$11)*U1082^2)+(('CAFCO 400 '!$H$12*(J1082^3)+'CAFCO 400 '!$H$13*(J1082^2)+'CAFCO 400 '!$H$14*J1082+'CAFCO 400 '!$H$15)*U1082)+('CAFCO 400 '!$H$16*(J1082^2)+'CAFCO 400 '!$H$17*J1082+'CAFCO 400 '!$H$18)),0)+IF(AND(L1082="Cafco 400",M1082="Software Idiem",C1082="Cj"),(((('CAFCO 400 '!$D$7*LN(J1082)+'CAFCO 400 '!$D$8)*U1082^2)+(('CAFCO 400 '!$D$9*LN(J1082)+'CAFCO 400 '!$D$10)*U1082)+('CAFCO 400 '!$D$11*LN(J1082)+'CAFCO 400 '!$D$12))),0)+IF(AND(L1082="Cafco 400",M1082="Software Idiem",C1082="C"),((('CAFCO 400 '!$L$7*(J1082^3)+'CAFCO 400 '!$L$8*(J1082^2)+'CAFCO 400 '!$L$9*J1082+'CAFCO 400 '!$L$10)*U1082^2)+(('CAFCO 400 '!$L$11*(J1082^3)+'CAFCO 400 '!$L$12*(J1082^2)+'CAFCO 400 '!$L$13*J1082+'CAFCO 400 '!$L$14)*U1082)+('CAFCO 400 '!$L$15*LN(J1082)+'CAFCO 400 '!$L$16)),0)+IF(AND(L1082="Cafco 400",M1082="Software Idiem",C1082="L"),((('CAFCO 400 '!$L$7*(J1082^3)+'CAFCO 400 '!$L$8*(J1082^2)+'CAFCO 400 '!$L$9*J1082+'CAFCO 400 '!$L$10)*U1082^2)+(('CAFCO 400 '!$L$11*(J1082^3)+'CAFCO 400 '!$L$12*(J1082^2)+'CAFCO 400 '!$L$13*J1082+'CAFCO 400 '!$L$14)*U1082)+('CAFCO 400 '!$L$15*LN(J1082)+'CAFCO 400 '!$L$16)),0)+IF(AND(L1082="Cafco 400",M1082="Software Idiem",C1082="IN",G1082=3),((('CAFCO 400 '!$D$23*(J1082^2)+'CAFCO 400 '!$D$24*(J1082)+'CAFCO 400 '!$D$25)*U1082^2)+(('CAFCO 400 '!$D$26*(J1082^2)+'CAFCO 400 '!$D$27*J1082+'CAFCO 400 '!$D$28)*U1082)+('CAFCO 400 '!$D$29*(J1082^2)+'CAFCO 400 '!$D$30*J1082+'CAFCO 400 '!$D$31)),0),0)+IF(AND(L1082="Cafco 300",J1082&gt;=95,J1082&lt;=240,C1082="Cj",I1082=90),VLOOKUP(T1082,'CAFCO 300 IDIEM TABLAS'!$B$4:$D$23,2,FALSE),0)+IF(AND(L1082="Cafco 300",J1082&gt;=95,J1082&lt;=240,C1082="Cj",I1082=120),VLOOKUP(T1082,'CAFCO 300 IDIEM TABLAS'!$B$4:$D$23,3,FALSE),0)+IF(AND(L1082="Cafco 300",J1082&gt;=95,J1082&lt;=400,G1082=3,C1082="IN",I1082=90),VLOOKUP(T1082,'CAFCO 300 IDIEM TABLAS'!$F$4:$H$35,2,FALSE),0)+IF(AND(L1082="Cafco 300",J1082&gt;=95,J1082&lt;=400,G1082=3,C1082="IN",I1082=120),VLOOKUP(T1082,'CAFCO 300 IDIEM TABLAS'!$F$4:$H$35,3,FALSE),0)+IF(AND(L1082="Cafco 300",J1082&gt;=95,J1082&lt;=450,G1082=4,C1082="IN",I1082=90),VLOOKUP(T1082,'CAFCO 300 IDIEM TABLAS'!$J$4:$L$40,2,FALSE),0)+IF(AND(L1082="Cafco 300",J1082&gt;=95,J1082&lt;=450,G1082=4,C1082="IN",I1082=120),VLOOKUP(T1082,'CAFCO 300 IDIEM TABLAS'!$J$4:$L$40,3,FALSE),0)+IF(AND(M1082="Ensayo Idiem",L1082="Cafco 400",C1082="IN",G1082=4,I1082=90),VLOOKUP(T1082,'CAFCO 400 ENSAYO'!$B$7:$D$43,2,FALSE),0)+IF(AND(M1082="Ensayo Idiem",L1082="Cafco 400",C1082="IN",G1082=4,I1082=120),VLOOKUP(T1082,'CAFCO 400 ENSAYO'!$B$7:$D$43,3,FALSE),0)</f>
        <v>0</v>
      </c>
      <c r="O1082" s="96">
        <f t="shared" si="108"/>
        <v>0</v>
      </c>
      <c r="P1082" s="95" t="str">
        <f t="shared" si="109"/>
        <v>N/A</v>
      </c>
      <c r="Q1082" s="95" t="str">
        <f t="shared" si="110"/>
        <v>N/A</v>
      </c>
      <c r="R1082" s="95" t="str">
        <f t="shared" si="111"/>
        <v>NO CERT.</v>
      </c>
      <c r="S1082" s="95" t="e">
        <f t="shared" si="112"/>
        <v>#N/A</v>
      </c>
      <c r="T1082" s="119" t="e">
        <f>+IF(J1082=LOOKUP(J1082,'CAFCO 300 IDIEM TABLAS'!$J$4:$J$40),'CALCULO MORTERO'!J1082,MROUND('CALCULO MORTERO'!J1082,10))</f>
        <v>#N/A</v>
      </c>
      <c r="U1082" s="118">
        <f t="shared" si="113"/>
        <v>0</v>
      </c>
    </row>
    <row r="1083" spans="1:21" x14ac:dyDescent="0.25">
      <c r="A1083" s="118">
        <f>+CUBICACION!D1077</f>
        <v>0</v>
      </c>
      <c r="B1083" s="819">
        <f>+CUBICACION!E1077</f>
        <v>0</v>
      </c>
      <c r="C1083" s="675">
        <f>+CUBICACION!F1077</f>
        <v>0</v>
      </c>
      <c r="D1083" s="118"/>
      <c r="E1083" s="118"/>
      <c r="F1083" s="820"/>
      <c r="G1083" s="675">
        <f>+CUBICACION!J1077</f>
        <v>0</v>
      </c>
      <c r="H1083" s="118"/>
      <c r="I1083" s="821">
        <f>+CUBICACION!L1077</f>
        <v>0</v>
      </c>
      <c r="J1083" s="64">
        <f>+CUBICACION!M1077</f>
        <v>0</v>
      </c>
      <c r="K1083" s="822" t="str">
        <f>+CUBICACION!N1077</f>
        <v/>
      </c>
      <c r="L1083" s="118">
        <f>+CUBICACION!O1077</f>
        <v>0</v>
      </c>
      <c r="M1083" s="823">
        <f>+CUBICACION!P1077</f>
        <v>0</v>
      </c>
      <c r="N1083" s="902">
        <f>ROUND(IF(AND(L1083="Blaze Shield II",M1083="Software Idiem",C1083="IN",G1083=4),((('BLAZE SHIELD II'!$D$4*('CALCULO MORTERO'!I1083^2)+'BLAZE SHIELD II'!$D$5*'CALCULO MORTERO'!I1083+'BLAZE SHIELD II'!$D$6)*LN(J1083))+('BLAZE SHIELD II'!$D$7*('CALCULO MORTERO'!I1083^2)+'BLAZE SHIELD II'!$D$8*'CALCULO MORTERO'!I1083+'BLAZE SHIELD II'!$D$9)),0)+IF(AND(L1083="Blaze Shield II",M1083="Software Idiem",C1083="Cj"),((('BLAZE SHIELD II'!$H$4*('CALCULO MORTERO'!I1083^2)+'BLAZE SHIELD II'!$H$5*'CALCULO MORTERO'!I1083+'BLAZE SHIELD II'!$H$6)*LN(J1083))+('BLAZE SHIELD II'!$H$7*('CALCULO MORTERO'!I1083^2)+'BLAZE SHIELD II'!$H$8*'CALCULO MORTERO'!I1083+'BLAZE SHIELD II'!$H$9)),0)+IF(AND(L1083="Blaze Shield II",M1083="Software Idiem",C1083="C"),((('BLAZE SHIELD II'!$L$4*('CALCULO MORTERO'!I1083^2)+'BLAZE SHIELD II'!$L$5*'CALCULO MORTERO'!I1083+'BLAZE SHIELD II'!$L$6)*LN(J1083))+('BLAZE SHIELD II'!$L$7*('CALCULO MORTERO'!I1083^2)+'BLAZE SHIELD II'!$L$8*'CALCULO MORTERO'!I1083+'BLAZE SHIELD II'!$L$9)),0)+IF(AND(L1083="Blaze Shield II",M1083="Software Idiem",C1083="L"),((('BLAZE SHIELD II'!$L$4*('CALCULO MORTERO'!I1083^2)+'BLAZE SHIELD II'!$L$5*'CALCULO MORTERO'!I1083+'BLAZE SHIELD II'!$L$6)*LN(J1083))+('BLAZE SHIELD II'!$L$7*('CALCULO MORTERO'!I1083^2)+'BLAZE SHIELD II'!$L$8*'CALCULO MORTERO'!I1083+'BLAZE SHIELD II'!$L$9)),0)+IF(AND(L1083="Blaze Shield II",M1083="Software Idiem",C1083="IN",G1083=3),((('BLAZE SHIELD II'!$H$14*('CALCULO MORTERO'!I1083^2)+'BLAZE SHIELD II'!$H$15*'CALCULO MORTERO'!I1083+'BLAZE SHIELD II'!$H$16)*LN(J1083))+('BLAZE SHIELD II'!$H$17*('CALCULO MORTERO'!I1083^2)+'BLAZE SHIELD II'!$H$18*'CALCULO MORTERO'!I1083+'BLAZE SHIELD II'!$H$19)),0),0)+ROUND(IF(AND(L1083="Cafco 400",M1083="Software Idiem",C1083="IN",G1083=4),((('CAFCO 400 '!$H$7*(J1083^4)+'CAFCO 400 '!$H$8*(J1083^3)+'CAFCO 400 '!$H$9*(J1083^2)+'CAFCO 400 '!$H$10*J1083+'CAFCO 400 '!$H$11)*U1083^2)+(('CAFCO 400 '!$H$12*(J1083^3)+'CAFCO 400 '!$H$13*(J1083^2)+'CAFCO 400 '!$H$14*J1083+'CAFCO 400 '!$H$15)*U1083)+('CAFCO 400 '!$H$16*(J1083^2)+'CAFCO 400 '!$H$17*J1083+'CAFCO 400 '!$H$18)),0)+IF(AND(L1083="Cafco 400",M1083="Software Idiem",C1083="Cj"),(((('CAFCO 400 '!$D$7*LN(J1083)+'CAFCO 400 '!$D$8)*U1083^2)+(('CAFCO 400 '!$D$9*LN(J1083)+'CAFCO 400 '!$D$10)*U1083)+('CAFCO 400 '!$D$11*LN(J1083)+'CAFCO 400 '!$D$12))),0)+IF(AND(L1083="Cafco 400",M1083="Software Idiem",C1083="C"),((('CAFCO 400 '!$L$7*(J1083^3)+'CAFCO 400 '!$L$8*(J1083^2)+'CAFCO 400 '!$L$9*J1083+'CAFCO 400 '!$L$10)*U1083^2)+(('CAFCO 400 '!$L$11*(J1083^3)+'CAFCO 400 '!$L$12*(J1083^2)+'CAFCO 400 '!$L$13*J1083+'CAFCO 400 '!$L$14)*U1083)+('CAFCO 400 '!$L$15*LN(J1083)+'CAFCO 400 '!$L$16)),0)+IF(AND(L1083="Cafco 400",M1083="Software Idiem",C1083="L"),((('CAFCO 400 '!$L$7*(J1083^3)+'CAFCO 400 '!$L$8*(J1083^2)+'CAFCO 400 '!$L$9*J1083+'CAFCO 400 '!$L$10)*U1083^2)+(('CAFCO 400 '!$L$11*(J1083^3)+'CAFCO 400 '!$L$12*(J1083^2)+'CAFCO 400 '!$L$13*J1083+'CAFCO 400 '!$L$14)*U1083)+('CAFCO 400 '!$L$15*LN(J1083)+'CAFCO 400 '!$L$16)),0)+IF(AND(L1083="Cafco 400",M1083="Software Idiem",C1083="IN",G1083=3),((('CAFCO 400 '!$D$23*(J1083^2)+'CAFCO 400 '!$D$24*(J1083)+'CAFCO 400 '!$D$25)*U1083^2)+(('CAFCO 400 '!$D$26*(J1083^2)+'CAFCO 400 '!$D$27*J1083+'CAFCO 400 '!$D$28)*U1083)+('CAFCO 400 '!$D$29*(J1083^2)+'CAFCO 400 '!$D$30*J1083+'CAFCO 400 '!$D$31)),0),0)+IF(AND(L1083="Cafco 300",J1083&gt;=95,J1083&lt;=240,C1083="Cj",I1083=90),VLOOKUP(T1083,'CAFCO 300 IDIEM TABLAS'!$B$4:$D$23,2,FALSE),0)+IF(AND(L1083="Cafco 300",J1083&gt;=95,J1083&lt;=240,C1083="Cj",I1083=120),VLOOKUP(T1083,'CAFCO 300 IDIEM TABLAS'!$B$4:$D$23,3,FALSE),0)+IF(AND(L1083="Cafco 300",J1083&gt;=95,J1083&lt;=400,G1083=3,C1083="IN",I1083=90),VLOOKUP(T1083,'CAFCO 300 IDIEM TABLAS'!$F$4:$H$35,2,FALSE),0)+IF(AND(L1083="Cafco 300",J1083&gt;=95,J1083&lt;=400,G1083=3,C1083="IN",I1083=120),VLOOKUP(T1083,'CAFCO 300 IDIEM TABLAS'!$F$4:$H$35,3,FALSE),0)+IF(AND(L1083="Cafco 300",J1083&gt;=95,J1083&lt;=450,G1083=4,C1083="IN",I1083=90),VLOOKUP(T1083,'CAFCO 300 IDIEM TABLAS'!$J$4:$L$40,2,FALSE),0)+IF(AND(L1083="Cafco 300",J1083&gt;=95,J1083&lt;=450,G1083=4,C1083="IN",I1083=120),VLOOKUP(T1083,'CAFCO 300 IDIEM TABLAS'!$J$4:$L$40,3,FALSE),0)+IF(AND(M1083="Ensayo Idiem",L1083="Cafco 400",C1083="IN",G1083=4,I1083=90),VLOOKUP(T1083,'CAFCO 400 ENSAYO'!$B$7:$D$43,2,FALSE),0)+IF(AND(M1083="Ensayo Idiem",L1083="Cafco 400",C1083="IN",G1083=4,I1083=120),VLOOKUP(T1083,'CAFCO 400 ENSAYO'!$B$7:$D$43,3,FALSE),0)</f>
        <v>0</v>
      </c>
      <c r="O1083" s="96">
        <f t="shared" si="108"/>
        <v>0</v>
      </c>
      <c r="P1083" s="132" t="str">
        <f t="shared" si="109"/>
        <v>N/A</v>
      </c>
      <c r="Q1083" s="132" t="str">
        <f t="shared" si="110"/>
        <v>N/A</v>
      </c>
      <c r="R1083" s="132" t="str">
        <f t="shared" si="111"/>
        <v>NO CERT.</v>
      </c>
      <c r="S1083" s="132" t="e">
        <f t="shared" si="112"/>
        <v>#N/A</v>
      </c>
      <c r="T1083" s="133" t="e">
        <f>+IF(J1083=LOOKUP(J1083,'CAFCO 300 IDIEM TABLAS'!$J$4:$J$40),'CALCULO MORTERO'!J1083,MROUND('CALCULO MORTERO'!J1083,10))</f>
        <v>#N/A</v>
      </c>
      <c r="U1083" s="134">
        <f t="shared" si="113"/>
        <v>0</v>
      </c>
    </row>
    <row r="1084" spans="1:21" x14ac:dyDescent="0.25">
      <c r="A1084" s="118">
        <f>+CUBICACION!D1078</f>
        <v>0</v>
      </c>
      <c r="B1084" s="819">
        <f>+CUBICACION!E1078</f>
        <v>0</v>
      </c>
      <c r="C1084" s="675">
        <f>+CUBICACION!F1078</f>
        <v>0</v>
      </c>
      <c r="D1084" s="118"/>
      <c r="E1084" s="118"/>
      <c r="F1084" s="820"/>
      <c r="G1084" s="675">
        <f>+CUBICACION!J1078</f>
        <v>0</v>
      </c>
      <c r="H1084" s="118"/>
      <c r="I1084" s="821">
        <f>+CUBICACION!L1078</f>
        <v>0</v>
      </c>
      <c r="J1084" s="64">
        <f>+CUBICACION!M1078</f>
        <v>0</v>
      </c>
      <c r="K1084" s="822" t="str">
        <f>+CUBICACION!N1078</f>
        <v/>
      </c>
      <c r="L1084" s="118">
        <f>+CUBICACION!O1078</f>
        <v>0</v>
      </c>
      <c r="M1084" s="823">
        <f>+CUBICACION!P1078</f>
        <v>0</v>
      </c>
      <c r="N1084" s="902">
        <f>ROUND(IF(AND(L1084="Blaze Shield II",M1084="Software Idiem",C1084="IN",G1084=4),((('BLAZE SHIELD II'!$D$4*('CALCULO MORTERO'!I1084^2)+'BLAZE SHIELD II'!$D$5*'CALCULO MORTERO'!I1084+'BLAZE SHIELD II'!$D$6)*LN(J1084))+('BLAZE SHIELD II'!$D$7*('CALCULO MORTERO'!I1084^2)+'BLAZE SHIELD II'!$D$8*'CALCULO MORTERO'!I1084+'BLAZE SHIELD II'!$D$9)),0)+IF(AND(L1084="Blaze Shield II",M1084="Software Idiem",C1084="Cj"),((('BLAZE SHIELD II'!$H$4*('CALCULO MORTERO'!I1084^2)+'BLAZE SHIELD II'!$H$5*'CALCULO MORTERO'!I1084+'BLAZE SHIELD II'!$H$6)*LN(J1084))+('BLAZE SHIELD II'!$H$7*('CALCULO MORTERO'!I1084^2)+'BLAZE SHIELD II'!$H$8*'CALCULO MORTERO'!I1084+'BLAZE SHIELD II'!$H$9)),0)+IF(AND(L1084="Blaze Shield II",M1084="Software Idiem",C1084="C"),((('BLAZE SHIELD II'!$L$4*('CALCULO MORTERO'!I1084^2)+'BLAZE SHIELD II'!$L$5*'CALCULO MORTERO'!I1084+'BLAZE SHIELD II'!$L$6)*LN(J1084))+('BLAZE SHIELD II'!$L$7*('CALCULO MORTERO'!I1084^2)+'BLAZE SHIELD II'!$L$8*'CALCULO MORTERO'!I1084+'BLAZE SHIELD II'!$L$9)),0)+IF(AND(L1084="Blaze Shield II",M1084="Software Idiem",C1084="L"),((('BLAZE SHIELD II'!$L$4*('CALCULO MORTERO'!I1084^2)+'BLAZE SHIELD II'!$L$5*'CALCULO MORTERO'!I1084+'BLAZE SHIELD II'!$L$6)*LN(J1084))+('BLAZE SHIELD II'!$L$7*('CALCULO MORTERO'!I1084^2)+'BLAZE SHIELD II'!$L$8*'CALCULO MORTERO'!I1084+'BLAZE SHIELD II'!$L$9)),0)+IF(AND(L1084="Blaze Shield II",M1084="Software Idiem",C1084="IN",G1084=3),((('BLAZE SHIELD II'!$H$14*('CALCULO MORTERO'!I1084^2)+'BLAZE SHIELD II'!$H$15*'CALCULO MORTERO'!I1084+'BLAZE SHIELD II'!$H$16)*LN(J1084))+('BLAZE SHIELD II'!$H$17*('CALCULO MORTERO'!I1084^2)+'BLAZE SHIELD II'!$H$18*'CALCULO MORTERO'!I1084+'BLAZE SHIELD II'!$H$19)),0),0)+ROUND(IF(AND(L1084="Cafco 400",M1084="Software Idiem",C1084="IN",G1084=4),((('CAFCO 400 '!$H$7*(J1084^4)+'CAFCO 400 '!$H$8*(J1084^3)+'CAFCO 400 '!$H$9*(J1084^2)+'CAFCO 400 '!$H$10*J1084+'CAFCO 400 '!$H$11)*U1084^2)+(('CAFCO 400 '!$H$12*(J1084^3)+'CAFCO 400 '!$H$13*(J1084^2)+'CAFCO 400 '!$H$14*J1084+'CAFCO 400 '!$H$15)*U1084)+('CAFCO 400 '!$H$16*(J1084^2)+'CAFCO 400 '!$H$17*J1084+'CAFCO 400 '!$H$18)),0)+IF(AND(L1084="Cafco 400",M1084="Software Idiem",C1084="Cj"),(((('CAFCO 400 '!$D$7*LN(J1084)+'CAFCO 400 '!$D$8)*U1084^2)+(('CAFCO 400 '!$D$9*LN(J1084)+'CAFCO 400 '!$D$10)*U1084)+('CAFCO 400 '!$D$11*LN(J1084)+'CAFCO 400 '!$D$12))),0)+IF(AND(L1084="Cafco 400",M1084="Software Idiem",C1084="C"),((('CAFCO 400 '!$L$7*(J1084^3)+'CAFCO 400 '!$L$8*(J1084^2)+'CAFCO 400 '!$L$9*J1084+'CAFCO 400 '!$L$10)*U1084^2)+(('CAFCO 400 '!$L$11*(J1084^3)+'CAFCO 400 '!$L$12*(J1084^2)+'CAFCO 400 '!$L$13*J1084+'CAFCO 400 '!$L$14)*U1084)+('CAFCO 400 '!$L$15*LN(J1084)+'CAFCO 400 '!$L$16)),0)+IF(AND(L1084="Cafco 400",M1084="Software Idiem",C1084="L"),((('CAFCO 400 '!$L$7*(J1084^3)+'CAFCO 400 '!$L$8*(J1084^2)+'CAFCO 400 '!$L$9*J1084+'CAFCO 400 '!$L$10)*U1084^2)+(('CAFCO 400 '!$L$11*(J1084^3)+'CAFCO 400 '!$L$12*(J1084^2)+'CAFCO 400 '!$L$13*J1084+'CAFCO 400 '!$L$14)*U1084)+('CAFCO 400 '!$L$15*LN(J1084)+'CAFCO 400 '!$L$16)),0)+IF(AND(L1084="Cafco 400",M1084="Software Idiem",C1084="IN",G1084=3),((('CAFCO 400 '!$D$23*(J1084^2)+'CAFCO 400 '!$D$24*(J1084)+'CAFCO 400 '!$D$25)*U1084^2)+(('CAFCO 400 '!$D$26*(J1084^2)+'CAFCO 400 '!$D$27*J1084+'CAFCO 400 '!$D$28)*U1084)+('CAFCO 400 '!$D$29*(J1084^2)+'CAFCO 400 '!$D$30*J1084+'CAFCO 400 '!$D$31)),0),0)+IF(AND(L1084="Cafco 300",J1084&gt;=95,J1084&lt;=240,C1084="Cj",I1084=90),VLOOKUP(T1084,'CAFCO 300 IDIEM TABLAS'!$B$4:$D$23,2,FALSE),0)+IF(AND(L1084="Cafco 300",J1084&gt;=95,J1084&lt;=240,C1084="Cj",I1084=120),VLOOKUP(T1084,'CAFCO 300 IDIEM TABLAS'!$B$4:$D$23,3,FALSE),0)+IF(AND(L1084="Cafco 300",J1084&gt;=95,J1084&lt;=400,G1084=3,C1084="IN",I1084=90),VLOOKUP(T1084,'CAFCO 300 IDIEM TABLAS'!$F$4:$H$35,2,FALSE),0)+IF(AND(L1084="Cafco 300",J1084&gt;=95,J1084&lt;=400,G1084=3,C1084="IN",I1084=120),VLOOKUP(T1084,'CAFCO 300 IDIEM TABLAS'!$F$4:$H$35,3,FALSE),0)+IF(AND(L1084="Cafco 300",J1084&gt;=95,J1084&lt;=450,G1084=4,C1084="IN",I1084=90),VLOOKUP(T1084,'CAFCO 300 IDIEM TABLAS'!$J$4:$L$40,2,FALSE),0)+IF(AND(L1084="Cafco 300",J1084&gt;=95,J1084&lt;=450,G1084=4,C1084="IN",I1084=120),VLOOKUP(T1084,'CAFCO 300 IDIEM TABLAS'!$J$4:$L$40,3,FALSE),0)+IF(AND(M1084="Ensayo Idiem",L1084="Cafco 400",C1084="IN",G1084=4,I1084=90),VLOOKUP(T1084,'CAFCO 400 ENSAYO'!$B$7:$D$43,2,FALSE),0)+IF(AND(M1084="Ensayo Idiem",L1084="Cafco 400",C1084="IN",G1084=4,I1084=120),VLOOKUP(T1084,'CAFCO 400 ENSAYO'!$B$7:$D$43,3,FALSE),0)</f>
        <v>0</v>
      </c>
      <c r="O1084" s="96">
        <f t="shared" si="108"/>
        <v>0</v>
      </c>
      <c r="P1084" s="95" t="str">
        <f t="shared" si="109"/>
        <v>N/A</v>
      </c>
      <c r="Q1084" s="95" t="str">
        <f t="shared" si="110"/>
        <v>N/A</v>
      </c>
      <c r="R1084" s="95" t="str">
        <f t="shared" si="111"/>
        <v>NO CERT.</v>
      </c>
      <c r="S1084" s="95" t="e">
        <f t="shared" si="112"/>
        <v>#N/A</v>
      </c>
      <c r="T1084" s="119" t="e">
        <f>+IF(J1084=LOOKUP(J1084,'CAFCO 300 IDIEM TABLAS'!$J$4:$J$40),'CALCULO MORTERO'!J1084,MROUND('CALCULO MORTERO'!J1084,10))</f>
        <v>#N/A</v>
      </c>
      <c r="U1084" s="118">
        <f t="shared" si="113"/>
        <v>0</v>
      </c>
    </row>
    <row r="1085" spans="1:21" x14ac:dyDescent="0.25">
      <c r="A1085" s="118">
        <f>+CUBICACION!D1079</f>
        <v>0</v>
      </c>
      <c r="B1085" s="819">
        <f>+CUBICACION!E1079</f>
        <v>0</v>
      </c>
      <c r="C1085" s="675">
        <f>+CUBICACION!F1079</f>
        <v>0</v>
      </c>
      <c r="D1085" s="118"/>
      <c r="E1085" s="118"/>
      <c r="F1085" s="820"/>
      <c r="G1085" s="675">
        <f>+CUBICACION!J1079</f>
        <v>0</v>
      </c>
      <c r="H1085" s="118"/>
      <c r="I1085" s="821">
        <f>+CUBICACION!L1079</f>
        <v>0</v>
      </c>
      <c r="J1085" s="64">
        <f>+CUBICACION!M1079</f>
        <v>0</v>
      </c>
      <c r="K1085" s="822" t="str">
        <f>+CUBICACION!N1079</f>
        <v/>
      </c>
      <c r="L1085" s="118">
        <f>+CUBICACION!O1079</f>
        <v>0</v>
      </c>
      <c r="M1085" s="823">
        <f>+CUBICACION!P1079</f>
        <v>0</v>
      </c>
      <c r="N1085" s="902">
        <f>ROUND(IF(AND(L1085="Blaze Shield II",M1085="Software Idiem",C1085="IN",G1085=4),((('BLAZE SHIELD II'!$D$4*('CALCULO MORTERO'!I1085^2)+'BLAZE SHIELD II'!$D$5*'CALCULO MORTERO'!I1085+'BLAZE SHIELD II'!$D$6)*LN(J1085))+('BLAZE SHIELD II'!$D$7*('CALCULO MORTERO'!I1085^2)+'BLAZE SHIELD II'!$D$8*'CALCULO MORTERO'!I1085+'BLAZE SHIELD II'!$D$9)),0)+IF(AND(L1085="Blaze Shield II",M1085="Software Idiem",C1085="Cj"),((('BLAZE SHIELD II'!$H$4*('CALCULO MORTERO'!I1085^2)+'BLAZE SHIELD II'!$H$5*'CALCULO MORTERO'!I1085+'BLAZE SHIELD II'!$H$6)*LN(J1085))+('BLAZE SHIELD II'!$H$7*('CALCULO MORTERO'!I1085^2)+'BLAZE SHIELD II'!$H$8*'CALCULO MORTERO'!I1085+'BLAZE SHIELD II'!$H$9)),0)+IF(AND(L1085="Blaze Shield II",M1085="Software Idiem",C1085="C"),((('BLAZE SHIELD II'!$L$4*('CALCULO MORTERO'!I1085^2)+'BLAZE SHIELD II'!$L$5*'CALCULO MORTERO'!I1085+'BLAZE SHIELD II'!$L$6)*LN(J1085))+('BLAZE SHIELD II'!$L$7*('CALCULO MORTERO'!I1085^2)+'BLAZE SHIELD II'!$L$8*'CALCULO MORTERO'!I1085+'BLAZE SHIELD II'!$L$9)),0)+IF(AND(L1085="Blaze Shield II",M1085="Software Idiem",C1085="L"),((('BLAZE SHIELD II'!$L$4*('CALCULO MORTERO'!I1085^2)+'BLAZE SHIELD II'!$L$5*'CALCULO MORTERO'!I1085+'BLAZE SHIELD II'!$L$6)*LN(J1085))+('BLAZE SHIELD II'!$L$7*('CALCULO MORTERO'!I1085^2)+'BLAZE SHIELD II'!$L$8*'CALCULO MORTERO'!I1085+'BLAZE SHIELD II'!$L$9)),0)+IF(AND(L1085="Blaze Shield II",M1085="Software Idiem",C1085="IN",G1085=3),((('BLAZE SHIELD II'!$H$14*('CALCULO MORTERO'!I1085^2)+'BLAZE SHIELD II'!$H$15*'CALCULO MORTERO'!I1085+'BLAZE SHIELD II'!$H$16)*LN(J1085))+('BLAZE SHIELD II'!$H$17*('CALCULO MORTERO'!I1085^2)+'BLAZE SHIELD II'!$H$18*'CALCULO MORTERO'!I1085+'BLAZE SHIELD II'!$H$19)),0),0)+ROUND(IF(AND(L1085="Cafco 400",M1085="Software Idiem",C1085="IN",G1085=4),((('CAFCO 400 '!$H$7*(J1085^4)+'CAFCO 400 '!$H$8*(J1085^3)+'CAFCO 400 '!$H$9*(J1085^2)+'CAFCO 400 '!$H$10*J1085+'CAFCO 400 '!$H$11)*U1085^2)+(('CAFCO 400 '!$H$12*(J1085^3)+'CAFCO 400 '!$H$13*(J1085^2)+'CAFCO 400 '!$H$14*J1085+'CAFCO 400 '!$H$15)*U1085)+('CAFCO 400 '!$H$16*(J1085^2)+'CAFCO 400 '!$H$17*J1085+'CAFCO 400 '!$H$18)),0)+IF(AND(L1085="Cafco 400",M1085="Software Idiem",C1085="Cj"),(((('CAFCO 400 '!$D$7*LN(J1085)+'CAFCO 400 '!$D$8)*U1085^2)+(('CAFCO 400 '!$D$9*LN(J1085)+'CAFCO 400 '!$D$10)*U1085)+('CAFCO 400 '!$D$11*LN(J1085)+'CAFCO 400 '!$D$12))),0)+IF(AND(L1085="Cafco 400",M1085="Software Idiem",C1085="C"),((('CAFCO 400 '!$L$7*(J1085^3)+'CAFCO 400 '!$L$8*(J1085^2)+'CAFCO 400 '!$L$9*J1085+'CAFCO 400 '!$L$10)*U1085^2)+(('CAFCO 400 '!$L$11*(J1085^3)+'CAFCO 400 '!$L$12*(J1085^2)+'CAFCO 400 '!$L$13*J1085+'CAFCO 400 '!$L$14)*U1085)+('CAFCO 400 '!$L$15*LN(J1085)+'CAFCO 400 '!$L$16)),0)+IF(AND(L1085="Cafco 400",M1085="Software Idiem",C1085="L"),((('CAFCO 400 '!$L$7*(J1085^3)+'CAFCO 400 '!$L$8*(J1085^2)+'CAFCO 400 '!$L$9*J1085+'CAFCO 400 '!$L$10)*U1085^2)+(('CAFCO 400 '!$L$11*(J1085^3)+'CAFCO 400 '!$L$12*(J1085^2)+'CAFCO 400 '!$L$13*J1085+'CAFCO 400 '!$L$14)*U1085)+('CAFCO 400 '!$L$15*LN(J1085)+'CAFCO 400 '!$L$16)),0)+IF(AND(L1085="Cafco 400",M1085="Software Idiem",C1085="IN",G1085=3),((('CAFCO 400 '!$D$23*(J1085^2)+'CAFCO 400 '!$D$24*(J1085)+'CAFCO 400 '!$D$25)*U1085^2)+(('CAFCO 400 '!$D$26*(J1085^2)+'CAFCO 400 '!$D$27*J1085+'CAFCO 400 '!$D$28)*U1085)+('CAFCO 400 '!$D$29*(J1085^2)+'CAFCO 400 '!$D$30*J1085+'CAFCO 400 '!$D$31)),0),0)+IF(AND(L1085="Cafco 300",J1085&gt;=95,J1085&lt;=240,C1085="Cj",I1085=90),VLOOKUP(T1085,'CAFCO 300 IDIEM TABLAS'!$B$4:$D$23,2,FALSE),0)+IF(AND(L1085="Cafco 300",J1085&gt;=95,J1085&lt;=240,C1085="Cj",I1085=120),VLOOKUP(T1085,'CAFCO 300 IDIEM TABLAS'!$B$4:$D$23,3,FALSE),0)+IF(AND(L1085="Cafco 300",J1085&gt;=95,J1085&lt;=400,G1085=3,C1085="IN",I1085=90),VLOOKUP(T1085,'CAFCO 300 IDIEM TABLAS'!$F$4:$H$35,2,FALSE),0)+IF(AND(L1085="Cafco 300",J1085&gt;=95,J1085&lt;=400,G1085=3,C1085="IN",I1085=120),VLOOKUP(T1085,'CAFCO 300 IDIEM TABLAS'!$F$4:$H$35,3,FALSE),0)+IF(AND(L1085="Cafco 300",J1085&gt;=95,J1085&lt;=450,G1085=4,C1085="IN",I1085=90),VLOOKUP(T1085,'CAFCO 300 IDIEM TABLAS'!$J$4:$L$40,2,FALSE),0)+IF(AND(L1085="Cafco 300",J1085&gt;=95,J1085&lt;=450,G1085=4,C1085="IN",I1085=120),VLOOKUP(T1085,'CAFCO 300 IDIEM TABLAS'!$J$4:$L$40,3,FALSE),0)+IF(AND(M1085="Ensayo Idiem",L1085="Cafco 400",C1085="IN",G1085=4,I1085=90),VLOOKUP(T1085,'CAFCO 400 ENSAYO'!$B$7:$D$43,2,FALSE),0)+IF(AND(M1085="Ensayo Idiem",L1085="Cafco 400",C1085="IN",G1085=4,I1085=120),VLOOKUP(T1085,'CAFCO 400 ENSAYO'!$B$7:$D$43,3,FALSE),0)</f>
        <v>0</v>
      </c>
      <c r="O1085" s="96">
        <f t="shared" si="108"/>
        <v>0</v>
      </c>
      <c r="P1085" s="132" t="str">
        <f t="shared" si="109"/>
        <v>N/A</v>
      </c>
      <c r="Q1085" s="132" t="str">
        <f t="shared" si="110"/>
        <v>N/A</v>
      </c>
      <c r="R1085" s="132" t="str">
        <f t="shared" si="111"/>
        <v>NO CERT.</v>
      </c>
      <c r="S1085" s="132" t="e">
        <f t="shared" si="112"/>
        <v>#N/A</v>
      </c>
      <c r="T1085" s="133" t="e">
        <f>+IF(J1085=LOOKUP(J1085,'CAFCO 300 IDIEM TABLAS'!$J$4:$J$40),'CALCULO MORTERO'!J1085,MROUND('CALCULO MORTERO'!J1085,10))</f>
        <v>#N/A</v>
      </c>
      <c r="U1085" s="134">
        <f t="shared" si="113"/>
        <v>0</v>
      </c>
    </row>
    <row r="1086" spans="1:21" x14ac:dyDescent="0.25">
      <c r="A1086" s="118">
        <f>+CUBICACION!D1080</f>
        <v>0</v>
      </c>
      <c r="B1086" s="819">
        <f>+CUBICACION!E1080</f>
        <v>0</v>
      </c>
      <c r="C1086" s="675">
        <f>+CUBICACION!F1080</f>
        <v>0</v>
      </c>
      <c r="D1086" s="118"/>
      <c r="E1086" s="118"/>
      <c r="F1086" s="820"/>
      <c r="G1086" s="675">
        <f>+CUBICACION!J1080</f>
        <v>0</v>
      </c>
      <c r="H1086" s="118"/>
      <c r="I1086" s="821">
        <f>+CUBICACION!L1080</f>
        <v>0</v>
      </c>
      <c r="J1086" s="64">
        <f>+CUBICACION!M1080</f>
        <v>0</v>
      </c>
      <c r="K1086" s="822" t="str">
        <f>+CUBICACION!N1080</f>
        <v/>
      </c>
      <c r="L1086" s="118">
        <f>+CUBICACION!O1080</f>
        <v>0</v>
      </c>
      <c r="M1086" s="823">
        <f>+CUBICACION!P1080</f>
        <v>0</v>
      </c>
      <c r="N1086" s="902">
        <f>ROUND(IF(AND(L1086="Blaze Shield II",M1086="Software Idiem",C1086="IN",G1086=4),((('BLAZE SHIELD II'!$D$4*('CALCULO MORTERO'!I1086^2)+'BLAZE SHIELD II'!$D$5*'CALCULO MORTERO'!I1086+'BLAZE SHIELD II'!$D$6)*LN(J1086))+('BLAZE SHIELD II'!$D$7*('CALCULO MORTERO'!I1086^2)+'BLAZE SHIELD II'!$D$8*'CALCULO MORTERO'!I1086+'BLAZE SHIELD II'!$D$9)),0)+IF(AND(L1086="Blaze Shield II",M1086="Software Idiem",C1086="Cj"),((('BLAZE SHIELD II'!$H$4*('CALCULO MORTERO'!I1086^2)+'BLAZE SHIELD II'!$H$5*'CALCULO MORTERO'!I1086+'BLAZE SHIELD II'!$H$6)*LN(J1086))+('BLAZE SHIELD II'!$H$7*('CALCULO MORTERO'!I1086^2)+'BLAZE SHIELD II'!$H$8*'CALCULO MORTERO'!I1086+'BLAZE SHIELD II'!$H$9)),0)+IF(AND(L1086="Blaze Shield II",M1086="Software Idiem",C1086="C"),((('BLAZE SHIELD II'!$L$4*('CALCULO MORTERO'!I1086^2)+'BLAZE SHIELD II'!$L$5*'CALCULO MORTERO'!I1086+'BLAZE SHIELD II'!$L$6)*LN(J1086))+('BLAZE SHIELD II'!$L$7*('CALCULO MORTERO'!I1086^2)+'BLAZE SHIELD II'!$L$8*'CALCULO MORTERO'!I1086+'BLAZE SHIELD II'!$L$9)),0)+IF(AND(L1086="Blaze Shield II",M1086="Software Idiem",C1086="L"),((('BLAZE SHIELD II'!$L$4*('CALCULO MORTERO'!I1086^2)+'BLAZE SHIELD II'!$L$5*'CALCULO MORTERO'!I1086+'BLAZE SHIELD II'!$L$6)*LN(J1086))+('BLAZE SHIELD II'!$L$7*('CALCULO MORTERO'!I1086^2)+'BLAZE SHIELD II'!$L$8*'CALCULO MORTERO'!I1086+'BLAZE SHIELD II'!$L$9)),0)+IF(AND(L1086="Blaze Shield II",M1086="Software Idiem",C1086="IN",G1086=3),((('BLAZE SHIELD II'!$H$14*('CALCULO MORTERO'!I1086^2)+'BLAZE SHIELD II'!$H$15*'CALCULO MORTERO'!I1086+'BLAZE SHIELD II'!$H$16)*LN(J1086))+('BLAZE SHIELD II'!$H$17*('CALCULO MORTERO'!I1086^2)+'BLAZE SHIELD II'!$H$18*'CALCULO MORTERO'!I1086+'BLAZE SHIELD II'!$H$19)),0),0)+ROUND(IF(AND(L1086="Cafco 400",M1086="Software Idiem",C1086="IN",G1086=4),((('CAFCO 400 '!$H$7*(J1086^4)+'CAFCO 400 '!$H$8*(J1086^3)+'CAFCO 400 '!$H$9*(J1086^2)+'CAFCO 400 '!$H$10*J1086+'CAFCO 400 '!$H$11)*U1086^2)+(('CAFCO 400 '!$H$12*(J1086^3)+'CAFCO 400 '!$H$13*(J1086^2)+'CAFCO 400 '!$H$14*J1086+'CAFCO 400 '!$H$15)*U1086)+('CAFCO 400 '!$H$16*(J1086^2)+'CAFCO 400 '!$H$17*J1086+'CAFCO 400 '!$H$18)),0)+IF(AND(L1086="Cafco 400",M1086="Software Idiem",C1086="Cj"),(((('CAFCO 400 '!$D$7*LN(J1086)+'CAFCO 400 '!$D$8)*U1086^2)+(('CAFCO 400 '!$D$9*LN(J1086)+'CAFCO 400 '!$D$10)*U1086)+('CAFCO 400 '!$D$11*LN(J1086)+'CAFCO 400 '!$D$12))),0)+IF(AND(L1086="Cafco 400",M1086="Software Idiem",C1086="C"),((('CAFCO 400 '!$L$7*(J1086^3)+'CAFCO 400 '!$L$8*(J1086^2)+'CAFCO 400 '!$L$9*J1086+'CAFCO 400 '!$L$10)*U1086^2)+(('CAFCO 400 '!$L$11*(J1086^3)+'CAFCO 400 '!$L$12*(J1086^2)+'CAFCO 400 '!$L$13*J1086+'CAFCO 400 '!$L$14)*U1086)+('CAFCO 400 '!$L$15*LN(J1086)+'CAFCO 400 '!$L$16)),0)+IF(AND(L1086="Cafco 400",M1086="Software Idiem",C1086="L"),((('CAFCO 400 '!$L$7*(J1086^3)+'CAFCO 400 '!$L$8*(J1086^2)+'CAFCO 400 '!$L$9*J1086+'CAFCO 400 '!$L$10)*U1086^2)+(('CAFCO 400 '!$L$11*(J1086^3)+'CAFCO 400 '!$L$12*(J1086^2)+'CAFCO 400 '!$L$13*J1086+'CAFCO 400 '!$L$14)*U1086)+('CAFCO 400 '!$L$15*LN(J1086)+'CAFCO 400 '!$L$16)),0)+IF(AND(L1086="Cafco 400",M1086="Software Idiem",C1086="IN",G1086=3),((('CAFCO 400 '!$D$23*(J1086^2)+'CAFCO 400 '!$D$24*(J1086)+'CAFCO 400 '!$D$25)*U1086^2)+(('CAFCO 400 '!$D$26*(J1086^2)+'CAFCO 400 '!$D$27*J1086+'CAFCO 400 '!$D$28)*U1086)+('CAFCO 400 '!$D$29*(J1086^2)+'CAFCO 400 '!$D$30*J1086+'CAFCO 400 '!$D$31)),0),0)+IF(AND(L1086="Cafco 300",J1086&gt;=95,J1086&lt;=240,C1086="Cj",I1086=90),VLOOKUP(T1086,'CAFCO 300 IDIEM TABLAS'!$B$4:$D$23,2,FALSE),0)+IF(AND(L1086="Cafco 300",J1086&gt;=95,J1086&lt;=240,C1086="Cj",I1086=120),VLOOKUP(T1086,'CAFCO 300 IDIEM TABLAS'!$B$4:$D$23,3,FALSE),0)+IF(AND(L1086="Cafco 300",J1086&gt;=95,J1086&lt;=400,G1086=3,C1086="IN",I1086=90),VLOOKUP(T1086,'CAFCO 300 IDIEM TABLAS'!$F$4:$H$35,2,FALSE),0)+IF(AND(L1086="Cafco 300",J1086&gt;=95,J1086&lt;=400,G1086=3,C1086="IN",I1086=120),VLOOKUP(T1086,'CAFCO 300 IDIEM TABLAS'!$F$4:$H$35,3,FALSE),0)+IF(AND(L1086="Cafco 300",J1086&gt;=95,J1086&lt;=450,G1086=4,C1086="IN",I1086=90),VLOOKUP(T1086,'CAFCO 300 IDIEM TABLAS'!$J$4:$L$40,2,FALSE),0)+IF(AND(L1086="Cafco 300",J1086&gt;=95,J1086&lt;=450,G1086=4,C1086="IN",I1086=120),VLOOKUP(T1086,'CAFCO 300 IDIEM TABLAS'!$J$4:$L$40,3,FALSE),0)+IF(AND(M1086="Ensayo Idiem",L1086="Cafco 400",C1086="IN",G1086=4,I1086=90),VLOOKUP(T1086,'CAFCO 400 ENSAYO'!$B$7:$D$43,2,FALSE),0)+IF(AND(M1086="Ensayo Idiem",L1086="Cafco 400",C1086="IN",G1086=4,I1086=120),VLOOKUP(T1086,'CAFCO 400 ENSAYO'!$B$7:$D$43,3,FALSE),0)</f>
        <v>0</v>
      </c>
      <c r="O1086" s="96">
        <f t="shared" si="108"/>
        <v>0</v>
      </c>
      <c r="P1086" s="95" t="str">
        <f t="shared" si="109"/>
        <v>N/A</v>
      </c>
      <c r="Q1086" s="95" t="str">
        <f t="shared" si="110"/>
        <v>N/A</v>
      </c>
      <c r="R1086" s="95" t="str">
        <f t="shared" si="111"/>
        <v>NO CERT.</v>
      </c>
      <c r="S1086" s="95" t="e">
        <f t="shared" si="112"/>
        <v>#N/A</v>
      </c>
      <c r="T1086" s="119" t="e">
        <f>+IF(J1086=LOOKUP(J1086,'CAFCO 300 IDIEM TABLAS'!$J$4:$J$40),'CALCULO MORTERO'!J1086,MROUND('CALCULO MORTERO'!J1086,10))</f>
        <v>#N/A</v>
      </c>
      <c r="U1086" s="118">
        <f t="shared" si="113"/>
        <v>0</v>
      </c>
    </row>
    <row r="1087" spans="1:21" x14ac:dyDescent="0.25">
      <c r="A1087" s="118">
        <f>+CUBICACION!D1081</f>
        <v>0</v>
      </c>
      <c r="B1087" s="819">
        <f>+CUBICACION!E1081</f>
        <v>0</v>
      </c>
      <c r="C1087" s="675">
        <f>+CUBICACION!F1081</f>
        <v>0</v>
      </c>
      <c r="D1087" s="118"/>
      <c r="E1087" s="118"/>
      <c r="F1087" s="820"/>
      <c r="G1087" s="675">
        <f>+CUBICACION!J1081</f>
        <v>0</v>
      </c>
      <c r="H1087" s="118"/>
      <c r="I1087" s="821">
        <f>+CUBICACION!L1081</f>
        <v>0</v>
      </c>
      <c r="J1087" s="64">
        <f>+CUBICACION!M1081</f>
        <v>0</v>
      </c>
      <c r="K1087" s="822" t="str">
        <f>+CUBICACION!N1081</f>
        <v/>
      </c>
      <c r="L1087" s="118">
        <f>+CUBICACION!O1081</f>
        <v>0</v>
      </c>
      <c r="M1087" s="823">
        <f>+CUBICACION!P1081</f>
        <v>0</v>
      </c>
      <c r="N1087" s="902">
        <f>ROUND(IF(AND(L1087="Blaze Shield II",M1087="Software Idiem",C1087="IN",G1087=4),((('BLAZE SHIELD II'!$D$4*('CALCULO MORTERO'!I1087^2)+'BLAZE SHIELD II'!$D$5*'CALCULO MORTERO'!I1087+'BLAZE SHIELD II'!$D$6)*LN(J1087))+('BLAZE SHIELD II'!$D$7*('CALCULO MORTERO'!I1087^2)+'BLAZE SHIELD II'!$D$8*'CALCULO MORTERO'!I1087+'BLAZE SHIELD II'!$D$9)),0)+IF(AND(L1087="Blaze Shield II",M1087="Software Idiem",C1087="Cj"),((('BLAZE SHIELD II'!$H$4*('CALCULO MORTERO'!I1087^2)+'BLAZE SHIELD II'!$H$5*'CALCULO MORTERO'!I1087+'BLAZE SHIELD II'!$H$6)*LN(J1087))+('BLAZE SHIELD II'!$H$7*('CALCULO MORTERO'!I1087^2)+'BLAZE SHIELD II'!$H$8*'CALCULO MORTERO'!I1087+'BLAZE SHIELD II'!$H$9)),0)+IF(AND(L1087="Blaze Shield II",M1087="Software Idiem",C1087="C"),((('BLAZE SHIELD II'!$L$4*('CALCULO MORTERO'!I1087^2)+'BLAZE SHIELD II'!$L$5*'CALCULO MORTERO'!I1087+'BLAZE SHIELD II'!$L$6)*LN(J1087))+('BLAZE SHIELD II'!$L$7*('CALCULO MORTERO'!I1087^2)+'BLAZE SHIELD II'!$L$8*'CALCULO MORTERO'!I1087+'BLAZE SHIELD II'!$L$9)),0)+IF(AND(L1087="Blaze Shield II",M1087="Software Idiem",C1087="L"),((('BLAZE SHIELD II'!$L$4*('CALCULO MORTERO'!I1087^2)+'BLAZE SHIELD II'!$L$5*'CALCULO MORTERO'!I1087+'BLAZE SHIELD II'!$L$6)*LN(J1087))+('BLAZE SHIELD II'!$L$7*('CALCULO MORTERO'!I1087^2)+'BLAZE SHIELD II'!$L$8*'CALCULO MORTERO'!I1087+'BLAZE SHIELD II'!$L$9)),0)+IF(AND(L1087="Blaze Shield II",M1087="Software Idiem",C1087="IN",G1087=3),((('BLAZE SHIELD II'!$H$14*('CALCULO MORTERO'!I1087^2)+'BLAZE SHIELD II'!$H$15*'CALCULO MORTERO'!I1087+'BLAZE SHIELD II'!$H$16)*LN(J1087))+('BLAZE SHIELD II'!$H$17*('CALCULO MORTERO'!I1087^2)+'BLAZE SHIELD II'!$H$18*'CALCULO MORTERO'!I1087+'BLAZE SHIELD II'!$H$19)),0),0)+ROUND(IF(AND(L1087="Cafco 400",M1087="Software Idiem",C1087="IN",G1087=4),((('CAFCO 400 '!$H$7*(J1087^4)+'CAFCO 400 '!$H$8*(J1087^3)+'CAFCO 400 '!$H$9*(J1087^2)+'CAFCO 400 '!$H$10*J1087+'CAFCO 400 '!$H$11)*U1087^2)+(('CAFCO 400 '!$H$12*(J1087^3)+'CAFCO 400 '!$H$13*(J1087^2)+'CAFCO 400 '!$H$14*J1087+'CAFCO 400 '!$H$15)*U1087)+('CAFCO 400 '!$H$16*(J1087^2)+'CAFCO 400 '!$H$17*J1087+'CAFCO 400 '!$H$18)),0)+IF(AND(L1087="Cafco 400",M1087="Software Idiem",C1087="Cj"),(((('CAFCO 400 '!$D$7*LN(J1087)+'CAFCO 400 '!$D$8)*U1087^2)+(('CAFCO 400 '!$D$9*LN(J1087)+'CAFCO 400 '!$D$10)*U1087)+('CAFCO 400 '!$D$11*LN(J1087)+'CAFCO 400 '!$D$12))),0)+IF(AND(L1087="Cafco 400",M1087="Software Idiem",C1087="C"),((('CAFCO 400 '!$L$7*(J1087^3)+'CAFCO 400 '!$L$8*(J1087^2)+'CAFCO 400 '!$L$9*J1087+'CAFCO 400 '!$L$10)*U1087^2)+(('CAFCO 400 '!$L$11*(J1087^3)+'CAFCO 400 '!$L$12*(J1087^2)+'CAFCO 400 '!$L$13*J1087+'CAFCO 400 '!$L$14)*U1087)+('CAFCO 400 '!$L$15*LN(J1087)+'CAFCO 400 '!$L$16)),0)+IF(AND(L1087="Cafco 400",M1087="Software Idiem",C1087="L"),((('CAFCO 400 '!$L$7*(J1087^3)+'CAFCO 400 '!$L$8*(J1087^2)+'CAFCO 400 '!$L$9*J1087+'CAFCO 400 '!$L$10)*U1087^2)+(('CAFCO 400 '!$L$11*(J1087^3)+'CAFCO 400 '!$L$12*(J1087^2)+'CAFCO 400 '!$L$13*J1087+'CAFCO 400 '!$L$14)*U1087)+('CAFCO 400 '!$L$15*LN(J1087)+'CAFCO 400 '!$L$16)),0)+IF(AND(L1087="Cafco 400",M1087="Software Idiem",C1087="IN",G1087=3),((('CAFCO 400 '!$D$23*(J1087^2)+'CAFCO 400 '!$D$24*(J1087)+'CAFCO 400 '!$D$25)*U1087^2)+(('CAFCO 400 '!$D$26*(J1087^2)+'CAFCO 400 '!$D$27*J1087+'CAFCO 400 '!$D$28)*U1087)+('CAFCO 400 '!$D$29*(J1087^2)+'CAFCO 400 '!$D$30*J1087+'CAFCO 400 '!$D$31)),0),0)+IF(AND(L1087="Cafco 300",J1087&gt;=95,J1087&lt;=240,C1087="Cj",I1087=90),VLOOKUP(T1087,'CAFCO 300 IDIEM TABLAS'!$B$4:$D$23,2,FALSE),0)+IF(AND(L1087="Cafco 300",J1087&gt;=95,J1087&lt;=240,C1087="Cj",I1087=120),VLOOKUP(T1087,'CAFCO 300 IDIEM TABLAS'!$B$4:$D$23,3,FALSE),0)+IF(AND(L1087="Cafco 300",J1087&gt;=95,J1087&lt;=400,G1087=3,C1087="IN",I1087=90),VLOOKUP(T1087,'CAFCO 300 IDIEM TABLAS'!$F$4:$H$35,2,FALSE),0)+IF(AND(L1087="Cafco 300",J1087&gt;=95,J1087&lt;=400,G1087=3,C1087="IN",I1087=120),VLOOKUP(T1087,'CAFCO 300 IDIEM TABLAS'!$F$4:$H$35,3,FALSE),0)+IF(AND(L1087="Cafco 300",J1087&gt;=95,J1087&lt;=450,G1087=4,C1087="IN",I1087=90),VLOOKUP(T1087,'CAFCO 300 IDIEM TABLAS'!$J$4:$L$40,2,FALSE),0)+IF(AND(L1087="Cafco 300",J1087&gt;=95,J1087&lt;=450,G1087=4,C1087="IN",I1087=120),VLOOKUP(T1087,'CAFCO 300 IDIEM TABLAS'!$J$4:$L$40,3,FALSE),0)+IF(AND(M1087="Ensayo Idiem",L1087="Cafco 400",C1087="IN",G1087=4,I1087=90),VLOOKUP(T1087,'CAFCO 400 ENSAYO'!$B$7:$D$43,2,FALSE),0)+IF(AND(M1087="Ensayo Idiem",L1087="Cafco 400",C1087="IN",G1087=4,I1087=120),VLOOKUP(T1087,'CAFCO 400 ENSAYO'!$B$7:$D$43,3,FALSE),0)</f>
        <v>0</v>
      </c>
      <c r="O1087" s="96">
        <f t="shared" si="108"/>
        <v>0</v>
      </c>
      <c r="P1087" s="132" t="str">
        <f t="shared" si="109"/>
        <v>N/A</v>
      </c>
      <c r="Q1087" s="132" t="str">
        <f t="shared" si="110"/>
        <v>N/A</v>
      </c>
      <c r="R1087" s="132" t="str">
        <f t="shared" si="111"/>
        <v>NO CERT.</v>
      </c>
      <c r="S1087" s="132" t="e">
        <f t="shared" si="112"/>
        <v>#N/A</v>
      </c>
      <c r="T1087" s="133" t="e">
        <f>+IF(J1087=LOOKUP(J1087,'CAFCO 300 IDIEM TABLAS'!$J$4:$J$40),'CALCULO MORTERO'!J1087,MROUND('CALCULO MORTERO'!J1087,10))</f>
        <v>#N/A</v>
      </c>
      <c r="U1087" s="134">
        <f t="shared" si="113"/>
        <v>0</v>
      </c>
    </row>
    <row r="1088" spans="1:21" x14ac:dyDescent="0.25">
      <c r="A1088" s="118">
        <f>+CUBICACION!D1082</f>
        <v>0</v>
      </c>
      <c r="B1088" s="819">
        <f>+CUBICACION!E1082</f>
        <v>0</v>
      </c>
      <c r="C1088" s="675">
        <f>+CUBICACION!F1082</f>
        <v>0</v>
      </c>
      <c r="D1088" s="118"/>
      <c r="E1088" s="118"/>
      <c r="F1088" s="820"/>
      <c r="G1088" s="675">
        <f>+CUBICACION!J1082</f>
        <v>0</v>
      </c>
      <c r="H1088" s="118"/>
      <c r="I1088" s="821">
        <f>+CUBICACION!L1082</f>
        <v>0</v>
      </c>
      <c r="J1088" s="64">
        <f>+CUBICACION!M1082</f>
        <v>0</v>
      </c>
      <c r="K1088" s="822" t="str">
        <f>+CUBICACION!N1082</f>
        <v/>
      </c>
      <c r="L1088" s="118">
        <f>+CUBICACION!O1082</f>
        <v>0</v>
      </c>
      <c r="M1088" s="823">
        <f>+CUBICACION!P1082</f>
        <v>0</v>
      </c>
      <c r="N1088" s="902">
        <f>ROUND(IF(AND(L1088="Blaze Shield II",M1088="Software Idiem",C1088="IN",G1088=4),((('BLAZE SHIELD II'!$D$4*('CALCULO MORTERO'!I1088^2)+'BLAZE SHIELD II'!$D$5*'CALCULO MORTERO'!I1088+'BLAZE SHIELD II'!$D$6)*LN(J1088))+('BLAZE SHIELD II'!$D$7*('CALCULO MORTERO'!I1088^2)+'BLAZE SHIELD II'!$D$8*'CALCULO MORTERO'!I1088+'BLAZE SHIELD II'!$D$9)),0)+IF(AND(L1088="Blaze Shield II",M1088="Software Idiem",C1088="Cj"),((('BLAZE SHIELD II'!$H$4*('CALCULO MORTERO'!I1088^2)+'BLAZE SHIELD II'!$H$5*'CALCULO MORTERO'!I1088+'BLAZE SHIELD II'!$H$6)*LN(J1088))+('BLAZE SHIELD II'!$H$7*('CALCULO MORTERO'!I1088^2)+'BLAZE SHIELD II'!$H$8*'CALCULO MORTERO'!I1088+'BLAZE SHIELD II'!$H$9)),0)+IF(AND(L1088="Blaze Shield II",M1088="Software Idiem",C1088="C"),((('BLAZE SHIELD II'!$L$4*('CALCULO MORTERO'!I1088^2)+'BLAZE SHIELD II'!$L$5*'CALCULO MORTERO'!I1088+'BLAZE SHIELD II'!$L$6)*LN(J1088))+('BLAZE SHIELD II'!$L$7*('CALCULO MORTERO'!I1088^2)+'BLAZE SHIELD II'!$L$8*'CALCULO MORTERO'!I1088+'BLAZE SHIELD II'!$L$9)),0)+IF(AND(L1088="Blaze Shield II",M1088="Software Idiem",C1088="L"),((('BLAZE SHIELD II'!$L$4*('CALCULO MORTERO'!I1088^2)+'BLAZE SHIELD II'!$L$5*'CALCULO MORTERO'!I1088+'BLAZE SHIELD II'!$L$6)*LN(J1088))+('BLAZE SHIELD II'!$L$7*('CALCULO MORTERO'!I1088^2)+'BLAZE SHIELD II'!$L$8*'CALCULO MORTERO'!I1088+'BLAZE SHIELD II'!$L$9)),0)+IF(AND(L1088="Blaze Shield II",M1088="Software Idiem",C1088="IN",G1088=3),((('BLAZE SHIELD II'!$H$14*('CALCULO MORTERO'!I1088^2)+'BLAZE SHIELD II'!$H$15*'CALCULO MORTERO'!I1088+'BLAZE SHIELD II'!$H$16)*LN(J1088))+('BLAZE SHIELD II'!$H$17*('CALCULO MORTERO'!I1088^2)+'BLAZE SHIELD II'!$H$18*'CALCULO MORTERO'!I1088+'BLAZE SHIELD II'!$H$19)),0),0)+ROUND(IF(AND(L1088="Cafco 400",M1088="Software Idiem",C1088="IN",G1088=4),((('CAFCO 400 '!$H$7*(J1088^4)+'CAFCO 400 '!$H$8*(J1088^3)+'CAFCO 400 '!$H$9*(J1088^2)+'CAFCO 400 '!$H$10*J1088+'CAFCO 400 '!$H$11)*U1088^2)+(('CAFCO 400 '!$H$12*(J1088^3)+'CAFCO 400 '!$H$13*(J1088^2)+'CAFCO 400 '!$H$14*J1088+'CAFCO 400 '!$H$15)*U1088)+('CAFCO 400 '!$H$16*(J1088^2)+'CAFCO 400 '!$H$17*J1088+'CAFCO 400 '!$H$18)),0)+IF(AND(L1088="Cafco 400",M1088="Software Idiem",C1088="Cj"),(((('CAFCO 400 '!$D$7*LN(J1088)+'CAFCO 400 '!$D$8)*U1088^2)+(('CAFCO 400 '!$D$9*LN(J1088)+'CAFCO 400 '!$D$10)*U1088)+('CAFCO 400 '!$D$11*LN(J1088)+'CAFCO 400 '!$D$12))),0)+IF(AND(L1088="Cafco 400",M1088="Software Idiem",C1088="C"),((('CAFCO 400 '!$L$7*(J1088^3)+'CAFCO 400 '!$L$8*(J1088^2)+'CAFCO 400 '!$L$9*J1088+'CAFCO 400 '!$L$10)*U1088^2)+(('CAFCO 400 '!$L$11*(J1088^3)+'CAFCO 400 '!$L$12*(J1088^2)+'CAFCO 400 '!$L$13*J1088+'CAFCO 400 '!$L$14)*U1088)+('CAFCO 400 '!$L$15*LN(J1088)+'CAFCO 400 '!$L$16)),0)+IF(AND(L1088="Cafco 400",M1088="Software Idiem",C1088="L"),((('CAFCO 400 '!$L$7*(J1088^3)+'CAFCO 400 '!$L$8*(J1088^2)+'CAFCO 400 '!$L$9*J1088+'CAFCO 400 '!$L$10)*U1088^2)+(('CAFCO 400 '!$L$11*(J1088^3)+'CAFCO 400 '!$L$12*(J1088^2)+'CAFCO 400 '!$L$13*J1088+'CAFCO 400 '!$L$14)*U1088)+('CAFCO 400 '!$L$15*LN(J1088)+'CAFCO 400 '!$L$16)),0)+IF(AND(L1088="Cafco 400",M1088="Software Idiem",C1088="IN",G1088=3),((('CAFCO 400 '!$D$23*(J1088^2)+'CAFCO 400 '!$D$24*(J1088)+'CAFCO 400 '!$D$25)*U1088^2)+(('CAFCO 400 '!$D$26*(J1088^2)+'CAFCO 400 '!$D$27*J1088+'CAFCO 400 '!$D$28)*U1088)+('CAFCO 400 '!$D$29*(J1088^2)+'CAFCO 400 '!$D$30*J1088+'CAFCO 400 '!$D$31)),0),0)+IF(AND(L1088="Cafco 300",J1088&gt;=95,J1088&lt;=240,C1088="Cj",I1088=90),VLOOKUP(T1088,'CAFCO 300 IDIEM TABLAS'!$B$4:$D$23,2,FALSE),0)+IF(AND(L1088="Cafco 300",J1088&gt;=95,J1088&lt;=240,C1088="Cj",I1088=120),VLOOKUP(T1088,'CAFCO 300 IDIEM TABLAS'!$B$4:$D$23,3,FALSE),0)+IF(AND(L1088="Cafco 300",J1088&gt;=95,J1088&lt;=400,G1088=3,C1088="IN",I1088=90),VLOOKUP(T1088,'CAFCO 300 IDIEM TABLAS'!$F$4:$H$35,2,FALSE),0)+IF(AND(L1088="Cafco 300",J1088&gt;=95,J1088&lt;=400,G1088=3,C1088="IN",I1088=120),VLOOKUP(T1088,'CAFCO 300 IDIEM TABLAS'!$F$4:$H$35,3,FALSE),0)+IF(AND(L1088="Cafco 300",J1088&gt;=95,J1088&lt;=450,G1088=4,C1088="IN",I1088=90),VLOOKUP(T1088,'CAFCO 300 IDIEM TABLAS'!$J$4:$L$40,2,FALSE),0)+IF(AND(L1088="Cafco 300",J1088&gt;=95,J1088&lt;=450,G1088=4,C1088="IN",I1088=120),VLOOKUP(T1088,'CAFCO 300 IDIEM TABLAS'!$J$4:$L$40,3,FALSE),0)+IF(AND(M1088="Ensayo Idiem",L1088="Cafco 400",C1088="IN",G1088=4,I1088=90),VLOOKUP(T1088,'CAFCO 400 ENSAYO'!$B$7:$D$43,2,FALSE),0)+IF(AND(M1088="Ensayo Idiem",L1088="Cafco 400",C1088="IN",G1088=4,I1088=120),VLOOKUP(T1088,'CAFCO 400 ENSAYO'!$B$7:$D$43,3,FALSE),0)</f>
        <v>0</v>
      </c>
      <c r="O1088" s="96">
        <f t="shared" si="108"/>
        <v>0</v>
      </c>
      <c r="P1088" s="95" t="str">
        <f t="shared" si="109"/>
        <v>N/A</v>
      </c>
      <c r="Q1088" s="95" t="str">
        <f t="shared" si="110"/>
        <v>N/A</v>
      </c>
      <c r="R1088" s="95" t="str">
        <f t="shared" si="111"/>
        <v>NO CERT.</v>
      </c>
      <c r="S1088" s="95" t="e">
        <f t="shared" si="112"/>
        <v>#N/A</v>
      </c>
      <c r="T1088" s="119" t="e">
        <f>+IF(J1088=LOOKUP(J1088,'CAFCO 300 IDIEM TABLAS'!$J$4:$J$40),'CALCULO MORTERO'!J1088,MROUND('CALCULO MORTERO'!J1088,10))</f>
        <v>#N/A</v>
      </c>
      <c r="U1088" s="118">
        <f t="shared" si="113"/>
        <v>0</v>
      </c>
    </row>
    <row r="1089" spans="1:21" x14ac:dyDescent="0.25">
      <c r="A1089" s="118">
        <f>+CUBICACION!D1083</f>
        <v>0</v>
      </c>
      <c r="B1089" s="819">
        <f>+CUBICACION!E1083</f>
        <v>0</v>
      </c>
      <c r="C1089" s="675">
        <f>+CUBICACION!F1083</f>
        <v>0</v>
      </c>
      <c r="D1089" s="118"/>
      <c r="E1089" s="118"/>
      <c r="F1089" s="820"/>
      <c r="G1089" s="675">
        <f>+CUBICACION!J1083</f>
        <v>0</v>
      </c>
      <c r="H1089" s="118"/>
      <c r="I1089" s="821">
        <f>+CUBICACION!L1083</f>
        <v>0</v>
      </c>
      <c r="J1089" s="64">
        <f>+CUBICACION!M1083</f>
        <v>0</v>
      </c>
      <c r="K1089" s="822" t="str">
        <f>+CUBICACION!N1083</f>
        <v/>
      </c>
      <c r="L1089" s="118">
        <f>+CUBICACION!O1083</f>
        <v>0</v>
      </c>
      <c r="M1089" s="823">
        <f>+CUBICACION!P1083</f>
        <v>0</v>
      </c>
      <c r="N1089" s="902">
        <f>ROUND(IF(AND(L1089="Blaze Shield II",M1089="Software Idiem",C1089="IN",G1089=4),((('BLAZE SHIELD II'!$D$4*('CALCULO MORTERO'!I1089^2)+'BLAZE SHIELD II'!$D$5*'CALCULO MORTERO'!I1089+'BLAZE SHIELD II'!$D$6)*LN(J1089))+('BLAZE SHIELD II'!$D$7*('CALCULO MORTERO'!I1089^2)+'BLAZE SHIELD II'!$D$8*'CALCULO MORTERO'!I1089+'BLAZE SHIELD II'!$D$9)),0)+IF(AND(L1089="Blaze Shield II",M1089="Software Idiem",C1089="Cj"),((('BLAZE SHIELD II'!$H$4*('CALCULO MORTERO'!I1089^2)+'BLAZE SHIELD II'!$H$5*'CALCULO MORTERO'!I1089+'BLAZE SHIELD II'!$H$6)*LN(J1089))+('BLAZE SHIELD II'!$H$7*('CALCULO MORTERO'!I1089^2)+'BLAZE SHIELD II'!$H$8*'CALCULO MORTERO'!I1089+'BLAZE SHIELD II'!$H$9)),0)+IF(AND(L1089="Blaze Shield II",M1089="Software Idiem",C1089="C"),((('BLAZE SHIELD II'!$L$4*('CALCULO MORTERO'!I1089^2)+'BLAZE SHIELD II'!$L$5*'CALCULO MORTERO'!I1089+'BLAZE SHIELD II'!$L$6)*LN(J1089))+('BLAZE SHIELD II'!$L$7*('CALCULO MORTERO'!I1089^2)+'BLAZE SHIELD II'!$L$8*'CALCULO MORTERO'!I1089+'BLAZE SHIELD II'!$L$9)),0)+IF(AND(L1089="Blaze Shield II",M1089="Software Idiem",C1089="L"),((('BLAZE SHIELD II'!$L$4*('CALCULO MORTERO'!I1089^2)+'BLAZE SHIELD II'!$L$5*'CALCULO MORTERO'!I1089+'BLAZE SHIELD II'!$L$6)*LN(J1089))+('BLAZE SHIELD II'!$L$7*('CALCULO MORTERO'!I1089^2)+'BLAZE SHIELD II'!$L$8*'CALCULO MORTERO'!I1089+'BLAZE SHIELD II'!$L$9)),0)+IF(AND(L1089="Blaze Shield II",M1089="Software Idiem",C1089="IN",G1089=3),((('BLAZE SHIELD II'!$H$14*('CALCULO MORTERO'!I1089^2)+'BLAZE SHIELD II'!$H$15*'CALCULO MORTERO'!I1089+'BLAZE SHIELD II'!$H$16)*LN(J1089))+('BLAZE SHIELD II'!$H$17*('CALCULO MORTERO'!I1089^2)+'BLAZE SHIELD II'!$H$18*'CALCULO MORTERO'!I1089+'BLAZE SHIELD II'!$H$19)),0),0)+ROUND(IF(AND(L1089="Cafco 400",M1089="Software Idiem",C1089="IN",G1089=4),((('CAFCO 400 '!$H$7*(J1089^4)+'CAFCO 400 '!$H$8*(J1089^3)+'CAFCO 400 '!$H$9*(J1089^2)+'CAFCO 400 '!$H$10*J1089+'CAFCO 400 '!$H$11)*U1089^2)+(('CAFCO 400 '!$H$12*(J1089^3)+'CAFCO 400 '!$H$13*(J1089^2)+'CAFCO 400 '!$H$14*J1089+'CAFCO 400 '!$H$15)*U1089)+('CAFCO 400 '!$H$16*(J1089^2)+'CAFCO 400 '!$H$17*J1089+'CAFCO 400 '!$H$18)),0)+IF(AND(L1089="Cafco 400",M1089="Software Idiem",C1089="Cj"),(((('CAFCO 400 '!$D$7*LN(J1089)+'CAFCO 400 '!$D$8)*U1089^2)+(('CAFCO 400 '!$D$9*LN(J1089)+'CAFCO 400 '!$D$10)*U1089)+('CAFCO 400 '!$D$11*LN(J1089)+'CAFCO 400 '!$D$12))),0)+IF(AND(L1089="Cafco 400",M1089="Software Idiem",C1089="C"),((('CAFCO 400 '!$L$7*(J1089^3)+'CAFCO 400 '!$L$8*(J1089^2)+'CAFCO 400 '!$L$9*J1089+'CAFCO 400 '!$L$10)*U1089^2)+(('CAFCO 400 '!$L$11*(J1089^3)+'CAFCO 400 '!$L$12*(J1089^2)+'CAFCO 400 '!$L$13*J1089+'CAFCO 400 '!$L$14)*U1089)+('CAFCO 400 '!$L$15*LN(J1089)+'CAFCO 400 '!$L$16)),0)+IF(AND(L1089="Cafco 400",M1089="Software Idiem",C1089="L"),((('CAFCO 400 '!$L$7*(J1089^3)+'CAFCO 400 '!$L$8*(J1089^2)+'CAFCO 400 '!$L$9*J1089+'CAFCO 400 '!$L$10)*U1089^2)+(('CAFCO 400 '!$L$11*(J1089^3)+'CAFCO 400 '!$L$12*(J1089^2)+'CAFCO 400 '!$L$13*J1089+'CAFCO 400 '!$L$14)*U1089)+('CAFCO 400 '!$L$15*LN(J1089)+'CAFCO 400 '!$L$16)),0)+IF(AND(L1089="Cafco 400",M1089="Software Idiem",C1089="IN",G1089=3),((('CAFCO 400 '!$D$23*(J1089^2)+'CAFCO 400 '!$D$24*(J1089)+'CAFCO 400 '!$D$25)*U1089^2)+(('CAFCO 400 '!$D$26*(J1089^2)+'CAFCO 400 '!$D$27*J1089+'CAFCO 400 '!$D$28)*U1089)+('CAFCO 400 '!$D$29*(J1089^2)+'CAFCO 400 '!$D$30*J1089+'CAFCO 400 '!$D$31)),0),0)+IF(AND(L1089="Cafco 300",J1089&gt;=95,J1089&lt;=240,C1089="Cj",I1089=90),VLOOKUP(T1089,'CAFCO 300 IDIEM TABLAS'!$B$4:$D$23,2,FALSE),0)+IF(AND(L1089="Cafco 300",J1089&gt;=95,J1089&lt;=240,C1089="Cj",I1089=120),VLOOKUP(T1089,'CAFCO 300 IDIEM TABLAS'!$B$4:$D$23,3,FALSE),0)+IF(AND(L1089="Cafco 300",J1089&gt;=95,J1089&lt;=400,G1089=3,C1089="IN",I1089=90),VLOOKUP(T1089,'CAFCO 300 IDIEM TABLAS'!$F$4:$H$35,2,FALSE),0)+IF(AND(L1089="Cafco 300",J1089&gt;=95,J1089&lt;=400,G1089=3,C1089="IN",I1089=120),VLOOKUP(T1089,'CAFCO 300 IDIEM TABLAS'!$F$4:$H$35,3,FALSE),0)+IF(AND(L1089="Cafco 300",J1089&gt;=95,J1089&lt;=450,G1089=4,C1089="IN",I1089=90),VLOOKUP(T1089,'CAFCO 300 IDIEM TABLAS'!$J$4:$L$40,2,FALSE),0)+IF(AND(L1089="Cafco 300",J1089&gt;=95,J1089&lt;=450,G1089=4,C1089="IN",I1089=120),VLOOKUP(T1089,'CAFCO 300 IDIEM TABLAS'!$J$4:$L$40,3,FALSE),0)+IF(AND(M1089="Ensayo Idiem",L1089="Cafco 400",C1089="IN",G1089=4,I1089=90),VLOOKUP(T1089,'CAFCO 400 ENSAYO'!$B$7:$D$43,2,FALSE),0)+IF(AND(M1089="Ensayo Idiem",L1089="Cafco 400",C1089="IN",G1089=4,I1089=120),VLOOKUP(T1089,'CAFCO 400 ENSAYO'!$B$7:$D$43,3,FALSE),0)</f>
        <v>0</v>
      </c>
      <c r="O1089" s="96">
        <f t="shared" si="108"/>
        <v>0</v>
      </c>
      <c r="P1089" s="132" t="str">
        <f t="shared" si="109"/>
        <v>N/A</v>
      </c>
      <c r="Q1089" s="132" t="str">
        <f t="shared" si="110"/>
        <v>N/A</v>
      </c>
      <c r="R1089" s="132" t="str">
        <f t="shared" si="111"/>
        <v>NO CERT.</v>
      </c>
      <c r="S1089" s="132" t="e">
        <f t="shared" si="112"/>
        <v>#N/A</v>
      </c>
      <c r="T1089" s="133" t="e">
        <f>+IF(J1089=LOOKUP(J1089,'CAFCO 300 IDIEM TABLAS'!$J$4:$J$40),'CALCULO MORTERO'!J1089,MROUND('CALCULO MORTERO'!J1089,10))</f>
        <v>#N/A</v>
      </c>
      <c r="U1089" s="134">
        <f t="shared" si="113"/>
        <v>0</v>
      </c>
    </row>
    <row r="1090" spans="1:21" x14ac:dyDescent="0.25">
      <c r="A1090" s="118">
        <f>+CUBICACION!D1084</f>
        <v>0</v>
      </c>
      <c r="B1090" s="819">
        <f>+CUBICACION!E1084</f>
        <v>0</v>
      </c>
      <c r="C1090" s="675">
        <f>+CUBICACION!F1084</f>
        <v>0</v>
      </c>
      <c r="D1090" s="118"/>
      <c r="E1090" s="118"/>
      <c r="F1090" s="820"/>
      <c r="G1090" s="675">
        <f>+CUBICACION!J1084</f>
        <v>0</v>
      </c>
      <c r="H1090" s="118"/>
      <c r="I1090" s="821">
        <f>+CUBICACION!L1084</f>
        <v>0</v>
      </c>
      <c r="J1090" s="64">
        <f>+CUBICACION!M1084</f>
        <v>0</v>
      </c>
      <c r="K1090" s="822" t="str">
        <f>+CUBICACION!N1084</f>
        <v/>
      </c>
      <c r="L1090" s="118">
        <f>+CUBICACION!O1084</f>
        <v>0</v>
      </c>
      <c r="M1090" s="823">
        <f>+CUBICACION!P1084</f>
        <v>0</v>
      </c>
      <c r="N1090" s="902">
        <f>ROUND(IF(AND(L1090="Blaze Shield II",M1090="Software Idiem",C1090="IN",G1090=4),((('BLAZE SHIELD II'!$D$4*('CALCULO MORTERO'!I1090^2)+'BLAZE SHIELD II'!$D$5*'CALCULO MORTERO'!I1090+'BLAZE SHIELD II'!$D$6)*LN(J1090))+('BLAZE SHIELD II'!$D$7*('CALCULO MORTERO'!I1090^2)+'BLAZE SHIELD II'!$D$8*'CALCULO MORTERO'!I1090+'BLAZE SHIELD II'!$D$9)),0)+IF(AND(L1090="Blaze Shield II",M1090="Software Idiem",C1090="Cj"),((('BLAZE SHIELD II'!$H$4*('CALCULO MORTERO'!I1090^2)+'BLAZE SHIELD II'!$H$5*'CALCULO MORTERO'!I1090+'BLAZE SHIELD II'!$H$6)*LN(J1090))+('BLAZE SHIELD II'!$H$7*('CALCULO MORTERO'!I1090^2)+'BLAZE SHIELD II'!$H$8*'CALCULO MORTERO'!I1090+'BLAZE SHIELD II'!$H$9)),0)+IF(AND(L1090="Blaze Shield II",M1090="Software Idiem",C1090="C"),((('BLAZE SHIELD II'!$L$4*('CALCULO MORTERO'!I1090^2)+'BLAZE SHIELD II'!$L$5*'CALCULO MORTERO'!I1090+'BLAZE SHIELD II'!$L$6)*LN(J1090))+('BLAZE SHIELD II'!$L$7*('CALCULO MORTERO'!I1090^2)+'BLAZE SHIELD II'!$L$8*'CALCULO MORTERO'!I1090+'BLAZE SHIELD II'!$L$9)),0)+IF(AND(L1090="Blaze Shield II",M1090="Software Idiem",C1090="L"),((('BLAZE SHIELD II'!$L$4*('CALCULO MORTERO'!I1090^2)+'BLAZE SHIELD II'!$L$5*'CALCULO MORTERO'!I1090+'BLAZE SHIELD II'!$L$6)*LN(J1090))+('BLAZE SHIELD II'!$L$7*('CALCULO MORTERO'!I1090^2)+'BLAZE SHIELD II'!$L$8*'CALCULO MORTERO'!I1090+'BLAZE SHIELD II'!$L$9)),0)+IF(AND(L1090="Blaze Shield II",M1090="Software Idiem",C1090="IN",G1090=3),((('BLAZE SHIELD II'!$H$14*('CALCULO MORTERO'!I1090^2)+'BLAZE SHIELD II'!$H$15*'CALCULO MORTERO'!I1090+'BLAZE SHIELD II'!$H$16)*LN(J1090))+('BLAZE SHIELD II'!$H$17*('CALCULO MORTERO'!I1090^2)+'BLAZE SHIELD II'!$H$18*'CALCULO MORTERO'!I1090+'BLAZE SHIELD II'!$H$19)),0),0)+ROUND(IF(AND(L1090="Cafco 400",M1090="Software Idiem",C1090="IN",G1090=4),((('CAFCO 400 '!$H$7*(J1090^4)+'CAFCO 400 '!$H$8*(J1090^3)+'CAFCO 400 '!$H$9*(J1090^2)+'CAFCO 400 '!$H$10*J1090+'CAFCO 400 '!$H$11)*U1090^2)+(('CAFCO 400 '!$H$12*(J1090^3)+'CAFCO 400 '!$H$13*(J1090^2)+'CAFCO 400 '!$H$14*J1090+'CAFCO 400 '!$H$15)*U1090)+('CAFCO 400 '!$H$16*(J1090^2)+'CAFCO 400 '!$H$17*J1090+'CAFCO 400 '!$H$18)),0)+IF(AND(L1090="Cafco 400",M1090="Software Idiem",C1090="Cj"),(((('CAFCO 400 '!$D$7*LN(J1090)+'CAFCO 400 '!$D$8)*U1090^2)+(('CAFCO 400 '!$D$9*LN(J1090)+'CAFCO 400 '!$D$10)*U1090)+('CAFCO 400 '!$D$11*LN(J1090)+'CAFCO 400 '!$D$12))),0)+IF(AND(L1090="Cafco 400",M1090="Software Idiem",C1090="C"),((('CAFCO 400 '!$L$7*(J1090^3)+'CAFCO 400 '!$L$8*(J1090^2)+'CAFCO 400 '!$L$9*J1090+'CAFCO 400 '!$L$10)*U1090^2)+(('CAFCO 400 '!$L$11*(J1090^3)+'CAFCO 400 '!$L$12*(J1090^2)+'CAFCO 400 '!$L$13*J1090+'CAFCO 400 '!$L$14)*U1090)+('CAFCO 400 '!$L$15*LN(J1090)+'CAFCO 400 '!$L$16)),0)+IF(AND(L1090="Cafco 400",M1090="Software Idiem",C1090="L"),((('CAFCO 400 '!$L$7*(J1090^3)+'CAFCO 400 '!$L$8*(J1090^2)+'CAFCO 400 '!$L$9*J1090+'CAFCO 400 '!$L$10)*U1090^2)+(('CAFCO 400 '!$L$11*(J1090^3)+'CAFCO 400 '!$L$12*(J1090^2)+'CAFCO 400 '!$L$13*J1090+'CAFCO 400 '!$L$14)*U1090)+('CAFCO 400 '!$L$15*LN(J1090)+'CAFCO 400 '!$L$16)),0)+IF(AND(L1090="Cafco 400",M1090="Software Idiem",C1090="IN",G1090=3),((('CAFCO 400 '!$D$23*(J1090^2)+'CAFCO 400 '!$D$24*(J1090)+'CAFCO 400 '!$D$25)*U1090^2)+(('CAFCO 400 '!$D$26*(J1090^2)+'CAFCO 400 '!$D$27*J1090+'CAFCO 400 '!$D$28)*U1090)+('CAFCO 400 '!$D$29*(J1090^2)+'CAFCO 400 '!$D$30*J1090+'CAFCO 400 '!$D$31)),0),0)+IF(AND(L1090="Cafco 300",J1090&gt;=95,J1090&lt;=240,C1090="Cj",I1090=90),VLOOKUP(T1090,'CAFCO 300 IDIEM TABLAS'!$B$4:$D$23,2,FALSE),0)+IF(AND(L1090="Cafco 300",J1090&gt;=95,J1090&lt;=240,C1090="Cj",I1090=120),VLOOKUP(T1090,'CAFCO 300 IDIEM TABLAS'!$B$4:$D$23,3,FALSE),0)+IF(AND(L1090="Cafco 300",J1090&gt;=95,J1090&lt;=400,G1090=3,C1090="IN",I1090=90),VLOOKUP(T1090,'CAFCO 300 IDIEM TABLAS'!$F$4:$H$35,2,FALSE),0)+IF(AND(L1090="Cafco 300",J1090&gt;=95,J1090&lt;=400,G1090=3,C1090="IN",I1090=120),VLOOKUP(T1090,'CAFCO 300 IDIEM TABLAS'!$F$4:$H$35,3,FALSE),0)+IF(AND(L1090="Cafco 300",J1090&gt;=95,J1090&lt;=450,G1090=4,C1090="IN",I1090=90),VLOOKUP(T1090,'CAFCO 300 IDIEM TABLAS'!$J$4:$L$40,2,FALSE),0)+IF(AND(L1090="Cafco 300",J1090&gt;=95,J1090&lt;=450,G1090=4,C1090="IN",I1090=120),VLOOKUP(T1090,'CAFCO 300 IDIEM TABLAS'!$J$4:$L$40,3,FALSE),0)+IF(AND(M1090="Ensayo Idiem",L1090="Cafco 400",C1090="IN",G1090=4,I1090=90),VLOOKUP(T1090,'CAFCO 400 ENSAYO'!$B$7:$D$43,2,FALSE),0)+IF(AND(M1090="Ensayo Idiem",L1090="Cafco 400",C1090="IN",G1090=4,I1090=120),VLOOKUP(T1090,'CAFCO 400 ENSAYO'!$B$7:$D$43,3,FALSE),0)</f>
        <v>0</v>
      </c>
      <c r="O1090" s="96">
        <f t="shared" si="108"/>
        <v>0</v>
      </c>
      <c r="P1090" s="95" t="str">
        <f t="shared" si="109"/>
        <v>N/A</v>
      </c>
      <c r="Q1090" s="95" t="str">
        <f t="shared" si="110"/>
        <v>N/A</v>
      </c>
      <c r="R1090" s="95" t="str">
        <f t="shared" si="111"/>
        <v>NO CERT.</v>
      </c>
      <c r="S1090" s="95" t="e">
        <f t="shared" si="112"/>
        <v>#N/A</v>
      </c>
      <c r="T1090" s="119" t="e">
        <f>+IF(J1090=LOOKUP(J1090,'CAFCO 300 IDIEM TABLAS'!$J$4:$J$40),'CALCULO MORTERO'!J1090,MROUND('CALCULO MORTERO'!J1090,10))</f>
        <v>#N/A</v>
      </c>
      <c r="U1090" s="118">
        <f t="shared" si="113"/>
        <v>0</v>
      </c>
    </row>
    <row r="1091" spans="1:21" x14ac:dyDescent="0.25">
      <c r="A1091" s="118">
        <f>+CUBICACION!D1085</f>
        <v>0</v>
      </c>
      <c r="B1091" s="819">
        <f>+CUBICACION!E1085</f>
        <v>0</v>
      </c>
      <c r="C1091" s="675">
        <f>+CUBICACION!F1085</f>
        <v>0</v>
      </c>
      <c r="D1091" s="118"/>
      <c r="E1091" s="118"/>
      <c r="F1091" s="820"/>
      <c r="G1091" s="675">
        <f>+CUBICACION!J1085</f>
        <v>0</v>
      </c>
      <c r="H1091" s="118"/>
      <c r="I1091" s="821">
        <f>+CUBICACION!L1085</f>
        <v>0</v>
      </c>
      <c r="J1091" s="64">
        <f>+CUBICACION!M1085</f>
        <v>0</v>
      </c>
      <c r="K1091" s="822" t="str">
        <f>+CUBICACION!N1085</f>
        <v/>
      </c>
      <c r="L1091" s="118">
        <f>+CUBICACION!O1085</f>
        <v>0</v>
      </c>
      <c r="M1091" s="823">
        <f>+CUBICACION!P1085</f>
        <v>0</v>
      </c>
      <c r="N1091" s="902">
        <f>ROUND(IF(AND(L1091="Blaze Shield II",M1091="Software Idiem",C1091="IN",G1091=4),((('BLAZE SHIELD II'!$D$4*('CALCULO MORTERO'!I1091^2)+'BLAZE SHIELD II'!$D$5*'CALCULO MORTERO'!I1091+'BLAZE SHIELD II'!$D$6)*LN(J1091))+('BLAZE SHIELD II'!$D$7*('CALCULO MORTERO'!I1091^2)+'BLAZE SHIELD II'!$D$8*'CALCULO MORTERO'!I1091+'BLAZE SHIELD II'!$D$9)),0)+IF(AND(L1091="Blaze Shield II",M1091="Software Idiem",C1091="Cj"),((('BLAZE SHIELD II'!$H$4*('CALCULO MORTERO'!I1091^2)+'BLAZE SHIELD II'!$H$5*'CALCULO MORTERO'!I1091+'BLAZE SHIELD II'!$H$6)*LN(J1091))+('BLAZE SHIELD II'!$H$7*('CALCULO MORTERO'!I1091^2)+'BLAZE SHIELD II'!$H$8*'CALCULO MORTERO'!I1091+'BLAZE SHIELD II'!$H$9)),0)+IF(AND(L1091="Blaze Shield II",M1091="Software Idiem",C1091="C"),((('BLAZE SHIELD II'!$L$4*('CALCULO MORTERO'!I1091^2)+'BLAZE SHIELD II'!$L$5*'CALCULO MORTERO'!I1091+'BLAZE SHIELD II'!$L$6)*LN(J1091))+('BLAZE SHIELD II'!$L$7*('CALCULO MORTERO'!I1091^2)+'BLAZE SHIELD II'!$L$8*'CALCULO MORTERO'!I1091+'BLAZE SHIELD II'!$L$9)),0)+IF(AND(L1091="Blaze Shield II",M1091="Software Idiem",C1091="L"),((('BLAZE SHIELD II'!$L$4*('CALCULO MORTERO'!I1091^2)+'BLAZE SHIELD II'!$L$5*'CALCULO MORTERO'!I1091+'BLAZE SHIELD II'!$L$6)*LN(J1091))+('BLAZE SHIELD II'!$L$7*('CALCULO MORTERO'!I1091^2)+'BLAZE SHIELD II'!$L$8*'CALCULO MORTERO'!I1091+'BLAZE SHIELD II'!$L$9)),0)+IF(AND(L1091="Blaze Shield II",M1091="Software Idiem",C1091="IN",G1091=3),((('BLAZE SHIELD II'!$H$14*('CALCULO MORTERO'!I1091^2)+'BLAZE SHIELD II'!$H$15*'CALCULO MORTERO'!I1091+'BLAZE SHIELD II'!$H$16)*LN(J1091))+('BLAZE SHIELD II'!$H$17*('CALCULO MORTERO'!I1091^2)+'BLAZE SHIELD II'!$H$18*'CALCULO MORTERO'!I1091+'BLAZE SHIELD II'!$H$19)),0),0)+ROUND(IF(AND(L1091="Cafco 400",M1091="Software Idiem",C1091="IN",G1091=4),((('CAFCO 400 '!$H$7*(J1091^4)+'CAFCO 400 '!$H$8*(J1091^3)+'CAFCO 400 '!$H$9*(J1091^2)+'CAFCO 400 '!$H$10*J1091+'CAFCO 400 '!$H$11)*U1091^2)+(('CAFCO 400 '!$H$12*(J1091^3)+'CAFCO 400 '!$H$13*(J1091^2)+'CAFCO 400 '!$H$14*J1091+'CAFCO 400 '!$H$15)*U1091)+('CAFCO 400 '!$H$16*(J1091^2)+'CAFCO 400 '!$H$17*J1091+'CAFCO 400 '!$H$18)),0)+IF(AND(L1091="Cafco 400",M1091="Software Idiem",C1091="Cj"),(((('CAFCO 400 '!$D$7*LN(J1091)+'CAFCO 400 '!$D$8)*U1091^2)+(('CAFCO 400 '!$D$9*LN(J1091)+'CAFCO 400 '!$D$10)*U1091)+('CAFCO 400 '!$D$11*LN(J1091)+'CAFCO 400 '!$D$12))),0)+IF(AND(L1091="Cafco 400",M1091="Software Idiem",C1091="C"),((('CAFCO 400 '!$L$7*(J1091^3)+'CAFCO 400 '!$L$8*(J1091^2)+'CAFCO 400 '!$L$9*J1091+'CAFCO 400 '!$L$10)*U1091^2)+(('CAFCO 400 '!$L$11*(J1091^3)+'CAFCO 400 '!$L$12*(J1091^2)+'CAFCO 400 '!$L$13*J1091+'CAFCO 400 '!$L$14)*U1091)+('CAFCO 400 '!$L$15*LN(J1091)+'CAFCO 400 '!$L$16)),0)+IF(AND(L1091="Cafco 400",M1091="Software Idiem",C1091="L"),((('CAFCO 400 '!$L$7*(J1091^3)+'CAFCO 400 '!$L$8*(J1091^2)+'CAFCO 400 '!$L$9*J1091+'CAFCO 400 '!$L$10)*U1091^2)+(('CAFCO 400 '!$L$11*(J1091^3)+'CAFCO 400 '!$L$12*(J1091^2)+'CAFCO 400 '!$L$13*J1091+'CAFCO 400 '!$L$14)*U1091)+('CAFCO 400 '!$L$15*LN(J1091)+'CAFCO 400 '!$L$16)),0)+IF(AND(L1091="Cafco 400",M1091="Software Idiem",C1091="IN",G1091=3),((('CAFCO 400 '!$D$23*(J1091^2)+'CAFCO 400 '!$D$24*(J1091)+'CAFCO 400 '!$D$25)*U1091^2)+(('CAFCO 400 '!$D$26*(J1091^2)+'CAFCO 400 '!$D$27*J1091+'CAFCO 400 '!$D$28)*U1091)+('CAFCO 400 '!$D$29*(J1091^2)+'CAFCO 400 '!$D$30*J1091+'CAFCO 400 '!$D$31)),0),0)+IF(AND(L1091="Cafco 300",J1091&gt;=95,J1091&lt;=240,C1091="Cj",I1091=90),VLOOKUP(T1091,'CAFCO 300 IDIEM TABLAS'!$B$4:$D$23,2,FALSE),0)+IF(AND(L1091="Cafco 300",J1091&gt;=95,J1091&lt;=240,C1091="Cj",I1091=120),VLOOKUP(T1091,'CAFCO 300 IDIEM TABLAS'!$B$4:$D$23,3,FALSE),0)+IF(AND(L1091="Cafco 300",J1091&gt;=95,J1091&lt;=400,G1091=3,C1091="IN",I1091=90),VLOOKUP(T1091,'CAFCO 300 IDIEM TABLAS'!$F$4:$H$35,2,FALSE),0)+IF(AND(L1091="Cafco 300",J1091&gt;=95,J1091&lt;=400,G1091=3,C1091="IN",I1091=120),VLOOKUP(T1091,'CAFCO 300 IDIEM TABLAS'!$F$4:$H$35,3,FALSE),0)+IF(AND(L1091="Cafco 300",J1091&gt;=95,J1091&lt;=450,G1091=4,C1091="IN",I1091=90),VLOOKUP(T1091,'CAFCO 300 IDIEM TABLAS'!$J$4:$L$40,2,FALSE),0)+IF(AND(L1091="Cafco 300",J1091&gt;=95,J1091&lt;=450,G1091=4,C1091="IN",I1091=120),VLOOKUP(T1091,'CAFCO 300 IDIEM TABLAS'!$J$4:$L$40,3,FALSE),0)+IF(AND(M1091="Ensayo Idiem",L1091="Cafco 400",C1091="IN",G1091=4,I1091=90),VLOOKUP(T1091,'CAFCO 400 ENSAYO'!$B$7:$D$43,2,FALSE),0)+IF(AND(M1091="Ensayo Idiem",L1091="Cafco 400",C1091="IN",G1091=4,I1091=120),VLOOKUP(T1091,'CAFCO 400 ENSAYO'!$B$7:$D$43,3,FALSE),0)</f>
        <v>0</v>
      </c>
      <c r="O1091" s="96">
        <f t="shared" si="108"/>
        <v>0</v>
      </c>
      <c r="P1091" s="132" t="str">
        <f t="shared" si="109"/>
        <v>N/A</v>
      </c>
      <c r="Q1091" s="132" t="str">
        <f t="shared" si="110"/>
        <v>N/A</v>
      </c>
      <c r="R1091" s="132" t="str">
        <f t="shared" si="111"/>
        <v>NO CERT.</v>
      </c>
      <c r="S1091" s="132" t="e">
        <f t="shared" si="112"/>
        <v>#N/A</v>
      </c>
      <c r="T1091" s="133" t="e">
        <f>+IF(J1091=LOOKUP(J1091,'CAFCO 300 IDIEM TABLAS'!$J$4:$J$40),'CALCULO MORTERO'!J1091,MROUND('CALCULO MORTERO'!J1091,10))</f>
        <v>#N/A</v>
      </c>
      <c r="U1091" s="134">
        <f t="shared" si="113"/>
        <v>0</v>
      </c>
    </row>
    <row r="1092" spans="1:21" x14ac:dyDescent="0.25">
      <c r="A1092" s="118">
        <f>+CUBICACION!D1086</f>
        <v>0</v>
      </c>
      <c r="B1092" s="819">
        <f>+CUBICACION!E1086</f>
        <v>0</v>
      </c>
      <c r="C1092" s="675">
        <f>+CUBICACION!F1086</f>
        <v>0</v>
      </c>
      <c r="D1092" s="118"/>
      <c r="E1092" s="118"/>
      <c r="F1092" s="820"/>
      <c r="G1092" s="675">
        <f>+CUBICACION!J1086</f>
        <v>0</v>
      </c>
      <c r="H1092" s="118"/>
      <c r="I1092" s="821">
        <f>+CUBICACION!L1086</f>
        <v>0</v>
      </c>
      <c r="J1092" s="64">
        <f>+CUBICACION!M1086</f>
        <v>0</v>
      </c>
      <c r="K1092" s="822" t="str">
        <f>+CUBICACION!N1086</f>
        <v/>
      </c>
      <c r="L1092" s="118">
        <f>+CUBICACION!O1086</f>
        <v>0</v>
      </c>
      <c r="M1092" s="823">
        <f>+CUBICACION!P1086</f>
        <v>0</v>
      </c>
      <c r="N1092" s="902">
        <f>ROUND(IF(AND(L1092="Blaze Shield II",M1092="Software Idiem",C1092="IN",G1092=4),((('BLAZE SHIELD II'!$D$4*('CALCULO MORTERO'!I1092^2)+'BLAZE SHIELD II'!$D$5*'CALCULO MORTERO'!I1092+'BLAZE SHIELD II'!$D$6)*LN(J1092))+('BLAZE SHIELD II'!$D$7*('CALCULO MORTERO'!I1092^2)+'BLAZE SHIELD II'!$D$8*'CALCULO MORTERO'!I1092+'BLAZE SHIELD II'!$D$9)),0)+IF(AND(L1092="Blaze Shield II",M1092="Software Idiem",C1092="Cj"),((('BLAZE SHIELD II'!$H$4*('CALCULO MORTERO'!I1092^2)+'BLAZE SHIELD II'!$H$5*'CALCULO MORTERO'!I1092+'BLAZE SHIELD II'!$H$6)*LN(J1092))+('BLAZE SHIELD II'!$H$7*('CALCULO MORTERO'!I1092^2)+'BLAZE SHIELD II'!$H$8*'CALCULO MORTERO'!I1092+'BLAZE SHIELD II'!$H$9)),0)+IF(AND(L1092="Blaze Shield II",M1092="Software Idiem",C1092="C"),((('BLAZE SHIELD II'!$L$4*('CALCULO MORTERO'!I1092^2)+'BLAZE SHIELD II'!$L$5*'CALCULO MORTERO'!I1092+'BLAZE SHIELD II'!$L$6)*LN(J1092))+('BLAZE SHIELD II'!$L$7*('CALCULO MORTERO'!I1092^2)+'BLAZE SHIELD II'!$L$8*'CALCULO MORTERO'!I1092+'BLAZE SHIELD II'!$L$9)),0)+IF(AND(L1092="Blaze Shield II",M1092="Software Idiem",C1092="L"),((('BLAZE SHIELD II'!$L$4*('CALCULO MORTERO'!I1092^2)+'BLAZE SHIELD II'!$L$5*'CALCULO MORTERO'!I1092+'BLAZE SHIELD II'!$L$6)*LN(J1092))+('BLAZE SHIELD II'!$L$7*('CALCULO MORTERO'!I1092^2)+'BLAZE SHIELD II'!$L$8*'CALCULO MORTERO'!I1092+'BLAZE SHIELD II'!$L$9)),0)+IF(AND(L1092="Blaze Shield II",M1092="Software Idiem",C1092="IN",G1092=3),((('BLAZE SHIELD II'!$H$14*('CALCULO MORTERO'!I1092^2)+'BLAZE SHIELD II'!$H$15*'CALCULO MORTERO'!I1092+'BLAZE SHIELD II'!$H$16)*LN(J1092))+('BLAZE SHIELD II'!$H$17*('CALCULO MORTERO'!I1092^2)+'BLAZE SHIELD II'!$H$18*'CALCULO MORTERO'!I1092+'BLAZE SHIELD II'!$H$19)),0),0)+ROUND(IF(AND(L1092="Cafco 400",M1092="Software Idiem",C1092="IN",G1092=4),((('CAFCO 400 '!$H$7*(J1092^4)+'CAFCO 400 '!$H$8*(J1092^3)+'CAFCO 400 '!$H$9*(J1092^2)+'CAFCO 400 '!$H$10*J1092+'CAFCO 400 '!$H$11)*U1092^2)+(('CAFCO 400 '!$H$12*(J1092^3)+'CAFCO 400 '!$H$13*(J1092^2)+'CAFCO 400 '!$H$14*J1092+'CAFCO 400 '!$H$15)*U1092)+('CAFCO 400 '!$H$16*(J1092^2)+'CAFCO 400 '!$H$17*J1092+'CAFCO 400 '!$H$18)),0)+IF(AND(L1092="Cafco 400",M1092="Software Idiem",C1092="Cj"),(((('CAFCO 400 '!$D$7*LN(J1092)+'CAFCO 400 '!$D$8)*U1092^2)+(('CAFCO 400 '!$D$9*LN(J1092)+'CAFCO 400 '!$D$10)*U1092)+('CAFCO 400 '!$D$11*LN(J1092)+'CAFCO 400 '!$D$12))),0)+IF(AND(L1092="Cafco 400",M1092="Software Idiem",C1092="C"),((('CAFCO 400 '!$L$7*(J1092^3)+'CAFCO 400 '!$L$8*(J1092^2)+'CAFCO 400 '!$L$9*J1092+'CAFCO 400 '!$L$10)*U1092^2)+(('CAFCO 400 '!$L$11*(J1092^3)+'CAFCO 400 '!$L$12*(J1092^2)+'CAFCO 400 '!$L$13*J1092+'CAFCO 400 '!$L$14)*U1092)+('CAFCO 400 '!$L$15*LN(J1092)+'CAFCO 400 '!$L$16)),0)+IF(AND(L1092="Cafco 400",M1092="Software Idiem",C1092="L"),((('CAFCO 400 '!$L$7*(J1092^3)+'CAFCO 400 '!$L$8*(J1092^2)+'CAFCO 400 '!$L$9*J1092+'CAFCO 400 '!$L$10)*U1092^2)+(('CAFCO 400 '!$L$11*(J1092^3)+'CAFCO 400 '!$L$12*(J1092^2)+'CAFCO 400 '!$L$13*J1092+'CAFCO 400 '!$L$14)*U1092)+('CAFCO 400 '!$L$15*LN(J1092)+'CAFCO 400 '!$L$16)),0)+IF(AND(L1092="Cafco 400",M1092="Software Idiem",C1092="IN",G1092=3),((('CAFCO 400 '!$D$23*(J1092^2)+'CAFCO 400 '!$D$24*(J1092)+'CAFCO 400 '!$D$25)*U1092^2)+(('CAFCO 400 '!$D$26*(J1092^2)+'CAFCO 400 '!$D$27*J1092+'CAFCO 400 '!$D$28)*U1092)+('CAFCO 400 '!$D$29*(J1092^2)+'CAFCO 400 '!$D$30*J1092+'CAFCO 400 '!$D$31)),0),0)+IF(AND(L1092="Cafco 300",J1092&gt;=95,J1092&lt;=240,C1092="Cj",I1092=90),VLOOKUP(T1092,'CAFCO 300 IDIEM TABLAS'!$B$4:$D$23,2,FALSE),0)+IF(AND(L1092="Cafco 300",J1092&gt;=95,J1092&lt;=240,C1092="Cj",I1092=120),VLOOKUP(T1092,'CAFCO 300 IDIEM TABLAS'!$B$4:$D$23,3,FALSE),0)+IF(AND(L1092="Cafco 300",J1092&gt;=95,J1092&lt;=400,G1092=3,C1092="IN",I1092=90),VLOOKUP(T1092,'CAFCO 300 IDIEM TABLAS'!$F$4:$H$35,2,FALSE),0)+IF(AND(L1092="Cafco 300",J1092&gt;=95,J1092&lt;=400,G1092=3,C1092="IN",I1092=120),VLOOKUP(T1092,'CAFCO 300 IDIEM TABLAS'!$F$4:$H$35,3,FALSE),0)+IF(AND(L1092="Cafco 300",J1092&gt;=95,J1092&lt;=450,G1092=4,C1092="IN",I1092=90),VLOOKUP(T1092,'CAFCO 300 IDIEM TABLAS'!$J$4:$L$40,2,FALSE),0)+IF(AND(L1092="Cafco 300",J1092&gt;=95,J1092&lt;=450,G1092=4,C1092="IN",I1092=120),VLOOKUP(T1092,'CAFCO 300 IDIEM TABLAS'!$J$4:$L$40,3,FALSE),0)+IF(AND(M1092="Ensayo Idiem",L1092="Cafco 400",C1092="IN",G1092=4,I1092=90),VLOOKUP(T1092,'CAFCO 400 ENSAYO'!$B$7:$D$43,2,FALSE),0)+IF(AND(M1092="Ensayo Idiem",L1092="Cafco 400",C1092="IN",G1092=4,I1092=120),VLOOKUP(T1092,'CAFCO 400 ENSAYO'!$B$7:$D$43,3,FALSE),0)</f>
        <v>0</v>
      </c>
      <c r="O1092" s="96">
        <f t="shared" si="108"/>
        <v>0</v>
      </c>
      <c r="P1092" s="95" t="str">
        <f t="shared" si="109"/>
        <v>N/A</v>
      </c>
      <c r="Q1092" s="95" t="str">
        <f t="shared" si="110"/>
        <v>N/A</v>
      </c>
      <c r="R1092" s="95" t="str">
        <f t="shared" si="111"/>
        <v>NO CERT.</v>
      </c>
      <c r="S1092" s="95" t="e">
        <f t="shared" si="112"/>
        <v>#N/A</v>
      </c>
      <c r="T1092" s="119" t="e">
        <f>+IF(J1092=LOOKUP(J1092,'CAFCO 300 IDIEM TABLAS'!$J$4:$J$40),'CALCULO MORTERO'!J1092,MROUND('CALCULO MORTERO'!J1092,10))</f>
        <v>#N/A</v>
      </c>
      <c r="U1092" s="118">
        <f t="shared" si="113"/>
        <v>0</v>
      </c>
    </row>
    <row r="1093" spans="1:21" x14ac:dyDescent="0.25">
      <c r="A1093" s="118">
        <f>+CUBICACION!D1087</f>
        <v>0</v>
      </c>
      <c r="B1093" s="819">
        <f>+CUBICACION!E1087</f>
        <v>0</v>
      </c>
      <c r="C1093" s="675">
        <f>+CUBICACION!F1087</f>
        <v>0</v>
      </c>
      <c r="D1093" s="118"/>
      <c r="E1093" s="118"/>
      <c r="F1093" s="820"/>
      <c r="G1093" s="675">
        <f>+CUBICACION!J1087</f>
        <v>0</v>
      </c>
      <c r="H1093" s="118"/>
      <c r="I1093" s="821">
        <f>+CUBICACION!L1087</f>
        <v>0</v>
      </c>
      <c r="J1093" s="64">
        <f>+CUBICACION!M1087</f>
        <v>0</v>
      </c>
      <c r="K1093" s="822" t="str">
        <f>+CUBICACION!N1087</f>
        <v/>
      </c>
      <c r="L1093" s="118">
        <f>+CUBICACION!O1087</f>
        <v>0</v>
      </c>
      <c r="M1093" s="823">
        <f>+CUBICACION!P1087</f>
        <v>0</v>
      </c>
      <c r="N1093" s="902">
        <f>ROUND(IF(AND(L1093="Blaze Shield II",M1093="Software Idiem",C1093="IN",G1093=4),((('BLAZE SHIELD II'!$D$4*('CALCULO MORTERO'!I1093^2)+'BLAZE SHIELD II'!$D$5*'CALCULO MORTERO'!I1093+'BLAZE SHIELD II'!$D$6)*LN(J1093))+('BLAZE SHIELD II'!$D$7*('CALCULO MORTERO'!I1093^2)+'BLAZE SHIELD II'!$D$8*'CALCULO MORTERO'!I1093+'BLAZE SHIELD II'!$D$9)),0)+IF(AND(L1093="Blaze Shield II",M1093="Software Idiem",C1093="Cj"),((('BLAZE SHIELD II'!$H$4*('CALCULO MORTERO'!I1093^2)+'BLAZE SHIELD II'!$H$5*'CALCULO MORTERO'!I1093+'BLAZE SHIELD II'!$H$6)*LN(J1093))+('BLAZE SHIELD II'!$H$7*('CALCULO MORTERO'!I1093^2)+'BLAZE SHIELD II'!$H$8*'CALCULO MORTERO'!I1093+'BLAZE SHIELD II'!$H$9)),0)+IF(AND(L1093="Blaze Shield II",M1093="Software Idiem",C1093="C"),((('BLAZE SHIELD II'!$L$4*('CALCULO MORTERO'!I1093^2)+'BLAZE SHIELD II'!$L$5*'CALCULO MORTERO'!I1093+'BLAZE SHIELD II'!$L$6)*LN(J1093))+('BLAZE SHIELD II'!$L$7*('CALCULO MORTERO'!I1093^2)+'BLAZE SHIELD II'!$L$8*'CALCULO MORTERO'!I1093+'BLAZE SHIELD II'!$L$9)),0)+IF(AND(L1093="Blaze Shield II",M1093="Software Idiem",C1093="L"),((('BLAZE SHIELD II'!$L$4*('CALCULO MORTERO'!I1093^2)+'BLAZE SHIELD II'!$L$5*'CALCULO MORTERO'!I1093+'BLAZE SHIELD II'!$L$6)*LN(J1093))+('BLAZE SHIELD II'!$L$7*('CALCULO MORTERO'!I1093^2)+'BLAZE SHIELD II'!$L$8*'CALCULO MORTERO'!I1093+'BLAZE SHIELD II'!$L$9)),0)+IF(AND(L1093="Blaze Shield II",M1093="Software Idiem",C1093="IN",G1093=3),((('BLAZE SHIELD II'!$H$14*('CALCULO MORTERO'!I1093^2)+'BLAZE SHIELD II'!$H$15*'CALCULO MORTERO'!I1093+'BLAZE SHIELD II'!$H$16)*LN(J1093))+('BLAZE SHIELD II'!$H$17*('CALCULO MORTERO'!I1093^2)+'BLAZE SHIELD II'!$H$18*'CALCULO MORTERO'!I1093+'BLAZE SHIELD II'!$H$19)),0),0)+ROUND(IF(AND(L1093="Cafco 400",M1093="Software Idiem",C1093="IN",G1093=4),((('CAFCO 400 '!$H$7*(J1093^4)+'CAFCO 400 '!$H$8*(J1093^3)+'CAFCO 400 '!$H$9*(J1093^2)+'CAFCO 400 '!$H$10*J1093+'CAFCO 400 '!$H$11)*U1093^2)+(('CAFCO 400 '!$H$12*(J1093^3)+'CAFCO 400 '!$H$13*(J1093^2)+'CAFCO 400 '!$H$14*J1093+'CAFCO 400 '!$H$15)*U1093)+('CAFCO 400 '!$H$16*(J1093^2)+'CAFCO 400 '!$H$17*J1093+'CAFCO 400 '!$H$18)),0)+IF(AND(L1093="Cafco 400",M1093="Software Idiem",C1093="Cj"),(((('CAFCO 400 '!$D$7*LN(J1093)+'CAFCO 400 '!$D$8)*U1093^2)+(('CAFCO 400 '!$D$9*LN(J1093)+'CAFCO 400 '!$D$10)*U1093)+('CAFCO 400 '!$D$11*LN(J1093)+'CAFCO 400 '!$D$12))),0)+IF(AND(L1093="Cafco 400",M1093="Software Idiem",C1093="C"),((('CAFCO 400 '!$L$7*(J1093^3)+'CAFCO 400 '!$L$8*(J1093^2)+'CAFCO 400 '!$L$9*J1093+'CAFCO 400 '!$L$10)*U1093^2)+(('CAFCO 400 '!$L$11*(J1093^3)+'CAFCO 400 '!$L$12*(J1093^2)+'CAFCO 400 '!$L$13*J1093+'CAFCO 400 '!$L$14)*U1093)+('CAFCO 400 '!$L$15*LN(J1093)+'CAFCO 400 '!$L$16)),0)+IF(AND(L1093="Cafco 400",M1093="Software Idiem",C1093="L"),((('CAFCO 400 '!$L$7*(J1093^3)+'CAFCO 400 '!$L$8*(J1093^2)+'CAFCO 400 '!$L$9*J1093+'CAFCO 400 '!$L$10)*U1093^2)+(('CAFCO 400 '!$L$11*(J1093^3)+'CAFCO 400 '!$L$12*(J1093^2)+'CAFCO 400 '!$L$13*J1093+'CAFCO 400 '!$L$14)*U1093)+('CAFCO 400 '!$L$15*LN(J1093)+'CAFCO 400 '!$L$16)),0)+IF(AND(L1093="Cafco 400",M1093="Software Idiem",C1093="IN",G1093=3),((('CAFCO 400 '!$D$23*(J1093^2)+'CAFCO 400 '!$D$24*(J1093)+'CAFCO 400 '!$D$25)*U1093^2)+(('CAFCO 400 '!$D$26*(J1093^2)+'CAFCO 400 '!$D$27*J1093+'CAFCO 400 '!$D$28)*U1093)+('CAFCO 400 '!$D$29*(J1093^2)+'CAFCO 400 '!$D$30*J1093+'CAFCO 400 '!$D$31)),0),0)+IF(AND(L1093="Cafco 300",J1093&gt;=95,J1093&lt;=240,C1093="Cj",I1093=90),VLOOKUP(T1093,'CAFCO 300 IDIEM TABLAS'!$B$4:$D$23,2,FALSE),0)+IF(AND(L1093="Cafco 300",J1093&gt;=95,J1093&lt;=240,C1093="Cj",I1093=120),VLOOKUP(T1093,'CAFCO 300 IDIEM TABLAS'!$B$4:$D$23,3,FALSE),0)+IF(AND(L1093="Cafco 300",J1093&gt;=95,J1093&lt;=400,G1093=3,C1093="IN",I1093=90),VLOOKUP(T1093,'CAFCO 300 IDIEM TABLAS'!$F$4:$H$35,2,FALSE),0)+IF(AND(L1093="Cafco 300",J1093&gt;=95,J1093&lt;=400,G1093=3,C1093="IN",I1093=120),VLOOKUP(T1093,'CAFCO 300 IDIEM TABLAS'!$F$4:$H$35,3,FALSE),0)+IF(AND(L1093="Cafco 300",J1093&gt;=95,J1093&lt;=450,G1093=4,C1093="IN",I1093=90),VLOOKUP(T1093,'CAFCO 300 IDIEM TABLAS'!$J$4:$L$40,2,FALSE),0)+IF(AND(L1093="Cafco 300",J1093&gt;=95,J1093&lt;=450,G1093=4,C1093="IN",I1093=120),VLOOKUP(T1093,'CAFCO 300 IDIEM TABLAS'!$J$4:$L$40,3,FALSE),0)+IF(AND(M1093="Ensayo Idiem",L1093="Cafco 400",C1093="IN",G1093=4,I1093=90),VLOOKUP(T1093,'CAFCO 400 ENSAYO'!$B$7:$D$43,2,FALSE),0)+IF(AND(M1093="Ensayo Idiem",L1093="Cafco 400",C1093="IN",G1093=4,I1093=120),VLOOKUP(T1093,'CAFCO 400 ENSAYO'!$B$7:$D$43,3,FALSE),0)</f>
        <v>0</v>
      </c>
      <c r="O1093" s="96">
        <f t="shared" si="108"/>
        <v>0</v>
      </c>
      <c r="P1093" s="132" t="str">
        <f t="shared" si="109"/>
        <v>N/A</v>
      </c>
      <c r="Q1093" s="132" t="str">
        <f t="shared" si="110"/>
        <v>N/A</v>
      </c>
      <c r="R1093" s="132" t="str">
        <f t="shared" si="111"/>
        <v>NO CERT.</v>
      </c>
      <c r="S1093" s="132" t="e">
        <f t="shared" si="112"/>
        <v>#N/A</v>
      </c>
      <c r="T1093" s="133" t="e">
        <f>+IF(J1093=LOOKUP(J1093,'CAFCO 300 IDIEM TABLAS'!$J$4:$J$40),'CALCULO MORTERO'!J1093,MROUND('CALCULO MORTERO'!J1093,10))</f>
        <v>#N/A</v>
      </c>
      <c r="U1093" s="134">
        <f t="shared" si="113"/>
        <v>0</v>
      </c>
    </row>
    <row r="1094" spans="1:21" x14ac:dyDescent="0.25">
      <c r="A1094" s="118">
        <f>+CUBICACION!D1088</f>
        <v>0</v>
      </c>
      <c r="B1094" s="819">
        <f>+CUBICACION!E1088</f>
        <v>0</v>
      </c>
      <c r="C1094" s="675">
        <f>+CUBICACION!F1088</f>
        <v>0</v>
      </c>
      <c r="D1094" s="118"/>
      <c r="E1094" s="118"/>
      <c r="F1094" s="820"/>
      <c r="G1094" s="675">
        <f>+CUBICACION!J1088</f>
        <v>0</v>
      </c>
      <c r="H1094" s="118"/>
      <c r="I1094" s="821">
        <f>+CUBICACION!L1088</f>
        <v>0</v>
      </c>
      <c r="J1094" s="64">
        <f>+CUBICACION!M1088</f>
        <v>0</v>
      </c>
      <c r="K1094" s="822" t="str">
        <f>+CUBICACION!N1088</f>
        <v/>
      </c>
      <c r="L1094" s="118">
        <f>+CUBICACION!O1088</f>
        <v>0</v>
      </c>
      <c r="M1094" s="823">
        <f>+CUBICACION!P1088</f>
        <v>0</v>
      </c>
      <c r="N1094" s="902">
        <f>ROUND(IF(AND(L1094="Blaze Shield II",M1094="Software Idiem",C1094="IN",G1094=4),((('BLAZE SHIELD II'!$D$4*('CALCULO MORTERO'!I1094^2)+'BLAZE SHIELD II'!$D$5*'CALCULO MORTERO'!I1094+'BLAZE SHIELD II'!$D$6)*LN(J1094))+('BLAZE SHIELD II'!$D$7*('CALCULO MORTERO'!I1094^2)+'BLAZE SHIELD II'!$D$8*'CALCULO MORTERO'!I1094+'BLAZE SHIELD II'!$D$9)),0)+IF(AND(L1094="Blaze Shield II",M1094="Software Idiem",C1094="Cj"),((('BLAZE SHIELD II'!$H$4*('CALCULO MORTERO'!I1094^2)+'BLAZE SHIELD II'!$H$5*'CALCULO MORTERO'!I1094+'BLAZE SHIELD II'!$H$6)*LN(J1094))+('BLAZE SHIELD II'!$H$7*('CALCULO MORTERO'!I1094^2)+'BLAZE SHIELD II'!$H$8*'CALCULO MORTERO'!I1094+'BLAZE SHIELD II'!$H$9)),0)+IF(AND(L1094="Blaze Shield II",M1094="Software Idiem",C1094="C"),((('BLAZE SHIELD II'!$L$4*('CALCULO MORTERO'!I1094^2)+'BLAZE SHIELD II'!$L$5*'CALCULO MORTERO'!I1094+'BLAZE SHIELD II'!$L$6)*LN(J1094))+('BLAZE SHIELD II'!$L$7*('CALCULO MORTERO'!I1094^2)+'BLAZE SHIELD II'!$L$8*'CALCULO MORTERO'!I1094+'BLAZE SHIELD II'!$L$9)),0)+IF(AND(L1094="Blaze Shield II",M1094="Software Idiem",C1094="L"),((('BLAZE SHIELD II'!$L$4*('CALCULO MORTERO'!I1094^2)+'BLAZE SHIELD II'!$L$5*'CALCULO MORTERO'!I1094+'BLAZE SHIELD II'!$L$6)*LN(J1094))+('BLAZE SHIELD II'!$L$7*('CALCULO MORTERO'!I1094^2)+'BLAZE SHIELD II'!$L$8*'CALCULO MORTERO'!I1094+'BLAZE SHIELD II'!$L$9)),0)+IF(AND(L1094="Blaze Shield II",M1094="Software Idiem",C1094="IN",G1094=3),((('BLAZE SHIELD II'!$H$14*('CALCULO MORTERO'!I1094^2)+'BLAZE SHIELD II'!$H$15*'CALCULO MORTERO'!I1094+'BLAZE SHIELD II'!$H$16)*LN(J1094))+('BLAZE SHIELD II'!$H$17*('CALCULO MORTERO'!I1094^2)+'BLAZE SHIELD II'!$H$18*'CALCULO MORTERO'!I1094+'BLAZE SHIELD II'!$H$19)),0),0)+ROUND(IF(AND(L1094="Cafco 400",M1094="Software Idiem",C1094="IN",G1094=4),((('CAFCO 400 '!$H$7*(J1094^4)+'CAFCO 400 '!$H$8*(J1094^3)+'CAFCO 400 '!$H$9*(J1094^2)+'CAFCO 400 '!$H$10*J1094+'CAFCO 400 '!$H$11)*U1094^2)+(('CAFCO 400 '!$H$12*(J1094^3)+'CAFCO 400 '!$H$13*(J1094^2)+'CAFCO 400 '!$H$14*J1094+'CAFCO 400 '!$H$15)*U1094)+('CAFCO 400 '!$H$16*(J1094^2)+'CAFCO 400 '!$H$17*J1094+'CAFCO 400 '!$H$18)),0)+IF(AND(L1094="Cafco 400",M1094="Software Idiem",C1094="Cj"),(((('CAFCO 400 '!$D$7*LN(J1094)+'CAFCO 400 '!$D$8)*U1094^2)+(('CAFCO 400 '!$D$9*LN(J1094)+'CAFCO 400 '!$D$10)*U1094)+('CAFCO 400 '!$D$11*LN(J1094)+'CAFCO 400 '!$D$12))),0)+IF(AND(L1094="Cafco 400",M1094="Software Idiem",C1094="C"),((('CAFCO 400 '!$L$7*(J1094^3)+'CAFCO 400 '!$L$8*(J1094^2)+'CAFCO 400 '!$L$9*J1094+'CAFCO 400 '!$L$10)*U1094^2)+(('CAFCO 400 '!$L$11*(J1094^3)+'CAFCO 400 '!$L$12*(J1094^2)+'CAFCO 400 '!$L$13*J1094+'CAFCO 400 '!$L$14)*U1094)+('CAFCO 400 '!$L$15*LN(J1094)+'CAFCO 400 '!$L$16)),0)+IF(AND(L1094="Cafco 400",M1094="Software Idiem",C1094="L"),((('CAFCO 400 '!$L$7*(J1094^3)+'CAFCO 400 '!$L$8*(J1094^2)+'CAFCO 400 '!$L$9*J1094+'CAFCO 400 '!$L$10)*U1094^2)+(('CAFCO 400 '!$L$11*(J1094^3)+'CAFCO 400 '!$L$12*(J1094^2)+'CAFCO 400 '!$L$13*J1094+'CAFCO 400 '!$L$14)*U1094)+('CAFCO 400 '!$L$15*LN(J1094)+'CAFCO 400 '!$L$16)),0)+IF(AND(L1094="Cafco 400",M1094="Software Idiem",C1094="IN",G1094=3),((('CAFCO 400 '!$D$23*(J1094^2)+'CAFCO 400 '!$D$24*(J1094)+'CAFCO 400 '!$D$25)*U1094^2)+(('CAFCO 400 '!$D$26*(J1094^2)+'CAFCO 400 '!$D$27*J1094+'CAFCO 400 '!$D$28)*U1094)+('CAFCO 400 '!$D$29*(J1094^2)+'CAFCO 400 '!$D$30*J1094+'CAFCO 400 '!$D$31)),0),0)+IF(AND(L1094="Cafco 300",J1094&gt;=95,J1094&lt;=240,C1094="Cj",I1094=90),VLOOKUP(T1094,'CAFCO 300 IDIEM TABLAS'!$B$4:$D$23,2,FALSE),0)+IF(AND(L1094="Cafco 300",J1094&gt;=95,J1094&lt;=240,C1094="Cj",I1094=120),VLOOKUP(T1094,'CAFCO 300 IDIEM TABLAS'!$B$4:$D$23,3,FALSE),0)+IF(AND(L1094="Cafco 300",J1094&gt;=95,J1094&lt;=400,G1094=3,C1094="IN",I1094=90),VLOOKUP(T1094,'CAFCO 300 IDIEM TABLAS'!$F$4:$H$35,2,FALSE),0)+IF(AND(L1094="Cafco 300",J1094&gt;=95,J1094&lt;=400,G1094=3,C1094="IN",I1094=120),VLOOKUP(T1094,'CAFCO 300 IDIEM TABLAS'!$F$4:$H$35,3,FALSE),0)+IF(AND(L1094="Cafco 300",J1094&gt;=95,J1094&lt;=450,G1094=4,C1094="IN",I1094=90),VLOOKUP(T1094,'CAFCO 300 IDIEM TABLAS'!$J$4:$L$40,2,FALSE),0)+IF(AND(L1094="Cafco 300",J1094&gt;=95,J1094&lt;=450,G1094=4,C1094="IN",I1094=120),VLOOKUP(T1094,'CAFCO 300 IDIEM TABLAS'!$J$4:$L$40,3,FALSE),0)+IF(AND(M1094="Ensayo Idiem",L1094="Cafco 400",C1094="IN",G1094=4,I1094=90),VLOOKUP(T1094,'CAFCO 400 ENSAYO'!$B$7:$D$43,2,FALSE),0)+IF(AND(M1094="Ensayo Idiem",L1094="Cafco 400",C1094="IN",G1094=4,I1094=120),VLOOKUP(T1094,'CAFCO 400 ENSAYO'!$B$7:$D$43,3,FALSE),0)</f>
        <v>0</v>
      </c>
      <c r="O1094" s="96">
        <f t="shared" si="108"/>
        <v>0</v>
      </c>
      <c r="P1094" s="95" t="str">
        <f t="shared" si="109"/>
        <v>N/A</v>
      </c>
      <c r="Q1094" s="95" t="str">
        <f t="shared" si="110"/>
        <v>N/A</v>
      </c>
      <c r="R1094" s="95" t="str">
        <f t="shared" si="111"/>
        <v>NO CERT.</v>
      </c>
      <c r="S1094" s="95" t="e">
        <f t="shared" si="112"/>
        <v>#N/A</v>
      </c>
      <c r="T1094" s="119" t="e">
        <f>+IF(J1094=LOOKUP(J1094,'CAFCO 300 IDIEM TABLAS'!$J$4:$J$40),'CALCULO MORTERO'!J1094,MROUND('CALCULO MORTERO'!J1094,10))</f>
        <v>#N/A</v>
      </c>
      <c r="U1094" s="118">
        <f t="shared" si="113"/>
        <v>0</v>
      </c>
    </row>
    <row r="1095" spans="1:21" x14ac:dyDescent="0.25">
      <c r="A1095" s="118">
        <f>+CUBICACION!D1089</f>
        <v>0</v>
      </c>
      <c r="B1095" s="819">
        <f>+CUBICACION!E1089</f>
        <v>0</v>
      </c>
      <c r="C1095" s="675">
        <f>+CUBICACION!F1089</f>
        <v>0</v>
      </c>
      <c r="D1095" s="118"/>
      <c r="E1095" s="118"/>
      <c r="F1095" s="820"/>
      <c r="G1095" s="675">
        <f>+CUBICACION!J1089</f>
        <v>0</v>
      </c>
      <c r="H1095" s="118"/>
      <c r="I1095" s="821">
        <f>+CUBICACION!L1089</f>
        <v>0</v>
      </c>
      <c r="J1095" s="64">
        <f>+CUBICACION!M1089</f>
        <v>0</v>
      </c>
      <c r="K1095" s="822" t="str">
        <f>+CUBICACION!N1089</f>
        <v/>
      </c>
      <c r="L1095" s="118">
        <f>+CUBICACION!O1089</f>
        <v>0</v>
      </c>
      <c r="M1095" s="823">
        <f>+CUBICACION!P1089</f>
        <v>0</v>
      </c>
      <c r="N1095" s="902">
        <f>ROUND(IF(AND(L1095="Blaze Shield II",M1095="Software Idiem",C1095="IN",G1095=4),((('BLAZE SHIELD II'!$D$4*('CALCULO MORTERO'!I1095^2)+'BLAZE SHIELD II'!$D$5*'CALCULO MORTERO'!I1095+'BLAZE SHIELD II'!$D$6)*LN(J1095))+('BLAZE SHIELD II'!$D$7*('CALCULO MORTERO'!I1095^2)+'BLAZE SHIELD II'!$D$8*'CALCULO MORTERO'!I1095+'BLAZE SHIELD II'!$D$9)),0)+IF(AND(L1095="Blaze Shield II",M1095="Software Idiem",C1095="Cj"),((('BLAZE SHIELD II'!$H$4*('CALCULO MORTERO'!I1095^2)+'BLAZE SHIELD II'!$H$5*'CALCULO MORTERO'!I1095+'BLAZE SHIELD II'!$H$6)*LN(J1095))+('BLAZE SHIELD II'!$H$7*('CALCULO MORTERO'!I1095^2)+'BLAZE SHIELD II'!$H$8*'CALCULO MORTERO'!I1095+'BLAZE SHIELD II'!$H$9)),0)+IF(AND(L1095="Blaze Shield II",M1095="Software Idiem",C1095="C"),((('BLAZE SHIELD II'!$L$4*('CALCULO MORTERO'!I1095^2)+'BLAZE SHIELD II'!$L$5*'CALCULO MORTERO'!I1095+'BLAZE SHIELD II'!$L$6)*LN(J1095))+('BLAZE SHIELD II'!$L$7*('CALCULO MORTERO'!I1095^2)+'BLAZE SHIELD II'!$L$8*'CALCULO MORTERO'!I1095+'BLAZE SHIELD II'!$L$9)),0)+IF(AND(L1095="Blaze Shield II",M1095="Software Idiem",C1095="L"),((('BLAZE SHIELD II'!$L$4*('CALCULO MORTERO'!I1095^2)+'BLAZE SHIELD II'!$L$5*'CALCULO MORTERO'!I1095+'BLAZE SHIELD II'!$L$6)*LN(J1095))+('BLAZE SHIELD II'!$L$7*('CALCULO MORTERO'!I1095^2)+'BLAZE SHIELD II'!$L$8*'CALCULO MORTERO'!I1095+'BLAZE SHIELD II'!$L$9)),0)+IF(AND(L1095="Blaze Shield II",M1095="Software Idiem",C1095="IN",G1095=3),((('BLAZE SHIELD II'!$H$14*('CALCULO MORTERO'!I1095^2)+'BLAZE SHIELD II'!$H$15*'CALCULO MORTERO'!I1095+'BLAZE SHIELD II'!$H$16)*LN(J1095))+('BLAZE SHIELD II'!$H$17*('CALCULO MORTERO'!I1095^2)+'BLAZE SHIELD II'!$H$18*'CALCULO MORTERO'!I1095+'BLAZE SHIELD II'!$H$19)),0),0)+ROUND(IF(AND(L1095="Cafco 400",M1095="Software Idiem",C1095="IN",G1095=4),((('CAFCO 400 '!$H$7*(J1095^4)+'CAFCO 400 '!$H$8*(J1095^3)+'CAFCO 400 '!$H$9*(J1095^2)+'CAFCO 400 '!$H$10*J1095+'CAFCO 400 '!$H$11)*U1095^2)+(('CAFCO 400 '!$H$12*(J1095^3)+'CAFCO 400 '!$H$13*(J1095^2)+'CAFCO 400 '!$H$14*J1095+'CAFCO 400 '!$H$15)*U1095)+('CAFCO 400 '!$H$16*(J1095^2)+'CAFCO 400 '!$H$17*J1095+'CAFCO 400 '!$H$18)),0)+IF(AND(L1095="Cafco 400",M1095="Software Idiem",C1095="Cj"),(((('CAFCO 400 '!$D$7*LN(J1095)+'CAFCO 400 '!$D$8)*U1095^2)+(('CAFCO 400 '!$D$9*LN(J1095)+'CAFCO 400 '!$D$10)*U1095)+('CAFCO 400 '!$D$11*LN(J1095)+'CAFCO 400 '!$D$12))),0)+IF(AND(L1095="Cafco 400",M1095="Software Idiem",C1095="C"),((('CAFCO 400 '!$L$7*(J1095^3)+'CAFCO 400 '!$L$8*(J1095^2)+'CAFCO 400 '!$L$9*J1095+'CAFCO 400 '!$L$10)*U1095^2)+(('CAFCO 400 '!$L$11*(J1095^3)+'CAFCO 400 '!$L$12*(J1095^2)+'CAFCO 400 '!$L$13*J1095+'CAFCO 400 '!$L$14)*U1095)+('CAFCO 400 '!$L$15*LN(J1095)+'CAFCO 400 '!$L$16)),0)+IF(AND(L1095="Cafco 400",M1095="Software Idiem",C1095="L"),((('CAFCO 400 '!$L$7*(J1095^3)+'CAFCO 400 '!$L$8*(J1095^2)+'CAFCO 400 '!$L$9*J1095+'CAFCO 400 '!$L$10)*U1095^2)+(('CAFCO 400 '!$L$11*(J1095^3)+'CAFCO 400 '!$L$12*(J1095^2)+'CAFCO 400 '!$L$13*J1095+'CAFCO 400 '!$L$14)*U1095)+('CAFCO 400 '!$L$15*LN(J1095)+'CAFCO 400 '!$L$16)),0)+IF(AND(L1095="Cafco 400",M1095="Software Idiem",C1095="IN",G1095=3),((('CAFCO 400 '!$D$23*(J1095^2)+'CAFCO 400 '!$D$24*(J1095)+'CAFCO 400 '!$D$25)*U1095^2)+(('CAFCO 400 '!$D$26*(J1095^2)+'CAFCO 400 '!$D$27*J1095+'CAFCO 400 '!$D$28)*U1095)+('CAFCO 400 '!$D$29*(J1095^2)+'CAFCO 400 '!$D$30*J1095+'CAFCO 400 '!$D$31)),0),0)+IF(AND(L1095="Cafco 300",J1095&gt;=95,J1095&lt;=240,C1095="Cj",I1095=90),VLOOKUP(T1095,'CAFCO 300 IDIEM TABLAS'!$B$4:$D$23,2,FALSE),0)+IF(AND(L1095="Cafco 300",J1095&gt;=95,J1095&lt;=240,C1095="Cj",I1095=120),VLOOKUP(T1095,'CAFCO 300 IDIEM TABLAS'!$B$4:$D$23,3,FALSE),0)+IF(AND(L1095="Cafco 300",J1095&gt;=95,J1095&lt;=400,G1095=3,C1095="IN",I1095=90),VLOOKUP(T1095,'CAFCO 300 IDIEM TABLAS'!$F$4:$H$35,2,FALSE),0)+IF(AND(L1095="Cafco 300",J1095&gt;=95,J1095&lt;=400,G1095=3,C1095="IN",I1095=120),VLOOKUP(T1095,'CAFCO 300 IDIEM TABLAS'!$F$4:$H$35,3,FALSE),0)+IF(AND(L1095="Cafco 300",J1095&gt;=95,J1095&lt;=450,G1095=4,C1095="IN",I1095=90),VLOOKUP(T1095,'CAFCO 300 IDIEM TABLAS'!$J$4:$L$40,2,FALSE),0)+IF(AND(L1095="Cafco 300",J1095&gt;=95,J1095&lt;=450,G1095=4,C1095="IN",I1095=120),VLOOKUP(T1095,'CAFCO 300 IDIEM TABLAS'!$J$4:$L$40,3,FALSE),0)+IF(AND(M1095="Ensayo Idiem",L1095="Cafco 400",C1095="IN",G1095=4,I1095=90),VLOOKUP(T1095,'CAFCO 400 ENSAYO'!$B$7:$D$43,2,FALSE),0)+IF(AND(M1095="Ensayo Idiem",L1095="Cafco 400",C1095="IN",G1095=4,I1095=120),VLOOKUP(T1095,'CAFCO 400 ENSAYO'!$B$7:$D$43,3,FALSE),0)</f>
        <v>0</v>
      </c>
      <c r="O1095" s="96">
        <f t="shared" si="108"/>
        <v>0</v>
      </c>
      <c r="P1095" s="132" t="str">
        <f t="shared" si="109"/>
        <v>N/A</v>
      </c>
      <c r="Q1095" s="132" t="str">
        <f t="shared" si="110"/>
        <v>N/A</v>
      </c>
      <c r="R1095" s="132" t="str">
        <f t="shared" si="111"/>
        <v>NO CERT.</v>
      </c>
      <c r="S1095" s="132" t="e">
        <f t="shared" si="112"/>
        <v>#N/A</v>
      </c>
      <c r="T1095" s="133" t="e">
        <f>+IF(J1095=LOOKUP(J1095,'CAFCO 300 IDIEM TABLAS'!$J$4:$J$40),'CALCULO MORTERO'!J1095,MROUND('CALCULO MORTERO'!J1095,10))</f>
        <v>#N/A</v>
      </c>
      <c r="U1095" s="134">
        <f t="shared" si="113"/>
        <v>0</v>
      </c>
    </row>
    <row r="1096" spans="1:21" x14ac:dyDescent="0.25">
      <c r="A1096" s="118">
        <f>+CUBICACION!D1090</f>
        <v>0</v>
      </c>
      <c r="B1096" s="819">
        <f>+CUBICACION!E1090</f>
        <v>0</v>
      </c>
      <c r="C1096" s="675">
        <f>+CUBICACION!F1090</f>
        <v>0</v>
      </c>
      <c r="D1096" s="118"/>
      <c r="E1096" s="118"/>
      <c r="F1096" s="820"/>
      <c r="G1096" s="675">
        <f>+CUBICACION!J1090</f>
        <v>0</v>
      </c>
      <c r="H1096" s="118"/>
      <c r="I1096" s="821">
        <f>+CUBICACION!L1090</f>
        <v>0</v>
      </c>
      <c r="J1096" s="64">
        <f>+CUBICACION!M1090</f>
        <v>0</v>
      </c>
      <c r="K1096" s="822" t="str">
        <f>+CUBICACION!N1090</f>
        <v/>
      </c>
      <c r="L1096" s="118">
        <f>+CUBICACION!O1090</f>
        <v>0</v>
      </c>
      <c r="M1096" s="823">
        <f>+CUBICACION!P1090</f>
        <v>0</v>
      </c>
      <c r="N1096" s="902">
        <f>ROUND(IF(AND(L1096="Blaze Shield II",M1096="Software Idiem",C1096="IN",G1096=4),((('BLAZE SHIELD II'!$D$4*('CALCULO MORTERO'!I1096^2)+'BLAZE SHIELD II'!$D$5*'CALCULO MORTERO'!I1096+'BLAZE SHIELD II'!$D$6)*LN(J1096))+('BLAZE SHIELD II'!$D$7*('CALCULO MORTERO'!I1096^2)+'BLAZE SHIELD II'!$D$8*'CALCULO MORTERO'!I1096+'BLAZE SHIELD II'!$D$9)),0)+IF(AND(L1096="Blaze Shield II",M1096="Software Idiem",C1096="Cj"),((('BLAZE SHIELD II'!$H$4*('CALCULO MORTERO'!I1096^2)+'BLAZE SHIELD II'!$H$5*'CALCULO MORTERO'!I1096+'BLAZE SHIELD II'!$H$6)*LN(J1096))+('BLAZE SHIELD II'!$H$7*('CALCULO MORTERO'!I1096^2)+'BLAZE SHIELD II'!$H$8*'CALCULO MORTERO'!I1096+'BLAZE SHIELD II'!$H$9)),0)+IF(AND(L1096="Blaze Shield II",M1096="Software Idiem",C1096="C"),((('BLAZE SHIELD II'!$L$4*('CALCULO MORTERO'!I1096^2)+'BLAZE SHIELD II'!$L$5*'CALCULO MORTERO'!I1096+'BLAZE SHIELD II'!$L$6)*LN(J1096))+('BLAZE SHIELD II'!$L$7*('CALCULO MORTERO'!I1096^2)+'BLAZE SHIELD II'!$L$8*'CALCULO MORTERO'!I1096+'BLAZE SHIELD II'!$L$9)),0)+IF(AND(L1096="Blaze Shield II",M1096="Software Idiem",C1096="L"),((('BLAZE SHIELD II'!$L$4*('CALCULO MORTERO'!I1096^2)+'BLAZE SHIELD II'!$L$5*'CALCULO MORTERO'!I1096+'BLAZE SHIELD II'!$L$6)*LN(J1096))+('BLAZE SHIELD II'!$L$7*('CALCULO MORTERO'!I1096^2)+'BLAZE SHIELD II'!$L$8*'CALCULO MORTERO'!I1096+'BLAZE SHIELD II'!$L$9)),0)+IF(AND(L1096="Blaze Shield II",M1096="Software Idiem",C1096="IN",G1096=3),((('BLAZE SHIELD II'!$H$14*('CALCULO MORTERO'!I1096^2)+'BLAZE SHIELD II'!$H$15*'CALCULO MORTERO'!I1096+'BLAZE SHIELD II'!$H$16)*LN(J1096))+('BLAZE SHIELD II'!$H$17*('CALCULO MORTERO'!I1096^2)+'BLAZE SHIELD II'!$H$18*'CALCULO MORTERO'!I1096+'BLAZE SHIELD II'!$H$19)),0),0)+ROUND(IF(AND(L1096="Cafco 400",M1096="Software Idiem",C1096="IN",G1096=4),((('CAFCO 400 '!$H$7*(J1096^4)+'CAFCO 400 '!$H$8*(J1096^3)+'CAFCO 400 '!$H$9*(J1096^2)+'CAFCO 400 '!$H$10*J1096+'CAFCO 400 '!$H$11)*U1096^2)+(('CAFCO 400 '!$H$12*(J1096^3)+'CAFCO 400 '!$H$13*(J1096^2)+'CAFCO 400 '!$H$14*J1096+'CAFCO 400 '!$H$15)*U1096)+('CAFCO 400 '!$H$16*(J1096^2)+'CAFCO 400 '!$H$17*J1096+'CAFCO 400 '!$H$18)),0)+IF(AND(L1096="Cafco 400",M1096="Software Idiem",C1096="Cj"),(((('CAFCO 400 '!$D$7*LN(J1096)+'CAFCO 400 '!$D$8)*U1096^2)+(('CAFCO 400 '!$D$9*LN(J1096)+'CAFCO 400 '!$D$10)*U1096)+('CAFCO 400 '!$D$11*LN(J1096)+'CAFCO 400 '!$D$12))),0)+IF(AND(L1096="Cafco 400",M1096="Software Idiem",C1096="C"),((('CAFCO 400 '!$L$7*(J1096^3)+'CAFCO 400 '!$L$8*(J1096^2)+'CAFCO 400 '!$L$9*J1096+'CAFCO 400 '!$L$10)*U1096^2)+(('CAFCO 400 '!$L$11*(J1096^3)+'CAFCO 400 '!$L$12*(J1096^2)+'CAFCO 400 '!$L$13*J1096+'CAFCO 400 '!$L$14)*U1096)+('CAFCO 400 '!$L$15*LN(J1096)+'CAFCO 400 '!$L$16)),0)+IF(AND(L1096="Cafco 400",M1096="Software Idiem",C1096="L"),((('CAFCO 400 '!$L$7*(J1096^3)+'CAFCO 400 '!$L$8*(J1096^2)+'CAFCO 400 '!$L$9*J1096+'CAFCO 400 '!$L$10)*U1096^2)+(('CAFCO 400 '!$L$11*(J1096^3)+'CAFCO 400 '!$L$12*(J1096^2)+'CAFCO 400 '!$L$13*J1096+'CAFCO 400 '!$L$14)*U1096)+('CAFCO 400 '!$L$15*LN(J1096)+'CAFCO 400 '!$L$16)),0)+IF(AND(L1096="Cafco 400",M1096="Software Idiem",C1096="IN",G1096=3),((('CAFCO 400 '!$D$23*(J1096^2)+'CAFCO 400 '!$D$24*(J1096)+'CAFCO 400 '!$D$25)*U1096^2)+(('CAFCO 400 '!$D$26*(J1096^2)+'CAFCO 400 '!$D$27*J1096+'CAFCO 400 '!$D$28)*U1096)+('CAFCO 400 '!$D$29*(J1096^2)+'CAFCO 400 '!$D$30*J1096+'CAFCO 400 '!$D$31)),0),0)+IF(AND(L1096="Cafco 300",J1096&gt;=95,J1096&lt;=240,C1096="Cj",I1096=90),VLOOKUP(T1096,'CAFCO 300 IDIEM TABLAS'!$B$4:$D$23,2,FALSE),0)+IF(AND(L1096="Cafco 300",J1096&gt;=95,J1096&lt;=240,C1096="Cj",I1096=120),VLOOKUP(T1096,'CAFCO 300 IDIEM TABLAS'!$B$4:$D$23,3,FALSE),0)+IF(AND(L1096="Cafco 300",J1096&gt;=95,J1096&lt;=400,G1096=3,C1096="IN",I1096=90),VLOOKUP(T1096,'CAFCO 300 IDIEM TABLAS'!$F$4:$H$35,2,FALSE),0)+IF(AND(L1096="Cafco 300",J1096&gt;=95,J1096&lt;=400,G1096=3,C1096="IN",I1096=120),VLOOKUP(T1096,'CAFCO 300 IDIEM TABLAS'!$F$4:$H$35,3,FALSE),0)+IF(AND(L1096="Cafco 300",J1096&gt;=95,J1096&lt;=450,G1096=4,C1096="IN",I1096=90),VLOOKUP(T1096,'CAFCO 300 IDIEM TABLAS'!$J$4:$L$40,2,FALSE),0)+IF(AND(L1096="Cafco 300",J1096&gt;=95,J1096&lt;=450,G1096=4,C1096="IN",I1096=120),VLOOKUP(T1096,'CAFCO 300 IDIEM TABLAS'!$J$4:$L$40,3,FALSE),0)+IF(AND(M1096="Ensayo Idiem",L1096="Cafco 400",C1096="IN",G1096=4,I1096=90),VLOOKUP(T1096,'CAFCO 400 ENSAYO'!$B$7:$D$43,2,FALSE),0)+IF(AND(M1096="Ensayo Idiem",L1096="Cafco 400",C1096="IN",G1096=4,I1096=120),VLOOKUP(T1096,'CAFCO 400 ENSAYO'!$B$7:$D$43,3,FALSE),0)</f>
        <v>0</v>
      </c>
      <c r="O1096" s="96">
        <f t="shared" si="108"/>
        <v>0</v>
      </c>
      <c r="P1096" s="95" t="str">
        <f t="shared" si="109"/>
        <v>N/A</v>
      </c>
      <c r="Q1096" s="95" t="str">
        <f t="shared" si="110"/>
        <v>N/A</v>
      </c>
      <c r="R1096" s="95" t="str">
        <f t="shared" si="111"/>
        <v>NO CERT.</v>
      </c>
      <c r="S1096" s="95" t="e">
        <f t="shared" si="112"/>
        <v>#N/A</v>
      </c>
      <c r="T1096" s="119" t="e">
        <f>+IF(J1096=LOOKUP(J1096,'CAFCO 300 IDIEM TABLAS'!$J$4:$J$40),'CALCULO MORTERO'!J1096,MROUND('CALCULO MORTERO'!J1096,10))</f>
        <v>#N/A</v>
      </c>
      <c r="U1096" s="118">
        <f t="shared" si="113"/>
        <v>0</v>
      </c>
    </row>
    <row r="1097" spans="1:21" x14ac:dyDescent="0.25">
      <c r="A1097" s="118">
        <f>+CUBICACION!D1091</f>
        <v>0</v>
      </c>
      <c r="B1097" s="819">
        <f>+CUBICACION!E1091</f>
        <v>0</v>
      </c>
      <c r="C1097" s="675">
        <f>+CUBICACION!F1091</f>
        <v>0</v>
      </c>
      <c r="D1097" s="118"/>
      <c r="E1097" s="118"/>
      <c r="F1097" s="820"/>
      <c r="G1097" s="675">
        <f>+CUBICACION!J1091</f>
        <v>0</v>
      </c>
      <c r="H1097" s="118"/>
      <c r="I1097" s="821">
        <f>+CUBICACION!L1091</f>
        <v>0</v>
      </c>
      <c r="J1097" s="64">
        <f>+CUBICACION!M1091</f>
        <v>0</v>
      </c>
      <c r="K1097" s="822" t="str">
        <f>+CUBICACION!N1091</f>
        <v/>
      </c>
      <c r="L1097" s="118">
        <f>+CUBICACION!O1091</f>
        <v>0</v>
      </c>
      <c r="M1097" s="823">
        <f>+CUBICACION!P1091</f>
        <v>0</v>
      </c>
      <c r="N1097" s="902">
        <f>ROUND(IF(AND(L1097="Blaze Shield II",M1097="Software Idiem",C1097="IN",G1097=4),((('BLAZE SHIELD II'!$D$4*('CALCULO MORTERO'!I1097^2)+'BLAZE SHIELD II'!$D$5*'CALCULO MORTERO'!I1097+'BLAZE SHIELD II'!$D$6)*LN(J1097))+('BLAZE SHIELD II'!$D$7*('CALCULO MORTERO'!I1097^2)+'BLAZE SHIELD II'!$D$8*'CALCULO MORTERO'!I1097+'BLAZE SHIELD II'!$D$9)),0)+IF(AND(L1097="Blaze Shield II",M1097="Software Idiem",C1097="Cj"),((('BLAZE SHIELD II'!$H$4*('CALCULO MORTERO'!I1097^2)+'BLAZE SHIELD II'!$H$5*'CALCULO MORTERO'!I1097+'BLAZE SHIELD II'!$H$6)*LN(J1097))+('BLAZE SHIELD II'!$H$7*('CALCULO MORTERO'!I1097^2)+'BLAZE SHIELD II'!$H$8*'CALCULO MORTERO'!I1097+'BLAZE SHIELD II'!$H$9)),0)+IF(AND(L1097="Blaze Shield II",M1097="Software Idiem",C1097="C"),((('BLAZE SHIELD II'!$L$4*('CALCULO MORTERO'!I1097^2)+'BLAZE SHIELD II'!$L$5*'CALCULO MORTERO'!I1097+'BLAZE SHIELD II'!$L$6)*LN(J1097))+('BLAZE SHIELD II'!$L$7*('CALCULO MORTERO'!I1097^2)+'BLAZE SHIELD II'!$L$8*'CALCULO MORTERO'!I1097+'BLAZE SHIELD II'!$L$9)),0)+IF(AND(L1097="Blaze Shield II",M1097="Software Idiem",C1097="L"),((('BLAZE SHIELD II'!$L$4*('CALCULO MORTERO'!I1097^2)+'BLAZE SHIELD II'!$L$5*'CALCULO MORTERO'!I1097+'BLAZE SHIELD II'!$L$6)*LN(J1097))+('BLAZE SHIELD II'!$L$7*('CALCULO MORTERO'!I1097^2)+'BLAZE SHIELD II'!$L$8*'CALCULO MORTERO'!I1097+'BLAZE SHIELD II'!$L$9)),0)+IF(AND(L1097="Blaze Shield II",M1097="Software Idiem",C1097="IN",G1097=3),((('BLAZE SHIELD II'!$H$14*('CALCULO MORTERO'!I1097^2)+'BLAZE SHIELD II'!$H$15*'CALCULO MORTERO'!I1097+'BLAZE SHIELD II'!$H$16)*LN(J1097))+('BLAZE SHIELD II'!$H$17*('CALCULO MORTERO'!I1097^2)+'BLAZE SHIELD II'!$H$18*'CALCULO MORTERO'!I1097+'BLAZE SHIELD II'!$H$19)),0),0)+ROUND(IF(AND(L1097="Cafco 400",M1097="Software Idiem",C1097="IN",G1097=4),((('CAFCO 400 '!$H$7*(J1097^4)+'CAFCO 400 '!$H$8*(J1097^3)+'CAFCO 400 '!$H$9*(J1097^2)+'CAFCO 400 '!$H$10*J1097+'CAFCO 400 '!$H$11)*U1097^2)+(('CAFCO 400 '!$H$12*(J1097^3)+'CAFCO 400 '!$H$13*(J1097^2)+'CAFCO 400 '!$H$14*J1097+'CAFCO 400 '!$H$15)*U1097)+('CAFCO 400 '!$H$16*(J1097^2)+'CAFCO 400 '!$H$17*J1097+'CAFCO 400 '!$H$18)),0)+IF(AND(L1097="Cafco 400",M1097="Software Idiem",C1097="Cj"),(((('CAFCO 400 '!$D$7*LN(J1097)+'CAFCO 400 '!$D$8)*U1097^2)+(('CAFCO 400 '!$D$9*LN(J1097)+'CAFCO 400 '!$D$10)*U1097)+('CAFCO 400 '!$D$11*LN(J1097)+'CAFCO 400 '!$D$12))),0)+IF(AND(L1097="Cafco 400",M1097="Software Idiem",C1097="C"),((('CAFCO 400 '!$L$7*(J1097^3)+'CAFCO 400 '!$L$8*(J1097^2)+'CAFCO 400 '!$L$9*J1097+'CAFCO 400 '!$L$10)*U1097^2)+(('CAFCO 400 '!$L$11*(J1097^3)+'CAFCO 400 '!$L$12*(J1097^2)+'CAFCO 400 '!$L$13*J1097+'CAFCO 400 '!$L$14)*U1097)+('CAFCO 400 '!$L$15*LN(J1097)+'CAFCO 400 '!$L$16)),0)+IF(AND(L1097="Cafco 400",M1097="Software Idiem",C1097="L"),((('CAFCO 400 '!$L$7*(J1097^3)+'CAFCO 400 '!$L$8*(J1097^2)+'CAFCO 400 '!$L$9*J1097+'CAFCO 400 '!$L$10)*U1097^2)+(('CAFCO 400 '!$L$11*(J1097^3)+'CAFCO 400 '!$L$12*(J1097^2)+'CAFCO 400 '!$L$13*J1097+'CAFCO 400 '!$L$14)*U1097)+('CAFCO 400 '!$L$15*LN(J1097)+'CAFCO 400 '!$L$16)),0)+IF(AND(L1097="Cafco 400",M1097="Software Idiem",C1097="IN",G1097=3),((('CAFCO 400 '!$D$23*(J1097^2)+'CAFCO 400 '!$D$24*(J1097)+'CAFCO 400 '!$D$25)*U1097^2)+(('CAFCO 400 '!$D$26*(J1097^2)+'CAFCO 400 '!$D$27*J1097+'CAFCO 400 '!$D$28)*U1097)+('CAFCO 400 '!$D$29*(J1097^2)+'CAFCO 400 '!$D$30*J1097+'CAFCO 400 '!$D$31)),0),0)+IF(AND(L1097="Cafco 300",J1097&gt;=95,J1097&lt;=240,C1097="Cj",I1097=90),VLOOKUP(T1097,'CAFCO 300 IDIEM TABLAS'!$B$4:$D$23,2,FALSE),0)+IF(AND(L1097="Cafco 300",J1097&gt;=95,J1097&lt;=240,C1097="Cj",I1097=120),VLOOKUP(T1097,'CAFCO 300 IDIEM TABLAS'!$B$4:$D$23,3,FALSE),0)+IF(AND(L1097="Cafco 300",J1097&gt;=95,J1097&lt;=400,G1097=3,C1097="IN",I1097=90),VLOOKUP(T1097,'CAFCO 300 IDIEM TABLAS'!$F$4:$H$35,2,FALSE),0)+IF(AND(L1097="Cafco 300",J1097&gt;=95,J1097&lt;=400,G1097=3,C1097="IN",I1097=120),VLOOKUP(T1097,'CAFCO 300 IDIEM TABLAS'!$F$4:$H$35,3,FALSE),0)+IF(AND(L1097="Cafco 300",J1097&gt;=95,J1097&lt;=450,G1097=4,C1097="IN",I1097=90),VLOOKUP(T1097,'CAFCO 300 IDIEM TABLAS'!$J$4:$L$40,2,FALSE),0)+IF(AND(L1097="Cafco 300",J1097&gt;=95,J1097&lt;=450,G1097=4,C1097="IN",I1097=120),VLOOKUP(T1097,'CAFCO 300 IDIEM TABLAS'!$J$4:$L$40,3,FALSE),0)+IF(AND(M1097="Ensayo Idiem",L1097="Cafco 400",C1097="IN",G1097=4,I1097=90),VLOOKUP(T1097,'CAFCO 400 ENSAYO'!$B$7:$D$43,2,FALSE),0)+IF(AND(M1097="Ensayo Idiem",L1097="Cafco 400",C1097="IN",G1097=4,I1097=120),VLOOKUP(T1097,'CAFCO 400 ENSAYO'!$B$7:$D$43,3,FALSE),0)</f>
        <v>0</v>
      </c>
      <c r="O1097" s="96">
        <f t="shared" si="108"/>
        <v>0</v>
      </c>
      <c r="P1097" s="132" t="str">
        <f t="shared" si="109"/>
        <v>N/A</v>
      </c>
      <c r="Q1097" s="132" t="str">
        <f t="shared" si="110"/>
        <v>N/A</v>
      </c>
      <c r="R1097" s="132" t="str">
        <f t="shared" si="111"/>
        <v>NO CERT.</v>
      </c>
      <c r="S1097" s="132" t="e">
        <f t="shared" si="112"/>
        <v>#N/A</v>
      </c>
      <c r="T1097" s="133" t="e">
        <f>+IF(J1097=LOOKUP(J1097,'CAFCO 300 IDIEM TABLAS'!$J$4:$J$40),'CALCULO MORTERO'!J1097,MROUND('CALCULO MORTERO'!J1097,10))</f>
        <v>#N/A</v>
      </c>
      <c r="U1097" s="134">
        <f t="shared" si="113"/>
        <v>0</v>
      </c>
    </row>
    <row r="1098" spans="1:21" x14ac:dyDescent="0.25">
      <c r="A1098" s="118">
        <f>+CUBICACION!D1092</f>
        <v>0</v>
      </c>
      <c r="B1098" s="819">
        <f>+CUBICACION!E1092</f>
        <v>0</v>
      </c>
      <c r="C1098" s="675">
        <f>+CUBICACION!F1092</f>
        <v>0</v>
      </c>
      <c r="D1098" s="118"/>
      <c r="E1098" s="118"/>
      <c r="F1098" s="820"/>
      <c r="G1098" s="675">
        <f>+CUBICACION!J1092</f>
        <v>0</v>
      </c>
      <c r="H1098" s="118"/>
      <c r="I1098" s="821">
        <f>+CUBICACION!L1092</f>
        <v>0</v>
      </c>
      <c r="J1098" s="64">
        <f>+CUBICACION!M1092</f>
        <v>0</v>
      </c>
      <c r="K1098" s="822" t="str">
        <f>+CUBICACION!N1092</f>
        <v/>
      </c>
      <c r="L1098" s="118">
        <f>+CUBICACION!O1092</f>
        <v>0</v>
      </c>
      <c r="M1098" s="823">
        <f>+CUBICACION!P1092</f>
        <v>0</v>
      </c>
      <c r="N1098" s="902">
        <f>ROUND(IF(AND(L1098="Blaze Shield II",M1098="Software Idiem",C1098="IN",G1098=4),((('BLAZE SHIELD II'!$D$4*('CALCULO MORTERO'!I1098^2)+'BLAZE SHIELD II'!$D$5*'CALCULO MORTERO'!I1098+'BLAZE SHIELD II'!$D$6)*LN(J1098))+('BLAZE SHIELD II'!$D$7*('CALCULO MORTERO'!I1098^2)+'BLAZE SHIELD II'!$D$8*'CALCULO MORTERO'!I1098+'BLAZE SHIELD II'!$D$9)),0)+IF(AND(L1098="Blaze Shield II",M1098="Software Idiem",C1098="Cj"),((('BLAZE SHIELD II'!$H$4*('CALCULO MORTERO'!I1098^2)+'BLAZE SHIELD II'!$H$5*'CALCULO MORTERO'!I1098+'BLAZE SHIELD II'!$H$6)*LN(J1098))+('BLAZE SHIELD II'!$H$7*('CALCULO MORTERO'!I1098^2)+'BLAZE SHIELD II'!$H$8*'CALCULO MORTERO'!I1098+'BLAZE SHIELD II'!$H$9)),0)+IF(AND(L1098="Blaze Shield II",M1098="Software Idiem",C1098="C"),((('BLAZE SHIELD II'!$L$4*('CALCULO MORTERO'!I1098^2)+'BLAZE SHIELD II'!$L$5*'CALCULO MORTERO'!I1098+'BLAZE SHIELD II'!$L$6)*LN(J1098))+('BLAZE SHIELD II'!$L$7*('CALCULO MORTERO'!I1098^2)+'BLAZE SHIELD II'!$L$8*'CALCULO MORTERO'!I1098+'BLAZE SHIELD II'!$L$9)),0)+IF(AND(L1098="Blaze Shield II",M1098="Software Idiem",C1098="L"),((('BLAZE SHIELD II'!$L$4*('CALCULO MORTERO'!I1098^2)+'BLAZE SHIELD II'!$L$5*'CALCULO MORTERO'!I1098+'BLAZE SHIELD II'!$L$6)*LN(J1098))+('BLAZE SHIELD II'!$L$7*('CALCULO MORTERO'!I1098^2)+'BLAZE SHIELD II'!$L$8*'CALCULO MORTERO'!I1098+'BLAZE SHIELD II'!$L$9)),0)+IF(AND(L1098="Blaze Shield II",M1098="Software Idiem",C1098="IN",G1098=3),((('BLAZE SHIELD II'!$H$14*('CALCULO MORTERO'!I1098^2)+'BLAZE SHIELD II'!$H$15*'CALCULO MORTERO'!I1098+'BLAZE SHIELD II'!$H$16)*LN(J1098))+('BLAZE SHIELD II'!$H$17*('CALCULO MORTERO'!I1098^2)+'BLAZE SHIELD II'!$H$18*'CALCULO MORTERO'!I1098+'BLAZE SHIELD II'!$H$19)),0),0)+ROUND(IF(AND(L1098="Cafco 400",M1098="Software Idiem",C1098="IN",G1098=4),((('CAFCO 400 '!$H$7*(J1098^4)+'CAFCO 400 '!$H$8*(J1098^3)+'CAFCO 400 '!$H$9*(J1098^2)+'CAFCO 400 '!$H$10*J1098+'CAFCO 400 '!$H$11)*U1098^2)+(('CAFCO 400 '!$H$12*(J1098^3)+'CAFCO 400 '!$H$13*(J1098^2)+'CAFCO 400 '!$H$14*J1098+'CAFCO 400 '!$H$15)*U1098)+('CAFCO 400 '!$H$16*(J1098^2)+'CAFCO 400 '!$H$17*J1098+'CAFCO 400 '!$H$18)),0)+IF(AND(L1098="Cafco 400",M1098="Software Idiem",C1098="Cj"),(((('CAFCO 400 '!$D$7*LN(J1098)+'CAFCO 400 '!$D$8)*U1098^2)+(('CAFCO 400 '!$D$9*LN(J1098)+'CAFCO 400 '!$D$10)*U1098)+('CAFCO 400 '!$D$11*LN(J1098)+'CAFCO 400 '!$D$12))),0)+IF(AND(L1098="Cafco 400",M1098="Software Idiem",C1098="C"),((('CAFCO 400 '!$L$7*(J1098^3)+'CAFCO 400 '!$L$8*(J1098^2)+'CAFCO 400 '!$L$9*J1098+'CAFCO 400 '!$L$10)*U1098^2)+(('CAFCO 400 '!$L$11*(J1098^3)+'CAFCO 400 '!$L$12*(J1098^2)+'CAFCO 400 '!$L$13*J1098+'CAFCO 400 '!$L$14)*U1098)+('CAFCO 400 '!$L$15*LN(J1098)+'CAFCO 400 '!$L$16)),0)+IF(AND(L1098="Cafco 400",M1098="Software Idiem",C1098="L"),((('CAFCO 400 '!$L$7*(J1098^3)+'CAFCO 400 '!$L$8*(J1098^2)+'CAFCO 400 '!$L$9*J1098+'CAFCO 400 '!$L$10)*U1098^2)+(('CAFCO 400 '!$L$11*(J1098^3)+'CAFCO 400 '!$L$12*(J1098^2)+'CAFCO 400 '!$L$13*J1098+'CAFCO 400 '!$L$14)*U1098)+('CAFCO 400 '!$L$15*LN(J1098)+'CAFCO 400 '!$L$16)),0)+IF(AND(L1098="Cafco 400",M1098="Software Idiem",C1098="IN",G1098=3),((('CAFCO 400 '!$D$23*(J1098^2)+'CAFCO 400 '!$D$24*(J1098)+'CAFCO 400 '!$D$25)*U1098^2)+(('CAFCO 400 '!$D$26*(J1098^2)+'CAFCO 400 '!$D$27*J1098+'CAFCO 400 '!$D$28)*U1098)+('CAFCO 400 '!$D$29*(J1098^2)+'CAFCO 400 '!$D$30*J1098+'CAFCO 400 '!$D$31)),0),0)+IF(AND(L1098="Cafco 300",J1098&gt;=95,J1098&lt;=240,C1098="Cj",I1098=90),VLOOKUP(T1098,'CAFCO 300 IDIEM TABLAS'!$B$4:$D$23,2,FALSE),0)+IF(AND(L1098="Cafco 300",J1098&gt;=95,J1098&lt;=240,C1098="Cj",I1098=120),VLOOKUP(T1098,'CAFCO 300 IDIEM TABLAS'!$B$4:$D$23,3,FALSE),0)+IF(AND(L1098="Cafco 300",J1098&gt;=95,J1098&lt;=400,G1098=3,C1098="IN",I1098=90),VLOOKUP(T1098,'CAFCO 300 IDIEM TABLAS'!$F$4:$H$35,2,FALSE),0)+IF(AND(L1098="Cafco 300",J1098&gt;=95,J1098&lt;=400,G1098=3,C1098="IN",I1098=120),VLOOKUP(T1098,'CAFCO 300 IDIEM TABLAS'!$F$4:$H$35,3,FALSE),0)+IF(AND(L1098="Cafco 300",J1098&gt;=95,J1098&lt;=450,G1098=4,C1098="IN",I1098=90),VLOOKUP(T1098,'CAFCO 300 IDIEM TABLAS'!$J$4:$L$40,2,FALSE),0)+IF(AND(L1098="Cafco 300",J1098&gt;=95,J1098&lt;=450,G1098=4,C1098="IN",I1098=120),VLOOKUP(T1098,'CAFCO 300 IDIEM TABLAS'!$J$4:$L$40,3,FALSE),0)+IF(AND(M1098="Ensayo Idiem",L1098="Cafco 400",C1098="IN",G1098=4,I1098=90),VLOOKUP(T1098,'CAFCO 400 ENSAYO'!$B$7:$D$43,2,FALSE),0)+IF(AND(M1098="Ensayo Idiem",L1098="Cafco 400",C1098="IN",G1098=4,I1098=120),VLOOKUP(T1098,'CAFCO 400 ENSAYO'!$B$7:$D$43,3,FALSE),0)</f>
        <v>0</v>
      </c>
      <c r="O1098" s="96">
        <f t="shared" si="108"/>
        <v>0</v>
      </c>
      <c r="P1098" s="95" t="str">
        <f t="shared" si="109"/>
        <v>N/A</v>
      </c>
      <c r="Q1098" s="95" t="str">
        <f t="shared" si="110"/>
        <v>N/A</v>
      </c>
      <c r="R1098" s="95" t="str">
        <f t="shared" si="111"/>
        <v>NO CERT.</v>
      </c>
      <c r="S1098" s="95" t="e">
        <f t="shared" si="112"/>
        <v>#N/A</v>
      </c>
      <c r="T1098" s="119" t="e">
        <f>+IF(J1098=LOOKUP(J1098,'CAFCO 300 IDIEM TABLAS'!$J$4:$J$40),'CALCULO MORTERO'!J1098,MROUND('CALCULO MORTERO'!J1098,10))</f>
        <v>#N/A</v>
      </c>
      <c r="U1098" s="118">
        <f t="shared" si="113"/>
        <v>0</v>
      </c>
    </row>
    <row r="1099" spans="1:21" x14ac:dyDescent="0.25">
      <c r="A1099" s="118">
        <f>+CUBICACION!D1093</f>
        <v>0</v>
      </c>
      <c r="B1099" s="819">
        <f>+CUBICACION!E1093</f>
        <v>0</v>
      </c>
      <c r="C1099" s="675">
        <f>+CUBICACION!F1093</f>
        <v>0</v>
      </c>
      <c r="D1099" s="118"/>
      <c r="E1099" s="118"/>
      <c r="F1099" s="820"/>
      <c r="G1099" s="675">
        <f>+CUBICACION!J1093</f>
        <v>0</v>
      </c>
      <c r="H1099" s="118"/>
      <c r="I1099" s="821">
        <f>+CUBICACION!L1093</f>
        <v>0</v>
      </c>
      <c r="J1099" s="64">
        <f>+CUBICACION!M1093</f>
        <v>0</v>
      </c>
      <c r="K1099" s="822" t="str">
        <f>+CUBICACION!N1093</f>
        <v/>
      </c>
      <c r="L1099" s="118">
        <f>+CUBICACION!O1093</f>
        <v>0</v>
      </c>
      <c r="M1099" s="823">
        <f>+CUBICACION!P1093</f>
        <v>0</v>
      </c>
      <c r="N1099" s="902">
        <f>ROUND(IF(AND(L1099="Blaze Shield II",M1099="Software Idiem",C1099="IN",G1099=4),((('BLAZE SHIELD II'!$D$4*('CALCULO MORTERO'!I1099^2)+'BLAZE SHIELD II'!$D$5*'CALCULO MORTERO'!I1099+'BLAZE SHIELD II'!$D$6)*LN(J1099))+('BLAZE SHIELD II'!$D$7*('CALCULO MORTERO'!I1099^2)+'BLAZE SHIELD II'!$D$8*'CALCULO MORTERO'!I1099+'BLAZE SHIELD II'!$D$9)),0)+IF(AND(L1099="Blaze Shield II",M1099="Software Idiem",C1099="Cj"),((('BLAZE SHIELD II'!$H$4*('CALCULO MORTERO'!I1099^2)+'BLAZE SHIELD II'!$H$5*'CALCULO MORTERO'!I1099+'BLAZE SHIELD II'!$H$6)*LN(J1099))+('BLAZE SHIELD II'!$H$7*('CALCULO MORTERO'!I1099^2)+'BLAZE SHIELD II'!$H$8*'CALCULO MORTERO'!I1099+'BLAZE SHIELD II'!$H$9)),0)+IF(AND(L1099="Blaze Shield II",M1099="Software Idiem",C1099="C"),((('BLAZE SHIELD II'!$L$4*('CALCULO MORTERO'!I1099^2)+'BLAZE SHIELD II'!$L$5*'CALCULO MORTERO'!I1099+'BLAZE SHIELD II'!$L$6)*LN(J1099))+('BLAZE SHIELD II'!$L$7*('CALCULO MORTERO'!I1099^2)+'BLAZE SHIELD II'!$L$8*'CALCULO MORTERO'!I1099+'BLAZE SHIELD II'!$L$9)),0)+IF(AND(L1099="Blaze Shield II",M1099="Software Idiem",C1099="L"),((('BLAZE SHIELD II'!$L$4*('CALCULO MORTERO'!I1099^2)+'BLAZE SHIELD II'!$L$5*'CALCULO MORTERO'!I1099+'BLAZE SHIELD II'!$L$6)*LN(J1099))+('BLAZE SHIELD II'!$L$7*('CALCULO MORTERO'!I1099^2)+'BLAZE SHIELD II'!$L$8*'CALCULO MORTERO'!I1099+'BLAZE SHIELD II'!$L$9)),0)+IF(AND(L1099="Blaze Shield II",M1099="Software Idiem",C1099="IN",G1099=3),((('BLAZE SHIELD II'!$H$14*('CALCULO MORTERO'!I1099^2)+'BLAZE SHIELD II'!$H$15*'CALCULO MORTERO'!I1099+'BLAZE SHIELD II'!$H$16)*LN(J1099))+('BLAZE SHIELD II'!$H$17*('CALCULO MORTERO'!I1099^2)+'BLAZE SHIELD II'!$H$18*'CALCULO MORTERO'!I1099+'BLAZE SHIELD II'!$H$19)),0),0)+ROUND(IF(AND(L1099="Cafco 400",M1099="Software Idiem",C1099="IN",G1099=4),((('CAFCO 400 '!$H$7*(J1099^4)+'CAFCO 400 '!$H$8*(J1099^3)+'CAFCO 400 '!$H$9*(J1099^2)+'CAFCO 400 '!$H$10*J1099+'CAFCO 400 '!$H$11)*U1099^2)+(('CAFCO 400 '!$H$12*(J1099^3)+'CAFCO 400 '!$H$13*(J1099^2)+'CAFCO 400 '!$H$14*J1099+'CAFCO 400 '!$H$15)*U1099)+('CAFCO 400 '!$H$16*(J1099^2)+'CAFCO 400 '!$H$17*J1099+'CAFCO 400 '!$H$18)),0)+IF(AND(L1099="Cafco 400",M1099="Software Idiem",C1099="Cj"),(((('CAFCO 400 '!$D$7*LN(J1099)+'CAFCO 400 '!$D$8)*U1099^2)+(('CAFCO 400 '!$D$9*LN(J1099)+'CAFCO 400 '!$D$10)*U1099)+('CAFCO 400 '!$D$11*LN(J1099)+'CAFCO 400 '!$D$12))),0)+IF(AND(L1099="Cafco 400",M1099="Software Idiem",C1099="C"),((('CAFCO 400 '!$L$7*(J1099^3)+'CAFCO 400 '!$L$8*(J1099^2)+'CAFCO 400 '!$L$9*J1099+'CAFCO 400 '!$L$10)*U1099^2)+(('CAFCO 400 '!$L$11*(J1099^3)+'CAFCO 400 '!$L$12*(J1099^2)+'CAFCO 400 '!$L$13*J1099+'CAFCO 400 '!$L$14)*U1099)+('CAFCO 400 '!$L$15*LN(J1099)+'CAFCO 400 '!$L$16)),0)+IF(AND(L1099="Cafco 400",M1099="Software Idiem",C1099="L"),((('CAFCO 400 '!$L$7*(J1099^3)+'CAFCO 400 '!$L$8*(J1099^2)+'CAFCO 400 '!$L$9*J1099+'CAFCO 400 '!$L$10)*U1099^2)+(('CAFCO 400 '!$L$11*(J1099^3)+'CAFCO 400 '!$L$12*(J1099^2)+'CAFCO 400 '!$L$13*J1099+'CAFCO 400 '!$L$14)*U1099)+('CAFCO 400 '!$L$15*LN(J1099)+'CAFCO 400 '!$L$16)),0)+IF(AND(L1099="Cafco 400",M1099="Software Idiem",C1099="IN",G1099=3),((('CAFCO 400 '!$D$23*(J1099^2)+'CAFCO 400 '!$D$24*(J1099)+'CAFCO 400 '!$D$25)*U1099^2)+(('CAFCO 400 '!$D$26*(J1099^2)+'CAFCO 400 '!$D$27*J1099+'CAFCO 400 '!$D$28)*U1099)+('CAFCO 400 '!$D$29*(J1099^2)+'CAFCO 400 '!$D$30*J1099+'CAFCO 400 '!$D$31)),0),0)+IF(AND(L1099="Cafco 300",J1099&gt;=95,J1099&lt;=240,C1099="Cj",I1099=90),VLOOKUP(T1099,'CAFCO 300 IDIEM TABLAS'!$B$4:$D$23,2,FALSE),0)+IF(AND(L1099="Cafco 300",J1099&gt;=95,J1099&lt;=240,C1099="Cj",I1099=120),VLOOKUP(T1099,'CAFCO 300 IDIEM TABLAS'!$B$4:$D$23,3,FALSE),0)+IF(AND(L1099="Cafco 300",J1099&gt;=95,J1099&lt;=400,G1099=3,C1099="IN",I1099=90),VLOOKUP(T1099,'CAFCO 300 IDIEM TABLAS'!$F$4:$H$35,2,FALSE),0)+IF(AND(L1099="Cafco 300",J1099&gt;=95,J1099&lt;=400,G1099=3,C1099="IN",I1099=120),VLOOKUP(T1099,'CAFCO 300 IDIEM TABLAS'!$F$4:$H$35,3,FALSE),0)+IF(AND(L1099="Cafco 300",J1099&gt;=95,J1099&lt;=450,G1099=4,C1099="IN",I1099=90),VLOOKUP(T1099,'CAFCO 300 IDIEM TABLAS'!$J$4:$L$40,2,FALSE),0)+IF(AND(L1099="Cafco 300",J1099&gt;=95,J1099&lt;=450,G1099=4,C1099="IN",I1099=120),VLOOKUP(T1099,'CAFCO 300 IDIEM TABLAS'!$J$4:$L$40,3,FALSE),0)+IF(AND(M1099="Ensayo Idiem",L1099="Cafco 400",C1099="IN",G1099=4,I1099=90),VLOOKUP(T1099,'CAFCO 400 ENSAYO'!$B$7:$D$43,2,FALSE),0)+IF(AND(M1099="Ensayo Idiem",L1099="Cafco 400",C1099="IN",G1099=4,I1099=120),VLOOKUP(T1099,'CAFCO 400 ENSAYO'!$B$7:$D$43,3,FALSE),0)</f>
        <v>0</v>
      </c>
      <c r="O1099" s="96">
        <f t="shared" ref="O1099:O1162" si="114">((IF(L1099="Blaze Shield II",((K1099*N1099*0.43)/38),IF(L1099="Cafco 400",((K1099*N1099*0.43)/23),IF(L1099="Cafco 300",((K1099*N1099*0.43)/31.16),0)))))</f>
        <v>0</v>
      </c>
      <c r="P1099" s="132" t="str">
        <f t="shared" si="109"/>
        <v>N/A</v>
      </c>
      <c r="Q1099" s="132" t="str">
        <f t="shared" si="110"/>
        <v>N/A</v>
      </c>
      <c r="R1099" s="132" t="str">
        <f t="shared" si="111"/>
        <v>NO CERT.</v>
      </c>
      <c r="S1099" s="132" t="e">
        <f t="shared" si="112"/>
        <v>#N/A</v>
      </c>
      <c r="T1099" s="133" t="e">
        <f>+IF(J1099=LOOKUP(J1099,'CAFCO 300 IDIEM TABLAS'!$J$4:$J$40),'CALCULO MORTERO'!J1099,MROUND('CALCULO MORTERO'!J1099,10))</f>
        <v>#N/A</v>
      </c>
      <c r="U1099" s="134">
        <f t="shared" si="113"/>
        <v>0</v>
      </c>
    </row>
    <row r="1100" spans="1:21" x14ac:dyDescent="0.25">
      <c r="A1100" s="118">
        <f>+CUBICACION!D1094</f>
        <v>0</v>
      </c>
      <c r="B1100" s="819">
        <f>+CUBICACION!E1094</f>
        <v>0</v>
      </c>
      <c r="C1100" s="675">
        <f>+CUBICACION!F1094</f>
        <v>0</v>
      </c>
      <c r="D1100" s="118"/>
      <c r="E1100" s="118"/>
      <c r="F1100" s="820"/>
      <c r="G1100" s="675">
        <f>+CUBICACION!J1094</f>
        <v>0</v>
      </c>
      <c r="H1100" s="118"/>
      <c r="I1100" s="821">
        <f>+CUBICACION!L1094</f>
        <v>0</v>
      </c>
      <c r="J1100" s="64">
        <f>+CUBICACION!M1094</f>
        <v>0</v>
      </c>
      <c r="K1100" s="822" t="str">
        <f>+CUBICACION!N1094</f>
        <v/>
      </c>
      <c r="L1100" s="118">
        <f>+CUBICACION!O1094</f>
        <v>0</v>
      </c>
      <c r="M1100" s="823">
        <f>+CUBICACION!P1094</f>
        <v>0</v>
      </c>
      <c r="N1100" s="902">
        <f>ROUND(IF(AND(L1100="Blaze Shield II",M1100="Software Idiem",C1100="IN",G1100=4),((('BLAZE SHIELD II'!$D$4*('CALCULO MORTERO'!I1100^2)+'BLAZE SHIELD II'!$D$5*'CALCULO MORTERO'!I1100+'BLAZE SHIELD II'!$D$6)*LN(J1100))+('BLAZE SHIELD II'!$D$7*('CALCULO MORTERO'!I1100^2)+'BLAZE SHIELD II'!$D$8*'CALCULO MORTERO'!I1100+'BLAZE SHIELD II'!$D$9)),0)+IF(AND(L1100="Blaze Shield II",M1100="Software Idiem",C1100="Cj"),((('BLAZE SHIELD II'!$H$4*('CALCULO MORTERO'!I1100^2)+'BLAZE SHIELD II'!$H$5*'CALCULO MORTERO'!I1100+'BLAZE SHIELD II'!$H$6)*LN(J1100))+('BLAZE SHIELD II'!$H$7*('CALCULO MORTERO'!I1100^2)+'BLAZE SHIELD II'!$H$8*'CALCULO MORTERO'!I1100+'BLAZE SHIELD II'!$H$9)),0)+IF(AND(L1100="Blaze Shield II",M1100="Software Idiem",C1100="C"),((('BLAZE SHIELD II'!$L$4*('CALCULO MORTERO'!I1100^2)+'BLAZE SHIELD II'!$L$5*'CALCULO MORTERO'!I1100+'BLAZE SHIELD II'!$L$6)*LN(J1100))+('BLAZE SHIELD II'!$L$7*('CALCULO MORTERO'!I1100^2)+'BLAZE SHIELD II'!$L$8*'CALCULO MORTERO'!I1100+'BLAZE SHIELD II'!$L$9)),0)+IF(AND(L1100="Blaze Shield II",M1100="Software Idiem",C1100="L"),((('BLAZE SHIELD II'!$L$4*('CALCULO MORTERO'!I1100^2)+'BLAZE SHIELD II'!$L$5*'CALCULO MORTERO'!I1100+'BLAZE SHIELD II'!$L$6)*LN(J1100))+('BLAZE SHIELD II'!$L$7*('CALCULO MORTERO'!I1100^2)+'BLAZE SHIELD II'!$L$8*'CALCULO MORTERO'!I1100+'BLAZE SHIELD II'!$L$9)),0)+IF(AND(L1100="Blaze Shield II",M1100="Software Idiem",C1100="IN",G1100=3),((('BLAZE SHIELD II'!$H$14*('CALCULO MORTERO'!I1100^2)+'BLAZE SHIELD II'!$H$15*'CALCULO MORTERO'!I1100+'BLAZE SHIELD II'!$H$16)*LN(J1100))+('BLAZE SHIELD II'!$H$17*('CALCULO MORTERO'!I1100^2)+'BLAZE SHIELD II'!$H$18*'CALCULO MORTERO'!I1100+'BLAZE SHIELD II'!$H$19)),0),0)+ROUND(IF(AND(L1100="Cafco 400",M1100="Software Idiem",C1100="IN",G1100=4),((('CAFCO 400 '!$H$7*(J1100^4)+'CAFCO 400 '!$H$8*(J1100^3)+'CAFCO 400 '!$H$9*(J1100^2)+'CAFCO 400 '!$H$10*J1100+'CAFCO 400 '!$H$11)*U1100^2)+(('CAFCO 400 '!$H$12*(J1100^3)+'CAFCO 400 '!$H$13*(J1100^2)+'CAFCO 400 '!$H$14*J1100+'CAFCO 400 '!$H$15)*U1100)+('CAFCO 400 '!$H$16*(J1100^2)+'CAFCO 400 '!$H$17*J1100+'CAFCO 400 '!$H$18)),0)+IF(AND(L1100="Cafco 400",M1100="Software Idiem",C1100="Cj"),(((('CAFCO 400 '!$D$7*LN(J1100)+'CAFCO 400 '!$D$8)*U1100^2)+(('CAFCO 400 '!$D$9*LN(J1100)+'CAFCO 400 '!$D$10)*U1100)+('CAFCO 400 '!$D$11*LN(J1100)+'CAFCO 400 '!$D$12))),0)+IF(AND(L1100="Cafco 400",M1100="Software Idiem",C1100="C"),((('CAFCO 400 '!$L$7*(J1100^3)+'CAFCO 400 '!$L$8*(J1100^2)+'CAFCO 400 '!$L$9*J1100+'CAFCO 400 '!$L$10)*U1100^2)+(('CAFCO 400 '!$L$11*(J1100^3)+'CAFCO 400 '!$L$12*(J1100^2)+'CAFCO 400 '!$L$13*J1100+'CAFCO 400 '!$L$14)*U1100)+('CAFCO 400 '!$L$15*LN(J1100)+'CAFCO 400 '!$L$16)),0)+IF(AND(L1100="Cafco 400",M1100="Software Idiem",C1100="L"),((('CAFCO 400 '!$L$7*(J1100^3)+'CAFCO 400 '!$L$8*(J1100^2)+'CAFCO 400 '!$L$9*J1100+'CAFCO 400 '!$L$10)*U1100^2)+(('CAFCO 400 '!$L$11*(J1100^3)+'CAFCO 400 '!$L$12*(J1100^2)+'CAFCO 400 '!$L$13*J1100+'CAFCO 400 '!$L$14)*U1100)+('CAFCO 400 '!$L$15*LN(J1100)+'CAFCO 400 '!$L$16)),0)+IF(AND(L1100="Cafco 400",M1100="Software Idiem",C1100="IN",G1100=3),((('CAFCO 400 '!$D$23*(J1100^2)+'CAFCO 400 '!$D$24*(J1100)+'CAFCO 400 '!$D$25)*U1100^2)+(('CAFCO 400 '!$D$26*(J1100^2)+'CAFCO 400 '!$D$27*J1100+'CAFCO 400 '!$D$28)*U1100)+('CAFCO 400 '!$D$29*(J1100^2)+'CAFCO 400 '!$D$30*J1100+'CAFCO 400 '!$D$31)),0),0)+IF(AND(L1100="Cafco 300",J1100&gt;=95,J1100&lt;=240,C1100="Cj",I1100=90),VLOOKUP(T1100,'CAFCO 300 IDIEM TABLAS'!$B$4:$D$23,2,FALSE),0)+IF(AND(L1100="Cafco 300",J1100&gt;=95,J1100&lt;=240,C1100="Cj",I1100=120),VLOOKUP(T1100,'CAFCO 300 IDIEM TABLAS'!$B$4:$D$23,3,FALSE),0)+IF(AND(L1100="Cafco 300",J1100&gt;=95,J1100&lt;=400,G1100=3,C1100="IN",I1100=90),VLOOKUP(T1100,'CAFCO 300 IDIEM TABLAS'!$F$4:$H$35,2,FALSE),0)+IF(AND(L1100="Cafco 300",J1100&gt;=95,J1100&lt;=400,G1100=3,C1100="IN",I1100=120),VLOOKUP(T1100,'CAFCO 300 IDIEM TABLAS'!$F$4:$H$35,3,FALSE),0)+IF(AND(L1100="Cafco 300",J1100&gt;=95,J1100&lt;=450,G1100=4,C1100="IN",I1100=90),VLOOKUP(T1100,'CAFCO 300 IDIEM TABLAS'!$J$4:$L$40,2,FALSE),0)+IF(AND(L1100="Cafco 300",J1100&gt;=95,J1100&lt;=450,G1100=4,C1100="IN",I1100=120),VLOOKUP(T1100,'CAFCO 300 IDIEM TABLAS'!$J$4:$L$40,3,FALSE),0)+IF(AND(M1100="Ensayo Idiem",L1100="Cafco 400",C1100="IN",G1100=4,I1100=90),VLOOKUP(T1100,'CAFCO 400 ENSAYO'!$B$7:$D$43,2,FALSE),0)+IF(AND(M1100="Ensayo Idiem",L1100="Cafco 400",C1100="IN",G1100=4,I1100=120),VLOOKUP(T1100,'CAFCO 400 ENSAYO'!$B$7:$D$43,3,FALSE),0)</f>
        <v>0</v>
      </c>
      <c r="O1100" s="96">
        <f t="shared" si="114"/>
        <v>0</v>
      </c>
      <c r="P1100" s="95" t="str">
        <f t="shared" si="109"/>
        <v>N/A</v>
      </c>
      <c r="Q1100" s="95" t="str">
        <f t="shared" si="110"/>
        <v>N/A</v>
      </c>
      <c r="R1100" s="95" t="str">
        <f t="shared" si="111"/>
        <v>NO CERT.</v>
      </c>
      <c r="S1100" s="95" t="e">
        <f t="shared" si="112"/>
        <v>#N/A</v>
      </c>
      <c r="T1100" s="119" t="e">
        <f>+IF(J1100=LOOKUP(J1100,'CAFCO 300 IDIEM TABLAS'!$J$4:$J$40),'CALCULO MORTERO'!J1100,MROUND('CALCULO MORTERO'!J1100,10))</f>
        <v>#N/A</v>
      </c>
      <c r="U1100" s="118">
        <f t="shared" si="113"/>
        <v>0</v>
      </c>
    </row>
    <row r="1101" spans="1:21" x14ac:dyDescent="0.25">
      <c r="A1101" s="118">
        <f>+CUBICACION!D1095</f>
        <v>0</v>
      </c>
      <c r="B1101" s="819">
        <f>+CUBICACION!E1095</f>
        <v>0</v>
      </c>
      <c r="C1101" s="675">
        <f>+CUBICACION!F1095</f>
        <v>0</v>
      </c>
      <c r="D1101" s="118"/>
      <c r="E1101" s="118"/>
      <c r="F1101" s="820"/>
      <c r="G1101" s="675">
        <f>+CUBICACION!J1095</f>
        <v>0</v>
      </c>
      <c r="H1101" s="118"/>
      <c r="I1101" s="821">
        <f>+CUBICACION!L1095</f>
        <v>0</v>
      </c>
      <c r="J1101" s="64">
        <f>+CUBICACION!M1095</f>
        <v>0</v>
      </c>
      <c r="K1101" s="822" t="str">
        <f>+CUBICACION!N1095</f>
        <v/>
      </c>
      <c r="L1101" s="118">
        <f>+CUBICACION!O1095</f>
        <v>0</v>
      </c>
      <c r="M1101" s="823">
        <f>+CUBICACION!P1095</f>
        <v>0</v>
      </c>
      <c r="N1101" s="902">
        <f>ROUND(IF(AND(L1101="Blaze Shield II",M1101="Software Idiem",C1101="IN",G1101=4),((('BLAZE SHIELD II'!$D$4*('CALCULO MORTERO'!I1101^2)+'BLAZE SHIELD II'!$D$5*'CALCULO MORTERO'!I1101+'BLAZE SHIELD II'!$D$6)*LN(J1101))+('BLAZE SHIELD II'!$D$7*('CALCULO MORTERO'!I1101^2)+'BLAZE SHIELD II'!$D$8*'CALCULO MORTERO'!I1101+'BLAZE SHIELD II'!$D$9)),0)+IF(AND(L1101="Blaze Shield II",M1101="Software Idiem",C1101="Cj"),((('BLAZE SHIELD II'!$H$4*('CALCULO MORTERO'!I1101^2)+'BLAZE SHIELD II'!$H$5*'CALCULO MORTERO'!I1101+'BLAZE SHIELD II'!$H$6)*LN(J1101))+('BLAZE SHIELD II'!$H$7*('CALCULO MORTERO'!I1101^2)+'BLAZE SHIELD II'!$H$8*'CALCULO MORTERO'!I1101+'BLAZE SHIELD II'!$H$9)),0)+IF(AND(L1101="Blaze Shield II",M1101="Software Idiem",C1101="C"),((('BLAZE SHIELD II'!$L$4*('CALCULO MORTERO'!I1101^2)+'BLAZE SHIELD II'!$L$5*'CALCULO MORTERO'!I1101+'BLAZE SHIELD II'!$L$6)*LN(J1101))+('BLAZE SHIELD II'!$L$7*('CALCULO MORTERO'!I1101^2)+'BLAZE SHIELD II'!$L$8*'CALCULO MORTERO'!I1101+'BLAZE SHIELD II'!$L$9)),0)+IF(AND(L1101="Blaze Shield II",M1101="Software Idiem",C1101="L"),((('BLAZE SHIELD II'!$L$4*('CALCULO MORTERO'!I1101^2)+'BLAZE SHIELD II'!$L$5*'CALCULO MORTERO'!I1101+'BLAZE SHIELD II'!$L$6)*LN(J1101))+('BLAZE SHIELD II'!$L$7*('CALCULO MORTERO'!I1101^2)+'BLAZE SHIELD II'!$L$8*'CALCULO MORTERO'!I1101+'BLAZE SHIELD II'!$L$9)),0)+IF(AND(L1101="Blaze Shield II",M1101="Software Idiem",C1101="IN",G1101=3),((('BLAZE SHIELD II'!$H$14*('CALCULO MORTERO'!I1101^2)+'BLAZE SHIELD II'!$H$15*'CALCULO MORTERO'!I1101+'BLAZE SHIELD II'!$H$16)*LN(J1101))+('BLAZE SHIELD II'!$H$17*('CALCULO MORTERO'!I1101^2)+'BLAZE SHIELD II'!$H$18*'CALCULO MORTERO'!I1101+'BLAZE SHIELD II'!$H$19)),0),0)+ROUND(IF(AND(L1101="Cafco 400",M1101="Software Idiem",C1101="IN",G1101=4),((('CAFCO 400 '!$H$7*(J1101^4)+'CAFCO 400 '!$H$8*(J1101^3)+'CAFCO 400 '!$H$9*(J1101^2)+'CAFCO 400 '!$H$10*J1101+'CAFCO 400 '!$H$11)*U1101^2)+(('CAFCO 400 '!$H$12*(J1101^3)+'CAFCO 400 '!$H$13*(J1101^2)+'CAFCO 400 '!$H$14*J1101+'CAFCO 400 '!$H$15)*U1101)+('CAFCO 400 '!$H$16*(J1101^2)+'CAFCO 400 '!$H$17*J1101+'CAFCO 400 '!$H$18)),0)+IF(AND(L1101="Cafco 400",M1101="Software Idiem",C1101="Cj"),(((('CAFCO 400 '!$D$7*LN(J1101)+'CAFCO 400 '!$D$8)*U1101^2)+(('CAFCO 400 '!$D$9*LN(J1101)+'CAFCO 400 '!$D$10)*U1101)+('CAFCO 400 '!$D$11*LN(J1101)+'CAFCO 400 '!$D$12))),0)+IF(AND(L1101="Cafco 400",M1101="Software Idiem",C1101="C"),((('CAFCO 400 '!$L$7*(J1101^3)+'CAFCO 400 '!$L$8*(J1101^2)+'CAFCO 400 '!$L$9*J1101+'CAFCO 400 '!$L$10)*U1101^2)+(('CAFCO 400 '!$L$11*(J1101^3)+'CAFCO 400 '!$L$12*(J1101^2)+'CAFCO 400 '!$L$13*J1101+'CAFCO 400 '!$L$14)*U1101)+('CAFCO 400 '!$L$15*LN(J1101)+'CAFCO 400 '!$L$16)),0)+IF(AND(L1101="Cafco 400",M1101="Software Idiem",C1101="L"),((('CAFCO 400 '!$L$7*(J1101^3)+'CAFCO 400 '!$L$8*(J1101^2)+'CAFCO 400 '!$L$9*J1101+'CAFCO 400 '!$L$10)*U1101^2)+(('CAFCO 400 '!$L$11*(J1101^3)+'CAFCO 400 '!$L$12*(J1101^2)+'CAFCO 400 '!$L$13*J1101+'CAFCO 400 '!$L$14)*U1101)+('CAFCO 400 '!$L$15*LN(J1101)+'CAFCO 400 '!$L$16)),0)+IF(AND(L1101="Cafco 400",M1101="Software Idiem",C1101="IN",G1101=3),((('CAFCO 400 '!$D$23*(J1101^2)+'CAFCO 400 '!$D$24*(J1101)+'CAFCO 400 '!$D$25)*U1101^2)+(('CAFCO 400 '!$D$26*(J1101^2)+'CAFCO 400 '!$D$27*J1101+'CAFCO 400 '!$D$28)*U1101)+('CAFCO 400 '!$D$29*(J1101^2)+'CAFCO 400 '!$D$30*J1101+'CAFCO 400 '!$D$31)),0),0)+IF(AND(L1101="Cafco 300",J1101&gt;=95,J1101&lt;=240,C1101="Cj",I1101=90),VLOOKUP(T1101,'CAFCO 300 IDIEM TABLAS'!$B$4:$D$23,2,FALSE),0)+IF(AND(L1101="Cafco 300",J1101&gt;=95,J1101&lt;=240,C1101="Cj",I1101=120),VLOOKUP(T1101,'CAFCO 300 IDIEM TABLAS'!$B$4:$D$23,3,FALSE),0)+IF(AND(L1101="Cafco 300",J1101&gt;=95,J1101&lt;=400,G1101=3,C1101="IN",I1101=90),VLOOKUP(T1101,'CAFCO 300 IDIEM TABLAS'!$F$4:$H$35,2,FALSE),0)+IF(AND(L1101="Cafco 300",J1101&gt;=95,J1101&lt;=400,G1101=3,C1101="IN",I1101=120),VLOOKUP(T1101,'CAFCO 300 IDIEM TABLAS'!$F$4:$H$35,3,FALSE),0)+IF(AND(L1101="Cafco 300",J1101&gt;=95,J1101&lt;=450,G1101=4,C1101="IN",I1101=90),VLOOKUP(T1101,'CAFCO 300 IDIEM TABLAS'!$J$4:$L$40,2,FALSE),0)+IF(AND(L1101="Cafco 300",J1101&gt;=95,J1101&lt;=450,G1101=4,C1101="IN",I1101=120),VLOOKUP(T1101,'CAFCO 300 IDIEM TABLAS'!$J$4:$L$40,3,FALSE),0)+IF(AND(M1101="Ensayo Idiem",L1101="Cafco 400",C1101="IN",G1101=4,I1101=90),VLOOKUP(T1101,'CAFCO 400 ENSAYO'!$B$7:$D$43,2,FALSE),0)+IF(AND(M1101="Ensayo Idiem",L1101="Cafco 400",C1101="IN",G1101=4,I1101=120),VLOOKUP(T1101,'CAFCO 400 ENSAYO'!$B$7:$D$43,3,FALSE),0)</f>
        <v>0</v>
      </c>
      <c r="O1101" s="96">
        <f t="shared" si="114"/>
        <v>0</v>
      </c>
      <c r="P1101" s="132" t="str">
        <f t="shared" si="109"/>
        <v>N/A</v>
      </c>
      <c r="Q1101" s="132" t="str">
        <f t="shared" si="110"/>
        <v>N/A</v>
      </c>
      <c r="R1101" s="132" t="str">
        <f t="shared" si="111"/>
        <v>NO CERT.</v>
      </c>
      <c r="S1101" s="132" t="e">
        <f t="shared" si="112"/>
        <v>#N/A</v>
      </c>
      <c r="T1101" s="133" t="e">
        <f>+IF(J1101=LOOKUP(J1101,'CAFCO 300 IDIEM TABLAS'!$J$4:$J$40),'CALCULO MORTERO'!J1101,MROUND('CALCULO MORTERO'!J1101,10))</f>
        <v>#N/A</v>
      </c>
      <c r="U1101" s="134">
        <f t="shared" si="113"/>
        <v>0</v>
      </c>
    </row>
    <row r="1102" spans="1:21" x14ac:dyDescent="0.25">
      <c r="A1102" s="118">
        <f>+CUBICACION!D1096</f>
        <v>0</v>
      </c>
      <c r="B1102" s="819">
        <f>+CUBICACION!E1096</f>
        <v>0</v>
      </c>
      <c r="C1102" s="675">
        <f>+CUBICACION!F1096</f>
        <v>0</v>
      </c>
      <c r="D1102" s="118"/>
      <c r="E1102" s="118"/>
      <c r="F1102" s="820"/>
      <c r="G1102" s="675">
        <f>+CUBICACION!J1096</f>
        <v>0</v>
      </c>
      <c r="H1102" s="118"/>
      <c r="I1102" s="821">
        <f>+CUBICACION!L1096</f>
        <v>0</v>
      </c>
      <c r="J1102" s="64">
        <f>+CUBICACION!M1096</f>
        <v>0</v>
      </c>
      <c r="K1102" s="822" t="str">
        <f>+CUBICACION!N1096</f>
        <v/>
      </c>
      <c r="L1102" s="118">
        <f>+CUBICACION!O1096</f>
        <v>0</v>
      </c>
      <c r="M1102" s="823">
        <f>+CUBICACION!P1096</f>
        <v>0</v>
      </c>
      <c r="N1102" s="902">
        <f>ROUND(IF(AND(L1102="Blaze Shield II",M1102="Software Idiem",C1102="IN",G1102=4),((('BLAZE SHIELD II'!$D$4*('CALCULO MORTERO'!I1102^2)+'BLAZE SHIELD II'!$D$5*'CALCULO MORTERO'!I1102+'BLAZE SHIELD II'!$D$6)*LN(J1102))+('BLAZE SHIELD II'!$D$7*('CALCULO MORTERO'!I1102^2)+'BLAZE SHIELD II'!$D$8*'CALCULO MORTERO'!I1102+'BLAZE SHIELD II'!$D$9)),0)+IF(AND(L1102="Blaze Shield II",M1102="Software Idiem",C1102="Cj"),((('BLAZE SHIELD II'!$H$4*('CALCULO MORTERO'!I1102^2)+'BLAZE SHIELD II'!$H$5*'CALCULO MORTERO'!I1102+'BLAZE SHIELD II'!$H$6)*LN(J1102))+('BLAZE SHIELD II'!$H$7*('CALCULO MORTERO'!I1102^2)+'BLAZE SHIELD II'!$H$8*'CALCULO MORTERO'!I1102+'BLAZE SHIELD II'!$H$9)),0)+IF(AND(L1102="Blaze Shield II",M1102="Software Idiem",C1102="C"),((('BLAZE SHIELD II'!$L$4*('CALCULO MORTERO'!I1102^2)+'BLAZE SHIELD II'!$L$5*'CALCULO MORTERO'!I1102+'BLAZE SHIELD II'!$L$6)*LN(J1102))+('BLAZE SHIELD II'!$L$7*('CALCULO MORTERO'!I1102^2)+'BLAZE SHIELD II'!$L$8*'CALCULO MORTERO'!I1102+'BLAZE SHIELD II'!$L$9)),0)+IF(AND(L1102="Blaze Shield II",M1102="Software Idiem",C1102="L"),((('BLAZE SHIELD II'!$L$4*('CALCULO MORTERO'!I1102^2)+'BLAZE SHIELD II'!$L$5*'CALCULO MORTERO'!I1102+'BLAZE SHIELD II'!$L$6)*LN(J1102))+('BLAZE SHIELD II'!$L$7*('CALCULO MORTERO'!I1102^2)+'BLAZE SHIELD II'!$L$8*'CALCULO MORTERO'!I1102+'BLAZE SHIELD II'!$L$9)),0)+IF(AND(L1102="Blaze Shield II",M1102="Software Idiem",C1102="IN",G1102=3),((('BLAZE SHIELD II'!$H$14*('CALCULO MORTERO'!I1102^2)+'BLAZE SHIELD II'!$H$15*'CALCULO MORTERO'!I1102+'BLAZE SHIELD II'!$H$16)*LN(J1102))+('BLAZE SHIELD II'!$H$17*('CALCULO MORTERO'!I1102^2)+'BLAZE SHIELD II'!$H$18*'CALCULO MORTERO'!I1102+'BLAZE SHIELD II'!$H$19)),0),0)+ROUND(IF(AND(L1102="Cafco 400",M1102="Software Idiem",C1102="IN",G1102=4),((('CAFCO 400 '!$H$7*(J1102^4)+'CAFCO 400 '!$H$8*(J1102^3)+'CAFCO 400 '!$H$9*(J1102^2)+'CAFCO 400 '!$H$10*J1102+'CAFCO 400 '!$H$11)*U1102^2)+(('CAFCO 400 '!$H$12*(J1102^3)+'CAFCO 400 '!$H$13*(J1102^2)+'CAFCO 400 '!$H$14*J1102+'CAFCO 400 '!$H$15)*U1102)+('CAFCO 400 '!$H$16*(J1102^2)+'CAFCO 400 '!$H$17*J1102+'CAFCO 400 '!$H$18)),0)+IF(AND(L1102="Cafco 400",M1102="Software Idiem",C1102="Cj"),(((('CAFCO 400 '!$D$7*LN(J1102)+'CAFCO 400 '!$D$8)*U1102^2)+(('CAFCO 400 '!$D$9*LN(J1102)+'CAFCO 400 '!$D$10)*U1102)+('CAFCO 400 '!$D$11*LN(J1102)+'CAFCO 400 '!$D$12))),0)+IF(AND(L1102="Cafco 400",M1102="Software Idiem",C1102="C"),((('CAFCO 400 '!$L$7*(J1102^3)+'CAFCO 400 '!$L$8*(J1102^2)+'CAFCO 400 '!$L$9*J1102+'CAFCO 400 '!$L$10)*U1102^2)+(('CAFCO 400 '!$L$11*(J1102^3)+'CAFCO 400 '!$L$12*(J1102^2)+'CAFCO 400 '!$L$13*J1102+'CAFCO 400 '!$L$14)*U1102)+('CAFCO 400 '!$L$15*LN(J1102)+'CAFCO 400 '!$L$16)),0)+IF(AND(L1102="Cafco 400",M1102="Software Idiem",C1102="L"),((('CAFCO 400 '!$L$7*(J1102^3)+'CAFCO 400 '!$L$8*(J1102^2)+'CAFCO 400 '!$L$9*J1102+'CAFCO 400 '!$L$10)*U1102^2)+(('CAFCO 400 '!$L$11*(J1102^3)+'CAFCO 400 '!$L$12*(J1102^2)+'CAFCO 400 '!$L$13*J1102+'CAFCO 400 '!$L$14)*U1102)+('CAFCO 400 '!$L$15*LN(J1102)+'CAFCO 400 '!$L$16)),0)+IF(AND(L1102="Cafco 400",M1102="Software Idiem",C1102="IN",G1102=3),((('CAFCO 400 '!$D$23*(J1102^2)+'CAFCO 400 '!$D$24*(J1102)+'CAFCO 400 '!$D$25)*U1102^2)+(('CAFCO 400 '!$D$26*(J1102^2)+'CAFCO 400 '!$D$27*J1102+'CAFCO 400 '!$D$28)*U1102)+('CAFCO 400 '!$D$29*(J1102^2)+'CAFCO 400 '!$D$30*J1102+'CAFCO 400 '!$D$31)),0),0)+IF(AND(L1102="Cafco 300",J1102&gt;=95,J1102&lt;=240,C1102="Cj",I1102=90),VLOOKUP(T1102,'CAFCO 300 IDIEM TABLAS'!$B$4:$D$23,2,FALSE),0)+IF(AND(L1102="Cafco 300",J1102&gt;=95,J1102&lt;=240,C1102="Cj",I1102=120),VLOOKUP(T1102,'CAFCO 300 IDIEM TABLAS'!$B$4:$D$23,3,FALSE),0)+IF(AND(L1102="Cafco 300",J1102&gt;=95,J1102&lt;=400,G1102=3,C1102="IN",I1102=90),VLOOKUP(T1102,'CAFCO 300 IDIEM TABLAS'!$F$4:$H$35,2,FALSE),0)+IF(AND(L1102="Cafco 300",J1102&gt;=95,J1102&lt;=400,G1102=3,C1102="IN",I1102=120),VLOOKUP(T1102,'CAFCO 300 IDIEM TABLAS'!$F$4:$H$35,3,FALSE),0)+IF(AND(L1102="Cafco 300",J1102&gt;=95,J1102&lt;=450,G1102=4,C1102="IN",I1102=90),VLOOKUP(T1102,'CAFCO 300 IDIEM TABLAS'!$J$4:$L$40,2,FALSE),0)+IF(AND(L1102="Cafco 300",J1102&gt;=95,J1102&lt;=450,G1102=4,C1102="IN",I1102=120),VLOOKUP(T1102,'CAFCO 300 IDIEM TABLAS'!$J$4:$L$40,3,FALSE),0)+IF(AND(M1102="Ensayo Idiem",L1102="Cafco 400",C1102="IN",G1102=4,I1102=90),VLOOKUP(T1102,'CAFCO 400 ENSAYO'!$B$7:$D$43,2,FALSE),0)+IF(AND(M1102="Ensayo Idiem",L1102="Cafco 400",C1102="IN",G1102=4,I1102=120),VLOOKUP(T1102,'CAFCO 400 ENSAYO'!$B$7:$D$43,3,FALSE),0)</f>
        <v>0</v>
      </c>
      <c r="O1102" s="96">
        <f t="shared" si="114"/>
        <v>0</v>
      </c>
      <c r="P1102" s="95" t="str">
        <f t="shared" si="109"/>
        <v>N/A</v>
      </c>
      <c r="Q1102" s="95" t="str">
        <f t="shared" si="110"/>
        <v>N/A</v>
      </c>
      <c r="R1102" s="95" t="str">
        <f t="shared" si="111"/>
        <v>NO CERT.</v>
      </c>
      <c r="S1102" s="95" t="e">
        <f t="shared" si="112"/>
        <v>#N/A</v>
      </c>
      <c r="T1102" s="119" t="e">
        <f>+IF(J1102=LOOKUP(J1102,'CAFCO 300 IDIEM TABLAS'!$J$4:$J$40),'CALCULO MORTERO'!J1102,MROUND('CALCULO MORTERO'!J1102,10))</f>
        <v>#N/A</v>
      </c>
      <c r="U1102" s="118">
        <f t="shared" si="113"/>
        <v>0</v>
      </c>
    </row>
    <row r="1103" spans="1:21" x14ac:dyDescent="0.25">
      <c r="A1103" s="118">
        <f>+CUBICACION!D1097</f>
        <v>0</v>
      </c>
      <c r="B1103" s="819">
        <f>+CUBICACION!E1097</f>
        <v>0</v>
      </c>
      <c r="C1103" s="675">
        <f>+CUBICACION!F1097</f>
        <v>0</v>
      </c>
      <c r="D1103" s="118"/>
      <c r="E1103" s="118"/>
      <c r="F1103" s="820"/>
      <c r="G1103" s="675">
        <f>+CUBICACION!J1097</f>
        <v>0</v>
      </c>
      <c r="H1103" s="118"/>
      <c r="I1103" s="821">
        <f>+CUBICACION!L1097</f>
        <v>0</v>
      </c>
      <c r="J1103" s="64">
        <f>+CUBICACION!M1097</f>
        <v>0</v>
      </c>
      <c r="K1103" s="822" t="str">
        <f>+CUBICACION!N1097</f>
        <v/>
      </c>
      <c r="L1103" s="118">
        <f>+CUBICACION!O1097</f>
        <v>0</v>
      </c>
      <c r="M1103" s="823">
        <f>+CUBICACION!P1097</f>
        <v>0</v>
      </c>
      <c r="N1103" s="902">
        <f>ROUND(IF(AND(L1103="Blaze Shield II",M1103="Software Idiem",C1103="IN",G1103=4),((('BLAZE SHIELD II'!$D$4*('CALCULO MORTERO'!I1103^2)+'BLAZE SHIELD II'!$D$5*'CALCULO MORTERO'!I1103+'BLAZE SHIELD II'!$D$6)*LN(J1103))+('BLAZE SHIELD II'!$D$7*('CALCULO MORTERO'!I1103^2)+'BLAZE SHIELD II'!$D$8*'CALCULO MORTERO'!I1103+'BLAZE SHIELD II'!$D$9)),0)+IF(AND(L1103="Blaze Shield II",M1103="Software Idiem",C1103="Cj"),((('BLAZE SHIELD II'!$H$4*('CALCULO MORTERO'!I1103^2)+'BLAZE SHIELD II'!$H$5*'CALCULO MORTERO'!I1103+'BLAZE SHIELD II'!$H$6)*LN(J1103))+('BLAZE SHIELD II'!$H$7*('CALCULO MORTERO'!I1103^2)+'BLAZE SHIELD II'!$H$8*'CALCULO MORTERO'!I1103+'BLAZE SHIELD II'!$H$9)),0)+IF(AND(L1103="Blaze Shield II",M1103="Software Idiem",C1103="C"),((('BLAZE SHIELD II'!$L$4*('CALCULO MORTERO'!I1103^2)+'BLAZE SHIELD II'!$L$5*'CALCULO MORTERO'!I1103+'BLAZE SHIELD II'!$L$6)*LN(J1103))+('BLAZE SHIELD II'!$L$7*('CALCULO MORTERO'!I1103^2)+'BLAZE SHIELD II'!$L$8*'CALCULO MORTERO'!I1103+'BLAZE SHIELD II'!$L$9)),0)+IF(AND(L1103="Blaze Shield II",M1103="Software Idiem",C1103="L"),((('BLAZE SHIELD II'!$L$4*('CALCULO MORTERO'!I1103^2)+'BLAZE SHIELD II'!$L$5*'CALCULO MORTERO'!I1103+'BLAZE SHIELD II'!$L$6)*LN(J1103))+('BLAZE SHIELD II'!$L$7*('CALCULO MORTERO'!I1103^2)+'BLAZE SHIELD II'!$L$8*'CALCULO MORTERO'!I1103+'BLAZE SHIELD II'!$L$9)),0)+IF(AND(L1103="Blaze Shield II",M1103="Software Idiem",C1103="IN",G1103=3),((('BLAZE SHIELD II'!$H$14*('CALCULO MORTERO'!I1103^2)+'BLAZE SHIELD II'!$H$15*'CALCULO MORTERO'!I1103+'BLAZE SHIELD II'!$H$16)*LN(J1103))+('BLAZE SHIELD II'!$H$17*('CALCULO MORTERO'!I1103^2)+'BLAZE SHIELD II'!$H$18*'CALCULO MORTERO'!I1103+'BLAZE SHIELD II'!$H$19)),0),0)+ROUND(IF(AND(L1103="Cafco 400",M1103="Software Idiem",C1103="IN",G1103=4),((('CAFCO 400 '!$H$7*(J1103^4)+'CAFCO 400 '!$H$8*(J1103^3)+'CAFCO 400 '!$H$9*(J1103^2)+'CAFCO 400 '!$H$10*J1103+'CAFCO 400 '!$H$11)*U1103^2)+(('CAFCO 400 '!$H$12*(J1103^3)+'CAFCO 400 '!$H$13*(J1103^2)+'CAFCO 400 '!$H$14*J1103+'CAFCO 400 '!$H$15)*U1103)+('CAFCO 400 '!$H$16*(J1103^2)+'CAFCO 400 '!$H$17*J1103+'CAFCO 400 '!$H$18)),0)+IF(AND(L1103="Cafco 400",M1103="Software Idiem",C1103="Cj"),(((('CAFCO 400 '!$D$7*LN(J1103)+'CAFCO 400 '!$D$8)*U1103^2)+(('CAFCO 400 '!$D$9*LN(J1103)+'CAFCO 400 '!$D$10)*U1103)+('CAFCO 400 '!$D$11*LN(J1103)+'CAFCO 400 '!$D$12))),0)+IF(AND(L1103="Cafco 400",M1103="Software Idiem",C1103="C"),((('CAFCO 400 '!$L$7*(J1103^3)+'CAFCO 400 '!$L$8*(J1103^2)+'CAFCO 400 '!$L$9*J1103+'CAFCO 400 '!$L$10)*U1103^2)+(('CAFCO 400 '!$L$11*(J1103^3)+'CAFCO 400 '!$L$12*(J1103^2)+'CAFCO 400 '!$L$13*J1103+'CAFCO 400 '!$L$14)*U1103)+('CAFCO 400 '!$L$15*LN(J1103)+'CAFCO 400 '!$L$16)),0)+IF(AND(L1103="Cafco 400",M1103="Software Idiem",C1103="L"),((('CAFCO 400 '!$L$7*(J1103^3)+'CAFCO 400 '!$L$8*(J1103^2)+'CAFCO 400 '!$L$9*J1103+'CAFCO 400 '!$L$10)*U1103^2)+(('CAFCO 400 '!$L$11*(J1103^3)+'CAFCO 400 '!$L$12*(J1103^2)+'CAFCO 400 '!$L$13*J1103+'CAFCO 400 '!$L$14)*U1103)+('CAFCO 400 '!$L$15*LN(J1103)+'CAFCO 400 '!$L$16)),0)+IF(AND(L1103="Cafco 400",M1103="Software Idiem",C1103="IN",G1103=3),((('CAFCO 400 '!$D$23*(J1103^2)+'CAFCO 400 '!$D$24*(J1103)+'CAFCO 400 '!$D$25)*U1103^2)+(('CAFCO 400 '!$D$26*(J1103^2)+'CAFCO 400 '!$D$27*J1103+'CAFCO 400 '!$D$28)*U1103)+('CAFCO 400 '!$D$29*(J1103^2)+'CAFCO 400 '!$D$30*J1103+'CAFCO 400 '!$D$31)),0),0)+IF(AND(L1103="Cafco 300",J1103&gt;=95,J1103&lt;=240,C1103="Cj",I1103=90),VLOOKUP(T1103,'CAFCO 300 IDIEM TABLAS'!$B$4:$D$23,2,FALSE),0)+IF(AND(L1103="Cafco 300",J1103&gt;=95,J1103&lt;=240,C1103="Cj",I1103=120),VLOOKUP(T1103,'CAFCO 300 IDIEM TABLAS'!$B$4:$D$23,3,FALSE),0)+IF(AND(L1103="Cafco 300",J1103&gt;=95,J1103&lt;=400,G1103=3,C1103="IN",I1103=90),VLOOKUP(T1103,'CAFCO 300 IDIEM TABLAS'!$F$4:$H$35,2,FALSE),0)+IF(AND(L1103="Cafco 300",J1103&gt;=95,J1103&lt;=400,G1103=3,C1103="IN",I1103=120),VLOOKUP(T1103,'CAFCO 300 IDIEM TABLAS'!$F$4:$H$35,3,FALSE),0)+IF(AND(L1103="Cafco 300",J1103&gt;=95,J1103&lt;=450,G1103=4,C1103="IN",I1103=90),VLOOKUP(T1103,'CAFCO 300 IDIEM TABLAS'!$J$4:$L$40,2,FALSE),0)+IF(AND(L1103="Cafco 300",J1103&gt;=95,J1103&lt;=450,G1103=4,C1103="IN",I1103=120),VLOOKUP(T1103,'CAFCO 300 IDIEM TABLAS'!$J$4:$L$40,3,FALSE),0)+IF(AND(M1103="Ensayo Idiem",L1103="Cafco 400",C1103="IN",G1103=4,I1103=90),VLOOKUP(T1103,'CAFCO 400 ENSAYO'!$B$7:$D$43,2,FALSE),0)+IF(AND(M1103="Ensayo Idiem",L1103="Cafco 400",C1103="IN",G1103=4,I1103=120),VLOOKUP(T1103,'CAFCO 400 ENSAYO'!$B$7:$D$43,3,FALSE),0)</f>
        <v>0</v>
      </c>
      <c r="O1103" s="96">
        <f t="shared" si="114"/>
        <v>0</v>
      </c>
      <c r="P1103" s="132" t="str">
        <f t="shared" si="109"/>
        <v>N/A</v>
      </c>
      <c r="Q1103" s="132" t="str">
        <f t="shared" si="110"/>
        <v>N/A</v>
      </c>
      <c r="R1103" s="132" t="str">
        <f t="shared" si="111"/>
        <v>NO CERT.</v>
      </c>
      <c r="S1103" s="132" t="e">
        <f t="shared" si="112"/>
        <v>#N/A</v>
      </c>
      <c r="T1103" s="133" t="e">
        <f>+IF(J1103=LOOKUP(J1103,'CAFCO 300 IDIEM TABLAS'!$J$4:$J$40),'CALCULO MORTERO'!J1103,MROUND('CALCULO MORTERO'!J1103,10))</f>
        <v>#N/A</v>
      </c>
      <c r="U1103" s="134">
        <f t="shared" si="113"/>
        <v>0</v>
      </c>
    </row>
    <row r="1104" spans="1:21" x14ac:dyDescent="0.25">
      <c r="A1104" s="118">
        <f>+CUBICACION!D1098</f>
        <v>0</v>
      </c>
      <c r="B1104" s="819">
        <f>+CUBICACION!E1098</f>
        <v>0</v>
      </c>
      <c r="C1104" s="675">
        <f>+CUBICACION!F1098</f>
        <v>0</v>
      </c>
      <c r="D1104" s="118"/>
      <c r="E1104" s="118"/>
      <c r="F1104" s="820"/>
      <c r="G1104" s="675">
        <f>+CUBICACION!J1098</f>
        <v>0</v>
      </c>
      <c r="H1104" s="118"/>
      <c r="I1104" s="821">
        <f>+CUBICACION!L1098</f>
        <v>0</v>
      </c>
      <c r="J1104" s="64">
        <f>+CUBICACION!M1098</f>
        <v>0</v>
      </c>
      <c r="K1104" s="822" t="str">
        <f>+CUBICACION!N1098</f>
        <v/>
      </c>
      <c r="L1104" s="118">
        <f>+CUBICACION!O1098</f>
        <v>0</v>
      </c>
      <c r="M1104" s="823">
        <f>+CUBICACION!P1098</f>
        <v>0</v>
      </c>
      <c r="N1104" s="902">
        <f>ROUND(IF(AND(L1104="Blaze Shield II",M1104="Software Idiem",C1104="IN",G1104=4),((('BLAZE SHIELD II'!$D$4*('CALCULO MORTERO'!I1104^2)+'BLAZE SHIELD II'!$D$5*'CALCULO MORTERO'!I1104+'BLAZE SHIELD II'!$D$6)*LN(J1104))+('BLAZE SHIELD II'!$D$7*('CALCULO MORTERO'!I1104^2)+'BLAZE SHIELD II'!$D$8*'CALCULO MORTERO'!I1104+'BLAZE SHIELD II'!$D$9)),0)+IF(AND(L1104="Blaze Shield II",M1104="Software Idiem",C1104="Cj"),((('BLAZE SHIELD II'!$H$4*('CALCULO MORTERO'!I1104^2)+'BLAZE SHIELD II'!$H$5*'CALCULO MORTERO'!I1104+'BLAZE SHIELD II'!$H$6)*LN(J1104))+('BLAZE SHIELD II'!$H$7*('CALCULO MORTERO'!I1104^2)+'BLAZE SHIELD II'!$H$8*'CALCULO MORTERO'!I1104+'BLAZE SHIELD II'!$H$9)),0)+IF(AND(L1104="Blaze Shield II",M1104="Software Idiem",C1104="C"),((('BLAZE SHIELD II'!$L$4*('CALCULO MORTERO'!I1104^2)+'BLAZE SHIELD II'!$L$5*'CALCULO MORTERO'!I1104+'BLAZE SHIELD II'!$L$6)*LN(J1104))+('BLAZE SHIELD II'!$L$7*('CALCULO MORTERO'!I1104^2)+'BLAZE SHIELD II'!$L$8*'CALCULO MORTERO'!I1104+'BLAZE SHIELD II'!$L$9)),0)+IF(AND(L1104="Blaze Shield II",M1104="Software Idiem",C1104="L"),((('BLAZE SHIELD II'!$L$4*('CALCULO MORTERO'!I1104^2)+'BLAZE SHIELD II'!$L$5*'CALCULO MORTERO'!I1104+'BLAZE SHIELD II'!$L$6)*LN(J1104))+('BLAZE SHIELD II'!$L$7*('CALCULO MORTERO'!I1104^2)+'BLAZE SHIELD II'!$L$8*'CALCULO MORTERO'!I1104+'BLAZE SHIELD II'!$L$9)),0)+IF(AND(L1104="Blaze Shield II",M1104="Software Idiem",C1104="IN",G1104=3),((('BLAZE SHIELD II'!$H$14*('CALCULO MORTERO'!I1104^2)+'BLAZE SHIELD II'!$H$15*'CALCULO MORTERO'!I1104+'BLAZE SHIELD II'!$H$16)*LN(J1104))+('BLAZE SHIELD II'!$H$17*('CALCULO MORTERO'!I1104^2)+'BLAZE SHIELD II'!$H$18*'CALCULO MORTERO'!I1104+'BLAZE SHIELD II'!$H$19)),0),0)+ROUND(IF(AND(L1104="Cafco 400",M1104="Software Idiem",C1104="IN",G1104=4),((('CAFCO 400 '!$H$7*(J1104^4)+'CAFCO 400 '!$H$8*(J1104^3)+'CAFCO 400 '!$H$9*(J1104^2)+'CAFCO 400 '!$H$10*J1104+'CAFCO 400 '!$H$11)*U1104^2)+(('CAFCO 400 '!$H$12*(J1104^3)+'CAFCO 400 '!$H$13*(J1104^2)+'CAFCO 400 '!$H$14*J1104+'CAFCO 400 '!$H$15)*U1104)+('CAFCO 400 '!$H$16*(J1104^2)+'CAFCO 400 '!$H$17*J1104+'CAFCO 400 '!$H$18)),0)+IF(AND(L1104="Cafco 400",M1104="Software Idiem",C1104="Cj"),(((('CAFCO 400 '!$D$7*LN(J1104)+'CAFCO 400 '!$D$8)*U1104^2)+(('CAFCO 400 '!$D$9*LN(J1104)+'CAFCO 400 '!$D$10)*U1104)+('CAFCO 400 '!$D$11*LN(J1104)+'CAFCO 400 '!$D$12))),0)+IF(AND(L1104="Cafco 400",M1104="Software Idiem",C1104="C"),((('CAFCO 400 '!$L$7*(J1104^3)+'CAFCO 400 '!$L$8*(J1104^2)+'CAFCO 400 '!$L$9*J1104+'CAFCO 400 '!$L$10)*U1104^2)+(('CAFCO 400 '!$L$11*(J1104^3)+'CAFCO 400 '!$L$12*(J1104^2)+'CAFCO 400 '!$L$13*J1104+'CAFCO 400 '!$L$14)*U1104)+('CAFCO 400 '!$L$15*LN(J1104)+'CAFCO 400 '!$L$16)),0)+IF(AND(L1104="Cafco 400",M1104="Software Idiem",C1104="L"),((('CAFCO 400 '!$L$7*(J1104^3)+'CAFCO 400 '!$L$8*(J1104^2)+'CAFCO 400 '!$L$9*J1104+'CAFCO 400 '!$L$10)*U1104^2)+(('CAFCO 400 '!$L$11*(J1104^3)+'CAFCO 400 '!$L$12*(J1104^2)+'CAFCO 400 '!$L$13*J1104+'CAFCO 400 '!$L$14)*U1104)+('CAFCO 400 '!$L$15*LN(J1104)+'CAFCO 400 '!$L$16)),0)+IF(AND(L1104="Cafco 400",M1104="Software Idiem",C1104="IN",G1104=3),((('CAFCO 400 '!$D$23*(J1104^2)+'CAFCO 400 '!$D$24*(J1104)+'CAFCO 400 '!$D$25)*U1104^2)+(('CAFCO 400 '!$D$26*(J1104^2)+'CAFCO 400 '!$D$27*J1104+'CAFCO 400 '!$D$28)*U1104)+('CAFCO 400 '!$D$29*(J1104^2)+'CAFCO 400 '!$D$30*J1104+'CAFCO 400 '!$D$31)),0),0)+IF(AND(L1104="Cafco 300",J1104&gt;=95,J1104&lt;=240,C1104="Cj",I1104=90),VLOOKUP(T1104,'CAFCO 300 IDIEM TABLAS'!$B$4:$D$23,2,FALSE),0)+IF(AND(L1104="Cafco 300",J1104&gt;=95,J1104&lt;=240,C1104="Cj",I1104=120),VLOOKUP(T1104,'CAFCO 300 IDIEM TABLAS'!$B$4:$D$23,3,FALSE),0)+IF(AND(L1104="Cafco 300",J1104&gt;=95,J1104&lt;=400,G1104=3,C1104="IN",I1104=90),VLOOKUP(T1104,'CAFCO 300 IDIEM TABLAS'!$F$4:$H$35,2,FALSE),0)+IF(AND(L1104="Cafco 300",J1104&gt;=95,J1104&lt;=400,G1104=3,C1104="IN",I1104=120),VLOOKUP(T1104,'CAFCO 300 IDIEM TABLAS'!$F$4:$H$35,3,FALSE),0)+IF(AND(L1104="Cafco 300",J1104&gt;=95,J1104&lt;=450,G1104=4,C1104="IN",I1104=90),VLOOKUP(T1104,'CAFCO 300 IDIEM TABLAS'!$J$4:$L$40,2,FALSE),0)+IF(AND(L1104="Cafco 300",J1104&gt;=95,J1104&lt;=450,G1104=4,C1104="IN",I1104=120),VLOOKUP(T1104,'CAFCO 300 IDIEM TABLAS'!$J$4:$L$40,3,FALSE),0)+IF(AND(M1104="Ensayo Idiem",L1104="Cafco 400",C1104="IN",G1104=4,I1104=90),VLOOKUP(T1104,'CAFCO 400 ENSAYO'!$B$7:$D$43,2,FALSE),0)+IF(AND(M1104="Ensayo Idiem",L1104="Cafco 400",C1104="IN",G1104=4,I1104=120),VLOOKUP(T1104,'CAFCO 400 ENSAYO'!$B$7:$D$43,3,FALSE),0)</f>
        <v>0</v>
      </c>
      <c r="O1104" s="96">
        <f t="shared" si="114"/>
        <v>0</v>
      </c>
      <c r="P1104" s="95" t="str">
        <f t="shared" si="109"/>
        <v>N/A</v>
      </c>
      <c r="Q1104" s="95" t="str">
        <f t="shared" si="110"/>
        <v>N/A</v>
      </c>
      <c r="R1104" s="95" t="str">
        <f t="shared" si="111"/>
        <v>NO CERT.</v>
      </c>
      <c r="S1104" s="95" t="e">
        <f t="shared" si="112"/>
        <v>#N/A</v>
      </c>
      <c r="T1104" s="119" t="e">
        <f>+IF(J1104=LOOKUP(J1104,'CAFCO 300 IDIEM TABLAS'!$J$4:$J$40),'CALCULO MORTERO'!J1104,MROUND('CALCULO MORTERO'!J1104,10))</f>
        <v>#N/A</v>
      </c>
      <c r="U1104" s="118">
        <f t="shared" si="113"/>
        <v>0</v>
      </c>
    </row>
    <row r="1105" spans="1:21" x14ac:dyDescent="0.25">
      <c r="A1105" s="118">
        <f>+CUBICACION!D1099</f>
        <v>0</v>
      </c>
      <c r="B1105" s="819">
        <f>+CUBICACION!E1099</f>
        <v>0</v>
      </c>
      <c r="C1105" s="675">
        <f>+CUBICACION!F1099</f>
        <v>0</v>
      </c>
      <c r="D1105" s="118"/>
      <c r="E1105" s="118"/>
      <c r="F1105" s="820"/>
      <c r="G1105" s="675">
        <f>+CUBICACION!J1099</f>
        <v>0</v>
      </c>
      <c r="H1105" s="118"/>
      <c r="I1105" s="821">
        <f>+CUBICACION!L1099</f>
        <v>0</v>
      </c>
      <c r="J1105" s="64">
        <f>+CUBICACION!M1099</f>
        <v>0</v>
      </c>
      <c r="K1105" s="822" t="str">
        <f>+CUBICACION!N1099</f>
        <v/>
      </c>
      <c r="L1105" s="118">
        <f>+CUBICACION!O1099</f>
        <v>0</v>
      </c>
      <c r="M1105" s="823">
        <f>+CUBICACION!P1099</f>
        <v>0</v>
      </c>
      <c r="N1105" s="902">
        <f>ROUND(IF(AND(L1105="Blaze Shield II",M1105="Software Idiem",C1105="IN",G1105=4),((('BLAZE SHIELD II'!$D$4*('CALCULO MORTERO'!I1105^2)+'BLAZE SHIELD II'!$D$5*'CALCULO MORTERO'!I1105+'BLAZE SHIELD II'!$D$6)*LN(J1105))+('BLAZE SHIELD II'!$D$7*('CALCULO MORTERO'!I1105^2)+'BLAZE SHIELD II'!$D$8*'CALCULO MORTERO'!I1105+'BLAZE SHIELD II'!$D$9)),0)+IF(AND(L1105="Blaze Shield II",M1105="Software Idiem",C1105="Cj"),((('BLAZE SHIELD II'!$H$4*('CALCULO MORTERO'!I1105^2)+'BLAZE SHIELD II'!$H$5*'CALCULO MORTERO'!I1105+'BLAZE SHIELD II'!$H$6)*LN(J1105))+('BLAZE SHIELD II'!$H$7*('CALCULO MORTERO'!I1105^2)+'BLAZE SHIELD II'!$H$8*'CALCULO MORTERO'!I1105+'BLAZE SHIELD II'!$H$9)),0)+IF(AND(L1105="Blaze Shield II",M1105="Software Idiem",C1105="C"),((('BLAZE SHIELD II'!$L$4*('CALCULO MORTERO'!I1105^2)+'BLAZE SHIELD II'!$L$5*'CALCULO MORTERO'!I1105+'BLAZE SHIELD II'!$L$6)*LN(J1105))+('BLAZE SHIELD II'!$L$7*('CALCULO MORTERO'!I1105^2)+'BLAZE SHIELD II'!$L$8*'CALCULO MORTERO'!I1105+'BLAZE SHIELD II'!$L$9)),0)+IF(AND(L1105="Blaze Shield II",M1105="Software Idiem",C1105="L"),((('BLAZE SHIELD II'!$L$4*('CALCULO MORTERO'!I1105^2)+'BLAZE SHIELD II'!$L$5*'CALCULO MORTERO'!I1105+'BLAZE SHIELD II'!$L$6)*LN(J1105))+('BLAZE SHIELD II'!$L$7*('CALCULO MORTERO'!I1105^2)+'BLAZE SHIELD II'!$L$8*'CALCULO MORTERO'!I1105+'BLAZE SHIELD II'!$L$9)),0)+IF(AND(L1105="Blaze Shield II",M1105="Software Idiem",C1105="IN",G1105=3),((('BLAZE SHIELD II'!$H$14*('CALCULO MORTERO'!I1105^2)+'BLAZE SHIELD II'!$H$15*'CALCULO MORTERO'!I1105+'BLAZE SHIELD II'!$H$16)*LN(J1105))+('BLAZE SHIELD II'!$H$17*('CALCULO MORTERO'!I1105^2)+'BLAZE SHIELD II'!$H$18*'CALCULO MORTERO'!I1105+'BLAZE SHIELD II'!$H$19)),0),0)+ROUND(IF(AND(L1105="Cafco 400",M1105="Software Idiem",C1105="IN",G1105=4),((('CAFCO 400 '!$H$7*(J1105^4)+'CAFCO 400 '!$H$8*(J1105^3)+'CAFCO 400 '!$H$9*(J1105^2)+'CAFCO 400 '!$H$10*J1105+'CAFCO 400 '!$H$11)*U1105^2)+(('CAFCO 400 '!$H$12*(J1105^3)+'CAFCO 400 '!$H$13*(J1105^2)+'CAFCO 400 '!$H$14*J1105+'CAFCO 400 '!$H$15)*U1105)+('CAFCO 400 '!$H$16*(J1105^2)+'CAFCO 400 '!$H$17*J1105+'CAFCO 400 '!$H$18)),0)+IF(AND(L1105="Cafco 400",M1105="Software Idiem",C1105="Cj"),(((('CAFCO 400 '!$D$7*LN(J1105)+'CAFCO 400 '!$D$8)*U1105^2)+(('CAFCO 400 '!$D$9*LN(J1105)+'CAFCO 400 '!$D$10)*U1105)+('CAFCO 400 '!$D$11*LN(J1105)+'CAFCO 400 '!$D$12))),0)+IF(AND(L1105="Cafco 400",M1105="Software Idiem",C1105="C"),((('CAFCO 400 '!$L$7*(J1105^3)+'CAFCO 400 '!$L$8*(J1105^2)+'CAFCO 400 '!$L$9*J1105+'CAFCO 400 '!$L$10)*U1105^2)+(('CAFCO 400 '!$L$11*(J1105^3)+'CAFCO 400 '!$L$12*(J1105^2)+'CAFCO 400 '!$L$13*J1105+'CAFCO 400 '!$L$14)*U1105)+('CAFCO 400 '!$L$15*LN(J1105)+'CAFCO 400 '!$L$16)),0)+IF(AND(L1105="Cafco 400",M1105="Software Idiem",C1105="L"),((('CAFCO 400 '!$L$7*(J1105^3)+'CAFCO 400 '!$L$8*(J1105^2)+'CAFCO 400 '!$L$9*J1105+'CAFCO 400 '!$L$10)*U1105^2)+(('CAFCO 400 '!$L$11*(J1105^3)+'CAFCO 400 '!$L$12*(J1105^2)+'CAFCO 400 '!$L$13*J1105+'CAFCO 400 '!$L$14)*U1105)+('CAFCO 400 '!$L$15*LN(J1105)+'CAFCO 400 '!$L$16)),0)+IF(AND(L1105="Cafco 400",M1105="Software Idiem",C1105="IN",G1105=3),((('CAFCO 400 '!$D$23*(J1105^2)+'CAFCO 400 '!$D$24*(J1105)+'CAFCO 400 '!$D$25)*U1105^2)+(('CAFCO 400 '!$D$26*(J1105^2)+'CAFCO 400 '!$D$27*J1105+'CAFCO 400 '!$D$28)*U1105)+('CAFCO 400 '!$D$29*(J1105^2)+'CAFCO 400 '!$D$30*J1105+'CAFCO 400 '!$D$31)),0),0)+IF(AND(L1105="Cafco 300",J1105&gt;=95,J1105&lt;=240,C1105="Cj",I1105=90),VLOOKUP(T1105,'CAFCO 300 IDIEM TABLAS'!$B$4:$D$23,2,FALSE),0)+IF(AND(L1105="Cafco 300",J1105&gt;=95,J1105&lt;=240,C1105="Cj",I1105=120),VLOOKUP(T1105,'CAFCO 300 IDIEM TABLAS'!$B$4:$D$23,3,FALSE),0)+IF(AND(L1105="Cafco 300",J1105&gt;=95,J1105&lt;=400,G1105=3,C1105="IN",I1105=90),VLOOKUP(T1105,'CAFCO 300 IDIEM TABLAS'!$F$4:$H$35,2,FALSE),0)+IF(AND(L1105="Cafco 300",J1105&gt;=95,J1105&lt;=400,G1105=3,C1105="IN",I1105=120),VLOOKUP(T1105,'CAFCO 300 IDIEM TABLAS'!$F$4:$H$35,3,FALSE),0)+IF(AND(L1105="Cafco 300",J1105&gt;=95,J1105&lt;=450,G1105=4,C1105="IN",I1105=90),VLOOKUP(T1105,'CAFCO 300 IDIEM TABLAS'!$J$4:$L$40,2,FALSE),0)+IF(AND(L1105="Cafco 300",J1105&gt;=95,J1105&lt;=450,G1105=4,C1105="IN",I1105=120),VLOOKUP(T1105,'CAFCO 300 IDIEM TABLAS'!$J$4:$L$40,3,FALSE),0)+IF(AND(M1105="Ensayo Idiem",L1105="Cafco 400",C1105="IN",G1105=4,I1105=90),VLOOKUP(T1105,'CAFCO 400 ENSAYO'!$B$7:$D$43,2,FALSE),0)+IF(AND(M1105="Ensayo Idiem",L1105="Cafco 400",C1105="IN",G1105=4,I1105=120),VLOOKUP(T1105,'CAFCO 400 ENSAYO'!$B$7:$D$43,3,FALSE),0)</f>
        <v>0</v>
      </c>
      <c r="O1105" s="96">
        <f t="shared" si="114"/>
        <v>0</v>
      </c>
      <c r="P1105" s="132" t="str">
        <f t="shared" si="109"/>
        <v>N/A</v>
      </c>
      <c r="Q1105" s="132" t="str">
        <f t="shared" si="110"/>
        <v>N/A</v>
      </c>
      <c r="R1105" s="132" t="str">
        <f t="shared" si="111"/>
        <v>NO CERT.</v>
      </c>
      <c r="S1105" s="132" t="e">
        <f t="shared" si="112"/>
        <v>#N/A</v>
      </c>
      <c r="T1105" s="133" t="e">
        <f>+IF(J1105=LOOKUP(J1105,'CAFCO 300 IDIEM TABLAS'!$J$4:$J$40),'CALCULO MORTERO'!J1105,MROUND('CALCULO MORTERO'!J1105,10))</f>
        <v>#N/A</v>
      </c>
      <c r="U1105" s="134">
        <f t="shared" si="113"/>
        <v>0</v>
      </c>
    </row>
    <row r="1106" spans="1:21" x14ac:dyDescent="0.25">
      <c r="A1106" s="118">
        <f>+CUBICACION!D1100</f>
        <v>0</v>
      </c>
      <c r="B1106" s="819">
        <f>+CUBICACION!E1100</f>
        <v>0</v>
      </c>
      <c r="C1106" s="675">
        <f>+CUBICACION!F1100</f>
        <v>0</v>
      </c>
      <c r="D1106" s="118"/>
      <c r="E1106" s="118"/>
      <c r="F1106" s="820"/>
      <c r="G1106" s="675">
        <f>+CUBICACION!J1100</f>
        <v>0</v>
      </c>
      <c r="H1106" s="118"/>
      <c r="I1106" s="821">
        <f>+CUBICACION!L1100</f>
        <v>0</v>
      </c>
      <c r="J1106" s="64">
        <f>+CUBICACION!M1100</f>
        <v>0</v>
      </c>
      <c r="K1106" s="822" t="str">
        <f>+CUBICACION!N1100</f>
        <v/>
      </c>
      <c r="L1106" s="118">
        <f>+CUBICACION!O1100</f>
        <v>0</v>
      </c>
      <c r="M1106" s="823">
        <f>+CUBICACION!P1100</f>
        <v>0</v>
      </c>
      <c r="N1106" s="902">
        <f>ROUND(IF(AND(L1106="Blaze Shield II",M1106="Software Idiem",C1106="IN",G1106=4),((('BLAZE SHIELD II'!$D$4*('CALCULO MORTERO'!I1106^2)+'BLAZE SHIELD II'!$D$5*'CALCULO MORTERO'!I1106+'BLAZE SHIELD II'!$D$6)*LN(J1106))+('BLAZE SHIELD II'!$D$7*('CALCULO MORTERO'!I1106^2)+'BLAZE SHIELD II'!$D$8*'CALCULO MORTERO'!I1106+'BLAZE SHIELD II'!$D$9)),0)+IF(AND(L1106="Blaze Shield II",M1106="Software Idiem",C1106="Cj"),((('BLAZE SHIELD II'!$H$4*('CALCULO MORTERO'!I1106^2)+'BLAZE SHIELD II'!$H$5*'CALCULO MORTERO'!I1106+'BLAZE SHIELD II'!$H$6)*LN(J1106))+('BLAZE SHIELD II'!$H$7*('CALCULO MORTERO'!I1106^2)+'BLAZE SHIELD II'!$H$8*'CALCULO MORTERO'!I1106+'BLAZE SHIELD II'!$H$9)),0)+IF(AND(L1106="Blaze Shield II",M1106="Software Idiem",C1106="C"),((('BLAZE SHIELD II'!$L$4*('CALCULO MORTERO'!I1106^2)+'BLAZE SHIELD II'!$L$5*'CALCULO MORTERO'!I1106+'BLAZE SHIELD II'!$L$6)*LN(J1106))+('BLAZE SHIELD II'!$L$7*('CALCULO MORTERO'!I1106^2)+'BLAZE SHIELD II'!$L$8*'CALCULO MORTERO'!I1106+'BLAZE SHIELD II'!$L$9)),0)+IF(AND(L1106="Blaze Shield II",M1106="Software Idiem",C1106="L"),((('BLAZE SHIELD II'!$L$4*('CALCULO MORTERO'!I1106^2)+'BLAZE SHIELD II'!$L$5*'CALCULO MORTERO'!I1106+'BLAZE SHIELD II'!$L$6)*LN(J1106))+('BLAZE SHIELD II'!$L$7*('CALCULO MORTERO'!I1106^2)+'BLAZE SHIELD II'!$L$8*'CALCULO MORTERO'!I1106+'BLAZE SHIELD II'!$L$9)),0)+IF(AND(L1106="Blaze Shield II",M1106="Software Idiem",C1106="IN",G1106=3),((('BLAZE SHIELD II'!$H$14*('CALCULO MORTERO'!I1106^2)+'BLAZE SHIELD II'!$H$15*'CALCULO MORTERO'!I1106+'BLAZE SHIELD II'!$H$16)*LN(J1106))+('BLAZE SHIELD II'!$H$17*('CALCULO MORTERO'!I1106^2)+'BLAZE SHIELD II'!$H$18*'CALCULO MORTERO'!I1106+'BLAZE SHIELD II'!$H$19)),0),0)+ROUND(IF(AND(L1106="Cafco 400",M1106="Software Idiem",C1106="IN",G1106=4),((('CAFCO 400 '!$H$7*(J1106^4)+'CAFCO 400 '!$H$8*(J1106^3)+'CAFCO 400 '!$H$9*(J1106^2)+'CAFCO 400 '!$H$10*J1106+'CAFCO 400 '!$H$11)*U1106^2)+(('CAFCO 400 '!$H$12*(J1106^3)+'CAFCO 400 '!$H$13*(J1106^2)+'CAFCO 400 '!$H$14*J1106+'CAFCO 400 '!$H$15)*U1106)+('CAFCO 400 '!$H$16*(J1106^2)+'CAFCO 400 '!$H$17*J1106+'CAFCO 400 '!$H$18)),0)+IF(AND(L1106="Cafco 400",M1106="Software Idiem",C1106="Cj"),(((('CAFCO 400 '!$D$7*LN(J1106)+'CAFCO 400 '!$D$8)*U1106^2)+(('CAFCO 400 '!$D$9*LN(J1106)+'CAFCO 400 '!$D$10)*U1106)+('CAFCO 400 '!$D$11*LN(J1106)+'CAFCO 400 '!$D$12))),0)+IF(AND(L1106="Cafco 400",M1106="Software Idiem",C1106="C"),((('CAFCO 400 '!$L$7*(J1106^3)+'CAFCO 400 '!$L$8*(J1106^2)+'CAFCO 400 '!$L$9*J1106+'CAFCO 400 '!$L$10)*U1106^2)+(('CAFCO 400 '!$L$11*(J1106^3)+'CAFCO 400 '!$L$12*(J1106^2)+'CAFCO 400 '!$L$13*J1106+'CAFCO 400 '!$L$14)*U1106)+('CAFCO 400 '!$L$15*LN(J1106)+'CAFCO 400 '!$L$16)),0)+IF(AND(L1106="Cafco 400",M1106="Software Idiem",C1106="L"),((('CAFCO 400 '!$L$7*(J1106^3)+'CAFCO 400 '!$L$8*(J1106^2)+'CAFCO 400 '!$L$9*J1106+'CAFCO 400 '!$L$10)*U1106^2)+(('CAFCO 400 '!$L$11*(J1106^3)+'CAFCO 400 '!$L$12*(J1106^2)+'CAFCO 400 '!$L$13*J1106+'CAFCO 400 '!$L$14)*U1106)+('CAFCO 400 '!$L$15*LN(J1106)+'CAFCO 400 '!$L$16)),0)+IF(AND(L1106="Cafco 400",M1106="Software Idiem",C1106="IN",G1106=3),((('CAFCO 400 '!$D$23*(J1106^2)+'CAFCO 400 '!$D$24*(J1106)+'CAFCO 400 '!$D$25)*U1106^2)+(('CAFCO 400 '!$D$26*(J1106^2)+'CAFCO 400 '!$D$27*J1106+'CAFCO 400 '!$D$28)*U1106)+('CAFCO 400 '!$D$29*(J1106^2)+'CAFCO 400 '!$D$30*J1106+'CAFCO 400 '!$D$31)),0),0)+IF(AND(L1106="Cafco 300",J1106&gt;=95,J1106&lt;=240,C1106="Cj",I1106=90),VLOOKUP(T1106,'CAFCO 300 IDIEM TABLAS'!$B$4:$D$23,2,FALSE),0)+IF(AND(L1106="Cafco 300",J1106&gt;=95,J1106&lt;=240,C1106="Cj",I1106=120),VLOOKUP(T1106,'CAFCO 300 IDIEM TABLAS'!$B$4:$D$23,3,FALSE),0)+IF(AND(L1106="Cafco 300",J1106&gt;=95,J1106&lt;=400,G1106=3,C1106="IN",I1106=90),VLOOKUP(T1106,'CAFCO 300 IDIEM TABLAS'!$F$4:$H$35,2,FALSE),0)+IF(AND(L1106="Cafco 300",J1106&gt;=95,J1106&lt;=400,G1106=3,C1106="IN",I1106=120),VLOOKUP(T1106,'CAFCO 300 IDIEM TABLAS'!$F$4:$H$35,3,FALSE),0)+IF(AND(L1106="Cafco 300",J1106&gt;=95,J1106&lt;=450,G1106=4,C1106="IN",I1106=90),VLOOKUP(T1106,'CAFCO 300 IDIEM TABLAS'!$J$4:$L$40,2,FALSE),0)+IF(AND(L1106="Cafco 300",J1106&gt;=95,J1106&lt;=450,G1106=4,C1106="IN",I1106=120),VLOOKUP(T1106,'CAFCO 300 IDIEM TABLAS'!$J$4:$L$40,3,FALSE),0)+IF(AND(M1106="Ensayo Idiem",L1106="Cafco 400",C1106="IN",G1106=4,I1106=90),VLOOKUP(T1106,'CAFCO 400 ENSAYO'!$B$7:$D$43,2,FALSE),0)+IF(AND(M1106="Ensayo Idiem",L1106="Cafco 400",C1106="IN",G1106=4,I1106=120),VLOOKUP(T1106,'CAFCO 400 ENSAYO'!$B$7:$D$43,3,FALSE),0)</f>
        <v>0</v>
      </c>
      <c r="O1106" s="96">
        <f t="shared" si="114"/>
        <v>0</v>
      </c>
      <c r="P1106" s="95" t="str">
        <f t="shared" si="109"/>
        <v>N/A</v>
      </c>
      <c r="Q1106" s="95" t="str">
        <f t="shared" si="110"/>
        <v>N/A</v>
      </c>
      <c r="R1106" s="95" t="str">
        <f t="shared" si="111"/>
        <v>NO CERT.</v>
      </c>
      <c r="S1106" s="95" t="e">
        <f t="shared" si="112"/>
        <v>#N/A</v>
      </c>
      <c r="T1106" s="119" t="e">
        <f>+IF(J1106=LOOKUP(J1106,'CAFCO 300 IDIEM TABLAS'!$J$4:$J$40),'CALCULO MORTERO'!J1106,MROUND('CALCULO MORTERO'!J1106,10))</f>
        <v>#N/A</v>
      </c>
      <c r="U1106" s="118">
        <f t="shared" si="113"/>
        <v>0</v>
      </c>
    </row>
    <row r="1107" spans="1:21" x14ac:dyDescent="0.25">
      <c r="A1107" s="118">
        <f>+CUBICACION!D1101</f>
        <v>0</v>
      </c>
      <c r="B1107" s="819">
        <f>+CUBICACION!E1101</f>
        <v>0</v>
      </c>
      <c r="C1107" s="675">
        <f>+CUBICACION!F1101</f>
        <v>0</v>
      </c>
      <c r="D1107" s="118"/>
      <c r="E1107" s="118"/>
      <c r="F1107" s="820"/>
      <c r="G1107" s="675">
        <f>+CUBICACION!J1101</f>
        <v>0</v>
      </c>
      <c r="H1107" s="118"/>
      <c r="I1107" s="821">
        <f>+CUBICACION!L1101</f>
        <v>0</v>
      </c>
      <c r="J1107" s="64">
        <f>+CUBICACION!M1101</f>
        <v>0</v>
      </c>
      <c r="K1107" s="822" t="str">
        <f>+CUBICACION!N1101</f>
        <v/>
      </c>
      <c r="L1107" s="118">
        <f>+CUBICACION!O1101</f>
        <v>0</v>
      </c>
      <c r="M1107" s="823">
        <f>+CUBICACION!P1101</f>
        <v>0</v>
      </c>
      <c r="N1107" s="902">
        <f>ROUND(IF(AND(L1107="Blaze Shield II",M1107="Software Idiem",C1107="IN",G1107=4),((('BLAZE SHIELD II'!$D$4*('CALCULO MORTERO'!I1107^2)+'BLAZE SHIELD II'!$D$5*'CALCULO MORTERO'!I1107+'BLAZE SHIELD II'!$D$6)*LN(J1107))+('BLAZE SHIELD II'!$D$7*('CALCULO MORTERO'!I1107^2)+'BLAZE SHIELD II'!$D$8*'CALCULO MORTERO'!I1107+'BLAZE SHIELD II'!$D$9)),0)+IF(AND(L1107="Blaze Shield II",M1107="Software Idiem",C1107="Cj"),((('BLAZE SHIELD II'!$H$4*('CALCULO MORTERO'!I1107^2)+'BLAZE SHIELD II'!$H$5*'CALCULO MORTERO'!I1107+'BLAZE SHIELD II'!$H$6)*LN(J1107))+('BLAZE SHIELD II'!$H$7*('CALCULO MORTERO'!I1107^2)+'BLAZE SHIELD II'!$H$8*'CALCULO MORTERO'!I1107+'BLAZE SHIELD II'!$H$9)),0)+IF(AND(L1107="Blaze Shield II",M1107="Software Idiem",C1107="C"),((('BLAZE SHIELD II'!$L$4*('CALCULO MORTERO'!I1107^2)+'BLAZE SHIELD II'!$L$5*'CALCULO MORTERO'!I1107+'BLAZE SHIELD II'!$L$6)*LN(J1107))+('BLAZE SHIELD II'!$L$7*('CALCULO MORTERO'!I1107^2)+'BLAZE SHIELD II'!$L$8*'CALCULO MORTERO'!I1107+'BLAZE SHIELD II'!$L$9)),0)+IF(AND(L1107="Blaze Shield II",M1107="Software Idiem",C1107="L"),((('BLAZE SHIELD II'!$L$4*('CALCULO MORTERO'!I1107^2)+'BLAZE SHIELD II'!$L$5*'CALCULO MORTERO'!I1107+'BLAZE SHIELD II'!$L$6)*LN(J1107))+('BLAZE SHIELD II'!$L$7*('CALCULO MORTERO'!I1107^2)+'BLAZE SHIELD II'!$L$8*'CALCULO MORTERO'!I1107+'BLAZE SHIELD II'!$L$9)),0)+IF(AND(L1107="Blaze Shield II",M1107="Software Idiem",C1107="IN",G1107=3),((('BLAZE SHIELD II'!$H$14*('CALCULO MORTERO'!I1107^2)+'BLAZE SHIELD II'!$H$15*'CALCULO MORTERO'!I1107+'BLAZE SHIELD II'!$H$16)*LN(J1107))+('BLAZE SHIELD II'!$H$17*('CALCULO MORTERO'!I1107^2)+'BLAZE SHIELD II'!$H$18*'CALCULO MORTERO'!I1107+'BLAZE SHIELD II'!$H$19)),0),0)+ROUND(IF(AND(L1107="Cafco 400",M1107="Software Idiem",C1107="IN",G1107=4),((('CAFCO 400 '!$H$7*(J1107^4)+'CAFCO 400 '!$H$8*(J1107^3)+'CAFCO 400 '!$H$9*(J1107^2)+'CAFCO 400 '!$H$10*J1107+'CAFCO 400 '!$H$11)*U1107^2)+(('CAFCO 400 '!$H$12*(J1107^3)+'CAFCO 400 '!$H$13*(J1107^2)+'CAFCO 400 '!$H$14*J1107+'CAFCO 400 '!$H$15)*U1107)+('CAFCO 400 '!$H$16*(J1107^2)+'CAFCO 400 '!$H$17*J1107+'CAFCO 400 '!$H$18)),0)+IF(AND(L1107="Cafco 400",M1107="Software Idiem",C1107="Cj"),(((('CAFCO 400 '!$D$7*LN(J1107)+'CAFCO 400 '!$D$8)*U1107^2)+(('CAFCO 400 '!$D$9*LN(J1107)+'CAFCO 400 '!$D$10)*U1107)+('CAFCO 400 '!$D$11*LN(J1107)+'CAFCO 400 '!$D$12))),0)+IF(AND(L1107="Cafco 400",M1107="Software Idiem",C1107="C"),((('CAFCO 400 '!$L$7*(J1107^3)+'CAFCO 400 '!$L$8*(J1107^2)+'CAFCO 400 '!$L$9*J1107+'CAFCO 400 '!$L$10)*U1107^2)+(('CAFCO 400 '!$L$11*(J1107^3)+'CAFCO 400 '!$L$12*(J1107^2)+'CAFCO 400 '!$L$13*J1107+'CAFCO 400 '!$L$14)*U1107)+('CAFCO 400 '!$L$15*LN(J1107)+'CAFCO 400 '!$L$16)),0)+IF(AND(L1107="Cafco 400",M1107="Software Idiem",C1107="L"),((('CAFCO 400 '!$L$7*(J1107^3)+'CAFCO 400 '!$L$8*(J1107^2)+'CAFCO 400 '!$L$9*J1107+'CAFCO 400 '!$L$10)*U1107^2)+(('CAFCO 400 '!$L$11*(J1107^3)+'CAFCO 400 '!$L$12*(J1107^2)+'CAFCO 400 '!$L$13*J1107+'CAFCO 400 '!$L$14)*U1107)+('CAFCO 400 '!$L$15*LN(J1107)+'CAFCO 400 '!$L$16)),0)+IF(AND(L1107="Cafco 400",M1107="Software Idiem",C1107="IN",G1107=3),((('CAFCO 400 '!$D$23*(J1107^2)+'CAFCO 400 '!$D$24*(J1107)+'CAFCO 400 '!$D$25)*U1107^2)+(('CAFCO 400 '!$D$26*(J1107^2)+'CAFCO 400 '!$D$27*J1107+'CAFCO 400 '!$D$28)*U1107)+('CAFCO 400 '!$D$29*(J1107^2)+'CAFCO 400 '!$D$30*J1107+'CAFCO 400 '!$D$31)),0),0)+IF(AND(L1107="Cafco 300",J1107&gt;=95,J1107&lt;=240,C1107="Cj",I1107=90),VLOOKUP(T1107,'CAFCO 300 IDIEM TABLAS'!$B$4:$D$23,2,FALSE),0)+IF(AND(L1107="Cafco 300",J1107&gt;=95,J1107&lt;=240,C1107="Cj",I1107=120),VLOOKUP(T1107,'CAFCO 300 IDIEM TABLAS'!$B$4:$D$23,3,FALSE),0)+IF(AND(L1107="Cafco 300",J1107&gt;=95,J1107&lt;=400,G1107=3,C1107="IN",I1107=90),VLOOKUP(T1107,'CAFCO 300 IDIEM TABLAS'!$F$4:$H$35,2,FALSE),0)+IF(AND(L1107="Cafco 300",J1107&gt;=95,J1107&lt;=400,G1107=3,C1107="IN",I1107=120),VLOOKUP(T1107,'CAFCO 300 IDIEM TABLAS'!$F$4:$H$35,3,FALSE),0)+IF(AND(L1107="Cafco 300",J1107&gt;=95,J1107&lt;=450,G1107=4,C1107="IN",I1107=90),VLOOKUP(T1107,'CAFCO 300 IDIEM TABLAS'!$J$4:$L$40,2,FALSE),0)+IF(AND(L1107="Cafco 300",J1107&gt;=95,J1107&lt;=450,G1107=4,C1107="IN",I1107=120),VLOOKUP(T1107,'CAFCO 300 IDIEM TABLAS'!$J$4:$L$40,3,FALSE),0)+IF(AND(M1107="Ensayo Idiem",L1107="Cafco 400",C1107="IN",G1107=4,I1107=90),VLOOKUP(T1107,'CAFCO 400 ENSAYO'!$B$7:$D$43,2,FALSE),0)+IF(AND(M1107="Ensayo Idiem",L1107="Cafco 400",C1107="IN",G1107=4,I1107=120),VLOOKUP(T1107,'CAFCO 400 ENSAYO'!$B$7:$D$43,3,FALSE),0)</f>
        <v>0</v>
      </c>
      <c r="O1107" s="96">
        <f t="shared" si="114"/>
        <v>0</v>
      </c>
      <c r="P1107" s="132" t="str">
        <f t="shared" si="109"/>
        <v>N/A</v>
      </c>
      <c r="Q1107" s="132" t="str">
        <f t="shared" si="110"/>
        <v>N/A</v>
      </c>
      <c r="R1107" s="132" t="str">
        <f t="shared" si="111"/>
        <v>NO CERT.</v>
      </c>
      <c r="S1107" s="132" t="e">
        <f t="shared" si="112"/>
        <v>#N/A</v>
      </c>
      <c r="T1107" s="133" t="e">
        <f>+IF(J1107=LOOKUP(J1107,'CAFCO 300 IDIEM TABLAS'!$J$4:$J$40),'CALCULO MORTERO'!J1107,MROUND('CALCULO MORTERO'!J1107,10))</f>
        <v>#N/A</v>
      </c>
      <c r="U1107" s="134">
        <f t="shared" si="113"/>
        <v>0</v>
      </c>
    </row>
    <row r="1108" spans="1:21" x14ac:dyDescent="0.25">
      <c r="A1108" s="118">
        <f>+CUBICACION!D1102</f>
        <v>0</v>
      </c>
      <c r="B1108" s="819">
        <f>+CUBICACION!E1102</f>
        <v>0</v>
      </c>
      <c r="C1108" s="675">
        <f>+CUBICACION!F1102</f>
        <v>0</v>
      </c>
      <c r="D1108" s="118"/>
      <c r="E1108" s="118"/>
      <c r="F1108" s="820"/>
      <c r="G1108" s="675">
        <f>+CUBICACION!J1102</f>
        <v>0</v>
      </c>
      <c r="H1108" s="118"/>
      <c r="I1108" s="821">
        <f>+CUBICACION!L1102</f>
        <v>0</v>
      </c>
      <c r="J1108" s="64">
        <f>+CUBICACION!M1102</f>
        <v>0</v>
      </c>
      <c r="K1108" s="822" t="str">
        <f>+CUBICACION!N1102</f>
        <v/>
      </c>
      <c r="L1108" s="118">
        <f>+CUBICACION!O1102</f>
        <v>0</v>
      </c>
      <c r="M1108" s="823">
        <f>+CUBICACION!P1102</f>
        <v>0</v>
      </c>
      <c r="N1108" s="902">
        <f>ROUND(IF(AND(L1108="Blaze Shield II",M1108="Software Idiem",C1108="IN",G1108=4),((('BLAZE SHIELD II'!$D$4*('CALCULO MORTERO'!I1108^2)+'BLAZE SHIELD II'!$D$5*'CALCULO MORTERO'!I1108+'BLAZE SHIELD II'!$D$6)*LN(J1108))+('BLAZE SHIELD II'!$D$7*('CALCULO MORTERO'!I1108^2)+'BLAZE SHIELD II'!$D$8*'CALCULO MORTERO'!I1108+'BLAZE SHIELD II'!$D$9)),0)+IF(AND(L1108="Blaze Shield II",M1108="Software Idiem",C1108="Cj"),((('BLAZE SHIELD II'!$H$4*('CALCULO MORTERO'!I1108^2)+'BLAZE SHIELD II'!$H$5*'CALCULO MORTERO'!I1108+'BLAZE SHIELD II'!$H$6)*LN(J1108))+('BLAZE SHIELD II'!$H$7*('CALCULO MORTERO'!I1108^2)+'BLAZE SHIELD II'!$H$8*'CALCULO MORTERO'!I1108+'BLAZE SHIELD II'!$H$9)),0)+IF(AND(L1108="Blaze Shield II",M1108="Software Idiem",C1108="C"),((('BLAZE SHIELD II'!$L$4*('CALCULO MORTERO'!I1108^2)+'BLAZE SHIELD II'!$L$5*'CALCULO MORTERO'!I1108+'BLAZE SHIELD II'!$L$6)*LN(J1108))+('BLAZE SHIELD II'!$L$7*('CALCULO MORTERO'!I1108^2)+'BLAZE SHIELD II'!$L$8*'CALCULO MORTERO'!I1108+'BLAZE SHIELD II'!$L$9)),0)+IF(AND(L1108="Blaze Shield II",M1108="Software Idiem",C1108="L"),((('BLAZE SHIELD II'!$L$4*('CALCULO MORTERO'!I1108^2)+'BLAZE SHIELD II'!$L$5*'CALCULO MORTERO'!I1108+'BLAZE SHIELD II'!$L$6)*LN(J1108))+('BLAZE SHIELD II'!$L$7*('CALCULO MORTERO'!I1108^2)+'BLAZE SHIELD II'!$L$8*'CALCULO MORTERO'!I1108+'BLAZE SHIELD II'!$L$9)),0)+IF(AND(L1108="Blaze Shield II",M1108="Software Idiem",C1108="IN",G1108=3),((('BLAZE SHIELD II'!$H$14*('CALCULO MORTERO'!I1108^2)+'BLAZE SHIELD II'!$H$15*'CALCULO MORTERO'!I1108+'BLAZE SHIELD II'!$H$16)*LN(J1108))+('BLAZE SHIELD II'!$H$17*('CALCULO MORTERO'!I1108^2)+'BLAZE SHIELD II'!$H$18*'CALCULO MORTERO'!I1108+'BLAZE SHIELD II'!$H$19)),0),0)+ROUND(IF(AND(L1108="Cafco 400",M1108="Software Idiem",C1108="IN",G1108=4),((('CAFCO 400 '!$H$7*(J1108^4)+'CAFCO 400 '!$H$8*(J1108^3)+'CAFCO 400 '!$H$9*(J1108^2)+'CAFCO 400 '!$H$10*J1108+'CAFCO 400 '!$H$11)*U1108^2)+(('CAFCO 400 '!$H$12*(J1108^3)+'CAFCO 400 '!$H$13*(J1108^2)+'CAFCO 400 '!$H$14*J1108+'CAFCO 400 '!$H$15)*U1108)+('CAFCO 400 '!$H$16*(J1108^2)+'CAFCO 400 '!$H$17*J1108+'CAFCO 400 '!$H$18)),0)+IF(AND(L1108="Cafco 400",M1108="Software Idiem",C1108="Cj"),(((('CAFCO 400 '!$D$7*LN(J1108)+'CAFCO 400 '!$D$8)*U1108^2)+(('CAFCO 400 '!$D$9*LN(J1108)+'CAFCO 400 '!$D$10)*U1108)+('CAFCO 400 '!$D$11*LN(J1108)+'CAFCO 400 '!$D$12))),0)+IF(AND(L1108="Cafco 400",M1108="Software Idiem",C1108="C"),((('CAFCO 400 '!$L$7*(J1108^3)+'CAFCO 400 '!$L$8*(J1108^2)+'CAFCO 400 '!$L$9*J1108+'CAFCO 400 '!$L$10)*U1108^2)+(('CAFCO 400 '!$L$11*(J1108^3)+'CAFCO 400 '!$L$12*(J1108^2)+'CAFCO 400 '!$L$13*J1108+'CAFCO 400 '!$L$14)*U1108)+('CAFCO 400 '!$L$15*LN(J1108)+'CAFCO 400 '!$L$16)),0)+IF(AND(L1108="Cafco 400",M1108="Software Idiem",C1108="L"),((('CAFCO 400 '!$L$7*(J1108^3)+'CAFCO 400 '!$L$8*(J1108^2)+'CAFCO 400 '!$L$9*J1108+'CAFCO 400 '!$L$10)*U1108^2)+(('CAFCO 400 '!$L$11*(J1108^3)+'CAFCO 400 '!$L$12*(J1108^2)+'CAFCO 400 '!$L$13*J1108+'CAFCO 400 '!$L$14)*U1108)+('CAFCO 400 '!$L$15*LN(J1108)+'CAFCO 400 '!$L$16)),0)+IF(AND(L1108="Cafco 400",M1108="Software Idiem",C1108="IN",G1108=3),((('CAFCO 400 '!$D$23*(J1108^2)+'CAFCO 400 '!$D$24*(J1108)+'CAFCO 400 '!$D$25)*U1108^2)+(('CAFCO 400 '!$D$26*(J1108^2)+'CAFCO 400 '!$D$27*J1108+'CAFCO 400 '!$D$28)*U1108)+('CAFCO 400 '!$D$29*(J1108^2)+'CAFCO 400 '!$D$30*J1108+'CAFCO 400 '!$D$31)),0),0)+IF(AND(L1108="Cafco 300",J1108&gt;=95,J1108&lt;=240,C1108="Cj",I1108=90),VLOOKUP(T1108,'CAFCO 300 IDIEM TABLAS'!$B$4:$D$23,2,FALSE),0)+IF(AND(L1108="Cafco 300",J1108&gt;=95,J1108&lt;=240,C1108="Cj",I1108=120),VLOOKUP(T1108,'CAFCO 300 IDIEM TABLAS'!$B$4:$D$23,3,FALSE),0)+IF(AND(L1108="Cafco 300",J1108&gt;=95,J1108&lt;=400,G1108=3,C1108="IN",I1108=90),VLOOKUP(T1108,'CAFCO 300 IDIEM TABLAS'!$F$4:$H$35,2,FALSE),0)+IF(AND(L1108="Cafco 300",J1108&gt;=95,J1108&lt;=400,G1108=3,C1108="IN",I1108=120),VLOOKUP(T1108,'CAFCO 300 IDIEM TABLAS'!$F$4:$H$35,3,FALSE),0)+IF(AND(L1108="Cafco 300",J1108&gt;=95,J1108&lt;=450,G1108=4,C1108="IN",I1108=90),VLOOKUP(T1108,'CAFCO 300 IDIEM TABLAS'!$J$4:$L$40,2,FALSE),0)+IF(AND(L1108="Cafco 300",J1108&gt;=95,J1108&lt;=450,G1108=4,C1108="IN",I1108=120),VLOOKUP(T1108,'CAFCO 300 IDIEM TABLAS'!$J$4:$L$40,3,FALSE),0)+IF(AND(M1108="Ensayo Idiem",L1108="Cafco 400",C1108="IN",G1108=4,I1108=90),VLOOKUP(T1108,'CAFCO 400 ENSAYO'!$B$7:$D$43,2,FALSE),0)+IF(AND(M1108="Ensayo Idiem",L1108="Cafco 400",C1108="IN",G1108=4,I1108=120),VLOOKUP(T1108,'CAFCO 400 ENSAYO'!$B$7:$D$43,3,FALSE),0)</f>
        <v>0</v>
      </c>
      <c r="O1108" s="96">
        <f t="shared" si="114"/>
        <v>0</v>
      </c>
      <c r="P1108" s="95" t="str">
        <f t="shared" si="109"/>
        <v>N/A</v>
      </c>
      <c r="Q1108" s="95" t="str">
        <f t="shared" si="110"/>
        <v>N/A</v>
      </c>
      <c r="R1108" s="95" t="str">
        <f t="shared" si="111"/>
        <v>NO CERT.</v>
      </c>
      <c r="S1108" s="95" t="e">
        <f t="shared" si="112"/>
        <v>#N/A</v>
      </c>
      <c r="T1108" s="119" t="e">
        <f>+IF(J1108=LOOKUP(J1108,'CAFCO 300 IDIEM TABLAS'!$J$4:$J$40),'CALCULO MORTERO'!J1108,MROUND('CALCULO MORTERO'!J1108,10))</f>
        <v>#N/A</v>
      </c>
      <c r="U1108" s="118">
        <f t="shared" si="113"/>
        <v>0</v>
      </c>
    </row>
    <row r="1109" spans="1:21" x14ac:dyDescent="0.25">
      <c r="A1109" s="118">
        <f>+CUBICACION!D1103</f>
        <v>0</v>
      </c>
      <c r="B1109" s="819">
        <f>+CUBICACION!E1103</f>
        <v>0</v>
      </c>
      <c r="C1109" s="675">
        <f>+CUBICACION!F1103</f>
        <v>0</v>
      </c>
      <c r="D1109" s="118"/>
      <c r="E1109" s="118"/>
      <c r="F1109" s="820"/>
      <c r="G1109" s="675">
        <f>+CUBICACION!J1103</f>
        <v>0</v>
      </c>
      <c r="H1109" s="118"/>
      <c r="I1109" s="821">
        <f>+CUBICACION!L1103</f>
        <v>0</v>
      </c>
      <c r="J1109" s="64">
        <f>+CUBICACION!M1103</f>
        <v>0</v>
      </c>
      <c r="K1109" s="822" t="str">
        <f>+CUBICACION!N1103</f>
        <v/>
      </c>
      <c r="L1109" s="118">
        <f>+CUBICACION!O1103</f>
        <v>0</v>
      </c>
      <c r="M1109" s="823">
        <f>+CUBICACION!P1103</f>
        <v>0</v>
      </c>
      <c r="N1109" s="902">
        <f>ROUND(IF(AND(L1109="Blaze Shield II",M1109="Software Idiem",C1109="IN",G1109=4),((('BLAZE SHIELD II'!$D$4*('CALCULO MORTERO'!I1109^2)+'BLAZE SHIELD II'!$D$5*'CALCULO MORTERO'!I1109+'BLAZE SHIELD II'!$D$6)*LN(J1109))+('BLAZE SHIELD II'!$D$7*('CALCULO MORTERO'!I1109^2)+'BLAZE SHIELD II'!$D$8*'CALCULO MORTERO'!I1109+'BLAZE SHIELD II'!$D$9)),0)+IF(AND(L1109="Blaze Shield II",M1109="Software Idiem",C1109="Cj"),((('BLAZE SHIELD II'!$H$4*('CALCULO MORTERO'!I1109^2)+'BLAZE SHIELD II'!$H$5*'CALCULO MORTERO'!I1109+'BLAZE SHIELD II'!$H$6)*LN(J1109))+('BLAZE SHIELD II'!$H$7*('CALCULO MORTERO'!I1109^2)+'BLAZE SHIELD II'!$H$8*'CALCULO MORTERO'!I1109+'BLAZE SHIELD II'!$H$9)),0)+IF(AND(L1109="Blaze Shield II",M1109="Software Idiem",C1109="C"),((('BLAZE SHIELD II'!$L$4*('CALCULO MORTERO'!I1109^2)+'BLAZE SHIELD II'!$L$5*'CALCULO MORTERO'!I1109+'BLAZE SHIELD II'!$L$6)*LN(J1109))+('BLAZE SHIELD II'!$L$7*('CALCULO MORTERO'!I1109^2)+'BLAZE SHIELD II'!$L$8*'CALCULO MORTERO'!I1109+'BLAZE SHIELD II'!$L$9)),0)+IF(AND(L1109="Blaze Shield II",M1109="Software Idiem",C1109="L"),((('BLAZE SHIELD II'!$L$4*('CALCULO MORTERO'!I1109^2)+'BLAZE SHIELD II'!$L$5*'CALCULO MORTERO'!I1109+'BLAZE SHIELD II'!$L$6)*LN(J1109))+('BLAZE SHIELD II'!$L$7*('CALCULO MORTERO'!I1109^2)+'BLAZE SHIELD II'!$L$8*'CALCULO MORTERO'!I1109+'BLAZE SHIELD II'!$L$9)),0)+IF(AND(L1109="Blaze Shield II",M1109="Software Idiem",C1109="IN",G1109=3),((('BLAZE SHIELD II'!$H$14*('CALCULO MORTERO'!I1109^2)+'BLAZE SHIELD II'!$H$15*'CALCULO MORTERO'!I1109+'BLAZE SHIELD II'!$H$16)*LN(J1109))+('BLAZE SHIELD II'!$H$17*('CALCULO MORTERO'!I1109^2)+'BLAZE SHIELD II'!$H$18*'CALCULO MORTERO'!I1109+'BLAZE SHIELD II'!$H$19)),0),0)+ROUND(IF(AND(L1109="Cafco 400",M1109="Software Idiem",C1109="IN",G1109=4),((('CAFCO 400 '!$H$7*(J1109^4)+'CAFCO 400 '!$H$8*(J1109^3)+'CAFCO 400 '!$H$9*(J1109^2)+'CAFCO 400 '!$H$10*J1109+'CAFCO 400 '!$H$11)*U1109^2)+(('CAFCO 400 '!$H$12*(J1109^3)+'CAFCO 400 '!$H$13*(J1109^2)+'CAFCO 400 '!$H$14*J1109+'CAFCO 400 '!$H$15)*U1109)+('CAFCO 400 '!$H$16*(J1109^2)+'CAFCO 400 '!$H$17*J1109+'CAFCO 400 '!$H$18)),0)+IF(AND(L1109="Cafco 400",M1109="Software Idiem",C1109="Cj"),(((('CAFCO 400 '!$D$7*LN(J1109)+'CAFCO 400 '!$D$8)*U1109^2)+(('CAFCO 400 '!$D$9*LN(J1109)+'CAFCO 400 '!$D$10)*U1109)+('CAFCO 400 '!$D$11*LN(J1109)+'CAFCO 400 '!$D$12))),0)+IF(AND(L1109="Cafco 400",M1109="Software Idiem",C1109="C"),((('CAFCO 400 '!$L$7*(J1109^3)+'CAFCO 400 '!$L$8*(J1109^2)+'CAFCO 400 '!$L$9*J1109+'CAFCO 400 '!$L$10)*U1109^2)+(('CAFCO 400 '!$L$11*(J1109^3)+'CAFCO 400 '!$L$12*(J1109^2)+'CAFCO 400 '!$L$13*J1109+'CAFCO 400 '!$L$14)*U1109)+('CAFCO 400 '!$L$15*LN(J1109)+'CAFCO 400 '!$L$16)),0)+IF(AND(L1109="Cafco 400",M1109="Software Idiem",C1109="L"),((('CAFCO 400 '!$L$7*(J1109^3)+'CAFCO 400 '!$L$8*(J1109^2)+'CAFCO 400 '!$L$9*J1109+'CAFCO 400 '!$L$10)*U1109^2)+(('CAFCO 400 '!$L$11*(J1109^3)+'CAFCO 400 '!$L$12*(J1109^2)+'CAFCO 400 '!$L$13*J1109+'CAFCO 400 '!$L$14)*U1109)+('CAFCO 400 '!$L$15*LN(J1109)+'CAFCO 400 '!$L$16)),0)+IF(AND(L1109="Cafco 400",M1109="Software Idiem",C1109="IN",G1109=3),((('CAFCO 400 '!$D$23*(J1109^2)+'CAFCO 400 '!$D$24*(J1109)+'CAFCO 400 '!$D$25)*U1109^2)+(('CAFCO 400 '!$D$26*(J1109^2)+'CAFCO 400 '!$D$27*J1109+'CAFCO 400 '!$D$28)*U1109)+('CAFCO 400 '!$D$29*(J1109^2)+'CAFCO 400 '!$D$30*J1109+'CAFCO 400 '!$D$31)),0),0)+IF(AND(L1109="Cafco 300",J1109&gt;=95,J1109&lt;=240,C1109="Cj",I1109=90),VLOOKUP(T1109,'CAFCO 300 IDIEM TABLAS'!$B$4:$D$23,2,FALSE),0)+IF(AND(L1109="Cafco 300",J1109&gt;=95,J1109&lt;=240,C1109="Cj",I1109=120),VLOOKUP(T1109,'CAFCO 300 IDIEM TABLAS'!$B$4:$D$23,3,FALSE),0)+IF(AND(L1109="Cafco 300",J1109&gt;=95,J1109&lt;=400,G1109=3,C1109="IN",I1109=90),VLOOKUP(T1109,'CAFCO 300 IDIEM TABLAS'!$F$4:$H$35,2,FALSE),0)+IF(AND(L1109="Cafco 300",J1109&gt;=95,J1109&lt;=400,G1109=3,C1109="IN",I1109=120),VLOOKUP(T1109,'CAFCO 300 IDIEM TABLAS'!$F$4:$H$35,3,FALSE),0)+IF(AND(L1109="Cafco 300",J1109&gt;=95,J1109&lt;=450,G1109=4,C1109="IN",I1109=90),VLOOKUP(T1109,'CAFCO 300 IDIEM TABLAS'!$J$4:$L$40,2,FALSE),0)+IF(AND(L1109="Cafco 300",J1109&gt;=95,J1109&lt;=450,G1109=4,C1109="IN",I1109=120),VLOOKUP(T1109,'CAFCO 300 IDIEM TABLAS'!$J$4:$L$40,3,FALSE),0)+IF(AND(M1109="Ensayo Idiem",L1109="Cafco 400",C1109="IN",G1109=4,I1109=90),VLOOKUP(T1109,'CAFCO 400 ENSAYO'!$B$7:$D$43,2,FALSE),0)+IF(AND(M1109="Ensayo Idiem",L1109="Cafco 400",C1109="IN",G1109=4,I1109=120),VLOOKUP(T1109,'CAFCO 400 ENSAYO'!$B$7:$D$43,3,FALSE),0)</f>
        <v>0</v>
      </c>
      <c r="O1109" s="96">
        <f t="shared" si="114"/>
        <v>0</v>
      </c>
      <c r="P1109" s="132" t="str">
        <f t="shared" si="109"/>
        <v>N/A</v>
      </c>
      <c r="Q1109" s="132" t="str">
        <f t="shared" si="110"/>
        <v>N/A</v>
      </c>
      <c r="R1109" s="132" t="str">
        <f t="shared" si="111"/>
        <v>NO CERT.</v>
      </c>
      <c r="S1109" s="132" t="e">
        <f t="shared" si="112"/>
        <v>#N/A</v>
      </c>
      <c r="T1109" s="133" t="e">
        <f>+IF(J1109=LOOKUP(J1109,'CAFCO 300 IDIEM TABLAS'!$J$4:$J$40),'CALCULO MORTERO'!J1109,MROUND('CALCULO MORTERO'!J1109,10))</f>
        <v>#N/A</v>
      </c>
      <c r="U1109" s="134">
        <f t="shared" si="113"/>
        <v>0</v>
      </c>
    </row>
    <row r="1110" spans="1:21" x14ac:dyDescent="0.25">
      <c r="A1110" s="118">
        <f>+CUBICACION!D1104</f>
        <v>0</v>
      </c>
      <c r="B1110" s="819">
        <f>+CUBICACION!E1104</f>
        <v>0</v>
      </c>
      <c r="C1110" s="675">
        <f>+CUBICACION!F1104</f>
        <v>0</v>
      </c>
      <c r="D1110" s="118"/>
      <c r="E1110" s="118"/>
      <c r="F1110" s="820"/>
      <c r="G1110" s="675">
        <f>+CUBICACION!J1104</f>
        <v>0</v>
      </c>
      <c r="H1110" s="118"/>
      <c r="I1110" s="821">
        <f>+CUBICACION!L1104</f>
        <v>0</v>
      </c>
      <c r="J1110" s="64">
        <f>+CUBICACION!M1104</f>
        <v>0</v>
      </c>
      <c r="K1110" s="822" t="str">
        <f>+CUBICACION!N1104</f>
        <v/>
      </c>
      <c r="L1110" s="118">
        <f>+CUBICACION!O1104</f>
        <v>0</v>
      </c>
      <c r="M1110" s="823">
        <f>+CUBICACION!P1104</f>
        <v>0</v>
      </c>
      <c r="N1110" s="902">
        <f>ROUND(IF(AND(L1110="Blaze Shield II",M1110="Software Idiem",C1110="IN",G1110=4),((('BLAZE SHIELD II'!$D$4*('CALCULO MORTERO'!I1110^2)+'BLAZE SHIELD II'!$D$5*'CALCULO MORTERO'!I1110+'BLAZE SHIELD II'!$D$6)*LN(J1110))+('BLAZE SHIELD II'!$D$7*('CALCULO MORTERO'!I1110^2)+'BLAZE SHIELD II'!$D$8*'CALCULO MORTERO'!I1110+'BLAZE SHIELD II'!$D$9)),0)+IF(AND(L1110="Blaze Shield II",M1110="Software Idiem",C1110="Cj"),((('BLAZE SHIELD II'!$H$4*('CALCULO MORTERO'!I1110^2)+'BLAZE SHIELD II'!$H$5*'CALCULO MORTERO'!I1110+'BLAZE SHIELD II'!$H$6)*LN(J1110))+('BLAZE SHIELD II'!$H$7*('CALCULO MORTERO'!I1110^2)+'BLAZE SHIELD II'!$H$8*'CALCULO MORTERO'!I1110+'BLAZE SHIELD II'!$H$9)),0)+IF(AND(L1110="Blaze Shield II",M1110="Software Idiem",C1110="C"),((('BLAZE SHIELD II'!$L$4*('CALCULO MORTERO'!I1110^2)+'BLAZE SHIELD II'!$L$5*'CALCULO MORTERO'!I1110+'BLAZE SHIELD II'!$L$6)*LN(J1110))+('BLAZE SHIELD II'!$L$7*('CALCULO MORTERO'!I1110^2)+'BLAZE SHIELD II'!$L$8*'CALCULO MORTERO'!I1110+'BLAZE SHIELD II'!$L$9)),0)+IF(AND(L1110="Blaze Shield II",M1110="Software Idiem",C1110="L"),((('BLAZE SHIELD II'!$L$4*('CALCULO MORTERO'!I1110^2)+'BLAZE SHIELD II'!$L$5*'CALCULO MORTERO'!I1110+'BLAZE SHIELD II'!$L$6)*LN(J1110))+('BLAZE SHIELD II'!$L$7*('CALCULO MORTERO'!I1110^2)+'BLAZE SHIELD II'!$L$8*'CALCULO MORTERO'!I1110+'BLAZE SHIELD II'!$L$9)),0)+IF(AND(L1110="Blaze Shield II",M1110="Software Idiem",C1110="IN",G1110=3),((('BLAZE SHIELD II'!$H$14*('CALCULO MORTERO'!I1110^2)+'BLAZE SHIELD II'!$H$15*'CALCULO MORTERO'!I1110+'BLAZE SHIELD II'!$H$16)*LN(J1110))+('BLAZE SHIELD II'!$H$17*('CALCULO MORTERO'!I1110^2)+'BLAZE SHIELD II'!$H$18*'CALCULO MORTERO'!I1110+'BLAZE SHIELD II'!$H$19)),0),0)+ROUND(IF(AND(L1110="Cafco 400",M1110="Software Idiem",C1110="IN",G1110=4),((('CAFCO 400 '!$H$7*(J1110^4)+'CAFCO 400 '!$H$8*(J1110^3)+'CAFCO 400 '!$H$9*(J1110^2)+'CAFCO 400 '!$H$10*J1110+'CAFCO 400 '!$H$11)*U1110^2)+(('CAFCO 400 '!$H$12*(J1110^3)+'CAFCO 400 '!$H$13*(J1110^2)+'CAFCO 400 '!$H$14*J1110+'CAFCO 400 '!$H$15)*U1110)+('CAFCO 400 '!$H$16*(J1110^2)+'CAFCO 400 '!$H$17*J1110+'CAFCO 400 '!$H$18)),0)+IF(AND(L1110="Cafco 400",M1110="Software Idiem",C1110="Cj"),(((('CAFCO 400 '!$D$7*LN(J1110)+'CAFCO 400 '!$D$8)*U1110^2)+(('CAFCO 400 '!$D$9*LN(J1110)+'CAFCO 400 '!$D$10)*U1110)+('CAFCO 400 '!$D$11*LN(J1110)+'CAFCO 400 '!$D$12))),0)+IF(AND(L1110="Cafco 400",M1110="Software Idiem",C1110="C"),((('CAFCO 400 '!$L$7*(J1110^3)+'CAFCO 400 '!$L$8*(J1110^2)+'CAFCO 400 '!$L$9*J1110+'CAFCO 400 '!$L$10)*U1110^2)+(('CAFCO 400 '!$L$11*(J1110^3)+'CAFCO 400 '!$L$12*(J1110^2)+'CAFCO 400 '!$L$13*J1110+'CAFCO 400 '!$L$14)*U1110)+('CAFCO 400 '!$L$15*LN(J1110)+'CAFCO 400 '!$L$16)),0)+IF(AND(L1110="Cafco 400",M1110="Software Idiem",C1110="L"),((('CAFCO 400 '!$L$7*(J1110^3)+'CAFCO 400 '!$L$8*(J1110^2)+'CAFCO 400 '!$L$9*J1110+'CAFCO 400 '!$L$10)*U1110^2)+(('CAFCO 400 '!$L$11*(J1110^3)+'CAFCO 400 '!$L$12*(J1110^2)+'CAFCO 400 '!$L$13*J1110+'CAFCO 400 '!$L$14)*U1110)+('CAFCO 400 '!$L$15*LN(J1110)+'CAFCO 400 '!$L$16)),0)+IF(AND(L1110="Cafco 400",M1110="Software Idiem",C1110="IN",G1110=3),((('CAFCO 400 '!$D$23*(J1110^2)+'CAFCO 400 '!$D$24*(J1110)+'CAFCO 400 '!$D$25)*U1110^2)+(('CAFCO 400 '!$D$26*(J1110^2)+'CAFCO 400 '!$D$27*J1110+'CAFCO 400 '!$D$28)*U1110)+('CAFCO 400 '!$D$29*(J1110^2)+'CAFCO 400 '!$D$30*J1110+'CAFCO 400 '!$D$31)),0),0)+IF(AND(L1110="Cafco 300",J1110&gt;=95,J1110&lt;=240,C1110="Cj",I1110=90),VLOOKUP(T1110,'CAFCO 300 IDIEM TABLAS'!$B$4:$D$23,2,FALSE),0)+IF(AND(L1110="Cafco 300",J1110&gt;=95,J1110&lt;=240,C1110="Cj",I1110=120),VLOOKUP(T1110,'CAFCO 300 IDIEM TABLAS'!$B$4:$D$23,3,FALSE),0)+IF(AND(L1110="Cafco 300",J1110&gt;=95,J1110&lt;=400,G1110=3,C1110="IN",I1110=90),VLOOKUP(T1110,'CAFCO 300 IDIEM TABLAS'!$F$4:$H$35,2,FALSE),0)+IF(AND(L1110="Cafco 300",J1110&gt;=95,J1110&lt;=400,G1110=3,C1110="IN",I1110=120),VLOOKUP(T1110,'CAFCO 300 IDIEM TABLAS'!$F$4:$H$35,3,FALSE),0)+IF(AND(L1110="Cafco 300",J1110&gt;=95,J1110&lt;=450,G1110=4,C1110="IN",I1110=90),VLOOKUP(T1110,'CAFCO 300 IDIEM TABLAS'!$J$4:$L$40,2,FALSE),0)+IF(AND(L1110="Cafco 300",J1110&gt;=95,J1110&lt;=450,G1110=4,C1110="IN",I1110=120),VLOOKUP(T1110,'CAFCO 300 IDIEM TABLAS'!$J$4:$L$40,3,FALSE),0)+IF(AND(M1110="Ensayo Idiem",L1110="Cafco 400",C1110="IN",G1110=4,I1110=90),VLOOKUP(T1110,'CAFCO 400 ENSAYO'!$B$7:$D$43,2,FALSE),0)+IF(AND(M1110="Ensayo Idiem",L1110="Cafco 400",C1110="IN",G1110=4,I1110=120),VLOOKUP(T1110,'CAFCO 400 ENSAYO'!$B$7:$D$43,3,FALSE),0)</f>
        <v>0</v>
      </c>
      <c r="O1110" s="96">
        <f t="shared" si="114"/>
        <v>0</v>
      </c>
      <c r="P1110" s="95" t="str">
        <f t="shared" si="109"/>
        <v>N/A</v>
      </c>
      <c r="Q1110" s="95" t="str">
        <f t="shared" si="110"/>
        <v>N/A</v>
      </c>
      <c r="R1110" s="95" t="str">
        <f t="shared" si="111"/>
        <v>NO CERT.</v>
      </c>
      <c r="S1110" s="95" t="e">
        <f t="shared" si="112"/>
        <v>#N/A</v>
      </c>
      <c r="T1110" s="119" t="e">
        <f>+IF(J1110=LOOKUP(J1110,'CAFCO 300 IDIEM TABLAS'!$J$4:$J$40),'CALCULO MORTERO'!J1110,MROUND('CALCULO MORTERO'!J1110,10))</f>
        <v>#N/A</v>
      </c>
      <c r="U1110" s="118">
        <f t="shared" si="113"/>
        <v>0</v>
      </c>
    </row>
    <row r="1111" spans="1:21" x14ac:dyDescent="0.25">
      <c r="A1111" s="118">
        <f>+CUBICACION!D1105</f>
        <v>0</v>
      </c>
      <c r="B1111" s="819">
        <f>+CUBICACION!E1105</f>
        <v>0</v>
      </c>
      <c r="C1111" s="675">
        <f>+CUBICACION!F1105</f>
        <v>0</v>
      </c>
      <c r="D1111" s="118"/>
      <c r="E1111" s="118"/>
      <c r="F1111" s="820"/>
      <c r="G1111" s="675">
        <f>+CUBICACION!J1105</f>
        <v>0</v>
      </c>
      <c r="H1111" s="118"/>
      <c r="I1111" s="821">
        <f>+CUBICACION!L1105</f>
        <v>0</v>
      </c>
      <c r="J1111" s="64">
        <f>+CUBICACION!M1105</f>
        <v>0</v>
      </c>
      <c r="K1111" s="822" t="str">
        <f>+CUBICACION!N1105</f>
        <v/>
      </c>
      <c r="L1111" s="118">
        <f>+CUBICACION!O1105</f>
        <v>0</v>
      </c>
      <c r="M1111" s="823">
        <f>+CUBICACION!P1105</f>
        <v>0</v>
      </c>
      <c r="N1111" s="902">
        <f>ROUND(IF(AND(L1111="Blaze Shield II",M1111="Software Idiem",C1111="IN",G1111=4),((('BLAZE SHIELD II'!$D$4*('CALCULO MORTERO'!I1111^2)+'BLAZE SHIELD II'!$D$5*'CALCULO MORTERO'!I1111+'BLAZE SHIELD II'!$D$6)*LN(J1111))+('BLAZE SHIELD II'!$D$7*('CALCULO MORTERO'!I1111^2)+'BLAZE SHIELD II'!$D$8*'CALCULO MORTERO'!I1111+'BLAZE SHIELD II'!$D$9)),0)+IF(AND(L1111="Blaze Shield II",M1111="Software Idiem",C1111="Cj"),((('BLAZE SHIELD II'!$H$4*('CALCULO MORTERO'!I1111^2)+'BLAZE SHIELD II'!$H$5*'CALCULO MORTERO'!I1111+'BLAZE SHIELD II'!$H$6)*LN(J1111))+('BLAZE SHIELD II'!$H$7*('CALCULO MORTERO'!I1111^2)+'BLAZE SHIELD II'!$H$8*'CALCULO MORTERO'!I1111+'BLAZE SHIELD II'!$H$9)),0)+IF(AND(L1111="Blaze Shield II",M1111="Software Idiem",C1111="C"),((('BLAZE SHIELD II'!$L$4*('CALCULO MORTERO'!I1111^2)+'BLAZE SHIELD II'!$L$5*'CALCULO MORTERO'!I1111+'BLAZE SHIELD II'!$L$6)*LN(J1111))+('BLAZE SHIELD II'!$L$7*('CALCULO MORTERO'!I1111^2)+'BLAZE SHIELD II'!$L$8*'CALCULO MORTERO'!I1111+'BLAZE SHIELD II'!$L$9)),0)+IF(AND(L1111="Blaze Shield II",M1111="Software Idiem",C1111="L"),((('BLAZE SHIELD II'!$L$4*('CALCULO MORTERO'!I1111^2)+'BLAZE SHIELD II'!$L$5*'CALCULO MORTERO'!I1111+'BLAZE SHIELD II'!$L$6)*LN(J1111))+('BLAZE SHIELD II'!$L$7*('CALCULO MORTERO'!I1111^2)+'BLAZE SHIELD II'!$L$8*'CALCULO MORTERO'!I1111+'BLAZE SHIELD II'!$L$9)),0)+IF(AND(L1111="Blaze Shield II",M1111="Software Idiem",C1111="IN",G1111=3),((('BLAZE SHIELD II'!$H$14*('CALCULO MORTERO'!I1111^2)+'BLAZE SHIELD II'!$H$15*'CALCULO MORTERO'!I1111+'BLAZE SHIELD II'!$H$16)*LN(J1111))+('BLAZE SHIELD II'!$H$17*('CALCULO MORTERO'!I1111^2)+'BLAZE SHIELD II'!$H$18*'CALCULO MORTERO'!I1111+'BLAZE SHIELD II'!$H$19)),0),0)+ROUND(IF(AND(L1111="Cafco 400",M1111="Software Idiem",C1111="IN",G1111=4),((('CAFCO 400 '!$H$7*(J1111^4)+'CAFCO 400 '!$H$8*(J1111^3)+'CAFCO 400 '!$H$9*(J1111^2)+'CAFCO 400 '!$H$10*J1111+'CAFCO 400 '!$H$11)*U1111^2)+(('CAFCO 400 '!$H$12*(J1111^3)+'CAFCO 400 '!$H$13*(J1111^2)+'CAFCO 400 '!$H$14*J1111+'CAFCO 400 '!$H$15)*U1111)+('CAFCO 400 '!$H$16*(J1111^2)+'CAFCO 400 '!$H$17*J1111+'CAFCO 400 '!$H$18)),0)+IF(AND(L1111="Cafco 400",M1111="Software Idiem",C1111="Cj"),(((('CAFCO 400 '!$D$7*LN(J1111)+'CAFCO 400 '!$D$8)*U1111^2)+(('CAFCO 400 '!$D$9*LN(J1111)+'CAFCO 400 '!$D$10)*U1111)+('CAFCO 400 '!$D$11*LN(J1111)+'CAFCO 400 '!$D$12))),0)+IF(AND(L1111="Cafco 400",M1111="Software Idiem",C1111="C"),((('CAFCO 400 '!$L$7*(J1111^3)+'CAFCO 400 '!$L$8*(J1111^2)+'CAFCO 400 '!$L$9*J1111+'CAFCO 400 '!$L$10)*U1111^2)+(('CAFCO 400 '!$L$11*(J1111^3)+'CAFCO 400 '!$L$12*(J1111^2)+'CAFCO 400 '!$L$13*J1111+'CAFCO 400 '!$L$14)*U1111)+('CAFCO 400 '!$L$15*LN(J1111)+'CAFCO 400 '!$L$16)),0)+IF(AND(L1111="Cafco 400",M1111="Software Idiem",C1111="L"),((('CAFCO 400 '!$L$7*(J1111^3)+'CAFCO 400 '!$L$8*(J1111^2)+'CAFCO 400 '!$L$9*J1111+'CAFCO 400 '!$L$10)*U1111^2)+(('CAFCO 400 '!$L$11*(J1111^3)+'CAFCO 400 '!$L$12*(J1111^2)+'CAFCO 400 '!$L$13*J1111+'CAFCO 400 '!$L$14)*U1111)+('CAFCO 400 '!$L$15*LN(J1111)+'CAFCO 400 '!$L$16)),0)+IF(AND(L1111="Cafco 400",M1111="Software Idiem",C1111="IN",G1111=3),((('CAFCO 400 '!$D$23*(J1111^2)+'CAFCO 400 '!$D$24*(J1111)+'CAFCO 400 '!$D$25)*U1111^2)+(('CAFCO 400 '!$D$26*(J1111^2)+'CAFCO 400 '!$D$27*J1111+'CAFCO 400 '!$D$28)*U1111)+('CAFCO 400 '!$D$29*(J1111^2)+'CAFCO 400 '!$D$30*J1111+'CAFCO 400 '!$D$31)),0),0)+IF(AND(L1111="Cafco 300",J1111&gt;=95,J1111&lt;=240,C1111="Cj",I1111=90),VLOOKUP(T1111,'CAFCO 300 IDIEM TABLAS'!$B$4:$D$23,2,FALSE),0)+IF(AND(L1111="Cafco 300",J1111&gt;=95,J1111&lt;=240,C1111="Cj",I1111=120),VLOOKUP(T1111,'CAFCO 300 IDIEM TABLAS'!$B$4:$D$23,3,FALSE),0)+IF(AND(L1111="Cafco 300",J1111&gt;=95,J1111&lt;=400,G1111=3,C1111="IN",I1111=90),VLOOKUP(T1111,'CAFCO 300 IDIEM TABLAS'!$F$4:$H$35,2,FALSE),0)+IF(AND(L1111="Cafco 300",J1111&gt;=95,J1111&lt;=400,G1111=3,C1111="IN",I1111=120),VLOOKUP(T1111,'CAFCO 300 IDIEM TABLAS'!$F$4:$H$35,3,FALSE),0)+IF(AND(L1111="Cafco 300",J1111&gt;=95,J1111&lt;=450,G1111=4,C1111="IN",I1111=90),VLOOKUP(T1111,'CAFCO 300 IDIEM TABLAS'!$J$4:$L$40,2,FALSE),0)+IF(AND(L1111="Cafco 300",J1111&gt;=95,J1111&lt;=450,G1111=4,C1111="IN",I1111=120),VLOOKUP(T1111,'CAFCO 300 IDIEM TABLAS'!$J$4:$L$40,3,FALSE),0)+IF(AND(M1111="Ensayo Idiem",L1111="Cafco 400",C1111="IN",G1111=4,I1111=90),VLOOKUP(T1111,'CAFCO 400 ENSAYO'!$B$7:$D$43,2,FALSE),0)+IF(AND(M1111="Ensayo Idiem",L1111="Cafco 400",C1111="IN",G1111=4,I1111=120),VLOOKUP(T1111,'CAFCO 400 ENSAYO'!$B$7:$D$43,3,FALSE),0)</f>
        <v>0</v>
      </c>
      <c r="O1111" s="96">
        <f t="shared" si="114"/>
        <v>0</v>
      </c>
      <c r="P1111" s="132" t="str">
        <f t="shared" si="109"/>
        <v>N/A</v>
      </c>
      <c r="Q1111" s="132" t="str">
        <f t="shared" si="110"/>
        <v>N/A</v>
      </c>
      <c r="R1111" s="132" t="str">
        <f t="shared" si="111"/>
        <v>NO CERT.</v>
      </c>
      <c r="S1111" s="132" t="e">
        <f t="shared" si="112"/>
        <v>#N/A</v>
      </c>
      <c r="T1111" s="133" t="e">
        <f>+IF(J1111=LOOKUP(J1111,'CAFCO 300 IDIEM TABLAS'!$J$4:$J$40),'CALCULO MORTERO'!J1111,MROUND('CALCULO MORTERO'!J1111,10))</f>
        <v>#N/A</v>
      </c>
      <c r="U1111" s="134">
        <f t="shared" si="113"/>
        <v>0</v>
      </c>
    </row>
    <row r="1112" spans="1:21" x14ac:dyDescent="0.25">
      <c r="A1112" s="118">
        <f>+CUBICACION!D1106</f>
        <v>0</v>
      </c>
      <c r="B1112" s="819">
        <f>+CUBICACION!E1106</f>
        <v>0</v>
      </c>
      <c r="C1112" s="675">
        <f>+CUBICACION!F1106</f>
        <v>0</v>
      </c>
      <c r="D1112" s="118"/>
      <c r="E1112" s="118"/>
      <c r="F1112" s="820"/>
      <c r="G1112" s="675">
        <f>+CUBICACION!J1106</f>
        <v>0</v>
      </c>
      <c r="H1112" s="118"/>
      <c r="I1112" s="821">
        <f>+CUBICACION!L1106</f>
        <v>0</v>
      </c>
      <c r="J1112" s="64">
        <f>+CUBICACION!M1106</f>
        <v>0</v>
      </c>
      <c r="K1112" s="822" t="str">
        <f>+CUBICACION!N1106</f>
        <v/>
      </c>
      <c r="L1112" s="118">
        <f>+CUBICACION!O1106</f>
        <v>0</v>
      </c>
      <c r="M1112" s="823">
        <f>+CUBICACION!P1106</f>
        <v>0</v>
      </c>
      <c r="N1112" s="902">
        <f>ROUND(IF(AND(L1112="Blaze Shield II",M1112="Software Idiem",C1112="IN",G1112=4),((('BLAZE SHIELD II'!$D$4*('CALCULO MORTERO'!I1112^2)+'BLAZE SHIELD II'!$D$5*'CALCULO MORTERO'!I1112+'BLAZE SHIELD II'!$D$6)*LN(J1112))+('BLAZE SHIELD II'!$D$7*('CALCULO MORTERO'!I1112^2)+'BLAZE SHIELD II'!$D$8*'CALCULO MORTERO'!I1112+'BLAZE SHIELD II'!$D$9)),0)+IF(AND(L1112="Blaze Shield II",M1112="Software Idiem",C1112="Cj"),((('BLAZE SHIELD II'!$H$4*('CALCULO MORTERO'!I1112^2)+'BLAZE SHIELD II'!$H$5*'CALCULO MORTERO'!I1112+'BLAZE SHIELD II'!$H$6)*LN(J1112))+('BLAZE SHIELD II'!$H$7*('CALCULO MORTERO'!I1112^2)+'BLAZE SHIELD II'!$H$8*'CALCULO MORTERO'!I1112+'BLAZE SHIELD II'!$H$9)),0)+IF(AND(L1112="Blaze Shield II",M1112="Software Idiem",C1112="C"),((('BLAZE SHIELD II'!$L$4*('CALCULO MORTERO'!I1112^2)+'BLAZE SHIELD II'!$L$5*'CALCULO MORTERO'!I1112+'BLAZE SHIELD II'!$L$6)*LN(J1112))+('BLAZE SHIELD II'!$L$7*('CALCULO MORTERO'!I1112^2)+'BLAZE SHIELD II'!$L$8*'CALCULO MORTERO'!I1112+'BLAZE SHIELD II'!$L$9)),0)+IF(AND(L1112="Blaze Shield II",M1112="Software Idiem",C1112="L"),((('BLAZE SHIELD II'!$L$4*('CALCULO MORTERO'!I1112^2)+'BLAZE SHIELD II'!$L$5*'CALCULO MORTERO'!I1112+'BLAZE SHIELD II'!$L$6)*LN(J1112))+('BLAZE SHIELD II'!$L$7*('CALCULO MORTERO'!I1112^2)+'BLAZE SHIELD II'!$L$8*'CALCULO MORTERO'!I1112+'BLAZE SHIELD II'!$L$9)),0)+IF(AND(L1112="Blaze Shield II",M1112="Software Idiem",C1112="IN",G1112=3),((('BLAZE SHIELD II'!$H$14*('CALCULO MORTERO'!I1112^2)+'BLAZE SHIELD II'!$H$15*'CALCULO MORTERO'!I1112+'BLAZE SHIELD II'!$H$16)*LN(J1112))+('BLAZE SHIELD II'!$H$17*('CALCULO MORTERO'!I1112^2)+'BLAZE SHIELD II'!$H$18*'CALCULO MORTERO'!I1112+'BLAZE SHIELD II'!$H$19)),0),0)+ROUND(IF(AND(L1112="Cafco 400",M1112="Software Idiem",C1112="IN",G1112=4),((('CAFCO 400 '!$H$7*(J1112^4)+'CAFCO 400 '!$H$8*(J1112^3)+'CAFCO 400 '!$H$9*(J1112^2)+'CAFCO 400 '!$H$10*J1112+'CAFCO 400 '!$H$11)*U1112^2)+(('CAFCO 400 '!$H$12*(J1112^3)+'CAFCO 400 '!$H$13*(J1112^2)+'CAFCO 400 '!$H$14*J1112+'CAFCO 400 '!$H$15)*U1112)+('CAFCO 400 '!$H$16*(J1112^2)+'CAFCO 400 '!$H$17*J1112+'CAFCO 400 '!$H$18)),0)+IF(AND(L1112="Cafco 400",M1112="Software Idiem",C1112="Cj"),(((('CAFCO 400 '!$D$7*LN(J1112)+'CAFCO 400 '!$D$8)*U1112^2)+(('CAFCO 400 '!$D$9*LN(J1112)+'CAFCO 400 '!$D$10)*U1112)+('CAFCO 400 '!$D$11*LN(J1112)+'CAFCO 400 '!$D$12))),0)+IF(AND(L1112="Cafco 400",M1112="Software Idiem",C1112="C"),((('CAFCO 400 '!$L$7*(J1112^3)+'CAFCO 400 '!$L$8*(J1112^2)+'CAFCO 400 '!$L$9*J1112+'CAFCO 400 '!$L$10)*U1112^2)+(('CAFCO 400 '!$L$11*(J1112^3)+'CAFCO 400 '!$L$12*(J1112^2)+'CAFCO 400 '!$L$13*J1112+'CAFCO 400 '!$L$14)*U1112)+('CAFCO 400 '!$L$15*LN(J1112)+'CAFCO 400 '!$L$16)),0)+IF(AND(L1112="Cafco 400",M1112="Software Idiem",C1112="L"),((('CAFCO 400 '!$L$7*(J1112^3)+'CAFCO 400 '!$L$8*(J1112^2)+'CAFCO 400 '!$L$9*J1112+'CAFCO 400 '!$L$10)*U1112^2)+(('CAFCO 400 '!$L$11*(J1112^3)+'CAFCO 400 '!$L$12*(J1112^2)+'CAFCO 400 '!$L$13*J1112+'CAFCO 400 '!$L$14)*U1112)+('CAFCO 400 '!$L$15*LN(J1112)+'CAFCO 400 '!$L$16)),0)+IF(AND(L1112="Cafco 400",M1112="Software Idiem",C1112="IN",G1112=3),((('CAFCO 400 '!$D$23*(J1112^2)+'CAFCO 400 '!$D$24*(J1112)+'CAFCO 400 '!$D$25)*U1112^2)+(('CAFCO 400 '!$D$26*(J1112^2)+'CAFCO 400 '!$D$27*J1112+'CAFCO 400 '!$D$28)*U1112)+('CAFCO 400 '!$D$29*(J1112^2)+'CAFCO 400 '!$D$30*J1112+'CAFCO 400 '!$D$31)),0),0)+IF(AND(L1112="Cafco 300",J1112&gt;=95,J1112&lt;=240,C1112="Cj",I1112=90),VLOOKUP(T1112,'CAFCO 300 IDIEM TABLAS'!$B$4:$D$23,2,FALSE),0)+IF(AND(L1112="Cafco 300",J1112&gt;=95,J1112&lt;=240,C1112="Cj",I1112=120),VLOOKUP(T1112,'CAFCO 300 IDIEM TABLAS'!$B$4:$D$23,3,FALSE),0)+IF(AND(L1112="Cafco 300",J1112&gt;=95,J1112&lt;=400,G1112=3,C1112="IN",I1112=90),VLOOKUP(T1112,'CAFCO 300 IDIEM TABLAS'!$F$4:$H$35,2,FALSE),0)+IF(AND(L1112="Cafco 300",J1112&gt;=95,J1112&lt;=400,G1112=3,C1112="IN",I1112=120),VLOOKUP(T1112,'CAFCO 300 IDIEM TABLAS'!$F$4:$H$35,3,FALSE),0)+IF(AND(L1112="Cafco 300",J1112&gt;=95,J1112&lt;=450,G1112=4,C1112="IN",I1112=90),VLOOKUP(T1112,'CAFCO 300 IDIEM TABLAS'!$J$4:$L$40,2,FALSE),0)+IF(AND(L1112="Cafco 300",J1112&gt;=95,J1112&lt;=450,G1112=4,C1112="IN",I1112=120),VLOOKUP(T1112,'CAFCO 300 IDIEM TABLAS'!$J$4:$L$40,3,FALSE),0)+IF(AND(M1112="Ensayo Idiem",L1112="Cafco 400",C1112="IN",G1112=4,I1112=90),VLOOKUP(T1112,'CAFCO 400 ENSAYO'!$B$7:$D$43,2,FALSE),0)+IF(AND(M1112="Ensayo Idiem",L1112="Cafco 400",C1112="IN",G1112=4,I1112=120),VLOOKUP(T1112,'CAFCO 400 ENSAYO'!$B$7:$D$43,3,FALSE),0)</f>
        <v>0</v>
      </c>
      <c r="O1112" s="96">
        <f t="shared" si="114"/>
        <v>0</v>
      </c>
      <c r="P1112" s="95" t="str">
        <f t="shared" si="109"/>
        <v>N/A</v>
      </c>
      <c r="Q1112" s="95" t="str">
        <f t="shared" si="110"/>
        <v>N/A</v>
      </c>
      <c r="R1112" s="95" t="str">
        <f t="shared" si="111"/>
        <v>NO CERT.</v>
      </c>
      <c r="S1112" s="95" t="e">
        <f t="shared" si="112"/>
        <v>#N/A</v>
      </c>
      <c r="T1112" s="119" t="e">
        <f>+IF(J1112=LOOKUP(J1112,'CAFCO 300 IDIEM TABLAS'!$J$4:$J$40),'CALCULO MORTERO'!J1112,MROUND('CALCULO MORTERO'!J1112,10))</f>
        <v>#N/A</v>
      </c>
      <c r="U1112" s="118">
        <f t="shared" si="113"/>
        <v>0</v>
      </c>
    </row>
    <row r="1113" spans="1:21" x14ac:dyDescent="0.25">
      <c r="A1113" s="118">
        <f>+CUBICACION!D1107</f>
        <v>0</v>
      </c>
      <c r="B1113" s="819">
        <f>+CUBICACION!E1107</f>
        <v>0</v>
      </c>
      <c r="C1113" s="675">
        <f>+CUBICACION!F1107</f>
        <v>0</v>
      </c>
      <c r="D1113" s="118"/>
      <c r="E1113" s="118"/>
      <c r="F1113" s="820"/>
      <c r="G1113" s="675">
        <f>+CUBICACION!J1107</f>
        <v>0</v>
      </c>
      <c r="H1113" s="118"/>
      <c r="I1113" s="821">
        <f>+CUBICACION!L1107</f>
        <v>0</v>
      </c>
      <c r="J1113" s="64">
        <f>+CUBICACION!M1107</f>
        <v>0</v>
      </c>
      <c r="K1113" s="822" t="str">
        <f>+CUBICACION!N1107</f>
        <v/>
      </c>
      <c r="L1113" s="118">
        <f>+CUBICACION!O1107</f>
        <v>0</v>
      </c>
      <c r="M1113" s="823">
        <f>+CUBICACION!P1107</f>
        <v>0</v>
      </c>
      <c r="N1113" s="902">
        <f>ROUND(IF(AND(L1113="Blaze Shield II",M1113="Software Idiem",C1113="IN",G1113=4),((('BLAZE SHIELD II'!$D$4*('CALCULO MORTERO'!I1113^2)+'BLAZE SHIELD II'!$D$5*'CALCULO MORTERO'!I1113+'BLAZE SHIELD II'!$D$6)*LN(J1113))+('BLAZE SHIELD II'!$D$7*('CALCULO MORTERO'!I1113^2)+'BLAZE SHIELD II'!$D$8*'CALCULO MORTERO'!I1113+'BLAZE SHIELD II'!$D$9)),0)+IF(AND(L1113="Blaze Shield II",M1113="Software Idiem",C1113="Cj"),((('BLAZE SHIELD II'!$H$4*('CALCULO MORTERO'!I1113^2)+'BLAZE SHIELD II'!$H$5*'CALCULO MORTERO'!I1113+'BLAZE SHIELD II'!$H$6)*LN(J1113))+('BLAZE SHIELD II'!$H$7*('CALCULO MORTERO'!I1113^2)+'BLAZE SHIELD II'!$H$8*'CALCULO MORTERO'!I1113+'BLAZE SHIELD II'!$H$9)),0)+IF(AND(L1113="Blaze Shield II",M1113="Software Idiem",C1113="C"),((('BLAZE SHIELD II'!$L$4*('CALCULO MORTERO'!I1113^2)+'BLAZE SHIELD II'!$L$5*'CALCULO MORTERO'!I1113+'BLAZE SHIELD II'!$L$6)*LN(J1113))+('BLAZE SHIELD II'!$L$7*('CALCULO MORTERO'!I1113^2)+'BLAZE SHIELD II'!$L$8*'CALCULO MORTERO'!I1113+'BLAZE SHIELD II'!$L$9)),0)+IF(AND(L1113="Blaze Shield II",M1113="Software Idiem",C1113="L"),((('BLAZE SHIELD II'!$L$4*('CALCULO MORTERO'!I1113^2)+'BLAZE SHIELD II'!$L$5*'CALCULO MORTERO'!I1113+'BLAZE SHIELD II'!$L$6)*LN(J1113))+('BLAZE SHIELD II'!$L$7*('CALCULO MORTERO'!I1113^2)+'BLAZE SHIELD II'!$L$8*'CALCULO MORTERO'!I1113+'BLAZE SHIELD II'!$L$9)),0)+IF(AND(L1113="Blaze Shield II",M1113="Software Idiem",C1113="IN",G1113=3),((('BLAZE SHIELD II'!$H$14*('CALCULO MORTERO'!I1113^2)+'BLAZE SHIELD II'!$H$15*'CALCULO MORTERO'!I1113+'BLAZE SHIELD II'!$H$16)*LN(J1113))+('BLAZE SHIELD II'!$H$17*('CALCULO MORTERO'!I1113^2)+'BLAZE SHIELD II'!$H$18*'CALCULO MORTERO'!I1113+'BLAZE SHIELD II'!$H$19)),0),0)+ROUND(IF(AND(L1113="Cafco 400",M1113="Software Idiem",C1113="IN",G1113=4),((('CAFCO 400 '!$H$7*(J1113^4)+'CAFCO 400 '!$H$8*(J1113^3)+'CAFCO 400 '!$H$9*(J1113^2)+'CAFCO 400 '!$H$10*J1113+'CAFCO 400 '!$H$11)*U1113^2)+(('CAFCO 400 '!$H$12*(J1113^3)+'CAFCO 400 '!$H$13*(J1113^2)+'CAFCO 400 '!$H$14*J1113+'CAFCO 400 '!$H$15)*U1113)+('CAFCO 400 '!$H$16*(J1113^2)+'CAFCO 400 '!$H$17*J1113+'CAFCO 400 '!$H$18)),0)+IF(AND(L1113="Cafco 400",M1113="Software Idiem",C1113="Cj"),(((('CAFCO 400 '!$D$7*LN(J1113)+'CAFCO 400 '!$D$8)*U1113^2)+(('CAFCO 400 '!$D$9*LN(J1113)+'CAFCO 400 '!$D$10)*U1113)+('CAFCO 400 '!$D$11*LN(J1113)+'CAFCO 400 '!$D$12))),0)+IF(AND(L1113="Cafco 400",M1113="Software Idiem",C1113="C"),((('CAFCO 400 '!$L$7*(J1113^3)+'CAFCO 400 '!$L$8*(J1113^2)+'CAFCO 400 '!$L$9*J1113+'CAFCO 400 '!$L$10)*U1113^2)+(('CAFCO 400 '!$L$11*(J1113^3)+'CAFCO 400 '!$L$12*(J1113^2)+'CAFCO 400 '!$L$13*J1113+'CAFCO 400 '!$L$14)*U1113)+('CAFCO 400 '!$L$15*LN(J1113)+'CAFCO 400 '!$L$16)),0)+IF(AND(L1113="Cafco 400",M1113="Software Idiem",C1113="L"),((('CAFCO 400 '!$L$7*(J1113^3)+'CAFCO 400 '!$L$8*(J1113^2)+'CAFCO 400 '!$L$9*J1113+'CAFCO 400 '!$L$10)*U1113^2)+(('CAFCO 400 '!$L$11*(J1113^3)+'CAFCO 400 '!$L$12*(J1113^2)+'CAFCO 400 '!$L$13*J1113+'CAFCO 400 '!$L$14)*U1113)+('CAFCO 400 '!$L$15*LN(J1113)+'CAFCO 400 '!$L$16)),0)+IF(AND(L1113="Cafco 400",M1113="Software Idiem",C1113="IN",G1113=3),((('CAFCO 400 '!$D$23*(J1113^2)+'CAFCO 400 '!$D$24*(J1113)+'CAFCO 400 '!$D$25)*U1113^2)+(('CAFCO 400 '!$D$26*(J1113^2)+'CAFCO 400 '!$D$27*J1113+'CAFCO 400 '!$D$28)*U1113)+('CAFCO 400 '!$D$29*(J1113^2)+'CAFCO 400 '!$D$30*J1113+'CAFCO 400 '!$D$31)),0),0)+IF(AND(L1113="Cafco 300",J1113&gt;=95,J1113&lt;=240,C1113="Cj",I1113=90),VLOOKUP(T1113,'CAFCO 300 IDIEM TABLAS'!$B$4:$D$23,2,FALSE),0)+IF(AND(L1113="Cafco 300",J1113&gt;=95,J1113&lt;=240,C1113="Cj",I1113=120),VLOOKUP(T1113,'CAFCO 300 IDIEM TABLAS'!$B$4:$D$23,3,FALSE),0)+IF(AND(L1113="Cafco 300",J1113&gt;=95,J1113&lt;=400,G1113=3,C1113="IN",I1113=90),VLOOKUP(T1113,'CAFCO 300 IDIEM TABLAS'!$F$4:$H$35,2,FALSE),0)+IF(AND(L1113="Cafco 300",J1113&gt;=95,J1113&lt;=400,G1113=3,C1113="IN",I1113=120),VLOOKUP(T1113,'CAFCO 300 IDIEM TABLAS'!$F$4:$H$35,3,FALSE),0)+IF(AND(L1113="Cafco 300",J1113&gt;=95,J1113&lt;=450,G1113=4,C1113="IN",I1113=90),VLOOKUP(T1113,'CAFCO 300 IDIEM TABLAS'!$J$4:$L$40,2,FALSE),0)+IF(AND(L1113="Cafco 300",J1113&gt;=95,J1113&lt;=450,G1113=4,C1113="IN",I1113=120),VLOOKUP(T1113,'CAFCO 300 IDIEM TABLAS'!$J$4:$L$40,3,FALSE),0)+IF(AND(M1113="Ensayo Idiem",L1113="Cafco 400",C1113="IN",G1113=4,I1113=90),VLOOKUP(T1113,'CAFCO 400 ENSAYO'!$B$7:$D$43,2,FALSE),0)+IF(AND(M1113="Ensayo Idiem",L1113="Cafco 400",C1113="IN",G1113=4,I1113=120),VLOOKUP(T1113,'CAFCO 400 ENSAYO'!$B$7:$D$43,3,FALSE),0)</f>
        <v>0</v>
      </c>
      <c r="O1113" s="96">
        <f t="shared" si="114"/>
        <v>0</v>
      </c>
      <c r="P1113" s="132" t="str">
        <f t="shared" si="109"/>
        <v>N/A</v>
      </c>
      <c r="Q1113" s="132" t="str">
        <f t="shared" si="110"/>
        <v>N/A</v>
      </c>
      <c r="R1113" s="132" t="str">
        <f t="shared" si="111"/>
        <v>NO CERT.</v>
      </c>
      <c r="S1113" s="132" t="e">
        <f t="shared" si="112"/>
        <v>#N/A</v>
      </c>
      <c r="T1113" s="133" t="e">
        <f>+IF(J1113=LOOKUP(J1113,'CAFCO 300 IDIEM TABLAS'!$J$4:$J$40),'CALCULO MORTERO'!J1113,MROUND('CALCULO MORTERO'!J1113,10))</f>
        <v>#N/A</v>
      </c>
      <c r="U1113" s="134">
        <f t="shared" si="113"/>
        <v>0</v>
      </c>
    </row>
    <row r="1114" spans="1:21" x14ac:dyDescent="0.25">
      <c r="A1114" s="118">
        <f>+CUBICACION!D1108</f>
        <v>0</v>
      </c>
      <c r="B1114" s="819">
        <f>+CUBICACION!E1108</f>
        <v>0</v>
      </c>
      <c r="C1114" s="675">
        <f>+CUBICACION!F1108</f>
        <v>0</v>
      </c>
      <c r="D1114" s="118"/>
      <c r="E1114" s="118"/>
      <c r="F1114" s="820"/>
      <c r="G1114" s="675">
        <f>+CUBICACION!J1108</f>
        <v>0</v>
      </c>
      <c r="H1114" s="118"/>
      <c r="I1114" s="821">
        <f>+CUBICACION!L1108</f>
        <v>0</v>
      </c>
      <c r="J1114" s="64">
        <f>+CUBICACION!M1108</f>
        <v>0</v>
      </c>
      <c r="K1114" s="822" t="str">
        <f>+CUBICACION!N1108</f>
        <v/>
      </c>
      <c r="L1114" s="118">
        <f>+CUBICACION!O1108</f>
        <v>0</v>
      </c>
      <c r="M1114" s="823">
        <f>+CUBICACION!P1108</f>
        <v>0</v>
      </c>
      <c r="N1114" s="902">
        <f>ROUND(IF(AND(L1114="Blaze Shield II",M1114="Software Idiem",C1114="IN",G1114=4),((('BLAZE SHIELD II'!$D$4*('CALCULO MORTERO'!I1114^2)+'BLAZE SHIELD II'!$D$5*'CALCULO MORTERO'!I1114+'BLAZE SHIELD II'!$D$6)*LN(J1114))+('BLAZE SHIELD II'!$D$7*('CALCULO MORTERO'!I1114^2)+'BLAZE SHIELD II'!$D$8*'CALCULO MORTERO'!I1114+'BLAZE SHIELD II'!$D$9)),0)+IF(AND(L1114="Blaze Shield II",M1114="Software Idiem",C1114="Cj"),((('BLAZE SHIELD II'!$H$4*('CALCULO MORTERO'!I1114^2)+'BLAZE SHIELD II'!$H$5*'CALCULO MORTERO'!I1114+'BLAZE SHIELD II'!$H$6)*LN(J1114))+('BLAZE SHIELD II'!$H$7*('CALCULO MORTERO'!I1114^2)+'BLAZE SHIELD II'!$H$8*'CALCULO MORTERO'!I1114+'BLAZE SHIELD II'!$H$9)),0)+IF(AND(L1114="Blaze Shield II",M1114="Software Idiem",C1114="C"),((('BLAZE SHIELD II'!$L$4*('CALCULO MORTERO'!I1114^2)+'BLAZE SHIELD II'!$L$5*'CALCULO MORTERO'!I1114+'BLAZE SHIELD II'!$L$6)*LN(J1114))+('BLAZE SHIELD II'!$L$7*('CALCULO MORTERO'!I1114^2)+'BLAZE SHIELD II'!$L$8*'CALCULO MORTERO'!I1114+'BLAZE SHIELD II'!$L$9)),0)+IF(AND(L1114="Blaze Shield II",M1114="Software Idiem",C1114="L"),((('BLAZE SHIELD II'!$L$4*('CALCULO MORTERO'!I1114^2)+'BLAZE SHIELD II'!$L$5*'CALCULO MORTERO'!I1114+'BLAZE SHIELD II'!$L$6)*LN(J1114))+('BLAZE SHIELD II'!$L$7*('CALCULO MORTERO'!I1114^2)+'BLAZE SHIELD II'!$L$8*'CALCULO MORTERO'!I1114+'BLAZE SHIELD II'!$L$9)),0)+IF(AND(L1114="Blaze Shield II",M1114="Software Idiem",C1114="IN",G1114=3),((('BLAZE SHIELD II'!$H$14*('CALCULO MORTERO'!I1114^2)+'BLAZE SHIELD II'!$H$15*'CALCULO MORTERO'!I1114+'BLAZE SHIELD II'!$H$16)*LN(J1114))+('BLAZE SHIELD II'!$H$17*('CALCULO MORTERO'!I1114^2)+'BLAZE SHIELD II'!$H$18*'CALCULO MORTERO'!I1114+'BLAZE SHIELD II'!$H$19)),0),0)+ROUND(IF(AND(L1114="Cafco 400",M1114="Software Idiem",C1114="IN",G1114=4),((('CAFCO 400 '!$H$7*(J1114^4)+'CAFCO 400 '!$H$8*(J1114^3)+'CAFCO 400 '!$H$9*(J1114^2)+'CAFCO 400 '!$H$10*J1114+'CAFCO 400 '!$H$11)*U1114^2)+(('CAFCO 400 '!$H$12*(J1114^3)+'CAFCO 400 '!$H$13*(J1114^2)+'CAFCO 400 '!$H$14*J1114+'CAFCO 400 '!$H$15)*U1114)+('CAFCO 400 '!$H$16*(J1114^2)+'CAFCO 400 '!$H$17*J1114+'CAFCO 400 '!$H$18)),0)+IF(AND(L1114="Cafco 400",M1114="Software Idiem",C1114="Cj"),(((('CAFCO 400 '!$D$7*LN(J1114)+'CAFCO 400 '!$D$8)*U1114^2)+(('CAFCO 400 '!$D$9*LN(J1114)+'CAFCO 400 '!$D$10)*U1114)+('CAFCO 400 '!$D$11*LN(J1114)+'CAFCO 400 '!$D$12))),0)+IF(AND(L1114="Cafco 400",M1114="Software Idiem",C1114="C"),((('CAFCO 400 '!$L$7*(J1114^3)+'CAFCO 400 '!$L$8*(J1114^2)+'CAFCO 400 '!$L$9*J1114+'CAFCO 400 '!$L$10)*U1114^2)+(('CAFCO 400 '!$L$11*(J1114^3)+'CAFCO 400 '!$L$12*(J1114^2)+'CAFCO 400 '!$L$13*J1114+'CAFCO 400 '!$L$14)*U1114)+('CAFCO 400 '!$L$15*LN(J1114)+'CAFCO 400 '!$L$16)),0)+IF(AND(L1114="Cafco 400",M1114="Software Idiem",C1114="L"),((('CAFCO 400 '!$L$7*(J1114^3)+'CAFCO 400 '!$L$8*(J1114^2)+'CAFCO 400 '!$L$9*J1114+'CAFCO 400 '!$L$10)*U1114^2)+(('CAFCO 400 '!$L$11*(J1114^3)+'CAFCO 400 '!$L$12*(J1114^2)+'CAFCO 400 '!$L$13*J1114+'CAFCO 400 '!$L$14)*U1114)+('CAFCO 400 '!$L$15*LN(J1114)+'CAFCO 400 '!$L$16)),0)+IF(AND(L1114="Cafco 400",M1114="Software Idiem",C1114="IN",G1114=3),((('CAFCO 400 '!$D$23*(J1114^2)+'CAFCO 400 '!$D$24*(J1114)+'CAFCO 400 '!$D$25)*U1114^2)+(('CAFCO 400 '!$D$26*(J1114^2)+'CAFCO 400 '!$D$27*J1114+'CAFCO 400 '!$D$28)*U1114)+('CAFCO 400 '!$D$29*(J1114^2)+'CAFCO 400 '!$D$30*J1114+'CAFCO 400 '!$D$31)),0),0)+IF(AND(L1114="Cafco 300",J1114&gt;=95,J1114&lt;=240,C1114="Cj",I1114=90),VLOOKUP(T1114,'CAFCO 300 IDIEM TABLAS'!$B$4:$D$23,2,FALSE),0)+IF(AND(L1114="Cafco 300",J1114&gt;=95,J1114&lt;=240,C1114="Cj",I1114=120),VLOOKUP(T1114,'CAFCO 300 IDIEM TABLAS'!$B$4:$D$23,3,FALSE),0)+IF(AND(L1114="Cafco 300",J1114&gt;=95,J1114&lt;=400,G1114=3,C1114="IN",I1114=90),VLOOKUP(T1114,'CAFCO 300 IDIEM TABLAS'!$F$4:$H$35,2,FALSE),0)+IF(AND(L1114="Cafco 300",J1114&gt;=95,J1114&lt;=400,G1114=3,C1114="IN",I1114=120),VLOOKUP(T1114,'CAFCO 300 IDIEM TABLAS'!$F$4:$H$35,3,FALSE),0)+IF(AND(L1114="Cafco 300",J1114&gt;=95,J1114&lt;=450,G1114=4,C1114="IN",I1114=90),VLOOKUP(T1114,'CAFCO 300 IDIEM TABLAS'!$J$4:$L$40,2,FALSE),0)+IF(AND(L1114="Cafco 300",J1114&gt;=95,J1114&lt;=450,G1114=4,C1114="IN",I1114=120),VLOOKUP(T1114,'CAFCO 300 IDIEM TABLAS'!$J$4:$L$40,3,FALSE),0)+IF(AND(M1114="Ensayo Idiem",L1114="Cafco 400",C1114="IN",G1114=4,I1114=90),VLOOKUP(T1114,'CAFCO 400 ENSAYO'!$B$7:$D$43,2,FALSE),0)+IF(AND(M1114="Ensayo Idiem",L1114="Cafco 400",C1114="IN",G1114=4,I1114=120),VLOOKUP(T1114,'CAFCO 400 ENSAYO'!$B$7:$D$43,3,FALSE),0)</f>
        <v>0</v>
      </c>
      <c r="O1114" s="96">
        <f t="shared" si="114"/>
        <v>0</v>
      </c>
      <c r="P1114" s="95" t="str">
        <f t="shared" si="109"/>
        <v>N/A</v>
      </c>
      <c r="Q1114" s="95" t="str">
        <f t="shared" si="110"/>
        <v>N/A</v>
      </c>
      <c r="R1114" s="95" t="str">
        <f t="shared" si="111"/>
        <v>NO CERT.</v>
      </c>
      <c r="S1114" s="95" t="e">
        <f t="shared" si="112"/>
        <v>#N/A</v>
      </c>
      <c r="T1114" s="119" t="e">
        <f>+IF(J1114=LOOKUP(J1114,'CAFCO 300 IDIEM TABLAS'!$J$4:$J$40),'CALCULO MORTERO'!J1114,MROUND('CALCULO MORTERO'!J1114,10))</f>
        <v>#N/A</v>
      </c>
      <c r="U1114" s="118">
        <f t="shared" si="113"/>
        <v>0</v>
      </c>
    </row>
    <row r="1115" spans="1:21" x14ac:dyDescent="0.25">
      <c r="A1115" s="118">
        <f>+CUBICACION!D1109</f>
        <v>0</v>
      </c>
      <c r="B1115" s="819">
        <f>+CUBICACION!E1109</f>
        <v>0</v>
      </c>
      <c r="C1115" s="675">
        <f>+CUBICACION!F1109</f>
        <v>0</v>
      </c>
      <c r="D1115" s="118"/>
      <c r="E1115" s="118"/>
      <c r="F1115" s="820"/>
      <c r="G1115" s="675">
        <f>+CUBICACION!J1109</f>
        <v>0</v>
      </c>
      <c r="H1115" s="118"/>
      <c r="I1115" s="821">
        <f>+CUBICACION!L1109</f>
        <v>0</v>
      </c>
      <c r="J1115" s="64">
        <f>+CUBICACION!M1109</f>
        <v>0</v>
      </c>
      <c r="K1115" s="822" t="str">
        <f>+CUBICACION!N1109</f>
        <v/>
      </c>
      <c r="L1115" s="118">
        <f>+CUBICACION!O1109</f>
        <v>0</v>
      </c>
      <c r="M1115" s="823">
        <f>+CUBICACION!P1109</f>
        <v>0</v>
      </c>
      <c r="N1115" s="902">
        <f>ROUND(IF(AND(L1115="Blaze Shield II",M1115="Software Idiem",C1115="IN",G1115=4),((('BLAZE SHIELD II'!$D$4*('CALCULO MORTERO'!I1115^2)+'BLAZE SHIELD II'!$D$5*'CALCULO MORTERO'!I1115+'BLAZE SHIELD II'!$D$6)*LN(J1115))+('BLAZE SHIELD II'!$D$7*('CALCULO MORTERO'!I1115^2)+'BLAZE SHIELD II'!$D$8*'CALCULO MORTERO'!I1115+'BLAZE SHIELD II'!$D$9)),0)+IF(AND(L1115="Blaze Shield II",M1115="Software Idiem",C1115="Cj"),((('BLAZE SHIELD II'!$H$4*('CALCULO MORTERO'!I1115^2)+'BLAZE SHIELD II'!$H$5*'CALCULO MORTERO'!I1115+'BLAZE SHIELD II'!$H$6)*LN(J1115))+('BLAZE SHIELD II'!$H$7*('CALCULO MORTERO'!I1115^2)+'BLAZE SHIELD II'!$H$8*'CALCULO MORTERO'!I1115+'BLAZE SHIELD II'!$H$9)),0)+IF(AND(L1115="Blaze Shield II",M1115="Software Idiem",C1115="C"),((('BLAZE SHIELD II'!$L$4*('CALCULO MORTERO'!I1115^2)+'BLAZE SHIELD II'!$L$5*'CALCULO MORTERO'!I1115+'BLAZE SHIELD II'!$L$6)*LN(J1115))+('BLAZE SHIELD II'!$L$7*('CALCULO MORTERO'!I1115^2)+'BLAZE SHIELD II'!$L$8*'CALCULO MORTERO'!I1115+'BLAZE SHIELD II'!$L$9)),0)+IF(AND(L1115="Blaze Shield II",M1115="Software Idiem",C1115="L"),((('BLAZE SHIELD II'!$L$4*('CALCULO MORTERO'!I1115^2)+'BLAZE SHIELD II'!$L$5*'CALCULO MORTERO'!I1115+'BLAZE SHIELD II'!$L$6)*LN(J1115))+('BLAZE SHIELD II'!$L$7*('CALCULO MORTERO'!I1115^2)+'BLAZE SHIELD II'!$L$8*'CALCULO MORTERO'!I1115+'BLAZE SHIELD II'!$L$9)),0)+IF(AND(L1115="Blaze Shield II",M1115="Software Idiem",C1115="IN",G1115=3),((('BLAZE SHIELD II'!$H$14*('CALCULO MORTERO'!I1115^2)+'BLAZE SHIELD II'!$H$15*'CALCULO MORTERO'!I1115+'BLAZE SHIELD II'!$H$16)*LN(J1115))+('BLAZE SHIELD II'!$H$17*('CALCULO MORTERO'!I1115^2)+'BLAZE SHIELD II'!$H$18*'CALCULO MORTERO'!I1115+'BLAZE SHIELD II'!$H$19)),0),0)+ROUND(IF(AND(L1115="Cafco 400",M1115="Software Idiem",C1115="IN",G1115=4),((('CAFCO 400 '!$H$7*(J1115^4)+'CAFCO 400 '!$H$8*(J1115^3)+'CAFCO 400 '!$H$9*(J1115^2)+'CAFCO 400 '!$H$10*J1115+'CAFCO 400 '!$H$11)*U1115^2)+(('CAFCO 400 '!$H$12*(J1115^3)+'CAFCO 400 '!$H$13*(J1115^2)+'CAFCO 400 '!$H$14*J1115+'CAFCO 400 '!$H$15)*U1115)+('CAFCO 400 '!$H$16*(J1115^2)+'CAFCO 400 '!$H$17*J1115+'CAFCO 400 '!$H$18)),0)+IF(AND(L1115="Cafco 400",M1115="Software Idiem",C1115="Cj"),(((('CAFCO 400 '!$D$7*LN(J1115)+'CAFCO 400 '!$D$8)*U1115^2)+(('CAFCO 400 '!$D$9*LN(J1115)+'CAFCO 400 '!$D$10)*U1115)+('CAFCO 400 '!$D$11*LN(J1115)+'CAFCO 400 '!$D$12))),0)+IF(AND(L1115="Cafco 400",M1115="Software Idiem",C1115="C"),((('CAFCO 400 '!$L$7*(J1115^3)+'CAFCO 400 '!$L$8*(J1115^2)+'CAFCO 400 '!$L$9*J1115+'CAFCO 400 '!$L$10)*U1115^2)+(('CAFCO 400 '!$L$11*(J1115^3)+'CAFCO 400 '!$L$12*(J1115^2)+'CAFCO 400 '!$L$13*J1115+'CAFCO 400 '!$L$14)*U1115)+('CAFCO 400 '!$L$15*LN(J1115)+'CAFCO 400 '!$L$16)),0)+IF(AND(L1115="Cafco 400",M1115="Software Idiem",C1115="L"),((('CAFCO 400 '!$L$7*(J1115^3)+'CAFCO 400 '!$L$8*(J1115^2)+'CAFCO 400 '!$L$9*J1115+'CAFCO 400 '!$L$10)*U1115^2)+(('CAFCO 400 '!$L$11*(J1115^3)+'CAFCO 400 '!$L$12*(J1115^2)+'CAFCO 400 '!$L$13*J1115+'CAFCO 400 '!$L$14)*U1115)+('CAFCO 400 '!$L$15*LN(J1115)+'CAFCO 400 '!$L$16)),0)+IF(AND(L1115="Cafco 400",M1115="Software Idiem",C1115="IN",G1115=3),((('CAFCO 400 '!$D$23*(J1115^2)+'CAFCO 400 '!$D$24*(J1115)+'CAFCO 400 '!$D$25)*U1115^2)+(('CAFCO 400 '!$D$26*(J1115^2)+'CAFCO 400 '!$D$27*J1115+'CAFCO 400 '!$D$28)*U1115)+('CAFCO 400 '!$D$29*(J1115^2)+'CAFCO 400 '!$D$30*J1115+'CAFCO 400 '!$D$31)),0),0)+IF(AND(L1115="Cafco 300",J1115&gt;=95,J1115&lt;=240,C1115="Cj",I1115=90),VLOOKUP(T1115,'CAFCO 300 IDIEM TABLAS'!$B$4:$D$23,2,FALSE),0)+IF(AND(L1115="Cafco 300",J1115&gt;=95,J1115&lt;=240,C1115="Cj",I1115=120),VLOOKUP(T1115,'CAFCO 300 IDIEM TABLAS'!$B$4:$D$23,3,FALSE),0)+IF(AND(L1115="Cafco 300",J1115&gt;=95,J1115&lt;=400,G1115=3,C1115="IN",I1115=90),VLOOKUP(T1115,'CAFCO 300 IDIEM TABLAS'!$F$4:$H$35,2,FALSE),0)+IF(AND(L1115="Cafco 300",J1115&gt;=95,J1115&lt;=400,G1115=3,C1115="IN",I1115=120),VLOOKUP(T1115,'CAFCO 300 IDIEM TABLAS'!$F$4:$H$35,3,FALSE),0)+IF(AND(L1115="Cafco 300",J1115&gt;=95,J1115&lt;=450,G1115=4,C1115="IN",I1115=90),VLOOKUP(T1115,'CAFCO 300 IDIEM TABLAS'!$J$4:$L$40,2,FALSE),0)+IF(AND(L1115="Cafco 300",J1115&gt;=95,J1115&lt;=450,G1115=4,C1115="IN",I1115=120),VLOOKUP(T1115,'CAFCO 300 IDIEM TABLAS'!$J$4:$L$40,3,FALSE),0)+IF(AND(M1115="Ensayo Idiem",L1115="Cafco 400",C1115="IN",G1115=4,I1115=90),VLOOKUP(T1115,'CAFCO 400 ENSAYO'!$B$7:$D$43,2,FALSE),0)+IF(AND(M1115="Ensayo Idiem",L1115="Cafco 400",C1115="IN",G1115=4,I1115=120),VLOOKUP(T1115,'CAFCO 400 ENSAYO'!$B$7:$D$43,3,FALSE),0)</f>
        <v>0</v>
      </c>
      <c r="O1115" s="96">
        <f t="shared" si="114"/>
        <v>0</v>
      </c>
      <c r="P1115" s="132" t="str">
        <f t="shared" si="109"/>
        <v>N/A</v>
      </c>
      <c r="Q1115" s="132" t="str">
        <f t="shared" si="110"/>
        <v>N/A</v>
      </c>
      <c r="R1115" s="132" t="str">
        <f t="shared" si="111"/>
        <v>NO CERT.</v>
      </c>
      <c r="S1115" s="132" t="e">
        <f t="shared" si="112"/>
        <v>#N/A</v>
      </c>
      <c r="T1115" s="133" t="e">
        <f>+IF(J1115=LOOKUP(J1115,'CAFCO 300 IDIEM TABLAS'!$J$4:$J$40),'CALCULO MORTERO'!J1115,MROUND('CALCULO MORTERO'!J1115,10))</f>
        <v>#N/A</v>
      </c>
      <c r="U1115" s="134">
        <f t="shared" si="113"/>
        <v>0</v>
      </c>
    </row>
    <row r="1116" spans="1:21" x14ac:dyDescent="0.25">
      <c r="A1116" s="118">
        <f>+CUBICACION!D1110</f>
        <v>0</v>
      </c>
      <c r="B1116" s="819">
        <f>+CUBICACION!E1110</f>
        <v>0</v>
      </c>
      <c r="C1116" s="675">
        <f>+CUBICACION!F1110</f>
        <v>0</v>
      </c>
      <c r="D1116" s="118"/>
      <c r="E1116" s="118"/>
      <c r="F1116" s="820"/>
      <c r="G1116" s="675">
        <f>+CUBICACION!J1110</f>
        <v>0</v>
      </c>
      <c r="H1116" s="118"/>
      <c r="I1116" s="821">
        <f>+CUBICACION!L1110</f>
        <v>0</v>
      </c>
      <c r="J1116" s="64">
        <f>+CUBICACION!M1110</f>
        <v>0</v>
      </c>
      <c r="K1116" s="822" t="str">
        <f>+CUBICACION!N1110</f>
        <v/>
      </c>
      <c r="L1116" s="118">
        <f>+CUBICACION!O1110</f>
        <v>0</v>
      </c>
      <c r="M1116" s="823">
        <f>+CUBICACION!P1110</f>
        <v>0</v>
      </c>
      <c r="N1116" s="902">
        <f>ROUND(IF(AND(L1116="Blaze Shield II",M1116="Software Idiem",C1116="IN",G1116=4),((('BLAZE SHIELD II'!$D$4*('CALCULO MORTERO'!I1116^2)+'BLAZE SHIELD II'!$D$5*'CALCULO MORTERO'!I1116+'BLAZE SHIELD II'!$D$6)*LN(J1116))+('BLAZE SHIELD II'!$D$7*('CALCULO MORTERO'!I1116^2)+'BLAZE SHIELD II'!$D$8*'CALCULO MORTERO'!I1116+'BLAZE SHIELD II'!$D$9)),0)+IF(AND(L1116="Blaze Shield II",M1116="Software Idiem",C1116="Cj"),((('BLAZE SHIELD II'!$H$4*('CALCULO MORTERO'!I1116^2)+'BLAZE SHIELD II'!$H$5*'CALCULO MORTERO'!I1116+'BLAZE SHIELD II'!$H$6)*LN(J1116))+('BLAZE SHIELD II'!$H$7*('CALCULO MORTERO'!I1116^2)+'BLAZE SHIELD II'!$H$8*'CALCULO MORTERO'!I1116+'BLAZE SHIELD II'!$H$9)),0)+IF(AND(L1116="Blaze Shield II",M1116="Software Idiem",C1116="C"),((('BLAZE SHIELD II'!$L$4*('CALCULO MORTERO'!I1116^2)+'BLAZE SHIELD II'!$L$5*'CALCULO MORTERO'!I1116+'BLAZE SHIELD II'!$L$6)*LN(J1116))+('BLAZE SHIELD II'!$L$7*('CALCULO MORTERO'!I1116^2)+'BLAZE SHIELD II'!$L$8*'CALCULO MORTERO'!I1116+'BLAZE SHIELD II'!$L$9)),0)+IF(AND(L1116="Blaze Shield II",M1116="Software Idiem",C1116="L"),((('BLAZE SHIELD II'!$L$4*('CALCULO MORTERO'!I1116^2)+'BLAZE SHIELD II'!$L$5*'CALCULO MORTERO'!I1116+'BLAZE SHIELD II'!$L$6)*LN(J1116))+('BLAZE SHIELD II'!$L$7*('CALCULO MORTERO'!I1116^2)+'BLAZE SHIELD II'!$L$8*'CALCULO MORTERO'!I1116+'BLAZE SHIELD II'!$L$9)),0)+IF(AND(L1116="Blaze Shield II",M1116="Software Idiem",C1116="IN",G1116=3),((('BLAZE SHIELD II'!$H$14*('CALCULO MORTERO'!I1116^2)+'BLAZE SHIELD II'!$H$15*'CALCULO MORTERO'!I1116+'BLAZE SHIELD II'!$H$16)*LN(J1116))+('BLAZE SHIELD II'!$H$17*('CALCULO MORTERO'!I1116^2)+'BLAZE SHIELD II'!$H$18*'CALCULO MORTERO'!I1116+'BLAZE SHIELD II'!$H$19)),0),0)+ROUND(IF(AND(L1116="Cafco 400",M1116="Software Idiem",C1116="IN",G1116=4),((('CAFCO 400 '!$H$7*(J1116^4)+'CAFCO 400 '!$H$8*(J1116^3)+'CAFCO 400 '!$H$9*(J1116^2)+'CAFCO 400 '!$H$10*J1116+'CAFCO 400 '!$H$11)*U1116^2)+(('CAFCO 400 '!$H$12*(J1116^3)+'CAFCO 400 '!$H$13*(J1116^2)+'CAFCO 400 '!$H$14*J1116+'CAFCO 400 '!$H$15)*U1116)+('CAFCO 400 '!$H$16*(J1116^2)+'CAFCO 400 '!$H$17*J1116+'CAFCO 400 '!$H$18)),0)+IF(AND(L1116="Cafco 400",M1116="Software Idiem",C1116="Cj"),(((('CAFCO 400 '!$D$7*LN(J1116)+'CAFCO 400 '!$D$8)*U1116^2)+(('CAFCO 400 '!$D$9*LN(J1116)+'CAFCO 400 '!$D$10)*U1116)+('CAFCO 400 '!$D$11*LN(J1116)+'CAFCO 400 '!$D$12))),0)+IF(AND(L1116="Cafco 400",M1116="Software Idiem",C1116="C"),((('CAFCO 400 '!$L$7*(J1116^3)+'CAFCO 400 '!$L$8*(J1116^2)+'CAFCO 400 '!$L$9*J1116+'CAFCO 400 '!$L$10)*U1116^2)+(('CAFCO 400 '!$L$11*(J1116^3)+'CAFCO 400 '!$L$12*(J1116^2)+'CAFCO 400 '!$L$13*J1116+'CAFCO 400 '!$L$14)*U1116)+('CAFCO 400 '!$L$15*LN(J1116)+'CAFCO 400 '!$L$16)),0)+IF(AND(L1116="Cafco 400",M1116="Software Idiem",C1116="L"),((('CAFCO 400 '!$L$7*(J1116^3)+'CAFCO 400 '!$L$8*(J1116^2)+'CAFCO 400 '!$L$9*J1116+'CAFCO 400 '!$L$10)*U1116^2)+(('CAFCO 400 '!$L$11*(J1116^3)+'CAFCO 400 '!$L$12*(J1116^2)+'CAFCO 400 '!$L$13*J1116+'CAFCO 400 '!$L$14)*U1116)+('CAFCO 400 '!$L$15*LN(J1116)+'CAFCO 400 '!$L$16)),0)+IF(AND(L1116="Cafco 400",M1116="Software Idiem",C1116="IN",G1116=3),((('CAFCO 400 '!$D$23*(J1116^2)+'CAFCO 400 '!$D$24*(J1116)+'CAFCO 400 '!$D$25)*U1116^2)+(('CAFCO 400 '!$D$26*(J1116^2)+'CAFCO 400 '!$D$27*J1116+'CAFCO 400 '!$D$28)*U1116)+('CAFCO 400 '!$D$29*(J1116^2)+'CAFCO 400 '!$D$30*J1116+'CAFCO 400 '!$D$31)),0),0)+IF(AND(L1116="Cafco 300",J1116&gt;=95,J1116&lt;=240,C1116="Cj",I1116=90),VLOOKUP(T1116,'CAFCO 300 IDIEM TABLAS'!$B$4:$D$23,2,FALSE),0)+IF(AND(L1116="Cafco 300",J1116&gt;=95,J1116&lt;=240,C1116="Cj",I1116=120),VLOOKUP(T1116,'CAFCO 300 IDIEM TABLAS'!$B$4:$D$23,3,FALSE),0)+IF(AND(L1116="Cafco 300",J1116&gt;=95,J1116&lt;=400,G1116=3,C1116="IN",I1116=90),VLOOKUP(T1116,'CAFCO 300 IDIEM TABLAS'!$F$4:$H$35,2,FALSE),0)+IF(AND(L1116="Cafco 300",J1116&gt;=95,J1116&lt;=400,G1116=3,C1116="IN",I1116=120),VLOOKUP(T1116,'CAFCO 300 IDIEM TABLAS'!$F$4:$H$35,3,FALSE),0)+IF(AND(L1116="Cafco 300",J1116&gt;=95,J1116&lt;=450,G1116=4,C1116="IN",I1116=90),VLOOKUP(T1116,'CAFCO 300 IDIEM TABLAS'!$J$4:$L$40,2,FALSE),0)+IF(AND(L1116="Cafco 300",J1116&gt;=95,J1116&lt;=450,G1116=4,C1116="IN",I1116=120),VLOOKUP(T1116,'CAFCO 300 IDIEM TABLAS'!$J$4:$L$40,3,FALSE),0)+IF(AND(M1116="Ensayo Idiem",L1116="Cafco 400",C1116="IN",G1116=4,I1116=90),VLOOKUP(T1116,'CAFCO 400 ENSAYO'!$B$7:$D$43,2,FALSE),0)+IF(AND(M1116="Ensayo Idiem",L1116="Cafco 400",C1116="IN",G1116=4,I1116=120),VLOOKUP(T1116,'CAFCO 400 ENSAYO'!$B$7:$D$43,3,FALSE),0)</f>
        <v>0</v>
      </c>
      <c r="O1116" s="96">
        <f t="shared" si="114"/>
        <v>0</v>
      </c>
      <c r="P1116" s="95" t="str">
        <f t="shared" si="109"/>
        <v>N/A</v>
      </c>
      <c r="Q1116" s="95" t="str">
        <f t="shared" si="110"/>
        <v>N/A</v>
      </c>
      <c r="R1116" s="95" t="str">
        <f t="shared" si="111"/>
        <v>NO CERT.</v>
      </c>
      <c r="S1116" s="95" t="e">
        <f t="shared" si="112"/>
        <v>#N/A</v>
      </c>
      <c r="T1116" s="119" t="e">
        <f>+IF(J1116=LOOKUP(J1116,'CAFCO 300 IDIEM TABLAS'!$J$4:$J$40),'CALCULO MORTERO'!J1116,MROUND('CALCULO MORTERO'!J1116,10))</f>
        <v>#N/A</v>
      </c>
      <c r="U1116" s="118">
        <f t="shared" si="113"/>
        <v>0</v>
      </c>
    </row>
    <row r="1117" spans="1:21" x14ac:dyDescent="0.25">
      <c r="A1117" s="118">
        <f>+CUBICACION!D1111</f>
        <v>0</v>
      </c>
      <c r="B1117" s="819">
        <f>+CUBICACION!E1111</f>
        <v>0</v>
      </c>
      <c r="C1117" s="675">
        <f>+CUBICACION!F1111</f>
        <v>0</v>
      </c>
      <c r="D1117" s="118"/>
      <c r="E1117" s="118"/>
      <c r="F1117" s="820"/>
      <c r="G1117" s="675">
        <f>+CUBICACION!J1111</f>
        <v>0</v>
      </c>
      <c r="H1117" s="118"/>
      <c r="I1117" s="821">
        <f>+CUBICACION!L1111</f>
        <v>0</v>
      </c>
      <c r="J1117" s="64">
        <f>+CUBICACION!M1111</f>
        <v>0</v>
      </c>
      <c r="K1117" s="822" t="str">
        <f>+CUBICACION!N1111</f>
        <v/>
      </c>
      <c r="L1117" s="118">
        <f>+CUBICACION!O1111</f>
        <v>0</v>
      </c>
      <c r="M1117" s="823">
        <f>+CUBICACION!P1111</f>
        <v>0</v>
      </c>
      <c r="N1117" s="902">
        <f>ROUND(IF(AND(L1117="Blaze Shield II",M1117="Software Idiem",C1117="IN",G1117=4),((('BLAZE SHIELD II'!$D$4*('CALCULO MORTERO'!I1117^2)+'BLAZE SHIELD II'!$D$5*'CALCULO MORTERO'!I1117+'BLAZE SHIELD II'!$D$6)*LN(J1117))+('BLAZE SHIELD II'!$D$7*('CALCULO MORTERO'!I1117^2)+'BLAZE SHIELD II'!$D$8*'CALCULO MORTERO'!I1117+'BLAZE SHIELD II'!$D$9)),0)+IF(AND(L1117="Blaze Shield II",M1117="Software Idiem",C1117="Cj"),((('BLAZE SHIELD II'!$H$4*('CALCULO MORTERO'!I1117^2)+'BLAZE SHIELD II'!$H$5*'CALCULO MORTERO'!I1117+'BLAZE SHIELD II'!$H$6)*LN(J1117))+('BLAZE SHIELD II'!$H$7*('CALCULO MORTERO'!I1117^2)+'BLAZE SHIELD II'!$H$8*'CALCULO MORTERO'!I1117+'BLAZE SHIELD II'!$H$9)),0)+IF(AND(L1117="Blaze Shield II",M1117="Software Idiem",C1117="C"),((('BLAZE SHIELD II'!$L$4*('CALCULO MORTERO'!I1117^2)+'BLAZE SHIELD II'!$L$5*'CALCULO MORTERO'!I1117+'BLAZE SHIELD II'!$L$6)*LN(J1117))+('BLAZE SHIELD II'!$L$7*('CALCULO MORTERO'!I1117^2)+'BLAZE SHIELD II'!$L$8*'CALCULO MORTERO'!I1117+'BLAZE SHIELD II'!$L$9)),0)+IF(AND(L1117="Blaze Shield II",M1117="Software Idiem",C1117="L"),((('BLAZE SHIELD II'!$L$4*('CALCULO MORTERO'!I1117^2)+'BLAZE SHIELD II'!$L$5*'CALCULO MORTERO'!I1117+'BLAZE SHIELD II'!$L$6)*LN(J1117))+('BLAZE SHIELD II'!$L$7*('CALCULO MORTERO'!I1117^2)+'BLAZE SHIELD II'!$L$8*'CALCULO MORTERO'!I1117+'BLAZE SHIELD II'!$L$9)),0)+IF(AND(L1117="Blaze Shield II",M1117="Software Idiem",C1117="IN",G1117=3),((('BLAZE SHIELD II'!$H$14*('CALCULO MORTERO'!I1117^2)+'BLAZE SHIELD II'!$H$15*'CALCULO MORTERO'!I1117+'BLAZE SHIELD II'!$H$16)*LN(J1117))+('BLAZE SHIELD II'!$H$17*('CALCULO MORTERO'!I1117^2)+'BLAZE SHIELD II'!$H$18*'CALCULO MORTERO'!I1117+'BLAZE SHIELD II'!$H$19)),0),0)+ROUND(IF(AND(L1117="Cafco 400",M1117="Software Idiem",C1117="IN",G1117=4),((('CAFCO 400 '!$H$7*(J1117^4)+'CAFCO 400 '!$H$8*(J1117^3)+'CAFCO 400 '!$H$9*(J1117^2)+'CAFCO 400 '!$H$10*J1117+'CAFCO 400 '!$H$11)*U1117^2)+(('CAFCO 400 '!$H$12*(J1117^3)+'CAFCO 400 '!$H$13*(J1117^2)+'CAFCO 400 '!$H$14*J1117+'CAFCO 400 '!$H$15)*U1117)+('CAFCO 400 '!$H$16*(J1117^2)+'CAFCO 400 '!$H$17*J1117+'CAFCO 400 '!$H$18)),0)+IF(AND(L1117="Cafco 400",M1117="Software Idiem",C1117="Cj"),(((('CAFCO 400 '!$D$7*LN(J1117)+'CAFCO 400 '!$D$8)*U1117^2)+(('CAFCO 400 '!$D$9*LN(J1117)+'CAFCO 400 '!$D$10)*U1117)+('CAFCO 400 '!$D$11*LN(J1117)+'CAFCO 400 '!$D$12))),0)+IF(AND(L1117="Cafco 400",M1117="Software Idiem",C1117="C"),((('CAFCO 400 '!$L$7*(J1117^3)+'CAFCO 400 '!$L$8*(J1117^2)+'CAFCO 400 '!$L$9*J1117+'CAFCO 400 '!$L$10)*U1117^2)+(('CAFCO 400 '!$L$11*(J1117^3)+'CAFCO 400 '!$L$12*(J1117^2)+'CAFCO 400 '!$L$13*J1117+'CAFCO 400 '!$L$14)*U1117)+('CAFCO 400 '!$L$15*LN(J1117)+'CAFCO 400 '!$L$16)),0)+IF(AND(L1117="Cafco 400",M1117="Software Idiem",C1117="L"),((('CAFCO 400 '!$L$7*(J1117^3)+'CAFCO 400 '!$L$8*(J1117^2)+'CAFCO 400 '!$L$9*J1117+'CAFCO 400 '!$L$10)*U1117^2)+(('CAFCO 400 '!$L$11*(J1117^3)+'CAFCO 400 '!$L$12*(J1117^2)+'CAFCO 400 '!$L$13*J1117+'CAFCO 400 '!$L$14)*U1117)+('CAFCO 400 '!$L$15*LN(J1117)+'CAFCO 400 '!$L$16)),0)+IF(AND(L1117="Cafco 400",M1117="Software Idiem",C1117="IN",G1117=3),((('CAFCO 400 '!$D$23*(J1117^2)+'CAFCO 400 '!$D$24*(J1117)+'CAFCO 400 '!$D$25)*U1117^2)+(('CAFCO 400 '!$D$26*(J1117^2)+'CAFCO 400 '!$D$27*J1117+'CAFCO 400 '!$D$28)*U1117)+('CAFCO 400 '!$D$29*(J1117^2)+'CAFCO 400 '!$D$30*J1117+'CAFCO 400 '!$D$31)),0),0)+IF(AND(L1117="Cafco 300",J1117&gt;=95,J1117&lt;=240,C1117="Cj",I1117=90),VLOOKUP(T1117,'CAFCO 300 IDIEM TABLAS'!$B$4:$D$23,2,FALSE),0)+IF(AND(L1117="Cafco 300",J1117&gt;=95,J1117&lt;=240,C1117="Cj",I1117=120),VLOOKUP(T1117,'CAFCO 300 IDIEM TABLAS'!$B$4:$D$23,3,FALSE),0)+IF(AND(L1117="Cafco 300",J1117&gt;=95,J1117&lt;=400,G1117=3,C1117="IN",I1117=90),VLOOKUP(T1117,'CAFCO 300 IDIEM TABLAS'!$F$4:$H$35,2,FALSE),0)+IF(AND(L1117="Cafco 300",J1117&gt;=95,J1117&lt;=400,G1117=3,C1117="IN",I1117=120),VLOOKUP(T1117,'CAFCO 300 IDIEM TABLAS'!$F$4:$H$35,3,FALSE),0)+IF(AND(L1117="Cafco 300",J1117&gt;=95,J1117&lt;=450,G1117=4,C1117="IN",I1117=90),VLOOKUP(T1117,'CAFCO 300 IDIEM TABLAS'!$J$4:$L$40,2,FALSE),0)+IF(AND(L1117="Cafco 300",J1117&gt;=95,J1117&lt;=450,G1117=4,C1117="IN",I1117=120),VLOOKUP(T1117,'CAFCO 300 IDIEM TABLAS'!$J$4:$L$40,3,FALSE),0)+IF(AND(M1117="Ensayo Idiem",L1117="Cafco 400",C1117="IN",G1117=4,I1117=90),VLOOKUP(T1117,'CAFCO 400 ENSAYO'!$B$7:$D$43,2,FALSE),0)+IF(AND(M1117="Ensayo Idiem",L1117="Cafco 400",C1117="IN",G1117=4,I1117=120),VLOOKUP(T1117,'CAFCO 400 ENSAYO'!$B$7:$D$43,3,FALSE),0)</f>
        <v>0</v>
      </c>
      <c r="O1117" s="96">
        <f t="shared" si="114"/>
        <v>0</v>
      </c>
      <c r="P1117" s="132" t="str">
        <f t="shared" si="109"/>
        <v>N/A</v>
      </c>
      <c r="Q1117" s="132" t="str">
        <f t="shared" si="110"/>
        <v>N/A</v>
      </c>
      <c r="R1117" s="132" t="str">
        <f t="shared" si="111"/>
        <v>NO CERT.</v>
      </c>
      <c r="S1117" s="132" t="e">
        <f t="shared" si="112"/>
        <v>#N/A</v>
      </c>
      <c r="T1117" s="133" t="e">
        <f>+IF(J1117=LOOKUP(J1117,'CAFCO 300 IDIEM TABLAS'!$J$4:$J$40),'CALCULO MORTERO'!J1117,MROUND('CALCULO MORTERO'!J1117,10))</f>
        <v>#N/A</v>
      </c>
      <c r="U1117" s="134">
        <f t="shared" si="113"/>
        <v>0</v>
      </c>
    </row>
    <row r="1118" spans="1:21" x14ac:dyDescent="0.25">
      <c r="A1118" s="118">
        <f>+CUBICACION!D1112</f>
        <v>0</v>
      </c>
      <c r="B1118" s="819">
        <f>+CUBICACION!E1112</f>
        <v>0</v>
      </c>
      <c r="C1118" s="675">
        <f>+CUBICACION!F1112</f>
        <v>0</v>
      </c>
      <c r="D1118" s="118"/>
      <c r="E1118" s="118"/>
      <c r="F1118" s="820"/>
      <c r="G1118" s="675">
        <f>+CUBICACION!J1112</f>
        <v>0</v>
      </c>
      <c r="H1118" s="118"/>
      <c r="I1118" s="821">
        <f>+CUBICACION!L1112</f>
        <v>0</v>
      </c>
      <c r="J1118" s="64">
        <f>+CUBICACION!M1112</f>
        <v>0</v>
      </c>
      <c r="K1118" s="822" t="str">
        <f>+CUBICACION!N1112</f>
        <v/>
      </c>
      <c r="L1118" s="118">
        <f>+CUBICACION!O1112</f>
        <v>0</v>
      </c>
      <c r="M1118" s="823">
        <f>+CUBICACION!P1112</f>
        <v>0</v>
      </c>
      <c r="N1118" s="902">
        <f>ROUND(IF(AND(L1118="Blaze Shield II",M1118="Software Idiem",C1118="IN",G1118=4),((('BLAZE SHIELD II'!$D$4*('CALCULO MORTERO'!I1118^2)+'BLAZE SHIELD II'!$D$5*'CALCULO MORTERO'!I1118+'BLAZE SHIELD II'!$D$6)*LN(J1118))+('BLAZE SHIELD II'!$D$7*('CALCULO MORTERO'!I1118^2)+'BLAZE SHIELD II'!$D$8*'CALCULO MORTERO'!I1118+'BLAZE SHIELD II'!$D$9)),0)+IF(AND(L1118="Blaze Shield II",M1118="Software Idiem",C1118="Cj"),((('BLAZE SHIELD II'!$H$4*('CALCULO MORTERO'!I1118^2)+'BLAZE SHIELD II'!$H$5*'CALCULO MORTERO'!I1118+'BLAZE SHIELD II'!$H$6)*LN(J1118))+('BLAZE SHIELD II'!$H$7*('CALCULO MORTERO'!I1118^2)+'BLAZE SHIELD II'!$H$8*'CALCULO MORTERO'!I1118+'BLAZE SHIELD II'!$H$9)),0)+IF(AND(L1118="Blaze Shield II",M1118="Software Idiem",C1118="C"),((('BLAZE SHIELD II'!$L$4*('CALCULO MORTERO'!I1118^2)+'BLAZE SHIELD II'!$L$5*'CALCULO MORTERO'!I1118+'BLAZE SHIELD II'!$L$6)*LN(J1118))+('BLAZE SHIELD II'!$L$7*('CALCULO MORTERO'!I1118^2)+'BLAZE SHIELD II'!$L$8*'CALCULO MORTERO'!I1118+'BLAZE SHIELD II'!$L$9)),0)+IF(AND(L1118="Blaze Shield II",M1118="Software Idiem",C1118="L"),((('BLAZE SHIELD II'!$L$4*('CALCULO MORTERO'!I1118^2)+'BLAZE SHIELD II'!$L$5*'CALCULO MORTERO'!I1118+'BLAZE SHIELD II'!$L$6)*LN(J1118))+('BLAZE SHIELD II'!$L$7*('CALCULO MORTERO'!I1118^2)+'BLAZE SHIELD II'!$L$8*'CALCULO MORTERO'!I1118+'BLAZE SHIELD II'!$L$9)),0)+IF(AND(L1118="Blaze Shield II",M1118="Software Idiem",C1118="IN",G1118=3),((('BLAZE SHIELD II'!$H$14*('CALCULO MORTERO'!I1118^2)+'BLAZE SHIELD II'!$H$15*'CALCULO MORTERO'!I1118+'BLAZE SHIELD II'!$H$16)*LN(J1118))+('BLAZE SHIELD II'!$H$17*('CALCULO MORTERO'!I1118^2)+'BLAZE SHIELD II'!$H$18*'CALCULO MORTERO'!I1118+'BLAZE SHIELD II'!$H$19)),0),0)+ROUND(IF(AND(L1118="Cafco 400",M1118="Software Idiem",C1118="IN",G1118=4),((('CAFCO 400 '!$H$7*(J1118^4)+'CAFCO 400 '!$H$8*(J1118^3)+'CAFCO 400 '!$H$9*(J1118^2)+'CAFCO 400 '!$H$10*J1118+'CAFCO 400 '!$H$11)*U1118^2)+(('CAFCO 400 '!$H$12*(J1118^3)+'CAFCO 400 '!$H$13*(J1118^2)+'CAFCO 400 '!$H$14*J1118+'CAFCO 400 '!$H$15)*U1118)+('CAFCO 400 '!$H$16*(J1118^2)+'CAFCO 400 '!$H$17*J1118+'CAFCO 400 '!$H$18)),0)+IF(AND(L1118="Cafco 400",M1118="Software Idiem",C1118="Cj"),(((('CAFCO 400 '!$D$7*LN(J1118)+'CAFCO 400 '!$D$8)*U1118^2)+(('CAFCO 400 '!$D$9*LN(J1118)+'CAFCO 400 '!$D$10)*U1118)+('CAFCO 400 '!$D$11*LN(J1118)+'CAFCO 400 '!$D$12))),0)+IF(AND(L1118="Cafco 400",M1118="Software Idiem",C1118="C"),((('CAFCO 400 '!$L$7*(J1118^3)+'CAFCO 400 '!$L$8*(J1118^2)+'CAFCO 400 '!$L$9*J1118+'CAFCO 400 '!$L$10)*U1118^2)+(('CAFCO 400 '!$L$11*(J1118^3)+'CAFCO 400 '!$L$12*(J1118^2)+'CAFCO 400 '!$L$13*J1118+'CAFCO 400 '!$L$14)*U1118)+('CAFCO 400 '!$L$15*LN(J1118)+'CAFCO 400 '!$L$16)),0)+IF(AND(L1118="Cafco 400",M1118="Software Idiem",C1118="L"),((('CAFCO 400 '!$L$7*(J1118^3)+'CAFCO 400 '!$L$8*(J1118^2)+'CAFCO 400 '!$L$9*J1118+'CAFCO 400 '!$L$10)*U1118^2)+(('CAFCO 400 '!$L$11*(J1118^3)+'CAFCO 400 '!$L$12*(J1118^2)+'CAFCO 400 '!$L$13*J1118+'CAFCO 400 '!$L$14)*U1118)+('CAFCO 400 '!$L$15*LN(J1118)+'CAFCO 400 '!$L$16)),0)+IF(AND(L1118="Cafco 400",M1118="Software Idiem",C1118="IN",G1118=3),((('CAFCO 400 '!$D$23*(J1118^2)+'CAFCO 400 '!$D$24*(J1118)+'CAFCO 400 '!$D$25)*U1118^2)+(('CAFCO 400 '!$D$26*(J1118^2)+'CAFCO 400 '!$D$27*J1118+'CAFCO 400 '!$D$28)*U1118)+('CAFCO 400 '!$D$29*(J1118^2)+'CAFCO 400 '!$D$30*J1118+'CAFCO 400 '!$D$31)),0),0)+IF(AND(L1118="Cafco 300",J1118&gt;=95,J1118&lt;=240,C1118="Cj",I1118=90),VLOOKUP(T1118,'CAFCO 300 IDIEM TABLAS'!$B$4:$D$23,2,FALSE),0)+IF(AND(L1118="Cafco 300",J1118&gt;=95,J1118&lt;=240,C1118="Cj",I1118=120),VLOOKUP(T1118,'CAFCO 300 IDIEM TABLAS'!$B$4:$D$23,3,FALSE),0)+IF(AND(L1118="Cafco 300",J1118&gt;=95,J1118&lt;=400,G1118=3,C1118="IN",I1118=90),VLOOKUP(T1118,'CAFCO 300 IDIEM TABLAS'!$F$4:$H$35,2,FALSE),0)+IF(AND(L1118="Cafco 300",J1118&gt;=95,J1118&lt;=400,G1118=3,C1118="IN",I1118=120),VLOOKUP(T1118,'CAFCO 300 IDIEM TABLAS'!$F$4:$H$35,3,FALSE),0)+IF(AND(L1118="Cafco 300",J1118&gt;=95,J1118&lt;=450,G1118=4,C1118="IN",I1118=90),VLOOKUP(T1118,'CAFCO 300 IDIEM TABLAS'!$J$4:$L$40,2,FALSE),0)+IF(AND(L1118="Cafco 300",J1118&gt;=95,J1118&lt;=450,G1118=4,C1118="IN",I1118=120),VLOOKUP(T1118,'CAFCO 300 IDIEM TABLAS'!$J$4:$L$40,3,FALSE),0)+IF(AND(M1118="Ensayo Idiem",L1118="Cafco 400",C1118="IN",G1118=4,I1118=90),VLOOKUP(T1118,'CAFCO 400 ENSAYO'!$B$7:$D$43,2,FALSE),0)+IF(AND(M1118="Ensayo Idiem",L1118="Cafco 400",C1118="IN",G1118=4,I1118=120),VLOOKUP(T1118,'CAFCO 400 ENSAYO'!$B$7:$D$43,3,FALSE),0)</f>
        <v>0</v>
      </c>
      <c r="O1118" s="96">
        <f t="shared" si="114"/>
        <v>0</v>
      </c>
      <c r="P1118" s="95" t="str">
        <f t="shared" si="109"/>
        <v>N/A</v>
      </c>
      <c r="Q1118" s="95" t="str">
        <f t="shared" si="110"/>
        <v>N/A</v>
      </c>
      <c r="R1118" s="95" t="str">
        <f t="shared" si="111"/>
        <v>NO CERT.</v>
      </c>
      <c r="S1118" s="95" t="e">
        <f t="shared" si="112"/>
        <v>#N/A</v>
      </c>
      <c r="T1118" s="119" t="e">
        <f>+IF(J1118=LOOKUP(J1118,'CAFCO 300 IDIEM TABLAS'!$J$4:$J$40),'CALCULO MORTERO'!J1118,MROUND('CALCULO MORTERO'!J1118,10))</f>
        <v>#N/A</v>
      </c>
      <c r="U1118" s="118">
        <f t="shared" si="113"/>
        <v>0</v>
      </c>
    </row>
    <row r="1119" spans="1:21" x14ac:dyDescent="0.25">
      <c r="A1119" s="118">
        <f>+CUBICACION!D1113</f>
        <v>0</v>
      </c>
      <c r="B1119" s="819">
        <f>+CUBICACION!E1113</f>
        <v>0</v>
      </c>
      <c r="C1119" s="675">
        <f>+CUBICACION!F1113</f>
        <v>0</v>
      </c>
      <c r="D1119" s="118"/>
      <c r="E1119" s="118"/>
      <c r="F1119" s="820"/>
      <c r="G1119" s="675">
        <f>+CUBICACION!J1113</f>
        <v>0</v>
      </c>
      <c r="H1119" s="118"/>
      <c r="I1119" s="821">
        <f>+CUBICACION!L1113</f>
        <v>0</v>
      </c>
      <c r="J1119" s="64">
        <f>+CUBICACION!M1113</f>
        <v>0</v>
      </c>
      <c r="K1119" s="822" t="str">
        <f>+CUBICACION!N1113</f>
        <v/>
      </c>
      <c r="L1119" s="118">
        <f>+CUBICACION!O1113</f>
        <v>0</v>
      </c>
      <c r="M1119" s="823">
        <f>+CUBICACION!P1113</f>
        <v>0</v>
      </c>
      <c r="N1119" s="902">
        <f>ROUND(IF(AND(L1119="Blaze Shield II",M1119="Software Idiem",C1119="IN",G1119=4),((('BLAZE SHIELD II'!$D$4*('CALCULO MORTERO'!I1119^2)+'BLAZE SHIELD II'!$D$5*'CALCULO MORTERO'!I1119+'BLAZE SHIELD II'!$D$6)*LN(J1119))+('BLAZE SHIELD II'!$D$7*('CALCULO MORTERO'!I1119^2)+'BLAZE SHIELD II'!$D$8*'CALCULO MORTERO'!I1119+'BLAZE SHIELD II'!$D$9)),0)+IF(AND(L1119="Blaze Shield II",M1119="Software Idiem",C1119="Cj"),((('BLAZE SHIELD II'!$H$4*('CALCULO MORTERO'!I1119^2)+'BLAZE SHIELD II'!$H$5*'CALCULO MORTERO'!I1119+'BLAZE SHIELD II'!$H$6)*LN(J1119))+('BLAZE SHIELD II'!$H$7*('CALCULO MORTERO'!I1119^2)+'BLAZE SHIELD II'!$H$8*'CALCULO MORTERO'!I1119+'BLAZE SHIELD II'!$H$9)),0)+IF(AND(L1119="Blaze Shield II",M1119="Software Idiem",C1119="C"),((('BLAZE SHIELD II'!$L$4*('CALCULO MORTERO'!I1119^2)+'BLAZE SHIELD II'!$L$5*'CALCULO MORTERO'!I1119+'BLAZE SHIELD II'!$L$6)*LN(J1119))+('BLAZE SHIELD II'!$L$7*('CALCULO MORTERO'!I1119^2)+'BLAZE SHIELD II'!$L$8*'CALCULO MORTERO'!I1119+'BLAZE SHIELD II'!$L$9)),0)+IF(AND(L1119="Blaze Shield II",M1119="Software Idiem",C1119="L"),((('BLAZE SHIELD II'!$L$4*('CALCULO MORTERO'!I1119^2)+'BLAZE SHIELD II'!$L$5*'CALCULO MORTERO'!I1119+'BLAZE SHIELD II'!$L$6)*LN(J1119))+('BLAZE SHIELD II'!$L$7*('CALCULO MORTERO'!I1119^2)+'BLAZE SHIELD II'!$L$8*'CALCULO MORTERO'!I1119+'BLAZE SHIELD II'!$L$9)),0)+IF(AND(L1119="Blaze Shield II",M1119="Software Idiem",C1119="IN",G1119=3),((('BLAZE SHIELD II'!$H$14*('CALCULO MORTERO'!I1119^2)+'BLAZE SHIELD II'!$H$15*'CALCULO MORTERO'!I1119+'BLAZE SHIELD II'!$H$16)*LN(J1119))+('BLAZE SHIELD II'!$H$17*('CALCULO MORTERO'!I1119^2)+'BLAZE SHIELD II'!$H$18*'CALCULO MORTERO'!I1119+'BLAZE SHIELD II'!$H$19)),0),0)+ROUND(IF(AND(L1119="Cafco 400",M1119="Software Idiem",C1119="IN",G1119=4),((('CAFCO 400 '!$H$7*(J1119^4)+'CAFCO 400 '!$H$8*(J1119^3)+'CAFCO 400 '!$H$9*(J1119^2)+'CAFCO 400 '!$H$10*J1119+'CAFCO 400 '!$H$11)*U1119^2)+(('CAFCO 400 '!$H$12*(J1119^3)+'CAFCO 400 '!$H$13*(J1119^2)+'CAFCO 400 '!$H$14*J1119+'CAFCO 400 '!$H$15)*U1119)+('CAFCO 400 '!$H$16*(J1119^2)+'CAFCO 400 '!$H$17*J1119+'CAFCO 400 '!$H$18)),0)+IF(AND(L1119="Cafco 400",M1119="Software Idiem",C1119="Cj"),(((('CAFCO 400 '!$D$7*LN(J1119)+'CAFCO 400 '!$D$8)*U1119^2)+(('CAFCO 400 '!$D$9*LN(J1119)+'CAFCO 400 '!$D$10)*U1119)+('CAFCO 400 '!$D$11*LN(J1119)+'CAFCO 400 '!$D$12))),0)+IF(AND(L1119="Cafco 400",M1119="Software Idiem",C1119="C"),((('CAFCO 400 '!$L$7*(J1119^3)+'CAFCO 400 '!$L$8*(J1119^2)+'CAFCO 400 '!$L$9*J1119+'CAFCO 400 '!$L$10)*U1119^2)+(('CAFCO 400 '!$L$11*(J1119^3)+'CAFCO 400 '!$L$12*(J1119^2)+'CAFCO 400 '!$L$13*J1119+'CAFCO 400 '!$L$14)*U1119)+('CAFCO 400 '!$L$15*LN(J1119)+'CAFCO 400 '!$L$16)),0)+IF(AND(L1119="Cafco 400",M1119="Software Idiem",C1119="L"),((('CAFCO 400 '!$L$7*(J1119^3)+'CAFCO 400 '!$L$8*(J1119^2)+'CAFCO 400 '!$L$9*J1119+'CAFCO 400 '!$L$10)*U1119^2)+(('CAFCO 400 '!$L$11*(J1119^3)+'CAFCO 400 '!$L$12*(J1119^2)+'CAFCO 400 '!$L$13*J1119+'CAFCO 400 '!$L$14)*U1119)+('CAFCO 400 '!$L$15*LN(J1119)+'CAFCO 400 '!$L$16)),0)+IF(AND(L1119="Cafco 400",M1119="Software Idiem",C1119="IN",G1119=3),((('CAFCO 400 '!$D$23*(J1119^2)+'CAFCO 400 '!$D$24*(J1119)+'CAFCO 400 '!$D$25)*U1119^2)+(('CAFCO 400 '!$D$26*(J1119^2)+'CAFCO 400 '!$D$27*J1119+'CAFCO 400 '!$D$28)*U1119)+('CAFCO 400 '!$D$29*(J1119^2)+'CAFCO 400 '!$D$30*J1119+'CAFCO 400 '!$D$31)),0),0)+IF(AND(L1119="Cafco 300",J1119&gt;=95,J1119&lt;=240,C1119="Cj",I1119=90),VLOOKUP(T1119,'CAFCO 300 IDIEM TABLAS'!$B$4:$D$23,2,FALSE),0)+IF(AND(L1119="Cafco 300",J1119&gt;=95,J1119&lt;=240,C1119="Cj",I1119=120),VLOOKUP(T1119,'CAFCO 300 IDIEM TABLAS'!$B$4:$D$23,3,FALSE),0)+IF(AND(L1119="Cafco 300",J1119&gt;=95,J1119&lt;=400,G1119=3,C1119="IN",I1119=90),VLOOKUP(T1119,'CAFCO 300 IDIEM TABLAS'!$F$4:$H$35,2,FALSE),0)+IF(AND(L1119="Cafco 300",J1119&gt;=95,J1119&lt;=400,G1119=3,C1119="IN",I1119=120),VLOOKUP(T1119,'CAFCO 300 IDIEM TABLAS'!$F$4:$H$35,3,FALSE),0)+IF(AND(L1119="Cafco 300",J1119&gt;=95,J1119&lt;=450,G1119=4,C1119="IN",I1119=90),VLOOKUP(T1119,'CAFCO 300 IDIEM TABLAS'!$J$4:$L$40,2,FALSE),0)+IF(AND(L1119="Cafco 300",J1119&gt;=95,J1119&lt;=450,G1119=4,C1119="IN",I1119=120),VLOOKUP(T1119,'CAFCO 300 IDIEM TABLAS'!$J$4:$L$40,3,FALSE),0)+IF(AND(M1119="Ensayo Idiem",L1119="Cafco 400",C1119="IN",G1119=4,I1119=90),VLOOKUP(T1119,'CAFCO 400 ENSAYO'!$B$7:$D$43,2,FALSE),0)+IF(AND(M1119="Ensayo Idiem",L1119="Cafco 400",C1119="IN",G1119=4,I1119=120),VLOOKUP(T1119,'CAFCO 400 ENSAYO'!$B$7:$D$43,3,FALSE),0)</f>
        <v>0</v>
      </c>
      <c r="O1119" s="96">
        <f t="shared" si="114"/>
        <v>0</v>
      </c>
      <c r="P1119" s="132" t="str">
        <f t="shared" si="109"/>
        <v>N/A</v>
      </c>
      <c r="Q1119" s="132" t="str">
        <f t="shared" si="110"/>
        <v>N/A</v>
      </c>
      <c r="R1119" s="132" t="str">
        <f t="shared" si="111"/>
        <v>NO CERT.</v>
      </c>
      <c r="S1119" s="132" t="e">
        <f t="shared" si="112"/>
        <v>#N/A</v>
      </c>
      <c r="T1119" s="133" t="e">
        <f>+IF(J1119=LOOKUP(J1119,'CAFCO 300 IDIEM TABLAS'!$J$4:$J$40),'CALCULO MORTERO'!J1119,MROUND('CALCULO MORTERO'!J1119,10))</f>
        <v>#N/A</v>
      </c>
      <c r="U1119" s="134">
        <f t="shared" si="113"/>
        <v>0</v>
      </c>
    </row>
    <row r="1120" spans="1:21" x14ac:dyDescent="0.25">
      <c r="A1120" s="118">
        <f>+CUBICACION!D1114</f>
        <v>0</v>
      </c>
      <c r="B1120" s="819">
        <f>+CUBICACION!E1114</f>
        <v>0</v>
      </c>
      <c r="C1120" s="675">
        <f>+CUBICACION!F1114</f>
        <v>0</v>
      </c>
      <c r="D1120" s="118"/>
      <c r="E1120" s="118"/>
      <c r="F1120" s="820"/>
      <c r="G1120" s="675">
        <f>+CUBICACION!J1114</f>
        <v>0</v>
      </c>
      <c r="H1120" s="118"/>
      <c r="I1120" s="821">
        <f>+CUBICACION!L1114</f>
        <v>0</v>
      </c>
      <c r="J1120" s="64">
        <f>+CUBICACION!M1114</f>
        <v>0</v>
      </c>
      <c r="K1120" s="822" t="str">
        <f>+CUBICACION!N1114</f>
        <v/>
      </c>
      <c r="L1120" s="118">
        <f>+CUBICACION!O1114</f>
        <v>0</v>
      </c>
      <c r="M1120" s="823">
        <f>+CUBICACION!P1114</f>
        <v>0</v>
      </c>
      <c r="N1120" s="902">
        <f>ROUND(IF(AND(L1120="Blaze Shield II",M1120="Software Idiem",C1120="IN",G1120=4),((('BLAZE SHIELD II'!$D$4*('CALCULO MORTERO'!I1120^2)+'BLAZE SHIELD II'!$D$5*'CALCULO MORTERO'!I1120+'BLAZE SHIELD II'!$D$6)*LN(J1120))+('BLAZE SHIELD II'!$D$7*('CALCULO MORTERO'!I1120^2)+'BLAZE SHIELD II'!$D$8*'CALCULO MORTERO'!I1120+'BLAZE SHIELD II'!$D$9)),0)+IF(AND(L1120="Blaze Shield II",M1120="Software Idiem",C1120="Cj"),((('BLAZE SHIELD II'!$H$4*('CALCULO MORTERO'!I1120^2)+'BLAZE SHIELD II'!$H$5*'CALCULO MORTERO'!I1120+'BLAZE SHIELD II'!$H$6)*LN(J1120))+('BLAZE SHIELD II'!$H$7*('CALCULO MORTERO'!I1120^2)+'BLAZE SHIELD II'!$H$8*'CALCULO MORTERO'!I1120+'BLAZE SHIELD II'!$H$9)),0)+IF(AND(L1120="Blaze Shield II",M1120="Software Idiem",C1120="C"),((('BLAZE SHIELD II'!$L$4*('CALCULO MORTERO'!I1120^2)+'BLAZE SHIELD II'!$L$5*'CALCULO MORTERO'!I1120+'BLAZE SHIELD II'!$L$6)*LN(J1120))+('BLAZE SHIELD II'!$L$7*('CALCULO MORTERO'!I1120^2)+'BLAZE SHIELD II'!$L$8*'CALCULO MORTERO'!I1120+'BLAZE SHIELD II'!$L$9)),0)+IF(AND(L1120="Blaze Shield II",M1120="Software Idiem",C1120="L"),((('BLAZE SHIELD II'!$L$4*('CALCULO MORTERO'!I1120^2)+'BLAZE SHIELD II'!$L$5*'CALCULO MORTERO'!I1120+'BLAZE SHIELD II'!$L$6)*LN(J1120))+('BLAZE SHIELD II'!$L$7*('CALCULO MORTERO'!I1120^2)+'BLAZE SHIELD II'!$L$8*'CALCULO MORTERO'!I1120+'BLAZE SHIELD II'!$L$9)),0)+IF(AND(L1120="Blaze Shield II",M1120="Software Idiem",C1120="IN",G1120=3),((('BLAZE SHIELD II'!$H$14*('CALCULO MORTERO'!I1120^2)+'BLAZE SHIELD II'!$H$15*'CALCULO MORTERO'!I1120+'BLAZE SHIELD II'!$H$16)*LN(J1120))+('BLAZE SHIELD II'!$H$17*('CALCULO MORTERO'!I1120^2)+'BLAZE SHIELD II'!$H$18*'CALCULO MORTERO'!I1120+'BLAZE SHIELD II'!$H$19)),0),0)+ROUND(IF(AND(L1120="Cafco 400",M1120="Software Idiem",C1120="IN",G1120=4),((('CAFCO 400 '!$H$7*(J1120^4)+'CAFCO 400 '!$H$8*(J1120^3)+'CAFCO 400 '!$H$9*(J1120^2)+'CAFCO 400 '!$H$10*J1120+'CAFCO 400 '!$H$11)*U1120^2)+(('CAFCO 400 '!$H$12*(J1120^3)+'CAFCO 400 '!$H$13*(J1120^2)+'CAFCO 400 '!$H$14*J1120+'CAFCO 400 '!$H$15)*U1120)+('CAFCO 400 '!$H$16*(J1120^2)+'CAFCO 400 '!$H$17*J1120+'CAFCO 400 '!$H$18)),0)+IF(AND(L1120="Cafco 400",M1120="Software Idiem",C1120="Cj"),(((('CAFCO 400 '!$D$7*LN(J1120)+'CAFCO 400 '!$D$8)*U1120^2)+(('CAFCO 400 '!$D$9*LN(J1120)+'CAFCO 400 '!$D$10)*U1120)+('CAFCO 400 '!$D$11*LN(J1120)+'CAFCO 400 '!$D$12))),0)+IF(AND(L1120="Cafco 400",M1120="Software Idiem",C1120="C"),((('CAFCO 400 '!$L$7*(J1120^3)+'CAFCO 400 '!$L$8*(J1120^2)+'CAFCO 400 '!$L$9*J1120+'CAFCO 400 '!$L$10)*U1120^2)+(('CAFCO 400 '!$L$11*(J1120^3)+'CAFCO 400 '!$L$12*(J1120^2)+'CAFCO 400 '!$L$13*J1120+'CAFCO 400 '!$L$14)*U1120)+('CAFCO 400 '!$L$15*LN(J1120)+'CAFCO 400 '!$L$16)),0)+IF(AND(L1120="Cafco 400",M1120="Software Idiem",C1120="L"),((('CAFCO 400 '!$L$7*(J1120^3)+'CAFCO 400 '!$L$8*(J1120^2)+'CAFCO 400 '!$L$9*J1120+'CAFCO 400 '!$L$10)*U1120^2)+(('CAFCO 400 '!$L$11*(J1120^3)+'CAFCO 400 '!$L$12*(J1120^2)+'CAFCO 400 '!$L$13*J1120+'CAFCO 400 '!$L$14)*U1120)+('CAFCO 400 '!$L$15*LN(J1120)+'CAFCO 400 '!$L$16)),0)+IF(AND(L1120="Cafco 400",M1120="Software Idiem",C1120="IN",G1120=3),((('CAFCO 400 '!$D$23*(J1120^2)+'CAFCO 400 '!$D$24*(J1120)+'CAFCO 400 '!$D$25)*U1120^2)+(('CAFCO 400 '!$D$26*(J1120^2)+'CAFCO 400 '!$D$27*J1120+'CAFCO 400 '!$D$28)*U1120)+('CAFCO 400 '!$D$29*(J1120^2)+'CAFCO 400 '!$D$30*J1120+'CAFCO 400 '!$D$31)),0),0)+IF(AND(L1120="Cafco 300",J1120&gt;=95,J1120&lt;=240,C1120="Cj",I1120=90),VLOOKUP(T1120,'CAFCO 300 IDIEM TABLAS'!$B$4:$D$23,2,FALSE),0)+IF(AND(L1120="Cafco 300",J1120&gt;=95,J1120&lt;=240,C1120="Cj",I1120=120),VLOOKUP(T1120,'CAFCO 300 IDIEM TABLAS'!$B$4:$D$23,3,FALSE),0)+IF(AND(L1120="Cafco 300",J1120&gt;=95,J1120&lt;=400,G1120=3,C1120="IN",I1120=90),VLOOKUP(T1120,'CAFCO 300 IDIEM TABLAS'!$F$4:$H$35,2,FALSE),0)+IF(AND(L1120="Cafco 300",J1120&gt;=95,J1120&lt;=400,G1120=3,C1120="IN",I1120=120),VLOOKUP(T1120,'CAFCO 300 IDIEM TABLAS'!$F$4:$H$35,3,FALSE),0)+IF(AND(L1120="Cafco 300",J1120&gt;=95,J1120&lt;=450,G1120=4,C1120="IN",I1120=90),VLOOKUP(T1120,'CAFCO 300 IDIEM TABLAS'!$J$4:$L$40,2,FALSE),0)+IF(AND(L1120="Cafco 300",J1120&gt;=95,J1120&lt;=450,G1120=4,C1120="IN",I1120=120),VLOOKUP(T1120,'CAFCO 300 IDIEM TABLAS'!$J$4:$L$40,3,FALSE),0)+IF(AND(M1120="Ensayo Idiem",L1120="Cafco 400",C1120="IN",G1120=4,I1120=90),VLOOKUP(T1120,'CAFCO 400 ENSAYO'!$B$7:$D$43,2,FALSE),0)+IF(AND(M1120="Ensayo Idiem",L1120="Cafco 400",C1120="IN",G1120=4,I1120=120),VLOOKUP(T1120,'CAFCO 400 ENSAYO'!$B$7:$D$43,3,FALSE),0)</f>
        <v>0</v>
      </c>
      <c r="O1120" s="96">
        <f t="shared" si="114"/>
        <v>0</v>
      </c>
      <c r="P1120" s="95" t="str">
        <f t="shared" si="109"/>
        <v>N/A</v>
      </c>
      <c r="Q1120" s="95" t="str">
        <f t="shared" si="110"/>
        <v>N/A</v>
      </c>
      <c r="R1120" s="95" t="str">
        <f t="shared" si="111"/>
        <v>NO CERT.</v>
      </c>
      <c r="S1120" s="95" t="e">
        <f t="shared" si="112"/>
        <v>#N/A</v>
      </c>
      <c r="T1120" s="119" t="e">
        <f>+IF(J1120=LOOKUP(J1120,'CAFCO 300 IDIEM TABLAS'!$J$4:$J$40),'CALCULO MORTERO'!J1120,MROUND('CALCULO MORTERO'!J1120,10))</f>
        <v>#N/A</v>
      </c>
      <c r="U1120" s="118">
        <f t="shared" si="113"/>
        <v>0</v>
      </c>
    </row>
    <row r="1121" spans="1:21" x14ac:dyDescent="0.25">
      <c r="A1121" s="118">
        <f>+CUBICACION!D1115</f>
        <v>0</v>
      </c>
      <c r="B1121" s="819">
        <f>+CUBICACION!E1115</f>
        <v>0</v>
      </c>
      <c r="C1121" s="675">
        <f>+CUBICACION!F1115</f>
        <v>0</v>
      </c>
      <c r="D1121" s="118"/>
      <c r="E1121" s="118"/>
      <c r="F1121" s="820"/>
      <c r="G1121" s="675">
        <f>+CUBICACION!J1115</f>
        <v>0</v>
      </c>
      <c r="H1121" s="118"/>
      <c r="I1121" s="821">
        <f>+CUBICACION!L1115</f>
        <v>0</v>
      </c>
      <c r="J1121" s="64">
        <f>+CUBICACION!M1115</f>
        <v>0</v>
      </c>
      <c r="K1121" s="822" t="str">
        <f>+CUBICACION!N1115</f>
        <v/>
      </c>
      <c r="L1121" s="118">
        <f>+CUBICACION!O1115</f>
        <v>0</v>
      </c>
      <c r="M1121" s="823">
        <f>+CUBICACION!P1115</f>
        <v>0</v>
      </c>
      <c r="N1121" s="902">
        <f>ROUND(IF(AND(L1121="Blaze Shield II",M1121="Software Idiem",C1121="IN",G1121=4),((('BLAZE SHIELD II'!$D$4*('CALCULO MORTERO'!I1121^2)+'BLAZE SHIELD II'!$D$5*'CALCULO MORTERO'!I1121+'BLAZE SHIELD II'!$D$6)*LN(J1121))+('BLAZE SHIELD II'!$D$7*('CALCULO MORTERO'!I1121^2)+'BLAZE SHIELD II'!$D$8*'CALCULO MORTERO'!I1121+'BLAZE SHIELD II'!$D$9)),0)+IF(AND(L1121="Blaze Shield II",M1121="Software Idiem",C1121="Cj"),((('BLAZE SHIELD II'!$H$4*('CALCULO MORTERO'!I1121^2)+'BLAZE SHIELD II'!$H$5*'CALCULO MORTERO'!I1121+'BLAZE SHIELD II'!$H$6)*LN(J1121))+('BLAZE SHIELD II'!$H$7*('CALCULO MORTERO'!I1121^2)+'BLAZE SHIELD II'!$H$8*'CALCULO MORTERO'!I1121+'BLAZE SHIELD II'!$H$9)),0)+IF(AND(L1121="Blaze Shield II",M1121="Software Idiem",C1121="C"),((('BLAZE SHIELD II'!$L$4*('CALCULO MORTERO'!I1121^2)+'BLAZE SHIELD II'!$L$5*'CALCULO MORTERO'!I1121+'BLAZE SHIELD II'!$L$6)*LN(J1121))+('BLAZE SHIELD II'!$L$7*('CALCULO MORTERO'!I1121^2)+'BLAZE SHIELD II'!$L$8*'CALCULO MORTERO'!I1121+'BLAZE SHIELD II'!$L$9)),0)+IF(AND(L1121="Blaze Shield II",M1121="Software Idiem",C1121="L"),((('BLAZE SHIELD II'!$L$4*('CALCULO MORTERO'!I1121^2)+'BLAZE SHIELD II'!$L$5*'CALCULO MORTERO'!I1121+'BLAZE SHIELD II'!$L$6)*LN(J1121))+('BLAZE SHIELD II'!$L$7*('CALCULO MORTERO'!I1121^2)+'BLAZE SHIELD II'!$L$8*'CALCULO MORTERO'!I1121+'BLAZE SHIELD II'!$L$9)),0)+IF(AND(L1121="Blaze Shield II",M1121="Software Idiem",C1121="IN",G1121=3),((('BLAZE SHIELD II'!$H$14*('CALCULO MORTERO'!I1121^2)+'BLAZE SHIELD II'!$H$15*'CALCULO MORTERO'!I1121+'BLAZE SHIELD II'!$H$16)*LN(J1121))+('BLAZE SHIELD II'!$H$17*('CALCULO MORTERO'!I1121^2)+'BLAZE SHIELD II'!$H$18*'CALCULO MORTERO'!I1121+'BLAZE SHIELD II'!$H$19)),0),0)+ROUND(IF(AND(L1121="Cafco 400",M1121="Software Idiem",C1121="IN",G1121=4),((('CAFCO 400 '!$H$7*(J1121^4)+'CAFCO 400 '!$H$8*(J1121^3)+'CAFCO 400 '!$H$9*(J1121^2)+'CAFCO 400 '!$H$10*J1121+'CAFCO 400 '!$H$11)*U1121^2)+(('CAFCO 400 '!$H$12*(J1121^3)+'CAFCO 400 '!$H$13*(J1121^2)+'CAFCO 400 '!$H$14*J1121+'CAFCO 400 '!$H$15)*U1121)+('CAFCO 400 '!$H$16*(J1121^2)+'CAFCO 400 '!$H$17*J1121+'CAFCO 400 '!$H$18)),0)+IF(AND(L1121="Cafco 400",M1121="Software Idiem",C1121="Cj"),(((('CAFCO 400 '!$D$7*LN(J1121)+'CAFCO 400 '!$D$8)*U1121^2)+(('CAFCO 400 '!$D$9*LN(J1121)+'CAFCO 400 '!$D$10)*U1121)+('CAFCO 400 '!$D$11*LN(J1121)+'CAFCO 400 '!$D$12))),0)+IF(AND(L1121="Cafco 400",M1121="Software Idiem",C1121="C"),((('CAFCO 400 '!$L$7*(J1121^3)+'CAFCO 400 '!$L$8*(J1121^2)+'CAFCO 400 '!$L$9*J1121+'CAFCO 400 '!$L$10)*U1121^2)+(('CAFCO 400 '!$L$11*(J1121^3)+'CAFCO 400 '!$L$12*(J1121^2)+'CAFCO 400 '!$L$13*J1121+'CAFCO 400 '!$L$14)*U1121)+('CAFCO 400 '!$L$15*LN(J1121)+'CAFCO 400 '!$L$16)),0)+IF(AND(L1121="Cafco 400",M1121="Software Idiem",C1121="L"),((('CAFCO 400 '!$L$7*(J1121^3)+'CAFCO 400 '!$L$8*(J1121^2)+'CAFCO 400 '!$L$9*J1121+'CAFCO 400 '!$L$10)*U1121^2)+(('CAFCO 400 '!$L$11*(J1121^3)+'CAFCO 400 '!$L$12*(J1121^2)+'CAFCO 400 '!$L$13*J1121+'CAFCO 400 '!$L$14)*U1121)+('CAFCO 400 '!$L$15*LN(J1121)+'CAFCO 400 '!$L$16)),0)+IF(AND(L1121="Cafco 400",M1121="Software Idiem",C1121="IN",G1121=3),((('CAFCO 400 '!$D$23*(J1121^2)+'CAFCO 400 '!$D$24*(J1121)+'CAFCO 400 '!$D$25)*U1121^2)+(('CAFCO 400 '!$D$26*(J1121^2)+'CAFCO 400 '!$D$27*J1121+'CAFCO 400 '!$D$28)*U1121)+('CAFCO 400 '!$D$29*(J1121^2)+'CAFCO 400 '!$D$30*J1121+'CAFCO 400 '!$D$31)),0),0)+IF(AND(L1121="Cafco 300",J1121&gt;=95,J1121&lt;=240,C1121="Cj",I1121=90),VLOOKUP(T1121,'CAFCO 300 IDIEM TABLAS'!$B$4:$D$23,2,FALSE),0)+IF(AND(L1121="Cafco 300",J1121&gt;=95,J1121&lt;=240,C1121="Cj",I1121=120),VLOOKUP(T1121,'CAFCO 300 IDIEM TABLAS'!$B$4:$D$23,3,FALSE),0)+IF(AND(L1121="Cafco 300",J1121&gt;=95,J1121&lt;=400,G1121=3,C1121="IN",I1121=90),VLOOKUP(T1121,'CAFCO 300 IDIEM TABLAS'!$F$4:$H$35,2,FALSE),0)+IF(AND(L1121="Cafco 300",J1121&gt;=95,J1121&lt;=400,G1121=3,C1121="IN",I1121=120),VLOOKUP(T1121,'CAFCO 300 IDIEM TABLAS'!$F$4:$H$35,3,FALSE),0)+IF(AND(L1121="Cafco 300",J1121&gt;=95,J1121&lt;=450,G1121=4,C1121="IN",I1121=90),VLOOKUP(T1121,'CAFCO 300 IDIEM TABLAS'!$J$4:$L$40,2,FALSE),0)+IF(AND(L1121="Cafco 300",J1121&gt;=95,J1121&lt;=450,G1121=4,C1121="IN",I1121=120),VLOOKUP(T1121,'CAFCO 300 IDIEM TABLAS'!$J$4:$L$40,3,FALSE),0)+IF(AND(M1121="Ensayo Idiem",L1121="Cafco 400",C1121="IN",G1121=4,I1121=90),VLOOKUP(T1121,'CAFCO 400 ENSAYO'!$B$7:$D$43,2,FALSE),0)+IF(AND(M1121="Ensayo Idiem",L1121="Cafco 400",C1121="IN",G1121=4,I1121=120),VLOOKUP(T1121,'CAFCO 400 ENSAYO'!$B$7:$D$43,3,FALSE),0)</f>
        <v>0</v>
      </c>
      <c r="O1121" s="96">
        <f t="shared" si="114"/>
        <v>0</v>
      </c>
      <c r="P1121" s="132" t="str">
        <f t="shared" si="109"/>
        <v>N/A</v>
      </c>
      <c r="Q1121" s="132" t="str">
        <f t="shared" si="110"/>
        <v>N/A</v>
      </c>
      <c r="R1121" s="132" t="str">
        <f t="shared" si="111"/>
        <v>NO CERT.</v>
      </c>
      <c r="S1121" s="132" t="e">
        <f t="shared" si="112"/>
        <v>#N/A</v>
      </c>
      <c r="T1121" s="133" t="e">
        <f>+IF(J1121=LOOKUP(J1121,'CAFCO 300 IDIEM TABLAS'!$J$4:$J$40),'CALCULO MORTERO'!J1121,MROUND('CALCULO MORTERO'!J1121,10))</f>
        <v>#N/A</v>
      </c>
      <c r="U1121" s="134">
        <f t="shared" si="113"/>
        <v>0</v>
      </c>
    </row>
    <row r="1122" spans="1:21" x14ac:dyDescent="0.25">
      <c r="A1122" s="118">
        <f>+CUBICACION!D1116</f>
        <v>0</v>
      </c>
      <c r="B1122" s="819">
        <f>+CUBICACION!E1116</f>
        <v>0</v>
      </c>
      <c r="C1122" s="675">
        <f>+CUBICACION!F1116</f>
        <v>0</v>
      </c>
      <c r="D1122" s="118"/>
      <c r="E1122" s="118"/>
      <c r="F1122" s="820"/>
      <c r="G1122" s="675">
        <f>+CUBICACION!J1116</f>
        <v>0</v>
      </c>
      <c r="H1122" s="118"/>
      <c r="I1122" s="821">
        <f>+CUBICACION!L1116</f>
        <v>0</v>
      </c>
      <c r="J1122" s="64">
        <f>+CUBICACION!M1116</f>
        <v>0</v>
      </c>
      <c r="K1122" s="822" t="str">
        <f>+CUBICACION!N1116</f>
        <v/>
      </c>
      <c r="L1122" s="118">
        <f>+CUBICACION!O1116</f>
        <v>0</v>
      </c>
      <c r="M1122" s="823">
        <f>+CUBICACION!P1116</f>
        <v>0</v>
      </c>
      <c r="N1122" s="902">
        <f>ROUND(IF(AND(L1122="Blaze Shield II",M1122="Software Idiem",C1122="IN",G1122=4),((('BLAZE SHIELD II'!$D$4*('CALCULO MORTERO'!I1122^2)+'BLAZE SHIELD II'!$D$5*'CALCULO MORTERO'!I1122+'BLAZE SHIELD II'!$D$6)*LN(J1122))+('BLAZE SHIELD II'!$D$7*('CALCULO MORTERO'!I1122^2)+'BLAZE SHIELD II'!$D$8*'CALCULO MORTERO'!I1122+'BLAZE SHIELD II'!$D$9)),0)+IF(AND(L1122="Blaze Shield II",M1122="Software Idiem",C1122="Cj"),((('BLAZE SHIELD II'!$H$4*('CALCULO MORTERO'!I1122^2)+'BLAZE SHIELD II'!$H$5*'CALCULO MORTERO'!I1122+'BLAZE SHIELD II'!$H$6)*LN(J1122))+('BLAZE SHIELD II'!$H$7*('CALCULO MORTERO'!I1122^2)+'BLAZE SHIELD II'!$H$8*'CALCULO MORTERO'!I1122+'BLAZE SHIELD II'!$H$9)),0)+IF(AND(L1122="Blaze Shield II",M1122="Software Idiem",C1122="C"),((('BLAZE SHIELD II'!$L$4*('CALCULO MORTERO'!I1122^2)+'BLAZE SHIELD II'!$L$5*'CALCULO MORTERO'!I1122+'BLAZE SHIELD II'!$L$6)*LN(J1122))+('BLAZE SHIELD II'!$L$7*('CALCULO MORTERO'!I1122^2)+'BLAZE SHIELD II'!$L$8*'CALCULO MORTERO'!I1122+'BLAZE SHIELD II'!$L$9)),0)+IF(AND(L1122="Blaze Shield II",M1122="Software Idiem",C1122="L"),((('BLAZE SHIELD II'!$L$4*('CALCULO MORTERO'!I1122^2)+'BLAZE SHIELD II'!$L$5*'CALCULO MORTERO'!I1122+'BLAZE SHIELD II'!$L$6)*LN(J1122))+('BLAZE SHIELD II'!$L$7*('CALCULO MORTERO'!I1122^2)+'BLAZE SHIELD II'!$L$8*'CALCULO MORTERO'!I1122+'BLAZE SHIELD II'!$L$9)),0)+IF(AND(L1122="Blaze Shield II",M1122="Software Idiem",C1122="IN",G1122=3),((('BLAZE SHIELD II'!$H$14*('CALCULO MORTERO'!I1122^2)+'BLAZE SHIELD II'!$H$15*'CALCULO MORTERO'!I1122+'BLAZE SHIELD II'!$H$16)*LN(J1122))+('BLAZE SHIELD II'!$H$17*('CALCULO MORTERO'!I1122^2)+'BLAZE SHIELD II'!$H$18*'CALCULO MORTERO'!I1122+'BLAZE SHIELD II'!$H$19)),0),0)+ROUND(IF(AND(L1122="Cafco 400",M1122="Software Idiem",C1122="IN",G1122=4),((('CAFCO 400 '!$H$7*(J1122^4)+'CAFCO 400 '!$H$8*(J1122^3)+'CAFCO 400 '!$H$9*(J1122^2)+'CAFCO 400 '!$H$10*J1122+'CAFCO 400 '!$H$11)*U1122^2)+(('CAFCO 400 '!$H$12*(J1122^3)+'CAFCO 400 '!$H$13*(J1122^2)+'CAFCO 400 '!$H$14*J1122+'CAFCO 400 '!$H$15)*U1122)+('CAFCO 400 '!$H$16*(J1122^2)+'CAFCO 400 '!$H$17*J1122+'CAFCO 400 '!$H$18)),0)+IF(AND(L1122="Cafco 400",M1122="Software Idiem",C1122="Cj"),(((('CAFCO 400 '!$D$7*LN(J1122)+'CAFCO 400 '!$D$8)*U1122^2)+(('CAFCO 400 '!$D$9*LN(J1122)+'CAFCO 400 '!$D$10)*U1122)+('CAFCO 400 '!$D$11*LN(J1122)+'CAFCO 400 '!$D$12))),0)+IF(AND(L1122="Cafco 400",M1122="Software Idiem",C1122="C"),((('CAFCO 400 '!$L$7*(J1122^3)+'CAFCO 400 '!$L$8*(J1122^2)+'CAFCO 400 '!$L$9*J1122+'CAFCO 400 '!$L$10)*U1122^2)+(('CAFCO 400 '!$L$11*(J1122^3)+'CAFCO 400 '!$L$12*(J1122^2)+'CAFCO 400 '!$L$13*J1122+'CAFCO 400 '!$L$14)*U1122)+('CAFCO 400 '!$L$15*LN(J1122)+'CAFCO 400 '!$L$16)),0)+IF(AND(L1122="Cafco 400",M1122="Software Idiem",C1122="L"),((('CAFCO 400 '!$L$7*(J1122^3)+'CAFCO 400 '!$L$8*(J1122^2)+'CAFCO 400 '!$L$9*J1122+'CAFCO 400 '!$L$10)*U1122^2)+(('CAFCO 400 '!$L$11*(J1122^3)+'CAFCO 400 '!$L$12*(J1122^2)+'CAFCO 400 '!$L$13*J1122+'CAFCO 400 '!$L$14)*U1122)+('CAFCO 400 '!$L$15*LN(J1122)+'CAFCO 400 '!$L$16)),0)+IF(AND(L1122="Cafco 400",M1122="Software Idiem",C1122="IN",G1122=3),((('CAFCO 400 '!$D$23*(J1122^2)+'CAFCO 400 '!$D$24*(J1122)+'CAFCO 400 '!$D$25)*U1122^2)+(('CAFCO 400 '!$D$26*(J1122^2)+'CAFCO 400 '!$D$27*J1122+'CAFCO 400 '!$D$28)*U1122)+('CAFCO 400 '!$D$29*(J1122^2)+'CAFCO 400 '!$D$30*J1122+'CAFCO 400 '!$D$31)),0),0)+IF(AND(L1122="Cafco 300",J1122&gt;=95,J1122&lt;=240,C1122="Cj",I1122=90),VLOOKUP(T1122,'CAFCO 300 IDIEM TABLAS'!$B$4:$D$23,2,FALSE),0)+IF(AND(L1122="Cafco 300",J1122&gt;=95,J1122&lt;=240,C1122="Cj",I1122=120),VLOOKUP(T1122,'CAFCO 300 IDIEM TABLAS'!$B$4:$D$23,3,FALSE),0)+IF(AND(L1122="Cafco 300",J1122&gt;=95,J1122&lt;=400,G1122=3,C1122="IN",I1122=90),VLOOKUP(T1122,'CAFCO 300 IDIEM TABLAS'!$F$4:$H$35,2,FALSE),0)+IF(AND(L1122="Cafco 300",J1122&gt;=95,J1122&lt;=400,G1122=3,C1122="IN",I1122=120),VLOOKUP(T1122,'CAFCO 300 IDIEM TABLAS'!$F$4:$H$35,3,FALSE),0)+IF(AND(L1122="Cafco 300",J1122&gt;=95,J1122&lt;=450,G1122=4,C1122="IN",I1122=90),VLOOKUP(T1122,'CAFCO 300 IDIEM TABLAS'!$J$4:$L$40,2,FALSE),0)+IF(AND(L1122="Cafco 300",J1122&gt;=95,J1122&lt;=450,G1122=4,C1122="IN",I1122=120),VLOOKUP(T1122,'CAFCO 300 IDIEM TABLAS'!$J$4:$L$40,3,FALSE),0)+IF(AND(M1122="Ensayo Idiem",L1122="Cafco 400",C1122="IN",G1122=4,I1122=90),VLOOKUP(T1122,'CAFCO 400 ENSAYO'!$B$7:$D$43,2,FALSE),0)+IF(AND(M1122="Ensayo Idiem",L1122="Cafco 400",C1122="IN",G1122=4,I1122=120),VLOOKUP(T1122,'CAFCO 400 ENSAYO'!$B$7:$D$43,3,FALSE),0)</f>
        <v>0</v>
      </c>
      <c r="O1122" s="96">
        <f t="shared" si="114"/>
        <v>0</v>
      </c>
      <c r="P1122" s="95" t="str">
        <f t="shared" si="109"/>
        <v>N/A</v>
      </c>
      <c r="Q1122" s="95" t="str">
        <f t="shared" si="110"/>
        <v>N/A</v>
      </c>
      <c r="R1122" s="95" t="str">
        <f t="shared" si="111"/>
        <v>NO CERT.</v>
      </c>
      <c r="S1122" s="95" t="e">
        <f t="shared" si="112"/>
        <v>#N/A</v>
      </c>
      <c r="T1122" s="119" t="e">
        <f>+IF(J1122=LOOKUP(J1122,'CAFCO 300 IDIEM TABLAS'!$J$4:$J$40),'CALCULO MORTERO'!J1122,MROUND('CALCULO MORTERO'!J1122,10))</f>
        <v>#N/A</v>
      </c>
      <c r="U1122" s="118">
        <f t="shared" si="113"/>
        <v>0</v>
      </c>
    </row>
    <row r="1123" spans="1:21" x14ac:dyDescent="0.25">
      <c r="A1123" s="118">
        <f>+CUBICACION!D1117</f>
        <v>0</v>
      </c>
      <c r="B1123" s="819">
        <f>+CUBICACION!E1117</f>
        <v>0</v>
      </c>
      <c r="C1123" s="675">
        <f>+CUBICACION!F1117</f>
        <v>0</v>
      </c>
      <c r="D1123" s="118"/>
      <c r="E1123" s="118"/>
      <c r="F1123" s="820"/>
      <c r="G1123" s="675">
        <f>+CUBICACION!J1117</f>
        <v>0</v>
      </c>
      <c r="H1123" s="118"/>
      <c r="I1123" s="821">
        <f>+CUBICACION!L1117</f>
        <v>0</v>
      </c>
      <c r="J1123" s="64">
        <f>+CUBICACION!M1117</f>
        <v>0</v>
      </c>
      <c r="K1123" s="822" t="str">
        <f>+CUBICACION!N1117</f>
        <v/>
      </c>
      <c r="L1123" s="118">
        <f>+CUBICACION!O1117</f>
        <v>0</v>
      </c>
      <c r="M1123" s="823">
        <f>+CUBICACION!P1117</f>
        <v>0</v>
      </c>
      <c r="N1123" s="902">
        <f>ROUND(IF(AND(L1123="Blaze Shield II",M1123="Software Idiem",C1123="IN",G1123=4),((('BLAZE SHIELD II'!$D$4*('CALCULO MORTERO'!I1123^2)+'BLAZE SHIELD II'!$D$5*'CALCULO MORTERO'!I1123+'BLAZE SHIELD II'!$D$6)*LN(J1123))+('BLAZE SHIELD II'!$D$7*('CALCULO MORTERO'!I1123^2)+'BLAZE SHIELD II'!$D$8*'CALCULO MORTERO'!I1123+'BLAZE SHIELD II'!$D$9)),0)+IF(AND(L1123="Blaze Shield II",M1123="Software Idiem",C1123="Cj"),((('BLAZE SHIELD II'!$H$4*('CALCULO MORTERO'!I1123^2)+'BLAZE SHIELD II'!$H$5*'CALCULO MORTERO'!I1123+'BLAZE SHIELD II'!$H$6)*LN(J1123))+('BLAZE SHIELD II'!$H$7*('CALCULO MORTERO'!I1123^2)+'BLAZE SHIELD II'!$H$8*'CALCULO MORTERO'!I1123+'BLAZE SHIELD II'!$H$9)),0)+IF(AND(L1123="Blaze Shield II",M1123="Software Idiem",C1123="C"),((('BLAZE SHIELD II'!$L$4*('CALCULO MORTERO'!I1123^2)+'BLAZE SHIELD II'!$L$5*'CALCULO MORTERO'!I1123+'BLAZE SHIELD II'!$L$6)*LN(J1123))+('BLAZE SHIELD II'!$L$7*('CALCULO MORTERO'!I1123^2)+'BLAZE SHIELD II'!$L$8*'CALCULO MORTERO'!I1123+'BLAZE SHIELD II'!$L$9)),0)+IF(AND(L1123="Blaze Shield II",M1123="Software Idiem",C1123="L"),((('BLAZE SHIELD II'!$L$4*('CALCULO MORTERO'!I1123^2)+'BLAZE SHIELD II'!$L$5*'CALCULO MORTERO'!I1123+'BLAZE SHIELD II'!$L$6)*LN(J1123))+('BLAZE SHIELD II'!$L$7*('CALCULO MORTERO'!I1123^2)+'BLAZE SHIELD II'!$L$8*'CALCULO MORTERO'!I1123+'BLAZE SHIELD II'!$L$9)),0)+IF(AND(L1123="Blaze Shield II",M1123="Software Idiem",C1123="IN",G1123=3),((('BLAZE SHIELD II'!$H$14*('CALCULO MORTERO'!I1123^2)+'BLAZE SHIELD II'!$H$15*'CALCULO MORTERO'!I1123+'BLAZE SHIELD II'!$H$16)*LN(J1123))+('BLAZE SHIELD II'!$H$17*('CALCULO MORTERO'!I1123^2)+'BLAZE SHIELD II'!$H$18*'CALCULO MORTERO'!I1123+'BLAZE SHIELD II'!$H$19)),0),0)+ROUND(IF(AND(L1123="Cafco 400",M1123="Software Idiem",C1123="IN",G1123=4),((('CAFCO 400 '!$H$7*(J1123^4)+'CAFCO 400 '!$H$8*(J1123^3)+'CAFCO 400 '!$H$9*(J1123^2)+'CAFCO 400 '!$H$10*J1123+'CAFCO 400 '!$H$11)*U1123^2)+(('CAFCO 400 '!$H$12*(J1123^3)+'CAFCO 400 '!$H$13*(J1123^2)+'CAFCO 400 '!$H$14*J1123+'CAFCO 400 '!$H$15)*U1123)+('CAFCO 400 '!$H$16*(J1123^2)+'CAFCO 400 '!$H$17*J1123+'CAFCO 400 '!$H$18)),0)+IF(AND(L1123="Cafco 400",M1123="Software Idiem",C1123="Cj"),(((('CAFCO 400 '!$D$7*LN(J1123)+'CAFCO 400 '!$D$8)*U1123^2)+(('CAFCO 400 '!$D$9*LN(J1123)+'CAFCO 400 '!$D$10)*U1123)+('CAFCO 400 '!$D$11*LN(J1123)+'CAFCO 400 '!$D$12))),0)+IF(AND(L1123="Cafco 400",M1123="Software Idiem",C1123="C"),((('CAFCO 400 '!$L$7*(J1123^3)+'CAFCO 400 '!$L$8*(J1123^2)+'CAFCO 400 '!$L$9*J1123+'CAFCO 400 '!$L$10)*U1123^2)+(('CAFCO 400 '!$L$11*(J1123^3)+'CAFCO 400 '!$L$12*(J1123^2)+'CAFCO 400 '!$L$13*J1123+'CAFCO 400 '!$L$14)*U1123)+('CAFCO 400 '!$L$15*LN(J1123)+'CAFCO 400 '!$L$16)),0)+IF(AND(L1123="Cafco 400",M1123="Software Idiem",C1123="L"),((('CAFCO 400 '!$L$7*(J1123^3)+'CAFCO 400 '!$L$8*(J1123^2)+'CAFCO 400 '!$L$9*J1123+'CAFCO 400 '!$L$10)*U1123^2)+(('CAFCO 400 '!$L$11*(J1123^3)+'CAFCO 400 '!$L$12*(J1123^2)+'CAFCO 400 '!$L$13*J1123+'CAFCO 400 '!$L$14)*U1123)+('CAFCO 400 '!$L$15*LN(J1123)+'CAFCO 400 '!$L$16)),0)+IF(AND(L1123="Cafco 400",M1123="Software Idiem",C1123="IN",G1123=3),((('CAFCO 400 '!$D$23*(J1123^2)+'CAFCO 400 '!$D$24*(J1123)+'CAFCO 400 '!$D$25)*U1123^2)+(('CAFCO 400 '!$D$26*(J1123^2)+'CAFCO 400 '!$D$27*J1123+'CAFCO 400 '!$D$28)*U1123)+('CAFCO 400 '!$D$29*(J1123^2)+'CAFCO 400 '!$D$30*J1123+'CAFCO 400 '!$D$31)),0),0)+IF(AND(L1123="Cafco 300",J1123&gt;=95,J1123&lt;=240,C1123="Cj",I1123=90),VLOOKUP(T1123,'CAFCO 300 IDIEM TABLAS'!$B$4:$D$23,2,FALSE),0)+IF(AND(L1123="Cafco 300",J1123&gt;=95,J1123&lt;=240,C1123="Cj",I1123=120),VLOOKUP(T1123,'CAFCO 300 IDIEM TABLAS'!$B$4:$D$23,3,FALSE),0)+IF(AND(L1123="Cafco 300",J1123&gt;=95,J1123&lt;=400,G1123=3,C1123="IN",I1123=90),VLOOKUP(T1123,'CAFCO 300 IDIEM TABLAS'!$F$4:$H$35,2,FALSE),0)+IF(AND(L1123="Cafco 300",J1123&gt;=95,J1123&lt;=400,G1123=3,C1123="IN",I1123=120),VLOOKUP(T1123,'CAFCO 300 IDIEM TABLAS'!$F$4:$H$35,3,FALSE),0)+IF(AND(L1123="Cafco 300",J1123&gt;=95,J1123&lt;=450,G1123=4,C1123="IN",I1123=90),VLOOKUP(T1123,'CAFCO 300 IDIEM TABLAS'!$J$4:$L$40,2,FALSE),0)+IF(AND(L1123="Cafco 300",J1123&gt;=95,J1123&lt;=450,G1123=4,C1123="IN",I1123=120),VLOOKUP(T1123,'CAFCO 300 IDIEM TABLAS'!$J$4:$L$40,3,FALSE),0)+IF(AND(M1123="Ensayo Idiem",L1123="Cafco 400",C1123="IN",G1123=4,I1123=90),VLOOKUP(T1123,'CAFCO 400 ENSAYO'!$B$7:$D$43,2,FALSE),0)+IF(AND(M1123="Ensayo Idiem",L1123="Cafco 400",C1123="IN",G1123=4,I1123=120),VLOOKUP(T1123,'CAFCO 400 ENSAYO'!$B$7:$D$43,3,FALSE),0)</f>
        <v>0</v>
      </c>
      <c r="O1123" s="96">
        <f t="shared" si="114"/>
        <v>0</v>
      </c>
      <c r="P1123" s="132" t="str">
        <f t="shared" si="109"/>
        <v>N/A</v>
      </c>
      <c r="Q1123" s="132" t="str">
        <f t="shared" si="110"/>
        <v>N/A</v>
      </c>
      <c r="R1123" s="132" t="str">
        <f t="shared" si="111"/>
        <v>NO CERT.</v>
      </c>
      <c r="S1123" s="132" t="e">
        <f t="shared" si="112"/>
        <v>#N/A</v>
      </c>
      <c r="T1123" s="133" t="e">
        <f>+IF(J1123=LOOKUP(J1123,'CAFCO 300 IDIEM TABLAS'!$J$4:$J$40),'CALCULO MORTERO'!J1123,MROUND('CALCULO MORTERO'!J1123,10))</f>
        <v>#N/A</v>
      </c>
      <c r="U1123" s="134">
        <f t="shared" si="113"/>
        <v>0</v>
      </c>
    </row>
    <row r="1124" spans="1:21" x14ac:dyDescent="0.25">
      <c r="A1124" s="118">
        <f>+CUBICACION!D1118</f>
        <v>0</v>
      </c>
      <c r="B1124" s="819">
        <f>+CUBICACION!E1118</f>
        <v>0</v>
      </c>
      <c r="C1124" s="675">
        <f>+CUBICACION!F1118</f>
        <v>0</v>
      </c>
      <c r="D1124" s="118"/>
      <c r="E1124" s="118"/>
      <c r="F1124" s="820"/>
      <c r="G1124" s="675">
        <f>+CUBICACION!J1118</f>
        <v>0</v>
      </c>
      <c r="H1124" s="118"/>
      <c r="I1124" s="821">
        <f>+CUBICACION!L1118</f>
        <v>0</v>
      </c>
      <c r="J1124" s="64">
        <f>+CUBICACION!M1118</f>
        <v>0</v>
      </c>
      <c r="K1124" s="822" t="str">
        <f>+CUBICACION!N1118</f>
        <v/>
      </c>
      <c r="L1124" s="118">
        <f>+CUBICACION!O1118</f>
        <v>0</v>
      </c>
      <c r="M1124" s="823">
        <f>+CUBICACION!P1118</f>
        <v>0</v>
      </c>
      <c r="N1124" s="902">
        <f>ROUND(IF(AND(L1124="Blaze Shield II",M1124="Software Idiem",C1124="IN",G1124=4),((('BLAZE SHIELD II'!$D$4*('CALCULO MORTERO'!I1124^2)+'BLAZE SHIELD II'!$D$5*'CALCULO MORTERO'!I1124+'BLAZE SHIELD II'!$D$6)*LN(J1124))+('BLAZE SHIELD II'!$D$7*('CALCULO MORTERO'!I1124^2)+'BLAZE SHIELD II'!$D$8*'CALCULO MORTERO'!I1124+'BLAZE SHIELD II'!$D$9)),0)+IF(AND(L1124="Blaze Shield II",M1124="Software Idiem",C1124="Cj"),((('BLAZE SHIELD II'!$H$4*('CALCULO MORTERO'!I1124^2)+'BLAZE SHIELD II'!$H$5*'CALCULO MORTERO'!I1124+'BLAZE SHIELD II'!$H$6)*LN(J1124))+('BLAZE SHIELD II'!$H$7*('CALCULO MORTERO'!I1124^2)+'BLAZE SHIELD II'!$H$8*'CALCULO MORTERO'!I1124+'BLAZE SHIELD II'!$H$9)),0)+IF(AND(L1124="Blaze Shield II",M1124="Software Idiem",C1124="C"),((('BLAZE SHIELD II'!$L$4*('CALCULO MORTERO'!I1124^2)+'BLAZE SHIELD II'!$L$5*'CALCULO MORTERO'!I1124+'BLAZE SHIELD II'!$L$6)*LN(J1124))+('BLAZE SHIELD II'!$L$7*('CALCULO MORTERO'!I1124^2)+'BLAZE SHIELD II'!$L$8*'CALCULO MORTERO'!I1124+'BLAZE SHIELD II'!$L$9)),0)+IF(AND(L1124="Blaze Shield II",M1124="Software Idiem",C1124="L"),((('BLAZE SHIELD II'!$L$4*('CALCULO MORTERO'!I1124^2)+'BLAZE SHIELD II'!$L$5*'CALCULO MORTERO'!I1124+'BLAZE SHIELD II'!$L$6)*LN(J1124))+('BLAZE SHIELD II'!$L$7*('CALCULO MORTERO'!I1124^2)+'BLAZE SHIELD II'!$L$8*'CALCULO MORTERO'!I1124+'BLAZE SHIELD II'!$L$9)),0)+IF(AND(L1124="Blaze Shield II",M1124="Software Idiem",C1124="IN",G1124=3),((('BLAZE SHIELD II'!$H$14*('CALCULO MORTERO'!I1124^2)+'BLAZE SHIELD II'!$H$15*'CALCULO MORTERO'!I1124+'BLAZE SHIELD II'!$H$16)*LN(J1124))+('BLAZE SHIELD II'!$H$17*('CALCULO MORTERO'!I1124^2)+'BLAZE SHIELD II'!$H$18*'CALCULO MORTERO'!I1124+'BLAZE SHIELD II'!$H$19)),0),0)+ROUND(IF(AND(L1124="Cafco 400",M1124="Software Idiem",C1124="IN",G1124=4),((('CAFCO 400 '!$H$7*(J1124^4)+'CAFCO 400 '!$H$8*(J1124^3)+'CAFCO 400 '!$H$9*(J1124^2)+'CAFCO 400 '!$H$10*J1124+'CAFCO 400 '!$H$11)*U1124^2)+(('CAFCO 400 '!$H$12*(J1124^3)+'CAFCO 400 '!$H$13*(J1124^2)+'CAFCO 400 '!$H$14*J1124+'CAFCO 400 '!$H$15)*U1124)+('CAFCO 400 '!$H$16*(J1124^2)+'CAFCO 400 '!$H$17*J1124+'CAFCO 400 '!$H$18)),0)+IF(AND(L1124="Cafco 400",M1124="Software Idiem",C1124="Cj"),(((('CAFCO 400 '!$D$7*LN(J1124)+'CAFCO 400 '!$D$8)*U1124^2)+(('CAFCO 400 '!$D$9*LN(J1124)+'CAFCO 400 '!$D$10)*U1124)+('CAFCO 400 '!$D$11*LN(J1124)+'CAFCO 400 '!$D$12))),0)+IF(AND(L1124="Cafco 400",M1124="Software Idiem",C1124="C"),((('CAFCO 400 '!$L$7*(J1124^3)+'CAFCO 400 '!$L$8*(J1124^2)+'CAFCO 400 '!$L$9*J1124+'CAFCO 400 '!$L$10)*U1124^2)+(('CAFCO 400 '!$L$11*(J1124^3)+'CAFCO 400 '!$L$12*(J1124^2)+'CAFCO 400 '!$L$13*J1124+'CAFCO 400 '!$L$14)*U1124)+('CAFCO 400 '!$L$15*LN(J1124)+'CAFCO 400 '!$L$16)),0)+IF(AND(L1124="Cafco 400",M1124="Software Idiem",C1124="L"),((('CAFCO 400 '!$L$7*(J1124^3)+'CAFCO 400 '!$L$8*(J1124^2)+'CAFCO 400 '!$L$9*J1124+'CAFCO 400 '!$L$10)*U1124^2)+(('CAFCO 400 '!$L$11*(J1124^3)+'CAFCO 400 '!$L$12*(J1124^2)+'CAFCO 400 '!$L$13*J1124+'CAFCO 400 '!$L$14)*U1124)+('CAFCO 400 '!$L$15*LN(J1124)+'CAFCO 400 '!$L$16)),0)+IF(AND(L1124="Cafco 400",M1124="Software Idiem",C1124="IN",G1124=3),((('CAFCO 400 '!$D$23*(J1124^2)+'CAFCO 400 '!$D$24*(J1124)+'CAFCO 400 '!$D$25)*U1124^2)+(('CAFCO 400 '!$D$26*(J1124^2)+'CAFCO 400 '!$D$27*J1124+'CAFCO 400 '!$D$28)*U1124)+('CAFCO 400 '!$D$29*(J1124^2)+'CAFCO 400 '!$D$30*J1124+'CAFCO 400 '!$D$31)),0),0)+IF(AND(L1124="Cafco 300",J1124&gt;=95,J1124&lt;=240,C1124="Cj",I1124=90),VLOOKUP(T1124,'CAFCO 300 IDIEM TABLAS'!$B$4:$D$23,2,FALSE),0)+IF(AND(L1124="Cafco 300",J1124&gt;=95,J1124&lt;=240,C1124="Cj",I1124=120),VLOOKUP(T1124,'CAFCO 300 IDIEM TABLAS'!$B$4:$D$23,3,FALSE),0)+IF(AND(L1124="Cafco 300",J1124&gt;=95,J1124&lt;=400,G1124=3,C1124="IN",I1124=90),VLOOKUP(T1124,'CAFCO 300 IDIEM TABLAS'!$F$4:$H$35,2,FALSE),0)+IF(AND(L1124="Cafco 300",J1124&gt;=95,J1124&lt;=400,G1124=3,C1124="IN",I1124=120),VLOOKUP(T1124,'CAFCO 300 IDIEM TABLAS'!$F$4:$H$35,3,FALSE),0)+IF(AND(L1124="Cafco 300",J1124&gt;=95,J1124&lt;=450,G1124=4,C1124="IN",I1124=90),VLOOKUP(T1124,'CAFCO 300 IDIEM TABLAS'!$J$4:$L$40,2,FALSE),0)+IF(AND(L1124="Cafco 300",J1124&gt;=95,J1124&lt;=450,G1124=4,C1124="IN",I1124=120),VLOOKUP(T1124,'CAFCO 300 IDIEM TABLAS'!$J$4:$L$40,3,FALSE),0)+IF(AND(M1124="Ensayo Idiem",L1124="Cafco 400",C1124="IN",G1124=4,I1124=90),VLOOKUP(T1124,'CAFCO 400 ENSAYO'!$B$7:$D$43,2,FALSE),0)+IF(AND(M1124="Ensayo Idiem",L1124="Cafco 400",C1124="IN",G1124=4,I1124=120),VLOOKUP(T1124,'CAFCO 400 ENSAYO'!$B$7:$D$43,3,FALSE),0)</f>
        <v>0</v>
      </c>
      <c r="O1124" s="96">
        <f t="shared" si="114"/>
        <v>0</v>
      </c>
      <c r="P1124" s="95" t="str">
        <f t="shared" si="109"/>
        <v>N/A</v>
      </c>
      <c r="Q1124" s="95" t="str">
        <f t="shared" si="110"/>
        <v>N/A</v>
      </c>
      <c r="R1124" s="95" t="str">
        <f t="shared" si="111"/>
        <v>NO CERT.</v>
      </c>
      <c r="S1124" s="95" t="e">
        <f t="shared" si="112"/>
        <v>#N/A</v>
      </c>
      <c r="T1124" s="119" t="e">
        <f>+IF(J1124=LOOKUP(J1124,'CAFCO 300 IDIEM TABLAS'!$J$4:$J$40),'CALCULO MORTERO'!J1124,MROUND('CALCULO MORTERO'!J1124,10))</f>
        <v>#N/A</v>
      </c>
      <c r="U1124" s="118">
        <f t="shared" si="113"/>
        <v>0</v>
      </c>
    </row>
    <row r="1125" spans="1:21" x14ac:dyDescent="0.25">
      <c r="A1125" s="118">
        <f>+CUBICACION!D1119</f>
        <v>0</v>
      </c>
      <c r="B1125" s="819">
        <f>+CUBICACION!E1119</f>
        <v>0</v>
      </c>
      <c r="C1125" s="675">
        <f>+CUBICACION!F1119</f>
        <v>0</v>
      </c>
      <c r="D1125" s="118"/>
      <c r="E1125" s="118"/>
      <c r="F1125" s="820"/>
      <c r="G1125" s="675">
        <f>+CUBICACION!J1119</f>
        <v>0</v>
      </c>
      <c r="H1125" s="118"/>
      <c r="I1125" s="821">
        <f>+CUBICACION!L1119</f>
        <v>0</v>
      </c>
      <c r="J1125" s="64">
        <f>+CUBICACION!M1119</f>
        <v>0</v>
      </c>
      <c r="K1125" s="822" t="str">
        <f>+CUBICACION!N1119</f>
        <v/>
      </c>
      <c r="L1125" s="118">
        <f>+CUBICACION!O1119</f>
        <v>0</v>
      </c>
      <c r="M1125" s="823">
        <f>+CUBICACION!P1119</f>
        <v>0</v>
      </c>
      <c r="N1125" s="902">
        <f>ROUND(IF(AND(L1125="Blaze Shield II",M1125="Software Idiem",C1125="IN",G1125=4),((('BLAZE SHIELD II'!$D$4*('CALCULO MORTERO'!I1125^2)+'BLAZE SHIELD II'!$D$5*'CALCULO MORTERO'!I1125+'BLAZE SHIELD II'!$D$6)*LN(J1125))+('BLAZE SHIELD II'!$D$7*('CALCULO MORTERO'!I1125^2)+'BLAZE SHIELD II'!$D$8*'CALCULO MORTERO'!I1125+'BLAZE SHIELD II'!$D$9)),0)+IF(AND(L1125="Blaze Shield II",M1125="Software Idiem",C1125="Cj"),((('BLAZE SHIELD II'!$H$4*('CALCULO MORTERO'!I1125^2)+'BLAZE SHIELD II'!$H$5*'CALCULO MORTERO'!I1125+'BLAZE SHIELD II'!$H$6)*LN(J1125))+('BLAZE SHIELD II'!$H$7*('CALCULO MORTERO'!I1125^2)+'BLAZE SHIELD II'!$H$8*'CALCULO MORTERO'!I1125+'BLAZE SHIELD II'!$H$9)),0)+IF(AND(L1125="Blaze Shield II",M1125="Software Idiem",C1125="C"),((('BLAZE SHIELD II'!$L$4*('CALCULO MORTERO'!I1125^2)+'BLAZE SHIELD II'!$L$5*'CALCULO MORTERO'!I1125+'BLAZE SHIELD II'!$L$6)*LN(J1125))+('BLAZE SHIELD II'!$L$7*('CALCULO MORTERO'!I1125^2)+'BLAZE SHIELD II'!$L$8*'CALCULO MORTERO'!I1125+'BLAZE SHIELD II'!$L$9)),0)+IF(AND(L1125="Blaze Shield II",M1125="Software Idiem",C1125="L"),((('BLAZE SHIELD II'!$L$4*('CALCULO MORTERO'!I1125^2)+'BLAZE SHIELD II'!$L$5*'CALCULO MORTERO'!I1125+'BLAZE SHIELD II'!$L$6)*LN(J1125))+('BLAZE SHIELD II'!$L$7*('CALCULO MORTERO'!I1125^2)+'BLAZE SHIELD II'!$L$8*'CALCULO MORTERO'!I1125+'BLAZE SHIELD II'!$L$9)),0)+IF(AND(L1125="Blaze Shield II",M1125="Software Idiem",C1125="IN",G1125=3),((('BLAZE SHIELD II'!$H$14*('CALCULO MORTERO'!I1125^2)+'BLAZE SHIELD II'!$H$15*'CALCULO MORTERO'!I1125+'BLAZE SHIELD II'!$H$16)*LN(J1125))+('BLAZE SHIELD II'!$H$17*('CALCULO MORTERO'!I1125^2)+'BLAZE SHIELD II'!$H$18*'CALCULO MORTERO'!I1125+'BLAZE SHIELD II'!$H$19)),0),0)+ROUND(IF(AND(L1125="Cafco 400",M1125="Software Idiem",C1125="IN",G1125=4),((('CAFCO 400 '!$H$7*(J1125^4)+'CAFCO 400 '!$H$8*(J1125^3)+'CAFCO 400 '!$H$9*(J1125^2)+'CAFCO 400 '!$H$10*J1125+'CAFCO 400 '!$H$11)*U1125^2)+(('CAFCO 400 '!$H$12*(J1125^3)+'CAFCO 400 '!$H$13*(J1125^2)+'CAFCO 400 '!$H$14*J1125+'CAFCO 400 '!$H$15)*U1125)+('CAFCO 400 '!$H$16*(J1125^2)+'CAFCO 400 '!$H$17*J1125+'CAFCO 400 '!$H$18)),0)+IF(AND(L1125="Cafco 400",M1125="Software Idiem",C1125="Cj"),(((('CAFCO 400 '!$D$7*LN(J1125)+'CAFCO 400 '!$D$8)*U1125^2)+(('CAFCO 400 '!$D$9*LN(J1125)+'CAFCO 400 '!$D$10)*U1125)+('CAFCO 400 '!$D$11*LN(J1125)+'CAFCO 400 '!$D$12))),0)+IF(AND(L1125="Cafco 400",M1125="Software Idiem",C1125="C"),((('CAFCO 400 '!$L$7*(J1125^3)+'CAFCO 400 '!$L$8*(J1125^2)+'CAFCO 400 '!$L$9*J1125+'CAFCO 400 '!$L$10)*U1125^2)+(('CAFCO 400 '!$L$11*(J1125^3)+'CAFCO 400 '!$L$12*(J1125^2)+'CAFCO 400 '!$L$13*J1125+'CAFCO 400 '!$L$14)*U1125)+('CAFCO 400 '!$L$15*LN(J1125)+'CAFCO 400 '!$L$16)),0)+IF(AND(L1125="Cafco 400",M1125="Software Idiem",C1125="L"),((('CAFCO 400 '!$L$7*(J1125^3)+'CAFCO 400 '!$L$8*(J1125^2)+'CAFCO 400 '!$L$9*J1125+'CAFCO 400 '!$L$10)*U1125^2)+(('CAFCO 400 '!$L$11*(J1125^3)+'CAFCO 400 '!$L$12*(J1125^2)+'CAFCO 400 '!$L$13*J1125+'CAFCO 400 '!$L$14)*U1125)+('CAFCO 400 '!$L$15*LN(J1125)+'CAFCO 400 '!$L$16)),0)+IF(AND(L1125="Cafco 400",M1125="Software Idiem",C1125="IN",G1125=3),((('CAFCO 400 '!$D$23*(J1125^2)+'CAFCO 400 '!$D$24*(J1125)+'CAFCO 400 '!$D$25)*U1125^2)+(('CAFCO 400 '!$D$26*(J1125^2)+'CAFCO 400 '!$D$27*J1125+'CAFCO 400 '!$D$28)*U1125)+('CAFCO 400 '!$D$29*(J1125^2)+'CAFCO 400 '!$D$30*J1125+'CAFCO 400 '!$D$31)),0),0)+IF(AND(L1125="Cafco 300",J1125&gt;=95,J1125&lt;=240,C1125="Cj",I1125=90),VLOOKUP(T1125,'CAFCO 300 IDIEM TABLAS'!$B$4:$D$23,2,FALSE),0)+IF(AND(L1125="Cafco 300",J1125&gt;=95,J1125&lt;=240,C1125="Cj",I1125=120),VLOOKUP(T1125,'CAFCO 300 IDIEM TABLAS'!$B$4:$D$23,3,FALSE),0)+IF(AND(L1125="Cafco 300",J1125&gt;=95,J1125&lt;=400,G1125=3,C1125="IN",I1125=90),VLOOKUP(T1125,'CAFCO 300 IDIEM TABLAS'!$F$4:$H$35,2,FALSE),0)+IF(AND(L1125="Cafco 300",J1125&gt;=95,J1125&lt;=400,G1125=3,C1125="IN",I1125=120),VLOOKUP(T1125,'CAFCO 300 IDIEM TABLAS'!$F$4:$H$35,3,FALSE),0)+IF(AND(L1125="Cafco 300",J1125&gt;=95,J1125&lt;=450,G1125=4,C1125="IN",I1125=90),VLOOKUP(T1125,'CAFCO 300 IDIEM TABLAS'!$J$4:$L$40,2,FALSE),0)+IF(AND(L1125="Cafco 300",J1125&gt;=95,J1125&lt;=450,G1125=4,C1125="IN",I1125=120),VLOOKUP(T1125,'CAFCO 300 IDIEM TABLAS'!$J$4:$L$40,3,FALSE),0)+IF(AND(M1125="Ensayo Idiem",L1125="Cafco 400",C1125="IN",G1125=4,I1125=90),VLOOKUP(T1125,'CAFCO 400 ENSAYO'!$B$7:$D$43,2,FALSE),0)+IF(AND(M1125="Ensayo Idiem",L1125="Cafco 400",C1125="IN",G1125=4,I1125=120),VLOOKUP(T1125,'CAFCO 400 ENSAYO'!$B$7:$D$43,3,FALSE),0)</f>
        <v>0</v>
      </c>
      <c r="O1125" s="96">
        <f t="shared" si="114"/>
        <v>0</v>
      </c>
      <c r="P1125" s="132" t="str">
        <f t="shared" si="109"/>
        <v>N/A</v>
      </c>
      <c r="Q1125" s="132" t="str">
        <f t="shared" si="110"/>
        <v>N/A</v>
      </c>
      <c r="R1125" s="132" t="str">
        <f t="shared" si="111"/>
        <v>NO CERT.</v>
      </c>
      <c r="S1125" s="132" t="e">
        <f t="shared" si="112"/>
        <v>#N/A</v>
      </c>
      <c r="T1125" s="133" t="e">
        <f>+IF(J1125=LOOKUP(J1125,'CAFCO 300 IDIEM TABLAS'!$J$4:$J$40),'CALCULO MORTERO'!J1125,MROUND('CALCULO MORTERO'!J1125,10))</f>
        <v>#N/A</v>
      </c>
      <c r="U1125" s="134">
        <f t="shared" si="113"/>
        <v>0</v>
      </c>
    </row>
    <row r="1126" spans="1:21" x14ac:dyDescent="0.25">
      <c r="A1126" s="118">
        <f>+CUBICACION!D1120</f>
        <v>0</v>
      </c>
      <c r="B1126" s="819">
        <f>+CUBICACION!E1120</f>
        <v>0</v>
      </c>
      <c r="C1126" s="675">
        <f>+CUBICACION!F1120</f>
        <v>0</v>
      </c>
      <c r="D1126" s="118"/>
      <c r="E1126" s="118"/>
      <c r="F1126" s="820"/>
      <c r="G1126" s="675">
        <f>+CUBICACION!J1120</f>
        <v>0</v>
      </c>
      <c r="H1126" s="118"/>
      <c r="I1126" s="821">
        <f>+CUBICACION!L1120</f>
        <v>0</v>
      </c>
      <c r="J1126" s="64">
        <f>+CUBICACION!M1120</f>
        <v>0</v>
      </c>
      <c r="K1126" s="822" t="str">
        <f>+CUBICACION!N1120</f>
        <v/>
      </c>
      <c r="L1126" s="118">
        <f>+CUBICACION!O1120</f>
        <v>0</v>
      </c>
      <c r="M1126" s="823">
        <f>+CUBICACION!P1120</f>
        <v>0</v>
      </c>
      <c r="N1126" s="902">
        <f>ROUND(IF(AND(L1126="Blaze Shield II",M1126="Software Idiem",C1126="IN",G1126=4),((('BLAZE SHIELD II'!$D$4*('CALCULO MORTERO'!I1126^2)+'BLAZE SHIELD II'!$D$5*'CALCULO MORTERO'!I1126+'BLAZE SHIELD II'!$D$6)*LN(J1126))+('BLAZE SHIELD II'!$D$7*('CALCULO MORTERO'!I1126^2)+'BLAZE SHIELD II'!$D$8*'CALCULO MORTERO'!I1126+'BLAZE SHIELD II'!$D$9)),0)+IF(AND(L1126="Blaze Shield II",M1126="Software Idiem",C1126="Cj"),((('BLAZE SHIELD II'!$H$4*('CALCULO MORTERO'!I1126^2)+'BLAZE SHIELD II'!$H$5*'CALCULO MORTERO'!I1126+'BLAZE SHIELD II'!$H$6)*LN(J1126))+('BLAZE SHIELD II'!$H$7*('CALCULO MORTERO'!I1126^2)+'BLAZE SHIELD II'!$H$8*'CALCULO MORTERO'!I1126+'BLAZE SHIELD II'!$H$9)),0)+IF(AND(L1126="Blaze Shield II",M1126="Software Idiem",C1126="C"),((('BLAZE SHIELD II'!$L$4*('CALCULO MORTERO'!I1126^2)+'BLAZE SHIELD II'!$L$5*'CALCULO MORTERO'!I1126+'BLAZE SHIELD II'!$L$6)*LN(J1126))+('BLAZE SHIELD II'!$L$7*('CALCULO MORTERO'!I1126^2)+'BLAZE SHIELD II'!$L$8*'CALCULO MORTERO'!I1126+'BLAZE SHIELD II'!$L$9)),0)+IF(AND(L1126="Blaze Shield II",M1126="Software Idiem",C1126="L"),((('BLAZE SHIELD II'!$L$4*('CALCULO MORTERO'!I1126^2)+'BLAZE SHIELD II'!$L$5*'CALCULO MORTERO'!I1126+'BLAZE SHIELD II'!$L$6)*LN(J1126))+('BLAZE SHIELD II'!$L$7*('CALCULO MORTERO'!I1126^2)+'BLAZE SHIELD II'!$L$8*'CALCULO MORTERO'!I1126+'BLAZE SHIELD II'!$L$9)),0)+IF(AND(L1126="Blaze Shield II",M1126="Software Idiem",C1126="IN",G1126=3),((('BLAZE SHIELD II'!$H$14*('CALCULO MORTERO'!I1126^2)+'BLAZE SHIELD II'!$H$15*'CALCULO MORTERO'!I1126+'BLAZE SHIELD II'!$H$16)*LN(J1126))+('BLAZE SHIELD II'!$H$17*('CALCULO MORTERO'!I1126^2)+'BLAZE SHIELD II'!$H$18*'CALCULO MORTERO'!I1126+'BLAZE SHIELD II'!$H$19)),0),0)+ROUND(IF(AND(L1126="Cafco 400",M1126="Software Idiem",C1126="IN",G1126=4),((('CAFCO 400 '!$H$7*(J1126^4)+'CAFCO 400 '!$H$8*(J1126^3)+'CAFCO 400 '!$H$9*(J1126^2)+'CAFCO 400 '!$H$10*J1126+'CAFCO 400 '!$H$11)*U1126^2)+(('CAFCO 400 '!$H$12*(J1126^3)+'CAFCO 400 '!$H$13*(J1126^2)+'CAFCO 400 '!$H$14*J1126+'CAFCO 400 '!$H$15)*U1126)+('CAFCO 400 '!$H$16*(J1126^2)+'CAFCO 400 '!$H$17*J1126+'CAFCO 400 '!$H$18)),0)+IF(AND(L1126="Cafco 400",M1126="Software Idiem",C1126="Cj"),(((('CAFCO 400 '!$D$7*LN(J1126)+'CAFCO 400 '!$D$8)*U1126^2)+(('CAFCO 400 '!$D$9*LN(J1126)+'CAFCO 400 '!$D$10)*U1126)+('CAFCO 400 '!$D$11*LN(J1126)+'CAFCO 400 '!$D$12))),0)+IF(AND(L1126="Cafco 400",M1126="Software Idiem",C1126="C"),((('CAFCO 400 '!$L$7*(J1126^3)+'CAFCO 400 '!$L$8*(J1126^2)+'CAFCO 400 '!$L$9*J1126+'CAFCO 400 '!$L$10)*U1126^2)+(('CAFCO 400 '!$L$11*(J1126^3)+'CAFCO 400 '!$L$12*(J1126^2)+'CAFCO 400 '!$L$13*J1126+'CAFCO 400 '!$L$14)*U1126)+('CAFCO 400 '!$L$15*LN(J1126)+'CAFCO 400 '!$L$16)),0)+IF(AND(L1126="Cafco 400",M1126="Software Idiem",C1126="L"),((('CAFCO 400 '!$L$7*(J1126^3)+'CAFCO 400 '!$L$8*(J1126^2)+'CAFCO 400 '!$L$9*J1126+'CAFCO 400 '!$L$10)*U1126^2)+(('CAFCO 400 '!$L$11*(J1126^3)+'CAFCO 400 '!$L$12*(J1126^2)+'CAFCO 400 '!$L$13*J1126+'CAFCO 400 '!$L$14)*U1126)+('CAFCO 400 '!$L$15*LN(J1126)+'CAFCO 400 '!$L$16)),0)+IF(AND(L1126="Cafco 400",M1126="Software Idiem",C1126="IN",G1126=3),((('CAFCO 400 '!$D$23*(J1126^2)+'CAFCO 400 '!$D$24*(J1126)+'CAFCO 400 '!$D$25)*U1126^2)+(('CAFCO 400 '!$D$26*(J1126^2)+'CAFCO 400 '!$D$27*J1126+'CAFCO 400 '!$D$28)*U1126)+('CAFCO 400 '!$D$29*(J1126^2)+'CAFCO 400 '!$D$30*J1126+'CAFCO 400 '!$D$31)),0),0)+IF(AND(L1126="Cafco 300",J1126&gt;=95,J1126&lt;=240,C1126="Cj",I1126=90),VLOOKUP(T1126,'CAFCO 300 IDIEM TABLAS'!$B$4:$D$23,2,FALSE),0)+IF(AND(L1126="Cafco 300",J1126&gt;=95,J1126&lt;=240,C1126="Cj",I1126=120),VLOOKUP(T1126,'CAFCO 300 IDIEM TABLAS'!$B$4:$D$23,3,FALSE),0)+IF(AND(L1126="Cafco 300",J1126&gt;=95,J1126&lt;=400,G1126=3,C1126="IN",I1126=90),VLOOKUP(T1126,'CAFCO 300 IDIEM TABLAS'!$F$4:$H$35,2,FALSE),0)+IF(AND(L1126="Cafco 300",J1126&gt;=95,J1126&lt;=400,G1126=3,C1126="IN",I1126=120),VLOOKUP(T1126,'CAFCO 300 IDIEM TABLAS'!$F$4:$H$35,3,FALSE),0)+IF(AND(L1126="Cafco 300",J1126&gt;=95,J1126&lt;=450,G1126=4,C1126="IN",I1126=90),VLOOKUP(T1126,'CAFCO 300 IDIEM TABLAS'!$J$4:$L$40,2,FALSE),0)+IF(AND(L1126="Cafco 300",J1126&gt;=95,J1126&lt;=450,G1126=4,C1126="IN",I1126=120),VLOOKUP(T1126,'CAFCO 300 IDIEM TABLAS'!$J$4:$L$40,3,FALSE),0)+IF(AND(M1126="Ensayo Idiem",L1126="Cafco 400",C1126="IN",G1126=4,I1126=90),VLOOKUP(T1126,'CAFCO 400 ENSAYO'!$B$7:$D$43,2,FALSE),0)+IF(AND(M1126="Ensayo Idiem",L1126="Cafco 400",C1126="IN",G1126=4,I1126=120),VLOOKUP(T1126,'CAFCO 400 ENSAYO'!$B$7:$D$43,3,FALSE),0)</f>
        <v>0</v>
      </c>
      <c r="O1126" s="96">
        <f t="shared" si="114"/>
        <v>0</v>
      </c>
      <c r="P1126" s="95" t="str">
        <f t="shared" si="109"/>
        <v>N/A</v>
      </c>
      <c r="Q1126" s="95" t="str">
        <f t="shared" si="110"/>
        <v>N/A</v>
      </c>
      <c r="R1126" s="95" t="str">
        <f t="shared" si="111"/>
        <v>NO CERT.</v>
      </c>
      <c r="S1126" s="95" t="e">
        <f t="shared" si="112"/>
        <v>#N/A</v>
      </c>
      <c r="T1126" s="119" t="e">
        <f>+IF(J1126=LOOKUP(J1126,'CAFCO 300 IDIEM TABLAS'!$J$4:$J$40),'CALCULO MORTERO'!J1126,MROUND('CALCULO MORTERO'!J1126,10))</f>
        <v>#N/A</v>
      </c>
      <c r="U1126" s="118">
        <f t="shared" si="113"/>
        <v>0</v>
      </c>
    </row>
    <row r="1127" spans="1:21" x14ac:dyDescent="0.25">
      <c r="A1127" s="118">
        <f>+CUBICACION!D1121</f>
        <v>0</v>
      </c>
      <c r="B1127" s="819">
        <f>+CUBICACION!E1121</f>
        <v>0</v>
      </c>
      <c r="C1127" s="675">
        <f>+CUBICACION!F1121</f>
        <v>0</v>
      </c>
      <c r="D1127" s="118"/>
      <c r="E1127" s="118"/>
      <c r="F1127" s="820"/>
      <c r="G1127" s="675">
        <f>+CUBICACION!J1121</f>
        <v>0</v>
      </c>
      <c r="H1127" s="118"/>
      <c r="I1127" s="821">
        <f>+CUBICACION!L1121</f>
        <v>0</v>
      </c>
      <c r="J1127" s="64">
        <f>+CUBICACION!M1121</f>
        <v>0</v>
      </c>
      <c r="K1127" s="822" t="str">
        <f>+CUBICACION!N1121</f>
        <v/>
      </c>
      <c r="L1127" s="118">
        <f>+CUBICACION!O1121</f>
        <v>0</v>
      </c>
      <c r="M1127" s="823">
        <f>+CUBICACION!P1121</f>
        <v>0</v>
      </c>
      <c r="N1127" s="902">
        <f>ROUND(IF(AND(L1127="Blaze Shield II",M1127="Software Idiem",C1127="IN",G1127=4),((('BLAZE SHIELD II'!$D$4*('CALCULO MORTERO'!I1127^2)+'BLAZE SHIELD II'!$D$5*'CALCULO MORTERO'!I1127+'BLAZE SHIELD II'!$D$6)*LN(J1127))+('BLAZE SHIELD II'!$D$7*('CALCULO MORTERO'!I1127^2)+'BLAZE SHIELD II'!$D$8*'CALCULO MORTERO'!I1127+'BLAZE SHIELD II'!$D$9)),0)+IF(AND(L1127="Blaze Shield II",M1127="Software Idiem",C1127="Cj"),((('BLAZE SHIELD II'!$H$4*('CALCULO MORTERO'!I1127^2)+'BLAZE SHIELD II'!$H$5*'CALCULO MORTERO'!I1127+'BLAZE SHIELD II'!$H$6)*LN(J1127))+('BLAZE SHIELD II'!$H$7*('CALCULO MORTERO'!I1127^2)+'BLAZE SHIELD II'!$H$8*'CALCULO MORTERO'!I1127+'BLAZE SHIELD II'!$H$9)),0)+IF(AND(L1127="Blaze Shield II",M1127="Software Idiem",C1127="C"),((('BLAZE SHIELD II'!$L$4*('CALCULO MORTERO'!I1127^2)+'BLAZE SHIELD II'!$L$5*'CALCULO MORTERO'!I1127+'BLAZE SHIELD II'!$L$6)*LN(J1127))+('BLAZE SHIELD II'!$L$7*('CALCULO MORTERO'!I1127^2)+'BLAZE SHIELD II'!$L$8*'CALCULO MORTERO'!I1127+'BLAZE SHIELD II'!$L$9)),0)+IF(AND(L1127="Blaze Shield II",M1127="Software Idiem",C1127="L"),((('BLAZE SHIELD II'!$L$4*('CALCULO MORTERO'!I1127^2)+'BLAZE SHIELD II'!$L$5*'CALCULO MORTERO'!I1127+'BLAZE SHIELD II'!$L$6)*LN(J1127))+('BLAZE SHIELD II'!$L$7*('CALCULO MORTERO'!I1127^2)+'BLAZE SHIELD II'!$L$8*'CALCULO MORTERO'!I1127+'BLAZE SHIELD II'!$L$9)),0)+IF(AND(L1127="Blaze Shield II",M1127="Software Idiem",C1127="IN",G1127=3),((('BLAZE SHIELD II'!$H$14*('CALCULO MORTERO'!I1127^2)+'BLAZE SHIELD II'!$H$15*'CALCULO MORTERO'!I1127+'BLAZE SHIELD II'!$H$16)*LN(J1127))+('BLAZE SHIELD II'!$H$17*('CALCULO MORTERO'!I1127^2)+'BLAZE SHIELD II'!$H$18*'CALCULO MORTERO'!I1127+'BLAZE SHIELD II'!$H$19)),0),0)+ROUND(IF(AND(L1127="Cafco 400",M1127="Software Idiem",C1127="IN",G1127=4),((('CAFCO 400 '!$H$7*(J1127^4)+'CAFCO 400 '!$H$8*(J1127^3)+'CAFCO 400 '!$H$9*(J1127^2)+'CAFCO 400 '!$H$10*J1127+'CAFCO 400 '!$H$11)*U1127^2)+(('CAFCO 400 '!$H$12*(J1127^3)+'CAFCO 400 '!$H$13*(J1127^2)+'CAFCO 400 '!$H$14*J1127+'CAFCO 400 '!$H$15)*U1127)+('CAFCO 400 '!$H$16*(J1127^2)+'CAFCO 400 '!$H$17*J1127+'CAFCO 400 '!$H$18)),0)+IF(AND(L1127="Cafco 400",M1127="Software Idiem",C1127="Cj"),(((('CAFCO 400 '!$D$7*LN(J1127)+'CAFCO 400 '!$D$8)*U1127^2)+(('CAFCO 400 '!$D$9*LN(J1127)+'CAFCO 400 '!$D$10)*U1127)+('CAFCO 400 '!$D$11*LN(J1127)+'CAFCO 400 '!$D$12))),0)+IF(AND(L1127="Cafco 400",M1127="Software Idiem",C1127="C"),((('CAFCO 400 '!$L$7*(J1127^3)+'CAFCO 400 '!$L$8*(J1127^2)+'CAFCO 400 '!$L$9*J1127+'CAFCO 400 '!$L$10)*U1127^2)+(('CAFCO 400 '!$L$11*(J1127^3)+'CAFCO 400 '!$L$12*(J1127^2)+'CAFCO 400 '!$L$13*J1127+'CAFCO 400 '!$L$14)*U1127)+('CAFCO 400 '!$L$15*LN(J1127)+'CAFCO 400 '!$L$16)),0)+IF(AND(L1127="Cafco 400",M1127="Software Idiem",C1127="L"),((('CAFCO 400 '!$L$7*(J1127^3)+'CAFCO 400 '!$L$8*(J1127^2)+'CAFCO 400 '!$L$9*J1127+'CAFCO 400 '!$L$10)*U1127^2)+(('CAFCO 400 '!$L$11*(J1127^3)+'CAFCO 400 '!$L$12*(J1127^2)+'CAFCO 400 '!$L$13*J1127+'CAFCO 400 '!$L$14)*U1127)+('CAFCO 400 '!$L$15*LN(J1127)+'CAFCO 400 '!$L$16)),0)+IF(AND(L1127="Cafco 400",M1127="Software Idiem",C1127="IN",G1127=3),((('CAFCO 400 '!$D$23*(J1127^2)+'CAFCO 400 '!$D$24*(J1127)+'CAFCO 400 '!$D$25)*U1127^2)+(('CAFCO 400 '!$D$26*(J1127^2)+'CAFCO 400 '!$D$27*J1127+'CAFCO 400 '!$D$28)*U1127)+('CAFCO 400 '!$D$29*(J1127^2)+'CAFCO 400 '!$D$30*J1127+'CAFCO 400 '!$D$31)),0),0)+IF(AND(L1127="Cafco 300",J1127&gt;=95,J1127&lt;=240,C1127="Cj",I1127=90),VLOOKUP(T1127,'CAFCO 300 IDIEM TABLAS'!$B$4:$D$23,2,FALSE),0)+IF(AND(L1127="Cafco 300",J1127&gt;=95,J1127&lt;=240,C1127="Cj",I1127=120),VLOOKUP(T1127,'CAFCO 300 IDIEM TABLAS'!$B$4:$D$23,3,FALSE),0)+IF(AND(L1127="Cafco 300",J1127&gt;=95,J1127&lt;=400,G1127=3,C1127="IN",I1127=90),VLOOKUP(T1127,'CAFCO 300 IDIEM TABLAS'!$F$4:$H$35,2,FALSE),0)+IF(AND(L1127="Cafco 300",J1127&gt;=95,J1127&lt;=400,G1127=3,C1127="IN",I1127=120),VLOOKUP(T1127,'CAFCO 300 IDIEM TABLAS'!$F$4:$H$35,3,FALSE),0)+IF(AND(L1127="Cafco 300",J1127&gt;=95,J1127&lt;=450,G1127=4,C1127="IN",I1127=90),VLOOKUP(T1127,'CAFCO 300 IDIEM TABLAS'!$J$4:$L$40,2,FALSE),0)+IF(AND(L1127="Cafco 300",J1127&gt;=95,J1127&lt;=450,G1127=4,C1127="IN",I1127=120),VLOOKUP(T1127,'CAFCO 300 IDIEM TABLAS'!$J$4:$L$40,3,FALSE),0)+IF(AND(M1127="Ensayo Idiem",L1127="Cafco 400",C1127="IN",G1127=4,I1127=90),VLOOKUP(T1127,'CAFCO 400 ENSAYO'!$B$7:$D$43,2,FALSE),0)+IF(AND(M1127="Ensayo Idiem",L1127="Cafco 400",C1127="IN",G1127=4,I1127=120),VLOOKUP(T1127,'CAFCO 400 ENSAYO'!$B$7:$D$43,3,FALSE),0)</f>
        <v>0</v>
      </c>
      <c r="O1127" s="96">
        <f t="shared" si="114"/>
        <v>0</v>
      </c>
      <c r="P1127" s="132" t="str">
        <f t="shared" si="109"/>
        <v>N/A</v>
      </c>
      <c r="Q1127" s="132" t="str">
        <f t="shared" si="110"/>
        <v>N/A</v>
      </c>
      <c r="R1127" s="132" t="str">
        <f t="shared" si="111"/>
        <v>NO CERT.</v>
      </c>
      <c r="S1127" s="132" t="e">
        <f t="shared" si="112"/>
        <v>#N/A</v>
      </c>
      <c r="T1127" s="133" t="e">
        <f>+IF(J1127=LOOKUP(J1127,'CAFCO 300 IDIEM TABLAS'!$J$4:$J$40),'CALCULO MORTERO'!J1127,MROUND('CALCULO MORTERO'!J1127,10))</f>
        <v>#N/A</v>
      </c>
      <c r="U1127" s="134">
        <f t="shared" si="113"/>
        <v>0</v>
      </c>
    </row>
    <row r="1128" spans="1:21" x14ac:dyDescent="0.25">
      <c r="A1128" s="118">
        <f>+CUBICACION!D1122</f>
        <v>0</v>
      </c>
      <c r="B1128" s="819">
        <f>+CUBICACION!E1122</f>
        <v>0</v>
      </c>
      <c r="C1128" s="675">
        <f>+CUBICACION!F1122</f>
        <v>0</v>
      </c>
      <c r="D1128" s="118"/>
      <c r="E1128" s="118"/>
      <c r="F1128" s="820"/>
      <c r="G1128" s="675">
        <f>+CUBICACION!J1122</f>
        <v>0</v>
      </c>
      <c r="H1128" s="118"/>
      <c r="I1128" s="821">
        <f>+CUBICACION!L1122</f>
        <v>0</v>
      </c>
      <c r="J1128" s="64">
        <f>+CUBICACION!M1122</f>
        <v>0</v>
      </c>
      <c r="K1128" s="822" t="str">
        <f>+CUBICACION!N1122</f>
        <v/>
      </c>
      <c r="L1128" s="118">
        <f>+CUBICACION!O1122</f>
        <v>0</v>
      </c>
      <c r="M1128" s="823">
        <f>+CUBICACION!P1122</f>
        <v>0</v>
      </c>
      <c r="N1128" s="902">
        <f>ROUND(IF(AND(L1128="Blaze Shield II",M1128="Software Idiem",C1128="IN",G1128=4),((('BLAZE SHIELD II'!$D$4*('CALCULO MORTERO'!I1128^2)+'BLAZE SHIELD II'!$D$5*'CALCULO MORTERO'!I1128+'BLAZE SHIELD II'!$D$6)*LN(J1128))+('BLAZE SHIELD II'!$D$7*('CALCULO MORTERO'!I1128^2)+'BLAZE SHIELD II'!$D$8*'CALCULO MORTERO'!I1128+'BLAZE SHIELD II'!$D$9)),0)+IF(AND(L1128="Blaze Shield II",M1128="Software Idiem",C1128="Cj"),((('BLAZE SHIELD II'!$H$4*('CALCULO MORTERO'!I1128^2)+'BLAZE SHIELD II'!$H$5*'CALCULO MORTERO'!I1128+'BLAZE SHIELD II'!$H$6)*LN(J1128))+('BLAZE SHIELD II'!$H$7*('CALCULO MORTERO'!I1128^2)+'BLAZE SHIELD II'!$H$8*'CALCULO MORTERO'!I1128+'BLAZE SHIELD II'!$H$9)),0)+IF(AND(L1128="Blaze Shield II",M1128="Software Idiem",C1128="C"),((('BLAZE SHIELD II'!$L$4*('CALCULO MORTERO'!I1128^2)+'BLAZE SHIELD II'!$L$5*'CALCULO MORTERO'!I1128+'BLAZE SHIELD II'!$L$6)*LN(J1128))+('BLAZE SHIELD II'!$L$7*('CALCULO MORTERO'!I1128^2)+'BLAZE SHIELD II'!$L$8*'CALCULO MORTERO'!I1128+'BLAZE SHIELD II'!$L$9)),0)+IF(AND(L1128="Blaze Shield II",M1128="Software Idiem",C1128="L"),((('BLAZE SHIELD II'!$L$4*('CALCULO MORTERO'!I1128^2)+'BLAZE SHIELD II'!$L$5*'CALCULO MORTERO'!I1128+'BLAZE SHIELD II'!$L$6)*LN(J1128))+('BLAZE SHIELD II'!$L$7*('CALCULO MORTERO'!I1128^2)+'BLAZE SHIELD II'!$L$8*'CALCULO MORTERO'!I1128+'BLAZE SHIELD II'!$L$9)),0)+IF(AND(L1128="Blaze Shield II",M1128="Software Idiem",C1128="IN",G1128=3),((('BLAZE SHIELD II'!$H$14*('CALCULO MORTERO'!I1128^2)+'BLAZE SHIELD II'!$H$15*'CALCULO MORTERO'!I1128+'BLAZE SHIELD II'!$H$16)*LN(J1128))+('BLAZE SHIELD II'!$H$17*('CALCULO MORTERO'!I1128^2)+'BLAZE SHIELD II'!$H$18*'CALCULO MORTERO'!I1128+'BLAZE SHIELD II'!$H$19)),0),0)+ROUND(IF(AND(L1128="Cafco 400",M1128="Software Idiem",C1128="IN",G1128=4),((('CAFCO 400 '!$H$7*(J1128^4)+'CAFCO 400 '!$H$8*(J1128^3)+'CAFCO 400 '!$H$9*(J1128^2)+'CAFCO 400 '!$H$10*J1128+'CAFCO 400 '!$H$11)*U1128^2)+(('CAFCO 400 '!$H$12*(J1128^3)+'CAFCO 400 '!$H$13*(J1128^2)+'CAFCO 400 '!$H$14*J1128+'CAFCO 400 '!$H$15)*U1128)+('CAFCO 400 '!$H$16*(J1128^2)+'CAFCO 400 '!$H$17*J1128+'CAFCO 400 '!$H$18)),0)+IF(AND(L1128="Cafco 400",M1128="Software Idiem",C1128="Cj"),(((('CAFCO 400 '!$D$7*LN(J1128)+'CAFCO 400 '!$D$8)*U1128^2)+(('CAFCO 400 '!$D$9*LN(J1128)+'CAFCO 400 '!$D$10)*U1128)+('CAFCO 400 '!$D$11*LN(J1128)+'CAFCO 400 '!$D$12))),0)+IF(AND(L1128="Cafco 400",M1128="Software Idiem",C1128="C"),((('CAFCO 400 '!$L$7*(J1128^3)+'CAFCO 400 '!$L$8*(J1128^2)+'CAFCO 400 '!$L$9*J1128+'CAFCO 400 '!$L$10)*U1128^2)+(('CAFCO 400 '!$L$11*(J1128^3)+'CAFCO 400 '!$L$12*(J1128^2)+'CAFCO 400 '!$L$13*J1128+'CAFCO 400 '!$L$14)*U1128)+('CAFCO 400 '!$L$15*LN(J1128)+'CAFCO 400 '!$L$16)),0)+IF(AND(L1128="Cafco 400",M1128="Software Idiem",C1128="L"),((('CAFCO 400 '!$L$7*(J1128^3)+'CAFCO 400 '!$L$8*(J1128^2)+'CAFCO 400 '!$L$9*J1128+'CAFCO 400 '!$L$10)*U1128^2)+(('CAFCO 400 '!$L$11*(J1128^3)+'CAFCO 400 '!$L$12*(J1128^2)+'CAFCO 400 '!$L$13*J1128+'CAFCO 400 '!$L$14)*U1128)+('CAFCO 400 '!$L$15*LN(J1128)+'CAFCO 400 '!$L$16)),0)+IF(AND(L1128="Cafco 400",M1128="Software Idiem",C1128="IN",G1128=3),((('CAFCO 400 '!$D$23*(J1128^2)+'CAFCO 400 '!$D$24*(J1128)+'CAFCO 400 '!$D$25)*U1128^2)+(('CAFCO 400 '!$D$26*(J1128^2)+'CAFCO 400 '!$D$27*J1128+'CAFCO 400 '!$D$28)*U1128)+('CAFCO 400 '!$D$29*(J1128^2)+'CAFCO 400 '!$D$30*J1128+'CAFCO 400 '!$D$31)),0),0)+IF(AND(L1128="Cafco 300",J1128&gt;=95,J1128&lt;=240,C1128="Cj",I1128=90),VLOOKUP(T1128,'CAFCO 300 IDIEM TABLAS'!$B$4:$D$23,2,FALSE),0)+IF(AND(L1128="Cafco 300",J1128&gt;=95,J1128&lt;=240,C1128="Cj",I1128=120),VLOOKUP(T1128,'CAFCO 300 IDIEM TABLAS'!$B$4:$D$23,3,FALSE),0)+IF(AND(L1128="Cafco 300",J1128&gt;=95,J1128&lt;=400,G1128=3,C1128="IN",I1128=90),VLOOKUP(T1128,'CAFCO 300 IDIEM TABLAS'!$F$4:$H$35,2,FALSE),0)+IF(AND(L1128="Cafco 300",J1128&gt;=95,J1128&lt;=400,G1128=3,C1128="IN",I1128=120),VLOOKUP(T1128,'CAFCO 300 IDIEM TABLAS'!$F$4:$H$35,3,FALSE),0)+IF(AND(L1128="Cafco 300",J1128&gt;=95,J1128&lt;=450,G1128=4,C1128="IN",I1128=90),VLOOKUP(T1128,'CAFCO 300 IDIEM TABLAS'!$J$4:$L$40,2,FALSE),0)+IF(AND(L1128="Cafco 300",J1128&gt;=95,J1128&lt;=450,G1128=4,C1128="IN",I1128=120),VLOOKUP(T1128,'CAFCO 300 IDIEM TABLAS'!$J$4:$L$40,3,FALSE),0)+IF(AND(M1128="Ensayo Idiem",L1128="Cafco 400",C1128="IN",G1128=4,I1128=90),VLOOKUP(T1128,'CAFCO 400 ENSAYO'!$B$7:$D$43,2,FALSE),0)+IF(AND(M1128="Ensayo Idiem",L1128="Cafco 400",C1128="IN",G1128=4,I1128=120),VLOOKUP(T1128,'CAFCO 400 ENSAYO'!$B$7:$D$43,3,FALSE),0)</f>
        <v>0</v>
      </c>
      <c r="O1128" s="96">
        <f t="shared" si="114"/>
        <v>0</v>
      </c>
      <c r="P1128" s="95" t="str">
        <f t="shared" si="109"/>
        <v>N/A</v>
      </c>
      <c r="Q1128" s="95" t="str">
        <f t="shared" si="110"/>
        <v>N/A</v>
      </c>
      <c r="R1128" s="95" t="str">
        <f t="shared" si="111"/>
        <v>NO CERT.</v>
      </c>
      <c r="S1128" s="95" t="e">
        <f t="shared" si="112"/>
        <v>#N/A</v>
      </c>
      <c r="T1128" s="119" t="e">
        <f>+IF(J1128=LOOKUP(J1128,'CAFCO 300 IDIEM TABLAS'!$J$4:$J$40),'CALCULO MORTERO'!J1128,MROUND('CALCULO MORTERO'!J1128,10))</f>
        <v>#N/A</v>
      </c>
      <c r="U1128" s="118">
        <f t="shared" si="113"/>
        <v>0</v>
      </c>
    </row>
    <row r="1129" spans="1:21" x14ac:dyDescent="0.25">
      <c r="A1129" s="118">
        <f>+CUBICACION!D1123</f>
        <v>0</v>
      </c>
      <c r="B1129" s="819">
        <f>+CUBICACION!E1123</f>
        <v>0</v>
      </c>
      <c r="C1129" s="675">
        <f>+CUBICACION!F1123</f>
        <v>0</v>
      </c>
      <c r="D1129" s="118"/>
      <c r="E1129" s="118"/>
      <c r="F1129" s="820"/>
      <c r="G1129" s="675">
        <f>+CUBICACION!J1123</f>
        <v>0</v>
      </c>
      <c r="H1129" s="118"/>
      <c r="I1129" s="821">
        <f>+CUBICACION!L1123</f>
        <v>0</v>
      </c>
      <c r="J1129" s="64">
        <f>+CUBICACION!M1123</f>
        <v>0</v>
      </c>
      <c r="K1129" s="822" t="str">
        <f>+CUBICACION!N1123</f>
        <v/>
      </c>
      <c r="L1129" s="118">
        <f>+CUBICACION!O1123</f>
        <v>0</v>
      </c>
      <c r="M1129" s="823">
        <f>+CUBICACION!P1123</f>
        <v>0</v>
      </c>
      <c r="N1129" s="902">
        <f>ROUND(IF(AND(L1129="Blaze Shield II",M1129="Software Idiem",C1129="IN",G1129=4),((('BLAZE SHIELD II'!$D$4*('CALCULO MORTERO'!I1129^2)+'BLAZE SHIELD II'!$D$5*'CALCULO MORTERO'!I1129+'BLAZE SHIELD II'!$D$6)*LN(J1129))+('BLAZE SHIELD II'!$D$7*('CALCULO MORTERO'!I1129^2)+'BLAZE SHIELD II'!$D$8*'CALCULO MORTERO'!I1129+'BLAZE SHIELD II'!$D$9)),0)+IF(AND(L1129="Blaze Shield II",M1129="Software Idiem",C1129="Cj"),((('BLAZE SHIELD II'!$H$4*('CALCULO MORTERO'!I1129^2)+'BLAZE SHIELD II'!$H$5*'CALCULO MORTERO'!I1129+'BLAZE SHIELD II'!$H$6)*LN(J1129))+('BLAZE SHIELD II'!$H$7*('CALCULO MORTERO'!I1129^2)+'BLAZE SHIELD II'!$H$8*'CALCULO MORTERO'!I1129+'BLAZE SHIELD II'!$H$9)),0)+IF(AND(L1129="Blaze Shield II",M1129="Software Idiem",C1129="C"),((('BLAZE SHIELD II'!$L$4*('CALCULO MORTERO'!I1129^2)+'BLAZE SHIELD II'!$L$5*'CALCULO MORTERO'!I1129+'BLAZE SHIELD II'!$L$6)*LN(J1129))+('BLAZE SHIELD II'!$L$7*('CALCULO MORTERO'!I1129^2)+'BLAZE SHIELD II'!$L$8*'CALCULO MORTERO'!I1129+'BLAZE SHIELD II'!$L$9)),0)+IF(AND(L1129="Blaze Shield II",M1129="Software Idiem",C1129="L"),((('BLAZE SHIELD II'!$L$4*('CALCULO MORTERO'!I1129^2)+'BLAZE SHIELD II'!$L$5*'CALCULO MORTERO'!I1129+'BLAZE SHIELD II'!$L$6)*LN(J1129))+('BLAZE SHIELD II'!$L$7*('CALCULO MORTERO'!I1129^2)+'BLAZE SHIELD II'!$L$8*'CALCULO MORTERO'!I1129+'BLAZE SHIELD II'!$L$9)),0)+IF(AND(L1129="Blaze Shield II",M1129="Software Idiem",C1129="IN",G1129=3),((('BLAZE SHIELD II'!$H$14*('CALCULO MORTERO'!I1129^2)+'BLAZE SHIELD II'!$H$15*'CALCULO MORTERO'!I1129+'BLAZE SHIELD II'!$H$16)*LN(J1129))+('BLAZE SHIELD II'!$H$17*('CALCULO MORTERO'!I1129^2)+'BLAZE SHIELD II'!$H$18*'CALCULO MORTERO'!I1129+'BLAZE SHIELD II'!$H$19)),0),0)+ROUND(IF(AND(L1129="Cafco 400",M1129="Software Idiem",C1129="IN",G1129=4),((('CAFCO 400 '!$H$7*(J1129^4)+'CAFCO 400 '!$H$8*(J1129^3)+'CAFCO 400 '!$H$9*(J1129^2)+'CAFCO 400 '!$H$10*J1129+'CAFCO 400 '!$H$11)*U1129^2)+(('CAFCO 400 '!$H$12*(J1129^3)+'CAFCO 400 '!$H$13*(J1129^2)+'CAFCO 400 '!$H$14*J1129+'CAFCO 400 '!$H$15)*U1129)+('CAFCO 400 '!$H$16*(J1129^2)+'CAFCO 400 '!$H$17*J1129+'CAFCO 400 '!$H$18)),0)+IF(AND(L1129="Cafco 400",M1129="Software Idiem",C1129="Cj"),(((('CAFCO 400 '!$D$7*LN(J1129)+'CAFCO 400 '!$D$8)*U1129^2)+(('CAFCO 400 '!$D$9*LN(J1129)+'CAFCO 400 '!$D$10)*U1129)+('CAFCO 400 '!$D$11*LN(J1129)+'CAFCO 400 '!$D$12))),0)+IF(AND(L1129="Cafco 400",M1129="Software Idiem",C1129="C"),((('CAFCO 400 '!$L$7*(J1129^3)+'CAFCO 400 '!$L$8*(J1129^2)+'CAFCO 400 '!$L$9*J1129+'CAFCO 400 '!$L$10)*U1129^2)+(('CAFCO 400 '!$L$11*(J1129^3)+'CAFCO 400 '!$L$12*(J1129^2)+'CAFCO 400 '!$L$13*J1129+'CAFCO 400 '!$L$14)*U1129)+('CAFCO 400 '!$L$15*LN(J1129)+'CAFCO 400 '!$L$16)),0)+IF(AND(L1129="Cafco 400",M1129="Software Idiem",C1129="L"),((('CAFCO 400 '!$L$7*(J1129^3)+'CAFCO 400 '!$L$8*(J1129^2)+'CAFCO 400 '!$L$9*J1129+'CAFCO 400 '!$L$10)*U1129^2)+(('CAFCO 400 '!$L$11*(J1129^3)+'CAFCO 400 '!$L$12*(J1129^2)+'CAFCO 400 '!$L$13*J1129+'CAFCO 400 '!$L$14)*U1129)+('CAFCO 400 '!$L$15*LN(J1129)+'CAFCO 400 '!$L$16)),0)+IF(AND(L1129="Cafco 400",M1129="Software Idiem",C1129="IN",G1129=3),((('CAFCO 400 '!$D$23*(J1129^2)+'CAFCO 400 '!$D$24*(J1129)+'CAFCO 400 '!$D$25)*U1129^2)+(('CAFCO 400 '!$D$26*(J1129^2)+'CAFCO 400 '!$D$27*J1129+'CAFCO 400 '!$D$28)*U1129)+('CAFCO 400 '!$D$29*(J1129^2)+'CAFCO 400 '!$D$30*J1129+'CAFCO 400 '!$D$31)),0),0)+IF(AND(L1129="Cafco 300",J1129&gt;=95,J1129&lt;=240,C1129="Cj",I1129=90),VLOOKUP(T1129,'CAFCO 300 IDIEM TABLAS'!$B$4:$D$23,2,FALSE),0)+IF(AND(L1129="Cafco 300",J1129&gt;=95,J1129&lt;=240,C1129="Cj",I1129=120),VLOOKUP(T1129,'CAFCO 300 IDIEM TABLAS'!$B$4:$D$23,3,FALSE),0)+IF(AND(L1129="Cafco 300",J1129&gt;=95,J1129&lt;=400,G1129=3,C1129="IN",I1129=90),VLOOKUP(T1129,'CAFCO 300 IDIEM TABLAS'!$F$4:$H$35,2,FALSE),0)+IF(AND(L1129="Cafco 300",J1129&gt;=95,J1129&lt;=400,G1129=3,C1129="IN",I1129=120),VLOOKUP(T1129,'CAFCO 300 IDIEM TABLAS'!$F$4:$H$35,3,FALSE),0)+IF(AND(L1129="Cafco 300",J1129&gt;=95,J1129&lt;=450,G1129=4,C1129="IN",I1129=90),VLOOKUP(T1129,'CAFCO 300 IDIEM TABLAS'!$J$4:$L$40,2,FALSE),0)+IF(AND(L1129="Cafco 300",J1129&gt;=95,J1129&lt;=450,G1129=4,C1129="IN",I1129=120),VLOOKUP(T1129,'CAFCO 300 IDIEM TABLAS'!$J$4:$L$40,3,FALSE),0)+IF(AND(M1129="Ensayo Idiem",L1129="Cafco 400",C1129="IN",G1129=4,I1129=90),VLOOKUP(T1129,'CAFCO 400 ENSAYO'!$B$7:$D$43,2,FALSE),0)+IF(AND(M1129="Ensayo Idiem",L1129="Cafco 400",C1129="IN",G1129=4,I1129=120),VLOOKUP(T1129,'CAFCO 400 ENSAYO'!$B$7:$D$43,3,FALSE),0)</f>
        <v>0</v>
      </c>
      <c r="O1129" s="96">
        <f t="shared" si="114"/>
        <v>0</v>
      </c>
      <c r="P1129" s="132" t="str">
        <f t="shared" si="109"/>
        <v>N/A</v>
      </c>
      <c r="Q1129" s="132" t="str">
        <f t="shared" si="110"/>
        <v>N/A</v>
      </c>
      <c r="R1129" s="132" t="str">
        <f t="shared" si="111"/>
        <v>NO CERT.</v>
      </c>
      <c r="S1129" s="132" t="e">
        <f t="shared" si="112"/>
        <v>#N/A</v>
      </c>
      <c r="T1129" s="133" t="e">
        <f>+IF(J1129=LOOKUP(J1129,'CAFCO 300 IDIEM TABLAS'!$J$4:$J$40),'CALCULO MORTERO'!J1129,MROUND('CALCULO MORTERO'!J1129,10))</f>
        <v>#N/A</v>
      </c>
      <c r="U1129" s="134">
        <f t="shared" si="113"/>
        <v>0</v>
      </c>
    </row>
    <row r="1130" spans="1:21" x14ac:dyDescent="0.25">
      <c r="A1130" s="118">
        <f>+CUBICACION!D1124</f>
        <v>0</v>
      </c>
      <c r="B1130" s="819">
        <f>+CUBICACION!E1124</f>
        <v>0</v>
      </c>
      <c r="C1130" s="675">
        <f>+CUBICACION!F1124</f>
        <v>0</v>
      </c>
      <c r="D1130" s="118"/>
      <c r="E1130" s="118"/>
      <c r="F1130" s="820"/>
      <c r="G1130" s="675">
        <f>+CUBICACION!J1124</f>
        <v>0</v>
      </c>
      <c r="H1130" s="118"/>
      <c r="I1130" s="821">
        <f>+CUBICACION!L1124</f>
        <v>0</v>
      </c>
      <c r="J1130" s="64">
        <f>+CUBICACION!M1124</f>
        <v>0</v>
      </c>
      <c r="K1130" s="822" t="str">
        <f>+CUBICACION!N1124</f>
        <v/>
      </c>
      <c r="L1130" s="118">
        <f>+CUBICACION!O1124</f>
        <v>0</v>
      </c>
      <c r="M1130" s="823">
        <f>+CUBICACION!P1124</f>
        <v>0</v>
      </c>
      <c r="N1130" s="902">
        <f>ROUND(IF(AND(L1130="Blaze Shield II",M1130="Software Idiem",C1130="IN",G1130=4),((('BLAZE SHIELD II'!$D$4*('CALCULO MORTERO'!I1130^2)+'BLAZE SHIELD II'!$D$5*'CALCULO MORTERO'!I1130+'BLAZE SHIELD II'!$D$6)*LN(J1130))+('BLAZE SHIELD II'!$D$7*('CALCULO MORTERO'!I1130^2)+'BLAZE SHIELD II'!$D$8*'CALCULO MORTERO'!I1130+'BLAZE SHIELD II'!$D$9)),0)+IF(AND(L1130="Blaze Shield II",M1130="Software Idiem",C1130="Cj"),((('BLAZE SHIELD II'!$H$4*('CALCULO MORTERO'!I1130^2)+'BLAZE SHIELD II'!$H$5*'CALCULO MORTERO'!I1130+'BLAZE SHIELD II'!$H$6)*LN(J1130))+('BLAZE SHIELD II'!$H$7*('CALCULO MORTERO'!I1130^2)+'BLAZE SHIELD II'!$H$8*'CALCULO MORTERO'!I1130+'BLAZE SHIELD II'!$H$9)),0)+IF(AND(L1130="Blaze Shield II",M1130="Software Idiem",C1130="C"),((('BLAZE SHIELD II'!$L$4*('CALCULO MORTERO'!I1130^2)+'BLAZE SHIELD II'!$L$5*'CALCULO MORTERO'!I1130+'BLAZE SHIELD II'!$L$6)*LN(J1130))+('BLAZE SHIELD II'!$L$7*('CALCULO MORTERO'!I1130^2)+'BLAZE SHIELD II'!$L$8*'CALCULO MORTERO'!I1130+'BLAZE SHIELD II'!$L$9)),0)+IF(AND(L1130="Blaze Shield II",M1130="Software Idiem",C1130="L"),((('BLAZE SHIELD II'!$L$4*('CALCULO MORTERO'!I1130^2)+'BLAZE SHIELD II'!$L$5*'CALCULO MORTERO'!I1130+'BLAZE SHIELD II'!$L$6)*LN(J1130))+('BLAZE SHIELD II'!$L$7*('CALCULO MORTERO'!I1130^2)+'BLAZE SHIELD II'!$L$8*'CALCULO MORTERO'!I1130+'BLAZE SHIELD II'!$L$9)),0)+IF(AND(L1130="Blaze Shield II",M1130="Software Idiem",C1130="IN",G1130=3),((('BLAZE SHIELD II'!$H$14*('CALCULO MORTERO'!I1130^2)+'BLAZE SHIELD II'!$H$15*'CALCULO MORTERO'!I1130+'BLAZE SHIELD II'!$H$16)*LN(J1130))+('BLAZE SHIELD II'!$H$17*('CALCULO MORTERO'!I1130^2)+'BLAZE SHIELD II'!$H$18*'CALCULO MORTERO'!I1130+'BLAZE SHIELD II'!$H$19)),0),0)+ROUND(IF(AND(L1130="Cafco 400",M1130="Software Idiem",C1130="IN",G1130=4),((('CAFCO 400 '!$H$7*(J1130^4)+'CAFCO 400 '!$H$8*(J1130^3)+'CAFCO 400 '!$H$9*(J1130^2)+'CAFCO 400 '!$H$10*J1130+'CAFCO 400 '!$H$11)*U1130^2)+(('CAFCO 400 '!$H$12*(J1130^3)+'CAFCO 400 '!$H$13*(J1130^2)+'CAFCO 400 '!$H$14*J1130+'CAFCO 400 '!$H$15)*U1130)+('CAFCO 400 '!$H$16*(J1130^2)+'CAFCO 400 '!$H$17*J1130+'CAFCO 400 '!$H$18)),0)+IF(AND(L1130="Cafco 400",M1130="Software Idiem",C1130="Cj"),(((('CAFCO 400 '!$D$7*LN(J1130)+'CAFCO 400 '!$D$8)*U1130^2)+(('CAFCO 400 '!$D$9*LN(J1130)+'CAFCO 400 '!$D$10)*U1130)+('CAFCO 400 '!$D$11*LN(J1130)+'CAFCO 400 '!$D$12))),0)+IF(AND(L1130="Cafco 400",M1130="Software Idiem",C1130="C"),((('CAFCO 400 '!$L$7*(J1130^3)+'CAFCO 400 '!$L$8*(J1130^2)+'CAFCO 400 '!$L$9*J1130+'CAFCO 400 '!$L$10)*U1130^2)+(('CAFCO 400 '!$L$11*(J1130^3)+'CAFCO 400 '!$L$12*(J1130^2)+'CAFCO 400 '!$L$13*J1130+'CAFCO 400 '!$L$14)*U1130)+('CAFCO 400 '!$L$15*LN(J1130)+'CAFCO 400 '!$L$16)),0)+IF(AND(L1130="Cafco 400",M1130="Software Idiem",C1130="L"),((('CAFCO 400 '!$L$7*(J1130^3)+'CAFCO 400 '!$L$8*(J1130^2)+'CAFCO 400 '!$L$9*J1130+'CAFCO 400 '!$L$10)*U1130^2)+(('CAFCO 400 '!$L$11*(J1130^3)+'CAFCO 400 '!$L$12*(J1130^2)+'CAFCO 400 '!$L$13*J1130+'CAFCO 400 '!$L$14)*U1130)+('CAFCO 400 '!$L$15*LN(J1130)+'CAFCO 400 '!$L$16)),0)+IF(AND(L1130="Cafco 400",M1130="Software Idiem",C1130="IN",G1130=3),((('CAFCO 400 '!$D$23*(J1130^2)+'CAFCO 400 '!$D$24*(J1130)+'CAFCO 400 '!$D$25)*U1130^2)+(('CAFCO 400 '!$D$26*(J1130^2)+'CAFCO 400 '!$D$27*J1130+'CAFCO 400 '!$D$28)*U1130)+('CAFCO 400 '!$D$29*(J1130^2)+'CAFCO 400 '!$D$30*J1130+'CAFCO 400 '!$D$31)),0),0)+IF(AND(L1130="Cafco 300",J1130&gt;=95,J1130&lt;=240,C1130="Cj",I1130=90),VLOOKUP(T1130,'CAFCO 300 IDIEM TABLAS'!$B$4:$D$23,2,FALSE),0)+IF(AND(L1130="Cafco 300",J1130&gt;=95,J1130&lt;=240,C1130="Cj",I1130=120),VLOOKUP(T1130,'CAFCO 300 IDIEM TABLAS'!$B$4:$D$23,3,FALSE),0)+IF(AND(L1130="Cafco 300",J1130&gt;=95,J1130&lt;=400,G1130=3,C1130="IN",I1130=90),VLOOKUP(T1130,'CAFCO 300 IDIEM TABLAS'!$F$4:$H$35,2,FALSE),0)+IF(AND(L1130="Cafco 300",J1130&gt;=95,J1130&lt;=400,G1130=3,C1130="IN",I1130=120),VLOOKUP(T1130,'CAFCO 300 IDIEM TABLAS'!$F$4:$H$35,3,FALSE),0)+IF(AND(L1130="Cafco 300",J1130&gt;=95,J1130&lt;=450,G1130=4,C1130="IN",I1130=90),VLOOKUP(T1130,'CAFCO 300 IDIEM TABLAS'!$J$4:$L$40,2,FALSE),0)+IF(AND(L1130="Cafco 300",J1130&gt;=95,J1130&lt;=450,G1130=4,C1130="IN",I1130=120),VLOOKUP(T1130,'CAFCO 300 IDIEM TABLAS'!$J$4:$L$40,3,FALSE),0)+IF(AND(M1130="Ensayo Idiem",L1130="Cafco 400",C1130="IN",G1130=4,I1130=90),VLOOKUP(T1130,'CAFCO 400 ENSAYO'!$B$7:$D$43,2,FALSE),0)+IF(AND(M1130="Ensayo Idiem",L1130="Cafco 400",C1130="IN",G1130=4,I1130=120),VLOOKUP(T1130,'CAFCO 400 ENSAYO'!$B$7:$D$43,3,FALSE),0)</f>
        <v>0</v>
      </c>
      <c r="O1130" s="96">
        <f t="shared" si="114"/>
        <v>0</v>
      </c>
      <c r="P1130" s="95" t="str">
        <f t="shared" si="109"/>
        <v>N/A</v>
      </c>
      <c r="Q1130" s="95" t="str">
        <f t="shared" si="110"/>
        <v>N/A</v>
      </c>
      <c r="R1130" s="95" t="str">
        <f t="shared" si="111"/>
        <v>NO CERT.</v>
      </c>
      <c r="S1130" s="95" t="e">
        <f t="shared" si="112"/>
        <v>#N/A</v>
      </c>
      <c r="T1130" s="119" t="e">
        <f>+IF(J1130=LOOKUP(J1130,'CAFCO 300 IDIEM TABLAS'!$J$4:$J$40),'CALCULO MORTERO'!J1130,MROUND('CALCULO MORTERO'!J1130,10))</f>
        <v>#N/A</v>
      </c>
      <c r="U1130" s="118">
        <f t="shared" si="113"/>
        <v>0</v>
      </c>
    </row>
    <row r="1131" spans="1:21" x14ac:dyDescent="0.25">
      <c r="A1131" s="118">
        <f>+CUBICACION!D1125</f>
        <v>0</v>
      </c>
      <c r="B1131" s="819">
        <f>+CUBICACION!E1125</f>
        <v>0</v>
      </c>
      <c r="C1131" s="675">
        <f>+CUBICACION!F1125</f>
        <v>0</v>
      </c>
      <c r="D1131" s="118"/>
      <c r="E1131" s="118"/>
      <c r="F1131" s="820"/>
      <c r="G1131" s="675">
        <f>+CUBICACION!J1125</f>
        <v>0</v>
      </c>
      <c r="H1131" s="118"/>
      <c r="I1131" s="821">
        <f>+CUBICACION!L1125</f>
        <v>0</v>
      </c>
      <c r="J1131" s="64">
        <f>+CUBICACION!M1125</f>
        <v>0</v>
      </c>
      <c r="K1131" s="822" t="str">
        <f>+CUBICACION!N1125</f>
        <v/>
      </c>
      <c r="L1131" s="118">
        <f>+CUBICACION!O1125</f>
        <v>0</v>
      </c>
      <c r="M1131" s="823">
        <f>+CUBICACION!P1125</f>
        <v>0</v>
      </c>
      <c r="N1131" s="902">
        <f>ROUND(IF(AND(L1131="Blaze Shield II",M1131="Software Idiem",C1131="IN",G1131=4),((('BLAZE SHIELD II'!$D$4*('CALCULO MORTERO'!I1131^2)+'BLAZE SHIELD II'!$D$5*'CALCULO MORTERO'!I1131+'BLAZE SHIELD II'!$D$6)*LN(J1131))+('BLAZE SHIELD II'!$D$7*('CALCULO MORTERO'!I1131^2)+'BLAZE SHIELD II'!$D$8*'CALCULO MORTERO'!I1131+'BLAZE SHIELD II'!$D$9)),0)+IF(AND(L1131="Blaze Shield II",M1131="Software Idiem",C1131="Cj"),((('BLAZE SHIELD II'!$H$4*('CALCULO MORTERO'!I1131^2)+'BLAZE SHIELD II'!$H$5*'CALCULO MORTERO'!I1131+'BLAZE SHIELD II'!$H$6)*LN(J1131))+('BLAZE SHIELD II'!$H$7*('CALCULO MORTERO'!I1131^2)+'BLAZE SHIELD II'!$H$8*'CALCULO MORTERO'!I1131+'BLAZE SHIELD II'!$H$9)),0)+IF(AND(L1131="Blaze Shield II",M1131="Software Idiem",C1131="C"),((('BLAZE SHIELD II'!$L$4*('CALCULO MORTERO'!I1131^2)+'BLAZE SHIELD II'!$L$5*'CALCULO MORTERO'!I1131+'BLAZE SHIELD II'!$L$6)*LN(J1131))+('BLAZE SHIELD II'!$L$7*('CALCULO MORTERO'!I1131^2)+'BLAZE SHIELD II'!$L$8*'CALCULO MORTERO'!I1131+'BLAZE SHIELD II'!$L$9)),0)+IF(AND(L1131="Blaze Shield II",M1131="Software Idiem",C1131="L"),((('BLAZE SHIELD II'!$L$4*('CALCULO MORTERO'!I1131^2)+'BLAZE SHIELD II'!$L$5*'CALCULO MORTERO'!I1131+'BLAZE SHIELD II'!$L$6)*LN(J1131))+('BLAZE SHIELD II'!$L$7*('CALCULO MORTERO'!I1131^2)+'BLAZE SHIELD II'!$L$8*'CALCULO MORTERO'!I1131+'BLAZE SHIELD II'!$L$9)),0)+IF(AND(L1131="Blaze Shield II",M1131="Software Idiem",C1131="IN",G1131=3),((('BLAZE SHIELD II'!$H$14*('CALCULO MORTERO'!I1131^2)+'BLAZE SHIELD II'!$H$15*'CALCULO MORTERO'!I1131+'BLAZE SHIELD II'!$H$16)*LN(J1131))+('BLAZE SHIELD II'!$H$17*('CALCULO MORTERO'!I1131^2)+'BLAZE SHIELD II'!$H$18*'CALCULO MORTERO'!I1131+'BLAZE SHIELD II'!$H$19)),0),0)+ROUND(IF(AND(L1131="Cafco 400",M1131="Software Idiem",C1131="IN",G1131=4),((('CAFCO 400 '!$H$7*(J1131^4)+'CAFCO 400 '!$H$8*(J1131^3)+'CAFCO 400 '!$H$9*(J1131^2)+'CAFCO 400 '!$H$10*J1131+'CAFCO 400 '!$H$11)*U1131^2)+(('CAFCO 400 '!$H$12*(J1131^3)+'CAFCO 400 '!$H$13*(J1131^2)+'CAFCO 400 '!$H$14*J1131+'CAFCO 400 '!$H$15)*U1131)+('CAFCO 400 '!$H$16*(J1131^2)+'CAFCO 400 '!$H$17*J1131+'CAFCO 400 '!$H$18)),0)+IF(AND(L1131="Cafco 400",M1131="Software Idiem",C1131="Cj"),(((('CAFCO 400 '!$D$7*LN(J1131)+'CAFCO 400 '!$D$8)*U1131^2)+(('CAFCO 400 '!$D$9*LN(J1131)+'CAFCO 400 '!$D$10)*U1131)+('CAFCO 400 '!$D$11*LN(J1131)+'CAFCO 400 '!$D$12))),0)+IF(AND(L1131="Cafco 400",M1131="Software Idiem",C1131="C"),((('CAFCO 400 '!$L$7*(J1131^3)+'CAFCO 400 '!$L$8*(J1131^2)+'CAFCO 400 '!$L$9*J1131+'CAFCO 400 '!$L$10)*U1131^2)+(('CAFCO 400 '!$L$11*(J1131^3)+'CAFCO 400 '!$L$12*(J1131^2)+'CAFCO 400 '!$L$13*J1131+'CAFCO 400 '!$L$14)*U1131)+('CAFCO 400 '!$L$15*LN(J1131)+'CAFCO 400 '!$L$16)),0)+IF(AND(L1131="Cafco 400",M1131="Software Idiem",C1131="L"),((('CAFCO 400 '!$L$7*(J1131^3)+'CAFCO 400 '!$L$8*(J1131^2)+'CAFCO 400 '!$L$9*J1131+'CAFCO 400 '!$L$10)*U1131^2)+(('CAFCO 400 '!$L$11*(J1131^3)+'CAFCO 400 '!$L$12*(J1131^2)+'CAFCO 400 '!$L$13*J1131+'CAFCO 400 '!$L$14)*U1131)+('CAFCO 400 '!$L$15*LN(J1131)+'CAFCO 400 '!$L$16)),0)+IF(AND(L1131="Cafco 400",M1131="Software Idiem",C1131="IN",G1131=3),((('CAFCO 400 '!$D$23*(J1131^2)+'CAFCO 400 '!$D$24*(J1131)+'CAFCO 400 '!$D$25)*U1131^2)+(('CAFCO 400 '!$D$26*(J1131^2)+'CAFCO 400 '!$D$27*J1131+'CAFCO 400 '!$D$28)*U1131)+('CAFCO 400 '!$D$29*(J1131^2)+'CAFCO 400 '!$D$30*J1131+'CAFCO 400 '!$D$31)),0),0)+IF(AND(L1131="Cafco 300",J1131&gt;=95,J1131&lt;=240,C1131="Cj",I1131=90),VLOOKUP(T1131,'CAFCO 300 IDIEM TABLAS'!$B$4:$D$23,2,FALSE),0)+IF(AND(L1131="Cafco 300",J1131&gt;=95,J1131&lt;=240,C1131="Cj",I1131=120),VLOOKUP(T1131,'CAFCO 300 IDIEM TABLAS'!$B$4:$D$23,3,FALSE),0)+IF(AND(L1131="Cafco 300",J1131&gt;=95,J1131&lt;=400,G1131=3,C1131="IN",I1131=90),VLOOKUP(T1131,'CAFCO 300 IDIEM TABLAS'!$F$4:$H$35,2,FALSE),0)+IF(AND(L1131="Cafco 300",J1131&gt;=95,J1131&lt;=400,G1131=3,C1131="IN",I1131=120),VLOOKUP(T1131,'CAFCO 300 IDIEM TABLAS'!$F$4:$H$35,3,FALSE),0)+IF(AND(L1131="Cafco 300",J1131&gt;=95,J1131&lt;=450,G1131=4,C1131="IN",I1131=90),VLOOKUP(T1131,'CAFCO 300 IDIEM TABLAS'!$J$4:$L$40,2,FALSE),0)+IF(AND(L1131="Cafco 300",J1131&gt;=95,J1131&lt;=450,G1131=4,C1131="IN",I1131=120),VLOOKUP(T1131,'CAFCO 300 IDIEM TABLAS'!$J$4:$L$40,3,FALSE),0)+IF(AND(M1131="Ensayo Idiem",L1131="Cafco 400",C1131="IN",G1131=4,I1131=90),VLOOKUP(T1131,'CAFCO 400 ENSAYO'!$B$7:$D$43,2,FALSE),0)+IF(AND(M1131="Ensayo Idiem",L1131="Cafco 400",C1131="IN",G1131=4,I1131=120),VLOOKUP(T1131,'CAFCO 400 ENSAYO'!$B$7:$D$43,3,FALSE),0)</f>
        <v>0</v>
      </c>
      <c r="O1131" s="96">
        <f t="shared" si="114"/>
        <v>0</v>
      </c>
      <c r="P1131" s="132" t="str">
        <f t="shared" si="109"/>
        <v>N/A</v>
      </c>
      <c r="Q1131" s="132" t="str">
        <f t="shared" si="110"/>
        <v>N/A</v>
      </c>
      <c r="R1131" s="132" t="str">
        <f t="shared" si="111"/>
        <v>NO CERT.</v>
      </c>
      <c r="S1131" s="132" t="e">
        <f t="shared" si="112"/>
        <v>#N/A</v>
      </c>
      <c r="T1131" s="133" t="e">
        <f>+IF(J1131=LOOKUP(J1131,'CAFCO 300 IDIEM TABLAS'!$J$4:$J$40),'CALCULO MORTERO'!J1131,MROUND('CALCULO MORTERO'!J1131,10))</f>
        <v>#N/A</v>
      </c>
      <c r="U1131" s="134">
        <f t="shared" si="113"/>
        <v>0</v>
      </c>
    </row>
    <row r="1132" spans="1:21" x14ac:dyDescent="0.25">
      <c r="A1132" s="118">
        <f>+CUBICACION!D1126</f>
        <v>0</v>
      </c>
      <c r="B1132" s="819">
        <f>+CUBICACION!E1126</f>
        <v>0</v>
      </c>
      <c r="C1132" s="675">
        <f>+CUBICACION!F1126</f>
        <v>0</v>
      </c>
      <c r="D1132" s="118"/>
      <c r="E1132" s="118"/>
      <c r="F1132" s="820"/>
      <c r="G1132" s="675">
        <f>+CUBICACION!J1126</f>
        <v>0</v>
      </c>
      <c r="H1132" s="118"/>
      <c r="I1132" s="821">
        <f>+CUBICACION!L1126</f>
        <v>0</v>
      </c>
      <c r="J1132" s="64">
        <f>+CUBICACION!M1126</f>
        <v>0</v>
      </c>
      <c r="K1132" s="822" t="str">
        <f>+CUBICACION!N1126</f>
        <v/>
      </c>
      <c r="L1132" s="118">
        <f>+CUBICACION!O1126</f>
        <v>0</v>
      </c>
      <c r="M1132" s="823">
        <f>+CUBICACION!P1126</f>
        <v>0</v>
      </c>
      <c r="N1132" s="902">
        <f>ROUND(IF(AND(L1132="Blaze Shield II",M1132="Software Idiem",C1132="IN",G1132=4),((('BLAZE SHIELD II'!$D$4*('CALCULO MORTERO'!I1132^2)+'BLAZE SHIELD II'!$D$5*'CALCULO MORTERO'!I1132+'BLAZE SHIELD II'!$D$6)*LN(J1132))+('BLAZE SHIELD II'!$D$7*('CALCULO MORTERO'!I1132^2)+'BLAZE SHIELD II'!$D$8*'CALCULO MORTERO'!I1132+'BLAZE SHIELD II'!$D$9)),0)+IF(AND(L1132="Blaze Shield II",M1132="Software Idiem",C1132="Cj"),((('BLAZE SHIELD II'!$H$4*('CALCULO MORTERO'!I1132^2)+'BLAZE SHIELD II'!$H$5*'CALCULO MORTERO'!I1132+'BLAZE SHIELD II'!$H$6)*LN(J1132))+('BLAZE SHIELD II'!$H$7*('CALCULO MORTERO'!I1132^2)+'BLAZE SHIELD II'!$H$8*'CALCULO MORTERO'!I1132+'BLAZE SHIELD II'!$H$9)),0)+IF(AND(L1132="Blaze Shield II",M1132="Software Idiem",C1132="C"),((('BLAZE SHIELD II'!$L$4*('CALCULO MORTERO'!I1132^2)+'BLAZE SHIELD II'!$L$5*'CALCULO MORTERO'!I1132+'BLAZE SHIELD II'!$L$6)*LN(J1132))+('BLAZE SHIELD II'!$L$7*('CALCULO MORTERO'!I1132^2)+'BLAZE SHIELD II'!$L$8*'CALCULO MORTERO'!I1132+'BLAZE SHIELD II'!$L$9)),0)+IF(AND(L1132="Blaze Shield II",M1132="Software Idiem",C1132="L"),((('BLAZE SHIELD II'!$L$4*('CALCULO MORTERO'!I1132^2)+'BLAZE SHIELD II'!$L$5*'CALCULO MORTERO'!I1132+'BLAZE SHIELD II'!$L$6)*LN(J1132))+('BLAZE SHIELD II'!$L$7*('CALCULO MORTERO'!I1132^2)+'BLAZE SHIELD II'!$L$8*'CALCULO MORTERO'!I1132+'BLAZE SHIELD II'!$L$9)),0)+IF(AND(L1132="Blaze Shield II",M1132="Software Idiem",C1132="IN",G1132=3),((('BLAZE SHIELD II'!$H$14*('CALCULO MORTERO'!I1132^2)+'BLAZE SHIELD II'!$H$15*'CALCULO MORTERO'!I1132+'BLAZE SHIELD II'!$H$16)*LN(J1132))+('BLAZE SHIELD II'!$H$17*('CALCULO MORTERO'!I1132^2)+'BLAZE SHIELD II'!$H$18*'CALCULO MORTERO'!I1132+'BLAZE SHIELD II'!$H$19)),0),0)+ROUND(IF(AND(L1132="Cafco 400",M1132="Software Idiem",C1132="IN",G1132=4),((('CAFCO 400 '!$H$7*(J1132^4)+'CAFCO 400 '!$H$8*(J1132^3)+'CAFCO 400 '!$H$9*(J1132^2)+'CAFCO 400 '!$H$10*J1132+'CAFCO 400 '!$H$11)*U1132^2)+(('CAFCO 400 '!$H$12*(J1132^3)+'CAFCO 400 '!$H$13*(J1132^2)+'CAFCO 400 '!$H$14*J1132+'CAFCO 400 '!$H$15)*U1132)+('CAFCO 400 '!$H$16*(J1132^2)+'CAFCO 400 '!$H$17*J1132+'CAFCO 400 '!$H$18)),0)+IF(AND(L1132="Cafco 400",M1132="Software Idiem",C1132="Cj"),(((('CAFCO 400 '!$D$7*LN(J1132)+'CAFCO 400 '!$D$8)*U1132^2)+(('CAFCO 400 '!$D$9*LN(J1132)+'CAFCO 400 '!$D$10)*U1132)+('CAFCO 400 '!$D$11*LN(J1132)+'CAFCO 400 '!$D$12))),0)+IF(AND(L1132="Cafco 400",M1132="Software Idiem",C1132="C"),((('CAFCO 400 '!$L$7*(J1132^3)+'CAFCO 400 '!$L$8*(J1132^2)+'CAFCO 400 '!$L$9*J1132+'CAFCO 400 '!$L$10)*U1132^2)+(('CAFCO 400 '!$L$11*(J1132^3)+'CAFCO 400 '!$L$12*(J1132^2)+'CAFCO 400 '!$L$13*J1132+'CAFCO 400 '!$L$14)*U1132)+('CAFCO 400 '!$L$15*LN(J1132)+'CAFCO 400 '!$L$16)),0)+IF(AND(L1132="Cafco 400",M1132="Software Idiem",C1132="L"),((('CAFCO 400 '!$L$7*(J1132^3)+'CAFCO 400 '!$L$8*(J1132^2)+'CAFCO 400 '!$L$9*J1132+'CAFCO 400 '!$L$10)*U1132^2)+(('CAFCO 400 '!$L$11*(J1132^3)+'CAFCO 400 '!$L$12*(J1132^2)+'CAFCO 400 '!$L$13*J1132+'CAFCO 400 '!$L$14)*U1132)+('CAFCO 400 '!$L$15*LN(J1132)+'CAFCO 400 '!$L$16)),0)+IF(AND(L1132="Cafco 400",M1132="Software Idiem",C1132="IN",G1132=3),((('CAFCO 400 '!$D$23*(J1132^2)+'CAFCO 400 '!$D$24*(J1132)+'CAFCO 400 '!$D$25)*U1132^2)+(('CAFCO 400 '!$D$26*(J1132^2)+'CAFCO 400 '!$D$27*J1132+'CAFCO 400 '!$D$28)*U1132)+('CAFCO 400 '!$D$29*(J1132^2)+'CAFCO 400 '!$D$30*J1132+'CAFCO 400 '!$D$31)),0),0)+IF(AND(L1132="Cafco 300",J1132&gt;=95,J1132&lt;=240,C1132="Cj",I1132=90),VLOOKUP(T1132,'CAFCO 300 IDIEM TABLAS'!$B$4:$D$23,2,FALSE),0)+IF(AND(L1132="Cafco 300",J1132&gt;=95,J1132&lt;=240,C1132="Cj",I1132=120),VLOOKUP(T1132,'CAFCO 300 IDIEM TABLAS'!$B$4:$D$23,3,FALSE),0)+IF(AND(L1132="Cafco 300",J1132&gt;=95,J1132&lt;=400,G1132=3,C1132="IN",I1132=90),VLOOKUP(T1132,'CAFCO 300 IDIEM TABLAS'!$F$4:$H$35,2,FALSE),0)+IF(AND(L1132="Cafco 300",J1132&gt;=95,J1132&lt;=400,G1132=3,C1132="IN",I1132=120),VLOOKUP(T1132,'CAFCO 300 IDIEM TABLAS'!$F$4:$H$35,3,FALSE),0)+IF(AND(L1132="Cafco 300",J1132&gt;=95,J1132&lt;=450,G1132=4,C1132="IN",I1132=90),VLOOKUP(T1132,'CAFCO 300 IDIEM TABLAS'!$J$4:$L$40,2,FALSE),0)+IF(AND(L1132="Cafco 300",J1132&gt;=95,J1132&lt;=450,G1132=4,C1132="IN",I1132=120),VLOOKUP(T1132,'CAFCO 300 IDIEM TABLAS'!$J$4:$L$40,3,FALSE),0)+IF(AND(M1132="Ensayo Idiem",L1132="Cafco 400",C1132="IN",G1132=4,I1132=90),VLOOKUP(T1132,'CAFCO 400 ENSAYO'!$B$7:$D$43,2,FALSE),0)+IF(AND(M1132="Ensayo Idiem",L1132="Cafco 400",C1132="IN",G1132=4,I1132=120),VLOOKUP(T1132,'CAFCO 400 ENSAYO'!$B$7:$D$43,3,FALSE),0)</f>
        <v>0</v>
      </c>
      <c r="O1132" s="96">
        <f t="shared" si="114"/>
        <v>0</v>
      </c>
      <c r="P1132" s="95" t="str">
        <f t="shared" si="109"/>
        <v>N/A</v>
      </c>
      <c r="Q1132" s="95" t="str">
        <f t="shared" si="110"/>
        <v>N/A</v>
      </c>
      <c r="R1132" s="95" t="str">
        <f t="shared" si="111"/>
        <v>NO CERT.</v>
      </c>
      <c r="S1132" s="95" t="e">
        <f t="shared" si="112"/>
        <v>#N/A</v>
      </c>
      <c r="T1132" s="119" t="e">
        <f>+IF(J1132=LOOKUP(J1132,'CAFCO 300 IDIEM TABLAS'!$J$4:$J$40),'CALCULO MORTERO'!J1132,MROUND('CALCULO MORTERO'!J1132,10))</f>
        <v>#N/A</v>
      </c>
      <c r="U1132" s="118">
        <f t="shared" si="113"/>
        <v>0</v>
      </c>
    </row>
    <row r="1133" spans="1:21" x14ac:dyDescent="0.25">
      <c r="A1133" s="118">
        <f>+CUBICACION!D1127</f>
        <v>0</v>
      </c>
      <c r="B1133" s="819">
        <f>+CUBICACION!E1127</f>
        <v>0</v>
      </c>
      <c r="C1133" s="675">
        <f>+CUBICACION!F1127</f>
        <v>0</v>
      </c>
      <c r="D1133" s="118"/>
      <c r="E1133" s="118"/>
      <c r="F1133" s="820"/>
      <c r="G1133" s="675">
        <f>+CUBICACION!J1127</f>
        <v>0</v>
      </c>
      <c r="H1133" s="118"/>
      <c r="I1133" s="821">
        <f>+CUBICACION!L1127</f>
        <v>0</v>
      </c>
      <c r="J1133" s="64">
        <f>+CUBICACION!M1127</f>
        <v>0</v>
      </c>
      <c r="K1133" s="822" t="str">
        <f>+CUBICACION!N1127</f>
        <v/>
      </c>
      <c r="L1133" s="118">
        <f>+CUBICACION!O1127</f>
        <v>0</v>
      </c>
      <c r="M1133" s="823">
        <f>+CUBICACION!P1127</f>
        <v>0</v>
      </c>
      <c r="N1133" s="902">
        <f>ROUND(IF(AND(L1133="Blaze Shield II",M1133="Software Idiem",C1133="IN",G1133=4),((('BLAZE SHIELD II'!$D$4*('CALCULO MORTERO'!I1133^2)+'BLAZE SHIELD II'!$D$5*'CALCULO MORTERO'!I1133+'BLAZE SHIELD II'!$D$6)*LN(J1133))+('BLAZE SHIELD II'!$D$7*('CALCULO MORTERO'!I1133^2)+'BLAZE SHIELD II'!$D$8*'CALCULO MORTERO'!I1133+'BLAZE SHIELD II'!$D$9)),0)+IF(AND(L1133="Blaze Shield II",M1133="Software Idiem",C1133="Cj"),((('BLAZE SHIELD II'!$H$4*('CALCULO MORTERO'!I1133^2)+'BLAZE SHIELD II'!$H$5*'CALCULO MORTERO'!I1133+'BLAZE SHIELD II'!$H$6)*LN(J1133))+('BLAZE SHIELD II'!$H$7*('CALCULO MORTERO'!I1133^2)+'BLAZE SHIELD II'!$H$8*'CALCULO MORTERO'!I1133+'BLAZE SHIELD II'!$H$9)),0)+IF(AND(L1133="Blaze Shield II",M1133="Software Idiem",C1133="C"),((('BLAZE SHIELD II'!$L$4*('CALCULO MORTERO'!I1133^2)+'BLAZE SHIELD II'!$L$5*'CALCULO MORTERO'!I1133+'BLAZE SHIELD II'!$L$6)*LN(J1133))+('BLAZE SHIELD II'!$L$7*('CALCULO MORTERO'!I1133^2)+'BLAZE SHIELD II'!$L$8*'CALCULO MORTERO'!I1133+'BLAZE SHIELD II'!$L$9)),0)+IF(AND(L1133="Blaze Shield II",M1133="Software Idiem",C1133="L"),((('BLAZE SHIELD II'!$L$4*('CALCULO MORTERO'!I1133^2)+'BLAZE SHIELD II'!$L$5*'CALCULO MORTERO'!I1133+'BLAZE SHIELD II'!$L$6)*LN(J1133))+('BLAZE SHIELD II'!$L$7*('CALCULO MORTERO'!I1133^2)+'BLAZE SHIELD II'!$L$8*'CALCULO MORTERO'!I1133+'BLAZE SHIELD II'!$L$9)),0)+IF(AND(L1133="Blaze Shield II",M1133="Software Idiem",C1133="IN",G1133=3),((('BLAZE SHIELD II'!$H$14*('CALCULO MORTERO'!I1133^2)+'BLAZE SHIELD II'!$H$15*'CALCULO MORTERO'!I1133+'BLAZE SHIELD II'!$H$16)*LN(J1133))+('BLAZE SHIELD II'!$H$17*('CALCULO MORTERO'!I1133^2)+'BLAZE SHIELD II'!$H$18*'CALCULO MORTERO'!I1133+'BLAZE SHIELD II'!$H$19)),0),0)+ROUND(IF(AND(L1133="Cafco 400",M1133="Software Idiem",C1133="IN",G1133=4),((('CAFCO 400 '!$H$7*(J1133^4)+'CAFCO 400 '!$H$8*(J1133^3)+'CAFCO 400 '!$H$9*(J1133^2)+'CAFCO 400 '!$H$10*J1133+'CAFCO 400 '!$H$11)*U1133^2)+(('CAFCO 400 '!$H$12*(J1133^3)+'CAFCO 400 '!$H$13*(J1133^2)+'CAFCO 400 '!$H$14*J1133+'CAFCO 400 '!$H$15)*U1133)+('CAFCO 400 '!$H$16*(J1133^2)+'CAFCO 400 '!$H$17*J1133+'CAFCO 400 '!$H$18)),0)+IF(AND(L1133="Cafco 400",M1133="Software Idiem",C1133="Cj"),(((('CAFCO 400 '!$D$7*LN(J1133)+'CAFCO 400 '!$D$8)*U1133^2)+(('CAFCO 400 '!$D$9*LN(J1133)+'CAFCO 400 '!$D$10)*U1133)+('CAFCO 400 '!$D$11*LN(J1133)+'CAFCO 400 '!$D$12))),0)+IF(AND(L1133="Cafco 400",M1133="Software Idiem",C1133="C"),((('CAFCO 400 '!$L$7*(J1133^3)+'CAFCO 400 '!$L$8*(J1133^2)+'CAFCO 400 '!$L$9*J1133+'CAFCO 400 '!$L$10)*U1133^2)+(('CAFCO 400 '!$L$11*(J1133^3)+'CAFCO 400 '!$L$12*(J1133^2)+'CAFCO 400 '!$L$13*J1133+'CAFCO 400 '!$L$14)*U1133)+('CAFCO 400 '!$L$15*LN(J1133)+'CAFCO 400 '!$L$16)),0)+IF(AND(L1133="Cafco 400",M1133="Software Idiem",C1133="L"),((('CAFCO 400 '!$L$7*(J1133^3)+'CAFCO 400 '!$L$8*(J1133^2)+'CAFCO 400 '!$L$9*J1133+'CAFCO 400 '!$L$10)*U1133^2)+(('CAFCO 400 '!$L$11*(J1133^3)+'CAFCO 400 '!$L$12*(J1133^2)+'CAFCO 400 '!$L$13*J1133+'CAFCO 400 '!$L$14)*U1133)+('CAFCO 400 '!$L$15*LN(J1133)+'CAFCO 400 '!$L$16)),0)+IF(AND(L1133="Cafco 400",M1133="Software Idiem",C1133="IN",G1133=3),((('CAFCO 400 '!$D$23*(J1133^2)+'CAFCO 400 '!$D$24*(J1133)+'CAFCO 400 '!$D$25)*U1133^2)+(('CAFCO 400 '!$D$26*(J1133^2)+'CAFCO 400 '!$D$27*J1133+'CAFCO 400 '!$D$28)*U1133)+('CAFCO 400 '!$D$29*(J1133^2)+'CAFCO 400 '!$D$30*J1133+'CAFCO 400 '!$D$31)),0),0)+IF(AND(L1133="Cafco 300",J1133&gt;=95,J1133&lt;=240,C1133="Cj",I1133=90),VLOOKUP(T1133,'CAFCO 300 IDIEM TABLAS'!$B$4:$D$23,2,FALSE),0)+IF(AND(L1133="Cafco 300",J1133&gt;=95,J1133&lt;=240,C1133="Cj",I1133=120),VLOOKUP(T1133,'CAFCO 300 IDIEM TABLAS'!$B$4:$D$23,3,FALSE),0)+IF(AND(L1133="Cafco 300",J1133&gt;=95,J1133&lt;=400,G1133=3,C1133="IN",I1133=90),VLOOKUP(T1133,'CAFCO 300 IDIEM TABLAS'!$F$4:$H$35,2,FALSE),0)+IF(AND(L1133="Cafco 300",J1133&gt;=95,J1133&lt;=400,G1133=3,C1133="IN",I1133=120),VLOOKUP(T1133,'CAFCO 300 IDIEM TABLAS'!$F$4:$H$35,3,FALSE),0)+IF(AND(L1133="Cafco 300",J1133&gt;=95,J1133&lt;=450,G1133=4,C1133="IN",I1133=90),VLOOKUP(T1133,'CAFCO 300 IDIEM TABLAS'!$J$4:$L$40,2,FALSE),0)+IF(AND(L1133="Cafco 300",J1133&gt;=95,J1133&lt;=450,G1133=4,C1133="IN",I1133=120),VLOOKUP(T1133,'CAFCO 300 IDIEM TABLAS'!$J$4:$L$40,3,FALSE),0)+IF(AND(M1133="Ensayo Idiem",L1133="Cafco 400",C1133="IN",G1133=4,I1133=90),VLOOKUP(T1133,'CAFCO 400 ENSAYO'!$B$7:$D$43,2,FALSE),0)+IF(AND(M1133="Ensayo Idiem",L1133="Cafco 400",C1133="IN",G1133=4,I1133=120),VLOOKUP(T1133,'CAFCO 400 ENSAYO'!$B$7:$D$43,3,FALSE),0)</f>
        <v>0</v>
      </c>
      <c r="O1133" s="96">
        <f t="shared" si="114"/>
        <v>0</v>
      </c>
      <c r="P1133" s="132" t="str">
        <f t="shared" si="109"/>
        <v>N/A</v>
      </c>
      <c r="Q1133" s="132" t="str">
        <f t="shared" si="110"/>
        <v>N/A</v>
      </c>
      <c r="R1133" s="132" t="str">
        <f t="shared" si="111"/>
        <v>NO CERT.</v>
      </c>
      <c r="S1133" s="132" t="e">
        <f t="shared" si="112"/>
        <v>#N/A</v>
      </c>
      <c r="T1133" s="133" t="e">
        <f>+IF(J1133=LOOKUP(J1133,'CAFCO 300 IDIEM TABLAS'!$J$4:$J$40),'CALCULO MORTERO'!J1133,MROUND('CALCULO MORTERO'!J1133,10))</f>
        <v>#N/A</v>
      </c>
      <c r="U1133" s="134">
        <f t="shared" si="113"/>
        <v>0</v>
      </c>
    </row>
    <row r="1134" spans="1:21" x14ac:dyDescent="0.25">
      <c r="A1134" s="118">
        <f>+CUBICACION!D1128</f>
        <v>0</v>
      </c>
      <c r="B1134" s="819">
        <f>+CUBICACION!E1128</f>
        <v>0</v>
      </c>
      <c r="C1134" s="675">
        <f>+CUBICACION!F1128</f>
        <v>0</v>
      </c>
      <c r="D1134" s="118"/>
      <c r="E1134" s="118"/>
      <c r="F1134" s="820"/>
      <c r="G1134" s="675">
        <f>+CUBICACION!J1128</f>
        <v>0</v>
      </c>
      <c r="H1134" s="118"/>
      <c r="I1134" s="821">
        <f>+CUBICACION!L1128</f>
        <v>0</v>
      </c>
      <c r="J1134" s="64">
        <f>+CUBICACION!M1128</f>
        <v>0</v>
      </c>
      <c r="K1134" s="822" t="str">
        <f>+CUBICACION!N1128</f>
        <v/>
      </c>
      <c r="L1134" s="118">
        <f>+CUBICACION!O1128</f>
        <v>0</v>
      </c>
      <c r="M1134" s="823">
        <f>+CUBICACION!P1128</f>
        <v>0</v>
      </c>
      <c r="N1134" s="902">
        <f>ROUND(IF(AND(L1134="Blaze Shield II",M1134="Software Idiem",C1134="IN",G1134=4),((('BLAZE SHIELD II'!$D$4*('CALCULO MORTERO'!I1134^2)+'BLAZE SHIELD II'!$D$5*'CALCULO MORTERO'!I1134+'BLAZE SHIELD II'!$D$6)*LN(J1134))+('BLAZE SHIELD II'!$D$7*('CALCULO MORTERO'!I1134^2)+'BLAZE SHIELD II'!$D$8*'CALCULO MORTERO'!I1134+'BLAZE SHIELD II'!$D$9)),0)+IF(AND(L1134="Blaze Shield II",M1134="Software Idiem",C1134="Cj"),((('BLAZE SHIELD II'!$H$4*('CALCULO MORTERO'!I1134^2)+'BLAZE SHIELD II'!$H$5*'CALCULO MORTERO'!I1134+'BLAZE SHIELD II'!$H$6)*LN(J1134))+('BLAZE SHIELD II'!$H$7*('CALCULO MORTERO'!I1134^2)+'BLAZE SHIELD II'!$H$8*'CALCULO MORTERO'!I1134+'BLAZE SHIELD II'!$H$9)),0)+IF(AND(L1134="Blaze Shield II",M1134="Software Idiem",C1134="C"),((('BLAZE SHIELD II'!$L$4*('CALCULO MORTERO'!I1134^2)+'BLAZE SHIELD II'!$L$5*'CALCULO MORTERO'!I1134+'BLAZE SHIELD II'!$L$6)*LN(J1134))+('BLAZE SHIELD II'!$L$7*('CALCULO MORTERO'!I1134^2)+'BLAZE SHIELD II'!$L$8*'CALCULO MORTERO'!I1134+'BLAZE SHIELD II'!$L$9)),0)+IF(AND(L1134="Blaze Shield II",M1134="Software Idiem",C1134="L"),((('BLAZE SHIELD II'!$L$4*('CALCULO MORTERO'!I1134^2)+'BLAZE SHIELD II'!$L$5*'CALCULO MORTERO'!I1134+'BLAZE SHIELD II'!$L$6)*LN(J1134))+('BLAZE SHIELD II'!$L$7*('CALCULO MORTERO'!I1134^2)+'BLAZE SHIELD II'!$L$8*'CALCULO MORTERO'!I1134+'BLAZE SHIELD II'!$L$9)),0)+IF(AND(L1134="Blaze Shield II",M1134="Software Idiem",C1134="IN",G1134=3),((('BLAZE SHIELD II'!$H$14*('CALCULO MORTERO'!I1134^2)+'BLAZE SHIELD II'!$H$15*'CALCULO MORTERO'!I1134+'BLAZE SHIELD II'!$H$16)*LN(J1134))+('BLAZE SHIELD II'!$H$17*('CALCULO MORTERO'!I1134^2)+'BLAZE SHIELD II'!$H$18*'CALCULO MORTERO'!I1134+'BLAZE SHIELD II'!$H$19)),0),0)+ROUND(IF(AND(L1134="Cafco 400",M1134="Software Idiem",C1134="IN",G1134=4),((('CAFCO 400 '!$H$7*(J1134^4)+'CAFCO 400 '!$H$8*(J1134^3)+'CAFCO 400 '!$H$9*(J1134^2)+'CAFCO 400 '!$H$10*J1134+'CAFCO 400 '!$H$11)*U1134^2)+(('CAFCO 400 '!$H$12*(J1134^3)+'CAFCO 400 '!$H$13*(J1134^2)+'CAFCO 400 '!$H$14*J1134+'CAFCO 400 '!$H$15)*U1134)+('CAFCO 400 '!$H$16*(J1134^2)+'CAFCO 400 '!$H$17*J1134+'CAFCO 400 '!$H$18)),0)+IF(AND(L1134="Cafco 400",M1134="Software Idiem",C1134="Cj"),(((('CAFCO 400 '!$D$7*LN(J1134)+'CAFCO 400 '!$D$8)*U1134^2)+(('CAFCO 400 '!$D$9*LN(J1134)+'CAFCO 400 '!$D$10)*U1134)+('CAFCO 400 '!$D$11*LN(J1134)+'CAFCO 400 '!$D$12))),0)+IF(AND(L1134="Cafco 400",M1134="Software Idiem",C1134="C"),((('CAFCO 400 '!$L$7*(J1134^3)+'CAFCO 400 '!$L$8*(J1134^2)+'CAFCO 400 '!$L$9*J1134+'CAFCO 400 '!$L$10)*U1134^2)+(('CAFCO 400 '!$L$11*(J1134^3)+'CAFCO 400 '!$L$12*(J1134^2)+'CAFCO 400 '!$L$13*J1134+'CAFCO 400 '!$L$14)*U1134)+('CAFCO 400 '!$L$15*LN(J1134)+'CAFCO 400 '!$L$16)),0)+IF(AND(L1134="Cafco 400",M1134="Software Idiem",C1134="L"),((('CAFCO 400 '!$L$7*(J1134^3)+'CAFCO 400 '!$L$8*(J1134^2)+'CAFCO 400 '!$L$9*J1134+'CAFCO 400 '!$L$10)*U1134^2)+(('CAFCO 400 '!$L$11*(J1134^3)+'CAFCO 400 '!$L$12*(J1134^2)+'CAFCO 400 '!$L$13*J1134+'CAFCO 400 '!$L$14)*U1134)+('CAFCO 400 '!$L$15*LN(J1134)+'CAFCO 400 '!$L$16)),0)+IF(AND(L1134="Cafco 400",M1134="Software Idiem",C1134="IN",G1134=3),((('CAFCO 400 '!$D$23*(J1134^2)+'CAFCO 400 '!$D$24*(J1134)+'CAFCO 400 '!$D$25)*U1134^2)+(('CAFCO 400 '!$D$26*(J1134^2)+'CAFCO 400 '!$D$27*J1134+'CAFCO 400 '!$D$28)*U1134)+('CAFCO 400 '!$D$29*(J1134^2)+'CAFCO 400 '!$D$30*J1134+'CAFCO 400 '!$D$31)),0),0)+IF(AND(L1134="Cafco 300",J1134&gt;=95,J1134&lt;=240,C1134="Cj",I1134=90),VLOOKUP(T1134,'CAFCO 300 IDIEM TABLAS'!$B$4:$D$23,2,FALSE),0)+IF(AND(L1134="Cafco 300",J1134&gt;=95,J1134&lt;=240,C1134="Cj",I1134=120),VLOOKUP(T1134,'CAFCO 300 IDIEM TABLAS'!$B$4:$D$23,3,FALSE),0)+IF(AND(L1134="Cafco 300",J1134&gt;=95,J1134&lt;=400,G1134=3,C1134="IN",I1134=90),VLOOKUP(T1134,'CAFCO 300 IDIEM TABLAS'!$F$4:$H$35,2,FALSE),0)+IF(AND(L1134="Cafco 300",J1134&gt;=95,J1134&lt;=400,G1134=3,C1134="IN",I1134=120),VLOOKUP(T1134,'CAFCO 300 IDIEM TABLAS'!$F$4:$H$35,3,FALSE),0)+IF(AND(L1134="Cafco 300",J1134&gt;=95,J1134&lt;=450,G1134=4,C1134="IN",I1134=90),VLOOKUP(T1134,'CAFCO 300 IDIEM TABLAS'!$J$4:$L$40,2,FALSE),0)+IF(AND(L1134="Cafco 300",J1134&gt;=95,J1134&lt;=450,G1134=4,C1134="IN",I1134=120),VLOOKUP(T1134,'CAFCO 300 IDIEM TABLAS'!$J$4:$L$40,3,FALSE),0)+IF(AND(M1134="Ensayo Idiem",L1134="Cafco 400",C1134="IN",G1134=4,I1134=90),VLOOKUP(T1134,'CAFCO 400 ENSAYO'!$B$7:$D$43,2,FALSE),0)+IF(AND(M1134="Ensayo Idiem",L1134="Cafco 400",C1134="IN",G1134=4,I1134=120),VLOOKUP(T1134,'CAFCO 400 ENSAYO'!$B$7:$D$43,3,FALSE),0)</f>
        <v>0</v>
      </c>
      <c r="O1134" s="96">
        <f t="shared" si="114"/>
        <v>0</v>
      </c>
      <c r="P1134" s="95" t="str">
        <f t="shared" si="109"/>
        <v>N/A</v>
      </c>
      <c r="Q1134" s="95" t="str">
        <f t="shared" si="110"/>
        <v>N/A</v>
      </c>
      <c r="R1134" s="95" t="str">
        <f t="shared" si="111"/>
        <v>NO CERT.</v>
      </c>
      <c r="S1134" s="95" t="e">
        <f t="shared" si="112"/>
        <v>#N/A</v>
      </c>
      <c r="T1134" s="119" t="e">
        <f>+IF(J1134=LOOKUP(J1134,'CAFCO 300 IDIEM TABLAS'!$J$4:$J$40),'CALCULO MORTERO'!J1134,MROUND('CALCULO MORTERO'!J1134,10))</f>
        <v>#N/A</v>
      </c>
      <c r="U1134" s="118">
        <f t="shared" si="113"/>
        <v>0</v>
      </c>
    </row>
    <row r="1135" spans="1:21" x14ac:dyDescent="0.25">
      <c r="A1135" s="118">
        <f>+CUBICACION!D1129</f>
        <v>0</v>
      </c>
      <c r="B1135" s="819">
        <f>+CUBICACION!E1129</f>
        <v>0</v>
      </c>
      <c r="C1135" s="675">
        <f>+CUBICACION!F1129</f>
        <v>0</v>
      </c>
      <c r="D1135" s="118"/>
      <c r="E1135" s="118"/>
      <c r="F1135" s="820"/>
      <c r="G1135" s="675">
        <f>+CUBICACION!J1129</f>
        <v>0</v>
      </c>
      <c r="H1135" s="118"/>
      <c r="I1135" s="821">
        <f>+CUBICACION!L1129</f>
        <v>0</v>
      </c>
      <c r="J1135" s="64">
        <f>+CUBICACION!M1129</f>
        <v>0</v>
      </c>
      <c r="K1135" s="822" t="str">
        <f>+CUBICACION!N1129</f>
        <v/>
      </c>
      <c r="L1135" s="118">
        <f>+CUBICACION!O1129</f>
        <v>0</v>
      </c>
      <c r="M1135" s="823">
        <f>+CUBICACION!P1129</f>
        <v>0</v>
      </c>
      <c r="N1135" s="902">
        <f>ROUND(IF(AND(L1135="Blaze Shield II",M1135="Software Idiem",C1135="IN",G1135=4),((('BLAZE SHIELD II'!$D$4*('CALCULO MORTERO'!I1135^2)+'BLAZE SHIELD II'!$D$5*'CALCULO MORTERO'!I1135+'BLAZE SHIELD II'!$D$6)*LN(J1135))+('BLAZE SHIELD II'!$D$7*('CALCULO MORTERO'!I1135^2)+'BLAZE SHIELD II'!$D$8*'CALCULO MORTERO'!I1135+'BLAZE SHIELD II'!$D$9)),0)+IF(AND(L1135="Blaze Shield II",M1135="Software Idiem",C1135="Cj"),((('BLAZE SHIELD II'!$H$4*('CALCULO MORTERO'!I1135^2)+'BLAZE SHIELD II'!$H$5*'CALCULO MORTERO'!I1135+'BLAZE SHIELD II'!$H$6)*LN(J1135))+('BLAZE SHIELD II'!$H$7*('CALCULO MORTERO'!I1135^2)+'BLAZE SHIELD II'!$H$8*'CALCULO MORTERO'!I1135+'BLAZE SHIELD II'!$H$9)),0)+IF(AND(L1135="Blaze Shield II",M1135="Software Idiem",C1135="C"),((('BLAZE SHIELD II'!$L$4*('CALCULO MORTERO'!I1135^2)+'BLAZE SHIELD II'!$L$5*'CALCULO MORTERO'!I1135+'BLAZE SHIELD II'!$L$6)*LN(J1135))+('BLAZE SHIELD II'!$L$7*('CALCULO MORTERO'!I1135^2)+'BLAZE SHIELD II'!$L$8*'CALCULO MORTERO'!I1135+'BLAZE SHIELD II'!$L$9)),0)+IF(AND(L1135="Blaze Shield II",M1135="Software Idiem",C1135="L"),((('BLAZE SHIELD II'!$L$4*('CALCULO MORTERO'!I1135^2)+'BLAZE SHIELD II'!$L$5*'CALCULO MORTERO'!I1135+'BLAZE SHIELD II'!$L$6)*LN(J1135))+('BLAZE SHIELD II'!$L$7*('CALCULO MORTERO'!I1135^2)+'BLAZE SHIELD II'!$L$8*'CALCULO MORTERO'!I1135+'BLAZE SHIELD II'!$L$9)),0)+IF(AND(L1135="Blaze Shield II",M1135="Software Idiem",C1135="IN",G1135=3),((('BLAZE SHIELD II'!$H$14*('CALCULO MORTERO'!I1135^2)+'BLAZE SHIELD II'!$H$15*'CALCULO MORTERO'!I1135+'BLAZE SHIELD II'!$H$16)*LN(J1135))+('BLAZE SHIELD II'!$H$17*('CALCULO MORTERO'!I1135^2)+'BLAZE SHIELD II'!$H$18*'CALCULO MORTERO'!I1135+'BLAZE SHIELD II'!$H$19)),0),0)+ROUND(IF(AND(L1135="Cafco 400",M1135="Software Idiem",C1135="IN",G1135=4),((('CAFCO 400 '!$H$7*(J1135^4)+'CAFCO 400 '!$H$8*(J1135^3)+'CAFCO 400 '!$H$9*(J1135^2)+'CAFCO 400 '!$H$10*J1135+'CAFCO 400 '!$H$11)*U1135^2)+(('CAFCO 400 '!$H$12*(J1135^3)+'CAFCO 400 '!$H$13*(J1135^2)+'CAFCO 400 '!$H$14*J1135+'CAFCO 400 '!$H$15)*U1135)+('CAFCO 400 '!$H$16*(J1135^2)+'CAFCO 400 '!$H$17*J1135+'CAFCO 400 '!$H$18)),0)+IF(AND(L1135="Cafco 400",M1135="Software Idiem",C1135="Cj"),(((('CAFCO 400 '!$D$7*LN(J1135)+'CAFCO 400 '!$D$8)*U1135^2)+(('CAFCO 400 '!$D$9*LN(J1135)+'CAFCO 400 '!$D$10)*U1135)+('CAFCO 400 '!$D$11*LN(J1135)+'CAFCO 400 '!$D$12))),0)+IF(AND(L1135="Cafco 400",M1135="Software Idiem",C1135="C"),((('CAFCO 400 '!$L$7*(J1135^3)+'CAFCO 400 '!$L$8*(J1135^2)+'CAFCO 400 '!$L$9*J1135+'CAFCO 400 '!$L$10)*U1135^2)+(('CAFCO 400 '!$L$11*(J1135^3)+'CAFCO 400 '!$L$12*(J1135^2)+'CAFCO 400 '!$L$13*J1135+'CAFCO 400 '!$L$14)*U1135)+('CAFCO 400 '!$L$15*LN(J1135)+'CAFCO 400 '!$L$16)),0)+IF(AND(L1135="Cafco 400",M1135="Software Idiem",C1135="L"),((('CAFCO 400 '!$L$7*(J1135^3)+'CAFCO 400 '!$L$8*(J1135^2)+'CAFCO 400 '!$L$9*J1135+'CAFCO 400 '!$L$10)*U1135^2)+(('CAFCO 400 '!$L$11*(J1135^3)+'CAFCO 400 '!$L$12*(J1135^2)+'CAFCO 400 '!$L$13*J1135+'CAFCO 400 '!$L$14)*U1135)+('CAFCO 400 '!$L$15*LN(J1135)+'CAFCO 400 '!$L$16)),0)+IF(AND(L1135="Cafco 400",M1135="Software Idiem",C1135="IN",G1135=3),((('CAFCO 400 '!$D$23*(J1135^2)+'CAFCO 400 '!$D$24*(J1135)+'CAFCO 400 '!$D$25)*U1135^2)+(('CAFCO 400 '!$D$26*(J1135^2)+'CAFCO 400 '!$D$27*J1135+'CAFCO 400 '!$D$28)*U1135)+('CAFCO 400 '!$D$29*(J1135^2)+'CAFCO 400 '!$D$30*J1135+'CAFCO 400 '!$D$31)),0),0)+IF(AND(L1135="Cafco 300",J1135&gt;=95,J1135&lt;=240,C1135="Cj",I1135=90),VLOOKUP(T1135,'CAFCO 300 IDIEM TABLAS'!$B$4:$D$23,2,FALSE),0)+IF(AND(L1135="Cafco 300",J1135&gt;=95,J1135&lt;=240,C1135="Cj",I1135=120),VLOOKUP(T1135,'CAFCO 300 IDIEM TABLAS'!$B$4:$D$23,3,FALSE),0)+IF(AND(L1135="Cafco 300",J1135&gt;=95,J1135&lt;=400,G1135=3,C1135="IN",I1135=90),VLOOKUP(T1135,'CAFCO 300 IDIEM TABLAS'!$F$4:$H$35,2,FALSE),0)+IF(AND(L1135="Cafco 300",J1135&gt;=95,J1135&lt;=400,G1135=3,C1135="IN",I1135=120),VLOOKUP(T1135,'CAFCO 300 IDIEM TABLAS'!$F$4:$H$35,3,FALSE),0)+IF(AND(L1135="Cafco 300",J1135&gt;=95,J1135&lt;=450,G1135=4,C1135="IN",I1135=90),VLOOKUP(T1135,'CAFCO 300 IDIEM TABLAS'!$J$4:$L$40,2,FALSE),0)+IF(AND(L1135="Cafco 300",J1135&gt;=95,J1135&lt;=450,G1135=4,C1135="IN",I1135=120),VLOOKUP(T1135,'CAFCO 300 IDIEM TABLAS'!$J$4:$L$40,3,FALSE),0)+IF(AND(M1135="Ensayo Idiem",L1135="Cafco 400",C1135="IN",G1135=4,I1135=90),VLOOKUP(T1135,'CAFCO 400 ENSAYO'!$B$7:$D$43,2,FALSE),0)+IF(AND(M1135="Ensayo Idiem",L1135="Cafco 400",C1135="IN",G1135=4,I1135=120),VLOOKUP(T1135,'CAFCO 400 ENSAYO'!$B$7:$D$43,3,FALSE),0)</f>
        <v>0</v>
      </c>
      <c r="O1135" s="96">
        <f t="shared" si="114"/>
        <v>0</v>
      </c>
      <c r="P1135" s="132" t="str">
        <f t="shared" si="109"/>
        <v>N/A</v>
      </c>
      <c r="Q1135" s="132" t="str">
        <f t="shared" si="110"/>
        <v>N/A</v>
      </c>
      <c r="R1135" s="132" t="str">
        <f t="shared" si="111"/>
        <v>NO CERT.</v>
      </c>
      <c r="S1135" s="132" t="e">
        <f t="shared" si="112"/>
        <v>#N/A</v>
      </c>
      <c r="T1135" s="133" t="e">
        <f>+IF(J1135=LOOKUP(J1135,'CAFCO 300 IDIEM TABLAS'!$J$4:$J$40),'CALCULO MORTERO'!J1135,MROUND('CALCULO MORTERO'!J1135,10))</f>
        <v>#N/A</v>
      </c>
      <c r="U1135" s="134">
        <f t="shared" si="113"/>
        <v>0</v>
      </c>
    </row>
    <row r="1136" spans="1:21" x14ac:dyDescent="0.25">
      <c r="A1136" s="118">
        <f>+CUBICACION!D1130</f>
        <v>0</v>
      </c>
      <c r="B1136" s="819">
        <f>+CUBICACION!E1130</f>
        <v>0</v>
      </c>
      <c r="C1136" s="675">
        <f>+CUBICACION!F1130</f>
        <v>0</v>
      </c>
      <c r="D1136" s="118"/>
      <c r="E1136" s="118"/>
      <c r="F1136" s="820"/>
      <c r="G1136" s="675">
        <f>+CUBICACION!J1130</f>
        <v>0</v>
      </c>
      <c r="H1136" s="118"/>
      <c r="I1136" s="821">
        <f>+CUBICACION!L1130</f>
        <v>0</v>
      </c>
      <c r="J1136" s="64">
        <f>+CUBICACION!M1130</f>
        <v>0</v>
      </c>
      <c r="K1136" s="822" t="str">
        <f>+CUBICACION!N1130</f>
        <v/>
      </c>
      <c r="L1136" s="118">
        <f>+CUBICACION!O1130</f>
        <v>0</v>
      </c>
      <c r="M1136" s="823">
        <f>+CUBICACION!P1130</f>
        <v>0</v>
      </c>
      <c r="N1136" s="902">
        <f>ROUND(IF(AND(L1136="Blaze Shield II",M1136="Software Idiem",C1136="IN",G1136=4),((('BLAZE SHIELD II'!$D$4*('CALCULO MORTERO'!I1136^2)+'BLAZE SHIELD II'!$D$5*'CALCULO MORTERO'!I1136+'BLAZE SHIELD II'!$D$6)*LN(J1136))+('BLAZE SHIELD II'!$D$7*('CALCULO MORTERO'!I1136^2)+'BLAZE SHIELD II'!$D$8*'CALCULO MORTERO'!I1136+'BLAZE SHIELD II'!$D$9)),0)+IF(AND(L1136="Blaze Shield II",M1136="Software Idiem",C1136="Cj"),((('BLAZE SHIELD II'!$H$4*('CALCULO MORTERO'!I1136^2)+'BLAZE SHIELD II'!$H$5*'CALCULO MORTERO'!I1136+'BLAZE SHIELD II'!$H$6)*LN(J1136))+('BLAZE SHIELD II'!$H$7*('CALCULO MORTERO'!I1136^2)+'BLAZE SHIELD II'!$H$8*'CALCULO MORTERO'!I1136+'BLAZE SHIELD II'!$H$9)),0)+IF(AND(L1136="Blaze Shield II",M1136="Software Idiem",C1136="C"),((('BLAZE SHIELD II'!$L$4*('CALCULO MORTERO'!I1136^2)+'BLAZE SHIELD II'!$L$5*'CALCULO MORTERO'!I1136+'BLAZE SHIELD II'!$L$6)*LN(J1136))+('BLAZE SHIELD II'!$L$7*('CALCULO MORTERO'!I1136^2)+'BLAZE SHIELD II'!$L$8*'CALCULO MORTERO'!I1136+'BLAZE SHIELD II'!$L$9)),0)+IF(AND(L1136="Blaze Shield II",M1136="Software Idiem",C1136="L"),((('BLAZE SHIELD II'!$L$4*('CALCULO MORTERO'!I1136^2)+'BLAZE SHIELD II'!$L$5*'CALCULO MORTERO'!I1136+'BLAZE SHIELD II'!$L$6)*LN(J1136))+('BLAZE SHIELD II'!$L$7*('CALCULO MORTERO'!I1136^2)+'BLAZE SHIELD II'!$L$8*'CALCULO MORTERO'!I1136+'BLAZE SHIELD II'!$L$9)),0)+IF(AND(L1136="Blaze Shield II",M1136="Software Idiem",C1136="IN",G1136=3),((('BLAZE SHIELD II'!$H$14*('CALCULO MORTERO'!I1136^2)+'BLAZE SHIELD II'!$H$15*'CALCULO MORTERO'!I1136+'BLAZE SHIELD II'!$H$16)*LN(J1136))+('BLAZE SHIELD II'!$H$17*('CALCULO MORTERO'!I1136^2)+'BLAZE SHIELD II'!$H$18*'CALCULO MORTERO'!I1136+'BLAZE SHIELD II'!$H$19)),0),0)+ROUND(IF(AND(L1136="Cafco 400",M1136="Software Idiem",C1136="IN",G1136=4),((('CAFCO 400 '!$H$7*(J1136^4)+'CAFCO 400 '!$H$8*(J1136^3)+'CAFCO 400 '!$H$9*(J1136^2)+'CAFCO 400 '!$H$10*J1136+'CAFCO 400 '!$H$11)*U1136^2)+(('CAFCO 400 '!$H$12*(J1136^3)+'CAFCO 400 '!$H$13*(J1136^2)+'CAFCO 400 '!$H$14*J1136+'CAFCO 400 '!$H$15)*U1136)+('CAFCO 400 '!$H$16*(J1136^2)+'CAFCO 400 '!$H$17*J1136+'CAFCO 400 '!$H$18)),0)+IF(AND(L1136="Cafco 400",M1136="Software Idiem",C1136="Cj"),(((('CAFCO 400 '!$D$7*LN(J1136)+'CAFCO 400 '!$D$8)*U1136^2)+(('CAFCO 400 '!$D$9*LN(J1136)+'CAFCO 400 '!$D$10)*U1136)+('CAFCO 400 '!$D$11*LN(J1136)+'CAFCO 400 '!$D$12))),0)+IF(AND(L1136="Cafco 400",M1136="Software Idiem",C1136="C"),((('CAFCO 400 '!$L$7*(J1136^3)+'CAFCO 400 '!$L$8*(J1136^2)+'CAFCO 400 '!$L$9*J1136+'CAFCO 400 '!$L$10)*U1136^2)+(('CAFCO 400 '!$L$11*(J1136^3)+'CAFCO 400 '!$L$12*(J1136^2)+'CAFCO 400 '!$L$13*J1136+'CAFCO 400 '!$L$14)*U1136)+('CAFCO 400 '!$L$15*LN(J1136)+'CAFCO 400 '!$L$16)),0)+IF(AND(L1136="Cafco 400",M1136="Software Idiem",C1136="L"),((('CAFCO 400 '!$L$7*(J1136^3)+'CAFCO 400 '!$L$8*(J1136^2)+'CAFCO 400 '!$L$9*J1136+'CAFCO 400 '!$L$10)*U1136^2)+(('CAFCO 400 '!$L$11*(J1136^3)+'CAFCO 400 '!$L$12*(J1136^2)+'CAFCO 400 '!$L$13*J1136+'CAFCO 400 '!$L$14)*U1136)+('CAFCO 400 '!$L$15*LN(J1136)+'CAFCO 400 '!$L$16)),0)+IF(AND(L1136="Cafco 400",M1136="Software Idiem",C1136="IN",G1136=3),((('CAFCO 400 '!$D$23*(J1136^2)+'CAFCO 400 '!$D$24*(J1136)+'CAFCO 400 '!$D$25)*U1136^2)+(('CAFCO 400 '!$D$26*(J1136^2)+'CAFCO 400 '!$D$27*J1136+'CAFCO 400 '!$D$28)*U1136)+('CAFCO 400 '!$D$29*(J1136^2)+'CAFCO 400 '!$D$30*J1136+'CAFCO 400 '!$D$31)),0),0)+IF(AND(L1136="Cafco 300",J1136&gt;=95,J1136&lt;=240,C1136="Cj",I1136=90),VLOOKUP(T1136,'CAFCO 300 IDIEM TABLAS'!$B$4:$D$23,2,FALSE),0)+IF(AND(L1136="Cafco 300",J1136&gt;=95,J1136&lt;=240,C1136="Cj",I1136=120),VLOOKUP(T1136,'CAFCO 300 IDIEM TABLAS'!$B$4:$D$23,3,FALSE),0)+IF(AND(L1136="Cafco 300",J1136&gt;=95,J1136&lt;=400,G1136=3,C1136="IN",I1136=90),VLOOKUP(T1136,'CAFCO 300 IDIEM TABLAS'!$F$4:$H$35,2,FALSE),0)+IF(AND(L1136="Cafco 300",J1136&gt;=95,J1136&lt;=400,G1136=3,C1136="IN",I1136=120),VLOOKUP(T1136,'CAFCO 300 IDIEM TABLAS'!$F$4:$H$35,3,FALSE),0)+IF(AND(L1136="Cafco 300",J1136&gt;=95,J1136&lt;=450,G1136=4,C1136="IN",I1136=90),VLOOKUP(T1136,'CAFCO 300 IDIEM TABLAS'!$J$4:$L$40,2,FALSE),0)+IF(AND(L1136="Cafco 300",J1136&gt;=95,J1136&lt;=450,G1136=4,C1136="IN",I1136=120),VLOOKUP(T1136,'CAFCO 300 IDIEM TABLAS'!$J$4:$L$40,3,FALSE),0)+IF(AND(M1136="Ensayo Idiem",L1136="Cafco 400",C1136="IN",G1136=4,I1136=90),VLOOKUP(T1136,'CAFCO 400 ENSAYO'!$B$7:$D$43,2,FALSE),0)+IF(AND(M1136="Ensayo Idiem",L1136="Cafco 400",C1136="IN",G1136=4,I1136=120),VLOOKUP(T1136,'CAFCO 400 ENSAYO'!$B$7:$D$43,3,FALSE),0)</f>
        <v>0</v>
      </c>
      <c r="O1136" s="96">
        <f t="shared" si="114"/>
        <v>0</v>
      </c>
      <c r="P1136" s="95" t="str">
        <f t="shared" si="109"/>
        <v>N/A</v>
      </c>
      <c r="Q1136" s="95" t="str">
        <f t="shared" si="110"/>
        <v>N/A</v>
      </c>
      <c r="R1136" s="95" t="str">
        <f t="shared" si="111"/>
        <v>NO CERT.</v>
      </c>
      <c r="S1136" s="95" t="e">
        <f t="shared" si="112"/>
        <v>#N/A</v>
      </c>
      <c r="T1136" s="119" t="e">
        <f>+IF(J1136=LOOKUP(J1136,'CAFCO 300 IDIEM TABLAS'!$J$4:$J$40),'CALCULO MORTERO'!J1136,MROUND('CALCULO MORTERO'!J1136,10))</f>
        <v>#N/A</v>
      </c>
      <c r="U1136" s="118">
        <f t="shared" si="113"/>
        <v>0</v>
      </c>
    </row>
    <row r="1137" spans="1:21" x14ac:dyDescent="0.25">
      <c r="A1137" s="118">
        <f>+CUBICACION!D1131</f>
        <v>0</v>
      </c>
      <c r="B1137" s="819">
        <f>+CUBICACION!E1131</f>
        <v>0</v>
      </c>
      <c r="C1137" s="675">
        <f>+CUBICACION!F1131</f>
        <v>0</v>
      </c>
      <c r="D1137" s="118"/>
      <c r="E1137" s="118"/>
      <c r="F1137" s="820"/>
      <c r="G1137" s="675">
        <f>+CUBICACION!J1131</f>
        <v>0</v>
      </c>
      <c r="H1137" s="118"/>
      <c r="I1137" s="821">
        <f>+CUBICACION!L1131</f>
        <v>0</v>
      </c>
      <c r="J1137" s="64">
        <f>+CUBICACION!M1131</f>
        <v>0</v>
      </c>
      <c r="K1137" s="822" t="str">
        <f>+CUBICACION!N1131</f>
        <v/>
      </c>
      <c r="L1137" s="118">
        <f>+CUBICACION!O1131</f>
        <v>0</v>
      </c>
      <c r="M1137" s="823">
        <f>+CUBICACION!P1131</f>
        <v>0</v>
      </c>
      <c r="N1137" s="902">
        <f>ROUND(IF(AND(L1137="Blaze Shield II",M1137="Software Idiem",C1137="IN",G1137=4),((('BLAZE SHIELD II'!$D$4*('CALCULO MORTERO'!I1137^2)+'BLAZE SHIELD II'!$D$5*'CALCULO MORTERO'!I1137+'BLAZE SHIELD II'!$D$6)*LN(J1137))+('BLAZE SHIELD II'!$D$7*('CALCULO MORTERO'!I1137^2)+'BLAZE SHIELD II'!$D$8*'CALCULO MORTERO'!I1137+'BLAZE SHIELD II'!$D$9)),0)+IF(AND(L1137="Blaze Shield II",M1137="Software Idiem",C1137="Cj"),((('BLAZE SHIELD II'!$H$4*('CALCULO MORTERO'!I1137^2)+'BLAZE SHIELD II'!$H$5*'CALCULO MORTERO'!I1137+'BLAZE SHIELD II'!$H$6)*LN(J1137))+('BLAZE SHIELD II'!$H$7*('CALCULO MORTERO'!I1137^2)+'BLAZE SHIELD II'!$H$8*'CALCULO MORTERO'!I1137+'BLAZE SHIELD II'!$H$9)),0)+IF(AND(L1137="Blaze Shield II",M1137="Software Idiem",C1137="C"),((('BLAZE SHIELD II'!$L$4*('CALCULO MORTERO'!I1137^2)+'BLAZE SHIELD II'!$L$5*'CALCULO MORTERO'!I1137+'BLAZE SHIELD II'!$L$6)*LN(J1137))+('BLAZE SHIELD II'!$L$7*('CALCULO MORTERO'!I1137^2)+'BLAZE SHIELD II'!$L$8*'CALCULO MORTERO'!I1137+'BLAZE SHIELD II'!$L$9)),0)+IF(AND(L1137="Blaze Shield II",M1137="Software Idiem",C1137="L"),((('BLAZE SHIELD II'!$L$4*('CALCULO MORTERO'!I1137^2)+'BLAZE SHIELD II'!$L$5*'CALCULO MORTERO'!I1137+'BLAZE SHIELD II'!$L$6)*LN(J1137))+('BLAZE SHIELD II'!$L$7*('CALCULO MORTERO'!I1137^2)+'BLAZE SHIELD II'!$L$8*'CALCULO MORTERO'!I1137+'BLAZE SHIELD II'!$L$9)),0)+IF(AND(L1137="Blaze Shield II",M1137="Software Idiem",C1137="IN",G1137=3),((('BLAZE SHIELD II'!$H$14*('CALCULO MORTERO'!I1137^2)+'BLAZE SHIELD II'!$H$15*'CALCULO MORTERO'!I1137+'BLAZE SHIELD II'!$H$16)*LN(J1137))+('BLAZE SHIELD II'!$H$17*('CALCULO MORTERO'!I1137^2)+'BLAZE SHIELD II'!$H$18*'CALCULO MORTERO'!I1137+'BLAZE SHIELD II'!$H$19)),0),0)+ROUND(IF(AND(L1137="Cafco 400",M1137="Software Idiem",C1137="IN",G1137=4),((('CAFCO 400 '!$H$7*(J1137^4)+'CAFCO 400 '!$H$8*(J1137^3)+'CAFCO 400 '!$H$9*(J1137^2)+'CAFCO 400 '!$H$10*J1137+'CAFCO 400 '!$H$11)*U1137^2)+(('CAFCO 400 '!$H$12*(J1137^3)+'CAFCO 400 '!$H$13*(J1137^2)+'CAFCO 400 '!$H$14*J1137+'CAFCO 400 '!$H$15)*U1137)+('CAFCO 400 '!$H$16*(J1137^2)+'CAFCO 400 '!$H$17*J1137+'CAFCO 400 '!$H$18)),0)+IF(AND(L1137="Cafco 400",M1137="Software Idiem",C1137="Cj"),(((('CAFCO 400 '!$D$7*LN(J1137)+'CAFCO 400 '!$D$8)*U1137^2)+(('CAFCO 400 '!$D$9*LN(J1137)+'CAFCO 400 '!$D$10)*U1137)+('CAFCO 400 '!$D$11*LN(J1137)+'CAFCO 400 '!$D$12))),0)+IF(AND(L1137="Cafco 400",M1137="Software Idiem",C1137="C"),((('CAFCO 400 '!$L$7*(J1137^3)+'CAFCO 400 '!$L$8*(J1137^2)+'CAFCO 400 '!$L$9*J1137+'CAFCO 400 '!$L$10)*U1137^2)+(('CAFCO 400 '!$L$11*(J1137^3)+'CAFCO 400 '!$L$12*(J1137^2)+'CAFCO 400 '!$L$13*J1137+'CAFCO 400 '!$L$14)*U1137)+('CAFCO 400 '!$L$15*LN(J1137)+'CAFCO 400 '!$L$16)),0)+IF(AND(L1137="Cafco 400",M1137="Software Idiem",C1137="L"),((('CAFCO 400 '!$L$7*(J1137^3)+'CAFCO 400 '!$L$8*(J1137^2)+'CAFCO 400 '!$L$9*J1137+'CAFCO 400 '!$L$10)*U1137^2)+(('CAFCO 400 '!$L$11*(J1137^3)+'CAFCO 400 '!$L$12*(J1137^2)+'CAFCO 400 '!$L$13*J1137+'CAFCO 400 '!$L$14)*U1137)+('CAFCO 400 '!$L$15*LN(J1137)+'CAFCO 400 '!$L$16)),0)+IF(AND(L1137="Cafco 400",M1137="Software Idiem",C1137="IN",G1137=3),((('CAFCO 400 '!$D$23*(J1137^2)+'CAFCO 400 '!$D$24*(J1137)+'CAFCO 400 '!$D$25)*U1137^2)+(('CAFCO 400 '!$D$26*(J1137^2)+'CAFCO 400 '!$D$27*J1137+'CAFCO 400 '!$D$28)*U1137)+('CAFCO 400 '!$D$29*(J1137^2)+'CAFCO 400 '!$D$30*J1137+'CAFCO 400 '!$D$31)),0),0)+IF(AND(L1137="Cafco 300",J1137&gt;=95,J1137&lt;=240,C1137="Cj",I1137=90),VLOOKUP(T1137,'CAFCO 300 IDIEM TABLAS'!$B$4:$D$23,2,FALSE),0)+IF(AND(L1137="Cafco 300",J1137&gt;=95,J1137&lt;=240,C1137="Cj",I1137=120),VLOOKUP(T1137,'CAFCO 300 IDIEM TABLAS'!$B$4:$D$23,3,FALSE),0)+IF(AND(L1137="Cafco 300",J1137&gt;=95,J1137&lt;=400,G1137=3,C1137="IN",I1137=90),VLOOKUP(T1137,'CAFCO 300 IDIEM TABLAS'!$F$4:$H$35,2,FALSE),0)+IF(AND(L1137="Cafco 300",J1137&gt;=95,J1137&lt;=400,G1137=3,C1137="IN",I1137=120),VLOOKUP(T1137,'CAFCO 300 IDIEM TABLAS'!$F$4:$H$35,3,FALSE),0)+IF(AND(L1137="Cafco 300",J1137&gt;=95,J1137&lt;=450,G1137=4,C1137="IN",I1137=90),VLOOKUP(T1137,'CAFCO 300 IDIEM TABLAS'!$J$4:$L$40,2,FALSE),0)+IF(AND(L1137="Cafco 300",J1137&gt;=95,J1137&lt;=450,G1137=4,C1137="IN",I1137=120),VLOOKUP(T1137,'CAFCO 300 IDIEM TABLAS'!$J$4:$L$40,3,FALSE),0)+IF(AND(M1137="Ensayo Idiem",L1137="Cafco 400",C1137="IN",G1137=4,I1137=90),VLOOKUP(T1137,'CAFCO 400 ENSAYO'!$B$7:$D$43,2,FALSE),0)+IF(AND(M1137="Ensayo Idiem",L1137="Cafco 400",C1137="IN",G1137=4,I1137=120),VLOOKUP(T1137,'CAFCO 400 ENSAYO'!$B$7:$D$43,3,FALSE),0)</f>
        <v>0</v>
      </c>
      <c r="O1137" s="96">
        <f t="shared" si="114"/>
        <v>0</v>
      </c>
      <c r="P1137" s="132" t="str">
        <f t="shared" si="109"/>
        <v>N/A</v>
      </c>
      <c r="Q1137" s="132" t="str">
        <f t="shared" si="110"/>
        <v>N/A</v>
      </c>
      <c r="R1137" s="132" t="str">
        <f t="shared" si="111"/>
        <v>NO CERT.</v>
      </c>
      <c r="S1137" s="132" t="e">
        <f t="shared" si="112"/>
        <v>#N/A</v>
      </c>
      <c r="T1137" s="133" t="e">
        <f>+IF(J1137=LOOKUP(J1137,'CAFCO 300 IDIEM TABLAS'!$J$4:$J$40),'CALCULO MORTERO'!J1137,MROUND('CALCULO MORTERO'!J1137,10))</f>
        <v>#N/A</v>
      </c>
      <c r="U1137" s="134">
        <f t="shared" si="113"/>
        <v>0</v>
      </c>
    </row>
    <row r="1138" spans="1:21" x14ac:dyDescent="0.25">
      <c r="A1138" s="118">
        <f>+CUBICACION!D1132</f>
        <v>0</v>
      </c>
      <c r="B1138" s="819">
        <f>+CUBICACION!E1132</f>
        <v>0</v>
      </c>
      <c r="C1138" s="675">
        <f>+CUBICACION!F1132</f>
        <v>0</v>
      </c>
      <c r="D1138" s="118"/>
      <c r="E1138" s="118"/>
      <c r="F1138" s="820"/>
      <c r="G1138" s="675">
        <f>+CUBICACION!J1132</f>
        <v>0</v>
      </c>
      <c r="H1138" s="118"/>
      <c r="I1138" s="821">
        <f>+CUBICACION!L1132</f>
        <v>0</v>
      </c>
      <c r="J1138" s="64">
        <f>+CUBICACION!M1132</f>
        <v>0</v>
      </c>
      <c r="K1138" s="822" t="str">
        <f>+CUBICACION!N1132</f>
        <v/>
      </c>
      <c r="L1138" s="118">
        <f>+CUBICACION!O1132</f>
        <v>0</v>
      </c>
      <c r="M1138" s="823">
        <f>+CUBICACION!P1132</f>
        <v>0</v>
      </c>
      <c r="N1138" s="902">
        <f>ROUND(IF(AND(L1138="Blaze Shield II",M1138="Software Idiem",C1138="IN",G1138=4),((('BLAZE SHIELD II'!$D$4*('CALCULO MORTERO'!I1138^2)+'BLAZE SHIELD II'!$D$5*'CALCULO MORTERO'!I1138+'BLAZE SHIELD II'!$D$6)*LN(J1138))+('BLAZE SHIELD II'!$D$7*('CALCULO MORTERO'!I1138^2)+'BLAZE SHIELD II'!$D$8*'CALCULO MORTERO'!I1138+'BLAZE SHIELD II'!$D$9)),0)+IF(AND(L1138="Blaze Shield II",M1138="Software Idiem",C1138="Cj"),((('BLAZE SHIELD II'!$H$4*('CALCULO MORTERO'!I1138^2)+'BLAZE SHIELD II'!$H$5*'CALCULO MORTERO'!I1138+'BLAZE SHIELD II'!$H$6)*LN(J1138))+('BLAZE SHIELD II'!$H$7*('CALCULO MORTERO'!I1138^2)+'BLAZE SHIELD II'!$H$8*'CALCULO MORTERO'!I1138+'BLAZE SHIELD II'!$H$9)),0)+IF(AND(L1138="Blaze Shield II",M1138="Software Idiem",C1138="C"),((('BLAZE SHIELD II'!$L$4*('CALCULO MORTERO'!I1138^2)+'BLAZE SHIELD II'!$L$5*'CALCULO MORTERO'!I1138+'BLAZE SHIELD II'!$L$6)*LN(J1138))+('BLAZE SHIELD II'!$L$7*('CALCULO MORTERO'!I1138^2)+'BLAZE SHIELD II'!$L$8*'CALCULO MORTERO'!I1138+'BLAZE SHIELD II'!$L$9)),0)+IF(AND(L1138="Blaze Shield II",M1138="Software Idiem",C1138="L"),((('BLAZE SHIELD II'!$L$4*('CALCULO MORTERO'!I1138^2)+'BLAZE SHIELD II'!$L$5*'CALCULO MORTERO'!I1138+'BLAZE SHIELD II'!$L$6)*LN(J1138))+('BLAZE SHIELD II'!$L$7*('CALCULO MORTERO'!I1138^2)+'BLAZE SHIELD II'!$L$8*'CALCULO MORTERO'!I1138+'BLAZE SHIELD II'!$L$9)),0)+IF(AND(L1138="Blaze Shield II",M1138="Software Idiem",C1138="IN",G1138=3),((('BLAZE SHIELD II'!$H$14*('CALCULO MORTERO'!I1138^2)+'BLAZE SHIELD II'!$H$15*'CALCULO MORTERO'!I1138+'BLAZE SHIELD II'!$H$16)*LN(J1138))+('BLAZE SHIELD II'!$H$17*('CALCULO MORTERO'!I1138^2)+'BLAZE SHIELD II'!$H$18*'CALCULO MORTERO'!I1138+'BLAZE SHIELD II'!$H$19)),0),0)+ROUND(IF(AND(L1138="Cafco 400",M1138="Software Idiem",C1138="IN",G1138=4),((('CAFCO 400 '!$H$7*(J1138^4)+'CAFCO 400 '!$H$8*(J1138^3)+'CAFCO 400 '!$H$9*(J1138^2)+'CAFCO 400 '!$H$10*J1138+'CAFCO 400 '!$H$11)*U1138^2)+(('CAFCO 400 '!$H$12*(J1138^3)+'CAFCO 400 '!$H$13*(J1138^2)+'CAFCO 400 '!$H$14*J1138+'CAFCO 400 '!$H$15)*U1138)+('CAFCO 400 '!$H$16*(J1138^2)+'CAFCO 400 '!$H$17*J1138+'CAFCO 400 '!$H$18)),0)+IF(AND(L1138="Cafco 400",M1138="Software Idiem",C1138="Cj"),(((('CAFCO 400 '!$D$7*LN(J1138)+'CAFCO 400 '!$D$8)*U1138^2)+(('CAFCO 400 '!$D$9*LN(J1138)+'CAFCO 400 '!$D$10)*U1138)+('CAFCO 400 '!$D$11*LN(J1138)+'CAFCO 400 '!$D$12))),0)+IF(AND(L1138="Cafco 400",M1138="Software Idiem",C1138="C"),((('CAFCO 400 '!$L$7*(J1138^3)+'CAFCO 400 '!$L$8*(J1138^2)+'CAFCO 400 '!$L$9*J1138+'CAFCO 400 '!$L$10)*U1138^2)+(('CAFCO 400 '!$L$11*(J1138^3)+'CAFCO 400 '!$L$12*(J1138^2)+'CAFCO 400 '!$L$13*J1138+'CAFCO 400 '!$L$14)*U1138)+('CAFCO 400 '!$L$15*LN(J1138)+'CAFCO 400 '!$L$16)),0)+IF(AND(L1138="Cafco 400",M1138="Software Idiem",C1138="L"),((('CAFCO 400 '!$L$7*(J1138^3)+'CAFCO 400 '!$L$8*(J1138^2)+'CAFCO 400 '!$L$9*J1138+'CAFCO 400 '!$L$10)*U1138^2)+(('CAFCO 400 '!$L$11*(J1138^3)+'CAFCO 400 '!$L$12*(J1138^2)+'CAFCO 400 '!$L$13*J1138+'CAFCO 400 '!$L$14)*U1138)+('CAFCO 400 '!$L$15*LN(J1138)+'CAFCO 400 '!$L$16)),0)+IF(AND(L1138="Cafco 400",M1138="Software Idiem",C1138="IN",G1138=3),((('CAFCO 400 '!$D$23*(J1138^2)+'CAFCO 400 '!$D$24*(J1138)+'CAFCO 400 '!$D$25)*U1138^2)+(('CAFCO 400 '!$D$26*(J1138^2)+'CAFCO 400 '!$D$27*J1138+'CAFCO 400 '!$D$28)*U1138)+('CAFCO 400 '!$D$29*(J1138^2)+'CAFCO 400 '!$D$30*J1138+'CAFCO 400 '!$D$31)),0),0)+IF(AND(L1138="Cafco 300",J1138&gt;=95,J1138&lt;=240,C1138="Cj",I1138=90),VLOOKUP(T1138,'CAFCO 300 IDIEM TABLAS'!$B$4:$D$23,2,FALSE),0)+IF(AND(L1138="Cafco 300",J1138&gt;=95,J1138&lt;=240,C1138="Cj",I1138=120),VLOOKUP(T1138,'CAFCO 300 IDIEM TABLAS'!$B$4:$D$23,3,FALSE),0)+IF(AND(L1138="Cafco 300",J1138&gt;=95,J1138&lt;=400,G1138=3,C1138="IN",I1138=90),VLOOKUP(T1138,'CAFCO 300 IDIEM TABLAS'!$F$4:$H$35,2,FALSE),0)+IF(AND(L1138="Cafco 300",J1138&gt;=95,J1138&lt;=400,G1138=3,C1138="IN",I1138=120),VLOOKUP(T1138,'CAFCO 300 IDIEM TABLAS'!$F$4:$H$35,3,FALSE),0)+IF(AND(L1138="Cafco 300",J1138&gt;=95,J1138&lt;=450,G1138=4,C1138="IN",I1138=90),VLOOKUP(T1138,'CAFCO 300 IDIEM TABLAS'!$J$4:$L$40,2,FALSE),0)+IF(AND(L1138="Cafco 300",J1138&gt;=95,J1138&lt;=450,G1138=4,C1138="IN",I1138=120),VLOOKUP(T1138,'CAFCO 300 IDIEM TABLAS'!$J$4:$L$40,3,FALSE),0)+IF(AND(M1138="Ensayo Idiem",L1138="Cafco 400",C1138="IN",G1138=4,I1138=90),VLOOKUP(T1138,'CAFCO 400 ENSAYO'!$B$7:$D$43,2,FALSE),0)+IF(AND(M1138="Ensayo Idiem",L1138="Cafco 400",C1138="IN",G1138=4,I1138=120),VLOOKUP(T1138,'CAFCO 400 ENSAYO'!$B$7:$D$43,3,FALSE),0)</f>
        <v>0</v>
      </c>
      <c r="O1138" s="96">
        <f t="shared" si="114"/>
        <v>0</v>
      </c>
      <c r="P1138" s="95" t="str">
        <f t="shared" ref="P1138:P1201" si="115">IF(AND(M1138="Software Idiem"),IF(AND(C1138="IN",G1138=4,J1138&gt;=50,J1138&lt;=500),"CERT.",IF(AND(C1138="Cj",J1138&gt;=50,J1138&lt;=500),"CERT.",IF(AND(C1138="C",J1138&gt;=50,J1138&lt;=1000),"CERT.",IF(AND(C1138="L",J1138&gt;=50,J1138&lt;=1000),"CERT.",IF(AND(C1138="IN",G1138=3,J1138&gt;=50,J1138&lt;=500),"CERT.","NO CERT."))))),"N/A")</f>
        <v>N/A</v>
      </c>
      <c r="Q1138" s="95" t="str">
        <f t="shared" ref="Q1138:Q1201" si="116">IF(AND(M1138="Software Idiem"),IF(AND(C1138="IN",G1138=4,J1138&gt;=50,J1138&lt;=500),"CERT.",IF(AND(C1138="Cj",J1138&gt;=50,J1138&lt;=500),"CERT.",IF(AND(C1138="C",J1138&gt;=50,J1138&lt;=1000),"CERT.",IF(AND(C1138="L",J1138&gt;=50,J1138&lt;=1000),"CERT.",IF(AND(C1138="IN",G1138=3,J1138&gt;=50,J1138&lt;=500),"CERT.","NO CERT."))))),"N/A")</f>
        <v>N/A</v>
      </c>
      <c r="R1138" s="95" t="str">
        <f t="shared" ref="R1138:R1201" si="117">IF(AND(C1138="IN",G1138=4,J1138&gt;=95,J1138&lt;=450,I1138=90),"CERT.",IF(AND(C1138="IN",G1138=4,J1138&gt;=95,J1138&lt;=450,I1138=120),"CERT.","NO CERT."))</f>
        <v>NO CERT.</v>
      </c>
      <c r="S1138" s="95" t="e">
        <f t="shared" ref="S1138:S1201" si="118">IF(AND(C1138="Cj",I1138=90,T1138&lt;=240),"CERT.",IF(AND(C1138="Cj",I1138=120,T1138&lt;=240),"CERT.",IF(AND(C1138="IN",G1138=3,I1138=90,T1138&lt;=400),"CERT.",IF(AND(C1138="IN",G1138=3,I1138=120,T1138&lt;=400),"CERT.",IF(AND(C1138="IN",G1138=4,I1138=90,T1138&lt;=450),"CERT.",IF(AND(C1138="IN",G1138=4,I1138=120,T1138&lt;=450),"CERT.","NO CERT."))))))</f>
        <v>#N/A</v>
      </c>
      <c r="T1138" s="119" t="e">
        <f>+IF(J1138=LOOKUP(J1138,'CAFCO 300 IDIEM TABLAS'!$J$4:$J$40),'CALCULO MORTERO'!J1138,MROUND('CALCULO MORTERO'!J1138,10))</f>
        <v>#N/A</v>
      </c>
      <c r="U1138" s="118">
        <f t="shared" ref="U1138:U1201" si="119">+I1138*60</f>
        <v>0</v>
      </c>
    </row>
    <row r="1139" spans="1:21" x14ac:dyDescent="0.25">
      <c r="A1139" s="118">
        <f>+CUBICACION!D1133</f>
        <v>0</v>
      </c>
      <c r="B1139" s="819">
        <f>+CUBICACION!E1133</f>
        <v>0</v>
      </c>
      <c r="C1139" s="675">
        <f>+CUBICACION!F1133</f>
        <v>0</v>
      </c>
      <c r="D1139" s="118"/>
      <c r="E1139" s="118"/>
      <c r="F1139" s="820"/>
      <c r="G1139" s="675">
        <f>+CUBICACION!J1133</f>
        <v>0</v>
      </c>
      <c r="H1139" s="118"/>
      <c r="I1139" s="821">
        <f>+CUBICACION!L1133</f>
        <v>0</v>
      </c>
      <c r="J1139" s="64">
        <f>+CUBICACION!M1133</f>
        <v>0</v>
      </c>
      <c r="K1139" s="822" t="str">
        <f>+CUBICACION!N1133</f>
        <v/>
      </c>
      <c r="L1139" s="118">
        <f>+CUBICACION!O1133</f>
        <v>0</v>
      </c>
      <c r="M1139" s="823">
        <f>+CUBICACION!P1133</f>
        <v>0</v>
      </c>
      <c r="N1139" s="902">
        <f>ROUND(IF(AND(L1139="Blaze Shield II",M1139="Software Idiem",C1139="IN",G1139=4),((('BLAZE SHIELD II'!$D$4*('CALCULO MORTERO'!I1139^2)+'BLAZE SHIELD II'!$D$5*'CALCULO MORTERO'!I1139+'BLAZE SHIELD II'!$D$6)*LN(J1139))+('BLAZE SHIELD II'!$D$7*('CALCULO MORTERO'!I1139^2)+'BLAZE SHIELD II'!$D$8*'CALCULO MORTERO'!I1139+'BLAZE SHIELD II'!$D$9)),0)+IF(AND(L1139="Blaze Shield II",M1139="Software Idiem",C1139="Cj"),((('BLAZE SHIELD II'!$H$4*('CALCULO MORTERO'!I1139^2)+'BLAZE SHIELD II'!$H$5*'CALCULO MORTERO'!I1139+'BLAZE SHIELD II'!$H$6)*LN(J1139))+('BLAZE SHIELD II'!$H$7*('CALCULO MORTERO'!I1139^2)+'BLAZE SHIELD II'!$H$8*'CALCULO MORTERO'!I1139+'BLAZE SHIELD II'!$H$9)),0)+IF(AND(L1139="Blaze Shield II",M1139="Software Idiem",C1139="C"),((('BLAZE SHIELD II'!$L$4*('CALCULO MORTERO'!I1139^2)+'BLAZE SHIELD II'!$L$5*'CALCULO MORTERO'!I1139+'BLAZE SHIELD II'!$L$6)*LN(J1139))+('BLAZE SHIELD II'!$L$7*('CALCULO MORTERO'!I1139^2)+'BLAZE SHIELD II'!$L$8*'CALCULO MORTERO'!I1139+'BLAZE SHIELD II'!$L$9)),0)+IF(AND(L1139="Blaze Shield II",M1139="Software Idiem",C1139="L"),((('BLAZE SHIELD II'!$L$4*('CALCULO MORTERO'!I1139^2)+'BLAZE SHIELD II'!$L$5*'CALCULO MORTERO'!I1139+'BLAZE SHIELD II'!$L$6)*LN(J1139))+('BLAZE SHIELD II'!$L$7*('CALCULO MORTERO'!I1139^2)+'BLAZE SHIELD II'!$L$8*'CALCULO MORTERO'!I1139+'BLAZE SHIELD II'!$L$9)),0)+IF(AND(L1139="Blaze Shield II",M1139="Software Idiem",C1139="IN",G1139=3),((('BLAZE SHIELD II'!$H$14*('CALCULO MORTERO'!I1139^2)+'BLAZE SHIELD II'!$H$15*'CALCULO MORTERO'!I1139+'BLAZE SHIELD II'!$H$16)*LN(J1139))+('BLAZE SHIELD II'!$H$17*('CALCULO MORTERO'!I1139^2)+'BLAZE SHIELD II'!$H$18*'CALCULO MORTERO'!I1139+'BLAZE SHIELD II'!$H$19)),0),0)+ROUND(IF(AND(L1139="Cafco 400",M1139="Software Idiem",C1139="IN",G1139=4),((('CAFCO 400 '!$H$7*(J1139^4)+'CAFCO 400 '!$H$8*(J1139^3)+'CAFCO 400 '!$H$9*(J1139^2)+'CAFCO 400 '!$H$10*J1139+'CAFCO 400 '!$H$11)*U1139^2)+(('CAFCO 400 '!$H$12*(J1139^3)+'CAFCO 400 '!$H$13*(J1139^2)+'CAFCO 400 '!$H$14*J1139+'CAFCO 400 '!$H$15)*U1139)+('CAFCO 400 '!$H$16*(J1139^2)+'CAFCO 400 '!$H$17*J1139+'CAFCO 400 '!$H$18)),0)+IF(AND(L1139="Cafco 400",M1139="Software Idiem",C1139="Cj"),(((('CAFCO 400 '!$D$7*LN(J1139)+'CAFCO 400 '!$D$8)*U1139^2)+(('CAFCO 400 '!$D$9*LN(J1139)+'CAFCO 400 '!$D$10)*U1139)+('CAFCO 400 '!$D$11*LN(J1139)+'CAFCO 400 '!$D$12))),0)+IF(AND(L1139="Cafco 400",M1139="Software Idiem",C1139="C"),((('CAFCO 400 '!$L$7*(J1139^3)+'CAFCO 400 '!$L$8*(J1139^2)+'CAFCO 400 '!$L$9*J1139+'CAFCO 400 '!$L$10)*U1139^2)+(('CAFCO 400 '!$L$11*(J1139^3)+'CAFCO 400 '!$L$12*(J1139^2)+'CAFCO 400 '!$L$13*J1139+'CAFCO 400 '!$L$14)*U1139)+('CAFCO 400 '!$L$15*LN(J1139)+'CAFCO 400 '!$L$16)),0)+IF(AND(L1139="Cafco 400",M1139="Software Idiem",C1139="L"),((('CAFCO 400 '!$L$7*(J1139^3)+'CAFCO 400 '!$L$8*(J1139^2)+'CAFCO 400 '!$L$9*J1139+'CAFCO 400 '!$L$10)*U1139^2)+(('CAFCO 400 '!$L$11*(J1139^3)+'CAFCO 400 '!$L$12*(J1139^2)+'CAFCO 400 '!$L$13*J1139+'CAFCO 400 '!$L$14)*U1139)+('CAFCO 400 '!$L$15*LN(J1139)+'CAFCO 400 '!$L$16)),0)+IF(AND(L1139="Cafco 400",M1139="Software Idiem",C1139="IN",G1139=3),((('CAFCO 400 '!$D$23*(J1139^2)+'CAFCO 400 '!$D$24*(J1139)+'CAFCO 400 '!$D$25)*U1139^2)+(('CAFCO 400 '!$D$26*(J1139^2)+'CAFCO 400 '!$D$27*J1139+'CAFCO 400 '!$D$28)*U1139)+('CAFCO 400 '!$D$29*(J1139^2)+'CAFCO 400 '!$D$30*J1139+'CAFCO 400 '!$D$31)),0),0)+IF(AND(L1139="Cafco 300",J1139&gt;=95,J1139&lt;=240,C1139="Cj",I1139=90),VLOOKUP(T1139,'CAFCO 300 IDIEM TABLAS'!$B$4:$D$23,2,FALSE),0)+IF(AND(L1139="Cafco 300",J1139&gt;=95,J1139&lt;=240,C1139="Cj",I1139=120),VLOOKUP(T1139,'CAFCO 300 IDIEM TABLAS'!$B$4:$D$23,3,FALSE),0)+IF(AND(L1139="Cafco 300",J1139&gt;=95,J1139&lt;=400,G1139=3,C1139="IN",I1139=90),VLOOKUP(T1139,'CAFCO 300 IDIEM TABLAS'!$F$4:$H$35,2,FALSE),0)+IF(AND(L1139="Cafco 300",J1139&gt;=95,J1139&lt;=400,G1139=3,C1139="IN",I1139=120),VLOOKUP(T1139,'CAFCO 300 IDIEM TABLAS'!$F$4:$H$35,3,FALSE),0)+IF(AND(L1139="Cafco 300",J1139&gt;=95,J1139&lt;=450,G1139=4,C1139="IN",I1139=90),VLOOKUP(T1139,'CAFCO 300 IDIEM TABLAS'!$J$4:$L$40,2,FALSE),0)+IF(AND(L1139="Cafco 300",J1139&gt;=95,J1139&lt;=450,G1139=4,C1139="IN",I1139=120),VLOOKUP(T1139,'CAFCO 300 IDIEM TABLAS'!$J$4:$L$40,3,FALSE),0)+IF(AND(M1139="Ensayo Idiem",L1139="Cafco 400",C1139="IN",G1139=4,I1139=90),VLOOKUP(T1139,'CAFCO 400 ENSAYO'!$B$7:$D$43,2,FALSE),0)+IF(AND(M1139="Ensayo Idiem",L1139="Cafco 400",C1139="IN",G1139=4,I1139=120),VLOOKUP(T1139,'CAFCO 400 ENSAYO'!$B$7:$D$43,3,FALSE),0)</f>
        <v>0</v>
      </c>
      <c r="O1139" s="96">
        <f t="shared" si="114"/>
        <v>0</v>
      </c>
      <c r="P1139" s="132" t="str">
        <f t="shared" si="115"/>
        <v>N/A</v>
      </c>
      <c r="Q1139" s="132" t="str">
        <f t="shared" si="116"/>
        <v>N/A</v>
      </c>
      <c r="R1139" s="132" t="str">
        <f t="shared" si="117"/>
        <v>NO CERT.</v>
      </c>
      <c r="S1139" s="132" t="e">
        <f t="shared" si="118"/>
        <v>#N/A</v>
      </c>
      <c r="T1139" s="133" t="e">
        <f>+IF(J1139=LOOKUP(J1139,'CAFCO 300 IDIEM TABLAS'!$J$4:$J$40),'CALCULO MORTERO'!J1139,MROUND('CALCULO MORTERO'!J1139,10))</f>
        <v>#N/A</v>
      </c>
      <c r="U1139" s="134">
        <f t="shared" si="119"/>
        <v>0</v>
      </c>
    </row>
    <row r="1140" spans="1:21" x14ac:dyDescent="0.25">
      <c r="A1140" s="118">
        <f>+CUBICACION!D1134</f>
        <v>0</v>
      </c>
      <c r="B1140" s="819">
        <f>+CUBICACION!E1134</f>
        <v>0</v>
      </c>
      <c r="C1140" s="675">
        <f>+CUBICACION!F1134</f>
        <v>0</v>
      </c>
      <c r="D1140" s="118"/>
      <c r="E1140" s="118"/>
      <c r="F1140" s="820"/>
      <c r="G1140" s="675">
        <f>+CUBICACION!J1134</f>
        <v>0</v>
      </c>
      <c r="H1140" s="118"/>
      <c r="I1140" s="821">
        <f>+CUBICACION!L1134</f>
        <v>0</v>
      </c>
      <c r="J1140" s="64">
        <f>+CUBICACION!M1134</f>
        <v>0</v>
      </c>
      <c r="K1140" s="822" t="str">
        <f>+CUBICACION!N1134</f>
        <v/>
      </c>
      <c r="L1140" s="118">
        <f>+CUBICACION!O1134</f>
        <v>0</v>
      </c>
      <c r="M1140" s="823">
        <f>+CUBICACION!P1134</f>
        <v>0</v>
      </c>
      <c r="N1140" s="902">
        <f>ROUND(IF(AND(L1140="Blaze Shield II",M1140="Software Idiem",C1140="IN",G1140=4),((('BLAZE SHIELD II'!$D$4*('CALCULO MORTERO'!I1140^2)+'BLAZE SHIELD II'!$D$5*'CALCULO MORTERO'!I1140+'BLAZE SHIELD II'!$D$6)*LN(J1140))+('BLAZE SHIELD II'!$D$7*('CALCULO MORTERO'!I1140^2)+'BLAZE SHIELD II'!$D$8*'CALCULO MORTERO'!I1140+'BLAZE SHIELD II'!$D$9)),0)+IF(AND(L1140="Blaze Shield II",M1140="Software Idiem",C1140="Cj"),((('BLAZE SHIELD II'!$H$4*('CALCULO MORTERO'!I1140^2)+'BLAZE SHIELD II'!$H$5*'CALCULO MORTERO'!I1140+'BLAZE SHIELD II'!$H$6)*LN(J1140))+('BLAZE SHIELD II'!$H$7*('CALCULO MORTERO'!I1140^2)+'BLAZE SHIELD II'!$H$8*'CALCULO MORTERO'!I1140+'BLAZE SHIELD II'!$H$9)),0)+IF(AND(L1140="Blaze Shield II",M1140="Software Idiem",C1140="C"),((('BLAZE SHIELD II'!$L$4*('CALCULO MORTERO'!I1140^2)+'BLAZE SHIELD II'!$L$5*'CALCULO MORTERO'!I1140+'BLAZE SHIELD II'!$L$6)*LN(J1140))+('BLAZE SHIELD II'!$L$7*('CALCULO MORTERO'!I1140^2)+'BLAZE SHIELD II'!$L$8*'CALCULO MORTERO'!I1140+'BLAZE SHIELD II'!$L$9)),0)+IF(AND(L1140="Blaze Shield II",M1140="Software Idiem",C1140="L"),((('BLAZE SHIELD II'!$L$4*('CALCULO MORTERO'!I1140^2)+'BLAZE SHIELD II'!$L$5*'CALCULO MORTERO'!I1140+'BLAZE SHIELD II'!$L$6)*LN(J1140))+('BLAZE SHIELD II'!$L$7*('CALCULO MORTERO'!I1140^2)+'BLAZE SHIELD II'!$L$8*'CALCULO MORTERO'!I1140+'BLAZE SHIELD II'!$L$9)),0)+IF(AND(L1140="Blaze Shield II",M1140="Software Idiem",C1140="IN",G1140=3),((('BLAZE SHIELD II'!$H$14*('CALCULO MORTERO'!I1140^2)+'BLAZE SHIELD II'!$H$15*'CALCULO MORTERO'!I1140+'BLAZE SHIELD II'!$H$16)*LN(J1140))+('BLAZE SHIELD II'!$H$17*('CALCULO MORTERO'!I1140^2)+'BLAZE SHIELD II'!$H$18*'CALCULO MORTERO'!I1140+'BLAZE SHIELD II'!$H$19)),0),0)+ROUND(IF(AND(L1140="Cafco 400",M1140="Software Idiem",C1140="IN",G1140=4),((('CAFCO 400 '!$H$7*(J1140^4)+'CAFCO 400 '!$H$8*(J1140^3)+'CAFCO 400 '!$H$9*(J1140^2)+'CAFCO 400 '!$H$10*J1140+'CAFCO 400 '!$H$11)*U1140^2)+(('CAFCO 400 '!$H$12*(J1140^3)+'CAFCO 400 '!$H$13*(J1140^2)+'CAFCO 400 '!$H$14*J1140+'CAFCO 400 '!$H$15)*U1140)+('CAFCO 400 '!$H$16*(J1140^2)+'CAFCO 400 '!$H$17*J1140+'CAFCO 400 '!$H$18)),0)+IF(AND(L1140="Cafco 400",M1140="Software Idiem",C1140="Cj"),(((('CAFCO 400 '!$D$7*LN(J1140)+'CAFCO 400 '!$D$8)*U1140^2)+(('CAFCO 400 '!$D$9*LN(J1140)+'CAFCO 400 '!$D$10)*U1140)+('CAFCO 400 '!$D$11*LN(J1140)+'CAFCO 400 '!$D$12))),0)+IF(AND(L1140="Cafco 400",M1140="Software Idiem",C1140="C"),((('CAFCO 400 '!$L$7*(J1140^3)+'CAFCO 400 '!$L$8*(J1140^2)+'CAFCO 400 '!$L$9*J1140+'CAFCO 400 '!$L$10)*U1140^2)+(('CAFCO 400 '!$L$11*(J1140^3)+'CAFCO 400 '!$L$12*(J1140^2)+'CAFCO 400 '!$L$13*J1140+'CAFCO 400 '!$L$14)*U1140)+('CAFCO 400 '!$L$15*LN(J1140)+'CAFCO 400 '!$L$16)),0)+IF(AND(L1140="Cafco 400",M1140="Software Idiem",C1140="L"),((('CAFCO 400 '!$L$7*(J1140^3)+'CAFCO 400 '!$L$8*(J1140^2)+'CAFCO 400 '!$L$9*J1140+'CAFCO 400 '!$L$10)*U1140^2)+(('CAFCO 400 '!$L$11*(J1140^3)+'CAFCO 400 '!$L$12*(J1140^2)+'CAFCO 400 '!$L$13*J1140+'CAFCO 400 '!$L$14)*U1140)+('CAFCO 400 '!$L$15*LN(J1140)+'CAFCO 400 '!$L$16)),0)+IF(AND(L1140="Cafco 400",M1140="Software Idiem",C1140="IN",G1140=3),((('CAFCO 400 '!$D$23*(J1140^2)+'CAFCO 400 '!$D$24*(J1140)+'CAFCO 400 '!$D$25)*U1140^2)+(('CAFCO 400 '!$D$26*(J1140^2)+'CAFCO 400 '!$D$27*J1140+'CAFCO 400 '!$D$28)*U1140)+('CAFCO 400 '!$D$29*(J1140^2)+'CAFCO 400 '!$D$30*J1140+'CAFCO 400 '!$D$31)),0),0)+IF(AND(L1140="Cafco 300",J1140&gt;=95,J1140&lt;=240,C1140="Cj",I1140=90),VLOOKUP(T1140,'CAFCO 300 IDIEM TABLAS'!$B$4:$D$23,2,FALSE),0)+IF(AND(L1140="Cafco 300",J1140&gt;=95,J1140&lt;=240,C1140="Cj",I1140=120),VLOOKUP(T1140,'CAFCO 300 IDIEM TABLAS'!$B$4:$D$23,3,FALSE),0)+IF(AND(L1140="Cafco 300",J1140&gt;=95,J1140&lt;=400,G1140=3,C1140="IN",I1140=90),VLOOKUP(T1140,'CAFCO 300 IDIEM TABLAS'!$F$4:$H$35,2,FALSE),0)+IF(AND(L1140="Cafco 300",J1140&gt;=95,J1140&lt;=400,G1140=3,C1140="IN",I1140=120),VLOOKUP(T1140,'CAFCO 300 IDIEM TABLAS'!$F$4:$H$35,3,FALSE),0)+IF(AND(L1140="Cafco 300",J1140&gt;=95,J1140&lt;=450,G1140=4,C1140="IN",I1140=90),VLOOKUP(T1140,'CAFCO 300 IDIEM TABLAS'!$J$4:$L$40,2,FALSE),0)+IF(AND(L1140="Cafco 300",J1140&gt;=95,J1140&lt;=450,G1140=4,C1140="IN",I1140=120),VLOOKUP(T1140,'CAFCO 300 IDIEM TABLAS'!$J$4:$L$40,3,FALSE),0)+IF(AND(M1140="Ensayo Idiem",L1140="Cafco 400",C1140="IN",G1140=4,I1140=90),VLOOKUP(T1140,'CAFCO 400 ENSAYO'!$B$7:$D$43,2,FALSE),0)+IF(AND(M1140="Ensayo Idiem",L1140="Cafco 400",C1140="IN",G1140=4,I1140=120),VLOOKUP(T1140,'CAFCO 400 ENSAYO'!$B$7:$D$43,3,FALSE),0)</f>
        <v>0</v>
      </c>
      <c r="O1140" s="96">
        <f t="shared" si="114"/>
        <v>0</v>
      </c>
      <c r="P1140" s="95" t="str">
        <f t="shared" si="115"/>
        <v>N/A</v>
      </c>
      <c r="Q1140" s="95" t="str">
        <f t="shared" si="116"/>
        <v>N/A</v>
      </c>
      <c r="R1140" s="95" t="str">
        <f t="shared" si="117"/>
        <v>NO CERT.</v>
      </c>
      <c r="S1140" s="95" t="e">
        <f t="shared" si="118"/>
        <v>#N/A</v>
      </c>
      <c r="T1140" s="119" t="e">
        <f>+IF(J1140=LOOKUP(J1140,'CAFCO 300 IDIEM TABLAS'!$J$4:$J$40),'CALCULO MORTERO'!J1140,MROUND('CALCULO MORTERO'!J1140,10))</f>
        <v>#N/A</v>
      </c>
      <c r="U1140" s="118">
        <f t="shared" si="119"/>
        <v>0</v>
      </c>
    </row>
    <row r="1141" spans="1:21" x14ac:dyDescent="0.25">
      <c r="A1141" s="118">
        <f>+CUBICACION!D1135</f>
        <v>0</v>
      </c>
      <c r="B1141" s="819">
        <f>+CUBICACION!E1135</f>
        <v>0</v>
      </c>
      <c r="C1141" s="675">
        <f>+CUBICACION!F1135</f>
        <v>0</v>
      </c>
      <c r="D1141" s="118"/>
      <c r="E1141" s="118"/>
      <c r="F1141" s="820"/>
      <c r="G1141" s="675">
        <f>+CUBICACION!J1135</f>
        <v>0</v>
      </c>
      <c r="H1141" s="118"/>
      <c r="I1141" s="821">
        <f>+CUBICACION!L1135</f>
        <v>0</v>
      </c>
      <c r="J1141" s="64">
        <f>+CUBICACION!M1135</f>
        <v>0</v>
      </c>
      <c r="K1141" s="822" t="str">
        <f>+CUBICACION!N1135</f>
        <v/>
      </c>
      <c r="L1141" s="118">
        <f>+CUBICACION!O1135</f>
        <v>0</v>
      </c>
      <c r="M1141" s="823">
        <f>+CUBICACION!P1135</f>
        <v>0</v>
      </c>
      <c r="N1141" s="902">
        <f>ROUND(IF(AND(L1141="Blaze Shield II",M1141="Software Idiem",C1141="IN",G1141=4),((('BLAZE SHIELD II'!$D$4*('CALCULO MORTERO'!I1141^2)+'BLAZE SHIELD II'!$D$5*'CALCULO MORTERO'!I1141+'BLAZE SHIELD II'!$D$6)*LN(J1141))+('BLAZE SHIELD II'!$D$7*('CALCULO MORTERO'!I1141^2)+'BLAZE SHIELD II'!$D$8*'CALCULO MORTERO'!I1141+'BLAZE SHIELD II'!$D$9)),0)+IF(AND(L1141="Blaze Shield II",M1141="Software Idiem",C1141="Cj"),((('BLAZE SHIELD II'!$H$4*('CALCULO MORTERO'!I1141^2)+'BLAZE SHIELD II'!$H$5*'CALCULO MORTERO'!I1141+'BLAZE SHIELD II'!$H$6)*LN(J1141))+('BLAZE SHIELD II'!$H$7*('CALCULO MORTERO'!I1141^2)+'BLAZE SHIELD II'!$H$8*'CALCULO MORTERO'!I1141+'BLAZE SHIELD II'!$H$9)),0)+IF(AND(L1141="Blaze Shield II",M1141="Software Idiem",C1141="C"),((('BLAZE SHIELD II'!$L$4*('CALCULO MORTERO'!I1141^2)+'BLAZE SHIELD II'!$L$5*'CALCULO MORTERO'!I1141+'BLAZE SHIELD II'!$L$6)*LN(J1141))+('BLAZE SHIELD II'!$L$7*('CALCULO MORTERO'!I1141^2)+'BLAZE SHIELD II'!$L$8*'CALCULO MORTERO'!I1141+'BLAZE SHIELD II'!$L$9)),0)+IF(AND(L1141="Blaze Shield II",M1141="Software Idiem",C1141="L"),((('BLAZE SHIELD II'!$L$4*('CALCULO MORTERO'!I1141^2)+'BLAZE SHIELD II'!$L$5*'CALCULO MORTERO'!I1141+'BLAZE SHIELD II'!$L$6)*LN(J1141))+('BLAZE SHIELD II'!$L$7*('CALCULO MORTERO'!I1141^2)+'BLAZE SHIELD II'!$L$8*'CALCULO MORTERO'!I1141+'BLAZE SHIELD II'!$L$9)),0)+IF(AND(L1141="Blaze Shield II",M1141="Software Idiem",C1141="IN",G1141=3),((('BLAZE SHIELD II'!$H$14*('CALCULO MORTERO'!I1141^2)+'BLAZE SHIELD II'!$H$15*'CALCULO MORTERO'!I1141+'BLAZE SHIELD II'!$H$16)*LN(J1141))+('BLAZE SHIELD II'!$H$17*('CALCULO MORTERO'!I1141^2)+'BLAZE SHIELD II'!$H$18*'CALCULO MORTERO'!I1141+'BLAZE SHIELD II'!$H$19)),0),0)+ROUND(IF(AND(L1141="Cafco 400",M1141="Software Idiem",C1141="IN",G1141=4),((('CAFCO 400 '!$H$7*(J1141^4)+'CAFCO 400 '!$H$8*(J1141^3)+'CAFCO 400 '!$H$9*(J1141^2)+'CAFCO 400 '!$H$10*J1141+'CAFCO 400 '!$H$11)*U1141^2)+(('CAFCO 400 '!$H$12*(J1141^3)+'CAFCO 400 '!$H$13*(J1141^2)+'CAFCO 400 '!$H$14*J1141+'CAFCO 400 '!$H$15)*U1141)+('CAFCO 400 '!$H$16*(J1141^2)+'CAFCO 400 '!$H$17*J1141+'CAFCO 400 '!$H$18)),0)+IF(AND(L1141="Cafco 400",M1141="Software Idiem",C1141="Cj"),(((('CAFCO 400 '!$D$7*LN(J1141)+'CAFCO 400 '!$D$8)*U1141^2)+(('CAFCO 400 '!$D$9*LN(J1141)+'CAFCO 400 '!$D$10)*U1141)+('CAFCO 400 '!$D$11*LN(J1141)+'CAFCO 400 '!$D$12))),0)+IF(AND(L1141="Cafco 400",M1141="Software Idiem",C1141="C"),((('CAFCO 400 '!$L$7*(J1141^3)+'CAFCO 400 '!$L$8*(J1141^2)+'CAFCO 400 '!$L$9*J1141+'CAFCO 400 '!$L$10)*U1141^2)+(('CAFCO 400 '!$L$11*(J1141^3)+'CAFCO 400 '!$L$12*(J1141^2)+'CAFCO 400 '!$L$13*J1141+'CAFCO 400 '!$L$14)*U1141)+('CAFCO 400 '!$L$15*LN(J1141)+'CAFCO 400 '!$L$16)),0)+IF(AND(L1141="Cafco 400",M1141="Software Idiem",C1141="L"),((('CAFCO 400 '!$L$7*(J1141^3)+'CAFCO 400 '!$L$8*(J1141^2)+'CAFCO 400 '!$L$9*J1141+'CAFCO 400 '!$L$10)*U1141^2)+(('CAFCO 400 '!$L$11*(J1141^3)+'CAFCO 400 '!$L$12*(J1141^2)+'CAFCO 400 '!$L$13*J1141+'CAFCO 400 '!$L$14)*U1141)+('CAFCO 400 '!$L$15*LN(J1141)+'CAFCO 400 '!$L$16)),0)+IF(AND(L1141="Cafco 400",M1141="Software Idiem",C1141="IN",G1141=3),((('CAFCO 400 '!$D$23*(J1141^2)+'CAFCO 400 '!$D$24*(J1141)+'CAFCO 400 '!$D$25)*U1141^2)+(('CAFCO 400 '!$D$26*(J1141^2)+'CAFCO 400 '!$D$27*J1141+'CAFCO 400 '!$D$28)*U1141)+('CAFCO 400 '!$D$29*(J1141^2)+'CAFCO 400 '!$D$30*J1141+'CAFCO 400 '!$D$31)),0),0)+IF(AND(L1141="Cafco 300",J1141&gt;=95,J1141&lt;=240,C1141="Cj",I1141=90),VLOOKUP(T1141,'CAFCO 300 IDIEM TABLAS'!$B$4:$D$23,2,FALSE),0)+IF(AND(L1141="Cafco 300",J1141&gt;=95,J1141&lt;=240,C1141="Cj",I1141=120),VLOOKUP(T1141,'CAFCO 300 IDIEM TABLAS'!$B$4:$D$23,3,FALSE),0)+IF(AND(L1141="Cafco 300",J1141&gt;=95,J1141&lt;=400,G1141=3,C1141="IN",I1141=90),VLOOKUP(T1141,'CAFCO 300 IDIEM TABLAS'!$F$4:$H$35,2,FALSE),0)+IF(AND(L1141="Cafco 300",J1141&gt;=95,J1141&lt;=400,G1141=3,C1141="IN",I1141=120),VLOOKUP(T1141,'CAFCO 300 IDIEM TABLAS'!$F$4:$H$35,3,FALSE),0)+IF(AND(L1141="Cafco 300",J1141&gt;=95,J1141&lt;=450,G1141=4,C1141="IN",I1141=90),VLOOKUP(T1141,'CAFCO 300 IDIEM TABLAS'!$J$4:$L$40,2,FALSE),0)+IF(AND(L1141="Cafco 300",J1141&gt;=95,J1141&lt;=450,G1141=4,C1141="IN",I1141=120),VLOOKUP(T1141,'CAFCO 300 IDIEM TABLAS'!$J$4:$L$40,3,FALSE),0)+IF(AND(M1141="Ensayo Idiem",L1141="Cafco 400",C1141="IN",G1141=4,I1141=90),VLOOKUP(T1141,'CAFCO 400 ENSAYO'!$B$7:$D$43,2,FALSE),0)+IF(AND(M1141="Ensayo Idiem",L1141="Cafco 400",C1141="IN",G1141=4,I1141=120),VLOOKUP(T1141,'CAFCO 400 ENSAYO'!$B$7:$D$43,3,FALSE),0)</f>
        <v>0</v>
      </c>
      <c r="O1141" s="96">
        <f t="shared" si="114"/>
        <v>0</v>
      </c>
      <c r="P1141" s="132" t="str">
        <f t="shared" si="115"/>
        <v>N/A</v>
      </c>
      <c r="Q1141" s="132" t="str">
        <f t="shared" si="116"/>
        <v>N/A</v>
      </c>
      <c r="R1141" s="132" t="str">
        <f t="shared" si="117"/>
        <v>NO CERT.</v>
      </c>
      <c r="S1141" s="132" t="e">
        <f t="shared" si="118"/>
        <v>#N/A</v>
      </c>
      <c r="T1141" s="133" t="e">
        <f>+IF(J1141=LOOKUP(J1141,'CAFCO 300 IDIEM TABLAS'!$J$4:$J$40),'CALCULO MORTERO'!J1141,MROUND('CALCULO MORTERO'!J1141,10))</f>
        <v>#N/A</v>
      </c>
      <c r="U1141" s="134">
        <f t="shared" si="119"/>
        <v>0</v>
      </c>
    </row>
    <row r="1142" spans="1:21" x14ac:dyDescent="0.25">
      <c r="A1142" s="118">
        <f>+CUBICACION!D1136</f>
        <v>0</v>
      </c>
      <c r="B1142" s="819">
        <f>+CUBICACION!E1136</f>
        <v>0</v>
      </c>
      <c r="C1142" s="675">
        <f>+CUBICACION!F1136</f>
        <v>0</v>
      </c>
      <c r="D1142" s="118"/>
      <c r="E1142" s="118"/>
      <c r="F1142" s="820"/>
      <c r="G1142" s="675">
        <f>+CUBICACION!J1136</f>
        <v>0</v>
      </c>
      <c r="H1142" s="118"/>
      <c r="I1142" s="821">
        <f>+CUBICACION!L1136</f>
        <v>0</v>
      </c>
      <c r="J1142" s="64">
        <f>+CUBICACION!M1136</f>
        <v>0</v>
      </c>
      <c r="K1142" s="822" t="str">
        <f>+CUBICACION!N1136</f>
        <v/>
      </c>
      <c r="L1142" s="118">
        <f>+CUBICACION!O1136</f>
        <v>0</v>
      </c>
      <c r="M1142" s="823">
        <f>+CUBICACION!P1136</f>
        <v>0</v>
      </c>
      <c r="N1142" s="902">
        <f>ROUND(IF(AND(L1142="Blaze Shield II",M1142="Software Idiem",C1142="IN",G1142=4),((('BLAZE SHIELD II'!$D$4*('CALCULO MORTERO'!I1142^2)+'BLAZE SHIELD II'!$D$5*'CALCULO MORTERO'!I1142+'BLAZE SHIELD II'!$D$6)*LN(J1142))+('BLAZE SHIELD II'!$D$7*('CALCULO MORTERO'!I1142^2)+'BLAZE SHIELD II'!$D$8*'CALCULO MORTERO'!I1142+'BLAZE SHIELD II'!$D$9)),0)+IF(AND(L1142="Blaze Shield II",M1142="Software Idiem",C1142="Cj"),((('BLAZE SHIELD II'!$H$4*('CALCULO MORTERO'!I1142^2)+'BLAZE SHIELD II'!$H$5*'CALCULO MORTERO'!I1142+'BLAZE SHIELD II'!$H$6)*LN(J1142))+('BLAZE SHIELD II'!$H$7*('CALCULO MORTERO'!I1142^2)+'BLAZE SHIELD II'!$H$8*'CALCULO MORTERO'!I1142+'BLAZE SHIELD II'!$H$9)),0)+IF(AND(L1142="Blaze Shield II",M1142="Software Idiem",C1142="C"),((('BLAZE SHIELD II'!$L$4*('CALCULO MORTERO'!I1142^2)+'BLAZE SHIELD II'!$L$5*'CALCULO MORTERO'!I1142+'BLAZE SHIELD II'!$L$6)*LN(J1142))+('BLAZE SHIELD II'!$L$7*('CALCULO MORTERO'!I1142^2)+'BLAZE SHIELD II'!$L$8*'CALCULO MORTERO'!I1142+'BLAZE SHIELD II'!$L$9)),0)+IF(AND(L1142="Blaze Shield II",M1142="Software Idiem",C1142="L"),((('BLAZE SHIELD II'!$L$4*('CALCULO MORTERO'!I1142^2)+'BLAZE SHIELD II'!$L$5*'CALCULO MORTERO'!I1142+'BLAZE SHIELD II'!$L$6)*LN(J1142))+('BLAZE SHIELD II'!$L$7*('CALCULO MORTERO'!I1142^2)+'BLAZE SHIELD II'!$L$8*'CALCULO MORTERO'!I1142+'BLAZE SHIELD II'!$L$9)),0)+IF(AND(L1142="Blaze Shield II",M1142="Software Idiem",C1142="IN",G1142=3),((('BLAZE SHIELD II'!$H$14*('CALCULO MORTERO'!I1142^2)+'BLAZE SHIELD II'!$H$15*'CALCULO MORTERO'!I1142+'BLAZE SHIELD II'!$H$16)*LN(J1142))+('BLAZE SHIELD II'!$H$17*('CALCULO MORTERO'!I1142^2)+'BLAZE SHIELD II'!$H$18*'CALCULO MORTERO'!I1142+'BLAZE SHIELD II'!$H$19)),0),0)+ROUND(IF(AND(L1142="Cafco 400",M1142="Software Idiem",C1142="IN",G1142=4),((('CAFCO 400 '!$H$7*(J1142^4)+'CAFCO 400 '!$H$8*(J1142^3)+'CAFCO 400 '!$H$9*(J1142^2)+'CAFCO 400 '!$H$10*J1142+'CAFCO 400 '!$H$11)*U1142^2)+(('CAFCO 400 '!$H$12*(J1142^3)+'CAFCO 400 '!$H$13*(J1142^2)+'CAFCO 400 '!$H$14*J1142+'CAFCO 400 '!$H$15)*U1142)+('CAFCO 400 '!$H$16*(J1142^2)+'CAFCO 400 '!$H$17*J1142+'CAFCO 400 '!$H$18)),0)+IF(AND(L1142="Cafco 400",M1142="Software Idiem",C1142="Cj"),(((('CAFCO 400 '!$D$7*LN(J1142)+'CAFCO 400 '!$D$8)*U1142^2)+(('CAFCO 400 '!$D$9*LN(J1142)+'CAFCO 400 '!$D$10)*U1142)+('CAFCO 400 '!$D$11*LN(J1142)+'CAFCO 400 '!$D$12))),0)+IF(AND(L1142="Cafco 400",M1142="Software Idiem",C1142="C"),((('CAFCO 400 '!$L$7*(J1142^3)+'CAFCO 400 '!$L$8*(J1142^2)+'CAFCO 400 '!$L$9*J1142+'CAFCO 400 '!$L$10)*U1142^2)+(('CAFCO 400 '!$L$11*(J1142^3)+'CAFCO 400 '!$L$12*(J1142^2)+'CAFCO 400 '!$L$13*J1142+'CAFCO 400 '!$L$14)*U1142)+('CAFCO 400 '!$L$15*LN(J1142)+'CAFCO 400 '!$L$16)),0)+IF(AND(L1142="Cafco 400",M1142="Software Idiem",C1142="L"),((('CAFCO 400 '!$L$7*(J1142^3)+'CAFCO 400 '!$L$8*(J1142^2)+'CAFCO 400 '!$L$9*J1142+'CAFCO 400 '!$L$10)*U1142^2)+(('CAFCO 400 '!$L$11*(J1142^3)+'CAFCO 400 '!$L$12*(J1142^2)+'CAFCO 400 '!$L$13*J1142+'CAFCO 400 '!$L$14)*U1142)+('CAFCO 400 '!$L$15*LN(J1142)+'CAFCO 400 '!$L$16)),0)+IF(AND(L1142="Cafco 400",M1142="Software Idiem",C1142="IN",G1142=3),((('CAFCO 400 '!$D$23*(J1142^2)+'CAFCO 400 '!$D$24*(J1142)+'CAFCO 400 '!$D$25)*U1142^2)+(('CAFCO 400 '!$D$26*(J1142^2)+'CAFCO 400 '!$D$27*J1142+'CAFCO 400 '!$D$28)*U1142)+('CAFCO 400 '!$D$29*(J1142^2)+'CAFCO 400 '!$D$30*J1142+'CAFCO 400 '!$D$31)),0),0)+IF(AND(L1142="Cafco 300",J1142&gt;=95,J1142&lt;=240,C1142="Cj",I1142=90),VLOOKUP(T1142,'CAFCO 300 IDIEM TABLAS'!$B$4:$D$23,2,FALSE),0)+IF(AND(L1142="Cafco 300",J1142&gt;=95,J1142&lt;=240,C1142="Cj",I1142=120),VLOOKUP(T1142,'CAFCO 300 IDIEM TABLAS'!$B$4:$D$23,3,FALSE),0)+IF(AND(L1142="Cafco 300",J1142&gt;=95,J1142&lt;=400,G1142=3,C1142="IN",I1142=90),VLOOKUP(T1142,'CAFCO 300 IDIEM TABLAS'!$F$4:$H$35,2,FALSE),0)+IF(AND(L1142="Cafco 300",J1142&gt;=95,J1142&lt;=400,G1142=3,C1142="IN",I1142=120),VLOOKUP(T1142,'CAFCO 300 IDIEM TABLAS'!$F$4:$H$35,3,FALSE),0)+IF(AND(L1142="Cafco 300",J1142&gt;=95,J1142&lt;=450,G1142=4,C1142="IN",I1142=90),VLOOKUP(T1142,'CAFCO 300 IDIEM TABLAS'!$J$4:$L$40,2,FALSE),0)+IF(AND(L1142="Cafco 300",J1142&gt;=95,J1142&lt;=450,G1142=4,C1142="IN",I1142=120),VLOOKUP(T1142,'CAFCO 300 IDIEM TABLAS'!$J$4:$L$40,3,FALSE),0)+IF(AND(M1142="Ensayo Idiem",L1142="Cafco 400",C1142="IN",G1142=4,I1142=90),VLOOKUP(T1142,'CAFCO 400 ENSAYO'!$B$7:$D$43,2,FALSE),0)+IF(AND(M1142="Ensayo Idiem",L1142="Cafco 400",C1142="IN",G1142=4,I1142=120),VLOOKUP(T1142,'CAFCO 400 ENSAYO'!$B$7:$D$43,3,FALSE),0)</f>
        <v>0</v>
      </c>
      <c r="O1142" s="96">
        <f t="shared" si="114"/>
        <v>0</v>
      </c>
      <c r="P1142" s="95" t="str">
        <f t="shared" si="115"/>
        <v>N/A</v>
      </c>
      <c r="Q1142" s="95" t="str">
        <f t="shared" si="116"/>
        <v>N/A</v>
      </c>
      <c r="R1142" s="95" t="str">
        <f t="shared" si="117"/>
        <v>NO CERT.</v>
      </c>
      <c r="S1142" s="95" t="e">
        <f t="shared" si="118"/>
        <v>#N/A</v>
      </c>
      <c r="T1142" s="119" t="e">
        <f>+IF(J1142=LOOKUP(J1142,'CAFCO 300 IDIEM TABLAS'!$J$4:$J$40),'CALCULO MORTERO'!J1142,MROUND('CALCULO MORTERO'!J1142,10))</f>
        <v>#N/A</v>
      </c>
      <c r="U1142" s="118">
        <f t="shared" si="119"/>
        <v>0</v>
      </c>
    </row>
    <row r="1143" spans="1:21" x14ac:dyDescent="0.25">
      <c r="A1143" s="118">
        <f>+CUBICACION!D1137</f>
        <v>0</v>
      </c>
      <c r="B1143" s="819">
        <f>+CUBICACION!E1137</f>
        <v>0</v>
      </c>
      <c r="C1143" s="675">
        <f>+CUBICACION!F1137</f>
        <v>0</v>
      </c>
      <c r="D1143" s="118"/>
      <c r="E1143" s="118"/>
      <c r="F1143" s="820"/>
      <c r="G1143" s="675">
        <f>+CUBICACION!J1137</f>
        <v>0</v>
      </c>
      <c r="H1143" s="118"/>
      <c r="I1143" s="821">
        <f>+CUBICACION!L1137</f>
        <v>0</v>
      </c>
      <c r="J1143" s="64">
        <f>+CUBICACION!M1137</f>
        <v>0</v>
      </c>
      <c r="K1143" s="822" t="str">
        <f>+CUBICACION!N1137</f>
        <v/>
      </c>
      <c r="L1143" s="118">
        <f>+CUBICACION!O1137</f>
        <v>0</v>
      </c>
      <c r="M1143" s="823">
        <f>+CUBICACION!P1137</f>
        <v>0</v>
      </c>
      <c r="N1143" s="902">
        <f>ROUND(IF(AND(L1143="Blaze Shield II",M1143="Software Idiem",C1143="IN",G1143=4),((('BLAZE SHIELD II'!$D$4*('CALCULO MORTERO'!I1143^2)+'BLAZE SHIELD II'!$D$5*'CALCULO MORTERO'!I1143+'BLAZE SHIELD II'!$D$6)*LN(J1143))+('BLAZE SHIELD II'!$D$7*('CALCULO MORTERO'!I1143^2)+'BLAZE SHIELD II'!$D$8*'CALCULO MORTERO'!I1143+'BLAZE SHIELD II'!$D$9)),0)+IF(AND(L1143="Blaze Shield II",M1143="Software Idiem",C1143="Cj"),((('BLAZE SHIELD II'!$H$4*('CALCULO MORTERO'!I1143^2)+'BLAZE SHIELD II'!$H$5*'CALCULO MORTERO'!I1143+'BLAZE SHIELD II'!$H$6)*LN(J1143))+('BLAZE SHIELD II'!$H$7*('CALCULO MORTERO'!I1143^2)+'BLAZE SHIELD II'!$H$8*'CALCULO MORTERO'!I1143+'BLAZE SHIELD II'!$H$9)),0)+IF(AND(L1143="Blaze Shield II",M1143="Software Idiem",C1143="C"),((('BLAZE SHIELD II'!$L$4*('CALCULO MORTERO'!I1143^2)+'BLAZE SHIELD II'!$L$5*'CALCULO MORTERO'!I1143+'BLAZE SHIELD II'!$L$6)*LN(J1143))+('BLAZE SHIELD II'!$L$7*('CALCULO MORTERO'!I1143^2)+'BLAZE SHIELD II'!$L$8*'CALCULO MORTERO'!I1143+'BLAZE SHIELD II'!$L$9)),0)+IF(AND(L1143="Blaze Shield II",M1143="Software Idiem",C1143="L"),((('BLAZE SHIELD II'!$L$4*('CALCULO MORTERO'!I1143^2)+'BLAZE SHIELD II'!$L$5*'CALCULO MORTERO'!I1143+'BLAZE SHIELD II'!$L$6)*LN(J1143))+('BLAZE SHIELD II'!$L$7*('CALCULO MORTERO'!I1143^2)+'BLAZE SHIELD II'!$L$8*'CALCULO MORTERO'!I1143+'BLAZE SHIELD II'!$L$9)),0)+IF(AND(L1143="Blaze Shield II",M1143="Software Idiem",C1143="IN",G1143=3),((('BLAZE SHIELD II'!$H$14*('CALCULO MORTERO'!I1143^2)+'BLAZE SHIELD II'!$H$15*'CALCULO MORTERO'!I1143+'BLAZE SHIELD II'!$H$16)*LN(J1143))+('BLAZE SHIELD II'!$H$17*('CALCULO MORTERO'!I1143^2)+'BLAZE SHIELD II'!$H$18*'CALCULO MORTERO'!I1143+'BLAZE SHIELD II'!$H$19)),0),0)+ROUND(IF(AND(L1143="Cafco 400",M1143="Software Idiem",C1143="IN",G1143=4),((('CAFCO 400 '!$H$7*(J1143^4)+'CAFCO 400 '!$H$8*(J1143^3)+'CAFCO 400 '!$H$9*(J1143^2)+'CAFCO 400 '!$H$10*J1143+'CAFCO 400 '!$H$11)*U1143^2)+(('CAFCO 400 '!$H$12*(J1143^3)+'CAFCO 400 '!$H$13*(J1143^2)+'CAFCO 400 '!$H$14*J1143+'CAFCO 400 '!$H$15)*U1143)+('CAFCO 400 '!$H$16*(J1143^2)+'CAFCO 400 '!$H$17*J1143+'CAFCO 400 '!$H$18)),0)+IF(AND(L1143="Cafco 400",M1143="Software Idiem",C1143="Cj"),(((('CAFCO 400 '!$D$7*LN(J1143)+'CAFCO 400 '!$D$8)*U1143^2)+(('CAFCO 400 '!$D$9*LN(J1143)+'CAFCO 400 '!$D$10)*U1143)+('CAFCO 400 '!$D$11*LN(J1143)+'CAFCO 400 '!$D$12))),0)+IF(AND(L1143="Cafco 400",M1143="Software Idiem",C1143="C"),((('CAFCO 400 '!$L$7*(J1143^3)+'CAFCO 400 '!$L$8*(J1143^2)+'CAFCO 400 '!$L$9*J1143+'CAFCO 400 '!$L$10)*U1143^2)+(('CAFCO 400 '!$L$11*(J1143^3)+'CAFCO 400 '!$L$12*(J1143^2)+'CAFCO 400 '!$L$13*J1143+'CAFCO 400 '!$L$14)*U1143)+('CAFCO 400 '!$L$15*LN(J1143)+'CAFCO 400 '!$L$16)),0)+IF(AND(L1143="Cafco 400",M1143="Software Idiem",C1143="L"),((('CAFCO 400 '!$L$7*(J1143^3)+'CAFCO 400 '!$L$8*(J1143^2)+'CAFCO 400 '!$L$9*J1143+'CAFCO 400 '!$L$10)*U1143^2)+(('CAFCO 400 '!$L$11*(J1143^3)+'CAFCO 400 '!$L$12*(J1143^2)+'CAFCO 400 '!$L$13*J1143+'CAFCO 400 '!$L$14)*U1143)+('CAFCO 400 '!$L$15*LN(J1143)+'CAFCO 400 '!$L$16)),0)+IF(AND(L1143="Cafco 400",M1143="Software Idiem",C1143="IN",G1143=3),((('CAFCO 400 '!$D$23*(J1143^2)+'CAFCO 400 '!$D$24*(J1143)+'CAFCO 400 '!$D$25)*U1143^2)+(('CAFCO 400 '!$D$26*(J1143^2)+'CAFCO 400 '!$D$27*J1143+'CAFCO 400 '!$D$28)*U1143)+('CAFCO 400 '!$D$29*(J1143^2)+'CAFCO 400 '!$D$30*J1143+'CAFCO 400 '!$D$31)),0),0)+IF(AND(L1143="Cafco 300",J1143&gt;=95,J1143&lt;=240,C1143="Cj",I1143=90),VLOOKUP(T1143,'CAFCO 300 IDIEM TABLAS'!$B$4:$D$23,2,FALSE),0)+IF(AND(L1143="Cafco 300",J1143&gt;=95,J1143&lt;=240,C1143="Cj",I1143=120),VLOOKUP(T1143,'CAFCO 300 IDIEM TABLAS'!$B$4:$D$23,3,FALSE),0)+IF(AND(L1143="Cafco 300",J1143&gt;=95,J1143&lt;=400,G1143=3,C1143="IN",I1143=90),VLOOKUP(T1143,'CAFCO 300 IDIEM TABLAS'!$F$4:$H$35,2,FALSE),0)+IF(AND(L1143="Cafco 300",J1143&gt;=95,J1143&lt;=400,G1143=3,C1143="IN",I1143=120),VLOOKUP(T1143,'CAFCO 300 IDIEM TABLAS'!$F$4:$H$35,3,FALSE),0)+IF(AND(L1143="Cafco 300",J1143&gt;=95,J1143&lt;=450,G1143=4,C1143="IN",I1143=90),VLOOKUP(T1143,'CAFCO 300 IDIEM TABLAS'!$J$4:$L$40,2,FALSE),0)+IF(AND(L1143="Cafco 300",J1143&gt;=95,J1143&lt;=450,G1143=4,C1143="IN",I1143=120),VLOOKUP(T1143,'CAFCO 300 IDIEM TABLAS'!$J$4:$L$40,3,FALSE),0)+IF(AND(M1143="Ensayo Idiem",L1143="Cafco 400",C1143="IN",G1143=4,I1143=90),VLOOKUP(T1143,'CAFCO 400 ENSAYO'!$B$7:$D$43,2,FALSE),0)+IF(AND(M1143="Ensayo Idiem",L1143="Cafco 400",C1143="IN",G1143=4,I1143=120),VLOOKUP(T1143,'CAFCO 400 ENSAYO'!$B$7:$D$43,3,FALSE),0)</f>
        <v>0</v>
      </c>
      <c r="O1143" s="96">
        <f t="shared" si="114"/>
        <v>0</v>
      </c>
      <c r="P1143" s="132" t="str">
        <f t="shared" si="115"/>
        <v>N/A</v>
      </c>
      <c r="Q1143" s="132" t="str">
        <f t="shared" si="116"/>
        <v>N/A</v>
      </c>
      <c r="R1143" s="132" t="str">
        <f t="shared" si="117"/>
        <v>NO CERT.</v>
      </c>
      <c r="S1143" s="132" t="e">
        <f t="shared" si="118"/>
        <v>#N/A</v>
      </c>
      <c r="T1143" s="133" t="e">
        <f>+IF(J1143=LOOKUP(J1143,'CAFCO 300 IDIEM TABLAS'!$J$4:$J$40),'CALCULO MORTERO'!J1143,MROUND('CALCULO MORTERO'!J1143,10))</f>
        <v>#N/A</v>
      </c>
      <c r="U1143" s="134">
        <f t="shared" si="119"/>
        <v>0</v>
      </c>
    </row>
    <row r="1144" spans="1:21" x14ac:dyDescent="0.25">
      <c r="A1144" s="118">
        <f>+CUBICACION!D1138</f>
        <v>0</v>
      </c>
      <c r="B1144" s="819">
        <f>+CUBICACION!E1138</f>
        <v>0</v>
      </c>
      <c r="C1144" s="675">
        <f>+CUBICACION!F1138</f>
        <v>0</v>
      </c>
      <c r="D1144" s="118"/>
      <c r="E1144" s="118"/>
      <c r="F1144" s="820"/>
      <c r="G1144" s="675">
        <f>+CUBICACION!J1138</f>
        <v>0</v>
      </c>
      <c r="H1144" s="118"/>
      <c r="I1144" s="821">
        <f>+CUBICACION!L1138</f>
        <v>0</v>
      </c>
      <c r="J1144" s="64">
        <f>+CUBICACION!M1138</f>
        <v>0</v>
      </c>
      <c r="K1144" s="822" t="str">
        <f>+CUBICACION!N1138</f>
        <v/>
      </c>
      <c r="L1144" s="118">
        <f>+CUBICACION!O1138</f>
        <v>0</v>
      </c>
      <c r="M1144" s="823">
        <f>+CUBICACION!P1138</f>
        <v>0</v>
      </c>
      <c r="N1144" s="902">
        <f>ROUND(IF(AND(L1144="Blaze Shield II",M1144="Software Idiem",C1144="IN",G1144=4),((('BLAZE SHIELD II'!$D$4*('CALCULO MORTERO'!I1144^2)+'BLAZE SHIELD II'!$D$5*'CALCULO MORTERO'!I1144+'BLAZE SHIELD II'!$D$6)*LN(J1144))+('BLAZE SHIELD II'!$D$7*('CALCULO MORTERO'!I1144^2)+'BLAZE SHIELD II'!$D$8*'CALCULO MORTERO'!I1144+'BLAZE SHIELD II'!$D$9)),0)+IF(AND(L1144="Blaze Shield II",M1144="Software Idiem",C1144="Cj"),((('BLAZE SHIELD II'!$H$4*('CALCULO MORTERO'!I1144^2)+'BLAZE SHIELD II'!$H$5*'CALCULO MORTERO'!I1144+'BLAZE SHIELD II'!$H$6)*LN(J1144))+('BLAZE SHIELD II'!$H$7*('CALCULO MORTERO'!I1144^2)+'BLAZE SHIELD II'!$H$8*'CALCULO MORTERO'!I1144+'BLAZE SHIELD II'!$H$9)),0)+IF(AND(L1144="Blaze Shield II",M1144="Software Idiem",C1144="C"),((('BLAZE SHIELD II'!$L$4*('CALCULO MORTERO'!I1144^2)+'BLAZE SHIELD II'!$L$5*'CALCULO MORTERO'!I1144+'BLAZE SHIELD II'!$L$6)*LN(J1144))+('BLAZE SHIELD II'!$L$7*('CALCULO MORTERO'!I1144^2)+'BLAZE SHIELD II'!$L$8*'CALCULO MORTERO'!I1144+'BLAZE SHIELD II'!$L$9)),0)+IF(AND(L1144="Blaze Shield II",M1144="Software Idiem",C1144="L"),((('BLAZE SHIELD II'!$L$4*('CALCULO MORTERO'!I1144^2)+'BLAZE SHIELD II'!$L$5*'CALCULO MORTERO'!I1144+'BLAZE SHIELD II'!$L$6)*LN(J1144))+('BLAZE SHIELD II'!$L$7*('CALCULO MORTERO'!I1144^2)+'BLAZE SHIELD II'!$L$8*'CALCULO MORTERO'!I1144+'BLAZE SHIELD II'!$L$9)),0)+IF(AND(L1144="Blaze Shield II",M1144="Software Idiem",C1144="IN",G1144=3),((('BLAZE SHIELD II'!$H$14*('CALCULO MORTERO'!I1144^2)+'BLAZE SHIELD II'!$H$15*'CALCULO MORTERO'!I1144+'BLAZE SHIELD II'!$H$16)*LN(J1144))+('BLAZE SHIELD II'!$H$17*('CALCULO MORTERO'!I1144^2)+'BLAZE SHIELD II'!$H$18*'CALCULO MORTERO'!I1144+'BLAZE SHIELD II'!$H$19)),0),0)+ROUND(IF(AND(L1144="Cafco 400",M1144="Software Idiem",C1144="IN",G1144=4),((('CAFCO 400 '!$H$7*(J1144^4)+'CAFCO 400 '!$H$8*(J1144^3)+'CAFCO 400 '!$H$9*(J1144^2)+'CAFCO 400 '!$H$10*J1144+'CAFCO 400 '!$H$11)*U1144^2)+(('CAFCO 400 '!$H$12*(J1144^3)+'CAFCO 400 '!$H$13*(J1144^2)+'CAFCO 400 '!$H$14*J1144+'CAFCO 400 '!$H$15)*U1144)+('CAFCO 400 '!$H$16*(J1144^2)+'CAFCO 400 '!$H$17*J1144+'CAFCO 400 '!$H$18)),0)+IF(AND(L1144="Cafco 400",M1144="Software Idiem",C1144="Cj"),(((('CAFCO 400 '!$D$7*LN(J1144)+'CAFCO 400 '!$D$8)*U1144^2)+(('CAFCO 400 '!$D$9*LN(J1144)+'CAFCO 400 '!$D$10)*U1144)+('CAFCO 400 '!$D$11*LN(J1144)+'CAFCO 400 '!$D$12))),0)+IF(AND(L1144="Cafco 400",M1144="Software Idiem",C1144="C"),((('CAFCO 400 '!$L$7*(J1144^3)+'CAFCO 400 '!$L$8*(J1144^2)+'CAFCO 400 '!$L$9*J1144+'CAFCO 400 '!$L$10)*U1144^2)+(('CAFCO 400 '!$L$11*(J1144^3)+'CAFCO 400 '!$L$12*(J1144^2)+'CAFCO 400 '!$L$13*J1144+'CAFCO 400 '!$L$14)*U1144)+('CAFCO 400 '!$L$15*LN(J1144)+'CAFCO 400 '!$L$16)),0)+IF(AND(L1144="Cafco 400",M1144="Software Idiem",C1144="L"),((('CAFCO 400 '!$L$7*(J1144^3)+'CAFCO 400 '!$L$8*(J1144^2)+'CAFCO 400 '!$L$9*J1144+'CAFCO 400 '!$L$10)*U1144^2)+(('CAFCO 400 '!$L$11*(J1144^3)+'CAFCO 400 '!$L$12*(J1144^2)+'CAFCO 400 '!$L$13*J1144+'CAFCO 400 '!$L$14)*U1144)+('CAFCO 400 '!$L$15*LN(J1144)+'CAFCO 400 '!$L$16)),0)+IF(AND(L1144="Cafco 400",M1144="Software Idiem",C1144="IN",G1144=3),((('CAFCO 400 '!$D$23*(J1144^2)+'CAFCO 400 '!$D$24*(J1144)+'CAFCO 400 '!$D$25)*U1144^2)+(('CAFCO 400 '!$D$26*(J1144^2)+'CAFCO 400 '!$D$27*J1144+'CAFCO 400 '!$D$28)*U1144)+('CAFCO 400 '!$D$29*(J1144^2)+'CAFCO 400 '!$D$30*J1144+'CAFCO 400 '!$D$31)),0),0)+IF(AND(L1144="Cafco 300",J1144&gt;=95,J1144&lt;=240,C1144="Cj",I1144=90),VLOOKUP(T1144,'CAFCO 300 IDIEM TABLAS'!$B$4:$D$23,2,FALSE),0)+IF(AND(L1144="Cafco 300",J1144&gt;=95,J1144&lt;=240,C1144="Cj",I1144=120),VLOOKUP(T1144,'CAFCO 300 IDIEM TABLAS'!$B$4:$D$23,3,FALSE),0)+IF(AND(L1144="Cafco 300",J1144&gt;=95,J1144&lt;=400,G1144=3,C1144="IN",I1144=90),VLOOKUP(T1144,'CAFCO 300 IDIEM TABLAS'!$F$4:$H$35,2,FALSE),0)+IF(AND(L1144="Cafco 300",J1144&gt;=95,J1144&lt;=400,G1144=3,C1144="IN",I1144=120),VLOOKUP(T1144,'CAFCO 300 IDIEM TABLAS'!$F$4:$H$35,3,FALSE),0)+IF(AND(L1144="Cafco 300",J1144&gt;=95,J1144&lt;=450,G1144=4,C1144="IN",I1144=90),VLOOKUP(T1144,'CAFCO 300 IDIEM TABLAS'!$J$4:$L$40,2,FALSE),0)+IF(AND(L1144="Cafco 300",J1144&gt;=95,J1144&lt;=450,G1144=4,C1144="IN",I1144=120),VLOOKUP(T1144,'CAFCO 300 IDIEM TABLAS'!$J$4:$L$40,3,FALSE),0)+IF(AND(M1144="Ensayo Idiem",L1144="Cafco 400",C1144="IN",G1144=4,I1144=90),VLOOKUP(T1144,'CAFCO 400 ENSAYO'!$B$7:$D$43,2,FALSE),0)+IF(AND(M1144="Ensayo Idiem",L1144="Cafco 400",C1144="IN",G1144=4,I1144=120),VLOOKUP(T1144,'CAFCO 400 ENSAYO'!$B$7:$D$43,3,FALSE),0)</f>
        <v>0</v>
      </c>
      <c r="O1144" s="96">
        <f t="shared" si="114"/>
        <v>0</v>
      </c>
      <c r="P1144" s="95" t="str">
        <f t="shared" si="115"/>
        <v>N/A</v>
      </c>
      <c r="Q1144" s="95" t="str">
        <f t="shared" si="116"/>
        <v>N/A</v>
      </c>
      <c r="R1144" s="95" t="str">
        <f t="shared" si="117"/>
        <v>NO CERT.</v>
      </c>
      <c r="S1144" s="95" t="e">
        <f t="shared" si="118"/>
        <v>#N/A</v>
      </c>
      <c r="T1144" s="119" t="e">
        <f>+IF(J1144=LOOKUP(J1144,'CAFCO 300 IDIEM TABLAS'!$J$4:$J$40),'CALCULO MORTERO'!J1144,MROUND('CALCULO MORTERO'!J1144,10))</f>
        <v>#N/A</v>
      </c>
      <c r="U1144" s="118">
        <f t="shared" si="119"/>
        <v>0</v>
      </c>
    </row>
    <row r="1145" spans="1:21" x14ac:dyDescent="0.25">
      <c r="A1145" s="118">
        <f>+CUBICACION!D1139</f>
        <v>0</v>
      </c>
      <c r="B1145" s="819">
        <f>+CUBICACION!E1139</f>
        <v>0</v>
      </c>
      <c r="C1145" s="675">
        <f>+CUBICACION!F1139</f>
        <v>0</v>
      </c>
      <c r="D1145" s="118"/>
      <c r="E1145" s="118"/>
      <c r="F1145" s="820"/>
      <c r="G1145" s="675">
        <f>+CUBICACION!J1139</f>
        <v>0</v>
      </c>
      <c r="H1145" s="118"/>
      <c r="I1145" s="821">
        <f>+CUBICACION!L1139</f>
        <v>0</v>
      </c>
      <c r="J1145" s="64">
        <f>+CUBICACION!M1139</f>
        <v>0</v>
      </c>
      <c r="K1145" s="822" t="str">
        <f>+CUBICACION!N1139</f>
        <v/>
      </c>
      <c r="L1145" s="118">
        <f>+CUBICACION!O1139</f>
        <v>0</v>
      </c>
      <c r="M1145" s="823">
        <f>+CUBICACION!P1139</f>
        <v>0</v>
      </c>
      <c r="N1145" s="902">
        <f>ROUND(IF(AND(L1145="Blaze Shield II",M1145="Software Idiem",C1145="IN",G1145=4),((('BLAZE SHIELD II'!$D$4*('CALCULO MORTERO'!I1145^2)+'BLAZE SHIELD II'!$D$5*'CALCULO MORTERO'!I1145+'BLAZE SHIELD II'!$D$6)*LN(J1145))+('BLAZE SHIELD II'!$D$7*('CALCULO MORTERO'!I1145^2)+'BLAZE SHIELD II'!$D$8*'CALCULO MORTERO'!I1145+'BLAZE SHIELD II'!$D$9)),0)+IF(AND(L1145="Blaze Shield II",M1145="Software Idiem",C1145="Cj"),((('BLAZE SHIELD II'!$H$4*('CALCULO MORTERO'!I1145^2)+'BLAZE SHIELD II'!$H$5*'CALCULO MORTERO'!I1145+'BLAZE SHIELD II'!$H$6)*LN(J1145))+('BLAZE SHIELD II'!$H$7*('CALCULO MORTERO'!I1145^2)+'BLAZE SHIELD II'!$H$8*'CALCULO MORTERO'!I1145+'BLAZE SHIELD II'!$H$9)),0)+IF(AND(L1145="Blaze Shield II",M1145="Software Idiem",C1145="C"),((('BLAZE SHIELD II'!$L$4*('CALCULO MORTERO'!I1145^2)+'BLAZE SHIELD II'!$L$5*'CALCULO MORTERO'!I1145+'BLAZE SHIELD II'!$L$6)*LN(J1145))+('BLAZE SHIELD II'!$L$7*('CALCULO MORTERO'!I1145^2)+'BLAZE SHIELD II'!$L$8*'CALCULO MORTERO'!I1145+'BLAZE SHIELD II'!$L$9)),0)+IF(AND(L1145="Blaze Shield II",M1145="Software Idiem",C1145="L"),((('BLAZE SHIELD II'!$L$4*('CALCULO MORTERO'!I1145^2)+'BLAZE SHIELD II'!$L$5*'CALCULO MORTERO'!I1145+'BLAZE SHIELD II'!$L$6)*LN(J1145))+('BLAZE SHIELD II'!$L$7*('CALCULO MORTERO'!I1145^2)+'BLAZE SHIELD II'!$L$8*'CALCULO MORTERO'!I1145+'BLAZE SHIELD II'!$L$9)),0)+IF(AND(L1145="Blaze Shield II",M1145="Software Idiem",C1145="IN",G1145=3),((('BLAZE SHIELD II'!$H$14*('CALCULO MORTERO'!I1145^2)+'BLAZE SHIELD II'!$H$15*'CALCULO MORTERO'!I1145+'BLAZE SHIELD II'!$H$16)*LN(J1145))+('BLAZE SHIELD II'!$H$17*('CALCULO MORTERO'!I1145^2)+'BLAZE SHIELD II'!$H$18*'CALCULO MORTERO'!I1145+'BLAZE SHIELD II'!$H$19)),0),0)+ROUND(IF(AND(L1145="Cafco 400",M1145="Software Idiem",C1145="IN",G1145=4),((('CAFCO 400 '!$H$7*(J1145^4)+'CAFCO 400 '!$H$8*(J1145^3)+'CAFCO 400 '!$H$9*(J1145^2)+'CAFCO 400 '!$H$10*J1145+'CAFCO 400 '!$H$11)*U1145^2)+(('CAFCO 400 '!$H$12*(J1145^3)+'CAFCO 400 '!$H$13*(J1145^2)+'CAFCO 400 '!$H$14*J1145+'CAFCO 400 '!$H$15)*U1145)+('CAFCO 400 '!$H$16*(J1145^2)+'CAFCO 400 '!$H$17*J1145+'CAFCO 400 '!$H$18)),0)+IF(AND(L1145="Cafco 400",M1145="Software Idiem",C1145="Cj"),(((('CAFCO 400 '!$D$7*LN(J1145)+'CAFCO 400 '!$D$8)*U1145^2)+(('CAFCO 400 '!$D$9*LN(J1145)+'CAFCO 400 '!$D$10)*U1145)+('CAFCO 400 '!$D$11*LN(J1145)+'CAFCO 400 '!$D$12))),0)+IF(AND(L1145="Cafco 400",M1145="Software Idiem",C1145="C"),((('CAFCO 400 '!$L$7*(J1145^3)+'CAFCO 400 '!$L$8*(J1145^2)+'CAFCO 400 '!$L$9*J1145+'CAFCO 400 '!$L$10)*U1145^2)+(('CAFCO 400 '!$L$11*(J1145^3)+'CAFCO 400 '!$L$12*(J1145^2)+'CAFCO 400 '!$L$13*J1145+'CAFCO 400 '!$L$14)*U1145)+('CAFCO 400 '!$L$15*LN(J1145)+'CAFCO 400 '!$L$16)),0)+IF(AND(L1145="Cafco 400",M1145="Software Idiem",C1145="L"),((('CAFCO 400 '!$L$7*(J1145^3)+'CAFCO 400 '!$L$8*(J1145^2)+'CAFCO 400 '!$L$9*J1145+'CAFCO 400 '!$L$10)*U1145^2)+(('CAFCO 400 '!$L$11*(J1145^3)+'CAFCO 400 '!$L$12*(J1145^2)+'CAFCO 400 '!$L$13*J1145+'CAFCO 400 '!$L$14)*U1145)+('CAFCO 400 '!$L$15*LN(J1145)+'CAFCO 400 '!$L$16)),0)+IF(AND(L1145="Cafco 400",M1145="Software Idiem",C1145="IN",G1145=3),((('CAFCO 400 '!$D$23*(J1145^2)+'CAFCO 400 '!$D$24*(J1145)+'CAFCO 400 '!$D$25)*U1145^2)+(('CAFCO 400 '!$D$26*(J1145^2)+'CAFCO 400 '!$D$27*J1145+'CAFCO 400 '!$D$28)*U1145)+('CAFCO 400 '!$D$29*(J1145^2)+'CAFCO 400 '!$D$30*J1145+'CAFCO 400 '!$D$31)),0),0)+IF(AND(L1145="Cafco 300",J1145&gt;=95,J1145&lt;=240,C1145="Cj",I1145=90),VLOOKUP(T1145,'CAFCO 300 IDIEM TABLAS'!$B$4:$D$23,2,FALSE),0)+IF(AND(L1145="Cafco 300",J1145&gt;=95,J1145&lt;=240,C1145="Cj",I1145=120),VLOOKUP(T1145,'CAFCO 300 IDIEM TABLAS'!$B$4:$D$23,3,FALSE),0)+IF(AND(L1145="Cafco 300",J1145&gt;=95,J1145&lt;=400,G1145=3,C1145="IN",I1145=90),VLOOKUP(T1145,'CAFCO 300 IDIEM TABLAS'!$F$4:$H$35,2,FALSE),0)+IF(AND(L1145="Cafco 300",J1145&gt;=95,J1145&lt;=400,G1145=3,C1145="IN",I1145=120),VLOOKUP(T1145,'CAFCO 300 IDIEM TABLAS'!$F$4:$H$35,3,FALSE),0)+IF(AND(L1145="Cafco 300",J1145&gt;=95,J1145&lt;=450,G1145=4,C1145="IN",I1145=90),VLOOKUP(T1145,'CAFCO 300 IDIEM TABLAS'!$J$4:$L$40,2,FALSE),0)+IF(AND(L1145="Cafco 300",J1145&gt;=95,J1145&lt;=450,G1145=4,C1145="IN",I1145=120),VLOOKUP(T1145,'CAFCO 300 IDIEM TABLAS'!$J$4:$L$40,3,FALSE),0)+IF(AND(M1145="Ensayo Idiem",L1145="Cafco 400",C1145="IN",G1145=4,I1145=90),VLOOKUP(T1145,'CAFCO 400 ENSAYO'!$B$7:$D$43,2,FALSE),0)+IF(AND(M1145="Ensayo Idiem",L1145="Cafco 400",C1145="IN",G1145=4,I1145=120),VLOOKUP(T1145,'CAFCO 400 ENSAYO'!$B$7:$D$43,3,FALSE),0)</f>
        <v>0</v>
      </c>
      <c r="O1145" s="96">
        <f t="shared" si="114"/>
        <v>0</v>
      </c>
      <c r="P1145" s="132" t="str">
        <f t="shared" si="115"/>
        <v>N/A</v>
      </c>
      <c r="Q1145" s="132" t="str">
        <f t="shared" si="116"/>
        <v>N/A</v>
      </c>
      <c r="R1145" s="132" t="str">
        <f t="shared" si="117"/>
        <v>NO CERT.</v>
      </c>
      <c r="S1145" s="132" t="e">
        <f t="shared" si="118"/>
        <v>#N/A</v>
      </c>
      <c r="T1145" s="133" t="e">
        <f>+IF(J1145=LOOKUP(J1145,'CAFCO 300 IDIEM TABLAS'!$J$4:$J$40),'CALCULO MORTERO'!J1145,MROUND('CALCULO MORTERO'!J1145,10))</f>
        <v>#N/A</v>
      </c>
      <c r="U1145" s="134">
        <f t="shared" si="119"/>
        <v>0</v>
      </c>
    </row>
    <row r="1146" spans="1:21" x14ac:dyDescent="0.25">
      <c r="A1146" s="118">
        <f>+CUBICACION!D1140</f>
        <v>0</v>
      </c>
      <c r="B1146" s="819">
        <f>+CUBICACION!E1140</f>
        <v>0</v>
      </c>
      <c r="C1146" s="675">
        <f>+CUBICACION!F1140</f>
        <v>0</v>
      </c>
      <c r="D1146" s="118"/>
      <c r="E1146" s="118"/>
      <c r="F1146" s="820"/>
      <c r="G1146" s="675">
        <f>+CUBICACION!J1140</f>
        <v>0</v>
      </c>
      <c r="H1146" s="118"/>
      <c r="I1146" s="821">
        <f>+CUBICACION!L1140</f>
        <v>0</v>
      </c>
      <c r="J1146" s="64">
        <f>+CUBICACION!M1140</f>
        <v>0</v>
      </c>
      <c r="K1146" s="822" t="str">
        <f>+CUBICACION!N1140</f>
        <v/>
      </c>
      <c r="L1146" s="118">
        <f>+CUBICACION!O1140</f>
        <v>0</v>
      </c>
      <c r="M1146" s="823">
        <f>+CUBICACION!P1140</f>
        <v>0</v>
      </c>
      <c r="N1146" s="902">
        <f>ROUND(IF(AND(L1146="Blaze Shield II",M1146="Software Idiem",C1146="IN",G1146=4),((('BLAZE SHIELD II'!$D$4*('CALCULO MORTERO'!I1146^2)+'BLAZE SHIELD II'!$D$5*'CALCULO MORTERO'!I1146+'BLAZE SHIELD II'!$D$6)*LN(J1146))+('BLAZE SHIELD II'!$D$7*('CALCULO MORTERO'!I1146^2)+'BLAZE SHIELD II'!$D$8*'CALCULO MORTERO'!I1146+'BLAZE SHIELD II'!$D$9)),0)+IF(AND(L1146="Blaze Shield II",M1146="Software Idiem",C1146="Cj"),((('BLAZE SHIELD II'!$H$4*('CALCULO MORTERO'!I1146^2)+'BLAZE SHIELD II'!$H$5*'CALCULO MORTERO'!I1146+'BLAZE SHIELD II'!$H$6)*LN(J1146))+('BLAZE SHIELD II'!$H$7*('CALCULO MORTERO'!I1146^2)+'BLAZE SHIELD II'!$H$8*'CALCULO MORTERO'!I1146+'BLAZE SHIELD II'!$H$9)),0)+IF(AND(L1146="Blaze Shield II",M1146="Software Idiem",C1146="C"),((('BLAZE SHIELD II'!$L$4*('CALCULO MORTERO'!I1146^2)+'BLAZE SHIELD II'!$L$5*'CALCULO MORTERO'!I1146+'BLAZE SHIELD II'!$L$6)*LN(J1146))+('BLAZE SHIELD II'!$L$7*('CALCULO MORTERO'!I1146^2)+'BLAZE SHIELD II'!$L$8*'CALCULO MORTERO'!I1146+'BLAZE SHIELD II'!$L$9)),0)+IF(AND(L1146="Blaze Shield II",M1146="Software Idiem",C1146="L"),((('BLAZE SHIELD II'!$L$4*('CALCULO MORTERO'!I1146^2)+'BLAZE SHIELD II'!$L$5*'CALCULO MORTERO'!I1146+'BLAZE SHIELD II'!$L$6)*LN(J1146))+('BLAZE SHIELD II'!$L$7*('CALCULO MORTERO'!I1146^2)+'BLAZE SHIELD II'!$L$8*'CALCULO MORTERO'!I1146+'BLAZE SHIELD II'!$L$9)),0)+IF(AND(L1146="Blaze Shield II",M1146="Software Idiem",C1146="IN",G1146=3),((('BLAZE SHIELD II'!$H$14*('CALCULO MORTERO'!I1146^2)+'BLAZE SHIELD II'!$H$15*'CALCULO MORTERO'!I1146+'BLAZE SHIELD II'!$H$16)*LN(J1146))+('BLAZE SHIELD II'!$H$17*('CALCULO MORTERO'!I1146^2)+'BLAZE SHIELD II'!$H$18*'CALCULO MORTERO'!I1146+'BLAZE SHIELD II'!$H$19)),0),0)+ROUND(IF(AND(L1146="Cafco 400",M1146="Software Idiem",C1146="IN",G1146=4),((('CAFCO 400 '!$H$7*(J1146^4)+'CAFCO 400 '!$H$8*(J1146^3)+'CAFCO 400 '!$H$9*(J1146^2)+'CAFCO 400 '!$H$10*J1146+'CAFCO 400 '!$H$11)*U1146^2)+(('CAFCO 400 '!$H$12*(J1146^3)+'CAFCO 400 '!$H$13*(J1146^2)+'CAFCO 400 '!$H$14*J1146+'CAFCO 400 '!$H$15)*U1146)+('CAFCO 400 '!$H$16*(J1146^2)+'CAFCO 400 '!$H$17*J1146+'CAFCO 400 '!$H$18)),0)+IF(AND(L1146="Cafco 400",M1146="Software Idiem",C1146="Cj"),(((('CAFCO 400 '!$D$7*LN(J1146)+'CAFCO 400 '!$D$8)*U1146^2)+(('CAFCO 400 '!$D$9*LN(J1146)+'CAFCO 400 '!$D$10)*U1146)+('CAFCO 400 '!$D$11*LN(J1146)+'CAFCO 400 '!$D$12))),0)+IF(AND(L1146="Cafco 400",M1146="Software Idiem",C1146="C"),((('CAFCO 400 '!$L$7*(J1146^3)+'CAFCO 400 '!$L$8*(J1146^2)+'CAFCO 400 '!$L$9*J1146+'CAFCO 400 '!$L$10)*U1146^2)+(('CAFCO 400 '!$L$11*(J1146^3)+'CAFCO 400 '!$L$12*(J1146^2)+'CAFCO 400 '!$L$13*J1146+'CAFCO 400 '!$L$14)*U1146)+('CAFCO 400 '!$L$15*LN(J1146)+'CAFCO 400 '!$L$16)),0)+IF(AND(L1146="Cafco 400",M1146="Software Idiem",C1146="L"),((('CAFCO 400 '!$L$7*(J1146^3)+'CAFCO 400 '!$L$8*(J1146^2)+'CAFCO 400 '!$L$9*J1146+'CAFCO 400 '!$L$10)*U1146^2)+(('CAFCO 400 '!$L$11*(J1146^3)+'CAFCO 400 '!$L$12*(J1146^2)+'CAFCO 400 '!$L$13*J1146+'CAFCO 400 '!$L$14)*U1146)+('CAFCO 400 '!$L$15*LN(J1146)+'CAFCO 400 '!$L$16)),0)+IF(AND(L1146="Cafco 400",M1146="Software Idiem",C1146="IN",G1146=3),((('CAFCO 400 '!$D$23*(J1146^2)+'CAFCO 400 '!$D$24*(J1146)+'CAFCO 400 '!$D$25)*U1146^2)+(('CAFCO 400 '!$D$26*(J1146^2)+'CAFCO 400 '!$D$27*J1146+'CAFCO 400 '!$D$28)*U1146)+('CAFCO 400 '!$D$29*(J1146^2)+'CAFCO 400 '!$D$30*J1146+'CAFCO 400 '!$D$31)),0),0)+IF(AND(L1146="Cafco 300",J1146&gt;=95,J1146&lt;=240,C1146="Cj",I1146=90),VLOOKUP(T1146,'CAFCO 300 IDIEM TABLAS'!$B$4:$D$23,2,FALSE),0)+IF(AND(L1146="Cafco 300",J1146&gt;=95,J1146&lt;=240,C1146="Cj",I1146=120),VLOOKUP(T1146,'CAFCO 300 IDIEM TABLAS'!$B$4:$D$23,3,FALSE),0)+IF(AND(L1146="Cafco 300",J1146&gt;=95,J1146&lt;=400,G1146=3,C1146="IN",I1146=90),VLOOKUP(T1146,'CAFCO 300 IDIEM TABLAS'!$F$4:$H$35,2,FALSE),0)+IF(AND(L1146="Cafco 300",J1146&gt;=95,J1146&lt;=400,G1146=3,C1146="IN",I1146=120),VLOOKUP(T1146,'CAFCO 300 IDIEM TABLAS'!$F$4:$H$35,3,FALSE),0)+IF(AND(L1146="Cafco 300",J1146&gt;=95,J1146&lt;=450,G1146=4,C1146="IN",I1146=90),VLOOKUP(T1146,'CAFCO 300 IDIEM TABLAS'!$J$4:$L$40,2,FALSE),0)+IF(AND(L1146="Cafco 300",J1146&gt;=95,J1146&lt;=450,G1146=4,C1146="IN",I1146=120),VLOOKUP(T1146,'CAFCO 300 IDIEM TABLAS'!$J$4:$L$40,3,FALSE),0)+IF(AND(M1146="Ensayo Idiem",L1146="Cafco 400",C1146="IN",G1146=4,I1146=90),VLOOKUP(T1146,'CAFCO 400 ENSAYO'!$B$7:$D$43,2,FALSE),0)+IF(AND(M1146="Ensayo Idiem",L1146="Cafco 400",C1146="IN",G1146=4,I1146=120),VLOOKUP(T1146,'CAFCO 400 ENSAYO'!$B$7:$D$43,3,FALSE),0)</f>
        <v>0</v>
      </c>
      <c r="O1146" s="96">
        <f t="shared" si="114"/>
        <v>0</v>
      </c>
      <c r="P1146" s="95" t="str">
        <f t="shared" si="115"/>
        <v>N/A</v>
      </c>
      <c r="Q1146" s="95" t="str">
        <f t="shared" si="116"/>
        <v>N/A</v>
      </c>
      <c r="R1146" s="95" t="str">
        <f t="shared" si="117"/>
        <v>NO CERT.</v>
      </c>
      <c r="S1146" s="95" t="e">
        <f t="shared" si="118"/>
        <v>#N/A</v>
      </c>
      <c r="T1146" s="119" t="e">
        <f>+IF(J1146=LOOKUP(J1146,'CAFCO 300 IDIEM TABLAS'!$J$4:$J$40),'CALCULO MORTERO'!J1146,MROUND('CALCULO MORTERO'!J1146,10))</f>
        <v>#N/A</v>
      </c>
      <c r="U1146" s="118">
        <f t="shared" si="119"/>
        <v>0</v>
      </c>
    </row>
    <row r="1147" spans="1:21" x14ac:dyDescent="0.25">
      <c r="A1147" s="118">
        <f>+CUBICACION!D1141</f>
        <v>0</v>
      </c>
      <c r="B1147" s="819">
        <f>+CUBICACION!E1141</f>
        <v>0</v>
      </c>
      <c r="C1147" s="675">
        <f>+CUBICACION!F1141</f>
        <v>0</v>
      </c>
      <c r="D1147" s="118"/>
      <c r="E1147" s="118"/>
      <c r="F1147" s="820"/>
      <c r="G1147" s="675">
        <f>+CUBICACION!J1141</f>
        <v>0</v>
      </c>
      <c r="H1147" s="118"/>
      <c r="I1147" s="821">
        <f>+CUBICACION!L1141</f>
        <v>0</v>
      </c>
      <c r="J1147" s="64">
        <f>+CUBICACION!M1141</f>
        <v>0</v>
      </c>
      <c r="K1147" s="822" t="str">
        <f>+CUBICACION!N1141</f>
        <v/>
      </c>
      <c r="L1147" s="118">
        <f>+CUBICACION!O1141</f>
        <v>0</v>
      </c>
      <c r="M1147" s="823">
        <f>+CUBICACION!P1141</f>
        <v>0</v>
      </c>
      <c r="N1147" s="902">
        <f>ROUND(IF(AND(L1147="Blaze Shield II",M1147="Software Idiem",C1147="IN",G1147=4),((('BLAZE SHIELD II'!$D$4*('CALCULO MORTERO'!I1147^2)+'BLAZE SHIELD II'!$D$5*'CALCULO MORTERO'!I1147+'BLAZE SHIELD II'!$D$6)*LN(J1147))+('BLAZE SHIELD II'!$D$7*('CALCULO MORTERO'!I1147^2)+'BLAZE SHIELD II'!$D$8*'CALCULO MORTERO'!I1147+'BLAZE SHIELD II'!$D$9)),0)+IF(AND(L1147="Blaze Shield II",M1147="Software Idiem",C1147="Cj"),((('BLAZE SHIELD II'!$H$4*('CALCULO MORTERO'!I1147^2)+'BLAZE SHIELD II'!$H$5*'CALCULO MORTERO'!I1147+'BLAZE SHIELD II'!$H$6)*LN(J1147))+('BLAZE SHIELD II'!$H$7*('CALCULO MORTERO'!I1147^2)+'BLAZE SHIELD II'!$H$8*'CALCULO MORTERO'!I1147+'BLAZE SHIELD II'!$H$9)),0)+IF(AND(L1147="Blaze Shield II",M1147="Software Idiem",C1147="C"),((('BLAZE SHIELD II'!$L$4*('CALCULO MORTERO'!I1147^2)+'BLAZE SHIELD II'!$L$5*'CALCULO MORTERO'!I1147+'BLAZE SHIELD II'!$L$6)*LN(J1147))+('BLAZE SHIELD II'!$L$7*('CALCULO MORTERO'!I1147^2)+'BLAZE SHIELD II'!$L$8*'CALCULO MORTERO'!I1147+'BLAZE SHIELD II'!$L$9)),0)+IF(AND(L1147="Blaze Shield II",M1147="Software Idiem",C1147="L"),((('BLAZE SHIELD II'!$L$4*('CALCULO MORTERO'!I1147^2)+'BLAZE SHIELD II'!$L$5*'CALCULO MORTERO'!I1147+'BLAZE SHIELD II'!$L$6)*LN(J1147))+('BLAZE SHIELD II'!$L$7*('CALCULO MORTERO'!I1147^2)+'BLAZE SHIELD II'!$L$8*'CALCULO MORTERO'!I1147+'BLAZE SHIELD II'!$L$9)),0)+IF(AND(L1147="Blaze Shield II",M1147="Software Idiem",C1147="IN",G1147=3),((('BLAZE SHIELD II'!$H$14*('CALCULO MORTERO'!I1147^2)+'BLAZE SHIELD II'!$H$15*'CALCULO MORTERO'!I1147+'BLAZE SHIELD II'!$H$16)*LN(J1147))+('BLAZE SHIELD II'!$H$17*('CALCULO MORTERO'!I1147^2)+'BLAZE SHIELD II'!$H$18*'CALCULO MORTERO'!I1147+'BLAZE SHIELD II'!$H$19)),0),0)+ROUND(IF(AND(L1147="Cafco 400",M1147="Software Idiem",C1147="IN",G1147=4),((('CAFCO 400 '!$H$7*(J1147^4)+'CAFCO 400 '!$H$8*(J1147^3)+'CAFCO 400 '!$H$9*(J1147^2)+'CAFCO 400 '!$H$10*J1147+'CAFCO 400 '!$H$11)*U1147^2)+(('CAFCO 400 '!$H$12*(J1147^3)+'CAFCO 400 '!$H$13*(J1147^2)+'CAFCO 400 '!$H$14*J1147+'CAFCO 400 '!$H$15)*U1147)+('CAFCO 400 '!$H$16*(J1147^2)+'CAFCO 400 '!$H$17*J1147+'CAFCO 400 '!$H$18)),0)+IF(AND(L1147="Cafco 400",M1147="Software Idiem",C1147="Cj"),(((('CAFCO 400 '!$D$7*LN(J1147)+'CAFCO 400 '!$D$8)*U1147^2)+(('CAFCO 400 '!$D$9*LN(J1147)+'CAFCO 400 '!$D$10)*U1147)+('CAFCO 400 '!$D$11*LN(J1147)+'CAFCO 400 '!$D$12))),0)+IF(AND(L1147="Cafco 400",M1147="Software Idiem",C1147="C"),((('CAFCO 400 '!$L$7*(J1147^3)+'CAFCO 400 '!$L$8*(J1147^2)+'CAFCO 400 '!$L$9*J1147+'CAFCO 400 '!$L$10)*U1147^2)+(('CAFCO 400 '!$L$11*(J1147^3)+'CAFCO 400 '!$L$12*(J1147^2)+'CAFCO 400 '!$L$13*J1147+'CAFCO 400 '!$L$14)*U1147)+('CAFCO 400 '!$L$15*LN(J1147)+'CAFCO 400 '!$L$16)),0)+IF(AND(L1147="Cafco 400",M1147="Software Idiem",C1147="L"),((('CAFCO 400 '!$L$7*(J1147^3)+'CAFCO 400 '!$L$8*(J1147^2)+'CAFCO 400 '!$L$9*J1147+'CAFCO 400 '!$L$10)*U1147^2)+(('CAFCO 400 '!$L$11*(J1147^3)+'CAFCO 400 '!$L$12*(J1147^2)+'CAFCO 400 '!$L$13*J1147+'CAFCO 400 '!$L$14)*U1147)+('CAFCO 400 '!$L$15*LN(J1147)+'CAFCO 400 '!$L$16)),0)+IF(AND(L1147="Cafco 400",M1147="Software Idiem",C1147="IN",G1147=3),((('CAFCO 400 '!$D$23*(J1147^2)+'CAFCO 400 '!$D$24*(J1147)+'CAFCO 400 '!$D$25)*U1147^2)+(('CAFCO 400 '!$D$26*(J1147^2)+'CAFCO 400 '!$D$27*J1147+'CAFCO 400 '!$D$28)*U1147)+('CAFCO 400 '!$D$29*(J1147^2)+'CAFCO 400 '!$D$30*J1147+'CAFCO 400 '!$D$31)),0),0)+IF(AND(L1147="Cafco 300",J1147&gt;=95,J1147&lt;=240,C1147="Cj",I1147=90),VLOOKUP(T1147,'CAFCO 300 IDIEM TABLAS'!$B$4:$D$23,2,FALSE),0)+IF(AND(L1147="Cafco 300",J1147&gt;=95,J1147&lt;=240,C1147="Cj",I1147=120),VLOOKUP(T1147,'CAFCO 300 IDIEM TABLAS'!$B$4:$D$23,3,FALSE),0)+IF(AND(L1147="Cafco 300",J1147&gt;=95,J1147&lt;=400,G1147=3,C1147="IN",I1147=90),VLOOKUP(T1147,'CAFCO 300 IDIEM TABLAS'!$F$4:$H$35,2,FALSE),0)+IF(AND(L1147="Cafco 300",J1147&gt;=95,J1147&lt;=400,G1147=3,C1147="IN",I1147=120),VLOOKUP(T1147,'CAFCO 300 IDIEM TABLAS'!$F$4:$H$35,3,FALSE),0)+IF(AND(L1147="Cafco 300",J1147&gt;=95,J1147&lt;=450,G1147=4,C1147="IN",I1147=90),VLOOKUP(T1147,'CAFCO 300 IDIEM TABLAS'!$J$4:$L$40,2,FALSE),0)+IF(AND(L1147="Cafco 300",J1147&gt;=95,J1147&lt;=450,G1147=4,C1147="IN",I1147=120),VLOOKUP(T1147,'CAFCO 300 IDIEM TABLAS'!$J$4:$L$40,3,FALSE),0)+IF(AND(M1147="Ensayo Idiem",L1147="Cafco 400",C1147="IN",G1147=4,I1147=90),VLOOKUP(T1147,'CAFCO 400 ENSAYO'!$B$7:$D$43,2,FALSE),0)+IF(AND(M1147="Ensayo Idiem",L1147="Cafco 400",C1147="IN",G1147=4,I1147=120),VLOOKUP(T1147,'CAFCO 400 ENSAYO'!$B$7:$D$43,3,FALSE),0)</f>
        <v>0</v>
      </c>
      <c r="O1147" s="96">
        <f t="shared" si="114"/>
        <v>0</v>
      </c>
      <c r="P1147" s="132" t="str">
        <f t="shared" si="115"/>
        <v>N/A</v>
      </c>
      <c r="Q1147" s="132" t="str">
        <f t="shared" si="116"/>
        <v>N/A</v>
      </c>
      <c r="R1147" s="132" t="str">
        <f t="shared" si="117"/>
        <v>NO CERT.</v>
      </c>
      <c r="S1147" s="132" t="e">
        <f t="shared" si="118"/>
        <v>#N/A</v>
      </c>
      <c r="T1147" s="133" t="e">
        <f>+IF(J1147=LOOKUP(J1147,'CAFCO 300 IDIEM TABLAS'!$J$4:$J$40),'CALCULO MORTERO'!J1147,MROUND('CALCULO MORTERO'!J1147,10))</f>
        <v>#N/A</v>
      </c>
      <c r="U1147" s="134">
        <f t="shared" si="119"/>
        <v>0</v>
      </c>
    </row>
    <row r="1148" spans="1:21" x14ac:dyDescent="0.25">
      <c r="A1148" s="118">
        <f>+CUBICACION!D1142</f>
        <v>0</v>
      </c>
      <c r="B1148" s="819">
        <f>+CUBICACION!E1142</f>
        <v>0</v>
      </c>
      <c r="C1148" s="675">
        <f>+CUBICACION!F1142</f>
        <v>0</v>
      </c>
      <c r="D1148" s="118"/>
      <c r="E1148" s="118"/>
      <c r="F1148" s="820"/>
      <c r="G1148" s="675">
        <f>+CUBICACION!J1142</f>
        <v>0</v>
      </c>
      <c r="H1148" s="118"/>
      <c r="I1148" s="821">
        <f>+CUBICACION!L1142</f>
        <v>0</v>
      </c>
      <c r="J1148" s="64">
        <f>+CUBICACION!M1142</f>
        <v>0</v>
      </c>
      <c r="K1148" s="822" t="str">
        <f>+CUBICACION!N1142</f>
        <v/>
      </c>
      <c r="L1148" s="118">
        <f>+CUBICACION!O1142</f>
        <v>0</v>
      </c>
      <c r="M1148" s="823">
        <f>+CUBICACION!P1142</f>
        <v>0</v>
      </c>
      <c r="N1148" s="902">
        <f>ROUND(IF(AND(L1148="Blaze Shield II",M1148="Software Idiem",C1148="IN",G1148=4),((('BLAZE SHIELD II'!$D$4*('CALCULO MORTERO'!I1148^2)+'BLAZE SHIELD II'!$D$5*'CALCULO MORTERO'!I1148+'BLAZE SHIELD II'!$D$6)*LN(J1148))+('BLAZE SHIELD II'!$D$7*('CALCULO MORTERO'!I1148^2)+'BLAZE SHIELD II'!$D$8*'CALCULO MORTERO'!I1148+'BLAZE SHIELD II'!$D$9)),0)+IF(AND(L1148="Blaze Shield II",M1148="Software Idiem",C1148="Cj"),((('BLAZE SHIELD II'!$H$4*('CALCULO MORTERO'!I1148^2)+'BLAZE SHIELD II'!$H$5*'CALCULO MORTERO'!I1148+'BLAZE SHIELD II'!$H$6)*LN(J1148))+('BLAZE SHIELD II'!$H$7*('CALCULO MORTERO'!I1148^2)+'BLAZE SHIELD II'!$H$8*'CALCULO MORTERO'!I1148+'BLAZE SHIELD II'!$H$9)),0)+IF(AND(L1148="Blaze Shield II",M1148="Software Idiem",C1148="C"),((('BLAZE SHIELD II'!$L$4*('CALCULO MORTERO'!I1148^2)+'BLAZE SHIELD II'!$L$5*'CALCULO MORTERO'!I1148+'BLAZE SHIELD II'!$L$6)*LN(J1148))+('BLAZE SHIELD II'!$L$7*('CALCULO MORTERO'!I1148^2)+'BLAZE SHIELD II'!$L$8*'CALCULO MORTERO'!I1148+'BLAZE SHIELD II'!$L$9)),0)+IF(AND(L1148="Blaze Shield II",M1148="Software Idiem",C1148="L"),((('BLAZE SHIELD II'!$L$4*('CALCULO MORTERO'!I1148^2)+'BLAZE SHIELD II'!$L$5*'CALCULO MORTERO'!I1148+'BLAZE SHIELD II'!$L$6)*LN(J1148))+('BLAZE SHIELD II'!$L$7*('CALCULO MORTERO'!I1148^2)+'BLAZE SHIELD II'!$L$8*'CALCULO MORTERO'!I1148+'BLAZE SHIELD II'!$L$9)),0)+IF(AND(L1148="Blaze Shield II",M1148="Software Idiem",C1148="IN",G1148=3),((('BLAZE SHIELD II'!$H$14*('CALCULO MORTERO'!I1148^2)+'BLAZE SHIELD II'!$H$15*'CALCULO MORTERO'!I1148+'BLAZE SHIELD II'!$H$16)*LN(J1148))+('BLAZE SHIELD II'!$H$17*('CALCULO MORTERO'!I1148^2)+'BLAZE SHIELD II'!$H$18*'CALCULO MORTERO'!I1148+'BLAZE SHIELD II'!$H$19)),0),0)+ROUND(IF(AND(L1148="Cafco 400",M1148="Software Idiem",C1148="IN",G1148=4),((('CAFCO 400 '!$H$7*(J1148^4)+'CAFCO 400 '!$H$8*(J1148^3)+'CAFCO 400 '!$H$9*(J1148^2)+'CAFCO 400 '!$H$10*J1148+'CAFCO 400 '!$H$11)*U1148^2)+(('CAFCO 400 '!$H$12*(J1148^3)+'CAFCO 400 '!$H$13*(J1148^2)+'CAFCO 400 '!$H$14*J1148+'CAFCO 400 '!$H$15)*U1148)+('CAFCO 400 '!$H$16*(J1148^2)+'CAFCO 400 '!$H$17*J1148+'CAFCO 400 '!$H$18)),0)+IF(AND(L1148="Cafco 400",M1148="Software Idiem",C1148="Cj"),(((('CAFCO 400 '!$D$7*LN(J1148)+'CAFCO 400 '!$D$8)*U1148^2)+(('CAFCO 400 '!$D$9*LN(J1148)+'CAFCO 400 '!$D$10)*U1148)+('CAFCO 400 '!$D$11*LN(J1148)+'CAFCO 400 '!$D$12))),0)+IF(AND(L1148="Cafco 400",M1148="Software Idiem",C1148="C"),((('CAFCO 400 '!$L$7*(J1148^3)+'CAFCO 400 '!$L$8*(J1148^2)+'CAFCO 400 '!$L$9*J1148+'CAFCO 400 '!$L$10)*U1148^2)+(('CAFCO 400 '!$L$11*(J1148^3)+'CAFCO 400 '!$L$12*(J1148^2)+'CAFCO 400 '!$L$13*J1148+'CAFCO 400 '!$L$14)*U1148)+('CAFCO 400 '!$L$15*LN(J1148)+'CAFCO 400 '!$L$16)),0)+IF(AND(L1148="Cafco 400",M1148="Software Idiem",C1148="L"),((('CAFCO 400 '!$L$7*(J1148^3)+'CAFCO 400 '!$L$8*(J1148^2)+'CAFCO 400 '!$L$9*J1148+'CAFCO 400 '!$L$10)*U1148^2)+(('CAFCO 400 '!$L$11*(J1148^3)+'CAFCO 400 '!$L$12*(J1148^2)+'CAFCO 400 '!$L$13*J1148+'CAFCO 400 '!$L$14)*U1148)+('CAFCO 400 '!$L$15*LN(J1148)+'CAFCO 400 '!$L$16)),0)+IF(AND(L1148="Cafco 400",M1148="Software Idiem",C1148="IN",G1148=3),((('CAFCO 400 '!$D$23*(J1148^2)+'CAFCO 400 '!$D$24*(J1148)+'CAFCO 400 '!$D$25)*U1148^2)+(('CAFCO 400 '!$D$26*(J1148^2)+'CAFCO 400 '!$D$27*J1148+'CAFCO 400 '!$D$28)*U1148)+('CAFCO 400 '!$D$29*(J1148^2)+'CAFCO 400 '!$D$30*J1148+'CAFCO 400 '!$D$31)),0),0)+IF(AND(L1148="Cafco 300",J1148&gt;=95,J1148&lt;=240,C1148="Cj",I1148=90),VLOOKUP(T1148,'CAFCO 300 IDIEM TABLAS'!$B$4:$D$23,2,FALSE),0)+IF(AND(L1148="Cafco 300",J1148&gt;=95,J1148&lt;=240,C1148="Cj",I1148=120),VLOOKUP(T1148,'CAFCO 300 IDIEM TABLAS'!$B$4:$D$23,3,FALSE),0)+IF(AND(L1148="Cafco 300",J1148&gt;=95,J1148&lt;=400,G1148=3,C1148="IN",I1148=90),VLOOKUP(T1148,'CAFCO 300 IDIEM TABLAS'!$F$4:$H$35,2,FALSE),0)+IF(AND(L1148="Cafco 300",J1148&gt;=95,J1148&lt;=400,G1148=3,C1148="IN",I1148=120),VLOOKUP(T1148,'CAFCO 300 IDIEM TABLAS'!$F$4:$H$35,3,FALSE),0)+IF(AND(L1148="Cafco 300",J1148&gt;=95,J1148&lt;=450,G1148=4,C1148="IN",I1148=90),VLOOKUP(T1148,'CAFCO 300 IDIEM TABLAS'!$J$4:$L$40,2,FALSE),0)+IF(AND(L1148="Cafco 300",J1148&gt;=95,J1148&lt;=450,G1148=4,C1148="IN",I1148=120),VLOOKUP(T1148,'CAFCO 300 IDIEM TABLAS'!$J$4:$L$40,3,FALSE),0)+IF(AND(M1148="Ensayo Idiem",L1148="Cafco 400",C1148="IN",G1148=4,I1148=90),VLOOKUP(T1148,'CAFCO 400 ENSAYO'!$B$7:$D$43,2,FALSE),0)+IF(AND(M1148="Ensayo Idiem",L1148="Cafco 400",C1148="IN",G1148=4,I1148=120),VLOOKUP(T1148,'CAFCO 400 ENSAYO'!$B$7:$D$43,3,FALSE),0)</f>
        <v>0</v>
      </c>
      <c r="O1148" s="96">
        <f t="shared" si="114"/>
        <v>0</v>
      </c>
      <c r="P1148" s="95" t="str">
        <f t="shared" si="115"/>
        <v>N/A</v>
      </c>
      <c r="Q1148" s="95" t="str">
        <f t="shared" si="116"/>
        <v>N/A</v>
      </c>
      <c r="R1148" s="95" t="str">
        <f t="shared" si="117"/>
        <v>NO CERT.</v>
      </c>
      <c r="S1148" s="95" t="e">
        <f t="shared" si="118"/>
        <v>#N/A</v>
      </c>
      <c r="T1148" s="119" t="e">
        <f>+IF(J1148=LOOKUP(J1148,'CAFCO 300 IDIEM TABLAS'!$J$4:$J$40),'CALCULO MORTERO'!J1148,MROUND('CALCULO MORTERO'!J1148,10))</f>
        <v>#N/A</v>
      </c>
      <c r="U1148" s="118">
        <f t="shared" si="119"/>
        <v>0</v>
      </c>
    </row>
    <row r="1149" spans="1:21" x14ac:dyDescent="0.25">
      <c r="A1149" s="118">
        <f>+CUBICACION!D1143</f>
        <v>0</v>
      </c>
      <c r="B1149" s="819">
        <f>+CUBICACION!E1143</f>
        <v>0</v>
      </c>
      <c r="C1149" s="675">
        <f>+CUBICACION!F1143</f>
        <v>0</v>
      </c>
      <c r="D1149" s="118"/>
      <c r="E1149" s="118"/>
      <c r="F1149" s="820"/>
      <c r="G1149" s="675">
        <f>+CUBICACION!J1143</f>
        <v>0</v>
      </c>
      <c r="H1149" s="118"/>
      <c r="I1149" s="821">
        <f>+CUBICACION!L1143</f>
        <v>0</v>
      </c>
      <c r="J1149" s="64">
        <f>+CUBICACION!M1143</f>
        <v>0</v>
      </c>
      <c r="K1149" s="822" t="str">
        <f>+CUBICACION!N1143</f>
        <v/>
      </c>
      <c r="L1149" s="118">
        <f>+CUBICACION!O1143</f>
        <v>0</v>
      </c>
      <c r="M1149" s="823">
        <f>+CUBICACION!P1143</f>
        <v>0</v>
      </c>
      <c r="N1149" s="902">
        <f>ROUND(IF(AND(L1149="Blaze Shield II",M1149="Software Idiem",C1149="IN",G1149=4),((('BLAZE SHIELD II'!$D$4*('CALCULO MORTERO'!I1149^2)+'BLAZE SHIELD II'!$D$5*'CALCULO MORTERO'!I1149+'BLAZE SHIELD II'!$D$6)*LN(J1149))+('BLAZE SHIELD II'!$D$7*('CALCULO MORTERO'!I1149^2)+'BLAZE SHIELD II'!$D$8*'CALCULO MORTERO'!I1149+'BLAZE SHIELD II'!$D$9)),0)+IF(AND(L1149="Blaze Shield II",M1149="Software Idiem",C1149="Cj"),((('BLAZE SHIELD II'!$H$4*('CALCULO MORTERO'!I1149^2)+'BLAZE SHIELD II'!$H$5*'CALCULO MORTERO'!I1149+'BLAZE SHIELD II'!$H$6)*LN(J1149))+('BLAZE SHIELD II'!$H$7*('CALCULO MORTERO'!I1149^2)+'BLAZE SHIELD II'!$H$8*'CALCULO MORTERO'!I1149+'BLAZE SHIELD II'!$H$9)),0)+IF(AND(L1149="Blaze Shield II",M1149="Software Idiem",C1149="C"),((('BLAZE SHIELD II'!$L$4*('CALCULO MORTERO'!I1149^2)+'BLAZE SHIELD II'!$L$5*'CALCULO MORTERO'!I1149+'BLAZE SHIELD II'!$L$6)*LN(J1149))+('BLAZE SHIELD II'!$L$7*('CALCULO MORTERO'!I1149^2)+'BLAZE SHIELD II'!$L$8*'CALCULO MORTERO'!I1149+'BLAZE SHIELD II'!$L$9)),0)+IF(AND(L1149="Blaze Shield II",M1149="Software Idiem",C1149="L"),((('BLAZE SHIELD II'!$L$4*('CALCULO MORTERO'!I1149^2)+'BLAZE SHIELD II'!$L$5*'CALCULO MORTERO'!I1149+'BLAZE SHIELD II'!$L$6)*LN(J1149))+('BLAZE SHIELD II'!$L$7*('CALCULO MORTERO'!I1149^2)+'BLAZE SHIELD II'!$L$8*'CALCULO MORTERO'!I1149+'BLAZE SHIELD II'!$L$9)),0)+IF(AND(L1149="Blaze Shield II",M1149="Software Idiem",C1149="IN",G1149=3),((('BLAZE SHIELD II'!$H$14*('CALCULO MORTERO'!I1149^2)+'BLAZE SHIELD II'!$H$15*'CALCULO MORTERO'!I1149+'BLAZE SHIELD II'!$H$16)*LN(J1149))+('BLAZE SHIELD II'!$H$17*('CALCULO MORTERO'!I1149^2)+'BLAZE SHIELD II'!$H$18*'CALCULO MORTERO'!I1149+'BLAZE SHIELD II'!$H$19)),0),0)+ROUND(IF(AND(L1149="Cafco 400",M1149="Software Idiem",C1149="IN",G1149=4),((('CAFCO 400 '!$H$7*(J1149^4)+'CAFCO 400 '!$H$8*(J1149^3)+'CAFCO 400 '!$H$9*(J1149^2)+'CAFCO 400 '!$H$10*J1149+'CAFCO 400 '!$H$11)*U1149^2)+(('CAFCO 400 '!$H$12*(J1149^3)+'CAFCO 400 '!$H$13*(J1149^2)+'CAFCO 400 '!$H$14*J1149+'CAFCO 400 '!$H$15)*U1149)+('CAFCO 400 '!$H$16*(J1149^2)+'CAFCO 400 '!$H$17*J1149+'CAFCO 400 '!$H$18)),0)+IF(AND(L1149="Cafco 400",M1149="Software Idiem",C1149="Cj"),(((('CAFCO 400 '!$D$7*LN(J1149)+'CAFCO 400 '!$D$8)*U1149^2)+(('CAFCO 400 '!$D$9*LN(J1149)+'CAFCO 400 '!$D$10)*U1149)+('CAFCO 400 '!$D$11*LN(J1149)+'CAFCO 400 '!$D$12))),0)+IF(AND(L1149="Cafco 400",M1149="Software Idiem",C1149="C"),((('CAFCO 400 '!$L$7*(J1149^3)+'CAFCO 400 '!$L$8*(J1149^2)+'CAFCO 400 '!$L$9*J1149+'CAFCO 400 '!$L$10)*U1149^2)+(('CAFCO 400 '!$L$11*(J1149^3)+'CAFCO 400 '!$L$12*(J1149^2)+'CAFCO 400 '!$L$13*J1149+'CAFCO 400 '!$L$14)*U1149)+('CAFCO 400 '!$L$15*LN(J1149)+'CAFCO 400 '!$L$16)),0)+IF(AND(L1149="Cafco 400",M1149="Software Idiem",C1149="L"),((('CAFCO 400 '!$L$7*(J1149^3)+'CAFCO 400 '!$L$8*(J1149^2)+'CAFCO 400 '!$L$9*J1149+'CAFCO 400 '!$L$10)*U1149^2)+(('CAFCO 400 '!$L$11*(J1149^3)+'CAFCO 400 '!$L$12*(J1149^2)+'CAFCO 400 '!$L$13*J1149+'CAFCO 400 '!$L$14)*U1149)+('CAFCO 400 '!$L$15*LN(J1149)+'CAFCO 400 '!$L$16)),0)+IF(AND(L1149="Cafco 400",M1149="Software Idiem",C1149="IN",G1149=3),((('CAFCO 400 '!$D$23*(J1149^2)+'CAFCO 400 '!$D$24*(J1149)+'CAFCO 400 '!$D$25)*U1149^2)+(('CAFCO 400 '!$D$26*(J1149^2)+'CAFCO 400 '!$D$27*J1149+'CAFCO 400 '!$D$28)*U1149)+('CAFCO 400 '!$D$29*(J1149^2)+'CAFCO 400 '!$D$30*J1149+'CAFCO 400 '!$D$31)),0),0)+IF(AND(L1149="Cafco 300",J1149&gt;=95,J1149&lt;=240,C1149="Cj",I1149=90),VLOOKUP(T1149,'CAFCO 300 IDIEM TABLAS'!$B$4:$D$23,2,FALSE),0)+IF(AND(L1149="Cafco 300",J1149&gt;=95,J1149&lt;=240,C1149="Cj",I1149=120),VLOOKUP(T1149,'CAFCO 300 IDIEM TABLAS'!$B$4:$D$23,3,FALSE),0)+IF(AND(L1149="Cafco 300",J1149&gt;=95,J1149&lt;=400,G1149=3,C1149="IN",I1149=90),VLOOKUP(T1149,'CAFCO 300 IDIEM TABLAS'!$F$4:$H$35,2,FALSE),0)+IF(AND(L1149="Cafco 300",J1149&gt;=95,J1149&lt;=400,G1149=3,C1149="IN",I1149=120),VLOOKUP(T1149,'CAFCO 300 IDIEM TABLAS'!$F$4:$H$35,3,FALSE),0)+IF(AND(L1149="Cafco 300",J1149&gt;=95,J1149&lt;=450,G1149=4,C1149="IN",I1149=90),VLOOKUP(T1149,'CAFCO 300 IDIEM TABLAS'!$J$4:$L$40,2,FALSE),0)+IF(AND(L1149="Cafco 300",J1149&gt;=95,J1149&lt;=450,G1149=4,C1149="IN",I1149=120),VLOOKUP(T1149,'CAFCO 300 IDIEM TABLAS'!$J$4:$L$40,3,FALSE),0)+IF(AND(M1149="Ensayo Idiem",L1149="Cafco 400",C1149="IN",G1149=4,I1149=90),VLOOKUP(T1149,'CAFCO 400 ENSAYO'!$B$7:$D$43,2,FALSE),0)+IF(AND(M1149="Ensayo Idiem",L1149="Cafco 400",C1149="IN",G1149=4,I1149=120),VLOOKUP(T1149,'CAFCO 400 ENSAYO'!$B$7:$D$43,3,FALSE),0)</f>
        <v>0</v>
      </c>
      <c r="O1149" s="96">
        <f t="shared" si="114"/>
        <v>0</v>
      </c>
      <c r="P1149" s="132" t="str">
        <f t="shared" si="115"/>
        <v>N/A</v>
      </c>
      <c r="Q1149" s="132" t="str">
        <f t="shared" si="116"/>
        <v>N/A</v>
      </c>
      <c r="R1149" s="132" t="str">
        <f t="shared" si="117"/>
        <v>NO CERT.</v>
      </c>
      <c r="S1149" s="132" t="e">
        <f t="shared" si="118"/>
        <v>#N/A</v>
      </c>
      <c r="T1149" s="133" t="e">
        <f>+IF(J1149=LOOKUP(J1149,'CAFCO 300 IDIEM TABLAS'!$J$4:$J$40),'CALCULO MORTERO'!J1149,MROUND('CALCULO MORTERO'!J1149,10))</f>
        <v>#N/A</v>
      </c>
      <c r="U1149" s="134">
        <f t="shared" si="119"/>
        <v>0</v>
      </c>
    </row>
    <row r="1150" spans="1:21" x14ac:dyDescent="0.25">
      <c r="A1150" s="118">
        <f>+CUBICACION!D1144</f>
        <v>0</v>
      </c>
      <c r="B1150" s="819">
        <f>+CUBICACION!E1144</f>
        <v>0</v>
      </c>
      <c r="C1150" s="675">
        <f>+CUBICACION!F1144</f>
        <v>0</v>
      </c>
      <c r="D1150" s="118"/>
      <c r="E1150" s="118"/>
      <c r="F1150" s="820"/>
      <c r="G1150" s="675">
        <f>+CUBICACION!J1144</f>
        <v>0</v>
      </c>
      <c r="H1150" s="118"/>
      <c r="I1150" s="821">
        <f>+CUBICACION!L1144</f>
        <v>0</v>
      </c>
      <c r="J1150" s="64">
        <f>+CUBICACION!M1144</f>
        <v>0</v>
      </c>
      <c r="K1150" s="822" t="str">
        <f>+CUBICACION!N1144</f>
        <v/>
      </c>
      <c r="L1150" s="118">
        <f>+CUBICACION!O1144</f>
        <v>0</v>
      </c>
      <c r="M1150" s="823">
        <f>+CUBICACION!P1144</f>
        <v>0</v>
      </c>
      <c r="N1150" s="902">
        <f>ROUND(IF(AND(L1150="Blaze Shield II",M1150="Software Idiem",C1150="IN",G1150=4),((('BLAZE SHIELD II'!$D$4*('CALCULO MORTERO'!I1150^2)+'BLAZE SHIELD II'!$D$5*'CALCULO MORTERO'!I1150+'BLAZE SHIELD II'!$D$6)*LN(J1150))+('BLAZE SHIELD II'!$D$7*('CALCULO MORTERO'!I1150^2)+'BLAZE SHIELD II'!$D$8*'CALCULO MORTERO'!I1150+'BLAZE SHIELD II'!$D$9)),0)+IF(AND(L1150="Blaze Shield II",M1150="Software Idiem",C1150="Cj"),((('BLAZE SHIELD II'!$H$4*('CALCULO MORTERO'!I1150^2)+'BLAZE SHIELD II'!$H$5*'CALCULO MORTERO'!I1150+'BLAZE SHIELD II'!$H$6)*LN(J1150))+('BLAZE SHIELD II'!$H$7*('CALCULO MORTERO'!I1150^2)+'BLAZE SHIELD II'!$H$8*'CALCULO MORTERO'!I1150+'BLAZE SHIELD II'!$H$9)),0)+IF(AND(L1150="Blaze Shield II",M1150="Software Idiem",C1150="C"),((('BLAZE SHIELD II'!$L$4*('CALCULO MORTERO'!I1150^2)+'BLAZE SHIELD II'!$L$5*'CALCULO MORTERO'!I1150+'BLAZE SHIELD II'!$L$6)*LN(J1150))+('BLAZE SHIELD II'!$L$7*('CALCULO MORTERO'!I1150^2)+'BLAZE SHIELD II'!$L$8*'CALCULO MORTERO'!I1150+'BLAZE SHIELD II'!$L$9)),0)+IF(AND(L1150="Blaze Shield II",M1150="Software Idiem",C1150="L"),((('BLAZE SHIELD II'!$L$4*('CALCULO MORTERO'!I1150^2)+'BLAZE SHIELD II'!$L$5*'CALCULO MORTERO'!I1150+'BLAZE SHIELD II'!$L$6)*LN(J1150))+('BLAZE SHIELD II'!$L$7*('CALCULO MORTERO'!I1150^2)+'BLAZE SHIELD II'!$L$8*'CALCULO MORTERO'!I1150+'BLAZE SHIELD II'!$L$9)),0)+IF(AND(L1150="Blaze Shield II",M1150="Software Idiem",C1150="IN",G1150=3),((('BLAZE SHIELD II'!$H$14*('CALCULO MORTERO'!I1150^2)+'BLAZE SHIELD II'!$H$15*'CALCULO MORTERO'!I1150+'BLAZE SHIELD II'!$H$16)*LN(J1150))+('BLAZE SHIELD II'!$H$17*('CALCULO MORTERO'!I1150^2)+'BLAZE SHIELD II'!$H$18*'CALCULO MORTERO'!I1150+'BLAZE SHIELD II'!$H$19)),0),0)+ROUND(IF(AND(L1150="Cafco 400",M1150="Software Idiem",C1150="IN",G1150=4),((('CAFCO 400 '!$H$7*(J1150^4)+'CAFCO 400 '!$H$8*(J1150^3)+'CAFCO 400 '!$H$9*(J1150^2)+'CAFCO 400 '!$H$10*J1150+'CAFCO 400 '!$H$11)*U1150^2)+(('CAFCO 400 '!$H$12*(J1150^3)+'CAFCO 400 '!$H$13*(J1150^2)+'CAFCO 400 '!$H$14*J1150+'CAFCO 400 '!$H$15)*U1150)+('CAFCO 400 '!$H$16*(J1150^2)+'CAFCO 400 '!$H$17*J1150+'CAFCO 400 '!$H$18)),0)+IF(AND(L1150="Cafco 400",M1150="Software Idiem",C1150="Cj"),(((('CAFCO 400 '!$D$7*LN(J1150)+'CAFCO 400 '!$D$8)*U1150^2)+(('CAFCO 400 '!$D$9*LN(J1150)+'CAFCO 400 '!$D$10)*U1150)+('CAFCO 400 '!$D$11*LN(J1150)+'CAFCO 400 '!$D$12))),0)+IF(AND(L1150="Cafco 400",M1150="Software Idiem",C1150="C"),((('CAFCO 400 '!$L$7*(J1150^3)+'CAFCO 400 '!$L$8*(J1150^2)+'CAFCO 400 '!$L$9*J1150+'CAFCO 400 '!$L$10)*U1150^2)+(('CAFCO 400 '!$L$11*(J1150^3)+'CAFCO 400 '!$L$12*(J1150^2)+'CAFCO 400 '!$L$13*J1150+'CAFCO 400 '!$L$14)*U1150)+('CAFCO 400 '!$L$15*LN(J1150)+'CAFCO 400 '!$L$16)),0)+IF(AND(L1150="Cafco 400",M1150="Software Idiem",C1150="L"),((('CAFCO 400 '!$L$7*(J1150^3)+'CAFCO 400 '!$L$8*(J1150^2)+'CAFCO 400 '!$L$9*J1150+'CAFCO 400 '!$L$10)*U1150^2)+(('CAFCO 400 '!$L$11*(J1150^3)+'CAFCO 400 '!$L$12*(J1150^2)+'CAFCO 400 '!$L$13*J1150+'CAFCO 400 '!$L$14)*U1150)+('CAFCO 400 '!$L$15*LN(J1150)+'CAFCO 400 '!$L$16)),0)+IF(AND(L1150="Cafco 400",M1150="Software Idiem",C1150="IN",G1150=3),((('CAFCO 400 '!$D$23*(J1150^2)+'CAFCO 400 '!$D$24*(J1150)+'CAFCO 400 '!$D$25)*U1150^2)+(('CAFCO 400 '!$D$26*(J1150^2)+'CAFCO 400 '!$D$27*J1150+'CAFCO 400 '!$D$28)*U1150)+('CAFCO 400 '!$D$29*(J1150^2)+'CAFCO 400 '!$D$30*J1150+'CAFCO 400 '!$D$31)),0),0)+IF(AND(L1150="Cafco 300",J1150&gt;=95,J1150&lt;=240,C1150="Cj",I1150=90),VLOOKUP(T1150,'CAFCO 300 IDIEM TABLAS'!$B$4:$D$23,2,FALSE),0)+IF(AND(L1150="Cafco 300",J1150&gt;=95,J1150&lt;=240,C1150="Cj",I1150=120),VLOOKUP(T1150,'CAFCO 300 IDIEM TABLAS'!$B$4:$D$23,3,FALSE),0)+IF(AND(L1150="Cafco 300",J1150&gt;=95,J1150&lt;=400,G1150=3,C1150="IN",I1150=90),VLOOKUP(T1150,'CAFCO 300 IDIEM TABLAS'!$F$4:$H$35,2,FALSE),0)+IF(AND(L1150="Cafco 300",J1150&gt;=95,J1150&lt;=400,G1150=3,C1150="IN",I1150=120),VLOOKUP(T1150,'CAFCO 300 IDIEM TABLAS'!$F$4:$H$35,3,FALSE),0)+IF(AND(L1150="Cafco 300",J1150&gt;=95,J1150&lt;=450,G1150=4,C1150="IN",I1150=90),VLOOKUP(T1150,'CAFCO 300 IDIEM TABLAS'!$J$4:$L$40,2,FALSE),0)+IF(AND(L1150="Cafco 300",J1150&gt;=95,J1150&lt;=450,G1150=4,C1150="IN",I1150=120),VLOOKUP(T1150,'CAFCO 300 IDIEM TABLAS'!$J$4:$L$40,3,FALSE),0)+IF(AND(M1150="Ensayo Idiem",L1150="Cafco 400",C1150="IN",G1150=4,I1150=90),VLOOKUP(T1150,'CAFCO 400 ENSAYO'!$B$7:$D$43,2,FALSE),0)+IF(AND(M1150="Ensayo Idiem",L1150="Cafco 400",C1150="IN",G1150=4,I1150=120),VLOOKUP(T1150,'CAFCO 400 ENSAYO'!$B$7:$D$43,3,FALSE),0)</f>
        <v>0</v>
      </c>
      <c r="O1150" s="96">
        <f t="shared" si="114"/>
        <v>0</v>
      </c>
      <c r="P1150" s="95" t="str">
        <f t="shared" si="115"/>
        <v>N/A</v>
      </c>
      <c r="Q1150" s="95" t="str">
        <f t="shared" si="116"/>
        <v>N/A</v>
      </c>
      <c r="R1150" s="95" t="str">
        <f t="shared" si="117"/>
        <v>NO CERT.</v>
      </c>
      <c r="S1150" s="95" t="e">
        <f t="shared" si="118"/>
        <v>#N/A</v>
      </c>
      <c r="T1150" s="119" t="e">
        <f>+IF(J1150=LOOKUP(J1150,'CAFCO 300 IDIEM TABLAS'!$J$4:$J$40),'CALCULO MORTERO'!J1150,MROUND('CALCULO MORTERO'!J1150,10))</f>
        <v>#N/A</v>
      </c>
      <c r="U1150" s="118">
        <f t="shared" si="119"/>
        <v>0</v>
      </c>
    </row>
    <row r="1151" spans="1:21" x14ac:dyDescent="0.25">
      <c r="A1151" s="118">
        <f>+CUBICACION!D1145</f>
        <v>0</v>
      </c>
      <c r="B1151" s="819">
        <f>+CUBICACION!E1145</f>
        <v>0</v>
      </c>
      <c r="C1151" s="675">
        <f>+CUBICACION!F1145</f>
        <v>0</v>
      </c>
      <c r="D1151" s="118"/>
      <c r="E1151" s="118"/>
      <c r="F1151" s="820"/>
      <c r="G1151" s="675">
        <f>+CUBICACION!J1145</f>
        <v>0</v>
      </c>
      <c r="H1151" s="118"/>
      <c r="I1151" s="821">
        <f>+CUBICACION!L1145</f>
        <v>0</v>
      </c>
      <c r="J1151" s="64">
        <f>+CUBICACION!M1145</f>
        <v>0</v>
      </c>
      <c r="K1151" s="822" t="str">
        <f>+CUBICACION!N1145</f>
        <v/>
      </c>
      <c r="L1151" s="118">
        <f>+CUBICACION!O1145</f>
        <v>0</v>
      </c>
      <c r="M1151" s="823">
        <f>+CUBICACION!P1145</f>
        <v>0</v>
      </c>
      <c r="N1151" s="902">
        <f>ROUND(IF(AND(L1151="Blaze Shield II",M1151="Software Idiem",C1151="IN",G1151=4),((('BLAZE SHIELD II'!$D$4*('CALCULO MORTERO'!I1151^2)+'BLAZE SHIELD II'!$D$5*'CALCULO MORTERO'!I1151+'BLAZE SHIELD II'!$D$6)*LN(J1151))+('BLAZE SHIELD II'!$D$7*('CALCULO MORTERO'!I1151^2)+'BLAZE SHIELD II'!$D$8*'CALCULO MORTERO'!I1151+'BLAZE SHIELD II'!$D$9)),0)+IF(AND(L1151="Blaze Shield II",M1151="Software Idiem",C1151="Cj"),((('BLAZE SHIELD II'!$H$4*('CALCULO MORTERO'!I1151^2)+'BLAZE SHIELD II'!$H$5*'CALCULO MORTERO'!I1151+'BLAZE SHIELD II'!$H$6)*LN(J1151))+('BLAZE SHIELD II'!$H$7*('CALCULO MORTERO'!I1151^2)+'BLAZE SHIELD II'!$H$8*'CALCULO MORTERO'!I1151+'BLAZE SHIELD II'!$H$9)),0)+IF(AND(L1151="Blaze Shield II",M1151="Software Idiem",C1151="C"),((('BLAZE SHIELD II'!$L$4*('CALCULO MORTERO'!I1151^2)+'BLAZE SHIELD II'!$L$5*'CALCULO MORTERO'!I1151+'BLAZE SHIELD II'!$L$6)*LN(J1151))+('BLAZE SHIELD II'!$L$7*('CALCULO MORTERO'!I1151^2)+'BLAZE SHIELD II'!$L$8*'CALCULO MORTERO'!I1151+'BLAZE SHIELD II'!$L$9)),0)+IF(AND(L1151="Blaze Shield II",M1151="Software Idiem",C1151="L"),((('BLAZE SHIELD II'!$L$4*('CALCULO MORTERO'!I1151^2)+'BLAZE SHIELD II'!$L$5*'CALCULO MORTERO'!I1151+'BLAZE SHIELD II'!$L$6)*LN(J1151))+('BLAZE SHIELD II'!$L$7*('CALCULO MORTERO'!I1151^2)+'BLAZE SHIELD II'!$L$8*'CALCULO MORTERO'!I1151+'BLAZE SHIELD II'!$L$9)),0)+IF(AND(L1151="Blaze Shield II",M1151="Software Idiem",C1151="IN",G1151=3),((('BLAZE SHIELD II'!$H$14*('CALCULO MORTERO'!I1151^2)+'BLAZE SHIELD II'!$H$15*'CALCULO MORTERO'!I1151+'BLAZE SHIELD II'!$H$16)*LN(J1151))+('BLAZE SHIELD II'!$H$17*('CALCULO MORTERO'!I1151^2)+'BLAZE SHIELD II'!$H$18*'CALCULO MORTERO'!I1151+'BLAZE SHIELD II'!$H$19)),0),0)+ROUND(IF(AND(L1151="Cafco 400",M1151="Software Idiem",C1151="IN",G1151=4),((('CAFCO 400 '!$H$7*(J1151^4)+'CAFCO 400 '!$H$8*(J1151^3)+'CAFCO 400 '!$H$9*(J1151^2)+'CAFCO 400 '!$H$10*J1151+'CAFCO 400 '!$H$11)*U1151^2)+(('CAFCO 400 '!$H$12*(J1151^3)+'CAFCO 400 '!$H$13*(J1151^2)+'CAFCO 400 '!$H$14*J1151+'CAFCO 400 '!$H$15)*U1151)+('CAFCO 400 '!$H$16*(J1151^2)+'CAFCO 400 '!$H$17*J1151+'CAFCO 400 '!$H$18)),0)+IF(AND(L1151="Cafco 400",M1151="Software Idiem",C1151="Cj"),(((('CAFCO 400 '!$D$7*LN(J1151)+'CAFCO 400 '!$D$8)*U1151^2)+(('CAFCO 400 '!$D$9*LN(J1151)+'CAFCO 400 '!$D$10)*U1151)+('CAFCO 400 '!$D$11*LN(J1151)+'CAFCO 400 '!$D$12))),0)+IF(AND(L1151="Cafco 400",M1151="Software Idiem",C1151="C"),((('CAFCO 400 '!$L$7*(J1151^3)+'CAFCO 400 '!$L$8*(J1151^2)+'CAFCO 400 '!$L$9*J1151+'CAFCO 400 '!$L$10)*U1151^2)+(('CAFCO 400 '!$L$11*(J1151^3)+'CAFCO 400 '!$L$12*(J1151^2)+'CAFCO 400 '!$L$13*J1151+'CAFCO 400 '!$L$14)*U1151)+('CAFCO 400 '!$L$15*LN(J1151)+'CAFCO 400 '!$L$16)),0)+IF(AND(L1151="Cafco 400",M1151="Software Idiem",C1151="L"),((('CAFCO 400 '!$L$7*(J1151^3)+'CAFCO 400 '!$L$8*(J1151^2)+'CAFCO 400 '!$L$9*J1151+'CAFCO 400 '!$L$10)*U1151^2)+(('CAFCO 400 '!$L$11*(J1151^3)+'CAFCO 400 '!$L$12*(J1151^2)+'CAFCO 400 '!$L$13*J1151+'CAFCO 400 '!$L$14)*U1151)+('CAFCO 400 '!$L$15*LN(J1151)+'CAFCO 400 '!$L$16)),0)+IF(AND(L1151="Cafco 400",M1151="Software Idiem",C1151="IN",G1151=3),((('CAFCO 400 '!$D$23*(J1151^2)+'CAFCO 400 '!$D$24*(J1151)+'CAFCO 400 '!$D$25)*U1151^2)+(('CAFCO 400 '!$D$26*(J1151^2)+'CAFCO 400 '!$D$27*J1151+'CAFCO 400 '!$D$28)*U1151)+('CAFCO 400 '!$D$29*(J1151^2)+'CAFCO 400 '!$D$30*J1151+'CAFCO 400 '!$D$31)),0),0)+IF(AND(L1151="Cafco 300",J1151&gt;=95,J1151&lt;=240,C1151="Cj",I1151=90),VLOOKUP(T1151,'CAFCO 300 IDIEM TABLAS'!$B$4:$D$23,2,FALSE),0)+IF(AND(L1151="Cafco 300",J1151&gt;=95,J1151&lt;=240,C1151="Cj",I1151=120),VLOOKUP(T1151,'CAFCO 300 IDIEM TABLAS'!$B$4:$D$23,3,FALSE),0)+IF(AND(L1151="Cafco 300",J1151&gt;=95,J1151&lt;=400,G1151=3,C1151="IN",I1151=90),VLOOKUP(T1151,'CAFCO 300 IDIEM TABLAS'!$F$4:$H$35,2,FALSE),0)+IF(AND(L1151="Cafco 300",J1151&gt;=95,J1151&lt;=400,G1151=3,C1151="IN",I1151=120),VLOOKUP(T1151,'CAFCO 300 IDIEM TABLAS'!$F$4:$H$35,3,FALSE),0)+IF(AND(L1151="Cafco 300",J1151&gt;=95,J1151&lt;=450,G1151=4,C1151="IN",I1151=90),VLOOKUP(T1151,'CAFCO 300 IDIEM TABLAS'!$J$4:$L$40,2,FALSE),0)+IF(AND(L1151="Cafco 300",J1151&gt;=95,J1151&lt;=450,G1151=4,C1151="IN",I1151=120),VLOOKUP(T1151,'CAFCO 300 IDIEM TABLAS'!$J$4:$L$40,3,FALSE),0)+IF(AND(M1151="Ensayo Idiem",L1151="Cafco 400",C1151="IN",G1151=4,I1151=90),VLOOKUP(T1151,'CAFCO 400 ENSAYO'!$B$7:$D$43,2,FALSE),0)+IF(AND(M1151="Ensayo Idiem",L1151="Cafco 400",C1151="IN",G1151=4,I1151=120),VLOOKUP(T1151,'CAFCO 400 ENSAYO'!$B$7:$D$43,3,FALSE),0)</f>
        <v>0</v>
      </c>
      <c r="O1151" s="96">
        <f t="shared" si="114"/>
        <v>0</v>
      </c>
      <c r="P1151" s="132" t="str">
        <f t="shared" si="115"/>
        <v>N/A</v>
      </c>
      <c r="Q1151" s="132" t="str">
        <f t="shared" si="116"/>
        <v>N/A</v>
      </c>
      <c r="R1151" s="132" t="str">
        <f t="shared" si="117"/>
        <v>NO CERT.</v>
      </c>
      <c r="S1151" s="132" t="e">
        <f t="shared" si="118"/>
        <v>#N/A</v>
      </c>
      <c r="T1151" s="133" t="e">
        <f>+IF(J1151=LOOKUP(J1151,'CAFCO 300 IDIEM TABLAS'!$J$4:$J$40),'CALCULO MORTERO'!J1151,MROUND('CALCULO MORTERO'!J1151,10))</f>
        <v>#N/A</v>
      </c>
      <c r="U1151" s="134">
        <f t="shared" si="119"/>
        <v>0</v>
      </c>
    </row>
    <row r="1152" spans="1:21" x14ac:dyDescent="0.25">
      <c r="A1152" s="118">
        <f>+CUBICACION!D1146</f>
        <v>0</v>
      </c>
      <c r="B1152" s="819">
        <f>+CUBICACION!E1146</f>
        <v>0</v>
      </c>
      <c r="C1152" s="675">
        <f>+CUBICACION!F1146</f>
        <v>0</v>
      </c>
      <c r="D1152" s="118"/>
      <c r="E1152" s="118"/>
      <c r="F1152" s="820"/>
      <c r="G1152" s="675">
        <f>+CUBICACION!J1146</f>
        <v>0</v>
      </c>
      <c r="H1152" s="118"/>
      <c r="I1152" s="821">
        <f>+CUBICACION!L1146</f>
        <v>0</v>
      </c>
      <c r="J1152" s="64">
        <f>+CUBICACION!M1146</f>
        <v>0</v>
      </c>
      <c r="K1152" s="822" t="str">
        <f>+CUBICACION!N1146</f>
        <v/>
      </c>
      <c r="L1152" s="118">
        <f>+CUBICACION!O1146</f>
        <v>0</v>
      </c>
      <c r="M1152" s="823">
        <f>+CUBICACION!P1146</f>
        <v>0</v>
      </c>
      <c r="N1152" s="902">
        <f>ROUND(IF(AND(L1152="Blaze Shield II",M1152="Software Idiem",C1152="IN",G1152=4),((('BLAZE SHIELD II'!$D$4*('CALCULO MORTERO'!I1152^2)+'BLAZE SHIELD II'!$D$5*'CALCULO MORTERO'!I1152+'BLAZE SHIELD II'!$D$6)*LN(J1152))+('BLAZE SHIELD II'!$D$7*('CALCULO MORTERO'!I1152^2)+'BLAZE SHIELD II'!$D$8*'CALCULO MORTERO'!I1152+'BLAZE SHIELD II'!$D$9)),0)+IF(AND(L1152="Blaze Shield II",M1152="Software Idiem",C1152="Cj"),((('BLAZE SHIELD II'!$H$4*('CALCULO MORTERO'!I1152^2)+'BLAZE SHIELD II'!$H$5*'CALCULO MORTERO'!I1152+'BLAZE SHIELD II'!$H$6)*LN(J1152))+('BLAZE SHIELD II'!$H$7*('CALCULO MORTERO'!I1152^2)+'BLAZE SHIELD II'!$H$8*'CALCULO MORTERO'!I1152+'BLAZE SHIELD II'!$H$9)),0)+IF(AND(L1152="Blaze Shield II",M1152="Software Idiem",C1152="C"),((('BLAZE SHIELD II'!$L$4*('CALCULO MORTERO'!I1152^2)+'BLAZE SHIELD II'!$L$5*'CALCULO MORTERO'!I1152+'BLAZE SHIELD II'!$L$6)*LN(J1152))+('BLAZE SHIELD II'!$L$7*('CALCULO MORTERO'!I1152^2)+'BLAZE SHIELD II'!$L$8*'CALCULO MORTERO'!I1152+'BLAZE SHIELD II'!$L$9)),0)+IF(AND(L1152="Blaze Shield II",M1152="Software Idiem",C1152="L"),((('BLAZE SHIELD II'!$L$4*('CALCULO MORTERO'!I1152^2)+'BLAZE SHIELD II'!$L$5*'CALCULO MORTERO'!I1152+'BLAZE SHIELD II'!$L$6)*LN(J1152))+('BLAZE SHIELD II'!$L$7*('CALCULO MORTERO'!I1152^2)+'BLAZE SHIELD II'!$L$8*'CALCULO MORTERO'!I1152+'BLAZE SHIELD II'!$L$9)),0)+IF(AND(L1152="Blaze Shield II",M1152="Software Idiem",C1152="IN",G1152=3),((('BLAZE SHIELD II'!$H$14*('CALCULO MORTERO'!I1152^2)+'BLAZE SHIELD II'!$H$15*'CALCULO MORTERO'!I1152+'BLAZE SHIELD II'!$H$16)*LN(J1152))+('BLAZE SHIELD II'!$H$17*('CALCULO MORTERO'!I1152^2)+'BLAZE SHIELD II'!$H$18*'CALCULO MORTERO'!I1152+'BLAZE SHIELD II'!$H$19)),0),0)+ROUND(IF(AND(L1152="Cafco 400",M1152="Software Idiem",C1152="IN",G1152=4),((('CAFCO 400 '!$H$7*(J1152^4)+'CAFCO 400 '!$H$8*(J1152^3)+'CAFCO 400 '!$H$9*(J1152^2)+'CAFCO 400 '!$H$10*J1152+'CAFCO 400 '!$H$11)*U1152^2)+(('CAFCO 400 '!$H$12*(J1152^3)+'CAFCO 400 '!$H$13*(J1152^2)+'CAFCO 400 '!$H$14*J1152+'CAFCO 400 '!$H$15)*U1152)+('CAFCO 400 '!$H$16*(J1152^2)+'CAFCO 400 '!$H$17*J1152+'CAFCO 400 '!$H$18)),0)+IF(AND(L1152="Cafco 400",M1152="Software Idiem",C1152="Cj"),(((('CAFCO 400 '!$D$7*LN(J1152)+'CAFCO 400 '!$D$8)*U1152^2)+(('CAFCO 400 '!$D$9*LN(J1152)+'CAFCO 400 '!$D$10)*U1152)+('CAFCO 400 '!$D$11*LN(J1152)+'CAFCO 400 '!$D$12))),0)+IF(AND(L1152="Cafco 400",M1152="Software Idiem",C1152="C"),((('CAFCO 400 '!$L$7*(J1152^3)+'CAFCO 400 '!$L$8*(J1152^2)+'CAFCO 400 '!$L$9*J1152+'CAFCO 400 '!$L$10)*U1152^2)+(('CAFCO 400 '!$L$11*(J1152^3)+'CAFCO 400 '!$L$12*(J1152^2)+'CAFCO 400 '!$L$13*J1152+'CAFCO 400 '!$L$14)*U1152)+('CAFCO 400 '!$L$15*LN(J1152)+'CAFCO 400 '!$L$16)),0)+IF(AND(L1152="Cafco 400",M1152="Software Idiem",C1152="L"),((('CAFCO 400 '!$L$7*(J1152^3)+'CAFCO 400 '!$L$8*(J1152^2)+'CAFCO 400 '!$L$9*J1152+'CAFCO 400 '!$L$10)*U1152^2)+(('CAFCO 400 '!$L$11*(J1152^3)+'CAFCO 400 '!$L$12*(J1152^2)+'CAFCO 400 '!$L$13*J1152+'CAFCO 400 '!$L$14)*U1152)+('CAFCO 400 '!$L$15*LN(J1152)+'CAFCO 400 '!$L$16)),0)+IF(AND(L1152="Cafco 400",M1152="Software Idiem",C1152="IN",G1152=3),((('CAFCO 400 '!$D$23*(J1152^2)+'CAFCO 400 '!$D$24*(J1152)+'CAFCO 400 '!$D$25)*U1152^2)+(('CAFCO 400 '!$D$26*(J1152^2)+'CAFCO 400 '!$D$27*J1152+'CAFCO 400 '!$D$28)*U1152)+('CAFCO 400 '!$D$29*(J1152^2)+'CAFCO 400 '!$D$30*J1152+'CAFCO 400 '!$D$31)),0),0)+IF(AND(L1152="Cafco 300",J1152&gt;=95,J1152&lt;=240,C1152="Cj",I1152=90),VLOOKUP(T1152,'CAFCO 300 IDIEM TABLAS'!$B$4:$D$23,2,FALSE),0)+IF(AND(L1152="Cafco 300",J1152&gt;=95,J1152&lt;=240,C1152="Cj",I1152=120),VLOOKUP(T1152,'CAFCO 300 IDIEM TABLAS'!$B$4:$D$23,3,FALSE),0)+IF(AND(L1152="Cafco 300",J1152&gt;=95,J1152&lt;=400,G1152=3,C1152="IN",I1152=90),VLOOKUP(T1152,'CAFCO 300 IDIEM TABLAS'!$F$4:$H$35,2,FALSE),0)+IF(AND(L1152="Cafco 300",J1152&gt;=95,J1152&lt;=400,G1152=3,C1152="IN",I1152=120),VLOOKUP(T1152,'CAFCO 300 IDIEM TABLAS'!$F$4:$H$35,3,FALSE),0)+IF(AND(L1152="Cafco 300",J1152&gt;=95,J1152&lt;=450,G1152=4,C1152="IN",I1152=90),VLOOKUP(T1152,'CAFCO 300 IDIEM TABLAS'!$J$4:$L$40,2,FALSE),0)+IF(AND(L1152="Cafco 300",J1152&gt;=95,J1152&lt;=450,G1152=4,C1152="IN",I1152=120),VLOOKUP(T1152,'CAFCO 300 IDIEM TABLAS'!$J$4:$L$40,3,FALSE),0)+IF(AND(M1152="Ensayo Idiem",L1152="Cafco 400",C1152="IN",G1152=4,I1152=90),VLOOKUP(T1152,'CAFCO 400 ENSAYO'!$B$7:$D$43,2,FALSE),0)+IF(AND(M1152="Ensayo Idiem",L1152="Cafco 400",C1152="IN",G1152=4,I1152=120),VLOOKUP(T1152,'CAFCO 400 ENSAYO'!$B$7:$D$43,3,FALSE),0)</f>
        <v>0</v>
      </c>
      <c r="O1152" s="96">
        <f t="shared" si="114"/>
        <v>0</v>
      </c>
      <c r="P1152" s="95" t="str">
        <f t="shared" si="115"/>
        <v>N/A</v>
      </c>
      <c r="Q1152" s="95" t="str">
        <f t="shared" si="116"/>
        <v>N/A</v>
      </c>
      <c r="R1152" s="95" t="str">
        <f t="shared" si="117"/>
        <v>NO CERT.</v>
      </c>
      <c r="S1152" s="95" t="e">
        <f t="shared" si="118"/>
        <v>#N/A</v>
      </c>
      <c r="T1152" s="119" t="e">
        <f>+IF(J1152=LOOKUP(J1152,'CAFCO 300 IDIEM TABLAS'!$J$4:$J$40),'CALCULO MORTERO'!J1152,MROUND('CALCULO MORTERO'!J1152,10))</f>
        <v>#N/A</v>
      </c>
      <c r="U1152" s="118">
        <f t="shared" si="119"/>
        <v>0</v>
      </c>
    </row>
    <row r="1153" spans="1:21" x14ac:dyDescent="0.25">
      <c r="A1153" s="118">
        <f>+CUBICACION!D1147</f>
        <v>0</v>
      </c>
      <c r="B1153" s="819">
        <f>+CUBICACION!E1147</f>
        <v>0</v>
      </c>
      <c r="C1153" s="675">
        <f>+CUBICACION!F1147</f>
        <v>0</v>
      </c>
      <c r="D1153" s="118"/>
      <c r="E1153" s="118"/>
      <c r="F1153" s="820"/>
      <c r="G1153" s="675">
        <f>+CUBICACION!J1147</f>
        <v>0</v>
      </c>
      <c r="H1153" s="118"/>
      <c r="I1153" s="821">
        <f>+CUBICACION!L1147</f>
        <v>0</v>
      </c>
      <c r="J1153" s="64">
        <f>+CUBICACION!M1147</f>
        <v>0</v>
      </c>
      <c r="K1153" s="822" t="str">
        <f>+CUBICACION!N1147</f>
        <v/>
      </c>
      <c r="L1153" s="118">
        <f>+CUBICACION!O1147</f>
        <v>0</v>
      </c>
      <c r="M1153" s="823">
        <f>+CUBICACION!P1147</f>
        <v>0</v>
      </c>
      <c r="N1153" s="902">
        <f>ROUND(IF(AND(L1153="Blaze Shield II",M1153="Software Idiem",C1153="IN",G1153=4),((('BLAZE SHIELD II'!$D$4*('CALCULO MORTERO'!I1153^2)+'BLAZE SHIELD II'!$D$5*'CALCULO MORTERO'!I1153+'BLAZE SHIELD II'!$D$6)*LN(J1153))+('BLAZE SHIELD II'!$D$7*('CALCULO MORTERO'!I1153^2)+'BLAZE SHIELD II'!$D$8*'CALCULO MORTERO'!I1153+'BLAZE SHIELD II'!$D$9)),0)+IF(AND(L1153="Blaze Shield II",M1153="Software Idiem",C1153="Cj"),((('BLAZE SHIELD II'!$H$4*('CALCULO MORTERO'!I1153^2)+'BLAZE SHIELD II'!$H$5*'CALCULO MORTERO'!I1153+'BLAZE SHIELD II'!$H$6)*LN(J1153))+('BLAZE SHIELD II'!$H$7*('CALCULO MORTERO'!I1153^2)+'BLAZE SHIELD II'!$H$8*'CALCULO MORTERO'!I1153+'BLAZE SHIELD II'!$H$9)),0)+IF(AND(L1153="Blaze Shield II",M1153="Software Idiem",C1153="C"),((('BLAZE SHIELD II'!$L$4*('CALCULO MORTERO'!I1153^2)+'BLAZE SHIELD II'!$L$5*'CALCULO MORTERO'!I1153+'BLAZE SHIELD II'!$L$6)*LN(J1153))+('BLAZE SHIELD II'!$L$7*('CALCULO MORTERO'!I1153^2)+'BLAZE SHIELD II'!$L$8*'CALCULO MORTERO'!I1153+'BLAZE SHIELD II'!$L$9)),0)+IF(AND(L1153="Blaze Shield II",M1153="Software Idiem",C1153="L"),((('BLAZE SHIELD II'!$L$4*('CALCULO MORTERO'!I1153^2)+'BLAZE SHIELD II'!$L$5*'CALCULO MORTERO'!I1153+'BLAZE SHIELD II'!$L$6)*LN(J1153))+('BLAZE SHIELD II'!$L$7*('CALCULO MORTERO'!I1153^2)+'BLAZE SHIELD II'!$L$8*'CALCULO MORTERO'!I1153+'BLAZE SHIELD II'!$L$9)),0)+IF(AND(L1153="Blaze Shield II",M1153="Software Idiem",C1153="IN",G1153=3),((('BLAZE SHIELD II'!$H$14*('CALCULO MORTERO'!I1153^2)+'BLAZE SHIELD II'!$H$15*'CALCULO MORTERO'!I1153+'BLAZE SHIELD II'!$H$16)*LN(J1153))+('BLAZE SHIELD II'!$H$17*('CALCULO MORTERO'!I1153^2)+'BLAZE SHIELD II'!$H$18*'CALCULO MORTERO'!I1153+'BLAZE SHIELD II'!$H$19)),0),0)+ROUND(IF(AND(L1153="Cafco 400",M1153="Software Idiem",C1153="IN",G1153=4),((('CAFCO 400 '!$H$7*(J1153^4)+'CAFCO 400 '!$H$8*(J1153^3)+'CAFCO 400 '!$H$9*(J1153^2)+'CAFCO 400 '!$H$10*J1153+'CAFCO 400 '!$H$11)*U1153^2)+(('CAFCO 400 '!$H$12*(J1153^3)+'CAFCO 400 '!$H$13*(J1153^2)+'CAFCO 400 '!$H$14*J1153+'CAFCO 400 '!$H$15)*U1153)+('CAFCO 400 '!$H$16*(J1153^2)+'CAFCO 400 '!$H$17*J1153+'CAFCO 400 '!$H$18)),0)+IF(AND(L1153="Cafco 400",M1153="Software Idiem",C1153="Cj"),(((('CAFCO 400 '!$D$7*LN(J1153)+'CAFCO 400 '!$D$8)*U1153^2)+(('CAFCO 400 '!$D$9*LN(J1153)+'CAFCO 400 '!$D$10)*U1153)+('CAFCO 400 '!$D$11*LN(J1153)+'CAFCO 400 '!$D$12))),0)+IF(AND(L1153="Cafco 400",M1153="Software Idiem",C1153="C"),((('CAFCO 400 '!$L$7*(J1153^3)+'CAFCO 400 '!$L$8*(J1153^2)+'CAFCO 400 '!$L$9*J1153+'CAFCO 400 '!$L$10)*U1153^2)+(('CAFCO 400 '!$L$11*(J1153^3)+'CAFCO 400 '!$L$12*(J1153^2)+'CAFCO 400 '!$L$13*J1153+'CAFCO 400 '!$L$14)*U1153)+('CAFCO 400 '!$L$15*LN(J1153)+'CAFCO 400 '!$L$16)),0)+IF(AND(L1153="Cafco 400",M1153="Software Idiem",C1153="L"),((('CAFCO 400 '!$L$7*(J1153^3)+'CAFCO 400 '!$L$8*(J1153^2)+'CAFCO 400 '!$L$9*J1153+'CAFCO 400 '!$L$10)*U1153^2)+(('CAFCO 400 '!$L$11*(J1153^3)+'CAFCO 400 '!$L$12*(J1153^2)+'CAFCO 400 '!$L$13*J1153+'CAFCO 400 '!$L$14)*U1153)+('CAFCO 400 '!$L$15*LN(J1153)+'CAFCO 400 '!$L$16)),0)+IF(AND(L1153="Cafco 400",M1153="Software Idiem",C1153="IN",G1153=3),((('CAFCO 400 '!$D$23*(J1153^2)+'CAFCO 400 '!$D$24*(J1153)+'CAFCO 400 '!$D$25)*U1153^2)+(('CAFCO 400 '!$D$26*(J1153^2)+'CAFCO 400 '!$D$27*J1153+'CAFCO 400 '!$D$28)*U1153)+('CAFCO 400 '!$D$29*(J1153^2)+'CAFCO 400 '!$D$30*J1153+'CAFCO 400 '!$D$31)),0),0)+IF(AND(L1153="Cafco 300",J1153&gt;=95,J1153&lt;=240,C1153="Cj",I1153=90),VLOOKUP(T1153,'CAFCO 300 IDIEM TABLAS'!$B$4:$D$23,2,FALSE),0)+IF(AND(L1153="Cafco 300",J1153&gt;=95,J1153&lt;=240,C1153="Cj",I1153=120),VLOOKUP(T1153,'CAFCO 300 IDIEM TABLAS'!$B$4:$D$23,3,FALSE),0)+IF(AND(L1153="Cafco 300",J1153&gt;=95,J1153&lt;=400,G1153=3,C1153="IN",I1153=90),VLOOKUP(T1153,'CAFCO 300 IDIEM TABLAS'!$F$4:$H$35,2,FALSE),0)+IF(AND(L1153="Cafco 300",J1153&gt;=95,J1153&lt;=400,G1153=3,C1153="IN",I1153=120),VLOOKUP(T1153,'CAFCO 300 IDIEM TABLAS'!$F$4:$H$35,3,FALSE),0)+IF(AND(L1153="Cafco 300",J1153&gt;=95,J1153&lt;=450,G1153=4,C1153="IN",I1153=90),VLOOKUP(T1153,'CAFCO 300 IDIEM TABLAS'!$J$4:$L$40,2,FALSE),0)+IF(AND(L1153="Cafco 300",J1153&gt;=95,J1153&lt;=450,G1153=4,C1153="IN",I1153=120),VLOOKUP(T1153,'CAFCO 300 IDIEM TABLAS'!$J$4:$L$40,3,FALSE),0)+IF(AND(M1153="Ensayo Idiem",L1153="Cafco 400",C1153="IN",G1153=4,I1153=90),VLOOKUP(T1153,'CAFCO 400 ENSAYO'!$B$7:$D$43,2,FALSE),0)+IF(AND(M1153="Ensayo Idiem",L1153="Cafco 400",C1153="IN",G1153=4,I1153=120),VLOOKUP(T1153,'CAFCO 400 ENSAYO'!$B$7:$D$43,3,FALSE),0)</f>
        <v>0</v>
      </c>
      <c r="O1153" s="96">
        <f t="shared" si="114"/>
        <v>0</v>
      </c>
      <c r="P1153" s="132" t="str">
        <f t="shared" si="115"/>
        <v>N/A</v>
      </c>
      <c r="Q1153" s="132" t="str">
        <f t="shared" si="116"/>
        <v>N/A</v>
      </c>
      <c r="R1153" s="132" t="str">
        <f t="shared" si="117"/>
        <v>NO CERT.</v>
      </c>
      <c r="S1153" s="132" t="e">
        <f t="shared" si="118"/>
        <v>#N/A</v>
      </c>
      <c r="T1153" s="133" t="e">
        <f>+IF(J1153=LOOKUP(J1153,'CAFCO 300 IDIEM TABLAS'!$J$4:$J$40),'CALCULO MORTERO'!J1153,MROUND('CALCULO MORTERO'!J1153,10))</f>
        <v>#N/A</v>
      </c>
      <c r="U1153" s="134">
        <f t="shared" si="119"/>
        <v>0</v>
      </c>
    </row>
    <row r="1154" spans="1:21" x14ac:dyDescent="0.25">
      <c r="A1154" s="118">
        <f>+CUBICACION!D1148</f>
        <v>0</v>
      </c>
      <c r="B1154" s="819">
        <f>+CUBICACION!E1148</f>
        <v>0</v>
      </c>
      <c r="C1154" s="675">
        <f>+CUBICACION!F1148</f>
        <v>0</v>
      </c>
      <c r="D1154" s="118"/>
      <c r="E1154" s="118"/>
      <c r="F1154" s="820"/>
      <c r="G1154" s="675">
        <f>+CUBICACION!J1148</f>
        <v>0</v>
      </c>
      <c r="H1154" s="118"/>
      <c r="I1154" s="821">
        <f>+CUBICACION!L1148</f>
        <v>0</v>
      </c>
      <c r="J1154" s="64">
        <f>+CUBICACION!M1148</f>
        <v>0</v>
      </c>
      <c r="K1154" s="822" t="str">
        <f>+CUBICACION!N1148</f>
        <v/>
      </c>
      <c r="L1154" s="118">
        <f>+CUBICACION!O1148</f>
        <v>0</v>
      </c>
      <c r="M1154" s="823">
        <f>+CUBICACION!P1148</f>
        <v>0</v>
      </c>
      <c r="N1154" s="902">
        <f>ROUND(IF(AND(L1154="Blaze Shield II",M1154="Software Idiem",C1154="IN",G1154=4),((('BLAZE SHIELD II'!$D$4*('CALCULO MORTERO'!I1154^2)+'BLAZE SHIELD II'!$D$5*'CALCULO MORTERO'!I1154+'BLAZE SHIELD II'!$D$6)*LN(J1154))+('BLAZE SHIELD II'!$D$7*('CALCULO MORTERO'!I1154^2)+'BLAZE SHIELD II'!$D$8*'CALCULO MORTERO'!I1154+'BLAZE SHIELD II'!$D$9)),0)+IF(AND(L1154="Blaze Shield II",M1154="Software Idiem",C1154="Cj"),((('BLAZE SHIELD II'!$H$4*('CALCULO MORTERO'!I1154^2)+'BLAZE SHIELD II'!$H$5*'CALCULO MORTERO'!I1154+'BLAZE SHIELD II'!$H$6)*LN(J1154))+('BLAZE SHIELD II'!$H$7*('CALCULO MORTERO'!I1154^2)+'BLAZE SHIELD II'!$H$8*'CALCULO MORTERO'!I1154+'BLAZE SHIELD II'!$H$9)),0)+IF(AND(L1154="Blaze Shield II",M1154="Software Idiem",C1154="C"),((('BLAZE SHIELD II'!$L$4*('CALCULO MORTERO'!I1154^2)+'BLAZE SHIELD II'!$L$5*'CALCULO MORTERO'!I1154+'BLAZE SHIELD II'!$L$6)*LN(J1154))+('BLAZE SHIELD II'!$L$7*('CALCULO MORTERO'!I1154^2)+'BLAZE SHIELD II'!$L$8*'CALCULO MORTERO'!I1154+'BLAZE SHIELD II'!$L$9)),0)+IF(AND(L1154="Blaze Shield II",M1154="Software Idiem",C1154="L"),((('BLAZE SHIELD II'!$L$4*('CALCULO MORTERO'!I1154^2)+'BLAZE SHIELD II'!$L$5*'CALCULO MORTERO'!I1154+'BLAZE SHIELD II'!$L$6)*LN(J1154))+('BLAZE SHIELD II'!$L$7*('CALCULO MORTERO'!I1154^2)+'BLAZE SHIELD II'!$L$8*'CALCULO MORTERO'!I1154+'BLAZE SHIELD II'!$L$9)),0)+IF(AND(L1154="Blaze Shield II",M1154="Software Idiem",C1154="IN",G1154=3),((('BLAZE SHIELD II'!$H$14*('CALCULO MORTERO'!I1154^2)+'BLAZE SHIELD II'!$H$15*'CALCULO MORTERO'!I1154+'BLAZE SHIELD II'!$H$16)*LN(J1154))+('BLAZE SHIELD II'!$H$17*('CALCULO MORTERO'!I1154^2)+'BLAZE SHIELD II'!$H$18*'CALCULO MORTERO'!I1154+'BLAZE SHIELD II'!$H$19)),0),0)+ROUND(IF(AND(L1154="Cafco 400",M1154="Software Idiem",C1154="IN",G1154=4),((('CAFCO 400 '!$H$7*(J1154^4)+'CAFCO 400 '!$H$8*(J1154^3)+'CAFCO 400 '!$H$9*(J1154^2)+'CAFCO 400 '!$H$10*J1154+'CAFCO 400 '!$H$11)*U1154^2)+(('CAFCO 400 '!$H$12*(J1154^3)+'CAFCO 400 '!$H$13*(J1154^2)+'CAFCO 400 '!$H$14*J1154+'CAFCO 400 '!$H$15)*U1154)+('CAFCO 400 '!$H$16*(J1154^2)+'CAFCO 400 '!$H$17*J1154+'CAFCO 400 '!$H$18)),0)+IF(AND(L1154="Cafco 400",M1154="Software Idiem",C1154="Cj"),(((('CAFCO 400 '!$D$7*LN(J1154)+'CAFCO 400 '!$D$8)*U1154^2)+(('CAFCO 400 '!$D$9*LN(J1154)+'CAFCO 400 '!$D$10)*U1154)+('CAFCO 400 '!$D$11*LN(J1154)+'CAFCO 400 '!$D$12))),0)+IF(AND(L1154="Cafco 400",M1154="Software Idiem",C1154="C"),((('CAFCO 400 '!$L$7*(J1154^3)+'CAFCO 400 '!$L$8*(J1154^2)+'CAFCO 400 '!$L$9*J1154+'CAFCO 400 '!$L$10)*U1154^2)+(('CAFCO 400 '!$L$11*(J1154^3)+'CAFCO 400 '!$L$12*(J1154^2)+'CAFCO 400 '!$L$13*J1154+'CAFCO 400 '!$L$14)*U1154)+('CAFCO 400 '!$L$15*LN(J1154)+'CAFCO 400 '!$L$16)),0)+IF(AND(L1154="Cafco 400",M1154="Software Idiem",C1154="L"),((('CAFCO 400 '!$L$7*(J1154^3)+'CAFCO 400 '!$L$8*(J1154^2)+'CAFCO 400 '!$L$9*J1154+'CAFCO 400 '!$L$10)*U1154^2)+(('CAFCO 400 '!$L$11*(J1154^3)+'CAFCO 400 '!$L$12*(J1154^2)+'CAFCO 400 '!$L$13*J1154+'CAFCO 400 '!$L$14)*U1154)+('CAFCO 400 '!$L$15*LN(J1154)+'CAFCO 400 '!$L$16)),0)+IF(AND(L1154="Cafco 400",M1154="Software Idiem",C1154="IN",G1154=3),((('CAFCO 400 '!$D$23*(J1154^2)+'CAFCO 400 '!$D$24*(J1154)+'CAFCO 400 '!$D$25)*U1154^2)+(('CAFCO 400 '!$D$26*(J1154^2)+'CAFCO 400 '!$D$27*J1154+'CAFCO 400 '!$D$28)*U1154)+('CAFCO 400 '!$D$29*(J1154^2)+'CAFCO 400 '!$D$30*J1154+'CAFCO 400 '!$D$31)),0),0)+IF(AND(L1154="Cafco 300",J1154&gt;=95,J1154&lt;=240,C1154="Cj",I1154=90),VLOOKUP(T1154,'CAFCO 300 IDIEM TABLAS'!$B$4:$D$23,2,FALSE),0)+IF(AND(L1154="Cafco 300",J1154&gt;=95,J1154&lt;=240,C1154="Cj",I1154=120),VLOOKUP(T1154,'CAFCO 300 IDIEM TABLAS'!$B$4:$D$23,3,FALSE),0)+IF(AND(L1154="Cafco 300",J1154&gt;=95,J1154&lt;=400,G1154=3,C1154="IN",I1154=90),VLOOKUP(T1154,'CAFCO 300 IDIEM TABLAS'!$F$4:$H$35,2,FALSE),0)+IF(AND(L1154="Cafco 300",J1154&gt;=95,J1154&lt;=400,G1154=3,C1154="IN",I1154=120),VLOOKUP(T1154,'CAFCO 300 IDIEM TABLAS'!$F$4:$H$35,3,FALSE),0)+IF(AND(L1154="Cafco 300",J1154&gt;=95,J1154&lt;=450,G1154=4,C1154="IN",I1154=90),VLOOKUP(T1154,'CAFCO 300 IDIEM TABLAS'!$J$4:$L$40,2,FALSE),0)+IF(AND(L1154="Cafco 300",J1154&gt;=95,J1154&lt;=450,G1154=4,C1154="IN",I1154=120),VLOOKUP(T1154,'CAFCO 300 IDIEM TABLAS'!$J$4:$L$40,3,FALSE),0)+IF(AND(M1154="Ensayo Idiem",L1154="Cafco 400",C1154="IN",G1154=4,I1154=90),VLOOKUP(T1154,'CAFCO 400 ENSAYO'!$B$7:$D$43,2,FALSE),0)+IF(AND(M1154="Ensayo Idiem",L1154="Cafco 400",C1154="IN",G1154=4,I1154=120),VLOOKUP(T1154,'CAFCO 400 ENSAYO'!$B$7:$D$43,3,FALSE),0)</f>
        <v>0</v>
      </c>
      <c r="O1154" s="96">
        <f t="shared" si="114"/>
        <v>0</v>
      </c>
      <c r="P1154" s="95" t="str">
        <f t="shared" si="115"/>
        <v>N/A</v>
      </c>
      <c r="Q1154" s="95" t="str">
        <f t="shared" si="116"/>
        <v>N/A</v>
      </c>
      <c r="R1154" s="95" t="str">
        <f t="shared" si="117"/>
        <v>NO CERT.</v>
      </c>
      <c r="S1154" s="95" t="e">
        <f t="shared" si="118"/>
        <v>#N/A</v>
      </c>
      <c r="T1154" s="119" t="e">
        <f>+IF(J1154=LOOKUP(J1154,'CAFCO 300 IDIEM TABLAS'!$J$4:$J$40),'CALCULO MORTERO'!J1154,MROUND('CALCULO MORTERO'!J1154,10))</f>
        <v>#N/A</v>
      </c>
      <c r="U1154" s="118">
        <f t="shared" si="119"/>
        <v>0</v>
      </c>
    </row>
    <row r="1155" spans="1:21" x14ac:dyDescent="0.25">
      <c r="A1155" s="118">
        <f>+CUBICACION!D1149</f>
        <v>0</v>
      </c>
      <c r="B1155" s="819">
        <f>+CUBICACION!E1149</f>
        <v>0</v>
      </c>
      <c r="C1155" s="675">
        <f>+CUBICACION!F1149</f>
        <v>0</v>
      </c>
      <c r="D1155" s="118"/>
      <c r="E1155" s="118"/>
      <c r="F1155" s="820"/>
      <c r="G1155" s="675">
        <f>+CUBICACION!J1149</f>
        <v>0</v>
      </c>
      <c r="H1155" s="118"/>
      <c r="I1155" s="821">
        <f>+CUBICACION!L1149</f>
        <v>0</v>
      </c>
      <c r="J1155" s="64">
        <f>+CUBICACION!M1149</f>
        <v>0</v>
      </c>
      <c r="K1155" s="822" t="str">
        <f>+CUBICACION!N1149</f>
        <v/>
      </c>
      <c r="L1155" s="118">
        <f>+CUBICACION!O1149</f>
        <v>0</v>
      </c>
      <c r="M1155" s="823">
        <f>+CUBICACION!P1149</f>
        <v>0</v>
      </c>
      <c r="N1155" s="902">
        <f>ROUND(IF(AND(L1155="Blaze Shield II",M1155="Software Idiem",C1155="IN",G1155=4),((('BLAZE SHIELD II'!$D$4*('CALCULO MORTERO'!I1155^2)+'BLAZE SHIELD II'!$D$5*'CALCULO MORTERO'!I1155+'BLAZE SHIELD II'!$D$6)*LN(J1155))+('BLAZE SHIELD II'!$D$7*('CALCULO MORTERO'!I1155^2)+'BLAZE SHIELD II'!$D$8*'CALCULO MORTERO'!I1155+'BLAZE SHIELD II'!$D$9)),0)+IF(AND(L1155="Blaze Shield II",M1155="Software Idiem",C1155="Cj"),((('BLAZE SHIELD II'!$H$4*('CALCULO MORTERO'!I1155^2)+'BLAZE SHIELD II'!$H$5*'CALCULO MORTERO'!I1155+'BLAZE SHIELD II'!$H$6)*LN(J1155))+('BLAZE SHIELD II'!$H$7*('CALCULO MORTERO'!I1155^2)+'BLAZE SHIELD II'!$H$8*'CALCULO MORTERO'!I1155+'BLAZE SHIELD II'!$H$9)),0)+IF(AND(L1155="Blaze Shield II",M1155="Software Idiem",C1155="C"),((('BLAZE SHIELD II'!$L$4*('CALCULO MORTERO'!I1155^2)+'BLAZE SHIELD II'!$L$5*'CALCULO MORTERO'!I1155+'BLAZE SHIELD II'!$L$6)*LN(J1155))+('BLAZE SHIELD II'!$L$7*('CALCULO MORTERO'!I1155^2)+'BLAZE SHIELD II'!$L$8*'CALCULO MORTERO'!I1155+'BLAZE SHIELD II'!$L$9)),0)+IF(AND(L1155="Blaze Shield II",M1155="Software Idiem",C1155="L"),((('BLAZE SHIELD II'!$L$4*('CALCULO MORTERO'!I1155^2)+'BLAZE SHIELD II'!$L$5*'CALCULO MORTERO'!I1155+'BLAZE SHIELD II'!$L$6)*LN(J1155))+('BLAZE SHIELD II'!$L$7*('CALCULO MORTERO'!I1155^2)+'BLAZE SHIELD II'!$L$8*'CALCULO MORTERO'!I1155+'BLAZE SHIELD II'!$L$9)),0)+IF(AND(L1155="Blaze Shield II",M1155="Software Idiem",C1155="IN",G1155=3),((('BLAZE SHIELD II'!$H$14*('CALCULO MORTERO'!I1155^2)+'BLAZE SHIELD II'!$H$15*'CALCULO MORTERO'!I1155+'BLAZE SHIELD II'!$H$16)*LN(J1155))+('BLAZE SHIELD II'!$H$17*('CALCULO MORTERO'!I1155^2)+'BLAZE SHIELD II'!$H$18*'CALCULO MORTERO'!I1155+'BLAZE SHIELD II'!$H$19)),0),0)+ROUND(IF(AND(L1155="Cafco 400",M1155="Software Idiem",C1155="IN",G1155=4),((('CAFCO 400 '!$H$7*(J1155^4)+'CAFCO 400 '!$H$8*(J1155^3)+'CAFCO 400 '!$H$9*(J1155^2)+'CAFCO 400 '!$H$10*J1155+'CAFCO 400 '!$H$11)*U1155^2)+(('CAFCO 400 '!$H$12*(J1155^3)+'CAFCO 400 '!$H$13*(J1155^2)+'CAFCO 400 '!$H$14*J1155+'CAFCO 400 '!$H$15)*U1155)+('CAFCO 400 '!$H$16*(J1155^2)+'CAFCO 400 '!$H$17*J1155+'CAFCO 400 '!$H$18)),0)+IF(AND(L1155="Cafco 400",M1155="Software Idiem",C1155="Cj"),(((('CAFCO 400 '!$D$7*LN(J1155)+'CAFCO 400 '!$D$8)*U1155^2)+(('CAFCO 400 '!$D$9*LN(J1155)+'CAFCO 400 '!$D$10)*U1155)+('CAFCO 400 '!$D$11*LN(J1155)+'CAFCO 400 '!$D$12))),0)+IF(AND(L1155="Cafco 400",M1155="Software Idiem",C1155="C"),((('CAFCO 400 '!$L$7*(J1155^3)+'CAFCO 400 '!$L$8*(J1155^2)+'CAFCO 400 '!$L$9*J1155+'CAFCO 400 '!$L$10)*U1155^2)+(('CAFCO 400 '!$L$11*(J1155^3)+'CAFCO 400 '!$L$12*(J1155^2)+'CAFCO 400 '!$L$13*J1155+'CAFCO 400 '!$L$14)*U1155)+('CAFCO 400 '!$L$15*LN(J1155)+'CAFCO 400 '!$L$16)),0)+IF(AND(L1155="Cafco 400",M1155="Software Idiem",C1155="L"),((('CAFCO 400 '!$L$7*(J1155^3)+'CAFCO 400 '!$L$8*(J1155^2)+'CAFCO 400 '!$L$9*J1155+'CAFCO 400 '!$L$10)*U1155^2)+(('CAFCO 400 '!$L$11*(J1155^3)+'CAFCO 400 '!$L$12*(J1155^2)+'CAFCO 400 '!$L$13*J1155+'CAFCO 400 '!$L$14)*U1155)+('CAFCO 400 '!$L$15*LN(J1155)+'CAFCO 400 '!$L$16)),0)+IF(AND(L1155="Cafco 400",M1155="Software Idiem",C1155="IN",G1155=3),((('CAFCO 400 '!$D$23*(J1155^2)+'CAFCO 400 '!$D$24*(J1155)+'CAFCO 400 '!$D$25)*U1155^2)+(('CAFCO 400 '!$D$26*(J1155^2)+'CAFCO 400 '!$D$27*J1155+'CAFCO 400 '!$D$28)*U1155)+('CAFCO 400 '!$D$29*(J1155^2)+'CAFCO 400 '!$D$30*J1155+'CAFCO 400 '!$D$31)),0),0)+IF(AND(L1155="Cafco 300",J1155&gt;=95,J1155&lt;=240,C1155="Cj",I1155=90),VLOOKUP(T1155,'CAFCO 300 IDIEM TABLAS'!$B$4:$D$23,2,FALSE),0)+IF(AND(L1155="Cafco 300",J1155&gt;=95,J1155&lt;=240,C1155="Cj",I1155=120),VLOOKUP(T1155,'CAFCO 300 IDIEM TABLAS'!$B$4:$D$23,3,FALSE),0)+IF(AND(L1155="Cafco 300",J1155&gt;=95,J1155&lt;=400,G1155=3,C1155="IN",I1155=90),VLOOKUP(T1155,'CAFCO 300 IDIEM TABLAS'!$F$4:$H$35,2,FALSE),0)+IF(AND(L1155="Cafco 300",J1155&gt;=95,J1155&lt;=400,G1155=3,C1155="IN",I1155=120),VLOOKUP(T1155,'CAFCO 300 IDIEM TABLAS'!$F$4:$H$35,3,FALSE),0)+IF(AND(L1155="Cafco 300",J1155&gt;=95,J1155&lt;=450,G1155=4,C1155="IN",I1155=90),VLOOKUP(T1155,'CAFCO 300 IDIEM TABLAS'!$J$4:$L$40,2,FALSE),0)+IF(AND(L1155="Cafco 300",J1155&gt;=95,J1155&lt;=450,G1155=4,C1155="IN",I1155=120),VLOOKUP(T1155,'CAFCO 300 IDIEM TABLAS'!$J$4:$L$40,3,FALSE),0)+IF(AND(M1155="Ensayo Idiem",L1155="Cafco 400",C1155="IN",G1155=4,I1155=90),VLOOKUP(T1155,'CAFCO 400 ENSAYO'!$B$7:$D$43,2,FALSE),0)+IF(AND(M1155="Ensayo Idiem",L1155="Cafco 400",C1155="IN",G1155=4,I1155=120),VLOOKUP(T1155,'CAFCO 400 ENSAYO'!$B$7:$D$43,3,FALSE),0)</f>
        <v>0</v>
      </c>
      <c r="O1155" s="96">
        <f t="shared" si="114"/>
        <v>0</v>
      </c>
      <c r="P1155" s="132" t="str">
        <f t="shared" si="115"/>
        <v>N/A</v>
      </c>
      <c r="Q1155" s="132" t="str">
        <f t="shared" si="116"/>
        <v>N/A</v>
      </c>
      <c r="R1155" s="132" t="str">
        <f t="shared" si="117"/>
        <v>NO CERT.</v>
      </c>
      <c r="S1155" s="132" t="e">
        <f t="shared" si="118"/>
        <v>#N/A</v>
      </c>
      <c r="T1155" s="133" t="e">
        <f>+IF(J1155=LOOKUP(J1155,'CAFCO 300 IDIEM TABLAS'!$J$4:$J$40),'CALCULO MORTERO'!J1155,MROUND('CALCULO MORTERO'!J1155,10))</f>
        <v>#N/A</v>
      </c>
      <c r="U1155" s="134">
        <f t="shared" si="119"/>
        <v>0</v>
      </c>
    </row>
    <row r="1156" spans="1:21" x14ac:dyDescent="0.25">
      <c r="A1156" s="118">
        <f>+CUBICACION!D1150</f>
        <v>0</v>
      </c>
      <c r="B1156" s="819">
        <f>+CUBICACION!E1150</f>
        <v>0</v>
      </c>
      <c r="C1156" s="675">
        <f>+CUBICACION!F1150</f>
        <v>0</v>
      </c>
      <c r="D1156" s="118"/>
      <c r="E1156" s="118"/>
      <c r="F1156" s="820"/>
      <c r="G1156" s="675">
        <f>+CUBICACION!J1150</f>
        <v>0</v>
      </c>
      <c r="H1156" s="118"/>
      <c r="I1156" s="821">
        <f>+CUBICACION!L1150</f>
        <v>0</v>
      </c>
      <c r="J1156" s="64">
        <f>+CUBICACION!M1150</f>
        <v>0</v>
      </c>
      <c r="K1156" s="822" t="str">
        <f>+CUBICACION!N1150</f>
        <v/>
      </c>
      <c r="L1156" s="118">
        <f>+CUBICACION!O1150</f>
        <v>0</v>
      </c>
      <c r="M1156" s="823">
        <f>+CUBICACION!P1150</f>
        <v>0</v>
      </c>
      <c r="N1156" s="902">
        <f>ROUND(IF(AND(L1156="Blaze Shield II",M1156="Software Idiem",C1156="IN",G1156=4),((('BLAZE SHIELD II'!$D$4*('CALCULO MORTERO'!I1156^2)+'BLAZE SHIELD II'!$D$5*'CALCULO MORTERO'!I1156+'BLAZE SHIELD II'!$D$6)*LN(J1156))+('BLAZE SHIELD II'!$D$7*('CALCULO MORTERO'!I1156^2)+'BLAZE SHIELD II'!$D$8*'CALCULO MORTERO'!I1156+'BLAZE SHIELD II'!$D$9)),0)+IF(AND(L1156="Blaze Shield II",M1156="Software Idiem",C1156="Cj"),((('BLAZE SHIELD II'!$H$4*('CALCULO MORTERO'!I1156^2)+'BLAZE SHIELD II'!$H$5*'CALCULO MORTERO'!I1156+'BLAZE SHIELD II'!$H$6)*LN(J1156))+('BLAZE SHIELD II'!$H$7*('CALCULO MORTERO'!I1156^2)+'BLAZE SHIELD II'!$H$8*'CALCULO MORTERO'!I1156+'BLAZE SHIELD II'!$H$9)),0)+IF(AND(L1156="Blaze Shield II",M1156="Software Idiem",C1156="C"),((('BLAZE SHIELD II'!$L$4*('CALCULO MORTERO'!I1156^2)+'BLAZE SHIELD II'!$L$5*'CALCULO MORTERO'!I1156+'BLAZE SHIELD II'!$L$6)*LN(J1156))+('BLAZE SHIELD II'!$L$7*('CALCULO MORTERO'!I1156^2)+'BLAZE SHIELD II'!$L$8*'CALCULO MORTERO'!I1156+'BLAZE SHIELD II'!$L$9)),0)+IF(AND(L1156="Blaze Shield II",M1156="Software Idiem",C1156="L"),((('BLAZE SHIELD II'!$L$4*('CALCULO MORTERO'!I1156^2)+'BLAZE SHIELD II'!$L$5*'CALCULO MORTERO'!I1156+'BLAZE SHIELD II'!$L$6)*LN(J1156))+('BLAZE SHIELD II'!$L$7*('CALCULO MORTERO'!I1156^2)+'BLAZE SHIELD II'!$L$8*'CALCULO MORTERO'!I1156+'BLAZE SHIELD II'!$L$9)),0)+IF(AND(L1156="Blaze Shield II",M1156="Software Idiem",C1156="IN",G1156=3),((('BLAZE SHIELD II'!$H$14*('CALCULO MORTERO'!I1156^2)+'BLAZE SHIELD II'!$H$15*'CALCULO MORTERO'!I1156+'BLAZE SHIELD II'!$H$16)*LN(J1156))+('BLAZE SHIELD II'!$H$17*('CALCULO MORTERO'!I1156^2)+'BLAZE SHIELD II'!$H$18*'CALCULO MORTERO'!I1156+'BLAZE SHIELD II'!$H$19)),0),0)+ROUND(IF(AND(L1156="Cafco 400",M1156="Software Idiem",C1156="IN",G1156=4),((('CAFCO 400 '!$H$7*(J1156^4)+'CAFCO 400 '!$H$8*(J1156^3)+'CAFCO 400 '!$H$9*(J1156^2)+'CAFCO 400 '!$H$10*J1156+'CAFCO 400 '!$H$11)*U1156^2)+(('CAFCO 400 '!$H$12*(J1156^3)+'CAFCO 400 '!$H$13*(J1156^2)+'CAFCO 400 '!$H$14*J1156+'CAFCO 400 '!$H$15)*U1156)+('CAFCO 400 '!$H$16*(J1156^2)+'CAFCO 400 '!$H$17*J1156+'CAFCO 400 '!$H$18)),0)+IF(AND(L1156="Cafco 400",M1156="Software Idiem",C1156="Cj"),(((('CAFCO 400 '!$D$7*LN(J1156)+'CAFCO 400 '!$D$8)*U1156^2)+(('CAFCO 400 '!$D$9*LN(J1156)+'CAFCO 400 '!$D$10)*U1156)+('CAFCO 400 '!$D$11*LN(J1156)+'CAFCO 400 '!$D$12))),0)+IF(AND(L1156="Cafco 400",M1156="Software Idiem",C1156="C"),((('CAFCO 400 '!$L$7*(J1156^3)+'CAFCO 400 '!$L$8*(J1156^2)+'CAFCO 400 '!$L$9*J1156+'CAFCO 400 '!$L$10)*U1156^2)+(('CAFCO 400 '!$L$11*(J1156^3)+'CAFCO 400 '!$L$12*(J1156^2)+'CAFCO 400 '!$L$13*J1156+'CAFCO 400 '!$L$14)*U1156)+('CAFCO 400 '!$L$15*LN(J1156)+'CAFCO 400 '!$L$16)),0)+IF(AND(L1156="Cafco 400",M1156="Software Idiem",C1156="L"),((('CAFCO 400 '!$L$7*(J1156^3)+'CAFCO 400 '!$L$8*(J1156^2)+'CAFCO 400 '!$L$9*J1156+'CAFCO 400 '!$L$10)*U1156^2)+(('CAFCO 400 '!$L$11*(J1156^3)+'CAFCO 400 '!$L$12*(J1156^2)+'CAFCO 400 '!$L$13*J1156+'CAFCO 400 '!$L$14)*U1156)+('CAFCO 400 '!$L$15*LN(J1156)+'CAFCO 400 '!$L$16)),0)+IF(AND(L1156="Cafco 400",M1156="Software Idiem",C1156="IN",G1156=3),((('CAFCO 400 '!$D$23*(J1156^2)+'CAFCO 400 '!$D$24*(J1156)+'CAFCO 400 '!$D$25)*U1156^2)+(('CAFCO 400 '!$D$26*(J1156^2)+'CAFCO 400 '!$D$27*J1156+'CAFCO 400 '!$D$28)*U1156)+('CAFCO 400 '!$D$29*(J1156^2)+'CAFCO 400 '!$D$30*J1156+'CAFCO 400 '!$D$31)),0),0)+IF(AND(L1156="Cafco 300",J1156&gt;=95,J1156&lt;=240,C1156="Cj",I1156=90),VLOOKUP(T1156,'CAFCO 300 IDIEM TABLAS'!$B$4:$D$23,2,FALSE),0)+IF(AND(L1156="Cafco 300",J1156&gt;=95,J1156&lt;=240,C1156="Cj",I1156=120),VLOOKUP(T1156,'CAFCO 300 IDIEM TABLAS'!$B$4:$D$23,3,FALSE),0)+IF(AND(L1156="Cafco 300",J1156&gt;=95,J1156&lt;=400,G1156=3,C1156="IN",I1156=90),VLOOKUP(T1156,'CAFCO 300 IDIEM TABLAS'!$F$4:$H$35,2,FALSE),0)+IF(AND(L1156="Cafco 300",J1156&gt;=95,J1156&lt;=400,G1156=3,C1156="IN",I1156=120),VLOOKUP(T1156,'CAFCO 300 IDIEM TABLAS'!$F$4:$H$35,3,FALSE),0)+IF(AND(L1156="Cafco 300",J1156&gt;=95,J1156&lt;=450,G1156=4,C1156="IN",I1156=90),VLOOKUP(T1156,'CAFCO 300 IDIEM TABLAS'!$J$4:$L$40,2,FALSE),0)+IF(AND(L1156="Cafco 300",J1156&gt;=95,J1156&lt;=450,G1156=4,C1156="IN",I1156=120),VLOOKUP(T1156,'CAFCO 300 IDIEM TABLAS'!$J$4:$L$40,3,FALSE),0)+IF(AND(M1156="Ensayo Idiem",L1156="Cafco 400",C1156="IN",G1156=4,I1156=90),VLOOKUP(T1156,'CAFCO 400 ENSAYO'!$B$7:$D$43,2,FALSE),0)+IF(AND(M1156="Ensayo Idiem",L1156="Cafco 400",C1156="IN",G1156=4,I1156=120),VLOOKUP(T1156,'CAFCO 400 ENSAYO'!$B$7:$D$43,3,FALSE),0)</f>
        <v>0</v>
      </c>
      <c r="O1156" s="96">
        <f t="shared" si="114"/>
        <v>0</v>
      </c>
      <c r="P1156" s="95" t="str">
        <f t="shared" si="115"/>
        <v>N/A</v>
      </c>
      <c r="Q1156" s="95" t="str">
        <f t="shared" si="116"/>
        <v>N/A</v>
      </c>
      <c r="R1156" s="95" t="str">
        <f t="shared" si="117"/>
        <v>NO CERT.</v>
      </c>
      <c r="S1156" s="95" t="e">
        <f t="shared" si="118"/>
        <v>#N/A</v>
      </c>
      <c r="T1156" s="119" t="e">
        <f>+IF(J1156=LOOKUP(J1156,'CAFCO 300 IDIEM TABLAS'!$J$4:$J$40),'CALCULO MORTERO'!J1156,MROUND('CALCULO MORTERO'!J1156,10))</f>
        <v>#N/A</v>
      </c>
      <c r="U1156" s="118">
        <f t="shared" si="119"/>
        <v>0</v>
      </c>
    </row>
    <row r="1157" spans="1:21" x14ac:dyDescent="0.25">
      <c r="A1157" s="118">
        <f>+CUBICACION!D1151</f>
        <v>0</v>
      </c>
      <c r="B1157" s="819">
        <f>+CUBICACION!E1151</f>
        <v>0</v>
      </c>
      <c r="C1157" s="675">
        <f>+CUBICACION!F1151</f>
        <v>0</v>
      </c>
      <c r="D1157" s="118"/>
      <c r="E1157" s="118"/>
      <c r="F1157" s="820"/>
      <c r="G1157" s="675">
        <f>+CUBICACION!J1151</f>
        <v>0</v>
      </c>
      <c r="H1157" s="118"/>
      <c r="I1157" s="821">
        <f>+CUBICACION!L1151</f>
        <v>0</v>
      </c>
      <c r="J1157" s="64">
        <f>+CUBICACION!M1151</f>
        <v>0</v>
      </c>
      <c r="K1157" s="822" t="str">
        <f>+CUBICACION!N1151</f>
        <v/>
      </c>
      <c r="L1157" s="118">
        <f>+CUBICACION!O1151</f>
        <v>0</v>
      </c>
      <c r="M1157" s="823">
        <f>+CUBICACION!P1151</f>
        <v>0</v>
      </c>
      <c r="N1157" s="902">
        <f>ROUND(IF(AND(L1157="Blaze Shield II",M1157="Software Idiem",C1157="IN",G1157=4),((('BLAZE SHIELD II'!$D$4*('CALCULO MORTERO'!I1157^2)+'BLAZE SHIELD II'!$D$5*'CALCULO MORTERO'!I1157+'BLAZE SHIELD II'!$D$6)*LN(J1157))+('BLAZE SHIELD II'!$D$7*('CALCULO MORTERO'!I1157^2)+'BLAZE SHIELD II'!$D$8*'CALCULO MORTERO'!I1157+'BLAZE SHIELD II'!$D$9)),0)+IF(AND(L1157="Blaze Shield II",M1157="Software Idiem",C1157="Cj"),((('BLAZE SHIELD II'!$H$4*('CALCULO MORTERO'!I1157^2)+'BLAZE SHIELD II'!$H$5*'CALCULO MORTERO'!I1157+'BLAZE SHIELD II'!$H$6)*LN(J1157))+('BLAZE SHIELD II'!$H$7*('CALCULO MORTERO'!I1157^2)+'BLAZE SHIELD II'!$H$8*'CALCULO MORTERO'!I1157+'BLAZE SHIELD II'!$H$9)),0)+IF(AND(L1157="Blaze Shield II",M1157="Software Idiem",C1157="C"),((('BLAZE SHIELD II'!$L$4*('CALCULO MORTERO'!I1157^2)+'BLAZE SHIELD II'!$L$5*'CALCULO MORTERO'!I1157+'BLAZE SHIELD II'!$L$6)*LN(J1157))+('BLAZE SHIELD II'!$L$7*('CALCULO MORTERO'!I1157^2)+'BLAZE SHIELD II'!$L$8*'CALCULO MORTERO'!I1157+'BLAZE SHIELD II'!$L$9)),0)+IF(AND(L1157="Blaze Shield II",M1157="Software Idiem",C1157="L"),((('BLAZE SHIELD II'!$L$4*('CALCULO MORTERO'!I1157^2)+'BLAZE SHIELD II'!$L$5*'CALCULO MORTERO'!I1157+'BLAZE SHIELD II'!$L$6)*LN(J1157))+('BLAZE SHIELD II'!$L$7*('CALCULO MORTERO'!I1157^2)+'BLAZE SHIELD II'!$L$8*'CALCULO MORTERO'!I1157+'BLAZE SHIELD II'!$L$9)),0)+IF(AND(L1157="Blaze Shield II",M1157="Software Idiem",C1157="IN",G1157=3),((('BLAZE SHIELD II'!$H$14*('CALCULO MORTERO'!I1157^2)+'BLAZE SHIELD II'!$H$15*'CALCULO MORTERO'!I1157+'BLAZE SHIELD II'!$H$16)*LN(J1157))+('BLAZE SHIELD II'!$H$17*('CALCULO MORTERO'!I1157^2)+'BLAZE SHIELD II'!$H$18*'CALCULO MORTERO'!I1157+'BLAZE SHIELD II'!$H$19)),0),0)+ROUND(IF(AND(L1157="Cafco 400",M1157="Software Idiem",C1157="IN",G1157=4),((('CAFCO 400 '!$H$7*(J1157^4)+'CAFCO 400 '!$H$8*(J1157^3)+'CAFCO 400 '!$H$9*(J1157^2)+'CAFCO 400 '!$H$10*J1157+'CAFCO 400 '!$H$11)*U1157^2)+(('CAFCO 400 '!$H$12*(J1157^3)+'CAFCO 400 '!$H$13*(J1157^2)+'CAFCO 400 '!$H$14*J1157+'CAFCO 400 '!$H$15)*U1157)+('CAFCO 400 '!$H$16*(J1157^2)+'CAFCO 400 '!$H$17*J1157+'CAFCO 400 '!$H$18)),0)+IF(AND(L1157="Cafco 400",M1157="Software Idiem",C1157="Cj"),(((('CAFCO 400 '!$D$7*LN(J1157)+'CAFCO 400 '!$D$8)*U1157^2)+(('CAFCO 400 '!$D$9*LN(J1157)+'CAFCO 400 '!$D$10)*U1157)+('CAFCO 400 '!$D$11*LN(J1157)+'CAFCO 400 '!$D$12))),0)+IF(AND(L1157="Cafco 400",M1157="Software Idiem",C1157="C"),((('CAFCO 400 '!$L$7*(J1157^3)+'CAFCO 400 '!$L$8*(J1157^2)+'CAFCO 400 '!$L$9*J1157+'CAFCO 400 '!$L$10)*U1157^2)+(('CAFCO 400 '!$L$11*(J1157^3)+'CAFCO 400 '!$L$12*(J1157^2)+'CAFCO 400 '!$L$13*J1157+'CAFCO 400 '!$L$14)*U1157)+('CAFCO 400 '!$L$15*LN(J1157)+'CAFCO 400 '!$L$16)),0)+IF(AND(L1157="Cafco 400",M1157="Software Idiem",C1157="L"),((('CAFCO 400 '!$L$7*(J1157^3)+'CAFCO 400 '!$L$8*(J1157^2)+'CAFCO 400 '!$L$9*J1157+'CAFCO 400 '!$L$10)*U1157^2)+(('CAFCO 400 '!$L$11*(J1157^3)+'CAFCO 400 '!$L$12*(J1157^2)+'CAFCO 400 '!$L$13*J1157+'CAFCO 400 '!$L$14)*U1157)+('CAFCO 400 '!$L$15*LN(J1157)+'CAFCO 400 '!$L$16)),0)+IF(AND(L1157="Cafco 400",M1157="Software Idiem",C1157="IN",G1157=3),((('CAFCO 400 '!$D$23*(J1157^2)+'CAFCO 400 '!$D$24*(J1157)+'CAFCO 400 '!$D$25)*U1157^2)+(('CAFCO 400 '!$D$26*(J1157^2)+'CAFCO 400 '!$D$27*J1157+'CAFCO 400 '!$D$28)*U1157)+('CAFCO 400 '!$D$29*(J1157^2)+'CAFCO 400 '!$D$30*J1157+'CAFCO 400 '!$D$31)),0),0)+IF(AND(L1157="Cafco 300",J1157&gt;=95,J1157&lt;=240,C1157="Cj",I1157=90),VLOOKUP(T1157,'CAFCO 300 IDIEM TABLAS'!$B$4:$D$23,2,FALSE),0)+IF(AND(L1157="Cafco 300",J1157&gt;=95,J1157&lt;=240,C1157="Cj",I1157=120),VLOOKUP(T1157,'CAFCO 300 IDIEM TABLAS'!$B$4:$D$23,3,FALSE),0)+IF(AND(L1157="Cafco 300",J1157&gt;=95,J1157&lt;=400,G1157=3,C1157="IN",I1157=90),VLOOKUP(T1157,'CAFCO 300 IDIEM TABLAS'!$F$4:$H$35,2,FALSE),0)+IF(AND(L1157="Cafco 300",J1157&gt;=95,J1157&lt;=400,G1157=3,C1157="IN",I1157=120),VLOOKUP(T1157,'CAFCO 300 IDIEM TABLAS'!$F$4:$H$35,3,FALSE),0)+IF(AND(L1157="Cafco 300",J1157&gt;=95,J1157&lt;=450,G1157=4,C1157="IN",I1157=90),VLOOKUP(T1157,'CAFCO 300 IDIEM TABLAS'!$J$4:$L$40,2,FALSE),0)+IF(AND(L1157="Cafco 300",J1157&gt;=95,J1157&lt;=450,G1157=4,C1157="IN",I1157=120),VLOOKUP(T1157,'CAFCO 300 IDIEM TABLAS'!$J$4:$L$40,3,FALSE),0)+IF(AND(M1157="Ensayo Idiem",L1157="Cafco 400",C1157="IN",G1157=4,I1157=90),VLOOKUP(T1157,'CAFCO 400 ENSAYO'!$B$7:$D$43,2,FALSE),0)+IF(AND(M1157="Ensayo Idiem",L1157="Cafco 400",C1157="IN",G1157=4,I1157=120),VLOOKUP(T1157,'CAFCO 400 ENSAYO'!$B$7:$D$43,3,FALSE),0)</f>
        <v>0</v>
      </c>
      <c r="O1157" s="96">
        <f t="shared" si="114"/>
        <v>0</v>
      </c>
      <c r="P1157" s="132" t="str">
        <f t="shared" si="115"/>
        <v>N/A</v>
      </c>
      <c r="Q1157" s="132" t="str">
        <f t="shared" si="116"/>
        <v>N/A</v>
      </c>
      <c r="R1157" s="132" t="str">
        <f t="shared" si="117"/>
        <v>NO CERT.</v>
      </c>
      <c r="S1157" s="132" t="e">
        <f t="shared" si="118"/>
        <v>#N/A</v>
      </c>
      <c r="T1157" s="133" t="e">
        <f>+IF(J1157=LOOKUP(J1157,'CAFCO 300 IDIEM TABLAS'!$J$4:$J$40),'CALCULO MORTERO'!J1157,MROUND('CALCULO MORTERO'!J1157,10))</f>
        <v>#N/A</v>
      </c>
      <c r="U1157" s="134">
        <f t="shared" si="119"/>
        <v>0</v>
      </c>
    </row>
    <row r="1158" spans="1:21" x14ac:dyDescent="0.25">
      <c r="A1158" s="118">
        <f>+CUBICACION!D1152</f>
        <v>0</v>
      </c>
      <c r="B1158" s="819">
        <f>+CUBICACION!E1152</f>
        <v>0</v>
      </c>
      <c r="C1158" s="675">
        <f>+CUBICACION!F1152</f>
        <v>0</v>
      </c>
      <c r="D1158" s="118"/>
      <c r="E1158" s="118"/>
      <c r="F1158" s="820"/>
      <c r="G1158" s="675">
        <f>+CUBICACION!J1152</f>
        <v>0</v>
      </c>
      <c r="H1158" s="118"/>
      <c r="I1158" s="821">
        <f>+CUBICACION!L1152</f>
        <v>0</v>
      </c>
      <c r="J1158" s="64">
        <f>+CUBICACION!M1152</f>
        <v>0</v>
      </c>
      <c r="K1158" s="822" t="str">
        <f>+CUBICACION!N1152</f>
        <v/>
      </c>
      <c r="L1158" s="118">
        <f>+CUBICACION!O1152</f>
        <v>0</v>
      </c>
      <c r="M1158" s="823">
        <f>+CUBICACION!P1152</f>
        <v>0</v>
      </c>
      <c r="N1158" s="902">
        <f>ROUND(IF(AND(L1158="Blaze Shield II",M1158="Software Idiem",C1158="IN",G1158=4),((('BLAZE SHIELD II'!$D$4*('CALCULO MORTERO'!I1158^2)+'BLAZE SHIELD II'!$D$5*'CALCULO MORTERO'!I1158+'BLAZE SHIELD II'!$D$6)*LN(J1158))+('BLAZE SHIELD II'!$D$7*('CALCULO MORTERO'!I1158^2)+'BLAZE SHIELD II'!$D$8*'CALCULO MORTERO'!I1158+'BLAZE SHIELD II'!$D$9)),0)+IF(AND(L1158="Blaze Shield II",M1158="Software Idiem",C1158="Cj"),((('BLAZE SHIELD II'!$H$4*('CALCULO MORTERO'!I1158^2)+'BLAZE SHIELD II'!$H$5*'CALCULO MORTERO'!I1158+'BLAZE SHIELD II'!$H$6)*LN(J1158))+('BLAZE SHIELD II'!$H$7*('CALCULO MORTERO'!I1158^2)+'BLAZE SHIELD II'!$H$8*'CALCULO MORTERO'!I1158+'BLAZE SHIELD II'!$H$9)),0)+IF(AND(L1158="Blaze Shield II",M1158="Software Idiem",C1158="C"),((('BLAZE SHIELD II'!$L$4*('CALCULO MORTERO'!I1158^2)+'BLAZE SHIELD II'!$L$5*'CALCULO MORTERO'!I1158+'BLAZE SHIELD II'!$L$6)*LN(J1158))+('BLAZE SHIELD II'!$L$7*('CALCULO MORTERO'!I1158^2)+'BLAZE SHIELD II'!$L$8*'CALCULO MORTERO'!I1158+'BLAZE SHIELD II'!$L$9)),0)+IF(AND(L1158="Blaze Shield II",M1158="Software Idiem",C1158="L"),((('BLAZE SHIELD II'!$L$4*('CALCULO MORTERO'!I1158^2)+'BLAZE SHIELD II'!$L$5*'CALCULO MORTERO'!I1158+'BLAZE SHIELD II'!$L$6)*LN(J1158))+('BLAZE SHIELD II'!$L$7*('CALCULO MORTERO'!I1158^2)+'BLAZE SHIELD II'!$L$8*'CALCULO MORTERO'!I1158+'BLAZE SHIELD II'!$L$9)),0)+IF(AND(L1158="Blaze Shield II",M1158="Software Idiem",C1158="IN",G1158=3),((('BLAZE SHIELD II'!$H$14*('CALCULO MORTERO'!I1158^2)+'BLAZE SHIELD II'!$H$15*'CALCULO MORTERO'!I1158+'BLAZE SHIELD II'!$H$16)*LN(J1158))+('BLAZE SHIELD II'!$H$17*('CALCULO MORTERO'!I1158^2)+'BLAZE SHIELD II'!$H$18*'CALCULO MORTERO'!I1158+'BLAZE SHIELD II'!$H$19)),0),0)+ROUND(IF(AND(L1158="Cafco 400",M1158="Software Idiem",C1158="IN",G1158=4),((('CAFCO 400 '!$H$7*(J1158^4)+'CAFCO 400 '!$H$8*(J1158^3)+'CAFCO 400 '!$H$9*(J1158^2)+'CAFCO 400 '!$H$10*J1158+'CAFCO 400 '!$H$11)*U1158^2)+(('CAFCO 400 '!$H$12*(J1158^3)+'CAFCO 400 '!$H$13*(J1158^2)+'CAFCO 400 '!$H$14*J1158+'CAFCO 400 '!$H$15)*U1158)+('CAFCO 400 '!$H$16*(J1158^2)+'CAFCO 400 '!$H$17*J1158+'CAFCO 400 '!$H$18)),0)+IF(AND(L1158="Cafco 400",M1158="Software Idiem",C1158="Cj"),(((('CAFCO 400 '!$D$7*LN(J1158)+'CAFCO 400 '!$D$8)*U1158^2)+(('CAFCO 400 '!$D$9*LN(J1158)+'CAFCO 400 '!$D$10)*U1158)+('CAFCO 400 '!$D$11*LN(J1158)+'CAFCO 400 '!$D$12))),0)+IF(AND(L1158="Cafco 400",M1158="Software Idiem",C1158="C"),((('CAFCO 400 '!$L$7*(J1158^3)+'CAFCO 400 '!$L$8*(J1158^2)+'CAFCO 400 '!$L$9*J1158+'CAFCO 400 '!$L$10)*U1158^2)+(('CAFCO 400 '!$L$11*(J1158^3)+'CAFCO 400 '!$L$12*(J1158^2)+'CAFCO 400 '!$L$13*J1158+'CAFCO 400 '!$L$14)*U1158)+('CAFCO 400 '!$L$15*LN(J1158)+'CAFCO 400 '!$L$16)),0)+IF(AND(L1158="Cafco 400",M1158="Software Idiem",C1158="L"),((('CAFCO 400 '!$L$7*(J1158^3)+'CAFCO 400 '!$L$8*(J1158^2)+'CAFCO 400 '!$L$9*J1158+'CAFCO 400 '!$L$10)*U1158^2)+(('CAFCO 400 '!$L$11*(J1158^3)+'CAFCO 400 '!$L$12*(J1158^2)+'CAFCO 400 '!$L$13*J1158+'CAFCO 400 '!$L$14)*U1158)+('CAFCO 400 '!$L$15*LN(J1158)+'CAFCO 400 '!$L$16)),0)+IF(AND(L1158="Cafco 400",M1158="Software Idiem",C1158="IN",G1158=3),((('CAFCO 400 '!$D$23*(J1158^2)+'CAFCO 400 '!$D$24*(J1158)+'CAFCO 400 '!$D$25)*U1158^2)+(('CAFCO 400 '!$D$26*(J1158^2)+'CAFCO 400 '!$D$27*J1158+'CAFCO 400 '!$D$28)*U1158)+('CAFCO 400 '!$D$29*(J1158^2)+'CAFCO 400 '!$D$30*J1158+'CAFCO 400 '!$D$31)),0),0)+IF(AND(L1158="Cafco 300",J1158&gt;=95,J1158&lt;=240,C1158="Cj",I1158=90),VLOOKUP(T1158,'CAFCO 300 IDIEM TABLAS'!$B$4:$D$23,2,FALSE),0)+IF(AND(L1158="Cafco 300",J1158&gt;=95,J1158&lt;=240,C1158="Cj",I1158=120),VLOOKUP(T1158,'CAFCO 300 IDIEM TABLAS'!$B$4:$D$23,3,FALSE),0)+IF(AND(L1158="Cafco 300",J1158&gt;=95,J1158&lt;=400,G1158=3,C1158="IN",I1158=90),VLOOKUP(T1158,'CAFCO 300 IDIEM TABLAS'!$F$4:$H$35,2,FALSE),0)+IF(AND(L1158="Cafco 300",J1158&gt;=95,J1158&lt;=400,G1158=3,C1158="IN",I1158=120),VLOOKUP(T1158,'CAFCO 300 IDIEM TABLAS'!$F$4:$H$35,3,FALSE),0)+IF(AND(L1158="Cafco 300",J1158&gt;=95,J1158&lt;=450,G1158=4,C1158="IN",I1158=90),VLOOKUP(T1158,'CAFCO 300 IDIEM TABLAS'!$J$4:$L$40,2,FALSE),0)+IF(AND(L1158="Cafco 300",J1158&gt;=95,J1158&lt;=450,G1158=4,C1158="IN",I1158=120),VLOOKUP(T1158,'CAFCO 300 IDIEM TABLAS'!$J$4:$L$40,3,FALSE),0)+IF(AND(M1158="Ensayo Idiem",L1158="Cafco 400",C1158="IN",G1158=4,I1158=90),VLOOKUP(T1158,'CAFCO 400 ENSAYO'!$B$7:$D$43,2,FALSE),0)+IF(AND(M1158="Ensayo Idiem",L1158="Cafco 400",C1158="IN",G1158=4,I1158=120),VLOOKUP(T1158,'CAFCO 400 ENSAYO'!$B$7:$D$43,3,FALSE),0)</f>
        <v>0</v>
      </c>
      <c r="O1158" s="96">
        <f t="shared" si="114"/>
        <v>0</v>
      </c>
      <c r="P1158" s="95" t="str">
        <f t="shared" si="115"/>
        <v>N/A</v>
      </c>
      <c r="Q1158" s="95" t="str">
        <f t="shared" si="116"/>
        <v>N/A</v>
      </c>
      <c r="R1158" s="95" t="str">
        <f t="shared" si="117"/>
        <v>NO CERT.</v>
      </c>
      <c r="S1158" s="95" t="e">
        <f t="shared" si="118"/>
        <v>#N/A</v>
      </c>
      <c r="T1158" s="119" t="e">
        <f>+IF(J1158=LOOKUP(J1158,'CAFCO 300 IDIEM TABLAS'!$J$4:$J$40),'CALCULO MORTERO'!J1158,MROUND('CALCULO MORTERO'!J1158,10))</f>
        <v>#N/A</v>
      </c>
      <c r="U1158" s="118">
        <f t="shared" si="119"/>
        <v>0</v>
      </c>
    </row>
    <row r="1159" spans="1:21" x14ac:dyDescent="0.25">
      <c r="A1159" s="118">
        <f>+CUBICACION!D1153</f>
        <v>0</v>
      </c>
      <c r="B1159" s="819">
        <f>+CUBICACION!E1153</f>
        <v>0</v>
      </c>
      <c r="C1159" s="675">
        <f>+CUBICACION!F1153</f>
        <v>0</v>
      </c>
      <c r="D1159" s="118"/>
      <c r="E1159" s="118"/>
      <c r="F1159" s="820"/>
      <c r="G1159" s="675">
        <f>+CUBICACION!J1153</f>
        <v>0</v>
      </c>
      <c r="H1159" s="118"/>
      <c r="I1159" s="821">
        <f>+CUBICACION!L1153</f>
        <v>0</v>
      </c>
      <c r="J1159" s="64">
        <f>+CUBICACION!M1153</f>
        <v>0</v>
      </c>
      <c r="K1159" s="822" t="str">
        <f>+CUBICACION!N1153</f>
        <v/>
      </c>
      <c r="L1159" s="118">
        <f>+CUBICACION!O1153</f>
        <v>0</v>
      </c>
      <c r="M1159" s="823">
        <f>+CUBICACION!P1153</f>
        <v>0</v>
      </c>
      <c r="N1159" s="902">
        <f>ROUND(IF(AND(L1159="Blaze Shield II",M1159="Software Idiem",C1159="IN",G1159=4),((('BLAZE SHIELD II'!$D$4*('CALCULO MORTERO'!I1159^2)+'BLAZE SHIELD II'!$D$5*'CALCULO MORTERO'!I1159+'BLAZE SHIELD II'!$D$6)*LN(J1159))+('BLAZE SHIELD II'!$D$7*('CALCULO MORTERO'!I1159^2)+'BLAZE SHIELD II'!$D$8*'CALCULO MORTERO'!I1159+'BLAZE SHIELD II'!$D$9)),0)+IF(AND(L1159="Blaze Shield II",M1159="Software Idiem",C1159="Cj"),((('BLAZE SHIELD II'!$H$4*('CALCULO MORTERO'!I1159^2)+'BLAZE SHIELD II'!$H$5*'CALCULO MORTERO'!I1159+'BLAZE SHIELD II'!$H$6)*LN(J1159))+('BLAZE SHIELD II'!$H$7*('CALCULO MORTERO'!I1159^2)+'BLAZE SHIELD II'!$H$8*'CALCULO MORTERO'!I1159+'BLAZE SHIELD II'!$H$9)),0)+IF(AND(L1159="Blaze Shield II",M1159="Software Idiem",C1159="C"),((('BLAZE SHIELD II'!$L$4*('CALCULO MORTERO'!I1159^2)+'BLAZE SHIELD II'!$L$5*'CALCULO MORTERO'!I1159+'BLAZE SHIELD II'!$L$6)*LN(J1159))+('BLAZE SHIELD II'!$L$7*('CALCULO MORTERO'!I1159^2)+'BLAZE SHIELD II'!$L$8*'CALCULO MORTERO'!I1159+'BLAZE SHIELD II'!$L$9)),0)+IF(AND(L1159="Blaze Shield II",M1159="Software Idiem",C1159="L"),((('BLAZE SHIELD II'!$L$4*('CALCULO MORTERO'!I1159^2)+'BLAZE SHIELD II'!$L$5*'CALCULO MORTERO'!I1159+'BLAZE SHIELD II'!$L$6)*LN(J1159))+('BLAZE SHIELD II'!$L$7*('CALCULO MORTERO'!I1159^2)+'BLAZE SHIELD II'!$L$8*'CALCULO MORTERO'!I1159+'BLAZE SHIELD II'!$L$9)),0)+IF(AND(L1159="Blaze Shield II",M1159="Software Idiem",C1159="IN",G1159=3),((('BLAZE SHIELD II'!$H$14*('CALCULO MORTERO'!I1159^2)+'BLAZE SHIELD II'!$H$15*'CALCULO MORTERO'!I1159+'BLAZE SHIELD II'!$H$16)*LN(J1159))+('BLAZE SHIELD II'!$H$17*('CALCULO MORTERO'!I1159^2)+'BLAZE SHIELD II'!$H$18*'CALCULO MORTERO'!I1159+'BLAZE SHIELD II'!$H$19)),0),0)+ROUND(IF(AND(L1159="Cafco 400",M1159="Software Idiem",C1159="IN",G1159=4),((('CAFCO 400 '!$H$7*(J1159^4)+'CAFCO 400 '!$H$8*(J1159^3)+'CAFCO 400 '!$H$9*(J1159^2)+'CAFCO 400 '!$H$10*J1159+'CAFCO 400 '!$H$11)*U1159^2)+(('CAFCO 400 '!$H$12*(J1159^3)+'CAFCO 400 '!$H$13*(J1159^2)+'CAFCO 400 '!$H$14*J1159+'CAFCO 400 '!$H$15)*U1159)+('CAFCO 400 '!$H$16*(J1159^2)+'CAFCO 400 '!$H$17*J1159+'CAFCO 400 '!$H$18)),0)+IF(AND(L1159="Cafco 400",M1159="Software Idiem",C1159="Cj"),(((('CAFCO 400 '!$D$7*LN(J1159)+'CAFCO 400 '!$D$8)*U1159^2)+(('CAFCO 400 '!$D$9*LN(J1159)+'CAFCO 400 '!$D$10)*U1159)+('CAFCO 400 '!$D$11*LN(J1159)+'CAFCO 400 '!$D$12))),0)+IF(AND(L1159="Cafco 400",M1159="Software Idiem",C1159="C"),((('CAFCO 400 '!$L$7*(J1159^3)+'CAFCO 400 '!$L$8*(J1159^2)+'CAFCO 400 '!$L$9*J1159+'CAFCO 400 '!$L$10)*U1159^2)+(('CAFCO 400 '!$L$11*(J1159^3)+'CAFCO 400 '!$L$12*(J1159^2)+'CAFCO 400 '!$L$13*J1159+'CAFCO 400 '!$L$14)*U1159)+('CAFCO 400 '!$L$15*LN(J1159)+'CAFCO 400 '!$L$16)),0)+IF(AND(L1159="Cafco 400",M1159="Software Idiem",C1159="L"),((('CAFCO 400 '!$L$7*(J1159^3)+'CAFCO 400 '!$L$8*(J1159^2)+'CAFCO 400 '!$L$9*J1159+'CAFCO 400 '!$L$10)*U1159^2)+(('CAFCO 400 '!$L$11*(J1159^3)+'CAFCO 400 '!$L$12*(J1159^2)+'CAFCO 400 '!$L$13*J1159+'CAFCO 400 '!$L$14)*U1159)+('CAFCO 400 '!$L$15*LN(J1159)+'CAFCO 400 '!$L$16)),0)+IF(AND(L1159="Cafco 400",M1159="Software Idiem",C1159="IN",G1159=3),((('CAFCO 400 '!$D$23*(J1159^2)+'CAFCO 400 '!$D$24*(J1159)+'CAFCO 400 '!$D$25)*U1159^2)+(('CAFCO 400 '!$D$26*(J1159^2)+'CAFCO 400 '!$D$27*J1159+'CAFCO 400 '!$D$28)*U1159)+('CAFCO 400 '!$D$29*(J1159^2)+'CAFCO 400 '!$D$30*J1159+'CAFCO 400 '!$D$31)),0),0)+IF(AND(L1159="Cafco 300",J1159&gt;=95,J1159&lt;=240,C1159="Cj",I1159=90),VLOOKUP(T1159,'CAFCO 300 IDIEM TABLAS'!$B$4:$D$23,2,FALSE),0)+IF(AND(L1159="Cafco 300",J1159&gt;=95,J1159&lt;=240,C1159="Cj",I1159=120),VLOOKUP(T1159,'CAFCO 300 IDIEM TABLAS'!$B$4:$D$23,3,FALSE),0)+IF(AND(L1159="Cafco 300",J1159&gt;=95,J1159&lt;=400,G1159=3,C1159="IN",I1159=90),VLOOKUP(T1159,'CAFCO 300 IDIEM TABLAS'!$F$4:$H$35,2,FALSE),0)+IF(AND(L1159="Cafco 300",J1159&gt;=95,J1159&lt;=400,G1159=3,C1159="IN",I1159=120),VLOOKUP(T1159,'CAFCO 300 IDIEM TABLAS'!$F$4:$H$35,3,FALSE),0)+IF(AND(L1159="Cafco 300",J1159&gt;=95,J1159&lt;=450,G1159=4,C1159="IN",I1159=90),VLOOKUP(T1159,'CAFCO 300 IDIEM TABLAS'!$J$4:$L$40,2,FALSE),0)+IF(AND(L1159="Cafco 300",J1159&gt;=95,J1159&lt;=450,G1159=4,C1159="IN",I1159=120),VLOOKUP(T1159,'CAFCO 300 IDIEM TABLAS'!$J$4:$L$40,3,FALSE),0)+IF(AND(M1159="Ensayo Idiem",L1159="Cafco 400",C1159="IN",G1159=4,I1159=90),VLOOKUP(T1159,'CAFCO 400 ENSAYO'!$B$7:$D$43,2,FALSE),0)+IF(AND(M1159="Ensayo Idiem",L1159="Cafco 400",C1159="IN",G1159=4,I1159=120),VLOOKUP(T1159,'CAFCO 400 ENSAYO'!$B$7:$D$43,3,FALSE),0)</f>
        <v>0</v>
      </c>
      <c r="O1159" s="96">
        <f t="shared" si="114"/>
        <v>0</v>
      </c>
      <c r="P1159" s="132" t="str">
        <f t="shared" si="115"/>
        <v>N/A</v>
      </c>
      <c r="Q1159" s="132" t="str">
        <f t="shared" si="116"/>
        <v>N/A</v>
      </c>
      <c r="R1159" s="132" t="str">
        <f t="shared" si="117"/>
        <v>NO CERT.</v>
      </c>
      <c r="S1159" s="132" t="e">
        <f t="shared" si="118"/>
        <v>#N/A</v>
      </c>
      <c r="T1159" s="133" t="e">
        <f>+IF(J1159=LOOKUP(J1159,'CAFCO 300 IDIEM TABLAS'!$J$4:$J$40),'CALCULO MORTERO'!J1159,MROUND('CALCULO MORTERO'!J1159,10))</f>
        <v>#N/A</v>
      </c>
      <c r="U1159" s="134">
        <f t="shared" si="119"/>
        <v>0</v>
      </c>
    </row>
    <row r="1160" spans="1:21" x14ac:dyDescent="0.25">
      <c r="A1160" s="118">
        <f>+CUBICACION!D1154</f>
        <v>0</v>
      </c>
      <c r="B1160" s="819">
        <f>+CUBICACION!E1154</f>
        <v>0</v>
      </c>
      <c r="C1160" s="675">
        <f>+CUBICACION!F1154</f>
        <v>0</v>
      </c>
      <c r="D1160" s="118"/>
      <c r="E1160" s="118"/>
      <c r="F1160" s="820"/>
      <c r="G1160" s="675">
        <f>+CUBICACION!J1154</f>
        <v>0</v>
      </c>
      <c r="H1160" s="118"/>
      <c r="I1160" s="821">
        <f>+CUBICACION!L1154</f>
        <v>0</v>
      </c>
      <c r="J1160" s="64">
        <f>+CUBICACION!M1154</f>
        <v>0</v>
      </c>
      <c r="K1160" s="822" t="str">
        <f>+CUBICACION!N1154</f>
        <v/>
      </c>
      <c r="L1160" s="118">
        <f>+CUBICACION!O1154</f>
        <v>0</v>
      </c>
      <c r="M1160" s="823">
        <f>+CUBICACION!P1154</f>
        <v>0</v>
      </c>
      <c r="N1160" s="902">
        <f>ROUND(IF(AND(L1160="Blaze Shield II",M1160="Software Idiem",C1160="IN",G1160=4),((('BLAZE SHIELD II'!$D$4*('CALCULO MORTERO'!I1160^2)+'BLAZE SHIELD II'!$D$5*'CALCULO MORTERO'!I1160+'BLAZE SHIELD II'!$D$6)*LN(J1160))+('BLAZE SHIELD II'!$D$7*('CALCULO MORTERO'!I1160^2)+'BLAZE SHIELD II'!$D$8*'CALCULO MORTERO'!I1160+'BLAZE SHIELD II'!$D$9)),0)+IF(AND(L1160="Blaze Shield II",M1160="Software Idiem",C1160="Cj"),((('BLAZE SHIELD II'!$H$4*('CALCULO MORTERO'!I1160^2)+'BLAZE SHIELD II'!$H$5*'CALCULO MORTERO'!I1160+'BLAZE SHIELD II'!$H$6)*LN(J1160))+('BLAZE SHIELD II'!$H$7*('CALCULO MORTERO'!I1160^2)+'BLAZE SHIELD II'!$H$8*'CALCULO MORTERO'!I1160+'BLAZE SHIELD II'!$H$9)),0)+IF(AND(L1160="Blaze Shield II",M1160="Software Idiem",C1160="C"),((('BLAZE SHIELD II'!$L$4*('CALCULO MORTERO'!I1160^2)+'BLAZE SHIELD II'!$L$5*'CALCULO MORTERO'!I1160+'BLAZE SHIELD II'!$L$6)*LN(J1160))+('BLAZE SHIELD II'!$L$7*('CALCULO MORTERO'!I1160^2)+'BLAZE SHIELD II'!$L$8*'CALCULO MORTERO'!I1160+'BLAZE SHIELD II'!$L$9)),0)+IF(AND(L1160="Blaze Shield II",M1160="Software Idiem",C1160="L"),((('BLAZE SHIELD II'!$L$4*('CALCULO MORTERO'!I1160^2)+'BLAZE SHIELD II'!$L$5*'CALCULO MORTERO'!I1160+'BLAZE SHIELD II'!$L$6)*LN(J1160))+('BLAZE SHIELD II'!$L$7*('CALCULO MORTERO'!I1160^2)+'BLAZE SHIELD II'!$L$8*'CALCULO MORTERO'!I1160+'BLAZE SHIELD II'!$L$9)),0)+IF(AND(L1160="Blaze Shield II",M1160="Software Idiem",C1160="IN",G1160=3),((('BLAZE SHIELD II'!$H$14*('CALCULO MORTERO'!I1160^2)+'BLAZE SHIELD II'!$H$15*'CALCULO MORTERO'!I1160+'BLAZE SHIELD II'!$H$16)*LN(J1160))+('BLAZE SHIELD II'!$H$17*('CALCULO MORTERO'!I1160^2)+'BLAZE SHIELD II'!$H$18*'CALCULO MORTERO'!I1160+'BLAZE SHIELD II'!$H$19)),0),0)+ROUND(IF(AND(L1160="Cafco 400",M1160="Software Idiem",C1160="IN",G1160=4),((('CAFCO 400 '!$H$7*(J1160^4)+'CAFCO 400 '!$H$8*(J1160^3)+'CAFCO 400 '!$H$9*(J1160^2)+'CAFCO 400 '!$H$10*J1160+'CAFCO 400 '!$H$11)*U1160^2)+(('CAFCO 400 '!$H$12*(J1160^3)+'CAFCO 400 '!$H$13*(J1160^2)+'CAFCO 400 '!$H$14*J1160+'CAFCO 400 '!$H$15)*U1160)+('CAFCO 400 '!$H$16*(J1160^2)+'CAFCO 400 '!$H$17*J1160+'CAFCO 400 '!$H$18)),0)+IF(AND(L1160="Cafco 400",M1160="Software Idiem",C1160="Cj"),(((('CAFCO 400 '!$D$7*LN(J1160)+'CAFCO 400 '!$D$8)*U1160^2)+(('CAFCO 400 '!$D$9*LN(J1160)+'CAFCO 400 '!$D$10)*U1160)+('CAFCO 400 '!$D$11*LN(J1160)+'CAFCO 400 '!$D$12))),0)+IF(AND(L1160="Cafco 400",M1160="Software Idiem",C1160="C"),((('CAFCO 400 '!$L$7*(J1160^3)+'CAFCO 400 '!$L$8*(J1160^2)+'CAFCO 400 '!$L$9*J1160+'CAFCO 400 '!$L$10)*U1160^2)+(('CAFCO 400 '!$L$11*(J1160^3)+'CAFCO 400 '!$L$12*(J1160^2)+'CAFCO 400 '!$L$13*J1160+'CAFCO 400 '!$L$14)*U1160)+('CAFCO 400 '!$L$15*LN(J1160)+'CAFCO 400 '!$L$16)),0)+IF(AND(L1160="Cafco 400",M1160="Software Idiem",C1160="L"),((('CAFCO 400 '!$L$7*(J1160^3)+'CAFCO 400 '!$L$8*(J1160^2)+'CAFCO 400 '!$L$9*J1160+'CAFCO 400 '!$L$10)*U1160^2)+(('CAFCO 400 '!$L$11*(J1160^3)+'CAFCO 400 '!$L$12*(J1160^2)+'CAFCO 400 '!$L$13*J1160+'CAFCO 400 '!$L$14)*U1160)+('CAFCO 400 '!$L$15*LN(J1160)+'CAFCO 400 '!$L$16)),0)+IF(AND(L1160="Cafco 400",M1160="Software Idiem",C1160="IN",G1160=3),((('CAFCO 400 '!$D$23*(J1160^2)+'CAFCO 400 '!$D$24*(J1160)+'CAFCO 400 '!$D$25)*U1160^2)+(('CAFCO 400 '!$D$26*(J1160^2)+'CAFCO 400 '!$D$27*J1160+'CAFCO 400 '!$D$28)*U1160)+('CAFCO 400 '!$D$29*(J1160^2)+'CAFCO 400 '!$D$30*J1160+'CAFCO 400 '!$D$31)),0),0)+IF(AND(L1160="Cafco 300",J1160&gt;=95,J1160&lt;=240,C1160="Cj",I1160=90),VLOOKUP(T1160,'CAFCO 300 IDIEM TABLAS'!$B$4:$D$23,2,FALSE),0)+IF(AND(L1160="Cafco 300",J1160&gt;=95,J1160&lt;=240,C1160="Cj",I1160=120),VLOOKUP(T1160,'CAFCO 300 IDIEM TABLAS'!$B$4:$D$23,3,FALSE),0)+IF(AND(L1160="Cafco 300",J1160&gt;=95,J1160&lt;=400,G1160=3,C1160="IN",I1160=90),VLOOKUP(T1160,'CAFCO 300 IDIEM TABLAS'!$F$4:$H$35,2,FALSE),0)+IF(AND(L1160="Cafco 300",J1160&gt;=95,J1160&lt;=400,G1160=3,C1160="IN",I1160=120),VLOOKUP(T1160,'CAFCO 300 IDIEM TABLAS'!$F$4:$H$35,3,FALSE),0)+IF(AND(L1160="Cafco 300",J1160&gt;=95,J1160&lt;=450,G1160=4,C1160="IN",I1160=90),VLOOKUP(T1160,'CAFCO 300 IDIEM TABLAS'!$J$4:$L$40,2,FALSE),0)+IF(AND(L1160="Cafco 300",J1160&gt;=95,J1160&lt;=450,G1160=4,C1160="IN",I1160=120),VLOOKUP(T1160,'CAFCO 300 IDIEM TABLAS'!$J$4:$L$40,3,FALSE),0)+IF(AND(M1160="Ensayo Idiem",L1160="Cafco 400",C1160="IN",G1160=4,I1160=90),VLOOKUP(T1160,'CAFCO 400 ENSAYO'!$B$7:$D$43,2,FALSE),0)+IF(AND(M1160="Ensayo Idiem",L1160="Cafco 400",C1160="IN",G1160=4,I1160=120),VLOOKUP(T1160,'CAFCO 400 ENSAYO'!$B$7:$D$43,3,FALSE),0)</f>
        <v>0</v>
      </c>
      <c r="O1160" s="96">
        <f t="shared" si="114"/>
        <v>0</v>
      </c>
      <c r="P1160" s="95" t="str">
        <f t="shared" si="115"/>
        <v>N/A</v>
      </c>
      <c r="Q1160" s="95" t="str">
        <f t="shared" si="116"/>
        <v>N/A</v>
      </c>
      <c r="R1160" s="95" t="str">
        <f t="shared" si="117"/>
        <v>NO CERT.</v>
      </c>
      <c r="S1160" s="95" t="e">
        <f t="shared" si="118"/>
        <v>#N/A</v>
      </c>
      <c r="T1160" s="119" t="e">
        <f>+IF(J1160=LOOKUP(J1160,'CAFCO 300 IDIEM TABLAS'!$J$4:$J$40),'CALCULO MORTERO'!J1160,MROUND('CALCULO MORTERO'!J1160,10))</f>
        <v>#N/A</v>
      </c>
      <c r="U1160" s="118">
        <f t="shared" si="119"/>
        <v>0</v>
      </c>
    </row>
    <row r="1161" spans="1:21" x14ac:dyDescent="0.25">
      <c r="A1161" s="118">
        <f>+CUBICACION!D1155</f>
        <v>0</v>
      </c>
      <c r="B1161" s="819">
        <f>+CUBICACION!E1155</f>
        <v>0</v>
      </c>
      <c r="C1161" s="675">
        <f>+CUBICACION!F1155</f>
        <v>0</v>
      </c>
      <c r="D1161" s="118"/>
      <c r="E1161" s="118"/>
      <c r="F1161" s="820"/>
      <c r="G1161" s="675">
        <f>+CUBICACION!J1155</f>
        <v>0</v>
      </c>
      <c r="H1161" s="118"/>
      <c r="I1161" s="821">
        <f>+CUBICACION!L1155</f>
        <v>0</v>
      </c>
      <c r="J1161" s="64">
        <f>+CUBICACION!M1155</f>
        <v>0</v>
      </c>
      <c r="K1161" s="822" t="str">
        <f>+CUBICACION!N1155</f>
        <v/>
      </c>
      <c r="L1161" s="118">
        <f>+CUBICACION!O1155</f>
        <v>0</v>
      </c>
      <c r="M1161" s="823">
        <f>+CUBICACION!P1155</f>
        <v>0</v>
      </c>
      <c r="N1161" s="902">
        <f>ROUND(IF(AND(L1161="Blaze Shield II",M1161="Software Idiem",C1161="IN",G1161=4),((('BLAZE SHIELD II'!$D$4*('CALCULO MORTERO'!I1161^2)+'BLAZE SHIELD II'!$D$5*'CALCULO MORTERO'!I1161+'BLAZE SHIELD II'!$D$6)*LN(J1161))+('BLAZE SHIELD II'!$D$7*('CALCULO MORTERO'!I1161^2)+'BLAZE SHIELD II'!$D$8*'CALCULO MORTERO'!I1161+'BLAZE SHIELD II'!$D$9)),0)+IF(AND(L1161="Blaze Shield II",M1161="Software Idiem",C1161="Cj"),((('BLAZE SHIELD II'!$H$4*('CALCULO MORTERO'!I1161^2)+'BLAZE SHIELD II'!$H$5*'CALCULO MORTERO'!I1161+'BLAZE SHIELD II'!$H$6)*LN(J1161))+('BLAZE SHIELD II'!$H$7*('CALCULO MORTERO'!I1161^2)+'BLAZE SHIELD II'!$H$8*'CALCULO MORTERO'!I1161+'BLAZE SHIELD II'!$H$9)),0)+IF(AND(L1161="Blaze Shield II",M1161="Software Idiem",C1161="C"),((('BLAZE SHIELD II'!$L$4*('CALCULO MORTERO'!I1161^2)+'BLAZE SHIELD II'!$L$5*'CALCULO MORTERO'!I1161+'BLAZE SHIELD II'!$L$6)*LN(J1161))+('BLAZE SHIELD II'!$L$7*('CALCULO MORTERO'!I1161^2)+'BLAZE SHIELD II'!$L$8*'CALCULO MORTERO'!I1161+'BLAZE SHIELD II'!$L$9)),0)+IF(AND(L1161="Blaze Shield II",M1161="Software Idiem",C1161="L"),((('BLAZE SHIELD II'!$L$4*('CALCULO MORTERO'!I1161^2)+'BLAZE SHIELD II'!$L$5*'CALCULO MORTERO'!I1161+'BLAZE SHIELD II'!$L$6)*LN(J1161))+('BLAZE SHIELD II'!$L$7*('CALCULO MORTERO'!I1161^2)+'BLAZE SHIELD II'!$L$8*'CALCULO MORTERO'!I1161+'BLAZE SHIELD II'!$L$9)),0)+IF(AND(L1161="Blaze Shield II",M1161="Software Idiem",C1161="IN",G1161=3),((('BLAZE SHIELD II'!$H$14*('CALCULO MORTERO'!I1161^2)+'BLAZE SHIELD II'!$H$15*'CALCULO MORTERO'!I1161+'BLAZE SHIELD II'!$H$16)*LN(J1161))+('BLAZE SHIELD II'!$H$17*('CALCULO MORTERO'!I1161^2)+'BLAZE SHIELD II'!$H$18*'CALCULO MORTERO'!I1161+'BLAZE SHIELD II'!$H$19)),0),0)+ROUND(IF(AND(L1161="Cafco 400",M1161="Software Idiem",C1161="IN",G1161=4),((('CAFCO 400 '!$H$7*(J1161^4)+'CAFCO 400 '!$H$8*(J1161^3)+'CAFCO 400 '!$H$9*(J1161^2)+'CAFCO 400 '!$H$10*J1161+'CAFCO 400 '!$H$11)*U1161^2)+(('CAFCO 400 '!$H$12*(J1161^3)+'CAFCO 400 '!$H$13*(J1161^2)+'CAFCO 400 '!$H$14*J1161+'CAFCO 400 '!$H$15)*U1161)+('CAFCO 400 '!$H$16*(J1161^2)+'CAFCO 400 '!$H$17*J1161+'CAFCO 400 '!$H$18)),0)+IF(AND(L1161="Cafco 400",M1161="Software Idiem",C1161="Cj"),(((('CAFCO 400 '!$D$7*LN(J1161)+'CAFCO 400 '!$D$8)*U1161^2)+(('CAFCO 400 '!$D$9*LN(J1161)+'CAFCO 400 '!$D$10)*U1161)+('CAFCO 400 '!$D$11*LN(J1161)+'CAFCO 400 '!$D$12))),0)+IF(AND(L1161="Cafco 400",M1161="Software Idiem",C1161="C"),((('CAFCO 400 '!$L$7*(J1161^3)+'CAFCO 400 '!$L$8*(J1161^2)+'CAFCO 400 '!$L$9*J1161+'CAFCO 400 '!$L$10)*U1161^2)+(('CAFCO 400 '!$L$11*(J1161^3)+'CAFCO 400 '!$L$12*(J1161^2)+'CAFCO 400 '!$L$13*J1161+'CAFCO 400 '!$L$14)*U1161)+('CAFCO 400 '!$L$15*LN(J1161)+'CAFCO 400 '!$L$16)),0)+IF(AND(L1161="Cafco 400",M1161="Software Idiem",C1161="L"),((('CAFCO 400 '!$L$7*(J1161^3)+'CAFCO 400 '!$L$8*(J1161^2)+'CAFCO 400 '!$L$9*J1161+'CAFCO 400 '!$L$10)*U1161^2)+(('CAFCO 400 '!$L$11*(J1161^3)+'CAFCO 400 '!$L$12*(J1161^2)+'CAFCO 400 '!$L$13*J1161+'CAFCO 400 '!$L$14)*U1161)+('CAFCO 400 '!$L$15*LN(J1161)+'CAFCO 400 '!$L$16)),0)+IF(AND(L1161="Cafco 400",M1161="Software Idiem",C1161="IN",G1161=3),((('CAFCO 400 '!$D$23*(J1161^2)+'CAFCO 400 '!$D$24*(J1161)+'CAFCO 400 '!$D$25)*U1161^2)+(('CAFCO 400 '!$D$26*(J1161^2)+'CAFCO 400 '!$D$27*J1161+'CAFCO 400 '!$D$28)*U1161)+('CAFCO 400 '!$D$29*(J1161^2)+'CAFCO 400 '!$D$30*J1161+'CAFCO 400 '!$D$31)),0),0)+IF(AND(L1161="Cafco 300",J1161&gt;=95,J1161&lt;=240,C1161="Cj",I1161=90),VLOOKUP(T1161,'CAFCO 300 IDIEM TABLAS'!$B$4:$D$23,2,FALSE),0)+IF(AND(L1161="Cafco 300",J1161&gt;=95,J1161&lt;=240,C1161="Cj",I1161=120),VLOOKUP(T1161,'CAFCO 300 IDIEM TABLAS'!$B$4:$D$23,3,FALSE),0)+IF(AND(L1161="Cafco 300",J1161&gt;=95,J1161&lt;=400,G1161=3,C1161="IN",I1161=90),VLOOKUP(T1161,'CAFCO 300 IDIEM TABLAS'!$F$4:$H$35,2,FALSE),0)+IF(AND(L1161="Cafco 300",J1161&gt;=95,J1161&lt;=400,G1161=3,C1161="IN",I1161=120),VLOOKUP(T1161,'CAFCO 300 IDIEM TABLAS'!$F$4:$H$35,3,FALSE),0)+IF(AND(L1161="Cafco 300",J1161&gt;=95,J1161&lt;=450,G1161=4,C1161="IN",I1161=90),VLOOKUP(T1161,'CAFCO 300 IDIEM TABLAS'!$J$4:$L$40,2,FALSE),0)+IF(AND(L1161="Cafco 300",J1161&gt;=95,J1161&lt;=450,G1161=4,C1161="IN",I1161=120),VLOOKUP(T1161,'CAFCO 300 IDIEM TABLAS'!$J$4:$L$40,3,FALSE),0)+IF(AND(M1161="Ensayo Idiem",L1161="Cafco 400",C1161="IN",G1161=4,I1161=90),VLOOKUP(T1161,'CAFCO 400 ENSAYO'!$B$7:$D$43,2,FALSE),0)+IF(AND(M1161="Ensayo Idiem",L1161="Cafco 400",C1161="IN",G1161=4,I1161=120),VLOOKUP(T1161,'CAFCO 400 ENSAYO'!$B$7:$D$43,3,FALSE),0)</f>
        <v>0</v>
      </c>
      <c r="O1161" s="96">
        <f t="shared" si="114"/>
        <v>0</v>
      </c>
      <c r="P1161" s="132" t="str">
        <f t="shared" si="115"/>
        <v>N/A</v>
      </c>
      <c r="Q1161" s="132" t="str">
        <f t="shared" si="116"/>
        <v>N/A</v>
      </c>
      <c r="R1161" s="132" t="str">
        <f t="shared" si="117"/>
        <v>NO CERT.</v>
      </c>
      <c r="S1161" s="132" t="e">
        <f t="shared" si="118"/>
        <v>#N/A</v>
      </c>
      <c r="T1161" s="133" t="e">
        <f>+IF(J1161=LOOKUP(J1161,'CAFCO 300 IDIEM TABLAS'!$J$4:$J$40),'CALCULO MORTERO'!J1161,MROUND('CALCULO MORTERO'!J1161,10))</f>
        <v>#N/A</v>
      </c>
      <c r="U1161" s="134">
        <f t="shared" si="119"/>
        <v>0</v>
      </c>
    </row>
    <row r="1162" spans="1:21" x14ac:dyDescent="0.25">
      <c r="A1162" s="118">
        <f>+CUBICACION!D1156</f>
        <v>0</v>
      </c>
      <c r="B1162" s="819">
        <f>+CUBICACION!E1156</f>
        <v>0</v>
      </c>
      <c r="C1162" s="675">
        <f>+CUBICACION!F1156</f>
        <v>0</v>
      </c>
      <c r="D1162" s="118"/>
      <c r="E1162" s="118"/>
      <c r="F1162" s="820"/>
      <c r="G1162" s="675">
        <f>+CUBICACION!J1156</f>
        <v>0</v>
      </c>
      <c r="H1162" s="118"/>
      <c r="I1162" s="821">
        <f>+CUBICACION!L1156</f>
        <v>0</v>
      </c>
      <c r="J1162" s="64">
        <f>+CUBICACION!M1156</f>
        <v>0</v>
      </c>
      <c r="K1162" s="822" t="str">
        <f>+CUBICACION!N1156</f>
        <v/>
      </c>
      <c r="L1162" s="118">
        <f>+CUBICACION!O1156</f>
        <v>0</v>
      </c>
      <c r="M1162" s="823">
        <f>+CUBICACION!P1156</f>
        <v>0</v>
      </c>
      <c r="N1162" s="902">
        <f>ROUND(IF(AND(L1162="Blaze Shield II",M1162="Software Idiem",C1162="IN",G1162=4),((('BLAZE SHIELD II'!$D$4*('CALCULO MORTERO'!I1162^2)+'BLAZE SHIELD II'!$D$5*'CALCULO MORTERO'!I1162+'BLAZE SHIELD II'!$D$6)*LN(J1162))+('BLAZE SHIELD II'!$D$7*('CALCULO MORTERO'!I1162^2)+'BLAZE SHIELD II'!$D$8*'CALCULO MORTERO'!I1162+'BLAZE SHIELD II'!$D$9)),0)+IF(AND(L1162="Blaze Shield II",M1162="Software Idiem",C1162="Cj"),((('BLAZE SHIELD II'!$H$4*('CALCULO MORTERO'!I1162^2)+'BLAZE SHIELD II'!$H$5*'CALCULO MORTERO'!I1162+'BLAZE SHIELD II'!$H$6)*LN(J1162))+('BLAZE SHIELD II'!$H$7*('CALCULO MORTERO'!I1162^2)+'BLAZE SHIELD II'!$H$8*'CALCULO MORTERO'!I1162+'BLAZE SHIELD II'!$H$9)),0)+IF(AND(L1162="Blaze Shield II",M1162="Software Idiem",C1162="C"),((('BLAZE SHIELD II'!$L$4*('CALCULO MORTERO'!I1162^2)+'BLAZE SHIELD II'!$L$5*'CALCULO MORTERO'!I1162+'BLAZE SHIELD II'!$L$6)*LN(J1162))+('BLAZE SHIELD II'!$L$7*('CALCULO MORTERO'!I1162^2)+'BLAZE SHIELD II'!$L$8*'CALCULO MORTERO'!I1162+'BLAZE SHIELD II'!$L$9)),0)+IF(AND(L1162="Blaze Shield II",M1162="Software Idiem",C1162="L"),((('BLAZE SHIELD II'!$L$4*('CALCULO MORTERO'!I1162^2)+'BLAZE SHIELD II'!$L$5*'CALCULO MORTERO'!I1162+'BLAZE SHIELD II'!$L$6)*LN(J1162))+('BLAZE SHIELD II'!$L$7*('CALCULO MORTERO'!I1162^2)+'BLAZE SHIELD II'!$L$8*'CALCULO MORTERO'!I1162+'BLAZE SHIELD II'!$L$9)),0)+IF(AND(L1162="Blaze Shield II",M1162="Software Idiem",C1162="IN",G1162=3),((('BLAZE SHIELD II'!$H$14*('CALCULO MORTERO'!I1162^2)+'BLAZE SHIELD II'!$H$15*'CALCULO MORTERO'!I1162+'BLAZE SHIELD II'!$H$16)*LN(J1162))+('BLAZE SHIELD II'!$H$17*('CALCULO MORTERO'!I1162^2)+'BLAZE SHIELD II'!$H$18*'CALCULO MORTERO'!I1162+'BLAZE SHIELD II'!$H$19)),0),0)+ROUND(IF(AND(L1162="Cafco 400",M1162="Software Idiem",C1162="IN",G1162=4),((('CAFCO 400 '!$H$7*(J1162^4)+'CAFCO 400 '!$H$8*(J1162^3)+'CAFCO 400 '!$H$9*(J1162^2)+'CAFCO 400 '!$H$10*J1162+'CAFCO 400 '!$H$11)*U1162^2)+(('CAFCO 400 '!$H$12*(J1162^3)+'CAFCO 400 '!$H$13*(J1162^2)+'CAFCO 400 '!$H$14*J1162+'CAFCO 400 '!$H$15)*U1162)+('CAFCO 400 '!$H$16*(J1162^2)+'CAFCO 400 '!$H$17*J1162+'CAFCO 400 '!$H$18)),0)+IF(AND(L1162="Cafco 400",M1162="Software Idiem",C1162="Cj"),(((('CAFCO 400 '!$D$7*LN(J1162)+'CAFCO 400 '!$D$8)*U1162^2)+(('CAFCO 400 '!$D$9*LN(J1162)+'CAFCO 400 '!$D$10)*U1162)+('CAFCO 400 '!$D$11*LN(J1162)+'CAFCO 400 '!$D$12))),0)+IF(AND(L1162="Cafco 400",M1162="Software Idiem",C1162="C"),((('CAFCO 400 '!$L$7*(J1162^3)+'CAFCO 400 '!$L$8*(J1162^2)+'CAFCO 400 '!$L$9*J1162+'CAFCO 400 '!$L$10)*U1162^2)+(('CAFCO 400 '!$L$11*(J1162^3)+'CAFCO 400 '!$L$12*(J1162^2)+'CAFCO 400 '!$L$13*J1162+'CAFCO 400 '!$L$14)*U1162)+('CAFCO 400 '!$L$15*LN(J1162)+'CAFCO 400 '!$L$16)),0)+IF(AND(L1162="Cafco 400",M1162="Software Idiem",C1162="L"),((('CAFCO 400 '!$L$7*(J1162^3)+'CAFCO 400 '!$L$8*(J1162^2)+'CAFCO 400 '!$L$9*J1162+'CAFCO 400 '!$L$10)*U1162^2)+(('CAFCO 400 '!$L$11*(J1162^3)+'CAFCO 400 '!$L$12*(J1162^2)+'CAFCO 400 '!$L$13*J1162+'CAFCO 400 '!$L$14)*U1162)+('CAFCO 400 '!$L$15*LN(J1162)+'CAFCO 400 '!$L$16)),0)+IF(AND(L1162="Cafco 400",M1162="Software Idiem",C1162="IN",G1162=3),((('CAFCO 400 '!$D$23*(J1162^2)+'CAFCO 400 '!$D$24*(J1162)+'CAFCO 400 '!$D$25)*U1162^2)+(('CAFCO 400 '!$D$26*(J1162^2)+'CAFCO 400 '!$D$27*J1162+'CAFCO 400 '!$D$28)*U1162)+('CAFCO 400 '!$D$29*(J1162^2)+'CAFCO 400 '!$D$30*J1162+'CAFCO 400 '!$D$31)),0),0)+IF(AND(L1162="Cafco 300",J1162&gt;=95,J1162&lt;=240,C1162="Cj",I1162=90),VLOOKUP(T1162,'CAFCO 300 IDIEM TABLAS'!$B$4:$D$23,2,FALSE),0)+IF(AND(L1162="Cafco 300",J1162&gt;=95,J1162&lt;=240,C1162="Cj",I1162=120),VLOOKUP(T1162,'CAFCO 300 IDIEM TABLAS'!$B$4:$D$23,3,FALSE),0)+IF(AND(L1162="Cafco 300",J1162&gt;=95,J1162&lt;=400,G1162=3,C1162="IN",I1162=90),VLOOKUP(T1162,'CAFCO 300 IDIEM TABLAS'!$F$4:$H$35,2,FALSE),0)+IF(AND(L1162="Cafco 300",J1162&gt;=95,J1162&lt;=400,G1162=3,C1162="IN",I1162=120),VLOOKUP(T1162,'CAFCO 300 IDIEM TABLAS'!$F$4:$H$35,3,FALSE),0)+IF(AND(L1162="Cafco 300",J1162&gt;=95,J1162&lt;=450,G1162=4,C1162="IN",I1162=90),VLOOKUP(T1162,'CAFCO 300 IDIEM TABLAS'!$J$4:$L$40,2,FALSE),0)+IF(AND(L1162="Cafco 300",J1162&gt;=95,J1162&lt;=450,G1162=4,C1162="IN",I1162=120),VLOOKUP(T1162,'CAFCO 300 IDIEM TABLAS'!$J$4:$L$40,3,FALSE),0)+IF(AND(M1162="Ensayo Idiem",L1162="Cafco 400",C1162="IN",G1162=4,I1162=90),VLOOKUP(T1162,'CAFCO 400 ENSAYO'!$B$7:$D$43,2,FALSE),0)+IF(AND(M1162="Ensayo Idiem",L1162="Cafco 400",C1162="IN",G1162=4,I1162=120),VLOOKUP(T1162,'CAFCO 400 ENSAYO'!$B$7:$D$43,3,FALSE),0)</f>
        <v>0</v>
      </c>
      <c r="O1162" s="96">
        <f t="shared" si="114"/>
        <v>0</v>
      </c>
      <c r="P1162" s="95" t="str">
        <f t="shared" si="115"/>
        <v>N/A</v>
      </c>
      <c r="Q1162" s="95" t="str">
        <f t="shared" si="116"/>
        <v>N/A</v>
      </c>
      <c r="R1162" s="95" t="str">
        <f t="shared" si="117"/>
        <v>NO CERT.</v>
      </c>
      <c r="S1162" s="95" t="e">
        <f t="shared" si="118"/>
        <v>#N/A</v>
      </c>
      <c r="T1162" s="119" t="e">
        <f>+IF(J1162=LOOKUP(J1162,'CAFCO 300 IDIEM TABLAS'!$J$4:$J$40),'CALCULO MORTERO'!J1162,MROUND('CALCULO MORTERO'!J1162,10))</f>
        <v>#N/A</v>
      </c>
      <c r="U1162" s="118">
        <f t="shared" si="119"/>
        <v>0</v>
      </c>
    </row>
    <row r="1163" spans="1:21" x14ac:dyDescent="0.25">
      <c r="A1163" s="118">
        <f>+CUBICACION!D1157</f>
        <v>0</v>
      </c>
      <c r="B1163" s="819">
        <f>+CUBICACION!E1157</f>
        <v>0</v>
      </c>
      <c r="C1163" s="675">
        <f>+CUBICACION!F1157</f>
        <v>0</v>
      </c>
      <c r="D1163" s="118"/>
      <c r="E1163" s="118"/>
      <c r="F1163" s="820"/>
      <c r="G1163" s="675">
        <f>+CUBICACION!J1157</f>
        <v>0</v>
      </c>
      <c r="H1163" s="118"/>
      <c r="I1163" s="821">
        <f>+CUBICACION!L1157</f>
        <v>0</v>
      </c>
      <c r="J1163" s="64">
        <f>+CUBICACION!M1157</f>
        <v>0</v>
      </c>
      <c r="K1163" s="822" t="str">
        <f>+CUBICACION!N1157</f>
        <v/>
      </c>
      <c r="L1163" s="118">
        <f>+CUBICACION!O1157</f>
        <v>0</v>
      </c>
      <c r="M1163" s="823">
        <f>+CUBICACION!P1157</f>
        <v>0</v>
      </c>
      <c r="N1163" s="902">
        <f>ROUND(IF(AND(L1163="Blaze Shield II",M1163="Software Idiem",C1163="IN",G1163=4),((('BLAZE SHIELD II'!$D$4*('CALCULO MORTERO'!I1163^2)+'BLAZE SHIELD II'!$D$5*'CALCULO MORTERO'!I1163+'BLAZE SHIELD II'!$D$6)*LN(J1163))+('BLAZE SHIELD II'!$D$7*('CALCULO MORTERO'!I1163^2)+'BLAZE SHIELD II'!$D$8*'CALCULO MORTERO'!I1163+'BLAZE SHIELD II'!$D$9)),0)+IF(AND(L1163="Blaze Shield II",M1163="Software Idiem",C1163="Cj"),((('BLAZE SHIELD II'!$H$4*('CALCULO MORTERO'!I1163^2)+'BLAZE SHIELD II'!$H$5*'CALCULO MORTERO'!I1163+'BLAZE SHIELD II'!$H$6)*LN(J1163))+('BLAZE SHIELD II'!$H$7*('CALCULO MORTERO'!I1163^2)+'BLAZE SHIELD II'!$H$8*'CALCULO MORTERO'!I1163+'BLAZE SHIELD II'!$H$9)),0)+IF(AND(L1163="Blaze Shield II",M1163="Software Idiem",C1163="C"),((('BLAZE SHIELD II'!$L$4*('CALCULO MORTERO'!I1163^2)+'BLAZE SHIELD II'!$L$5*'CALCULO MORTERO'!I1163+'BLAZE SHIELD II'!$L$6)*LN(J1163))+('BLAZE SHIELD II'!$L$7*('CALCULO MORTERO'!I1163^2)+'BLAZE SHIELD II'!$L$8*'CALCULO MORTERO'!I1163+'BLAZE SHIELD II'!$L$9)),0)+IF(AND(L1163="Blaze Shield II",M1163="Software Idiem",C1163="L"),((('BLAZE SHIELD II'!$L$4*('CALCULO MORTERO'!I1163^2)+'BLAZE SHIELD II'!$L$5*'CALCULO MORTERO'!I1163+'BLAZE SHIELD II'!$L$6)*LN(J1163))+('BLAZE SHIELD II'!$L$7*('CALCULO MORTERO'!I1163^2)+'BLAZE SHIELD II'!$L$8*'CALCULO MORTERO'!I1163+'BLAZE SHIELD II'!$L$9)),0)+IF(AND(L1163="Blaze Shield II",M1163="Software Idiem",C1163="IN",G1163=3),((('BLAZE SHIELD II'!$H$14*('CALCULO MORTERO'!I1163^2)+'BLAZE SHIELD II'!$H$15*'CALCULO MORTERO'!I1163+'BLAZE SHIELD II'!$H$16)*LN(J1163))+('BLAZE SHIELD II'!$H$17*('CALCULO MORTERO'!I1163^2)+'BLAZE SHIELD II'!$H$18*'CALCULO MORTERO'!I1163+'BLAZE SHIELD II'!$H$19)),0),0)+ROUND(IF(AND(L1163="Cafco 400",M1163="Software Idiem",C1163="IN",G1163=4),((('CAFCO 400 '!$H$7*(J1163^4)+'CAFCO 400 '!$H$8*(J1163^3)+'CAFCO 400 '!$H$9*(J1163^2)+'CAFCO 400 '!$H$10*J1163+'CAFCO 400 '!$H$11)*U1163^2)+(('CAFCO 400 '!$H$12*(J1163^3)+'CAFCO 400 '!$H$13*(J1163^2)+'CAFCO 400 '!$H$14*J1163+'CAFCO 400 '!$H$15)*U1163)+('CAFCO 400 '!$H$16*(J1163^2)+'CAFCO 400 '!$H$17*J1163+'CAFCO 400 '!$H$18)),0)+IF(AND(L1163="Cafco 400",M1163="Software Idiem",C1163="Cj"),(((('CAFCO 400 '!$D$7*LN(J1163)+'CAFCO 400 '!$D$8)*U1163^2)+(('CAFCO 400 '!$D$9*LN(J1163)+'CAFCO 400 '!$D$10)*U1163)+('CAFCO 400 '!$D$11*LN(J1163)+'CAFCO 400 '!$D$12))),0)+IF(AND(L1163="Cafco 400",M1163="Software Idiem",C1163="C"),((('CAFCO 400 '!$L$7*(J1163^3)+'CAFCO 400 '!$L$8*(J1163^2)+'CAFCO 400 '!$L$9*J1163+'CAFCO 400 '!$L$10)*U1163^2)+(('CAFCO 400 '!$L$11*(J1163^3)+'CAFCO 400 '!$L$12*(J1163^2)+'CAFCO 400 '!$L$13*J1163+'CAFCO 400 '!$L$14)*U1163)+('CAFCO 400 '!$L$15*LN(J1163)+'CAFCO 400 '!$L$16)),0)+IF(AND(L1163="Cafco 400",M1163="Software Idiem",C1163="L"),((('CAFCO 400 '!$L$7*(J1163^3)+'CAFCO 400 '!$L$8*(J1163^2)+'CAFCO 400 '!$L$9*J1163+'CAFCO 400 '!$L$10)*U1163^2)+(('CAFCO 400 '!$L$11*(J1163^3)+'CAFCO 400 '!$L$12*(J1163^2)+'CAFCO 400 '!$L$13*J1163+'CAFCO 400 '!$L$14)*U1163)+('CAFCO 400 '!$L$15*LN(J1163)+'CAFCO 400 '!$L$16)),0)+IF(AND(L1163="Cafco 400",M1163="Software Idiem",C1163="IN",G1163=3),((('CAFCO 400 '!$D$23*(J1163^2)+'CAFCO 400 '!$D$24*(J1163)+'CAFCO 400 '!$D$25)*U1163^2)+(('CAFCO 400 '!$D$26*(J1163^2)+'CAFCO 400 '!$D$27*J1163+'CAFCO 400 '!$D$28)*U1163)+('CAFCO 400 '!$D$29*(J1163^2)+'CAFCO 400 '!$D$30*J1163+'CAFCO 400 '!$D$31)),0),0)+IF(AND(L1163="Cafco 300",J1163&gt;=95,J1163&lt;=240,C1163="Cj",I1163=90),VLOOKUP(T1163,'CAFCO 300 IDIEM TABLAS'!$B$4:$D$23,2,FALSE),0)+IF(AND(L1163="Cafco 300",J1163&gt;=95,J1163&lt;=240,C1163="Cj",I1163=120),VLOOKUP(T1163,'CAFCO 300 IDIEM TABLAS'!$B$4:$D$23,3,FALSE),0)+IF(AND(L1163="Cafco 300",J1163&gt;=95,J1163&lt;=400,G1163=3,C1163="IN",I1163=90),VLOOKUP(T1163,'CAFCO 300 IDIEM TABLAS'!$F$4:$H$35,2,FALSE),0)+IF(AND(L1163="Cafco 300",J1163&gt;=95,J1163&lt;=400,G1163=3,C1163="IN",I1163=120),VLOOKUP(T1163,'CAFCO 300 IDIEM TABLAS'!$F$4:$H$35,3,FALSE),0)+IF(AND(L1163="Cafco 300",J1163&gt;=95,J1163&lt;=450,G1163=4,C1163="IN",I1163=90),VLOOKUP(T1163,'CAFCO 300 IDIEM TABLAS'!$J$4:$L$40,2,FALSE),0)+IF(AND(L1163="Cafco 300",J1163&gt;=95,J1163&lt;=450,G1163=4,C1163="IN",I1163=120),VLOOKUP(T1163,'CAFCO 300 IDIEM TABLAS'!$J$4:$L$40,3,FALSE),0)+IF(AND(M1163="Ensayo Idiem",L1163="Cafco 400",C1163="IN",G1163=4,I1163=90),VLOOKUP(T1163,'CAFCO 400 ENSAYO'!$B$7:$D$43,2,FALSE),0)+IF(AND(M1163="Ensayo Idiem",L1163="Cafco 400",C1163="IN",G1163=4,I1163=120),VLOOKUP(T1163,'CAFCO 400 ENSAYO'!$B$7:$D$43,3,FALSE),0)</f>
        <v>0</v>
      </c>
      <c r="O1163" s="96">
        <f t="shared" ref="O1163:O1226" si="120">((IF(L1163="Blaze Shield II",((K1163*N1163*0.43)/38),IF(L1163="Cafco 400",((K1163*N1163*0.43)/23),IF(L1163="Cafco 300",((K1163*N1163*0.43)/31.16),0)))))</f>
        <v>0</v>
      </c>
      <c r="P1163" s="132" t="str">
        <f t="shared" si="115"/>
        <v>N/A</v>
      </c>
      <c r="Q1163" s="132" t="str">
        <f t="shared" si="116"/>
        <v>N/A</v>
      </c>
      <c r="R1163" s="132" t="str">
        <f t="shared" si="117"/>
        <v>NO CERT.</v>
      </c>
      <c r="S1163" s="132" t="e">
        <f t="shared" si="118"/>
        <v>#N/A</v>
      </c>
      <c r="T1163" s="133" t="e">
        <f>+IF(J1163=LOOKUP(J1163,'CAFCO 300 IDIEM TABLAS'!$J$4:$J$40),'CALCULO MORTERO'!J1163,MROUND('CALCULO MORTERO'!J1163,10))</f>
        <v>#N/A</v>
      </c>
      <c r="U1163" s="134">
        <f t="shared" si="119"/>
        <v>0</v>
      </c>
    </row>
    <row r="1164" spans="1:21" x14ac:dyDescent="0.25">
      <c r="A1164" s="118">
        <f>+CUBICACION!D1158</f>
        <v>0</v>
      </c>
      <c r="B1164" s="819">
        <f>+CUBICACION!E1158</f>
        <v>0</v>
      </c>
      <c r="C1164" s="675">
        <f>+CUBICACION!F1158</f>
        <v>0</v>
      </c>
      <c r="D1164" s="118"/>
      <c r="E1164" s="118"/>
      <c r="F1164" s="820"/>
      <c r="G1164" s="675">
        <f>+CUBICACION!J1158</f>
        <v>0</v>
      </c>
      <c r="H1164" s="118"/>
      <c r="I1164" s="821">
        <f>+CUBICACION!L1158</f>
        <v>0</v>
      </c>
      <c r="J1164" s="64">
        <f>+CUBICACION!M1158</f>
        <v>0</v>
      </c>
      <c r="K1164" s="822" t="str">
        <f>+CUBICACION!N1158</f>
        <v/>
      </c>
      <c r="L1164" s="118">
        <f>+CUBICACION!O1158</f>
        <v>0</v>
      </c>
      <c r="M1164" s="823">
        <f>+CUBICACION!P1158</f>
        <v>0</v>
      </c>
      <c r="N1164" s="902">
        <f>ROUND(IF(AND(L1164="Blaze Shield II",M1164="Software Idiem",C1164="IN",G1164=4),((('BLAZE SHIELD II'!$D$4*('CALCULO MORTERO'!I1164^2)+'BLAZE SHIELD II'!$D$5*'CALCULO MORTERO'!I1164+'BLAZE SHIELD II'!$D$6)*LN(J1164))+('BLAZE SHIELD II'!$D$7*('CALCULO MORTERO'!I1164^2)+'BLAZE SHIELD II'!$D$8*'CALCULO MORTERO'!I1164+'BLAZE SHIELD II'!$D$9)),0)+IF(AND(L1164="Blaze Shield II",M1164="Software Idiem",C1164="Cj"),((('BLAZE SHIELD II'!$H$4*('CALCULO MORTERO'!I1164^2)+'BLAZE SHIELD II'!$H$5*'CALCULO MORTERO'!I1164+'BLAZE SHIELD II'!$H$6)*LN(J1164))+('BLAZE SHIELD II'!$H$7*('CALCULO MORTERO'!I1164^2)+'BLAZE SHIELD II'!$H$8*'CALCULO MORTERO'!I1164+'BLAZE SHIELD II'!$H$9)),0)+IF(AND(L1164="Blaze Shield II",M1164="Software Idiem",C1164="C"),((('BLAZE SHIELD II'!$L$4*('CALCULO MORTERO'!I1164^2)+'BLAZE SHIELD II'!$L$5*'CALCULO MORTERO'!I1164+'BLAZE SHIELD II'!$L$6)*LN(J1164))+('BLAZE SHIELD II'!$L$7*('CALCULO MORTERO'!I1164^2)+'BLAZE SHIELD II'!$L$8*'CALCULO MORTERO'!I1164+'BLAZE SHIELD II'!$L$9)),0)+IF(AND(L1164="Blaze Shield II",M1164="Software Idiem",C1164="L"),((('BLAZE SHIELD II'!$L$4*('CALCULO MORTERO'!I1164^2)+'BLAZE SHIELD II'!$L$5*'CALCULO MORTERO'!I1164+'BLAZE SHIELD II'!$L$6)*LN(J1164))+('BLAZE SHIELD II'!$L$7*('CALCULO MORTERO'!I1164^2)+'BLAZE SHIELD II'!$L$8*'CALCULO MORTERO'!I1164+'BLAZE SHIELD II'!$L$9)),0)+IF(AND(L1164="Blaze Shield II",M1164="Software Idiem",C1164="IN",G1164=3),((('BLAZE SHIELD II'!$H$14*('CALCULO MORTERO'!I1164^2)+'BLAZE SHIELD II'!$H$15*'CALCULO MORTERO'!I1164+'BLAZE SHIELD II'!$H$16)*LN(J1164))+('BLAZE SHIELD II'!$H$17*('CALCULO MORTERO'!I1164^2)+'BLAZE SHIELD II'!$H$18*'CALCULO MORTERO'!I1164+'BLAZE SHIELD II'!$H$19)),0),0)+ROUND(IF(AND(L1164="Cafco 400",M1164="Software Idiem",C1164="IN",G1164=4),((('CAFCO 400 '!$H$7*(J1164^4)+'CAFCO 400 '!$H$8*(J1164^3)+'CAFCO 400 '!$H$9*(J1164^2)+'CAFCO 400 '!$H$10*J1164+'CAFCO 400 '!$H$11)*U1164^2)+(('CAFCO 400 '!$H$12*(J1164^3)+'CAFCO 400 '!$H$13*(J1164^2)+'CAFCO 400 '!$H$14*J1164+'CAFCO 400 '!$H$15)*U1164)+('CAFCO 400 '!$H$16*(J1164^2)+'CAFCO 400 '!$H$17*J1164+'CAFCO 400 '!$H$18)),0)+IF(AND(L1164="Cafco 400",M1164="Software Idiem",C1164="Cj"),(((('CAFCO 400 '!$D$7*LN(J1164)+'CAFCO 400 '!$D$8)*U1164^2)+(('CAFCO 400 '!$D$9*LN(J1164)+'CAFCO 400 '!$D$10)*U1164)+('CAFCO 400 '!$D$11*LN(J1164)+'CAFCO 400 '!$D$12))),0)+IF(AND(L1164="Cafco 400",M1164="Software Idiem",C1164="C"),((('CAFCO 400 '!$L$7*(J1164^3)+'CAFCO 400 '!$L$8*(J1164^2)+'CAFCO 400 '!$L$9*J1164+'CAFCO 400 '!$L$10)*U1164^2)+(('CAFCO 400 '!$L$11*(J1164^3)+'CAFCO 400 '!$L$12*(J1164^2)+'CAFCO 400 '!$L$13*J1164+'CAFCO 400 '!$L$14)*U1164)+('CAFCO 400 '!$L$15*LN(J1164)+'CAFCO 400 '!$L$16)),0)+IF(AND(L1164="Cafco 400",M1164="Software Idiem",C1164="L"),((('CAFCO 400 '!$L$7*(J1164^3)+'CAFCO 400 '!$L$8*(J1164^2)+'CAFCO 400 '!$L$9*J1164+'CAFCO 400 '!$L$10)*U1164^2)+(('CAFCO 400 '!$L$11*(J1164^3)+'CAFCO 400 '!$L$12*(J1164^2)+'CAFCO 400 '!$L$13*J1164+'CAFCO 400 '!$L$14)*U1164)+('CAFCO 400 '!$L$15*LN(J1164)+'CAFCO 400 '!$L$16)),0)+IF(AND(L1164="Cafco 400",M1164="Software Idiem",C1164="IN",G1164=3),((('CAFCO 400 '!$D$23*(J1164^2)+'CAFCO 400 '!$D$24*(J1164)+'CAFCO 400 '!$D$25)*U1164^2)+(('CAFCO 400 '!$D$26*(J1164^2)+'CAFCO 400 '!$D$27*J1164+'CAFCO 400 '!$D$28)*U1164)+('CAFCO 400 '!$D$29*(J1164^2)+'CAFCO 400 '!$D$30*J1164+'CAFCO 400 '!$D$31)),0),0)+IF(AND(L1164="Cafco 300",J1164&gt;=95,J1164&lt;=240,C1164="Cj",I1164=90),VLOOKUP(T1164,'CAFCO 300 IDIEM TABLAS'!$B$4:$D$23,2,FALSE),0)+IF(AND(L1164="Cafco 300",J1164&gt;=95,J1164&lt;=240,C1164="Cj",I1164=120),VLOOKUP(T1164,'CAFCO 300 IDIEM TABLAS'!$B$4:$D$23,3,FALSE),0)+IF(AND(L1164="Cafco 300",J1164&gt;=95,J1164&lt;=400,G1164=3,C1164="IN",I1164=90),VLOOKUP(T1164,'CAFCO 300 IDIEM TABLAS'!$F$4:$H$35,2,FALSE),0)+IF(AND(L1164="Cafco 300",J1164&gt;=95,J1164&lt;=400,G1164=3,C1164="IN",I1164=120),VLOOKUP(T1164,'CAFCO 300 IDIEM TABLAS'!$F$4:$H$35,3,FALSE),0)+IF(AND(L1164="Cafco 300",J1164&gt;=95,J1164&lt;=450,G1164=4,C1164="IN",I1164=90),VLOOKUP(T1164,'CAFCO 300 IDIEM TABLAS'!$J$4:$L$40,2,FALSE),0)+IF(AND(L1164="Cafco 300",J1164&gt;=95,J1164&lt;=450,G1164=4,C1164="IN",I1164=120),VLOOKUP(T1164,'CAFCO 300 IDIEM TABLAS'!$J$4:$L$40,3,FALSE),0)+IF(AND(M1164="Ensayo Idiem",L1164="Cafco 400",C1164="IN",G1164=4,I1164=90),VLOOKUP(T1164,'CAFCO 400 ENSAYO'!$B$7:$D$43,2,FALSE),0)+IF(AND(M1164="Ensayo Idiem",L1164="Cafco 400",C1164="IN",G1164=4,I1164=120),VLOOKUP(T1164,'CAFCO 400 ENSAYO'!$B$7:$D$43,3,FALSE),0)</f>
        <v>0</v>
      </c>
      <c r="O1164" s="96">
        <f t="shared" si="120"/>
        <v>0</v>
      </c>
      <c r="P1164" s="95" t="str">
        <f t="shared" si="115"/>
        <v>N/A</v>
      </c>
      <c r="Q1164" s="95" t="str">
        <f t="shared" si="116"/>
        <v>N/A</v>
      </c>
      <c r="R1164" s="95" t="str">
        <f t="shared" si="117"/>
        <v>NO CERT.</v>
      </c>
      <c r="S1164" s="95" t="e">
        <f t="shared" si="118"/>
        <v>#N/A</v>
      </c>
      <c r="T1164" s="119" t="e">
        <f>+IF(J1164=LOOKUP(J1164,'CAFCO 300 IDIEM TABLAS'!$J$4:$J$40),'CALCULO MORTERO'!J1164,MROUND('CALCULO MORTERO'!J1164,10))</f>
        <v>#N/A</v>
      </c>
      <c r="U1164" s="118">
        <f t="shared" si="119"/>
        <v>0</v>
      </c>
    </row>
    <row r="1165" spans="1:21" x14ac:dyDescent="0.25">
      <c r="A1165" s="118">
        <f>+CUBICACION!D1159</f>
        <v>0</v>
      </c>
      <c r="B1165" s="819">
        <f>+CUBICACION!E1159</f>
        <v>0</v>
      </c>
      <c r="C1165" s="675">
        <f>+CUBICACION!F1159</f>
        <v>0</v>
      </c>
      <c r="D1165" s="118"/>
      <c r="E1165" s="118"/>
      <c r="F1165" s="820"/>
      <c r="G1165" s="675">
        <f>+CUBICACION!J1159</f>
        <v>0</v>
      </c>
      <c r="H1165" s="118"/>
      <c r="I1165" s="821">
        <f>+CUBICACION!L1159</f>
        <v>0</v>
      </c>
      <c r="J1165" s="64">
        <f>+CUBICACION!M1159</f>
        <v>0</v>
      </c>
      <c r="K1165" s="822" t="str">
        <f>+CUBICACION!N1159</f>
        <v/>
      </c>
      <c r="L1165" s="118">
        <f>+CUBICACION!O1159</f>
        <v>0</v>
      </c>
      <c r="M1165" s="823">
        <f>+CUBICACION!P1159</f>
        <v>0</v>
      </c>
      <c r="N1165" s="902">
        <f>ROUND(IF(AND(L1165="Blaze Shield II",M1165="Software Idiem",C1165="IN",G1165=4),((('BLAZE SHIELD II'!$D$4*('CALCULO MORTERO'!I1165^2)+'BLAZE SHIELD II'!$D$5*'CALCULO MORTERO'!I1165+'BLAZE SHIELD II'!$D$6)*LN(J1165))+('BLAZE SHIELD II'!$D$7*('CALCULO MORTERO'!I1165^2)+'BLAZE SHIELD II'!$D$8*'CALCULO MORTERO'!I1165+'BLAZE SHIELD II'!$D$9)),0)+IF(AND(L1165="Blaze Shield II",M1165="Software Idiem",C1165="Cj"),((('BLAZE SHIELD II'!$H$4*('CALCULO MORTERO'!I1165^2)+'BLAZE SHIELD II'!$H$5*'CALCULO MORTERO'!I1165+'BLAZE SHIELD II'!$H$6)*LN(J1165))+('BLAZE SHIELD II'!$H$7*('CALCULO MORTERO'!I1165^2)+'BLAZE SHIELD II'!$H$8*'CALCULO MORTERO'!I1165+'BLAZE SHIELD II'!$H$9)),0)+IF(AND(L1165="Blaze Shield II",M1165="Software Idiem",C1165="C"),((('BLAZE SHIELD II'!$L$4*('CALCULO MORTERO'!I1165^2)+'BLAZE SHIELD II'!$L$5*'CALCULO MORTERO'!I1165+'BLAZE SHIELD II'!$L$6)*LN(J1165))+('BLAZE SHIELD II'!$L$7*('CALCULO MORTERO'!I1165^2)+'BLAZE SHIELD II'!$L$8*'CALCULO MORTERO'!I1165+'BLAZE SHIELD II'!$L$9)),0)+IF(AND(L1165="Blaze Shield II",M1165="Software Idiem",C1165="L"),((('BLAZE SHIELD II'!$L$4*('CALCULO MORTERO'!I1165^2)+'BLAZE SHIELD II'!$L$5*'CALCULO MORTERO'!I1165+'BLAZE SHIELD II'!$L$6)*LN(J1165))+('BLAZE SHIELD II'!$L$7*('CALCULO MORTERO'!I1165^2)+'BLAZE SHIELD II'!$L$8*'CALCULO MORTERO'!I1165+'BLAZE SHIELD II'!$L$9)),0)+IF(AND(L1165="Blaze Shield II",M1165="Software Idiem",C1165="IN",G1165=3),((('BLAZE SHIELD II'!$H$14*('CALCULO MORTERO'!I1165^2)+'BLAZE SHIELD II'!$H$15*'CALCULO MORTERO'!I1165+'BLAZE SHIELD II'!$H$16)*LN(J1165))+('BLAZE SHIELD II'!$H$17*('CALCULO MORTERO'!I1165^2)+'BLAZE SHIELD II'!$H$18*'CALCULO MORTERO'!I1165+'BLAZE SHIELD II'!$H$19)),0),0)+ROUND(IF(AND(L1165="Cafco 400",M1165="Software Idiem",C1165="IN",G1165=4),((('CAFCO 400 '!$H$7*(J1165^4)+'CAFCO 400 '!$H$8*(J1165^3)+'CAFCO 400 '!$H$9*(J1165^2)+'CAFCO 400 '!$H$10*J1165+'CAFCO 400 '!$H$11)*U1165^2)+(('CAFCO 400 '!$H$12*(J1165^3)+'CAFCO 400 '!$H$13*(J1165^2)+'CAFCO 400 '!$H$14*J1165+'CAFCO 400 '!$H$15)*U1165)+('CAFCO 400 '!$H$16*(J1165^2)+'CAFCO 400 '!$H$17*J1165+'CAFCO 400 '!$H$18)),0)+IF(AND(L1165="Cafco 400",M1165="Software Idiem",C1165="Cj"),(((('CAFCO 400 '!$D$7*LN(J1165)+'CAFCO 400 '!$D$8)*U1165^2)+(('CAFCO 400 '!$D$9*LN(J1165)+'CAFCO 400 '!$D$10)*U1165)+('CAFCO 400 '!$D$11*LN(J1165)+'CAFCO 400 '!$D$12))),0)+IF(AND(L1165="Cafco 400",M1165="Software Idiem",C1165="C"),((('CAFCO 400 '!$L$7*(J1165^3)+'CAFCO 400 '!$L$8*(J1165^2)+'CAFCO 400 '!$L$9*J1165+'CAFCO 400 '!$L$10)*U1165^2)+(('CAFCO 400 '!$L$11*(J1165^3)+'CAFCO 400 '!$L$12*(J1165^2)+'CAFCO 400 '!$L$13*J1165+'CAFCO 400 '!$L$14)*U1165)+('CAFCO 400 '!$L$15*LN(J1165)+'CAFCO 400 '!$L$16)),0)+IF(AND(L1165="Cafco 400",M1165="Software Idiem",C1165="L"),((('CAFCO 400 '!$L$7*(J1165^3)+'CAFCO 400 '!$L$8*(J1165^2)+'CAFCO 400 '!$L$9*J1165+'CAFCO 400 '!$L$10)*U1165^2)+(('CAFCO 400 '!$L$11*(J1165^3)+'CAFCO 400 '!$L$12*(J1165^2)+'CAFCO 400 '!$L$13*J1165+'CAFCO 400 '!$L$14)*U1165)+('CAFCO 400 '!$L$15*LN(J1165)+'CAFCO 400 '!$L$16)),0)+IF(AND(L1165="Cafco 400",M1165="Software Idiem",C1165="IN",G1165=3),((('CAFCO 400 '!$D$23*(J1165^2)+'CAFCO 400 '!$D$24*(J1165)+'CAFCO 400 '!$D$25)*U1165^2)+(('CAFCO 400 '!$D$26*(J1165^2)+'CAFCO 400 '!$D$27*J1165+'CAFCO 400 '!$D$28)*U1165)+('CAFCO 400 '!$D$29*(J1165^2)+'CAFCO 400 '!$D$30*J1165+'CAFCO 400 '!$D$31)),0),0)+IF(AND(L1165="Cafco 300",J1165&gt;=95,J1165&lt;=240,C1165="Cj",I1165=90),VLOOKUP(T1165,'CAFCO 300 IDIEM TABLAS'!$B$4:$D$23,2,FALSE),0)+IF(AND(L1165="Cafco 300",J1165&gt;=95,J1165&lt;=240,C1165="Cj",I1165=120),VLOOKUP(T1165,'CAFCO 300 IDIEM TABLAS'!$B$4:$D$23,3,FALSE),0)+IF(AND(L1165="Cafco 300",J1165&gt;=95,J1165&lt;=400,G1165=3,C1165="IN",I1165=90),VLOOKUP(T1165,'CAFCO 300 IDIEM TABLAS'!$F$4:$H$35,2,FALSE),0)+IF(AND(L1165="Cafco 300",J1165&gt;=95,J1165&lt;=400,G1165=3,C1165="IN",I1165=120),VLOOKUP(T1165,'CAFCO 300 IDIEM TABLAS'!$F$4:$H$35,3,FALSE),0)+IF(AND(L1165="Cafco 300",J1165&gt;=95,J1165&lt;=450,G1165=4,C1165="IN",I1165=90),VLOOKUP(T1165,'CAFCO 300 IDIEM TABLAS'!$J$4:$L$40,2,FALSE),0)+IF(AND(L1165="Cafco 300",J1165&gt;=95,J1165&lt;=450,G1165=4,C1165="IN",I1165=120),VLOOKUP(T1165,'CAFCO 300 IDIEM TABLAS'!$J$4:$L$40,3,FALSE),0)+IF(AND(M1165="Ensayo Idiem",L1165="Cafco 400",C1165="IN",G1165=4,I1165=90),VLOOKUP(T1165,'CAFCO 400 ENSAYO'!$B$7:$D$43,2,FALSE),0)+IF(AND(M1165="Ensayo Idiem",L1165="Cafco 400",C1165="IN",G1165=4,I1165=120),VLOOKUP(T1165,'CAFCO 400 ENSAYO'!$B$7:$D$43,3,FALSE),0)</f>
        <v>0</v>
      </c>
      <c r="O1165" s="96">
        <f t="shared" si="120"/>
        <v>0</v>
      </c>
      <c r="P1165" s="132" t="str">
        <f t="shared" si="115"/>
        <v>N/A</v>
      </c>
      <c r="Q1165" s="132" t="str">
        <f t="shared" si="116"/>
        <v>N/A</v>
      </c>
      <c r="R1165" s="132" t="str">
        <f t="shared" si="117"/>
        <v>NO CERT.</v>
      </c>
      <c r="S1165" s="132" t="e">
        <f t="shared" si="118"/>
        <v>#N/A</v>
      </c>
      <c r="T1165" s="133" t="e">
        <f>+IF(J1165=LOOKUP(J1165,'CAFCO 300 IDIEM TABLAS'!$J$4:$J$40),'CALCULO MORTERO'!J1165,MROUND('CALCULO MORTERO'!J1165,10))</f>
        <v>#N/A</v>
      </c>
      <c r="U1165" s="134">
        <f t="shared" si="119"/>
        <v>0</v>
      </c>
    </row>
    <row r="1166" spans="1:21" x14ac:dyDescent="0.25">
      <c r="A1166" s="118">
        <f>+CUBICACION!D1160</f>
        <v>0</v>
      </c>
      <c r="B1166" s="819">
        <f>+CUBICACION!E1160</f>
        <v>0</v>
      </c>
      <c r="C1166" s="675">
        <f>+CUBICACION!F1160</f>
        <v>0</v>
      </c>
      <c r="D1166" s="118"/>
      <c r="E1166" s="118"/>
      <c r="F1166" s="820"/>
      <c r="G1166" s="675">
        <f>+CUBICACION!J1160</f>
        <v>0</v>
      </c>
      <c r="H1166" s="118"/>
      <c r="I1166" s="821">
        <f>+CUBICACION!L1160</f>
        <v>0</v>
      </c>
      <c r="J1166" s="64">
        <f>+CUBICACION!M1160</f>
        <v>0</v>
      </c>
      <c r="K1166" s="822" t="str">
        <f>+CUBICACION!N1160</f>
        <v/>
      </c>
      <c r="L1166" s="118">
        <f>+CUBICACION!O1160</f>
        <v>0</v>
      </c>
      <c r="M1166" s="823">
        <f>+CUBICACION!P1160</f>
        <v>0</v>
      </c>
      <c r="N1166" s="902">
        <f>ROUND(IF(AND(L1166="Blaze Shield II",M1166="Software Idiem",C1166="IN",G1166=4),((('BLAZE SHIELD II'!$D$4*('CALCULO MORTERO'!I1166^2)+'BLAZE SHIELD II'!$D$5*'CALCULO MORTERO'!I1166+'BLAZE SHIELD II'!$D$6)*LN(J1166))+('BLAZE SHIELD II'!$D$7*('CALCULO MORTERO'!I1166^2)+'BLAZE SHIELD II'!$D$8*'CALCULO MORTERO'!I1166+'BLAZE SHIELD II'!$D$9)),0)+IF(AND(L1166="Blaze Shield II",M1166="Software Idiem",C1166="Cj"),((('BLAZE SHIELD II'!$H$4*('CALCULO MORTERO'!I1166^2)+'BLAZE SHIELD II'!$H$5*'CALCULO MORTERO'!I1166+'BLAZE SHIELD II'!$H$6)*LN(J1166))+('BLAZE SHIELD II'!$H$7*('CALCULO MORTERO'!I1166^2)+'BLAZE SHIELD II'!$H$8*'CALCULO MORTERO'!I1166+'BLAZE SHIELD II'!$H$9)),0)+IF(AND(L1166="Blaze Shield II",M1166="Software Idiem",C1166="C"),((('BLAZE SHIELD II'!$L$4*('CALCULO MORTERO'!I1166^2)+'BLAZE SHIELD II'!$L$5*'CALCULO MORTERO'!I1166+'BLAZE SHIELD II'!$L$6)*LN(J1166))+('BLAZE SHIELD II'!$L$7*('CALCULO MORTERO'!I1166^2)+'BLAZE SHIELD II'!$L$8*'CALCULO MORTERO'!I1166+'BLAZE SHIELD II'!$L$9)),0)+IF(AND(L1166="Blaze Shield II",M1166="Software Idiem",C1166="L"),((('BLAZE SHIELD II'!$L$4*('CALCULO MORTERO'!I1166^2)+'BLAZE SHIELD II'!$L$5*'CALCULO MORTERO'!I1166+'BLAZE SHIELD II'!$L$6)*LN(J1166))+('BLAZE SHIELD II'!$L$7*('CALCULO MORTERO'!I1166^2)+'BLAZE SHIELD II'!$L$8*'CALCULO MORTERO'!I1166+'BLAZE SHIELD II'!$L$9)),0)+IF(AND(L1166="Blaze Shield II",M1166="Software Idiem",C1166="IN",G1166=3),((('BLAZE SHIELD II'!$H$14*('CALCULO MORTERO'!I1166^2)+'BLAZE SHIELD II'!$H$15*'CALCULO MORTERO'!I1166+'BLAZE SHIELD II'!$H$16)*LN(J1166))+('BLAZE SHIELD II'!$H$17*('CALCULO MORTERO'!I1166^2)+'BLAZE SHIELD II'!$H$18*'CALCULO MORTERO'!I1166+'BLAZE SHIELD II'!$H$19)),0),0)+ROUND(IF(AND(L1166="Cafco 400",M1166="Software Idiem",C1166="IN",G1166=4),((('CAFCO 400 '!$H$7*(J1166^4)+'CAFCO 400 '!$H$8*(J1166^3)+'CAFCO 400 '!$H$9*(J1166^2)+'CAFCO 400 '!$H$10*J1166+'CAFCO 400 '!$H$11)*U1166^2)+(('CAFCO 400 '!$H$12*(J1166^3)+'CAFCO 400 '!$H$13*(J1166^2)+'CAFCO 400 '!$H$14*J1166+'CAFCO 400 '!$H$15)*U1166)+('CAFCO 400 '!$H$16*(J1166^2)+'CAFCO 400 '!$H$17*J1166+'CAFCO 400 '!$H$18)),0)+IF(AND(L1166="Cafco 400",M1166="Software Idiem",C1166="Cj"),(((('CAFCO 400 '!$D$7*LN(J1166)+'CAFCO 400 '!$D$8)*U1166^2)+(('CAFCO 400 '!$D$9*LN(J1166)+'CAFCO 400 '!$D$10)*U1166)+('CAFCO 400 '!$D$11*LN(J1166)+'CAFCO 400 '!$D$12))),0)+IF(AND(L1166="Cafco 400",M1166="Software Idiem",C1166="C"),((('CAFCO 400 '!$L$7*(J1166^3)+'CAFCO 400 '!$L$8*(J1166^2)+'CAFCO 400 '!$L$9*J1166+'CAFCO 400 '!$L$10)*U1166^2)+(('CAFCO 400 '!$L$11*(J1166^3)+'CAFCO 400 '!$L$12*(J1166^2)+'CAFCO 400 '!$L$13*J1166+'CAFCO 400 '!$L$14)*U1166)+('CAFCO 400 '!$L$15*LN(J1166)+'CAFCO 400 '!$L$16)),0)+IF(AND(L1166="Cafco 400",M1166="Software Idiem",C1166="L"),((('CAFCO 400 '!$L$7*(J1166^3)+'CAFCO 400 '!$L$8*(J1166^2)+'CAFCO 400 '!$L$9*J1166+'CAFCO 400 '!$L$10)*U1166^2)+(('CAFCO 400 '!$L$11*(J1166^3)+'CAFCO 400 '!$L$12*(J1166^2)+'CAFCO 400 '!$L$13*J1166+'CAFCO 400 '!$L$14)*U1166)+('CAFCO 400 '!$L$15*LN(J1166)+'CAFCO 400 '!$L$16)),0)+IF(AND(L1166="Cafco 400",M1166="Software Idiem",C1166="IN",G1166=3),((('CAFCO 400 '!$D$23*(J1166^2)+'CAFCO 400 '!$D$24*(J1166)+'CAFCO 400 '!$D$25)*U1166^2)+(('CAFCO 400 '!$D$26*(J1166^2)+'CAFCO 400 '!$D$27*J1166+'CAFCO 400 '!$D$28)*U1166)+('CAFCO 400 '!$D$29*(J1166^2)+'CAFCO 400 '!$D$30*J1166+'CAFCO 400 '!$D$31)),0),0)+IF(AND(L1166="Cafco 300",J1166&gt;=95,J1166&lt;=240,C1166="Cj",I1166=90),VLOOKUP(T1166,'CAFCO 300 IDIEM TABLAS'!$B$4:$D$23,2,FALSE),0)+IF(AND(L1166="Cafco 300",J1166&gt;=95,J1166&lt;=240,C1166="Cj",I1166=120),VLOOKUP(T1166,'CAFCO 300 IDIEM TABLAS'!$B$4:$D$23,3,FALSE),0)+IF(AND(L1166="Cafco 300",J1166&gt;=95,J1166&lt;=400,G1166=3,C1166="IN",I1166=90),VLOOKUP(T1166,'CAFCO 300 IDIEM TABLAS'!$F$4:$H$35,2,FALSE),0)+IF(AND(L1166="Cafco 300",J1166&gt;=95,J1166&lt;=400,G1166=3,C1166="IN",I1166=120),VLOOKUP(T1166,'CAFCO 300 IDIEM TABLAS'!$F$4:$H$35,3,FALSE),0)+IF(AND(L1166="Cafco 300",J1166&gt;=95,J1166&lt;=450,G1166=4,C1166="IN",I1166=90),VLOOKUP(T1166,'CAFCO 300 IDIEM TABLAS'!$J$4:$L$40,2,FALSE),0)+IF(AND(L1166="Cafco 300",J1166&gt;=95,J1166&lt;=450,G1166=4,C1166="IN",I1166=120),VLOOKUP(T1166,'CAFCO 300 IDIEM TABLAS'!$J$4:$L$40,3,FALSE),0)+IF(AND(M1166="Ensayo Idiem",L1166="Cafco 400",C1166="IN",G1166=4,I1166=90),VLOOKUP(T1166,'CAFCO 400 ENSAYO'!$B$7:$D$43,2,FALSE),0)+IF(AND(M1166="Ensayo Idiem",L1166="Cafco 400",C1166="IN",G1166=4,I1166=120),VLOOKUP(T1166,'CAFCO 400 ENSAYO'!$B$7:$D$43,3,FALSE),0)</f>
        <v>0</v>
      </c>
      <c r="O1166" s="96">
        <f t="shared" si="120"/>
        <v>0</v>
      </c>
      <c r="P1166" s="95" t="str">
        <f t="shared" si="115"/>
        <v>N/A</v>
      </c>
      <c r="Q1166" s="95" t="str">
        <f t="shared" si="116"/>
        <v>N/A</v>
      </c>
      <c r="R1166" s="95" t="str">
        <f t="shared" si="117"/>
        <v>NO CERT.</v>
      </c>
      <c r="S1166" s="95" t="e">
        <f t="shared" si="118"/>
        <v>#N/A</v>
      </c>
      <c r="T1166" s="119" t="e">
        <f>+IF(J1166=LOOKUP(J1166,'CAFCO 300 IDIEM TABLAS'!$J$4:$J$40),'CALCULO MORTERO'!J1166,MROUND('CALCULO MORTERO'!J1166,10))</f>
        <v>#N/A</v>
      </c>
      <c r="U1166" s="118">
        <f t="shared" si="119"/>
        <v>0</v>
      </c>
    </row>
    <row r="1167" spans="1:21" x14ac:dyDescent="0.25">
      <c r="A1167" s="118">
        <f>+CUBICACION!D1161</f>
        <v>0</v>
      </c>
      <c r="B1167" s="819">
        <f>+CUBICACION!E1161</f>
        <v>0</v>
      </c>
      <c r="C1167" s="675">
        <f>+CUBICACION!F1161</f>
        <v>0</v>
      </c>
      <c r="D1167" s="118"/>
      <c r="E1167" s="118"/>
      <c r="F1167" s="820"/>
      <c r="G1167" s="675">
        <f>+CUBICACION!J1161</f>
        <v>0</v>
      </c>
      <c r="H1167" s="118"/>
      <c r="I1167" s="821">
        <f>+CUBICACION!L1161</f>
        <v>0</v>
      </c>
      <c r="J1167" s="64">
        <f>+CUBICACION!M1161</f>
        <v>0</v>
      </c>
      <c r="K1167" s="822" t="str">
        <f>+CUBICACION!N1161</f>
        <v/>
      </c>
      <c r="L1167" s="118">
        <f>+CUBICACION!O1161</f>
        <v>0</v>
      </c>
      <c r="M1167" s="823">
        <f>+CUBICACION!P1161</f>
        <v>0</v>
      </c>
      <c r="N1167" s="902">
        <f>ROUND(IF(AND(L1167="Blaze Shield II",M1167="Software Idiem",C1167="IN",G1167=4),((('BLAZE SHIELD II'!$D$4*('CALCULO MORTERO'!I1167^2)+'BLAZE SHIELD II'!$D$5*'CALCULO MORTERO'!I1167+'BLAZE SHIELD II'!$D$6)*LN(J1167))+('BLAZE SHIELD II'!$D$7*('CALCULO MORTERO'!I1167^2)+'BLAZE SHIELD II'!$D$8*'CALCULO MORTERO'!I1167+'BLAZE SHIELD II'!$D$9)),0)+IF(AND(L1167="Blaze Shield II",M1167="Software Idiem",C1167="Cj"),((('BLAZE SHIELD II'!$H$4*('CALCULO MORTERO'!I1167^2)+'BLAZE SHIELD II'!$H$5*'CALCULO MORTERO'!I1167+'BLAZE SHIELD II'!$H$6)*LN(J1167))+('BLAZE SHIELD II'!$H$7*('CALCULO MORTERO'!I1167^2)+'BLAZE SHIELD II'!$H$8*'CALCULO MORTERO'!I1167+'BLAZE SHIELD II'!$H$9)),0)+IF(AND(L1167="Blaze Shield II",M1167="Software Idiem",C1167="C"),((('BLAZE SHIELD II'!$L$4*('CALCULO MORTERO'!I1167^2)+'BLAZE SHIELD II'!$L$5*'CALCULO MORTERO'!I1167+'BLAZE SHIELD II'!$L$6)*LN(J1167))+('BLAZE SHIELD II'!$L$7*('CALCULO MORTERO'!I1167^2)+'BLAZE SHIELD II'!$L$8*'CALCULO MORTERO'!I1167+'BLAZE SHIELD II'!$L$9)),0)+IF(AND(L1167="Blaze Shield II",M1167="Software Idiem",C1167="L"),((('BLAZE SHIELD II'!$L$4*('CALCULO MORTERO'!I1167^2)+'BLAZE SHIELD II'!$L$5*'CALCULO MORTERO'!I1167+'BLAZE SHIELD II'!$L$6)*LN(J1167))+('BLAZE SHIELD II'!$L$7*('CALCULO MORTERO'!I1167^2)+'BLAZE SHIELD II'!$L$8*'CALCULO MORTERO'!I1167+'BLAZE SHIELD II'!$L$9)),0)+IF(AND(L1167="Blaze Shield II",M1167="Software Idiem",C1167="IN",G1167=3),((('BLAZE SHIELD II'!$H$14*('CALCULO MORTERO'!I1167^2)+'BLAZE SHIELD II'!$H$15*'CALCULO MORTERO'!I1167+'BLAZE SHIELD II'!$H$16)*LN(J1167))+('BLAZE SHIELD II'!$H$17*('CALCULO MORTERO'!I1167^2)+'BLAZE SHIELD II'!$H$18*'CALCULO MORTERO'!I1167+'BLAZE SHIELD II'!$H$19)),0),0)+ROUND(IF(AND(L1167="Cafco 400",M1167="Software Idiem",C1167="IN",G1167=4),((('CAFCO 400 '!$H$7*(J1167^4)+'CAFCO 400 '!$H$8*(J1167^3)+'CAFCO 400 '!$H$9*(J1167^2)+'CAFCO 400 '!$H$10*J1167+'CAFCO 400 '!$H$11)*U1167^2)+(('CAFCO 400 '!$H$12*(J1167^3)+'CAFCO 400 '!$H$13*(J1167^2)+'CAFCO 400 '!$H$14*J1167+'CAFCO 400 '!$H$15)*U1167)+('CAFCO 400 '!$H$16*(J1167^2)+'CAFCO 400 '!$H$17*J1167+'CAFCO 400 '!$H$18)),0)+IF(AND(L1167="Cafco 400",M1167="Software Idiem",C1167="Cj"),(((('CAFCO 400 '!$D$7*LN(J1167)+'CAFCO 400 '!$D$8)*U1167^2)+(('CAFCO 400 '!$D$9*LN(J1167)+'CAFCO 400 '!$D$10)*U1167)+('CAFCO 400 '!$D$11*LN(J1167)+'CAFCO 400 '!$D$12))),0)+IF(AND(L1167="Cafco 400",M1167="Software Idiem",C1167="C"),((('CAFCO 400 '!$L$7*(J1167^3)+'CAFCO 400 '!$L$8*(J1167^2)+'CAFCO 400 '!$L$9*J1167+'CAFCO 400 '!$L$10)*U1167^2)+(('CAFCO 400 '!$L$11*(J1167^3)+'CAFCO 400 '!$L$12*(J1167^2)+'CAFCO 400 '!$L$13*J1167+'CAFCO 400 '!$L$14)*U1167)+('CAFCO 400 '!$L$15*LN(J1167)+'CAFCO 400 '!$L$16)),0)+IF(AND(L1167="Cafco 400",M1167="Software Idiem",C1167="L"),((('CAFCO 400 '!$L$7*(J1167^3)+'CAFCO 400 '!$L$8*(J1167^2)+'CAFCO 400 '!$L$9*J1167+'CAFCO 400 '!$L$10)*U1167^2)+(('CAFCO 400 '!$L$11*(J1167^3)+'CAFCO 400 '!$L$12*(J1167^2)+'CAFCO 400 '!$L$13*J1167+'CAFCO 400 '!$L$14)*U1167)+('CAFCO 400 '!$L$15*LN(J1167)+'CAFCO 400 '!$L$16)),0)+IF(AND(L1167="Cafco 400",M1167="Software Idiem",C1167="IN",G1167=3),((('CAFCO 400 '!$D$23*(J1167^2)+'CAFCO 400 '!$D$24*(J1167)+'CAFCO 400 '!$D$25)*U1167^2)+(('CAFCO 400 '!$D$26*(J1167^2)+'CAFCO 400 '!$D$27*J1167+'CAFCO 400 '!$D$28)*U1167)+('CAFCO 400 '!$D$29*(J1167^2)+'CAFCO 400 '!$D$30*J1167+'CAFCO 400 '!$D$31)),0),0)+IF(AND(L1167="Cafco 300",J1167&gt;=95,J1167&lt;=240,C1167="Cj",I1167=90),VLOOKUP(T1167,'CAFCO 300 IDIEM TABLAS'!$B$4:$D$23,2,FALSE),0)+IF(AND(L1167="Cafco 300",J1167&gt;=95,J1167&lt;=240,C1167="Cj",I1167=120),VLOOKUP(T1167,'CAFCO 300 IDIEM TABLAS'!$B$4:$D$23,3,FALSE),0)+IF(AND(L1167="Cafco 300",J1167&gt;=95,J1167&lt;=400,G1167=3,C1167="IN",I1167=90),VLOOKUP(T1167,'CAFCO 300 IDIEM TABLAS'!$F$4:$H$35,2,FALSE),0)+IF(AND(L1167="Cafco 300",J1167&gt;=95,J1167&lt;=400,G1167=3,C1167="IN",I1167=120),VLOOKUP(T1167,'CAFCO 300 IDIEM TABLAS'!$F$4:$H$35,3,FALSE),0)+IF(AND(L1167="Cafco 300",J1167&gt;=95,J1167&lt;=450,G1167=4,C1167="IN",I1167=90),VLOOKUP(T1167,'CAFCO 300 IDIEM TABLAS'!$J$4:$L$40,2,FALSE),0)+IF(AND(L1167="Cafco 300",J1167&gt;=95,J1167&lt;=450,G1167=4,C1167="IN",I1167=120),VLOOKUP(T1167,'CAFCO 300 IDIEM TABLAS'!$J$4:$L$40,3,FALSE),0)+IF(AND(M1167="Ensayo Idiem",L1167="Cafco 400",C1167="IN",G1167=4,I1167=90),VLOOKUP(T1167,'CAFCO 400 ENSAYO'!$B$7:$D$43,2,FALSE),0)+IF(AND(M1167="Ensayo Idiem",L1167="Cafco 400",C1167="IN",G1167=4,I1167=120),VLOOKUP(T1167,'CAFCO 400 ENSAYO'!$B$7:$D$43,3,FALSE),0)</f>
        <v>0</v>
      </c>
      <c r="O1167" s="96">
        <f t="shared" si="120"/>
        <v>0</v>
      </c>
      <c r="P1167" s="132" t="str">
        <f t="shared" si="115"/>
        <v>N/A</v>
      </c>
      <c r="Q1167" s="132" t="str">
        <f t="shared" si="116"/>
        <v>N/A</v>
      </c>
      <c r="R1167" s="132" t="str">
        <f t="shared" si="117"/>
        <v>NO CERT.</v>
      </c>
      <c r="S1167" s="132" t="e">
        <f t="shared" si="118"/>
        <v>#N/A</v>
      </c>
      <c r="T1167" s="133" t="e">
        <f>+IF(J1167=LOOKUP(J1167,'CAFCO 300 IDIEM TABLAS'!$J$4:$J$40),'CALCULO MORTERO'!J1167,MROUND('CALCULO MORTERO'!J1167,10))</f>
        <v>#N/A</v>
      </c>
      <c r="U1167" s="134">
        <f t="shared" si="119"/>
        <v>0</v>
      </c>
    </row>
    <row r="1168" spans="1:21" x14ac:dyDescent="0.25">
      <c r="A1168" s="118">
        <f>+CUBICACION!D1162</f>
        <v>0</v>
      </c>
      <c r="B1168" s="819">
        <f>+CUBICACION!E1162</f>
        <v>0</v>
      </c>
      <c r="C1168" s="675">
        <f>+CUBICACION!F1162</f>
        <v>0</v>
      </c>
      <c r="D1168" s="118"/>
      <c r="E1168" s="118"/>
      <c r="F1168" s="820"/>
      <c r="G1168" s="675">
        <f>+CUBICACION!J1162</f>
        <v>0</v>
      </c>
      <c r="H1168" s="118"/>
      <c r="I1168" s="821">
        <f>+CUBICACION!L1162</f>
        <v>0</v>
      </c>
      <c r="J1168" s="64">
        <f>+CUBICACION!M1162</f>
        <v>0</v>
      </c>
      <c r="K1168" s="822" t="str">
        <f>+CUBICACION!N1162</f>
        <v/>
      </c>
      <c r="L1168" s="118">
        <f>+CUBICACION!O1162</f>
        <v>0</v>
      </c>
      <c r="M1168" s="823">
        <f>+CUBICACION!P1162</f>
        <v>0</v>
      </c>
      <c r="N1168" s="902">
        <f>ROUND(IF(AND(L1168="Blaze Shield II",M1168="Software Idiem",C1168="IN",G1168=4),((('BLAZE SHIELD II'!$D$4*('CALCULO MORTERO'!I1168^2)+'BLAZE SHIELD II'!$D$5*'CALCULO MORTERO'!I1168+'BLAZE SHIELD II'!$D$6)*LN(J1168))+('BLAZE SHIELD II'!$D$7*('CALCULO MORTERO'!I1168^2)+'BLAZE SHIELD II'!$D$8*'CALCULO MORTERO'!I1168+'BLAZE SHIELD II'!$D$9)),0)+IF(AND(L1168="Blaze Shield II",M1168="Software Idiem",C1168="Cj"),((('BLAZE SHIELD II'!$H$4*('CALCULO MORTERO'!I1168^2)+'BLAZE SHIELD II'!$H$5*'CALCULO MORTERO'!I1168+'BLAZE SHIELD II'!$H$6)*LN(J1168))+('BLAZE SHIELD II'!$H$7*('CALCULO MORTERO'!I1168^2)+'BLAZE SHIELD II'!$H$8*'CALCULO MORTERO'!I1168+'BLAZE SHIELD II'!$H$9)),0)+IF(AND(L1168="Blaze Shield II",M1168="Software Idiem",C1168="C"),((('BLAZE SHIELD II'!$L$4*('CALCULO MORTERO'!I1168^2)+'BLAZE SHIELD II'!$L$5*'CALCULO MORTERO'!I1168+'BLAZE SHIELD II'!$L$6)*LN(J1168))+('BLAZE SHIELD II'!$L$7*('CALCULO MORTERO'!I1168^2)+'BLAZE SHIELD II'!$L$8*'CALCULO MORTERO'!I1168+'BLAZE SHIELD II'!$L$9)),0)+IF(AND(L1168="Blaze Shield II",M1168="Software Idiem",C1168="L"),((('BLAZE SHIELD II'!$L$4*('CALCULO MORTERO'!I1168^2)+'BLAZE SHIELD II'!$L$5*'CALCULO MORTERO'!I1168+'BLAZE SHIELD II'!$L$6)*LN(J1168))+('BLAZE SHIELD II'!$L$7*('CALCULO MORTERO'!I1168^2)+'BLAZE SHIELD II'!$L$8*'CALCULO MORTERO'!I1168+'BLAZE SHIELD II'!$L$9)),0)+IF(AND(L1168="Blaze Shield II",M1168="Software Idiem",C1168="IN",G1168=3),((('BLAZE SHIELD II'!$H$14*('CALCULO MORTERO'!I1168^2)+'BLAZE SHIELD II'!$H$15*'CALCULO MORTERO'!I1168+'BLAZE SHIELD II'!$H$16)*LN(J1168))+('BLAZE SHIELD II'!$H$17*('CALCULO MORTERO'!I1168^2)+'BLAZE SHIELD II'!$H$18*'CALCULO MORTERO'!I1168+'BLAZE SHIELD II'!$H$19)),0),0)+ROUND(IF(AND(L1168="Cafco 400",M1168="Software Idiem",C1168="IN",G1168=4),((('CAFCO 400 '!$H$7*(J1168^4)+'CAFCO 400 '!$H$8*(J1168^3)+'CAFCO 400 '!$H$9*(J1168^2)+'CAFCO 400 '!$H$10*J1168+'CAFCO 400 '!$H$11)*U1168^2)+(('CAFCO 400 '!$H$12*(J1168^3)+'CAFCO 400 '!$H$13*(J1168^2)+'CAFCO 400 '!$H$14*J1168+'CAFCO 400 '!$H$15)*U1168)+('CAFCO 400 '!$H$16*(J1168^2)+'CAFCO 400 '!$H$17*J1168+'CAFCO 400 '!$H$18)),0)+IF(AND(L1168="Cafco 400",M1168="Software Idiem",C1168="Cj"),(((('CAFCO 400 '!$D$7*LN(J1168)+'CAFCO 400 '!$D$8)*U1168^2)+(('CAFCO 400 '!$D$9*LN(J1168)+'CAFCO 400 '!$D$10)*U1168)+('CAFCO 400 '!$D$11*LN(J1168)+'CAFCO 400 '!$D$12))),0)+IF(AND(L1168="Cafco 400",M1168="Software Idiem",C1168="C"),((('CAFCO 400 '!$L$7*(J1168^3)+'CAFCO 400 '!$L$8*(J1168^2)+'CAFCO 400 '!$L$9*J1168+'CAFCO 400 '!$L$10)*U1168^2)+(('CAFCO 400 '!$L$11*(J1168^3)+'CAFCO 400 '!$L$12*(J1168^2)+'CAFCO 400 '!$L$13*J1168+'CAFCO 400 '!$L$14)*U1168)+('CAFCO 400 '!$L$15*LN(J1168)+'CAFCO 400 '!$L$16)),0)+IF(AND(L1168="Cafco 400",M1168="Software Idiem",C1168="L"),((('CAFCO 400 '!$L$7*(J1168^3)+'CAFCO 400 '!$L$8*(J1168^2)+'CAFCO 400 '!$L$9*J1168+'CAFCO 400 '!$L$10)*U1168^2)+(('CAFCO 400 '!$L$11*(J1168^3)+'CAFCO 400 '!$L$12*(J1168^2)+'CAFCO 400 '!$L$13*J1168+'CAFCO 400 '!$L$14)*U1168)+('CAFCO 400 '!$L$15*LN(J1168)+'CAFCO 400 '!$L$16)),0)+IF(AND(L1168="Cafco 400",M1168="Software Idiem",C1168="IN",G1168=3),((('CAFCO 400 '!$D$23*(J1168^2)+'CAFCO 400 '!$D$24*(J1168)+'CAFCO 400 '!$D$25)*U1168^2)+(('CAFCO 400 '!$D$26*(J1168^2)+'CAFCO 400 '!$D$27*J1168+'CAFCO 400 '!$D$28)*U1168)+('CAFCO 400 '!$D$29*(J1168^2)+'CAFCO 400 '!$D$30*J1168+'CAFCO 400 '!$D$31)),0),0)+IF(AND(L1168="Cafco 300",J1168&gt;=95,J1168&lt;=240,C1168="Cj",I1168=90),VLOOKUP(T1168,'CAFCO 300 IDIEM TABLAS'!$B$4:$D$23,2,FALSE),0)+IF(AND(L1168="Cafco 300",J1168&gt;=95,J1168&lt;=240,C1168="Cj",I1168=120),VLOOKUP(T1168,'CAFCO 300 IDIEM TABLAS'!$B$4:$D$23,3,FALSE),0)+IF(AND(L1168="Cafco 300",J1168&gt;=95,J1168&lt;=400,G1168=3,C1168="IN",I1168=90),VLOOKUP(T1168,'CAFCO 300 IDIEM TABLAS'!$F$4:$H$35,2,FALSE),0)+IF(AND(L1168="Cafco 300",J1168&gt;=95,J1168&lt;=400,G1168=3,C1168="IN",I1168=120),VLOOKUP(T1168,'CAFCO 300 IDIEM TABLAS'!$F$4:$H$35,3,FALSE),0)+IF(AND(L1168="Cafco 300",J1168&gt;=95,J1168&lt;=450,G1168=4,C1168="IN",I1168=90),VLOOKUP(T1168,'CAFCO 300 IDIEM TABLAS'!$J$4:$L$40,2,FALSE),0)+IF(AND(L1168="Cafco 300",J1168&gt;=95,J1168&lt;=450,G1168=4,C1168="IN",I1168=120),VLOOKUP(T1168,'CAFCO 300 IDIEM TABLAS'!$J$4:$L$40,3,FALSE),0)+IF(AND(M1168="Ensayo Idiem",L1168="Cafco 400",C1168="IN",G1168=4,I1168=90),VLOOKUP(T1168,'CAFCO 400 ENSAYO'!$B$7:$D$43,2,FALSE),0)+IF(AND(M1168="Ensayo Idiem",L1168="Cafco 400",C1168="IN",G1168=4,I1168=120),VLOOKUP(T1168,'CAFCO 400 ENSAYO'!$B$7:$D$43,3,FALSE),0)</f>
        <v>0</v>
      </c>
      <c r="O1168" s="96">
        <f t="shared" si="120"/>
        <v>0</v>
      </c>
      <c r="P1168" s="95" t="str">
        <f t="shared" si="115"/>
        <v>N/A</v>
      </c>
      <c r="Q1168" s="95" t="str">
        <f t="shared" si="116"/>
        <v>N/A</v>
      </c>
      <c r="R1168" s="95" t="str">
        <f t="shared" si="117"/>
        <v>NO CERT.</v>
      </c>
      <c r="S1168" s="95" t="e">
        <f t="shared" si="118"/>
        <v>#N/A</v>
      </c>
      <c r="T1168" s="119" t="e">
        <f>+IF(J1168=LOOKUP(J1168,'CAFCO 300 IDIEM TABLAS'!$J$4:$J$40),'CALCULO MORTERO'!J1168,MROUND('CALCULO MORTERO'!J1168,10))</f>
        <v>#N/A</v>
      </c>
      <c r="U1168" s="118">
        <f t="shared" si="119"/>
        <v>0</v>
      </c>
    </row>
    <row r="1169" spans="1:21" x14ac:dyDescent="0.25">
      <c r="A1169" s="118">
        <f>+CUBICACION!D1163</f>
        <v>0</v>
      </c>
      <c r="B1169" s="819">
        <f>+CUBICACION!E1163</f>
        <v>0</v>
      </c>
      <c r="C1169" s="675">
        <f>+CUBICACION!F1163</f>
        <v>0</v>
      </c>
      <c r="D1169" s="118"/>
      <c r="E1169" s="118"/>
      <c r="F1169" s="820"/>
      <c r="G1169" s="675">
        <f>+CUBICACION!J1163</f>
        <v>0</v>
      </c>
      <c r="H1169" s="118"/>
      <c r="I1169" s="821">
        <f>+CUBICACION!L1163</f>
        <v>0</v>
      </c>
      <c r="J1169" s="64">
        <f>+CUBICACION!M1163</f>
        <v>0</v>
      </c>
      <c r="K1169" s="822" t="str">
        <f>+CUBICACION!N1163</f>
        <v/>
      </c>
      <c r="L1169" s="118">
        <f>+CUBICACION!O1163</f>
        <v>0</v>
      </c>
      <c r="M1169" s="823">
        <f>+CUBICACION!P1163</f>
        <v>0</v>
      </c>
      <c r="N1169" s="902">
        <f>ROUND(IF(AND(L1169="Blaze Shield II",M1169="Software Idiem",C1169="IN",G1169=4),((('BLAZE SHIELD II'!$D$4*('CALCULO MORTERO'!I1169^2)+'BLAZE SHIELD II'!$D$5*'CALCULO MORTERO'!I1169+'BLAZE SHIELD II'!$D$6)*LN(J1169))+('BLAZE SHIELD II'!$D$7*('CALCULO MORTERO'!I1169^2)+'BLAZE SHIELD II'!$D$8*'CALCULO MORTERO'!I1169+'BLAZE SHIELD II'!$D$9)),0)+IF(AND(L1169="Blaze Shield II",M1169="Software Idiem",C1169="Cj"),((('BLAZE SHIELD II'!$H$4*('CALCULO MORTERO'!I1169^2)+'BLAZE SHIELD II'!$H$5*'CALCULO MORTERO'!I1169+'BLAZE SHIELD II'!$H$6)*LN(J1169))+('BLAZE SHIELD II'!$H$7*('CALCULO MORTERO'!I1169^2)+'BLAZE SHIELD II'!$H$8*'CALCULO MORTERO'!I1169+'BLAZE SHIELD II'!$H$9)),0)+IF(AND(L1169="Blaze Shield II",M1169="Software Idiem",C1169="C"),((('BLAZE SHIELD II'!$L$4*('CALCULO MORTERO'!I1169^2)+'BLAZE SHIELD II'!$L$5*'CALCULO MORTERO'!I1169+'BLAZE SHIELD II'!$L$6)*LN(J1169))+('BLAZE SHIELD II'!$L$7*('CALCULO MORTERO'!I1169^2)+'BLAZE SHIELD II'!$L$8*'CALCULO MORTERO'!I1169+'BLAZE SHIELD II'!$L$9)),0)+IF(AND(L1169="Blaze Shield II",M1169="Software Idiem",C1169="L"),((('BLAZE SHIELD II'!$L$4*('CALCULO MORTERO'!I1169^2)+'BLAZE SHIELD II'!$L$5*'CALCULO MORTERO'!I1169+'BLAZE SHIELD II'!$L$6)*LN(J1169))+('BLAZE SHIELD II'!$L$7*('CALCULO MORTERO'!I1169^2)+'BLAZE SHIELD II'!$L$8*'CALCULO MORTERO'!I1169+'BLAZE SHIELD II'!$L$9)),0)+IF(AND(L1169="Blaze Shield II",M1169="Software Idiem",C1169="IN",G1169=3),((('BLAZE SHIELD II'!$H$14*('CALCULO MORTERO'!I1169^2)+'BLAZE SHIELD II'!$H$15*'CALCULO MORTERO'!I1169+'BLAZE SHIELD II'!$H$16)*LN(J1169))+('BLAZE SHIELD II'!$H$17*('CALCULO MORTERO'!I1169^2)+'BLAZE SHIELD II'!$H$18*'CALCULO MORTERO'!I1169+'BLAZE SHIELD II'!$H$19)),0),0)+ROUND(IF(AND(L1169="Cafco 400",M1169="Software Idiem",C1169="IN",G1169=4),((('CAFCO 400 '!$H$7*(J1169^4)+'CAFCO 400 '!$H$8*(J1169^3)+'CAFCO 400 '!$H$9*(J1169^2)+'CAFCO 400 '!$H$10*J1169+'CAFCO 400 '!$H$11)*U1169^2)+(('CAFCO 400 '!$H$12*(J1169^3)+'CAFCO 400 '!$H$13*(J1169^2)+'CAFCO 400 '!$H$14*J1169+'CAFCO 400 '!$H$15)*U1169)+('CAFCO 400 '!$H$16*(J1169^2)+'CAFCO 400 '!$H$17*J1169+'CAFCO 400 '!$H$18)),0)+IF(AND(L1169="Cafco 400",M1169="Software Idiem",C1169="Cj"),(((('CAFCO 400 '!$D$7*LN(J1169)+'CAFCO 400 '!$D$8)*U1169^2)+(('CAFCO 400 '!$D$9*LN(J1169)+'CAFCO 400 '!$D$10)*U1169)+('CAFCO 400 '!$D$11*LN(J1169)+'CAFCO 400 '!$D$12))),0)+IF(AND(L1169="Cafco 400",M1169="Software Idiem",C1169="C"),((('CAFCO 400 '!$L$7*(J1169^3)+'CAFCO 400 '!$L$8*(J1169^2)+'CAFCO 400 '!$L$9*J1169+'CAFCO 400 '!$L$10)*U1169^2)+(('CAFCO 400 '!$L$11*(J1169^3)+'CAFCO 400 '!$L$12*(J1169^2)+'CAFCO 400 '!$L$13*J1169+'CAFCO 400 '!$L$14)*U1169)+('CAFCO 400 '!$L$15*LN(J1169)+'CAFCO 400 '!$L$16)),0)+IF(AND(L1169="Cafco 400",M1169="Software Idiem",C1169="L"),((('CAFCO 400 '!$L$7*(J1169^3)+'CAFCO 400 '!$L$8*(J1169^2)+'CAFCO 400 '!$L$9*J1169+'CAFCO 400 '!$L$10)*U1169^2)+(('CAFCO 400 '!$L$11*(J1169^3)+'CAFCO 400 '!$L$12*(J1169^2)+'CAFCO 400 '!$L$13*J1169+'CAFCO 400 '!$L$14)*U1169)+('CAFCO 400 '!$L$15*LN(J1169)+'CAFCO 400 '!$L$16)),0)+IF(AND(L1169="Cafco 400",M1169="Software Idiem",C1169="IN",G1169=3),((('CAFCO 400 '!$D$23*(J1169^2)+'CAFCO 400 '!$D$24*(J1169)+'CAFCO 400 '!$D$25)*U1169^2)+(('CAFCO 400 '!$D$26*(J1169^2)+'CAFCO 400 '!$D$27*J1169+'CAFCO 400 '!$D$28)*U1169)+('CAFCO 400 '!$D$29*(J1169^2)+'CAFCO 400 '!$D$30*J1169+'CAFCO 400 '!$D$31)),0),0)+IF(AND(L1169="Cafco 300",J1169&gt;=95,J1169&lt;=240,C1169="Cj",I1169=90),VLOOKUP(T1169,'CAFCO 300 IDIEM TABLAS'!$B$4:$D$23,2,FALSE),0)+IF(AND(L1169="Cafco 300",J1169&gt;=95,J1169&lt;=240,C1169="Cj",I1169=120),VLOOKUP(T1169,'CAFCO 300 IDIEM TABLAS'!$B$4:$D$23,3,FALSE),0)+IF(AND(L1169="Cafco 300",J1169&gt;=95,J1169&lt;=400,G1169=3,C1169="IN",I1169=90),VLOOKUP(T1169,'CAFCO 300 IDIEM TABLAS'!$F$4:$H$35,2,FALSE),0)+IF(AND(L1169="Cafco 300",J1169&gt;=95,J1169&lt;=400,G1169=3,C1169="IN",I1169=120),VLOOKUP(T1169,'CAFCO 300 IDIEM TABLAS'!$F$4:$H$35,3,FALSE),0)+IF(AND(L1169="Cafco 300",J1169&gt;=95,J1169&lt;=450,G1169=4,C1169="IN",I1169=90),VLOOKUP(T1169,'CAFCO 300 IDIEM TABLAS'!$J$4:$L$40,2,FALSE),0)+IF(AND(L1169="Cafco 300",J1169&gt;=95,J1169&lt;=450,G1169=4,C1169="IN",I1169=120),VLOOKUP(T1169,'CAFCO 300 IDIEM TABLAS'!$J$4:$L$40,3,FALSE),0)+IF(AND(M1169="Ensayo Idiem",L1169="Cafco 400",C1169="IN",G1169=4,I1169=90),VLOOKUP(T1169,'CAFCO 400 ENSAYO'!$B$7:$D$43,2,FALSE),0)+IF(AND(M1169="Ensayo Idiem",L1169="Cafco 400",C1169="IN",G1169=4,I1169=120),VLOOKUP(T1169,'CAFCO 400 ENSAYO'!$B$7:$D$43,3,FALSE),0)</f>
        <v>0</v>
      </c>
      <c r="O1169" s="96">
        <f t="shared" si="120"/>
        <v>0</v>
      </c>
      <c r="P1169" s="132" t="str">
        <f t="shared" si="115"/>
        <v>N/A</v>
      </c>
      <c r="Q1169" s="132" t="str">
        <f t="shared" si="116"/>
        <v>N/A</v>
      </c>
      <c r="R1169" s="132" t="str">
        <f t="shared" si="117"/>
        <v>NO CERT.</v>
      </c>
      <c r="S1169" s="132" t="e">
        <f t="shared" si="118"/>
        <v>#N/A</v>
      </c>
      <c r="T1169" s="133" t="e">
        <f>+IF(J1169=LOOKUP(J1169,'CAFCO 300 IDIEM TABLAS'!$J$4:$J$40),'CALCULO MORTERO'!J1169,MROUND('CALCULO MORTERO'!J1169,10))</f>
        <v>#N/A</v>
      </c>
      <c r="U1169" s="134">
        <f t="shared" si="119"/>
        <v>0</v>
      </c>
    </row>
    <row r="1170" spans="1:21" x14ac:dyDescent="0.25">
      <c r="A1170" s="118">
        <f>+CUBICACION!D1164</f>
        <v>0</v>
      </c>
      <c r="B1170" s="819">
        <f>+CUBICACION!E1164</f>
        <v>0</v>
      </c>
      <c r="C1170" s="675">
        <f>+CUBICACION!F1164</f>
        <v>0</v>
      </c>
      <c r="D1170" s="118"/>
      <c r="E1170" s="118"/>
      <c r="F1170" s="820"/>
      <c r="G1170" s="675">
        <f>+CUBICACION!J1164</f>
        <v>0</v>
      </c>
      <c r="H1170" s="118"/>
      <c r="I1170" s="821">
        <f>+CUBICACION!L1164</f>
        <v>0</v>
      </c>
      <c r="J1170" s="64">
        <f>+CUBICACION!M1164</f>
        <v>0</v>
      </c>
      <c r="K1170" s="822" t="str">
        <f>+CUBICACION!N1164</f>
        <v/>
      </c>
      <c r="L1170" s="118">
        <f>+CUBICACION!O1164</f>
        <v>0</v>
      </c>
      <c r="M1170" s="823">
        <f>+CUBICACION!P1164</f>
        <v>0</v>
      </c>
      <c r="N1170" s="902">
        <f>ROUND(IF(AND(L1170="Blaze Shield II",M1170="Software Idiem",C1170="IN",G1170=4),((('BLAZE SHIELD II'!$D$4*('CALCULO MORTERO'!I1170^2)+'BLAZE SHIELD II'!$D$5*'CALCULO MORTERO'!I1170+'BLAZE SHIELD II'!$D$6)*LN(J1170))+('BLAZE SHIELD II'!$D$7*('CALCULO MORTERO'!I1170^2)+'BLAZE SHIELD II'!$D$8*'CALCULO MORTERO'!I1170+'BLAZE SHIELD II'!$D$9)),0)+IF(AND(L1170="Blaze Shield II",M1170="Software Idiem",C1170="Cj"),((('BLAZE SHIELD II'!$H$4*('CALCULO MORTERO'!I1170^2)+'BLAZE SHIELD II'!$H$5*'CALCULO MORTERO'!I1170+'BLAZE SHIELD II'!$H$6)*LN(J1170))+('BLAZE SHIELD II'!$H$7*('CALCULO MORTERO'!I1170^2)+'BLAZE SHIELD II'!$H$8*'CALCULO MORTERO'!I1170+'BLAZE SHIELD II'!$H$9)),0)+IF(AND(L1170="Blaze Shield II",M1170="Software Idiem",C1170="C"),((('BLAZE SHIELD II'!$L$4*('CALCULO MORTERO'!I1170^2)+'BLAZE SHIELD II'!$L$5*'CALCULO MORTERO'!I1170+'BLAZE SHIELD II'!$L$6)*LN(J1170))+('BLAZE SHIELD II'!$L$7*('CALCULO MORTERO'!I1170^2)+'BLAZE SHIELD II'!$L$8*'CALCULO MORTERO'!I1170+'BLAZE SHIELD II'!$L$9)),0)+IF(AND(L1170="Blaze Shield II",M1170="Software Idiem",C1170="L"),((('BLAZE SHIELD II'!$L$4*('CALCULO MORTERO'!I1170^2)+'BLAZE SHIELD II'!$L$5*'CALCULO MORTERO'!I1170+'BLAZE SHIELD II'!$L$6)*LN(J1170))+('BLAZE SHIELD II'!$L$7*('CALCULO MORTERO'!I1170^2)+'BLAZE SHIELD II'!$L$8*'CALCULO MORTERO'!I1170+'BLAZE SHIELD II'!$L$9)),0)+IF(AND(L1170="Blaze Shield II",M1170="Software Idiem",C1170="IN",G1170=3),((('BLAZE SHIELD II'!$H$14*('CALCULO MORTERO'!I1170^2)+'BLAZE SHIELD II'!$H$15*'CALCULO MORTERO'!I1170+'BLAZE SHIELD II'!$H$16)*LN(J1170))+('BLAZE SHIELD II'!$H$17*('CALCULO MORTERO'!I1170^2)+'BLAZE SHIELD II'!$H$18*'CALCULO MORTERO'!I1170+'BLAZE SHIELD II'!$H$19)),0),0)+ROUND(IF(AND(L1170="Cafco 400",M1170="Software Idiem",C1170="IN",G1170=4),((('CAFCO 400 '!$H$7*(J1170^4)+'CAFCO 400 '!$H$8*(J1170^3)+'CAFCO 400 '!$H$9*(J1170^2)+'CAFCO 400 '!$H$10*J1170+'CAFCO 400 '!$H$11)*U1170^2)+(('CAFCO 400 '!$H$12*(J1170^3)+'CAFCO 400 '!$H$13*(J1170^2)+'CAFCO 400 '!$H$14*J1170+'CAFCO 400 '!$H$15)*U1170)+('CAFCO 400 '!$H$16*(J1170^2)+'CAFCO 400 '!$H$17*J1170+'CAFCO 400 '!$H$18)),0)+IF(AND(L1170="Cafco 400",M1170="Software Idiem",C1170="Cj"),(((('CAFCO 400 '!$D$7*LN(J1170)+'CAFCO 400 '!$D$8)*U1170^2)+(('CAFCO 400 '!$D$9*LN(J1170)+'CAFCO 400 '!$D$10)*U1170)+('CAFCO 400 '!$D$11*LN(J1170)+'CAFCO 400 '!$D$12))),0)+IF(AND(L1170="Cafco 400",M1170="Software Idiem",C1170="C"),((('CAFCO 400 '!$L$7*(J1170^3)+'CAFCO 400 '!$L$8*(J1170^2)+'CAFCO 400 '!$L$9*J1170+'CAFCO 400 '!$L$10)*U1170^2)+(('CAFCO 400 '!$L$11*(J1170^3)+'CAFCO 400 '!$L$12*(J1170^2)+'CAFCO 400 '!$L$13*J1170+'CAFCO 400 '!$L$14)*U1170)+('CAFCO 400 '!$L$15*LN(J1170)+'CAFCO 400 '!$L$16)),0)+IF(AND(L1170="Cafco 400",M1170="Software Idiem",C1170="L"),((('CAFCO 400 '!$L$7*(J1170^3)+'CAFCO 400 '!$L$8*(J1170^2)+'CAFCO 400 '!$L$9*J1170+'CAFCO 400 '!$L$10)*U1170^2)+(('CAFCO 400 '!$L$11*(J1170^3)+'CAFCO 400 '!$L$12*(J1170^2)+'CAFCO 400 '!$L$13*J1170+'CAFCO 400 '!$L$14)*U1170)+('CAFCO 400 '!$L$15*LN(J1170)+'CAFCO 400 '!$L$16)),0)+IF(AND(L1170="Cafco 400",M1170="Software Idiem",C1170="IN",G1170=3),((('CAFCO 400 '!$D$23*(J1170^2)+'CAFCO 400 '!$D$24*(J1170)+'CAFCO 400 '!$D$25)*U1170^2)+(('CAFCO 400 '!$D$26*(J1170^2)+'CAFCO 400 '!$D$27*J1170+'CAFCO 400 '!$D$28)*U1170)+('CAFCO 400 '!$D$29*(J1170^2)+'CAFCO 400 '!$D$30*J1170+'CAFCO 400 '!$D$31)),0),0)+IF(AND(L1170="Cafco 300",J1170&gt;=95,J1170&lt;=240,C1170="Cj",I1170=90),VLOOKUP(T1170,'CAFCO 300 IDIEM TABLAS'!$B$4:$D$23,2,FALSE),0)+IF(AND(L1170="Cafco 300",J1170&gt;=95,J1170&lt;=240,C1170="Cj",I1170=120),VLOOKUP(T1170,'CAFCO 300 IDIEM TABLAS'!$B$4:$D$23,3,FALSE),0)+IF(AND(L1170="Cafco 300",J1170&gt;=95,J1170&lt;=400,G1170=3,C1170="IN",I1170=90),VLOOKUP(T1170,'CAFCO 300 IDIEM TABLAS'!$F$4:$H$35,2,FALSE),0)+IF(AND(L1170="Cafco 300",J1170&gt;=95,J1170&lt;=400,G1170=3,C1170="IN",I1170=120),VLOOKUP(T1170,'CAFCO 300 IDIEM TABLAS'!$F$4:$H$35,3,FALSE),0)+IF(AND(L1170="Cafco 300",J1170&gt;=95,J1170&lt;=450,G1170=4,C1170="IN",I1170=90),VLOOKUP(T1170,'CAFCO 300 IDIEM TABLAS'!$J$4:$L$40,2,FALSE),0)+IF(AND(L1170="Cafco 300",J1170&gt;=95,J1170&lt;=450,G1170=4,C1170="IN",I1170=120),VLOOKUP(T1170,'CAFCO 300 IDIEM TABLAS'!$J$4:$L$40,3,FALSE),0)+IF(AND(M1170="Ensayo Idiem",L1170="Cafco 400",C1170="IN",G1170=4,I1170=90),VLOOKUP(T1170,'CAFCO 400 ENSAYO'!$B$7:$D$43,2,FALSE),0)+IF(AND(M1170="Ensayo Idiem",L1170="Cafco 400",C1170="IN",G1170=4,I1170=120),VLOOKUP(T1170,'CAFCO 400 ENSAYO'!$B$7:$D$43,3,FALSE),0)</f>
        <v>0</v>
      </c>
      <c r="O1170" s="96">
        <f t="shared" si="120"/>
        <v>0</v>
      </c>
      <c r="P1170" s="95" t="str">
        <f t="shared" si="115"/>
        <v>N/A</v>
      </c>
      <c r="Q1170" s="95" t="str">
        <f t="shared" si="116"/>
        <v>N/A</v>
      </c>
      <c r="R1170" s="95" t="str">
        <f t="shared" si="117"/>
        <v>NO CERT.</v>
      </c>
      <c r="S1170" s="95" t="e">
        <f t="shared" si="118"/>
        <v>#N/A</v>
      </c>
      <c r="T1170" s="119" t="e">
        <f>+IF(J1170=LOOKUP(J1170,'CAFCO 300 IDIEM TABLAS'!$J$4:$J$40),'CALCULO MORTERO'!J1170,MROUND('CALCULO MORTERO'!J1170,10))</f>
        <v>#N/A</v>
      </c>
      <c r="U1170" s="118">
        <f t="shared" si="119"/>
        <v>0</v>
      </c>
    </row>
    <row r="1171" spans="1:21" x14ac:dyDescent="0.25">
      <c r="A1171" s="118">
        <f>+CUBICACION!D1165</f>
        <v>0</v>
      </c>
      <c r="B1171" s="819">
        <f>+CUBICACION!E1165</f>
        <v>0</v>
      </c>
      <c r="C1171" s="675">
        <f>+CUBICACION!F1165</f>
        <v>0</v>
      </c>
      <c r="D1171" s="118"/>
      <c r="E1171" s="118"/>
      <c r="F1171" s="820"/>
      <c r="G1171" s="675">
        <f>+CUBICACION!J1165</f>
        <v>0</v>
      </c>
      <c r="H1171" s="118"/>
      <c r="I1171" s="821">
        <f>+CUBICACION!L1165</f>
        <v>0</v>
      </c>
      <c r="J1171" s="64">
        <f>+CUBICACION!M1165</f>
        <v>0</v>
      </c>
      <c r="K1171" s="822" t="str">
        <f>+CUBICACION!N1165</f>
        <v/>
      </c>
      <c r="L1171" s="118">
        <f>+CUBICACION!O1165</f>
        <v>0</v>
      </c>
      <c r="M1171" s="823">
        <f>+CUBICACION!P1165</f>
        <v>0</v>
      </c>
      <c r="N1171" s="902">
        <f>ROUND(IF(AND(L1171="Blaze Shield II",M1171="Software Idiem",C1171="IN",G1171=4),((('BLAZE SHIELD II'!$D$4*('CALCULO MORTERO'!I1171^2)+'BLAZE SHIELD II'!$D$5*'CALCULO MORTERO'!I1171+'BLAZE SHIELD II'!$D$6)*LN(J1171))+('BLAZE SHIELD II'!$D$7*('CALCULO MORTERO'!I1171^2)+'BLAZE SHIELD II'!$D$8*'CALCULO MORTERO'!I1171+'BLAZE SHIELD II'!$D$9)),0)+IF(AND(L1171="Blaze Shield II",M1171="Software Idiem",C1171="Cj"),((('BLAZE SHIELD II'!$H$4*('CALCULO MORTERO'!I1171^2)+'BLAZE SHIELD II'!$H$5*'CALCULO MORTERO'!I1171+'BLAZE SHIELD II'!$H$6)*LN(J1171))+('BLAZE SHIELD II'!$H$7*('CALCULO MORTERO'!I1171^2)+'BLAZE SHIELD II'!$H$8*'CALCULO MORTERO'!I1171+'BLAZE SHIELD II'!$H$9)),0)+IF(AND(L1171="Blaze Shield II",M1171="Software Idiem",C1171="C"),((('BLAZE SHIELD II'!$L$4*('CALCULO MORTERO'!I1171^2)+'BLAZE SHIELD II'!$L$5*'CALCULO MORTERO'!I1171+'BLAZE SHIELD II'!$L$6)*LN(J1171))+('BLAZE SHIELD II'!$L$7*('CALCULO MORTERO'!I1171^2)+'BLAZE SHIELD II'!$L$8*'CALCULO MORTERO'!I1171+'BLAZE SHIELD II'!$L$9)),0)+IF(AND(L1171="Blaze Shield II",M1171="Software Idiem",C1171="L"),((('BLAZE SHIELD II'!$L$4*('CALCULO MORTERO'!I1171^2)+'BLAZE SHIELD II'!$L$5*'CALCULO MORTERO'!I1171+'BLAZE SHIELD II'!$L$6)*LN(J1171))+('BLAZE SHIELD II'!$L$7*('CALCULO MORTERO'!I1171^2)+'BLAZE SHIELD II'!$L$8*'CALCULO MORTERO'!I1171+'BLAZE SHIELD II'!$L$9)),0)+IF(AND(L1171="Blaze Shield II",M1171="Software Idiem",C1171="IN",G1171=3),((('BLAZE SHIELD II'!$H$14*('CALCULO MORTERO'!I1171^2)+'BLAZE SHIELD II'!$H$15*'CALCULO MORTERO'!I1171+'BLAZE SHIELD II'!$H$16)*LN(J1171))+('BLAZE SHIELD II'!$H$17*('CALCULO MORTERO'!I1171^2)+'BLAZE SHIELD II'!$H$18*'CALCULO MORTERO'!I1171+'BLAZE SHIELD II'!$H$19)),0),0)+ROUND(IF(AND(L1171="Cafco 400",M1171="Software Idiem",C1171="IN",G1171=4),((('CAFCO 400 '!$H$7*(J1171^4)+'CAFCO 400 '!$H$8*(J1171^3)+'CAFCO 400 '!$H$9*(J1171^2)+'CAFCO 400 '!$H$10*J1171+'CAFCO 400 '!$H$11)*U1171^2)+(('CAFCO 400 '!$H$12*(J1171^3)+'CAFCO 400 '!$H$13*(J1171^2)+'CAFCO 400 '!$H$14*J1171+'CAFCO 400 '!$H$15)*U1171)+('CAFCO 400 '!$H$16*(J1171^2)+'CAFCO 400 '!$H$17*J1171+'CAFCO 400 '!$H$18)),0)+IF(AND(L1171="Cafco 400",M1171="Software Idiem",C1171="Cj"),(((('CAFCO 400 '!$D$7*LN(J1171)+'CAFCO 400 '!$D$8)*U1171^2)+(('CAFCO 400 '!$D$9*LN(J1171)+'CAFCO 400 '!$D$10)*U1171)+('CAFCO 400 '!$D$11*LN(J1171)+'CAFCO 400 '!$D$12))),0)+IF(AND(L1171="Cafco 400",M1171="Software Idiem",C1171="C"),((('CAFCO 400 '!$L$7*(J1171^3)+'CAFCO 400 '!$L$8*(J1171^2)+'CAFCO 400 '!$L$9*J1171+'CAFCO 400 '!$L$10)*U1171^2)+(('CAFCO 400 '!$L$11*(J1171^3)+'CAFCO 400 '!$L$12*(J1171^2)+'CAFCO 400 '!$L$13*J1171+'CAFCO 400 '!$L$14)*U1171)+('CAFCO 400 '!$L$15*LN(J1171)+'CAFCO 400 '!$L$16)),0)+IF(AND(L1171="Cafco 400",M1171="Software Idiem",C1171="L"),((('CAFCO 400 '!$L$7*(J1171^3)+'CAFCO 400 '!$L$8*(J1171^2)+'CAFCO 400 '!$L$9*J1171+'CAFCO 400 '!$L$10)*U1171^2)+(('CAFCO 400 '!$L$11*(J1171^3)+'CAFCO 400 '!$L$12*(J1171^2)+'CAFCO 400 '!$L$13*J1171+'CAFCO 400 '!$L$14)*U1171)+('CAFCO 400 '!$L$15*LN(J1171)+'CAFCO 400 '!$L$16)),0)+IF(AND(L1171="Cafco 400",M1171="Software Idiem",C1171="IN",G1171=3),((('CAFCO 400 '!$D$23*(J1171^2)+'CAFCO 400 '!$D$24*(J1171)+'CAFCO 400 '!$D$25)*U1171^2)+(('CAFCO 400 '!$D$26*(J1171^2)+'CAFCO 400 '!$D$27*J1171+'CAFCO 400 '!$D$28)*U1171)+('CAFCO 400 '!$D$29*(J1171^2)+'CAFCO 400 '!$D$30*J1171+'CAFCO 400 '!$D$31)),0),0)+IF(AND(L1171="Cafco 300",J1171&gt;=95,J1171&lt;=240,C1171="Cj",I1171=90),VLOOKUP(T1171,'CAFCO 300 IDIEM TABLAS'!$B$4:$D$23,2,FALSE),0)+IF(AND(L1171="Cafco 300",J1171&gt;=95,J1171&lt;=240,C1171="Cj",I1171=120),VLOOKUP(T1171,'CAFCO 300 IDIEM TABLAS'!$B$4:$D$23,3,FALSE),0)+IF(AND(L1171="Cafco 300",J1171&gt;=95,J1171&lt;=400,G1171=3,C1171="IN",I1171=90),VLOOKUP(T1171,'CAFCO 300 IDIEM TABLAS'!$F$4:$H$35,2,FALSE),0)+IF(AND(L1171="Cafco 300",J1171&gt;=95,J1171&lt;=400,G1171=3,C1171="IN",I1171=120),VLOOKUP(T1171,'CAFCO 300 IDIEM TABLAS'!$F$4:$H$35,3,FALSE),0)+IF(AND(L1171="Cafco 300",J1171&gt;=95,J1171&lt;=450,G1171=4,C1171="IN",I1171=90),VLOOKUP(T1171,'CAFCO 300 IDIEM TABLAS'!$J$4:$L$40,2,FALSE),0)+IF(AND(L1171="Cafco 300",J1171&gt;=95,J1171&lt;=450,G1171=4,C1171="IN",I1171=120),VLOOKUP(T1171,'CAFCO 300 IDIEM TABLAS'!$J$4:$L$40,3,FALSE),0)+IF(AND(M1171="Ensayo Idiem",L1171="Cafco 400",C1171="IN",G1171=4,I1171=90),VLOOKUP(T1171,'CAFCO 400 ENSAYO'!$B$7:$D$43,2,FALSE),0)+IF(AND(M1171="Ensayo Idiem",L1171="Cafco 400",C1171="IN",G1171=4,I1171=120),VLOOKUP(T1171,'CAFCO 400 ENSAYO'!$B$7:$D$43,3,FALSE),0)</f>
        <v>0</v>
      </c>
      <c r="O1171" s="96">
        <f t="shared" si="120"/>
        <v>0</v>
      </c>
      <c r="P1171" s="132" t="str">
        <f t="shared" si="115"/>
        <v>N/A</v>
      </c>
      <c r="Q1171" s="132" t="str">
        <f t="shared" si="116"/>
        <v>N/A</v>
      </c>
      <c r="R1171" s="132" t="str">
        <f t="shared" si="117"/>
        <v>NO CERT.</v>
      </c>
      <c r="S1171" s="132" t="e">
        <f t="shared" si="118"/>
        <v>#N/A</v>
      </c>
      <c r="T1171" s="133" t="e">
        <f>+IF(J1171=LOOKUP(J1171,'CAFCO 300 IDIEM TABLAS'!$J$4:$J$40),'CALCULO MORTERO'!J1171,MROUND('CALCULO MORTERO'!J1171,10))</f>
        <v>#N/A</v>
      </c>
      <c r="U1171" s="134">
        <f t="shared" si="119"/>
        <v>0</v>
      </c>
    </row>
    <row r="1172" spans="1:21" x14ac:dyDescent="0.25">
      <c r="A1172" s="118">
        <f>+CUBICACION!D1166</f>
        <v>0</v>
      </c>
      <c r="B1172" s="819">
        <f>+CUBICACION!E1166</f>
        <v>0</v>
      </c>
      <c r="C1172" s="675">
        <f>+CUBICACION!F1166</f>
        <v>0</v>
      </c>
      <c r="D1172" s="118"/>
      <c r="E1172" s="118"/>
      <c r="F1172" s="820"/>
      <c r="G1172" s="675">
        <f>+CUBICACION!J1166</f>
        <v>0</v>
      </c>
      <c r="H1172" s="118"/>
      <c r="I1172" s="821">
        <f>+CUBICACION!L1166</f>
        <v>0</v>
      </c>
      <c r="J1172" s="64">
        <f>+CUBICACION!M1166</f>
        <v>0</v>
      </c>
      <c r="K1172" s="822" t="str">
        <f>+CUBICACION!N1166</f>
        <v/>
      </c>
      <c r="L1172" s="118">
        <f>+CUBICACION!O1166</f>
        <v>0</v>
      </c>
      <c r="M1172" s="823">
        <f>+CUBICACION!P1166</f>
        <v>0</v>
      </c>
      <c r="N1172" s="902">
        <f>ROUND(IF(AND(L1172="Blaze Shield II",M1172="Software Idiem",C1172="IN",G1172=4),((('BLAZE SHIELD II'!$D$4*('CALCULO MORTERO'!I1172^2)+'BLAZE SHIELD II'!$D$5*'CALCULO MORTERO'!I1172+'BLAZE SHIELD II'!$D$6)*LN(J1172))+('BLAZE SHIELD II'!$D$7*('CALCULO MORTERO'!I1172^2)+'BLAZE SHIELD II'!$D$8*'CALCULO MORTERO'!I1172+'BLAZE SHIELD II'!$D$9)),0)+IF(AND(L1172="Blaze Shield II",M1172="Software Idiem",C1172="Cj"),((('BLAZE SHIELD II'!$H$4*('CALCULO MORTERO'!I1172^2)+'BLAZE SHIELD II'!$H$5*'CALCULO MORTERO'!I1172+'BLAZE SHIELD II'!$H$6)*LN(J1172))+('BLAZE SHIELD II'!$H$7*('CALCULO MORTERO'!I1172^2)+'BLAZE SHIELD II'!$H$8*'CALCULO MORTERO'!I1172+'BLAZE SHIELD II'!$H$9)),0)+IF(AND(L1172="Blaze Shield II",M1172="Software Idiem",C1172="C"),((('BLAZE SHIELD II'!$L$4*('CALCULO MORTERO'!I1172^2)+'BLAZE SHIELD II'!$L$5*'CALCULO MORTERO'!I1172+'BLAZE SHIELD II'!$L$6)*LN(J1172))+('BLAZE SHIELD II'!$L$7*('CALCULO MORTERO'!I1172^2)+'BLAZE SHIELD II'!$L$8*'CALCULO MORTERO'!I1172+'BLAZE SHIELD II'!$L$9)),0)+IF(AND(L1172="Blaze Shield II",M1172="Software Idiem",C1172="L"),((('BLAZE SHIELD II'!$L$4*('CALCULO MORTERO'!I1172^2)+'BLAZE SHIELD II'!$L$5*'CALCULO MORTERO'!I1172+'BLAZE SHIELD II'!$L$6)*LN(J1172))+('BLAZE SHIELD II'!$L$7*('CALCULO MORTERO'!I1172^2)+'BLAZE SHIELD II'!$L$8*'CALCULO MORTERO'!I1172+'BLAZE SHIELD II'!$L$9)),0)+IF(AND(L1172="Blaze Shield II",M1172="Software Idiem",C1172="IN",G1172=3),((('BLAZE SHIELD II'!$H$14*('CALCULO MORTERO'!I1172^2)+'BLAZE SHIELD II'!$H$15*'CALCULO MORTERO'!I1172+'BLAZE SHIELD II'!$H$16)*LN(J1172))+('BLAZE SHIELD II'!$H$17*('CALCULO MORTERO'!I1172^2)+'BLAZE SHIELD II'!$H$18*'CALCULO MORTERO'!I1172+'BLAZE SHIELD II'!$H$19)),0),0)+ROUND(IF(AND(L1172="Cafco 400",M1172="Software Idiem",C1172="IN",G1172=4),((('CAFCO 400 '!$H$7*(J1172^4)+'CAFCO 400 '!$H$8*(J1172^3)+'CAFCO 400 '!$H$9*(J1172^2)+'CAFCO 400 '!$H$10*J1172+'CAFCO 400 '!$H$11)*U1172^2)+(('CAFCO 400 '!$H$12*(J1172^3)+'CAFCO 400 '!$H$13*(J1172^2)+'CAFCO 400 '!$H$14*J1172+'CAFCO 400 '!$H$15)*U1172)+('CAFCO 400 '!$H$16*(J1172^2)+'CAFCO 400 '!$H$17*J1172+'CAFCO 400 '!$H$18)),0)+IF(AND(L1172="Cafco 400",M1172="Software Idiem",C1172="Cj"),(((('CAFCO 400 '!$D$7*LN(J1172)+'CAFCO 400 '!$D$8)*U1172^2)+(('CAFCO 400 '!$D$9*LN(J1172)+'CAFCO 400 '!$D$10)*U1172)+('CAFCO 400 '!$D$11*LN(J1172)+'CAFCO 400 '!$D$12))),0)+IF(AND(L1172="Cafco 400",M1172="Software Idiem",C1172="C"),((('CAFCO 400 '!$L$7*(J1172^3)+'CAFCO 400 '!$L$8*(J1172^2)+'CAFCO 400 '!$L$9*J1172+'CAFCO 400 '!$L$10)*U1172^2)+(('CAFCO 400 '!$L$11*(J1172^3)+'CAFCO 400 '!$L$12*(J1172^2)+'CAFCO 400 '!$L$13*J1172+'CAFCO 400 '!$L$14)*U1172)+('CAFCO 400 '!$L$15*LN(J1172)+'CAFCO 400 '!$L$16)),0)+IF(AND(L1172="Cafco 400",M1172="Software Idiem",C1172="L"),((('CAFCO 400 '!$L$7*(J1172^3)+'CAFCO 400 '!$L$8*(J1172^2)+'CAFCO 400 '!$L$9*J1172+'CAFCO 400 '!$L$10)*U1172^2)+(('CAFCO 400 '!$L$11*(J1172^3)+'CAFCO 400 '!$L$12*(J1172^2)+'CAFCO 400 '!$L$13*J1172+'CAFCO 400 '!$L$14)*U1172)+('CAFCO 400 '!$L$15*LN(J1172)+'CAFCO 400 '!$L$16)),0)+IF(AND(L1172="Cafco 400",M1172="Software Idiem",C1172="IN",G1172=3),((('CAFCO 400 '!$D$23*(J1172^2)+'CAFCO 400 '!$D$24*(J1172)+'CAFCO 400 '!$D$25)*U1172^2)+(('CAFCO 400 '!$D$26*(J1172^2)+'CAFCO 400 '!$D$27*J1172+'CAFCO 400 '!$D$28)*U1172)+('CAFCO 400 '!$D$29*(J1172^2)+'CAFCO 400 '!$D$30*J1172+'CAFCO 400 '!$D$31)),0),0)+IF(AND(L1172="Cafco 300",J1172&gt;=95,J1172&lt;=240,C1172="Cj",I1172=90),VLOOKUP(T1172,'CAFCO 300 IDIEM TABLAS'!$B$4:$D$23,2,FALSE),0)+IF(AND(L1172="Cafco 300",J1172&gt;=95,J1172&lt;=240,C1172="Cj",I1172=120),VLOOKUP(T1172,'CAFCO 300 IDIEM TABLAS'!$B$4:$D$23,3,FALSE),0)+IF(AND(L1172="Cafco 300",J1172&gt;=95,J1172&lt;=400,G1172=3,C1172="IN",I1172=90),VLOOKUP(T1172,'CAFCO 300 IDIEM TABLAS'!$F$4:$H$35,2,FALSE),0)+IF(AND(L1172="Cafco 300",J1172&gt;=95,J1172&lt;=400,G1172=3,C1172="IN",I1172=120),VLOOKUP(T1172,'CAFCO 300 IDIEM TABLAS'!$F$4:$H$35,3,FALSE),0)+IF(AND(L1172="Cafco 300",J1172&gt;=95,J1172&lt;=450,G1172=4,C1172="IN",I1172=90),VLOOKUP(T1172,'CAFCO 300 IDIEM TABLAS'!$J$4:$L$40,2,FALSE),0)+IF(AND(L1172="Cafco 300",J1172&gt;=95,J1172&lt;=450,G1172=4,C1172="IN",I1172=120),VLOOKUP(T1172,'CAFCO 300 IDIEM TABLAS'!$J$4:$L$40,3,FALSE),0)+IF(AND(M1172="Ensayo Idiem",L1172="Cafco 400",C1172="IN",G1172=4,I1172=90),VLOOKUP(T1172,'CAFCO 400 ENSAYO'!$B$7:$D$43,2,FALSE),0)+IF(AND(M1172="Ensayo Idiem",L1172="Cafco 400",C1172="IN",G1172=4,I1172=120),VLOOKUP(T1172,'CAFCO 400 ENSAYO'!$B$7:$D$43,3,FALSE),0)</f>
        <v>0</v>
      </c>
      <c r="O1172" s="96">
        <f t="shared" si="120"/>
        <v>0</v>
      </c>
      <c r="P1172" s="95" t="str">
        <f t="shared" si="115"/>
        <v>N/A</v>
      </c>
      <c r="Q1172" s="95" t="str">
        <f t="shared" si="116"/>
        <v>N/A</v>
      </c>
      <c r="R1172" s="95" t="str">
        <f t="shared" si="117"/>
        <v>NO CERT.</v>
      </c>
      <c r="S1172" s="95" t="e">
        <f t="shared" si="118"/>
        <v>#N/A</v>
      </c>
      <c r="T1172" s="119" t="e">
        <f>+IF(J1172=LOOKUP(J1172,'CAFCO 300 IDIEM TABLAS'!$J$4:$J$40),'CALCULO MORTERO'!J1172,MROUND('CALCULO MORTERO'!J1172,10))</f>
        <v>#N/A</v>
      </c>
      <c r="U1172" s="118">
        <f t="shared" si="119"/>
        <v>0</v>
      </c>
    </row>
    <row r="1173" spans="1:21" x14ac:dyDescent="0.25">
      <c r="A1173" s="118">
        <f>+CUBICACION!D1167</f>
        <v>0</v>
      </c>
      <c r="B1173" s="819">
        <f>+CUBICACION!E1167</f>
        <v>0</v>
      </c>
      <c r="C1173" s="675">
        <f>+CUBICACION!F1167</f>
        <v>0</v>
      </c>
      <c r="D1173" s="118"/>
      <c r="E1173" s="118"/>
      <c r="F1173" s="820"/>
      <c r="G1173" s="675">
        <f>+CUBICACION!J1167</f>
        <v>0</v>
      </c>
      <c r="H1173" s="118"/>
      <c r="I1173" s="821">
        <f>+CUBICACION!L1167</f>
        <v>0</v>
      </c>
      <c r="J1173" s="64">
        <f>+CUBICACION!M1167</f>
        <v>0</v>
      </c>
      <c r="K1173" s="822" t="str">
        <f>+CUBICACION!N1167</f>
        <v/>
      </c>
      <c r="L1173" s="118">
        <f>+CUBICACION!O1167</f>
        <v>0</v>
      </c>
      <c r="M1173" s="823">
        <f>+CUBICACION!P1167</f>
        <v>0</v>
      </c>
      <c r="N1173" s="902">
        <f>ROUND(IF(AND(L1173="Blaze Shield II",M1173="Software Idiem",C1173="IN",G1173=4),((('BLAZE SHIELD II'!$D$4*('CALCULO MORTERO'!I1173^2)+'BLAZE SHIELD II'!$D$5*'CALCULO MORTERO'!I1173+'BLAZE SHIELD II'!$D$6)*LN(J1173))+('BLAZE SHIELD II'!$D$7*('CALCULO MORTERO'!I1173^2)+'BLAZE SHIELD II'!$D$8*'CALCULO MORTERO'!I1173+'BLAZE SHIELD II'!$D$9)),0)+IF(AND(L1173="Blaze Shield II",M1173="Software Idiem",C1173="Cj"),((('BLAZE SHIELD II'!$H$4*('CALCULO MORTERO'!I1173^2)+'BLAZE SHIELD II'!$H$5*'CALCULO MORTERO'!I1173+'BLAZE SHIELD II'!$H$6)*LN(J1173))+('BLAZE SHIELD II'!$H$7*('CALCULO MORTERO'!I1173^2)+'BLAZE SHIELD II'!$H$8*'CALCULO MORTERO'!I1173+'BLAZE SHIELD II'!$H$9)),0)+IF(AND(L1173="Blaze Shield II",M1173="Software Idiem",C1173="C"),((('BLAZE SHIELD II'!$L$4*('CALCULO MORTERO'!I1173^2)+'BLAZE SHIELD II'!$L$5*'CALCULO MORTERO'!I1173+'BLAZE SHIELD II'!$L$6)*LN(J1173))+('BLAZE SHIELD II'!$L$7*('CALCULO MORTERO'!I1173^2)+'BLAZE SHIELD II'!$L$8*'CALCULO MORTERO'!I1173+'BLAZE SHIELD II'!$L$9)),0)+IF(AND(L1173="Blaze Shield II",M1173="Software Idiem",C1173="L"),((('BLAZE SHIELD II'!$L$4*('CALCULO MORTERO'!I1173^2)+'BLAZE SHIELD II'!$L$5*'CALCULO MORTERO'!I1173+'BLAZE SHIELD II'!$L$6)*LN(J1173))+('BLAZE SHIELD II'!$L$7*('CALCULO MORTERO'!I1173^2)+'BLAZE SHIELD II'!$L$8*'CALCULO MORTERO'!I1173+'BLAZE SHIELD II'!$L$9)),0)+IF(AND(L1173="Blaze Shield II",M1173="Software Idiem",C1173="IN",G1173=3),((('BLAZE SHIELD II'!$H$14*('CALCULO MORTERO'!I1173^2)+'BLAZE SHIELD II'!$H$15*'CALCULO MORTERO'!I1173+'BLAZE SHIELD II'!$H$16)*LN(J1173))+('BLAZE SHIELD II'!$H$17*('CALCULO MORTERO'!I1173^2)+'BLAZE SHIELD II'!$H$18*'CALCULO MORTERO'!I1173+'BLAZE SHIELD II'!$H$19)),0),0)+ROUND(IF(AND(L1173="Cafco 400",M1173="Software Idiem",C1173="IN",G1173=4),((('CAFCO 400 '!$H$7*(J1173^4)+'CAFCO 400 '!$H$8*(J1173^3)+'CAFCO 400 '!$H$9*(J1173^2)+'CAFCO 400 '!$H$10*J1173+'CAFCO 400 '!$H$11)*U1173^2)+(('CAFCO 400 '!$H$12*(J1173^3)+'CAFCO 400 '!$H$13*(J1173^2)+'CAFCO 400 '!$H$14*J1173+'CAFCO 400 '!$H$15)*U1173)+('CAFCO 400 '!$H$16*(J1173^2)+'CAFCO 400 '!$H$17*J1173+'CAFCO 400 '!$H$18)),0)+IF(AND(L1173="Cafco 400",M1173="Software Idiem",C1173="Cj"),(((('CAFCO 400 '!$D$7*LN(J1173)+'CAFCO 400 '!$D$8)*U1173^2)+(('CAFCO 400 '!$D$9*LN(J1173)+'CAFCO 400 '!$D$10)*U1173)+('CAFCO 400 '!$D$11*LN(J1173)+'CAFCO 400 '!$D$12))),0)+IF(AND(L1173="Cafco 400",M1173="Software Idiem",C1173="C"),((('CAFCO 400 '!$L$7*(J1173^3)+'CAFCO 400 '!$L$8*(J1173^2)+'CAFCO 400 '!$L$9*J1173+'CAFCO 400 '!$L$10)*U1173^2)+(('CAFCO 400 '!$L$11*(J1173^3)+'CAFCO 400 '!$L$12*(J1173^2)+'CAFCO 400 '!$L$13*J1173+'CAFCO 400 '!$L$14)*U1173)+('CAFCO 400 '!$L$15*LN(J1173)+'CAFCO 400 '!$L$16)),0)+IF(AND(L1173="Cafco 400",M1173="Software Idiem",C1173="L"),((('CAFCO 400 '!$L$7*(J1173^3)+'CAFCO 400 '!$L$8*(J1173^2)+'CAFCO 400 '!$L$9*J1173+'CAFCO 400 '!$L$10)*U1173^2)+(('CAFCO 400 '!$L$11*(J1173^3)+'CAFCO 400 '!$L$12*(J1173^2)+'CAFCO 400 '!$L$13*J1173+'CAFCO 400 '!$L$14)*U1173)+('CAFCO 400 '!$L$15*LN(J1173)+'CAFCO 400 '!$L$16)),0)+IF(AND(L1173="Cafco 400",M1173="Software Idiem",C1173="IN",G1173=3),((('CAFCO 400 '!$D$23*(J1173^2)+'CAFCO 400 '!$D$24*(J1173)+'CAFCO 400 '!$D$25)*U1173^2)+(('CAFCO 400 '!$D$26*(J1173^2)+'CAFCO 400 '!$D$27*J1173+'CAFCO 400 '!$D$28)*U1173)+('CAFCO 400 '!$D$29*(J1173^2)+'CAFCO 400 '!$D$30*J1173+'CAFCO 400 '!$D$31)),0),0)+IF(AND(L1173="Cafco 300",J1173&gt;=95,J1173&lt;=240,C1173="Cj",I1173=90),VLOOKUP(T1173,'CAFCO 300 IDIEM TABLAS'!$B$4:$D$23,2,FALSE),0)+IF(AND(L1173="Cafco 300",J1173&gt;=95,J1173&lt;=240,C1173="Cj",I1173=120),VLOOKUP(T1173,'CAFCO 300 IDIEM TABLAS'!$B$4:$D$23,3,FALSE),0)+IF(AND(L1173="Cafco 300",J1173&gt;=95,J1173&lt;=400,G1173=3,C1173="IN",I1173=90),VLOOKUP(T1173,'CAFCO 300 IDIEM TABLAS'!$F$4:$H$35,2,FALSE),0)+IF(AND(L1173="Cafco 300",J1173&gt;=95,J1173&lt;=400,G1173=3,C1173="IN",I1173=120),VLOOKUP(T1173,'CAFCO 300 IDIEM TABLAS'!$F$4:$H$35,3,FALSE),0)+IF(AND(L1173="Cafco 300",J1173&gt;=95,J1173&lt;=450,G1173=4,C1173="IN",I1173=90),VLOOKUP(T1173,'CAFCO 300 IDIEM TABLAS'!$J$4:$L$40,2,FALSE),0)+IF(AND(L1173="Cafco 300",J1173&gt;=95,J1173&lt;=450,G1173=4,C1173="IN",I1173=120),VLOOKUP(T1173,'CAFCO 300 IDIEM TABLAS'!$J$4:$L$40,3,FALSE),0)+IF(AND(M1173="Ensayo Idiem",L1173="Cafco 400",C1173="IN",G1173=4,I1173=90),VLOOKUP(T1173,'CAFCO 400 ENSAYO'!$B$7:$D$43,2,FALSE),0)+IF(AND(M1173="Ensayo Idiem",L1173="Cafco 400",C1173="IN",G1173=4,I1173=120),VLOOKUP(T1173,'CAFCO 400 ENSAYO'!$B$7:$D$43,3,FALSE),0)</f>
        <v>0</v>
      </c>
      <c r="O1173" s="96">
        <f t="shared" si="120"/>
        <v>0</v>
      </c>
      <c r="P1173" s="132" t="str">
        <f t="shared" si="115"/>
        <v>N/A</v>
      </c>
      <c r="Q1173" s="132" t="str">
        <f t="shared" si="116"/>
        <v>N/A</v>
      </c>
      <c r="R1173" s="132" t="str">
        <f t="shared" si="117"/>
        <v>NO CERT.</v>
      </c>
      <c r="S1173" s="132" t="e">
        <f t="shared" si="118"/>
        <v>#N/A</v>
      </c>
      <c r="T1173" s="133" t="e">
        <f>+IF(J1173=LOOKUP(J1173,'CAFCO 300 IDIEM TABLAS'!$J$4:$J$40),'CALCULO MORTERO'!J1173,MROUND('CALCULO MORTERO'!J1173,10))</f>
        <v>#N/A</v>
      </c>
      <c r="U1173" s="134">
        <f t="shared" si="119"/>
        <v>0</v>
      </c>
    </row>
    <row r="1174" spans="1:21" x14ac:dyDescent="0.25">
      <c r="A1174" s="118">
        <f>+CUBICACION!D1168</f>
        <v>0</v>
      </c>
      <c r="B1174" s="819">
        <f>+CUBICACION!E1168</f>
        <v>0</v>
      </c>
      <c r="C1174" s="675">
        <f>+CUBICACION!F1168</f>
        <v>0</v>
      </c>
      <c r="D1174" s="118"/>
      <c r="E1174" s="118"/>
      <c r="F1174" s="820"/>
      <c r="G1174" s="675">
        <f>+CUBICACION!J1168</f>
        <v>0</v>
      </c>
      <c r="H1174" s="118"/>
      <c r="I1174" s="821">
        <f>+CUBICACION!L1168</f>
        <v>0</v>
      </c>
      <c r="J1174" s="64">
        <f>+CUBICACION!M1168</f>
        <v>0</v>
      </c>
      <c r="K1174" s="822" t="str">
        <f>+CUBICACION!N1168</f>
        <v/>
      </c>
      <c r="L1174" s="118">
        <f>+CUBICACION!O1168</f>
        <v>0</v>
      </c>
      <c r="M1174" s="823">
        <f>+CUBICACION!P1168</f>
        <v>0</v>
      </c>
      <c r="N1174" s="902">
        <f>ROUND(IF(AND(L1174="Blaze Shield II",M1174="Software Idiem",C1174="IN",G1174=4),((('BLAZE SHIELD II'!$D$4*('CALCULO MORTERO'!I1174^2)+'BLAZE SHIELD II'!$D$5*'CALCULO MORTERO'!I1174+'BLAZE SHIELD II'!$D$6)*LN(J1174))+('BLAZE SHIELD II'!$D$7*('CALCULO MORTERO'!I1174^2)+'BLAZE SHIELD II'!$D$8*'CALCULO MORTERO'!I1174+'BLAZE SHIELD II'!$D$9)),0)+IF(AND(L1174="Blaze Shield II",M1174="Software Idiem",C1174="Cj"),((('BLAZE SHIELD II'!$H$4*('CALCULO MORTERO'!I1174^2)+'BLAZE SHIELD II'!$H$5*'CALCULO MORTERO'!I1174+'BLAZE SHIELD II'!$H$6)*LN(J1174))+('BLAZE SHIELD II'!$H$7*('CALCULO MORTERO'!I1174^2)+'BLAZE SHIELD II'!$H$8*'CALCULO MORTERO'!I1174+'BLAZE SHIELD II'!$H$9)),0)+IF(AND(L1174="Blaze Shield II",M1174="Software Idiem",C1174="C"),((('BLAZE SHIELD II'!$L$4*('CALCULO MORTERO'!I1174^2)+'BLAZE SHIELD II'!$L$5*'CALCULO MORTERO'!I1174+'BLAZE SHIELD II'!$L$6)*LN(J1174))+('BLAZE SHIELD II'!$L$7*('CALCULO MORTERO'!I1174^2)+'BLAZE SHIELD II'!$L$8*'CALCULO MORTERO'!I1174+'BLAZE SHIELD II'!$L$9)),0)+IF(AND(L1174="Blaze Shield II",M1174="Software Idiem",C1174="L"),((('BLAZE SHIELD II'!$L$4*('CALCULO MORTERO'!I1174^2)+'BLAZE SHIELD II'!$L$5*'CALCULO MORTERO'!I1174+'BLAZE SHIELD II'!$L$6)*LN(J1174))+('BLAZE SHIELD II'!$L$7*('CALCULO MORTERO'!I1174^2)+'BLAZE SHIELD II'!$L$8*'CALCULO MORTERO'!I1174+'BLAZE SHIELD II'!$L$9)),0)+IF(AND(L1174="Blaze Shield II",M1174="Software Idiem",C1174="IN",G1174=3),((('BLAZE SHIELD II'!$H$14*('CALCULO MORTERO'!I1174^2)+'BLAZE SHIELD II'!$H$15*'CALCULO MORTERO'!I1174+'BLAZE SHIELD II'!$H$16)*LN(J1174))+('BLAZE SHIELD II'!$H$17*('CALCULO MORTERO'!I1174^2)+'BLAZE SHIELD II'!$H$18*'CALCULO MORTERO'!I1174+'BLAZE SHIELD II'!$H$19)),0),0)+ROUND(IF(AND(L1174="Cafco 400",M1174="Software Idiem",C1174="IN",G1174=4),((('CAFCO 400 '!$H$7*(J1174^4)+'CAFCO 400 '!$H$8*(J1174^3)+'CAFCO 400 '!$H$9*(J1174^2)+'CAFCO 400 '!$H$10*J1174+'CAFCO 400 '!$H$11)*U1174^2)+(('CAFCO 400 '!$H$12*(J1174^3)+'CAFCO 400 '!$H$13*(J1174^2)+'CAFCO 400 '!$H$14*J1174+'CAFCO 400 '!$H$15)*U1174)+('CAFCO 400 '!$H$16*(J1174^2)+'CAFCO 400 '!$H$17*J1174+'CAFCO 400 '!$H$18)),0)+IF(AND(L1174="Cafco 400",M1174="Software Idiem",C1174="Cj"),(((('CAFCO 400 '!$D$7*LN(J1174)+'CAFCO 400 '!$D$8)*U1174^2)+(('CAFCO 400 '!$D$9*LN(J1174)+'CAFCO 400 '!$D$10)*U1174)+('CAFCO 400 '!$D$11*LN(J1174)+'CAFCO 400 '!$D$12))),0)+IF(AND(L1174="Cafco 400",M1174="Software Idiem",C1174="C"),((('CAFCO 400 '!$L$7*(J1174^3)+'CAFCO 400 '!$L$8*(J1174^2)+'CAFCO 400 '!$L$9*J1174+'CAFCO 400 '!$L$10)*U1174^2)+(('CAFCO 400 '!$L$11*(J1174^3)+'CAFCO 400 '!$L$12*(J1174^2)+'CAFCO 400 '!$L$13*J1174+'CAFCO 400 '!$L$14)*U1174)+('CAFCO 400 '!$L$15*LN(J1174)+'CAFCO 400 '!$L$16)),0)+IF(AND(L1174="Cafco 400",M1174="Software Idiem",C1174="L"),((('CAFCO 400 '!$L$7*(J1174^3)+'CAFCO 400 '!$L$8*(J1174^2)+'CAFCO 400 '!$L$9*J1174+'CAFCO 400 '!$L$10)*U1174^2)+(('CAFCO 400 '!$L$11*(J1174^3)+'CAFCO 400 '!$L$12*(J1174^2)+'CAFCO 400 '!$L$13*J1174+'CAFCO 400 '!$L$14)*U1174)+('CAFCO 400 '!$L$15*LN(J1174)+'CAFCO 400 '!$L$16)),0)+IF(AND(L1174="Cafco 400",M1174="Software Idiem",C1174="IN",G1174=3),((('CAFCO 400 '!$D$23*(J1174^2)+'CAFCO 400 '!$D$24*(J1174)+'CAFCO 400 '!$D$25)*U1174^2)+(('CAFCO 400 '!$D$26*(J1174^2)+'CAFCO 400 '!$D$27*J1174+'CAFCO 400 '!$D$28)*U1174)+('CAFCO 400 '!$D$29*(J1174^2)+'CAFCO 400 '!$D$30*J1174+'CAFCO 400 '!$D$31)),0),0)+IF(AND(L1174="Cafco 300",J1174&gt;=95,J1174&lt;=240,C1174="Cj",I1174=90),VLOOKUP(T1174,'CAFCO 300 IDIEM TABLAS'!$B$4:$D$23,2,FALSE),0)+IF(AND(L1174="Cafco 300",J1174&gt;=95,J1174&lt;=240,C1174="Cj",I1174=120),VLOOKUP(T1174,'CAFCO 300 IDIEM TABLAS'!$B$4:$D$23,3,FALSE),0)+IF(AND(L1174="Cafco 300",J1174&gt;=95,J1174&lt;=400,G1174=3,C1174="IN",I1174=90),VLOOKUP(T1174,'CAFCO 300 IDIEM TABLAS'!$F$4:$H$35,2,FALSE),0)+IF(AND(L1174="Cafco 300",J1174&gt;=95,J1174&lt;=400,G1174=3,C1174="IN",I1174=120),VLOOKUP(T1174,'CAFCO 300 IDIEM TABLAS'!$F$4:$H$35,3,FALSE),0)+IF(AND(L1174="Cafco 300",J1174&gt;=95,J1174&lt;=450,G1174=4,C1174="IN",I1174=90),VLOOKUP(T1174,'CAFCO 300 IDIEM TABLAS'!$J$4:$L$40,2,FALSE),0)+IF(AND(L1174="Cafco 300",J1174&gt;=95,J1174&lt;=450,G1174=4,C1174="IN",I1174=120),VLOOKUP(T1174,'CAFCO 300 IDIEM TABLAS'!$J$4:$L$40,3,FALSE),0)+IF(AND(M1174="Ensayo Idiem",L1174="Cafco 400",C1174="IN",G1174=4,I1174=90),VLOOKUP(T1174,'CAFCO 400 ENSAYO'!$B$7:$D$43,2,FALSE),0)+IF(AND(M1174="Ensayo Idiem",L1174="Cafco 400",C1174="IN",G1174=4,I1174=120),VLOOKUP(T1174,'CAFCO 400 ENSAYO'!$B$7:$D$43,3,FALSE),0)</f>
        <v>0</v>
      </c>
      <c r="O1174" s="96">
        <f t="shared" si="120"/>
        <v>0</v>
      </c>
      <c r="P1174" s="95" t="str">
        <f t="shared" si="115"/>
        <v>N/A</v>
      </c>
      <c r="Q1174" s="95" t="str">
        <f t="shared" si="116"/>
        <v>N/A</v>
      </c>
      <c r="R1174" s="95" t="str">
        <f t="shared" si="117"/>
        <v>NO CERT.</v>
      </c>
      <c r="S1174" s="95" t="e">
        <f t="shared" si="118"/>
        <v>#N/A</v>
      </c>
      <c r="T1174" s="119" t="e">
        <f>+IF(J1174=LOOKUP(J1174,'CAFCO 300 IDIEM TABLAS'!$J$4:$J$40),'CALCULO MORTERO'!J1174,MROUND('CALCULO MORTERO'!J1174,10))</f>
        <v>#N/A</v>
      </c>
      <c r="U1174" s="118">
        <f t="shared" si="119"/>
        <v>0</v>
      </c>
    </row>
    <row r="1175" spans="1:21" x14ac:dyDescent="0.25">
      <c r="A1175" s="118">
        <f>+CUBICACION!D1169</f>
        <v>0</v>
      </c>
      <c r="B1175" s="819">
        <f>+CUBICACION!E1169</f>
        <v>0</v>
      </c>
      <c r="C1175" s="675">
        <f>+CUBICACION!F1169</f>
        <v>0</v>
      </c>
      <c r="D1175" s="118"/>
      <c r="E1175" s="118"/>
      <c r="F1175" s="820"/>
      <c r="G1175" s="675">
        <f>+CUBICACION!J1169</f>
        <v>0</v>
      </c>
      <c r="H1175" s="118"/>
      <c r="I1175" s="821">
        <f>+CUBICACION!L1169</f>
        <v>0</v>
      </c>
      <c r="J1175" s="64">
        <f>+CUBICACION!M1169</f>
        <v>0</v>
      </c>
      <c r="K1175" s="822" t="str">
        <f>+CUBICACION!N1169</f>
        <v/>
      </c>
      <c r="L1175" s="118">
        <f>+CUBICACION!O1169</f>
        <v>0</v>
      </c>
      <c r="M1175" s="823">
        <f>+CUBICACION!P1169</f>
        <v>0</v>
      </c>
      <c r="N1175" s="902">
        <f>ROUND(IF(AND(L1175="Blaze Shield II",M1175="Software Idiem",C1175="IN",G1175=4),((('BLAZE SHIELD II'!$D$4*('CALCULO MORTERO'!I1175^2)+'BLAZE SHIELD II'!$D$5*'CALCULO MORTERO'!I1175+'BLAZE SHIELD II'!$D$6)*LN(J1175))+('BLAZE SHIELD II'!$D$7*('CALCULO MORTERO'!I1175^2)+'BLAZE SHIELD II'!$D$8*'CALCULO MORTERO'!I1175+'BLAZE SHIELD II'!$D$9)),0)+IF(AND(L1175="Blaze Shield II",M1175="Software Idiem",C1175="Cj"),((('BLAZE SHIELD II'!$H$4*('CALCULO MORTERO'!I1175^2)+'BLAZE SHIELD II'!$H$5*'CALCULO MORTERO'!I1175+'BLAZE SHIELD II'!$H$6)*LN(J1175))+('BLAZE SHIELD II'!$H$7*('CALCULO MORTERO'!I1175^2)+'BLAZE SHIELD II'!$H$8*'CALCULO MORTERO'!I1175+'BLAZE SHIELD II'!$H$9)),0)+IF(AND(L1175="Blaze Shield II",M1175="Software Idiem",C1175="C"),((('BLAZE SHIELD II'!$L$4*('CALCULO MORTERO'!I1175^2)+'BLAZE SHIELD II'!$L$5*'CALCULO MORTERO'!I1175+'BLAZE SHIELD II'!$L$6)*LN(J1175))+('BLAZE SHIELD II'!$L$7*('CALCULO MORTERO'!I1175^2)+'BLAZE SHIELD II'!$L$8*'CALCULO MORTERO'!I1175+'BLAZE SHIELD II'!$L$9)),0)+IF(AND(L1175="Blaze Shield II",M1175="Software Idiem",C1175="L"),((('BLAZE SHIELD II'!$L$4*('CALCULO MORTERO'!I1175^2)+'BLAZE SHIELD II'!$L$5*'CALCULO MORTERO'!I1175+'BLAZE SHIELD II'!$L$6)*LN(J1175))+('BLAZE SHIELD II'!$L$7*('CALCULO MORTERO'!I1175^2)+'BLAZE SHIELD II'!$L$8*'CALCULO MORTERO'!I1175+'BLAZE SHIELD II'!$L$9)),0)+IF(AND(L1175="Blaze Shield II",M1175="Software Idiem",C1175="IN",G1175=3),((('BLAZE SHIELD II'!$H$14*('CALCULO MORTERO'!I1175^2)+'BLAZE SHIELD II'!$H$15*'CALCULO MORTERO'!I1175+'BLAZE SHIELD II'!$H$16)*LN(J1175))+('BLAZE SHIELD II'!$H$17*('CALCULO MORTERO'!I1175^2)+'BLAZE SHIELD II'!$H$18*'CALCULO MORTERO'!I1175+'BLAZE SHIELD II'!$H$19)),0),0)+ROUND(IF(AND(L1175="Cafco 400",M1175="Software Idiem",C1175="IN",G1175=4),((('CAFCO 400 '!$H$7*(J1175^4)+'CAFCO 400 '!$H$8*(J1175^3)+'CAFCO 400 '!$H$9*(J1175^2)+'CAFCO 400 '!$H$10*J1175+'CAFCO 400 '!$H$11)*U1175^2)+(('CAFCO 400 '!$H$12*(J1175^3)+'CAFCO 400 '!$H$13*(J1175^2)+'CAFCO 400 '!$H$14*J1175+'CAFCO 400 '!$H$15)*U1175)+('CAFCO 400 '!$H$16*(J1175^2)+'CAFCO 400 '!$H$17*J1175+'CAFCO 400 '!$H$18)),0)+IF(AND(L1175="Cafco 400",M1175="Software Idiem",C1175="Cj"),(((('CAFCO 400 '!$D$7*LN(J1175)+'CAFCO 400 '!$D$8)*U1175^2)+(('CAFCO 400 '!$D$9*LN(J1175)+'CAFCO 400 '!$D$10)*U1175)+('CAFCO 400 '!$D$11*LN(J1175)+'CAFCO 400 '!$D$12))),0)+IF(AND(L1175="Cafco 400",M1175="Software Idiem",C1175="C"),((('CAFCO 400 '!$L$7*(J1175^3)+'CAFCO 400 '!$L$8*(J1175^2)+'CAFCO 400 '!$L$9*J1175+'CAFCO 400 '!$L$10)*U1175^2)+(('CAFCO 400 '!$L$11*(J1175^3)+'CAFCO 400 '!$L$12*(J1175^2)+'CAFCO 400 '!$L$13*J1175+'CAFCO 400 '!$L$14)*U1175)+('CAFCO 400 '!$L$15*LN(J1175)+'CAFCO 400 '!$L$16)),0)+IF(AND(L1175="Cafco 400",M1175="Software Idiem",C1175="L"),((('CAFCO 400 '!$L$7*(J1175^3)+'CAFCO 400 '!$L$8*(J1175^2)+'CAFCO 400 '!$L$9*J1175+'CAFCO 400 '!$L$10)*U1175^2)+(('CAFCO 400 '!$L$11*(J1175^3)+'CAFCO 400 '!$L$12*(J1175^2)+'CAFCO 400 '!$L$13*J1175+'CAFCO 400 '!$L$14)*U1175)+('CAFCO 400 '!$L$15*LN(J1175)+'CAFCO 400 '!$L$16)),0)+IF(AND(L1175="Cafco 400",M1175="Software Idiem",C1175="IN",G1175=3),((('CAFCO 400 '!$D$23*(J1175^2)+'CAFCO 400 '!$D$24*(J1175)+'CAFCO 400 '!$D$25)*U1175^2)+(('CAFCO 400 '!$D$26*(J1175^2)+'CAFCO 400 '!$D$27*J1175+'CAFCO 400 '!$D$28)*U1175)+('CAFCO 400 '!$D$29*(J1175^2)+'CAFCO 400 '!$D$30*J1175+'CAFCO 400 '!$D$31)),0),0)+IF(AND(L1175="Cafco 300",J1175&gt;=95,J1175&lt;=240,C1175="Cj",I1175=90),VLOOKUP(T1175,'CAFCO 300 IDIEM TABLAS'!$B$4:$D$23,2,FALSE),0)+IF(AND(L1175="Cafco 300",J1175&gt;=95,J1175&lt;=240,C1175="Cj",I1175=120),VLOOKUP(T1175,'CAFCO 300 IDIEM TABLAS'!$B$4:$D$23,3,FALSE),0)+IF(AND(L1175="Cafco 300",J1175&gt;=95,J1175&lt;=400,G1175=3,C1175="IN",I1175=90),VLOOKUP(T1175,'CAFCO 300 IDIEM TABLAS'!$F$4:$H$35,2,FALSE),0)+IF(AND(L1175="Cafco 300",J1175&gt;=95,J1175&lt;=400,G1175=3,C1175="IN",I1175=120),VLOOKUP(T1175,'CAFCO 300 IDIEM TABLAS'!$F$4:$H$35,3,FALSE),0)+IF(AND(L1175="Cafco 300",J1175&gt;=95,J1175&lt;=450,G1175=4,C1175="IN",I1175=90),VLOOKUP(T1175,'CAFCO 300 IDIEM TABLAS'!$J$4:$L$40,2,FALSE),0)+IF(AND(L1175="Cafco 300",J1175&gt;=95,J1175&lt;=450,G1175=4,C1175="IN",I1175=120),VLOOKUP(T1175,'CAFCO 300 IDIEM TABLAS'!$J$4:$L$40,3,FALSE),0)+IF(AND(M1175="Ensayo Idiem",L1175="Cafco 400",C1175="IN",G1175=4,I1175=90),VLOOKUP(T1175,'CAFCO 400 ENSAYO'!$B$7:$D$43,2,FALSE),0)+IF(AND(M1175="Ensayo Idiem",L1175="Cafco 400",C1175="IN",G1175=4,I1175=120),VLOOKUP(T1175,'CAFCO 400 ENSAYO'!$B$7:$D$43,3,FALSE),0)</f>
        <v>0</v>
      </c>
      <c r="O1175" s="96">
        <f t="shared" si="120"/>
        <v>0</v>
      </c>
      <c r="P1175" s="132" t="str">
        <f t="shared" si="115"/>
        <v>N/A</v>
      </c>
      <c r="Q1175" s="132" t="str">
        <f t="shared" si="116"/>
        <v>N/A</v>
      </c>
      <c r="R1175" s="132" t="str">
        <f t="shared" si="117"/>
        <v>NO CERT.</v>
      </c>
      <c r="S1175" s="132" t="e">
        <f t="shared" si="118"/>
        <v>#N/A</v>
      </c>
      <c r="T1175" s="133" t="e">
        <f>+IF(J1175=LOOKUP(J1175,'CAFCO 300 IDIEM TABLAS'!$J$4:$J$40),'CALCULO MORTERO'!J1175,MROUND('CALCULO MORTERO'!J1175,10))</f>
        <v>#N/A</v>
      </c>
      <c r="U1175" s="134">
        <f t="shared" si="119"/>
        <v>0</v>
      </c>
    </row>
    <row r="1176" spans="1:21" x14ac:dyDescent="0.25">
      <c r="A1176" s="118">
        <f>+CUBICACION!D1170</f>
        <v>0</v>
      </c>
      <c r="B1176" s="819">
        <f>+CUBICACION!E1170</f>
        <v>0</v>
      </c>
      <c r="C1176" s="675">
        <f>+CUBICACION!F1170</f>
        <v>0</v>
      </c>
      <c r="D1176" s="118"/>
      <c r="E1176" s="118"/>
      <c r="F1176" s="820"/>
      <c r="G1176" s="675">
        <f>+CUBICACION!J1170</f>
        <v>0</v>
      </c>
      <c r="H1176" s="118"/>
      <c r="I1176" s="821">
        <f>+CUBICACION!L1170</f>
        <v>0</v>
      </c>
      <c r="J1176" s="64">
        <f>+CUBICACION!M1170</f>
        <v>0</v>
      </c>
      <c r="K1176" s="822" t="str">
        <f>+CUBICACION!N1170</f>
        <v/>
      </c>
      <c r="L1176" s="118">
        <f>+CUBICACION!O1170</f>
        <v>0</v>
      </c>
      <c r="M1176" s="823">
        <f>+CUBICACION!P1170</f>
        <v>0</v>
      </c>
      <c r="N1176" s="902">
        <f>ROUND(IF(AND(L1176="Blaze Shield II",M1176="Software Idiem",C1176="IN",G1176=4),((('BLAZE SHIELD II'!$D$4*('CALCULO MORTERO'!I1176^2)+'BLAZE SHIELD II'!$D$5*'CALCULO MORTERO'!I1176+'BLAZE SHIELD II'!$D$6)*LN(J1176))+('BLAZE SHIELD II'!$D$7*('CALCULO MORTERO'!I1176^2)+'BLAZE SHIELD II'!$D$8*'CALCULO MORTERO'!I1176+'BLAZE SHIELD II'!$D$9)),0)+IF(AND(L1176="Blaze Shield II",M1176="Software Idiem",C1176="Cj"),((('BLAZE SHIELD II'!$H$4*('CALCULO MORTERO'!I1176^2)+'BLAZE SHIELD II'!$H$5*'CALCULO MORTERO'!I1176+'BLAZE SHIELD II'!$H$6)*LN(J1176))+('BLAZE SHIELD II'!$H$7*('CALCULO MORTERO'!I1176^2)+'BLAZE SHIELD II'!$H$8*'CALCULO MORTERO'!I1176+'BLAZE SHIELD II'!$H$9)),0)+IF(AND(L1176="Blaze Shield II",M1176="Software Idiem",C1176="C"),((('BLAZE SHIELD II'!$L$4*('CALCULO MORTERO'!I1176^2)+'BLAZE SHIELD II'!$L$5*'CALCULO MORTERO'!I1176+'BLAZE SHIELD II'!$L$6)*LN(J1176))+('BLAZE SHIELD II'!$L$7*('CALCULO MORTERO'!I1176^2)+'BLAZE SHIELD II'!$L$8*'CALCULO MORTERO'!I1176+'BLAZE SHIELD II'!$L$9)),0)+IF(AND(L1176="Blaze Shield II",M1176="Software Idiem",C1176="L"),((('BLAZE SHIELD II'!$L$4*('CALCULO MORTERO'!I1176^2)+'BLAZE SHIELD II'!$L$5*'CALCULO MORTERO'!I1176+'BLAZE SHIELD II'!$L$6)*LN(J1176))+('BLAZE SHIELD II'!$L$7*('CALCULO MORTERO'!I1176^2)+'BLAZE SHIELD II'!$L$8*'CALCULO MORTERO'!I1176+'BLAZE SHIELD II'!$L$9)),0)+IF(AND(L1176="Blaze Shield II",M1176="Software Idiem",C1176="IN",G1176=3),((('BLAZE SHIELD II'!$H$14*('CALCULO MORTERO'!I1176^2)+'BLAZE SHIELD II'!$H$15*'CALCULO MORTERO'!I1176+'BLAZE SHIELD II'!$H$16)*LN(J1176))+('BLAZE SHIELD II'!$H$17*('CALCULO MORTERO'!I1176^2)+'BLAZE SHIELD II'!$H$18*'CALCULO MORTERO'!I1176+'BLAZE SHIELD II'!$H$19)),0),0)+ROUND(IF(AND(L1176="Cafco 400",M1176="Software Idiem",C1176="IN",G1176=4),((('CAFCO 400 '!$H$7*(J1176^4)+'CAFCO 400 '!$H$8*(J1176^3)+'CAFCO 400 '!$H$9*(J1176^2)+'CAFCO 400 '!$H$10*J1176+'CAFCO 400 '!$H$11)*U1176^2)+(('CAFCO 400 '!$H$12*(J1176^3)+'CAFCO 400 '!$H$13*(J1176^2)+'CAFCO 400 '!$H$14*J1176+'CAFCO 400 '!$H$15)*U1176)+('CAFCO 400 '!$H$16*(J1176^2)+'CAFCO 400 '!$H$17*J1176+'CAFCO 400 '!$H$18)),0)+IF(AND(L1176="Cafco 400",M1176="Software Idiem",C1176="Cj"),(((('CAFCO 400 '!$D$7*LN(J1176)+'CAFCO 400 '!$D$8)*U1176^2)+(('CAFCO 400 '!$D$9*LN(J1176)+'CAFCO 400 '!$D$10)*U1176)+('CAFCO 400 '!$D$11*LN(J1176)+'CAFCO 400 '!$D$12))),0)+IF(AND(L1176="Cafco 400",M1176="Software Idiem",C1176="C"),((('CAFCO 400 '!$L$7*(J1176^3)+'CAFCO 400 '!$L$8*(J1176^2)+'CAFCO 400 '!$L$9*J1176+'CAFCO 400 '!$L$10)*U1176^2)+(('CAFCO 400 '!$L$11*(J1176^3)+'CAFCO 400 '!$L$12*(J1176^2)+'CAFCO 400 '!$L$13*J1176+'CAFCO 400 '!$L$14)*U1176)+('CAFCO 400 '!$L$15*LN(J1176)+'CAFCO 400 '!$L$16)),0)+IF(AND(L1176="Cafco 400",M1176="Software Idiem",C1176="L"),((('CAFCO 400 '!$L$7*(J1176^3)+'CAFCO 400 '!$L$8*(J1176^2)+'CAFCO 400 '!$L$9*J1176+'CAFCO 400 '!$L$10)*U1176^2)+(('CAFCO 400 '!$L$11*(J1176^3)+'CAFCO 400 '!$L$12*(J1176^2)+'CAFCO 400 '!$L$13*J1176+'CAFCO 400 '!$L$14)*U1176)+('CAFCO 400 '!$L$15*LN(J1176)+'CAFCO 400 '!$L$16)),0)+IF(AND(L1176="Cafco 400",M1176="Software Idiem",C1176="IN",G1176=3),((('CAFCO 400 '!$D$23*(J1176^2)+'CAFCO 400 '!$D$24*(J1176)+'CAFCO 400 '!$D$25)*U1176^2)+(('CAFCO 400 '!$D$26*(J1176^2)+'CAFCO 400 '!$D$27*J1176+'CAFCO 400 '!$D$28)*U1176)+('CAFCO 400 '!$D$29*(J1176^2)+'CAFCO 400 '!$D$30*J1176+'CAFCO 400 '!$D$31)),0),0)+IF(AND(L1176="Cafco 300",J1176&gt;=95,J1176&lt;=240,C1176="Cj",I1176=90),VLOOKUP(T1176,'CAFCO 300 IDIEM TABLAS'!$B$4:$D$23,2,FALSE),0)+IF(AND(L1176="Cafco 300",J1176&gt;=95,J1176&lt;=240,C1176="Cj",I1176=120),VLOOKUP(T1176,'CAFCO 300 IDIEM TABLAS'!$B$4:$D$23,3,FALSE),0)+IF(AND(L1176="Cafco 300",J1176&gt;=95,J1176&lt;=400,G1176=3,C1176="IN",I1176=90),VLOOKUP(T1176,'CAFCO 300 IDIEM TABLAS'!$F$4:$H$35,2,FALSE),0)+IF(AND(L1176="Cafco 300",J1176&gt;=95,J1176&lt;=400,G1176=3,C1176="IN",I1176=120),VLOOKUP(T1176,'CAFCO 300 IDIEM TABLAS'!$F$4:$H$35,3,FALSE),0)+IF(AND(L1176="Cafco 300",J1176&gt;=95,J1176&lt;=450,G1176=4,C1176="IN",I1176=90),VLOOKUP(T1176,'CAFCO 300 IDIEM TABLAS'!$J$4:$L$40,2,FALSE),0)+IF(AND(L1176="Cafco 300",J1176&gt;=95,J1176&lt;=450,G1176=4,C1176="IN",I1176=120),VLOOKUP(T1176,'CAFCO 300 IDIEM TABLAS'!$J$4:$L$40,3,FALSE),0)+IF(AND(M1176="Ensayo Idiem",L1176="Cafco 400",C1176="IN",G1176=4,I1176=90),VLOOKUP(T1176,'CAFCO 400 ENSAYO'!$B$7:$D$43,2,FALSE),0)+IF(AND(M1176="Ensayo Idiem",L1176="Cafco 400",C1176="IN",G1176=4,I1176=120),VLOOKUP(T1176,'CAFCO 400 ENSAYO'!$B$7:$D$43,3,FALSE),0)</f>
        <v>0</v>
      </c>
      <c r="O1176" s="96">
        <f t="shared" si="120"/>
        <v>0</v>
      </c>
      <c r="P1176" s="95" t="str">
        <f t="shared" si="115"/>
        <v>N/A</v>
      </c>
      <c r="Q1176" s="95" t="str">
        <f t="shared" si="116"/>
        <v>N/A</v>
      </c>
      <c r="R1176" s="95" t="str">
        <f t="shared" si="117"/>
        <v>NO CERT.</v>
      </c>
      <c r="S1176" s="95" t="e">
        <f t="shared" si="118"/>
        <v>#N/A</v>
      </c>
      <c r="T1176" s="119" t="e">
        <f>+IF(J1176=LOOKUP(J1176,'CAFCO 300 IDIEM TABLAS'!$J$4:$J$40),'CALCULO MORTERO'!J1176,MROUND('CALCULO MORTERO'!J1176,10))</f>
        <v>#N/A</v>
      </c>
      <c r="U1176" s="118">
        <f t="shared" si="119"/>
        <v>0</v>
      </c>
    </row>
    <row r="1177" spans="1:21" x14ac:dyDescent="0.25">
      <c r="A1177" s="118">
        <f>+CUBICACION!D1171</f>
        <v>0</v>
      </c>
      <c r="B1177" s="819">
        <f>+CUBICACION!E1171</f>
        <v>0</v>
      </c>
      <c r="C1177" s="675">
        <f>+CUBICACION!F1171</f>
        <v>0</v>
      </c>
      <c r="D1177" s="118"/>
      <c r="E1177" s="118"/>
      <c r="F1177" s="820"/>
      <c r="G1177" s="675">
        <f>+CUBICACION!J1171</f>
        <v>0</v>
      </c>
      <c r="H1177" s="118"/>
      <c r="I1177" s="821">
        <f>+CUBICACION!L1171</f>
        <v>0</v>
      </c>
      <c r="J1177" s="64">
        <f>+CUBICACION!M1171</f>
        <v>0</v>
      </c>
      <c r="K1177" s="822" t="str">
        <f>+CUBICACION!N1171</f>
        <v/>
      </c>
      <c r="L1177" s="118">
        <f>+CUBICACION!O1171</f>
        <v>0</v>
      </c>
      <c r="M1177" s="823">
        <f>+CUBICACION!P1171</f>
        <v>0</v>
      </c>
      <c r="N1177" s="902">
        <f>ROUND(IF(AND(L1177="Blaze Shield II",M1177="Software Idiem",C1177="IN",G1177=4),((('BLAZE SHIELD II'!$D$4*('CALCULO MORTERO'!I1177^2)+'BLAZE SHIELD II'!$D$5*'CALCULO MORTERO'!I1177+'BLAZE SHIELD II'!$D$6)*LN(J1177))+('BLAZE SHIELD II'!$D$7*('CALCULO MORTERO'!I1177^2)+'BLAZE SHIELD II'!$D$8*'CALCULO MORTERO'!I1177+'BLAZE SHIELD II'!$D$9)),0)+IF(AND(L1177="Blaze Shield II",M1177="Software Idiem",C1177="Cj"),((('BLAZE SHIELD II'!$H$4*('CALCULO MORTERO'!I1177^2)+'BLAZE SHIELD II'!$H$5*'CALCULO MORTERO'!I1177+'BLAZE SHIELD II'!$H$6)*LN(J1177))+('BLAZE SHIELD II'!$H$7*('CALCULO MORTERO'!I1177^2)+'BLAZE SHIELD II'!$H$8*'CALCULO MORTERO'!I1177+'BLAZE SHIELD II'!$H$9)),0)+IF(AND(L1177="Blaze Shield II",M1177="Software Idiem",C1177="C"),((('BLAZE SHIELD II'!$L$4*('CALCULO MORTERO'!I1177^2)+'BLAZE SHIELD II'!$L$5*'CALCULO MORTERO'!I1177+'BLAZE SHIELD II'!$L$6)*LN(J1177))+('BLAZE SHIELD II'!$L$7*('CALCULO MORTERO'!I1177^2)+'BLAZE SHIELD II'!$L$8*'CALCULO MORTERO'!I1177+'BLAZE SHIELD II'!$L$9)),0)+IF(AND(L1177="Blaze Shield II",M1177="Software Idiem",C1177="L"),((('BLAZE SHIELD II'!$L$4*('CALCULO MORTERO'!I1177^2)+'BLAZE SHIELD II'!$L$5*'CALCULO MORTERO'!I1177+'BLAZE SHIELD II'!$L$6)*LN(J1177))+('BLAZE SHIELD II'!$L$7*('CALCULO MORTERO'!I1177^2)+'BLAZE SHIELD II'!$L$8*'CALCULO MORTERO'!I1177+'BLAZE SHIELD II'!$L$9)),0)+IF(AND(L1177="Blaze Shield II",M1177="Software Idiem",C1177="IN",G1177=3),((('BLAZE SHIELD II'!$H$14*('CALCULO MORTERO'!I1177^2)+'BLAZE SHIELD II'!$H$15*'CALCULO MORTERO'!I1177+'BLAZE SHIELD II'!$H$16)*LN(J1177))+('BLAZE SHIELD II'!$H$17*('CALCULO MORTERO'!I1177^2)+'BLAZE SHIELD II'!$H$18*'CALCULO MORTERO'!I1177+'BLAZE SHIELD II'!$H$19)),0),0)+ROUND(IF(AND(L1177="Cafco 400",M1177="Software Idiem",C1177="IN",G1177=4),((('CAFCO 400 '!$H$7*(J1177^4)+'CAFCO 400 '!$H$8*(J1177^3)+'CAFCO 400 '!$H$9*(J1177^2)+'CAFCO 400 '!$H$10*J1177+'CAFCO 400 '!$H$11)*U1177^2)+(('CAFCO 400 '!$H$12*(J1177^3)+'CAFCO 400 '!$H$13*(J1177^2)+'CAFCO 400 '!$H$14*J1177+'CAFCO 400 '!$H$15)*U1177)+('CAFCO 400 '!$H$16*(J1177^2)+'CAFCO 400 '!$H$17*J1177+'CAFCO 400 '!$H$18)),0)+IF(AND(L1177="Cafco 400",M1177="Software Idiem",C1177="Cj"),(((('CAFCO 400 '!$D$7*LN(J1177)+'CAFCO 400 '!$D$8)*U1177^2)+(('CAFCO 400 '!$D$9*LN(J1177)+'CAFCO 400 '!$D$10)*U1177)+('CAFCO 400 '!$D$11*LN(J1177)+'CAFCO 400 '!$D$12))),0)+IF(AND(L1177="Cafco 400",M1177="Software Idiem",C1177="C"),((('CAFCO 400 '!$L$7*(J1177^3)+'CAFCO 400 '!$L$8*(J1177^2)+'CAFCO 400 '!$L$9*J1177+'CAFCO 400 '!$L$10)*U1177^2)+(('CAFCO 400 '!$L$11*(J1177^3)+'CAFCO 400 '!$L$12*(J1177^2)+'CAFCO 400 '!$L$13*J1177+'CAFCO 400 '!$L$14)*U1177)+('CAFCO 400 '!$L$15*LN(J1177)+'CAFCO 400 '!$L$16)),0)+IF(AND(L1177="Cafco 400",M1177="Software Idiem",C1177="L"),((('CAFCO 400 '!$L$7*(J1177^3)+'CAFCO 400 '!$L$8*(J1177^2)+'CAFCO 400 '!$L$9*J1177+'CAFCO 400 '!$L$10)*U1177^2)+(('CAFCO 400 '!$L$11*(J1177^3)+'CAFCO 400 '!$L$12*(J1177^2)+'CAFCO 400 '!$L$13*J1177+'CAFCO 400 '!$L$14)*U1177)+('CAFCO 400 '!$L$15*LN(J1177)+'CAFCO 400 '!$L$16)),0)+IF(AND(L1177="Cafco 400",M1177="Software Idiem",C1177="IN",G1177=3),((('CAFCO 400 '!$D$23*(J1177^2)+'CAFCO 400 '!$D$24*(J1177)+'CAFCO 400 '!$D$25)*U1177^2)+(('CAFCO 400 '!$D$26*(J1177^2)+'CAFCO 400 '!$D$27*J1177+'CAFCO 400 '!$D$28)*U1177)+('CAFCO 400 '!$D$29*(J1177^2)+'CAFCO 400 '!$D$30*J1177+'CAFCO 400 '!$D$31)),0),0)+IF(AND(L1177="Cafco 300",J1177&gt;=95,J1177&lt;=240,C1177="Cj",I1177=90),VLOOKUP(T1177,'CAFCO 300 IDIEM TABLAS'!$B$4:$D$23,2,FALSE),0)+IF(AND(L1177="Cafco 300",J1177&gt;=95,J1177&lt;=240,C1177="Cj",I1177=120),VLOOKUP(T1177,'CAFCO 300 IDIEM TABLAS'!$B$4:$D$23,3,FALSE),0)+IF(AND(L1177="Cafco 300",J1177&gt;=95,J1177&lt;=400,G1177=3,C1177="IN",I1177=90),VLOOKUP(T1177,'CAFCO 300 IDIEM TABLAS'!$F$4:$H$35,2,FALSE),0)+IF(AND(L1177="Cafco 300",J1177&gt;=95,J1177&lt;=400,G1177=3,C1177="IN",I1177=120),VLOOKUP(T1177,'CAFCO 300 IDIEM TABLAS'!$F$4:$H$35,3,FALSE),0)+IF(AND(L1177="Cafco 300",J1177&gt;=95,J1177&lt;=450,G1177=4,C1177="IN",I1177=90),VLOOKUP(T1177,'CAFCO 300 IDIEM TABLAS'!$J$4:$L$40,2,FALSE),0)+IF(AND(L1177="Cafco 300",J1177&gt;=95,J1177&lt;=450,G1177=4,C1177="IN",I1177=120),VLOOKUP(T1177,'CAFCO 300 IDIEM TABLAS'!$J$4:$L$40,3,FALSE),0)+IF(AND(M1177="Ensayo Idiem",L1177="Cafco 400",C1177="IN",G1177=4,I1177=90),VLOOKUP(T1177,'CAFCO 400 ENSAYO'!$B$7:$D$43,2,FALSE),0)+IF(AND(M1177="Ensayo Idiem",L1177="Cafco 400",C1177="IN",G1177=4,I1177=120),VLOOKUP(T1177,'CAFCO 400 ENSAYO'!$B$7:$D$43,3,FALSE),0)</f>
        <v>0</v>
      </c>
      <c r="O1177" s="96">
        <f t="shared" si="120"/>
        <v>0</v>
      </c>
      <c r="P1177" s="132" t="str">
        <f t="shared" si="115"/>
        <v>N/A</v>
      </c>
      <c r="Q1177" s="132" t="str">
        <f t="shared" si="116"/>
        <v>N/A</v>
      </c>
      <c r="R1177" s="132" t="str">
        <f t="shared" si="117"/>
        <v>NO CERT.</v>
      </c>
      <c r="S1177" s="132" t="e">
        <f t="shared" si="118"/>
        <v>#N/A</v>
      </c>
      <c r="T1177" s="133" t="e">
        <f>+IF(J1177=LOOKUP(J1177,'CAFCO 300 IDIEM TABLAS'!$J$4:$J$40),'CALCULO MORTERO'!J1177,MROUND('CALCULO MORTERO'!J1177,10))</f>
        <v>#N/A</v>
      </c>
      <c r="U1177" s="134">
        <f t="shared" si="119"/>
        <v>0</v>
      </c>
    </row>
    <row r="1178" spans="1:21" x14ac:dyDescent="0.25">
      <c r="A1178" s="118">
        <f>+CUBICACION!D1172</f>
        <v>0</v>
      </c>
      <c r="B1178" s="819">
        <f>+CUBICACION!E1172</f>
        <v>0</v>
      </c>
      <c r="C1178" s="675">
        <f>+CUBICACION!F1172</f>
        <v>0</v>
      </c>
      <c r="D1178" s="118"/>
      <c r="E1178" s="118"/>
      <c r="F1178" s="820"/>
      <c r="G1178" s="675">
        <f>+CUBICACION!J1172</f>
        <v>0</v>
      </c>
      <c r="H1178" s="118"/>
      <c r="I1178" s="821">
        <f>+CUBICACION!L1172</f>
        <v>0</v>
      </c>
      <c r="J1178" s="64">
        <f>+CUBICACION!M1172</f>
        <v>0</v>
      </c>
      <c r="K1178" s="822" t="str">
        <f>+CUBICACION!N1172</f>
        <v/>
      </c>
      <c r="L1178" s="118">
        <f>+CUBICACION!O1172</f>
        <v>0</v>
      </c>
      <c r="M1178" s="823">
        <f>+CUBICACION!P1172</f>
        <v>0</v>
      </c>
      <c r="N1178" s="902">
        <f>ROUND(IF(AND(L1178="Blaze Shield II",M1178="Software Idiem",C1178="IN",G1178=4),((('BLAZE SHIELD II'!$D$4*('CALCULO MORTERO'!I1178^2)+'BLAZE SHIELD II'!$D$5*'CALCULO MORTERO'!I1178+'BLAZE SHIELD II'!$D$6)*LN(J1178))+('BLAZE SHIELD II'!$D$7*('CALCULO MORTERO'!I1178^2)+'BLAZE SHIELD II'!$D$8*'CALCULO MORTERO'!I1178+'BLAZE SHIELD II'!$D$9)),0)+IF(AND(L1178="Blaze Shield II",M1178="Software Idiem",C1178="Cj"),((('BLAZE SHIELD II'!$H$4*('CALCULO MORTERO'!I1178^2)+'BLAZE SHIELD II'!$H$5*'CALCULO MORTERO'!I1178+'BLAZE SHIELD II'!$H$6)*LN(J1178))+('BLAZE SHIELD II'!$H$7*('CALCULO MORTERO'!I1178^2)+'BLAZE SHIELD II'!$H$8*'CALCULO MORTERO'!I1178+'BLAZE SHIELD II'!$H$9)),0)+IF(AND(L1178="Blaze Shield II",M1178="Software Idiem",C1178="C"),((('BLAZE SHIELD II'!$L$4*('CALCULO MORTERO'!I1178^2)+'BLAZE SHIELD II'!$L$5*'CALCULO MORTERO'!I1178+'BLAZE SHIELD II'!$L$6)*LN(J1178))+('BLAZE SHIELD II'!$L$7*('CALCULO MORTERO'!I1178^2)+'BLAZE SHIELD II'!$L$8*'CALCULO MORTERO'!I1178+'BLAZE SHIELD II'!$L$9)),0)+IF(AND(L1178="Blaze Shield II",M1178="Software Idiem",C1178="L"),((('BLAZE SHIELD II'!$L$4*('CALCULO MORTERO'!I1178^2)+'BLAZE SHIELD II'!$L$5*'CALCULO MORTERO'!I1178+'BLAZE SHIELD II'!$L$6)*LN(J1178))+('BLAZE SHIELD II'!$L$7*('CALCULO MORTERO'!I1178^2)+'BLAZE SHIELD II'!$L$8*'CALCULO MORTERO'!I1178+'BLAZE SHIELD II'!$L$9)),0)+IF(AND(L1178="Blaze Shield II",M1178="Software Idiem",C1178="IN",G1178=3),((('BLAZE SHIELD II'!$H$14*('CALCULO MORTERO'!I1178^2)+'BLAZE SHIELD II'!$H$15*'CALCULO MORTERO'!I1178+'BLAZE SHIELD II'!$H$16)*LN(J1178))+('BLAZE SHIELD II'!$H$17*('CALCULO MORTERO'!I1178^2)+'BLAZE SHIELD II'!$H$18*'CALCULO MORTERO'!I1178+'BLAZE SHIELD II'!$H$19)),0),0)+ROUND(IF(AND(L1178="Cafco 400",M1178="Software Idiem",C1178="IN",G1178=4),((('CAFCO 400 '!$H$7*(J1178^4)+'CAFCO 400 '!$H$8*(J1178^3)+'CAFCO 400 '!$H$9*(J1178^2)+'CAFCO 400 '!$H$10*J1178+'CAFCO 400 '!$H$11)*U1178^2)+(('CAFCO 400 '!$H$12*(J1178^3)+'CAFCO 400 '!$H$13*(J1178^2)+'CAFCO 400 '!$H$14*J1178+'CAFCO 400 '!$H$15)*U1178)+('CAFCO 400 '!$H$16*(J1178^2)+'CAFCO 400 '!$H$17*J1178+'CAFCO 400 '!$H$18)),0)+IF(AND(L1178="Cafco 400",M1178="Software Idiem",C1178="Cj"),(((('CAFCO 400 '!$D$7*LN(J1178)+'CAFCO 400 '!$D$8)*U1178^2)+(('CAFCO 400 '!$D$9*LN(J1178)+'CAFCO 400 '!$D$10)*U1178)+('CAFCO 400 '!$D$11*LN(J1178)+'CAFCO 400 '!$D$12))),0)+IF(AND(L1178="Cafco 400",M1178="Software Idiem",C1178="C"),((('CAFCO 400 '!$L$7*(J1178^3)+'CAFCO 400 '!$L$8*(J1178^2)+'CAFCO 400 '!$L$9*J1178+'CAFCO 400 '!$L$10)*U1178^2)+(('CAFCO 400 '!$L$11*(J1178^3)+'CAFCO 400 '!$L$12*(J1178^2)+'CAFCO 400 '!$L$13*J1178+'CAFCO 400 '!$L$14)*U1178)+('CAFCO 400 '!$L$15*LN(J1178)+'CAFCO 400 '!$L$16)),0)+IF(AND(L1178="Cafco 400",M1178="Software Idiem",C1178="L"),((('CAFCO 400 '!$L$7*(J1178^3)+'CAFCO 400 '!$L$8*(J1178^2)+'CAFCO 400 '!$L$9*J1178+'CAFCO 400 '!$L$10)*U1178^2)+(('CAFCO 400 '!$L$11*(J1178^3)+'CAFCO 400 '!$L$12*(J1178^2)+'CAFCO 400 '!$L$13*J1178+'CAFCO 400 '!$L$14)*U1178)+('CAFCO 400 '!$L$15*LN(J1178)+'CAFCO 400 '!$L$16)),0)+IF(AND(L1178="Cafco 400",M1178="Software Idiem",C1178="IN",G1178=3),((('CAFCO 400 '!$D$23*(J1178^2)+'CAFCO 400 '!$D$24*(J1178)+'CAFCO 400 '!$D$25)*U1178^2)+(('CAFCO 400 '!$D$26*(J1178^2)+'CAFCO 400 '!$D$27*J1178+'CAFCO 400 '!$D$28)*U1178)+('CAFCO 400 '!$D$29*(J1178^2)+'CAFCO 400 '!$D$30*J1178+'CAFCO 400 '!$D$31)),0),0)+IF(AND(L1178="Cafco 300",J1178&gt;=95,J1178&lt;=240,C1178="Cj",I1178=90),VLOOKUP(T1178,'CAFCO 300 IDIEM TABLAS'!$B$4:$D$23,2,FALSE),0)+IF(AND(L1178="Cafco 300",J1178&gt;=95,J1178&lt;=240,C1178="Cj",I1178=120),VLOOKUP(T1178,'CAFCO 300 IDIEM TABLAS'!$B$4:$D$23,3,FALSE),0)+IF(AND(L1178="Cafco 300",J1178&gt;=95,J1178&lt;=400,G1178=3,C1178="IN",I1178=90),VLOOKUP(T1178,'CAFCO 300 IDIEM TABLAS'!$F$4:$H$35,2,FALSE),0)+IF(AND(L1178="Cafco 300",J1178&gt;=95,J1178&lt;=400,G1178=3,C1178="IN",I1178=120),VLOOKUP(T1178,'CAFCO 300 IDIEM TABLAS'!$F$4:$H$35,3,FALSE),0)+IF(AND(L1178="Cafco 300",J1178&gt;=95,J1178&lt;=450,G1178=4,C1178="IN",I1178=90),VLOOKUP(T1178,'CAFCO 300 IDIEM TABLAS'!$J$4:$L$40,2,FALSE),0)+IF(AND(L1178="Cafco 300",J1178&gt;=95,J1178&lt;=450,G1178=4,C1178="IN",I1178=120),VLOOKUP(T1178,'CAFCO 300 IDIEM TABLAS'!$J$4:$L$40,3,FALSE),0)+IF(AND(M1178="Ensayo Idiem",L1178="Cafco 400",C1178="IN",G1178=4,I1178=90),VLOOKUP(T1178,'CAFCO 400 ENSAYO'!$B$7:$D$43,2,FALSE),0)+IF(AND(M1178="Ensayo Idiem",L1178="Cafco 400",C1178="IN",G1178=4,I1178=120),VLOOKUP(T1178,'CAFCO 400 ENSAYO'!$B$7:$D$43,3,FALSE),0)</f>
        <v>0</v>
      </c>
      <c r="O1178" s="96">
        <f t="shared" si="120"/>
        <v>0</v>
      </c>
      <c r="P1178" s="95" t="str">
        <f t="shared" si="115"/>
        <v>N/A</v>
      </c>
      <c r="Q1178" s="95" t="str">
        <f t="shared" si="116"/>
        <v>N/A</v>
      </c>
      <c r="R1178" s="95" t="str">
        <f t="shared" si="117"/>
        <v>NO CERT.</v>
      </c>
      <c r="S1178" s="95" t="e">
        <f t="shared" si="118"/>
        <v>#N/A</v>
      </c>
      <c r="T1178" s="119" t="e">
        <f>+IF(J1178=LOOKUP(J1178,'CAFCO 300 IDIEM TABLAS'!$J$4:$J$40),'CALCULO MORTERO'!J1178,MROUND('CALCULO MORTERO'!J1178,10))</f>
        <v>#N/A</v>
      </c>
      <c r="U1178" s="118">
        <f t="shared" si="119"/>
        <v>0</v>
      </c>
    </row>
    <row r="1179" spans="1:21" x14ac:dyDescent="0.25">
      <c r="A1179" s="118">
        <f>+CUBICACION!D1173</f>
        <v>0</v>
      </c>
      <c r="B1179" s="819">
        <f>+CUBICACION!E1173</f>
        <v>0</v>
      </c>
      <c r="C1179" s="675">
        <f>+CUBICACION!F1173</f>
        <v>0</v>
      </c>
      <c r="D1179" s="118"/>
      <c r="E1179" s="118"/>
      <c r="F1179" s="820"/>
      <c r="G1179" s="675">
        <f>+CUBICACION!J1173</f>
        <v>0</v>
      </c>
      <c r="H1179" s="118"/>
      <c r="I1179" s="821">
        <f>+CUBICACION!L1173</f>
        <v>0</v>
      </c>
      <c r="J1179" s="64">
        <f>+CUBICACION!M1173</f>
        <v>0</v>
      </c>
      <c r="K1179" s="822" t="str">
        <f>+CUBICACION!N1173</f>
        <v/>
      </c>
      <c r="L1179" s="118">
        <f>+CUBICACION!O1173</f>
        <v>0</v>
      </c>
      <c r="M1179" s="823">
        <f>+CUBICACION!P1173</f>
        <v>0</v>
      </c>
      <c r="N1179" s="902">
        <f>ROUND(IF(AND(L1179="Blaze Shield II",M1179="Software Idiem",C1179="IN",G1179=4),((('BLAZE SHIELD II'!$D$4*('CALCULO MORTERO'!I1179^2)+'BLAZE SHIELD II'!$D$5*'CALCULO MORTERO'!I1179+'BLAZE SHIELD II'!$D$6)*LN(J1179))+('BLAZE SHIELD II'!$D$7*('CALCULO MORTERO'!I1179^2)+'BLAZE SHIELD II'!$D$8*'CALCULO MORTERO'!I1179+'BLAZE SHIELD II'!$D$9)),0)+IF(AND(L1179="Blaze Shield II",M1179="Software Idiem",C1179="Cj"),((('BLAZE SHIELD II'!$H$4*('CALCULO MORTERO'!I1179^2)+'BLAZE SHIELD II'!$H$5*'CALCULO MORTERO'!I1179+'BLAZE SHIELD II'!$H$6)*LN(J1179))+('BLAZE SHIELD II'!$H$7*('CALCULO MORTERO'!I1179^2)+'BLAZE SHIELD II'!$H$8*'CALCULO MORTERO'!I1179+'BLAZE SHIELD II'!$H$9)),0)+IF(AND(L1179="Blaze Shield II",M1179="Software Idiem",C1179="C"),((('BLAZE SHIELD II'!$L$4*('CALCULO MORTERO'!I1179^2)+'BLAZE SHIELD II'!$L$5*'CALCULO MORTERO'!I1179+'BLAZE SHIELD II'!$L$6)*LN(J1179))+('BLAZE SHIELD II'!$L$7*('CALCULO MORTERO'!I1179^2)+'BLAZE SHIELD II'!$L$8*'CALCULO MORTERO'!I1179+'BLAZE SHIELD II'!$L$9)),0)+IF(AND(L1179="Blaze Shield II",M1179="Software Idiem",C1179="L"),((('BLAZE SHIELD II'!$L$4*('CALCULO MORTERO'!I1179^2)+'BLAZE SHIELD II'!$L$5*'CALCULO MORTERO'!I1179+'BLAZE SHIELD II'!$L$6)*LN(J1179))+('BLAZE SHIELD II'!$L$7*('CALCULO MORTERO'!I1179^2)+'BLAZE SHIELD II'!$L$8*'CALCULO MORTERO'!I1179+'BLAZE SHIELD II'!$L$9)),0)+IF(AND(L1179="Blaze Shield II",M1179="Software Idiem",C1179="IN",G1179=3),((('BLAZE SHIELD II'!$H$14*('CALCULO MORTERO'!I1179^2)+'BLAZE SHIELD II'!$H$15*'CALCULO MORTERO'!I1179+'BLAZE SHIELD II'!$H$16)*LN(J1179))+('BLAZE SHIELD II'!$H$17*('CALCULO MORTERO'!I1179^2)+'BLAZE SHIELD II'!$H$18*'CALCULO MORTERO'!I1179+'BLAZE SHIELD II'!$H$19)),0),0)+ROUND(IF(AND(L1179="Cafco 400",M1179="Software Idiem",C1179="IN",G1179=4),((('CAFCO 400 '!$H$7*(J1179^4)+'CAFCO 400 '!$H$8*(J1179^3)+'CAFCO 400 '!$H$9*(J1179^2)+'CAFCO 400 '!$H$10*J1179+'CAFCO 400 '!$H$11)*U1179^2)+(('CAFCO 400 '!$H$12*(J1179^3)+'CAFCO 400 '!$H$13*(J1179^2)+'CAFCO 400 '!$H$14*J1179+'CAFCO 400 '!$H$15)*U1179)+('CAFCO 400 '!$H$16*(J1179^2)+'CAFCO 400 '!$H$17*J1179+'CAFCO 400 '!$H$18)),0)+IF(AND(L1179="Cafco 400",M1179="Software Idiem",C1179="Cj"),(((('CAFCO 400 '!$D$7*LN(J1179)+'CAFCO 400 '!$D$8)*U1179^2)+(('CAFCO 400 '!$D$9*LN(J1179)+'CAFCO 400 '!$D$10)*U1179)+('CAFCO 400 '!$D$11*LN(J1179)+'CAFCO 400 '!$D$12))),0)+IF(AND(L1179="Cafco 400",M1179="Software Idiem",C1179="C"),((('CAFCO 400 '!$L$7*(J1179^3)+'CAFCO 400 '!$L$8*(J1179^2)+'CAFCO 400 '!$L$9*J1179+'CAFCO 400 '!$L$10)*U1179^2)+(('CAFCO 400 '!$L$11*(J1179^3)+'CAFCO 400 '!$L$12*(J1179^2)+'CAFCO 400 '!$L$13*J1179+'CAFCO 400 '!$L$14)*U1179)+('CAFCO 400 '!$L$15*LN(J1179)+'CAFCO 400 '!$L$16)),0)+IF(AND(L1179="Cafco 400",M1179="Software Idiem",C1179="L"),((('CAFCO 400 '!$L$7*(J1179^3)+'CAFCO 400 '!$L$8*(J1179^2)+'CAFCO 400 '!$L$9*J1179+'CAFCO 400 '!$L$10)*U1179^2)+(('CAFCO 400 '!$L$11*(J1179^3)+'CAFCO 400 '!$L$12*(J1179^2)+'CAFCO 400 '!$L$13*J1179+'CAFCO 400 '!$L$14)*U1179)+('CAFCO 400 '!$L$15*LN(J1179)+'CAFCO 400 '!$L$16)),0)+IF(AND(L1179="Cafco 400",M1179="Software Idiem",C1179="IN",G1179=3),((('CAFCO 400 '!$D$23*(J1179^2)+'CAFCO 400 '!$D$24*(J1179)+'CAFCO 400 '!$D$25)*U1179^2)+(('CAFCO 400 '!$D$26*(J1179^2)+'CAFCO 400 '!$D$27*J1179+'CAFCO 400 '!$D$28)*U1179)+('CAFCO 400 '!$D$29*(J1179^2)+'CAFCO 400 '!$D$30*J1179+'CAFCO 400 '!$D$31)),0),0)+IF(AND(L1179="Cafco 300",J1179&gt;=95,J1179&lt;=240,C1179="Cj",I1179=90),VLOOKUP(T1179,'CAFCO 300 IDIEM TABLAS'!$B$4:$D$23,2,FALSE),0)+IF(AND(L1179="Cafco 300",J1179&gt;=95,J1179&lt;=240,C1179="Cj",I1179=120),VLOOKUP(T1179,'CAFCO 300 IDIEM TABLAS'!$B$4:$D$23,3,FALSE),0)+IF(AND(L1179="Cafco 300",J1179&gt;=95,J1179&lt;=400,G1179=3,C1179="IN",I1179=90),VLOOKUP(T1179,'CAFCO 300 IDIEM TABLAS'!$F$4:$H$35,2,FALSE),0)+IF(AND(L1179="Cafco 300",J1179&gt;=95,J1179&lt;=400,G1179=3,C1179="IN",I1179=120),VLOOKUP(T1179,'CAFCO 300 IDIEM TABLAS'!$F$4:$H$35,3,FALSE),0)+IF(AND(L1179="Cafco 300",J1179&gt;=95,J1179&lt;=450,G1179=4,C1179="IN",I1179=90),VLOOKUP(T1179,'CAFCO 300 IDIEM TABLAS'!$J$4:$L$40,2,FALSE),0)+IF(AND(L1179="Cafco 300",J1179&gt;=95,J1179&lt;=450,G1179=4,C1179="IN",I1179=120),VLOOKUP(T1179,'CAFCO 300 IDIEM TABLAS'!$J$4:$L$40,3,FALSE),0)+IF(AND(M1179="Ensayo Idiem",L1179="Cafco 400",C1179="IN",G1179=4,I1179=90),VLOOKUP(T1179,'CAFCO 400 ENSAYO'!$B$7:$D$43,2,FALSE),0)+IF(AND(M1179="Ensayo Idiem",L1179="Cafco 400",C1179="IN",G1179=4,I1179=120),VLOOKUP(T1179,'CAFCO 400 ENSAYO'!$B$7:$D$43,3,FALSE),0)</f>
        <v>0</v>
      </c>
      <c r="O1179" s="96">
        <f t="shared" si="120"/>
        <v>0</v>
      </c>
      <c r="P1179" s="132" t="str">
        <f t="shared" si="115"/>
        <v>N/A</v>
      </c>
      <c r="Q1179" s="132" t="str">
        <f t="shared" si="116"/>
        <v>N/A</v>
      </c>
      <c r="R1179" s="132" t="str">
        <f t="shared" si="117"/>
        <v>NO CERT.</v>
      </c>
      <c r="S1179" s="132" t="e">
        <f t="shared" si="118"/>
        <v>#N/A</v>
      </c>
      <c r="T1179" s="133" t="e">
        <f>+IF(J1179=LOOKUP(J1179,'CAFCO 300 IDIEM TABLAS'!$J$4:$J$40),'CALCULO MORTERO'!J1179,MROUND('CALCULO MORTERO'!J1179,10))</f>
        <v>#N/A</v>
      </c>
      <c r="U1179" s="134">
        <f t="shared" si="119"/>
        <v>0</v>
      </c>
    </row>
    <row r="1180" spans="1:21" x14ac:dyDescent="0.25">
      <c r="A1180" s="118">
        <f>+CUBICACION!D1174</f>
        <v>0</v>
      </c>
      <c r="B1180" s="819">
        <f>+CUBICACION!E1174</f>
        <v>0</v>
      </c>
      <c r="C1180" s="675">
        <f>+CUBICACION!F1174</f>
        <v>0</v>
      </c>
      <c r="D1180" s="118"/>
      <c r="E1180" s="118"/>
      <c r="F1180" s="820"/>
      <c r="G1180" s="675">
        <f>+CUBICACION!J1174</f>
        <v>0</v>
      </c>
      <c r="H1180" s="118"/>
      <c r="I1180" s="821">
        <f>+CUBICACION!L1174</f>
        <v>0</v>
      </c>
      <c r="J1180" s="64">
        <f>+CUBICACION!M1174</f>
        <v>0</v>
      </c>
      <c r="K1180" s="822" t="str">
        <f>+CUBICACION!N1174</f>
        <v/>
      </c>
      <c r="L1180" s="118">
        <f>+CUBICACION!O1174</f>
        <v>0</v>
      </c>
      <c r="M1180" s="823">
        <f>+CUBICACION!P1174</f>
        <v>0</v>
      </c>
      <c r="N1180" s="902">
        <f>ROUND(IF(AND(L1180="Blaze Shield II",M1180="Software Idiem",C1180="IN",G1180=4),((('BLAZE SHIELD II'!$D$4*('CALCULO MORTERO'!I1180^2)+'BLAZE SHIELD II'!$D$5*'CALCULO MORTERO'!I1180+'BLAZE SHIELD II'!$D$6)*LN(J1180))+('BLAZE SHIELD II'!$D$7*('CALCULO MORTERO'!I1180^2)+'BLAZE SHIELD II'!$D$8*'CALCULO MORTERO'!I1180+'BLAZE SHIELD II'!$D$9)),0)+IF(AND(L1180="Blaze Shield II",M1180="Software Idiem",C1180="Cj"),((('BLAZE SHIELD II'!$H$4*('CALCULO MORTERO'!I1180^2)+'BLAZE SHIELD II'!$H$5*'CALCULO MORTERO'!I1180+'BLAZE SHIELD II'!$H$6)*LN(J1180))+('BLAZE SHIELD II'!$H$7*('CALCULO MORTERO'!I1180^2)+'BLAZE SHIELD II'!$H$8*'CALCULO MORTERO'!I1180+'BLAZE SHIELD II'!$H$9)),0)+IF(AND(L1180="Blaze Shield II",M1180="Software Idiem",C1180="C"),((('BLAZE SHIELD II'!$L$4*('CALCULO MORTERO'!I1180^2)+'BLAZE SHIELD II'!$L$5*'CALCULO MORTERO'!I1180+'BLAZE SHIELD II'!$L$6)*LN(J1180))+('BLAZE SHIELD II'!$L$7*('CALCULO MORTERO'!I1180^2)+'BLAZE SHIELD II'!$L$8*'CALCULO MORTERO'!I1180+'BLAZE SHIELD II'!$L$9)),0)+IF(AND(L1180="Blaze Shield II",M1180="Software Idiem",C1180="L"),((('BLAZE SHIELD II'!$L$4*('CALCULO MORTERO'!I1180^2)+'BLAZE SHIELD II'!$L$5*'CALCULO MORTERO'!I1180+'BLAZE SHIELD II'!$L$6)*LN(J1180))+('BLAZE SHIELD II'!$L$7*('CALCULO MORTERO'!I1180^2)+'BLAZE SHIELD II'!$L$8*'CALCULO MORTERO'!I1180+'BLAZE SHIELD II'!$L$9)),0)+IF(AND(L1180="Blaze Shield II",M1180="Software Idiem",C1180="IN",G1180=3),((('BLAZE SHIELD II'!$H$14*('CALCULO MORTERO'!I1180^2)+'BLAZE SHIELD II'!$H$15*'CALCULO MORTERO'!I1180+'BLAZE SHIELD II'!$H$16)*LN(J1180))+('BLAZE SHIELD II'!$H$17*('CALCULO MORTERO'!I1180^2)+'BLAZE SHIELD II'!$H$18*'CALCULO MORTERO'!I1180+'BLAZE SHIELD II'!$H$19)),0),0)+ROUND(IF(AND(L1180="Cafco 400",M1180="Software Idiem",C1180="IN",G1180=4),((('CAFCO 400 '!$H$7*(J1180^4)+'CAFCO 400 '!$H$8*(J1180^3)+'CAFCO 400 '!$H$9*(J1180^2)+'CAFCO 400 '!$H$10*J1180+'CAFCO 400 '!$H$11)*U1180^2)+(('CAFCO 400 '!$H$12*(J1180^3)+'CAFCO 400 '!$H$13*(J1180^2)+'CAFCO 400 '!$H$14*J1180+'CAFCO 400 '!$H$15)*U1180)+('CAFCO 400 '!$H$16*(J1180^2)+'CAFCO 400 '!$H$17*J1180+'CAFCO 400 '!$H$18)),0)+IF(AND(L1180="Cafco 400",M1180="Software Idiem",C1180="Cj"),(((('CAFCO 400 '!$D$7*LN(J1180)+'CAFCO 400 '!$D$8)*U1180^2)+(('CAFCO 400 '!$D$9*LN(J1180)+'CAFCO 400 '!$D$10)*U1180)+('CAFCO 400 '!$D$11*LN(J1180)+'CAFCO 400 '!$D$12))),0)+IF(AND(L1180="Cafco 400",M1180="Software Idiem",C1180="C"),((('CAFCO 400 '!$L$7*(J1180^3)+'CAFCO 400 '!$L$8*(J1180^2)+'CAFCO 400 '!$L$9*J1180+'CAFCO 400 '!$L$10)*U1180^2)+(('CAFCO 400 '!$L$11*(J1180^3)+'CAFCO 400 '!$L$12*(J1180^2)+'CAFCO 400 '!$L$13*J1180+'CAFCO 400 '!$L$14)*U1180)+('CAFCO 400 '!$L$15*LN(J1180)+'CAFCO 400 '!$L$16)),0)+IF(AND(L1180="Cafco 400",M1180="Software Idiem",C1180="L"),((('CAFCO 400 '!$L$7*(J1180^3)+'CAFCO 400 '!$L$8*(J1180^2)+'CAFCO 400 '!$L$9*J1180+'CAFCO 400 '!$L$10)*U1180^2)+(('CAFCO 400 '!$L$11*(J1180^3)+'CAFCO 400 '!$L$12*(J1180^2)+'CAFCO 400 '!$L$13*J1180+'CAFCO 400 '!$L$14)*U1180)+('CAFCO 400 '!$L$15*LN(J1180)+'CAFCO 400 '!$L$16)),0)+IF(AND(L1180="Cafco 400",M1180="Software Idiem",C1180="IN",G1180=3),((('CAFCO 400 '!$D$23*(J1180^2)+'CAFCO 400 '!$D$24*(J1180)+'CAFCO 400 '!$D$25)*U1180^2)+(('CAFCO 400 '!$D$26*(J1180^2)+'CAFCO 400 '!$D$27*J1180+'CAFCO 400 '!$D$28)*U1180)+('CAFCO 400 '!$D$29*(J1180^2)+'CAFCO 400 '!$D$30*J1180+'CAFCO 400 '!$D$31)),0),0)+IF(AND(L1180="Cafco 300",J1180&gt;=95,J1180&lt;=240,C1180="Cj",I1180=90),VLOOKUP(T1180,'CAFCO 300 IDIEM TABLAS'!$B$4:$D$23,2,FALSE),0)+IF(AND(L1180="Cafco 300",J1180&gt;=95,J1180&lt;=240,C1180="Cj",I1180=120),VLOOKUP(T1180,'CAFCO 300 IDIEM TABLAS'!$B$4:$D$23,3,FALSE),0)+IF(AND(L1180="Cafco 300",J1180&gt;=95,J1180&lt;=400,G1180=3,C1180="IN",I1180=90),VLOOKUP(T1180,'CAFCO 300 IDIEM TABLAS'!$F$4:$H$35,2,FALSE),0)+IF(AND(L1180="Cafco 300",J1180&gt;=95,J1180&lt;=400,G1180=3,C1180="IN",I1180=120),VLOOKUP(T1180,'CAFCO 300 IDIEM TABLAS'!$F$4:$H$35,3,FALSE),0)+IF(AND(L1180="Cafco 300",J1180&gt;=95,J1180&lt;=450,G1180=4,C1180="IN",I1180=90),VLOOKUP(T1180,'CAFCO 300 IDIEM TABLAS'!$J$4:$L$40,2,FALSE),0)+IF(AND(L1180="Cafco 300",J1180&gt;=95,J1180&lt;=450,G1180=4,C1180="IN",I1180=120),VLOOKUP(T1180,'CAFCO 300 IDIEM TABLAS'!$J$4:$L$40,3,FALSE),0)+IF(AND(M1180="Ensayo Idiem",L1180="Cafco 400",C1180="IN",G1180=4,I1180=90),VLOOKUP(T1180,'CAFCO 400 ENSAYO'!$B$7:$D$43,2,FALSE),0)+IF(AND(M1180="Ensayo Idiem",L1180="Cafco 400",C1180="IN",G1180=4,I1180=120),VLOOKUP(T1180,'CAFCO 400 ENSAYO'!$B$7:$D$43,3,FALSE),0)</f>
        <v>0</v>
      </c>
      <c r="O1180" s="96">
        <f t="shared" si="120"/>
        <v>0</v>
      </c>
      <c r="P1180" s="95" t="str">
        <f t="shared" si="115"/>
        <v>N/A</v>
      </c>
      <c r="Q1180" s="95" t="str">
        <f t="shared" si="116"/>
        <v>N/A</v>
      </c>
      <c r="R1180" s="95" t="str">
        <f t="shared" si="117"/>
        <v>NO CERT.</v>
      </c>
      <c r="S1180" s="95" t="e">
        <f t="shared" si="118"/>
        <v>#N/A</v>
      </c>
      <c r="T1180" s="119" t="e">
        <f>+IF(J1180=LOOKUP(J1180,'CAFCO 300 IDIEM TABLAS'!$J$4:$J$40),'CALCULO MORTERO'!J1180,MROUND('CALCULO MORTERO'!J1180,10))</f>
        <v>#N/A</v>
      </c>
      <c r="U1180" s="118">
        <f t="shared" si="119"/>
        <v>0</v>
      </c>
    </row>
    <row r="1181" spans="1:21" x14ac:dyDescent="0.25">
      <c r="A1181" s="118">
        <f>+CUBICACION!D1175</f>
        <v>0</v>
      </c>
      <c r="B1181" s="819">
        <f>+CUBICACION!E1175</f>
        <v>0</v>
      </c>
      <c r="C1181" s="675">
        <f>+CUBICACION!F1175</f>
        <v>0</v>
      </c>
      <c r="D1181" s="118"/>
      <c r="E1181" s="118"/>
      <c r="F1181" s="820"/>
      <c r="G1181" s="675">
        <f>+CUBICACION!J1175</f>
        <v>0</v>
      </c>
      <c r="H1181" s="118"/>
      <c r="I1181" s="821">
        <f>+CUBICACION!L1175</f>
        <v>0</v>
      </c>
      <c r="J1181" s="64">
        <f>+CUBICACION!M1175</f>
        <v>0</v>
      </c>
      <c r="K1181" s="822" t="str">
        <f>+CUBICACION!N1175</f>
        <v/>
      </c>
      <c r="L1181" s="118">
        <f>+CUBICACION!O1175</f>
        <v>0</v>
      </c>
      <c r="M1181" s="823">
        <f>+CUBICACION!P1175</f>
        <v>0</v>
      </c>
      <c r="N1181" s="902">
        <f>ROUND(IF(AND(L1181="Blaze Shield II",M1181="Software Idiem",C1181="IN",G1181=4),((('BLAZE SHIELD II'!$D$4*('CALCULO MORTERO'!I1181^2)+'BLAZE SHIELD II'!$D$5*'CALCULO MORTERO'!I1181+'BLAZE SHIELD II'!$D$6)*LN(J1181))+('BLAZE SHIELD II'!$D$7*('CALCULO MORTERO'!I1181^2)+'BLAZE SHIELD II'!$D$8*'CALCULO MORTERO'!I1181+'BLAZE SHIELD II'!$D$9)),0)+IF(AND(L1181="Blaze Shield II",M1181="Software Idiem",C1181="Cj"),((('BLAZE SHIELD II'!$H$4*('CALCULO MORTERO'!I1181^2)+'BLAZE SHIELD II'!$H$5*'CALCULO MORTERO'!I1181+'BLAZE SHIELD II'!$H$6)*LN(J1181))+('BLAZE SHIELD II'!$H$7*('CALCULO MORTERO'!I1181^2)+'BLAZE SHIELD II'!$H$8*'CALCULO MORTERO'!I1181+'BLAZE SHIELD II'!$H$9)),0)+IF(AND(L1181="Blaze Shield II",M1181="Software Idiem",C1181="C"),((('BLAZE SHIELD II'!$L$4*('CALCULO MORTERO'!I1181^2)+'BLAZE SHIELD II'!$L$5*'CALCULO MORTERO'!I1181+'BLAZE SHIELD II'!$L$6)*LN(J1181))+('BLAZE SHIELD II'!$L$7*('CALCULO MORTERO'!I1181^2)+'BLAZE SHIELD II'!$L$8*'CALCULO MORTERO'!I1181+'BLAZE SHIELD II'!$L$9)),0)+IF(AND(L1181="Blaze Shield II",M1181="Software Idiem",C1181="L"),((('BLAZE SHIELD II'!$L$4*('CALCULO MORTERO'!I1181^2)+'BLAZE SHIELD II'!$L$5*'CALCULO MORTERO'!I1181+'BLAZE SHIELD II'!$L$6)*LN(J1181))+('BLAZE SHIELD II'!$L$7*('CALCULO MORTERO'!I1181^2)+'BLAZE SHIELD II'!$L$8*'CALCULO MORTERO'!I1181+'BLAZE SHIELD II'!$L$9)),0)+IF(AND(L1181="Blaze Shield II",M1181="Software Idiem",C1181="IN",G1181=3),((('BLAZE SHIELD II'!$H$14*('CALCULO MORTERO'!I1181^2)+'BLAZE SHIELD II'!$H$15*'CALCULO MORTERO'!I1181+'BLAZE SHIELD II'!$H$16)*LN(J1181))+('BLAZE SHIELD II'!$H$17*('CALCULO MORTERO'!I1181^2)+'BLAZE SHIELD II'!$H$18*'CALCULO MORTERO'!I1181+'BLAZE SHIELD II'!$H$19)),0),0)+ROUND(IF(AND(L1181="Cafco 400",M1181="Software Idiem",C1181="IN",G1181=4),((('CAFCO 400 '!$H$7*(J1181^4)+'CAFCO 400 '!$H$8*(J1181^3)+'CAFCO 400 '!$H$9*(J1181^2)+'CAFCO 400 '!$H$10*J1181+'CAFCO 400 '!$H$11)*U1181^2)+(('CAFCO 400 '!$H$12*(J1181^3)+'CAFCO 400 '!$H$13*(J1181^2)+'CAFCO 400 '!$H$14*J1181+'CAFCO 400 '!$H$15)*U1181)+('CAFCO 400 '!$H$16*(J1181^2)+'CAFCO 400 '!$H$17*J1181+'CAFCO 400 '!$H$18)),0)+IF(AND(L1181="Cafco 400",M1181="Software Idiem",C1181="Cj"),(((('CAFCO 400 '!$D$7*LN(J1181)+'CAFCO 400 '!$D$8)*U1181^2)+(('CAFCO 400 '!$D$9*LN(J1181)+'CAFCO 400 '!$D$10)*U1181)+('CAFCO 400 '!$D$11*LN(J1181)+'CAFCO 400 '!$D$12))),0)+IF(AND(L1181="Cafco 400",M1181="Software Idiem",C1181="C"),((('CAFCO 400 '!$L$7*(J1181^3)+'CAFCO 400 '!$L$8*(J1181^2)+'CAFCO 400 '!$L$9*J1181+'CAFCO 400 '!$L$10)*U1181^2)+(('CAFCO 400 '!$L$11*(J1181^3)+'CAFCO 400 '!$L$12*(J1181^2)+'CAFCO 400 '!$L$13*J1181+'CAFCO 400 '!$L$14)*U1181)+('CAFCO 400 '!$L$15*LN(J1181)+'CAFCO 400 '!$L$16)),0)+IF(AND(L1181="Cafco 400",M1181="Software Idiem",C1181="L"),((('CAFCO 400 '!$L$7*(J1181^3)+'CAFCO 400 '!$L$8*(J1181^2)+'CAFCO 400 '!$L$9*J1181+'CAFCO 400 '!$L$10)*U1181^2)+(('CAFCO 400 '!$L$11*(J1181^3)+'CAFCO 400 '!$L$12*(J1181^2)+'CAFCO 400 '!$L$13*J1181+'CAFCO 400 '!$L$14)*U1181)+('CAFCO 400 '!$L$15*LN(J1181)+'CAFCO 400 '!$L$16)),0)+IF(AND(L1181="Cafco 400",M1181="Software Idiem",C1181="IN",G1181=3),((('CAFCO 400 '!$D$23*(J1181^2)+'CAFCO 400 '!$D$24*(J1181)+'CAFCO 400 '!$D$25)*U1181^2)+(('CAFCO 400 '!$D$26*(J1181^2)+'CAFCO 400 '!$D$27*J1181+'CAFCO 400 '!$D$28)*U1181)+('CAFCO 400 '!$D$29*(J1181^2)+'CAFCO 400 '!$D$30*J1181+'CAFCO 400 '!$D$31)),0),0)+IF(AND(L1181="Cafco 300",J1181&gt;=95,J1181&lt;=240,C1181="Cj",I1181=90),VLOOKUP(T1181,'CAFCO 300 IDIEM TABLAS'!$B$4:$D$23,2,FALSE),0)+IF(AND(L1181="Cafco 300",J1181&gt;=95,J1181&lt;=240,C1181="Cj",I1181=120),VLOOKUP(T1181,'CAFCO 300 IDIEM TABLAS'!$B$4:$D$23,3,FALSE),0)+IF(AND(L1181="Cafco 300",J1181&gt;=95,J1181&lt;=400,G1181=3,C1181="IN",I1181=90),VLOOKUP(T1181,'CAFCO 300 IDIEM TABLAS'!$F$4:$H$35,2,FALSE),0)+IF(AND(L1181="Cafco 300",J1181&gt;=95,J1181&lt;=400,G1181=3,C1181="IN",I1181=120),VLOOKUP(T1181,'CAFCO 300 IDIEM TABLAS'!$F$4:$H$35,3,FALSE),0)+IF(AND(L1181="Cafco 300",J1181&gt;=95,J1181&lt;=450,G1181=4,C1181="IN",I1181=90),VLOOKUP(T1181,'CAFCO 300 IDIEM TABLAS'!$J$4:$L$40,2,FALSE),0)+IF(AND(L1181="Cafco 300",J1181&gt;=95,J1181&lt;=450,G1181=4,C1181="IN",I1181=120),VLOOKUP(T1181,'CAFCO 300 IDIEM TABLAS'!$J$4:$L$40,3,FALSE),0)+IF(AND(M1181="Ensayo Idiem",L1181="Cafco 400",C1181="IN",G1181=4,I1181=90),VLOOKUP(T1181,'CAFCO 400 ENSAYO'!$B$7:$D$43,2,FALSE),0)+IF(AND(M1181="Ensayo Idiem",L1181="Cafco 400",C1181="IN",G1181=4,I1181=120),VLOOKUP(T1181,'CAFCO 400 ENSAYO'!$B$7:$D$43,3,FALSE),0)</f>
        <v>0</v>
      </c>
      <c r="O1181" s="96">
        <f t="shared" si="120"/>
        <v>0</v>
      </c>
      <c r="P1181" s="132" t="str">
        <f t="shared" si="115"/>
        <v>N/A</v>
      </c>
      <c r="Q1181" s="132" t="str">
        <f t="shared" si="116"/>
        <v>N/A</v>
      </c>
      <c r="R1181" s="132" t="str">
        <f t="shared" si="117"/>
        <v>NO CERT.</v>
      </c>
      <c r="S1181" s="132" t="e">
        <f t="shared" si="118"/>
        <v>#N/A</v>
      </c>
      <c r="T1181" s="133" t="e">
        <f>+IF(J1181=LOOKUP(J1181,'CAFCO 300 IDIEM TABLAS'!$J$4:$J$40),'CALCULO MORTERO'!J1181,MROUND('CALCULO MORTERO'!J1181,10))</f>
        <v>#N/A</v>
      </c>
      <c r="U1181" s="134">
        <f t="shared" si="119"/>
        <v>0</v>
      </c>
    </row>
    <row r="1182" spans="1:21" x14ac:dyDescent="0.25">
      <c r="A1182" s="118">
        <f>+CUBICACION!D1176</f>
        <v>0</v>
      </c>
      <c r="B1182" s="819">
        <f>+CUBICACION!E1176</f>
        <v>0</v>
      </c>
      <c r="C1182" s="675">
        <f>+CUBICACION!F1176</f>
        <v>0</v>
      </c>
      <c r="D1182" s="118"/>
      <c r="E1182" s="118"/>
      <c r="F1182" s="820"/>
      <c r="G1182" s="675">
        <f>+CUBICACION!J1176</f>
        <v>0</v>
      </c>
      <c r="H1182" s="118"/>
      <c r="I1182" s="821">
        <f>+CUBICACION!L1176</f>
        <v>0</v>
      </c>
      <c r="J1182" s="64">
        <f>+CUBICACION!M1176</f>
        <v>0</v>
      </c>
      <c r="K1182" s="822" t="str">
        <f>+CUBICACION!N1176</f>
        <v/>
      </c>
      <c r="L1182" s="118">
        <f>+CUBICACION!O1176</f>
        <v>0</v>
      </c>
      <c r="M1182" s="823">
        <f>+CUBICACION!P1176</f>
        <v>0</v>
      </c>
      <c r="N1182" s="902">
        <f>ROUND(IF(AND(L1182="Blaze Shield II",M1182="Software Idiem",C1182="IN",G1182=4),((('BLAZE SHIELD II'!$D$4*('CALCULO MORTERO'!I1182^2)+'BLAZE SHIELD II'!$D$5*'CALCULO MORTERO'!I1182+'BLAZE SHIELD II'!$D$6)*LN(J1182))+('BLAZE SHIELD II'!$D$7*('CALCULO MORTERO'!I1182^2)+'BLAZE SHIELD II'!$D$8*'CALCULO MORTERO'!I1182+'BLAZE SHIELD II'!$D$9)),0)+IF(AND(L1182="Blaze Shield II",M1182="Software Idiem",C1182="Cj"),((('BLAZE SHIELD II'!$H$4*('CALCULO MORTERO'!I1182^2)+'BLAZE SHIELD II'!$H$5*'CALCULO MORTERO'!I1182+'BLAZE SHIELD II'!$H$6)*LN(J1182))+('BLAZE SHIELD II'!$H$7*('CALCULO MORTERO'!I1182^2)+'BLAZE SHIELD II'!$H$8*'CALCULO MORTERO'!I1182+'BLAZE SHIELD II'!$H$9)),0)+IF(AND(L1182="Blaze Shield II",M1182="Software Idiem",C1182="C"),((('BLAZE SHIELD II'!$L$4*('CALCULO MORTERO'!I1182^2)+'BLAZE SHIELD II'!$L$5*'CALCULO MORTERO'!I1182+'BLAZE SHIELD II'!$L$6)*LN(J1182))+('BLAZE SHIELD II'!$L$7*('CALCULO MORTERO'!I1182^2)+'BLAZE SHIELD II'!$L$8*'CALCULO MORTERO'!I1182+'BLAZE SHIELD II'!$L$9)),0)+IF(AND(L1182="Blaze Shield II",M1182="Software Idiem",C1182="L"),((('BLAZE SHIELD II'!$L$4*('CALCULO MORTERO'!I1182^2)+'BLAZE SHIELD II'!$L$5*'CALCULO MORTERO'!I1182+'BLAZE SHIELD II'!$L$6)*LN(J1182))+('BLAZE SHIELD II'!$L$7*('CALCULO MORTERO'!I1182^2)+'BLAZE SHIELD II'!$L$8*'CALCULO MORTERO'!I1182+'BLAZE SHIELD II'!$L$9)),0)+IF(AND(L1182="Blaze Shield II",M1182="Software Idiem",C1182="IN",G1182=3),((('BLAZE SHIELD II'!$H$14*('CALCULO MORTERO'!I1182^2)+'BLAZE SHIELD II'!$H$15*'CALCULO MORTERO'!I1182+'BLAZE SHIELD II'!$H$16)*LN(J1182))+('BLAZE SHIELD II'!$H$17*('CALCULO MORTERO'!I1182^2)+'BLAZE SHIELD II'!$H$18*'CALCULO MORTERO'!I1182+'BLAZE SHIELD II'!$H$19)),0),0)+ROUND(IF(AND(L1182="Cafco 400",M1182="Software Idiem",C1182="IN",G1182=4),((('CAFCO 400 '!$H$7*(J1182^4)+'CAFCO 400 '!$H$8*(J1182^3)+'CAFCO 400 '!$H$9*(J1182^2)+'CAFCO 400 '!$H$10*J1182+'CAFCO 400 '!$H$11)*U1182^2)+(('CAFCO 400 '!$H$12*(J1182^3)+'CAFCO 400 '!$H$13*(J1182^2)+'CAFCO 400 '!$H$14*J1182+'CAFCO 400 '!$H$15)*U1182)+('CAFCO 400 '!$H$16*(J1182^2)+'CAFCO 400 '!$H$17*J1182+'CAFCO 400 '!$H$18)),0)+IF(AND(L1182="Cafco 400",M1182="Software Idiem",C1182="Cj"),(((('CAFCO 400 '!$D$7*LN(J1182)+'CAFCO 400 '!$D$8)*U1182^2)+(('CAFCO 400 '!$D$9*LN(J1182)+'CAFCO 400 '!$D$10)*U1182)+('CAFCO 400 '!$D$11*LN(J1182)+'CAFCO 400 '!$D$12))),0)+IF(AND(L1182="Cafco 400",M1182="Software Idiem",C1182="C"),((('CAFCO 400 '!$L$7*(J1182^3)+'CAFCO 400 '!$L$8*(J1182^2)+'CAFCO 400 '!$L$9*J1182+'CAFCO 400 '!$L$10)*U1182^2)+(('CAFCO 400 '!$L$11*(J1182^3)+'CAFCO 400 '!$L$12*(J1182^2)+'CAFCO 400 '!$L$13*J1182+'CAFCO 400 '!$L$14)*U1182)+('CAFCO 400 '!$L$15*LN(J1182)+'CAFCO 400 '!$L$16)),0)+IF(AND(L1182="Cafco 400",M1182="Software Idiem",C1182="L"),((('CAFCO 400 '!$L$7*(J1182^3)+'CAFCO 400 '!$L$8*(J1182^2)+'CAFCO 400 '!$L$9*J1182+'CAFCO 400 '!$L$10)*U1182^2)+(('CAFCO 400 '!$L$11*(J1182^3)+'CAFCO 400 '!$L$12*(J1182^2)+'CAFCO 400 '!$L$13*J1182+'CAFCO 400 '!$L$14)*U1182)+('CAFCO 400 '!$L$15*LN(J1182)+'CAFCO 400 '!$L$16)),0)+IF(AND(L1182="Cafco 400",M1182="Software Idiem",C1182="IN",G1182=3),((('CAFCO 400 '!$D$23*(J1182^2)+'CAFCO 400 '!$D$24*(J1182)+'CAFCO 400 '!$D$25)*U1182^2)+(('CAFCO 400 '!$D$26*(J1182^2)+'CAFCO 400 '!$D$27*J1182+'CAFCO 400 '!$D$28)*U1182)+('CAFCO 400 '!$D$29*(J1182^2)+'CAFCO 400 '!$D$30*J1182+'CAFCO 400 '!$D$31)),0),0)+IF(AND(L1182="Cafco 300",J1182&gt;=95,J1182&lt;=240,C1182="Cj",I1182=90),VLOOKUP(T1182,'CAFCO 300 IDIEM TABLAS'!$B$4:$D$23,2,FALSE),0)+IF(AND(L1182="Cafco 300",J1182&gt;=95,J1182&lt;=240,C1182="Cj",I1182=120),VLOOKUP(T1182,'CAFCO 300 IDIEM TABLAS'!$B$4:$D$23,3,FALSE),0)+IF(AND(L1182="Cafco 300",J1182&gt;=95,J1182&lt;=400,G1182=3,C1182="IN",I1182=90),VLOOKUP(T1182,'CAFCO 300 IDIEM TABLAS'!$F$4:$H$35,2,FALSE),0)+IF(AND(L1182="Cafco 300",J1182&gt;=95,J1182&lt;=400,G1182=3,C1182="IN",I1182=120),VLOOKUP(T1182,'CAFCO 300 IDIEM TABLAS'!$F$4:$H$35,3,FALSE),0)+IF(AND(L1182="Cafco 300",J1182&gt;=95,J1182&lt;=450,G1182=4,C1182="IN",I1182=90),VLOOKUP(T1182,'CAFCO 300 IDIEM TABLAS'!$J$4:$L$40,2,FALSE),0)+IF(AND(L1182="Cafco 300",J1182&gt;=95,J1182&lt;=450,G1182=4,C1182="IN",I1182=120),VLOOKUP(T1182,'CAFCO 300 IDIEM TABLAS'!$J$4:$L$40,3,FALSE),0)+IF(AND(M1182="Ensayo Idiem",L1182="Cafco 400",C1182="IN",G1182=4,I1182=90),VLOOKUP(T1182,'CAFCO 400 ENSAYO'!$B$7:$D$43,2,FALSE),0)+IF(AND(M1182="Ensayo Idiem",L1182="Cafco 400",C1182="IN",G1182=4,I1182=120),VLOOKUP(T1182,'CAFCO 400 ENSAYO'!$B$7:$D$43,3,FALSE),0)</f>
        <v>0</v>
      </c>
      <c r="O1182" s="96">
        <f t="shared" si="120"/>
        <v>0</v>
      </c>
      <c r="P1182" s="95" t="str">
        <f t="shared" si="115"/>
        <v>N/A</v>
      </c>
      <c r="Q1182" s="95" t="str">
        <f t="shared" si="116"/>
        <v>N/A</v>
      </c>
      <c r="R1182" s="95" t="str">
        <f t="shared" si="117"/>
        <v>NO CERT.</v>
      </c>
      <c r="S1182" s="95" t="e">
        <f t="shared" si="118"/>
        <v>#N/A</v>
      </c>
      <c r="T1182" s="119" t="e">
        <f>+IF(J1182=LOOKUP(J1182,'CAFCO 300 IDIEM TABLAS'!$J$4:$J$40),'CALCULO MORTERO'!J1182,MROUND('CALCULO MORTERO'!J1182,10))</f>
        <v>#N/A</v>
      </c>
      <c r="U1182" s="118">
        <f t="shared" si="119"/>
        <v>0</v>
      </c>
    </row>
    <row r="1183" spans="1:21" x14ac:dyDescent="0.25">
      <c r="A1183" s="118">
        <f>+CUBICACION!D1177</f>
        <v>0</v>
      </c>
      <c r="B1183" s="819">
        <f>+CUBICACION!E1177</f>
        <v>0</v>
      </c>
      <c r="C1183" s="675">
        <f>+CUBICACION!F1177</f>
        <v>0</v>
      </c>
      <c r="D1183" s="118"/>
      <c r="E1183" s="118"/>
      <c r="F1183" s="820"/>
      <c r="G1183" s="675">
        <f>+CUBICACION!J1177</f>
        <v>0</v>
      </c>
      <c r="H1183" s="118"/>
      <c r="I1183" s="821">
        <f>+CUBICACION!L1177</f>
        <v>0</v>
      </c>
      <c r="J1183" s="64">
        <f>+CUBICACION!M1177</f>
        <v>0</v>
      </c>
      <c r="K1183" s="822" t="str">
        <f>+CUBICACION!N1177</f>
        <v/>
      </c>
      <c r="L1183" s="118">
        <f>+CUBICACION!O1177</f>
        <v>0</v>
      </c>
      <c r="M1183" s="823">
        <f>+CUBICACION!P1177</f>
        <v>0</v>
      </c>
      <c r="N1183" s="902">
        <f>ROUND(IF(AND(L1183="Blaze Shield II",M1183="Software Idiem",C1183="IN",G1183=4),((('BLAZE SHIELD II'!$D$4*('CALCULO MORTERO'!I1183^2)+'BLAZE SHIELD II'!$D$5*'CALCULO MORTERO'!I1183+'BLAZE SHIELD II'!$D$6)*LN(J1183))+('BLAZE SHIELD II'!$D$7*('CALCULO MORTERO'!I1183^2)+'BLAZE SHIELD II'!$D$8*'CALCULO MORTERO'!I1183+'BLAZE SHIELD II'!$D$9)),0)+IF(AND(L1183="Blaze Shield II",M1183="Software Idiem",C1183="Cj"),((('BLAZE SHIELD II'!$H$4*('CALCULO MORTERO'!I1183^2)+'BLAZE SHIELD II'!$H$5*'CALCULO MORTERO'!I1183+'BLAZE SHIELD II'!$H$6)*LN(J1183))+('BLAZE SHIELD II'!$H$7*('CALCULO MORTERO'!I1183^2)+'BLAZE SHIELD II'!$H$8*'CALCULO MORTERO'!I1183+'BLAZE SHIELD II'!$H$9)),0)+IF(AND(L1183="Blaze Shield II",M1183="Software Idiem",C1183="C"),((('BLAZE SHIELD II'!$L$4*('CALCULO MORTERO'!I1183^2)+'BLAZE SHIELD II'!$L$5*'CALCULO MORTERO'!I1183+'BLAZE SHIELD II'!$L$6)*LN(J1183))+('BLAZE SHIELD II'!$L$7*('CALCULO MORTERO'!I1183^2)+'BLAZE SHIELD II'!$L$8*'CALCULO MORTERO'!I1183+'BLAZE SHIELD II'!$L$9)),0)+IF(AND(L1183="Blaze Shield II",M1183="Software Idiem",C1183="L"),((('BLAZE SHIELD II'!$L$4*('CALCULO MORTERO'!I1183^2)+'BLAZE SHIELD II'!$L$5*'CALCULO MORTERO'!I1183+'BLAZE SHIELD II'!$L$6)*LN(J1183))+('BLAZE SHIELD II'!$L$7*('CALCULO MORTERO'!I1183^2)+'BLAZE SHIELD II'!$L$8*'CALCULO MORTERO'!I1183+'BLAZE SHIELD II'!$L$9)),0)+IF(AND(L1183="Blaze Shield II",M1183="Software Idiem",C1183="IN",G1183=3),((('BLAZE SHIELD II'!$H$14*('CALCULO MORTERO'!I1183^2)+'BLAZE SHIELD II'!$H$15*'CALCULO MORTERO'!I1183+'BLAZE SHIELD II'!$H$16)*LN(J1183))+('BLAZE SHIELD II'!$H$17*('CALCULO MORTERO'!I1183^2)+'BLAZE SHIELD II'!$H$18*'CALCULO MORTERO'!I1183+'BLAZE SHIELD II'!$H$19)),0),0)+ROUND(IF(AND(L1183="Cafco 400",M1183="Software Idiem",C1183="IN",G1183=4),((('CAFCO 400 '!$H$7*(J1183^4)+'CAFCO 400 '!$H$8*(J1183^3)+'CAFCO 400 '!$H$9*(J1183^2)+'CAFCO 400 '!$H$10*J1183+'CAFCO 400 '!$H$11)*U1183^2)+(('CAFCO 400 '!$H$12*(J1183^3)+'CAFCO 400 '!$H$13*(J1183^2)+'CAFCO 400 '!$H$14*J1183+'CAFCO 400 '!$H$15)*U1183)+('CAFCO 400 '!$H$16*(J1183^2)+'CAFCO 400 '!$H$17*J1183+'CAFCO 400 '!$H$18)),0)+IF(AND(L1183="Cafco 400",M1183="Software Idiem",C1183="Cj"),(((('CAFCO 400 '!$D$7*LN(J1183)+'CAFCO 400 '!$D$8)*U1183^2)+(('CAFCO 400 '!$D$9*LN(J1183)+'CAFCO 400 '!$D$10)*U1183)+('CAFCO 400 '!$D$11*LN(J1183)+'CAFCO 400 '!$D$12))),0)+IF(AND(L1183="Cafco 400",M1183="Software Idiem",C1183="C"),((('CAFCO 400 '!$L$7*(J1183^3)+'CAFCO 400 '!$L$8*(J1183^2)+'CAFCO 400 '!$L$9*J1183+'CAFCO 400 '!$L$10)*U1183^2)+(('CAFCO 400 '!$L$11*(J1183^3)+'CAFCO 400 '!$L$12*(J1183^2)+'CAFCO 400 '!$L$13*J1183+'CAFCO 400 '!$L$14)*U1183)+('CAFCO 400 '!$L$15*LN(J1183)+'CAFCO 400 '!$L$16)),0)+IF(AND(L1183="Cafco 400",M1183="Software Idiem",C1183="L"),((('CAFCO 400 '!$L$7*(J1183^3)+'CAFCO 400 '!$L$8*(J1183^2)+'CAFCO 400 '!$L$9*J1183+'CAFCO 400 '!$L$10)*U1183^2)+(('CAFCO 400 '!$L$11*(J1183^3)+'CAFCO 400 '!$L$12*(J1183^2)+'CAFCO 400 '!$L$13*J1183+'CAFCO 400 '!$L$14)*U1183)+('CAFCO 400 '!$L$15*LN(J1183)+'CAFCO 400 '!$L$16)),0)+IF(AND(L1183="Cafco 400",M1183="Software Idiem",C1183="IN",G1183=3),((('CAFCO 400 '!$D$23*(J1183^2)+'CAFCO 400 '!$D$24*(J1183)+'CAFCO 400 '!$D$25)*U1183^2)+(('CAFCO 400 '!$D$26*(J1183^2)+'CAFCO 400 '!$D$27*J1183+'CAFCO 400 '!$D$28)*U1183)+('CAFCO 400 '!$D$29*(J1183^2)+'CAFCO 400 '!$D$30*J1183+'CAFCO 400 '!$D$31)),0),0)+IF(AND(L1183="Cafco 300",J1183&gt;=95,J1183&lt;=240,C1183="Cj",I1183=90),VLOOKUP(T1183,'CAFCO 300 IDIEM TABLAS'!$B$4:$D$23,2,FALSE),0)+IF(AND(L1183="Cafco 300",J1183&gt;=95,J1183&lt;=240,C1183="Cj",I1183=120),VLOOKUP(T1183,'CAFCO 300 IDIEM TABLAS'!$B$4:$D$23,3,FALSE),0)+IF(AND(L1183="Cafco 300",J1183&gt;=95,J1183&lt;=400,G1183=3,C1183="IN",I1183=90),VLOOKUP(T1183,'CAFCO 300 IDIEM TABLAS'!$F$4:$H$35,2,FALSE),0)+IF(AND(L1183="Cafco 300",J1183&gt;=95,J1183&lt;=400,G1183=3,C1183="IN",I1183=120),VLOOKUP(T1183,'CAFCO 300 IDIEM TABLAS'!$F$4:$H$35,3,FALSE),0)+IF(AND(L1183="Cafco 300",J1183&gt;=95,J1183&lt;=450,G1183=4,C1183="IN",I1183=90),VLOOKUP(T1183,'CAFCO 300 IDIEM TABLAS'!$J$4:$L$40,2,FALSE),0)+IF(AND(L1183="Cafco 300",J1183&gt;=95,J1183&lt;=450,G1183=4,C1183="IN",I1183=120),VLOOKUP(T1183,'CAFCO 300 IDIEM TABLAS'!$J$4:$L$40,3,FALSE),0)+IF(AND(M1183="Ensayo Idiem",L1183="Cafco 400",C1183="IN",G1183=4,I1183=90),VLOOKUP(T1183,'CAFCO 400 ENSAYO'!$B$7:$D$43,2,FALSE),0)+IF(AND(M1183="Ensayo Idiem",L1183="Cafco 400",C1183="IN",G1183=4,I1183=120),VLOOKUP(T1183,'CAFCO 400 ENSAYO'!$B$7:$D$43,3,FALSE),0)</f>
        <v>0</v>
      </c>
      <c r="O1183" s="96">
        <f t="shared" si="120"/>
        <v>0</v>
      </c>
      <c r="P1183" s="132" t="str">
        <f t="shared" si="115"/>
        <v>N/A</v>
      </c>
      <c r="Q1183" s="132" t="str">
        <f t="shared" si="116"/>
        <v>N/A</v>
      </c>
      <c r="R1183" s="132" t="str">
        <f t="shared" si="117"/>
        <v>NO CERT.</v>
      </c>
      <c r="S1183" s="132" t="e">
        <f t="shared" si="118"/>
        <v>#N/A</v>
      </c>
      <c r="T1183" s="133" t="e">
        <f>+IF(J1183=LOOKUP(J1183,'CAFCO 300 IDIEM TABLAS'!$J$4:$J$40),'CALCULO MORTERO'!J1183,MROUND('CALCULO MORTERO'!J1183,10))</f>
        <v>#N/A</v>
      </c>
      <c r="U1183" s="134">
        <f t="shared" si="119"/>
        <v>0</v>
      </c>
    </row>
    <row r="1184" spans="1:21" x14ac:dyDescent="0.25">
      <c r="A1184" s="118">
        <f>+CUBICACION!D1178</f>
        <v>0</v>
      </c>
      <c r="B1184" s="819">
        <f>+CUBICACION!E1178</f>
        <v>0</v>
      </c>
      <c r="C1184" s="675">
        <f>+CUBICACION!F1178</f>
        <v>0</v>
      </c>
      <c r="D1184" s="118"/>
      <c r="E1184" s="118"/>
      <c r="F1184" s="820"/>
      <c r="G1184" s="675">
        <f>+CUBICACION!J1178</f>
        <v>0</v>
      </c>
      <c r="H1184" s="118"/>
      <c r="I1184" s="821">
        <f>+CUBICACION!L1178</f>
        <v>0</v>
      </c>
      <c r="J1184" s="64">
        <f>+CUBICACION!M1178</f>
        <v>0</v>
      </c>
      <c r="K1184" s="822" t="str">
        <f>+CUBICACION!N1178</f>
        <v/>
      </c>
      <c r="L1184" s="118">
        <f>+CUBICACION!O1178</f>
        <v>0</v>
      </c>
      <c r="M1184" s="823">
        <f>+CUBICACION!P1178</f>
        <v>0</v>
      </c>
      <c r="N1184" s="902">
        <f>ROUND(IF(AND(L1184="Blaze Shield II",M1184="Software Idiem",C1184="IN",G1184=4),((('BLAZE SHIELD II'!$D$4*('CALCULO MORTERO'!I1184^2)+'BLAZE SHIELD II'!$D$5*'CALCULO MORTERO'!I1184+'BLAZE SHIELD II'!$D$6)*LN(J1184))+('BLAZE SHIELD II'!$D$7*('CALCULO MORTERO'!I1184^2)+'BLAZE SHIELD II'!$D$8*'CALCULO MORTERO'!I1184+'BLAZE SHIELD II'!$D$9)),0)+IF(AND(L1184="Blaze Shield II",M1184="Software Idiem",C1184="Cj"),((('BLAZE SHIELD II'!$H$4*('CALCULO MORTERO'!I1184^2)+'BLAZE SHIELD II'!$H$5*'CALCULO MORTERO'!I1184+'BLAZE SHIELD II'!$H$6)*LN(J1184))+('BLAZE SHIELD II'!$H$7*('CALCULO MORTERO'!I1184^2)+'BLAZE SHIELD II'!$H$8*'CALCULO MORTERO'!I1184+'BLAZE SHIELD II'!$H$9)),0)+IF(AND(L1184="Blaze Shield II",M1184="Software Idiem",C1184="C"),((('BLAZE SHIELD II'!$L$4*('CALCULO MORTERO'!I1184^2)+'BLAZE SHIELD II'!$L$5*'CALCULO MORTERO'!I1184+'BLAZE SHIELD II'!$L$6)*LN(J1184))+('BLAZE SHIELD II'!$L$7*('CALCULO MORTERO'!I1184^2)+'BLAZE SHIELD II'!$L$8*'CALCULO MORTERO'!I1184+'BLAZE SHIELD II'!$L$9)),0)+IF(AND(L1184="Blaze Shield II",M1184="Software Idiem",C1184="L"),((('BLAZE SHIELD II'!$L$4*('CALCULO MORTERO'!I1184^2)+'BLAZE SHIELD II'!$L$5*'CALCULO MORTERO'!I1184+'BLAZE SHIELD II'!$L$6)*LN(J1184))+('BLAZE SHIELD II'!$L$7*('CALCULO MORTERO'!I1184^2)+'BLAZE SHIELD II'!$L$8*'CALCULO MORTERO'!I1184+'BLAZE SHIELD II'!$L$9)),0)+IF(AND(L1184="Blaze Shield II",M1184="Software Idiem",C1184="IN",G1184=3),((('BLAZE SHIELD II'!$H$14*('CALCULO MORTERO'!I1184^2)+'BLAZE SHIELD II'!$H$15*'CALCULO MORTERO'!I1184+'BLAZE SHIELD II'!$H$16)*LN(J1184))+('BLAZE SHIELD II'!$H$17*('CALCULO MORTERO'!I1184^2)+'BLAZE SHIELD II'!$H$18*'CALCULO MORTERO'!I1184+'BLAZE SHIELD II'!$H$19)),0),0)+ROUND(IF(AND(L1184="Cafco 400",M1184="Software Idiem",C1184="IN",G1184=4),((('CAFCO 400 '!$H$7*(J1184^4)+'CAFCO 400 '!$H$8*(J1184^3)+'CAFCO 400 '!$H$9*(J1184^2)+'CAFCO 400 '!$H$10*J1184+'CAFCO 400 '!$H$11)*U1184^2)+(('CAFCO 400 '!$H$12*(J1184^3)+'CAFCO 400 '!$H$13*(J1184^2)+'CAFCO 400 '!$H$14*J1184+'CAFCO 400 '!$H$15)*U1184)+('CAFCO 400 '!$H$16*(J1184^2)+'CAFCO 400 '!$H$17*J1184+'CAFCO 400 '!$H$18)),0)+IF(AND(L1184="Cafco 400",M1184="Software Idiem",C1184="Cj"),(((('CAFCO 400 '!$D$7*LN(J1184)+'CAFCO 400 '!$D$8)*U1184^2)+(('CAFCO 400 '!$D$9*LN(J1184)+'CAFCO 400 '!$D$10)*U1184)+('CAFCO 400 '!$D$11*LN(J1184)+'CAFCO 400 '!$D$12))),0)+IF(AND(L1184="Cafco 400",M1184="Software Idiem",C1184="C"),((('CAFCO 400 '!$L$7*(J1184^3)+'CAFCO 400 '!$L$8*(J1184^2)+'CAFCO 400 '!$L$9*J1184+'CAFCO 400 '!$L$10)*U1184^2)+(('CAFCO 400 '!$L$11*(J1184^3)+'CAFCO 400 '!$L$12*(J1184^2)+'CAFCO 400 '!$L$13*J1184+'CAFCO 400 '!$L$14)*U1184)+('CAFCO 400 '!$L$15*LN(J1184)+'CAFCO 400 '!$L$16)),0)+IF(AND(L1184="Cafco 400",M1184="Software Idiem",C1184="L"),((('CAFCO 400 '!$L$7*(J1184^3)+'CAFCO 400 '!$L$8*(J1184^2)+'CAFCO 400 '!$L$9*J1184+'CAFCO 400 '!$L$10)*U1184^2)+(('CAFCO 400 '!$L$11*(J1184^3)+'CAFCO 400 '!$L$12*(J1184^2)+'CAFCO 400 '!$L$13*J1184+'CAFCO 400 '!$L$14)*U1184)+('CAFCO 400 '!$L$15*LN(J1184)+'CAFCO 400 '!$L$16)),0)+IF(AND(L1184="Cafco 400",M1184="Software Idiem",C1184="IN",G1184=3),((('CAFCO 400 '!$D$23*(J1184^2)+'CAFCO 400 '!$D$24*(J1184)+'CAFCO 400 '!$D$25)*U1184^2)+(('CAFCO 400 '!$D$26*(J1184^2)+'CAFCO 400 '!$D$27*J1184+'CAFCO 400 '!$D$28)*U1184)+('CAFCO 400 '!$D$29*(J1184^2)+'CAFCO 400 '!$D$30*J1184+'CAFCO 400 '!$D$31)),0),0)+IF(AND(L1184="Cafco 300",J1184&gt;=95,J1184&lt;=240,C1184="Cj",I1184=90),VLOOKUP(T1184,'CAFCO 300 IDIEM TABLAS'!$B$4:$D$23,2,FALSE),0)+IF(AND(L1184="Cafco 300",J1184&gt;=95,J1184&lt;=240,C1184="Cj",I1184=120),VLOOKUP(T1184,'CAFCO 300 IDIEM TABLAS'!$B$4:$D$23,3,FALSE),0)+IF(AND(L1184="Cafco 300",J1184&gt;=95,J1184&lt;=400,G1184=3,C1184="IN",I1184=90),VLOOKUP(T1184,'CAFCO 300 IDIEM TABLAS'!$F$4:$H$35,2,FALSE),0)+IF(AND(L1184="Cafco 300",J1184&gt;=95,J1184&lt;=400,G1184=3,C1184="IN",I1184=120),VLOOKUP(T1184,'CAFCO 300 IDIEM TABLAS'!$F$4:$H$35,3,FALSE),0)+IF(AND(L1184="Cafco 300",J1184&gt;=95,J1184&lt;=450,G1184=4,C1184="IN",I1184=90),VLOOKUP(T1184,'CAFCO 300 IDIEM TABLAS'!$J$4:$L$40,2,FALSE),0)+IF(AND(L1184="Cafco 300",J1184&gt;=95,J1184&lt;=450,G1184=4,C1184="IN",I1184=120),VLOOKUP(T1184,'CAFCO 300 IDIEM TABLAS'!$J$4:$L$40,3,FALSE),0)+IF(AND(M1184="Ensayo Idiem",L1184="Cafco 400",C1184="IN",G1184=4,I1184=90),VLOOKUP(T1184,'CAFCO 400 ENSAYO'!$B$7:$D$43,2,FALSE),0)+IF(AND(M1184="Ensayo Idiem",L1184="Cafco 400",C1184="IN",G1184=4,I1184=120),VLOOKUP(T1184,'CAFCO 400 ENSAYO'!$B$7:$D$43,3,FALSE),0)</f>
        <v>0</v>
      </c>
      <c r="O1184" s="96">
        <f t="shared" si="120"/>
        <v>0</v>
      </c>
      <c r="P1184" s="95" t="str">
        <f t="shared" si="115"/>
        <v>N/A</v>
      </c>
      <c r="Q1184" s="95" t="str">
        <f t="shared" si="116"/>
        <v>N/A</v>
      </c>
      <c r="R1184" s="95" t="str">
        <f t="shared" si="117"/>
        <v>NO CERT.</v>
      </c>
      <c r="S1184" s="95" t="e">
        <f t="shared" si="118"/>
        <v>#N/A</v>
      </c>
      <c r="T1184" s="119" t="e">
        <f>+IF(J1184=LOOKUP(J1184,'CAFCO 300 IDIEM TABLAS'!$J$4:$J$40),'CALCULO MORTERO'!J1184,MROUND('CALCULO MORTERO'!J1184,10))</f>
        <v>#N/A</v>
      </c>
      <c r="U1184" s="118">
        <f t="shared" si="119"/>
        <v>0</v>
      </c>
    </row>
    <row r="1185" spans="1:21" x14ac:dyDescent="0.25">
      <c r="A1185" s="118">
        <f>+CUBICACION!D1179</f>
        <v>0</v>
      </c>
      <c r="B1185" s="819">
        <f>+CUBICACION!E1179</f>
        <v>0</v>
      </c>
      <c r="C1185" s="675">
        <f>+CUBICACION!F1179</f>
        <v>0</v>
      </c>
      <c r="D1185" s="118"/>
      <c r="E1185" s="118"/>
      <c r="F1185" s="820"/>
      <c r="G1185" s="675">
        <f>+CUBICACION!J1179</f>
        <v>0</v>
      </c>
      <c r="H1185" s="118"/>
      <c r="I1185" s="821">
        <f>+CUBICACION!L1179</f>
        <v>0</v>
      </c>
      <c r="J1185" s="64">
        <f>+CUBICACION!M1179</f>
        <v>0</v>
      </c>
      <c r="K1185" s="822" t="str">
        <f>+CUBICACION!N1179</f>
        <v/>
      </c>
      <c r="L1185" s="118">
        <f>+CUBICACION!O1179</f>
        <v>0</v>
      </c>
      <c r="M1185" s="823">
        <f>+CUBICACION!P1179</f>
        <v>0</v>
      </c>
      <c r="N1185" s="902">
        <f>ROUND(IF(AND(L1185="Blaze Shield II",M1185="Software Idiem",C1185="IN",G1185=4),((('BLAZE SHIELD II'!$D$4*('CALCULO MORTERO'!I1185^2)+'BLAZE SHIELD II'!$D$5*'CALCULO MORTERO'!I1185+'BLAZE SHIELD II'!$D$6)*LN(J1185))+('BLAZE SHIELD II'!$D$7*('CALCULO MORTERO'!I1185^2)+'BLAZE SHIELD II'!$D$8*'CALCULO MORTERO'!I1185+'BLAZE SHIELD II'!$D$9)),0)+IF(AND(L1185="Blaze Shield II",M1185="Software Idiem",C1185="Cj"),((('BLAZE SHIELD II'!$H$4*('CALCULO MORTERO'!I1185^2)+'BLAZE SHIELD II'!$H$5*'CALCULO MORTERO'!I1185+'BLAZE SHIELD II'!$H$6)*LN(J1185))+('BLAZE SHIELD II'!$H$7*('CALCULO MORTERO'!I1185^2)+'BLAZE SHIELD II'!$H$8*'CALCULO MORTERO'!I1185+'BLAZE SHIELD II'!$H$9)),0)+IF(AND(L1185="Blaze Shield II",M1185="Software Idiem",C1185="C"),((('BLAZE SHIELD II'!$L$4*('CALCULO MORTERO'!I1185^2)+'BLAZE SHIELD II'!$L$5*'CALCULO MORTERO'!I1185+'BLAZE SHIELD II'!$L$6)*LN(J1185))+('BLAZE SHIELD II'!$L$7*('CALCULO MORTERO'!I1185^2)+'BLAZE SHIELD II'!$L$8*'CALCULO MORTERO'!I1185+'BLAZE SHIELD II'!$L$9)),0)+IF(AND(L1185="Blaze Shield II",M1185="Software Idiem",C1185="L"),((('BLAZE SHIELD II'!$L$4*('CALCULO MORTERO'!I1185^2)+'BLAZE SHIELD II'!$L$5*'CALCULO MORTERO'!I1185+'BLAZE SHIELD II'!$L$6)*LN(J1185))+('BLAZE SHIELD II'!$L$7*('CALCULO MORTERO'!I1185^2)+'BLAZE SHIELD II'!$L$8*'CALCULO MORTERO'!I1185+'BLAZE SHIELD II'!$L$9)),0)+IF(AND(L1185="Blaze Shield II",M1185="Software Idiem",C1185="IN",G1185=3),((('BLAZE SHIELD II'!$H$14*('CALCULO MORTERO'!I1185^2)+'BLAZE SHIELD II'!$H$15*'CALCULO MORTERO'!I1185+'BLAZE SHIELD II'!$H$16)*LN(J1185))+('BLAZE SHIELD II'!$H$17*('CALCULO MORTERO'!I1185^2)+'BLAZE SHIELD II'!$H$18*'CALCULO MORTERO'!I1185+'BLAZE SHIELD II'!$H$19)),0),0)+ROUND(IF(AND(L1185="Cafco 400",M1185="Software Idiem",C1185="IN",G1185=4),((('CAFCO 400 '!$H$7*(J1185^4)+'CAFCO 400 '!$H$8*(J1185^3)+'CAFCO 400 '!$H$9*(J1185^2)+'CAFCO 400 '!$H$10*J1185+'CAFCO 400 '!$H$11)*U1185^2)+(('CAFCO 400 '!$H$12*(J1185^3)+'CAFCO 400 '!$H$13*(J1185^2)+'CAFCO 400 '!$H$14*J1185+'CAFCO 400 '!$H$15)*U1185)+('CAFCO 400 '!$H$16*(J1185^2)+'CAFCO 400 '!$H$17*J1185+'CAFCO 400 '!$H$18)),0)+IF(AND(L1185="Cafco 400",M1185="Software Idiem",C1185="Cj"),(((('CAFCO 400 '!$D$7*LN(J1185)+'CAFCO 400 '!$D$8)*U1185^2)+(('CAFCO 400 '!$D$9*LN(J1185)+'CAFCO 400 '!$D$10)*U1185)+('CAFCO 400 '!$D$11*LN(J1185)+'CAFCO 400 '!$D$12))),0)+IF(AND(L1185="Cafco 400",M1185="Software Idiem",C1185="C"),((('CAFCO 400 '!$L$7*(J1185^3)+'CAFCO 400 '!$L$8*(J1185^2)+'CAFCO 400 '!$L$9*J1185+'CAFCO 400 '!$L$10)*U1185^2)+(('CAFCO 400 '!$L$11*(J1185^3)+'CAFCO 400 '!$L$12*(J1185^2)+'CAFCO 400 '!$L$13*J1185+'CAFCO 400 '!$L$14)*U1185)+('CAFCO 400 '!$L$15*LN(J1185)+'CAFCO 400 '!$L$16)),0)+IF(AND(L1185="Cafco 400",M1185="Software Idiem",C1185="L"),((('CAFCO 400 '!$L$7*(J1185^3)+'CAFCO 400 '!$L$8*(J1185^2)+'CAFCO 400 '!$L$9*J1185+'CAFCO 400 '!$L$10)*U1185^2)+(('CAFCO 400 '!$L$11*(J1185^3)+'CAFCO 400 '!$L$12*(J1185^2)+'CAFCO 400 '!$L$13*J1185+'CAFCO 400 '!$L$14)*U1185)+('CAFCO 400 '!$L$15*LN(J1185)+'CAFCO 400 '!$L$16)),0)+IF(AND(L1185="Cafco 400",M1185="Software Idiem",C1185="IN",G1185=3),((('CAFCO 400 '!$D$23*(J1185^2)+'CAFCO 400 '!$D$24*(J1185)+'CAFCO 400 '!$D$25)*U1185^2)+(('CAFCO 400 '!$D$26*(J1185^2)+'CAFCO 400 '!$D$27*J1185+'CAFCO 400 '!$D$28)*U1185)+('CAFCO 400 '!$D$29*(J1185^2)+'CAFCO 400 '!$D$30*J1185+'CAFCO 400 '!$D$31)),0),0)+IF(AND(L1185="Cafco 300",J1185&gt;=95,J1185&lt;=240,C1185="Cj",I1185=90),VLOOKUP(T1185,'CAFCO 300 IDIEM TABLAS'!$B$4:$D$23,2,FALSE),0)+IF(AND(L1185="Cafco 300",J1185&gt;=95,J1185&lt;=240,C1185="Cj",I1185=120),VLOOKUP(T1185,'CAFCO 300 IDIEM TABLAS'!$B$4:$D$23,3,FALSE),0)+IF(AND(L1185="Cafco 300",J1185&gt;=95,J1185&lt;=400,G1185=3,C1185="IN",I1185=90),VLOOKUP(T1185,'CAFCO 300 IDIEM TABLAS'!$F$4:$H$35,2,FALSE),0)+IF(AND(L1185="Cafco 300",J1185&gt;=95,J1185&lt;=400,G1185=3,C1185="IN",I1185=120),VLOOKUP(T1185,'CAFCO 300 IDIEM TABLAS'!$F$4:$H$35,3,FALSE),0)+IF(AND(L1185="Cafco 300",J1185&gt;=95,J1185&lt;=450,G1185=4,C1185="IN",I1185=90),VLOOKUP(T1185,'CAFCO 300 IDIEM TABLAS'!$J$4:$L$40,2,FALSE),0)+IF(AND(L1185="Cafco 300",J1185&gt;=95,J1185&lt;=450,G1185=4,C1185="IN",I1185=120),VLOOKUP(T1185,'CAFCO 300 IDIEM TABLAS'!$J$4:$L$40,3,FALSE),0)+IF(AND(M1185="Ensayo Idiem",L1185="Cafco 400",C1185="IN",G1185=4,I1185=90),VLOOKUP(T1185,'CAFCO 400 ENSAYO'!$B$7:$D$43,2,FALSE),0)+IF(AND(M1185="Ensayo Idiem",L1185="Cafco 400",C1185="IN",G1185=4,I1185=120),VLOOKUP(T1185,'CAFCO 400 ENSAYO'!$B$7:$D$43,3,FALSE),0)</f>
        <v>0</v>
      </c>
      <c r="O1185" s="96">
        <f t="shared" si="120"/>
        <v>0</v>
      </c>
      <c r="P1185" s="132" t="str">
        <f t="shared" si="115"/>
        <v>N/A</v>
      </c>
      <c r="Q1185" s="132" t="str">
        <f t="shared" si="116"/>
        <v>N/A</v>
      </c>
      <c r="R1185" s="132" t="str">
        <f t="shared" si="117"/>
        <v>NO CERT.</v>
      </c>
      <c r="S1185" s="132" t="e">
        <f t="shared" si="118"/>
        <v>#N/A</v>
      </c>
      <c r="T1185" s="133" t="e">
        <f>+IF(J1185=LOOKUP(J1185,'CAFCO 300 IDIEM TABLAS'!$J$4:$J$40),'CALCULO MORTERO'!J1185,MROUND('CALCULO MORTERO'!J1185,10))</f>
        <v>#N/A</v>
      </c>
      <c r="U1185" s="134">
        <f t="shared" si="119"/>
        <v>0</v>
      </c>
    </row>
    <row r="1186" spans="1:21" x14ac:dyDescent="0.25">
      <c r="A1186" s="118">
        <f>+CUBICACION!D1180</f>
        <v>0</v>
      </c>
      <c r="B1186" s="819">
        <f>+CUBICACION!E1180</f>
        <v>0</v>
      </c>
      <c r="C1186" s="675">
        <f>+CUBICACION!F1180</f>
        <v>0</v>
      </c>
      <c r="D1186" s="118"/>
      <c r="E1186" s="118"/>
      <c r="F1186" s="820"/>
      <c r="G1186" s="675">
        <f>+CUBICACION!J1180</f>
        <v>0</v>
      </c>
      <c r="H1186" s="118"/>
      <c r="I1186" s="821">
        <f>+CUBICACION!L1180</f>
        <v>0</v>
      </c>
      <c r="J1186" s="64">
        <f>+CUBICACION!M1180</f>
        <v>0</v>
      </c>
      <c r="K1186" s="822" t="str">
        <f>+CUBICACION!N1180</f>
        <v/>
      </c>
      <c r="L1186" s="118">
        <f>+CUBICACION!O1180</f>
        <v>0</v>
      </c>
      <c r="M1186" s="823">
        <f>+CUBICACION!P1180</f>
        <v>0</v>
      </c>
      <c r="N1186" s="902">
        <f>ROUND(IF(AND(L1186="Blaze Shield II",M1186="Software Idiem",C1186="IN",G1186=4),((('BLAZE SHIELD II'!$D$4*('CALCULO MORTERO'!I1186^2)+'BLAZE SHIELD II'!$D$5*'CALCULO MORTERO'!I1186+'BLAZE SHIELD II'!$D$6)*LN(J1186))+('BLAZE SHIELD II'!$D$7*('CALCULO MORTERO'!I1186^2)+'BLAZE SHIELD II'!$D$8*'CALCULO MORTERO'!I1186+'BLAZE SHIELD II'!$D$9)),0)+IF(AND(L1186="Blaze Shield II",M1186="Software Idiem",C1186="Cj"),((('BLAZE SHIELD II'!$H$4*('CALCULO MORTERO'!I1186^2)+'BLAZE SHIELD II'!$H$5*'CALCULO MORTERO'!I1186+'BLAZE SHIELD II'!$H$6)*LN(J1186))+('BLAZE SHIELD II'!$H$7*('CALCULO MORTERO'!I1186^2)+'BLAZE SHIELD II'!$H$8*'CALCULO MORTERO'!I1186+'BLAZE SHIELD II'!$H$9)),0)+IF(AND(L1186="Blaze Shield II",M1186="Software Idiem",C1186="C"),((('BLAZE SHIELD II'!$L$4*('CALCULO MORTERO'!I1186^2)+'BLAZE SHIELD II'!$L$5*'CALCULO MORTERO'!I1186+'BLAZE SHIELD II'!$L$6)*LN(J1186))+('BLAZE SHIELD II'!$L$7*('CALCULO MORTERO'!I1186^2)+'BLAZE SHIELD II'!$L$8*'CALCULO MORTERO'!I1186+'BLAZE SHIELD II'!$L$9)),0)+IF(AND(L1186="Blaze Shield II",M1186="Software Idiem",C1186="L"),((('BLAZE SHIELD II'!$L$4*('CALCULO MORTERO'!I1186^2)+'BLAZE SHIELD II'!$L$5*'CALCULO MORTERO'!I1186+'BLAZE SHIELD II'!$L$6)*LN(J1186))+('BLAZE SHIELD II'!$L$7*('CALCULO MORTERO'!I1186^2)+'BLAZE SHIELD II'!$L$8*'CALCULO MORTERO'!I1186+'BLAZE SHIELD II'!$L$9)),0)+IF(AND(L1186="Blaze Shield II",M1186="Software Idiem",C1186="IN",G1186=3),((('BLAZE SHIELD II'!$H$14*('CALCULO MORTERO'!I1186^2)+'BLAZE SHIELD II'!$H$15*'CALCULO MORTERO'!I1186+'BLAZE SHIELD II'!$H$16)*LN(J1186))+('BLAZE SHIELD II'!$H$17*('CALCULO MORTERO'!I1186^2)+'BLAZE SHIELD II'!$H$18*'CALCULO MORTERO'!I1186+'BLAZE SHIELD II'!$H$19)),0),0)+ROUND(IF(AND(L1186="Cafco 400",M1186="Software Idiem",C1186="IN",G1186=4),((('CAFCO 400 '!$H$7*(J1186^4)+'CAFCO 400 '!$H$8*(J1186^3)+'CAFCO 400 '!$H$9*(J1186^2)+'CAFCO 400 '!$H$10*J1186+'CAFCO 400 '!$H$11)*U1186^2)+(('CAFCO 400 '!$H$12*(J1186^3)+'CAFCO 400 '!$H$13*(J1186^2)+'CAFCO 400 '!$H$14*J1186+'CAFCO 400 '!$H$15)*U1186)+('CAFCO 400 '!$H$16*(J1186^2)+'CAFCO 400 '!$H$17*J1186+'CAFCO 400 '!$H$18)),0)+IF(AND(L1186="Cafco 400",M1186="Software Idiem",C1186="Cj"),(((('CAFCO 400 '!$D$7*LN(J1186)+'CAFCO 400 '!$D$8)*U1186^2)+(('CAFCO 400 '!$D$9*LN(J1186)+'CAFCO 400 '!$D$10)*U1186)+('CAFCO 400 '!$D$11*LN(J1186)+'CAFCO 400 '!$D$12))),0)+IF(AND(L1186="Cafco 400",M1186="Software Idiem",C1186="C"),((('CAFCO 400 '!$L$7*(J1186^3)+'CAFCO 400 '!$L$8*(J1186^2)+'CAFCO 400 '!$L$9*J1186+'CAFCO 400 '!$L$10)*U1186^2)+(('CAFCO 400 '!$L$11*(J1186^3)+'CAFCO 400 '!$L$12*(J1186^2)+'CAFCO 400 '!$L$13*J1186+'CAFCO 400 '!$L$14)*U1186)+('CAFCO 400 '!$L$15*LN(J1186)+'CAFCO 400 '!$L$16)),0)+IF(AND(L1186="Cafco 400",M1186="Software Idiem",C1186="L"),((('CAFCO 400 '!$L$7*(J1186^3)+'CAFCO 400 '!$L$8*(J1186^2)+'CAFCO 400 '!$L$9*J1186+'CAFCO 400 '!$L$10)*U1186^2)+(('CAFCO 400 '!$L$11*(J1186^3)+'CAFCO 400 '!$L$12*(J1186^2)+'CAFCO 400 '!$L$13*J1186+'CAFCO 400 '!$L$14)*U1186)+('CAFCO 400 '!$L$15*LN(J1186)+'CAFCO 400 '!$L$16)),0)+IF(AND(L1186="Cafco 400",M1186="Software Idiem",C1186="IN",G1186=3),((('CAFCO 400 '!$D$23*(J1186^2)+'CAFCO 400 '!$D$24*(J1186)+'CAFCO 400 '!$D$25)*U1186^2)+(('CAFCO 400 '!$D$26*(J1186^2)+'CAFCO 400 '!$D$27*J1186+'CAFCO 400 '!$D$28)*U1186)+('CAFCO 400 '!$D$29*(J1186^2)+'CAFCO 400 '!$D$30*J1186+'CAFCO 400 '!$D$31)),0),0)+IF(AND(L1186="Cafco 300",J1186&gt;=95,J1186&lt;=240,C1186="Cj",I1186=90),VLOOKUP(T1186,'CAFCO 300 IDIEM TABLAS'!$B$4:$D$23,2,FALSE),0)+IF(AND(L1186="Cafco 300",J1186&gt;=95,J1186&lt;=240,C1186="Cj",I1186=120),VLOOKUP(T1186,'CAFCO 300 IDIEM TABLAS'!$B$4:$D$23,3,FALSE),0)+IF(AND(L1186="Cafco 300",J1186&gt;=95,J1186&lt;=400,G1186=3,C1186="IN",I1186=90),VLOOKUP(T1186,'CAFCO 300 IDIEM TABLAS'!$F$4:$H$35,2,FALSE),0)+IF(AND(L1186="Cafco 300",J1186&gt;=95,J1186&lt;=400,G1186=3,C1186="IN",I1186=120),VLOOKUP(T1186,'CAFCO 300 IDIEM TABLAS'!$F$4:$H$35,3,FALSE),0)+IF(AND(L1186="Cafco 300",J1186&gt;=95,J1186&lt;=450,G1186=4,C1186="IN",I1186=90),VLOOKUP(T1186,'CAFCO 300 IDIEM TABLAS'!$J$4:$L$40,2,FALSE),0)+IF(AND(L1186="Cafco 300",J1186&gt;=95,J1186&lt;=450,G1186=4,C1186="IN",I1186=120),VLOOKUP(T1186,'CAFCO 300 IDIEM TABLAS'!$J$4:$L$40,3,FALSE),0)+IF(AND(M1186="Ensayo Idiem",L1186="Cafco 400",C1186="IN",G1186=4,I1186=90),VLOOKUP(T1186,'CAFCO 400 ENSAYO'!$B$7:$D$43,2,FALSE),0)+IF(AND(M1186="Ensayo Idiem",L1186="Cafco 400",C1186="IN",G1186=4,I1186=120),VLOOKUP(T1186,'CAFCO 400 ENSAYO'!$B$7:$D$43,3,FALSE),0)</f>
        <v>0</v>
      </c>
      <c r="O1186" s="96">
        <f t="shared" si="120"/>
        <v>0</v>
      </c>
      <c r="P1186" s="95" t="str">
        <f t="shared" si="115"/>
        <v>N/A</v>
      </c>
      <c r="Q1186" s="95" t="str">
        <f t="shared" si="116"/>
        <v>N/A</v>
      </c>
      <c r="R1186" s="95" t="str">
        <f t="shared" si="117"/>
        <v>NO CERT.</v>
      </c>
      <c r="S1186" s="95" t="e">
        <f t="shared" si="118"/>
        <v>#N/A</v>
      </c>
      <c r="T1186" s="119" t="e">
        <f>+IF(J1186=LOOKUP(J1186,'CAFCO 300 IDIEM TABLAS'!$J$4:$J$40),'CALCULO MORTERO'!J1186,MROUND('CALCULO MORTERO'!J1186,10))</f>
        <v>#N/A</v>
      </c>
      <c r="U1186" s="118">
        <f t="shared" si="119"/>
        <v>0</v>
      </c>
    </row>
    <row r="1187" spans="1:21" x14ac:dyDescent="0.25">
      <c r="A1187" s="118">
        <f>+CUBICACION!D1181</f>
        <v>0</v>
      </c>
      <c r="B1187" s="819">
        <f>+CUBICACION!E1181</f>
        <v>0</v>
      </c>
      <c r="C1187" s="675">
        <f>+CUBICACION!F1181</f>
        <v>0</v>
      </c>
      <c r="D1187" s="118"/>
      <c r="E1187" s="118"/>
      <c r="F1187" s="820"/>
      <c r="G1187" s="675">
        <f>+CUBICACION!J1181</f>
        <v>0</v>
      </c>
      <c r="H1187" s="118"/>
      <c r="I1187" s="821">
        <f>+CUBICACION!L1181</f>
        <v>0</v>
      </c>
      <c r="J1187" s="64">
        <f>+CUBICACION!M1181</f>
        <v>0</v>
      </c>
      <c r="K1187" s="822" t="str">
        <f>+CUBICACION!N1181</f>
        <v/>
      </c>
      <c r="L1187" s="118">
        <f>+CUBICACION!O1181</f>
        <v>0</v>
      </c>
      <c r="M1187" s="823">
        <f>+CUBICACION!P1181</f>
        <v>0</v>
      </c>
      <c r="N1187" s="902">
        <f>ROUND(IF(AND(L1187="Blaze Shield II",M1187="Software Idiem",C1187="IN",G1187=4),((('BLAZE SHIELD II'!$D$4*('CALCULO MORTERO'!I1187^2)+'BLAZE SHIELD II'!$D$5*'CALCULO MORTERO'!I1187+'BLAZE SHIELD II'!$D$6)*LN(J1187))+('BLAZE SHIELD II'!$D$7*('CALCULO MORTERO'!I1187^2)+'BLAZE SHIELD II'!$D$8*'CALCULO MORTERO'!I1187+'BLAZE SHIELD II'!$D$9)),0)+IF(AND(L1187="Blaze Shield II",M1187="Software Idiem",C1187="Cj"),((('BLAZE SHIELD II'!$H$4*('CALCULO MORTERO'!I1187^2)+'BLAZE SHIELD II'!$H$5*'CALCULO MORTERO'!I1187+'BLAZE SHIELD II'!$H$6)*LN(J1187))+('BLAZE SHIELD II'!$H$7*('CALCULO MORTERO'!I1187^2)+'BLAZE SHIELD II'!$H$8*'CALCULO MORTERO'!I1187+'BLAZE SHIELD II'!$H$9)),0)+IF(AND(L1187="Blaze Shield II",M1187="Software Idiem",C1187="C"),((('BLAZE SHIELD II'!$L$4*('CALCULO MORTERO'!I1187^2)+'BLAZE SHIELD II'!$L$5*'CALCULO MORTERO'!I1187+'BLAZE SHIELD II'!$L$6)*LN(J1187))+('BLAZE SHIELD II'!$L$7*('CALCULO MORTERO'!I1187^2)+'BLAZE SHIELD II'!$L$8*'CALCULO MORTERO'!I1187+'BLAZE SHIELD II'!$L$9)),0)+IF(AND(L1187="Blaze Shield II",M1187="Software Idiem",C1187="L"),((('BLAZE SHIELD II'!$L$4*('CALCULO MORTERO'!I1187^2)+'BLAZE SHIELD II'!$L$5*'CALCULO MORTERO'!I1187+'BLAZE SHIELD II'!$L$6)*LN(J1187))+('BLAZE SHIELD II'!$L$7*('CALCULO MORTERO'!I1187^2)+'BLAZE SHIELD II'!$L$8*'CALCULO MORTERO'!I1187+'BLAZE SHIELD II'!$L$9)),0)+IF(AND(L1187="Blaze Shield II",M1187="Software Idiem",C1187="IN",G1187=3),((('BLAZE SHIELD II'!$H$14*('CALCULO MORTERO'!I1187^2)+'BLAZE SHIELD II'!$H$15*'CALCULO MORTERO'!I1187+'BLAZE SHIELD II'!$H$16)*LN(J1187))+('BLAZE SHIELD II'!$H$17*('CALCULO MORTERO'!I1187^2)+'BLAZE SHIELD II'!$H$18*'CALCULO MORTERO'!I1187+'BLAZE SHIELD II'!$H$19)),0),0)+ROUND(IF(AND(L1187="Cafco 400",M1187="Software Idiem",C1187="IN",G1187=4),((('CAFCO 400 '!$H$7*(J1187^4)+'CAFCO 400 '!$H$8*(J1187^3)+'CAFCO 400 '!$H$9*(J1187^2)+'CAFCO 400 '!$H$10*J1187+'CAFCO 400 '!$H$11)*U1187^2)+(('CAFCO 400 '!$H$12*(J1187^3)+'CAFCO 400 '!$H$13*(J1187^2)+'CAFCO 400 '!$H$14*J1187+'CAFCO 400 '!$H$15)*U1187)+('CAFCO 400 '!$H$16*(J1187^2)+'CAFCO 400 '!$H$17*J1187+'CAFCO 400 '!$H$18)),0)+IF(AND(L1187="Cafco 400",M1187="Software Idiem",C1187="Cj"),(((('CAFCO 400 '!$D$7*LN(J1187)+'CAFCO 400 '!$D$8)*U1187^2)+(('CAFCO 400 '!$D$9*LN(J1187)+'CAFCO 400 '!$D$10)*U1187)+('CAFCO 400 '!$D$11*LN(J1187)+'CAFCO 400 '!$D$12))),0)+IF(AND(L1187="Cafco 400",M1187="Software Idiem",C1187="C"),((('CAFCO 400 '!$L$7*(J1187^3)+'CAFCO 400 '!$L$8*(J1187^2)+'CAFCO 400 '!$L$9*J1187+'CAFCO 400 '!$L$10)*U1187^2)+(('CAFCO 400 '!$L$11*(J1187^3)+'CAFCO 400 '!$L$12*(J1187^2)+'CAFCO 400 '!$L$13*J1187+'CAFCO 400 '!$L$14)*U1187)+('CAFCO 400 '!$L$15*LN(J1187)+'CAFCO 400 '!$L$16)),0)+IF(AND(L1187="Cafco 400",M1187="Software Idiem",C1187="L"),((('CAFCO 400 '!$L$7*(J1187^3)+'CAFCO 400 '!$L$8*(J1187^2)+'CAFCO 400 '!$L$9*J1187+'CAFCO 400 '!$L$10)*U1187^2)+(('CAFCO 400 '!$L$11*(J1187^3)+'CAFCO 400 '!$L$12*(J1187^2)+'CAFCO 400 '!$L$13*J1187+'CAFCO 400 '!$L$14)*U1187)+('CAFCO 400 '!$L$15*LN(J1187)+'CAFCO 400 '!$L$16)),0)+IF(AND(L1187="Cafco 400",M1187="Software Idiem",C1187="IN",G1187=3),((('CAFCO 400 '!$D$23*(J1187^2)+'CAFCO 400 '!$D$24*(J1187)+'CAFCO 400 '!$D$25)*U1187^2)+(('CAFCO 400 '!$D$26*(J1187^2)+'CAFCO 400 '!$D$27*J1187+'CAFCO 400 '!$D$28)*U1187)+('CAFCO 400 '!$D$29*(J1187^2)+'CAFCO 400 '!$D$30*J1187+'CAFCO 400 '!$D$31)),0),0)+IF(AND(L1187="Cafco 300",J1187&gt;=95,J1187&lt;=240,C1187="Cj",I1187=90),VLOOKUP(T1187,'CAFCO 300 IDIEM TABLAS'!$B$4:$D$23,2,FALSE),0)+IF(AND(L1187="Cafco 300",J1187&gt;=95,J1187&lt;=240,C1187="Cj",I1187=120),VLOOKUP(T1187,'CAFCO 300 IDIEM TABLAS'!$B$4:$D$23,3,FALSE),0)+IF(AND(L1187="Cafco 300",J1187&gt;=95,J1187&lt;=400,G1187=3,C1187="IN",I1187=90),VLOOKUP(T1187,'CAFCO 300 IDIEM TABLAS'!$F$4:$H$35,2,FALSE),0)+IF(AND(L1187="Cafco 300",J1187&gt;=95,J1187&lt;=400,G1187=3,C1187="IN",I1187=120),VLOOKUP(T1187,'CAFCO 300 IDIEM TABLAS'!$F$4:$H$35,3,FALSE),0)+IF(AND(L1187="Cafco 300",J1187&gt;=95,J1187&lt;=450,G1187=4,C1187="IN",I1187=90),VLOOKUP(T1187,'CAFCO 300 IDIEM TABLAS'!$J$4:$L$40,2,FALSE),0)+IF(AND(L1187="Cafco 300",J1187&gt;=95,J1187&lt;=450,G1187=4,C1187="IN",I1187=120),VLOOKUP(T1187,'CAFCO 300 IDIEM TABLAS'!$J$4:$L$40,3,FALSE),0)+IF(AND(M1187="Ensayo Idiem",L1187="Cafco 400",C1187="IN",G1187=4,I1187=90),VLOOKUP(T1187,'CAFCO 400 ENSAYO'!$B$7:$D$43,2,FALSE),0)+IF(AND(M1187="Ensayo Idiem",L1187="Cafco 400",C1187="IN",G1187=4,I1187=120),VLOOKUP(T1187,'CAFCO 400 ENSAYO'!$B$7:$D$43,3,FALSE),0)</f>
        <v>0</v>
      </c>
      <c r="O1187" s="96">
        <f t="shared" si="120"/>
        <v>0</v>
      </c>
      <c r="P1187" s="132" t="str">
        <f t="shared" si="115"/>
        <v>N/A</v>
      </c>
      <c r="Q1187" s="132" t="str">
        <f t="shared" si="116"/>
        <v>N/A</v>
      </c>
      <c r="R1187" s="132" t="str">
        <f t="shared" si="117"/>
        <v>NO CERT.</v>
      </c>
      <c r="S1187" s="132" t="e">
        <f t="shared" si="118"/>
        <v>#N/A</v>
      </c>
      <c r="T1187" s="133" t="e">
        <f>+IF(J1187=LOOKUP(J1187,'CAFCO 300 IDIEM TABLAS'!$J$4:$J$40),'CALCULO MORTERO'!J1187,MROUND('CALCULO MORTERO'!J1187,10))</f>
        <v>#N/A</v>
      </c>
      <c r="U1187" s="134">
        <f t="shared" si="119"/>
        <v>0</v>
      </c>
    </row>
    <row r="1188" spans="1:21" x14ac:dyDescent="0.25">
      <c r="A1188" s="118">
        <f>+CUBICACION!D1182</f>
        <v>0</v>
      </c>
      <c r="B1188" s="819">
        <f>+CUBICACION!E1182</f>
        <v>0</v>
      </c>
      <c r="C1188" s="675">
        <f>+CUBICACION!F1182</f>
        <v>0</v>
      </c>
      <c r="D1188" s="118"/>
      <c r="E1188" s="118"/>
      <c r="F1188" s="820"/>
      <c r="G1188" s="675">
        <f>+CUBICACION!J1182</f>
        <v>0</v>
      </c>
      <c r="H1188" s="118"/>
      <c r="I1188" s="821">
        <f>+CUBICACION!L1182</f>
        <v>0</v>
      </c>
      <c r="J1188" s="64">
        <f>+CUBICACION!M1182</f>
        <v>0</v>
      </c>
      <c r="K1188" s="822" t="str">
        <f>+CUBICACION!N1182</f>
        <v/>
      </c>
      <c r="L1188" s="118">
        <f>+CUBICACION!O1182</f>
        <v>0</v>
      </c>
      <c r="M1188" s="823">
        <f>+CUBICACION!P1182</f>
        <v>0</v>
      </c>
      <c r="N1188" s="902">
        <f>ROUND(IF(AND(L1188="Blaze Shield II",M1188="Software Idiem",C1188="IN",G1188=4),((('BLAZE SHIELD II'!$D$4*('CALCULO MORTERO'!I1188^2)+'BLAZE SHIELD II'!$D$5*'CALCULO MORTERO'!I1188+'BLAZE SHIELD II'!$D$6)*LN(J1188))+('BLAZE SHIELD II'!$D$7*('CALCULO MORTERO'!I1188^2)+'BLAZE SHIELD II'!$D$8*'CALCULO MORTERO'!I1188+'BLAZE SHIELD II'!$D$9)),0)+IF(AND(L1188="Blaze Shield II",M1188="Software Idiem",C1188="Cj"),((('BLAZE SHIELD II'!$H$4*('CALCULO MORTERO'!I1188^2)+'BLAZE SHIELD II'!$H$5*'CALCULO MORTERO'!I1188+'BLAZE SHIELD II'!$H$6)*LN(J1188))+('BLAZE SHIELD II'!$H$7*('CALCULO MORTERO'!I1188^2)+'BLAZE SHIELD II'!$H$8*'CALCULO MORTERO'!I1188+'BLAZE SHIELD II'!$H$9)),0)+IF(AND(L1188="Blaze Shield II",M1188="Software Idiem",C1188="C"),((('BLAZE SHIELD II'!$L$4*('CALCULO MORTERO'!I1188^2)+'BLAZE SHIELD II'!$L$5*'CALCULO MORTERO'!I1188+'BLAZE SHIELD II'!$L$6)*LN(J1188))+('BLAZE SHIELD II'!$L$7*('CALCULO MORTERO'!I1188^2)+'BLAZE SHIELD II'!$L$8*'CALCULO MORTERO'!I1188+'BLAZE SHIELD II'!$L$9)),0)+IF(AND(L1188="Blaze Shield II",M1188="Software Idiem",C1188="L"),((('BLAZE SHIELD II'!$L$4*('CALCULO MORTERO'!I1188^2)+'BLAZE SHIELD II'!$L$5*'CALCULO MORTERO'!I1188+'BLAZE SHIELD II'!$L$6)*LN(J1188))+('BLAZE SHIELD II'!$L$7*('CALCULO MORTERO'!I1188^2)+'BLAZE SHIELD II'!$L$8*'CALCULO MORTERO'!I1188+'BLAZE SHIELD II'!$L$9)),0)+IF(AND(L1188="Blaze Shield II",M1188="Software Idiem",C1188="IN",G1188=3),((('BLAZE SHIELD II'!$H$14*('CALCULO MORTERO'!I1188^2)+'BLAZE SHIELD II'!$H$15*'CALCULO MORTERO'!I1188+'BLAZE SHIELD II'!$H$16)*LN(J1188))+('BLAZE SHIELD II'!$H$17*('CALCULO MORTERO'!I1188^2)+'BLAZE SHIELD II'!$H$18*'CALCULO MORTERO'!I1188+'BLAZE SHIELD II'!$H$19)),0),0)+ROUND(IF(AND(L1188="Cafco 400",M1188="Software Idiem",C1188="IN",G1188=4),((('CAFCO 400 '!$H$7*(J1188^4)+'CAFCO 400 '!$H$8*(J1188^3)+'CAFCO 400 '!$H$9*(J1188^2)+'CAFCO 400 '!$H$10*J1188+'CAFCO 400 '!$H$11)*U1188^2)+(('CAFCO 400 '!$H$12*(J1188^3)+'CAFCO 400 '!$H$13*(J1188^2)+'CAFCO 400 '!$H$14*J1188+'CAFCO 400 '!$H$15)*U1188)+('CAFCO 400 '!$H$16*(J1188^2)+'CAFCO 400 '!$H$17*J1188+'CAFCO 400 '!$H$18)),0)+IF(AND(L1188="Cafco 400",M1188="Software Idiem",C1188="Cj"),(((('CAFCO 400 '!$D$7*LN(J1188)+'CAFCO 400 '!$D$8)*U1188^2)+(('CAFCO 400 '!$D$9*LN(J1188)+'CAFCO 400 '!$D$10)*U1188)+('CAFCO 400 '!$D$11*LN(J1188)+'CAFCO 400 '!$D$12))),0)+IF(AND(L1188="Cafco 400",M1188="Software Idiem",C1188="C"),((('CAFCO 400 '!$L$7*(J1188^3)+'CAFCO 400 '!$L$8*(J1188^2)+'CAFCO 400 '!$L$9*J1188+'CAFCO 400 '!$L$10)*U1188^2)+(('CAFCO 400 '!$L$11*(J1188^3)+'CAFCO 400 '!$L$12*(J1188^2)+'CAFCO 400 '!$L$13*J1188+'CAFCO 400 '!$L$14)*U1188)+('CAFCO 400 '!$L$15*LN(J1188)+'CAFCO 400 '!$L$16)),0)+IF(AND(L1188="Cafco 400",M1188="Software Idiem",C1188="L"),((('CAFCO 400 '!$L$7*(J1188^3)+'CAFCO 400 '!$L$8*(J1188^2)+'CAFCO 400 '!$L$9*J1188+'CAFCO 400 '!$L$10)*U1188^2)+(('CAFCO 400 '!$L$11*(J1188^3)+'CAFCO 400 '!$L$12*(J1188^2)+'CAFCO 400 '!$L$13*J1188+'CAFCO 400 '!$L$14)*U1188)+('CAFCO 400 '!$L$15*LN(J1188)+'CAFCO 400 '!$L$16)),0)+IF(AND(L1188="Cafco 400",M1188="Software Idiem",C1188="IN",G1188=3),((('CAFCO 400 '!$D$23*(J1188^2)+'CAFCO 400 '!$D$24*(J1188)+'CAFCO 400 '!$D$25)*U1188^2)+(('CAFCO 400 '!$D$26*(J1188^2)+'CAFCO 400 '!$D$27*J1188+'CAFCO 400 '!$D$28)*U1188)+('CAFCO 400 '!$D$29*(J1188^2)+'CAFCO 400 '!$D$30*J1188+'CAFCO 400 '!$D$31)),0),0)+IF(AND(L1188="Cafco 300",J1188&gt;=95,J1188&lt;=240,C1188="Cj",I1188=90),VLOOKUP(T1188,'CAFCO 300 IDIEM TABLAS'!$B$4:$D$23,2,FALSE),0)+IF(AND(L1188="Cafco 300",J1188&gt;=95,J1188&lt;=240,C1188="Cj",I1188=120),VLOOKUP(T1188,'CAFCO 300 IDIEM TABLAS'!$B$4:$D$23,3,FALSE),0)+IF(AND(L1188="Cafco 300",J1188&gt;=95,J1188&lt;=400,G1188=3,C1188="IN",I1188=90),VLOOKUP(T1188,'CAFCO 300 IDIEM TABLAS'!$F$4:$H$35,2,FALSE),0)+IF(AND(L1188="Cafco 300",J1188&gt;=95,J1188&lt;=400,G1188=3,C1188="IN",I1188=120),VLOOKUP(T1188,'CAFCO 300 IDIEM TABLAS'!$F$4:$H$35,3,FALSE),0)+IF(AND(L1188="Cafco 300",J1188&gt;=95,J1188&lt;=450,G1188=4,C1188="IN",I1188=90),VLOOKUP(T1188,'CAFCO 300 IDIEM TABLAS'!$J$4:$L$40,2,FALSE),0)+IF(AND(L1188="Cafco 300",J1188&gt;=95,J1188&lt;=450,G1188=4,C1188="IN",I1188=120),VLOOKUP(T1188,'CAFCO 300 IDIEM TABLAS'!$J$4:$L$40,3,FALSE),0)+IF(AND(M1188="Ensayo Idiem",L1188="Cafco 400",C1188="IN",G1188=4,I1188=90),VLOOKUP(T1188,'CAFCO 400 ENSAYO'!$B$7:$D$43,2,FALSE),0)+IF(AND(M1188="Ensayo Idiem",L1188="Cafco 400",C1188="IN",G1188=4,I1188=120),VLOOKUP(T1188,'CAFCO 400 ENSAYO'!$B$7:$D$43,3,FALSE),0)</f>
        <v>0</v>
      </c>
      <c r="O1188" s="96">
        <f t="shared" si="120"/>
        <v>0</v>
      </c>
      <c r="P1188" s="95" t="str">
        <f t="shared" si="115"/>
        <v>N/A</v>
      </c>
      <c r="Q1188" s="95" t="str">
        <f t="shared" si="116"/>
        <v>N/A</v>
      </c>
      <c r="R1188" s="95" t="str">
        <f t="shared" si="117"/>
        <v>NO CERT.</v>
      </c>
      <c r="S1188" s="95" t="e">
        <f t="shared" si="118"/>
        <v>#N/A</v>
      </c>
      <c r="T1188" s="119" t="e">
        <f>+IF(J1188=LOOKUP(J1188,'CAFCO 300 IDIEM TABLAS'!$J$4:$J$40),'CALCULO MORTERO'!J1188,MROUND('CALCULO MORTERO'!J1188,10))</f>
        <v>#N/A</v>
      </c>
      <c r="U1188" s="118">
        <f t="shared" si="119"/>
        <v>0</v>
      </c>
    </row>
    <row r="1189" spans="1:21" x14ac:dyDescent="0.25">
      <c r="A1189" s="118">
        <f>+CUBICACION!D1183</f>
        <v>0</v>
      </c>
      <c r="B1189" s="819">
        <f>+CUBICACION!E1183</f>
        <v>0</v>
      </c>
      <c r="C1189" s="675">
        <f>+CUBICACION!F1183</f>
        <v>0</v>
      </c>
      <c r="D1189" s="118"/>
      <c r="E1189" s="118"/>
      <c r="F1189" s="820"/>
      <c r="G1189" s="675">
        <f>+CUBICACION!J1183</f>
        <v>0</v>
      </c>
      <c r="H1189" s="118"/>
      <c r="I1189" s="821">
        <f>+CUBICACION!L1183</f>
        <v>0</v>
      </c>
      <c r="J1189" s="64">
        <f>+CUBICACION!M1183</f>
        <v>0</v>
      </c>
      <c r="K1189" s="822" t="str">
        <f>+CUBICACION!N1183</f>
        <v/>
      </c>
      <c r="L1189" s="118">
        <f>+CUBICACION!O1183</f>
        <v>0</v>
      </c>
      <c r="M1189" s="823">
        <f>+CUBICACION!P1183</f>
        <v>0</v>
      </c>
      <c r="N1189" s="902">
        <f>ROUND(IF(AND(L1189="Blaze Shield II",M1189="Software Idiem",C1189="IN",G1189=4),((('BLAZE SHIELD II'!$D$4*('CALCULO MORTERO'!I1189^2)+'BLAZE SHIELD II'!$D$5*'CALCULO MORTERO'!I1189+'BLAZE SHIELD II'!$D$6)*LN(J1189))+('BLAZE SHIELD II'!$D$7*('CALCULO MORTERO'!I1189^2)+'BLAZE SHIELD II'!$D$8*'CALCULO MORTERO'!I1189+'BLAZE SHIELD II'!$D$9)),0)+IF(AND(L1189="Blaze Shield II",M1189="Software Idiem",C1189="Cj"),((('BLAZE SHIELD II'!$H$4*('CALCULO MORTERO'!I1189^2)+'BLAZE SHIELD II'!$H$5*'CALCULO MORTERO'!I1189+'BLAZE SHIELD II'!$H$6)*LN(J1189))+('BLAZE SHIELD II'!$H$7*('CALCULO MORTERO'!I1189^2)+'BLAZE SHIELD II'!$H$8*'CALCULO MORTERO'!I1189+'BLAZE SHIELD II'!$H$9)),0)+IF(AND(L1189="Blaze Shield II",M1189="Software Idiem",C1189="C"),((('BLAZE SHIELD II'!$L$4*('CALCULO MORTERO'!I1189^2)+'BLAZE SHIELD II'!$L$5*'CALCULO MORTERO'!I1189+'BLAZE SHIELD II'!$L$6)*LN(J1189))+('BLAZE SHIELD II'!$L$7*('CALCULO MORTERO'!I1189^2)+'BLAZE SHIELD II'!$L$8*'CALCULO MORTERO'!I1189+'BLAZE SHIELD II'!$L$9)),0)+IF(AND(L1189="Blaze Shield II",M1189="Software Idiem",C1189="L"),((('BLAZE SHIELD II'!$L$4*('CALCULO MORTERO'!I1189^2)+'BLAZE SHIELD II'!$L$5*'CALCULO MORTERO'!I1189+'BLAZE SHIELD II'!$L$6)*LN(J1189))+('BLAZE SHIELD II'!$L$7*('CALCULO MORTERO'!I1189^2)+'BLAZE SHIELD II'!$L$8*'CALCULO MORTERO'!I1189+'BLAZE SHIELD II'!$L$9)),0)+IF(AND(L1189="Blaze Shield II",M1189="Software Idiem",C1189="IN",G1189=3),((('BLAZE SHIELD II'!$H$14*('CALCULO MORTERO'!I1189^2)+'BLAZE SHIELD II'!$H$15*'CALCULO MORTERO'!I1189+'BLAZE SHIELD II'!$H$16)*LN(J1189))+('BLAZE SHIELD II'!$H$17*('CALCULO MORTERO'!I1189^2)+'BLAZE SHIELD II'!$H$18*'CALCULO MORTERO'!I1189+'BLAZE SHIELD II'!$H$19)),0),0)+ROUND(IF(AND(L1189="Cafco 400",M1189="Software Idiem",C1189="IN",G1189=4),((('CAFCO 400 '!$H$7*(J1189^4)+'CAFCO 400 '!$H$8*(J1189^3)+'CAFCO 400 '!$H$9*(J1189^2)+'CAFCO 400 '!$H$10*J1189+'CAFCO 400 '!$H$11)*U1189^2)+(('CAFCO 400 '!$H$12*(J1189^3)+'CAFCO 400 '!$H$13*(J1189^2)+'CAFCO 400 '!$H$14*J1189+'CAFCO 400 '!$H$15)*U1189)+('CAFCO 400 '!$H$16*(J1189^2)+'CAFCO 400 '!$H$17*J1189+'CAFCO 400 '!$H$18)),0)+IF(AND(L1189="Cafco 400",M1189="Software Idiem",C1189="Cj"),(((('CAFCO 400 '!$D$7*LN(J1189)+'CAFCO 400 '!$D$8)*U1189^2)+(('CAFCO 400 '!$D$9*LN(J1189)+'CAFCO 400 '!$D$10)*U1189)+('CAFCO 400 '!$D$11*LN(J1189)+'CAFCO 400 '!$D$12))),0)+IF(AND(L1189="Cafco 400",M1189="Software Idiem",C1189="C"),((('CAFCO 400 '!$L$7*(J1189^3)+'CAFCO 400 '!$L$8*(J1189^2)+'CAFCO 400 '!$L$9*J1189+'CAFCO 400 '!$L$10)*U1189^2)+(('CAFCO 400 '!$L$11*(J1189^3)+'CAFCO 400 '!$L$12*(J1189^2)+'CAFCO 400 '!$L$13*J1189+'CAFCO 400 '!$L$14)*U1189)+('CAFCO 400 '!$L$15*LN(J1189)+'CAFCO 400 '!$L$16)),0)+IF(AND(L1189="Cafco 400",M1189="Software Idiem",C1189="L"),((('CAFCO 400 '!$L$7*(J1189^3)+'CAFCO 400 '!$L$8*(J1189^2)+'CAFCO 400 '!$L$9*J1189+'CAFCO 400 '!$L$10)*U1189^2)+(('CAFCO 400 '!$L$11*(J1189^3)+'CAFCO 400 '!$L$12*(J1189^2)+'CAFCO 400 '!$L$13*J1189+'CAFCO 400 '!$L$14)*U1189)+('CAFCO 400 '!$L$15*LN(J1189)+'CAFCO 400 '!$L$16)),0)+IF(AND(L1189="Cafco 400",M1189="Software Idiem",C1189="IN",G1189=3),((('CAFCO 400 '!$D$23*(J1189^2)+'CAFCO 400 '!$D$24*(J1189)+'CAFCO 400 '!$D$25)*U1189^2)+(('CAFCO 400 '!$D$26*(J1189^2)+'CAFCO 400 '!$D$27*J1189+'CAFCO 400 '!$D$28)*U1189)+('CAFCO 400 '!$D$29*(J1189^2)+'CAFCO 400 '!$D$30*J1189+'CAFCO 400 '!$D$31)),0),0)+IF(AND(L1189="Cafco 300",J1189&gt;=95,J1189&lt;=240,C1189="Cj",I1189=90),VLOOKUP(T1189,'CAFCO 300 IDIEM TABLAS'!$B$4:$D$23,2,FALSE),0)+IF(AND(L1189="Cafco 300",J1189&gt;=95,J1189&lt;=240,C1189="Cj",I1189=120),VLOOKUP(T1189,'CAFCO 300 IDIEM TABLAS'!$B$4:$D$23,3,FALSE),0)+IF(AND(L1189="Cafco 300",J1189&gt;=95,J1189&lt;=400,G1189=3,C1189="IN",I1189=90),VLOOKUP(T1189,'CAFCO 300 IDIEM TABLAS'!$F$4:$H$35,2,FALSE),0)+IF(AND(L1189="Cafco 300",J1189&gt;=95,J1189&lt;=400,G1189=3,C1189="IN",I1189=120),VLOOKUP(T1189,'CAFCO 300 IDIEM TABLAS'!$F$4:$H$35,3,FALSE),0)+IF(AND(L1189="Cafco 300",J1189&gt;=95,J1189&lt;=450,G1189=4,C1189="IN",I1189=90),VLOOKUP(T1189,'CAFCO 300 IDIEM TABLAS'!$J$4:$L$40,2,FALSE),0)+IF(AND(L1189="Cafco 300",J1189&gt;=95,J1189&lt;=450,G1189=4,C1189="IN",I1189=120),VLOOKUP(T1189,'CAFCO 300 IDIEM TABLAS'!$J$4:$L$40,3,FALSE),0)+IF(AND(M1189="Ensayo Idiem",L1189="Cafco 400",C1189="IN",G1189=4,I1189=90),VLOOKUP(T1189,'CAFCO 400 ENSAYO'!$B$7:$D$43,2,FALSE),0)+IF(AND(M1189="Ensayo Idiem",L1189="Cafco 400",C1189="IN",G1189=4,I1189=120),VLOOKUP(T1189,'CAFCO 400 ENSAYO'!$B$7:$D$43,3,FALSE),0)</f>
        <v>0</v>
      </c>
      <c r="O1189" s="96">
        <f t="shared" si="120"/>
        <v>0</v>
      </c>
      <c r="P1189" s="132" t="str">
        <f t="shared" si="115"/>
        <v>N/A</v>
      </c>
      <c r="Q1189" s="132" t="str">
        <f t="shared" si="116"/>
        <v>N/A</v>
      </c>
      <c r="R1189" s="132" t="str">
        <f t="shared" si="117"/>
        <v>NO CERT.</v>
      </c>
      <c r="S1189" s="132" t="e">
        <f t="shared" si="118"/>
        <v>#N/A</v>
      </c>
      <c r="T1189" s="133" t="e">
        <f>+IF(J1189=LOOKUP(J1189,'CAFCO 300 IDIEM TABLAS'!$J$4:$J$40),'CALCULO MORTERO'!J1189,MROUND('CALCULO MORTERO'!J1189,10))</f>
        <v>#N/A</v>
      </c>
      <c r="U1189" s="134">
        <f t="shared" si="119"/>
        <v>0</v>
      </c>
    </row>
    <row r="1190" spans="1:21" x14ac:dyDescent="0.25">
      <c r="A1190" s="118">
        <f>+CUBICACION!D1184</f>
        <v>0</v>
      </c>
      <c r="B1190" s="819">
        <f>+CUBICACION!E1184</f>
        <v>0</v>
      </c>
      <c r="C1190" s="675">
        <f>+CUBICACION!F1184</f>
        <v>0</v>
      </c>
      <c r="D1190" s="118"/>
      <c r="E1190" s="118"/>
      <c r="F1190" s="820"/>
      <c r="G1190" s="675">
        <f>+CUBICACION!J1184</f>
        <v>0</v>
      </c>
      <c r="H1190" s="118"/>
      <c r="I1190" s="821">
        <f>+CUBICACION!L1184</f>
        <v>0</v>
      </c>
      <c r="J1190" s="64">
        <f>+CUBICACION!M1184</f>
        <v>0</v>
      </c>
      <c r="K1190" s="822" t="str">
        <f>+CUBICACION!N1184</f>
        <v/>
      </c>
      <c r="L1190" s="118">
        <f>+CUBICACION!O1184</f>
        <v>0</v>
      </c>
      <c r="M1190" s="823">
        <f>+CUBICACION!P1184</f>
        <v>0</v>
      </c>
      <c r="N1190" s="902">
        <f>ROUND(IF(AND(L1190="Blaze Shield II",M1190="Software Idiem",C1190="IN",G1190=4),((('BLAZE SHIELD II'!$D$4*('CALCULO MORTERO'!I1190^2)+'BLAZE SHIELD II'!$D$5*'CALCULO MORTERO'!I1190+'BLAZE SHIELD II'!$D$6)*LN(J1190))+('BLAZE SHIELD II'!$D$7*('CALCULO MORTERO'!I1190^2)+'BLAZE SHIELD II'!$D$8*'CALCULO MORTERO'!I1190+'BLAZE SHIELD II'!$D$9)),0)+IF(AND(L1190="Blaze Shield II",M1190="Software Idiem",C1190="Cj"),((('BLAZE SHIELD II'!$H$4*('CALCULO MORTERO'!I1190^2)+'BLAZE SHIELD II'!$H$5*'CALCULO MORTERO'!I1190+'BLAZE SHIELD II'!$H$6)*LN(J1190))+('BLAZE SHIELD II'!$H$7*('CALCULO MORTERO'!I1190^2)+'BLAZE SHIELD II'!$H$8*'CALCULO MORTERO'!I1190+'BLAZE SHIELD II'!$H$9)),0)+IF(AND(L1190="Blaze Shield II",M1190="Software Idiem",C1190="C"),((('BLAZE SHIELD II'!$L$4*('CALCULO MORTERO'!I1190^2)+'BLAZE SHIELD II'!$L$5*'CALCULO MORTERO'!I1190+'BLAZE SHIELD II'!$L$6)*LN(J1190))+('BLAZE SHIELD II'!$L$7*('CALCULO MORTERO'!I1190^2)+'BLAZE SHIELD II'!$L$8*'CALCULO MORTERO'!I1190+'BLAZE SHIELD II'!$L$9)),0)+IF(AND(L1190="Blaze Shield II",M1190="Software Idiem",C1190="L"),((('BLAZE SHIELD II'!$L$4*('CALCULO MORTERO'!I1190^2)+'BLAZE SHIELD II'!$L$5*'CALCULO MORTERO'!I1190+'BLAZE SHIELD II'!$L$6)*LN(J1190))+('BLAZE SHIELD II'!$L$7*('CALCULO MORTERO'!I1190^2)+'BLAZE SHIELD II'!$L$8*'CALCULO MORTERO'!I1190+'BLAZE SHIELD II'!$L$9)),0)+IF(AND(L1190="Blaze Shield II",M1190="Software Idiem",C1190="IN",G1190=3),((('BLAZE SHIELD II'!$H$14*('CALCULO MORTERO'!I1190^2)+'BLAZE SHIELD II'!$H$15*'CALCULO MORTERO'!I1190+'BLAZE SHIELD II'!$H$16)*LN(J1190))+('BLAZE SHIELD II'!$H$17*('CALCULO MORTERO'!I1190^2)+'BLAZE SHIELD II'!$H$18*'CALCULO MORTERO'!I1190+'BLAZE SHIELD II'!$H$19)),0),0)+ROUND(IF(AND(L1190="Cafco 400",M1190="Software Idiem",C1190="IN",G1190=4),((('CAFCO 400 '!$H$7*(J1190^4)+'CAFCO 400 '!$H$8*(J1190^3)+'CAFCO 400 '!$H$9*(J1190^2)+'CAFCO 400 '!$H$10*J1190+'CAFCO 400 '!$H$11)*U1190^2)+(('CAFCO 400 '!$H$12*(J1190^3)+'CAFCO 400 '!$H$13*(J1190^2)+'CAFCO 400 '!$H$14*J1190+'CAFCO 400 '!$H$15)*U1190)+('CAFCO 400 '!$H$16*(J1190^2)+'CAFCO 400 '!$H$17*J1190+'CAFCO 400 '!$H$18)),0)+IF(AND(L1190="Cafco 400",M1190="Software Idiem",C1190="Cj"),(((('CAFCO 400 '!$D$7*LN(J1190)+'CAFCO 400 '!$D$8)*U1190^2)+(('CAFCO 400 '!$D$9*LN(J1190)+'CAFCO 400 '!$D$10)*U1190)+('CAFCO 400 '!$D$11*LN(J1190)+'CAFCO 400 '!$D$12))),0)+IF(AND(L1190="Cafco 400",M1190="Software Idiem",C1190="C"),((('CAFCO 400 '!$L$7*(J1190^3)+'CAFCO 400 '!$L$8*(J1190^2)+'CAFCO 400 '!$L$9*J1190+'CAFCO 400 '!$L$10)*U1190^2)+(('CAFCO 400 '!$L$11*(J1190^3)+'CAFCO 400 '!$L$12*(J1190^2)+'CAFCO 400 '!$L$13*J1190+'CAFCO 400 '!$L$14)*U1190)+('CAFCO 400 '!$L$15*LN(J1190)+'CAFCO 400 '!$L$16)),0)+IF(AND(L1190="Cafco 400",M1190="Software Idiem",C1190="L"),((('CAFCO 400 '!$L$7*(J1190^3)+'CAFCO 400 '!$L$8*(J1190^2)+'CAFCO 400 '!$L$9*J1190+'CAFCO 400 '!$L$10)*U1190^2)+(('CAFCO 400 '!$L$11*(J1190^3)+'CAFCO 400 '!$L$12*(J1190^2)+'CAFCO 400 '!$L$13*J1190+'CAFCO 400 '!$L$14)*U1190)+('CAFCO 400 '!$L$15*LN(J1190)+'CAFCO 400 '!$L$16)),0)+IF(AND(L1190="Cafco 400",M1190="Software Idiem",C1190="IN",G1190=3),((('CAFCO 400 '!$D$23*(J1190^2)+'CAFCO 400 '!$D$24*(J1190)+'CAFCO 400 '!$D$25)*U1190^2)+(('CAFCO 400 '!$D$26*(J1190^2)+'CAFCO 400 '!$D$27*J1190+'CAFCO 400 '!$D$28)*U1190)+('CAFCO 400 '!$D$29*(J1190^2)+'CAFCO 400 '!$D$30*J1190+'CAFCO 400 '!$D$31)),0),0)+IF(AND(L1190="Cafco 300",J1190&gt;=95,J1190&lt;=240,C1190="Cj",I1190=90),VLOOKUP(T1190,'CAFCO 300 IDIEM TABLAS'!$B$4:$D$23,2,FALSE),0)+IF(AND(L1190="Cafco 300",J1190&gt;=95,J1190&lt;=240,C1190="Cj",I1190=120),VLOOKUP(T1190,'CAFCO 300 IDIEM TABLAS'!$B$4:$D$23,3,FALSE),0)+IF(AND(L1190="Cafco 300",J1190&gt;=95,J1190&lt;=400,G1190=3,C1190="IN",I1190=90),VLOOKUP(T1190,'CAFCO 300 IDIEM TABLAS'!$F$4:$H$35,2,FALSE),0)+IF(AND(L1190="Cafco 300",J1190&gt;=95,J1190&lt;=400,G1190=3,C1190="IN",I1190=120),VLOOKUP(T1190,'CAFCO 300 IDIEM TABLAS'!$F$4:$H$35,3,FALSE),0)+IF(AND(L1190="Cafco 300",J1190&gt;=95,J1190&lt;=450,G1190=4,C1190="IN",I1190=90),VLOOKUP(T1190,'CAFCO 300 IDIEM TABLAS'!$J$4:$L$40,2,FALSE),0)+IF(AND(L1190="Cafco 300",J1190&gt;=95,J1190&lt;=450,G1190=4,C1190="IN",I1190=120),VLOOKUP(T1190,'CAFCO 300 IDIEM TABLAS'!$J$4:$L$40,3,FALSE),0)+IF(AND(M1190="Ensayo Idiem",L1190="Cafco 400",C1190="IN",G1190=4,I1190=90),VLOOKUP(T1190,'CAFCO 400 ENSAYO'!$B$7:$D$43,2,FALSE),0)+IF(AND(M1190="Ensayo Idiem",L1190="Cafco 400",C1190="IN",G1190=4,I1190=120),VLOOKUP(T1190,'CAFCO 400 ENSAYO'!$B$7:$D$43,3,FALSE),0)</f>
        <v>0</v>
      </c>
      <c r="O1190" s="96">
        <f t="shared" si="120"/>
        <v>0</v>
      </c>
      <c r="P1190" s="95" t="str">
        <f t="shared" si="115"/>
        <v>N/A</v>
      </c>
      <c r="Q1190" s="95" t="str">
        <f t="shared" si="116"/>
        <v>N/A</v>
      </c>
      <c r="R1190" s="95" t="str">
        <f t="shared" si="117"/>
        <v>NO CERT.</v>
      </c>
      <c r="S1190" s="95" t="e">
        <f t="shared" si="118"/>
        <v>#N/A</v>
      </c>
      <c r="T1190" s="119" t="e">
        <f>+IF(J1190=LOOKUP(J1190,'CAFCO 300 IDIEM TABLAS'!$J$4:$J$40),'CALCULO MORTERO'!J1190,MROUND('CALCULO MORTERO'!J1190,10))</f>
        <v>#N/A</v>
      </c>
      <c r="U1190" s="118">
        <f t="shared" si="119"/>
        <v>0</v>
      </c>
    </row>
    <row r="1191" spans="1:21" x14ac:dyDescent="0.25">
      <c r="A1191" s="118">
        <f>+CUBICACION!D1185</f>
        <v>0</v>
      </c>
      <c r="B1191" s="819">
        <f>+CUBICACION!E1185</f>
        <v>0</v>
      </c>
      <c r="C1191" s="675">
        <f>+CUBICACION!F1185</f>
        <v>0</v>
      </c>
      <c r="D1191" s="118"/>
      <c r="E1191" s="118"/>
      <c r="F1191" s="820"/>
      <c r="G1191" s="675">
        <f>+CUBICACION!J1185</f>
        <v>0</v>
      </c>
      <c r="H1191" s="118"/>
      <c r="I1191" s="821">
        <f>+CUBICACION!L1185</f>
        <v>0</v>
      </c>
      <c r="J1191" s="64">
        <f>+CUBICACION!M1185</f>
        <v>0</v>
      </c>
      <c r="K1191" s="822" t="str">
        <f>+CUBICACION!N1185</f>
        <v/>
      </c>
      <c r="L1191" s="118">
        <f>+CUBICACION!O1185</f>
        <v>0</v>
      </c>
      <c r="M1191" s="823">
        <f>+CUBICACION!P1185</f>
        <v>0</v>
      </c>
      <c r="N1191" s="902">
        <f>ROUND(IF(AND(L1191="Blaze Shield II",M1191="Software Idiem",C1191="IN",G1191=4),((('BLAZE SHIELD II'!$D$4*('CALCULO MORTERO'!I1191^2)+'BLAZE SHIELD II'!$D$5*'CALCULO MORTERO'!I1191+'BLAZE SHIELD II'!$D$6)*LN(J1191))+('BLAZE SHIELD II'!$D$7*('CALCULO MORTERO'!I1191^2)+'BLAZE SHIELD II'!$D$8*'CALCULO MORTERO'!I1191+'BLAZE SHIELD II'!$D$9)),0)+IF(AND(L1191="Blaze Shield II",M1191="Software Idiem",C1191="Cj"),((('BLAZE SHIELD II'!$H$4*('CALCULO MORTERO'!I1191^2)+'BLAZE SHIELD II'!$H$5*'CALCULO MORTERO'!I1191+'BLAZE SHIELD II'!$H$6)*LN(J1191))+('BLAZE SHIELD II'!$H$7*('CALCULO MORTERO'!I1191^2)+'BLAZE SHIELD II'!$H$8*'CALCULO MORTERO'!I1191+'BLAZE SHIELD II'!$H$9)),0)+IF(AND(L1191="Blaze Shield II",M1191="Software Idiem",C1191="C"),((('BLAZE SHIELD II'!$L$4*('CALCULO MORTERO'!I1191^2)+'BLAZE SHIELD II'!$L$5*'CALCULO MORTERO'!I1191+'BLAZE SHIELD II'!$L$6)*LN(J1191))+('BLAZE SHIELD II'!$L$7*('CALCULO MORTERO'!I1191^2)+'BLAZE SHIELD II'!$L$8*'CALCULO MORTERO'!I1191+'BLAZE SHIELD II'!$L$9)),0)+IF(AND(L1191="Blaze Shield II",M1191="Software Idiem",C1191="L"),((('BLAZE SHIELD II'!$L$4*('CALCULO MORTERO'!I1191^2)+'BLAZE SHIELD II'!$L$5*'CALCULO MORTERO'!I1191+'BLAZE SHIELD II'!$L$6)*LN(J1191))+('BLAZE SHIELD II'!$L$7*('CALCULO MORTERO'!I1191^2)+'BLAZE SHIELD II'!$L$8*'CALCULO MORTERO'!I1191+'BLAZE SHIELD II'!$L$9)),0)+IF(AND(L1191="Blaze Shield II",M1191="Software Idiem",C1191="IN",G1191=3),((('BLAZE SHIELD II'!$H$14*('CALCULO MORTERO'!I1191^2)+'BLAZE SHIELD II'!$H$15*'CALCULO MORTERO'!I1191+'BLAZE SHIELD II'!$H$16)*LN(J1191))+('BLAZE SHIELD II'!$H$17*('CALCULO MORTERO'!I1191^2)+'BLAZE SHIELD II'!$H$18*'CALCULO MORTERO'!I1191+'BLAZE SHIELD II'!$H$19)),0),0)+ROUND(IF(AND(L1191="Cafco 400",M1191="Software Idiem",C1191="IN",G1191=4),((('CAFCO 400 '!$H$7*(J1191^4)+'CAFCO 400 '!$H$8*(J1191^3)+'CAFCO 400 '!$H$9*(J1191^2)+'CAFCO 400 '!$H$10*J1191+'CAFCO 400 '!$H$11)*U1191^2)+(('CAFCO 400 '!$H$12*(J1191^3)+'CAFCO 400 '!$H$13*(J1191^2)+'CAFCO 400 '!$H$14*J1191+'CAFCO 400 '!$H$15)*U1191)+('CAFCO 400 '!$H$16*(J1191^2)+'CAFCO 400 '!$H$17*J1191+'CAFCO 400 '!$H$18)),0)+IF(AND(L1191="Cafco 400",M1191="Software Idiem",C1191="Cj"),(((('CAFCO 400 '!$D$7*LN(J1191)+'CAFCO 400 '!$D$8)*U1191^2)+(('CAFCO 400 '!$D$9*LN(J1191)+'CAFCO 400 '!$D$10)*U1191)+('CAFCO 400 '!$D$11*LN(J1191)+'CAFCO 400 '!$D$12))),0)+IF(AND(L1191="Cafco 400",M1191="Software Idiem",C1191="C"),((('CAFCO 400 '!$L$7*(J1191^3)+'CAFCO 400 '!$L$8*(J1191^2)+'CAFCO 400 '!$L$9*J1191+'CAFCO 400 '!$L$10)*U1191^2)+(('CAFCO 400 '!$L$11*(J1191^3)+'CAFCO 400 '!$L$12*(J1191^2)+'CAFCO 400 '!$L$13*J1191+'CAFCO 400 '!$L$14)*U1191)+('CAFCO 400 '!$L$15*LN(J1191)+'CAFCO 400 '!$L$16)),0)+IF(AND(L1191="Cafco 400",M1191="Software Idiem",C1191="L"),((('CAFCO 400 '!$L$7*(J1191^3)+'CAFCO 400 '!$L$8*(J1191^2)+'CAFCO 400 '!$L$9*J1191+'CAFCO 400 '!$L$10)*U1191^2)+(('CAFCO 400 '!$L$11*(J1191^3)+'CAFCO 400 '!$L$12*(J1191^2)+'CAFCO 400 '!$L$13*J1191+'CAFCO 400 '!$L$14)*U1191)+('CAFCO 400 '!$L$15*LN(J1191)+'CAFCO 400 '!$L$16)),0)+IF(AND(L1191="Cafco 400",M1191="Software Idiem",C1191="IN",G1191=3),((('CAFCO 400 '!$D$23*(J1191^2)+'CAFCO 400 '!$D$24*(J1191)+'CAFCO 400 '!$D$25)*U1191^2)+(('CAFCO 400 '!$D$26*(J1191^2)+'CAFCO 400 '!$D$27*J1191+'CAFCO 400 '!$D$28)*U1191)+('CAFCO 400 '!$D$29*(J1191^2)+'CAFCO 400 '!$D$30*J1191+'CAFCO 400 '!$D$31)),0),0)+IF(AND(L1191="Cafco 300",J1191&gt;=95,J1191&lt;=240,C1191="Cj",I1191=90),VLOOKUP(T1191,'CAFCO 300 IDIEM TABLAS'!$B$4:$D$23,2,FALSE),0)+IF(AND(L1191="Cafco 300",J1191&gt;=95,J1191&lt;=240,C1191="Cj",I1191=120),VLOOKUP(T1191,'CAFCO 300 IDIEM TABLAS'!$B$4:$D$23,3,FALSE),0)+IF(AND(L1191="Cafco 300",J1191&gt;=95,J1191&lt;=400,G1191=3,C1191="IN",I1191=90),VLOOKUP(T1191,'CAFCO 300 IDIEM TABLAS'!$F$4:$H$35,2,FALSE),0)+IF(AND(L1191="Cafco 300",J1191&gt;=95,J1191&lt;=400,G1191=3,C1191="IN",I1191=120),VLOOKUP(T1191,'CAFCO 300 IDIEM TABLAS'!$F$4:$H$35,3,FALSE),0)+IF(AND(L1191="Cafco 300",J1191&gt;=95,J1191&lt;=450,G1191=4,C1191="IN",I1191=90),VLOOKUP(T1191,'CAFCO 300 IDIEM TABLAS'!$J$4:$L$40,2,FALSE),0)+IF(AND(L1191="Cafco 300",J1191&gt;=95,J1191&lt;=450,G1191=4,C1191="IN",I1191=120),VLOOKUP(T1191,'CAFCO 300 IDIEM TABLAS'!$J$4:$L$40,3,FALSE),0)+IF(AND(M1191="Ensayo Idiem",L1191="Cafco 400",C1191="IN",G1191=4,I1191=90),VLOOKUP(T1191,'CAFCO 400 ENSAYO'!$B$7:$D$43,2,FALSE),0)+IF(AND(M1191="Ensayo Idiem",L1191="Cafco 400",C1191="IN",G1191=4,I1191=120),VLOOKUP(T1191,'CAFCO 400 ENSAYO'!$B$7:$D$43,3,FALSE),0)</f>
        <v>0</v>
      </c>
      <c r="O1191" s="96">
        <f t="shared" si="120"/>
        <v>0</v>
      </c>
      <c r="P1191" s="132" t="str">
        <f t="shared" si="115"/>
        <v>N/A</v>
      </c>
      <c r="Q1191" s="132" t="str">
        <f t="shared" si="116"/>
        <v>N/A</v>
      </c>
      <c r="R1191" s="132" t="str">
        <f t="shared" si="117"/>
        <v>NO CERT.</v>
      </c>
      <c r="S1191" s="132" t="e">
        <f t="shared" si="118"/>
        <v>#N/A</v>
      </c>
      <c r="T1191" s="133" t="e">
        <f>+IF(J1191=LOOKUP(J1191,'CAFCO 300 IDIEM TABLAS'!$J$4:$J$40),'CALCULO MORTERO'!J1191,MROUND('CALCULO MORTERO'!J1191,10))</f>
        <v>#N/A</v>
      </c>
      <c r="U1191" s="134">
        <f t="shared" si="119"/>
        <v>0</v>
      </c>
    </row>
    <row r="1192" spans="1:21" x14ac:dyDescent="0.25">
      <c r="A1192" s="118">
        <f>+CUBICACION!D1186</f>
        <v>0</v>
      </c>
      <c r="B1192" s="819">
        <f>+CUBICACION!E1186</f>
        <v>0</v>
      </c>
      <c r="C1192" s="675">
        <f>+CUBICACION!F1186</f>
        <v>0</v>
      </c>
      <c r="D1192" s="118"/>
      <c r="E1192" s="118"/>
      <c r="F1192" s="820"/>
      <c r="G1192" s="675">
        <f>+CUBICACION!J1186</f>
        <v>0</v>
      </c>
      <c r="H1192" s="118"/>
      <c r="I1192" s="821">
        <f>+CUBICACION!L1186</f>
        <v>0</v>
      </c>
      <c r="J1192" s="64">
        <f>+CUBICACION!M1186</f>
        <v>0</v>
      </c>
      <c r="K1192" s="822" t="str">
        <f>+CUBICACION!N1186</f>
        <v/>
      </c>
      <c r="L1192" s="118">
        <f>+CUBICACION!O1186</f>
        <v>0</v>
      </c>
      <c r="M1192" s="823">
        <f>+CUBICACION!P1186</f>
        <v>0</v>
      </c>
      <c r="N1192" s="902">
        <f>ROUND(IF(AND(L1192="Blaze Shield II",M1192="Software Idiem",C1192="IN",G1192=4),((('BLAZE SHIELD II'!$D$4*('CALCULO MORTERO'!I1192^2)+'BLAZE SHIELD II'!$D$5*'CALCULO MORTERO'!I1192+'BLAZE SHIELD II'!$D$6)*LN(J1192))+('BLAZE SHIELD II'!$D$7*('CALCULO MORTERO'!I1192^2)+'BLAZE SHIELD II'!$D$8*'CALCULO MORTERO'!I1192+'BLAZE SHIELD II'!$D$9)),0)+IF(AND(L1192="Blaze Shield II",M1192="Software Idiem",C1192="Cj"),((('BLAZE SHIELD II'!$H$4*('CALCULO MORTERO'!I1192^2)+'BLAZE SHIELD II'!$H$5*'CALCULO MORTERO'!I1192+'BLAZE SHIELD II'!$H$6)*LN(J1192))+('BLAZE SHIELD II'!$H$7*('CALCULO MORTERO'!I1192^2)+'BLAZE SHIELD II'!$H$8*'CALCULO MORTERO'!I1192+'BLAZE SHIELD II'!$H$9)),0)+IF(AND(L1192="Blaze Shield II",M1192="Software Idiem",C1192="C"),((('BLAZE SHIELD II'!$L$4*('CALCULO MORTERO'!I1192^2)+'BLAZE SHIELD II'!$L$5*'CALCULO MORTERO'!I1192+'BLAZE SHIELD II'!$L$6)*LN(J1192))+('BLAZE SHIELD II'!$L$7*('CALCULO MORTERO'!I1192^2)+'BLAZE SHIELD II'!$L$8*'CALCULO MORTERO'!I1192+'BLAZE SHIELD II'!$L$9)),0)+IF(AND(L1192="Blaze Shield II",M1192="Software Idiem",C1192="L"),((('BLAZE SHIELD II'!$L$4*('CALCULO MORTERO'!I1192^2)+'BLAZE SHIELD II'!$L$5*'CALCULO MORTERO'!I1192+'BLAZE SHIELD II'!$L$6)*LN(J1192))+('BLAZE SHIELD II'!$L$7*('CALCULO MORTERO'!I1192^2)+'BLAZE SHIELD II'!$L$8*'CALCULO MORTERO'!I1192+'BLAZE SHIELD II'!$L$9)),0)+IF(AND(L1192="Blaze Shield II",M1192="Software Idiem",C1192="IN",G1192=3),((('BLAZE SHIELD II'!$H$14*('CALCULO MORTERO'!I1192^2)+'BLAZE SHIELD II'!$H$15*'CALCULO MORTERO'!I1192+'BLAZE SHIELD II'!$H$16)*LN(J1192))+('BLAZE SHIELD II'!$H$17*('CALCULO MORTERO'!I1192^2)+'BLAZE SHIELD II'!$H$18*'CALCULO MORTERO'!I1192+'BLAZE SHIELD II'!$H$19)),0),0)+ROUND(IF(AND(L1192="Cafco 400",M1192="Software Idiem",C1192="IN",G1192=4),((('CAFCO 400 '!$H$7*(J1192^4)+'CAFCO 400 '!$H$8*(J1192^3)+'CAFCO 400 '!$H$9*(J1192^2)+'CAFCO 400 '!$H$10*J1192+'CAFCO 400 '!$H$11)*U1192^2)+(('CAFCO 400 '!$H$12*(J1192^3)+'CAFCO 400 '!$H$13*(J1192^2)+'CAFCO 400 '!$H$14*J1192+'CAFCO 400 '!$H$15)*U1192)+('CAFCO 400 '!$H$16*(J1192^2)+'CAFCO 400 '!$H$17*J1192+'CAFCO 400 '!$H$18)),0)+IF(AND(L1192="Cafco 400",M1192="Software Idiem",C1192="Cj"),(((('CAFCO 400 '!$D$7*LN(J1192)+'CAFCO 400 '!$D$8)*U1192^2)+(('CAFCO 400 '!$D$9*LN(J1192)+'CAFCO 400 '!$D$10)*U1192)+('CAFCO 400 '!$D$11*LN(J1192)+'CAFCO 400 '!$D$12))),0)+IF(AND(L1192="Cafco 400",M1192="Software Idiem",C1192="C"),((('CAFCO 400 '!$L$7*(J1192^3)+'CAFCO 400 '!$L$8*(J1192^2)+'CAFCO 400 '!$L$9*J1192+'CAFCO 400 '!$L$10)*U1192^2)+(('CAFCO 400 '!$L$11*(J1192^3)+'CAFCO 400 '!$L$12*(J1192^2)+'CAFCO 400 '!$L$13*J1192+'CAFCO 400 '!$L$14)*U1192)+('CAFCO 400 '!$L$15*LN(J1192)+'CAFCO 400 '!$L$16)),0)+IF(AND(L1192="Cafco 400",M1192="Software Idiem",C1192="L"),((('CAFCO 400 '!$L$7*(J1192^3)+'CAFCO 400 '!$L$8*(J1192^2)+'CAFCO 400 '!$L$9*J1192+'CAFCO 400 '!$L$10)*U1192^2)+(('CAFCO 400 '!$L$11*(J1192^3)+'CAFCO 400 '!$L$12*(J1192^2)+'CAFCO 400 '!$L$13*J1192+'CAFCO 400 '!$L$14)*U1192)+('CAFCO 400 '!$L$15*LN(J1192)+'CAFCO 400 '!$L$16)),0)+IF(AND(L1192="Cafco 400",M1192="Software Idiem",C1192="IN",G1192=3),((('CAFCO 400 '!$D$23*(J1192^2)+'CAFCO 400 '!$D$24*(J1192)+'CAFCO 400 '!$D$25)*U1192^2)+(('CAFCO 400 '!$D$26*(J1192^2)+'CAFCO 400 '!$D$27*J1192+'CAFCO 400 '!$D$28)*U1192)+('CAFCO 400 '!$D$29*(J1192^2)+'CAFCO 400 '!$D$30*J1192+'CAFCO 400 '!$D$31)),0),0)+IF(AND(L1192="Cafco 300",J1192&gt;=95,J1192&lt;=240,C1192="Cj",I1192=90),VLOOKUP(T1192,'CAFCO 300 IDIEM TABLAS'!$B$4:$D$23,2,FALSE),0)+IF(AND(L1192="Cafco 300",J1192&gt;=95,J1192&lt;=240,C1192="Cj",I1192=120),VLOOKUP(T1192,'CAFCO 300 IDIEM TABLAS'!$B$4:$D$23,3,FALSE),0)+IF(AND(L1192="Cafco 300",J1192&gt;=95,J1192&lt;=400,G1192=3,C1192="IN",I1192=90),VLOOKUP(T1192,'CAFCO 300 IDIEM TABLAS'!$F$4:$H$35,2,FALSE),0)+IF(AND(L1192="Cafco 300",J1192&gt;=95,J1192&lt;=400,G1192=3,C1192="IN",I1192=120),VLOOKUP(T1192,'CAFCO 300 IDIEM TABLAS'!$F$4:$H$35,3,FALSE),0)+IF(AND(L1192="Cafco 300",J1192&gt;=95,J1192&lt;=450,G1192=4,C1192="IN",I1192=90),VLOOKUP(T1192,'CAFCO 300 IDIEM TABLAS'!$J$4:$L$40,2,FALSE),0)+IF(AND(L1192="Cafco 300",J1192&gt;=95,J1192&lt;=450,G1192=4,C1192="IN",I1192=120),VLOOKUP(T1192,'CAFCO 300 IDIEM TABLAS'!$J$4:$L$40,3,FALSE),0)+IF(AND(M1192="Ensayo Idiem",L1192="Cafco 400",C1192="IN",G1192=4,I1192=90),VLOOKUP(T1192,'CAFCO 400 ENSAYO'!$B$7:$D$43,2,FALSE),0)+IF(AND(M1192="Ensayo Idiem",L1192="Cafco 400",C1192="IN",G1192=4,I1192=120),VLOOKUP(T1192,'CAFCO 400 ENSAYO'!$B$7:$D$43,3,FALSE),0)</f>
        <v>0</v>
      </c>
      <c r="O1192" s="96">
        <f t="shared" si="120"/>
        <v>0</v>
      </c>
      <c r="P1192" s="95" t="str">
        <f t="shared" si="115"/>
        <v>N/A</v>
      </c>
      <c r="Q1192" s="95" t="str">
        <f t="shared" si="116"/>
        <v>N/A</v>
      </c>
      <c r="R1192" s="95" t="str">
        <f t="shared" si="117"/>
        <v>NO CERT.</v>
      </c>
      <c r="S1192" s="95" t="e">
        <f t="shared" si="118"/>
        <v>#N/A</v>
      </c>
      <c r="T1192" s="119" t="e">
        <f>+IF(J1192=LOOKUP(J1192,'CAFCO 300 IDIEM TABLAS'!$J$4:$J$40),'CALCULO MORTERO'!J1192,MROUND('CALCULO MORTERO'!J1192,10))</f>
        <v>#N/A</v>
      </c>
      <c r="U1192" s="118">
        <f t="shared" si="119"/>
        <v>0</v>
      </c>
    </row>
    <row r="1193" spans="1:21" x14ac:dyDescent="0.25">
      <c r="A1193" s="118">
        <f>+CUBICACION!D1187</f>
        <v>0</v>
      </c>
      <c r="B1193" s="819">
        <f>+CUBICACION!E1187</f>
        <v>0</v>
      </c>
      <c r="C1193" s="675">
        <f>+CUBICACION!F1187</f>
        <v>0</v>
      </c>
      <c r="D1193" s="118"/>
      <c r="E1193" s="118"/>
      <c r="F1193" s="820"/>
      <c r="G1193" s="675">
        <f>+CUBICACION!J1187</f>
        <v>0</v>
      </c>
      <c r="H1193" s="118"/>
      <c r="I1193" s="821">
        <f>+CUBICACION!L1187</f>
        <v>0</v>
      </c>
      <c r="J1193" s="64">
        <f>+CUBICACION!M1187</f>
        <v>0</v>
      </c>
      <c r="K1193" s="822" t="str">
        <f>+CUBICACION!N1187</f>
        <v/>
      </c>
      <c r="L1193" s="118">
        <f>+CUBICACION!O1187</f>
        <v>0</v>
      </c>
      <c r="M1193" s="823">
        <f>+CUBICACION!P1187</f>
        <v>0</v>
      </c>
      <c r="N1193" s="902">
        <f>ROUND(IF(AND(L1193="Blaze Shield II",M1193="Software Idiem",C1193="IN",G1193=4),((('BLAZE SHIELD II'!$D$4*('CALCULO MORTERO'!I1193^2)+'BLAZE SHIELD II'!$D$5*'CALCULO MORTERO'!I1193+'BLAZE SHIELD II'!$D$6)*LN(J1193))+('BLAZE SHIELD II'!$D$7*('CALCULO MORTERO'!I1193^2)+'BLAZE SHIELD II'!$D$8*'CALCULO MORTERO'!I1193+'BLAZE SHIELD II'!$D$9)),0)+IF(AND(L1193="Blaze Shield II",M1193="Software Idiem",C1193="Cj"),((('BLAZE SHIELD II'!$H$4*('CALCULO MORTERO'!I1193^2)+'BLAZE SHIELD II'!$H$5*'CALCULO MORTERO'!I1193+'BLAZE SHIELD II'!$H$6)*LN(J1193))+('BLAZE SHIELD II'!$H$7*('CALCULO MORTERO'!I1193^2)+'BLAZE SHIELD II'!$H$8*'CALCULO MORTERO'!I1193+'BLAZE SHIELD II'!$H$9)),0)+IF(AND(L1193="Blaze Shield II",M1193="Software Idiem",C1193="C"),((('BLAZE SHIELD II'!$L$4*('CALCULO MORTERO'!I1193^2)+'BLAZE SHIELD II'!$L$5*'CALCULO MORTERO'!I1193+'BLAZE SHIELD II'!$L$6)*LN(J1193))+('BLAZE SHIELD II'!$L$7*('CALCULO MORTERO'!I1193^2)+'BLAZE SHIELD II'!$L$8*'CALCULO MORTERO'!I1193+'BLAZE SHIELD II'!$L$9)),0)+IF(AND(L1193="Blaze Shield II",M1193="Software Idiem",C1193="L"),((('BLAZE SHIELD II'!$L$4*('CALCULO MORTERO'!I1193^2)+'BLAZE SHIELD II'!$L$5*'CALCULO MORTERO'!I1193+'BLAZE SHIELD II'!$L$6)*LN(J1193))+('BLAZE SHIELD II'!$L$7*('CALCULO MORTERO'!I1193^2)+'BLAZE SHIELD II'!$L$8*'CALCULO MORTERO'!I1193+'BLAZE SHIELD II'!$L$9)),0)+IF(AND(L1193="Blaze Shield II",M1193="Software Idiem",C1193="IN",G1193=3),((('BLAZE SHIELD II'!$H$14*('CALCULO MORTERO'!I1193^2)+'BLAZE SHIELD II'!$H$15*'CALCULO MORTERO'!I1193+'BLAZE SHIELD II'!$H$16)*LN(J1193))+('BLAZE SHIELD II'!$H$17*('CALCULO MORTERO'!I1193^2)+'BLAZE SHIELD II'!$H$18*'CALCULO MORTERO'!I1193+'BLAZE SHIELD II'!$H$19)),0),0)+ROUND(IF(AND(L1193="Cafco 400",M1193="Software Idiem",C1193="IN",G1193=4),((('CAFCO 400 '!$H$7*(J1193^4)+'CAFCO 400 '!$H$8*(J1193^3)+'CAFCO 400 '!$H$9*(J1193^2)+'CAFCO 400 '!$H$10*J1193+'CAFCO 400 '!$H$11)*U1193^2)+(('CAFCO 400 '!$H$12*(J1193^3)+'CAFCO 400 '!$H$13*(J1193^2)+'CAFCO 400 '!$H$14*J1193+'CAFCO 400 '!$H$15)*U1193)+('CAFCO 400 '!$H$16*(J1193^2)+'CAFCO 400 '!$H$17*J1193+'CAFCO 400 '!$H$18)),0)+IF(AND(L1193="Cafco 400",M1193="Software Idiem",C1193="Cj"),(((('CAFCO 400 '!$D$7*LN(J1193)+'CAFCO 400 '!$D$8)*U1193^2)+(('CAFCO 400 '!$D$9*LN(J1193)+'CAFCO 400 '!$D$10)*U1193)+('CAFCO 400 '!$D$11*LN(J1193)+'CAFCO 400 '!$D$12))),0)+IF(AND(L1193="Cafco 400",M1193="Software Idiem",C1193="C"),((('CAFCO 400 '!$L$7*(J1193^3)+'CAFCO 400 '!$L$8*(J1193^2)+'CAFCO 400 '!$L$9*J1193+'CAFCO 400 '!$L$10)*U1193^2)+(('CAFCO 400 '!$L$11*(J1193^3)+'CAFCO 400 '!$L$12*(J1193^2)+'CAFCO 400 '!$L$13*J1193+'CAFCO 400 '!$L$14)*U1193)+('CAFCO 400 '!$L$15*LN(J1193)+'CAFCO 400 '!$L$16)),0)+IF(AND(L1193="Cafco 400",M1193="Software Idiem",C1193="L"),((('CAFCO 400 '!$L$7*(J1193^3)+'CAFCO 400 '!$L$8*(J1193^2)+'CAFCO 400 '!$L$9*J1193+'CAFCO 400 '!$L$10)*U1193^2)+(('CAFCO 400 '!$L$11*(J1193^3)+'CAFCO 400 '!$L$12*(J1193^2)+'CAFCO 400 '!$L$13*J1193+'CAFCO 400 '!$L$14)*U1193)+('CAFCO 400 '!$L$15*LN(J1193)+'CAFCO 400 '!$L$16)),0)+IF(AND(L1193="Cafco 400",M1193="Software Idiem",C1193="IN",G1193=3),((('CAFCO 400 '!$D$23*(J1193^2)+'CAFCO 400 '!$D$24*(J1193)+'CAFCO 400 '!$D$25)*U1193^2)+(('CAFCO 400 '!$D$26*(J1193^2)+'CAFCO 400 '!$D$27*J1193+'CAFCO 400 '!$D$28)*U1193)+('CAFCO 400 '!$D$29*(J1193^2)+'CAFCO 400 '!$D$30*J1193+'CAFCO 400 '!$D$31)),0),0)+IF(AND(L1193="Cafco 300",J1193&gt;=95,J1193&lt;=240,C1193="Cj",I1193=90),VLOOKUP(T1193,'CAFCO 300 IDIEM TABLAS'!$B$4:$D$23,2,FALSE),0)+IF(AND(L1193="Cafco 300",J1193&gt;=95,J1193&lt;=240,C1193="Cj",I1193=120),VLOOKUP(T1193,'CAFCO 300 IDIEM TABLAS'!$B$4:$D$23,3,FALSE),0)+IF(AND(L1193="Cafco 300",J1193&gt;=95,J1193&lt;=400,G1193=3,C1193="IN",I1193=90),VLOOKUP(T1193,'CAFCO 300 IDIEM TABLAS'!$F$4:$H$35,2,FALSE),0)+IF(AND(L1193="Cafco 300",J1193&gt;=95,J1193&lt;=400,G1193=3,C1193="IN",I1193=120),VLOOKUP(T1193,'CAFCO 300 IDIEM TABLAS'!$F$4:$H$35,3,FALSE),0)+IF(AND(L1193="Cafco 300",J1193&gt;=95,J1193&lt;=450,G1193=4,C1193="IN",I1193=90),VLOOKUP(T1193,'CAFCO 300 IDIEM TABLAS'!$J$4:$L$40,2,FALSE),0)+IF(AND(L1193="Cafco 300",J1193&gt;=95,J1193&lt;=450,G1193=4,C1193="IN",I1193=120),VLOOKUP(T1193,'CAFCO 300 IDIEM TABLAS'!$J$4:$L$40,3,FALSE),0)+IF(AND(M1193="Ensayo Idiem",L1193="Cafco 400",C1193="IN",G1193=4,I1193=90),VLOOKUP(T1193,'CAFCO 400 ENSAYO'!$B$7:$D$43,2,FALSE),0)+IF(AND(M1193="Ensayo Idiem",L1193="Cafco 400",C1193="IN",G1193=4,I1193=120),VLOOKUP(T1193,'CAFCO 400 ENSAYO'!$B$7:$D$43,3,FALSE),0)</f>
        <v>0</v>
      </c>
      <c r="O1193" s="96">
        <f t="shared" si="120"/>
        <v>0</v>
      </c>
      <c r="P1193" s="132" t="str">
        <f t="shared" si="115"/>
        <v>N/A</v>
      </c>
      <c r="Q1193" s="132" t="str">
        <f t="shared" si="116"/>
        <v>N/A</v>
      </c>
      <c r="R1193" s="132" t="str">
        <f t="shared" si="117"/>
        <v>NO CERT.</v>
      </c>
      <c r="S1193" s="132" t="e">
        <f t="shared" si="118"/>
        <v>#N/A</v>
      </c>
      <c r="T1193" s="133" t="e">
        <f>+IF(J1193=LOOKUP(J1193,'CAFCO 300 IDIEM TABLAS'!$J$4:$J$40),'CALCULO MORTERO'!J1193,MROUND('CALCULO MORTERO'!J1193,10))</f>
        <v>#N/A</v>
      </c>
      <c r="U1193" s="134">
        <f t="shared" si="119"/>
        <v>0</v>
      </c>
    </row>
    <row r="1194" spans="1:21" x14ac:dyDescent="0.25">
      <c r="A1194" s="118">
        <f>+CUBICACION!D1188</f>
        <v>0</v>
      </c>
      <c r="B1194" s="819">
        <f>+CUBICACION!E1188</f>
        <v>0</v>
      </c>
      <c r="C1194" s="675">
        <f>+CUBICACION!F1188</f>
        <v>0</v>
      </c>
      <c r="D1194" s="118"/>
      <c r="E1194" s="118"/>
      <c r="F1194" s="820"/>
      <c r="G1194" s="675">
        <f>+CUBICACION!J1188</f>
        <v>0</v>
      </c>
      <c r="H1194" s="118"/>
      <c r="I1194" s="821">
        <f>+CUBICACION!L1188</f>
        <v>0</v>
      </c>
      <c r="J1194" s="64">
        <f>+CUBICACION!M1188</f>
        <v>0</v>
      </c>
      <c r="K1194" s="822" t="str">
        <f>+CUBICACION!N1188</f>
        <v/>
      </c>
      <c r="L1194" s="118">
        <f>+CUBICACION!O1188</f>
        <v>0</v>
      </c>
      <c r="M1194" s="823">
        <f>+CUBICACION!P1188</f>
        <v>0</v>
      </c>
      <c r="N1194" s="902">
        <f>ROUND(IF(AND(L1194="Blaze Shield II",M1194="Software Idiem",C1194="IN",G1194=4),((('BLAZE SHIELD II'!$D$4*('CALCULO MORTERO'!I1194^2)+'BLAZE SHIELD II'!$D$5*'CALCULO MORTERO'!I1194+'BLAZE SHIELD II'!$D$6)*LN(J1194))+('BLAZE SHIELD II'!$D$7*('CALCULO MORTERO'!I1194^2)+'BLAZE SHIELD II'!$D$8*'CALCULO MORTERO'!I1194+'BLAZE SHIELD II'!$D$9)),0)+IF(AND(L1194="Blaze Shield II",M1194="Software Idiem",C1194="Cj"),((('BLAZE SHIELD II'!$H$4*('CALCULO MORTERO'!I1194^2)+'BLAZE SHIELD II'!$H$5*'CALCULO MORTERO'!I1194+'BLAZE SHIELD II'!$H$6)*LN(J1194))+('BLAZE SHIELD II'!$H$7*('CALCULO MORTERO'!I1194^2)+'BLAZE SHIELD II'!$H$8*'CALCULO MORTERO'!I1194+'BLAZE SHIELD II'!$H$9)),0)+IF(AND(L1194="Blaze Shield II",M1194="Software Idiem",C1194="C"),((('BLAZE SHIELD II'!$L$4*('CALCULO MORTERO'!I1194^2)+'BLAZE SHIELD II'!$L$5*'CALCULO MORTERO'!I1194+'BLAZE SHIELD II'!$L$6)*LN(J1194))+('BLAZE SHIELD II'!$L$7*('CALCULO MORTERO'!I1194^2)+'BLAZE SHIELD II'!$L$8*'CALCULO MORTERO'!I1194+'BLAZE SHIELD II'!$L$9)),0)+IF(AND(L1194="Blaze Shield II",M1194="Software Idiem",C1194="L"),((('BLAZE SHIELD II'!$L$4*('CALCULO MORTERO'!I1194^2)+'BLAZE SHIELD II'!$L$5*'CALCULO MORTERO'!I1194+'BLAZE SHIELD II'!$L$6)*LN(J1194))+('BLAZE SHIELD II'!$L$7*('CALCULO MORTERO'!I1194^2)+'BLAZE SHIELD II'!$L$8*'CALCULO MORTERO'!I1194+'BLAZE SHIELD II'!$L$9)),0)+IF(AND(L1194="Blaze Shield II",M1194="Software Idiem",C1194="IN",G1194=3),((('BLAZE SHIELD II'!$H$14*('CALCULO MORTERO'!I1194^2)+'BLAZE SHIELD II'!$H$15*'CALCULO MORTERO'!I1194+'BLAZE SHIELD II'!$H$16)*LN(J1194))+('BLAZE SHIELD II'!$H$17*('CALCULO MORTERO'!I1194^2)+'BLAZE SHIELD II'!$H$18*'CALCULO MORTERO'!I1194+'BLAZE SHIELD II'!$H$19)),0),0)+ROUND(IF(AND(L1194="Cafco 400",M1194="Software Idiem",C1194="IN",G1194=4),((('CAFCO 400 '!$H$7*(J1194^4)+'CAFCO 400 '!$H$8*(J1194^3)+'CAFCO 400 '!$H$9*(J1194^2)+'CAFCO 400 '!$H$10*J1194+'CAFCO 400 '!$H$11)*U1194^2)+(('CAFCO 400 '!$H$12*(J1194^3)+'CAFCO 400 '!$H$13*(J1194^2)+'CAFCO 400 '!$H$14*J1194+'CAFCO 400 '!$H$15)*U1194)+('CAFCO 400 '!$H$16*(J1194^2)+'CAFCO 400 '!$H$17*J1194+'CAFCO 400 '!$H$18)),0)+IF(AND(L1194="Cafco 400",M1194="Software Idiem",C1194="Cj"),(((('CAFCO 400 '!$D$7*LN(J1194)+'CAFCO 400 '!$D$8)*U1194^2)+(('CAFCO 400 '!$D$9*LN(J1194)+'CAFCO 400 '!$D$10)*U1194)+('CAFCO 400 '!$D$11*LN(J1194)+'CAFCO 400 '!$D$12))),0)+IF(AND(L1194="Cafco 400",M1194="Software Idiem",C1194="C"),((('CAFCO 400 '!$L$7*(J1194^3)+'CAFCO 400 '!$L$8*(J1194^2)+'CAFCO 400 '!$L$9*J1194+'CAFCO 400 '!$L$10)*U1194^2)+(('CAFCO 400 '!$L$11*(J1194^3)+'CAFCO 400 '!$L$12*(J1194^2)+'CAFCO 400 '!$L$13*J1194+'CAFCO 400 '!$L$14)*U1194)+('CAFCO 400 '!$L$15*LN(J1194)+'CAFCO 400 '!$L$16)),0)+IF(AND(L1194="Cafco 400",M1194="Software Idiem",C1194="L"),((('CAFCO 400 '!$L$7*(J1194^3)+'CAFCO 400 '!$L$8*(J1194^2)+'CAFCO 400 '!$L$9*J1194+'CAFCO 400 '!$L$10)*U1194^2)+(('CAFCO 400 '!$L$11*(J1194^3)+'CAFCO 400 '!$L$12*(J1194^2)+'CAFCO 400 '!$L$13*J1194+'CAFCO 400 '!$L$14)*U1194)+('CAFCO 400 '!$L$15*LN(J1194)+'CAFCO 400 '!$L$16)),0)+IF(AND(L1194="Cafco 400",M1194="Software Idiem",C1194="IN",G1194=3),((('CAFCO 400 '!$D$23*(J1194^2)+'CAFCO 400 '!$D$24*(J1194)+'CAFCO 400 '!$D$25)*U1194^2)+(('CAFCO 400 '!$D$26*(J1194^2)+'CAFCO 400 '!$D$27*J1194+'CAFCO 400 '!$D$28)*U1194)+('CAFCO 400 '!$D$29*(J1194^2)+'CAFCO 400 '!$D$30*J1194+'CAFCO 400 '!$D$31)),0),0)+IF(AND(L1194="Cafco 300",J1194&gt;=95,J1194&lt;=240,C1194="Cj",I1194=90),VLOOKUP(T1194,'CAFCO 300 IDIEM TABLAS'!$B$4:$D$23,2,FALSE),0)+IF(AND(L1194="Cafco 300",J1194&gt;=95,J1194&lt;=240,C1194="Cj",I1194=120),VLOOKUP(T1194,'CAFCO 300 IDIEM TABLAS'!$B$4:$D$23,3,FALSE),0)+IF(AND(L1194="Cafco 300",J1194&gt;=95,J1194&lt;=400,G1194=3,C1194="IN",I1194=90),VLOOKUP(T1194,'CAFCO 300 IDIEM TABLAS'!$F$4:$H$35,2,FALSE),0)+IF(AND(L1194="Cafco 300",J1194&gt;=95,J1194&lt;=400,G1194=3,C1194="IN",I1194=120),VLOOKUP(T1194,'CAFCO 300 IDIEM TABLAS'!$F$4:$H$35,3,FALSE),0)+IF(AND(L1194="Cafco 300",J1194&gt;=95,J1194&lt;=450,G1194=4,C1194="IN",I1194=90),VLOOKUP(T1194,'CAFCO 300 IDIEM TABLAS'!$J$4:$L$40,2,FALSE),0)+IF(AND(L1194="Cafco 300",J1194&gt;=95,J1194&lt;=450,G1194=4,C1194="IN",I1194=120),VLOOKUP(T1194,'CAFCO 300 IDIEM TABLAS'!$J$4:$L$40,3,FALSE),0)+IF(AND(M1194="Ensayo Idiem",L1194="Cafco 400",C1194="IN",G1194=4,I1194=90),VLOOKUP(T1194,'CAFCO 400 ENSAYO'!$B$7:$D$43,2,FALSE),0)+IF(AND(M1194="Ensayo Idiem",L1194="Cafco 400",C1194="IN",G1194=4,I1194=120),VLOOKUP(T1194,'CAFCO 400 ENSAYO'!$B$7:$D$43,3,FALSE),0)</f>
        <v>0</v>
      </c>
      <c r="O1194" s="96">
        <f t="shared" si="120"/>
        <v>0</v>
      </c>
      <c r="P1194" s="95" t="str">
        <f t="shared" si="115"/>
        <v>N/A</v>
      </c>
      <c r="Q1194" s="95" t="str">
        <f t="shared" si="116"/>
        <v>N/A</v>
      </c>
      <c r="R1194" s="95" t="str">
        <f t="shared" si="117"/>
        <v>NO CERT.</v>
      </c>
      <c r="S1194" s="95" t="e">
        <f t="shared" si="118"/>
        <v>#N/A</v>
      </c>
      <c r="T1194" s="119" t="e">
        <f>+IF(J1194=LOOKUP(J1194,'CAFCO 300 IDIEM TABLAS'!$J$4:$J$40),'CALCULO MORTERO'!J1194,MROUND('CALCULO MORTERO'!J1194,10))</f>
        <v>#N/A</v>
      </c>
      <c r="U1194" s="118">
        <f t="shared" si="119"/>
        <v>0</v>
      </c>
    </row>
    <row r="1195" spans="1:21" x14ac:dyDescent="0.25">
      <c r="A1195" s="118">
        <f>+CUBICACION!D1189</f>
        <v>0</v>
      </c>
      <c r="B1195" s="819">
        <f>+CUBICACION!E1189</f>
        <v>0</v>
      </c>
      <c r="C1195" s="675">
        <f>+CUBICACION!F1189</f>
        <v>0</v>
      </c>
      <c r="D1195" s="118"/>
      <c r="E1195" s="118"/>
      <c r="F1195" s="820"/>
      <c r="G1195" s="675">
        <f>+CUBICACION!J1189</f>
        <v>0</v>
      </c>
      <c r="H1195" s="118"/>
      <c r="I1195" s="821">
        <f>+CUBICACION!L1189</f>
        <v>0</v>
      </c>
      <c r="J1195" s="64">
        <f>+CUBICACION!M1189</f>
        <v>0</v>
      </c>
      <c r="K1195" s="822" t="str">
        <f>+CUBICACION!N1189</f>
        <v/>
      </c>
      <c r="L1195" s="118">
        <f>+CUBICACION!O1189</f>
        <v>0</v>
      </c>
      <c r="M1195" s="823">
        <f>+CUBICACION!P1189</f>
        <v>0</v>
      </c>
      <c r="N1195" s="902">
        <f>ROUND(IF(AND(L1195="Blaze Shield II",M1195="Software Idiem",C1195="IN",G1195=4),((('BLAZE SHIELD II'!$D$4*('CALCULO MORTERO'!I1195^2)+'BLAZE SHIELD II'!$D$5*'CALCULO MORTERO'!I1195+'BLAZE SHIELD II'!$D$6)*LN(J1195))+('BLAZE SHIELD II'!$D$7*('CALCULO MORTERO'!I1195^2)+'BLAZE SHIELD II'!$D$8*'CALCULO MORTERO'!I1195+'BLAZE SHIELD II'!$D$9)),0)+IF(AND(L1195="Blaze Shield II",M1195="Software Idiem",C1195="Cj"),((('BLAZE SHIELD II'!$H$4*('CALCULO MORTERO'!I1195^2)+'BLAZE SHIELD II'!$H$5*'CALCULO MORTERO'!I1195+'BLAZE SHIELD II'!$H$6)*LN(J1195))+('BLAZE SHIELD II'!$H$7*('CALCULO MORTERO'!I1195^2)+'BLAZE SHIELD II'!$H$8*'CALCULO MORTERO'!I1195+'BLAZE SHIELD II'!$H$9)),0)+IF(AND(L1195="Blaze Shield II",M1195="Software Idiem",C1195="C"),((('BLAZE SHIELD II'!$L$4*('CALCULO MORTERO'!I1195^2)+'BLAZE SHIELD II'!$L$5*'CALCULO MORTERO'!I1195+'BLAZE SHIELD II'!$L$6)*LN(J1195))+('BLAZE SHIELD II'!$L$7*('CALCULO MORTERO'!I1195^2)+'BLAZE SHIELD II'!$L$8*'CALCULO MORTERO'!I1195+'BLAZE SHIELD II'!$L$9)),0)+IF(AND(L1195="Blaze Shield II",M1195="Software Idiem",C1195="L"),((('BLAZE SHIELD II'!$L$4*('CALCULO MORTERO'!I1195^2)+'BLAZE SHIELD II'!$L$5*'CALCULO MORTERO'!I1195+'BLAZE SHIELD II'!$L$6)*LN(J1195))+('BLAZE SHIELD II'!$L$7*('CALCULO MORTERO'!I1195^2)+'BLAZE SHIELD II'!$L$8*'CALCULO MORTERO'!I1195+'BLAZE SHIELD II'!$L$9)),0)+IF(AND(L1195="Blaze Shield II",M1195="Software Idiem",C1195="IN",G1195=3),((('BLAZE SHIELD II'!$H$14*('CALCULO MORTERO'!I1195^2)+'BLAZE SHIELD II'!$H$15*'CALCULO MORTERO'!I1195+'BLAZE SHIELD II'!$H$16)*LN(J1195))+('BLAZE SHIELD II'!$H$17*('CALCULO MORTERO'!I1195^2)+'BLAZE SHIELD II'!$H$18*'CALCULO MORTERO'!I1195+'BLAZE SHIELD II'!$H$19)),0),0)+ROUND(IF(AND(L1195="Cafco 400",M1195="Software Idiem",C1195="IN",G1195=4),((('CAFCO 400 '!$H$7*(J1195^4)+'CAFCO 400 '!$H$8*(J1195^3)+'CAFCO 400 '!$H$9*(J1195^2)+'CAFCO 400 '!$H$10*J1195+'CAFCO 400 '!$H$11)*U1195^2)+(('CAFCO 400 '!$H$12*(J1195^3)+'CAFCO 400 '!$H$13*(J1195^2)+'CAFCO 400 '!$H$14*J1195+'CAFCO 400 '!$H$15)*U1195)+('CAFCO 400 '!$H$16*(J1195^2)+'CAFCO 400 '!$H$17*J1195+'CAFCO 400 '!$H$18)),0)+IF(AND(L1195="Cafco 400",M1195="Software Idiem",C1195="Cj"),(((('CAFCO 400 '!$D$7*LN(J1195)+'CAFCO 400 '!$D$8)*U1195^2)+(('CAFCO 400 '!$D$9*LN(J1195)+'CAFCO 400 '!$D$10)*U1195)+('CAFCO 400 '!$D$11*LN(J1195)+'CAFCO 400 '!$D$12))),0)+IF(AND(L1195="Cafco 400",M1195="Software Idiem",C1195="C"),((('CAFCO 400 '!$L$7*(J1195^3)+'CAFCO 400 '!$L$8*(J1195^2)+'CAFCO 400 '!$L$9*J1195+'CAFCO 400 '!$L$10)*U1195^2)+(('CAFCO 400 '!$L$11*(J1195^3)+'CAFCO 400 '!$L$12*(J1195^2)+'CAFCO 400 '!$L$13*J1195+'CAFCO 400 '!$L$14)*U1195)+('CAFCO 400 '!$L$15*LN(J1195)+'CAFCO 400 '!$L$16)),0)+IF(AND(L1195="Cafco 400",M1195="Software Idiem",C1195="L"),((('CAFCO 400 '!$L$7*(J1195^3)+'CAFCO 400 '!$L$8*(J1195^2)+'CAFCO 400 '!$L$9*J1195+'CAFCO 400 '!$L$10)*U1195^2)+(('CAFCO 400 '!$L$11*(J1195^3)+'CAFCO 400 '!$L$12*(J1195^2)+'CAFCO 400 '!$L$13*J1195+'CAFCO 400 '!$L$14)*U1195)+('CAFCO 400 '!$L$15*LN(J1195)+'CAFCO 400 '!$L$16)),0)+IF(AND(L1195="Cafco 400",M1195="Software Idiem",C1195="IN",G1195=3),((('CAFCO 400 '!$D$23*(J1195^2)+'CAFCO 400 '!$D$24*(J1195)+'CAFCO 400 '!$D$25)*U1195^2)+(('CAFCO 400 '!$D$26*(J1195^2)+'CAFCO 400 '!$D$27*J1195+'CAFCO 400 '!$D$28)*U1195)+('CAFCO 400 '!$D$29*(J1195^2)+'CAFCO 400 '!$D$30*J1195+'CAFCO 400 '!$D$31)),0),0)+IF(AND(L1195="Cafco 300",J1195&gt;=95,J1195&lt;=240,C1195="Cj",I1195=90),VLOOKUP(T1195,'CAFCO 300 IDIEM TABLAS'!$B$4:$D$23,2,FALSE),0)+IF(AND(L1195="Cafco 300",J1195&gt;=95,J1195&lt;=240,C1195="Cj",I1195=120),VLOOKUP(T1195,'CAFCO 300 IDIEM TABLAS'!$B$4:$D$23,3,FALSE),0)+IF(AND(L1195="Cafco 300",J1195&gt;=95,J1195&lt;=400,G1195=3,C1195="IN",I1195=90),VLOOKUP(T1195,'CAFCO 300 IDIEM TABLAS'!$F$4:$H$35,2,FALSE),0)+IF(AND(L1195="Cafco 300",J1195&gt;=95,J1195&lt;=400,G1195=3,C1195="IN",I1195=120),VLOOKUP(T1195,'CAFCO 300 IDIEM TABLAS'!$F$4:$H$35,3,FALSE),0)+IF(AND(L1195="Cafco 300",J1195&gt;=95,J1195&lt;=450,G1195=4,C1195="IN",I1195=90),VLOOKUP(T1195,'CAFCO 300 IDIEM TABLAS'!$J$4:$L$40,2,FALSE),0)+IF(AND(L1195="Cafco 300",J1195&gt;=95,J1195&lt;=450,G1195=4,C1195="IN",I1195=120),VLOOKUP(T1195,'CAFCO 300 IDIEM TABLAS'!$J$4:$L$40,3,FALSE),0)+IF(AND(M1195="Ensayo Idiem",L1195="Cafco 400",C1195="IN",G1195=4,I1195=90),VLOOKUP(T1195,'CAFCO 400 ENSAYO'!$B$7:$D$43,2,FALSE),0)+IF(AND(M1195="Ensayo Idiem",L1195="Cafco 400",C1195="IN",G1195=4,I1195=120),VLOOKUP(T1195,'CAFCO 400 ENSAYO'!$B$7:$D$43,3,FALSE),0)</f>
        <v>0</v>
      </c>
      <c r="O1195" s="96">
        <f t="shared" si="120"/>
        <v>0</v>
      </c>
      <c r="P1195" s="132" t="str">
        <f t="shared" si="115"/>
        <v>N/A</v>
      </c>
      <c r="Q1195" s="132" t="str">
        <f t="shared" si="116"/>
        <v>N/A</v>
      </c>
      <c r="R1195" s="132" t="str">
        <f t="shared" si="117"/>
        <v>NO CERT.</v>
      </c>
      <c r="S1195" s="132" t="e">
        <f t="shared" si="118"/>
        <v>#N/A</v>
      </c>
      <c r="T1195" s="133" t="e">
        <f>+IF(J1195=LOOKUP(J1195,'CAFCO 300 IDIEM TABLAS'!$J$4:$J$40),'CALCULO MORTERO'!J1195,MROUND('CALCULO MORTERO'!J1195,10))</f>
        <v>#N/A</v>
      </c>
      <c r="U1195" s="134">
        <f t="shared" si="119"/>
        <v>0</v>
      </c>
    </row>
    <row r="1196" spans="1:21" x14ac:dyDescent="0.25">
      <c r="A1196" s="118">
        <f>+CUBICACION!D1190</f>
        <v>0</v>
      </c>
      <c r="B1196" s="819">
        <f>+CUBICACION!E1190</f>
        <v>0</v>
      </c>
      <c r="C1196" s="675">
        <f>+CUBICACION!F1190</f>
        <v>0</v>
      </c>
      <c r="D1196" s="118"/>
      <c r="E1196" s="118"/>
      <c r="F1196" s="820"/>
      <c r="G1196" s="675">
        <f>+CUBICACION!J1190</f>
        <v>0</v>
      </c>
      <c r="H1196" s="118"/>
      <c r="I1196" s="821">
        <f>+CUBICACION!L1190</f>
        <v>0</v>
      </c>
      <c r="J1196" s="64">
        <f>+CUBICACION!M1190</f>
        <v>0</v>
      </c>
      <c r="K1196" s="822" t="str">
        <f>+CUBICACION!N1190</f>
        <v/>
      </c>
      <c r="L1196" s="118">
        <f>+CUBICACION!O1190</f>
        <v>0</v>
      </c>
      <c r="M1196" s="823">
        <f>+CUBICACION!P1190</f>
        <v>0</v>
      </c>
      <c r="N1196" s="902">
        <f>ROUND(IF(AND(L1196="Blaze Shield II",M1196="Software Idiem",C1196="IN",G1196=4),((('BLAZE SHIELD II'!$D$4*('CALCULO MORTERO'!I1196^2)+'BLAZE SHIELD II'!$D$5*'CALCULO MORTERO'!I1196+'BLAZE SHIELD II'!$D$6)*LN(J1196))+('BLAZE SHIELD II'!$D$7*('CALCULO MORTERO'!I1196^2)+'BLAZE SHIELD II'!$D$8*'CALCULO MORTERO'!I1196+'BLAZE SHIELD II'!$D$9)),0)+IF(AND(L1196="Blaze Shield II",M1196="Software Idiem",C1196="Cj"),((('BLAZE SHIELD II'!$H$4*('CALCULO MORTERO'!I1196^2)+'BLAZE SHIELD II'!$H$5*'CALCULO MORTERO'!I1196+'BLAZE SHIELD II'!$H$6)*LN(J1196))+('BLAZE SHIELD II'!$H$7*('CALCULO MORTERO'!I1196^2)+'BLAZE SHIELD II'!$H$8*'CALCULO MORTERO'!I1196+'BLAZE SHIELD II'!$H$9)),0)+IF(AND(L1196="Blaze Shield II",M1196="Software Idiem",C1196="C"),((('BLAZE SHIELD II'!$L$4*('CALCULO MORTERO'!I1196^2)+'BLAZE SHIELD II'!$L$5*'CALCULO MORTERO'!I1196+'BLAZE SHIELD II'!$L$6)*LN(J1196))+('BLAZE SHIELD II'!$L$7*('CALCULO MORTERO'!I1196^2)+'BLAZE SHIELD II'!$L$8*'CALCULO MORTERO'!I1196+'BLAZE SHIELD II'!$L$9)),0)+IF(AND(L1196="Blaze Shield II",M1196="Software Idiem",C1196="L"),((('BLAZE SHIELD II'!$L$4*('CALCULO MORTERO'!I1196^2)+'BLAZE SHIELD II'!$L$5*'CALCULO MORTERO'!I1196+'BLAZE SHIELD II'!$L$6)*LN(J1196))+('BLAZE SHIELD II'!$L$7*('CALCULO MORTERO'!I1196^2)+'BLAZE SHIELD II'!$L$8*'CALCULO MORTERO'!I1196+'BLAZE SHIELD II'!$L$9)),0)+IF(AND(L1196="Blaze Shield II",M1196="Software Idiem",C1196="IN",G1196=3),((('BLAZE SHIELD II'!$H$14*('CALCULO MORTERO'!I1196^2)+'BLAZE SHIELD II'!$H$15*'CALCULO MORTERO'!I1196+'BLAZE SHIELD II'!$H$16)*LN(J1196))+('BLAZE SHIELD II'!$H$17*('CALCULO MORTERO'!I1196^2)+'BLAZE SHIELD II'!$H$18*'CALCULO MORTERO'!I1196+'BLAZE SHIELD II'!$H$19)),0),0)+ROUND(IF(AND(L1196="Cafco 400",M1196="Software Idiem",C1196="IN",G1196=4),((('CAFCO 400 '!$H$7*(J1196^4)+'CAFCO 400 '!$H$8*(J1196^3)+'CAFCO 400 '!$H$9*(J1196^2)+'CAFCO 400 '!$H$10*J1196+'CAFCO 400 '!$H$11)*U1196^2)+(('CAFCO 400 '!$H$12*(J1196^3)+'CAFCO 400 '!$H$13*(J1196^2)+'CAFCO 400 '!$H$14*J1196+'CAFCO 400 '!$H$15)*U1196)+('CAFCO 400 '!$H$16*(J1196^2)+'CAFCO 400 '!$H$17*J1196+'CAFCO 400 '!$H$18)),0)+IF(AND(L1196="Cafco 400",M1196="Software Idiem",C1196="Cj"),(((('CAFCO 400 '!$D$7*LN(J1196)+'CAFCO 400 '!$D$8)*U1196^2)+(('CAFCO 400 '!$D$9*LN(J1196)+'CAFCO 400 '!$D$10)*U1196)+('CAFCO 400 '!$D$11*LN(J1196)+'CAFCO 400 '!$D$12))),0)+IF(AND(L1196="Cafco 400",M1196="Software Idiem",C1196="C"),((('CAFCO 400 '!$L$7*(J1196^3)+'CAFCO 400 '!$L$8*(J1196^2)+'CAFCO 400 '!$L$9*J1196+'CAFCO 400 '!$L$10)*U1196^2)+(('CAFCO 400 '!$L$11*(J1196^3)+'CAFCO 400 '!$L$12*(J1196^2)+'CAFCO 400 '!$L$13*J1196+'CAFCO 400 '!$L$14)*U1196)+('CAFCO 400 '!$L$15*LN(J1196)+'CAFCO 400 '!$L$16)),0)+IF(AND(L1196="Cafco 400",M1196="Software Idiem",C1196="L"),((('CAFCO 400 '!$L$7*(J1196^3)+'CAFCO 400 '!$L$8*(J1196^2)+'CAFCO 400 '!$L$9*J1196+'CAFCO 400 '!$L$10)*U1196^2)+(('CAFCO 400 '!$L$11*(J1196^3)+'CAFCO 400 '!$L$12*(J1196^2)+'CAFCO 400 '!$L$13*J1196+'CAFCO 400 '!$L$14)*U1196)+('CAFCO 400 '!$L$15*LN(J1196)+'CAFCO 400 '!$L$16)),0)+IF(AND(L1196="Cafco 400",M1196="Software Idiem",C1196="IN",G1196=3),((('CAFCO 400 '!$D$23*(J1196^2)+'CAFCO 400 '!$D$24*(J1196)+'CAFCO 400 '!$D$25)*U1196^2)+(('CAFCO 400 '!$D$26*(J1196^2)+'CAFCO 400 '!$D$27*J1196+'CAFCO 400 '!$D$28)*U1196)+('CAFCO 400 '!$D$29*(J1196^2)+'CAFCO 400 '!$D$30*J1196+'CAFCO 400 '!$D$31)),0),0)+IF(AND(L1196="Cafco 300",J1196&gt;=95,J1196&lt;=240,C1196="Cj",I1196=90),VLOOKUP(T1196,'CAFCO 300 IDIEM TABLAS'!$B$4:$D$23,2,FALSE),0)+IF(AND(L1196="Cafco 300",J1196&gt;=95,J1196&lt;=240,C1196="Cj",I1196=120),VLOOKUP(T1196,'CAFCO 300 IDIEM TABLAS'!$B$4:$D$23,3,FALSE),0)+IF(AND(L1196="Cafco 300",J1196&gt;=95,J1196&lt;=400,G1196=3,C1196="IN",I1196=90),VLOOKUP(T1196,'CAFCO 300 IDIEM TABLAS'!$F$4:$H$35,2,FALSE),0)+IF(AND(L1196="Cafco 300",J1196&gt;=95,J1196&lt;=400,G1196=3,C1196="IN",I1196=120),VLOOKUP(T1196,'CAFCO 300 IDIEM TABLAS'!$F$4:$H$35,3,FALSE),0)+IF(AND(L1196="Cafco 300",J1196&gt;=95,J1196&lt;=450,G1196=4,C1196="IN",I1196=90),VLOOKUP(T1196,'CAFCO 300 IDIEM TABLAS'!$J$4:$L$40,2,FALSE),0)+IF(AND(L1196="Cafco 300",J1196&gt;=95,J1196&lt;=450,G1196=4,C1196="IN",I1196=120),VLOOKUP(T1196,'CAFCO 300 IDIEM TABLAS'!$J$4:$L$40,3,FALSE),0)+IF(AND(M1196="Ensayo Idiem",L1196="Cafco 400",C1196="IN",G1196=4,I1196=90),VLOOKUP(T1196,'CAFCO 400 ENSAYO'!$B$7:$D$43,2,FALSE),0)+IF(AND(M1196="Ensayo Idiem",L1196="Cafco 400",C1196="IN",G1196=4,I1196=120),VLOOKUP(T1196,'CAFCO 400 ENSAYO'!$B$7:$D$43,3,FALSE),0)</f>
        <v>0</v>
      </c>
      <c r="O1196" s="96">
        <f t="shared" si="120"/>
        <v>0</v>
      </c>
      <c r="P1196" s="95" t="str">
        <f t="shared" si="115"/>
        <v>N/A</v>
      </c>
      <c r="Q1196" s="95" t="str">
        <f t="shared" si="116"/>
        <v>N/A</v>
      </c>
      <c r="R1196" s="95" t="str">
        <f t="shared" si="117"/>
        <v>NO CERT.</v>
      </c>
      <c r="S1196" s="95" t="e">
        <f t="shared" si="118"/>
        <v>#N/A</v>
      </c>
      <c r="T1196" s="119" t="e">
        <f>+IF(J1196=LOOKUP(J1196,'CAFCO 300 IDIEM TABLAS'!$J$4:$J$40),'CALCULO MORTERO'!J1196,MROUND('CALCULO MORTERO'!J1196,10))</f>
        <v>#N/A</v>
      </c>
      <c r="U1196" s="118">
        <f t="shared" si="119"/>
        <v>0</v>
      </c>
    </row>
    <row r="1197" spans="1:21" x14ac:dyDescent="0.25">
      <c r="A1197" s="118">
        <f>+CUBICACION!D1191</f>
        <v>0</v>
      </c>
      <c r="B1197" s="819">
        <f>+CUBICACION!E1191</f>
        <v>0</v>
      </c>
      <c r="C1197" s="675">
        <f>+CUBICACION!F1191</f>
        <v>0</v>
      </c>
      <c r="D1197" s="118"/>
      <c r="E1197" s="118"/>
      <c r="F1197" s="820"/>
      <c r="G1197" s="675">
        <f>+CUBICACION!J1191</f>
        <v>0</v>
      </c>
      <c r="H1197" s="118"/>
      <c r="I1197" s="821">
        <f>+CUBICACION!L1191</f>
        <v>0</v>
      </c>
      <c r="J1197" s="64">
        <f>+CUBICACION!M1191</f>
        <v>0</v>
      </c>
      <c r="K1197" s="822" t="str">
        <f>+CUBICACION!N1191</f>
        <v/>
      </c>
      <c r="L1197" s="118">
        <f>+CUBICACION!O1191</f>
        <v>0</v>
      </c>
      <c r="M1197" s="823">
        <f>+CUBICACION!P1191</f>
        <v>0</v>
      </c>
      <c r="N1197" s="902">
        <f>ROUND(IF(AND(L1197="Blaze Shield II",M1197="Software Idiem",C1197="IN",G1197=4),((('BLAZE SHIELD II'!$D$4*('CALCULO MORTERO'!I1197^2)+'BLAZE SHIELD II'!$D$5*'CALCULO MORTERO'!I1197+'BLAZE SHIELD II'!$D$6)*LN(J1197))+('BLAZE SHIELD II'!$D$7*('CALCULO MORTERO'!I1197^2)+'BLAZE SHIELD II'!$D$8*'CALCULO MORTERO'!I1197+'BLAZE SHIELD II'!$D$9)),0)+IF(AND(L1197="Blaze Shield II",M1197="Software Idiem",C1197="Cj"),((('BLAZE SHIELD II'!$H$4*('CALCULO MORTERO'!I1197^2)+'BLAZE SHIELD II'!$H$5*'CALCULO MORTERO'!I1197+'BLAZE SHIELD II'!$H$6)*LN(J1197))+('BLAZE SHIELD II'!$H$7*('CALCULO MORTERO'!I1197^2)+'BLAZE SHIELD II'!$H$8*'CALCULO MORTERO'!I1197+'BLAZE SHIELD II'!$H$9)),0)+IF(AND(L1197="Blaze Shield II",M1197="Software Idiem",C1197="C"),((('BLAZE SHIELD II'!$L$4*('CALCULO MORTERO'!I1197^2)+'BLAZE SHIELD II'!$L$5*'CALCULO MORTERO'!I1197+'BLAZE SHIELD II'!$L$6)*LN(J1197))+('BLAZE SHIELD II'!$L$7*('CALCULO MORTERO'!I1197^2)+'BLAZE SHIELD II'!$L$8*'CALCULO MORTERO'!I1197+'BLAZE SHIELD II'!$L$9)),0)+IF(AND(L1197="Blaze Shield II",M1197="Software Idiem",C1197="L"),((('BLAZE SHIELD II'!$L$4*('CALCULO MORTERO'!I1197^2)+'BLAZE SHIELD II'!$L$5*'CALCULO MORTERO'!I1197+'BLAZE SHIELD II'!$L$6)*LN(J1197))+('BLAZE SHIELD II'!$L$7*('CALCULO MORTERO'!I1197^2)+'BLAZE SHIELD II'!$L$8*'CALCULO MORTERO'!I1197+'BLAZE SHIELD II'!$L$9)),0)+IF(AND(L1197="Blaze Shield II",M1197="Software Idiem",C1197="IN",G1197=3),((('BLAZE SHIELD II'!$H$14*('CALCULO MORTERO'!I1197^2)+'BLAZE SHIELD II'!$H$15*'CALCULO MORTERO'!I1197+'BLAZE SHIELD II'!$H$16)*LN(J1197))+('BLAZE SHIELD II'!$H$17*('CALCULO MORTERO'!I1197^2)+'BLAZE SHIELD II'!$H$18*'CALCULO MORTERO'!I1197+'BLAZE SHIELD II'!$H$19)),0),0)+ROUND(IF(AND(L1197="Cafco 400",M1197="Software Idiem",C1197="IN",G1197=4),((('CAFCO 400 '!$H$7*(J1197^4)+'CAFCO 400 '!$H$8*(J1197^3)+'CAFCO 400 '!$H$9*(J1197^2)+'CAFCO 400 '!$H$10*J1197+'CAFCO 400 '!$H$11)*U1197^2)+(('CAFCO 400 '!$H$12*(J1197^3)+'CAFCO 400 '!$H$13*(J1197^2)+'CAFCO 400 '!$H$14*J1197+'CAFCO 400 '!$H$15)*U1197)+('CAFCO 400 '!$H$16*(J1197^2)+'CAFCO 400 '!$H$17*J1197+'CAFCO 400 '!$H$18)),0)+IF(AND(L1197="Cafco 400",M1197="Software Idiem",C1197="Cj"),(((('CAFCO 400 '!$D$7*LN(J1197)+'CAFCO 400 '!$D$8)*U1197^2)+(('CAFCO 400 '!$D$9*LN(J1197)+'CAFCO 400 '!$D$10)*U1197)+('CAFCO 400 '!$D$11*LN(J1197)+'CAFCO 400 '!$D$12))),0)+IF(AND(L1197="Cafco 400",M1197="Software Idiem",C1197="C"),((('CAFCO 400 '!$L$7*(J1197^3)+'CAFCO 400 '!$L$8*(J1197^2)+'CAFCO 400 '!$L$9*J1197+'CAFCO 400 '!$L$10)*U1197^2)+(('CAFCO 400 '!$L$11*(J1197^3)+'CAFCO 400 '!$L$12*(J1197^2)+'CAFCO 400 '!$L$13*J1197+'CAFCO 400 '!$L$14)*U1197)+('CAFCO 400 '!$L$15*LN(J1197)+'CAFCO 400 '!$L$16)),0)+IF(AND(L1197="Cafco 400",M1197="Software Idiem",C1197="L"),((('CAFCO 400 '!$L$7*(J1197^3)+'CAFCO 400 '!$L$8*(J1197^2)+'CAFCO 400 '!$L$9*J1197+'CAFCO 400 '!$L$10)*U1197^2)+(('CAFCO 400 '!$L$11*(J1197^3)+'CAFCO 400 '!$L$12*(J1197^2)+'CAFCO 400 '!$L$13*J1197+'CAFCO 400 '!$L$14)*U1197)+('CAFCO 400 '!$L$15*LN(J1197)+'CAFCO 400 '!$L$16)),0)+IF(AND(L1197="Cafco 400",M1197="Software Idiem",C1197="IN",G1197=3),((('CAFCO 400 '!$D$23*(J1197^2)+'CAFCO 400 '!$D$24*(J1197)+'CAFCO 400 '!$D$25)*U1197^2)+(('CAFCO 400 '!$D$26*(J1197^2)+'CAFCO 400 '!$D$27*J1197+'CAFCO 400 '!$D$28)*U1197)+('CAFCO 400 '!$D$29*(J1197^2)+'CAFCO 400 '!$D$30*J1197+'CAFCO 400 '!$D$31)),0),0)+IF(AND(L1197="Cafco 300",J1197&gt;=95,J1197&lt;=240,C1197="Cj",I1197=90),VLOOKUP(T1197,'CAFCO 300 IDIEM TABLAS'!$B$4:$D$23,2,FALSE),0)+IF(AND(L1197="Cafco 300",J1197&gt;=95,J1197&lt;=240,C1197="Cj",I1197=120),VLOOKUP(T1197,'CAFCO 300 IDIEM TABLAS'!$B$4:$D$23,3,FALSE),0)+IF(AND(L1197="Cafco 300",J1197&gt;=95,J1197&lt;=400,G1197=3,C1197="IN",I1197=90),VLOOKUP(T1197,'CAFCO 300 IDIEM TABLAS'!$F$4:$H$35,2,FALSE),0)+IF(AND(L1197="Cafco 300",J1197&gt;=95,J1197&lt;=400,G1197=3,C1197="IN",I1197=120),VLOOKUP(T1197,'CAFCO 300 IDIEM TABLAS'!$F$4:$H$35,3,FALSE),0)+IF(AND(L1197="Cafco 300",J1197&gt;=95,J1197&lt;=450,G1197=4,C1197="IN",I1197=90),VLOOKUP(T1197,'CAFCO 300 IDIEM TABLAS'!$J$4:$L$40,2,FALSE),0)+IF(AND(L1197="Cafco 300",J1197&gt;=95,J1197&lt;=450,G1197=4,C1197="IN",I1197=120),VLOOKUP(T1197,'CAFCO 300 IDIEM TABLAS'!$J$4:$L$40,3,FALSE),0)+IF(AND(M1197="Ensayo Idiem",L1197="Cafco 400",C1197="IN",G1197=4,I1197=90),VLOOKUP(T1197,'CAFCO 400 ENSAYO'!$B$7:$D$43,2,FALSE),0)+IF(AND(M1197="Ensayo Idiem",L1197="Cafco 400",C1197="IN",G1197=4,I1197=120),VLOOKUP(T1197,'CAFCO 400 ENSAYO'!$B$7:$D$43,3,FALSE),0)</f>
        <v>0</v>
      </c>
      <c r="O1197" s="96">
        <f t="shared" si="120"/>
        <v>0</v>
      </c>
      <c r="P1197" s="132" t="str">
        <f t="shared" si="115"/>
        <v>N/A</v>
      </c>
      <c r="Q1197" s="132" t="str">
        <f t="shared" si="116"/>
        <v>N/A</v>
      </c>
      <c r="R1197" s="132" t="str">
        <f t="shared" si="117"/>
        <v>NO CERT.</v>
      </c>
      <c r="S1197" s="132" t="e">
        <f t="shared" si="118"/>
        <v>#N/A</v>
      </c>
      <c r="T1197" s="133" t="e">
        <f>+IF(J1197=LOOKUP(J1197,'CAFCO 300 IDIEM TABLAS'!$J$4:$J$40),'CALCULO MORTERO'!J1197,MROUND('CALCULO MORTERO'!J1197,10))</f>
        <v>#N/A</v>
      </c>
      <c r="U1197" s="134">
        <f t="shared" si="119"/>
        <v>0</v>
      </c>
    </row>
    <row r="1198" spans="1:21" x14ac:dyDescent="0.25">
      <c r="A1198" s="118">
        <f>+CUBICACION!D1192</f>
        <v>0</v>
      </c>
      <c r="B1198" s="819">
        <f>+CUBICACION!E1192</f>
        <v>0</v>
      </c>
      <c r="C1198" s="675">
        <f>+CUBICACION!F1192</f>
        <v>0</v>
      </c>
      <c r="D1198" s="118"/>
      <c r="E1198" s="118"/>
      <c r="F1198" s="820"/>
      <c r="G1198" s="675">
        <f>+CUBICACION!J1192</f>
        <v>0</v>
      </c>
      <c r="H1198" s="118"/>
      <c r="I1198" s="821">
        <f>+CUBICACION!L1192</f>
        <v>0</v>
      </c>
      <c r="J1198" s="64">
        <f>+CUBICACION!M1192</f>
        <v>0</v>
      </c>
      <c r="K1198" s="822" t="str">
        <f>+CUBICACION!N1192</f>
        <v/>
      </c>
      <c r="L1198" s="118">
        <f>+CUBICACION!O1192</f>
        <v>0</v>
      </c>
      <c r="M1198" s="823">
        <f>+CUBICACION!P1192</f>
        <v>0</v>
      </c>
      <c r="N1198" s="902">
        <f>ROUND(IF(AND(L1198="Blaze Shield II",M1198="Software Idiem",C1198="IN",G1198=4),((('BLAZE SHIELD II'!$D$4*('CALCULO MORTERO'!I1198^2)+'BLAZE SHIELD II'!$D$5*'CALCULO MORTERO'!I1198+'BLAZE SHIELD II'!$D$6)*LN(J1198))+('BLAZE SHIELD II'!$D$7*('CALCULO MORTERO'!I1198^2)+'BLAZE SHIELD II'!$D$8*'CALCULO MORTERO'!I1198+'BLAZE SHIELD II'!$D$9)),0)+IF(AND(L1198="Blaze Shield II",M1198="Software Idiem",C1198="Cj"),((('BLAZE SHIELD II'!$H$4*('CALCULO MORTERO'!I1198^2)+'BLAZE SHIELD II'!$H$5*'CALCULO MORTERO'!I1198+'BLAZE SHIELD II'!$H$6)*LN(J1198))+('BLAZE SHIELD II'!$H$7*('CALCULO MORTERO'!I1198^2)+'BLAZE SHIELD II'!$H$8*'CALCULO MORTERO'!I1198+'BLAZE SHIELD II'!$H$9)),0)+IF(AND(L1198="Blaze Shield II",M1198="Software Idiem",C1198="C"),((('BLAZE SHIELD II'!$L$4*('CALCULO MORTERO'!I1198^2)+'BLAZE SHIELD II'!$L$5*'CALCULO MORTERO'!I1198+'BLAZE SHIELD II'!$L$6)*LN(J1198))+('BLAZE SHIELD II'!$L$7*('CALCULO MORTERO'!I1198^2)+'BLAZE SHIELD II'!$L$8*'CALCULO MORTERO'!I1198+'BLAZE SHIELD II'!$L$9)),0)+IF(AND(L1198="Blaze Shield II",M1198="Software Idiem",C1198="L"),((('BLAZE SHIELD II'!$L$4*('CALCULO MORTERO'!I1198^2)+'BLAZE SHIELD II'!$L$5*'CALCULO MORTERO'!I1198+'BLAZE SHIELD II'!$L$6)*LN(J1198))+('BLAZE SHIELD II'!$L$7*('CALCULO MORTERO'!I1198^2)+'BLAZE SHIELD II'!$L$8*'CALCULO MORTERO'!I1198+'BLAZE SHIELD II'!$L$9)),0)+IF(AND(L1198="Blaze Shield II",M1198="Software Idiem",C1198="IN",G1198=3),((('BLAZE SHIELD II'!$H$14*('CALCULO MORTERO'!I1198^2)+'BLAZE SHIELD II'!$H$15*'CALCULO MORTERO'!I1198+'BLAZE SHIELD II'!$H$16)*LN(J1198))+('BLAZE SHIELD II'!$H$17*('CALCULO MORTERO'!I1198^2)+'BLAZE SHIELD II'!$H$18*'CALCULO MORTERO'!I1198+'BLAZE SHIELD II'!$H$19)),0),0)+ROUND(IF(AND(L1198="Cafco 400",M1198="Software Idiem",C1198="IN",G1198=4),((('CAFCO 400 '!$H$7*(J1198^4)+'CAFCO 400 '!$H$8*(J1198^3)+'CAFCO 400 '!$H$9*(J1198^2)+'CAFCO 400 '!$H$10*J1198+'CAFCO 400 '!$H$11)*U1198^2)+(('CAFCO 400 '!$H$12*(J1198^3)+'CAFCO 400 '!$H$13*(J1198^2)+'CAFCO 400 '!$H$14*J1198+'CAFCO 400 '!$H$15)*U1198)+('CAFCO 400 '!$H$16*(J1198^2)+'CAFCO 400 '!$H$17*J1198+'CAFCO 400 '!$H$18)),0)+IF(AND(L1198="Cafco 400",M1198="Software Idiem",C1198="Cj"),(((('CAFCO 400 '!$D$7*LN(J1198)+'CAFCO 400 '!$D$8)*U1198^2)+(('CAFCO 400 '!$D$9*LN(J1198)+'CAFCO 400 '!$D$10)*U1198)+('CAFCO 400 '!$D$11*LN(J1198)+'CAFCO 400 '!$D$12))),0)+IF(AND(L1198="Cafco 400",M1198="Software Idiem",C1198="C"),((('CAFCO 400 '!$L$7*(J1198^3)+'CAFCO 400 '!$L$8*(J1198^2)+'CAFCO 400 '!$L$9*J1198+'CAFCO 400 '!$L$10)*U1198^2)+(('CAFCO 400 '!$L$11*(J1198^3)+'CAFCO 400 '!$L$12*(J1198^2)+'CAFCO 400 '!$L$13*J1198+'CAFCO 400 '!$L$14)*U1198)+('CAFCO 400 '!$L$15*LN(J1198)+'CAFCO 400 '!$L$16)),0)+IF(AND(L1198="Cafco 400",M1198="Software Idiem",C1198="L"),((('CAFCO 400 '!$L$7*(J1198^3)+'CAFCO 400 '!$L$8*(J1198^2)+'CAFCO 400 '!$L$9*J1198+'CAFCO 400 '!$L$10)*U1198^2)+(('CAFCO 400 '!$L$11*(J1198^3)+'CAFCO 400 '!$L$12*(J1198^2)+'CAFCO 400 '!$L$13*J1198+'CAFCO 400 '!$L$14)*U1198)+('CAFCO 400 '!$L$15*LN(J1198)+'CAFCO 400 '!$L$16)),0)+IF(AND(L1198="Cafco 400",M1198="Software Idiem",C1198="IN",G1198=3),((('CAFCO 400 '!$D$23*(J1198^2)+'CAFCO 400 '!$D$24*(J1198)+'CAFCO 400 '!$D$25)*U1198^2)+(('CAFCO 400 '!$D$26*(J1198^2)+'CAFCO 400 '!$D$27*J1198+'CAFCO 400 '!$D$28)*U1198)+('CAFCO 400 '!$D$29*(J1198^2)+'CAFCO 400 '!$D$30*J1198+'CAFCO 400 '!$D$31)),0),0)+IF(AND(L1198="Cafco 300",J1198&gt;=95,J1198&lt;=240,C1198="Cj",I1198=90),VLOOKUP(T1198,'CAFCO 300 IDIEM TABLAS'!$B$4:$D$23,2,FALSE),0)+IF(AND(L1198="Cafco 300",J1198&gt;=95,J1198&lt;=240,C1198="Cj",I1198=120),VLOOKUP(T1198,'CAFCO 300 IDIEM TABLAS'!$B$4:$D$23,3,FALSE),0)+IF(AND(L1198="Cafco 300",J1198&gt;=95,J1198&lt;=400,G1198=3,C1198="IN",I1198=90),VLOOKUP(T1198,'CAFCO 300 IDIEM TABLAS'!$F$4:$H$35,2,FALSE),0)+IF(AND(L1198="Cafco 300",J1198&gt;=95,J1198&lt;=400,G1198=3,C1198="IN",I1198=120),VLOOKUP(T1198,'CAFCO 300 IDIEM TABLAS'!$F$4:$H$35,3,FALSE),0)+IF(AND(L1198="Cafco 300",J1198&gt;=95,J1198&lt;=450,G1198=4,C1198="IN",I1198=90),VLOOKUP(T1198,'CAFCO 300 IDIEM TABLAS'!$J$4:$L$40,2,FALSE),0)+IF(AND(L1198="Cafco 300",J1198&gt;=95,J1198&lt;=450,G1198=4,C1198="IN",I1198=120),VLOOKUP(T1198,'CAFCO 300 IDIEM TABLAS'!$J$4:$L$40,3,FALSE),0)+IF(AND(M1198="Ensayo Idiem",L1198="Cafco 400",C1198="IN",G1198=4,I1198=90),VLOOKUP(T1198,'CAFCO 400 ENSAYO'!$B$7:$D$43,2,FALSE),0)+IF(AND(M1198="Ensayo Idiem",L1198="Cafco 400",C1198="IN",G1198=4,I1198=120),VLOOKUP(T1198,'CAFCO 400 ENSAYO'!$B$7:$D$43,3,FALSE),0)</f>
        <v>0</v>
      </c>
      <c r="O1198" s="96">
        <f t="shared" si="120"/>
        <v>0</v>
      </c>
      <c r="P1198" s="95" t="str">
        <f t="shared" si="115"/>
        <v>N/A</v>
      </c>
      <c r="Q1198" s="95" t="str">
        <f t="shared" si="116"/>
        <v>N/A</v>
      </c>
      <c r="R1198" s="95" t="str">
        <f t="shared" si="117"/>
        <v>NO CERT.</v>
      </c>
      <c r="S1198" s="95" t="e">
        <f t="shared" si="118"/>
        <v>#N/A</v>
      </c>
      <c r="T1198" s="119" t="e">
        <f>+IF(J1198=LOOKUP(J1198,'CAFCO 300 IDIEM TABLAS'!$J$4:$J$40),'CALCULO MORTERO'!J1198,MROUND('CALCULO MORTERO'!J1198,10))</f>
        <v>#N/A</v>
      </c>
      <c r="U1198" s="118">
        <f t="shared" si="119"/>
        <v>0</v>
      </c>
    </row>
    <row r="1199" spans="1:21" x14ac:dyDescent="0.25">
      <c r="A1199" s="118">
        <f>+CUBICACION!D1193</f>
        <v>0</v>
      </c>
      <c r="B1199" s="819">
        <f>+CUBICACION!E1193</f>
        <v>0</v>
      </c>
      <c r="C1199" s="675">
        <f>+CUBICACION!F1193</f>
        <v>0</v>
      </c>
      <c r="D1199" s="118"/>
      <c r="E1199" s="118"/>
      <c r="F1199" s="820"/>
      <c r="G1199" s="675">
        <f>+CUBICACION!J1193</f>
        <v>0</v>
      </c>
      <c r="H1199" s="118"/>
      <c r="I1199" s="821">
        <f>+CUBICACION!L1193</f>
        <v>0</v>
      </c>
      <c r="J1199" s="64">
        <f>+CUBICACION!M1193</f>
        <v>0</v>
      </c>
      <c r="K1199" s="822" t="str">
        <f>+CUBICACION!N1193</f>
        <v/>
      </c>
      <c r="L1199" s="118">
        <f>+CUBICACION!O1193</f>
        <v>0</v>
      </c>
      <c r="M1199" s="823">
        <f>+CUBICACION!P1193</f>
        <v>0</v>
      </c>
      <c r="N1199" s="902">
        <f>ROUND(IF(AND(L1199="Blaze Shield II",M1199="Software Idiem",C1199="IN",G1199=4),((('BLAZE SHIELD II'!$D$4*('CALCULO MORTERO'!I1199^2)+'BLAZE SHIELD II'!$D$5*'CALCULO MORTERO'!I1199+'BLAZE SHIELD II'!$D$6)*LN(J1199))+('BLAZE SHIELD II'!$D$7*('CALCULO MORTERO'!I1199^2)+'BLAZE SHIELD II'!$D$8*'CALCULO MORTERO'!I1199+'BLAZE SHIELD II'!$D$9)),0)+IF(AND(L1199="Blaze Shield II",M1199="Software Idiem",C1199="Cj"),((('BLAZE SHIELD II'!$H$4*('CALCULO MORTERO'!I1199^2)+'BLAZE SHIELD II'!$H$5*'CALCULO MORTERO'!I1199+'BLAZE SHIELD II'!$H$6)*LN(J1199))+('BLAZE SHIELD II'!$H$7*('CALCULO MORTERO'!I1199^2)+'BLAZE SHIELD II'!$H$8*'CALCULO MORTERO'!I1199+'BLAZE SHIELD II'!$H$9)),0)+IF(AND(L1199="Blaze Shield II",M1199="Software Idiem",C1199="C"),((('BLAZE SHIELD II'!$L$4*('CALCULO MORTERO'!I1199^2)+'BLAZE SHIELD II'!$L$5*'CALCULO MORTERO'!I1199+'BLAZE SHIELD II'!$L$6)*LN(J1199))+('BLAZE SHIELD II'!$L$7*('CALCULO MORTERO'!I1199^2)+'BLAZE SHIELD II'!$L$8*'CALCULO MORTERO'!I1199+'BLAZE SHIELD II'!$L$9)),0)+IF(AND(L1199="Blaze Shield II",M1199="Software Idiem",C1199="L"),((('BLAZE SHIELD II'!$L$4*('CALCULO MORTERO'!I1199^2)+'BLAZE SHIELD II'!$L$5*'CALCULO MORTERO'!I1199+'BLAZE SHIELD II'!$L$6)*LN(J1199))+('BLAZE SHIELD II'!$L$7*('CALCULO MORTERO'!I1199^2)+'BLAZE SHIELD II'!$L$8*'CALCULO MORTERO'!I1199+'BLAZE SHIELD II'!$L$9)),0)+IF(AND(L1199="Blaze Shield II",M1199="Software Idiem",C1199="IN",G1199=3),((('BLAZE SHIELD II'!$H$14*('CALCULO MORTERO'!I1199^2)+'BLAZE SHIELD II'!$H$15*'CALCULO MORTERO'!I1199+'BLAZE SHIELD II'!$H$16)*LN(J1199))+('BLAZE SHIELD II'!$H$17*('CALCULO MORTERO'!I1199^2)+'BLAZE SHIELD II'!$H$18*'CALCULO MORTERO'!I1199+'BLAZE SHIELD II'!$H$19)),0),0)+ROUND(IF(AND(L1199="Cafco 400",M1199="Software Idiem",C1199="IN",G1199=4),((('CAFCO 400 '!$H$7*(J1199^4)+'CAFCO 400 '!$H$8*(J1199^3)+'CAFCO 400 '!$H$9*(J1199^2)+'CAFCO 400 '!$H$10*J1199+'CAFCO 400 '!$H$11)*U1199^2)+(('CAFCO 400 '!$H$12*(J1199^3)+'CAFCO 400 '!$H$13*(J1199^2)+'CAFCO 400 '!$H$14*J1199+'CAFCO 400 '!$H$15)*U1199)+('CAFCO 400 '!$H$16*(J1199^2)+'CAFCO 400 '!$H$17*J1199+'CAFCO 400 '!$H$18)),0)+IF(AND(L1199="Cafco 400",M1199="Software Idiem",C1199="Cj"),(((('CAFCO 400 '!$D$7*LN(J1199)+'CAFCO 400 '!$D$8)*U1199^2)+(('CAFCO 400 '!$D$9*LN(J1199)+'CAFCO 400 '!$D$10)*U1199)+('CAFCO 400 '!$D$11*LN(J1199)+'CAFCO 400 '!$D$12))),0)+IF(AND(L1199="Cafco 400",M1199="Software Idiem",C1199="C"),((('CAFCO 400 '!$L$7*(J1199^3)+'CAFCO 400 '!$L$8*(J1199^2)+'CAFCO 400 '!$L$9*J1199+'CAFCO 400 '!$L$10)*U1199^2)+(('CAFCO 400 '!$L$11*(J1199^3)+'CAFCO 400 '!$L$12*(J1199^2)+'CAFCO 400 '!$L$13*J1199+'CAFCO 400 '!$L$14)*U1199)+('CAFCO 400 '!$L$15*LN(J1199)+'CAFCO 400 '!$L$16)),0)+IF(AND(L1199="Cafco 400",M1199="Software Idiem",C1199="L"),((('CAFCO 400 '!$L$7*(J1199^3)+'CAFCO 400 '!$L$8*(J1199^2)+'CAFCO 400 '!$L$9*J1199+'CAFCO 400 '!$L$10)*U1199^2)+(('CAFCO 400 '!$L$11*(J1199^3)+'CAFCO 400 '!$L$12*(J1199^2)+'CAFCO 400 '!$L$13*J1199+'CAFCO 400 '!$L$14)*U1199)+('CAFCO 400 '!$L$15*LN(J1199)+'CAFCO 400 '!$L$16)),0)+IF(AND(L1199="Cafco 400",M1199="Software Idiem",C1199="IN",G1199=3),((('CAFCO 400 '!$D$23*(J1199^2)+'CAFCO 400 '!$D$24*(J1199)+'CAFCO 400 '!$D$25)*U1199^2)+(('CAFCO 400 '!$D$26*(J1199^2)+'CAFCO 400 '!$D$27*J1199+'CAFCO 400 '!$D$28)*U1199)+('CAFCO 400 '!$D$29*(J1199^2)+'CAFCO 400 '!$D$30*J1199+'CAFCO 400 '!$D$31)),0),0)+IF(AND(L1199="Cafco 300",J1199&gt;=95,J1199&lt;=240,C1199="Cj",I1199=90),VLOOKUP(T1199,'CAFCO 300 IDIEM TABLAS'!$B$4:$D$23,2,FALSE),0)+IF(AND(L1199="Cafco 300",J1199&gt;=95,J1199&lt;=240,C1199="Cj",I1199=120),VLOOKUP(T1199,'CAFCO 300 IDIEM TABLAS'!$B$4:$D$23,3,FALSE),0)+IF(AND(L1199="Cafco 300",J1199&gt;=95,J1199&lt;=400,G1199=3,C1199="IN",I1199=90),VLOOKUP(T1199,'CAFCO 300 IDIEM TABLAS'!$F$4:$H$35,2,FALSE),0)+IF(AND(L1199="Cafco 300",J1199&gt;=95,J1199&lt;=400,G1199=3,C1199="IN",I1199=120),VLOOKUP(T1199,'CAFCO 300 IDIEM TABLAS'!$F$4:$H$35,3,FALSE),0)+IF(AND(L1199="Cafco 300",J1199&gt;=95,J1199&lt;=450,G1199=4,C1199="IN",I1199=90),VLOOKUP(T1199,'CAFCO 300 IDIEM TABLAS'!$J$4:$L$40,2,FALSE),0)+IF(AND(L1199="Cafco 300",J1199&gt;=95,J1199&lt;=450,G1199=4,C1199="IN",I1199=120),VLOOKUP(T1199,'CAFCO 300 IDIEM TABLAS'!$J$4:$L$40,3,FALSE),0)+IF(AND(M1199="Ensayo Idiem",L1199="Cafco 400",C1199="IN",G1199=4,I1199=90),VLOOKUP(T1199,'CAFCO 400 ENSAYO'!$B$7:$D$43,2,FALSE),0)+IF(AND(M1199="Ensayo Idiem",L1199="Cafco 400",C1199="IN",G1199=4,I1199=120),VLOOKUP(T1199,'CAFCO 400 ENSAYO'!$B$7:$D$43,3,FALSE),0)</f>
        <v>0</v>
      </c>
      <c r="O1199" s="96">
        <f t="shared" si="120"/>
        <v>0</v>
      </c>
      <c r="P1199" s="132" t="str">
        <f t="shared" si="115"/>
        <v>N/A</v>
      </c>
      <c r="Q1199" s="132" t="str">
        <f t="shared" si="116"/>
        <v>N/A</v>
      </c>
      <c r="R1199" s="132" t="str">
        <f t="shared" si="117"/>
        <v>NO CERT.</v>
      </c>
      <c r="S1199" s="132" t="e">
        <f t="shared" si="118"/>
        <v>#N/A</v>
      </c>
      <c r="T1199" s="133" t="e">
        <f>+IF(J1199=LOOKUP(J1199,'CAFCO 300 IDIEM TABLAS'!$J$4:$J$40),'CALCULO MORTERO'!J1199,MROUND('CALCULO MORTERO'!J1199,10))</f>
        <v>#N/A</v>
      </c>
      <c r="U1199" s="134">
        <f t="shared" si="119"/>
        <v>0</v>
      </c>
    </row>
    <row r="1200" spans="1:21" x14ac:dyDescent="0.25">
      <c r="A1200" s="118">
        <f>+CUBICACION!D1194</f>
        <v>0</v>
      </c>
      <c r="B1200" s="819">
        <f>+CUBICACION!E1194</f>
        <v>0</v>
      </c>
      <c r="C1200" s="675">
        <f>+CUBICACION!F1194</f>
        <v>0</v>
      </c>
      <c r="D1200" s="118"/>
      <c r="E1200" s="118"/>
      <c r="F1200" s="820"/>
      <c r="G1200" s="675">
        <f>+CUBICACION!J1194</f>
        <v>0</v>
      </c>
      <c r="H1200" s="118"/>
      <c r="I1200" s="821">
        <f>+CUBICACION!L1194</f>
        <v>0</v>
      </c>
      <c r="J1200" s="64">
        <f>+CUBICACION!M1194</f>
        <v>0</v>
      </c>
      <c r="K1200" s="822" t="str">
        <f>+CUBICACION!N1194</f>
        <v/>
      </c>
      <c r="L1200" s="118">
        <f>+CUBICACION!O1194</f>
        <v>0</v>
      </c>
      <c r="M1200" s="823">
        <f>+CUBICACION!P1194</f>
        <v>0</v>
      </c>
      <c r="N1200" s="902">
        <f>ROUND(IF(AND(L1200="Blaze Shield II",M1200="Software Idiem",C1200="IN",G1200=4),((('BLAZE SHIELD II'!$D$4*('CALCULO MORTERO'!I1200^2)+'BLAZE SHIELD II'!$D$5*'CALCULO MORTERO'!I1200+'BLAZE SHIELD II'!$D$6)*LN(J1200))+('BLAZE SHIELD II'!$D$7*('CALCULO MORTERO'!I1200^2)+'BLAZE SHIELD II'!$D$8*'CALCULO MORTERO'!I1200+'BLAZE SHIELD II'!$D$9)),0)+IF(AND(L1200="Blaze Shield II",M1200="Software Idiem",C1200="Cj"),((('BLAZE SHIELD II'!$H$4*('CALCULO MORTERO'!I1200^2)+'BLAZE SHIELD II'!$H$5*'CALCULO MORTERO'!I1200+'BLAZE SHIELD II'!$H$6)*LN(J1200))+('BLAZE SHIELD II'!$H$7*('CALCULO MORTERO'!I1200^2)+'BLAZE SHIELD II'!$H$8*'CALCULO MORTERO'!I1200+'BLAZE SHIELD II'!$H$9)),0)+IF(AND(L1200="Blaze Shield II",M1200="Software Idiem",C1200="C"),((('BLAZE SHIELD II'!$L$4*('CALCULO MORTERO'!I1200^2)+'BLAZE SHIELD II'!$L$5*'CALCULO MORTERO'!I1200+'BLAZE SHIELD II'!$L$6)*LN(J1200))+('BLAZE SHIELD II'!$L$7*('CALCULO MORTERO'!I1200^2)+'BLAZE SHIELD II'!$L$8*'CALCULO MORTERO'!I1200+'BLAZE SHIELD II'!$L$9)),0)+IF(AND(L1200="Blaze Shield II",M1200="Software Idiem",C1200="L"),((('BLAZE SHIELD II'!$L$4*('CALCULO MORTERO'!I1200^2)+'BLAZE SHIELD II'!$L$5*'CALCULO MORTERO'!I1200+'BLAZE SHIELD II'!$L$6)*LN(J1200))+('BLAZE SHIELD II'!$L$7*('CALCULO MORTERO'!I1200^2)+'BLAZE SHIELD II'!$L$8*'CALCULO MORTERO'!I1200+'BLAZE SHIELD II'!$L$9)),0)+IF(AND(L1200="Blaze Shield II",M1200="Software Idiem",C1200="IN",G1200=3),((('BLAZE SHIELD II'!$H$14*('CALCULO MORTERO'!I1200^2)+'BLAZE SHIELD II'!$H$15*'CALCULO MORTERO'!I1200+'BLAZE SHIELD II'!$H$16)*LN(J1200))+('BLAZE SHIELD II'!$H$17*('CALCULO MORTERO'!I1200^2)+'BLAZE SHIELD II'!$H$18*'CALCULO MORTERO'!I1200+'BLAZE SHIELD II'!$H$19)),0),0)+ROUND(IF(AND(L1200="Cafco 400",M1200="Software Idiem",C1200="IN",G1200=4),((('CAFCO 400 '!$H$7*(J1200^4)+'CAFCO 400 '!$H$8*(J1200^3)+'CAFCO 400 '!$H$9*(J1200^2)+'CAFCO 400 '!$H$10*J1200+'CAFCO 400 '!$H$11)*U1200^2)+(('CAFCO 400 '!$H$12*(J1200^3)+'CAFCO 400 '!$H$13*(J1200^2)+'CAFCO 400 '!$H$14*J1200+'CAFCO 400 '!$H$15)*U1200)+('CAFCO 400 '!$H$16*(J1200^2)+'CAFCO 400 '!$H$17*J1200+'CAFCO 400 '!$H$18)),0)+IF(AND(L1200="Cafco 400",M1200="Software Idiem",C1200="Cj"),(((('CAFCO 400 '!$D$7*LN(J1200)+'CAFCO 400 '!$D$8)*U1200^2)+(('CAFCO 400 '!$D$9*LN(J1200)+'CAFCO 400 '!$D$10)*U1200)+('CAFCO 400 '!$D$11*LN(J1200)+'CAFCO 400 '!$D$12))),0)+IF(AND(L1200="Cafco 400",M1200="Software Idiem",C1200="C"),((('CAFCO 400 '!$L$7*(J1200^3)+'CAFCO 400 '!$L$8*(J1200^2)+'CAFCO 400 '!$L$9*J1200+'CAFCO 400 '!$L$10)*U1200^2)+(('CAFCO 400 '!$L$11*(J1200^3)+'CAFCO 400 '!$L$12*(J1200^2)+'CAFCO 400 '!$L$13*J1200+'CAFCO 400 '!$L$14)*U1200)+('CAFCO 400 '!$L$15*LN(J1200)+'CAFCO 400 '!$L$16)),0)+IF(AND(L1200="Cafco 400",M1200="Software Idiem",C1200="L"),((('CAFCO 400 '!$L$7*(J1200^3)+'CAFCO 400 '!$L$8*(J1200^2)+'CAFCO 400 '!$L$9*J1200+'CAFCO 400 '!$L$10)*U1200^2)+(('CAFCO 400 '!$L$11*(J1200^3)+'CAFCO 400 '!$L$12*(J1200^2)+'CAFCO 400 '!$L$13*J1200+'CAFCO 400 '!$L$14)*U1200)+('CAFCO 400 '!$L$15*LN(J1200)+'CAFCO 400 '!$L$16)),0)+IF(AND(L1200="Cafco 400",M1200="Software Idiem",C1200="IN",G1200=3),((('CAFCO 400 '!$D$23*(J1200^2)+'CAFCO 400 '!$D$24*(J1200)+'CAFCO 400 '!$D$25)*U1200^2)+(('CAFCO 400 '!$D$26*(J1200^2)+'CAFCO 400 '!$D$27*J1200+'CAFCO 400 '!$D$28)*U1200)+('CAFCO 400 '!$D$29*(J1200^2)+'CAFCO 400 '!$D$30*J1200+'CAFCO 400 '!$D$31)),0),0)+IF(AND(L1200="Cafco 300",J1200&gt;=95,J1200&lt;=240,C1200="Cj",I1200=90),VLOOKUP(T1200,'CAFCO 300 IDIEM TABLAS'!$B$4:$D$23,2,FALSE),0)+IF(AND(L1200="Cafco 300",J1200&gt;=95,J1200&lt;=240,C1200="Cj",I1200=120),VLOOKUP(T1200,'CAFCO 300 IDIEM TABLAS'!$B$4:$D$23,3,FALSE),0)+IF(AND(L1200="Cafco 300",J1200&gt;=95,J1200&lt;=400,G1200=3,C1200="IN",I1200=90),VLOOKUP(T1200,'CAFCO 300 IDIEM TABLAS'!$F$4:$H$35,2,FALSE),0)+IF(AND(L1200="Cafco 300",J1200&gt;=95,J1200&lt;=400,G1200=3,C1200="IN",I1200=120),VLOOKUP(T1200,'CAFCO 300 IDIEM TABLAS'!$F$4:$H$35,3,FALSE),0)+IF(AND(L1200="Cafco 300",J1200&gt;=95,J1200&lt;=450,G1200=4,C1200="IN",I1200=90),VLOOKUP(T1200,'CAFCO 300 IDIEM TABLAS'!$J$4:$L$40,2,FALSE),0)+IF(AND(L1200="Cafco 300",J1200&gt;=95,J1200&lt;=450,G1200=4,C1200="IN",I1200=120),VLOOKUP(T1200,'CAFCO 300 IDIEM TABLAS'!$J$4:$L$40,3,FALSE),0)+IF(AND(M1200="Ensayo Idiem",L1200="Cafco 400",C1200="IN",G1200=4,I1200=90),VLOOKUP(T1200,'CAFCO 400 ENSAYO'!$B$7:$D$43,2,FALSE),0)+IF(AND(M1200="Ensayo Idiem",L1200="Cafco 400",C1200="IN",G1200=4,I1200=120),VLOOKUP(T1200,'CAFCO 400 ENSAYO'!$B$7:$D$43,3,FALSE),0)</f>
        <v>0</v>
      </c>
      <c r="O1200" s="96">
        <f t="shared" si="120"/>
        <v>0</v>
      </c>
      <c r="P1200" s="95" t="str">
        <f t="shared" si="115"/>
        <v>N/A</v>
      </c>
      <c r="Q1200" s="95" t="str">
        <f t="shared" si="116"/>
        <v>N/A</v>
      </c>
      <c r="R1200" s="95" t="str">
        <f t="shared" si="117"/>
        <v>NO CERT.</v>
      </c>
      <c r="S1200" s="95" t="e">
        <f t="shared" si="118"/>
        <v>#N/A</v>
      </c>
      <c r="T1200" s="119" t="e">
        <f>+IF(J1200=LOOKUP(J1200,'CAFCO 300 IDIEM TABLAS'!$J$4:$J$40),'CALCULO MORTERO'!J1200,MROUND('CALCULO MORTERO'!J1200,10))</f>
        <v>#N/A</v>
      </c>
      <c r="U1200" s="118">
        <f t="shared" si="119"/>
        <v>0</v>
      </c>
    </row>
    <row r="1201" spans="1:21" x14ac:dyDescent="0.25">
      <c r="A1201" s="118">
        <f>+CUBICACION!D1195</f>
        <v>0</v>
      </c>
      <c r="B1201" s="819">
        <f>+CUBICACION!E1195</f>
        <v>0</v>
      </c>
      <c r="C1201" s="675">
        <f>+CUBICACION!F1195</f>
        <v>0</v>
      </c>
      <c r="D1201" s="118"/>
      <c r="E1201" s="118"/>
      <c r="F1201" s="820"/>
      <c r="G1201" s="675">
        <f>+CUBICACION!J1195</f>
        <v>0</v>
      </c>
      <c r="H1201" s="118"/>
      <c r="I1201" s="821">
        <f>+CUBICACION!L1195</f>
        <v>0</v>
      </c>
      <c r="J1201" s="64">
        <f>+CUBICACION!M1195</f>
        <v>0</v>
      </c>
      <c r="K1201" s="822" t="str">
        <f>+CUBICACION!N1195</f>
        <v/>
      </c>
      <c r="L1201" s="118">
        <f>+CUBICACION!O1195</f>
        <v>0</v>
      </c>
      <c r="M1201" s="823">
        <f>+CUBICACION!P1195</f>
        <v>0</v>
      </c>
      <c r="N1201" s="902">
        <f>ROUND(IF(AND(L1201="Blaze Shield II",M1201="Software Idiem",C1201="IN",G1201=4),((('BLAZE SHIELD II'!$D$4*('CALCULO MORTERO'!I1201^2)+'BLAZE SHIELD II'!$D$5*'CALCULO MORTERO'!I1201+'BLAZE SHIELD II'!$D$6)*LN(J1201))+('BLAZE SHIELD II'!$D$7*('CALCULO MORTERO'!I1201^2)+'BLAZE SHIELD II'!$D$8*'CALCULO MORTERO'!I1201+'BLAZE SHIELD II'!$D$9)),0)+IF(AND(L1201="Blaze Shield II",M1201="Software Idiem",C1201="Cj"),((('BLAZE SHIELD II'!$H$4*('CALCULO MORTERO'!I1201^2)+'BLAZE SHIELD II'!$H$5*'CALCULO MORTERO'!I1201+'BLAZE SHIELD II'!$H$6)*LN(J1201))+('BLAZE SHIELD II'!$H$7*('CALCULO MORTERO'!I1201^2)+'BLAZE SHIELD II'!$H$8*'CALCULO MORTERO'!I1201+'BLAZE SHIELD II'!$H$9)),0)+IF(AND(L1201="Blaze Shield II",M1201="Software Idiem",C1201="C"),((('BLAZE SHIELD II'!$L$4*('CALCULO MORTERO'!I1201^2)+'BLAZE SHIELD II'!$L$5*'CALCULO MORTERO'!I1201+'BLAZE SHIELD II'!$L$6)*LN(J1201))+('BLAZE SHIELD II'!$L$7*('CALCULO MORTERO'!I1201^2)+'BLAZE SHIELD II'!$L$8*'CALCULO MORTERO'!I1201+'BLAZE SHIELD II'!$L$9)),0)+IF(AND(L1201="Blaze Shield II",M1201="Software Idiem",C1201="L"),((('BLAZE SHIELD II'!$L$4*('CALCULO MORTERO'!I1201^2)+'BLAZE SHIELD II'!$L$5*'CALCULO MORTERO'!I1201+'BLAZE SHIELD II'!$L$6)*LN(J1201))+('BLAZE SHIELD II'!$L$7*('CALCULO MORTERO'!I1201^2)+'BLAZE SHIELD II'!$L$8*'CALCULO MORTERO'!I1201+'BLAZE SHIELD II'!$L$9)),0)+IF(AND(L1201="Blaze Shield II",M1201="Software Idiem",C1201="IN",G1201=3),((('BLAZE SHIELD II'!$H$14*('CALCULO MORTERO'!I1201^2)+'BLAZE SHIELD II'!$H$15*'CALCULO MORTERO'!I1201+'BLAZE SHIELD II'!$H$16)*LN(J1201))+('BLAZE SHIELD II'!$H$17*('CALCULO MORTERO'!I1201^2)+'BLAZE SHIELD II'!$H$18*'CALCULO MORTERO'!I1201+'BLAZE SHIELD II'!$H$19)),0),0)+ROUND(IF(AND(L1201="Cafco 400",M1201="Software Idiem",C1201="IN",G1201=4),((('CAFCO 400 '!$H$7*(J1201^4)+'CAFCO 400 '!$H$8*(J1201^3)+'CAFCO 400 '!$H$9*(J1201^2)+'CAFCO 400 '!$H$10*J1201+'CAFCO 400 '!$H$11)*U1201^2)+(('CAFCO 400 '!$H$12*(J1201^3)+'CAFCO 400 '!$H$13*(J1201^2)+'CAFCO 400 '!$H$14*J1201+'CAFCO 400 '!$H$15)*U1201)+('CAFCO 400 '!$H$16*(J1201^2)+'CAFCO 400 '!$H$17*J1201+'CAFCO 400 '!$H$18)),0)+IF(AND(L1201="Cafco 400",M1201="Software Idiem",C1201="Cj"),(((('CAFCO 400 '!$D$7*LN(J1201)+'CAFCO 400 '!$D$8)*U1201^2)+(('CAFCO 400 '!$D$9*LN(J1201)+'CAFCO 400 '!$D$10)*U1201)+('CAFCO 400 '!$D$11*LN(J1201)+'CAFCO 400 '!$D$12))),0)+IF(AND(L1201="Cafco 400",M1201="Software Idiem",C1201="C"),((('CAFCO 400 '!$L$7*(J1201^3)+'CAFCO 400 '!$L$8*(J1201^2)+'CAFCO 400 '!$L$9*J1201+'CAFCO 400 '!$L$10)*U1201^2)+(('CAFCO 400 '!$L$11*(J1201^3)+'CAFCO 400 '!$L$12*(J1201^2)+'CAFCO 400 '!$L$13*J1201+'CAFCO 400 '!$L$14)*U1201)+('CAFCO 400 '!$L$15*LN(J1201)+'CAFCO 400 '!$L$16)),0)+IF(AND(L1201="Cafco 400",M1201="Software Idiem",C1201="L"),((('CAFCO 400 '!$L$7*(J1201^3)+'CAFCO 400 '!$L$8*(J1201^2)+'CAFCO 400 '!$L$9*J1201+'CAFCO 400 '!$L$10)*U1201^2)+(('CAFCO 400 '!$L$11*(J1201^3)+'CAFCO 400 '!$L$12*(J1201^2)+'CAFCO 400 '!$L$13*J1201+'CAFCO 400 '!$L$14)*U1201)+('CAFCO 400 '!$L$15*LN(J1201)+'CAFCO 400 '!$L$16)),0)+IF(AND(L1201="Cafco 400",M1201="Software Idiem",C1201="IN",G1201=3),((('CAFCO 400 '!$D$23*(J1201^2)+'CAFCO 400 '!$D$24*(J1201)+'CAFCO 400 '!$D$25)*U1201^2)+(('CAFCO 400 '!$D$26*(J1201^2)+'CAFCO 400 '!$D$27*J1201+'CAFCO 400 '!$D$28)*U1201)+('CAFCO 400 '!$D$29*(J1201^2)+'CAFCO 400 '!$D$30*J1201+'CAFCO 400 '!$D$31)),0),0)+IF(AND(L1201="Cafco 300",J1201&gt;=95,J1201&lt;=240,C1201="Cj",I1201=90),VLOOKUP(T1201,'CAFCO 300 IDIEM TABLAS'!$B$4:$D$23,2,FALSE),0)+IF(AND(L1201="Cafco 300",J1201&gt;=95,J1201&lt;=240,C1201="Cj",I1201=120),VLOOKUP(T1201,'CAFCO 300 IDIEM TABLAS'!$B$4:$D$23,3,FALSE),0)+IF(AND(L1201="Cafco 300",J1201&gt;=95,J1201&lt;=400,G1201=3,C1201="IN",I1201=90),VLOOKUP(T1201,'CAFCO 300 IDIEM TABLAS'!$F$4:$H$35,2,FALSE),0)+IF(AND(L1201="Cafco 300",J1201&gt;=95,J1201&lt;=400,G1201=3,C1201="IN",I1201=120),VLOOKUP(T1201,'CAFCO 300 IDIEM TABLAS'!$F$4:$H$35,3,FALSE),0)+IF(AND(L1201="Cafco 300",J1201&gt;=95,J1201&lt;=450,G1201=4,C1201="IN",I1201=90),VLOOKUP(T1201,'CAFCO 300 IDIEM TABLAS'!$J$4:$L$40,2,FALSE),0)+IF(AND(L1201="Cafco 300",J1201&gt;=95,J1201&lt;=450,G1201=4,C1201="IN",I1201=120),VLOOKUP(T1201,'CAFCO 300 IDIEM TABLAS'!$J$4:$L$40,3,FALSE),0)+IF(AND(M1201="Ensayo Idiem",L1201="Cafco 400",C1201="IN",G1201=4,I1201=90),VLOOKUP(T1201,'CAFCO 400 ENSAYO'!$B$7:$D$43,2,FALSE),0)+IF(AND(M1201="Ensayo Idiem",L1201="Cafco 400",C1201="IN",G1201=4,I1201=120),VLOOKUP(T1201,'CAFCO 400 ENSAYO'!$B$7:$D$43,3,FALSE),0)</f>
        <v>0</v>
      </c>
      <c r="O1201" s="96">
        <f t="shared" si="120"/>
        <v>0</v>
      </c>
      <c r="P1201" s="132" t="str">
        <f t="shared" si="115"/>
        <v>N/A</v>
      </c>
      <c r="Q1201" s="132" t="str">
        <f t="shared" si="116"/>
        <v>N/A</v>
      </c>
      <c r="R1201" s="132" t="str">
        <f t="shared" si="117"/>
        <v>NO CERT.</v>
      </c>
      <c r="S1201" s="132" t="e">
        <f t="shared" si="118"/>
        <v>#N/A</v>
      </c>
      <c r="T1201" s="133" t="e">
        <f>+IF(J1201=LOOKUP(J1201,'CAFCO 300 IDIEM TABLAS'!$J$4:$J$40),'CALCULO MORTERO'!J1201,MROUND('CALCULO MORTERO'!J1201,10))</f>
        <v>#N/A</v>
      </c>
      <c r="U1201" s="134">
        <f t="shared" si="119"/>
        <v>0</v>
      </c>
    </row>
    <row r="1202" spans="1:21" x14ac:dyDescent="0.25">
      <c r="A1202" s="118">
        <f>+CUBICACION!D1196</f>
        <v>0</v>
      </c>
      <c r="B1202" s="819">
        <f>+CUBICACION!E1196</f>
        <v>0</v>
      </c>
      <c r="C1202" s="675">
        <f>+CUBICACION!F1196</f>
        <v>0</v>
      </c>
      <c r="D1202" s="118"/>
      <c r="E1202" s="118"/>
      <c r="F1202" s="820"/>
      <c r="G1202" s="675">
        <f>+CUBICACION!J1196</f>
        <v>0</v>
      </c>
      <c r="H1202" s="118"/>
      <c r="I1202" s="821">
        <f>+CUBICACION!L1196</f>
        <v>0</v>
      </c>
      <c r="J1202" s="64">
        <f>+CUBICACION!M1196</f>
        <v>0</v>
      </c>
      <c r="K1202" s="822" t="str">
        <f>+CUBICACION!N1196</f>
        <v/>
      </c>
      <c r="L1202" s="118">
        <f>+CUBICACION!O1196</f>
        <v>0</v>
      </c>
      <c r="M1202" s="823">
        <f>+CUBICACION!P1196</f>
        <v>0</v>
      </c>
      <c r="N1202" s="902">
        <f>ROUND(IF(AND(L1202="Blaze Shield II",M1202="Software Idiem",C1202="IN",G1202=4),((('BLAZE SHIELD II'!$D$4*('CALCULO MORTERO'!I1202^2)+'BLAZE SHIELD II'!$D$5*'CALCULO MORTERO'!I1202+'BLAZE SHIELD II'!$D$6)*LN(J1202))+('BLAZE SHIELD II'!$D$7*('CALCULO MORTERO'!I1202^2)+'BLAZE SHIELD II'!$D$8*'CALCULO MORTERO'!I1202+'BLAZE SHIELD II'!$D$9)),0)+IF(AND(L1202="Blaze Shield II",M1202="Software Idiem",C1202="Cj"),((('BLAZE SHIELD II'!$H$4*('CALCULO MORTERO'!I1202^2)+'BLAZE SHIELD II'!$H$5*'CALCULO MORTERO'!I1202+'BLAZE SHIELD II'!$H$6)*LN(J1202))+('BLAZE SHIELD II'!$H$7*('CALCULO MORTERO'!I1202^2)+'BLAZE SHIELD II'!$H$8*'CALCULO MORTERO'!I1202+'BLAZE SHIELD II'!$H$9)),0)+IF(AND(L1202="Blaze Shield II",M1202="Software Idiem",C1202="C"),((('BLAZE SHIELD II'!$L$4*('CALCULO MORTERO'!I1202^2)+'BLAZE SHIELD II'!$L$5*'CALCULO MORTERO'!I1202+'BLAZE SHIELD II'!$L$6)*LN(J1202))+('BLAZE SHIELD II'!$L$7*('CALCULO MORTERO'!I1202^2)+'BLAZE SHIELD II'!$L$8*'CALCULO MORTERO'!I1202+'BLAZE SHIELD II'!$L$9)),0)+IF(AND(L1202="Blaze Shield II",M1202="Software Idiem",C1202="L"),((('BLAZE SHIELD II'!$L$4*('CALCULO MORTERO'!I1202^2)+'BLAZE SHIELD II'!$L$5*'CALCULO MORTERO'!I1202+'BLAZE SHIELD II'!$L$6)*LN(J1202))+('BLAZE SHIELD II'!$L$7*('CALCULO MORTERO'!I1202^2)+'BLAZE SHIELD II'!$L$8*'CALCULO MORTERO'!I1202+'BLAZE SHIELD II'!$L$9)),0)+IF(AND(L1202="Blaze Shield II",M1202="Software Idiem",C1202="IN",G1202=3),((('BLAZE SHIELD II'!$H$14*('CALCULO MORTERO'!I1202^2)+'BLAZE SHIELD II'!$H$15*'CALCULO MORTERO'!I1202+'BLAZE SHIELD II'!$H$16)*LN(J1202))+('BLAZE SHIELD II'!$H$17*('CALCULO MORTERO'!I1202^2)+'BLAZE SHIELD II'!$H$18*'CALCULO MORTERO'!I1202+'BLAZE SHIELD II'!$H$19)),0),0)+ROUND(IF(AND(L1202="Cafco 400",M1202="Software Idiem",C1202="IN",G1202=4),((('CAFCO 400 '!$H$7*(J1202^4)+'CAFCO 400 '!$H$8*(J1202^3)+'CAFCO 400 '!$H$9*(J1202^2)+'CAFCO 400 '!$H$10*J1202+'CAFCO 400 '!$H$11)*U1202^2)+(('CAFCO 400 '!$H$12*(J1202^3)+'CAFCO 400 '!$H$13*(J1202^2)+'CAFCO 400 '!$H$14*J1202+'CAFCO 400 '!$H$15)*U1202)+('CAFCO 400 '!$H$16*(J1202^2)+'CAFCO 400 '!$H$17*J1202+'CAFCO 400 '!$H$18)),0)+IF(AND(L1202="Cafco 400",M1202="Software Idiem",C1202="Cj"),(((('CAFCO 400 '!$D$7*LN(J1202)+'CAFCO 400 '!$D$8)*U1202^2)+(('CAFCO 400 '!$D$9*LN(J1202)+'CAFCO 400 '!$D$10)*U1202)+('CAFCO 400 '!$D$11*LN(J1202)+'CAFCO 400 '!$D$12))),0)+IF(AND(L1202="Cafco 400",M1202="Software Idiem",C1202="C"),((('CAFCO 400 '!$L$7*(J1202^3)+'CAFCO 400 '!$L$8*(J1202^2)+'CAFCO 400 '!$L$9*J1202+'CAFCO 400 '!$L$10)*U1202^2)+(('CAFCO 400 '!$L$11*(J1202^3)+'CAFCO 400 '!$L$12*(J1202^2)+'CAFCO 400 '!$L$13*J1202+'CAFCO 400 '!$L$14)*U1202)+('CAFCO 400 '!$L$15*LN(J1202)+'CAFCO 400 '!$L$16)),0)+IF(AND(L1202="Cafco 400",M1202="Software Idiem",C1202="L"),((('CAFCO 400 '!$L$7*(J1202^3)+'CAFCO 400 '!$L$8*(J1202^2)+'CAFCO 400 '!$L$9*J1202+'CAFCO 400 '!$L$10)*U1202^2)+(('CAFCO 400 '!$L$11*(J1202^3)+'CAFCO 400 '!$L$12*(J1202^2)+'CAFCO 400 '!$L$13*J1202+'CAFCO 400 '!$L$14)*U1202)+('CAFCO 400 '!$L$15*LN(J1202)+'CAFCO 400 '!$L$16)),0)+IF(AND(L1202="Cafco 400",M1202="Software Idiem",C1202="IN",G1202=3),((('CAFCO 400 '!$D$23*(J1202^2)+'CAFCO 400 '!$D$24*(J1202)+'CAFCO 400 '!$D$25)*U1202^2)+(('CAFCO 400 '!$D$26*(J1202^2)+'CAFCO 400 '!$D$27*J1202+'CAFCO 400 '!$D$28)*U1202)+('CAFCO 400 '!$D$29*(J1202^2)+'CAFCO 400 '!$D$30*J1202+'CAFCO 400 '!$D$31)),0),0)+IF(AND(L1202="Cafco 300",J1202&gt;=95,J1202&lt;=240,C1202="Cj",I1202=90),VLOOKUP(T1202,'CAFCO 300 IDIEM TABLAS'!$B$4:$D$23,2,FALSE),0)+IF(AND(L1202="Cafco 300",J1202&gt;=95,J1202&lt;=240,C1202="Cj",I1202=120),VLOOKUP(T1202,'CAFCO 300 IDIEM TABLAS'!$B$4:$D$23,3,FALSE),0)+IF(AND(L1202="Cafco 300",J1202&gt;=95,J1202&lt;=400,G1202=3,C1202="IN",I1202=90),VLOOKUP(T1202,'CAFCO 300 IDIEM TABLAS'!$F$4:$H$35,2,FALSE),0)+IF(AND(L1202="Cafco 300",J1202&gt;=95,J1202&lt;=400,G1202=3,C1202="IN",I1202=120),VLOOKUP(T1202,'CAFCO 300 IDIEM TABLAS'!$F$4:$H$35,3,FALSE),0)+IF(AND(L1202="Cafco 300",J1202&gt;=95,J1202&lt;=450,G1202=4,C1202="IN",I1202=90),VLOOKUP(T1202,'CAFCO 300 IDIEM TABLAS'!$J$4:$L$40,2,FALSE),0)+IF(AND(L1202="Cafco 300",J1202&gt;=95,J1202&lt;=450,G1202=4,C1202="IN",I1202=120),VLOOKUP(T1202,'CAFCO 300 IDIEM TABLAS'!$J$4:$L$40,3,FALSE),0)+IF(AND(M1202="Ensayo Idiem",L1202="Cafco 400",C1202="IN",G1202=4,I1202=90),VLOOKUP(T1202,'CAFCO 400 ENSAYO'!$B$7:$D$43,2,FALSE),0)+IF(AND(M1202="Ensayo Idiem",L1202="Cafco 400",C1202="IN",G1202=4,I1202=120),VLOOKUP(T1202,'CAFCO 400 ENSAYO'!$B$7:$D$43,3,FALSE),0)</f>
        <v>0</v>
      </c>
      <c r="O1202" s="96">
        <f t="shared" si="120"/>
        <v>0</v>
      </c>
      <c r="P1202" s="95" t="str">
        <f t="shared" ref="P1202:P1265" si="121">IF(AND(M1202="Software Idiem"),IF(AND(C1202="IN",G1202=4,J1202&gt;=50,J1202&lt;=500),"CERT.",IF(AND(C1202="Cj",J1202&gt;=50,J1202&lt;=500),"CERT.",IF(AND(C1202="C",J1202&gt;=50,J1202&lt;=1000),"CERT.",IF(AND(C1202="L",J1202&gt;=50,J1202&lt;=1000),"CERT.",IF(AND(C1202="IN",G1202=3,J1202&gt;=50,J1202&lt;=500),"CERT.","NO CERT."))))),"N/A")</f>
        <v>N/A</v>
      </c>
      <c r="Q1202" s="95" t="str">
        <f t="shared" ref="Q1202:Q1265" si="122">IF(AND(M1202="Software Idiem"),IF(AND(C1202="IN",G1202=4,J1202&gt;=50,J1202&lt;=500),"CERT.",IF(AND(C1202="Cj",J1202&gt;=50,J1202&lt;=500),"CERT.",IF(AND(C1202="C",J1202&gt;=50,J1202&lt;=1000),"CERT.",IF(AND(C1202="L",J1202&gt;=50,J1202&lt;=1000),"CERT.",IF(AND(C1202="IN",G1202=3,J1202&gt;=50,J1202&lt;=500),"CERT.","NO CERT."))))),"N/A")</f>
        <v>N/A</v>
      </c>
      <c r="R1202" s="95" t="str">
        <f t="shared" ref="R1202:R1265" si="123">IF(AND(C1202="IN",G1202=4,J1202&gt;=95,J1202&lt;=450,I1202=90),"CERT.",IF(AND(C1202="IN",G1202=4,J1202&gt;=95,J1202&lt;=450,I1202=120),"CERT.","NO CERT."))</f>
        <v>NO CERT.</v>
      </c>
      <c r="S1202" s="95" t="e">
        <f t="shared" ref="S1202:S1265" si="124">IF(AND(C1202="Cj",I1202=90,T1202&lt;=240),"CERT.",IF(AND(C1202="Cj",I1202=120,T1202&lt;=240),"CERT.",IF(AND(C1202="IN",G1202=3,I1202=90,T1202&lt;=400),"CERT.",IF(AND(C1202="IN",G1202=3,I1202=120,T1202&lt;=400),"CERT.",IF(AND(C1202="IN",G1202=4,I1202=90,T1202&lt;=450),"CERT.",IF(AND(C1202="IN",G1202=4,I1202=120,T1202&lt;=450),"CERT.","NO CERT."))))))</f>
        <v>#N/A</v>
      </c>
      <c r="T1202" s="119" t="e">
        <f>+IF(J1202=LOOKUP(J1202,'CAFCO 300 IDIEM TABLAS'!$J$4:$J$40),'CALCULO MORTERO'!J1202,MROUND('CALCULO MORTERO'!J1202,10))</f>
        <v>#N/A</v>
      </c>
      <c r="U1202" s="118">
        <f t="shared" ref="U1202:U1265" si="125">+I1202*60</f>
        <v>0</v>
      </c>
    </row>
    <row r="1203" spans="1:21" x14ac:dyDescent="0.25">
      <c r="A1203" s="118">
        <f>+CUBICACION!D1197</f>
        <v>0</v>
      </c>
      <c r="B1203" s="819">
        <f>+CUBICACION!E1197</f>
        <v>0</v>
      </c>
      <c r="C1203" s="675">
        <f>+CUBICACION!F1197</f>
        <v>0</v>
      </c>
      <c r="D1203" s="118"/>
      <c r="E1203" s="118"/>
      <c r="F1203" s="820"/>
      <c r="G1203" s="675">
        <f>+CUBICACION!J1197</f>
        <v>0</v>
      </c>
      <c r="H1203" s="118"/>
      <c r="I1203" s="821">
        <f>+CUBICACION!L1197</f>
        <v>0</v>
      </c>
      <c r="J1203" s="64">
        <f>+CUBICACION!M1197</f>
        <v>0</v>
      </c>
      <c r="K1203" s="822" t="str">
        <f>+CUBICACION!N1197</f>
        <v/>
      </c>
      <c r="L1203" s="118">
        <f>+CUBICACION!O1197</f>
        <v>0</v>
      </c>
      <c r="M1203" s="823">
        <f>+CUBICACION!P1197</f>
        <v>0</v>
      </c>
      <c r="N1203" s="902">
        <f>ROUND(IF(AND(L1203="Blaze Shield II",M1203="Software Idiem",C1203="IN",G1203=4),((('BLAZE SHIELD II'!$D$4*('CALCULO MORTERO'!I1203^2)+'BLAZE SHIELD II'!$D$5*'CALCULO MORTERO'!I1203+'BLAZE SHIELD II'!$D$6)*LN(J1203))+('BLAZE SHIELD II'!$D$7*('CALCULO MORTERO'!I1203^2)+'BLAZE SHIELD II'!$D$8*'CALCULO MORTERO'!I1203+'BLAZE SHIELD II'!$D$9)),0)+IF(AND(L1203="Blaze Shield II",M1203="Software Idiem",C1203="Cj"),((('BLAZE SHIELD II'!$H$4*('CALCULO MORTERO'!I1203^2)+'BLAZE SHIELD II'!$H$5*'CALCULO MORTERO'!I1203+'BLAZE SHIELD II'!$H$6)*LN(J1203))+('BLAZE SHIELD II'!$H$7*('CALCULO MORTERO'!I1203^2)+'BLAZE SHIELD II'!$H$8*'CALCULO MORTERO'!I1203+'BLAZE SHIELD II'!$H$9)),0)+IF(AND(L1203="Blaze Shield II",M1203="Software Idiem",C1203="C"),((('BLAZE SHIELD II'!$L$4*('CALCULO MORTERO'!I1203^2)+'BLAZE SHIELD II'!$L$5*'CALCULO MORTERO'!I1203+'BLAZE SHIELD II'!$L$6)*LN(J1203))+('BLAZE SHIELD II'!$L$7*('CALCULO MORTERO'!I1203^2)+'BLAZE SHIELD II'!$L$8*'CALCULO MORTERO'!I1203+'BLAZE SHIELD II'!$L$9)),0)+IF(AND(L1203="Blaze Shield II",M1203="Software Idiem",C1203="L"),((('BLAZE SHIELD II'!$L$4*('CALCULO MORTERO'!I1203^2)+'BLAZE SHIELD II'!$L$5*'CALCULO MORTERO'!I1203+'BLAZE SHIELD II'!$L$6)*LN(J1203))+('BLAZE SHIELD II'!$L$7*('CALCULO MORTERO'!I1203^2)+'BLAZE SHIELD II'!$L$8*'CALCULO MORTERO'!I1203+'BLAZE SHIELD II'!$L$9)),0)+IF(AND(L1203="Blaze Shield II",M1203="Software Idiem",C1203="IN",G1203=3),((('BLAZE SHIELD II'!$H$14*('CALCULO MORTERO'!I1203^2)+'BLAZE SHIELD II'!$H$15*'CALCULO MORTERO'!I1203+'BLAZE SHIELD II'!$H$16)*LN(J1203))+('BLAZE SHIELD II'!$H$17*('CALCULO MORTERO'!I1203^2)+'BLAZE SHIELD II'!$H$18*'CALCULO MORTERO'!I1203+'BLAZE SHIELD II'!$H$19)),0),0)+ROUND(IF(AND(L1203="Cafco 400",M1203="Software Idiem",C1203="IN",G1203=4),((('CAFCO 400 '!$H$7*(J1203^4)+'CAFCO 400 '!$H$8*(J1203^3)+'CAFCO 400 '!$H$9*(J1203^2)+'CAFCO 400 '!$H$10*J1203+'CAFCO 400 '!$H$11)*U1203^2)+(('CAFCO 400 '!$H$12*(J1203^3)+'CAFCO 400 '!$H$13*(J1203^2)+'CAFCO 400 '!$H$14*J1203+'CAFCO 400 '!$H$15)*U1203)+('CAFCO 400 '!$H$16*(J1203^2)+'CAFCO 400 '!$H$17*J1203+'CAFCO 400 '!$H$18)),0)+IF(AND(L1203="Cafco 400",M1203="Software Idiem",C1203="Cj"),(((('CAFCO 400 '!$D$7*LN(J1203)+'CAFCO 400 '!$D$8)*U1203^2)+(('CAFCO 400 '!$D$9*LN(J1203)+'CAFCO 400 '!$D$10)*U1203)+('CAFCO 400 '!$D$11*LN(J1203)+'CAFCO 400 '!$D$12))),0)+IF(AND(L1203="Cafco 400",M1203="Software Idiem",C1203="C"),((('CAFCO 400 '!$L$7*(J1203^3)+'CAFCO 400 '!$L$8*(J1203^2)+'CAFCO 400 '!$L$9*J1203+'CAFCO 400 '!$L$10)*U1203^2)+(('CAFCO 400 '!$L$11*(J1203^3)+'CAFCO 400 '!$L$12*(J1203^2)+'CAFCO 400 '!$L$13*J1203+'CAFCO 400 '!$L$14)*U1203)+('CAFCO 400 '!$L$15*LN(J1203)+'CAFCO 400 '!$L$16)),0)+IF(AND(L1203="Cafco 400",M1203="Software Idiem",C1203="L"),((('CAFCO 400 '!$L$7*(J1203^3)+'CAFCO 400 '!$L$8*(J1203^2)+'CAFCO 400 '!$L$9*J1203+'CAFCO 400 '!$L$10)*U1203^2)+(('CAFCO 400 '!$L$11*(J1203^3)+'CAFCO 400 '!$L$12*(J1203^2)+'CAFCO 400 '!$L$13*J1203+'CAFCO 400 '!$L$14)*U1203)+('CAFCO 400 '!$L$15*LN(J1203)+'CAFCO 400 '!$L$16)),0)+IF(AND(L1203="Cafco 400",M1203="Software Idiem",C1203="IN",G1203=3),((('CAFCO 400 '!$D$23*(J1203^2)+'CAFCO 400 '!$D$24*(J1203)+'CAFCO 400 '!$D$25)*U1203^2)+(('CAFCO 400 '!$D$26*(J1203^2)+'CAFCO 400 '!$D$27*J1203+'CAFCO 400 '!$D$28)*U1203)+('CAFCO 400 '!$D$29*(J1203^2)+'CAFCO 400 '!$D$30*J1203+'CAFCO 400 '!$D$31)),0),0)+IF(AND(L1203="Cafco 300",J1203&gt;=95,J1203&lt;=240,C1203="Cj",I1203=90),VLOOKUP(T1203,'CAFCO 300 IDIEM TABLAS'!$B$4:$D$23,2,FALSE),0)+IF(AND(L1203="Cafco 300",J1203&gt;=95,J1203&lt;=240,C1203="Cj",I1203=120),VLOOKUP(T1203,'CAFCO 300 IDIEM TABLAS'!$B$4:$D$23,3,FALSE),0)+IF(AND(L1203="Cafco 300",J1203&gt;=95,J1203&lt;=400,G1203=3,C1203="IN",I1203=90),VLOOKUP(T1203,'CAFCO 300 IDIEM TABLAS'!$F$4:$H$35,2,FALSE),0)+IF(AND(L1203="Cafco 300",J1203&gt;=95,J1203&lt;=400,G1203=3,C1203="IN",I1203=120),VLOOKUP(T1203,'CAFCO 300 IDIEM TABLAS'!$F$4:$H$35,3,FALSE),0)+IF(AND(L1203="Cafco 300",J1203&gt;=95,J1203&lt;=450,G1203=4,C1203="IN",I1203=90),VLOOKUP(T1203,'CAFCO 300 IDIEM TABLAS'!$J$4:$L$40,2,FALSE),0)+IF(AND(L1203="Cafco 300",J1203&gt;=95,J1203&lt;=450,G1203=4,C1203="IN",I1203=120),VLOOKUP(T1203,'CAFCO 300 IDIEM TABLAS'!$J$4:$L$40,3,FALSE),0)+IF(AND(M1203="Ensayo Idiem",L1203="Cafco 400",C1203="IN",G1203=4,I1203=90),VLOOKUP(T1203,'CAFCO 400 ENSAYO'!$B$7:$D$43,2,FALSE),0)+IF(AND(M1203="Ensayo Idiem",L1203="Cafco 400",C1203="IN",G1203=4,I1203=120),VLOOKUP(T1203,'CAFCO 400 ENSAYO'!$B$7:$D$43,3,FALSE),0)</f>
        <v>0</v>
      </c>
      <c r="O1203" s="96">
        <f t="shared" si="120"/>
        <v>0</v>
      </c>
      <c r="P1203" s="132" t="str">
        <f t="shared" si="121"/>
        <v>N/A</v>
      </c>
      <c r="Q1203" s="132" t="str">
        <f t="shared" si="122"/>
        <v>N/A</v>
      </c>
      <c r="R1203" s="132" t="str">
        <f t="shared" si="123"/>
        <v>NO CERT.</v>
      </c>
      <c r="S1203" s="132" t="e">
        <f t="shared" si="124"/>
        <v>#N/A</v>
      </c>
      <c r="T1203" s="133" t="e">
        <f>+IF(J1203=LOOKUP(J1203,'CAFCO 300 IDIEM TABLAS'!$J$4:$J$40),'CALCULO MORTERO'!J1203,MROUND('CALCULO MORTERO'!J1203,10))</f>
        <v>#N/A</v>
      </c>
      <c r="U1203" s="134">
        <f t="shared" si="125"/>
        <v>0</v>
      </c>
    </row>
    <row r="1204" spans="1:21" x14ac:dyDescent="0.25">
      <c r="A1204" s="118">
        <f>+CUBICACION!D1198</f>
        <v>0</v>
      </c>
      <c r="B1204" s="819">
        <f>+CUBICACION!E1198</f>
        <v>0</v>
      </c>
      <c r="C1204" s="675">
        <f>+CUBICACION!F1198</f>
        <v>0</v>
      </c>
      <c r="D1204" s="118"/>
      <c r="E1204" s="118"/>
      <c r="F1204" s="820"/>
      <c r="G1204" s="675">
        <f>+CUBICACION!J1198</f>
        <v>0</v>
      </c>
      <c r="H1204" s="118"/>
      <c r="I1204" s="821">
        <f>+CUBICACION!L1198</f>
        <v>0</v>
      </c>
      <c r="J1204" s="64">
        <f>+CUBICACION!M1198</f>
        <v>0</v>
      </c>
      <c r="K1204" s="822" t="str">
        <f>+CUBICACION!N1198</f>
        <v/>
      </c>
      <c r="L1204" s="118">
        <f>+CUBICACION!O1198</f>
        <v>0</v>
      </c>
      <c r="M1204" s="823">
        <f>+CUBICACION!P1198</f>
        <v>0</v>
      </c>
      <c r="N1204" s="902">
        <f>ROUND(IF(AND(L1204="Blaze Shield II",M1204="Software Idiem",C1204="IN",G1204=4),((('BLAZE SHIELD II'!$D$4*('CALCULO MORTERO'!I1204^2)+'BLAZE SHIELD II'!$D$5*'CALCULO MORTERO'!I1204+'BLAZE SHIELD II'!$D$6)*LN(J1204))+('BLAZE SHIELD II'!$D$7*('CALCULO MORTERO'!I1204^2)+'BLAZE SHIELD II'!$D$8*'CALCULO MORTERO'!I1204+'BLAZE SHIELD II'!$D$9)),0)+IF(AND(L1204="Blaze Shield II",M1204="Software Idiem",C1204="Cj"),((('BLAZE SHIELD II'!$H$4*('CALCULO MORTERO'!I1204^2)+'BLAZE SHIELD II'!$H$5*'CALCULO MORTERO'!I1204+'BLAZE SHIELD II'!$H$6)*LN(J1204))+('BLAZE SHIELD II'!$H$7*('CALCULO MORTERO'!I1204^2)+'BLAZE SHIELD II'!$H$8*'CALCULO MORTERO'!I1204+'BLAZE SHIELD II'!$H$9)),0)+IF(AND(L1204="Blaze Shield II",M1204="Software Idiem",C1204="C"),((('BLAZE SHIELD II'!$L$4*('CALCULO MORTERO'!I1204^2)+'BLAZE SHIELD II'!$L$5*'CALCULO MORTERO'!I1204+'BLAZE SHIELD II'!$L$6)*LN(J1204))+('BLAZE SHIELD II'!$L$7*('CALCULO MORTERO'!I1204^2)+'BLAZE SHIELD II'!$L$8*'CALCULO MORTERO'!I1204+'BLAZE SHIELD II'!$L$9)),0)+IF(AND(L1204="Blaze Shield II",M1204="Software Idiem",C1204="L"),((('BLAZE SHIELD II'!$L$4*('CALCULO MORTERO'!I1204^2)+'BLAZE SHIELD II'!$L$5*'CALCULO MORTERO'!I1204+'BLAZE SHIELD II'!$L$6)*LN(J1204))+('BLAZE SHIELD II'!$L$7*('CALCULO MORTERO'!I1204^2)+'BLAZE SHIELD II'!$L$8*'CALCULO MORTERO'!I1204+'BLAZE SHIELD II'!$L$9)),0)+IF(AND(L1204="Blaze Shield II",M1204="Software Idiem",C1204="IN",G1204=3),((('BLAZE SHIELD II'!$H$14*('CALCULO MORTERO'!I1204^2)+'BLAZE SHIELD II'!$H$15*'CALCULO MORTERO'!I1204+'BLAZE SHIELD II'!$H$16)*LN(J1204))+('BLAZE SHIELD II'!$H$17*('CALCULO MORTERO'!I1204^2)+'BLAZE SHIELD II'!$H$18*'CALCULO MORTERO'!I1204+'BLAZE SHIELD II'!$H$19)),0),0)+ROUND(IF(AND(L1204="Cafco 400",M1204="Software Idiem",C1204="IN",G1204=4),((('CAFCO 400 '!$H$7*(J1204^4)+'CAFCO 400 '!$H$8*(J1204^3)+'CAFCO 400 '!$H$9*(J1204^2)+'CAFCO 400 '!$H$10*J1204+'CAFCO 400 '!$H$11)*U1204^2)+(('CAFCO 400 '!$H$12*(J1204^3)+'CAFCO 400 '!$H$13*(J1204^2)+'CAFCO 400 '!$H$14*J1204+'CAFCO 400 '!$H$15)*U1204)+('CAFCO 400 '!$H$16*(J1204^2)+'CAFCO 400 '!$H$17*J1204+'CAFCO 400 '!$H$18)),0)+IF(AND(L1204="Cafco 400",M1204="Software Idiem",C1204="Cj"),(((('CAFCO 400 '!$D$7*LN(J1204)+'CAFCO 400 '!$D$8)*U1204^2)+(('CAFCO 400 '!$D$9*LN(J1204)+'CAFCO 400 '!$D$10)*U1204)+('CAFCO 400 '!$D$11*LN(J1204)+'CAFCO 400 '!$D$12))),0)+IF(AND(L1204="Cafco 400",M1204="Software Idiem",C1204="C"),((('CAFCO 400 '!$L$7*(J1204^3)+'CAFCO 400 '!$L$8*(J1204^2)+'CAFCO 400 '!$L$9*J1204+'CAFCO 400 '!$L$10)*U1204^2)+(('CAFCO 400 '!$L$11*(J1204^3)+'CAFCO 400 '!$L$12*(J1204^2)+'CAFCO 400 '!$L$13*J1204+'CAFCO 400 '!$L$14)*U1204)+('CAFCO 400 '!$L$15*LN(J1204)+'CAFCO 400 '!$L$16)),0)+IF(AND(L1204="Cafco 400",M1204="Software Idiem",C1204="L"),((('CAFCO 400 '!$L$7*(J1204^3)+'CAFCO 400 '!$L$8*(J1204^2)+'CAFCO 400 '!$L$9*J1204+'CAFCO 400 '!$L$10)*U1204^2)+(('CAFCO 400 '!$L$11*(J1204^3)+'CAFCO 400 '!$L$12*(J1204^2)+'CAFCO 400 '!$L$13*J1204+'CAFCO 400 '!$L$14)*U1204)+('CAFCO 400 '!$L$15*LN(J1204)+'CAFCO 400 '!$L$16)),0)+IF(AND(L1204="Cafco 400",M1204="Software Idiem",C1204="IN",G1204=3),((('CAFCO 400 '!$D$23*(J1204^2)+'CAFCO 400 '!$D$24*(J1204)+'CAFCO 400 '!$D$25)*U1204^2)+(('CAFCO 400 '!$D$26*(J1204^2)+'CAFCO 400 '!$D$27*J1204+'CAFCO 400 '!$D$28)*U1204)+('CAFCO 400 '!$D$29*(J1204^2)+'CAFCO 400 '!$D$30*J1204+'CAFCO 400 '!$D$31)),0),0)+IF(AND(L1204="Cafco 300",J1204&gt;=95,J1204&lt;=240,C1204="Cj",I1204=90),VLOOKUP(T1204,'CAFCO 300 IDIEM TABLAS'!$B$4:$D$23,2,FALSE),0)+IF(AND(L1204="Cafco 300",J1204&gt;=95,J1204&lt;=240,C1204="Cj",I1204=120),VLOOKUP(T1204,'CAFCO 300 IDIEM TABLAS'!$B$4:$D$23,3,FALSE),0)+IF(AND(L1204="Cafco 300",J1204&gt;=95,J1204&lt;=400,G1204=3,C1204="IN",I1204=90),VLOOKUP(T1204,'CAFCO 300 IDIEM TABLAS'!$F$4:$H$35,2,FALSE),0)+IF(AND(L1204="Cafco 300",J1204&gt;=95,J1204&lt;=400,G1204=3,C1204="IN",I1204=120),VLOOKUP(T1204,'CAFCO 300 IDIEM TABLAS'!$F$4:$H$35,3,FALSE),0)+IF(AND(L1204="Cafco 300",J1204&gt;=95,J1204&lt;=450,G1204=4,C1204="IN",I1204=90),VLOOKUP(T1204,'CAFCO 300 IDIEM TABLAS'!$J$4:$L$40,2,FALSE),0)+IF(AND(L1204="Cafco 300",J1204&gt;=95,J1204&lt;=450,G1204=4,C1204="IN",I1204=120),VLOOKUP(T1204,'CAFCO 300 IDIEM TABLAS'!$J$4:$L$40,3,FALSE),0)+IF(AND(M1204="Ensayo Idiem",L1204="Cafco 400",C1204="IN",G1204=4,I1204=90),VLOOKUP(T1204,'CAFCO 400 ENSAYO'!$B$7:$D$43,2,FALSE),0)+IF(AND(M1204="Ensayo Idiem",L1204="Cafco 400",C1204="IN",G1204=4,I1204=120),VLOOKUP(T1204,'CAFCO 400 ENSAYO'!$B$7:$D$43,3,FALSE),0)</f>
        <v>0</v>
      </c>
      <c r="O1204" s="96">
        <f t="shared" si="120"/>
        <v>0</v>
      </c>
      <c r="P1204" s="95" t="str">
        <f t="shared" si="121"/>
        <v>N/A</v>
      </c>
      <c r="Q1204" s="95" t="str">
        <f t="shared" si="122"/>
        <v>N/A</v>
      </c>
      <c r="R1204" s="95" t="str">
        <f t="shared" si="123"/>
        <v>NO CERT.</v>
      </c>
      <c r="S1204" s="95" t="e">
        <f t="shared" si="124"/>
        <v>#N/A</v>
      </c>
      <c r="T1204" s="119" t="e">
        <f>+IF(J1204=LOOKUP(J1204,'CAFCO 300 IDIEM TABLAS'!$J$4:$J$40),'CALCULO MORTERO'!J1204,MROUND('CALCULO MORTERO'!J1204,10))</f>
        <v>#N/A</v>
      </c>
      <c r="U1204" s="118">
        <f t="shared" si="125"/>
        <v>0</v>
      </c>
    </row>
    <row r="1205" spans="1:21" x14ac:dyDescent="0.25">
      <c r="A1205" s="118">
        <f>+CUBICACION!D1199</f>
        <v>0</v>
      </c>
      <c r="B1205" s="819">
        <f>+CUBICACION!E1199</f>
        <v>0</v>
      </c>
      <c r="C1205" s="675">
        <f>+CUBICACION!F1199</f>
        <v>0</v>
      </c>
      <c r="D1205" s="118"/>
      <c r="E1205" s="118"/>
      <c r="F1205" s="820"/>
      <c r="G1205" s="675">
        <f>+CUBICACION!J1199</f>
        <v>0</v>
      </c>
      <c r="H1205" s="118"/>
      <c r="I1205" s="821">
        <f>+CUBICACION!L1199</f>
        <v>0</v>
      </c>
      <c r="J1205" s="64">
        <f>+CUBICACION!M1199</f>
        <v>0</v>
      </c>
      <c r="K1205" s="822" t="str">
        <f>+CUBICACION!N1199</f>
        <v/>
      </c>
      <c r="L1205" s="118">
        <f>+CUBICACION!O1199</f>
        <v>0</v>
      </c>
      <c r="M1205" s="823">
        <f>+CUBICACION!P1199</f>
        <v>0</v>
      </c>
      <c r="N1205" s="902">
        <f>ROUND(IF(AND(L1205="Blaze Shield II",M1205="Software Idiem",C1205="IN",G1205=4),((('BLAZE SHIELD II'!$D$4*('CALCULO MORTERO'!I1205^2)+'BLAZE SHIELD II'!$D$5*'CALCULO MORTERO'!I1205+'BLAZE SHIELD II'!$D$6)*LN(J1205))+('BLAZE SHIELD II'!$D$7*('CALCULO MORTERO'!I1205^2)+'BLAZE SHIELD II'!$D$8*'CALCULO MORTERO'!I1205+'BLAZE SHIELD II'!$D$9)),0)+IF(AND(L1205="Blaze Shield II",M1205="Software Idiem",C1205="Cj"),((('BLAZE SHIELD II'!$H$4*('CALCULO MORTERO'!I1205^2)+'BLAZE SHIELD II'!$H$5*'CALCULO MORTERO'!I1205+'BLAZE SHIELD II'!$H$6)*LN(J1205))+('BLAZE SHIELD II'!$H$7*('CALCULO MORTERO'!I1205^2)+'BLAZE SHIELD II'!$H$8*'CALCULO MORTERO'!I1205+'BLAZE SHIELD II'!$H$9)),0)+IF(AND(L1205="Blaze Shield II",M1205="Software Idiem",C1205="C"),((('BLAZE SHIELD II'!$L$4*('CALCULO MORTERO'!I1205^2)+'BLAZE SHIELD II'!$L$5*'CALCULO MORTERO'!I1205+'BLAZE SHIELD II'!$L$6)*LN(J1205))+('BLAZE SHIELD II'!$L$7*('CALCULO MORTERO'!I1205^2)+'BLAZE SHIELD II'!$L$8*'CALCULO MORTERO'!I1205+'BLAZE SHIELD II'!$L$9)),0)+IF(AND(L1205="Blaze Shield II",M1205="Software Idiem",C1205="L"),((('BLAZE SHIELD II'!$L$4*('CALCULO MORTERO'!I1205^2)+'BLAZE SHIELD II'!$L$5*'CALCULO MORTERO'!I1205+'BLAZE SHIELD II'!$L$6)*LN(J1205))+('BLAZE SHIELD II'!$L$7*('CALCULO MORTERO'!I1205^2)+'BLAZE SHIELD II'!$L$8*'CALCULO MORTERO'!I1205+'BLAZE SHIELD II'!$L$9)),0)+IF(AND(L1205="Blaze Shield II",M1205="Software Idiem",C1205="IN",G1205=3),((('BLAZE SHIELD II'!$H$14*('CALCULO MORTERO'!I1205^2)+'BLAZE SHIELD II'!$H$15*'CALCULO MORTERO'!I1205+'BLAZE SHIELD II'!$H$16)*LN(J1205))+('BLAZE SHIELD II'!$H$17*('CALCULO MORTERO'!I1205^2)+'BLAZE SHIELD II'!$H$18*'CALCULO MORTERO'!I1205+'BLAZE SHIELD II'!$H$19)),0),0)+ROUND(IF(AND(L1205="Cafco 400",M1205="Software Idiem",C1205="IN",G1205=4),((('CAFCO 400 '!$H$7*(J1205^4)+'CAFCO 400 '!$H$8*(J1205^3)+'CAFCO 400 '!$H$9*(J1205^2)+'CAFCO 400 '!$H$10*J1205+'CAFCO 400 '!$H$11)*U1205^2)+(('CAFCO 400 '!$H$12*(J1205^3)+'CAFCO 400 '!$H$13*(J1205^2)+'CAFCO 400 '!$H$14*J1205+'CAFCO 400 '!$H$15)*U1205)+('CAFCO 400 '!$H$16*(J1205^2)+'CAFCO 400 '!$H$17*J1205+'CAFCO 400 '!$H$18)),0)+IF(AND(L1205="Cafco 400",M1205="Software Idiem",C1205="Cj"),(((('CAFCO 400 '!$D$7*LN(J1205)+'CAFCO 400 '!$D$8)*U1205^2)+(('CAFCO 400 '!$D$9*LN(J1205)+'CAFCO 400 '!$D$10)*U1205)+('CAFCO 400 '!$D$11*LN(J1205)+'CAFCO 400 '!$D$12))),0)+IF(AND(L1205="Cafco 400",M1205="Software Idiem",C1205="C"),((('CAFCO 400 '!$L$7*(J1205^3)+'CAFCO 400 '!$L$8*(J1205^2)+'CAFCO 400 '!$L$9*J1205+'CAFCO 400 '!$L$10)*U1205^2)+(('CAFCO 400 '!$L$11*(J1205^3)+'CAFCO 400 '!$L$12*(J1205^2)+'CAFCO 400 '!$L$13*J1205+'CAFCO 400 '!$L$14)*U1205)+('CAFCO 400 '!$L$15*LN(J1205)+'CAFCO 400 '!$L$16)),0)+IF(AND(L1205="Cafco 400",M1205="Software Idiem",C1205="L"),((('CAFCO 400 '!$L$7*(J1205^3)+'CAFCO 400 '!$L$8*(J1205^2)+'CAFCO 400 '!$L$9*J1205+'CAFCO 400 '!$L$10)*U1205^2)+(('CAFCO 400 '!$L$11*(J1205^3)+'CAFCO 400 '!$L$12*(J1205^2)+'CAFCO 400 '!$L$13*J1205+'CAFCO 400 '!$L$14)*U1205)+('CAFCO 400 '!$L$15*LN(J1205)+'CAFCO 400 '!$L$16)),0)+IF(AND(L1205="Cafco 400",M1205="Software Idiem",C1205="IN",G1205=3),((('CAFCO 400 '!$D$23*(J1205^2)+'CAFCO 400 '!$D$24*(J1205)+'CAFCO 400 '!$D$25)*U1205^2)+(('CAFCO 400 '!$D$26*(J1205^2)+'CAFCO 400 '!$D$27*J1205+'CAFCO 400 '!$D$28)*U1205)+('CAFCO 400 '!$D$29*(J1205^2)+'CAFCO 400 '!$D$30*J1205+'CAFCO 400 '!$D$31)),0),0)+IF(AND(L1205="Cafco 300",J1205&gt;=95,J1205&lt;=240,C1205="Cj",I1205=90),VLOOKUP(T1205,'CAFCO 300 IDIEM TABLAS'!$B$4:$D$23,2,FALSE),0)+IF(AND(L1205="Cafco 300",J1205&gt;=95,J1205&lt;=240,C1205="Cj",I1205=120),VLOOKUP(T1205,'CAFCO 300 IDIEM TABLAS'!$B$4:$D$23,3,FALSE),0)+IF(AND(L1205="Cafco 300",J1205&gt;=95,J1205&lt;=400,G1205=3,C1205="IN",I1205=90),VLOOKUP(T1205,'CAFCO 300 IDIEM TABLAS'!$F$4:$H$35,2,FALSE),0)+IF(AND(L1205="Cafco 300",J1205&gt;=95,J1205&lt;=400,G1205=3,C1205="IN",I1205=120),VLOOKUP(T1205,'CAFCO 300 IDIEM TABLAS'!$F$4:$H$35,3,FALSE),0)+IF(AND(L1205="Cafco 300",J1205&gt;=95,J1205&lt;=450,G1205=4,C1205="IN",I1205=90),VLOOKUP(T1205,'CAFCO 300 IDIEM TABLAS'!$J$4:$L$40,2,FALSE),0)+IF(AND(L1205="Cafco 300",J1205&gt;=95,J1205&lt;=450,G1205=4,C1205="IN",I1205=120),VLOOKUP(T1205,'CAFCO 300 IDIEM TABLAS'!$J$4:$L$40,3,FALSE),0)+IF(AND(M1205="Ensayo Idiem",L1205="Cafco 400",C1205="IN",G1205=4,I1205=90),VLOOKUP(T1205,'CAFCO 400 ENSAYO'!$B$7:$D$43,2,FALSE),0)+IF(AND(M1205="Ensayo Idiem",L1205="Cafco 400",C1205="IN",G1205=4,I1205=120),VLOOKUP(T1205,'CAFCO 400 ENSAYO'!$B$7:$D$43,3,FALSE),0)</f>
        <v>0</v>
      </c>
      <c r="O1205" s="96">
        <f t="shared" si="120"/>
        <v>0</v>
      </c>
      <c r="P1205" s="132" t="str">
        <f t="shared" si="121"/>
        <v>N/A</v>
      </c>
      <c r="Q1205" s="132" t="str">
        <f t="shared" si="122"/>
        <v>N/A</v>
      </c>
      <c r="R1205" s="132" t="str">
        <f t="shared" si="123"/>
        <v>NO CERT.</v>
      </c>
      <c r="S1205" s="132" t="e">
        <f t="shared" si="124"/>
        <v>#N/A</v>
      </c>
      <c r="T1205" s="133" t="e">
        <f>+IF(J1205=LOOKUP(J1205,'CAFCO 300 IDIEM TABLAS'!$J$4:$J$40),'CALCULO MORTERO'!J1205,MROUND('CALCULO MORTERO'!J1205,10))</f>
        <v>#N/A</v>
      </c>
      <c r="U1205" s="134">
        <f t="shared" si="125"/>
        <v>0</v>
      </c>
    </row>
    <row r="1206" spans="1:21" x14ac:dyDescent="0.25">
      <c r="A1206" s="118">
        <f>+CUBICACION!D1200</f>
        <v>0</v>
      </c>
      <c r="B1206" s="819">
        <f>+CUBICACION!E1200</f>
        <v>0</v>
      </c>
      <c r="C1206" s="675">
        <f>+CUBICACION!F1200</f>
        <v>0</v>
      </c>
      <c r="D1206" s="118"/>
      <c r="E1206" s="118"/>
      <c r="F1206" s="820"/>
      <c r="G1206" s="675">
        <f>+CUBICACION!J1200</f>
        <v>0</v>
      </c>
      <c r="H1206" s="118"/>
      <c r="I1206" s="821">
        <f>+CUBICACION!L1200</f>
        <v>0</v>
      </c>
      <c r="J1206" s="64">
        <f>+CUBICACION!M1200</f>
        <v>0</v>
      </c>
      <c r="K1206" s="822" t="str">
        <f>+CUBICACION!N1200</f>
        <v/>
      </c>
      <c r="L1206" s="118">
        <f>+CUBICACION!O1200</f>
        <v>0</v>
      </c>
      <c r="M1206" s="823">
        <f>+CUBICACION!P1200</f>
        <v>0</v>
      </c>
      <c r="N1206" s="902">
        <f>ROUND(IF(AND(L1206="Blaze Shield II",M1206="Software Idiem",C1206="IN",G1206=4),((('BLAZE SHIELD II'!$D$4*('CALCULO MORTERO'!I1206^2)+'BLAZE SHIELD II'!$D$5*'CALCULO MORTERO'!I1206+'BLAZE SHIELD II'!$D$6)*LN(J1206))+('BLAZE SHIELD II'!$D$7*('CALCULO MORTERO'!I1206^2)+'BLAZE SHIELD II'!$D$8*'CALCULO MORTERO'!I1206+'BLAZE SHIELD II'!$D$9)),0)+IF(AND(L1206="Blaze Shield II",M1206="Software Idiem",C1206="Cj"),((('BLAZE SHIELD II'!$H$4*('CALCULO MORTERO'!I1206^2)+'BLAZE SHIELD II'!$H$5*'CALCULO MORTERO'!I1206+'BLAZE SHIELD II'!$H$6)*LN(J1206))+('BLAZE SHIELD II'!$H$7*('CALCULO MORTERO'!I1206^2)+'BLAZE SHIELD II'!$H$8*'CALCULO MORTERO'!I1206+'BLAZE SHIELD II'!$H$9)),0)+IF(AND(L1206="Blaze Shield II",M1206="Software Idiem",C1206="C"),((('BLAZE SHIELD II'!$L$4*('CALCULO MORTERO'!I1206^2)+'BLAZE SHIELD II'!$L$5*'CALCULO MORTERO'!I1206+'BLAZE SHIELD II'!$L$6)*LN(J1206))+('BLAZE SHIELD II'!$L$7*('CALCULO MORTERO'!I1206^2)+'BLAZE SHIELD II'!$L$8*'CALCULO MORTERO'!I1206+'BLAZE SHIELD II'!$L$9)),0)+IF(AND(L1206="Blaze Shield II",M1206="Software Idiem",C1206="L"),((('BLAZE SHIELD II'!$L$4*('CALCULO MORTERO'!I1206^2)+'BLAZE SHIELD II'!$L$5*'CALCULO MORTERO'!I1206+'BLAZE SHIELD II'!$L$6)*LN(J1206))+('BLAZE SHIELD II'!$L$7*('CALCULO MORTERO'!I1206^2)+'BLAZE SHIELD II'!$L$8*'CALCULO MORTERO'!I1206+'BLAZE SHIELD II'!$L$9)),0)+IF(AND(L1206="Blaze Shield II",M1206="Software Idiem",C1206="IN",G1206=3),((('BLAZE SHIELD II'!$H$14*('CALCULO MORTERO'!I1206^2)+'BLAZE SHIELD II'!$H$15*'CALCULO MORTERO'!I1206+'BLAZE SHIELD II'!$H$16)*LN(J1206))+('BLAZE SHIELD II'!$H$17*('CALCULO MORTERO'!I1206^2)+'BLAZE SHIELD II'!$H$18*'CALCULO MORTERO'!I1206+'BLAZE SHIELD II'!$H$19)),0),0)+ROUND(IF(AND(L1206="Cafco 400",M1206="Software Idiem",C1206="IN",G1206=4),((('CAFCO 400 '!$H$7*(J1206^4)+'CAFCO 400 '!$H$8*(J1206^3)+'CAFCO 400 '!$H$9*(J1206^2)+'CAFCO 400 '!$H$10*J1206+'CAFCO 400 '!$H$11)*U1206^2)+(('CAFCO 400 '!$H$12*(J1206^3)+'CAFCO 400 '!$H$13*(J1206^2)+'CAFCO 400 '!$H$14*J1206+'CAFCO 400 '!$H$15)*U1206)+('CAFCO 400 '!$H$16*(J1206^2)+'CAFCO 400 '!$H$17*J1206+'CAFCO 400 '!$H$18)),0)+IF(AND(L1206="Cafco 400",M1206="Software Idiem",C1206="Cj"),(((('CAFCO 400 '!$D$7*LN(J1206)+'CAFCO 400 '!$D$8)*U1206^2)+(('CAFCO 400 '!$D$9*LN(J1206)+'CAFCO 400 '!$D$10)*U1206)+('CAFCO 400 '!$D$11*LN(J1206)+'CAFCO 400 '!$D$12))),0)+IF(AND(L1206="Cafco 400",M1206="Software Idiem",C1206="C"),((('CAFCO 400 '!$L$7*(J1206^3)+'CAFCO 400 '!$L$8*(J1206^2)+'CAFCO 400 '!$L$9*J1206+'CAFCO 400 '!$L$10)*U1206^2)+(('CAFCO 400 '!$L$11*(J1206^3)+'CAFCO 400 '!$L$12*(J1206^2)+'CAFCO 400 '!$L$13*J1206+'CAFCO 400 '!$L$14)*U1206)+('CAFCO 400 '!$L$15*LN(J1206)+'CAFCO 400 '!$L$16)),0)+IF(AND(L1206="Cafco 400",M1206="Software Idiem",C1206="L"),((('CAFCO 400 '!$L$7*(J1206^3)+'CAFCO 400 '!$L$8*(J1206^2)+'CAFCO 400 '!$L$9*J1206+'CAFCO 400 '!$L$10)*U1206^2)+(('CAFCO 400 '!$L$11*(J1206^3)+'CAFCO 400 '!$L$12*(J1206^2)+'CAFCO 400 '!$L$13*J1206+'CAFCO 400 '!$L$14)*U1206)+('CAFCO 400 '!$L$15*LN(J1206)+'CAFCO 400 '!$L$16)),0)+IF(AND(L1206="Cafco 400",M1206="Software Idiem",C1206="IN",G1206=3),((('CAFCO 400 '!$D$23*(J1206^2)+'CAFCO 400 '!$D$24*(J1206)+'CAFCO 400 '!$D$25)*U1206^2)+(('CAFCO 400 '!$D$26*(J1206^2)+'CAFCO 400 '!$D$27*J1206+'CAFCO 400 '!$D$28)*U1206)+('CAFCO 400 '!$D$29*(J1206^2)+'CAFCO 400 '!$D$30*J1206+'CAFCO 400 '!$D$31)),0),0)+IF(AND(L1206="Cafco 300",J1206&gt;=95,J1206&lt;=240,C1206="Cj",I1206=90),VLOOKUP(T1206,'CAFCO 300 IDIEM TABLAS'!$B$4:$D$23,2,FALSE),0)+IF(AND(L1206="Cafco 300",J1206&gt;=95,J1206&lt;=240,C1206="Cj",I1206=120),VLOOKUP(T1206,'CAFCO 300 IDIEM TABLAS'!$B$4:$D$23,3,FALSE),0)+IF(AND(L1206="Cafco 300",J1206&gt;=95,J1206&lt;=400,G1206=3,C1206="IN",I1206=90),VLOOKUP(T1206,'CAFCO 300 IDIEM TABLAS'!$F$4:$H$35,2,FALSE),0)+IF(AND(L1206="Cafco 300",J1206&gt;=95,J1206&lt;=400,G1206=3,C1206="IN",I1206=120),VLOOKUP(T1206,'CAFCO 300 IDIEM TABLAS'!$F$4:$H$35,3,FALSE),0)+IF(AND(L1206="Cafco 300",J1206&gt;=95,J1206&lt;=450,G1206=4,C1206="IN",I1206=90),VLOOKUP(T1206,'CAFCO 300 IDIEM TABLAS'!$J$4:$L$40,2,FALSE),0)+IF(AND(L1206="Cafco 300",J1206&gt;=95,J1206&lt;=450,G1206=4,C1206="IN",I1206=120),VLOOKUP(T1206,'CAFCO 300 IDIEM TABLAS'!$J$4:$L$40,3,FALSE),0)+IF(AND(M1206="Ensayo Idiem",L1206="Cafco 400",C1206="IN",G1206=4,I1206=90),VLOOKUP(T1206,'CAFCO 400 ENSAYO'!$B$7:$D$43,2,FALSE),0)+IF(AND(M1206="Ensayo Idiem",L1206="Cafco 400",C1206="IN",G1206=4,I1206=120),VLOOKUP(T1206,'CAFCO 400 ENSAYO'!$B$7:$D$43,3,FALSE),0)</f>
        <v>0</v>
      </c>
      <c r="O1206" s="96">
        <f t="shared" si="120"/>
        <v>0</v>
      </c>
      <c r="P1206" s="95" t="str">
        <f t="shared" si="121"/>
        <v>N/A</v>
      </c>
      <c r="Q1206" s="95" t="str">
        <f t="shared" si="122"/>
        <v>N/A</v>
      </c>
      <c r="R1206" s="95" t="str">
        <f t="shared" si="123"/>
        <v>NO CERT.</v>
      </c>
      <c r="S1206" s="95" t="e">
        <f t="shared" si="124"/>
        <v>#N/A</v>
      </c>
      <c r="T1206" s="119" t="e">
        <f>+IF(J1206=LOOKUP(J1206,'CAFCO 300 IDIEM TABLAS'!$J$4:$J$40),'CALCULO MORTERO'!J1206,MROUND('CALCULO MORTERO'!J1206,10))</f>
        <v>#N/A</v>
      </c>
      <c r="U1206" s="118">
        <f t="shared" si="125"/>
        <v>0</v>
      </c>
    </row>
    <row r="1207" spans="1:21" x14ac:dyDescent="0.25">
      <c r="A1207" s="118">
        <f>+CUBICACION!D1201</f>
        <v>0</v>
      </c>
      <c r="B1207" s="819">
        <f>+CUBICACION!E1201</f>
        <v>0</v>
      </c>
      <c r="C1207" s="675">
        <f>+CUBICACION!F1201</f>
        <v>0</v>
      </c>
      <c r="D1207" s="118"/>
      <c r="E1207" s="118"/>
      <c r="F1207" s="820"/>
      <c r="G1207" s="675">
        <f>+CUBICACION!J1201</f>
        <v>0</v>
      </c>
      <c r="H1207" s="118"/>
      <c r="I1207" s="821">
        <f>+CUBICACION!L1201</f>
        <v>0</v>
      </c>
      <c r="J1207" s="64">
        <f>+CUBICACION!M1201</f>
        <v>0</v>
      </c>
      <c r="K1207" s="822" t="str">
        <f>+CUBICACION!N1201</f>
        <v/>
      </c>
      <c r="L1207" s="118">
        <f>+CUBICACION!O1201</f>
        <v>0</v>
      </c>
      <c r="M1207" s="823">
        <f>+CUBICACION!P1201</f>
        <v>0</v>
      </c>
      <c r="N1207" s="902">
        <f>ROUND(IF(AND(L1207="Blaze Shield II",M1207="Software Idiem",C1207="IN",G1207=4),((('BLAZE SHIELD II'!$D$4*('CALCULO MORTERO'!I1207^2)+'BLAZE SHIELD II'!$D$5*'CALCULO MORTERO'!I1207+'BLAZE SHIELD II'!$D$6)*LN(J1207))+('BLAZE SHIELD II'!$D$7*('CALCULO MORTERO'!I1207^2)+'BLAZE SHIELD II'!$D$8*'CALCULO MORTERO'!I1207+'BLAZE SHIELD II'!$D$9)),0)+IF(AND(L1207="Blaze Shield II",M1207="Software Idiem",C1207="Cj"),((('BLAZE SHIELD II'!$H$4*('CALCULO MORTERO'!I1207^2)+'BLAZE SHIELD II'!$H$5*'CALCULO MORTERO'!I1207+'BLAZE SHIELD II'!$H$6)*LN(J1207))+('BLAZE SHIELD II'!$H$7*('CALCULO MORTERO'!I1207^2)+'BLAZE SHIELD II'!$H$8*'CALCULO MORTERO'!I1207+'BLAZE SHIELD II'!$H$9)),0)+IF(AND(L1207="Blaze Shield II",M1207="Software Idiem",C1207="C"),((('BLAZE SHIELD II'!$L$4*('CALCULO MORTERO'!I1207^2)+'BLAZE SHIELD II'!$L$5*'CALCULO MORTERO'!I1207+'BLAZE SHIELD II'!$L$6)*LN(J1207))+('BLAZE SHIELD II'!$L$7*('CALCULO MORTERO'!I1207^2)+'BLAZE SHIELD II'!$L$8*'CALCULO MORTERO'!I1207+'BLAZE SHIELD II'!$L$9)),0)+IF(AND(L1207="Blaze Shield II",M1207="Software Idiem",C1207="L"),((('BLAZE SHIELD II'!$L$4*('CALCULO MORTERO'!I1207^2)+'BLAZE SHIELD II'!$L$5*'CALCULO MORTERO'!I1207+'BLAZE SHIELD II'!$L$6)*LN(J1207))+('BLAZE SHIELD II'!$L$7*('CALCULO MORTERO'!I1207^2)+'BLAZE SHIELD II'!$L$8*'CALCULO MORTERO'!I1207+'BLAZE SHIELD II'!$L$9)),0)+IF(AND(L1207="Blaze Shield II",M1207="Software Idiem",C1207="IN",G1207=3),((('BLAZE SHIELD II'!$H$14*('CALCULO MORTERO'!I1207^2)+'BLAZE SHIELD II'!$H$15*'CALCULO MORTERO'!I1207+'BLAZE SHIELD II'!$H$16)*LN(J1207))+('BLAZE SHIELD II'!$H$17*('CALCULO MORTERO'!I1207^2)+'BLAZE SHIELD II'!$H$18*'CALCULO MORTERO'!I1207+'BLAZE SHIELD II'!$H$19)),0),0)+ROUND(IF(AND(L1207="Cafco 400",M1207="Software Idiem",C1207="IN",G1207=4),((('CAFCO 400 '!$H$7*(J1207^4)+'CAFCO 400 '!$H$8*(J1207^3)+'CAFCO 400 '!$H$9*(J1207^2)+'CAFCO 400 '!$H$10*J1207+'CAFCO 400 '!$H$11)*U1207^2)+(('CAFCO 400 '!$H$12*(J1207^3)+'CAFCO 400 '!$H$13*(J1207^2)+'CAFCO 400 '!$H$14*J1207+'CAFCO 400 '!$H$15)*U1207)+('CAFCO 400 '!$H$16*(J1207^2)+'CAFCO 400 '!$H$17*J1207+'CAFCO 400 '!$H$18)),0)+IF(AND(L1207="Cafco 400",M1207="Software Idiem",C1207="Cj"),(((('CAFCO 400 '!$D$7*LN(J1207)+'CAFCO 400 '!$D$8)*U1207^2)+(('CAFCO 400 '!$D$9*LN(J1207)+'CAFCO 400 '!$D$10)*U1207)+('CAFCO 400 '!$D$11*LN(J1207)+'CAFCO 400 '!$D$12))),0)+IF(AND(L1207="Cafco 400",M1207="Software Idiem",C1207="C"),((('CAFCO 400 '!$L$7*(J1207^3)+'CAFCO 400 '!$L$8*(J1207^2)+'CAFCO 400 '!$L$9*J1207+'CAFCO 400 '!$L$10)*U1207^2)+(('CAFCO 400 '!$L$11*(J1207^3)+'CAFCO 400 '!$L$12*(J1207^2)+'CAFCO 400 '!$L$13*J1207+'CAFCO 400 '!$L$14)*U1207)+('CAFCO 400 '!$L$15*LN(J1207)+'CAFCO 400 '!$L$16)),0)+IF(AND(L1207="Cafco 400",M1207="Software Idiem",C1207="L"),((('CAFCO 400 '!$L$7*(J1207^3)+'CAFCO 400 '!$L$8*(J1207^2)+'CAFCO 400 '!$L$9*J1207+'CAFCO 400 '!$L$10)*U1207^2)+(('CAFCO 400 '!$L$11*(J1207^3)+'CAFCO 400 '!$L$12*(J1207^2)+'CAFCO 400 '!$L$13*J1207+'CAFCO 400 '!$L$14)*U1207)+('CAFCO 400 '!$L$15*LN(J1207)+'CAFCO 400 '!$L$16)),0)+IF(AND(L1207="Cafco 400",M1207="Software Idiem",C1207="IN",G1207=3),((('CAFCO 400 '!$D$23*(J1207^2)+'CAFCO 400 '!$D$24*(J1207)+'CAFCO 400 '!$D$25)*U1207^2)+(('CAFCO 400 '!$D$26*(J1207^2)+'CAFCO 400 '!$D$27*J1207+'CAFCO 400 '!$D$28)*U1207)+('CAFCO 400 '!$D$29*(J1207^2)+'CAFCO 400 '!$D$30*J1207+'CAFCO 400 '!$D$31)),0),0)+IF(AND(L1207="Cafco 300",J1207&gt;=95,J1207&lt;=240,C1207="Cj",I1207=90),VLOOKUP(T1207,'CAFCO 300 IDIEM TABLAS'!$B$4:$D$23,2,FALSE),0)+IF(AND(L1207="Cafco 300",J1207&gt;=95,J1207&lt;=240,C1207="Cj",I1207=120),VLOOKUP(T1207,'CAFCO 300 IDIEM TABLAS'!$B$4:$D$23,3,FALSE),0)+IF(AND(L1207="Cafco 300",J1207&gt;=95,J1207&lt;=400,G1207=3,C1207="IN",I1207=90),VLOOKUP(T1207,'CAFCO 300 IDIEM TABLAS'!$F$4:$H$35,2,FALSE),0)+IF(AND(L1207="Cafco 300",J1207&gt;=95,J1207&lt;=400,G1207=3,C1207="IN",I1207=120),VLOOKUP(T1207,'CAFCO 300 IDIEM TABLAS'!$F$4:$H$35,3,FALSE),0)+IF(AND(L1207="Cafco 300",J1207&gt;=95,J1207&lt;=450,G1207=4,C1207="IN",I1207=90),VLOOKUP(T1207,'CAFCO 300 IDIEM TABLAS'!$J$4:$L$40,2,FALSE),0)+IF(AND(L1207="Cafco 300",J1207&gt;=95,J1207&lt;=450,G1207=4,C1207="IN",I1207=120),VLOOKUP(T1207,'CAFCO 300 IDIEM TABLAS'!$J$4:$L$40,3,FALSE),0)+IF(AND(M1207="Ensayo Idiem",L1207="Cafco 400",C1207="IN",G1207=4,I1207=90),VLOOKUP(T1207,'CAFCO 400 ENSAYO'!$B$7:$D$43,2,FALSE),0)+IF(AND(M1207="Ensayo Idiem",L1207="Cafco 400",C1207="IN",G1207=4,I1207=120),VLOOKUP(T1207,'CAFCO 400 ENSAYO'!$B$7:$D$43,3,FALSE),0)</f>
        <v>0</v>
      </c>
      <c r="O1207" s="96">
        <f t="shared" si="120"/>
        <v>0</v>
      </c>
      <c r="P1207" s="132" t="str">
        <f t="shared" si="121"/>
        <v>N/A</v>
      </c>
      <c r="Q1207" s="132" t="str">
        <f t="shared" si="122"/>
        <v>N/A</v>
      </c>
      <c r="R1207" s="132" t="str">
        <f t="shared" si="123"/>
        <v>NO CERT.</v>
      </c>
      <c r="S1207" s="132" t="e">
        <f t="shared" si="124"/>
        <v>#N/A</v>
      </c>
      <c r="T1207" s="133" t="e">
        <f>+IF(J1207=LOOKUP(J1207,'CAFCO 300 IDIEM TABLAS'!$J$4:$J$40),'CALCULO MORTERO'!J1207,MROUND('CALCULO MORTERO'!J1207,10))</f>
        <v>#N/A</v>
      </c>
      <c r="U1207" s="134">
        <f t="shared" si="125"/>
        <v>0</v>
      </c>
    </row>
    <row r="1208" spans="1:21" x14ac:dyDescent="0.25">
      <c r="A1208" s="118">
        <f>+CUBICACION!D1202</f>
        <v>0</v>
      </c>
      <c r="B1208" s="819">
        <f>+CUBICACION!E1202</f>
        <v>0</v>
      </c>
      <c r="C1208" s="675">
        <f>+CUBICACION!F1202</f>
        <v>0</v>
      </c>
      <c r="D1208" s="118"/>
      <c r="E1208" s="118"/>
      <c r="F1208" s="820"/>
      <c r="G1208" s="675">
        <f>+CUBICACION!J1202</f>
        <v>0</v>
      </c>
      <c r="H1208" s="118"/>
      <c r="I1208" s="821">
        <f>+CUBICACION!L1202</f>
        <v>0</v>
      </c>
      <c r="J1208" s="64">
        <f>+CUBICACION!M1202</f>
        <v>0</v>
      </c>
      <c r="K1208" s="822" t="str">
        <f>+CUBICACION!N1202</f>
        <v/>
      </c>
      <c r="L1208" s="118">
        <f>+CUBICACION!O1202</f>
        <v>0</v>
      </c>
      <c r="M1208" s="823">
        <f>+CUBICACION!P1202</f>
        <v>0</v>
      </c>
      <c r="N1208" s="902">
        <f>ROUND(IF(AND(L1208="Blaze Shield II",M1208="Software Idiem",C1208="IN",G1208=4),((('BLAZE SHIELD II'!$D$4*('CALCULO MORTERO'!I1208^2)+'BLAZE SHIELD II'!$D$5*'CALCULO MORTERO'!I1208+'BLAZE SHIELD II'!$D$6)*LN(J1208))+('BLAZE SHIELD II'!$D$7*('CALCULO MORTERO'!I1208^2)+'BLAZE SHIELD II'!$D$8*'CALCULO MORTERO'!I1208+'BLAZE SHIELD II'!$D$9)),0)+IF(AND(L1208="Blaze Shield II",M1208="Software Idiem",C1208="Cj"),((('BLAZE SHIELD II'!$H$4*('CALCULO MORTERO'!I1208^2)+'BLAZE SHIELD II'!$H$5*'CALCULO MORTERO'!I1208+'BLAZE SHIELD II'!$H$6)*LN(J1208))+('BLAZE SHIELD II'!$H$7*('CALCULO MORTERO'!I1208^2)+'BLAZE SHIELD II'!$H$8*'CALCULO MORTERO'!I1208+'BLAZE SHIELD II'!$H$9)),0)+IF(AND(L1208="Blaze Shield II",M1208="Software Idiem",C1208="C"),((('BLAZE SHIELD II'!$L$4*('CALCULO MORTERO'!I1208^2)+'BLAZE SHIELD II'!$L$5*'CALCULO MORTERO'!I1208+'BLAZE SHIELD II'!$L$6)*LN(J1208))+('BLAZE SHIELD II'!$L$7*('CALCULO MORTERO'!I1208^2)+'BLAZE SHIELD II'!$L$8*'CALCULO MORTERO'!I1208+'BLAZE SHIELD II'!$L$9)),0)+IF(AND(L1208="Blaze Shield II",M1208="Software Idiem",C1208="L"),((('BLAZE SHIELD II'!$L$4*('CALCULO MORTERO'!I1208^2)+'BLAZE SHIELD II'!$L$5*'CALCULO MORTERO'!I1208+'BLAZE SHIELD II'!$L$6)*LN(J1208))+('BLAZE SHIELD II'!$L$7*('CALCULO MORTERO'!I1208^2)+'BLAZE SHIELD II'!$L$8*'CALCULO MORTERO'!I1208+'BLAZE SHIELD II'!$L$9)),0)+IF(AND(L1208="Blaze Shield II",M1208="Software Idiem",C1208="IN",G1208=3),((('BLAZE SHIELD II'!$H$14*('CALCULO MORTERO'!I1208^2)+'BLAZE SHIELD II'!$H$15*'CALCULO MORTERO'!I1208+'BLAZE SHIELD II'!$H$16)*LN(J1208))+('BLAZE SHIELD II'!$H$17*('CALCULO MORTERO'!I1208^2)+'BLAZE SHIELD II'!$H$18*'CALCULO MORTERO'!I1208+'BLAZE SHIELD II'!$H$19)),0),0)+ROUND(IF(AND(L1208="Cafco 400",M1208="Software Idiem",C1208="IN",G1208=4),((('CAFCO 400 '!$H$7*(J1208^4)+'CAFCO 400 '!$H$8*(J1208^3)+'CAFCO 400 '!$H$9*(J1208^2)+'CAFCO 400 '!$H$10*J1208+'CAFCO 400 '!$H$11)*U1208^2)+(('CAFCO 400 '!$H$12*(J1208^3)+'CAFCO 400 '!$H$13*(J1208^2)+'CAFCO 400 '!$H$14*J1208+'CAFCO 400 '!$H$15)*U1208)+('CAFCO 400 '!$H$16*(J1208^2)+'CAFCO 400 '!$H$17*J1208+'CAFCO 400 '!$H$18)),0)+IF(AND(L1208="Cafco 400",M1208="Software Idiem",C1208="Cj"),(((('CAFCO 400 '!$D$7*LN(J1208)+'CAFCO 400 '!$D$8)*U1208^2)+(('CAFCO 400 '!$D$9*LN(J1208)+'CAFCO 400 '!$D$10)*U1208)+('CAFCO 400 '!$D$11*LN(J1208)+'CAFCO 400 '!$D$12))),0)+IF(AND(L1208="Cafco 400",M1208="Software Idiem",C1208="C"),((('CAFCO 400 '!$L$7*(J1208^3)+'CAFCO 400 '!$L$8*(J1208^2)+'CAFCO 400 '!$L$9*J1208+'CAFCO 400 '!$L$10)*U1208^2)+(('CAFCO 400 '!$L$11*(J1208^3)+'CAFCO 400 '!$L$12*(J1208^2)+'CAFCO 400 '!$L$13*J1208+'CAFCO 400 '!$L$14)*U1208)+('CAFCO 400 '!$L$15*LN(J1208)+'CAFCO 400 '!$L$16)),0)+IF(AND(L1208="Cafco 400",M1208="Software Idiem",C1208="L"),((('CAFCO 400 '!$L$7*(J1208^3)+'CAFCO 400 '!$L$8*(J1208^2)+'CAFCO 400 '!$L$9*J1208+'CAFCO 400 '!$L$10)*U1208^2)+(('CAFCO 400 '!$L$11*(J1208^3)+'CAFCO 400 '!$L$12*(J1208^2)+'CAFCO 400 '!$L$13*J1208+'CAFCO 400 '!$L$14)*U1208)+('CAFCO 400 '!$L$15*LN(J1208)+'CAFCO 400 '!$L$16)),0)+IF(AND(L1208="Cafco 400",M1208="Software Idiem",C1208="IN",G1208=3),((('CAFCO 400 '!$D$23*(J1208^2)+'CAFCO 400 '!$D$24*(J1208)+'CAFCO 400 '!$D$25)*U1208^2)+(('CAFCO 400 '!$D$26*(J1208^2)+'CAFCO 400 '!$D$27*J1208+'CAFCO 400 '!$D$28)*U1208)+('CAFCO 400 '!$D$29*(J1208^2)+'CAFCO 400 '!$D$30*J1208+'CAFCO 400 '!$D$31)),0),0)+IF(AND(L1208="Cafco 300",J1208&gt;=95,J1208&lt;=240,C1208="Cj",I1208=90),VLOOKUP(T1208,'CAFCO 300 IDIEM TABLAS'!$B$4:$D$23,2,FALSE),0)+IF(AND(L1208="Cafco 300",J1208&gt;=95,J1208&lt;=240,C1208="Cj",I1208=120),VLOOKUP(T1208,'CAFCO 300 IDIEM TABLAS'!$B$4:$D$23,3,FALSE),0)+IF(AND(L1208="Cafco 300",J1208&gt;=95,J1208&lt;=400,G1208=3,C1208="IN",I1208=90),VLOOKUP(T1208,'CAFCO 300 IDIEM TABLAS'!$F$4:$H$35,2,FALSE),0)+IF(AND(L1208="Cafco 300",J1208&gt;=95,J1208&lt;=400,G1208=3,C1208="IN",I1208=120),VLOOKUP(T1208,'CAFCO 300 IDIEM TABLAS'!$F$4:$H$35,3,FALSE),0)+IF(AND(L1208="Cafco 300",J1208&gt;=95,J1208&lt;=450,G1208=4,C1208="IN",I1208=90),VLOOKUP(T1208,'CAFCO 300 IDIEM TABLAS'!$J$4:$L$40,2,FALSE),0)+IF(AND(L1208="Cafco 300",J1208&gt;=95,J1208&lt;=450,G1208=4,C1208="IN",I1208=120),VLOOKUP(T1208,'CAFCO 300 IDIEM TABLAS'!$J$4:$L$40,3,FALSE),0)+IF(AND(M1208="Ensayo Idiem",L1208="Cafco 400",C1208="IN",G1208=4,I1208=90),VLOOKUP(T1208,'CAFCO 400 ENSAYO'!$B$7:$D$43,2,FALSE),0)+IF(AND(M1208="Ensayo Idiem",L1208="Cafco 400",C1208="IN",G1208=4,I1208=120),VLOOKUP(T1208,'CAFCO 400 ENSAYO'!$B$7:$D$43,3,FALSE),0)</f>
        <v>0</v>
      </c>
      <c r="O1208" s="96">
        <f t="shared" si="120"/>
        <v>0</v>
      </c>
      <c r="P1208" s="95" t="str">
        <f t="shared" si="121"/>
        <v>N/A</v>
      </c>
      <c r="Q1208" s="95" t="str">
        <f t="shared" si="122"/>
        <v>N/A</v>
      </c>
      <c r="R1208" s="95" t="str">
        <f t="shared" si="123"/>
        <v>NO CERT.</v>
      </c>
      <c r="S1208" s="95" t="e">
        <f t="shared" si="124"/>
        <v>#N/A</v>
      </c>
      <c r="T1208" s="119" t="e">
        <f>+IF(J1208=LOOKUP(J1208,'CAFCO 300 IDIEM TABLAS'!$J$4:$J$40),'CALCULO MORTERO'!J1208,MROUND('CALCULO MORTERO'!J1208,10))</f>
        <v>#N/A</v>
      </c>
      <c r="U1208" s="118">
        <f t="shared" si="125"/>
        <v>0</v>
      </c>
    </row>
    <row r="1209" spans="1:21" x14ac:dyDescent="0.25">
      <c r="A1209" s="118">
        <f>+CUBICACION!D1203</f>
        <v>0</v>
      </c>
      <c r="B1209" s="819">
        <f>+CUBICACION!E1203</f>
        <v>0</v>
      </c>
      <c r="C1209" s="675">
        <f>+CUBICACION!F1203</f>
        <v>0</v>
      </c>
      <c r="D1209" s="118"/>
      <c r="E1209" s="118"/>
      <c r="F1209" s="820"/>
      <c r="G1209" s="675">
        <f>+CUBICACION!J1203</f>
        <v>0</v>
      </c>
      <c r="H1209" s="118"/>
      <c r="I1209" s="821">
        <f>+CUBICACION!L1203</f>
        <v>0</v>
      </c>
      <c r="J1209" s="64">
        <f>+CUBICACION!M1203</f>
        <v>0</v>
      </c>
      <c r="K1209" s="822" t="str">
        <f>+CUBICACION!N1203</f>
        <v/>
      </c>
      <c r="L1209" s="118">
        <f>+CUBICACION!O1203</f>
        <v>0</v>
      </c>
      <c r="M1209" s="823">
        <f>+CUBICACION!P1203</f>
        <v>0</v>
      </c>
      <c r="N1209" s="902">
        <f>ROUND(IF(AND(L1209="Blaze Shield II",M1209="Software Idiem",C1209="IN",G1209=4),((('BLAZE SHIELD II'!$D$4*('CALCULO MORTERO'!I1209^2)+'BLAZE SHIELD II'!$D$5*'CALCULO MORTERO'!I1209+'BLAZE SHIELD II'!$D$6)*LN(J1209))+('BLAZE SHIELD II'!$D$7*('CALCULO MORTERO'!I1209^2)+'BLAZE SHIELD II'!$D$8*'CALCULO MORTERO'!I1209+'BLAZE SHIELD II'!$D$9)),0)+IF(AND(L1209="Blaze Shield II",M1209="Software Idiem",C1209="Cj"),((('BLAZE SHIELD II'!$H$4*('CALCULO MORTERO'!I1209^2)+'BLAZE SHIELD II'!$H$5*'CALCULO MORTERO'!I1209+'BLAZE SHIELD II'!$H$6)*LN(J1209))+('BLAZE SHIELD II'!$H$7*('CALCULO MORTERO'!I1209^2)+'BLAZE SHIELD II'!$H$8*'CALCULO MORTERO'!I1209+'BLAZE SHIELD II'!$H$9)),0)+IF(AND(L1209="Blaze Shield II",M1209="Software Idiem",C1209="C"),((('BLAZE SHIELD II'!$L$4*('CALCULO MORTERO'!I1209^2)+'BLAZE SHIELD II'!$L$5*'CALCULO MORTERO'!I1209+'BLAZE SHIELD II'!$L$6)*LN(J1209))+('BLAZE SHIELD II'!$L$7*('CALCULO MORTERO'!I1209^2)+'BLAZE SHIELD II'!$L$8*'CALCULO MORTERO'!I1209+'BLAZE SHIELD II'!$L$9)),0)+IF(AND(L1209="Blaze Shield II",M1209="Software Idiem",C1209="L"),((('BLAZE SHIELD II'!$L$4*('CALCULO MORTERO'!I1209^2)+'BLAZE SHIELD II'!$L$5*'CALCULO MORTERO'!I1209+'BLAZE SHIELD II'!$L$6)*LN(J1209))+('BLAZE SHIELD II'!$L$7*('CALCULO MORTERO'!I1209^2)+'BLAZE SHIELD II'!$L$8*'CALCULO MORTERO'!I1209+'BLAZE SHIELD II'!$L$9)),0)+IF(AND(L1209="Blaze Shield II",M1209="Software Idiem",C1209="IN",G1209=3),((('BLAZE SHIELD II'!$H$14*('CALCULO MORTERO'!I1209^2)+'BLAZE SHIELD II'!$H$15*'CALCULO MORTERO'!I1209+'BLAZE SHIELD II'!$H$16)*LN(J1209))+('BLAZE SHIELD II'!$H$17*('CALCULO MORTERO'!I1209^2)+'BLAZE SHIELD II'!$H$18*'CALCULO MORTERO'!I1209+'BLAZE SHIELD II'!$H$19)),0),0)+ROUND(IF(AND(L1209="Cafco 400",M1209="Software Idiem",C1209="IN",G1209=4),((('CAFCO 400 '!$H$7*(J1209^4)+'CAFCO 400 '!$H$8*(J1209^3)+'CAFCO 400 '!$H$9*(J1209^2)+'CAFCO 400 '!$H$10*J1209+'CAFCO 400 '!$H$11)*U1209^2)+(('CAFCO 400 '!$H$12*(J1209^3)+'CAFCO 400 '!$H$13*(J1209^2)+'CAFCO 400 '!$H$14*J1209+'CAFCO 400 '!$H$15)*U1209)+('CAFCO 400 '!$H$16*(J1209^2)+'CAFCO 400 '!$H$17*J1209+'CAFCO 400 '!$H$18)),0)+IF(AND(L1209="Cafco 400",M1209="Software Idiem",C1209="Cj"),(((('CAFCO 400 '!$D$7*LN(J1209)+'CAFCO 400 '!$D$8)*U1209^2)+(('CAFCO 400 '!$D$9*LN(J1209)+'CAFCO 400 '!$D$10)*U1209)+('CAFCO 400 '!$D$11*LN(J1209)+'CAFCO 400 '!$D$12))),0)+IF(AND(L1209="Cafco 400",M1209="Software Idiem",C1209="C"),((('CAFCO 400 '!$L$7*(J1209^3)+'CAFCO 400 '!$L$8*(J1209^2)+'CAFCO 400 '!$L$9*J1209+'CAFCO 400 '!$L$10)*U1209^2)+(('CAFCO 400 '!$L$11*(J1209^3)+'CAFCO 400 '!$L$12*(J1209^2)+'CAFCO 400 '!$L$13*J1209+'CAFCO 400 '!$L$14)*U1209)+('CAFCO 400 '!$L$15*LN(J1209)+'CAFCO 400 '!$L$16)),0)+IF(AND(L1209="Cafco 400",M1209="Software Idiem",C1209="L"),((('CAFCO 400 '!$L$7*(J1209^3)+'CAFCO 400 '!$L$8*(J1209^2)+'CAFCO 400 '!$L$9*J1209+'CAFCO 400 '!$L$10)*U1209^2)+(('CAFCO 400 '!$L$11*(J1209^3)+'CAFCO 400 '!$L$12*(J1209^2)+'CAFCO 400 '!$L$13*J1209+'CAFCO 400 '!$L$14)*U1209)+('CAFCO 400 '!$L$15*LN(J1209)+'CAFCO 400 '!$L$16)),0)+IF(AND(L1209="Cafco 400",M1209="Software Idiem",C1209="IN",G1209=3),((('CAFCO 400 '!$D$23*(J1209^2)+'CAFCO 400 '!$D$24*(J1209)+'CAFCO 400 '!$D$25)*U1209^2)+(('CAFCO 400 '!$D$26*(J1209^2)+'CAFCO 400 '!$D$27*J1209+'CAFCO 400 '!$D$28)*U1209)+('CAFCO 400 '!$D$29*(J1209^2)+'CAFCO 400 '!$D$30*J1209+'CAFCO 400 '!$D$31)),0),0)+IF(AND(L1209="Cafco 300",J1209&gt;=95,J1209&lt;=240,C1209="Cj",I1209=90),VLOOKUP(T1209,'CAFCO 300 IDIEM TABLAS'!$B$4:$D$23,2,FALSE),0)+IF(AND(L1209="Cafco 300",J1209&gt;=95,J1209&lt;=240,C1209="Cj",I1209=120),VLOOKUP(T1209,'CAFCO 300 IDIEM TABLAS'!$B$4:$D$23,3,FALSE),0)+IF(AND(L1209="Cafco 300",J1209&gt;=95,J1209&lt;=400,G1209=3,C1209="IN",I1209=90),VLOOKUP(T1209,'CAFCO 300 IDIEM TABLAS'!$F$4:$H$35,2,FALSE),0)+IF(AND(L1209="Cafco 300",J1209&gt;=95,J1209&lt;=400,G1209=3,C1209="IN",I1209=120),VLOOKUP(T1209,'CAFCO 300 IDIEM TABLAS'!$F$4:$H$35,3,FALSE),0)+IF(AND(L1209="Cafco 300",J1209&gt;=95,J1209&lt;=450,G1209=4,C1209="IN",I1209=90),VLOOKUP(T1209,'CAFCO 300 IDIEM TABLAS'!$J$4:$L$40,2,FALSE),0)+IF(AND(L1209="Cafco 300",J1209&gt;=95,J1209&lt;=450,G1209=4,C1209="IN",I1209=120),VLOOKUP(T1209,'CAFCO 300 IDIEM TABLAS'!$J$4:$L$40,3,FALSE),0)+IF(AND(M1209="Ensayo Idiem",L1209="Cafco 400",C1209="IN",G1209=4,I1209=90),VLOOKUP(T1209,'CAFCO 400 ENSAYO'!$B$7:$D$43,2,FALSE),0)+IF(AND(M1209="Ensayo Idiem",L1209="Cafco 400",C1209="IN",G1209=4,I1209=120),VLOOKUP(T1209,'CAFCO 400 ENSAYO'!$B$7:$D$43,3,FALSE),0)</f>
        <v>0</v>
      </c>
      <c r="O1209" s="96">
        <f t="shared" si="120"/>
        <v>0</v>
      </c>
      <c r="P1209" s="132" t="str">
        <f t="shared" si="121"/>
        <v>N/A</v>
      </c>
      <c r="Q1209" s="132" t="str">
        <f t="shared" si="122"/>
        <v>N/A</v>
      </c>
      <c r="R1209" s="132" t="str">
        <f t="shared" si="123"/>
        <v>NO CERT.</v>
      </c>
      <c r="S1209" s="132" t="e">
        <f t="shared" si="124"/>
        <v>#N/A</v>
      </c>
      <c r="T1209" s="133" t="e">
        <f>+IF(J1209=LOOKUP(J1209,'CAFCO 300 IDIEM TABLAS'!$J$4:$J$40),'CALCULO MORTERO'!J1209,MROUND('CALCULO MORTERO'!J1209,10))</f>
        <v>#N/A</v>
      </c>
      <c r="U1209" s="134">
        <f t="shared" si="125"/>
        <v>0</v>
      </c>
    </row>
    <row r="1210" spans="1:21" x14ac:dyDescent="0.25">
      <c r="A1210" s="118">
        <f>+CUBICACION!D1204</f>
        <v>0</v>
      </c>
      <c r="B1210" s="819">
        <f>+CUBICACION!E1204</f>
        <v>0</v>
      </c>
      <c r="C1210" s="675">
        <f>+CUBICACION!F1204</f>
        <v>0</v>
      </c>
      <c r="D1210" s="118"/>
      <c r="E1210" s="118"/>
      <c r="F1210" s="820"/>
      <c r="G1210" s="675">
        <f>+CUBICACION!J1204</f>
        <v>0</v>
      </c>
      <c r="H1210" s="118"/>
      <c r="I1210" s="821">
        <f>+CUBICACION!L1204</f>
        <v>0</v>
      </c>
      <c r="J1210" s="64">
        <f>+CUBICACION!M1204</f>
        <v>0</v>
      </c>
      <c r="K1210" s="822" t="str">
        <f>+CUBICACION!N1204</f>
        <v/>
      </c>
      <c r="L1210" s="118">
        <f>+CUBICACION!O1204</f>
        <v>0</v>
      </c>
      <c r="M1210" s="823">
        <f>+CUBICACION!P1204</f>
        <v>0</v>
      </c>
      <c r="N1210" s="902">
        <f>ROUND(IF(AND(L1210="Blaze Shield II",M1210="Software Idiem",C1210="IN",G1210=4),((('BLAZE SHIELD II'!$D$4*('CALCULO MORTERO'!I1210^2)+'BLAZE SHIELD II'!$D$5*'CALCULO MORTERO'!I1210+'BLAZE SHIELD II'!$D$6)*LN(J1210))+('BLAZE SHIELD II'!$D$7*('CALCULO MORTERO'!I1210^2)+'BLAZE SHIELD II'!$D$8*'CALCULO MORTERO'!I1210+'BLAZE SHIELD II'!$D$9)),0)+IF(AND(L1210="Blaze Shield II",M1210="Software Idiem",C1210="Cj"),((('BLAZE SHIELD II'!$H$4*('CALCULO MORTERO'!I1210^2)+'BLAZE SHIELD II'!$H$5*'CALCULO MORTERO'!I1210+'BLAZE SHIELD II'!$H$6)*LN(J1210))+('BLAZE SHIELD II'!$H$7*('CALCULO MORTERO'!I1210^2)+'BLAZE SHIELD II'!$H$8*'CALCULO MORTERO'!I1210+'BLAZE SHIELD II'!$H$9)),0)+IF(AND(L1210="Blaze Shield II",M1210="Software Idiem",C1210="C"),((('BLAZE SHIELD II'!$L$4*('CALCULO MORTERO'!I1210^2)+'BLAZE SHIELD II'!$L$5*'CALCULO MORTERO'!I1210+'BLAZE SHIELD II'!$L$6)*LN(J1210))+('BLAZE SHIELD II'!$L$7*('CALCULO MORTERO'!I1210^2)+'BLAZE SHIELD II'!$L$8*'CALCULO MORTERO'!I1210+'BLAZE SHIELD II'!$L$9)),0)+IF(AND(L1210="Blaze Shield II",M1210="Software Idiem",C1210="L"),((('BLAZE SHIELD II'!$L$4*('CALCULO MORTERO'!I1210^2)+'BLAZE SHIELD II'!$L$5*'CALCULO MORTERO'!I1210+'BLAZE SHIELD II'!$L$6)*LN(J1210))+('BLAZE SHIELD II'!$L$7*('CALCULO MORTERO'!I1210^2)+'BLAZE SHIELD II'!$L$8*'CALCULO MORTERO'!I1210+'BLAZE SHIELD II'!$L$9)),0)+IF(AND(L1210="Blaze Shield II",M1210="Software Idiem",C1210="IN",G1210=3),((('BLAZE SHIELD II'!$H$14*('CALCULO MORTERO'!I1210^2)+'BLAZE SHIELD II'!$H$15*'CALCULO MORTERO'!I1210+'BLAZE SHIELD II'!$H$16)*LN(J1210))+('BLAZE SHIELD II'!$H$17*('CALCULO MORTERO'!I1210^2)+'BLAZE SHIELD II'!$H$18*'CALCULO MORTERO'!I1210+'BLAZE SHIELD II'!$H$19)),0),0)+ROUND(IF(AND(L1210="Cafco 400",M1210="Software Idiem",C1210="IN",G1210=4),((('CAFCO 400 '!$H$7*(J1210^4)+'CAFCO 400 '!$H$8*(J1210^3)+'CAFCO 400 '!$H$9*(J1210^2)+'CAFCO 400 '!$H$10*J1210+'CAFCO 400 '!$H$11)*U1210^2)+(('CAFCO 400 '!$H$12*(J1210^3)+'CAFCO 400 '!$H$13*(J1210^2)+'CAFCO 400 '!$H$14*J1210+'CAFCO 400 '!$H$15)*U1210)+('CAFCO 400 '!$H$16*(J1210^2)+'CAFCO 400 '!$H$17*J1210+'CAFCO 400 '!$H$18)),0)+IF(AND(L1210="Cafco 400",M1210="Software Idiem",C1210="Cj"),(((('CAFCO 400 '!$D$7*LN(J1210)+'CAFCO 400 '!$D$8)*U1210^2)+(('CAFCO 400 '!$D$9*LN(J1210)+'CAFCO 400 '!$D$10)*U1210)+('CAFCO 400 '!$D$11*LN(J1210)+'CAFCO 400 '!$D$12))),0)+IF(AND(L1210="Cafco 400",M1210="Software Idiem",C1210="C"),((('CAFCO 400 '!$L$7*(J1210^3)+'CAFCO 400 '!$L$8*(J1210^2)+'CAFCO 400 '!$L$9*J1210+'CAFCO 400 '!$L$10)*U1210^2)+(('CAFCO 400 '!$L$11*(J1210^3)+'CAFCO 400 '!$L$12*(J1210^2)+'CAFCO 400 '!$L$13*J1210+'CAFCO 400 '!$L$14)*U1210)+('CAFCO 400 '!$L$15*LN(J1210)+'CAFCO 400 '!$L$16)),0)+IF(AND(L1210="Cafco 400",M1210="Software Idiem",C1210="L"),((('CAFCO 400 '!$L$7*(J1210^3)+'CAFCO 400 '!$L$8*(J1210^2)+'CAFCO 400 '!$L$9*J1210+'CAFCO 400 '!$L$10)*U1210^2)+(('CAFCO 400 '!$L$11*(J1210^3)+'CAFCO 400 '!$L$12*(J1210^2)+'CAFCO 400 '!$L$13*J1210+'CAFCO 400 '!$L$14)*U1210)+('CAFCO 400 '!$L$15*LN(J1210)+'CAFCO 400 '!$L$16)),0)+IF(AND(L1210="Cafco 400",M1210="Software Idiem",C1210="IN",G1210=3),((('CAFCO 400 '!$D$23*(J1210^2)+'CAFCO 400 '!$D$24*(J1210)+'CAFCO 400 '!$D$25)*U1210^2)+(('CAFCO 400 '!$D$26*(J1210^2)+'CAFCO 400 '!$D$27*J1210+'CAFCO 400 '!$D$28)*U1210)+('CAFCO 400 '!$D$29*(J1210^2)+'CAFCO 400 '!$D$30*J1210+'CAFCO 400 '!$D$31)),0),0)+IF(AND(L1210="Cafco 300",J1210&gt;=95,J1210&lt;=240,C1210="Cj",I1210=90),VLOOKUP(T1210,'CAFCO 300 IDIEM TABLAS'!$B$4:$D$23,2,FALSE),0)+IF(AND(L1210="Cafco 300",J1210&gt;=95,J1210&lt;=240,C1210="Cj",I1210=120),VLOOKUP(T1210,'CAFCO 300 IDIEM TABLAS'!$B$4:$D$23,3,FALSE),0)+IF(AND(L1210="Cafco 300",J1210&gt;=95,J1210&lt;=400,G1210=3,C1210="IN",I1210=90),VLOOKUP(T1210,'CAFCO 300 IDIEM TABLAS'!$F$4:$H$35,2,FALSE),0)+IF(AND(L1210="Cafco 300",J1210&gt;=95,J1210&lt;=400,G1210=3,C1210="IN",I1210=120),VLOOKUP(T1210,'CAFCO 300 IDIEM TABLAS'!$F$4:$H$35,3,FALSE),0)+IF(AND(L1210="Cafco 300",J1210&gt;=95,J1210&lt;=450,G1210=4,C1210="IN",I1210=90),VLOOKUP(T1210,'CAFCO 300 IDIEM TABLAS'!$J$4:$L$40,2,FALSE),0)+IF(AND(L1210="Cafco 300",J1210&gt;=95,J1210&lt;=450,G1210=4,C1210="IN",I1210=120),VLOOKUP(T1210,'CAFCO 300 IDIEM TABLAS'!$J$4:$L$40,3,FALSE),0)+IF(AND(M1210="Ensayo Idiem",L1210="Cafco 400",C1210="IN",G1210=4,I1210=90),VLOOKUP(T1210,'CAFCO 400 ENSAYO'!$B$7:$D$43,2,FALSE),0)+IF(AND(M1210="Ensayo Idiem",L1210="Cafco 400",C1210="IN",G1210=4,I1210=120),VLOOKUP(T1210,'CAFCO 400 ENSAYO'!$B$7:$D$43,3,FALSE),0)</f>
        <v>0</v>
      </c>
      <c r="O1210" s="96">
        <f t="shared" si="120"/>
        <v>0</v>
      </c>
      <c r="P1210" s="95" t="str">
        <f t="shared" si="121"/>
        <v>N/A</v>
      </c>
      <c r="Q1210" s="95" t="str">
        <f t="shared" si="122"/>
        <v>N/A</v>
      </c>
      <c r="R1210" s="95" t="str">
        <f t="shared" si="123"/>
        <v>NO CERT.</v>
      </c>
      <c r="S1210" s="95" t="e">
        <f t="shared" si="124"/>
        <v>#N/A</v>
      </c>
      <c r="T1210" s="119" t="e">
        <f>+IF(J1210=LOOKUP(J1210,'CAFCO 300 IDIEM TABLAS'!$J$4:$J$40),'CALCULO MORTERO'!J1210,MROUND('CALCULO MORTERO'!J1210,10))</f>
        <v>#N/A</v>
      </c>
      <c r="U1210" s="118">
        <f t="shared" si="125"/>
        <v>0</v>
      </c>
    </row>
    <row r="1211" spans="1:21" x14ac:dyDescent="0.25">
      <c r="A1211" s="118">
        <f>+CUBICACION!D1205</f>
        <v>0</v>
      </c>
      <c r="B1211" s="819">
        <f>+CUBICACION!E1205</f>
        <v>0</v>
      </c>
      <c r="C1211" s="675">
        <f>+CUBICACION!F1205</f>
        <v>0</v>
      </c>
      <c r="D1211" s="118"/>
      <c r="E1211" s="118"/>
      <c r="F1211" s="820"/>
      <c r="G1211" s="675">
        <f>+CUBICACION!J1205</f>
        <v>0</v>
      </c>
      <c r="H1211" s="118"/>
      <c r="I1211" s="821">
        <f>+CUBICACION!L1205</f>
        <v>0</v>
      </c>
      <c r="J1211" s="64">
        <f>+CUBICACION!M1205</f>
        <v>0</v>
      </c>
      <c r="K1211" s="822" t="str">
        <f>+CUBICACION!N1205</f>
        <v/>
      </c>
      <c r="L1211" s="118">
        <f>+CUBICACION!O1205</f>
        <v>0</v>
      </c>
      <c r="M1211" s="823">
        <f>+CUBICACION!P1205</f>
        <v>0</v>
      </c>
      <c r="N1211" s="902">
        <f>ROUND(IF(AND(L1211="Blaze Shield II",M1211="Software Idiem",C1211="IN",G1211=4),((('BLAZE SHIELD II'!$D$4*('CALCULO MORTERO'!I1211^2)+'BLAZE SHIELD II'!$D$5*'CALCULO MORTERO'!I1211+'BLAZE SHIELD II'!$D$6)*LN(J1211))+('BLAZE SHIELD II'!$D$7*('CALCULO MORTERO'!I1211^2)+'BLAZE SHIELD II'!$D$8*'CALCULO MORTERO'!I1211+'BLAZE SHIELD II'!$D$9)),0)+IF(AND(L1211="Blaze Shield II",M1211="Software Idiem",C1211="Cj"),((('BLAZE SHIELD II'!$H$4*('CALCULO MORTERO'!I1211^2)+'BLAZE SHIELD II'!$H$5*'CALCULO MORTERO'!I1211+'BLAZE SHIELD II'!$H$6)*LN(J1211))+('BLAZE SHIELD II'!$H$7*('CALCULO MORTERO'!I1211^2)+'BLAZE SHIELD II'!$H$8*'CALCULO MORTERO'!I1211+'BLAZE SHIELD II'!$H$9)),0)+IF(AND(L1211="Blaze Shield II",M1211="Software Idiem",C1211="C"),((('BLAZE SHIELD II'!$L$4*('CALCULO MORTERO'!I1211^2)+'BLAZE SHIELD II'!$L$5*'CALCULO MORTERO'!I1211+'BLAZE SHIELD II'!$L$6)*LN(J1211))+('BLAZE SHIELD II'!$L$7*('CALCULO MORTERO'!I1211^2)+'BLAZE SHIELD II'!$L$8*'CALCULO MORTERO'!I1211+'BLAZE SHIELD II'!$L$9)),0)+IF(AND(L1211="Blaze Shield II",M1211="Software Idiem",C1211="L"),((('BLAZE SHIELD II'!$L$4*('CALCULO MORTERO'!I1211^2)+'BLAZE SHIELD II'!$L$5*'CALCULO MORTERO'!I1211+'BLAZE SHIELD II'!$L$6)*LN(J1211))+('BLAZE SHIELD II'!$L$7*('CALCULO MORTERO'!I1211^2)+'BLAZE SHIELD II'!$L$8*'CALCULO MORTERO'!I1211+'BLAZE SHIELD II'!$L$9)),0)+IF(AND(L1211="Blaze Shield II",M1211="Software Idiem",C1211="IN",G1211=3),((('BLAZE SHIELD II'!$H$14*('CALCULO MORTERO'!I1211^2)+'BLAZE SHIELD II'!$H$15*'CALCULO MORTERO'!I1211+'BLAZE SHIELD II'!$H$16)*LN(J1211))+('BLAZE SHIELD II'!$H$17*('CALCULO MORTERO'!I1211^2)+'BLAZE SHIELD II'!$H$18*'CALCULO MORTERO'!I1211+'BLAZE SHIELD II'!$H$19)),0),0)+ROUND(IF(AND(L1211="Cafco 400",M1211="Software Idiem",C1211="IN",G1211=4),((('CAFCO 400 '!$H$7*(J1211^4)+'CAFCO 400 '!$H$8*(J1211^3)+'CAFCO 400 '!$H$9*(J1211^2)+'CAFCO 400 '!$H$10*J1211+'CAFCO 400 '!$H$11)*U1211^2)+(('CAFCO 400 '!$H$12*(J1211^3)+'CAFCO 400 '!$H$13*(J1211^2)+'CAFCO 400 '!$H$14*J1211+'CAFCO 400 '!$H$15)*U1211)+('CAFCO 400 '!$H$16*(J1211^2)+'CAFCO 400 '!$H$17*J1211+'CAFCO 400 '!$H$18)),0)+IF(AND(L1211="Cafco 400",M1211="Software Idiem",C1211="Cj"),(((('CAFCO 400 '!$D$7*LN(J1211)+'CAFCO 400 '!$D$8)*U1211^2)+(('CAFCO 400 '!$D$9*LN(J1211)+'CAFCO 400 '!$D$10)*U1211)+('CAFCO 400 '!$D$11*LN(J1211)+'CAFCO 400 '!$D$12))),0)+IF(AND(L1211="Cafco 400",M1211="Software Idiem",C1211="C"),((('CAFCO 400 '!$L$7*(J1211^3)+'CAFCO 400 '!$L$8*(J1211^2)+'CAFCO 400 '!$L$9*J1211+'CAFCO 400 '!$L$10)*U1211^2)+(('CAFCO 400 '!$L$11*(J1211^3)+'CAFCO 400 '!$L$12*(J1211^2)+'CAFCO 400 '!$L$13*J1211+'CAFCO 400 '!$L$14)*U1211)+('CAFCO 400 '!$L$15*LN(J1211)+'CAFCO 400 '!$L$16)),0)+IF(AND(L1211="Cafco 400",M1211="Software Idiem",C1211="L"),((('CAFCO 400 '!$L$7*(J1211^3)+'CAFCO 400 '!$L$8*(J1211^2)+'CAFCO 400 '!$L$9*J1211+'CAFCO 400 '!$L$10)*U1211^2)+(('CAFCO 400 '!$L$11*(J1211^3)+'CAFCO 400 '!$L$12*(J1211^2)+'CAFCO 400 '!$L$13*J1211+'CAFCO 400 '!$L$14)*U1211)+('CAFCO 400 '!$L$15*LN(J1211)+'CAFCO 400 '!$L$16)),0)+IF(AND(L1211="Cafco 400",M1211="Software Idiem",C1211="IN",G1211=3),((('CAFCO 400 '!$D$23*(J1211^2)+'CAFCO 400 '!$D$24*(J1211)+'CAFCO 400 '!$D$25)*U1211^2)+(('CAFCO 400 '!$D$26*(J1211^2)+'CAFCO 400 '!$D$27*J1211+'CAFCO 400 '!$D$28)*U1211)+('CAFCO 400 '!$D$29*(J1211^2)+'CAFCO 400 '!$D$30*J1211+'CAFCO 400 '!$D$31)),0),0)+IF(AND(L1211="Cafco 300",J1211&gt;=95,J1211&lt;=240,C1211="Cj",I1211=90),VLOOKUP(T1211,'CAFCO 300 IDIEM TABLAS'!$B$4:$D$23,2,FALSE),0)+IF(AND(L1211="Cafco 300",J1211&gt;=95,J1211&lt;=240,C1211="Cj",I1211=120),VLOOKUP(T1211,'CAFCO 300 IDIEM TABLAS'!$B$4:$D$23,3,FALSE),0)+IF(AND(L1211="Cafco 300",J1211&gt;=95,J1211&lt;=400,G1211=3,C1211="IN",I1211=90),VLOOKUP(T1211,'CAFCO 300 IDIEM TABLAS'!$F$4:$H$35,2,FALSE),0)+IF(AND(L1211="Cafco 300",J1211&gt;=95,J1211&lt;=400,G1211=3,C1211="IN",I1211=120),VLOOKUP(T1211,'CAFCO 300 IDIEM TABLAS'!$F$4:$H$35,3,FALSE),0)+IF(AND(L1211="Cafco 300",J1211&gt;=95,J1211&lt;=450,G1211=4,C1211="IN",I1211=90),VLOOKUP(T1211,'CAFCO 300 IDIEM TABLAS'!$J$4:$L$40,2,FALSE),0)+IF(AND(L1211="Cafco 300",J1211&gt;=95,J1211&lt;=450,G1211=4,C1211="IN",I1211=120),VLOOKUP(T1211,'CAFCO 300 IDIEM TABLAS'!$J$4:$L$40,3,FALSE),0)+IF(AND(M1211="Ensayo Idiem",L1211="Cafco 400",C1211="IN",G1211=4,I1211=90),VLOOKUP(T1211,'CAFCO 400 ENSAYO'!$B$7:$D$43,2,FALSE),0)+IF(AND(M1211="Ensayo Idiem",L1211="Cafco 400",C1211="IN",G1211=4,I1211=120),VLOOKUP(T1211,'CAFCO 400 ENSAYO'!$B$7:$D$43,3,FALSE),0)</f>
        <v>0</v>
      </c>
      <c r="O1211" s="96">
        <f t="shared" si="120"/>
        <v>0</v>
      </c>
      <c r="P1211" s="132" t="str">
        <f t="shared" si="121"/>
        <v>N/A</v>
      </c>
      <c r="Q1211" s="132" t="str">
        <f t="shared" si="122"/>
        <v>N/A</v>
      </c>
      <c r="R1211" s="132" t="str">
        <f t="shared" si="123"/>
        <v>NO CERT.</v>
      </c>
      <c r="S1211" s="132" t="e">
        <f t="shared" si="124"/>
        <v>#N/A</v>
      </c>
      <c r="T1211" s="133" t="e">
        <f>+IF(J1211=LOOKUP(J1211,'CAFCO 300 IDIEM TABLAS'!$J$4:$J$40),'CALCULO MORTERO'!J1211,MROUND('CALCULO MORTERO'!J1211,10))</f>
        <v>#N/A</v>
      </c>
      <c r="U1211" s="134">
        <f t="shared" si="125"/>
        <v>0</v>
      </c>
    </row>
    <row r="1212" spans="1:21" x14ac:dyDescent="0.25">
      <c r="A1212" s="118">
        <f>+CUBICACION!D1206</f>
        <v>0</v>
      </c>
      <c r="B1212" s="819">
        <f>+CUBICACION!E1206</f>
        <v>0</v>
      </c>
      <c r="C1212" s="675">
        <f>+CUBICACION!F1206</f>
        <v>0</v>
      </c>
      <c r="D1212" s="118"/>
      <c r="E1212" s="118"/>
      <c r="F1212" s="820"/>
      <c r="G1212" s="675">
        <f>+CUBICACION!J1206</f>
        <v>0</v>
      </c>
      <c r="H1212" s="118"/>
      <c r="I1212" s="821">
        <f>+CUBICACION!L1206</f>
        <v>0</v>
      </c>
      <c r="J1212" s="64">
        <f>+CUBICACION!M1206</f>
        <v>0</v>
      </c>
      <c r="K1212" s="822" t="str">
        <f>+CUBICACION!N1206</f>
        <v/>
      </c>
      <c r="L1212" s="118">
        <f>+CUBICACION!O1206</f>
        <v>0</v>
      </c>
      <c r="M1212" s="823">
        <f>+CUBICACION!P1206</f>
        <v>0</v>
      </c>
      <c r="N1212" s="902">
        <f>ROUND(IF(AND(L1212="Blaze Shield II",M1212="Software Idiem",C1212="IN",G1212=4),((('BLAZE SHIELD II'!$D$4*('CALCULO MORTERO'!I1212^2)+'BLAZE SHIELD II'!$D$5*'CALCULO MORTERO'!I1212+'BLAZE SHIELD II'!$D$6)*LN(J1212))+('BLAZE SHIELD II'!$D$7*('CALCULO MORTERO'!I1212^2)+'BLAZE SHIELD II'!$D$8*'CALCULO MORTERO'!I1212+'BLAZE SHIELD II'!$D$9)),0)+IF(AND(L1212="Blaze Shield II",M1212="Software Idiem",C1212="Cj"),((('BLAZE SHIELD II'!$H$4*('CALCULO MORTERO'!I1212^2)+'BLAZE SHIELD II'!$H$5*'CALCULO MORTERO'!I1212+'BLAZE SHIELD II'!$H$6)*LN(J1212))+('BLAZE SHIELD II'!$H$7*('CALCULO MORTERO'!I1212^2)+'BLAZE SHIELD II'!$H$8*'CALCULO MORTERO'!I1212+'BLAZE SHIELD II'!$H$9)),0)+IF(AND(L1212="Blaze Shield II",M1212="Software Idiem",C1212="C"),((('BLAZE SHIELD II'!$L$4*('CALCULO MORTERO'!I1212^2)+'BLAZE SHIELD II'!$L$5*'CALCULO MORTERO'!I1212+'BLAZE SHIELD II'!$L$6)*LN(J1212))+('BLAZE SHIELD II'!$L$7*('CALCULO MORTERO'!I1212^2)+'BLAZE SHIELD II'!$L$8*'CALCULO MORTERO'!I1212+'BLAZE SHIELD II'!$L$9)),0)+IF(AND(L1212="Blaze Shield II",M1212="Software Idiem",C1212="L"),((('BLAZE SHIELD II'!$L$4*('CALCULO MORTERO'!I1212^2)+'BLAZE SHIELD II'!$L$5*'CALCULO MORTERO'!I1212+'BLAZE SHIELD II'!$L$6)*LN(J1212))+('BLAZE SHIELD II'!$L$7*('CALCULO MORTERO'!I1212^2)+'BLAZE SHIELD II'!$L$8*'CALCULO MORTERO'!I1212+'BLAZE SHIELD II'!$L$9)),0)+IF(AND(L1212="Blaze Shield II",M1212="Software Idiem",C1212="IN",G1212=3),((('BLAZE SHIELD II'!$H$14*('CALCULO MORTERO'!I1212^2)+'BLAZE SHIELD II'!$H$15*'CALCULO MORTERO'!I1212+'BLAZE SHIELD II'!$H$16)*LN(J1212))+('BLAZE SHIELD II'!$H$17*('CALCULO MORTERO'!I1212^2)+'BLAZE SHIELD II'!$H$18*'CALCULO MORTERO'!I1212+'BLAZE SHIELD II'!$H$19)),0),0)+ROUND(IF(AND(L1212="Cafco 400",M1212="Software Idiem",C1212="IN",G1212=4),((('CAFCO 400 '!$H$7*(J1212^4)+'CAFCO 400 '!$H$8*(J1212^3)+'CAFCO 400 '!$H$9*(J1212^2)+'CAFCO 400 '!$H$10*J1212+'CAFCO 400 '!$H$11)*U1212^2)+(('CAFCO 400 '!$H$12*(J1212^3)+'CAFCO 400 '!$H$13*(J1212^2)+'CAFCO 400 '!$H$14*J1212+'CAFCO 400 '!$H$15)*U1212)+('CAFCO 400 '!$H$16*(J1212^2)+'CAFCO 400 '!$H$17*J1212+'CAFCO 400 '!$H$18)),0)+IF(AND(L1212="Cafco 400",M1212="Software Idiem",C1212="Cj"),(((('CAFCO 400 '!$D$7*LN(J1212)+'CAFCO 400 '!$D$8)*U1212^2)+(('CAFCO 400 '!$D$9*LN(J1212)+'CAFCO 400 '!$D$10)*U1212)+('CAFCO 400 '!$D$11*LN(J1212)+'CAFCO 400 '!$D$12))),0)+IF(AND(L1212="Cafco 400",M1212="Software Idiem",C1212="C"),((('CAFCO 400 '!$L$7*(J1212^3)+'CAFCO 400 '!$L$8*(J1212^2)+'CAFCO 400 '!$L$9*J1212+'CAFCO 400 '!$L$10)*U1212^2)+(('CAFCO 400 '!$L$11*(J1212^3)+'CAFCO 400 '!$L$12*(J1212^2)+'CAFCO 400 '!$L$13*J1212+'CAFCO 400 '!$L$14)*U1212)+('CAFCO 400 '!$L$15*LN(J1212)+'CAFCO 400 '!$L$16)),0)+IF(AND(L1212="Cafco 400",M1212="Software Idiem",C1212="L"),((('CAFCO 400 '!$L$7*(J1212^3)+'CAFCO 400 '!$L$8*(J1212^2)+'CAFCO 400 '!$L$9*J1212+'CAFCO 400 '!$L$10)*U1212^2)+(('CAFCO 400 '!$L$11*(J1212^3)+'CAFCO 400 '!$L$12*(J1212^2)+'CAFCO 400 '!$L$13*J1212+'CAFCO 400 '!$L$14)*U1212)+('CAFCO 400 '!$L$15*LN(J1212)+'CAFCO 400 '!$L$16)),0)+IF(AND(L1212="Cafco 400",M1212="Software Idiem",C1212="IN",G1212=3),((('CAFCO 400 '!$D$23*(J1212^2)+'CAFCO 400 '!$D$24*(J1212)+'CAFCO 400 '!$D$25)*U1212^2)+(('CAFCO 400 '!$D$26*(J1212^2)+'CAFCO 400 '!$D$27*J1212+'CAFCO 400 '!$D$28)*U1212)+('CAFCO 400 '!$D$29*(J1212^2)+'CAFCO 400 '!$D$30*J1212+'CAFCO 400 '!$D$31)),0),0)+IF(AND(L1212="Cafco 300",J1212&gt;=95,J1212&lt;=240,C1212="Cj",I1212=90),VLOOKUP(T1212,'CAFCO 300 IDIEM TABLAS'!$B$4:$D$23,2,FALSE),0)+IF(AND(L1212="Cafco 300",J1212&gt;=95,J1212&lt;=240,C1212="Cj",I1212=120),VLOOKUP(T1212,'CAFCO 300 IDIEM TABLAS'!$B$4:$D$23,3,FALSE),0)+IF(AND(L1212="Cafco 300",J1212&gt;=95,J1212&lt;=400,G1212=3,C1212="IN",I1212=90),VLOOKUP(T1212,'CAFCO 300 IDIEM TABLAS'!$F$4:$H$35,2,FALSE),0)+IF(AND(L1212="Cafco 300",J1212&gt;=95,J1212&lt;=400,G1212=3,C1212="IN",I1212=120),VLOOKUP(T1212,'CAFCO 300 IDIEM TABLAS'!$F$4:$H$35,3,FALSE),0)+IF(AND(L1212="Cafco 300",J1212&gt;=95,J1212&lt;=450,G1212=4,C1212="IN",I1212=90),VLOOKUP(T1212,'CAFCO 300 IDIEM TABLAS'!$J$4:$L$40,2,FALSE),0)+IF(AND(L1212="Cafco 300",J1212&gt;=95,J1212&lt;=450,G1212=4,C1212="IN",I1212=120),VLOOKUP(T1212,'CAFCO 300 IDIEM TABLAS'!$J$4:$L$40,3,FALSE),0)+IF(AND(M1212="Ensayo Idiem",L1212="Cafco 400",C1212="IN",G1212=4,I1212=90),VLOOKUP(T1212,'CAFCO 400 ENSAYO'!$B$7:$D$43,2,FALSE),0)+IF(AND(M1212="Ensayo Idiem",L1212="Cafco 400",C1212="IN",G1212=4,I1212=120),VLOOKUP(T1212,'CAFCO 400 ENSAYO'!$B$7:$D$43,3,FALSE),0)</f>
        <v>0</v>
      </c>
      <c r="O1212" s="96">
        <f t="shared" si="120"/>
        <v>0</v>
      </c>
      <c r="P1212" s="95" t="str">
        <f t="shared" si="121"/>
        <v>N/A</v>
      </c>
      <c r="Q1212" s="95" t="str">
        <f t="shared" si="122"/>
        <v>N/A</v>
      </c>
      <c r="R1212" s="95" t="str">
        <f t="shared" si="123"/>
        <v>NO CERT.</v>
      </c>
      <c r="S1212" s="95" t="e">
        <f t="shared" si="124"/>
        <v>#N/A</v>
      </c>
      <c r="T1212" s="119" t="e">
        <f>+IF(J1212=LOOKUP(J1212,'CAFCO 300 IDIEM TABLAS'!$J$4:$J$40),'CALCULO MORTERO'!J1212,MROUND('CALCULO MORTERO'!J1212,10))</f>
        <v>#N/A</v>
      </c>
      <c r="U1212" s="118">
        <f t="shared" si="125"/>
        <v>0</v>
      </c>
    </row>
    <row r="1213" spans="1:21" x14ac:dyDescent="0.25">
      <c r="A1213" s="118">
        <f>+CUBICACION!D1207</f>
        <v>0</v>
      </c>
      <c r="B1213" s="819">
        <f>+CUBICACION!E1207</f>
        <v>0</v>
      </c>
      <c r="C1213" s="675">
        <f>+CUBICACION!F1207</f>
        <v>0</v>
      </c>
      <c r="D1213" s="118"/>
      <c r="E1213" s="118"/>
      <c r="F1213" s="820"/>
      <c r="G1213" s="675">
        <f>+CUBICACION!J1207</f>
        <v>0</v>
      </c>
      <c r="H1213" s="118"/>
      <c r="I1213" s="821">
        <f>+CUBICACION!L1207</f>
        <v>0</v>
      </c>
      <c r="J1213" s="64">
        <f>+CUBICACION!M1207</f>
        <v>0</v>
      </c>
      <c r="K1213" s="822" t="str">
        <f>+CUBICACION!N1207</f>
        <v/>
      </c>
      <c r="L1213" s="118">
        <f>+CUBICACION!O1207</f>
        <v>0</v>
      </c>
      <c r="M1213" s="823">
        <f>+CUBICACION!P1207</f>
        <v>0</v>
      </c>
      <c r="N1213" s="902">
        <f>ROUND(IF(AND(L1213="Blaze Shield II",M1213="Software Idiem",C1213="IN",G1213=4),((('BLAZE SHIELD II'!$D$4*('CALCULO MORTERO'!I1213^2)+'BLAZE SHIELD II'!$D$5*'CALCULO MORTERO'!I1213+'BLAZE SHIELD II'!$D$6)*LN(J1213))+('BLAZE SHIELD II'!$D$7*('CALCULO MORTERO'!I1213^2)+'BLAZE SHIELD II'!$D$8*'CALCULO MORTERO'!I1213+'BLAZE SHIELD II'!$D$9)),0)+IF(AND(L1213="Blaze Shield II",M1213="Software Idiem",C1213="Cj"),((('BLAZE SHIELD II'!$H$4*('CALCULO MORTERO'!I1213^2)+'BLAZE SHIELD II'!$H$5*'CALCULO MORTERO'!I1213+'BLAZE SHIELD II'!$H$6)*LN(J1213))+('BLAZE SHIELD II'!$H$7*('CALCULO MORTERO'!I1213^2)+'BLAZE SHIELD II'!$H$8*'CALCULO MORTERO'!I1213+'BLAZE SHIELD II'!$H$9)),0)+IF(AND(L1213="Blaze Shield II",M1213="Software Idiem",C1213="C"),((('BLAZE SHIELD II'!$L$4*('CALCULO MORTERO'!I1213^2)+'BLAZE SHIELD II'!$L$5*'CALCULO MORTERO'!I1213+'BLAZE SHIELD II'!$L$6)*LN(J1213))+('BLAZE SHIELD II'!$L$7*('CALCULO MORTERO'!I1213^2)+'BLAZE SHIELD II'!$L$8*'CALCULO MORTERO'!I1213+'BLAZE SHIELD II'!$L$9)),0)+IF(AND(L1213="Blaze Shield II",M1213="Software Idiem",C1213="L"),((('BLAZE SHIELD II'!$L$4*('CALCULO MORTERO'!I1213^2)+'BLAZE SHIELD II'!$L$5*'CALCULO MORTERO'!I1213+'BLAZE SHIELD II'!$L$6)*LN(J1213))+('BLAZE SHIELD II'!$L$7*('CALCULO MORTERO'!I1213^2)+'BLAZE SHIELD II'!$L$8*'CALCULO MORTERO'!I1213+'BLAZE SHIELD II'!$L$9)),0)+IF(AND(L1213="Blaze Shield II",M1213="Software Idiem",C1213="IN",G1213=3),((('BLAZE SHIELD II'!$H$14*('CALCULO MORTERO'!I1213^2)+'BLAZE SHIELD II'!$H$15*'CALCULO MORTERO'!I1213+'BLAZE SHIELD II'!$H$16)*LN(J1213))+('BLAZE SHIELD II'!$H$17*('CALCULO MORTERO'!I1213^2)+'BLAZE SHIELD II'!$H$18*'CALCULO MORTERO'!I1213+'BLAZE SHIELD II'!$H$19)),0),0)+ROUND(IF(AND(L1213="Cafco 400",M1213="Software Idiem",C1213="IN",G1213=4),((('CAFCO 400 '!$H$7*(J1213^4)+'CAFCO 400 '!$H$8*(J1213^3)+'CAFCO 400 '!$H$9*(J1213^2)+'CAFCO 400 '!$H$10*J1213+'CAFCO 400 '!$H$11)*U1213^2)+(('CAFCO 400 '!$H$12*(J1213^3)+'CAFCO 400 '!$H$13*(J1213^2)+'CAFCO 400 '!$H$14*J1213+'CAFCO 400 '!$H$15)*U1213)+('CAFCO 400 '!$H$16*(J1213^2)+'CAFCO 400 '!$H$17*J1213+'CAFCO 400 '!$H$18)),0)+IF(AND(L1213="Cafco 400",M1213="Software Idiem",C1213="Cj"),(((('CAFCO 400 '!$D$7*LN(J1213)+'CAFCO 400 '!$D$8)*U1213^2)+(('CAFCO 400 '!$D$9*LN(J1213)+'CAFCO 400 '!$D$10)*U1213)+('CAFCO 400 '!$D$11*LN(J1213)+'CAFCO 400 '!$D$12))),0)+IF(AND(L1213="Cafco 400",M1213="Software Idiem",C1213="C"),((('CAFCO 400 '!$L$7*(J1213^3)+'CAFCO 400 '!$L$8*(J1213^2)+'CAFCO 400 '!$L$9*J1213+'CAFCO 400 '!$L$10)*U1213^2)+(('CAFCO 400 '!$L$11*(J1213^3)+'CAFCO 400 '!$L$12*(J1213^2)+'CAFCO 400 '!$L$13*J1213+'CAFCO 400 '!$L$14)*U1213)+('CAFCO 400 '!$L$15*LN(J1213)+'CAFCO 400 '!$L$16)),0)+IF(AND(L1213="Cafco 400",M1213="Software Idiem",C1213="L"),((('CAFCO 400 '!$L$7*(J1213^3)+'CAFCO 400 '!$L$8*(J1213^2)+'CAFCO 400 '!$L$9*J1213+'CAFCO 400 '!$L$10)*U1213^2)+(('CAFCO 400 '!$L$11*(J1213^3)+'CAFCO 400 '!$L$12*(J1213^2)+'CAFCO 400 '!$L$13*J1213+'CAFCO 400 '!$L$14)*U1213)+('CAFCO 400 '!$L$15*LN(J1213)+'CAFCO 400 '!$L$16)),0)+IF(AND(L1213="Cafco 400",M1213="Software Idiem",C1213="IN",G1213=3),((('CAFCO 400 '!$D$23*(J1213^2)+'CAFCO 400 '!$D$24*(J1213)+'CAFCO 400 '!$D$25)*U1213^2)+(('CAFCO 400 '!$D$26*(J1213^2)+'CAFCO 400 '!$D$27*J1213+'CAFCO 400 '!$D$28)*U1213)+('CAFCO 400 '!$D$29*(J1213^2)+'CAFCO 400 '!$D$30*J1213+'CAFCO 400 '!$D$31)),0),0)+IF(AND(L1213="Cafco 300",J1213&gt;=95,J1213&lt;=240,C1213="Cj",I1213=90),VLOOKUP(T1213,'CAFCO 300 IDIEM TABLAS'!$B$4:$D$23,2,FALSE),0)+IF(AND(L1213="Cafco 300",J1213&gt;=95,J1213&lt;=240,C1213="Cj",I1213=120),VLOOKUP(T1213,'CAFCO 300 IDIEM TABLAS'!$B$4:$D$23,3,FALSE),0)+IF(AND(L1213="Cafco 300",J1213&gt;=95,J1213&lt;=400,G1213=3,C1213="IN",I1213=90),VLOOKUP(T1213,'CAFCO 300 IDIEM TABLAS'!$F$4:$H$35,2,FALSE),0)+IF(AND(L1213="Cafco 300",J1213&gt;=95,J1213&lt;=400,G1213=3,C1213="IN",I1213=120),VLOOKUP(T1213,'CAFCO 300 IDIEM TABLAS'!$F$4:$H$35,3,FALSE),0)+IF(AND(L1213="Cafco 300",J1213&gt;=95,J1213&lt;=450,G1213=4,C1213="IN",I1213=90),VLOOKUP(T1213,'CAFCO 300 IDIEM TABLAS'!$J$4:$L$40,2,FALSE),0)+IF(AND(L1213="Cafco 300",J1213&gt;=95,J1213&lt;=450,G1213=4,C1213="IN",I1213=120),VLOOKUP(T1213,'CAFCO 300 IDIEM TABLAS'!$J$4:$L$40,3,FALSE),0)+IF(AND(M1213="Ensayo Idiem",L1213="Cafco 400",C1213="IN",G1213=4,I1213=90),VLOOKUP(T1213,'CAFCO 400 ENSAYO'!$B$7:$D$43,2,FALSE),0)+IF(AND(M1213="Ensayo Idiem",L1213="Cafco 400",C1213="IN",G1213=4,I1213=120),VLOOKUP(T1213,'CAFCO 400 ENSAYO'!$B$7:$D$43,3,FALSE),0)</f>
        <v>0</v>
      </c>
      <c r="O1213" s="96">
        <f t="shared" si="120"/>
        <v>0</v>
      </c>
      <c r="P1213" s="132" t="str">
        <f t="shared" si="121"/>
        <v>N/A</v>
      </c>
      <c r="Q1213" s="132" t="str">
        <f t="shared" si="122"/>
        <v>N/A</v>
      </c>
      <c r="R1213" s="132" t="str">
        <f t="shared" si="123"/>
        <v>NO CERT.</v>
      </c>
      <c r="S1213" s="132" t="e">
        <f t="shared" si="124"/>
        <v>#N/A</v>
      </c>
      <c r="T1213" s="133" t="e">
        <f>+IF(J1213=LOOKUP(J1213,'CAFCO 300 IDIEM TABLAS'!$J$4:$J$40),'CALCULO MORTERO'!J1213,MROUND('CALCULO MORTERO'!J1213,10))</f>
        <v>#N/A</v>
      </c>
      <c r="U1213" s="134">
        <f t="shared" si="125"/>
        <v>0</v>
      </c>
    </row>
    <row r="1214" spans="1:21" x14ac:dyDescent="0.25">
      <c r="A1214" s="118">
        <f>+CUBICACION!D1208</f>
        <v>0</v>
      </c>
      <c r="B1214" s="819">
        <f>+CUBICACION!E1208</f>
        <v>0</v>
      </c>
      <c r="C1214" s="675">
        <f>+CUBICACION!F1208</f>
        <v>0</v>
      </c>
      <c r="D1214" s="118"/>
      <c r="E1214" s="118"/>
      <c r="F1214" s="820"/>
      <c r="G1214" s="675">
        <f>+CUBICACION!J1208</f>
        <v>0</v>
      </c>
      <c r="H1214" s="118"/>
      <c r="I1214" s="821">
        <f>+CUBICACION!L1208</f>
        <v>0</v>
      </c>
      <c r="J1214" s="64">
        <f>+CUBICACION!M1208</f>
        <v>0</v>
      </c>
      <c r="K1214" s="822" t="str">
        <f>+CUBICACION!N1208</f>
        <v/>
      </c>
      <c r="L1214" s="118">
        <f>+CUBICACION!O1208</f>
        <v>0</v>
      </c>
      <c r="M1214" s="823">
        <f>+CUBICACION!P1208</f>
        <v>0</v>
      </c>
      <c r="N1214" s="902">
        <f>ROUND(IF(AND(L1214="Blaze Shield II",M1214="Software Idiem",C1214="IN",G1214=4),((('BLAZE SHIELD II'!$D$4*('CALCULO MORTERO'!I1214^2)+'BLAZE SHIELD II'!$D$5*'CALCULO MORTERO'!I1214+'BLAZE SHIELD II'!$D$6)*LN(J1214))+('BLAZE SHIELD II'!$D$7*('CALCULO MORTERO'!I1214^2)+'BLAZE SHIELD II'!$D$8*'CALCULO MORTERO'!I1214+'BLAZE SHIELD II'!$D$9)),0)+IF(AND(L1214="Blaze Shield II",M1214="Software Idiem",C1214="Cj"),((('BLAZE SHIELD II'!$H$4*('CALCULO MORTERO'!I1214^2)+'BLAZE SHIELD II'!$H$5*'CALCULO MORTERO'!I1214+'BLAZE SHIELD II'!$H$6)*LN(J1214))+('BLAZE SHIELD II'!$H$7*('CALCULO MORTERO'!I1214^2)+'BLAZE SHIELD II'!$H$8*'CALCULO MORTERO'!I1214+'BLAZE SHIELD II'!$H$9)),0)+IF(AND(L1214="Blaze Shield II",M1214="Software Idiem",C1214="C"),((('BLAZE SHIELD II'!$L$4*('CALCULO MORTERO'!I1214^2)+'BLAZE SHIELD II'!$L$5*'CALCULO MORTERO'!I1214+'BLAZE SHIELD II'!$L$6)*LN(J1214))+('BLAZE SHIELD II'!$L$7*('CALCULO MORTERO'!I1214^2)+'BLAZE SHIELD II'!$L$8*'CALCULO MORTERO'!I1214+'BLAZE SHIELD II'!$L$9)),0)+IF(AND(L1214="Blaze Shield II",M1214="Software Idiem",C1214="L"),((('BLAZE SHIELD II'!$L$4*('CALCULO MORTERO'!I1214^2)+'BLAZE SHIELD II'!$L$5*'CALCULO MORTERO'!I1214+'BLAZE SHIELD II'!$L$6)*LN(J1214))+('BLAZE SHIELD II'!$L$7*('CALCULO MORTERO'!I1214^2)+'BLAZE SHIELD II'!$L$8*'CALCULO MORTERO'!I1214+'BLAZE SHIELD II'!$L$9)),0)+IF(AND(L1214="Blaze Shield II",M1214="Software Idiem",C1214="IN",G1214=3),((('BLAZE SHIELD II'!$H$14*('CALCULO MORTERO'!I1214^2)+'BLAZE SHIELD II'!$H$15*'CALCULO MORTERO'!I1214+'BLAZE SHIELD II'!$H$16)*LN(J1214))+('BLAZE SHIELD II'!$H$17*('CALCULO MORTERO'!I1214^2)+'BLAZE SHIELD II'!$H$18*'CALCULO MORTERO'!I1214+'BLAZE SHIELD II'!$H$19)),0),0)+ROUND(IF(AND(L1214="Cafco 400",M1214="Software Idiem",C1214="IN",G1214=4),((('CAFCO 400 '!$H$7*(J1214^4)+'CAFCO 400 '!$H$8*(J1214^3)+'CAFCO 400 '!$H$9*(J1214^2)+'CAFCO 400 '!$H$10*J1214+'CAFCO 400 '!$H$11)*U1214^2)+(('CAFCO 400 '!$H$12*(J1214^3)+'CAFCO 400 '!$H$13*(J1214^2)+'CAFCO 400 '!$H$14*J1214+'CAFCO 400 '!$H$15)*U1214)+('CAFCO 400 '!$H$16*(J1214^2)+'CAFCO 400 '!$H$17*J1214+'CAFCO 400 '!$H$18)),0)+IF(AND(L1214="Cafco 400",M1214="Software Idiem",C1214="Cj"),(((('CAFCO 400 '!$D$7*LN(J1214)+'CAFCO 400 '!$D$8)*U1214^2)+(('CAFCO 400 '!$D$9*LN(J1214)+'CAFCO 400 '!$D$10)*U1214)+('CAFCO 400 '!$D$11*LN(J1214)+'CAFCO 400 '!$D$12))),0)+IF(AND(L1214="Cafco 400",M1214="Software Idiem",C1214="C"),((('CAFCO 400 '!$L$7*(J1214^3)+'CAFCO 400 '!$L$8*(J1214^2)+'CAFCO 400 '!$L$9*J1214+'CAFCO 400 '!$L$10)*U1214^2)+(('CAFCO 400 '!$L$11*(J1214^3)+'CAFCO 400 '!$L$12*(J1214^2)+'CAFCO 400 '!$L$13*J1214+'CAFCO 400 '!$L$14)*U1214)+('CAFCO 400 '!$L$15*LN(J1214)+'CAFCO 400 '!$L$16)),0)+IF(AND(L1214="Cafco 400",M1214="Software Idiem",C1214="L"),((('CAFCO 400 '!$L$7*(J1214^3)+'CAFCO 400 '!$L$8*(J1214^2)+'CAFCO 400 '!$L$9*J1214+'CAFCO 400 '!$L$10)*U1214^2)+(('CAFCO 400 '!$L$11*(J1214^3)+'CAFCO 400 '!$L$12*(J1214^2)+'CAFCO 400 '!$L$13*J1214+'CAFCO 400 '!$L$14)*U1214)+('CAFCO 400 '!$L$15*LN(J1214)+'CAFCO 400 '!$L$16)),0)+IF(AND(L1214="Cafco 400",M1214="Software Idiem",C1214="IN",G1214=3),((('CAFCO 400 '!$D$23*(J1214^2)+'CAFCO 400 '!$D$24*(J1214)+'CAFCO 400 '!$D$25)*U1214^2)+(('CAFCO 400 '!$D$26*(J1214^2)+'CAFCO 400 '!$D$27*J1214+'CAFCO 400 '!$D$28)*U1214)+('CAFCO 400 '!$D$29*(J1214^2)+'CAFCO 400 '!$D$30*J1214+'CAFCO 400 '!$D$31)),0),0)+IF(AND(L1214="Cafco 300",J1214&gt;=95,J1214&lt;=240,C1214="Cj",I1214=90),VLOOKUP(T1214,'CAFCO 300 IDIEM TABLAS'!$B$4:$D$23,2,FALSE),0)+IF(AND(L1214="Cafco 300",J1214&gt;=95,J1214&lt;=240,C1214="Cj",I1214=120),VLOOKUP(T1214,'CAFCO 300 IDIEM TABLAS'!$B$4:$D$23,3,FALSE),0)+IF(AND(L1214="Cafco 300",J1214&gt;=95,J1214&lt;=400,G1214=3,C1214="IN",I1214=90),VLOOKUP(T1214,'CAFCO 300 IDIEM TABLAS'!$F$4:$H$35,2,FALSE),0)+IF(AND(L1214="Cafco 300",J1214&gt;=95,J1214&lt;=400,G1214=3,C1214="IN",I1214=120),VLOOKUP(T1214,'CAFCO 300 IDIEM TABLAS'!$F$4:$H$35,3,FALSE),0)+IF(AND(L1214="Cafco 300",J1214&gt;=95,J1214&lt;=450,G1214=4,C1214="IN",I1214=90),VLOOKUP(T1214,'CAFCO 300 IDIEM TABLAS'!$J$4:$L$40,2,FALSE),0)+IF(AND(L1214="Cafco 300",J1214&gt;=95,J1214&lt;=450,G1214=4,C1214="IN",I1214=120),VLOOKUP(T1214,'CAFCO 300 IDIEM TABLAS'!$J$4:$L$40,3,FALSE),0)+IF(AND(M1214="Ensayo Idiem",L1214="Cafco 400",C1214="IN",G1214=4,I1214=90),VLOOKUP(T1214,'CAFCO 400 ENSAYO'!$B$7:$D$43,2,FALSE),0)+IF(AND(M1214="Ensayo Idiem",L1214="Cafco 400",C1214="IN",G1214=4,I1214=120),VLOOKUP(T1214,'CAFCO 400 ENSAYO'!$B$7:$D$43,3,FALSE),0)</f>
        <v>0</v>
      </c>
      <c r="O1214" s="96">
        <f t="shared" si="120"/>
        <v>0</v>
      </c>
      <c r="P1214" s="95" t="str">
        <f t="shared" si="121"/>
        <v>N/A</v>
      </c>
      <c r="Q1214" s="95" t="str">
        <f t="shared" si="122"/>
        <v>N/A</v>
      </c>
      <c r="R1214" s="95" t="str">
        <f t="shared" si="123"/>
        <v>NO CERT.</v>
      </c>
      <c r="S1214" s="95" t="e">
        <f t="shared" si="124"/>
        <v>#N/A</v>
      </c>
      <c r="T1214" s="119" t="e">
        <f>+IF(J1214=LOOKUP(J1214,'CAFCO 300 IDIEM TABLAS'!$J$4:$J$40),'CALCULO MORTERO'!J1214,MROUND('CALCULO MORTERO'!J1214,10))</f>
        <v>#N/A</v>
      </c>
      <c r="U1214" s="118">
        <f t="shared" si="125"/>
        <v>0</v>
      </c>
    </row>
    <row r="1215" spans="1:21" x14ac:dyDescent="0.25">
      <c r="A1215" s="118">
        <f>+CUBICACION!D1209</f>
        <v>0</v>
      </c>
      <c r="B1215" s="819">
        <f>+CUBICACION!E1209</f>
        <v>0</v>
      </c>
      <c r="C1215" s="675">
        <f>+CUBICACION!F1209</f>
        <v>0</v>
      </c>
      <c r="D1215" s="118"/>
      <c r="E1215" s="118"/>
      <c r="F1215" s="820"/>
      <c r="G1215" s="675">
        <f>+CUBICACION!J1209</f>
        <v>0</v>
      </c>
      <c r="H1215" s="118"/>
      <c r="I1215" s="821">
        <f>+CUBICACION!L1209</f>
        <v>0</v>
      </c>
      <c r="J1215" s="64">
        <f>+CUBICACION!M1209</f>
        <v>0</v>
      </c>
      <c r="K1215" s="822" t="str">
        <f>+CUBICACION!N1209</f>
        <v/>
      </c>
      <c r="L1215" s="118">
        <f>+CUBICACION!O1209</f>
        <v>0</v>
      </c>
      <c r="M1215" s="823">
        <f>+CUBICACION!P1209</f>
        <v>0</v>
      </c>
      <c r="N1215" s="902">
        <f>ROUND(IF(AND(L1215="Blaze Shield II",M1215="Software Idiem",C1215="IN",G1215=4),((('BLAZE SHIELD II'!$D$4*('CALCULO MORTERO'!I1215^2)+'BLAZE SHIELD II'!$D$5*'CALCULO MORTERO'!I1215+'BLAZE SHIELD II'!$D$6)*LN(J1215))+('BLAZE SHIELD II'!$D$7*('CALCULO MORTERO'!I1215^2)+'BLAZE SHIELD II'!$D$8*'CALCULO MORTERO'!I1215+'BLAZE SHIELD II'!$D$9)),0)+IF(AND(L1215="Blaze Shield II",M1215="Software Idiem",C1215="Cj"),((('BLAZE SHIELD II'!$H$4*('CALCULO MORTERO'!I1215^2)+'BLAZE SHIELD II'!$H$5*'CALCULO MORTERO'!I1215+'BLAZE SHIELD II'!$H$6)*LN(J1215))+('BLAZE SHIELD II'!$H$7*('CALCULO MORTERO'!I1215^2)+'BLAZE SHIELD II'!$H$8*'CALCULO MORTERO'!I1215+'BLAZE SHIELD II'!$H$9)),0)+IF(AND(L1215="Blaze Shield II",M1215="Software Idiem",C1215="C"),((('BLAZE SHIELD II'!$L$4*('CALCULO MORTERO'!I1215^2)+'BLAZE SHIELD II'!$L$5*'CALCULO MORTERO'!I1215+'BLAZE SHIELD II'!$L$6)*LN(J1215))+('BLAZE SHIELD II'!$L$7*('CALCULO MORTERO'!I1215^2)+'BLAZE SHIELD II'!$L$8*'CALCULO MORTERO'!I1215+'BLAZE SHIELD II'!$L$9)),0)+IF(AND(L1215="Blaze Shield II",M1215="Software Idiem",C1215="L"),((('BLAZE SHIELD II'!$L$4*('CALCULO MORTERO'!I1215^2)+'BLAZE SHIELD II'!$L$5*'CALCULO MORTERO'!I1215+'BLAZE SHIELD II'!$L$6)*LN(J1215))+('BLAZE SHIELD II'!$L$7*('CALCULO MORTERO'!I1215^2)+'BLAZE SHIELD II'!$L$8*'CALCULO MORTERO'!I1215+'BLAZE SHIELD II'!$L$9)),0)+IF(AND(L1215="Blaze Shield II",M1215="Software Idiem",C1215="IN",G1215=3),((('BLAZE SHIELD II'!$H$14*('CALCULO MORTERO'!I1215^2)+'BLAZE SHIELD II'!$H$15*'CALCULO MORTERO'!I1215+'BLAZE SHIELD II'!$H$16)*LN(J1215))+('BLAZE SHIELD II'!$H$17*('CALCULO MORTERO'!I1215^2)+'BLAZE SHIELD II'!$H$18*'CALCULO MORTERO'!I1215+'BLAZE SHIELD II'!$H$19)),0),0)+ROUND(IF(AND(L1215="Cafco 400",M1215="Software Idiem",C1215="IN",G1215=4),((('CAFCO 400 '!$H$7*(J1215^4)+'CAFCO 400 '!$H$8*(J1215^3)+'CAFCO 400 '!$H$9*(J1215^2)+'CAFCO 400 '!$H$10*J1215+'CAFCO 400 '!$H$11)*U1215^2)+(('CAFCO 400 '!$H$12*(J1215^3)+'CAFCO 400 '!$H$13*(J1215^2)+'CAFCO 400 '!$H$14*J1215+'CAFCO 400 '!$H$15)*U1215)+('CAFCO 400 '!$H$16*(J1215^2)+'CAFCO 400 '!$H$17*J1215+'CAFCO 400 '!$H$18)),0)+IF(AND(L1215="Cafco 400",M1215="Software Idiem",C1215="Cj"),(((('CAFCO 400 '!$D$7*LN(J1215)+'CAFCO 400 '!$D$8)*U1215^2)+(('CAFCO 400 '!$D$9*LN(J1215)+'CAFCO 400 '!$D$10)*U1215)+('CAFCO 400 '!$D$11*LN(J1215)+'CAFCO 400 '!$D$12))),0)+IF(AND(L1215="Cafco 400",M1215="Software Idiem",C1215="C"),((('CAFCO 400 '!$L$7*(J1215^3)+'CAFCO 400 '!$L$8*(J1215^2)+'CAFCO 400 '!$L$9*J1215+'CAFCO 400 '!$L$10)*U1215^2)+(('CAFCO 400 '!$L$11*(J1215^3)+'CAFCO 400 '!$L$12*(J1215^2)+'CAFCO 400 '!$L$13*J1215+'CAFCO 400 '!$L$14)*U1215)+('CAFCO 400 '!$L$15*LN(J1215)+'CAFCO 400 '!$L$16)),0)+IF(AND(L1215="Cafco 400",M1215="Software Idiem",C1215="L"),((('CAFCO 400 '!$L$7*(J1215^3)+'CAFCO 400 '!$L$8*(J1215^2)+'CAFCO 400 '!$L$9*J1215+'CAFCO 400 '!$L$10)*U1215^2)+(('CAFCO 400 '!$L$11*(J1215^3)+'CAFCO 400 '!$L$12*(J1215^2)+'CAFCO 400 '!$L$13*J1215+'CAFCO 400 '!$L$14)*U1215)+('CAFCO 400 '!$L$15*LN(J1215)+'CAFCO 400 '!$L$16)),0)+IF(AND(L1215="Cafco 400",M1215="Software Idiem",C1215="IN",G1215=3),((('CAFCO 400 '!$D$23*(J1215^2)+'CAFCO 400 '!$D$24*(J1215)+'CAFCO 400 '!$D$25)*U1215^2)+(('CAFCO 400 '!$D$26*(J1215^2)+'CAFCO 400 '!$D$27*J1215+'CAFCO 400 '!$D$28)*U1215)+('CAFCO 400 '!$D$29*(J1215^2)+'CAFCO 400 '!$D$30*J1215+'CAFCO 400 '!$D$31)),0),0)+IF(AND(L1215="Cafco 300",J1215&gt;=95,J1215&lt;=240,C1215="Cj",I1215=90),VLOOKUP(T1215,'CAFCO 300 IDIEM TABLAS'!$B$4:$D$23,2,FALSE),0)+IF(AND(L1215="Cafco 300",J1215&gt;=95,J1215&lt;=240,C1215="Cj",I1215=120),VLOOKUP(T1215,'CAFCO 300 IDIEM TABLAS'!$B$4:$D$23,3,FALSE),0)+IF(AND(L1215="Cafco 300",J1215&gt;=95,J1215&lt;=400,G1215=3,C1215="IN",I1215=90),VLOOKUP(T1215,'CAFCO 300 IDIEM TABLAS'!$F$4:$H$35,2,FALSE),0)+IF(AND(L1215="Cafco 300",J1215&gt;=95,J1215&lt;=400,G1215=3,C1215="IN",I1215=120),VLOOKUP(T1215,'CAFCO 300 IDIEM TABLAS'!$F$4:$H$35,3,FALSE),0)+IF(AND(L1215="Cafco 300",J1215&gt;=95,J1215&lt;=450,G1215=4,C1215="IN",I1215=90),VLOOKUP(T1215,'CAFCO 300 IDIEM TABLAS'!$J$4:$L$40,2,FALSE),0)+IF(AND(L1215="Cafco 300",J1215&gt;=95,J1215&lt;=450,G1215=4,C1215="IN",I1215=120),VLOOKUP(T1215,'CAFCO 300 IDIEM TABLAS'!$J$4:$L$40,3,FALSE),0)+IF(AND(M1215="Ensayo Idiem",L1215="Cafco 400",C1215="IN",G1215=4,I1215=90),VLOOKUP(T1215,'CAFCO 400 ENSAYO'!$B$7:$D$43,2,FALSE),0)+IF(AND(M1215="Ensayo Idiem",L1215="Cafco 400",C1215="IN",G1215=4,I1215=120),VLOOKUP(T1215,'CAFCO 400 ENSAYO'!$B$7:$D$43,3,FALSE),0)</f>
        <v>0</v>
      </c>
      <c r="O1215" s="96">
        <f t="shared" si="120"/>
        <v>0</v>
      </c>
      <c r="P1215" s="132" t="str">
        <f t="shared" si="121"/>
        <v>N/A</v>
      </c>
      <c r="Q1215" s="132" t="str">
        <f t="shared" si="122"/>
        <v>N/A</v>
      </c>
      <c r="R1215" s="132" t="str">
        <f t="shared" si="123"/>
        <v>NO CERT.</v>
      </c>
      <c r="S1215" s="132" t="e">
        <f t="shared" si="124"/>
        <v>#N/A</v>
      </c>
      <c r="T1215" s="133" t="e">
        <f>+IF(J1215=LOOKUP(J1215,'CAFCO 300 IDIEM TABLAS'!$J$4:$J$40),'CALCULO MORTERO'!J1215,MROUND('CALCULO MORTERO'!J1215,10))</f>
        <v>#N/A</v>
      </c>
      <c r="U1215" s="134">
        <f t="shared" si="125"/>
        <v>0</v>
      </c>
    </row>
    <row r="1216" spans="1:21" x14ac:dyDescent="0.25">
      <c r="A1216" s="118">
        <f>+CUBICACION!D1210</f>
        <v>0</v>
      </c>
      <c r="B1216" s="819">
        <f>+CUBICACION!E1210</f>
        <v>0</v>
      </c>
      <c r="C1216" s="675">
        <f>+CUBICACION!F1210</f>
        <v>0</v>
      </c>
      <c r="D1216" s="118"/>
      <c r="E1216" s="118"/>
      <c r="F1216" s="820"/>
      <c r="G1216" s="675">
        <f>+CUBICACION!J1210</f>
        <v>0</v>
      </c>
      <c r="H1216" s="118"/>
      <c r="I1216" s="821">
        <f>+CUBICACION!L1210</f>
        <v>0</v>
      </c>
      <c r="J1216" s="64">
        <f>+CUBICACION!M1210</f>
        <v>0</v>
      </c>
      <c r="K1216" s="822" t="str">
        <f>+CUBICACION!N1210</f>
        <v/>
      </c>
      <c r="L1216" s="118">
        <f>+CUBICACION!O1210</f>
        <v>0</v>
      </c>
      <c r="M1216" s="823">
        <f>+CUBICACION!P1210</f>
        <v>0</v>
      </c>
      <c r="N1216" s="902">
        <f>ROUND(IF(AND(L1216="Blaze Shield II",M1216="Software Idiem",C1216="IN",G1216=4),((('BLAZE SHIELD II'!$D$4*('CALCULO MORTERO'!I1216^2)+'BLAZE SHIELD II'!$D$5*'CALCULO MORTERO'!I1216+'BLAZE SHIELD II'!$D$6)*LN(J1216))+('BLAZE SHIELD II'!$D$7*('CALCULO MORTERO'!I1216^2)+'BLAZE SHIELD II'!$D$8*'CALCULO MORTERO'!I1216+'BLAZE SHIELD II'!$D$9)),0)+IF(AND(L1216="Blaze Shield II",M1216="Software Idiem",C1216="Cj"),((('BLAZE SHIELD II'!$H$4*('CALCULO MORTERO'!I1216^2)+'BLAZE SHIELD II'!$H$5*'CALCULO MORTERO'!I1216+'BLAZE SHIELD II'!$H$6)*LN(J1216))+('BLAZE SHIELD II'!$H$7*('CALCULO MORTERO'!I1216^2)+'BLAZE SHIELD II'!$H$8*'CALCULO MORTERO'!I1216+'BLAZE SHIELD II'!$H$9)),0)+IF(AND(L1216="Blaze Shield II",M1216="Software Idiem",C1216="C"),((('BLAZE SHIELD II'!$L$4*('CALCULO MORTERO'!I1216^2)+'BLAZE SHIELD II'!$L$5*'CALCULO MORTERO'!I1216+'BLAZE SHIELD II'!$L$6)*LN(J1216))+('BLAZE SHIELD II'!$L$7*('CALCULO MORTERO'!I1216^2)+'BLAZE SHIELD II'!$L$8*'CALCULO MORTERO'!I1216+'BLAZE SHIELD II'!$L$9)),0)+IF(AND(L1216="Blaze Shield II",M1216="Software Idiem",C1216="L"),((('BLAZE SHIELD II'!$L$4*('CALCULO MORTERO'!I1216^2)+'BLAZE SHIELD II'!$L$5*'CALCULO MORTERO'!I1216+'BLAZE SHIELD II'!$L$6)*LN(J1216))+('BLAZE SHIELD II'!$L$7*('CALCULO MORTERO'!I1216^2)+'BLAZE SHIELD II'!$L$8*'CALCULO MORTERO'!I1216+'BLAZE SHIELD II'!$L$9)),0)+IF(AND(L1216="Blaze Shield II",M1216="Software Idiem",C1216="IN",G1216=3),((('BLAZE SHIELD II'!$H$14*('CALCULO MORTERO'!I1216^2)+'BLAZE SHIELD II'!$H$15*'CALCULO MORTERO'!I1216+'BLAZE SHIELD II'!$H$16)*LN(J1216))+('BLAZE SHIELD II'!$H$17*('CALCULO MORTERO'!I1216^2)+'BLAZE SHIELD II'!$H$18*'CALCULO MORTERO'!I1216+'BLAZE SHIELD II'!$H$19)),0),0)+ROUND(IF(AND(L1216="Cafco 400",M1216="Software Idiem",C1216="IN",G1216=4),((('CAFCO 400 '!$H$7*(J1216^4)+'CAFCO 400 '!$H$8*(J1216^3)+'CAFCO 400 '!$H$9*(J1216^2)+'CAFCO 400 '!$H$10*J1216+'CAFCO 400 '!$H$11)*U1216^2)+(('CAFCO 400 '!$H$12*(J1216^3)+'CAFCO 400 '!$H$13*(J1216^2)+'CAFCO 400 '!$H$14*J1216+'CAFCO 400 '!$H$15)*U1216)+('CAFCO 400 '!$H$16*(J1216^2)+'CAFCO 400 '!$H$17*J1216+'CAFCO 400 '!$H$18)),0)+IF(AND(L1216="Cafco 400",M1216="Software Idiem",C1216="Cj"),(((('CAFCO 400 '!$D$7*LN(J1216)+'CAFCO 400 '!$D$8)*U1216^2)+(('CAFCO 400 '!$D$9*LN(J1216)+'CAFCO 400 '!$D$10)*U1216)+('CAFCO 400 '!$D$11*LN(J1216)+'CAFCO 400 '!$D$12))),0)+IF(AND(L1216="Cafco 400",M1216="Software Idiem",C1216="C"),((('CAFCO 400 '!$L$7*(J1216^3)+'CAFCO 400 '!$L$8*(J1216^2)+'CAFCO 400 '!$L$9*J1216+'CAFCO 400 '!$L$10)*U1216^2)+(('CAFCO 400 '!$L$11*(J1216^3)+'CAFCO 400 '!$L$12*(J1216^2)+'CAFCO 400 '!$L$13*J1216+'CAFCO 400 '!$L$14)*U1216)+('CAFCO 400 '!$L$15*LN(J1216)+'CAFCO 400 '!$L$16)),0)+IF(AND(L1216="Cafco 400",M1216="Software Idiem",C1216="L"),((('CAFCO 400 '!$L$7*(J1216^3)+'CAFCO 400 '!$L$8*(J1216^2)+'CAFCO 400 '!$L$9*J1216+'CAFCO 400 '!$L$10)*U1216^2)+(('CAFCO 400 '!$L$11*(J1216^3)+'CAFCO 400 '!$L$12*(J1216^2)+'CAFCO 400 '!$L$13*J1216+'CAFCO 400 '!$L$14)*U1216)+('CAFCO 400 '!$L$15*LN(J1216)+'CAFCO 400 '!$L$16)),0)+IF(AND(L1216="Cafco 400",M1216="Software Idiem",C1216="IN",G1216=3),((('CAFCO 400 '!$D$23*(J1216^2)+'CAFCO 400 '!$D$24*(J1216)+'CAFCO 400 '!$D$25)*U1216^2)+(('CAFCO 400 '!$D$26*(J1216^2)+'CAFCO 400 '!$D$27*J1216+'CAFCO 400 '!$D$28)*U1216)+('CAFCO 400 '!$D$29*(J1216^2)+'CAFCO 400 '!$D$30*J1216+'CAFCO 400 '!$D$31)),0),0)+IF(AND(L1216="Cafco 300",J1216&gt;=95,J1216&lt;=240,C1216="Cj",I1216=90),VLOOKUP(T1216,'CAFCO 300 IDIEM TABLAS'!$B$4:$D$23,2,FALSE),0)+IF(AND(L1216="Cafco 300",J1216&gt;=95,J1216&lt;=240,C1216="Cj",I1216=120),VLOOKUP(T1216,'CAFCO 300 IDIEM TABLAS'!$B$4:$D$23,3,FALSE),0)+IF(AND(L1216="Cafco 300",J1216&gt;=95,J1216&lt;=400,G1216=3,C1216="IN",I1216=90),VLOOKUP(T1216,'CAFCO 300 IDIEM TABLAS'!$F$4:$H$35,2,FALSE),0)+IF(AND(L1216="Cafco 300",J1216&gt;=95,J1216&lt;=400,G1216=3,C1216="IN",I1216=120),VLOOKUP(T1216,'CAFCO 300 IDIEM TABLAS'!$F$4:$H$35,3,FALSE),0)+IF(AND(L1216="Cafco 300",J1216&gt;=95,J1216&lt;=450,G1216=4,C1216="IN",I1216=90),VLOOKUP(T1216,'CAFCO 300 IDIEM TABLAS'!$J$4:$L$40,2,FALSE),0)+IF(AND(L1216="Cafco 300",J1216&gt;=95,J1216&lt;=450,G1216=4,C1216="IN",I1216=120),VLOOKUP(T1216,'CAFCO 300 IDIEM TABLAS'!$J$4:$L$40,3,FALSE),0)+IF(AND(M1216="Ensayo Idiem",L1216="Cafco 400",C1216="IN",G1216=4,I1216=90),VLOOKUP(T1216,'CAFCO 400 ENSAYO'!$B$7:$D$43,2,FALSE),0)+IF(AND(M1216="Ensayo Idiem",L1216="Cafco 400",C1216="IN",G1216=4,I1216=120),VLOOKUP(T1216,'CAFCO 400 ENSAYO'!$B$7:$D$43,3,FALSE),0)</f>
        <v>0</v>
      </c>
      <c r="O1216" s="96">
        <f t="shared" si="120"/>
        <v>0</v>
      </c>
      <c r="P1216" s="95" t="str">
        <f t="shared" si="121"/>
        <v>N/A</v>
      </c>
      <c r="Q1216" s="95" t="str">
        <f t="shared" si="122"/>
        <v>N/A</v>
      </c>
      <c r="R1216" s="95" t="str">
        <f t="shared" si="123"/>
        <v>NO CERT.</v>
      </c>
      <c r="S1216" s="95" t="e">
        <f t="shared" si="124"/>
        <v>#N/A</v>
      </c>
      <c r="T1216" s="119" t="e">
        <f>+IF(J1216=LOOKUP(J1216,'CAFCO 300 IDIEM TABLAS'!$J$4:$J$40),'CALCULO MORTERO'!J1216,MROUND('CALCULO MORTERO'!J1216,10))</f>
        <v>#N/A</v>
      </c>
      <c r="U1216" s="118">
        <f t="shared" si="125"/>
        <v>0</v>
      </c>
    </row>
    <row r="1217" spans="1:21" x14ac:dyDescent="0.25">
      <c r="A1217" s="118">
        <f>+CUBICACION!D1211</f>
        <v>0</v>
      </c>
      <c r="B1217" s="819">
        <f>+CUBICACION!E1211</f>
        <v>0</v>
      </c>
      <c r="C1217" s="675">
        <f>+CUBICACION!F1211</f>
        <v>0</v>
      </c>
      <c r="D1217" s="118"/>
      <c r="E1217" s="118"/>
      <c r="F1217" s="820"/>
      <c r="G1217" s="675">
        <f>+CUBICACION!J1211</f>
        <v>0</v>
      </c>
      <c r="H1217" s="118"/>
      <c r="I1217" s="821">
        <f>+CUBICACION!L1211</f>
        <v>0</v>
      </c>
      <c r="J1217" s="64">
        <f>+CUBICACION!M1211</f>
        <v>0</v>
      </c>
      <c r="K1217" s="822" t="str">
        <f>+CUBICACION!N1211</f>
        <v/>
      </c>
      <c r="L1217" s="118">
        <f>+CUBICACION!O1211</f>
        <v>0</v>
      </c>
      <c r="M1217" s="823">
        <f>+CUBICACION!P1211</f>
        <v>0</v>
      </c>
      <c r="N1217" s="902">
        <f>ROUND(IF(AND(L1217="Blaze Shield II",M1217="Software Idiem",C1217="IN",G1217=4),((('BLAZE SHIELD II'!$D$4*('CALCULO MORTERO'!I1217^2)+'BLAZE SHIELD II'!$D$5*'CALCULO MORTERO'!I1217+'BLAZE SHIELD II'!$D$6)*LN(J1217))+('BLAZE SHIELD II'!$D$7*('CALCULO MORTERO'!I1217^2)+'BLAZE SHIELD II'!$D$8*'CALCULO MORTERO'!I1217+'BLAZE SHIELD II'!$D$9)),0)+IF(AND(L1217="Blaze Shield II",M1217="Software Idiem",C1217="Cj"),((('BLAZE SHIELD II'!$H$4*('CALCULO MORTERO'!I1217^2)+'BLAZE SHIELD II'!$H$5*'CALCULO MORTERO'!I1217+'BLAZE SHIELD II'!$H$6)*LN(J1217))+('BLAZE SHIELD II'!$H$7*('CALCULO MORTERO'!I1217^2)+'BLAZE SHIELD II'!$H$8*'CALCULO MORTERO'!I1217+'BLAZE SHIELD II'!$H$9)),0)+IF(AND(L1217="Blaze Shield II",M1217="Software Idiem",C1217="C"),((('BLAZE SHIELD II'!$L$4*('CALCULO MORTERO'!I1217^2)+'BLAZE SHIELD II'!$L$5*'CALCULO MORTERO'!I1217+'BLAZE SHIELD II'!$L$6)*LN(J1217))+('BLAZE SHIELD II'!$L$7*('CALCULO MORTERO'!I1217^2)+'BLAZE SHIELD II'!$L$8*'CALCULO MORTERO'!I1217+'BLAZE SHIELD II'!$L$9)),0)+IF(AND(L1217="Blaze Shield II",M1217="Software Idiem",C1217="L"),((('BLAZE SHIELD II'!$L$4*('CALCULO MORTERO'!I1217^2)+'BLAZE SHIELD II'!$L$5*'CALCULO MORTERO'!I1217+'BLAZE SHIELD II'!$L$6)*LN(J1217))+('BLAZE SHIELD II'!$L$7*('CALCULO MORTERO'!I1217^2)+'BLAZE SHIELD II'!$L$8*'CALCULO MORTERO'!I1217+'BLAZE SHIELD II'!$L$9)),0)+IF(AND(L1217="Blaze Shield II",M1217="Software Idiem",C1217="IN",G1217=3),((('BLAZE SHIELD II'!$H$14*('CALCULO MORTERO'!I1217^2)+'BLAZE SHIELD II'!$H$15*'CALCULO MORTERO'!I1217+'BLAZE SHIELD II'!$H$16)*LN(J1217))+('BLAZE SHIELD II'!$H$17*('CALCULO MORTERO'!I1217^2)+'BLAZE SHIELD II'!$H$18*'CALCULO MORTERO'!I1217+'BLAZE SHIELD II'!$H$19)),0),0)+ROUND(IF(AND(L1217="Cafco 400",M1217="Software Idiem",C1217="IN",G1217=4),((('CAFCO 400 '!$H$7*(J1217^4)+'CAFCO 400 '!$H$8*(J1217^3)+'CAFCO 400 '!$H$9*(J1217^2)+'CAFCO 400 '!$H$10*J1217+'CAFCO 400 '!$H$11)*U1217^2)+(('CAFCO 400 '!$H$12*(J1217^3)+'CAFCO 400 '!$H$13*(J1217^2)+'CAFCO 400 '!$H$14*J1217+'CAFCO 400 '!$H$15)*U1217)+('CAFCO 400 '!$H$16*(J1217^2)+'CAFCO 400 '!$H$17*J1217+'CAFCO 400 '!$H$18)),0)+IF(AND(L1217="Cafco 400",M1217="Software Idiem",C1217="Cj"),(((('CAFCO 400 '!$D$7*LN(J1217)+'CAFCO 400 '!$D$8)*U1217^2)+(('CAFCO 400 '!$D$9*LN(J1217)+'CAFCO 400 '!$D$10)*U1217)+('CAFCO 400 '!$D$11*LN(J1217)+'CAFCO 400 '!$D$12))),0)+IF(AND(L1217="Cafco 400",M1217="Software Idiem",C1217="C"),((('CAFCO 400 '!$L$7*(J1217^3)+'CAFCO 400 '!$L$8*(J1217^2)+'CAFCO 400 '!$L$9*J1217+'CAFCO 400 '!$L$10)*U1217^2)+(('CAFCO 400 '!$L$11*(J1217^3)+'CAFCO 400 '!$L$12*(J1217^2)+'CAFCO 400 '!$L$13*J1217+'CAFCO 400 '!$L$14)*U1217)+('CAFCO 400 '!$L$15*LN(J1217)+'CAFCO 400 '!$L$16)),0)+IF(AND(L1217="Cafco 400",M1217="Software Idiem",C1217="L"),((('CAFCO 400 '!$L$7*(J1217^3)+'CAFCO 400 '!$L$8*(J1217^2)+'CAFCO 400 '!$L$9*J1217+'CAFCO 400 '!$L$10)*U1217^2)+(('CAFCO 400 '!$L$11*(J1217^3)+'CAFCO 400 '!$L$12*(J1217^2)+'CAFCO 400 '!$L$13*J1217+'CAFCO 400 '!$L$14)*U1217)+('CAFCO 400 '!$L$15*LN(J1217)+'CAFCO 400 '!$L$16)),0)+IF(AND(L1217="Cafco 400",M1217="Software Idiem",C1217="IN",G1217=3),((('CAFCO 400 '!$D$23*(J1217^2)+'CAFCO 400 '!$D$24*(J1217)+'CAFCO 400 '!$D$25)*U1217^2)+(('CAFCO 400 '!$D$26*(J1217^2)+'CAFCO 400 '!$D$27*J1217+'CAFCO 400 '!$D$28)*U1217)+('CAFCO 400 '!$D$29*(J1217^2)+'CAFCO 400 '!$D$30*J1217+'CAFCO 400 '!$D$31)),0),0)+IF(AND(L1217="Cafco 300",J1217&gt;=95,J1217&lt;=240,C1217="Cj",I1217=90),VLOOKUP(T1217,'CAFCO 300 IDIEM TABLAS'!$B$4:$D$23,2,FALSE),0)+IF(AND(L1217="Cafco 300",J1217&gt;=95,J1217&lt;=240,C1217="Cj",I1217=120),VLOOKUP(T1217,'CAFCO 300 IDIEM TABLAS'!$B$4:$D$23,3,FALSE),0)+IF(AND(L1217="Cafco 300",J1217&gt;=95,J1217&lt;=400,G1217=3,C1217="IN",I1217=90),VLOOKUP(T1217,'CAFCO 300 IDIEM TABLAS'!$F$4:$H$35,2,FALSE),0)+IF(AND(L1217="Cafco 300",J1217&gt;=95,J1217&lt;=400,G1217=3,C1217="IN",I1217=120),VLOOKUP(T1217,'CAFCO 300 IDIEM TABLAS'!$F$4:$H$35,3,FALSE),0)+IF(AND(L1217="Cafco 300",J1217&gt;=95,J1217&lt;=450,G1217=4,C1217="IN",I1217=90),VLOOKUP(T1217,'CAFCO 300 IDIEM TABLAS'!$J$4:$L$40,2,FALSE),0)+IF(AND(L1217="Cafco 300",J1217&gt;=95,J1217&lt;=450,G1217=4,C1217="IN",I1217=120),VLOOKUP(T1217,'CAFCO 300 IDIEM TABLAS'!$J$4:$L$40,3,FALSE),0)+IF(AND(M1217="Ensayo Idiem",L1217="Cafco 400",C1217="IN",G1217=4,I1217=90),VLOOKUP(T1217,'CAFCO 400 ENSAYO'!$B$7:$D$43,2,FALSE),0)+IF(AND(M1217="Ensayo Idiem",L1217="Cafco 400",C1217="IN",G1217=4,I1217=120),VLOOKUP(T1217,'CAFCO 400 ENSAYO'!$B$7:$D$43,3,FALSE),0)</f>
        <v>0</v>
      </c>
      <c r="O1217" s="96">
        <f t="shared" si="120"/>
        <v>0</v>
      </c>
      <c r="P1217" s="132" t="str">
        <f t="shared" si="121"/>
        <v>N/A</v>
      </c>
      <c r="Q1217" s="132" t="str">
        <f t="shared" si="122"/>
        <v>N/A</v>
      </c>
      <c r="R1217" s="132" t="str">
        <f t="shared" si="123"/>
        <v>NO CERT.</v>
      </c>
      <c r="S1217" s="132" t="e">
        <f t="shared" si="124"/>
        <v>#N/A</v>
      </c>
      <c r="T1217" s="133" t="e">
        <f>+IF(J1217=LOOKUP(J1217,'CAFCO 300 IDIEM TABLAS'!$J$4:$J$40),'CALCULO MORTERO'!J1217,MROUND('CALCULO MORTERO'!J1217,10))</f>
        <v>#N/A</v>
      </c>
      <c r="U1217" s="134">
        <f t="shared" si="125"/>
        <v>0</v>
      </c>
    </row>
    <row r="1218" spans="1:21" x14ac:dyDescent="0.25">
      <c r="A1218" s="118">
        <f>+CUBICACION!D1212</f>
        <v>0</v>
      </c>
      <c r="B1218" s="819">
        <f>+CUBICACION!E1212</f>
        <v>0</v>
      </c>
      <c r="C1218" s="675">
        <f>+CUBICACION!F1212</f>
        <v>0</v>
      </c>
      <c r="D1218" s="118"/>
      <c r="E1218" s="118"/>
      <c r="F1218" s="820"/>
      <c r="G1218" s="675">
        <f>+CUBICACION!J1212</f>
        <v>0</v>
      </c>
      <c r="H1218" s="118"/>
      <c r="I1218" s="821">
        <f>+CUBICACION!L1212</f>
        <v>0</v>
      </c>
      <c r="J1218" s="64">
        <f>+CUBICACION!M1212</f>
        <v>0</v>
      </c>
      <c r="K1218" s="822" t="str">
        <f>+CUBICACION!N1212</f>
        <v/>
      </c>
      <c r="L1218" s="118">
        <f>+CUBICACION!O1212</f>
        <v>0</v>
      </c>
      <c r="M1218" s="823">
        <f>+CUBICACION!P1212</f>
        <v>0</v>
      </c>
      <c r="N1218" s="902">
        <f>ROUND(IF(AND(L1218="Blaze Shield II",M1218="Software Idiem",C1218="IN",G1218=4),((('BLAZE SHIELD II'!$D$4*('CALCULO MORTERO'!I1218^2)+'BLAZE SHIELD II'!$D$5*'CALCULO MORTERO'!I1218+'BLAZE SHIELD II'!$D$6)*LN(J1218))+('BLAZE SHIELD II'!$D$7*('CALCULO MORTERO'!I1218^2)+'BLAZE SHIELD II'!$D$8*'CALCULO MORTERO'!I1218+'BLAZE SHIELD II'!$D$9)),0)+IF(AND(L1218="Blaze Shield II",M1218="Software Idiem",C1218="Cj"),((('BLAZE SHIELD II'!$H$4*('CALCULO MORTERO'!I1218^2)+'BLAZE SHIELD II'!$H$5*'CALCULO MORTERO'!I1218+'BLAZE SHIELD II'!$H$6)*LN(J1218))+('BLAZE SHIELD II'!$H$7*('CALCULO MORTERO'!I1218^2)+'BLAZE SHIELD II'!$H$8*'CALCULO MORTERO'!I1218+'BLAZE SHIELD II'!$H$9)),0)+IF(AND(L1218="Blaze Shield II",M1218="Software Idiem",C1218="C"),((('BLAZE SHIELD II'!$L$4*('CALCULO MORTERO'!I1218^2)+'BLAZE SHIELD II'!$L$5*'CALCULO MORTERO'!I1218+'BLAZE SHIELD II'!$L$6)*LN(J1218))+('BLAZE SHIELD II'!$L$7*('CALCULO MORTERO'!I1218^2)+'BLAZE SHIELD II'!$L$8*'CALCULO MORTERO'!I1218+'BLAZE SHIELD II'!$L$9)),0)+IF(AND(L1218="Blaze Shield II",M1218="Software Idiem",C1218="L"),((('BLAZE SHIELD II'!$L$4*('CALCULO MORTERO'!I1218^2)+'BLAZE SHIELD II'!$L$5*'CALCULO MORTERO'!I1218+'BLAZE SHIELD II'!$L$6)*LN(J1218))+('BLAZE SHIELD II'!$L$7*('CALCULO MORTERO'!I1218^2)+'BLAZE SHIELD II'!$L$8*'CALCULO MORTERO'!I1218+'BLAZE SHIELD II'!$L$9)),0)+IF(AND(L1218="Blaze Shield II",M1218="Software Idiem",C1218="IN",G1218=3),((('BLAZE SHIELD II'!$H$14*('CALCULO MORTERO'!I1218^2)+'BLAZE SHIELD II'!$H$15*'CALCULO MORTERO'!I1218+'BLAZE SHIELD II'!$H$16)*LN(J1218))+('BLAZE SHIELD II'!$H$17*('CALCULO MORTERO'!I1218^2)+'BLAZE SHIELD II'!$H$18*'CALCULO MORTERO'!I1218+'BLAZE SHIELD II'!$H$19)),0),0)+ROUND(IF(AND(L1218="Cafco 400",M1218="Software Idiem",C1218="IN",G1218=4),((('CAFCO 400 '!$H$7*(J1218^4)+'CAFCO 400 '!$H$8*(J1218^3)+'CAFCO 400 '!$H$9*(J1218^2)+'CAFCO 400 '!$H$10*J1218+'CAFCO 400 '!$H$11)*U1218^2)+(('CAFCO 400 '!$H$12*(J1218^3)+'CAFCO 400 '!$H$13*(J1218^2)+'CAFCO 400 '!$H$14*J1218+'CAFCO 400 '!$H$15)*U1218)+('CAFCO 400 '!$H$16*(J1218^2)+'CAFCO 400 '!$H$17*J1218+'CAFCO 400 '!$H$18)),0)+IF(AND(L1218="Cafco 400",M1218="Software Idiem",C1218="Cj"),(((('CAFCO 400 '!$D$7*LN(J1218)+'CAFCO 400 '!$D$8)*U1218^2)+(('CAFCO 400 '!$D$9*LN(J1218)+'CAFCO 400 '!$D$10)*U1218)+('CAFCO 400 '!$D$11*LN(J1218)+'CAFCO 400 '!$D$12))),0)+IF(AND(L1218="Cafco 400",M1218="Software Idiem",C1218="C"),((('CAFCO 400 '!$L$7*(J1218^3)+'CAFCO 400 '!$L$8*(J1218^2)+'CAFCO 400 '!$L$9*J1218+'CAFCO 400 '!$L$10)*U1218^2)+(('CAFCO 400 '!$L$11*(J1218^3)+'CAFCO 400 '!$L$12*(J1218^2)+'CAFCO 400 '!$L$13*J1218+'CAFCO 400 '!$L$14)*U1218)+('CAFCO 400 '!$L$15*LN(J1218)+'CAFCO 400 '!$L$16)),0)+IF(AND(L1218="Cafco 400",M1218="Software Idiem",C1218="L"),((('CAFCO 400 '!$L$7*(J1218^3)+'CAFCO 400 '!$L$8*(J1218^2)+'CAFCO 400 '!$L$9*J1218+'CAFCO 400 '!$L$10)*U1218^2)+(('CAFCO 400 '!$L$11*(J1218^3)+'CAFCO 400 '!$L$12*(J1218^2)+'CAFCO 400 '!$L$13*J1218+'CAFCO 400 '!$L$14)*U1218)+('CAFCO 400 '!$L$15*LN(J1218)+'CAFCO 400 '!$L$16)),0)+IF(AND(L1218="Cafco 400",M1218="Software Idiem",C1218="IN",G1218=3),((('CAFCO 400 '!$D$23*(J1218^2)+'CAFCO 400 '!$D$24*(J1218)+'CAFCO 400 '!$D$25)*U1218^2)+(('CAFCO 400 '!$D$26*(J1218^2)+'CAFCO 400 '!$D$27*J1218+'CAFCO 400 '!$D$28)*U1218)+('CAFCO 400 '!$D$29*(J1218^2)+'CAFCO 400 '!$D$30*J1218+'CAFCO 400 '!$D$31)),0),0)+IF(AND(L1218="Cafco 300",J1218&gt;=95,J1218&lt;=240,C1218="Cj",I1218=90),VLOOKUP(T1218,'CAFCO 300 IDIEM TABLAS'!$B$4:$D$23,2,FALSE),0)+IF(AND(L1218="Cafco 300",J1218&gt;=95,J1218&lt;=240,C1218="Cj",I1218=120),VLOOKUP(T1218,'CAFCO 300 IDIEM TABLAS'!$B$4:$D$23,3,FALSE),0)+IF(AND(L1218="Cafco 300",J1218&gt;=95,J1218&lt;=400,G1218=3,C1218="IN",I1218=90),VLOOKUP(T1218,'CAFCO 300 IDIEM TABLAS'!$F$4:$H$35,2,FALSE),0)+IF(AND(L1218="Cafco 300",J1218&gt;=95,J1218&lt;=400,G1218=3,C1218="IN",I1218=120),VLOOKUP(T1218,'CAFCO 300 IDIEM TABLAS'!$F$4:$H$35,3,FALSE),0)+IF(AND(L1218="Cafco 300",J1218&gt;=95,J1218&lt;=450,G1218=4,C1218="IN",I1218=90),VLOOKUP(T1218,'CAFCO 300 IDIEM TABLAS'!$J$4:$L$40,2,FALSE),0)+IF(AND(L1218="Cafco 300",J1218&gt;=95,J1218&lt;=450,G1218=4,C1218="IN",I1218=120),VLOOKUP(T1218,'CAFCO 300 IDIEM TABLAS'!$J$4:$L$40,3,FALSE),0)+IF(AND(M1218="Ensayo Idiem",L1218="Cafco 400",C1218="IN",G1218=4,I1218=90),VLOOKUP(T1218,'CAFCO 400 ENSAYO'!$B$7:$D$43,2,FALSE),0)+IF(AND(M1218="Ensayo Idiem",L1218="Cafco 400",C1218="IN",G1218=4,I1218=120),VLOOKUP(T1218,'CAFCO 400 ENSAYO'!$B$7:$D$43,3,FALSE),0)</f>
        <v>0</v>
      </c>
      <c r="O1218" s="96">
        <f t="shared" si="120"/>
        <v>0</v>
      </c>
      <c r="P1218" s="95" t="str">
        <f t="shared" si="121"/>
        <v>N/A</v>
      </c>
      <c r="Q1218" s="95" t="str">
        <f t="shared" si="122"/>
        <v>N/A</v>
      </c>
      <c r="R1218" s="95" t="str">
        <f t="shared" si="123"/>
        <v>NO CERT.</v>
      </c>
      <c r="S1218" s="95" t="e">
        <f t="shared" si="124"/>
        <v>#N/A</v>
      </c>
      <c r="T1218" s="119" t="e">
        <f>+IF(J1218=LOOKUP(J1218,'CAFCO 300 IDIEM TABLAS'!$J$4:$J$40),'CALCULO MORTERO'!J1218,MROUND('CALCULO MORTERO'!J1218,10))</f>
        <v>#N/A</v>
      </c>
      <c r="U1218" s="118">
        <f t="shared" si="125"/>
        <v>0</v>
      </c>
    </row>
    <row r="1219" spans="1:21" x14ac:dyDescent="0.25">
      <c r="A1219" s="118">
        <f>+CUBICACION!D1213</f>
        <v>0</v>
      </c>
      <c r="B1219" s="819">
        <f>+CUBICACION!E1213</f>
        <v>0</v>
      </c>
      <c r="C1219" s="675">
        <f>+CUBICACION!F1213</f>
        <v>0</v>
      </c>
      <c r="D1219" s="118"/>
      <c r="E1219" s="118"/>
      <c r="F1219" s="820"/>
      <c r="G1219" s="675">
        <f>+CUBICACION!J1213</f>
        <v>0</v>
      </c>
      <c r="H1219" s="118"/>
      <c r="I1219" s="821">
        <f>+CUBICACION!L1213</f>
        <v>0</v>
      </c>
      <c r="J1219" s="64">
        <f>+CUBICACION!M1213</f>
        <v>0</v>
      </c>
      <c r="K1219" s="822" t="str">
        <f>+CUBICACION!N1213</f>
        <v/>
      </c>
      <c r="L1219" s="118">
        <f>+CUBICACION!O1213</f>
        <v>0</v>
      </c>
      <c r="M1219" s="823">
        <f>+CUBICACION!P1213</f>
        <v>0</v>
      </c>
      <c r="N1219" s="902">
        <f>ROUND(IF(AND(L1219="Blaze Shield II",M1219="Software Idiem",C1219="IN",G1219=4),((('BLAZE SHIELD II'!$D$4*('CALCULO MORTERO'!I1219^2)+'BLAZE SHIELD II'!$D$5*'CALCULO MORTERO'!I1219+'BLAZE SHIELD II'!$D$6)*LN(J1219))+('BLAZE SHIELD II'!$D$7*('CALCULO MORTERO'!I1219^2)+'BLAZE SHIELD II'!$D$8*'CALCULO MORTERO'!I1219+'BLAZE SHIELD II'!$D$9)),0)+IF(AND(L1219="Blaze Shield II",M1219="Software Idiem",C1219="Cj"),((('BLAZE SHIELD II'!$H$4*('CALCULO MORTERO'!I1219^2)+'BLAZE SHIELD II'!$H$5*'CALCULO MORTERO'!I1219+'BLAZE SHIELD II'!$H$6)*LN(J1219))+('BLAZE SHIELD II'!$H$7*('CALCULO MORTERO'!I1219^2)+'BLAZE SHIELD II'!$H$8*'CALCULO MORTERO'!I1219+'BLAZE SHIELD II'!$H$9)),0)+IF(AND(L1219="Blaze Shield II",M1219="Software Idiem",C1219="C"),((('BLAZE SHIELD II'!$L$4*('CALCULO MORTERO'!I1219^2)+'BLAZE SHIELD II'!$L$5*'CALCULO MORTERO'!I1219+'BLAZE SHIELD II'!$L$6)*LN(J1219))+('BLAZE SHIELD II'!$L$7*('CALCULO MORTERO'!I1219^2)+'BLAZE SHIELD II'!$L$8*'CALCULO MORTERO'!I1219+'BLAZE SHIELD II'!$L$9)),0)+IF(AND(L1219="Blaze Shield II",M1219="Software Idiem",C1219="L"),((('BLAZE SHIELD II'!$L$4*('CALCULO MORTERO'!I1219^2)+'BLAZE SHIELD II'!$L$5*'CALCULO MORTERO'!I1219+'BLAZE SHIELD II'!$L$6)*LN(J1219))+('BLAZE SHIELD II'!$L$7*('CALCULO MORTERO'!I1219^2)+'BLAZE SHIELD II'!$L$8*'CALCULO MORTERO'!I1219+'BLAZE SHIELD II'!$L$9)),0)+IF(AND(L1219="Blaze Shield II",M1219="Software Idiem",C1219="IN",G1219=3),((('BLAZE SHIELD II'!$H$14*('CALCULO MORTERO'!I1219^2)+'BLAZE SHIELD II'!$H$15*'CALCULO MORTERO'!I1219+'BLAZE SHIELD II'!$H$16)*LN(J1219))+('BLAZE SHIELD II'!$H$17*('CALCULO MORTERO'!I1219^2)+'BLAZE SHIELD II'!$H$18*'CALCULO MORTERO'!I1219+'BLAZE SHIELD II'!$H$19)),0),0)+ROUND(IF(AND(L1219="Cafco 400",M1219="Software Idiem",C1219="IN",G1219=4),((('CAFCO 400 '!$H$7*(J1219^4)+'CAFCO 400 '!$H$8*(J1219^3)+'CAFCO 400 '!$H$9*(J1219^2)+'CAFCO 400 '!$H$10*J1219+'CAFCO 400 '!$H$11)*U1219^2)+(('CAFCO 400 '!$H$12*(J1219^3)+'CAFCO 400 '!$H$13*(J1219^2)+'CAFCO 400 '!$H$14*J1219+'CAFCO 400 '!$H$15)*U1219)+('CAFCO 400 '!$H$16*(J1219^2)+'CAFCO 400 '!$H$17*J1219+'CAFCO 400 '!$H$18)),0)+IF(AND(L1219="Cafco 400",M1219="Software Idiem",C1219="Cj"),(((('CAFCO 400 '!$D$7*LN(J1219)+'CAFCO 400 '!$D$8)*U1219^2)+(('CAFCO 400 '!$D$9*LN(J1219)+'CAFCO 400 '!$D$10)*U1219)+('CAFCO 400 '!$D$11*LN(J1219)+'CAFCO 400 '!$D$12))),0)+IF(AND(L1219="Cafco 400",M1219="Software Idiem",C1219="C"),((('CAFCO 400 '!$L$7*(J1219^3)+'CAFCO 400 '!$L$8*(J1219^2)+'CAFCO 400 '!$L$9*J1219+'CAFCO 400 '!$L$10)*U1219^2)+(('CAFCO 400 '!$L$11*(J1219^3)+'CAFCO 400 '!$L$12*(J1219^2)+'CAFCO 400 '!$L$13*J1219+'CAFCO 400 '!$L$14)*U1219)+('CAFCO 400 '!$L$15*LN(J1219)+'CAFCO 400 '!$L$16)),0)+IF(AND(L1219="Cafco 400",M1219="Software Idiem",C1219="L"),((('CAFCO 400 '!$L$7*(J1219^3)+'CAFCO 400 '!$L$8*(J1219^2)+'CAFCO 400 '!$L$9*J1219+'CAFCO 400 '!$L$10)*U1219^2)+(('CAFCO 400 '!$L$11*(J1219^3)+'CAFCO 400 '!$L$12*(J1219^2)+'CAFCO 400 '!$L$13*J1219+'CAFCO 400 '!$L$14)*U1219)+('CAFCO 400 '!$L$15*LN(J1219)+'CAFCO 400 '!$L$16)),0)+IF(AND(L1219="Cafco 400",M1219="Software Idiem",C1219="IN",G1219=3),((('CAFCO 400 '!$D$23*(J1219^2)+'CAFCO 400 '!$D$24*(J1219)+'CAFCO 400 '!$D$25)*U1219^2)+(('CAFCO 400 '!$D$26*(J1219^2)+'CAFCO 400 '!$D$27*J1219+'CAFCO 400 '!$D$28)*U1219)+('CAFCO 400 '!$D$29*(J1219^2)+'CAFCO 400 '!$D$30*J1219+'CAFCO 400 '!$D$31)),0),0)+IF(AND(L1219="Cafco 300",J1219&gt;=95,J1219&lt;=240,C1219="Cj",I1219=90),VLOOKUP(T1219,'CAFCO 300 IDIEM TABLAS'!$B$4:$D$23,2,FALSE),0)+IF(AND(L1219="Cafco 300",J1219&gt;=95,J1219&lt;=240,C1219="Cj",I1219=120),VLOOKUP(T1219,'CAFCO 300 IDIEM TABLAS'!$B$4:$D$23,3,FALSE),0)+IF(AND(L1219="Cafco 300",J1219&gt;=95,J1219&lt;=400,G1219=3,C1219="IN",I1219=90),VLOOKUP(T1219,'CAFCO 300 IDIEM TABLAS'!$F$4:$H$35,2,FALSE),0)+IF(AND(L1219="Cafco 300",J1219&gt;=95,J1219&lt;=400,G1219=3,C1219="IN",I1219=120),VLOOKUP(T1219,'CAFCO 300 IDIEM TABLAS'!$F$4:$H$35,3,FALSE),0)+IF(AND(L1219="Cafco 300",J1219&gt;=95,J1219&lt;=450,G1219=4,C1219="IN",I1219=90),VLOOKUP(T1219,'CAFCO 300 IDIEM TABLAS'!$J$4:$L$40,2,FALSE),0)+IF(AND(L1219="Cafco 300",J1219&gt;=95,J1219&lt;=450,G1219=4,C1219="IN",I1219=120),VLOOKUP(T1219,'CAFCO 300 IDIEM TABLAS'!$J$4:$L$40,3,FALSE),0)+IF(AND(M1219="Ensayo Idiem",L1219="Cafco 400",C1219="IN",G1219=4,I1219=90),VLOOKUP(T1219,'CAFCO 400 ENSAYO'!$B$7:$D$43,2,FALSE),0)+IF(AND(M1219="Ensayo Idiem",L1219="Cafco 400",C1219="IN",G1219=4,I1219=120),VLOOKUP(T1219,'CAFCO 400 ENSAYO'!$B$7:$D$43,3,FALSE),0)</f>
        <v>0</v>
      </c>
      <c r="O1219" s="96">
        <f t="shared" si="120"/>
        <v>0</v>
      </c>
      <c r="P1219" s="132" t="str">
        <f t="shared" si="121"/>
        <v>N/A</v>
      </c>
      <c r="Q1219" s="132" t="str">
        <f t="shared" si="122"/>
        <v>N/A</v>
      </c>
      <c r="R1219" s="132" t="str">
        <f t="shared" si="123"/>
        <v>NO CERT.</v>
      </c>
      <c r="S1219" s="132" t="e">
        <f t="shared" si="124"/>
        <v>#N/A</v>
      </c>
      <c r="T1219" s="133" t="e">
        <f>+IF(J1219=LOOKUP(J1219,'CAFCO 300 IDIEM TABLAS'!$J$4:$J$40),'CALCULO MORTERO'!J1219,MROUND('CALCULO MORTERO'!J1219,10))</f>
        <v>#N/A</v>
      </c>
      <c r="U1219" s="134">
        <f t="shared" si="125"/>
        <v>0</v>
      </c>
    </row>
    <row r="1220" spans="1:21" x14ac:dyDescent="0.25">
      <c r="A1220" s="118">
        <f>+CUBICACION!D1214</f>
        <v>0</v>
      </c>
      <c r="B1220" s="819">
        <f>+CUBICACION!E1214</f>
        <v>0</v>
      </c>
      <c r="C1220" s="675">
        <f>+CUBICACION!F1214</f>
        <v>0</v>
      </c>
      <c r="D1220" s="118"/>
      <c r="E1220" s="118"/>
      <c r="F1220" s="820"/>
      <c r="G1220" s="675">
        <f>+CUBICACION!J1214</f>
        <v>0</v>
      </c>
      <c r="H1220" s="118"/>
      <c r="I1220" s="821">
        <f>+CUBICACION!L1214</f>
        <v>0</v>
      </c>
      <c r="J1220" s="64">
        <f>+CUBICACION!M1214</f>
        <v>0</v>
      </c>
      <c r="K1220" s="822" t="str">
        <f>+CUBICACION!N1214</f>
        <v/>
      </c>
      <c r="L1220" s="118">
        <f>+CUBICACION!O1214</f>
        <v>0</v>
      </c>
      <c r="M1220" s="823">
        <f>+CUBICACION!P1214</f>
        <v>0</v>
      </c>
      <c r="N1220" s="902">
        <f>ROUND(IF(AND(L1220="Blaze Shield II",M1220="Software Idiem",C1220="IN",G1220=4),((('BLAZE SHIELD II'!$D$4*('CALCULO MORTERO'!I1220^2)+'BLAZE SHIELD II'!$D$5*'CALCULO MORTERO'!I1220+'BLAZE SHIELD II'!$D$6)*LN(J1220))+('BLAZE SHIELD II'!$D$7*('CALCULO MORTERO'!I1220^2)+'BLAZE SHIELD II'!$D$8*'CALCULO MORTERO'!I1220+'BLAZE SHIELD II'!$D$9)),0)+IF(AND(L1220="Blaze Shield II",M1220="Software Idiem",C1220="Cj"),((('BLAZE SHIELD II'!$H$4*('CALCULO MORTERO'!I1220^2)+'BLAZE SHIELD II'!$H$5*'CALCULO MORTERO'!I1220+'BLAZE SHIELD II'!$H$6)*LN(J1220))+('BLAZE SHIELD II'!$H$7*('CALCULO MORTERO'!I1220^2)+'BLAZE SHIELD II'!$H$8*'CALCULO MORTERO'!I1220+'BLAZE SHIELD II'!$H$9)),0)+IF(AND(L1220="Blaze Shield II",M1220="Software Idiem",C1220="C"),((('BLAZE SHIELD II'!$L$4*('CALCULO MORTERO'!I1220^2)+'BLAZE SHIELD II'!$L$5*'CALCULO MORTERO'!I1220+'BLAZE SHIELD II'!$L$6)*LN(J1220))+('BLAZE SHIELD II'!$L$7*('CALCULO MORTERO'!I1220^2)+'BLAZE SHIELD II'!$L$8*'CALCULO MORTERO'!I1220+'BLAZE SHIELD II'!$L$9)),0)+IF(AND(L1220="Blaze Shield II",M1220="Software Idiem",C1220="L"),((('BLAZE SHIELD II'!$L$4*('CALCULO MORTERO'!I1220^2)+'BLAZE SHIELD II'!$L$5*'CALCULO MORTERO'!I1220+'BLAZE SHIELD II'!$L$6)*LN(J1220))+('BLAZE SHIELD II'!$L$7*('CALCULO MORTERO'!I1220^2)+'BLAZE SHIELD II'!$L$8*'CALCULO MORTERO'!I1220+'BLAZE SHIELD II'!$L$9)),0)+IF(AND(L1220="Blaze Shield II",M1220="Software Idiem",C1220="IN",G1220=3),((('BLAZE SHIELD II'!$H$14*('CALCULO MORTERO'!I1220^2)+'BLAZE SHIELD II'!$H$15*'CALCULO MORTERO'!I1220+'BLAZE SHIELD II'!$H$16)*LN(J1220))+('BLAZE SHIELD II'!$H$17*('CALCULO MORTERO'!I1220^2)+'BLAZE SHIELD II'!$H$18*'CALCULO MORTERO'!I1220+'BLAZE SHIELD II'!$H$19)),0),0)+ROUND(IF(AND(L1220="Cafco 400",M1220="Software Idiem",C1220="IN",G1220=4),((('CAFCO 400 '!$H$7*(J1220^4)+'CAFCO 400 '!$H$8*(J1220^3)+'CAFCO 400 '!$H$9*(J1220^2)+'CAFCO 400 '!$H$10*J1220+'CAFCO 400 '!$H$11)*U1220^2)+(('CAFCO 400 '!$H$12*(J1220^3)+'CAFCO 400 '!$H$13*(J1220^2)+'CAFCO 400 '!$H$14*J1220+'CAFCO 400 '!$H$15)*U1220)+('CAFCO 400 '!$H$16*(J1220^2)+'CAFCO 400 '!$H$17*J1220+'CAFCO 400 '!$H$18)),0)+IF(AND(L1220="Cafco 400",M1220="Software Idiem",C1220="Cj"),(((('CAFCO 400 '!$D$7*LN(J1220)+'CAFCO 400 '!$D$8)*U1220^2)+(('CAFCO 400 '!$D$9*LN(J1220)+'CAFCO 400 '!$D$10)*U1220)+('CAFCO 400 '!$D$11*LN(J1220)+'CAFCO 400 '!$D$12))),0)+IF(AND(L1220="Cafco 400",M1220="Software Idiem",C1220="C"),((('CAFCO 400 '!$L$7*(J1220^3)+'CAFCO 400 '!$L$8*(J1220^2)+'CAFCO 400 '!$L$9*J1220+'CAFCO 400 '!$L$10)*U1220^2)+(('CAFCO 400 '!$L$11*(J1220^3)+'CAFCO 400 '!$L$12*(J1220^2)+'CAFCO 400 '!$L$13*J1220+'CAFCO 400 '!$L$14)*U1220)+('CAFCO 400 '!$L$15*LN(J1220)+'CAFCO 400 '!$L$16)),0)+IF(AND(L1220="Cafco 400",M1220="Software Idiem",C1220="L"),((('CAFCO 400 '!$L$7*(J1220^3)+'CAFCO 400 '!$L$8*(J1220^2)+'CAFCO 400 '!$L$9*J1220+'CAFCO 400 '!$L$10)*U1220^2)+(('CAFCO 400 '!$L$11*(J1220^3)+'CAFCO 400 '!$L$12*(J1220^2)+'CAFCO 400 '!$L$13*J1220+'CAFCO 400 '!$L$14)*U1220)+('CAFCO 400 '!$L$15*LN(J1220)+'CAFCO 400 '!$L$16)),0)+IF(AND(L1220="Cafco 400",M1220="Software Idiem",C1220="IN",G1220=3),((('CAFCO 400 '!$D$23*(J1220^2)+'CAFCO 400 '!$D$24*(J1220)+'CAFCO 400 '!$D$25)*U1220^2)+(('CAFCO 400 '!$D$26*(J1220^2)+'CAFCO 400 '!$D$27*J1220+'CAFCO 400 '!$D$28)*U1220)+('CAFCO 400 '!$D$29*(J1220^2)+'CAFCO 400 '!$D$30*J1220+'CAFCO 400 '!$D$31)),0),0)+IF(AND(L1220="Cafco 300",J1220&gt;=95,J1220&lt;=240,C1220="Cj",I1220=90),VLOOKUP(T1220,'CAFCO 300 IDIEM TABLAS'!$B$4:$D$23,2,FALSE),0)+IF(AND(L1220="Cafco 300",J1220&gt;=95,J1220&lt;=240,C1220="Cj",I1220=120),VLOOKUP(T1220,'CAFCO 300 IDIEM TABLAS'!$B$4:$D$23,3,FALSE),0)+IF(AND(L1220="Cafco 300",J1220&gt;=95,J1220&lt;=400,G1220=3,C1220="IN",I1220=90),VLOOKUP(T1220,'CAFCO 300 IDIEM TABLAS'!$F$4:$H$35,2,FALSE),0)+IF(AND(L1220="Cafco 300",J1220&gt;=95,J1220&lt;=400,G1220=3,C1220="IN",I1220=120),VLOOKUP(T1220,'CAFCO 300 IDIEM TABLAS'!$F$4:$H$35,3,FALSE),0)+IF(AND(L1220="Cafco 300",J1220&gt;=95,J1220&lt;=450,G1220=4,C1220="IN",I1220=90),VLOOKUP(T1220,'CAFCO 300 IDIEM TABLAS'!$J$4:$L$40,2,FALSE),0)+IF(AND(L1220="Cafco 300",J1220&gt;=95,J1220&lt;=450,G1220=4,C1220="IN",I1220=120),VLOOKUP(T1220,'CAFCO 300 IDIEM TABLAS'!$J$4:$L$40,3,FALSE),0)+IF(AND(M1220="Ensayo Idiem",L1220="Cafco 400",C1220="IN",G1220=4,I1220=90),VLOOKUP(T1220,'CAFCO 400 ENSAYO'!$B$7:$D$43,2,FALSE),0)+IF(AND(M1220="Ensayo Idiem",L1220="Cafco 400",C1220="IN",G1220=4,I1220=120),VLOOKUP(T1220,'CAFCO 400 ENSAYO'!$B$7:$D$43,3,FALSE),0)</f>
        <v>0</v>
      </c>
      <c r="O1220" s="96">
        <f t="shared" si="120"/>
        <v>0</v>
      </c>
      <c r="P1220" s="95" t="str">
        <f t="shared" si="121"/>
        <v>N/A</v>
      </c>
      <c r="Q1220" s="95" t="str">
        <f t="shared" si="122"/>
        <v>N/A</v>
      </c>
      <c r="R1220" s="95" t="str">
        <f t="shared" si="123"/>
        <v>NO CERT.</v>
      </c>
      <c r="S1220" s="95" t="e">
        <f t="shared" si="124"/>
        <v>#N/A</v>
      </c>
      <c r="T1220" s="119" t="e">
        <f>+IF(J1220=LOOKUP(J1220,'CAFCO 300 IDIEM TABLAS'!$J$4:$J$40),'CALCULO MORTERO'!J1220,MROUND('CALCULO MORTERO'!J1220,10))</f>
        <v>#N/A</v>
      </c>
      <c r="U1220" s="118">
        <f t="shared" si="125"/>
        <v>0</v>
      </c>
    </row>
    <row r="1221" spans="1:21" x14ac:dyDescent="0.25">
      <c r="A1221" s="118">
        <f>+CUBICACION!D1215</f>
        <v>0</v>
      </c>
      <c r="B1221" s="819">
        <f>+CUBICACION!E1215</f>
        <v>0</v>
      </c>
      <c r="C1221" s="675">
        <f>+CUBICACION!F1215</f>
        <v>0</v>
      </c>
      <c r="D1221" s="118"/>
      <c r="E1221" s="118"/>
      <c r="F1221" s="820"/>
      <c r="G1221" s="675">
        <f>+CUBICACION!J1215</f>
        <v>0</v>
      </c>
      <c r="H1221" s="118"/>
      <c r="I1221" s="821">
        <f>+CUBICACION!L1215</f>
        <v>0</v>
      </c>
      <c r="J1221" s="64">
        <f>+CUBICACION!M1215</f>
        <v>0</v>
      </c>
      <c r="K1221" s="822" t="str">
        <f>+CUBICACION!N1215</f>
        <v/>
      </c>
      <c r="L1221" s="118">
        <f>+CUBICACION!O1215</f>
        <v>0</v>
      </c>
      <c r="M1221" s="823">
        <f>+CUBICACION!P1215</f>
        <v>0</v>
      </c>
      <c r="N1221" s="902">
        <f>ROUND(IF(AND(L1221="Blaze Shield II",M1221="Software Idiem",C1221="IN",G1221=4),((('BLAZE SHIELD II'!$D$4*('CALCULO MORTERO'!I1221^2)+'BLAZE SHIELD II'!$D$5*'CALCULO MORTERO'!I1221+'BLAZE SHIELD II'!$D$6)*LN(J1221))+('BLAZE SHIELD II'!$D$7*('CALCULO MORTERO'!I1221^2)+'BLAZE SHIELD II'!$D$8*'CALCULO MORTERO'!I1221+'BLAZE SHIELD II'!$D$9)),0)+IF(AND(L1221="Blaze Shield II",M1221="Software Idiem",C1221="Cj"),((('BLAZE SHIELD II'!$H$4*('CALCULO MORTERO'!I1221^2)+'BLAZE SHIELD II'!$H$5*'CALCULO MORTERO'!I1221+'BLAZE SHIELD II'!$H$6)*LN(J1221))+('BLAZE SHIELD II'!$H$7*('CALCULO MORTERO'!I1221^2)+'BLAZE SHIELD II'!$H$8*'CALCULO MORTERO'!I1221+'BLAZE SHIELD II'!$H$9)),0)+IF(AND(L1221="Blaze Shield II",M1221="Software Idiem",C1221="C"),((('BLAZE SHIELD II'!$L$4*('CALCULO MORTERO'!I1221^2)+'BLAZE SHIELD II'!$L$5*'CALCULO MORTERO'!I1221+'BLAZE SHIELD II'!$L$6)*LN(J1221))+('BLAZE SHIELD II'!$L$7*('CALCULO MORTERO'!I1221^2)+'BLAZE SHIELD II'!$L$8*'CALCULO MORTERO'!I1221+'BLAZE SHIELD II'!$L$9)),0)+IF(AND(L1221="Blaze Shield II",M1221="Software Idiem",C1221="L"),((('BLAZE SHIELD II'!$L$4*('CALCULO MORTERO'!I1221^2)+'BLAZE SHIELD II'!$L$5*'CALCULO MORTERO'!I1221+'BLAZE SHIELD II'!$L$6)*LN(J1221))+('BLAZE SHIELD II'!$L$7*('CALCULO MORTERO'!I1221^2)+'BLAZE SHIELD II'!$L$8*'CALCULO MORTERO'!I1221+'BLAZE SHIELD II'!$L$9)),0)+IF(AND(L1221="Blaze Shield II",M1221="Software Idiem",C1221="IN",G1221=3),((('BLAZE SHIELD II'!$H$14*('CALCULO MORTERO'!I1221^2)+'BLAZE SHIELD II'!$H$15*'CALCULO MORTERO'!I1221+'BLAZE SHIELD II'!$H$16)*LN(J1221))+('BLAZE SHIELD II'!$H$17*('CALCULO MORTERO'!I1221^2)+'BLAZE SHIELD II'!$H$18*'CALCULO MORTERO'!I1221+'BLAZE SHIELD II'!$H$19)),0),0)+ROUND(IF(AND(L1221="Cafco 400",M1221="Software Idiem",C1221="IN",G1221=4),((('CAFCO 400 '!$H$7*(J1221^4)+'CAFCO 400 '!$H$8*(J1221^3)+'CAFCO 400 '!$H$9*(J1221^2)+'CAFCO 400 '!$H$10*J1221+'CAFCO 400 '!$H$11)*U1221^2)+(('CAFCO 400 '!$H$12*(J1221^3)+'CAFCO 400 '!$H$13*(J1221^2)+'CAFCO 400 '!$H$14*J1221+'CAFCO 400 '!$H$15)*U1221)+('CAFCO 400 '!$H$16*(J1221^2)+'CAFCO 400 '!$H$17*J1221+'CAFCO 400 '!$H$18)),0)+IF(AND(L1221="Cafco 400",M1221="Software Idiem",C1221="Cj"),(((('CAFCO 400 '!$D$7*LN(J1221)+'CAFCO 400 '!$D$8)*U1221^2)+(('CAFCO 400 '!$D$9*LN(J1221)+'CAFCO 400 '!$D$10)*U1221)+('CAFCO 400 '!$D$11*LN(J1221)+'CAFCO 400 '!$D$12))),0)+IF(AND(L1221="Cafco 400",M1221="Software Idiem",C1221="C"),((('CAFCO 400 '!$L$7*(J1221^3)+'CAFCO 400 '!$L$8*(J1221^2)+'CAFCO 400 '!$L$9*J1221+'CAFCO 400 '!$L$10)*U1221^2)+(('CAFCO 400 '!$L$11*(J1221^3)+'CAFCO 400 '!$L$12*(J1221^2)+'CAFCO 400 '!$L$13*J1221+'CAFCO 400 '!$L$14)*U1221)+('CAFCO 400 '!$L$15*LN(J1221)+'CAFCO 400 '!$L$16)),0)+IF(AND(L1221="Cafco 400",M1221="Software Idiem",C1221="L"),((('CAFCO 400 '!$L$7*(J1221^3)+'CAFCO 400 '!$L$8*(J1221^2)+'CAFCO 400 '!$L$9*J1221+'CAFCO 400 '!$L$10)*U1221^2)+(('CAFCO 400 '!$L$11*(J1221^3)+'CAFCO 400 '!$L$12*(J1221^2)+'CAFCO 400 '!$L$13*J1221+'CAFCO 400 '!$L$14)*U1221)+('CAFCO 400 '!$L$15*LN(J1221)+'CAFCO 400 '!$L$16)),0)+IF(AND(L1221="Cafco 400",M1221="Software Idiem",C1221="IN",G1221=3),((('CAFCO 400 '!$D$23*(J1221^2)+'CAFCO 400 '!$D$24*(J1221)+'CAFCO 400 '!$D$25)*U1221^2)+(('CAFCO 400 '!$D$26*(J1221^2)+'CAFCO 400 '!$D$27*J1221+'CAFCO 400 '!$D$28)*U1221)+('CAFCO 400 '!$D$29*(J1221^2)+'CAFCO 400 '!$D$30*J1221+'CAFCO 400 '!$D$31)),0),0)+IF(AND(L1221="Cafco 300",J1221&gt;=95,J1221&lt;=240,C1221="Cj",I1221=90),VLOOKUP(T1221,'CAFCO 300 IDIEM TABLAS'!$B$4:$D$23,2,FALSE),0)+IF(AND(L1221="Cafco 300",J1221&gt;=95,J1221&lt;=240,C1221="Cj",I1221=120),VLOOKUP(T1221,'CAFCO 300 IDIEM TABLAS'!$B$4:$D$23,3,FALSE),0)+IF(AND(L1221="Cafco 300",J1221&gt;=95,J1221&lt;=400,G1221=3,C1221="IN",I1221=90),VLOOKUP(T1221,'CAFCO 300 IDIEM TABLAS'!$F$4:$H$35,2,FALSE),0)+IF(AND(L1221="Cafco 300",J1221&gt;=95,J1221&lt;=400,G1221=3,C1221="IN",I1221=120),VLOOKUP(T1221,'CAFCO 300 IDIEM TABLAS'!$F$4:$H$35,3,FALSE),0)+IF(AND(L1221="Cafco 300",J1221&gt;=95,J1221&lt;=450,G1221=4,C1221="IN",I1221=90),VLOOKUP(T1221,'CAFCO 300 IDIEM TABLAS'!$J$4:$L$40,2,FALSE),0)+IF(AND(L1221="Cafco 300",J1221&gt;=95,J1221&lt;=450,G1221=4,C1221="IN",I1221=120),VLOOKUP(T1221,'CAFCO 300 IDIEM TABLAS'!$J$4:$L$40,3,FALSE),0)+IF(AND(M1221="Ensayo Idiem",L1221="Cafco 400",C1221="IN",G1221=4,I1221=90),VLOOKUP(T1221,'CAFCO 400 ENSAYO'!$B$7:$D$43,2,FALSE),0)+IF(AND(M1221="Ensayo Idiem",L1221="Cafco 400",C1221="IN",G1221=4,I1221=120),VLOOKUP(T1221,'CAFCO 400 ENSAYO'!$B$7:$D$43,3,FALSE),0)</f>
        <v>0</v>
      </c>
      <c r="O1221" s="96">
        <f t="shared" si="120"/>
        <v>0</v>
      </c>
      <c r="P1221" s="132" t="str">
        <f t="shared" si="121"/>
        <v>N/A</v>
      </c>
      <c r="Q1221" s="132" t="str">
        <f t="shared" si="122"/>
        <v>N/A</v>
      </c>
      <c r="R1221" s="132" t="str">
        <f t="shared" si="123"/>
        <v>NO CERT.</v>
      </c>
      <c r="S1221" s="132" t="e">
        <f t="shared" si="124"/>
        <v>#N/A</v>
      </c>
      <c r="T1221" s="133" t="e">
        <f>+IF(J1221=LOOKUP(J1221,'CAFCO 300 IDIEM TABLAS'!$J$4:$J$40),'CALCULO MORTERO'!J1221,MROUND('CALCULO MORTERO'!J1221,10))</f>
        <v>#N/A</v>
      </c>
      <c r="U1221" s="134">
        <f t="shared" si="125"/>
        <v>0</v>
      </c>
    </row>
    <row r="1222" spans="1:21" x14ac:dyDescent="0.25">
      <c r="A1222" s="118">
        <f>+CUBICACION!D1216</f>
        <v>0</v>
      </c>
      <c r="B1222" s="819">
        <f>+CUBICACION!E1216</f>
        <v>0</v>
      </c>
      <c r="C1222" s="675">
        <f>+CUBICACION!F1216</f>
        <v>0</v>
      </c>
      <c r="D1222" s="118"/>
      <c r="E1222" s="118"/>
      <c r="F1222" s="820"/>
      <c r="G1222" s="675">
        <f>+CUBICACION!J1216</f>
        <v>0</v>
      </c>
      <c r="H1222" s="118"/>
      <c r="I1222" s="821">
        <f>+CUBICACION!L1216</f>
        <v>0</v>
      </c>
      <c r="J1222" s="64">
        <f>+CUBICACION!M1216</f>
        <v>0</v>
      </c>
      <c r="K1222" s="822" t="str">
        <f>+CUBICACION!N1216</f>
        <v/>
      </c>
      <c r="L1222" s="118">
        <f>+CUBICACION!O1216</f>
        <v>0</v>
      </c>
      <c r="M1222" s="823">
        <f>+CUBICACION!P1216</f>
        <v>0</v>
      </c>
      <c r="N1222" s="902">
        <f>ROUND(IF(AND(L1222="Blaze Shield II",M1222="Software Idiem",C1222="IN",G1222=4),((('BLAZE SHIELD II'!$D$4*('CALCULO MORTERO'!I1222^2)+'BLAZE SHIELD II'!$D$5*'CALCULO MORTERO'!I1222+'BLAZE SHIELD II'!$D$6)*LN(J1222))+('BLAZE SHIELD II'!$D$7*('CALCULO MORTERO'!I1222^2)+'BLAZE SHIELD II'!$D$8*'CALCULO MORTERO'!I1222+'BLAZE SHIELD II'!$D$9)),0)+IF(AND(L1222="Blaze Shield II",M1222="Software Idiem",C1222="Cj"),((('BLAZE SHIELD II'!$H$4*('CALCULO MORTERO'!I1222^2)+'BLAZE SHIELD II'!$H$5*'CALCULO MORTERO'!I1222+'BLAZE SHIELD II'!$H$6)*LN(J1222))+('BLAZE SHIELD II'!$H$7*('CALCULO MORTERO'!I1222^2)+'BLAZE SHIELD II'!$H$8*'CALCULO MORTERO'!I1222+'BLAZE SHIELD II'!$H$9)),0)+IF(AND(L1222="Blaze Shield II",M1222="Software Idiem",C1222="C"),((('BLAZE SHIELD II'!$L$4*('CALCULO MORTERO'!I1222^2)+'BLAZE SHIELD II'!$L$5*'CALCULO MORTERO'!I1222+'BLAZE SHIELD II'!$L$6)*LN(J1222))+('BLAZE SHIELD II'!$L$7*('CALCULO MORTERO'!I1222^2)+'BLAZE SHIELD II'!$L$8*'CALCULO MORTERO'!I1222+'BLAZE SHIELD II'!$L$9)),0)+IF(AND(L1222="Blaze Shield II",M1222="Software Idiem",C1222="L"),((('BLAZE SHIELD II'!$L$4*('CALCULO MORTERO'!I1222^2)+'BLAZE SHIELD II'!$L$5*'CALCULO MORTERO'!I1222+'BLAZE SHIELD II'!$L$6)*LN(J1222))+('BLAZE SHIELD II'!$L$7*('CALCULO MORTERO'!I1222^2)+'BLAZE SHIELD II'!$L$8*'CALCULO MORTERO'!I1222+'BLAZE SHIELD II'!$L$9)),0)+IF(AND(L1222="Blaze Shield II",M1222="Software Idiem",C1222="IN",G1222=3),((('BLAZE SHIELD II'!$H$14*('CALCULO MORTERO'!I1222^2)+'BLAZE SHIELD II'!$H$15*'CALCULO MORTERO'!I1222+'BLAZE SHIELD II'!$H$16)*LN(J1222))+('BLAZE SHIELD II'!$H$17*('CALCULO MORTERO'!I1222^2)+'BLAZE SHIELD II'!$H$18*'CALCULO MORTERO'!I1222+'BLAZE SHIELD II'!$H$19)),0),0)+ROUND(IF(AND(L1222="Cafco 400",M1222="Software Idiem",C1222="IN",G1222=4),((('CAFCO 400 '!$H$7*(J1222^4)+'CAFCO 400 '!$H$8*(J1222^3)+'CAFCO 400 '!$H$9*(J1222^2)+'CAFCO 400 '!$H$10*J1222+'CAFCO 400 '!$H$11)*U1222^2)+(('CAFCO 400 '!$H$12*(J1222^3)+'CAFCO 400 '!$H$13*(J1222^2)+'CAFCO 400 '!$H$14*J1222+'CAFCO 400 '!$H$15)*U1222)+('CAFCO 400 '!$H$16*(J1222^2)+'CAFCO 400 '!$H$17*J1222+'CAFCO 400 '!$H$18)),0)+IF(AND(L1222="Cafco 400",M1222="Software Idiem",C1222="Cj"),(((('CAFCO 400 '!$D$7*LN(J1222)+'CAFCO 400 '!$D$8)*U1222^2)+(('CAFCO 400 '!$D$9*LN(J1222)+'CAFCO 400 '!$D$10)*U1222)+('CAFCO 400 '!$D$11*LN(J1222)+'CAFCO 400 '!$D$12))),0)+IF(AND(L1222="Cafco 400",M1222="Software Idiem",C1222="C"),((('CAFCO 400 '!$L$7*(J1222^3)+'CAFCO 400 '!$L$8*(J1222^2)+'CAFCO 400 '!$L$9*J1222+'CAFCO 400 '!$L$10)*U1222^2)+(('CAFCO 400 '!$L$11*(J1222^3)+'CAFCO 400 '!$L$12*(J1222^2)+'CAFCO 400 '!$L$13*J1222+'CAFCO 400 '!$L$14)*U1222)+('CAFCO 400 '!$L$15*LN(J1222)+'CAFCO 400 '!$L$16)),0)+IF(AND(L1222="Cafco 400",M1222="Software Idiem",C1222="L"),((('CAFCO 400 '!$L$7*(J1222^3)+'CAFCO 400 '!$L$8*(J1222^2)+'CAFCO 400 '!$L$9*J1222+'CAFCO 400 '!$L$10)*U1222^2)+(('CAFCO 400 '!$L$11*(J1222^3)+'CAFCO 400 '!$L$12*(J1222^2)+'CAFCO 400 '!$L$13*J1222+'CAFCO 400 '!$L$14)*U1222)+('CAFCO 400 '!$L$15*LN(J1222)+'CAFCO 400 '!$L$16)),0)+IF(AND(L1222="Cafco 400",M1222="Software Idiem",C1222="IN",G1222=3),((('CAFCO 400 '!$D$23*(J1222^2)+'CAFCO 400 '!$D$24*(J1222)+'CAFCO 400 '!$D$25)*U1222^2)+(('CAFCO 400 '!$D$26*(J1222^2)+'CAFCO 400 '!$D$27*J1222+'CAFCO 400 '!$D$28)*U1222)+('CAFCO 400 '!$D$29*(J1222^2)+'CAFCO 400 '!$D$30*J1222+'CAFCO 400 '!$D$31)),0),0)+IF(AND(L1222="Cafco 300",J1222&gt;=95,J1222&lt;=240,C1222="Cj",I1222=90),VLOOKUP(T1222,'CAFCO 300 IDIEM TABLAS'!$B$4:$D$23,2,FALSE),0)+IF(AND(L1222="Cafco 300",J1222&gt;=95,J1222&lt;=240,C1222="Cj",I1222=120),VLOOKUP(T1222,'CAFCO 300 IDIEM TABLAS'!$B$4:$D$23,3,FALSE),0)+IF(AND(L1222="Cafco 300",J1222&gt;=95,J1222&lt;=400,G1222=3,C1222="IN",I1222=90),VLOOKUP(T1222,'CAFCO 300 IDIEM TABLAS'!$F$4:$H$35,2,FALSE),0)+IF(AND(L1222="Cafco 300",J1222&gt;=95,J1222&lt;=400,G1222=3,C1222="IN",I1222=120),VLOOKUP(T1222,'CAFCO 300 IDIEM TABLAS'!$F$4:$H$35,3,FALSE),0)+IF(AND(L1222="Cafco 300",J1222&gt;=95,J1222&lt;=450,G1222=4,C1222="IN",I1222=90),VLOOKUP(T1222,'CAFCO 300 IDIEM TABLAS'!$J$4:$L$40,2,FALSE),0)+IF(AND(L1222="Cafco 300",J1222&gt;=95,J1222&lt;=450,G1222=4,C1222="IN",I1222=120),VLOOKUP(T1222,'CAFCO 300 IDIEM TABLAS'!$J$4:$L$40,3,FALSE),0)+IF(AND(M1222="Ensayo Idiem",L1222="Cafco 400",C1222="IN",G1222=4,I1222=90),VLOOKUP(T1222,'CAFCO 400 ENSAYO'!$B$7:$D$43,2,FALSE),0)+IF(AND(M1222="Ensayo Idiem",L1222="Cafco 400",C1222="IN",G1222=4,I1222=120),VLOOKUP(T1222,'CAFCO 400 ENSAYO'!$B$7:$D$43,3,FALSE),0)</f>
        <v>0</v>
      </c>
      <c r="O1222" s="96">
        <f t="shared" si="120"/>
        <v>0</v>
      </c>
      <c r="P1222" s="95" t="str">
        <f t="shared" si="121"/>
        <v>N/A</v>
      </c>
      <c r="Q1222" s="95" t="str">
        <f t="shared" si="122"/>
        <v>N/A</v>
      </c>
      <c r="R1222" s="95" t="str">
        <f t="shared" si="123"/>
        <v>NO CERT.</v>
      </c>
      <c r="S1222" s="95" t="e">
        <f t="shared" si="124"/>
        <v>#N/A</v>
      </c>
      <c r="T1222" s="119" t="e">
        <f>+IF(J1222=LOOKUP(J1222,'CAFCO 300 IDIEM TABLAS'!$J$4:$J$40),'CALCULO MORTERO'!J1222,MROUND('CALCULO MORTERO'!J1222,10))</f>
        <v>#N/A</v>
      </c>
      <c r="U1222" s="118">
        <f t="shared" si="125"/>
        <v>0</v>
      </c>
    </row>
    <row r="1223" spans="1:21" x14ac:dyDescent="0.25">
      <c r="A1223" s="118">
        <f>+CUBICACION!D1217</f>
        <v>0</v>
      </c>
      <c r="B1223" s="819">
        <f>+CUBICACION!E1217</f>
        <v>0</v>
      </c>
      <c r="C1223" s="675">
        <f>+CUBICACION!F1217</f>
        <v>0</v>
      </c>
      <c r="D1223" s="118"/>
      <c r="E1223" s="118"/>
      <c r="F1223" s="820"/>
      <c r="G1223" s="675">
        <f>+CUBICACION!J1217</f>
        <v>0</v>
      </c>
      <c r="H1223" s="118"/>
      <c r="I1223" s="821">
        <f>+CUBICACION!L1217</f>
        <v>0</v>
      </c>
      <c r="J1223" s="64">
        <f>+CUBICACION!M1217</f>
        <v>0</v>
      </c>
      <c r="K1223" s="822" t="str">
        <f>+CUBICACION!N1217</f>
        <v/>
      </c>
      <c r="L1223" s="118">
        <f>+CUBICACION!O1217</f>
        <v>0</v>
      </c>
      <c r="M1223" s="823">
        <f>+CUBICACION!P1217</f>
        <v>0</v>
      </c>
      <c r="N1223" s="902">
        <f>ROUND(IF(AND(L1223="Blaze Shield II",M1223="Software Idiem",C1223="IN",G1223=4),((('BLAZE SHIELD II'!$D$4*('CALCULO MORTERO'!I1223^2)+'BLAZE SHIELD II'!$D$5*'CALCULO MORTERO'!I1223+'BLAZE SHIELD II'!$D$6)*LN(J1223))+('BLAZE SHIELD II'!$D$7*('CALCULO MORTERO'!I1223^2)+'BLAZE SHIELD II'!$D$8*'CALCULO MORTERO'!I1223+'BLAZE SHIELD II'!$D$9)),0)+IF(AND(L1223="Blaze Shield II",M1223="Software Idiem",C1223="Cj"),((('BLAZE SHIELD II'!$H$4*('CALCULO MORTERO'!I1223^2)+'BLAZE SHIELD II'!$H$5*'CALCULO MORTERO'!I1223+'BLAZE SHIELD II'!$H$6)*LN(J1223))+('BLAZE SHIELD II'!$H$7*('CALCULO MORTERO'!I1223^2)+'BLAZE SHIELD II'!$H$8*'CALCULO MORTERO'!I1223+'BLAZE SHIELD II'!$H$9)),0)+IF(AND(L1223="Blaze Shield II",M1223="Software Idiem",C1223="C"),((('BLAZE SHIELD II'!$L$4*('CALCULO MORTERO'!I1223^2)+'BLAZE SHIELD II'!$L$5*'CALCULO MORTERO'!I1223+'BLAZE SHIELD II'!$L$6)*LN(J1223))+('BLAZE SHIELD II'!$L$7*('CALCULO MORTERO'!I1223^2)+'BLAZE SHIELD II'!$L$8*'CALCULO MORTERO'!I1223+'BLAZE SHIELD II'!$L$9)),0)+IF(AND(L1223="Blaze Shield II",M1223="Software Idiem",C1223="L"),((('BLAZE SHIELD II'!$L$4*('CALCULO MORTERO'!I1223^2)+'BLAZE SHIELD II'!$L$5*'CALCULO MORTERO'!I1223+'BLAZE SHIELD II'!$L$6)*LN(J1223))+('BLAZE SHIELD II'!$L$7*('CALCULO MORTERO'!I1223^2)+'BLAZE SHIELD II'!$L$8*'CALCULO MORTERO'!I1223+'BLAZE SHIELD II'!$L$9)),0)+IF(AND(L1223="Blaze Shield II",M1223="Software Idiem",C1223="IN",G1223=3),((('BLAZE SHIELD II'!$H$14*('CALCULO MORTERO'!I1223^2)+'BLAZE SHIELD II'!$H$15*'CALCULO MORTERO'!I1223+'BLAZE SHIELD II'!$H$16)*LN(J1223))+('BLAZE SHIELD II'!$H$17*('CALCULO MORTERO'!I1223^2)+'BLAZE SHIELD II'!$H$18*'CALCULO MORTERO'!I1223+'BLAZE SHIELD II'!$H$19)),0),0)+ROUND(IF(AND(L1223="Cafco 400",M1223="Software Idiem",C1223="IN",G1223=4),((('CAFCO 400 '!$H$7*(J1223^4)+'CAFCO 400 '!$H$8*(J1223^3)+'CAFCO 400 '!$H$9*(J1223^2)+'CAFCO 400 '!$H$10*J1223+'CAFCO 400 '!$H$11)*U1223^2)+(('CAFCO 400 '!$H$12*(J1223^3)+'CAFCO 400 '!$H$13*(J1223^2)+'CAFCO 400 '!$H$14*J1223+'CAFCO 400 '!$H$15)*U1223)+('CAFCO 400 '!$H$16*(J1223^2)+'CAFCO 400 '!$H$17*J1223+'CAFCO 400 '!$H$18)),0)+IF(AND(L1223="Cafco 400",M1223="Software Idiem",C1223="Cj"),(((('CAFCO 400 '!$D$7*LN(J1223)+'CAFCO 400 '!$D$8)*U1223^2)+(('CAFCO 400 '!$D$9*LN(J1223)+'CAFCO 400 '!$D$10)*U1223)+('CAFCO 400 '!$D$11*LN(J1223)+'CAFCO 400 '!$D$12))),0)+IF(AND(L1223="Cafco 400",M1223="Software Idiem",C1223="C"),((('CAFCO 400 '!$L$7*(J1223^3)+'CAFCO 400 '!$L$8*(J1223^2)+'CAFCO 400 '!$L$9*J1223+'CAFCO 400 '!$L$10)*U1223^2)+(('CAFCO 400 '!$L$11*(J1223^3)+'CAFCO 400 '!$L$12*(J1223^2)+'CAFCO 400 '!$L$13*J1223+'CAFCO 400 '!$L$14)*U1223)+('CAFCO 400 '!$L$15*LN(J1223)+'CAFCO 400 '!$L$16)),0)+IF(AND(L1223="Cafco 400",M1223="Software Idiem",C1223="L"),((('CAFCO 400 '!$L$7*(J1223^3)+'CAFCO 400 '!$L$8*(J1223^2)+'CAFCO 400 '!$L$9*J1223+'CAFCO 400 '!$L$10)*U1223^2)+(('CAFCO 400 '!$L$11*(J1223^3)+'CAFCO 400 '!$L$12*(J1223^2)+'CAFCO 400 '!$L$13*J1223+'CAFCO 400 '!$L$14)*U1223)+('CAFCO 400 '!$L$15*LN(J1223)+'CAFCO 400 '!$L$16)),0)+IF(AND(L1223="Cafco 400",M1223="Software Idiem",C1223="IN",G1223=3),((('CAFCO 400 '!$D$23*(J1223^2)+'CAFCO 400 '!$D$24*(J1223)+'CAFCO 400 '!$D$25)*U1223^2)+(('CAFCO 400 '!$D$26*(J1223^2)+'CAFCO 400 '!$D$27*J1223+'CAFCO 400 '!$D$28)*U1223)+('CAFCO 400 '!$D$29*(J1223^2)+'CAFCO 400 '!$D$30*J1223+'CAFCO 400 '!$D$31)),0),0)+IF(AND(L1223="Cafco 300",J1223&gt;=95,J1223&lt;=240,C1223="Cj",I1223=90),VLOOKUP(T1223,'CAFCO 300 IDIEM TABLAS'!$B$4:$D$23,2,FALSE),0)+IF(AND(L1223="Cafco 300",J1223&gt;=95,J1223&lt;=240,C1223="Cj",I1223=120),VLOOKUP(T1223,'CAFCO 300 IDIEM TABLAS'!$B$4:$D$23,3,FALSE),0)+IF(AND(L1223="Cafco 300",J1223&gt;=95,J1223&lt;=400,G1223=3,C1223="IN",I1223=90),VLOOKUP(T1223,'CAFCO 300 IDIEM TABLAS'!$F$4:$H$35,2,FALSE),0)+IF(AND(L1223="Cafco 300",J1223&gt;=95,J1223&lt;=400,G1223=3,C1223="IN",I1223=120),VLOOKUP(T1223,'CAFCO 300 IDIEM TABLAS'!$F$4:$H$35,3,FALSE),0)+IF(AND(L1223="Cafco 300",J1223&gt;=95,J1223&lt;=450,G1223=4,C1223="IN",I1223=90),VLOOKUP(T1223,'CAFCO 300 IDIEM TABLAS'!$J$4:$L$40,2,FALSE),0)+IF(AND(L1223="Cafco 300",J1223&gt;=95,J1223&lt;=450,G1223=4,C1223="IN",I1223=120),VLOOKUP(T1223,'CAFCO 300 IDIEM TABLAS'!$J$4:$L$40,3,FALSE),0)+IF(AND(M1223="Ensayo Idiem",L1223="Cafco 400",C1223="IN",G1223=4,I1223=90),VLOOKUP(T1223,'CAFCO 400 ENSAYO'!$B$7:$D$43,2,FALSE),0)+IF(AND(M1223="Ensayo Idiem",L1223="Cafco 400",C1223="IN",G1223=4,I1223=120),VLOOKUP(T1223,'CAFCO 400 ENSAYO'!$B$7:$D$43,3,FALSE),0)</f>
        <v>0</v>
      </c>
      <c r="O1223" s="96">
        <f t="shared" si="120"/>
        <v>0</v>
      </c>
      <c r="P1223" s="132" t="str">
        <f t="shared" si="121"/>
        <v>N/A</v>
      </c>
      <c r="Q1223" s="132" t="str">
        <f t="shared" si="122"/>
        <v>N/A</v>
      </c>
      <c r="R1223" s="132" t="str">
        <f t="shared" si="123"/>
        <v>NO CERT.</v>
      </c>
      <c r="S1223" s="132" t="e">
        <f t="shared" si="124"/>
        <v>#N/A</v>
      </c>
      <c r="T1223" s="133" t="e">
        <f>+IF(J1223=LOOKUP(J1223,'CAFCO 300 IDIEM TABLAS'!$J$4:$J$40),'CALCULO MORTERO'!J1223,MROUND('CALCULO MORTERO'!J1223,10))</f>
        <v>#N/A</v>
      </c>
      <c r="U1223" s="134">
        <f t="shared" si="125"/>
        <v>0</v>
      </c>
    </row>
    <row r="1224" spans="1:21" x14ac:dyDescent="0.25">
      <c r="A1224" s="118">
        <f>+CUBICACION!D1218</f>
        <v>0</v>
      </c>
      <c r="B1224" s="819">
        <f>+CUBICACION!E1218</f>
        <v>0</v>
      </c>
      <c r="C1224" s="675">
        <f>+CUBICACION!F1218</f>
        <v>0</v>
      </c>
      <c r="D1224" s="118"/>
      <c r="E1224" s="118"/>
      <c r="F1224" s="820"/>
      <c r="G1224" s="675">
        <f>+CUBICACION!J1218</f>
        <v>0</v>
      </c>
      <c r="H1224" s="118"/>
      <c r="I1224" s="821">
        <f>+CUBICACION!L1218</f>
        <v>0</v>
      </c>
      <c r="J1224" s="64">
        <f>+CUBICACION!M1218</f>
        <v>0</v>
      </c>
      <c r="K1224" s="822" t="str">
        <f>+CUBICACION!N1218</f>
        <v/>
      </c>
      <c r="L1224" s="118">
        <f>+CUBICACION!O1218</f>
        <v>0</v>
      </c>
      <c r="M1224" s="823">
        <f>+CUBICACION!P1218</f>
        <v>0</v>
      </c>
      <c r="N1224" s="902">
        <f>ROUND(IF(AND(L1224="Blaze Shield II",M1224="Software Idiem",C1224="IN",G1224=4),((('BLAZE SHIELD II'!$D$4*('CALCULO MORTERO'!I1224^2)+'BLAZE SHIELD II'!$D$5*'CALCULO MORTERO'!I1224+'BLAZE SHIELD II'!$D$6)*LN(J1224))+('BLAZE SHIELD II'!$D$7*('CALCULO MORTERO'!I1224^2)+'BLAZE SHIELD II'!$D$8*'CALCULO MORTERO'!I1224+'BLAZE SHIELD II'!$D$9)),0)+IF(AND(L1224="Blaze Shield II",M1224="Software Idiem",C1224="Cj"),((('BLAZE SHIELD II'!$H$4*('CALCULO MORTERO'!I1224^2)+'BLAZE SHIELD II'!$H$5*'CALCULO MORTERO'!I1224+'BLAZE SHIELD II'!$H$6)*LN(J1224))+('BLAZE SHIELD II'!$H$7*('CALCULO MORTERO'!I1224^2)+'BLAZE SHIELD II'!$H$8*'CALCULO MORTERO'!I1224+'BLAZE SHIELD II'!$H$9)),0)+IF(AND(L1224="Blaze Shield II",M1224="Software Idiem",C1224="C"),((('BLAZE SHIELD II'!$L$4*('CALCULO MORTERO'!I1224^2)+'BLAZE SHIELD II'!$L$5*'CALCULO MORTERO'!I1224+'BLAZE SHIELD II'!$L$6)*LN(J1224))+('BLAZE SHIELD II'!$L$7*('CALCULO MORTERO'!I1224^2)+'BLAZE SHIELD II'!$L$8*'CALCULO MORTERO'!I1224+'BLAZE SHIELD II'!$L$9)),0)+IF(AND(L1224="Blaze Shield II",M1224="Software Idiem",C1224="L"),((('BLAZE SHIELD II'!$L$4*('CALCULO MORTERO'!I1224^2)+'BLAZE SHIELD II'!$L$5*'CALCULO MORTERO'!I1224+'BLAZE SHIELD II'!$L$6)*LN(J1224))+('BLAZE SHIELD II'!$L$7*('CALCULO MORTERO'!I1224^2)+'BLAZE SHIELD II'!$L$8*'CALCULO MORTERO'!I1224+'BLAZE SHIELD II'!$L$9)),0)+IF(AND(L1224="Blaze Shield II",M1224="Software Idiem",C1224="IN",G1224=3),((('BLAZE SHIELD II'!$H$14*('CALCULO MORTERO'!I1224^2)+'BLAZE SHIELD II'!$H$15*'CALCULO MORTERO'!I1224+'BLAZE SHIELD II'!$H$16)*LN(J1224))+('BLAZE SHIELD II'!$H$17*('CALCULO MORTERO'!I1224^2)+'BLAZE SHIELD II'!$H$18*'CALCULO MORTERO'!I1224+'BLAZE SHIELD II'!$H$19)),0),0)+ROUND(IF(AND(L1224="Cafco 400",M1224="Software Idiem",C1224="IN",G1224=4),((('CAFCO 400 '!$H$7*(J1224^4)+'CAFCO 400 '!$H$8*(J1224^3)+'CAFCO 400 '!$H$9*(J1224^2)+'CAFCO 400 '!$H$10*J1224+'CAFCO 400 '!$H$11)*U1224^2)+(('CAFCO 400 '!$H$12*(J1224^3)+'CAFCO 400 '!$H$13*(J1224^2)+'CAFCO 400 '!$H$14*J1224+'CAFCO 400 '!$H$15)*U1224)+('CAFCO 400 '!$H$16*(J1224^2)+'CAFCO 400 '!$H$17*J1224+'CAFCO 400 '!$H$18)),0)+IF(AND(L1224="Cafco 400",M1224="Software Idiem",C1224="Cj"),(((('CAFCO 400 '!$D$7*LN(J1224)+'CAFCO 400 '!$D$8)*U1224^2)+(('CAFCO 400 '!$D$9*LN(J1224)+'CAFCO 400 '!$D$10)*U1224)+('CAFCO 400 '!$D$11*LN(J1224)+'CAFCO 400 '!$D$12))),0)+IF(AND(L1224="Cafco 400",M1224="Software Idiem",C1224="C"),((('CAFCO 400 '!$L$7*(J1224^3)+'CAFCO 400 '!$L$8*(J1224^2)+'CAFCO 400 '!$L$9*J1224+'CAFCO 400 '!$L$10)*U1224^2)+(('CAFCO 400 '!$L$11*(J1224^3)+'CAFCO 400 '!$L$12*(J1224^2)+'CAFCO 400 '!$L$13*J1224+'CAFCO 400 '!$L$14)*U1224)+('CAFCO 400 '!$L$15*LN(J1224)+'CAFCO 400 '!$L$16)),0)+IF(AND(L1224="Cafco 400",M1224="Software Idiem",C1224="L"),((('CAFCO 400 '!$L$7*(J1224^3)+'CAFCO 400 '!$L$8*(J1224^2)+'CAFCO 400 '!$L$9*J1224+'CAFCO 400 '!$L$10)*U1224^2)+(('CAFCO 400 '!$L$11*(J1224^3)+'CAFCO 400 '!$L$12*(J1224^2)+'CAFCO 400 '!$L$13*J1224+'CAFCO 400 '!$L$14)*U1224)+('CAFCO 400 '!$L$15*LN(J1224)+'CAFCO 400 '!$L$16)),0)+IF(AND(L1224="Cafco 400",M1224="Software Idiem",C1224="IN",G1224=3),((('CAFCO 400 '!$D$23*(J1224^2)+'CAFCO 400 '!$D$24*(J1224)+'CAFCO 400 '!$D$25)*U1224^2)+(('CAFCO 400 '!$D$26*(J1224^2)+'CAFCO 400 '!$D$27*J1224+'CAFCO 400 '!$D$28)*U1224)+('CAFCO 400 '!$D$29*(J1224^2)+'CAFCO 400 '!$D$30*J1224+'CAFCO 400 '!$D$31)),0),0)+IF(AND(L1224="Cafco 300",J1224&gt;=95,J1224&lt;=240,C1224="Cj",I1224=90),VLOOKUP(T1224,'CAFCO 300 IDIEM TABLAS'!$B$4:$D$23,2,FALSE),0)+IF(AND(L1224="Cafco 300",J1224&gt;=95,J1224&lt;=240,C1224="Cj",I1224=120),VLOOKUP(T1224,'CAFCO 300 IDIEM TABLAS'!$B$4:$D$23,3,FALSE),0)+IF(AND(L1224="Cafco 300",J1224&gt;=95,J1224&lt;=400,G1224=3,C1224="IN",I1224=90),VLOOKUP(T1224,'CAFCO 300 IDIEM TABLAS'!$F$4:$H$35,2,FALSE),0)+IF(AND(L1224="Cafco 300",J1224&gt;=95,J1224&lt;=400,G1224=3,C1224="IN",I1224=120),VLOOKUP(T1224,'CAFCO 300 IDIEM TABLAS'!$F$4:$H$35,3,FALSE),0)+IF(AND(L1224="Cafco 300",J1224&gt;=95,J1224&lt;=450,G1224=4,C1224="IN",I1224=90),VLOOKUP(T1224,'CAFCO 300 IDIEM TABLAS'!$J$4:$L$40,2,FALSE),0)+IF(AND(L1224="Cafco 300",J1224&gt;=95,J1224&lt;=450,G1224=4,C1224="IN",I1224=120),VLOOKUP(T1224,'CAFCO 300 IDIEM TABLAS'!$J$4:$L$40,3,FALSE),0)+IF(AND(M1224="Ensayo Idiem",L1224="Cafco 400",C1224="IN",G1224=4,I1224=90),VLOOKUP(T1224,'CAFCO 400 ENSAYO'!$B$7:$D$43,2,FALSE),0)+IF(AND(M1224="Ensayo Idiem",L1224="Cafco 400",C1224="IN",G1224=4,I1224=120),VLOOKUP(T1224,'CAFCO 400 ENSAYO'!$B$7:$D$43,3,FALSE),0)</f>
        <v>0</v>
      </c>
      <c r="O1224" s="96">
        <f t="shared" si="120"/>
        <v>0</v>
      </c>
      <c r="P1224" s="95" t="str">
        <f t="shared" si="121"/>
        <v>N/A</v>
      </c>
      <c r="Q1224" s="95" t="str">
        <f t="shared" si="122"/>
        <v>N/A</v>
      </c>
      <c r="R1224" s="95" t="str">
        <f t="shared" si="123"/>
        <v>NO CERT.</v>
      </c>
      <c r="S1224" s="95" t="e">
        <f t="shared" si="124"/>
        <v>#N/A</v>
      </c>
      <c r="T1224" s="119" t="e">
        <f>+IF(J1224=LOOKUP(J1224,'CAFCO 300 IDIEM TABLAS'!$J$4:$J$40),'CALCULO MORTERO'!J1224,MROUND('CALCULO MORTERO'!J1224,10))</f>
        <v>#N/A</v>
      </c>
      <c r="U1224" s="118">
        <f t="shared" si="125"/>
        <v>0</v>
      </c>
    </row>
    <row r="1225" spans="1:21" x14ac:dyDescent="0.25">
      <c r="A1225" s="118">
        <f>+CUBICACION!D1219</f>
        <v>0</v>
      </c>
      <c r="B1225" s="819">
        <f>+CUBICACION!E1219</f>
        <v>0</v>
      </c>
      <c r="C1225" s="675">
        <f>+CUBICACION!F1219</f>
        <v>0</v>
      </c>
      <c r="D1225" s="118"/>
      <c r="E1225" s="118"/>
      <c r="F1225" s="820"/>
      <c r="G1225" s="675">
        <f>+CUBICACION!J1219</f>
        <v>0</v>
      </c>
      <c r="H1225" s="118"/>
      <c r="I1225" s="821">
        <f>+CUBICACION!L1219</f>
        <v>0</v>
      </c>
      <c r="J1225" s="64">
        <f>+CUBICACION!M1219</f>
        <v>0</v>
      </c>
      <c r="K1225" s="822" t="str">
        <f>+CUBICACION!N1219</f>
        <v/>
      </c>
      <c r="L1225" s="118">
        <f>+CUBICACION!O1219</f>
        <v>0</v>
      </c>
      <c r="M1225" s="823">
        <f>+CUBICACION!P1219</f>
        <v>0</v>
      </c>
      <c r="N1225" s="902">
        <f>ROUND(IF(AND(L1225="Blaze Shield II",M1225="Software Idiem",C1225="IN",G1225=4),((('BLAZE SHIELD II'!$D$4*('CALCULO MORTERO'!I1225^2)+'BLAZE SHIELD II'!$D$5*'CALCULO MORTERO'!I1225+'BLAZE SHIELD II'!$D$6)*LN(J1225))+('BLAZE SHIELD II'!$D$7*('CALCULO MORTERO'!I1225^2)+'BLAZE SHIELD II'!$D$8*'CALCULO MORTERO'!I1225+'BLAZE SHIELD II'!$D$9)),0)+IF(AND(L1225="Blaze Shield II",M1225="Software Idiem",C1225="Cj"),((('BLAZE SHIELD II'!$H$4*('CALCULO MORTERO'!I1225^2)+'BLAZE SHIELD II'!$H$5*'CALCULO MORTERO'!I1225+'BLAZE SHIELD II'!$H$6)*LN(J1225))+('BLAZE SHIELD II'!$H$7*('CALCULO MORTERO'!I1225^2)+'BLAZE SHIELD II'!$H$8*'CALCULO MORTERO'!I1225+'BLAZE SHIELD II'!$H$9)),0)+IF(AND(L1225="Blaze Shield II",M1225="Software Idiem",C1225="C"),((('BLAZE SHIELD II'!$L$4*('CALCULO MORTERO'!I1225^2)+'BLAZE SHIELD II'!$L$5*'CALCULO MORTERO'!I1225+'BLAZE SHIELD II'!$L$6)*LN(J1225))+('BLAZE SHIELD II'!$L$7*('CALCULO MORTERO'!I1225^2)+'BLAZE SHIELD II'!$L$8*'CALCULO MORTERO'!I1225+'BLAZE SHIELD II'!$L$9)),0)+IF(AND(L1225="Blaze Shield II",M1225="Software Idiem",C1225="L"),((('BLAZE SHIELD II'!$L$4*('CALCULO MORTERO'!I1225^2)+'BLAZE SHIELD II'!$L$5*'CALCULO MORTERO'!I1225+'BLAZE SHIELD II'!$L$6)*LN(J1225))+('BLAZE SHIELD II'!$L$7*('CALCULO MORTERO'!I1225^2)+'BLAZE SHIELD II'!$L$8*'CALCULO MORTERO'!I1225+'BLAZE SHIELD II'!$L$9)),0)+IF(AND(L1225="Blaze Shield II",M1225="Software Idiem",C1225="IN",G1225=3),((('BLAZE SHIELD II'!$H$14*('CALCULO MORTERO'!I1225^2)+'BLAZE SHIELD II'!$H$15*'CALCULO MORTERO'!I1225+'BLAZE SHIELD II'!$H$16)*LN(J1225))+('BLAZE SHIELD II'!$H$17*('CALCULO MORTERO'!I1225^2)+'BLAZE SHIELD II'!$H$18*'CALCULO MORTERO'!I1225+'BLAZE SHIELD II'!$H$19)),0),0)+ROUND(IF(AND(L1225="Cafco 400",M1225="Software Idiem",C1225="IN",G1225=4),((('CAFCO 400 '!$H$7*(J1225^4)+'CAFCO 400 '!$H$8*(J1225^3)+'CAFCO 400 '!$H$9*(J1225^2)+'CAFCO 400 '!$H$10*J1225+'CAFCO 400 '!$H$11)*U1225^2)+(('CAFCO 400 '!$H$12*(J1225^3)+'CAFCO 400 '!$H$13*(J1225^2)+'CAFCO 400 '!$H$14*J1225+'CAFCO 400 '!$H$15)*U1225)+('CAFCO 400 '!$H$16*(J1225^2)+'CAFCO 400 '!$H$17*J1225+'CAFCO 400 '!$H$18)),0)+IF(AND(L1225="Cafco 400",M1225="Software Idiem",C1225="Cj"),(((('CAFCO 400 '!$D$7*LN(J1225)+'CAFCO 400 '!$D$8)*U1225^2)+(('CAFCO 400 '!$D$9*LN(J1225)+'CAFCO 400 '!$D$10)*U1225)+('CAFCO 400 '!$D$11*LN(J1225)+'CAFCO 400 '!$D$12))),0)+IF(AND(L1225="Cafco 400",M1225="Software Idiem",C1225="C"),((('CAFCO 400 '!$L$7*(J1225^3)+'CAFCO 400 '!$L$8*(J1225^2)+'CAFCO 400 '!$L$9*J1225+'CAFCO 400 '!$L$10)*U1225^2)+(('CAFCO 400 '!$L$11*(J1225^3)+'CAFCO 400 '!$L$12*(J1225^2)+'CAFCO 400 '!$L$13*J1225+'CAFCO 400 '!$L$14)*U1225)+('CAFCO 400 '!$L$15*LN(J1225)+'CAFCO 400 '!$L$16)),0)+IF(AND(L1225="Cafco 400",M1225="Software Idiem",C1225="L"),((('CAFCO 400 '!$L$7*(J1225^3)+'CAFCO 400 '!$L$8*(J1225^2)+'CAFCO 400 '!$L$9*J1225+'CAFCO 400 '!$L$10)*U1225^2)+(('CAFCO 400 '!$L$11*(J1225^3)+'CAFCO 400 '!$L$12*(J1225^2)+'CAFCO 400 '!$L$13*J1225+'CAFCO 400 '!$L$14)*U1225)+('CAFCO 400 '!$L$15*LN(J1225)+'CAFCO 400 '!$L$16)),0)+IF(AND(L1225="Cafco 400",M1225="Software Idiem",C1225="IN",G1225=3),((('CAFCO 400 '!$D$23*(J1225^2)+'CAFCO 400 '!$D$24*(J1225)+'CAFCO 400 '!$D$25)*U1225^2)+(('CAFCO 400 '!$D$26*(J1225^2)+'CAFCO 400 '!$D$27*J1225+'CAFCO 400 '!$D$28)*U1225)+('CAFCO 400 '!$D$29*(J1225^2)+'CAFCO 400 '!$D$30*J1225+'CAFCO 400 '!$D$31)),0),0)+IF(AND(L1225="Cafco 300",J1225&gt;=95,J1225&lt;=240,C1225="Cj",I1225=90),VLOOKUP(T1225,'CAFCO 300 IDIEM TABLAS'!$B$4:$D$23,2,FALSE),0)+IF(AND(L1225="Cafco 300",J1225&gt;=95,J1225&lt;=240,C1225="Cj",I1225=120),VLOOKUP(T1225,'CAFCO 300 IDIEM TABLAS'!$B$4:$D$23,3,FALSE),0)+IF(AND(L1225="Cafco 300",J1225&gt;=95,J1225&lt;=400,G1225=3,C1225="IN",I1225=90),VLOOKUP(T1225,'CAFCO 300 IDIEM TABLAS'!$F$4:$H$35,2,FALSE),0)+IF(AND(L1225="Cafco 300",J1225&gt;=95,J1225&lt;=400,G1225=3,C1225="IN",I1225=120),VLOOKUP(T1225,'CAFCO 300 IDIEM TABLAS'!$F$4:$H$35,3,FALSE),0)+IF(AND(L1225="Cafco 300",J1225&gt;=95,J1225&lt;=450,G1225=4,C1225="IN",I1225=90),VLOOKUP(T1225,'CAFCO 300 IDIEM TABLAS'!$J$4:$L$40,2,FALSE),0)+IF(AND(L1225="Cafco 300",J1225&gt;=95,J1225&lt;=450,G1225=4,C1225="IN",I1225=120),VLOOKUP(T1225,'CAFCO 300 IDIEM TABLAS'!$J$4:$L$40,3,FALSE),0)+IF(AND(M1225="Ensayo Idiem",L1225="Cafco 400",C1225="IN",G1225=4,I1225=90),VLOOKUP(T1225,'CAFCO 400 ENSAYO'!$B$7:$D$43,2,FALSE),0)+IF(AND(M1225="Ensayo Idiem",L1225="Cafco 400",C1225="IN",G1225=4,I1225=120),VLOOKUP(T1225,'CAFCO 400 ENSAYO'!$B$7:$D$43,3,FALSE),0)</f>
        <v>0</v>
      </c>
      <c r="O1225" s="96">
        <f t="shared" si="120"/>
        <v>0</v>
      </c>
      <c r="P1225" s="132" t="str">
        <f t="shared" si="121"/>
        <v>N/A</v>
      </c>
      <c r="Q1225" s="132" t="str">
        <f t="shared" si="122"/>
        <v>N/A</v>
      </c>
      <c r="R1225" s="132" t="str">
        <f t="shared" si="123"/>
        <v>NO CERT.</v>
      </c>
      <c r="S1225" s="132" t="e">
        <f t="shared" si="124"/>
        <v>#N/A</v>
      </c>
      <c r="T1225" s="133" t="e">
        <f>+IF(J1225=LOOKUP(J1225,'CAFCO 300 IDIEM TABLAS'!$J$4:$J$40),'CALCULO MORTERO'!J1225,MROUND('CALCULO MORTERO'!J1225,10))</f>
        <v>#N/A</v>
      </c>
      <c r="U1225" s="134">
        <f t="shared" si="125"/>
        <v>0</v>
      </c>
    </row>
    <row r="1226" spans="1:21" x14ac:dyDescent="0.25">
      <c r="A1226" s="118">
        <f>+CUBICACION!D1220</f>
        <v>0</v>
      </c>
      <c r="B1226" s="819">
        <f>+CUBICACION!E1220</f>
        <v>0</v>
      </c>
      <c r="C1226" s="675">
        <f>+CUBICACION!F1220</f>
        <v>0</v>
      </c>
      <c r="D1226" s="118"/>
      <c r="E1226" s="118"/>
      <c r="F1226" s="820"/>
      <c r="G1226" s="675">
        <f>+CUBICACION!J1220</f>
        <v>0</v>
      </c>
      <c r="H1226" s="118"/>
      <c r="I1226" s="821">
        <f>+CUBICACION!L1220</f>
        <v>0</v>
      </c>
      <c r="J1226" s="64">
        <f>+CUBICACION!M1220</f>
        <v>0</v>
      </c>
      <c r="K1226" s="822" t="str">
        <f>+CUBICACION!N1220</f>
        <v/>
      </c>
      <c r="L1226" s="118">
        <f>+CUBICACION!O1220</f>
        <v>0</v>
      </c>
      <c r="M1226" s="823">
        <f>+CUBICACION!P1220</f>
        <v>0</v>
      </c>
      <c r="N1226" s="902">
        <f>ROUND(IF(AND(L1226="Blaze Shield II",M1226="Software Idiem",C1226="IN",G1226=4),((('BLAZE SHIELD II'!$D$4*('CALCULO MORTERO'!I1226^2)+'BLAZE SHIELD II'!$D$5*'CALCULO MORTERO'!I1226+'BLAZE SHIELD II'!$D$6)*LN(J1226))+('BLAZE SHIELD II'!$D$7*('CALCULO MORTERO'!I1226^2)+'BLAZE SHIELD II'!$D$8*'CALCULO MORTERO'!I1226+'BLAZE SHIELD II'!$D$9)),0)+IF(AND(L1226="Blaze Shield II",M1226="Software Idiem",C1226="Cj"),((('BLAZE SHIELD II'!$H$4*('CALCULO MORTERO'!I1226^2)+'BLAZE SHIELD II'!$H$5*'CALCULO MORTERO'!I1226+'BLAZE SHIELD II'!$H$6)*LN(J1226))+('BLAZE SHIELD II'!$H$7*('CALCULO MORTERO'!I1226^2)+'BLAZE SHIELD II'!$H$8*'CALCULO MORTERO'!I1226+'BLAZE SHIELD II'!$H$9)),0)+IF(AND(L1226="Blaze Shield II",M1226="Software Idiem",C1226="C"),((('BLAZE SHIELD II'!$L$4*('CALCULO MORTERO'!I1226^2)+'BLAZE SHIELD II'!$L$5*'CALCULO MORTERO'!I1226+'BLAZE SHIELD II'!$L$6)*LN(J1226))+('BLAZE SHIELD II'!$L$7*('CALCULO MORTERO'!I1226^2)+'BLAZE SHIELD II'!$L$8*'CALCULO MORTERO'!I1226+'BLAZE SHIELD II'!$L$9)),0)+IF(AND(L1226="Blaze Shield II",M1226="Software Idiem",C1226="L"),((('BLAZE SHIELD II'!$L$4*('CALCULO MORTERO'!I1226^2)+'BLAZE SHIELD II'!$L$5*'CALCULO MORTERO'!I1226+'BLAZE SHIELD II'!$L$6)*LN(J1226))+('BLAZE SHIELD II'!$L$7*('CALCULO MORTERO'!I1226^2)+'BLAZE SHIELD II'!$L$8*'CALCULO MORTERO'!I1226+'BLAZE SHIELD II'!$L$9)),0)+IF(AND(L1226="Blaze Shield II",M1226="Software Idiem",C1226="IN",G1226=3),((('BLAZE SHIELD II'!$H$14*('CALCULO MORTERO'!I1226^2)+'BLAZE SHIELD II'!$H$15*'CALCULO MORTERO'!I1226+'BLAZE SHIELD II'!$H$16)*LN(J1226))+('BLAZE SHIELD II'!$H$17*('CALCULO MORTERO'!I1226^2)+'BLAZE SHIELD II'!$H$18*'CALCULO MORTERO'!I1226+'BLAZE SHIELD II'!$H$19)),0),0)+ROUND(IF(AND(L1226="Cafco 400",M1226="Software Idiem",C1226="IN",G1226=4),((('CAFCO 400 '!$H$7*(J1226^4)+'CAFCO 400 '!$H$8*(J1226^3)+'CAFCO 400 '!$H$9*(J1226^2)+'CAFCO 400 '!$H$10*J1226+'CAFCO 400 '!$H$11)*U1226^2)+(('CAFCO 400 '!$H$12*(J1226^3)+'CAFCO 400 '!$H$13*(J1226^2)+'CAFCO 400 '!$H$14*J1226+'CAFCO 400 '!$H$15)*U1226)+('CAFCO 400 '!$H$16*(J1226^2)+'CAFCO 400 '!$H$17*J1226+'CAFCO 400 '!$H$18)),0)+IF(AND(L1226="Cafco 400",M1226="Software Idiem",C1226="Cj"),(((('CAFCO 400 '!$D$7*LN(J1226)+'CAFCO 400 '!$D$8)*U1226^2)+(('CAFCO 400 '!$D$9*LN(J1226)+'CAFCO 400 '!$D$10)*U1226)+('CAFCO 400 '!$D$11*LN(J1226)+'CAFCO 400 '!$D$12))),0)+IF(AND(L1226="Cafco 400",M1226="Software Idiem",C1226="C"),((('CAFCO 400 '!$L$7*(J1226^3)+'CAFCO 400 '!$L$8*(J1226^2)+'CAFCO 400 '!$L$9*J1226+'CAFCO 400 '!$L$10)*U1226^2)+(('CAFCO 400 '!$L$11*(J1226^3)+'CAFCO 400 '!$L$12*(J1226^2)+'CAFCO 400 '!$L$13*J1226+'CAFCO 400 '!$L$14)*U1226)+('CAFCO 400 '!$L$15*LN(J1226)+'CAFCO 400 '!$L$16)),0)+IF(AND(L1226="Cafco 400",M1226="Software Idiem",C1226="L"),((('CAFCO 400 '!$L$7*(J1226^3)+'CAFCO 400 '!$L$8*(J1226^2)+'CAFCO 400 '!$L$9*J1226+'CAFCO 400 '!$L$10)*U1226^2)+(('CAFCO 400 '!$L$11*(J1226^3)+'CAFCO 400 '!$L$12*(J1226^2)+'CAFCO 400 '!$L$13*J1226+'CAFCO 400 '!$L$14)*U1226)+('CAFCO 400 '!$L$15*LN(J1226)+'CAFCO 400 '!$L$16)),0)+IF(AND(L1226="Cafco 400",M1226="Software Idiem",C1226="IN",G1226=3),((('CAFCO 400 '!$D$23*(J1226^2)+'CAFCO 400 '!$D$24*(J1226)+'CAFCO 400 '!$D$25)*U1226^2)+(('CAFCO 400 '!$D$26*(J1226^2)+'CAFCO 400 '!$D$27*J1226+'CAFCO 400 '!$D$28)*U1226)+('CAFCO 400 '!$D$29*(J1226^2)+'CAFCO 400 '!$D$30*J1226+'CAFCO 400 '!$D$31)),0),0)+IF(AND(L1226="Cafco 300",J1226&gt;=95,J1226&lt;=240,C1226="Cj",I1226=90),VLOOKUP(T1226,'CAFCO 300 IDIEM TABLAS'!$B$4:$D$23,2,FALSE),0)+IF(AND(L1226="Cafco 300",J1226&gt;=95,J1226&lt;=240,C1226="Cj",I1226=120),VLOOKUP(T1226,'CAFCO 300 IDIEM TABLAS'!$B$4:$D$23,3,FALSE),0)+IF(AND(L1226="Cafco 300",J1226&gt;=95,J1226&lt;=400,G1226=3,C1226="IN",I1226=90),VLOOKUP(T1226,'CAFCO 300 IDIEM TABLAS'!$F$4:$H$35,2,FALSE),0)+IF(AND(L1226="Cafco 300",J1226&gt;=95,J1226&lt;=400,G1226=3,C1226="IN",I1226=120),VLOOKUP(T1226,'CAFCO 300 IDIEM TABLAS'!$F$4:$H$35,3,FALSE),0)+IF(AND(L1226="Cafco 300",J1226&gt;=95,J1226&lt;=450,G1226=4,C1226="IN",I1226=90),VLOOKUP(T1226,'CAFCO 300 IDIEM TABLAS'!$J$4:$L$40,2,FALSE),0)+IF(AND(L1226="Cafco 300",J1226&gt;=95,J1226&lt;=450,G1226=4,C1226="IN",I1226=120),VLOOKUP(T1226,'CAFCO 300 IDIEM TABLAS'!$J$4:$L$40,3,FALSE),0)+IF(AND(M1226="Ensayo Idiem",L1226="Cafco 400",C1226="IN",G1226=4,I1226=90),VLOOKUP(T1226,'CAFCO 400 ENSAYO'!$B$7:$D$43,2,FALSE),0)+IF(AND(M1226="Ensayo Idiem",L1226="Cafco 400",C1226="IN",G1226=4,I1226=120),VLOOKUP(T1226,'CAFCO 400 ENSAYO'!$B$7:$D$43,3,FALSE),0)</f>
        <v>0</v>
      </c>
      <c r="O1226" s="96">
        <f t="shared" si="120"/>
        <v>0</v>
      </c>
      <c r="P1226" s="95" t="str">
        <f t="shared" si="121"/>
        <v>N/A</v>
      </c>
      <c r="Q1226" s="95" t="str">
        <f t="shared" si="122"/>
        <v>N/A</v>
      </c>
      <c r="R1226" s="95" t="str">
        <f t="shared" si="123"/>
        <v>NO CERT.</v>
      </c>
      <c r="S1226" s="95" t="e">
        <f t="shared" si="124"/>
        <v>#N/A</v>
      </c>
      <c r="T1226" s="119" t="e">
        <f>+IF(J1226=LOOKUP(J1226,'CAFCO 300 IDIEM TABLAS'!$J$4:$J$40),'CALCULO MORTERO'!J1226,MROUND('CALCULO MORTERO'!J1226,10))</f>
        <v>#N/A</v>
      </c>
      <c r="U1226" s="118">
        <f t="shared" si="125"/>
        <v>0</v>
      </c>
    </row>
    <row r="1227" spans="1:21" x14ac:dyDescent="0.25">
      <c r="A1227" s="118">
        <f>+CUBICACION!D1221</f>
        <v>0</v>
      </c>
      <c r="B1227" s="819">
        <f>+CUBICACION!E1221</f>
        <v>0</v>
      </c>
      <c r="C1227" s="675">
        <f>+CUBICACION!F1221</f>
        <v>0</v>
      </c>
      <c r="D1227" s="118"/>
      <c r="E1227" s="118"/>
      <c r="F1227" s="820"/>
      <c r="G1227" s="675">
        <f>+CUBICACION!J1221</f>
        <v>0</v>
      </c>
      <c r="H1227" s="118"/>
      <c r="I1227" s="821">
        <f>+CUBICACION!L1221</f>
        <v>0</v>
      </c>
      <c r="J1227" s="64">
        <f>+CUBICACION!M1221</f>
        <v>0</v>
      </c>
      <c r="K1227" s="822" t="str">
        <f>+CUBICACION!N1221</f>
        <v/>
      </c>
      <c r="L1227" s="118">
        <f>+CUBICACION!O1221</f>
        <v>0</v>
      </c>
      <c r="M1227" s="823">
        <f>+CUBICACION!P1221</f>
        <v>0</v>
      </c>
      <c r="N1227" s="902">
        <f>ROUND(IF(AND(L1227="Blaze Shield II",M1227="Software Idiem",C1227="IN",G1227=4),((('BLAZE SHIELD II'!$D$4*('CALCULO MORTERO'!I1227^2)+'BLAZE SHIELD II'!$D$5*'CALCULO MORTERO'!I1227+'BLAZE SHIELD II'!$D$6)*LN(J1227))+('BLAZE SHIELD II'!$D$7*('CALCULO MORTERO'!I1227^2)+'BLAZE SHIELD II'!$D$8*'CALCULO MORTERO'!I1227+'BLAZE SHIELD II'!$D$9)),0)+IF(AND(L1227="Blaze Shield II",M1227="Software Idiem",C1227="Cj"),((('BLAZE SHIELD II'!$H$4*('CALCULO MORTERO'!I1227^2)+'BLAZE SHIELD II'!$H$5*'CALCULO MORTERO'!I1227+'BLAZE SHIELD II'!$H$6)*LN(J1227))+('BLAZE SHIELD II'!$H$7*('CALCULO MORTERO'!I1227^2)+'BLAZE SHIELD II'!$H$8*'CALCULO MORTERO'!I1227+'BLAZE SHIELD II'!$H$9)),0)+IF(AND(L1227="Blaze Shield II",M1227="Software Idiem",C1227="C"),((('BLAZE SHIELD II'!$L$4*('CALCULO MORTERO'!I1227^2)+'BLAZE SHIELD II'!$L$5*'CALCULO MORTERO'!I1227+'BLAZE SHIELD II'!$L$6)*LN(J1227))+('BLAZE SHIELD II'!$L$7*('CALCULO MORTERO'!I1227^2)+'BLAZE SHIELD II'!$L$8*'CALCULO MORTERO'!I1227+'BLAZE SHIELD II'!$L$9)),0)+IF(AND(L1227="Blaze Shield II",M1227="Software Idiem",C1227="L"),((('BLAZE SHIELD II'!$L$4*('CALCULO MORTERO'!I1227^2)+'BLAZE SHIELD II'!$L$5*'CALCULO MORTERO'!I1227+'BLAZE SHIELD II'!$L$6)*LN(J1227))+('BLAZE SHIELD II'!$L$7*('CALCULO MORTERO'!I1227^2)+'BLAZE SHIELD II'!$L$8*'CALCULO MORTERO'!I1227+'BLAZE SHIELD II'!$L$9)),0)+IF(AND(L1227="Blaze Shield II",M1227="Software Idiem",C1227="IN",G1227=3),((('BLAZE SHIELD II'!$H$14*('CALCULO MORTERO'!I1227^2)+'BLAZE SHIELD II'!$H$15*'CALCULO MORTERO'!I1227+'BLAZE SHIELD II'!$H$16)*LN(J1227))+('BLAZE SHIELD II'!$H$17*('CALCULO MORTERO'!I1227^2)+'BLAZE SHIELD II'!$H$18*'CALCULO MORTERO'!I1227+'BLAZE SHIELD II'!$H$19)),0),0)+ROUND(IF(AND(L1227="Cafco 400",M1227="Software Idiem",C1227="IN",G1227=4),((('CAFCO 400 '!$H$7*(J1227^4)+'CAFCO 400 '!$H$8*(J1227^3)+'CAFCO 400 '!$H$9*(J1227^2)+'CAFCO 400 '!$H$10*J1227+'CAFCO 400 '!$H$11)*U1227^2)+(('CAFCO 400 '!$H$12*(J1227^3)+'CAFCO 400 '!$H$13*(J1227^2)+'CAFCO 400 '!$H$14*J1227+'CAFCO 400 '!$H$15)*U1227)+('CAFCO 400 '!$H$16*(J1227^2)+'CAFCO 400 '!$H$17*J1227+'CAFCO 400 '!$H$18)),0)+IF(AND(L1227="Cafco 400",M1227="Software Idiem",C1227="Cj"),(((('CAFCO 400 '!$D$7*LN(J1227)+'CAFCO 400 '!$D$8)*U1227^2)+(('CAFCO 400 '!$D$9*LN(J1227)+'CAFCO 400 '!$D$10)*U1227)+('CAFCO 400 '!$D$11*LN(J1227)+'CAFCO 400 '!$D$12))),0)+IF(AND(L1227="Cafco 400",M1227="Software Idiem",C1227="C"),((('CAFCO 400 '!$L$7*(J1227^3)+'CAFCO 400 '!$L$8*(J1227^2)+'CAFCO 400 '!$L$9*J1227+'CAFCO 400 '!$L$10)*U1227^2)+(('CAFCO 400 '!$L$11*(J1227^3)+'CAFCO 400 '!$L$12*(J1227^2)+'CAFCO 400 '!$L$13*J1227+'CAFCO 400 '!$L$14)*U1227)+('CAFCO 400 '!$L$15*LN(J1227)+'CAFCO 400 '!$L$16)),0)+IF(AND(L1227="Cafco 400",M1227="Software Idiem",C1227="L"),((('CAFCO 400 '!$L$7*(J1227^3)+'CAFCO 400 '!$L$8*(J1227^2)+'CAFCO 400 '!$L$9*J1227+'CAFCO 400 '!$L$10)*U1227^2)+(('CAFCO 400 '!$L$11*(J1227^3)+'CAFCO 400 '!$L$12*(J1227^2)+'CAFCO 400 '!$L$13*J1227+'CAFCO 400 '!$L$14)*U1227)+('CAFCO 400 '!$L$15*LN(J1227)+'CAFCO 400 '!$L$16)),0)+IF(AND(L1227="Cafco 400",M1227="Software Idiem",C1227="IN",G1227=3),((('CAFCO 400 '!$D$23*(J1227^2)+'CAFCO 400 '!$D$24*(J1227)+'CAFCO 400 '!$D$25)*U1227^2)+(('CAFCO 400 '!$D$26*(J1227^2)+'CAFCO 400 '!$D$27*J1227+'CAFCO 400 '!$D$28)*U1227)+('CAFCO 400 '!$D$29*(J1227^2)+'CAFCO 400 '!$D$30*J1227+'CAFCO 400 '!$D$31)),0),0)+IF(AND(L1227="Cafco 300",J1227&gt;=95,J1227&lt;=240,C1227="Cj",I1227=90),VLOOKUP(T1227,'CAFCO 300 IDIEM TABLAS'!$B$4:$D$23,2,FALSE),0)+IF(AND(L1227="Cafco 300",J1227&gt;=95,J1227&lt;=240,C1227="Cj",I1227=120),VLOOKUP(T1227,'CAFCO 300 IDIEM TABLAS'!$B$4:$D$23,3,FALSE),0)+IF(AND(L1227="Cafco 300",J1227&gt;=95,J1227&lt;=400,G1227=3,C1227="IN",I1227=90),VLOOKUP(T1227,'CAFCO 300 IDIEM TABLAS'!$F$4:$H$35,2,FALSE),0)+IF(AND(L1227="Cafco 300",J1227&gt;=95,J1227&lt;=400,G1227=3,C1227="IN",I1227=120),VLOOKUP(T1227,'CAFCO 300 IDIEM TABLAS'!$F$4:$H$35,3,FALSE),0)+IF(AND(L1227="Cafco 300",J1227&gt;=95,J1227&lt;=450,G1227=4,C1227="IN",I1227=90),VLOOKUP(T1227,'CAFCO 300 IDIEM TABLAS'!$J$4:$L$40,2,FALSE),0)+IF(AND(L1227="Cafco 300",J1227&gt;=95,J1227&lt;=450,G1227=4,C1227="IN",I1227=120),VLOOKUP(T1227,'CAFCO 300 IDIEM TABLAS'!$J$4:$L$40,3,FALSE),0)+IF(AND(M1227="Ensayo Idiem",L1227="Cafco 400",C1227="IN",G1227=4,I1227=90),VLOOKUP(T1227,'CAFCO 400 ENSAYO'!$B$7:$D$43,2,FALSE),0)+IF(AND(M1227="Ensayo Idiem",L1227="Cafco 400",C1227="IN",G1227=4,I1227=120),VLOOKUP(T1227,'CAFCO 400 ENSAYO'!$B$7:$D$43,3,FALSE),0)</f>
        <v>0</v>
      </c>
      <c r="O1227" s="96">
        <f t="shared" ref="O1227:O1290" si="126">((IF(L1227="Blaze Shield II",((K1227*N1227*0.43)/38),IF(L1227="Cafco 400",((K1227*N1227*0.43)/23),IF(L1227="Cafco 300",((K1227*N1227*0.43)/31.16),0)))))</f>
        <v>0</v>
      </c>
      <c r="P1227" s="132" t="str">
        <f t="shared" si="121"/>
        <v>N/A</v>
      </c>
      <c r="Q1227" s="132" t="str">
        <f t="shared" si="122"/>
        <v>N/A</v>
      </c>
      <c r="R1227" s="132" t="str">
        <f t="shared" si="123"/>
        <v>NO CERT.</v>
      </c>
      <c r="S1227" s="132" t="e">
        <f t="shared" si="124"/>
        <v>#N/A</v>
      </c>
      <c r="T1227" s="133" t="e">
        <f>+IF(J1227=LOOKUP(J1227,'CAFCO 300 IDIEM TABLAS'!$J$4:$J$40),'CALCULO MORTERO'!J1227,MROUND('CALCULO MORTERO'!J1227,10))</f>
        <v>#N/A</v>
      </c>
      <c r="U1227" s="134">
        <f t="shared" si="125"/>
        <v>0</v>
      </c>
    </row>
    <row r="1228" spans="1:21" x14ac:dyDescent="0.25">
      <c r="A1228" s="118">
        <f>+CUBICACION!D1222</f>
        <v>0</v>
      </c>
      <c r="B1228" s="819">
        <f>+CUBICACION!E1222</f>
        <v>0</v>
      </c>
      <c r="C1228" s="675">
        <f>+CUBICACION!F1222</f>
        <v>0</v>
      </c>
      <c r="D1228" s="118"/>
      <c r="E1228" s="118"/>
      <c r="F1228" s="820"/>
      <c r="G1228" s="675">
        <f>+CUBICACION!J1222</f>
        <v>0</v>
      </c>
      <c r="H1228" s="118"/>
      <c r="I1228" s="821">
        <f>+CUBICACION!L1222</f>
        <v>0</v>
      </c>
      <c r="J1228" s="64">
        <f>+CUBICACION!M1222</f>
        <v>0</v>
      </c>
      <c r="K1228" s="822" t="str">
        <f>+CUBICACION!N1222</f>
        <v/>
      </c>
      <c r="L1228" s="118">
        <f>+CUBICACION!O1222</f>
        <v>0</v>
      </c>
      <c r="M1228" s="823">
        <f>+CUBICACION!P1222</f>
        <v>0</v>
      </c>
      <c r="N1228" s="902">
        <f>ROUND(IF(AND(L1228="Blaze Shield II",M1228="Software Idiem",C1228="IN",G1228=4),((('BLAZE SHIELD II'!$D$4*('CALCULO MORTERO'!I1228^2)+'BLAZE SHIELD II'!$D$5*'CALCULO MORTERO'!I1228+'BLAZE SHIELD II'!$D$6)*LN(J1228))+('BLAZE SHIELD II'!$D$7*('CALCULO MORTERO'!I1228^2)+'BLAZE SHIELD II'!$D$8*'CALCULO MORTERO'!I1228+'BLAZE SHIELD II'!$D$9)),0)+IF(AND(L1228="Blaze Shield II",M1228="Software Idiem",C1228="Cj"),((('BLAZE SHIELD II'!$H$4*('CALCULO MORTERO'!I1228^2)+'BLAZE SHIELD II'!$H$5*'CALCULO MORTERO'!I1228+'BLAZE SHIELD II'!$H$6)*LN(J1228))+('BLAZE SHIELD II'!$H$7*('CALCULO MORTERO'!I1228^2)+'BLAZE SHIELD II'!$H$8*'CALCULO MORTERO'!I1228+'BLAZE SHIELD II'!$H$9)),0)+IF(AND(L1228="Blaze Shield II",M1228="Software Idiem",C1228="C"),((('BLAZE SHIELD II'!$L$4*('CALCULO MORTERO'!I1228^2)+'BLAZE SHIELD II'!$L$5*'CALCULO MORTERO'!I1228+'BLAZE SHIELD II'!$L$6)*LN(J1228))+('BLAZE SHIELD II'!$L$7*('CALCULO MORTERO'!I1228^2)+'BLAZE SHIELD II'!$L$8*'CALCULO MORTERO'!I1228+'BLAZE SHIELD II'!$L$9)),0)+IF(AND(L1228="Blaze Shield II",M1228="Software Idiem",C1228="L"),((('BLAZE SHIELD II'!$L$4*('CALCULO MORTERO'!I1228^2)+'BLAZE SHIELD II'!$L$5*'CALCULO MORTERO'!I1228+'BLAZE SHIELD II'!$L$6)*LN(J1228))+('BLAZE SHIELD II'!$L$7*('CALCULO MORTERO'!I1228^2)+'BLAZE SHIELD II'!$L$8*'CALCULO MORTERO'!I1228+'BLAZE SHIELD II'!$L$9)),0)+IF(AND(L1228="Blaze Shield II",M1228="Software Idiem",C1228="IN",G1228=3),((('BLAZE SHIELD II'!$H$14*('CALCULO MORTERO'!I1228^2)+'BLAZE SHIELD II'!$H$15*'CALCULO MORTERO'!I1228+'BLAZE SHIELD II'!$H$16)*LN(J1228))+('BLAZE SHIELD II'!$H$17*('CALCULO MORTERO'!I1228^2)+'BLAZE SHIELD II'!$H$18*'CALCULO MORTERO'!I1228+'BLAZE SHIELD II'!$H$19)),0),0)+ROUND(IF(AND(L1228="Cafco 400",M1228="Software Idiem",C1228="IN",G1228=4),((('CAFCO 400 '!$H$7*(J1228^4)+'CAFCO 400 '!$H$8*(J1228^3)+'CAFCO 400 '!$H$9*(J1228^2)+'CAFCO 400 '!$H$10*J1228+'CAFCO 400 '!$H$11)*U1228^2)+(('CAFCO 400 '!$H$12*(J1228^3)+'CAFCO 400 '!$H$13*(J1228^2)+'CAFCO 400 '!$H$14*J1228+'CAFCO 400 '!$H$15)*U1228)+('CAFCO 400 '!$H$16*(J1228^2)+'CAFCO 400 '!$H$17*J1228+'CAFCO 400 '!$H$18)),0)+IF(AND(L1228="Cafco 400",M1228="Software Idiem",C1228="Cj"),(((('CAFCO 400 '!$D$7*LN(J1228)+'CAFCO 400 '!$D$8)*U1228^2)+(('CAFCO 400 '!$D$9*LN(J1228)+'CAFCO 400 '!$D$10)*U1228)+('CAFCO 400 '!$D$11*LN(J1228)+'CAFCO 400 '!$D$12))),0)+IF(AND(L1228="Cafco 400",M1228="Software Idiem",C1228="C"),((('CAFCO 400 '!$L$7*(J1228^3)+'CAFCO 400 '!$L$8*(J1228^2)+'CAFCO 400 '!$L$9*J1228+'CAFCO 400 '!$L$10)*U1228^2)+(('CAFCO 400 '!$L$11*(J1228^3)+'CAFCO 400 '!$L$12*(J1228^2)+'CAFCO 400 '!$L$13*J1228+'CAFCO 400 '!$L$14)*U1228)+('CAFCO 400 '!$L$15*LN(J1228)+'CAFCO 400 '!$L$16)),0)+IF(AND(L1228="Cafco 400",M1228="Software Idiem",C1228="L"),((('CAFCO 400 '!$L$7*(J1228^3)+'CAFCO 400 '!$L$8*(J1228^2)+'CAFCO 400 '!$L$9*J1228+'CAFCO 400 '!$L$10)*U1228^2)+(('CAFCO 400 '!$L$11*(J1228^3)+'CAFCO 400 '!$L$12*(J1228^2)+'CAFCO 400 '!$L$13*J1228+'CAFCO 400 '!$L$14)*U1228)+('CAFCO 400 '!$L$15*LN(J1228)+'CAFCO 400 '!$L$16)),0)+IF(AND(L1228="Cafco 400",M1228="Software Idiem",C1228="IN",G1228=3),((('CAFCO 400 '!$D$23*(J1228^2)+'CAFCO 400 '!$D$24*(J1228)+'CAFCO 400 '!$D$25)*U1228^2)+(('CAFCO 400 '!$D$26*(J1228^2)+'CAFCO 400 '!$D$27*J1228+'CAFCO 400 '!$D$28)*U1228)+('CAFCO 400 '!$D$29*(J1228^2)+'CAFCO 400 '!$D$30*J1228+'CAFCO 400 '!$D$31)),0),0)+IF(AND(L1228="Cafco 300",J1228&gt;=95,J1228&lt;=240,C1228="Cj",I1228=90),VLOOKUP(T1228,'CAFCO 300 IDIEM TABLAS'!$B$4:$D$23,2,FALSE),0)+IF(AND(L1228="Cafco 300",J1228&gt;=95,J1228&lt;=240,C1228="Cj",I1228=120),VLOOKUP(T1228,'CAFCO 300 IDIEM TABLAS'!$B$4:$D$23,3,FALSE),0)+IF(AND(L1228="Cafco 300",J1228&gt;=95,J1228&lt;=400,G1228=3,C1228="IN",I1228=90),VLOOKUP(T1228,'CAFCO 300 IDIEM TABLAS'!$F$4:$H$35,2,FALSE),0)+IF(AND(L1228="Cafco 300",J1228&gt;=95,J1228&lt;=400,G1228=3,C1228="IN",I1228=120),VLOOKUP(T1228,'CAFCO 300 IDIEM TABLAS'!$F$4:$H$35,3,FALSE),0)+IF(AND(L1228="Cafco 300",J1228&gt;=95,J1228&lt;=450,G1228=4,C1228="IN",I1228=90),VLOOKUP(T1228,'CAFCO 300 IDIEM TABLAS'!$J$4:$L$40,2,FALSE),0)+IF(AND(L1228="Cafco 300",J1228&gt;=95,J1228&lt;=450,G1228=4,C1228="IN",I1228=120),VLOOKUP(T1228,'CAFCO 300 IDIEM TABLAS'!$J$4:$L$40,3,FALSE),0)+IF(AND(M1228="Ensayo Idiem",L1228="Cafco 400",C1228="IN",G1228=4,I1228=90),VLOOKUP(T1228,'CAFCO 400 ENSAYO'!$B$7:$D$43,2,FALSE),0)+IF(AND(M1228="Ensayo Idiem",L1228="Cafco 400",C1228="IN",G1228=4,I1228=120),VLOOKUP(T1228,'CAFCO 400 ENSAYO'!$B$7:$D$43,3,FALSE),0)</f>
        <v>0</v>
      </c>
      <c r="O1228" s="96">
        <f t="shared" si="126"/>
        <v>0</v>
      </c>
      <c r="P1228" s="95" t="str">
        <f t="shared" si="121"/>
        <v>N/A</v>
      </c>
      <c r="Q1228" s="95" t="str">
        <f t="shared" si="122"/>
        <v>N/A</v>
      </c>
      <c r="R1228" s="95" t="str">
        <f t="shared" si="123"/>
        <v>NO CERT.</v>
      </c>
      <c r="S1228" s="95" t="e">
        <f t="shared" si="124"/>
        <v>#N/A</v>
      </c>
      <c r="T1228" s="119" t="e">
        <f>+IF(J1228=LOOKUP(J1228,'CAFCO 300 IDIEM TABLAS'!$J$4:$J$40),'CALCULO MORTERO'!J1228,MROUND('CALCULO MORTERO'!J1228,10))</f>
        <v>#N/A</v>
      </c>
      <c r="U1228" s="118">
        <f t="shared" si="125"/>
        <v>0</v>
      </c>
    </row>
    <row r="1229" spans="1:21" x14ac:dyDescent="0.25">
      <c r="A1229" s="118">
        <f>+CUBICACION!D1223</f>
        <v>0</v>
      </c>
      <c r="B1229" s="819">
        <f>+CUBICACION!E1223</f>
        <v>0</v>
      </c>
      <c r="C1229" s="675">
        <f>+CUBICACION!F1223</f>
        <v>0</v>
      </c>
      <c r="D1229" s="118"/>
      <c r="E1229" s="118"/>
      <c r="F1229" s="820"/>
      <c r="G1229" s="675">
        <f>+CUBICACION!J1223</f>
        <v>0</v>
      </c>
      <c r="H1229" s="118"/>
      <c r="I1229" s="821">
        <f>+CUBICACION!L1223</f>
        <v>0</v>
      </c>
      <c r="J1229" s="64">
        <f>+CUBICACION!M1223</f>
        <v>0</v>
      </c>
      <c r="K1229" s="822" t="str">
        <f>+CUBICACION!N1223</f>
        <v/>
      </c>
      <c r="L1229" s="118">
        <f>+CUBICACION!O1223</f>
        <v>0</v>
      </c>
      <c r="M1229" s="823">
        <f>+CUBICACION!P1223</f>
        <v>0</v>
      </c>
      <c r="N1229" s="902">
        <f>ROUND(IF(AND(L1229="Blaze Shield II",M1229="Software Idiem",C1229="IN",G1229=4),((('BLAZE SHIELD II'!$D$4*('CALCULO MORTERO'!I1229^2)+'BLAZE SHIELD II'!$D$5*'CALCULO MORTERO'!I1229+'BLAZE SHIELD II'!$D$6)*LN(J1229))+('BLAZE SHIELD II'!$D$7*('CALCULO MORTERO'!I1229^2)+'BLAZE SHIELD II'!$D$8*'CALCULO MORTERO'!I1229+'BLAZE SHIELD II'!$D$9)),0)+IF(AND(L1229="Blaze Shield II",M1229="Software Idiem",C1229="Cj"),((('BLAZE SHIELD II'!$H$4*('CALCULO MORTERO'!I1229^2)+'BLAZE SHIELD II'!$H$5*'CALCULO MORTERO'!I1229+'BLAZE SHIELD II'!$H$6)*LN(J1229))+('BLAZE SHIELD II'!$H$7*('CALCULO MORTERO'!I1229^2)+'BLAZE SHIELD II'!$H$8*'CALCULO MORTERO'!I1229+'BLAZE SHIELD II'!$H$9)),0)+IF(AND(L1229="Blaze Shield II",M1229="Software Idiem",C1229="C"),((('BLAZE SHIELD II'!$L$4*('CALCULO MORTERO'!I1229^2)+'BLAZE SHIELD II'!$L$5*'CALCULO MORTERO'!I1229+'BLAZE SHIELD II'!$L$6)*LN(J1229))+('BLAZE SHIELD II'!$L$7*('CALCULO MORTERO'!I1229^2)+'BLAZE SHIELD II'!$L$8*'CALCULO MORTERO'!I1229+'BLAZE SHIELD II'!$L$9)),0)+IF(AND(L1229="Blaze Shield II",M1229="Software Idiem",C1229="L"),((('BLAZE SHIELD II'!$L$4*('CALCULO MORTERO'!I1229^2)+'BLAZE SHIELD II'!$L$5*'CALCULO MORTERO'!I1229+'BLAZE SHIELD II'!$L$6)*LN(J1229))+('BLAZE SHIELD II'!$L$7*('CALCULO MORTERO'!I1229^2)+'BLAZE SHIELD II'!$L$8*'CALCULO MORTERO'!I1229+'BLAZE SHIELD II'!$L$9)),0)+IF(AND(L1229="Blaze Shield II",M1229="Software Idiem",C1229="IN",G1229=3),((('BLAZE SHIELD II'!$H$14*('CALCULO MORTERO'!I1229^2)+'BLAZE SHIELD II'!$H$15*'CALCULO MORTERO'!I1229+'BLAZE SHIELD II'!$H$16)*LN(J1229))+('BLAZE SHIELD II'!$H$17*('CALCULO MORTERO'!I1229^2)+'BLAZE SHIELD II'!$H$18*'CALCULO MORTERO'!I1229+'BLAZE SHIELD II'!$H$19)),0),0)+ROUND(IF(AND(L1229="Cafco 400",M1229="Software Idiem",C1229="IN",G1229=4),((('CAFCO 400 '!$H$7*(J1229^4)+'CAFCO 400 '!$H$8*(J1229^3)+'CAFCO 400 '!$H$9*(J1229^2)+'CAFCO 400 '!$H$10*J1229+'CAFCO 400 '!$H$11)*U1229^2)+(('CAFCO 400 '!$H$12*(J1229^3)+'CAFCO 400 '!$H$13*(J1229^2)+'CAFCO 400 '!$H$14*J1229+'CAFCO 400 '!$H$15)*U1229)+('CAFCO 400 '!$H$16*(J1229^2)+'CAFCO 400 '!$H$17*J1229+'CAFCO 400 '!$H$18)),0)+IF(AND(L1229="Cafco 400",M1229="Software Idiem",C1229="Cj"),(((('CAFCO 400 '!$D$7*LN(J1229)+'CAFCO 400 '!$D$8)*U1229^2)+(('CAFCO 400 '!$D$9*LN(J1229)+'CAFCO 400 '!$D$10)*U1229)+('CAFCO 400 '!$D$11*LN(J1229)+'CAFCO 400 '!$D$12))),0)+IF(AND(L1229="Cafco 400",M1229="Software Idiem",C1229="C"),((('CAFCO 400 '!$L$7*(J1229^3)+'CAFCO 400 '!$L$8*(J1229^2)+'CAFCO 400 '!$L$9*J1229+'CAFCO 400 '!$L$10)*U1229^2)+(('CAFCO 400 '!$L$11*(J1229^3)+'CAFCO 400 '!$L$12*(J1229^2)+'CAFCO 400 '!$L$13*J1229+'CAFCO 400 '!$L$14)*U1229)+('CAFCO 400 '!$L$15*LN(J1229)+'CAFCO 400 '!$L$16)),0)+IF(AND(L1229="Cafco 400",M1229="Software Idiem",C1229="L"),((('CAFCO 400 '!$L$7*(J1229^3)+'CAFCO 400 '!$L$8*(J1229^2)+'CAFCO 400 '!$L$9*J1229+'CAFCO 400 '!$L$10)*U1229^2)+(('CAFCO 400 '!$L$11*(J1229^3)+'CAFCO 400 '!$L$12*(J1229^2)+'CAFCO 400 '!$L$13*J1229+'CAFCO 400 '!$L$14)*U1229)+('CAFCO 400 '!$L$15*LN(J1229)+'CAFCO 400 '!$L$16)),0)+IF(AND(L1229="Cafco 400",M1229="Software Idiem",C1229="IN",G1229=3),((('CAFCO 400 '!$D$23*(J1229^2)+'CAFCO 400 '!$D$24*(J1229)+'CAFCO 400 '!$D$25)*U1229^2)+(('CAFCO 400 '!$D$26*(J1229^2)+'CAFCO 400 '!$D$27*J1229+'CAFCO 400 '!$D$28)*U1229)+('CAFCO 400 '!$D$29*(J1229^2)+'CAFCO 400 '!$D$30*J1229+'CAFCO 400 '!$D$31)),0),0)+IF(AND(L1229="Cafco 300",J1229&gt;=95,J1229&lt;=240,C1229="Cj",I1229=90),VLOOKUP(T1229,'CAFCO 300 IDIEM TABLAS'!$B$4:$D$23,2,FALSE),0)+IF(AND(L1229="Cafco 300",J1229&gt;=95,J1229&lt;=240,C1229="Cj",I1229=120),VLOOKUP(T1229,'CAFCO 300 IDIEM TABLAS'!$B$4:$D$23,3,FALSE),0)+IF(AND(L1229="Cafco 300",J1229&gt;=95,J1229&lt;=400,G1229=3,C1229="IN",I1229=90),VLOOKUP(T1229,'CAFCO 300 IDIEM TABLAS'!$F$4:$H$35,2,FALSE),0)+IF(AND(L1229="Cafco 300",J1229&gt;=95,J1229&lt;=400,G1229=3,C1229="IN",I1229=120),VLOOKUP(T1229,'CAFCO 300 IDIEM TABLAS'!$F$4:$H$35,3,FALSE),0)+IF(AND(L1229="Cafco 300",J1229&gt;=95,J1229&lt;=450,G1229=4,C1229="IN",I1229=90),VLOOKUP(T1229,'CAFCO 300 IDIEM TABLAS'!$J$4:$L$40,2,FALSE),0)+IF(AND(L1229="Cafco 300",J1229&gt;=95,J1229&lt;=450,G1229=4,C1229="IN",I1229=120),VLOOKUP(T1229,'CAFCO 300 IDIEM TABLAS'!$J$4:$L$40,3,FALSE),0)+IF(AND(M1229="Ensayo Idiem",L1229="Cafco 400",C1229="IN",G1229=4,I1229=90),VLOOKUP(T1229,'CAFCO 400 ENSAYO'!$B$7:$D$43,2,FALSE),0)+IF(AND(M1229="Ensayo Idiem",L1229="Cafco 400",C1229="IN",G1229=4,I1229=120),VLOOKUP(T1229,'CAFCO 400 ENSAYO'!$B$7:$D$43,3,FALSE),0)</f>
        <v>0</v>
      </c>
      <c r="O1229" s="96">
        <f t="shared" si="126"/>
        <v>0</v>
      </c>
      <c r="P1229" s="132" t="str">
        <f t="shared" si="121"/>
        <v>N/A</v>
      </c>
      <c r="Q1229" s="132" t="str">
        <f t="shared" si="122"/>
        <v>N/A</v>
      </c>
      <c r="R1229" s="132" t="str">
        <f t="shared" si="123"/>
        <v>NO CERT.</v>
      </c>
      <c r="S1229" s="132" t="e">
        <f t="shared" si="124"/>
        <v>#N/A</v>
      </c>
      <c r="T1229" s="133" t="e">
        <f>+IF(J1229=LOOKUP(J1229,'CAFCO 300 IDIEM TABLAS'!$J$4:$J$40),'CALCULO MORTERO'!J1229,MROUND('CALCULO MORTERO'!J1229,10))</f>
        <v>#N/A</v>
      </c>
      <c r="U1229" s="134">
        <f t="shared" si="125"/>
        <v>0</v>
      </c>
    </row>
    <row r="1230" spans="1:21" x14ac:dyDescent="0.25">
      <c r="A1230" s="118">
        <f>+CUBICACION!D1224</f>
        <v>0</v>
      </c>
      <c r="B1230" s="819">
        <f>+CUBICACION!E1224</f>
        <v>0</v>
      </c>
      <c r="C1230" s="675">
        <f>+CUBICACION!F1224</f>
        <v>0</v>
      </c>
      <c r="D1230" s="118"/>
      <c r="E1230" s="118"/>
      <c r="F1230" s="820"/>
      <c r="G1230" s="675">
        <f>+CUBICACION!J1224</f>
        <v>0</v>
      </c>
      <c r="H1230" s="118"/>
      <c r="I1230" s="821">
        <f>+CUBICACION!L1224</f>
        <v>0</v>
      </c>
      <c r="J1230" s="64">
        <f>+CUBICACION!M1224</f>
        <v>0</v>
      </c>
      <c r="K1230" s="822" t="str">
        <f>+CUBICACION!N1224</f>
        <v/>
      </c>
      <c r="L1230" s="118">
        <f>+CUBICACION!O1224</f>
        <v>0</v>
      </c>
      <c r="M1230" s="823">
        <f>+CUBICACION!P1224</f>
        <v>0</v>
      </c>
      <c r="N1230" s="902">
        <f>ROUND(IF(AND(L1230="Blaze Shield II",M1230="Software Idiem",C1230="IN",G1230=4),((('BLAZE SHIELD II'!$D$4*('CALCULO MORTERO'!I1230^2)+'BLAZE SHIELD II'!$D$5*'CALCULO MORTERO'!I1230+'BLAZE SHIELD II'!$D$6)*LN(J1230))+('BLAZE SHIELD II'!$D$7*('CALCULO MORTERO'!I1230^2)+'BLAZE SHIELD II'!$D$8*'CALCULO MORTERO'!I1230+'BLAZE SHIELD II'!$D$9)),0)+IF(AND(L1230="Blaze Shield II",M1230="Software Idiem",C1230="Cj"),((('BLAZE SHIELD II'!$H$4*('CALCULO MORTERO'!I1230^2)+'BLAZE SHIELD II'!$H$5*'CALCULO MORTERO'!I1230+'BLAZE SHIELD II'!$H$6)*LN(J1230))+('BLAZE SHIELD II'!$H$7*('CALCULO MORTERO'!I1230^2)+'BLAZE SHIELD II'!$H$8*'CALCULO MORTERO'!I1230+'BLAZE SHIELD II'!$H$9)),0)+IF(AND(L1230="Blaze Shield II",M1230="Software Idiem",C1230="C"),((('BLAZE SHIELD II'!$L$4*('CALCULO MORTERO'!I1230^2)+'BLAZE SHIELD II'!$L$5*'CALCULO MORTERO'!I1230+'BLAZE SHIELD II'!$L$6)*LN(J1230))+('BLAZE SHIELD II'!$L$7*('CALCULO MORTERO'!I1230^2)+'BLAZE SHIELD II'!$L$8*'CALCULO MORTERO'!I1230+'BLAZE SHIELD II'!$L$9)),0)+IF(AND(L1230="Blaze Shield II",M1230="Software Idiem",C1230="L"),((('BLAZE SHIELD II'!$L$4*('CALCULO MORTERO'!I1230^2)+'BLAZE SHIELD II'!$L$5*'CALCULO MORTERO'!I1230+'BLAZE SHIELD II'!$L$6)*LN(J1230))+('BLAZE SHIELD II'!$L$7*('CALCULO MORTERO'!I1230^2)+'BLAZE SHIELD II'!$L$8*'CALCULO MORTERO'!I1230+'BLAZE SHIELD II'!$L$9)),0)+IF(AND(L1230="Blaze Shield II",M1230="Software Idiem",C1230="IN",G1230=3),((('BLAZE SHIELD II'!$H$14*('CALCULO MORTERO'!I1230^2)+'BLAZE SHIELD II'!$H$15*'CALCULO MORTERO'!I1230+'BLAZE SHIELD II'!$H$16)*LN(J1230))+('BLAZE SHIELD II'!$H$17*('CALCULO MORTERO'!I1230^2)+'BLAZE SHIELD II'!$H$18*'CALCULO MORTERO'!I1230+'BLAZE SHIELD II'!$H$19)),0),0)+ROUND(IF(AND(L1230="Cafco 400",M1230="Software Idiem",C1230="IN",G1230=4),((('CAFCO 400 '!$H$7*(J1230^4)+'CAFCO 400 '!$H$8*(J1230^3)+'CAFCO 400 '!$H$9*(J1230^2)+'CAFCO 400 '!$H$10*J1230+'CAFCO 400 '!$H$11)*U1230^2)+(('CAFCO 400 '!$H$12*(J1230^3)+'CAFCO 400 '!$H$13*(J1230^2)+'CAFCO 400 '!$H$14*J1230+'CAFCO 400 '!$H$15)*U1230)+('CAFCO 400 '!$H$16*(J1230^2)+'CAFCO 400 '!$H$17*J1230+'CAFCO 400 '!$H$18)),0)+IF(AND(L1230="Cafco 400",M1230="Software Idiem",C1230="Cj"),(((('CAFCO 400 '!$D$7*LN(J1230)+'CAFCO 400 '!$D$8)*U1230^2)+(('CAFCO 400 '!$D$9*LN(J1230)+'CAFCO 400 '!$D$10)*U1230)+('CAFCO 400 '!$D$11*LN(J1230)+'CAFCO 400 '!$D$12))),0)+IF(AND(L1230="Cafco 400",M1230="Software Idiem",C1230="C"),((('CAFCO 400 '!$L$7*(J1230^3)+'CAFCO 400 '!$L$8*(J1230^2)+'CAFCO 400 '!$L$9*J1230+'CAFCO 400 '!$L$10)*U1230^2)+(('CAFCO 400 '!$L$11*(J1230^3)+'CAFCO 400 '!$L$12*(J1230^2)+'CAFCO 400 '!$L$13*J1230+'CAFCO 400 '!$L$14)*U1230)+('CAFCO 400 '!$L$15*LN(J1230)+'CAFCO 400 '!$L$16)),0)+IF(AND(L1230="Cafco 400",M1230="Software Idiem",C1230="L"),((('CAFCO 400 '!$L$7*(J1230^3)+'CAFCO 400 '!$L$8*(J1230^2)+'CAFCO 400 '!$L$9*J1230+'CAFCO 400 '!$L$10)*U1230^2)+(('CAFCO 400 '!$L$11*(J1230^3)+'CAFCO 400 '!$L$12*(J1230^2)+'CAFCO 400 '!$L$13*J1230+'CAFCO 400 '!$L$14)*U1230)+('CAFCO 400 '!$L$15*LN(J1230)+'CAFCO 400 '!$L$16)),0)+IF(AND(L1230="Cafco 400",M1230="Software Idiem",C1230="IN",G1230=3),((('CAFCO 400 '!$D$23*(J1230^2)+'CAFCO 400 '!$D$24*(J1230)+'CAFCO 400 '!$D$25)*U1230^2)+(('CAFCO 400 '!$D$26*(J1230^2)+'CAFCO 400 '!$D$27*J1230+'CAFCO 400 '!$D$28)*U1230)+('CAFCO 400 '!$D$29*(J1230^2)+'CAFCO 400 '!$D$30*J1230+'CAFCO 400 '!$D$31)),0),0)+IF(AND(L1230="Cafco 300",J1230&gt;=95,J1230&lt;=240,C1230="Cj",I1230=90),VLOOKUP(T1230,'CAFCO 300 IDIEM TABLAS'!$B$4:$D$23,2,FALSE),0)+IF(AND(L1230="Cafco 300",J1230&gt;=95,J1230&lt;=240,C1230="Cj",I1230=120),VLOOKUP(T1230,'CAFCO 300 IDIEM TABLAS'!$B$4:$D$23,3,FALSE),0)+IF(AND(L1230="Cafco 300",J1230&gt;=95,J1230&lt;=400,G1230=3,C1230="IN",I1230=90),VLOOKUP(T1230,'CAFCO 300 IDIEM TABLAS'!$F$4:$H$35,2,FALSE),0)+IF(AND(L1230="Cafco 300",J1230&gt;=95,J1230&lt;=400,G1230=3,C1230="IN",I1230=120),VLOOKUP(T1230,'CAFCO 300 IDIEM TABLAS'!$F$4:$H$35,3,FALSE),0)+IF(AND(L1230="Cafco 300",J1230&gt;=95,J1230&lt;=450,G1230=4,C1230="IN",I1230=90),VLOOKUP(T1230,'CAFCO 300 IDIEM TABLAS'!$J$4:$L$40,2,FALSE),0)+IF(AND(L1230="Cafco 300",J1230&gt;=95,J1230&lt;=450,G1230=4,C1230="IN",I1230=120),VLOOKUP(T1230,'CAFCO 300 IDIEM TABLAS'!$J$4:$L$40,3,FALSE),0)+IF(AND(M1230="Ensayo Idiem",L1230="Cafco 400",C1230="IN",G1230=4,I1230=90),VLOOKUP(T1230,'CAFCO 400 ENSAYO'!$B$7:$D$43,2,FALSE),0)+IF(AND(M1230="Ensayo Idiem",L1230="Cafco 400",C1230="IN",G1230=4,I1230=120),VLOOKUP(T1230,'CAFCO 400 ENSAYO'!$B$7:$D$43,3,FALSE),0)</f>
        <v>0</v>
      </c>
      <c r="O1230" s="96">
        <f t="shared" si="126"/>
        <v>0</v>
      </c>
      <c r="P1230" s="95" t="str">
        <f t="shared" si="121"/>
        <v>N/A</v>
      </c>
      <c r="Q1230" s="95" t="str">
        <f t="shared" si="122"/>
        <v>N/A</v>
      </c>
      <c r="R1230" s="95" t="str">
        <f t="shared" si="123"/>
        <v>NO CERT.</v>
      </c>
      <c r="S1230" s="95" t="e">
        <f t="shared" si="124"/>
        <v>#N/A</v>
      </c>
      <c r="T1230" s="119" t="e">
        <f>+IF(J1230=LOOKUP(J1230,'CAFCO 300 IDIEM TABLAS'!$J$4:$J$40),'CALCULO MORTERO'!J1230,MROUND('CALCULO MORTERO'!J1230,10))</f>
        <v>#N/A</v>
      </c>
      <c r="U1230" s="118">
        <f t="shared" si="125"/>
        <v>0</v>
      </c>
    </row>
    <row r="1231" spans="1:21" x14ac:dyDescent="0.25">
      <c r="A1231" s="118">
        <f>+CUBICACION!D1225</f>
        <v>0</v>
      </c>
      <c r="B1231" s="819">
        <f>+CUBICACION!E1225</f>
        <v>0</v>
      </c>
      <c r="C1231" s="675">
        <f>+CUBICACION!F1225</f>
        <v>0</v>
      </c>
      <c r="D1231" s="118"/>
      <c r="E1231" s="118"/>
      <c r="F1231" s="820"/>
      <c r="G1231" s="675">
        <f>+CUBICACION!J1225</f>
        <v>0</v>
      </c>
      <c r="H1231" s="118"/>
      <c r="I1231" s="821">
        <f>+CUBICACION!L1225</f>
        <v>0</v>
      </c>
      <c r="J1231" s="64">
        <f>+CUBICACION!M1225</f>
        <v>0</v>
      </c>
      <c r="K1231" s="822" t="str">
        <f>+CUBICACION!N1225</f>
        <v/>
      </c>
      <c r="L1231" s="118">
        <f>+CUBICACION!O1225</f>
        <v>0</v>
      </c>
      <c r="M1231" s="823">
        <f>+CUBICACION!P1225</f>
        <v>0</v>
      </c>
      <c r="N1231" s="902">
        <f>ROUND(IF(AND(L1231="Blaze Shield II",M1231="Software Idiem",C1231="IN",G1231=4),((('BLAZE SHIELD II'!$D$4*('CALCULO MORTERO'!I1231^2)+'BLAZE SHIELD II'!$D$5*'CALCULO MORTERO'!I1231+'BLAZE SHIELD II'!$D$6)*LN(J1231))+('BLAZE SHIELD II'!$D$7*('CALCULO MORTERO'!I1231^2)+'BLAZE SHIELD II'!$D$8*'CALCULO MORTERO'!I1231+'BLAZE SHIELD II'!$D$9)),0)+IF(AND(L1231="Blaze Shield II",M1231="Software Idiem",C1231="Cj"),((('BLAZE SHIELD II'!$H$4*('CALCULO MORTERO'!I1231^2)+'BLAZE SHIELD II'!$H$5*'CALCULO MORTERO'!I1231+'BLAZE SHIELD II'!$H$6)*LN(J1231))+('BLAZE SHIELD II'!$H$7*('CALCULO MORTERO'!I1231^2)+'BLAZE SHIELD II'!$H$8*'CALCULO MORTERO'!I1231+'BLAZE SHIELD II'!$H$9)),0)+IF(AND(L1231="Blaze Shield II",M1231="Software Idiem",C1231="C"),((('BLAZE SHIELD II'!$L$4*('CALCULO MORTERO'!I1231^2)+'BLAZE SHIELD II'!$L$5*'CALCULO MORTERO'!I1231+'BLAZE SHIELD II'!$L$6)*LN(J1231))+('BLAZE SHIELD II'!$L$7*('CALCULO MORTERO'!I1231^2)+'BLAZE SHIELD II'!$L$8*'CALCULO MORTERO'!I1231+'BLAZE SHIELD II'!$L$9)),0)+IF(AND(L1231="Blaze Shield II",M1231="Software Idiem",C1231="L"),((('BLAZE SHIELD II'!$L$4*('CALCULO MORTERO'!I1231^2)+'BLAZE SHIELD II'!$L$5*'CALCULO MORTERO'!I1231+'BLAZE SHIELD II'!$L$6)*LN(J1231))+('BLAZE SHIELD II'!$L$7*('CALCULO MORTERO'!I1231^2)+'BLAZE SHIELD II'!$L$8*'CALCULO MORTERO'!I1231+'BLAZE SHIELD II'!$L$9)),0)+IF(AND(L1231="Blaze Shield II",M1231="Software Idiem",C1231="IN",G1231=3),((('BLAZE SHIELD II'!$H$14*('CALCULO MORTERO'!I1231^2)+'BLAZE SHIELD II'!$H$15*'CALCULO MORTERO'!I1231+'BLAZE SHIELD II'!$H$16)*LN(J1231))+('BLAZE SHIELD II'!$H$17*('CALCULO MORTERO'!I1231^2)+'BLAZE SHIELD II'!$H$18*'CALCULO MORTERO'!I1231+'BLAZE SHIELD II'!$H$19)),0),0)+ROUND(IF(AND(L1231="Cafco 400",M1231="Software Idiem",C1231="IN",G1231=4),((('CAFCO 400 '!$H$7*(J1231^4)+'CAFCO 400 '!$H$8*(J1231^3)+'CAFCO 400 '!$H$9*(J1231^2)+'CAFCO 400 '!$H$10*J1231+'CAFCO 400 '!$H$11)*U1231^2)+(('CAFCO 400 '!$H$12*(J1231^3)+'CAFCO 400 '!$H$13*(J1231^2)+'CAFCO 400 '!$H$14*J1231+'CAFCO 400 '!$H$15)*U1231)+('CAFCO 400 '!$H$16*(J1231^2)+'CAFCO 400 '!$H$17*J1231+'CAFCO 400 '!$H$18)),0)+IF(AND(L1231="Cafco 400",M1231="Software Idiem",C1231="Cj"),(((('CAFCO 400 '!$D$7*LN(J1231)+'CAFCO 400 '!$D$8)*U1231^2)+(('CAFCO 400 '!$D$9*LN(J1231)+'CAFCO 400 '!$D$10)*U1231)+('CAFCO 400 '!$D$11*LN(J1231)+'CAFCO 400 '!$D$12))),0)+IF(AND(L1231="Cafco 400",M1231="Software Idiem",C1231="C"),((('CAFCO 400 '!$L$7*(J1231^3)+'CAFCO 400 '!$L$8*(J1231^2)+'CAFCO 400 '!$L$9*J1231+'CAFCO 400 '!$L$10)*U1231^2)+(('CAFCO 400 '!$L$11*(J1231^3)+'CAFCO 400 '!$L$12*(J1231^2)+'CAFCO 400 '!$L$13*J1231+'CAFCO 400 '!$L$14)*U1231)+('CAFCO 400 '!$L$15*LN(J1231)+'CAFCO 400 '!$L$16)),0)+IF(AND(L1231="Cafco 400",M1231="Software Idiem",C1231="L"),((('CAFCO 400 '!$L$7*(J1231^3)+'CAFCO 400 '!$L$8*(J1231^2)+'CAFCO 400 '!$L$9*J1231+'CAFCO 400 '!$L$10)*U1231^2)+(('CAFCO 400 '!$L$11*(J1231^3)+'CAFCO 400 '!$L$12*(J1231^2)+'CAFCO 400 '!$L$13*J1231+'CAFCO 400 '!$L$14)*U1231)+('CAFCO 400 '!$L$15*LN(J1231)+'CAFCO 400 '!$L$16)),0)+IF(AND(L1231="Cafco 400",M1231="Software Idiem",C1231="IN",G1231=3),((('CAFCO 400 '!$D$23*(J1231^2)+'CAFCO 400 '!$D$24*(J1231)+'CAFCO 400 '!$D$25)*U1231^2)+(('CAFCO 400 '!$D$26*(J1231^2)+'CAFCO 400 '!$D$27*J1231+'CAFCO 400 '!$D$28)*U1231)+('CAFCO 400 '!$D$29*(J1231^2)+'CAFCO 400 '!$D$30*J1231+'CAFCO 400 '!$D$31)),0),0)+IF(AND(L1231="Cafco 300",J1231&gt;=95,J1231&lt;=240,C1231="Cj",I1231=90),VLOOKUP(T1231,'CAFCO 300 IDIEM TABLAS'!$B$4:$D$23,2,FALSE),0)+IF(AND(L1231="Cafco 300",J1231&gt;=95,J1231&lt;=240,C1231="Cj",I1231=120),VLOOKUP(T1231,'CAFCO 300 IDIEM TABLAS'!$B$4:$D$23,3,FALSE),0)+IF(AND(L1231="Cafco 300",J1231&gt;=95,J1231&lt;=400,G1231=3,C1231="IN",I1231=90),VLOOKUP(T1231,'CAFCO 300 IDIEM TABLAS'!$F$4:$H$35,2,FALSE),0)+IF(AND(L1231="Cafco 300",J1231&gt;=95,J1231&lt;=400,G1231=3,C1231="IN",I1231=120),VLOOKUP(T1231,'CAFCO 300 IDIEM TABLAS'!$F$4:$H$35,3,FALSE),0)+IF(AND(L1231="Cafco 300",J1231&gt;=95,J1231&lt;=450,G1231=4,C1231="IN",I1231=90),VLOOKUP(T1231,'CAFCO 300 IDIEM TABLAS'!$J$4:$L$40,2,FALSE),0)+IF(AND(L1231="Cafco 300",J1231&gt;=95,J1231&lt;=450,G1231=4,C1231="IN",I1231=120),VLOOKUP(T1231,'CAFCO 300 IDIEM TABLAS'!$J$4:$L$40,3,FALSE),0)+IF(AND(M1231="Ensayo Idiem",L1231="Cafco 400",C1231="IN",G1231=4,I1231=90),VLOOKUP(T1231,'CAFCO 400 ENSAYO'!$B$7:$D$43,2,FALSE),0)+IF(AND(M1231="Ensayo Idiem",L1231="Cafco 400",C1231="IN",G1231=4,I1231=120),VLOOKUP(T1231,'CAFCO 400 ENSAYO'!$B$7:$D$43,3,FALSE),0)</f>
        <v>0</v>
      </c>
      <c r="O1231" s="96">
        <f t="shared" si="126"/>
        <v>0</v>
      </c>
      <c r="P1231" s="132" t="str">
        <f t="shared" si="121"/>
        <v>N/A</v>
      </c>
      <c r="Q1231" s="132" t="str">
        <f t="shared" si="122"/>
        <v>N/A</v>
      </c>
      <c r="R1231" s="132" t="str">
        <f t="shared" si="123"/>
        <v>NO CERT.</v>
      </c>
      <c r="S1231" s="132" t="e">
        <f t="shared" si="124"/>
        <v>#N/A</v>
      </c>
      <c r="T1231" s="133" t="e">
        <f>+IF(J1231=LOOKUP(J1231,'CAFCO 300 IDIEM TABLAS'!$J$4:$J$40),'CALCULO MORTERO'!J1231,MROUND('CALCULO MORTERO'!J1231,10))</f>
        <v>#N/A</v>
      </c>
      <c r="U1231" s="134">
        <f t="shared" si="125"/>
        <v>0</v>
      </c>
    </row>
    <row r="1232" spans="1:21" x14ac:dyDescent="0.25">
      <c r="A1232" s="118">
        <f>+CUBICACION!D1226</f>
        <v>0</v>
      </c>
      <c r="B1232" s="819">
        <f>+CUBICACION!E1226</f>
        <v>0</v>
      </c>
      <c r="C1232" s="675">
        <f>+CUBICACION!F1226</f>
        <v>0</v>
      </c>
      <c r="D1232" s="118"/>
      <c r="E1232" s="118"/>
      <c r="F1232" s="820"/>
      <c r="G1232" s="675">
        <f>+CUBICACION!J1226</f>
        <v>0</v>
      </c>
      <c r="H1232" s="118"/>
      <c r="I1232" s="821">
        <f>+CUBICACION!L1226</f>
        <v>0</v>
      </c>
      <c r="J1232" s="64">
        <f>+CUBICACION!M1226</f>
        <v>0</v>
      </c>
      <c r="K1232" s="822" t="str">
        <f>+CUBICACION!N1226</f>
        <v/>
      </c>
      <c r="L1232" s="118">
        <f>+CUBICACION!O1226</f>
        <v>0</v>
      </c>
      <c r="M1232" s="823">
        <f>+CUBICACION!P1226</f>
        <v>0</v>
      </c>
      <c r="N1232" s="902">
        <f>ROUND(IF(AND(L1232="Blaze Shield II",M1232="Software Idiem",C1232="IN",G1232=4),((('BLAZE SHIELD II'!$D$4*('CALCULO MORTERO'!I1232^2)+'BLAZE SHIELD II'!$D$5*'CALCULO MORTERO'!I1232+'BLAZE SHIELD II'!$D$6)*LN(J1232))+('BLAZE SHIELD II'!$D$7*('CALCULO MORTERO'!I1232^2)+'BLAZE SHIELD II'!$D$8*'CALCULO MORTERO'!I1232+'BLAZE SHIELD II'!$D$9)),0)+IF(AND(L1232="Blaze Shield II",M1232="Software Idiem",C1232="Cj"),((('BLAZE SHIELD II'!$H$4*('CALCULO MORTERO'!I1232^2)+'BLAZE SHIELD II'!$H$5*'CALCULO MORTERO'!I1232+'BLAZE SHIELD II'!$H$6)*LN(J1232))+('BLAZE SHIELD II'!$H$7*('CALCULO MORTERO'!I1232^2)+'BLAZE SHIELD II'!$H$8*'CALCULO MORTERO'!I1232+'BLAZE SHIELD II'!$H$9)),0)+IF(AND(L1232="Blaze Shield II",M1232="Software Idiem",C1232="C"),((('BLAZE SHIELD II'!$L$4*('CALCULO MORTERO'!I1232^2)+'BLAZE SHIELD II'!$L$5*'CALCULO MORTERO'!I1232+'BLAZE SHIELD II'!$L$6)*LN(J1232))+('BLAZE SHIELD II'!$L$7*('CALCULO MORTERO'!I1232^2)+'BLAZE SHIELD II'!$L$8*'CALCULO MORTERO'!I1232+'BLAZE SHIELD II'!$L$9)),0)+IF(AND(L1232="Blaze Shield II",M1232="Software Idiem",C1232="L"),((('BLAZE SHIELD II'!$L$4*('CALCULO MORTERO'!I1232^2)+'BLAZE SHIELD II'!$L$5*'CALCULO MORTERO'!I1232+'BLAZE SHIELD II'!$L$6)*LN(J1232))+('BLAZE SHIELD II'!$L$7*('CALCULO MORTERO'!I1232^2)+'BLAZE SHIELD II'!$L$8*'CALCULO MORTERO'!I1232+'BLAZE SHIELD II'!$L$9)),0)+IF(AND(L1232="Blaze Shield II",M1232="Software Idiem",C1232="IN",G1232=3),((('BLAZE SHIELD II'!$H$14*('CALCULO MORTERO'!I1232^2)+'BLAZE SHIELD II'!$H$15*'CALCULO MORTERO'!I1232+'BLAZE SHIELD II'!$H$16)*LN(J1232))+('BLAZE SHIELD II'!$H$17*('CALCULO MORTERO'!I1232^2)+'BLAZE SHIELD II'!$H$18*'CALCULO MORTERO'!I1232+'BLAZE SHIELD II'!$H$19)),0),0)+ROUND(IF(AND(L1232="Cafco 400",M1232="Software Idiem",C1232="IN",G1232=4),((('CAFCO 400 '!$H$7*(J1232^4)+'CAFCO 400 '!$H$8*(J1232^3)+'CAFCO 400 '!$H$9*(J1232^2)+'CAFCO 400 '!$H$10*J1232+'CAFCO 400 '!$H$11)*U1232^2)+(('CAFCO 400 '!$H$12*(J1232^3)+'CAFCO 400 '!$H$13*(J1232^2)+'CAFCO 400 '!$H$14*J1232+'CAFCO 400 '!$H$15)*U1232)+('CAFCO 400 '!$H$16*(J1232^2)+'CAFCO 400 '!$H$17*J1232+'CAFCO 400 '!$H$18)),0)+IF(AND(L1232="Cafco 400",M1232="Software Idiem",C1232="Cj"),(((('CAFCO 400 '!$D$7*LN(J1232)+'CAFCO 400 '!$D$8)*U1232^2)+(('CAFCO 400 '!$D$9*LN(J1232)+'CAFCO 400 '!$D$10)*U1232)+('CAFCO 400 '!$D$11*LN(J1232)+'CAFCO 400 '!$D$12))),0)+IF(AND(L1232="Cafco 400",M1232="Software Idiem",C1232="C"),((('CAFCO 400 '!$L$7*(J1232^3)+'CAFCO 400 '!$L$8*(J1232^2)+'CAFCO 400 '!$L$9*J1232+'CAFCO 400 '!$L$10)*U1232^2)+(('CAFCO 400 '!$L$11*(J1232^3)+'CAFCO 400 '!$L$12*(J1232^2)+'CAFCO 400 '!$L$13*J1232+'CAFCO 400 '!$L$14)*U1232)+('CAFCO 400 '!$L$15*LN(J1232)+'CAFCO 400 '!$L$16)),0)+IF(AND(L1232="Cafco 400",M1232="Software Idiem",C1232="L"),((('CAFCO 400 '!$L$7*(J1232^3)+'CAFCO 400 '!$L$8*(J1232^2)+'CAFCO 400 '!$L$9*J1232+'CAFCO 400 '!$L$10)*U1232^2)+(('CAFCO 400 '!$L$11*(J1232^3)+'CAFCO 400 '!$L$12*(J1232^2)+'CAFCO 400 '!$L$13*J1232+'CAFCO 400 '!$L$14)*U1232)+('CAFCO 400 '!$L$15*LN(J1232)+'CAFCO 400 '!$L$16)),0)+IF(AND(L1232="Cafco 400",M1232="Software Idiem",C1232="IN",G1232=3),((('CAFCO 400 '!$D$23*(J1232^2)+'CAFCO 400 '!$D$24*(J1232)+'CAFCO 400 '!$D$25)*U1232^2)+(('CAFCO 400 '!$D$26*(J1232^2)+'CAFCO 400 '!$D$27*J1232+'CAFCO 400 '!$D$28)*U1232)+('CAFCO 400 '!$D$29*(J1232^2)+'CAFCO 400 '!$D$30*J1232+'CAFCO 400 '!$D$31)),0),0)+IF(AND(L1232="Cafco 300",J1232&gt;=95,J1232&lt;=240,C1232="Cj",I1232=90),VLOOKUP(T1232,'CAFCO 300 IDIEM TABLAS'!$B$4:$D$23,2,FALSE),0)+IF(AND(L1232="Cafco 300",J1232&gt;=95,J1232&lt;=240,C1232="Cj",I1232=120),VLOOKUP(T1232,'CAFCO 300 IDIEM TABLAS'!$B$4:$D$23,3,FALSE),0)+IF(AND(L1232="Cafco 300",J1232&gt;=95,J1232&lt;=400,G1232=3,C1232="IN",I1232=90),VLOOKUP(T1232,'CAFCO 300 IDIEM TABLAS'!$F$4:$H$35,2,FALSE),0)+IF(AND(L1232="Cafco 300",J1232&gt;=95,J1232&lt;=400,G1232=3,C1232="IN",I1232=120),VLOOKUP(T1232,'CAFCO 300 IDIEM TABLAS'!$F$4:$H$35,3,FALSE),0)+IF(AND(L1232="Cafco 300",J1232&gt;=95,J1232&lt;=450,G1232=4,C1232="IN",I1232=90),VLOOKUP(T1232,'CAFCO 300 IDIEM TABLAS'!$J$4:$L$40,2,FALSE),0)+IF(AND(L1232="Cafco 300",J1232&gt;=95,J1232&lt;=450,G1232=4,C1232="IN",I1232=120),VLOOKUP(T1232,'CAFCO 300 IDIEM TABLAS'!$J$4:$L$40,3,FALSE),0)+IF(AND(M1232="Ensayo Idiem",L1232="Cafco 400",C1232="IN",G1232=4,I1232=90),VLOOKUP(T1232,'CAFCO 400 ENSAYO'!$B$7:$D$43,2,FALSE),0)+IF(AND(M1232="Ensayo Idiem",L1232="Cafco 400",C1232="IN",G1232=4,I1232=120),VLOOKUP(T1232,'CAFCO 400 ENSAYO'!$B$7:$D$43,3,FALSE),0)</f>
        <v>0</v>
      </c>
      <c r="O1232" s="96">
        <f t="shared" si="126"/>
        <v>0</v>
      </c>
      <c r="P1232" s="95" t="str">
        <f t="shared" si="121"/>
        <v>N/A</v>
      </c>
      <c r="Q1232" s="95" t="str">
        <f t="shared" si="122"/>
        <v>N/A</v>
      </c>
      <c r="R1232" s="95" t="str">
        <f t="shared" si="123"/>
        <v>NO CERT.</v>
      </c>
      <c r="S1232" s="95" t="e">
        <f t="shared" si="124"/>
        <v>#N/A</v>
      </c>
      <c r="T1232" s="119" t="e">
        <f>+IF(J1232=LOOKUP(J1232,'CAFCO 300 IDIEM TABLAS'!$J$4:$J$40),'CALCULO MORTERO'!J1232,MROUND('CALCULO MORTERO'!J1232,10))</f>
        <v>#N/A</v>
      </c>
      <c r="U1232" s="118">
        <f t="shared" si="125"/>
        <v>0</v>
      </c>
    </row>
    <row r="1233" spans="1:21" x14ac:dyDescent="0.25">
      <c r="A1233" s="118">
        <f>+CUBICACION!D1227</f>
        <v>0</v>
      </c>
      <c r="B1233" s="819">
        <f>+CUBICACION!E1227</f>
        <v>0</v>
      </c>
      <c r="C1233" s="675">
        <f>+CUBICACION!F1227</f>
        <v>0</v>
      </c>
      <c r="D1233" s="118"/>
      <c r="E1233" s="118"/>
      <c r="F1233" s="820"/>
      <c r="G1233" s="675">
        <f>+CUBICACION!J1227</f>
        <v>0</v>
      </c>
      <c r="H1233" s="118"/>
      <c r="I1233" s="821">
        <f>+CUBICACION!L1227</f>
        <v>0</v>
      </c>
      <c r="J1233" s="64">
        <f>+CUBICACION!M1227</f>
        <v>0</v>
      </c>
      <c r="K1233" s="822" t="str">
        <f>+CUBICACION!N1227</f>
        <v/>
      </c>
      <c r="L1233" s="118">
        <f>+CUBICACION!O1227</f>
        <v>0</v>
      </c>
      <c r="M1233" s="823">
        <f>+CUBICACION!P1227</f>
        <v>0</v>
      </c>
      <c r="N1233" s="902">
        <f>ROUND(IF(AND(L1233="Blaze Shield II",M1233="Software Idiem",C1233="IN",G1233=4),((('BLAZE SHIELD II'!$D$4*('CALCULO MORTERO'!I1233^2)+'BLAZE SHIELD II'!$D$5*'CALCULO MORTERO'!I1233+'BLAZE SHIELD II'!$D$6)*LN(J1233))+('BLAZE SHIELD II'!$D$7*('CALCULO MORTERO'!I1233^2)+'BLAZE SHIELD II'!$D$8*'CALCULO MORTERO'!I1233+'BLAZE SHIELD II'!$D$9)),0)+IF(AND(L1233="Blaze Shield II",M1233="Software Idiem",C1233="Cj"),((('BLAZE SHIELD II'!$H$4*('CALCULO MORTERO'!I1233^2)+'BLAZE SHIELD II'!$H$5*'CALCULO MORTERO'!I1233+'BLAZE SHIELD II'!$H$6)*LN(J1233))+('BLAZE SHIELD II'!$H$7*('CALCULO MORTERO'!I1233^2)+'BLAZE SHIELD II'!$H$8*'CALCULO MORTERO'!I1233+'BLAZE SHIELD II'!$H$9)),0)+IF(AND(L1233="Blaze Shield II",M1233="Software Idiem",C1233="C"),((('BLAZE SHIELD II'!$L$4*('CALCULO MORTERO'!I1233^2)+'BLAZE SHIELD II'!$L$5*'CALCULO MORTERO'!I1233+'BLAZE SHIELD II'!$L$6)*LN(J1233))+('BLAZE SHIELD II'!$L$7*('CALCULO MORTERO'!I1233^2)+'BLAZE SHIELD II'!$L$8*'CALCULO MORTERO'!I1233+'BLAZE SHIELD II'!$L$9)),0)+IF(AND(L1233="Blaze Shield II",M1233="Software Idiem",C1233="L"),((('BLAZE SHIELD II'!$L$4*('CALCULO MORTERO'!I1233^2)+'BLAZE SHIELD II'!$L$5*'CALCULO MORTERO'!I1233+'BLAZE SHIELD II'!$L$6)*LN(J1233))+('BLAZE SHIELD II'!$L$7*('CALCULO MORTERO'!I1233^2)+'BLAZE SHIELD II'!$L$8*'CALCULO MORTERO'!I1233+'BLAZE SHIELD II'!$L$9)),0)+IF(AND(L1233="Blaze Shield II",M1233="Software Idiem",C1233="IN",G1233=3),((('BLAZE SHIELD II'!$H$14*('CALCULO MORTERO'!I1233^2)+'BLAZE SHIELD II'!$H$15*'CALCULO MORTERO'!I1233+'BLAZE SHIELD II'!$H$16)*LN(J1233))+('BLAZE SHIELD II'!$H$17*('CALCULO MORTERO'!I1233^2)+'BLAZE SHIELD II'!$H$18*'CALCULO MORTERO'!I1233+'BLAZE SHIELD II'!$H$19)),0),0)+ROUND(IF(AND(L1233="Cafco 400",M1233="Software Idiem",C1233="IN",G1233=4),((('CAFCO 400 '!$H$7*(J1233^4)+'CAFCO 400 '!$H$8*(J1233^3)+'CAFCO 400 '!$H$9*(J1233^2)+'CAFCO 400 '!$H$10*J1233+'CAFCO 400 '!$H$11)*U1233^2)+(('CAFCO 400 '!$H$12*(J1233^3)+'CAFCO 400 '!$H$13*(J1233^2)+'CAFCO 400 '!$H$14*J1233+'CAFCO 400 '!$H$15)*U1233)+('CAFCO 400 '!$H$16*(J1233^2)+'CAFCO 400 '!$H$17*J1233+'CAFCO 400 '!$H$18)),0)+IF(AND(L1233="Cafco 400",M1233="Software Idiem",C1233="Cj"),(((('CAFCO 400 '!$D$7*LN(J1233)+'CAFCO 400 '!$D$8)*U1233^2)+(('CAFCO 400 '!$D$9*LN(J1233)+'CAFCO 400 '!$D$10)*U1233)+('CAFCO 400 '!$D$11*LN(J1233)+'CAFCO 400 '!$D$12))),0)+IF(AND(L1233="Cafco 400",M1233="Software Idiem",C1233="C"),((('CAFCO 400 '!$L$7*(J1233^3)+'CAFCO 400 '!$L$8*(J1233^2)+'CAFCO 400 '!$L$9*J1233+'CAFCO 400 '!$L$10)*U1233^2)+(('CAFCO 400 '!$L$11*(J1233^3)+'CAFCO 400 '!$L$12*(J1233^2)+'CAFCO 400 '!$L$13*J1233+'CAFCO 400 '!$L$14)*U1233)+('CAFCO 400 '!$L$15*LN(J1233)+'CAFCO 400 '!$L$16)),0)+IF(AND(L1233="Cafco 400",M1233="Software Idiem",C1233="L"),((('CAFCO 400 '!$L$7*(J1233^3)+'CAFCO 400 '!$L$8*(J1233^2)+'CAFCO 400 '!$L$9*J1233+'CAFCO 400 '!$L$10)*U1233^2)+(('CAFCO 400 '!$L$11*(J1233^3)+'CAFCO 400 '!$L$12*(J1233^2)+'CAFCO 400 '!$L$13*J1233+'CAFCO 400 '!$L$14)*U1233)+('CAFCO 400 '!$L$15*LN(J1233)+'CAFCO 400 '!$L$16)),0)+IF(AND(L1233="Cafco 400",M1233="Software Idiem",C1233="IN",G1233=3),((('CAFCO 400 '!$D$23*(J1233^2)+'CAFCO 400 '!$D$24*(J1233)+'CAFCO 400 '!$D$25)*U1233^2)+(('CAFCO 400 '!$D$26*(J1233^2)+'CAFCO 400 '!$D$27*J1233+'CAFCO 400 '!$D$28)*U1233)+('CAFCO 400 '!$D$29*(J1233^2)+'CAFCO 400 '!$D$30*J1233+'CAFCO 400 '!$D$31)),0),0)+IF(AND(L1233="Cafco 300",J1233&gt;=95,J1233&lt;=240,C1233="Cj",I1233=90),VLOOKUP(T1233,'CAFCO 300 IDIEM TABLAS'!$B$4:$D$23,2,FALSE),0)+IF(AND(L1233="Cafco 300",J1233&gt;=95,J1233&lt;=240,C1233="Cj",I1233=120),VLOOKUP(T1233,'CAFCO 300 IDIEM TABLAS'!$B$4:$D$23,3,FALSE),0)+IF(AND(L1233="Cafco 300",J1233&gt;=95,J1233&lt;=400,G1233=3,C1233="IN",I1233=90),VLOOKUP(T1233,'CAFCO 300 IDIEM TABLAS'!$F$4:$H$35,2,FALSE),0)+IF(AND(L1233="Cafco 300",J1233&gt;=95,J1233&lt;=400,G1233=3,C1233="IN",I1233=120),VLOOKUP(T1233,'CAFCO 300 IDIEM TABLAS'!$F$4:$H$35,3,FALSE),0)+IF(AND(L1233="Cafco 300",J1233&gt;=95,J1233&lt;=450,G1233=4,C1233="IN",I1233=90),VLOOKUP(T1233,'CAFCO 300 IDIEM TABLAS'!$J$4:$L$40,2,FALSE),0)+IF(AND(L1233="Cafco 300",J1233&gt;=95,J1233&lt;=450,G1233=4,C1233="IN",I1233=120),VLOOKUP(T1233,'CAFCO 300 IDIEM TABLAS'!$J$4:$L$40,3,FALSE),0)+IF(AND(M1233="Ensayo Idiem",L1233="Cafco 400",C1233="IN",G1233=4,I1233=90),VLOOKUP(T1233,'CAFCO 400 ENSAYO'!$B$7:$D$43,2,FALSE),0)+IF(AND(M1233="Ensayo Idiem",L1233="Cafco 400",C1233="IN",G1233=4,I1233=120),VLOOKUP(T1233,'CAFCO 400 ENSAYO'!$B$7:$D$43,3,FALSE),0)</f>
        <v>0</v>
      </c>
      <c r="O1233" s="96">
        <f t="shared" si="126"/>
        <v>0</v>
      </c>
      <c r="P1233" s="132" t="str">
        <f t="shared" si="121"/>
        <v>N/A</v>
      </c>
      <c r="Q1233" s="132" t="str">
        <f t="shared" si="122"/>
        <v>N/A</v>
      </c>
      <c r="R1233" s="132" t="str">
        <f t="shared" si="123"/>
        <v>NO CERT.</v>
      </c>
      <c r="S1233" s="132" t="e">
        <f t="shared" si="124"/>
        <v>#N/A</v>
      </c>
      <c r="T1233" s="133" t="e">
        <f>+IF(J1233=LOOKUP(J1233,'CAFCO 300 IDIEM TABLAS'!$J$4:$J$40),'CALCULO MORTERO'!J1233,MROUND('CALCULO MORTERO'!J1233,10))</f>
        <v>#N/A</v>
      </c>
      <c r="U1233" s="134">
        <f t="shared" si="125"/>
        <v>0</v>
      </c>
    </row>
    <row r="1234" spans="1:21" x14ac:dyDescent="0.25">
      <c r="A1234" s="118">
        <f>+CUBICACION!D1228</f>
        <v>0</v>
      </c>
      <c r="B1234" s="819">
        <f>+CUBICACION!E1228</f>
        <v>0</v>
      </c>
      <c r="C1234" s="675">
        <f>+CUBICACION!F1228</f>
        <v>0</v>
      </c>
      <c r="D1234" s="118"/>
      <c r="E1234" s="118"/>
      <c r="F1234" s="820"/>
      <c r="G1234" s="675">
        <f>+CUBICACION!J1228</f>
        <v>0</v>
      </c>
      <c r="H1234" s="118"/>
      <c r="I1234" s="821">
        <f>+CUBICACION!L1228</f>
        <v>0</v>
      </c>
      <c r="J1234" s="64">
        <f>+CUBICACION!M1228</f>
        <v>0</v>
      </c>
      <c r="K1234" s="822" t="str">
        <f>+CUBICACION!N1228</f>
        <v/>
      </c>
      <c r="L1234" s="118">
        <f>+CUBICACION!O1228</f>
        <v>0</v>
      </c>
      <c r="M1234" s="823">
        <f>+CUBICACION!P1228</f>
        <v>0</v>
      </c>
      <c r="N1234" s="902">
        <f>ROUND(IF(AND(L1234="Blaze Shield II",M1234="Software Idiem",C1234="IN",G1234=4),((('BLAZE SHIELD II'!$D$4*('CALCULO MORTERO'!I1234^2)+'BLAZE SHIELD II'!$D$5*'CALCULO MORTERO'!I1234+'BLAZE SHIELD II'!$D$6)*LN(J1234))+('BLAZE SHIELD II'!$D$7*('CALCULO MORTERO'!I1234^2)+'BLAZE SHIELD II'!$D$8*'CALCULO MORTERO'!I1234+'BLAZE SHIELD II'!$D$9)),0)+IF(AND(L1234="Blaze Shield II",M1234="Software Idiem",C1234="Cj"),((('BLAZE SHIELD II'!$H$4*('CALCULO MORTERO'!I1234^2)+'BLAZE SHIELD II'!$H$5*'CALCULO MORTERO'!I1234+'BLAZE SHIELD II'!$H$6)*LN(J1234))+('BLAZE SHIELD II'!$H$7*('CALCULO MORTERO'!I1234^2)+'BLAZE SHIELD II'!$H$8*'CALCULO MORTERO'!I1234+'BLAZE SHIELD II'!$H$9)),0)+IF(AND(L1234="Blaze Shield II",M1234="Software Idiem",C1234="C"),((('BLAZE SHIELD II'!$L$4*('CALCULO MORTERO'!I1234^2)+'BLAZE SHIELD II'!$L$5*'CALCULO MORTERO'!I1234+'BLAZE SHIELD II'!$L$6)*LN(J1234))+('BLAZE SHIELD II'!$L$7*('CALCULO MORTERO'!I1234^2)+'BLAZE SHIELD II'!$L$8*'CALCULO MORTERO'!I1234+'BLAZE SHIELD II'!$L$9)),0)+IF(AND(L1234="Blaze Shield II",M1234="Software Idiem",C1234="L"),((('BLAZE SHIELD II'!$L$4*('CALCULO MORTERO'!I1234^2)+'BLAZE SHIELD II'!$L$5*'CALCULO MORTERO'!I1234+'BLAZE SHIELD II'!$L$6)*LN(J1234))+('BLAZE SHIELD II'!$L$7*('CALCULO MORTERO'!I1234^2)+'BLAZE SHIELD II'!$L$8*'CALCULO MORTERO'!I1234+'BLAZE SHIELD II'!$L$9)),0)+IF(AND(L1234="Blaze Shield II",M1234="Software Idiem",C1234="IN",G1234=3),((('BLAZE SHIELD II'!$H$14*('CALCULO MORTERO'!I1234^2)+'BLAZE SHIELD II'!$H$15*'CALCULO MORTERO'!I1234+'BLAZE SHIELD II'!$H$16)*LN(J1234))+('BLAZE SHIELD II'!$H$17*('CALCULO MORTERO'!I1234^2)+'BLAZE SHIELD II'!$H$18*'CALCULO MORTERO'!I1234+'BLAZE SHIELD II'!$H$19)),0),0)+ROUND(IF(AND(L1234="Cafco 400",M1234="Software Idiem",C1234="IN",G1234=4),((('CAFCO 400 '!$H$7*(J1234^4)+'CAFCO 400 '!$H$8*(J1234^3)+'CAFCO 400 '!$H$9*(J1234^2)+'CAFCO 400 '!$H$10*J1234+'CAFCO 400 '!$H$11)*U1234^2)+(('CAFCO 400 '!$H$12*(J1234^3)+'CAFCO 400 '!$H$13*(J1234^2)+'CAFCO 400 '!$H$14*J1234+'CAFCO 400 '!$H$15)*U1234)+('CAFCO 400 '!$H$16*(J1234^2)+'CAFCO 400 '!$H$17*J1234+'CAFCO 400 '!$H$18)),0)+IF(AND(L1234="Cafco 400",M1234="Software Idiem",C1234="Cj"),(((('CAFCO 400 '!$D$7*LN(J1234)+'CAFCO 400 '!$D$8)*U1234^2)+(('CAFCO 400 '!$D$9*LN(J1234)+'CAFCO 400 '!$D$10)*U1234)+('CAFCO 400 '!$D$11*LN(J1234)+'CAFCO 400 '!$D$12))),0)+IF(AND(L1234="Cafco 400",M1234="Software Idiem",C1234="C"),((('CAFCO 400 '!$L$7*(J1234^3)+'CAFCO 400 '!$L$8*(J1234^2)+'CAFCO 400 '!$L$9*J1234+'CAFCO 400 '!$L$10)*U1234^2)+(('CAFCO 400 '!$L$11*(J1234^3)+'CAFCO 400 '!$L$12*(J1234^2)+'CAFCO 400 '!$L$13*J1234+'CAFCO 400 '!$L$14)*U1234)+('CAFCO 400 '!$L$15*LN(J1234)+'CAFCO 400 '!$L$16)),0)+IF(AND(L1234="Cafco 400",M1234="Software Idiem",C1234="L"),((('CAFCO 400 '!$L$7*(J1234^3)+'CAFCO 400 '!$L$8*(J1234^2)+'CAFCO 400 '!$L$9*J1234+'CAFCO 400 '!$L$10)*U1234^2)+(('CAFCO 400 '!$L$11*(J1234^3)+'CAFCO 400 '!$L$12*(J1234^2)+'CAFCO 400 '!$L$13*J1234+'CAFCO 400 '!$L$14)*U1234)+('CAFCO 400 '!$L$15*LN(J1234)+'CAFCO 400 '!$L$16)),0)+IF(AND(L1234="Cafco 400",M1234="Software Idiem",C1234="IN",G1234=3),((('CAFCO 400 '!$D$23*(J1234^2)+'CAFCO 400 '!$D$24*(J1234)+'CAFCO 400 '!$D$25)*U1234^2)+(('CAFCO 400 '!$D$26*(J1234^2)+'CAFCO 400 '!$D$27*J1234+'CAFCO 400 '!$D$28)*U1234)+('CAFCO 400 '!$D$29*(J1234^2)+'CAFCO 400 '!$D$30*J1234+'CAFCO 400 '!$D$31)),0),0)+IF(AND(L1234="Cafco 300",J1234&gt;=95,J1234&lt;=240,C1234="Cj",I1234=90),VLOOKUP(T1234,'CAFCO 300 IDIEM TABLAS'!$B$4:$D$23,2,FALSE),0)+IF(AND(L1234="Cafco 300",J1234&gt;=95,J1234&lt;=240,C1234="Cj",I1234=120),VLOOKUP(T1234,'CAFCO 300 IDIEM TABLAS'!$B$4:$D$23,3,FALSE),0)+IF(AND(L1234="Cafco 300",J1234&gt;=95,J1234&lt;=400,G1234=3,C1234="IN",I1234=90),VLOOKUP(T1234,'CAFCO 300 IDIEM TABLAS'!$F$4:$H$35,2,FALSE),0)+IF(AND(L1234="Cafco 300",J1234&gt;=95,J1234&lt;=400,G1234=3,C1234="IN",I1234=120),VLOOKUP(T1234,'CAFCO 300 IDIEM TABLAS'!$F$4:$H$35,3,FALSE),0)+IF(AND(L1234="Cafco 300",J1234&gt;=95,J1234&lt;=450,G1234=4,C1234="IN",I1234=90),VLOOKUP(T1234,'CAFCO 300 IDIEM TABLAS'!$J$4:$L$40,2,FALSE),0)+IF(AND(L1234="Cafco 300",J1234&gt;=95,J1234&lt;=450,G1234=4,C1234="IN",I1234=120),VLOOKUP(T1234,'CAFCO 300 IDIEM TABLAS'!$J$4:$L$40,3,FALSE),0)+IF(AND(M1234="Ensayo Idiem",L1234="Cafco 400",C1234="IN",G1234=4,I1234=90),VLOOKUP(T1234,'CAFCO 400 ENSAYO'!$B$7:$D$43,2,FALSE),0)+IF(AND(M1234="Ensayo Idiem",L1234="Cafco 400",C1234="IN",G1234=4,I1234=120),VLOOKUP(T1234,'CAFCO 400 ENSAYO'!$B$7:$D$43,3,FALSE),0)</f>
        <v>0</v>
      </c>
      <c r="O1234" s="96">
        <f t="shared" si="126"/>
        <v>0</v>
      </c>
      <c r="P1234" s="95" t="str">
        <f t="shared" si="121"/>
        <v>N/A</v>
      </c>
      <c r="Q1234" s="95" t="str">
        <f t="shared" si="122"/>
        <v>N/A</v>
      </c>
      <c r="R1234" s="95" t="str">
        <f t="shared" si="123"/>
        <v>NO CERT.</v>
      </c>
      <c r="S1234" s="95" t="e">
        <f t="shared" si="124"/>
        <v>#N/A</v>
      </c>
      <c r="T1234" s="119" t="e">
        <f>+IF(J1234=LOOKUP(J1234,'CAFCO 300 IDIEM TABLAS'!$J$4:$J$40),'CALCULO MORTERO'!J1234,MROUND('CALCULO MORTERO'!J1234,10))</f>
        <v>#N/A</v>
      </c>
      <c r="U1234" s="118">
        <f t="shared" si="125"/>
        <v>0</v>
      </c>
    </row>
    <row r="1235" spans="1:21" x14ac:dyDescent="0.25">
      <c r="A1235" s="118">
        <f>+CUBICACION!D1229</f>
        <v>0</v>
      </c>
      <c r="B1235" s="819">
        <f>+CUBICACION!E1229</f>
        <v>0</v>
      </c>
      <c r="C1235" s="675">
        <f>+CUBICACION!F1229</f>
        <v>0</v>
      </c>
      <c r="D1235" s="118"/>
      <c r="E1235" s="118"/>
      <c r="F1235" s="820"/>
      <c r="G1235" s="675">
        <f>+CUBICACION!J1229</f>
        <v>0</v>
      </c>
      <c r="H1235" s="118"/>
      <c r="I1235" s="821">
        <f>+CUBICACION!L1229</f>
        <v>0</v>
      </c>
      <c r="J1235" s="64">
        <f>+CUBICACION!M1229</f>
        <v>0</v>
      </c>
      <c r="K1235" s="822" t="str">
        <f>+CUBICACION!N1229</f>
        <v/>
      </c>
      <c r="L1235" s="118">
        <f>+CUBICACION!O1229</f>
        <v>0</v>
      </c>
      <c r="M1235" s="823">
        <f>+CUBICACION!P1229</f>
        <v>0</v>
      </c>
      <c r="N1235" s="902">
        <f>ROUND(IF(AND(L1235="Blaze Shield II",M1235="Software Idiem",C1235="IN",G1235=4),((('BLAZE SHIELD II'!$D$4*('CALCULO MORTERO'!I1235^2)+'BLAZE SHIELD II'!$D$5*'CALCULO MORTERO'!I1235+'BLAZE SHIELD II'!$D$6)*LN(J1235))+('BLAZE SHIELD II'!$D$7*('CALCULO MORTERO'!I1235^2)+'BLAZE SHIELD II'!$D$8*'CALCULO MORTERO'!I1235+'BLAZE SHIELD II'!$D$9)),0)+IF(AND(L1235="Blaze Shield II",M1235="Software Idiem",C1235="Cj"),((('BLAZE SHIELD II'!$H$4*('CALCULO MORTERO'!I1235^2)+'BLAZE SHIELD II'!$H$5*'CALCULO MORTERO'!I1235+'BLAZE SHIELD II'!$H$6)*LN(J1235))+('BLAZE SHIELD II'!$H$7*('CALCULO MORTERO'!I1235^2)+'BLAZE SHIELD II'!$H$8*'CALCULO MORTERO'!I1235+'BLAZE SHIELD II'!$H$9)),0)+IF(AND(L1235="Blaze Shield II",M1235="Software Idiem",C1235="C"),((('BLAZE SHIELD II'!$L$4*('CALCULO MORTERO'!I1235^2)+'BLAZE SHIELD II'!$L$5*'CALCULO MORTERO'!I1235+'BLAZE SHIELD II'!$L$6)*LN(J1235))+('BLAZE SHIELD II'!$L$7*('CALCULO MORTERO'!I1235^2)+'BLAZE SHIELD II'!$L$8*'CALCULO MORTERO'!I1235+'BLAZE SHIELD II'!$L$9)),0)+IF(AND(L1235="Blaze Shield II",M1235="Software Idiem",C1235="L"),((('BLAZE SHIELD II'!$L$4*('CALCULO MORTERO'!I1235^2)+'BLAZE SHIELD II'!$L$5*'CALCULO MORTERO'!I1235+'BLAZE SHIELD II'!$L$6)*LN(J1235))+('BLAZE SHIELD II'!$L$7*('CALCULO MORTERO'!I1235^2)+'BLAZE SHIELD II'!$L$8*'CALCULO MORTERO'!I1235+'BLAZE SHIELD II'!$L$9)),0)+IF(AND(L1235="Blaze Shield II",M1235="Software Idiem",C1235="IN",G1235=3),((('BLAZE SHIELD II'!$H$14*('CALCULO MORTERO'!I1235^2)+'BLAZE SHIELD II'!$H$15*'CALCULO MORTERO'!I1235+'BLAZE SHIELD II'!$H$16)*LN(J1235))+('BLAZE SHIELD II'!$H$17*('CALCULO MORTERO'!I1235^2)+'BLAZE SHIELD II'!$H$18*'CALCULO MORTERO'!I1235+'BLAZE SHIELD II'!$H$19)),0),0)+ROUND(IF(AND(L1235="Cafco 400",M1235="Software Idiem",C1235="IN",G1235=4),((('CAFCO 400 '!$H$7*(J1235^4)+'CAFCO 400 '!$H$8*(J1235^3)+'CAFCO 400 '!$H$9*(J1235^2)+'CAFCO 400 '!$H$10*J1235+'CAFCO 400 '!$H$11)*U1235^2)+(('CAFCO 400 '!$H$12*(J1235^3)+'CAFCO 400 '!$H$13*(J1235^2)+'CAFCO 400 '!$H$14*J1235+'CAFCO 400 '!$H$15)*U1235)+('CAFCO 400 '!$H$16*(J1235^2)+'CAFCO 400 '!$H$17*J1235+'CAFCO 400 '!$H$18)),0)+IF(AND(L1235="Cafco 400",M1235="Software Idiem",C1235="Cj"),(((('CAFCO 400 '!$D$7*LN(J1235)+'CAFCO 400 '!$D$8)*U1235^2)+(('CAFCO 400 '!$D$9*LN(J1235)+'CAFCO 400 '!$D$10)*U1235)+('CAFCO 400 '!$D$11*LN(J1235)+'CAFCO 400 '!$D$12))),0)+IF(AND(L1235="Cafco 400",M1235="Software Idiem",C1235="C"),((('CAFCO 400 '!$L$7*(J1235^3)+'CAFCO 400 '!$L$8*(J1235^2)+'CAFCO 400 '!$L$9*J1235+'CAFCO 400 '!$L$10)*U1235^2)+(('CAFCO 400 '!$L$11*(J1235^3)+'CAFCO 400 '!$L$12*(J1235^2)+'CAFCO 400 '!$L$13*J1235+'CAFCO 400 '!$L$14)*U1235)+('CAFCO 400 '!$L$15*LN(J1235)+'CAFCO 400 '!$L$16)),0)+IF(AND(L1235="Cafco 400",M1235="Software Idiem",C1235="L"),((('CAFCO 400 '!$L$7*(J1235^3)+'CAFCO 400 '!$L$8*(J1235^2)+'CAFCO 400 '!$L$9*J1235+'CAFCO 400 '!$L$10)*U1235^2)+(('CAFCO 400 '!$L$11*(J1235^3)+'CAFCO 400 '!$L$12*(J1235^2)+'CAFCO 400 '!$L$13*J1235+'CAFCO 400 '!$L$14)*U1235)+('CAFCO 400 '!$L$15*LN(J1235)+'CAFCO 400 '!$L$16)),0)+IF(AND(L1235="Cafco 400",M1235="Software Idiem",C1235="IN",G1235=3),((('CAFCO 400 '!$D$23*(J1235^2)+'CAFCO 400 '!$D$24*(J1235)+'CAFCO 400 '!$D$25)*U1235^2)+(('CAFCO 400 '!$D$26*(J1235^2)+'CAFCO 400 '!$D$27*J1235+'CAFCO 400 '!$D$28)*U1235)+('CAFCO 400 '!$D$29*(J1235^2)+'CAFCO 400 '!$D$30*J1235+'CAFCO 400 '!$D$31)),0),0)+IF(AND(L1235="Cafco 300",J1235&gt;=95,J1235&lt;=240,C1235="Cj",I1235=90),VLOOKUP(T1235,'CAFCO 300 IDIEM TABLAS'!$B$4:$D$23,2,FALSE),0)+IF(AND(L1235="Cafco 300",J1235&gt;=95,J1235&lt;=240,C1235="Cj",I1235=120),VLOOKUP(T1235,'CAFCO 300 IDIEM TABLAS'!$B$4:$D$23,3,FALSE),0)+IF(AND(L1235="Cafco 300",J1235&gt;=95,J1235&lt;=400,G1235=3,C1235="IN",I1235=90),VLOOKUP(T1235,'CAFCO 300 IDIEM TABLAS'!$F$4:$H$35,2,FALSE),0)+IF(AND(L1235="Cafco 300",J1235&gt;=95,J1235&lt;=400,G1235=3,C1235="IN",I1235=120),VLOOKUP(T1235,'CAFCO 300 IDIEM TABLAS'!$F$4:$H$35,3,FALSE),0)+IF(AND(L1235="Cafco 300",J1235&gt;=95,J1235&lt;=450,G1235=4,C1235="IN",I1235=90),VLOOKUP(T1235,'CAFCO 300 IDIEM TABLAS'!$J$4:$L$40,2,FALSE),0)+IF(AND(L1235="Cafco 300",J1235&gt;=95,J1235&lt;=450,G1235=4,C1235="IN",I1235=120),VLOOKUP(T1235,'CAFCO 300 IDIEM TABLAS'!$J$4:$L$40,3,FALSE),0)+IF(AND(M1235="Ensayo Idiem",L1235="Cafco 400",C1235="IN",G1235=4,I1235=90),VLOOKUP(T1235,'CAFCO 400 ENSAYO'!$B$7:$D$43,2,FALSE),0)+IF(AND(M1235="Ensayo Idiem",L1235="Cafco 400",C1235="IN",G1235=4,I1235=120),VLOOKUP(T1235,'CAFCO 400 ENSAYO'!$B$7:$D$43,3,FALSE),0)</f>
        <v>0</v>
      </c>
      <c r="O1235" s="96">
        <f t="shared" si="126"/>
        <v>0</v>
      </c>
      <c r="P1235" s="132" t="str">
        <f t="shared" si="121"/>
        <v>N/A</v>
      </c>
      <c r="Q1235" s="132" t="str">
        <f t="shared" si="122"/>
        <v>N/A</v>
      </c>
      <c r="R1235" s="132" t="str">
        <f t="shared" si="123"/>
        <v>NO CERT.</v>
      </c>
      <c r="S1235" s="132" t="e">
        <f t="shared" si="124"/>
        <v>#N/A</v>
      </c>
      <c r="T1235" s="133" t="e">
        <f>+IF(J1235=LOOKUP(J1235,'CAFCO 300 IDIEM TABLAS'!$J$4:$J$40),'CALCULO MORTERO'!J1235,MROUND('CALCULO MORTERO'!J1235,10))</f>
        <v>#N/A</v>
      </c>
      <c r="U1235" s="134">
        <f t="shared" si="125"/>
        <v>0</v>
      </c>
    </row>
    <row r="1236" spans="1:21" x14ac:dyDescent="0.25">
      <c r="A1236" s="118">
        <f>+CUBICACION!D1230</f>
        <v>0</v>
      </c>
      <c r="B1236" s="819">
        <f>+CUBICACION!E1230</f>
        <v>0</v>
      </c>
      <c r="C1236" s="675">
        <f>+CUBICACION!F1230</f>
        <v>0</v>
      </c>
      <c r="D1236" s="118"/>
      <c r="E1236" s="118"/>
      <c r="F1236" s="820"/>
      <c r="G1236" s="675">
        <f>+CUBICACION!J1230</f>
        <v>0</v>
      </c>
      <c r="H1236" s="118"/>
      <c r="I1236" s="821">
        <f>+CUBICACION!L1230</f>
        <v>0</v>
      </c>
      <c r="J1236" s="64">
        <f>+CUBICACION!M1230</f>
        <v>0</v>
      </c>
      <c r="K1236" s="822" t="str">
        <f>+CUBICACION!N1230</f>
        <v/>
      </c>
      <c r="L1236" s="118">
        <f>+CUBICACION!O1230</f>
        <v>0</v>
      </c>
      <c r="M1236" s="823">
        <f>+CUBICACION!P1230</f>
        <v>0</v>
      </c>
      <c r="N1236" s="902">
        <f>ROUND(IF(AND(L1236="Blaze Shield II",M1236="Software Idiem",C1236="IN",G1236=4),((('BLAZE SHIELD II'!$D$4*('CALCULO MORTERO'!I1236^2)+'BLAZE SHIELD II'!$D$5*'CALCULO MORTERO'!I1236+'BLAZE SHIELD II'!$D$6)*LN(J1236))+('BLAZE SHIELD II'!$D$7*('CALCULO MORTERO'!I1236^2)+'BLAZE SHIELD II'!$D$8*'CALCULO MORTERO'!I1236+'BLAZE SHIELD II'!$D$9)),0)+IF(AND(L1236="Blaze Shield II",M1236="Software Idiem",C1236="Cj"),((('BLAZE SHIELD II'!$H$4*('CALCULO MORTERO'!I1236^2)+'BLAZE SHIELD II'!$H$5*'CALCULO MORTERO'!I1236+'BLAZE SHIELD II'!$H$6)*LN(J1236))+('BLAZE SHIELD II'!$H$7*('CALCULO MORTERO'!I1236^2)+'BLAZE SHIELD II'!$H$8*'CALCULO MORTERO'!I1236+'BLAZE SHIELD II'!$H$9)),0)+IF(AND(L1236="Blaze Shield II",M1236="Software Idiem",C1236="C"),((('BLAZE SHIELD II'!$L$4*('CALCULO MORTERO'!I1236^2)+'BLAZE SHIELD II'!$L$5*'CALCULO MORTERO'!I1236+'BLAZE SHIELD II'!$L$6)*LN(J1236))+('BLAZE SHIELD II'!$L$7*('CALCULO MORTERO'!I1236^2)+'BLAZE SHIELD II'!$L$8*'CALCULO MORTERO'!I1236+'BLAZE SHIELD II'!$L$9)),0)+IF(AND(L1236="Blaze Shield II",M1236="Software Idiem",C1236="L"),((('BLAZE SHIELD II'!$L$4*('CALCULO MORTERO'!I1236^2)+'BLAZE SHIELD II'!$L$5*'CALCULO MORTERO'!I1236+'BLAZE SHIELD II'!$L$6)*LN(J1236))+('BLAZE SHIELD II'!$L$7*('CALCULO MORTERO'!I1236^2)+'BLAZE SHIELD II'!$L$8*'CALCULO MORTERO'!I1236+'BLAZE SHIELD II'!$L$9)),0)+IF(AND(L1236="Blaze Shield II",M1236="Software Idiem",C1236="IN",G1236=3),((('BLAZE SHIELD II'!$H$14*('CALCULO MORTERO'!I1236^2)+'BLAZE SHIELD II'!$H$15*'CALCULO MORTERO'!I1236+'BLAZE SHIELD II'!$H$16)*LN(J1236))+('BLAZE SHIELD II'!$H$17*('CALCULO MORTERO'!I1236^2)+'BLAZE SHIELD II'!$H$18*'CALCULO MORTERO'!I1236+'BLAZE SHIELD II'!$H$19)),0),0)+ROUND(IF(AND(L1236="Cafco 400",M1236="Software Idiem",C1236="IN",G1236=4),((('CAFCO 400 '!$H$7*(J1236^4)+'CAFCO 400 '!$H$8*(J1236^3)+'CAFCO 400 '!$H$9*(J1236^2)+'CAFCO 400 '!$H$10*J1236+'CAFCO 400 '!$H$11)*U1236^2)+(('CAFCO 400 '!$H$12*(J1236^3)+'CAFCO 400 '!$H$13*(J1236^2)+'CAFCO 400 '!$H$14*J1236+'CAFCO 400 '!$H$15)*U1236)+('CAFCO 400 '!$H$16*(J1236^2)+'CAFCO 400 '!$H$17*J1236+'CAFCO 400 '!$H$18)),0)+IF(AND(L1236="Cafco 400",M1236="Software Idiem",C1236="Cj"),(((('CAFCO 400 '!$D$7*LN(J1236)+'CAFCO 400 '!$D$8)*U1236^2)+(('CAFCO 400 '!$D$9*LN(J1236)+'CAFCO 400 '!$D$10)*U1236)+('CAFCO 400 '!$D$11*LN(J1236)+'CAFCO 400 '!$D$12))),0)+IF(AND(L1236="Cafco 400",M1236="Software Idiem",C1236="C"),((('CAFCO 400 '!$L$7*(J1236^3)+'CAFCO 400 '!$L$8*(J1236^2)+'CAFCO 400 '!$L$9*J1236+'CAFCO 400 '!$L$10)*U1236^2)+(('CAFCO 400 '!$L$11*(J1236^3)+'CAFCO 400 '!$L$12*(J1236^2)+'CAFCO 400 '!$L$13*J1236+'CAFCO 400 '!$L$14)*U1236)+('CAFCO 400 '!$L$15*LN(J1236)+'CAFCO 400 '!$L$16)),0)+IF(AND(L1236="Cafco 400",M1236="Software Idiem",C1236="L"),((('CAFCO 400 '!$L$7*(J1236^3)+'CAFCO 400 '!$L$8*(J1236^2)+'CAFCO 400 '!$L$9*J1236+'CAFCO 400 '!$L$10)*U1236^2)+(('CAFCO 400 '!$L$11*(J1236^3)+'CAFCO 400 '!$L$12*(J1236^2)+'CAFCO 400 '!$L$13*J1236+'CAFCO 400 '!$L$14)*U1236)+('CAFCO 400 '!$L$15*LN(J1236)+'CAFCO 400 '!$L$16)),0)+IF(AND(L1236="Cafco 400",M1236="Software Idiem",C1236="IN",G1236=3),((('CAFCO 400 '!$D$23*(J1236^2)+'CAFCO 400 '!$D$24*(J1236)+'CAFCO 400 '!$D$25)*U1236^2)+(('CAFCO 400 '!$D$26*(J1236^2)+'CAFCO 400 '!$D$27*J1236+'CAFCO 400 '!$D$28)*U1236)+('CAFCO 400 '!$D$29*(J1236^2)+'CAFCO 400 '!$D$30*J1236+'CAFCO 400 '!$D$31)),0),0)+IF(AND(L1236="Cafco 300",J1236&gt;=95,J1236&lt;=240,C1236="Cj",I1236=90),VLOOKUP(T1236,'CAFCO 300 IDIEM TABLAS'!$B$4:$D$23,2,FALSE),0)+IF(AND(L1236="Cafco 300",J1236&gt;=95,J1236&lt;=240,C1236="Cj",I1236=120),VLOOKUP(T1236,'CAFCO 300 IDIEM TABLAS'!$B$4:$D$23,3,FALSE),0)+IF(AND(L1236="Cafco 300",J1236&gt;=95,J1236&lt;=400,G1236=3,C1236="IN",I1236=90),VLOOKUP(T1236,'CAFCO 300 IDIEM TABLAS'!$F$4:$H$35,2,FALSE),0)+IF(AND(L1236="Cafco 300",J1236&gt;=95,J1236&lt;=400,G1236=3,C1236="IN",I1236=120),VLOOKUP(T1236,'CAFCO 300 IDIEM TABLAS'!$F$4:$H$35,3,FALSE),0)+IF(AND(L1236="Cafco 300",J1236&gt;=95,J1236&lt;=450,G1236=4,C1236="IN",I1236=90),VLOOKUP(T1236,'CAFCO 300 IDIEM TABLAS'!$J$4:$L$40,2,FALSE),0)+IF(AND(L1236="Cafco 300",J1236&gt;=95,J1236&lt;=450,G1236=4,C1236="IN",I1236=120),VLOOKUP(T1236,'CAFCO 300 IDIEM TABLAS'!$J$4:$L$40,3,FALSE),0)+IF(AND(M1236="Ensayo Idiem",L1236="Cafco 400",C1236="IN",G1236=4,I1236=90),VLOOKUP(T1236,'CAFCO 400 ENSAYO'!$B$7:$D$43,2,FALSE),0)+IF(AND(M1236="Ensayo Idiem",L1236="Cafco 400",C1236="IN",G1236=4,I1236=120),VLOOKUP(T1236,'CAFCO 400 ENSAYO'!$B$7:$D$43,3,FALSE),0)</f>
        <v>0</v>
      </c>
      <c r="O1236" s="96">
        <f t="shared" si="126"/>
        <v>0</v>
      </c>
      <c r="P1236" s="95" t="str">
        <f t="shared" si="121"/>
        <v>N/A</v>
      </c>
      <c r="Q1236" s="95" t="str">
        <f t="shared" si="122"/>
        <v>N/A</v>
      </c>
      <c r="R1236" s="95" t="str">
        <f t="shared" si="123"/>
        <v>NO CERT.</v>
      </c>
      <c r="S1236" s="95" t="e">
        <f t="shared" si="124"/>
        <v>#N/A</v>
      </c>
      <c r="T1236" s="119" t="e">
        <f>+IF(J1236=LOOKUP(J1236,'CAFCO 300 IDIEM TABLAS'!$J$4:$J$40),'CALCULO MORTERO'!J1236,MROUND('CALCULO MORTERO'!J1236,10))</f>
        <v>#N/A</v>
      </c>
      <c r="U1236" s="118">
        <f t="shared" si="125"/>
        <v>0</v>
      </c>
    </row>
    <row r="1237" spans="1:21" x14ac:dyDescent="0.25">
      <c r="A1237" s="118">
        <f>+CUBICACION!D1231</f>
        <v>0</v>
      </c>
      <c r="B1237" s="819">
        <f>+CUBICACION!E1231</f>
        <v>0</v>
      </c>
      <c r="C1237" s="675">
        <f>+CUBICACION!F1231</f>
        <v>0</v>
      </c>
      <c r="D1237" s="118"/>
      <c r="E1237" s="118"/>
      <c r="F1237" s="820"/>
      <c r="G1237" s="675">
        <f>+CUBICACION!J1231</f>
        <v>0</v>
      </c>
      <c r="H1237" s="118"/>
      <c r="I1237" s="821">
        <f>+CUBICACION!L1231</f>
        <v>0</v>
      </c>
      <c r="J1237" s="64">
        <f>+CUBICACION!M1231</f>
        <v>0</v>
      </c>
      <c r="K1237" s="822" t="str">
        <f>+CUBICACION!N1231</f>
        <v/>
      </c>
      <c r="L1237" s="118">
        <f>+CUBICACION!O1231</f>
        <v>0</v>
      </c>
      <c r="M1237" s="823">
        <f>+CUBICACION!P1231</f>
        <v>0</v>
      </c>
      <c r="N1237" s="902">
        <f>ROUND(IF(AND(L1237="Blaze Shield II",M1237="Software Idiem",C1237="IN",G1237=4),((('BLAZE SHIELD II'!$D$4*('CALCULO MORTERO'!I1237^2)+'BLAZE SHIELD II'!$D$5*'CALCULO MORTERO'!I1237+'BLAZE SHIELD II'!$D$6)*LN(J1237))+('BLAZE SHIELD II'!$D$7*('CALCULO MORTERO'!I1237^2)+'BLAZE SHIELD II'!$D$8*'CALCULO MORTERO'!I1237+'BLAZE SHIELD II'!$D$9)),0)+IF(AND(L1237="Blaze Shield II",M1237="Software Idiem",C1237="Cj"),((('BLAZE SHIELD II'!$H$4*('CALCULO MORTERO'!I1237^2)+'BLAZE SHIELD II'!$H$5*'CALCULO MORTERO'!I1237+'BLAZE SHIELD II'!$H$6)*LN(J1237))+('BLAZE SHIELD II'!$H$7*('CALCULO MORTERO'!I1237^2)+'BLAZE SHIELD II'!$H$8*'CALCULO MORTERO'!I1237+'BLAZE SHIELD II'!$H$9)),0)+IF(AND(L1237="Blaze Shield II",M1237="Software Idiem",C1237="C"),((('BLAZE SHIELD II'!$L$4*('CALCULO MORTERO'!I1237^2)+'BLAZE SHIELD II'!$L$5*'CALCULO MORTERO'!I1237+'BLAZE SHIELD II'!$L$6)*LN(J1237))+('BLAZE SHIELD II'!$L$7*('CALCULO MORTERO'!I1237^2)+'BLAZE SHIELD II'!$L$8*'CALCULO MORTERO'!I1237+'BLAZE SHIELD II'!$L$9)),0)+IF(AND(L1237="Blaze Shield II",M1237="Software Idiem",C1237="L"),((('BLAZE SHIELD II'!$L$4*('CALCULO MORTERO'!I1237^2)+'BLAZE SHIELD II'!$L$5*'CALCULO MORTERO'!I1237+'BLAZE SHIELD II'!$L$6)*LN(J1237))+('BLAZE SHIELD II'!$L$7*('CALCULO MORTERO'!I1237^2)+'BLAZE SHIELD II'!$L$8*'CALCULO MORTERO'!I1237+'BLAZE SHIELD II'!$L$9)),0)+IF(AND(L1237="Blaze Shield II",M1237="Software Idiem",C1237="IN",G1237=3),((('BLAZE SHIELD II'!$H$14*('CALCULO MORTERO'!I1237^2)+'BLAZE SHIELD II'!$H$15*'CALCULO MORTERO'!I1237+'BLAZE SHIELD II'!$H$16)*LN(J1237))+('BLAZE SHIELD II'!$H$17*('CALCULO MORTERO'!I1237^2)+'BLAZE SHIELD II'!$H$18*'CALCULO MORTERO'!I1237+'BLAZE SHIELD II'!$H$19)),0),0)+ROUND(IF(AND(L1237="Cafco 400",M1237="Software Idiem",C1237="IN",G1237=4),((('CAFCO 400 '!$H$7*(J1237^4)+'CAFCO 400 '!$H$8*(J1237^3)+'CAFCO 400 '!$H$9*(J1237^2)+'CAFCO 400 '!$H$10*J1237+'CAFCO 400 '!$H$11)*U1237^2)+(('CAFCO 400 '!$H$12*(J1237^3)+'CAFCO 400 '!$H$13*(J1237^2)+'CAFCO 400 '!$H$14*J1237+'CAFCO 400 '!$H$15)*U1237)+('CAFCO 400 '!$H$16*(J1237^2)+'CAFCO 400 '!$H$17*J1237+'CAFCO 400 '!$H$18)),0)+IF(AND(L1237="Cafco 400",M1237="Software Idiem",C1237="Cj"),(((('CAFCO 400 '!$D$7*LN(J1237)+'CAFCO 400 '!$D$8)*U1237^2)+(('CAFCO 400 '!$D$9*LN(J1237)+'CAFCO 400 '!$D$10)*U1237)+('CAFCO 400 '!$D$11*LN(J1237)+'CAFCO 400 '!$D$12))),0)+IF(AND(L1237="Cafco 400",M1237="Software Idiem",C1237="C"),((('CAFCO 400 '!$L$7*(J1237^3)+'CAFCO 400 '!$L$8*(J1237^2)+'CAFCO 400 '!$L$9*J1237+'CAFCO 400 '!$L$10)*U1237^2)+(('CAFCO 400 '!$L$11*(J1237^3)+'CAFCO 400 '!$L$12*(J1237^2)+'CAFCO 400 '!$L$13*J1237+'CAFCO 400 '!$L$14)*U1237)+('CAFCO 400 '!$L$15*LN(J1237)+'CAFCO 400 '!$L$16)),0)+IF(AND(L1237="Cafco 400",M1237="Software Idiem",C1237="L"),((('CAFCO 400 '!$L$7*(J1237^3)+'CAFCO 400 '!$L$8*(J1237^2)+'CAFCO 400 '!$L$9*J1237+'CAFCO 400 '!$L$10)*U1237^2)+(('CAFCO 400 '!$L$11*(J1237^3)+'CAFCO 400 '!$L$12*(J1237^2)+'CAFCO 400 '!$L$13*J1237+'CAFCO 400 '!$L$14)*U1237)+('CAFCO 400 '!$L$15*LN(J1237)+'CAFCO 400 '!$L$16)),0)+IF(AND(L1237="Cafco 400",M1237="Software Idiem",C1237="IN",G1237=3),((('CAFCO 400 '!$D$23*(J1237^2)+'CAFCO 400 '!$D$24*(J1237)+'CAFCO 400 '!$D$25)*U1237^2)+(('CAFCO 400 '!$D$26*(J1237^2)+'CAFCO 400 '!$D$27*J1237+'CAFCO 400 '!$D$28)*U1237)+('CAFCO 400 '!$D$29*(J1237^2)+'CAFCO 400 '!$D$30*J1237+'CAFCO 400 '!$D$31)),0),0)+IF(AND(L1237="Cafco 300",J1237&gt;=95,J1237&lt;=240,C1237="Cj",I1237=90),VLOOKUP(T1237,'CAFCO 300 IDIEM TABLAS'!$B$4:$D$23,2,FALSE),0)+IF(AND(L1237="Cafco 300",J1237&gt;=95,J1237&lt;=240,C1237="Cj",I1237=120),VLOOKUP(T1237,'CAFCO 300 IDIEM TABLAS'!$B$4:$D$23,3,FALSE),0)+IF(AND(L1237="Cafco 300",J1237&gt;=95,J1237&lt;=400,G1237=3,C1237="IN",I1237=90),VLOOKUP(T1237,'CAFCO 300 IDIEM TABLAS'!$F$4:$H$35,2,FALSE),0)+IF(AND(L1237="Cafco 300",J1237&gt;=95,J1237&lt;=400,G1237=3,C1237="IN",I1237=120),VLOOKUP(T1237,'CAFCO 300 IDIEM TABLAS'!$F$4:$H$35,3,FALSE),0)+IF(AND(L1237="Cafco 300",J1237&gt;=95,J1237&lt;=450,G1237=4,C1237="IN",I1237=90),VLOOKUP(T1237,'CAFCO 300 IDIEM TABLAS'!$J$4:$L$40,2,FALSE),0)+IF(AND(L1237="Cafco 300",J1237&gt;=95,J1237&lt;=450,G1237=4,C1237="IN",I1237=120),VLOOKUP(T1237,'CAFCO 300 IDIEM TABLAS'!$J$4:$L$40,3,FALSE),0)+IF(AND(M1237="Ensayo Idiem",L1237="Cafco 400",C1237="IN",G1237=4,I1237=90),VLOOKUP(T1237,'CAFCO 400 ENSAYO'!$B$7:$D$43,2,FALSE),0)+IF(AND(M1237="Ensayo Idiem",L1237="Cafco 400",C1237="IN",G1237=4,I1237=120),VLOOKUP(T1237,'CAFCO 400 ENSAYO'!$B$7:$D$43,3,FALSE),0)</f>
        <v>0</v>
      </c>
      <c r="O1237" s="96">
        <f t="shared" si="126"/>
        <v>0</v>
      </c>
      <c r="P1237" s="132" t="str">
        <f t="shared" si="121"/>
        <v>N/A</v>
      </c>
      <c r="Q1237" s="132" t="str">
        <f t="shared" si="122"/>
        <v>N/A</v>
      </c>
      <c r="R1237" s="132" t="str">
        <f t="shared" si="123"/>
        <v>NO CERT.</v>
      </c>
      <c r="S1237" s="132" t="e">
        <f t="shared" si="124"/>
        <v>#N/A</v>
      </c>
      <c r="T1237" s="133" t="e">
        <f>+IF(J1237=LOOKUP(J1237,'CAFCO 300 IDIEM TABLAS'!$J$4:$J$40),'CALCULO MORTERO'!J1237,MROUND('CALCULO MORTERO'!J1237,10))</f>
        <v>#N/A</v>
      </c>
      <c r="U1237" s="134">
        <f t="shared" si="125"/>
        <v>0</v>
      </c>
    </row>
    <row r="1238" spans="1:21" x14ac:dyDescent="0.25">
      <c r="A1238" s="118">
        <f>+CUBICACION!D1232</f>
        <v>0</v>
      </c>
      <c r="B1238" s="819">
        <f>+CUBICACION!E1232</f>
        <v>0</v>
      </c>
      <c r="C1238" s="675">
        <f>+CUBICACION!F1232</f>
        <v>0</v>
      </c>
      <c r="D1238" s="118"/>
      <c r="E1238" s="118"/>
      <c r="F1238" s="820"/>
      <c r="G1238" s="675">
        <f>+CUBICACION!J1232</f>
        <v>0</v>
      </c>
      <c r="H1238" s="118"/>
      <c r="I1238" s="821">
        <f>+CUBICACION!L1232</f>
        <v>0</v>
      </c>
      <c r="J1238" s="64">
        <f>+CUBICACION!M1232</f>
        <v>0</v>
      </c>
      <c r="K1238" s="822" t="str">
        <f>+CUBICACION!N1232</f>
        <v/>
      </c>
      <c r="L1238" s="118">
        <f>+CUBICACION!O1232</f>
        <v>0</v>
      </c>
      <c r="M1238" s="823">
        <f>+CUBICACION!P1232</f>
        <v>0</v>
      </c>
      <c r="N1238" s="902">
        <f>ROUND(IF(AND(L1238="Blaze Shield II",M1238="Software Idiem",C1238="IN",G1238=4),((('BLAZE SHIELD II'!$D$4*('CALCULO MORTERO'!I1238^2)+'BLAZE SHIELD II'!$D$5*'CALCULO MORTERO'!I1238+'BLAZE SHIELD II'!$D$6)*LN(J1238))+('BLAZE SHIELD II'!$D$7*('CALCULO MORTERO'!I1238^2)+'BLAZE SHIELD II'!$D$8*'CALCULO MORTERO'!I1238+'BLAZE SHIELD II'!$D$9)),0)+IF(AND(L1238="Blaze Shield II",M1238="Software Idiem",C1238="Cj"),((('BLAZE SHIELD II'!$H$4*('CALCULO MORTERO'!I1238^2)+'BLAZE SHIELD II'!$H$5*'CALCULO MORTERO'!I1238+'BLAZE SHIELD II'!$H$6)*LN(J1238))+('BLAZE SHIELD II'!$H$7*('CALCULO MORTERO'!I1238^2)+'BLAZE SHIELD II'!$H$8*'CALCULO MORTERO'!I1238+'BLAZE SHIELD II'!$H$9)),0)+IF(AND(L1238="Blaze Shield II",M1238="Software Idiem",C1238="C"),((('BLAZE SHIELD II'!$L$4*('CALCULO MORTERO'!I1238^2)+'BLAZE SHIELD II'!$L$5*'CALCULO MORTERO'!I1238+'BLAZE SHIELD II'!$L$6)*LN(J1238))+('BLAZE SHIELD II'!$L$7*('CALCULO MORTERO'!I1238^2)+'BLAZE SHIELD II'!$L$8*'CALCULO MORTERO'!I1238+'BLAZE SHIELD II'!$L$9)),0)+IF(AND(L1238="Blaze Shield II",M1238="Software Idiem",C1238="L"),((('BLAZE SHIELD II'!$L$4*('CALCULO MORTERO'!I1238^2)+'BLAZE SHIELD II'!$L$5*'CALCULO MORTERO'!I1238+'BLAZE SHIELD II'!$L$6)*LN(J1238))+('BLAZE SHIELD II'!$L$7*('CALCULO MORTERO'!I1238^2)+'BLAZE SHIELD II'!$L$8*'CALCULO MORTERO'!I1238+'BLAZE SHIELD II'!$L$9)),0)+IF(AND(L1238="Blaze Shield II",M1238="Software Idiem",C1238="IN",G1238=3),((('BLAZE SHIELD II'!$H$14*('CALCULO MORTERO'!I1238^2)+'BLAZE SHIELD II'!$H$15*'CALCULO MORTERO'!I1238+'BLAZE SHIELD II'!$H$16)*LN(J1238))+('BLAZE SHIELD II'!$H$17*('CALCULO MORTERO'!I1238^2)+'BLAZE SHIELD II'!$H$18*'CALCULO MORTERO'!I1238+'BLAZE SHIELD II'!$H$19)),0),0)+ROUND(IF(AND(L1238="Cafco 400",M1238="Software Idiem",C1238="IN",G1238=4),((('CAFCO 400 '!$H$7*(J1238^4)+'CAFCO 400 '!$H$8*(J1238^3)+'CAFCO 400 '!$H$9*(J1238^2)+'CAFCO 400 '!$H$10*J1238+'CAFCO 400 '!$H$11)*U1238^2)+(('CAFCO 400 '!$H$12*(J1238^3)+'CAFCO 400 '!$H$13*(J1238^2)+'CAFCO 400 '!$H$14*J1238+'CAFCO 400 '!$H$15)*U1238)+('CAFCO 400 '!$H$16*(J1238^2)+'CAFCO 400 '!$H$17*J1238+'CAFCO 400 '!$H$18)),0)+IF(AND(L1238="Cafco 400",M1238="Software Idiem",C1238="Cj"),(((('CAFCO 400 '!$D$7*LN(J1238)+'CAFCO 400 '!$D$8)*U1238^2)+(('CAFCO 400 '!$D$9*LN(J1238)+'CAFCO 400 '!$D$10)*U1238)+('CAFCO 400 '!$D$11*LN(J1238)+'CAFCO 400 '!$D$12))),0)+IF(AND(L1238="Cafco 400",M1238="Software Idiem",C1238="C"),((('CAFCO 400 '!$L$7*(J1238^3)+'CAFCO 400 '!$L$8*(J1238^2)+'CAFCO 400 '!$L$9*J1238+'CAFCO 400 '!$L$10)*U1238^2)+(('CAFCO 400 '!$L$11*(J1238^3)+'CAFCO 400 '!$L$12*(J1238^2)+'CAFCO 400 '!$L$13*J1238+'CAFCO 400 '!$L$14)*U1238)+('CAFCO 400 '!$L$15*LN(J1238)+'CAFCO 400 '!$L$16)),0)+IF(AND(L1238="Cafco 400",M1238="Software Idiem",C1238="L"),((('CAFCO 400 '!$L$7*(J1238^3)+'CAFCO 400 '!$L$8*(J1238^2)+'CAFCO 400 '!$L$9*J1238+'CAFCO 400 '!$L$10)*U1238^2)+(('CAFCO 400 '!$L$11*(J1238^3)+'CAFCO 400 '!$L$12*(J1238^2)+'CAFCO 400 '!$L$13*J1238+'CAFCO 400 '!$L$14)*U1238)+('CAFCO 400 '!$L$15*LN(J1238)+'CAFCO 400 '!$L$16)),0)+IF(AND(L1238="Cafco 400",M1238="Software Idiem",C1238="IN",G1238=3),((('CAFCO 400 '!$D$23*(J1238^2)+'CAFCO 400 '!$D$24*(J1238)+'CAFCO 400 '!$D$25)*U1238^2)+(('CAFCO 400 '!$D$26*(J1238^2)+'CAFCO 400 '!$D$27*J1238+'CAFCO 400 '!$D$28)*U1238)+('CAFCO 400 '!$D$29*(J1238^2)+'CAFCO 400 '!$D$30*J1238+'CAFCO 400 '!$D$31)),0),0)+IF(AND(L1238="Cafco 300",J1238&gt;=95,J1238&lt;=240,C1238="Cj",I1238=90),VLOOKUP(T1238,'CAFCO 300 IDIEM TABLAS'!$B$4:$D$23,2,FALSE),0)+IF(AND(L1238="Cafco 300",J1238&gt;=95,J1238&lt;=240,C1238="Cj",I1238=120),VLOOKUP(T1238,'CAFCO 300 IDIEM TABLAS'!$B$4:$D$23,3,FALSE),0)+IF(AND(L1238="Cafco 300",J1238&gt;=95,J1238&lt;=400,G1238=3,C1238="IN",I1238=90),VLOOKUP(T1238,'CAFCO 300 IDIEM TABLAS'!$F$4:$H$35,2,FALSE),0)+IF(AND(L1238="Cafco 300",J1238&gt;=95,J1238&lt;=400,G1238=3,C1238="IN",I1238=120),VLOOKUP(T1238,'CAFCO 300 IDIEM TABLAS'!$F$4:$H$35,3,FALSE),0)+IF(AND(L1238="Cafco 300",J1238&gt;=95,J1238&lt;=450,G1238=4,C1238="IN",I1238=90),VLOOKUP(T1238,'CAFCO 300 IDIEM TABLAS'!$J$4:$L$40,2,FALSE),0)+IF(AND(L1238="Cafco 300",J1238&gt;=95,J1238&lt;=450,G1238=4,C1238="IN",I1238=120),VLOOKUP(T1238,'CAFCO 300 IDIEM TABLAS'!$J$4:$L$40,3,FALSE),0)+IF(AND(M1238="Ensayo Idiem",L1238="Cafco 400",C1238="IN",G1238=4,I1238=90),VLOOKUP(T1238,'CAFCO 400 ENSAYO'!$B$7:$D$43,2,FALSE),0)+IF(AND(M1238="Ensayo Idiem",L1238="Cafco 400",C1238="IN",G1238=4,I1238=120),VLOOKUP(T1238,'CAFCO 400 ENSAYO'!$B$7:$D$43,3,FALSE),0)</f>
        <v>0</v>
      </c>
      <c r="O1238" s="96">
        <f t="shared" si="126"/>
        <v>0</v>
      </c>
      <c r="P1238" s="95" t="str">
        <f t="shared" si="121"/>
        <v>N/A</v>
      </c>
      <c r="Q1238" s="95" t="str">
        <f t="shared" si="122"/>
        <v>N/A</v>
      </c>
      <c r="R1238" s="95" t="str">
        <f t="shared" si="123"/>
        <v>NO CERT.</v>
      </c>
      <c r="S1238" s="95" t="e">
        <f t="shared" si="124"/>
        <v>#N/A</v>
      </c>
      <c r="T1238" s="119" t="e">
        <f>+IF(J1238=LOOKUP(J1238,'CAFCO 300 IDIEM TABLAS'!$J$4:$J$40),'CALCULO MORTERO'!J1238,MROUND('CALCULO MORTERO'!J1238,10))</f>
        <v>#N/A</v>
      </c>
      <c r="U1238" s="118">
        <f t="shared" si="125"/>
        <v>0</v>
      </c>
    </row>
    <row r="1239" spans="1:21" x14ac:dyDescent="0.25">
      <c r="A1239" s="118">
        <f>+CUBICACION!D1233</f>
        <v>0</v>
      </c>
      <c r="B1239" s="819">
        <f>+CUBICACION!E1233</f>
        <v>0</v>
      </c>
      <c r="C1239" s="675">
        <f>+CUBICACION!F1233</f>
        <v>0</v>
      </c>
      <c r="D1239" s="118"/>
      <c r="E1239" s="118"/>
      <c r="F1239" s="820"/>
      <c r="G1239" s="675">
        <f>+CUBICACION!J1233</f>
        <v>0</v>
      </c>
      <c r="H1239" s="118"/>
      <c r="I1239" s="821">
        <f>+CUBICACION!L1233</f>
        <v>0</v>
      </c>
      <c r="J1239" s="64">
        <f>+CUBICACION!M1233</f>
        <v>0</v>
      </c>
      <c r="K1239" s="822" t="str">
        <f>+CUBICACION!N1233</f>
        <v/>
      </c>
      <c r="L1239" s="118">
        <f>+CUBICACION!O1233</f>
        <v>0</v>
      </c>
      <c r="M1239" s="823">
        <f>+CUBICACION!P1233</f>
        <v>0</v>
      </c>
      <c r="N1239" s="902">
        <f>ROUND(IF(AND(L1239="Blaze Shield II",M1239="Software Idiem",C1239="IN",G1239=4),((('BLAZE SHIELD II'!$D$4*('CALCULO MORTERO'!I1239^2)+'BLAZE SHIELD II'!$D$5*'CALCULO MORTERO'!I1239+'BLAZE SHIELD II'!$D$6)*LN(J1239))+('BLAZE SHIELD II'!$D$7*('CALCULO MORTERO'!I1239^2)+'BLAZE SHIELD II'!$D$8*'CALCULO MORTERO'!I1239+'BLAZE SHIELD II'!$D$9)),0)+IF(AND(L1239="Blaze Shield II",M1239="Software Idiem",C1239="Cj"),((('BLAZE SHIELD II'!$H$4*('CALCULO MORTERO'!I1239^2)+'BLAZE SHIELD II'!$H$5*'CALCULO MORTERO'!I1239+'BLAZE SHIELD II'!$H$6)*LN(J1239))+('BLAZE SHIELD II'!$H$7*('CALCULO MORTERO'!I1239^2)+'BLAZE SHIELD II'!$H$8*'CALCULO MORTERO'!I1239+'BLAZE SHIELD II'!$H$9)),0)+IF(AND(L1239="Blaze Shield II",M1239="Software Idiem",C1239="C"),((('BLAZE SHIELD II'!$L$4*('CALCULO MORTERO'!I1239^2)+'BLAZE SHIELD II'!$L$5*'CALCULO MORTERO'!I1239+'BLAZE SHIELD II'!$L$6)*LN(J1239))+('BLAZE SHIELD II'!$L$7*('CALCULO MORTERO'!I1239^2)+'BLAZE SHIELD II'!$L$8*'CALCULO MORTERO'!I1239+'BLAZE SHIELD II'!$L$9)),0)+IF(AND(L1239="Blaze Shield II",M1239="Software Idiem",C1239="L"),((('BLAZE SHIELD II'!$L$4*('CALCULO MORTERO'!I1239^2)+'BLAZE SHIELD II'!$L$5*'CALCULO MORTERO'!I1239+'BLAZE SHIELD II'!$L$6)*LN(J1239))+('BLAZE SHIELD II'!$L$7*('CALCULO MORTERO'!I1239^2)+'BLAZE SHIELD II'!$L$8*'CALCULO MORTERO'!I1239+'BLAZE SHIELD II'!$L$9)),0)+IF(AND(L1239="Blaze Shield II",M1239="Software Idiem",C1239="IN",G1239=3),((('BLAZE SHIELD II'!$H$14*('CALCULO MORTERO'!I1239^2)+'BLAZE SHIELD II'!$H$15*'CALCULO MORTERO'!I1239+'BLAZE SHIELD II'!$H$16)*LN(J1239))+('BLAZE SHIELD II'!$H$17*('CALCULO MORTERO'!I1239^2)+'BLAZE SHIELD II'!$H$18*'CALCULO MORTERO'!I1239+'BLAZE SHIELD II'!$H$19)),0),0)+ROUND(IF(AND(L1239="Cafco 400",M1239="Software Idiem",C1239="IN",G1239=4),((('CAFCO 400 '!$H$7*(J1239^4)+'CAFCO 400 '!$H$8*(J1239^3)+'CAFCO 400 '!$H$9*(J1239^2)+'CAFCO 400 '!$H$10*J1239+'CAFCO 400 '!$H$11)*U1239^2)+(('CAFCO 400 '!$H$12*(J1239^3)+'CAFCO 400 '!$H$13*(J1239^2)+'CAFCO 400 '!$H$14*J1239+'CAFCO 400 '!$H$15)*U1239)+('CAFCO 400 '!$H$16*(J1239^2)+'CAFCO 400 '!$H$17*J1239+'CAFCO 400 '!$H$18)),0)+IF(AND(L1239="Cafco 400",M1239="Software Idiem",C1239="Cj"),(((('CAFCO 400 '!$D$7*LN(J1239)+'CAFCO 400 '!$D$8)*U1239^2)+(('CAFCO 400 '!$D$9*LN(J1239)+'CAFCO 400 '!$D$10)*U1239)+('CAFCO 400 '!$D$11*LN(J1239)+'CAFCO 400 '!$D$12))),0)+IF(AND(L1239="Cafco 400",M1239="Software Idiem",C1239="C"),((('CAFCO 400 '!$L$7*(J1239^3)+'CAFCO 400 '!$L$8*(J1239^2)+'CAFCO 400 '!$L$9*J1239+'CAFCO 400 '!$L$10)*U1239^2)+(('CAFCO 400 '!$L$11*(J1239^3)+'CAFCO 400 '!$L$12*(J1239^2)+'CAFCO 400 '!$L$13*J1239+'CAFCO 400 '!$L$14)*U1239)+('CAFCO 400 '!$L$15*LN(J1239)+'CAFCO 400 '!$L$16)),0)+IF(AND(L1239="Cafco 400",M1239="Software Idiem",C1239="L"),((('CAFCO 400 '!$L$7*(J1239^3)+'CAFCO 400 '!$L$8*(J1239^2)+'CAFCO 400 '!$L$9*J1239+'CAFCO 400 '!$L$10)*U1239^2)+(('CAFCO 400 '!$L$11*(J1239^3)+'CAFCO 400 '!$L$12*(J1239^2)+'CAFCO 400 '!$L$13*J1239+'CAFCO 400 '!$L$14)*U1239)+('CAFCO 400 '!$L$15*LN(J1239)+'CAFCO 400 '!$L$16)),0)+IF(AND(L1239="Cafco 400",M1239="Software Idiem",C1239="IN",G1239=3),((('CAFCO 400 '!$D$23*(J1239^2)+'CAFCO 400 '!$D$24*(J1239)+'CAFCO 400 '!$D$25)*U1239^2)+(('CAFCO 400 '!$D$26*(J1239^2)+'CAFCO 400 '!$D$27*J1239+'CAFCO 400 '!$D$28)*U1239)+('CAFCO 400 '!$D$29*(J1239^2)+'CAFCO 400 '!$D$30*J1239+'CAFCO 400 '!$D$31)),0),0)+IF(AND(L1239="Cafco 300",J1239&gt;=95,J1239&lt;=240,C1239="Cj",I1239=90),VLOOKUP(T1239,'CAFCO 300 IDIEM TABLAS'!$B$4:$D$23,2,FALSE),0)+IF(AND(L1239="Cafco 300",J1239&gt;=95,J1239&lt;=240,C1239="Cj",I1239=120),VLOOKUP(T1239,'CAFCO 300 IDIEM TABLAS'!$B$4:$D$23,3,FALSE),0)+IF(AND(L1239="Cafco 300",J1239&gt;=95,J1239&lt;=400,G1239=3,C1239="IN",I1239=90),VLOOKUP(T1239,'CAFCO 300 IDIEM TABLAS'!$F$4:$H$35,2,FALSE),0)+IF(AND(L1239="Cafco 300",J1239&gt;=95,J1239&lt;=400,G1239=3,C1239="IN",I1239=120),VLOOKUP(T1239,'CAFCO 300 IDIEM TABLAS'!$F$4:$H$35,3,FALSE),0)+IF(AND(L1239="Cafco 300",J1239&gt;=95,J1239&lt;=450,G1239=4,C1239="IN",I1239=90),VLOOKUP(T1239,'CAFCO 300 IDIEM TABLAS'!$J$4:$L$40,2,FALSE),0)+IF(AND(L1239="Cafco 300",J1239&gt;=95,J1239&lt;=450,G1239=4,C1239="IN",I1239=120),VLOOKUP(T1239,'CAFCO 300 IDIEM TABLAS'!$J$4:$L$40,3,FALSE),0)+IF(AND(M1239="Ensayo Idiem",L1239="Cafco 400",C1239="IN",G1239=4,I1239=90),VLOOKUP(T1239,'CAFCO 400 ENSAYO'!$B$7:$D$43,2,FALSE),0)+IF(AND(M1239="Ensayo Idiem",L1239="Cafco 400",C1239="IN",G1239=4,I1239=120),VLOOKUP(T1239,'CAFCO 400 ENSAYO'!$B$7:$D$43,3,FALSE),0)</f>
        <v>0</v>
      </c>
      <c r="O1239" s="96">
        <f t="shared" si="126"/>
        <v>0</v>
      </c>
      <c r="P1239" s="132" t="str">
        <f t="shared" si="121"/>
        <v>N/A</v>
      </c>
      <c r="Q1239" s="132" t="str">
        <f t="shared" si="122"/>
        <v>N/A</v>
      </c>
      <c r="R1239" s="132" t="str">
        <f t="shared" si="123"/>
        <v>NO CERT.</v>
      </c>
      <c r="S1239" s="132" t="e">
        <f t="shared" si="124"/>
        <v>#N/A</v>
      </c>
      <c r="T1239" s="133" t="e">
        <f>+IF(J1239=LOOKUP(J1239,'CAFCO 300 IDIEM TABLAS'!$J$4:$J$40),'CALCULO MORTERO'!J1239,MROUND('CALCULO MORTERO'!J1239,10))</f>
        <v>#N/A</v>
      </c>
      <c r="U1239" s="134">
        <f t="shared" si="125"/>
        <v>0</v>
      </c>
    </row>
    <row r="1240" spans="1:21" x14ac:dyDescent="0.25">
      <c r="A1240" s="118">
        <f>+CUBICACION!D1234</f>
        <v>0</v>
      </c>
      <c r="B1240" s="819">
        <f>+CUBICACION!E1234</f>
        <v>0</v>
      </c>
      <c r="C1240" s="675">
        <f>+CUBICACION!F1234</f>
        <v>0</v>
      </c>
      <c r="D1240" s="118"/>
      <c r="E1240" s="118"/>
      <c r="F1240" s="820"/>
      <c r="G1240" s="675">
        <f>+CUBICACION!J1234</f>
        <v>0</v>
      </c>
      <c r="H1240" s="118"/>
      <c r="I1240" s="821">
        <f>+CUBICACION!L1234</f>
        <v>0</v>
      </c>
      <c r="J1240" s="64">
        <f>+CUBICACION!M1234</f>
        <v>0</v>
      </c>
      <c r="K1240" s="822" t="str">
        <f>+CUBICACION!N1234</f>
        <v/>
      </c>
      <c r="L1240" s="118">
        <f>+CUBICACION!O1234</f>
        <v>0</v>
      </c>
      <c r="M1240" s="823">
        <f>+CUBICACION!P1234</f>
        <v>0</v>
      </c>
      <c r="N1240" s="902">
        <f>ROUND(IF(AND(L1240="Blaze Shield II",M1240="Software Idiem",C1240="IN",G1240=4),((('BLAZE SHIELD II'!$D$4*('CALCULO MORTERO'!I1240^2)+'BLAZE SHIELD II'!$D$5*'CALCULO MORTERO'!I1240+'BLAZE SHIELD II'!$D$6)*LN(J1240))+('BLAZE SHIELD II'!$D$7*('CALCULO MORTERO'!I1240^2)+'BLAZE SHIELD II'!$D$8*'CALCULO MORTERO'!I1240+'BLAZE SHIELD II'!$D$9)),0)+IF(AND(L1240="Blaze Shield II",M1240="Software Idiem",C1240="Cj"),((('BLAZE SHIELD II'!$H$4*('CALCULO MORTERO'!I1240^2)+'BLAZE SHIELD II'!$H$5*'CALCULO MORTERO'!I1240+'BLAZE SHIELD II'!$H$6)*LN(J1240))+('BLAZE SHIELD II'!$H$7*('CALCULO MORTERO'!I1240^2)+'BLAZE SHIELD II'!$H$8*'CALCULO MORTERO'!I1240+'BLAZE SHIELD II'!$H$9)),0)+IF(AND(L1240="Blaze Shield II",M1240="Software Idiem",C1240="C"),((('BLAZE SHIELD II'!$L$4*('CALCULO MORTERO'!I1240^2)+'BLAZE SHIELD II'!$L$5*'CALCULO MORTERO'!I1240+'BLAZE SHIELD II'!$L$6)*LN(J1240))+('BLAZE SHIELD II'!$L$7*('CALCULO MORTERO'!I1240^2)+'BLAZE SHIELD II'!$L$8*'CALCULO MORTERO'!I1240+'BLAZE SHIELD II'!$L$9)),0)+IF(AND(L1240="Blaze Shield II",M1240="Software Idiem",C1240="L"),((('BLAZE SHIELD II'!$L$4*('CALCULO MORTERO'!I1240^2)+'BLAZE SHIELD II'!$L$5*'CALCULO MORTERO'!I1240+'BLAZE SHIELD II'!$L$6)*LN(J1240))+('BLAZE SHIELD II'!$L$7*('CALCULO MORTERO'!I1240^2)+'BLAZE SHIELD II'!$L$8*'CALCULO MORTERO'!I1240+'BLAZE SHIELD II'!$L$9)),0)+IF(AND(L1240="Blaze Shield II",M1240="Software Idiem",C1240="IN",G1240=3),((('BLAZE SHIELD II'!$H$14*('CALCULO MORTERO'!I1240^2)+'BLAZE SHIELD II'!$H$15*'CALCULO MORTERO'!I1240+'BLAZE SHIELD II'!$H$16)*LN(J1240))+('BLAZE SHIELD II'!$H$17*('CALCULO MORTERO'!I1240^2)+'BLAZE SHIELD II'!$H$18*'CALCULO MORTERO'!I1240+'BLAZE SHIELD II'!$H$19)),0),0)+ROUND(IF(AND(L1240="Cafco 400",M1240="Software Idiem",C1240="IN",G1240=4),((('CAFCO 400 '!$H$7*(J1240^4)+'CAFCO 400 '!$H$8*(J1240^3)+'CAFCO 400 '!$H$9*(J1240^2)+'CAFCO 400 '!$H$10*J1240+'CAFCO 400 '!$H$11)*U1240^2)+(('CAFCO 400 '!$H$12*(J1240^3)+'CAFCO 400 '!$H$13*(J1240^2)+'CAFCO 400 '!$H$14*J1240+'CAFCO 400 '!$H$15)*U1240)+('CAFCO 400 '!$H$16*(J1240^2)+'CAFCO 400 '!$H$17*J1240+'CAFCO 400 '!$H$18)),0)+IF(AND(L1240="Cafco 400",M1240="Software Idiem",C1240="Cj"),(((('CAFCO 400 '!$D$7*LN(J1240)+'CAFCO 400 '!$D$8)*U1240^2)+(('CAFCO 400 '!$D$9*LN(J1240)+'CAFCO 400 '!$D$10)*U1240)+('CAFCO 400 '!$D$11*LN(J1240)+'CAFCO 400 '!$D$12))),0)+IF(AND(L1240="Cafco 400",M1240="Software Idiem",C1240="C"),((('CAFCO 400 '!$L$7*(J1240^3)+'CAFCO 400 '!$L$8*(J1240^2)+'CAFCO 400 '!$L$9*J1240+'CAFCO 400 '!$L$10)*U1240^2)+(('CAFCO 400 '!$L$11*(J1240^3)+'CAFCO 400 '!$L$12*(J1240^2)+'CAFCO 400 '!$L$13*J1240+'CAFCO 400 '!$L$14)*U1240)+('CAFCO 400 '!$L$15*LN(J1240)+'CAFCO 400 '!$L$16)),0)+IF(AND(L1240="Cafco 400",M1240="Software Idiem",C1240="L"),((('CAFCO 400 '!$L$7*(J1240^3)+'CAFCO 400 '!$L$8*(J1240^2)+'CAFCO 400 '!$L$9*J1240+'CAFCO 400 '!$L$10)*U1240^2)+(('CAFCO 400 '!$L$11*(J1240^3)+'CAFCO 400 '!$L$12*(J1240^2)+'CAFCO 400 '!$L$13*J1240+'CAFCO 400 '!$L$14)*U1240)+('CAFCO 400 '!$L$15*LN(J1240)+'CAFCO 400 '!$L$16)),0)+IF(AND(L1240="Cafco 400",M1240="Software Idiem",C1240="IN",G1240=3),((('CAFCO 400 '!$D$23*(J1240^2)+'CAFCO 400 '!$D$24*(J1240)+'CAFCO 400 '!$D$25)*U1240^2)+(('CAFCO 400 '!$D$26*(J1240^2)+'CAFCO 400 '!$D$27*J1240+'CAFCO 400 '!$D$28)*U1240)+('CAFCO 400 '!$D$29*(J1240^2)+'CAFCO 400 '!$D$30*J1240+'CAFCO 400 '!$D$31)),0),0)+IF(AND(L1240="Cafco 300",J1240&gt;=95,J1240&lt;=240,C1240="Cj",I1240=90),VLOOKUP(T1240,'CAFCO 300 IDIEM TABLAS'!$B$4:$D$23,2,FALSE),0)+IF(AND(L1240="Cafco 300",J1240&gt;=95,J1240&lt;=240,C1240="Cj",I1240=120),VLOOKUP(T1240,'CAFCO 300 IDIEM TABLAS'!$B$4:$D$23,3,FALSE),0)+IF(AND(L1240="Cafco 300",J1240&gt;=95,J1240&lt;=400,G1240=3,C1240="IN",I1240=90),VLOOKUP(T1240,'CAFCO 300 IDIEM TABLAS'!$F$4:$H$35,2,FALSE),0)+IF(AND(L1240="Cafco 300",J1240&gt;=95,J1240&lt;=400,G1240=3,C1240="IN",I1240=120),VLOOKUP(T1240,'CAFCO 300 IDIEM TABLAS'!$F$4:$H$35,3,FALSE),0)+IF(AND(L1240="Cafco 300",J1240&gt;=95,J1240&lt;=450,G1240=4,C1240="IN",I1240=90),VLOOKUP(T1240,'CAFCO 300 IDIEM TABLAS'!$J$4:$L$40,2,FALSE),0)+IF(AND(L1240="Cafco 300",J1240&gt;=95,J1240&lt;=450,G1240=4,C1240="IN",I1240=120),VLOOKUP(T1240,'CAFCO 300 IDIEM TABLAS'!$J$4:$L$40,3,FALSE),0)+IF(AND(M1240="Ensayo Idiem",L1240="Cafco 400",C1240="IN",G1240=4,I1240=90),VLOOKUP(T1240,'CAFCO 400 ENSAYO'!$B$7:$D$43,2,FALSE),0)+IF(AND(M1240="Ensayo Idiem",L1240="Cafco 400",C1240="IN",G1240=4,I1240=120),VLOOKUP(T1240,'CAFCO 400 ENSAYO'!$B$7:$D$43,3,FALSE),0)</f>
        <v>0</v>
      </c>
      <c r="O1240" s="96">
        <f t="shared" si="126"/>
        <v>0</v>
      </c>
      <c r="P1240" s="95" t="str">
        <f t="shared" si="121"/>
        <v>N/A</v>
      </c>
      <c r="Q1240" s="95" t="str">
        <f t="shared" si="122"/>
        <v>N/A</v>
      </c>
      <c r="R1240" s="95" t="str">
        <f t="shared" si="123"/>
        <v>NO CERT.</v>
      </c>
      <c r="S1240" s="95" t="e">
        <f t="shared" si="124"/>
        <v>#N/A</v>
      </c>
      <c r="T1240" s="119" t="e">
        <f>+IF(J1240=LOOKUP(J1240,'CAFCO 300 IDIEM TABLAS'!$J$4:$J$40),'CALCULO MORTERO'!J1240,MROUND('CALCULO MORTERO'!J1240,10))</f>
        <v>#N/A</v>
      </c>
      <c r="U1240" s="118">
        <f t="shared" si="125"/>
        <v>0</v>
      </c>
    </row>
    <row r="1241" spans="1:21" x14ac:dyDescent="0.25">
      <c r="A1241" s="118">
        <f>+CUBICACION!D1235</f>
        <v>0</v>
      </c>
      <c r="B1241" s="819">
        <f>+CUBICACION!E1235</f>
        <v>0</v>
      </c>
      <c r="C1241" s="675">
        <f>+CUBICACION!F1235</f>
        <v>0</v>
      </c>
      <c r="D1241" s="118"/>
      <c r="E1241" s="118"/>
      <c r="F1241" s="820"/>
      <c r="G1241" s="675">
        <f>+CUBICACION!J1235</f>
        <v>0</v>
      </c>
      <c r="H1241" s="118"/>
      <c r="I1241" s="821">
        <f>+CUBICACION!L1235</f>
        <v>0</v>
      </c>
      <c r="J1241" s="64">
        <f>+CUBICACION!M1235</f>
        <v>0</v>
      </c>
      <c r="K1241" s="822" t="str">
        <f>+CUBICACION!N1235</f>
        <v/>
      </c>
      <c r="L1241" s="118">
        <f>+CUBICACION!O1235</f>
        <v>0</v>
      </c>
      <c r="M1241" s="823">
        <f>+CUBICACION!P1235</f>
        <v>0</v>
      </c>
      <c r="N1241" s="902">
        <f>ROUND(IF(AND(L1241="Blaze Shield II",M1241="Software Idiem",C1241="IN",G1241=4),((('BLAZE SHIELD II'!$D$4*('CALCULO MORTERO'!I1241^2)+'BLAZE SHIELD II'!$D$5*'CALCULO MORTERO'!I1241+'BLAZE SHIELD II'!$D$6)*LN(J1241))+('BLAZE SHIELD II'!$D$7*('CALCULO MORTERO'!I1241^2)+'BLAZE SHIELD II'!$D$8*'CALCULO MORTERO'!I1241+'BLAZE SHIELD II'!$D$9)),0)+IF(AND(L1241="Blaze Shield II",M1241="Software Idiem",C1241="Cj"),((('BLAZE SHIELD II'!$H$4*('CALCULO MORTERO'!I1241^2)+'BLAZE SHIELD II'!$H$5*'CALCULO MORTERO'!I1241+'BLAZE SHIELD II'!$H$6)*LN(J1241))+('BLAZE SHIELD II'!$H$7*('CALCULO MORTERO'!I1241^2)+'BLAZE SHIELD II'!$H$8*'CALCULO MORTERO'!I1241+'BLAZE SHIELD II'!$H$9)),0)+IF(AND(L1241="Blaze Shield II",M1241="Software Idiem",C1241="C"),((('BLAZE SHIELD II'!$L$4*('CALCULO MORTERO'!I1241^2)+'BLAZE SHIELD II'!$L$5*'CALCULO MORTERO'!I1241+'BLAZE SHIELD II'!$L$6)*LN(J1241))+('BLAZE SHIELD II'!$L$7*('CALCULO MORTERO'!I1241^2)+'BLAZE SHIELD II'!$L$8*'CALCULO MORTERO'!I1241+'BLAZE SHIELD II'!$L$9)),0)+IF(AND(L1241="Blaze Shield II",M1241="Software Idiem",C1241="L"),((('BLAZE SHIELD II'!$L$4*('CALCULO MORTERO'!I1241^2)+'BLAZE SHIELD II'!$L$5*'CALCULO MORTERO'!I1241+'BLAZE SHIELD II'!$L$6)*LN(J1241))+('BLAZE SHIELD II'!$L$7*('CALCULO MORTERO'!I1241^2)+'BLAZE SHIELD II'!$L$8*'CALCULO MORTERO'!I1241+'BLAZE SHIELD II'!$L$9)),0)+IF(AND(L1241="Blaze Shield II",M1241="Software Idiem",C1241="IN",G1241=3),((('BLAZE SHIELD II'!$H$14*('CALCULO MORTERO'!I1241^2)+'BLAZE SHIELD II'!$H$15*'CALCULO MORTERO'!I1241+'BLAZE SHIELD II'!$H$16)*LN(J1241))+('BLAZE SHIELD II'!$H$17*('CALCULO MORTERO'!I1241^2)+'BLAZE SHIELD II'!$H$18*'CALCULO MORTERO'!I1241+'BLAZE SHIELD II'!$H$19)),0),0)+ROUND(IF(AND(L1241="Cafco 400",M1241="Software Idiem",C1241="IN",G1241=4),((('CAFCO 400 '!$H$7*(J1241^4)+'CAFCO 400 '!$H$8*(J1241^3)+'CAFCO 400 '!$H$9*(J1241^2)+'CAFCO 400 '!$H$10*J1241+'CAFCO 400 '!$H$11)*U1241^2)+(('CAFCO 400 '!$H$12*(J1241^3)+'CAFCO 400 '!$H$13*(J1241^2)+'CAFCO 400 '!$H$14*J1241+'CAFCO 400 '!$H$15)*U1241)+('CAFCO 400 '!$H$16*(J1241^2)+'CAFCO 400 '!$H$17*J1241+'CAFCO 400 '!$H$18)),0)+IF(AND(L1241="Cafco 400",M1241="Software Idiem",C1241="Cj"),(((('CAFCO 400 '!$D$7*LN(J1241)+'CAFCO 400 '!$D$8)*U1241^2)+(('CAFCO 400 '!$D$9*LN(J1241)+'CAFCO 400 '!$D$10)*U1241)+('CAFCO 400 '!$D$11*LN(J1241)+'CAFCO 400 '!$D$12))),0)+IF(AND(L1241="Cafco 400",M1241="Software Idiem",C1241="C"),((('CAFCO 400 '!$L$7*(J1241^3)+'CAFCO 400 '!$L$8*(J1241^2)+'CAFCO 400 '!$L$9*J1241+'CAFCO 400 '!$L$10)*U1241^2)+(('CAFCO 400 '!$L$11*(J1241^3)+'CAFCO 400 '!$L$12*(J1241^2)+'CAFCO 400 '!$L$13*J1241+'CAFCO 400 '!$L$14)*U1241)+('CAFCO 400 '!$L$15*LN(J1241)+'CAFCO 400 '!$L$16)),0)+IF(AND(L1241="Cafco 400",M1241="Software Idiem",C1241="L"),((('CAFCO 400 '!$L$7*(J1241^3)+'CAFCO 400 '!$L$8*(J1241^2)+'CAFCO 400 '!$L$9*J1241+'CAFCO 400 '!$L$10)*U1241^2)+(('CAFCO 400 '!$L$11*(J1241^3)+'CAFCO 400 '!$L$12*(J1241^2)+'CAFCO 400 '!$L$13*J1241+'CAFCO 400 '!$L$14)*U1241)+('CAFCO 400 '!$L$15*LN(J1241)+'CAFCO 400 '!$L$16)),0)+IF(AND(L1241="Cafco 400",M1241="Software Idiem",C1241="IN",G1241=3),((('CAFCO 400 '!$D$23*(J1241^2)+'CAFCO 400 '!$D$24*(J1241)+'CAFCO 400 '!$D$25)*U1241^2)+(('CAFCO 400 '!$D$26*(J1241^2)+'CAFCO 400 '!$D$27*J1241+'CAFCO 400 '!$D$28)*U1241)+('CAFCO 400 '!$D$29*(J1241^2)+'CAFCO 400 '!$D$30*J1241+'CAFCO 400 '!$D$31)),0),0)+IF(AND(L1241="Cafco 300",J1241&gt;=95,J1241&lt;=240,C1241="Cj",I1241=90),VLOOKUP(T1241,'CAFCO 300 IDIEM TABLAS'!$B$4:$D$23,2,FALSE),0)+IF(AND(L1241="Cafco 300",J1241&gt;=95,J1241&lt;=240,C1241="Cj",I1241=120),VLOOKUP(T1241,'CAFCO 300 IDIEM TABLAS'!$B$4:$D$23,3,FALSE),0)+IF(AND(L1241="Cafco 300",J1241&gt;=95,J1241&lt;=400,G1241=3,C1241="IN",I1241=90),VLOOKUP(T1241,'CAFCO 300 IDIEM TABLAS'!$F$4:$H$35,2,FALSE),0)+IF(AND(L1241="Cafco 300",J1241&gt;=95,J1241&lt;=400,G1241=3,C1241="IN",I1241=120),VLOOKUP(T1241,'CAFCO 300 IDIEM TABLAS'!$F$4:$H$35,3,FALSE),0)+IF(AND(L1241="Cafco 300",J1241&gt;=95,J1241&lt;=450,G1241=4,C1241="IN",I1241=90),VLOOKUP(T1241,'CAFCO 300 IDIEM TABLAS'!$J$4:$L$40,2,FALSE),0)+IF(AND(L1241="Cafco 300",J1241&gt;=95,J1241&lt;=450,G1241=4,C1241="IN",I1241=120),VLOOKUP(T1241,'CAFCO 300 IDIEM TABLAS'!$J$4:$L$40,3,FALSE),0)+IF(AND(M1241="Ensayo Idiem",L1241="Cafco 400",C1241="IN",G1241=4,I1241=90),VLOOKUP(T1241,'CAFCO 400 ENSAYO'!$B$7:$D$43,2,FALSE),0)+IF(AND(M1241="Ensayo Idiem",L1241="Cafco 400",C1241="IN",G1241=4,I1241=120),VLOOKUP(T1241,'CAFCO 400 ENSAYO'!$B$7:$D$43,3,FALSE),0)</f>
        <v>0</v>
      </c>
      <c r="O1241" s="96">
        <f t="shared" si="126"/>
        <v>0</v>
      </c>
      <c r="P1241" s="132" t="str">
        <f t="shared" si="121"/>
        <v>N/A</v>
      </c>
      <c r="Q1241" s="132" t="str">
        <f t="shared" si="122"/>
        <v>N/A</v>
      </c>
      <c r="R1241" s="132" t="str">
        <f t="shared" si="123"/>
        <v>NO CERT.</v>
      </c>
      <c r="S1241" s="132" t="e">
        <f t="shared" si="124"/>
        <v>#N/A</v>
      </c>
      <c r="T1241" s="133" t="e">
        <f>+IF(J1241=LOOKUP(J1241,'CAFCO 300 IDIEM TABLAS'!$J$4:$J$40),'CALCULO MORTERO'!J1241,MROUND('CALCULO MORTERO'!J1241,10))</f>
        <v>#N/A</v>
      </c>
      <c r="U1241" s="134">
        <f t="shared" si="125"/>
        <v>0</v>
      </c>
    </row>
    <row r="1242" spans="1:21" x14ac:dyDescent="0.25">
      <c r="A1242" s="118">
        <f>+CUBICACION!D1236</f>
        <v>0</v>
      </c>
      <c r="B1242" s="819">
        <f>+CUBICACION!E1236</f>
        <v>0</v>
      </c>
      <c r="C1242" s="675">
        <f>+CUBICACION!F1236</f>
        <v>0</v>
      </c>
      <c r="D1242" s="118"/>
      <c r="E1242" s="118"/>
      <c r="F1242" s="820"/>
      <c r="G1242" s="675">
        <f>+CUBICACION!J1236</f>
        <v>0</v>
      </c>
      <c r="H1242" s="118"/>
      <c r="I1242" s="821">
        <f>+CUBICACION!L1236</f>
        <v>0</v>
      </c>
      <c r="J1242" s="64">
        <f>+CUBICACION!M1236</f>
        <v>0</v>
      </c>
      <c r="K1242" s="822" t="str">
        <f>+CUBICACION!N1236</f>
        <v/>
      </c>
      <c r="L1242" s="118">
        <f>+CUBICACION!O1236</f>
        <v>0</v>
      </c>
      <c r="M1242" s="823">
        <f>+CUBICACION!P1236</f>
        <v>0</v>
      </c>
      <c r="N1242" s="902">
        <f>ROUND(IF(AND(L1242="Blaze Shield II",M1242="Software Idiem",C1242="IN",G1242=4),((('BLAZE SHIELD II'!$D$4*('CALCULO MORTERO'!I1242^2)+'BLAZE SHIELD II'!$D$5*'CALCULO MORTERO'!I1242+'BLAZE SHIELD II'!$D$6)*LN(J1242))+('BLAZE SHIELD II'!$D$7*('CALCULO MORTERO'!I1242^2)+'BLAZE SHIELD II'!$D$8*'CALCULO MORTERO'!I1242+'BLAZE SHIELD II'!$D$9)),0)+IF(AND(L1242="Blaze Shield II",M1242="Software Idiem",C1242="Cj"),((('BLAZE SHIELD II'!$H$4*('CALCULO MORTERO'!I1242^2)+'BLAZE SHIELD II'!$H$5*'CALCULO MORTERO'!I1242+'BLAZE SHIELD II'!$H$6)*LN(J1242))+('BLAZE SHIELD II'!$H$7*('CALCULO MORTERO'!I1242^2)+'BLAZE SHIELD II'!$H$8*'CALCULO MORTERO'!I1242+'BLAZE SHIELD II'!$H$9)),0)+IF(AND(L1242="Blaze Shield II",M1242="Software Idiem",C1242="C"),((('BLAZE SHIELD II'!$L$4*('CALCULO MORTERO'!I1242^2)+'BLAZE SHIELD II'!$L$5*'CALCULO MORTERO'!I1242+'BLAZE SHIELD II'!$L$6)*LN(J1242))+('BLAZE SHIELD II'!$L$7*('CALCULO MORTERO'!I1242^2)+'BLAZE SHIELD II'!$L$8*'CALCULO MORTERO'!I1242+'BLAZE SHIELD II'!$L$9)),0)+IF(AND(L1242="Blaze Shield II",M1242="Software Idiem",C1242="L"),((('BLAZE SHIELD II'!$L$4*('CALCULO MORTERO'!I1242^2)+'BLAZE SHIELD II'!$L$5*'CALCULO MORTERO'!I1242+'BLAZE SHIELD II'!$L$6)*LN(J1242))+('BLAZE SHIELD II'!$L$7*('CALCULO MORTERO'!I1242^2)+'BLAZE SHIELD II'!$L$8*'CALCULO MORTERO'!I1242+'BLAZE SHIELD II'!$L$9)),0)+IF(AND(L1242="Blaze Shield II",M1242="Software Idiem",C1242="IN",G1242=3),((('BLAZE SHIELD II'!$H$14*('CALCULO MORTERO'!I1242^2)+'BLAZE SHIELD II'!$H$15*'CALCULO MORTERO'!I1242+'BLAZE SHIELD II'!$H$16)*LN(J1242))+('BLAZE SHIELD II'!$H$17*('CALCULO MORTERO'!I1242^2)+'BLAZE SHIELD II'!$H$18*'CALCULO MORTERO'!I1242+'BLAZE SHIELD II'!$H$19)),0),0)+ROUND(IF(AND(L1242="Cafco 400",M1242="Software Idiem",C1242="IN",G1242=4),((('CAFCO 400 '!$H$7*(J1242^4)+'CAFCO 400 '!$H$8*(J1242^3)+'CAFCO 400 '!$H$9*(J1242^2)+'CAFCO 400 '!$H$10*J1242+'CAFCO 400 '!$H$11)*U1242^2)+(('CAFCO 400 '!$H$12*(J1242^3)+'CAFCO 400 '!$H$13*(J1242^2)+'CAFCO 400 '!$H$14*J1242+'CAFCO 400 '!$H$15)*U1242)+('CAFCO 400 '!$H$16*(J1242^2)+'CAFCO 400 '!$H$17*J1242+'CAFCO 400 '!$H$18)),0)+IF(AND(L1242="Cafco 400",M1242="Software Idiem",C1242="Cj"),(((('CAFCO 400 '!$D$7*LN(J1242)+'CAFCO 400 '!$D$8)*U1242^2)+(('CAFCO 400 '!$D$9*LN(J1242)+'CAFCO 400 '!$D$10)*U1242)+('CAFCO 400 '!$D$11*LN(J1242)+'CAFCO 400 '!$D$12))),0)+IF(AND(L1242="Cafco 400",M1242="Software Idiem",C1242="C"),((('CAFCO 400 '!$L$7*(J1242^3)+'CAFCO 400 '!$L$8*(J1242^2)+'CAFCO 400 '!$L$9*J1242+'CAFCO 400 '!$L$10)*U1242^2)+(('CAFCO 400 '!$L$11*(J1242^3)+'CAFCO 400 '!$L$12*(J1242^2)+'CAFCO 400 '!$L$13*J1242+'CAFCO 400 '!$L$14)*U1242)+('CAFCO 400 '!$L$15*LN(J1242)+'CAFCO 400 '!$L$16)),0)+IF(AND(L1242="Cafco 400",M1242="Software Idiem",C1242="L"),((('CAFCO 400 '!$L$7*(J1242^3)+'CAFCO 400 '!$L$8*(J1242^2)+'CAFCO 400 '!$L$9*J1242+'CAFCO 400 '!$L$10)*U1242^2)+(('CAFCO 400 '!$L$11*(J1242^3)+'CAFCO 400 '!$L$12*(J1242^2)+'CAFCO 400 '!$L$13*J1242+'CAFCO 400 '!$L$14)*U1242)+('CAFCO 400 '!$L$15*LN(J1242)+'CAFCO 400 '!$L$16)),0)+IF(AND(L1242="Cafco 400",M1242="Software Idiem",C1242="IN",G1242=3),((('CAFCO 400 '!$D$23*(J1242^2)+'CAFCO 400 '!$D$24*(J1242)+'CAFCO 400 '!$D$25)*U1242^2)+(('CAFCO 400 '!$D$26*(J1242^2)+'CAFCO 400 '!$D$27*J1242+'CAFCO 400 '!$D$28)*U1242)+('CAFCO 400 '!$D$29*(J1242^2)+'CAFCO 400 '!$D$30*J1242+'CAFCO 400 '!$D$31)),0),0)+IF(AND(L1242="Cafco 300",J1242&gt;=95,J1242&lt;=240,C1242="Cj",I1242=90),VLOOKUP(T1242,'CAFCO 300 IDIEM TABLAS'!$B$4:$D$23,2,FALSE),0)+IF(AND(L1242="Cafco 300",J1242&gt;=95,J1242&lt;=240,C1242="Cj",I1242=120),VLOOKUP(T1242,'CAFCO 300 IDIEM TABLAS'!$B$4:$D$23,3,FALSE),0)+IF(AND(L1242="Cafco 300",J1242&gt;=95,J1242&lt;=400,G1242=3,C1242="IN",I1242=90),VLOOKUP(T1242,'CAFCO 300 IDIEM TABLAS'!$F$4:$H$35,2,FALSE),0)+IF(AND(L1242="Cafco 300",J1242&gt;=95,J1242&lt;=400,G1242=3,C1242="IN",I1242=120),VLOOKUP(T1242,'CAFCO 300 IDIEM TABLAS'!$F$4:$H$35,3,FALSE),0)+IF(AND(L1242="Cafco 300",J1242&gt;=95,J1242&lt;=450,G1242=4,C1242="IN",I1242=90),VLOOKUP(T1242,'CAFCO 300 IDIEM TABLAS'!$J$4:$L$40,2,FALSE),0)+IF(AND(L1242="Cafco 300",J1242&gt;=95,J1242&lt;=450,G1242=4,C1242="IN",I1242=120),VLOOKUP(T1242,'CAFCO 300 IDIEM TABLAS'!$J$4:$L$40,3,FALSE),0)+IF(AND(M1242="Ensayo Idiem",L1242="Cafco 400",C1242="IN",G1242=4,I1242=90),VLOOKUP(T1242,'CAFCO 400 ENSAYO'!$B$7:$D$43,2,FALSE),0)+IF(AND(M1242="Ensayo Idiem",L1242="Cafco 400",C1242="IN",G1242=4,I1242=120),VLOOKUP(T1242,'CAFCO 400 ENSAYO'!$B$7:$D$43,3,FALSE),0)</f>
        <v>0</v>
      </c>
      <c r="O1242" s="96">
        <f t="shared" si="126"/>
        <v>0</v>
      </c>
      <c r="P1242" s="95" t="str">
        <f t="shared" si="121"/>
        <v>N/A</v>
      </c>
      <c r="Q1242" s="95" t="str">
        <f t="shared" si="122"/>
        <v>N/A</v>
      </c>
      <c r="R1242" s="95" t="str">
        <f t="shared" si="123"/>
        <v>NO CERT.</v>
      </c>
      <c r="S1242" s="95" t="e">
        <f t="shared" si="124"/>
        <v>#N/A</v>
      </c>
      <c r="T1242" s="119" t="e">
        <f>+IF(J1242=LOOKUP(J1242,'CAFCO 300 IDIEM TABLAS'!$J$4:$J$40),'CALCULO MORTERO'!J1242,MROUND('CALCULO MORTERO'!J1242,10))</f>
        <v>#N/A</v>
      </c>
      <c r="U1242" s="118">
        <f t="shared" si="125"/>
        <v>0</v>
      </c>
    </row>
    <row r="1243" spans="1:21" x14ac:dyDescent="0.25">
      <c r="A1243" s="118">
        <f>+CUBICACION!D1237</f>
        <v>0</v>
      </c>
      <c r="B1243" s="819">
        <f>+CUBICACION!E1237</f>
        <v>0</v>
      </c>
      <c r="C1243" s="675">
        <f>+CUBICACION!F1237</f>
        <v>0</v>
      </c>
      <c r="D1243" s="118"/>
      <c r="E1243" s="118"/>
      <c r="F1243" s="820"/>
      <c r="G1243" s="675">
        <f>+CUBICACION!J1237</f>
        <v>0</v>
      </c>
      <c r="H1243" s="118"/>
      <c r="I1243" s="821">
        <f>+CUBICACION!L1237</f>
        <v>0</v>
      </c>
      <c r="J1243" s="64">
        <f>+CUBICACION!M1237</f>
        <v>0</v>
      </c>
      <c r="K1243" s="822" t="str">
        <f>+CUBICACION!N1237</f>
        <v/>
      </c>
      <c r="L1243" s="118">
        <f>+CUBICACION!O1237</f>
        <v>0</v>
      </c>
      <c r="M1243" s="823">
        <f>+CUBICACION!P1237</f>
        <v>0</v>
      </c>
      <c r="N1243" s="902">
        <f>ROUND(IF(AND(L1243="Blaze Shield II",M1243="Software Idiem",C1243="IN",G1243=4),((('BLAZE SHIELD II'!$D$4*('CALCULO MORTERO'!I1243^2)+'BLAZE SHIELD II'!$D$5*'CALCULO MORTERO'!I1243+'BLAZE SHIELD II'!$D$6)*LN(J1243))+('BLAZE SHIELD II'!$D$7*('CALCULO MORTERO'!I1243^2)+'BLAZE SHIELD II'!$D$8*'CALCULO MORTERO'!I1243+'BLAZE SHIELD II'!$D$9)),0)+IF(AND(L1243="Blaze Shield II",M1243="Software Idiem",C1243="Cj"),((('BLAZE SHIELD II'!$H$4*('CALCULO MORTERO'!I1243^2)+'BLAZE SHIELD II'!$H$5*'CALCULO MORTERO'!I1243+'BLAZE SHIELD II'!$H$6)*LN(J1243))+('BLAZE SHIELD II'!$H$7*('CALCULO MORTERO'!I1243^2)+'BLAZE SHIELD II'!$H$8*'CALCULO MORTERO'!I1243+'BLAZE SHIELD II'!$H$9)),0)+IF(AND(L1243="Blaze Shield II",M1243="Software Idiem",C1243="C"),((('BLAZE SHIELD II'!$L$4*('CALCULO MORTERO'!I1243^2)+'BLAZE SHIELD II'!$L$5*'CALCULO MORTERO'!I1243+'BLAZE SHIELD II'!$L$6)*LN(J1243))+('BLAZE SHIELD II'!$L$7*('CALCULO MORTERO'!I1243^2)+'BLAZE SHIELD II'!$L$8*'CALCULO MORTERO'!I1243+'BLAZE SHIELD II'!$L$9)),0)+IF(AND(L1243="Blaze Shield II",M1243="Software Idiem",C1243="L"),((('BLAZE SHIELD II'!$L$4*('CALCULO MORTERO'!I1243^2)+'BLAZE SHIELD II'!$L$5*'CALCULO MORTERO'!I1243+'BLAZE SHIELD II'!$L$6)*LN(J1243))+('BLAZE SHIELD II'!$L$7*('CALCULO MORTERO'!I1243^2)+'BLAZE SHIELD II'!$L$8*'CALCULO MORTERO'!I1243+'BLAZE SHIELD II'!$L$9)),0)+IF(AND(L1243="Blaze Shield II",M1243="Software Idiem",C1243="IN",G1243=3),((('BLAZE SHIELD II'!$H$14*('CALCULO MORTERO'!I1243^2)+'BLAZE SHIELD II'!$H$15*'CALCULO MORTERO'!I1243+'BLAZE SHIELD II'!$H$16)*LN(J1243))+('BLAZE SHIELD II'!$H$17*('CALCULO MORTERO'!I1243^2)+'BLAZE SHIELD II'!$H$18*'CALCULO MORTERO'!I1243+'BLAZE SHIELD II'!$H$19)),0),0)+ROUND(IF(AND(L1243="Cafco 400",M1243="Software Idiem",C1243="IN",G1243=4),((('CAFCO 400 '!$H$7*(J1243^4)+'CAFCO 400 '!$H$8*(J1243^3)+'CAFCO 400 '!$H$9*(J1243^2)+'CAFCO 400 '!$H$10*J1243+'CAFCO 400 '!$H$11)*U1243^2)+(('CAFCO 400 '!$H$12*(J1243^3)+'CAFCO 400 '!$H$13*(J1243^2)+'CAFCO 400 '!$H$14*J1243+'CAFCO 400 '!$H$15)*U1243)+('CAFCO 400 '!$H$16*(J1243^2)+'CAFCO 400 '!$H$17*J1243+'CAFCO 400 '!$H$18)),0)+IF(AND(L1243="Cafco 400",M1243="Software Idiem",C1243="Cj"),(((('CAFCO 400 '!$D$7*LN(J1243)+'CAFCO 400 '!$D$8)*U1243^2)+(('CAFCO 400 '!$D$9*LN(J1243)+'CAFCO 400 '!$D$10)*U1243)+('CAFCO 400 '!$D$11*LN(J1243)+'CAFCO 400 '!$D$12))),0)+IF(AND(L1243="Cafco 400",M1243="Software Idiem",C1243="C"),((('CAFCO 400 '!$L$7*(J1243^3)+'CAFCO 400 '!$L$8*(J1243^2)+'CAFCO 400 '!$L$9*J1243+'CAFCO 400 '!$L$10)*U1243^2)+(('CAFCO 400 '!$L$11*(J1243^3)+'CAFCO 400 '!$L$12*(J1243^2)+'CAFCO 400 '!$L$13*J1243+'CAFCO 400 '!$L$14)*U1243)+('CAFCO 400 '!$L$15*LN(J1243)+'CAFCO 400 '!$L$16)),0)+IF(AND(L1243="Cafco 400",M1243="Software Idiem",C1243="L"),((('CAFCO 400 '!$L$7*(J1243^3)+'CAFCO 400 '!$L$8*(J1243^2)+'CAFCO 400 '!$L$9*J1243+'CAFCO 400 '!$L$10)*U1243^2)+(('CAFCO 400 '!$L$11*(J1243^3)+'CAFCO 400 '!$L$12*(J1243^2)+'CAFCO 400 '!$L$13*J1243+'CAFCO 400 '!$L$14)*U1243)+('CAFCO 400 '!$L$15*LN(J1243)+'CAFCO 400 '!$L$16)),0)+IF(AND(L1243="Cafco 400",M1243="Software Idiem",C1243="IN",G1243=3),((('CAFCO 400 '!$D$23*(J1243^2)+'CAFCO 400 '!$D$24*(J1243)+'CAFCO 400 '!$D$25)*U1243^2)+(('CAFCO 400 '!$D$26*(J1243^2)+'CAFCO 400 '!$D$27*J1243+'CAFCO 400 '!$D$28)*U1243)+('CAFCO 400 '!$D$29*(J1243^2)+'CAFCO 400 '!$D$30*J1243+'CAFCO 400 '!$D$31)),0),0)+IF(AND(L1243="Cafco 300",J1243&gt;=95,J1243&lt;=240,C1243="Cj",I1243=90),VLOOKUP(T1243,'CAFCO 300 IDIEM TABLAS'!$B$4:$D$23,2,FALSE),0)+IF(AND(L1243="Cafco 300",J1243&gt;=95,J1243&lt;=240,C1243="Cj",I1243=120),VLOOKUP(T1243,'CAFCO 300 IDIEM TABLAS'!$B$4:$D$23,3,FALSE),0)+IF(AND(L1243="Cafco 300",J1243&gt;=95,J1243&lt;=400,G1243=3,C1243="IN",I1243=90),VLOOKUP(T1243,'CAFCO 300 IDIEM TABLAS'!$F$4:$H$35,2,FALSE),0)+IF(AND(L1243="Cafco 300",J1243&gt;=95,J1243&lt;=400,G1243=3,C1243="IN",I1243=120),VLOOKUP(T1243,'CAFCO 300 IDIEM TABLAS'!$F$4:$H$35,3,FALSE),0)+IF(AND(L1243="Cafco 300",J1243&gt;=95,J1243&lt;=450,G1243=4,C1243="IN",I1243=90),VLOOKUP(T1243,'CAFCO 300 IDIEM TABLAS'!$J$4:$L$40,2,FALSE),0)+IF(AND(L1243="Cafco 300",J1243&gt;=95,J1243&lt;=450,G1243=4,C1243="IN",I1243=120),VLOOKUP(T1243,'CAFCO 300 IDIEM TABLAS'!$J$4:$L$40,3,FALSE),0)+IF(AND(M1243="Ensayo Idiem",L1243="Cafco 400",C1243="IN",G1243=4,I1243=90),VLOOKUP(T1243,'CAFCO 400 ENSAYO'!$B$7:$D$43,2,FALSE),0)+IF(AND(M1243="Ensayo Idiem",L1243="Cafco 400",C1243="IN",G1243=4,I1243=120),VLOOKUP(T1243,'CAFCO 400 ENSAYO'!$B$7:$D$43,3,FALSE),0)</f>
        <v>0</v>
      </c>
      <c r="O1243" s="96">
        <f t="shared" si="126"/>
        <v>0</v>
      </c>
      <c r="P1243" s="132" t="str">
        <f t="shared" si="121"/>
        <v>N/A</v>
      </c>
      <c r="Q1243" s="132" t="str">
        <f t="shared" si="122"/>
        <v>N/A</v>
      </c>
      <c r="R1243" s="132" t="str">
        <f t="shared" si="123"/>
        <v>NO CERT.</v>
      </c>
      <c r="S1243" s="132" t="e">
        <f t="shared" si="124"/>
        <v>#N/A</v>
      </c>
      <c r="T1243" s="133" t="e">
        <f>+IF(J1243=LOOKUP(J1243,'CAFCO 300 IDIEM TABLAS'!$J$4:$J$40),'CALCULO MORTERO'!J1243,MROUND('CALCULO MORTERO'!J1243,10))</f>
        <v>#N/A</v>
      </c>
      <c r="U1243" s="134">
        <f t="shared" si="125"/>
        <v>0</v>
      </c>
    </row>
    <row r="1244" spans="1:21" x14ac:dyDescent="0.25">
      <c r="A1244" s="118">
        <f>+CUBICACION!D1238</f>
        <v>0</v>
      </c>
      <c r="B1244" s="819">
        <f>+CUBICACION!E1238</f>
        <v>0</v>
      </c>
      <c r="C1244" s="675">
        <f>+CUBICACION!F1238</f>
        <v>0</v>
      </c>
      <c r="D1244" s="118"/>
      <c r="E1244" s="118"/>
      <c r="F1244" s="820"/>
      <c r="G1244" s="675">
        <f>+CUBICACION!J1238</f>
        <v>0</v>
      </c>
      <c r="H1244" s="118"/>
      <c r="I1244" s="821">
        <f>+CUBICACION!L1238</f>
        <v>0</v>
      </c>
      <c r="J1244" s="64">
        <f>+CUBICACION!M1238</f>
        <v>0</v>
      </c>
      <c r="K1244" s="822" t="str">
        <f>+CUBICACION!N1238</f>
        <v/>
      </c>
      <c r="L1244" s="118">
        <f>+CUBICACION!O1238</f>
        <v>0</v>
      </c>
      <c r="M1244" s="823">
        <f>+CUBICACION!P1238</f>
        <v>0</v>
      </c>
      <c r="N1244" s="902">
        <f>ROUND(IF(AND(L1244="Blaze Shield II",M1244="Software Idiem",C1244="IN",G1244=4),((('BLAZE SHIELD II'!$D$4*('CALCULO MORTERO'!I1244^2)+'BLAZE SHIELD II'!$D$5*'CALCULO MORTERO'!I1244+'BLAZE SHIELD II'!$D$6)*LN(J1244))+('BLAZE SHIELD II'!$D$7*('CALCULO MORTERO'!I1244^2)+'BLAZE SHIELD II'!$D$8*'CALCULO MORTERO'!I1244+'BLAZE SHIELD II'!$D$9)),0)+IF(AND(L1244="Blaze Shield II",M1244="Software Idiem",C1244="Cj"),((('BLAZE SHIELD II'!$H$4*('CALCULO MORTERO'!I1244^2)+'BLAZE SHIELD II'!$H$5*'CALCULO MORTERO'!I1244+'BLAZE SHIELD II'!$H$6)*LN(J1244))+('BLAZE SHIELD II'!$H$7*('CALCULO MORTERO'!I1244^2)+'BLAZE SHIELD II'!$H$8*'CALCULO MORTERO'!I1244+'BLAZE SHIELD II'!$H$9)),0)+IF(AND(L1244="Blaze Shield II",M1244="Software Idiem",C1244="C"),((('BLAZE SHIELD II'!$L$4*('CALCULO MORTERO'!I1244^2)+'BLAZE SHIELD II'!$L$5*'CALCULO MORTERO'!I1244+'BLAZE SHIELD II'!$L$6)*LN(J1244))+('BLAZE SHIELD II'!$L$7*('CALCULO MORTERO'!I1244^2)+'BLAZE SHIELD II'!$L$8*'CALCULO MORTERO'!I1244+'BLAZE SHIELD II'!$L$9)),0)+IF(AND(L1244="Blaze Shield II",M1244="Software Idiem",C1244="L"),((('BLAZE SHIELD II'!$L$4*('CALCULO MORTERO'!I1244^2)+'BLAZE SHIELD II'!$L$5*'CALCULO MORTERO'!I1244+'BLAZE SHIELD II'!$L$6)*LN(J1244))+('BLAZE SHIELD II'!$L$7*('CALCULO MORTERO'!I1244^2)+'BLAZE SHIELD II'!$L$8*'CALCULO MORTERO'!I1244+'BLAZE SHIELD II'!$L$9)),0)+IF(AND(L1244="Blaze Shield II",M1244="Software Idiem",C1244="IN",G1244=3),((('BLAZE SHIELD II'!$H$14*('CALCULO MORTERO'!I1244^2)+'BLAZE SHIELD II'!$H$15*'CALCULO MORTERO'!I1244+'BLAZE SHIELD II'!$H$16)*LN(J1244))+('BLAZE SHIELD II'!$H$17*('CALCULO MORTERO'!I1244^2)+'BLAZE SHIELD II'!$H$18*'CALCULO MORTERO'!I1244+'BLAZE SHIELD II'!$H$19)),0),0)+ROUND(IF(AND(L1244="Cafco 400",M1244="Software Idiem",C1244="IN",G1244=4),((('CAFCO 400 '!$H$7*(J1244^4)+'CAFCO 400 '!$H$8*(J1244^3)+'CAFCO 400 '!$H$9*(J1244^2)+'CAFCO 400 '!$H$10*J1244+'CAFCO 400 '!$H$11)*U1244^2)+(('CAFCO 400 '!$H$12*(J1244^3)+'CAFCO 400 '!$H$13*(J1244^2)+'CAFCO 400 '!$H$14*J1244+'CAFCO 400 '!$H$15)*U1244)+('CAFCO 400 '!$H$16*(J1244^2)+'CAFCO 400 '!$H$17*J1244+'CAFCO 400 '!$H$18)),0)+IF(AND(L1244="Cafco 400",M1244="Software Idiem",C1244="Cj"),(((('CAFCO 400 '!$D$7*LN(J1244)+'CAFCO 400 '!$D$8)*U1244^2)+(('CAFCO 400 '!$D$9*LN(J1244)+'CAFCO 400 '!$D$10)*U1244)+('CAFCO 400 '!$D$11*LN(J1244)+'CAFCO 400 '!$D$12))),0)+IF(AND(L1244="Cafco 400",M1244="Software Idiem",C1244="C"),((('CAFCO 400 '!$L$7*(J1244^3)+'CAFCO 400 '!$L$8*(J1244^2)+'CAFCO 400 '!$L$9*J1244+'CAFCO 400 '!$L$10)*U1244^2)+(('CAFCO 400 '!$L$11*(J1244^3)+'CAFCO 400 '!$L$12*(J1244^2)+'CAFCO 400 '!$L$13*J1244+'CAFCO 400 '!$L$14)*U1244)+('CAFCO 400 '!$L$15*LN(J1244)+'CAFCO 400 '!$L$16)),0)+IF(AND(L1244="Cafco 400",M1244="Software Idiem",C1244="L"),((('CAFCO 400 '!$L$7*(J1244^3)+'CAFCO 400 '!$L$8*(J1244^2)+'CAFCO 400 '!$L$9*J1244+'CAFCO 400 '!$L$10)*U1244^2)+(('CAFCO 400 '!$L$11*(J1244^3)+'CAFCO 400 '!$L$12*(J1244^2)+'CAFCO 400 '!$L$13*J1244+'CAFCO 400 '!$L$14)*U1244)+('CAFCO 400 '!$L$15*LN(J1244)+'CAFCO 400 '!$L$16)),0)+IF(AND(L1244="Cafco 400",M1244="Software Idiem",C1244="IN",G1244=3),((('CAFCO 400 '!$D$23*(J1244^2)+'CAFCO 400 '!$D$24*(J1244)+'CAFCO 400 '!$D$25)*U1244^2)+(('CAFCO 400 '!$D$26*(J1244^2)+'CAFCO 400 '!$D$27*J1244+'CAFCO 400 '!$D$28)*U1244)+('CAFCO 400 '!$D$29*(J1244^2)+'CAFCO 400 '!$D$30*J1244+'CAFCO 400 '!$D$31)),0),0)+IF(AND(L1244="Cafco 300",J1244&gt;=95,J1244&lt;=240,C1244="Cj",I1244=90),VLOOKUP(T1244,'CAFCO 300 IDIEM TABLAS'!$B$4:$D$23,2,FALSE),0)+IF(AND(L1244="Cafco 300",J1244&gt;=95,J1244&lt;=240,C1244="Cj",I1244=120),VLOOKUP(T1244,'CAFCO 300 IDIEM TABLAS'!$B$4:$D$23,3,FALSE),0)+IF(AND(L1244="Cafco 300",J1244&gt;=95,J1244&lt;=400,G1244=3,C1244="IN",I1244=90),VLOOKUP(T1244,'CAFCO 300 IDIEM TABLAS'!$F$4:$H$35,2,FALSE),0)+IF(AND(L1244="Cafco 300",J1244&gt;=95,J1244&lt;=400,G1244=3,C1244="IN",I1244=120),VLOOKUP(T1244,'CAFCO 300 IDIEM TABLAS'!$F$4:$H$35,3,FALSE),0)+IF(AND(L1244="Cafco 300",J1244&gt;=95,J1244&lt;=450,G1244=4,C1244="IN",I1244=90),VLOOKUP(T1244,'CAFCO 300 IDIEM TABLAS'!$J$4:$L$40,2,FALSE),0)+IF(AND(L1244="Cafco 300",J1244&gt;=95,J1244&lt;=450,G1244=4,C1244="IN",I1244=120),VLOOKUP(T1244,'CAFCO 300 IDIEM TABLAS'!$J$4:$L$40,3,FALSE),0)+IF(AND(M1244="Ensayo Idiem",L1244="Cafco 400",C1244="IN",G1244=4,I1244=90),VLOOKUP(T1244,'CAFCO 400 ENSAYO'!$B$7:$D$43,2,FALSE),0)+IF(AND(M1244="Ensayo Idiem",L1244="Cafco 400",C1244="IN",G1244=4,I1244=120),VLOOKUP(T1244,'CAFCO 400 ENSAYO'!$B$7:$D$43,3,FALSE),0)</f>
        <v>0</v>
      </c>
      <c r="O1244" s="96">
        <f t="shared" si="126"/>
        <v>0</v>
      </c>
      <c r="P1244" s="95" t="str">
        <f t="shared" si="121"/>
        <v>N/A</v>
      </c>
      <c r="Q1244" s="95" t="str">
        <f t="shared" si="122"/>
        <v>N/A</v>
      </c>
      <c r="R1244" s="95" t="str">
        <f t="shared" si="123"/>
        <v>NO CERT.</v>
      </c>
      <c r="S1244" s="95" t="e">
        <f t="shared" si="124"/>
        <v>#N/A</v>
      </c>
      <c r="T1244" s="119" t="e">
        <f>+IF(J1244=LOOKUP(J1244,'CAFCO 300 IDIEM TABLAS'!$J$4:$J$40),'CALCULO MORTERO'!J1244,MROUND('CALCULO MORTERO'!J1244,10))</f>
        <v>#N/A</v>
      </c>
      <c r="U1244" s="118">
        <f t="shared" si="125"/>
        <v>0</v>
      </c>
    </row>
    <row r="1245" spans="1:21" x14ac:dyDescent="0.25">
      <c r="A1245" s="118">
        <f>+CUBICACION!D1239</f>
        <v>0</v>
      </c>
      <c r="B1245" s="819">
        <f>+CUBICACION!E1239</f>
        <v>0</v>
      </c>
      <c r="C1245" s="675">
        <f>+CUBICACION!F1239</f>
        <v>0</v>
      </c>
      <c r="D1245" s="118"/>
      <c r="E1245" s="118"/>
      <c r="F1245" s="820"/>
      <c r="G1245" s="675">
        <f>+CUBICACION!J1239</f>
        <v>0</v>
      </c>
      <c r="H1245" s="118"/>
      <c r="I1245" s="821">
        <f>+CUBICACION!L1239</f>
        <v>0</v>
      </c>
      <c r="J1245" s="64">
        <f>+CUBICACION!M1239</f>
        <v>0</v>
      </c>
      <c r="K1245" s="822" t="str">
        <f>+CUBICACION!N1239</f>
        <v/>
      </c>
      <c r="L1245" s="118">
        <f>+CUBICACION!O1239</f>
        <v>0</v>
      </c>
      <c r="M1245" s="823">
        <f>+CUBICACION!P1239</f>
        <v>0</v>
      </c>
      <c r="N1245" s="902">
        <f>ROUND(IF(AND(L1245="Blaze Shield II",M1245="Software Idiem",C1245="IN",G1245=4),((('BLAZE SHIELD II'!$D$4*('CALCULO MORTERO'!I1245^2)+'BLAZE SHIELD II'!$D$5*'CALCULO MORTERO'!I1245+'BLAZE SHIELD II'!$D$6)*LN(J1245))+('BLAZE SHIELD II'!$D$7*('CALCULO MORTERO'!I1245^2)+'BLAZE SHIELD II'!$D$8*'CALCULO MORTERO'!I1245+'BLAZE SHIELD II'!$D$9)),0)+IF(AND(L1245="Blaze Shield II",M1245="Software Idiem",C1245="Cj"),((('BLAZE SHIELD II'!$H$4*('CALCULO MORTERO'!I1245^2)+'BLAZE SHIELD II'!$H$5*'CALCULO MORTERO'!I1245+'BLAZE SHIELD II'!$H$6)*LN(J1245))+('BLAZE SHIELD II'!$H$7*('CALCULO MORTERO'!I1245^2)+'BLAZE SHIELD II'!$H$8*'CALCULO MORTERO'!I1245+'BLAZE SHIELD II'!$H$9)),0)+IF(AND(L1245="Blaze Shield II",M1245="Software Idiem",C1245="C"),((('BLAZE SHIELD II'!$L$4*('CALCULO MORTERO'!I1245^2)+'BLAZE SHIELD II'!$L$5*'CALCULO MORTERO'!I1245+'BLAZE SHIELD II'!$L$6)*LN(J1245))+('BLAZE SHIELD II'!$L$7*('CALCULO MORTERO'!I1245^2)+'BLAZE SHIELD II'!$L$8*'CALCULO MORTERO'!I1245+'BLAZE SHIELD II'!$L$9)),0)+IF(AND(L1245="Blaze Shield II",M1245="Software Idiem",C1245="L"),((('BLAZE SHIELD II'!$L$4*('CALCULO MORTERO'!I1245^2)+'BLAZE SHIELD II'!$L$5*'CALCULO MORTERO'!I1245+'BLAZE SHIELD II'!$L$6)*LN(J1245))+('BLAZE SHIELD II'!$L$7*('CALCULO MORTERO'!I1245^2)+'BLAZE SHIELD II'!$L$8*'CALCULO MORTERO'!I1245+'BLAZE SHIELD II'!$L$9)),0)+IF(AND(L1245="Blaze Shield II",M1245="Software Idiem",C1245="IN",G1245=3),((('BLAZE SHIELD II'!$H$14*('CALCULO MORTERO'!I1245^2)+'BLAZE SHIELD II'!$H$15*'CALCULO MORTERO'!I1245+'BLAZE SHIELD II'!$H$16)*LN(J1245))+('BLAZE SHIELD II'!$H$17*('CALCULO MORTERO'!I1245^2)+'BLAZE SHIELD II'!$H$18*'CALCULO MORTERO'!I1245+'BLAZE SHIELD II'!$H$19)),0),0)+ROUND(IF(AND(L1245="Cafco 400",M1245="Software Idiem",C1245="IN",G1245=4),((('CAFCO 400 '!$H$7*(J1245^4)+'CAFCO 400 '!$H$8*(J1245^3)+'CAFCO 400 '!$H$9*(J1245^2)+'CAFCO 400 '!$H$10*J1245+'CAFCO 400 '!$H$11)*U1245^2)+(('CAFCO 400 '!$H$12*(J1245^3)+'CAFCO 400 '!$H$13*(J1245^2)+'CAFCO 400 '!$H$14*J1245+'CAFCO 400 '!$H$15)*U1245)+('CAFCO 400 '!$H$16*(J1245^2)+'CAFCO 400 '!$H$17*J1245+'CAFCO 400 '!$H$18)),0)+IF(AND(L1245="Cafco 400",M1245="Software Idiem",C1245="Cj"),(((('CAFCO 400 '!$D$7*LN(J1245)+'CAFCO 400 '!$D$8)*U1245^2)+(('CAFCO 400 '!$D$9*LN(J1245)+'CAFCO 400 '!$D$10)*U1245)+('CAFCO 400 '!$D$11*LN(J1245)+'CAFCO 400 '!$D$12))),0)+IF(AND(L1245="Cafco 400",M1245="Software Idiem",C1245="C"),((('CAFCO 400 '!$L$7*(J1245^3)+'CAFCO 400 '!$L$8*(J1245^2)+'CAFCO 400 '!$L$9*J1245+'CAFCO 400 '!$L$10)*U1245^2)+(('CAFCO 400 '!$L$11*(J1245^3)+'CAFCO 400 '!$L$12*(J1245^2)+'CAFCO 400 '!$L$13*J1245+'CAFCO 400 '!$L$14)*U1245)+('CAFCO 400 '!$L$15*LN(J1245)+'CAFCO 400 '!$L$16)),0)+IF(AND(L1245="Cafco 400",M1245="Software Idiem",C1245="L"),((('CAFCO 400 '!$L$7*(J1245^3)+'CAFCO 400 '!$L$8*(J1245^2)+'CAFCO 400 '!$L$9*J1245+'CAFCO 400 '!$L$10)*U1245^2)+(('CAFCO 400 '!$L$11*(J1245^3)+'CAFCO 400 '!$L$12*(J1245^2)+'CAFCO 400 '!$L$13*J1245+'CAFCO 400 '!$L$14)*U1245)+('CAFCO 400 '!$L$15*LN(J1245)+'CAFCO 400 '!$L$16)),0)+IF(AND(L1245="Cafco 400",M1245="Software Idiem",C1245="IN",G1245=3),((('CAFCO 400 '!$D$23*(J1245^2)+'CAFCO 400 '!$D$24*(J1245)+'CAFCO 400 '!$D$25)*U1245^2)+(('CAFCO 400 '!$D$26*(J1245^2)+'CAFCO 400 '!$D$27*J1245+'CAFCO 400 '!$D$28)*U1245)+('CAFCO 400 '!$D$29*(J1245^2)+'CAFCO 400 '!$D$30*J1245+'CAFCO 400 '!$D$31)),0),0)+IF(AND(L1245="Cafco 300",J1245&gt;=95,J1245&lt;=240,C1245="Cj",I1245=90),VLOOKUP(T1245,'CAFCO 300 IDIEM TABLAS'!$B$4:$D$23,2,FALSE),0)+IF(AND(L1245="Cafco 300",J1245&gt;=95,J1245&lt;=240,C1245="Cj",I1245=120),VLOOKUP(T1245,'CAFCO 300 IDIEM TABLAS'!$B$4:$D$23,3,FALSE),0)+IF(AND(L1245="Cafco 300",J1245&gt;=95,J1245&lt;=400,G1245=3,C1245="IN",I1245=90),VLOOKUP(T1245,'CAFCO 300 IDIEM TABLAS'!$F$4:$H$35,2,FALSE),0)+IF(AND(L1245="Cafco 300",J1245&gt;=95,J1245&lt;=400,G1245=3,C1245="IN",I1245=120),VLOOKUP(T1245,'CAFCO 300 IDIEM TABLAS'!$F$4:$H$35,3,FALSE),0)+IF(AND(L1245="Cafco 300",J1245&gt;=95,J1245&lt;=450,G1245=4,C1245="IN",I1245=90),VLOOKUP(T1245,'CAFCO 300 IDIEM TABLAS'!$J$4:$L$40,2,FALSE),0)+IF(AND(L1245="Cafco 300",J1245&gt;=95,J1245&lt;=450,G1245=4,C1245="IN",I1245=120),VLOOKUP(T1245,'CAFCO 300 IDIEM TABLAS'!$J$4:$L$40,3,FALSE),0)+IF(AND(M1245="Ensayo Idiem",L1245="Cafco 400",C1245="IN",G1245=4,I1245=90),VLOOKUP(T1245,'CAFCO 400 ENSAYO'!$B$7:$D$43,2,FALSE),0)+IF(AND(M1245="Ensayo Idiem",L1245="Cafco 400",C1245="IN",G1245=4,I1245=120),VLOOKUP(T1245,'CAFCO 400 ENSAYO'!$B$7:$D$43,3,FALSE),0)</f>
        <v>0</v>
      </c>
      <c r="O1245" s="96">
        <f t="shared" si="126"/>
        <v>0</v>
      </c>
      <c r="P1245" s="132" t="str">
        <f t="shared" si="121"/>
        <v>N/A</v>
      </c>
      <c r="Q1245" s="132" t="str">
        <f t="shared" si="122"/>
        <v>N/A</v>
      </c>
      <c r="R1245" s="132" t="str">
        <f t="shared" si="123"/>
        <v>NO CERT.</v>
      </c>
      <c r="S1245" s="132" t="e">
        <f t="shared" si="124"/>
        <v>#N/A</v>
      </c>
      <c r="T1245" s="133" t="e">
        <f>+IF(J1245=LOOKUP(J1245,'CAFCO 300 IDIEM TABLAS'!$J$4:$J$40),'CALCULO MORTERO'!J1245,MROUND('CALCULO MORTERO'!J1245,10))</f>
        <v>#N/A</v>
      </c>
      <c r="U1245" s="134">
        <f t="shared" si="125"/>
        <v>0</v>
      </c>
    </row>
    <row r="1246" spans="1:21" x14ac:dyDescent="0.25">
      <c r="A1246" s="118">
        <f>+CUBICACION!D1240</f>
        <v>0</v>
      </c>
      <c r="B1246" s="819">
        <f>+CUBICACION!E1240</f>
        <v>0</v>
      </c>
      <c r="C1246" s="675">
        <f>+CUBICACION!F1240</f>
        <v>0</v>
      </c>
      <c r="D1246" s="118"/>
      <c r="E1246" s="118"/>
      <c r="F1246" s="820"/>
      <c r="G1246" s="675">
        <f>+CUBICACION!J1240</f>
        <v>0</v>
      </c>
      <c r="H1246" s="118"/>
      <c r="I1246" s="821">
        <f>+CUBICACION!L1240</f>
        <v>0</v>
      </c>
      <c r="J1246" s="64">
        <f>+CUBICACION!M1240</f>
        <v>0</v>
      </c>
      <c r="K1246" s="822" t="str">
        <f>+CUBICACION!N1240</f>
        <v/>
      </c>
      <c r="L1246" s="118">
        <f>+CUBICACION!O1240</f>
        <v>0</v>
      </c>
      <c r="M1246" s="823">
        <f>+CUBICACION!P1240</f>
        <v>0</v>
      </c>
      <c r="N1246" s="902">
        <f>ROUND(IF(AND(L1246="Blaze Shield II",M1246="Software Idiem",C1246="IN",G1246=4),((('BLAZE SHIELD II'!$D$4*('CALCULO MORTERO'!I1246^2)+'BLAZE SHIELD II'!$D$5*'CALCULO MORTERO'!I1246+'BLAZE SHIELD II'!$D$6)*LN(J1246))+('BLAZE SHIELD II'!$D$7*('CALCULO MORTERO'!I1246^2)+'BLAZE SHIELD II'!$D$8*'CALCULO MORTERO'!I1246+'BLAZE SHIELD II'!$D$9)),0)+IF(AND(L1246="Blaze Shield II",M1246="Software Idiem",C1246="Cj"),((('BLAZE SHIELD II'!$H$4*('CALCULO MORTERO'!I1246^2)+'BLAZE SHIELD II'!$H$5*'CALCULO MORTERO'!I1246+'BLAZE SHIELD II'!$H$6)*LN(J1246))+('BLAZE SHIELD II'!$H$7*('CALCULO MORTERO'!I1246^2)+'BLAZE SHIELD II'!$H$8*'CALCULO MORTERO'!I1246+'BLAZE SHIELD II'!$H$9)),0)+IF(AND(L1246="Blaze Shield II",M1246="Software Idiem",C1246="C"),((('BLAZE SHIELD II'!$L$4*('CALCULO MORTERO'!I1246^2)+'BLAZE SHIELD II'!$L$5*'CALCULO MORTERO'!I1246+'BLAZE SHIELD II'!$L$6)*LN(J1246))+('BLAZE SHIELD II'!$L$7*('CALCULO MORTERO'!I1246^2)+'BLAZE SHIELD II'!$L$8*'CALCULO MORTERO'!I1246+'BLAZE SHIELD II'!$L$9)),0)+IF(AND(L1246="Blaze Shield II",M1246="Software Idiem",C1246="L"),((('BLAZE SHIELD II'!$L$4*('CALCULO MORTERO'!I1246^2)+'BLAZE SHIELD II'!$L$5*'CALCULO MORTERO'!I1246+'BLAZE SHIELD II'!$L$6)*LN(J1246))+('BLAZE SHIELD II'!$L$7*('CALCULO MORTERO'!I1246^2)+'BLAZE SHIELD II'!$L$8*'CALCULO MORTERO'!I1246+'BLAZE SHIELD II'!$L$9)),0)+IF(AND(L1246="Blaze Shield II",M1246="Software Idiem",C1246="IN",G1246=3),((('BLAZE SHIELD II'!$H$14*('CALCULO MORTERO'!I1246^2)+'BLAZE SHIELD II'!$H$15*'CALCULO MORTERO'!I1246+'BLAZE SHIELD II'!$H$16)*LN(J1246))+('BLAZE SHIELD II'!$H$17*('CALCULO MORTERO'!I1246^2)+'BLAZE SHIELD II'!$H$18*'CALCULO MORTERO'!I1246+'BLAZE SHIELD II'!$H$19)),0),0)+ROUND(IF(AND(L1246="Cafco 400",M1246="Software Idiem",C1246="IN",G1246=4),((('CAFCO 400 '!$H$7*(J1246^4)+'CAFCO 400 '!$H$8*(J1246^3)+'CAFCO 400 '!$H$9*(J1246^2)+'CAFCO 400 '!$H$10*J1246+'CAFCO 400 '!$H$11)*U1246^2)+(('CAFCO 400 '!$H$12*(J1246^3)+'CAFCO 400 '!$H$13*(J1246^2)+'CAFCO 400 '!$H$14*J1246+'CAFCO 400 '!$H$15)*U1246)+('CAFCO 400 '!$H$16*(J1246^2)+'CAFCO 400 '!$H$17*J1246+'CAFCO 400 '!$H$18)),0)+IF(AND(L1246="Cafco 400",M1246="Software Idiem",C1246="Cj"),(((('CAFCO 400 '!$D$7*LN(J1246)+'CAFCO 400 '!$D$8)*U1246^2)+(('CAFCO 400 '!$D$9*LN(J1246)+'CAFCO 400 '!$D$10)*U1246)+('CAFCO 400 '!$D$11*LN(J1246)+'CAFCO 400 '!$D$12))),0)+IF(AND(L1246="Cafco 400",M1246="Software Idiem",C1246="C"),((('CAFCO 400 '!$L$7*(J1246^3)+'CAFCO 400 '!$L$8*(J1246^2)+'CAFCO 400 '!$L$9*J1246+'CAFCO 400 '!$L$10)*U1246^2)+(('CAFCO 400 '!$L$11*(J1246^3)+'CAFCO 400 '!$L$12*(J1246^2)+'CAFCO 400 '!$L$13*J1246+'CAFCO 400 '!$L$14)*U1246)+('CAFCO 400 '!$L$15*LN(J1246)+'CAFCO 400 '!$L$16)),0)+IF(AND(L1246="Cafco 400",M1246="Software Idiem",C1246="L"),((('CAFCO 400 '!$L$7*(J1246^3)+'CAFCO 400 '!$L$8*(J1246^2)+'CAFCO 400 '!$L$9*J1246+'CAFCO 400 '!$L$10)*U1246^2)+(('CAFCO 400 '!$L$11*(J1246^3)+'CAFCO 400 '!$L$12*(J1246^2)+'CAFCO 400 '!$L$13*J1246+'CAFCO 400 '!$L$14)*U1246)+('CAFCO 400 '!$L$15*LN(J1246)+'CAFCO 400 '!$L$16)),0)+IF(AND(L1246="Cafco 400",M1246="Software Idiem",C1246="IN",G1246=3),((('CAFCO 400 '!$D$23*(J1246^2)+'CAFCO 400 '!$D$24*(J1246)+'CAFCO 400 '!$D$25)*U1246^2)+(('CAFCO 400 '!$D$26*(J1246^2)+'CAFCO 400 '!$D$27*J1246+'CAFCO 400 '!$D$28)*U1246)+('CAFCO 400 '!$D$29*(J1246^2)+'CAFCO 400 '!$D$30*J1246+'CAFCO 400 '!$D$31)),0),0)+IF(AND(L1246="Cafco 300",J1246&gt;=95,J1246&lt;=240,C1246="Cj",I1246=90),VLOOKUP(T1246,'CAFCO 300 IDIEM TABLAS'!$B$4:$D$23,2,FALSE),0)+IF(AND(L1246="Cafco 300",J1246&gt;=95,J1246&lt;=240,C1246="Cj",I1246=120),VLOOKUP(T1246,'CAFCO 300 IDIEM TABLAS'!$B$4:$D$23,3,FALSE),0)+IF(AND(L1246="Cafco 300",J1246&gt;=95,J1246&lt;=400,G1246=3,C1246="IN",I1246=90),VLOOKUP(T1246,'CAFCO 300 IDIEM TABLAS'!$F$4:$H$35,2,FALSE),0)+IF(AND(L1246="Cafco 300",J1246&gt;=95,J1246&lt;=400,G1246=3,C1246="IN",I1246=120),VLOOKUP(T1246,'CAFCO 300 IDIEM TABLAS'!$F$4:$H$35,3,FALSE),0)+IF(AND(L1246="Cafco 300",J1246&gt;=95,J1246&lt;=450,G1246=4,C1246="IN",I1246=90),VLOOKUP(T1246,'CAFCO 300 IDIEM TABLAS'!$J$4:$L$40,2,FALSE),0)+IF(AND(L1246="Cafco 300",J1246&gt;=95,J1246&lt;=450,G1246=4,C1246="IN",I1246=120),VLOOKUP(T1246,'CAFCO 300 IDIEM TABLAS'!$J$4:$L$40,3,FALSE),0)+IF(AND(M1246="Ensayo Idiem",L1246="Cafco 400",C1246="IN",G1246=4,I1246=90),VLOOKUP(T1246,'CAFCO 400 ENSAYO'!$B$7:$D$43,2,FALSE),0)+IF(AND(M1246="Ensayo Idiem",L1246="Cafco 400",C1246="IN",G1246=4,I1246=120),VLOOKUP(T1246,'CAFCO 400 ENSAYO'!$B$7:$D$43,3,FALSE),0)</f>
        <v>0</v>
      </c>
      <c r="O1246" s="96">
        <f t="shared" si="126"/>
        <v>0</v>
      </c>
      <c r="P1246" s="95" t="str">
        <f t="shared" si="121"/>
        <v>N/A</v>
      </c>
      <c r="Q1246" s="95" t="str">
        <f t="shared" si="122"/>
        <v>N/A</v>
      </c>
      <c r="R1246" s="95" t="str">
        <f t="shared" si="123"/>
        <v>NO CERT.</v>
      </c>
      <c r="S1246" s="95" t="e">
        <f t="shared" si="124"/>
        <v>#N/A</v>
      </c>
      <c r="T1246" s="119" t="e">
        <f>+IF(J1246=LOOKUP(J1246,'CAFCO 300 IDIEM TABLAS'!$J$4:$J$40),'CALCULO MORTERO'!J1246,MROUND('CALCULO MORTERO'!J1246,10))</f>
        <v>#N/A</v>
      </c>
      <c r="U1246" s="118">
        <f t="shared" si="125"/>
        <v>0</v>
      </c>
    </row>
    <row r="1247" spans="1:21" x14ac:dyDescent="0.25">
      <c r="A1247" s="118">
        <f>+CUBICACION!D1241</f>
        <v>0</v>
      </c>
      <c r="B1247" s="819">
        <f>+CUBICACION!E1241</f>
        <v>0</v>
      </c>
      <c r="C1247" s="675">
        <f>+CUBICACION!F1241</f>
        <v>0</v>
      </c>
      <c r="D1247" s="118"/>
      <c r="E1247" s="118"/>
      <c r="F1247" s="820"/>
      <c r="G1247" s="675">
        <f>+CUBICACION!J1241</f>
        <v>0</v>
      </c>
      <c r="H1247" s="118"/>
      <c r="I1247" s="821">
        <f>+CUBICACION!L1241</f>
        <v>0</v>
      </c>
      <c r="J1247" s="64">
        <f>+CUBICACION!M1241</f>
        <v>0</v>
      </c>
      <c r="K1247" s="822" t="str">
        <f>+CUBICACION!N1241</f>
        <v/>
      </c>
      <c r="L1247" s="118">
        <f>+CUBICACION!O1241</f>
        <v>0</v>
      </c>
      <c r="M1247" s="823">
        <f>+CUBICACION!P1241</f>
        <v>0</v>
      </c>
      <c r="N1247" s="902">
        <f>ROUND(IF(AND(L1247="Blaze Shield II",M1247="Software Idiem",C1247="IN",G1247=4),((('BLAZE SHIELD II'!$D$4*('CALCULO MORTERO'!I1247^2)+'BLAZE SHIELD II'!$D$5*'CALCULO MORTERO'!I1247+'BLAZE SHIELD II'!$D$6)*LN(J1247))+('BLAZE SHIELD II'!$D$7*('CALCULO MORTERO'!I1247^2)+'BLAZE SHIELD II'!$D$8*'CALCULO MORTERO'!I1247+'BLAZE SHIELD II'!$D$9)),0)+IF(AND(L1247="Blaze Shield II",M1247="Software Idiem",C1247="Cj"),((('BLAZE SHIELD II'!$H$4*('CALCULO MORTERO'!I1247^2)+'BLAZE SHIELD II'!$H$5*'CALCULO MORTERO'!I1247+'BLAZE SHIELD II'!$H$6)*LN(J1247))+('BLAZE SHIELD II'!$H$7*('CALCULO MORTERO'!I1247^2)+'BLAZE SHIELD II'!$H$8*'CALCULO MORTERO'!I1247+'BLAZE SHIELD II'!$H$9)),0)+IF(AND(L1247="Blaze Shield II",M1247="Software Idiem",C1247="C"),((('BLAZE SHIELD II'!$L$4*('CALCULO MORTERO'!I1247^2)+'BLAZE SHIELD II'!$L$5*'CALCULO MORTERO'!I1247+'BLAZE SHIELD II'!$L$6)*LN(J1247))+('BLAZE SHIELD II'!$L$7*('CALCULO MORTERO'!I1247^2)+'BLAZE SHIELD II'!$L$8*'CALCULO MORTERO'!I1247+'BLAZE SHIELD II'!$L$9)),0)+IF(AND(L1247="Blaze Shield II",M1247="Software Idiem",C1247="L"),((('BLAZE SHIELD II'!$L$4*('CALCULO MORTERO'!I1247^2)+'BLAZE SHIELD II'!$L$5*'CALCULO MORTERO'!I1247+'BLAZE SHIELD II'!$L$6)*LN(J1247))+('BLAZE SHIELD II'!$L$7*('CALCULO MORTERO'!I1247^2)+'BLAZE SHIELD II'!$L$8*'CALCULO MORTERO'!I1247+'BLAZE SHIELD II'!$L$9)),0)+IF(AND(L1247="Blaze Shield II",M1247="Software Idiem",C1247="IN",G1247=3),((('BLAZE SHIELD II'!$H$14*('CALCULO MORTERO'!I1247^2)+'BLAZE SHIELD II'!$H$15*'CALCULO MORTERO'!I1247+'BLAZE SHIELD II'!$H$16)*LN(J1247))+('BLAZE SHIELD II'!$H$17*('CALCULO MORTERO'!I1247^2)+'BLAZE SHIELD II'!$H$18*'CALCULO MORTERO'!I1247+'BLAZE SHIELD II'!$H$19)),0),0)+ROUND(IF(AND(L1247="Cafco 400",M1247="Software Idiem",C1247="IN",G1247=4),((('CAFCO 400 '!$H$7*(J1247^4)+'CAFCO 400 '!$H$8*(J1247^3)+'CAFCO 400 '!$H$9*(J1247^2)+'CAFCO 400 '!$H$10*J1247+'CAFCO 400 '!$H$11)*U1247^2)+(('CAFCO 400 '!$H$12*(J1247^3)+'CAFCO 400 '!$H$13*(J1247^2)+'CAFCO 400 '!$H$14*J1247+'CAFCO 400 '!$H$15)*U1247)+('CAFCO 400 '!$H$16*(J1247^2)+'CAFCO 400 '!$H$17*J1247+'CAFCO 400 '!$H$18)),0)+IF(AND(L1247="Cafco 400",M1247="Software Idiem",C1247="Cj"),(((('CAFCO 400 '!$D$7*LN(J1247)+'CAFCO 400 '!$D$8)*U1247^2)+(('CAFCO 400 '!$D$9*LN(J1247)+'CAFCO 400 '!$D$10)*U1247)+('CAFCO 400 '!$D$11*LN(J1247)+'CAFCO 400 '!$D$12))),0)+IF(AND(L1247="Cafco 400",M1247="Software Idiem",C1247="C"),((('CAFCO 400 '!$L$7*(J1247^3)+'CAFCO 400 '!$L$8*(J1247^2)+'CAFCO 400 '!$L$9*J1247+'CAFCO 400 '!$L$10)*U1247^2)+(('CAFCO 400 '!$L$11*(J1247^3)+'CAFCO 400 '!$L$12*(J1247^2)+'CAFCO 400 '!$L$13*J1247+'CAFCO 400 '!$L$14)*U1247)+('CAFCO 400 '!$L$15*LN(J1247)+'CAFCO 400 '!$L$16)),0)+IF(AND(L1247="Cafco 400",M1247="Software Idiem",C1247="L"),((('CAFCO 400 '!$L$7*(J1247^3)+'CAFCO 400 '!$L$8*(J1247^2)+'CAFCO 400 '!$L$9*J1247+'CAFCO 400 '!$L$10)*U1247^2)+(('CAFCO 400 '!$L$11*(J1247^3)+'CAFCO 400 '!$L$12*(J1247^2)+'CAFCO 400 '!$L$13*J1247+'CAFCO 400 '!$L$14)*U1247)+('CAFCO 400 '!$L$15*LN(J1247)+'CAFCO 400 '!$L$16)),0)+IF(AND(L1247="Cafco 400",M1247="Software Idiem",C1247="IN",G1247=3),((('CAFCO 400 '!$D$23*(J1247^2)+'CAFCO 400 '!$D$24*(J1247)+'CAFCO 400 '!$D$25)*U1247^2)+(('CAFCO 400 '!$D$26*(J1247^2)+'CAFCO 400 '!$D$27*J1247+'CAFCO 400 '!$D$28)*U1247)+('CAFCO 400 '!$D$29*(J1247^2)+'CAFCO 400 '!$D$30*J1247+'CAFCO 400 '!$D$31)),0),0)+IF(AND(L1247="Cafco 300",J1247&gt;=95,J1247&lt;=240,C1247="Cj",I1247=90),VLOOKUP(T1247,'CAFCO 300 IDIEM TABLAS'!$B$4:$D$23,2,FALSE),0)+IF(AND(L1247="Cafco 300",J1247&gt;=95,J1247&lt;=240,C1247="Cj",I1247=120),VLOOKUP(T1247,'CAFCO 300 IDIEM TABLAS'!$B$4:$D$23,3,FALSE),0)+IF(AND(L1247="Cafco 300",J1247&gt;=95,J1247&lt;=400,G1247=3,C1247="IN",I1247=90),VLOOKUP(T1247,'CAFCO 300 IDIEM TABLAS'!$F$4:$H$35,2,FALSE),0)+IF(AND(L1247="Cafco 300",J1247&gt;=95,J1247&lt;=400,G1247=3,C1247="IN",I1247=120),VLOOKUP(T1247,'CAFCO 300 IDIEM TABLAS'!$F$4:$H$35,3,FALSE),0)+IF(AND(L1247="Cafco 300",J1247&gt;=95,J1247&lt;=450,G1247=4,C1247="IN",I1247=90),VLOOKUP(T1247,'CAFCO 300 IDIEM TABLAS'!$J$4:$L$40,2,FALSE),0)+IF(AND(L1247="Cafco 300",J1247&gt;=95,J1247&lt;=450,G1247=4,C1247="IN",I1247=120),VLOOKUP(T1247,'CAFCO 300 IDIEM TABLAS'!$J$4:$L$40,3,FALSE),0)+IF(AND(M1247="Ensayo Idiem",L1247="Cafco 400",C1247="IN",G1247=4,I1247=90),VLOOKUP(T1247,'CAFCO 400 ENSAYO'!$B$7:$D$43,2,FALSE),0)+IF(AND(M1247="Ensayo Idiem",L1247="Cafco 400",C1247="IN",G1247=4,I1247=120),VLOOKUP(T1247,'CAFCO 400 ENSAYO'!$B$7:$D$43,3,FALSE),0)</f>
        <v>0</v>
      </c>
      <c r="O1247" s="96">
        <f t="shared" si="126"/>
        <v>0</v>
      </c>
      <c r="P1247" s="132" t="str">
        <f t="shared" si="121"/>
        <v>N/A</v>
      </c>
      <c r="Q1247" s="132" t="str">
        <f t="shared" si="122"/>
        <v>N/A</v>
      </c>
      <c r="R1247" s="132" t="str">
        <f t="shared" si="123"/>
        <v>NO CERT.</v>
      </c>
      <c r="S1247" s="132" t="e">
        <f t="shared" si="124"/>
        <v>#N/A</v>
      </c>
      <c r="T1247" s="133" t="e">
        <f>+IF(J1247=LOOKUP(J1247,'CAFCO 300 IDIEM TABLAS'!$J$4:$J$40),'CALCULO MORTERO'!J1247,MROUND('CALCULO MORTERO'!J1247,10))</f>
        <v>#N/A</v>
      </c>
      <c r="U1247" s="134">
        <f t="shared" si="125"/>
        <v>0</v>
      </c>
    </row>
    <row r="1248" spans="1:21" x14ac:dyDescent="0.25">
      <c r="A1248" s="118">
        <f>+CUBICACION!D1242</f>
        <v>0</v>
      </c>
      <c r="B1248" s="819">
        <f>+CUBICACION!E1242</f>
        <v>0</v>
      </c>
      <c r="C1248" s="675">
        <f>+CUBICACION!F1242</f>
        <v>0</v>
      </c>
      <c r="D1248" s="118"/>
      <c r="E1248" s="118"/>
      <c r="F1248" s="820"/>
      <c r="G1248" s="675">
        <f>+CUBICACION!J1242</f>
        <v>0</v>
      </c>
      <c r="H1248" s="118"/>
      <c r="I1248" s="821">
        <f>+CUBICACION!L1242</f>
        <v>0</v>
      </c>
      <c r="J1248" s="64">
        <f>+CUBICACION!M1242</f>
        <v>0</v>
      </c>
      <c r="K1248" s="822" t="str">
        <f>+CUBICACION!N1242</f>
        <v/>
      </c>
      <c r="L1248" s="118">
        <f>+CUBICACION!O1242</f>
        <v>0</v>
      </c>
      <c r="M1248" s="823">
        <f>+CUBICACION!P1242</f>
        <v>0</v>
      </c>
      <c r="N1248" s="902">
        <f>ROUND(IF(AND(L1248="Blaze Shield II",M1248="Software Idiem",C1248="IN",G1248=4),((('BLAZE SHIELD II'!$D$4*('CALCULO MORTERO'!I1248^2)+'BLAZE SHIELD II'!$D$5*'CALCULO MORTERO'!I1248+'BLAZE SHIELD II'!$D$6)*LN(J1248))+('BLAZE SHIELD II'!$D$7*('CALCULO MORTERO'!I1248^2)+'BLAZE SHIELD II'!$D$8*'CALCULO MORTERO'!I1248+'BLAZE SHIELD II'!$D$9)),0)+IF(AND(L1248="Blaze Shield II",M1248="Software Idiem",C1248="Cj"),((('BLAZE SHIELD II'!$H$4*('CALCULO MORTERO'!I1248^2)+'BLAZE SHIELD II'!$H$5*'CALCULO MORTERO'!I1248+'BLAZE SHIELD II'!$H$6)*LN(J1248))+('BLAZE SHIELD II'!$H$7*('CALCULO MORTERO'!I1248^2)+'BLAZE SHIELD II'!$H$8*'CALCULO MORTERO'!I1248+'BLAZE SHIELD II'!$H$9)),0)+IF(AND(L1248="Blaze Shield II",M1248="Software Idiem",C1248="C"),((('BLAZE SHIELD II'!$L$4*('CALCULO MORTERO'!I1248^2)+'BLAZE SHIELD II'!$L$5*'CALCULO MORTERO'!I1248+'BLAZE SHIELD II'!$L$6)*LN(J1248))+('BLAZE SHIELD II'!$L$7*('CALCULO MORTERO'!I1248^2)+'BLAZE SHIELD II'!$L$8*'CALCULO MORTERO'!I1248+'BLAZE SHIELD II'!$L$9)),0)+IF(AND(L1248="Blaze Shield II",M1248="Software Idiem",C1248="L"),((('BLAZE SHIELD II'!$L$4*('CALCULO MORTERO'!I1248^2)+'BLAZE SHIELD II'!$L$5*'CALCULO MORTERO'!I1248+'BLAZE SHIELD II'!$L$6)*LN(J1248))+('BLAZE SHIELD II'!$L$7*('CALCULO MORTERO'!I1248^2)+'BLAZE SHIELD II'!$L$8*'CALCULO MORTERO'!I1248+'BLAZE SHIELD II'!$L$9)),0)+IF(AND(L1248="Blaze Shield II",M1248="Software Idiem",C1248="IN",G1248=3),((('BLAZE SHIELD II'!$H$14*('CALCULO MORTERO'!I1248^2)+'BLAZE SHIELD II'!$H$15*'CALCULO MORTERO'!I1248+'BLAZE SHIELD II'!$H$16)*LN(J1248))+('BLAZE SHIELD II'!$H$17*('CALCULO MORTERO'!I1248^2)+'BLAZE SHIELD II'!$H$18*'CALCULO MORTERO'!I1248+'BLAZE SHIELD II'!$H$19)),0),0)+ROUND(IF(AND(L1248="Cafco 400",M1248="Software Idiem",C1248="IN",G1248=4),((('CAFCO 400 '!$H$7*(J1248^4)+'CAFCO 400 '!$H$8*(J1248^3)+'CAFCO 400 '!$H$9*(J1248^2)+'CAFCO 400 '!$H$10*J1248+'CAFCO 400 '!$H$11)*U1248^2)+(('CAFCO 400 '!$H$12*(J1248^3)+'CAFCO 400 '!$H$13*(J1248^2)+'CAFCO 400 '!$H$14*J1248+'CAFCO 400 '!$H$15)*U1248)+('CAFCO 400 '!$H$16*(J1248^2)+'CAFCO 400 '!$H$17*J1248+'CAFCO 400 '!$H$18)),0)+IF(AND(L1248="Cafco 400",M1248="Software Idiem",C1248="Cj"),(((('CAFCO 400 '!$D$7*LN(J1248)+'CAFCO 400 '!$D$8)*U1248^2)+(('CAFCO 400 '!$D$9*LN(J1248)+'CAFCO 400 '!$D$10)*U1248)+('CAFCO 400 '!$D$11*LN(J1248)+'CAFCO 400 '!$D$12))),0)+IF(AND(L1248="Cafco 400",M1248="Software Idiem",C1248="C"),((('CAFCO 400 '!$L$7*(J1248^3)+'CAFCO 400 '!$L$8*(J1248^2)+'CAFCO 400 '!$L$9*J1248+'CAFCO 400 '!$L$10)*U1248^2)+(('CAFCO 400 '!$L$11*(J1248^3)+'CAFCO 400 '!$L$12*(J1248^2)+'CAFCO 400 '!$L$13*J1248+'CAFCO 400 '!$L$14)*U1248)+('CAFCO 400 '!$L$15*LN(J1248)+'CAFCO 400 '!$L$16)),0)+IF(AND(L1248="Cafco 400",M1248="Software Idiem",C1248="L"),((('CAFCO 400 '!$L$7*(J1248^3)+'CAFCO 400 '!$L$8*(J1248^2)+'CAFCO 400 '!$L$9*J1248+'CAFCO 400 '!$L$10)*U1248^2)+(('CAFCO 400 '!$L$11*(J1248^3)+'CAFCO 400 '!$L$12*(J1248^2)+'CAFCO 400 '!$L$13*J1248+'CAFCO 400 '!$L$14)*U1248)+('CAFCO 400 '!$L$15*LN(J1248)+'CAFCO 400 '!$L$16)),0)+IF(AND(L1248="Cafco 400",M1248="Software Idiem",C1248="IN",G1248=3),((('CAFCO 400 '!$D$23*(J1248^2)+'CAFCO 400 '!$D$24*(J1248)+'CAFCO 400 '!$D$25)*U1248^2)+(('CAFCO 400 '!$D$26*(J1248^2)+'CAFCO 400 '!$D$27*J1248+'CAFCO 400 '!$D$28)*U1248)+('CAFCO 400 '!$D$29*(J1248^2)+'CAFCO 400 '!$D$30*J1248+'CAFCO 400 '!$D$31)),0),0)+IF(AND(L1248="Cafco 300",J1248&gt;=95,J1248&lt;=240,C1248="Cj",I1248=90),VLOOKUP(T1248,'CAFCO 300 IDIEM TABLAS'!$B$4:$D$23,2,FALSE),0)+IF(AND(L1248="Cafco 300",J1248&gt;=95,J1248&lt;=240,C1248="Cj",I1248=120),VLOOKUP(T1248,'CAFCO 300 IDIEM TABLAS'!$B$4:$D$23,3,FALSE),0)+IF(AND(L1248="Cafco 300",J1248&gt;=95,J1248&lt;=400,G1248=3,C1248="IN",I1248=90),VLOOKUP(T1248,'CAFCO 300 IDIEM TABLAS'!$F$4:$H$35,2,FALSE),0)+IF(AND(L1248="Cafco 300",J1248&gt;=95,J1248&lt;=400,G1248=3,C1248="IN",I1248=120),VLOOKUP(T1248,'CAFCO 300 IDIEM TABLAS'!$F$4:$H$35,3,FALSE),0)+IF(AND(L1248="Cafco 300",J1248&gt;=95,J1248&lt;=450,G1248=4,C1248="IN",I1248=90),VLOOKUP(T1248,'CAFCO 300 IDIEM TABLAS'!$J$4:$L$40,2,FALSE),0)+IF(AND(L1248="Cafco 300",J1248&gt;=95,J1248&lt;=450,G1248=4,C1248="IN",I1248=120),VLOOKUP(T1248,'CAFCO 300 IDIEM TABLAS'!$J$4:$L$40,3,FALSE),0)+IF(AND(M1248="Ensayo Idiem",L1248="Cafco 400",C1248="IN",G1248=4,I1248=90),VLOOKUP(T1248,'CAFCO 400 ENSAYO'!$B$7:$D$43,2,FALSE),0)+IF(AND(M1248="Ensayo Idiem",L1248="Cafco 400",C1248="IN",G1248=4,I1248=120),VLOOKUP(T1248,'CAFCO 400 ENSAYO'!$B$7:$D$43,3,FALSE),0)</f>
        <v>0</v>
      </c>
      <c r="O1248" s="96">
        <f t="shared" si="126"/>
        <v>0</v>
      </c>
      <c r="P1248" s="95" t="str">
        <f t="shared" si="121"/>
        <v>N/A</v>
      </c>
      <c r="Q1248" s="95" t="str">
        <f t="shared" si="122"/>
        <v>N/A</v>
      </c>
      <c r="R1248" s="95" t="str">
        <f t="shared" si="123"/>
        <v>NO CERT.</v>
      </c>
      <c r="S1248" s="95" t="e">
        <f t="shared" si="124"/>
        <v>#N/A</v>
      </c>
      <c r="T1248" s="119" t="e">
        <f>+IF(J1248=LOOKUP(J1248,'CAFCO 300 IDIEM TABLAS'!$J$4:$J$40),'CALCULO MORTERO'!J1248,MROUND('CALCULO MORTERO'!J1248,10))</f>
        <v>#N/A</v>
      </c>
      <c r="U1248" s="118">
        <f t="shared" si="125"/>
        <v>0</v>
      </c>
    </row>
    <row r="1249" spans="1:21" x14ac:dyDescent="0.25">
      <c r="A1249" s="118">
        <f>+CUBICACION!D1243</f>
        <v>0</v>
      </c>
      <c r="B1249" s="819">
        <f>+CUBICACION!E1243</f>
        <v>0</v>
      </c>
      <c r="C1249" s="675">
        <f>+CUBICACION!F1243</f>
        <v>0</v>
      </c>
      <c r="D1249" s="118"/>
      <c r="E1249" s="118"/>
      <c r="F1249" s="820"/>
      <c r="G1249" s="675">
        <f>+CUBICACION!J1243</f>
        <v>0</v>
      </c>
      <c r="H1249" s="118"/>
      <c r="I1249" s="821">
        <f>+CUBICACION!L1243</f>
        <v>0</v>
      </c>
      <c r="J1249" s="64">
        <f>+CUBICACION!M1243</f>
        <v>0</v>
      </c>
      <c r="K1249" s="822" t="str">
        <f>+CUBICACION!N1243</f>
        <v/>
      </c>
      <c r="L1249" s="118">
        <f>+CUBICACION!O1243</f>
        <v>0</v>
      </c>
      <c r="M1249" s="823">
        <f>+CUBICACION!P1243</f>
        <v>0</v>
      </c>
      <c r="N1249" s="902">
        <f>ROUND(IF(AND(L1249="Blaze Shield II",M1249="Software Idiem",C1249="IN",G1249=4),((('BLAZE SHIELD II'!$D$4*('CALCULO MORTERO'!I1249^2)+'BLAZE SHIELD II'!$D$5*'CALCULO MORTERO'!I1249+'BLAZE SHIELD II'!$D$6)*LN(J1249))+('BLAZE SHIELD II'!$D$7*('CALCULO MORTERO'!I1249^2)+'BLAZE SHIELD II'!$D$8*'CALCULO MORTERO'!I1249+'BLAZE SHIELD II'!$D$9)),0)+IF(AND(L1249="Blaze Shield II",M1249="Software Idiem",C1249="Cj"),((('BLAZE SHIELD II'!$H$4*('CALCULO MORTERO'!I1249^2)+'BLAZE SHIELD II'!$H$5*'CALCULO MORTERO'!I1249+'BLAZE SHIELD II'!$H$6)*LN(J1249))+('BLAZE SHIELD II'!$H$7*('CALCULO MORTERO'!I1249^2)+'BLAZE SHIELD II'!$H$8*'CALCULO MORTERO'!I1249+'BLAZE SHIELD II'!$H$9)),0)+IF(AND(L1249="Blaze Shield II",M1249="Software Idiem",C1249="C"),((('BLAZE SHIELD II'!$L$4*('CALCULO MORTERO'!I1249^2)+'BLAZE SHIELD II'!$L$5*'CALCULO MORTERO'!I1249+'BLAZE SHIELD II'!$L$6)*LN(J1249))+('BLAZE SHIELD II'!$L$7*('CALCULO MORTERO'!I1249^2)+'BLAZE SHIELD II'!$L$8*'CALCULO MORTERO'!I1249+'BLAZE SHIELD II'!$L$9)),0)+IF(AND(L1249="Blaze Shield II",M1249="Software Idiem",C1249="L"),((('BLAZE SHIELD II'!$L$4*('CALCULO MORTERO'!I1249^2)+'BLAZE SHIELD II'!$L$5*'CALCULO MORTERO'!I1249+'BLAZE SHIELD II'!$L$6)*LN(J1249))+('BLAZE SHIELD II'!$L$7*('CALCULO MORTERO'!I1249^2)+'BLAZE SHIELD II'!$L$8*'CALCULO MORTERO'!I1249+'BLAZE SHIELD II'!$L$9)),0)+IF(AND(L1249="Blaze Shield II",M1249="Software Idiem",C1249="IN",G1249=3),((('BLAZE SHIELD II'!$H$14*('CALCULO MORTERO'!I1249^2)+'BLAZE SHIELD II'!$H$15*'CALCULO MORTERO'!I1249+'BLAZE SHIELD II'!$H$16)*LN(J1249))+('BLAZE SHIELD II'!$H$17*('CALCULO MORTERO'!I1249^2)+'BLAZE SHIELD II'!$H$18*'CALCULO MORTERO'!I1249+'BLAZE SHIELD II'!$H$19)),0),0)+ROUND(IF(AND(L1249="Cafco 400",M1249="Software Idiem",C1249="IN",G1249=4),((('CAFCO 400 '!$H$7*(J1249^4)+'CAFCO 400 '!$H$8*(J1249^3)+'CAFCO 400 '!$H$9*(J1249^2)+'CAFCO 400 '!$H$10*J1249+'CAFCO 400 '!$H$11)*U1249^2)+(('CAFCO 400 '!$H$12*(J1249^3)+'CAFCO 400 '!$H$13*(J1249^2)+'CAFCO 400 '!$H$14*J1249+'CAFCO 400 '!$H$15)*U1249)+('CAFCO 400 '!$H$16*(J1249^2)+'CAFCO 400 '!$H$17*J1249+'CAFCO 400 '!$H$18)),0)+IF(AND(L1249="Cafco 400",M1249="Software Idiem",C1249="Cj"),(((('CAFCO 400 '!$D$7*LN(J1249)+'CAFCO 400 '!$D$8)*U1249^2)+(('CAFCO 400 '!$D$9*LN(J1249)+'CAFCO 400 '!$D$10)*U1249)+('CAFCO 400 '!$D$11*LN(J1249)+'CAFCO 400 '!$D$12))),0)+IF(AND(L1249="Cafco 400",M1249="Software Idiem",C1249="C"),((('CAFCO 400 '!$L$7*(J1249^3)+'CAFCO 400 '!$L$8*(J1249^2)+'CAFCO 400 '!$L$9*J1249+'CAFCO 400 '!$L$10)*U1249^2)+(('CAFCO 400 '!$L$11*(J1249^3)+'CAFCO 400 '!$L$12*(J1249^2)+'CAFCO 400 '!$L$13*J1249+'CAFCO 400 '!$L$14)*U1249)+('CAFCO 400 '!$L$15*LN(J1249)+'CAFCO 400 '!$L$16)),0)+IF(AND(L1249="Cafco 400",M1249="Software Idiem",C1249="L"),((('CAFCO 400 '!$L$7*(J1249^3)+'CAFCO 400 '!$L$8*(J1249^2)+'CAFCO 400 '!$L$9*J1249+'CAFCO 400 '!$L$10)*U1249^2)+(('CAFCO 400 '!$L$11*(J1249^3)+'CAFCO 400 '!$L$12*(J1249^2)+'CAFCO 400 '!$L$13*J1249+'CAFCO 400 '!$L$14)*U1249)+('CAFCO 400 '!$L$15*LN(J1249)+'CAFCO 400 '!$L$16)),0)+IF(AND(L1249="Cafco 400",M1249="Software Idiem",C1249="IN",G1249=3),((('CAFCO 400 '!$D$23*(J1249^2)+'CAFCO 400 '!$D$24*(J1249)+'CAFCO 400 '!$D$25)*U1249^2)+(('CAFCO 400 '!$D$26*(J1249^2)+'CAFCO 400 '!$D$27*J1249+'CAFCO 400 '!$D$28)*U1249)+('CAFCO 400 '!$D$29*(J1249^2)+'CAFCO 400 '!$D$30*J1249+'CAFCO 400 '!$D$31)),0),0)+IF(AND(L1249="Cafco 300",J1249&gt;=95,J1249&lt;=240,C1249="Cj",I1249=90),VLOOKUP(T1249,'CAFCO 300 IDIEM TABLAS'!$B$4:$D$23,2,FALSE),0)+IF(AND(L1249="Cafco 300",J1249&gt;=95,J1249&lt;=240,C1249="Cj",I1249=120),VLOOKUP(T1249,'CAFCO 300 IDIEM TABLAS'!$B$4:$D$23,3,FALSE),0)+IF(AND(L1249="Cafco 300",J1249&gt;=95,J1249&lt;=400,G1249=3,C1249="IN",I1249=90),VLOOKUP(T1249,'CAFCO 300 IDIEM TABLAS'!$F$4:$H$35,2,FALSE),0)+IF(AND(L1249="Cafco 300",J1249&gt;=95,J1249&lt;=400,G1249=3,C1249="IN",I1249=120),VLOOKUP(T1249,'CAFCO 300 IDIEM TABLAS'!$F$4:$H$35,3,FALSE),0)+IF(AND(L1249="Cafco 300",J1249&gt;=95,J1249&lt;=450,G1249=4,C1249="IN",I1249=90),VLOOKUP(T1249,'CAFCO 300 IDIEM TABLAS'!$J$4:$L$40,2,FALSE),0)+IF(AND(L1249="Cafco 300",J1249&gt;=95,J1249&lt;=450,G1249=4,C1249="IN",I1249=120),VLOOKUP(T1249,'CAFCO 300 IDIEM TABLAS'!$J$4:$L$40,3,FALSE),0)+IF(AND(M1249="Ensayo Idiem",L1249="Cafco 400",C1249="IN",G1249=4,I1249=90),VLOOKUP(T1249,'CAFCO 400 ENSAYO'!$B$7:$D$43,2,FALSE),0)+IF(AND(M1249="Ensayo Idiem",L1249="Cafco 400",C1249="IN",G1249=4,I1249=120),VLOOKUP(T1249,'CAFCO 400 ENSAYO'!$B$7:$D$43,3,FALSE),0)</f>
        <v>0</v>
      </c>
      <c r="O1249" s="96">
        <f t="shared" si="126"/>
        <v>0</v>
      </c>
      <c r="P1249" s="132" t="str">
        <f t="shared" si="121"/>
        <v>N/A</v>
      </c>
      <c r="Q1249" s="132" t="str">
        <f t="shared" si="122"/>
        <v>N/A</v>
      </c>
      <c r="R1249" s="132" t="str">
        <f t="shared" si="123"/>
        <v>NO CERT.</v>
      </c>
      <c r="S1249" s="132" t="e">
        <f t="shared" si="124"/>
        <v>#N/A</v>
      </c>
      <c r="T1249" s="133" t="e">
        <f>+IF(J1249=LOOKUP(J1249,'CAFCO 300 IDIEM TABLAS'!$J$4:$J$40),'CALCULO MORTERO'!J1249,MROUND('CALCULO MORTERO'!J1249,10))</f>
        <v>#N/A</v>
      </c>
      <c r="U1249" s="134">
        <f t="shared" si="125"/>
        <v>0</v>
      </c>
    </row>
    <row r="1250" spans="1:21" x14ac:dyDescent="0.25">
      <c r="A1250" s="118">
        <f>+CUBICACION!D1244</f>
        <v>0</v>
      </c>
      <c r="B1250" s="819">
        <f>+CUBICACION!E1244</f>
        <v>0</v>
      </c>
      <c r="C1250" s="675">
        <f>+CUBICACION!F1244</f>
        <v>0</v>
      </c>
      <c r="D1250" s="118"/>
      <c r="E1250" s="118"/>
      <c r="F1250" s="820"/>
      <c r="G1250" s="675">
        <f>+CUBICACION!J1244</f>
        <v>0</v>
      </c>
      <c r="H1250" s="118"/>
      <c r="I1250" s="821">
        <f>+CUBICACION!L1244</f>
        <v>0</v>
      </c>
      <c r="J1250" s="64">
        <f>+CUBICACION!M1244</f>
        <v>0</v>
      </c>
      <c r="K1250" s="822" t="str">
        <f>+CUBICACION!N1244</f>
        <v/>
      </c>
      <c r="L1250" s="118">
        <f>+CUBICACION!O1244</f>
        <v>0</v>
      </c>
      <c r="M1250" s="823">
        <f>+CUBICACION!P1244</f>
        <v>0</v>
      </c>
      <c r="N1250" s="902">
        <f>ROUND(IF(AND(L1250="Blaze Shield II",M1250="Software Idiem",C1250="IN",G1250=4),((('BLAZE SHIELD II'!$D$4*('CALCULO MORTERO'!I1250^2)+'BLAZE SHIELD II'!$D$5*'CALCULO MORTERO'!I1250+'BLAZE SHIELD II'!$D$6)*LN(J1250))+('BLAZE SHIELD II'!$D$7*('CALCULO MORTERO'!I1250^2)+'BLAZE SHIELD II'!$D$8*'CALCULO MORTERO'!I1250+'BLAZE SHIELD II'!$D$9)),0)+IF(AND(L1250="Blaze Shield II",M1250="Software Idiem",C1250="Cj"),((('BLAZE SHIELD II'!$H$4*('CALCULO MORTERO'!I1250^2)+'BLAZE SHIELD II'!$H$5*'CALCULO MORTERO'!I1250+'BLAZE SHIELD II'!$H$6)*LN(J1250))+('BLAZE SHIELD II'!$H$7*('CALCULO MORTERO'!I1250^2)+'BLAZE SHIELD II'!$H$8*'CALCULO MORTERO'!I1250+'BLAZE SHIELD II'!$H$9)),0)+IF(AND(L1250="Blaze Shield II",M1250="Software Idiem",C1250="C"),((('BLAZE SHIELD II'!$L$4*('CALCULO MORTERO'!I1250^2)+'BLAZE SHIELD II'!$L$5*'CALCULO MORTERO'!I1250+'BLAZE SHIELD II'!$L$6)*LN(J1250))+('BLAZE SHIELD II'!$L$7*('CALCULO MORTERO'!I1250^2)+'BLAZE SHIELD II'!$L$8*'CALCULO MORTERO'!I1250+'BLAZE SHIELD II'!$L$9)),0)+IF(AND(L1250="Blaze Shield II",M1250="Software Idiem",C1250="L"),((('BLAZE SHIELD II'!$L$4*('CALCULO MORTERO'!I1250^2)+'BLAZE SHIELD II'!$L$5*'CALCULO MORTERO'!I1250+'BLAZE SHIELD II'!$L$6)*LN(J1250))+('BLAZE SHIELD II'!$L$7*('CALCULO MORTERO'!I1250^2)+'BLAZE SHIELD II'!$L$8*'CALCULO MORTERO'!I1250+'BLAZE SHIELD II'!$L$9)),0)+IF(AND(L1250="Blaze Shield II",M1250="Software Idiem",C1250="IN",G1250=3),((('BLAZE SHIELD II'!$H$14*('CALCULO MORTERO'!I1250^2)+'BLAZE SHIELD II'!$H$15*'CALCULO MORTERO'!I1250+'BLAZE SHIELD II'!$H$16)*LN(J1250))+('BLAZE SHIELD II'!$H$17*('CALCULO MORTERO'!I1250^2)+'BLAZE SHIELD II'!$H$18*'CALCULO MORTERO'!I1250+'BLAZE SHIELD II'!$H$19)),0),0)+ROUND(IF(AND(L1250="Cafco 400",M1250="Software Idiem",C1250="IN",G1250=4),((('CAFCO 400 '!$H$7*(J1250^4)+'CAFCO 400 '!$H$8*(J1250^3)+'CAFCO 400 '!$H$9*(J1250^2)+'CAFCO 400 '!$H$10*J1250+'CAFCO 400 '!$H$11)*U1250^2)+(('CAFCO 400 '!$H$12*(J1250^3)+'CAFCO 400 '!$H$13*(J1250^2)+'CAFCO 400 '!$H$14*J1250+'CAFCO 400 '!$H$15)*U1250)+('CAFCO 400 '!$H$16*(J1250^2)+'CAFCO 400 '!$H$17*J1250+'CAFCO 400 '!$H$18)),0)+IF(AND(L1250="Cafco 400",M1250="Software Idiem",C1250="Cj"),(((('CAFCO 400 '!$D$7*LN(J1250)+'CAFCO 400 '!$D$8)*U1250^2)+(('CAFCO 400 '!$D$9*LN(J1250)+'CAFCO 400 '!$D$10)*U1250)+('CAFCO 400 '!$D$11*LN(J1250)+'CAFCO 400 '!$D$12))),0)+IF(AND(L1250="Cafco 400",M1250="Software Idiem",C1250="C"),((('CAFCO 400 '!$L$7*(J1250^3)+'CAFCO 400 '!$L$8*(J1250^2)+'CAFCO 400 '!$L$9*J1250+'CAFCO 400 '!$L$10)*U1250^2)+(('CAFCO 400 '!$L$11*(J1250^3)+'CAFCO 400 '!$L$12*(J1250^2)+'CAFCO 400 '!$L$13*J1250+'CAFCO 400 '!$L$14)*U1250)+('CAFCO 400 '!$L$15*LN(J1250)+'CAFCO 400 '!$L$16)),0)+IF(AND(L1250="Cafco 400",M1250="Software Idiem",C1250="L"),((('CAFCO 400 '!$L$7*(J1250^3)+'CAFCO 400 '!$L$8*(J1250^2)+'CAFCO 400 '!$L$9*J1250+'CAFCO 400 '!$L$10)*U1250^2)+(('CAFCO 400 '!$L$11*(J1250^3)+'CAFCO 400 '!$L$12*(J1250^2)+'CAFCO 400 '!$L$13*J1250+'CAFCO 400 '!$L$14)*U1250)+('CAFCO 400 '!$L$15*LN(J1250)+'CAFCO 400 '!$L$16)),0)+IF(AND(L1250="Cafco 400",M1250="Software Idiem",C1250="IN",G1250=3),((('CAFCO 400 '!$D$23*(J1250^2)+'CAFCO 400 '!$D$24*(J1250)+'CAFCO 400 '!$D$25)*U1250^2)+(('CAFCO 400 '!$D$26*(J1250^2)+'CAFCO 400 '!$D$27*J1250+'CAFCO 400 '!$D$28)*U1250)+('CAFCO 400 '!$D$29*(J1250^2)+'CAFCO 400 '!$D$30*J1250+'CAFCO 400 '!$D$31)),0),0)+IF(AND(L1250="Cafco 300",J1250&gt;=95,J1250&lt;=240,C1250="Cj",I1250=90),VLOOKUP(T1250,'CAFCO 300 IDIEM TABLAS'!$B$4:$D$23,2,FALSE),0)+IF(AND(L1250="Cafco 300",J1250&gt;=95,J1250&lt;=240,C1250="Cj",I1250=120),VLOOKUP(T1250,'CAFCO 300 IDIEM TABLAS'!$B$4:$D$23,3,FALSE),0)+IF(AND(L1250="Cafco 300",J1250&gt;=95,J1250&lt;=400,G1250=3,C1250="IN",I1250=90),VLOOKUP(T1250,'CAFCO 300 IDIEM TABLAS'!$F$4:$H$35,2,FALSE),0)+IF(AND(L1250="Cafco 300",J1250&gt;=95,J1250&lt;=400,G1250=3,C1250="IN",I1250=120),VLOOKUP(T1250,'CAFCO 300 IDIEM TABLAS'!$F$4:$H$35,3,FALSE),0)+IF(AND(L1250="Cafco 300",J1250&gt;=95,J1250&lt;=450,G1250=4,C1250="IN",I1250=90),VLOOKUP(T1250,'CAFCO 300 IDIEM TABLAS'!$J$4:$L$40,2,FALSE),0)+IF(AND(L1250="Cafco 300",J1250&gt;=95,J1250&lt;=450,G1250=4,C1250="IN",I1250=120),VLOOKUP(T1250,'CAFCO 300 IDIEM TABLAS'!$J$4:$L$40,3,FALSE),0)+IF(AND(M1250="Ensayo Idiem",L1250="Cafco 400",C1250="IN",G1250=4,I1250=90),VLOOKUP(T1250,'CAFCO 400 ENSAYO'!$B$7:$D$43,2,FALSE),0)+IF(AND(M1250="Ensayo Idiem",L1250="Cafco 400",C1250="IN",G1250=4,I1250=120),VLOOKUP(T1250,'CAFCO 400 ENSAYO'!$B$7:$D$43,3,FALSE),0)</f>
        <v>0</v>
      </c>
      <c r="O1250" s="96">
        <f t="shared" si="126"/>
        <v>0</v>
      </c>
      <c r="P1250" s="95" t="str">
        <f t="shared" si="121"/>
        <v>N/A</v>
      </c>
      <c r="Q1250" s="95" t="str">
        <f t="shared" si="122"/>
        <v>N/A</v>
      </c>
      <c r="R1250" s="95" t="str">
        <f t="shared" si="123"/>
        <v>NO CERT.</v>
      </c>
      <c r="S1250" s="95" t="e">
        <f t="shared" si="124"/>
        <v>#N/A</v>
      </c>
      <c r="T1250" s="119" t="e">
        <f>+IF(J1250=LOOKUP(J1250,'CAFCO 300 IDIEM TABLAS'!$J$4:$J$40),'CALCULO MORTERO'!J1250,MROUND('CALCULO MORTERO'!J1250,10))</f>
        <v>#N/A</v>
      </c>
      <c r="U1250" s="118">
        <f t="shared" si="125"/>
        <v>0</v>
      </c>
    </row>
    <row r="1251" spans="1:21" x14ac:dyDescent="0.25">
      <c r="A1251" s="118">
        <f>+CUBICACION!D1245</f>
        <v>0</v>
      </c>
      <c r="B1251" s="819">
        <f>+CUBICACION!E1245</f>
        <v>0</v>
      </c>
      <c r="C1251" s="675">
        <f>+CUBICACION!F1245</f>
        <v>0</v>
      </c>
      <c r="D1251" s="118"/>
      <c r="E1251" s="118"/>
      <c r="F1251" s="820"/>
      <c r="G1251" s="675">
        <f>+CUBICACION!J1245</f>
        <v>0</v>
      </c>
      <c r="H1251" s="118"/>
      <c r="I1251" s="821">
        <f>+CUBICACION!L1245</f>
        <v>0</v>
      </c>
      <c r="J1251" s="64">
        <f>+CUBICACION!M1245</f>
        <v>0</v>
      </c>
      <c r="K1251" s="822" t="str">
        <f>+CUBICACION!N1245</f>
        <v/>
      </c>
      <c r="L1251" s="118">
        <f>+CUBICACION!O1245</f>
        <v>0</v>
      </c>
      <c r="M1251" s="823">
        <f>+CUBICACION!P1245</f>
        <v>0</v>
      </c>
      <c r="N1251" s="902">
        <f>ROUND(IF(AND(L1251="Blaze Shield II",M1251="Software Idiem",C1251="IN",G1251=4),((('BLAZE SHIELD II'!$D$4*('CALCULO MORTERO'!I1251^2)+'BLAZE SHIELD II'!$D$5*'CALCULO MORTERO'!I1251+'BLAZE SHIELD II'!$D$6)*LN(J1251))+('BLAZE SHIELD II'!$D$7*('CALCULO MORTERO'!I1251^2)+'BLAZE SHIELD II'!$D$8*'CALCULO MORTERO'!I1251+'BLAZE SHIELD II'!$D$9)),0)+IF(AND(L1251="Blaze Shield II",M1251="Software Idiem",C1251="Cj"),((('BLAZE SHIELD II'!$H$4*('CALCULO MORTERO'!I1251^2)+'BLAZE SHIELD II'!$H$5*'CALCULO MORTERO'!I1251+'BLAZE SHIELD II'!$H$6)*LN(J1251))+('BLAZE SHIELD II'!$H$7*('CALCULO MORTERO'!I1251^2)+'BLAZE SHIELD II'!$H$8*'CALCULO MORTERO'!I1251+'BLAZE SHIELD II'!$H$9)),0)+IF(AND(L1251="Blaze Shield II",M1251="Software Idiem",C1251="C"),((('BLAZE SHIELD II'!$L$4*('CALCULO MORTERO'!I1251^2)+'BLAZE SHIELD II'!$L$5*'CALCULO MORTERO'!I1251+'BLAZE SHIELD II'!$L$6)*LN(J1251))+('BLAZE SHIELD II'!$L$7*('CALCULO MORTERO'!I1251^2)+'BLAZE SHIELD II'!$L$8*'CALCULO MORTERO'!I1251+'BLAZE SHIELD II'!$L$9)),0)+IF(AND(L1251="Blaze Shield II",M1251="Software Idiem",C1251="L"),((('BLAZE SHIELD II'!$L$4*('CALCULO MORTERO'!I1251^2)+'BLAZE SHIELD II'!$L$5*'CALCULO MORTERO'!I1251+'BLAZE SHIELD II'!$L$6)*LN(J1251))+('BLAZE SHIELD II'!$L$7*('CALCULO MORTERO'!I1251^2)+'BLAZE SHIELD II'!$L$8*'CALCULO MORTERO'!I1251+'BLAZE SHIELD II'!$L$9)),0)+IF(AND(L1251="Blaze Shield II",M1251="Software Idiem",C1251="IN",G1251=3),((('BLAZE SHIELD II'!$H$14*('CALCULO MORTERO'!I1251^2)+'BLAZE SHIELD II'!$H$15*'CALCULO MORTERO'!I1251+'BLAZE SHIELD II'!$H$16)*LN(J1251))+('BLAZE SHIELD II'!$H$17*('CALCULO MORTERO'!I1251^2)+'BLAZE SHIELD II'!$H$18*'CALCULO MORTERO'!I1251+'BLAZE SHIELD II'!$H$19)),0),0)+ROUND(IF(AND(L1251="Cafco 400",M1251="Software Idiem",C1251="IN",G1251=4),((('CAFCO 400 '!$H$7*(J1251^4)+'CAFCO 400 '!$H$8*(J1251^3)+'CAFCO 400 '!$H$9*(J1251^2)+'CAFCO 400 '!$H$10*J1251+'CAFCO 400 '!$H$11)*U1251^2)+(('CAFCO 400 '!$H$12*(J1251^3)+'CAFCO 400 '!$H$13*(J1251^2)+'CAFCO 400 '!$H$14*J1251+'CAFCO 400 '!$H$15)*U1251)+('CAFCO 400 '!$H$16*(J1251^2)+'CAFCO 400 '!$H$17*J1251+'CAFCO 400 '!$H$18)),0)+IF(AND(L1251="Cafco 400",M1251="Software Idiem",C1251="Cj"),(((('CAFCO 400 '!$D$7*LN(J1251)+'CAFCO 400 '!$D$8)*U1251^2)+(('CAFCO 400 '!$D$9*LN(J1251)+'CAFCO 400 '!$D$10)*U1251)+('CAFCO 400 '!$D$11*LN(J1251)+'CAFCO 400 '!$D$12))),0)+IF(AND(L1251="Cafco 400",M1251="Software Idiem",C1251="C"),((('CAFCO 400 '!$L$7*(J1251^3)+'CAFCO 400 '!$L$8*(J1251^2)+'CAFCO 400 '!$L$9*J1251+'CAFCO 400 '!$L$10)*U1251^2)+(('CAFCO 400 '!$L$11*(J1251^3)+'CAFCO 400 '!$L$12*(J1251^2)+'CAFCO 400 '!$L$13*J1251+'CAFCO 400 '!$L$14)*U1251)+('CAFCO 400 '!$L$15*LN(J1251)+'CAFCO 400 '!$L$16)),0)+IF(AND(L1251="Cafco 400",M1251="Software Idiem",C1251="L"),((('CAFCO 400 '!$L$7*(J1251^3)+'CAFCO 400 '!$L$8*(J1251^2)+'CAFCO 400 '!$L$9*J1251+'CAFCO 400 '!$L$10)*U1251^2)+(('CAFCO 400 '!$L$11*(J1251^3)+'CAFCO 400 '!$L$12*(J1251^2)+'CAFCO 400 '!$L$13*J1251+'CAFCO 400 '!$L$14)*U1251)+('CAFCO 400 '!$L$15*LN(J1251)+'CAFCO 400 '!$L$16)),0)+IF(AND(L1251="Cafco 400",M1251="Software Idiem",C1251="IN",G1251=3),((('CAFCO 400 '!$D$23*(J1251^2)+'CAFCO 400 '!$D$24*(J1251)+'CAFCO 400 '!$D$25)*U1251^2)+(('CAFCO 400 '!$D$26*(J1251^2)+'CAFCO 400 '!$D$27*J1251+'CAFCO 400 '!$D$28)*U1251)+('CAFCO 400 '!$D$29*(J1251^2)+'CAFCO 400 '!$D$30*J1251+'CAFCO 400 '!$D$31)),0),0)+IF(AND(L1251="Cafco 300",J1251&gt;=95,J1251&lt;=240,C1251="Cj",I1251=90),VLOOKUP(T1251,'CAFCO 300 IDIEM TABLAS'!$B$4:$D$23,2,FALSE),0)+IF(AND(L1251="Cafco 300",J1251&gt;=95,J1251&lt;=240,C1251="Cj",I1251=120),VLOOKUP(T1251,'CAFCO 300 IDIEM TABLAS'!$B$4:$D$23,3,FALSE),0)+IF(AND(L1251="Cafco 300",J1251&gt;=95,J1251&lt;=400,G1251=3,C1251="IN",I1251=90),VLOOKUP(T1251,'CAFCO 300 IDIEM TABLAS'!$F$4:$H$35,2,FALSE),0)+IF(AND(L1251="Cafco 300",J1251&gt;=95,J1251&lt;=400,G1251=3,C1251="IN",I1251=120),VLOOKUP(T1251,'CAFCO 300 IDIEM TABLAS'!$F$4:$H$35,3,FALSE),0)+IF(AND(L1251="Cafco 300",J1251&gt;=95,J1251&lt;=450,G1251=4,C1251="IN",I1251=90),VLOOKUP(T1251,'CAFCO 300 IDIEM TABLAS'!$J$4:$L$40,2,FALSE),0)+IF(AND(L1251="Cafco 300",J1251&gt;=95,J1251&lt;=450,G1251=4,C1251="IN",I1251=120),VLOOKUP(T1251,'CAFCO 300 IDIEM TABLAS'!$J$4:$L$40,3,FALSE),0)+IF(AND(M1251="Ensayo Idiem",L1251="Cafco 400",C1251="IN",G1251=4,I1251=90),VLOOKUP(T1251,'CAFCO 400 ENSAYO'!$B$7:$D$43,2,FALSE),0)+IF(AND(M1251="Ensayo Idiem",L1251="Cafco 400",C1251="IN",G1251=4,I1251=120),VLOOKUP(T1251,'CAFCO 400 ENSAYO'!$B$7:$D$43,3,FALSE),0)</f>
        <v>0</v>
      </c>
      <c r="O1251" s="96">
        <f t="shared" si="126"/>
        <v>0</v>
      </c>
      <c r="P1251" s="132" t="str">
        <f t="shared" si="121"/>
        <v>N/A</v>
      </c>
      <c r="Q1251" s="132" t="str">
        <f t="shared" si="122"/>
        <v>N/A</v>
      </c>
      <c r="R1251" s="132" t="str">
        <f t="shared" si="123"/>
        <v>NO CERT.</v>
      </c>
      <c r="S1251" s="132" t="e">
        <f t="shared" si="124"/>
        <v>#N/A</v>
      </c>
      <c r="T1251" s="133" t="e">
        <f>+IF(J1251=LOOKUP(J1251,'CAFCO 300 IDIEM TABLAS'!$J$4:$J$40),'CALCULO MORTERO'!J1251,MROUND('CALCULO MORTERO'!J1251,10))</f>
        <v>#N/A</v>
      </c>
      <c r="U1251" s="134">
        <f t="shared" si="125"/>
        <v>0</v>
      </c>
    </row>
    <row r="1252" spans="1:21" x14ac:dyDescent="0.25">
      <c r="A1252" s="118">
        <f>+CUBICACION!D1246</f>
        <v>0</v>
      </c>
      <c r="B1252" s="819">
        <f>+CUBICACION!E1246</f>
        <v>0</v>
      </c>
      <c r="C1252" s="675">
        <f>+CUBICACION!F1246</f>
        <v>0</v>
      </c>
      <c r="D1252" s="118"/>
      <c r="E1252" s="118"/>
      <c r="F1252" s="820"/>
      <c r="G1252" s="675">
        <f>+CUBICACION!J1246</f>
        <v>0</v>
      </c>
      <c r="H1252" s="118"/>
      <c r="I1252" s="821">
        <f>+CUBICACION!L1246</f>
        <v>0</v>
      </c>
      <c r="J1252" s="64">
        <f>+CUBICACION!M1246</f>
        <v>0</v>
      </c>
      <c r="K1252" s="822" t="str">
        <f>+CUBICACION!N1246</f>
        <v/>
      </c>
      <c r="L1252" s="118">
        <f>+CUBICACION!O1246</f>
        <v>0</v>
      </c>
      <c r="M1252" s="823">
        <f>+CUBICACION!P1246</f>
        <v>0</v>
      </c>
      <c r="N1252" s="902">
        <f>ROUND(IF(AND(L1252="Blaze Shield II",M1252="Software Idiem",C1252="IN",G1252=4),((('BLAZE SHIELD II'!$D$4*('CALCULO MORTERO'!I1252^2)+'BLAZE SHIELD II'!$D$5*'CALCULO MORTERO'!I1252+'BLAZE SHIELD II'!$D$6)*LN(J1252))+('BLAZE SHIELD II'!$D$7*('CALCULO MORTERO'!I1252^2)+'BLAZE SHIELD II'!$D$8*'CALCULO MORTERO'!I1252+'BLAZE SHIELD II'!$D$9)),0)+IF(AND(L1252="Blaze Shield II",M1252="Software Idiem",C1252="Cj"),((('BLAZE SHIELD II'!$H$4*('CALCULO MORTERO'!I1252^2)+'BLAZE SHIELD II'!$H$5*'CALCULO MORTERO'!I1252+'BLAZE SHIELD II'!$H$6)*LN(J1252))+('BLAZE SHIELD II'!$H$7*('CALCULO MORTERO'!I1252^2)+'BLAZE SHIELD II'!$H$8*'CALCULO MORTERO'!I1252+'BLAZE SHIELD II'!$H$9)),0)+IF(AND(L1252="Blaze Shield II",M1252="Software Idiem",C1252="C"),((('BLAZE SHIELD II'!$L$4*('CALCULO MORTERO'!I1252^2)+'BLAZE SHIELD II'!$L$5*'CALCULO MORTERO'!I1252+'BLAZE SHIELD II'!$L$6)*LN(J1252))+('BLAZE SHIELD II'!$L$7*('CALCULO MORTERO'!I1252^2)+'BLAZE SHIELD II'!$L$8*'CALCULO MORTERO'!I1252+'BLAZE SHIELD II'!$L$9)),0)+IF(AND(L1252="Blaze Shield II",M1252="Software Idiem",C1252="L"),((('BLAZE SHIELD II'!$L$4*('CALCULO MORTERO'!I1252^2)+'BLAZE SHIELD II'!$L$5*'CALCULO MORTERO'!I1252+'BLAZE SHIELD II'!$L$6)*LN(J1252))+('BLAZE SHIELD II'!$L$7*('CALCULO MORTERO'!I1252^2)+'BLAZE SHIELD II'!$L$8*'CALCULO MORTERO'!I1252+'BLAZE SHIELD II'!$L$9)),0)+IF(AND(L1252="Blaze Shield II",M1252="Software Idiem",C1252="IN",G1252=3),((('BLAZE SHIELD II'!$H$14*('CALCULO MORTERO'!I1252^2)+'BLAZE SHIELD II'!$H$15*'CALCULO MORTERO'!I1252+'BLAZE SHIELD II'!$H$16)*LN(J1252))+('BLAZE SHIELD II'!$H$17*('CALCULO MORTERO'!I1252^2)+'BLAZE SHIELD II'!$H$18*'CALCULO MORTERO'!I1252+'BLAZE SHIELD II'!$H$19)),0),0)+ROUND(IF(AND(L1252="Cafco 400",M1252="Software Idiem",C1252="IN",G1252=4),((('CAFCO 400 '!$H$7*(J1252^4)+'CAFCO 400 '!$H$8*(J1252^3)+'CAFCO 400 '!$H$9*(J1252^2)+'CAFCO 400 '!$H$10*J1252+'CAFCO 400 '!$H$11)*U1252^2)+(('CAFCO 400 '!$H$12*(J1252^3)+'CAFCO 400 '!$H$13*(J1252^2)+'CAFCO 400 '!$H$14*J1252+'CAFCO 400 '!$H$15)*U1252)+('CAFCO 400 '!$H$16*(J1252^2)+'CAFCO 400 '!$H$17*J1252+'CAFCO 400 '!$H$18)),0)+IF(AND(L1252="Cafco 400",M1252="Software Idiem",C1252="Cj"),(((('CAFCO 400 '!$D$7*LN(J1252)+'CAFCO 400 '!$D$8)*U1252^2)+(('CAFCO 400 '!$D$9*LN(J1252)+'CAFCO 400 '!$D$10)*U1252)+('CAFCO 400 '!$D$11*LN(J1252)+'CAFCO 400 '!$D$12))),0)+IF(AND(L1252="Cafco 400",M1252="Software Idiem",C1252="C"),((('CAFCO 400 '!$L$7*(J1252^3)+'CAFCO 400 '!$L$8*(J1252^2)+'CAFCO 400 '!$L$9*J1252+'CAFCO 400 '!$L$10)*U1252^2)+(('CAFCO 400 '!$L$11*(J1252^3)+'CAFCO 400 '!$L$12*(J1252^2)+'CAFCO 400 '!$L$13*J1252+'CAFCO 400 '!$L$14)*U1252)+('CAFCO 400 '!$L$15*LN(J1252)+'CAFCO 400 '!$L$16)),0)+IF(AND(L1252="Cafco 400",M1252="Software Idiem",C1252="L"),((('CAFCO 400 '!$L$7*(J1252^3)+'CAFCO 400 '!$L$8*(J1252^2)+'CAFCO 400 '!$L$9*J1252+'CAFCO 400 '!$L$10)*U1252^2)+(('CAFCO 400 '!$L$11*(J1252^3)+'CAFCO 400 '!$L$12*(J1252^2)+'CAFCO 400 '!$L$13*J1252+'CAFCO 400 '!$L$14)*U1252)+('CAFCO 400 '!$L$15*LN(J1252)+'CAFCO 400 '!$L$16)),0)+IF(AND(L1252="Cafco 400",M1252="Software Idiem",C1252="IN",G1252=3),((('CAFCO 400 '!$D$23*(J1252^2)+'CAFCO 400 '!$D$24*(J1252)+'CAFCO 400 '!$D$25)*U1252^2)+(('CAFCO 400 '!$D$26*(J1252^2)+'CAFCO 400 '!$D$27*J1252+'CAFCO 400 '!$D$28)*U1252)+('CAFCO 400 '!$D$29*(J1252^2)+'CAFCO 400 '!$D$30*J1252+'CAFCO 400 '!$D$31)),0),0)+IF(AND(L1252="Cafco 300",J1252&gt;=95,J1252&lt;=240,C1252="Cj",I1252=90),VLOOKUP(T1252,'CAFCO 300 IDIEM TABLAS'!$B$4:$D$23,2,FALSE),0)+IF(AND(L1252="Cafco 300",J1252&gt;=95,J1252&lt;=240,C1252="Cj",I1252=120),VLOOKUP(T1252,'CAFCO 300 IDIEM TABLAS'!$B$4:$D$23,3,FALSE),0)+IF(AND(L1252="Cafco 300",J1252&gt;=95,J1252&lt;=400,G1252=3,C1252="IN",I1252=90),VLOOKUP(T1252,'CAFCO 300 IDIEM TABLAS'!$F$4:$H$35,2,FALSE),0)+IF(AND(L1252="Cafco 300",J1252&gt;=95,J1252&lt;=400,G1252=3,C1252="IN",I1252=120),VLOOKUP(T1252,'CAFCO 300 IDIEM TABLAS'!$F$4:$H$35,3,FALSE),0)+IF(AND(L1252="Cafco 300",J1252&gt;=95,J1252&lt;=450,G1252=4,C1252="IN",I1252=90),VLOOKUP(T1252,'CAFCO 300 IDIEM TABLAS'!$J$4:$L$40,2,FALSE),0)+IF(AND(L1252="Cafco 300",J1252&gt;=95,J1252&lt;=450,G1252=4,C1252="IN",I1252=120),VLOOKUP(T1252,'CAFCO 300 IDIEM TABLAS'!$J$4:$L$40,3,FALSE),0)+IF(AND(M1252="Ensayo Idiem",L1252="Cafco 400",C1252="IN",G1252=4,I1252=90),VLOOKUP(T1252,'CAFCO 400 ENSAYO'!$B$7:$D$43,2,FALSE),0)+IF(AND(M1252="Ensayo Idiem",L1252="Cafco 400",C1252="IN",G1252=4,I1252=120),VLOOKUP(T1252,'CAFCO 400 ENSAYO'!$B$7:$D$43,3,FALSE),0)</f>
        <v>0</v>
      </c>
      <c r="O1252" s="96">
        <f t="shared" si="126"/>
        <v>0</v>
      </c>
      <c r="P1252" s="95" t="str">
        <f t="shared" si="121"/>
        <v>N/A</v>
      </c>
      <c r="Q1252" s="95" t="str">
        <f t="shared" si="122"/>
        <v>N/A</v>
      </c>
      <c r="R1252" s="95" t="str">
        <f t="shared" si="123"/>
        <v>NO CERT.</v>
      </c>
      <c r="S1252" s="95" t="e">
        <f t="shared" si="124"/>
        <v>#N/A</v>
      </c>
      <c r="T1252" s="119" t="e">
        <f>+IF(J1252=LOOKUP(J1252,'CAFCO 300 IDIEM TABLAS'!$J$4:$J$40),'CALCULO MORTERO'!J1252,MROUND('CALCULO MORTERO'!J1252,10))</f>
        <v>#N/A</v>
      </c>
      <c r="U1252" s="118">
        <f t="shared" si="125"/>
        <v>0</v>
      </c>
    </row>
    <row r="1253" spans="1:21" x14ac:dyDescent="0.25">
      <c r="A1253" s="118">
        <f>+CUBICACION!D1247</f>
        <v>0</v>
      </c>
      <c r="B1253" s="819">
        <f>+CUBICACION!E1247</f>
        <v>0</v>
      </c>
      <c r="C1253" s="675">
        <f>+CUBICACION!F1247</f>
        <v>0</v>
      </c>
      <c r="D1253" s="118"/>
      <c r="E1253" s="118"/>
      <c r="F1253" s="820"/>
      <c r="G1253" s="675">
        <f>+CUBICACION!J1247</f>
        <v>0</v>
      </c>
      <c r="H1253" s="118"/>
      <c r="I1253" s="821">
        <f>+CUBICACION!L1247</f>
        <v>0</v>
      </c>
      <c r="J1253" s="64">
        <f>+CUBICACION!M1247</f>
        <v>0</v>
      </c>
      <c r="K1253" s="822" t="str">
        <f>+CUBICACION!N1247</f>
        <v/>
      </c>
      <c r="L1253" s="118">
        <f>+CUBICACION!O1247</f>
        <v>0</v>
      </c>
      <c r="M1253" s="823">
        <f>+CUBICACION!P1247</f>
        <v>0</v>
      </c>
      <c r="N1253" s="902">
        <f>ROUND(IF(AND(L1253="Blaze Shield II",M1253="Software Idiem",C1253="IN",G1253=4),((('BLAZE SHIELD II'!$D$4*('CALCULO MORTERO'!I1253^2)+'BLAZE SHIELD II'!$D$5*'CALCULO MORTERO'!I1253+'BLAZE SHIELD II'!$D$6)*LN(J1253))+('BLAZE SHIELD II'!$D$7*('CALCULO MORTERO'!I1253^2)+'BLAZE SHIELD II'!$D$8*'CALCULO MORTERO'!I1253+'BLAZE SHIELD II'!$D$9)),0)+IF(AND(L1253="Blaze Shield II",M1253="Software Idiem",C1253="Cj"),((('BLAZE SHIELD II'!$H$4*('CALCULO MORTERO'!I1253^2)+'BLAZE SHIELD II'!$H$5*'CALCULO MORTERO'!I1253+'BLAZE SHIELD II'!$H$6)*LN(J1253))+('BLAZE SHIELD II'!$H$7*('CALCULO MORTERO'!I1253^2)+'BLAZE SHIELD II'!$H$8*'CALCULO MORTERO'!I1253+'BLAZE SHIELD II'!$H$9)),0)+IF(AND(L1253="Blaze Shield II",M1253="Software Idiem",C1253="C"),((('BLAZE SHIELD II'!$L$4*('CALCULO MORTERO'!I1253^2)+'BLAZE SHIELD II'!$L$5*'CALCULO MORTERO'!I1253+'BLAZE SHIELD II'!$L$6)*LN(J1253))+('BLAZE SHIELD II'!$L$7*('CALCULO MORTERO'!I1253^2)+'BLAZE SHIELD II'!$L$8*'CALCULO MORTERO'!I1253+'BLAZE SHIELD II'!$L$9)),0)+IF(AND(L1253="Blaze Shield II",M1253="Software Idiem",C1253="L"),((('BLAZE SHIELD II'!$L$4*('CALCULO MORTERO'!I1253^2)+'BLAZE SHIELD II'!$L$5*'CALCULO MORTERO'!I1253+'BLAZE SHIELD II'!$L$6)*LN(J1253))+('BLAZE SHIELD II'!$L$7*('CALCULO MORTERO'!I1253^2)+'BLAZE SHIELD II'!$L$8*'CALCULO MORTERO'!I1253+'BLAZE SHIELD II'!$L$9)),0)+IF(AND(L1253="Blaze Shield II",M1253="Software Idiem",C1253="IN",G1253=3),((('BLAZE SHIELD II'!$H$14*('CALCULO MORTERO'!I1253^2)+'BLAZE SHIELD II'!$H$15*'CALCULO MORTERO'!I1253+'BLAZE SHIELD II'!$H$16)*LN(J1253))+('BLAZE SHIELD II'!$H$17*('CALCULO MORTERO'!I1253^2)+'BLAZE SHIELD II'!$H$18*'CALCULO MORTERO'!I1253+'BLAZE SHIELD II'!$H$19)),0),0)+ROUND(IF(AND(L1253="Cafco 400",M1253="Software Idiem",C1253="IN",G1253=4),((('CAFCO 400 '!$H$7*(J1253^4)+'CAFCO 400 '!$H$8*(J1253^3)+'CAFCO 400 '!$H$9*(J1253^2)+'CAFCO 400 '!$H$10*J1253+'CAFCO 400 '!$H$11)*U1253^2)+(('CAFCO 400 '!$H$12*(J1253^3)+'CAFCO 400 '!$H$13*(J1253^2)+'CAFCO 400 '!$H$14*J1253+'CAFCO 400 '!$H$15)*U1253)+('CAFCO 400 '!$H$16*(J1253^2)+'CAFCO 400 '!$H$17*J1253+'CAFCO 400 '!$H$18)),0)+IF(AND(L1253="Cafco 400",M1253="Software Idiem",C1253="Cj"),(((('CAFCO 400 '!$D$7*LN(J1253)+'CAFCO 400 '!$D$8)*U1253^2)+(('CAFCO 400 '!$D$9*LN(J1253)+'CAFCO 400 '!$D$10)*U1253)+('CAFCO 400 '!$D$11*LN(J1253)+'CAFCO 400 '!$D$12))),0)+IF(AND(L1253="Cafco 400",M1253="Software Idiem",C1253="C"),((('CAFCO 400 '!$L$7*(J1253^3)+'CAFCO 400 '!$L$8*(J1253^2)+'CAFCO 400 '!$L$9*J1253+'CAFCO 400 '!$L$10)*U1253^2)+(('CAFCO 400 '!$L$11*(J1253^3)+'CAFCO 400 '!$L$12*(J1253^2)+'CAFCO 400 '!$L$13*J1253+'CAFCO 400 '!$L$14)*U1253)+('CAFCO 400 '!$L$15*LN(J1253)+'CAFCO 400 '!$L$16)),0)+IF(AND(L1253="Cafco 400",M1253="Software Idiem",C1253="L"),((('CAFCO 400 '!$L$7*(J1253^3)+'CAFCO 400 '!$L$8*(J1253^2)+'CAFCO 400 '!$L$9*J1253+'CAFCO 400 '!$L$10)*U1253^2)+(('CAFCO 400 '!$L$11*(J1253^3)+'CAFCO 400 '!$L$12*(J1253^2)+'CAFCO 400 '!$L$13*J1253+'CAFCO 400 '!$L$14)*U1253)+('CAFCO 400 '!$L$15*LN(J1253)+'CAFCO 400 '!$L$16)),0)+IF(AND(L1253="Cafco 400",M1253="Software Idiem",C1253="IN",G1253=3),((('CAFCO 400 '!$D$23*(J1253^2)+'CAFCO 400 '!$D$24*(J1253)+'CAFCO 400 '!$D$25)*U1253^2)+(('CAFCO 400 '!$D$26*(J1253^2)+'CAFCO 400 '!$D$27*J1253+'CAFCO 400 '!$D$28)*U1253)+('CAFCO 400 '!$D$29*(J1253^2)+'CAFCO 400 '!$D$30*J1253+'CAFCO 400 '!$D$31)),0),0)+IF(AND(L1253="Cafco 300",J1253&gt;=95,J1253&lt;=240,C1253="Cj",I1253=90),VLOOKUP(T1253,'CAFCO 300 IDIEM TABLAS'!$B$4:$D$23,2,FALSE),0)+IF(AND(L1253="Cafco 300",J1253&gt;=95,J1253&lt;=240,C1253="Cj",I1253=120),VLOOKUP(T1253,'CAFCO 300 IDIEM TABLAS'!$B$4:$D$23,3,FALSE),0)+IF(AND(L1253="Cafco 300",J1253&gt;=95,J1253&lt;=400,G1253=3,C1253="IN",I1253=90),VLOOKUP(T1253,'CAFCO 300 IDIEM TABLAS'!$F$4:$H$35,2,FALSE),0)+IF(AND(L1253="Cafco 300",J1253&gt;=95,J1253&lt;=400,G1253=3,C1253="IN",I1253=120),VLOOKUP(T1253,'CAFCO 300 IDIEM TABLAS'!$F$4:$H$35,3,FALSE),0)+IF(AND(L1253="Cafco 300",J1253&gt;=95,J1253&lt;=450,G1253=4,C1253="IN",I1253=90),VLOOKUP(T1253,'CAFCO 300 IDIEM TABLAS'!$J$4:$L$40,2,FALSE),0)+IF(AND(L1253="Cafco 300",J1253&gt;=95,J1253&lt;=450,G1253=4,C1253="IN",I1253=120),VLOOKUP(T1253,'CAFCO 300 IDIEM TABLAS'!$J$4:$L$40,3,FALSE),0)+IF(AND(M1253="Ensayo Idiem",L1253="Cafco 400",C1253="IN",G1253=4,I1253=90),VLOOKUP(T1253,'CAFCO 400 ENSAYO'!$B$7:$D$43,2,FALSE),0)+IF(AND(M1253="Ensayo Idiem",L1253="Cafco 400",C1253="IN",G1253=4,I1253=120),VLOOKUP(T1253,'CAFCO 400 ENSAYO'!$B$7:$D$43,3,FALSE),0)</f>
        <v>0</v>
      </c>
      <c r="O1253" s="96">
        <f t="shared" si="126"/>
        <v>0</v>
      </c>
      <c r="P1253" s="132" t="str">
        <f t="shared" si="121"/>
        <v>N/A</v>
      </c>
      <c r="Q1253" s="132" t="str">
        <f t="shared" si="122"/>
        <v>N/A</v>
      </c>
      <c r="R1253" s="132" t="str">
        <f t="shared" si="123"/>
        <v>NO CERT.</v>
      </c>
      <c r="S1253" s="132" t="e">
        <f t="shared" si="124"/>
        <v>#N/A</v>
      </c>
      <c r="T1253" s="133" t="e">
        <f>+IF(J1253=LOOKUP(J1253,'CAFCO 300 IDIEM TABLAS'!$J$4:$J$40),'CALCULO MORTERO'!J1253,MROUND('CALCULO MORTERO'!J1253,10))</f>
        <v>#N/A</v>
      </c>
      <c r="U1253" s="134">
        <f t="shared" si="125"/>
        <v>0</v>
      </c>
    </row>
    <row r="1254" spans="1:21" x14ac:dyDescent="0.25">
      <c r="A1254" s="118">
        <f>+CUBICACION!D1248</f>
        <v>0</v>
      </c>
      <c r="B1254" s="819">
        <f>+CUBICACION!E1248</f>
        <v>0</v>
      </c>
      <c r="C1254" s="675">
        <f>+CUBICACION!F1248</f>
        <v>0</v>
      </c>
      <c r="D1254" s="118"/>
      <c r="E1254" s="118"/>
      <c r="F1254" s="820"/>
      <c r="G1254" s="675">
        <f>+CUBICACION!J1248</f>
        <v>0</v>
      </c>
      <c r="H1254" s="118"/>
      <c r="I1254" s="821">
        <f>+CUBICACION!L1248</f>
        <v>0</v>
      </c>
      <c r="J1254" s="64">
        <f>+CUBICACION!M1248</f>
        <v>0</v>
      </c>
      <c r="K1254" s="822" t="str">
        <f>+CUBICACION!N1248</f>
        <v/>
      </c>
      <c r="L1254" s="118">
        <f>+CUBICACION!O1248</f>
        <v>0</v>
      </c>
      <c r="M1254" s="823">
        <f>+CUBICACION!P1248</f>
        <v>0</v>
      </c>
      <c r="N1254" s="902">
        <f>ROUND(IF(AND(L1254="Blaze Shield II",M1254="Software Idiem",C1254="IN",G1254=4),((('BLAZE SHIELD II'!$D$4*('CALCULO MORTERO'!I1254^2)+'BLAZE SHIELD II'!$D$5*'CALCULO MORTERO'!I1254+'BLAZE SHIELD II'!$D$6)*LN(J1254))+('BLAZE SHIELD II'!$D$7*('CALCULO MORTERO'!I1254^2)+'BLAZE SHIELD II'!$D$8*'CALCULO MORTERO'!I1254+'BLAZE SHIELD II'!$D$9)),0)+IF(AND(L1254="Blaze Shield II",M1254="Software Idiem",C1254="Cj"),((('BLAZE SHIELD II'!$H$4*('CALCULO MORTERO'!I1254^2)+'BLAZE SHIELD II'!$H$5*'CALCULO MORTERO'!I1254+'BLAZE SHIELD II'!$H$6)*LN(J1254))+('BLAZE SHIELD II'!$H$7*('CALCULO MORTERO'!I1254^2)+'BLAZE SHIELD II'!$H$8*'CALCULO MORTERO'!I1254+'BLAZE SHIELD II'!$H$9)),0)+IF(AND(L1254="Blaze Shield II",M1254="Software Idiem",C1254="C"),((('BLAZE SHIELD II'!$L$4*('CALCULO MORTERO'!I1254^2)+'BLAZE SHIELD II'!$L$5*'CALCULO MORTERO'!I1254+'BLAZE SHIELD II'!$L$6)*LN(J1254))+('BLAZE SHIELD II'!$L$7*('CALCULO MORTERO'!I1254^2)+'BLAZE SHIELD II'!$L$8*'CALCULO MORTERO'!I1254+'BLAZE SHIELD II'!$L$9)),0)+IF(AND(L1254="Blaze Shield II",M1254="Software Idiem",C1254="L"),((('BLAZE SHIELD II'!$L$4*('CALCULO MORTERO'!I1254^2)+'BLAZE SHIELD II'!$L$5*'CALCULO MORTERO'!I1254+'BLAZE SHIELD II'!$L$6)*LN(J1254))+('BLAZE SHIELD II'!$L$7*('CALCULO MORTERO'!I1254^2)+'BLAZE SHIELD II'!$L$8*'CALCULO MORTERO'!I1254+'BLAZE SHIELD II'!$L$9)),0)+IF(AND(L1254="Blaze Shield II",M1254="Software Idiem",C1254="IN",G1254=3),((('BLAZE SHIELD II'!$H$14*('CALCULO MORTERO'!I1254^2)+'BLAZE SHIELD II'!$H$15*'CALCULO MORTERO'!I1254+'BLAZE SHIELD II'!$H$16)*LN(J1254))+('BLAZE SHIELD II'!$H$17*('CALCULO MORTERO'!I1254^2)+'BLAZE SHIELD II'!$H$18*'CALCULO MORTERO'!I1254+'BLAZE SHIELD II'!$H$19)),0),0)+ROUND(IF(AND(L1254="Cafco 400",M1254="Software Idiem",C1254="IN",G1254=4),((('CAFCO 400 '!$H$7*(J1254^4)+'CAFCO 400 '!$H$8*(J1254^3)+'CAFCO 400 '!$H$9*(J1254^2)+'CAFCO 400 '!$H$10*J1254+'CAFCO 400 '!$H$11)*U1254^2)+(('CAFCO 400 '!$H$12*(J1254^3)+'CAFCO 400 '!$H$13*(J1254^2)+'CAFCO 400 '!$H$14*J1254+'CAFCO 400 '!$H$15)*U1254)+('CAFCO 400 '!$H$16*(J1254^2)+'CAFCO 400 '!$H$17*J1254+'CAFCO 400 '!$H$18)),0)+IF(AND(L1254="Cafco 400",M1254="Software Idiem",C1254="Cj"),(((('CAFCO 400 '!$D$7*LN(J1254)+'CAFCO 400 '!$D$8)*U1254^2)+(('CAFCO 400 '!$D$9*LN(J1254)+'CAFCO 400 '!$D$10)*U1254)+('CAFCO 400 '!$D$11*LN(J1254)+'CAFCO 400 '!$D$12))),0)+IF(AND(L1254="Cafco 400",M1254="Software Idiem",C1254="C"),((('CAFCO 400 '!$L$7*(J1254^3)+'CAFCO 400 '!$L$8*(J1254^2)+'CAFCO 400 '!$L$9*J1254+'CAFCO 400 '!$L$10)*U1254^2)+(('CAFCO 400 '!$L$11*(J1254^3)+'CAFCO 400 '!$L$12*(J1254^2)+'CAFCO 400 '!$L$13*J1254+'CAFCO 400 '!$L$14)*U1254)+('CAFCO 400 '!$L$15*LN(J1254)+'CAFCO 400 '!$L$16)),0)+IF(AND(L1254="Cafco 400",M1254="Software Idiem",C1254="L"),((('CAFCO 400 '!$L$7*(J1254^3)+'CAFCO 400 '!$L$8*(J1254^2)+'CAFCO 400 '!$L$9*J1254+'CAFCO 400 '!$L$10)*U1254^2)+(('CAFCO 400 '!$L$11*(J1254^3)+'CAFCO 400 '!$L$12*(J1254^2)+'CAFCO 400 '!$L$13*J1254+'CAFCO 400 '!$L$14)*U1254)+('CAFCO 400 '!$L$15*LN(J1254)+'CAFCO 400 '!$L$16)),0)+IF(AND(L1254="Cafco 400",M1254="Software Idiem",C1254="IN",G1254=3),((('CAFCO 400 '!$D$23*(J1254^2)+'CAFCO 400 '!$D$24*(J1254)+'CAFCO 400 '!$D$25)*U1254^2)+(('CAFCO 400 '!$D$26*(J1254^2)+'CAFCO 400 '!$D$27*J1254+'CAFCO 400 '!$D$28)*U1254)+('CAFCO 400 '!$D$29*(J1254^2)+'CAFCO 400 '!$D$30*J1254+'CAFCO 400 '!$D$31)),0),0)+IF(AND(L1254="Cafco 300",J1254&gt;=95,J1254&lt;=240,C1254="Cj",I1254=90),VLOOKUP(T1254,'CAFCO 300 IDIEM TABLAS'!$B$4:$D$23,2,FALSE),0)+IF(AND(L1254="Cafco 300",J1254&gt;=95,J1254&lt;=240,C1254="Cj",I1254=120),VLOOKUP(T1254,'CAFCO 300 IDIEM TABLAS'!$B$4:$D$23,3,FALSE),0)+IF(AND(L1254="Cafco 300",J1254&gt;=95,J1254&lt;=400,G1254=3,C1254="IN",I1254=90),VLOOKUP(T1254,'CAFCO 300 IDIEM TABLAS'!$F$4:$H$35,2,FALSE),0)+IF(AND(L1254="Cafco 300",J1254&gt;=95,J1254&lt;=400,G1254=3,C1254="IN",I1254=120),VLOOKUP(T1254,'CAFCO 300 IDIEM TABLAS'!$F$4:$H$35,3,FALSE),0)+IF(AND(L1254="Cafco 300",J1254&gt;=95,J1254&lt;=450,G1254=4,C1254="IN",I1254=90),VLOOKUP(T1254,'CAFCO 300 IDIEM TABLAS'!$J$4:$L$40,2,FALSE),0)+IF(AND(L1254="Cafco 300",J1254&gt;=95,J1254&lt;=450,G1254=4,C1254="IN",I1254=120),VLOOKUP(T1254,'CAFCO 300 IDIEM TABLAS'!$J$4:$L$40,3,FALSE),0)+IF(AND(M1254="Ensayo Idiem",L1254="Cafco 400",C1254="IN",G1254=4,I1254=90),VLOOKUP(T1254,'CAFCO 400 ENSAYO'!$B$7:$D$43,2,FALSE),0)+IF(AND(M1254="Ensayo Idiem",L1254="Cafco 400",C1254="IN",G1254=4,I1254=120),VLOOKUP(T1254,'CAFCO 400 ENSAYO'!$B$7:$D$43,3,FALSE),0)</f>
        <v>0</v>
      </c>
      <c r="O1254" s="96">
        <f t="shared" si="126"/>
        <v>0</v>
      </c>
      <c r="P1254" s="95" t="str">
        <f t="shared" si="121"/>
        <v>N/A</v>
      </c>
      <c r="Q1254" s="95" t="str">
        <f t="shared" si="122"/>
        <v>N/A</v>
      </c>
      <c r="R1254" s="95" t="str">
        <f t="shared" si="123"/>
        <v>NO CERT.</v>
      </c>
      <c r="S1254" s="95" t="e">
        <f t="shared" si="124"/>
        <v>#N/A</v>
      </c>
      <c r="T1254" s="119" t="e">
        <f>+IF(J1254=LOOKUP(J1254,'CAFCO 300 IDIEM TABLAS'!$J$4:$J$40),'CALCULO MORTERO'!J1254,MROUND('CALCULO MORTERO'!J1254,10))</f>
        <v>#N/A</v>
      </c>
      <c r="U1254" s="118">
        <f t="shared" si="125"/>
        <v>0</v>
      </c>
    </row>
    <row r="1255" spans="1:21" x14ac:dyDescent="0.25">
      <c r="A1255" s="118">
        <f>+CUBICACION!D1249</f>
        <v>0</v>
      </c>
      <c r="B1255" s="819">
        <f>+CUBICACION!E1249</f>
        <v>0</v>
      </c>
      <c r="C1255" s="675">
        <f>+CUBICACION!F1249</f>
        <v>0</v>
      </c>
      <c r="D1255" s="118"/>
      <c r="E1255" s="118"/>
      <c r="F1255" s="820"/>
      <c r="G1255" s="675">
        <f>+CUBICACION!J1249</f>
        <v>0</v>
      </c>
      <c r="H1255" s="118"/>
      <c r="I1255" s="821">
        <f>+CUBICACION!L1249</f>
        <v>0</v>
      </c>
      <c r="J1255" s="64">
        <f>+CUBICACION!M1249</f>
        <v>0</v>
      </c>
      <c r="K1255" s="822" t="str">
        <f>+CUBICACION!N1249</f>
        <v/>
      </c>
      <c r="L1255" s="118">
        <f>+CUBICACION!O1249</f>
        <v>0</v>
      </c>
      <c r="M1255" s="823">
        <f>+CUBICACION!P1249</f>
        <v>0</v>
      </c>
      <c r="N1255" s="902">
        <f>ROUND(IF(AND(L1255="Blaze Shield II",M1255="Software Idiem",C1255="IN",G1255=4),((('BLAZE SHIELD II'!$D$4*('CALCULO MORTERO'!I1255^2)+'BLAZE SHIELD II'!$D$5*'CALCULO MORTERO'!I1255+'BLAZE SHIELD II'!$D$6)*LN(J1255))+('BLAZE SHIELD II'!$D$7*('CALCULO MORTERO'!I1255^2)+'BLAZE SHIELD II'!$D$8*'CALCULO MORTERO'!I1255+'BLAZE SHIELD II'!$D$9)),0)+IF(AND(L1255="Blaze Shield II",M1255="Software Idiem",C1255="Cj"),((('BLAZE SHIELD II'!$H$4*('CALCULO MORTERO'!I1255^2)+'BLAZE SHIELD II'!$H$5*'CALCULO MORTERO'!I1255+'BLAZE SHIELD II'!$H$6)*LN(J1255))+('BLAZE SHIELD II'!$H$7*('CALCULO MORTERO'!I1255^2)+'BLAZE SHIELD II'!$H$8*'CALCULO MORTERO'!I1255+'BLAZE SHIELD II'!$H$9)),0)+IF(AND(L1255="Blaze Shield II",M1255="Software Idiem",C1255="C"),((('BLAZE SHIELD II'!$L$4*('CALCULO MORTERO'!I1255^2)+'BLAZE SHIELD II'!$L$5*'CALCULO MORTERO'!I1255+'BLAZE SHIELD II'!$L$6)*LN(J1255))+('BLAZE SHIELD II'!$L$7*('CALCULO MORTERO'!I1255^2)+'BLAZE SHIELD II'!$L$8*'CALCULO MORTERO'!I1255+'BLAZE SHIELD II'!$L$9)),0)+IF(AND(L1255="Blaze Shield II",M1255="Software Idiem",C1255="L"),((('BLAZE SHIELD II'!$L$4*('CALCULO MORTERO'!I1255^2)+'BLAZE SHIELD II'!$L$5*'CALCULO MORTERO'!I1255+'BLAZE SHIELD II'!$L$6)*LN(J1255))+('BLAZE SHIELD II'!$L$7*('CALCULO MORTERO'!I1255^2)+'BLAZE SHIELD II'!$L$8*'CALCULO MORTERO'!I1255+'BLAZE SHIELD II'!$L$9)),0)+IF(AND(L1255="Blaze Shield II",M1255="Software Idiem",C1255="IN",G1255=3),((('BLAZE SHIELD II'!$H$14*('CALCULO MORTERO'!I1255^2)+'BLAZE SHIELD II'!$H$15*'CALCULO MORTERO'!I1255+'BLAZE SHIELD II'!$H$16)*LN(J1255))+('BLAZE SHIELD II'!$H$17*('CALCULO MORTERO'!I1255^2)+'BLAZE SHIELD II'!$H$18*'CALCULO MORTERO'!I1255+'BLAZE SHIELD II'!$H$19)),0),0)+ROUND(IF(AND(L1255="Cafco 400",M1255="Software Idiem",C1255="IN",G1255=4),((('CAFCO 400 '!$H$7*(J1255^4)+'CAFCO 400 '!$H$8*(J1255^3)+'CAFCO 400 '!$H$9*(J1255^2)+'CAFCO 400 '!$H$10*J1255+'CAFCO 400 '!$H$11)*U1255^2)+(('CAFCO 400 '!$H$12*(J1255^3)+'CAFCO 400 '!$H$13*(J1255^2)+'CAFCO 400 '!$H$14*J1255+'CAFCO 400 '!$H$15)*U1255)+('CAFCO 400 '!$H$16*(J1255^2)+'CAFCO 400 '!$H$17*J1255+'CAFCO 400 '!$H$18)),0)+IF(AND(L1255="Cafco 400",M1255="Software Idiem",C1255="Cj"),(((('CAFCO 400 '!$D$7*LN(J1255)+'CAFCO 400 '!$D$8)*U1255^2)+(('CAFCO 400 '!$D$9*LN(J1255)+'CAFCO 400 '!$D$10)*U1255)+('CAFCO 400 '!$D$11*LN(J1255)+'CAFCO 400 '!$D$12))),0)+IF(AND(L1255="Cafco 400",M1255="Software Idiem",C1255="C"),((('CAFCO 400 '!$L$7*(J1255^3)+'CAFCO 400 '!$L$8*(J1255^2)+'CAFCO 400 '!$L$9*J1255+'CAFCO 400 '!$L$10)*U1255^2)+(('CAFCO 400 '!$L$11*(J1255^3)+'CAFCO 400 '!$L$12*(J1255^2)+'CAFCO 400 '!$L$13*J1255+'CAFCO 400 '!$L$14)*U1255)+('CAFCO 400 '!$L$15*LN(J1255)+'CAFCO 400 '!$L$16)),0)+IF(AND(L1255="Cafco 400",M1255="Software Idiem",C1255="L"),((('CAFCO 400 '!$L$7*(J1255^3)+'CAFCO 400 '!$L$8*(J1255^2)+'CAFCO 400 '!$L$9*J1255+'CAFCO 400 '!$L$10)*U1255^2)+(('CAFCO 400 '!$L$11*(J1255^3)+'CAFCO 400 '!$L$12*(J1255^2)+'CAFCO 400 '!$L$13*J1255+'CAFCO 400 '!$L$14)*U1255)+('CAFCO 400 '!$L$15*LN(J1255)+'CAFCO 400 '!$L$16)),0)+IF(AND(L1255="Cafco 400",M1255="Software Idiem",C1255="IN",G1255=3),((('CAFCO 400 '!$D$23*(J1255^2)+'CAFCO 400 '!$D$24*(J1255)+'CAFCO 400 '!$D$25)*U1255^2)+(('CAFCO 400 '!$D$26*(J1255^2)+'CAFCO 400 '!$D$27*J1255+'CAFCO 400 '!$D$28)*U1255)+('CAFCO 400 '!$D$29*(J1255^2)+'CAFCO 400 '!$D$30*J1255+'CAFCO 400 '!$D$31)),0),0)+IF(AND(L1255="Cafco 300",J1255&gt;=95,J1255&lt;=240,C1255="Cj",I1255=90),VLOOKUP(T1255,'CAFCO 300 IDIEM TABLAS'!$B$4:$D$23,2,FALSE),0)+IF(AND(L1255="Cafco 300",J1255&gt;=95,J1255&lt;=240,C1255="Cj",I1255=120),VLOOKUP(T1255,'CAFCO 300 IDIEM TABLAS'!$B$4:$D$23,3,FALSE),0)+IF(AND(L1255="Cafco 300",J1255&gt;=95,J1255&lt;=400,G1255=3,C1255="IN",I1255=90),VLOOKUP(T1255,'CAFCO 300 IDIEM TABLAS'!$F$4:$H$35,2,FALSE),0)+IF(AND(L1255="Cafco 300",J1255&gt;=95,J1255&lt;=400,G1255=3,C1255="IN",I1255=120),VLOOKUP(T1255,'CAFCO 300 IDIEM TABLAS'!$F$4:$H$35,3,FALSE),0)+IF(AND(L1255="Cafco 300",J1255&gt;=95,J1255&lt;=450,G1255=4,C1255="IN",I1255=90),VLOOKUP(T1255,'CAFCO 300 IDIEM TABLAS'!$J$4:$L$40,2,FALSE),0)+IF(AND(L1255="Cafco 300",J1255&gt;=95,J1255&lt;=450,G1255=4,C1255="IN",I1255=120),VLOOKUP(T1255,'CAFCO 300 IDIEM TABLAS'!$J$4:$L$40,3,FALSE),0)+IF(AND(M1255="Ensayo Idiem",L1255="Cafco 400",C1255="IN",G1255=4,I1255=90),VLOOKUP(T1255,'CAFCO 400 ENSAYO'!$B$7:$D$43,2,FALSE),0)+IF(AND(M1255="Ensayo Idiem",L1255="Cafco 400",C1255="IN",G1255=4,I1255=120),VLOOKUP(T1255,'CAFCO 400 ENSAYO'!$B$7:$D$43,3,FALSE),0)</f>
        <v>0</v>
      </c>
      <c r="O1255" s="96">
        <f t="shared" si="126"/>
        <v>0</v>
      </c>
      <c r="P1255" s="132" t="str">
        <f t="shared" si="121"/>
        <v>N/A</v>
      </c>
      <c r="Q1255" s="132" t="str">
        <f t="shared" si="122"/>
        <v>N/A</v>
      </c>
      <c r="R1255" s="132" t="str">
        <f t="shared" si="123"/>
        <v>NO CERT.</v>
      </c>
      <c r="S1255" s="132" t="e">
        <f t="shared" si="124"/>
        <v>#N/A</v>
      </c>
      <c r="T1255" s="133" t="e">
        <f>+IF(J1255=LOOKUP(J1255,'CAFCO 300 IDIEM TABLAS'!$J$4:$J$40),'CALCULO MORTERO'!J1255,MROUND('CALCULO MORTERO'!J1255,10))</f>
        <v>#N/A</v>
      </c>
      <c r="U1255" s="134">
        <f t="shared" si="125"/>
        <v>0</v>
      </c>
    </row>
    <row r="1256" spans="1:21" x14ac:dyDescent="0.25">
      <c r="A1256" s="118">
        <f>+CUBICACION!D1250</f>
        <v>0</v>
      </c>
      <c r="B1256" s="819">
        <f>+CUBICACION!E1250</f>
        <v>0</v>
      </c>
      <c r="C1256" s="675">
        <f>+CUBICACION!F1250</f>
        <v>0</v>
      </c>
      <c r="D1256" s="118"/>
      <c r="E1256" s="118"/>
      <c r="F1256" s="820"/>
      <c r="G1256" s="675">
        <f>+CUBICACION!J1250</f>
        <v>0</v>
      </c>
      <c r="H1256" s="118"/>
      <c r="I1256" s="821">
        <f>+CUBICACION!L1250</f>
        <v>0</v>
      </c>
      <c r="J1256" s="64">
        <f>+CUBICACION!M1250</f>
        <v>0</v>
      </c>
      <c r="K1256" s="822" t="str">
        <f>+CUBICACION!N1250</f>
        <v/>
      </c>
      <c r="L1256" s="118">
        <f>+CUBICACION!O1250</f>
        <v>0</v>
      </c>
      <c r="M1256" s="823">
        <f>+CUBICACION!P1250</f>
        <v>0</v>
      </c>
      <c r="N1256" s="902">
        <f>ROUND(IF(AND(L1256="Blaze Shield II",M1256="Software Idiem",C1256="IN",G1256=4),((('BLAZE SHIELD II'!$D$4*('CALCULO MORTERO'!I1256^2)+'BLAZE SHIELD II'!$D$5*'CALCULO MORTERO'!I1256+'BLAZE SHIELD II'!$D$6)*LN(J1256))+('BLAZE SHIELD II'!$D$7*('CALCULO MORTERO'!I1256^2)+'BLAZE SHIELD II'!$D$8*'CALCULO MORTERO'!I1256+'BLAZE SHIELD II'!$D$9)),0)+IF(AND(L1256="Blaze Shield II",M1256="Software Idiem",C1256="Cj"),((('BLAZE SHIELD II'!$H$4*('CALCULO MORTERO'!I1256^2)+'BLAZE SHIELD II'!$H$5*'CALCULO MORTERO'!I1256+'BLAZE SHIELD II'!$H$6)*LN(J1256))+('BLAZE SHIELD II'!$H$7*('CALCULO MORTERO'!I1256^2)+'BLAZE SHIELD II'!$H$8*'CALCULO MORTERO'!I1256+'BLAZE SHIELD II'!$H$9)),0)+IF(AND(L1256="Blaze Shield II",M1256="Software Idiem",C1256="C"),((('BLAZE SHIELD II'!$L$4*('CALCULO MORTERO'!I1256^2)+'BLAZE SHIELD II'!$L$5*'CALCULO MORTERO'!I1256+'BLAZE SHIELD II'!$L$6)*LN(J1256))+('BLAZE SHIELD II'!$L$7*('CALCULO MORTERO'!I1256^2)+'BLAZE SHIELD II'!$L$8*'CALCULO MORTERO'!I1256+'BLAZE SHIELD II'!$L$9)),0)+IF(AND(L1256="Blaze Shield II",M1256="Software Idiem",C1256="L"),((('BLAZE SHIELD II'!$L$4*('CALCULO MORTERO'!I1256^2)+'BLAZE SHIELD II'!$L$5*'CALCULO MORTERO'!I1256+'BLAZE SHIELD II'!$L$6)*LN(J1256))+('BLAZE SHIELD II'!$L$7*('CALCULO MORTERO'!I1256^2)+'BLAZE SHIELD II'!$L$8*'CALCULO MORTERO'!I1256+'BLAZE SHIELD II'!$L$9)),0)+IF(AND(L1256="Blaze Shield II",M1256="Software Idiem",C1256="IN",G1256=3),((('BLAZE SHIELD II'!$H$14*('CALCULO MORTERO'!I1256^2)+'BLAZE SHIELD II'!$H$15*'CALCULO MORTERO'!I1256+'BLAZE SHIELD II'!$H$16)*LN(J1256))+('BLAZE SHIELD II'!$H$17*('CALCULO MORTERO'!I1256^2)+'BLAZE SHIELD II'!$H$18*'CALCULO MORTERO'!I1256+'BLAZE SHIELD II'!$H$19)),0),0)+ROUND(IF(AND(L1256="Cafco 400",M1256="Software Idiem",C1256="IN",G1256=4),((('CAFCO 400 '!$H$7*(J1256^4)+'CAFCO 400 '!$H$8*(J1256^3)+'CAFCO 400 '!$H$9*(J1256^2)+'CAFCO 400 '!$H$10*J1256+'CAFCO 400 '!$H$11)*U1256^2)+(('CAFCO 400 '!$H$12*(J1256^3)+'CAFCO 400 '!$H$13*(J1256^2)+'CAFCO 400 '!$H$14*J1256+'CAFCO 400 '!$H$15)*U1256)+('CAFCO 400 '!$H$16*(J1256^2)+'CAFCO 400 '!$H$17*J1256+'CAFCO 400 '!$H$18)),0)+IF(AND(L1256="Cafco 400",M1256="Software Idiem",C1256="Cj"),(((('CAFCO 400 '!$D$7*LN(J1256)+'CAFCO 400 '!$D$8)*U1256^2)+(('CAFCO 400 '!$D$9*LN(J1256)+'CAFCO 400 '!$D$10)*U1256)+('CAFCO 400 '!$D$11*LN(J1256)+'CAFCO 400 '!$D$12))),0)+IF(AND(L1256="Cafco 400",M1256="Software Idiem",C1256="C"),((('CAFCO 400 '!$L$7*(J1256^3)+'CAFCO 400 '!$L$8*(J1256^2)+'CAFCO 400 '!$L$9*J1256+'CAFCO 400 '!$L$10)*U1256^2)+(('CAFCO 400 '!$L$11*(J1256^3)+'CAFCO 400 '!$L$12*(J1256^2)+'CAFCO 400 '!$L$13*J1256+'CAFCO 400 '!$L$14)*U1256)+('CAFCO 400 '!$L$15*LN(J1256)+'CAFCO 400 '!$L$16)),0)+IF(AND(L1256="Cafco 400",M1256="Software Idiem",C1256="L"),((('CAFCO 400 '!$L$7*(J1256^3)+'CAFCO 400 '!$L$8*(J1256^2)+'CAFCO 400 '!$L$9*J1256+'CAFCO 400 '!$L$10)*U1256^2)+(('CAFCO 400 '!$L$11*(J1256^3)+'CAFCO 400 '!$L$12*(J1256^2)+'CAFCO 400 '!$L$13*J1256+'CAFCO 400 '!$L$14)*U1256)+('CAFCO 400 '!$L$15*LN(J1256)+'CAFCO 400 '!$L$16)),0)+IF(AND(L1256="Cafco 400",M1256="Software Idiem",C1256="IN",G1256=3),((('CAFCO 400 '!$D$23*(J1256^2)+'CAFCO 400 '!$D$24*(J1256)+'CAFCO 400 '!$D$25)*U1256^2)+(('CAFCO 400 '!$D$26*(J1256^2)+'CAFCO 400 '!$D$27*J1256+'CAFCO 400 '!$D$28)*U1256)+('CAFCO 400 '!$D$29*(J1256^2)+'CAFCO 400 '!$D$30*J1256+'CAFCO 400 '!$D$31)),0),0)+IF(AND(L1256="Cafco 300",J1256&gt;=95,J1256&lt;=240,C1256="Cj",I1256=90),VLOOKUP(T1256,'CAFCO 300 IDIEM TABLAS'!$B$4:$D$23,2,FALSE),0)+IF(AND(L1256="Cafco 300",J1256&gt;=95,J1256&lt;=240,C1256="Cj",I1256=120),VLOOKUP(T1256,'CAFCO 300 IDIEM TABLAS'!$B$4:$D$23,3,FALSE),0)+IF(AND(L1256="Cafco 300",J1256&gt;=95,J1256&lt;=400,G1256=3,C1256="IN",I1256=90),VLOOKUP(T1256,'CAFCO 300 IDIEM TABLAS'!$F$4:$H$35,2,FALSE),0)+IF(AND(L1256="Cafco 300",J1256&gt;=95,J1256&lt;=400,G1256=3,C1256="IN",I1256=120),VLOOKUP(T1256,'CAFCO 300 IDIEM TABLAS'!$F$4:$H$35,3,FALSE),0)+IF(AND(L1256="Cafco 300",J1256&gt;=95,J1256&lt;=450,G1256=4,C1256="IN",I1256=90),VLOOKUP(T1256,'CAFCO 300 IDIEM TABLAS'!$J$4:$L$40,2,FALSE),0)+IF(AND(L1256="Cafco 300",J1256&gt;=95,J1256&lt;=450,G1256=4,C1256="IN",I1256=120),VLOOKUP(T1256,'CAFCO 300 IDIEM TABLAS'!$J$4:$L$40,3,FALSE),0)+IF(AND(M1256="Ensayo Idiem",L1256="Cafco 400",C1256="IN",G1256=4,I1256=90),VLOOKUP(T1256,'CAFCO 400 ENSAYO'!$B$7:$D$43,2,FALSE),0)+IF(AND(M1256="Ensayo Idiem",L1256="Cafco 400",C1256="IN",G1256=4,I1256=120),VLOOKUP(T1256,'CAFCO 400 ENSAYO'!$B$7:$D$43,3,FALSE),0)</f>
        <v>0</v>
      </c>
      <c r="O1256" s="96">
        <f t="shared" si="126"/>
        <v>0</v>
      </c>
      <c r="P1256" s="95" t="str">
        <f t="shared" si="121"/>
        <v>N/A</v>
      </c>
      <c r="Q1256" s="95" t="str">
        <f t="shared" si="122"/>
        <v>N/A</v>
      </c>
      <c r="R1256" s="95" t="str">
        <f t="shared" si="123"/>
        <v>NO CERT.</v>
      </c>
      <c r="S1256" s="95" t="e">
        <f t="shared" si="124"/>
        <v>#N/A</v>
      </c>
      <c r="T1256" s="119" t="e">
        <f>+IF(J1256=LOOKUP(J1256,'CAFCO 300 IDIEM TABLAS'!$J$4:$J$40),'CALCULO MORTERO'!J1256,MROUND('CALCULO MORTERO'!J1256,10))</f>
        <v>#N/A</v>
      </c>
      <c r="U1256" s="118">
        <f t="shared" si="125"/>
        <v>0</v>
      </c>
    </row>
    <row r="1257" spans="1:21" x14ac:dyDescent="0.25">
      <c r="A1257" s="118">
        <f>+CUBICACION!D1251</f>
        <v>0</v>
      </c>
      <c r="B1257" s="819">
        <f>+CUBICACION!E1251</f>
        <v>0</v>
      </c>
      <c r="C1257" s="675">
        <f>+CUBICACION!F1251</f>
        <v>0</v>
      </c>
      <c r="D1257" s="118"/>
      <c r="E1257" s="118"/>
      <c r="F1257" s="820"/>
      <c r="G1257" s="675">
        <f>+CUBICACION!J1251</f>
        <v>0</v>
      </c>
      <c r="H1257" s="118"/>
      <c r="I1257" s="821">
        <f>+CUBICACION!L1251</f>
        <v>0</v>
      </c>
      <c r="J1257" s="64">
        <f>+CUBICACION!M1251</f>
        <v>0</v>
      </c>
      <c r="K1257" s="822" t="str">
        <f>+CUBICACION!N1251</f>
        <v/>
      </c>
      <c r="L1257" s="118">
        <f>+CUBICACION!O1251</f>
        <v>0</v>
      </c>
      <c r="M1257" s="823">
        <f>+CUBICACION!P1251</f>
        <v>0</v>
      </c>
      <c r="N1257" s="902">
        <f>ROUND(IF(AND(L1257="Blaze Shield II",M1257="Software Idiem",C1257="IN",G1257=4),((('BLAZE SHIELD II'!$D$4*('CALCULO MORTERO'!I1257^2)+'BLAZE SHIELD II'!$D$5*'CALCULO MORTERO'!I1257+'BLAZE SHIELD II'!$D$6)*LN(J1257))+('BLAZE SHIELD II'!$D$7*('CALCULO MORTERO'!I1257^2)+'BLAZE SHIELD II'!$D$8*'CALCULO MORTERO'!I1257+'BLAZE SHIELD II'!$D$9)),0)+IF(AND(L1257="Blaze Shield II",M1257="Software Idiem",C1257="Cj"),((('BLAZE SHIELD II'!$H$4*('CALCULO MORTERO'!I1257^2)+'BLAZE SHIELD II'!$H$5*'CALCULO MORTERO'!I1257+'BLAZE SHIELD II'!$H$6)*LN(J1257))+('BLAZE SHIELD II'!$H$7*('CALCULO MORTERO'!I1257^2)+'BLAZE SHIELD II'!$H$8*'CALCULO MORTERO'!I1257+'BLAZE SHIELD II'!$H$9)),0)+IF(AND(L1257="Blaze Shield II",M1257="Software Idiem",C1257="C"),((('BLAZE SHIELD II'!$L$4*('CALCULO MORTERO'!I1257^2)+'BLAZE SHIELD II'!$L$5*'CALCULO MORTERO'!I1257+'BLAZE SHIELD II'!$L$6)*LN(J1257))+('BLAZE SHIELD II'!$L$7*('CALCULO MORTERO'!I1257^2)+'BLAZE SHIELD II'!$L$8*'CALCULO MORTERO'!I1257+'BLAZE SHIELD II'!$L$9)),0)+IF(AND(L1257="Blaze Shield II",M1257="Software Idiem",C1257="L"),((('BLAZE SHIELD II'!$L$4*('CALCULO MORTERO'!I1257^2)+'BLAZE SHIELD II'!$L$5*'CALCULO MORTERO'!I1257+'BLAZE SHIELD II'!$L$6)*LN(J1257))+('BLAZE SHIELD II'!$L$7*('CALCULO MORTERO'!I1257^2)+'BLAZE SHIELD II'!$L$8*'CALCULO MORTERO'!I1257+'BLAZE SHIELD II'!$L$9)),0)+IF(AND(L1257="Blaze Shield II",M1257="Software Idiem",C1257="IN",G1257=3),((('BLAZE SHIELD II'!$H$14*('CALCULO MORTERO'!I1257^2)+'BLAZE SHIELD II'!$H$15*'CALCULO MORTERO'!I1257+'BLAZE SHIELD II'!$H$16)*LN(J1257))+('BLAZE SHIELD II'!$H$17*('CALCULO MORTERO'!I1257^2)+'BLAZE SHIELD II'!$H$18*'CALCULO MORTERO'!I1257+'BLAZE SHIELD II'!$H$19)),0),0)+ROUND(IF(AND(L1257="Cafco 400",M1257="Software Idiem",C1257="IN",G1257=4),((('CAFCO 400 '!$H$7*(J1257^4)+'CAFCO 400 '!$H$8*(J1257^3)+'CAFCO 400 '!$H$9*(J1257^2)+'CAFCO 400 '!$H$10*J1257+'CAFCO 400 '!$H$11)*U1257^2)+(('CAFCO 400 '!$H$12*(J1257^3)+'CAFCO 400 '!$H$13*(J1257^2)+'CAFCO 400 '!$H$14*J1257+'CAFCO 400 '!$H$15)*U1257)+('CAFCO 400 '!$H$16*(J1257^2)+'CAFCO 400 '!$H$17*J1257+'CAFCO 400 '!$H$18)),0)+IF(AND(L1257="Cafco 400",M1257="Software Idiem",C1257="Cj"),(((('CAFCO 400 '!$D$7*LN(J1257)+'CAFCO 400 '!$D$8)*U1257^2)+(('CAFCO 400 '!$D$9*LN(J1257)+'CAFCO 400 '!$D$10)*U1257)+('CAFCO 400 '!$D$11*LN(J1257)+'CAFCO 400 '!$D$12))),0)+IF(AND(L1257="Cafco 400",M1257="Software Idiem",C1257="C"),((('CAFCO 400 '!$L$7*(J1257^3)+'CAFCO 400 '!$L$8*(J1257^2)+'CAFCO 400 '!$L$9*J1257+'CAFCO 400 '!$L$10)*U1257^2)+(('CAFCO 400 '!$L$11*(J1257^3)+'CAFCO 400 '!$L$12*(J1257^2)+'CAFCO 400 '!$L$13*J1257+'CAFCO 400 '!$L$14)*U1257)+('CAFCO 400 '!$L$15*LN(J1257)+'CAFCO 400 '!$L$16)),0)+IF(AND(L1257="Cafco 400",M1257="Software Idiem",C1257="L"),((('CAFCO 400 '!$L$7*(J1257^3)+'CAFCO 400 '!$L$8*(J1257^2)+'CAFCO 400 '!$L$9*J1257+'CAFCO 400 '!$L$10)*U1257^2)+(('CAFCO 400 '!$L$11*(J1257^3)+'CAFCO 400 '!$L$12*(J1257^2)+'CAFCO 400 '!$L$13*J1257+'CAFCO 400 '!$L$14)*U1257)+('CAFCO 400 '!$L$15*LN(J1257)+'CAFCO 400 '!$L$16)),0)+IF(AND(L1257="Cafco 400",M1257="Software Idiem",C1257="IN",G1257=3),((('CAFCO 400 '!$D$23*(J1257^2)+'CAFCO 400 '!$D$24*(J1257)+'CAFCO 400 '!$D$25)*U1257^2)+(('CAFCO 400 '!$D$26*(J1257^2)+'CAFCO 400 '!$D$27*J1257+'CAFCO 400 '!$D$28)*U1257)+('CAFCO 400 '!$D$29*(J1257^2)+'CAFCO 400 '!$D$30*J1257+'CAFCO 400 '!$D$31)),0),0)+IF(AND(L1257="Cafco 300",J1257&gt;=95,J1257&lt;=240,C1257="Cj",I1257=90),VLOOKUP(T1257,'CAFCO 300 IDIEM TABLAS'!$B$4:$D$23,2,FALSE),0)+IF(AND(L1257="Cafco 300",J1257&gt;=95,J1257&lt;=240,C1257="Cj",I1257=120),VLOOKUP(T1257,'CAFCO 300 IDIEM TABLAS'!$B$4:$D$23,3,FALSE),0)+IF(AND(L1257="Cafco 300",J1257&gt;=95,J1257&lt;=400,G1257=3,C1257="IN",I1257=90),VLOOKUP(T1257,'CAFCO 300 IDIEM TABLAS'!$F$4:$H$35,2,FALSE),0)+IF(AND(L1257="Cafco 300",J1257&gt;=95,J1257&lt;=400,G1257=3,C1257="IN",I1257=120),VLOOKUP(T1257,'CAFCO 300 IDIEM TABLAS'!$F$4:$H$35,3,FALSE),0)+IF(AND(L1257="Cafco 300",J1257&gt;=95,J1257&lt;=450,G1257=4,C1257="IN",I1257=90),VLOOKUP(T1257,'CAFCO 300 IDIEM TABLAS'!$J$4:$L$40,2,FALSE),0)+IF(AND(L1257="Cafco 300",J1257&gt;=95,J1257&lt;=450,G1257=4,C1257="IN",I1257=120),VLOOKUP(T1257,'CAFCO 300 IDIEM TABLAS'!$J$4:$L$40,3,FALSE),0)+IF(AND(M1257="Ensayo Idiem",L1257="Cafco 400",C1257="IN",G1257=4,I1257=90),VLOOKUP(T1257,'CAFCO 400 ENSAYO'!$B$7:$D$43,2,FALSE),0)+IF(AND(M1257="Ensayo Idiem",L1257="Cafco 400",C1257="IN",G1257=4,I1257=120),VLOOKUP(T1257,'CAFCO 400 ENSAYO'!$B$7:$D$43,3,FALSE),0)</f>
        <v>0</v>
      </c>
      <c r="O1257" s="96">
        <f t="shared" si="126"/>
        <v>0</v>
      </c>
      <c r="P1257" s="132" t="str">
        <f t="shared" si="121"/>
        <v>N/A</v>
      </c>
      <c r="Q1257" s="132" t="str">
        <f t="shared" si="122"/>
        <v>N/A</v>
      </c>
      <c r="R1257" s="132" t="str">
        <f t="shared" si="123"/>
        <v>NO CERT.</v>
      </c>
      <c r="S1257" s="132" t="e">
        <f t="shared" si="124"/>
        <v>#N/A</v>
      </c>
      <c r="T1257" s="133" t="e">
        <f>+IF(J1257=LOOKUP(J1257,'CAFCO 300 IDIEM TABLAS'!$J$4:$J$40),'CALCULO MORTERO'!J1257,MROUND('CALCULO MORTERO'!J1257,10))</f>
        <v>#N/A</v>
      </c>
      <c r="U1257" s="134">
        <f t="shared" si="125"/>
        <v>0</v>
      </c>
    </row>
    <row r="1258" spans="1:21" x14ac:dyDescent="0.25">
      <c r="A1258" s="118">
        <f>+CUBICACION!D1252</f>
        <v>0</v>
      </c>
      <c r="B1258" s="819">
        <f>+CUBICACION!E1252</f>
        <v>0</v>
      </c>
      <c r="C1258" s="675">
        <f>+CUBICACION!F1252</f>
        <v>0</v>
      </c>
      <c r="D1258" s="118"/>
      <c r="E1258" s="118"/>
      <c r="F1258" s="820"/>
      <c r="G1258" s="675">
        <f>+CUBICACION!J1252</f>
        <v>0</v>
      </c>
      <c r="H1258" s="118"/>
      <c r="I1258" s="821">
        <f>+CUBICACION!L1252</f>
        <v>0</v>
      </c>
      <c r="J1258" s="64">
        <f>+CUBICACION!M1252</f>
        <v>0</v>
      </c>
      <c r="K1258" s="822" t="str">
        <f>+CUBICACION!N1252</f>
        <v/>
      </c>
      <c r="L1258" s="118">
        <f>+CUBICACION!O1252</f>
        <v>0</v>
      </c>
      <c r="M1258" s="823">
        <f>+CUBICACION!P1252</f>
        <v>0</v>
      </c>
      <c r="N1258" s="902">
        <f>ROUND(IF(AND(L1258="Blaze Shield II",M1258="Software Idiem",C1258="IN",G1258=4),((('BLAZE SHIELD II'!$D$4*('CALCULO MORTERO'!I1258^2)+'BLAZE SHIELD II'!$D$5*'CALCULO MORTERO'!I1258+'BLAZE SHIELD II'!$D$6)*LN(J1258))+('BLAZE SHIELD II'!$D$7*('CALCULO MORTERO'!I1258^2)+'BLAZE SHIELD II'!$D$8*'CALCULO MORTERO'!I1258+'BLAZE SHIELD II'!$D$9)),0)+IF(AND(L1258="Blaze Shield II",M1258="Software Idiem",C1258="Cj"),((('BLAZE SHIELD II'!$H$4*('CALCULO MORTERO'!I1258^2)+'BLAZE SHIELD II'!$H$5*'CALCULO MORTERO'!I1258+'BLAZE SHIELD II'!$H$6)*LN(J1258))+('BLAZE SHIELD II'!$H$7*('CALCULO MORTERO'!I1258^2)+'BLAZE SHIELD II'!$H$8*'CALCULO MORTERO'!I1258+'BLAZE SHIELD II'!$H$9)),0)+IF(AND(L1258="Blaze Shield II",M1258="Software Idiem",C1258="C"),((('BLAZE SHIELD II'!$L$4*('CALCULO MORTERO'!I1258^2)+'BLAZE SHIELD II'!$L$5*'CALCULO MORTERO'!I1258+'BLAZE SHIELD II'!$L$6)*LN(J1258))+('BLAZE SHIELD II'!$L$7*('CALCULO MORTERO'!I1258^2)+'BLAZE SHIELD II'!$L$8*'CALCULO MORTERO'!I1258+'BLAZE SHIELD II'!$L$9)),0)+IF(AND(L1258="Blaze Shield II",M1258="Software Idiem",C1258="L"),((('BLAZE SHIELD II'!$L$4*('CALCULO MORTERO'!I1258^2)+'BLAZE SHIELD II'!$L$5*'CALCULO MORTERO'!I1258+'BLAZE SHIELD II'!$L$6)*LN(J1258))+('BLAZE SHIELD II'!$L$7*('CALCULO MORTERO'!I1258^2)+'BLAZE SHIELD II'!$L$8*'CALCULO MORTERO'!I1258+'BLAZE SHIELD II'!$L$9)),0)+IF(AND(L1258="Blaze Shield II",M1258="Software Idiem",C1258="IN",G1258=3),((('BLAZE SHIELD II'!$H$14*('CALCULO MORTERO'!I1258^2)+'BLAZE SHIELD II'!$H$15*'CALCULO MORTERO'!I1258+'BLAZE SHIELD II'!$H$16)*LN(J1258))+('BLAZE SHIELD II'!$H$17*('CALCULO MORTERO'!I1258^2)+'BLAZE SHIELD II'!$H$18*'CALCULO MORTERO'!I1258+'BLAZE SHIELD II'!$H$19)),0),0)+ROUND(IF(AND(L1258="Cafco 400",M1258="Software Idiem",C1258="IN",G1258=4),((('CAFCO 400 '!$H$7*(J1258^4)+'CAFCO 400 '!$H$8*(J1258^3)+'CAFCO 400 '!$H$9*(J1258^2)+'CAFCO 400 '!$H$10*J1258+'CAFCO 400 '!$H$11)*U1258^2)+(('CAFCO 400 '!$H$12*(J1258^3)+'CAFCO 400 '!$H$13*(J1258^2)+'CAFCO 400 '!$H$14*J1258+'CAFCO 400 '!$H$15)*U1258)+('CAFCO 400 '!$H$16*(J1258^2)+'CAFCO 400 '!$H$17*J1258+'CAFCO 400 '!$H$18)),0)+IF(AND(L1258="Cafco 400",M1258="Software Idiem",C1258="Cj"),(((('CAFCO 400 '!$D$7*LN(J1258)+'CAFCO 400 '!$D$8)*U1258^2)+(('CAFCO 400 '!$D$9*LN(J1258)+'CAFCO 400 '!$D$10)*U1258)+('CAFCO 400 '!$D$11*LN(J1258)+'CAFCO 400 '!$D$12))),0)+IF(AND(L1258="Cafco 400",M1258="Software Idiem",C1258="C"),((('CAFCO 400 '!$L$7*(J1258^3)+'CAFCO 400 '!$L$8*(J1258^2)+'CAFCO 400 '!$L$9*J1258+'CAFCO 400 '!$L$10)*U1258^2)+(('CAFCO 400 '!$L$11*(J1258^3)+'CAFCO 400 '!$L$12*(J1258^2)+'CAFCO 400 '!$L$13*J1258+'CAFCO 400 '!$L$14)*U1258)+('CAFCO 400 '!$L$15*LN(J1258)+'CAFCO 400 '!$L$16)),0)+IF(AND(L1258="Cafco 400",M1258="Software Idiem",C1258="L"),((('CAFCO 400 '!$L$7*(J1258^3)+'CAFCO 400 '!$L$8*(J1258^2)+'CAFCO 400 '!$L$9*J1258+'CAFCO 400 '!$L$10)*U1258^2)+(('CAFCO 400 '!$L$11*(J1258^3)+'CAFCO 400 '!$L$12*(J1258^2)+'CAFCO 400 '!$L$13*J1258+'CAFCO 400 '!$L$14)*U1258)+('CAFCO 400 '!$L$15*LN(J1258)+'CAFCO 400 '!$L$16)),0)+IF(AND(L1258="Cafco 400",M1258="Software Idiem",C1258="IN",G1258=3),((('CAFCO 400 '!$D$23*(J1258^2)+'CAFCO 400 '!$D$24*(J1258)+'CAFCO 400 '!$D$25)*U1258^2)+(('CAFCO 400 '!$D$26*(J1258^2)+'CAFCO 400 '!$D$27*J1258+'CAFCO 400 '!$D$28)*U1258)+('CAFCO 400 '!$D$29*(J1258^2)+'CAFCO 400 '!$D$30*J1258+'CAFCO 400 '!$D$31)),0),0)+IF(AND(L1258="Cafco 300",J1258&gt;=95,J1258&lt;=240,C1258="Cj",I1258=90),VLOOKUP(T1258,'CAFCO 300 IDIEM TABLAS'!$B$4:$D$23,2,FALSE),0)+IF(AND(L1258="Cafco 300",J1258&gt;=95,J1258&lt;=240,C1258="Cj",I1258=120),VLOOKUP(T1258,'CAFCO 300 IDIEM TABLAS'!$B$4:$D$23,3,FALSE),0)+IF(AND(L1258="Cafco 300",J1258&gt;=95,J1258&lt;=400,G1258=3,C1258="IN",I1258=90),VLOOKUP(T1258,'CAFCO 300 IDIEM TABLAS'!$F$4:$H$35,2,FALSE),0)+IF(AND(L1258="Cafco 300",J1258&gt;=95,J1258&lt;=400,G1258=3,C1258="IN",I1258=120),VLOOKUP(T1258,'CAFCO 300 IDIEM TABLAS'!$F$4:$H$35,3,FALSE),0)+IF(AND(L1258="Cafco 300",J1258&gt;=95,J1258&lt;=450,G1258=4,C1258="IN",I1258=90),VLOOKUP(T1258,'CAFCO 300 IDIEM TABLAS'!$J$4:$L$40,2,FALSE),0)+IF(AND(L1258="Cafco 300",J1258&gt;=95,J1258&lt;=450,G1258=4,C1258="IN",I1258=120),VLOOKUP(T1258,'CAFCO 300 IDIEM TABLAS'!$J$4:$L$40,3,FALSE),0)+IF(AND(M1258="Ensayo Idiem",L1258="Cafco 400",C1258="IN",G1258=4,I1258=90),VLOOKUP(T1258,'CAFCO 400 ENSAYO'!$B$7:$D$43,2,FALSE),0)+IF(AND(M1258="Ensayo Idiem",L1258="Cafco 400",C1258="IN",G1258=4,I1258=120),VLOOKUP(T1258,'CAFCO 400 ENSAYO'!$B$7:$D$43,3,FALSE),0)</f>
        <v>0</v>
      </c>
      <c r="O1258" s="96">
        <f t="shared" si="126"/>
        <v>0</v>
      </c>
      <c r="P1258" s="95" t="str">
        <f t="shared" si="121"/>
        <v>N/A</v>
      </c>
      <c r="Q1258" s="95" t="str">
        <f t="shared" si="122"/>
        <v>N/A</v>
      </c>
      <c r="R1258" s="95" t="str">
        <f t="shared" si="123"/>
        <v>NO CERT.</v>
      </c>
      <c r="S1258" s="95" t="e">
        <f t="shared" si="124"/>
        <v>#N/A</v>
      </c>
      <c r="T1258" s="119" t="e">
        <f>+IF(J1258=LOOKUP(J1258,'CAFCO 300 IDIEM TABLAS'!$J$4:$J$40),'CALCULO MORTERO'!J1258,MROUND('CALCULO MORTERO'!J1258,10))</f>
        <v>#N/A</v>
      </c>
      <c r="U1258" s="118">
        <f t="shared" si="125"/>
        <v>0</v>
      </c>
    </row>
    <row r="1259" spans="1:21" x14ac:dyDescent="0.25">
      <c r="A1259" s="118">
        <f>+CUBICACION!D1253</f>
        <v>0</v>
      </c>
      <c r="B1259" s="819">
        <f>+CUBICACION!E1253</f>
        <v>0</v>
      </c>
      <c r="C1259" s="675">
        <f>+CUBICACION!F1253</f>
        <v>0</v>
      </c>
      <c r="D1259" s="118"/>
      <c r="E1259" s="118"/>
      <c r="F1259" s="820"/>
      <c r="G1259" s="675">
        <f>+CUBICACION!J1253</f>
        <v>0</v>
      </c>
      <c r="H1259" s="118"/>
      <c r="I1259" s="821">
        <f>+CUBICACION!L1253</f>
        <v>0</v>
      </c>
      <c r="J1259" s="64">
        <f>+CUBICACION!M1253</f>
        <v>0</v>
      </c>
      <c r="K1259" s="822" t="str">
        <f>+CUBICACION!N1253</f>
        <v/>
      </c>
      <c r="L1259" s="118">
        <f>+CUBICACION!O1253</f>
        <v>0</v>
      </c>
      <c r="M1259" s="823">
        <f>+CUBICACION!P1253</f>
        <v>0</v>
      </c>
      <c r="N1259" s="902">
        <f>ROUND(IF(AND(L1259="Blaze Shield II",M1259="Software Idiem",C1259="IN",G1259=4),((('BLAZE SHIELD II'!$D$4*('CALCULO MORTERO'!I1259^2)+'BLAZE SHIELD II'!$D$5*'CALCULO MORTERO'!I1259+'BLAZE SHIELD II'!$D$6)*LN(J1259))+('BLAZE SHIELD II'!$D$7*('CALCULO MORTERO'!I1259^2)+'BLAZE SHIELD II'!$D$8*'CALCULO MORTERO'!I1259+'BLAZE SHIELD II'!$D$9)),0)+IF(AND(L1259="Blaze Shield II",M1259="Software Idiem",C1259="Cj"),((('BLAZE SHIELD II'!$H$4*('CALCULO MORTERO'!I1259^2)+'BLAZE SHIELD II'!$H$5*'CALCULO MORTERO'!I1259+'BLAZE SHIELD II'!$H$6)*LN(J1259))+('BLAZE SHIELD II'!$H$7*('CALCULO MORTERO'!I1259^2)+'BLAZE SHIELD II'!$H$8*'CALCULO MORTERO'!I1259+'BLAZE SHIELD II'!$H$9)),0)+IF(AND(L1259="Blaze Shield II",M1259="Software Idiem",C1259="C"),((('BLAZE SHIELD II'!$L$4*('CALCULO MORTERO'!I1259^2)+'BLAZE SHIELD II'!$L$5*'CALCULO MORTERO'!I1259+'BLAZE SHIELD II'!$L$6)*LN(J1259))+('BLAZE SHIELD II'!$L$7*('CALCULO MORTERO'!I1259^2)+'BLAZE SHIELD II'!$L$8*'CALCULO MORTERO'!I1259+'BLAZE SHIELD II'!$L$9)),0)+IF(AND(L1259="Blaze Shield II",M1259="Software Idiem",C1259="L"),((('BLAZE SHIELD II'!$L$4*('CALCULO MORTERO'!I1259^2)+'BLAZE SHIELD II'!$L$5*'CALCULO MORTERO'!I1259+'BLAZE SHIELD II'!$L$6)*LN(J1259))+('BLAZE SHIELD II'!$L$7*('CALCULO MORTERO'!I1259^2)+'BLAZE SHIELD II'!$L$8*'CALCULO MORTERO'!I1259+'BLAZE SHIELD II'!$L$9)),0)+IF(AND(L1259="Blaze Shield II",M1259="Software Idiem",C1259="IN",G1259=3),((('BLAZE SHIELD II'!$H$14*('CALCULO MORTERO'!I1259^2)+'BLAZE SHIELD II'!$H$15*'CALCULO MORTERO'!I1259+'BLAZE SHIELD II'!$H$16)*LN(J1259))+('BLAZE SHIELD II'!$H$17*('CALCULO MORTERO'!I1259^2)+'BLAZE SHIELD II'!$H$18*'CALCULO MORTERO'!I1259+'BLAZE SHIELD II'!$H$19)),0),0)+ROUND(IF(AND(L1259="Cafco 400",M1259="Software Idiem",C1259="IN",G1259=4),((('CAFCO 400 '!$H$7*(J1259^4)+'CAFCO 400 '!$H$8*(J1259^3)+'CAFCO 400 '!$H$9*(J1259^2)+'CAFCO 400 '!$H$10*J1259+'CAFCO 400 '!$H$11)*U1259^2)+(('CAFCO 400 '!$H$12*(J1259^3)+'CAFCO 400 '!$H$13*(J1259^2)+'CAFCO 400 '!$H$14*J1259+'CAFCO 400 '!$H$15)*U1259)+('CAFCO 400 '!$H$16*(J1259^2)+'CAFCO 400 '!$H$17*J1259+'CAFCO 400 '!$H$18)),0)+IF(AND(L1259="Cafco 400",M1259="Software Idiem",C1259="Cj"),(((('CAFCO 400 '!$D$7*LN(J1259)+'CAFCO 400 '!$D$8)*U1259^2)+(('CAFCO 400 '!$D$9*LN(J1259)+'CAFCO 400 '!$D$10)*U1259)+('CAFCO 400 '!$D$11*LN(J1259)+'CAFCO 400 '!$D$12))),0)+IF(AND(L1259="Cafco 400",M1259="Software Idiem",C1259="C"),((('CAFCO 400 '!$L$7*(J1259^3)+'CAFCO 400 '!$L$8*(J1259^2)+'CAFCO 400 '!$L$9*J1259+'CAFCO 400 '!$L$10)*U1259^2)+(('CAFCO 400 '!$L$11*(J1259^3)+'CAFCO 400 '!$L$12*(J1259^2)+'CAFCO 400 '!$L$13*J1259+'CAFCO 400 '!$L$14)*U1259)+('CAFCO 400 '!$L$15*LN(J1259)+'CAFCO 400 '!$L$16)),0)+IF(AND(L1259="Cafco 400",M1259="Software Idiem",C1259="L"),((('CAFCO 400 '!$L$7*(J1259^3)+'CAFCO 400 '!$L$8*(J1259^2)+'CAFCO 400 '!$L$9*J1259+'CAFCO 400 '!$L$10)*U1259^2)+(('CAFCO 400 '!$L$11*(J1259^3)+'CAFCO 400 '!$L$12*(J1259^2)+'CAFCO 400 '!$L$13*J1259+'CAFCO 400 '!$L$14)*U1259)+('CAFCO 400 '!$L$15*LN(J1259)+'CAFCO 400 '!$L$16)),0)+IF(AND(L1259="Cafco 400",M1259="Software Idiem",C1259="IN",G1259=3),((('CAFCO 400 '!$D$23*(J1259^2)+'CAFCO 400 '!$D$24*(J1259)+'CAFCO 400 '!$D$25)*U1259^2)+(('CAFCO 400 '!$D$26*(J1259^2)+'CAFCO 400 '!$D$27*J1259+'CAFCO 400 '!$D$28)*U1259)+('CAFCO 400 '!$D$29*(J1259^2)+'CAFCO 400 '!$D$30*J1259+'CAFCO 400 '!$D$31)),0),0)+IF(AND(L1259="Cafco 300",J1259&gt;=95,J1259&lt;=240,C1259="Cj",I1259=90),VLOOKUP(T1259,'CAFCO 300 IDIEM TABLAS'!$B$4:$D$23,2,FALSE),0)+IF(AND(L1259="Cafco 300",J1259&gt;=95,J1259&lt;=240,C1259="Cj",I1259=120),VLOOKUP(T1259,'CAFCO 300 IDIEM TABLAS'!$B$4:$D$23,3,FALSE),0)+IF(AND(L1259="Cafco 300",J1259&gt;=95,J1259&lt;=400,G1259=3,C1259="IN",I1259=90),VLOOKUP(T1259,'CAFCO 300 IDIEM TABLAS'!$F$4:$H$35,2,FALSE),0)+IF(AND(L1259="Cafco 300",J1259&gt;=95,J1259&lt;=400,G1259=3,C1259="IN",I1259=120),VLOOKUP(T1259,'CAFCO 300 IDIEM TABLAS'!$F$4:$H$35,3,FALSE),0)+IF(AND(L1259="Cafco 300",J1259&gt;=95,J1259&lt;=450,G1259=4,C1259="IN",I1259=90),VLOOKUP(T1259,'CAFCO 300 IDIEM TABLAS'!$J$4:$L$40,2,FALSE),0)+IF(AND(L1259="Cafco 300",J1259&gt;=95,J1259&lt;=450,G1259=4,C1259="IN",I1259=120),VLOOKUP(T1259,'CAFCO 300 IDIEM TABLAS'!$J$4:$L$40,3,FALSE),0)+IF(AND(M1259="Ensayo Idiem",L1259="Cafco 400",C1259="IN",G1259=4,I1259=90),VLOOKUP(T1259,'CAFCO 400 ENSAYO'!$B$7:$D$43,2,FALSE),0)+IF(AND(M1259="Ensayo Idiem",L1259="Cafco 400",C1259="IN",G1259=4,I1259=120),VLOOKUP(T1259,'CAFCO 400 ENSAYO'!$B$7:$D$43,3,FALSE),0)</f>
        <v>0</v>
      </c>
      <c r="O1259" s="96">
        <f t="shared" si="126"/>
        <v>0</v>
      </c>
      <c r="P1259" s="132" t="str">
        <f t="shared" si="121"/>
        <v>N/A</v>
      </c>
      <c r="Q1259" s="132" t="str">
        <f t="shared" si="122"/>
        <v>N/A</v>
      </c>
      <c r="R1259" s="132" t="str">
        <f t="shared" si="123"/>
        <v>NO CERT.</v>
      </c>
      <c r="S1259" s="132" t="e">
        <f t="shared" si="124"/>
        <v>#N/A</v>
      </c>
      <c r="T1259" s="133" t="e">
        <f>+IF(J1259=LOOKUP(J1259,'CAFCO 300 IDIEM TABLAS'!$J$4:$J$40),'CALCULO MORTERO'!J1259,MROUND('CALCULO MORTERO'!J1259,10))</f>
        <v>#N/A</v>
      </c>
      <c r="U1259" s="134">
        <f t="shared" si="125"/>
        <v>0</v>
      </c>
    </row>
    <row r="1260" spans="1:21" x14ac:dyDescent="0.25">
      <c r="A1260" s="118">
        <f>+CUBICACION!D1254</f>
        <v>0</v>
      </c>
      <c r="B1260" s="819">
        <f>+CUBICACION!E1254</f>
        <v>0</v>
      </c>
      <c r="C1260" s="675">
        <f>+CUBICACION!F1254</f>
        <v>0</v>
      </c>
      <c r="D1260" s="118"/>
      <c r="E1260" s="118"/>
      <c r="F1260" s="820"/>
      <c r="G1260" s="675">
        <f>+CUBICACION!J1254</f>
        <v>0</v>
      </c>
      <c r="H1260" s="118"/>
      <c r="I1260" s="821">
        <f>+CUBICACION!L1254</f>
        <v>0</v>
      </c>
      <c r="J1260" s="64">
        <f>+CUBICACION!M1254</f>
        <v>0</v>
      </c>
      <c r="K1260" s="822" t="str">
        <f>+CUBICACION!N1254</f>
        <v/>
      </c>
      <c r="L1260" s="118">
        <f>+CUBICACION!O1254</f>
        <v>0</v>
      </c>
      <c r="M1260" s="823">
        <f>+CUBICACION!P1254</f>
        <v>0</v>
      </c>
      <c r="N1260" s="902">
        <f>ROUND(IF(AND(L1260="Blaze Shield II",M1260="Software Idiem",C1260="IN",G1260=4),((('BLAZE SHIELD II'!$D$4*('CALCULO MORTERO'!I1260^2)+'BLAZE SHIELD II'!$D$5*'CALCULO MORTERO'!I1260+'BLAZE SHIELD II'!$D$6)*LN(J1260))+('BLAZE SHIELD II'!$D$7*('CALCULO MORTERO'!I1260^2)+'BLAZE SHIELD II'!$D$8*'CALCULO MORTERO'!I1260+'BLAZE SHIELD II'!$D$9)),0)+IF(AND(L1260="Blaze Shield II",M1260="Software Idiem",C1260="Cj"),((('BLAZE SHIELD II'!$H$4*('CALCULO MORTERO'!I1260^2)+'BLAZE SHIELD II'!$H$5*'CALCULO MORTERO'!I1260+'BLAZE SHIELD II'!$H$6)*LN(J1260))+('BLAZE SHIELD II'!$H$7*('CALCULO MORTERO'!I1260^2)+'BLAZE SHIELD II'!$H$8*'CALCULO MORTERO'!I1260+'BLAZE SHIELD II'!$H$9)),0)+IF(AND(L1260="Blaze Shield II",M1260="Software Idiem",C1260="C"),((('BLAZE SHIELD II'!$L$4*('CALCULO MORTERO'!I1260^2)+'BLAZE SHIELD II'!$L$5*'CALCULO MORTERO'!I1260+'BLAZE SHIELD II'!$L$6)*LN(J1260))+('BLAZE SHIELD II'!$L$7*('CALCULO MORTERO'!I1260^2)+'BLAZE SHIELD II'!$L$8*'CALCULO MORTERO'!I1260+'BLAZE SHIELD II'!$L$9)),0)+IF(AND(L1260="Blaze Shield II",M1260="Software Idiem",C1260="L"),((('BLAZE SHIELD II'!$L$4*('CALCULO MORTERO'!I1260^2)+'BLAZE SHIELD II'!$L$5*'CALCULO MORTERO'!I1260+'BLAZE SHIELD II'!$L$6)*LN(J1260))+('BLAZE SHIELD II'!$L$7*('CALCULO MORTERO'!I1260^2)+'BLAZE SHIELD II'!$L$8*'CALCULO MORTERO'!I1260+'BLAZE SHIELD II'!$L$9)),0)+IF(AND(L1260="Blaze Shield II",M1260="Software Idiem",C1260="IN",G1260=3),((('BLAZE SHIELD II'!$H$14*('CALCULO MORTERO'!I1260^2)+'BLAZE SHIELD II'!$H$15*'CALCULO MORTERO'!I1260+'BLAZE SHIELD II'!$H$16)*LN(J1260))+('BLAZE SHIELD II'!$H$17*('CALCULO MORTERO'!I1260^2)+'BLAZE SHIELD II'!$H$18*'CALCULO MORTERO'!I1260+'BLAZE SHIELD II'!$H$19)),0),0)+ROUND(IF(AND(L1260="Cafco 400",M1260="Software Idiem",C1260="IN",G1260=4),((('CAFCO 400 '!$H$7*(J1260^4)+'CAFCO 400 '!$H$8*(J1260^3)+'CAFCO 400 '!$H$9*(J1260^2)+'CAFCO 400 '!$H$10*J1260+'CAFCO 400 '!$H$11)*U1260^2)+(('CAFCO 400 '!$H$12*(J1260^3)+'CAFCO 400 '!$H$13*(J1260^2)+'CAFCO 400 '!$H$14*J1260+'CAFCO 400 '!$H$15)*U1260)+('CAFCO 400 '!$H$16*(J1260^2)+'CAFCO 400 '!$H$17*J1260+'CAFCO 400 '!$H$18)),0)+IF(AND(L1260="Cafco 400",M1260="Software Idiem",C1260="Cj"),(((('CAFCO 400 '!$D$7*LN(J1260)+'CAFCO 400 '!$D$8)*U1260^2)+(('CAFCO 400 '!$D$9*LN(J1260)+'CAFCO 400 '!$D$10)*U1260)+('CAFCO 400 '!$D$11*LN(J1260)+'CAFCO 400 '!$D$12))),0)+IF(AND(L1260="Cafco 400",M1260="Software Idiem",C1260="C"),((('CAFCO 400 '!$L$7*(J1260^3)+'CAFCO 400 '!$L$8*(J1260^2)+'CAFCO 400 '!$L$9*J1260+'CAFCO 400 '!$L$10)*U1260^2)+(('CAFCO 400 '!$L$11*(J1260^3)+'CAFCO 400 '!$L$12*(J1260^2)+'CAFCO 400 '!$L$13*J1260+'CAFCO 400 '!$L$14)*U1260)+('CAFCO 400 '!$L$15*LN(J1260)+'CAFCO 400 '!$L$16)),0)+IF(AND(L1260="Cafco 400",M1260="Software Idiem",C1260="L"),((('CAFCO 400 '!$L$7*(J1260^3)+'CAFCO 400 '!$L$8*(J1260^2)+'CAFCO 400 '!$L$9*J1260+'CAFCO 400 '!$L$10)*U1260^2)+(('CAFCO 400 '!$L$11*(J1260^3)+'CAFCO 400 '!$L$12*(J1260^2)+'CAFCO 400 '!$L$13*J1260+'CAFCO 400 '!$L$14)*U1260)+('CAFCO 400 '!$L$15*LN(J1260)+'CAFCO 400 '!$L$16)),0)+IF(AND(L1260="Cafco 400",M1260="Software Idiem",C1260="IN",G1260=3),((('CAFCO 400 '!$D$23*(J1260^2)+'CAFCO 400 '!$D$24*(J1260)+'CAFCO 400 '!$D$25)*U1260^2)+(('CAFCO 400 '!$D$26*(J1260^2)+'CAFCO 400 '!$D$27*J1260+'CAFCO 400 '!$D$28)*U1260)+('CAFCO 400 '!$D$29*(J1260^2)+'CAFCO 400 '!$D$30*J1260+'CAFCO 400 '!$D$31)),0),0)+IF(AND(L1260="Cafco 300",J1260&gt;=95,J1260&lt;=240,C1260="Cj",I1260=90),VLOOKUP(T1260,'CAFCO 300 IDIEM TABLAS'!$B$4:$D$23,2,FALSE),0)+IF(AND(L1260="Cafco 300",J1260&gt;=95,J1260&lt;=240,C1260="Cj",I1260=120),VLOOKUP(T1260,'CAFCO 300 IDIEM TABLAS'!$B$4:$D$23,3,FALSE),0)+IF(AND(L1260="Cafco 300",J1260&gt;=95,J1260&lt;=400,G1260=3,C1260="IN",I1260=90),VLOOKUP(T1260,'CAFCO 300 IDIEM TABLAS'!$F$4:$H$35,2,FALSE),0)+IF(AND(L1260="Cafco 300",J1260&gt;=95,J1260&lt;=400,G1260=3,C1260="IN",I1260=120),VLOOKUP(T1260,'CAFCO 300 IDIEM TABLAS'!$F$4:$H$35,3,FALSE),0)+IF(AND(L1260="Cafco 300",J1260&gt;=95,J1260&lt;=450,G1260=4,C1260="IN",I1260=90),VLOOKUP(T1260,'CAFCO 300 IDIEM TABLAS'!$J$4:$L$40,2,FALSE),0)+IF(AND(L1260="Cafco 300",J1260&gt;=95,J1260&lt;=450,G1260=4,C1260="IN",I1260=120),VLOOKUP(T1260,'CAFCO 300 IDIEM TABLAS'!$J$4:$L$40,3,FALSE),0)+IF(AND(M1260="Ensayo Idiem",L1260="Cafco 400",C1260="IN",G1260=4,I1260=90),VLOOKUP(T1260,'CAFCO 400 ENSAYO'!$B$7:$D$43,2,FALSE),0)+IF(AND(M1260="Ensayo Idiem",L1260="Cafco 400",C1260="IN",G1260=4,I1260=120),VLOOKUP(T1260,'CAFCO 400 ENSAYO'!$B$7:$D$43,3,FALSE),0)</f>
        <v>0</v>
      </c>
      <c r="O1260" s="96">
        <f t="shared" si="126"/>
        <v>0</v>
      </c>
      <c r="P1260" s="95" t="str">
        <f t="shared" si="121"/>
        <v>N/A</v>
      </c>
      <c r="Q1260" s="95" t="str">
        <f t="shared" si="122"/>
        <v>N/A</v>
      </c>
      <c r="R1260" s="95" t="str">
        <f t="shared" si="123"/>
        <v>NO CERT.</v>
      </c>
      <c r="S1260" s="95" t="e">
        <f t="shared" si="124"/>
        <v>#N/A</v>
      </c>
      <c r="T1260" s="119" t="e">
        <f>+IF(J1260=LOOKUP(J1260,'CAFCO 300 IDIEM TABLAS'!$J$4:$J$40),'CALCULO MORTERO'!J1260,MROUND('CALCULO MORTERO'!J1260,10))</f>
        <v>#N/A</v>
      </c>
      <c r="U1260" s="118">
        <f t="shared" si="125"/>
        <v>0</v>
      </c>
    </row>
    <row r="1261" spans="1:21" x14ac:dyDescent="0.25">
      <c r="A1261" s="118">
        <f>+CUBICACION!D1255</f>
        <v>0</v>
      </c>
      <c r="B1261" s="819">
        <f>+CUBICACION!E1255</f>
        <v>0</v>
      </c>
      <c r="C1261" s="675">
        <f>+CUBICACION!F1255</f>
        <v>0</v>
      </c>
      <c r="D1261" s="118"/>
      <c r="E1261" s="118"/>
      <c r="F1261" s="820"/>
      <c r="G1261" s="675">
        <f>+CUBICACION!J1255</f>
        <v>0</v>
      </c>
      <c r="H1261" s="118"/>
      <c r="I1261" s="821">
        <f>+CUBICACION!L1255</f>
        <v>0</v>
      </c>
      <c r="J1261" s="64">
        <f>+CUBICACION!M1255</f>
        <v>0</v>
      </c>
      <c r="K1261" s="822" t="str">
        <f>+CUBICACION!N1255</f>
        <v/>
      </c>
      <c r="L1261" s="118">
        <f>+CUBICACION!O1255</f>
        <v>0</v>
      </c>
      <c r="M1261" s="823">
        <f>+CUBICACION!P1255</f>
        <v>0</v>
      </c>
      <c r="N1261" s="902">
        <f>ROUND(IF(AND(L1261="Blaze Shield II",M1261="Software Idiem",C1261="IN",G1261=4),((('BLAZE SHIELD II'!$D$4*('CALCULO MORTERO'!I1261^2)+'BLAZE SHIELD II'!$D$5*'CALCULO MORTERO'!I1261+'BLAZE SHIELD II'!$D$6)*LN(J1261))+('BLAZE SHIELD II'!$D$7*('CALCULO MORTERO'!I1261^2)+'BLAZE SHIELD II'!$D$8*'CALCULO MORTERO'!I1261+'BLAZE SHIELD II'!$D$9)),0)+IF(AND(L1261="Blaze Shield II",M1261="Software Idiem",C1261="Cj"),((('BLAZE SHIELD II'!$H$4*('CALCULO MORTERO'!I1261^2)+'BLAZE SHIELD II'!$H$5*'CALCULO MORTERO'!I1261+'BLAZE SHIELD II'!$H$6)*LN(J1261))+('BLAZE SHIELD II'!$H$7*('CALCULO MORTERO'!I1261^2)+'BLAZE SHIELD II'!$H$8*'CALCULO MORTERO'!I1261+'BLAZE SHIELD II'!$H$9)),0)+IF(AND(L1261="Blaze Shield II",M1261="Software Idiem",C1261="C"),((('BLAZE SHIELD II'!$L$4*('CALCULO MORTERO'!I1261^2)+'BLAZE SHIELD II'!$L$5*'CALCULO MORTERO'!I1261+'BLAZE SHIELD II'!$L$6)*LN(J1261))+('BLAZE SHIELD II'!$L$7*('CALCULO MORTERO'!I1261^2)+'BLAZE SHIELD II'!$L$8*'CALCULO MORTERO'!I1261+'BLAZE SHIELD II'!$L$9)),0)+IF(AND(L1261="Blaze Shield II",M1261="Software Idiem",C1261="L"),((('BLAZE SHIELD II'!$L$4*('CALCULO MORTERO'!I1261^2)+'BLAZE SHIELD II'!$L$5*'CALCULO MORTERO'!I1261+'BLAZE SHIELD II'!$L$6)*LN(J1261))+('BLAZE SHIELD II'!$L$7*('CALCULO MORTERO'!I1261^2)+'BLAZE SHIELD II'!$L$8*'CALCULO MORTERO'!I1261+'BLAZE SHIELD II'!$L$9)),0)+IF(AND(L1261="Blaze Shield II",M1261="Software Idiem",C1261="IN",G1261=3),((('BLAZE SHIELD II'!$H$14*('CALCULO MORTERO'!I1261^2)+'BLAZE SHIELD II'!$H$15*'CALCULO MORTERO'!I1261+'BLAZE SHIELD II'!$H$16)*LN(J1261))+('BLAZE SHIELD II'!$H$17*('CALCULO MORTERO'!I1261^2)+'BLAZE SHIELD II'!$H$18*'CALCULO MORTERO'!I1261+'BLAZE SHIELD II'!$H$19)),0),0)+ROUND(IF(AND(L1261="Cafco 400",M1261="Software Idiem",C1261="IN",G1261=4),((('CAFCO 400 '!$H$7*(J1261^4)+'CAFCO 400 '!$H$8*(J1261^3)+'CAFCO 400 '!$H$9*(J1261^2)+'CAFCO 400 '!$H$10*J1261+'CAFCO 400 '!$H$11)*U1261^2)+(('CAFCO 400 '!$H$12*(J1261^3)+'CAFCO 400 '!$H$13*(J1261^2)+'CAFCO 400 '!$H$14*J1261+'CAFCO 400 '!$H$15)*U1261)+('CAFCO 400 '!$H$16*(J1261^2)+'CAFCO 400 '!$H$17*J1261+'CAFCO 400 '!$H$18)),0)+IF(AND(L1261="Cafco 400",M1261="Software Idiem",C1261="Cj"),(((('CAFCO 400 '!$D$7*LN(J1261)+'CAFCO 400 '!$D$8)*U1261^2)+(('CAFCO 400 '!$D$9*LN(J1261)+'CAFCO 400 '!$D$10)*U1261)+('CAFCO 400 '!$D$11*LN(J1261)+'CAFCO 400 '!$D$12))),0)+IF(AND(L1261="Cafco 400",M1261="Software Idiem",C1261="C"),((('CAFCO 400 '!$L$7*(J1261^3)+'CAFCO 400 '!$L$8*(J1261^2)+'CAFCO 400 '!$L$9*J1261+'CAFCO 400 '!$L$10)*U1261^2)+(('CAFCO 400 '!$L$11*(J1261^3)+'CAFCO 400 '!$L$12*(J1261^2)+'CAFCO 400 '!$L$13*J1261+'CAFCO 400 '!$L$14)*U1261)+('CAFCO 400 '!$L$15*LN(J1261)+'CAFCO 400 '!$L$16)),0)+IF(AND(L1261="Cafco 400",M1261="Software Idiem",C1261="L"),((('CAFCO 400 '!$L$7*(J1261^3)+'CAFCO 400 '!$L$8*(J1261^2)+'CAFCO 400 '!$L$9*J1261+'CAFCO 400 '!$L$10)*U1261^2)+(('CAFCO 400 '!$L$11*(J1261^3)+'CAFCO 400 '!$L$12*(J1261^2)+'CAFCO 400 '!$L$13*J1261+'CAFCO 400 '!$L$14)*U1261)+('CAFCO 400 '!$L$15*LN(J1261)+'CAFCO 400 '!$L$16)),0)+IF(AND(L1261="Cafco 400",M1261="Software Idiem",C1261="IN",G1261=3),((('CAFCO 400 '!$D$23*(J1261^2)+'CAFCO 400 '!$D$24*(J1261)+'CAFCO 400 '!$D$25)*U1261^2)+(('CAFCO 400 '!$D$26*(J1261^2)+'CAFCO 400 '!$D$27*J1261+'CAFCO 400 '!$D$28)*U1261)+('CAFCO 400 '!$D$29*(J1261^2)+'CAFCO 400 '!$D$30*J1261+'CAFCO 400 '!$D$31)),0),0)+IF(AND(L1261="Cafco 300",J1261&gt;=95,J1261&lt;=240,C1261="Cj",I1261=90),VLOOKUP(T1261,'CAFCO 300 IDIEM TABLAS'!$B$4:$D$23,2,FALSE),0)+IF(AND(L1261="Cafco 300",J1261&gt;=95,J1261&lt;=240,C1261="Cj",I1261=120),VLOOKUP(T1261,'CAFCO 300 IDIEM TABLAS'!$B$4:$D$23,3,FALSE),0)+IF(AND(L1261="Cafco 300",J1261&gt;=95,J1261&lt;=400,G1261=3,C1261="IN",I1261=90),VLOOKUP(T1261,'CAFCO 300 IDIEM TABLAS'!$F$4:$H$35,2,FALSE),0)+IF(AND(L1261="Cafco 300",J1261&gt;=95,J1261&lt;=400,G1261=3,C1261="IN",I1261=120),VLOOKUP(T1261,'CAFCO 300 IDIEM TABLAS'!$F$4:$H$35,3,FALSE),0)+IF(AND(L1261="Cafco 300",J1261&gt;=95,J1261&lt;=450,G1261=4,C1261="IN",I1261=90),VLOOKUP(T1261,'CAFCO 300 IDIEM TABLAS'!$J$4:$L$40,2,FALSE),0)+IF(AND(L1261="Cafco 300",J1261&gt;=95,J1261&lt;=450,G1261=4,C1261="IN",I1261=120),VLOOKUP(T1261,'CAFCO 300 IDIEM TABLAS'!$J$4:$L$40,3,FALSE),0)+IF(AND(M1261="Ensayo Idiem",L1261="Cafco 400",C1261="IN",G1261=4,I1261=90),VLOOKUP(T1261,'CAFCO 400 ENSAYO'!$B$7:$D$43,2,FALSE),0)+IF(AND(M1261="Ensayo Idiem",L1261="Cafco 400",C1261="IN",G1261=4,I1261=120),VLOOKUP(T1261,'CAFCO 400 ENSAYO'!$B$7:$D$43,3,FALSE),0)</f>
        <v>0</v>
      </c>
      <c r="O1261" s="96">
        <f t="shared" si="126"/>
        <v>0</v>
      </c>
      <c r="P1261" s="132" t="str">
        <f t="shared" si="121"/>
        <v>N/A</v>
      </c>
      <c r="Q1261" s="132" t="str">
        <f t="shared" si="122"/>
        <v>N/A</v>
      </c>
      <c r="R1261" s="132" t="str">
        <f t="shared" si="123"/>
        <v>NO CERT.</v>
      </c>
      <c r="S1261" s="132" t="e">
        <f t="shared" si="124"/>
        <v>#N/A</v>
      </c>
      <c r="T1261" s="133" t="e">
        <f>+IF(J1261=LOOKUP(J1261,'CAFCO 300 IDIEM TABLAS'!$J$4:$J$40),'CALCULO MORTERO'!J1261,MROUND('CALCULO MORTERO'!J1261,10))</f>
        <v>#N/A</v>
      </c>
      <c r="U1261" s="134">
        <f t="shared" si="125"/>
        <v>0</v>
      </c>
    </row>
    <row r="1262" spans="1:21" x14ac:dyDescent="0.25">
      <c r="A1262" s="118">
        <f>+CUBICACION!D1256</f>
        <v>0</v>
      </c>
      <c r="B1262" s="819">
        <f>+CUBICACION!E1256</f>
        <v>0</v>
      </c>
      <c r="C1262" s="675">
        <f>+CUBICACION!F1256</f>
        <v>0</v>
      </c>
      <c r="D1262" s="118"/>
      <c r="E1262" s="118"/>
      <c r="F1262" s="820"/>
      <c r="G1262" s="675">
        <f>+CUBICACION!J1256</f>
        <v>0</v>
      </c>
      <c r="H1262" s="118"/>
      <c r="I1262" s="821">
        <f>+CUBICACION!L1256</f>
        <v>0</v>
      </c>
      <c r="J1262" s="64">
        <f>+CUBICACION!M1256</f>
        <v>0</v>
      </c>
      <c r="K1262" s="822" t="str">
        <f>+CUBICACION!N1256</f>
        <v/>
      </c>
      <c r="L1262" s="118">
        <f>+CUBICACION!O1256</f>
        <v>0</v>
      </c>
      <c r="M1262" s="823">
        <f>+CUBICACION!P1256</f>
        <v>0</v>
      </c>
      <c r="N1262" s="902">
        <f>ROUND(IF(AND(L1262="Blaze Shield II",M1262="Software Idiem",C1262="IN",G1262=4),((('BLAZE SHIELD II'!$D$4*('CALCULO MORTERO'!I1262^2)+'BLAZE SHIELD II'!$D$5*'CALCULO MORTERO'!I1262+'BLAZE SHIELD II'!$D$6)*LN(J1262))+('BLAZE SHIELD II'!$D$7*('CALCULO MORTERO'!I1262^2)+'BLAZE SHIELD II'!$D$8*'CALCULO MORTERO'!I1262+'BLAZE SHIELD II'!$D$9)),0)+IF(AND(L1262="Blaze Shield II",M1262="Software Idiem",C1262="Cj"),((('BLAZE SHIELD II'!$H$4*('CALCULO MORTERO'!I1262^2)+'BLAZE SHIELD II'!$H$5*'CALCULO MORTERO'!I1262+'BLAZE SHIELD II'!$H$6)*LN(J1262))+('BLAZE SHIELD II'!$H$7*('CALCULO MORTERO'!I1262^2)+'BLAZE SHIELD II'!$H$8*'CALCULO MORTERO'!I1262+'BLAZE SHIELD II'!$H$9)),0)+IF(AND(L1262="Blaze Shield II",M1262="Software Idiem",C1262="C"),((('BLAZE SHIELD II'!$L$4*('CALCULO MORTERO'!I1262^2)+'BLAZE SHIELD II'!$L$5*'CALCULO MORTERO'!I1262+'BLAZE SHIELD II'!$L$6)*LN(J1262))+('BLAZE SHIELD II'!$L$7*('CALCULO MORTERO'!I1262^2)+'BLAZE SHIELD II'!$L$8*'CALCULO MORTERO'!I1262+'BLAZE SHIELD II'!$L$9)),0)+IF(AND(L1262="Blaze Shield II",M1262="Software Idiem",C1262="L"),((('BLAZE SHIELD II'!$L$4*('CALCULO MORTERO'!I1262^2)+'BLAZE SHIELD II'!$L$5*'CALCULO MORTERO'!I1262+'BLAZE SHIELD II'!$L$6)*LN(J1262))+('BLAZE SHIELD II'!$L$7*('CALCULO MORTERO'!I1262^2)+'BLAZE SHIELD II'!$L$8*'CALCULO MORTERO'!I1262+'BLAZE SHIELD II'!$L$9)),0)+IF(AND(L1262="Blaze Shield II",M1262="Software Idiem",C1262="IN",G1262=3),((('BLAZE SHIELD II'!$H$14*('CALCULO MORTERO'!I1262^2)+'BLAZE SHIELD II'!$H$15*'CALCULO MORTERO'!I1262+'BLAZE SHIELD II'!$H$16)*LN(J1262))+('BLAZE SHIELD II'!$H$17*('CALCULO MORTERO'!I1262^2)+'BLAZE SHIELD II'!$H$18*'CALCULO MORTERO'!I1262+'BLAZE SHIELD II'!$H$19)),0),0)+ROUND(IF(AND(L1262="Cafco 400",M1262="Software Idiem",C1262="IN",G1262=4),((('CAFCO 400 '!$H$7*(J1262^4)+'CAFCO 400 '!$H$8*(J1262^3)+'CAFCO 400 '!$H$9*(J1262^2)+'CAFCO 400 '!$H$10*J1262+'CAFCO 400 '!$H$11)*U1262^2)+(('CAFCO 400 '!$H$12*(J1262^3)+'CAFCO 400 '!$H$13*(J1262^2)+'CAFCO 400 '!$H$14*J1262+'CAFCO 400 '!$H$15)*U1262)+('CAFCO 400 '!$H$16*(J1262^2)+'CAFCO 400 '!$H$17*J1262+'CAFCO 400 '!$H$18)),0)+IF(AND(L1262="Cafco 400",M1262="Software Idiem",C1262="Cj"),(((('CAFCO 400 '!$D$7*LN(J1262)+'CAFCO 400 '!$D$8)*U1262^2)+(('CAFCO 400 '!$D$9*LN(J1262)+'CAFCO 400 '!$D$10)*U1262)+('CAFCO 400 '!$D$11*LN(J1262)+'CAFCO 400 '!$D$12))),0)+IF(AND(L1262="Cafco 400",M1262="Software Idiem",C1262="C"),((('CAFCO 400 '!$L$7*(J1262^3)+'CAFCO 400 '!$L$8*(J1262^2)+'CAFCO 400 '!$L$9*J1262+'CAFCO 400 '!$L$10)*U1262^2)+(('CAFCO 400 '!$L$11*(J1262^3)+'CAFCO 400 '!$L$12*(J1262^2)+'CAFCO 400 '!$L$13*J1262+'CAFCO 400 '!$L$14)*U1262)+('CAFCO 400 '!$L$15*LN(J1262)+'CAFCO 400 '!$L$16)),0)+IF(AND(L1262="Cafco 400",M1262="Software Idiem",C1262="L"),((('CAFCO 400 '!$L$7*(J1262^3)+'CAFCO 400 '!$L$8*(J1262^2)+'CAFCO 400 '!$L$9*J1262+'CAFCO 400 '!$L$10)*U1262^2)+(('CAFCO 400 '!$L$11*(J1262^3)+'CAFCO 400 '!$L$12*(J1262^2)+'CAFCO 400 '!$L$13*J1262+'CAFCO 400 '!$L$14)*U1262)+('CAFCO 400 '!$L$15*LN(J1262)+'CAFCO 400 '!$L$16)),0)+IF(AND(L1262="Cafco 400",M1262="Software Idiem",C1262="IN",G1262=3),((('CAFCO 400 '!$D$23*(J1262^2)+'CAFCO 400 '!$D$24*(J1262)+'CAFCO 400 '!$D$25)*U1262^2)+(('CAFCO 400 '!$D$26*(J1262^2)+'CAFCO 400 '!$D$27*J1262+'CAFCO 400 '!$D$28)*U1262)+('CAFCO 400 '!$D$29*(J1262^2)+'CAFCO 400 '!$D$30*J1262+'CAFCO 400 '!$D$31)),0),0)+IF(AND(L1262="Cafco 300",J1262&gt;=95,J1262&lt;=240,C1262="Cj",I1262=90),VLOOKUP(T1262,'CAFCO 300 IDIEM TABLAS'!$B$4:$D$23,2,FALSE),0)+IF(AND(L1262="Cafco 300",J1262&gt;=95,J1262&lt;=240,C1262="Cj",I1262=120),VLOOKUP(T1262,'CAFCO 300 IDIEM TABLAS'!$B$4:$D$23,3,FALSE),0)+IF(AND(L1262="Cafco 300",J1262&gt;=95,J1262&lt;=400,G1262=3,C1262="IN",I1262=90),VLOOKUP(T1262,'CAFCO 300 IDIEM TABLAS'!$F$4:$H$35,2,FALSE),0)+IF(AND(L1262="Cafco 300",J1262&gt;=95,J1262&lt;=400,G1262=3,C1262="IN",I1262=120),VLOOKUP(T1262,'CAFCO 300 IDIEM TABLAS'!$F$4:$H$35,3,FALSE),0)+IF(AND(L1262="Cafco 300",J1262&gt;=95,J1262&lt;=450,G1262=4,C1262="IN",I1262=90),VLOOKUP(T1262,'CAFCO 300 IDIEM TABLAS'!$J$4:$L$40,2,FALSE),0)+IF(AND(L1262="Cafco 300",J1262&gt;=95,J1262&lt;=450,G1262=4,C1262="IN",I1262=120),VLOOKUP(T1262,'CAFCO 300 IDIEM TABLAS'!$J$4:$L$40,3,FALSE),0)+IF(AND(M1262="Ensayo Idiem",L1262="Cafco 400",C1262="IN",G1262=4,I1262=90),VLOOKUP(T1262,'CAFCO 400 ENSAYO'!$B$7:$D$43,2,FALSE),0)+IF(AND(M1262="Ensayo Idiem",L1262="Cafco 400",C1262="IN",G1262=4,I1262=120),VLOOKUP(T1262,'CAFCO 400 ENSAYO'!$B$7:$D$43,3,FALSE),0)</f>
        <v>0</v>
      </c>
      <c r="O1262" s="96">
        <f t="shared" si="126"/>
        <v>0</v>
      </c>
      <c r="P1262" s="95" t="str">
        <f t="shared" si="121"/>
        <v>N/A</v>
      </c>
      <c r="Q1262" s="95" t="str">
        <f t="shared" si="122"/>
        <v>N/A</v>
      </c>
      <c r="R1262" s="95" t="str">
        <f t="shared" si="123"/>
        <v>NO CERT.</v>
      </c>
      <c r="S1262" s="95" t="e">
        <f t="shared" si="124"/>
        <v>#N/A</v>
      </c>
      <c r="T1262" s="119" t="e">
        <f>+IF(J1262=LOOKUP(J1262,'CAFCO 300 IDIEM TABLAS'!$J$4:$J$40),'CALCULO MORTERO'!J1262,MROUND('CALCULO MORTERO'!J1262,10))</f>
        <v>#N/A</v>
      </c>
      <c r="U1262" s="118">
        <f t="shared" si="125"/>
        <v>0</v>
      </c>
    </row>
    <row r="1263" spans="1:21" x14ac:dyDescent="0.25">
      <c r="A1263" s="118">
        <f>+CUBICACION!D1257</f>
        <v>0</v>
      </c>
      <c r="B1263" s="819">
        <f>+CUBICACION!E1257</f>
        <v>0</v>
      </c>
      <c r="C1263" s="675">
        <f>+CUBICACION!F1257</f>
        <v>0</v>
      </c>
      <c r="D1263" s="118"/>
      <c r="E1263" s="118"/>
      <c r="F1263" s="820"/>
      <c r="G1263" s="675">
        <f>+CUBICACION!J1257</f>
        <v>0</v>
      </c>
      <c r="H1263" s="118"/>
      <c r="I1263" s="821">
        <f>+CUBICACION!L1257</f>
        <v>0</v>
      </c>
      <c r="J1263" s="64">
        <f>+CUBICACION!M1257</f>
        <v>0</v>
      </c>
      <c r="K1263" s="822" t="str">
        <f>+CUBICACION!N1257</f>
        <v/>
      </c>
      <c r="L1263" s="118">
        <f>+CUBICACION!O1257</f>
        <v>0</v>
      </c>
      <c r="M1263" s="823">
        <f>+CUBICACION!P1257</f>
        <v>0</v>
      </c>
      <c r="N1263" s="902">
        <f>ROUND(IF(AND(L1263="Blaze Shield II",M1263="Software Idiem",C1263="IN",G1263=4),((('BLAZE SHIELD II'!$D$4*('CALCULO MORTERO'!I1263^2)+'BLAZE SHIELD II'!$D$5*'CALCULO MORTERO'!I1263+'BLAZE SHIELD II'!$D$6)*LN(J1263))+('BLAZE SHIELD II'!$D$7*('CALCULO MORTERO'!I1263^2)+'BLAZE SHIELD II'!$D$8*'CALCULO MORTERO'!I1263+'BLAZE SHIELD II'!$D$9)),0)+IF(AND(L1263="Blaze Shield II",M1263="Software Idiem",C1263="Cj"),((('BLAZE SHIELD II'!$H$4*('CALCULO MORTERO'!I1263^2)+'BLAZE SHIELD II'!$H$5*'CALCULO MORTERO'!I1263+'BLAZE SHIELD II'!$H$6)*LN(J1263))+('BLAZE SHIELD II'!$H$7*('CALCULO MORTERO'!I1263^2)+'BLAZE SHIELD II'!$H$8*'CALCULO MORTERO'!I1263+'BLAZE SHIELD II'!$H$9)),0)+IF(AND(L1263="Blaze Shield II",M1263="Software Idiem",C1263="C"),((('BLAZE SHIELD II'!$L$4*('CALCULO MORTERO'!I1263^2)+'BLAZE SHIELD II'!$L$5*'CALCULO MORTERO'!I1263+'BLAZE SHIELD II'!$L$6)*LN(J1263))+('BLAZE SHIELD II'!$L$7*('CALCULO MORTERO'!I1263^2)+'BLAZE SHIELD II'!$L$8*'CALCULO MORTERO'!I1263+'BLAZE SHIELD II'!$L$9)),0)+IF(AND(L1263="Blaze Shield II",M1263="Software Idiem",C1263="L"),((('BLAZE SHIELD II'!$L$4*('CALCULO MORTERO'!I1263^2)+'BLAZE SHIELD II'!$L$5*'CALCULO MORTERO'!I1263+'BLAZE SHIELD II'!$L$6)*LN(J1263))+('BLAZE SHIELD II'!$L$7*('CALCULO MORTERO'!I1263^2)+'BLAZE SHIELD II'!$L$8*'CALCULO MORTERO'!I1263+'BLAZE SHIELD II'!$L$9)),0)+IF(AND(L1263="Blaze Shield II",M1263="Software Idiem",C1263="IN",G1263=3),((('BLAZE SHIELD II'!$H$14*('CALCULO MORTERO'!I1263^2)+'BLAZE SHIELD II'!$H$15*'CALCULO MORTERO'!I1263+'BLAZE SHIELD II'!$H$16)*LN(J1263))+('BLAZE SHIELD II'!$H$17*('CALCULO MORTERO'!I1263^2)+'BLAZE SHIELD II'!$H$18*'CALCULO MORTERO'!I1263+'BLAZE SHIELD II'!$H$19)),0),0)+ROUND(IF(AND(L1263="Cafco 400",M1263="Software Idiem",C1263="IN",G1263=4),((('CAFCO 400 '!$H$7*(J1263^4)+'CAFCO 400 '!$H$8*(J1263^3)+'CAFCO 400 '!$H$9*(J1263^2)+'CAFCO 400 '!$H$10*J1263+'CAFCO 400 '!$H$11)*U1263^2)+(('CAFCO 400 '!$H$12*(J1263^3)+'CAFCO 400 '!$H$13*(J1263^2)+'CAFCO 400 '!$H$14*J1263+'CAFCO 400 '!$H$15)*U1263)+('CAFCO 400 '!$H$16*(J1263^2)+'CAFCO 400 '!$H$17*J1263+'CAFCO 400 '!$H$18)),0)+IF(AND(L1263="Cafco 400",M1263="Software Idiem",C1263="Cj"),(((('CAFCO 400 '!$D$7*LN(J1263)+'CAFCO 400 '!$D$8)*U1263^2)+(('CAFCO 400 '!$D$9*LN(J1263)+'CAFCO 400 '!$D$10)*U1263)+('CAFCO 400 '!$D$11*LN(J1263)+'CAFCO 400 '!$D$12))),0)+IF(AND(L1263="Cafco 400",M1263="Software Idiem",C1263="C"),((('CAFCO 400 '!$L$7*(J1263^3)+'CAFCO 400 '!$L$8*(J1263^2)+'CAFCO 400 '!$L$9*J1263+'CAFCO 400 '!$L$10)*U1263^2)+(('CAFCO 400 '!$L$11*(J1263^3)+'CAFCO 400 '!$L$12*(J1263^2)+'CAFCO 400 '!$L$13*J1263+'CAFCO 400 '!$L$14)*U1263)+('CAFCO 400 '!$L$15*LN(J1263)+'CAFCO 400 '!$L$16)),0)+IF(AND(L1263="Cafco 400",M1263="Software Idiem",C1263="L"),((('CAFCO 400 '!$L$7*(J1263^3)+'CAFCO 400 '!$L$8*(J1263^2)+'CAFCO 400 '!$L$9*J1263+'CAFCO 400 '!$L$10)*U1263^2)+(('CAFCO 400 '!$L$11*(J1263^3)+'CAFCO 400 '!$L$12*(J1263^2)+'CAFCO 400 '!$L$13*J1263+'CAFCO 400 '!$L$14)*U1263)+('CAFCO 400 '!$L$15*LN(J1263)+'CAFCO 400 '!$L$16)),0)+IF(AND(L1263="Cafco 400",M1263="Software Idiem",C1263="IN",G1263=3),((('CAFCO 400 '!$D$23*(J1263^2)+'CAFCO 400 '!$D$24*(J1263)+'CAFCO 400 '!$D$25)*U1263^2)+(('CAFCO 400 '!$D$26*(J1263^2)+'CAFCO 400 '!$D$27*J1263+'CAFCO 400 '!$D$28)*U1263)+('CAFCO 400 '!$D$29*(J1263^2)+'CAFCO 400 '!$D$30*J1263+'CAFCO 400 '!$D$31)),0),0)+IF(AND(L1263="Cafco 300",J1263&gt;=95,J1263&lt;=240,C1263="Cj",I1263=90),VLOOKUP(T1263,'CAFCO 300 IDIEM TABLAS'!$B$4:$D$23,2,FALSE),0)+IF(AND(L1263="Cafco 300",J1263&gt;=95,J1263&lt;=240,C1263="Cj",I1263=120),VLOOKUP(T1263,'CAFCO 300 IDIEM TABLAS'!$B$4:$D$23,3,FALSE),0)+IF(AND(L1263="Cafco 300",J1263&gt;=95,J1263&lt;=400,G1263=3,C1263="IN",I1263=90),VLOOKUP(T1263,'CAFCO 300 IDIEM TABLAS'!$F$4:$H$35,2,FALSE),0)+IF(AND(L1263="Cafco 300",J1263&gt;=95,J1263&lt;=400,G1263=3,C1263="IN",I1263=120),VLOOKUP(T1263,'CAFCO 300 IDIEM TABLAS'!$F$4:$H$35,3,FALSE),0)+IF(AND(L1263="Cafco 300",J1263&gt;=95,J1263&lt;=450,G1263=4,C1263="IN",I1263=90),VLOOKUP(T1263,'CAFCO 300 IDIEM TABLAS'!$J$4:$L$40,2,FALSE),0)+IF(AND(L1263="Cafco 300",J1263&gt;=95,J1263&lt;=450,G1263=4,C1263="IN",I1263=120),VLOOKUP(T1263,'CAFCO 300 IDIEM TABLAS'!$J$4:$L$40,3,FALSE),0)+IF(AND(M1263="Ensayo Idiem",L1263="Cafco 400",C1263="IN",G1263=4,I1263=90),VLOOKUP(T1263,'CAFCO 400 ENSAYO'!$B$7:$D$43,2,FALSE),0)+IF(AND(M1263="Ensayo Idiem",L1263="Cafco 400",C1263="IN",G1263=4,I1263=120),VLOOKUP(T1263,'CAFCO 400 ENSAYO'!$B$7:$D$43,3,FALSE),0)</f>
        <v>0</v>
      </c>
      <c r="O1263" s="96">
        <f t="shared" si="126"/>
        <v>0</v>
      </c>
      <c r="P1263" s="132" t="str">
        <f t="shared" si="121"/>
        <v>N/A</v>
      </c>
      <c r="Q1263" s="132" t="str">
        <f t="shared" si="122"/>
        <v>N/A</v>
      </c>
      <c r="R1263" s="132" t="str">
        <f t="shared" si="123"/>
        <v>NO CERT.</v>
      </c>
      <c r="S1263" s="132" t="e">
        <f t="shared" si="124"/>
        <v>#N/A</v>
      </c>
      <c r="T1263" s="133" t="e">
        <f>+IF(J1263=LOOKUP(J1263,'CAFCO 300 IDIEM TABLAS'!$J$4:$J$40),'CALCULO MORTERO'!J1263,MROUND('CALCULO MORTERO'!J1263,10))</f>
        <v>#N/A</v>
      </c>
      <c r="U1263" s="134">
        <f t="shared" si="125"/>
        <v>0</v>
      </c>
    </row>
    <row r="1264" spans="1:21" x14ac:dyDescent="0.25">
      <c r="A1264" s="118">
        <f>+CUBICACION!D1258</f>
        <v>0</v>
      </c>
      <c r="B1264" s="819">
        <f>+CUBICACION!E1258</f>
        <v>0</v>
      </c>
      <c r="C1264" s="675">
        <f>+CUBICACION!F1258</f>
        <v>0</v>
      </c>
      <c r="D1264" s="118"/>
      <c r="E1264" s="118"/>
      <c r="F1264" s="820"/>
      <c r="G1264" s="675">
        <f>+CUBICACION!J1258</f>
        <v>0</v>
      </c>
      <c r="H1264" s="118"/>
      <c r="I1264" s="821">
        <f>+CUBICACION!L1258</f>
        <v>0</v>
      </c>
      <c r="J1264" s="64">
        <f>+CUBICACION!M1258</f>
        <v>0</v>
      </c>
      <c r="K1264" s="822" t="str">
        <f>+CUBICACION!N1258</f>
        <v/>
      </c>
      <c r="L1264" s="118">
        <f>+CUBICACION!O1258</f>
        <v>0</v>
      </c>
      <c r="M1264" s="823">
        <f>+CUBICACION!P1258</f>
        <v>0</v>
      </c>
      <c r="N1264" s="902">
        <f>ROUND(IF(AND(L1264="Blaze Shield II",M1264="Software Idiem",C1264="IN",G1264=4),((('BLAZE SHIELD II'!$D$4*('CALCULO MORTERO'!I1264^2)+'BLAZE SHIELD II'!$D$5*'CALCULO MORTERO'!I1264+'BLAZE SHIELD II'!$D$6)*LN(J1264))+('BLAZE SHIELD II'!$D$7*('CALCULO MORTERO'!I1264^2)+'BLAZE SHIELD II'!$D$8*'CALCULO MORTERO'!I1264+'BLAZE SHIELD II'!$D$9)),0)+IF(AND(L1264="Blaze Shield II",M1264="Software Idiem",C1264="Cj"),((('BLAZE SHIELD II'!$H$4*('CALCULO MORTERO'!I1264^2)+'BLAZE SHIELD II'!$H$5*'CALCULO MORTERO'!I1264+'BLAZE SHIELD II'!$H$6)*LN(J1264))+('BLAZE SHIELD II'!$H$7*('CALCULO MORTERO'!I1264^2)+'BLAZE SHIELD II'!$H$8*'CALCULO MORTERO'!I1264+'BLAZE SHIELD II'!$H$9)),0)+IF(AND(L1264="Blaze Shield II",M1264="Software Idiem",C1264="C"),((('BLAZE SHIELD II'!$L$4*('CALCULO MORTERO'!I1264^2)+'BLAZE SHIELD II'!$L$5*'CALCULO MORTERO'!I1264+'BLAZE SHIELD II'!$L$6)*LN(J1264))+('BLAZE SHIELD II'!$L$7*('CALCULO MORTERO'!I1264^2)+'BLAZE SHIELD II'!$L$8*'CALCULO MORTERO'!I1264+'BLAZE SHIELD II'!$L$9)),0)+IF(AND(L1264="Blaze Shield II",M1264="Software Idiem",C1264="L"),((('BLAZE SHIELD II'!$L$4*('CALCULO MORTERO'!I1264^2)+'BLAZE SHIELD II'!$L$5*'CALCULO MORTERO'!I1264+'BLAZE SHIELD II'!$L$6)*LN(J1264))+('BLAZE SHIELD II'!$L$7*('CALCULO MORTERO'!I1264^2)+'BLAZE SHIELD II'!$L$8*'CALCULO MORTERO'!I1264+'BLAZE SHIELD II'!$L$9)),0)+IF(AND(L1264="Blaze Shield II",M1264="Software Idiem",C1264="IN",G1264=3),((('BLAZE SHIELD II'!$H$14*('CALCULO MORTERO'!I1264^2)+'BLAZE SHIELD II'!$H$15*'CALCULO MORTERO'!I1264+'BLAZE SHIELD II'!$H$16)*LN(J1264))+('BLAZE SHIELD II'!$H$17*('CALCULO MORTERO'!I1264^2)+'BLAZE SHIELD II'!$H$18*'CALCULO MORTERO'!I1264+'BLAZE SHIELD II'!$H$19)),0),0)+ROUND(IF(AND(L1264="Cafco 400",M1264="Software Idiem",C1264="IN",G1264=4),((('CAFCO 400 '!$H$7*(J1264^4)+'CAFCO 400 '!$H$8*(J1264^3)+'CAFCO 400 '!$H$9*(J1264^2)+'CAFCO 400 '!$H$10*J1264+'CAFCO 400 '!$H$11)*U1264^2)+(('CAFCO 400 '!$H$12*(J1264^3)+'CAFCO 400 '!$H$13*(J1264^2)+'CAFCO 400 '!$H$14*J1264+'CAFCO 400 '!$H$15)*U1264)+('CAFCO 400 '!$H$16*(J1264^2)+'CAFCO 400 '!$H$17*J1264+'CAFCO 400 '!$H$18)),0)+IF(AND(L1264="Cafco 400",M1264="Software Idiem",C1264="Cj"),(((('CAFCO 400 '!$D$7*LN(J1264)+'CAFCO 400 '!$D$8)*U1264^2)+(('CAFCO 400 '!$D$9*LN(J1264)+'CAFCO 400 '!$D$10)*U1264)+('CAFCO 400 '!$D$11*LN(J1264)+'CAFCO 400 '!$D$12))),0)+IF(AND(L1264="Cafco 400",M1264="Software Idiem",C1264="C"),((('CAFCO 400 '!$L$7*(J1264^3)+'CAFCO 400 '!$L$8*(J1264^2)+'CAFCO 400 '!$L$9*J1264+'CAFCO 400 '!$L$10)*U1264^2)+(('CAFCO 400 '!$L$11*(J1264^3)+'CAFCO 400 '!$L$12*(J1264^2)+'CAFCO 400 '!$L$13*J1264+'CAFCO 400 '!$L$14)*U1264)+('CAFCO 400 '!$L$15*LN(J1264)+'CAFCO 400 '!$L$16)),0)+IF(AND(L1264="Cafco 400",M1264="Software Idiem",C1264="L"),((('CAFCO 400 '!$L$7*(J1264^3)+'CAFCO 400 '!$L$8*(J1264^2)+'CAFCO 400 '!$L$9*J1264+'CAFCO 400 '!$L$10)*U1264^2)+(('CAFCO 400 '!$L$11*(J1264^3)+'CAFCO 400 '!$L$12*(J1264^2)+'CAFCO 400 '!$L$13*J1264+'CAFCO 400 '!$L$14)*U1264)+('CAFCO 400 '!$L$15*LN(J1264)+'CAFCO 400 '!$L$16)),0)+IF(AND(L1264="Cafco 400",M1264="Software Idiem",C1264="IN",G1264=3),((('CAFCO 400 '!$D$23*(J1264^2)+'CAFCO 400 '!$D$24*(J1264)+'CAFCO 400 '!$D$25)*U1264^2)+(('CAFCO 400 '!$D$26*(J1264^2)+'CAFCO 400 '!$D$27*J1264+'CAFCO 400 '!$D$28)*U1264)+('CAFCO 400 '!$D$29*(J1264^2)+'CAFCO 400 '!$D$30*J1264+'CAFCO 400 '!$D$31)),0),0)+IF(AND(L1264="Cafco 300",J1264&gt;=95,J1264&lt;=240,C1264="Cj",I1264=90),VLOOKUP(T1264,'CAFCO 300 IDIEM TABLAS'!$B$4:$D$23,2,FALSE),0)+IF(AND(L1264="Cafco 300",J1264&gt;=95,J1264&lt;=240,C1264="Cj",I1264=120),VLOOKUP(T1264,'CAFCO 300 IDIEM TABLAS'!$B$4:$D$23,3,FALSE),0)+IF(AND(L1264="Cafco 300",J1264&gt;=95,J1264&lt;=400,G1264=3,C1264="IN",I1264=90),VLOOKUP(T1264,'CAFCO 300 IDIEM TABLAS'!$F$4:$H$35,2,FALSE),0)+IF(AND(L1264="Cafco 300",J1264&gt;=95,J1264&lt;=400,G1264=3,C1264="IN",I1264=120),VLOOKUP(T1264,'CAFCO 300 IDIEM TABLAS'!$F$4:$H$35,3,FALSE),0)+IF(AND(L1264="Cafco 300",J1264&gt;=95,J1264&lt;=450,G1264=4,C1264="IN",I1264=90),VLOOKUP(T1264,'CAFCO 300 IDIEM TABLAS'!$J$4:$L$40,2,FALSE),0)+IF(AND(L1264="Cafco 300",J1264&gt;=95,J1264&lt;=450,G1264=4,C1264="IN",I1264=120),VLOOKUP(T1264,'CAFCO 300 IDIEM TABLAS'!$J$4:$L$40,3,FALSE),0)+IF(AND(M1264="Ensayo Idiem",L1264="Cafco 400",C1264="IN",G1264=4,I1264=90),VLOOKUP(T1264,'CAFCO 400 ENSAYO'!$B$7:$D$43,2,FALSE),0)+IF(AND(M1264="Ensayo Idiem",L1264="Cafco 400",C1264="IN",G1264=4,I1264=120),VLOOKUP(T1264,'CAFCO 400 ENSAYO'!$B$7:$D$43,3,FALSE),0)</f>
        <v>0</v>
      </c>
      <c r="O1264" s="96">
        <f t="shared" si="126"/>
        <v>0</v>
      </c>
      <c r="P1264" s="95" t="str">
        <f t="shared" si="121"/>
        <v>N/A</v>
      </c>
      <c r="Q1264" s="95" t="str">
        <f t="shared" si="122"/>
        <v>N/A</v>
      </c>
      <c r="R1264" s="95" t="str">
        <f t="shared" si="123"/>
        <v>NO CERT.</v>
      </c>
      <c r="S1264" s="95" t="e">
        <f t="shared" si="124"/>
        <v>#N/A</v>
      </c>
      <c r="T1264" s="119" t="e">
        <f>+IF(J1264=LOOKUP(J1264,'CAFCO 300 IDIEM TABLAS'!$J$4:$J$40),'CALCULO MORTERO'!J1264,MROUND('CALCULO MORTERO'!J1264,10))</f>
        <v>#N/A</v>
      </c>
      <c r="U1264" s="118">
        <f t="shared" si="125"/>
        <v>0</v>
      </c>
    </row>
    <row r="1265" spans="1:21" x14ac:dyDescent="0.25">
      <c r="A1265" s="118">
        <f>+CUBICACION!D1259</f>
        <v>0</v>
      </c>
      <c r="B1265" s="819">
        <f>+CUBICACION!E1259</f>
        <v>0</v>
      </c>
      <c r="C1265" s="675">
        <f>+CUBICACION!F1259</f>
        <v>0</v>
      </c>
      <c r="D1265" s="118"/>
      <c r="E1265" s="118"/>
      <c r="F1265" s="820"/>
      <c r="G1265" s="675">
        <f>+CUBICACION!J1259</f>
        <v>0</v>
      </c>
      <c r="H1265" s="118"/>
      <c r="I1265" s="821">
        <f>+CUBICACION!L1259</f>
        <v>0</v>
      </c>
      <c r="J1265" s="64">
        <f>+CUBICACION!M1259</f>
        <v>0</v>
      </c>
      <c r="K1265" s="822" t="str">
        <f>+CUBICACION!N1259</f>
        <v/>
      </c>
      <c r="L1265" s="118">
        <f>+CUBICACION!O1259</f>
        <v>0</v>
      </c>
      <c r="M1265" s="823">
        <f>+CUBICACION!P1259</f>
        <v>0</v>
      </c>
      <c r="N1265" s="902">
        <f>ROUND(IF(AND(L1265="Blaze Shield II",M1265="Software Idiem",C1265="IN",G1265=4),((('BLAZE SHIELD II'!$D$4*('CALCULO MORTERO'!I1265^2)+'BLAZE SHIELD II'!$D$5*'CALCULO MORTERO'!I1265+'BLAZE SHIELD II'!$D$6)*LN(J1265))+('BLAZE SHIELD II'!$D$7*('CALCULO MORTERO'!I1265^2)+'BLAZE SHIELD II'!$D$8*'CALCULO MORTERO'!I1265+'BLAZE SHIELD II'!$D$9)),0)+IF(AND(L1265="Blaze Shield II",M1265="Software Idiem",C1265="Cj"),((('BLAZE SHIELD II'!$H$4*('CALCULO MORTERO'!I1265^2)+'BLAZE SHIELD II'!$H$5*'CALCULO MORTERO'!I1265+'BLAZE SHIELD II'!$H$6)*LN(J1265))+('BLAZE SHIELD II'!$H$7*('CALCULO MORTERO'!I1265^2)+'BLAZE SHIELD II'!$H$8*'CALCULO MORTERO'!I1265+'BLAZE SHIELD II'!$H$9)),0)+IF(AND(L1265="Blaze Shield II",M1265="Software Idiem",C1265="C"),((('BLAZE SHIELD II'!$L$4*('CALCULO MORTERO'!I1265^2)+'BLAZE SHIELD II'!$L$5*'CALCULO MORTERO'!I1265+'BLAZE SHIELD II'!$L$6)*LN(J1265))+('BLAZE SHIELD II'!$L$7*('CALCULO MORTERO'!I1265^2)+'BLAZE SHIELD II'!$L$8*'CALCULO MORTERO'!I1265+'BLAZE SHIELD II'!$L$9)),0)+IF(AND(L1265="Blaze Shield II",M1265="Software Idiem",C1265="L"),((('BLAZE SHIELD II'!$L$4*('CALCULO MORTERO'!I1265^2)+'BLAZE SHIELD II'!$L$5*'CALCULO MORTERO'!I1265+'BLAZE SHIELD II'!$L$6)*LN(J1265))+('BLAZE SHIELD II'!$L$7*('CALCULO MORTERO'!I1265^2)+'BLAZE SHIELD II'!$L$8*'CALCULO MORTERO'!I1265+'BLAZE SHIELD II'!$L$9)),0)+IF(AND(L1265="Blaze Shield II",M1265="Software Idiem",C1265="IN",G1265=3),((('BLAZE SHIELD II'!$H$14*('CALCULO MORTERO'!I1265^2)+'BLAZE SHIELD II'!$H$15*'CALCULO MORTERO'!I1265+'BLAZE SHIELD II'!$H$16)*LN(J1265))+('BLAZE SHIELD II'!$H$17*('CALCULO MORTERO'!I1265^2)+'BLAZE SHIELD II'!$H$18*'CALCULO MORTERO'!I1265+'BLAZE SHIELD II'!$H$19)),0),0)+ROUND(IF(AND(L1265="Cafco 400",M1265="Software Idiem",C1265="IN",G1265=4),((('CAFCO 400 '!$H$7*(J1265^4)+'CAFCO 400 '!$H$8*(J1265^3)+'CAFCO 400 '!$H$9*(J1265^2)+'CAFCO 400 '!$H$10*J1265+'CAFCO 400 '!$H$11)*U1265^2)+(('CAFCO 400 '!$H$12*(J1265^3)+'CAFCO 400 '!$H$13*(J1265^2)+'CAFCO 400 '!$H$14*J1265+'CAFCO 400 '!$H$15)*U1265)+('CAFCO 400 '!$H$16*(J1265^2)+'CAFCO 400 '!$H$17*J1265+'CAFCO 400 '!$H$18)),0)+IF(AND(L1265="Cafco 400",M1265="Software Idiem",C1265="Cj"),(((('CAFCO 400 '!$D$7*LN(J1265)+'CAFCO 400 '!$D$8)*U1265^2)+(('CAFCO 400 '!$D$9*LN(J1265)+'CAFCO 400 '!$D$10)*U1265)+('CAFCO 400 '!$D$11*LN(J1265)+'CAFCO 400 '!$D$12))),0)+IF(AND(L1265="Cafco 400",M1265="Software Idiem",C1265="C"),((('CAFCO 400 '!$L$7*(J1265^3)+'CAFCO 400 '!$L$8*(J1265^2)+'CAFCO 400 '!$L$9*J1265+'CAFCO 400 '!$L$10)*U1265^2)+(('CAFCO 400 '!$L$11*(J1265^3)+'CAFCO 400 '!$L$12*(J1265^2)+'CAFCO 400 '!$L$13*J1265+'CAFCO 400 '!$L$14)*U1265)+('CAFCO 400 '!$L$15*LN(J1265)+'CAFCO 400 '!$L$16)),0)+IF(AND(L1265="Cafco 400",M1265="Software Idiem",C1265="L"),((('CAFCO 400 '!$L$7*(J1265^3)+'CAFCO 400 '!$L$8*(J1265^2)+'CAFCO 400 '!$L$9*J1265+'CAFCO 400 '!$L$10)*U1265^2)+(('CAFCO 400 '!$L$11*(J1265^3)+'CAFCO 400 '!$L$12*(J1265^2)+'CAFCO 400 '!$L$13*J1265+'CAFCO 400 '!$L$14)*U1265)+('CAFCO 400 '!$L$15*LN(J1265)+'CAFCO 400 '!$L$16)),0)+IF(AND(L1265="Cafco 400",M1265="Software Idiem",C1265="IN",G1265=3),((('CAFCO 400 '!$D$23*(J1265^2)+'CAFCO 400 '!$D$24*(J1265)+'CAFCO 400 '!$D$25)*U1265^2)+(('CAFCO 400 '!$D$26*(J1265^2)+'CAFCO 400 '!$D$27*J1265+'CAFCO 400 '!$D$28)*U1265)+('CAFCO 400 '!$D$29*(J1265^2)+'CAFCO 400 '!$D$30*J1265+'CAFCO 400 '!$D$31)),0),0)+IF(AND(L1265="Cafco 300",J1265&gt;=95,J1265&lt;=240,C1265="Cj",I1265=90),VLOOKUP(T1265,'CAFCO 300 IDIEM TABLAS'!$B$4:$D$23,2,FALSE),0)+IF(AND(L1265="Cafco 300",J1265&gt;=95,J1265&lt;=240,C1265="Cj",I1265=120),VLOOKUP(T1265,'CAFCO 300 IDIEM TABLAS'!$B$4:$D$23,3,FALSE),0)+IF(AND(L1265="Cafco 300",J1265&gt;=95,J1265&lt;=400,G1265=3,C1265="IN",I1265=90),VLOOKUP(T1265,'CAFCO 300 IDIEM TABLAS'!$F$4:$H$35,2,FALSE),0)+IF(AND(L1265="Cafco 300",J1265&gt;=95,J1265&lt;=400,G1265=3,C1265="IN",I1265=120),VLOOKUP(T1265,'CAFCO 300 IDIEM TABLAS'!$F$4:$H$35,3,FALSE),0)+IF(AND(L1265="Cafco 300",J1265&gt;=95,J1265&lt;=450,G1265=4,C1265="IN",I1265=90),VLOOKUP(T1265,'CAFCO 300 IDIEM TABLAS'!$J$4:$L$40,2,FALSE),0)+IF(AND(L1265="Cafco 300",J1265&gt;=95,J1265&lt;=450,G1265=4,C1265="IN",I1265=120),VLOOKUP(T1265,'CAFCO 300 IDIEM TABLAS'!$J$4:$L$40,3,FALSE),0)+IF(AND(M1265="Ensayo Idiem",L1265="Cafco 400",C1265="IN",G1265=4,I1265=90),VLOOKUP(T1265,'CAFCO 400 ENSAYO'!$B$7:$D$43,2,FALSE),0)+IF(AND(M1265="Ensayo Idiem",L1265="Cafco 400",C1265="IN",G1265=4,I1265=120),VLOOKUP(T1265,'CAFCO 400 ENSAYO'!$B$7:$D$43,3,FALSE),0)</f>
        <v>0</v>
      </c>
      <c r="O1265" s="96">
        <f t="shared" si="126"/>
        <v>0</v>
      </c>
      <c r="P1265" s="132" t="str">
        <f t="shared" si="121"/>
        <v>N/A</v>
      </c>
      <c r="Q1265" s="132" t="str">
        <f t="shared" si="122"/>
        <v>N/A</v>
      </c>
      <c r="R1265" s="132" t="str">
        <f t="shared" si="123"/>
        <v>NO CERT.</v>
      </c>
      <c r="S1265" s="132" t="e">
        <f t="shared" si="124"/>
        <v>#N/A</v>
      </c>
      <c r="T1265" s="133" t="e">
        <f>+IF(J1265=LOOKUP(J1265,'CAFCO 300 IDIEM TABLAS'!$J$4:$J$40),'CALCULO MORTERO'!J1265,MROUND('CALCULO MORTERO'!J1265,10))</f>
        <v>#N/A</v>
      </c>
      <c r="U1265" s="134">
        <f t="shared" si="125"/>
        <v>0</v>
      </c>
    </row>
    <row r="1266" spans="1:21" x14ac:dyDescent="0.25">
      <c r="A1266" s="118">
        <f>+CUBICACION!D1260</f>
        <v>0</v>
      </c>
      <c r="B1266" s="819">
        <f>+CUBICACION!E1260</f>
        <v>0</v>
      </c>
      <c r="C1266" s="675">
        <f>+CUBICACION!F1260</f>
        <v>0</v>
      </c>
      <c r="D1266" s="118"/>
      <c r="E1266" s="118"/>
      <c r="F1266" s="820"/>
      <c r="G1266" s="675">
        <f>+CUBICACION!J1260</f>
        <v>0</v>
      </c>
      <c r="H1266" s="118"/>
      <c r="I1266" s="821">
        <f>+CUBICACION!L1260</f>
        <v>0</v>
      </c>
      <c r="J1266" s="64">
        <f>+CUBICACION!M1260</f>
        <v>0</v>
      </c>
      <c r="K1266" s="822" t="str">
        <f>+CUBICACION!N1260</f>
        <v/>
      </c>
      <c r="L1266" s="118">
        <f>+CUBICACION!O1260</f>
        <v>0</v>
      </c>
      <c r="M1266" s="823">
        <f>+CUBICACION!P1260</f>
        <v>0</v>
      </c>
      <c r="N1266" s="902">
        <f>ROUND(IF(AND(L1266="Blaze Shield II",M1266="Software Idiem",C1266="IN",G1266=4),((('BLAZE SHIELD II'!$D$4*('CALCULO MORTERO'!I1266^2)+'BLAZE SHIELD II'!$D$5*'CALCULO MORTERO'!I1266+'BLAZE SHIELD II'!$D$6)*LN(J1266))+('BLAZE SHIELD II'!$D$7*('CALCULO MORTERO'!I1266^2)+'BLAZE SHIELD II'!$D$8*'CALCULO MORTERO'!I1266+'BLAZE SHIELD II'!$D$9)),0)+IF(AND(L1266="Blaze Shield II",M1266="Software Idiem",C1266="Cj"),((('BLAZE SHIELD II'!$H$4*('CALCULO MORTERO'!I1266^2)+'BLAZE SHIELD II'!$H$5*'CALCULO MORTERO'!I1266+'BLAZE SHIELD II'!$H$6)*LN(J1266))+('BLAZE SHIELD II'!$H$7*('CALCULO MORTERO'!I1266^2)+'BLAZE SHIELD II'!$H$8*'CALCULO MORTERO'!I1266+'BLAZE SHIELD II'!$H$9)),0)+IF(AND(L1266="Blaze Shield II",M1266="Software Idiem",C1266="C"),((('BLAZE SHIELD II'!$L$4*('CALCULO MORTERO'!I1266^2)+'BLAZE SHIELD II'!$L$5*'CALCULO MORTERO'!I1266+'BLAZE SHIELD II'!$L$6)*LN(J1266))+('BLAZE SHIELD II'!$L$7*('CALCULO MORTERO'!I1266^2)+'BLAZE SHIELD II'!$L$8*'CALCULO MORTERO'!I1266+'BLAZE SHIELD II'!$L$9)),0)+IF(AND(L1266="Blaze Shield II",M1266="Software Idiem",C1266="L"),((('BLAZE SHIELD II'!$L$4*('CALCULO MORTERO'!I1266^2)+'BLAZE SHIELD II'!$L$5*'CALCULO MORTERO'!I1266+'BLAZE SHIELD II'!$L$6)*LN(J1266))+('BLAZE SHIELD II'!$L$7*('CALCULO MORTERO'!I1266^2)+'BLAZE SHIELD II'!$L$8*'CALCULO MORTERO'!I1266+'BLAZE SHIELD II'!$L$9)),0)+IF(AND(L1266="Blaze Shield II",M1266="Software Idiem",C1266="IN",G1266=3),((('BLAZE SHIELD II'!$H$14*('CALCULO MORTERO'!I1266^2)+'BLAZE SHIELD II'!$H$15*'CALCULO MORTERO'!I1266+'BLAZE SHIELD II'!$H$16)*LN(J1266))+('BLAZE SHIELD II'!$H$17*('CALCULO MORTERO'!I1266^2)+'BLAZE SHIELD II'!$H$18*'CALCULO MORTERO'!I1266+'BLAZE SHIELD II'!$H$19)),0),0)+ROUND(IF(AND(L1266="Cafco 400",M1266="Software Idiem",C1266="IN",G1266=4),((('CAFCO 400 '!$H$7*(J1266^4)+'CAFCO 400 '!$H$8*(J1266^3)+'CAFCO 400 '!$H$9*(J1266^2)+'CAFCO 400 '!$H$10*J1266+'CAFCO 400 '!$H$11)*U1266^2)+(('CAFCO 400 '!$H$12*(J1266^3)+'CAFCO 400 '!$H$13*(J1266^2)+'CAFCO 400 '!$H$14*J1266+'CAFCO 400 '!$H$15)*U1266)+('CAFCO 400 '!$H$16*(J1266^2)+'CAFCO 400 '!$H$17*J1266+'CAFCO 400 '!$H$18)),0)+IF(AND(L1266="Cafco 400",M1266="Software Idiem",C1266="Cj"),(((('CAFCO 400 '!$D$7*LN(J1266)+'CAFCO 400 '!$D$8)*U1266^2)+(('CAFCO 400 '!$D$9*LN(J1266)+'CAFCO 400 '!$D$10)*U1266)+('CAFCO 400 '!$D$11*LN(J1266)+'CAFCO 400 '!$D$12))),0)+IF(AND(L1266="Cafco 400",M1266="Software Idiem",C1266="C"),((('CAFCO 400 '!$L$7*(J1266^3)+'CAFCO 400 '!$L$8*(J1266^2)+'CAFCO 400 '!$L$9*J1266+'CAFCO 400 '!$L$10)*U1266^2)+(('CAFCO 400 '!$L$11*(J1266^3)+'CAFCO 400 '!$L$12*(J1266^2)+'CAFCO 400 '!$L$13*J1266+'CAFCO 400 '!$L$14)*U1266)+('CAFCO 400 '!$L$15*LN(J1266)+'CAFCO 400 '!$L$16)),0)+IF(AND(L1266="Cafco 400",M1266="Software Idiem",C1266="L"),((('CAFCO 400 '!$L$7*(J1266^3)+'CAFCO 400 '!$L$8*(J1266^2)+'CAFCO 400 '!$L$9*J1266+'CAFCO 400 '!$L$10)*U1266^2)+(('CAFCO 400 '!$L$11*(J1266^3)+'CAFCO 400 '!$L$12*(J1266^2)+'CAFCO 400 '!$L$13*J1266+'CAFCO 400 '!$L$14)*U1266)+('CAFCO 400 '!$L$15*LN(J1266)+'CAFCO 400 '!$L$16)),0)+IF(AND(L1266="Cafco 400",M1266="Software Idiem",C1266="IN",G1266=3),((('CAFCO 400 '!$D$23*(J1266^2)+'CAFCO 400 '!$D$24*(J1266)+'CAFCO 400 '!$D$25)*U1266^2)+(('CAFCO 400 '!$D$26*(J1266^2)+'CAFCO 400 '!$D$27*J1266+'CAFCO 400 '!$D$28)*U1266)+('CAFCO 400 '!$D$29*(J1266^2)+'CAFCO 400 '!$D$30*J1266+'CAFCO 400 '!$D$31)),0),0)+IF(AND(L1266="Cafco 300",J1266&gt;=95,J1266&lt;=240,C1266="Cj",I1266=90),VLOOKUP(T1266,'CAFCO 300 IDIEM TABLAS'!$B$4:$D$23,2,FALSE),0)+IF(AND(L1266="Cafco 300",J1266&gt;=95,J1266&lt;=240,C1266="Cj",I1266=120),VLOOKUP(T1266,'CAFCO 300 IDIEM TABLAS'!$B$4:$D$23,3,FALSE),0)+IF(AND(L1266="Cafco 300",J1266&gt;=95,J1266&lt;=400,G1266=3,C1266="IN",I1266=90),VLOOKUP(T1266,'CAFCO 300 IDIEM TABLAS'!$F$4:$H$35,2,FALSE),0)+IF(AND(L1266="Cafco 300",J1266&gt;=95,J1266&lt;=400,G1266=3,C1266="IN",I1266=120),VLOOKUP(T1266,'CAFCO 300 IDIEM TABLAS'!$F$4:$H$35,3,FALSE),0)+IF(AND(L1266="Cafco 300",J1266&gt;=95,J1266&lt;=450,G1266=4,C1266="IN",I1266=90),VLOOKUP(T1266,'CAFCO 300 IDIEM TABLAS'!$J$4:$L$40,2,FALSE),0)+IF(AND(L1266="Cafco 300",J1266&gt;=95,J1266&lt;=450,G1266=4,C1266="IN",I1266=120),VLOOKUP(T1266,'CAFCO 300 IDIEM TABLAS'!$J$4:$L$40,3,FALSE),0)+IF(AND(M1266="Ensayo Idiem",L1266="Cafco 400",C1266="IN",G1266=4,I1266=90),VLOOKUP(T1266,'CAFCO 400 ENSAYO'!$B$7:$D$43,2,FALSE),0)+IF(AND(M1266="Ensayo Idiem",L1266="Cafco 400",C1266="IN",G1266=4,I1266=120),VLOOKUP(T1266,'CAFCO 400 ENSAYO'!$B$7:$D$43,3,FALSE),0)</f>
        <v>0</v>
      </c>
      <c r="O1266" s="96">
        <f t="shared" si="126"/>
        <v>0</v>
      </c>
      <c r="P1266" s="95" t="str">
        <f t="shared" ref="P1266:P1329" si="127">IF(AND(M1266="Software Idiem"),IF(AND(C1266="IN",G1266=4,J1266&gt;=50,J1266&lt;=500),"CERT.",IF(AND(C1266="Cj",J1266&gt;=50,J1266&lt;=500),"CERT.",IF(AND(C1266="C",J1266&gt;=50,J1266&lt;=1000),"CERT.",IF(AND(C1266="L",J1266&gt;=50,J1266&lt;=1000),"CERT.",IF(AND(C1266="IN",G1266=3,J1266&gt;=50,J1266&lt;=500),"CERT.","NO CERT."))))),"N/A")</f>
        <v>N/A</v>
      </c>
      <c r="Q1266" s="95" t="str">
        <f t="shared" ref="Q1266:Q1329" si="128">IF(AND(M1266="Software Idiem"),IF(AND(C1266="IN",G1266=4,J1266&gt;=50,J1266&lt;=500),"CERT.",IF(AND(C1266="Cj",J1266&gt;=50,J1266&lt;=500),"CERT.",IF(AND(C1266="C",J1266&gt;=50,J1266&lt;=1000),"CERT.",IF(AND(C1266="L",J1266&gt;=50,J1266&lt;=1000),"CERT.",IF(AND(C1266="IN",G1266=3,J1266&gt;=50,J1266&lt;=500),"CERT.","NO CERT."))))),"N/A")</f>
        <v>N/A</v>
      </c>
      <c r="R1266" s="95" t="str">
        <f t="shared" ref="R1266:R1329" si="129">IF(AND(C1266="IN",G1266=4,J1266&gt;=95,J1266&lt;=450,I1266=90),"CERT.",IF(AND(C1266="IN",G1266=4,J1266&gt;=95,J1266&lt;=450,I1266=120),"CERT.","NO CERT."))</f>
        <v>NO CERT.</v>
      </c>
      <c r="S1266" s="95" t="e">
        <f t="shared" ref="S1266:S1329" si="130">IF(AND(C1266="Cj",I1266=90,T1266&lt;=240),"CERT.",IF(AND(C1266="Cj",I1266=120,T1266&lt;=240),"CERT.",IF(AND(C1266="IN",G1266=3,I1266=90,T1266&lt;=400),"CERT.",IF(AND(C1266="IN",G1266=3,I1266=120,T1266&lt;=400),"CERT.",IF(AND(C1266="IN",G1266=4,I1266=90,T1266&lt;=450),"CERT.",IF(AND(C1266="IN",G1266=4,I1266=120,T1266&lt;=450),"CERT.","NO CERT."))))))</f>
        <v>#N/A</v>
      </c>
      <c r="T1266" s="119" t="e">
        <f>+IF(J1266=LOOKUP(J1266,'CAFCO 300 IDIEM TABLAS'!$J$4:$J$40),'CALCULO MORTERO'!J1266,MROUND('CALCULO MORTERO'!J1266,10))</f>
        <v>#N/A</v>
      </c>
      <c r="U1266" s="118">
        <f t="shared" ref="U1266:U1329" si="131">+I1266*60</f>
        <v>0</v>
      </c>
    </row>
    <row r="1267" spans="1:21" x14ac:dyDescent="0.25">
      <c r="A1267" s="118">
        <f>+CUBICACION!D1261</f>
        <v>0</v>
      </c>
      <c r="B1267" s="819">
        <f>+CUBICACION!E1261</f>
        <v>0</v>
      </c>
      <c r="C1267" s="675">
        <f>+CUBICACION!F1261</f>
        <v>0</v>
      </c>
      <c r="D1267" s="118"/>
      <c r="E1267" s="118"/>
      <c r="F1267" s="820"/>
      <c r="G1267" s="675">
        <f>+CUBICACION!J1261</f>
        <v>0</v>
      </c>
      <c r="H1267" s="118"/>
      <c r="I1267" s="821">
        <f>+CUBICACION!L1261</f>
        <v>0</v>
      </c>
      <c r="J1267" s="64">
        <f>+CUBICACION!M1261</f>
        <v>0</v>
      </c>
      <c r="K1267" s="822" t="str">
        <f>+CUBICACION!N1261</f>
        <v/>
      </c>
      <c r="L1267" s="118">
        <f>+CUBICACION!O1261</f>
        <v>0</v>
      </c>
      <c r="M1267" s="823">
        <f>+CUBICACION!P1261</f>
        <v>0</v>
      </c>
      <c r="N1267" s="902">
        <f>ROUND(IF(AND(L1267="Blaze Shield II",M1267="Software Idiem",C1267="IN",G1267=4),((('BLAZE SHIELD II'!$D$4*('CALCULO MORTERO'!I1267^2)+'BLAZE SHIELD II'!$D$5*'CALCULO MORTERO'!I1267+'BLAZE SHIELD II'!$D$6)*LN(J1267))+('BLAZE SHIELD II'!$D$7*('CALCULO MORTERO'!I1267^2)+'BLAZE SHIELD II'!$D$8*'CALCULO MORTERO'!I1267+'BLAZE SHIELD II'!$D$9)),0)+IF(AND(L1267="Blaze Shield II",M1267="Software Idiem",C1267="Cj"),((('BLAZE SHIELD II'!$H$4*('CALCULO MORTERO'!I1267^2)+'BLAZE SHIELD II'!$H$5*'CALCULO MORTERO'!I1267+'BLAZE SHIELD II'!$H$6)*LN(J1267))+('BLAZE SHIELD II'!$H$7*('CALCULO MORTERO'!I1267^2)+'BLAZE SHIELD II'!$H$8*'CALCULO MORTERO'!I1267+'BLAZE SHIELD II'!$H$9)),0)+IF(AND(L1267="Blaze Shield II",M1267="Software Idiem",C1267="C"),((('BLAZE SHIELD II'!$L$4*('CALCULO MORTERO'!I1267^2)+'BLAZE SHIELD II'!$L$5*'CALCULO MORTERO'!I1267+'BLAZE SHIELD II'!$L$6)*LN(J1267))+('BLAZE SHIELD II'!$L$7*('CALCULO MORTERO'!I1267^2)+'BLAZE SHIELD II'!$L$8*'CALCULO MORTERO'!I1267+'BLAZE SHIELD II'!$L$9)),0)+IF(AND(L1267="Blaze Shield II",M1267="Software Idiem",C1267="L"),((('BLAZE SHIELD II'!$L$4*('CALCULO MORTERO'!I1267^2)+'BLAZE SHIELD II'!$L$5*'CALCULO MORTERO'!I1267+'BLAZE SHIELD II'!$L$6)*LN(J1267))+('BLAZE SHIELD II'!$L$7*('CALCULO MORTERO'!I1267^2)+'BLAZE SHIELD II'!$L$8*'CALCULO MORTERO'!I1267+'BLAZE SHIELD II'!$L$9)),0)+IF(AND(L1267="Blaze Shield II",M1267="Software Idiem",C1267="IN",G1267=3),((('BLAZE SHIELD II'!$H$14*('CALCULO MORTERO'!I1267^2)+'BLAZE SHIELD II'!$H$15*'CALCULO MORTERO'!I1267+'BLAZE SHIELD II'!$H$16)*LN(J1267))+('BLAZE SHIELD II'!$H$17*('CALCULO MORTERO'!I1267^2)+'BLAZE SHIELD II'!$H$18*'CALCULO MORTERO'!I1267+'BLAZE SHIELD II'!$H$19)),0),0)+ROUND(IF(AND(L1267="Cafco 400",M1267="Software Idiem",C1267="IN",G1267=4),((('CAFCO 400 '!$H$7*(J1267^4)+'CAFCO 400 '!$H$8*(J1267^3)+'CAFCO 400 '!$H$9*(J1267^2)+'CAFCO 400 '!$H$10*J1267+'CAFCO 400 '!$H$11)*U1267^2)+(('CAFCO 400 '!$H$12*(J1267^3)+'CAFCO 400 '!$H$13*(J1267^2)+'CAFCO 400 '!$H$14*J1267+'CAFCO 400 '!$H$15)*U1267)+('CAFCO 400 '!$H$16*(J1267^2)+'CAFCO 400 '!$H$17*J1267+'CAFCO 400 '!$H$18)),0)+IF(AND(L1267="Cafco 400",M1267="Software Idiem",C1267="Cj"),(((('CAFCO 400 '!$D$7*LN(J1267)+'CAFCO 400 '!$D$8)*U1267^2)+(('CAFCO 400 '!$D$9*LN(J1267)+'CAFCO 400 '!$D$10)*U1267)+('CAFCO 400 '!$D$11*LN(J1267)+'CAFCO 400 '!$D$12))),0)+IF(AND(L1267="Cafco 400",M1267="Software Idiem",C1267="C"),((('CAFCO 400 '!$L$7*(J1267^3)+'CAFCO 400 '!$L$8*(J1267^2)+'CAFCO 400 '!$L$9*J1267+'CAFCO 400 '!$L$10)*U1267^2)+(('CAFCO 400 '!$L$11*(J1267^3)+'CAFCO 400 '!$L$12*(J1267^2)+'CAFCO 400 '!$L$13*J1267+'CAFCO 400 '!$L$14)*U1267)+('CAFCO 400 '!$L$15*LN(J1267)+'CAFCO 400 '!$L$16)),0)+IF(AND(L1267="Cafco 400",M1267="Software Idiem",C1267="L"),((('CAFCO 400 '!$L$7*(J1267^3)+'CAFCO 400 '!$L$8*(J1267^2)+'CAFCO 400 '!$L$9*J1267+'CAFCO 400 '!$L$10)*U1267^2)+(('CAFCO 400 '!$L$11*(J1267^3)+'CAFCO 400 '!$L$12*(J1267^2)+'CAFCO 400 '!$L$13*J1267+'CAFCO 400 '!$L$14)*U1267)+('CAFCO 400 '!$L$15*LN(J1267)+'CAFCO 400 '!$L$16)),0)+IF(AND(L1267="Cafco 400",M1267="Software Idiem",C1267="IN",G1267=3),((('CAFCO 400 '!$D$23*(J1267^2)+'CAFCO 400 '!$D$24*(J1267)+'CAFCO 400 '!$D$25)*U1267^2)+(('CAFCO 400 '!$D$26*(J1267^2)+'CAFCO 400 '!$D$27*J1267+'CAFCO 400 '!$D$28)*U1267)+('CAFCO 400 '!$D$29*(J1267^2)+'CAFCO 400 '!$D$30*J1267+'CAFCO 400 '!$D$31)),0),0)+IF(AND(L1267="Cafco 300",J1267&gt;=95,J1267&lt;=240,C1267="Cj",I1267=90),VLOOKUP(T1267,'CAFCO 300 IDIEM TABLAS'!$B$4:$D$23,2,FALSE),0)+IF(AND(L1267="Cafco 300",J1267&gt;=95,J1267&lt;=240,C1267="Cj",I1267=120),VLOOKUP(T1267,'CAFCO 300 IDIEM TABLAS'!$B$4:$D$23,3,FALSE),0)+IF(AND(L1267="Cafco 300",J1267&gt;=95,J1267&lt;=400,G1267=3,C1267="IN",I1267=90),VLOOKUP(T1267,'CAFCO 300 IDIEM TABLAS'!$F$4:$H$35,2,FALSE),0)+IF(AND(L1267="Cafco 300",J1267&gt;=95,J1267&lt;=400,G1267=3,C1267="IN",I1267=120),VLOOKUP(T1267,'CAFCO 300 IDIEM TABLAS'!$F$4:$H$35,3,FALSE),0)+IF(AND(L1267="Cafco 300",J1267&gt;=95,J1267&lt;=450,G1267=4,C1267="IN",I1267=90),VLOOKUP(T1267,'CAFCO 300 IDIEM TABLAS'!$J$4:$L$40,2,FALSE),0)+IF(AND(L1267="Cafco 300",J1267&gt;=95,J1267&lt;=450,G1267=4,C1267="IN",I1267=120),VLOOKUP(T1267,'CAFCO 300 IDIEM TABLAS'!$J$4:$L$40,3,FALSE),0)+IF(AND(M1267="Ensayo Idiem",L1267="Cafco 400",C1267="IN",G1267=4,I1267=90),VLOOKUP(T1267,'CAFCO 400 ENSAYO'!$B$7:$D$43,2,FALSE),0)+IF(AND(M1267="Ensayo Idiem",L1267="Cafco 400",C1267="IN",G1267=4,I1267=120),VLOOKUP(T1267,'CAFCO 400 ENSAYO'!$B$7:$D$43,3,FALSE),0)</f>
        <v>0</v>
      </c>
      <c r="O1267" s="96">
        <f t="shared" si="126"/>
        <v>0</v>
      </c>
      <c r="P1267" s="132" t="str">
        <f t="shared" si="127"/>
        <v>N/A</v>
      </c>
      <c r="Q1267" s="132" t="str">
        <f t="shared" si="128"/>
        <v>N/A</v>
      </c>
      <c r="R1267" s="132" t="str">
        <f t="shared" si="129"/>
        <v>NO CERT.</v>
      </c>
      <c r="S1267" s="132" t="e">
        <f t="shared" si="130"/>
        <v>#N/A</v>
      </c>
      <c r="T1267" s="133" t="e">
        <f>+IF(J1267=LOOKUP(J1267,'CAFCO 300 IDIEM TABLAS'!$J$4:$J$40),'CALCULO MORTERO'!J1267,MROUND('CALCULO MORTERO'!J1267,10))</f>
        <v>#N/A</v>
      </c>
      <c r="U1267" s="134">
        <f t="shared" si="131"/>
        <v>0</v>
      </c>
    </row>
    <row r="1268" spans="1:21" x14ac:dyDescent="0.25">
      <c r="A1268" s="118">
        <f>+CUBICACION!D1262</f>
        <v>0</v>
      </c>
      <c r="B1268" s="819">
        <f>+CUBICACION!E1262</f>
        <v>0</v>
      </c>
      <c r="C1268" s="675">
        <f>+CUBICACION!F1262</f>
        <v>0</v>
      </c>
      <c r="D1268" s="118"/>
      <c r="E1268" s="118"/>
      <c r="F1268" s="820"/>
      <c r="G1268" s="675">
        <f>+CUBICACION!J1262</f>
        <v>0</v>
      </c>
      <c r="H1268" s="118"/>
      <c r="I1268" s="821">
        <f>+CUBICACION!L1262</f>
        <v>0</v>
      </c>
      <c r="J1268" s="64">
        <f>+CUBICACION!M1262</f>
        <v>0</v>
      </c>
      <c r="K1268" s="822" t="str">
        <f>+CUBICACION!N1262</f>
        <v/>
      </c>
      <c r="L1268" s="118">
        <f>+CUBICACION!O1262</f>
        <v>0</v>
      </c>
      <c r="M1268" s="823">
        <f>+CUBICACION!P1262</f>
        <v>0</v>
      </c>
      <c r="N1268" s="902">
        <f>ROUND(IF(AND(L1268="Blaze Shield II",M1268="Software Idiem",C1268="IN",G1268=4),((('BLAZE SHIELD II'!$D$4*('CALCULO MORTERO'!I1268^2)+'BLAZE SHIELD II'!$D$5*'CALCULO MORTERO'!I1268+'BLAZE SHIELD II'!$D$6)*LN(J1268))+('BLAZE SHIELD II'!$D$7*('CALCULO MORTERO'!I1268^2)+'BLAZE SHIELD II'!$D$8*'CALCULO MORTERO'!I1268+'BLAZE SHIELD II'!$D$9)),0)+IF(AND(L1268="Blaze Shield II",M1268="Software Idiem",C1268="Cj"),((('BLAZE SHIELD II'!$H$4*('CALCULO MORTERO'!I1268^2)+'BLAZE SHIELD II'!$H$5*'CALCULO MORTERO'!I1268+'BLAZE SHIELD II'!$H$6)*LN(J1268))+('BLAZE SHIELD II'!$H$7*('CALCULO MORTERO'!I1268^2)+'BLAZE SHIELD II'!$H$8*'CALCULO MORTERO'!I1268+'BLAZE SHIELD II'!$H$9)),0)+IF(AND(L1268="Blaze Shield II",M1268="Software Idiem",C1268="C"),((('BLAZE SHIELD II'!$L$4*('CALCULO MORTERO'!I1268^2)+'BLAZE SHIELD II'!$L$5*'CALCULO MORTERO'!I1268+'BLAZE SHIELD II'!$L$6)*LN(J1268))+('BLAZE SHIELD II'!$L$7*('CALCULO MORTERO'!I1268^2)+'BLAZE SHIELD II'!$L$8*'CALCULO MORTERO'!I1268+'BLAZE SHIELD II'!$L$9)),0)+IF(AND(L1268="Blaze Shield II",M1268="Software Idiem",C1268="L"),((('BLAZE SHIELD II'!$L$4*('CALCULO MORTERO'!I1268^2)+'BLAZE SHIELD II'!$L$5*'CALCULO MORTERO'!I1268+'BLAZE SHIELD II'!$L$6)*LN(J1268))+('BLAZE SHIELD II'!$L$7*('CALCULO MORTERO'!I1268^2)+'BLAZE SHIELD II'!$L$8*'CALCULO MORTERO'!I1268+'BLAZE SHIELD II'!$L$9)),0)+IF(AND(L1268="Blaze Shield II",M1268="Software Idiem",C1268="IN",G1268=3),((('BLAZE SHIELD II'!$H$14*('CALCULO MORTERO'!I1268^2)+'BLAZE SHIELD II'!$H$15*'CALCULO MORTERO'!I1268+'BLAZE SHIELD II'!$H$16)*LN(J1268))+('BLAZE SHIELD II'!$H$17*('CALCULO MORTERO'!I1268^2)+'BLAZE SHIELD II'!$H$18*'CALCULO MORTERO'!I1268+'BLAZE SHIELD II'!$H$19)),0),0)+ROUND(IF(AND(L1268="Cafco 400",M1268="Software Idiem",C1268="IN",G1268=4),((('CAFCO 400 '!$H$7*(J1268^4)+'CAFCO 400 '!$H$8*(J1268^3)+'CAFCO 400 '!$H$9*(J1268^2)+'CAFCO 400 '!$H$10*J1268+'CAFCO 400 '!$H$11)*U1268^2)+(('CAFCO 400 '!$H$12*(J1268^3)+'CAFCO 400 '!$H$13*(J1268^2)+'CAFCO 400 '!$H$14*J1268+'CAFCO 400 '!$H$15)*U1268)+('CAFCO 400 '!$H$16*(J1268^2)+'CAFCO 400 '!$H$17*J1268+'CAFCO 400 '!$H$18)),0)+IF(AND(L1268="Cafco 400",M1268="Software Idiem",C1268="Cj"),(((('CAFCO 400 '!$D$7*LN(J1268)+'CAFCO 400 '!$D$8)*U1268^2)+(('CAFCO 400 '!$D$9*LN(J1268)+'CAFCO 400 '!$D$10)*U1268)+('CAFCO 400 '!$D$11*LN(J1268)+'CAFCO 400 '!$D$12))),0)+IF(AND(L1268="Cafco 400",M1268="Software Idiem",C1268="C"),((('CAFCO 400 '!$L$7*(J1268^3)+'CAFCO 400 '!$L$8*(J1268^2)+'CAFCO 400 '!$L$9*J1268+'CAFCO 400 '!$L$10)*U1268^2)+(('CAFCO 400 '!$L$11*(J1268^3)+'CAFCO 400 '!$L$12*(J1268^2)+'CAFCO 400 '!$L$13*J1268+'CAFCO 400 '!$L$14)*U1268)+('CAFCO 400 '!$L$15*LN(J1268)+'CAFCO 400 '!$L$16)),0)+IF(AND(L1268="Cafco 400",M1268="Software Idiem",C1268="L"),((('CAFCO 400 '!$L$7*(J1268^3)+'CAFCO 400 '!$L$8*(J1268^2)+'CAFCO 400 '!$L$9*J1268+'CAFCO 400 '!$L$10)*U1268^2)+(('CAFCO 400 '!$L$11*(J1268^3)+'CAFCO 400 '!$L$12*(J1268^2)+'CAFCO 400 '!$L$13*J1268+'CAFCO 400 '!$L$14)*U1268)+('CAFCO 400 '!$L$15*LN(J1268)+'CAFCO 400 '!$L$16)),0)+IF(AND(L1268="Cafco 400",M1268="Software Idiem",C1268="IN",G1268=3),((('CAFCO 400 '!$D$23*(J1268^2)+'CAFCO 400 '!$D$24*(J1268)+'CAFCO 400 '!$D$25)*U1268^2)+(('CAFCO 400 '!$D$26*(J1268^2)+'CAFCO 400 '!$D$27*J1268+'CAFCO 400 '!$D$28)*U1268)+('CAFCO 400 '!$D$29*(J1268^2)+'CAFCO 400 '!$D$30*J1268+'CAFCO 400 '!$D$31)),0),0)+IF(AND(L1268="Cafco 300",J1268&gt;=95,J1268&lt;=240,C1268="Cj",I1268=90),VLOOKUP(T1268,'CAFCO 300 IDIEM TABLAS'!$B$4:$D$23,2,FALSE),0)+IF(AND(L1268="Cafco 300",J1268&gt;=95,J1268&lt;=240,C1268="Cj",I1268=120),VLOOKUP(T1268,'CAFCO 300 IDIEM TABLAS'!$B$4:$D$23,3,FALSE),0)+IF(AND(L1268="Cafco 300",J1268&gt;=95,J1268&lt;=400,G1268=3,C1268="IN",I1268=90),VLOOKUP(T1268,'CAFCO 300 IDIEM TABLAS'!$F$4:$H$35,2,FALSE),0)+IF(AND(L1268="Cafco 300",J1268&gt;=95,J1268&lt;=400,G1268=3,C1268="IN",I1268=120),VLOOKUP(T1268,'CAFCO 300 IDIEM TABLAS'!$F$4:$H$35,3,FALSE),0)+IF(AND(L1268="Cafco 300",J1268&gt;=95,J1268&lt;=450,G1268=4,C1268="IN",I1268=90),VLOOKUP(T1268,'CAFCO 300 IDIEM TABLAS'!$J$4:$L$40,2,FALSE),0)+IF(AND(L1268="Cafco 300",J1268&gt;=95,J1268&lt;=450,G1268=4,C1268="IN",I1268=120),VLOOKUP(T1268,'CAFCO 300 IDIEM TABLAS'!$J$4:$L$40,3,FALSE),0)+IF(AND(M1268="Ensayo Idiem",L1268="Cafco 400",C1268="IN",G1268=4,I1268=90),VLOOKUP(T1268,'CAFCO 400 ENSAYO'!$B$7:$D$43,2,FALSE),0)+IF(AND(M1268="Ensayo Idiem",L1268="Cafco 400",C1268="IN",G1268=4,I1268=120),VLOOKUP(T1268,'CAFCO 400 ENSAYO'!$B$7:$D$43,3,FALSE),0)</f>
        <v>0</v>
      </c>
      <c r="O1268" s="96">
        <f t="shared" si="126"/>
        <v>0</v>
      </c>
      <c r="P1268" s="95" t="str">
        <f t="shared" si="127"/>
        <v>N/A</v>
      </c>
      <c r="Q1268" s="95" t="str">
        <f t="shared" si="128"/>
        <v>N/A</v>
      </c>
      <c r="R1268" s="95" t="str">
        <f t="shared" si="129"/>
        <v>NO CERT.</v>
      </c>
      <c r="S1268" s="95" t="e">
        <f t="shared" si="130"/>
        <v>#N/A</v>
      </c>
      <c r="T1268" s="119" t="e">
        <f>+IF(J1268=LOOKUP(J1268,'CAFCO 300 IDIEM TABLAS'!$J$4:$J$40),'CALCULO MORTERO'!J1268,MROUND('CALCULO MORTERO'!J1268,10))</f>
        <v>#N/A</v>
      </c>
      <c r="U1268" s="118">
        <f t="shared" si="131"/>
        <v>0</v>
      </c>
    </row>
    <row r="1269" spans="1:21" x14ac:dyDescent="0.25">
      <c r="A1269" s="118">
        <f>+CUBICACION!D1263</f>
        <v>0</v>
      </c>
      <c r="B1269" s="819">
        <f>+CUBICACION!E1263</f>
        <v>0</v>
      </c>
      <c r="C1269" s="675">
        <f>+CUBICACION!F1263</f>
        <v>0</v>
      </c>
      <c r="D1269" s="118"/>
      <c r="E1269" s="118"/>
      <c r="F1269" s="820"/>
      <c r="G1269" s="675">
        <f>+CUBICACION!J1263</f>
        <v>0</v>
      </c>
      <c r="H1269" s="118"/>
      <c r="I1269" s="821">
        <f>+CUBICACION!L1263</f>
        <v>0</v>
      </c>
      <c r="J1269" s="64">
        <f>+CUBICACION!M1263</f>
        <v>0</v>
      </c>
      <c r="K1269" s="822" t="str">
        <f>+CUBICACION!N1263</f>
        <v/>
      </c>
      <c r="L1269" s="118">
        <f>+CUBICACION!O1263</f>
        <v>0</v>
      </c>
      <c r="M1269" s="823">
        <f>+CUBICACION!P1263</f>
        <v>0</v>
      </c>
      <c r="N1269" s="902">
        <f>ROUND(IF(AND(L1269="Blaze Shield II",M1269="Software Idiem",C1269="IN",G1269=4),((('BLAZE SHIELD II'!$D$4*('CALCULO MORTERO'!I1269^2)+'BLAZE SHIELD II'!$D$5*'CALCULO MORTERO'!I1269+'BLAZE SHIELD II'!$D$6)*LN(J1269))+('BLAZE SHIELD II'!$D$7*('CALCULO MORTERO'!I1269^2)+'BLAZE SHIELD II'!$D$8*'CALCULO MORTERO'!I1269+'BLAZE SHIELD II'!$D$9)),0)+IF(AND(L1269="Blaze Shield II",M1269="Software Idiem",C1269="Cj"),((('BLAZE SHIELD II'!$H$4*('CALCULO MORTERO'!I1269^2)+'BLAZE SHIELD II'!$H$5*'CALCULO MORTERO'!I1269+'BLAZE SHIELD II'!$H$6)*LN(J1269))+('BLAZE SHIELD II'!$H$7*('CALCULO MORTERO'!I1269^2)+'BLAZE SHIELD II'!$H$8*'CALCULO MORTERO'!I1269+'BLAZE SHIELD II'!$H$9)),0)+IF(AND(L1269="Blaze Shield II",M1269="Software Idiem",C1269="C"),((('BLAZE SHIELD II'!$L$4*('CALCULO MORTERO'!I1269^2)+'BLAZE SHIELD II'!$L$5*'CALCULO MORTERO'!I1269+'BLAZE SHIELD II'!$L$6)*LN(J1269))+('BLAZE SHIELD II'!$L$7*('CALCULO MORTERO'!I1269^2)+'BLAZE SHIELD II'!$L$8*'CALCULO MORTERO'!I1269+'BLAZE SHIELD II'!$L$9)),0)+IF(AND(L1269="Blaze Shield II",M1269="Software Idiem",C1269="L"),((('BLAZE SHIELD II'!$L$4*('CALCULO MORTERO'!I1269^2)+'BLAZE SHIELD II'!$L$5*'CALCULO MORTERO'!I1269+'BLAZE SHIELD II'!$L$6)*LN(J1269))+('BLAZE SHIELD II'!$L$7*('CALCULO MORTERO'!I1269^2)+'BLAZE SHIELD II'!$L$8*'CALCULO MORTERO'!I1269+'BLAZE SHIELD II'!$L$9)),0)+IF(AND(L1269="Blaze Shield II",M1269="Software Idiem",C1269="IN",G1269=3),((('BLAZE SHIELD II'!$H$14*('CALCULO MORTERO'!I1269^2)+'BLAZE SHIELD II'!$H$15*'CALCULO MORTERO'!I1269+'BLAZE SHIELD II'!$H$16)*LN(J1269))+('BLAZE SHIELD II'!$H$17*('CALCULO MORTERO'!I1269^2)+'BLAZE SHIELD II'!$H$18*'CALCULO MORTERO'!I1269+'BLAZE SHIELD II'!$H$19)),0),0)+ROUND(IF(AND(L1269="Cafco 400",M1269="Software Idiem",C1269="IN",G1269=4),((('CAFCO 400 '!$H$7*(J1269^4)+'CAFCO 400 '!$H$8*(J1269^3)+'CAFCO 400 '!$H$9*(J1269^2)+'CAFCO 400 '!$H$10*J1269+'CAFCO 400 '!$H$11)*U1269^2)+(('CAFCO 400 '!$H$12*(J1269^3)+'CAFCO 400 '!$H$13*(J1269^2)+'CAFCO 400 '!$H$14*J1269+'CAFCO 400 '!$H$15)*U1269)+('CAFCO 400 '!$H$16*(J1269^2)+'CAFCO 400 '!$H$17*J1269+'CAFCO 400 '!$H$18)),0)+IF(AND(L1269="Cafco 400",M1269="Software Idiem",C1269="Cj"),(((('CAFCO 400 '!$D$7*LN(J1269)+'CAFCO 400 '!$D$8)*U1269^2)+(('CAFCO 400 '!$D$9*LN(J1269)+'CAFCO 400 '!$D$10)*U1269)+('CAFCO 400 '!$D$11*LN(J1269)+'CAFCO 400 '!$D$12))),0)+IF(AND(L1269="Cafco 400",M1269="Software Idiem",C1269="C"),((('CAFCO 400 '!$L$7*(J1269^3)+'CAFCO 400 '!$L$8*(J1269^2)+'CAFCO 400 '!$L$9*J1269+'CAFCO 400 '!$L$10)*U1269^2)+(('CAFCO 400 '!$L$11*(J1269^3)+'CAFCO 400 '!$L$12*(J1269^2)+'CAFCO 400 '!$L$13*J1269+'CAFCO 400 '!$L$14)*U1269)+('CAFCO 400 '!$L$15*LN(J1269)+'CAFCO 400 '!$L$16)),0)+IF(AND(L1269="Cafco 400",M1269="Software Idiem",C1269="L"),((('CAFCO 400 '!$L$7*(J1269^3)+'CAFCO 400 '!$L$8*(J1269^2)+'CAFCO 400 '!$L$9*J1269+'CAFCO 400 '!$L$10)*U1269^2)+(('CAFCO 400 '!$L$11*(J1269^3)+'CAFCO 400 '!$L$12*(J1269^2)+'CAFCO 400 '!$L$13*J1269+'CAFCO 400 '!$L$14)*U1269)+('CAFCO 400 '!$L$15*LN(J1269)+'CAFCO 400 '!$L$16)),0)+IF(AND(L1269="Cafco 400",M1269="Software Idiem",C1269="IN",G1269=3),((('CAFCO 400 '!$D$23*(J1269^2)+'CAFCO 400 '!$D$24*(J1269)+'CAFCO 400 '!$D$25)*U1269^2)+(('CAFCO 400 '!$D$26*(J1269^2)+'CAFCO 400 '!$D$27*J1269+'CAFCO 400 '!$D$28)*U1269)+('CAFCO 400 '!$D$29*(J1269^2)+'CAFCO 400 '!$D$30*J1269+'CAFCO 400 '!$D$31)),0),0)+IF(AND(L1269="Cafco 300",J1269&gt;=95,J1269&lt;=240,C1269="Cj",I1269=90),VLOOKUP(T1269,'CAFCO 300 IDIEM TABLAS'!$B$4:$D$23,2,FALSE),0)+IF(AND(L1269="Cafco 300",J1269&gt;=95,J1269&lt;=240,C1269="Cj",I1269=120),VLOOKUP(T1269,'CAFCO 300 IDIEM TABLAS'!$B$4:$D$23,3,FALSE),0)+IF(AND(L1269="Cafco 300",J1269&gt;=95,J1269&lt;=400,G1269=3,C1269="IN",I1269=90),VLOOKUP(T1269,'CAFCO 300 IDIEM TABLAS'!$F$4:$H$35,2,FALSE),0)+IF(AND(L1269="Cafco 300",J1269&gt;=95,J1269&lt;=400,G1269=3,C1269="IN",I1269=120),VLOOKUP(T1269,'CAFCO 300 IDIEM TABLAS'!$F$4:$H$35,3,FALSE),0)+IF(AND(L1269="Cafco 300",J1269&gt;=95,J1269&lt;=450,G1269=4,C1269="IN",I1269=90),VLOOKUP(T1269,'CAFCO 300 IDIEM TABLAS'!$J$4:$L$40,2,FALSE),0)+IF(AND(L1269="Cafco 300",J1269&gt;=95,J1269&lt;=450,G1269=4,C1269="IN",I1269=120),VLOOKUP(T1269,'CAFCO 300 IDIEM TABLAS'!$J$4:$L$40,3,FALSE),0)+IF(AND(M1269="Ensayo Idiem",L1269="Cafco 400",C1269="IN",G1269=4,I1269=90),VLOOKUP(T1269,'CAFCO 400 ENSAYO'!$B$7:$D$43,2,FALSE),0)+IF(AND(M1269="Ensayo Idiem",L1269="Cafco 400",C1269="IN",G1269=4,I1269=120),VLOOKUP(T1269,'CAFCO 400 ENSAYO'!$B$7:$D$43,3,FALSE),0)</f>
        <v>0</v>
      </c>
      <c r="O1269" s="96">
        <f t="shared" si="126"/>
        <v>0</v>
      </c>
      <c r="P1269" s="132" t="str">
        <f t="shared" si="127"/>
        <v>N/A</v>
      </c>
      <c r="Q1269" s="132" t="str">
        <f t="shared" si="128"/>
        <v>N/A</v>
      </c>
      <c r="R1269" s="132" t="str">
        <f t="shared" si="129"/>
        <v>NO CERT.</v>
      </c>
      <c r="S1269" s="132" t="e">
        <f t="shared" si="130"/>
        <v>#N/A</v>
      </c>
      <c r="T1269" s="133" t="e">
        <f>+IF(J1269=LOOKUP(J1269,'CAFCO 300 IDIEM TABLAS'!$J$4:$J$40),'CALCULO MORTERO'!J1269,MROUND('CALCULO MORTERO'!J1269,10))</f>
        <v>#N/A</v>
      </c>
      <c r="U1269" s="134">
        <f t="shared" si="131"/>
        <v>0</v>
      </c>
    </row>
    <row r="1270" spans="1:21" x14ac:dyDescent="0.25">
      <c r="A1270" s="118">
        <f>+CUBICACION!D1264</f>
        <v>0</v>
      </c>
      <c r="B1270" s="819">
        <f>+CUBICACION!E1264</f>
        <v>0</v>
      </c>
      <c r="C1270" s="675">
        <f>+CUBICACION!F1264</f>
        <v>0</v>
      </c>
      <c r="D1270" s="118"/>
      <c r="E1270" s="118"/>
      <c r="F1270" s="820"/>
      <c r="G1270" s="675">
        <f>+CUBICACION!J1264</f>
        <v>0</v>
      </c>
      <c r="H1270" s="118"/>
      <c r="I1270" s="821">
        <f>+CUBICACION!L1264</f>
        <v>0</v>
      </c>
      <c r="J1270" s="64">
        <f>+CUBICACION!M1264</f>
        <v>0</v>
      </c>
      <c r="K1270" s="822" t="str">
        <f>+CUBICACION!N1264</f>
        <v/>
      </c>
      <c r="L1270" s="118">
        <f>+CUBICACION!O1264</f>
        <v>0</v>
      </c>
      <c r="M1270" s="823">
        <f>+CUBICACION!P1264</f>
        <v>0</v>
      </c>
      <c r="N1270" s="902">
        <f>ROUND(IF(AND(L1270="Blaze Shield II",M1270="Software Idiem",C1270="IN",G1270=4),((('BLAZE SHIELD II'!$D$4*('CALCULO MORTERO'!I1270^2)+'BLAZE SHIELD II'!$D$5*'CALCULO MORTERO'!I1270+'BLAZE SHIELD II'!$D$6)*LN(J1270))+('BLAZE SHIELD II'!$D$7*('CALCULO MORTERO'!I1270^2)+'BLAZE SHIELD II'!$D$8*'CALCULO MORTERO'!I1270+'BLAZE SHIELD II'!$D$9)),0)+IF(AND(L1270="Blaze Shield II",M1270="Software Idiem",C1270="Cj"),((('BLAZE SHIELD II'!$H$4*('CALCULO MORTERO'!I1270^2)+'BLAZE SHIELD II'!$H$5*'CALCULO MORTERO'!I1270+'BLAZE SHIELD II'!$H$6)*LN(J1270))+('BLAZE SHIELD II'!$H$7*('CALCULO MORTERO'!I1270^2)+'BLAZE SHIELD II'!$H$8*'CALCULO MORTERO'!I1270+'BLAZE SHIELD II'!$H$9)),0)+IF(AND(L1270="Blaze Shield II",M1270="Software Idiem",C1270="C"),((('BLAZE SHIELD II'!$L$4*('CALCULO MORTERO'!I1270^2)+'BLAZE SHIELD II'!$L$5*'CALCULO MORTERO'!I1270+'BLAZE SHIELD II'!$L$6)*LN(J1270))+('BLAZE SHIELD II'!$L$7*('CALCULO MORTERO'!I1270^2)+'BLAZE SHIELD II'!$L$8*'CALCULO MORTERO'!I1270+'BLAZE SHIELD II'!$L$9)),0)+IF(AND(L1270="Blaze Shield II",M1270="Software Idiem",C1270="L"),((('BLAZE SHIELD II'!$L$4*('CALCULO MORTERO'!I1270^2)+'BLAZE SHIELD II'!$L$5*'CALCULO MORTERO'!I1270+'BLAZE SHIELD II'!$L$6)*LN(J1270))+('BLAZE SHIELD II'!$L$7*('CALCULO MORTERO'!I1270^2)+'BLAZE SHIELD II'!$L$8*'CALCULO MORTERO'!I1270+'BLAZE SHIELD II'!$L$9)),0)+IF(AND(L1270="Blaze Shield II",M1270="Software Idiem",C1270="IN",G1270=3),((('BLAZE SHIELD II'!$H$14*('CALCULO MORTERO'!I1270^2)+'BLAZE SHIELD II'!$H$15*'CALCULO MORTERO'!I1270+'BLAZE SHIELD II'!$H$16)*LN(J1270))+('BLAZE SHIELD II'!$H$17*('CALCULO MORTERO'!I1270^2)+'BLAZE SHIELD II'!$H$18*'CALCULO MORTERO'!I1270+'BLAZE SHIELD II'!$H$19)),0),0)+ROUND(IF(AND(L1270="Cafco 400",M1270="Software Idiem",C1270="IN",G1270=4),((('CAFCO 400 '!$H$7*(J1270^4)+'CAFCO 400 '!$H$8*(J1270^3)+'CAFCO 400 '!$H$9*(J1270^2)+'CAFCO 400 '!$H$10*J1270+'CAFCO 400 '!$H$11)*U1270^2)+(('CAFCO 400 '!$H$12*(J1270^3)+'CAFCO 400 '!$H$13*(J1270^2)+'CAFCO 400 '!$H$14*J1270+'CAFCO 400 '!$H$15)*U1270)+('CAFCO 400 '!$H$16*(J1270^2)+'CAFCO 400 '!$H$17*J1270+'CAFCO 400 '!$H$18)),0)+IF(AND(L1270="Cafco 400",M1270="Software Idiem",C1270="Cj"),(((('CAFCO 400 '!$D$7*LN(J1270)+'CAFCO 400 '!$D$8)*U1270^2)+(('CAFCO 400 '!$D$9*LN(J1270)+'CAFCO 400 '!$D$10)*U1270)+('CAFCO 400 '!$D$11*LN(J1270)+'CAFCO 400 '!$D$12))),0)+IF(AND(L1270="Cafco 400",M1270="Software Idiem",C1270="C"),((('CAFCO 400 '!$L$7*(J1270^3)+'CAFCO 400 '!$L$8*(J1270^2)+'CAFCO 400 '!$L$9*J1270+'CAFCO 400 '!$L$10)*U1270^2)+(('CAFCO 400 '!$L$11*(J1270^3)+'CAFCO 400 '!$L$12*(J1270^2)+'CAFCO 400 '!$L$13*J1270+'CAFCO 400 '!$L$14)*U1270)+('CAFCO 400 '!$L$15*LN(J1270)+'CAFCO 400 '!$L$16)),0)+IF(AND(L1270="Cafco 400",M1270="Software Idiem",C1270="L"),((('CAFCO 400 '!$L$7*(J1270^3)+'CAFCO 400 '!$L$8*(J1270^2)+'CAFCO 400 '!$L$9*J1270+'CAFCO 400 '!$L$10)*U1270^2)+(('CAFCO 400 '!$L$11*(J1270^3)+'CAFCO 400 '!$L$12*(J1270^2)+'CAFCO 400 '!$L$13*J1270+'CAFCO 400 '!$L$14)*U1270)+('CAFCO 400 '!$L$15*LN(J1270)+'CAFCO 400 '!$L$16)),0)+IF(AND(L1270="Cafco 400",M1270="Software Idiem",C1270="IN",G1270=3),((('CAFCO 400 '!$D$23*(J1270^2)+'CAFCO 400 '!$D$24*(J1270)+'CAFCO 400 '!$D$25)*U1270^2)+(('CAFCO 400 '!$D$26*(J1270^2)+'CAFCO 400 '!$D$27*J1270+'CAFCO 400 '!$D$28)*U1270)+('CAFCO 400 '!$D$29*(J1270^2)+'CAFCO 400 '!$D$30*J1270+'CAFCO 400 '!$D$31)),0),0)+IF(AND(L1270="Cafco 300",J1270&gt;=95,J1270&lt;=240,C1270="Cj",I1270=90),VLOOKUP(T1270,'CAFCO 300 IDIEM TABLAS'!$B$4:$D$23,2,FALSE),0)+IF(AND(L1270="Cafco 300",J1270&gt;=95,J1270&lt;=240,C1270="Cj",I1270=120),VLOOKUP(T1270,'CAFCO 300 IDIEM TABLAS'!$B$4:$D$23,3,FALSE),0)+IF(AND(L1270="Cafco 300",J1270&gt;=95,J1270&lt;=400,G1270=3,C1270="IN",I1270=90),VLOOKUP(T1270,'CAFCO 300 IDIEM TABLAS'!$F$4:$H$35,2,FALSE),0)+IF(AND(L1270="Cafco 300",J1270&gt;=95,J1270&lt;=400,G1270=3,C1270="IN",I1270=120),VLOOKUP(T1270,'CAFCO 300 IDIEM TABLAS'!$F$4:$H$35,3,FALSE),0)+IF(AND(L1270="Cafco 300",J1270&gt;=95,J1270&lt;=450,G1270=4,C1270="IN",I1270=90),VLOOKUP(T1270,'CAFCO 300 IDIEM TABLAS'!$J$4:$L$40,2,FALSE),0)+IF(AND(L1270="Cafco 300",J1270&gt;=95,J1270&lt;=450,G1270=4,C1270="IN",I1270=120),VLOOKUP(T1270,'CAFCO 300 IDIEM TABLAS'!$J$4:$L$40,3,FALSE),0)+IF(AND(M1270="Ensayo Idiem",L1270="Cafco 400",C1270="IN",G1270=4,I1270=90),VLOOKUP(T1270,'CAFCO 400 ENSAYO'!$B$7:$D$43,2,FALSE),0)+IF(AND(M1270="Ensayo Idiem",L1270="Cafco 400",C1270="IN",G1270=4,I1270=120),VLOOKUP(T1270,'CAFCO 400 ENSAYO'!$B$7:$D$43,3,FALSE),0)</f>
        <v>0</v>
      </c>
      <c r="O1270" s="96">
        <f t="shared" si="126"/>
        <v>0</v>
      </c>
      <c r="P1270" s="95" t="str">
        <f t="shared" si="127"/>
        <v>N/A</v>
      </c>
      <c r="Q1270" s="95" t="str">
        <f t="shared" si="128"/>
        <v>N/A</v>
      </c>
      <c r="R1270" s="95" t="str">
        <f t="shared" si="129"/>
        <v>NO CERT.</v>
      </c>
      <c r="S1270" s="95" t="e">
        <f t="shared" si="130"/>
        <v>#N/A</v>
      </c>
      <c r="T1270" s="119" t="e">
        <f>+IF(J1270=LOOKUP(J1270,'CAFCO 300 IDIEM TABLAS'!$J$4:$J$40),'CALCULO MORTERO'!J1270,MROUND('CALCULO MORTERO'!J1270,10))</f>
        <v>#N/A</v>
      </c>
      <c r="U1270" s="118">
        <f t="shared" si="131"/>
        <v>0</v>
      </c>
    </row>
    <row r="1271" spans="1:21" x14ac:dyDescent="0.25">
      <c r="A1271" s="118">
        <f>+CUBICACION!D1265</f>
        <v>0</v>
      </c>
      <c r="B1271" s="819">
        <f>+CUBICACION!E1265</f>
        <v>0</v>
      </c>
      <c r="C1271" s="675">
        <f>+CUBICACION!F1265</f>
        <v>0</v>
      </c>
      <c r="D1271" s="118"/>
      <c r="E1271" s="118"/>
      <c r="F1271" s="820"/>
      <c r="G1271" s="675">
        <f>+CUBICACION!J1265</f>
        <v>0</v>
      </c>
      <c r="H1271" s="118"/>
      <c r="I1271" s="821">
        <f>+CUBICACION!L1265</f>
        <v>0</v>
      </c>
      <c r="J1271" s="64">
        <f>+CUBICACION!M1265</f>
        <v>0</v>
      </c>
      <c r="K1271" s="822" t="str">
        <f>+CUBICACION!N1265</f>
        <v/>
      </c>
      <c r="L1271" s="118">
        <f>+CUBICACION!O1265</f>
        <v>0</v>
      </c>
      <c r="M1271" s="823">
        <f>+CUBICACION!P1265</f>
        <v>0</v>
      </c>
      <c r="N1271" s="902">
        <f>ROUND(IF(AND(L1271="Blaze Shield II",M1271="Software Idiem",C1271="IN",G1271=4),((('BLAZE SHIELD II'!$D$4*('CALCULO MORTERO'!I1271^2)+'BLAZE SHIELD II'!$D$5*'CALCULO MORTERO'!I1271+'BLAZE SHIELD II'!$D$6)*LN(J1271))+('BLAZE SHIELD II'!$D$7*('CALCULO MORTERO'!I1271^2)+'BLAZE SHIELD II'!$D$8*'CALCULO MORTERO'!I1271+'BLAZE SHIELD II'!$D$9)),0)+IF(AND(L1271="Blaze Shield II",M1271="Software Idiem",C1271="Cj"),((('BLAZE SHIELD II'!$H$4*('CALCULO MORTERO'!I1271^2)+'BLAZE SHIELD II'!$H$5*'CALCULO MORTERO'!I1271+'BLAZE SHIELD II'!$H$6)*LN(J1271))+('BLAZE SHIELD II'!$H$7*('CALCULO MORTERO'!I1271^2)+'BLAZE SHIELD II'!$H$8*'CALCULO MORTERO'!I1271+'BLAZE SHIELD II'!$H$9)),0)+IF(AND(L1271="Blaze Shield II",M1271="Software Idiem",C1271="C"),((('BLAZE SHIELD II'!$L$4*('CALCULO MORTERO'!I1271^2)+'BLAZE SHIELD II'!$L$5*'CALCULO MORTERO'!I1271+'BLAZE SHIELD II'!$L$6)*LN(J1271))+('BLAZE SHIELD II'!$L$7*('CALCULO MORTERO'!I1271^2)+'BLAZE SHIELD II'!$L$8*'CALCULO MORTERO'!I1271+'BLAZE SHIELD II'!$L$9)),0)+IF(AND(L1271="Blaze Shield II",M1271="Software Idiem",C1271="L"),((('BLAZE SHIELD II'!$L$4*('CALCULO MORTERO'!I1271^2)+'BLAZE SHIELD II'!$L$5*'CALCULO MORTERO'!I1271+'BLAZE SHIELD II'!$L$6)*LN(J1271))+('BLAZE SHIELD II'!$L$7*('CALCULO MORTERO'!I1271^2)+'BLAZE SHIELD II'!$L$8*'CALCULO MORTERO'!I1271+'BLAZE SHIELD II'!$L$9)),0)+IF(AND(L1271="Blaze Shield II",M1271="Software Idiem",C1271="IN",G1271=3),((('BLAZE SHIELD II'!$H$14*('CALCULO MORTERO'!I1271^2)+'BLAZE SHIELD II'!$H$15*'CALCULO MORTERO'!I1271+'BLAZE SHIELD II'!$H$16)*LN(J1271))+('BLAZE SHIELD II'!$H$17*('CALCULO MORTERO'!I1271^2)+'BLAZE SHIELD II'!$H$18*'CALCULO MORTERO'!I1271+'BLAZE SHIELD II'!$H$19)),0),0)+ROUND(IF(AND(L1271="Cafco 400",M1271="Software Idiem",C1271="IN",G1271=4),((('CAFCO 400 '!$H$7*(J1271^4)+'CAFCO 400 '!$H$8*(J1271^3)+'CAFCO 400 '!$H$9*(J1271^2)+'CAFCO 400 '!$H$10*J1271+'CAFCO 400 '!$H$11)*U1271^2)+(('CAFCO 400 '!$H$12*(J1271^3)+'CAFCO 400 '!$H$13*(J1271^2)+'CAFCO 400 '!$H$14*J1271+'CAFCO 400 '!$H$15)*U1271)+('CAFCO 400 '!$H$16*(J1271^2)+'CAFCO 400 '!$H$17*J1271+'CAFCO 400 '!$H$18)),0)+IF(AND(L1271="Cafco 400",M1271="Software Idiem",C1271="Cj"),(((('CAFCO 400 '!$D$7*LN(J1271)+'CAFCO 400 '!$D$8)*U1271^2)+(('CAFCO 400 '!$D$9*LN(J1271)+'CAFCO 400 '!$D$10)*U1271)+('CAFCO 400 '!$D$11*LN(J1271)+'CAFCO 400 '!$D$12))),0)+IF(AND(L1271="Cafco 400",M1271="Software Idiem",C1271="C"),((('CAFCO 400 '!$L$7*(J1271^3)+'CAFCO 400 '!$L$8*(J1271^2)+'CAFCO 400 '!$L$9*J1271+'CAFCO 400 '!$L$10)*U1271^2)+(('CAFCO 400 '!$L$11*(J1271^3)+'CAFCO 400 '!$L$12*(J1271^2)+'CAFCO 400 '!$L$13*J1271+'CAFCO 400 '!$L$14)*U1271)+('CAFCO 400 '!$L$15*LN(J1271)+'CAFCO 400 '!$L$16)),0)+IF(AND(L1271="Cafco 400",M1271="Software Idiem",C1271="L"),((('CAFCO 400 '!$L$7*(J1271^3)+'CAFCO 400 '!$L$8*(J1271^2)+'CAFCO 400 '!$L$9*J1271+'CAFCO 400 '!$L$10)*U1271^2)+(('CAFCO 400 '!$L$11*(J1271^3)+'CAFCO 400 '!$L$12*(J1271^2)+'CAFCO 400 '!$L$13*J1271+'CAFCO 400 '!$L$14)*U1271)+('CAFCO 400 '!$L$15*LN(J1271)+'CAFCO 400 '!$L$16)),0)+IF(AND(L1271="Cafco 400",M1271="Software Idiem",C1271="IN",G1271=3),((('CAFCO 400 '!$D$23*(J1271^2)+'CAFCO 400 '!$D$24*(J1271)+'CAFCO 400 '!$D$25)*U1271^2)+(('CAFCO 400 '!$D$26*(J1271^2)+'CAFCO 400 '!$D$27*J1271+'CAFCO 400 '!$D$28)*U1271)+('CAFCO 400 '!$D$29*(J1271^2)+'CAFCO 400 '!$D$30*J1271+'CAFCO 400 '!$D$31)),0),0)+IF(AND(L1271="Cafco 300",J1271&gt;=95,J1271&lt;=240,C1271="Cj",I1271=90),VLOOKUP(T1271,'CAFCO 300 IDIEM TABLAS'!$B$4:$D$23,2,FALSE),0)+IF(AND(L1271="Cafco 300",J1271&gt;=95,J1271&lt;=240,C1271="Cj",I1271=120),VLOOKUP(T1271,'CAFCO 300 IDIEM TABLAS'!$B$4:$D$23,3,FALSE),0)+IF(AND(L1271="Cafco 300",J1271&gt;=95,J1271&lt;=400,G1271=3,C1271="IN",I1271=90),VLOOKUP(T1271,'CAFCO 300 IDIEM TABLAS'!$F$4:$H$35,2,FALSE),0)+IF(AND(L1271="Cafco 300",J1271&gt;=95,J1271&lt;=400,G1271=3,C1271="IN",I1271=120),VLOOKUP(T1271,'CAFCO 300 IDIEM TABLAS'!$F$4:$H$35,3,FALSE),0)+IF(AND(L1271="Cafco 300",J1271&gt;=95,J1271&lt;=450,G1271=4,C1271="IN",I1271=90),VLOOKUP(T1271,'CAFCO 300 IDIEM TABLAS'!$J$4:$L$40,2,FALSE),0)+IF(AND(L1271="Cafco 300",J1271&gt;=95,J1271&lt;=450,G1271=4,C1271="IN",I1271=120),VLOOKUP(T1271,'CAFCO 300 IDIEM TABLAS'!$J$4:$L$40,3,FALSE),0)+IF(AND(M1271="Ensayo Idiem",L1271="Cafco 400",C1271="IN",G1271=4,I1271=90),VLOOKUP(T1271,'CAFCO 400 ENSAYO'!$B$7:$D$43,2,FALSE),0)+IF(AND(M1271="Ensayo Idiem",L1271="Cafco 400",C1271="IN",G1271=4,I1271=120),VLOOKUP(T1271,'CAFCO 400 ENSAYO'!$B$7:$D$43,3,FALSE),0)</f>
        <v>0</v>
      </c>
      <c r="O1271" s="96">
        <f t="shared" si="126"/>
        <v>0</v>
      </c>
      <c r="P1271" s="132" t="str">
        <f t="shared" si="127"/>
        <v>N/A</v>
      </c>
      <c r="Q1271" s="132" t="str">
        <f t="shared" si="128"/>
        <v>N/A</v>
      </c>
      <c r="R1271" s="132" t="str">
        <f t="shared" si="129"/>
        <v>NO CERT.</v>
      </c>
      <c r="S1271" s="132" t="e">
        <f t="shared" si="130"/>
        <v>#N/A</v>
      </c>
      <c r="T1271" s="133" t="e">
        <f>+IF(J1271=LOOKUP(J1271,'CAFCO 300 IDIEM TABLAS'!$J$4:$J$40),'CALCULO MORTERO'!J1271,MROUND('CALCULO MORTERO'!J1271,10))</f>
        <v>#N/A</v>
      </c>
      <c r="U1271" s="134">
        <f t="shared" si="131"/>
        <v>0</v>
      </c>
    </row>
    <row r="1272" spans="1:21" x14ac:dyDescent="0.25">
      <c r="A1272" s="118">
        <f>+CUBICACION!D1266</f>
        <v>0</v>
      </c>
      <c r="B1272" s="819">
        <f>+CUBICACION!E1266</f>
        <v>0</v>
      </c>
      <c r="C1272" s="675">
        <f>+CUBICACION!F1266</f>
        <v>0</v>
      </c>
      <c r="D1272" s="118"/>
      <c r="E1272" s="118"/>
      <c r="F1272" s="820"/>
      <c r="G1272" s="675">
        <f>+CUBICACION!J1266</f>
        <v>0</v>
      </c>
      <c r="H1272" s="118"/>
      <c r="I1272" s="821">
        <f>+CUBICACION!L1266</f>
        <v>0</v>
      </c>
      <c r="J1272" s="64">
        <f>+CUBICACION!M1266</f>
        <v>0</v>
      </c>
      <c r="K1272" s="822" t="str">
        <f>+CUBICACION!N1266</f>
        <v/>
      </c>
      <c r="L1272" s="118">
        <f>+CUBICACION!O1266</f>
        <v>0</v>
      </c>
      <c r="M1272" s="823">
        <f>+CUBICACION!P1266</f>
        <v>0</v>
      </c>
      <c r="N1272" s="902">
        <f>ROUND(IF(AND(L1272="Blaze Shield II",M1272="Software Idiem",C1272="IN",G1272=4),((('BLAZE SHIELD II'!$D$4*('CALCULO MORTERO'!I1272^2)+'BLAZE SHIELD II'!$D$5*'CALCULO MORTERO'!I1272+'BLAZE SHIELD II'!$D$6)*LN(J1272))+('BLAZE SHIELD II'!$D$7*('CALCULO MORTERO'!I1272^2)+'BLAZE SHIELD II'!$D$8*'CALCULO MORTERO'!I1272+'BLAZE SHIELD II'!$D$9)),0)+IF(AND(L1272="Blaze Shield II",M1272="Software Idiem",C1272="Cj"),((('BLAZE SHIELD II'!$H$4*('CALCULO MORTERO'!I1272^2)+'BLAZE SHIELD II'!$H$5*'CALCULO MORTERO'!I1272+'BLAZE SHIELD II'!$H$6)*LN(J1272))+('BLAZE SHIELD II'!$H$7*('CALCULO MORTERO'!I1272^2)+'BLAZE SHIELD II'!$H$8*'CALCULO MORTERO'!I1272+'BLAZE SHIELD II'!$H$9)),0)+IF(AND(L1272="Blaze Shield II",M1272="Software Idiem",C1272="C"),((('BLAZE SHIELD II'!$L$4*('CALCULO MORTERO'!I1272^2)+'BLAZE SHIELD II'!$L$5*'CALCULO MORTERO'!I1272+'BLAZE SHIELD II'!$L$6)*LN(J1272))+('BLAZE SHIELD II'!$L$7*('CALCULO MORTERO'!I1272^2)+'BLAZE SHIELD II'!$L$8*'CALCULO MORTERO'!I1272+'BLAZE SHIELD II'!$L$9)),0)+IF(AND(L1272="Blaze Shield II",M1272="Software Idiem",C1272="L"),((('BLAZE SHIELD II'!$L$4*('CALCULO MORTERO'!I1272^2)+'BLAZE SHIELD II'!$L$5*'CALCULO MORTERO'!I1272+'BLAZE SHIELD II'!$L$6)*LN(J1272))+('BLAZE SHIELD II'!$L$7*('CALCULO MORTERO'!I1272^2)+'BLAZE SHIELD II'!$L$8*'CALCULO MORTERO'!I1272+'BLAZE SHIELD II'!$L$9)),0)+IF(AND(L1272="Blaze Shield II",M1272="Software Idiem",C1272="IN",G1272=3),((('BLAZE SHIELD II'!$H$14*('CALCULO MORTERO'!I1272^2)+'BLAZE SHIELD II'!$H$15*'CALCULO MORTERO'!I1272+'BLAZE SHIELD II'!$H$16)*LN(J1272))+('BLAZE SHIELD II'!$H$17*('CALCULO MORTERO'!I1272^2)+'BLAZE SHIELD II'!$H$18*'CALCULO MORTERO'!I1272+'BLAZE SHIELD II'!$H$19)),0),0)+ROUND(IF(AND(L1272="Cafco 400",M1272="Software Idiem",C1272="IN",G1272=4),((('CAFCO 400 '!$H$7*(J1272^4)+'CAFCO 400 '!$H$8*(J1272^3)+'CAFCO 400 '!$H$9*(J1272^2)+'CAFCO 400 '!$H$10*J1272+'CAFCO 400 '!$H$11)*U1272^2)+(('CAFCO 400 '!$H$12*(J1272^3)+'CAFCO 400 '!$H$13*(J1272^2)+'CAFCO 400 '!$H$14*J1272+'CAFCO 400 '!$H$15)*U1272)+('CAFCO 400 '!$H$16*(J1272^2)+'CAFCO 400 '!$H$17*J1272+'CAFCO 400 '!$H$18)),0)+IF(AND(L1272="Cafco 400",M1272="Software Idiem",C1272="Cj"),(((('CAFCO 400 '!$D$7*LN(J1272)+'CAFCO 400 '!$D$8)*U1272^2)+(('CAFCO 400 '!$D$9*LN(J1272)+'CAFCO 400 '!$D$10)*U1272)+('CAFCO 400 '!$D$11*LN(J1272)+'CAFCO 400 '!$D$12))),0)+IF(AND(L1272="Cafco 400",M1272="Software Idiem",C1272="C"),((('CAFCO 400 '!$L$7*(J1272^3)+'CAFCO 400 '!$L$8*(J1272^2)+'CAFCO 400 '!$L$9*J1272+'CAFCO 400 '!$L$10)*U1272^2)+(('CAFCO 400 '!$L$11*(J1272^3)+'CAFCO 400 '!$L$12*(J1272^2)+'CAFCO 400 '!$L$13*J1272+'CAFCO 400 '!$L$14)*U1272)+('CAFCO 400 '!$L$15*LN(J1272)+'CAFCO 400 '!$L$16)),0)+IF(AND(L1272="Cafco 400",M1272="Software Idiem",C1272="L"),((('CAFCO 400 '!$L$7*(J1272^3)+'CAFCO 400 '!$L$8*(J1272^2)+'CAFCO 400 '!$L$9*J1272+'CAFCO 400 '!$L$10)*U1272^2)+(('CAFCO 400 '!$L$11*(J1272^3)+'CAFCO 400 '!$L$12*(J1272^2)+'CAFCO 400 '!$L$13*J1272+'CAFCO 400 '!$L$14)*U1272)+('CAFCO 400 '!$L$15*LN(J1272)+'CAFCO 400 '!$L$16)),0)+IF(AND(L1272="Cafco 400",M1272="Software Idiem",C1272="IN",G1272=3),((('CAFCO 400 '!$D$23*(J1272^2)+'CAFCO 400 '!$D$24*(J1272)+'CAFCO 400 '!$D$25)*U1272^2)+(('CAFCO 400 '!$D$26*(J1272^2)+'CAFCO 400 '!$D$27*J1272+'CAFCO 400 '!$D$28)*U1272)+('CAFCO 400 '!$D$29*(J1272^2)+'CAFCO 400 '!$D$30*J1272+'CAFCO 400 '!$D$31)),0),0)+IF(AND(L1272="Cafco 300",J1272&gt;=95,J1272&lt;=240,C1272="Cj",I1272=90),VLOOKUP(T1272,'CAFCO 300 IDIEM TABLAS'!$B$4:$D$23,2,FALSE),0)+IF(AND(L1272="Cafco 300",J1272&gt;=95,J1272&lt;=240,C1272="Cj",I1272=120),VLOOKUP(T1272,'CAFCO 300 IDIEM TABLAS'!$B$4:$D$23,3,FALSE),0)+IF(AND(L1272="Cafco 300",J1272&gt;=95,J1272&lt;=400,G1272=3,C1272="IN",I1272=90),VLOOKUP(T1272,'CAFCO 300 IDIEM TABLAS'!$F$4:$H$35,2,FALSE),0)+IF(AND(L1272="Cafco 300",J1272&gt;=95,J1272&lt;=400,G1272=3,C1272="IN",I1272=120),VLOOKUP(T1272,'CAFCO 300 IDIEM TABLAS'!$F$4:$H$35,3,FALSE),0)+IF(AND(L1272="Cafco 300",J1272&gt;=95,J1272&lt;=450,G1272=4,C1272="IN",I1272=90),VLOOKUP(T1272,'CAFCO 300 IDIEM TABLAS'!$J$4:$L$40,2,FALSE),0)+IF(AND(L1272="Cafco 300",J1272&gt;=95,J1272&lt;=450,G1272=4,C1272="IN",I1272=120),VLOOKUP(T1272,'CAFCO 300 IDIEM TABLAS'!$J$4:$L$40,3,FALSE),0)+IF(AND(M1272="Ensayo Idiem",L1272="Cafco 400",C1272="IN",G1272=4,I1272=90),VLOOKUP(T1272,'CAFCO 400 ENSAYO'!$B$7:$D$43,2,FALSE),0)+IF(AND(M1272="Ensayo Idiem",L1272="Cafco 400",C1272="IN",G1272=4,I1272=120),VLOOKUP(T1272,'CAFCO 400 ENSAYO'!$B$7:$D$43,3,FALSE),0)</f>
        <v>0</v>
      </c>
      <c r="O1272" s="96">
        <f t="shared" si="126"/>
        <v>0</v>
      </c>
      <c r="P1272" s="95" t="str">
        <f t="shared" si="127"/>
        <v>N/A</v>
      </c>
      <c r="Q1272" s="95" t="str">
        <f t="shared" si="128"/>
        <v>N/A</v>
      </c>
      <c r="R1272" s="95" t="str">
        <f t="shared" si="129"/>
        <v>NO CERT.</v>
      </c>
      <c r="S1272" s="95" t="e">
        <f t="shared" si="130"/>
        <v>#N/A</v>
      </c>
      <c r="T1272" s="119" t="e">
        <f>+IF(J1272=LOOKUP(J1272,'CAFCO 300 IDIEM TABLAS'!$J$4:$J$40),'CALCULO MORTERO'!J1272,MROUND('CALCULO MORTERO'!J1272,10))</f>
        <v>#N/A</v>
      </c>
      <c r="U1272" s="118">
        <f t="shared" si="131"/>
        <v>0</v>
      </c>
    </row>
    <row r="1273" spans="1:21" x14ac:dyDescent="0.25">
      <c r="A1273" s="118">
        <f>+CUBICACION!D1267</f>
        <v>0</v>
      </c>
      <c r="B1273" s="819">
        <f>+CUBICACION!E1267</f>
        <v>0</v>
      </c>
      <c r="C1273" s="675">
        <f>+CUBICACION!F1267</f>
        <v>0</v>
      </c>
      <c r="D1273" s="118"/>
      <c r="E1273" s="118"/>
      <c r="F1273" s="820"/>
      <c r="G1273" s="675">
        <f>+CUBICACION!J1267</f>
        <v>0</v>
      </c>
      <c r="H1273" s="118"/>
      <c r="I1273" s="821">
        <f>+CUBICACION!L1267</f>
        <v>0</v>
      </c>
      <c r="J1273" s="64">
        <f>+CUBICACION!M1267</f>
        <v>0</v>
      </c>
      <c r="K1273" s="822" t="str">
        <f>+CUBICACION!N1267</f>
        <v/>
      </c>
      <c r="L1273" s="118">
        <f>+CUBICACION!O1267</f>
        <v>0</v>
      </c>
      <c r="M1273" s="823">
        <f>+CUBICACION!P1267</f>
        <v>0</v>
      </c>
      <c r="N1273" s="902">
        <f>ROUND(IF(AND(L1273="Blaze Shield II",M1273="Software Idiem",C1273="IN",G1273=4),((('BLAZE SHIELD II'!$D$4*('CALCULO MORTERO'!I1273^2)+'BLAZE SHIELD II'!$D$5*'CALCULO MORTERO'!I1273+'BLAZE SHIELD II'!$D$6)*LN(J1273))+('BLAZE SHIELD II'!$D$7*('CALCULO MORTERO'!I1273^2)+'BLAZE SHIELD II'!$D$8*'CALCULO MORTERO'!I1273+'BLAZE SHIELD II'!$D$9)),0)+IF(AND(L1273="Blaze Shield II",M1273="Software Idiem",C1273="Cj"),((('BLAZE SHIELD II'!$H$4*('CALCULO MORTERO'!I1273^2)+'BLAZE SHIELD II'!$H$5*'CALCULO MORTERO'!I1273+'BLAZE SHIELD II'!$H$6)*LN(J1273))+('BLAZE SHIELD II'!$H$7*('CALCULO MORTERO'!I1273^2)+'BLAZE SHIELD II'!$H$8*'CALCULO MORTERO'!I1273+'BLAZE SHIELD II'!$H$9)),0)+IF(AND(L1273="Blaze Shield II",M1273="Software Idiem",C1273="C"),((('BLAZE SHIELD II'!$L$4*('CALCULO MORTERO'!I1273^2)+'BLAZE SHIELD II'!$L$5*'CALCULO MORTERO'!I1273+'BLAZE SHIELD II'!$L$6)*LN(J1273))+('BLAZE SHIELD II'!$L$7*('CALCULO MORTERO'!I1273^2)+'BLAZE SHIELD II'!$L$8*'CALCULO MORTERO'!I1273+'BLAZE SHIELD II'!$L$9)),0)+IF(AND(L1273="Blaze Shield II",M1273="Software Idiem",C1273="L"),((('BLAZE SHIELD II'!$L$4*('CALCULO MORTERO'!I1273^2)+'BLAZE SHIELD II'!$L$5*'CALCULO MORTERO'!I1273+'BLAZE SHIELD II'!$L$6)*LN(J1273))+('BLAZE SHIELD II'!$L$7*('CALCULO MORTERO'!I1273^2)+'BLAZE SHIELD II'!$L$8*'CALCULO MORTERO'!I1273+'BLAZE SHIELD II'!$L$9)),0)+IF(AND(L1273="Blaze Shield II",M1273="Software Idiem",C1273="IN",G1273=3),((('BLAZE SHIELD II'!$H$14*('CALCULO MORTERO'!I1273^2)+'BLAZE SHIELD II'!$H$15*'CALCULO MORTERO'!I1273+'BLAZE SHIELD II'!$H$16)*LN(J1273))+('BLAZE SHIELD II'!$H$17*('CALCULO MORTERO'!I1273^2)+'BLAZE SHIELD II'!$H$18*'CALCULO MORTERO'!I1273+'BLAZE SHIELD II'!$H$19)),0),0)+ROUND(IF(AND(L1273="Cafco 400",M1273="Software Idiem",C1273="IN",G1273=4),((('CAFCO 400 '!$H$7*(J1273^4)+'CAFCO 400 '!$H$8*(J1273^3)+'CAFCO 400 '!$H$9*(J1273^2)+'CAFCO 400 '!$H$10*J1273+'CAFCO 400 '!$H$11)*U1273^2)+(('CAFCO 400 '!$H$12*(J1273^3)+'CAFCO 400 '!$H$13*(J1273^2)+'CAFCO 400 '!$H$14*J1273+'CAFCO 400 '!$H$15)*U1273)+('CAFCO 400 '!$H$16*(J1273^2)+'CAFCO 400 '!$H$17*J1273+'CAFCO 400 '!$H$18)),0)+IF(AND(L1273="Cafco 400",M1273="Software Idiem",C1273="Cj"),(((('CAFCO 400 '!$D$7*LN(J1273)+'CAFCO 400 '!$D$8)*U1273^2)+(('CAFCO 400 '!$D$9*LN(J1273)+'CAFCO 400 '!$D$10)*U1273)+('CAFCO 400 '!$D$11*LN(J1273)+'CAFCO 400 '!$D$12))),0)+IF(AND(L1273="Cafco 400",M1273="Software Idiem",C1273="C"),((('CAFCO 400 '!$L$7*(J1273^3)+'CAFCO 400 '!$L$8*(J1273^2)+'CAFCO 400 '!$L$9*J1273+'CAFCO 400 '!$L$10)*U1273^2)+(('CAFCO 400 '!$L$11*(J1273^3)+'CAFCO 400 '!$L$12*(J1273^2)+'CAFCO 400 '!$L$13*J1273+'CAFCO 400 '!$L$14)*U1273)+('CAFCO 400 '!$L$15*LN(J1273)+'CAFCO 400 '!$L$16)),0)+IF(AND(L1273="Cafco 400",M1273="Software Idiem",C1273="L"),((('CAFCO 400 '!$L$7*(J1273^3)+'CAFCO 400 '!$L$8*(J1273^2)+'CAFCO 400 '!$L$9*J1273+'CAFCO 400 '!$L$10)*U1273^2)+(('CAFCO 400 '!$L$11*(J1273^3)+'CAFCO 400 '!$L$12*(J1273^2)+'CAFCO 400 '!$L$13*J1273+'CAFCO 400 '!$L$14)*U1273)+('CAFCO 400 '!$L$15*LN(J1273)+'CAFCO 400 '!$L$16)),0)+IF(AND(L1273="Cafco 400",M1273="Software Idiem",C1273="IN",G1273=3),((('CAFCO 400 '!$D$23*(J1273^2)+'CAFCO 400 '!$D$24*(J1273)+'CAFCO 400 '!$D$25)*U1273^2)+(('CAFCO 400 '!$D$26*(J1273^2)+'CAFCO 400 '!$D$27*J1273+'CAFCO 400 '!$D$28)*U1273)+('CAFCO 400 '!$D$29*(J1273^2)+'CAFCO 400 '!$D$30*J1273+'CAFCO 400 '!$D$31)),0),0)+IF(AND(L1273="Cafco 300",J1273&gt;=95,J1273&lt;=240,C1273="Cj",I1273=90),VLOOKUP(T1273,'CAFCO 300 IDIEM TABLAS'!$B$4:$D$23,2,FALSE),0)+IF(AND(L1273="Cafco 300",J1273&gt;=95,J1273&lt;=240,C1273="Cj",I1273=120),VLOOKUP(T1273,'CAFCO 300 IDIEM TABLAS'!$B$4:$D$23,3,FALSE),0)+IF(AND(L1273="Cafco 300",J1273&gt;=95,J1273&lt;=400,G1273=3,C1273="IN",I1273=90),VLOOKUP(T1273,'CAFCO 300 IDIEM TABLAS'!$F$4:$H$35,2,FALSE),0)+IF(AND(L1273="Cafco 300",J1273&gt;=95,J1273&lt;=400,G1273=3,C1273="IN",I1273=120),VLOOKUP(T1273,'CAFCO 300 IDIEM TABLAS'!$F$4:$H$35,3,FALSE),0)+IF(AND(L1273="Cafco 300",J1273&gt;=95,J1273&lt;=450,G1273=4,C1273="IN",I1273=90),VLOOKUP(T1273,'CAFCO 300 IDIEM TABLAS'!$J$4:$L$40,2,FALSE),0)+IF(AND(L1273="Cafco 300",J1273&gt;=95,J1273&lt;=450,G1273=4,C1273="IN",I1273=120),VLOOKUP(T1273,'CAFCO 300 IDIEM TABLAS'!$J$4:$L$40,3,FALSE),0)+IF(AND(M1273="Ensayo Idiem",L1273="Cafco 400",C1273="IN",G1273=4,I1273=90),VLOOKUP(T1273,'CAFCO 400 ENSAYO'!$B$7:$D$43,2,FALSE),0)+IF(AND(M1273="Ensayo Idiem",L1273="Cafco 400",C1273="IN",G1273=4,I1273=120),VLOOKUP(T1273,'CAFCO 400 ENSAYO'!$B$7:$D$43,3,FALSE),0)</f>
        <v>0</v>
      </c>
      <c r="O1273" s="96">
        <f t="shared" si="126"/>
        <v>0</v>
      </c>
      <c r="P1273" s="132" t="str">
        <f t="shared" si="127"/>
        <v>N/A</v>
      </c>
      <c r="Q1273" s="132" t="str">
        <f t="shared" si="128"/>
        <v>N/A</v>
      </c>
      <c r="R1273" s="132" t="str">
        <f t="shared" si="129"/>
        <v>NO CERT.</v>
      </c>
      <c r="S1273" s="132" t="e">
        <f t="shared" si="130"/>
        <v>#N/A</v>
      </c>
      <c r="T1273" s="133" t="e">
        <f>+IF(J1273=LOOKUP(J1273,'CAFCO 300 IDIEM TABLAS'!$J$4:$J$40),'CALCULO MORTERO'!J1273,MROUND('CALCULO MORTERO'!J1273,10))</f>
        <v>#N/A</v>
      </c>
      <c r="U1273" s="134">
        <f t="shared" si="131"/>
        <v>0</v>
      </c>
    </row>
    <row r="1274" spans="1:21" x14ac:dyDescent="0.25">
      <c r="A1274" s="118">
        <f>+CUBICACION!D1268</f>
        <v>0</v>
      </c>
      <c r="B1274" s="819">
        <f>+CUBICACION!E1268</f>
        <v>0</v>
      </c>
      <c r="C1274" s="675">
        <f>+CUBICACION!F1268</f>
        <v>0</v>
      </c>
      <c r="D1274" s="118"/>
      <c r="E1274" s="118"/>
      <c r="F1274" s="820"/>
      <c r="G1274" s="675">
        <f>+CUBICACION!J1268</f>
        <v>0</v>
      </c>
      <c r="H1274" s="118"/>
      <c r="I1274" s="821">
        <f>+CUBICACION!L1268</f>
        <v>0</v>
      </c>
      <c r="J1274" s="64">
        <f>+CUBICACION!M1268</f>
        <v>0</v>
      </c>
      <c r="K1274" s="822" t="str">
        <f>+CUBICACION!N1268</f>
        <v/>
      </c>
      <c r="L1274" s="118">
        <f>+CUBICACION!O1268</f>
        <v>0</v>
      </c>
      <c r="M1274" s="823">
        <f>+CUBICACION!P1268</f>
        <v>0</v>
      </c>
      <c r="N1274" s="902">
        <f>ROUND(IF(AND(L1274="Blaze Shield II",M1274="Software Idiem",C1274="IN",G1274=4),((('BLAZE SHIELD II'!$D$4*('CALCULO MORTERO'!I1274^2)+'BLAZE SHIELD II'!$D$5*'CALCULO MORTERO'!I1274+'BLAZE SHIELD II'!$D$6)*LN(J1274))+('BLAZE SHIELD II'!$D$7*('CALCULO MORTERO'!I1274^2)+'BLAZE SHIELD II'!$D$8*'CALCULO MORTERO'!I1274+'BLAZE SHIELD II'!$D$9)),0)+IF(AND(L1274="Blaze Shield II",M1274="Software Idiem",C1274="Cj"),((('BLAZE SHIELD II'!$H$4*('CALCULO MORTERO'!I1274^2)+'BLAZE SHIELD II'!$H$5*'CALCULO MORTERO'!I1274+'BLAZE SHIELD II'!$H$6)*LN(J1274))+('BLAZE SHIELD II'!$H$7*('CALCULO MORTERO'!I1274^2)+'BLAZE SHIELD II'!$H$8*'CALCULO MORTERO'!I1274+'BLAZE SHIELD II'!$H$9)),0)+IF(AND(L1274="Blaze Shield II",M1274="Software Idiem",C1274="C"),((('BLAZE SHIELD II'!$L$4*('CALCULO MORTERO'!I1274^2)+'BLAZE SHIELD II'!$L$5*'CALCULO MORTERO'!I1274+'BLAZE SHIELD II'!$L$6)*LN(J1274))+('BLAZE SHIELD II'!$L$7*('CALCULO MORTERO'!I1274^2)+'BLAZE SHIELD II'!$L$8*'CALCULO MORTERO'!I1274+'BLAZE SHIELD II'!$L$9)),0)+IF(AND(L1274="Blaze Shield II",M1274="Software Idiem",C1274="L"),((('BLAZE SHIELD II'!$L$4*('CALCULO MORTERO'!I1274^2)+'BLAZE SHIELD II'!$L$5*'CALCULO MORTERO'!I1274+'BLAZE SHIELD II'!$L$6)*LN(J1274))+('BLAZE SHIELD II'!$L$7*('CALCULO MORTERO'!I1274^2)+'BLAZE SHIELD II'!$L$8*'CALCULO MORTERO'!I1274+'BLAZE SHIELD II'!$L$9)),0)+IF(AND(L1274="Blaze Shield II",M1274="Software Idiem",C1274="IN",G1274=3),((('BLAZE SHIELD II'!$H$14*('CALCULO MORTERO'!I1274^2)+'BLAZE SHIELD II'!$H$15*'CALCULO MORTERO'!I1274+'BLAZE SHIELD II'!$H$16)*LN(J1274))+('BLAZE SHIELD II'!$H$17*('CALCULO MORTERO'!I1274^2)+'BLAZE SHIELD II'!$H$18*'CALCULO MORTERO'!I1274+'BLAZE SHIELD II'!$H$19)),0),0)+ROUND(IF(AND(L1274="Cafco 400",M1274="Software Idiem",C1274="IN",G1274=4),((('CAFCO 400 '!$H$7*(J1274^4)+'CAFCO 400 '!$H$8*(J1274^3)+'CAFCO 400 '!$H$9*(J1274^2)+'CAFCO 400 '!$H$10*J1274+'CAFCO 400 '!$H$11)*U1274^2)+(('CAFCO 400 '!$H$12*(J1274^3)+'CAFCO 400 '!$H$13*(J1274^2)+'CAFCO 400 '!$H$14*J1274+'CAFCO 400 '!$H$15)*U1274)+('CAFCO 400 '!$H$16*(J1274^2)+'CAFCO 400 '!$H$17*J1274+'CAFCO 400 '!$H$18)),0)+IF(AND(L1274="Cafco 400",M1274="Software Idiem",C1274="Cj"),(((('CAFCO 400 '!$D$7*LN(J1274)+'CAFCO 400 '!$D$8)*U1274^2)+(('CAFCO 400 '!$D$9*LN(J1274)+'CAFCO 400 '!$D$10)*U1274)+('CAFCO 400 '!$D$11*LN(J1274)+'CAFCO 400 '!$D$12))),0)+IF(AND(L1274="Cafco 400",M1274="Software Idiem",C1274="C"),((('CAFCO 400 '!$L$7*(J1274^3)+'CAFCO 400 '!$L$8*(J1274^2)+'CAFCO 400 '!$L$9*J1274+'CAFCO 400 '!$L$10)*U1274^2)+(('CAFCO 400 '!$L$11*(J1274^3)+'CAFCO 400 '!$L$12*(J1274^2)+'CAFCO 400 '!$L$13*J1274+'CAFCO 400 '!$L$14)*U1274)+('CAFCO 400 '!$L$15*LN(J1274)+'CAFCO 400 '!$L$16)),0)+IF(AND(L1274="Cafco 400",M1274="Software Idiem",C1274="L"),((('CAFCO 400 '!$L$7*(J1274^3)+'CAFCO 400 '!$L$8*(J1274^2)+'CAFCO 400 '!$L$9*J1274+'CAFCO 400 '!$L$10)*U1274^2)+(('CAFCO 400 '!$L$11*(J1274^3)+'CAFCO 400 '!$L$12*(J1274^2)+'CAFCO 400 '!$L$13*J1274+'CAFCO 400 '!$L$14)*U1274)+('CAFCO 400 '!$L$15*LN(J1274)+'CAFCO 400 '!$L$16)),0)+IF(AND(L1274="Cafco 400",M1274="Software Idiem",C1274="IN",G1274=3),((('CAFCO 400 '!$D$23*(J1274^2)+'CAFCO 400 '!$D$24*(J1274)+'CAFCO 400 '!$D$25)*U1274^2)+(('CAFCO 400 '!$D$26*(J1274^2)+'CAFCO 400 '!$D$27*J1274+'CAFCO 400 '!$D$28)*U1274)+('CAFCO 400 '!$D$29*(J1274^2)+'CAFCO 400 '!$D$30*J1274+'CAFCO 400 '!$D$31)),0),0)+IF(AND(L1274="Cafco 300",J1274&gt;=95,J1274&lt;=240,C1274="Cj",I1274=90),VLOOKUP(T1274,'CAFCO 300 IDIEM TABLAS'!$B$4:$D$23,2,FALSE),0)+IF(AND(L1274="Cafco 300",J1274&gt;=95,J1274&lt;=240,C1274="Cj",I1274=120),VLOOKUP(T1274,'CAFCO 300 IDIEM TABLAS'!$B$4:$D$23,3,FALSE),0)+IF(AND(L1274="Cafco 300",J1274&gt;=95,J1274&lt;=400,G1274=3,C1274="IN",I1274=90),VLOOKUP(T1274,'CAFCO 300 IDIEM TABLAS'!$F$4:$H$35,2,FALSE),0)+IF(AND(L1274="Cafco 300",J1274&gt;=95,J1274&lt;=400,G1274=3,C1274="IN",I1274=120),VLOOKUP(T1274,'CAFCO 300 IDIEM TABLAS'!$F$4:$H$35,3,FALSE),0)+IF(AND(L1274="Cafco 300",J1274&gt;=95,J1274&lt;=450,G1274=4,C1274="IN",I1274=90),VLOOKUP(T1274,'CAFCO 300 IDIEM TABLAS'!$J$4:$L$40,2,FALSE),0)+IF(AND(L1274="Cafco 300",J1274&gt;=95,J1274&lt;=450,G1274=4,C1274="IN",I1274=120),VLOOKUP(T1274,'CAFCO 300 IDIEM TABLAS'!$J$4:$L$40,3,FALSE),0)+IF(AND(M1274="Ensayo Idiem",L1274="Cafco 400",C1274="IN",G1274=4,I1274=90),VLOOKUP(T1274,'CAFCO 400 ENSAYO'!$B$7:$D$43,2,FALSE),0)+IF(AND(M1274="Ensayo Idiem",L1274="Cafco 400",C1274="IN",G1274=4,I1274=120),VLOOKUP(T1274,'CAFCO 400 ENSAYO'!$B$7:$D$43,3,FALSE),0)</f>
        <v>0</v>
      </c>
      <c r="O1274" s="96">
        <f t="shared" si="126"/>
        <v>0</v>
      </c>
      <c r="P1274" s="95" t="str">
        <f t="shared" si="127"/>
        <v>N/A</v>
      </c>
      <c r="Q1274" s="95" t="str">
        <f t="shared" si="128"/>
        <v>N/A</v>
      </c>
      <c r="R1274" s="95" t="str">
        <f t="shared" si="129"/>
        <v>NO CERT.</v>
      </c>
      <c r="S1274" s="95" t="e">
        <f t="shared" si="130"/>
        <v>#N/A</v>
      </c>
      <c r="T1274" s="119" t="e">
        <f>+IF(J1274=LOOKUP(J1274,'CAFCO 300 IDIEM TABLAS'!$J$4:$J$40),'CALCULO MORTERO'!J1274,MROUND('CALCULO MORTERO'!J1274,10))</f>
        <v>#N/A</v>
      </c>
      <c r="U1274" s="118">
        <f t="shared" si="131"/>
        <v>0</v>
      </c>
    </row>
    <row r="1275" spans="1:21" x14ac:dyDescent="0.25">
      <c r="A1275" s="118">
        <f>+CUBICACION!D1269</f>
        <v>0</v>
      </c>
      <c r="B1275" s="819">
        <f>+CUBICACION!E1269</f>
        <v>0</v>
      </c>
      <c r="C1275" s="675">
        <f>+CUBICACION!F1269</f>
        <v>0</v>
      </c>
      <c r="D1275" s="118"/>
      <c r="E1275" s="118"/>
      <c r="F1275" s="820"/>
      <c r="G1275" s="675">
        <f>+CUBICACION!J1269</f>
        <v>0</v>
      </c>
      <c r="H1275" s="118"/>
      <c r="I1275" s="821">
        <f>+CUBICACION!L1269</f>
        <v>0</v>
      </c>
      <c r="J1275" s="64">
        <f>+CUBICACION!M1269</f>
        <v>0</v>
      </c>
      <c r="K1275" s="822" t="str">
        <f>+CUBICACION!N1269</f>
        <v/>
      </c>
      <c r="L1275" s="118">
        <f>+CUBICACION!O1269</f>
        <v>0</v>
      </c>
      <c r="M1275" s="823">
        <f>+CUBICACION!P1269</f>
        <v>0</v>
      </c>
      <c r="N1275" s="902">
        <f>ROUND(IF(AND(L1275="Blaze Shield II",M1275="Software Idiem",C1275="IN",G1275=4),((('BLAZE SHIELD II'!$D$4*('CALCULO MORTERO'!I1275^2)+'BLAZE SHIELD II'!$D$5*'CALCULO MORTERO'!I1275+'BLAZE SHIELD II'!$D$6)*LN(J1275))+('BLAZE SHIELD II'!$D$7*('CALCULO MORTERO'!I1275^2)+'BLAZE SHIELD II'!$D$8*'CALCULO MORTERO'!I1275+'BLAZE SHIELD II'!$D$9)),0)+IF(AND(L1275="Blaze Shield II",M1275="Software Idiem",C1275="Cj"),((('BLAZE SHIELD II'!$H$4*('CALCULO MORTERO'!I1275^2)+'BLAZE SHIELD II'!$H$5*'CALCULO MORTERO'!I1275+'BLAZE SHIELD II'!$H$6)*LN(J1275))+('BLAZE SHIELD II'!$H$7*('CALCULO MORTERO'!I1275^2)+'BLAZE SHIELD II'!$H$8*'CALCULO MORTERO'!I1275+'BLAZE SHIELD II'!$H$9)),0)+IF(AND(L1275="Blaze Shield II",M1275="Software Idiem",C1275="C"),((('BLAZE SHIELD II'!$L$4*('CALCULO MORTERO'!I1275^2)+'BLAZE SHIELD II'!$L$5*'CALCULO MORTERO'!I1275+'BLAZE SHIELD II'!$L$6)*LN(J1275))+('BLAZE SHIELD II'!$L$7*('CALCULO MORTERO'!I1275^2)+'BLAZE SHIELD II'!$L$8*'CALCULO MORTERO'!I1275+'BLAZE SHIELD II'!$L$9)),0)+IF(AND(L1275="Blaze Shield II",M1275="Software Idiem",C1275="L"),((('BLAZE SHIELD II'!$L$4*('CALCULO MORTERO'!I1275^2)+'BLAZE SHIELD II'!$L$5*'CALCULO MORTERO'!I1275+'BLAZE SHIELD II'!$L$6)*LN(J1275))+('BLAZE SHIELD II'!$L$7*('CALCULO MORTERO'!I1275^2)+'BLAZE SHIELD II'!$L$8*'CALCULO MORTERO'!I1275+'BLAZE SHIELD II'!$L$9)),0)+IF(AND(L1275="Blaze Shield II",M1275="Software Idiem",C1275="IN",G1275=3),((('BLAZE SHIELD II'!$H$14*('CALCULO MORTERO'!I1275^2)+'BLAZE SHIELD II'!$H$15*'CALCULO MORTERO'!I1275+'BLAZE SHIELD II'!$H$16)*LN(J1275))+('BLAZE SHIELD II'!$H$17*('CALCULO MORTERO'!I1275^2)+'BLAZE SHIELD II'!$H$18*'CALCULO MORTERO'!I1275+'BLAZE SHIELD II'!$H$19)),0),0)+ROUND(IF(AND(L1275="Cafco 400",M1275="Software Idiem",C1275="IN",G1275=4),((('CAFCO 400 '!$H$7*(J1275^4)+'CAFCO 400 '!$H$8*(J1275^3)+'CAFCO 400 '!$H$9*(J1275^2)+'CAFCO 400 '!$H$10*J1275+'CAFCO 400 '!$H$11)*U1275^2)+(('CAFCO 400 '!$H$12*(J1275^3)+'CAFCO 400 '!$H$13*(J1275^2)+'CAFCO 400 '!$H$14*J1275+'CAFCO 400 '!$H$15)*U1275)+('CAFCO 400 '!$H$16*(J1275^2)+'CAFCO 400 '!$H$17*J1275+'CAFCO 400 '!$H$18)),0)+IF(AND(L1275="Cafco 400",M1275="Software Idiem",C1275="Cj"),(((('CAFCO 400 '!$D$7*LN(J1275)+'CAFCO 400 '!$D$8)*U1275^2)+(('CAFCO 400 '!$D$9*LN(J1275)+'CAFCO 400 '!$D$10)*U1275)+('CAFCO 400 '!$D$11*LN(J1275)+'CAFCO 400 '!$D$12))),0)+IF(AND(L1275="Cafco 400",M1275="Software Idiem",C1275="C"),((('CAFCO 400 '!$L$7*(J1275^3)+'CAFCO 400 '!$L$8*(J1275^2)+'CAFCO 400 '!$L$9*J1275+'CAFCO 400 '!$L$10)*U1275^2)+(('CAFCO 400 '!$L$11*(J1275^3)+'CAFCO 400 '!$L$12*(J1275^2)+'CAFCO 400 '!$L$13*J1275+'CAFCO 400 '!$L$14)*U1275)+('CAFCO 400 '!$L$15*LN(J1275)+'CAFCO 400 '!$L$16)),0)+IF(AND(L1275="Cafco 400",M1275="Software Idiem",C1275="L"),((('CAFCO 400 '!$L$7*(J1275^3)+'CAFCO 400 '!$L$8*(J1275^2)+'CAFCO 400 '!$L$9*J1275+'CAFCO 400 '!$L$10)*U1275^2)+(('CAFCO 400 '!$L$11*(J1275^3)+'CAFCO 400 '!$L$12*(J1275^2)+'CAFCO 400 '!$L$13*J1275+'CAFCO 400 '!$L$14)*U1275)+('CAFCO 400 '!$L$15*LN(J1275)+'CAFCO 400 '!$L$16)),0)+IF(AND(L1275="Cafco 400",M1275="Software Idiem",C1275="IN",G1275=3),((('CAFCO 400 '!$D$23*(J1275^2)+'CAFCO 400 '!$D$24*(J1275)+'CAFCO 400 '!$D$25)*U1275^2)+(('CAFCO 400 '!$D$26*(J1275^2)+'CAFCO 400 '!$D$27*J1275+'CAFCO 400 '!$D$28)*U1275)+('CAFCO 400 '!$D$29*(J1275^2)+'CAFCO 400 '!$D$30*J1275+'CAFCO 400 '!$D$31)),0),0)+IF(AND(L1275="Cafco 300",J1275&gt;=95,J1275&lt;=240,C1275="Cj",I1275=90),VLOOKUP(T1275,'CAFCO 300 IDIEM TABLAS'!$B$4:$D$23,2,FALSE),0)+IF(AND(L1275="Cafco 300",J1275&gt;=95,J1275&lt;=240,C1275="Cj",I1275=120),VLOOKUP(T1275,'CAFCO 300 IDIEM TABLAS'!$B$4:$D$23,3,FALSE),0)+IF(AND(L1275="Cafco 300",J1275&gt;=95,J1275&lt;=400,G1275=3,C1275="IN",I1275=90),VLOOKUP(T1275,'CAFCO 300 IDIEM TABLAS'!$F$4:$H$35,2,FALSE),0)+IF(AND(L1275="Cafco 300",J1275&gt;=95,J1275&lt;=400,G1275=3,C1275="IN",I1275=120),VLOOKUP(T1275,'CAFCO 300 IDIEM TABLAS'!$F$4:$H$35,3,FALSE),0)+IF(AND(L1275="Cafco 300",J1275&gt;=95,J1275&lt;=450,G1275=4,C1275="IN",I1275=90),VLOOKUP(T1275,'CAFCO 300 IDIEM TABLAS'!$J$4:$L$40,2,FALSE),0)+IF(AND(L1275="Cafco 300",J1275&gt;=95,J1275&lt;=450,G1275=4,C1275="IN",I1275=120),VLOOKUP(T1275,'CAFCO 300 IDIEM TABLAS'!$J$4:$L$40,3,FALSE),0)+IF(AND(M1275="Ensayo Idiem",L1275="Cafco 400",C1275="IN",G1275=4,I1275=90),VLOOKUP(T1275,'CAFCO 400 ENSAYO'!$B$7:$D$43,2,FALSE),0)+IF(AND(M1275="Ensayo Idiem",L1275="Cafco 400",C1275="IN",G1275=4,I1275=120),VLOOKUP(T1275,'CAFCO 400 ENSAYO'!$B$7:$D$43,3,FALSE),0)</f>
        <v>0</v>
      </c>
      <c r="O1275" s="96">
        <f t="shared" si="126"/>
        <v>0</v>
      </c>
      <c r="P1275" s="132" t="str">
        <f t="shared" si="127"/>
        <v>N/A</v>
      </c>
      <c r="Q1275" s="132" t="str">
        <f t="shared" si="128"/>
        <v>N/A</v>
      </c>
      <c r="R1275" s="132" t="str">
        <f t="shared" si="129"/>
        <v>NO CERT.</v>
      </c>
      <c r="S1275" s="132" t="e">
        <f t="shared" si="130"/>
        <v>#N/A</v>
      </c>
      <c r="T1275" s="133" t="e">
        <f>+IF(J1275=LOOKUP(J1275,'CAFCO 300 IDIEM TABLAS'!$J$4:$J$40),'CALCULO MORTERO'!J1275,MROUND('CALCULO MORTERO'!J1275,10))</f>
        <v>#N/A</v>
      </c>
      <c r="U1275" s="134">
        <f t="shared" si="131"/>
        <v>0</v>
      </c>
    </row>
    <row r="1276" spans="1:21" x14ac:dyDescent="0.25">
      <c r="A1276" s="118">
        <f>+CUBICACION!D1270</f>
        <v>0</v>
      </c>
      <c r="B1276" s="819">
        <f>+CUBICACION!E1270</f>
        <v>0</v>
      </c>
      <c r="C1276" s="675">
        <f>+CUBICACION!F1270</f>
        <v>0</v>
      </c>
      <c r="D1276" s="118"/>
      <c r="E1276" s="118"/>
      <c r="F1276" s="820"/>
      <c r="G1276" s="675">
        <f>+CUBICACION!J1270</f>
        <v>0</v>
      </c>
      <c r="H1276" s="118"/>
      <c r="I1276" s="821">
        <f>+CUBICACION!L1270</f>
        <v>0</v>
      </c>
      <c r="J1276" s="64">
        <f>+CUBICACION!M1270</f>
        <v>0</v>
      </c>
      <c r="K1276" s="822" t="str">
        <f>+CUBICACION!N1270</f>
        <v/>
      </c>
      <c r="L1276" s="118">
        <f>+CUBICACION!O1270</f>
        <v>0</v>
      </c>
      <c r="M1276" s="823">
        <f>+CUBICACION!P1270</f>
        <v>0</v>
      </c>
      <c r="N1276" s="902">
        <f>ROUND(IF(AND(L1276="Blaze Shield II",M1276="Software Idiem",C1276="IN",G1276=4),((('BLAZE SHIELD II'!$D$4*('CALCULO MORTERO'!I1276^2)+'BLAZE SHIELD II'!$D$5*'CALCULO MORTERO'!I1276+'BLAZE SHIELD II'!$D$6)*LN(J1276))+('BLAZE SHIELD II'!$D$7*('CALCULO MORTERO'!I1276^2)+'BLAZE SHIELD II'!$D$8*'CALCULO MORTERO'!I1276+'BLAZE SHIELD II'!$D$9)),0)+IF(AND(L1276="Blaze Shield II",M1276="Software Idiem",C1276="Cj"),((('BLAZE SHIELD II'!$H$4*('CALCULO MORTERO'!I1276^2)+'BLAZE SHIELD II'!$H$5*'CALCULO MORTERO'!I1276+'BLAZE SHIELD II'!$H$6)*LN(J1276))+('BLAZE SHIELD II'!$H$7*('CALCULO MORTERO'!I1276^2)+'BLAZE SHIELD II'!$H$8*'CALCULO MORTERO'!I1276+'BLAZE SHIELD II'!$H$9)),0)+IF(AND(L1276="Blaze Shield II",M1276="Software Idiem",C1276="C"),((('BLAZE SHIELD II'!$L$4*('CALCULO MORTERO'!I1276^2)+'BLAZE SHIELD II'!$L$5*'CALCULO MORTERO'!I1276+'BLAZE SHIELD II'!$L$6)*LN(J1276))+('BLAZE SHIELD II'!$L$7*('CALCULO MORTERO'!I1276^2)+'BLAZE SHIELD II'!$L$8*'CALCULO MORTERO'!I1276+'BLAZE SHIELD II'!$L$9)),0)+IF(AND(L1276="Blaze Shield II",M1276="Software Idiem",C1276="L"),((('BLAZE SHIELD II'!$L$4*('CALCULO MORTERO'!I1276^2)+'BLAZE SHIELD II'!$L$5*'CALCULO MORTERO'!I1276+'BLAZE SHIELD II'!$L$6)*LN(J1276))+('BLAZE SHIELD II'!$L$7*('CALCULO MORTERO'!I1276^2)+'BLAZE SHIELD II'!$L$8*'CALCULO MORTERO'!I1276+'BLAZE SHIELD II'!$L$9)),0)+IF(AND(L1276="Blaze Shield II",M1276="Software Idiem",C1276="IN",G1276=3),((('BLAZE SHIELD II'!$H$14*('CALCULO MORTERO'!I1276^2)+'BLAZE SHIELD II'!$H$15*'CALCULO MORTERO'!I1276+'BLAZE SHIELD II'!$H$16)*LN(J1276))+('BLAZE SHIELD II'!$H$17*('CALCULO MORTERO'!I1276^2)+'BLAZE SHIELD II'!$H$18*'CALCULO MORTERO'!I1276+'BLAZE SHIELD II'!$H$19)),0),0)+ROUND(IF(AND(L1276="Cafco 400",M1276="Software Idiem",C1276="IN",G1276=4),((('CAFCO 400 '!$H$7*(J1276^4)+'CAFCO 400 '!$H$8*(J1276^3)+'CAFCO 400 '!$H$9*(J1276^2)+'CAFCO 400 '!$H$10*J1276+'CAFCO 400 '!$H$11)*U1276^2)+(('CAFCO 400 '!$H$12*(J1276^3)+'CAFCO 400 '!$H$13*(J1276^2)+'CAFCO 400 '!$H$14*J1276+'CAFCO 400 '!$H$15)*U1276)+('CAFCO 400 '!$H$16*(J1276^2)+'CAFCO 400 '!$H$17*J1276+'CAFCO 400 '!$H$18)),0)+IF(AND(L1276="Cafco 400",M1276="Software Idiem",C1276="Cj"),(((('CAFCO 400 '!$D$7*LN(J1276)+'CAFCO 400 '!$D$8)*U1276^2)+(('CAFCO 400 '!$D$9*LN(J1276)+'CAFCO 400 '!$D$10)*U1276)+('CAFCO 400 '!$D$11*LN(J1276)+'CAFCO 400 '!$D$12))),0)+IF(AND(L1276="Cafco 400",M1276="Software Idiem",C1276="C"),((('CAFCO 400 '!$L$7*(J1276^3)+'CAFCO 400 '!$L$8*(J1276^2)+'CAFCO 400 '!$L$9*J1276+'CAFCO 400 '!$L$10)*U1276^2)+(('CAFCO 400 '!$L$11*(J1276^3)+'CAFCO 400 '!$L$12*(J1276^2)+'CAFCO 400 '!$L$13*J1276+'CAFCO 400 '!$L$14)*U1276)+('CAFCO 400 '!$L$15*LN(J1276)+'CAFCO 400 '!$L$16)),0)+IF(AND(L1276="Cafco 400",M1276="Software Idiem",C1276="L"),((('CAFCO 400 '!$L$7*(J1276^3)+'CAFCO 400 '!$L$8*(J1276^2)+'CAFCO 400 '!$L$9*J1276+'CAFCO 400 '!$L$10)*U1276^2)+(('CAFCO 400 '!$L$11*(J1276^3)+'CAFCO 400 '!$L$12*(J1276^2)+'CAFCO 400 '!$L$13*J1276+'CAFCO 400 '!$L$14)*U1276)+('CAFCO 400 '!$L$15*LN(J1276)+'CAFCO 400 '!$L$16)),0)+IF(AND(L1276="Cafco 400",M1276="Software Idiem",C1276="IN",G1276=3),((('CAFCO 400 '!$D$23*(J1276^2)+'CAFCO 400 '!$D$24*(J1276)+'CAFCO 400 '!$D$25)*U1276^2)+(('CAFCO 400 '!$D$26*(J1276^2)+'CAFCO 400 '!$D$27*J1276+'CAFCO 400 '!$D$28)*U1276)+('CAFCO 400 '!$D$29*(J1276^2)+'CAFCO 400 '!$D$30*J1276+'CAFCO 400 '!$D$31)),0),0)+IF(AND(L1276="Cafco 300",J1276&gt;=95,J1276&lt;=240,C1276="Cj",I1276=90),VLOOKUP(T1276,'CAFCO 300 IDIEM TABLAS'!$B$4:$D$23,2,FALSE),0)+IF(AND(L1276="Cafco 300",J1276&gt;=95,J1276&lt;=240,C1276="Cj",I1276=120),VLOOKUP(T1276,'CAFCO 300 IDIEM TABLAS'!$B$4:$D$23,3,FALSE),0)+IF(AND(L1276="Cafco 300",J1276&gt;=95,J1276&lt;=400,G1276=3,C1276="IN",I1276=90),VLOOKUP(T1276,'CAFCO 300 IDIEM TABLAS'!$F$4:$H$35,2,FALSE),0)+IF(AND(L1276="Cafco 300",J1276&gt;=95,J1276&lt;=400,G1276=3,C1276="IN",I1276=120),VLOOKUP(T1276,'CAFCO 300 IDIEM TABLAS'!$F$4:$H$35,3,FALSE),0)+IF(AND(L1276="Cafco 300",J1276&gt;=95,J1276&lt;=450,G1276=4,C1276="IN",I1276=90),VLOOKUP(T1276,'CAFCO 300 IDIEM TABLAS'!$J$4:$L$40,2,FALSE),0)+IF(AND(L1276="Cafco 300",J1276&gt;=95,J1276&lt;=450,G1276=4,C1276="IN",I1276=120),VLOOKUP(T1276,'CAFCO 300 IDIEM TABLAS'!$J$4:$L$40,3,FALSE),0)+IF(AND(M1276="Ensayo Idiem",L1276="Cafco 400",C1276="IN",G1276=4,I1276=90),VLOOKUP(T1276,'CAFCO 400 ENSAYO'!$B$7:$D$43,2,FALSE),0)+IF(AND(M1276="Ensayo Idiem",L1276="Cafco 400",C1276="IN",G1276=4,I1276=120),VLOOKUP(T1276,'CAFCO 400 ENSAYO'!$B$7:$D$43,3,FALSE),0)</f>
        <v>0</v>
      </c>
      <c r="O1276" s="96">
        <f t="shared" si="126"/>
        <v>0</v>
      </c>
      <c r="P1276" s="95" t="str">
        <f t="shared" si="127"/>
        <v>N/A</v>
      </c>
      <c r="Q1276" s="95" t="str">
        <f t="shared" si="128"/>
        <v>N/A</v>
      </c>
      <c r="R1276" s="95" t="str">
        <f t="shared" si="129"/>
        <v>NO CERT.</v>
      </c>
      <c r="S1276" s="95" t="e">
        <f t="shared" si="130"/>
        <v>#N/A</v>
      </c>
      <c r="T1276" s="119" t="e">
        <f>+IF(J1276=LOOKUP(J1276,'CAFCO 300 IDIEM TABLAS'!$J$4:$J$40),'CALCULO MORTERO'!J1276,MROUND('CALCULO MORTERO'!J1276,10))</f>
        <v>#N/A</v>
      </c>
      <c r="U1276" s="118">
        <f t="shared" si="131"/>
        <v>0</v>
      </c>
    </row>
    <row r="1277" spans="1:21" x14ac:dyDescent="0.25">
      <c r="A1277" s="118">
        <f>+CUBICACION!D1271</f>
        <v>0</v>
      </c>
      <c r="B1277" s="819">
        <f>+CUBICACION!E1271</f>
        <v>0</v>
      </c>
      <c r="C1277" s="675">
        <f>+CUBICACION!F1271</f>
        <v>0</v>
      </c>
      <c r="D1277" s="118"/>
      <c r="E1277" s="118"/>
      <c r="F1277" s="820"/>
      <c r="G1277" s="675">
        <f>+CUBICACION!J1271</f>
        <v>0</v>
      </c>
      <c r="H1277" s="118"/>
      <c r="I1277" s="821">
        <f>+CUBICACION!L1271</f>
        <v>0</v>
      </c>
      <c r="J1277" s="64">
        <f>+CUBICACION!M1271</f>
        <v>0</v>
      </c>
      <c r="K1277" s="822" t="str">
        <f>+CUBICACION!N1271</f>
        <v/>
      </c>
      <c r="L1277" s="118">
        <f>+CUBICACION!O1271</f>
        <v>0</v>
      </c>
      <c r="M1277" s="823">
        <f>+CUBICACION!P1271</f>
        <v>0</v>
      </c>
      <c r="N1277" s="902">
        <f>ROUND(IF(AND(L1277="Blaze Shield II",M1277="Software Idiem",C1277="IN",G1277=4),((('BLAZE SHIELD II'!$D$4*('CALCULO MORTERO'!I1277^2)+'BLAZE SHIELD II'!$D$5*'CALCULO MORTERO'!I1277+'BLAZE SHIELD II'!$D$6)*LN(J1277))+('BLAZE SHIELD II'!$D$7*('CALCULO MORTERO'!I1277^2)+'BLAZE SHIELD II'!$D$8*'CALCULO MORTERO'!I1277+'BLAZE SHIELD II'!$D$9)),0)+IF(AND(L1277="Blaze Shield II",M1277="Software Idiem",C1277="Cj"),((('BLAZE SHIELD II'!$H$4*('CALCULO MORTERO'!I1277^2)+'BLAZE SHIELD II'!$H$5*'CALCULO MORTERO'!I1277+'BLAZE SHIELD II'!$H$6)*LN(J1277))+('BLAZE SHIELD II'!$H$7*('CALCULO MORTERO'!I1277^2)+'BLAZE SHIELD II'!$H$8*'CALCULO MORTERO'!I1277+'BLAZE SHIELD II'!$H$9)),0)+IF(AND(L1277="Blaze Shield II",M1277="Software Idiem",C1277="C"),((('BLAZE SHIELD II'!$L$4*('CALCULO MORTERO'!I1277^2)+'BLAZE SHIELD II'!$L$5*'CALCULO MORTERO'!I1277+'BLAZE SHIELD II'!$L$6)*LN(J1277))+('BLAZE SHIELD II'!$L$7*('CALCULO MORTERO'!I1277^2)+'BLAZE SHIELD II'!$L$8*'CALCULO MORTERO'!I1277+'BLAZE SHIELD II'!$L$9)),0)+IF(AND(L1277="Blaze Shield II",M1277="Software Idiem",C1277="L"),((('BLAZE SHIELD II'!$L$4*('CALCULO MORTERO'!I1277^2)+'BLAZE SHIELD II'!$L$5*'CALCULO MORTERO'!I1277+'BLAZE SHIELD II'!$L$6)*LN(J1277))+('BLAZE SHIELD II'!$L$7*('CALCULO MORTERO'!I1277^2)+'BLAZE SHIELD II'!$L$8*'CALCULO MORTERO'!I1277+'BLAZE SHIELD II'!$L$9)),0)+IF(AND(L1277="Blaze Shield II",M1277="Software Idiem",C1277="IN",G1277=3),((('BLAZE SHIELD II'!$H$14*('CALCULO MORTERO'!I1277^2)+'BLAZE SHIELD II'!$H$15*'CALCULO MORTERO'!I1277+'BLAZE SHIELD II'!$H$16)*LN(J1277))+('BLAZE SHIELD II'!$H$17*('CALCULO MORTERO'!I1277^2)+'BLAZE SHIELD II'!$H$18*'CALCULO MORTERO'!I1277+'BLAZE SHIELD II'!$H$19)),0),0)+ROUND(IF(AND(L1277="Cafco 400",M1277="Software Idiem",C1277="IN",G1277=4),((('CAFCO 400 '!$H$7*(J1277^4)+'CAFCO 400 '!$H$8*(J1277^3)+'CAFCO 400 '!$H$9*(J1277^2)+'CAFCO 400 '!$H$10*J1277+'CAFCO 400 '!$H$11)*U1277^2)+(('CAFCO 400 '!$H$12*(J1277^3)+'CAFCO 400 '!$H$13*(J1277^2)+'CAFCO 400 '!$H$14*J1277+'CAFCO 400 '!$H$15)*U1277)+('CAFCO 400 '!$H$16*(J1277^2)+'CAFCO 400 '!$H$17*J1277+'CAFCO 400 '!$H$18)),0)+IF(AND(L1277="Cafco 400",M1277="Software Idiem",C1277="Cj"),(((('CAFCO 400 '!$D$7*LN(J1277)+'CAFCO 400 '!$D$8)*U1277^2)+(('CAFCO 400 '!$D$9*LN(J1277)+'CAFCO 400 '!$D$10)*U1277)+('CAFCO 400 '!$D$11*LN(J1277)+'CAFCO 400 '!$D$12))),0)+IF(AND(L1277="Cafco 400",M1277="Software Idiem",C1277="C"),((('CAFCO 400 '!$L$7*(J1277^3)+'CAFCO 400 '!$L$8*(J1277^2)+'CAFCO 400 '!$L$9*J1277+'CAFCO 400 '!$L$10)*U1277^2)+(('CAFCO 400 '!$L$11*(J1277^3)+'CAFCO 400 '!$L$12*(J1277^2)+'CAFCO 400 '!$L$13*J1277+'CAFCO 400 '!$L$14)*U1277)+('CAFCO 400 '!$L$15*LN(J1277)+'CAFCO 400 '!$L$16)),0)+IF(AND(L1277="Cafco 400",M1277="Software Idiem",C1277="L"),((('CAFCO 400 '!$L$7*(J1277^3)+'CAFCO 400 '!$L$8*(J1277^2)+'CAFCO 400 '!$L$9*J1277+'CAFCO 400 '!$L$10)*U1277^2)+(('CAFCO 400 '!$L$11*(J1277^3)+'CAFCO 400 '!$L$12*(J1277^2)+'CAFCO 400 '!$L$13*J1277+'CAFCO 400 '!$L$14)*U1277)+('CAFCO 400 '!$L$15*LN(J1277)+'CAFCO 400 '!$L$16)),0)+IF(AND(L1277="Cafco 400",M1277="Software Idiem",C1277="IN",G1277=3),((('CAFCO 400 '!$D$23*(J1277^2)+'CAFCO 400 '!$D$24*(J1277)+'CAFCO 400 '!$D$25)*U1277^2)+(('CAFCO 400 '!$D$26*(J1277^2)+'CAFCO 400 '!$D$27*J1277+'CAFCO 400 '!$D$28)*U1277)+('CAFCO 400 '!$D$29*(J1277^2)+'CAFCO 400 '!$D$30*J1277+'CAFCO 400 '!$D$31)),0),0)+IF(AND(L1277="Cafco 300",J1277&gt;=95,J1277&lt;=240,C1277="Cj",I1277=90),VLOOKUP(T1277,'CAFCO 300 IDIEM TABLAS'!$B$4:$D$23,2,FALSE),0)+IF(AND(L1277="Cafco 300",J1277&gt;=95,J1277&lt;=240,C1277="Cj",I1277=120),VLOOKUP(T1277,'CAFCO 300 IDIEM TABLAS'!$B$4:$D$23,3,FALSE),0)+IF(AND(L1277="Cafco 300",J1277&gt;=95,J1277&lt;=400,G1277=3,C1277="IN",I1277=90),VLOOKUP(T1277,'CAFCO 300 IDIEM TABLAS'!$F$4:$H$35,2,FALSE),0)+IF(AND(L1277="Cafco 300",J1277&gt;=95,J1277&lt;=400,G1277=3,C1277="IN",I1277=120),VLOOKUP(T1277,'CAFCO 300 IDIEM TABLAS'!$F$4:$H$35,3,FALSE),0)+IF(AND(L1277="Cafco 300",J1277&gt;=95,J1277&lt;=450,G1277=4,C1277="IN",I1277=90),VLOOKUP(T1277,'CAFCO 300 IDIEM TABLAS'!$J$4:$L$40,2,FALSE),0)+IF(AND(L1277="Cafco 300",J1277&gt;=95,J1277&lt;=450,G1277=4,C1277="IN",I1277=120),VLOOKUP(T1277,'CAFCO 300 IDIEM TABLAS'!$J$4:$L$40,3,FALSE),0)+IF(AND(M1277="Ensayo Idiem",L1277="Cafco 400",C1277="IN",G1277=4,I1277=90),VLOOKUP(T1277,'CAFCO 400 ENSAYO'!$B$7:$D$43,2,FALSE),0)+IF(AND(M1277="Ensayo Idiem",L1277="Cafco 400",C1277="IN",G1277=4,I1277=120),VLOOKUP(T1277,'CAFCO 400 ENSAYO'!$B$7:$D$43,3,FALSE),0)</f>
        <v>0</v>
      </c>
      <c r="O1277" s="96">
        <f t="shared" si="126"/>
        <v>0</v>
      </c>
      <c r="P1277" s="132" t="str">
        <f t="shared" si="127"/>
        <v>N/A</v>
      </c>
      <c r="Q1277" s="132" t="str">
        <f t="shared" si="128"/>
        <v>N/A</v>
      </c>
      <c r="R1277" s="132" t="str">
        <f t="shared" si="129"/>
        <v>NO CERT.</v>
      </c>
      <c r="S1277" s="132" t="e">
        <f t="shared" si="130"/>
        <v>#N/A</v>
      </c>
      <c r="T1277" s="133" t="e">
        <f>+IF(J1277=LOOKUP(J1277,'CAFCO 300 IDIEM TABLAS'!$J$4:$J$40),'CALCULO MORTERO'!J1277,MROUND('CALCULO MORTERO'!J1277,10))</f>
        <v>#N/A</v>
      </c>
      <c r="U1277" s="134">
        <f t="shared" si="131"/>
        <v>0</v>
      </c>
    </row>
    <row r="1278" spans="1:21" x14ac:dyDescent="0.25">
      <c r="A1278" s="118">
        <f>+CUBICACION!D1272</f>
        <v>0</v>
      </c>
      <c r="B1278" s="819">
        <f>+CUBICACION!E1272</f>
        <v>0</v>
      </c>
      <c r="C1278" s="675">
        <f>+CUBICACION!F1272</f>
        <v>0</v>
      </c>
      <c r="D1278" s="118"/>
      <c r="E1278" s="118"/>
      <c r="F1278" s="820"/>
      <c r="G1278" s="675">
        <f>+CUBICACION!J1272</f>
        <v>0</v>
      </c>
      <c r="H1278" s="118"/>
      <c r="I1278" s="821">
        <f>+CUBICACION!L1272</f>
        <v>0</v>
      </c>
      <c r="J1278" s="64">
        <f>+CUBICACION!M1272</f>
        <v>0</v>
      </c>
      <c r="K1278" s="822" t="str">
        <f>+CUBICACION!N1272</f>
        <v/>
      </c>
      <c r="L1278" s="118">
        <f>+CUBICACION!O1272</f>
        <v>0</v>
      </c>
      <c r="M1278" s="823">
        <f>+CUBICACION!P1272</f>
        <v>0</v>
      </c>
      <c r="N1278" s="902">
        <f>ROUND(IF(AND(L1278="Blaze Shield II",M1278="Software Idiem",C1278="IN",G1278=4),((('BLAZE SHIELD II'!$D$4*('CALCULO MORTERO'!I1278^2)+'BLAZE SHIELD II'!$D$5*'CALCULO MORTERO'!I1278+'BLAZE SHIELD II'!$D$6)*LN(J1278))+('BLAZE SHIELD II'!$D$7*('CALCULO MORTERO'!I1278^2)+'BLAZE SHIELD II'!$D$8*'CALCULO MORTERO'!I1278+'BLAZE SHIELD II'!$D$9)),0)+IF(AND(L1278="Blaze Shield II",M1278="Software Idiem",C1278="Cj"),((('BLAZE SHIELD II'!$H$4*('CALCULO MORTERO'!I1278^2)+'BLAZE SHIELD II'!$H$5*'CALCULO MORTERO'!I1278+'BLAZE SHIELD II'!$H$6)*LN(J1278))+('BLAZE SHIELD II'!$H$7*('CALCULO MORTERO'!I1278^2)+'BLAZE SHIELD II'!$H$8*'CALCULO MORTERO'!I1278+'BLAZE SHIELD II'!$H$9)),0)+IF(AND(L1278="Blaze Shield II",M1278="Software Idiem",C1278="C"),((('BLAZE SHIELD II'!$L$4*('CALCULO MORTERO'!I1278^2)+'BLAZE SHIELD II'!$L$5*'CALCULO MORTERO'!I1278+'BLAZE SHIELD II'!$L$6)*LN(J1278))+('BLAZE SHIELD II'!$L$7*('CALCULO MORTERO'!I1278^2)+'BLAZE SHIELD II'!$L$8*'CALCULO MORTERO'!I1278+'BLAZE SHIELD II'!$L$9)),0)+IF(AND(L1278="Blaze Shield II",M1278="Software Idiem",C1278="L"),((('BLAZE SHIELD II'!$L$4*('CALCULO MORTERO'!I1278^2)+'BLAZE SHIELD II'!$L$5*'CALCULO MORTERO'!I1278+'BLAZE SHIELD II'!$L$6)*LN(J1278))+('BLAZE SHIELD II'!$L$7*('CALCULO MORTERO'!I1278^2)+'BLAZE SHIELD II'!$L$8*'CALCULO MORTERO'!I1278+'BLAZE SHIELD II'!$L$9)),0)+IF(AND(L1278="Blaze Shield II",M1278="Software Idiem",C1278="IN",G1278=3),((('BLAZE SHIELD II'!$H$14*('CALCULO MORTERO'!I1278^2)+'BLAZE SHIELD II'!$H$15*'CALCULO MORTERO'!I1278+'BLAZE SHIELD II'!$H$16)*LN(J1278))+('BLAZE SHIELD II'!$H$17*('CALCULO MORTERO'!I1278^2)+'BLAZE SHIELD II'!$H$18*'CALCULO MORTERO'!I1278+'BLAZE SHIELD II'!$H$19)),0),0)+ROUND(IF(AND(L1278="Cafco 400",M1278="Software Idiem",C1278="IN",G1278=4),((('CAFCO 400 '!$H$7*(J1278^4)+'CAFCO 400 '!$H$8*(J1278^3)+'CAFCO 400 '!$H$9*(J1278^2)+'CAFCO 400 '!$H$10*J1278+'CAFCO 400 '!$H$11)*U1278^2)+(('CAFCO 400 '!$H$12*(J1278^3)+'CAFCO 400 '!$H$13*(J1278^2)+'CAFCO 400 '!$H$14*J1278+'CAFCO 400 '!$H$15)*U1278)+('CAFCO 400 '!$H$16*(J1278^2)+'CAFCO 400 '!$H$17*J1278+'CAFCO 400 '!$H$18)),0)+IF(AND(L1278="Cafco 400",M1278="Software Idiem",C1278="Cj"),(((('CAFCO 400 '!$D$7*LN(J1278)+'CAFCO 400 '!$D$8)*U1278^2)+(('CAFCO 400 '!$D$9*LN(J1278)+'CAFCO 400 '!$D$10)*U1278)+('CAFCO 400 '!$D$11*LN(J1278)+'CAFCO 400 '!$D$12))),0)+IF(AND(L1278="Cafco 400",M1278="Software Idiem",C1278="C"),((('CAFCO 400 '!$L$7*(J1278^3)+'CAFCO 400 '!$L$8*(J1278^2)+'CAFCO 400 '!$L$9*J1278+'CAFCO 400 '!$L$10)*U1278^2)+(('CAFCO 400 '!$L$11*(J1278^3)+'CAFCO 400 '!$L$12*(J1278^2)+'CAFCO 400 '!$L$13*J1278+'CAFCO 400 '!$L$14)*U1278)+('CAFCO 400 '!$L$15*LN(J1278)+'CAFCO 400 '!$L$16)),0)+IF(AND(L1278="Cafco 400",M1278="Software Idiem",C1278="L"),((('CAFCO 400 '!$L$7*(J1278^3)+'CAFCO 400 '!$L$8*(J1278^2)+'CAFCO 400 '!$L$9*J1278+'CAFCO 400 '!$L$10)*U1278^2)+(('CAFCO 400 '!$L$11*(J1278^3)+'CAFCO 400 '!$L$12*(J1278^2)+'CAFCO 400 '!$L$13*J1278+'CAFCO 400 '!$L$14)*U1278)+('CAFCO 400 '!$L$15*LN(J1278)+'CAFCO 400 '!$L$16)),0)+IF(AND(L1278="Cafco 400",M1278="Software Idiem",C1278="IN",G1278=3),((('CAFCO 400 '!$D$23*(J1278^2)+'CAFCO 400 '!$D$24*(J1278)+'CAFCO 400 '!$D$25)*U1278^2)+(('CAFCO 400 '!$D$26*(J1278^2)+'CAFCO 400 '!$D$27*J1278+'CAFCO 400 '!$D$28)*U1278)+('CAFCO 400 '!$D$29*(J1278^2)+'CAFCO 400 '!$D$30*J1278+'CAFCO 400 '!$D$31)),0),0)+IF(AND(L1278="Cafco 300",J1278&gt;=95,J1278&lt;=240,C1278="Cj",I1278=90),VLOOKUP(T1278,'CAFCO 300 IDIEM TABLAS'!$B$4:$D$23,2,FALSE),0)+IF(AND(L1278="Cafco 300",J1278&gt;=95,J1278&lt;=240,C1278="Cj",I1278=120),VLOOKUP(T1278,'CAFCO 300 IDIEM TABLAS'!$B$4:$D$23,3,FALSE),0)+IF(AND(L1278="Cafco 300",J1278&gt;=95,J1278&lt;=400,G1278=3,C1278="IN",I1278=90),VLOOKUP(T1278,'CAFCO 300 IDIEM TABLAS'!$F$4:$H$35,2,FALSE),0)+IF(AND(L1278="Cafco 300",J1278&gt;=95,J1278&lt;=400,G1278=3,C1278="IN",I1278=120),VLOOKUP(T1278,'CAFCO 300 IDIEM TABLAS'!$F$4:$H$35,3,FALSE),0)+IF(AND(L1278="Cafco 300",J1278&gt;=95,J1278&lt;=450,G1278=4,C1278="IN",I1278=90),VLOOKUP(T1278,'CAFCO 300 IDIEM TABLAS'!$J$4:$L$40,2,FALSE),0)+IF(AND(L1278="Cafco 300",J1278&gt;=95,J1278&lt;=450,G1278=4,C1278="IN",I1278=120),VLOOKUP(T1278,'CAFCO 300 IDIEM TABLAS'!$J$4:$L$40,3,FALSE),0)+IF(AND(M1278="Ensayo Idiem",L1278="Cafco 400",C1278="IN",G1278=4,I1278=90),VLOOKUP(T1278,'CAFCO 400 ENSAYO'!$B$7:$D$43,2,FALSE),0)+IF(AND(M1278="Ensayo Idiem",L1278="Cafco 400",C1278="IN",G1278=4,I1278=120),VLOOKUP(T1278,'CAFCO 400 ENSAYO'!$B$7:$D$43,3,FALSE),0)</f>
        <v>0</v>
      </c>
      <c r="O1278" s="96">
        <f t="shared" si="126"/>
        <v>0</v>
      </c>
      <c r="P1278" s="95" t="str">
        <f t="shared" si="127"/>
        <v>N/A</v>
      </c>
      <c r="Q1278" s="95" t="str">
        <f t="shared" si="128"/>
        <v>N/A</v>
      </c>
      <c r="R1278" s="95" t="str">
        <f t="shared" si="129"/>
        <v>NO CERT.</v>
      </c>
      <c r="S1278" s="95" t="e">
        <f t="shared" si="130"/>
        <v>#N/A</v>
      </c>
      <c r="T1278" s="119" t="e">
        <f>+IF(J1278=LOOKUP(J1278,'CAFCO 300 IDIEM TABLAS'!$J$4:$J$40),'CALCULO MORTERO'!J1278,MROUND('CALCULO MORTERO'!J1278,10))</f>
        <v>#N/A</v>
      </c>
      <c r="U1278" s="118">
        <f t="shared" si="131"/>
        <v>0</v>
      </c>
    </row>
    <row r="1279" spans="1:21" x14ac:dyDescent="0.25">
      <c r="A1279" s="118">
        <f>+CUBICACION!D1273</f>
        <v>0</v>
      </c>
      <c r="B1279" s="819">
        <f>+CUBICACION!E1273</f>
        <v>0</v>
      </c>
      <c r="C1279" s="675">
        <f>+CUBICACION!F1273</f>
        <v>0</v>
      </c>
      <c r="D1279" s="118"/>
      <c r="E1279" s="118"/>
      <c r="F1279" s="820"/>
      <c r="G1279" s="675">
        <f>+CUBICACION!J1273</f>
        <v>0</v>
      </c>
      <c r="H1279" s="118"/>
      <c r="I1279" s="821">
        <f>+CUBICACION!L1273</f>
        <v>0</v>
      </c>
      <c r="J1279" s="64">
        <f>+CUBICACION!M1273</f>
        <v>0</v>
      </c>
      <c r="K1279" s="822" t="str">
        <f>+CUBICACION!N1273</f>
        <v/>
      </c>
      <c r="L1279" s="118">
        <f>+CUBICACION!O1273</f>
        <v>0</v>
      </c>
      <c r="M1279" s="823">
        <f>+CUBICACION!P1273</f>
        <v>0</v>
      </c>
      <c r="N1279" s="902">
        <f>ROUND(IF(AND(L1279="Blaze Shield II",M1279="Software Idiem",C1279="IN",G1279=4),((('BLAZE SHIELD II'!$D$4*('CALCULO MORTERO'!I1279^2)+'BLAZE SHIELD II'!$D$5*'CALCULO MORTERO'!I1279+'BLAZE SHIELD II'!$D$6)*LN(J1279))+('BLAZE SHIELD II'!$D$7*('CALCULO MORTERO'!I1279^2)+'BLAZE SHIELD II'!$D$8*'CALCULO MORTERO'!I1279+'BLAZE SHIELD II'!$D$9)),0)+IF(AND(L1279="Blaze Shield II",M1279="Software Idiem",C1279="Cj"),((('BLAZE SHIELD II'!$H$4*('CALCULO MORTERO'!I1279^2)+'BLAZE SHIELD II'!$H$5*'CALCULO MORTERO'!I1279+'BLAZE SHIELD II'!$H$6)*LN(J1279))+('BLAZE SHIELD II'!$H$7*('CALCULO MORTERO'!I1279^2)+'BLAZE SHIELD II'!$H$8*'CALCULO MORTERO'!I1279+'BLAZE SHIELD II'!$H$9)),0)+IF(AND(L1279="Blaze Shield II",M1279="Software Idiem",C1279="C"),((('BLAZE SHIELD II'!$L$4*('CALCULO MORTERO'!I1279^2)+'BLAZE SHIELD II'!$L$5*'CALCULO MORTERO'!I1279+'BLAZE SHIELD II'!$L$6)*LN(J1279))+('BLAZE SHIELD II'!$L$7*('CALCULO MORTERO'!I1279^2)+'BLAZE SHIELD II'!$L$8*'CALCULO MORTERO'!I1279+'BLAZE SHIELD II'!$L$9)),0)+IF(AND(L1279="Blaze Shield II",M1279="Software Idiem",C1279="L"),((('BLAZE SHIELD II'!$L$4*('CALCULO MORTERO'!I1279^2)+'BLAZE SHIELD II'!$L$5*'CALCULO MORTERO'!I1279+'BLAZE SHIELD II'!$L$6)*LN(J1279))+('BLAZE SHIELD II'!$L$7*('CALCULO MORTERO'!I1279^2)+'BLAZE SHIELD II'!$L$8*'CALCULO MORTERO'!I1279+'BLAZE SHIELD II'!$L$9)),0)+IF(AND(L1279="Blaze Shield II",M1279="Software Idiem",C1279="IN",G1279=3),((('BLAZE SHIELD II'!$H$14*('CALCULO MORTERO'!I1279^2)+'BLAZE SHIELD II'!$H$15*'CALCULO MORTERO'!I1279+'BLAZE SHIELD II'!$H$16)*LN(J1279))+('BLAZE SHIELD II'!$H$17*('CALCULO MORTERO'!I1279^2)+'BLAZE SHIELD II'!$H$18*'CALCULO MORTERO'!I1279+'BLAZE SHIELD II'!$H$19)),0),0)+ROUND(IF(AND(L1279="Cafco 400",M1279="Software Idiem",C1279="IN",G1279=4),((('CAFCO 400 '!$H$7*(J1279^4)+'CAFCO 400 '!$H$8*(J1279^3)+'CAFCO 400 '!$H$9*(J1279^2)+'CAFCO 400 '!$H$10*J1279+'CAFCO 400 '!$H$11)*U1279^2)+(('CAFCO 400 '!$H$12*(J1279^3)+'CAFCO 400 '!$H$13*(J1279^2)+'CAFCO 400 '!$H$14*J1279+'CAFCO 400 '!$H$15)*U1279)+('CAFCO 400 '!$H$16*(J1279^2)+'CAFCO 400 '!$H$17*J1279+'CAFCO 400 '!$H$18)),0)+IF(AND(L1279="Cafco 400",M1279="Software Idiem",C1279="Cj"),(((('CAFCO 400 '!$D$7*LN(J1279)+'CAFCO 400 '!$D$8)*U1279^2)+(('CAFCO 400 '!$D$9*LN(J1279)+'CAFCO 400 '!$D$10)*U1279)+('CAFCO 400 '!$D$11*LN(J1279)+'CAFCO 400 '!$D$12))),0)+IF(AND(L1279="Cafco 400",M1279="Software Idiem",C1279="C"),((('CAFCO 400 '!$L$7*(J1279^3)+'CAFCO 400 '!$L$8*(J1279^2)+'CAFCO 400 '!$L$9*J1279+'CAFCO 400 '!$L$10)*U1279^2)+(('CAFCO 400 '!$L$11*(J1279^3)+'CAFCO 400 '!$L$12*(J1279^2)+'CAFCO 400 '!$L$13*J1279+'CAFCO 400 '!$L$14)*U1279)+('CAFCO 400 '!$L$15*LN(J1279)+'CAFCO 400 '!$L$16)),0)+IF(AND(L1279="Cafco 400",M1279="Software Idiem",C1279="L"),((('CAFCO 400 '!$L$7*(J1279^3)+'CAFCO 400 '!$L$8*(J1279^2)+'CAFCO 400 '!$L$9*J1279+'CAFCO 400 '!$L$10)*U1279^2)+(('CAFCO 400 '!$L$11*(J1279^3)+'CAFCO 400 '!$L$12*(J1279^2)+'CAFCO 400 '!$L$13*J1279+'CAFCO 400 '!$L$14)*U1279)+('CAFCO 400 '!$L$15*LN(J1279)+'CAFCO 400 '!$L$16)),0)+IF(AND(L1279="Cafco 400",M1279="Software Idiem",C1279="IN",G1279=3),((('CAFCO 400 '!$D$23*(J1279^2)+'CAFCO 400 '!$D$24*(J1279)+'CAFCO 400 '!$D$25)*U1279^2)+(('CAFCO 400 '!$D$26*(J1279^2)+'CAFCO 400 '!$D$27*J1279+'CAFCO 400 '!$D$28)*U1279)+('CAFCO 400 '!$D$29*(J1279^2)+'CAFCO 400 '!$D$30*J1279+'CAFCO 400 '!$D$31)),0),0)+IF(AND(L1279="Cafco 300",J1279&gt;=95,J1279&lt;=240,C1279="Cj",I1279=90),VLOOKUP(T1279,'CAFCO 300 IDIEM TABLAS'!$B$4:$D$23,2,FALSE),0)+IF(AND(L1279="Cafco 300",J1279&gt;=95,J1279&lt;=240,C1279="Cj",I1279=120),VLOOKUP(T1279,'CAFCO 300 IDIEM TABLAS'!$B$4:$D$23,3,FALSE),0)+IF(AND(L1279="Cafco 300",J1279&gt;=95,J1279&lt;=400,G1279=3,C1279="IN",I1279=90),VLOOKUP(T1279,'CAFCO 300 IDIEM TABLAS'!$F$4:$H$35,2,FALSE),0)+IF(AND(L1279="Cafco 300",J1279&gt;=95,J1279&lt;=400,G1279=3,C1279="IN",I1279=120),VLOOKUP(T1279,'CAFCO 300 IDIEM TABLAS'!$F$4:$H$35,3,FALSE),0)+IF(AND(L1279="Cafco 300",J1279&gt;=95,J1279&lt;=450,G1279=4,C1279="IN",I1279=90),VLOOKUP(T1279,'CAFCO 300 IDIEM TABLAS'!$J$4:$L$40,2,FALSE),0)+IF(AND(L1279="Cafco 300",J1279&gt;=95,J1279&lt;=450,G1279=4,C1279="IN",I1279=120),VLOOKUP(T1279,'CAFCO 300 IDIEM TABLAS'!$J$4:$L$40,3,FALSE),0)+IF(AND(M1279="Ensayo Idiem",L1279="Cafco 400",C1279="IN",G1279=4,I1279=90),VLOOKUP(T1279,'CAFCO 400 ENSAYO'!$B$7:$D$43,2,FALSE),0)+IF(AND(M1279="Ensayo Idiem",L1279="Cafco 400",C1279="IN",G1279=4,I1279=120),VLOOKUP(T1279,'CAFCO 400 ENSAYO'!$B$7:$D$43,3,FALSE),0)</f>
        <v>0</v>
      </c>
      <c r="O1279" s="96">
        <f t="shared" si="126"/>
        <v>0</v>
      </c>
      <c r="P1279" s="132" t="str">
        <f t="shared" si="127"/>
        <v>N/A</v>
      </c>
      <c r="Q1279" s="132" t="str">
        <f t="shared" si="128"/>
        <v>N/A</v>
      </c>
      <c r="R1279" s="132" t="str">
        <f t="shared" si="129"/>
        <v>NO CERT.</v>
      </c>
      <c r="S1279" s="132" t="e">
        <f t="shared" si="130"/>
        <v>#N/A</v>
      </c>
      <c r="T1279" s="133" t="e">
        <f>+IF(J1279=LOOKUP(J1279,'CAFCO 300 IDIEM TABLAS'!$J$4:$J$40),'CALCULO MORTERO'!J1279,MROUND('CALCULO MORTERO'!J1279,10))</f>
        <v>#N/A</v>
      </c>
      <c r="U1279" s="134">
        <f t="shared" si="131"/>
        <v>0</v>
      </c>
    </row>
    <row r="1280" spans="1:21" x14ac:dyDescent="0.25">
      <c r="A1280" s="118">
        <f>+CUBICACION!D1274</f>
        <v>0</v>
      </c>
      <c r="B1280" s="819">
        <f>+CUBICACION!E1274</f>
        <v>0</v>
      </c>
      <c r="C1280" s="675">
        <f>+CUBICACION!F1274</f>
        <v>0</v>
      </c>
      <c r="D1280" s="118"/>
      <c r="E1280" s="118"/>
      <c r="F1280" s="820"/>
      <c r="G1280" s="675">
        <f>+CUBICACION!J1274</f>
        <v>0</v>
      </c>
      <c r="H1280" s="118"/>
      <c r="I1280" s="821">
        <f>+CUBICACION!L1274</f>
        <v>0</v>
      </c>
      <c r="J1280" s="64">
        <f>+CUBICACION!M1274</f>
        <v>0</v>
      </c>
      <c r="K1280" s="822" t="str">
        <f>+CUBICACION!N1274</f>
        <v/>
      </c>
      <c r="L1280" s="118">
        <f>+CUBICACION!O1274</f>
        <v>0</v>
      </c>
      <c r="M1280" s="823">
        <f>+CUBICACION!P1274</f>
        <v>0</v>
      </c>
      <c r="N1280" s="902">
        <f>ROUND(IF(AND(L1280="Blaze Shield II",M1280="Software Idiem",C1280="IN",G1280=4),((('BLAZE SHIELD II'!$D$4*('CALCULO MORTERO'!I1280^2)+'BLAZE SHIELD II'!$D$5*'CALCULO MORTERO'!I1280+'BLAZE SHIELD II'!$D$6)*LN(J1280))+('BLAZE SHIELD II'!$D$7*('CALCULO MORTERO'!I1280^2)+'BLAZE SHIELD II'!$D$8*'CALCULO MORTERO'!I1280+'BLAZE SHIELD II'!$D$9)),0)+IF(AND(L1280="Blaze Shield II",M1280="Software Idiem",C1280="Cj"),((('BLAZE SHIELD II'!$H$4*('CALCULO MORTERO'!I1280^2)+'BLAZE SHIELD II'!$H$5*'CALCULO MORTERO'!I1280+'BLAZE SHIELD II'!$H$6)*LN(J1280))+('BLAZE SHIELD II'!$H$7*('CALCULO MORTERO'!I1280^2)+'BLAZE SHIELD II'!$H$8*'CALCULO MORTERO'!I1280+'BLAZE SHIELD II'!$H$9)),0)+IF(AND(L1280="Blaze Shield II",M1280="Software Idiem",C1280="C"),((('BLAZE SHIELD II'!$L$4*('CALCULO MORTERO'!I1280^2)+'BLAZE SHIELD II'!$L$5*'CALCULO MORTERO'!I1280+'BLAZE SHIELD II'!$L$6)*LN(J1280))+('BLAZE SHIELD II'!$L$7*('CALCULO MORTERO'!I1280^2)+'BLAZE SHIELD II'!$L$8*'CALCULO MORTERO'!I1280+'BLAZE SHIELD II'!$L$9)),0)+IF(AND(L1280="Blaze Shield II",M1280="Software Idiem",C1280="L"),((('BLAZE SHIELD II'!$L$4*('CALCULO MORTERO'!I1280^2)+'BLAZE SHIELD II'!$L$5*'CALCULO MORTERO'!I1280+'BLAZE SHIELD II'!$L$6)*LN(J1280))+('BLAZE SHIELD II'!$L$7*('CALCULO MORTERO'!I1280^2)+'BLAZE SHIELD II'!$L$8*'CALCULO MORTERO'!I1280+'BLAZE SHIELD II'!$L$9)),0)+IF(AND(L1280="Blaze Shield II",M1280="Software Idiem",C1280="IN",G1280=3),((('BLAZE SHIELD II'!$H$14*('CALCULO MORTERO'!I1280^2)+'BLAZE SHIELD II'!$H$15*'CALCULO MORTERO'!I1280+'BLAZE SHIELD II'!$H$16)*LN(J1280))+('BLAZE SHIELD II'!$H$17*('CALCULO MORTERO'!I1280^2)+'BLAZE SHIELD II'!$H$18*'CALCULO MORTERO'!I1280+'BLAZE SHIELD II'!$H$19)),0),0)+ROUND(IF(AND(L1280="Cafco 400",M1280="Software Idiem",C1280="IN",G1280=4),((('CAFCO 400 '!$H$7*(J1280^4)+'CAFCO 400 '!$H$8*(J1280^3)+'CAFCO 400 '!$H$9*(J1280^2)+'CAFCO 400 '!$H$10*J1280+'CAFCO 400 '!$H$11)*U1280^2)+(('CAFCO 400 '!$H$12*(J1280^3)+'CAFCO 400 '!$H$13*(J1280^2)+'CAFCO 400 '!$H$14*J1280+'CAFCO 400 '!$H$15)*U1280)+('CAFCO 400 '!$H$16*(J1280^2)+'CAFCO 400 '!$H$17*J1280+'CAFCO 400 '!$H$18)),0)+IF(AND(L1280="Cafco 400",M1280="Software Idiem",C1280="Cj"),(((('CAFCO 400 '!$D$7*LN(J1280)+'CAFCO 400 '!$D$8)*U1280^2)+(('CAFCO 400 '!$D$9*LN(J1280)+'CAFCO 400 '!$D$10)*U1280)+('CAFCO 400 '!$D$11*LN(J1280)+'CAFCO 400 '!$D$12))),0)+IF(AND(L1280="Cafco 400",M1280="Software Idiem",C1280="C"),((('CAFCO 400 '!$L$7*(J1280^3)+'CAFCO 400 '!$L$8*(J1280^2)+'CAFCO 400 '!$L$9*J1280+'CAFCO 400 '!$L$10)*U1280^2)+(('CAFCO 400 '!$L$11*(J1280^3)+'CAFCO 400 '!$L$12*(J1280^2)+'CAFCO 400 '!$L$13*J1280+'CAFCO 400 '!$L$14)*U1280)+('CAFCO 400 '!$L$15*LN(J1280)+'CAFCO 400 '!$L$16)),0)+IF(AND(L1280="Cafco 400",M1280="Software Idiem",C1280="L"),((('CAFCO 400 '!$L$7*(J1280^3)+'CAFCO 400 '!$L$8*(J1280^2)+'CAFCO 400 '!$L$9*J1280+'CAFCO 400 '!$L$10)*U1280^2)+(('CAFCO 400 '!$L$11*(J1280^3)+'CAFCO 400 '!$L$12*(J1280^2)+'CAFCO 400 '!$L$13*J1280+'CAFCO 400 '!$L$14)*U1280)+('CAFCO 400 '!$L$15*LN(J1280)+'CAFCO 400 '!$L$16)),0)+IF(AND(L1280="Cafco 400",M1280="Software Idiem",C1280="IN",G1280=3),((('CAFCO 400 '!$D$23*(J1280^2)+'CAFCO 400 '!$D$24*(J1280)+'CAFCO 400 '!$D$25)*U1280^2)+(('CAFCO 400 '!$D$26*(J1280^2)+'CAFCO 400 '!$D$27*J1280+'CAFCO 400 '!$D$28)*U1280)+('CAFCO 400 '!$D$29*(J1280^2)+'CAFCO 400 '!$D$30*J1280+'CAFCO 400 '!$D$31)),0),0)+IF(AND(L1280="Cafco 300",J1280&gt;=95,J1280&lt;=240,C1280="Cj",I1280=90),VLOOKUP(T1280,'CAFCO 300 IDIEM TABLAS'!$B$4:$D$23,2,FALSE),0)+IF(AND(L1280="Cafco 300",J1280&gt;=95,J1280&lt;=240,C1280="Cj",I1280=120),VLOOKUP(T1280,'CAFCO 300 IDIEM TABLAS'!$B$4:$D$23,3,FALSE),0)+IF(AND(L1280="Cafco 300",J1280&gt;=95,J1280&lt;=400,G1280=3,C1280="IN",I1280=90),VLOOKUP(T1280,'CAFCO 300 IDIEM TABLAS'!$F$4:$H$35,2,FALSE),0)+IF(AND(L1280="Cafco 300",J1280&gt;=95,J1280&lt;=400,G1280=3,C1280="IN",I1280=120),VLOOKUP(T1280,'CAFCO 300 IDIEM TABLAS'!$F$4:$H$35,3,FALSE),0)+IF(AND(L1280="Cafco 300",J1280&gt;=95,J1280&lt;=450,G1280=4,C1280="IN",I1280=90),VLOOKUP(T1280,'CAFCO 300 IDIEM TABLAS'!$J$4:$L$40,2,FALSE),0)+IF(AND(L1280="Cafco 300",J1280&gt;=95,J1280&lt;=450,G1280=4,C1280="IN",I1280=120),VLOOKUP(T1280,'CAFCO 300 IDIEM TABLAS'!$J$4:$L$40,3,FALSE),0)+IF(AND(M1280="Ensayo Idiem",L1280="Cafco 400",C1280="IN",G1280=4,I1280=90),VLOOKUP(T1280,'CAFCO 400 ENSAYO'!$B$7:$D$43,2,FALSE),0)+IF(AND(M1280="Ensayo Idiem",L1280="Cafco 400",C1280="IN",G1280=4,I1280=120),VLOOKUP(T1280,'CAFCO 400 ENSAYO'!$B$7:$D$43,3,FALSE),0)</f>
        <v>0</v>
      </c>
      <c r="O1280" s="96">
        <f t="shared" si="126"/>
        <v>0</v>
      </c>
      <c r="P1280" s="95" t="str">
        <f t="shared" si="127"/>
        <v>N/A</v>
      </c>
      <c r="Q1280" s="95" t="str">
        <f t="shared" si="128"/>
        <v>N/A</v>
      </c>
      <c r="R1280" s="95" t="str">
        <f t="shared" si="129"/>
        <v>NO CERT.</v>
      </c>
      <c r="S1280" s="95" t="e">
        <f t="shared" si="130"/>
        <v>#N/A</v>
      </c>
      <c r="T1280" s="119" t="e">
        <f>+IF(J1280=LOOKUP(J1280,'CAFCO 300 IDIEM TABLAS'!$J$4:$J$40),'CALCULO MORTERO'!J1280,MROUND('CALCULO MORTERO'!J1280,10))</f>
        <v>#N/A</v>
      </c>
      <c r="U1280" s="118">
        <f t="shared" si="131"/>
        <v>0</v>
      </c>
    </row>
    <row r="1281" spans="1:21" x14ac:dyDescent="0.25">
      <c r="A1281" s="118">
        <f>+CUBICACION!D1275</f>
        <v>0</v>
      </c>
      <c r="B1281" s="819">
        <f>+CUBICACION!E1275</f>
        <v>0</v>
      </c>
      <c r="C1281" s="675">
        <f>+CUBICACION!F1275</f>
        <v>0</v>
      </c>
      <c r="D1281" s="118"/>
      <c r="E1281" s="118"/>
      <c r="F1281" s="820"/>
      <c r="G1281" s="675">
        <f>+CUBICACION!J1275</f>
        <v>0</v>
      </c>
      <c r="H1281" s="118"/>
      <c r="I1281" s="821">
        <f>+CUBICACION!L1275</f>
        <v>0</v>
      </c>
      <c r="J1281" s="64">
        <f>+CUBICACION!M1275</f>
        <v>0</v>
      </c>
      <c r="K1281" s="822" t="str">
        <f>+CUBICACION!N1275</f>
        <v/>
      </c>
      <c r="L1281" s="118">
        <f>+CUBICACION!O1275</f>
        <v>0</v>
      </c>
      <c r="M1281" s="823">
        <f>+CUBICACION!P1275</f>
        <v>0</v>
      </c>
      <c r="N1281" s="902">
        <f>ROUND(IF(AND(L1281="Blaze Shield II",M1281="Software Idiem",C1281="IN",G1281=4),((('BLAZE SHIELD II'!$D$4*('CALCULO MORTERO'!I1281^2)+'BLAZE SHIELD II'!$D$5*'CALCULO MORTERO'!I1281+'BLAZE SHIELD II'!$D$6)*LN(J1281))+('BLAZE SHIELD II'!$D$7*('CALCULO MORTERO'!I1281^2)+'BLAZE SHIELD II'!$D$8*'CALCULO MORTERO'!I1281+'BLAZE SHIELD II'!$D$9)),0)+IF(AND(L1281="Blaze Shield II",M1281="Software Idiem",C1281="Cj"),((('BLAZE SHIELD II'!$H$4*('CALCULO MORTERO'!I1281^2)+'BLAZE SHIELD II'!$H$5*'CALCULO MORTERO'!I1281+'BLAZE SHIELD II'!$H$6)*LN(J1281))+('BLAZE SHIELD II'!$H$7*('CALCULO MORTERO'!I1281^2)+'BLAZE SHIELD II'!$H$8*'CALCULO MORTERO'!I1281+'BLAZE SHIELD II'!$H$9)),0)+IF(AND(L1281="Blaze Shield II",M1281="Software Idiem",C1281="C"),((('BLAZE SHIELD II'!$L$4*('CALCULO MORTERO'!I1281^2)+'BLAZE SHIELD II'!$L$5*'CALCULO MORTERO'!I1281+'BLAZE SHIELD II'!$L$6)*LN(J1281))+('BLAZE SHIELD II'!$L$7*('CALCULO MORTERO'!I1281^2)+'BLAZE SHIELD II'!$L$8*'CALCULO MORTERO'!I1281+'BLAZE SHIELD II'!$L$9)),0)+IF(AND(L1281="Blaze Shield II",M1281="Software Idiem",C1281="L"),((('BLAZE SHIELD II'!$L$4*('CALCULO MORTERO'!I1281^2)+'BLAZE SHIELD II'!$L$5*'CALCULO MORTERO'!I1281+'BLAZE SHIELD II'!$L$6)*LN(J1281))+('BLAZE SHIELD II'!$L$7*('CALCULO MORTERO'!I1281^2)+'BLAZE SHIELD II'!$L$8*'CALCULO MORTERO'!I1281+'BLAZE SHIELD II'!$L$9)),0)+IF(AND(L1281="Blaze Shield II",M1281="Software Idiem",C1281="IN",G1281=3),((('BLAZE SHIELD II'!$H$14*('CALCULO MORTERO'!I1281^2)+'BLAZE SHIELD II'!$H$15*'CALCULO MORTERO'!I1281+'BLAZE SHIELD II'!$H$16)*LN(J1281))+('BLAZE SHIELD II'!$H$17*('CALCULO MORTERO'!I1281^2)+'BLAZE SHIELD II'!$H$18*'CALCULO MORTERO'!I1281+'BLAZE SHIELD II'!$H$19)),0),0)+ROUND(IF(AND(L1281="Cafco 400",M1281="Software Idiem",C1281="IN",G1281=4),((('CAFCO 400 '!$H$7*(J1281^4)+'CAFCO 400 '!$H$8*(J1281^3)+'CAFCO 400 '!$H$9*(J1281^2)+'CAFCO 400 '!$H$10*J1281+'CAFCO 400 '!$H$11)*U1281^2)+(('CAFCO 400 '!$H$12*(J1281^3)+'CAFCO 400 '!$H$13*(J1281^2)+'CAFCO 400 '!$H$14*J1281+'CAFCO 400 '!$H$15)*U1281)+('CAFCO 400 '!$H$16*(J1281^2)+'CAFCO 400 '!$H$17*J1281+'CAFCO 400 '!$H$18)),0)+IF(AND(L1281="Cafco 400",M1281="Software Idiem",C1281="Cj"),(((('CAFCO 400 '!$D$7*LN(J1281)+'CAFCO 400 '!$D$8)*U1281^2)+(('CAFCO 400 '!$D$9*LN(J1281)+'CAFCO 400 '!$D$10)*U1281)+('CAFCO 400 '!$D$11*LN(J1281)+'CAFCO 400 '!$D$12))),0)+IF(AND(L1281="Cafco 400",M1281="Software Idiem",C1281="C"),((('CAFCO 400 '!$L$7*(J1281^3)+'CAFCO 400 '!$L$8*(J1281^2)+'CAFCO 400 '!$L$9*J1281+'CAFCO 400 '!$L$10)*U1281^2)+(('CAFCO 400 '!$L$11*(J1281^3)+'CAFCO 400 '!$L$12*(J1281^2)+'CAFCO 400 '!$L$13*J1281+'CAFCO 400 '!$L$14)*U1281)+('CAFCO 400 '!$L$15*LN(J1281)+'CAFCO 400 '!$L$16)),0)+IF(AND(L1281="Cafco 400",M1281="Software Idiem",C1281="L"),((('CAFCO 400 '!$L$7*(J1281^3)+'CAFCO 400 '!$L$8*(J1281^2)+'CAFCO 400 '!$L$9*J1281+'CAFCO 400 '!$L$10)*U1281^2)+(('CAFCO 400 '!$L$11*(J1281^3)+'CAFCO 400 '!$L$12*(J1281^2)+'CAFCO 400 '!$L$13*J1281+'CAFCO 400 '!$L$14)*U1281)+('CAFCO 400 '!$L$15*LN(J1281)+'CAFCO 400 '!$L$16)),0)+IF(AND(L1281="Cafco 400",M1281="Software Idiem",C1281="IN",G1281=3),((('CAFCO 400 '!$D$23*(J1281^2)+'CAFCO 400 '!$D$24*(J1281)+'CAFCO 400 '!$D$25)*U1281^2)+(('CAFCO 400 '!$D$26*(J1281^2)+'CAFCO 400 '!$D$27*J1281+'CAFCO 400 '!$D$28)*U1281)+('CAFCO 400 '!$D$29*(J1281^2)+'CAFCO 400 '!$D$30*J1281+'CAFCO 400 '!$D$31)),0),0)+IF(AND(L1281="Cafco 300",J1281&gt;=95,J1281&lt;=240,C1281="Cj",I1281=90),VLOOKUP(T1281,'CAFCO 300 IDIEM TABLAS'!$B$4:$D$23,2,FALSE),0)+IF(AND(L1281="Cafco 300",J1281&gt;=95,J1281&lt;=240,C1281="Cj",I1281=120),VLOOKUP(T1281,'CAFCO 300 IDIEM TABLAS'!$B$4:$D$23,3,FALSE),0)+IF(AND(L1281="Cafco 300",J1281&gt;=95,J1281&lt;=400,G1281=3,C1281="IN",I1281=90),VLOOKUP(T1281,'CAFCO 300 IDIEM TABLAS'!$F$4:$H$35,2,FALSE),0)+IF(AND(L1281="Cafco 300",J1281&gt;=95,J1281&lt;=400,G1281=3,C1281="IN",I1281=120),VLOOKUP(T1281,'CAFCO 300 IDIEM TABLAS'!$F$4:$H$35,3,FALSE),0)+IF(AND(L1281="Cafco 300",J1281&gt;=95,J1281&lt;=450,G1281=4,C1281="IN",I1281=90),VLOOKUP(T1281,'CAFCO 300 IDIEM TABLAS'!$J$4:$L$40,2,FALSE),0)+IF(AND(L1281="Cafco 300",J1281&gt;=95,J1281&lt;=450,G1281=4,C1281="IN",I1281=120),VLOOKUP(T1281,'CAFCO 300 IDIEM TABLAS'!$J$4:$L$40,3,FALSE),0)+IF(AND(M1281="Ensayo Idiem",L1281="Cafco 400",C1281="IN",G1281=4,I1281=90),VLOOKUP(T1281,'CAFCO 400 ENSAYO'!$B$7:$D$43,2,FALSE),0)+IF(AND(M1281="Ensayo Idiem",L1281="Cafco 400",C1281="IN",G1281=4,I1281=120),VLOOKUP(T1281,'CAFCO 400 ENSAYO'!$B$7:$D$43,3,FALSE),0)</f>
        <v>0</v>
      </c>
      <c r="O1281" s="96">
        <f t="shared" si="126"/>
        <v>0</v>
      </c>
      <c r="P1281" s="132" t="str">
        <f t="shared" si="127"/>
        <v>N/A</v>
      </c>
      <c r="Q1281" s="132" t="str">
        <f t="shared" si="128"/>
        <v>N/A</v>
      </c>
      <c r="R1281" s="132" t="str">
        <f t="shared" si="129"/>
        <v>NO CERT.</v>
      </c>
      <c r="S1281" s="132" t="e">
        <f t="shared" si="130"/>
        <v>#N/A</v>
      </c>
      <c r="T1281" s="133" t="e">
        <f>+IF(J1281=LOOKUP(J1281,'CAFCO 300 IDIEM TABLAS'!$J$4:$J$40),'CALCULO MORTERO'!J1281,MROUND('CALCULO MORTERO'!J1281,10))</f>
        <v>#N/A</v>
      </c>
      <c r="U1281" s="134">
        <f t="shared" si="131"/>
        <v>0</v>
      </c>
    </row>
    <row r="1282" spans="1:21" x14ac:dyDescent="0.25">
      <c r="A1282" s="118">
        <f>+CUBICACION!D1276</f>
        <v>0</v>
      </c>
      <c r="B1282" s="819">
        <f>+CUBICACION!E1276</f>
        <v>0</v>
      </c>
      <c r="C1282" s="675">
        <f>+CUBICACION!F1276</f>
        <v>0</v>
      </c>
      <c r="D1282" s="118"/>
      <c r="E1282" s="118"/>
      <c r="F1282" s="820"/>
      <c r="G1282" s="675">
        <f>+CUBICACION!J1276</f>
        <v>0</v>
      </c>
      <c r="H1282" s="118"/>
      <c r="I1282" s="821">
        <f>+CUBICACION!L1276</f>
        <v>0</v>
      </c>
      <c r="J1282" s="64">
        <f>+CUBICACION!M1276</f>
        <v>0</v>
      </c>
      <c r="K1282" s="822" t="str">
        <f>+CUBICACION!N1276</f>
        <v/>
      </c>
      <c r="L1282" s="118">
        <f>+CUBICACION!O1276</f>
        <v>0</v>
      </c>
      <c r="M1282" s="823">
        <f>+CUBICACION!P1276</f>
        <v>0</v>
      </c>
      <c r="N1282" s="902">
        <f>ROUND(IF(AND(L1282="Blaze Shield II",M1282="Software Idiem",C1282="IN",G1282=4),((('BLAZE SHIELD II'!$D$4*('CALCULO MORTERO'!I1282^2)+'BLAZE SHIELD II'!$D$5*'CALCULO MORTERO'!I1282+'BLAZE SHIELD II'!$D$6)*LN(J1282))+('BLAZE SHIELD II'!$D$7*('CALCULO MORTERO'!I1282^2)+'BLAZE SHIELD II'!$D$8*'CALCULO MORTERO'!I1282+'BLAZE SHIELD II'!$D$9)),0)+IF(AND(L1282="Blaze Shield II",M1282="Software Idiem",C1282="Cj"),((('BLAZE SHIELD II'!$H$4*('CALCULO MORTERO'!I1282^2)+'BLAZE SHIELD II'!$H$5*'CALCULO MORTERO'!I1282+'BLAZE SHIELD II'!$H$6)*LN(J1282))+('BLAZE SHIELD II'!$H$7*('CALCULO MORTERO'!I1282^2)+'BLAZE SHIELD II'!$H$8*'CALCULO MORTERO'!I1282+'BLAZE SHIELD II'!$H$9)),0)+IF(AND(L1282="Blaze Shield II",M1282="Software Idiem",C1282="C"),((('BLAZE SHIELD II'!$L$4*('CALCULO MORTERO'!I1282^2)+'BLAZE SHIELD II'!$L$5*'CALCULO MORTERO'!I1282+'BLAZE SHIELD II'!$L$6)*LN(J1282))+('BLAZE SHIELD II'!$L$7*('CALCULO MORTERO'!I1282^2)+'BLAZE SHIELD II'!$L$8*'CALCULO MORTERO'!I1282+'BLAZE SHIELD II'!$L$9)),0)+IF(AND(L1282="Blaze Shield II",M1282="Software Idiem",C1282="L"),((('BLAZE SHIELD II'!$L$4*('CALCULO MORTERO'!I1282^2)+'BLAZE SHIELD II'!$L$5*'CALCULO MORTERO'!I1282+'BLAZE SHIELD II'!$L$6)*LN(J1282))+('BLAZE SHIELD II'!$L$7*('CALCULO MORTERO'!I1282^2)+'BLAZE SHIELD II'!$L$8*'CALCULO MORTERO'!I1282+'BLAZE SHIELD II'!$L$9)),0)+IF(AND(L1282="Blaze Shield II",M1282="Software Idiem",C1282="IN",G1282=3),((('BLAZE SHIELD II'!$H$14*('CALCULO MORTERO'!I1282^2)+'BLAZE SHIELD II'!$H$15*'CALCULO MORTERO'!I1282+'BLAZE SHIELD II'!$H$16)*LN(J1282))+('BLAZE SHIELD II'!$H$17*('CALCULO MORTERO'!I1282^2)+'BLAZE SHIELD II'!$H$18*'CALCULO MORTERO'!I1282+'BLAZE SHIELD II'!$H$19)),0),0)+ROUND(IF(AND(L1282="Cafco 400",M1282="Software Idiem",C1282="IN",G1282=4),((('CAFCO 400 '!$H$7*(J1282^4)+'CAFCO 400 '!$H$8*(J1282^3)+'CAFCO 400 '!$H$9*(J1282^2)+'CAFCO 400 '!$H$10*J1282+'CAFCO 400 '!$H$11)*U1282^2)+(('CAFCO 400 '!$H$12*(J1282^3)+'CAFCO 400 '!$H$13*(J1282^2)+'CAFCO 400 '!$H$14*J1282+'CAFCO 400 '!$H$15)*U1282)+('CAFCO 400 '!$H$16*(J1282^2)+'CAFCO 400 '!$H$17*J1282+'CAFCO 400 '!$H$18)),0)+IF(AND(L1282="Cafco 400",M1282="Software Idiem",C1282="Cj"),(((('CAFCO 400 '!$D$7*LN(J1282)+'CAFCO 400 '!$D$8)*U1282^2)+(('CAFCO 400 '!$D$9*LN(J1282)+'CAFCO 400 '!$D$10)*U1282)+('CAFCO 400 '!$D$11*LN(J1282)+'CAFCO 400 '!$D$12))),0)+IF(AND(L1282="Cafco 400",M1282="Software Idiem",C1282="C"),((('CAFCO 400 '!$L$7*(J1282^3)+'CAFCO 400 '!$L$8*(J1282^2)+'CAFCO 400 '!$L$9*J1282+'CAFCO 400 '!$L$10)*U1282^2)+(('CAFCO 400 '!$L$11*(J1282^3)+'CAFCO 400 '!$L$12*(J1282^2)+'CAFCO 400 '!$L$13*J1282+'CAFCO 400 '!$L$14)*U1282)+('CAFCO 400 '!$L$15*LN(J1282)+'CAFCO 400 '!$L$16)),0)+IF(AND(L1282="Cafco 400",M1282="Software Idiem",C1282="L"),((('CAFCO 400 '!$L$7*(J1282^3)+'CAFCO 400 '!$L$8*(J1282^2)+'CAFCO 400 '!$L$9*J1282+'CAFCO 400 '!$L$10)*U1282^2)+(('CAFCO 400 '!$L$11*(J1282^3)+'CAFCO 400 '!$L$12*(J1282^2)+'CAFCO 400 '!$L$13*J1282+'CAFCO 400 '!$L$14)*U1282)+('CAFCO 400 '!$L$15*LN(J1282)+'CAFCO 400 '!$L$16)),0)+IF(AND(L1282="Cafco 400",M1282="Software Idiem",C1282="IN",G1282=3),((('CAFCO 400 '!$D$23*(J1282^2)+'CAFCO 400 '!$D$24*(J1282)+'CAFCO 400 '!$D$25)*U1282^2)+(('CAFCO 400 '!$D$26*(J1282^2)+'CAFCO 400 '!$D$27*J1282+'CAFCO 400 '!$D$28)*U1282)+('CAFCO 400 '!$D$29*(J1282^2)+'CAFCO 400 '!$D$30*J1282+'CAFCO 400 '!$D$31)),0),0)+IF(AND(L1282="Cafco 300",J1282&gt;=95,J1282&lt;=240,C1282="Cj",I1282=90),VLOOKUP(T1282,'CAFCO 300 IDIEM TABLAS'!$B$4:$D$23,2,FALSE),0)+IF(AND(L1282="Cafco 300",J1282&gt;=95,J1282&lt;=240,C1282="Cj",I1282=120),VLOOKUP(T1282,'CAFCO 300 IDIEM TABLAS'!$B$4:$D$23,3,FALSE),0)+IF(AND(L1282="Cafco 300",J1282&gt;=95,J1282&lt;=400,G1282=3,C1282="IN",I1282=90),VLOOKUP(T1282,'CAFCO 300 IDIEM TABLAS'!$F$4:$H$35,2,FALSE),0)+IF(AND(L1282="Cafco 300",J1282&gt;=95,J1282&lt;=400,G1282=3,C1282="IN",I1282=120),VLOOKUP(T1282,'CAFCO 300 IDIEM TABLAS'!$F$4:$H$35,3,FALSE),0)+IF(AND(L1282="Cafco 300",J1282&gt;=95,J1282&lt;=450,G1282=4,C1282="IN",I1282=90),VLOOKUP(T1282,'CAFCO 300 IDIEM TABLAS'!$J$4:$L$40,2,FALSE),0)+IF(AND(L1282="Cafco 300",J1282&gt;=95,J1282&lt;=450,G1282=4,C1282="IN",I1282=120),VLOOKUP(T1282,'CAFCO 300 IDIEM TABLAS'!$J$4:$L$40,3,FALSE),0)+IF(AND(M1282="Ensayo Idiem",L1282="Cafco 400",C1282="IN",G1282=4,I1282=90),VLOOKUP(T1282,'CAFCO 400 ENSAYO'!$B$7:$D$43,2,FALSE),0)+IF(AND(M1282="Ensayo Idiem",L1282="Cafco 400",C1282="IN",G1282=4,I1282=120),VLOOKUP(T1282,'CAFCO 400 ENSAYO'!$B$7:$D$43,3,FALSE),0)</f>
        <v>0</v>
      </c>
      <c r="O1282" s="96">
        <f t="shared" si="126"/>
        <v>0</v>
      </c>
      <c r="P1282" s="95" t="str">
        <f t="shared" si="127"/>
        <v>N/A</v>
      </c>
      <c r="Q1282" s="95" t="str">
        <f t="shared" si="128"/>
        <v>N/A</v>
      </c>
      <c r="R1282" s="95" t="str">
        <f t="shared" si="129"/>
        <v>NO CERT.</v>
      </c>
      <c r="S1282" s="95" t="e">
        <f t="shared" si="130"/>
        <v>#N/A</v>
      </c>
      <c r="T1282" s="119" t="e">
        <f>+IF(J1282=LOOKUP(J1282,'CAFCO 300 IDIEM TABLAS'!$J$4:$J$40),'CALCULO MORTERO'!J1282,MROUND('CALCULO MORTERO'!J1282,10))</f>
        <v>#N/A</v>
      </c>
      <c r="U1282" s="118">
        <f t="shared" si="131"/>
        <v>0</v>
      </c>
    </row>
    <row r="1283" spans="1:21" x14ac:dyDescent="0.25">
      <c r="A1283" s="118">
        <f>+CUBICACION!D1277</f>
        <v>0</v>
      </c>
      <c r="B1283" s="819">
        <f>+CUBICACION!E1277</f>
        <v>0</v>
      </c>
      <c r="C1283" s="675">
        <f>+CUBICACION!F1277</f>
        <v>0</v>
      </c>
      <c r="D1283" s="118"/>
      <c r="E1283" s="118"/>
      <c r="F1283" s="820"/>
      <c r="G1283" s="675">
        <f>+CUBICACION!J1277</f>
        <v>0</v>
      </c>
      <c r="H1283" s="118"/>
      <c r="I1283" s="821">
        <f>+CUBICACION!L1277</f>
        <v>0</v>
      </c>
      <c r="J1283" s="64">
        <f>+CUBICACION!M1277</f>
        <v>0</v>
      </c>
      <c r="K1283" s="822" t="str">
        <f>+CUBICACION!N1277</f>
        <v/>
      </c>
      <c r="L1283" s="118">
        <f>+CUBICACION!O1277</f>
        <v>0</v>
      </c>
      <c r="M1283" s="823">
        <f>+CUBICACION!P1277</f>
        <v>0</v>
      </c>
      <c r="N1283" s="902">
        <f>ROUND(IF(AND(L1283="Blaze Shield II",M1283="Software Idiem",C1283="IN",G1283=4),((('BLAZE SHIELD II'!$D$4*('CALCULO MORTERO'!I1283^2)+'BLAZE SHIELD II'!$D$5*'CALCULO MORTERO'!I1283+'BLAZE SHIELD II'!$D$6)*LN(J1283))+('BLAZE SHIELD II'!$D$7*('CALCULO MORTERO'!I1283^2)+'BLAZE SHIELD II'!$D$8*'CALCULO MORTERO'!I1283+'BLAZE SHIELD II'!$D$9)),0)+IF(AND(L1283="Blaze Shield II",M1283="Software Idiem",C1283="Cj"),((('BLAZE SHIELD II'!$H$4*('CALCULO MORTERO'!I1283^2)+'BLAZE SHIELD II'!$H$5*'CALCULO MORTERO'!I1283+'BLAZE SHIELD II'!$H$6)*LN(J1283))+('BLAZE SHIELD II'!$H$7*('CALCULO MORTERO'!I1283^2)+'BLAZE SHIELD II'!$H$8*'CALCULO MORTERO'!I1283+'BLAZE SHIELD II'!$H$9)),0)+IF(AND(L1283="Blaze Shield II",M1283="Software Idiem",C1283="C"),((('BLAZE SHIELD II'!$L$4*('CALCULO MORTERO'!I1283^2)+'BLAZE SHIELD II'!$L$5*'CALCULO MORTERO'!I1283+'BLAZE SHIELD II'!$L$6)*LN(J1283))+('BLAZE SHIELD II'!$L$7*('CALCULO MORTERO'!I1283^2)+'BLAZE SHIELD II'!$L$8*'CALCULO MORTERO'!I1283+'BLAZE SHIELD II'!$L$9)),0)+IF(AND(L1283="Blaze Shield II",M1283="Software Idiem",C1283="L"),((('BLAZE SHIELD II'!$L$4*('CALCULO MORTERO'!I1283^2)+'BLAZE SHIELD II'!$L$5*'CALCULO MORTERO'!I1283+'BLAZE SHIELD II'!$L$6)*LN(J1283))+('BLAZE SHIELD II'!$L$7*('CALCULO MORTERO'!I1283^2)+'BLAZE SHIELD II'!$L$8*'CALCULO MORTERO'!I1283+'BLAZE SHIELD II'!$L$9)),0)+IF(AND(L1283="Blaze Shield II",M1283="Software Idiem",C1283="IN",G1283=3),((('BLAZE SHIELD II'!$H$14*('CALCULO MORTERO'!I1283^2)+'BLAZE SHIELD II'!$H$15*'CALCULO MORTERO'!I1283+'BLAZE SHIELD II'!$H$16)*LN(J1283))+('BLAZE SHIELD II'!$H$17*('CALCULO MORTERO'!I1283^2)+'BLAZE SHIELD II'!$H$18*'CALCULO MORTERO'!I1283+'BLAZE SHIELD II'!$H$19)),0),0)+ROUND(IF(AND(L1283="Cafco 400",M1283="Software Idiem",C1283="IN",G1283=4),((('CAFCO 400 '!$H$7*(J1283^4)+'CAFCO 400 '!$H$8*(J1283^3)+'CAFCO 400 '!$H$9*(J1283^2)+'CAFCO 400 '!$H$10*J1283+'CAFCO 400 '!$H$11)*U1283^2)+(('CAFCO 400 '!$H$12*(J1283^3)+'CAFCO 400 '!$H$13*(J1283^2)+'CAFCO 400 '!$H$14*J1283+'CAFCO 400 '!$H$15)*U1283)+('CAFCO 400 '!$H$16*(J1283^2)+'CAFCO 400 '!$H$17*J1283+'CAFCO 400 '!$H$18)),0)+IF(AND(L1283="Cafco 400",M1283="Software Idiem",C1283="Cj"),(((('CAFCO 400 '!$D$7*LN(J1283)+'CAFCO 400 '!$D$8)*U1283^2)+(('CAFCO 400 '!$D$9*LN(J1283)+'CAFCO 400 '!$D$10)*U1283)+('CAFCO 400 '!$D$11*LN(J1283)+'CAFCO 400 '!$D$12))),0)+IF(AND(L1283="Cafco 400",M1283="Software Idiem",C1283="C"),((('CAFCO 400 '!$L$7*(J1283^3)+'CAFCO 400 '!$L$8*(J1283^2)+'CAFCO 400 '!$L$9*J1283+'CAFCO 400 '!$L$10)*U1283^2)+(('CAFCO 400 '!$L$11*(J1283^3)+'CAFCO 400 '!$L$12*(J1283^2)+'CAFCO 400 '!$L$13*J1283+'CAFCO 400 '!$L$14)*U1283)+('CAFCO 400 '!$L$15*LN(J1283)+'CAFCO 400 '!$L$16)),0)+IF(AND(L1283="Cafco 400",M1283="Software Idiem",C1283="L"),((('CAFCO 400 '!$L$7*(J1283^3)+'CAFCO 400 '!$L$8*(J1283^2)+'CAFCO 400 '!$L$9*J1283+'CAFCO 400 '!$L$10)*U1283^2)+(('CAFCO 400 '!$L$11*(J1283^3)+'CAFCO 400 '!$L$12*(J1283^2)+'CAFCO 400 '!$L$13*J1283+'CAFCO 400 '!$L$14)*U1283)+('CAFCO 400 '!$L$15*LN(J1283)+'CAFCO 400 '!$L$16)),0)+IF(AND(L1283="Cafco 400",M1283="Software Idiem",C1283="IN",G1283=3),((('CAFCO 400 '!$D$23*(J1283^2)+'CAFCO 400 '!$D$24*(J1283)+'CAFCO 400 '!$D$25)*U1283^2)+(('CAFCO 400 '!$D$26*(J1283^2)+'CAFCO 400 '!$D$27*J1283+'CAFCO 400 '!$D$28)*U1283)+('CAFCO 400 '!$D$29*(J1283^2)+'CAFCO 400 '!$D$30*J1283+'CAFCO 400 '!$D$31)),0),0)+IF(AND(L1283="Cafco 300",J1283&gt;=95,J1283&lt;=240,C1283="Cj",I1283=90),VLOOKUP(T1283,'CAFCO 300 IDIEM TABLAS'!$B$4:$D$23,2,FALSE),0)+IF(AND(L1283="Cafco 300",J1283&gt;=95,J1283&lt;=240,C1283="Cj",I1283=120),VLOOKUP(T1283,'CAFCO 300 IDIEM TABLAS'!$B$4:$D$23,3,FALSE),0)+IF(AND(L1283="Cafco 300",J1283&gt;=95,J1283&lt;=400,G1283=3,C1283="IN",I1283=90),VLOOKUP(T1283,'CAFCO 300 IDIEM TABLAS'!$F$4:$H$35,2,FALSE),0)+IF(AND(L1283="Cafco 300",J1283&gt;=95,J1283&lt;=400,G1283=3,C1283="IN",I1283=120),VLOOKUP(T1283,'CAFCO 300 IDIEM TABLAS'!$F$4:$H$35,3,FALSE),0)+IF(AND(L1283="Cafco 300",J1283&gt;=95,J1283&lt;=450,G1283=4,C1283="IN",I1283=90),VLOOKUP(T1283,'CAFCO 300 IDIEM TABLAS'!$J$4:$L$40,2,FALSE),0)+IF(AND(L1283="Cafco 300",J1283&gt;=95,J1283&lt;=450,G1283=4,C1283="IN",I1283=120),VLOOKUP(T1283,'CAFCO 300 IDIEM TABLAS'!$J$4:$L$40,3,FALSE),0)+IF(AND(M1283="Ensayo Idiem",L1283="Cafco 400",C1283="IN",G1283=4,I1283=90),VLOOKUP(T1283,'CAFCO 400 ENSAYO'!$B$7:$D$43,2,FALSE),0)+IF(AND(M1283="Ensayo Idiem",L1283="Cafco 400",C1283="IN",G1283=4,I1283=120),VLOOKUP(T1283,'CAFCO 400 ENSAYO'!$B$7:$D$43,3,FALSE),0)</f>
        <v>0</v>
      </c>
      <c r="O1283" s="96">
        <f t="shared" si="126"/>
        <v>0</v>
      </c>
      <c r="P1283" s="132" t="str">
        <f t="shared" si="127"/>
        <v>N/A</v>
      </c>
      <c r="Q1283" s="132" t="str">
        <f t="shared" si="128"/>
        <v>N/A</v>
      </c>
      <c r="R1283" s="132" t="str">
        <f t="shared" si="129"/>
        <v>NO CERT.</v>
      </c>
      <c r="S1283" s="132" t="e">
        <f t="shared" si="130"/>
        <v>#N/A</v>
      </c>
      <c r="T1283" s="133" t="e">
        <f>+IF(J1283=LOOKUP(J1283,'CAFCO 300 IDIEM TABLAS'!$J$4:$J$40),'CALCULO MORTERO'!J1283,MROUND('CALCULO MORTERO'!J1283,10))</f>
        <v>#N/A</v>
      </c>
      <c r="U1283" s="134">
        <f t="shared" si="131"/>
        <v>0</v>
      </c>
    </row>
    <row r="1284" spans="1:21" x14ac:dyDescent="0.25">
      <c r="A1284" s="118">
        <f>+CUBICACION!D1278</f>
        <v>0</v>
      </c>
      <c r="B1284" s="819">
        <f>+CUBICACION!E1278</f>
        <v>0</v>
      </c>
      <c r="C1284" s="675">
        <f>+CUBICACION!F1278</f>
        <v>0</v>
      </c>
      <c r="D1284" s="118"/>
      <c r="E1284" s="118"/>
      <c r="F1284" s="820"/>
      <c r="G1284" s="675">
        <f>+CUBICACION!J1278</f>
        <v>0</v>
      </c>
      <c r="H1284" s="118"/>
      <c r="I1284" s="821">
        <f>+CUBICACION!L1278</f>
        <v>0</v>
      </c>
      <c r="J1284" s="64">
        <f>+CUBICACION!M1278</f>
        <v>0</v>
      </c>
      <c r="K1284" s="822" t="str">
        <f>+CUBICACION!N1278</f>
        <v/>
      </c>
      <c r="L1284" s="118">
        <f>+CUBICACION!O1278</f>
        <v>0</v>
      </c>
      <c r="M1284" s="823">
        <f>+CUBICACION!P1278</f>
        <v>0</v>
      </c>
      <c r="N1284" s="902">
        <f>ROUND(IF(AND(L1284="Blaze Shield II",M1284="Software Idiem",C1284="IN",G1284=4),((('BLAZE SHIELD II'!$D$4*('CALCULO MORTERO'!I1284^2)+'BLAZE SHIELD II'!$D$5*'CALCULO MORTERO'!I1284+'BLAZE SHIELD II'!$D$6)*LN(J1284))+('BLAZE SHIELD II'!$D$7*('CALCULO MORTERO'!I1284^2)+'BLAZE SHIELD II'!$D$8*'CALCULO MORTERO'!I1284+'BLAZE SHIELD II'!$D$9)),0)+IF(AND(L1284="Blaze Shield II",M1284="Software Idiem",C1284="Cj"),((('BLAZE SHIELD II'!$H$4*('CALCULO MORTERO'!I1284^2)+'BLAZE SHIELD II'!$H$5*'CALCULO MORTERO'!I1284+'BLAZE SHIELD II'!$H$6)*LN(J1284))+('BLAZE SHIELD II'!$H$7*('CALCULO MORTERO'!I1284^2)+'BLAZE SHIELD II'!$H$8*'CALCULO MORTERO'!I1284+'BLAZE SHIELD II'!$H$9)),0)+IF(AND(L1284="Blaze Shield II",M1284="Software Idiem",C1284="C"),((('BLAZE SHIELD II'!$L$4*('CALCULO MORTERO'!I1284^2)+'BLAZE SHIELD II'!$L$5*'CALCULO MORTERO'!I1284+'BLAZE SHIELD II'!$L$6)*LN(J1284))+('BLAZE SHIELD II'!$L$7*('CALCULO MORTERO'!I1284^2)+'BLAZE SHIELD II'!$L$8*'CALCULO MORTERO'!I1284+'BLAZE SHIELD II'!$L$9)),0)+IF(AND(L1284="Blaze Shield II",M1284="Software Idiem",C1284="L"),((('BLAZE SHIELD II'!$L$4*('CALCULO MORTERO'!I1284^2)+'BLAZE SHIELD II'!$L$5*'CALCULO MORTERO'!I1284+'BLAZE SHIELD II'!$L$6)*LN(J1284))+('BLAZE SHIELD II'!$L$7*('CALCULO MORTERO'!I1284^2)+'BLAZE SHIELD II'!$L$8*'CALCULO MORTERO'!I1284+'BLAZE SHIELD II'!$L$9)),0)+IF(AND(L1284="Blaze Shield II",M1284="Software Idiem",C1284="IN",G1284=3),((('BLAZE SHIELD II'!$H$14*('CALCULO MORTERO'!I1284^2)+'BLAZE SHIELD II'!$H$15*'CALCULO MORTERO'!I1284+'BLAZE SHIELD II'!$H$16)*LN(J1284))+('BLAZE SHIELD II'!$H$17*('CALCULO MORTERO'!I1284^2)+'BLAZE SHIELD II'!$H$18*'CALCULO MORTERO'!I1284+'BLAZE SHIELD II'!$H$19)),0),0)+ROUND(IF(AND(L1284="Cafco 400",M1284="Software Idiem",C1284="IN",G1284=4),((('CAFCO 400 '!$H$7*(J1284^4)+'CAFCO 400 '!$H$8*(J1284^3)+'CAFCO 400 '!$H$9*(J1284^2)+'CAFCO 400 '!$H$10*J1284+'CAFCO 400 '!$H$11)*U1284^2)+(('CAFCO 400 '!$H$12*(J1284^3)+'CAFCO 400 '!$H$13*(J1284^2)+'CAFCO 400 '!$H$14*J1284+'CAFCO 400 '!$H$15)*U1284)+('CAFCO 400 '!$H$16*(J1284^2)+'CAFCO 400 '!$H$17*J1284+'CAFCO 400 '!$H$18)),0)+IF(AND(L1284="Cafco 400",M1284="Software Idiem",C1284="Cj"),(((('CAFCO 400 '!$D$7*LN(J1284)+'CAFCO 400 '!$D$8)*U1284^2)+(('CAFCO 400 '!$D$9*LN(J1284)+'CAFCO 400 '!$D$10)*U1284)+('CAFCO 400 '!$D$11*LN(J1284)+'CAFCO 400 '!$D$12))),0)+IF(AND(L1284="Cafco 400",M1284="Software Idiem",C1284="C"),((('CAFCO 400 '!$L$7*(J1284^3)+'CAFCO 400 '!$L$8*(J1284^2)+'CAFCO 400 '!$L$9*J1284+'CAFCO 400 '!$L$10)*U1284^2)+(('CAFCO 400 '!$L$11*(J1284^3)+'CAFCO 400 '!$L$12*(J1284^2)+'CAFCO 400 '!$L$13*J1284+'CAFCO 400 '!$L$14)*U1284)+('CAFCO 400 '!$L$15*LN(J1284)+'CAFCO 400 '!$L$16)),0)+IF(AND(L1284="Cafco 400",M1284="Software Idiem",C1284="L"),((('CAFCO 400 '!$L$7*(J1284^3)+'CAFCO 400 '!$L$8*(J1284^2)+'CAFCO 400 '!$L$9*J1284+'CAFCO 400 '!$L$10)*U1284^2)+(('CAFCO 400 '!$L$11*(J1284^3)+'CAFCO 400 '!$L$12*(J1284^2)+'CAFCO 400 '!$L$13*J1284+'CAFCO 400 '!$L$14)*U1284)+('CAFCO 400 '!$L$15*LN(J1284)+'CAFCO 400 '!$L$16)),0)+IF(AND(L1284="Cafco 400",M1284="Software Idiem",C1284="IN",G1284=3),((('CAFCO 400 '!$D$23*(J1284^2)+'CAFCO 400 '!$D$24*(J1284)+'CAFCO 400 '!$D$25)*U1284^2)+(('CAFCO 400 '!$D$26*(J1284^2)+'CAFCO 400 '!$D$27*J1284+'CAFCO 400 '!$D$28)*U1284)+('CAFCO 400 '!$D$29*(J1284^2)+'CAFCO 400 '!$D$30*J1284+'CAFCO 400 '!$D$31)),0),0)+IF(AND(L1284="Cafco 300",J1284&gt;=95,J1284&lt;=240,C1284="Cj",I1284=90),VLOOKUP(T1284,'CAFCO 300 IDIEM TABLAS'!$B$4:$D$23,2,FALSE),0)+IF(AND(L1284="Cafco 300",J1284&gt;=95,J1284&lt;=240,C1284="Cj",I1284=120),VLOOKUP(T1284,'CAFCO 300 IDIEM TABLAS'!$B$4:$D$23,3,FALSE),0)+IF(AND(L1284="Cafco 300",J1284&gt;=95,J1284&lt;=400,G1284=3,C1284="IN",I1284=90),VLOOKUP(T1284,'CAFCO 300 IDIEM TABLAS'!$F$4:$H$35,2,FALSE),0)+IF(AND(L1284="Cafco 300",J1284&gt;=95,J1284&lt;=400,G1284=3,C1284="IN",I1284=120),VLOOKUP(T1284,'CAFCO 300 IDIEM TABLAS'!$F$4:$H$35,3,FALSE),0)+IF(AND(L1284="Cafco 300",J1284&gt;=95,J1284&lt;=450,G1284=4,C1284="IN",I1284=90),VLOOKUP(T1284,'CAFCO 300 IDIEM TABLAS'!$J$4:$L$40,2,FALSE),0)+IF(AND(L1284="Cafco 300",J1284&gt;=95,J1284&lt;=450,G1284=4,C1284="IN",I1284=120),VLOOKUP(T1284,'CAFCO 300 IDIEM TABLAS'!$J$4:$L$40,3,FALSE),0)+IF(AND(M1284="Ensayo Idiem",L1284="Cafco 400",C1284="IN",G1284=4,I1284=90),VLOOKUP(T1284,'CAFCO 400 ENSAYO'!$B$7:$D$43,2,FALSE),0)+IF(AND(M1284="Ensayo Idiem",L1284="Cafco 400",C1284="IN",G1284=4,I1284=120),VLOOKUP(T1284,'CAFCO 400 ENSAYO'!$B$7:$D$43,3,FALSE),0)</f>
        <v>0</v>
      </c>
      <c r="O1284" s="96">
        <f t="shared" si="126"/>
        <v>0</v>
      </c>
      <c r="P1284" s="95" t="str">
        <f t="shared" si="127"/>
        <v>N/A</v>
      </c>
      <c r="Q1284" s="95" t="str">
        <f t="shared" si="128"/>
        <v>N/A</v>
      </c>
      <c r="R1284" s="95" t="str">
        <f t="shared" si="129"/>
        <v>NO CERT.</v>
      </c>
      <c r="S1284" s="95" t="e">
        <f t="shared" si="130"/>
        <v>#N/A</v>
      </c>
      <c r="T1284" s="119" t="e">
        <f>+IF(J1284=LOOKUP(J1284,'CAFCO 300 IDIEM TABLAS'!$J$4:$J$40),'CALCULO MORTERO'!J1284,MROUND('CALCULO MORTERO'!J1284,10))</f>
        <v>#N/A</v>
      </c>
      <c r="U1284" s="118">
        <f t="shared" si="131"/>
        <v>0</v>
      </c>
    </row>
    <row r="1285" spans="1:21" x14ac:dyDescent="0.25">
      <c r="A1285" s="118">
        <f>+CUBICACION!D1279</f>
        <v>0</v>
      </c>
      <c r="B1285" s="819">
        <f>+CUBICACION!E1279</f>
        <v>0</v>
      </c>
      <c r="C1285" s="675">
        <f>+CUBICACION!F1279</f>
        <v>0</v>
      </c>
      <c r="D1285" s="118"/>
      <c r="E1285" s="118"/>
      <c r="F1285" s="820"/>
      <c r="G1285" s="675">
        <f>+CUBICACION!J1279</f>
        <v>0</v>
      </c>
      <c r="H1285" s="118"/>
      <c r="I1285" s="821">
        <f>+CUBICACION!L1279</f>
        <v>0</v>
      </c>
      <c r="J1285" s="64">
        <f>+CUBICACION!M1279</f>
        <v>0</v>
      </c>
      <c r="K1285" s="822" t="str">
        <f>+CUBICACION!N1279</f>
        <v/>
      </c>
      <c r="L1285" s="118">
        <f>+CUBICACION!O1279</f>
        <v>0</v>
      </c>
      <c r="M1285" s="823">
        <f>+CUBICACION!P1279</f>
        <v>0</v>
      </c>
      <c r="N1285" s="902">
        <f>ROUND(IF(AND(L1285="Blaze Shield II",M1285="Software Idiem",C1285="IN",G1285=4),((('BLAZE SHIELD II'!$D$4*('CALCULO MORTERO'!I1285^2)+'BLAZE SHIELD II'!$D$5*'CALCULO MORTERO'!I1285+'BLAZE SHIELD II'!$D$6)*LN(J1285))+('BLAZE SHIELD II'!$D$7*('CALCULO MORTERO'!I1285^2)+'BLAZE SHIELD II'!$D$8*'CALCULO MORTERO'!I1285+'BLAZE SHIELD II'!$D$9)),0)+IF(AND(L1285="Blaze Shield II",M1285="Software Idiem",C1285="Cj"),((('BLAZE SHIELD II'!$H$4*('CALCULO MORTERO'!I1285^2)+'BLAZE SHIELD II'!$H$5*'CALCULO MORTERO'!I1285+'BLAZE SHIELD II'!$H$6)*LN(J1285))+('BLAZE SHIELD II'!$H$7*('CALCULO MORTERO'!I1285^2)+'BLAZE SHIELD II'!$H$8*'CALCULO MORTERO'!I1285+'BLAZE SHIELD II'!$H$9)),0)+IF(AND(L1285="Blaze Shield II",M1285="Software Idiem",C1285="C"),((('BLAZE SHIELD II'!$L$4*('CALCULO MORTERO'!I1285^2)+'BLAZE SHIELD II'!$L$5*'CALCULO MORTERO'!I1285+'BLAZE SHIELD II'!$L$6)*LN(J1285))+('BLAZE SHIELD II'!$L$7*('CALCULO MORTERO'!I1285^2)+'BLAZE SHIELD II'!$L$8*'CALCULO MORTERO'!I1285+'BLAZE SHIELD II'!$L$9)),0)+IF(AND(L1285="Blaze Shield II",M1285="Software Idiem",C1285="L"),((('BLAZE SHIELD II'!$L$4*('CALCULO MORTERO'!I1285^2)+'BLAZE SHIELD II'!$L$5*'CALCULO MORTERO'!I1285+'BLAZE SHIELD II'!$L$6)*LN(J1285))+('BLAZE SHIELD II'!$L$7*('CALCULO MORTERO'!I1285^2)+'BLAZE SHIELD II'!$L$8*'CALCULO MORTERO'!I1285+'BLAZE SHIELD II'!$L$9)),0)+IF(AND(L1285="Blaze Shield II",M1285="Software Idiem",C1285="IN",G1285=3),((('BLAZE SHIELD II'!$H$14*('CALCULO MORTERO'!I1285^2)+'BLAZE SHIELD II'!$H$15*'CALCULO MORTERO'!I1285+'BLAZE SHIELD II'!$H$16)*LN(J1285))+('BLAZE SHIELD II'!$H$17*('CALCULO MORTERO'!I1285^2)+'BLAZE SHIELD II'!$H$18*'CALCULO MORTERO'!I1285+'BLAZE SHIELD II'!$H$19)),0),0)+ROUND(IF(AND(L1285="Cafco 400",M1285="Software Idiem",C1285="IN",G1285=4),((('CAFCO 400 '!$H$7*(J1285^4)+'CAFCO 400 '!$H$8*(J1285^3)+'CAFCO 400 '!$H$9*(J1285^2)+'CAFCO 400 '!$H$10*J1285+'CAFCO 400 '!$H$11)*U1285^2)+(('CAFCO 400 '!$H$12*(J1285^3)+'CAFCO 400 '!$H$13*(J1285^2)+'CAFCO 400 '!$H$14*J1285+'CAFCO 400 '!$H$15)*U1285)+('CAFCO 400 '!$H$16*(J1285^2)+'CAFCO 400 '!$H$17*J1285+'CAFCO 400 '!$H$18)),0)+IF(AND(L1285="Cafco 400",M1285="Software Idiem",C1285="Cj"),(((('CAFCO 400 '!$D$7*LN(J1285)+'CAFCO 400 '!$D$8)*U1285^2)+(('CAFCO 400 '!$D$9*LN(J1285)+'CAFCO 400 '!$D$10)*U1285)+('CAFCO 400 '!$D$11*LN(J1285)+'CAFCO 400 '!$D$12))),0)+IF(AND(L1285="Cafco 400",M1285="Software Idiem",C1285="C"),((('CAFCO 400 '!$L$7*(J1285^3)+'CAFCO 400 '!$L$8*(J1285^2)+'CAFCO 400 '!$L$9*J1285+'CAFCO 400 '!$L$10)*U1285^2)+(('CAFCO 400 '!$L$11*(J1285^3)+'CAFCO 400 '!$L$12*(J1285^2)+'CAFCO 400 '!$L$13*J1285+'CAFCO 400 '!$L$14)*U1285)+('CAFCO 400 '!$L$15*LN(J1285)+'CAFCO 400 '!$L$16)),0)+IF(AND(L1285="Cafco 400",M1285="Software Idiem",C1285="L"),((('CAFCO 400 '!$L$7*(J1285^3)+'CAFCO 400 '!$L$8*(J1285^2)+'CAFCO 400 '!$L$9*J1285+'CAFCO 400 '!$L$10)*U1285^2)+(('CAFCO 400 '!$L$11*(J1285^3)+'CAFCO 400 '!$L$12*(J1285^2)+'CAFCO 400 '!$L$13*J1285+'CAFCO 400 '!$L$14)*U1285)+('CAFCO 400 '!$L$15*LN(J1285)+'CAFCO 400 '!$L$16)),0)+IF(AND(L1285="Cafco 400",M1285="Software Idiem",C1285="IN",G1285=3),((('CAFCO 400 '!$D$23*(J1285^2)+'CAFCO 400 '!$D$24*(J1285)+'CAFCO 400 '!$D$25)*U1285^2)+(('CAFCO 400 '!$D$26*(J1285^2)+'CAFCO 400 '!$D$27*J1285+'CAFCO 400 '!$D$28)*U1285)+('CAFCO 400 '!$D$29*(J1285^2)+'CAFCO 400 '!$D$30*J1285+'CAFCO 400 '!$D$31)),0),0)+IF(AND(L1285="Cafco 300",J1285&gt;=95,J1285&lt;=240,C1285="Cj",I1285=90),VLOOKUP(T1285,'CAFCO 300 IDIEM TABLAS'!$B$4:$D$23,2,FALSE),0)+IF(AND(L1285="Cafco 300",J1285&gt;=95,J1285&lt;=240,C1285="Cj",I1285=120),VLOOKUP(T1285,'CAFCO 300 IDIEM TABLAS'!$B$4:$D$23,3,FALSE),0)+IF(AND(L1285="Cafco 300",J1285&gt;=95,J1285&lt;=400,G1285=3,C1285="IN",I1285=90),VLOOKUP(T1285,'CAFCO 300 IDIEM TABLAS'!$F$4:$H$35,2,FALSE),0)+IF(AND(L1285="Cafco 300",J1285&gt;=95,J1285&lt;=400,G1285=3,C1285="IN",I1285=120),VLOOKUP(T1285,'CAFCO 300 IDIEM TABLAS'!$F$4:$H$35,3,FALSE),0)+IF(AND(L1285="Cafco 300",J1285&gt;=95,J1285&lt;=450,G1285=4,C1285="IN",I1285=90),VLOOKUP(T1285,'CAFCO 300 IDIEM TABLAS'!$J$4:$L$40,2,FALSE),0)+IF(AND(L1285="Cafco 300",J1285&gt;=95,J1285&lt;=450,G1285=4,C1285="IN",I1285=120),VLOOKUP(T1285,'CAFCO 300 IDIEM TABLAS'!$J$4:$L$40,3,FALSE),0)+IF(AND(M1285="Ensayo Idiem",L1285="Cafco 400",C1285="IN",G1285=4,I1285=90),VLOOKUP(T1285,'CAFCO 400 ENSAYO'!$B$7:$D$43,2,FALSE),0)+IF(AND(M1285="Ensayo Idiem",L1285="Cafco 400",C1285="IN",G1285=4,I1285=120),VLOOKUP(T1285,'CAFCO 400 ENSAYO'!$B$7:$D$43,3,FALSE),0)</f>
        <v>0</v>
      </c>
      <c r="O1285" s="96">
        <f t="shared" si="126"/>
        <v>0</v>
      </c>
      <c r="P1285" s="132" t="str">
        <f t="shared" si="127"/>
        <v>N/A</v>
      </c>
      <c r="Q1285" s="132" t="str">
        <f t="shared" si="128"/>
        <v>N/A</v>
      </c>
      <c r="R1285" s="132" t="str">
        <f t="shared" si="129"/>
        <v>NO CERT.</v>
      </c>
      <c r="S1285" s="132" t="e">
        <f t="shared" si="130"/>
        <v>#N/A</v>
      </c>
      <c r="T1285" s="133" t="e">
        <f>+IF(J1285=LOOKUP(J1285,'CAFCO 300 IDIEM TABLAS'!$J$4:$J$40),'CALCULO MORTERO'!J1285,MROUND('CALCULO MORTERO'!J1285,10))</f>
        <v>#N/A</v>
      </c>
      <c r="U1285" s="134">
        <f t="shared" si="131"/>
        <v>0</v>
      </c>
    </row>
    <row r="1286" spans="1:21" x14ac:dyDescent="0.25">
      <c r="A1286" s="118">
        <f>+CUBICACION!D1280</f>
        <v>0</v>
      </c>
      <c r="B1286" s="819">
        <f>+CUBICACION!E1280</f>
        <v>0</v>
      </c>
      <c r="C1286" s="675">
        <f>+CUBICACION!F1280</f>
        <v>0</v>
      </c>
      <c r="D1286" s="118"/>
      <c r="E1286" s="118"/>
      <c r="F1286" s="820"/>
      <c r="G1286" s="675">
        <f>+CUBICACION!J1280</f>
        <v>0</v>
      </c>
      <c r="H1286" s="118"/>
      <c r="I1286" s="821">
        <f>+CUBICACION!L1280</f>
        <v>0</v>
      </c>
      <c r="J1286" s="64">
        <f>+CUBICACION!M1280</f>
        <v>0</v>
      </c>
      <c r="K1286" s="822" t="str">
        <f>+CUBICACION!N1280</f>
        <v/>
      </c>
      <c r="L1286" s="118">
        <f>+CUBICACION!O1280</f>
        <v>0</v>
      </c>
      <c r="M1286" s="823">
        <f>+CUBICACION!P1280</f>
        <v>0</v>
      </c>
      <c r="N1286" s="902">
        <f>ROUND(IF(AND(L1286="Blaze Shield II",M1286="Software Idiem",C1286="IN",G1286=4),((('BLAZE SHIELD II'!$D$4*('CALCULO MORTERO'!I1286^2)+'BLAZE SHIELD II'!$D$5*'CALCULO MORTERO'!I1286+'BLAZE SHIELD II'!$D$6)*LN(J1286))+('BLAZE SHIELD II'!$D$7*('CALCULO MORTERO'!I1286^2)+'BLAZE SHIELD II'!$D$8*'CALCULO MORTERO'!I1286+'BLAZE SHIELD II'!$D$9)),0)+IF(AND(L1286="Blaze Shield II",M1286="Software Idiem",C1286="Cj"),((('BLAZE SHIELD II'!$H$4*('CALCULO MORTERO'!I1286^2)+'BLAZE SHIELD II'!$H$5*'CALCULO MORTERO'!I1286+'BLAZE SHIELD II'!$H$6)*LN(J1286))+('BLAZE SHIELD II'!$H$7*('CALCULO MORTERO'!I1286^2)+'BLAZE SHIELD II'!$H$8*'CALCULO MORTERO'!I1286+'BLAZE SHIELD II'!$H$9)),0)+IF(AND(L1286="Blaze Shield II",M1286="Software Idiem",C1286="C"),((('BLAZE SHIELD II'!$L$4*('CALCULO MORTERO'!I1286^2)+'BLAZE SHIELD II'!$L$5*'CALCULO MORTERO'!I1286+'BLAZE SHIELD II'!$L$6)*LN(J1286))+('BLAZE SHIELD II'!$L$7*('CALCULO MORTERO'!I1286^2)+'BLAZE SHIELD II'!$L$8*'CALCULO MORTERO'!I1286+'BLAZE SHIELD II'!$L$9)),0)+IF(AND(L1286="Blaze Shield II",M1286="Software Idiem",C1286="L"),((('BLAZE SHIELD II'!$L$4*('CALCULO MORTERO'!I1286^2)+'BLAZE SHIELD II'!$L$5*'CALCULO MORTERO'!I1286+'BLAZE SHIELD II'!$L$6)*LN(J1286))+('BLAZE SHIELD II'!$L$7*('CALCULO MORTERO'!I1286^2)+'BLAZE SHIELD II'!$L$8*'CALCULO MORTERO'!I1286+'BLAZE SHIELD II'!$L$9)),0)+IF(AND(L1286="Blaze Shield II",M1286="Software Idiem",C1286="IN",G1286=3),((('BLAZE SHIELD II'!$H$14*('CALCULO MORTERO'!I1286^2)+'BLAZE SHIELD II'!$H$15*'CALCULO MORTERO'!I1286+'BLAZE SHIELD II'!$H$16)*LN(J1286))+('BLAZE SHIELD II'!$H$17*('CALCULO MORTERO'!I1286^2)+'BLAZE SHIELD II'!$H$18*'CALCULO MORTERO'!I1286+'BLAZE SHIELD II'!$H$19)),0),0)+ROUND(IF(AND(L1286="Cafco 400",M1286="Software Idiem",C1286="IN",G1286=4),((('CAFCO 400 '!$H$7*(J1286^4)+'CAFCO 400 '!$H$8*(J1286^3)+'CAFCO 400 '!$H$9*(J1286^2)+'CAFCO 400 '!$H$10*J1286+'CAFCO 400 '!$H$11)*U1286^2)+(('CAFCO 400 '!$H$12*(J1286^3)+'CAFCO 400 '!$H$13*(J1286^2)+'CAFCO 400 '!$H$14*J1286+'CAFCO 400 '!$H$15)*U1286)+('CAFCO 400 '!$H$16*(J1286^2)+'CAFCO 400 '!$H$17*J1286+'CAFCO 400 '!$H$18)),0)+IF(AND(L1286="Cafco 400",M1286="Software Idiem",C1286="Cj"),(((('CAFCO 400 '!$D$7*LN(J1286)+'CAFCO 400 '!$D$8)*U1286^2)+(('CAFCO 400 '!$D$9*LN(J1286)+'CAFCO 400 '!$D$10)*U1286)+('CAFCO 400 '!$D$11*LN(J1286)+'CAFCO 400 '!$D$12))),0)+IF(AND(L1286="Cafco 400",M1286="Software Idiem",C1286="C"),((('CAFCO 400 '!$L$7*(J1286^3)+'CAFCO 400 '!$L$8*(J1286^2)+'CAFCO 400 '!$L$9*J1286+'CAFCO 400 '!$L$10)*U1286^2)+(('CAFCO 400 '!$L$11*(J1286^3)+'CAFCO 400 '!$L$12*(J1286^2)+'CAFCO 400 '!$L$13*J1286+'CAFCO 400 '!$L$14)*U1286)+('CAFCO 400 '!$L$15*LN(J1286)+'CAFCO 400 '!$L$16)),0)+IF(AND(L1286="Cafco 400",M1286="Software Idiem",C1286="L"),((('CAFCO 400 '!$L$7*(J1286^3)+'CAFCO 400 '!$L$8*(J1286^2)+'CAFCO 400 '!$L$9*J1286+'CAFCO 400 '!$L$10)*U1286^2)+(('CAFCO 400 '!$L$11*(J1286^3)+'CAFCO 400 '!$L$12*(J1286^2)+'CAFCO 400 '!$L$13*J1286+'CAFCO 400 '!$L$14)*U1286)+('CAFCO 400 '!$L$15*LN(J1286)+'CAFCO 400 '!$L$16)),0)+IF(AND(L1286="Cafco 400",M1286="Software Idiem",C1286="IN",G1286=3),((('CAFCO 400 '!$D$23*(J1286^2)+'CAFCO 400 '!$D$24*(J1286)+'CAFCO 400 '!$D$25)*U1286^2)+(('CAFCO 400 '!$D$26*(J1286^2)+'CAFCO 400 '!$D$27*J1286+'CAFCO 400 '!$D$28)*U1286)+('CAFCO 400 '!$D$29*(J1286^2)+'CAFCO 400 '!$D$30*J1286+'CAFCO 400 '!$D$31)),0),0)+IF(AND(L1286="Cafco 300",J1286&gt;=95,J1286&lt;=240,C1286="Cj",I1286=90),VLOOKUP(T1286,'CAFCO 300 IDIEM TABLAS'!$B$4:$D$23,2,FALSE),0)+IF(AND(L1286="Cafco 300",J1286&gt;=95,J1286&lt;=240,C1286="Cj",I1286=120),VLOOKUP(T1286,'CAFCO 300 IDIEM TABLAS'!$B$4:$D$23,3,FALSE),0)+IF(AND(L1286="Cafco 300",J1286&gt;=95,J1286&lt;=400,G1286=3,C1286="IN",I1286=90),VLOOKUP(T1286,'CAFCO 300 IDIEM TABLAS'!$F$4:$H$35,2,FALSE),0)+IF(AND(L1286="Cafco 300",J1286&gt;=95,J1286&lt;=400,G1286=3,C1286="IN",I1286=120),VLOOKUP(T1286,'CAFCO 300 IDIEM TABLAS'!$F$4:$H$35,3,FALSE),0)+IF(AND(L1286="Cafco 300",J1286&gt;=95,J1286&lt;=450,G1286=4,C1286="IN",I1286=90),VLOOKUP(T1286,'CAFCO 300 IDIEM TABLAS'!$J$4:$L$40,2,FALSE),0)+IF(AND(L1286="Cafco 300",J1286&gt;=95,J1286&lt;=450,G1286=4,C1286="IN",I1286=120),VLOOKUP(T1286,'CAFCO 300 IDIEM TABLAS'!$J$4:$L$40,3,FALSE),0)+IF(AND(M1286="Ensayo Idiem",L1286="Cafco 400",C1286="IN",G1286=4,I1286=90),VLOOKUP(T1286,'CAFCO 400 ENSAYO'!$B$7:$D$43,2,FALSE),0)+IF(AND(M1286="Ensayo Idiem",L1286="Cafco 400",C1286="IN",G1286=4,I1286=120),VLOOKUP(T1286,'CAFCO 400 ENSAYO'!$B$7:$D$43,3,FALSE),0)</f>
        <v>0</v>
      </c>
      <c r="O1286" s="96">
        <f t="shared" si="126"/>
        <v>0</v>
      </c>
      <c r="P1286" s="95" t="str">
        <f t="shared" si="127"/>
        <v>N/A</v>
      </c>
      <c r="Q1286" s="95" t="str">
        <f t="shared" si="128"/>
        <v>N/A</v>
      </c>
      <c r="R1286" s="95" t="str">
        <f t="shared" si="129"/>
        <v>NO CERT.</v>
      </c>
      <c r="S1286" s="95" t="e">
        <f t="shared" si="130"/>
        <v>#N/A</v>
      </c>
      <c r="T1286" s="119" t="e">
        <f>+IF(J1286=LOOKUP(J1286,'CAFCO 300 IDIEM TABLAS'!$J$4:$J$40),'CALCULO MORTERO'!J1286,MROUND('CALCULO MORTERO'!J1286,10))</f>
        <v>#N/A</v>
      </c>
      <c r="U1286" s="118">
        <f t="shared" si="131"/>
        <v>0</v>
      </c>
    </row>
    <row r="1287" spans="1:21" x14ac:dyDescent="0.25">
      <c r="A1287" s="118">
        <f>+CUBICACION!D1281</f>
        <v>0</v>
      </c>
      <c r="B1287" s="819">
        <f>+CUBICACION!E1281</f>
        <v>0</v>
      </c>
      <c r="C1287" s="675">
        <f>+CUBICACION!F1281</f>
        <v>0</v>
      </c>
      <c r="D1287" s="118"/>
      <c r="E1287" s="118"/>
      <c r="F1287" s="820"/>
      <c r="G1287" s="675">
        <f>+CUBICACION!J1281</f>
        <v>0</v>
      </c>
      <c r="H1287" s="118"/>
      <c r="I1287" s="821">
        <f>+CUBICACION!L1281</f>
        <v>0</v>
      </c>
      <c r="J1287" s="64">
        <f>+CUBICACION!M1281</f>
        <v>0</v>
      </c>
      <c r="K1287" s="822" t="str">
        <f>+CUBICACION!N1281</f>
        <v/>
      </c>
      <c r="L1287" s="118">
        <f>+CUBICACION!O1281</f>
        <v>0</v>
      </c>
      <c r="M1287" s="823">
        <f>+CUBICACION!P1281</f>
        <v>0</v>
      </c>
      <c r="N1287" s="902">
        <f>ROUND(IF(AND(L1287="Blaze Shield II",M1287="Software Idiem",C1287="IN",G1287=4),((('BLAZE SHIELD II'!$D$4*('CALCULO MORTERO'!I1287^2)+'BLAZE SHIELD II'!$D$5*'CALCULO MORTERO'!I1287+'BLAZE SHIELD II'!$D$6)*LN(J1287))+('BLAZE SHIELD II'!$D$7*('CALCULO MORTERO'!I1287^2)+'BLAZE SHIELD II'!$D$8*'CALCULO MORTERO'!I1287+'BLAZE SHIELD II'!$D$9)),0)+IF(AND(L1287="Blaze Shield II",M1287="Software Idiem",C1287="Cj"),((('BLAZE SHIELD II'!$H$4*('CALCULO MORTERO'!I1287^2)+'BLAZE SHIELD II'!$H$5*'CALCULO MORTERO'!I1287+'BLAZE SHIELD II'!$H$6)*LN(J1287))+('BLAZE SHIELD II'!$H$7*('CALCULO MORTERO'!I1287^2)+'BLAZE SHIELD II'!$H$8*'CALCULO MORTERO'!I1287+'BLAZE SHIELD II'!$H$9)),0)+IF(AND(L1287="Blaze Shield II",M1287="Software Idiem",C1287="C"),((('BLAZE SHIELD II'!$L$4*('CALCULO MORTERO'!I1287^2)+'BLAZE SHIELD II'!$L$5*'CALCULO MORTERO'!I1287+'BLAZE SHIELD II'!$L$6)*LN(J1287))+('BLAZE SHIELD II'!$L$7*('CALCULO MORTERO'!I1287^2)+'BLAZE SHIELD II'!$L$8*'CALCULO MORTERO'!I1287+'BLAZE SHIELD II'!$L$9)),0)+IF(AND(L1287="Blaze Shield II",M1287="Software Idiem",C1287="L"),((('BLAZE SHIELD II'!$L$4*('CALCULO MORTERO'!I1287^2)+'BLAZE SHIELD II'!$L$5*'CALCULO MORTERO'!I1287+'BLAZE SHIELD II'!$L$6)*LN(J1287))+('BLAZE SHIELD II'!$L$7*('CALCULO MORTERO'!I1287^2)+'BLAZE SHIELD II'!$L$8*'CALCULO MORTERO'!I1287+'BLAZE SHIELD II'!$L$9)),0)+IF(AND(L1287="Blaze Shield II",M1287="Software Idiem",C1287="IN",G1287=3),((('BLAZE SHIELD II'!$H$14*('CALCULO MORTERO'!I1287^2)+'BLAZE SHIELD II'!$H$15*'CALCULO MORTERO'!I1287+'BLAZE SHIELD II'!$H$16)*LN(J1287))+('BLAZE SHIELD II'!$H$17*('CALCULO MORTERO'!I1287^2)+'BLAZE SHIELD II'!$H$18*'CALCULO MORTERO'!I1287+'BLAZE SHIELD II'!$H$19)),0),0)+ROUND(IF(AND(L1287="Cafco 400",M1287="Software Idiem",C1287="IN",G1287=4),((('CAFCO 400 '!$H$7*(J1287^4)+'CAFCO 400 '!$H$8*(J1287^3)+'CAFCO 400 '!$H$9*(J1287^2)+'CAFCO 400 '!$H$10*J1287+'CAFCO 400 '!$H$11)*U1287^2)+(('CAFCO 400 '!$H$12*(J1287^3)+'CAFCO 400 '!$H$13*(J1287^2)+'CAFCO 400 '!$H$14*J1287+'CAFCO 400 '!$H$15)*U1287)+('CAFCO 400 '!$H$16*(J1287^2)+'CAFCO 400 '!$H$17*J1287+'CAFCO 400 '!$H$18)),0)+IF(AND(L1287="Cafco 400",M1287="Software Idiem",C1287="Cj"),(((('CAFCO 400 '!$D$7*LN(J1287)+'CAFCO 400 '!$D$8)*U1287^2)+(('CAFCO 400 '!$D$9*LN(J1287)+'CAFCO 400 '!$D$10)*U1287)+('CAFCO 400 '!$D$11*LN(J1287)+'CAFCO 400 '!$D$12))),0)+IF(AND(L1287="Cafco 400",M1287="Software Idiem",C1287="C"),((('CAFCO 400 '!$L$7*(J1287^3)+'CAFCO 400 '!$L$8*(J1287^2)+'CAFCO 400 '!$L$9*J1287+'CAFCO 400 '!$L$10)*U1287^2)+(('CAFCO 400 '!$L$11*(J1287^3)+'CAFCO 400 '!$L$12*(J1287^2)+'CAFCO 400 '!$L$13*J1287+'CAFCO 400 '!$L$14)*U1287)+('CAFCO 400 '!$L$15*LN(J1287)+'CAFCO 400 '!$L$16)),0)+IF(AND(L1287="Cafco 400",M1287="Software Idiem",C1287="L"),((('CAFCO 400 '!$L$7*(J1287^3)+'CAFCO 400 '!$L$8*(J1287^2)+'CAFCO 400 '!$L$9*J1287+'CAFCO 400 '!$L$10)*U1287^2)+(('CAFCO 400 '!$L$11*(J1287^3)+'CAFCO 400 '!$L$12*(J1287^2)+'CAFCO 400 '!$L$13*J1287+'CAFCO 400 '!$L$14)*U1287)+('CAFCO 400 '!$L$15*LN(J1287)+'CAFCO 400 '!$L$16)),0)+IF(AND(L1287="Cafco 400",M1287="Software Idiem",C1287="IN",G1287=3),((('CAFCO 400 '!$D$23*(J1287^2)+'CAFCO 400 '!$D$24*(J1287)+'CAFCO 400 '!$D$25)*U1287^2)+(('CAFCO 400 '!$D$26*(J1287^2)+'CAFCO 400 '!$D$27*J1287+'CAFCO 400 '!$D$28)*U1287)+('CAFCO 400 '!$D$29*(J1287^2)+'CAFCO 400 '!$D$30*J1287+'CAFCO 400 '!$D$31)),0),0)+IF(AND(L1287="Cafco 300",J1287&gt;=95,J1287&lt;=240,C1287="Cj",I1287=90),VLOOKUP(T1287,'CAFCO 300 IDIEM TABLAS'!$B$4:$D$23,2,FALSE),0)+IF(AND(L1287="Cafco 300",J1287&gt;=95,J1287&lt;=240,C1287="Cj",I1287=120),VLOOKUP(T1287,'CAFCO 300 IDIEM TABLAS'!$B$4:$D$23,3,FALSE),0)+IF(AND(L1287="Cafco 300",J1287&gt;=95,J1287&lt;=400,G1287=3,C1287="IN",I1287=90),VLOOKUP(T1287,'CAFCO 300 IDIEM TABLAS'!$F$4:$H$35,2,FALSE),0)+IF(AND(L1287="Cafco 300",J1287&gt;=95,J1287&lt;=400,G1287=3,C1287="IN",I1287=120),VLOOKUP(T1287,'CAFCO 300 IDIEM TABLAS'!$F$4:$H$35,3,FALSE),0)+IF(AND(L1287="Cafco 300",J1287&gt;=95,J1287&lt;=450,G1287=4,C1287="IN",I1287=90),VLOOKUP(T1287,'CAFCO 300 IDIEM TABLAS'!$J$4:$L$40,2,FALSE),0)+IF(AND(L1287="Cafco 300",J1287&gt;=95,J1287&lt;=450,G1287=4,C1287="IN",I1287=120),VLOOKUP(T1287,'CAFCO 300 IDIEM TABLAS'!$J$4:$L$40,3,FALSE),0)+IF(AND(M1287="Ensayo Idiem",L1287="Cafco 400",C1287="IN",G1287=4,I1287=90),VLOOKUP(T1287,'CAFCO 400 ENSAYO'!$B$7:$D$43,2,FALSE),0)+IF(AND(M1287="Ensayo Idiem",L1287="Cafco 400",C1287="IN",G1287=4,I1287=120),VLOOKUP(T1287,'CAFCO 400 ENSAYO'!$B$7:$D$43,3,FALSE),0)</f>
        <v>0</v>
      </c>
      <c r="O1287" s="96">
        <f t="shared" si="126"/>
        <v>0</v>
      </c>
      <c r="P1287" s="132" t="str">
        <f t="shared" si="127"/>
        <v>N/A</v>
      </c>
      <c r="Q1287" s="132" t="str">
        <f t="shared" si="128"/>
        <v>N/A</v>
      </c>
      <c r="R1287" s="132" t="str">
        <f t="shared" si="129"/>
        <v>NO CERT.</v>
      </c>
      <c r="S1287" s="132" t="e">
        <f t="shared" si="130"/>
        <v>#N/A</v>
      </c>
      <c r="T1287" s="133" t="e">
        <f>+IF(J1287=LOOKUP(J1287,'CAFCO 300 IDIEM TABLAS'!$J$4:$J$40),'CALCULO MORTERO'!J1287,MROUND('CALCULO MORTERO'!J1287,10))</f>
        <v>#N/A</v>
      </c>
      <c r="U1287" s="134">
        <f t="shared" si="131"/>
        <v>0</v>
      </c>
    </row>
    <row r="1288" spans="1:21" x14ac:dyDescent="0.25">
      <c r="A1288" s="118">
        <f>+CUBICACION!D1282</f>
        <v>0</v>
      </c>
      <c r="B1288" s="819">
        <f>+CUBICACION!E1282</f>
        <v>0</v>
      </c>
      <c r="C1288" s="675">
        <f>+CUBICACION!F1282</f>
        <v>0</v>
      </c>
      <c r="D1288" s="118"/>
      <c r="E1288" s="118"/>
      <c r="F1288" s="820"/>
      <c r="G1288" s="675">
        <f>+CUBICACION!J1282</f>
        <v>0</v>
      </c>
      <c r="H1288" s="118"/>
      <c r="I1288" s="821">
        <f>+CUBICACION!L1282</f>
        <v>0</v>
      </c>
      <c r="J1288" s="64">
        <f>+CUBICACION!M1282</f>
        <v>0</v>
      </c>
      <c r="K1288" s="822" t="str">
        <f>+CUBICACION!N1282</f>
        <v/>
      </c>
      <c r="L1288" s="118">
        <f>+CUBICACION!O1282</f>
        <v>0</v>
      </c>
      <c r="M1288" s="823">
        <f>+CUBICACION!P1282</f>
        <v>0</v>
      </c>
      <c r="N1288" s="902">
        <f>ROUND(IF(AND(L1288="Blaze Shield II",M1288="Software Idiem",C1288="IN",G1288=4),((('BLAZE SHIELD II'!$D$4*('CALCULO MORTERO'!I1288^2)+'BLAZE SHIELD II'!$D$5*'CALCULO MORTERO'!I1288+'BLAZE SHIELD II'!$D$6)*LN(J1288))+('BLAZE SHIELD II'!$D$7*('CALCULO MORTERO'!I1288^2)+'BLAZE SHIELD II'!$D$8*'CALCULO MORTERO'!I1288+'BLAZE SHIELD II'!$D$9)),0)+IF(AND(L1288="Blaze Shield II",M1288="Software Idiem",C1288="Cj"),((('BLAZE SHIELD II'!$H$4*('CALCULO MORTERO'!I1288^2)+'BLAZE SHIELD II'!$H$5*'CALCULO MORTERO'!I1288+'BLAZE SHIELD II'!$H$6)*LN(J1288))+('BLAZE SHIELD II'!$H$7*('CALCULO MORTERO'!I1288^2)+'BLAZE SHIELD II'!$H$8*'CALCULO MORTERO'!I1288+'BLAZE SHIELD II'!$H$9)),0)+IF(AND(L1288="Blaze Shield II",M1288="Software Idiem",C1288="C"),((('BLAZE SHIELD II'!$L$4*('CALCULO MORTERO'!I1288^2)+'BLAZE SHIELD II'!$L$5*'CALCULO MORTERO'!I1288+'BLAZE SHIELD II'!$L$6)*LN(J1288))+('BLAZE SHIELD II'!$L$7*('CALCULO MORTERO'!I1288^2)+'BLAZE SHIELD II'!$L$8*'CALCULO MORTERO'!I1288+'BLAZE SHIELD II'!$L$9)),0)+IF(AND(L1288="Blaze Shield II",M1288="Software Idiem",C1288="L"),((('BLAZE SHIELD II'!$L$4*('CALCULO MORTERO'!I1288^2)+'BLAZE SHIELD II'!$L$5*'CALCULO MORTERO'!I1288+'BLAZE SHIELD II'!$L$6)*LN(J1288))+('BLAZE SHIELD II'!$L$7*('CALCULO MORTERO'!I1288^2)+'BLAZE SHIELD II'!$L$8*'CALCULO MORTERO'!I1288+'BLAZE SHIELD II'!$L$9)),0)+IF(AND(L1288="Blaze Shield II",M1288="Software Idiem",C1288="IN",G1288=3),((('BLAZE SHIELD II'!$H$14*('CALCULO MORTERO'!I1288^2)+'BLAZE SHIELD II'!$H$15*'CALCULO MORTERO'!I1288+'BLAZE SHIELD II'!$H$16)*LN(J1288))+('BLAZE SHIELD II'!$H$17*('CALCULO MORTERO'!I1288^2)+'BLAZE SHIELD II'!$H$18*'CALCULO MORTERO'!I1288+'BLAZE SHIELD II'!$H$19)),0),0)+ROUND(IF(AND(L1288="Cafco 400",M1288="Software Idiem",C1288="IN",G1288=4),((('CAFCO 400 '!$H$7*(J1288^4)+'CAFCO 400 '!$H$8*(J1288^3)+'CAFCO 400 '!$H$9*(J1288^2)+'CAFCO 400 '!$H$10*J1288+'CAFCO 400 '!$H$11)*U1288^2)+(('CAFCO 400 '!$H$12*(J1288^3)+'CAFCO 400 '!$H$13*(J1288^2)+'CAFCO 400 '!$H$14*J1288+'CAFCO 400 '!$H$15)*U1288)+('CAFCO 400 '!$H$16*(J1288^2)+'CAFCO 400 '!$H$17*J1288+'CAFCO 400 '!$H$18)),0)+IF(AND(L1288="Cafco 400",M1288="Software Idiem",C1288="Cj"),(((('CAFCO 400 '!$D$7*LN(J1288)+'CAFCO 400 '!$D$8)*U1288^2)+(('CAFCO 400 '!$D$9*LN(J1288)+'CAFCO 400 '!$D$10)*U1288)+('CAFCO 400 '!$D$11*LN(J1288)+'CAFCO 400 '!$D$12))),0)+IF(AND(L1288="Cafco 400",M1288="Software Idiem",C1288="C"),((('CAFCO 400 '!$L$7*(J1288^3)+'CAFCO 400 '!$L$8*(J1288^2)+'CAFCO 400 '!$L$9*J1288+'CAFCO 400 '!$L$10)*U1288^2)+(('CAFCO 400 '!$L$11*(J1288^3)+'CAFCO 400 '!$L$12*(J1288^2)+'CAFCO 400 '!$L$13*J1288+'CAFCO 400 '!$L$14)*U1288)+('CAFCO 400 '!$L$15*LN(J1288)+'CAFCO 400 '!$L$16)),0)+IF(AND(L1288="Cafco 400",M1288="Software Idiem",C1288="L"),((('CAFCO 400 '!$L$7*(J1288^3)+'CAFCO 400 '!$L$8*(J1288^2)+'CAFCO 400 '!$L$9*J1288+'CAFCO 400 '!$L$10)*U1288^2)+(('CAFCO 400 '!$L$11*(J1288^3)+'CAFCO 400 '!$L$12*(J1288^2)+'CAFCO 400 '!$L$13*J1288+'CAFCO 400 '!$L$14)*U1288)+('CAFCO 400 '!$L$15*LN(J1288)+'CAFCO 400 '!$L$16)),0)+IF(AND(L1288="Cafco 400",M1288="Software Idiem",C1288="IN",G1288=3),((('CAFCO 400 '!$D$23*(J1288^2)+'CAFCO 400 '!$D$24*(J1288)+'CAFCO 400 '!$D$25)*U1288^2)+(('CAFCO 400 '!$D$26*(J1288^2)+'CAFCO 400 '!$D$27*J1288+'CAFCO 400 '!$D$28)*U1288)+('CAFCO 400 '!$D$29*(J1288^2)+'CAFCO 400 '!$D$30*J1288+'CAFCO 400 '!$D$31)),0),0)+IF(AND(L1288="Cafco 300",J1288&gt;=95,J1288&lt;=240,C1288="Cj",I1288=90),VLOOKUP(T1288,'CAFCO 300 IDIEM TABLAS'!$B$4:$D$23,2,FALSE),0)+IF(AND(L1288="Cafco 300",J1288&gt;=95,J1288&lt;=240,C1288="Cj",I1288=120),VLOOKUP(T1288,'CAFCO 300 IDIEM TABLAS'!$B$4:$D$23,3,FALSE),0)+IF(AND(L1288="Cafco 300",J1288&gt;=95,J1288&lt;=400,G1288=3,C1288="IN",I1288=90),VLOOKUP(T1288,'CAFCO 300 IDIEM TABLAS'!$F$4:$H$35,2,FALSE),0)+IF(AND(L1288="Cafco 300",J1288&gt;=95,J1288&lt;=400,G1288=3,C1288="IN",I1288=120),VLOOKUP(T1288,'CAFCO 300 IDIEM TABLAS'!$F$4:$H$35,3,FALSE),0)+IF(AND(L1288="Cafco 300",J1288&gt;=95,J1288&lt;=450,G1288=4,C1288="IN",I1288=90),VLOOKUP(T1288,'CAFCO 300 IDIEM TABLAS'!$J$4:$L$40,2,FALSE),0)+IF(AND(L1288="Cafco 300",J1288&gt;=95,J1288&lt;=450,G1288=4,C1288="IN",I1288=120),VLOOKUP(T1288,'CAFCO 300 IDIEM TABLAS'!$J$4:$L$40,3,FALSE),0)+IF(AND(M1288="Ensayo Idiem",L1288="Cafco 400",C1288="IN",G1288=4,I1288=90),VLOOKUP(T1288,'CAFCO 400 ENSAYO'!$B$7:$D$43,2,FALSE),0)+IF(AND(M1288="Ensayo Idiem",L1288="Cafco 400",C1288="IN",G1288=4,I1288=120),VLOOKUP(T1288,'CAFCO 400 ENSAYO'!$B$7:$D$43,3,FALSE),0)</f>
        <v>0</v>
      </c>
      <c r="O1288" s="96">
        <f t="shared" si="126"/>
        <v>0</v>
      </c>
      <c r="P1288" s="95" t="str">
        <f t="shared" si="127"/>
        <v>N/A</v>
      </c>
      <c r="Q1288" s="95" t="str">
        <f t="shared" si="128"/>
        <v>N/A</v>
      </c>
      <c r="R1288" s="95" t="str">
        <f t="shared" si="129"/>
        <v>NO CERT.</v>
      </c>
      <c r="S1288" s="95" t="e">
        <f t="shared" si="130"/>
        <v>#N/A</v>
      </c>
      <c r="T1288" s="119" t="e">
        <f>+IF(J1288=LOOKUP(J1288,'CAFCO 300 IDIEM TABLAS'!$J$4:$J$40),'CALCULO MORTERO'!J1288,MROUND('CALCULO MORTERO'!J1288,10))</f>
        <v>#N/A</v>
      </c>
      <c r="U1288" s="118">
        <f t="shared" si="131"/>
        <v>0</v>
      </c>
    </row>
    <row r="1289" spans="1:21" x14ac:dyDescent="0.25">
      <c r="A1289" s="118">
        <f>+CUBICACION!D1283</f>
        <v>0</v>
      </c>
      <c r="B1289" s="819">
        <f>+CUBICACION!E1283</f>
        <v>0</v>
      </c>
      <c r="C1289" s="675">
        <f>+CUBICACION!F1283</f>
        <v>0</v>
      </c>
      <c r="D1289" s="118"/>
      <c r="E1289" s="118"/>
      <c r="F1289" s="820"/>
      <c r="G1289" s="675">
        <f>+CUBICACION!J1283</f>
        <v>0</v>
      </c>
      <c r="H1289" s="118"/>
      <c r="I1289" s="821">
        <f>+CUBICACION!L1283</f>
        <v>0</v>
      </c>
      <c r="J1289" s="64">
        <f>+CUBICACION!M1283</f>
        <v>0</v>
      </c>
      <c r="K1289" s="822" t="str">
        <f>+CUBICACION!N1283</f>
        <v/>
      </c>
      <c r="L1289" s="118">
        <f>+CUBICACION!O1283</f>
        <v>0</v>
      </c>
      <c r="M1289" s="823">
        <f>+CUBICACION!P1283</f>
        <v>0</v>
      </c>
      <c r="N1289" s="902">
        <f>ROUND(IF(AND(L1289="Blaze Shield II",M1289="Software Idiem",C1289="IN",G1289=4),((('BLAZE SHIELD II'!$D$4*('CALCULO MORTERO'!I1289^2)+'BLAZE SHIELD II'!$D$5*'CALCULO MORTERO'!I1289+'BLAZE SHIELD II'!$D$6)*LN(J1289))+('BLAZE SHIELD II'!$D$7*('CALCULO MORTERO'!I1289^2)+'BLAZE SHIELD II'!$D$8*'CALCULO MORTERO'!I1289+'BLAZE SHIELD II'!$D$9)),0)+IF(AND(L1289="Blaze Shield II",M1289="Software Idiem",C1289="Cj"),((('BLAZE SHIELD II'!$H$4*('CALCULO MORTERO'!I1289^2)+'BLAZE SHIELD II'!$H$5*'CALCULO MORTERO'!I1289+'BLAZE SHIELD II'!$H$6)*LN(J1289))+('BLAZE SHIELD II'!$H$7*('CALCULO MORTERO'!I1289^2)+'BLAZE SHIELD II'!$H$8*'CALCULO MORTERO'!I1289+'BLAZE SHIELD II'!$H$9)),0)+IF(AND(L1289="Blaze Shield II",M1289="Software Idiem",C1289="C"),((('BLAZE SHIELD II'!$L$4*('CALCULO MORTERO'!I1289^2)+'BLAZE SHIELD II'!$L$5*'CALCULO MORTERO'!I1289+'BLAZE SHIELD II'!$L$6)*LN(J1289))+('BLAZE SHIELD II'!$L$7*('CALCULO MORTERO'!I1289^2)+'BLAZE SHIELD II'!$L$8*'CALCULO MORTERO'!I1289+'BLAZE SHIELD II'!$L$9)),0)+IF(AND(L1289="Blaze Shield II",M1289="Software Idiem",C1289="L"),((('BLAZE SHIELD II'!$L$4*('CALCULO MORTERO'!I1289^2)+'BLAZE SHIELD II'!$L$5*'CALCULO MORTERO'!I1289+'BLAZE SHIELD II'!$L$6)*LN(J1289))+('BLAZE SHIELD II'!$L$7*('CALCULO MORTERO'!I1289^2)+'BLAZE SHIELD II'!$L$8*'CALCULO MORTERO'!I1289+'BLAZE SHIELD II'!$L$9)),0)+IF(AND(L1289="Blaze Shield II",M1289="Software Idiem",C1289="IN",G1289=3),((('BLAZE SHIELD II'!$H$14*('CALCULO MORTERO'!I1289^2)+'BLAZE SHIELD II'!$H$15*'CALCULO MORTERO'!I1289+'BLAZE SHIELD II'!$H$16)*LN(J1289))+('BLAZE SHIELD II'!$H$17*('CALCULO MORTERO'!I1289^2)+'BLAZE SHIELD II'!$H$18*'CALCULO MORTERO'!I1289+'BLAZE SHIELD II'!$H$19)),0),0)+ROUND(IF(AND(L1289="Cafco 400",M1289="Software Idiem",C1289="IN",G1289=4),((('CAFCO 400 '!$H$7*(J1289^4)+'CAFCO 400 '!$H$8*(J1289^3)+'CAFCO 400 '!$H$9*(J1289^2)+'CAFCO 400 '!$H$10*J1289+'CAFCO 400 '!$H$11)*U1289^2)+(('CAFCO 400 '!$H$12*(J1289^3)+'CAFCO 400 '!$H$13*(J1289^2)+'CAFCO 400 '!$H$14*J1289+'CAFCO 400 '!$H$15)*U1289)+('CAFCO 400 '!$H$16*(J1289^2)+'CAFCO 400 '!$H$17*J1289+'CAFCO 400 '!$H$18)),0)+IF(AND(L1289="Cafco 400",M1289="Software Idiem",C1289="Cj"),(((('CAFCO 400 '!$D$7*LN(J1289)+'CAFCO 400 '!$D$8)*U1289^2)+(('CAFCO 400 '!$D$9*LN(J1289)+'CAFCO 400 '!$D$10)*U1289)+('CAFCO 400 '!$D$11*LN(J1289)+'CAFCO 400 '!$D$12))),0)+IF(AND(L1289="Cafco 400",M1289="Software Idiem",C1289="C"),((('CAFCO 400 '!$L$7*(J1289^3)+'CAFCO 400 '!$L$8*(J1289^2)+'CAFCO 400 '!$L$9*J1289+'CAFCO 400 '!$L$10)*U1289^2)+(('CAFCO 400 '!$L$11*(J1289^3)+'CAFCO 400 '!$L$12*(J1289^2)+'CAFCO 400 '!$L$13*J1289+'CAFCO 400 '!$L$14)*U1289)+('CAFCO 400 '!$L$15*LN(J1289)+'CAFCO 400 '!$L$16)),0)+IF(AND(L1289="Cafco 400",M1289="Software Idiem",C1289="L"),((('CAFCO 400 '!$L$7*(J1289^3)+'CAFCO 400 '!$L$8*(J1289^2)+'CAFCO 400 '!$L$9*J1289+'CAFCO 400 '!$L$10)*U1289^2)+(('CAFCO 400 '!$L$11*(J1289^3)+'CAFCO 400 '!$L$12*(J1289^2)+'CAFCO 400 '!$L$13*J1289+'CAFCO 400 '!$L$14)*U1289)+('CAFCO 400 '!$L$15*LN(J1289)+'CAFCO 400 '!$L$16)),0)+IF(AND(L1289="Cafco 400",M1289="Software Idiem",C1289="IN",G1289=3),((('CAFCO 400 '!$D$23*(J1289^2)+'CAFCO 400 '!$D$24*(J1289)+'CAFCO 400 '!$D$25)*U1289^2)+(('CAFCO 400 '!$D$26*(J1289^2)+'CAFCO 400 '!$D$27*J1289+'CAFCO 400 '!$D$28)*U1289)+('CAFCO 400 '!$D$29*(J1289^2)+'CAFCO 400 '!$D$30*J1289+'CAFCO 400 '!$D$31)),0),0)+IF(AND(L1289="Cafco 300",J1289&gt;=95,J1289&lt;=240,C1289="Cj",I1289=90),VLOOKUP(T1289,'CAFCO 300 IDIEM TABLAS'!$B$4:$D$23,2,FALSE),0)+IF(AND(L1289="Cafco 300",J1289&gt;=95,J1289&lt;=240,C1289="Cj",I1289=120),VLOOKUP(T1289,'CAFCO 300 IDIEM TABLAS'!$B$4:$D$23,3,FALSE),0)+IF(AND(L1289="Cafco 300",J1289&gt;=95,J1289&lt;=400,G1289=3,C1289="IN",I1289=90),VLOOKUP(T1289,'CAFCO 300 IDIEM TABLAS'!$F$4:$H$35,2,FALSE),0)+IF(AND(L1289="Cafco 300",J1289&gt;=95,J1289&lt;=400,G1289=3,C1289="IN",I1289=120),VLOOKUP(T1289,'CAFCO 300 IDIEM TABLAS'!$F$4:$H$35,3,FALSE),0)+IF(AND(L1289="Cafco 300",J1289&gt;=95,J1289&lt;=450,G1289=4,C1289="IN",I1289=90),VLOOKUP(T1289,'CAFCO 300 IDIEM TABLAS'!$J$4:$L$40,2,FALSE),0)+IF(AND(L1289="Cafco 300",J1289&gt;=95,J1289&lt;=450,G1289=4,C1289="IN",I1289=120),VLOOKUP(T1289,'CAFCO 300 IDIEM TABLAS'!$J$4:$L$40,3,FALSE),0)+IF(AND(M1289="Ensayo Idiem",L1289="Cafco 400",C1289="IN",G1289=4,I1289=90),VLOOKUP(T1289,'CAFCO 400 ENSAYO'!$B$7:$D$43,2,FALSE),0)+IF(AND(M1289="Ensayo Idiem",L1289="Cafco 400",C1289="IN",G1289=4,I1289=120),VLOOKUP(T1289,'CAFCO 400 ENSAYO'!$B$7:$D$43,3,FALSE),0)</f>
        <v>0</v>
      </c>
      <c r="O1289" s="96">
        <f t="shared" si="126"/>
        <v>0</v>
      </c>
      <c r="P1289" s="132" t="str">
        <f t="shared" si="127"/>
        <v>N/A</v>
      </c>
      <c r="Q1289" s="132" t="str">
        <f t="shared" si="128"/>
        <v>N/A</v>
      </c>
      <c r="R1289" s="132" t="str">
        <f t="shared" si="129"/>
        <v>NO CERT.</v>
      </c>
      <c r="S1289" s="132" t="e">
        <f t="shared" si="130"/>
        <v>#N/A</v>
      </c>
      <c r="T1289" s="133" t="e">
        <f>+IF(J1289=LOOKUP(J1289,'CAFCO 300 IDIEM TABLAS'!$J$4:$J$40),'CALCULO MORTERO'!J1289,MROUND('CALCULO MORTERO'!J1289,10))</f>
        <v>#N/A</v>
      </c>
      <c r="U1289" s="134">
        <f t="shared" si="131"/>
        <v>0</v>
      </c>
    </row>
    <row r="1290" spans="1:21" x14ac:dyDescent="0.25">
      <c r="A1290" s="118">
        <f>+CUBICACION!D1284</f>
        <v>0</v>
      </c>
      <c r="B1290" s="819">
        <f>+CUBICACION!E1284</f>
        <v>0</v>
      </c>
      <c r="C1290" s="675">
        <f>+CUBICACION!F1284</f>
        <v>0</v>
      </c>
      <c r="D1290" s="118"/>
      <c r="E1290" s="118"/>
      <c r="F1290" s="820"/>
      <c r="G1290" s="675">
        <f>+CUBICACION!J1284</f>
        <v>0</v>
      </c>
      <c r="H1290" s="118"/>
      <c r="I1290" s="821">
        <f>+CUBICACION!L1284</f>
        <v>0</v>
      </c>
      <c r="J1290" s="64">
        <f>+CUBICACION!M1284</f>
        <v>0</v>
      </c>
      <c r="K1290" s="822" t="str">
        <f>+CUBICACION!N1284</f>
        <v/>
      </c>
      <c r="L1290" s="118">
        <f>+CUBICACION!O1284</f>
        <v>0</v>
      </c>
      <c r="M1290" s="823">
        <f>+CUBICACION!P1284</f>
        <v>0</v>
      </c>
      <c r="N1290" s="902">
        <f>ROUND(IF(AND(L1290="Blaze Shield II",M1290="Software Idiem",C1290="IN",G1290=4),((('BLAZE SHIELD II'!$D$4*('CALCULO MORTERO'!I1290^2)+'BLAZE SHIELD II'!$D$5*'CALCULO MORTERO'!I1290+'BLAZE SHIELD II'!$D$6)*LN(J1290))+('BLAZE SHIELD II'!$D$7*('CALCULO MORTERO'!I1290^2)+'BLAZE SHIELD II'!$D$8*'CALCULO MORTERO'!I1290+'BLAZE SHIELD II'!$D$9)),0)+IF(AND(L1290="Blaze Shield II",M1290="Software Idiem",C1290="Cj"),((('BLAZE SHIELD II'!$H$4*('CALCULO MORTERO'!I1290^2)+'BLAZE SHIELD II'!$H$5*'CALCULO MORTERO'!I1290+'BLAZE SHIELD II'!$H$6)*LN(J1290))+('BLAZE SHIELD II'!$H$7*('CALCULO MORTERO'!I1290^2)+'BLAZE SHIELD II'!$H$8*'CALCULO MORTERO'!I1290+'BLAZE SHIELD II'!$H$9)),0)+IF(AND(L1290="Blaze Shield II",M1290="Software Idiem",C1290="C"),((('BLAZE SHIELD II'!$L$4*('CALCULO MORTERO'!I1290^2)+'BLAZE SHIELD II'!$L$5*'CALCULO MORTERO'!I1290+'BLAZE SHIELD II'!$L$6)*LN(J1290))+('BLAZE SHIELD II'!$L$7*('CALCULO MORTERO'!I1290^2)+'BLAZE SHIELD II'!$L$8*'CALCULO MORTERO'!I1290+'BLAZE SHIELD II'!$L$9)),0)+IF(AND(L1290="Blaze Shield II",M1290="Software Idiem",C1290="L"),((('BLAZE SHIELD II'!$L$4*('CALCULO MORTERO'!I1290^2)+'BLAZE SHIELD II'!$L$5*'CALCULO MORTERO'!I1290+'BLAZE SHIELD II'!$L$6)*LN(J1290))+('BLAZE SHIELD II'!$L$7*('CALCULO MORTERO'!I1290^2)+'BLAZE SHIELD II'!$L$8*'CALCULO MORTERO'!I1290+'BLAZE SHIELD II'!$L$9)),0)+IF(AND(L1290="Blaze Shield II",M1290="Software Idiem",C1290="IN",G1290=3),((('BLAZE SHIELD II'!$H$14*('CALCULO MORTERO'!I1290^2)+'BLAZE SHIELD II'!$H$15*'CALCULO MORTERO'!I1290+'BLAZE SHIELD II'!$H$16)*LN(J1290))+('BLAZE SHIELD II'!$H$17*('CALCULO MORTERO'!I1290^2)+'BLAZE SHIELD II'!$H$18*'CALCULO MORTERO'!I1290+'BLAZE SHIELD II'!$H$19)),0),0)+ROUND(IF(AND(L1290="Cafco 400",M1290="Software Idiem",C1290="IN",G1290=4),((('CAFCO 400 '!$H$7*(J1290^4)+'CAFCO 400 '!$H$8*(J1290^3)+'CAFCO 400 '!$H$9*(J1290^2)+'CAFCO 400 '!$H$10*J1290+'CAFCO 400 '!$H$11)*U1290^2)+(('CAFCO 400 '!$H$12*(J1290^3)+'CAFCO 400 '!$H$13*(J1290^2)+'CAFCO 400 '!$H$14*J1290+'CAFCO 400 '!$H$15)*U1290)+('CAFCO 400 '!$H$16*(J1290^2)+'CAFCO 400 '!$H$17*J1290+'CAFCO 400 '!$H$18)),0)+IF(AND(L1290="Cafco 400",M1290="Software Idiem",C1290="Cj"),(((('CAFCO 400 '!$D$7*LN(J1290)+'CAFCO 400 '!$D$8)*U1290^2)+(('CAFCO 400 '!$D$9*LN(J1290)+'CAFCO 400 '!$D$10)*U1290)+('CAFCO 400 '!$D$11*LN(J1290)+'CAFCO 400 '!$D$12))),0)+IF(AND(L1290="Cafco 400",M1290="Software Idiem",C1290="C"),((('CAFCO 400 '!$L$7*(J1290^3)+'CAFCO 400 '!$L$8*(J1290^2)+'CAFCO 400 '!$L$9*J1290+'CAFCO 400 '!$L$10)*U1290^2)+(('CAFCO 400 '!$L$11*(J1290^3)+'CAFCO 400 '!$L$12*(J1290^2)+'CAFCO 400 '!$L$13*J1290+'CAFCO 400 '!$L$14)*U1290)+('CAFCO 400 '!$L$15*LN(J1290)+'CAFCO 400 '!$L$16)),0)+IF(AND(L1290="Cafco 400",M1290="Software Idiem",C1290="L"),((('CAFCO 400 '!$L$7*(J1290^3)+'CAFCO 400 '!$L$8*(J1290^2)+'CAFCO 400 '!$L$9*J1290+'CAFCO 400 '!$L$10)*U1290^2)+(('CAFCO 400 '!$L$11*(J1290^3)+'CAFCO 400 '!$L$12*(J1290^2)+'CAFCO 400 '!$L$13*J1290+'CAFCO 400 '!$L$14)*U1290)+('CAFCO 400 '!$L$15*LN(J1290)+'CAFCO 400 '!$L$16)),0)+IF(AND(L1290="Cafco 400",M1290="Software Idiem",C1290="IN",G1290=3),((('CAFCO 400 '!$D$23*(J1290^2)+'CAFCO 400 '!$D$24*(J1290)+'CAFCO 400 '!$D$25)*U1290^2)+(('CAFCO 400 '!$D$26*(J1290^2)+'CAFCO 400 '!$D$27*J1290+'CAFCO 400 '!$D$28)*U1290)+('CAFCO 400 '!$D$29*(J1290^2)+'CAFCO 400 '!$D$30*J1290+'CAFCO 400 '!$D$31)),0),0)+IF(AND(L1290="Cafco 300",J1290&gt;=95,J1290&lt;=240,C1290="Cj",I1290=90),VLOOKUP(T1290,'CAFCO 300 IDIEM TABLAS'!$B$4:$D$23,2,FALSE),0)+IF(AND(L1290="Cafco 300",J1290&gt;=95,J1290&lt;=240,C1290="Cj",I1290=120),VLOOKUP(T1290,'CAFCO 300 IDIEM TABLAS'!$B$4:$D$23,3,FALSE),0)+IF(AND(L1290="Cafco 300",J1290&gt;=95,J1290&lt;=400,G1290=3,C1290="IN",I1290=90),VLOOKUP(T1290,'CAFCO 300 IDIEM TABLAS'!$F$4:$H$35,2,FALSE),0)+IF(AND(L1290="Cafco 300",J1290&gt;=95,J1290&lt;=400,G1290=3,C1290="IN",I1290=120),VLOOKUP(T1290,'CAFCO 300 IDIEM TABLAS'!$F$4:$H$35,3,FALSE),0)+IF(AND(L1290="Cafco 300",J1290&gt;=95,J1290&lt;=450,G1290=4,C1290="IN",I1290=90),VLOOKUP(T1290,'CAFCO 300 IDIEM TABLAS'!$J$4:$L$40,2,FALSE),0)+IF(AND(L1290="Cafco 300",J1290&gt;=95,J1290&lt;=450,G1290=4,C1290="IN",I1290=120),VLOOKUP(T1290,'CAFCO 300 IDIEM TABLAS'!$J$4:$L$40,3,FALSE),0)+IF(AND(M1290="Ensayo Idiem",L1290="Cafco 400",C1290="IN",G1290=4,I1290=90),VLOOKUP(T1290,'CAFCO 400 ENSAYO'!$B$7:$D$43,2,FALSE),0)+IF(AND(M1290="Ensayo Idiem",L1290="Cafco 400",C1290="IN",G1290=4,I1290=120),VLOOKUP(T1290,'CAFCO 400 ENSAYO'!$B$7:$D$43,3,FALSE),0)</f>
        <v>0</v>
      </c>
      <c r="O1290" s="96">
        <f t="shared" si="126"/>
        <v>0</v>
      </c>
      <c r="P1290" s="95" t="str">
        <f t="shared" si="127"/>
        <v>N/A</v>
      </c>
      <c r="Q1290" s="95" t="str">
        <f t="shared" si="128"/>
        <v>N/A</v>
      </c>
      <c r="R1290" s="95" t="str">
        <f t="shared" si="129"/>
        <v>NO CERT.</v>
      </c>
      <c r="S1290" s="95" t="e">
        <f t="shared" si="130"/>
        <v>#N/A</v>
      </c>
      <c r="T1290" s="119" t="e">
        <f>+IF(J1290=LOOKUP(J1290,'CAFCO 300 IDIEM TABLAS'!$J$4:$J$40),'CALCULO MORTERO'!J1290,MROUND('CALCULO MORTERO'!J1290,10))</f>
        <v>#N/A</v>
      </c>
      <c r="U1290" s="118">
        <f t="shared" si="131"/>
        <v>0</v>
      </c>
    </row>
    <row r="1291" spans="1:21" x14ac:dyDescent="0.25">
      <c r="A1291" s="118">
        <f>+CUBICACION!D1285</f>
        <v>0</v>
      </c>
      <c r="B1291" s="819">
        <f>+CUBICACION!E1285</f>
        <v>0</v>
      </c>
      <c r="C1291" s="675">
        <f>+CUBICACION!F1285</f>
        <v>0</v>
      </c>
      <c r="D1291" s="118"/>
      <c r="E1291" s="118"/>
      <c r="F1291" s="820"/>
      <c r="G1291" s="675">
        <f>+CUBICACION!J1285</f>
        <v>0</v>
      </c>
      <c r="H1291" s="118"/>
      <c r="I1291" s="821">
        <f>+CUBICACION!L1285</f>
        <v>0</v>
      </c>
      <c r="J1291" s="64">
        <f>+CUBICACION!M1285</f>
        <v>0</v>
      </c>
      <c r="K1291" s="822" t="str">
        <f>+CUBICACION!N1285</f>
        <v/>
      </c>
      <c r="L1291" s="118">
        <f>+CUBICACION!O1285</f>
        <v>0</v>
      </c>
      <c r="M1291" s="823">
        <f>+CUBICACION!P1285</f>
        <v>0</v>
      </c>
      <c r="N1291" s="902">
        <f>ROUND(IF(AND(L1291="Blaze Shield II",M1291="Software Idiem",C1291="IN",G1291=4),((('BLAZE SHIELD II'!$D$4*('CALCULO MORTERO'!I1291^2)+'BLAZE SHIELD II'!$D$5*'CALCULO MORTERO'!I1291+'BLAZE SHIELD II'!$D$6)*LN(J1291))+('BLAZE SHIELD II'!$D$7*('CALCULO MORTERO'!I1291^2)+'BLAZE SHIELD II'!$D$8*'CALCULO MORTERO'!I1291+'BLAZE SHIELD II'!$D$9)),0)+IF(AND(L1291="Blaze Shield II",M1291="Software Idiem",C1291="Cj"),((('BLAZE SHIELD II'!$H$4*('CALCULO MORTERO'!I1291^2)+'BLAZE SHIELD II'!$H$5*'CALCULO MORTERO'!I1291+'BLAZE SHIELD II'!$H$6)*LN(J1291))+('BLAZE SHIELD II'!$H$7*('CALCULO MORTERO'!I1291^2)+'BLAZE SHIELD II'!$H$8*'CALCULO MORTERO'!I1291+'BLAZE SHIELD II'!$H$9)),0)+IF(AND(L1291="Blaze Shield II",M1291="Software Idiem",C1291="C"),((('BLAZE SHIELD II'!$L$4*('CALCULO MORTERO'!I1291^2)+'BLAZE SHIELD II'!$L$5*'CALCULO MORTERO'!I1291+'BLAZE SHIELD II'!$L$6)*LN(J1291))+('BLAZE SHIELD II'!$L$7*('CALCULO MORTERO'!I1291^2)+'BLAZE SHIELD II'!$L$8*'CALCULO MORTERO'!I1291+'BLAZE SHIELD II'!$L$9)),0)+IF(AND(L1291="Blaze Shield II",M1291="Software Idiem",C1291="L"),((('BLAZE SHIELD II'!$L$4*('CALCULO MORTERO'!I1291^2)+'BLAZE SHIELD II'!$L$5*'CALCULO MORTERO'!I1291+'BLAZE SHIELD II'!$L$6)*LN(J1291))+('BLAZE SHIELD II'!$L$7*('CALCULO MORTERO'!I1291^2)+'BLAZE SHIELD II'!$L$8*'CALCULO MORTERO'!I1291+'BLAZE SHIELD II'!$L$9)),0)+IF(AND(L1291="Blaze Shield II",M1291="Software Idiem",C1291="IN",G1291=3),((('BLAZE SHIELD II'!$H$14*('CALCULO MORTERO'!I1291^2)+'BLAZE SHIELD II'!$H$15*'CALCULO MORTERO'!I1291+'BLAZE SHIELD II'!$H$16)*LN(J1291))+('BLAZE SHIELD II'!$H$17*('CALCULO MORTERO'!I1291^2)+'BLAZE SHIELD II'!$H$18*'CALCULO MORTERO'!I1291+'BLAZE SHIELD II'!$H$19)),0),0)+ROUND(IF(AND(L1291="Cafco 400",M1291="Software Idiem",C1291="IN",G1291=4),((('CAFCO 400 '!$H$7*(J1291^4)+'CAFCO 400 '!$H$8*(J1291^3)+'CAFCO 400 '!$H$9*(J1291^2)+'CAFCO 400 '!$H$10*J1291+'CAFCO 400 '!$H$11)*U1291^2)+(('CAFCO 400 '!$H$12*(J1291^3)+'CAFCO 400 '!$H$13*(J1291^2)+'CAFCO 400 '!$H$14*J1291+'CAFCO 400 '!$H$15)*U1291)+('CAFCO 400 '!$H$16*(J1291^2)+'CAFCO 400 '!$H$17*J1291+'CAFCO 400 '!$H$18)),0)+IF(AND(L1291="Cafco 400",M1291="Software Idiem",C1291="Cj"),(((('CAFCO 400 '!$D$7*LN(J1291)+'CAFCO 400 '!$D$8)*U1291^2)+(('CAFCO 400 '!$D$9*LN(J1291)+'CAFCO 400 '!$D$10)*U1291)+('CAFCO 400 '!$D$11*LN(J1291)+'CAFCO 400 '!$D$12))),0)+IF(AND(L1291="Cafco 400",M1291="Software Idiem",C1291="C"),((('CAFCO 400 '!$L$7*(J1291^3)+'CAFCO 400 '!$L$8*(J1291^2)+'CAFCO 400 '!$L$9*J1291+'CAFCO 400 '!$L$10)*U1291^2)+(('CAFCO 400 '!$L$11*(J1291^3)+'CAFCO 400 '!$L$12*(J1291^2)+'CAFCO 400 '!$L$13*J1291+'CAFCO 400 '!$L$14)*U1291)+('CAFCO 400 '!$L$15*LN(J1291)+'CAFCO 400 '!$L$16)),0)+IF(AND(L1291="Cafco 400",M1291="Software Idiem",C1291="L"),((('CAFCO 400 '!$L$7*(J1291^3)+'CAFCO 400 '!$L$8*(J1291^2)+'CAFCO 400 '!$L$9*J1291+'CAFCO 400 '!$L$10)*U1291^2)+(('CAFCO 400 '!$L$11*(J1291^3)+'CAFCO 400 '!$L$12*(J1291^2)+'CAFCO 400 '!$L$13*J1291+'CAFCO 400 '!$L$14)*U1291)+('CAFCO 400 '!$L$15*LN(J1291)+'CAFCO 400 '!$L$16)),0)+IF(AND(L1291="Cafco 400",M1291="Software Idiem",C1291="IN",G1291=3),((('CAFCO 400 '!$D$23*(J1291^2)+'CAFCO 400 '!$D$24*(J1291)+'CAFCO 400 '!$D$25)*U1291^2)+(('CAFCO 400 '!$D$26*(J1291^2)+'CAFCO 400 '!$D$27*J1291+'CAFCO 400 '!$D$28)*U1291)+('CAFCO 400 '!$D$29*(J1291^2)+'CAFCO 400 '!$D$30*J1291+'CAFCO 400 '!$D$31)),0),0)+IF(AND(L1291="Cafco 300",J1291&gt;=95,J1291&lt;=240,C1291="Cj",I1291=90),VLOOKUP(T1291,'CAFCO 300 IDIEM TABLAS'!$B$4:$D$23,2,FALSE),0)+IF(AND(L1291="Cafco 300",J1291&gt;=95,J1291&lt;=240,C1291="Cj",I1291=120),VLOOKUP(T1291,'CAFCO 300 IDIEM TABLAS'!$B$4:$D$23,3,FALSE),0)+IF(AND(L1291="Cafco 300",J1291&gt;=95,J1291&lt;=400,G1291=3,C1291="IN",I1291=90),VLOOKUP(T1291,'CAFCO 300 IDIEM TABLAS'!$F$4:$H$35,2,FALSE),0)+IF(AND(L1291="Cafco 300",J1291&gt;=95,J1291&lt;=400,G1291=3,C1291="IN",I1291=120),VLOOKUP(T1291,'CAFCO 300 IDIEM TABLAS'!$F$4:$H$35,3,FALSE),0)+IF(AND(L1291="Cafco 300",J1291&gt;=95,J1291&lt;=450,G1291=4,C1291="IN",I1291=90),VLOOKUP(T1291,'CAFCO 300 IDIEM TABLAS'!$J$4:$L$40,2,FALSE),0)+IF(AND(L1291="Cafco 300",J1291&gt;=95,J1291&lt;=450,G1291=4,C1291="IN",I1291=120),VLOOKUP(T1291,'CAFCO 300 IDIEM TABLAS'!$J$4:$L$40,3,FALSE),0)+IF(AND(M1291="Ensayo Idiem",L1291="Cafco 400",C1291="IN",G1291=4,I1291=90),VLOOKUP(T1291,'CAFCO 400 ENSAYO'!$B$7:$D$43,2,FALSE),0)+IF(AND(M1291="Ensayo Idiem",L1291="Cafco 400",C1291="IN",G1291=4,I1291=120),VLOOKUP(T1291,'CAFCO 400 ENSAYO'!$B$7:$D$43,3,FALSE),0)</f>
        <v>0</v>
      </c>
      <c r="O1291" s="96">
        <f t="shared" ref="O1291:O1354" si="132">((IF(L1291="Blaze Shield II",((K1291*N1291*0.43)/38),IF(L1291="Cafco 400",((K1291*N1291*0.43)/23),IF(L1291="Cafco 300",((K1291*N1291*0.43)/31.16),0)))))</f>
        <v>0</v>
      </c>
      <c r="P1291" s="132" t="str">
        <f t="shared" si="127"/>
        <v>N/A</v>
      </c>
      <c r="Q1291" s="132" t="str">
        <f t="shared" si="128"/>
        <v>N/A</v>
      </c>
      <c r="R1291" s="132" t="str">
        <f t="shared" si="129"/>
        <v>NO CERT.</v>
      </c>
      <c r="S1291" s="132" t="e">
        <f t="shared" si="130"/>
        <v>#N/A</v>
      </c>
      <c r="T1291" s="133" t="e">
        <f>+IF(J1291=LOOKUP(J1291,'CAFCO 300 IDIEM TABLAS'!$J$4:$J$40),'CALCULO MORTERO'!J1291,MROUND('CALCULO MORTERO'!J1291,10))</f>
        <v>#N/A</v>
      </c>
      <c r="U1291" s="134">
        <f t="shared" si="131"/>
        <v>0</v>
      </c>
    </row>
    <row r="1292" spans="1:21" x14ac:dyDescent="0.25">
      <c r="A1292" s="118">
        <f>+CUBICACION!D1286</f>
        <v>0</v>
      </c>
      <c r="B1292" s="819">
        <f>+CUBICACION!E1286</f>
        <v>0</v>
      </c>
      <c r="C1292" s="675">
        <f>+CUBICACION!F1286</f>
        <v>0</v>
      </c>
      <c r="D1292" s="118"/>
      <c r="E1292" s="118"/>
      <c r="F1292" s="820"/>
      <c r="G1292" s="675">
        <f>+CUBICACION!J1286</f>
        <v>0</v>
      </c>
      <c r="H1292" s="118"/>
      <c r="I1292" s="821">
        <f>+CUBICACION!L1286</f>
        <v>0</v>
      </c>
      <c r="J1292" s="64">
        <f>+CUBICACION!M1286</f>
        <v>0</v>
      </c>
      <c r="K1292" s="822" t="str">
        <f>+CUBICACION!N1286</f>
        <v/>
      </c>
      <c r="L1292" s="118">
        <f>+CUBICACION!O1286</f>
        <v>0</v>
      </c>
      <c r="M1292" s="823">
        <f>+CUBICACION!P1286</f>
        <v>0</v>
      </c>
      <c r="N1292" s="902">
        <f>ROUND(IF(AND(L1292="Blaze Shield II",M1292="Software Idiem",C1292="IN",G1292=4),((('BLAZE SHIELD II'!$D$4*('CALCULO MORTERO'!I1292^2)+'BLAZE SHIELD II'!$D$5*'CALCULO MORTERO'!I1292+'BLAZE SHIELD II'!$D$6)*LN(J1292))+('BLAZE SHIELD II'!$D$7*('CALCULO MORTERO'!I1292^2)+'BLAZE SHIELD II'!$D$8*'CALCULO MORTERO'!I1292+'BLAZE SHIELD II'!$D$9)),0)+IF(AND(L1292="Blaze Shield II",M1292="Software Idiem",C1292="Cj"),((('BLAZE SHIELD II'!$H$4*('CALCULO MORTERO'!I1292^2)+'BLAZE SHIELD II'!$H$5*'CALCULO MORTERO'!I1292+'BLAZE SHIELD II'!$H$6)*LN(J1292))+('BLAZE SHIELD II'!$H$7*('CALCULO MORTERO'!I1292^2)+'BLAZE SHIELD II'!$H$8*'CALCULO MORTERO'!I1292+'BLAZE SHIELD II'!$H$9)),0)+IF(AND(L1292="Blaze Shield II",M1292="Software Idiem",C1292="C"),((('BLAZE SHIELD II'!$L$4*('CALCULO MORTERO'!I1292^2)+'BLAZE SHIELD II'!$L$5*'CALCULO MORTERO'!I1292+'BLAZE SHIELD II'!$L$6)*LN(J1292))+('BLAZE SHIELD II'!$L$7*('CALCULO MORTERO'!I1292^2)+'BLAZE SHIELD II'!$L$8*'CALCULO MORTERO'!I1292+'BLAZE SHIELD II'!$L$9)),0)+IF(AND(L1292="Blaze Shield II",M1292="Software Idiem",C1292="L"),((('BLAZE SHIELD II'!$L$4*('CALCULO MORTERO'!I1292^2)+'BLAZE SHIELD II'!$L$5*'CALCULO MORTERO'!I1292+'BLAZE SHIELD II'!$L$6)*LN(J1292))+('BLAZE SHIELD II'!$L$7*('CALCULO MORTERO'!I1292^2)+'BLAZE SHIELD II'!$L$8*'CALCULO MORTERO'!I1292+'BLAZE SHIELD II'!$L$9)),0)+IF(AND(L1292="Blaze Shield II",M1292="Software Idiem",C1292="IN",G1292=3),((('BLAZE SHIELD II'!$H$14*('CALCULO MORTERO'!I1292^2)+'BLAZE SHIELD II'!$H$15*'CALCULO MORTERO'!I1292+'BLAZE SHIELD II'!$H$16)*LN(J1292))+('BLAZE SHIELD II'!$H$17*('CALCULO MORTERO'!I1292^2)+'BLAZE SHIELD II'!$H$18*'CALCULO MORTERO'!I1292+'BLAZE SHIELD II'!$H$19)),0),0)+ROUND(IF(AND(L1292="Cafco 400",M1292="Software Idiem",C1292="IN",G1292=4),((('CAFCO 400 '!$H$7*(J1292^4)+'CAFCO 400 '!$H$8*(J1292^3)+'CAFCO 400 '!$H$9*(J1292^2)+'CAFCO 400 '!$H$10*J1292+'CAFCO 400 '!$H$11)*U1292^2)+(('CAFCO 400 '!$H$12*(J1292^3)+'CAFCO 400 '!$H$13*(J1292^2)+'CAFCO 400 '!$H$14*J1292+'CAFCO 400 '!$H$15)*U1292)+('CAFCO 400 '!$H$16*(J1292^2)+'CAFCO 400 '!$H$17*J1292+'CAFCO 400 '!$H$18)),0)+IF(AND(L1292="Cafco 400",M1292="Software Idiem",C1292="Cj"),(((('CAFCO 400 '!$D$7*LN(J1292)+'CAFCO 400 '!$D$8)*U1292^2)+(('CAFCO 400 '!$D$9*LN(J1292)+'CAFCO 400 '!$D$10)*U1292)+('CAFCO 400 '!$D$11*LN(J1292)+'CAFCO 400 '!$D$12))),0)+IF(AND(L1292="Cafco 400",M1292="Software Idiem",C1292="C"),((('CAFCO 400 '!$L$7*(J1292^3)+'CAFCO 400 '!$L$8*(J1292^2)+'CAFCO 400 '!$L$9*J1292+'CAFCO 400 '!$L$10)*U1292^2)+(('CAFCO 400 '!$L$11*(J1292^3)+'CAFCO 400 '!$L$12*(J1292^2)+'CAFCO 400 '!$L$13*J1292+'CAFCO 400 '!$L$14)*U1292)+('CAFCO 400 '!$L$15*LN(J1292)+'CAFCO 400 '!$L$16)),0)+IF(AND(L1292="Cafco 400",M1292="Software Idiem",C1292="L"),((('CAFCO 400 '!$L$7*(J1292^3)+'CAFCO 400 '!$L$8*(J1292^2)+'CAFCO 400 '!$L$9*J1292+'CAFCO 400 '!$L$10)*U1292^2)+(('CAFCO 400 '!$L$11*(J1292^3)+'CAFCO 400 '!$L$12*(J1292^2)+'CAFCO 400 '!$L$13*J1292+'CAFCO 400 '!$L$14)*U1292)+('CAFCO 400 '!$L$15*LN(J1292)+'CAFCO 400 '!$L$16)),0)+IF(AND(L1292="Cafco 400",M1292="Software Idiem",C1292="IN",G1292=3),((('CAFCO 400 '!$D$23*(J1292^2)+'CAFCO 400 '!$D$24*(J1292)+'CAFCO 400 '!$D$25)*U1292^2)+(('CAFCO 400 '!$D$26*(J1292^2)+'CAFCO 400 '!$D$27*J1292+'CAFCO 400 '!$D$28)*U1292)+('CAFCO 400 '!$D$29*(J1292^2)+'CAFCO 400 '!$D$30*J1292+'CAFCO 400 '!$D$31)),0),0)+IF(AND(L1292="Cafco 300",J1292&gt;=95,J1292&lt;=240,C1292="Cj",I1292=90),VLOOKUP(T1292,'CAFCO 300 IDIEM TABLAS'!$B$4:$D$23,2,FALSE),0)+IF(AND(L1292="Cafco 300",J1292&gt;=95,J1292&lt;=240,C1292="Cj",I1292=120),VLOOKUP(T1292,'CAFCO 300 IDIEM TABLAS'!$B$4:$D$23,3,FALSE),0)+IF(AND(L1292="Cafco 300",J1292&gt;=95,J1292&lt;=400,G1292=3,C1292="IN",I1292=90),VLOOKUP(T1292,'CAFCO 300 IDIEM TABLAS'!$F$4:$H$35,2,FALSE),0)+IF(AND(L1292="Cafco 300",J1292&gt;=95,J1292&lt;=400,G1292=3,C1292="IN",I1292=120),VLOOKUP(T1292,'CAFCO 300 IDIEM TABLAS'!$F$4:$H$35,3,FALSE),0)+IF(AND(L1292="Cafco 300",J1292&gt;=95,J1292&lt;=450,G1292=4,C1292="IN",I1292=90),VLOOKUP(T1292,'CAFCO 300 IDIEM TABLAS'!$J$4:$L$40,2,FALSE),0)+IF(AND(L1292="Cafco 300",J1292&gt;=95,J1292&lt;=450,G1292=4,C1292="IN",I1292=120),VLOOKUP(T1292,'CAFCO 300 IDIEM TABLAS'!$J$4:$L$40,3,FALSE),0)+IF(AND(M1292="Ensayo Idiem",L1292="Cafco 400",C1292="IN",G1292=4,I1292=90),VLOOKUP(T1292,'CAFCO 400 ENSAYO'!$B$7:$D$43,2,FALSE),0)+IF(AND(M1292="Ensayo Idiem",L1292="Cafco 400",C1292="IN",G1292=4,I1292=120),VLOOKUP(T1292,'CAFCO 400 ENSAYO'!$B$7:$D$43,3,FALSE),0)</f>
        <v>0</v>
      </c>
      <c r="O1292" s="96">
        <f t="shared" si="132"/>
        <v>0</v>
      </c>
      <c r="P1292" s="95" t="str">
        <f t="shared" si="127"/>
        <v>N/A</v>
      </c>
      <c r="Q1292" s="95" t="str">
        <f t="shared" si="128"/>
        <v>N/A</v>
      </c>
      <c r="R1292" s="95" t="str">
        <f t="shared" si="129"/>
        <v>NO CERT.</v>
      </c>
      <c r="S1292" s="95" t="e">
        <f t="shared" si="130"/>
        <v>#N/A</v>
      </c>
      <c r="T1292" s="119" t="e">
        <f>+IF(J1292=LOOKUP(J1292,'CAFCO 300 IDIEM TABLAS'!$J$4:$J$40),'CALCULO MORTERO'!J1292,MROUND('CALCULO MORTERO'!J1292,10))</f>
        <v>#N/A</v>
      </c>
      <c r="U1292" s="118">
        <f t="shared" si="131"/>
        <v>0</v>
      </c>
    </row>
    <row r="1293" spans="1:21" x14ac:dyDescent="0.25">
      <c r="A1293" s="118">
        <f>+CUBICACION!D1287</f>
        <v>0</v>
      </c>
      <c r="B1293" s="819">
        <f>+CUBICACION!E1287</f>
        <v>0</v>
      </c>
      <c r="C1293" s="675">
        <f>+CUBICACION!F1287</f>
        <v>0</v>
      </c>
      <c r="D1293" s="118"/>
      <c r="E1293" s="118"/>
      <c r="F1293" s="820"/>
      <c r="G1293" s="675">
        <f>+CUBICACION!J1287</f>
        <v>0</v>
      </c>
      <c r="H1293" s="118"/>
      <c r="I1293" s="821">
        <f>+CUBICACION!L1287</f>
        <v>0</v>
      </c>
      <c r="J1293" s="64">
        <f>+CUBICACION!M1287</f>
        <v>0</v>
      </c>
      <c r="K1293" s="822" t="str">
        <f>+CUBICACION!N1287</f>
        <v/>
      </c>
      <c r="L1293" s="118">
        <f>+CUBICACION!O1287</f>
        <v>0</v>
      </c>
      <c r="M1293" s="823">
        <f>+CUBICACION!P1287</f>
        <v>0</v>
      </c>
      <c r="N1293" s="902">
        <f>ROUND(IF(AND(L1293="Blaze Shield II",M1293="Software Idiem",C1293="IN",G1293=4),((('BLAZE SHIELD II'!$D$4*('CALCULO MORTERO'!I1293^2)+'BLAZE SHIELD II'!$D$5*'CALCULO MORTERO'!I1293+'BLAZE SHIELD II'!$D$6)*LN(J1293))+('BLAZE SHIELD II'!$D$7*('CALCULO MORTERO'!I1293^2)+'BLAZE SHIELD II'!$D$8*'CALCULO MORTERO'!I1293+'BLAZE SHIELD II'!$D$9)),0)+IF(AND(L1293="Blaze Shield II",M1293="Software Idiem",C1293="Cj"),((('BLAZE SHIELD II'!$H$4*('CALCULO MORTERO'!I1293^2)+'BLAZE SHIELD II'!$H$5*'CALCULO MORTERO'!I1293+'BLAZE SHIELD II'!$H$6)*LN(J1293))+('BLAZE SHIELD II'!$H$7*('CALCULO MORTERO'!I1293^2)+'BLAZE SHIELD II'!$H$8*'CALCULO MORTERO'!I1293+'BLAZE SHIELD II'!$H$9)),0)+IF(AND(L1293="Blaze Shield II",M1293="Software Idiem",C1293="C"),((('BLAZE SHIELD II'!$L$4*('CALCULO MORTERO'!I1293^2)+'BLAZE SHIELD II'!$L$5*'CALCULO MORTERO'!I1293+'BLAZE SHIELD II'!$L$6)*LN(J1293))+('BLAZE SHIELD II'!$L$7*('CALCULO MORTERO'!I1293^2)+'BLAZE SHIELD II'!$L$8*'CALCULO MORTERO'!I1293+'BLAZE SHIELD II'!$L$9)),0)+IF(AND(L1293="Blaze Shield II",M1293="Software Idiem",C1293="L"),((('BLAZE SHIELD II'!$L$4*('CALCULO MORTERO'!I1293^2)+'BLAZE SHIELD II'!$L$5*'CALCULO MORTERO'!I1293+'BLAZE SHIELD II'!$L$6)*LN(J1293))+('BLAZE SHIELD II'!$L$7*('CALCULO MORTERO'!I1293^2)+'BLAZE SHIELD II'!$L$8*'CALCULO MORTERO'!I1293+'BLAZE SHIELD II'!$L$9)),0)+IF(AND(L1293="Blaze Shield II",M1293="Software Idiem",C1293="IN",G1293=3),((('BLAZE SHIELD II'!$H$14*('CALCULO MORTERO'!I1293^2)+'BLAZE SHIELD II'!$H$15*'CALCULO MORTERO'!I1293+'BLAZE SHIELD II'!$H$16)*LN(J1293))+('BLAZE SHIELD II'!$H$17*('CALCULO MORTERO'!I1293^2)+'BLAZE SHIELD II'!$H$18*'CALCULO MORTERO'!I1293+'BLAZE SHIELD II'!$H$19)),0),0)+ROUND(IF(AND(L1293="Cafco 400",M1293="Software Idiem",C1293="IN",G1293=4),((('CAFCO 400 '!$H$7*(J1293^4)+'CAFCO 400 '!$H$8*(J1293^3)+'CAFCO 400 '!$H$9*(J1293^2)+'CAFCO 400 '!$H$10*J1293+'CAFCO 400 '!$H$11)*U1293^2)+(('CAFCO 400 '!$H$12*(J1293^3)+'CAFCO 400 '!$H$13*(J1293^2)+'CAFCO 400 '!$H$14*J1293+'CAFCO 400 '!$H$15)*U1293)+('CAFCO 400 '!$H$16*(J1293^2)+'CAFCO 400 '!$H$17*J1293+'CAFCO 400 '!$H$18)),0)+IF(AND(L1293="Cafco 400",M1293="Software Idiem",C1293="Cj"),(((('CAFCO 400 '!$D$7*LN(J1293)+'CAFCO 400 '!$D$8)*U1293^2)+(('CAFCO 400 '!$D$9*LN(J1293)+'CAFCO 400 '!$D$10)*U1293)+('CAFCO 400 '!$D$11*LN(J1293)+'CAFCO 400 '!$D$12))),0)+IF(AND(L1293="Cafco 400",M1293="Software Idiem",C1293="C"),((('CAFCO 400 '!$L$7*(J1293^3)+'CAFCO 400 '!$L$8*(J1293^2)+'CAFCO 400 '!$L$9*J1293+'CAFCO 400 '!$L$10)*U1293^2)+(('CAFCO 400 '!$L$11*(J1293^3)+'CAFCO 400 '!$L$12*(J1293^2)+'CAFCO 400 '!$L$13*J1293+'CAFCO 400 '!$L$14)*U1293)+('CAFCO 400 '!$L$15*LN(J1293)+'CAFCO 400 '!$L$16)),0)+IF(AND(L1293="Cafco 400",M1293="Software Idiem",C1293="L"),((('CAFCO 400 '!$L$7*(J1293^3)+'CAFCO 400 '!$L$8*(J1293^2)+'CAFCO 400 '!$L$9*J1293+'CAFCO 400 '!$L$10)*U1293^2)+(('CAFCO 400 '!$L$11*(J1293^3)+'CAFCO 400 '!$L$12*(J1293^2)+'CAFCO 400 '!$L$13*J1293+'CAFCO 400 '!$L$14)*U1293)+('CAFCO 400 '!$L$15*LN(J1293)+'CAFCO 400 '!$L$16)),0)+IF(AND(L1293="Cafco 400",M1293="Software Idiem",C1293="IN",G1293=3),((('CAFCO 400 '!$D$23*(J1293^2)+'CAFCO 400 '!$D$24*(J1293)+'CAFCO 400 '!$D$25)*U1293^2)+(('CAFCO 400 '!$D$26*(J1293^2)+'CAFCO 400 '!$D$27*J1293+'CAFCO 400 '!$D$28)*U1293)+('CAFCO 400 '!$D$29*(J1293^2)+'CAFCO 400 '!$D$30*J1293+'CAFCO 400 '!$D$31)),0),0)+IF(AND(L1293="Cafco 300",J1293&gt;=95,J1293&lt;=240,C1293="Cj",I1293=90),VLOOKUP(T1293,'CAFCO 300 IDIEM TABLAS'!$B$4:$D$23,2,FALSE),0)+IF(AND(L1293="Cafco 300",J1293&gt;=95,J1293&lt;=240,C1293="Cj",I1293=120),VLOOKUP(T1293,'CAFCO 300 IDIEM TABLAS'!$B$4:$D$23,3,FALSE),0)+IF(AND(L1293="Cafco 300",J1293&gt;=95,J1293&lt;=400,G1293=3,C1293="IN",I1293=90),VLOOKUP(T1293,'CAFCO 300 IDIEM TABLAS'!$F$4:$H$35,2,FALSE),0)+IF(AND(L1293="Cafco 300",J1293&gt;=95,J1293&lt;=400,G1293=3,C1293="IN",I1293=120),VLOOKUP(T1293,'CAFCO 300 IDIEM TABLAS'!$F$4:$H$35,3,FALSE),0)+IF(AND(L1293="Cafco 300",J1293&gt;=95,J1293&lt;=450,G1293=4,C1293="IN",I1293=90),VLOOKUP(T1293,'CAFCO 300 IDIEM TABLAS'!$J$4:$L$40,2,FALSE),0)+IF(AND(L1293="Cafco 300",J1293&gt;=95,J1293&lt;=450,G1293=4,C1293="IN",I1293=120),VLOOKUP(T1293,'CAFCO 300 IDIEM TABLAS'!$J$4:$L$40,3,FALSE),0)+IF(AND(M1293="Ensayo Idiem",L1293="Cafco 400",C1293="IN",G1293=4,I1293=90),VLOOKUP(T1293,'CAFCO 400 ENSAYO'!$B$7:$D$43,2,FALSE),0)+IF(AND(M1293="Ensayo Idiem",L1293="Cafco 400",C1293="IN",G1293=4,I1293=120),VLOOKUP(T1293,'CAFCO 400 ENSAYO'!$B$7:$D$43,3,FALSE),0)</f>
        <v>0</v>
      </c>
      <c r="O1293" s="96">
        <f t="shared" si="132"/>
        <v>0</v>
      </c>
      <c r="P1293" s="132" t="str">
        <f t="shared" si="127"/>
        <v>N/A</v>
      </c>
      <c r="Q1293" s="132" t="str">
        <f t="shared" si="128"/>
        <v>N/A</v>
      </c>
      <c r="R1293" s="132" t="str">
        <f t="shared" si="129"/>
        <v>NO CERT.</v>
      </c>
      <c r="S1293" s="132" t="e">
        <f t="shared" si="130"/>
        <v>#N/A</v>
      </c>
      <c r="T1293" s="133" t="e">
        <f>+IF(J1293=LOOKUP(J1293,'CAFCO 300 IDIEM TABLAS'!$J$4:$J$40),'CALCULO MORTERO'!J1293,MROUND('CALCULO MORTERO'!J1293,10))</f>
        <v>#N/A</v>
      </c>
      <c r="U1293" s="134">
        <f t="shared" si="131"/>
        <v>0</v>
      </c>
    </row>
    <row r="1294" spans="1:21" x14ac:dyDescent="0.25">
      <c r="A1294" s="118">
        <f>+CUBICACION!D1288</f>
        <v>0</v>
      </c>
      <c r="B1294" s="819">
        <f>+CUBICACION!E1288</f>
        <v>0</v>
      </c>
      <c r="C1294" s="675">
        <f>+CUBICACION!F1288</f>
        <v>0</v>
      </c>
      <c r="D1294" s="118"/>
      <c r="E1294" s="118"/>
      <c r="F1294" s="820"/>
      <c r="G1294" s="675">
        <f>+CUBICACION!J1288</f>
        <v>0</v>
      </c>
      <c r="H1294" s="118"/>
      <c r="I1294" s="821">
        <f>+CUBICACION!L1288</f>
        <v>0</v>
      </c>
      <c r="J1294" s="64">
        <f>+CUBICACION!M1288</f>
        <v>0</v>
      </c>
      <c r="K1294" s="822" t="str">
        <f>+CUBICACION!N1288</f>
        <v/>
      </c>
      <c r="L1294" s="118">
        <f>+CUBICACION!O1288</f>
        <v>0</v>
      </c>
      <c r="M1294" s="823">
        <f>+CUBICACION!P1288</f>
        <v>0</v>
      </c>
      <c r="N1294" s="902">
        <f>ROUND(IF(AND(L1294="Blaze Shield II",M1294="Software Idiem",C1294="IN",G1294=4),((('BLAZE SHIELD II'!$D$4*('CALCULO MORTERO'!I1294^2)+'BLAZE SHIELD II'!$D$5*'CALCULO MORTERO'!I1294+'BLAZE SHIELD II'!$D$6)*LN(J1294))+('BLAZE SHIELD II'!$D$7*('CALCULO MORTERO'!I1294^2)+'BLAZE SHIELD II'!$D$8*'CALCULO MORTERO'!I1294+'BLAZE SHIELD II'!$D$9)),0)+IF(AND(L1294="Blaze Shield II",M1294="Software Idiem",C1294="Cj"),((('BLAZE SHIELD II'!$H$4*('CALCULO MORTERO'!I1294^2)+'BLAZE SHIELD II'!$H$5*'CALCULO MORTERO'!I1294+'BLAZE SHIELD II'!$H$6)*LN(J1294))+('BLAZE SHIELD II'!$H$7*('CALCULO MORTERO'!I1294^2)+'BLAZE SHIELD II'!$H$8*'CALCULO MORTERO'!I1294+'BLAZE SHIELD II'!$H$9)),0)+IF(AND(L1294="Blaze Shield II",M1294="Software Idiem",C1294="C"),((('BLAZE SHIELD II'!$L$4*('CALCULO MORTERO'!I1294^2)+'BLAZE SHIELD II'!$L$5*'CALCULO MORTERO'!I1294+'BLAZE SHIELD II'!$L$6)*LN(J1294))+('BLAZE SHIELD II'!$L$7*('CALCULO MORTERO'!I1294^2)+'BLAZE SHIELD II'!$L$8*'CALCULO MORTERO'!I1294+'BLAZE SHIELD II'!$L$9)),0)+IF(AND(L1294="Blaze Shield II",M1294="Software Idiem",C1294="L"),((('BLAZE SHIELD II'!$L$4*('CALCULO MORTERO'!I1294^2)+'BLAZE SHIELD II'!$L$5*'CALCULO MORTERO'!I1294+'BLAZE SHIELD II'!$L$6)*LN(J1294))+('BLAZE SHIELD II'!$L$7*('CALCULO MORTERO'!I1294^2)+'BLAZE SHIELD II'!$L$8*'CALCULO MORTERO'!I1294+'BLAZE SHIELD II'!$L$9)),0)+IF(AND(L1294="Blaze Shield II",M1294="Software Idiem",C1294="IN",G1294=3),((('BLAZE SHIELD II'!$H$14*('CALCULO MORTERO'!I1294^2)+'BLAZE SHIELD II'!$H$15*'CALCULO MORTERO'!I1294+'BLAZE SHIELD II'!$H$16)*LN(J1294))+('BLAZE SHIELD II'!$H$17*('CALCULO MORTERO'!I1294^2)+'BLAZE SHIELD II'!$H$18*'CALCULO MORTERO'!I1294+'BLAZE SHIELD II'!$H$19)),0),0)+ROUND(IF(AND(L1294="Cafco 400",M1294="Software Idiem",C1294="IN",G1294=4),((('CAFCO 400 '!$H$7*(J1294^4)+'CAFCO 400 '!$H$8*(J1294^3)+'CAFCO 400 '!$H$9*(J1294^2)+'CAFCO 400 '!$H$10*J1294+'CAFCO 400 '!$H$11)*U1294^2)+(('CAFCO 400 '!$H$12*(J1294^3)+'CAFCO 400 '!$H$13*(J1294^2)+'CAFCO 400 '!$H$14*J1294+'CAFCO 400 '!$H$15)*U1294)+('CAFCO 400 '!$H$16*(J1294^2)+'CAFCO 400 '!$H$17*J1294+'CAFCO 400 '!$H$18)),0)+IF(AND(L1294="Cafco 400",M1294="Software Idiem",C1294="Cj"),(((('CAFCO 400 '!$D$7*LN(J1294)+'CAFCO 400 '!$D$8)*U1294^2)+(('CAFCO 400 '!$D$9*LN(J1294)+'CAFCO 400 '!$D$10)*U1294)+('CAFCO 400 '!$D$11*LN(J1294)+'CAFCO 400 '!$D$12))),0)+IF(AND(L1294="Cafco 400",M1294="Software Idiem",C1294="C"),((('CAFCO 400 '!$L$7*(J1294^3)+'CAFCO 400 '!$L$8*(J1294^2)+'CAFCO 400 '!$L$9*J1294+'CAFCO 400 '!$L$10)*U1294^2)+(('CAFCO 400 '!$L$11*(J1294^3)+'CAFCO 400 '!$L$12*(J1294^2)+'CAFCO 400 '!$L$13*J1294+'CAFCO 400 '!$L$14)*U1294)+('CAFCO 400 '!$L$15*LN(J1294)+'CAFCO 400 '!$L$16)),0)+IF(AND(L1294="Cafco 400",M1294="Software Idiem",C1294="L"),((('CAFCO 400 '!$L$7*(J1294^3)+'CAFCO 400 '!$L$8*(J1294^2)+'CAFCO 400 '!$L$9*J1294+'CAFCO 400 '!$L$10)*U1294^2)+(('CAFCO 400 '!$L$11*(J1294^3)+'CAFCO 400 '!$L$12*(J1294^2)+'CAFCO 400 '!$L$13*J1294+'CAFCO 400 '!$L$14)*U1294)+('CAFCO 400 '!$L$15*LN(J1294)+'CAFCO 400 '!$L$16)),0)+IF(AND(L1294="Cafco 400",M1294="Software Idiem",C1294="IN",G1294=3),((('CAFCO 400 '!$D$23*(J1294^2)+'CAFCO 400 '!$D$24*(J1294)+'CAFCO 400 '!$D$25)*U1294^2)+(('CAFCO 400 '!$D$26*(J1294^2)+'CAFCO 400 '!$D$27*J1294+'CAFCO 400 '!$D$28)*U1294)+('CAFCO 400 '!$D$29*(J1294^2)+'CAFCO 400 '!$D$30*J1294+'CAFCO 400 '!$D$31)),0),0)+IF(AND(L1294="Cafco 300",J1294&gt;=95,J1294&lt;=240,C1294="Cj",I1294=90),VLOOKUP(T1294,'CAFCO 300 IDIEM TABLAS'!$B$4:$D$23,2,FALSE),0)+IF(AND(L1294="Cafco 300",J1294&gt;=95,J1294&lt;=240,C1294="Cj",I1294=120),VLOOKUP(T1294,'CAFCO 300 IDIEM TABLAS'!$B$4:$D$23,3,FALSE),0)+IF(AND(L1294="Cafco 300",J1294&gt;=95,J1294&lt;=400,G1294=3,C1294="IN",I1294=90),VLOOKUP(T1294,'CAFCO 300 IDIEM TABLAS'!$F$4:$H$35,2,FALSE),0)+IF(AND(L1294="Cafco 300",J1294&gt;=95,J1294&lt;=400,G1294=3,C1294="IN",I1294=120),VLOOKUP(T1294,'CAFCO 300 IDIEM TABLAS'!$F$4:$H$35,3,FALSE),0)+IF(AND(L1294="Cafco 300",J1294&gt;=95,J1294&lt;=450,G1294=4,C1294="IN",I1294=90),VLOOKUP(T1294,'CAFCO 300 IDIEM TABLAS'!$J$4:$L$40,2,FALSE),0)+IF(AND(L1294="Cafco 300",J1294&gt;=95,J1294&lt;=450,G1294=4,C1294="IN",I1294=120),VLOOKUP(T1294,'CAFCO 300 IDIEM TABLAS'!$J$4:$L$40,3,FALSE),0)+IF(AND(M1294="Ensayo Idiem",L1294="Cafco 400",C1294="IN",G1294=4,I1294=90),VLOOKUP(T1294,'CAFCO 400 ENSAYO'!$B$7:$D$43,2,FALSE),0)+IF(AND(M1294="Ensayo Idiem",L1294="Cafco 400",C1294="IN",G1294=4,I1294=120),VLOOKUP(T1294,'CAFCO 400 ENSAYO'!$B$7:$D$43,3,FALSE),0)</f>
        <v>0</v>
      </c>
      <c r="O1294" s="96">
        <f t="shared" si="132"/>
        <v>0</v>
      </c>
      <c r="P1294" s="95" t="str">
        <f t="shared" si="127"/>
        <v>N/A</v>
      </c>
      <c r="Q1294" s="95" t="str">
        <f t="shared" si="128"/>
        <v>N/A</v>
      </c>
      <c r="R1294" s="95" t="str">
        <f t="shared" si="129"/>
        <v>NO CERT.</v>
      </c>
      <c r="S1294" s="95" t="e">
        <f t="shared" si="130"/>
        <v>#N/A</v>
      </c>
      <c r="T1294" s="119" t="e">
        <f>+IF(J1294=LOOKUP(J1294,'CAFCO 300 IDIEM TABLAS'!$J$4:$J$40),'CALCULO MORTERO'!J1294,MROUND('CALCULO MORTERO'!J1294,10))</f>
        <v>#N/A</v>
      </c>
      <c r="U1294" s="118">
        <f t="shared" si="131"/>
        <v>0</v>
      </c>
    </row>
    <row r="1295" spans="1:21" x14ac:dyDescent="0.25">
      <c r="A1295" s="118">
        <f>+CUBICACION!D1289</f>
        <v>0</v>
      </c>
      <c r="B1295" s="819">
        <f>+CUBICACION!E1289</f>
        <v>0</v>
      </c>
      <c r="C1295" s="675">
        <f>+CUBICACION!F1289</f>
        <v>0</v>
      </c>
      <c r="D1295" s="118"/>
      <c r="E1295" s="118"/>
      <c r="F1295" s="820"/>
      <c r="G1295" s="675">
        <f>+CUBICACION!J1289</f>
        <v>0</v>
      </c>
      <c r="H1295" s="118"/>
      <c r="I1295" s="821">
        <f>+CUBICACION!L1289</f>
        <v>0</v>
      </c>
      <c r="J1295" s="64">
        <f>+CUBICACION!M1289</f>
        <v>0</v>
      </c>
      <c r="K1295" s="822" t="str">
        <f>+CUBICACION!N1289</f>
        <v/>
      </c>
      <c r="L1295" s="118">
        <f>+CUBICACION!O1289</f>
        <v>0</v>
      </c>
      <c r="M1295" s="823">
        <f>+CUBICACION!P1289</f>
        <v>0</v>
      </c>
      <c r="N1295" s="902">
        <f>ROUND(IF(AND(L1295="Blaze Shield II",M1295="Software Idiem",C1295="IN",G1295=4),((('BLAZE SHIELD II'!$D$4*('CALCULO MORTERO'!I1295^2)+'BLAZE SHIELD II'!$D$5*'CALCULO MORTERO'!I1295+'BLAZE SHIELD II'!$D$6)*LN(J1295))+('BLAZE SHIELD II'!$D$7*('CALCULO MORTERO'!I1295^2)+'BLAZE SHIELD II'!$D$8*'CALCULO MORTERO'!I1295+'BLAZE SHIELD II'!$D$9)),0)+IF(AND(L1295="Blaze Shield II",M1295="Software Idiem",C1295="Cj"),((('BLAZE SHIELD II'!$H$4*('CALCULO MORTERO'!I1295^2)+'BLAZE SHIELD II'!$H$5*'CALCULO MORTERO'!I1295+'BLAZE SHIELD II'!$H$6)*LN(J1295))+('BLAZE SHIELD II'!$H$7*('CALCULO MORTERO'!I1295^2)+'BLAZE SHIELD II'!$H$8*'CALCULO MORTERO'!I1295+'BLAZE SHIELD II'!$H$9)),0)+IF(AND(L1295="Blaze Shield II",M1295="Software Idiem",C1295="C"),((('BLAZE SHIELD II'!$L$4*('CALCULO MORTERO'!I1295^2)+'BLAZE SHIELD II'!$L$5*'CALCULO MORTERO'!I1295+'BLAZE SHIELD II'!$L$6)*LN(J1295))+('BLAZE SHIELD II'!$L$7*('CALCULO MORTERO'!I1295^2)+'BLAZE SHIELD II'!$L$8*'CALCULO MORTERO'!I1295+'BLAZE SHIELD II'!$L$9)),0)+IF(AND(L1295="Blaze Shield II",M1295="Software Idiem",C1295="L"),((('BLAZE SHIELD II'!$L$4*('CALCULO MORTERO'!I1295^2)+'BLAZE SHIELD II'!$L$5*'CALCULO MORTERO'!I1295+'BLAZE SHIELD II'!$L$6)*LN(J1295))+('BLAZE SHIELD II'!$L$7*('CALCULO MORTERO'!I1295^2)+'BLAZE SHIELD II'!$L$8*'CALCULO MORTERO'!I1295+'BLAZE SHIELD II'!$L$9)),0)+IF(AND(L1295="Blaze Shield II",M1295="Software Idiem",C1295="IN",G1295=3),((('BLAZE SHIELD II'!$H$14*('CALCULO MORTERO'!I1295^2)+'BLAZE SHIELD II'!$H$15*'CALCULO MORTERO'!I1295+'BLAZE SHIELD II'!$H$16)*LN(J1295))+('BLAZE SHIELD II'!$H$17*('CALCULO MORTERO'!I1295^2)+'BLAZE SHIELD II'!$H$18*'CALCULO MORTERO'!I1295+'BLAZE SHIELD II'!$H$19)),0),0)+ROUND(IF(AND(L1295="Cafco 400",M1295="Software Idiem",C1295="IN",G1295=4),((('CAFCO 400 '!$H$7*(J1295^4)+'CAFCO 400 '!$H$8*(J1295^3)+'CAFCO 400 '!$H$9*(J1295^2)+'CAFCO 400 '!$H$10*J1295+'CAFCO 400 '!$H$11)*U1295^2)+(('CAFCO 400 '!$H$12*(J1295^3)+'CAFCO 400 '!$H$13*(J1295^2)+'CAFCO 400 '!$H$14*J1295+'CAFCO 400 '!$H$15)*U1295)+('CAFCO 400 '!$H$16*(J1295^2)+'CAFCO 400 '!$H$17*J1295+'CAFCO 400 '!$H$18)),0)+IF(AND(L1295="Cafco 400",M1295="Software Idiem",C1295="Cj"),(((('CAFCO 400 '!$D$7*LN(J1295)+'CAFCO 400 '!$D$8)*U1295^2)+(('CAFCO 400 '!$D$9*LN(J1295)+'CAFCO 400 '!$D$10)*U1295)+('CAFCO 400 '!$D$11*LN(J1295)+'CAFCO 400 '!$D$12))),0)+IF(AND(L1295="Cafco 400",M1295="Software Idiem",C1295="C"),((('CAFCO 400 '!$L$7*(J1295^3)+'CAFCO 400 '!$L$8*(J1295^2)+'CAFCO 400 '!$L$9*J1295+'CAFCO 400 '!$L$10)*U1295^2)+(('CAFCO 400 '!$L$11*(J1295^3)+'CAFCO 400 '!$L$12*(J1295^2)+'CAFCO 400 '!$L$13*J1295+'CAFCO 400 '!$L$14)*U1295)+('CAFCO 400 '!$L$15*LN(J1295)+'CAFCO 400 '!$L$16)),0)+IF(AND(L1295="Cafco 400",M1295="Software Idiem",C1295="L"),((('CAFCO 400 '!$L$7*(J1295^3)+'CAFCO 400 '!$L$8*(J1295^2)+'CAFCO 400 '!$L$9*J1295+'CAFCO 400 '!$L$10)*U1295^2)+(('CAFCO 400 '!$L$11*(J1295^3)+'CAFCO 400 '!$L$12*(J1295^2)+'CAFCO 400 '!$L$13*J1295+'CAFCO 400 '!$L$14)*U1295)+('CAFCO 400 '!$L$15*LN(J1295)+'CAFCO 400 '!$L$16)),0)+IF(AND(L1295="Cafco 400",M1295="Software Idiem",C1295="IN",G1295=3),((('CAFCO 400 '!$D$23*(J1295^2)+'CAFCO 400 '!$D$24*(J1295)+'CAFCO 400 '!$D$25)*U1295^2)+(('CAFCO 400 '!$D$26*(J1295^2)+'CAFCO 400 '!$D$27*J1295+'CAFCO 400 '!$D$28)*U1295)+('CAFCO 400 '!$D$29*(J1295^2)+'CAFCO 400 '!$D$30*J1295+'CAFCO 400 '!$D$31)),0),0)+IF(AND(L1295="Cafco 300",J1295&gt;=95,J1295&lt;=240,C1295="Cj",I1295=90),VLOOKUP(T1295,'CAFCO 300 IDIEM TABLAS'!$B$4:$D$23,2,FALSE),0)+IF(AND(L1295="Cafco 300",J1295&gt;=95,J1295&lt;=240,C1295="Cj",I1295=120),VLOOKUP(T1295,'CAFCO 300 IDIEM TABLAS'!$B$4:$D$23,3,FALSE),0)+IF(AND(L1295="Cafco 300",J1295&gt;=95,J1295&lt;=400,G1295=3,C1295="IN",I1295=90),VLOOKUP(T1295,'CAFCO 300 IDIEM TABLAS'!$F$4:$H$35,2,FALSE),0)+IF(AND(L1295="Cafco 300",J1295&gt;=95,J1295&lt;=400,G1295=3,C1295="IN",I1295=120),VLOOKUP(T1295,'CAFCO 300 IDIEM TABLAS'!$F$4:$H$35,3,FALSE),0)+IF(AND(L1295="Cafco 300",J1295&gt;=95,J1295&lt;=450,G1295=4,C1295="IN",I1295=90),VLOOKUP(T1295,'CAFCO 300 IDIEM TABLAS'!$J$4:$L$40,2,FALSE),0)+IF(AND(L1295="Cafco 300",J1295&gt;=95,J1295&lt;=450,G1295=4,C1295="IN",I1295=120),VLOOKUP(T1295,'CAFCO 300 IDIEM TABLAS'!$J$4:$L$40,3,FALSE),0)+IF(AND(M1295="Ensayo Idiem",L1295="Cafco 400",C1295="IN",G1295=4,I1295=90),VLOOKUP(T1295,'CAFCO 400 ENSAYO'!$B$7:$D$43,2,FALSE),0)+IF(AND(M1295="Ensayo Idiem",L1295="Cafco 400",C1295="IN",G1295=4,I1295=120),VLOOKUP(T1295,'CAFCO 400 ENSAYO'!$B$7:$D$43,3,FALSE),0)</f>
        <v>0</v>
      </c>
      <c r="O1295" s="96">
        <f t="shared" si="132"/>
        <v>0</v>
      </c>
      <c r="P1295" s="132" t="str">
        <f t="shared" si="127"/>
        <v>N/A</v>
      </c>
      <c r="Q1295" s="132" t="str">
        <f t="shared" si="128"/>
        <v>N/A</v>
      </c>
      <c r="R1295" s="132" t="str">
        <f t="shared" si="129"/>
        <v>NO CERT.</v>
      </c>
      <c r="S1295" s="132" t="e">
        <f t="shared" si="130"/>
        <v>#N/A</v>
      </c>
      <c r="T1295" s="133" t="e">
        <f>+IF(J1295=LOOKUP(J1295,'CAFCO 300 IDIEM TABLAS'!$J$4:$J$40),'CALCULO MORTERO'!J1295,MROUND('CALCULO MORTERO'!J1295,10))</f>
        <v>#N/A</v>
      </c>
      <c r="U1295" s="134">
        <f t="shared" si="131"/>
        <v>0</v>
      </c>
    </row>
    <row r="1296" spans="1:21" x14ac:dyDescent="0.25">
      <c r="A1296" s="118">
        <f>+CUBICACION!D1290</f>
        <v>0</v>
      </c>
      <c r="B1296" s="819">
        <f>+CUBICACION!E1290</f>
        <v>0</v>
      </c>
      <c r="C1296" s="675">
        <f>+CUBICACION!F1290</f>
        <v>0</v>
      </c>
      <c r="D1296" s="118"/>
      <c r="E1296" s="118"/>
      <c r="F1296" s="820"/>
      <c r="G1296" s="675">
        <f>+CUBICACION!J1290</f>
        <v>0</v>
      </c>
      <c r="H1296" s="118"/>
      <c r="I1296" s="821">
        <f>+CUBICACION!L1290</f>
        <v>0</v>
      </c>
      <c r="J1296" s="64">
        <f>+CUBICACION!M1290</f>
        <v>0</v>
      </c>
      <c r="K1296" s="822" t="str">
        <f>+CUBICACION!N1290</f>
        <v/>
      </c>
      <c r="L1296" s="118">
        <f>+CUBICACION!O1290</f>
        <v>0</v>
      </c>
      <c r="M1296" s="823">
        <f>+CUBICACION!P1290</f>
        <v>0</v>
      </c>
      <c r="N1296" s="902">
        <f>ROUND(IF(AND(L1296="Blaze Shield II",M1296="Software Idiem",C1296="IN",G1296=4),((('BLAZE SHIELD II'!$D$4*('CALCULO MORTERO'!I1296^2)+'BLAZE SHIELD II'!$D$5*'CALCULO MORTERO'!I1296+'BLAZE SHIELD II'!$D$6)*LN(J1296))+('BLAZE SHIELD II'!$D$7*('CALCULO MORTERO'!I1296^2)+'BLAZE SHIELD II'!$D$8*'CALCULO MORTERO'!I1296+'BLAZE SHIELD II'!$D$9)),0)+IF(AND(L1296="Blaze Shield II",M1296="Software Idiem",C1296="Cj"),((('BLAZE SHIELD II'!$H$4*('CALCULO MORTERO'!I1296^2)+'BLAZE SHIELD II'!$H$5*'CALCULO MORTERO'!I1296+'BLAZE SHIELD II'!$H$6)*LN(J1296))+('BLAZE SHIELD II'!$H$7*('CALCULO MORTERO'!I1296^2)+'BLAZE SHIELD II'!$H$8*'CALCULO MORTERO'!I1296+'BLAZE SHIELD II'!$H$9)),0)+IF(AND(L1296="Blaze Shield II",M1296="Software Idiem",C1296="C"),((('BLAZE SHIELD II'!$L$4*('CALCULO MORTERO'!I1296^2)+'BLAZE SHIELD II'!$L$5*'CALCULO MORTERO'!I1296+'BLAZE SHIELD II'!$L$6)*LN(J1296))+('BLAZE SHIELD II'!$L$7*('CALCULO MORTERO'!I1296^2)+'BLAZE SHIELD II'!$L$8*'CALCULO MORTERO'!I1296+'BLAZE SHIELD II'!$L$9)),0)+IF(AND(L1296="Blaze Shield II",M1296="Software Idiem",C1296="L"),((('BLAZE SHIELD II'!$L$4*('CALCULO MORTERO'!I1296^2)+'BLAZE SHIELD II'!$L$5*'CALCULO MORTERO'!I1296+'BLAZE SHIELD II'!$L$6)*LN(J1296))+('BLAZE SHIELD II'!$L$7*('CALCULO MORTERO'!I1296^2)+'BLAZE SHIELD II'!$L$8*'CALCULO MORTERO'!I1296+'BLAZE SHIELD II'!$L$9)),0)+IF(AND(L1296="Blaze Shield II",M1296="Software Idiem",C1296="IN",G1296=3),((('BLAZE SHIELD II'!$H$14*('CALCULO MORTERO'!I1296^2)+'BLAZE SHIELD II'!$H$15*'CALCULO MORTERO'!I1296+'BLAZE SHIELD II'!$H$16)*LN(J1296))+('BLAZE SHIELD II'!$H$17*('CALCULO MORTERO'!I1296^2)+'BLAZE SHIELD II'!$H$18*'CALCULO MORTERO'!I1296+'BLAZE SHIELD II'!$H$19)),0),0)+ROUND(IF(AND(L1296="Cafco 400",M1296="Software Idiem",C1296="IN",G1296=4),((('CAFCO 400 '!$H$7*(J1296^4)+'CAFCO 400 '!$H$8*(J1296^3)+'CAFCO 400 '!$H$9*(J1296^2)+'CAFCO 400 '!$H$10*J1296+'CAFCO 400 '!$H$11)*U1296^2)+(('CAFCO 400 '!$H$12*(J1296^3)+'CAFCO 400 '!$H$13*(J1296^2)+'CAFCO 400 '!$H$14*J1296+'CAFCO 400 '!$H$15)*U1296)+('CAFCO 400 '!$H$16*(J1296^2)+'CAFCO 400 '!$H$17*J1296+'CAFCO 400 '!$H$18)),0)+IF(AND(L1296="Cafco 400",M1296="Software Idiem",C1296="Cj"),(((('CAFCO 400 '!$D$7*LN(J1296)+'CAFCO 400 '!$D$8)*U1296^2)+(('CAFCO 400 '!$D$9*LN(J1296)+'CAFCO 400 '!$D$10)*U1296)+('CAFCO 400 '!$D$11*LN(J1296)+'CAFCO 400 '!$D$12))),0)+IF(AND(L1296="Cafco 400",M1296="Software Idiem",C1296="C"),((('CAFCO 400 '!$L$7*(J1296^3)+'CAFCO 400 '!$L$8*(J1296^2)+'CAFCO 400 '!$L$9*J1296+'CAFCO 400 '!$L$10)*U1296^2)+(('CAFCO 400 '!$L$11*(J1296^3)+'CAFCO 400 '!$L$12*(J1296^2)+'CAFCO 400 '!$L$13*J1296+'CAFCO 400 '!$L$14)*U1296)+('CAFCO 400 '!$L$15*LN(J1296)+'CAFCO 400 '!$L$16)),0)+IF(AND(L1296="Cafco 400",M1296="Software Idiem",C1296="L"),((('CAFCO 400 '!$L$7*(J1296^3)+'CAFCO 400 '!$L$8*(J1296^2)+'CAFCO 400 '!$L$9*J1296+'CAFCO 400 '!$L$10)*U1296^2)+(('CAFCO 400 '!$L$11*(J1296^3)+'CAFCO 400 '!$L$12*(J1296^2)+'CAFCO 400 '!$L$13*J1296+'CAFCO 400 '!$L$14)*U1296)+('CAFCO 400 '!$L$15*LN(J1296)+'CAFCO 400 '!$L$16)),0)+IF(AND(L1296="Cafco 400",M1296="Software Idiem",C1296="IN",G1296=3),((('CAFCO 400 '!$D$23*(J1296^2)+'CAFCO 400 '!$D$24*(J1296)+'CAFCO 400 '!$D$25)*U1296^2)+(('CAFCO 400 '!$D$26*(J1296^2)+'CAFCO 400 '!$D$27*J1296+'CAFCO 400 '!$D$28)*U1296)+('CAFCO 400 '!$D$29*(J1296^2)+'CAFCO 400 '!$D$30*J1296+'CAFCO 400 '!$D$31)),0),0)+IF(AND(L1296="Cafco 300",J1296&gt;=95,J1296&lt;=240,C1296="Cj",I1296=90),VLOOKUP(T1296,'CAFCO 300 IDIEM TABLAS'!$B$4:$D$23,2,FALSE),0)+IF(AND(L1296="Cafco 300",J1296&gt;=95,J1296&lt;=240,C1296="Cj",I1296=120),VLOOKUP(T1296,'CAFCO 300 IDIEM TABLAS'!$B$4:$D$23,3,FALSE),0)+IF(AND(L1296="Cafco 300",J1296&gt;=95,J1296&lt;=400,G1296=3,C1296="IN",I1296=90),VLOOKUP(T1296,'CAFCO 300 IDIEM TABLAS'!$F$4:$H$35,2,FALSE),0)+IF(AND(L1296="Cafco 300",J1296&gt;=95,J1296&lt;=400,G1296=3,C1296="IN",I1296=120),VLOOKUP(T1296,'CAFCO 300 IDIEM TABLAS'!$F$4:$H$35,3,FALSE),0)+IF(AND(L1296="Cafco 300",J1296&gt;=95,J1296&lt;=450,G1296=4,C1296="IN",I1296=90),VLOOKUP(T1296,'CAFCO 300 IDIEM TABLAS'!$J$4:$L$40,2,FALSE),0)+IF(AND(L1296="Cafco 300",J1296&gt;=95,J1296&lt;=450,G1296=4,C1296="IN",I1296=120),VLOOKUP(T1296,'CAFCO 300 IDIEM TABLAS'!$J$4:$L$40,3,FALSE),0)+IF(AND(M1296="Ensayo Idiem",L1296="Cafco 400",C1296="IN",G1296=4,I1296=90),VLOOKUP(T1296,'CAFCO 400 ENSAYO'!$B$7:$D$43,2,FALSE),0)+IF(AND(M1296="Ensayo Idiem",L1296="Cafco 400",C1296="IN",G1296=4,I1296=120),VLOOKUP(T1296,'CAFCO 400 ENSAYO'!$B$7:$D$43,3,FALSE),0)</f>
        <v>0</v>
      </c>
      <c r="O1296" s="96">
        <f t="shared" si="132"/>
        <v>0</v>
      </c>
      <c r="P1296" s="95" t="str">
        <f t="shared" si="127"/>
        <v>N/A</v>
      </c>
      <c r="Q1296" s="95" t="str">
        <f t="shared" si="128"/>
        <v>N/A</v>
      </c>
      <c r="R1296" s="95" t="str">
        <f t="shared" si="129"/>
        <v>NO CERT.</v>
      </c>
      <c r="S1296" s="95" t="e">
        <f t="shared" si="130"/>
        <v>#N/A</v>
      </c>
      <c r="T1296" s="119" t="e">
        <f>+IF(J1296=LOOKUP(J1296,'CAFCO 300 IDIEM TABLAS'!$J$4:$J$40),'CALCULO MORTERO'!J1296,MROUND('CALCULO MORTERO'!J1296,10))</f>
        <v>#N/A</v>
      </c>
      <c r="U1296" s="118">
        <f t="shared" si="131"/>
        <v>0</v>
      </c>
    </row>
    <row r="1297" spans="1:21" x14ac:dyDescent="0.25">
      <c r="A1297" s="118">
        <f>+CUBICACION!D1291</f>
        <v>0</v>
      </c>
      <c r="B1297" s="819">
        <f>+CUBICACION!E1291</f>
        <v>0</v>
      </c>
      <c r="C1297" s="675">
        <f>+CUBICACION!F1291</f>
        <v>0</v>
      </c>
      <c r="D1297" s="118"/>
      <c r="E1297" s="118"/>
      <c r="F1297" s="820"/>
      <c r="G1297" s="675">
        <f>+CUBICACION!J1291</f>
        <v>0</v>
      </c>
      <c r="H1297" s="118"/>
      <c r="I1297" s="821">
        <f>+CUBICACION!L1291</f>
        <v>0</v>
      </c>
      <c r="J1297" s="64">
        <f>+CUBICACION!M1291</f>
        <v>0</v>
      </c>
      <c r="K1297" s="822" t="str">
        <f>+CUBICACION!N1291</f>
        <v/>
      </c>
      <c r="L1297" s="118">
        <f>+CUBICACION!O1291</f>
        <v>0</v>
      </c>
      <c r="M1297" s="823">
        <f>+CUBICACION!P1291</f>
        <v>0</v>
      </c>
      <c r="N1297" s="902">
        <f>ROUND(IF(AND(L1297="Blaze Shield II",M1297="Software Idiem",C1297="IN",G1297=4),((('BLAZE SHIELD II'!$D$4*('CALCULO MORTERO'!I1297^2)+'BLAZE SHIELD II'!$D$5*'CALCULO MORTERO'!I1297+'BLAZE SHIELD II'!$D$6)*LN(J1297))+('BLAZE SHIELD II'!$D$7*('CALCULO MORTERO'!I1297^2)+'BLAZE SHIELD II'!$D$8*'CALCULO MORTERO'!I1297+'BLAZE SHIELD II'!$D$9)),0)+IF(AND(L1297="Blaze Shield II",M1297="Software Idiem",C1297="Cj"),((('BLAZE SHIELD II'!$H$4*('CALCULO MORTERO'!I1297^2)+'BLAZE SHIELD II'!$H$5*'CALCULO MORTERO'!I1297+'BLAZE SHIELD II'!$H$6)*LN(J1297))+('BLAZE SHIELD II'!$H$7*('CALCULO MORTERO'!I1297^2)+'BLAZE SHIELD II'!$H$8*'CALCULO MORTERO'!I1297+'BLAZE SHIELD II'!$H$9)),0)+IF(AND(L1297="Blaze Shield II",M1297="Software Idiem",C1297="C"),((('BLAZE SHIELD II'!$L$4*('CALCULO MORTERO'!I1297^2)+'BLAZE SHIELD II'!$L$5*'CALCULO MORTERO'!I1297+'BLAZE SHIELD II'!$L$6)*LN(J1297))+('BLAZE SHIELD II'!$L$7*('CALCULO MORTERO'!I1297^2)+'BLAZE SHIELD II'!$L$8*'CALCULO MORTERO'!I1297+'BLAZE SHIELD II'!$L$9)),0)+IF(AND(L1297="Blaze Shield II",M1297="Software Idiem",C1297="L"),((('BLAZE SHIELD II'!$L$4*('CALCULO MORTERO'!I1297^2)+'BLAZE SHIELD II'!$L$5*'CALCULO MORTERO'!I1297+'BLAZE SHIELD II'!$L$6)*LN(J1297))+('BLAZE SHIELD II'!$L$7*('CALCULO MORTERO'!I1297^2)+'BLAZE SHIELD II'!$L$8*'CALCULO MORTERO'!I1297+'BLAZE SHIELD II'!$L$9)),0)+IF(AND(L1297="Blaze Shield II",M1297="Software Idiem",C1297="IN",G1297=3),((('BLAZE SHIELD II'!$H$14*('CALCULO MORTERO'!I1297^2)+'BLAZE SHIELD II'!$H$15*'CALCULO MORTERO'!I1297+'BLAZE SHIELD II'!$H$16)*LN(J1297))+('BLAZE SHIELD II'!$H$17*('CALCULO MORTERO'!I1297^2)+'BLAZE SHIELD II'!$H$18*'CALCULO MORTERO'!I1297+'BLAZE SHIELD II'!$H$19)),0),0)+ROUND(IF(AND(L1297="Cafco 400",M1297="Software Idiem",C1297="IN",G1297=4),((('CAFCO 400 '!$H$7*(J1297^4)+'CAFCO 400 '!$H$8*(J1297^3)+'CAFCO 400 '!$H$9*(J1297^2)+'CAFCO 400 '!$H$10*J1297+'CAFCO 400 '!$H$11)*U1297^2)+(('CAFCO 400 '!$H$12*(J1297^3)+'CAFCO 400 '!$H$13*(J1297^2)+'CAFCO 400 '!$H$14*J1297+'CAFCO 400 '!$H$15)*U1297)+('CAFCO 400 '!$H$16*(J1297^2)+'CAFCO 400 '!$H$17*J1297+'CAFCO 400 '!$H$18)),0)+IF(AND(L1297="Cafco 400",M1297="Software Idiem",C1297="Cj"),(((('CAFCO 400 '!$D$7*LN(J1297)+'CAFCO 400 '!$D$8)*U1297^2)+(('CAFCO 400 '!$D$9*LN(J1297)+'CAFCO 400 '!$D$10)*U1297)+('CAFCO 400 '!$D$11*LN(J1297)+'CAFCO 400 '!$D$12))),0)+IF(AND(L1297="Cafco 400",M1297="Software Idiem",C1297="C"),((('CAFCO 400 '!$L$7*(J1297^3)+'CAFCO 400 '!$L$8*(J1297^2)+'CAFCO 400 '!$L$9*J1297+'CAFCO 400 '!$L$10)*U1297^2)+(('CAFCO 400 '!$L$11*(J1297^3)+'CAFCO 400 '!$L$12*(J1297^2)+'CAFCO 400 '!$L$13*J1297+'CAFCO 400 '!$L$14)*U1297)+('CAFCO 400 '!$L$15*LN(J1297)+'CAFCO 400 '!$L$16)),0)+IF(AND(L1297="Cafco 400",M1297="Software Idiem",C1297="L"),((('CAFCO 400 '!$L$7*(J1297^3)+'CAFCO 400 '!$L$8*(J1297^2)+'CAFCO 400 '!$L$9*J1297+'CAFCO 400 '!$L$10)*U1297^2)+(('CAFCO 400 '!$L$11*(J1297^3)+'CAFCO 400 '!$L$12*(J1297^2)+'CAFCO 400 '!$L$13*J1297+'CAFCO 400 '!$L$14)*U1297)+('CAFCO 400 '!$L$15*LN(J1297)+'CAFCO 400 '!$L$16)),0)+IF(AND(L1297="Cafco 400",M1297="Software Idiem",C1297="IN",G1297=3),((('CAFCO 400 '!$D$23*(J1297^2)+'CAFCO 400 '!$D$24*(J1297)+'CAFCO 400 '!$D$25)*U1297^2)+(('CAFCO 400 '!$D$26*(J1297^2)+'CAFCO 400 '!$D$27*J1297+'CAFCO 400 '!$D$28)*U1297)+('CAFCO 400 '!$D$29*(J1297^2)+'CAFCO 400 '!$D$30*J1297+'CAFCO 400 '!$D$31)),0),0)+IF(AND(L1297="Cafco 300",J1297&gt;=95,J1297&lt;=240,C1297="Cj",I1297=90),VLOOKUP(T1297,'CAFCO 300 IDIEM TABLAS'!$B$4:$D$23,2,FALSE),0)+IF(AND(L1297="Cafco 300",J1297&gt;=95,J1297&lt;=240,C1297="Cj",I1297=120),VLOOKUP(T1297,'CAFCO 300 IDIEM TABLAS'!$B$4:$D$23,3,FALSE),0)+IF(AND(L1297="Cafco 300",J1297&gt;=95,J1297&lt;=400,G1297=3,C1297="IN",I1297=90),VLOOKUP(T1297,'CAFCO 300 IDIEM TABLAS'!$F$4:$H$35,2,FALSE),0)+IF(AND(L1297="Cafco 300",J1297&gt;=95,J1297&lt;=400,G1297=3,C1297="IN",I1297=120),VLOOKUP(T1297,'CAFCO 300 IDIEM TABLAS'!$F$4:$H$35,3,FALSE),0)+IF(AND(L1297="Cafco 300",J1297&gt;=95,J1297&lt;=450,G1297=4,C1297="IN",I1297=90),VLOOKUP(T1297,'CAFCO 300 IDIEM TABLAS'!$J$4:$L$40,2,FALSE),0)+IF(AND(L1297="Cafco 300",J1297&gt;=95,J1297&lt;=450,G1297=4,C1297="IN",I1297=120),VLOOKUP(T1297,'CAFCO 300 IDIEM TABLAS'!$J$4:$L$40,3,FALSE),0)+IF(AND(M1297="Ensayo Idiem",L1297="Cafco 400",C1297="IN",G1297=4,I1297=90),VLOOKUP(T1297,'CAFCO 400 ENSAYO'!$B$7:$D$43,2,FALSE),0)+IF(AND(M1297="Ensayo Idiem",L1297="Cafco 400",C1297="IN",G1297=4,I1297=120),VLOOKUP(T1297,'CAFCO 400 ENSAYO'!$B$7:$D$43,3,FALSE),0)</f>
        <v>0</v>
      </c>
      <c r="O1297" s="96">
        <f t="shared" si="132"/>
        <v>0</v>
      </c>
      <c r="P1297" s="132" t="str">
        <f t="shared" si="127"/>
        <v>N/A</v>
      </c>
      <c r="Q1297" s="132" t="str">
        <f t="shared" si="128"/>
        <v>N/A</v>
      </c>
      <c r="R1297" s="132" t="str">
        <f t="shared" si="129"/>
        <v>NO CERT.</v>
      </c>
      <c r="S1297" s="132" t="e">
        <f t="shared" si="130"/>
        <v>#N/A</v>
      </c>
      <c r="T1297" s="133" t="e">
        <f>+IF(J1297=LOOKUP(J1297,'CAFCO 300 IDIEM TABLAS'!$J$4:$J$40),'CALCULO MORTERO'!J1297,MROUND('CALCULO MORTERO'!J1297,10))</f>
        <v>#N/A</v>
      </c>
      <c r="U1297" s="134">
        <f t="shared" si="131"/>
        <v>0</v>
      </c>
    </row>
    <row r="1298" spans="1:21" x14ac:dyDescent="0.25">
      <c r="A1298" s="118">
        <f>+CUBICACION!D1292</f>
        <v>0</v>
      </c>
      <c r="B1298" s="819">
        <f>+CUBICACION!E1292</f>
        <v>0</v>
      </c>
      <c r="C1298" s="675">
        <f>+CUBICACION!F1292</f>
        <v>0</v>
      </c>
      <c r="D1298" s="118"/>
      <c r="E1298" s="118"/>
      <c r="F1298" s="820"/>
      <c r="G1298" s="675">
        <f>+CUBICACION!J1292</f>
        <v>0</v>
      </c>
      <c r="H1298" s="118"/>
      <c r="I1298" s="821">
        <f>+CUBICACION!L1292</f>
        <v>0</v>
      </c>
      <c r="J1298" s="64">
        <f>+CUBICACION!M1292</f>
        <v>0</v>
      </c>
      <c r="K1298" s="822" t="str">
        <f>+CUBICACION!N1292</f>
        <v/>
      </c>
      <c r="L1298" s="118">
        <f>+CUBICACION!O1292</f>
        <v>0</v>
      </c>
      <c r="M1298" s="823">
        <f>+CUBICACION!P1292</f>
        <v>0</v>
      </c>
      <c r="N1298" s="902">
        <f>ROUND(IF(AND(L1298="Blaze Shield II",M1298="Software Idiem",C1298="IN",G1298=4),((('BLAZE SHIELD II'!$D$4*('CALCULO MORTERO'!I1298^2)+'BLAZE SHIELD II'!$D$5*'CALCULO MORTERO'!I1298+'BLAZE SHIELD II'!$D$6)*LN(J1298))+('BLAZE SHIELD II'!$D$7*('CALCULO MORTERO'!I1298^2)+'BLAZE SHIELD II'!$D$8*'CALCULO MORTERO'!I1298+'BLAZE SHIELD II'!$D$9)),0)+IF(AND(L1298="Blaze Shield II",M1298="Software Idiem",C1298="Cj"),((('BLAZE SHIELD II'!$H$4*('CALCULO MORTERO'!I1298^2)+'BLAZE SHIELD II'!$H$5*'CALCULO MORTERO'!I1298+'BLAZE SHIELD II'!$H$6)*LN(J1298))+('BLAZE SHIELD II'!$H$7*('CALCULO MORTERO'!I1298^2)+'BLAZE SHIELD II'!$H$8*'CALCULO MORTERO'!I1298+'BLAZE SHIELD II'!$H$9)),0)+IF(AND(L1298="Blaze Shield II",M1298="Software Idiem",C1298="C"),((('BLAZE SHIELD II'!$L$4*('CALCULO MORTERO'!I1298^2)+'BLAZE SHIELD II'!$L$5*'CALCULO MORTERO'!I1298+'BLAZE SHIELD II'!$L$6)*LN(J1298))+('BLAZE SHIELD II'!$L$7*('CALCULO MORTERO'!I1298^2)+'BLAZE SHIELD II'!$L$8*'CALCULO MORTERO'!I1298+'BLAZE SHIELD II'!$L$9)),0)+IF(AND(L1298="Blaze Shield II",M1298="Software Idiem",C1298="L"),((('BLAZE SHIELD II'!$L$4*('CALCULO MORTERO'!I1298^2)+'BLAZE SHIELD II'!$L$5*'CALCULO MORTERO'!I1298+'BLAZE SHIELD II'!$L$6)*LN(J1298))+('BLAZE SHIELD II'!$L$7*('CALCULO MORTERO'!I1298^2)+'BLAZE SHIELD II'!$L$8*'CALCULO MORTERO'!I1298+'BLAZE SHIELD II'!$L$9)),0)+IF(AND(L1298="Blaze Shield II",M1298="Software Idiem",C1298="IN",G1298=3),((('BLAZE SHIELD II'!$H$14*('CALCULO MORTERO'!I1298^2)+'BLAZE SHIELD II'!$H$15*'CALCULO MORTERO'!I1298+'BLAZE SHIELD II'!$H$16)*LN(J1298))+('BLAZE SHIELD II'!$H$17*('CALCULO MORTERO'!I1298^2)+'BLAZE SHIELD II'!$H$18*'CALCULO MORTERO'!I1298+'BLAZE SHIELD II'!$H$19)),0),0)+ROUND(IF(AND(L1298="Cafco 400",M1298="Software Idiem",C1298="IN",G1298=4),((('CAFCO 400 '!$H$7*(J1298^4)+'CAFCO 400 '!$H$8*(J1298^3)+'CAFCO 400 '!$H$9*(J1298^2)+'CAFCO 400 '!$H$10*J1298+'CAFCO 400 '!$H$11)*U1298^2)+(('CAFCO 400 '!$H$12*(J1298^3)+'CAFCO 400 '!$H$13*(J1298^2)+'CAFCO 400 '!$H$14*J1298+'CAFCO 400 '!$H$15)*U1298)+('CAFCO 400 '!$H$16*(J1298^2)+'CAFCO 400 '!$H$17*J1298+'CAFCO 400 '!$H$18)),0)+IF(AND(L1298="Cafco 400",M1298="Software Idiem",C1298="Cj"),(((('CAFCO 400 '!$D$7*LN(J1298)+'CAFCO 400 '!$D$8)*U1298^2)+(('CAFCO 400 '!$D$9*LN(J1298)+'CAFCO 400 '!$D$10)*U1298)+('CAFCO 400 '!$D$11*LN(J1298)+'CAFCO 400 '!$D$12))),0)+IF(AND(L1298="Cafco 400",M1298="Software Idiem",C1298="C"),((('CAFCO 400 '!$L$7*(J1298^3)+'CAFCO 400 '!$L$8*(J1298^2)+'CAFCO 400 '!$L$9*J1298+'CAFCO 400 '!$L$10)*U1298^2)+(('CAFCO 400 '!$L$11*(J1298^3)+'CAFCO 400 '!$L$12*(J1298^2)+'CAFCO 400 '!$L$13*J1298+'CAFCO 400 '!$L$14)*U1298)+('CAFCO 400 '!$L$15*LN(J1298)+'CAFCO 400 '!$L$16)),0)+IF(AND(L1298="Cafco 400",M1298="Software Idiem",C1298="L"),((('CAFCO 400 '!$L$7*(J1298^3)+'CAFCO 400 '!$L$8*(J1298^2)+'CAFCO 400 '!$L$9*J1298+'CAFCO 400 '!$L$10)*U1298^2)+(('CAFCO 400 '!$L$11*(J1298^3)+'CAFCO 400 '!$L$12*(J1298^2)+'CAFCO 400 '!$L$13*J1298+'CAFCO 400 '!$L$14)*U1298)+('CAFCO 400 '!$L$15*LN(J1298)+'CAFCO 400 '!$L$16)),0)+IF(AND(L1298="Cafco 400",M1298="Software Idiem",C1298="IN",G1298=3),((('CAFCO 400 '!$D$23*(J1298^2)+'CAFCO 400 '!$D$24*(J1298)+'CAFCO 400 '!$D$25)*U1298^2)+(('CAFCO 400 '!$D$26*(J1298^2)+'CAFCO 400 '!$D$27*J1298+'CAFCO 400 '!$D$28)*U1298)+('CAFCO 400 '!$D$29*(J1298^2)+'CAFCO 400 '!$D$30*J1298+'CAFCO 400 '!$D$31)),0),0)+IF(AND(L1298="Cafco 300",J1298&gt;=95,J1298&lt;=240,C1298="Cj",I1298=90),VLOOKUP(T1298,'CAFCO 300 IDIEM TABLAS'!$B$4:$D$23,2,FALSE),0)+IF(AND(L1298="Cafco 300",J1298&gt;=95,J1298&lt;=240,C1298="Cj",I1298=120),VLOOKUP(T1298,'CAFCO 300 IDIEM TABLAS'!$B$4:$D$23,3,FALSE),0)+IF(AND(L1298="Cafco 300",J1298&gt;=95,J1298&lt;=400,G1298=3,C1298="IN",I1298=90),VLOOKUP(T1298,'CAFCO 300 IDIEM TABLAS'!$F$4:$H$35,2,FALSE),0)+IF(AND(L1298="Cafco 300",J1298&gt;=95,J1298&lt;=400,G1298=3,C1298="IN",I1298=120),VLOOKUP(T1298,'CAFCO 300 IDIEM TABLAS'!$F$4:$H$35,3,FALSE),0)+IF(AND(L1298="Cafco 300",J1298&gt;=95,J1298&lt;=450,G1298=4,C1298="IN",I1298=90),VLOOKUP(T1298,'CAFCO 300 IDIEM TABLAS'!$J$4:$L$40,2,FALSE),0)+IF(AND(L1298="Cafco 300",J1298&gt;=95,J1298&lt;=450,G1298=4,C1298="IN",I1298=120),VLOOKUP(T1298,'CAFCO 300 IDIEM TABLAS'!$J$4:$L$40,3,FALSE),0)+IF(AND(M1298="Ensayo Idiem",L1298="Cafco 400",C1298="IN",G1298=4,I1298=90),VLOOKUP(T1298,'CAFCO 400 ENSAYO'!$B$7:$D$43,2,FALSE),0)+IF(AND(M1298="Ensayo Idiem",L1298="Cafco 400",C1298="IN",G1298=4,I1298=120),VLOOKUP(T1298,'CAFCO 400 ENSAYO'!$B$7:$D$43,3,FALSE),0)</f>
        <v>0</v>
      </c>
      <c r="O1298" s="96">
        <f t="shared" si="132"/>
        <v>0</v>
      </c>
      <c r="P1298" s="95" t="str">
        <f t="shared" si="127"/>
        <v>N/A</v>
      </c>
      <c r="Q1298" s="95" t="str">
        <f t="shared" si="128"/>
        <v>N/A</v>
      </c>
      <c r="R1298" s="95" t="str">
        <f t="shared" si="129"/>
        <v>NO CERT.</v>
      </c>
      <c r="S1298" s="95" t="e">
        <f t="shared" si="130"/>
        <v>#N/A</v>
      </c>
      <c r="T1298" s="119" t="e">
        <f>+IF(J1298=LOOKUP(J1298,'CAFCO 300 IDIEM TABLAS'!$J$4:$J$40),'CALCULO MORTERO'!J1298,MROUND('CALCULO MORTERO'!J1298,10))</f>
        <v>#N/A</v>
      </c>
      <c r="U1298" s="118">
        <f t="shared" si="131"/>
        <v>0</v>
      </c>
    </row>
    <row r="1299" spans="1:21" x14ac:dyDescent="0.25">
      <c r="A1299" s="118">
        <f>+CUBICACION!D1293</f>
        <v>0</v>
      </c>
      <c r="B1299" s="819">
        <f>+CUBICACION!E1293</f>
        <v>0</v>
      </c>
      <c r="C1299" s="675">
        <f>+CUBICACION!F1293</f>
        <v>0</v>
      </c>
      <c r="D1299" s="118"/>
      <c r="E1299" s="118"/>
      <c r="F1299" s="820"/>
      <c r="G1299" s="675">
        <f>+CUBICACION!J1293</f>
        <v>0</v>
      </c>
      <c r="H1299" s="118"/>
      <c r="I1299" s="821">
        <f>+CUBICACION!L1293</f>
        <v>0</v>
      </c>
      <c r="J1299" s="64">
        <f>+CUBICACION!M1293</f>
        <v>0</v>
      </c>
      <c r="K1299" s="822" t="str">
        <f>+CUBICACION!N1293</f>
        <v/>
      </c>
      <c r="L1299" s="118">
        <f>+CUBICACION!O1293</f>
        <v>0</v>
      </c>
      <c r="M1299" s="823">
        <f>+CUBICACION!P1293</f>
        <v>0</v>
      </c>
      <c r="N1299" s="902">
        <f>ROUND(IF(AND(L1299="Blaze Shield II",M1299="Software Idiem",C1299="IN",G1299=4),((('BLAZE SHIELD II'!$D$4*('CALCULO MORTERO'!I1299^2)+'BLAZE SHIELD II'!$D$5*'CALCULO MORTERO'!I1299+'BLAZE SHIELD II'!$D$6)*LN(J1299))+('BLAZE SHIELD II'!$D$7*('CALCULO MORTERO'!I1299^2)+'BLAZE SHIELD II'!$D$8*'CALCULO MORTERO'!I1299+'BLAZE SHIELD II'!$D$9)),0)+IF(AND(L1299="Blaze Shield II",M1299="Software Idiem",C1299="Cj"),((('BLAZE SHIELD II'!$H$4*('CALCULO MORTERO'!I1299^2)+'BLAZE SHIELD II'!$H$5*'CALCULO MORTERO'!I1299+'BLAZE SHIELD II'!$H$6)*LN(J1299))+('BLAZE SHIELD II'!$H$7*('CALCULO MORTERO'!I1299^2)+'BLAZE SHIELD II'!$H$8*'CALCULO MORTERO'!I1299+'BLAZE SHIELD II'!$H$9)),0)+IF(AND(L1299="Blaze Shield II",M1299="Software Idiem",C1299="C"),((('BLAZE SHIELD II'!$L$4*('CALCULO MORTERO'!I1299^2)+'BLAZE SHIELD II'!$L$5*'CALCULO MORTERO'!I1299+'BLAZE SHIELD II'!$L$6)*LN(J1299))+('BLAZE SHIELD II'!$L$7*('CALCULO MORTERO'!I1299^2)+'BLAZE SHIELD II'!$L$8*'CALCULO MORTERO'!I1299+'BLAZE SHIELD II'!$L$9)),0)+IF(AND(L1299="Blaze Shield II",M1299="Software Idiem",C1299="L"),((('BLAZE SHIELD II'!$L$4*('CALCULO MORTERO'!I1299^2)+'BLAZE SHIELD II'!$L$5*'CALCULO MORTERO'!I1299+'BLAZE SHIELD II'!$L$6)*LN(J1299))+('BLAZE SHIELD II'!$L$7*('CALCULO MORTERO'!I1299^2)+'BLAZE SHIELD II'!$L$8*'CALCULO MORTERO'!I1299+'BLAZE SHIELD II'!$L$9)),0)+IF(AND(L1299="Blaze Shield II",M1299="Software Idiem",C1299="IN",G1299=3),((('BLAZE SHIELD II'!$H$14*('CALCULO MORTERO'!I1299^2)+'BLAZE SHIELD II'!$H$15*'CALCULO MORTERO'!I1299+'BLAZE SHIELD II'!$H$16)*LN(J1299))+('BLAZE SHIELD II'!$H$17*('CALCULO MORTERO'!I1299^2)+'BLAZE SHIELD II'!$H$18*'CALCULO MORTERO'!I1299+'BLAZE SHIELD II'!$H$19)),0),0)+ROUND(IF(AND(L1299="Cafco 400",M1299="Software Idiem",C1299="IN",G1299=4),((('CAFCO 400 '!$H$7*(J1299^4)+'CAFCO 400 '!$H$8*(J1299^3)+'CAFCO 400 '!$H$9*(J1299^2)+'CAFCO 400 '!$H$10*J1299+'CAFCO 400 '!$H$11)*U1299^2)+(('CAFCO 400 '!$H$12*(J1299^3)+'CAFCO 400 '!$H$13*(J1299^2)+'CAFCO 400 '!$H$14*J1299+'CAFCO 400 '!$H$15)*U1299)+('CAFCO 400 '!$H$16*(J1299^2)+'CAFCO 400 '!$H$17*J1299+'CAFCO 400 '!$H$18)),0)+IF(AND(L1299="Cafco 400",M1299="Software Idiem",C1299="Cj"),(((('CAFCO 400 '!$D$7*LN(J1299)+'CAFCO 400 '!$D$8)*U1299^2)+(('CAFCO 400 '!$D$9*LN(J1299)+'CAFCO 400 '!$D$10)*U1299)+('CAFCO 400 '!$D$11*LN(J1299)+'CAFCO 400 '!$D$12))),0)+IF(AND(L1299="Cafco 400",M1299="Software Idiem",C1299="C"),((('CAFCO 400 '!$L$7*(J1299^3)+'CAFCO 400 '!$L$8*(J1299^2)+'CAFCO 400 '!$L$9*J1299+'CAFCO 400 '!$L$10)*U1299^2)+(('CAFCO 400 '!$L$11*(J1299^3)+'CAFCO 400 '!$L$12*(J1299^2)+'CAFCO 400 '!$L$13*J1299+'CAFCO 400 '!$L$14)*U1299)+('CAFCO 400 '!$L$15*LN(J1299)+'CAFCO 400 '!$L$16)),0)+IF(AND(L1299="Cafco 400",M1299="Software Idiem",C1299="L"),((('CAFCO 400 '!$L$7*(J1299^3)+'CAFCO 400 '!$L$8*(J1299^2)+'CAFCO 400 '!$L$9*J1299+'CAFCO 400 '!$L$10)*U1299^2)+(('CAFCO 400 '!$L$11*(J1299^3)+'CAFCO 400 '!$L$12*(J1299^2)+'CAFCO 400 '!$L$13*J1299+'CAFCO 400 '!$L$14)*U1299)+('CAFCO 400 '!$L$15*LN(J1299)+'CAFCO 400 '!$L$16)),0)+IF(AND(L1299="Cafco 400",M1299="Software Idiem",C1299="IN",G1299=3),((('CAFCO 400 '!$D$23*(J1299^2)+'CAFCO 400 '!$D$24*(J1299)+'CAFCO 400 '!$D$25)*U1299^2)+(('CAFCO 400 '!$D$26*(J1299^2)+'CAFCO 400 '!$D$27*J1299+'CAFCO 400 '!$D$28)*U1299)+('CAFCO 400 '!$D$29*(J1299^2)+'CAFCO 400 '!$D$30*J1299+'CAFCO 400 '!$D$31)),0),0)+IF(AND(L1299="Cafco 300",J1299&gt;=95,J1299&lt;=240,C1299="Cj",I1299=90),VLOOKUP(T1299,'CAFCO 300 IDIEM TABLAS'!$B$4:$D$23,2,FALSE),0)+IF(AND(L1299="Cafco 300",J1299&gt;=95,J1299&lt;=240,C1299="Cj",I1299=120),VLOOKUP(T1299,'CAFCO 300 IDIEM TABLAS'!$B$4:$D$23,3,FALSE),0)+IF(AND(L1299="Cafco 300",J1299&gt;=95,J1299&lt;=400,G1299=3,C1299="IN",I1299=90),VLOOKUP(T1299,'CAFCO 300 IDIEM TABLAS'!$F$4:$H$35,2,FALSE),0)+IF(AND(L1299="Cafco 300",J1299&gt;=95,J1299&lt;=400,G1299=3,C1299="IN",I1299=120),VLOOKUP(T1299,'CAFCO 300 IDIEM TABLAS'!$F$4:$H$35,3,FALSE),0)+IF(AND(L1299="Cafco 300",J1299&gt;=95,J1299&lt;=450,G1299=4,C1299="IN",I1299=90),VLOOKUP(T1299,'CAFCO 300 IDIEM TABLAS'!$J$4:$L$40,2,FALSE),0)+IF(AND(L1299="Cafco 300",J1299&gt;=95,J1299&lt;=450,G1299=4,C1299="IN",I1299=120),VLOOKUP(T1299,'CAFCO 300 IDIEM TABLAS'!$J$4:$L$40,3,FALSE),0)+IF(AND(M1299="Ensayo Idiem",L1299="Cafco 400",C1299="IN",G1299=4,I1299=90),VLOOKUP(T1299,'CAFCO 400 ENSAYO'!$B$7:$D$43,2,FALSE),0)+IF(AND(M1299="Ensayo Idiem",L1299="Cafco 400",C1299="IN",G1299=4,I1299=120),VLOOKUP(T1299,'CAFCO 400 ENSAYO'!$B$7:$D$43,3,FALSE),0)</f>
        <v>0</v>
      </c>
      <c r="O1299" s="96">
        <f t="shared" si="132"/>
        <v>0</v>
      </c>
      <c r="P1299" s="132" t="str">
        <f t="shared" si="127"/>
        <v>N/A</v>
      </c>
      <c r="Q1299" s="132" t="str">
        <f t="shared" si="128"/>
        <v>N/A</v>
      </c>
      <c r="R1299" s="132" t="str">
        <f t="shared" si="129"/>
        <v>NO CERT.</v>
      </c>
      <c r="S1299" s="132" t="e">
        <f t="shared" si="130"/>
        <v>#N/A</v>
      </c>
      <c r="T1299" s="133" t="e">
        <f>+IF(J1299=LOOKUP(J1299,'CAFCO 300 IDIEM TABLAS'!$J$4:$J$40),'CALCULO MORTERO'!J1299,MROUND('CALCULO MORTERO'!J1299,10))</f>
        <v>#N/A</v>
      </c>
      <c r="U1299" s="134">
        <f t="shared" si="131"/>
        <v>0</v>
      </c>
    </row>
    <row r="1300" spans="1:21" x14ac:dyDescent="0.25">
      <c r="A1300" s="118">
        <f>+CUBICACION!D1294</f>
        <v>0</v>
      </c>
      <c r="B1300" s="819">
        <f>+CUBICACION!E1294</f>
        <v>0</v>
      </c>
      <c r="C1300" s="675">
        <f>+CUBICACION!F1294</f>
        <v>0</v>
      </c>
      <c r="D1300" s="118"/>
      <c r="E1300" s="118"/>
      <c r="F1300" s="820"/>
      <c r="G1300" s="675">
        <f>+CUBICACION!J1294</f>
        <v>0</v>
      </c>
      <c r="H1300" s="118"/>
      <c r="I1300" s="821">
        <f>+CUBICACION!L1294</f>
        <v>0</v>
      </c>
      <c r="J1300" s="64">
        <f>+CUBICACION!M1294</f>
        <v>0</v>
      </c>
      <c r="K1300" s="822" t="str">
        <f>+CUBICACION!N1294</f>
        <v/>
      </c>
      <c r="L1300" s="118">
        <f>+CUBICACION!O1294</f>
        <v>0</v>
      </c>
      <c r="M1300" s="823">
        <f>+CUBICACION!P1294</f>
        <v>0</v>
      </c>
      <c r="N1300" s="902">
        <f>ROUND(IF(AND(L1300="Blaze Shield II",M1300="Software Idiem",C1300="IN",G1300=4),((('BLAZE SHIELD II'!$D$4*('CALCULO MORTERO'!I1300^2)+'BLAZE SHIELD II'!$D$5*'CALCULO MORTERO'!I1300+'BLAZE SHIELD II'!$D$6)*LN(J1300))+('BLAZE SHIELD II'!$D$7*('CALCULO MORTERO'!I1300^2)+'BLAZE SHIELD II'!$D$8*'CALCULO MORTERO'!I1300+'BLAZE SHIELD II'!$D$9)),0)+IF(AND(L1300="Blaze Shield II",M1300="Software Idiem",C1300="Cj"),((('BLAZE SHIELD II'!$H$4*('CALCULO MORTERO'!I1300^2)+'BLAZE SHIELD II'!$H$5*'CALCULO MORTERO'!I1300+'BLAZE SHIELD II'!$H$6)*LN(J1300))+('BLAZE SHIELD II'!$H$7*('CALCULO MORTERO'!I1300^2)+'BLAZE SHIELD II'!$H$8*'CALCULO MORTERO'!I1300+'BLAZE SHIELD II'!$H$9)),0)+IF(AND(L1300="Blaze Shield II",M1300="Software Idiem",C1300="C"),((('BLAZE SHIELD II'!$L$4*('CALCULO MORTERO'!I1300^2)+'BLAZE SHIELD II'!$L$5*'CALCULO MORTERO'!I1300+'BLAZE SHIELD II'!$L$6)*LN(J1300))+('BLAZE SHIELD II'!$L$7*('CALCULO MORTERO'!I1300^2)+'BLAZE SHIELD II'!$L$8*'CALCULO MORTERO'!I1300+'BLAZE SHIELD II'!$L$9)),0)+IF(AND(L1300="Blaze Shield II",M1300="Software Idiem",C1300="L"),((('BLAZE SHIELD II'!$L$4*('CALCULO MORTERO'!I1300^2)+'BLAZE SHIELD II'!$L$5*'CALCULO MORTERO'!I1300+'BLAZE SHIELD II'!$L$6)*LN(J1300))+('BLAZE SHIELD II'!$L$7*('CALCULO MORTERO'!I1300^2)+'BLAZE SHIELD II'!$L$8*'CALCULO MORTERO'!I1300+'BLAZE SHIELD II'!$L$9)),0)+IF(AND(L1300="Blaze Shield II",M1300="Software Idiem",C1300="IN",G1300=3),((('BLAZE SHIELD II'!$H$14*('CALCULO MORTERO'!I1300^2)+'BLAZE SHIELD II'!$H$15*'CALCULO MORTERO'!I1300+'BLAZE SHIELD II'!$H$16)*LN(J1300))+('BLAZE SHIELD II'!$H$17*('CALCULO MORTERO'!I1300^2)+'BLAZE SHIELD II'!$H$18*'CALCULO MORTERO'!I1300+'BLAZE SHIELD II'!$H$19)),0),0)+ROUND(IF(AND(L1300="Cafco 400",M1300="Software Idiem",C1300="IN",G1300=4),((('CAFCO 400 '!$H$7*(J1300^4)+'CAFCO 400 '!$H$8*(J1300^3)+'CAFCO 400 '!$H$9*(J1300^2)+'CAFCO 400 '!$H$10*J1300+'CAFCO 400 '!$H$11)*U1300^2)+(('CAFCO 400 '!$H$12*(J1300^3)+'CAFCO 400 '!$H$13*(J1300^2)+'CAFCO 400 '!$H$14*J1300+'CAFCO 400 '!$H$15)*U1300)+('CAFCO 400 '!$H$16*(J1300^2)+'CAFCO 400 '!$H$17*J1300+'CAFCO 400 '!$H$18)),0)+IF(AND(L1300="Cafco 400",M1300="Software Idiem",C1300="Cj"),(((('CAFCO 400 '!$D$7*LN(J1300)+'CAFCO 400 '!$D$8)*U1300^2)+(('CAFCO 400 '!$D$9*LN(J1300)+'CAFCO 400 '!$D$10)*U1300)+('CAFCO 400 '!$D$11*LN(J1300)+'CAFCO 400 '!$D$12))),0)+IF(AND(L1300="Cafco 400",M1300="Software Idiem",C1300="C"),((('CAFCO 400 '!$L$7*(J1300^3)+'CAFCO 400 '!$L$8*(J1300^2)+'CAFCO 400 '!$L$9*J1300+'CAFCO 400 '!$L$10)*U1300^2)+(('CAFCO 400 '!$L$11*(J1300^3)+'CAFCO 400 '!$L$12*(J1300^2)+'CAFCO 400 '!$L$13*J1300+'CAFCO 400 '!$L$14)*U1300)+('CAFCO 400 '!$L$15*LN(J1300)+'CAFCO 400 '!$L$16)),0)+IF(AND(L1300="Cafco 400",M1300="Software Idiem",C1300="L"),((('CAFCO 400 '!$L$7*(J1300^3)+'CAFCO 400 '!$L$8*(J1300^2)+'CAFCO 400 '!$L$9*J1300+'CAFCO 400 '!$L$10)*U1300^2)+(('CAFCO 400 '!$L$11*(J1300^3)+'CAFCO 400 '!$L$12*(J1300^2)+'CAFCO 400 '!$L$13*J1300+'CAFCO 400 '!$L$14)*U1300)+('CAFCO 400 '!$L$15*LN(J1300)+'CAFCO 400 '!$L$16)),0)+IF(AND(L1300="Cafco 400",M1300="Software Idiem",C1300="IN",G1300=3),((('CAFCO 400 '!$D$23*(J1300^2)+'CAFCO 400 '!$D$24*(J1300)+'CAFCO 400 '!$D$25)*U1300^2)+(('CAFCO 400 '!$D$26*(J1300^2)+'CAFCO 400 '!$D$27*J1300+'CAFCO 400 '!$D$28)*U1300)+('CAFCO 400 '!$D$29*(J1300^2)+'CAFCO 400 '!$D$30*J1300+'CAFCO 400 '!$D$31)),0),0)+IF(AND(L1300="Cafco 300",J1300&gt;=95,J1300&lt;=240,C1300="Cj",I1300=90),VLOOKUP(T1300,'CAFCO 300 IDIEM TABLAS'!$B$4:$D$23,2,FALSE),0)+IF(AND(L1300="Cafco 300",J1300&gt;=95,J1300&lt;=240,C1300="Cj",I1300=120),VLOOKUP(T1300,'CAFCO 300 IDIEM TABLAS'!$B$4:$D$23,3,FALSE),0)+IF(AND(L1300="Cafco 300",J1300&gt;=95,J1300&lt;=400,G1300=3,C1300="IN",I1300=90),VLOOKUP(T1300,'CAFCO 300 IDIEM TABLAS'!$F$4:$H$35,2,FALSE),0)+IF(AND(L1300="Cafco 300",J1300&gt;=95,J1300&lt;=400,G1300=3,C1300="IN",I1300=120),VLOOKUP(T1300,'CAFCO 300 IDIEM TABLAS'!$F$4:$H$35,3,FALSE),0)+IF(AND(L1300="Cafco 300",J1300&gt;=95,J1300&lt;=450,G1300=4,C1300="IN",I1300=90),VLOOKUP(T1300,'CAFCO 300 IDIEM TABLAS'!$J$4:$L$40,2,FALSE),0)+IF(AND(L1300="Cafco 300",J1300&gt;=95,J1300&lt;=450,G1300=4,C1300="IN",I1300=120),VLOOKUP(T1300,'CAFCO 300 IDIEM TABLAS'!$J$4:$L$40,3,FALSE),0)+IF(AND(M1300="Ensayo Idiem",L1300="Cafco 400",C1300="IN",G1300=4,I1300=90),VLOOKUP(T1300,'CAFCO 400 ENSAYO'!$B$7:$D$43,2,FALSE),0)+IF(AND(M1300="Ensayo Idiem",L1300="Cafco 400",C1300="IN",G1300=4,I1300=120),VLOOKUP(T1300,'CAFCO 400 ENSAYO'!$B$7:$D$43,3,FALSE),0)</f>
        <v>0</v>
      </c>
      <c r="O1300" s="96">
        <f t="shared" si="132"/>
        <v>0</v>
      </c>
      <c r="P1300" s="95" t="str">
        <f t="shared" si="127"/>
        <v>N/A</v>
      </c>
      <c r="Q1300" s="95" t="str">
        <f t="shared" si="128"/>
        <v>N/A</v>
      </c>
      <c r="R1300" s="95" t="str">
        <f t="shared" si="129"/>
        <v>NO CERT.</v>
      </c>
      <c r="S1300" s="95" t="e">
        <f t="shared" si="130"/>
        <v>#N/A</v>
      </c>
      <c r="T1300" s="119" t="e">
        <f>+IF(J1300=LOOKUP(J1300,'CAFCO 300 IDIEM TABLAS'!$J$4:$J$40),'CALCULO MORTERO'!J1300,MROUND('CALCULO MORTERO'!J1300,10))</f>
        <v>#N/A</v>
      </c>
      <c r="U1300" s="118">
        <f t="shared" si="131"/>
        <v>0</v>
      </c>
    </row>
    <row r="1301" spans="1:21" x14ac:dyDescent="0.25">
      <c r="A1301" s="118">
        <f>+CUBICACION!D1295</f>
        <v>0</v>
      </c>
      <c r="B1301" s="819">
        <f>+CUBICACION!E1295</f>
        <v>0</v>
      </c>
      <c r="C1301" s="675">
        <f>+CUBICACION!F1295</f>
        <v>0</v>
      </c>
      <c r="D1301" s="118"/>
      <c r="E1301" s="118"/>
      <c r="F1301" s="820"/>
      <c r="G1301" s="675">
        <f>+CUBICACION!J1295</f>
        <v>0</v>
      </c>
      <c r="H1301" s="118"/>
      <c r="I1301" s="821">
        <f>+CUBICACION!L1295</f>
        <v>0</v>
      </c>
      <c r="J1301" s="64">
        <f>+CUBICACION!M1295</f>
        <v>0</v>
      </c>
      <c r="K1301" s="822" t="str">
        <f>+CUBICACION!N1295</f>
        <v/>
      </c>
      <c r="L1301" s="118">
        <f>+CUBICACION!O1295</f>
        <v>0</v>
      </c>
      <c r="M1301" s="823">
        <f>+CUBICACION!P1295</f>
        <v>0</v>
      </c>
      <c r="N1301" s="902">
        <f>ROUND(IF(AND(L1301="Blaze Shield II",M1301="Software Idiem",C1301="IN",G1301=4),((('BLAZE SHIELD II'!$D$4*('CALCULO MORTERO'!I1301^2)+'BLAZE SHIELD II'!$D$5*'CALCULO MORTERO'!I1301+'BLAZE SHIELD II'!$D$6)*LN(J1301))+('BLAZE SHIELD II'!$D$7*('CALCULO MORTERO'!I1301^2)+'BLAZE SHIELD II'!$D$8*'CALCULO MORTERO'!I1301+'BLAZE SHIELD II'!$D$9)),0)+IF(AND(L1301="Blaze Shield II",M1301="Software Idiem",C1301="Cj"),((('BLAZE SHIELD II'!$H$4*('CALCULO MORTERO'!I1301^2)+'BLAZE SHIELD II'!$H$5*'CALCULO MORTERO'!I1301+'BLAZE SHIELD II'!$H$6)*LN(J1301))+('BLAZE SHIELD II'!$H$7*('CALCULO MORTERO'!I1301^2)+'BLAZE SHIELD II'!$H$8*'CALCULO MORTERO'!I1301+'BLAZE SHIELD II'!$H$9)),0)+IF(AND(L1301="Blaze Shield II",M1301="Software Idiem",C1301="C"),((('BLAZE SHIELD II'!$L$4*('CALCULO MORTERO'!I1301^2)+'BLAZE SHIELD II'!$L$5*'CALCULO MORTERO'!I1301+'BLAZE SHIELD II'!$L$6)*LN(J1301))+('BLAZE SHIELD II'!$L$7*('CALCULO MORTERO'!I1301^2)+'BLAZE SHIELD II'!$L$8*'CALCULO MORTERO'!I1301+'BLAZE SHIELD II'!$L$9)),0)+IF(AND(L1301="Blaze Shield II",M1301="Software Idiem",C1301="L"),((('BLAZE SHIELD II'!$L$4*('CALCULO MORTERO'!I1301^2)+'BLAZE SHIELD II'!$L$5*'CALCULO MORTERO'!I1301+'BLAZE SHIELD II'!$L$6)*LN(J1301))+('BLAZE SHIELD II'!$L$7*('CALCULO MORTERO'!I1301^2)+'BLAZE SHIELD II'!$L$8*'CALCULO MORTERO'!I1301+'BLAZE SHIELD II'!$L$9)),0)+IF(AND(L1301="Blaze Shield II",M1301="Software Idiem",C1301="IN",G1301=3),((('BLAZE SHIELD II'!$H$14*('CALCULO MORTERO'!I1301^2)+'BLAZE SHIELD II'!$H$15*'CALCULO MORTERO'!I1301+'BLAZE SHIELD II'!$H$16)*LN(J1301))+('BLAZE SHIELD II'!$H$17*('CALCULO MORTERO'!I1301^2)+'BLAZE SHIELD II'!$H$18*'CALCULO MORTERO'!I1301+'BLAZE SHIELD II'!$H$19)),0),0)+ROUND(IF(AND(L1301="Cafco 400",M1301="Software Idiem",C1301="IN",G1301=4),((('CAFCO 400 '!$H$7*(J1301^4)+'CAFCO 400 '!$H$8*(J1301^3)+'CAFCO 400 '!$H$9*(J1301^2)+'CAFCO 400 '!$H$10*J1301+'CAFCO 400 '!$H$11)*U1301^2)+(('CAFCO 400 '!$H$12*(J1301^3)+'CAFCO 400 '!$H$13*(J1301^2)+'CAFCO 400 '!$H$14*J1301+'CAFCO 400 '!$H$15)*U1301)+('CAFCO 400 '!$H$16*(J1301^2)+'CAFCO 400 '!$H$17*J1301+'CAFCO 400 '!$H$18)),0)+IF(AND(L1301="Cafco 400",M1301="Software Idiem",C1301="Cj"),(((('CAFCO 400 '!$D$7*LN(J1301)+'CAFCO 400 '!$D$8)*U1301^2)+(('CAFCO 400 '!$D$9*LN(J1301)+'CAFCO 400 '!$D$10)*U1301)+('CAFCO 400 '!$D$11*LN(J1301)+'CAFCO 400 '!$D$12))),0)+IF(AND(L1301="Cafco 400",M1301="Software Idiem",C1301="C"),((('CAFCO 400 '!$L$7*(J1301^3)+'CAFCO 400 '!$L$8*(J1301^2)+'CAFCO 400 '!$L$9*J1301+'CAFCO 400 '!$L$10)*U1301^2)+(('CAFCO 400 '!$L$11*(J1301^3)+'CAFCO 400 '!$L$12*(J1301^2)+'CAFCO 400 '!$L$13*J1301+'CAFCO 400 '!$L$14)*U1301)+('CAFCO 400 '!$L$15*LN(J1301)+'CAFCO 400 '!$L$16)),0)+IF(AND(L1301="Cafco 400",M1301="Software Idiem",C1301="L"),((('CAFCO 400 '!$L$7*(J1301^3)+'CAFCO 400 '!$L$8*(J1301^2)+'CAFCO 400 '!$L$9*J1301+'CAFCO 400 '!$L$10)*U1301^2)+(('CAFCO 400 '!$L$11*(J1301^3)+'CAFCO 400 '!$L$12*(J1301^2)+'CAFCO 400 '!$L$13*J1301+'CAFCO 400 '!$L$14)*U1301)+('CAFCO 400 '!$L$15*LN(J1301)+'CAFCO 400 '!$L$16)),0)+IF(AND(L1301="Cafco 400",M1301="Software Idiem",C1301="IN",G1301=3),((('CAFCO 400 '!$D$23*(J1301^2)+'CAFCO 400 '!$D$24*(J1301)+'CAFCO 400 '!$D$25)*U1301^2)+(('CAFCO 400 '!$D$26*(J1301^2)+'CAFCO 400 '!$D$27*J1301+'CAFCO 400 '!$D$28)*U1301)+('CAFCO 400 '!$D$29*(J1301^2)+'CAFCO 400 '!$D$30*J1301+'CAFCO 400 '!$D$31)),0),0)+IF(AND(L1301="Cafco 300",J1301&gt;=95,J1301&lt;=240,C1301="Cj",I1301=90),VLOOKUP(T1301,'CAFCO 300 IDIEM TABLAS'!$B$4:$D$23,2,FALSE),0)+IF(AND(L1301="Cafco 300",J1301&gt;=95,J1301&lt;=240,C1301="Cj",I1301=120),VLOOKUP(T1301,'CAFCO 300 IDIEM TABLAS'!$B$4:$D$23,3,FALSE),0)+IF(AND(L1301="Cafco 300",J1301&gt;=95,J1301&lt;=400,G1301=3,C1301="IN",I1301=90),VLOOKUP(T1301,'CAFCO 300 IDIEM TABLAS'!$F$4:$H$35,2,FALSE),0)+IF(AND(L1301="Cafco 300",J1301&gt;=95,J1301&lt;=400,G1301=3,C1301="IN",I1301=120),VLOOKUP(T1301,'CAFCO 300 IDIEM TABLAS'!$F$4:$H$35,3,FALSE),0)+IF(AND(L1301="Cafco 300",J1301&gt;=95,J1301&lt;=450,G1301=4,C1301="IN",I1301=90),VLOOKUP(T1301,'CAFCO 300 IDIEM TABLAS'!$J$4:$L$40,2,FALSE),0)+IF(AND(L1301="Cafco 300",J1301&gt;=95,J1301&lt;=450,G1301=4,C1301="IN",I1301=120),VLOOKUP(T1301,'CAFCO 300 IDIEM TABLAS'!$J$4:$L$40,3,FALSE),0)+IF(AND(M1301="Ensayo Idiem",L1301="Cafco 400",C1301="IN",G1301=4,I1301=90),VLOOKUP(T1301,'CAFCO 400 ENSAYO'!$B$7:$D$43,2,FALSE),0)+IF(AND(M1301="Ensayo Idiem",L1301="Cafco 400",C1301="IN",G1301=4,I1301=120),VLOOKUP(T1301,'CAFCO 400 ENSAYO'!$B$7:$D$43,3,FALSE),0)</f>
        <v>0</v>
      </c>
      <c r="O1301" s="96">
        <f t="shared" si="132"/>
        <v>0</v>
      </c>
      <c r="P1301" s="132" t="str">
        <f t="shared" si="127"/>
        <v>N/A</v>
      </c>
      <c r="Q1301" s="132" t="str">
        <f t="shared" si="128"/>
        <v>N/A</v>
      </c>
      <c r="R1301" s="132" t="str">
        <f t="shared" si="129"/>
        <v>NO CERT.</v>
      </c>
      <c r="S1301" s="132" t="e">
        <f t="shared" si="130"/>
        <v>#N/A</v>
      </c>
      <c r="T1301" s="133" t="e">
        <f>+IF(J1301=LOOKUP(J1301,'CAFCO 300 IDIEM TABLAS'!$J$4:$J$40),'CALCULO MORTERO'!J1301,MROUND('CALCULO MORTERO'!J1301,10))</f>
        <v>#N/A</v>
      </c>
      <c r="U1301" s="134">
        <f t="shared" si="131"/>
        <v>0</v>
      </c>
    </row>
    <row r="1302" spans="1:21" x14ac:dyDescent="0.25">
      <c r="A1302" s="118">
        <f>+CUBICACION!D1296</f>
        <v>0</v>
      </c>
      <c r="B1302" s="819">
        <f>+CUBICACION!E1296</f>
        <v>0</v>
      </c>
      <c r="C1302" s="675">
        <f>+CUBICACION!F1296</f>
        <v>0</v>
      </c>
      <c r="D1302" s="118"/>
      <c r="E1302" s="118"/>
      <c r="F1302" s="820"/>
      <c r="G1302" s="675">
        <f>+CUBICACION!J1296</f>
        <v>0</v>
      </c>
      <c r="H1302" s="118"/>
      <c r="I1302" s="821">
        <f>+CUBICACION!L1296</f>
        <v>0</v>
      </c>
      <c r="J1302" s="64">
        <f>+CUBICACION!M1296</f>
        <v>0</v>
      </c>
      <c r="K1302" s="822" t="str">
        <f>+CUBICACION!N1296</f>
        <v/>
      </c>
      <c r="L1302" s="118">
        <f>+CUBICACION!O1296</f>
        <v>0</v>
      </c>
      <c r="M1302" s="823">
        <f>+CUBICACION!P1296</f>
        <v>0</v>
      </c>
      <c r="N1302" s="902">
        <f>ROUND(IF(AND(L1302="Blaze Shield II",M1302="Software Idiem",C1302="IN",G1302=4),((('BLAZE SHIELD II'!$D$4*('CALCULO MORTERO'!I1302^2)+'BLAZE SHIELD II'!$D$5*'CALCULO MORTERO'!I1302+'BLAZE SHIELD II'!$D$6)*LN(J1302))+('BLAZE SHIELD II'!$D$7*('CALCULO MORTERO'!I1302^2)+'BLAZE SHIELD II'!$D$8*'CALCULO MORTERO'!I1302+'BLAZE SHIELD II'!$D$9)),0)+IF(AND(L1302="Blaze Shield II",M1302="Software Idiem",C1302="Cj"),((('BLAZE SHIELD II'!$H$4*('CALCULO MORTERO'!I1302^2)+'BLAZE SHIELD II'!$H$5*'CALCULO MORTERO'!I1302+'BLAZE SHIELD II'!$H$6)*LN(J1302))+('BLAZE SHIELD II'!$H$7*('CALCULO MORTERO'!I1302^2)+'BLAZE SHIELD II'!$H$8*'CALCULO MORTERO'!I1302+'BLAZE SHIELD II'!$H$9)),0)+IF(AND(L1302="Blaze Shield II",M1302="Software Idiem",C1302="C"),((('BLAZE SHIELD II'!$L$4*('CALCULO MORTERO'!I1302^2)+'BLAZE SHIELD II'!$L$5*'CALCULO MORTERO'!I1302+'BLAZE SHIELD II'!$L$6)*LN(J1302))+('BLAZE SHIELD II'!$L$7*('CALCULO MORTERO'!I1302^2)+'BLAZE SHIELD II'!$L$8*'CALCULO MORTERO'!I1302+'BLAZE SHIELD II'!$L$9)),0)+IF(AND(L1302="Blaze Shield II",M1302="Software Idiem",C1302="L"),((('BLAZE SHIELD II'!$L$4*('CALCULO MORTERO'!I1302^2)+'BLAZE SHIELD II'!$L$5*'CALCULO MORTERO'!I1302+'BLAZE SHIELD II'!$L$6)*LN(J1302))+('BLAZE SHIELD II'!$L$7*('CALCULO MORTERO'!I1302^2)+'BLAZE SHIELD II'!$L$8*'CALCULO MORTERO'!I1302+'BLAZE SHIELD II'!$L$9)),0)+IF(AND(L1302="Blaze Shield II",M1302="Software Idiem",C1302="IN",G1302=3),((('BLAZE SHIELD II'!$H$14*('CALCULO MORTERO'!I1302^2)+'BLAZE SHIELD II'!$H$15*'CALCULO MORTERO'!I1302+'BLAZE SHIELD II'!$H$16)*LN(J1302))+('BLAZE SHIELD II'!$H$17*('CALCULO MORTERO'!I1302^2)+'BLAZE SHIELD II'!$H$18*'CALCULO MORTERO'!I1302+'BLAZE SHIELD II'!$H$19)),0),0)+ROUND(IF(AND(L1302="Cafco 400",M1302="Software Idiem",C1302="IN",G1302=4),((('CAFCO 400 '!$H$7*(J1302^4)+'CAFCO 400 '!$H$8*(J1302^3)+'CAFCO 400 '!$H$9*(J1302^2)+'CAFCO 400 '!$H$10*J1302+'CAFCO 400 '!$H$11)*U1302^2)+(('CAFCO 400 '!$H$12*(J1302^3)+'CAFCO 400 '!$H$13*(J1302^2)+'CAFCO 400 '!$H$14*J1302+'CAFCO 400 '!$H$15)*U1302)+('CAFCO 400 '!$H$16*(J1302^2)+'CAFCO 400 '!$H$17*J1302+'CAFCO 400 '!$H$18)),0)+IF(AND(L1302="Cafco 400",M1302="Software Idiem",C1302="Cj"),(((('CAFCO 400 '!$D$7*LN(J1302)+'CAFCO 400 '!$D$8)*U1302^2)+(('CAFCO 400 '!$D$9*LN(J1302)+'CAFCO 400 '!$D$10)*U1302)+('CAFCO 400 '!$D$11*LN(J1302)+'CAFCO 400 '!$D$12))),0)+IF(AND(L1302="Cafco 400",M1302="Software Idiem",C1302="C"),((('CAFCO 400 '!$L$7*(J1302^3)+'CAFCO 400 '!$L$8*(J1302^2)+'CAFCO 400 '!$L$9*J1302+'CAFCO 400 '!$L$10)*U1302^2)+(('CAFCO 400 '!$L$11*(J1302^3)+'CAFCO 400 '!$L$12*(J1302^2)+'CAFCO 400 '!$L$13*J1302+'CAFCO 400 '!$L$14)*U1302)+('CAFCO 400 '!$L$15*LN(J1302)+'CAFCO 400 '!$L$16)),0)+IF(AND(L1302="Cafco 400",M1302="Software Idiem",C1302="L"),((('CAFCO 400 '!$L$7*(J1302^3)+'CAFCO 400 '!$L$8*(J1302^2)+'CAFCO 400 '!$L$9*J1302+'CAFCO 400 '!$L$10)*U1302^2)+(('CAFCO 400 '!$L$11*(J1302^3)+'CAFCO 400 '!$L$12*(J1302^2)+'CAFCO 400 '!$L$13*J1302+'CAFCO 400 '!$L$14)*U1302)+('CAFCO 400 '!$L$15*LN(J1302)+'CAFCO 400 '!$L$16)),0)+IF(AND(L1302="Cafco 400",M1302="Software Idiem",C1302="IN",G1302=3),((('CAFCO 400 '!$D$23*(J1302^2)+'CAFCO 400 '!$D$24*(J1302)+'CAFCO 400 '!$D$25)*U1302^2)+(('CAFCO 400 '!$D$26*(J1302^2)+'CAFCO 400 '!$D$27*J1302+'CAFCO 400 '!$D$28)*U1302)+('CAFCO 400 '!$D$29*(J1302^2)+'CAFCO 400 '!$D$30*J1302+'CAFCO 400 '!$D$31)),0),0)+IF(AND(L1302="Cafco 300",J1302&gt;=95,J1302&lt;=240,C1302="Cj",I1302=90),VLOOKUP(T1302,'CAFCO 300 IDIEM TABLAS'!$B$4:$D$23,2,FALSE),0)+IF(AND(L1302="Cafco 300",J1302&gt;=95,J1302&lt;=240,C1302="Cj",I1302=120),VLOOKUP(T1302,'CAFCO 300 IDIEM TABLAS'!$B$4:$D$23,3,FALSE),0)+IF(AND(L1302="Cafco 300",J1302&gt;=95,J1302&lt;=400,G1302=3,C1302="IN",I1302=90),VLOOKUP(T1302,'CAFCO 300 IDIEM TABLAS'!$F$4:$H$35,2,FALSE),0)+IF(AND(L1302="Cafco 300",J1302&gt;=95,J1302&lt;=400,G1302=3,C1302="IN",I1302=120),VLOOKUP(T1302,'CAFCO 300 IDIEM TABLAS'!$F$4:$H$35,3,FALSE),0)+IF(AND(L1302="Cafco 300",J1302&gt;=95,J1302&lt;=450,G1302=4,C1302="IN",I1302=90),VLOOKUP(T1302,'CAFCO 300 IDIEM TABLAS'!$J$4:$L$40,2,FALSE),0)+IF(AND(L1302="Cafco 300",J1302&gt;=95,J1302&lt;=450,G1302=4,C1302="IN",I1302=120),VLOOKUP(T1302,'CAFCO 300 IDIEM TABLAS'!$J$4:$L$40,3,FALSE),0)+IF(AND(M1302="Ensayo Idiem",L1302="Cafco 400",C1302="IN",G1302=4,I1302=90),VLOOKUP(T1302,'CAFCO 400 ENSAYO'!$B$7:$D$43,2,FALSE),0)+IF(AND(M1302="Ensayo Idiem",L1302="Cafco 400",C1302="IN",G1302=4,I1302=120),VLOOKUP(T1302,'CAFCO 400 ENSAYO'!$B$7:$D$43,3,FALSE),0)</f>
        <v>0</v>
      </c>
      <c r="O1302" s="96">
        <f t="shared" si="132"/>
        <v>0</v>
      </c>
      <c r="P1302" s="95" t="str">
        <f t="shared" si="127"/>
        <v>N/A</v>
      </c>
      <c r="Q1302" s="95" t="str">
        <f t="shared" si="128"/>
        <v>N/A</v>
      </c>
      <c r="R1302" s="95" t="str">
        <f t="shared" si="129"/>
        <v>NO CERT.</v>
      </c>
      <c r="S1302" s="95" t="e">
        <f t="shared" si="130"/>
        <v>#N/A</v>
      </c>
      <c r="T1302" s="119" t="e">
        <f>+IF(J1302=LOOKUP(J1302,'CAFCO 300 IDIEM TABLAS'!$J$4:$J$40),'CALCULO MORTERO'!J1302,MROUND('CALCULO MORTERO'!J1302,10))</f>
        <v>#N/A</v>
      </c>
      <c r="U1302" s="118">
        <f t="shared" si="131"/>
        <v>0</v>
      </c>
    </row>
    <row r="1303" spans="1:21" x14ac:dyDescent="0.25">
      <c r="A1303" s="118">
        <f>+CUBICACION!D1297</f>
        <v>0</v>
      </c>
      <c r="B1303" s="819">
        <f>+CUBICACION!E1297</f>
        <v>0</v>
      </c>
      <c r="C1303" s="675">
        <f>+CUBICACION!F1297</f>
        <v>0</v>
      </c>
      <c r="D1303" s="118"/>
      <c r="E1303" s="118"/>
      <c r="F1303" s="820"/>
      <c r="G1303" s="675">
        <f>+CUBICACION!J1297</f>
        <v>0</v>
      </c>
      <c r="H1303" s="118"/>
      <c r="I1303" s="821">
        <f>+CUBICACION!L1297</f>
        <v>0</v>
      </c>
      <c r="J1303" s="64">
        <f>+CUBICACION!M1297</f>
        <v>0</v>
      </c>
      <c r="K1303" s="822" t="str">
        <f>+CUBICACION!N1297</f>
        <v/>
      </c>
      <c r="L1303" s="118">
        <f>+CUBICACION!O1297</f>
        <v>0</v>
      </c>
      <c r="M1303" s="823">
        <f>+CUBICACION!P1297</f>
        <v>0</v>
      </c>
      <c r="N1303" s="902">
        <f>ROUND(IF(AND(L1303="Blaze Shield II",M1303="Software Idiem",C1303="IN",G1303=4),((('BLAZE SHIELD II'!$D$4*('CALCULO MORTERO'!I1303^2)+'BLAZE SHIELD II'!$D$5*'CALCULO MORTERO'!I1303+'BLAZE SHIELD II'!$D$6)*LN(J1303))+('BLAZE SHIELD II'!$D$7*('CALCULO MORTERO'!I1303^2)+'BLAZE SHIELD II'!$D$8*'CALCULO MORTERO'!I1303+'BLAZE SHIELD II'!$D$9)),0)+IF(AND(L1303="Blaze Shield II",M1303="Software Idiem",C1303="Cj"),((('BLAZE SHIELD II'!$H$4*('CALCULO MORTERO'!I1303^2)+'BLAZE SHIELD II'!$H$5*'CALCULO MORTERO'!I1303+'BLAZE SHIELD II'!$H$6)*LN(J1303))+('BLAZE SHIELD II'!$H$7*('CALCULO MORTERO'!I1303^2)+'BLAZE SHIELD II'!$H$8*'CALCULO MORTERO'!I1303+'BLAZE SHIELD II'!$H$9)),0)+IF(AND(L1303="Blaze Shield II",M1303="Software Idiem",C1303="C"),((('BLAZE SHIELD II'!$L$4*('CALCULO MORTERO'!I1303^2)+'BLAZE SHIELD II'!$L$5*'CALCULO MORTERO'!I1303+'BLAZE SHIELD II'!$L$6)*LN(J1303))+('BLAZE SHIELD II'!$L$7*('CALCULO MORTERO'!I1303^2)+'BLAZE SHIELD II'!$L$8*'CALCULO MORTERO'!I1303+'BLAZE SHIELD II'!$L$9)),0)+IF(AND(L1303="Blaze Shield II",M1303="Software Idiem",C1303="L"),((('BLAZE SHIELD II'!$L$4*('CALCULO MORTERO'!I1303^2)+'BLAZE SHIELD II'!$L$5*'CALCULO MORTERO'!I1303+'BLAZE SHIELD II'!$L$6)*LN(J1303))+('BLAZE SHIELD II'!$L$7*('CALCULO MORTERO'!I1303^2)+'BLAZE SHIELD II'!$L$8*'CALCULO MORTERO'!I1303+'BLAZE SHIELD II'!$L$9)),0)+IF(AND(L1303="Blaze Shield II",M1303="Software Idiem",C1303="IN",G1303=3),((('BLAZE SHIELD II'!$H$14*('CALCULO MORTERO'!I1303^2)+'BLAZE SHIELD II'!$H$15*'CALCULO MORTERO'!I1303+'BLAZE SHIELD II'!$H$16)*LN(J1303))+('BLAZE SHIELD II'!$H$17*('CALCULO MORTERO'!I1303^2)+'BLAZE SHIELD II'!$H$18*'CALCULO MORTERO'!I1303+'BLAZE SHIELD II'!$H$19)),0),0)+ROUND(IF(AND(L1303="Cafco 400",M1303="Software Idiem",C1303="IN",G1303=4),((('CAFCO 400 '!$H$7*(J1303^4)+'CAFCO 400 '!$H$8*(J1303^3)+'CAFCO 400 '!$H$9*(J1303^2)+'CAFCO 400 '!$H$10*J1303+'CAFCO 400 '!$H$11)*U1303^2)+(('CAFCO 400 '!$H$12*(J1303^3)+'CAFCO 400 '!$H$13*(J1303^2)+'CAFCO 400 '!$H$14*J1303+'CAFCO 400 '!$H$15)*U1303)+('CAFCO 400 '!$H$16*(J1303^2)+'CAFCO 400 '!$H$17*J1303+'CAFCO 400 '!$H$18)),0)+IF(AND(L1303="Cafco 400",M1303="Software Idiem",C1303="Cj"),(((('CAFCO 400 '!$D$7*LN(J1303)+'CAFCO 400 '!$D$8)*U1303^2)+(('CAFCO 400 '!$D$9*LN(J1303)+'CAFCO 400 '!$D$10)*U1303)+('CAFCO 400 '!$D$11*LN(J1303)+'CAFCO 400 '!$D$12))),0)+IF(AND(L1303="Cafco 400",M1303="Software Idiem",C1303="C"),((('CAFCO 400 '!$L$7*(J1303^3)+'CAFCO 400 '!$L$8*(J1303^2)+'CAFCO 400 '!$L$9*J1303+'CAFCO 400 '!$L$10)*U1303^2)+(('CAFCO 400 '!$L$11*(J1303^3)+'CAFCO 400 '!$L$12*(J1303^2)+'CAFCO 400 '!$L$13*J1303+'CAFCO 400 '!$L$14)*U1303)+('CAFCO 400 '!$L$15*LN(J1303)+'CAFCO 400 '!$L$16)),0)+IF(AND(L1303="Cafco 400",M1303="Software Idiem",C1303="L"),((('CAFCO 400 '!$L$7*(J1303^3)+'CAFCO 400 '!$L$8*(J1303^2)+'CAFCO 400 '!$L$9*J1303+'CAFCO 400 '!$L$10)*U1303^2)+(('CAFCO 400 '!$L$11*(J1303^3)+'CAFCO 400 '!$L$12*(J1303^2)+'CAFCO 400 '!$L$13*J1303+'CAFCO 400 '!$L$14)*U1303)+('CAFCO 400 '!$L$15*LN(J1303)+'CAFCO 400 '!$L$16)),0)+IF(AND(L1303="Cafco 400",M1303="Software Idiem",C1303="IN",G1303=3),((('CAFCO 400 '!$D$23*(J1303^2)+'CAFCO 400 '!$D$24*(J1303)+'CAFCO 400 '!$D$25)*U1303^2)+(('CAFCO 400 '!$D$26*(J1303^2)+'CAFCO 400 '!$D$27*J1303+'CAFCO 400 '!$D$28)*U1303)+('CAFCO 400 '!$D$29*(J1303^2)+'CAFCO 400 '!$D$30*J1303+'CAFCO 400 '!$D$31)),0),0)+IF(AND(L1303="Cafco 300",J1303&gt;=95,J1303&lt;=240,C1303="Cj",I1303=90),VLOOKUP(T1303,'CAFCO 300 IDIEM TABLAS'!$B$4:$D$23,2,FALSE),0)+IF(AND(L1303="Cafco 300",J1303&gt;=95,J1303&lt;=240,C1303="Cj",I1303=120),VLOOKUP(T1303,'CAFCO 300 IDIEM TABLAS'!$B$4:$D$23,3,FALSE),0)+IF(AND(L1303="Cafco 300",J1303&gt;=95,J1303&lt;=400,G1303=3,C1303="IN",I1303=90),VLOOKUP(T1303,'CAFCO 300 IDIEM TABLAS'!$F$4:$H$35,2,FALSE),0)+IF(AND(L1303="Cafco 300",J1303&gt;=95,J1303&lt;=400,G1303=3,C1303="IN",I1303=120),VLOOKUP(T1303,'CAFCO 300 IDIEM TABLAS'!$F$4:$H$35,3,FALSE),0)+IF(AND(L1303="Cafco 300",J1303&gt;=95,J1303&lt;=450,G1303=4,C1303="IN",I1303=90),VLOOKUP(T1303,'CAFCO 300 IDIEM TABLAS'!$J$4:$L$40,2,FALSE),0)+IF(AND(L1303="Cafco 300",J1303&gt;=95,J1303&lt;=450,G1303=4,C1303="IN",I1303=120),VLOOKUP(T1303,'CAFCO 300 IDIEM TABLAS'!$J$4:$L$40,3,FALSE),0)+IF(AND(M1303="Ensayo Idiem",L1303="Cafco 400",C1303="IN",G1303=4,I1303=90),VLOOKUP(T1303,'CAFCO 400 ENSAYO'!$B$7:$D$43,2,FALSE),0)+IF(AND(M1303="Ensayo Idiem",L1303="Cafco 400",C1303="IN",G1303=4,I1303=120),VLOOKUP(T1303,'CAFCO 400 ENSAYO'!$B$7:$D$43,3,FALSE),0)</f>
        <v>0</v>
      </c>
      <c r="O1303" s="96">
        <f t="shared" si="132"/>
        <v>0</v>
      </c>
      <c r="P1303" s="132" t="str">
        <f t="shared" si="127"/>
        <v>N/A</v>
      </c>
      <c r="Q1303" s="132" t="str">
        <f t="shared" si="128"/>
        <v>N/A</v>
      </c>
      <c r="R1303" s="132" t="str">
        <f t="shared" si="129"/>
        <v>NO CERT.</v>
      </c>
      <c r="S1303" s="132" t="e">
        <f t="shared" si="130"/>
        <v>#N/A</v>
      </c>
      <c r="T1303" s="133" t="e">
        <f>+IF(J1303=LOOKUP(J1303,'CAFCO 300 IDIEM TABLAS'!$J$4:$J$40),'CALCULO MORTERO'!J1303,MROUND('CALCULO MORTERO'!J1303,10))</f>
        <v>#N/A</v>
      </c>
      <c r="U1303" s="134">
        <f t="shared" si="131"/>
        <v>0</v>
      </c>
    </row>
    <row r="1304" spans="1:21" x14ac:dyDescent="0.25">
      <c r="A1304" s="118">
        <f>+CUBICACION!D1298</f>
        <v>0</v>
      </c>
      <c r="B1304" s="819">
        <f>+CUBICACION!E1298</f>
        <v>0</v>
      </c>
      <c r="C1304" s="675">
        <f>+CUBICACION!F1298</f>
        <v>0</v>
      </c>
      <c r="D1304" s="118"/>
      <c r="E1304" s="118"/>
      <c r="F1304" s="820"/>
      <c r="G1304" s="675">
        <f>+CUBICACION!J1298</f>
        <v>0</v>
      </c>
      <c r="H1304" s="118"/>
      <c r="I1304" s="821">
        <f>+CUBICACION!L1298</f>
        <v>0</v>
      </c>
      <c r="J1304" s="64">
        <f>+CUBICACION!M1298</f>
        <v>0</v>
      </c>
      <c r="K1304" s="822" t="str">
        <f>+CUBICACION!N1298</f>
        <v/>
      </c>
      <c r="L1304" s="118">
        <f>+CUBICACION!O1298</f>
        <v>0</v>
      </c>
      <c r="M1304" s="823">
        <f>+CUBICACION!P1298</f>
        <v>0</v>
      </c>
      <c r="N1304" s="902">
        <f>ROUND(IF(AND(L1304="Blaze Shield II",M1304="Software Idiem",C1304="IN",G1304=4),((('BLAZE SHIELD II'!$D$4*('CALCULO MORTERO'!I1304^2)+'BLAZE SHIELD II'!$D$5*'CALCULO MORTERO'!I1304+'BLAZE SHIELD II'!$D$6)*LN(J1304))+('BLAZE SHIELD II'!$D$7*('CALCULO MORTERO'!I1304^2)+'BLAZE SHIELD II'!$D$8*'CALCULO MORTERO'!I1304+'BLAZE SHIELD II'!$D$9)),0)+IF(AND(L1304="Blaze Shield II",M1304="Software Idiem",C1304="Cj"),((('BLAZE SHIELD II'!$H$4*('CALCULO MORTERO'!I1304^2)+'BLAZE SHIELD II'!$H$5*'CALCULO MORTERO'!I1304+'BLAZE SHIELD II'!$H$6)*LN(J1304))+('BLAZE SHIELD II'!$H$7*('CALCULO MORTERO'!I1304^2)+'BLAZE SHIELD II'!$H$8*'CALCULO MORTERO'!I1304+'BLAZE SHIELD II'!$H$9)),0)+IF(AND(L1304="Blaze Shield II",M1304="Software Idiem",C1304="C"),((('BLAZE SHIELD II'!$L$4*('CALCULO MORTERO'!I1304^2)+'BLAZE SHIELD II'!$L$5*'CALCULO MORTERO'!I1304+'BLAZE SHIELD II'!$L$6)*LN(J1304))+('BLAZE SHIELD II'!$L$7*('CALCULO MORTERO'!I1304^2)+'BLAZE SHIELD II'!$L$8*'CALCULO MORTERO'!I1304+'BLAZE SHIELD II'!$L$9)),0)+IF(AND(L1304="Blaze Shield II",M1304="Software Idiem",C1304="L"),((('BLAZE SHIELD II'!$L$4*('CALCULO MORTERO'!I1304^2)+'BLAZE SHIELD II'!$L$5*'CALCULO MORTERO'!I1304+'BLAZE SHIELD II'!$L$6)*LN(J1304))+('BLAZE SHIELD II'!$L$7*('CALCULO MORTERO'!I1304^2)+'BLAZE SHIELD II'!$L$8*'CALCULO MORTERO'!I1304+'BLAZE SHIELD II'!$L$9)),0)+IF(AND(L1304="Blaze Shield II",M1304="Software Idiem",C1304="IN",G1304=3),((('BLAZE SHIELD II'!$H$14*('CALCULO MORTERO'!I1304^2)+'BLAZE SHIELD II'!$H$15*'CALCULO MORTERO'!I1304+'BLAZE SHIELD II'!$H$16)*LN(J1304))+('BLAZE SHIELD II'!$H$17*('CALCULO MORTERO'!I1304^2)+'BLAZE SHIELD II'!$H$18*'CALCULO MORTERO'!I1304+'BLAZE SHIELD II'!$H$19)),0),0)+ROUND(IF(AND(L1304="Cafco 400",M1304="Software Idiem",C1304="IN",G1304=4),((('CAFCO 400 '!$H$7*(J1304^4)+'CAFCO 400 '!$H$8*(J1304^3)+'CAFCO 400 '!$H$9*(J1304^2)+'CAFCO 400 '!$H$10*J1304+'CAFCO 400 '!$H$11)*U1304^2)+(('CAFCO 400 '!$H$12*(J1304^3)+'CAFCO 400 '!$H$13*(J1304^2)+'CAFCO 400 '!$H$14*J1304+'CAFCO 400 '!$H$15)*U1304)+('CAFCO 400 '!$H$16*(J1304^2)+'CAFCO 400 '!$H$17*J1304+'CAFCO 400 '!$H$18)),0)+IF(AND(L1304="Cafco 400",M1304="Software Idiem",C1304="Cj"),(((('CAFCO 400 '!$D$7*LN(J1304)+'CAFCO 400 '!$D$8)*U1304^2)+(('CAFCO 400 '!$D$9*LN(J1304)+'CAFCO 400 '!$D$10)*U1304)+('CAFCO 400 '!$D$11*LN(J1304)+'CAFCO 400 '!$D$12))),0)+IF(AND(L1304="Cafco 400",M1304="Software Idiem",C1304="C"),((('CAFCO 400 '!$L$7*(J1304^3)+'CAFCO 400 '!$L$8*(J1304^2)+'CAFCO 400 '!$L$9*J1304+'CAFCO 400 '!$L$10)*U1304^2)+(('CAFCO 400 '!$L$11*(J1304^3)+'CAFCO 400 '!$L$12*(J1304^2)+'CAFCO 400 '!$L$13*J1304+'CAFCO 400 '!$L$14)*U1304)+('CAFCO 400 '!$L$15*LN(J1304)+'CAFCO 400 '!$L$16)),0)+IF(AND(L1304="Cafco 400",M1304="Software Idiem",C1304="L"),((('CAFCO 400 '!$L$7*(J1304^3)+'CAFCO 400 '!$L$8*(J1304^2)+'CAFCO 400 '!$L$9*J1304+'CAFCO 400 '!$L$10)*U1304^2)+(('CAFCO 400 '!$L$11*(J1304^3)+'CAFCO 400 '!$L$12*(J1304^2)+'CAFCO 400 '!$L$13*J1304+'CAFCO 400 '!$L$14)*U1304)+('CAFCO 400 '!$L$15*LN(J1304)+'CAFCO 400 '!$L$16)),0)+IF(AND(L1304="Cafco 400",M1304="Software Idiem",C1304="IN",G1304=3),((('CAFCO 400 '!$D$23*(J1304^2)+'CAFCO 400 '!$D$24*(J1304)+'CAFCO 400 '!$D$25)*U1304^2)+(('CAFCO 400 '!$D$26*(J1304^2)+'CAFCO 400 '!$D$27*J1304+'CAFCO 400 '!$D$28)*U1304)+('CAFCO 400 '!$D$29*(J1304^2)+'CAFCO 400 '!$D$30*J1304+'CAFCO 400 '!$D$31)),0),0)+IF(AND(L1304="Cafco 300",J1304&gt;=95,J1304&lt;=240,C1304="Cj",I1304=90),VLOOKUP(T1304,'CAFCO 300 IDIEM TABLAS'!$B$4:$D$23,2,FALSE),0)+IF(AND(L1304="Cafco 300",J1304&gt;=95,J1304&lt;=240,C1304="Cj",I1304=120),VLOOKUP(T1304,'CAFCO 300 IDIEM TABLAS'!$B$4:$D$23,3,FALSE),0)+IF(AND(L1304="Cafco 300",J1304&gt;=95,J1304&lt;=400,G1304=3,C1304="IN",I1304=90),VLOOKUP(T1304,'CAFCO 300 IDIEM TABLAS'!$F$4:$H$35,2,FALSE),0)+IF(AND(L1304="Cafco 300",J1304&gt;=95,J1304&lt;=400,G1304=3,C1304="IN",I1304=120),VLOOKUP(T1304,'CAFCO 300 IDIEM TABLAS'!$F$4:$H$35,3,FALSE),0)+IF(AND(L1304="Cafco 300",J1304&gt;=95,J1304&lt;=450,G1304=4,C1304="IN",I1304=90),VLOOKUP(T1304,'CAFCO 300 IDIEM TABLAS'!$J$4:$L$40,2,FALSE),0)+IF(AND(L1304="Cafco 300",J1304&gt;=95,J1304&lt;=450,G1304=4,C1304="IN",I1304=120),VLOOKUP(T1304,'CAFCO 300 IDIEM TABLAS'!$J$4:$L$40,3,FALSE),0)+IF(AND(M1304="Ensayo Idiem",L1304="Cafco 400",C1304="IN",G1304=4,I1304=90),VLOOKUP(T1304,'CAFCO 400 ENSAYO'!$B$7:$D$43,2,FALSE),0)+IF(AND(M1304="Ensayo Idiem",L1304="Cafco 400",C1304="IN",G1304=4,I1304=120),VLOOKUP(T1304,'CAFCO 400 ENSAYO'!$B$7:$D$43,3,FALSE),0)</f>
        <v>0</v>
      </c>
      <c r="O1304" s="96">
        <f t="shared" si="132"/>
        <v>0</v>
      </c>
      <c r="P1304" s="95" t="str">
        <f t="shared" si="127"/>
        <v>N/A</v>
      </c>
      <c r="Q1304" s="95" t="str">
        <f t="shared" si="128"/>
        <v>N/A</v>
      </c>
      <c r="R1304" s="95" t="str">
        <f t="shared" si="129"/>
        <v>NO CERT.</v>
      </c>
      <c r="S1304" s="95" t="e">
        <f t="shared" si="130"/>
        <v>#N/A</v>
      </c>
      <c r="T1304" s="119" t="e">
        <f>+IF(J1304=LOOKUP(J1304,'CAFCO 300 IDIEM TABLAS'!$J$4:$J$40),'CALCULO MORTERO'!J1304,MROUND('CALCULO MORTERO'!J1304,10))</f>
        <v>#N/A</v>
      </c>
      <c r="U1304" s="118">
        <f t="shared" si="131"/>
        <v>0</v>
      </c>
    </row>
    <row r="1305" spans="1:21" x14ac:dyDescent="0.25">
      <c r="A1305" s="118">
        <f>+CUBICACION!D1299</f>
        <v>0</v>
      </c>
      <c r="B1305" s="819">
        <f>+CUBICACION!E1299</f>
        <v>0</v>
      </c>
      <c r="C1305" s="675">
        <f>+CUBICACION!F1299</f>
        <v>0</v>
      </c>
      <c r="D1305" s="118"/>
      <c r="E1305" s="118"/>
      <c r="F1305" s="820"/>
      <c r="G1305" s="675">
        <f>+CUBICACION!J1299</f>
        <v>0</v>
      </c>
      <c r="H1305" s="118"/>
      <c r="I1305" s="821">
        <f>+CUBICACION!L1299</f>
        <v>0</v>
      </c>
      <c r="J1305" s="64">
        <f>+CUBICACION!M1299</f>
        <v>0</v>
      </c>
      <c r="K1305" s="822" t="str">
        <f>+CUBICACION!N1299</f>
        <v/>
      </c>
      <c r="L1305" s="118">
        <f>+CUBICACION!O1299</f>
        <v>0</v>
      </c>
      <c r="M1305" s="823">
        <f>+CUBICACION!P1299</f>
        <v>0</v>
      </c>
      <c r="N1305" s="902">
        <f>ROUND(IF(AND(L1305="Blaze Shield II",M1305="Software Idiem",C1305="IN",G1305=4),((('BLAZE SHIELD II'!$D$4*('CALCULO MORTERO'!I1305^2)+'BLAZE SHIELD II'!$D$5*'CALCULO MORTERO'!I1305+'BLAZE SHIELD II'!$D$6)*LN(J1305))+('BLAZE SHIELD II'!$D$7*('CALCULO MORTERO'!I1305^2)+'BLAZE SHIELD II'!$D$8*'CALCULO MORTERO'!I1305+'BLAZE SHIELD II'!$D$9)),0)+IF(AND(L1305="Blaze Shield II",M1305="Software Idiem",C1305="Cj"),((('BLAZE SHIELD II'!$H$4*('CALCULO MORTERO'!I1305^2)+'BLAZE SHIELD II'!$H$5*'CALCULO MORTERO'!I1305+'BLAZE SHIELD II'!$H$6)*LN(J1305))+('BLAZE SHIELD II'!$H$7*('CALCULO MORTERO'!I1305^2)+'BLAZE SHIELD II'!$H$8*'CALCULO MORTERO'!I1305+'BLAZE SHIELD II'!$H$9)),0)+IF(AND(L1305="Blaze Shield II",M1305="Software Idiem",C1305="C"),((('BLAZE SHIELD II'!$L$4*('CALCULO MORTERO'!I1305^2)+'BLAZE SHIELD II'!$L$5*'CALCULO MORTERO'!I1305+'BLAZE SHIELD II'!$L$6)*LN(J1305))+('BLAZE SHIELD II'!$L$7*('CALCULO MORTERO'!I1305^2)+'BLAZE SHIELD II'!$L$8*'CALCULO MORTERO'!I1305+'BLAZE SHIELD II'!$L$9)),0)+IF(AND(L1305="Blaze Shield II",M1305="Software Idiem",C1305="L"),((('BLAZE SHIELD II'!$L$4*('CALCULO MORTERO'!I1305^2)+'BLAZE SHIELD II'!$L$5*'CALCULO MORTERO'!I1305+'BLAZE SHIELD II'!$L$6)*LN(J1305))+('BLAZE SHIELD II'!$L$7*('CALCULO MORTERO'!I1305^2)+'BLAZE SHIELD II'!$L$8*'CALCULO MORTERO'!I1305+'BLAZE SHIELD II'!$L$9)),0)+IF(AND(L1305="Blaze Shield II",M1305="Software Idiem",C1305="IN",G1305=3),((('BLAZE SHIELD II'!$H$14*('CALCULO MORTERO'!I1305^2)+'BLAZE SHIELD II'!$H$15*'CALCULO MORTERO'!I1305+'BLAZE SHIELD II'!$H$16)*LN(J1305))+('BLAZE SHIELD II'!$H$17*('CALCULO MORTERO'!I1305^2)+'BLAZE SHIELD II'!$H$18*'CALCULO MORTERO'!I1305+'BLAZE SHIELD II'!$H$19)),0),0)+ROUND(IF(AND(L1305="Cafco 400",M1305="Software Idiem",C1305="IN",G1305=4),((('CAFCO 400 '!$H$7*(J1305^4)+'CAFCO 400 '!$H$8*(J1305^3)+'CAFCO 400 '!$H$9*(J1305^2)+'CAFCO 400 '!$H$10*J1305+'CAFCO 400 '!$H$11)*U1305^2)+(('CAFCO 400 '!$H$12*(J1305^3)+'CAFCO 400 '!$H$13*(J1305^2)+'CAFCO 400 '!$H$14*J1305+'CAFCO 400 '!$H$15)*U1305)+('CAFCO 400 '!$H$16*(J1305^2)+'CAFCO 400 '!$H$17*J1305+'CAFCO 400 '!$H$18)),0)+IF(AND(L1305="Cafco 400",M1305="Software Idiem",C1305="Cj"),(((('CAFCO 400 '!$D$7*LN(J1305)+'CAFCO 400 '!$D$8)*U1305^2)+(('CAFCO 400 '!$D$9*LN(J1305)+'CAFCO 400 '!$D$10)*U1305)+('CAFCO 400 '!$D$11*LN(J1305)+'CAFCO 400 '!$D$12))),0)+IF(AND(L1305="Cafco 400",M1305="Software Idiem",C1305="C"),((('CAFCO 400 '!$L$7*(J1305^3)+'CAFCO 400 '!$L$8*(J1305^2)+'CAFCO 400 '!$L$9*J1305+'CAFCO 400 '!$L$10)*U1305^2)+(('CAFCO 400 '!$L$11*(J1305^3)+'CAFCO 400 '!$L$12*(J1305^2)+'CAFCO 400 '!$L$13*J1305+'CAFCO 400 '!$L$14)*U1305)+('CAFCO 400 '!$L$15*LN(J1305)+'CAFCO 400 '!$L$16)),0)+IF(AND(L1305="Cafco 400",M1305="Software Idiem",C1305="L"),((('CAFCO 400 '!$L$7*(J1305^3)+'CAFCO 400 '!$L$8*(J1305^2)+'CAFCO 400 '!$L$9*J1305+'CAFCO 400 '!$L$10)*U1305^2)+(('CAFCO 400 '!$L$11*(J1305^3)+'CAFCO 400 '!$L$12*(J1305^2)+'CAFCO 400 '!$L$13*J1305+'CAFCO 400 '!$L$14)*U1305)+('CAFCO 400 '!$L$15*LN(J1305)+'CAFCO 400 '!$L$16)),0)+IF(AND(L1305="Cafco 400",M1305="Software Idiem",C1305="IN",G1305=3),((('CAFCO 400 '!$D$23*(J1305^2)+'CAFCO 400 '!$D$24*(J1305)+'CAFCO 400 '!$D$25)*U1305^2)+(('CAFCO 400 '!$D$26*(J1305^2)+'CAFCO 400 '!$D$27*J1305+'CAFCO 400 '!$D$28)*U1305)+('CAFCO 400 '!$D$29*(J1305^2)+'CAFCO 400 '!$D$30*J1305+'CAFCO 400 '!$D$31)),0),0)+IF(AND(L1305="Cafco 300",J1305&gt;=95,J1305&lt;=240,C1305="Cj",I1305=90),VLOOKUP(T1305,'CAFCO 300 IDIEM TABLAS'!$B$4:$D$23,2,FALSE),0)+IF(AND(L1305="Cafco 300",J1305&gt;=95,J1305&lt;=240,C1305="Cj",I1305=120),VLOOKUP(T1305,'CAFCO 300 IDIEM TABLAS'!$B$4:$D$23,3,FALSE),0)+IF(AND(L1305="Cafco 300",J1305&gt;=95,J1305&lt;=400,G1305=3,C1305="IN",I1305=90),VLOOKUP(T1305,'CAFCO 300 IDIEM TABLAS'!$F$4:$H$35,2,FALSE),0)+IF(AND(L1305="Cafco 300",J1305&gt;=95,J1305&lt;=400,G1305=3,C1305="IN",I1305=120),VLOOKUP(T1305,'CAFCO 300 IDIEM TABLAS'!$F$4:$H$35,3,FALSE),0)+IF(AND(L1305="Cafco 300",J1305&gt;=95,J1305&lt;=450,G1305=4,C1305="IN",I1305=90),VLOOKUP(T1305,'CAFCO 300 IDIEM TABLAS'!$J$4:$L$40,2,FALSE),0)+IF(AND(L1305="Cafco 300",J1305&gt;=95,J1305&lt;=450,G1305=4,C1305="IN",I1305=120),VLOOKUP(T1305,'CAFCO 300 IDIEM TABLAS'!$J$4:$L$40,3,FALSE),0)+IF(AND(M1305="Ensayo Idiem",L1305="Cafco 400",C1305="IN",G1305=4,I1305=90),VLOOKUP(T1305,'CAFCO 400 ENSAYO'!$B$7:$D$43,2,FALSE),0)+IF(AND(M1305="Ensayo Idiem",L1305="Cafco 400",C1305="IN",G1305=4,I1305=120),VLOOKUP(T1305,'CAFCO 400 ENSAYO'!$B$7:$D$43,3,FALSE),0)</f>
        <v>0</v>
      </c>
      <c r="O1305" s="96">
        <f t="shared" si="132"/>
        <v>0</v>
      </c>
      <c r="P1305" s="132" t="str">
        <f t="shared" si="127"/>
        <v>N/A</v>
      </c>
      <c r="Q1305" s="132" t="str">
        <f t="shared" si="128"/>
        <v>N/A</v>
      </c>
      <c r="R1305" s="132" t="str">
        <f t="shared" si="129"/>
        <v>NO CERT.</v>
      </c>
      <c r="S1305" s="132" t="e">
        <f t="shared" si="130"/>
        <v>#N/A</v>
      </c>
      <c r="T1305" s="133" t="e">
        <f>+IF(J1305=LOOKUP(J1305,'CAFCO 300 IDIEM TABLAS'!$J$4:$J$40),'CALCULO MORTERO'!J1305,MROUND('CALCULO MORTERO'!J1305,10))</f>
        <v>#N/A</v>
      </c>
      <c r="U1305" s="134">
        <f t="shared" si="131"/>
        <v>0</v>
      </c>
    </row>
    <row r="1306" spans="1:21" x14ac:dyDescent="0.25">
      <c r="A1306" s="118">
        <f>+CUBICACION!D1300</f>
        <v>0</v>
      </c>
      <c r="B1306" s="819">
        <f>+CUBICACION!E1300</f>
        <v>0</v>
      </c>
      <c r="C1306" s="675">
        <f>+CUBICACION!F1300</f>
        <v>0</v>
      </c>
      <c r="D1306" s="118"/>
      <c r="E1306" s="118"/>
      <c r="F1306" s="820"/>
      <c r="G1306" s="675">
        <f>+CUBICACION!J1300</f>
        <v>0</v>
      </c>
      <c r="H1306" s="118"/>
      <c r="I1306" s="821">
        <f>+CUBICACION!L1300</f>
        <v>0</v>
      </c>
      <c r="J1306" s="64">
        <f>+CUBICACION!M1300</f>
        <v>0</v>
      </c>
      <c r="K1306" s="822" t="str">
        <f>+CUBICACION!N1300</f>
        <v/>
      </c>
      <c r="L1306" s="118">
        <f>+CUBICACION!O1300</f>
        <v>0</v>
      </c>
      <c r="M1306" s="823">
        <f>+CUBICACION!P1300</f>
        <v>0</v>
      </c>
      <c r="N1306" s="902">
        <f>ROUND(IF(AND(L1306="Blaze Shield II",M1306="Software Idiem",C1306="IN",G1306=4),((('BLAZE SHIELD II'!$D$4*('CALCULO MORTERO'!I1306^2)+'BLAZE SHIELD II'!$D$5*'CALCULO MORTERO'!I1306+'BLAZE SHIELD II'!$D$6)*LN(J1306))+('BLAZE SHIELD II'!$D$7*('CALCULO MORTERO'!I1306^2)+'BLAZE SHIELD II'!$D$8*'CALCULO MORTERO'!I1306+'BLAZE SHIELD II'!$D$9)),0)+IF(AND(L1306="Blaze Shield II",M1306="Software Idiem",C1306="Cj"),((('BLAZE SHIELD II'!$H$4*('CALCULO MORTERO'!I1306^2)+'BLAZE SHIELD II'!$H$5*'CALCULO MORTERO'!I1306+'BLAZE SHIELD II'!$H$6)*LN(J1306))+('BLAZE SHIELD II'!$H$7*('CALCULO MORTERO'!I1306^2)+'BLAZE SHIELD II'!$H$8*'CALCULO MORTERO'!I1306+'BLAZE SHIELD II'!$H$9)),0)+IF(AND(L1306="Blaze Shield II",M1306="Software Idiem",C1306="C"),((('BLAZE SHIELD II'!$L$4*('CALCULO MORTERO'!I1306^2)+'BLAZE SHIELD II'!$L$5*'CALCULO MORTERO'!I1306+'BLAZE SHIELD II'!$L$6)*LN(J1306))+('BLAZE SHIELD II'!$L$7*('CALCULO MORTERO'!I1306^2)+'BLAZE SHIELD II'!$L$8*'CALCULO MORTERO'!I1306+'BLAZE SHIELD II'!$L$9)),0)+IF(AND(L1306="Blaze Shield II",M1306="Software Idiem",C1306="L"),((('BLAZE SHIELD II'!$L$4*('CALCULO MORTERO'!I1306^2)+'BLAZE SHIELD II'!$L$5*'CALCULO MORTERO'!I1306+'BLAZE SHIELD II'!$L$6)*LN(J1306))+('BLAZE SHIELD II'!$L$7*('CALCULO MORTERO'!I1306^2)+'BLAZE SHIELD II'!$L$8*'CALCULO MORTERO'!I1306+'BLAZE SHIELD II'!$L$9)),0)+IF(AND(L1306="Blaze Shield II",M1306="Software Idiem",C1306="IN",G1306=3),((('BLAZE SHIELD II'!$H$14*('CALCULO MORTERO'!I1306^2)+'BLAZE SHIELD II'!$H$15*'CALCULO MORTERO'!I1306+'BLAZE SHIELD II'!$H$16)*LN(J1306))+('BLAZE SHIELD II'!$H$17*('CALCULO MORTERO'!I1306^2)+'BLAZE SHIELD II'!$H$18*'CALCULO MORTERO'!I1306+'BLAZE SHIELD II'!$H$19)),0),0)+ROUND(IF(AND(L1306="Cafco 400",M1306="Software Idiem",C1306="IN",G1306=4),((('CAFCO 400 '!$H$7*(J1306^4)+'CAFCO 400 '!$H$8*(J1306^3)+'CAFCO 400 '!$H$9*(J1306^2)+'CAFCO 400 '!$H$10*J1306+'CAFCO 400 '!$H$11)*U1306^2)+(('CAFCO 400 '!$H$12*(J1306^3)+'CAFCO 400 '!$H$13*(J1306^2)+'CAFCO 400 '!$H$14*J1306+'CAFCO 400 '!$H$15)*U1306)+('CAFCO 400 '!$H$16*(J1306^2)+'CAFCO 400 '!$H$17*J1306+'CAFCO 400 '!$H$18)),0)+IF(AND(L1306="Cafco 400",M1306="Software Idiem",C1306="Cj"),(((('CAFCO 400 '!$D$7*LN(J1306)+'CAFCO 400 '!$D$8)*U1306^2)+(('CAFCO 400 '!$D$9*LN(J1306)+'CAFCO 400 '!$D$10)*U1306)+('CAFCO 400 '!$D$11*LN(J1306)+'CAFCO 400 '!$D$12))),0)+IF(AND(L1306="Cafco 400",M1306="Software Idiem",C1306="C"),((('CAFCO 400 '!$L$7*(J1306^3)+'CAFCO 400 '!$L$8*(J1306^2)+'CAFCO 400 '!$L$9*J1306+'CAFCO 400 '!$L$10)*U1306^2)+(('CAFCO 400 '!$L$11*(J1306^3)+'CAFCO 400 '!$L$12*(J1306^2)+'CAFCO 400 '!$L$13*J1306+'CAFCO 400 '!$L$14)*U1306)+('CAFCO 400 '!$L$15*LN(J1306)+'CAFCO 400 '!$L$16)),0)+IF(AND(L1306="Cafco 400",M1306="Software Idiem",C1306="L"),((('CAFCO 400 '!$L$7*(J1306^3)+'CAFCO 400 '!$L$8*(J1306^2)+'CAFCO 400 '!$L$9*J1306+'CAFCO 400 '!$L$10)*U1306^2)+(('CAFCO 400 '!$L$11*(J1306^3)+'CAFCO 400 '!$L$12*(J1306^2)+'CAFCO 400 '!$L$13*J1306+'CAFCO 400 '!$L$14)*U1306)+('CAFCO 400 '!$L$15*LN(J1306)+'CAFCO 400 '!$L$16)),0)+IF(AND(L1306="Cafco 400",M1306="Software Idiem",C1306="IN",G1306=3),((('CAFCO 400 '!$D$23*(J1306^2)+'CAFCO 400 '!$D$24*(J1306)+'CAFCO 400 '!$D$25)*U1306^2)+(('CAFCO 400 '!$D$26*(J1306^2)+'CAFCO 400 '!$D$27*J1306+'CAFCO 400 '!$D$28)*U1306)+('CAFCO 400 '!$D$29*(J1306^2)+'CAFCO 400 '!$D$30*J1306+'CAFCO 400 '!$D$31)),0),0)+IF(AND(L1306="Cafco 300",J1306&gt;=95,J1306&lt;=240,C1306="Cj",I1306=90),VLOOKUP(T1306,'CAFCO 300 IDIEM TABLAS'!$B$4:$D$23,2,FALSE),0)+IF(AND(L1306="Cafco 300",J1306&gt;=95,J1306&lt;=240,C1306="Cj",I1306=120),VLOOKUP(T1306,'CAFCO 300 IDIEM TABLAS'!$B$4:$D$23,3,FALSE),0)+IF(AND(L1306="Cafco 300",J1306&gt;=95,J1306&lt;=400,G1306=3,C1306="IN",I1306=90),VLOOKUP(T1306,'CAFCO 300 IDIEM TABLAS'!$F$4:$H$35,2,FALSE),0)+IF(AND(L1306="Cafco 300",J1306&gt;=95,J1306&lt;=400,G1306=3,C1306="IN",I1306=120),VLOOKUP(T1306,'CAFCO 300 IDIEM TABLAS'!$F$4:$H$35,3,FALSE),0)+IF(AND(L1306="Cafco 300",J1306&gt;=95,J1306&lt;=450,G1306=4,C1306="IN",I1306=90),VLOOKUP(T1306,'CAFCO 300 IDIEM TABLAS'!$J$4:$L$40,2,FALSE),0)+IF(AND(L1306="Cafco 300",J1306&gt;=95,J1306&lt;=450,G1306=4,C1306="IN",I1306=120),VLOOKUP(T1306,'CAFCO 300 IDIEM TABLAS'!$J$4:$L$40,3,FALSE),0)+IF(AND(M1306="Ensayo Idiem",L1306="Cafco 400",C1306="IN",G1306=4,I1306=90),VLOOKUP(T1306,'CAFCO 400 ENSAYO'!$B$7:$D$43,2,FALSE),0)+IF(AND(M1306="Ensayo Idiem",L1306="Cafco 400",C1306="IN",G1306=4,I1306=120),VLOOKUP(T1306,'CAFCO 400 ENSAYO'!$B$7:$D$43,3,FALSE),0)</f>
        <v>0</v>
      </c>
      <c r="O1306" s="96">
        <f t="shared" si="132"/>
        <v>0</v>
      </c>
      <c r="P1306" s="95" t="str">
        <f t="shared" si="127"/>
        <v>N/A</v>
      </c>
      <c r="Q1306" s="95" t="str">
        <f t="shared" si="128"/>
        <v>N/A</v>
      </c>
      <c r="R1306" s="95" t="str">
        <f t="shared" si="129"/>
        <v>NO CERT.</v>
      </c>
      <c r="S1306" s="95" t="e">
        <f t="shared" si="130"/>
        <v>#N/A</v>
      </c>
      <c r="T1306" s="119" t="e">
        <f>+IF(J1306=LOOKUP(J1306,'CAFCO 300 IDIEM TABLAS'!$J$4:$J$40),'CALCULO MORTERO'!J1306,MROUND('CALCULO MORTERO'!J1306,10))</f>
        <v>#N/A</v>
      </c>
      <c r="U1306" s="118">
        <f t="shared" si="131"/>
        <v>0</v>
      </c>
    </row>
    <row r="1307" spans="1:21" x14ac:dyDescent="0.25">
      <c r="A1307" s="118">
        <f>+CUBICACION!D1301</f>
        <v>0</v>
      </c>
      <c r="B1307" s="819">
        <f>+CUBICACION!E1301</f>
        <v>0</v>
      </c>
      <c r="C1307" s="675">
        <f>+CUBICACION!F1301</f>
        <v>0</v>
      </c>
      <c r="D1307" s="118"/>
      <c r="E1307" s="118"/>
      <c r="F1307" s="820"/>
      <c r="G1307" s="675">
        <f>+CUBICACION!J1301</f>
        <v>0</v>
      </c>
      <c r="H1307" s="118"/>
      <c r="I1307" s="821">
        <f>+CUBICACION!L1301</f>
        <v>0</v>
      </c>
      <c r="J1307" s="64">
        <f>+CUBICACION!M1301</f>
        <v>0</v>
      </c>
      <c r="K1307" s="822" t="str">
        <f>+CUBICACION!N1301</f>
        <v/>
      </c>
      <c r="L1307" s="118">
        <f>+CUBICACION!O1301</f>
        <v>0</v>
      </c>
      <c r="M1307" s="823">
        <f>+CUBICACION!P1301</f>
        <v>0</v>
      </c>
      <c r="N1307" s="902">
        <f>ROUND(IF(AND(L1307="Blaze Shield II",M1307="Software Idiem",C1307="IN",G1307=4),((('BLAZE SHIELD II'!$D$4*('CALCULO MORTERO'!I1307^2)+'BLAZE SHIELD II'!$D$5*'CALCULO MORTERO'!I1307+'BLAZE SHIELD II'!$D$6)*LN(J1307))+('BLAZE SHIELD II'!$D$7*('CALCULO MORTERO'!I1307^2)+'BLAZE SHIELD II'!$D$8*'CALCULO MORTERO'!I1307+'BLAZE SHIELD II'!$D$9)),0)+IF(AND(L1307="Blaze Shield II",M1307="Software Idiem",C1307="Cj"),((('BLAZE SHIELD II'!$H$4*('CALCULO MORTERO'!I1307^2)+'BLAZE SHIELD II'!$H$5*'CALCULO MORTERO'!I1307+'BLAZE SHIELD II'!$H$6)*LN(J1307))+('BLAZE SHIELD II'!$H$7*('CALCULO MORTERO'!I1307^2)+'BLAZE SHIELD II'!$H$8*'CALCULO MORTERO'!I1307+'BLAZE SHIELD II'!$H$9)),0)+IF(AND(L1307="Blaze Shield II",M1307="Software Idiem",C1307="C"),((('BLAZE SHIELD II'!$L$4*('CALCULO MORTERO'!I1307^2)+'BLAZE SHIELD II'!$L$5*'CALCULO MORTERO'!I1307+'BLAZE SHIELD II'!$L$6)*LN(J1307))+('BLAZE SHIELD II'!$L$7*('CALCULO MORTERO'!I1307^2)+'BLAZE SHIELD II'!$L$8*'CALCULO MORTERO'!I1307+'BLAZE SHIELD II'!$L$9)),0)+IF(AND(L1307="Blaze Shield II",M1307="Software Idiem",C1307="L"),((('BLAZE SHIELD II'!$L$4*('CALCULO MORTERO'!I1307^2)+'BLAZE SHIELD II'!$L$5*'CALCULO MORTERO'!I1307+'BLAZE SHIELD II'!$L$6)*LN(J1307))+('BLAZE SHIELD II'!$L$7*('CALCULO MORTERO'!I1307^2)+'BLAZE SHIELD II'!$L$8*'CALCULO MORTERO'!I1307+'BLAZE SHIELD II'!$L$9)),0)+IF(AND(L1307="Blaze Shield II",M1307="Software Idiem",C1307="IN",G1307=3),((('BLAZE SHIELD II'!$H$14*('CALCULO MORTERO'!I1307^2)+'BLAZE SHIELD II'!$H$15*'CALCULO MORTERO'!I1307+'BLAZE SHIELD II'!$H$16)*LN(J1307))+('BLAZE SHIELD II'!$H$17*('CALCULO MORTERO'!I1307^2)+'BLAZE SHIELD II'!$H$18*'CALCULO MORTERO'!I1307+'BLAZE SHIELD II'!$H$19)),0),0)+ROUND(IF(AND(L1307="Cafco 400",M1307="Software Idiem",C1307="IN",G1307=4),((('CAFCO 400 '!$H$7*(J1307^4)+'CAFCO 400 '!$H$8*(J1307^3)+'CAFCO 400 '!$H$9*(J1307^2)+'CAFCO 400 '!$H$10*J1307+'CAFCO 400 '!$H$11)*U1307^2)+(('CAFCO 400 '!$H$12*(J1307^3)+'CAFCO 400 '!$H$13*(J1307^2)+'CAFCO 400 '!$H$14*J1307+'CAFCO 400 '!$H$15)*U1307)+('CAFCO 400 '!$H$16*(J1307^2)+'CAFCO 400 '!$H$17*J1307+'CAFCO 400 '!$H$18)),0)+IF(AND(L1307="Cafco 400",M1307="Software Idiem",C1307="Cj"),(((('CAFCO 400 '!$D$7*LN(J1307)+'CAFCO 400 '!$D$8)*U1307^2)+(('CAFCO 400 '!$D$9*LN(J1307)+'CAFCO 400 '!$D$10)*U1307)+('CAFCO 400 '!$D$11*LN(J1307)+'CAFCO 400 '!$D$12))),0)+IF(AND(L1307="Cafco 400",M1307="Software Idiem",C1307="C"),((('CAFCO 400 '!$L$7*(J1307^3)+'CAFCO 400 '!$L$8*(J1307^2)+'CAFCO 400 '!$L$9*J1307+'CAFCO 400 '!$L$10)*U1307^2)+(('CAFCO 400 '!$L$11*(J1307^3)+'CAFCO 400 '!$L$12*(J1307^2)+'CAFCO 400 '!$L$13*J1307+'CAFCO 400 '!$L$14)*U1307)+('CAFCO 400 '!$L$15*LN(J1307)+'CAFCO 400 '!$L$16)),0)+IF(AND(L1307="Cafco 400",M1307="Software Idiem",C1307="L"),((('CAFCO 400 '!$L$7*(J1307^3)+'CAFCO 400 '!$L$8*(J1307^2)+'CAFCO 400 '!$L$9*J1307+'CAFCO 400 '!$L$10)*U1307^2)+(('CAFCO 400 '!$L$11*(J1307^3)+'CAFCO 400 '!$L$12*(J1307^2)+'CAFCO 400 '!$L$13*J1307+'CAFCO 400 '!$L$14)*U1307)+('CAFCO 400 '!$L$15*LN(J1307)+'CAFCO 400 '!$L$16)),0)+IF(AND(L1307="Cafco 400",M1307="Software Idiem",C1307="IN",G1307=3),((('CAFCO 400 '!$D$23*(J1307^2)+'CAFCO 400 '!$D$24*(J1307)+'CAFCO 400 '!$D$25)*U1307^2)+(('CAFCO 400 '!$D$26*(J1307^2)+'CAFCO 400 '!$D$27*J1307+'CAFCO 400 '!$D$28)*U1307)+('CAFCO 400 '!$D$29*(J1307^2)+'CAFCO 400 '!$D$30*J1307+'CAFCO 400 '!$D$31)),0),0)+IF(AND(L1307="Cafco 300",J1307&gt;=95,J1307&lt;=240,C1307="Cj",I1307=90),VLOOKUP(T1307,'CAFCO 300 IDIEM TABLAS'!$B$4:$D$23,2,FALSE),0)+IF(AND(L1307="Cafco 300",J1307&gt;=95,J1307&lt;=240,C1307="Cj",I1307=120),VLOOKUP(T1307,'CAFCO 300 IDIEM TABLAS'!$B$4:$D$23,3,FALSE),0)+IF(AND(L1307="Cafco 300",J1307&gt;=95,J1307&lt;=400,G1307=3,C1307="IN",I1307=90),VLOOKUP(T1307,'CAFCO 300 IDIEM TABLAS'!$F$4:$H$35,2,FALSE),0)+IF(AND(L1307="Cafco 300",J1307&gt;=95,J1307&lt;=400,G1307=3,C1307="IN",I1307=120),VLOOKUP(T1307,'CAFCO 300 IDIEM TABLAS'!$F$4:$H$35,3,FALSE),0)+IF(AND(L1307="Cafco 300",J1307&gt;=95,J1307&lt;=450,G1307=4,C1307="IN",I1307=90),VLOOKUP(T1307,'CAFCO 300 IDIEM TABLAS'!$J$4:$L$40,2,FALSE),0)+IF(AND(L1307="Cafco 300",J1307&gt;=95,J1307&lt;=450,G1307=4,C1307="IN",I1307=120),VLOOKUP(T1307,'CAFCO 300 IDIEM TABLAS'!$J$4:$L$40,3,FALSE),0)+IF(AND(M1307="Ensayo Idiem",L1307="Cafco 400",C1307="IN",G1307=4,I1307=90),VLOOKUP(T1307,'CAFCO 400 ENSAYO'!$B$7:$D$43,2,FALSE),0)+IF(AND(M1307="Ensayo Idiem",L1307="Cafco 400",C1307="IN",G1307=4,I1307=120),VLOOKUP(T1307,'CAFCO 400 ENSAYO'!$B$7:$D$43,3,FALSE),0)</f>
        <v>0</v>
      </c>
      <c r="O1307" s="96">
        <f t="shared" si="132"/>
        <v>0</v>
      </c>
      <c r="P1307" s="132" t="str">
        <f t="shared" si="127"/>
        <v>N/A</v>
      </c>
      <c r="Q1307" s="132" t="str">
        <f t="shared" si="128"/>
        <v>N/A</v>
      </c>
      <c r="R1307" s="132" t="str">
        <f t="shared" si="129"/>
        <v>NO CERT.</v>
      </c>
      <c r="S1307" s="132" t="e">
        <f t="shared" si="130"/>
        <v>#N/A</v>
      </c>
      <c r="T1307" s="133" t="e">
        <f>+IF(J1307=LOOKUP(J1307,'CAFCO 300 IDIEM TABLAS'!$J$4:$J$40),'CALCULO MORTERO'!J1307,MROUND('CALCULO MORTERO'!J1307,10))</f>
        <v>#N/A</v>
      </c>
      <c r="U1307" s="134">
        <f t="shared" si="131"/>
        <v>0</v>
      </c>
    </row>
    <row r="1308" spans="1:21" x14ac:dyDescent="0.25">
      <c r="A1308" s="118">
        <f>+CUBICACION!D1302</f>
        <v>0</v>
      </c>
      <c r="B1308" s="819">
        <f>+CUBICACION!E1302</f>
        <v>0</v>
      </c>
      <c r="C1308" s="675">
        <f>+CUBICACION!F1302</f>
        <v>0</v>
      </c>
      <c r="D1308" s="118"/>
      <c r="E1308" s="118"/>
      <c r="F1308" s="820"/>
      <c r="G1308" s="675">
        <f>+CUBICACION!J1302</f>
        <v>0</v>
      </c>
      <c r="H1308" s="118"/>
      <c r="I1308" s="821">
        <f>+CUBICACION!L1302</f>
        <v>0</v>
      </c>
      <c r="J1308" s="64">
        <f>+CUBICACION!M1302</f>
        <v>0</v>
      </c>
      <c r="K1308" s="822" t="str">
        <f>+CUBICACION!N1302</f>
        <v/>
      </c>
      <c r="L1308" s="118">
        <f>+CUBICACION!O1302</f>
        <v>0</v>
      </c>
      <c r="M1308" s="823">
        <f>+CUBICACION!P1302</f>
        <v>0</v>
      </c>
      <c r="N1308" s="902">
        <f>ROUND(IF(AND(L1308="Blaze Shield II",M1308="Software Idiem",C1308="IN",G1308=4),((('BLAZE SHIELD II'!$D$4*('CALCULO MORTERO'!I1308^2)+'BLAZE SHIELD II'!$D$5*'CALCULO MORTERO'!I1308+'BLAZE SHIELD II'!$D$6)*LN(J1308))+('BLAZE SHIELD II'!$D$7*('CALCULO MORTERO'!I1308^2)+'BLAZE SHIELD II'!$D$8*'CALCULO MORTERO'!I1308+'BLAZE SHIELD II'!$D$9)),0)+IF(AND(L1308="Blaze Shield II",M1308="Software Idiem",C1308="Cj"),((('BLAZE SHIELD II'!$H$4*('CALCULO MORTERO'!I1308^2)+'BLAZE SHIELD II'!$H$5*'CALCULO MORTERO'!I1308+'BLAZE SHIELD II'!$H$6)*LN(J1308))+('BLAZE SHIELD II'!$H$7*('CALCULO MORTERO'!I1308^2)+'BLAZE SHIELD II'!$H$8*'CALCULO MORTERO'!I1308+'BLAZE SHIELD II'!$H$9)),0)+IF(AND(L1308="Blaze Shield II",M1308="Software Idiem",C1308="C"),((('BLAZE SHIELD II'!$L$4*('CALCULO MORTERO'!I1308^2)+'BLAZE SHIELD II'!$L$5*'CALCULO MORTERO'!I1308+'BLAZE SHIELD II'!$L$6)*LN(J1308))+('BLAZE SHIELD II'!$L$7*('CALCULO MORTERO'!I1308^2)+'BLAZE SHIELD II'!$L$8*'CALCULO MORTERO'!I1308+'BLAZE SHIELD II'!$L$9)),0)+IF(AND(L1308="Blaze Shield II",M1308="Software Idiem",C1308="L"),((('BLAZE SHIELD II'!$L$4*('CALCULO MORTERO'!I1308^2)+'BLAZE SHIELD II'!$L$5*'CALCULO MORTERO'!I1308+'BLAZE SHIELD II'!$L$6)*LN(J1308))+('BLAZE SHIELD II'!$L$7*('CALCULO MORTERO'!I1308^2)+'BLAZE SHIELD II'!$L$8*'CALCULO MORTERO'!I1308+'BLAZE SHIELD II'!$L$9)),0)+IF(AND(L1308="Blaze Shield II",M1308="Software Idiem",C1308="IN",G1308=3),((('BLAZE SHIELD II'!$H$14*('CALCULO MORTERO'!I1308^2)+'BLAZE SHIELD II'!$H$15*'CALCULO MORTERO'!I1308+'BLAZE SHIELD II'!$H$16)*LN(J1308))+('BLAZE SHIELD II'!$H$17*('CALCULO MORTERO'!I1308^2)+'BLAZE SHIELD II'!$H$18*'CALCULO MORTERO'!I1308+'BLAZE SHIELD II'!$H$19)),0),0)+ROUND(IF(AND(L1308="Cafco 400",M1308="Software Idiem",C1308="IN",G1308=4),((('CAFCO 400 '!$H$7*(J1308^4)+'CAFCO 400 '!$H$8*(J1308^3)+'CAFCO 400 '!$H$9*(J1308^2)+'CAFCO 400 '!$H$10*J1308+'CAFCO 400 '!$H$11)*U1308^2)+(('CAFCO 400 '!$H$12*(J1308^3)+'CAFCO 400 '!$H$13*(J1308^2)+'CAFCO 400 '!$H$14*J1308+'CAFCO 400 '!$H$15)*U1308)+('CAFCO 400 '!$H$16*(J1308^2)+'CAFCO 400 '!$H$17*J1308+'CAFCO 400 '!$H$18)),0)+IF(AND(L1308="Cafco 400",M1308="Software Idiem",C1308="Cj"),(((('CAFCO 400 '!$D$7*LN(J1308)+'CAFCO 400 '!$D$8)*U1308^2)+(('CAFCO 400 '!$D$9*LN(J1308)+'CAFCO 400 '!$D$10)*U1308)+('CAFCO 400 '!$D$11*LN(J1308)+'CAFCO 400 '!$D$12))),0)+IF(AND(L1308="Cafco 400",M1308="Software Idiem",C1308="C"),((('CAFCO 400 '!$L$7*(J1308^3)+'CAFCO 400 '!$L$8*(J1308^2)+'CAFCO 400 '!$L$9*J1308+'CAFCO 400 '!$L$10)*U1308^2)+(('CAFCO 400 '!$L$11*(J1308^3)+'CAFCO 400 '!$L$12*(J1308^2)+'CAFCO 400 '!$L$13*J1308+'CAFCO 400 '!$L$14)*U1308)+('CAFCO 400 '!$L$15*LN(J1308)+'CAFCO 400 '!$L$16)),0)+IF(AND(L1308="Cafco 400",M1308="Software Idiem",C1308="L"),((('CAFCO 400 '!$L$7*(J1308^3)+'CAFCO 400 '!$L$8*(J1308^2)+'CAFCO 400 '!$L$9*J1308+'CAFCO 400 '!$L$10)*U1308^2)+(('CAFCO 400 '!$L$11*(J1308^3)+'CAFCO 400 '!$L$12*(J1308^2)+'CAFCO 400 '!$L$13*J1308+'CAFCO 400 '!$L$14)*U1308)+('CAFCO 400 '!$L$15*LN(J1308)+'CAFCO 400 '!$L$16)),0)+IF(AND(L1308="Cafco 400",M1308="Software Idiem",C1308="IN",G1308=3),((('CAFCO 400 '!$D$23*(J1308^2)+'CAFCO 400 '!$D$24*(J1308)+'CAFCO 400 '!$D$25)*U1308^2)+(('CAFCO 400 '!$D$26*(J1308^2)+'CAFCO 400 '!$D$27*J1308+'CAFCO 400 '!$D$28)*U1308)+('CAFCO 400 '!$D$29*(J1308^2)+'CAFCO 400 '!$D$30*J1308+'CAFCO 400 '!$D$31)),0),0)+IF(AND(L1308="Cafco 300",J1308&gt;=95,J1308&lt;=240,C1308="Cj",I1308=90),VLOOKUP(T1308,'CAFCO 300 IDIEM TABLAS'!$B$4:$D$23,2,FALSE),0)+IF(AND(L1308="Cafco 300",J1308&gt;=95,J1308&lt;=240,C1308="Cj",I1308=120),VLOOKUP(T1308,'CAFCO 300 IDIEM TABLAS'!$B$4:$D$23,3,FALSE),0)+IF(AND(L1308="Cafco 300",J1308&gt;=95,J1308&lt;=400,G1308=3,C1308="IN",I1308=90),VLOOKUP(T1308,'CAFCO 300 IDIEM TABLAS'!$F$4:$H$35,2,FALSE),0)+IF(AND(L1308="Cafco 300",J1308&gt;=95,J1308&lt;=400,G1308=3,C1308="IN",I1308=120),VLOOKUP(T1308,'CAFCO 300 IDIEM TABLAS'!$F$4:$H$35,3,FALSE),0)+IF(AND(L1308="Cafco 300",J1308&gt;=95,J1308&lt;=450,G1308=4,C1308="IN",I1308=90),VLOOKUP(T1308,'CAFCO 300 IDIEM TABLAS'!$J$4:$L$40,2,FALSE),0)+IF(AND(L1308="Cafco 300",J1308&gt;=95,J1308&lt;=450,G1308=4,C1308="IN",I1308=120),VLOOKUP(T1308,'CAFCO 300 IDIEM TABLAS'!$J$4:$L$40,3,FALSE),0)+IF(AND(M1308="Ensayo Idiem",L1308="Cafco 400",C1308="IN",G1308=4,I1308=90),VLOOKUP(T1308,'CAFCO 400 ENSAYO'!$B$7:$D$43,2,FALSE),0)+IF(AND(M1308="Ensayo Idiem",L1308="Cafco 400",C1308="IN",G1308=4,I1308=120),VLOOKUP(T1308,'CAFCO 400 ENSAYO'!$B$7:$D$43,3,FALSE),0)</f>
        <v>0</v>
      </c>
      <c r="O1308" s="96">
        <f t="shared" si="132"/>
        <v>0</v>
      </c>
      <c r="P1308" s="95" t="str">
        <f t="shared" si="127"/>
        <v>N/A</v>
      </c>
      <c r="Q1308" s="95" t="str">
        <f t="shared" si="128"/>
        <v>N/A</v>
      </c>
      <c r="R1308" s="95" t="str">
        <f t="shared" si="129"/>
        <v>NO CERT.</v>
      </c>
      <c r="S1308" s="95" t="e">
        <f t="shared" si="130"/>
        <v>#N/A</v>
      </c>
      <c r="T1308" s="119" t="e">
        <f>+IF(J1308=LOOKUP(J1308,'CAFCO 300 IDIEM TABLAS'!$J$4:$J$40),'CALCULO MORTERO'!J1308,MROUND('CALCULO MORTERO'!J1308,10))</f>
        <v>#N/A</v>
      </c>
      <c r="U1308" s="118">
        <f t="shared" si="131"/>
        <v>0</v>
      </c>
    </row>
    <row r="1309" spans="1:21" x14ac:dyDescent="0.25">
      <c r="A1309" s="118">
        <f>+CUBICACION!D1303</f>
        <v>0</v>
      </c>
      <c r="B1309" s="819">
        <f>+CUBICACION!E1303</f>
        <v>0</v>
      </c>
      <c r="C1309" s="675">
        <f>+CUBICACION!F1303</f>
        <v>0</v>
      </c>
      <c r="D1309" s="118"/>
      <c r="E1309" s="118"/>
      <c r="F1309" s="820"/>
      <c r="G1309" s="675">
        <f>+CUBICACION!J1303</f>
        <v>0</v>
      </c>
      <c r="H1309" s="118"/>
      <c r="I1309" s="821">
        <f>+CUBICACION!L1303</f>
        <v>0</v>
      </c>
      <c r="J1309" s="64">
        <f>+CUBICACION!M1303</f>
        <v>0</v>
      </c>
      <c r="K1309" s="822" t="str">
        <f>+CUBICACION!N1303</f>
        <v/>
      </c>
      <c r="L1309" s="118">
        <f>+CUBICACION!O1303</f>
        <v>0</v>
      </c>
      <c r="M1309" s="823">
        <f>+CUBICACION!P1303</f>
        <v>0</v>
      </c>
      <c r="N1309" s="902">
        <f>ROUND(IF(AND(L1309="Blaze Shield II",M1309="Software Idiem",C1309="IN",G1309=4),((('BLAZE SHIELD II'!$D$4*('CALCULO MORTERO'!I1309^2)+'BLAZE SHIELD II'!$D$5*'CALCULO MORTERO'!I1309+'BLAZE SHIELD II'!$D$6)*LN(J1309))+('BLAZE SHIELD II'!$D$7*('CALCULO MORTERO'!I1309^2)+'BLAZE SHIELD II'!$D$8*'CALCULO MORTERO'!I1309+'BLAZE SHIELD II'!$D$9)),0)+IF(AND(L1309="Blaze Shield II",M1309="Software Idiem",C1309="Cj"),((('BLAZE SHIELD II'!$H$4*('CALCULO MORTERO'!I1309^2)+'BLAZE SHIELD II'!$H$5*'CALCULO MORTERO'!I1309+'BLAZE SHIELD II'!$H$6)*LN(J1309))+('BLAZE SHIELD II'!$H$7*('CALCULO MORTERO'!I1309^2)+'BLAZE SHIELD II'!$H$8*'CALCULO MORTERO'!I1309+'BLAZE SHIELD II'!$H$9)),0)+IF(AND(L1309="Blaze Shield II",M1309="Software Idiem",C1309="C"),((('BLAZE SHIELD II'!$L$4*('CALCULO MORTERO'!I1309^2)+'BLAZE SHIELD II'!$L$5*'CALCULO MORTERO'!I1309+'BLAZE SHIELD II'!$L$6)*LN(J1309))+('BLAZE SHIELD II'!$L$7*('CALCULO MORTERO'!I1309^2)+'BLAZE SHIELD II'!$L$8*'CALCULO MORTERO'!I1309+'BLAZE SHIELD II'!$L$9)),0)+IF(AND(L1309="Blaze Shield II",M1309="Software Idiem",C1309="L"),((('BLAZE SHIELD II'!$L$4*('CALCULO MORTERO'!I1309^2)+'BLAZE SHIELD II'!$L$5*'CALCULO MORTERO'!I1309+'BLAZE SHIELD II'!$L$6)*LN(J1309))+('BLAZE SHIELD II'!$L$7*('CALCULO MORTERO'!I1309^2)+'BLAZE SHIELD II'!$L$8*'CALCULO MORTERO'!I1309+'BLAZE SHIELD II'!$L$9)),0)+IF(AND(L1309="Blaze Shield II",M1309="Software Idiem",C1309="IN",G1309=3),((('BLAZE SHIELD II'!$H$14*('CALCULO MORTERO'!I1309^2)+'BLAZE SHIELD II'!$H$15*'CALCULO MORTERO'!I1309+'BLAZE SHIELD II'!$H$16)*LN(J1309))+('BLAZE SHIELD II'!$H$17*('CALCULO MORTERO'!I1309^2)+'BLAZE SHIELD II'!$H$18*'CALCULO MORTERO'!I1309+'BLAZE SHIELD II'!$H$19)),0),0)+ROUND(IF(AND(L1309="Cafco 400",M1309="Software Idiem",C1309="IN",G1309=4),((('CAFCO 400 '!$H$7*(J1309^4)+'CAFCO 400 '!$H$8*(J1309^3)+'CAFCO 400 '!$H$9*(J1309^2)+'CAFCO 400 '!$H$10*J1309+'CAFCO 400 '!$H$11)*U1309^2)+(('CAFCO 400 '!$H$12*(J1309^3)+'CAFCO 400 '!$H$13*(J1309^2)+'CAFCO 400 '!$H$14*J1309+'CAFCO 400 '!$H$15)*U1309)+('CAFCO 400 '!$H$16*(J1309^2)+'CAFCO 400 '!$H$17*J1309+'CAFCO 400 '!$H$18)),0)+IF(AND(L1309="Cafco 400",M1309="Software Idiem",C1309="Cj"),(((('CAFCO 400 '!$D$7*LN(J1309)+'CAFCO 400 '!$D$8)*U1309^2)+(('CAFCO 400 '!$D$9*LN(J1309)+'CAFCO 400 '!$D$10)*U1309)+('CAFCO 400 '!$D$11*LN(J1309)+'CAFCO 400 '!$D$12))),0)+IF(AND(L1309="Cafco 400",M1309="Software Idiem",C1309="C"),((('CAFCO 400 '!$L$7*(J1309^3)+'CAFCO 400 '!$L$8*(J1309^2)+'CAFCO 400 '!$L$9*J1309+'CAFCO 400 '!$L$10)*U1309^2)+(('CAFCO 400 '!$L$11*(J1309^3)+'CAFCO 400 '!$L$12*(J1309^2)+'CAFCO 400 '!$L$13*J1309+'CAFCO 400 '!$L$14)*U1309)+('CAFCO 400 '!$L$15*LN(J1309)+'CAFCO 400 '!$L$16)),0)+IF(AND(L1309="Cafco 400",M1309="Software Idiem",C1309="L"),((('CAFCO 400 '!$L$7*(J1309^3)+'CAFCO 400 '!$L$8*(J1309^2)+'CAFCO 400 '!$L$9*J1309+'CAFCO 400 '!$L$10)*U1309^2)+(('CAFCO 400 '!$L$11*(J1309^3)+'CAFCO 400 '!$L$12*(J1309^2)+'CAFCO 400 '!$L$13*J1309+'CAFCO 400 '!$L$14)*U1309)+('CAFCO 400 '!$L$15*LN(J1309)+'CAFCO 400 '!$L$16)),0)+IF(AND(L1309="Cafco 400",M1309="Software Idiem",C1309="IN",G1309=3),((('CAFCO 400 '!$D$23*(J1309^2)+'CAFCO 400 '!$D$24*(J1309)+'CAFCO 400 '!$D$25)*U1309^2)+(('CAFCO 400 '!$D$26*(J1309^2)+'CAFCO 400 '!$D$27*J1309+'CAFCO 400 '!$D$28)*U1309)+('CAFCO 400 '!$D$29*(J1309^2)+'CAFCO 400 '!$D$30*J1309+'CAFCO 400 '!$D$31)),0),0)+IF(AND(L1309="Cafco 300",J1309&gt;=95,J1309&lt;=240,C1309="Cj",I1309=90),VLOOKUP(T1309,'CAFCO 300 IDIEM TABLAS'!$B$4:$D$23,2,FALSE),0)+IF(AND(L1309="Cafco 300",J1309&gt;=95,J1309&lt;=240,C1309="Cj",I1309=120),VLOOKUP(T1309,'CAFCO 300 IDIEM TABLAS'!$B$4:$D$23,3,FALSE),0)+IF(AND(L1309="Cafco 300",J1309&gt;=95,J1309&lt;=400,G1309=3,C1309="IN",I1309=90),VLOOKUP(T1309,'CAFCO 300 IDIEM TABLAS'!$F$4:$H$35,2,FALSE),0)+IF(AND(L1309="Cafco 300",J1309&gt;=95,J1309&lt;=400,G1309=3,C1309="IN",I1309=120),VLOOKUP(T1309,'CAFCO 300 IDIEM TABLAS'!$F$4:$H$35,3,FALSE),0)+IF(AND(L1309="Cafco 300",J1309&gt;=95,J1309&lt;=450,G1309=4,C1309="IN",I1309=90),VLOOKUP(T1309,'CAFCO 300 IDIEM TABLAS'!$J$4:$L$40,2,FALSE),0)+IF(AND(L1309="Cafco 300",J1309&gt;=95,J1309&lt;=450,G1309=4,C1309="IN",I1309=120),VLOOKUP(T1309,'CAFCO 300 IDIEM TABLAS'!$J$4:$L$40,3,FALSE),0)+IF(AND(M1309="Ensayo Idiem",L1309="Cafco 400",C1309="IN",G1309=4,I1309=90),VLOOKUP(T1309,'CAFCO 400 ENSAYO'!$B$7:$D$43,2,FALSE),0)+IF(AND(M1309="Ensayo Idiem",L1309="Cafco 400",C1309="IN",G1309=4,I1309=120),VLOOKUP(T1309,'CAFCO 400 ENSAYO'!$B$7:$D$43,3,FALSE),0)</f>
        <v>0</v>
      </c>
      <c r="O1309" s="96">
        <f t="shared" si="132"/>
        <v>0</v>
      </c>
      <c r="P1309" s="132" t="str">
        <f t="shared" si="127"/>
        <v>N/A</v>
      </c>
      <c r="Q1309" s="132" t="str">
        <f t="shared" si="128"/>
        <v>N/A</v>
      </c>
      <c r="R1309" s="132" t="str">
        <f t="shared" si="129"/>
        <v>NO CERT.</v>
      </c>
      <c r="S1309" s="132" t="e">
        <f t="shared" si="130"/>
        <v>#N/A</v>
      </c>
      <c r="T1309" s="133" t="e">
        <f>+IF(J1309=LOOKUP(J1309,'CAFCO 300 IDIEM TABLAS'!$J$4:$J$40),'CALCULO MORTERO'!J1309,MROUND('CALCULO MORTERO'!J1309,10))</f>
        <v>#N/A</v>
      </c>
      <c r="U1309" s="134">
        <f t="shared" si="131"/>
        <v>0</v>
      </c>
    </row>
    <row r="1310" spans="1:21" x14ac:dyDescent="0.25">
      <c r="A1310" s="118">
        <f>+CUBICACION!D1304</f>
        <v>0</v>
      </c>
      <c r="B1310" s="819">
        <f>+CUBICACION!E1304</f>
        <v>0</v>
      </c>
      <c r="C1310" s="675">
        <f>+CUBICACION!F1304</f>
        <v>0</v>
      </c>
      <c r="D1310" s="118"/>
      <c r="E1310" s="118"/>
      <c r="F1310" s="820"/>
      <c r="G1310" s="675">
        <f>+CUBICACION!J1304</f>
        <v>0</v>
      </c>
      <c r="H1310" s="118"/>
      <c r="I1310" s="821">
        <f>+CUBICACION!L1304</f>
        <v>0</v>
      </c>
      <c r="J1310" s="64">
        <f>+CUBICACION!M1304</f>
        <v>0</v>
      </c>
      <c r="K1310" s="822" t="str">
        <f>+CUBICACION!N1304</f>
        <v/>
      </c>
      <c r="L1310" s="118">
        <f>+CUBICACION!O1304</f>
        <v>0</v>
      </c>
      <c r="M1310" s="823">
        <f>+CUBICACION!P1304</f>
        <v>0</v>
      </c>
      <c r="N1310" s="902">
        <f>ROUND(IF(AND(L1310="Blaze Shield II",M1310="Software Idiem",C1310="IN",G1310=4),((('BLAZE SHIELD II'!$D$4*('CALCULO MORTERO'!I1310^2)+'BLAZE SHIELD II'!$D$5*'CALCULO MORTERO'!I1310+'BLAZE SHIELD II'!$D$6)*LN(J1310))+('BLAZE SHIELD II'!$D$7*('CALCULO MORTERO'!I1310^2)+'BLAZE SHIELD II'!$D$8*'CALCULO MORTERO'!I1310+'BLAZE SHIELD II'!$D$9)),0)+IF(AND(L1310="Blaze Shield II",M1310="Software Idiem",C1310="Cj"),((('BLAZE SHIELD II'!$H$4*('CALCULO MORTERO'!I1310^2)+'BLAZE SHIELD II'!$H$5*'CALCULO MORTERO'!I1310+'BLAZE SHIELD II'!$H$6)*LN(J1310))+('BLAZE SHIELD II'!$H$7*('CALCULO MORTERO'!I1310^2)+'BLAZE SHIELD II'!$H$8*'CALCULO MORTERO'!I1310+'BLAZE SHIELD II'!$H$9)),0)+IF(AND(L1310="Blaze Shield II",M1310="Software Idiem",C1310="C"),((('BLAZE SHIELD II'!$L$4*('CALCULO MORTERO'!I1310^2)+'BLAZE SHIELD II'!$L$5*'CALCULO MORTERO'!I1310+'BLAZE SHIELD II'!$L$6)*LN(J1310))+('BLAZE SHIELD II'!$L$7*('CALCULO MORTERO'!I1310^2)+'BLAZE SHIELD II'!$L$8*'CALCULO MORTERO'!I1310+'BLAZE SHIELD II'!$L$9)),0)+IF(AND(L1310="Blaze Shield II",M1310="Software Idiem",C1310="L"),((('BLAZE SHIELD II'!$L$4*('CALCULO MORTERO'!I1310^2)+'BLAZE SHIELD II'!$L$5*'CALCULO MORTERO'!I1310+'BLAZE SHIELD II'!$L$6)*LN(J1310))+('BLAZE SHIELD II'!$L$7*('CALCULO MORTERO'!I1310^2)+'BLAZE SHIELD II'!$L$8*'CALCULO MORTERO'!I1310+'BLAZE SHIELD II'!$L$9)),0)+IF(AND(L1310="Blaze Shield II",M1310="Software Idiem",C1310="IN",G1310=3),((('BLAZE SHIELD II'!$H$14*('CALCULO MORTERO'!I1310^2)+'BLAZE SHIELD II'!$H$15*'CALCULO MORTERO'!I1310+'BLAZE SHIELD II'!$H$16)*LN(J1310))+('BLAZE SHIELD II'!$H$17*('CALCULO MORTERO'!I1310^2)+'BLAZE SHIELD II'!$H$18*'CALCULO MORTERO'!I1310+'BLAZE SHIELD II'!$H$19)),0),0)+ROUND(IF(AND(L1310="Cafco 400",M1310="Software Idiem",C1310="IN",G1310=4),((('CAFCO 400 '!$H$7*(J1310^4)+'CAFCO 400 '!$H$8*(J1310^3)+'CAFCO 400 '!$H$9*(J1310^2)+'CAFCO 400 '!$H$10*J1310+'CAFCO 400 '!$H$11)*U1310^2)+(('CAFCO 400 '!$H$12*(J1310^3)+'CAFCO 400 '!$H$13*(J1310^2)+'CAFCO 400 '!$H$14*J1310+'CAFCO 400 '!$H$15)*U1310)+('CAFCO 400 '!$H$16*(J1310^2)+'CAFCO 400 '!$H$17*J1310+'CAFCO 400 '!$H$18)),0)+IF(AND(L1310="Cafco 400",M1310="Software Idiem",C1310="Cj"),(((('CAFCO 400 '!$D$7*LN(J1310)+'CAFCO 400 '!$D$8)*U1310^2)+(('CAFCO 400 '!$D$9*LN(J1310)+'CAFCO 400 '!$D$10)*U1310)+('CAFCO 400 '!$D$11*LN(J1310)+'CAFCO 400 '!$D$12))),0)+IF(AND(L1310="Cafco 400",M1310="Software Idiem",C1310="C"),((('CAFCO 400 '!$L$7*(J1310^3)+'CAFCO 400 '!$L$8*(J1310^2)+'CAFCO 400 '!$L$9*J1310+'CAFCO 400 '!$L$10)*U1310^2)+(('CAFCO 400 '!$L$11*(J1310^3)+'CAFCO 400 '!$L$12*(J1310^2)+'CAFCO 400 '!$L$13*J1310+'CAFCO 400 '!$L$14)*U1310)+('CAFCO 400 '!$L$15*LN(J1310)+'CAFCO 400 '!$L$16)),0)+IF(AND(L1310="Cafco 400",M1310="Software Idiem",C1310="L"),((('CAFCO 400 '!$L$7*(J1310^3)+'CAFCO 400 '!$L$8*(J1310^2)+'CAFCO 400 '!$L$9*J1310+'CAFCO 400 '!$L$10)*U1310^2)+(('CAFCO 400 '!$L$11*(J1310^3)+'CAFCO 400 '!$L$12*(J1310^2)+'CAFCO 400 '!$L$13*J1310+'CAFCO 400 '!$L$14)*U1310)+('CAFCO 400 '!$L$15*LN(J1310)+'CAFCO 400 '!$L$16)),0)+IF(AND(L1310="Cafco 400",M1310="Software Idiem",C1310="IN",G1310=3),((('CAFCO 400 '!$D$23*(J1310^2)+'CAFCO 400 '!$D$24*(J1310)+'CAFCO 400 '!$D$25)*U1310^2)+(('CAFCO 400 '!$D$26*(J1310^2)+'CAFCO 400 '!$D$27*J1310+'CAFCO 400 '!$D$28)*U1310)+('CAFCO 400 '!$D$29*(J1310^2)+'CAFCO 400 '!$D$30*J1310+'CAFCO 400 '!$D$31)),0),0)+IF(AND(L1310="Cafco 300",J1310&gt;=95,J1310&lt;=240,C1310="Cj",I1310=90),VLOOKUP(T1310,'CAFCO 300 IDIEM TABLAS'!$B$4:$D$23,2,FALSE),0)+IF(AND(L1310="Cafco 300",J1310&gt;=95,J1310&lt;=240,C1310="Cj",I1310=120),VLOOKUP(T1310,'CAFCO 300 IDIEM TABLAS'!$B$4:$D$23,3,FALSE),0)+IF(AND(L1310="Cafco 300",J1310&gt;=95,J1310&lt;=400,G1310=3,C1310="IN",I1310=90),VLOOKUP(T1310,'CAFCO 300 IDIEM TABLAS'!$F$4:$H$35,2,FALSE),0)+IF(AND(L1310="Cafco 300",J1310&gt;=95,J1310&lt;=400,G1310=3,C1310="IN",I1310=120),VLOOKUP(T1310,'CAFCO 300 IDIEM TABLAS'!$F$4:$H$35,3,FALSE),0)+IF(AND(L1310="Cafco 300",J1310&gt;=95,J1310&lt;=450,G1310=4,C1310="IN",I1310=90),VLOOKUP(T1310,'CAFCO 300 IDIEM TABLAS'!$J$4:$L$40,2,FALSE),0)+IF(AND(L1310="Cafco 300",J1310&gt;=95,J1310&lt;=450,G1310=4,C1310="IN",I1310=120),VLOOKUP(T1310,'CAFCO 300 IDIEM TABLAS'!$J$4:$L$40,3,FALSE),0)+IF(AND(M1310="Ensayo Idiem",L1310="Cafco 400",C1310="IN",G1310=4,I1310=90),VLOOKUP(T1310,'CAFCO 400 ENSAYO'!$B$7:$D$43,2,FALSE),0)+IF(AND(M1310="Ensayo Idiem",L1310="Cafco 400",C1310="IN",G1310=4,I1310=120),VLOOKUP(T1310,'CAFCO 400 ENSAYO'!$B$7:$D$43,3,FALSE),0)</f>
        <v>0</v>
      </c>
      <c r="O1310" s="96">
        <f t="shared" si="132"/>
        <v>0</v>
      </c>
      <c r="P1310" s="95" t="str">
        <f t="shared" si="127"/>
        <v>N/A</v>
      </c>
      <c r="Q1310" s="95" t="str">
        <f t="shared" si="128"/>
        <v>N/A</v>
      </c>
      <c r="R1310" s="95" t="str">
        <f t="shared" si="129"/>
        <v>NO CERT.</v>
      </c>
      <c r="S1310" s="95" t="e">
        <f t="shared" si="130"/>
        <v>#N/A</v>
      </c>
      <c r="T1310" s="119" t="e">
        <f>+IF(J1310=LOOKUP(J1310,'CAFCO 300 IDIEM TABLAS'!$J$4:$J$40),'CALCULO MORTERO'!J1310,MROUND('CALCULO MORTERO'!J1310,10))</f>
        <v>#N/A</v>
      </c>
      <c r="U1310" s="118">
        <f t="shared" si="131"/>
        <v>0</v>
      </c>
    </row>
    <row r="1311" spans="1:21" x14ac:dyDescent="0.25">
      <c r="A1311" s="118">
        <f>+CUBICACION!D1305</f>
        <v>0</v>
      </c>
      <c r="B1311" s="819">
        <f>+CUBICACION!E1305</f>
        <v>0</v>
      </c>
      <c r="C1311" s="675">
        <f>+CUBICACION!F1305</f>
        <v>0</v>
      </c>
      <c r="D1311" s="118"/>
      <c r="E1311" s="118"/>
      <c r="F1311" s="820"/>
      <c r="G1311" s="675">
        <f>+CUBICACION!J1305</f>
        <v>0</v>
      </c>
      <c r="H1311" s="118"/>
      <c r="I1311" s="821">
        <f>+CUBICACION!L1305</f>
        <v>0</v>
      </c>
      <c r="J1311" s="64">
        <f>+CUBICACION!M1305</f>
        <v>0</v>
      </c>
      <c r="K1311" s="822" t="str">
        <f>+CUBICACION!N1305</f>
        <v/>
      </c>
      <c r="L1311" s="118">
        <f>+CUBICACION!O1305</f>
        <v>0</v>
      </c>
      <c r="M1311" s="823">
        <f>+CUBICACION!P1305</f>
        <v>0</v>
      </c>
      <c r="N1311" s="902">
        <f>ROUND(IF(AND(L1311="Blaze Shield II",M1311="Software Idiem",C1311="IN",G1311=4),((('BLAZE SHIELD II'!$D$4*('CALCULO MORTERO'!I1311^2)+'BLAZE SHIELD II'!$D$5*'CALCULO MORTERO'!I1311+'BLAZE SHIELD II'!$D$6)*LN(J1311))+('BLAZE SHIELD II'!$D$7*('CALCULO MORTERO'!I1311^2)+'BLAZE SHIELD II'!$D$8*'CALCULO MORTERO'!I1311+'BLAZE SHIELD II'!$D$9)),0)+IF(AND(L1311="Blaze Shield II",M1311="Software Idiem",C1311="Cj"),((('BLAZE SHIELD II'!$H$4*('CALCULO MORTERO'!I1311^2)+'BLAZE SHIELD II'!$H$5*'CALCULO MORTERO'!I1311+'BLAZE SHIELD II'!$H$6)*LN(J1311))+('BLAZE SHIELD II'!$H$7*('CALCULO MORTERO'!I1311^2)+'BLAZE SHIELD II'!$H$8*'CALCULO MORTERO'!I1311+'BLAZE SHIELD II'!$H$9)),0)+IF(AND(L1311="Blaze Shield II",M1311="Software Idiem",C1311="C"),((('BLAZE SHIELD II'!$L$4*('CALCULO MORTERO'!I1311^2)+'BLAZE SHIELD II'!$L$5*'CALCULO MORTERO'!I1311+'BLAZE SHIELD II'!$L$6)*LN(J1311))+('BLAZE SHIELD II'!$L$7*('CALCULO MORTERO'!I1311^2)+'BLAZE SHIELD II'!$L$8*'CALCULO MORTERO'!I1311+'BLAZE SHIELD II'!$L$9)),0)+IF(AND(L1311="Blaze Shield II",M1311="Software Idiem",C1311="L"),((('BLAZE SHIELD II'!$L$4*('CALCULO MORTERO'!I1311^2)+'BLAZE SHIELD II'!$L$5*'CALCULO MORTERO'!I1311+'BLAZE SHIELD II'!$L$6)*LN(J1311))+('BLAZE SHIELD II'!$L$7*('CALCULO MORTERO'!I1311^2)+'BLAZE SHIELD II'!$L$8*'CALCULO MORTERO'!I1311+'BLAZE SHIELD II'!$L$9)),0)+IF(AND(L1311="Blaze Shield II",M1311="Software Idiem",C1311="IN",G1311=3),((('BLAZE SHIELD II'!$H$14*('CALCULO MORTERO'!I1311^2)+'BLAZE SHIELD II'!$H$15*'CALCULO MORTERO'!I1311+'BLAZE SHIELD II'!$H$16)*LN(J1311))+('BLAZE SHIELD II'!$H$17*('CALCULO MORTERO'!I1311^2)+'BLAZE SHIELD II'!$H$18*'CALCULO MORTERO'!I1311+'BLAZE SHIELD II'!$H$19)),0),0)+ROUND(IF(AND(L1311="Cafco 400",M1311="Software Idiem",C1311="IN",G1311=4),((('CAFCO 400 '!$H$7*(J1311^4)+'CAFCO 400 '!$H$8*(J1311^3)+'CAFCO 400 '!$H$9*(J1311^2)+'CAFCO 400 '!$H$10*J1311+'CAFCO 400 '!$H$11)*U1311^2)+(('CAFCO 400 '!$H$12*(J1311^3)+'CAFCO 400 '!$H$13*(J1311^2)+'CAFCO 400 '!$H$14*J1311+'CAFCO 400 '!$H$15)*U1311)+('CAFCO 400 '!$H$16*(J1311^2)+'CAFCO 400 '!$H$17*J1311+'CAFCO 400 '!$H$18)),0)+IF(AND(L1311="Cafco 400",M1311="Software Idiem",C1311="Cj"),(((('CAFCO 400 '!$D$7*LN(J1311)+'CAFCO 400 '!$D$8)*U1311^2)+(('CAFCO 400 '!$D$9*LN(J1311)+'CAFCO 400 '!$D$10)*U1311)+('CAFCO 400 '!$D$11*LN(J1311)+'CAFCO 400 '!$D$12))),0)+IF(AND(L1311="Cafco 400",M1311="Software Idiem",C1311="C"),((('CAFCO 400 '!$L$7*(J1311^3)+'CAFCO 400 '!$L$8*(J1311^2)+'CAFCO 400 '!$L$9*J1311+'CAFCO 400 '!$L$10)*U1311^2)+(('CAFCO 400 '!$L$11*(J1311^3)+'CAFCO 400 '!$L$12*(J1311^2)+'CAFCO 400 '!$L$13*J1311+'CAFCO 400 '!$L$14)*U1311)+('CAFCO 400 '!$L$15*LN(J1311)+'CAFCO 400 '!$L$16)),0)+IF(AND(L1311="Cafco 400",M1311="Software Idiem",C1311="L"),((('CAFCO 400 '!$L$7*(J1311^3)+'CAFCO 400 '!$L$8*(J1311^2)+'CAFCO 400 '!$L$9*J1311+'CAFCO 400 '!$L$10)*U1311^2)+(('CAFCO 400 '!$L$11*(J1311^3)+'CAFCO 400 '!$L$12*(J1311^2)+'CAFCO 400 '!$L$13*J1311+'CAFCO 400 '!$L$14)*U1311)+('CAFCO 400 '!$L$15*LN(J1311)+'CAFCO 400 '!$L$16)),0)+IF(AND(L1311="Cafco 400",M1311="Software Idiem",C1311="IN",G1311=3),((('CAFCO 400 '!$D$23*(J1311^2)+'CAFCO 400 '!$D$24*(J1311)+'CAFCO 400 '!$D$25)*U1311^2)+(('CAFCO 400 '!$D$26*(J1311^2)+'CAFCO 400 '!$D$27*J1311+'CAFCO 400 '!$D$28)*U1311)+('CAFCO 400 '!$D$29*(J1311^2)+'CAFCO 400 '!$D$30*J1311+'CAFCO 400 '!$D$31)),0),0)+IF(AND(L1311="Cafco 300",J1311&gt;=95,J1311&lt;=240,C1311="Cj",I1311=90),VLOOKUP(T1311,'CAFCO 300 IDIEM TABLAS'!$B$4:$D$23,2,FALSE),0)+IF(AND(L1311="Cafco 300",J1311&gt;=95,J1311&lt;=240,C1311="Cj",I1311=120),VLOOKUP(T1311,'CAFCO 300 IDIEM TABLAS'!$B$4:$D$23,3,FALSE),0)+IF(AND(L1311="Cafco 300",J1311&gt;=95,J1311&lt;=400,G1311=3,C1311="IN",I1311=90),VLOOKUP(T1311,'CAFCO 300 IDIEM TABLAS'!$F$4:$H$35,2,FALSE),0)+IF(AND(L1311="Cafco 300",J1311&gt;=95,J1311&lt;=400,G1311=3,C1311="IN",I1311=120),VLOOKUP(T1311,'CAFCO 300 IDIEM TABLAS'!$F$4:$H$35,3,FALSE),0)+IF(AND(L1311="Cafco 300",J1311&gt;=95,J1311&lt;=450,G1311=4,C1311="IN",I1311=90),VLOOKUP(T1311,'CAFCO 300 IDIEM TABLAS'!$J$4:$L$40,2,FALSE),0)+IF(AND(L1311="Cafco 300",J1311&gt;=95,J1311&lt;=450,G1311=4,C1311="IN",I1311=120),VLOOKUP(T1311,'CAFCO 300 IDIEM TABLAS'!$J$4:$L$40,3,FALSE),0)+IF(AND(M1311="Ensayo Idiem",L1311="Cafco 400",C1311="IN",G1311=4,I1311=90),VLOOKUP(T1311,'CAFCO 400 ENSAYO'!$B$7:$D$43,2,FALSE),0)+IF(AND(M1311="Ensayo Idiem",L1311="Cafco 400",C1311="IN",G1311=4,I1311=120),VLOOKUP(T1311,'CAFCO 400 ENSAYO'!$B$7:$D$43,3,FALSE),0)</f>
        <v>0</v>
      </c>
      <c r="O1311" s="96">
        <f t="shared" si="132"/>
        <v>0</v>
      </c>
      <c r="P1311" s="132" t="str">
        <f t="shared" si="127"/>
        <v>N/A</v>
      </c>
      <c r="Q1311" s="132" t="str">
        <f t="shared" si="128"/>
        <v>N/A</v>
      </c>
      <c r="R1311" s="132" t="str">
        <f t="shared" si="129"/>
        <v>NO CERT.</v>
      </c>
      <c r="S1311" s="132" t="e">
        <f t="shared" si="130"/>
        <v>#N/A</v>
      </c>
      <c r="T1311" s="133" t="e">
        <f>+IF(J1311=LOOKUP(J1311,'CAFCO 300 IDIEM TABLAS'!$J$4:$J$40),'CALCULO MORTERO'!J1311,MROUND('CALCULO MORTERO'!J1311,10))</f>
        <v>#N/A</v>
      </c>
      <c r="U1311" s="134">
        <f t="shared" si="131"/>
        <v>0</v>
      </c>
    </row>
    <row r="1312" spans="1:21" x14ac:dyDescent="0.25">
      <c r="A1312" s="118">
        <f>+CUBICACION!D1306</f>
        <v>0</v>
      </c>
      <c r="B1312" s="819">
        <f>+CUBICACION!E1306</f>
        <v>0</v>
      </c>
      <c r="C1312" s="675">
        <f>+CUBICACION!F1306</f>
        <v>0</v>
      </c>
      <c r="D1312" s="118"/>
      <c r="E1312" s="118"/>
      <c r="F1312" s="820"/>
      <c r="G1312" s="675">
        <f>+CUBICACION!J1306</f>
        <v>0</v>
      </c>
      <c r="H1312" s="118"/>
      <c r="I1312" s="821">
        <f>+CUBICACION!L1306</f>
        <v>0</v>
      </c>
      <c r="J1312" s="64">
        <f>+CUBICACION!M1306</f>
        <v>0</v>
      </c>
      <c r="K1312" s="822" t="str">
        <f>+CUBICACION!N1306</f>
        <v/>
      </c>
      <c r="L1312" s="118">
        <f>+CUBICACION!O1306</f>
        <v>0</v>
      </c>
      <c r="M1312" s="823">
        <f>+CUBICACION!P1306</f>
        <v>0</v>
      </c>
      <c r="N1312" s="902">
        <f>ROUND(IF(AND(L1312="Blaze Shield II",M1312="Software Idiem",C1312="IN",G1312=4),((('BLAZE SHIELD II'!$D$4*('CALCULO MORTERO'!I1312^2)+'BLAZE SHIELD II'!$D$5*'CALCULO MORTERO'!I1312+'BLAZE SHIELD II'!$D$6)*LN(J1312))+('BLAZE SHIELD II'!$D$7*('CALCULO MORTERO'!I1312^2)+'BLAZE SHIELD II'!$D$8*'CALCULO MORTERO'!I1312+'BLAZE SHIELD II'!$D$9)),0)+IF(AND(L1312="Blaze Shield II",M1312="Software Idiem",C1312="Cj"),((('BLAZE SHIELD II'!$H$4*('CALCULO MORTERO'!I1312^2)+'BLAZE SHIELD II'!$H$5*'CALCULO MORTERO'!I1312+'BLAZE SHIELD II'!$H$6)*LN(J1312))+('BLAZE SHIELD II'!$H$7*('CALCULO MORTERO'!I1312^2)+'BLAZE SHIELD II'!$H$8*'CALCULO MORTERO'!I1312+'BLAZE SHIELD II'!$H$9)),0)+IF(AND(L1312="Blaze Shield II",M1312="Software Idiem",C1312="C"),((('BLAZE SHIELD II'!$L$4*('CALCULO MORTERO'!I1312^2)+'BLAZE SHIELD II'!$L$5*'CALCULO MORTERO'!I1312+'BLAZE SHIELD II'!$L$6)*LN(J1312))+('BLAZE SHIELD II'!$L$7*('CALCULO MORTERO'!I1312^2)+'BLAZE SHIELD II'!$L$8*'CALCULO MORTERO'!I1312+'BLAZE SHIELD II'!$L$9)),0)+IF(AND(L1312="Blaze Shield II",M1312="Software Idiem",C1312="L"),((('BLAZE SHIELD II'!$L$4*('CALCULO MORTERO'!I1312^2)+'BLAZE SHIELD II'!$L$5*'CALCULO MORTERO'!I1312+'BLAZE SHIELD II'!$L$6)*LN(J1312))+('BLAZE SHIELD II'!$L$7*('CALCULO MORTERO'!I1312^2)+'BLAZE SHIELD II'!$L$8*'CALCULO MORTERO'!I1312+'BLAZE SHIELD II'!$L$9)),0)+IF(AND(L1312="Blaze Shield II",M1312="Software Idiem",C1312="IN",G1312=3),((('BLAZE SHIELD II'!$H$14*('CALCULO MORTERO'!I1312^2)+'BLAZE SHIELD II'!$H$15*'CALCULO MORTERO'!I1312+'BLAZE SHIELD II'!$H$16)*LN(J1312))+('BLAZE SHIELD II'!$H$17*('CALCULO MORTERO'!I1312^2)+'BLAZE SHIELD II'!$H$18*'CALCULO MORTERO'!I1312+'BLAZE SHIELD II'!$H$19)),0),0)+ROUND(IF(AND(L1312="Cafco 400",M1312="Software Idiem",C1312="IN",G1312=4),((('CAFCO 400 '!$H$7*(J1312^4)+'CAFCO 400 '!$H$8*(J1312^3)+'CAFCO 400 '!$H$9*(J1312^2)+'CAFCO 400 '!$H$10*J1312+'CAFCO 400 '!$H$11)*U1312^2)+(('CAFCO 400 '!$H$12*(J1312^3)+'CAFCO 400 '!$H$13*(J1312^2)+'CAFCO 400 '!$H$14*J1312+'CAFCO 400 '!$H$15)*U1312)+('CAFCO 400 '!$H$16*(J1312^2)+'CAFCO 400 '!$H$17*J1312+'CAFCO 400 '!$H$18)),0)+IF(AND(L1312="Cafco 400",M1312="Software Idiem",C1312="Cj"),(((('CAFCO 400 '!$D$7*LN(J1312)+'CAFCO 400 '!$D$8)*U1312^2)+(('CAFCO 400 '!$D$9*LN(J1312)+'CAFCO 400 '!$D$10)*U1312)+('CAFCO 400 '!$D$11*LN(J1312)+'CAFCO 400 '!$D$12))),0)+IF(AND(L1312="Cafco 400",M1312="Software Idiem",C1312="C"),((('CAFCO 400 '!$L$7*(J1312^3)+'CAFCO 400 '!$L$8*(J1312^2)+'CAFCO 400 '!$L$9*J1312+'CAFCO 400 '!$L$10)*U1312^2)+(('CAFCO 400 '!$L$11*(J1312^3)+'CAFCO 400 '!$L$12*(J1312^2)+'CAFCO 400 '!$L$13*J1312+'CAFCO 400 '!$L$14)*U1312)+('CAFCO 400 '!$L$15*LN(J1312)+'CAFCO 400 '!$L$16)),0)+IF(AND(L1312="Cafco 400",M1312="Software Idiem",C1312="L"),((('CAFCO 400 '!$L$7*(J1312^3)+'CAFCO 400 '!$L$8*(J1312^2)+'CAFCO 400 '!$L$9*J1312+'CAFCO 400 '!$L$10)*U1312^2)+(('CAFCO 400 '!$L$11*(J1312^3)+'CAFCO 400 '!$L$12*(J1312^2)+'CAFCO 400 '!$L$13*J1312+'CAFCO 400 '!$L$14)*U1312)+('CAFCO 400 '!$L$15*LN(J1312)+'CAFCO 400 '!$L$16)),0)+IF(AND(L1312="Cafco 400",M1312="Software Idiem",C1312="IN",G1312=3),((('CAFCO 400 '!$D$23*(J1312^2)+'CAFCO 400 '!$D$24*(J1312)+'CAFCO 400 '!$D$25)*U1312^2)+(('CAFCO 400 '!$D$26*(J1312^2)+'CAFCO 400 '!$D$27*J1312+'CAFCO 400 '!$D$28)*U1312)+('CAFCO 400 '!$D$29*(J1312^2)+'CAFCO 400 '!$D$30*J1312+'CAFCO 400 '!$D$31)),0),0)+IF(AND(L1312="Cafco 300",J1312&gt;=95,J1312&lt;=240,C1312="Cj",I1312=90),VLOOKUP(T1312,'CAFCO 300 IDIEM TABLAS'!$B$4:$D$23,2,FALSE),0)+IF(AND(L1312="Cafco 300",J1312&gt;=95,J1312&lt;=240,C1312="Cj",I1312=120),VLOOKUP(T1312,'CAFCO 300 IDIEM TABLAS'!$B$4:$D$23,3,FALSE),0)+IF(AND(L1312="Cafco 300",J1312&gt;=95,J1312&lt;=400,G1312=3,C1312="IN",I1312=90),VLOOKUP(T1312,'CAFCO 300 IDIEM TABLAS'!$F$4:$H$35,2,FALSE),0)+IF(AND(L1312="Cafco 300",J1312&gt;=95,J1312&lt;=400,G1312=3,C1312="IN",I1312=120),VLOOKUP(T1312,'CAFCO 300 IDIEM TABLAS'!$F$4:$H$35,3,FALSE),0)+IF(AND(L1312="Cafco 300",J1312&gt;=95,J1312&lt;=450,G1312=4,C1312="IN",I1312=90),VLOOKUP(T1312,'CAFCO 300 IDIEM TABLAS'!$J$4:$L$40,2,FALSE),0)+IF(AND(L1312="Cafco 300",J1312&gt;=95,J1312&lt;=450,G1312=4,C1312="IN",I1312=120),VLOOKUP(T1312,'CAFCO 300 IDIEM TABLAS'!$J$4:$L$40,3,FALSE),0)+IF(AND(M1312="Ensayo Idiem",L1312="Cafco 400",C1312="IN",G1312=4,I1312=90),VLOOKUP(T1312,'CAFCO 400 ENSAYO'!$B$7:$D$43,2,FALSE),0)+IF(AND(M1312="Ensayo Idiem",L1312="Cafco 400",C1312="IN",G1312=4,I1312=120),VLOOKUP(T1312,'CAFCO 400 ENSAYO'!$B$7:$D$43,3,FALSE),0)</f>
        <v>0</v>
      </c>
      <c r="O1312" s="96">
        <f t="shared" si="132"/>
        <v>0</v>
      </c>
      <c r="P1312" s="95" t="str">
        <f t="shared" si="127"/>
        <v>N/A</v>
      </c>
      <c r="Q1312" s="95" t="str">
        <f t="shared" si="128"/>
        <v>N/A</v>
      </c>
      <c r="R1312" s="95" t="str">
        <f t="shared" si="129"/>
        <v>NO CERT.</v>
      </c>
      <c r="S1312" s="95" t="e">
        <f t="shared" si="130"/>
        <v>#N/A</v>
      </c>
      <c r="T1312" s="119" t="e">
        <f>+IF(J1312=LOOKUP(J1312,'CAFCO 300 IDIEM TABLAS'!$J$4:$J$40),'CALCULO MORTERO'!J1312,MROUND('CALCULO MORTERO'!J1312,10))</f>
        <v>#N/A</v>
      </c>
      <c r="U1312" s="118">
        <f t="shared" si="131"/>
        <v>0</v>
      </c>
    </row>
    <row r="1313" spans="1:21" x14ac:dyDescent="0.25">
      <c r="A1313" s="118">
        <f>+CUBICACION!D1307</f>
        <v>0</v>
      </c>
      <c r="B1313" s="819">
        <f>+CUBICACION!E1307</f>
        <v>0</v>
      </c>
      <c r="C1313" s="675">
        <f>+CUBICACION!F1307</f>
        <v>0</v>
      </c>
      <c r="D1313" s="118"/>
      <c r="E1313" s="118"/>
      <c r="F1313" s="820"/>
      <c r="G1313" s="675">
        <f>+CUBICACION!J1307</f>
        <v>0</v>
      </c>
      <c r="H1313" s="118"/>
      <c r="I1313" s="821">
        <f>+CUBICACION!L1307</f>
        <v>0</v>
      </c>
      <c r="J1313" s="64">
        <f>+CUBICACION!M1307</f>
        <v>0</v>
      </c>
      <c r="K1313" s="822" t="str">
        <f>+CUBICACION!N1307</f>
        <v/>
      </c>
      <c r="L1313" s="118">
        <f>+CUBICACION!O1307</f>
        <v>0</v>
      </c>
      <c r="M1313" s="823">
        <f>+CUBICACION!P1307</f>
        <v>0</v>
      </c>
      <c r="N1313" s="902">
        <f>ROUND(IF(AND(L1313="Blaze Shield II",M1313="Software Idiem",C1313="IN",G1313=4),((('BLAZE SHIELD II'!$D$4*('CALCULO MORTERO'!I1313^2)+'BLAZE SHIELD II'!$D$5*'CALCULO MORTERO'!I1313+'BLAZE SHIELD II'!$D$6)*LN(J1313))+('BLAZE SHIELD II'!$D$7*('CALCULO MORTERO'!I1313^2)+'BLAZE SHIELD II'!$D$8*'CALCULO MORTERO'!I1313+'BLAZE SHIELD II'!$D$9)),0)+IF(AND(L1313="Blaze Shield II",M1313="Software Idiem",C1313="Cj"),((('BLAZE SHIELD II'!$H$4*('CALCULO MORTERO'!I1313^2)+'BLAZE SHIELD II'!$H$5*'CALCULO MORTERO'!I1313+'BLAZE SHIELD II'!$H$6)*LN(J1313))+('BLAZE SHIELD II'!$H$7*('CALCULO MORTERO'!I1313^2)+'BLAZE SHIELD II'!$H$8*'CALCULO MORTERO'!I1313+'BLAZE SHIELD II'!$H$9)),0)+IF(AND(L1313="Blaze Shield II",M1313="Software Idiem",C1313="C"),((('BLAZE SHIELD II'!$L$4*('CALCULO MORTERO'!I1313^2)+'BLAZE SHIELD II'!$L$5*'CALCULO MORTERO'!I1313+'BLAZE SHIELD II'!$L$6)*LN(J1313))+('BLAZE SHIELD II'!$L$7*('CALCULO MORTERO'!I1313^2)+'BLAZE SHIELD II'!$L$8*'CALCULO MORTERO'!I1313+'BLAZE SHIELD II'!$L$9)),0)+IF(AND(L1313="Blaze Shield II",M1313="Software Idiem",C1313="L"),((('BLAZE SHIELD II'!$L$4*('CALCULO MORTERO'!I1313^2)+'BLAZE SHIELD II'!$L$5*'CALCULO MORTERO'!I1313+'BLAZE SHIELD II'!$L$6)*LN(J1313))+('BLAZE SHIELD II'!$L$7*('CALCULO MORTERO'!I1313^2)+'BLAZE SHIELD II'!$L$8*'CALCULO MORTERO'!I1313+'BLAZE SHIELD II'!$L$9)),0)+IF(AND(L1313="Blaze Shield II",M1313="Software Idiem",C1313="IN",G1313=3),((('BLAZE SHIELD II'!$H$14*('CALCULO MORTERO'!I1313^2)+'BLAZE SHIELD II'!$H$15*'CALCULO MORTERO'!I1313+'BLAZE SHIELD II'!$H$16)*LN(J1313))+('BLAZE SHIELD II'!$H$17*('CALCULO MORTERO'!I1313^2)+'BLAZE SHIELD II'!$H$18*'CALCULO MORTERO'!I1313+'BLAZE SHIELD II'!$H$19)),0),0)+ROUND(IF(AND(L1313="Cafco 400",M1313="Software Idiem",C1313="IN",G1313=4),((('CAFCO 400 '!$H$7*(J1313^4)+'CAFCO 400 '!$H$8*(J1313^3)+'CAFCO 400 '!$H$9*(J1313^2)+'CAFCO 400 '!$H$10*J1313+'CAFCO 400 '!$H$11)*U1313^2)+(('CAFCO 400 '!$H$12*(J1313^3)+'CAFCO 400 '!$H$13*(J1313^2)+'CAFCO 400 '!$H$14*J1313+'CAFCO 400 '!$H$15)*U1313)+('CAFCO 400 '!$H$16*(J1313^2)+'CAFCO 400 '!$H$17*J1313+'CAFCO 400 '!$H$18)),0)+IF(AND(L1313="Cafco 400",M1313="Software Idiem",C1313="Cj"),(((('CAFCO 400 '!$D$7*LN(J1313)+'CAFCO 400 '!$D$8)*U1313^2)+(('CAFCO 400 '!$D$9*LN(J1313)+'CAFCO 400 '!$D$10)*U1313)+('CAFCO 400 '!$D$11*LN(J1313)+'CAFCO 400 '!$D$12))),0)+IF(AND(L1313="Cafco 400",M1313="Software Idiem",C1313="C"),((('CAFCO 400 '!$L$7*(J1313^3)+'CAFCO 400 '!$L$8*(J1313^2)+'CAFCO 400 '!$L$9*J1313+'CAFCO 400 '!$L$10)*U1313^2)+(('CAFCO 400 '!$L$11*(J1313^3)+'CAFCO 400 '!$L$12*(J1313^2)+'CAFCO 400 '!$L$13*J1313+'CAFCO 400 '!$L$14)*U1313)+('CAFCO 400 '!$L$15*LN(J1313)+'CAFCO 400 '!$L$16)),0)+IF(AND(L1313="Cafco 400",M1313="Software Idiem",C1313="L"),((('CAFCO 400 '!$L$7*(J1313^3)+'CAFCO 400 '!$L$8*(J1313^2)+'CAFCO 400 '!$L$9*J1313+'CAFCO 400 '!$L$10)*U1313^2)+(('CAFCO 400 '!$L$11*(J1313^3)+'CAFCO 400 '!$L$12*(J1313^2)+'CAFCO 400 '!$L$13*J1313+'CAFCO 400 '!$L$14)*U1313)+('CAFCO 400 '!$L$15*LN(J1313)+'CAFCO 400 '!$L$16)),0)+IF(AND(L1313="Cafco 400",M1313="Software Idiem",C1313="IN",G1313=3),((('CAFCO 400 '!$D$23*(J1313^2)+'CAFCO 400 '!$D$24*(J1313)+'CAFCO 400 '!$D$25)*U1313^2)+(('CAFCO 400 '!$D$26*(J1313^2)+'CAFCO 400 '!$D$27*J1313+'CAFCO 400 '!$D$28)*U1313)+('CAFCO 400 '!$D$29*(J1313^2)+'CAFCO 400 '!$D$30*J1313+'CAFCO 400 '!$D$31)),0),0)+IF(AND(L1313="Cafco 300",J1313&gt;=95,J1313&lt;=240,C1313="Cj",I1313=90),VLOOKUP(T1313,'CAFCO 300 IDIEM TABLAS'!$B$4:$D$23,2,FALSE),0)+IF(AND(L1313="Cafco 300",J1313&gt;=95,J1313&lt;=240,C1313="Cj",I1313=120),VLOOKUP(T1313,'CAFCO 300 IDIEM TABLAS'!$B$4:$D$23,3,FALSE),0)+IF(AND(L1313="Cafco 300",J1313&gt;=95,J1313&lt;=400,G1313=3,C1313="IN",I1313=90),VLOOKUP(T1313,'CAFCO 300 IDIEM TABLAS'!$F$4:$H$35,2,FALSE),0)+IF(AND(L1313="Cafco 300",J1313&gt;=95,J1313&lt;=400,G1313=3,C1313="IN",I1313=120),VLOOKUP(T1313,'CAFCO 300 IDIEM TABLAS'!$F$4:$H$35,3,FALSE),0)+IF(AND(L1313="Cafco 300",J1313&gt;=95,J1313&lt;=450,G1313=4,C1313="IN",I1313=90),VLOOKUP(T1313,'CAFCO 300 IDIEM TABLAS'!$J$4:$L$40,2,FALSE),0)+IF(AND(L1313="Cafco 300",J1313&gt;=95,J1313&lt;=450,G1313=4,C1313="IN",I1313=120),VLOOKUP(T1313,'CAFCO 300 IDIEM TABLAS'!$J$4:$L$40,3,FALSE),0)+IF(AND(M1313="Ensayo Idiem",L1313="Cafco 400",C1313="IN",G1313=4,I1313=90),VLOOKUP(T1313,'CAFCO 400 ENSAYO'!$B$7:$D$43,2,FALSE),0)+IF(AND(M1313="Ensayo Idiem",L1313="Cafco 400",C1313="IN",G1313=4,I1313=120),VLOOKUP(T1313,'CAFCO 400 ENSAYO'!$B$7:$D$43,3,FALSE),0)</f>
        <v>0</v>
      </c>
      <c r="O1313" s="96">
        <f t="shared" si="132"/>
        <v>0</v>
      </c>
      <c r="P1313" s="132" t="str">
        <f t="shared" si="127"/>
        <v>N/A</v>
      </c>
      <c r="Q1313" s="132" t="str">
        <f t="shared" si="128"/>
        <v>N/A</v>
      </c>
      <c r="R1313" s="132" t="str">
        <f t="shared" si="129"/>
        <v>NO CERT.</v>
      </c>
      <c r="S1313" s="132" t="e">
        <f t="shared" si="130"/>
        <v>#N/A</v>
      </c>
      <c r="T1313" s="133" t="e">
        <f>+IF(J1313=LOOKUP(J1313,'CAFCO 300 IDIEM TABLAS'!$J$4:$J$40),'CALCULO MORTERO'!J1313,MROUND('CALCULO MORTERO'!J1313,10))</f>
        <v>#N/A</v>
      </c>
      <c r="U1313" s="134">
        <f t="shared" si="131"/>
        <v>0</v>
      </c>
    </row>
    <row r="1314" spans="1:21" x14ac:dyDescent="0.25">
      <c r="A1314" s="118">
        <f>+CUBICACION!D1308</f>
        <v>0</v>
      </c>
      <c r="B1314" s="819">
        <f>+CUBICACION!E1308</f>
        <v>0</v>
      </c>
      <c r="C1314" s="675">
        <f>+CUBICACION!F1308</f>
        <v>0</v>
      </c>
      <c r="D1314" s="118"/>
      <c r="E1314" s="118"/>
      <c r="F1314" s="820"/>
      <c r="G1314" s="675">
        <f>+CUBICACION!J1308</f>
        <v>0</v>
      </c>
      <c r="H1314" s="118"/>
      <c r="I1314" s="821">
        <f>+CUBICACION!L1308</f>
        <v>0</v>
      </c>
      <c r="J1314" s="64">
        <f>+CUBICACION!M1308</f>
        <v>0</v>
      </c>
      <c r="K1314" s="822" t="str">
        <f>+CUBICACION!N1308</f>
        <v/>
      </c>
      <c r="L1314" s="118">
        <f>+CUBICACION!O1308</f>
        <v>0</v>
      </c>
      <c r="M1314" s="823">
        <f>+CUBICACION!P1308</f>
        <v>0</v>
      </c>
      <c r="N1314" s="902">
        <f>ROUND(IF(AND(L1314="Blaze Shield II",M1314="Software Idiem",C1314="IN",G1314=4),((('BLAZE SHIELD II'!$D$4*('CALCULO MORTERO'!I1314^2)+'BLAZE SHIELD II'!$D$5*'CALCULO MORTERO'!I1314+'BLAZE SHIELD II'!$D$6)*LN(J1314))+('BLAZE SHIELD II'!$D$7*('CALCULO MORTERO'!I1314^2)+'BLAZE SHIELD II'!$D$8*'CALCULO MORTERO'!I1314+'BLAZE SHIELD II'!$D$9)),0)+IF(AND(L1314="Blaze Shield II",M1314="Software Idiem",C1314="Cj"),((('BLAZE SHIELD II'!$H$4*('CALCULO MORTERO'!I1314^2)+'BLAZE SHIELD II'!$H$5*'CALCULO MORTERO'!I1314+'BLAZE SHIELD II'!$H$6)*LN(J1314))+('BLAZE SHIELD II'!$H$7*('CALCULO MORTERO'!I1314^2)+'BLAZE SHIELD II'!$H$8*'CALCULO MORTERO'!I1314+'BLAZE SHIELD II'!$H$9)),0)+IF(AND(L1314="Blaze Shield II",M1314="Software Idiem",C1314="C"),((('BLAZE SHIELD II'!$L$4*('CALCULO MORTERO'!I1314^2)+'BLAZE SHIELD II'!$L$5*'CALCULO MORTERO'!I1314+'BLAZE SHIELD II'!$L$6)*LN(J1314))+('BLAZE SHIELD II'!$L$7*('CALCULO MORTERO'!I1314^2)+'BLAZE SHIELD II'!$L$8*'CALCULO MORTERO'!I1314+'BLAZE SHIELD II'!$L$9)),0)+IF(AND(L1314="Blaze Shield II",M1314="Software Idiem",C1314="L"),((('BLAZE SHIELD II'!$L$4*('CALCULO MORTERO'!I1314^2)+'BLAZE SHIELD II'!$L$5*'CALCULO MORTERO'!I1314+'BLAZE SHIELD II'!$L$6)*LN(J1314))+('BLAZE SHIELD II'!$L$7*('CALCULO MORTERO'!I1314^2)+'BLAZE SHIELD II'!$L$8*'CALCULO MORTERO'!I1314+'BLAZE SHIELD II'!$L$9)),0)+IF(AND(L1314="Blaze Shield II",M1314="Software Idiem",C1314="IN",G1314=3),((('BLAZE SHIELD II'!$H$14*('CALCULO MORTERO'!I1314^2)+'BLAZE SHIELD II'!$H$15*'CALCULO MORTERO'!I1314+'BLAZE SHIELD II'!$H$16)*LN(J1314))+('BLAZE SHIELD II'!$H$17*('CALCULO MORTERO'!I1314^2)+'BLAZE SHIELD II'!$H$18*'CALCULO MORTERO'!I1314+'BLAZE SHIELD II'!$H$19)),0),0)+ROUND(IF(AND(L1314="Cafco 400",M1314="Software Idiem",C1314="IN",G1314=4),((('CAFCO 400 '!$H$7*(J1314^4)+'CAFCO 400 '!$H$8*(J1314^3)+'CAFCO 400 '!$H$9*(J1314^2)+'CAFCO 400 '!$H$10*J1314+'CAFCO 400 '!$H$11)*U1314^2)+(('CAFCO 400 '!$H$12*(J1314^3)+'CAFCO 400 '!$H$13*(J1314^2)+'CAFCO 400 '!$H$14*J1314+'CAFCO 400 '!$H$15)*U1314)+('CAFCO 400 '!$H$16*(J1314^2)+'CAFCO 400 '!$H$17*J1314+'CAFCO 400 '!$H$18)),0)+IF(AND(L1314="Cafco 400",M1314="Software Idiem",C1314="Cj"),(((('CAFCO 400 '!$D$7*LN(J1314)+'CAFCO 400 '!$D$8)*U1314^2)+(('CAFCO 400 '!$D$9*LN(J1314)+'CAFCO 400 '!$D$10)*U1314)+('CAFCO 400 '!$D$11*LN(J1314)+'CAFCO 400 '!$D$12))),0)+IF(AND(L1314="Cafco 400",M1314="Software Idiem",C1314="C"),((('CAFCO 400 '!$L$7*(J1314^3)+'CAFCO 400 '!$L$8*(J1314^2)+'CAFCO 400 '!$L$9*J1314+'CAFCO 400 '!$L$10)*U1314^2)+(('CAFCO 400 '!$L$11*(J1314^3)+'CAFCO 400 '!$L$12*(J1314^2)+'CAFCO 400 '!$L$13*J1314+'CAFCO 400 '!$L$14)*U1314)+('CAFCO 400 '!$L$15*LN(J1314)+'CAFCO 400 '!$L$16)),0)+IF(AND(L1314="Cafco 400",M1314="Software Idiem",C1314="L"),((('CAFCO 400 '!$L$7*(J1314^3)+'CAFCO 400 '!$L$8*(J1314^2)+'CAFCO 400 '!$L$9*J1314+'CAFCO 400 '!$L$10)*U1314^2)+(('CAFCO 400 '!$L$11*(J1314^3)+'CAFCO 400 '!$L$12*(J1314^2)+'CAFCO 400 '!$L$13*J1314+'CAFCO 400 '!$L$14)*U1314)+('CAFCO 400 '!$L$15*LN(J1314)+'CAFCO 400 '!$L$16)),0)+IF(AND(L1314="Cafco 400",M1314="Software Idiem",C1314="IN",G1314=3),((('CAFCO 400 '!$D$23*(J1314^2)+'CAFCO 400 '!$D$24*(J1314)+'CAFCO 400 '!$D$25)*U1314^2)+(('CAFCO 400 '!$D$26*(J1314^2)+'CAFCO 400 '!$D$27*J1314+'CAFCO 400 '!$D$28)*U1314)+('CAFCO 400 '!$D$29*(J1314^2)+'CAFCO 400 '!$D$30*J1314+'CAFCO 400 '!$D$31)),0),0)+IF(AND(L1314="Cafco 300",J1314&gt;=95,J1314&lt;=240,C1314="Cj",I1314=90),VLOOKUP(T1314,'CAFCO 300 IDIEM TABLAS'!$B$4:$D$23,2,FALSE),0)+IF(AND(L1314="Cafco 300",J1314&gt;=95,J1314&lt;=240,C1314="Cj",I1314=120),VLOOKUP(T1314,'CAFCO 300 IDIEM TABLAS'!$B$4:$D$23,3,FALSE),0)+IF(AND(L1314="Cafco 300",J1314&gt;=95,J1314&lt;=400,G1314=3,C1314="IN",I1314=90),VLOOKUP(T1314,'CAFCO 300 IDIEM TABLAS'!$F$4:$H$35,2,FALSE),0)+IF(AND(L1314="Cafco 300",J1314&gt;=95,J1314&lt;=400,G1314=3,C1314="IN",I1314=120),VLOOKUP(T1314,'CAFCO 300 IDIEM TABLAS'!$F$4:$H$35,3,FALSE),0)+IF(AND(L1314="Cafco 300",J1314&gt;=95,J1314&lt;=450,G1314=4,C1314="IN",I1314=90),VLOOKUP(T1314,'CAFCO 300 IDIEM TABLAS'!$J$4:$L$40,2,FALSE),0)+IF(AND(L1314="Cafco 300",J1314&gt;=95,J1314&lt;=450,G1314=4,C1314="IN",I1314=120),VLOOKUP(T1314,'CAFCO 300 IDIEM TABLAS'!$J$4:$L$40,3,FALSE),0)+IF(AND(M1314="Ensayo Idiem",L1314="Cafco 400",C1314="IN",G1314=4,I1314=90),VLOOKUP(T1314,'CAFCO 400 ENSAYO'!$B$7:$D$43,2,FALSE),0)+IF(AND(M1314="Ensayo Idiem",L1314="Cafco 400",C1314="IN",G1314=4,I1314=120),VLOOKUP(T1314,'CAFCO 400 ENSAYO'!$B$7:$D$43,3,FALSE),0)</f>
        <v>0</v>
      </c>
      <c r="O1314" s="96">
        <f t="shared" si="132"/>
        <v>0</v>
      </c>
      <c r="P1314" s="95" t="str">
        <f t="shared" si="127"/>
        <v>N/A</v>
      </c>
      <c r="Q1314" s="95" t="str">
        <f t="shared" si="128"/>
        <v>N/A</v>
      </c>
      <c r="R1314" s="95" t="str">
        <f t="shared" si="129"/>
        <v>NO CERT.</v>
      </c>
      <c r="S1314" s="95" t="e">
        <f t="shared" si="130"/>
        <v>#N/A</v>
      </c>
      <c r="T1314" s="119" t="e">
        <f>+IF(J1314=LOOKUP(J1314,'CAFCO 300 IDIEM TABLAS'!$J$4:$J$40),'CALCULO MORTERO'!J1314,MROUND('CALCULO MORTERO'!J1314,10))</f>
        <v>#N/A</v>
      </c>
      <c r="U1314" s="118">
        <f t="shared" si="131"/>
        <v>0</v>
      </c>
    </row>
    <row r="1315" spans="1:21" x14ac:dyDescent="0.25">
      <c r="A1315" s="118">
        <f>+CUBICACION!D1309</f>
        <v>0</v>
      </c>
      <c r="B1315" s="819">
        <f>+CUBICACION!E1309</f>
        <v>0</v>
      </c>
      <c r="C1315" s="675">
        <f>+CUBICACION!F1309</f>
        <v>0</v>
      </c>
      <c r="D1315" s="118"/>
      <c r="E1315" s="118"/>
      <c r="F1315" s="820"/>
      <c r="G1315" s="675">
        <f>+CUBICACION!J1309</f>
        <v>0</v>
      </c>
      <c r="H1315" s="118"/>
      <c r="I1315" s="821">
        <f>+CUBICACION!L1309</f>
        <v>0</v>
      </c>
      <c r="J1315" s="64">
        <f>+CUBICACION!M1309</f>
        <v>0</v>
      </c>
      <c r="K1315" s="822" t="str">
        <f>+CUBICACION!N1309</f>
        <v/>
      </c>
      <c r="L1315" s="118">
        <f>+CUBICACION!O1309</f>
        <v>0</v>
      </c>
      <c r="M1315" s="823">
        <f>+CUBICACION!P1309</f>
        <v>0</v>
      </c>
      <c r="N1315" s="902">
        <f>ROUND(IF(AND(L1315="Blaze Shield II",M1315="Software Idiem",C1315="IN",G1315=4),((('BLAZE SHIELD II'!$D$4*('CALCULO MORTERO'!I1315^2)+'BLAZE SHIELD II'!$D$5*'CALCULO MORTERO'!I1315+'BLAZE SHIELD II'!$D$6)*LN(J1315))+('BLAZE SHIELD II'!$D$7*('CALCULO MORTERO'!I1315^2)+'BLAZE SHIELD II'!$D$8*'CALCULO MORTERO'!I1315+'BLAZE SHIELD II'!$D$9)),0)+IF(AND(L1315="Blaze Shield II",M1315="Software Idiem",C1315="Cj"),((('BLAZE SHIELD II'!$H$4*('CALCULO MORTERO'!I1315^2)+'BLAZE SHIELD II'!$H$5*'CALCULO MORTERO'!I1315+'BLAZE SHIELD II'!$H$6)*LN(J1315))+('BLAZE SHIELD II'!$H$7*('CALCULO MORTERO'!I1315^2)+'BLAZE SHIELD II'!$H$8*'CALCULO MORTERO'!I1315+'BLAZE SHIELD II'!$H$9)),0)+IF(AND(L1315="Blaze Shield II",M1315="Software Idiem",C1315="C"),((('BLAZE SHIELD II'!$L$4*('CALCULO MORTERO'!I1315^2)+'BLAZE SHIELD II'!$L$5*'CALCULO MORTERO'!I1315+'BLAZE SHIELD II'!$L$6)*LN(J1315))+('BLAZE SHIELD II'!$L$7*('CALCULO MORTERO'!I1315^2)+'BLAZE SHIELD II'!$L$8*'CALCULO MORTERO'!I1315+'BLAZE SHIELD II'!$L$9)),0)+IF(AND(L1315="Blaze Shield II",M1315="Software Idiem",C1315="L"),((('BLAZE SHIELD II'!$L$4*('CALCULO MORTERO'!I1315^2)+'BLAZE SHIELD II'!$L$5*'CALCULO MORTERO'!I1315+'BLAZE SHIELD II'!$L$6)*LN(J1315))+('BLAZE SHIELD II'!$L$7*('CALCULO MORTERO'!I1315^2)+'BLAZE SHIELD II'!$L$8*'CALCULO MORTERO'!I1315+'BLAZE SHIELD II'!$L$9)),0)+IF(AND(L1315="Blaze Shield II",M1315="Software Idiem",C1315="IN",G1315=3),((('BLAZE SHIELD II'!$H$14*('CALCULO MORTERO'!I1315^2)+'BLAZE SHIELD II'!$H$15*'CALCULO MORTERO'!I1315+'BLAZE SHIELD II'!$H$16)*LN(J1315))+('BLAZE SHIELD II'!$H$17*('CALCULO MORTERO'!I1315^2)+'BLAZE SHIELD II'!$H$18*'CALCULO MORTERO'!I1315+'BLAZE SHIELD II'!$H$19)),0),0)+ROUND(IF(AND(L1315="Cafco 400",M1315="Software Idiem",C1315="IN",G1315=4),((('CAFCO 400 '!$H$7*(J1315^4)+'CAFCO 400 '!$H$8*(J1315^3)+'CAFCO 400 '!$H$9*(J1315^2)+'CAFCO 400 '!$H$10*J1315+'CAFCO 400 '!$H$11)*U1315^2)+(('CAFCO 400 '!$H$12*(J1315^3)+'CAFCO 400 '!$H$13*(J1315^2)+'CAFCO 400 '!$H$14*J1315+'CAFCO 400 '!$H$15)*U1315)+('CAFCO 400 '!$H$16*(J1315^2)+'CAFCO 400 '!$H$17*J1315+'CAFCO 400 '!$H$18)),0)+IF(AND(L1315="Cafco 400",M1315="Software Idiem",C1315="Cj"),(((('CAFCO 400 '!$D$7*LN(J1315)+'CAFCO 400 '!$D$8)*U1315^2)+(('CAFCO 400 '!$D$9*LN(J1315)+'CAFCO 400 '!$D$10)*U1315)+('CAFCO 400 '!$D$11*LN(J1315)+'CAFCO 400 '!$D$12))),0)+IF(AND(L1315="Cafco 400",M1315="Software Idiem",C1315="C"),((('CAFCO 400 '!$L$7*(J1315^3)+'CAFCO 400 '!$L$8*(J1315^2)+'CAFCO 400 '!$L$9*J1315+'CAFCO 400 '!$L$10)*U1315^2)+(('CAFCO 400 '!$L$11*(J1315^3)+'CAFCO 400 '!$L$12*(J1315^2)+'CAFCO 400 '!$L$13*J1315+'CAFCO 400 '!$L$14)*U1315)+('CAFCO 400 '!$L$15*LN(J1315)+'CAFCO 400 '!$L$16)),0)+IF(AND(L1315="Cafco 400",M1315="Software Idiem",C1315="L"),((('CAFCO 400 '!$L$7*(J1315^3)+'CAFCO 400 '!$L$8*(J1315^2)+'CAFCO 400 '!$L$9*J1315+'CAFCO 400 '!$L$10)*U1315^2)+(('CAFCO 400 '!$L$11*(J1315^3)+'CAFCO 400 '!$L$12*(J1315^2)+'CAFCO 400 '!$L$13*J1315+'CAFCO 400 '!$L$14)*U1315)+('CAFCO 400 '!$L$15*LN(J1315)+'CAFCO 400 '!$L$16)),0)+IF(AND(L1315="Cafco 400",M1315="Software Idiem",C1315="IN",G1315=3),((('CAFCO 400 '!$D$23*(J1315^2)+'CAFCO 400 '!$D$24*(J1315)+'CAFCO 400 '!$D$25)*U1315^2)+(('CAFCO 400 '!$D$26*(J1315^2)+'CAFCO 400 '!$D$27*J1315+'CAFCO 400 '!$D$28)*U1315)+('CAFCO 400 '!$D$29*(J1315^2)+'CAFCO 400 '!$D$30*J1315+'CAFCO 400 '!$D$31)),0),0)+IF(AND(L1315="Cafco 300",J1315&gt;=95,J1315&lt;=240,C1315="Cj",I1315=90),VLOOKUP(T1315,'CAFCO 300 IDIEM TABLAS'!$B$4:$D$23,2,FALSE),0)+IF(AND(L1315="Cafco 300",J1315&gt;=95,J1315&lt;=240,C1315="Cj",I1315=120),VLOOKUP(T1315,'CAFCO 300 IDIEM TABLAS'!$B$4:$D$23,3,FALSE),0)+IF(AND(L1315="Cafco 300",J1315&gt;=95,J1315&lt;=400,G1315=3,C1315="IN",I1315=90),VLOOKUP(T1315,'CAFCO 300 IDIEM TABLAS'!$F$4:$H$35,2,FALSE),0)+IF(AND(L1315="Cafco 300",J1315&gt;=95,J1315&lt;=400,G1315=3,C1315="IN",I1315=120),VLOOKUP(T1315,'CAFCO 300 IDIEM TABLAS'!$F$4:$H$35,3,FALSE),0)+IF(AND(L1315="Cafco 300",J1315&gt;=95,J1315&lt;=450,G1315=4,C1315="IN",I1315=90),VLOOKUP(T1315,'CAFCO 300 IDIEM TABLAS'!$J$4:$L$40,2,FALSE),0)+IF(AND(L1315="Cafco 300",J1315&gt;=95,J1315&lt;=450,G1315=4,C1315="IN",I1315=120),VLOOKUP(T1315,'CAFCO 300 IDIEM TABLAS'!$J$4:$L$40,3,FALSE),0)+IF(AND(M1315="Ensayo Idiem",L1315="Cafco 400",C1315="IN",G1315=4,I1315=90),VLOOKUP(T1315,'CAFCO 400 ENSAYO'!$B$7:$D$43,2,FALSE),0)+IF(AND(M1315="Ensayo Idiem",L1315="Cafco 400",C1315="IN",G1315=4,I1315=120),VLOOKUP(T1315,'CAFCO 400 ENSAYO'!$B$7:$D$43,3,FALSE),0)</f>
        <v>0</v>
      </c>
      <c r="O1315" s="96">
        <f t="shared" si="132"/>
        <v>0</v>
      </c>
      <c r="P1315" s="132" t="str">
        <f t="shared" si="127"/>
        <v>N/A</v>
      </c>
      <c r="Q1315" s="132" t="str">
        <f t="shared" si="128"/>
        <v>N/A</v>
      </c>
      <c r="R1315" s="132" t="str">
        <f t="shared" si="129"/>
        <v>NO CERT.</v>
      </c>
      <c r="S1315" s="132" t="e">
        <f t="shared" si="130"/>
        <v>#N/A</v>
      </c>
      <c r="T1315" s="133" t="e">
        <f>+IF(J1315=LOOKUP(J1315,'CAFCO 300 IDIEM TABLAS'!$J$4:$J$40),'CALCULO MORTERO'!J1315,MROUND('CALCULO MORTERO'!J1315,10))</f>
        <v>#N/A</v>
      </c>
      <c r="U1315" s="134">
        <f t="shared" si="131"/>
        <v>0</v>
      </c>
    </row>
    <row r="1316" spans="1:21" x14ac:dyDescent="0.25">
      <c r="A1316" s="118">
        <f>+CUBICACION!D1310</f>
        <v>0</v>
      </c>
      <c r="B1316" s="819">
        <f>+CUBICACION!E1310</f>
        <v>0</v>
      </c>
      <c r="C1316" s="675">
        <f>+CUBICACION!F1310</f>
        <v>0</v>
      </c>
      <c r="D1316" s="118"/>
      <c r="E1316" s="118"/>
      <c r="F1316" s="820"/>
      <c r="G1316" s="675">
        <f>+CUBICACION!J1310</f>
        <v>0</v>
      </c>
      <c r="H1316" s="118"/>
      <c r="I1316" s="821">
        <f>+CUBICACION!L1310</f>
        <v>0</v>
      </c>
      <c r="J1316" s="64">
        <f>+CUBICACION!M1310</f>
        <v>0</v>
      </c>
      <c r="K1316" s="822" t="str">
        <f>+CUBICACION!N1310</f>
        <v/>
      </c>
      <c r="L1316" s="118">
        <f>+CUBICACION!O1310</f>
        <v>0</v>
      </c>
      <c r="M1316" s="823">
        <f>+CUBICACION!P1310</f>
        <v>0</v>
      </c>
      <c r="N1316" s="902">
        <f>ROUND(IF(AND(L1316="Blaze Shield II",M1316="Software Idiem",C1316="IN",G1316=4),((('BLAZE SHIELD II'!$D$4*('CALCULO MORTERO'!I1316^2)+'BLAZE SHIELD II'!$D$5*'CALCULO MORTERO'!I1316+'BLAZE SHIELD II'!$D$6)*LN(J1316))+('BLAZE SHIELD II'!$D$7*('CALCULO MORTERO'!I1316^2)+'BLAZE SHIELD II'!$D$8*'CALCULO MORTERO'!I1316+'BLAZE SHIELD II'!$D$9)),0)+IF(AND(L1316="Blaze Shield II",M1316="Software Idiem",C1316="Cj"),((('BLAZE SHIELD II'!$H$4*('CALCULO MORTERO'!I1316^2)+'BLAZE SHIELD II'!$H$5*'CALCULO MORTERO'!I1316+'BLAZE SHIELD II'!$H$6)*LN(J1316))+('BLAZE SHIELD II'!$H$7*('CALCULO MORTERO'!I1316^2)+'BLAZE SHIELD II'!$H$8*'CALCULO MORTERO'!I1316+'BLAZE SHIELD II'!$H$9)),0)+IF(AND(L1316="Blaze Shield II",M1316="Software Idiem",C1316="C"),((('BLAZE SHIELD II'!$L$4*('CALCULO MORTERO'!I1316^2)+'BLAZE SHIELD II'!$L$5*'CALCULO MORTERO'!I1316+'BLAZE SHIELD II'!$L$6)*LN(J1316))+('BLAZE SHIELD II'!$L$7*('CALCULO MORTERO'!I1316^2)+'BLAZE SHIELD II'!$L$8*'CALCULO MORTERO'!I1316+'BLAZE SHIELD II'!$L$9)),0)+IF(AND(L1316="Blaze Shield II",M1316="Software Idiem",C1316="L"),((('BLAZE SHIELD II'!$L$4*('CALCULO MORTERO'!I1316^2)+'BLAZE SHIELD II'!$L$5*'CALCULO MORTERO'!I1316+'BLAZE SHIELD II'!$L$6)*LN(J1316))+('BLAZE SHIELD II'!$L$7*('CALCULO MORTERO'!I1316^2)+'BLAZE SHIELD II'!$L$8*'CALCULO MORTERO'!I1316+'BLAZE SHIELD II'!$L$9)),0)+IF(AND(L1316="Blaze Shield II",M1316="Software Idiem",C1316="IN",G1316=3),((('BLAZE SHIELD II'!$H$14*('CALCULO MORTERO'!I1316^2)+'BLAZE SHIELD II'!$H$15*'CALCULO MORTERO'!I1316+'BLAZE SHIELD II'!$H$16)*LN(J1316))+('BLAZE SHIELD II'!$H$17*('CALCULO MORTERO'!I1316^2)+'BLAZE SHIELD II'!$H$18*'CALCULO MORTERO'!I1316+'BLAZE SHIELD II'!$H$19)),0),0)+ROUND(IF(AND(L1316="Cafco 400",M1316="Software Idiem",C1316="IN",G1316=4),((('CAFCO 400 '!$H$7*(J1316^4)+'CAFCO 400 '!$H$8*(J1316^3)+'CAFCO 400 '!$H$9*(J1316^2)+'CAFCO 400 '!$H$10*J1316+'CAFCO 400 '!$H$11)*U1316^2)+(('CAFCO 400 '!$H$12*(J1316^3)+'CAFCO 400 '!$H$13*(J1316^2)+'CAFCO 400 '!$H$14*J1316+'CAFCO 400 '!$H$15)*U1316)+('CAFCO 400 '!$H$16*(J1316^2)+'CAFCO 400 '!$H$17*J1316+'CAFCO 400 '!$H$18)),0)+IF(AND(L1316="Cafco 400",M1316="Software Idiem",C1316="Cj"),(((('CAFCO 400 '!$D$7*LN(J1316)+'CAFCO 400 '!$D$8)*U1316^2)+(('CAFCO 400 '!$D$9*LN(J1316)+'CAFCO 400 '!$D$10)*U1316)+('CAFCO 400 '!$D$11*LN(J1316)+'CAFCO 400 '!$D$12))),0)+IF(AND(L1316="Cafco 400",M1316="Software Idiem",C1316="C"),((('CAFCO 400 '!$L$7*(J1316^3)+'CAFCO 400 '!$L$8*(J1316^2)+'CAFCO 400 '!$L$9*J1316+'CAFCO 400 '!$L$10)*U1316^2)+(('CAFCO 400 '!$L$11*(J1316^3)+'CAFCO 400 '!$L$12*(J1316^2)+'CAFCO 400 '!$L$13*J1316+'CAFCO 400 '!$L$14)*U1316)+('CAFCO 400 '!$L$15*LN(J1316)+'CAFCO 400 '!$L$16)),0)+IF(AND(L1316="Cafco 400",M1316="Software Idiem",C1316="L"),((('CAFCO 400 '!$L$7*(J1316^3)+'CAFCO 400 '!$L$8*(J1316^2)+'CAFCO 400 '!$L$9*J1316+'CAFCO 400 '!$L$10)*U1316^2)+(('CAFCO 400 '!$L$11*(J1316^3)+'CAFCO 400 '!$L$12*(J1316^2)+'CAFCO 400 '!$L$13*J1316+'CAFCO 400 '!$L$14)*U1316)+('CAFCO 400 '!$L$15*LN(J1316)+'CAFCO 400 '!$L$16)),0)+IF(AND(L1316="Cafco 400",M1316="Software Idiem",C1316="IN",G1316=3),((('CAFCO 400 '!$D$23*(J1316^2)+'CAFCO 400 '!$D$24*(J1316)+'CAFCO 400 '!$D$25)*U1316^2)+(('CAFCO 400 '!$D$26*(J1316^2)+'CAFCO 400 '!$D$27*J1316+'CAFCO 400 '!$D$28)*U1316)+('CAFCO 400 '!$D$29*(J1316^2)+'CAFCO 400 '!$D$30*J1316+'CAFCO 400 '!$D$31)),0),0)+IF(AND(L1316="Cafco 300",J1316&gt;=95,J1316&lt;=240,C1316="Cj",I1316=90),VLOOKUP(T1316,'CAFCO 300 IDIEM TABLAS'!$B$4:$D$23,2,FALSE),0)+IF(AND(L1316="Cafco 300",J1316&gt;=95,J1316&lt;=240,C1316="Cj",I1316=120),VLOOKUP(T1316,'CAFCO 300 IDIEM TABLAS'!$B$4:$D$23,3,FALSE),0)+IF(AND(L1316="Cafco 300",J1316&gt;=95,J1316&lt;=400,G1316=3,C1316="IN",I1316=90),VLOOKUP(T1316,'CAFCO 300 IDIEM TABLAS'!$F$4:$H$35,2,FALSE),0)+IF(AND(L1316="Cafco 300",J1316&gt;=95,J1316&lt;=400,G1316=3,C1316="IN",I1316=120),VLOOKUP(T1316,'CAFCO 300 IDIEM TABLAS'!$F$4:$H$35,3,FALSE),0)+IF(AND(L1316="Cafco 300",J1316&gt;=95,J1316&lt;=450,G1316=4,C1316="IN",I1316=90),VLOOKUP(T1316,'CAFCO 300 IDIEM TABLAS'!$J$4:$L$40,2,FALSE),0)+IF(AND(L1316="Cafco 300",J1316&gt;=95,J1316&lt;=450,G1316=4,C1316="IN",I1316=120),VLOOKUP(T1316,'CAFCO 300 IDIEM TABLAS'!$J$4:$L$40,3,FALSE),0)+IF(AND(M1316="Ensayo Idiem",L1316="Cafco 400",C1316="IN",G1316=4,I1316=90),VLOOKUP(T1316,'CAFCO 400 ENSAYO'!$B$7:$D$43,2,FALSE),0)+IF(AND(M1316="Ensayo Idiem",L1316="Cafco 400",C1316="IN",G1316=4,I1316=120),VLOOKUP(T1316,'CAFCO 400 ENSAYO'!$B$7:$D$43,3,FALSE),0)</f>
        <v>0</v>
      </c>
      <c r="O1316" s="96">
        <f t="shared" si="132"/>
        <v>0</v>
      </c>
      <c r="P1316" s="95" t="str">
        <f t="shared" si="127"/>
        <v>N/A</v>
      </c>
      <c r="Q1316" s="95" t="str">
        <f t="shared" si="128"/>
        <v>N/A</v>
      </c>
      <c r="R1316" s="95" t="str">
        <f t="shared" si="129"/>
        <v>NO CERT.</v>
      </c>
      <c r="S1316" s="95" t="e">
        <f t="shared" si="130"/>
        <v>#N/A</v>
      </c>
      <c r="T1316" s="119" t="e">
        <f>+IF(J1316=LOOKUP(J1316,'CAFCO 300 IDIEM TABLAS'!$J$4:$J$40),'CALCULO MORTERO'!J1316,MROUND('CALCULO MORTERO'!J1316,10))</f>
        <v>#N/A</v>
      </c>
      <c r="U1316" s="118">
        <f t="shared" si="131"/>
        <v>0</v>
      </c>
    </row>
    <row r="1317" spans="1:21" x14ac:dyDescent="0.25">
      <c r="A1317" s="118">
        <f>+CUBICACION!D1311</f>
        <v>0</v>
      </c>
      <c r="B1317" s="819">
        <f>+CUBICACION!E1311</f>
        <v>0</v>
      </c>
      <c r="C1317" s="675">
        <f>+CUBICACION!F1311</f>
        <v>0</v>
      </c>
      <c r="D1317" s="118"/>
      <c r="E1317" s="118"/>
      <c r="F1317" s="820"/>
      <c r="G1317" s="675">
        <f>+CUBICACION!J1311</f>
        <v>0</v>
      </c>
      <c r="H1317" s="118"/>
      <c r="I1317" s="821">
        <f>+CUBICACION!L1311</f>
        <v>0</v>
      </c>
      <c r="J1317" s="64">
        <f>+CUBICACION!M1311</f>
        <v>0</v>
      </c>
      <c r="K1317" s="822" t="str">
        <f>+CUBICACION!N1311</f>
        <v/>
      </c>
      <c r="L1317" s="118">
        <f>+CUBICACION!O1311</f>
        <v>0</v>
      </c>
      <c r="M1317" s="823">
        <f>+CUBICACION!P1311</f>
        <v>0</v>
      </c>
      <c r="N1317" s="902">
        <f>ROUND(IF(AND(L1317="Blaze Shield II",M1317="Software Idiem",C1317="IN",G1317=4),((('BLAZE SHIELD II'!$D$4*('CALCULO MORTERO'!I1317^2)+'BLAZE SHIELD II'!$D$5*'CALCULO MORTERO'!I1317+'BLAZE SHIELD II'!$D$6)*LN(J1317))+('BLAZE SHIELD II'!$D$7*('CALCULO MORTERO'!I1317^2)+'BLAZE SHIELD II'!$D$8*'CALCULO MORTERO'!I1317+'BLAZE SHIELD II'!$D$9)),0)+IF(AND(L1317="Blaze Shield II",M1317="Software Idiem",C1317="Cj"),((('BLAZE SHIELD II'!$H$4*('CALCULO MORTERO'!I1317^2)+'BLAZE SHIELD II'!$H$5*'CALCULO MORTERO'!I1317+'BLAZE SHIELD II'!$H$6)*LN(J1317))+('BLAZE SHIELD II'!$H$7*('CALCULO MORTERO'!I1317^2)+'BLAZE SHIELD II'!$H$8*'CALCULO MORTERO'!I1317+'BLAZE SHIELD II'!$H$9)),0)+IF(AND(L1317="Blaze Shield II",M1317="Software Idiem",C1317="C"),((('BLAZE SHIELD II'!$L$4*('CALCULO MORTERO'!I1317^2)+'BLAZE SHIELD II'!$L$5*'CALCULO MORTERO'!I1317+'BLAZE SHIELD II'!$L$6)*LN(J1317))+('BLAZE SHIELD II'!$L$7*('CALCULO MORTERO'!I1317^2)+'BLAZE SHIELD II'!$L$8*'CALCULO MORTERO'!I1317+'BLAZE SHIELD II'!$L$9)),0)+IF(AND(L1317="Blaze Shield II",M1317="Software Idiem",C1317="L"),((('BLAZE SHIELD II'!$L$4*('CALCULO MORTERO'!I1317^2)+'BLAZE SHIELD II'!$L$5*'CALCULO MORTERO'!I1317+'BLAZE SHIELD II'!$L$6)*LN(J1317))+('BLAZE SHIELD II'!$L$7*('CALCULO MORTERO'!I1317^2)+'BLAZE SHIELD II'!$L$8*'CALCULO MORTERO'!I1317+'BLAZE SHIELD II'!$L$9)),0)+IF(AND(L1317="Blaze Shield II",M1317="Software Idiem",C1317="IN",G1317=3),((('BLAZE SHIELD II'!$H$14*('CALCULO MORTERO'!I1317^2)+'BLAZE SHIELD II'!$H$15*'CALCULO MORTERO'!I1317+'BLAZE SHIELD II'!$H$16)*LN(J1317))+('BLAZE SHIELD II'!$H$17*('CALCULO MORTERO'!I1317^2)+'BLAZE SHIELD II'!$H$18*'CALCULO MORTERO'!I1317+'BLAZE SHIELD II'!$H$19)),0),0)+ROUND(IF(AND(L1317="Cafco 400",M1317="Software Idiem",C1317="IN",G1317=4),((('CAFCO 400 '!$H$7*(J1317^4)+'CAFCO 400 '!$H$8*(J1317^3)+'CAFCO 400 '!$H$9*(J1317^2)+'CAFCO 400 '!$H$10*J1317+'CAFCO 400 '!$H$11)*U1317^2)+(('CAFCO 400 '!$H$12*(J1317^3)+'CAFCO 400 '!$H$13*(J1317^2)+'CAFCO 400 '!$H$14*J1317+'CAFCO 400 '!$H$15)*U1317)+('CAFCO 400 '!$H$16*(J1317^2)+'CAFCO 400 '!$H$17*J1317+'CAFCO 400 '!$H$18)),0)+IF(AND(L1317="Cafco 400",M1317="Software Idiem",C1317="Cj"),(((('CAFCO 400 '!$D$7*LN(J1317)+'CAFCO 400 '!$D$8)*U1317^2)+(('CAFCO 400 '!$D$9*LN(J1317)+'CAFCO 400 '!$D$10)*U1317)+('CAFCO 400 '!$D$11*LN(J1317)+'CAFCO 400 '!$D$12))),0)+IF(AND(L1317="Cafco 400",M1317="Software Idiem",C1317="C"),((('CAFCO 400 '!$L$7*(J1317^3)+'CAFCO 400 '!$L$8*(J1317^2)+'CAFCO 400 '!$L$9*J1317+'CAFCO 400 '!$L$10)*U1317^2)+(('CAFCO 400 '!$L$11*(J1317^3)+'CAFCO 400 '!$L$12*(J1317^2)+'CAFCO 400 '!$L$13*J1317+'CAFCO 400 '!$L$14)*U1317)+('CAFCO 400 '!$L$15*LN(J1317)+'CAFCO 400 '!$L$16)),0)+IF(AND(L1317="Cafco 400",M1317="Software Idiem",C1317="L"),((('CAFCO 400 '!$L$7*(J1317^3)+'CAFCO 400 '!$L$8*(J1317^2)+'CAFCO 400 '!$L$9*J1317+'CAFCO 400 '!$L$10)*U1317^2)+(('CAFCO 400 '!$L$11*(J1317^3)+'CAFCO 400 '!$L$12*(J1317^2)+'CAFCO 400 '!$L$13*J1317+'CAFCO 400 '!$L$14)*U1317)+('CAFCO 400 '!$L$15*LN(J1317)+'CAFCO 400 '!$L$16)),0)+IF(AND(L1317="Cafco 400",M1317="Software Idiem",C1317="IN",G1317=3),((('CAFCO 400 '!$D$23*(J1317^2)+'CAFCO 400 '!$D$24*(J1317)+'CAFCO 400 '!$D$25)*U1317^2)+(('CAFCO 400 '!$D$26*(J1317^2)+'CAFCO 400 '!$D$27*J1317+'CAFCO 400 '!$D$28)*U1317)+('CAFCO 400 '!$D$29*(J1317^2)+'CAFCO 400 '!$D$30*J1317+'CAFCO 400 '!$D$31)),0),0)+IF(AND(L1317="Cafco 300",J1317&gt;=95,J1317&lt;=240,C1317="Cj",I1317=90),VLOOKUP(T1317,'CAFCO 300 IDIEM TABLAS'!$B$4:$D$23,2,FALSE),0)+IF(AND(L1317="Cafco 300",J1317&gt;=95,J1317&lt;=240,C1317="Cj",I1317=120),VLOOKUP(T1317,'CAFCO 300 IDIEM TABLAS'!$B$4:$D$23,3,FALSE),0)+IF(AND(L1317="Cafco 300",J1317&gt;=95,J1317&lt;=400,G1317=3,C1317="IN",I1317=90),VLOOKUP(T1317,'CAFCO 300 IDIEM TABLAS'!$F$4:$H$35,2,FALSE),0)+IF(AND(L1317="Cafco 300",J1317&gt;=95,J1317&lt;=400,G1317=3,C1317="IN",I1317=120),VLOOKUP(T1317,'CAFCO 300 IDIEM TABLAS'!$F$4:$H$35,3,FALSE),0)+IF(AND(L1317="Cafco 300",J1317&gt;=95,J1317&lt;=450,G1317=4,C1317="IN",I1317=90),VLOOKUP(T1317,'CAFCO 300 IDIEM TABLAS'!$J$4:$L$40,2,FALSE),0)+IF(AND(L1317="Cafco 300",J1317&gt;=95,J1317&lt;=450,G1317=4,C1317="IN",I1317=120),VLOOKUP(T1317,'CAFCO 300 IDIEM TABLAS'!$J$4:$L$40,3,FALSE),0)+IF(AND(M1317="Ensayo Idiem",L1317="Cafco 400",C1317="IN",G1317=4,I1317=90),VLOOKUP(T1317,'CAFCO 400 ENSAYO'!$B$7:$D$43,2,FALSE),0)+IF(AND(M1317="Ensayo Idiem",L1317="Cafco 400",C1317="IN",G1317=4,I1317=120),VLOOKUP(T1317,'CAFCO 400 ENSAYO'!$B$7:$D$43,3,FALSE),0)</f>
        <v>0</v>
      </c>
      <c r="O1317" s="96">
        <f t="shared" si="132"/>
        <v>0</v>
      </c>
      <c r="P1317" s="132" t="str">
        <f t="shared" si="127"/>
        <v>N/A</v>
      </c>
      <c r="Q1317" s="132" t="str">
        <f t="shared" si="128"/>
        <v>N/A</v>
      </c>
      <c r="R1317" s="132" t="str">
        <f t="shared" si="129"/>
        <v>NO CERT.</v>
      </c>
      <c r="S1317" s="132" t="e">
        <f t="shared" si="130"/>
        <v>#N/A</v>
      </c>
      <c r="T1317" s="133" t="e">
        <f>+IF(J1317=LOOKUP(J1317,'CAFCO 300 IDIEM TABLAS'!$J$4:$J$40),'CALCULO MORTERO'!J1317,MROUND('CALCULO MORTERO'!J1317,10))</f>
        <v>#N/A</v>
      </c>
      <c r="U1317" s="134">
        <f t="shared" si="131"/>
        <v>0</v>
      </c>
    </row>
    <row r="1318" spans="1:21" x14ac:dyDescent="0.25">
      <c r="A1318" s="118">
        <f>+CUBICACION!D1312</f>
        <v>0</v>
      </c>
      <c r="B1318" s="819">
        <f>+CUBICACION!E1312</f>
        <v>0</v>
      </c>
      <c r="C1318" s="675">
        <f>+CUBICACION!F1312</f>
        <v>0</v>
      </c>
      <c r="D1318" s="118"/>
      <c r="E1318" s="118"/>
      <c r="F1318" s="820"/>
      <c r="G1318" s="675">
        <f>+CUBICACION!J1312</f>
        <v>0</v>
      </c>
      <c r="H1318" s="118"/>
      <c r="I1318" s="821">
        <f>+CUBICACION!L1312</f>
        <v>0</v>
      </c>
      <c r="J1318" s="64">
        <f>+CUBICACION!M1312</f>
        <v>0</v>
      </c>
      <c r="K1318" s="822" t="str">
        <f>+CUBICACION!N1312</f>
        <v/>
      </c>
      <c r="L1318" s="118">
        <f>+CUBICACION!O1312</f>
        <v>0</v>
      </c>
      <c r="M1318" s="823">
        <f>+CUBICACION!P1312</f>
        <v>0</v>
      </c>
      <c r="N1318" s="902">
        <f>ROUND(IF(AND(L1318="Blaze Shield II",M1318="Software Idiem",C1318="IN",G1318=4),((('BLAZE SHIELD II'!$D$4*('CALCULO MORTERO'!I1318^2)+'BLAZE SHIELD II'!$D$5*'CALCULO MORTERO'!I1318+'BLAZE SHIELD II'!$D$6)*LN(J1318))+('BLAZE SHIELD II'!$D$7*('CALCULO MORTERO'!I1318^2)+'BLAZE SHIELD II'!$D$8*'CALCULO MORTERO'!I1318+'BLAZE SHIELD II'!$D$9)),0)+IF(AND(L1318="Blaze Shield II",M1318="Software Idiem",C1318="Cj"),((('BLAZE SHIELD II'!$H$4*('CALCULO MORTERO'!I1318^2)+'BLAZE SHIELD II'!$H$5*'CALCULO MORTERO'!I1318+'BLAZE SHIELD II'!$H$6)*LN(J1318))+('BLAZE SHIELD II'!$H$7*('CALCULO MORTERO'!I1318^2)+'BLAZE SHIELD II'!$H$8*'CALCULO MORTERO'!I1318+'BLAZE SHIELD II'!$H$9)),0)+IF(AND(L1318="Blaze Shield II",M1318="Software Idiem",C1318="C"),((('BLAZE SHIELD II'!$L$4*('CALCULO MORTERO'!I1318^2)+'BLAZE SHIELD II'!$L$5*'CALCULO MORTERO'!I1318+'BLAZE SHIELD II'!$L$6)*LN(J1318))+('BLAZE SHIELD II'!$L$7*('CALCULO MORTERO'!I1318^2)+'BLAZE SHIELD II'!$L$8*'CALCULO MORTERO'!I1318+'BLAZE SHIELD II'!$L$9)),0)+IF(AND(L1318="Blaze Shield II",M1318="Software Idiem",C1318="L"),((('BLAZE SHIELD II'!$L$4*('CALCULO MORTERO'!I1318^2)+'BLAZE SHIELD II'!$L$5*'CALCULO MORTERO'!I1318+'BLAZE SHIELD II'!$L$6)*LN(J1318))+('BLAZE SHIELD II'!$L$7*('CALCULO MORTERO'!I1318^2)+'BLAZE SHIELD II'!$L$8*'CALCULO MORTERO'!I1318+'BLAZE SHIELD II'!$L$9)),0)+IF(AND(L1318="Blaze Shield II",M1318="Software Idiem",C1318="IN",G1318=3),((('BLAZE SHIELD II'!$H$14*('CALCULO MORTERO'!I1318^2)+'BLAZE SHIELD II'!$H$15*'CALCULO MORTERO'!I1318+'BLAZE SHIELD II'!$H$16)*LN(J1318))+('BLAZE SHIELD II'!$H$17*('CALCULO MORTERO'!I1318^2)+'BLAZE SHIELD II'!$H$18*'CALCULO MORTERO'!I1318+'BLAZE SHIELD II'!$H$19)),0),0)+ROUND(IF(AND(L1318="Cafco 400",M1318="Software Idiem",C1318="IN",G1318=4),((('CAFCO 400 '!$H$7*(J1318^4)+'CAFCO 400 '!$H$8*(J1318^3)+'CAFCO 400 '!$H$9*(J1318^2)+'CAFCO 400 '!$H$10*J1318+'CAFCO 400 '!$H$11)*U1318^2)+(('CAFCO 400 '!$H$12*(J1318^3)+'CAFCO 400 '!$H$13*(J1318^2)+'CAFCO 400 '!$H$14*J1318+'CAFCO 400 '!$H$15)*U1318)+('CAFCO 400 '!$H$16*(J1318^2)+'CAFCO 400 '!$H$17*J1318+'CAFCO 400 '!$H$18)),0)+IF(AND(L1318="Cafco 400",M1318="Software Idiem",C1318="Cj"),(((('CAFCO 400 '!$D$7*LN(J1318)+'CAFCO 400 '!$D$8)*U1318^2)+(('CAFCO 400 '!$D$9*LN(J1318)+'CAFCO 400 '!$D$10)*U1318)+('CAFCO 400 '!$D$11*LN(J1318)+'CAFCO 400 '!$D$12))),0)+IF(AND(L1318="Cafco 400",M1318="Software Idiem",C1318="C"),((('CAFCO 400 '!$L$7*(J1318^3)+'CAFCO 400 '!$L$8*(J1318^2)+'CAFCO 400 '!$L$9*J1318+'CAFCO 400 '!$L$10)*U1318^2)+(('CAFCO 400 '!$L$11*(J1318^3)+'CAFCO 400 '!$L$12*(J1318^2)+'CAFCO 400 '!$L$13*J1318+'CAFCO 400 '!$L$14)*U1318)+('CAFCO 400 '!$L$15*LN(J1318)+'CAFCO 400 '!$L$16)),0)+IF(AND(L1318="Cafco 400",M1318="Software Idiem",C1318="L"),((('CAFCO 400 '!$L$7*(J1318^3)+'CAFCO 400 '!$L$8*(J1318^2)+'CAFCO 400 '!$L$9*J1318+'CAFCO 400 '!$L$10)*U1318^2)+(('CAFCO 400 '!$L$11*(J1318^3)+'CAFCO 400 '!$L$12*(J1318^2)+'CAFCO 400 '!$L$13*J1318+'CAFCO 400 '!$L$14)*U1318)+('CAFCO 400 '!$L$15*LN(J1318)+'CAFCO 400 '!$L$16)),0)+IF(AND(L1318="Cafco 400",M1318="Software Idiem",C1318="IN",G1318=3),((('CAFCO 400 '!$D$23*(J1318^2)+'CAFCO 400 '!$D$24*(J1318)+'CAFCO 400 '!$D$25)*U1318^2)+(('CAFCO 400 '!$D$26*(J1318^2)+'CAFCO 400 '!$D$27*J1318+'CAFCO 400 '!$D$28)*U1318)+('CAFCO 400 '!$D$29*(J1318^2)+'CAFCO 400 '!$D$30*J1318+'CAFCO 400 '!$D$31)),0),0)+IF(AND(L1318="Cafco 300",J1318&gt;=95,J1318&lt;=240,C1318="Cj",I1318=90),VLOOKUP(T1318,'CAFCO 300 IDIEM TABLAS'!$B$4:$D$23,2,FALSE),0)+IF(AND(L1318="Cafco 300",J1318&gt;=95,J1318&lt;=240,C1318="Cj",I1318=120),VLOOKUP(T1318,'CAFCO 300 IDIEM TABLAS'!$B$4:$D$23,3,FALSE),0)+IF(AND(L1318="Cafco 300",J1318&gt;=95,J1318&lt;=400,G1318=3,C1318="IN",I1318=90),VLOOKUP(T1318,'CAFCO 300 IDIEM TABLAS'!$F$4:$H$35,2,FALSE),0)+IF(AND(L1318="Cafco 300",J1318&gt;=95,J1318&lt;=400,G1318=3,C1318="IN",I1318=120),VLOOKUP(T1318,'CAFCO 300 IDIEM TABLAS'!$F$4:$H$35,3,FALSE),0)+IF(AND(L1318="Cafco 300",J1318&gt;=95,J1318&lt;=450,G1318=4,C1318="IN",I1318=90),VLOOKUP(T1318,'CAFCO 300 IDIEM TABLAS'!$J$4:$L$40,2,FALSE),0)+IF(AND(L1318="Cafco 300",J1318&gt;=95,J1318&lt;=450,G1318=4,C1318="IN",I1318=120),VLOOKUP(T1318,'CAFCO 300 IDIEM TABLAS'!$J$4:$L$40,3,FALSE),0)+IF(AND(M1318="Ensayo Idiem",L1318="Cafco 400",C1318="IN",G1318=4,I1318=90),VLOOKUP(T1318,'CAFCO 400 ENSAYO'!$B$7:$D$43,2,FALSE),0)+IF(AND(M1318="Ensayo Idiem",L1318="Cafco 400",C1318="IN",G1318=4,I1318=120),VLOOKUP(T1318,'CAFCO 400 ENSAYO'!$B$7:$D$43,3,FALSE),0)</f>
        <v>0</v>
      </c>
      <c r="O1318" s="96">
        <f t="shared" si="132"/>
        <v>0</v>
      </c>
      <c r="P1318" s="95" t="str">
        <f t="shared" si="127"/>
        <v>N/A</v>
      </c>
      <c r="Q1318" s="95" t="str">
        <f t="shared" si="128"/>
        <v>N/A</v>
      </c>
      <c r="R1318" s="95" t="str">
        <f t="shared" si="129"/>
        <v>NO CERT.</v>
      </c>
      <c r="S1318" s="95" t="e">
        <f t="shared" si="130"/>
        <v>#N/A</v>
      </c>
      <c r="T1318" s="119" t="e">
        <f>+IF(J1318=LOOKUP(J1318,'CAFCO 300 IDIEM TABLAS'!$J$4:$J$40),'CALCULO MORTERO'!J1318,MROUND('CALCULO MORTERO'!J1318,10))</f>
        <v>#N/A</v>
      </c>
      <c r="U1318" s="118">
        <f t="shared" si="131"/>
        <v>0</v>
      </c>
    </row>
    <row r="1319" spans="1:21" x14ac:dyDescent="0.25">
      <c r="A1319" s="118">
        <f>+CUBICACION!D1313</f>
        <v>0</v>
      </c>
      <c r="B1319" s="819">
        <f>+CUBICACION!E1313</f>
        <v>0</v>
      </c>
      <c r="C1319" s="675">
        <f>+CUBICACION!F1313</f>
        <v>0</v>
      </c>
      <c r="D1319" s="118"/>
      <c r="E1319" s="118"/>
      <c r="F1319" s="820"/>
      <c r="G1319" s="675">
        <f>+CUBICACION!J1313</f>
        <v>0</v>
      </c>
      <c r="H1319" s="118"/>
      <c r="I1319" s="821">
        <f>+CUBICACION!L1313</f>
        <v>0</v>
      </c>
      <c r="J1319" s="64">
        <f>+CUBICACION!M1313</f>
        <v>0</v>
      </c>
      <c r="K1319" s="822" t="str">
        <f>+CUBICACION!N1313</f>
        <v/>
      </c>
      <c r="L1319" s="118">
        <f>+CUBICACION!O1313</f>
        <v>0</v>
      </c>
      <c r="M1319" s="823">
        <f>+CUBICACION!P1313</f>
        <v>0</v>
      </c>
      <c r="N1319" s="902">
        <f>ROUND(IF(AND(L1319="Blaze Shield II",M1319="Software Idiem",C1319="IN",G1319=4),((('BLAZE SHIELD II'!$D$4*('CALCULO MORTERO'!I1319^2)+'BLAZE SHIELD II'!$D$5*'CALCULO MORTERO'!I1319+'BLAZE SHIELD II'!$D$6)*LN(J1319))+('BLAZE SHIELD II'!$D$7*('CALCULO MORTERO'!I1319^2)+'BLAZE SHIELD II'!$D$8*'CALCULO MORTERO'!I1319+'BLAZE SHIELD II'!$D$9)),0)+IF(AND(L1319="Blaze Shield II",M1319="Software Idiem",C1319="Cj"),((('BLAZE SHIELD II'!$H$4*('CALCULO MORTERO'!I1319^2)+'BLAZE SHIELD II'!$H$5*'CALCULO MORTERO'!I1319+'BLAZE SHIELD II'!$H$6)*LN(J1319))+('BLAZE SHIELD II'!$H$7*('CALCULO MORTERO'!I1319^2)+'BLAZE SHIELD II'!$H$8*'CALCULO MORTERO'!I1319+'BLAZE SHIELD II'!$H$9)),0)+IF(AND(L1319="Blaze Shield II",M1319="Software Idiem",C1319="C"),((('BLAZE SHIELD II'!$L$4*('CALCULO MORTERO'!I1319^2)+'BLAZE SHIELD II'!$L$5*'CALCULO MORTERO'!I1319+'BLAZE SHIELD II'!$L$6)*LN(J1319))+('BLAZE SHIELD II'!$L$7*('CALCULO MORTERO'!I1319^2)+'BLAZE SHIELD II'!$L$8*'CALCULO MORTERO'!I1319+'BLAZE SHIELD II'!$L$9)),0)+IF(AND(L1319="Blaze Shield II",M1319="Software Idiem",C1319="L"),((('BLAZE SHIELD II'!$L$4*('CALCULO MORTERO'!I1319^2)+'BLAZE SHIELD II'!$L$5*'CALCULO MORTERO'!I1319+'BLAZE SHIELD II'!$L$6)*LN(J1319))+('BLAZE SHIELD II'!$L$7*('CALCULO MORTERO'!I1319^2)+'BLAZE SHIELD II'!$L$8*'CALCULO MORTERO'!I1319+'BLAZE SHIELD II'!$L$9)),0)+IF(AND(L1319="Blaze Shield II",M1319="Software Idiem",C1319="IN",G1319=3),((('BLAZE SHIELD II'!$H$14*('CALCULO MORTERO'!I1319^2)+'BLAZE SHIELD II'!$H$15*'CALCULO MORTERO'!I1319+'BLAZE SHIELD II'!$H$16)*LN(J1319))+('BLAZE SHIELD II'!$H$17*('CALCULO MORTERO'!I1319^2)+'BLAZE SHIELD II'!$H$18*'CALCULO MORTERO'!I1319+'BLAZE SHIELD II'!$H$19)),0),0)+ROUND(IF(AND(L1319="Cafco 400",M1319="Software Idiem",C1319="IN",G1319=4),((('CAFCO 400 '!$H$7*(J1319^4)+'CAFCO 400 '!$H$8*(J1319^3)+'CAFCO 400 '!$H$9*(J1319^2)+'CAFCO 400 '!$H$10*J1319+'CAFCO 400 '!$H$11)*U1319^2)+(('CAFCO 400 '!$H$12*(J1319^3)+'CAFCO 400 '!$H$13*(J1319^2)+'CAFCO 400 '!$H$14*J1319+'CAFCO 400 '!$H$15)*U1319)+('CAFCO 400 '!$H$16*(J1319^2)+'CAFCO 400 '!$H$17*J1319+'CAFCO 400 '!$H$18)),0)+IF(AND(L1319="Cafco 400",M1319="Software Idiem",C1319="Cj"),(((('CAFCO 400 '!$D$7*LN(J1319)+'CAFCO 400 '!$D$8)*U1319^2)+(('CAFCO 400 '!$D$9*LN(J1319)+'CAFCO 400 '!$D$10)*U1319)+('CAFCO 400 '!$D$11*LN(J1319)+'CAFCO 400 '!$D$12))),0)+IF(AND(L1319="Cafco 400",M1319="Software Idiem",C1319="C"),((('CAFCO 400 '!$L$7*(J1319^3)+'CAFCO 400 '!$L$8*(J1319^2)+'CAFCO 400 '!$L$9*J1319+'CAFCO 400 '!$L$10)*U1319^2)+(('CAFCO 400 '!$L$11*(J1319^3)+'CAFCO 400 '!$L$12*(J1319^2)+'CAFCO 400 '!$L$13*J1319+'CAFCO 400 '!$L$14)*U1319)+('CAFCO 400 '!$L$15*LN(J1319)+'CAFCO 400 '!$L$16)),0)+IF(AND(L1319="Cafco 400",M1319="Software Idiem",C1319="L"),((('CAFCO 400 '!$L$7*(J1319^3)+'CAFCO 400 '!$L$8*(J1319^2)+'CAFCO 400 '!$L$9*J1319+'CAFCO 400 '!$L$10)*U1319^2)+(('CAFCO 400 '!$L$11*(J1319^3)+'CAFCO 400 '!$L$12*(J1319^2)+'CAFCO 400 '!$L$13*J1319+'CAFCO 400 '!$L$14)*U1319)+('CAFCO 400 '!$L$15*LN(J1319)+'CAFCO 400 '!$L$16)),0)+IF(AND(L1319="Cafco 400",M1319="Software Idiem",C1319="IN",G1319=3),((('CAFCO 400 '!$D$23*(J1319^2)+'CAFCO 400 '!$D$24*(J1319)+'CAFCO 400 '!$D$25)*U1319^2)+(('CAFCO 400 '!$D$26*(J1319^2)+'CAFCO 400 '!$D$27*J1319+'CAFCO 400 '!$D$28)*U1319)+('CAFCO 400 '!$D$29*(J1319^2)+'CAFCO 400 '!$D$30*J1319+'CAFCO 400 '!$D$31)),0),0)+IF(AND(L1319="Cafco 300",J1319&gt;=95,J1319&lt;=240,C1319="Cj",I1319=90),VLOOKUP(T1319,'CAFCO 300 IDIEM TABLAS'!$B$4:$D$23,2,FALSE),0)+IF(AND(L1319="Cafco 300",J1319&gt;=95,J1319&lt;=240,C1319="Cj",I1319=120),VLOOKUP(T1319,'CAFCO 300 IDIEM TABLAS'!$B$4:$D$23,3,FALSE),0)+IF(AND(L1319="Cafco 300",J1319&gt;=95,J1319&lt;=400,G1319=3,C1319="IN",I1319=90),VLOOKUP(T1319,'CAFCO 300 IDIEM TABLAS'!$F$4:$H$35,2,FALSE),0)+IF(AND(L1319="Cafco 300",J1319&gt;=95,J1319&lt;=400,G1319=3,C1319="IN",I1319=120),VLOOKUP(T1319,'CAFCO 300 IDIEM TABLAS'!$F$4:$H$35,3,FALSE),0)+IF(AND(L1319="Cafco 300",J1319&gt;=95,J1319&lt;=450,G1319=4,C1319="IN",I1319=90),VLOOKUP(T1319,'CAFCO 300 IDIEM TABLAS'!$J$4:$L$40,2,FALSE),0)+IF(AND(L1319="Cafco 300",J1319&gt;=95,J1319&lt;=450,G1319=4,C1319="IN",I1319=120),VLOOKUP(T1319,'CAFCO 300 IDIEM TABLAS'!$J$4:$L$40,3,FALSE),0)+IF(AND(M1319="Ensayo Idiem",L1319="Cafco 400",C1319="IN",G1319=4,I1319=90),VLOOKUP(T1319,'CAFCO 400 ENSAYO'!$B$7:$D$43,2,FALSE),0)+IF(AND(M1319="Ensayo Idiem",L1319="Cafco 400",C1319="IN",G1319=4,I1319=120),VLOOKUP(T1319,'CAFCO 400 ENSAYO'!$B$7:$D$43,3,FALSE),0)</f>
        <v>0</v>
      </c>
      <c r="O1319" s="96">
        <f t="shared" si="132"/>
        <v>0</v>
      </c>
      <c r="P1319" s="132" t="str">
        <f t="shared" si="127"/>
        <v>N/A</v>
      </c>
      <c r="Q1319" s="132" t="str">
        <f t="shared" si="128"/>
        <v>N/A</v>
      </c>
      <c r="R1319" s="132" t="str">
        <f t="shared" si="129"/>
        <v>NO CERT.</v>
      </c>
      <c r="S1319" s="132" t="e">
        <f t="shared" si="130"/>
        <v>#N/A</v>
      </c>
      <c r="T1319" s="133" t="e">
        <f>+IF(J1319=LOOKUP(J1319,'CAFCO 300 IDIEM TABLAS'!$J$4:$J$40),'CALCULO MORTERO'!J1319,MROUND('CALCULO MORTERO'!J1319,10))</f>
        <v>#N/A</v>
      </c>
      <c r="U1319" s="134">
        <f t="shared" si="131"/>
        <v>0</v>
      </c>
    </row>
    <row r="1320" spans="1:21" x14ac:dyDescent="0.25">
      <c r="A1320" s="118">
        <f>+CUBICACION!D1314</f>
        <v>0</v>
      </c>
      <c r="B1320" s="819">
        <f>+CUBICACION!E1314</f>
        <v>0</v>
      </c>
      <c r="C1320" s="675">
        <f>+CUBICACION!F1314</f>
        <v>0</v>
      </c>
      <c r="D1320" s="118"/>
      <c r="E1320" s="118"/>
      <c r="F1320" s="820"/>
      <c r="G1320" s="675">
        <f>+CUBICACION!J1314</f>
        <v>0</v>
      </c>
      <c r="H1320" s="118"/>
      <c r="I1320" s="821">
        <f>+CUBICACION!L1314</f>
        <v>0</v>
      </c>
      <c r="J1320" s="64">
        <f>+CUBICACION!M1314</f>
        <v>0</v>
      </c>
      <c r="K1320" s="822" t="str">
        <f>+CUBICACION!N1314</f>
        <v/>
      </c>
      <c r="L1320" s="118">
        <f>+CUBICACION!O1314</f>
        <v>0</v>
      </c>
      <c r="M1320" s="823">
        <f>+CUBICACION!P1314</f>
        <v>0</v>
      </c>
      <c r="N1320" s="902">
        <f>ROUND(IF(AND(L1320="Blaze Shield II",M1320="Software Idiem",C1320="IN",G1320=4),((('BLAZE SHIELD II'!$D$4*('CALCULO MORTERO'!I1320^2)+'BLAZE SHIELD II'!$D$5*'CALCULO MORTERO'!I1320+'BLAZE SHIELD II'!$D$6)*LN(J1320))+('BLAZE SHIELD II'!$D$7*('CALCULO MORTERO'!I1320^2)+'BLAZE SHIELD II'!$D$8*'CALCULO MORTERO'!I1320+'BLAZE SHIELD II'!$D$9)),0)+IF(AND(L1320="Blaze Shield II",M1320="Software Idiem",C1320="Cj"),((('BLAZE SHIELD II'!$H$4*('CALCULO MORTERO'!I1320^2)+'BLAZE SHIELD II'!$H$5*'CALCULO MORTERO'!I1320+'BLAZE SHIELD II'!$H$6)*LN(J1320))+('BLAZE SHIELD II'!$H$7*('CALCULO MORTERO'!I1320^2)+'BLAZE SHIELD II'!$H$8*'CALCULO MORTERO'!I1320+'BLAZE SHIELD II'!$H$9)),0)+IF(AND(L1320="Blaze Shield II",M1320="Software Idiem",C1320="C"),((('BLAZE SHIELD II'!$L$4*('CALCULO MORTERO'!I1320^2)+'BLAZE SHIELD II'!$L$5*'CALCULO MORTERO'!I1320+'BLAZE SHIELD II'!$L$6)*LN(J1320))+('BLAZE SHIELD II'!$L$7*('CALCULO MORTERO'!I1320^2)+'BLAZE SHIELD II'!$L$8*'CALCULO MORTERO'!I1320+'BLAZE SHIELD II'!$L$9)),0)+IF(AND(L1320="Blaze Shield II",M1320="Software Idiem",C1320="L"),((('BLAZE SHIELD II'!$L$4*('CALCULO MORTERO'!I1320^2)+'BLAZE SHIELD II'!$L$5*'CALCULO MORTERO'!I1320+'BLAZE SHIELD II'!$L$6)*LN(J1320))+('BLAZE SHIELD II'!$L$7*('CALCULO MORTERO'!I1320^2)+'BLAZE SHIELD II'!$L$8*'CALCULO MORTERO'!I1320+'BLAZE SHIELD II'!$L$9)),0)+IF(AND(L1320="Blaze Shield II",M1320="Software Idiem",C1320="IN",G1320=3),((('BLAZE SHIELD II'!$H$14*('CALCULO MORTERO'!I1320^2)+'BLAZE SHIELD II'!$H$15*'CALCULO MORTERO'!I1320+'BLAZE SHIELD II'!$H$16)*LN(J1320))+('BLAZE SHIELD II'!$H$17*('CALCULO MORTERO'!I1320^2)+'BLAZE SHIELD II'!$H$18*'CALCULO MORTERO'!I1320+'BLAZE SHIELD II'!$H$19)),0),0)+ROUND(IF(AND(L1320="Cafco 400",M1320="Software Idiem",C1320="IN",G1320=4),((('CAFCO 400 '!$H$7*(J1320^4)+'CAFCO 400 '!$H$8*(J1320^3)+'CAFCO 400 '!$H$9*(J1320^2)+'CAFCO 400 '!$H$10*J1320+'CAFCO 400 '!$H$11)*U1320^2)+(('CAFCO 400 '!$H$12*(J1320^3)+'CAFCO 400 '!$H$13*(J1320^2)+'CAFCO 400 '!$H$14*J1320+'CAFCO 400 '!$H$15)*U1320)+('CAFCO 400 '!$H$16*(J1320^2)+'CAFCO 400 '!$H$17*J1320+'CAFCO 400 '!$H$18)),0)+IF(AND(L1320="Cafco 400",M1320="Software Idiem",C1320="Cj"),(((('CAFCO 400 '!$D$7*LN(J1320)+'CAFCO 400 '!$D$8)*U1320^2)+(('CAFCO 400 '!$D$9*LN(J1320)+'CAFCO 400 '!$D$10)*U1320)+('CAFCO 400 '!$D$11*LN(J1320)+'CAFCO 400 '!$D$12))),0)+IF(AND(L1320="Cafco 400",M1320="Software Idiem",C1320="C"),((('CAFCO 400 '!$L$7*(J1320^3)+'CAFCO 400 '!$L$8*(J1320^2)+'CAFCO 400 '!$L$9*J1320+'CAFCO 400 '!$L$10)*U1320^2)+(('CAFCO 400 '!$L$11*(J1320^3)+'CAFCO 400 '!$L$12*(J1320^2)+'CAFCO 400 '!$L$13*J1320+'CAFCO 400 '!$L$14)*U1320)+('CAFCO 400 '!$L$15*LN(J1320)+'CAFCO 400 '!$L$16)),0)+IF(AND(L1320="Cafco 400",M1320="Software Idiem",C1320="L"),((('CAFCO 400 '!$L$7*(J1320^3)+'CAFCO 400 '!$L$8*(J1320^2)+'CAFCO 400 '!$L$9*J1320+'CAFCO 400 '!$L$10)*U1320^2)+(('CAFCO 400 '!$L$11*(J1320^3)+'CAFCO 400 '!$L$12*(J1320^2)+'CAFCO 400 '!$L$13*J1320+'CAFCO 400 '!$L$14)*U1320)+('CAFCO 400 '!$L$15*LN(J1320)+'CAFCO 400 '!$L$16)),0)+IF(AND(L1320="Cafco 400",M1320="Software Idiem",C1320="IN",G1320=3),((('CAFCO 400 '!$D$23*(J1320^2)+'CAFCO 400 '!$D$24*(J1320)+'CAFCO 400 '!$D$25)*U1320^2)+(('CAFCO 400 '!$D$26*(J1320^2)+'CAFCO 400 '!$D$27*J1320+'CAFCO 400 '!$D$28)*U1320)+('CAFCO 400 '!$D$29*(J1320^2)+'CAFCO 400 '!$D$30*J1320+'CAFCO 400 '!$D$31)),0),0)+IF(AND(L1320="Cafco 300",J1320&gt;=95,J1320&lt;=240,C1320="Cj",I1320=90),VLOOKUP(T1320,'CAFCO 300 IDIEM TABLAS'!$B$4:$D$23,2,FALSE),0)+IF(AND(L1320="Cafco 300",J1320&gt;=95,J1320&lt;=240,C1320="Cj",I1320=120),VLOOKUP(T1320,'CAFCO 300 IDIEM TABLAS'!$B$4:$D$23,3,FALSE),0)+IF(AND(L1320="Cafco 300",J1320&gt;=95,J1320&lt;=400,G1320=3,C1320="IN",I1320=90),VLOOKUP(T1320,'CAFCO 300 IDIEM TABLAS'!$F$4:$H$35,2,FALSE),0)+IF(AND(L1320="Cafco 300",J1320&gt;=95,J1320&lt;=400,G1320=3,C1320="IN",I1320=120),VLOOKUP(T1320,'CAFCO 300 IDIEM TABLAS'!$F$4:$H$35,3,FALSE),0)+IF(AND(L1320="Cafco 300",J1320&gt;=95,J1320&lt;=450,G1320=4,C1320="IN",I1320=90),VLOOKUP(T1320,'CAFCO 300 IDIEM TABLAS'!$J$4:$L$40,2,FALSE),0)+IF(AND(L1320="Cafco 300",J1320&gt;=95,J1320&lt;=450,G1320=4,C1320="IN",I1320=120),VLOOKUP(T1320,'CAFCO 300 IDIEM TABLAS'!$J$4:$L$40,3,FALSE),0)+IF(AND(M1320="Ensayo Idiem",L1320="Cafco 400",C1320="IN",G1320=4,I1320=90),VLOOKUP(T1320,'CAFCO 400 ENSAYO'!$B$7:$D$43,2,FALSE),0)+IF(AND(M1320="Ensayo Idiem",L1320="Cafco 400",C1320="IN",G1320=4,I1320=120),VLOOKUP(T1320,'CAFCO 400 ENSAYO'!$B$7:$D$43,3,FALSE),0)</f>
        <v>0</v>
      </c>
      <c r="O1320" s="96">
        <f t="shared" si="132"/>
        <v>0</v>
      </c>
      <c r="P1320" s="95" t="str">
        <f t="shared" si="127"/>
        <v>N/A</v>
      </c>
      <c r="Q1320" s="95" t="str">
        <f t="shared" si="128"/>
        <v>N/A</v>
      </c>
      <c r="R1320" s="95" t="str">
        <f t="shared" si="129"/>
        <v>NO CERT.</v>
      </c>
      <c r="S1320" s="95" t="e">
        <f t="shared" si="130"/>
        <v>#N/A</v>
      </c>
      <c r="T1320" s="119" t="e">
        <f>+IF(J1320=LOOKUP(J1320,'CAFCO 300 IDIEM TABLAS'!$J$4:$J$40),'CALCULO MORTERO'!J1320,MROUND('CALCULO MORTERO'!J1320,10))</f>
        <v>#N/A</v>
      </c>
      <c r="U1320" s="118">
        <f t="shared" si="131"/>
        <v>0</v>
      </c>
    </row>
    <row r="1321" spans="1:21" x14ac:dyDescent="0.25">
      <c r="A1321" s="118">
        <f>+CUBICACION!D1315</f>
        <v>0</v>
      </c>
      <c r="B1321" s="819">
        <f>+CUBICACION!E1315</f>
        <v>0</v>
      </c>
      <c r="C1321" s="675">
        <f>+CUBICACION!F1315</f>
        <v>0</v>
      </c>
      <c r="D1321" s="118"/>
      <c r="E1321" s="118"/>
      <c r="F1321" s="820"/>
      <c r="G1321" s="675">
        <f>+CUBICACION!J1315</f>
        <v>0</v>
      </c>
      <c r="H1321" s="118"/>
      <c r="I1321" s="821">
        <f>+CUBICACION!L1315</f>
        <v>0</v>
      </c>
      <c r="J1321" s="64">
        <f>+CUBICACION!M1315</f>
        <v>0</v>
      </c>
      <c r="K1321" s="822" t="str">
        <f>+CUBICACION!N1315</f>
        <v/>
      </c>
      <c r="L1321" s="118">
        <f>+CUBICACION!O1315</f>
        <v>0</v>
      </c>
      <c r="M1321" s="823">
        <f>+CUBICACION!P1315</f>
        <v>0</v>
      </c>
      <c r="N1321" s="902">
        <f>ROUND(IF(AND(L1321="Blaze Shield II",M1321="Software Idiem",C1321="IN",G1321=4),((('BLAZE SHIELD II'!$D$4*('CALCULO MORTERO'!I1321^2)+'BLAZE SHIELD II'!$D$5*'CALCULO MORTERO'!I1321+'BLAZE SHIELD II'!$D$6)*LN(J1321))+('BLAZE SHIELD II'!$D$7*('CALCULO MORTERO'!I1321^2)+'BLAZE SHIELD II'!$D$8*'CALCULO MORTERO'!I1321+'BLAZE SHIELD II'!$D$9)),0)+IF(AND(L1321="Blaze Shield II",M1321="Software Idiem",C1321="Cj"),((('BLAZE SHIELD II'!$H$4*('CALCULO MORTERO'!I1321^2)+'BLAZE SHIELD II'!$H$5*'CALCULO MORTERO'!I1321+'BLAZE SHIELD II'!$H$6)*LN(J1321))+('BLAZE SHIELD II'!$H$7*('CALCULO MORTERO'!I1321^2)+'BLAZE SHIELD II'!$H$8*'CALCULO MORTERO'!I1321+'BLAZE SHIELD II'!$H$9)),0)+IF(AND(L1321="Blaze Shield II",M1321="Software Idiem",C1321="C"),((('BLAZE SHIELD II'!$L$4*('CALCULO MORTERO'!I1321^2)+'BLAZE SHIELD II'!$L$5*'CALCULO MORTERO'!I1321+'BLAZE SHIELD II'!$L$6)*LN(J1321))+('BLAZE SHIELD II'!$L$7*('CALCULO MORTERO'!I1321^2)+'BLAZE SHIELD II'!$L$8*'CALCULO MORTERO'!I1321+'BLAZE SHIELD II'!$L$9)),0)+IF(AND(L1321="Blaze Shield II",M1321="Software Idiem",C1321="L"),((('BLAZE SHIELD II'!$L$4*('CALCULO MORTERO'!I1321^2)+'BLAZE SHIELD II'!$L$5*'CALCULO MORTERO'!I1321+'BLAZE SHIELD II'!$L$6)*LN(J1321))+('BLAZE SHIELD II'!$L$7*('CALCULO MORTERO'!I1321^2)+'BLAZE SHIELD II'!$L$8*'CALCULO MORTERO'!I1321+'BLAZE SHIELD II'!$L$9)),0)+IF(AND(L1321="Blaze Shield II",M1321="Software Idiem",C1321="IN",G1321=3),((('BLAZE SHIELD II'!$H$14*('CALCULO MORTERO'!I1321^2)+'BLAZE SHIELD II'!$H$15*'CALCULO MORTERO'!I1321+'BLAZE SHIELD II'!$H$16)*LN(J1321))+('BLAZE SHIELD II'!$H$17*('CALCULO MORTERO'!I1321^2)+'BLAZE SHIELD II'!$H$18*'CALCULO MORTERO'!I1321+'BLAZE SHIELD II'!$H$19)),0),0)+ROUND(IF(AND(L1321="Cafco 400",M1321="Software Idiem",C1321="IN",G1321=4),((('CAFCO 400 '!$H$7*(J1321^4)+'CAFCO 400 '!$H$8*(J1321^3)+'CAFCO 400 '!$H$9*(J1321^2)+'CAFCO 400 '!$H$10*J1321+'CAFCO 400 '!$H$11)*U1321^2)+(('CAFCO 400 '!$H$12*(J1321^3)+'CAFCO 400 '!$H$13*(J1321^2)+'CAFCO 400 '!$H$14*J1321+'CAFCO 400 '!$H$15)*U1321)+('CAFCO 400 '!$H$16*(J1321^2)+'CAFCO 400 '!$H$17*J1321+'CAFCO 400 '!$H$18)),0)+IF(AND(L1321="Cafco 400",M1321="Software Idiem",C1321="Cj"),(((('CAFCO 400 '!$D$7*LN(J1321)+'CAFCO 400 '!$D$8)*U1321^2)+(('CAFCO 400 '!$D$9*LN(J1321)+'CAFCO 400 '!$D$10)*U1321)+('CAFCO 400 '!$D$11*LN(J1321)+'CAFCO 400 '!$D$12))),0)+IF(AND(L1321="Cafco 400",M1321="Software Idiem",C1321="C"),((('CAFCO 400 '!$L$7*(J1321^3)+'CAFCO 400 '!$L$8*(J1321^2)+'CAFCO 400 '!$L$9*J1321+'CAFCO 400 '!$L$10)*U1321^2)+(('CAFCO 400 '!$L$11*(J1321^3)+'CAFCO 400 '!$L$12*(J1321^2)+'CAFCO 400 '!$L$13*J1321+'CAFCO 400 '!$L$14)*U1321)+('CAFCO 400 '!$L$15*LN(J1321)+'CAFCO 400 '!$L$16)),0)+IF(AND(L1321="Cafco 400",M1321="Software Idiem",C1321="L"),((('CAFCO 400 '!$L$7*(J1321^3)+'CAFCO 400 '!$L$8*(J1321^2)+'CAFCO 400 '!$L$9*J1321+'CAFCO 400 '!$L$10)*U1321^2)+(('CAFCO 400 '!$L$11*(J1321^3)+'CAFCO 400 '!$L$12*(J1321^2)+'CAFCO 400 '!$L$13*J1321+'CAFCO 400 '!$L$14)*U1321)+('CAFCO 400 '!$L$15*LN(J1321)+'CAFCO 400 '!$L$16)),0)+IF(AND(L1321="Cafco 400",M1321="Software Idiem",C1321="IN",G1321=3),((('CAFCO 400 '!$D$23*(J1321^2)+'CAFCO 400 '!$D$24*(J1321)+'CAFCO 400 '!$D$25)*U1321^2)+(('CAFCO 400 '!$D$26*(J1321^2)+'CAFCO 400 '!$D$27*J1321+'CAFCO 400 '!$D$28)*U1321)+('CAFCO 400 '!$D$29*(J1321^2)+'CAFCO 400 '!$D$30*J1321+'CAFCO 400 '!$D$31)),0),0)+IF(AND(L1321="Cafco 300",J1321&gt;=95,J1321&lt;=240,C1321="Cj",I1321=90),VLOOKUP(T1321,'CAFCO 300 IDIEM TABLAS'!$B$4:$D$23,2,FALSE),0)+IF(AND(L1321="Cafco 300",J1321&gt;=95,J1321&lt;=240,C1321="Cj",I1321=120),VLOOKUP(T1321,'CAFCO 300 IDIEM TABLAS'!$B$4:$D$23,3,FALSE),0)+IF(AND(L1321="Cafco 300",J1321&gt;=95,J1321&lt;=400,G1321=3,C1321="IN",I1321=90),VLOOKUP(T1321,'CAFCO 300 IDIEM TABLAS'!$F$4:$H$35,2,FALSE),0)+IF(AND(L1321="Cafco 300",J1321&gt;=95,J1321&lt;=400,G1321=3,C1321="IN",I1321=120),VLOOKUP(T1321,'CAFCO 300 IDIEM TABLAS'!$F$4:$H$35,3,FALSE),0)+IF(AND(L1321="Cafco 300",J1321&gt;=95,J1321&lt;=450,G1321=4,C1321="IN",I1321=90),VLOOKUP(T1321,'CAFCO 300 IDIEM TABLAS'!$J$4:$L$40,2,FALSE),0)+IF(AND(L1321="Cafco 300",J1321&gt;=95,J1321&lt;=450,G1321=4,C1321="IN",I1321=120),VLOOKUP(T1321,'CAFCO 300 IDIEM TABLAS'!$J$4:$L$40,3,FALSE),0)+IF(AND(M1321="Ensayo Idiem",L1321="Cafco 400",C1321="IN",G1321=4,I1321=90),VLOOKUP(T1321,'CAFCO 400 ENSAYO'!$B$7:$D$43,2,FALSE),0)+IF(AND(M1321="Ensayo Idiem",L1321="Cafco 400",C1321="IN",G1321=4,I1321=120),VLOOKUP(T1321,'CAFCO 400 ENSAYO'!$B$7:$D$43,3,FALSE),0)</f>
        <v>0</v>
      </c>
      <c r="O1321" s="96">
        <f t="shared" si="132"/>
        <v>0</v>
      </c>
      <c r="P1321" s="132" t="str">
        <f t="shared" si="127"/>
        <v>N/A</v>
      </c>
      <c r="Q1321" s="132" t="str">
        <f t="shared" si="128"/>
        <v>N/A</v>
      </c>
      <c r="R1321" s="132" t="str">
        <f t="shared" si="129"/>
        <v>NO CERT.</v>
      </c>
      <c r="S1321" s="132" t="e">
        <f t="shared" si="130"/>
        <v>#N/A</v>
      </c>
      <c r="T1321" s="133" t="e">
        <f>+IF(J1321=LOOKUP(J1321,'CAFCO 300 IDIEM TABLAS'!$J$4:$J$40),'CALCULO MORTERO'!J1321,MROUND('CALCULO MORTERO'!J1321,10))</f>
        <v>#N/A</v>
      </c>
      <c r="U1321" s="134">
        <f t="shared" si="131"/>
        <v>0</v>
      </c>
    </row>
    <row r="1322" spans="1:21" x14ac:dyDescent="0.25">
      <c r="A1322" s="118">
        <f>+CUBICACION!D1316</f>
        <v>0</v>
      </c>
      <c r="B1322" s="819">
        <f>+CUBICACION!E1316</f>
        <v>0</v>
      </c>
      <c r="C1322" s="675">
        <f>+CUBICACION!F1316</f>
        <v>0</v>
      </c>
      <c r="D1322" s="118"/>
      <c r="E1322" s="118"/>
      <c r="F1322" s="820"/>
      <c r="G1322" s="675">
        <f>+CUBICACION!J1316</f>
        <v>0</v>
      </c>
      <c r="H1322" s="118"/>
      <c r="I1322" s="821">
        <f>+CUBICACION!L1316</f>
        <v>0</v>
      </c>
      <c r="J1322" s="64">
        <f>+CUBICACION!M1316</f>
        <v>0</v>
      </c>
      <c r="K1322" s="822" t="str">
        <f>+CUBICACION!N1316</f>
        <v/>
      </c>
      <c r="L1322" s="118">
        <f>+CUBICACION!O1316</f>
        <v>0</v>
      </c>
      <c r="M1322" s="823">
        <f>+CUBICACION!P1316</f>
        <v>0</v>
      </c>
      <c r="N1322" s="902">
        <f>ROUND(IF(AND(L1322="Blaze Shield II",M1322="Software Idiem",C1322="IN",G1322=4),((('BLAZE SHIELD II'!$D$4*('CALCULO MORTERO'!I1322^2)+'BLAZE SHIELD II'!$D$5*'CALCULO MORTERO'!I1322+'BLAZE SHIELD II'!$D$6)*LN(J1322))+('BLAZE SHIELD II'!$D$7*('CALCULO MORTERO'!I1322^2)+'BLAZE SHIELD II'!$D$8*'CALCULO MORTERO'!I1322+'BLAZE SHIELD II'!$D$9)),0)+IF(AND(L1322="Blaze Shield II",M1322="Software Idiem",C1322="Cj"),((('BLAZE SHIELD II'!$H$4*('CALCULO MORTERO'!I1322^2)+'BLAZE SHIELD II'!$H$5*'CALCULO MORTERO'!I1322+'BLAZE SHIELD II'!$H$6)*LN(J1322))+('BLAZE SHIELD II'!$H$7*('CALCULO MORTERO'!I1322^2)+'BLAZE SHIELD II'!$H$8*'CALCULO MORTERO'!I1322+'BLAZE SHIELD II'!$H$9)),0)+IF(AND(L1322="Blaze Shield II",M1322="Software Idiem",C1322="C"),((('BLAZE SHIELD II'!$L$4*('CALCULO MORTERO'!I1322^2)+'BLAZE SHIELD II'!$L$5*'CALCULO MORTERO'!I1322+'BLAZE SHIELD II'!$L$6)*LN(J1322))+('BLAZE SHIELD II'!$L$7*('CALCULO MORTERO'!I1322^2)+'BLAZE SHIELD II'!$L$8*'CALCULO MORTERO'!I1322+'BLAZE SHIELD II'!$L$9)),0)+IF(AND(L1322="Blaze Shield II",M1322="Software Idiem",C1322="L"),((('BLAZE SHIELD II'!$L$4*('CALCULO MORTERO'!I1322^2)+'BLAZE SHIELD II'!$L$5*'CALCULO MORTERO'!I1322+'BLAZE SHIELD II'!$L$6)*LN(J1322))+('BLAZE SHIELD II'!$L$7*('CALCULO MORTERO'!I1322^2)+'BLAZE SHIELD II'!$L$8*'CALCULO MORTERO'!I1322+'BLAZE SHIELD II'!$L$9)),0)+IF(AND(L1322="Blaze Shield II",M1322="Software Idiem",C1322="IN",G1322=3),((('BLAZE SHIELD II'!$H$14*('CALCULO MORTERO'!I1322^2)+'BLAZE SHIELD II'!$H$15*'CALCULO MORTERO'!I1322+'BLAZE SHIELD II'!$H$16)*LN(J1322))+('BLAZE SHIELD II'!$H$17*('CALCULO MORTERO'!I1322^2)+'BLAZE SHIELD II'!$H$18*'CALCULO MORTERO'!I1322+'BLAZE SHIELD II'!$H$19)),0),0)+ROUND(IF(AND(L1322="Cafco 400",M1322="Software Idiem",C1322="IN",G1322=4),((('CAFCO 400 '!$H$7*(J1322^4)+'CAFCO 400 '!$H$8*(J1322^3)+'CAFCO 400 '!$H$9*(J1322^2)+'CAFCO 400 '!$H$10*J1322+'CAFCO 400 '!$H$11)*U1322^2)+(('CAFCO 400 '!$H$12*(J1322^3)+'CAFCO 400 '!$H$13*(J1322^2)+'CAFCO 400 '!$H$14*J1322+'CAFCO 400 '!$H$15)*U1322)+('CAFCO 400 '!$H$16*(J1322^2)+'CAFCO 400 '!$H$17*J1322+'CAFCO 400 '!$H$18)),0)+IF(AND(L1322="Cafco 400",M1322="Software Idiem",C1322="Cj"),(((('CAFCO 400 '!$D$7*LN(J1322)+'CAFCO 400 '!$D$8)*U1322^2)+(('CAFCO 400 '!$D$9*LN(J1322)+'CAFCO 400 '!$D$10)*U1322)+('CAFCO 400 '!$D$11*LN(J1322)+'CAFCO 400 '!$D$12))),0)+IF(AND(L1322="Cafco 400",M1322="Software Idiem",C1322="C"),((('CAFCO 400 '!$L$7*(J1322^3)+'CAFCO 400 '!$L$8*(J1322^2)+'CAFCO 400 '!$L$9*J1322+'CAFCO 400 '!$L$10)*U1322^2)+(('CAFCO 400 '!$L$11*(J1322^3)+'CAFCO 400 '!$L$12*(J1322^2)+'CAFCO 400 '!$L$13*J1322+'CAFCO 400 '!$L$14)*U1322)+('CAFCO 400 '!$L$15*LN(J1322)+'CAFCO 400 '!$L$16)),0)+IF(AND(L1322="Cafco 400",M1322="Software Idiem",C1322="L"),((('CAFCO 400 '!$L$7*(J1322^3)+'CAFCO 400 '!$L$8*(J1322^2)+'CAFCO 400 '!$L$9*J1322+'CAFCO 400 '!$L$10)*U1322^2)+(('CAFCO 400 '!$L$11*(J1322^3)+'CAFCO 400 '!$L$12*(J1322^2)+'CAFCO 400 '!$L$13*J1322+'CAFCO 400 '!$L$14)*U1322)+('CAFCO 400 '!$L$15*LN(J1322)+'CAFCO 400 '!$L$16)),0)+IF(AND(L1322="Cafco 400",M1322="Software Idiem",C1322="IN",G1322=3),((('CAFCO 400 '!$D$23*(J1322^2)+'CAFCO 400 '!$D$24*(J1322)+'CAFCO 400 '!$D$25)*U1322^2)+(('CAFCO 400 '!$D$26*(J1322^2)+'CAFCO 400 '!$D$27*J1322+'CAFCO 400 '!$D$28)*U1322)+('CAFCO 400 '!$D$29*(J1322^2)+'CAFCO 400 '!$D$30*J1322+'CAFCO 400 '!$D$31)),0),0)+IF(AND(L1322="Cafco 300",J1322&gt;=95,J1322&lt;=240,C1322="Cj",I1322=90),VLOOKUP(T1322,'CAFCO 300 IDIEM TABLAS'!$B$4:$D$23,2,FALSE),0)+IF(AND(L1322="Cafco 300",J1322&gt;=95,J1322&lt;=240,C1322="Cj",I1322=120),VLOOKUP(T1322,'CAFCO 300 IDIEM TABLAS'!$B$4:$D$23,3,FALSE),0)+IF(AND(L1322="Cafco 300",J1322&gt;=95,J1322&lt;=400,G1322=3,C1322="IN",I1322=90),VLOOKUP(T1322,'CAFCO 300 IDIEM TABLAS'!$F$4:$H$35,2,FALSE),0)+IF(AND(L1322="Cafco 300",J1322&gt;=95,J1322&lt;=400,G1322=3,C1322="IN",I1322=120),VLOOKUP(T1322,'CAFCO 300 IDIEM TABLAS'!$F$4:$H$35,3,FALSE),0)+IF(AND(L1322="Cafco 300",J1322&gt;=95,J1322&lt;=450,G1322=4,C1322="IN",I1322=90),VLOOKUP(T1322,'CAFCO 300 IDIEM TABLAS'!$J$4:$L$40,2,FALSE),0)+IF(AND(L1322="Cafco 300",J1322&gt;=95,J1322&lt;=450,G1322=4,C1322="IN",I1322=120),VLOOKUP(T1322,'CAFCO 300 IDIEM TABLAS'!$J$4:$L$40,3,FALSE),0)+IF(AND(M1322="Ensayo Idiem",L1322="Cafco 400",C1322="IN",G1322=4,I1322=90),VLOOKUP(T1322,'CAFCO 400 ENSAYO'!$B$7:$D$43,2,FALSE),0)+IF(AND(M1322="Ensayo Idiem",L1322="Cafco 400",C1322="IN",G1322=4,I1322=120),VLOOKUP(T1322,'CAFCO 400 ENSAYO'!$B$7:$D$43,3,FALSE),0)</f>
        <v>0</v>
      </c>
      <c r="O1322" s="96">
        <f t="shared" si="132"/>
        <v>0</v>
      </c>
      <c r="P1322" s="95" t="str">
        <f t="shared" si="127"/>
        <v>N/A</v>
      </c>
      <c r="Q1322" s="95" t="str">
        <f t="shared" si="128"/>
        <v>N/A</v>
      </c>
      <c r="R1322" s="95" t="str">
        <f t="shared" si="129"/>
        <v>NO CERT.</v>
      </c>
      <c r="S1322" s="95" t="e">
        <f t="shared" si="130"/>
        <v>#N/A</v>
      </c>
      <c r="T1322" s="119" t="e">
        <f>+IF(J1322=LOOKUP(J1322,'CAFCO 300 IDIEM TABLAS'!$J$4:$J$40),'CALCULO MORTERO'!J1322,MROUND('CALCULO MORTERO'!J1322,10))</f>
        <v>#N/A</v>
      </c>
      <c r="U1322" s="118">
        <f t="shared" si="131"/>
        <v>0</v>
      </c>
    </row>
    <row r="1323" spans="1:21" x14ac:dyDescent="0.25">
      <c r="A1323" s="118">
        <f>+CUBICACION!D1317</f>
        <v>0</v>
      </c>
      <c r="B1323" s="819">
        <f>+CUBICACION!E1317</f>
        <v>0</v>
      </c>
      <c r="C1323" s="675">
        <f>+CUBICACION!F1317</f>
        <v>0</v>
      </c>
      <c r="D1323" s="118"/>
      <c r="E1323" s="118"/>
      <c r="F1323" s="820"/>
      <c r="G1323" s="675">
        <f>+CUBICACION!J1317</f>
        <v>0</v>
      </c>
      <c r="H1323" s="118"/>
      <c r="I1323" s="821">
        <f>+CUBICACION!L1317</f>
        <v>0</v>
      </c>
      <c r="J1323" s="64">
        <f>+CUBICACION!M1317</f>
        <v>0</v>
      </c>
      <c r="K1323" s="822" t="str">
        <f>+CUBICACION!N1317</f>
        <v/>
      </c>
      <c r="L1323" s="118">
        <f>+CUBICACION!O1317</f>
        <v>0</v>
      </c>
      <c r="M1323" s="823">
        <f>+CUBICACION!P1317</f>
        <v>0</v>
      </c>
      <c r="N1323" s="902">
        <f>ROUND(IF(AND(L1323="Blaze Shield II",M1323="Software Idiem",C1323="IN",G1323=4),((('BLAZE SHIELD II'!$D$4*('CALCULO MORTERO'!I1323^2)+'BLAZE SHIELD II'!$D$5*'CALCULO MORTERO'!I1323+'BLAZE SHIELD II'!$D$6)*LN(J1323))+('BLAZE SHIELD II'!$D$7*('CALCULO MORTERO'!I1323^2)+'BLAZE SHIELD II'!$D$8*'CALCULO MORTERO'!I1323+'BLAZE SHIELD II'!$D$9)),0)+IF(AND(L1323="Blaze Shield II",M1323="Software Idiem",C1323="Cj"),((('BLAZE SHIELD II'!$H$4*('CALCULO MORTERO'!I1323^2)+'BLAZE SHIELD II'!$H$5*'CALCULO MORTERO'!I1323+'BLAZE SHIELD II'!$H$6)*LN(J1323))+('BLAZE SHIELD II'!$H$7*('CALCULO MORTERO'!I1323^2)+'BLAZE SHIELD II'!$H$8*'CALCULO MORTERO'!I1323+'BLAZE SHIELD II'!$H$9)),0)+IF(AND(L1323="Blaze Shield II",M1323="Software Idiem",C1323="C"),((('BLAZE SHIELD II'!$L$4*('CALCULO MORTERO'!I1323^2)+'BLAZE SHIELD II'!$L$5*'CALCULO MORTERO'!I1323+'BLAZE SHIELD II'!$L$6)*LN(J1323))+('BLAZE SHIELD II'!$L$7*('CALCULO MORTERO'!I1323^2)+'BLAZE SHIELD II'!$L$8*'CALCULO MORTERO'!I1323+'BLAZE SHIELD II'!$L$9)),0)+IF(AND(L1323="Blaze Shield II",M1323="Software Idiem",C1323="L"),((('BLAZE SHIELD II'!$L$4*('CALCULO MORTERO'!I1323^2)+'BLAZE SHIELD II'!$L$5*'CALCULO MORTERO'!I1323+'BLAZE SHIELD II'!$L$6)*LN(J1323))+('BLAZE SHIELD II'!$L$7*('CALCULO MORTERO'!I1323^2)+'BLAZE SHIELD II'!$L$8*'CALCULO MORTERO'!I1323+'BLAZE SHIELD II'!$L$9)),0)+IF(AND(L1323="Blaze Shield II",M1323="Software Idiem",C1323="IN",G1323=3),((('BLAZE SHIELD II'!$H$14*('CALCULO MORTERO'!I1323^2)+'BLAZE SHIELD II'!$H$15*'CALCULO MORTERO'!I1323+'BLAZE SHIELD II'!$H$16)*LN(J1323))+('BLAZE SHIELD II'!$H$17*('CALCULO MORTERO'!I1323^2)+'BLAZE SHIELD II'!$H$18*'CALCULO MORTERO'!I1323+'BLAZE SHIELD II'!$H$19)),0),0)+ROUND(IF(AND(L1323="Cafco 400",M1323="Software Idiem",C1323="IN",G1323=4),((('CAFCO 400 '!$H$7*(J1323^4)+'CAFCO 400 '!$H$8*(J1323^3)+'CAFCO 400 '!$H$9*(J1323^2)+'CAFCO 400 '!$H$10*J1323+'CAFCO 400 '!$H$11)*U1323^2)+(('CAFCO 400 '!$H$12*(J1323^3)+'CAFCO 400 '!$H$13*(J1323^2)+'CAFCO 400 '!$H$14*J1323+'CAFCO 400 '!$H$15)*U1323)+('CAFCO 400 '!$H$16*(J1323^2)+'CAFCO 400 '!$H$17*J1323+'CAFCO 400 '!$H$18)),0)+IF(AND(L1323="Cafco 400",M1323="Software Idiem",C1323="Cj"),(((('CAFCO 400 '!$D$7*LN(J1323)+'CAFCO 400 '!$D$8)*U1323^2)+(('CAFCO 400 '!$D$9*LN(J1323)+'CAFCO 400 '!$D$10)*U1323)+('CAFCO 400 '!$D$11*LN(J1323)+'CAFCO 400 '!$D$12))),0)+IF(AND(L1323="Cafco 400",M1323="Software Idiem",C1323="C"),((('CAFCO 400 '!$L$7*(J1323^3)+'CAFCO 400 '!$L$8*(J1323^2)+'CAFCO 400 '!$L$9*J1323+'CAFCO 400 '!$L$10)*U1323^2)+(('CAFCO 400 '!$L$11*(J1323^3)+'CAFCO 400 '!$L$12*(J1323^2)+'CAFCO 400 '!$L$13*J1323+'CAFCO 400 '!$L$14)*U1323)+('CAFCO 400 '!$L$15*LN(J1323)+'CAFCO 400 '!$L$16)),0)+IF(AND(L1323="Cafco 400",M1323="Software Idiem",C1323="L"),((('CAFCO 400 '!$L$7*(J1323^3)+'CAFCO 400 '!$L$8*(J1323^2)+'CAFCO 400 '!$L$9*J1323+'CAFCO 400 '!$L$10)*U1323^2)+(('CAFCO 400 '!$L$11*(J1323^3)+'CAFCO 400 '!$L$12*(J1323^2)+'CAFCO 400 '!$L$13*J1323+'CAFCO 400 '!$L$14)*U1323)+('CAFCO 400 '!$L$15*LN(J1323)+'CAFCO 400 '!$L$16)),0)+IF(AND(L1323="Cafco 400",M1323="Software Idiem",C1323="IN",G1323=3),((('CAFCO 400 '!$D$23*(J1323^2)+'CAFCO 400 '!$D$24*(J1323)+'CAFCO 400 '!$D$25)*U1323^2)+(('CAFCO 400 '!$D$26*(J1323^2)+'CAFCO 400 '!$D$27*J1323+'CAFCO 400 '!$D$28)*U1323)+('CAFCO 400 '!$D$29*(J1323^2)+'CAFCO 400 '!$D$30*J1323+'CAFCO 400 '!$D$31)),0),0)+IF(AND(L1323="Cafco 300",J1323&gt;=95,J1323&lt;=240,C1323="Cj",I1323=90),VLOOKUP(T1323,'CAFCO 300 IDIEM TABLAS'!$B$4:$D$23,2,FALSE),0)+IF(AND(L1323="Cafco 300",J1323&gt;=95,J1323&lt;=240,C1323="Cj",I1323=120),VLOOKUP(T1323,'CAFCO 300 IDIEM TABLAS'!$B$4:$D$23,3,FALSE),0)+IF(AND(L1323="Cafco 300",J1323&gt;=95,J1323&lt;=400,G1323=3,C1323="IN",I1323=90),VLOOKUP(T1323,'CAFCO 300 IDIEM TABLAS'!$F$4:$H$35,2,FALSE),0)+IF(AND(L1323="Cafco 300",J1323&gt;=95,J1323&lt;=400,G1323=3,C1323="IN",I1323=120),VLOOKUP(T1323,'CAFCO 300 IDIEM TABLAS'!$F$4:$H$35,3,FALSE),0)+IF(AND(L1323="Cafco 300",J1323&gt;=95,J1323&lt;=450,G1323=4,C1323="IN",I1323=90),VLOOKUP(T1323,'CAFCO 300 IDIEM TABLAS'!$J$4:$L$40,2,FALSE),0)+IF(AND(L1323="Cafco 300",J1323&gt;=95,J1323&lt;=450,G1323=4,C1323="IN",I1323=120),VLOOKUP(T1323,'CAFCO 300 IDIEM TABLAS'!$J$4:$L$40,3,FALSE),0)+IF(AND(M1323="Ensayo Idiem",L1323="Cafco 400",C1323="IN",G1323=4,I1323=90),VLOOKUP(T1323,'CAFCO 400 ENSAYO'!$B$7:$D$43,2,FALSE),0)+IF(AND(M1323="Ensayo Idiem",L1323="Cafco 400",C1323="IN",G1323=4,I1323=120),VLOOKUP(T1323,'CAFCO 400 ENSAYO'!$B$7:$D$43,3,FALSE),0)</f>
        <v>0</v>
      </c>
      <c r="O1323" s="96">
        <f t="shared" si="132"/>
        <v>0</v>
      </c>
      <c r="P1323" s="132" t="str">
        <f t="shared" si="127"/>
        <v>N/A</v>
      </c>
      <c r="Q1323" s="132" t="str">
        <f t="shared" si="128"/>
        <v>N/A</v>
      </c>
      <c r="R1323" s="132" t="str">
        <f t="shared" si="129"/>
        <v>NO CERT.</v>
      </c>
      <c r="S1323" s="132" t="e">
        <f t="shared" si="130"/>
        <v>#N/A</v>
      </c>
      <c r="T1323" s="133" t="e">
        <f>+IF(J1323=LOOKUP(J1323,'CAFCO 300 IDIEM TABLAS'!$J$4:$J$40),'CALCULO MORTERO'!J1323,MROUND('CALCULO MORTERO'!J1323,10))</f>
        <v>#N/A</v>
      </c>
      <c r="U1323" s="134">
        <f t="shared" si="131"/>
        <v>0</v>
      </c>
    </row>
    <row r="1324" spans="1:21" x14ac:dyDescent="0.25">
      <c r="A1324" s="118">
        <f>+CUBICACION!D1318</f>
        <v>0</v>
      </c>
      <c r="B1324" s="819">
        <f>+CUBICACION!E1318</f>
        <v>0</v>
      </c>
      <c r="C1324" s="675">
        <f>+CUBICACION!F1318</f>
        <v>0</v>
      </c>
      <c r="D1324" s="118"/>
      <c r="E1324" s="118"/>
      <c r="F1324" s="820"/>
      <c r="G1324" s="675">
        <f>+CUBICACION!J1318</f>
        <v>0</v>
      </c>
      <c r="H1324" s="118"/>
      <c r="I1324" s="821">
        <f>+CUBICACION!L1318</f>
        <v>0</v>
      </c>
      <c r="J1324" s="64">
        <f>+CUBICACION!M1318</f>
        <v>0</v>
      </c>
      <c r="K1324" s="822" t="str">
        <f>+CUBICACION!N1318</f>
        <v/>
      </c>
      <c r="L1324" s="118">
        <f>+CUBICACION!O1318</f>
        <v>0</v>
      </c>
      <c r="M1324" s="823">
        <f>+CUBICACION!P1318</f>
        <v>0</v>
      </c>
      <c r="N1324" s="902">
        <f>ROUND(IF(AND(L1324="Blaze Shield II",M1324="Software Idiem",C1324="IN",G1324=4),((('BLAZE SHIELD II'!$D$4*('CALCULO MORTERO'!I1324^2)+'BLAZE SHIELD II'!$D$5*'CALCULO MORTERO'!I1324+'BLAZE SHIELD II'!$D$6)*LN(J1324))+('BLAZE SHIELD II'!$D$7*('CALCULO MORTERO'!I1324^2)+'BLAZE SHIELD II'!$D$8*'CALCULO MORTERO'!I1324+'BLAZE SHIELD II'!$D$9)),0)+IF(AND(L1324="Blaze Shield II",M1324="Software Idiem",C1324="Cj"),((('BLAZE SHIELD II'!$H$4*('CALCULO MORTERO'!I1324^2)+'BLAZE SHIELD II'!$H$5*'CALCULO MORTERO'!I1324+'BLAZE SHIELD II'!$H$6)*LN(J1324))+('BLAZE SHIELD II'!$H$7*('CALCULO MORTERO'!I1324^2)+'BLAZE SHIELD II'!$H$8*'CALCULO MORTERO'!I1324+'BLAZE SHIELD II'!$H$9)),0)+IF(AND(L1324="Blaze Shield II",M1324="Software Idiem",C1324="C"),((('BLAZE SHIELD II'!$L$4*('CALCULO MORTERO'!I1324^2)+'BLAZE SHIELD II'!$L$5*'CALCULO MORTERO'!I1324+'BLAZE SHIELD II'!$L$6)*LN(J1324))+('BLAZE SHIELD II'!$L$7*('CALCULO MORTERO'!I1324^2)+'BLAZE SHIELD II'!$L$8*'CALCULO MORTERO'!I1324+'BLAZE SHIELD II'!$L$9)),0)+IF(AND(L1324="Blaze Shield II",M1324="Software Idiem",C1324="L"),((('BLAZE SHIELD II'!$L$4*('CALCULO MORTERO'!I1324^2)+'BLAZE SHIELD II'!$L$5*'CALCULO MORTERO'!I1324+'BLAZE SHIELD II'!$L$6)*LN(J1324))+('BLAZE SHIELD II'!$L$7*('CALCULO MORTERO'!I1324^2)+'BLAZE SHIELD II'!$L$8*'CALCULO MORTERO'!I1324+'BLAZE SHIELD II'!$L$9)),0)+IF(AND(L1324="Blaze Shield II",M1324="Software Idiem",C1324="IN",G1324=3),((('BLAZE SHIELD II'!$H$14*('CALCULO MORTERO'!I1324^2)+'BLAZE SHIELD II'!$H$15*'CALCULO MORTERO'!I1324+'BLAZE SHIELD II'!$H$16)*LN(J1324))+('BLAZE SHIELD II'!$H$17*('CALCULO MORTERO'!I1324^2)+'BLAZE SHIELD II'!$H$18*'CALCULO MORTERO'!I1324+'BLAZE SHIELD II'!$H$19)),0),0)+ROUND(IF(AND(L1324="Cafco 400",M1324="Software Idiem",C1324="IN",G1324=4),((('CAFCO 400 '!$H$7*(J1324^4)+'CAFCO 400 '!$H$8*(J1324^3)+'CAFCO 400 '!$H$9*(J1324^2)+'CAFCO 400 '!$H$10*J1324+'CAFCO 400 '!$H$11)*U1324^2)+(('CAFCO 400 '!$H$12*(J1324^3)+'CAFCO 400 '!$H$13*(J1324^2)+'CAFCO 400 '!$H$14*J1324+'CAFCO 400 '!$H$15)*U1324)+('CAFCO 400 '!$H$16*(J1324^2)+'CAFCO 400 '!$H$17*J1324+'CAFCO 400 '!$H$18)),0)+IF(AND(L1324="Cafco 400",M1324="Software Idiem",C1324="Cj"),(((('CAFCO 400 '!$D$7*LN(J1324)+'CAFCO 400 '!$D$8)*U1324^2)+(('CAFCO 400 '!$D$9*LN(J1324)+'CAFCO 400 '!$D$10)*U1324)+('CAFCO 400 '!$D$11*LN(J1324)+'CAFCO 400 '!$D$12))),0)+IF(AND(L1324="Cafco 400",M1324="Software Idiem",C1324="C"),((('CAFCO 400 '!$L$7*(J1324^3)+'CAFCO 400 '!$L$8*(J1324^2)+'CAFCO 400 '!$L$9*J1324+'CAFCO 400 '!$L$10)*U1324^2)+(('CAFCO 400 '!$L$11*(J1324^3)+'CAFCO 400 '!$L$12*(J1324^2)+'CAFCO 400 '!$L$13*J1324+'CAFCO 400 '!$L$14)*U1324)+('CAFCO 400 '!$L$15*LN(J1324)+'CAFCO 400 '!$L$16)),0)+IF(AND(L1324="Cafco 400",M1324="Software Idiem",C1324="L"),((('CAFCO 400 '!$L$7*(J1324^3)+'CAFCO 400 '!$L$8*(J1324^2)+'CAFCO 400 '!$L$9*J1324+'CAFCO 400 '!$L$10)*U1324^2)+(('CAFCO 400 '!$L$11*(J1324^3)+'CAFCO 400 '!$L$12*(J1324^2)+'CAFCO 400 '!$L$13*J1324+'CAFCO 400 '!$L$14)*U1324)+('CAFCO 400 '!$L$15*LN(J1324)+'CAFCO 400 '!$L$16)),0)+IF(AND(L1324="Cafco 400",M1324="Software Idiem",C1324="IN",G1324=3),((('CAFCO 400 '!$D$23*(J1324^2)+'CAFCO 400 '!$D$24*(J1324)+'CAFCO 400 '!$D$25)*U1324^2)+(('CAFCO 400 '!$D$26*(J1324^2)+'CAFCO 400 '!$D$27*J1324+'CAFCO 400 '!$D$28)*U1324)+('CAFCO 400 '!$D$29*(J1324^2)+'CAFCO 400 '!$D$30*J1324+'CAFCO 400 '!$D$31)),0),0)+IF(AND(L1324="Cafco 300",J1324&gt;=95,J1324&lt;=240,C1324="Cj",I1324=90),VLOOKUP(T1324,'CAFCO 300 IDIEM TABLAS'!$B$4:$D$23,2,FALSE),0)+IF(AND(L1324="Cafco 300",J1324&gt;=95,J1324&lt;=240,C1324="Cj",I1324=120),VLOOKUP(T1324,'CAFCO 300 IDIEM TABLAS'!$B$4:$D$23,3,FALSE),0)+IF(AND(L1324="Cafco 300",J1324&gt;=95,J1324&lt;=400,G1324=3,C1324="IN",I1324=90),VLOOKUP(T1324,'CAFCO 300 IDIEM TABLAS'!$F$4:$H$35,2,FALSE),0)+IF(AND(L1324="Cafco 300",J1324&gt;=95,J1324&lt;=400,G1324=3,C1324="IN",I1324=120),VLOOKUP(T1324,'CAFCO 300 IDIEM TABLAS'!$F$4:$H$35,3,FALSE),0)+IF(AND(L1324="Cafco 300",J1324&gt;=95,J1324&lt;=450,G1324=4,C1324="IN",I1324=90),VLOOKUP(T1324,'CAFCO 300 IDIEM TABLAS'!$J$4:$L$40,2,FALSE),0)+IF(AND(L1324="Cafco 300",J1324&gt;=95,J1324&lt;=450,G1324=4,C1324="IN",I1324=120),VLOOKUP(T1324,'CAFCO 300 IDIEM TABLAS'!$J$4:$L$40,3,FALSE),0)+IF(AND(M1324="Ensayo Idiem",L1324="Cafco 400",C1324="IN",G1324=4,I1324=90),VLOOKUP(T1324,'CAFCO 400 ENSAYO'!$B$7:$D$43,2,FALSE),0)+IF(AND(M1324="Ensayo Idiem",L1324="Cafco 400",C1324="IN",G1324=4,I1324=120),VLOOKUP(T1324,'CAFCO 400 ENSAYO'!$B$7:$D$43,3,FALSE),0)</f>
        <v>0</v>
      </c>
      <c r="O1324" s="96">
        <f t="shared" si="132"/>
        <v>0</v>
      </c>
      <c r="P1324" s="95" t="str">
        <f t="shared" si="127"/>
        <v>N/A</v>
      </c>
      <c r="Q1324" s="95" t="str">
        <f t="shared" si="128"/>
        <v>N/A</v>
      </c>
      <c r="R1324" s="95" t="str">
        <f t="shared" si="129"/>
        <v>NO CERT.</v>
      </c>
      <c r="S1324" s="95" t="e">
        <f t="shared" si="130"/>
        <v>#N/A</v>
      </c>
      <c r="T1324" s="119" t="e">
        <f>+IF(J1324=LOOKUP(J1324,'CAFCO 300 IDIEM TABLAS'!$J$4:$J$40),'CALCULO MORTERO'!J1324,MROUND('CALCULO MORTERO'!J1324,10))</f>
        <v>#N/A</v>
      </c>
      <c r="U1324" s="118">
        <f t="shared" si="131"/>
        <v>0</v>
      </c>
    </row>
    <row r="1325" spans="1:21" x14ac:dyDescent="0.25">
      <c r="A1325" s="118">
        <f>+CUBICACION!D1319</f>
        <v>0</v>
      </c>
      <c r="B1325" s="819">
        <f>+CUBICACION!E1319</f>
        <v>0</v>
      </c>
      <c r="C1325" s="675">
        <f>+CUBICACION!F1319</f>
        <v>0</v>
      </c>
      <c r="D1325" s="118"/>
      <c r="E1325" s="118"/>
      <c r="F1325" s="820"/>
      <c r="G1325" s="675">
        <f>+CUBICACION!J1319</f>
        <v>0</v>
      </c>
      <c r="H1325" s="118"/>
      <c r="I1325" s="821">
        <f>+CUBICACION!L1319</f>
        <v>0</v>
      </c>
      <c r="J1325" s="64">
        <f>+CUBICACION!M1319</f>
        <v>0</v>
      </c>
      <c r="K1325" s="822" t="str">
        <f>+CUBICACION!N1319</f>
        <v/>
      </c>
      <c r="L1325" s="118">
        <f>+CUBICACION!O1319</f>
        <v>0</v>
      </c>
      <c r="M1325" s="823">
        <f>+CUBICACION!P1319</f>
        <v>0</v>
      </c>
      <c r="N1325" s="902">
        <f>ROUND(IF(AND(L1325="Blaze Shield II",M1325="Software Idiem",C1325="IN",G1325=4),((('BLAZE SHIELD II'!$D$4*('CALCULO MORTERO'!I1325^2)+'BLAZE SHIELD II'!$D$5*'CALCULO MORTERO'!I1325+'BLAZE SHIELD II'!$D$6)*LN(J1325))+('BLAZE SHIELD II'!$D$7*('CALCULO MORTERO'!I1325^2)+'BLAZE SHIELD II'!$D$8*'CALCULO MORTERO'!I1325+'BLAZE SHIELD II'!$D$9)),0)+IF(AND(L1325="Blaze Shield II",M1325="Software Idiem",C1325="Cj"),((('BLAZE SHIELD II'!$H$4*('CALCULO MORTERO'!I1325^2)+'BLAZE SHIELD II'!$H$5*'CALCULO MORTERO'!I1325+'BLAZE SHIELD II'!$H$6)*LN(J1325))+('BLAZE SHIELD II'!$H$7*('CALCULO MORTERO'!I1325^2)+'BLAZE SHIELD II'!$H$8*'CALCULO MORTERO'!I1325+'BLAZE SHIELD II'!$H$9)),0)+IF(AND(L1325="Blaze Shield II",M1325="Software Idiem",C1325="C"),((('BLAZE SHIELD II'!$L$4*('CALCULO MORTERO'!I1325^2)+'BLAZE SHIELD II'!$L$5*'CALCULO MORTERO'!I1325+'BLAZE SHIELD II'!$L$6)*LN(J1325))+('BLAZE SHIELD II'!$L$7*('CALCULO MORTERO'!I1325^2)+'BLAZE SHIELD II'!$L$8*'CALCULO MORTERO'!I1325+'BLAZE SHIELD II'!$L$9)),0)+IF(AND(L1325="Blaze Shield II",M1325="Software Idiem",C1325="L"),((('BLAZE SHIELD II'!$L$4*('CALCULO MORTERO'!I1325^2)+'BLAZE SHIELD II'!$L$5*'CALCULO MORTERO'!I1325+'BLAZE SHIELD II'!$L$6)*LN(J1325))+('BLAZE SHIELD II'!$L$7*('CALCULO MORTERO'!I1325^2)+'BLAZE SHIELD II'!$L$8*'CALCULO MORTERO'!I1325+'BLAZE SHIELD II'!$L$9)),0)+IF(AND(L1325="Blaze Shield II",M1325="Software Idiem",C1325="IN",G1325=3),((('BLAZE SHIELD II'!$H$14*('CALCULO MORTERO'!I1325^2)+'BLAZE SHIELD II'!$H$15*'CALCULO MORTERO'!I1325+'BLAZE SHIELD II'!$H$16)*LN(J1325))+('BLAZE SHIELD II'!$H$17*('CALCULO MORTERO'!I1325^2)+'BLAZE SHIELD II'!$H$18*'CALCULO MORTERO'!I1325+'BLAZE SHIELD II'!$H$19)),0),0)+ROUND(IF(AND(L1325="Cafco 400",M1325="Software Idiem",C1325="IN",G1325=4),((('CAFCO 400 '!$H$7*(J1325^4)+'CAFCO 400 '!$H$8*(J1325^3)+'CAFCO 400 '!$H$9*(J1325^2)+'CAFCO 400 '!$H$10*J1325+'CAFCO 400 '!$H$11)*U1325^2)+(('CAFCO 400 '!$H$12*(J1325^3)+'CAFCO 400 '!$H$13*(J1325^2)+'CAFCO 400 '!$H$14*J1325+'CAFCO 400 '!$H$15)*U1325)+('CAFCO 400 '!$H$16*(J1325^2)+'CAFCO 400 '!$H$17*J1325+'CAFCO 400 '!$H$18)),0)+IF(AND(L1325="Cafco 400",M1325="Software Idiem",C1325="Cj"),(((('CAFCO 400 '!$D$7*LN(J1325)+'CAFCO 400 '!$D$8)*U1325^2)+(('CAFCO 400 '!$D$9*LN(J1325)+'CAFCO 400 '!$D$10)*U1325)+('CAFCO 400 '!$D$11*LN(J1325)+'CAFCO 400 '!$D$12))),0)+IF(AND(L1325="Cafco 400",M1325="Software Idiem",C1325="C"),((('CAFCO 400 '!$L$7*(J1325^3)+'CAFCO 400 '!$L$8*(J1325^2)+'CAFCO 400 '!$L$9*J1325+'CAFCO 400 '!$L$10)*U1325^2)+(('CAFCO 400 '!$L$11*(J1325^3)+'CAFCO 400 '!$L$12*(J1325^2)+'CAFCO 400 '!$L$13*J1325+'CAFCO 400 '!$L$14)*U1325)+('CAFCO 400 '!$L$15*LN(J1325)+'CAFCO 400 '!$L$16)),0)+IF(AND(L1325="Cafco 400",M1325="Software Idiem",C1325="L"),((('CAFCO 400 '!$L$7*(J1325^3)+'CAFCO 400 '!$L$8*(J1325^2)+'CAFCO 400 '!$L$9*J1325+'CAFCO 400 '!$L$10)*U1325^2)+(('CAFCO 400 '!$L$11*(J1325^3)+'CAFCO 400 '!$L$12*(J1325^2)+'CAFCO 400 '!$L$13*J1325+'CAFCO 400 '!$L$14)*U1325)+('CAFCO 400 '!$L$15*LN(J1325)+'CAFCO 400 '!$L$16)),0)+IF(AND(L1325="Cafco 400",M1325="Software Idiem",C1325="IN",G1325=3),((('CAFCO 400 '!$D$23*(J1325^2)+'CAFCO 400 '!$D$24*(J1325)+'CAFCO 400 '!$D$25)*U1325^2)+(('CAFCO 400 '!$D$26*(J1325^2)+'CAFCO 400 '!$D$27*J1325+'CAFCO 400 '!$D$28)*U1325)+('CAFCO 400 '!$D$29*(J1325^2)+'CAFCO 400 '!$D$30*J1325+'CAFCO 400 '!$D$31)),0),0)+IF(AND(L1325="Cafco 300",J1325&gt;=95,J1325&lt;=240,C1325="Cj",I1325=90),VLOOKUP(T1325,'CAFCO 300 IDIEM TABLAS'!$B$4:$D$23,2,FALSE),0)+IF(AND(L1325="Cafco 300",J1325&gt;=95,J1325&lt;=240,C1325="Cj",I1325=120),VLOOKUP(T1325,'CAFCO 300 IDIEM TABLAS'!$B$4:$D$23,3,FALSE),0)+IF(AND(L1325="Cafco 300",J1325&gt;=95,J1325&lt;=400,G1325=3,C1325="IN",I1325=90),VLOOKUP(T1325,'CAFCO 300 IDIEM TABLAS'!$F$4:$H$35,2,FALSE),0)+IF(AND(L1325="Cafco 300",J1325&gt;=95,J1325&lt;=400,G1325=3,C1325="IN",I1325=120),VLOOKUP(T1325,'CAFCO 300 IDIEM TABLAS'!$F$4:$H$35,3,FALSE),0)+IF(AND(L1325="Cafco 300",J1325&gt;=95,J1325&lt;=450,G1325=4,C1325="IN",I1325=90),VLOOKUP(T1325,'CAFCO 300 IDIEM TABLAS'!$J$4:$L$40,2,FALSE),0)+IF(AND(L1325="Cafco 300",J1325&gt;=95,J1325&lt;=450,G1325=4,C1325="IN",I1325=120),VLOOKUP(T1325,'CAFCO 300 IDIEM TABLAS'!$J$4:$L$40,3,FALSE),0)+IF(AND(M1325="Ensayo Idiem",L1325="Cafco 400",C1325="IN",G1325=4,I1325=90),VLOOKUP(T1325,'CAFCO 400 ENSAYO'!$B$7:$D$43,2,FALSE),0)+IF(AND(M1325="Ensayo Idiem",L1325="Cafco 400",C1325="IN",G1325=4,I1325=120),VLOOKUP(T1325,'CAFCO 400 ENSAYO'!$B$7:$D$43,3,FALSE),0)</f>
        <v>0</v>
      </c>
      <c r="O1325" s="96">
        <f t="shared" si="132"/>
        <v>0</v>
      </c>
      <c r="P1325" s="132" t="str">
        <f t="shared" si="127"/>
        <v>N/A</v>
      </c>
      <c r="Q1325" s="132" t="str">
        <f t="shared" si="128"/>
        <v>N/A</v>
      </c>
      <c r="R1325" s="132" t="str">
        <f t="shared" si="129"/>
        <v>NO CERT.</v>
      </c>
      <c r="S1325" s="132" t="e">
        <f t="shared" si="130"/>
        <v>#N/A</v>
      </c>
      <c r="T1325" s="133" t="e">
        <f>+IF(J1325=LOOKUP(J1325,'CAFCO 300 IDIEM TABLAS'!$J$4:$J$40),'CALCULO MORTERO'!J1325,MROUND('CALCULO MORTERO'!J1325,10))</f>
        <v>#N/A</v>
      </c>
      <c r="U1325" s="134">
        <f t="shared" si="131"/>
        <v>0</v>
      </c>
    </row>
    <row r="1326" spans="1:21" x14ac:dyDescent="0.25">
      <c r="A1326" s="118">
        <f>+CUBICACION!D1320</f>
        <v>0</v>
      </c>
      <c r="B1326" s="819">
        <f>+CUBICACION!E1320</f>
        <v>0</v>
      </c>
      <c r="C1326" s="675">
        <f>+CUBICACION!F1320</f>
        <v>0</v>
      </c>
      <c r="D1326" s="118"/>
      <c r="E1326" s="118"/>
      <c r="F1326" s="820"/>
      <c r="G1326" s="675">
        <f>+CUBICACION!J1320</f>
        <v>0</v>
      </c>
      <c r="H1326" s="118"/>
      <c r="I1326" s="821">
        <f>+CUBICACION!L1320</f>
        <v>0</v>
      </c>
      <c r="J1326" s="64">
        <f>+CUBICACION!M1320</f>
        <v>0</v>
      </c>
      <c r="K1326" s="822" t="str">
        <f>+CUBICACION!N1320</f>
        <v/>
      </c>
      <c r="L1326" s="118">
        <f>+CUBICACION!O1320</f>
        <v>0</v>
      </c>
      <c r="M1326" s="823">
        <f>+CUBICACION!P1320</f>
        <v>0</v>
      </c>
      <c r="N1326" s="902">
        <f>ROUND(IF(AND(L1326="Blaze Shield II",M1326="Software Idiem",C1326="IN",G1326=4),((('BLAZE SHIELD II'!$D$4*('CALCULO MORTERO'!I1326^2)+'BLAZE SHIELD II'!$D$5*'CALCULO MORTERO'!I1326+'BLAZE SHIELD II'!$D$6)*LN(J1326))+('BLAZE SHIELD II'!$D$7*('CALCULO MORTERO'!I1326^2)+'BLAZE SHIELD II'!$D$8*'CALCULO MORTERO'!I1326+'BLAZE SHIELD II'!$D$9)),0)+IF(AND(L1326="Blaze Shield II",M1326="Software Idiem",C1326="Cj"),((('BLAZE SHIELD II'!$H$4*('CALCULO MORTERO'!I1326^2)+'BLAZE SHIELD II'!$H$5*'CALCULO MORTERO'!I1326+'BLAZE SHIELD II'!$H$6)*LN(J1326))+('BLAZE SHIELD II'!$H$7*('CALCULO MORTERO'!I1326^2)+'BLAZE SHIELD II'!$H$8*'CALCULO MORTERO'!I1326+'BLAZE SHIELD II'!$H$9)),0)+IF(AND(L1326="Blaze Shield II",M1326="Software Idiem",C1326="C"),((('BLAZE SHIELD II'!$L$4*('CALCULO MORTERO'!I1326^2)+'BLAZE SHIELD II'!$L$5*'CALCULO MORTERO'!I1326+'BLAZE SHIELD II'!$L$6)*LN(J1326))+('BLAZE SHIELD II'!$L$7*('CALCULO MORTERO'!I1326^2)+'BLAZE SHIELD II'!$L$8*'CALCULO MORTERO'!I1326+'BLAZE SHIELD II'!$L$9)),0)+IF(AND(L1326="Blaze Shield II",M1326="Software Idiem",C1326="L"),((('BLAZE SHIELD II'!$L$4*('CALCULO MORTERO'!I1326^2)+'BLAZE SHIELD II'!$L$5*'CALCULO MORTERO'!I1326+'BLAZE SHIELD II'!$L$6)*LN(J1326))+('BLAZE SHIELD II'!$L$7*('CALCULO MORTERO'!I1326^2)+'BLAZE SHIELD II'!$L$8*'CALCULO MORTERO'!I1326+'BLAZE SHIELD II'!$L$9)),0)+IF(AND(L1326="Blaze Shield II",M1326="Software Idiem",C1326="IN",G1326=3),((('BLAZE SHIELD II'!$H$14*('CALCULO MORTERO'!I1326^2)+'BLAZE SHIELD II'!$H$15*'CALCULO MORTERO'!I1326+'BLAZE SHIELD II'!$H$16)*LN(J1326))+('BLAZE SHIELD II'!$H$17*('CALCULO MORTERO'!I1326^2)+'BLAZE SHIELD II'!$H$18*'CALCULO MORTERO'!I1326+'BLAZE SHIELD II'!$H$19)),0),0)+ROUND(IF(AND(L1326="Cafco 400",M1326="Software Idiem",C1326="IN",G1326=4),((('CAFCO 400 '!$H$7*(J1326^4)+'CAFCO 400 '!$H$8*(J1326^3)+'CAFCO 400 '!$H$9*(J1326^2)+'CAFCO 400 '!$H$10*J1326+'CAFCO 400 '!$H$11)*U1326^2)+(('CAFCO 400 '!$H$12*(J1326^3)+'CAFCO 400 '!$H$13*(J1326^2)+'CAFCO 400 '!$H$14*J1326+'CAFCO 400 '!$H$15)*U1326)+('CAFCO 400 '!$H$16*(J1326^2)+'CAFCO 400 '!$H$17*J1326+'CAFCO 400 '!$H$18)),0)+IF(AND(L1326="Cafco 400",M1326="Software Idiem",C1326="Cj"),(((('CAFCO 400 '!$D$7*LN(J1326)+'CAFCO 400 '!$D$8)*U1326^2)+(('CAFCO 400 '!$D$9*LN(J1326)+'CAFCO 400 '!$D$10)*U1326)+('CAFCO 400 '!$D$11*LN(J1326)+'CAFCO 400 '!$D$12))),0)+IF(AND(L1326="Cafco 400",M1326="Software Idiem",C1326="C"),((('CAFCO 400 '!$L$7*(J1326^3)+'CAFCO 400 '!$L$8*(J1326^2)+'CAFCO 400 '!$L$9*J1326+'CAFCO 400 '!$L$10)*U1326^2)+(('CAFCO 400 '!$L$11*(J1326^3)+'CAFCO 400 '!$L$12*(J1326^2)+'CAFCO 400 '!$L$13*J1326+'CAFCO 400 '!$L$14)*U1326)+('CAFCO 400 '!$L$15*LN(J1326)+'CAFCO 400 '!$L$16)),0)+IF(AND(L1326="Cafco 400",M1326="Software Idiem",C1326="L"),((('CAFCO 400 '!$L$7*(J1326^3)+'CAFCO 400 '!$L$8*(J1326^2)+'CAFCO 400 '!$L$9*J1326+'CAFCO 400 '!$L$10)*U1326^2)+(('CAFCO 400 '!$L$11*(J1326^3)+'CAFCO 400 '!$L$12*(J1326^2)+'CAFCO 400 '!$L$13*J1326+'CAFCO 400 '!$L$14)*U1326)+('CAFCO 400 '!$L$15*LN(J1326)+'CAFCO 400 '!$L$16)),0)+IF(AND(L1326="Cafco 400",M1326="Software Idiem",C1326="IN",G1326=3),((('CAFCO 400 '!$D$23*(J1326^2)+'CAFCO 400 '!$D$24*(J1326)+'CAFCO 400 '!$D$25)*U1326^2)+(('CAFCO 400 '!$D$26*(J1326^2)+'CAFCO 400 '!$D$27*J1326+'CAFCO 400 '!$D$28)*U1326)+('CAFCO 400 '!$D$29*(J1326^2)+'CAFCO 400 '!$D$30*J1326+'CAFCO 400 '!$D$31)),0),0)+IF(AND(L1326="Cafco 300",J1326&gt;=95,J1326&lt;=240,C1326="Cj",I1326=90),VLOOKUP(T1326,'CAFCO 300 IDIEM TABLAS'!$B$4:$D$23,2,FALSE),0)+IF(AND(L1326="Cafco 300",J1326&gt;=95,J1326&lt;=240,C1326="Cj",I1326=120),VLOOKUP(T1326,'CAFCO 300 IDIEM TABLAS'!$B$4:$D$23,3,FALSE),0)+IF(AND(L1326="Cafco 300",J1326&gt;=95,J1326&lt;=400,G1326=3,C1326="IN",I1326=90),VLOOKUP(T1326,'CAFCO 300 IDIEM TABLAS'!$F$4:$H$35,2,FALSE),0)+IF(AND(L1326="Cafco 300",J1326&gt;=95,J1326&lt;=400,G1326=3,C1326="IN",I1326=120),VLOOKUP(T1326,'CAFCO 300 IDIEM TABLAS'!$F$4:$H$35,3,FALSE),0)+IF(AND(L1326="Cafco 300",J1326&gt;=95,J1326&lt;=450,G1326=4,C1326="IN",I1326=90),VLOOKUP(T1326,'CAFCO 300 IDIEM TABLAS'!$J$4:$L$40,2,FALSE),0)+IF(AND(L1326="Cafco 300",J1326&gt;=95,J1326&lt;=450,G1326=4,C1326="IN",I1326=120),VLOOKUP(T1326,'CAFCO 300 IDIEM TABLAS'!$J$4:$L$40,3,FALSE),0)+IF(AND(M1326="Ensayo Idiem",L1326="Cafco 400",C1326="IN",G1326=4,I1326=90),VLOOKUP(T1326,'CAFCO 400 ENSAYO'!$B$7:$D$43,2,FALSE),0)+IF(AND(M1326="Ensayo Idiem",L1326="Cafco 400",C1326="IN",G1326=4,I1326=120),VLOOKUP(T1326,'CAFCO 400 ENSAYO'!$B$7:$D$43,3,FALSE),0)</f>
        <v>0</v>
      </c>
      <c r="O1326" s="96">
        <f t="shared" si="132"/>
        <v>0</v>
      </c>
      <c r="P1326" s="95" t="str">
        <f t="shared" si="127"/>
        <v>N/A</v>
      </c>
      <c r="Q1326" s="95" t="str">
        <f t="shared" si="128"/>
        <v>N/A</v>
      </c>
      <c r="R1326" s="95" t="str">
        <f t="shared" si="129"/>
        <v>NO CERT.</v>
      </c>
      <c r="S1326" s="95" t="e">
        <f t="shared" si="130"/>
        <v>#N/A</v>
      </c>
      <c r="T1326" s="119" t="e">
        <f>+IF(J1326=LOOKUP(J1326,'CAFCO 300 IDIEM TABLAS'!$J$4:$J$40),'CALCULO MORTERO'!J1326,MROUND('CALCULO MORTERO'!J1326,10))</f>
        <v>#N/A</v>
      </c>
      <c r="U1326" s="118">
        <f t="shared" si="131"/>
        <v>0</v>
      </c>
    </row>
    <row r="1327" spans="1:21" x14ac:dyDescent="0.25">
      <c r="A1327" s="118">
        <f>+CUBICACION!D1321</f>
        <v>0</v>
      </c>
      <c r="B1327" s="819">
        <f>+CUBICACION!E1321</f>
        <v>0</v>
      </c>
      <c r="C1327" s="675">
        <f>+CUBICACION!F1321</f>
        <v>0</v>
      </c>
      <c r="D1327" s="118"/>
      <c r="E1327" s="118"/>
      <c r="F1327" s="820"/>
      <c r="G1327" s="675">
        <f>+CUBICACION!J1321</f>
        <v>0</v>
      </c>
      <c r="H1327" s="118"/>
      <c r="I1327" s="821">
        <f>+CUBICACION!L1321</f>
        <v>0</v>
      </c>
      <c r="J1327" s="64">
        <f>+CUBICACION!M1321</f>
        <v>0</v>
      </c>
      <c r="K1327" s="822" t="str">
        <f>+CUBICACION!N1321</f>
        <v/>
      </c>
      <c r="L1327" s="118">
        <f>+CUBICACION!O1321</f>
        <v>0</v>
      </c>
      <c r="M1327" s="823">
        <f>+CUBICACION!P1321</f>
        <v>0</v>
      </c>
      <c r="N1327" s="902">
        <f>ROUND(IF(AND(L1327="Blaze Shield II",M1327="Software Idiem",C1327="IN",G1327=4),((('BLAZE SHIELD II'!$D$4*('CALCULO MORTERO'!I1327^2)+'BLAZE SHIELD II'!$D$5*'CALCULO MORTERO'!I1327+'BLAZE SHIELD II'!$D$6)*LN(J1327))+('BLAZE SHIELD II'!$D$7*('CALCULO MORTERO'!I1327^2)+'BLAZE SHIELD II'!$D$8*'CALCULO MORTERO'!I1327+'BLAZE SHIELD II'!$D$9)),0)+IF(AND(L1327="Blaze Shield II",M1327="Software Idiem",C1327="Cj"),((('BLAZE SHIELD II'!$H$4*('CALCULO MORTERO'!I1327^2)+'BLAZE SHIELD II'!$H$5*'CALCULO MORTERO'!I1327+'BLAZE SHIELD II'!$H$6)*LN(J1327))+('BLAZE SHIELD II'!$H$7*('CALCULO MORTERO'!I1327^2)+'BLAZE SHIELD II'!$H$8*'CALCULO MORTERO'!I1327+'BLAZE SHIELD II'!$H$9)),0)+IF(AND(L1327="Blaze Shield II",M1327="Software Idiem",C1327="C"),((('BLAZE SHIELD II'!$L$4*('CALCULO MORTERO'!I1327^2)+'BLAZE SHIELD II'!$L$5*'CALCULO MORTERO'!I1327+'BLAZE SHIELD II'!$L$6)*LN(J1327))+('BLAZE SHIELD II'!$L$7*('CALCULO MORTERO'!I1327^2)+'BLAZE SHIELD II'!$L$8*'CALCULO MORTERO'!I1327+'BLAZE SHIELD II'!$L$9)),0)+IF(AND(L1327="Blaze Shield II",M1327="Software Idiem",C1327="L"),((('BLAZE SHIELD II'!$L$4*('CALCULO MORTERO'!I1327^2)+'BLAZE SHIELD II'!$L$5*'CALCULO MORTERO'!I1327+'BLAZE SHIELD II'!$L$6)*LN(J1327))+('BLAZE SHIELD II'!$L$7*('CALCULO MORTERO'!I1327^2)+'BLAZE SHIELD II'!$L$8*'CALCULO MORTERO'!I1327+'BLAZE SHIELD II'!$L$9)),0)+IF(AND(L1327="Blaze Shield II",M1327="Software Idiem",C1327="IN",G1327=3),((('BLAZE SHIELD II'!$H$14*('CALCULO MORTERO'!I1327^2)+'BLAZE SHIELD II'!$H$15*'CALCULO MORTERO'!I1327+'BLAZE SHIELD II'!$H$16)*LN(J1327))+('BLAZE SHIELD II'!$H$17*('CALCULO MORTERO'!I1327^2)+'BLAZE SHIELD II'!$H$18*'CALCULO MORTERO'!I1327+'BLAZE SHIELD II'!$H$19)),0),0)+ROUND(IF(AND(L1327="Cafco 400",M1327="Software Idiem",C1327="IN",G1327=4),((('CAFCO 400 '!$H$7*(J1327^4)+'CAFCO 400 '!$H$8*(J1327^3)+'CAFCO 400 '!$H$9*(J1327^2)+'CAFCO 400 '!$H$10*J1327+'CAFCO 400 '!$H$11)*U1327^2)+(('CAFCO 400 '!$H$12*(J1327^3)+'CAFCO 400 '!$H$13*(J1327^2)+'CAFCO 400 '!$H$14*J1327+'CAFCO 400 '!$H$15)*U1327)+('CAFCO 400 '!$H$16*(J1327^2)+'CAFCO 400 '!$H$17*J1327+'CAFCO 400 '!$H$18)),0)+IF(AND(L1327="Cafco 400",M1327="Software Idiem",C1327="Cj"),(((('CAFCO 400 '!$D$7*LN(J1327)+'CAFCO 400 '!$D$8)*U1327^2)+(('CAFCO 400 '!$D$9*LN(J1327)+'CAFCO 400 '!$D$10)*U1327)+('CAFCO 400 '!$D$11*LN(J1327)+'CAFCO 400 '!$D$12))),0)+IF(AND(L1327="Cafco 400",M1327="Software Idiem",C1327="C"),((('CAFCO 400 '!$L$7*(J1327^3)+'CAFCO 400 '!$L$8*(J1327^2)+'CAFCO 400 '!$L$9*J1327+'CAFCO 400 '!$L$10)*U1327^2)+(('CAFCO 400 '!$L$11*(J1327^3)+'CAFCO 400 '!$L$12*(J1327^2)+'CAFCO 400 '!$L$13*J1327+'CAFCO 400 '!$L$14)*U1327)+('CAFCO 400 '!$L$15*LN(J1327)+'CAFCO 400 '!$L$16)),0)+IF(AND(L1327="Cafco 400",M1327="Software Idiem",C1327="L"),((('CAFCO 400 '!$L$7*(J1327^3)+'CAFCO 400 '!$L$8*(J1327^2)+'CAFCO 400 '!$L$9*J1327+'CAFCO 400 '!$L$10)*U1327^2)+(('CAFCO 400 '!$L$11*(J1327^3)+'CAFCO 400 '!$L$12*(J1327^2)+'CAFCO 400 '!$L$13*J1327+'CAFCO 400 '!$L$14)*U1327)+('CAFCO 400 '!$L$15*LN(J1327)+'CAFCO 400 '!$L$16)),0)+IF(AND(L1327="Cafco 400",M1327="Software Idiem",C1327="IN",G1327=3),((('CAFCO 400 '!$D$23*(J1327^2)+'CAFCO 400 '!$D$24*(J1327)+'CAFCO 400 '!$D$25)*U1327^2)+(('CAFCO 400 '!$D$26*(J1327^2)+'CAFCO 400 '!$D$27*J1327+'CAFCO 400 '!$D$28)*U1327)+('CAFCO 400 '!$D$29*(J1327^2)+'CAFCO 400 '!$D$30*J1327+'CAFCO 400 '!$D$31)),0),0)+IF(AND(L1327="Cafco 300",J1327&gt;=95,J1327&lt;=240,C1327="Cj",I1327=90),VLOOKUP(T1327,'CAFCO 300 IDIEM TABLAS'!$B$4:$D$23,2,FALSE),0)+IF(AND(L1327="Cafco 300",J1327&gt;=95,J1327&lt;=240,C1327="Cj",I1327=120),VLOOKUP(T1327,'CAFCO 300 IDIEM TABLAS'!$B$4:$D$23,3,FALSE),0)+IF(AND(L1327="Cafco 300",J1327&gt;=95,J1327&lt;=400,G1327=3,C1327="IN",I1327=90),VLOOKUP(T1327,'CAFCO 300 IDIEM TABLAS'!$F$4:$H$35,2,FALSE),0)+IF(AND(L1327="Cafco 300",J1327&gt;=95,J1327&lt;=400,G1327=3,C1327="IN",I1327=120),VLOOKUP(T1327,'CAFCO 300 IDIEM TABLAS'!$F$4:$H$35,3,FALSE),0)+IF(AND(L1327="Cafco 300",J1327&gt;=95,J1327&lt;=450,G1327=4,C1327="IN",I1327=90),VLOOKUP(T1327,'CAFCO 300 IDIEM TABLAS'!$J$4:$L$40,2,FALSE),0)+IF(AND(L1327="Cafco 300",J1327&gt;=95,J1327&lt;=450,G1327=4,C1327="IN",I1327=120),VLOOKUP(T1327,'CAFCO 300 IDIEM TABLAS'!$J$4:$L$40,3,FALSE),0)+IF(AND(M1327="Ensayo Idiem",L1327="Cafco 400",C1327="IN",G1327=4,I1327=90),VLOOKUP(T1327,'CAFCO 400 ENSAYO'!$B$7:$D$43,2,FALSE),0)+IF(AND(M1327="Ensayo Idiem",L1327="Cafco 400",C1327="IN",G1327=4,I1327=120),VLOOKUP(T1327,'CAFCO 400 ENSAYO'!$B$7:$D$43,3,FALSE),0)</f>
        <v>0</v>
      </c>
      <c r="O1327" s="96">
        <f t="shared" si="132"/>
        <v>0</v>
      </c>
      <c r="P1327" s="132" t="str">
        <f t="shared" si="127"/>
        <v>N/A</v>
      </c>
      <c r="Q1327" s="132" t="str">
        <f t="shared" si="128"/>
        <v>N/A</v>
      </c>
      <c r="R1327" s="132" t="str">
        <f t="shared" si="129"/>
        <v>NO CERT.</v>
      </c>
      <c r="S1327" s="132" t="e">
        <f t="shared" si="130"/>
        <v>#N/A</v>
      </c>
      <c r="T1327" s="133" t="e">
        <f>+IF(J1327=LOOKUP(J1327,'CAFCO 300 IDIEM TABLAS'!$J$4:$J$40),'CALCULO MORTERO'!J1327,MROUND('CALCULO MORTERO'!J1327,10))</f>
        <v>#N/A</v>
      </c>
      <c r="U1327" s="134">
        <f t="shared" si="131"/>
        <v>0</v>
      </c>
    </row>
    <row r="1328" spans="1:21" x14ac:dyDescent="0.25">
      <c r="A1328" s="118">
        <f>+CUBICACION!D1322</f>
        <v>0</v>
      </c>
      <c r="B1328" s="819">
        <f>+CUBICACION!E1322</f>
        <v>0</v>
      </c>
      <c r="C1328" s="675">
        <f>+CUBICACION!F1322</f>
        <v>0</v>
      </c>
      <c r="D1328" s="118"/>
      <c r="E1328" s="118"/>
      <c r="F1328" s="820"/>
      <c r="G1328" s="675">
        <f>+CUBICACION!J1322</f>
        <v>0</v>
      </c>
      <c r="H1328" s="118"/>
      <c r="I1328" s="821">
        <f>+CUBICACION!L1322</f>
        <v>0</v>
      </c>
      <c r="J1328" s="64">
        <f>+CUBICACION!M1322</f>
        <v>0</v>
      </c>
      <c r="K1328" s="822" t="str">
        <f>+CUBICACION!N1322</f>
        <v/>
      </c>
      <c r="L1328" s="118">
        <f>+CUBICACION!O1322</f>
        <v>0</v>
      </c>
      <c r="M1328" s="823">
        <f>+CUBICACION!P1322</f>
        <v>0</v>
      </c>
      <c r="N1328" s="902">
        <f>ROUND(IF(AND(L1328="Blaze Shield II",M1328="Software Idiem",C1328="IN",G1328=4),((('BLAZE SHIELD II'!$D$4*('CALCULO MORTERO'!I1328^2)+'BLAZE SHIELD II'!$D$5*'CALCULO MORTERO'!I1328+'BLAZE SHIELD II'!$D$6)*LN(J1328))+('BLAZE SHIELD II'!$D$7*('CALCULO MORTERO'!I1328^2)+'BLAZE SHIELD II'!$D$8*'CALCULO MORTERO'!I1328+'BLAZE SHIELD II'!$D$9)),0)+IF(AND(L1328="Blaze Shield II",M1328="Software Idiem",C1328="Cj"),((('BLAZE SHIELD II'!$H$4*('CALCULO MORTERO'!I1328^2)+'BLAZE SHIELD II'!$H$5*'CALCULO MORTERO'!I1328+'BLAZE SHIELD II'!$H$6)*LN(J1328))+('BLAZE SHIELD II'!$H$7*('CALCULO MORTERO'!I1328^2)+'BLAZE SHIELD II'!$H$8*'CALCULO MORTERO'!I1328+'BLAZE SHIELD II'!$H$9)),0)+IF(AND(L1328="Blaze Shield II",M1328="Software Idiem",C1328="C"),((('BLAZE SHIELD II'!$L$4*('CALCULO MORTERO'!I1328^2)+'BLAZE SHIELD II'!$L$5*'CALCULO MORTERO'!I1328+'BLAZE SHIELD II'!$L$6)*LN(J1328))+('BLAZE SHIELD II'!$L$7*('CALCULO MORTERO'!I1328^2)+'BLAZE SHIELD II'!$L$8*'CALCULO MORTERO'!I1328+'BLAZE SHIELD II'!$L$9)),0)+IF(AND(L1328="Blaze Shield II",M1328="Software Idiem",C1328="L"),((('BLAZE SHIELD II'!$L$4*('CALCULO MORTERO'!I1328^2)+'BLAZE SHIELD II'!$L$5*'CALCULO MORTERO'!I1328+'BLAZE SHIELD II'!$L$6)*LN(J1328))+('BLAZE SHIELD II'!$L$7*('CALCULO MORTERO'!I1328^2)+'BLAZE SHIELD II'!$L$8*'CALCULO MORTERO'!I1328+'BLAZE SHIELD II'!$L$9)),0)+IF(AND(L1328="Blaze Shield II",M1328="Software Idiem",C1328="IN",G1328=3),((('BLAZE SHIELD II'!$H$14*('CALCULO MORTERO'!I1328^2)+'BLAZE SHIELD II'!$H$15*'CALCULO MORTERO'!I1328+'BLAZE SHIELD II'!$H$16)*LN(J1328))+('BLAZE SHIELD II'!$H$17*('CALCULO MORTERO'!I1328^2)+'BLAZE SHIELD II'!$H$18*'CALCULO MORTERO'!I1328+'BLAZE SHIELD II'!$H$19)),0),0)+ROUND(IF(AND(L1328="Cafco 400",M1328="Software Idiem",C1328="IN",G1328=4),((('CAFCO 400 '!$H$7*(J1328^4)+'CAFCO 400 '!$H$8*(J1328^3)+'CAFCO 400 '!$H$9*(J1328^2)+'CAFCO 400 '!$H$10*J1328+'CAFCO 400 '!$H$11)*U1328^2)+(('CAFCO 400 '!$H$12*(J1328^3)+'CAFCO 400 '!$H$13*(J1328^2)+'CAFCO 400 '!$H$14*J1328+'CAFCO 400 '!$H$15)*U1328)+('CAFCO 400 '!$H$16*(J1328^2)+'CAFCO 400 '!$H$17*J1328+'CAFCO 400 '!$H$18)),0)+IF(AND(L1328="Cafco 400",M1328="Software Idiem",C1328="Cj"),(((('CAFCO 400 '!$D$7*LN(J1328)+'CAFCO 400 '!$D$8)*U1328^2)+(('CAFCO 400 '!$D$9*LN(J1328)+'CAFCO 400 '!$D$10)*U1328)+('CAFCO 400 '!$D$11*LN(J1328)+'CAFCO 400 '!$D$12))),0)+IF(AND(L1328="Cafco 400",M1328="Software Idiem",C1328="C"),((('CAFCO 400 '!$L$7*(J1328^3)+'CAFCO 400 '!$L$8*(J1328^2)+'CAFCO 400 '!$L$9*J1328+'CAFCO 400 '!$L$10)*U1328^2)+(('CAFCO 400 '!$L$11*(J1328^3)+'CAFCO 400 '!$L$12*(J1328^2)+'CAFCO 400 '!$L$13*J1328+'CAFCO 400 '!$L$14)*U1328)+('CAFCO 400 '!$L$15*LN(J1328)+'CAFCO 400 '!$L$16)),0)+IF(AND(L1328="Cafco 400",M1328="Software Idiem",C1328="L"),((('CAFCO 400 '!$L$7*(J1328^3)+'CAFCO 400 '!$L$8*(J1328^2)+'CAFCO 400 '!$L$9*J1328+'CAFCO 400 '!$L$10)*U1328^2)+(('CAFCO 400 '!$L$11*(J1328^3)+'CAFCO 400 '!$L$12*(J1328^2)+'CAFCO 400 '!$L$13*J1328+'CAFCO 400 '!$L$14)*U1328)+('CAFCO 400 '!$L$15*LN(J1328)+'CAFCO 400 '!$L$16)),0)+IF(AND(L1328="Cafco 400",M1328="Software Idiem",C1328="IN",G1328=3),((('CAFCO 400 '!$D$23*(J1328^2)+'CAFCO 400 '!$D$24*(J1328)+'CAFCO 400 '!$D$25)*U1328^2)+(('CAFCO 400 '!$D$26*(J1328^2)+'CAFCO 400 '!$D$27*J1328+'CAFCO 400 '!$D$28)*U1328)+('CAFCO 400 '!$D$29*(J1328^2)+'CAFCO 400 '!$D$30*J1328+'CAFCO 400 '!$D$31)),0),0)+IF(AND(L1328="Cafco 300",J1328&gt;=95,J1328&lt;=240,C1328="Cj",I1328=90),VLOOKUP(T1328,'CAFCO 300 IDIEM TABLAS'!$B$4:$D$23,2,FALSE),0)+IF(AND(L1328="Cafco 300",J1328&gt;=95,J1328&lt;=240,C1328="Cj",I1328=120),VLOOKUP(T1328,'CAFCO 300 IDIEM TABLAS'!$B$4:$D$23,3,FALSE),0)+IF(AND(L1328="Cafco 300",J1328&gt;=95,J1328&lt;=400,G1328=3,C1328="IN",I1328=90),VLOOKUP(T1328,'CAFCO 300 IDIEM TABLAS'!$F$4:$H$35,2,FALSE),0)+IF(AND(L1328="Cafco 300",J1328&gt;=95,J1328&lt;=400,G1328=3,C1328="IN",I1328=120),VLOOKUP(T1328,'CAFCO 300 IDIEM TABLAS'!$F$4:$H$35,3,FALSE),0)+IF(AND(L1328="Cafco 300",J1328&gt;=95,J1328&lt;=450,G1328=4,C1328="IN",I1328=90),VLOOKUP(T1328,'CAFCO 300 IDIEM TABLAS'!$J$4:$L$40,2,FALSE),0)+IF(AND(L1328="Cafco 300",J1328&gt;=95,J1328&lt;=450,G1328=4,C1328="IN",I1328=120),VLOOKUP(T1328,'CAFCO 300 IDIEM TABLAS'!$J$4:$L$40,3,FALSE),0)+IF(AND(M1328="Ensayo Idiem",L1328="Cafco 400",C1328="IN",G1328=4,I1328=90),VLOOKUP(T1328,'CAFCO 400 ENSAYO'!$B$7:$D$43,2,FALSE),0)+IF(AND(M1328="Ensayo Idiem",L1328="Cafco 400",C1328="IN",G1328=4,I1328=120),VLOOKUP(T1328,'CAFCO 400 ENSAYO'!$B$7:$D$43,3,FALSE),0)</f>
        <v>0</v>
      </c>
      <c r="O1328" s="96">
        <f t="shared" si="132"/>
        <v>0</v>
      </c>
      <c r="P1328" s="95" t="str">
        <f t="shared" si="127"/>
        <v>N/A</v>
      </c>
      <c r="Q1328" s="95" t="str">
        <f t="shared" si="128"/>
        <v>N/A</v>
      </c>
      <c r="R1328" s="95" t="str">
        <f t="shared" si="129"/>
        <v>NO CERT.</v>
      </c>
      <c r="S1328" s="95" t="e">
        <f t="shared" si="130"/>
        <v>#N/A</v>
      </c>
      <c r="T1328" s="119" t="e">
        <f>+IF(J1328=LOOKUP(J1328,'CAFCO 300 IDIEM TABLAS'!$J$4:$J$40),'CALCULO MORTERO'!J1328,MROUND('CALCULO MORTERO'!J1328,10))</f>
        <v>#N/A</v>
      </c>
      <c r="U1328" s="118">
        <f t="shared" si="131"/>
        <v>0</v>
      </c>
    </row>
    <row r="1329" spans="1:21" x14ac:dyDescent="0.25">
      <c r="A1329" s="118">
        <f>+CUBICACION!D1323</f>
        <v>0</v>
      </c>
      <c r="B1329" s="819">
        <f>+CUBICACION!E1323</f>
        <v>0</v>
      </c>
      <c r="C1329" s="675">
        <f>+CUBICACION!F1323</f>
        <v>0</v>
      </c>
      <c r="D1329" s="118"/>
      <c r="E1329" s="118"/>
      <c r="F1329" s="820"/>
      <c r="G1329" s="675">
        <f>+CUBICACION!J1323</f>
        <v>0</v>
      </c>
      <c r="H1329" s="118"/>
      <c r="I1329" s="821">
        <f>+CUBICACION!L1323</f>
        <v>0</v>
      </c>
      <c r="J1329" s="64">
        <f>+CUBICACION!M1323</f>
        <v>0</v>
      </c>
      <c r="K1329" s="822" t="str">
        <f>+CUBICACION!N1323</f>
        <v/>
      </c>
      <c r="L1329" s="118">
        <f>+CUBICACION!O1323</f>
        <v>0</v>
      </c>
      <c r="M1329" s="823">
        <f>+CUBICACION!P1323</f>
        <v>0</v>
      </c>
      <c r="N1329" s="902">
        <f>ROUND(IF(AND(L1329="Blaze Shield II",M1329="Software Idiem",C1329="IN",G1329=4),((('BLAZE SHIELD II'!$D$4*('CALCULO MORTERO'!I1329^2)+'BLAZE SHIELD II'!$D$5*'CALCULO MORTERO'!I1329+'BLAZE SHIELD II'!$D$6)*LN(J1329))+('BLAZE SHIELD II'!$D$7*('CALCULO MORTERO'!I1329^2)+'BLAZE SHIELD II'!$D$8*'CALCULO MORTERO'!I1329+'BLAZE SHIELD II'!$D$9)),0)+IF(AND(L1329="Blaze Shield II",M1329="Software Idiem",C1329="Cj"),((('BLAZE SHIELD II'!$H$4*('CALCULO MORTERO'!I1329^2)+'BLAZE SHIELD II'!$H$5*'CALCULO MORTERO'!I1329+'BLAZE SHIELD II'!$H$6)*LN(J1329))+('BLAZE SHIELD II'!$H$7*('CALCULO MORTERO'!I1329^2)+'BLAZE SHIELD II'!$H$8*'CALCULO MORTERO'!I1329+'BLAZE SHIELD II'!$H$9)),0)+IF(AND(L1329="Blaze Shield II",M1329="Software Idiem",C1329="C"),((('BLAZE SHIELD II'!$L$4*('CALCULO MORTERO'!I1329^2)+'BLAZE SHIELD II'!$L$5*'CALCULO MORTERO'!I1329+'BLAZE SHIELD II'!$L$6)*LN(J1329))+('BLAZE SHIELD II'!$L$7*('CALCULO MORTERO'!I1329^2)+'BLAZE SHIELD II'!$L$8*'CALCULO MORTERO'!I1329+'BLAZE SHIELD II'!$L$9)),0)+IF(AND(L1329="Blaze Shield II",M1329="Software Idiem",C1329="L"),((('BLAZE SHIELD II'!$L$4*('CALCULO MORTERO'!I1329^2)+'BLAZE SHIELD II'!$L$5*'CALCULO MORTERO'!I1329+'BLAZE SHIELD II'!$L$6)*LN(J1329))+('BLAZE SHIELD II'!$L$7*('CALCULO MORTERO'!I1329^2)+'BLAZE SHIELD II'!$L$8*'CALCULO MORTERO'!I1329+'BLAZE SHIELD II'!$L$9)),0)+IF(AND(L1329="Blaze Shield II",M1329="Software Idiem",C1329="IN",G1329=3),((('BLAZE SHIELD II'!$H$14*('CALCULO MORTERO'!I1329^2)+'BLAZE SHIELD II'!$H$15*'CALCULO MORTERO'!I1329+'BLAZE SHIELD II'!$H$16)*LN(J1329))+('BLAZE SHIELD II'!$H$17*('CALCULO MORTERO'!I1329^2)+'BLAZE SHIELD II'!$H$18*'CALCULO MORTERO'!I1329+'BLAZE SHIELD II'!$H$19)),0),0)+ROUND(IF(AND(L1329="Cafco 400",M1329="Software Idiem",C1329="IN",G1329=4),((('CAFCO 400 '!$H$7*(J1329^4)+'CAFCO 400 '!$H$8*(J1329^3)+'CAFCO 400 '!$H$9*(J1329^2)+'CAFCO 400 '!$H$10*J1329+'CAFCO 400 '!$H$11)*U1329^2)+(('CAFCO 400 '!$H$12*(J1329^3)+'CAFCO 400 '!$H$13*(J1329^2)+'CAFCO 400 '!$H$14*J1329+'CAFCO 400 '!$H$15)*U1329)+('CAFCO 400 '!$H$16*(J1329^2)+'CAFCO 400 '!$H$17*J1329+'CAFCO 400 '!$H$18)),0)+IF(AND(L1329="Cafco 400",M1329="Software Idiem",C1329="Cj"),(((('CAFCO 400 '!$D$7*LN(J1329)+'CAFCO 400 '!$D$8)*U1329^2)+(('CAFCO 400 '!$D$9*LN(J1329)+'CAFCO 400 '!$D$10)*U1329)+('CAFCO 400 '!$D$11*LN(J1329)+'CAFCO 400 '!$D$12))),0)+IF(AND(L1329="Cafco 400",M1329="Software Idiem",C1329="C"),((('CAFCO 400 '!$L$7*(J1329^3)+'CAFCO 400 '!$L$8*(J1329^2)+'CAFCO 400 '!$L$9*J1329+'CAFCO 400 '!$L$10)*U1329^2)+(('CAFCO 400 '!$L$11*(J1329^3)+'CAFCO 400 '!$L$12*(J1329^2)+'CAFCO 400 '!$L$13*J1329+'CAFCO 400 '!$L$14)*U1329)+('CAFCO 400 '!$L$15*LN(J1329)+'CAFCO 400 '!$L$16)),0)+IF(AND(L1329="Cafco 400",M1329="Software Idiem",C1329="L"),((('CAFCO 400 '!$L$7*(J1329^3)+'CAFCO 400 '!$L$8*(J1329^2)+'CAFCO 400 '!$L$9*J1329+'CAFCO 400 '!$L$10)*U1329^2)+(('CAFCO 400 '!$L$11*(J1329^3)+'CAFCO 400 '!$L$12*(J1329^2)+'CAFCO 400 '!$L$13*J1329+'CAFCO 400 '!$L$14)*U1329)+('CAFCO 400 '!$L$15*LN(J1329)+'CAFCO 400 '!$L$16)),0)+IF(AND(L1329="Cafco 400",M1329="Software Idiem",C1329="IN",G1329=3),((('CAFCO 400 '!$D$23*(J1329^2)+'CAFCO 400 '!$D$24*(J1329)+'CAFCO 400 '!$D$25)*U1329^2)+(('CAFCO 400 '!$D$26*(J1329^2)+'CAFCO 400 '!$D$27*J1329+'CAFCO 400 '!$D$28)*U1329)+('CAFCO 400 '!$D$29*(J1329^2)+'CAFCO 400 '!$D$30*J1329+'CAFCO 400 '!$D$31)),0),0)+IF(AND(L1329="Cafco 300",J1329&gt;=95,J1329&lt;=240,C1329="Cj",I1329=90),VLOOKUP(T1329,'CAFCO 300 IDIEM TABLAS'!$B$4:$D$23,2,FALSE),0)+IF(AND(L1329="Cafco 300",J1329&gt;=95,J1329&lt;=240,C1329="Cj",I1329=120),VLOOKUP(T1329,'CAFCO 300 IDIEM TABLAS'!$B$4:$D$23,3,FALSE),0)+IF(AND(L1329="Cafco 300",J1329&gt;=95,J1329&lt;=400,G1329=3,C1329="IN",I1329=90),VLOOKUP(T1329,'CAFCO 300 IDIEM TABLAS'!$F$4:$H$35,2,FALSE),0)+IF(AND(L1329="Cafco 300",J1329&gt;=95,J1329&lt;=400,G1329=3,C1329="IN",I1329=120),VLOOKUP(T1329,'CAFCO 300 IDIEM TABLAS'!$F$4:$H$35,3,FALSE),0)+IF(AND(L1329="Cafco 300",J1329&gt;=95,J1329&lt;=450,G1329=4,C1329="IN",I1329=90),VLOOKUP(T1329,'CAFCO 300 IDIEM TABLAS'!$J$4:$L$40,2,FALSE),0)+IF(AND(L1329="Cafco 300",J1329&gt;=95,J1329&lt;=450,G1329=4,C1329="IN",I1329=120),VLOOKUP(T1329,'CAFCO 300 IDIEM TABLAS'!$J$4:$L$40,3,FALSE),0)+IF(AND(M1329="Ensayo Idiem",L1329="Cafco 400",C1329="IN",G1329=4,I1329=90),VLOOKUP(T1329,'CAFCO 400 ENSAYO'!$B$7:$D$43,2,FALSE),0)+IF(AND(M1329="Ensayo Idiem",L1329="Cafco 400",C1329="IN",G1329=4,I1329=120),VLOOKUP(T1329,'CAFCO 400 ENSAYO'!$B$7:$D$43,3,FALSE),0)</f>
        <v>0</v>
      </c>
      <c r="O1329" s="96">
        <f t="shared" si="132"/>
        <v>0</v>
      </c>
      <c r="P1329" s="132" t="str">
        <f t="shared" si="127"/>
        <v>N/A</v>
      </c>
      <c r="Q1329" s="132" t="str">
        <f t="shared" si="128"/>
        <v>N/A</v>
      </c>
      <c r="R1329" s="132" t="str">
        <f t="shared" si="129"/>
        <v>NO CERT.</v>
      </c>
      <c r="S1329" s="132" t="e">
        <f t="shared" si="130"/>
        <v>#N/A</v>
      </c>
      <c r="T1329" s="133" t="e">
        <f>+IF(J1329=LOOKUP(J1329,'CAFCO 300 IDIEM TABLAS'!$J$4:$J$40),'CALCULO MORTERO'!J1329,MROUND('CALCULO MORTERO'!J1329,10))</f>
        <v>#N/A</v>
      </c>
      <c r="U1329" s="134">
        <f t="shared" si="131"/>
        <v>0</v>
      </c>
    </row>
    <row r="1330" spans="1:21" x14ac:dyDescent="0.25">
      <c r="A1330" s="118">
        <f>+CUBICACION!D1324</f>
        <v>0</v>
      </c>
      <c r="B1330" s="819">
        <f>+CUBICACION!E1324</f>
        <v>0</v>
      </c>
      <c r="C1330" s="675">
        <f>+CUBICACION!F1324</f>
        <v>0</v>
      </c>
      <c r="D1330" s="118"/>
      <c r="E1330" s="118"/>
      <c r="F1330" s="820"/>
      <c r="G1330" s="675">
        <f>+CUBICACION!J1324</f>
        <v>0</v>
      </c>
      <c r="H1330" s="118"/>
      <c r="I1330" s="821">
        <f>+CUBICACION!L1324</f>
        <v>0</v>
      </c>
      <c r="J1330" s="64">
        <f>+CUBICACION!M1324</f>
        <v>0</v>
      </c>
      <c r="K1330" s="822" t="str">
        <f>+CUBICACION!N1324</f>
        <v/>
      </c>
      <c r="L1330" s="118">
        <f>+CUBICACION!O1324</f>
        <v>0</v>
      </c>
      <c r="M1330" s="823">
        <f>+CUBICACION!P1324</f>
        <v>0</v>
      </c>
      <c r="N1330" s="902">
        <f>ROUND(IF(AND(L1330="Blaze Shield II",M1330="Software Idiem",C1330="IN",G1330=4),((('BLAZE SHIELD II'!$D$4*('CALCULO MORTERO'!I1330^2)+'BLAZE SHIELD II'!$D$5*'CALCULO MORTERO'!I1330+'BLAZE SHIELD II'!$D$6)*LN(J1330))+('BLAZE SHIELD II'!$D$7*('CALCULO MORTERO'!I1330^2)+'BLAZE SHIELD II'!$D$8*'CALCULO MORTERO'!I1330+'BLAZE SHIELD II'!$D$9)),0)+IF(AND(L1330="Blaze Shield II",M1330="Software Idiem",C1330="Cj"),((('BLAZE SHIELD II'!$H$4*('CALCULO MORTERO'!I1330^2)+'BLAZE SHIELD II'!$H$5*'CALCULO MORTERO'!I1330+'BLAZE SHIELD II'!$H$6)*LN(J1330))+('BLAZE SHIELD II'!$H$7*('CALCULO MORTERO'!I1330^2)+'BLAZE SHIELD II'!$H$8*'CALCULO MORTERO'!I1330+'BLAZE SHIELD II'!$H$9)),0)+IF(AND(L1330="Blaze Shield II",M1330="Software Idiem",C1330="C"),((('BLAZE SHIELD II'!$L$4*('CALCULO MORTERO'!I1330^2)+'BLAZE SHIELD II'!$L$5*'CALCULO MORTERO'!I1330+'BLAZE SHIELD II'!$L$6)*LN(J1330))+('BLAZE SHIELD II'!$L$7*('CALCULO MORTERO'!I1330^2)+'BLAZE SHIELD II'!$L$8*'CALCULO MORTERO'!I1330+'BLAZE SHIELD II'!$L$9)),0)+IF(AND(L1330="Blaze Shield II",M1330="Software Idiem",C1330="L"),((('BLAZE SHIELD II'!$L$4*('CALCULO MORTERO'!I1330^2)+'BLAZE SHIELD II'!$L$5*'CALCULO MORTERO'!I1330+'BLAZE SHIELD II'!$L$6)*LN(J1330))+('BLAZE SHIELD II'!$L$7*('CALCULO MORTERO'!I1330^2)+'BLAZE SHIELD II'!$L$8*'CALCULO MORTERO'!I1330+'BLAZE SHIELD II'!$L$9)),0)+IF(AND(L1330="Blaze Shield II",M1330="Software Idiem",C1330="IN",G1330=3),((('BLAZE SHIELD II'!$H$14*('CALCULO MORTERO'!I1330^2)+'BLAZE SHIELD II'!$H$15*'CALCULO MORTERO'!I1330+'BLAZE SHIELD II'!$H$16)*LN(J1330))+('BLAZE SHIELD II'!$H$17*('CALCULO MORTERO'!I1330^2)+'BLAZE SHIELD II'!$H$18*'CALCULO MORTERO'!I1330+'BLAZE SHIELD II'!$H$19)),0),0)+ROUND(IF(AND(L1330="Cafco 400",M1330="Software Idiem",C1330="IN",G1330=4),((('CAFCO 400 '!$H$7*(J1330^4)+'CAFCO 400 '!$H$8*(J1330^3)+'CAFCO 400 '!$H$9*(J1330^2)+'CAFCO 400 '!$H$10*J1330+'CAFCO 400 '!$H$11)*U1330^2)+(('CAFCO 400 '!$H$12*(J1330^3)+'CAFCO 400 '!$H$13*(J1330^2)+'CAFCO 400 '!$H$14*J1330+'CAFCO 400 '!$H$15)*U1330)+('CAFCO 400 '!$H$16*(J1330^2)+'CAFCO 400 '!$H$17*J1330+'CAFCO 400 '!$H$18)),0)+IF(AND(L1330="Cafco 400",M1330="Software Idiem",C1330="Cj"),(((('CAFCO 400 '!$D$7*LN(J1330)+'CAFCO 400 '!$D$8)*U1330^2)+(('CAFCO 400 '!$D$9*LN(J1330)+'CAFCO 400 '!$D$10)*U1330)+('CAFCO 400 '!$D$11*LN(J1330)+'CAFCO 400 '!$D$12))),0)+IF(AND(L1330="Cafco 400",M1330="Software Idiem",C1330="C"),((('CAFCO 400 '!$L$7*(J1330^3)+'CAFCO 400 '!$L$8*(J1330^2)+'CAFCO 400 '!$L$9*J1330+'CAFCO 400 '!$L$10)*U1330^2)+(('CAFCO 400 '!$L$11*(J1330^3)+'CAFCO 400 '!$L$12*(J1330^2)+'CAFCO 400 '!$L$13*J1330+'CAFCO 400 '!$L$14)*U1330)+('CAFCO 400 '!$L$15*LN(J1330)+'CAFCO 400 '!$L$16)),0)+IF(AND(L1330="Cafco 400",M1330="Software Idiem",C1330="L"),((('CAFCO 400 '!$L$7*(J1330^3)+'CAFCO 400 '!$L$8*(J1330^2)+'CAFCO 400 '!$L$9*J1330+'CAFCO 400 '!$L$10)*U1330^2)+(('CAFCO 400 '!$L$11*(J1330^3)+'CAFCO 400 '!$L$12*(J1330^2)+'CAFCO 400 '!$L$13*J1330+'CAFCO 400 '!$L$14)*U1330)+('CAFCO 400 '!$L$15*LN(J1330)+'CAFCO 400 '!$L$16)),0)+IF(AND(L1330="Cafco 400",M1330="Software Idiem",C1330="IN",G1330=3),((('CAFCO 400 '!$D$23*(J1330^2)+'CAFCO 400 '!$D$24*(J1330)+'CAFCO 400 '!$D$25)*U1330^2)+(('CAFCO 400 '!$D$26*(J1330^2)+'CAFCO 400 '!$D$27*J1330+'CAFCO 400 '!$D$28)*U1330)+('CAFCO 400 '!$D$29*(J1330^2)+'CAFCO 400 '!$D$30*J1330+'CAFCO 400 '!$D$31)),0),0)+IF(AND(L1330="Cafco 300",J1330&gt;=95,J1330&lt;=240,C1330="Cj",I1330=90),VLOOKUP(T1330,'CAFCO 300 IDIEM TABLAS'!$B$4:$D$23,2,FALSE),0)+IF(AND(L1330="Cafco 300",J1330&gt;=95,J1330&lt;=240,C1330="Cj",I1330=120),VLOOKUP(T1330,'CAFCO 300 IDIEM TABLAS'!$B$4:$D$23,3,FALSE),0)+IF(AND(L1330="Cafco 300",J1330&gt;=95,J1330&lt;=400,G1330=3,C1330="IN",I1330=90),VLOOKUP(T1330,'CAFCO 300 IDIEM TABLAS'!$F$4:$H$35,2,FALSE),0)+IF(AND(L1330="Cafco 300",J1330&gt;=95,J1330&lt;=400,G1330=3,C1330="IN",I1330=120),VLOOKUP(T1330,'CAFCO 300 IDIEM TABLAS'!$F$4:$H$35,3,FALSE),0)+IF(AND(L1330="Cafco 300",J1330&gt;=95,J1330&lt;=450,G1330=4,C1330="IN",I1330=90),VLOOKUP(T1330,'CAFCO 300 IDIEM TABLAS'!$J$4:$L$40,2,FALSE),0)+IF(AND(L1330="Cafco 300",J1330&gt;=95,J1330&lt;=450,G1330=4,C1330="IN",I1330=120),VLOOKUP(T1330,'CAFCO 300 IDIEM TABLAS'!$J$4:$L$40,3,FALSE),0)+IF(AND(M1330="Ensayo Idiem",L1330="Cafco 400",C1330="IN",G1330=4,I1330=90),VLOOKUP(T1330,'CAFCO 400 ENSAYO'!$B$7:$D$43,2,FALSE),0)+IF(AND(M1330="Ensayo Idiem",L1330="Cafco 400",C1330="IN",G1330=4,I1330=120),VLOOKUP(T1330,'CAFCO 400 ENSAYO'!$B$7:$D$43,3,FALSE),0)</f>
        <v>0</v>
      </c>
      <c r="O1330" s="96">
        <f t="shared" si="132"/>
        <v>0</v>
      </c>
      <c r="P1330" s="95" t="str">
        <f t="shared" ref="P1330:P1393" si="133">IF(AND(M1330="Software Idiem"),IF(AND(C1330="IN",G1330=4,J1330&gt;=50,J1330&lt;=500),"CERT.",IF(AND(C1330="Cj",J1330&gt;=50,J1330&lt;=500),"CERT.",IF(AND(C1330="C",J1330&gt;=50,J1330&lt;=1000),"CERT.",IF(AND(C1330="L",J1330&gt;=50,J1330&lt;=1000),"CERT.",IF(AND(C1330="IN",G1330=3,J1330&gt;=50,J1330&lt;=500),"CERT.","NO CERT."))))),"N/A")</f>
        <v>N/A</v>
      </c>
      <c r="Q1330" s="95" t="str">
        <f t="shared" ref="Q1330:Q1393" si="134">IF(AND(M1330="Software Idiem"),IF(AND(C1330="IN",G1330=4,J1330&gt;=50,J1330&lt;=500),"CERT.",IF(AND(C1330="Cj",J1330&gt;=50,J1330&lt;=500),"CERT.",IF(AND(C1330="C",J1330&gt;=50,J1330&lt;=1000),"CERT.",IF(AND(C1330="L",J1330&gt;=50,J1330&lt;=1000),"CERT.",IF(AND(C1330="IN",G1330=3,J1330&gt;=50,J1330&lt;=500),"CERT.","NO CERT."))))),"N/A")</f>
        <v>N/A</v>
      </c>
      <c r="R1330" s="95" t="str">
        <f t="shared" ref="R1330:R1393" si="135">IF(AND(C1330="IN",G1330=4,J1330&gt;=95,J1330&lt;=450,I1330=90),"CERT.",IF(AND(C1330="IN",G1330=4,J1330&gt;=95,J1330&lt;=450,I1330=120),"CERT.","NO CERT."))</f>
        <v>NO CERT.</v>
      </c>
      <c r="S1330" s="95" t="e">
        <f t="shared" ref="S1330:S1393" si="136">IF(AND(C1330="Cj",I1330=90,T1330&lt;=240),"CERT.",IF(AND(C1330="Cj",I1330=120,T1330&lt;=240),"CERT.",IF(AND(C1330="IN",G1330=3,I1330=90,T1330&lt;=400),"CERT.",IF(AND(C1330="IN",G1330=3,I1330=120,T1330&lt;=400),"CERT.",IF(AND(C1330="IN",G1330=4,I1330=90,T1330&lt;=450),"CERT.",IF(AND(C1330="IN",G1330=4,I1330=120,T1330&lt;=450),"CERT.","NO CERT."))))))</f>
        <v>#N/A</v>
      </c>
      <c r="T1330" s="119" t="e">
        <f>+IF(J1330=LOOKUP(J1330,'CAFCO 300 IDIEM TABLAS'!$J$4:$J$40),'CALCULO MORTERO'!J1330,MROUND('CALCULO MORTERO'!J1330,10))</f>
        <v>#N/A</v>
      </c>
      <c r="U1330" s="118">
        <f t="shared" ref="U1330:U1393" si="137">+I1330*60</f>
        <v>0</v>
      </c>
    </row>
    <row r="1331" spans="1:21" x14ac:dyDescent="0.25">
      <c r="A1331" s="118">
        <f>+CUBICACION!D1325</f>
        <v>0</v>
      </c>
      <c r="B1331" s="819">
        <f>+CUBICACION!E1325</f>
        <v>0</v>
      </c>
      <c r="C1331" s="675">
        <f>+CUBICACION!F1325</f>
        <v>0</v>
      </c>
      <c r="D1331" s="118"/>
      <c r="E1331" s="118"/>
      <c r="F1331" s="820"/>
      <c r="G1331" s="675">
        <f>+CUBICACION!J1325</f>
        <v>0</v>
      </c>
      <c r="H1331" s="118"/>
      <c r="I1331" s="821">
        <f>+CUBICACION!L1325</f>
        <v>0</v>
      </c>
      <c r="J1331" s="64">
        <f>+CUBICACION!M1325</f>
        <v>0</v>
      </c>
      <c r="K1331" s="822" t="str">
        <f>+CUBICACION!N1325</f>
        <v/>
      </c>
      <c r="L1331" s="118">
        <f>+CUBICACION!O1325</f>
        <v>0</v>
      </c>
      <c r="M1331" s="823">
        <f>+CUBICACION!P1325</f>
        <v>0</v>
      </c>
      <c r="N1331" s="902">
        <f>ROUND(IF(AND(L1331="Blaze Shield II",M1331="Software Idiem",C1331="IN",G1331=4),((('BLAZE SHIELD II'!$D$4*('CALCULO MORTERO'!I1331^2)+'BLAZE SHIELD II'!$D$5*'CALCULO MORTERO'!I1331+'BLAZE SHIELD II'!$D$6)*LN(J1331))+('BLAZE SHIELD II'!$D$7*('CALCULO MORTERO'!I1331^2)+'BLAZE SHIELD II'!$D$8*'CALCULO MORTERO'!I1331+'BLAZE SHIELD II'!$D$9)),0)+IF(AND(L1331="Blaze Shield II",M1331="Software Idiem",C1331="Cj"),((('BLAZE SHIELD II'!$H$4*('CALCULO MORTERO'!I1331^2)+'BLAZE SHIELD II'!$H$5*'CALCULO MORTERO'!I1331+'BLAZE SHIELD II'!$H$6)*LN(J1331))+('BLAZE SHIELD II'!$H$7*('CALCULO MORTERO'!I1331^2)+'BLAZE SHIELD II'!$H$8*'CALCULO MORTERO'!I1331+'BLAZE SHIELD II'!$H$9)),0)+IF(AND(L1331="Blaze Shield II",M1331="Software Idiem",C1331="C"),((('BLAZE SHIELD II'!$L$4*('CALCULO MORTERO'!I1331^2)+'BLAZE SHIELD II'!$L$5*'CALCULO MORTERO'!I1331+'BLAZE SHIELD II'!$L$6)*LN(J1331))+('BLAZE SHIELD II'!$L$7*('CALCULO MORTERO'!I1331^2)+'BLAZE SHIELD II'!$L$8*'CALCULO MORTERO'!I1331+'BLAZE SHIELD II'!$L$9)),0)+IF(AND(L1331="Blaze Shield II",M1331="Software Idiem",C1331="L"),((('BLAZE SHIELD II'!$L$4*('CALCULO MORTERO'!I1331^2)+'BLAZE SHIELD II'!$L$5*'CALCULO MORTERO'!I1331+'BLAZE SHIELD II'!$L$6)*LN(J1331))+('BLAZE SHIELD II'!$L$7*('CALCULO MORTERO'!I1331^2)+'BLAZE SHIELD II'!$L$8*'CALCULO MORTERO'!I1331+'BLAZE SHIELD II'!$L$9)),0)+IF(AND(L1331="Blaze Shield II",M1331="Software Idiem",C1331="IN",G1331=3),((('BLAZE SHIELD II'!$H$14*('CALCULO MORTERO'!I1331^2)+'BLAZE SHIELD II'!$H$15*'CALCULO MORTERO'!I1331+'BLAZE SHIELD II'!$H$16)*LN(J1331))+('BLAZE SHIELD II'!$H$17*('CALCULO MORTERO'!I1331^2)+'BLAZE SHIELD II'!$H$18*'CALCULO MORTERO'!I1331+'BLAZE SHIELD II'!$H$19)),0),0)+ROUND(IF(AND(L1331="Cafco 400",M1331="Software Idiem",C1331="IN",G1331=4),((('CAFCO 400 '!$H$7*(J1331^4)+'CAFCO 400 '!$H$8*(J1331^3)+'CAFCO 400 '!$H$9*(J1331^2)+'CAFCO 400 '!$H$10*J1331+'CAFCO 400 '!$H$11)*U1331^2)+(('CAFCO 400 '!$H$12*(J1331^3)+'CAFCO 400 '!$H$13*(J1331^2)+'CAFCO 400 '!$H$14*J1331+'CAFCO 400 '!$H$15)*U1331)+('CAFCO 400 '!$H$16*(J1331^2)+'CAFCO 400 '!$H$17*J1331+'CAFCO 400 '!$H$18)),0)+IF(AND(L1331="Cafco 400",M1331="Software Idiem",C1331="Cj"),(((('CAFCO 400 '!$D$7*LN(J1331)+'CAFCO 400 '!$D$8)*U1331^2)+(('CAFCO 400 '!$D$9*LN(J1331)+'CAFCO 400 '!$D$10)*U1331)+('CAFCO 400 '!$D$11*LN(J1331)+'CAFCO 400 '!$D$12))),0)+IF(AND(L1331="Cafco 400",M1331="Software Idiem",C1331="C"),((('CAFCO 400 '!$L$7*(J1331^3)+'CAFCO 400 '!$L$8*(J1331^2)+'CAFCO 400 '!$L$9*J1331+'CAFCO 400 '!$L$10)*U1331^2)+(('CAFCO 400 '!$L$11*(J1331^3)+'CAFCO 400 '!$L$12*(J1331^2)+'CAFCO 400 '!$L$13*J1331+'CAFCO 400 '!$L$14)*U1331)+('CAFCO 400 '!$L$15*LN(J1331)+'CAFCO 400 '!$L$16)),0)+IF(AND(L1331="Cafco 400",M1331="Software Idiem",C1331="L"),((('CAFCO 400 '!$L$7*(J1331^3)+'CAFCO 400 '!$L$8*(J1331^2)+'CAFCO 400 '!$L$9*J1331+'CAFCO 400 '!$L$10)*U1331^2)+(('CAFCO 400 '!$L$11*(J1331^3)+'CAFCO 400 '!$L$12*(J1331^2)+'CAFCO 400 '!$L$13*J1331+'CAFCO 400 '!$L$14)*U1331)+('CAFCO 400 '!$L$15*LN(J1331)+'CAFCO 400 '!$L$16)),0)+IF(AND(L1331="Cafco 400",M1331="Software Idiem",C1331="IN",G1331=3),((('CAFCO 400 '!$D$23*(J1331^2)+'CAFCO 400 '!$D$24*(J1331)+'CAFCO 400 '!$D$25)*U1331^2)+(('CAFCO 400 '!$D$26*(J1331^2)+'CAFCO 400 '!$D$27*J1331+'CAFCO 400 '!$D$28)*U1331)+('CAFCO 400 '!$D$29*(J1331^2)+'CAFCO 400 '!$D$30*J1331+'CAFCO 400 '!$D$31)),0),0)+IF(AND(L1331="Cafco 300",J1331&gt;=95,J1331&lt;=240,C1331="Cj",I1331=90),VLOOKUP(T1331,'CAFCO 300 IDIEM TABLAS'!$B$4:$D$23,2,FALSE),0)+IF(AND(L1331="Cafco 300",J1331&gt;=95,J1331&lt;=240,C1331="Cj",I1331=120),VLOOKUP(T1331,'CAFCO 300 IDIEM TABLAS'!$B$4:$D$23,3,FALSE),0)+IF(AND(L1331="Cafco 300",J1331&gt;=95,J1331&lt;=400,G1331=3,C1331="IN",I1331=90),VLOOKUP(T1331,'CAFCO 300 IDIEM TABLAS'!$F$4:$H$35,2,FALSE),0)+IF(AND(L1331="Cafco 300",J1331&gt;=95,J1331&lt;=400,G1331=3,C1331="IN",I1331=120),VLOOKUP(T1331,'CAFCO 300 IDIEM TABLAS'!$F$4:$H$35,3,FALSE),0)+IF(AND(L1331="Cafco 300",J1331&gt;=95,J1331&lt;=450,G1331=4,C1331="IN",I1331=90),VLOOKUP(T1331,'CAFCO 300 IDIEM TABLAS'!$J$4:$L$40,2,FALSE),0)+IF(AND(L1331="Cafco 300",J1331&gt;=95,J1331&lt;=450,G1331=4,C1331="IN",I1331=120),VLOOKUP(T1331,'CAFCO 300 IDIEM TABLAS'!$J$4:$L$40,3,FALSE),0)+IF(AND(M1331="Ensayo Idiem",L1331="Cafco 400",C1331="IN",G1331=4,I1331=90),VLOOKUP(T1331,'CAFCO 400 ENSAYO'!$B$7:$D$43,2,FALSE),0)+IF(AND(M1331="Ensayo Idiem",L1331="Cafco 400",C1331="IN",G1331=4,I1331=120),VLOOKUP(T1331,'CAFCO 400 ENSAYO'!$B$7:$D$43,3,FALSE),0)</f>
        <v>0</v>
      </c>
      <c r="O1331" s="96">
        <f t="shared" si="132"/>
        <v>0</v>
      </c>
      <c r="P1331" s="132" t="str">
        <f t="shared" si="133"/>
        <v>N/A</v>
      </c>
      <c r="Q1331" s="132" t="str">
        <f t="shared" si="134"/>
        <v>N/A</v>
      </c>
      <c r="R1331" s="132" t="str">
        <f t="shared" si="135"/>
        <v>NO CERT.</v>
      </c>
      <c r="S1331" s="132" t="e">
        <f t="shared" si="136"/>
        <v>#N/A</v>
      </c>
      <c r="T1331" s="133" t="e">
        <f>+IF(J1331=LOOKUP(J1331,'CAFCO 300 IDIEM TABLAS'!$J$4:$J$40),'CALCULO MORTERO'!J1331,MROUND('CALCULO MORTERO'!J1331,10))</f>
        <v>#N/A</v>
      </c>
      <c r="U1331" s="134">
        <f t="shared" si="137"/>
        <v>0</v>
      </c>
    </row>
    <row r="1332" spans="1:21" x14ac:dyDescent="0.25">
      <c r="A1332" s="118">
        <f>+CUBICACION!D1326</f>
        <v>0</v>
      </c>
      <c r="B1332" s="819">
        <f>+CUBICACION!E1326</f>
        <v>0</v>
      </c>
      <c r="C1332" s="675">
        <f>+CUBICACION!F1326</f>
        <v>0</v>
      </c>
      <c r="D1332" s="118"/>
      <c r="E1332" s="118"/>
      <c r="F1332" s="820"/>
      <c r="G1332" s="675">
        <f>+CUBICACION!J1326</f>
        <v>0</v>
      </c>
      <c r="H1332" s="118"/>
      <c r="I1332" s="821">
        <f>+CUBICACION!L1326</f>
        <v>0</v>
      </c>
      <c r="J1332" s="64">
        <f>+CUBICACION!M1326</f>
        <v>0</v>
      </c>
      <c r="K1332" s="822" t="str">
        <f>+CUBICACION!N1326</f>
        <v/>
      </c>
      <c r="L1332" s="118">
        <f>+CUBICACION!O1326</f>
        <v>0</v>
      </c>
      <c r="M1332" s="823">
        <f>+CUBICACION!P1326</f>
        <v>0</v>
      </c>
      <c r="N1332" s="902">
        <f>ROUND(IF(AND(L1332="Blaze Shield II",M1332="Software Idiem",C1332="IN",G1332=4),((('BLAZE SHIELD II'!$D$4*('CALCULO MORTERO'!I1332^2)+'BLAZE SHIELD II'!$D$5*'CALCULO MORTERO'!I1332+'BLAZE SHIELD II'!$D$6)*LN(J1332))+('BLAZE SHIELD II'!$D$7*('CALCULO MORTERO'!I1332^2)+'BLAZE SHIELD II'!$D$8*'CALCULO MORTERO'!I1332+'BLAZE SHIELD II'!$D$9)),0)+IF(AND(L1332="Blaze Shield II",M1332="Software Idiem",C1332="Cj"),((('BLAZE SHIELD II'!$H$4*('CALCULO MORTERO'!I1332^2)+'BLAZE SHIELD II'!$H$5*'CALCULO MORTERO'!I1332+'BLAZE SHIELD II'!$H$6)*LN(J1332))+('BLAZE SHIELD II'!$H$7*('CALCULO MORTERO'!I1332^2)+'BLAZE SHIELD II'!$H$8*'CALCULO MORTERO'!I1332+'BLAZE SHIELD II'!$H$9)),0)+IF(AND(L1332="Blaze Shield II",M1332="Software Idiem",C1332="C"),((('BLAZE SHIELD II'!$L$4*('CALCULO MORTERO'!I1332^2)+'BLAZE SHIELD II'!$L$5*'CALCULO MORTERO'!I1332+'BLAZE SHIELD II'!$L$6)*LN(J1332))+('BLAZE SHIELD II'!$L$7*('CALCULO MORTERO'!I1332^2)+'BLAZE SHIELD II'!$L$8*'CALCULO MORTERO'!I1332+'BLAZE SHIELD II'!$L$9)),0)+IF(AND(L1332="Blaze Shield II",M1332="Software Idiem",C1332="L"),((('BLAZE SHIELD II'!$L$4*('CALCULO MORTERO'!I1332^2)+'BLAZE SHIELD II'!$L$5*'CALCULO MORTERO'!I1332+'BLAZE SHIELD II'!$L$6)*LN(J1332))+('BLAZE SHIELD II'!$L$7*('CALCULO MORTERO'!I1332^2)+'BLAZE SHIELD II'!$L$8*'CALCULO MORTERO'!I1332+'BLAZE SHIELD II'!$L$9)),0)+IF(AND(L1332="Blaze Shield II",M1332="Software Idiem",C1332="IN",G1332=3),((('BLAZE SHIELD II'!$H$14*('CALCULO MORTERO'!I1332^2)+'BLAZE SHIELD II'!$H$15*'CALCULO MORTERO'!I1332+'BLAZE SHIELD II'!$H$16)*LN(J1332))+('BLAZE SHIELD II'!$H$17*('CALCULO MORTERO'!I1332^2)+'BLAZE SHIELD II'!$H$18*'CALCULO MORTERO'!I1332+'BLAZE SHIELD II'!$H$19)),0),0)+ROUND(IF(AND(L1332="Cafco 400",M1332="Software Idiem",C1332="IN",G1332=4),((('CAFCO 400 '!$H$7*(J1332^4)+'CAFCO 400 '!$H$8*(J1332^3)+'CAFCO 400 '!$H$9*(J1332^2)+'CAFCO 400 '!$H$10*J1332+'CAFCO 400 '!$H$11)*U1332^2)+(('CAFCO 400 '!$H$12*(J1332^3)+'CAFCO 400 '!$H$13*(J1332^2)+'CAFCO 400 '!$H$14*J1332+'CAFCO 400 '!$H$15)*U1332)+('CAFCO 400 '!$H$16*(J1332^2)+'CAFCO 400 '!$H$17*J1332+'CAFCO 400 '!$H$18)),0)+IF(AND(L1332="Cafco 400",M1332="Software Idiem",C1332="Cj"),(((('CAFCO 400 '!$D$7*LN(J1332)+'CAFCO 400 '!$D$8)*U1332^2)+(('CAFCO 400 '!$D$9*LN(J1332)+'CAFCO 400 '!$D$10)*U1332)+('CAFCO 400 '!$D$11*LN(J1332)+'CAFCO 400 '!$D$12))),0)+IF(AND(L1332="Cafco 400",M1332="Software Idiem",C1332="C"),((('CAFCO 400 '!$L$7*(J1332^3)+'CAFCO 400 '!$L$8*(J1332^2)+'CAFCO 400 '!$L$9*J1332+'CAFCO 400 '!$L$10)*U1332^2)+(('CAFCO 400 '!$L$11*(J1332^3)+'CAFCO 400 '!$L$12*(J1332^2)+'CAFCO 400 '!$L$13*J1332+'CAFCO 400 '!$L$14)*U1332)+('CAFCO 400 '!$L$15*LN(J1332)+'CAFCO 400 '!$L$16)),0)+IF(AND(L1332="Cafco 400",M1332="Software Idiem",C1332="L"),((('CAFCO 400 '!$L$7*(J1332^3)+'CAFCO 400 '!$L$8*(J1332^2)+'CAFCO 400 '!$L$9*J1332+'CAFCO 400 '!$L$10)*U1332^2)+(('CAFCO 400 '!$L$11*(J1332^3)+'CAFCO 400 '!$L$12*(J1332^2)+'CAFCO 400 '!$L$13*J1332+'CAFCO 400 '!$L$14)*U1332)+('CAFCO 400 '!$L$15*LN(J1332)+'CAFCO 400 '!$L$16)),0)+IF(AND(L1332="Cafco 400",M1332="Software Idiem",C1332="IN",G1332=3),((('CAFCO 400 '!$D$23*(J1332^2)+'CAFCO 400 '!$D$24*(J1332)+'CAFCO 400 '!$D$25)*U1332^2)+(('CAFCO 400 '!$D$26*(J1332^2)+'CAFCO 400 '!$D$27*J1332+'CAFCO 400 '!$D$28)*U1332)+('CAFCO 400 '!$D$29*(J1332^2)+'CAFCO 400 '!$D$30*J1332+'CAFCO 400 '!$D$31)),0),0)+IF(AND(L1332="Cafco 300",J1332&gt;=95,J1332&lt;=240,C1332="Cj",I1332=90),VLOOKUP(T1332,'CAFCO 300 IDIEM TABLAS'!$B$4:$D$23,2,FALSE),0)+IF(AND(L1332="Cafco 300",J1332&gt;=95,J1332&lt;=240,C1332="Cj",I1332=120),VLOOKUP(T1332,'CAFCO 300 IDIEM TABLAS'!$B$4:$D$23,3,FALSE),0)+IF(AND(L1332="Cafco 300",J1332&gt;=95,J1332&lt;=400,G1332=3,C1332="IN",I1332=90),VLOOKUP(T1332,'CAFCO 300 IDIEM TABLAS'!$F$4:$H$35,2,FALSE),0)+IF(AND(L1332="Cafco 300",J1332&gt;=95,J1332&lt;=400,G1332=3,C1332="IN",I1332=120),VLOOKUP(T1332,'CAFCO 300 IDIEM TABLAS'!$F$4:$H$35,3,FALSE),0)+IF(AND(L1332="Cafco 300",J1332&gt;=95,J1332&lt;=450,G1332=4,C1332="IN",I1332=90),VLOOKUP(T1332,'CAFCO 300 IDIEM TABLAS'!$J$4:$L$40,2,FALSE),0)+IF(AND(L1332="Cafco 300",J1332&gt;=95,J1332&lt;=450,G1332=4,C1332="IN",I1332=120),VLOOKUP(T1332,'CAFCO 300 IDIEM TABLAS'!$J$4:$L$40,3,FALSE),0)+IF(AND(M1332="Ensayo Idiem",L1332="Cafco 400",C1332="IN",G1332=4,I1332=90),VLOOKUP(T1332,'CAFCO 400 ENSAYO'!$B$7:$D$43,2,FALSE),0)+IF(AND(M1332="Ensayo Idiem",L1332="Cafco 400",C1332="IN",G1332=4,I1332=120),VLOOKUP(T1332,'CAFCO 400 ENSAYO'!$B$7:$D$43,3,FALSE),0)</f>
        <v>0</v>
      </c>
      <c r="O1332" s="96">
        <f t="shared" si="132"/>
        <v>0</v>
      </c>
      <c r="P1332" s="95" t="str">
        <f t="shared" si="133"/>
        <v>N/A</v>
      </c>
      <c r="Q1332" s="95" t="str">
        <f t="shared" si="134"/>
        <v>N/A</v>
      </c>
      <c r="R1332" s="95" t="str">
        <f t="shared" si="135"/>
        <v>NO CERT.</v>
      </c>
      <c r="S1332" s="95" t="e">
        <f t="shared" si="136"/>
        <v>#N/A</v>
      </c>
      <c r="T1332" s="119" t="e">
        <f>+IF(J1332=LOOKUP(J1332,'CAFCO 300 IDIEM TABLAS'!$J$4:$J$40),'CALCULO MORTERO'!J1332,MROUND('CALCULO MORTERO'!J1332,10))</f>
        <v>#N/A</v>
      </c>
      <c r="U1332" s="118">
        <f t="shared" si="137"/>
        <v>0</v>
      </c>
    </row>
    <row r="1333" spans="1:21" x14ac:dyDescent="0.25">
      <c r="A1333" s="118">
        <f>+CUBICACION!D1327</f>
        <v>0</v>
      </c>
      <c r="B1333" s="819">
        <f>+CUBICACION!E1327</f>
        <v>0</v>
      </c>
      <c r="C1333" s="675">
        <f>+CUBICACION!F1327</f>
        <v>0</v>
      </c>
      <c r="D1333" s="118"/>
      <c r="E1333" s="118"/>
      <c r="F1333" s="820"/>
      <c r="G1333" s="675">
        <f>+CUBICACION!J1327</f>
        <v>0</v>
      </c>
      <c r="H1333" s="118"/>
      <c r="I1333" s="821">
        <f>+CUBICACION!L1327</f>
        <v>0</v>
      </c>
      <c r="J1333" s="64">
        <f>+CUBICACION!M1327</f>
        <v>0</v>
      </c>
      <c r="K1333" s="822" t="str">
        <f>+CUBICACION!N1327</f>
        <v/>
      </c>
      <c r="L1333" s="118">
        <f>+CUBICACION!O1327</f>
        <v>0</v>
      </c>
      <c r="M1333" s="823">
        <f>+CUBICACION!P1327</f>
        <v>0</v>
      </c>
      <c r="N1333" s="902">
        <f>ROUND(IF(AND(L1333="Blaze Shield II",M1333="Software Idiem",C1333="IN",G1333=4),((('BLAZE SHIELD II'!$D$4*('CALCULO MORTERO'!I1333^2)+'BLAZE SHIELD II'!$D$5*'CALCULO MORTERO'!I1333+'BLAZE SHIELD II'!$D$6)*LN(J1333))+('BLAZE SHIELD II'!$D$7*('CALCULO MORTERO'!I1333^2)+'BLAZE SHIELD II'!$D$8*'CALCULO MORTERO'!I1333+'BLAZE SHIELD II'!$D$9)),0)+IF(AND(L1333="Blaze Shield II",M1333="Software Idiem",C1333="Cj"),((('BLAZE SHIELD II'!$H$4*('CALCULO MORTERO'!I1333^2)+'BLAZE SHIELD II'!$H$5*'CALCULO MORTERO'!I1333+'BLAZE SHIELD II'!$H$6)*LN(J1333))+('BLAZE SHIELD II'!$H$7*('CALCULO MORTERO'!I1333^2)+'BLAZE SHIELD II'!$H$8*'CALCULO MORTERO'!I1333+'BLAZE SHIELD II'!$H$9)),0)+IF(AND(L1333="Blaze Shield II",M1333="Software Idiem",C1333="C"),((('BLAZE SHIELD II'!$L$4*('CALCULO MORTERO'!I1333^2)+'BLAZE SHIELD II'!$L$5*'CALCULO MORTERO'!I1333+'BLAZE SHIELD II'!$L$6)*LN(J1333))+('BLAZE SHIELD II'!$L$7*('CALCULO MORTERO'!I1333^2)+'BLAZE SHIELD II'!$L$8*'CALCULO MORTERO'!I1333+'BLAZE SHIELD II'!$L$9)),0)+IF(AND(L1333="Blaze Shield II",M1333="Software Idiem",C1333="L"),((('BLAZE SHIELD II'!$L$4*('CALCULO MORTERO'!I1333^2)+'BLAZE SHIELD II'!$L$5*'CALCULO MORTERO'!I1333+'BLAZE SHIELD II'!$L$6)*LN(J1333))+('BLAZE SHIELD II'!$L$7*('CALCULO MORTERO'!I1333^2)+'BLAZE SHIELD II'!$L$8*'CALCULO MORTERO'!I1333+'BLAZE SHIELD II'!$L$9)),0)+IF(AND(L1333="Blaze Shield II",M1333="Software Idiem",C1333="IN",G1333=3),((('BLAZE SHIELD II'!$H$14*('CALCULO MORTERO'!I1333^2)+'BLAZE SHIELD II'!$H$15*'CALCULO MORTERO'!I1333+'BLAZE SHIELD II'!$H$16)*LN(J1333))+('BLAZE SHIELD II'!$H$17*('CALCULO MORTERO'!I1333^2)+'BLAZE SHIELD II'!$H$18*'CALCULO MORTERO'!I1333+'BLAZE SHIELD II'!$H$19)),0),0)+ROUND(IF(AND(L1333="Cafco 400",M1333="Software Idiem",C1333="IN",G1333=4),((('CAFCO 400 '!$H$7*(J1333^4)+'CAFCO 400 '!$H$8*(J1333^3)+'CAFCO 400 '!$H$9*(J1333^2)+'CAFCO 400 '!$H$10*J1333+'CAFCO 400 '!$H$11)*U1333^2)+(('CAFCO 400 '!$H$12*(J1333^3)+'CAFCO 400 '!$H$13*(J1333^2)+'CAFCO 400 '!$H$14*J1333+'CAFCO 400 '!$H$15)*U1333)+('CAFCO 400 '!$H$16*(J1333^2)+'CAFCO 400 '!$H$17*J1333+'CAFCO 400 '!$H$18)),0)+IF(AND(L1333="Cafco 400",M1333="Software Idiem",C1333="Cj"),(((('CAFCO 400 '!$D$7*LN(J1333)+'CAFCO 400 '!$D$8)*U1333^2)+(('CAFCO 400 '!$D$9*LN(J1333)+'CAFCO 400 '!$D$10)*U1333)+('CAFCO 400 '!$D$11*LN(J1333)+'CAFCO 400 '!$D$12))),0)+IF(AND(L1333="Cafco 400",M1333="Software Idiem",C1333="C"),((('CAFCO 400 '!$L$7*(J1333^3)+'CAFCO 400 '!$L$8*(J1333^2)+'CAFCO 400 '!$L$9*J1333+'CAFCO 400 '!$L$10)*U1333^2)+(('CAFCO 400 '!$L$11*(J1333^3)+'CAFCO 400 '!$L$12*(J1333^2)+'CAFCO 400 '!$L$13*J1333+'CAFCO 400 '!$L$14)*U1333)+('CAFCO 400 '!$L$15*LN(J1333)+'CAFCO 400 '!$L$16)),0)+IF(AND(L1333="Cafco 400",M1333="Software Idiem",C1333="L"),((('CAFCO 400 '!$L$7*(J1333^3)+'CAFCO 400 '!$L$8*(J1333^2)+'CAFCO 400 '!$L$9*J1333+'CAFCO 400 '!$L$10)*U1333^2)+(('CAFCO 400 '!$L$11*(J1333^3)+'CAFCO 400 '!$L$12*(J1333^2)+'CAFCO 400 '!$L$13*J1333+'CAFCO 400 '!$L$14)*U1333)+('CAFCO 400 '!$L$15*LN(J1333)+'CAFCO 400 '!$L$16)),0)+IF(AND(L1333="Cafco 400",M1333="Software Idiem",C1333="IN",G1333=3),((('CAFCO 400 '!$D$23*(J1333^2)+'CAFCO 400 '!$D$24*(J1333)+'CAFCO 400 '!$D$25)*U1333^2)+(('CAFCO 400 '!$D$26*(J1333^2)+'CAFCO 400 '!$D$27*J1333+'CAFCO 400 '!$D$28)*U1333)+('CAFCO 400 '!$D$29*(J1333^2)+'CAFCO 400 '!$D$30*J1333+'CAFCO 400 '!$D$31)),0),0)+IF(AND(L1333="Cafco 300",J1333&gt;=95,J1333&lt;=240,C1333="Cj",I1333=90),VLOOKUP(T1333,'CAFCO 300 IDIEM TABLAS'!$B$4:$D$23,2,FALSE),0)+IF(AND(L1333="Cafco 300",J1333&gt;=95,J1333&lt;=240,C1333="Cj",I1333=120),VLOOKUP(T1333,'CAFCO 300 IDIEM TABLAS'!$B$4:$D$23,3,FALSE),0)+IF(AND(L1333="Cafco 300",J1333&gt;=95,J1333&lt;=400,G1333=3,C1333="IN",I1333=90),VLOOKUP(T1333,'CAFCO 300 IDIEM TABLAS'!$F$4:$H$35,2,FALSE),0)+IF(AND(L1333="Cafco 300",J1333&gt;=95,J1333&lt;=400,G1333=3,C1333="IN",I1333=120),VLOOKUP(T1333,'CAFCO 300 IDIEM TABLAS'!$F$4:$H$35,3,FALSE),0)+IF(AND(L1333="Cafco 300",J1333&gt;=95,J1333&lt;=450,G1333=4,C1333="IN",I1333=90),VLOOKUP(T1333,'CAFCO 300 IDIEM TABLAS'!$J$4:$L$40,2,FALSE),0)+IF(AND(L1333="Cafco 300",J1333&gt;=95,J1333&lt;=450,G1333=4,C1333="IN",I1333=120),VLOOKUP(T1333,'CAFCO 300 IDIEM TABLAS'!$J$4:$L$40,3,FALSE),0)+IF(AND(M1333="Ensayo Idiem",L1333="Cafco 400",C1333="IN",G1333=4,I1333=90),VLOOKUP(T1333,'CAFCO 400 ENSAYO'!$B$7:$D$43,2,FALSE),0)+IF(AND(M1333="Ensayo Idiem",L1333="Cafco 400",C1333="IN",G1333=4,I1333=120),VLOOKUP(T1333,'CAFCO 400 ENSAYO'!$B$7:$D$43,3,FALSE),0)</f>
        <v>0</v>
      </c>
      <c r="O1333" s="96">
        <f t="shared" si="132"/>
        <v>0</v>
      </c>
      <c r="P1333" s="132" t="str">
        <f t="shared" si="133"/>
        <v>N/A</v>
      </c>
      <c r="Q1333" s="132" t="str">
        <f t="shared" si="134"/>
        <v>N/A</v>
      </c>
      <c r="R1333" s="132" t="str">
        <f t="shared" si="135"/>
        <v>NO CERT.</v>
      </c>
      <c r="S1333" s="132" t="e">
        <f t="shared" si="136"/>
        <v>#N/A</v>
      </c>
      <c r="T1333" s="133" t="e">
        <f>+IF(J1333=LOOKUP(J1333,'CAFCO 300 IDIEM TABLAS'!$J$4:$J$40),'CALCULO MORTERO'!J1333,MROUND('CALCULO MORTERO'!J1333,10))</f>
        <v>#N/A</v>
      </c>
      <c r="U1333" s="134">
        <f t="shared" si="137"/>
        <v>0</v>
      </c>
    </row>
    <row r="1334" spans="1:21" x14ac:dyDescent="0.25">
      <c r="A1334" s="118">
        <f>+CUBICACION!D1328</f>
        <v>0</v>
      </c>
      <c r="B1334" s="819">
        <f>+CUBICACION!E1328</f>
        <v>0</v>
      </c>
      <c r="C1334" s="675">
        <f>+CUBICACION!F1328</f>
        <v>0</v>
      </c>
      <c r="D1334" s="118"/>
      <c r="E1334" s="118"/>
      <c r="F1334" s="820"/>
      <c r="G1334" s="675">
        <f>+CUBICACION!J1328</f>
        <v>0</v>
      </c>
      <c r="H1334" s="118"/>
      <c r="I1334" s="821">
        <f>+CUBICACION!L1328</f>
        <v>0</v>
      </c>
      <c r="J1334" s="64">
        <f>+CUBICACION!M1328</f>
        <v>0</v>
      </c>
      <c r="K1334" s="822" t="str">
        <f>+CUBICACION!N1328</f>
        <v/>
      </c>
      <c r="L1334" s="118">
        <f>+CUBICACION!O1328</f>
        <v>0</v>
      </c>
      <c r="M1334" s="823">
        <f>+CUBICACION!P1328</f>
        <v>0</v>
      </c>
      <c r="N1334" s="902">
        <f>ROUND(IF(AND(L1334="Blaze Shield II",M1334="Software Idiem",C1334="IN",G1334=4),((('BLAZE SHIELD II'!$D$4*('CALCULO MORTERO'!I1334^2)+'BLAZE SHIELD II'!$D$5*'CALCULO MORTERO'!I1334+'BLAZE SHIELD II'!$D$6)*LN(J1334))+('BLAZE SHIELD II'!$D$7*('CALCULO MORTERO'!I1334^2)+'BLAZE SHIELD II'!$D$8*'CALCULO MORTERO'!I1334+'BLAZE SHIELD II'!$D$9)),0)+IF(AND(L1334="Blaze Shield II",M1334="Software Idiem",C1334="Cj"),((('BLAZE SHIELD II'!$H$4*('CALCULO MORTERO'!I1334^2)+'BLAZE SHIELD II'!$H$5*'CALCULO MORTERO'!I1334+'BLAZE SHIELD II'!$H$6)*LN(J1334))+('BLAZE SHIELD II'!$H$7*('CALCULO MORTERO'!I1334^2)+'BLAZE SHIELD II'!$H$8*'CALCULO MORTERO'!I1334+'BLAZE SHIELD II'!$H$9)),0)+IF(AND(L1334="Blaze Shield II",M1334="Software Idiem",C1334="C"),((('BLAZE SHIELD II'!$L$4*('CALCULO MORTERO'!I1334^2)+'BLAZE SHIELD II'!$L$5*'CALCULO MORTERO'!I1334+'BLAZE SHIELD II'!$L$6)*LN(J1334))+('BLAZE SHIELD II'!$L$7*('CALCULO MORTERO'!I1334^2)+'BLAZE SHIELD II'!$L$8*'CALCULO MORTERO'!I1334+'BLAZE SHIELD II'!$L$9)),0)+IF(AND(L1334="Blaze Shield II",M1334="Software Idiem",C1334="L"),((('BLAZE SHIELD II'!$L$4*('CALCULO MORTERO'!I1334^2)+'BLAZE SHIELD II'!$L$5*'CALCULO MORTERO'!I1334+'BLAZE SHIELD II'!$L$6)*LN(J1334))+('BLAZE SHIELD II'!$L$7*('CALCULO MORTERO'!I1334^2)+'BLAZE SHIELD II'!$L$8*'CALCULO MORTERO'!I1334+'BLAZE SHIELD II'!$L$9)),0)+IF(AND(L1334="Blaze Shield II",M1334="Software Idiem",C1334="IN",G1334=3),((('BLAZE SHIELD II'!$H$14*('CALCULO MORTERO'!I1334^2)+'BLAZE SHIELD II'!$H$15*'CALCULO MORTERO'!I1334+'BLAZE SHIELD II'!$H$16)*LN(J1334))+('BLAZE SHIELD II'!$H$17*('CALCULO MORTERO'!I1334^2)+'BLAZE SHIELD II'!$H$18*'CALCULO MORTERO'!I1334+'BLAZE SHIELD II'!$H$19)),0),0)+ROUND(IF(AND(L1334="Cafco 400",M1334="Software Idiem",C1334="IN",G1334=4),((('CAFCO 400 '!$H$7*(J1334^4)+'CAFCO 400 '!$H$8*(J1334^3)+'CAFCO 400 '!$H$9*(J1334^2)+'CAFCO 400 '!$H$10*J1334+'CAFCO 400 '!$H$11)*U1334^2)+(('CAFCO 400 '!$H$12*(J1334^3)+'CAFCO 400 '!$H$13*(J1334^2)+'CAFCO 400 '!$H$14*J1334+'CAFCO 400 '!$H$15)*U1334)+('CAFCO 400 '!$H$16*(J1334^2)+'CAFCO 400 '!$H$17*J1334+'CAFCO 400 '!$H$18)),0)+IF(AND(L1334="Cafco 400",M1334="Software Idiem",C1334="Cj"),(((('CAFCO 400 '!$D$7*LN(J1334)+'CAFCO 400 '!$D$8)*U1334^2)+(('CAFCO 400 '!$D$9*LN(J1334)+'CAFCO 400 '!$D$10)*U1334)+('CAFCO 400 '!$D$11*LN(J1334)+'CAFCO 400 '!$D$12))),0)+IF(AND(L1334="Cafco 400",M1334="Software Idiem",C1334="C"),((('CAFCO 400 '!$L$7*(J1334^3)+'CAFCO 400 '!$L$8*(J1334^2)+'CAFCO 400 '!$L$9*J1334+'CAFCO 400 '!$L$10)*U1334^2)+(('CAFCO 400 '!$L$11*(J1334^3)+'CAFCO 400 '!$L$12*(J1334^2)+'CAFCO 400 '!$L$13*J1334+'CAFCO 400 '!$L$14)*U1334)+('CAFCO 400 '!$L$15*LN(J1334)+'CAFCO 400 '!$L$16)),0)+IF(AND(L1334="Cafco 400",M1334="Software Idiem",C1334="L"),((('CAFCO 400 '!$L$7*(J1334^3)+'CAFCO 400 '!$L$8*(J1334^2)+'CAFCO 400 '!$L$9*J1334+'CAFCO 400 '!$L$10)*U1334^2)+(('CAFCO 400 '!$L$11*(J1334^3)+'CAFCO 400 '!$L$12*(J1334^2)+'CAFCO 400 '!$L$13*J1334+'CAFCO 400 '!$L$14)*U1334)+('CAFCO 400 '!$L$15*LN(J1334)+'CAFCO 400 '!$L$16)),0)+IF(AND(L1334="Cafco 400",M1334="Software Idiem",C1334="IN",G1334=3),((('CAFCO 400 '!$D$23*(J1334^2)+'CAFCO 400 '!$D$24*(J1334)+'CAFCO 400 '!$D$25)*U1334^2)+(('CAFCO 400 '!$D$26*(J1334^2)+'CAFCO 400 '!$D$27*J1334+'CAFCO 400 '!$D$28)*U1334)+('CAFCO 400 '!$D$29*(J1334^2)+'CAFCO 400 '!$D$30*J1334+'CAFCO 400 '!$D$31)),0),0)+IF(AND(L1334="Cafco 300",J1334&gt;=95,J1334&lt;=240,C1334="Cj",I1334=90),VLOOKUP(T1334,'CAFCO 300 IDIEM TABLAS'!$B$4:$D$23,2,FALSE),0)+IF(AND(L1334="Cafco 300",J1334&gt;=95,J1334&lt;=240,C1334="Cj",I1334=120),VLOOKUP(T1334,'CAFCO 300 IDIEM TABLAS'!$B$4:$D$23,3,FALSE),0)+IF(AND(L1334="Cafco 300",J1334&gt;=95,J1334&lt;=400,G1334=3,C1334="IN",I1334=90),VLOOKUP(T1334,'CAFCO 300 IDIEM TABLAS'!$F$4:$H$35,2,FALSE),0)+IF(AND(L1334="Cafco 300",J1334&gt;=95,J1334&lt;=400,G1334=3,C1334="IN",I1334=120),VLOOKUP(T1334,'CAFCO 300 IDIEM TABLAS'!$F$4:$H$35,3,FALSE),0)+IF(AND(L1334="Cafco 300",J1334&gt;=95,J1334&lt;=450,G1334=4,C1334="IN",I1334=90),VLOOKUP(T1334,'CAFCO 300 IDIEM TABLAS'!$J$4:$L$40,2,FALSE),0)+IF(AND(L1334="Cafco 300",J1334&gt;=95,J1334&lt;=450,G1334=4,C1334="IN",I1334=120),VLOOKUP(T1334,'CAFCO 300 IDIEM TABLAS'!$J$4:$L$40,3,FALSE),0)+IF(AND(M1334="Ensayo Idiem",L1334="Cafco 400",C1334="IN",G1334=4,I1334=90),VLOOKUP(T1334,'CAFCO 400 ENSAYO'!$B$7:$D$43,2,FALSE),0)+IF(AND(M1334="Ensayo Idiem",L1334="Cafco 400",C1334="IN",G1334=4,I1334=120),VLOOKUP(T1334,'CAFCO 400 ENSAYO'!$B$7:$D$43,3,FALSE),0)</f>
        <v>0</v>
      </c>
      <c r="O1334" s="96">
        <f t="shared" si="132"/>
        <v>0</v>
      </c>
      <c r="P1334" s="95" t="str">
        <f t="shared" si="133"/>
        <v>N/A</v>
      </c>
      <c r="Q1334" s="95" t="str">
        <f t="shared" si="134"/>
        <v>N/A</v>
      </c>
      <c r="R1334" s="95" t="str">
        <f t="shared" si="135"/>
        <v>NO CERT.</v>
      </c>
      <c r="S1334" s="95" t="e">
        <f t="shared" si="136"/>
        <v>#N/A</v>
      </c>
      <c r="T1334" s="119" t="e">
        <f>+IF(J1334=LOOKUP(J1334,'CAFCO 300 IDIEM TABLAS'!$J$4:$J$40),'CALCULO MORTERO'!J1334,MROUND('CALCULO MORTERO'!J1334,10))</f>
        <v>#N/A</v>
      </c>
      <c r="U1334" s="118">
        <f t="shared" si="137"/>
        <v>0</v>
      </c>
    </row>
    <row r="1335" spans="1:21" x14ac:dyDescent="0.25">
      <c r="A1335" s="118">
        <f>+CUBICACION!D1329</f>
        <v>0</v>
      </c>
      <c r="B1335" s="819">
        <f>+CUBICACION!E1329</f>
        <v>0</v>
      </c>
      <c r="C1335" s="675">
        <f>+CUBICACION!F1329</f>
        <v>0</v>
      </c>
      <c r="D1335" s="118"/>
      <c r="E1335" s="118"/>
      <c r="F1335" s="820"/>
      <c r="G1335" s="675">
        <f>+CUBICACION!J1329</f>
        <v>0</v>
      </c>
      <c r="H1335" s="118"/>
      <c r="I1335" s="821">
        <f>+CUBICACION!L1329</f>
        <v>0</v>
      </c>
      <c r="J1335" s="64">
        <f>+CUBICACION!M1329</f>
        <v>0</v>
      </c>
      <c r="K1335" s="822" t="str">
        <f>+CUBICACION!N1329</f>
        <v/>
      </c>
      <c r="L1335" s="118">
        <f>+CUBICACION!O1329</f>
        <v>0</v>
      </c>
      <c r="M1335" s="823">
        <f>+CUBICACION!P1329</f>
        <v>0</v>
      </c>
      <c r="N1335" s="902">
        <f>ROUND(IF(AND(L1335="Blaze Shield II",M1335="Software Idiem",C1335="IN",G1335=4),((('BLAZE SHIELD II'!$D$4*('CALCULO MORTERO'!I1335^2)+'BLAZE SHIELD II'!$D$5*'CALCULO MORTERO'!I1335+'BLAZE SHIELD II'!$D$6)*LN(J1335))+('BLAZE SHIELD II'!$D$7*('CALCULO MORTERO'!I1335^2)+'BLAZE SHIELD II'!$D$8*'CALCULO MORTERO'!I1335+'BLAZE SHIELD II'!$D$9)),0)+IF(AND(L1335="Blaze Shield II",M1335="Software Idiem",C1335="Cj"),((('BLAZE SHIELD II'!$H$4*('CALCULO MORTERO'!I1335^2)+'BLAZE SHIELD II'!$H$5*'CALCULO MORTERO'!I1335+'BLAZE SHIELD II'!$H$6)*LN(J1335))+('BLAZE SHIELD II'!$H$7*('CALCULO MORTERO'!I1335^2)+'BLAZE SHIELD II'!$H$8*'CALCULO MORTERO'!I1335+'BLAZE SHIELD II'!$H$9)),0)+IF(AND(L1335="Blaze Shield II",M1335="Software Idiem",C1335="C"),((('BLAZE SHIELD II'!$L$4*('CALCULO MORTERO'!I1335^2)+'BLAZE SHIELD II'!$L$5*'CALCULO MORTERO'!I1335+'BLAZE SHIELD II'!$L$6)*LN(J1335))+('BLAZE SHIELD II'!$L$7*('CALCULO MORTERO'!I1335^2)+'BLAZE SHIELD II'!$L$8*'CALCULO MORTERO'!I1335+'BLAZE SHIELD II'!$L$9)),0)+IF(AND(L1335="Blaze Shield II",M1335="Software Idiem",C1335="L"),((('BLAZE SHIELD II'!$L$4*('CALCULO MORTERO'!I1335^2)+'BLAZE SHIELD II'!$L$5*'CALCULO MORTERO'!I1335+'BLAZE SHIELD II'!$L$6)*LN(J1335))+('BLAZE SHIELD II'!$L$7*('CALCULO MORTERO'!I1335^2)+'BLAZE SHIELD II'!$L$8*'CALCULO MORTERO'!I1335+'BLAZE SHIELD II'!$L$9)),0)+IF(AND(L1335="Blaze Shield II",M1335="Software Idiem",C1335="IN",G1335=3),((('BLAZE SHIELD II'!$H$14*('CALCULO MORTERO'!I1335^2)+'BLAZE SHIELD II'!$H$15*'CALCULO MORTERO'!I1335+'BLAZE SHIELD II'!$H$16)*LN(J1335))+('BLAZE SHIELD II'!$H$17*('CALCULO MORTERO'!I1335^2)+'BLAZE SHIELD II'!$H$18*'CALCULO MORTERO'!I1335+'BLAZE SHIELD II'!$H$19)),0),0)+ROUND(IF(AND(L1335="Cafco 400",M1335="Software Idiem",C1335="IN",G1335=4),((('CAFCO 400 '!$H$7*(J1335^4)+'CAFCO 400 '!$H$8*(J1335^3)+'CAFCO 400 '!$H$9*(J1335^2)+'CAFCO 400 '!$H$10*J1335+'CAFCO 400 '!$H$11)*U1335^2)+(('CAFCO 400 '!$H$12*(J1335^3)+'CAFCO 400 '!$H$13*(J1335^2)+'CAFCO 400 '!$H$14*J1335+'CAFCO 400 '!$H$15)*U1335)+('CAFCO 400 '!$H$16*(J1335^2)+'CAFCO 400 '!$H$17*J1335+'CAFCO 400 '!$H$18)),0)+IF(AND(L1335="Cafco 400",M1335="Software Idiem",C1335="Cj"),(((('CAFCO 400 '!$D$7*LN(J1335)+'CAFCO 400 '!$D$8)*U1335^2)+(('CAFCO 400 '!$D$9*LN(J1335)+'CAFCO 400 '!$D$10)*U1335)+('CAFCO 400 '!$D$11*LN(J1335)+'CAFCO 400 '!$D$12))),0)+IF(AND(L1335="Cafco 400",M1335="Software Idiem",C1335="C"),((('CAFCO 400 '!$L$7*(J1335^3)+'CAFCO 400 '!$L$8*(J1335^2)+'CAFCO 400 '!$L$9*J1335+'CAFCO 400 '!$L$10)*U1335^2)+(('CAFCO 400 '!$L$11*(J1335^3)+'CAFCO 400 '!$L$12*(J1335^2)+'CAFCO 400 '!$L$13*J1335+'CAFCO 400 '!$L$14)*U1335)+('CAFCO 400 '!$L$15*LN(J1335)+'CAFCO 400 '!$L$16)),0)+IF(AND(L1335="Cafco 400",M1335="Software Idiem",C1335="L"),((('CAFCO 400 '!$L$7*(J1335^3)+'CAFCO 400 '!$L$8*(J1335^2)+'CAFCO 400 '!$L$9*J1335+'CAFCO 400 '!$L$10)*U1335^2)+(('CAFCO 400 '!$L$11*(J1335^3)+'CAFCO 400 '!$L$12*(J1335^2)+'CAFCO 400 '!$L$13*J1335+'CAFCO 400 '!$L$14)*U1335)+('CAFCO 400 '!$L$15*LN(J1335)+'CAFCO 400 '!$L$16)),0)+IF(AND(L1335="Cafco 400",M1335="Software Idiem",C1335="IN",G1335=3),((('CAFCO 400 '!$D$23*(J1335^2)+'CAFCO 400 '!$D$24*(J1335)+'CAFCO 400 '!$D$25)*U1335^2)+(('CAFCO 400 '!$D$26*(J1335^2)+'CAFCO 400 '!$D$27*J1335+'CAFCO 400 '!$D$28)*U1335)+('CAFCO 400 '!$D$29*(J1335^2)+'CAFCO 400 '!$D$30*J1335+'CAFCO 400 '!$D$31)),0),0)+IF(AND(L1335="Cafco 300",J1335&gt;=95,J1335&lt;=240,C1335="Cj",I1335=90),VLOOKUP(T1335,'CAFCO 300 IDIEM TABLAS'!$B$4:$D$23,2,FALSE),0)+IF(AND(L1335="Cafco 300",J1335&gt;=95,J1335&lt;=240,C1335="Cj",I1335=120),VLOOKUP(T1335,'CAFCO 300 IDIEM TABLAS'!$B$4:$D$23,3,FALSE),0)+IF(AND(L1335="Cafco 300",J1335&gt;=95,J1335&lt;=400,G1335=3,C1335="IN",I1335=90),VLOOKUP(T1335,'CAFCO 300 IDIEM TABLAS'!$F$4:$H$35,2,FALSE),0)+IF(AND(L1335="Cafco 300",J1335&gt;=95,J1335&lt;=400,G1335=3,C1335="IN",I1335=120),VLOOKUP(T1335,'CAFCO 300 IDIEM TABLAS'!$F$4:$H$35,3,FALSE),0)+IF(AND(L1335="Cafco 300",J1335&gt;=95,J1335&lt;=450,G1335=4,C1335="IN",I1335=90),VLOOKUP(T1335,'CAFCO 300 IDIEM TABLAS'!$J$4:$L$40,2,FALSE),0)+IF(AND(L1335="Cafco 300",J1335&gt;=95,J1335&lt;=450,G1335=4,C1335="IN",I1335=120),VLOOKUP(T1335,'CAFCO 300 IDIEM TABLAS'!$J$4:$L$40,3,FALSE),0)+IF(AND(M1335="Ensayo Idiem",L1335="Cafco 400",C1335="IN",G1335=4,I1335=90),VLOOKUP(T1335,'CAFCO 400 ENSAYO'!$B$7:$D$43,2,FALSE),0)+IF(AND(M1335="Ensayo Idiem",L1335="Cafco 400",C1335="IN",G1335=4,I1335=120),VLOOKUP(T1335,'CAFCO 400 ENSAYO'!$B$7:$D$43,3,FALSE),0)</f>
        <v>0</v>
      </c>
      <c r="O1335" s="96">
        <f t="shared" si="132"/>
        <v>0</v>
      </c>
      <c r="P1335" s="132" t="str">
        <f t="shared" si="133"/>
        <v>N/A</v>
      </c>
      <c r="Q1335" s="132" t="str">
        <f t="shared" si="134"/>
        <v>N/A</v>
      </c>
      <c r="R1335" s="132" t="str">
        <f t="shared" si="135"/>
        <v>NO CERT.</v>
      </c>
      <c r="S1335" s="132" t="e">
        <f t="shared" si="136"/>
        <v>#N/A</v>
      </c>
      <c r="T1335" s="133" t="e">
        <f>+IF(J1335=LOOKUP(J1335,'CAFCO 300 IDIEM TABLAS'!$J$4:$J$40),'CALCULO MORTERO'!J1335,MROUND('CALCULO MORTERO'!J1335,10))</f>
        <v>#N/A</v>
      </c>
      <c r="U1335" s="134">
        <f t="shared" si="137"/>
        <v>0</v>
      </c>
    </row>
    <row r="1336" spans="1:21" x14ac:dyDescent="0.25">
      <c r="A1336" s="118">
        <f>+CUBICACION!D1330</f>
        <v>0</v>
      </c>
      <c r="B1336" s="819">
        <f>+CUBICACION!E1330</f>
        <v>0</v>
      </c>
      <c r="C1336" s="675">
        <f>+CUBICACION!F1330</f>
        <v>0</v>
      </c>
      <c r="D1336" s="118"/>
      <c r="E1336" s="118"/>
      <c r="F1336" s="820"/>
      <c r="G1336" s="675">
        <f>+CUBICACION!J1330</f>
        <v>0</v>
      </c>
      <c r="H1336" s="118"/>
      <c r="I1336" s="821">
        <f>+CUBICACION!L1330</f>
        <v>0</v>
      </c>
      <c r="J1336" s="64">
        <f>+CUBICACION!M1330</f>
        <v>0</v>
      </c>
      <c r="K1336" s="822" t="str">
        <f>+CUBICACION!N1330</f>
        <v/>
      </c>
      <c r="L1336" s="118">
        <f>+CUBICACION!O1330</f>
        <v>0</v>
      </c>
      <c r="M1336" s="823">
        <f>+CUBICACION!P1330</f>
        <v>0</v>
      </c>
      <c r="N1336" s="902">
        <f>ROUND(IF(AND(L1336="Blaze Shield II",M1336="Software Idiem",C1336="IN",G1336=4),((('BLAZE SHIELD II'!$D$4*('CALCULO MORTERO'!I1336^2)+'BLAZE SHIELD II'!$D$5*'CALCULO MORTERO'!I1336+'BLAZE SHIELD II'!$D$6)*LN(J1336))+('BLAZE SHIELD II'!$D$7*('CALCULO MORTERO'!I1336^2)+'BLAZE SHIELD II'!$D$8*'CALCULO MORTERO'!I1336+'BLAZE SHIELD II'!$D$9)),0)+IF(AND(L1336="Blaze Shield II",M1336="Software Idiem",C1336="Cj"),((('BLAZE SHIELD II'!$H$4*('CALCULO MORTERO'!I1336^2)+'BLAZE SHIELD II'!$H$5*'CALCULO MORTERO'!I1336+'BLAZE SHIELD II'!$H$6)*LN(J1336))+('BLAZE SHIELD II'!$H$7*('CALCULO MORTERO'!I1336^2)+'BLAZE SHIELD II'!$H$8*'CALCULO MORTERO'!I1336+'BLAZE SHIELD II'!$H$9)),0)+IF(AND(L1336="Blaze Shield II",M1336="Software Idiem",C1336="C"),((('BLAZE SHIELD II'!$L$4*('CALCULO MORTERO'!I1336^2)+'BLAZE SHIELD II'!$L$5*'CALCULO MORTERO'!I1336+'BLAZE SHIELD II'!$L$6)*LN(J1336))+('BLAZE SHIELD II'!$L$7*('CALCULO MORTERO'!I1336^2)+'BLAZE SHIELD II'!$L$8*'CALCULO MORTERO'!I1336+'BLAZE SHIELD II'!$L$9)),0)+IF(AND(L1336="Blaze Shield II",M1336="Software Idiem",C1336="L"),((('BLAZE SHIELD II'!$L$4*('CALCULO MORTERO'!I1336^2)+'BLAZE SHIELD II'!$L$5*'CALCULO MORTERO'!I1336+'BLAZE SHIELD II'!$L$6)*LN(J1336))+('BLAZE SHIELD II'!$L$7*('CALCULO MORTERO'!I1336^2)+'BLAZE SHIELD II'!$L$8*'CALCULO MORTERO'!I1336+'BLAZE SHIELD II'!$L$9)),0)+IF(AND(L1336="Blaze Shield II",M1336="Software Idiem",C1336="IN",G1336=3),((('BLAZE SHIELD II'!$H$14*('CALCULO MORTERO'!I1336^2)+'BLAZE SHIELD II'!$H$15*'CALCULO MORTERO'!I1336+'BLAZE SHIELD II'!$H$16)*LN(J1336))+('BLAZE SHIELD II'!$H$17*('CALCULO MORTERO'!I1336^2)+'BLAZE SHIELD II'!$H$18*'CALCULO MORTERO'!I1336+'BLAZE SHIELD II'!$H$19)),0),0)+ROUND(IF(AND(L1336="Cafco 400",M1336="Software Idiem",C1336="IN",G1336=4),((('CAFCO 400 '!$H$7*(J1336^4)+'CAFCO 400 '!$H$8*(J1336^3)+'CAFCO 400 '!$H$9*(J1336^2)+'CAFCO 400 '!$H$10*J1336+'CAFCO 400 '!$H$11)*U1336^2)+(('CAFCO 400 '!$H$12*(J1336^3)+'CAFCO 400 '!$H$13*(J1336^2)+'CAFCO 400 '!$H$14*J1336+'CAFCO 400 '!$H$15)*U1336)+('CAFCO 400 '!$H$16*(J1336^2)+'CAFCO 400 '!$H$17*J1336+'CAFCO 400 '!$H$18)),0)+IF(AND(L1336="Cafco 400",M1336="Software Idiem",C1336="Cj"),(((('CAFCO 400 '!$D$7*LN(J1336)+'CAFCO 400 '!$D$8)*U1336^2)+(('CAFCO 400 '!$D$9*LN(J1336)+'CAFCO 400 '!$D$10)*U1336)+('CAFCO 400 '!$D$11*LN(J1336)+'CAFCO 400 '!$D$12))),0)+IF(AND(L1336="Cafco 400",M1336="Software Idiem",C1336="C"),((('CAFCO 400 '!$L$7*(J1336^3)+'CAFCO 400 '!$L$8*(J1336^2)+'CAFCO 400 '!$L$9*J1336+'CAFCO 400 '!$L$10)*U1336^2)+(('CAFCO 400 '!$L$11*(J1336^3)+'CAFCO 400 '!$L$12*(J1336^2)+'CAFCO 400 '!$L$13*J1336+'CAFCO 400 '!$L$14)*U1336)+('CAFCO 400 '!$L$15*LN(J1336)+'CAFCO 400 '!$L$16)),0)+IF(AND(L1336="Cafco 400",M1336="Software Idiem",C1336="L"),((('CAFCO 400 '!$L$7*(J1336^3)+'CAFCO 400 '!$L$8*(J1336^2)+'CAFCO 400 '!$L$9*J1336+'CAFCO 400 '!$L$10)*U1336^2)+(('CAFCO 400 '!$L$11*(J1336^3)+'CAFCO 400 '!$L$12*(J1336^2)+'CAFCO 400 '!$L$13*J1336+'CAFCO 400 '!$L$14)*U1336)+('CAFCO 400 '!$L$15*LN(J1336)+'CAFCO 400 '!$L$16)),0)+IF(AND(L1336="Cafco 400",M1336="Software Idiem",C1336="IN",G1336=3),((('CAFCO 400 '!$D$23*(J1336^2)+'CAFCO 400 '!$D$24*(J1336)+'CAFCO 400 '!$D$25)*U1336^2)+(('CAFCO 400 '!$D$26*(J1336^2)+'CAFCO 400 '!$D$27*J1336+'CAFCO 400 '!$D$28)*U1336)+('CAFCO 400 '!$D$29*(J1336^2)+'CAFCO 400 '!$D$30*J1336+'CAFCO 400 '!$D$31)),0),0)+IF(AND(L1336="Cafco 300",J1336&gt;=95,J1336&lt;=240,C1336="Cj",I1336=90),VLOOKUP(T1336,'CAFCO 300 IDIEM TABLAS'!$B$4:$D$23,2,FALSE),0)+IF(AND(L1336="Cafco 300",J1336&gt;=95,J1336&lt;=240,C1336="Cj",I1336=120),VLOOKUP(T1336,'CAFCO 300 IDIEM TABLAS'!$B$4:$D$23,3,FALSE),0)+IF(AND(L1336="Cafco 300",J1336&gt;=95,J1336&lt;=400,G1336=3,C1336="IN",I1336=90),VLOOKUP(T1336,'CAFCO 300 IDIEM TABLAS'!$F$4:$H$35,2,FALSE),0)+IF(AND(L1336="Cafco 300",J1336&gt;=95,J1336&lt;=400,G1336=3,C1336="IN",I1336=120),VLOOKUP(T1336,'CAFCO 300 IDIEM TABLAS'!$F$4:$H$35,3,FALSE),0)+IF(AND(L1336="Cafco 300",J1336&gt;=95,J1336&lt;=450,G1336=4,C1336="IN",I1336=90),VLOOKUP(T1336,'CAFCO 300 IDIEM TABLAS'!$J$4:$L$40,2,FALSE),0)+IF(AND(L1336="Cafco 300",J1336&gt;=95,J1336&lt;=450,G1336=4,C1336="IN",I1336=120),VLOOKUP(T1336,'CAFCO 300 IDIEM TABLAS'!$J$4:$L$40,3,FALSE),0)+IF(AND(M1336="Ensayo Idiem",L1336="Cafco 400",C1336="IN",G1336=4,I1336=90),VLOOKUP(T1336,'CAFCO 400 ENSAYO'!$B$7:$D$43,2,FALSE),0)+IF(AND(M1336="Ensayo Idiem",L1336="Cafco 400",C1336="IN",G1336=4,I1336=120),VLOOKUP(T1336,'CAFCO 400 ENSAYO'!$B$7:$D$43,3,FALSE),0)</f>
        <v>0</v>
      </c>
      <c r="O1336" s="96">
        <f t="shared" si="132"/>
        <v>0</v>
      </c>
      <c r="P1336" s="95" t="str">
        <f t="shared" si="133"/>
        <v>N/A</v>
      </c>
      <c r="Q1336" s="95" t="str">
        <f t="shared" si="134"/>
        <v>N/A</v>
      </c>
      <c r="R1336" s="95" t="str">
        <f t="shared" si="135"/>
        <v>NO CERT.</v>
      </c>
      <c r="S1336" s="95" t="e">
        <f t="shared" si="136"/>
        <v>#N/A</v>
      </c>
      <c r="T1336" s="119" t="e">
        <f>+IF(J1336=LOOKUP(J1336,'CAFCO 300 IDIEM TABLAS'!$J$4:$J$40),'CALCULO MORTERO'!J1336,MROUND('CALCULO MORTERO'!J1336,10))</f>
        <v>#N/A</v>
      </c>
      <c r="U1336" s="118">
        <f t="shared" si="137"/>
        <v>0</v>
      </c>
    </row>
    <row r="1337" spans="1:21" x14ac:dyDescent="0.25">
      <c r="A1337" s="118">
        <f>+CUBICACION!D1331</f>
        <v>0</v>
      </c>
      <c r="B1337" s="819">
        <f>+CUBICACION!E1331</f>
        <v>0</v>
      </c>
      <c r="C1337" s="675">
        <f>+CUBICACION!F1331</f>
        <v>0</v>
      </c>
      <c r="D1337" s="118"/>
      <c r="E1337" s="118"/>
      <c r="F1337" s="820"/>
      <c r="G1337" s="675">
        <f>+CUBICACION!J1331</f>
        <v>0</v>
      </c>
      <c r="H1337" s="118"/>
      <c r="I1337" s="821">
        <f>+CUBICACION!L1331</f>
        <v>0</v>
      </c>
      <c r="J1337" s="64">
        <f>+CUBICACION!M1331</f>
        <v>0</v>
      </c>
      <c r="K1337" s="822" t="str">
        <f>+CUBICACION!N1331</f>
        <v/>
      </c>
      <c r="L1337" s="118">
        <f>+CUBICACION!O1331</f>
        <v>0</v>
      </c>
      <c r="M1337" s="823">
        <f>+CUBICACION!P1331</f>
        <v>0</v>
      </c>
      <c r="N1337" s="902">
        <f>ROUND(IF(AND(L1337="Blaze Shield II",M1337="Software Idiem",C1337="IN",G1337=4),((('BLAZE SHIELD II'!$D$4*('CALCULO MORTERO'!I1337^2)+'BLAZE SHIELD II'!$D$5*'CALCULO MORTERO'!I1337+'BLAZE SHIELD II'!$D$6)*LN(J1337))+('BLAZE SHIELD II'!$D$7*('CALCULO MORTERO'!I1337^2)+'BLAZE SHIELD II'!$D$8*'CALCULO MORTERO'!I1337+'BLAZE SHIELD II'!$D$9)),0)+IF(AND(L1337="Blaze Shield II",M1337="Software Idiem",C1337="Cj"),((('BLAZE SHIELD II'!$H$4*('CALCULO MORTERO'!I1337^2)+'BLAZE SHIELD II'!$H$5*'CALCULO MORTERO'!I1337+'BLAZE SHIELD II'!$H$6)*LN(J1337))+('BLAZE SHIELD II'!$H$7*('CALCULO MORTERO'!I1337^2)+'BLAZE SHIELD II'!$H$8*'CALCULO MORTERO'!I1337+'BLAZE SHIELD II'!$H$9)),0)+IF(AND(L1337="Blaze Shield II",M1337="Software Idiem",C1337="C"),((('BLAZE SHIELD II'!$L$4*('CALCULO MORTERO'!I1337^2)+'BLAZE SHIELD II'!$L$5*'CALCULO MORTERO'!I1337+'BLAZE SHIELD II'!$L$6)*LN(J1337))+('BLAZE SHIELD II'!$L$7*('CALCULO MORTERO'!I1337^2)+'BLAZE SHIELD II'!$L$8*'CALCULO MORTERO'!I1337+'BLAZE SHIELD II'!$L$9)),0)+IF(AND(L1337="Blaze Shield II",M1337="Software Idiem",C1337="L"),((('BLAZE SHIELD II'!$L$4*('CALCULO MORTERO'!I1337^2)+'BLAZE SHIELD II'!$L$5*'CALCULO MORTERO'!I1337+'BLAZE SHIELD II'!$L$6)*LN(J1337))+('BLAZE SHIELD II'!$L$7*('CALCULO MORTERO'!I1337^2)+'BLAZE SHIELD II'!$L$8*'CALCULO MORTERO'!I1337+'BLAZE SHIELD II'!$L$9)),0)+IF(AND(L1337="Blaze Shield II",M1337="Software Idiem",C1337="IN",G1337=3),((('BLAZE SHIELD II'!$H$14*('CALCULO MORTERO'!I1337^2)+'BLAZE SHIELD II'!$H$15*'CALCULO MORTERO'!I1337+'BLAZE SHIELD II'!$H$16)*LN(J1337))+('BLAZE SHIELD II'!$H$17*('CALCULO MORTERO'!I1337^2)+'BLAZE SHIELD II'!$H$18*'CALCULO MORTERO'!I1337+'BLAZE SHIELD II'!$H$19)),0),0)+ROUND(IF(AND(L1337="Cafco 400",M1337="Software Idiem",C1337="IN",G1337=4),((('CAFCO 400 '!$H$7*(J1337^4)+'CAFCO 400 '!$H$8*(J1337^3)+'CAFCO 400 '!$H$9*(J1337^2)+'CAFCO 400 '!$H$10*J1337+'CAFCO 400 '!$H$11)*U1337^2)+(('CAFCO 400 '!$H$12*(J1337^3)+'CAFCO 400 '!$H$13*(J1337^2)+'CAFCO 400 '!$H$14*J1337+'CAFCO 400 '!$H$15)*U1337)+('CAFCO 400 '!$H$16*(J1337^2)+'CAFCO 400 '!$H$17*J1337+'CAFCO 400 '!$H$18)),0)+IF(AND(L1337="Cafco 400",M1337="Software Idiem",C1337="Cj"),(((('CAFCO 400 '!$D$7*LN(J1337)+'CAFCO 400 '!$D$8)*U1337^2)+(('CAFCO 400 '!$D$9*LN(J1337)+'CAFCO 400 '!$D$10)*U1337)+('CAFCO 400 '!$D$11*LN(J1337)+'CAFCO 400 '!$D$12))),0)+IF(AND(L1337="Cafco 400",M1337="Software Idiem",C1337="C"),((('CAFCO 400 '!$L$7*(J1337^3)+'CAFCO 400 '!$L$8*(J1337^2)+'CAFCO 400 '!$L$9*J1337+'CAFCO 400 '!$L$10)*U1337^2)+(('CAFCO 400 '!$L$11*(J1337^3)+'CAFCO 400 '!$L$12*(J1337^2)+'CAFCO 400 '!$L$13*J1337+'CAFCO 400 '!$L$14)*U1337)+('CAFCO 400 '!$L$15*LN(J1337)+'CAFCO 400 '!$L$16)),0)+IF(AND(L1337="Cafco 400",M1337="Software Idiem",C1337="L"),((('CAFCO 400 '!$L$7*(J1337^3)+'CAFCO 400 '!$L$8*(J1337^2)+'CAFCO 400 '!$L$9*J1337+'CAFCO 400 '!$L$10)*U1337^2)+(('CAFCO 400 '!$L$11*(J1337^3)+'CAFCO 400 '!$L$12*(J1337^2)+'CAFCO 400 '!$L$13*J1337+'CAFCO 400 '!$L$14)*U1337)+('CAFCO 400 '!$L$15*LN(J1337)+'CAFCO 400 '!$L$16)),0)+IF(AND(L1337="Cafco 400",M1337="Software Idiem",C1337="IN",G1337=3),((('CAFCO 400 '!$D$23*(J1337^2)+'CAFCO 400 '!$D$24*(J1337)+'CAFCO 400 '!$D$25)*U1337^2)+(('CAFCO 400 '!$D$26*(J1337^2)+'CAFCO 400 '!$D$27*J1337+'CAFCO 400 '!$D$28)*U1337)+('CAFCO 400 '!$D$29*(J1337^2)+'CAFCO 400 '!$D$30*J1337+'CAFCO 400 '!$D$31)),0),0)+IF(AND(L1337="Cafco 300",J1337&gt;=95,J1337&lt;=240,C1337="Cj",I1337=90),VLOOKUP(T1337,'CAFCO 300 IDIEM TABLAS'!$B$4:$D$23,2,FALSE),0)+IF(AND(L1337="Cafco 300",J1337&gt;=95,J1337&lt;=240,C1337="Cj",I1337=120),VLOOKUP(T1337,'CAFCO 300 IDIEM TABLAS'!$B$4:$D$23,3,FALSE),0)+IF(AND(L1337="Cafco 300",J1337&gt;=95,J1337&lt;=400,G1337=3,C1337="IN",I1337=90),VLOOKUP(T1337,'CAFCO 300 IDIEM TABLAS'!$F$4:$H$35,2,FALSE),0)+IF(AND(L1337="Cafco 300",J1337&gt;=95,J1337&lt;=400,G1337=3,C1337="IN",I1337=120),VLOOKUP(T1337,'CAFCO 300 IDIEM TABLAS'!$F$4:$H$35,3,FALSE),0)+IF(AND(L1337="Cafco 300",J1337&gt;=95,J1337&lt;=450,G1337=4,C1337="IN",I1337=90),VLOOKUP(T1337,'CAFCO 300 IDIEM TABLAS'!$J$4:$L$40,2,FALSE),0)+IF(AND(L1337="Cafco 300",J1337&gt;=95,J1337&lt;=450,G1337=4,C1337="IN",I1337=120),VLOOKUP(T1337,'CAFCO 300 IDIEM TABLAS'!$J$4:$L$40,3,FALSE),0)+IF(AND(M1337="Ensayo Idiem",L1337="Cafco 400",C1337="IN",G1337=4,I1337=90),VLOOKUP(T1337,'CAFCO 400 ENSAYO'!$B$7:$D$43,2,FALSE),0)+IF(AND(M1337="Ensayo Idiem",L1337="Cafco 400",C1337="IN",G1337=4,I1337=120),VLOOKUP(T1337,'CAFCO 400 ENSAYO'!$B$7:$D$43,3,FALSE),0)</f>
        <v>0</v>
      </c>
      <c r="O1337" s="96">
        <f t="shared" si="132"/>
        <v>0</v>
      </c>
      <c r="P1337" s="132" t="str">
        <f t="shared" si="133"/>
        <v>N/A</v>
      </c>
      <c r="Q1337" s="132" t="str">
        <f t="shared" si="134"/>
        <v>N/A</v>
      </c>
      <c r="R1337" s="132" t="str">
        <f t="shared" si="135"/>
        <v>NO CERT.</v>
      </c>
      <c r="S1337" s="132" t="e">
        <f t="shared" si="136"/>
        <v>#N/A</v>
      </c>
      <c r="T1337" s="133" t="e">
        <f>+IF(J1337=LOOKUP(J1337,'CAFCO 300 IDIEM TABLAS'!$J$4:$J$40),'CALCULO MORTERO'!J1337,MROUND('CALCULO MORTERO'!J1337,10))</f>
        <v>#N/A</v>
      </c>
      <c r="U1337" s="134">
        <f t="shared" si="137"/>
        <v>0</v>
      </c>
    </row>
    <row r="1338" spans="1:21" x14ac:dyDescent="0.25">
      <c r="A1338" s="118">
        <f>+CUBICACION!D1332</f>
        <v>0</v>
      </c>
      <c r="B1338" s="819">
        <f>+CUBICACION!E1332</f>
        <v>0</v>
      </c>
      <c r="C1338" s="675">
        <f>+CUBICACION!F1332</f>
        <v>0</v>
      </c>
      <c r="D1338" s="118"/>
      <c r="E1338" s="118"/>
      <c r="F1338" s="820"/>
      <c r="G1338" s="675">
        <f>+CUBICACION!J1332</f>
        <v>0</v>
      </c>
      <c r="H1338" s="118"/>
      <c r="I1338" s="821">
        <f>+CUBICACION!L1332</f>
        <v>0</v>
      </c>
      <c r="J1338" s="64">
        <f>+CUBICACION!M1332</f>
        <v>0</v>
      </c>
      <c r="K1338" s="822" t="str">
        <f>+CUBICACION!N1332</f>
        <v/>
      </c>
      <c r="L1338" s="118">
        <f>+CUBICACION!O1332</f>
        <v>0</v>
      </c>
      <c r="M1338" s="823">
        <f>+CUBICACION!P1332</f>
        <v>0</v>
      </c>
      <c r="N1338" s="902">
        <f>ROUND(IF(AND(L1338="Blaze Shield II",M1338="Software Idiem",C1338="IN",G1338=4),((('BLAZE SHIELD II'!$D$4*('CALCULO MORTERO'!I1338^2)+'BLAZE SHIELD II'!$D$5*'CALCULO MORTERO'!I1338+'BLAZE SHIELD II'!$D$6)*LN(J1338))+('BLAZE SHIELD II'!$D$7*('CALCULO MORTERO'!I1338^2)+'BLAZE SHIELD II'!$D$8*'CALCULO MORTERO'!I1338+'BLAZE SHIELD II'!$D$9)),0)+IF(AND(L1338="Blaze Shield II",M1338="Software Idiem",C1338="Cj"),((('BLAZE SHIELD II'!$H$4*('CALCULO MORTERO'!I1338^2)+'BLAZE SHIELD II'!$H$5*'CALCULO MORTERO'!I1338+'BLAZE SHIELD II'!$H$6)*LN(J1338))+('BLAZE SHIELD II'!$H$7*('CALCULO MORTERO'!I1338^2)+'BLAZE SHIELD II'!$H$8*'CALCULO MORTERO'!I1338+'BLAZE SHIELD II'!$H$9)),0)+IF(AND(L1338="Blaze Shield II",M1338="Software Idiem",C1338="C"),((('BLAZE SHIELD II'!$L$4*('CALCULO MORTERO'!I1338^2)+'BLAZE SHIELD II'!$L$5*'CALCULO MORTERO'!I1338+'BLAZE SHIELD II'!$L$6)*LN(J1338))+('BLAZE SHIELD II'!$L$7*('CALCULO MORTERO'!I1338^2)+'BLAZE SHIELD II'!$L$8*'CALCULO MORTERO'!I1338+'BLAZE SHIELD II'!$L$9)),0)+IF(AND(L1338="Blaze Shield II",M1338="Software Idiem",C1338="L"),((('BLAZE SHIELD II'!$L$4*('CALCULO MORTERO'!I1338^2)+'BLAZE SHIELD II'!$L$5*'CALCULO MORTERO'!I1338+'BLAZE SHIELD II'!$L$6)*LN(J1338))+('BLAZE SHIELD II'!$L$7*('CALCULO MORTERO'!I1338^2)+'BLAZE SHIELD II'!$L$8*'CALCULO MORTERO'!I1338+'BLAZE SHIELD II'!$L$9)),0)+IF(AND(L1338="Blaze Shield II",M1338="Software Idiem",C1338="IN",G1338=3),((('BLAZE SHIELD II'!$H$14*('CALCULO MORTERO'!I1338^2)+'BLAZE SHIELD II'!$H$15*'CALCULO MORTERO'!I1338+'BLAZE SHIELD II'!$H$16)*LN(J1338))+('BLAZE SHIELD II'!$H$17*('CALCULO MORTERO'!I1338^2)+'BLAZE SHIELD II'!$H$18*'CALCULO MORTERO'!I1338+'BLAZE SHIELD II'!$H$19)),0),0)+ROUND(IF(AND(L1338="Cafco 400",M1338="Software Idiem",C1338="IN",G1338=4),((('CAFCO 400 '!$H$7*(J1338^4)+'CAFCO 400 '!$H$8*(J1338^3)+'CAFCO 400 '!$H$9*(J1338^2)+'CAFCO 400 '!$H$10*J1338+'CAFCO 400 '!$H$11)*U1338^2)+(('CAFCO 400 '!$H$12*(J1338^3)+'CAFCO 400 '!$H$13*(J1338^2)+'CAFCO 400 '!$H$14*J1338+'CAFCO 400 '!$H$15)*U1338)+('CAFCO 400 '!$H$16*(J1338^2)+'CAFCO 400 '!$H$17*J1338+'CAFCO 400 '!$H$18)),0)+IF(AND(L1338="Cafco 400",M1338="Software Idiem",C1338="Cj"),(((('CAFCO 400 '!$D$7*LN(J1338)+'CAFCO 400 '!$D$8)*U1338^2)+(('CAFCO 400 '!$D$9*LN(J1338)+'CAFCO 400 '!$D$10)*U1338)+('CAFCO 400 '!$D$11*LN(J1338)+'CAFCO 400 '!$D$12))),0)+IF(AND(L1338="Cafco 400",M1338="Software Idiem",C1338="C"),((('CAFCO 400 '!$L$7*(J1338^3)+'CAFCO 400 '!$L$8*(J1338^2)+'CAFCO 400 '!$L$9*J1338+'CAFCO 400 '!$L$10)*U1338^2)+(('CAFCO 400 '!$L$11*(J1338^3)+'CAFCO 400 '!$L$12*(J1338^2)+'CAFCO 400 '!$L$13*J1338+'CAFCO 400 '!$L$14)*U1338)+('CAFCO 400 '!$L$15*LN(J1338)+'CAFCO 400 '!$L$16)),0)+IF(AND(L1338="Cafco 400",M1338="Software Idiem",C1338="L"),((('CAFCO 400 '!$L$7*(J1338^3)+'CAFCO 400 '!$L$8*(J1338^2)+'CAFCO 400 '!$L$9*J1338+'CAFCO 400 '!$L$10)*U1338^2)+(('CAFCO 400 '!$L$11*(J1338^3)+'CAFCO 400 '!$L$12*(J1338^2)+'CAFCO 400 '!$L$13*J1338+'CAFCO 400 '!$L$14)*U1338)+('CAFCO 400 '!$L$15*LN(J1338)+'CAFCO 400 '!$L$16)),0)+IF(AND(L1338="Cafco 400",M1338="Software Idiem",C1338="IN",G1338=3),((('CAFCO 400 '!$D$23*(J1338^2)+'CAFCO 400 '!$D$24*(J1338)+'CAFCO 400 '!$D$25)*U1338^2)+(('CAFCO 400 '!$D$26*(J1338^2)+'CAFCO 400 '!$D$27*J1338+'CAFCO 400 '!$D$28)*U1338)+('CAFCO 400 '!$D$29*(J1338^2)+'CAFCO 400 '!$D$30*J1338+'CAFCO 400 '!$D$31)),0),0)+IF(AND(L1338="Cafco 300",J1338&gt;=95,J1338&lt;=240,C1338="Cj",I1338=90),VLOOKUP(T1338,'CAFCO 300 IDIEM TABLAS'!$B$4:$D$23,2,FALSE),0)+IF(AND(L1338="Cafco 300",J1338&gt;=95,J1338&lt;=240,C1338="Cj",I1338=120),VLOOKUP(T1338,'CAFCO 300 IDIEM TABLAS'!$B$4:$D$23,3,FALSE),0)+IF(AND(L1338="Cafco 300",J1338&gt;=95,J1338&lt;=400,G1338=3,C1338="IN",I1338=90),VLOOKUP(T1338,'CAFCO 300 IDIEM TABLAS'!$F$4:$H$35,2,FALSE),0)+IF(AND(L1338="Cafco 300",J1338&gt;=95,J1338&lt;=400,G1338=3,C1338="IN",I1338=120),VLOOKUP(T1338,'CAFCO 300 IDIEM TABLAS'!$F$4:$H$35,3,FALSE),0)+IF(AND(L1338="Cafco 300",J1338&gt;=95,J1338&lt;=450,G1338=4,C1338="IN",I1338=90),VLOOKUP(T1338,'CAFCO 300 IDIEM TABLAS'!$J$4:$L$40,2,FALSE),0)+IF(AND(L1338="Cafco 300",J1338&gt;=95,J1338&lt;=450,G1338=4,C1338="IN",I1338=120),VLOOKUP(T1338,'CAFCO 300 IDIEM TABLAS'!$J$4:$L$40,3,FALSE),0)+IF(AND(M1338="Ensayo Idiem",L1338="Cafco 400",C1338="IN",G1338=4,I1338=90),VLOOKUP(T1338,'CAFCO 400 ENSAYO'!$B$7:$D$43,2,FALSE),0)+IF(AND(M1338="Ensayo Idiem",L1338="Cafco 400",C1338="IN",G1338=4,I1338=120),VLOOKUP(T1338,'CAFCO 400 ENSAYO'!$B$7:$D$43,3,FALSE),0)</f>
        <v>0</v>
      </c>
      <c r="O1338" s="96">
        <f t="shared" si="132"/>
        <v>0</v>
      </c>
      <c r="P1338" s="95" t="str">
        <f t="shared" si="133"/>
        <v>N/A</v>
      </c>
      <c r="Q1338" s="95" t="str">
        <f t="shared" si="134"/>
        <v>N/A</v>
      </c>
      <c r="R1338" s="95" t="str">
        <f t="shared" si="135"/>
        <v>NO CERT.</v>
      </c>
      <c r="S1338" s="95" t="e">
        <f t="shared" si="136"/>
        <v>#N/A</v>
      </c>
      <c r="T1338" s="119" t="e">
        <f>+IF(J1338=LOOKUP(J1338,'CAFCO 300 IDIEM TABLAS'!$J$4:$J$40),'CALCULO MORTERO'!J1338,MROUND('CALCULO MORTERO'!J1338,10))</f>
        <v>#N/A</v>
      </c>
      <c r="U1338" s="118">
        <f t="shared" si="137"/>
        <v>0</v>
      </c>
    </row>
    <row r="1339" spans="1:21" x14ac:dyDescent="0.25">
      <c r="A1339" s="118">
        <f>+CUBICACION!D1333</f>
        <v>0</v>
      </c>
      <c r="B1339" s="819">
        <f>+CUBICACION!E1333</f>
        <v>0</v>
      </c>
      <c r="C1339" s="675">
        <f>+CUBICACION!F1333</f>
        <v>0</v>
      </c>
      <c r="D1339" s="118"/>
      <c r="E1339" s="118"/>
      <c r="F1339" s="820"/>
      <c r="G1339" s="675">
        <f>+CUBICACION!J1333</f>
        <v>0</v>
      </c>
      <c r="H1339" s="118"/>
      <c r="I1339" s="821">
        <f>+CUBICACION!L1333</f>
        <v>0</v>
      </c>
      <c r="J1339" s="64">
        <f>+CUBICACION!M1333</f>
        <v>0</v>
      </c>
      <c r="K1339" s="822" t="str">
        <f>+CUBICACION!N1333</f>
        <v/>
      </c>
      <c r="L1339" s="118">
        <f>+CUBICACION!O1333</f>
        <v>0</v>
      </c>
      <c r="M1339" s="823">
        <f>+CUBICACION!P1333</f>
        <v>0</v>
      </c>
      <c r="N1339" s="902">
        <f>ROUND(IF(AND(L1339="Blaze Shield II",M1339="Software Idiem",C1339="IN",G1339=4),((('BLAZE SHIELD II'!$D$4*('CALCULO MORTERO'!I1339^2)+'BLAZE SHIELD II'!$D$5*'CALCULO MORTERO'!I1339+'BLAZE SHIELD II'!$D$6)*LN(J1339))+('BLAZE SHIELD II'!$D$7*('CALCULO MORTERO'!I1339^2)+'BLAZE SHIELD II'!$D$8*'CALCULO MORTERO'!I1339+'BLAZE SHIELD II'!$D$9)),0)+IF(AND(L1339="Blaze Shield II",M1339="Software Idiem",C1339="Cj"),((('BLAZE SHIELD II'!$H$4*('CALCULO MORTERO'!I1339^2)+'BLAZE SHIELD II'!$H$5*'CALCULO MORTERO'!I1339+'BLAZE SHIELD II'!$H$6)*LN(J1339))+('BLAZE SHIELD II'!$H$7*('CALCULO MORTERO'!I1339^2)+'BLAZE SHIELD II'!$H$8*'CALCULO MORTERO'!I1339+'BLAZE SHIELD II'!$H$9)),0)+IF(AND(L1339="Blaze Shield II",M1339="Software Idiem",C1339="C"),((('BLAZE SHIELD II'!$L$4*('CALCULO MORTERO'!I1339^2)+'BLAZE SHIELD II'!$L$5*'CALCULO MORTERO'!I1339+'BLAZE SHIELD II'!$L$6)*LN(J1339))+('BLAZE SHIELD II'!$L$7*('CALCULO MORTERO'!I1339^2)+'BLAZE SHIELD II'!$L$8*'CALCULO MORTERO'!I1339+'BLAZE SHIELD II'!$L$9)),0)+IF(AND(L1339="Blaze Shield II",M1339="Software Idiem",C1339="L"),((('BLAZE SHIELD II'!$L$4*('CALCULO MORTERO'!I1339^2)+'BLAZE SHIELD II'!$L$5*'CALCULO MORTERO'!I1339+'BLAZE SHIELD II'!$L$6)*LN(J1339))+('BLAZE SHIELD II'!$L$7*('CALCULO MORTERO'!I1339^2)+'BLAZE SHIELD II'!$L$8*'CALCULO MORTERO'!I1339+'BLAZE SHIELD II'!$L$9)),0)+IF(AND(L1339="Blaze Shield II",M1339="Software Idiem",C1339="IN",G1339=3),((('BLAZE SHIELD II'!$H$14*('CALCULO MORTERO'!I1339^2)+'BLAZE SHIELD II'!$H$15*'CALCULO MORTERO'!I1339+'BLAZE SHIELD II'!$H$16)*LN(J1339))+('BLAZE SHIELD II'!$H$17*('CALCULO MORTERO'!I1339^2)+'BLAZE SHIELD II'!$H$18*'CALCULO MORTERO'!I1339+'BLAZE SHIELD II'!$H$19)),0),0)+ROUND(IF(AND(L1339="Cafco 400",M1339="Software Idiem",C1339="IN",G1339=4),((('CAFCO 400 '!$H$7*(J1339^4)+'CAFCO 400 '!$H$8*(J1339^3)+'CAFCO 400 '!$H$9*(J1339^2)+'CAFCO 400 '!$H$10*J1339+'CAFCO 400 '!$H$11)*U1339^2)+(('CAFCO 400 '!$H$12*(J1339^3)+'CAFCO 400 '!$H$13*(J1339^2)+'CAFCO 400 '!$H$14*J1339+'CAFCO 400 '!$H$15)*U1339)+('CAFCO 400 '!$H$16*(J1339^2)+'CAFCO 400 '!$H$17*J1339+'CAFCO 400 '!$H$18)),0)+IF(AND(L1339="Cafco 400",M1339="Software Idiem",C1339="Cj"),(((('CAFCO 400 '!$D$7*LN(J1339)+'CAFCO 400 '!$D$8)*U1339^2)+(('CAFCO 400 '!$D$9*LN(J1339)+'CAFCO 400 '!$D$10)*U1339)+('CAFCO 400 '!$D$11*LN(J1339)+'CAFCO 400 '!$D$12))),0)+IF(AND(L1339="Cafco 400",M1339="Software Idiem",C1339="C"),((('CAFCO 400 '!$L$7*(J1339^3)+'CAFCO 400 '!$L$8*(J1339^2)+'CAFCO 400 '!$L$9*J1339+'CAFCO 400 '!$L$10)*U1339^2)+(('CAFCO 400 '!$L$11*(J1339^3)+'CAFCO 400 '!$L$12*(J1339^2)+'CAFCO 400 '!$L$13*J1339+'CAFCO 400 '!$L$14)*U1339)+('CAFCO 400 '!$L$15*LN(J1339)+'CAFCO 400 '!$L$16)),0)+IF(AND(L1339="Cafco 400",M1339="Software Idiem",C1339="L"),((('CAFCO 400 '!$L$7*(J1339^3)+'CAFCO 400 '!$L$8*(J1339^2)+'CAFCO 400 '!$L$9*J1339+'CAFCO 400 '!$L$10)*U1339^2)+(('CAFCO 400 '!$L$11*(J1339^3)+'CAFCO 400 '!$L$12*(J1339^2)+'CAFCO 400 '!$L$13*J1339+'CAFCO 400 '!$L$14)*U1339)+('CAFCO 400 '!$L$15*LN(J1339)+'CAFCO 400 '!$L$16)),0)+IF(AND(L1339="Cafco 400",M1339="Software Idiem",C1339="IN",G1339=3),((('CAFCO 400 '!$D$23*(J1339^2)+'CAFCO 400 '!$D$24*(J1339)+'CAFCO 400 '!$D$25)*U1339^2)+(('CAFCO 400 '!$D$26*(J1339^2)+'CAFCO 400 '!$D$27*J1339+'CAFCO 400 '!$D$28)*U1339)+('CAFCO 400 '!$D$29*(J1339^2)+'CAFCO 400 '!$D$30*J1339+'CAFCO 400 '!$D$31)),0),0)+IF(AND(L1339="Cafco 300",J1339&gt;=95,J1339&lt;=240,C1339="Cj",I1339=90),VLOOKUP(T1339,'CAFCO 300 IDIEM TABLAS'!$B$4:$D$23,2,FALSE),0)+IF(AND(L1339="Cafco 300",J1339&gt;=95,J1339&lt;=240,C1339="Cj",I1339=120),VLOOKUP(T1339,'CAFCO 300 IDIEM TABLAS'!$B$4:$D$23,3,FALSE),0)+IF(AND(L1339="Cafco 300",J1339&gt;=95,J1339&lt;=400,G1339=3,C1339="IN",I1339=90),VLOOKUP(T1339,'CAFCO 300 IDIEM TABLAS'!$F$4:$H$35,2,FALSE),0)+IF(AND(L1339="Cafco 300",J1339&gt;=95,J1339&lt;=400,G1339=3,C1339="IN",I1339=120),VLOOKUP(T1339,'CAFCO 300 IDIEM TABLAS'!$F$4:$H$35,3,FALSE),0)+IF(AND(L1339="Cafco 300",J1339&gt;=95,J1339&lt;=450,G1339=4,C1339="IN",I1339=90),VLOOKUP(T1339,'CAFCO 300 IDIEM TABLAS'!$J$4:$L$40,2,FALSE),0)+IF(AND(L1339="Cafco 300",J1339&gt;=95,J1339&lt;=450,G1339=4,C1339="IN",I1339=120),VLOOKUP(T1339,'CAFCO 300 IDIEM TABLAS'!$J$4:$L$40,3,FALSE),0)+IF(AND(M1339="Ensayo Idiem",L1339="Cafco 400",C1339="IN",G1339=4,I1339=90),VLOOKUP(T1339,'CAFCO 400 ENSAYO'!$B$7:$D$43,2,FALSE),0)+IF(AND(M1339="Ensayo Idiem",L1339="Cafco 400",C1339="IN",G1339=4,I1339=120),VLOOKUP(T1339,'CAFCO 400 ENSAYO'!$B$7:$D$43,3,FALSE),0)</f>
        <v>0</v>
      </c>
      <c r="O1339" s="96">
        <f t="shared" si="132"/>
        <v>0</v>
      </c>
      <c r="P1339" s="132" t="str">
        <f t="shared" si="133"/>
        <v>N/A</v>
      </c>
      <c r="Q1339" s="132" t="str">
        <f t="shared" si="134"/>
        <v>N/A</v>
      </c>
      <c r="R1339" s="132" t="str">
        <f t="shared" si="135"/>
        <v>NO CERT.</v>
      </c>
      <c r="S1339" s="132" t="e">
        <f t="shared" si="136"/>
        <v>#N/A</v>
      </c>
      <c r="T1339" s="133" t="e">
        <f>+IF(J1339=LOOKUP(J1339,'CAFCO 300 IDIEM TABLAS'!$J$4:$J$40),'CALCULO MORTERO'!J1339,MROUND('CALCULO MORTERO'!J1339,10))</f>
        <v>#N/A</v>
      </c>
      <c r="U1339" s="134">
        <f t="shared" si="137"/>
        <v>0</v>
      </c>
    </row>
    <row r="1340" spans="1:21" x14ac:dyDescent="0.25">
      <c r="A1340" s="118">
        <f>+CUBICACION!D1334</f>
        <v>0</v>
      </c>
      <c r="B1340" s="819">
        <f>+CUBICACION!E1334</f>
        <v>0</v>
      </c>
      <c r="C1340" s="675">
        <f>+CUBICACION!F1334</f>
        <v>0</v>
      </c>
      <c r="D1340" s="118"/>
      <c r="E1340" s="118"/>
      <c r="F1340" s="820"/>
      <c r="G1340" s="675">
        <f>+CUBICACION!J1334</f>
        <v>0</v>
      </c>
      <c r="H1340" s="118"/>
      <c r="I1340" s="821">
        <f>+CUBICACION!L1334</f>
        <v>0</v>
      </c>
      <c r="J1340" s="64">
        <f>+CUBICACION!M1334</f>
        <v>0</v>
      </c>
      <c r="K1340" s="822" t="str">
        <f>+CUBICACION!N1334</f>
        <v/>
      </c>
      <c r="L1340" s="118">
        <f>+CUBICACION!O1334</f>
        <v>0</v>
      </c>
      <c r="M1340" s="823">
        <f>+CUBICACION!P1334</f>
        <v>0</v>
      </c>
      <c r="N1340" s="902">
        <f>ROUND(IF(AND(L1340="Blaze Shield II",M1340="Software Idiem",C1340="IN",G1340=4),((('BLAZE SHIELD II'!$D$4*('CALCULO MORTERO'!I1340^2)+'BLAZE SHIELD II'!$D$5*'CALCULO MORTERO'!I1340+'BLAZE SHIELD II'!$D$6)*LN(J1340))+('BLAZE SHIELD II'!$D$7*('CALCULO MORTERO'!I1340^2)+'BLAZE SHIELD II'!$D$8*'CALCULO MORTERO'!I1340+'BLAZE SHIELD II'!$D$9)),0)+IF(AND(L1340="Blaze Shield II",M1340="Software Idiem",C1340="Cj"),((('BLAZE SHIELD II'!$H$4*('CALCULO MORTERO'!I1340^2)+'BLAZE SHIELD II'!$H$5*'CALCULO MORTERO'!I1340+'BLAZE SHIELD II'!$H$6)*LN(J1340))+('BLAZE SHIELD II'!$H$7*('CALCULO MORTERO'!I1340^2)+'BLAZE SHIELD II'!$H$8*'CALCULO MORTERO'!I1340+'BLAZE SHIELD II'!$H$9)),0)+IF(AND(L1340="Blaze Shield II",M1340="Software Idiem",C1340="C"),((('BLAZE SHIELD II'!$L$4*('CALCULO MORTERO'!I1340^2)+'BLAZE SHIELD II'!$L$5*'CALCULO MORTERO'!I1340+'BLAZE SHIELD II'!$L$6)*LN(J1340))+('BLAZE SHIELD II'!$L$7*('CALCULO MORTERO'!I1340^2)+'BLAZE SHIELD II'!$L$8*'CALCULO MORTERO'!I1340+'BLAZE SHIELD II'!$L$9)),0)+IF(AND(L1340="Blaze Shield II",M1340="Software Idiem",C1340="L"),((('BLAZE SHIELD II'!$L$4*('CALCULO MORTERO'!I1340^2)+'BLAZE SHIELD II'!$L$5*'CALCULO MORTERO'!I1340+'BLAZE SHIELD II'!$L$6)*LN(J1340))+('BLAZE SHIELD II'!$L$7*('CALCULO MORTERO'!I1340^2)+'BLAZE SHIELD II'!$L$8*'CALCULO MORTERO'!I1340+'BLAZE SHIELD II'!$L$9)),0)+IF(AND(L1340="Blaze Shield II",M1340="Software Idiem",C1340="IN",G1340=3),((('BLAZE SHIELD II'!$H$14*('CALCULO MORTERO'!I1340^2)+'BLAZE SHIELD II'!$H$15*'CALCULO MORTERO'!I1340+'BLAZE SHIELD II'!$H$16)*LN(J1340))+('BLAZE SHIELD II'!$H$17*('CALCULO MORTERO'!I1340^2)+'BLAZE SHIELD II'!$H$18*'CALCULO MORTERO'!I1340+'BLAZE SHIELD II'!$H$19)),0),0)+ROUND(IF(AND(L1340="Cafco 400",M1340="Software Idiem",C1340="IN",G1340=4),((('CAFCO 400 '!$H$7*(J1340^4)+'CAFCO 400 '!$H$8*(J1340^3)+'CAFCO 400 '!$H$9*(J1340^2)+'CAFCO 400 '!$H$10*J1340+'CAFCO 400 '!$H$11)*U1340^2)+(('CAFCO 400 '!$H$12*(J1340^3)+'CAFCO 400 '!$H$13*(J1340^2)+'CAFCO 400 '!$H$14*J1340+'CAFCO 400 '!$H$15)*U1340)+('CAFCO 400 '!$H$16*(J1340^2)+'CAFCO 400 '!$H$17*J1340+'CAFCO 400 '!$H$18)),0)+IF(AND(L1340="Cafco 400",M1340="Software Idiem",C1340="Cj"),(((('CAFCO 400 '!$D$7*LN(J1340)+'CAFCO 400 '!$D$8)*U1340^2)+(('CAFCO 400 '!$D$9*LN(J1340)+'CAFCO 400 '!$D$10)*U1340)+('CAFCO 400 '!$D$11*LN(J1340)+'CAFCO 400 '!$D$12))),0)+IF(AND(L1340="Cafco 400",M1340="Software Idiem",C1340="C"),((('CAFCO 400 '!$L$7*(J1340^3)+'CAFCO 400 '!$L$8*(J1340^2)+'CAFCO 400 '!$L$9*J1340+'CAFCO 400 '!$L$10)*U1340^2)+(('CAFCO 400 '!$L$11*(J1340^3)+'CAFCO 400 '!$L$12*(J1340^2)+'CAFCO 400 '!$L$13*J1340+'CAFCO 400 '!$L$14)*U1340)+('CAFCO 400 '!$L$15*LN(J1340)+'CAFCO 400 '!$L$16)),0)+IF(AND(L1340="Cafco 400",M1340="Software Idiem",C1340="L"),((('CAFCO 400 '!$L$7*(J1340^3)+'CAFCO 400 '!$L$8*(J1340^2)+'CAFCO 400 '!$L$9*J1340+'CAFCO 400 '!$L$10)*U1340^2)+(('CAFCO 400 '!$L$11*(J1340^3)+'CAFCO 400 '!$L$12*(J1340^2)+'CAFCO 400 '!$L$13*J1340+'CAFCO 400 '!$L$14)*U1340)+('CAFCO 400 '!$L$15*LN(J1340)+'CAFCO 400 '!$L$16)),0)+IF(AND(L1340="Cafco 400",M1340="Software Idiem",C1340="IN",G1340=3),((('CAFCO 400 '!$D$23*(J1340^2)+'CAFCO 400 '!$D$24*(J1340)+'CAFCO 400 '!$D$25)*U1340^2)+(('CAFCO 400 '!$D$26*(J1340^2)+'CAFCO 400 '!$D$27*J1340+'CAFCO 400 '!$D$28)*U1340)+('CAFCO 400 '!$D$29*(J1340^2)+'CAFCO 400 '!$D$30*J1340+'CAFCO 400 '!$D$31)),0),0)+IF(AND(L1340="Cafco 300",J1340&gt;=95,J1340&lt;=240,C1340="Cj",I1340=90),VLOOKUP(T1340,'CAFCO 300 IDIEM TABLAS'!$B$4:$D$23,2,FALSE),0)+IF(AND(L1340="Cafco 300",J1340&gt;=95,J1340&lt;=240,C1340="Cj",I1340=120),VLOOKUP(T1340,'CAFCO 300 IDIEM TABLAS'!$B$4:$D$23,3,FALSE),0)+IF(AND(L1340="Cafco 300",J1340&gt;=95,J1340&lt;=400,G1340=3,C1340="IN",I1340=90),VLOOKUP(T1340,'CAFCO 300 IDIEM TABLAS'!$F$4:$H$35,2,FALSE),0)+IF(AND(L1340="Cafco 300",J1340&gt;=95,J1340&lt;=400,G1340=3,C1340="IN",I1340=120),VLOOKUP(T1340,'CAFCO 300 IDIEM TABLAS'!$F$4:$H$35,3,FALSE),0)+IF(AND(L1340="Cafco 300",J1340&gt;=95,J1340&lt;=450,G1340=4,C1340="IN",I1340=90),VLOOKUP(T1340,'CAFCO 300 IDIEM TABLAS'!$J$4:$L$40,2,FALSE),0)+IF(AND(L1340="Cafco 300",J1340&gt;=95,J1340&lt;=450,G1340=4,C1340="IN",I1340=120),VLOOKUP(T1340,'CAFCO 300 IDIEM TABLAS'!$J$4:$L$40,3,FALSE),0)+IF(AND(M1340="Ensayo Idiem",L1340="Cafco 400",C1340="IN",G1340=4,I1340=90),VLOOKUP(T1340,'CAFCO 400 ENSAYO'!$B$7:$D$43,2,FALSE),0)+IF(AND(M1340="Ensayo Idiem",L1340="Cafco 400",C1340="IN",G1340=4,I1340=120),VLOOKUP(T1340,'CAFCO 400 ENSAYO'!$B$7:$D$43,3,FALSE),0)</f>
        <v>0</v>
      </c>
      <c r="O1340" s="96">
        <f t="shared" si="132"/>
        <v>0</v>
      </c>
      <c r="P1340" s="95" t="str">
        <f t="shared" si="133"/>
        <v>N/A</v>
      </c>
      <c r="Q1340" s="95" t="str">
        <f t="shared" si="134"/>
        <v>N/A</v>
      </c>
      <c r="R1340" s="95" t="str">
        <f t="shared" si="135"/>
        <v>NO CERT.</v>
      </c>
      <c r="S1340" s="95" t="e">
        <f t="shared" si="136"/>
        <v>#N/A</v>
      </c>
      <c r="T1340" s="119" t="e">
        <f>+IF(J1340=LOOKUP(J1340,'CAFCO 300 IDIEM TABLAS'!$J$4:$J$40),'CALCULO MORTERO'!J1340,MROUND('CALCULO MORTERO'!J1340,10))</f>
        <v>#N/A</v>
      </c>
      <c r="U1340" s="118">
        <f t="shared" si="137"/>
        <v>0</v>
      </c>
    </row>
    <row r="1341" spans="1:21" x14ac:dyDescent="0.25">
      <c r="A1341" s="118">
        <f>+CUBICACION!D1335</f>
        <v>0</v>
      </c>
      <c r="B1341" s="819">
        <f>+CUBICACION!E1335</f>
        <v>0</v>
      </c>
      <c r="C1341" s="675">
        <f>+CUBICACION!F1335</f>
        <v>0</v>
      </c>
      <c r="D1341" s="118"/>
      <c r="E1341" s="118"/>
      <c r="F1341" s="820"/>
      <c r="G1341" s="675">
        <f>+CUBICACION!J1335</f>
        <v>0</v>
      </c>
      <c r="H1341" s="118"/>
      <c r="I1341" s="821">
        <f>+CUBICACION!L1335</f>
        <v>0</v>
      </c>
      <c r="J1341" s="64">
        <f>+CUBICACION!M1335</f>
        <v>0</v>
      </c>
      <c r="K1341" s="822" t="str">
        <f>+CUBICACION!N1335</f>
        <v/>
      </c>
      <c r="L1341" s="118">
        <f>+CUBICACION!O1335</f>
        <v>0</v>
      </c>
      <c r="M1341" s="823">
        <f>+CUBICACION!P1335</f>
        <v>0</v>
      </c>
      <c r="N1341" s="902">
        <f>ROUND(IF(AND(L1341="Blaze Shield II",M1341="Software Idiem",C1341="IN",G1341=4),((('BLAZE SHIELD II'!$D$4*('CALCULO MORTERO'!I1341^2)+'BLAZE SHIELD II'!$D$5*'CALCULO MORTERO'!I1341+'BLAZE SHIELD II'!$D$6)*LN(J1341))+('BLAZE SHIELD II'!$D$7*('CALCULO MORTERO'!I1341^2)+'BLAZE SHIELD II'!$D$8*'CALCULO MORTERO'!I1341+'BLAZE SHIELD II'!$D$9)),0)+IF(AND(L1341="Blaze Shield II",M1341="Software Idiem",C1341="Cj"),((('BLAZE SHIELD II'!$H$4*('CALCULO MORTERO'!I1341^2)+'BLAZE SHIELD II'!$H$5*'CALCULO MORTERO'!I1341+'BLAZE SHIELD II'!$H$6)*LN(J1341))+('BLAZE SHIELD II'!$H$7*('CALCULO MORTERO'!I1341^2)+'BLAZE SHIELD II'!$H$8*'CALCULO MORTERO'!I1341+'BLAZE SHIELD II'!$H$9)),0)+IF(AND(L1341="Blaze Shield II",M1341="Software Idiem",C1341="C"),((('BLAZE SHIELD II'!$L$4*('CALCULO MORTERO'!I1341^2)+'BLAZE SHIELD II'!$L$5*'CALCULO MORTERO'!I1341+'BLAZE SHIELD II'!$L$6)*LN(J1341))+('BLAZE SHIELD II'!$L$7*('CALCULO MORTERO'!I1341^2)+'BLAZE SHIELD II'!$L$8*'CALCULO MORTERO'!I1341+'BLAZE SHIELD II'!$L$9)),0)+IF(AND(L1341="Blaze Shield II",M1341="Software Idiem",C1341="L"),((('BLAZE SHIELD II'!$L$4*('CALCULO MORTERO'!I1341^2)+'BLAZE SHIELD II'!$L$5*'CALCULO MORTERO'!I1341+'BLAZE SHIELD II'!$L$6)*LN(J1341))+('BLAZE SHIELD II'!$L$7*('CALCULO MORTERO'!I1341^2)+'BLAZE SHIELD II'!$L$8*'CALCULO MORTERO'!I1341+'BLAZE SHIELD II'!$L$9)),0)+IF(AND(L1341="Blaze Shield II",M1341="Software Idiem",C1341="IN",G1341=3),((('BLAZE SHIELD II'!$H$14*('CALCULO MORTERO'!I1341^2)+'BLAZE SHIELD II'!$H$15*'CALCULO MORTERO'!I1341+'BLAZE SHIELD II'!$H$16)*LN(J1341))+('BLAZE SHIELD II'!$H$17*('CALCULO MORTERO'!I1341^2)+'BLAZE SHIELD II'!$H$18*'CALCULO MORTERO'!I1341+'BLAZE SHIELD II'!$H$19)),0),0)+ROUND(IF(AND(L1341="Cafco 400",M1341="Software Idiem",C1341="IN",G1341=4),((('CAFCO 400 '!$H$7*(J1341^4)+'CAFCO 400 '!$H$8*(J1341^3)+'CAFCO 400 '!$H$9*(J1341^2)+'CAFCO 400 '!$H$10*J1341+'CAFCO 400 '!$H$11)*U1341^2)+(('CAFCO 400 '!$H$12*(J1341^3)+'CAFCO 400 '!$H$13*(J1341^2)+'CAFCO 400 '!$H$14*J1341+'CAFCO 400 '!$H$15)*U1341)+('CAFCO 400 '!$H$16*(J1341^2)+'CAFCO 400 '!$H$17*J1341+'CAFCO 400 '!$H$18)),0)+IF(AND(L1341="Cafco 400",M1341="Software Idiem",C1341="Cj"),(((('CAFCO 400 '!$D$7*LN(J1341)+'CAFCO 400 '!$D$8)*U1341^2)+(('CAFCO 400 '!$D$9*LN(J1341)+'CAFCO 400 '!$D$10)*U1341)+('CAFCO 400 '!$D$11*LN(J1341)+'CAFCO 400 '!$D$12))),0)+IF(AND(L1341="Cafco 400",M1341="Software Idiem",C1341="C"),((('CAFCO 400 '!$L$7*(J1341^3)+'CAFCO 400 '!$L$8*(J1341^2)+'CAFCO 400 '!$L$9*J1341+'CAFCO 400 '!$L$10)*U1341^2)+(('CAFCO 400 '!$L$11*(J1341^3)+'CAFCO 400 '!$L$12*(J1341^2)+'CAFCO 400 '!$L$13*J1341+'CAFCO 400 '!$L$14)*U1341)+('CAFCO 400 '!$L$15*LN(J1341)+'CAFCO 400 '!$L$16)),0)+IF(AND(L1341="Cafco 400",M1341="Software Idiem",C1341="L"),((('CAFCO 400 '!$L$7*(J1341^3)+'CAFCO 400 '!$L$8*(J1341^2)+'CAFCO 400 '!$L$9*J1341+'CAFCO 400 '!$L$10)*U1341^2)+(('CAFCO 400 '!$L$11*(J1341^3)+'CAFCO 400 '!$L$12*(J1341^2)+'CAFCO 400 '!$L$13*J1341+'CAFCO 400 '!$L$14)*U1341)+('CAFCO 400 '!$L$15*LN(J1341)+'CAFCO 400 '!$L$16)),0)+IF(AND(L1341="Cafco 400",M1341="Software Idiem",C1341="IN",G1341=3),((('CAFCO 400 '!$D$23*(J1341^2)+'CAFCO 400 '!$D$24*(J1341)+'CAFCO 400 '!$D$25)*U1341^2)+(('CAFCO 400 '!$D$26*(J1341^2)+'CAFCO 400 '!$D$27*J1341+'CAFCO 400 '!$D$28)*U1341)+('CAFCO 400 '!$D$29*(J1341^2)+'CAFCO 400 '!$D$30*J1341+'CAFCO 400 '!$D$31)),0),0)+IF(AND(L1341="Cafco 300",J1341&gt;=95,J1341&lt;=240,C1341="Cj",I1341=90),VLOOKUP(T1341,'CAFCO 300 IDIEM TABLAS'!$B$4:$D$23,2,FALSE),0)+IF(AND(L1341="Cafco 300",J1341&gt;=95,J1341&lt;=240,C1341="Cj",I1341=120),VLOOKUP(T1341,'CAFCO 300 IDIEM TABLAS'!$B$4:$D$23,3,FALSE),0)+IF(AND(L1341="Cafco 300",J1341&gt;=95,J1341&lt;=400,G1341=3,C1341="IN",I1341=90),VLOOKUP(T1341,'CAFCO 300 IDIEM TABLAS'!$F$4:$H$35,2,FALSE),0)+IF(AND(L1341="Cafco 300",J1341&gt;=95,J1341&lt;=400,G1341=3,C1341="IN",I1341=120),VLOOKUP(T1341,'CAFCO 300 IDIEM TABLAS'!$F$4:$H$35,3,FALSE),0)+IF(AND(L1341="Cafco 300",J1341&gt;=95,J1341&lt;=450,G1341=4,C1341="IN",I1341=90),VLOOKUP(T1341,'CAFCO 300 IDIEM TABLAS'!$J$4:$L$40,2,FALSE),0)+IF(AND(L1341="Cafco 300",J1341&gt;=95,J1341&lt;=450,G1341=4,C1341="IN",I1341=120),VLOOKUP(T1341,'CAFCO 300 IDIEM TABLAS'!$J$4:$L$40,3,FALSE),0)+IF(AND(M1341="Ensayo Idiem",L1341="Cafco 400",C1341="IN",G1341=4,I1341=90),VLOOKUP(T1341,'CAFCO 400 ENSAYO'!$B$7:$D$43,2,FALSE),0)+IF(AND(M1341="Ensayo Idiem",L1341="Cafco 400",C1341="IN",G1341=4,I1341=120),VLOOKUP(T1341,'CAFCO 400 ENSAYO'!$B$7:$D$43,3,FALSE),0)</f>
        <v>0</v>
      </c>
      <c r="O1341" s="96">
        <f t="shared" si="132"/>
        <v>0</v>
      </c>
      <c r="P1341" s="132" t="str">
        <f t="shared" si="133"/>
        <v>N/A</v>
      </c>
      <c r="Q1341" s="132" t="str">
        <f t="shared" si="134"/>
        <v>N/A</v>
      </c>
      <c r="R1341" s="132" t="str">
        <f t="shared" si="135"/>
        <v>NO CERT.</v>
      </c>
      <c r="S1341" s="132" t="e">
        <f t="shared" si="136"/>
        <v>#N/A</v>
      </c>
      <c r="T1341" s="133" t="e">
        <f>+IF(J1341=LOOKUP(J1341,'CAFCO 300 IDIEM TABLAS'!$J$4:$J$40),'CALCULO MORTERO'!J1341,MROUND('CALCULO MORTERO'!J1341,10))</f>
        <v>#N/A</v>
      </c>
      <c r="U1341" s="134">
        <f t="shared" si="137"/>
        <v>0</v>
      </c>
    </row>
    <row r="1342" spans="1:21" x14ac:dyDescent="0.25">
      <c r="A1342" s="118">
        <f>+CUBICACION!D1336</f>
        <v>0</v>
      </c>
      <c r="B1342" s="819">
        <f>+CUBICACION!E1336</f>
        <v>0</v>
      </c>
      <c r="C1342" s="675">
        <f>+CUBICACION!F1336</f>
        <v>0</v>
      </c>
      <c r="D1342" s="118"/>
      <c r="E1342" s="118"/>
      <c r="F1342" s="820"/>
      <c r="G1342" s="675">
        <f>+CUBICACION!J1336</f>
        <v>0</v>
      </c>
      <c r="H1342" s="118"/>
      <c r="I1342" s="821">
        <f>+CUBICACION!L1336</f>
        <v>0</v>
      </c>
      <c r="J1342" s="64">
        <f>+CUBICACION!M1336</f>
        <v>0</v>
      </c>
      <c r="K1342" s="822" t="str">
        <f>+CUBICACION!N1336</f>
        <v/>
      </c>
      <c r="L1342" s="118">
        <f>+CUBICACION!O1336</f>
        <v>0</v>
      </c>
      <c r="M1342" s="823">
        <f>+CUBICACION!P1336</f>
        <v>0</v>
      </c>
      <c r="N1342" s="902">
        <f>ROUND(IF(AND(L1342="Blaze Shield II",M1342="Software Idiem",C1342="IN",G1342=4),((('BLAZE SHIELD II'!$D$4*('CALCULO MORTERO'!I1342^2)+'BLAZE SHIELD II'!$D$5*'CALCULO MORTERO'!I1342+'BLAZE SHIELD II'!$D$6)*LN(J1342))+('BLAZE SHIELD II'!$D$7*('CALCULO MORTERO'!I1342^2)+'BLAZE SHIELD II'!$D$8*'CALCULO MORTERO'!I1342+'BLAZE SHIELD II'!$D$9)),0)+IF(AND(L1342="Blaze Shield II",M1342="Software Idiem",C1342="Cj"),((('BLAZE SHIELD II'!$H$4*('CALCULO MORTERO'!I1342^2)+'BLAZE SHIELD II'!$H$5*'CALCULO MORTERO'!I1342+'BLAZE SHIELD II'!$H$6)*LN(J1342))+('BLAZE SHIELD II'!$H$7*('CALCULO MORTERO'!I1342^2)+'BLAZE SHIELD II'!$H$8*'CALCULO MORTERO'!I1342+'BLAZE SHIELD II'!$H$9)),0)+IF(AND(L1342="Blaze Shield II",M1342="Software Idiem",C1342="C"),((('BLAZE SHIELD II'!$L$4*('CALCULO MORTERO'!I1342^2)+'BLAZE SHIELD II'!$L$5*'CALCULO MORTERO'!I1342+'BLAZE SHIELD II'!$L$6)*LN(J1342))+('BLAZE SHIELD II'!$L$7*('CALCULO MORTERO'!I1342^2)+'BLAZE SHIELD II'!$L$8*'CALCULO MORTERO'!I1342+'BLAZE SHIELD II'!$L$9)),0)+IF(AND(L1342="Blaze Shield II",M1342="Software Idiem",C1342="L"),((('BLAZE SHIELD II'!$L$4*('CALCULO MORTERO'!I1342^2)+'BLAZE SHIELD II'!$L$5*'CALCULO MORTERO'!I1342+'BLAZE SHIELD II'!$L$6)*LN(J1342))+('BLAZE SHIELD II'!$L$7*('CALCULO MORTERO'!I1342^2)+'BLAZE SHIELD II'!$L$8*'CALCULO MORTERO'!I1342+'BLAZE SHIELD II'!$L$9)),0)+IF(AND(L1342="Blaze Shield II",M1342="Software Idiem",C1342="IN",G1342=3),((('BLAZE SHIELD II'!$H$14*('CALCULO MORTERO'!I1342^2)+'BLAZE SHIELD II'!$H$15*'CALCULO MORTERO'!I1342+'BLAZE SHIELD II'!$H$16)*LN(J1342))+('BLAZE SHIELD II'!$H$17*('CALCULO MORTERO'!I1342^2)+'BLAZE SHIELD II'!$H$18*'CALCULO MORTERO'!I1342+'BLAZE SHIELD II'!$H$19)),0),0)+ROUND(IF(AND(L1342="Cafco 400",M1342="Software Idiem",C1342="IN",G1342=4),((('CAFCO 400 '!$H$7*(J1342^4)+'CAFCO 400 '!$H$8*(J1342^3)+'CAFCO 400 '!$H$9*(J1342^2)+'CAFCO 400 '!$H$10*J1342+'CAFCO 400 '!$H$11)*U1342^2)+(('CAFCO 400 '!$H$12*(J1342^3)+'CAFCO 400 '!$H$13*(J1342^2)+'CAFCO 400 '!$H$14*J1342+'CAFCO 400 '!$H$15)*U1342)+('CAFCO 400 '!$H$16*(J1342^2)+'CAFCO 400 '!$H$17*J1342+'CAFCO 400 '!$H$18)),0)+IF(AND(L1342="Cafco 400",M1342="Software Idiem",C1342="Cj"),(((('CAFCO 400 '!$D$7*LN(J1342)+'CAFCO 400 '!$D$8)*U1342^2)+(('CAFCO 400 '!$D$9*LN(J1342)+'CAFCO 400 '!$D$10)*U1342)+('CAFCO 400 '!$D$11*LN(J1342)+'CAFCO 400 '!$D$12))),0)+IF(AND(L1342="Cafco 400",M1342="Software Idiem",C1342="C"),((('CAFCO 400 '!$L$7*(J1342^3)+'CAFCO 400 '!$L$8*(J1342^2)+'CAFCO 400 '!$L$9*J1342+'CAFCO 400 '!$L$10)*U1342^2)+(('CAFCO 400 '!$L$11*(J1342^3)+'CAFCO 400 '!$L$12*(J1342^2)+'CAFCO 400 '!$L$13*J1342+'CAFCO 400 '!$L$14)*U1342)+('CAFCO 400 '!$L$15*LN(J1342)+'CAFCO 400 '!$L$16)),0)+IF(AND(L1342="Cafco 400",M1342="Software Idiem",C1342="L"),((('CAFCO 400 '!$L$7*(J1342^3)+'CAFCO 400 '!$L$8*(J1342^2)+'CAFCO 400 '!$L$9*J1342+'CAFCO 400 '!$L$10)*U1342^2)+(('CAFCO 400 '!$L$11*(J1342^3)+'CAFCO 400 '!$L$12*(J1342^2)+'CAFCO 400 '!$L$13*J1342+'CAFCO 400 '!$L$14)*U1342)+('CAFCO 400 '!$L$15*LN(J1342)+'CAFCO 400 '!$L$16)),0)+IF(AND(L1342="Cafco 400",M1342="Software Idiem",C1342="IN",G1342=3),((('CAFCO 400 '!$D$23*(J1342^2)+'CAFCO 400 '!$D$24*(J1342)+'CAFCO 400 '!$D$25)*U1342^2)+(('CAFCO 400 '!$D$26*(J1342^2)+'CAFCO 400 '!$D$27*J1342+'CAFCO 400 '!$D$28)*U1342)+('CAFCO 400 '!$D$29*(J1342^2)+'CAFCO 400 '!$D$30*J1342+'CAFCO 400 '!$D$31)),0),0)+IF(AND(L1342="Cafco 300",J1342&gt;=95,J1342&lt;=240,C1342="Cj",I1342=90),VLOOKUP(T1342,'CAFCO 300 IDIEM TABLAS'!$B$4:$D$23,2,FALSE),0)+IF(AND(L1342="Cafco 300",J1342&gt;=95,J1342&lt;=240,C1342="Cj",I1342=120),VLOOKUP(T1342,'CAFCO 300 IDIEM TABLAS'!$B$4:$D$23,3,FALSE),0)+IF(AND(L1342="Cafco 300",J1342&gt;=95,J1342&lt;=400,G1342=3,C1342="IN",I1342=90),VLOOKUP(T1342,'CAFCO 300 IDIEM TABLAS'!$F$4:$H$35,2,FALSE),0)+IF(AND(L1342="Cafco 300",J1342&gt;=95,J1342&lt;=400,G1342=3,C1342="IN",I1342=120),VLOOKUP(T1342,'CAFCO 300 IDIEM TABLAS'!$F$4:$H$35,3,FALSE),0)+IF(AND(L1342="Cafco 300",J1342&gt;=95,J1342&lt;=450,G1342=4,C1342="IN",I1342=90),VLOOKUP(T1342,'CAFCO 300 IDIEM TABLAS'!$J$4:$L$40,2,FALSE),0)+IF(AND(L1342="Cafco 300",J1342&gt;=95,J1342&lt;=450,G1342=4,C1342="IN",I1342=120),VLOOKUP(T1342,'CAFCO 300 IDIEM TABLAS'!$J$4:$L$40,3,FALSE),0)+IF(AND(M1342="Ensayo Idiem",L1342="Cafco 400",C1342="IN",G1342=4,I1342=90),VLOOKUP(T1342,'CAFCO 400 ENSAYO'!$B$7:$D$43,2,FALSE),0)+IF(AND(M1342="Ensayo Idiem",L1342="Cafco 400",C1342="IN",G1342=4,I1342=120),VLOOKUP(T1342,'CAFCO 400 ENSAYO'!$B$7:$D$43,3,FALSE),0)</f>
        <v>0</v>
      </c>
      <c r="O1342" s="96">
        <f t="shared" si="132"/>
        <v>0</v>
      </c>
      <c r="P1342" s="95" t="str">
        <f t="shared" si="133"/>
        <v>N/A</v>
      </c>
      <c r="Q1342" s="95" t="str">
        <f t="shared" si="134"/>
        <v>N/A</v>
      </c>
      <c r="R1342" s="95" t="str">
        <f t="shared" si="135"/>
        <v>NO CERT.</v>
      </c>
      <c r="S1342" s="95" t="e">
        <f t="shared" si="136"/>
        <v>#N/A</v>
      </c>
      <c r="T1342" s="119" t="e">
        <f>+IF(J1342=LOOKUP(J1342,'CAFCO 300 IDIEM TABLAS'!$J$4:$J$40),'CALCULO MORTERO'!J1342,MROUND('CALCULO MORTERO'!J1342,10))</f>
        <v>#N/A</v>
      </c>
      <c r="U1342" s="118">
        <f t="shared" si="137"/>
        <v>0</v>
      </c>
    </row>
    <row r="1343" spans="1:21" x14ac:dyDescent="0.25">
      <c r="A1343" s="118">
        <f>+CUBICACION!D1337</f>
        <v>0</v>
      </c>
      <c r="B1343" s="819">
        <f>+CUBICACION!E1337</f>
        <v>0</v>
      </c>
      <c r="C1343" s="675">
        <f>+CUBICACION!F1337</f>
        <v>0</v>
      </c>
      <c r="D1343" s="118"/>
      <c r="E1343" s="118"/>
      <c r="F1343" s="820"/>
      <c r="G1343" s="675">
        <f>+CUBICACION!J1337</f>
        <v>0</v>
      </c>
      <c r="H1343" s="118"/>
      <c r="I1343" s="821">
        <f>+CUBICACION!L1337</f>
        <v>0</v>
      </c>
      <c r="J1343" s="64">
        <f>+CUBICACION!M1337</f>
        <v>0</v>
      </c>
      <c r="K1343" s="822" t="str">
        <f>+CUBICACION!N1337</f>
        <v/>
      </c>
      <c r="L1343" s="118">
        <f>+CUBICACION!O1337</f>
        <v>0</v>
      </c>
      <c r="M1343" s="823">
        <f>+CUBICACION!P1337</f>
        <v>0</v>
      </c>
      <c r="N1343" s="902">
        <f>ROUND(IF(AND(L1343="Blaze Shield II",M1343="Software Idiem",C1343="IN",G1343=4),((('BLAZE SHIELD II'!$D$4*('CALCULO MORTERO'!I1343^2)+'BLAZE SHIELD II'!$D$5*'CALCULO MORTERO'!I1343+'BLAZE SHIELD II'!$D$6)*LN(J1343))+('BLAZE SHIELD II'!$D$7*('CALCULO MORTERO'!I1343^2)+'BLAZE SHIELD II'!$D$8*'CALCULO MORTERO'!I1343+'BLAZE SHIELD II'!$D$9)),0)+IF(AND(L1343="Blaze Shield II",M1343="Software Idiem",C1343="Cj"),((('BLAZE SHIELD II'!$H$4*('CALCULO MORTERO'!I1343^2)+'BLAZE SHIELD II'!$H$5*'CALCULO MORTERO'!I1343+'BLAZE SHIELD II'!$H$6)*LN(J1343))+('BLAZE SHIELD II'!$H$7*('CALCULO MORTERO'!I1343^2)+'BLAZE SHIELD II'!$H$8*'CALCULO MORTERO'!I1343+'BLAZE SHIELD II'!$H$9)),0)+IF(AND(L1343="Blaze Shield II",M1343="Software Idiem",C1343="C"),((('BLAZE SHIELD II'!$L$4*('CALCULO MORTERO'!I1343^2)+'BLAZE SHIELD II'!$L$5*'CALCULO MORTERO'!I1343+'BLAZE SHIELD II'!$L$6)*LN(J1343))+('BLAZE SHIELD II'!$L$7*('CALCULO MORTERO'!I1343^2)+'BLAZE SHIELD II'!$L$8*'CALCULO MORTERO'!I1343+'BLAZE SHIELD II'!$L$9)),0)+IF(AND(L1343="Blaze Shield II",M1343="Software Idiem",C1343="L"),((('BLAZE SHIELD II'!$L$4*('CALCULO MORTERO'!I1343^2)+'BLAZE SHIELD II'!$L$5*'CALCULO MORTERO'!I1343+'BLAZE SHIELD II'!$L$6)*LN(J1343))+('BLAZE SHIELD II'!$L$7*('CALCULO MORTERO'!I1343^2)+'BLAZE SHIELD II'!$L$8*'CALCULO MORTERO'!I1343+'BLAZE SHIELD II'!$L$9)),0)+IF(AND(L1343="Blaze Shield II",M1343="Software Idiem",C1343="IN",G1343=3),((('BLAZE SHIELD II'!$H$14*('CALCULO MORTERO'!I1343^2)+'BLAZE SHIELD II'!$H$15*'CALCULO MORTERO'!I1343+'BLAZE SHIELD II'!$H$16)*LN(J1343))+('BLAZE SHIELD II'!$H$17*('CALCULO MORTERO'!I1343^2)+'BLAZE SHIELD II'!$H$18*'CALCULO MORTERO'!I1343+'BLAZE SHIELD II'!$H$19)),0),0)+ROUND(IF(AND(L1343="Cafco 400",M1343="Software Idiem",C1343="IN",G1343=4),((('CAFCO 400 '!$H$7*(J1343^4)+'CAFCO 400 '!$H$8*(J1343^3)+'CAFCO 400 '!$H$9*(J1343^2)+'CAFCO 400 '!$H$10*J1343+'CAFCO 400 '!$H$11)*U1343^2)+(('CAFCO 400 '!$H$12*(J1343^3)+'CAFCO 400 '!$H$13*(J1343^2)+'CAFCO 400 '!$H$14*J1343+'CAFCO 400 '!$H$15)*U1343)+('CAFCO 400 '!$H$16*(J1343^2)+'CAFCO 400 '!$H$17*J1343+'CAFCO 400 '!$H$18)),0)+IF(AND(L1343="Cafco 400",M1343="Software Idiem",C1343="Cj"),(((('CAFCO 400 '!$D$7*LN(J1343)+'CAFCO 400 '!$D$8)*U1343^2)+(('CAFCO 400 '!$D$9*LN(J1343)+'CAFCO 400 '!$D$10)*U1343)+('CAFCO 400 '!$D$11*LN(J1343)+'CAFCO 400 '!$D$12))),0)+IF(AND(L1343="Cafco 400",M1343="Software Idiem",C1343="C"),((('CAFCO 400 '!$L$7*(J1343^3)+'CAFCO 400 '!$L$8*(J1343^2)+'CAFCO 400 '!$L$9*J1343+'CAFCO 400 '!$L$10)*U1343^2)+(('CAFCO 400 '!$L$11*(J1343^3)+'CAFCO 400 '!$L$12*(J1343^2)+'CAFCO 400 '!$L$13*J1343+'CAFCO 400 '!$L$14)*U1343)+('CAFCO 400 '!$L$15*LN(J1343)+'CAFCO 400 '!$L$16)),0)+IF(AND(L1343="Cafco 400",M1343="Software Idiem",C1343="L"),((('CAFCO 400 '!$L$7*(J1343^3)+'CAFCO 400 '!$L$8*(J1343^2)+'CAFCO 400 '!$L$9*J1343+'CAFCO 400 '!$L$10)*U1343^2)+(('CAFCO 400 '!$L$11*(J1343^3)+'CAFCO 400 '!$L$12*(J1343^2)+'CAFCO 400 '!$L$13*J1343+'CAFCO 400 '!$L$14)*U1343)+('CAFCO 400 '!$L$15*LN(J1343)+'CAFCO 400 '!$L$16)),0)+IF(AND(L1343="Cafco 400",M1343="Software Idiem",C1343="IN",G1343=3),((('CAFCO 400 '!$D$23*(J1343^2)+'CAFCO 400 '!$D$24*(J1343)+'CAFCO 400 '!$D$25)*U1343^2)+(('CAFCO 400 '!$D$26*(J1343^2)+'CAFCO 400 '!$D$27*J1343+'CAFCO 400 '!$D$28)*U1343)+('CAFCO 400 '!$D$29*(J1343^2)+'CAFCO 400 '!$D$30*J1343+'CAFCO 400 '!$D$31)),0),0)+IF(AND(L1343="Cafco 300",J1343&gt;=95,J1343&lt;=240,C1343="Cj",I1343=90),VLOOKUP(T1343,'CAFCO 300 IDIEM TABLAS'!$B$4:$D$23,2,FALSE),0)+IF(AND(L1343="Cafco 300",J1343&gt;=95,J1343&lt;=240,C1343="Cj",I1343=120),VLOOKUP(T1343,'CAFCO 300 IDIEM TABLAS'!$B$4:$D$23,3,FALSE),0)+IF(AND(L1343="Cafco 300",J1343&gt;=95,J1343&lt;=400,G1343=3,C1343="IN",I1343=90),VLOOKUP(T1343,'CAFCO 300 IDIEM TABLAS'!$F$4:$H$35,2,FALSE),0)+IF(AND(L1343="Cafco 300",J1343&gt;=95,J1343&lt;=400,G1343=3,C1343="IN",I1343=120),VLOOKUP(T1343,'CAFCO 300 IDIEM TABLAS'!$F$4:$H$35,3,FALSE),0)+IF(AND(L1343="Cafco 300",J1343&gt;=95,J1343&lt;=450,G1343=4,C1343="IN",I1343=90),VLOOKUP(T1343,'CAFCO 300 IDIEM TABLAS'!$J$4:$L$40,2,FALSE),0)+IF(AND(L1343="Cafco 300",J1343&gt;=95,J1343&lt;=450,G1343=4,C1343="IN",I1343=120),VLOOKUP(T1343,'CAFCO 300 IDIEM TABLAS'!$J$4:$L$40,3,FALSE),0)+IF(AND(M1343="Ensayo Idiem",L1343="Cafco 400",C1343="IN",G1343=4,I1343=90),VLOOKUP(T1343,'CAFCO 400 ENSAYO'!$B$7:$D$43,2,FALSE),0)+IF(AND(M1343="Ensayo Idiem",L1343="Cafco 400",C1343="IN",G1343=4,I1343=120),VLOOKUP(T1343,'CAFCO 400 ENSAYO'!$B$7:$D$43,3,FALSE),0)</f>
        <v>0</v>
      </c>
      <c r="O1343" s="96">
        <f t="shared" si="132"/>
        <v>0</v>
      </c>
      <c r="P1343" s="132" t="str">
        <f t="shared" si="133"/>
        <v>N/A</v>
      </c>
      <c r="Q1343" s="132" t="str">
        <f t="shared" si="134"/>
        <v>N/A</v>
      </c>
      <c r="R1343" s="132" t="str">
        <f t="shared" si="135"/>
        <v>NO CERT.</v>
      </c>
      <c r="S1343" s="132" t="e">
        <f t="shared" si="136"/>
        <v>#N/A</v>
      </c>
      <c r="T1343" s="133" t="e">
        <f>+IF(J1343=LOOKUP(J1343,'CAFCO 300 IDIEM TABLAS'!$J$4:$J$40),'CALCULO MORTERO'!J1343,MROUND('CALCULO MORTERO'!J1343,10))</f>
        <v>#N/A</v>
      </c>
      <c r="U1343" s="134">
        <f t="shared" si="137"/>
        <v>0</v>
      </c>
    </row>
    <row r="1344" spans="1:21" x14ac:dyDescent="0.25">
      <c r="A1344" s="118">
        <f>+CUBICACION!D1338</f>
        <v>0</v>
      </c>
      <c r="B1344" s="819">
        <f>+CUBICACION!E1338</f>
        <v>0</v>
      </c>
      <c r="C1344" s="675">
        <f>+CUBICACION!F1338</f>
        <v>0</v>
      </c>
      <c r="D1344" s="118"/>
      <c r="E1344" s="118"/>
      <c r="F1344" s="820"/>
      <c r="G1344" s="675">
        <f>+CUBICACION!J1338</f>
        <v>0</v>
      </c>
      <c r="H1344" s="118"/>
      <c r="I1344" s="821">
        <f>+CUBICACION!L1338</f>
        <v>0</v>
      </c>
      <c r="J1344" s="64">
        <f>+CUBICACION!M1338</f>
        <v>0</v>
      </c>
      <c r="K1344" s="822" t="str">
        <f>+CUBICACION!N1338</f>
        <v/>
      </c>
      <c r="L1344" s="118">
        <f>+CUBICACION!O1338</f>
        <v>0</v>
      </c>
      <c r="M1344" s="823">
        <f>+CUBICACION!P1338</f>
        <v>0</v>
      </c>
      <c r="N1344" s="902">
        <f>ROUND(IF(AND(L1344="Blaze Shield II",M1344="Software Idiem",C1344="IN",G1344=4),((('BLAZE SHIELD II'!$D$4*('CALCULO MORTERO'!I1344^2)+'BLAZE SHIELD II'!$D$5*'CALCULO MORTERO'!I1344+'BLAZE SHIELD II'!$D$6)*LN(J1344))+('BLAZE SHIELD II'!$D$7*('CALCULO MORTERO'!I1344^2)+'BLAZE SHIELD II'!$D$8*'CALCULO MORTERO'!I1344+'BLAZE SHIELD II'!$D$9)),0)+IF(AND(L1344="Blaze Shield II",M1344="Software Idiem",C1344="Cj"),((('BLAZE SHIELD II'!$H$4*('CALCULO MORTERO'!I1344^2)+'BLAZE SHIELD II'!$H$5*'CALCULO MORTERO'!I1344+'BLAZE SHIELD II'!$H$6)*LN(J1344))+('BLAZE SHIELD II'!$H$7*('CALCULO MORTERO'!I1344^2)+'BLAZE SHIELD II'!$H$8*'CALCULO MORTERO'!I1344+'BLAZE SHIELD II'!$H$9)),0)+IF(AND(L1344="Blaze Shield II",M1344="Software Idiem",C1344="C"),((('BLAZE SHIELD II'!$L$4*('CALCULO MORTERO'!I1344^2)+'BLAZE SHIELD II'!$L$5*'CALCULO MORTERO'!I1344+'BLAZE SHIELD II'!$L$6)*LN(J1344))+('BLAZE SHIELD II'!$L$7*('CALCULO MORTERO'!I1344^2)+'BLAZE SHIELD II'!$L$8*'CALCULO MORTERO'!I1344+'BLAZE SHIELD II'!$L$9)),0)+IF(AND(L1344="Blaze Shield II",M1344="Software Idiem",C1344="L"),((('BLAZE SHIELD II'!$L$4*('CALCULO MORTERO'!I1344^2)+'BLAZE SHIELD II'!$L$5*'CALCULO MORTERO'!I1344+'BLAZE SHIELD II'!$L$6)*LN(J1344))+('BLAZE SHIELD II'!$L$7*('CALCULO MORTERO'!I1344^2)+'BLAZE SHIELD II'!$L$8*'CALCULO MORTERO'!I1344+'BLAZE SHIELD II'!$L$9)),0)+IF(AND(L1344="Blaze Shield II",M1344="Software Idiem",C1344="IN",G1344=3),((('BLAZE SHIELD II'!$H$14*('CALCULO MORTERO'!I1344^2)+'BLAZE SHIELD II'!$H$15*'CALCULO MORTERO'!I1344+'BLAZE SHIELD II'!$H$16)*LN(J1344))+('BLAZE SHIELD II'!$H$17*('CALCULO MORTERO'!I1344^2)+'BLAZE SHIELD II'!$H$18*'CALCULO MORTERO'!I1344+'BLAZE SHIELD II'!$H$19)),0),0)+ROUND(IF(AND(L1344="Cafco 400",M1344="Software Idiem",C1344="IN",G1344=4),((('CAFCO 400 '!$H$7*(J1344^4)+'CAFCO 400 '!$H$8*(J1344^3)+'CAFCO 400 '!$H$9*(J1344^2)+'CAFCO 400 '!$H$10*J1344+'CAFCO 400 '!$H$11)*U1344^2)+(('CAFCO 400 '!$H$12*(J1344^3)+'CAFCO 400 '!$H$13*(J1344^2)+'CAFCO 400 '!$H$14*J1344+'CAFCO 400 '!$H$15)*U1344)+('CAFCO 400 '!$H$16*(J1344^2)+'CAFCO 400 '!$H$17*J1344+'CAFCO 400 '!$H$18)),0)+IF(AND(L1344="Cafco 400",M1344="Software Idiem",C1344="Cj"),(((('CAFCO 400 '!$D$7*LN(J1344)+'CAFCO 400 '!$D$8)*U1344^2)+(('CAFCO 400 '!$D$9*LN(J1344)+'CAFCO 400 '!$D$10)*U1344)+('CAFCO 400 '!$D$11*LN(J1344)+'CAFCO 400 '!$D$12))),0)+IF(AND(L1344="Cafco 400",M1344="Software Idiem",C1344="C"),((('CAFCO 400 '!$L$7*(J1344^3)+'CAFCO 400 '!$L$8*(J1344^2)+'CAFCO 400 '!$L$9*J1344+'CAFCO 400 '!$L$10)*U1344^2)+(('CAFCO 400 '!$L$11*(J1344^3)+'CAFCO 400 '!$L$12*(J1344^2)+'CAFCO 400 '!$L$13*J1344+'CAFCO 400 '!$L$14)*U1344)+('CAFCO 400 '!$L$15*LN(J1344)+'CAFCO 400 '!$L$16)),0)+IF(AND(L1344="Cafco 400",M1344="Software Idiem",C1344="L"),((('CAFCO 400 '!$L$7*(J1344^3)+'CAFCO 400 '!$L$8*(J1344^2)+'CAFCO 400 '!$L$9*J1344+'CAFCO 400 '!$L$10)*U1344^2)+(('CAFCO 400 '!$L$11*(J1344^3)+'CAFCO 400 '!$L$12*(J1344^2)+'CAFCO 400 '!$L$13*J1344+'CAFCO 400 '!$L$14)*U1344)+('CAFCO 400 '!$L$15*LN(J1344)+'CAFCO 400 '!$L$16)),0)+IF(AND(L1344="Cafco 400",M1344="Software Idiem",C1344="IN",G1344=3),((('CAFCO 400 '!$D$23*(J1344^2)+'CAFCO 400 '!$D$24*(J1344)+'CAFCO 400 '!$D$25)*U1344^2)+(('CAFCO 400 '!$D$26*(J1344^2)+'CAFCO 400 '!$D$27*J1344+'CAFCO 400 '!$D$28)*U1344)+('CAFCO 400 '!$D$29*(J1344^2)+'CAFCO 400 '!$D$30*J1344+'CAFCO 400 '!$D$31)),0),0)+IF(AND(L1344="Cafco 300",J1344&gt;=95,J1344&lt;=240,C1344="Cj",I1344=90),VLOOKUP(T1344,'CAFCO 300 IDIEM TABLAS'!$B$4:$D$23,2,FALSE),0)+IF(AND(L1344="Cafco 300",J1344&gt;=95,J1344&lt;=240,C1344="Cj",I1344=120),VLOOKUP(T1344,'CAFCO 300 IDIEM TABLAS'!$B$4:$D$23,3,FALSE),0)+IF(AND(L1344="Cafco 300",J1344&gt;=95,J1344&lt;=400,G1344=3,C1344="IN",I1344=90),VLOOKUP(T1344,'CAFCO 300 IDIEM TABLAS'!$F$4:$H$35,2,FALSE),0)+IF(AND(L1344="Cafco 300",J1344&gt;=95,J1344&lt;=400,G1344=3,C1344="IN",I1344=120),VLOOKUP(T1344,'CAFCO 300 IDIEM TABLAS'!$F$4:$H$35,3,FALSE),0)+IF(AND(L1344="Cafco 300",J1344&gt;=95,J1344&lt;=450,G1344=4,C1344="IN",I1344=90),VLOOKUP(T1344,'CAFCO 300 IDIEM TABLAS'!$J$4:$L$40,2,FALSE),0)+IF(AND(L1344="Cafco 300",J1344&gt;=95,J1344&lt;=450,G1344=4,C1344="IN",I1344=120),VLOOKUP(T1344,'CAFCO 300 IDIEM TABLAS'!$J$4:$L$40,3,FALSE),0)+IF(AND(M1344="Ensayo Idiem",L1344="Cafco 400",C1344="IN",G1344=4,I1344=90),VLOOKUP(T1344,'CAFCO 400 ENSAYO'!$B$7:$D$43,2,FALSE),0)+IF(AND(M1344="Ensayo Idiem",L1344="Cafco 400",C1344="IN",G1344=4,I1344=120),VLOOKUP(T1344,'CAFCO 400 ENSAYO'!$B$7:$D$43,3,FALSE),0)</f>
        <v>0</v>
      </c>
      <c r="O1344" s="96">
        <f t="shared" si="132"/>
        <v>0</v>
      </c>
      <c r="P1344" s="95" t="str">
        <f t="shared" si="133"/>
        <v>N/A</v>
      </c>
      <c r="Q1344" s="95" t="str">
        <f t="shared" si="134"/>
        <v>N/A</v>
      </c>
      <c r="R1344" s="95" t="str">
        <f t="shared" si="135"/>
        <v>NO CERT.</v>
      </c>
      <c r="S1344" s="95" t="e">
        <f t="shared" si="136"/>
        <v>#N/A</v>
      </c>
      <c r="T1344" s="119" t="e">
        <f>+IF(J1344=LOOKUP(J1344,'CAFCO 300 IDIEM TABLAS'!$J$4:$J$40),'CALCULO MORTERO'!J1344,MROUND('CALCULO MORTERO'!J1344,10))</f>
        <v>#N/A</v>
      </c>
      <c r="U1344" s="118">
        <f t="shared" si="137"/>
        <v>0</v>
      </c>
    </row>
    <row r="1345" spans="1:21" x14ac:dyDescent="0.25">
      <c r="A1345" s="118">
        <f>+CUBICACION!D1339</f>
        <v>0</v>
      </c>
      <c r="B1345" s="819">
        <f>+CUBICACION!E1339</f>
        <v>0</v>
      </c>
      <c r="C1345" s="675">
        <f>+CUBICACION!F1339</f>
        <v>0</v>
      </c>
      <c r="D1345" s="118"/>
      <c r="E1345" s="118"/>
      <c r="F1345" s="820"/>
      <c r="G1345" s="675">
        <f>+CUBICACION!J1339</f>
        <v>0</v>
      </c>
      <c r="H1345" s="118"/>
      <c r="I1345" s="821">
        <f>+CUBICACION!L1339</f>
        <v>0</v>
      </c>
      <c r="J1345" s="64">
        <f>+CUBICACION!M1339</f>
        <v>0</v>
      </c>
      <c r="K1345" s="822" t="str">
        <f>+CUBICACION!N1339</f>
        <v/>
      </c>
      <c r="L1345" s="118">
        <f>+CUBICACION!O1339</f>
        <v>0</v>
      </c>
      <c r="M1345" s="823">
        <f>+CUBICACION!P1339</f>
        <v>0</v>
      </c>
      <c r="N1345" s="902">
        <f>ROUND(IF(AND(L1345="Blaze Shield II",M1345="Software Idiem",C1345="IN",G1345=4),((('BLAZE SHIELD II'!$D$4*('CALCULO MORTERO'!I1345^2)+'BLAZE SHIELD II'!$D$5*'CALCULO MORTERO'!I1345+'BLAZE SHIELD II'!$D$6)*LN(J1345))+('BLAZE SHIELD II'!$D$7*('CALCULO MORTERO'!I1345^2)+'BLAZE SHIELD II'!$D$8*'CALCULO MORTERO'!I1345+'BLAZE SHIELD II'!$D$9)),0)+IF(AND(L1345="Blaze Shield II",M1345="Software Idiem",C1345="Cj"),((('BLAZE SHIELD II'!$H$4*('CALCULO MORTERO'!I1345^2)+'BLAZE SHIELD II'!$H$5*'CALCULO MORTERO'!I1345+'BLAZE SHIELD II'!$H$6)*LN(J1345))+('BLAZE SHIELD II'!$H$7*('CALCULO MORTERO'!I1345^2)+'BLAZE SHIELD II'!$H$8*'CALCULO MORTERO'!I1345+'BLAZE SHIELD II'!$H$9)),0)+IF(AND(L1345="Blaze Shield II",M1345="Software Idiem",C1345="C"),((('BLAZE SHIELD II'!$L$4*('CALCULO MORTERO'!I1345^2)+'BLAZE SHIELD II'!$L$5*'CALCULO MORTERO'!I1345+'BLAZE SHIELD II'!$L$6)*LN(J1345))+('BLAZE SHIELD II'!$L$7*('CALCULO MORTERO'!I1345^2)+'BLAZE SHIELD II'!$L$8*'CALCULO MORTERO'!I1345+'BLAZE SHIELD II'!$L$9)),0)+IF(AND(L1345="Blaze Shield II",M1345="Software Idiem",C1345="L"),((('BLAZE SHIELD II'!$L$4*('CALCULO MORTERO'!I1345^2)+'BLAZE SHIELD II'!$L$5*'CALCULO MORTERO'!I1345+'BLAZE SHIELD II'!$L$6)*LN(J1345))+('BLAZE SHIELD II'!$L$7*('CALCULO MORTERO'!I1345^2)+'BLAZE SHIELD II'!$L$8*'CALCULO MORTERO'!I1345+'BLAZE SHIELD II'!$L$9)),0)+IF(AND(L1345="Blaze Shield II",M1345="Software Idiem",C1345="IN",G1345=3),((('BLAZE SHIELD II'!$H$14*('CALCULO MORTERO'!I1345^2)+'BLAZE SHIELD II'!$H$15*'CALCULO MORTERO'!I1345+'BLAZE SHIELD II'!$H$16)*LN(J1345))+('BLAZE SHIELD II'!$H$17*('CALCULO MORTERO'!I1345^2)+'BLAZE SHIELD II'!$H$18*'CALCULO MORTERO'!I1345+'BLAZE SHIELD II'!$H$19)),0),0)+ROUND(IF(AND(L1345="Cafco 400",M1345="Software Idiem",C1345="IN",G1345=4),((('CAFCO 400 '!$H$7*(J1345^4)+'CAFCO 400 '!$H$8*(J1345^3)+'CAFCO 400 '!$H$9*(J1345^2)+'CAFCO 400 '!$H$10*J1345+'CAFCO 400 '!$H$11)*U1345^2)+(('CAFCO 400 '!$H$12*(J1345^3)+'CAFCO 400 '!$H$13*(J1345^2)+'CAFCO 400 '!$H$14*J1345+'CAFCO 400 '!$H$15)*U1345)+('CAFCO 400 '!$H$16*(J1345^2)+'CAFCO 400 '!$H$17*J1345+'CAFCO 400 '!$H$18)),0)+IF(AND(L1345="Cafco 400",M1345="Software Idiem",C1345="Cj"),(((('CAFCO 400 '!$D$7*LN(J1345)+'CAFCO 400 '!$D$8)*U1345^2)+(('CAFCO 400 '!$D$9*LN(J1345)+'CAFCO 400 '!$D$10)*U1345)+('CAFCO 400 '!$D$11*LN(J1345)+'CAFCO 400 '!$D$12))),0)+IF(AND(L1345="Cafco 400",M1345="Software Idiem",C1345="C"),((('CAFCO 400 '!$L$7*(J1345^3)+'CAFCO 400 '!$L$8*(J1345^2)+'CAFCO 400 '!$L$9*J1345+'CAFCO 400 '!$L$10)*U1345^2)+(('CAFCO 400 '!$L$11*(J1345^3)+'CAFCO 400 '!$L$12*(J1345^2)+'CAFCO 400 '!$L$13*J1345+'CAFCO 400 '!$L$14)*U1345)+('CAFCO 400 '!$L$15*LN(J1345)+'CAFCO 400 '!$L$16)),0)+IF(AND(L1345="Cafco 400",M1345="Software Idiem",C1345="L"),((('CAFCO 400 '!$L$7*(J1345^3)+'CAFCO 400 '!$L$8*(J1345^2)+'CAFCO 400 '!$L$9*J1345+'CAFCO 400 '!$L$10)*U1345^2)+(('CAFCO 400 '!$L$11*(J1345^3)+'CAFCO 400 '!$L$12*(J1345^2)+'CAFCO 400 '!$L$13*J1345+'CAFCO 400 '!$L$14)*U1345)+('CAFCO 400 '!$L$15*LN(J1345)+'CAFCO 400 '!$L$16)),0)+IF(AND(L1345="Cafco 400",M1345="Software Idiem",C1345="IN",G1345=3),((('CAFCO 400 '!$D$23*(J1345^2)+'CAFCO 400 '!$D$24*(J1345)+'CAFCO 400 '!$D$25)*U1345^2)+(('CAFCO 400 '!$D$26*(J1345^2)+'CAFCO 400 '!$D$27*J1345+'CAFCO 400 '!$D$28)*U1345)+('CAFCO 400 '!$D$29*(J1345^2)+'CAFCO 400 '!$D$30*J1345+'CAFCO 400 '!$D$31)),0),0)+IF(AND(L1345="Cafco 300",J1345&gt;=95,J1345&lt;=240,C1345="Cj",I1345=90),VLOOKUP(T1345,'CAFCO 300 IDIEM TABLAS'!$B$4:$D$23,2,FALSE),0)+IF(AND(L1345="Cafco 300",J1345&gt;=95,J1345&lt;=240,C1345="Cj",I1345=120),VLOOKUP(T1345,'CAFCO 300 IDIEM TABLAS'!$B$4:$D$23,3,FALSE),0)+IF(AND(L1345="Cafco 300",J1345&gt;=95,J1345&lt;=400,G1345=3,C1345="IN",I1345=90),VLOOKUP(T1345,'CAFCO 300 IDIEM TABLAS'!$F$4:$H$35,2,FALSE),0)+IF(AND(L1345="Cafco 300",J1345&gt;=95,J1345&lt;=400,G1345=3,C1345="IN",I1345=120),VLOOKUP(T1345,'CAFCO 300 IDIEM TABLAS'!$F$4:$H$35,3,FALSE),0)+IF(AND(L1345="Cafco 300",J1345&gt;=95,J1345&lt;=450,G1345=4,C1345="IN",I1345=90),VLOOKUP(T1345,'CAFCO 300 IDIEM TABLAS'!$J$4:$L$40,2,FALSE),0)+IF(AND(L1345="Cafco 300",J1345&gt;=95,J1345&lt;=450,G1345=4,C1345="IN",I1345=120),VLOOKUP(T1345,'CAFCO 300 IDIEM TABLAS'!$J$4:$L$40,3,FALSE),0)+IF(AND(M1345="Ensayo Idiem",L1345="Cafco 400",C1345="IN",G1345=4,I1345=90),VLOOKUP(T1345,'CAFCO 400 ENSAYO'!$B$7:$D$43,2,FALSE),0)+IF(AND(M1345="Ensayo Idiem",L1345="Cafco 400",C1345="IN",G1345=4,I1345=120),VLOOKUP(T1345,'CAFCO 400 ENSAYO'!$B$7:$D$43,3,FALSE),0)</f>
        <v>0</v>
      </c>
      <c r="O1345" s="96">
        <f t="shared" si="132"/>
        <v>0</v>
      </c>
      <c r="P1345" s="132" t="str">
        <f t="shared" si="133"/>
        <v>N/A</v>
      </c>
      <c r="Q1345" s="132" t="str">
        <f t="shared" si="134"/>
        <v>N/A</v>
      </c>
      <c r="R1345" s="132" t="str">
        <f t="shared" si="135"/>
        <v>NO CERT.</v>
      </c>
      <c r="S1345" s="132" t="e">
        <f t="shared" si="136"/>
        <v>#N/A</v>
      </c>
      <c r="T1345" s="133" t="e">
        <f>+IF(J1345=LOOKUP(J1345,'CAFCO 300 IDIEM TABLAS'!$J$4:$J$40),'CALCULO MORTERO'!J1345,MROUND('CALCULO MORTERO'!J1345,10))</f>
        <v>#N/A</v>
      </c>
      <c r="U1345" s="134">
        <f t="shared" si="137"/>
        <v>0</v>
      </c>
    </row>
    <row r="1346" spans="1:21" x14ac:dyDescent="0.25">
      <c r="A1346" s="118">
        <f>+CUBICACION!D1340</f>
        <v>0</v>
      </c>
      <c r="B1346" s="819">
        <f>+CUBICACION!E1340</f>
        <v>0</v>
      </c>
      <c r="C1346" s="675">
        <f>+CUBICACION!F1340</f>
        <v>0</v>
      </c>
      <c r="D1346" s="118"/>
      <c r="E1346" s="118"/>
      <c r="F1346" s="820"/>
      <c r="G1346" s="675">
        <f>+CUBICACION!J1340</f>
        <v>0</v>
      </c>
      <c r="H1346" s="118"/>
      <c r="I1346" s="821">
        <f>+CUBICACION!L1340</f>
        <v>0</v>
      </c>
      <c r="J1346" s="64">
        <f>+CUBICACION!M1340</f>
        <v>0</v>
      </c>
      <c r="K1346" s="822" t="str">
        <f>+CUBICACION!N1340</f>
        <v/>
      </c>
      <c r="L1346" s="118">
        <f>+CUBICACION!O1340</f>
        <v>0</v>
      </c>
      <c r="M1346" s="823">
        <f>+CUBICACION!P1340</f>
        <v>0</v>
      </c>
      <c r="N1346" s="902">
        <f>ROUND(IF(AND(L1346="Blaze Shield II",M1346="Software Idiem",C1346="IN",G1346=4),((('BLAZE SHIELD II'!$D$4*('CALCULO MORTERO'!I1346^2)+'BLAZE SHIELD II'!$D$5*'CALCULO MORTERO'!I1346+'BLAZE SHIELD II'!$D$6)*LN(J1346))+('BLAZE SHIELD II'!$D$7*('CALCULO MORTERO'!I1346^2)+'BLAZE SHIELD II'!$D$8*'CALCULO MORTERO'!I1346+'BLAZE SHIELD II'!$D$9)),0)+IF(AND(L1346="Blaze Shield II",M1346="Software Idiem",C1346="Cj"),((('BLAZE SHIELD II'!$H$4*('CALCULO MORTERO'!I1346^2)+'BLAZE SHIELD II'!$H$5*'CALCULO MORTERO'!I1346+'BLAZE SHIELD II'!$H$6)*LN(J1346))+('BLAZE SHIELD II'!$H$7*('CALCULO MORTERO'!I1346^2)+'BLAZE SHIELD II'!$H$8*'CALCULO MORTERO'!I1346+'BLAZE SHIELD II'!$H$9)),0)+IF(AND(L1346="Blaze Shield II",M1346="Software Idiem",C1346="C"),((('BLAZE SHIELD II'!$L$4*('CALCULO MORTERO'!I1346^2)+'BLAZE SHIELD II'!$L$5*'CALCULO MORTERO'!I1346+'BLAZE SHIELD II'!$L$6)*LN(J1346))+('BLAZE SHIELD II'!$L$7*('CALCULO MORTERO'!I1346^2)+'BLAZE SHIELD II'!$L$8*'CALCULO MORTERO'!I1346+'BLAZE SHIELD II'!$L$9)),0)+IF(AND(L1346="Blaze Shield II",M1346="Software Idiem",C1346="L"),((('BLAZE SHIELD II'!$L$4*('CALCULO MORTERO'!I1346^2)+'BLAZE SHIELD II'!$L$5*'CALCULO MORTERO'!I1346+'BLAZE SHIELD II'!$L$6)*LN(J1346))+('BLAZE SHIELD II'!$L$7*('CALCULO MORTERO'!I1346^2)+'BLAZE SHIELD II'!$L$8*'CALCULO MORTERO'!I1346+'BLAZE SHIELD II'!$L$9)),0)+IF(AND(L1346="Blaze Shield II",M1346="Software Idiem",C1346="IN",G1346=3),((('BLAZE SHIELD II'!$H$14*('CALCULO MORTERO'!I1346^2)+'BLAZE SHIELD II'!$H$15*'CALCULO MORTERO'!I1346+'BLAZE SHIELD II'!$H$16)*LN(J1346))+('BLAZE SHIELD II'!$H$17*('CALCULO MORTERO'!I1346^2)+'BLAZE SHIELD II'!$H$18*'CALCULO MORTERO'!I1346+'BLAZE SHIELD II'!$H$19)),0),0)+ROUND(IF(AND(L1346="Cafco 400",M1346="Software Idiem",C1346="IN",G1346=4),((('CAFCO 400 '!$H$7*(J1346^4)+'CAFCO 400 '!$H$8*(J1346^3)+'CAFCO 400 '!$H$9*(J1346^2)+'CAFCO 400 '!$H$10*J1346+'CAFCO 400 '!$H$11)*U1346^2)+(('CAFCO 400 '!$H$12*(J1346^3)+'CAFCO 400 '!$H$13*(J1346^2)+'CAFCO 400 '!$H$14*J1346+'CAFCO 400 '!$H$15)*U1346)+('CAFCO 400 '!$H$16*(J1346^2)+'CAFCO 400 '!$H$17*J1346+'CAFCO 400 '!$H$18)),0)+IF(AND(L1346="Cafco 400",M1346="Software Idiem",C1346="Cj"),(((('CAFCO 400 '!$D$7*LN(J1346)+'CAFCO 400 '!$D$8)*U1346^2)+(('CAFCO 400 '!$D$9*LN(J1346)+'CAFCO 400 '!$D$10)*U1346)+('CAFCO 400 '!$D$11*LN(J1346)+'CAFCO 400 '!$D$12))),0)+IF(AND(L1346="Cafco 400",M1346="Software Idiem",C1346="C"),((('CAFCO 400 '!$L$7*(J1346^3)+'CAFCO 400 '!$L$8*(J1346^2)+'CAFCO 400 '!$L$9*J1346+'CAFCO 400 '!$L$10)*U1346^2)+(('CAFCO 400 '!$L$11*(J1346^3)+'CAFCO 400 '!$L$12*(J1346^2)+'CAFCO 400 '!$L$13*J1346+'CAFCO 400 '!$L$14)*U1346)+('CAFCO 400 '!$L$15*LN(J1346)+'CAFCO 400 '!$L$16)),0)+IF(AND(L1346="Cafco 400",M1346="Software Idiem",C1346="L"),((('CAFCO 400 '!$L$7*(J1346^3)+'CAFCO 400 '!$L$8*(J1346^2)+'CAFCO 400 '!$L$9*J1346+'CAFCO 400 '!$L$10)*U1346^2)+(('CAFCO 400 '!$L$11*(J1346^3)+'CAFCO 400 '!$L$12*(J1346^2)+'CAFCO 400 '!$L$13*J1346+'CAFCO 400 '!$L$14)*U1346)+('CAFCO 400 '!$L$15*LN(J1346)+'CAFCO 400 '!$L$16)),0)+IF(AND(L1346="Cafco 400",M1346="Software Idiem",C1346="IN",G1346=3),((('CAFCO 400 '!$D$23*(J1346^2)+'CAFCO 400 '!$D$24*(J1346)+'CAFCO 400 '!$D$25)*U1346^2)+(('CAFCO 400 '!$D$26*(J1346^2)+'CAFCO 400 '!$D$27*J1346+'CAFCO 400 '!$D$28)*U1346)+('CAFCO 400 '!$D$29*(J1346^2)+'CAFCO 400 '!$D$30*J1346+'CAFCO 400 '!$D$31)),0),0)+IF(AND(L1346="Cafco 300",J1346&gt;=95,J1346&lt;=240,C1346="Cj",I1346=90),VLOOKUP(T1346,'CAFCO 300 IDIEM TABLAS'!$B$4:$D$23,2,FALSE),0)+IF(AND(L1346="Cafco 300",J1346&gt;=95,J1346&lt;=240,C1346="Cj",I1346=120),VLOOKUP(T1346,'CAFCO 300 IDIEM TABLAS'!$B$4:$D$23,3,FALSE),0)+IF(AND(L1346="Cafco 300",J1346&gt;=95,J1346&lt;=400,G1346=3,C1346="IN",I1346=90),VLOOKUP(T1346,'CAFCO 300 IDIEM TABLAS'!$F$4:$H$35,2,FALSE),0)+IF(AND(L1346="Cafco 300",J1346&gt;=95,J1346&lt;=400,G1346=3,C1346="IN",I1346=120),VLOOKUP(T1346,'CAFCO 300 IDIEM TABLAS'!$F$4:$H$35,3,FALSE),0)+IF(AND(L1346="Cafco 300",J1346&gt;=95,J1346&lt;=450,G1346=4,C1346="IN",I1346=90),VLOOKUP(T1346,'CAFCO 300 IDIEM TABLAS'!$J$4:$L$40,2,FALSE),0)+IF(AND(L1346="Cafco 300",J1346&gt;=95,J1346&lt;=450,G1346=4,C1346="IN",I1346=120),VLOOKUP(T1346,'CAFCO 300 IDIEM TABLAS'!$J$4:$L$40,3,FALSE),0)+IF(AND(M1346="Ensayo Idiem",L1346="Cafco 400",C1346="IN",G1346=4,I1346=90),VLOOKUP(T1346,'CAFCO 400 ENSAYO'!$B$7:$D$43,2,FALSE),0)+IF(AND(M1346="Ensayo Idiem",L1346="Cafco 400",C1346="IN",G1346=4,I1346=120),VLOOKUP(T1346,'CAFCO 400 ENSAYO'!$B$7:$D$43,3,FALSE),0)</f>
        <v>0</v>
      </c>
      <c r="O1346" s="96">
        <f t="shared" si="132"/>
        <v>0</v>
      </c>
      <c r="P1346" s="95" t="str">
        <f t="shared" si="133"/>
        <v>N/A</v>
      </c>
      <c r="Q1346" s="95" t="str">
        <f t="shared" si="134"/>
        <v>N/A</v>
      </c>
      <c r="R1346" s="95" t="str">
        <f t="shared" si="135"/>
        <v>NO CERT.</v>
      </c>
      <c r="S1346" s="95" t="e">
        <f t="shared" si="136"/>
        <v>#N/A</v>
      </c>
      <c r="T1346" s="119" t="e">
        <f>+IF(J1346=LOOKUP(J1346,'CAFCO 300 IDIEM TABLAS'!$J$4:$J$40),'CALCULO MORTERO'!J1346,MROUND('CALCULO MORTERO'!J1346,10))</f>
        <v>#N/A</v>
      </c>
      <c r="U1346" s="118">
        <f t="shared" si="137"/>
        <v>0</v>
      </c>
    </row>
    <row r="1347" spans="1:21" x14ac:dyDescent="0.25">
      <c r="A1347" s="118">
        <f>+CUBICACION!D1341</f>
        <v>0</v>
      </c>
      <c r="B1347" s="819">
        <f>+CUBICACION!E1341</f>
        <v>0</v>
      </c>
      <c r="C1347" s="675">
        <f>+CUBICACION!F1341</f>
        <v>0</v>
      </c>
      <c r="D1347" s="118"/>
      <c r="E1347" s="118"/>
      <c r="F1347" s="820"/>
      <c r="G1347" s="675">
        <f>+CUBICACION!J1341</f>
        <v>0</v>
      </c>
      <c r="H1347" s="118"/>
      <c r="I1347" s="821">
        <f>+CUBICACION!L1341</f>
        <v>0</v>
      </c>
      <c r="J1347" s="64">
        <f>+CUBICACION!M1341</f>
        <v>0</v>
      </c>
      <c r="K1347" s="822" t="str">
        <f>+CUBICACION!N1341</f>
        <v/>
      </c>
      <c r="L1347" s="118">
        <f>+CUBICACION!O1341</f>
        <v>0</v>
      </c>
      <c r="M1347" s="823">
        <f>+CUBICACION!P1341</f>
        <v>0</v>
      </c>
      <c r="N1347" s="902">
        <f>ROUND(IF(AND(L1347="Blaze Shield II",M1347="Software Idiem",C1347="IN",G1347=4),((('BLAZE SHIELD II'!$D$4*('CALCULO MORTERO'!I1347^2)+'BLAZE SHIELD II'!$D$5*'CALCULO MORTERO'!I1347+'BLAZE SHIELD II'!$D$6)*LN(J1347))+('BLAZE SHIELD II'!$D$7*('CALCULO MORTERO'!I1347^2)+'BLAZE SHIELD II'!$D$8*'CALCULO MORTERO'!I1347+'BLAZE SHIELD II'!$D$9)),0)+IF(AND(L1347="Blaze Shield II",M1347="Software Idiem",C1347="Cj"),((('BLAZE SHIELD II'!$H$4*('CALCULO MORTERO'!I1347^2)+'BLAZE SHIELD II'!$H$5*'CALCULO MORTERO'!I1347+'BLAZE SHIELD II'!$H$6)*LN(J1347))+('BLAZE SHIELD II'!$H$7*('CALCULO MORTERO'!I1347^2)+'BLAZE SHIELD II'!$H$8*'CALCULO MORTERO'!I1347+'BLAZE SHIELD II'!$H$9)),0)+IF(AND(L1347="Blaze Shield II",M1347="Software Idiem",C1347="C"),((('BLAZE SHIELD II'!$L$4*('CALCULO MORTERO'!I1347^2)+'BLAZE SHIELD II'!$L$5*'CALCULO MORTERO'!I1347+'BLAZE SHIELD II'!$L$6)*LN(J1347))+('BLAZE SHIELD II'!$L$7*('CALCULO MORTERO'!I1347^2)+'BLAZE SHIELD II'!$L$8*'CALCULO MORTERO'!I1347+'BLAZE SHIELD II'!$L$9)),0)+IF(AND(L1347="Blaze Shield II",M1347="Software Idiem",C1347="L"),((('BLAZE SHIELD II'!$L$4*('CALCULO MORTERO'!I1347^2)+'BLAZE SHIELD II'!$L$5*'CALCULO MORTERO'!I1347+'BLAZE SHIELD II'!$L$6)*LN(J1347))+('BLAZE SHIELD II'!$L$7*('CALCULO MORTERO'!I1347^2)+'BLAZE SHIELD II'!$L$8*'CALCULO MORTERO'!I1347+'BLAZE SHIELD II'!$L$9)),0)+IF(AND(L1347="Blaze Shield II",M1347="Software Idiem",C1347="IN",G1347=3),((('BLAZE SHIELD II'!$H$14*('CALCULO MORTERO'!I1347^2)+'BLAZE SHIELD II'!$H$15*'CALCULO MORTERO'!I1347+'BLAZE SHIELD II'!$H$16)*LN(J1347))+('BLAZE SHIELD II'!$H$17*('CALCULO MORTERO'!I1347^2)+'BLAZE SHIELD II'!$H$18*'CALCULO MORTERO'!I1347+'BLAZE SHIELD II'!$H$19)),0),0)+ROUND(IF(AND(L1347="Cafco 400",M1347="Software Idiem",C1347="IN",G1347=4),((('CAFCO 400 '!$H$7*(J1347^4)+'CAFCO 400 '!$H$8*(J1347^3)+'CAFCO 400 '!$H$9*(J1347^2)+'CAFCO 400 '!$H$10*J1347+'CAFCO 400 '!$H$11)*U1347^2)+(('CAFCO 400 '!$H$12*(J1347^3)+'CAFCO 400 '!$H$13*(J1347^2)+'CAFCO 400 '!$H$14*J1347+'CAFCO 400 '!$H$15)*U1347)+('CAFCO 400 '!$H$16*(J1347^2)+'CAFCO 400 '!$H$17*J1347+'CAFCO 400 '!$H$18)),0)+IF(AND(L1347="Cafco 400",M1347="Software Idiem",C1347="Cj"),(((('CAFCO 400 '!$D$7*LN(J1347)+'CAFCO 400 '!$D$8)*U1347^2)+(('CAFCO 400 '!$D$9*LN(J1347)+'CAFCO 400 '!$D$10)*U1347)+('CAFCO 400 '!$D$11*LN(J1347)+'CAFCO 400 '!$D$12))),0)+IF(AND(L1347="Cafco 400",M1347="Software Idiem",C1347="C"),((('CAFCO 400 '!$L$7*(J1347^3)+'CAFCO 400 '!$L$8*(J1347^2)+'CAFCO 400 '!$L$9*J1347+'CAFCO 400 '!$L$10)*U1347^2)+(('CAFCO 400 '!$L$11*(J1347^3)+'CAFCO 400 '!$L$12*(J1347^2)+'CAFCO 400 '!$L$13*J1347+'CAFCO 400 '!$L$14)*U1347)+('CAFCO 400 '!$L$15*LN(J1347)+'CAFCO 400 '!$L$16)),0)+IF(AND(L1347="Cafco 400",M1347="Software Idiem",C1347="L"),((('CAFCO 400 '!$L$7*(J1347^3)+'CAFCO 400 '!$L$8*(J1347^2)+'CAFCO 400 '!$L$9*J1347+'CAFCO 400 '!$L$10)*U1347^2)+(('CAFCO 400 '!$L$11*(J1347^3)+'CAFCO 400 '!$L$12*(J1347^2)+'CAFCO 400 '!$L$13*J1347+'CAFCO 400 '!$L$14)*U1347)+('CAFCO 400 '!$L$15*LN(J1347)+'CAFCO 400 '!$L$16)),0)+IF(AND(L1347="Cafco 400",M1347="Software Idiem",C1347="IN",G1347=3),((('CAFCO 400 '!$D$23*(J1347^2)+'CAFCO 400 '!$D$24*(J1347)+'CAFCO 400 '!$D$25)*U1347^2)+(('CAFCO 400 '!$D$26*(J1347^2)+'CAFCO 400 '!$D$27*J1347+'CAFCO 400 '!$D$28)*U1347)+('CAFCO 400 '!$D$29*(J1347^2)+'CAFCO 400 '!$D$30*J1347+'CAFCO 400 '!$D$31)),0),0)+IF(AND(L1347="Cafco 300",J1347&gt;=95,J1347&lt;=240,C1347="Cj",I1347=90),VLOOKUP(T1347,'CAFCO 300 IDIEM TABLAS'!$B$4:$D$23,2,FALSE),0)+IF(AND(L1347="Cafco 300",J1347&gt;=95,J1347&lt;=240,C1347="Cj",I1347=120),VLOOKUP(T1347,'CAFCO 300 IDIEM TABLAS'!$B$4:$D$23,3,FALSE),0)+IF(AND(L1347="Cafco 300",J1347&gt;=95,J1347&lt;=400,G1347=3,C1347="IN",I1347=90),VLOOKUP(T1347,'CAFCO 300 IDIEM TABLAS'!$F$4:$H$35,2,FALSE),0)+IF(AND(L1347="Cafco 300",J1347&gt;=95,J1347&lt;=400,G1347=3,C1347="IN",I1347=120),VLOOKUP(T1347,'CAFCO 300 IDIEM TABLAS'!$F$4:$H$35,3,FALSE),0)+IF(AND(L1347="Cafco 300",J1347&gt;=95,J1347&lt;=450,G1347=4,C1347="IN",I1347=90),VLOOKUP(T1347,'CAFCO 300 IDIEM TABLAS'!$J$4:$L$40,2,FALSE),0)+IF(AND(L1347="Cafco 300",J1347&gt;=95,J1347&lt;=450,G1347=4,C1347="IN",I1347=120),VLOOKUP(T1347,'CAFCO 300 IDIEM TABLAS'!$J$4:$L$40,3,FALSE),0)+IF(AND(M1347="Ensayo Idiem",L1347="Cafco 400",C1347="IN",G1347=4,I1347=90),VLOOKUP(T1347,'CAFCO 400 ENSAYO'!$B$7:$D$43,2,FALSE),0)+IF(AND(M1347="Ensayo Idiem",L1347="Cafco 400",C1347="IN",G1347=4,I1347=120),VLOOKUP(T1347,'CAFCO 400 ENSAYO'!$B$7:$D$43,3,FALSE),0)</f>
        <v>0</v>
      </c>
      <c r="O1347" s="96">
        <f t="shared" si="132"/>
        <v>0</v>
      </c>
      <c r="P1347" s="132" t="str">
        <f t="shared" si="133"/>
        <v>N/A</v>
      </c>
      <c r="Q1347" s="132" t="str">
        <f t="shared" si="134"/>
        <v>N/A</v>
      </c>
      <c r="R1347" s="132" t="str">
        <f t="shared" si="135"/>
        <v>NO CERT.</v>
      </c>
      <c r="S1347" s="132" t="e">
        <f t="shared" si="136"/>
        <v>#N/A</v>
      </c>
      <c r="T1347" s="133" t="e">
        <f>+IF(J1347=LOOKUP(J1347,'CAFCO 300 IDIEM TABLAS'!$J$4:$J$40),'CALCULO MORTERO'!J1347,MROUND('CALCULO MORTERO'!J1347,10))</f>
        <v>#N/A</v>
      </c>
      <c r="U1347" s="134">
        <f t="shared" si="137"/>
        <v>0</v>
      </c>
    </row>
    <row r="1348" spans="1:21" x14ac:dyDescent="0.25">
      <c r="A1348" s="118">
        <f>+CUBICACION!D1342</f>
        <v>0</v>
      </c>
      <c r="B1348" s="819">
        <f>+CUBICACION!E1342</f>
        <v>0</v>
      </c>
      <c r="C1348" s="675">
        <f>+CUBICACION!F1342</f>
        <v>0</v>
      </c>
      <c r="D1348" s="118"/>
      <c r="E1348" s="118"/>
      <c r="F1348" s="820"/>
      <c r="G1348" s="675">
        <f>+CUBICACION!J1342</f>
        <v>0</v>
      </c>
      <c r="H1348" s="118"/>
      <c r="I1348" s="821">
        <f>+CUBICACION!L1342</f>
        <v>0</v>
      </c>
      <c r="J1348" s="64">
        <f>+CUBICACION!M1342</f>
        <v>0</v>
      </c>
      <c r="K1348" s="822" t="str">
        <f>+CUBICACION!N1342</f>
        <v/>
      </c>
      <c r="L1348" s="118">
        <f>+CUBICACION!O1342</f>
        <v>0</v>
      </c>
      <c r="M1348" s="823">
        <f>+CUBICACION!P1342</f>
        <v>0</v>
      </c>
      <c r="N1348" s="902">
        <f>ROUND(IF(AND(L1348="Blaze Shield II",M1348="Software Idiem",C1348="IN",G1348=4),((('BLAZE SHIELD II'!$D$4*('CALCULO MORTERO'!I1348^2)+'BLAZE SHIELD II'!$D$5*'CALCULO MORTERO'!I1348+'BLAZE SHIELD II'!$D$6)*LN(J1348))+('BLAZE SHIELD II'!$D$7*('CALCULO MORTERO'!I1348^2)+'BLAZE SHIELD II'!$D$8*'CALCULO MORTERO'!I1348+'BLAZE SHIELD II'!$D$9)),0)+IF(AND(L1348="Blaze Shield II",M1348="Software Idiem",C1348="Cj"),((('BLAZE SHIELD II'!$H$4*('CALCULO MORTERO'!I1348^2)+'BLAZE SHIELD II'!$H$5*'CALCULO MORTERO'!I1348+'BLAZE SHIELD II'!$H$6)*LN(J1348))+('BLAZE SHIELD II'!$H$7*('CALCULO MORTERO'!I1348^2)+'BLAZE SHIELD II'!$H$8*'CALCULO MORTERO'!I1348+'BLAZE SHIELD II'!$H$9)),0)+IF(AND(L1348="Blaze Shield II",M1348="Software Idiem",C1348="C"),((('BLAZE SHIELD II'!$L$4*('CALCULO MORTERO'!I1348^2)+'BLAZE SHIELD II'!$L$5*'CALCULO MORTERO'!I1348+'BLAZE SHIELD II'!$L$6)*LN(J1348))+('BLAZE SHIELD II'!$L$7*('CALCULO MORTERO'!I1348^2)+'BLAZE SHIELD II'!$L$8*'CALCULO MORTERO'!I1348+'BLAZE SHIELD II'!$L$9)),0)+IF(AND(L1348="Blaze Shield II",M1348="Software Idiem",C1348="L"),((('BLAZE SHIELD II'!$L$4*('CALCULO MORTERO'!I1348^2)+'BLAZE SHIELD II'!$L$5*'CALCULO MORTERO'!I1348+'BLAZE SHIELD II'!$L$6)*LN(J1348))+('BLAZE SHIELD II'!$L$7*('CALCULO MORTERO'!I1348^2)+'BLAZE SHIELD II'!$L$8*'CALCULO MORTERO'!I1348+'BLAZE SHIELD II'!$L$9)),0)+IF(AND(L1348="Blaze Shield II",M1348="Software Idiem",C1348="IN",G1348=3),((('BLAZE SHIELD II'!$H$14*('CALCULO MORTERO'!I1348^2)+'BLAZE SHIELD II'!$H$15*'CALCULO MORTERO'!I1348+'BLAZE SHIELD II'!$H$16)*LN(J1348))+('BLAZE SHIELD II'!$H$17*('CALCULO MORTERO'!I1348^2)+'BLAZE SHIELD II'!$H$18*'CALCULO MORTERO'!I1348+'BLAZE SHIELD II'!$H$19)),0),0)+ROUND(IF(AND(L1348="Cafco 400",M1348="Software Idiem",C1348="IN",G1348=4),((('CAFCO 400 '!$H$7*(J1348^4)+'CAFCO 400 '!$H$8*(J1348^3)+'CAFCO 400 '!$H$9*(J1348^2)+'CAFCO 400 '!$H$10*J1348+'CAFCO 400 '!$H$11)*U1348^2)+(('CAFCO 400 '!$H$12*(J1348^3)+'CAFCO 400 '!$H$13*(J1348^2)+'CAFCO 400 '!$H$14*J1348+'CAFCO 400 '!$H$15)*U1348)+('CAFCO 400 '!$H$16*(J1348^2)+'CAFCO 400 '!$H$17*J1348+'CAFCO 400 '!$H$18)),0)+IF(AND(L1348="Cafco 400",M1348="Software Idiem",C1348="Cj"),(((('CAFCO 400 '!$D$7*LN(J1348)+'CAFCO 400 '!$D$8)*U1348^2)+(('CAFCO 400 '!$D$9*LN(J1348)+'CAFCO 400 '!$D$10)*U1348)+('CAFCO 400 '!$D$11*LN(J1348)+'CAFCO 400 '!$D$12))),0)+IF(AND(L1348="Cafco 400",M1348="Software Idiem",C1348="C"),((('CAFCO 400 '!$L$7*(J1348^3)+'CAFCO 400 '!$L$8*(J1348^2)+'CAFCO 400 '!$L$9*J1348+'CAFCO 400 '!$L$10)*U1348^2)+(('CAFCO 400 '!$L$11*(J1348^3)+'CAFCO 400 '!$L$12*(J1348^2)+'CAFCO 400 '!$L$13*J1348+'CAFCO 400 '!$L$14)*U1348)+('CAFCO 400 '!$L$15*LN(J1348)+'CAFCO 400 '!$L$16)),0)+IF(AND(L1348="Cafco 400",M1348="Software Idiem",C1348="L"),((('CAFCO 400 '!$L$7*(J1348^3)+'CAFCO 400 '!$L$8*(J1348^2)+'CAFCO 400 '!$L$9*J1348+'CAFCO 400 '!$L$10)*U1348^2)+(('CAFCO 400 '!$L$11*(J1348^3)+'CAFCO 400 '!$L$12*(J1348^2)+'CAFCO 400 '!$L$13*J1348+'CAFCO 400 '!$L$14)*U1348)+('CAFCO 400 '!$L$15*LN(J1348)+'CAFCO 400 '!$L$16)),0)+IF(AND(L1348="Cafco 400",M1348="Software Idiem",C1348="IN",G1348=3),((('CAFCO 400 '!$D$23*(J1348^2)+'CAFCO 400 '!$D$24*(J1348)+'CAFCO 400 '!$D$25)*U1348^2)+(('CAFCO 400 '!$D$26*(J1348^2)+'CAFCO 400 '!$D$27*J1348+'CAFCO 400 '!$D$28)*U1348)+('CAFCO 400 '!$D$29*(J1348^2)+'CAFCO 400 '!$D$30*J1348+'CAFCO 400 '!$D$31)),0),0)+IF(AND(L1348="Cafco 300",J1348&gt;=95,J1348&lt;=240,C1348="Cj",I1348=90),VLOOKUP(T1348,'CAFCO 300 IDIEM TABLAS'!$B$4:$D$23,2,FALSE),0)+IF(AND(L1348="Cafco 300",J1348&gt;=95,J1348&lt;=240,C1348="Cj",I1348=120),VLOOKUP(T1348,'CAFCO 300 IDIEM TABLAS'!$B$4:$D$23,3,FALSE),0)+IF(AND(L1348="Cafco 300",J1348&gt;=95,J1348&lt;=400,G1348=3,C1348="IN",I1348=90),VLOOKUP(T1348,'CAFCO 300 IDIEM TABLAS'!$F$4:$H$35,2,FALSE),0)+IF(AND(L1348="Cafco 300",J1348&gt;=95,J1348&lt;=400,G1348=3,C1348="IN",I1348=120),VLOOKUP(T1348,'CAFCO 300 IDIEM TABLAS'!$F$4:$H$35,3,FALSE),0)+IF(AND(L1348="Cafco 300",J1348&gt;=95,J1348&lt;=450,G1348=4,C1348="IN",I1348=90),VLOOKUP(T1348,'CAFCO 300 IDIEM TABLAS'!$J$4:$L$40,2,FALSE),0)+IF(AND(L1348="Cafco 300",J1348&gt;=95,J1348&lt;=450,G1348=4,C1348="IN",I1348=120),VLOOKUP(T1348,'CAFCO 300 IDIEM TABLAS'!$J$4:$L$40,3,FALSE),0)+IF(AND(M1348="Ensayo Idiem",L1348="Cafco 400",C1348="IN",G1348=4,I1348=90),VLOOKUP(T1348,'CAFCO 400 ENSAYO'!$B$7:$D$43,2,FALSE),0)+IF(AND(M1348="Ensayo Idiem",L1348="Cafco 400",C1348="IN",G1348=4,I1348=120),VLOOKUP(T1348,'CAFCO 400 ENSAYO'!$B$7:$D$43,3,FALSE),0)</f>
        <v>0</v>
      </c>
      <c r="O1348" s="96">
        <f t="shared" si="132"/>
        <v>0</v>
      </c>
      <c r="P1348" s="95" t="str">
        <f t="shared" si="133"/>
        <v>N/A</v>
      </c>
      <c r="Q1348" s="95" t="str">
        <f t="shared" si="134"/>
        <v>N/A</v>
      </c>
      <c r="R1348" s="95" t="str">
        <f t="shared" si="135"/>
        <v>NO CERT.</v>
      </c>
      <c r="S1348" s="95" t="e">
        <f t="shared" si="136"/>
        <v>#N/A</v>
      </c>
      <c r="T1348" s="119" t="e">
        <f>+IF(J1348=LOOKUP(J1348,'CAFCO 300 IDIEM TABLAS'!$J$4:$J$40),'CALCULO MORTERO'!J1348,MROUND('CALCULO MORTERO'!J1348,10))</f>
        <v>#N/A</v>
      </c>
      <c r="U1348" s="118">
        <f t="shared" si="137"/>
        <v>0</v>
      </c>
    </row>
    <row r="1349" spans="1:21" x14ac:dyDescent="0.25">
      <c r="A1349" s="118">
        <f>+CUBICACION!D1343</f>
        <v>0</v>
      </c>
      <c r="B1349" s="819">
        <f>+CUBICACION!E1343</f>
        <v>0</v>
      </c>
      <c r="C1349" s="675">
        <f>+CUBICACION!F1343</f>
        <v>0</v>
      </c>
      <c r="D1349" s="118"/>
      <c r="E1349" s="118"/>
      <c r="F1349" s="820"/>
      <c r="G1349" s="675">
        <f>+CUBICACION!J1343</f>
        <v>0</v>
      </c>
      <c r="H1349" s="118"/>
      <c r="I1349" s="821">
        <f>+CUBICACION!L1343</f>
        <v>0</v>
      </c>
      <c r="J1349" s="64">
        <f>+CUBICACION!M1343</f>
        <v>0</v>
      </c>
      <c r="K1349" s="822" t="str">
        <f>+CUBICACION!N1343</f>
        <v/>
      </c>
      <c r="L1349" s="118">
        <f>+CUBICACION!O1343</f>
        <v>0</v>
      </c>
      <c r="M1349" s="823">
        <f>+CUBICACION!P1343</f>
        <v>0</v>
      </c>
      <c r="N1349" s="902">
        <f>ROUND(IF(AND(L1349="Blaze Shield II",M1349="Software Idiem",C1349="IN",G1349=4),((('BLAZE SHIELD II'!$D$4*('CALCULO MORTERO'!I1349^2)+'BLAZE SHIELD II'!$D$5*'CALCULO MORTERO'!I1349+'BLAZE SHIELD II'!$D$6)*LN(J1349))+('BLAZE SHIELD II'!$D$7*('CALCULO MORTERO'!I1349^2)+'BLAZE SHIELD II'!$D$8*'CALCULO MORTERO'!I1349+'BLAZE SHIELD II'!$D$9)),0)+IF(AND(L1349="Blaze Shield II",M1349="Software Idiem",C1349="Cj"),((('BLAZE SHIELD II'!$H$4*('CALCULO MORTERO'!I1349^2)+'BLAZE SHIELD II'!$H$5*'CALCULO MORTERO'!I1349+'BLAZE SHIELD II'!$H$6)*LN(J1349))+('BLAZE SHIELD II'!$H$7*('CALCULO MORTERO'!I1349^2)+'BLAZE SHIELD II'!$H$8*'CALCULO MORTERO'!I1349+'BLAZE SHIELD II'!$H$9)),0)+IF(AND(L1349="Blaze Shield II",M1349="Software Idiem",C1349="C"),((('BLAZE SHIELD II'!$L$4*('CALCULO MORTERO'!I1349^2)+'BLAZE SHIELD II'!$L$5*'CALCULO MORTERO'!I1349+'BLAZE SHIELD II'!$L$6)*LN(J1349))+('BLAZE SHIELD II'!$L$7*('CALCULO MORTERO'!I1349^2)+'BLAZE SHIELD II'!$L$8*'CALCULO MORTERO'!I1349+'BLAZE SHIELD II'!$L$9)),0)+IF(AND(L1349="Blaze Shield II",M1349="Software Idiem",C1349="L"),((('BLAZE SHIELD II'!$L$4*('CALCULO MORTERO'!I1349^2)+'BLAZE SHIELD II'!$L$5*'CALCULO MORTERO'!I1349+'BLAZE SHIELD II'!$L$6)*LN(J1349))+('BLAZE SHIELD II'!$L$7*('CALCULO MORTERO'!I1349^2)+'BLAZE SHIELD II'!$L$8*'CALCULO MORTERO'!I1349+'BLAZE SHIELD II'!$L$9)),0)+IF(AND(L1349="Blaze Shield II",M1349="Software Idiem",C1349="IN",G1349=3),((('BLAZE SHIELD II'!$H$14*('CALCULO MORTERO'!I1349^2)+'BLAZE SHIELD II'!$H$15*'CALCULO MORTERO'!I1349+'BLAZE SHIELD II'!$H$16)*LN(J1349))+('BLAZE SHIELD II'!$H$17*('CALCULO MORTERO'!I1349^2)+'BLAZE SHIELD II'!$H$18*'CALCULO MORTERO'!I1349+'BLAZE SHIELD II'!$H$19)),0),0)+ROUND(IF(AND(L1349="Cafco 400",M1349="Software Idiem",C1349="IN",G1349=4),((('CAFCO 400 '!$H$7*(J1349^4)+'CAFCO 400 '!$H$8*(J1349^3)+'CAFCO 400 '!$H$9*(J1349^2)+'CAFCO 400 '!$H$10*J1349+'CAFCO 400 '!$H$11)*U1349^2)+(('CAFCO 400 '!$H$12*(J1349^3)+'CAFCO 400 '!$H$13*(J1349^2)+'CAFCO 400 '!$H$14*J1349+'CAFCO 400 '!$H$15)*U1349)+('CAFCO 400 '!$H$16*(J1349^2)+'CAFCO 400 '!$H$17*J1349+'CAFCO 400 '!$H$18)),0)+IF(AND(L1349="Cafco 400",M1349="Software Idiem",C1349="Cj"),(((('CAFCO 400 '!$D$7*LN(J1349)+'CAFCO 400 '!$D$8)*U1349^2)+(('CAFCO 400 '!$D$9*LN(J1349)+'CAFCO 400 '!$D$10)*U1349)+('CAFCO 400 '!$D$11*LN(J1349)+'CAFCO 400 '!$D$12))),0)+IF(AND(L1349="Cafco 400",M1349="Software Idiem",C1349="C"),((('CAFCO 400 '!$L$7*(J1349^3)+'CAFCO 400 '!$L$8*(J1349^2)+'CAFCO 400 '!$L$9*J1349+'CAFCO 400 '!$L$10)*U1349^2)+(('CAFCO 400 '!$L$11*(J1349^3)+'CAFCO 400 '!$L$12*(J1349^2)+'CAFCO 400 '!$L$13*J1349+'CAFCO 400 '!$L$14)*U1349)+('CAFCO 400 '!$L$15*LN(J1349)+'CAFCO 400 '!$L$16)),0)+IF(AND(L1349="Cafco 400",M1349="Software Idiem",C1349="L"),((('CAFCO 400 '!$L$7*(J1349^3)+'CAFCO 400 '!$L$8*(J1349^2)+'CAFCO 400 '!$L$9*J1349+'CAFCO 400 '!$L$10)*U1349^2)+(('CAFCO 400 '!$L$11*(J1349^3)+'CAFCO 400 '!$L$12*(J1349^2)+'CAFCO 400 '!$L$13*J1349+'CAFCO 400 '!$L$14)*U1349)+('CAFCO 400 '!$L$15*LN(J1349)+'CAFCO 400 '!$L$16)),0)+IF(AND(L1349="Cafco 400",M1349="Software Idiem",C1349="IN",G1349=3),((('CAFCO 400 '!$D$23*(J1349^2)+'CAFCO 400 '!$D$24*(J1349)+'CAFCO 400 '!$D$25)*U1349^2)+(('CAFCO 400 '!$D$26*(J1349^2)+'CAFCO 400 '!$D$27*J1349+'CAFCO 400 '!$D$28)*U1349)+('CAFCO 400 '!$D$29*(J1349^2)+'CAFCO 400 '!$D$30*J1349+'CAFCO 400 '!$D$31)),0),0)+IF(AND(L1349="Cafco 300",J1349&gt;=95,J1349&lt;=240,C1349="Cj",I1349=90),VLOOKUP(T1349,'CAFCO 300 IDIEM TABLAS'!$B$4:$D$23,2,FALSE),0)+IF(AND(L1349="Cafco 300",J1349&gt;=95,J1349&lt;=240,C1349="Cj",I1349=120),VLOOKUP(T1349,'CAFCO 300 IDIEM TABLAS'!$B$4:$D$23,3,FALSE),0)+IF(AND(L1349="Cafco 300",J1349&gt;=95,J1349&lt;=400,G1349=3,C1349="IN",I1349=90),VLOOKUP(T1349,'CAFCO 300 IDIEM TABLAS'!$F$4:$H$35,2,FALSE),0)+IF(AND(L1349="Cafco 300",J1349&gt;=95,J1349&lt;=400,G1349=3,C1349="IN",I1349=120),VLOOKUP(T1349,'CAFCO 300 IDIEM TABLAS'!$F$4:$H$35,3,FALSE),0)+IF(AND(L1349="Cafco 300",J1349&gt;=95,J1349&lt;=450,G1349=4,C1349="IN",I1349=90),VLOOKUP(T1349,'CAFCO 300 IDIEM TABLAS'!$J$4:$L$40,2,FALSE),0)+IF(AND(L1349="Cafco 300",J1349&gt;=95,J1349&lt;=450,G1349=4,C1349="IN",I1349=120),VLOOKUP(T1349,'CAFCO 300 IDIEM TABLAS'!$J$4:$L$40,3,FALSE),0)+IF(AND(M1349="Ensayo Idiem",L1349="Cafco 400",C1349="IN",G1349=4,I1349=90),VLOOKUP(T1349,'CAFCO 400 ENSAYO'!$B$7:$D$43,2,FALSE),0)+IF(AND(M1349="Ensayo Idiem",L1349="Cafco 400",C1349="IN",G1349=4,I1349=120),VLOOKUP(T1349,'CAFCO 400 ENSAYO'!$B$7:$D$43,3,FALSE),0)</f>
        <v>0</v>
      </c>
      <c r="O1349" s="96">
        <f t="shared" si="132"/>
        <v>0</v>
      </c>
      <c r="P1349" s="132" t="str">
        <f t="shared" si="133"/>
        <v>N/A</v>
      </c>
      <c r="Q1349" s="132" t="str">
        <f t="shared" si="134"/>
        <v>N/A</v>
      </c>
      <c r="R1349" s="132" t="str">
        <f t="shared" si="135"/>
        <v>NO CERT.</v>
      </c>
      <c r="S1349" s="132" t="e">
        <f t="shared" si="136"/>
        <v>#N/A</v>
      </c>
      <c r="T1349" s="133" t="e">
        <f>+IF(J1349=LOOKUP(J1349,'CAFCO 300 IDIEM TABLAS'!$J$4:$J$40),'CALCULO MORTERO'!J1349,MROUND('CALCULO MORTERO'!J1349,10))</f>
        <v>#N/A</v>
      </c>
      <c r="U1349" s="134">
        <f t="shared" si="137"/>
        <v>0</v>
      </c>
    </row>
    <row r="1350" spans="1:21" x14ac:dyDescent="0.25">
      <c r="A1350" s="118">
        <f>+CUBICACION!D1344</f>
        <v>0</v>
      </c>
      <c r="B1350" s="819">
        <f>+CUBICACION!E1344</f>
        <v>0</v>
      </c>
      <c r="C1350" s="675">
        <f>+CUBICACION!F1344</f>
        <v>0</v>
      </c>
      <c r="D1350" s="118"/>
      <c r="E1350" s="118"/>
      <c r="F1350" s="820"/>
      <c r="G1350" s="675">
        <f>+CUBICACION!J1344</f>
        <v>0</v>
      </c>
      <c r="H1350" s="118"/>
      <c r="I1350" s="821">
        <f>+CUBICACION!L1344</f>
        <v>0</v>
      </c>
      <c r="J1350" s="64">
        <f>+CUBICACION!M1344</f>
        <v>0</v>
      </c>
      <c r="K1350" s="822" t="str">
        <f>+CUBICACION!N1344</f>
        <v/>
      </c>
      <c r="L1350" s="118">
        <f>+CUBICACION!O1344</f>
        <v>0</v>
      </c>
      <c r="M1350" s="823">
        <f>+CUBICACION!P1344</f>
        <v>0</v>
      </c>
      <c r="N1350" s="902">
        <f>ROUND(IF(AND(L1350="Blaze Shield II",M1350="Software Idiem",C1350="IN",G1350=4),((('BLAZE SHIELD II'!$D$4*('CALCULO MORTERO'!I1350^2)+'BLAZE SHIELD II'!$D$5*'CALCULO MORTERO'!I1350+'BLAZE SHIELD II'!$D$6)*LN(J1350))+('BLAZE SHIELD II'!$D$7*('CALCULO MORTERO'!I1350^2)+'BLAZE SHIELD II'!$D$8*'CALCULO MORTERO'!I1350+'BLAZE SHIELD II'!$D$9)),0)+IF(AND(L1350="Blaze Shield II",M1350="Software Idiem",C1350="Cj"),((('BLAZE SHIELD II'!$H$4*('CALCULO MORTERO'!I1350^2)+'BLAZE SHIELD II'!$H$5*'CALCULO MORTERO'!I1350+'BLAZE SHIELD II'!$H$6)*LN(J1350))+('BLAZE SHIELD II'!$H$7*('CALCULO MORTERO'!I1350^2)+'BLAZE SHIELD II'!$H$8*'CALCULO MORTERO'!I1350+'BLAZE SHIELD II'!$H$9)),0)+IF(AND(L1350="Blaze Shield II",M1350="Software Idiem",C1350="C"),((('BLAZE SHIELD II'!$L$4*('CALCULO MORTERO'!I1350^2)+'BLAZE SHIELD II'!$L$5*'CALCULO MORTERO'!I1350+'BLAZE SHIELD II'!$L$6)*LN(J1350))+('BLAZE SHIELD II'!$L$7*('CALCULO MORTERO'!I1350^2)+'BLAZE SHIELD II'!$L$8*'CALCULO MORTERO'!I1350+'BLAZE SHIELD II'!$L$9)),0)+IF(AND(L1350="Blaze Shield II",M1350="Software Idiem",C1350="L"),((('BLAZE SHIELD II'!$L$4*('CALCULO MORTERO'!I1350^2)+'BLAZE SHIELD II'!$L$5*'CALCULO MORTERO'!I1350+'BLAZE SHIELD II'!$L$6)*LN(J1350))+('BLAZE SHIELD II'!$L$7*('CALCULO MORTERO'!I1350^2)+'BLAZE SHIELD II'!$L$8*'CALCULO MORTERO'!I1350+'BLAZE SHIELD II'!$L$9)),0)+IF(AND(L1350="Blaze Shield II",M1350="Software Idiem",C1350="IN",G1350=3),((('BLAZE SHIELD II'!$H$14*('CALCULO MORTERO'!I1350^2)+'BLAZE SHIELD II'!$H$15*'CALCULO MORTERO'!I1350+'BLAZE SHIELD II'!$H$16)*LN(J1350))+('BLAZE SHIELD II'!$H$17*('CALCULO MORTERO'!I1350^2)+'BLAZE SHIELD II'!$H$18*'CALCULO MORTERO'!I1350+'BLAZE SHIELD II'!$H$19)),0),0)+ROUND(IF(AND(L1350="Cafco 400",M1350="Software Idiem",C1350="IN",G1350=4),((('CAFCO 400 '!$H$7*(J1350^4)+'CAFCO 400 '!$H$8*(J1350^3)+'CAFCO 400 '!$H$9*(J1350^2)+'CAFCO 400 '!$H$10*J1350+'CAFCO 400 '!$H$11)*U1350^2)+(('CAFCO 400 '!$H$12*(J1350^3)+'CAFCO 400 '!$H$13*(J1350^2)+'CAFCO 400 '!$H$14*J1350+'CAFCO 400 '!$H$15)*U1350)+('CAFCO 400 '!$H$16*(J1350^2)+'CAFCO 400 '!$H$17*J1350+'CAFCO 400 '!$H$18)),0)+IF(AND(L1350="Cafco 400",M1350="Software Idiem",C1350="Cj"),(((('CAFCO 400 '!$D$7*LN(J1350)+'CAFCO 400 '!$D$8)*U1350^2)+(('CAFCO 400 '!$D$9*LN(J1350)+'CAFCO 400 '!$D$10)*U1350)+('CAFCO 400 '!$D$11*LN(J1350)+'CAFCO 400 '!$D$12))),0)+IF(AND(L1350="Cafco 400",M1350="Software Idiem",C1350="C"),((('CAFCO 400 '!$L$7*(J1350^3)+'CAFCO 400 '!$L$8*(J1350^2)+'CAFCO 400 '!$L$9*J1350+'CAFCO 400 '!$L$10)*U1350^2)+(('CAFCO 400 '!$L$11*(J1350^3)+'CAFCO 400 '!$L$12*(J1350^2)+'CAFCO 400 '!$L$13*J1350+'CAFCO 400 '!$L$14)*U1350)+('CAFCO 400 '!$L$15*LN(J1350)+'CAFCO 400 '!$L$16)),0)+IF(AND(L1350="Cafco 400",M1350="Software Idiem",C1350="L"),((('CAFCO 400 '!$L$7*(J1350^3)+'CAFCO 400 '!$L$8*(J1350^2)+'CAFCO 400 '!$L$9*J1350+'CAFCO 400 '!$L$10)*U1350^2)+(('CAFCO 400 '!$L$11*(J1350^3)+'CAFCO 400 '!$L$12*(J1350^2)+'CAFCO 400 '!$L$13*J1350+'CAFCO 400 '!$L$14)*U1350)+('CAFCO 400 '!$L$15*LN(J1350)+'CAFCO 400 '!$L$16)),0)+IF(AND(L1350="Cafco 400",M1350="Software Idiem",C1350="IN",G1350=3),((('CAFCO 400 '!$D$23*(J1350^2)+'CAFCO 400 '!$D$24*(J1350)+'CAFCO 400 '!$D$25)*U1350^2)+(('CAFCO 400 '!$D$26*(J1350^2)+'CAFCO 400 '!$D$27*J1350+'CAFCO 400 '!$D$28)*U1350)+('CAFCO 400 '!$D$29*(J1350^2)+'CAFCO 400 '!$D$30*J1350+'CAFCO 400 '!$D$31)),0),0)+IF(AND(L1350="Cafco 300",J1350&gt;=95,J1350&lt;=240,C1350="Cj",I1350=90),VLOOKUP(T1350,'CAFCO 300 IDIEM TABLAS'!$B$4:$D$23,2,FALSE),0)+IF(AND(L1350="Cafco 300",J1350&gt;=95,J1350&lt;=240,C1350="Cj",I1350=120),VLOOKUP(T1350,'CAFCO 300 IDIEM TABLAS'!$B$4:$D$23,3,FALSE),0)+IF(AND(L1350="Cafco 300",J1350&gt;=95,J1350&lt;=400,G1350=3,C1350="IN",I1350=90),VLOOKUP(T1350,'CAFCO 300 IDIEM TABLAS'!$F$4:$H$35,2,FALSE),0)+IF(AND(L1350="Cafco 300",J1350&gt;=95,J1350&lt;=400,G1350=3,C1350="IN",I1350=120),VLOOKUP(T1350,'CAFCO 300 IDIEM TABLAS'!$F$4:$H$35,3,FALSE),0)+IF(AND(L1350="Cafco 300",J1350&gt;=95,J1350&lt;=450,G1350=4,C1350="IN",I1350=90),VLOOKUP(T1350,'CAFCO 300 IDIEM TABLAS'!$J$4:$L$40,2,FALSE),0)+IF(AND(L1350="Cafco 300",J1350&gt;=95,J1350&lt;=450,G1350=4,C1350="IN",I1350=120),VLOOKUP(T1350,'CAFCO 300 IDIEM TABLAS'!$J$4:$L$40,3,FALSE),0)+IF(AND(M1350="Ensayo Idiem",L1350="Cafco 400",C1350="IN",G1350=4,I1350=90),VLOOKUP(T1350,'CAFCO 400 ENSAYO'!$B$7:$D$43,2,FALSE),0)+IF(AND(M1350="Ensayo Idiem",L1350="Cafco 400",C1350="IN",G1350=4,I1350=120),VLOOKUP(T1350,'CAFCO 400 ENSAYO'!$B$7:$D$43,3,FALSE),0)</f>
        <v>0</v>
      </c>
      <c r="O1350" s="96">
        <f t="shared" si="132"/>
        <v>0</v>
      </c>
      <c r="P1350" s="95" t="str">
        <f t="shared" si="133"/>
        <v>N/A</v>
      </c>
      <c r="Q1350" s="95" t="str">
        <f t="shared" si="134"/>
        <v>N/A</v>
      </c>
      <c r="R1350" s="95" t="str">
        <f t="shared" si="135"/>
        <v>NO CERT.</v>
      </c>
      <c r="S1350" s="95" t="e">
        <f t="shared" si="136"/>
        <v>#N/A</v>
      </c>
      <c r="T1350" s="119" t="e">
        <f>+IF(J1350=LOOKUP(J1350,'CAFCO 300 IDIEM TABLAS'!$J$4:$J$40),'CALCULO MORTERO'!J1350,MROUND('CALCULO MORTERO'!J1350,10))</f>
        <v>#N/A</v>
      </c>
      <c r="U1350" s="118">
        <f t="shared" si="137"/>
        <v>0</v>
      </c>
    </row>
    <row r="1351" spans="1:21" x14ac:dyDescent="0.25">
      <c r="A1351" s="118">
        <f>+CUBICACION!D1345</f>
        <v>0</v>
      </c>
      <c r="B1351" s="819">
        <f>+CUBICACION!E1345</f>
        <v>0</v>
      </c>
      <c r="C1351" s="675">
        <f>+CUBICACION!F1345</f>
        <v>0</v>
      </c>
      <c r="D1351" s="118"/>
      <c r="E1351" s="118"/>
      <c r="F1351" s="820"/>
      <c r="G1351" s="675">
        <f>+CUBICACION!J1345</f>
        <v>0</v>
      </c>
      <c r="H1351" s="118"/>
      <c r="I1351" s="821">
        <f>+CUBICACION!L1345</f>
        <v>0</v>
      </c>
      <c r="J1351" s="64">
        <f>+CUBICACION!M1345</f>
        <v>0</v>
      </c>
      <c r="K1351" s="822" t="str">
        <f>+CUBICACION!N1345</f>
        <v/>
      </c>
      <c r="L1351" s="118">
        <f>+CUBICACION!O1345</f>
        <v>0</v>
      </c>
      <c r="M1351" s="823">
        <f>+CUBICACION!P1345</f>
        <v>0</v>
      </c>
      <c r="N1351" s="902">
        <f>ROUND(IF(AND(L1351="Blaze Shield II",M1351="Software Idiem",C1351="IN",G1351=4),((('BLAZE SHIELD II'!$D$4*('CALCULO MORTERO'!I1351^2)+'BLAZE SHIELD II'!$D$5*'CALCULO MORTERO'!I1351+'BLAZE SHIELD II'!$D$6)*LN(J1351))+('BLAZE SHIELD II'!$D$7*('CALCULO MORTERO'!I1351^2)+'BLAZE SHIELD II'!$D$8*'CALCULO MORTERO'!I1351+'BLAZE SHIELD II'!$D$9)),0)+IF(AND(L1351="Blaze Shield II",M1351="Software Idiem",C1351="Cj"),((('BLAZE SHIELD II'!$H$4*('CALCULO MORTERO'!I1351^2)+'BLAZE SHIELD II'!$H$5*'CALCULO MORTERO'!I1351+'BLAZE SHIELD II'!$H$6)*LN(J1351))+('BLAZE SHIELD II'!$H$7*('CALCULO MORTERO'!I1351^2)+'BLAZE SHIELD II'!$H$8*'CALCULO MORTERO'!I1351+'BLAZE SHIELD II'!$H$9)),0)+IF(AND(L1351="Blaze Shield II",M1351="Software Idiem",C1351="C"),((('BLAZE SHIELD II'!$L$4*('CALCULO MORTERO'!I1351^2)+'BLAZE SHIELD II'!$L$5*'CALCULO MORTERO'!I1351+'BLAZE SHIELD II'!$L$6)*LN(J1351))+('BLAZE SHIELD II'!$L$7*('CALCULO MORTERO'!I1351^2)+'BLAZE SHIELD II'!$L$8*'CALCULO MORTERO'!I1351+'BLAZE SHIELD II'!$L$9)),0)+IF(AND(L1351="Blaze Shield II",M1351="Software Idiem",C1351="L"),((('BLAZE SHIELD II'!$L$4*('CALCULO MORTERO'!I1351^2)+'BLAZE SHIELD II'!$L$5*'CALCULO MORTERO'!I1351+'BLAZE SHIELD II'!$L$6)*LN(J1351))+('BLAZE SHIELD II'!$L$7*('CALCULO MORTERO'!I1351^2)+'BLAZE SHIELD II'!$L$8*'CALCULO MORTERO'!I1351+'BLAZE SHIELD II'!$L$9)),0)+IF(AND(L1351="Blaze Shield II",M1351="Software Idiem",C1351="IN",G1351=3),((('BLAZE SHIELD II'!$H$14*('CALCULO MORTERO'!I1351^2)+'BLAZE SHIELD II'!$H$15*'CALCULO MORTERO'!I1351+'BLAZE SHIELD II'!$H$16)*LN(J1351))+('BLAZE SHIELD II'!$H$17*('CALCULO MORTERO'!I1351^2)+'BLAZE SHIELD II'!$H$18*'CALCULO MORTERO'!I1351+'BLAZE SHIELD II'!$H$19)),0),0)+ROUND(IF(AND(L1351="Cafco 400",M1351="Software Idiem",C1351="IN",G1351=4),((('CAFCO 400 '!$H$7*(J1351^4)+'CAFCO 400 '!$H$8*(J1351^3)+'CAFCO 400 '!$H$9*(J1351^2)+'CAFCO 400 '!$H$10*J1351+'CAFCO 400 '!$H$11)*U1351^2)+(('CAFCO 400 '!$H$12*(J1351^3)+'CAFCO 400 '!$H$13*(J1351^2)+'CAFCO 400 '!$H$14*J1351+'CAFCO 400 '!$H$15)*U1351)+('CAFCO 400 '!$H$16*(J1351^2)+'CAFCO 400 '!$H$17*J1351+'CAFCO 400 '!$H$18)),0)+IF(AND(L1351="Cafco 400",M1351="Software Idiem",C1351="Cj"),(((('CAFCO 400 '!$D$7*LN(J1351)+'CAFCO 400 '!$D$8)*U1351^2)+(('CAFCO 400 '!$D$9*LN(J1351)+'CAFCO 400 '!$D$10)*U1351)+('CAFCO 400 '!$D$11*LN(J1351)+'CAFCO 400 '!$D$12))),0)+IF(AND(L1351="Cafco 400",M1351="Software Idiem",C1351="C"),((('CAFCO 400 '!$L$7*(J1351^3)+'CAFCO 400 '!$L$8*(J1351^2)+'CAFCO 400 '!$L$9*J1351+'CAFCO 400 '!$L$10)*U1351^2)+(('CAFCO 400 '!$L$11*(J1351^3)+'CAFCO 400 '!$L$12*(J1351^2)+'CAFCO 400 '!$L$13*J1351+'CAFCO 400 '!$L$14)*U1351)+('CAFCO 400 '!$L$15*LN(J1351)+'CAFCO 400 '!$L$16)),0)+IF(AND(L1351="Cafco 400",M1351="Software Idiem",C1351="L"),((('CAFCO 400 '!$L$7*(J1351^3)+'CAFCO 400 '!$L$8*(J1351^2)+'CAFCO 400 '!$L$9*J1351+'CAFCO 400 '!$L$10)*U1351^2)+(('CAFCO 400 '!$L$11*(J1351^3)+'CAFCO 400 '!$L$12*(J1351^2)+'CAFCO 400 '!$L$13*J1351+'CAFCO 400 '!$L$14)*U1351)+('CAFCO 400 '!$L$15*LN(J1351)+'CAFCO 400 '!$L$16)),0)+IF(AND(L1351="Cafco 400",M1351="Software Idiem",C1351="IN",G1351=3),((('CAFCO 400 '!$D$23*(J1351^2)+'CAFCO 400 '!$D$24*(J1351)+'CAFCO 400 '!$D$25)*U1351^2)+(('CAFCO 400 '!$D$26*(J1351^2)+'CAFCO 400 '!$D$27*J1351+'CAFCO 400 '!$D$28)*U1351)+('CAFCO 400 '!$D$29*(J1351^2)+'CAFCO 400 '!$D$30*J1351+'CAFCO 400 '!$D$31)),0),0)+IF(AND(L1351="Cafco 300",J1351&gt;=95,J1351&lt;=240,C1351="Cj",I1351=90),VLOOKUP(T1351,'CAFCO 300 IDIEM TABLAS'!$B$4:$D$23,2,FALSE),0)+IF(AND(L1351="Cafco 300",J1351&gt;=95,J1351&lt;=240,C1351="Cj",I1351=120),VLOOKUP(T1351,'CAFCO 300 IDIEM TABLAS'!$B$4:$D$23,3,FALSE),0)+IF(AND(L1351="Cafco 300",J1351&gt;=95,J1351&lt;=400,G1351=3,C1351="IN",I1351=90),VLOOKUP(T1351,'CAFCO 300 IDIEM TABLAS'!$F$4:$H$35,2,FALSE),0)+IF(AND(L1351="Cafco 300",J1351&gt;=95,J1351&lt;=400,G1351=3,C1351="IN",I1351=120),VLOOKUP(T1351,'CAFCO 300 IDIEM TABLAS'!$F$4:$H$35,3,FALSE),0)+IF(AND(L1351="Cafco 300",J1351&gt;=95,J1351&lt;=450,G1351=4,C1351="IN",I1351=90),VLOOKUP(T1351,'CAFCO 300 IDIEM TABLAS'!$J$4:$L$40,2,FALSE),0)+IF(AND(L1351="Cafco 300",J1351&gt;=95,J1351&lt;=450,G1351=4,C1351="IN",I1351=120),VLOOKUP(T1351,'CAFCO 300 IDIEM TABLAS'!$J$4:$L$40,3,FALSE),0)+IF(AND(M1351="Ensayo Idiem",L1351="Cafco 400",C1351="IN",G1351=4,I1351=90),VLOOKUP(T1351,'CAFCO 400 ENSAYO'!$B$7:$D$43,2,FALSE),0)+IF(AND(M1351="Ensayo Idiem",L1351="Cafco 400",C1351="IN",G1351=4,I1351=120),VLOOKUP(T1351,'CAFCO 400 ENSAYO'!$B$7:$D$43,3,FALSE),0)</f>
        <v>0</v>
      </c>
      <c r="O1351" s="96">
        <f t="shared" si="132"/>
        <v>0</v>
      </c>
      <c r="P1351" s="132" t="str">
        <f t="shared" si="133"/>
        <v>N/A</v>
      </c>
      <c r="Q1351" s="132" t="str">
        <f t="shared" si="134"/>
        <v>N/A</v>
      </c>
      <c r="R1351" s="132" t="str">
        <f t="shared" si="135"/>
        <v>NO CERT.</v>
      </c>
      <c r="S1351" s="132" t="e">
        <f t="shared" si="136"/>
        <v>#N/A</v>
      </c>
      <c r="T1351" s="133" t="e">
        <f>+IF(J1351=LOOKUP(J1351,'CAFCO 300 IDIEM TABLAS'!$J$4:$J$40),'CALCULO MORTERO'!J1351,MROUND('CALCULO MORTERO'!J1351,10))</f>
        <v>#N/A</v>
      </c>
      <c r="U1351" s="134">
        <f t="shared" si="137"/>
        <v>0</v>
      </c>
    </row>
    <row r="1352" spans="1:21" x14ac:dyDescent="0.25">
      <c r="A1352" s="118">
        <f>+CUBICACION!D1346</f>
        <v>0</v>
      </c>
      <c r="B1352" s="819">
        <f>+CUBICACION!E1346</f>
        <v>0</v>
      </c>
      <c r="C1352" s="675">
        <f>+CUBICACION!F1346</f>
        <v>0</v>
      </c>
      <c r="D1352" s="118"/>
      <c r="E1352" s="118"/>
      <c r="F1352" s="820"/>
      <c r="G1352" s="675">
        <f>+CUBICACION!J1346</f>
        <v>0</v>
      </c>
      <c r="H1352" s="118"/>
      <c r="I1352" s="821">
        <f>+CUBICACION!L1346</f>
        <v>0</v>
      </c>
      <c r="J1352" s="64">
        <f>+CUBICACION!M1346</f>
        <v>0</v>
      </c>
      <c r="K1352" s="822" t="str">
        <f>+CUBICACION!N1346</f>
        <v/>
      </c>
      <c r="L1352" s="118">
        <f>+CUBICACION!O1346</f>
        <v>0</v>
      </c>
      <c r="M1352" s="823">
        <f>+CUBICACION!P1346</f>
        <v>0</v>
      </c>
      <c r="N1352" s="902">
        <f>ROUND(IF(AND(L1352="Blaze Shield II",M1352="Software Idiem",C1352="IN",G1352=4),((('BLAZE SHIELD II'!$D$4*('CALCULO MORTERO'!I1352^2)+'BLAZE SHIELD II'!$D$5*'CALCULO MORTERO'!I1352+'BLAZE SHIELD II'!$D$6)*LN(J1352))+('BLAZE SHIELD II'!$D$7*('CALCULO MORTERO'!I1352^2)+'BLAZE SHIELD II'!$D$8*'CALCULO MORTERO'!I1352+'BLAZE SHIELD II'!$D$9)),0)+IF(AND(L1352="Blaze Shield II",M1352="Software Idiem",C1352="Cj"),((('BLAZE SHIELD II'!$H$4*('CALCULO MORTERO'!I1352^2)+'BLAZE SHIELD II'!$H$5*'CALCULO MORTERO'!I1352+'BLAZE SHIELD II'!$H$6)*LN(J1352))+('BLAZE SHIELD II'!$H$7*('CALCULO MORTERO'!I1352^2)+'BLAZE SHIELD II'!$H$8*'CALCULO MORTERO'!I1352+'BLAZE SHIELD II'!$H$9)),0)+IF(AND(L1352="Blaze Shield II",M1352="Software Idiem",C1352="C"),((('BLAZE SHIELD II'!$L$4*('CALCULO MORTERO'!I1352^2)+'BLAZE SHIELD II'!$L$5*'CALCULO MORTERO'!I1352+'BLAZE SHIELD II'!$L$6)*LN(J1352))+('BLAZE SHIELD II'!$L$7*('CALCULO MORTERO'!I1352^2)+'BLAZE SHIELD II'!$L$8*'CALCULO MORTERO'!I1352+'BLAZE SHIELD II'!$L$9)),0)+IF(AND(L1352="Blaze Shield II",M1352="Software Idiem",C1352="L"),((('BLAZE SHIELD II'!$L$4*('CALCULO MORTERO'!I1352^2)+'BLAZE SHIELD II'!$L$5*'CALCULO MORTERO'!I1352+'BLAZE SHIELD II'!$L$6)*LN(J1352))+('BLAZE SHIELD II'!$L$7*('CALCULO MORTERO'!I1352^2)+'BLAZE SHIELD II'!$L$8*'CALCULO MORTERO'!I1352+'BLAZE SHIELD II'!$L$9)),0)+IF(AND(L1352="Blaze Shield II",M1352="Software Idiem",C1352="IN",G1352=3),((('BLAZE SHIELD II'!$H$14*('CALCULO MORTERO'!I1352^2)+'BLAZE SHIELD II'!$H$15*'CALCULO MORTERO'!I1352+'BLAZE SHIELD II'!$H$16)*LN(J1352))+('BLAZE SHIELD II'!$H$17*('CALCULO MORTERO'!I1352^2)+'BLAZE SHIELD II'!$H$18*'CALCULO MORTERO'!I1352+'BLAZE SHIELD II'!$H$19)),0),0)+ROUND(IF(AND(L1352="Cafco 400",M1352="Software Idiem",C1352="IN",G1352=4),((('CAFCO 400 '!$H$7*(J1352^4)+'CAFCO 400 '!$H$8*(J1352^3)+'CAFCO 400 '!$H$9*(J1352^2)+'CAFCO 400 '!$H$10*J1352+'CAFCO 400 '!$H$11)*U1352^2)+(('CAFCO 400 '!$H$12*(J1352^3)+'CAFCO 400 '!$H$13*(J1352^2)+'CAFCO 400 '!$H$14*J1352+'CAFCO 400 '!$H$15)*U1352)+('CAFCO 400 '!$H$16*(J1352^2)+'CAFCO 400 '!$H$17*J1352+'CAFCO 400 '!$H$18)),0)+IF(AND(L1352="Cafco 400",M1352="Software Idiem",C1352="Cj"),(((('CAFCO 400 '!$D$7*LN(J1352)+'CAFCO 400 '!$D$8)*U1352^2)+(('CAFCO 400 '!$D$9*LN(J1352)+'CAFCO 400 '!$D$10)*U1352)+('CAFCO 400 '!$D$11*LN(J1352)+'CAFCO 400 '!$D$12))),0)+IF(AND(L1352="Cafco 400",M1352="Software Idiem",C1352="C"),((('CAFCO 400 '!$L$7*(J1352^3)+'CAFCO 400 '!$L$8*(J1352^2)+'CAFCO 400 '!$L$9*J1352+'CAFCO 400 '!$L$10)*U1352^2)+(('CAFCO 400 '!$L$11*(J1352^3)+'CAFCO 400 '!$L$12*(J1352^2)+'CAFCO 400 '!$L$13*J1352+'CAFCO 400 '!$L$14)*U1352)+('CAFCO 400 '!$L$15*LN(J1352)+'CAFCO 400 '!$L$16)),0)+IF(AND(L1352="Cafco 400",M1352="Software Idiem",C1352="L"),((('CAFCO 400 '!$L$7*(J1352^3)+'CAFCO 400 '!$L$8*(J1352^2)+'CAFCO 400 '!$L$9*J1352+'CAFCO 400 '!$L$10)*U1352^2)+(('CAFCO 400 '!$L$11*(J1352^3)+'CAFCO 400 '!$L$12*(J1352^2)+'CAFCO 400 '!$L$13*J1352+'CAFCO 400 '!$L$14)*U1352)+('CAFCO 400 '!$L$15*LN(J1352)+'CAFCO 400 '!$L$16)),0)+IF(AND(L1352="Cafco 400",M1352="Software Idiem",C1352="IN",G1352=3),((('CAFCO 400 '!$D$23*(J1352^2)+'CAFCO 400 '!$D$24*(J1352)+'CAFCO 400 '!$D$25)*U1352^2)+(('CAFCO 400 '!$D$26*(J1352^2)+'CAFCO 400 '!$D$27*J1352+'CAFCO 400 '!$D$28)*U1352)+('CAFCO 400 '!$D$29*(J1352^2)+'CAFCO 400 '!$D$30*J1352+'CAFCO 400 '!$D$31)),0),0)+IF(AND(L1352="Cafco 300",J1352&gt;=95,J1352&lt;=240,C1352="Cj",I1352=90),VLOOKUP(T1352,'CAFCO 300 IDIEM TABLAS'!$B$4:$D$23,2,FALSE),0)+IF(AND(L1352="Cafco 300",J1352&gt;=95,J1352&lt;=240,C1352="Cj",I1352=120),VLOOKUP(T1352,'CAFCO 300 IDIEM TABLAS'!$B$4:$D$23,3,FALSE),0)+IF(AND(L1352="Cafco 300",J1352&gt;=95,J1352&lt;=400,G1352=3,C1352="IN",I1352=90),VLOOKUP(T1352,'CAFCO 300 IDIEM TABLAS'!$F$4:$H$35,2,FALSE),0)+IF(AND(L1352="Cafco 300",J1352&gt;=95,J1352&lt;=400,G1352=3,C1352="IN",I1352=120),VLOOKUP(T1352,'CAFCO 300 IDIEM TABLAS'!$F$4:$H$35,3,FALSE),0)+IF(AND(L1352="Cafco 300",J1352&gt;=95,J1352&lt;=450,G1352=4,C1352="IN",I1352=90),VLOOKUP(T1352,'CAFCO 300 IDIEM TABLAS'!$J$4:$L$40,2,FALSE),0)+IF(AND(L1352="Cafco 300",J1352&gt;=95,J1352&lt;=450,G1352=4,C1352="IN",I1352=120),VLOOKUP(T1352,'CAFCO 300 IDIEM TABLAS'!$J$4:$L$40,3,FALSE),0)+IF(AND(M1352="Ensayo Idiem",L1352="Cafco 400",C1352="IN",G1352=4,I1352=90),VLOOKUP(T1352,'CAFCO 400 ENSAYO'!$B$7:$D$43,2,FALSE),0)+IF(AND(M1352="Ensayo Idiem",L1352="Cafco 400",C1352="IN",G1352=4,I1352=120),VLOOKUP(T1352,'CAFCO 400 ENSAYO'!$B$7:$D$43,3,FALSE),0)</f>
        <v>0</v>
      </c>
      <c r="O1352" s="96">
        <f t="shared" si="132"/>
        <v>0</v>
      </c>
      <c r="P1352" s="95" t="str">
        <f t="shared" si="133"/>
        <v>N/A</v>
      </c>
      <c r="Q1352" s="95" t="str">
        <f t="shared" si="134"/>
        <v>N/A</v>
      </c>
      <c r="R1352" s="95" t="str">
        <f t="shared" si="135"/>
        <v>NO CERT.</v>
      </c>
      <c r="S1352" s="95" t="e">
        <f t="shared" si="136"/>
        <v>#N/A</v>
      </c>
      <c r="T1352" s="119" t="e">
        <f>+IF(J1352=LOOKUP(J1352,'CAFCO 300 IDIEM TABLAS'!$J$4:$J$40),'CALCULO MORTERO'!J1352,MROUND('CALCULO MORTERO'!J1352,10))</f>
        <v>#N/A</v>
      </c>
      <c r="U1352" s="118">
        <f t="shared" si="137"/>
        <v>0</v>
      </c>
    </row>
    <row r="1353" spans="1:21" x14ac:dyDescent="0.25">
      <c r="A1353" s="118">
        <f>+CUBICACION!D1347</f>
        <v>0</v>
      </c>
      <c r="B1353" s="819">
        <f>+CUBICACION!E1347</f>
        <v>0</v>
      </c>
      <c r="C1353" s="675">
        <f>+CUBICACION!F1347</f>
        <v>0</v>
      </c>
      <c r="D1353" s="118"/>
      <c r="E1353" s="118"/>
      <c r="F1353" s="820"/>
      <c r="G1353" s="675">
        <f>+CUBICACION!J1347</f>
        <v>0</v>
      </c>
      <c r="H1353" s="118"/>
      <c r="I1353" s="821">
        <f>+CUBICACION!L1347</f>
        <v>0</v>
      </c>
      <c r="J1353" s="64">
        <f>+CUBICACION!M1347</f>
        <v>0</v>
      </c>
      <c r="K1353" s="822" t="str">
        <f>+CUBICACION!N1347</f>
        <v/>
      </c>
      <c r="L1353" s="118">
        <f>+CUBICACION!O1347</f>
        <v>0</v>
      </c>
      <c r="M1353" s="823">
        <f>+CUBICACION!P1347</f>
        <v>0</v>
      </c>
      <c r="N1353" s="902">
        <f>ROUND(IF(AND(L1353="Blaze Shield II",M1353="Software Idiem",C1353="IN",G1353=4),((('BLAZE SHIELD II'!$D$4*('CALCULO MORTERO'!I1353^2)+'BLAZE SHIELD II'!$D$5*'CALCULO MORTERO'!I1353+'BLAZE SHIELD II'!$D$6)*LN(J1353))+('BLAZE SHIELD II'!$D$7*('CALCULO MORTERO'!I1353^2)+'BLAZE SHIELD II'!$D$8*'CALCULO MORTERO'!I1353+'BLAZE SHIELD II'!$D$9)),0)+IF(AND(L1353="Blaze Shield II",M1353="Software Idiem",C1353="Cj"),((('BLAZE SHIELD II'!$H$4*('CALCULO MORTERO'!I1353^2)+'BLAZE SHIELD II'!$H$5*'CALCULO MORTERO'!I1353+'BLAZE SHIELD II'!$H$6)*LN(J1353))+('BLAZE SHIELD II'!$H$7*('CALCULO MORTERO'!I1353^2)+'BLAZE SHIELD II'!$H$8*'CALCULO MORTERO'!I1353+'BLAZE SHIELD II'!$H$9)),0)+IF(AND(L1353="Blaze Shield II",M1353="Software Idiem",C1353="C"),((('BLAZE SHIELD II'!$L$4*('CALCULO MORTERO'!I1353^2)+'BLAZE SHIELD II'!$L$5*'CALCULO MORTERO'!I1353+'BLAZE SHIELD II'!$L$6)*LN(J1353))+('BLAZE SHIELD II'!$L$7*('CALCULO MORTERO'!I1353^2)+'BLAZE SHIELD II'!$L$8*'CALCULO MORTERO'!I1353+'BLAZE SHIELD II'!$L$9)),0)+IF(AND(L1353="Blaze Shield II",M1353="Software Idiem",C1353="L"),((('BLAZE SHIELD II'!$L$4*('CALCULO MORTERO'!I1353^2)+'BLAZE SHIELD II'!$L$5*'CALCULO MORTERO'!I1353+'BLAZE SHIELD II'!$L$6)*LN(J1353))+('BLAZE SHIELD II'!$L$7*('CALCULO MORTERO'!I1353^2)+'BLAZE SHIELD II'!$L$8*'CALCULO MORTERO'!I1353+'BLAZE SHIELD II'!$L$9)),0)+IF(AND(L1353="Blaze Shield II",M1353="Software Idiem",C1353="IN",G1353=3),((('BLAZE SHIELD II'!$H$14*('CALCULO MORTERO'!I1353^2)+'BLAZE SHIELD II'!$H$15*'CALCULO MORTERO'!I1353+'BLAZE SHIELD II'!$H$16)*LN(J1353))+('BLAZE SHIELD II'!$H$17*('CALCULO MORTERO'!I1353^2)+'BLAZE SHIELD II'!$H$18*'CALCULO MORTERO'!I1353+'BLAZE SHIELD II'!$H$19)),0),0)+ROUND(IF(AND(L1353="Cafco 400",M1353="Software Idiem",C1353="IN",G1353=4),((('CAFCO 400 '!$H$7*(J1353^4)+'CAFCO 400 '!$H$8*(J1353^3)+'CAFCO 400 '!$H$9*(J1353^2)+'CAFCO 400 '!$H$10*J1353+'CAFCO 400 '!$H$11)*U1353^2)+(('CAFCO 400 '!$H$12*(J1353^3)+'CAFCO 400 '!$H$13*(J1353^2)+'CAFCO 400 '!$H$14*J1353+'CAFCO 400 '!$H$15)*U1353)+('CAFCO 400 '!$H$16*(J1353^2)+'CAFCO 400 '!$H$17*J1353+'CAFCO 400 '!$H$18)),0)+IF(AND(L1353="Cafco 400",M1353="Software Idiem",C1353="Cj"),(((('CAFCO 400 '!$D$7*LN(J1353)+'CAFCO 400 '!$D$8)*U1353^2)+(('CAFCO 400 '!$D$9*LN(J1353)+'CAFCO 400 '!$D$10)*U1353)+('CAFCO 400 '!$D$11*LN(J1353)+'CAFCO 400 '!$D$12))),0)+IF(AND(L1353="Cafco 400",M1353="Software Idiem",C1353="C"),((('CAFCO 400 '!$L$7*(J1353^3)+'CAFCO 400 '!$L$8*(J1353^2)+'CAFCO 400 '!$L$9*J1353+'CAFCO 400 '!$L$10)*U1353^2)+(('CAFCO 400 '!$L$11*(J1353^3)+'CAFCO 400 '!$L$12*(J1353^2)+'CAFCO 400 '!$L$13*J1353+'CAFCO 400 '!$L$14)*U1353)+('CAFCO 400 '!$L$15*LN(J1353)+'CAFCO 400 '!$L$16)),0)+IF(AND(L1353="Cafco 400",M1353="Software Idiem",C1353="L"),((('CAFCO 400 '!$L$7*(J1353^3)+'CAFCO 400 '!$L$8*(J1353^2)+'CAFCO 400 '!$L$9*J1353+'CAFCO 400 '!$L$10)*U1353^2)+(('CAFCO 400 '!$L$11*(J1353^3)+'CAFCO 400 '!$L$12*(J1353^2)+'CAFCO 400 '!$L$13*J1353+'CAFCO 400 '!$L$14)*U1353)+('CAFCO 400 '!$L$15*LN(J1353)+'CAFCO 400 '!$L$16)),0)+IF(AND(L1353="Cafco 400",M1353="Software Idiem",C1353="IN",G1353=3),((('CAFCO 400 '!$D$23*(J1353^2)+'CAFCO 400 '!$D$24*(J1353)+'CAFCO 400 '!$D$25)*U1353^2)+(('CAFCO 400 '!$D$26*(J1353^2)+'CAFCO 400 '!$D$27*J1353+'CAFCO 400 '!$D$28)*U1353)+('CAFCO 400 '!$D$29*(J1353^2)+'CAFCO 400 '!$D$30*J1353+'CAFCO 400 '!$D$31)),0),0)+IF(AND(L1353="Cafco 300",J1353&gt;=95,J1353&lt;=240,C1353="Cj",I1353=90),VLOOKUP(T1353,'CAFCO 300 IDIEM TABLAS'!$B$4:$D$23,2,FALSE),0)+IF(AND(L1353="Cafco 300",J1353&gt;=95,J1353&lt;=240,C1353="Cj",I1353=120),VLOOKUP(T1353,'CAFCO 300 IDIEM TABLAS'!$B$4:$D$23,3,FALSE),0)+IF(AND(L1353="Cafco 300",J1353&gt;=95,J1353&lt;=400,G1353=3,C1353="IN",I1353=90),VLOOKUP(T1353,'CAFCO 300 IDIEM TABLAS'!$F$4:$H$35,2,FALSE),0)+IF(AND(L1353="Cafco 300",J1353&gt;=95,J1353&lt;=400,G1353=3,C1353="IN",I1353=120),VLOOKUP(T1353,'CAFCO 300 IDIEM TABLAS'!$F$4:$H$35,3,FALSE),0)+IF(AND(L1353="Cafco 300",J1353&gt;=95,J1353&lt;=450,G1353=4,C1353="IN",I1353=90),VLOOKUP(T1353,'CAFCO 300 IDIEM TABLAS'!$J$4:$L$40,2,FALSE),0)+IF(AND(L1353="Cafco 300",J1353&gt;=95,J1353&lt;=450,G1353=4,C1353="IN",I1353=120),VLOOKUP(T1353,'CAFCO 300 IDIEM TABLAS'!$J$4:$L$40,3,FALSE),0)+IF(AND(M1353="Ensayo Idiem",L1353="Cafco 400",C1353="IN",G1353=4,I1353=90),VLOOKUP(T1353,'CAFCO 400 ENSAYO'!$B$7:$D$43,2,FALSE),0)+IF(AND(M1353="Ensayo Idiem",L1353="Cafco 400",C1353="IN",G1353=4,I1353=120),VLOOKUP(T1353,'CAFCO 400 ENSAYO'!$B$7:$D$43,3,FALSE),0)</f>
        <v>0</v>
      </c>
      <c r="O1353" s="96">
        <f t="shared" si="132"/>
        <v>0</v>
      </c>
      <c r="P1353" s="132" t="str">
        <f t="shared" si="133"/>
        <v>N/A</v>
      </c>
      <c r="Q1353" s="132" t="str">
        <f t="shared" si="134"/>
        <v>N/A</v>
      </c>
      <c r="R1353" s="132" t="str">
        <f t="shared" si="135"/>
        <v>NO CERT.</v>
      </c>
      <c r="S1353" s="132" t="e">
        <f t="shared" si="136"/>
        <v>#N/A</v>
      </c>
      <c r="T1353" s="133" t="e">
        <f>+IF(J1353=LOOKUP(J1353,'CAFCO 300 IDIEM TABLAS'!$J$4:$J$40),'CALCULO MORTERO'!J1353,MROUND('CALCULO MORTERO'!J1353,10))</f>
        <v>#N/A</v>
      </c>
      <c r="U1353" s="134">
        <f t="shared" si="137"/>
        <v>0</v>
      </c>
    </row>
    <row r="1354" spans="1:21" x14ac:dyDescent="0.25">
      <c r="A1354" s="118">
        <f>+CUBICACION!D1348</f>
        <v>0</v>
      </c>
      <c r="B1354" s="819">
        <f>+CUBICACION!E1348</f>
        <v>0</v>
      </c>
      <c r="C1354" s="675">
        <f>+CUBICACION!F1348</f>
        <v>0</v>
      </c>
      <c r="D1354" s="118"/>
      <c r="E1354" s="118"/>
      <c r="F1354" s="820"/>
      <c r="G1354" s="675">
        <f>+CUBICACION!J1348</f>
        <v>0</v>
      </c>
      <c r="H1354" s="118"/>
      <c r="I1354" s="821">
        <f>+CUBICACION!L1348</f>
        <v>0</v>
      </c>
      <c r="J1354" s="64">
        <f>+CUBICACION!M1348</f>
        <v>0</v>
      </c>
      <c r="K1354" s="822" t="str">
        <f>+CUBICACION!N1348</f>
        <v/>
      </c>
      <c r="L1354" s="118">
        <f>+CUBICACION!O1348</f>
        <v>0</v>
      </c>
      <c r="M1354" s="823">
        <f>+CUBICACION!P1348</f>
        <v>0</v>
      </c>
      <c r="N1354" s="902">
        <f>ROUND(IF(AND(L1354="Blaze Shield II",M1354="Software Idiem",C1354="IN",G1354=4),((('BLAZE SHIELD II'!$D$4*('CALCULO MORTERO'!I1354^2)+'BLAZE SHIELD II'!$D$5*'CALCULO MORTERO'!I1354+'BLAZE SHIELD II'!$D$6)*LN(J1354))+('BLAZE SHIELD II'!$D$7*('CALCULO MORTERO'!I1354^2)+'BLAZE SHIELD II'!$D$8*'CALCULO MORTERO'!I1354+'BLAZE SHIELD II'!$D$9)),0)+IF(AND(L1354="Blaze Shield II",M1354="Software Idiem",C1354="Cj"),((('BLAZE SHIELD II'!$H$4*('CALCULO MORTERO'!I1354^2)+'BLAZE SHIELD II'!$H$5*'CALCULO MORTERO'!I1354+'BLAZE SHIELD II'!$H$6)*LN(J1354))+('BLAZE SHIELD II'!$H$7*('CALCULO MORTERO'!I1354^2)+'BLAZE SHIELD II'!$H$8*'CALCULO MORTERO'!I1354+'BLAZE SHIELD II'!$H$9)),0)+IF(AND(L1354="Blaze Shield II",M1354="Software Idiem",C1354="C"),((('BLAZE SHIELD II'!$L$4*('CALCULO MORTERO'!I1354^2)+'BLAZE SHIELD II'!$L$5*'CALCULO MORTERO'!I1354+'BLAZE SHIELD II'!$L$6)*LN(J1354))+('BLAZE SHIELD II'!$L$7*('CALCULO MORTERO'!I1354^2)+'BLAZE SHIELD II'!$L$8*'CALCULO MORTERO'!I1354+'BLAZE SHIELD II'!$L$9)),0)+IF(AND(L1354="Blaze Shield II",M1354="Software Idiem",C1354="L"),((('BLAZE SHIELD II'!$L$4*('CALCULO MORTERO'!I1354^2)+'BLAZE SHIELD II'!$L$5*'CALCULO MORTERO'!I1354+'BLAZE SHIELD II'!$L$6)*LN(J1354))+('BLAZE SHIELD II'!$L$7*('CALCULO MORTERO'!I1354^2)+'BLAZE SHIELD II'!$L$8*'CALCULO MORTERO'!I1354+'BLAZE SHIELD II'!$L$9)),0)+IF(AND(L1354="Blaze Shield II",M1354="Software Idiem",C1354="IN",G1354=3),((('BLAZE SHIELD II'!$H$14*('CALCULO MORTERO'!I1354^2)+'BLAZE SHIELD II'!$H$15*'CALCULO MORTERO'!I1354+'BLAZE SHIELD II'!$H$16)*LN(J1354))+('BLAZE SHIELD II'!$H$17*('CALCULO MORTERO'!I1354^2)+'BLAZE SHIELD II'!$H$18*'CALCULO MORTERO'!I1354+'BLAZE SHIELD II'!$H$19)),0),0)+ROUND(IF(AND(L1354="Cafco 400",M1354="Software Idiem",C1354="IN",G1354=4),((('CAFCO 400 '!$H$7*(J1354^4)+'CAFCO 400 '!$H$8*(J1354^3)+'CAFCO 400 '!$H$9*(J1354^2)+'CAFCO 400 '!$H$10*J1354+'CAFCO 400 '!$H$11)*U1354^2)+(('CAFCO 400 '!$H$12*(J1354^3)+'CAFCO 400 '!$H$13*(J1354^2)+'CAFCO 400 '!$H$14*J1354+'CAFCO 400 '!$H$15)*U1354)+('CAFCO 400 '!$H$16*(J1354^2)+'CAFCO 400 '!$H$17*J1354+'CAFCO 400 '!$H$18)),0)+IF(AND(L1354="Cafco 400",M1354="Software Idiem",C1354="Cj"),(((('CAFCO 400 '!$D$7*LN(J1354)+'CAFCO 400 '!$D$8)*U1354^2)+(('CAFCO 400 '!$D$9*LN(J1354)+'CAFCO 400 '!$D$10)*U1354)+('CAFCO 400 '!$D$11*LN(J1354)+'CAFCO 400 '!$D$12))),0)+IF(AND(L1354="Cafco 400",M1354="Software Idiem",C1354="C"),((('CAFCO 400 '!$L$7*(J1354^3)+'CAFCO 400 '!$L$8*(J1354^2)+'CAFCO 400 '!$L$9*J1354+'CAFCO 400 '!$L$10)*U1354^2)+(('CAFCO 400 '!$L$11*(J1354^3)+'CAFCO 400 '!$L$12*(J1354^2)+'CAFCO 400 '!$L$13*J1354+'CAFCO 400 '!$L$14)*U1354)+('CAFCO 400 '!$L$15*LN(J1354)+'CAFCO 400 '!$L$16)),0)+IF(AND(L1354="Cafco 400",M1354="Software Idiem",C1354="L"),((('CAFCO 400 '!$L$7*(J1354^3)+'CAFCO 400 '!$L$8*(J1354^2)+'CAFCO 400 '!$L$9*J1354+'CAFCO 400 '!$L$10)*U1354^2)+(('CAFCO 400 '!$L$11*(J1354^3)+'CAFCO 400 '!$L$12*(J1354^2)+'CAFCO 400 '!$L$13*J1354+'CAFCO 400 '!$L$14)*U1354)+('CAFCO 400 '!$L$15*LN(J1354)+'CAFCO 400 '!$L$16)),0)+IF(AND(L1354="Cafco 400",M1354="Software Idiem",C1354="IN",G1354=3),((('CAFCO 400 '!$D$23*(J1354^2)+'CAFCO 400 '!$D$24*(J1354)+'CAFCO 400 '!$D$25)*U1354^2)+(('CAFCO 400 '!$D$26*(J1354^2)+'CAFCO 400 '!$D$27*J1354+'CAFCO 400 '!$D$28)*U1354)+('CAFCO 400 '!$D$29*(J1354^2)+'CAFCO 400 '!$D$30*J1354+'CAFCO 400 '!$D$31)),0),0)+IF(AND(L1354="Cafco 300",J1354&gt;=95,J1354&lt;=240,C1354="Cj",I1354=90),VLOOKUP(T1354,'CAFCO 300 IDIEM TABLAS'!$B$4:$D$23,2,FALSE),0)+IF(AND(L1354="Cafco 300",J1354&gt;=95,J1354&lt;=240,C1354="Cj",I1354=120),VLOOKUP(T1354,'CAFCO 300 IDIEM TABLAS'!$B$4:$D$23,3,FALSE),0)+IF(AND(L1354="Cafco 300",J1354&gt;=95,J1354&lt;=400,G1354=3,C1354="IN",I1354=90),VLOOKUP(T1354,'CAFCO 300 IDIEM TABLAS'!$F$4:$H$35,2,FALSE),0)+IF(AND(L1354="Cafco 300",J1354&gt;=95,J1354&lt;=400,G1354=3,C1354="IN",I1354=120),VLOOKUP(T1354,'CAFCO 300 IDIEM TABLAS'!$F$4:$H$35,3,FALSE),0)+IF(AND(L1354="Cafco 300",J1354&gt;=95,J1354&lt;=450,G1354=4,C1354="IN",I1354=90),VLOOKUP(T1354,'CAFCO 300 IDIEM TABLAS'!$J$4:$L$40,2,FALSE),0)+IF(AND(L1354="Cafco 300",J1354&gt;=95,J1354&lt;=450,G1354=4,C1354="IN",I1354=120),VLOOKUP(T1354,'CAFCO 300 IDIEM TABLAS'!$J$4:$L$40,3,FALSE),0)+IF(AND(M1354="Ensayo Idiem",L1354="Cafco 400",C1354="IN",G1354=4,I1354=90),VLOOKUP(T1354,'CAFCO 400 ENSAYO'!$B$7:$D$43,2,FALSE),0)+IF(AND(M1354="Ensayo Idiem",L1354="Cafco 400",C1354="IN",G1354=4,I1354=120),VLOOKUP(T1354,'CAFCO 400 ENSAYO'!$B$7:$D$43,3,FALSE),0)</f>
        <v>0</v>
      </c>
      <c r="O1354" s="96">
        <f t="shared" si="132"/>
        <v>0</v>
      </c>
      <c r="P1354" s="95" t="str">
        <f t="shared" si="133"/>
        <v>N/A</v>
      </c>
      <c r="Q1354" s="95" t="str">
        <f t="shared" si="134"/>
        <v>N/A</v>
      </c>
      <c r="R1354" s="95" t="str">
        <f t="shared" si="135"/>
        <v>NO CERT.</v>
      </c>
      <c r="S1354" s="95" t="e">
        <f t="shared" si="136"/>
        <v>#N/A</v>
      </c>
      <c r="T1354" s="119" t="e">
        <f>+IF(J1354=LOOKUP(J1354,'CAFCO 300 IDIEM TABLAS'!$J$4:$J$40),'CALCULO MORTERO'!J1354,MROUND('CALCULO MORTERO'!J1354,10))</f>
        <v>#N/A</v>
      </c>
      <c r="U1354" s="118">
        <f t="shared" si="137"/>
        <v>0</v>
      </c>
    </row>
    <row r="1355" spans="1:21" x14ac:dyDescent="0.25">
      <c r="A1355" s="118">
        <f>+CUBICACION!D1349</f>
        <v>0</v>
      </c>
      <c r="B1355" s="819">
        <f>+CUBICACION!E1349</f>
        <v>0</v>
      </c>
      <c r="C1355" s="675">
        <f>+CUBICACION!F1349</f>
        <v>0</v>
      </c>
      <c r="D1355" s="118"/>
      <c r="E1355" s="118"/>
      <c r="F1355" s="820"/>
      <c r="G1355" s="675">
        <f>+CUBICACION!J1349</f>
        <v>0</v>
      </c>
      <c r="H1355" s="118"/>
      <c r="I1355" s="821">
        <f>+CUBICACION!L1349</f>
        <v>0</v>
      </c>
      <c r="J1355" s="64">
        <f>+CUBICACION!M1349</f>
        <v>0</v>
      </c>
      <c r="K1355" s="822" t="str">
        <f>+CUBICACION!N1349</f>
        <v/>
      </c>
      <c r="L1355" s="118">
        <f>+CUBICACION!O1349</f>
        <v>0</v>
      </c>
      <c r="M1355" s="823">
        <f>+CUBICACION!P1349</f>
        <v>0</v>
      </c>
      <c r="N1355" s="902">
        <f>ROUND(IF(AND(L1355="Blaze Shield II",M1355="Software Idiem",C1355="IN",G1355=4),((('BLAZE SHIELD II'!$D$4*('CALCULO MORTERO'!I1355^2)+'BLAZE SHIELD II'!$D$5*'CALCULO MORTERO'!I1355+'BLAZE SHIELD II'!$D$6)*LN(J1355))+('BLAZE SHIELD II'!$D$7*('CALCULO MORTERO'!I1355^2)+'BLAZE SHIELD II'!$D$8*'CALCULO MORTERO'!I1355+'BLAZE SHIELD II'!$D$9)),0)+IF(AND(L1355="Blaze Shield II",M1355="Software Idiem",C1355="Cj"),((('BLAZE SHIELD II'!$H$4*('CALCULO MORTERO'!I1355^2)+'BLAZE SHIELD II'!$H$5*'CALCULO MORTERO'!I1355+'BLAZE SHIELD II'!$H$6)*LN(J1355))+('BLAZE SHIELD II'!$H$7*('CALCULO MORTERO'!I1355^2)+'BLAZE SHIELD II'!$H$8*'CALCULO MORTERO'!I1355+'BLAZE SHIELD II'!$H$9)),0)+IF(AND(L1355="Blaze Shield II",M1355="Software Idiem",C1355="C"),((('BLAZE SHIELD II'!$L$4*('CALCULO MORTERO'!I1355^2)+'BLAZE SHIELD II'!$L$5*'CALCULO MORTERO'!I1355+'BLAZE SHIELD II'!$L$6)*LN(J1355))+('BLAZE SHIELD II'!$L$7*('CALCULO MORTERO'!I1355^2)+'BLAZE SHIELD II'!$L$8*'CALCULO MORTERO'!I1355+'BLAZE SHIELD II'!$L$9)),0)+IF(AND(L1355="Blaze Shield II",M1355="Software Idiem",C1355="L"),((('BLAZE SHIELD II'!$L$4*('CALCULO MORTERO'!I1355^2)+'BLAZE SHIELD II'!$L$5*'CALCULO MORTERO'!I1355+'BLAZE SHIELD II'!$L$6)*LN(J1355))+('BLAZE SHIELD II'!$L$7*('CALCULO MORTERO'!I1355^2)+'BLAZE SHIELD II'!$L$8*'CALCULO MORTERO'!I1355+'BLAZE SHIELD II'!$L$9)),0)+IF(AND(L1355="Blaze Shield II",M1355="Software Idiem",C1355="IN",G1355=3),((('BLAZE SHIELD II'!$H$14*('CALCULO MORTERO'!I1355^2)+'BLAZE SHIELD II'!$H$15*'CALCULO MORTERO'!I1355+'BLAZE SHIELD II'!$H$16)*LN(J1355))+('BLAZE SHIELD II'!$H$17*('CALCULO MORTERO'!I1355^2)+'BLAZE SHIELD II'!$H$18*'CALCULO MORTERO'!I1355+'BLAZE SHIELD II'!$H$19)),0),0)+ROUND(IF(AND(L1355="Cafco 400",M1355="Software Idiem",C1355="IN",G1355=4),((('CAFCO 400 '!$H$7*(J1355^4)+'CAFCO 400 '!$H$8*(J1355^3)+'CAFCO 400 '!$H$9*(J1355^2)+'CAFCO 400 '!$H$10*J1355+'CAFCO 400 '!$H$11)*U1355^2)+(('CAFCO 400 '!$H$12*(J1355^3)+'CAFCO 400 '!$H$13*(J1355^2)+'CAFCO 400 '!$H$14*J1355+'CAFCO 400 '!$H$15)*U1355)+('CAFCO 400 '!$H$16*(J1355^2)+'CAFCO 400 '!$H$17*J1355+'CAFCO 400 '!$H$18)),0)+IF(AND(L1355="Cafco 400",M1355="Software Idiem",C1355="Cj"),(((('CAFCO 400 '!$D$7*LN(J1355)+'CAFCO 400 '!$D$8)*U1355^2)+(('CAFCO 400 '!$D$9*LN(J1355)+'CAFCO 400 '!$D$10)*U1355)+('CAFCO 400 '!$D$11*LN(J1355)+'CAFCO 400 '!$D$12))),0)+IF(AND(L1355="Cafco 400",M1355="Software Idiem",C1355="C"),((('CAFCO 400 '!$L$7*(J1355^3)+'CAFCO 400 '!$L$8*(J1355^2)+'CAFCO 400 '!$L$9*J1355+'CAFCO 400 '!$L$10)*U1355^2)+(('CAFCO 400 '!$L$11*(J1355^3)+'CAFCO 400 '!$L$12*(J1355^2)+'CAFCO 400 '!$L$13*J1355+'CAFCO 400 '!$L$14)*U1355)+('CAFCO 400 '!$L$15*LN(J1355)+'CAFCO 400 '!$L$16)),0)+IF(AND(L1355="Cafco 400",M1355="Software Idiem",C1355="L"),((('CAFCO 400 '!$L$7*(J1355^3)+'CAFCO 400 '!$L$8*(J1355^2)+'CAFCO 400 '!$L$9*J1355+'CAFCO 400 '!$L$10)*U1355^2)+(('CAFCO 400 '!$L$11*(J1355^3)+'CAFCO 400 '!$L$12*(J1355^2)+'CAFCO 400 '!$L$13*J1355+'CAFCO 400 '!$L$14)*U1355)+('CAFCO 400 '!$L$15*LN(J1355)+'CAFCO 400 '!$L$16)),0)+IF(AND(L1355="Cafco 400",M1355="Software Idiem",C1355="IN",G1355=3),((('CAFCO 400 '!$D$23*(J1355^2)+'CAFCO 400 '!$D$24*(J1355)+'CAFCO 400 '!$D$25)*U1355^2)+(('CAFCO 400 '!$D$26*(J1355^2)+'CAFCO 400 '!$D$27*J1355+'CAFCO 400 '!$D$28)*U1355)+('CAFCO 400 '!$D$29*(J1355^2)+'CAFCO 400 '!$D$30*J1355+'CAFCO 400 '!$D$31)),0),0)+IF(AND(L1355="Cafco 300",J1355&gt;=95,J1355&lt;=240,C1355="Cj",I1355=90),VLOOKUP(T1355,'CAFCO 300 IDIEM TABLAS'!$B$4:$D$23,2,FALSE),0)+IF(AND(L1355="Cafco 300",J1355&gt;=95,J1355&lt;=240,C1355="Cj",I1355=120),VLOOKUP(T1355,'CAFCO 300 IDIEM TABLAS'!$B$4:$D$23,3,FALSE),0)+IF(AND(L1355="Cafco 300",J1355&gt;=95,J1355&lt;=400,G1355=3,C1355="IN",I1355=90),VLOOKUP(T1355,'CAFCO 300 IDIEM TABLAS'!$F$4:$H$35,2,FALSE),0)+IF(AND(L1355="Cafco 300",J1355&gt;=95,J1355&lt;=400,G1355=3,C1355="IN",I1355=120),VLOOKUP(T1355,'CAFCO 300 IDIEM TABLAS'!$F$4:$H$35,3,FALSE),0)+IF(AND(L1355="Cafco 300",J1355&gt;=95,J1355&lt;=450,G1355=4,C1355="IN",I1355=90),VLOOKUP(T1355,'CAFCO 300 IDIEM TABLAS'!$J$4:$L$40,2,FALSE),0)+IF(AND(L1355="Cafco 300",J1355&gt;=95,J1355&lt;=450,G1355=4,C1355="IN",I1355=120),VLOOKUP(T1355,'CAFCO 300 IDIEM TABLAS'!$J$4:$L$40,3,FALSE),0)+IF(AND(M1355="Ensayo Idiem",L1355="Cafco 400",C1355="IN",G1355=4,I1355=90),VLOOKUP(T1355,'CAFCO 400 ENSAYO'!$B$7:$D$43,2,FALSE),0)+IF(AND(M1355="Ensayo Idiem",L1355="Cafco 400",C1355="IN",G1355=4,I1355=120),VLOOKUP(T1355,'CAFCO 400 ENSAYO'!$B$7:$D$43,3,FALSE),0)</f>
        <v>0</v>
      </c>
      <c r="O1355" s="96">
        <f t="shared" ref="O1355:O1418" si="138">((IF(L1355="Blaze Shield II",((K1355*N1355*0.43)/38),IF(L1355="Cafco 400",((K1355*N1355*0.43)/23),IF(L1355="Cafco 300",((K1355*N1355*0.43)/31.16),0)))))</f>
        <v>0</v>
      </c>
      <c r="P1355" s="132" t="str">
        <f t="shared" si="133"/>
        <v>N/A</v>
      </c>
      <c r="Q1355" s="132" t="str">
        <f t="shared" si="134"/>
        <v>N/A</v>
      </c>
      <c r="R1355" s="132" t="str">
        <f t="shared" si="135"/>
        <v>NO CERT.</v>
      </c>
      <c r="S1355" s="132" t="e">
        <f t="shared" si="136"/>
        <v>#N/A</v>
      </c>
      <c r="T1355" s="133" t="e">
        <f>+IF(J1355=LOOKUP(J1355,'CAFCO 300 IDIEM TABLAS'!$J$4:$J$40),'CALCULO MORTERO'!J1355,MROUND('CALCULO MORTERO'!J1355,10))</f>
        <v>#N/A</v>
      </c>
      <c r="U1355" s="134">
        <f t="shared" si="137"/>
        <v>0</v>
      </c>
    </row>
    <row r="1356" spans="1:21" x14ac:dyDescent="0.25">
      <c r="A1356" s="118">
        <f>+CUBICACION!D1350</f>
        <v>0</v>
      </c>
      <c r="B1356" s="819">
        <f>+CUBICACION!E1350</f>
        <v>0</v>
      </c>
      <c r="C1356" s="675">
        <f>+CUBICACION!F1350</f>
        <v>0</v>
      </c>
      <c r="D1356" s="118"/>
      <c r="E1356" s="118"/>
      <c r="F1356" s="820"/>
      <c r="G1356" s="675">
        <f>+CUBICACION!J1350</f>
        <v>0</v>
      </c>
      <c r="H1356" s="118"/>
      <c r="I1356" s="821">
        <f>+CUBICACION!L1350</f>
        <v>0</v>
      </c>
      <c r="J1356" s="64">
        <f>+CUBICACION!M1350</f>
        <v>0</v>
      </c>
      <c r="K1356" s="822" t="str">
        <f>+CUBICACION!N1350</f>
        <v/>
      </c>
      <c r="L1356" s="118">
        <f>+CUBICACION!O1350</f>
        <v>0</v>
      </c>
      <c r="M1356" s="823">
        <f>+CUBICACION!P1350</f>
        <v>0</v>
      </c>
      <c r="N1356" s="902">
        <f>ROUND(IF(AND(L1356="Blaze Shield II",M1356="Software Idiem",C1356="IN",G1356=4),((('BLAZE SHIELD II'!$D$4*('CALCULO MORTERO'!I1356^2)+'BLAZE SHIELD II'!$D$5*'CALCULO MORTERO'!I1356+'BLAZE SHIELD II'!$D$6)*LN(J1356))+('BLAZE SHIELD II'!$D$7*('CALCULO MORTERO'!I1356^2)+'BLAZE SHIELD II'!$D$8*'CALCULO MORTERO'!I1356+'BLAZE SHIELD II'!$D$9)),0)+IF(AND(L1356="Blaze Shield II",M1356="Software Idiem",C1356="Cj"),((('BLAZE SHIELD II'!$H$4*('CALCULO MORTERO'!I1356^2)+'BLAZE SHIELD II'!$H$5*'CALCULO MORTERO'!I1356+'BLAZE SHIELD II'!$H$6)*LN(J1356))+('BLAZE SHIELD II'!$H$7*('CALCULO MORTERO'!I1356^2)+'BLAZE SHIELD II'!$H$8*'CALCULO MORTERO'!I1356+'BLAZE SHIELD II'!$H$9)),0)+IF(AND(L1356="Blaze Shield II",M1356="Software Idiem",C1356="C"),((('BLAZE SHIELD II'!$L$4*('CALCULO MORTERO'!I1356^2)+'BLAZE SHIELD II'!$L$5*'CALCULO MORTERO'!I1356+'BLAZE SHIELD II'!$L$6)*LN(J1356))+('BLAZE SHIELD II'!$L$7*('CALCULO MORTERO'!I1356^2)+'BLAZE SHIELD II'!$L$8*'CALCULO MORTERO'!I1356+'BLAZE SHIELD II'!$L$9)),0)+IF(AND(L1356="Blaze Shield II",M1356="Software Idiem",C1356="L"),((('BLAZE SHIELD II'!$L$4*('CALCULO MORTERO'!I1356^2)+'BLAZE SHIELD II'!$L$5*'CALCULO MORTERO'!I1356+'BLAZE SHIELD II'!$L$6)*LN(J1356))+('BLAZE SHIELD II'!$L$7*('CALCULO MORTERO'!I1356^2)+'BLAZE SHIELD II'!$L$8*'CALCULO MORTERO'!I1356+'BLAZE SHIELD II'!$L$9)),0)+IF(AND(L1356="Blaze Shield II",M1356="Software Idiem",C1356="IN",G1356=3),((('BLAZE SHIELD II'!$H$14*('CALCULO MORTERO'!I1356^2)+'BLAZE SHIELD II'!$H$15*'CALCULO MORTERO'!I1356+'BLAZE SHIELD II'!$H$16)*LN(J1356))+('BLAZE SHIELD II'!$H$17*('CALCULO MORTERO'!I1356^2)+'BLAZE SHIELD II'!$H$18*'CALCULO MORTERO'!I1356+'BLAZE SHIELD II'!$H$19)),0),0)+ROUND(IF(AND(L1356="Cafco 400",M1356="Software Idiem",C1356="IN",G1356=4),((('CAFCO 400 '!$H$7*(J1356^4)+'CAFCO 400 '!$H$8*(J1356^3)+'CAFCO 400 '!$H$9*(J1356^2)+'CAFCO 400 '!$H$10*J1356+'CAFCO 400 '!$H$11)*U1356^2)+(('CAFCO 400 '!$H$12*(J1356^3)+'CAFCO 400 '!$H$13*(J1356^2)+'CAFCO 400 '!$H$14*J1356+'CAFCO 400 '!$H$15)*U1356)+('CAFCO 400 '!$H$16*(J1356^2)+'CAFCO 400 '!$H$17*J1356+'CAFCO 400 '!$H$18)),0)+IF(AND(L1356="Cafco 400",M1356="Software Idiem",C1356="Cj"),(((('CAFCO 400 '!$D$7*LN(J1356)+'CAFCO 400 '!$D$8)*U1356^2)+(('CAFCO 400 '!$D$9*LN(J1356)+'CAFCO 400 '!$D$10)*U1356)+('CAFCO 400 '!$D$11*LN(J1356)+'CAFCO 400 '!$D$12))),0)+IF(AND(L1356="Cafco 400",M1356="Software Idiem",C1356="C"),((('CAFCO 400 '!$L$7*(J1356^3)+'CAFCO 400 '!$L$8*(J1356^2)+'CAFCO 400 '!$L$9*J1356+'CAFCO 400 '!$L$10)*U1356^2)+(('CAFCO 400 '!$L$11*(J1356^3)+'CAFCO 400 '!$L$12*(J1356^2)+'CAFCO 400 '!$L$13*J1356+'CAFCO 400 '!$L$14)*U1356)+('CAFCO 400 '!$L$15*LN(J1356)+'CAFCO 400 '!$L$16)),0)+IF(AND(L1356="Cafco 400",M1356="Software Idiem",C1356="L"),((('CAFCO 400 '!$L$7*(J1356^3)+'CAFCO 400 '!$L$8*(J1356^2)+'CAFCO 400 '!$L$9*J1356+'CAFCO 400 '!$L$10)*U1356^2)+(('CAFCO 400 '!$L$11*(J1356^3)+'CAFCO 400 '!$L$12*(J1356^2)+'CAFCO 400 '!$L$13*J1356+'CAFCO 400 '!$L$14)*U1356)+('CAFCO 400 '!$L$15*LN(J1356)+'CAFCO 400 '!$L$16)),0)+IF(AND(L1356="Cafco 400",M1356="Software Idiem",C1356="IN",G1356=3),((('CAFCO 400 '!$D$23*(J1356^2)+'CAFCO 400 '!$D$24*(J1356)+'CAFCO 400 '!$D$25)*U1356^2)+(('CAFCO 400 '!$D$26*(J1356^2)+'CAFCO 400 '!$D$27*J1356+'CAFCO 400 '!$D$28)*U1356)+('CAFCO 400 '!$D$29*(J1356^2)+'CAFCO 400 '!$D$30*J1356+'CAFCO 400 '!$D$31)),0),0)+IF(AND(L1356="Cafco 300",J1356&gt;=95,J1356&lt;=240,C1356="Cj",I1356=90),VLOOKUP(T1356,'CAFCO 300 IDIEM TABLAS'!$B$4:$D$23,2,FALSE),0)+IF(AND(L1356="Cafco 300",J1356&gt;=95,J1356&lt;=240,C1356="Cj",I1356=120),VLOOKUP(T1356,'CAFCO 300 IDIEM TABLAS'!$B$4:$D$23,3,FALSE),0)+IF(AND(L1356="Cafco 300",J1356&gt;=95,J1356&lt;=400,G1356=3,C1356="IN",I1356=90),VLOOKUP(T1356,'CAFCO 300 IDIEM TABLAS'!$F$4:$H$35,2,FALSE),0)+IF(AND(L1356="Cafco 300",J1356&gt;=95,J1356&lt;=400,G1356=3,C1356="IN",I1356=120),VLOOKUP(T1356,'CAFCO 300 IDIEM TABLAS'!$F$4:$H$35,3,FALSE),0)+IF(AND(L1356="Cafco 300",J1356&gt;=95,J1356&lt;=450,G1356=4,C1356="IN",I1356=90),VLOOKUP(T1356,'CAFCO 300 IDIEM TABLAS'!$J$4:$L$40,2,FALSE),0)+IF(AND(L1356="Cafco 300",J1356&gt;=95,J1356&lt;=450,G1356=4,C1356="IN",I1356=120),VLOOKUP(T1356,'CAFCO 300 IDIEM TABLAS'!$J$4:$L$40,3,FALSE),0)+IF(AND(M1356="Ensayo Idiem",L1356="Cafco 400",C1356="IN",G1356=4,I1356=90),VLOOKUP(T1356,'CAFCO 400 ENSAYO'!$B$7:$D$43,2,FALSE),0)+IF(AND(M1356="Ensayo Idiem",L1356="Cafco 400",C1356="IN",G1356=4,I1356=120),VLOOKUP(T1356,'CAFCO 400 ENSAYO'!$B$7:$D$43,3,FALSE),0)</f>
        <v>0</v>
      </c>
      <c r="O1356" s="96">
        <f t="shared" si="138"/>
        <v>0</v>
      </c>
      <c r="P1356" s="95" t="str">
        <f t="shared" si="133"/>
        <v>N/A</v>
      </c>
      <c r="Q1356" s="95" t="str">
        <f t="shared" si="134"/>
        <v>N/A</v>
      </c>
      <c r="R1356" s="95" t="str">
        <f t="shared" si="135"/>
        <v>NO CERT.</v>
      </c>
      <c r="S1356" s="95" t="e">
        <f t="shared" si="136"/>
        <v>#N/A</v>
      </c>
      <c r="T1356" s="119" t="e">
        <f>+IF(J1356=LOOKUP(J1356,'CAFCO 300 IDIEM TABLAS'!$J$4:$J$40),'CALCULO MORTERO'!J1356,MROUND('CALCULO MORTERO'!J1356,10))</f>
        <v>#N/A</v>
      </c>
      <c r="U1356" s="118">
        <f t="shared" si="137"/>
        <v>0</v>
      </c>
    </row>
    <row r="1357" spans="1:21" x14ac:dyDescent="0.25">
      <c r="A1357" s="118">
        <f>+CUBICACION!D1351</f>
        <v>0</v>
      </c>
      <c r="B1357" s="819">
        <f>+CUBICACION!E1351</f>
        <v>0</v>
      </c>
      <c r="C1357" s="675">
        <f>+CUBICACION!F1351</f>
        <v>0</v>
      </c>
      <c r="D1357" s="118"/>
      <c r="E1357" s="118"/>
      <c r="F1357" s="820"/>
      <c r="G1357" s="675">
        <f>+CUBICACION!J1351</f>
        <v>0</v>
      </c>
      <c r="H1357" s="118"/>
      <c r="I1357" s="821">
        <f>+CUBICACION!L1351</f>
        <v>0</v>
      </c>
      <c r="J1357" s="64">
        <f>+CUBICACION!M1351</f>
        <v>0</v>
      </c>
      <c r="K1357" s="822" t="str">
        <f>+CUBICACION!N1351</f>
        <v/>
      </c>
      <c r="L1357" s="118">
        <f>+CUBICACION!O1351</f>
        <v>0</v>
      </c>
      <c r="M1357" s="823">
        <f>+CUBICACION!P1351</f>
        <v>0</v>
      </c>
      <c r="N1357" s="902">
        <f>ROUND(IF(AND(L1357="Blaze Shield II",M1357="Software Idiem",C1357="IN",G1357=4),((('BLAZE SHIELD II'!$D$4*('CALCULO MORTERO'!I1357^2)+'BLAZE SHIELD II'!$D$5*'CALCULO MORTERO'!I1357+'BLAZE SHIELD II'!$D$6)*LN(J1357))+('BLAZE SHIELD II'!$D$7*('CALCULO MORTERO'!I1357^2)+'BLAZE SHIELD II'!$D$8*'CALCULO MORTERO'!I1357+'BLAZE SHIELD II'!$D$9)),0)+IF(AND(L1357="Blaze Shield II",M1357="Software Idiem",C1357="Cj"),((('BLAZE SHIELD II'!$H$4*('CALCULO MORTERO'!I1357^2)+'BLAZE SHIELD II'!$H$5*'CALCULO MORTERO'!I1357+'BLAZE SHIELD II'!$H$6)*LN(J1357))+('BLAZE SHIELD II'!$H$7*('CALCULO MORTERO'!I1357^2)+'BLAZE SHIELD II'!$H$8*'CALCULO MORTERO'!I1357+'BLAZE SHIELD II'!$H$9)),0)+IF(AND(L1357="Blaze Shield II",M1357="Software Idiem",C1357="C"),((('BLAZE SHIELD II'!$L$4*('CALCULO MORTERO'!I1357^2)+'BLAZE SHIELD II'!$L$5*'CALCULO MORTERO'!I1357+'BLAZE SHIELD II'!$L$6)*LN(J1357))+('BLAZE SHIELD II'!$L$7*('CALCULO MORTERO'!I1357^2)+'BLAZE SHIELD II'!$L$8*'CALCULO MORTERO'!I1357+'BLAZE SHIELD II'!$L$9)),0)+IF(AND(L1357="Blaze Shield II",M1357="Software Idiem",C1357="L"),((('BLAZE SHIELD II'!$L$4*('CALCULO MORTERO'!I1357^2)+'BLAZE SHIELD II'!$L$5*'CALCULO MORTERO'!I1357+'BLAZE SHIELD II'!$L$6)*LN(J1357))+('BLAZE SHIELD II'!$L$7*('CALCULO MORTERO'!I1357^2)+'BLAZE SHIELD II'!$L$8*'CALCULO MORTERO'!I1357+'BLAZE SHIELD II'!$L$9)),0)+IF(AND(L1357="Blaze Shield II",M1357="Software Idiem",C1357="IN",G1357=3),((('BLAZE SHIELD II'!$H$14*('CALCULO MORTERO'!I1357^2)+'BLAZE SHIELD II'!$H$15*'CALCULO MORTERO'!I1357+'BLAZE SHIELD II'!$H$16)*LN(J1357))+('BLAZE SHIELD II'!$H$17*('CALCULO MORTERO'!I1357^2)+'BLAZE SHIELD II'!$H$18*'CALCULO MORTERO'!I1357+'BLAZE SHIELD II'!$H$19)),0),0)+ROUND(IF(AND(L1357="Cafco 400",M1357="Software Idiem",C1357="IN",G1357=4),((('CAFCO 400 '!$H$7*(J1357^4)+'CAFCO 400 '!$H$8*(J1357^3)+'CAFCO 400 '!$H$9*(J1357^2)+'CAFCO 400 '!$H$10*J1357+'CAFCO 400 '!$H$11)*U1357^2)+(('CAFCO 400 '!$H$12*(J1357^3)+'CAFCO 400 '!$H$13*(J1357^2)+'CAFCO 400 '!$H$14*J1357+'CAFCO 400 '!$H$15)*U1357)+('CAFCO 400 '!$H$16*(J1357^2)+'CAFCO 400 '!$H$17*J1357+'CAFCO 400 '!$H$18)),0)+IF(AND(L1357="Cafco 400",M1357="Software Idiem",C1357="Cj"),(((('CAFCO 400 '!$D$7*LN(J1357)+'CAFCO 400 '!$D$8)*U1357^2)+(('CAFCO 400 '!$D$9*LN(J1357)+'CAFCO 400 '!$D$10)*U1357)+('CAFCO 400 '!$D$11*LN(J1357)+'CAFCO 400 '!$D$12))),0)+IF(AND(L1357="Cafco 400",M1357="Software Idiem",C1357="C"),((('CAFCO 400 '!$L$7*(J1357^3)+'CAFCO 400 '!$L$8*(J1357^2)+'CAFCO 400 '!$L$9*J1357+'CAFCO 400 '!$L$10)*U1357^2)+(('CAFCO 400 '!$L$11*(J1357^3)+'CAFCO 400 '!$L$12*(J1357^2)+'CAFCO 400 '!$L$13*J1357+'CAFCO 400 '!$L$14)*U1357)+('CAFCO 400 '!$L$15*LN(J1357)+'CAFCO 400 '!$L$16)),0)+IF(AND(L1357="Cafco 400",M1357="Software Idiem",C1357="L"),((('CAFCO 400 '!$L$7*(J1357^3)+'CAFCO 400 '!$L$8*(J1357^2)+'CAFCO 400 '!$L$9*J1357+'CAFCO 400 '!$L$10)*U1357^2)+(('CAFCO 400 '!$L$11*(J1357^3)+'CAFCO 400 '!$L$12*(J1357^2)+'CAFCO 400 '!$L$13*J1357+'CAFCO 400 '!$L$14)*U1357)+('CAFCO 400 '!$L$15*LN(J1357)+'CAFCO 400 '!$L$16)),0)+IF(AND(L1357="Cafco 400",M1357="Software Idiem",C1357="IN",G1357=3),((('CAFCO 400 '!$D$23*(J1357^2)+'CAFCO 400 '!$D$24*(J1357)+'CAFCO 400 '!$D$25)*U1357^2)+(('CAFCO 400 '!$D$26*(J1357^2)+'CAFCO 400 '!$D$27*J1357+'CAFCO 400 '!$D$28)*U1357)+('CAFCO 400 '!$D$29*(J1357^2)+'CAFCO 400 '!$D$30*J1357+'CAFCO 400 '!$D$31)),0),0)+IF(AND(L1357="Cafco 300",J1357&gt;=95,J1357&lt;=240,C1357="Cj",I1357=90),VLOOKUP(T1357,'CAFCO 300 IDIEM TABLAS'!$B$4:$D$23,2,FALSE),0)+IF(AND(L1357="Cafco 300",J1357&gt;=95,J1357&lt;=240,C1357="Cj",I1357=120),VLOOKUP(T1357,'CAFCO 300 IDIEM TABLAS'!$B$4:$D$23,3,FALSE),0)+IF(AND(L1357="Cafco 300",J1357&gt;=95,J1357&lt;=400,G1357=3,C1357="IN",I1357=90),VLOOKUP(T1357,'CAFCO 300 IDIEM TABLAS'!$F$4:$H$35,2,FALSE),0)+IF(AND(L1357="Cafco 300",J1357&gt;=95,J1357&lt;=400,G1357=3,C1357="IN",I1357=120),VLOOKUP(T1357,'CAFCO 300 IDIEM TABLAS'!$F$4:$H$35,3,FALSE),0)+IF(AND(L1357="Cafco 300",J1357&gt;=95,J1357&lt;=450,G1357=4,C1357="IN",I1357=90),VLOOKUP(T1357,'CAFCO 300 IDIEM TABLAS'!$J$4:$L$40,2,FALSE),0)+IF(AND(L1357="Cafco 300",J1357&gt;=95,J1357&lt;=450,G1357=4,C1357="IN",I1357=120),VLOOKUP(T1357,'CAFCO 300 IDIEM TABLAS'!$J$4:$L$40,3,FALSE),0)+IF(AND(M1357="Ensayo Idiem",L1357="Cafco 400",C1357="IN",G1357=4,I1357=90),VLOOKUP(T1357,'CAFCO 400 ENSAYO'!$B$7:$D$43,2,FALSE),0)+IF(AND(M1357="Ensayo Idiem",L1357="Cafco 400",C1357="IN",G1357=4,I1357=120),VLOOKUP(T1357,'CAFCO 400 ENSAYO'!$B$7:$D$43,3,FALSE),0)</f>
        <v>0</v>
      </c>
      <c r="O1357" s="96">
        <f t="shared" si="138"/>
        <v>0</v>
      </c>
      <c r="P1357" s="132" t="str">
        <f t="shared" si="133"/>
        <v>N/A</v>
      </c>
      <c r="Q1357" s="132" t="str">
        <f t="shared" si="134"/>
        <v>N/A</v>
      </c>
      <c r="R1357" s="132" t="str">
        <f t="shared" si="135"/>
        <v>NO CERT.</v>
      </c>
      <c r="S1357" s="132" t="e">
        <f t="shared" si="136"/>
        <v>#N/A</v>
      </c>
      <c r="T1357" s="133" t="e">
        <f>+IF(J1357=LOOKUP(J1357,'CAFCO 300 IDIEM TABLAS'!$J$4:$J$40),'CALCULO MORTERO'!J1357,MROUND('CALCULO MORTERO'!J1357,10))</f>
        <v>#N/A</v>
      </c>
      <c r="U1357" s="134">
        <f t="shared" si="137"/>
        <v>0</v>
      </c>
    </row>
    <row r="1358" spans="1:21" x14ac:dyDescent="0.25">
      <c r="A1358" s="118">
        <f>+CUBICACION!D1352</f>
        <v>0</v>
      </c>
      <c r="B1358" s="819">
        <f>+CUBICACION!E1352</f>
        <v>0</v>
      </c>
      <c r="C1358" s="675">
        <f>+CUBICACION!F1352</f>
        <v>0</v>
      </c>
      <c r="D1358" s="118"/>
      <c r="E1358" s="118"/>
      <c r="F1358" s="820"/>
      <c r="G1358" s="675">
        <f>+CUBICACION!J1352</f>
        <v>0</v>
      </c>
      <c r="H1358" s="118"/>
      <c r="I1358" s="821">
        <f>+CUBICACION!L1352</f>
        <v>0</v>
      </c>
      <c r="J1358" s="64">
        <f>+CUBICACION!M1352</f>
        <v>0</v>
      </c>
      <c r="K1358" s="822" t="str">
        <f>+CUBICACION!N1352</f>
        <v/>
      </c>
      <c r="L1358" s="118">
        <f>+CUBICACION!O1352</f>
        <v>0</v>
      </c>
      <c r="M1358" s="823">
        <f>+CUBICACION!P1352</f>
        <v>0</v>
      </c>
      <c r="N1358" s="902">
        <f>ROUND(IF(AND(L1358="Blaze Shield II",M1358="Software Idiem",C1358="IN",G1358=4),((('BLAZE SHIELD II'!$D$4*('CALCULO MORTERO'!I1358^2)+'BLAZE SHIELD II'!$D$5*'CALCULO MORTERO'!I1358+'BLAZE SHIELD II'!$D$6)*LN(J1358))+('BLAZE SHIELD II'!$D$7*('CALCULO MORTERO'!I1358^2)+'BLAZE SHIELD II'!$D$8*'CALCULO MORTERO'!I1358+'BLAZE SHIELD II'!$D$9)),0)+IF(AND(L1358="Blaze Shield II",M1358="Software Idiem",C1358="Cj"),((('BLAZE SHIELD II'!$H$4*('CALCULO MORTERO'!I1358^2)+'BLAZE SHIELD II'!$H$5*'CALCULO MORTERO'!I1358+'BLAZE SHIELD II'!$H$6)*LN(J1358))+('BLAZE SHIELD II'!$H$7*('CALCULO MORTERO'!I1358^2)+'BLAZE SHIELD II'!$H$8*'CALCULO MORTERO'!I1358+'BLAZE SHIELD II'!$H$9)),0)+IF(AND(L1358="Blaze Shield II",M1358="Software Idiem",C1358="C"),((('BLAZE SHIELD II'!$L$4*('CALCULO MORTERO'!I1358^2)+'BLAZE SHIELD II'!$L$5*'CALCULO MORTERO'!I1358+'BLAZE SHIELD II'!$L$6)*LN(J1358))+('BLAZE SHIELD II'!$L$7*('CALCULO MORTERO'!I1358^2)+'BLAZE SHIELD II'!$L$8*'CALCULO MORTERO'!I1358+'BLAZE SHIELD II'!$L$9)),0)+IF(AND(L1358="Blaze Shield II",M1358="Software Idiem",C1358="L"),((('BLAZE SHIELD II'!$L$4*('CALCULO MORTERO'!I1358^2)+'BLAZE SHIELD II'!$L$5*'CALCULO MORTERO'!I1358+'BLAZE SHIELD II'!$L$6)*LN(J1358))+('BLAZE SHIELD II'!$L$7*('CALCULO MORTERO'!I1358^2)+'BLAZE SHIELD II'!$L$8*'CALCULO MORTERO'!I1358+'BLAZE SHIELD II'!$L$9)),0)+IF(AND(L1358="Blaze Shield II",M1358="Software Idiem",C1358="IN",G1358=3),((('BLAZE SHIELD II'!$H$14*('CALCULO MORTERO'!I1358^2)+'BLAZE SHIELD II'!$H$15*'CALCULO MORTERO'!I1358+'BLAZE SHIELD II'!$H$16)*LN(J1358))+('BLAZE SHIELD II'!$H$17*('CALCULO MORTERO'!I1358^2)+'BLAZE SHIELD II'!$H$18*'CALCULO MORTERO'!I1358+'BLAZE SHIELD II'!$H$19)),0),0)+ROUND(IF(AND(L1358="Cafco 400",M1358="Software Idiem",C1358="IN",G1358=4),((('CAFCO 400 '!$H$7*(J1358^4)+'CAFCO 400 '!$H$8*(J1358^3)+'CAFCO 400 '!$H$9*(J1358^2)+'CAFCO 400 '!$H$10*J1358+'CAFCO 400 '!$H$11)*U1358^2)+(('CAFCO 400 '!$H$12*(J1358^3)+'CAFCO 400 '!$H$13*(J1358^2)+'CAFCO 400 '!$H$14*J1358+'CAFCO 400 '!$H$15)*U1358)+('CAFCO 400 '!$H$16*(J1358^2)+'CAFCO 400 '!$H$17*J1358+'CAFCO 400 '!$H$18)),0)+IF(AND(L1358="Cafco 400",M1358="Software Idiem",C1358="Cj"),(((('CAFCO 400 '!$D$7*LN(J1358)+'CAFCO 400 '!$D$8)*U1358^2)+(('CAFCO 400 '!$D$9*LN(J1358)+'CAFCO 400 '!$D$10)*U1358)+('CAFCO 400 '!$D$11*LN(J1358)+'CAFCO 400 '!$D$12))),0)+IF(AND(L1358="Cafco 400",M1358="Software Idiem",C1358="C"),((('CAFCO 400 '!$L$7*(J1358^3)+'CAFCO 400 '!$L$8*(J1358^2)+'CAFCO 400 '!$L$9*J1358+'CAFCO 400 '!$L$10)*U1358^2)+(('CAFCO 400 '!$L$11*(J1358^3)+'CAFCO 400 '!$L$12*(J1358^2)+'CAFCO 400 '!$L$13*J1358+'CAFCO 400 '!$L$14)*U1358)+('CAFCO 400 '!$L$15*LN(J1358)+'CAFCO 400 '!$L$16)),0)+IF(AND(L1358="Cafco 400",M1358="Software Idiem",C1358="L"),((('CAFCO 400 '!$L$7*(J1358^3)+'CAFCO 400 '!$L$8*(J1358^2)+'CAFCO 400 '!$L$9*J1358+'CAFCO 400 '!$L$10)*U1358^2)+(('CAFCO 400 '!$L$11*(J1358^3)+'CAFCO 400 '!$L$12*(J1358^2)+'CAFCO 400 '!$L$13*J1358+'CAFCO 400 '!$L$14)*U1358)+('CAFCO 400 '!$L$15*LN(J1358)+'CAFCO 400 '!$L$16)),0)+IF(AND(L1358="Cafco 400",M1358="Software Idiem",C1358="IN",G1358=3),((('CAFCO 400 '!$D$23*(J1358^2)+'CAFCO 400 '!$D$24*(J1358)+'CAFCO 400 '!$D$25)*U1358^2)+(('CAFCO 400 '!$D$26*(J1358^2)+'CAFCO 400 '!$D$27*J1358+'CAFCO 400 '!$D$28)*U1358)+('CAFCO 400 '!$D$29*(J1358^2)+'CAFCO 400 '!$D$30*J1358+'CAFCO 400 '!$D$31)),0),0)+IF(AND(L1358="Cafco 300",J1358&gt;=95,J1358&lt;=240,C1358="Cj",I1358=90),VLOOKUP(T1358,'CAFCO 300 IDIEM TABLAS'!$B$4:$D$23,2,FALSE),0)+IF(AND(L1358="Cafco 300",J1358&gt;=95,J1358&lt;=240,C1358="Cj",I1358=120),VLOOKUP(T1358,'CAFCO 300 IDIEM TABLAS'!$B$4:$D$23,3,FALSE),0)+IF(AND(L1358="Cafco 300",J1358&gt;=95,J1358&lt;=400,G1358=3,C1358="IN",I1358=90),VLOOKUP(T1358,'CAFCO 300 IDIEM TABLAS'!$F$4:$H$35,2,FALSE),0)+IF(AND(L1358="Cafco 300",J1358&gt;=95,J1358&lt;=400,G1358=3,C1358="IN",I1358=120),VLOOKUP(T1358,'CAFCO 300 IDIEM TABLAS'!$F$4:$H$35,3,FALSE),0)+IF(AND(L1358="Cafco 300",J1358&gt;=95,J1358&lt;=450,G1358=4,C1358="IN",I1358=90),VLOOKUP(T1358,'CAFCO 300 IDIEM TABLAS'!$J$4:$L$40,2,FALSE),0)+IF(AND(L1358="Cafco 300",J1358&gt;=95,J1358&lt;=450,G1358=4,C1358="IN",I1358=120),VLOOKUP(T1358,'CAFCO 300 IDIEM TABLAS'!$J$4:$L$40,3,FALSE),0)+IF(AND(M1358="Ensayo Idiem",L1358="Cafco 400",C1358="IN",G1358=4,I1358=90),VLOOKUP(T1358,'CAFCO 400 ENSAYO'!$B$7:$D$43,2,FALSE),0)+IF(AND(M1358="Ensayo Idiem",L1358="Cafco 400",C1358="IN",G1358=4,I1358=120),VLOOKUP(T1358,'CAFCO 400 ENSAYO'!$B$7:$D$43,3,FALSE),0)</f>
        <v>0</v>
      </c>
      <c r="O1358" s="96">
        <f t="shared" si="138"/>
        <v>0</v>
      </c>
      <c r="P1358" s="95" t="str">
        <f t="shared" si="133"/>
        <v>N/A</v>
      </c>
      <c r="Q1358" s="95" t="str">
        <f t="shared" si="134"/>
        <v>N/A</v>
      </c>
      <c r="R1358" s="95" t="str">
        <f t="shared" si="135"/>
        <v>NO CERT.</v>
      </c>
      <c r="S1358" s="95" t="e">
        <f t="shared" si="136"/>
        <v>#N/A</v>
      </c>
      <c r="T1358" s="119" t="e">
        <f>+IF(J1358=LOOKUP(J1358,'CAFCO 300 IDIEM TABLAS'!$J$4:$J$40),'CALCULO MORTERO'!J1358,MROUND('CALCULO MORTERO'!J1358,10))</f>
        <v>#N/A</v>
      </c>
      <c r="U1358" s="118">
        <f t="shared" si="137"/>
        <v>0</v>
      </c>
    </row>
    <row r="1359" spans="1:21" x14ac:dyDescent="0.25">
      <c r="A1359" s="118">
        <f>+CUBICACION!D1353</f>
        <v>0</v>
      </c>
      <c r="B1359" s="819">
        <f>+CUBICACION!E1353</f>
        <v>0</v>
      </c>
      <c r="C1359" s="675">
        <f>+CUBICACION!F1353</f>
        <v>0</v>
      </c>
      <c r="D1359" s="118"/>
      <c r="E1359" s="118"/>
      <c r="F1359" s="820"/>
      <c r="G1359" s="675">
        <f>+CUBICACION!J1353</f>
        <v>0</v>
      </c>
      <c r="H1359" s="118"/>
      <c r="I1359" s="821">
        <f>+CUBICACION!L1353</f>
        <v>0</v>
      </c>
      <c r="J1359" s="64">
        <f>+CUBICACION!M1353</f>
        <v>0</v>
      </c>
      <c r="K1359" s="822" t="str">
        <f>+CUBICACION!N1353</f>
        <v/>
      </c>
      <c r="L1359" s="118">
        <f>+CUBICACION!O1353</f>
        <v>0</v>
      </c>
      <c r="M1359" s="823">
        <f>+CUBICACION!P1353</f>
        <v>0</v>
      </c>
      <c r="N1359" s="902">
        <f>ROUND(IF(AND(L1359="Blaze Shield II",M1359="Software Idiem",C1359="IN",G1359=4),((('BLAZE SHIELD II'!$D$4*('CALCULO MORTERO'!I1359^2)+'BLAZE SHIELD II'!$D$5*'CALCULO MORTERO'!I1359+'BLAZE SHIELD II'!$D$6)*LN(J1359))+('BLAZE SHIELD II'!$D$7*('CALCULO MORTERO'!I1359^2)+'BLAZE SHIELD II'!$D$8*'CALCULO MORTERO'!I1359+'BLAZE SHIELD II'!$D$9)),0)+IF(AND(L1359="Blaze Shield II",M1359="Software Idiem",C1359="Cj"),((('BLAZE SHIELD II'!$H$4*('CALCULO MORTERO'!I1359^2)+'BLAZE SHIELD II'!$H$5*'CALCULO MORTERO'!I1359+'BLAZE SHIELD II'!$H$6)*LN(J1359))+('BLAZE SHIELD II'!$H$7*('CALCULO MORTERO'!I1359^2)+'BLAZE SHIELD II'!$H$8*'CALCULO MORTERO'!I1359+'BLAZE SHIELD II'!$H$9)),0)+IF(AND(L1359="Blaze Shield II",M1359="Software Idiem",C1359="C"),((('BLAZE SHIELD II'!$L$4*('CALCULO MORTERO'!I1359^2)+'BLAZE SHIELD II'!$L$5*'CALCULO MORTERO'!I1359+'BLAZE SHIELD II'!$L$6)*LN(J1359))+('BLAZE SHIELD II'!$L$7*('CALCULO MORTERO'!I1359^2)+'BLAZE SHIELD II'!$L$8*'CALCULO MORTERO'!I1359+'BLAZE SHIELD II'!$L$9)),0)+IF(AND(L1359="Blaze Shield II",M1359="Software Idiem",C1359="L"),((('BLAZE SHIELD II'!$L$4*('CALCULO MORTERO'!I1359^2)+'BLAZE SHIELD II'!$L$5*'CALCULO MORTERO'!I1359+'BLAZE SHIELD II'!$L$6)*LN(J1359))+('BLAZE SHIELD II'!$L$7*('CALCULO MORTERO'!I1359^2)+'BLAZE SHIELD II'!$L$8*'CALCULO MORTERO'!I1359+'BLAZE SHIELD II'!$L$9)),0)+IF(AND(L1359="Blaze Shield II",M1359="Software Idiem",C1359="IN",G1359=3),((('BLAZE SHIELD II'!$H$14*('CALCULO MORTERO'!I1359^2)+'BLAZE SHIELD II'!$H$15*'CALCULO MORTERO'!I1359+'BLAZE SHIELD II'!$H$16)*LN(J1359))+('BLAZE SHIELD II'!$H$17*('CALCULO MORTERO'!I1359^2)+'BLAZE SHIELD II'!$H$18*'CALCULO MORTERO'!I1359+'BLAZE SHIELD II'!$H$19)),0),0)+ROUND(IF(AND(L1359="Cafco 400",M1359="Software Idiem",C1359="IN",G1359=4),((('CAFCO 400 '!$H$7*(J1359^4)+'CAFCO 400 '!$H$8*(J1359^3)+'CAFCO 400 '!$H$9*(J1359^2)+'CAFCO 400 '!$H$10*J1359+'CAFCO 400 '!$H$11)*U1359^2)+(('CAFCO 400 '!$H$12*(J1359^3)+'CAFCO 400 '!$H$13*(J1359^2)+'CAFCO 400 '!$H$14*J1359+'CAFCO 400 '!$H$15)*U1359)+('CAFCO 400 '!$H$16*(J1359^2)+'CAFCO 400 '!$H$17*J1359+'CAFCO 400 '!$H$18)),0)+IF(AND(L1359="Cafco 400",M1359="Software Idiem",C1359="Cj"),(((('CAFCO 400 '!$D$7*LN(J1359)+'CAFCO 400 '!$D$8)*U1359^2)+(('CAFCO 400 '!$D$9*LN(J1359)+'CAFCO 400 '!$D$10)*U1359)+('CAFCO 400 '!$D$11*LN(J1359)+'CAFCO 400 '!$D$12))),0)+IF(AND(L1359="Cafco 400",M1359="Software Idiem",C1359="C"),((('CAFCO 400 '!$L$7*(J1359^3)+'CAFCO 400 '!$L$8*(J1359^2)+'CAFCO 400 '!$L$9*J1359+'CAFCO 400 '!$L$10)*U1359^2)+(('CAFCO 400 '!$L$11*(J1359^3)+'CAFCO 400 '!$L$12*(J1359^2)+'CAFCO 400 '!$L$13*J1359+'CAFCO 400 '!$L$14)*U1359)+('CAFCO 400 '!$L$15*LN(J1359)+'CAFCO 400 '!$L$16)),0)+IF(AND(L1359="Cafco 400",M1359="Software Idiem",C1359="L"),((('CAFCO 400 '!$L$7*(J1359^3)+'CAFCO 400 '!$L$8*(J1359^2)+'CAFCO 400 '!$L$9*J1359+'CAFCO 400 '!$L$10)*U1359^2)+(('CAFCO 400 '!$L$11*(J1359^3)+'CAFCO 400 '!$L$12*(J1359^2)+'CAFCO 400 '!$L$13*J1359+'CAFCO 400 '!$L$14)*U1359)+('CAFCO 400 '!$L$15*LN(J1359)+'CAFCO 400 '!$L$16)),0)+IF(AND(L1359="Cafco 400",M1359="Software Idiem",C1359="IN",G1359=3),((('CAFCO 400 '!$D$23*(J1359^2)+'CAFCO 400 '!$D$24*(J1359)+'CAFCO 400 '!$D$25)*U1359^2)+(('CAFCO 400 '!$D$26*(J1359^2)+'CAFCO 400 '!$D$27*J1359+'CAFCO 400 '!$D$28)*U1359)+('CAFCO 400 '!$D$29*(J1359^2)+'CAFCO 400 '!$D$30*J1359+'CAFCO 400 '!$D$31)),0),0)+IF(AND(L1359="Cafco 300",J1359&gt;=95,J1359&lt;=240,C1359="Cj",I1359=90),VLOOKUP(T1359,'CAFCO 300 IDIEM TABLAS'!$B$4:$D$23,2,FALSE),0)+IF(AND(L1359="Cafco 300",J1359&gt;=95,J1359&lt;=240,C1359="Cj",I1359=120),VLOOKUP(T1359,'CAFCO 300 IDIEM TABLAS'!$B$4:$D$23,3,FALSE),0)+IF(AND(L1359="Cafco 300",J1359&gt;=95,J1359&lt;=400,G1359=3,C1359="IN",I1359=90),VLOOKUP(T1359,'CAFCO 300 IDIEM TABLAS'!$F$4:$H$35,2,FALSE),0)+IF(AND(L1359="Cafco 300",J1359&gt;=95,J1359&lt;=400,G1359=3,C1359="IN",I1359=120),VLOOKUP(T1359,'CAFCO 300 IDIEM TABLAS'!$F$4:$H$35,3,FALSE),0)+IF(AND(L1359="Cafco 300",J1359&gt;=95,J1359&lt;=450,G1359=4,C1359="IN",I1359=90),VLOOKUP(T1359,'CAFCO 300 IDIEM TABLAS'!$J$4:$L$40,2,FALSE),0)+IF(AND(L1359="Cafco 300",J1359&gt;=95,J1359&lt;=450,G1359=4,C1359="IN",I1359=120),VLOOKUP(T1359,'CAFCO 300 IDIEM TABLAS'!$J$4:$L$40,3,FALSE),0)+IF(AND(M1359="Ensayo Idiem",L1359="Cafco 400",C1359="IN",G1359=4,I1359=90),VLOOKUP(T1359,'CAFCO 400 ENSAYO'!$B$7:$D$43,2,FALSE),0)+IF(AND(M1359="Ensayo Idiem",L1359="Cafco 400",C1359="IN",G1359=4,I1359=120),VLOOKUP(T1359,'CAFCO 400 ENSAYO'!$B$7:$D$43,3,FALSE),0)</f>
        <v>0</v>
      </c>
      <c r="O1359" s="96">
        <f t="shared" si="138"/>
        <v>0</v>
      </c>
      <c r="P1359" s="132" t="str">
        <f t="shared" si="133"/>
        <v>N/A</v>
      </c>
      <c r="Q1359" s="132" t="str">
        <f t="shared" si="134"/>
        <v>N/A</v>
      </c>
      <c r="R1359" s="132" t="str">
        <f t="shared" si="135"/>
        <v>NO CERT.</v>
      </c>
      <c r="S1359" s="132" t="e">
        <f t="shared" si="136"/>
        <v>#N/A</v>
      </c>
      <c r="T1359" s="133" t="e">
        <f>+IF(J1359=LOOKUP(J1359,'CAFCO 300 IDIEM TABLAS'!$J$4:$J$40),'CALCULO MORTERO'!J1359,MROUND('CALCULO MORTERO'!J1359,10))</f>
        <v>#N/A</v>
      </c>
      <c r="U1359" s="134">
        <f t="shared" si="137"/>
        <v>0</v>
      </c>
    </row>
    <row r="1360" spans="1:21" x14ac:dyDescent="0.25">
      <c r="A1360" s="118">
        <f>+CUBICACION!D1354</f>
        <v>0</v>
      </c>
      <c r="B1360" s="819">
        <f>+CUBICACION!E1354</f>
        <v>0</v>
      </c>
      <c r="C1360" s="675">
        <f>+CUBICACION!F1354</f>
        <v>0</v>
      </c>
      <c r="D1360" s="118"/>
      <c r="E1360" s="118"/>
      <c r="F1360" s="820"/>
      <c r="G1360" s="675">
        <f>+CUBICACION!J1354</f>
        <v>0</v>
      </c>
      <c r="H1360" s="118"/>
      <c r="I1360" s="821">
        <f>+CUBICACION!L1354</f>
        <v>0</v>
      </c>
      <c r="J1360" s="64">
        <f>+CUBICACION!M1354</f>
        <v>0</v>
      </c>
      <c r="K1360" s="822" t="str">
        <f>+CUBICACION!N1354</f>
        <v/>
      </c>
      <c r="L1360" s="118">
        <f>+CUBICACION!O1354</f>
        <v>0</v>
      </c>
      <c r="M1360" s="823">
        <f>+CUBICACION!P1354</f>
        <v>0</v>
      </c>
      <c r="N1360" s="902">
        <f>ROUND(IF(AND(L1360="Blaze Shield II",M1360="Software Idiem",C1360="IN",G1360=4),((('BLAZE SHIELD II'!$D$4*('CALCULO MORTERO'!I1360^2)+'BLAZE SHIELD II'!$D$5*'CALCULO MORTERO'!I1360+'BLAZE SHIELD II'!$D$6)*LN(J1360))+('BLAZE SHIELD II'!$D$7*('CALCULO MORTERO'!I1360^2)+'BLAZE SHIELD II'!$D$8*'CALCULO MORTERO'!I1360+'BLAZE SHIELD II'!$D$9)),0)+IF(AND(L1360="Blaze Shield II",M1360="Software Idiem",C1360="Cj"),((('BLAZE SHIELD II'!$H$4*('CALCULO MORTERO'!I1360^2)+'BLAZE SHIELD II'!$H$5*'CALCULO MORTERO'!I1360+'BLAZE SHIELD II'!$H$6)*LN(J1360))+('BLAZE SHIELD II'!$H$7*('CALCULO MORTERO'!I1360^2)+'BLAZE SHIELD II'!$H$8*'CALCULO MORTERO'!I1360+'BLAZE SHIELD II'!$H$9)),0)+IF(AND(L1360="Blaze Shield II",M1360="Software Idiem",C1360="C"),((('BLAZE SHIELD II'!$L$4*('CALCULO MORTERO'!I1360^2)+'BLAZE SHIELD II'!$L$5*'CALCULO MORTERO'!I1360+'BLAZE SHIELD II'!$L$6)*LN(J1360))+('BLAZE SHIELD II'!$L$7*('CALCULO MORTERO'!I1360^2)+'BLAZE SHIELD II'!$L$8*'CALCULO MORTERO'!I1360+'BLAZE SHIELD II'!$L$9)),0)+IF(AND(L1360="Blaze Shield II",M1360="Software Idiem",C1360="L"),((('BLAZE SHIELD II'!$L$4*('CALCULO MORTERO'!I1360^2)+'BLAZE SHIELD II'!$L$5*'CALCULO MORTERO'!I1360+'BLAZE SHIELD II'!$L$6)*LN(J1360))+('BLAZE SHIELD II'!$L$7*('CALCULO MORTERO'!I1360^2)+'BLAZE SHIELD II'!$L$8*'CALCULO MORTERO'!I1360+'BLAZE SHIELD II'!$L$9)),0)+IF(AND(L1360="Blaze Shield II",M1360="Software Idiem",C1360="IN",G1360=3),((('BLAZE SHIELD II'!$H$14*('CALCULO MORTERO'!I1360^2)+'BLAZE SHIELD II'!$H$15*'CALCULO MORTERO'!I1360+'BLAZE SHIELD II'!$H$16)*LN(J1360))+('BLAZE SHIELD II'!$H$17*('CALCULO MORTERO'!I1360^2)+'BLAZE SHIELD II'!$H$18*'CALCULO MORTERO'!I1360+'BLAZE SHIELD II'!$H$19)),0),0)+ROUND(IF(AND(L1360="Cafco 400",M1360="Software Idiem",C1360="IN",G1360=4),((('CAFCO 400 '!$H$7*(J1360^4)+'CAFCO 400 '!$H$8*(J1360^3)+'CAFCO 400 '!$H$9*(J1360^2)+'CAFCO 400 '!$H$10*J1360+'CAFCO 400 '!$H$11)*U1360^2)+(('CAFCO 400 '!$H$12*(J1360^3)+'CAFCO 400 '!$H$13*(J1360^2)+'CAFCO 400 '!$H$14*J1360+'CAFCO 400 '!$H$15)*U1360)+('CAFCO 400 '!$H$16*(J1360^2)+'CAFCO 400 '!$H$17*J1360+'CAFCO 400 '!$H$18)),0)+IF(AND(L1360="Cafco 400",M1360="Software Idiem",C1360="Cj"),(((('CAFCO 400 '!$D$7*LN(J1360)+'CAFCO 400 '!$D$8)*U1360^2)+(('CAFCO 400 '!$D$9*LN(J1360)+'CAFCO 400 '!$D$10)*U1360)+('CAFCO 400 '!$D$11*LN(J1360)+'CAFCO 400 '!$D$12))),0)+IF(AND(L1360="Cafco 400",M1360="Software Idiem",C1360="C"),((('CAFCO 400 '!$L$7*(J1360^3)+'CAFCO 400 '!$L$8*(J1360^2)+'CAFCO 400 '!$L$9*J1360+'CAFCO 400 '!$L$10)*U1360^2)+(('CAFCO 400 '!$L$11*(J1360^3)+'CAFCO 400 '!$L$12*(J1360^2)+'CAFCO 400 '!$L$13*J1360+'CAFCO 400 '!$L$14)*U1360)+('CAFCO 400 '!$L$15*LN(J1360)+'CAFCO 400 '!$L$16)),0)+IF(AND(L1360="Cafco 400",M1360="Software Idiem",C1360="L"),((('CAFCO 400 '!$L$7*(J1360^3)+'CAFCO 400 '!$L$8*(J1360^2)+'CAFCO 400 '!$L$9*J1360+'CAFCO 400 '!$L$10)*U1360^2)+(('CAFCO 400 '!$L$11*(J1360^3)+'CAFCO 400 '!$L$12*(J1360^2)+'CAFCO 400 '!$L$13*J1360+'CAFCO 400 '!$L$14)*U1360)+('CAFCO 400 '!$L$15*LN(J1360)+'CAFCO 400 '!$L$16)),0)+IF(AND(L1360="Cafco 400",M1360="Software Idiem",C1360="IN",G1360=3),((('CAFCO 400 '!$D$23*(J1360^2)+'CAFCO 400 '!$D$24*(J1360)+'CAFCO 400 '!$D$25)*U1360^2)+(('CAFCO 400 '!$D$26*(J1360^2)+'CAFCO 400 '!$D$27*J1360+'CAFCO 400 '!$D$28)*U1360)+('CAFCO 400 '!$D$29*(J1360^2)+'CAFCO 400 '!$D$30*J1360+'CAFCO 400 '!$D$31)),0),0)+IF(AND(L1360="Cafco 300",J1360&gt;=95,J1360&lt;=240,C1360="Cj",I1360=90),VLOOKUP(T1360,'CAFCO 300 IDIEM TABLAS'!$B$4:$D$23,2,FALSE),0)+IF(AND(L1360="Cafco 300",J1360&gt;=95,J1360&lt;=240,C1360="Cj",I1360=120),VLOOKUP(T1360,'CAFCO 300 IDIEM TABLAS'!$B$4:$D$23,3,FALSE),0)+IF(AND(L1360="Cafco 300",J1360&gt;=95,J1360&lt;=400,G1360=3,C1360="IN",I1360=90),VLOOKUP(T1360,'CAFCO 300 IDIEM TABLAS'!$F$4:$H$35,2,FALSE),0)+IF(AND(L1360="Cafco 300",J1360&gt;=95,J1360&lt;=400,G1360=3,C1360="IN",I1360=120),VLOOKUP(T1360,'CAFCO 300 IDIEM TABLAS'!$F$4:$H$35,3,FALSE),0)+IF(AND(L1360="Cafco 300",J1360&gt;=95,J1360&lt;=450,G1360=4,C1360="IN",I1360=90),VLOOKUP(T1360,'CAFCO 300 IDIEM TABLAS'!$J$4:$L$40,2,FALSE),0)+IF(AND(L1360="Cafco 300",J1360&gt;=95,J1360&lt;=450,G1360=4,C1360="IN",I1360=120),VLOOKUP(T1360,'CAFCO 300 IDIEM TABLAS'!$J$4:$L$40,3,FALSE),0)+IF(AND(M1360="Ensayo Idiem",L1360="Cafco 400",C1360="IN",G1360=4,I1360=90),VLOOKUP(T1360,'CAFCO 400 ENSAYO'!$B$7:$D$43,2,FALSE),0)+IF(AND(M1360="Ensayo Idiem",L1360="Cafco 400",C1360="IN",G1360=4,I1360=120),VLOOKUP(T1360,'CAFCO 400 ENSAYO'!$B$7:$D$43,3,FALSE),0)</f>
        <v>0</v>
      </c>
      <c r="O1360" s="96">
        <f t="shared" si="138"/>
        <v>0</v>
      </c>
      <c r="P1360" s="95" t="str">
        <f t="shared" si="133"/>
        <v>N/A</v>
      </c>
      <c r="Q1360" s="95" t="str">
        <f t="shared" si="134"/>
        <v>N/A</v>
      </c>
      <c r="R1360" s="95" t="str">
        <f t="shared" si="135"/>
        <v>NO CERT.</v>
      </c>
      <c r="S1360" s="95" t="e">
        <f t="shared" si="136"/>
        <v>#N/A</v>
      </c>
      <c r="T1360" s="119" t="e">
        <f>+IF(J1360=LOOKUP(J1360,'CAFCO 300 IDIEM TABLAS'!$J$4:$J$40),'CALCULO MORTERO'!J1360,MROUND('CALCULO MORTERO'!J1360,10))</f>
        <v>#N/A</v>
      </c>
      <c r="U1360" s="118">
        <f t="shared" si="137"/>
        <v>0</v>
      </c>
    </row>
    <row r="1361" spans="1:21" x14ac:dyDescent="0.25">
      <c r="A1361" s="118">
        <f>+CUBICACION!D1355</f>
        <v>0</v>
      </c>
      <c r="B1361" s="819">
        <f>+CUBICACION!E1355</f>
        <v>0</v>
      </c>
      <c r="C1361" s="675">
        <f>+CUBICACION!F1355</f>
        <v>0</v>
      </c>
      <c r="D1361" s="118"/>
      <c r="E1361" s="118"/>
      <c r="F1361" s="820"/>
      <c r="G1361" s="675">
        <f>+CUBICACION!J1355</f>
        <v>0</v>
      </c>
      <c r="H1361" s="118"/>
      <c r="I1361" s="821">
        <f>+CUBICACION!L1355</f>
        <v>0</v>
      </c>
      <c r="J1361" s="64">
        <f>+CUBICACION!M1355</f>
        <v>0</v>
      </c>
      <c r="K1361" s="822" t="str">
        <f>+CUBICACION!N1355</f>
        <v/>
      </c>
      <c r="L1361" s="118">
        <f>+CUBICACION!O1355</f>
        <v>0</v>
      </c>
      <c r="M1361" s="823">
        <f>+CUBICACION!P1355</f>
        <v>0</v>
      </c>
      <c r="N1361" s="902">
        <f>ROUND(IF(AND(L1361="Blaze Shield II",M1361="Software Idiem",C1361="IN",G1361=4),((('BLAZE SHIELD II'!$D$4*('CALCULO MORTERO'!I1361^2)+'BLAZE SHIELD II'!$D$5*'CALCULO MORTERO'!I1361+'BLAZE SHIELD II'!$D$6)*LN(J1361))+('BLAZE SHIELD II'!$D$7*('CALCULO MORTERO'!I1361^2)+'BLAZE SHIELD II'!$D$8*'CALCULO MORTERO'!I1361+'BLAZE SHIELD II'!$D$9)),0)+IF(AND(L1361="Blaze Shield II",M1361="Software Idiem",C1361="Cj"),((('BLAZE SHIELD II'!$H$4*('CALCULO MORTERO'!I1361^2)+'BLAZE SHIELD II'!$H$5*'CALCULO MORTERO'!I1361+'BLAZE SHIELD II'!$H$6)*LN(J1361))+('BLAZE SHIELD II'!$H$7*('CALCULO MORTERO'!I1361^2)+'BLAZE SHIELD II'!$H$8*'CALCULO MORTERO'!I1361+'BLAZE SHIELD II'!$H$9)),0)+IF(AND(L1361="Blaze Shield II",M1361="Software Idiem",C1361="C"),((('BLAZE SHIELD II'!$L$4*('CALCULO MORTERO'!I1361^2)+'BLAZE SHIELD II'!$L$5*'CALCULO MORTERO'!I1361+'BLAZE SHIELD II'!$L$6)*LN(J1361))+('BLAZE SHIELD II'!$L$7*('CALCULO MORTERO'!I1361^2)+'BLAZE SHIELD II'!$L$8*'CALCULO MORTERO'!I1361+'BLAZE SHIELD II'!$L$9)),0)+IF(AND(L1361="Blaze Shield II",M1361="Software Idiem",C1361="L"),((('BLAZE SHIELD II'!$L$4*('CALCULO MORTERO'!I1361^2)+'BLAZE SHIELD II'!$L$5*'CALCULO MORTERO'!I1361+'BLAZE SHIELD II'!$L$6)*LN(J1361))+('BLAZE SHIELD II'!$L$7*('CALCULO MORTERO'!I1361^2)+'BLAZE SHIELD II'!$L$8*'CALCULO MORTERO'!I1361+'BLAZE SHIELD II'!$L$9)),0)+IF(AND(L1361="Blaze Shield II",M1361="Software Idiem",C1361="IN",G1361=3),((('BLAZE SHIELD II'!$H$14*('CALCULO MORTERO'!I1361^2)+'BLAZE SHIELD II'!$H$15*'CALCULO MORTERO'!I1361+'BLAZE SHIELD II'!$H$16)*LN(J1361))+('BLAZE SHIELD II'!$H$17*('CALCULO MORTERO'!I1361^2)+'BLAZE SHIELD II'!$H$18*'CALCULO MORTERO'!I1361+'BLAZE SHIELD II'!$H$19)),0),0)+ROUND(IF(AND(L1361="Cafco 400",M1361="Software Idiem",C1361="IN",G1361=4),((('CAFCO 400 '!$H$7*(J1361^4)+'CAFCO 400 '!$H$8*(J1361^3)+'CAFCO 400 '!$H$9*(J1361^2)+'CAFCO 400 '!$H$10*J1361+'CAFCO 400 '!$H$11)*U1361^2)+(('CAFCO 400 '!$H$12*(J1361^3)+'CAFCO 400 '!$H$13*(J1361^2)+'CAFCO 400 '!$H$14*J1361+'CAFCO 400 '!$H$15)*U1361)+('CAFCO 400 '!$H$16*(J1361^2)+'CAFCO 400 '!$H$17*J1361+'CAFCO 400 '!$H$18)),0)+IF(AND(L1361="Cafco 400",M1361="Software Idiem",C1361="Cj"),(((('CAFCO 400 '!$D$7*LN(J1361)+'CAFCO 400 '!$D$8)*U1361^2)+(('CAFCO 400 '!$D$9*LN(J1361)+'CAFCO 400 '!$D$10)*U1361)+('CAFCO 400 '!$D$11*LN(J1361)+'CAFCO 400 '!$D$12))),0)+IF(AND(L1361="Cafco 400",M1361="Software Idiem",C1361="C"),((('CAFCO 400 '!$L$7*(J1361^3)+'CAFCO 400 '!$L$8*(J1361^2)+'CAFCO 400 '!$L$9*J1361+'CAFCO 400 '!$L$10)*U1361^2)+(('CAFCO 400 '!$L$11*(J1361^3)+'CAFCO 400 '!$L$12*(J1361^2)+'CAFCO 400 '!$L$13*J1361+'CAFCO 400 '!$L$14)*U1361)+('CAFCO 400 '!$L$15*LN(J1361)+'CAFCO 400 '!$L$16)),0)+IF(AND(L1361="Cafco 400",M1361="Software Idiem",C1361="L"),((('CAFCO 400 '!$L$7*(J1361^3)+'CAFCO 400 '!$L$8*(J1361^2)+'CAFCO 400 '!$L$9*J1361+'CAFCO 400 '!$L$10)*U1361^2)+(('CAFCO 400 '!$L$11*(J1361^3)+'CAFCO 400 '!$L$12*(J1361^2)+'CAFCO 400 '!$L$13*J1361+'CAFCO 400 '!$L$14)*U1361)+('CAFCO 400 '!$L$15*LN(J1361)+'CAFCO 400 '!$L$16)),0)+IF(AND(L1361="Cafco 400",M1361="Software Idiem",C1361="IN",G1361=3),((('CAFCO 400 '!$D$23*(J1361^2)+'CAFCO 400 '!$D$24*(J1361)+'CAFCO 400 '!$D$25)*U1361^2)+(('CAFCO 400 '!$D$26*(J1361^2)+'CAFCO 400 '!$D$27*J1361+'CAFCO 400 '!$D$28)*U1361)+('CAFCO 400 '!$D$29*(J1361^2)+'CAFCO 400 '!$D$30*J1361+'CAFCO 400 '!$D$31)),0),0)+IF(AND(L1361="Cafco 300",J1361&gt;=95,J1361&lt;=240,C1361="Cj",I1361=90),VLOOKUP(T1361,'CAFCO 300 IDIEM TABLAS'!$B$4:$D$23,2,FALSE),0)+IF(AND(L1361="Cafco 300",J1361&gt;=95,J1361&lt;=240,C1361="Cj",I1361=120),VLOOKUP(T1361,'CAFCO 300 IDIEM TABLAS'!$B$4:$D$23,3,FALSE),0)+IF(AND(L1361="Cafco 300",J1361&gt;=95,J1361&lt;=400,G1361=3,C1361="IN",I1361=90),VLOOKUP(T1361,'CAFCO 300 IDIEM TABLAS'!$F$4:$H$35,2,FALSE),0)+IF(AND(L1361="Cafco 300",J1361&gt;=95,J1361&lt;=400,G1361=3,C1361="IN",I1361=120),VLOOKUP(T1361,'CAFCO 300 IDIEM TABLAS'!$F$4:$H$35,3,FALSE),0)+IF(AND(L1361="Cafco 300",J1361&gt;=95,J1361&lt;=450,G1361=4,C1361="IN",I1361=90),VLOOKUP(T1361,'CAFCO 300 IDIEM TABLAS'!$J$4:$L$40,2,FALSE),0)+IF(AND(L1361="Cafco 300",J1361&gt;=95,J1361&lt;=450,G1361=4,C1361="IN",I1361=120),VLOOKUP(T1361,'CAFCO 300 IDIEM TABLAS'!$J$4:$L$40,3,FALSE),0)+IF(AND(M1361="Ensayo Idiem",L1361="Cafco 400",C1361="IN",G1361=4,I1361=90),VLOOKUP(T1361,'CAFCO 400 ENSAYO'!$B$7:$D$43,2,FALSE),0)+IF(AND(M1361="Ensayo Idiem",L1361="Cafco 400",C1361="IN",G1361=4,I1361=120),VLOOKUP(T1361,'CAFCO 400 ENSAYO'!$B$7:$D$43,3,FALSE),0)</f>
        <v>0</v>
      </c>
      <c r="O1361" s="96">
        <f t="shared" si="138"/>
        <v>0</v>
      </c>
      <c r="P1361" s="132" t="str">
        <f t="shared" si="133"/>
        <v>N/A</v>
      </c>
      <c r="Q1361" s="132" t="str">
        <f t="shared" si="134"/>
        <v>N/A</v>
      </c>
      <c r="R1361" s="132" t="str">
        <f t="shared" si="135"/>
        <v>NO CERT.</v>
      </c>
      <c r="S1361" s="132" t="e">
        <f t="shared" si="136"/>
        <v>#N/A</v>
      </c>
      <c r="T1361" s="133" t="e">
        <f>+IF(J1361=LOOKUP(J1361,'CAFCO 300 IDIEM TABLAS'!$J$4:$J$40),'CALCULO MORTERO'!J1361,MROUND('CALCULO MORTERO'!J1361,10))</f>
        <v>#N/A</v>
      </c>
      <c r="U1361" s="134">
        <f t="shared" si="137"/>
        <v>0</v>
      </c>
    </row>
    <row r="1362" spans="1:21" x14ac:dyDescent="0.25">
      <c r="A1362" s="118">
        <f>+CUBICACION!D1356</f>
        <v>0</v>
      </c>
      <c r="B1362" s="819">
        <f>+CUBICACION!E1356</f>
        <v>0</v>
      </c>
      <c r="C1362" s="675">
        <f>+CUBICACION!F1356</f>
        <v>0</v>
      </c>
      <c r="D1362" s="118"/>
      <c r="E1362" s="118"/>
      <c r="F1362" s="820"/>
      <c r="G1362" s="675">
        <f>+CUBICACION!J1356</f>
        <v>0</v>
      </c>
      <c r="H1362" s="118"/>
      <c r="I1362" s="821">
        <f>+CUBICACION!L1356</f>
        <v>0</v>
      </c>
      <c r="J1362" s="64">
        <f>+CUBICACION!M1356</f>
        <v>0</v>
      </c>
      <c r="K1362" s="822" t="str">
        <f>+CUBICACION!N1356</f>
        <v/>
      </c>
      <c r="L1362" s="118">
        <f>+CUBICACION!O1356</f>
        <v>0</v>
      </c>
      <c r="M1362" s="823">
        <f>+CUBICACION!P1356</f>
        <v>0</v>
      </c>
      <c r="N1362" s="902">
        <f>ROUND(IF(AND(L1362="Blaze Shield II",M1362="Software Idiem",C1362="IN",G1362=4),((('BLAZE SHIELD II'!$D$4*('CALCULO MORTERO'!I1362^2)+'BLAZE SHIELD II'!$D$5*'CALCULO MORTERO'!I1362+'BLAZE SHIELD II'!$D$6)*LN(J1362))+('BLAZE SHIELD II'!$D$7*('CALCULO MORTERO'!I1362^2)+'BLAZE SHIELD II'!$D$8*'CALCULO MORTERO'!I1362+'BLAZE SHIELD II'!$D$9)),0)+IF(AND(L1362="Blaze Shield II",M1362="Software Idiem",C1362="Cj"),((('BLAZE SHIELD II'!$H$4*('CALCULO MORTERO'!I1362^2)+'BLAZE SHIELD II'!$H$5*'CALCULO MORTERO'!I1362+'BLAZE SHIELD II'!$H$6)*LN(J1362))+('BLAZE SHIELD II'!$H$7*('CALCULO MORTERO'!I1362^2)+'BLAZE SHIELD II'!$H$8*'CALCULO MORTERO'!I1362+'BLAZE SHIELD II'!$H$9)),0)+IF(AND(L1362="Blaze Shield II",M1362="Software Idiem",C1362="C"),((('BLAZE SHIELD II'!$L$4*('CALCULO MORTERO'!I1362^2)+'BLAZE SHIELD II'!$L$5*'CALCULO MORTERO'!I1362+'BLAZE SHIELD II'!$L$6)*LN(J1362))+('BLAZE SHIELD II'!$L$7*('CALCULO MORTERO'!I1362^2)+'BLAZE SHIELD II'!$L$8*'CALCULO MORTERO'!I1362+'BLAZE SHIELD II'!$L$9)),0)+IF(AND(L1362="Blaze Shield II",M1362="Software Idiem",C1362="L"),((('BLAZE SHIELD II'!$L$4*('CALCULO MORTERO'!I1362^2)+'BLAZE SHIELD II'!$L$5*'CALCULO MORTERO'!I1362+'BLAZE SHIELD II'!$L$6)*LN(J1362))+('BLAZE SHIELD II'!$L$7*('CALCULO MORTERO'!I1362^2)+'BLAZE SHIELD II'!$L$8*'CALCULO MORTERO'!I1362+'BLAZE SHIELD II'!$L$9)),0)+IF(AND(L1362="Blaze Shield II",M1362="Software Idiem",C1362="IN",G1362=3),((('BLAZE SHIELD II'!$H$14*('CALCULO MORTERO'!I1362^2)+'BLAZE SHIELD II'!$H$15*'CALCULO MORTERO'!I1362+'BLAZE SHIELD II'!$H$16)*LN(J1362))+('BLAZE SHIELD II'!$H$17*('CALCULO MORTERO'!I1362^2)+'BLAZE SHIELD II'!$H$18*'CALCULO MORTERO'!I1362+'BLAZE SHIELD II'!$H$19)),0),0)+ROUND(IF(AND(L1362="Cafco 400",M1362="Software Idiem",C1362="IN",G1362=4),((('CAFCO 400 '!$H$7*(J1362^4)+'CAFCO 400 '!$H$8*(J1362^3)+'CAFCO 400 '!$H$9*(J1362^2)+'CAFCO 400 '!$H$10*J1362+'CAFCO 400 '!$H$11)*U1362^2)+(('CAFCO 400 '!$H$12*(J1362^3)+'CAFCO 400 '!$H$13*(J1362^2)+'CAFCO 400 '!$H$14*J1362+'CAFCO 400 '!$H$15)*U1362)+('CAFCO 400 '!$H$16*(J1362^2)+'CAFCO 400 '!$H$17*J1362+'CAFCO 400 '!$H$18)),0)+IF(AND(L1362="Cafco 400",M1362="Software Idiem",C1362="Cj"),(((('CAFCO 400 '!$D$7*LN(J1362)+'CAFCO 400 '!$D$8)*U1362^2)+(('CAFCO 400 '!$D$9*LN(J1362)+'CAFCO 400 '!$D$10)*U1362)+('CAFCO 400 '!$D$11*LN(J1362)+'CAFCO 400 '!$D$12))),0)+IF(AND(L1362="Cafco 400",M1362="Software Idiem",C1362="C"),((('CAFCO 400 '!$L$7*(J1362^3)+'CAFCO 400 '!$L$8*(J1362^2)+'CAFCO 400 '!$L$9*J1362+'CAFCO 400 '!$L$10)*U1362^2)+(('CAFCO 400 '!$L$11*(J1362^3)+'CAFCO 400 '!$L$12*(J1362^2)+'CAFCO 400 '!$L$13*J1362+'CAFCO 400 '!$L$14)*U1362)+('CAFCO 400 '!$L$15*LN(J1362)+'CAFCO 400 '!$L$16)),0)+IF(AND(L1362="Cafco 400",M1362="Software Idiem",C1362="L"),((('CAFCO 400 '!$L$7*(J1362^3)+'CAFCO 400 '!$L$8*(J1362^2)+'CAFCO 400 '!$L$9*J1362+'CAFCO 400 '!$L$10)*U1362^2)+(('CAFCO 400 '!$L$11*(J1362^3)+'CAFCO 400 '!$L$12*(J1362^2)+'CAFCO 400 '!$L$13*J1362+'CAFCO 400 '!$L$14)*U1362)+('CAFCO 400 '!$L$15*LN(J1362)+'CAFCO 400 '!$L$16)),0)+IF(AND(L1362="Cafco 400",M1362="Software Idiem",C1362="IN",G1362=3),((('CAFCO 400 '!$D$23*(J1362^2)+'CAFCO 400 '!$D$24*(J1362)+'CAFCO 400 '!$D$25)*U1362^2)+(('CAFCO 400 '!$D$26*(J1362^2)+'CAFCO 400 '!$D$27*J1362+'CAFCO 400 '!$D$28)*U1362)+('CAFCO 400 '!$D$29*(J1362^2)+'CAFCO 400 '!$D$30*J1362+'CAFCO 400 '!$D$31)),0),0)+IF(AND(L1362="Cafco 300",J1362&gt;=95,J1362&lt;=240,C1362="Cj",I1362=90),VLOOKUP(T1362,'CAFCO 300 IDIEM TABLAS'!$B$4:$D$23,2,FALSE),0)+IF(AND(L1362="Cafco 300",J1362&gt;=95,J1362&lt;=240,C1362="Cj",I1362=120),VLOOKUP(T1362,'CAFCO 300 IDIEM TABLAS'!$B$4:$D$23,3,FALSE),0)+IF(AND(L1362="Cafco 300",J1362&gt;=95,J1362&lt;=400,G1362=3,C1362="IN",I1362=90),VLOOKUP(T1362,'CAFCO 300 IDIEM TABLAS'!$F$4:$H$35,2,FALSE),0)+IF(AND(L1362="Cafco 300",J1362&gt;=95,J1362&lt;=400,G1362=3,C1362="IN",I1362=120),VLOOKUP(T1362,'CAFCO 300 IDIEM TABLAS'!$F$4:$H$35,3,FALSE),0)+IF(AND(L1362="Cafco 300",J1362&gt;=95,J1362&lt;=450,G1362=4,C1362="IN",I1362=90),VLOOKUP(T1362,'CAFCO 300 IDIEM TABLAS'!$J$4:$L$40,2,FALSE),0)+IF(AND(L1362="Cafco 300",J1362&gt;=95,J1362&lt;=450,G1362=4,C1362="IN",I1362=120),VLOOKUP(T1362,'CAFCO 300 IDIEM TABLAS'!$J$4:$L$40,3,FALSE),0)+IF(AND(M1362="Ensayo Idiem",L1362="Cafco 400",C1362="IN",G1362=4,I1362=90),VLOOKUP(T1362,'CAFCO 400 ENSAYO'!$B$7:$D$43,2,FALSE),0)+IF(AND(M1362="Ensayo Idiem",L1362="Cafco 400",C1362="IN",G1362=4,I1362=120),VLOOKUP(T1362,'CAFCO 400 ENSAYO'!$B$7:$D$43,3,FALSE),0)</f>
        <v>0</v>
      </c>
      <c r="O1362" s="96">
        <f t="shared" si="138"/>
        <v>0</v>
      </c>
      <c r="P1362" s="95" t="str">
        <f t="shared" si="133"/>
        <v>N/A</v>
      </c>
      <c r="Q1362" s="95" t="str">
        <f t="shared" si="134"/>
        <v>N/A</v>
      </c>
      <c r="R1362" s="95" t="str">
        <f t="shared" si="135"/>
        <v>NO CERT.</v>
      </c>
      <c r="S1362" s="95" t="e">
        <f t="shared" si="136"/>
        <v>#N/A</v>
      </c>
      <c r="T1362" s="119" t="e">
        <f>+IF(J1362=LOOKUP(J1362,'CAFCO 300 IDIEM TABLAS'!$J$4:$J$40),'CALCULO MORTERO'!J1362,MROUND('CALCULO MORTERO'!J1362,10))</f>
        <v>#N/A</v>
      </c>
      <c r="U1362" s="118">
        <f t="shared" si="137"/>
        <v>0</v>
      </c>
    </row>
    <row r="1363" spans="1:21" x14ac:dyDescent="0.25">
      <c r="A1363" s="118">
        <f>+CUBICACION!D1357</f>
        <v>0</v>
      </c>
      <c r="B1363" s="819">
        <f>+CUBICACION!E1357</f>
        <v>0</v>
      </c>
      <c r="C1363" s="675">
        <f>+CUBICACION!F1357</f>
        <v>0</v>
      </c>
      <c r="D1363" s="118"/>
      <c r="E1363" s="118"/>
      <c r="F1363" s="820"/>
      <c r="G1363" s="675">
        <f>+CUBICACION!J1357</f>
        <v>0</v>
      </c>
      <c r="H1363" s="118"/>
      <c r="I1363" s="821">
        <f>+CUBICACION!L1357</f>
        <v>0</v>
      </c>
      <c r="J1363" s="64">
        <f>+CUBICACION!M1357</f>
        <v>0</v>
      </c>
      <c r="K1363" s="822" t="str">
        <f>+CUBICACION!N1357</f>
        <v/>
      </c>
      <c r="L1363" s="118">
        <f>+CUBICACION!O1357</f>
        <v>0</v>
      </c>
      <c r="M1363" s="823">
        <f>+CUBICACION!P1357</f>
        <v>0</v>
      </c>
      <c r="N1363" s="902">
        <f>ROUND(IF(AND(L1363="Blaze Shield II",M1363="Software Idiem",C1363="IN",G1363=4),((('BLAZE SHIELD II'!$D$4*('CALCULO MORTERO'!I1363^2)+'BLAZE SHIELD II'!$D$5*'CALCULO MORTERO'!I1363+'BLAZE SHIELD II'!$D$6)*LN(J1363))+('BLAZE SHIELD II'!$D$7*('CALCULO MORTERO'!I1363^2)+'BLAZE SHIELD II'!$D$8*'CALCULO MORTERO'!I1363+'BLAZE SHIELD II'!$D$9)),0)+IF(AND(L1363="Blaze Shield II",M1363="Software Idiem",C1363="Cj"),((('BLAZE SHIELD II'!$H$4*('CALCULO MORTERO'!I1363^2)+'BLAZE SHIELD II'!$H$5*'CALCULO MORTERO'!I1363+'BLAZE SHIELD II'!$H$6)*LN(J1363))+('BLAZE SHIELD II'!$H$7*('CALCULO MORTERO'!I1363^2)+'BLAZE SHIELD II'!$H$8*'CALCULO MORTERO'!I1363+'BLAZE SHIELD II'!$H$9)),0)+IF(AND(L1363="Blaze Shield II",M1363="Software Idiem",C1363="C"),((('BLAZE SHIELD II'!$L$4*('CALCULO MORTERO'!I1363^2)+'BLAZE SHIELD II'!$L$5*'CALCULO MORTERO'!I1363+'BLAZE SHIELD II'!$L$6)*LN(J1363))+('BLAZE SHIELD II'!$L$7*('CALCULO MORTERO'!I1363^2)+'BLAZE SHIELD II'!$L$8*'CALCULO MORTERO'!I1363+'BLAZE SHIELD II'!$L$9)),0)+IF(AND(L1363="Blaze Shield II",M1363="Software Idiem",C1363="L"),((('BLAZE SHIELD II'!$L$4*('CALCULO MORTERO'!I1363^2)+'BLAZE SHIELD II'!$L$5*'CALCULO MORTERO'!I1363+'BLAZE SHIELD II'!$L$6)*LN(J1363))+('BLAZE SHIELD II'!$L$7*('CALCULO MORTERO'!I1363^2)+'BLAZE SHIELD II'!$L$8*'CALCULO MORTERO'!I1363+'BLAZE SHIELD II'!$L$9)),0)+IF(AND(L1363="Blaze Shield II",M1363="Software Idiem",C1363="IN",G1363=3),((('BLAZE SHIELD II'!$H$14*('CALCULO MORTERO'!I1363^2)+'BLAZE SHIELD II'!$H$15*'CALCULO MORTERO'!I1363+'BLAZE SHIELD II'!$H$16)*LN(J1363))+('BLAZE SHIELD II'!$H$17*('CALCULO MORTERO'!I1363^2)+'BLAZE SHIELD II'!$H$18*'CALCULO MORTERO'!I1363+'BLAZE SHIELD II'!$H$19)),0),0)+ROUND(IF(AND(L1363="Cafco 400",M1363="Software Idiem",C1363="IN",G1363=4),((('CAFCO 400 '!$H$7*(J1363^4)+'CAFCO 400 '!$H$8*(J1363^3)+'CAFCO 400 '!$H$9*(J1363^2)+'CAFCO 400 '!$H$10*J1363+'CAFCO 400 '!$H$11)*U1363^2)+(('CAFCO 400 '!$H$12*(J1363^3)+'CAFCO 400 '!$H$13*(J1363^2)+'CAFCO 400 '!$H$14*J1363+'CAFCO 400 '!$H$15)*U1363)+('CAFCO 400 '!$H$16*(J1363^2)+'CAFCO 400 '!$H$17*J1363+'CAFCO 400 '!$H$18)),0)+IF(AND(L1363="Cafco 400",M1363="Software Idiem",C1363="Cj"),(((('CAFCO 400 '!$D$7*LN(J1363)+'CAFCO 400 '!$D$8)*U1363^2)+(('CAFCO 400 '!$D$9*LN(J1363)+'CAFCO 400 '!$D$10)*U1363)+('CAFCO 400 '!$D$11*LN(J1363)+'CAFCO 400 '!$D$12))),0)+IF(AND(L1363="Cafco 400",M1363="Software Idiem",C1363="C"),((('CAFCO 400 '!$L$7*(J1363^3)+'CAFCO 400 '!$L$8*(J1363^2)+'CAFCO 400 '!$L$9*J1363+'CAFCO 400 '!$L$10)*U1363^2)+(('CAFCO 400 '!$L$11*(J1363^3)+'CAFCO 400 '!$L$12*(J1363^2)+'CAFCO 400 '!$L$13*J1363+'CAFCO 400 '!$L$14)*U1363)+('CAFCO 400 '!$L$15*LN(J1363)+'CAFCO 400 '!$L$16)),0)+IF(AND(L1363="Cafco 400",M1363="Software Idiem",C1363="L"),((('CAFCO 400 '!$L$7*(J1363^3)+'CAFCO 400 '!$L$8*(J1363^2)+'CAFCO 400 '!$L$9*J1363+'CAFCO 400 '!$L$10)*U1363^2)+(('CAFCO 400 '!$L$11*(J1363^3)+'CAFCO 400 '!$L$12*(J1363^2)+'CAFCO 400 '!$L$13*J1363+'CAFCO 400 '!$L$14)*U1363)+('CAFCO 400 '!$L$15*LN(J1363)+'CAFCO 400 '!$L$16)),0)+IF(AND(L1363="Cafco 400",M1363="Software Idiem",C1363="IN",G1363=3),((('CAFCO 400 '!$D$23*(J1363^2)+'CAFCO 400 '!$D$24*(J1363)+'CAFCO 400 '!$D$25)*U1363^2)+(('CAFCO 400 '!$D$26*(J1363^2)+'CAFCO 400 '!$D$27*J1363+'CAFCO 400 '!$D$28)*U1363)+('CAFCO 400 '!$D$29*(J1363^2)+'CAFCO 400 '!$D$30*J1363+'CAFCO 400 '!$D$31)),0),0)+IF(AND(L1363="Cafco 300",J1363&gt;=95,J1363&lt;=240,C1363="Cj",I1363=90),VLOOKUP(T1363,'CAFCO 300 IDIEM TABLAS'!$B$4:$D$23,2,FALSE),0)+IF(AND(L1363="Cafco 300",J1363&gt;=95,J1363&lt;=240,C1363="Cj",I1363=120),VLOOKUP(T1363,'CAFCO 300 IDIEM TABLAS'!$B$4:$D$23,3,FALSE),0)+IF(AND(L1363="Cafco 300",J1363&gt;=95,J1363&lt;=400,G1363=3,C1363="IN",I1363=90),VLOOKUP(T1363,'CAFCO 300 IDIEM TABLAS'!$F$4:$H$35,2,FALSE),0)+IF(AND(L1363="Cafco 300",J1363&gt;=95,J1363&lt;=400,G1363=3,C1363="IN",I1363=120),VLOOKUP(T1363,'CAFCO 300 IDIEM TABLAS'!$F$4:$H$35,3,FALSE),0)+IF(AND(L1363="Cafco 300",J1363&gt;=95,J1363&lt;=450,G1363=4,C1363="IN",I1363=90),VLOOKUP(T1363,'CAFCO 300 IDIEM TABLAS'!$J$4:$L$40,2,FALSE),0)+IF(AND(L1363="Cafco 300",J1363&gt;=95,J1363&lt;=450,G1363=4,C1363="IN",I1363=120),VLOOKUP(T1363,'CAFCO 300 IDIEM TABLAS'!$J$4:$L$40,3,FALSE),0)+IF(AND(M1363="Ensayo Idiem",L1363="Cafco 400",C1363="IN",G1363=4,I1363=90),VLOOKUP(T1363,'CAFCO 400 ENSAYO'!$B$7:$D$43,2,FALSE),0)+IF(AND(M1363="Ensayo Idiem",L1363="Cafco 400",C1363="IN",G1363=4,I1363=120),VLOOKUP(T1363,'CAFCO 400 ENSAYO'!$B$7:$D$43,3,FALSE),0)</f>
        <v>0</v>
      </c>
      <c r="O1363" s="96">
        <f t="shared" si="138"/>
        <v>0</v>
      </c>
      <c r="P1363" s="132" t="str">
        <f t="shared" si="133"/>
        <v>N/A</v>
      </c>
      <c r="Q1363" s="132" t="str">
        <f t="shared" si="134"/>
        <v>N/A</v>
      </c>
      <c r="R1363" s="132" t="str">
        <f t="shared" si="135"/>
        <v>NO CERT.</v>
      </c>
      <c r="S1363" s="132" t="e">
        <f t="shared" si="136"/>
        <v>#N/A</v>
      </c>
      <c r="T1363" s="133" t="e">
        <f>+IF(J1363=LOOKUP(J1363,'CAFCO 300 IDIEM TABLAS'!$J$4:$J$40),'CALCULO MORTERO'!J1363,MROUND('CALCULO MORTERO'!J1363,10))</f>
        <v>#N/A</v>
      </c>
      <c r="U1363" s="134">
        <f t="shared" si="137"/>
        <v>0</v>
      </c>
    </row>
    <row r="1364" spans="1:21" x14ac:dyDescent="0.25">
      <c r="A1364" s="118">
        <f>+CUBICACION!D1358</f>
        <v>0</v>
      </c>
      <c r="B1364" s="819">
        <f>+CUBICACION!E1358</f>
        <v>0</v>
      </c>
      <c r="C1364" s="675">
        <f>+CUBICACION!F1358</f>
        <v>0</v>
      </c>
      <c r="D1364" s="118"/>
      <c r="E1364" s="118"/>
      <c r="F1364" s="820"/>
      <c r="G1364" s="675">
        <f>+CUBICACION!J1358</f>
        <v>0</v>
      </c>
      <c r="H1364" s="118"/>
      <c r="I1364" s="821">
        <f>+CUBICACION!L1358</f>
        <v>0</v>
      </c>
      <c r="J1364" s="64">
        <f>+CUBICACION!M1358</f>
        <v>0</v>
      </c>
      <c r="K1364" s="822" t="str">
        <f>+CUBICACION!N1358</f>
        <v/>
      </c>
      <c r="L1364" s="118">
        <f>+CUBICACION!O1358</f>
        <v>0</v>
      </c>
      <c r="M1364" s="823">
        <f>+CUBICACION!P1358</f>
        <v>0</v>
      </c>
      <c r="N1364" s="902">
        <f>ROUND(IF(AND(L1364="Blaze Shield II",M1364="Software Idiem",C1364="IN",G1364=4),((('BLAZE SHIELD II'!$D$4*('CALCULO MORTERO'!I1364^2)+'BLAZE SHIELD II'!$D$5*'CALCULO MORTERO'!I1364+'BLAZE SHIELD II'!$D$6)*LN(J1364))+('BLAZE SHIELD II'!$D$7*('CALCULO MORTERO'!I1364^2)+'BLAZE SHIELD II'!$D$8*'CALCULO MORTERO'!I1364+'BLAZE SHIELD II'!$D$9)),0)+IF(AND(L1364="Blaze Shield II",M1364="Software Idiem",C1364="Cj"),((('BLAZE SHIELD II'!$H$4*('CALCULO MORTERO'!I1364^2)+'BLAZE SHIELD II'!$H$5*'CALCULO MORTERO'!I1364+'BLAZE SHIELD II'!$H$6)*LN(J1364))+('BLAZE SHIELD II'!$H$7*('CALCULO MORTERO'!I1364^2)+'BLAZE SHIELD II'!$H$8*'CALCULO MORTERO'!I1364+'BLAZE SHIELD II'!$H$9)),0)+IF(AND(L1364="Blaze Shield II",M1364="Software Idiem",C1364="C"),((('BLAZE SHIELD II'!$L$4*('CALCULO MORTERO'!I1364^2)+'BLAZE SHIELD II'!$L$5*'CALCULO MORTERO'!I1364+'BLAZE SHIELD II'!$L$6)*LN(J1364))+('BLAZE SHIELD II'!$L$7*('CALCULO MORTERO'!I1364^2)+'BLAZE SHIELD II'!$L$8*'CALCULO MORTERO'!I1364+'BLAZE SHIELD II'!$L$9)),0)+IF(AND(L1364="Blaze Shield II",M1364="Software Idiem",C1364="L"),((('BLAZE SHIELD II'!$L$4*('CALCULO MORTERO'!I1364^2)+'BLAZE SHIELD II'!$L$5*'CALCULO MORTERO'!I1364+'BLAZE SHIELD II'!$L$6)*LN(J1364))+('BLAZE SHIELD II'!$L$7*('CALCULO MORTERO'!I1364^2)+'BLAZE SHIELD II'!$L$8*'CALCULO MORTERO'!I1364+'BLAZE SHIELD II'!$L$9)),0)+IF(AND(L1364="Blaze Shield II",M1364="Software Idiem",C1364="IN",G1364=3),((('BLAZE SHIELD II'!$H$14*('CALCULO MORTERO'!I1364^2)+'BLAZE SHIELD II'!$H$15*'CALCULO MORTERO'!I1364+'BLAZE SHIELD II'!$H$16)*LN(J1364))+('BLAZE SHIELD II'!$H$17*('CALCULO MORTERO'!I1364^2)+'BLAZE SHIELD II'!$H$18*'CALCULO MORTERO'!I1364+'BLAZE SHIELD II'!$H$19)),0),0)+ROUND(IF(AND(L1364="Cafco 400",M1364="Software Idiem",C1364="IN",G1364=4),((('CAFCO 400 '!$H$7*(J1364^4)+'CAFCO 400 '!$H$8*(J1364^3)+'CAFCO 400 '!$H$9*(J1364^2)+'CAFCO 400 '!$H$10*J1364+'CAFCO 400 '!$H$11)*U1364^2)+(('CAFCO 400 '!$H$12*(J1364^3)+'CAFCO 400 '!$H$13*(J1364^2)+'CAFCO 400 '!$H$14*J1364+'CAFCO 400 '!$H$15)*U1364)+('CAFCO 400 '!$H$16*(J1364^2)+'CAFCO 400 '!$H$17*J1364+'CAFCO 400 '!$H$18)),0)+IF(AND(L1364="Cafco 400",M1364="Software Idiem",C1364="Cj"),(((('CAFCO 400 '!$D$7*LN(J1364)+'CAFCO 400 '!$D$8)*U1364^2)+(('CAFCO 400 '!$D$9*LN(J1364)+'CAFCO 400 '!$D$10)*U1364)+('CAFCO 400 '!$D$11*LN(J1364)+'CAFCO 400 '!$D$12))),0)+IF(AND(L1364="Cafco 400",M1364="Software Idiem",C1364="C"),((('CAFCO 400 '!$L$7*(J1364^3)+'CAFCO 400 '!$L$8*(J1364^2)+'CAFCO 400 '!$L$9*J1364+'CAFCO 400 '!$L$10)*U1364^2)+(('CAFCO 400 '!$L$11*(J1364^3)+'CAFCO 400 '!$L$12*(J1364^2)+'CAFCO 400 '!$L$13*J1364+'CAFCO 400 '!$L$14)*U1364)+('CAFCO 400 '!$L$15*LN(J1364)+'CAFCO 400 '!$L$16)),0)+IF(AND(L1364="Cafco 400",M1364="Software Idiem",C1364="L"),((('CAFCO 400 '!$L$7*(J1364^3)+'CAFCO 400 '!$L$8*(J1364^2)+'CAFCO 400 '!$L$9*J1364+'CAFCO 400 '!$L$10)*U1364^2)+(('CAFCO 400 '!$L$11*(J1364^3)+'CAFCO 400 '!$L$12*(J1364^2)+'CAFCO 400 '!$L$13*J1364+'CAFCO 400 '!$L$14)*U1364)+('CAFCO 400 '!$L$15*LN(J1364)+'CAFCO 400 '!$L$16)),0)+IF(AND(L1364="Cafco 400",M1364="Software Idiem",C1364="IN",G1364=3),((('CAFCO 400 '!$D$23*(J1364^2)+'CAFCO 400 '!$D$24*(J1364)+'CAFCO 400 '!$D$25)*U1364^2)+(('CAFCO 400 '!$D$26*(J1364^2)+'CAFCO 400 '!$D$27*J1364+'CAFCO 400 '!$D$28)*U1364)+('CAFCO 400 '!$D$29*(J1364^2)+'CAFCO 400 '!$D$30*J1364+'CAFCO 400 '!$D$31)),0),0)+IF(AND(L1364="Cafco 300",J1364&gt;=95,J1364&lt;=240,C1364="Cj",I1364=90),VLOOKUP(T1364,'CAFCO 300 IDIEM TABLAS'!$B$4:$D$23,2,FALSE),0)+IF(AND(L1364="Cafco 300",J1364&gt;=95,J1364&lt;=240,C1364="Cj",I1364=120),VLOOKUP(T1364,'CAFCO 300 IDIEM TABLAS'!$B$4:$D$23,3,FALSE),0)+IF(AND(L1364="Cafco 300",J1364&gt;=95,J1364&lt;=400,G1364=3,C1364="IN",I1364=90),VLOOKUP(T1364,'CAFCO 300 IDIEM TABLAS'!$F$4:$H$35,2,FALSE),0)+IF(AND(L1364="Cafco 300",J1364&gt;=95,J1364&lt;=400,G1364=3,C1364="IN",I1364=120),VLOOKUP(T1364,'CAFCO 300 IDIEM TABLAS'!$F$4:$H$35,3,FALSE),0)+IF(AND(L1364="Cafco 300",J1364&gt;=95,J1364&lt;=450,G1364=4,C1364="IN",I1364=90),VLOOKUP(T1364,'CAFCO 300 IDIEM TABLAS'!$J$4:$L$40,2,FALSE),0)+IF(AND(L1364="Cafco 300",J1364&gt;=95,J1364&lt;=450,G1364=4,C1364="IN",I1364=120),VLOOKUP(T1364,'CAFCO 300 IDIEM TABLAS'!$J$4:$L$40,3,FALSE),0)+IF(AND(M1364="Ensayo Idiem",L1364="Cafco 400",C1364="IN",G1364=4,I1364=90),VLOOKUP(T1364,'CAFCO 400 ENSAYO'!$B$7:$D$43,2,FALSE),0)+IF(AND(M1364="Ensayo Idiem",L1364="Cafco 400",C1364="IN",G1364=4,I1364=120),VLOOKUP(T1364,'CAFCO 400 ENSAYO'!$B$7:$D$43,3,FALSE),0)</f>
        <v>0</v>
      </c>
      <c r="O1364" s="96">
        <f t="shared" si="138"/>
        <v>0</v>
      </c>
      <c r="P1364" s="95" t="str">
        <f t="shared" si="133"/>
        <v>N/A</v>
      </c>
      <c r="Q1364" s="95" t="str">
        <f t="shared" si="134"/>
        <v>N/A</v>
      </c>
      <c r="R1364" s="95" t="str">
        <f t="shared" si="135"/>
        <v>NO CERT.</v>
      </c>
      <c r="S1364" s="95" t="e">
        <f t="shared" si="136"/>
        <v>#N/A</v>
      </c>
      <c r="T1364" s="119" t="e">
        <f>+IF(J1364=LOOKUP(J1364,'CAFCO 300 IDIEM TABLAS'!$J$4:$J$40),'CALCULO MORTERO'!J1364,MROUND('CALCULO MORTERO'!J1364,10))</f>
        <v>#N/A</v>
      </c>
      <c r="U1364" s="118">
        <f t="shared" si="137"/>
        <v>0</v>
      </c>
    </row>
    <row r="1365" spans="1:21" x14ac:dyDescent="0.25">
      <c r="A1365" s="118">
        <f>+CUBICACION!D1359</f>
        <v>0</v>
      </c>
      <c r="B1365" s="819">
        <f>+CUBICACION!E1359</f>
        <v>0</v>
      </c>
      <c r="C1365" s="675">
        <f>+CUBICACION!F1359</f>
        <v>0</v>
      </c>
      <c r="D1365" s="118"/>
      <c r="E1365" s="118"/>
      <c r="F1365" s="820"/>
      <c r="G1365" s="675">
        <f>+CUBICACION!J1359</f>
        <v>0</v>
      </c>
      <c r="H1365" s="118"/>
      <c r="I1365" s="821">
        <f>+CUBICACION!L1359</f>
        <v>0</v>
      </c>
      <c r="J1365" s="64">
        <f>+CUBICACION!M1359</f>
        <v>0</v>
      </c>
      <c r="K1365" s="822" t="str">
        <f>+CUBICACION!N1359</f>
        <v/>
      </c>
      <c r="L1365" s="118">
        <f>+CUBICACION!O1359</f>
        <v>0</v>
      </c>
      <c r="M1365" s="823">
        <f>+CUBICACION!P1359</f>
        <v>0</v>
      </c>
      <c r="N1365" s="902">
        <f>ROUND(IF(AND(L1365="Blaze Shield II",M1365="Software Idiem",C1365="IN",G1365=4),((('BLAZE SHIELD II'!$D$4*('CALCULO MORTERO'!I1365^2)+'BLAZE SHIELD II'!$D$5*'CALCULO MORTERO'!I1365+'BLAZE SHIELD II'!$D$6)*LN(J1365))+('BLAZE SHIELD II'!$D$7*('CALCULO MORTERO'!I1365^2)+'BLAZE SHIELD II'!$D$8*'CALCULO MORTERO'!I1365+'BLAZE SHIELD II'!$D$9)),0)+IF(AND(L1365="Blaze Shield II",M1365="Software Idiem",C1365="Cj"),((('BLAZE SHIELD II'!$H$4*('CALCULO MORTERO'!I1365^2)+'BLAZE SHIELD II'!$H$5*'CALCULO MORTERO'!I1365+'BLAZE SHIELD II'!$H$6)*LN(J1365))+('BLAZE SHIELD II'!$H$7*('CALCULO MORTERO'!I1365^2)+'BLAZE SHIELD II'!$H$8*'CALCULO MORTERO'!I1365+'BLAZE SHIELD II'!$H$9)),0)+IF(AND(L1365="Blaze Shield II",M1365="Software Idiem",C1365="C"),((('BLAZE SHIELD II'!$L$4*('CALCULO MORTERO'!I1365^2)+'BLAZE SHIELD II'!$L$5*'CALCULO MORTERO'!I1365+'BLAZE SHIELD II'!$L$6)*LN(J1365))+('BLAZE SHIELD II'!$L$7*('CALCULO MORTERO'!I1365^2)+'BLAZE SHIELD II'!$L$8*'CALCULO MORTERO'!I1365+'BLAZE SHIELD II'!$L$9)),0)+IF(AND(L1365="Blaze Shield II",M1365="Software Idiem",C1365="L"),((('BLAZE SHIELD II'!$L$4*('CALCULO MORTERO'!I1365^2)+'BLAZE SHIELD II'!$L$5*'CALCULO MORTERO'!I1365+'BLAZE SHIELD II'!$L$6)*LN(J1365))+('BLAZE SHIELD II'!$L$7*('CALCULO MORTERO'!I1365^2)+'BLAZE SHIELD II'!$L$8*'CALCULO MORTERO'!I1365+'BLAZE SHIELD II'!$L$9)),0)+IF(AND(L1365="Blaze Shield II",M1365="Software Idiem",C1365="IN",G1365=3),((('BLAZE SHIELD II'!$H$14*('CALCULO MORTERO'!I1365^2)+'BLAZE SHIELD II'!$H$15*'CALCULO MORTERO'!I1365+'BLAZE SHIELD II'!$H$16)*LN(J1365))+('BLAZE SHIELD II'!$H$17*('CALCULO MORTERO'!I1365^2)+'BLAZE SHIELD II'!$H$18*'CALCULO MORTERO'!I1365+'BLAZE SHIELD II'!$H$19)),0),0)+ROUND(IF(AND(L1365="Cafco 400",M1365="Software Idiem",C1365="IN",G1365=4),((('CAFCO 400 '!$H$7*(J1365^4)+'CAFCO 400 '!$H$8*(J1365^3)+'CAFCO 400 '!$H$9*(J1365^2)+'CAFCO 400 '!$H$10*J1365+'CAFCO 400 '!$H$11)*U1365^2)+(('CAFCO 400 '!$H$12*(J1365^3)+'CAFCO 400 '!$H$13*(J1365^2)+'CAFCO 400 '!$H$14*J1365+'CAFCO 400 '!$H$15)*U1365)+('CAFCO 400 '!$H$16*(J1365^2)+'CAFCO 400 '!$H$17*J1365+'CAFCO 400 '!$H$18)),0)+IF(AND(L1365="Cafco 400",M1365="Software Idiem",C1365="Cj"),(((('CAFCO 400 '!$D$7*LN(J1365)+'CAFCO 400 '!$D$8)*U1365^2)+(('CAFCO 400 '!$D$9*LN(J1365)+'CAFCO 400 '!$D$10)*U1365)+('CAFCO 400 '!$D$11*LN(J1365)+'CAFCO 400 '!$D$12))),0)+IF(AND(L1365="Cafco 400",M1365="Software Idiem",C1365="C"),((('CAFCO 400 '!$L$7*(J1365^3)+'CAFCO 400 '!$L$8*(J1365^2)+'CAFCO 400 '!$L$9*J1365+'CAFCO 400 '!$L$10)*U1365^2)+(('CAFCO 400 '!$L$11*(J1365^3)+'CAFCO 400 '!$L$12*(J1365^2)+'CAFCO 400 '!$L$13*J1365+'CAFCO 400 '!$L$14)*U1365)+('CAFCO 400 '!$L$15*LN(J1365)+'CAFCO 400 '!$L$16)),0)+IF(AND(L1365="Cafco 400",M1365="Software Idiem",C1365="L"),((('CAFCO 400 '!$L$7*(J1365^3)+'CAFCO 400 '!$L$8*(J1365^2)+'CAFCO 400 '!$L$9*J1365+'CAFCO 400 '!$L$10)*U1365^2)+(('CAFCO 400 '!$L$11*(J1365^3)+'CAFCO 400 '!$L$12*(J1365^2)+'CAFCO 400 '!$L$13*J1365+'CAFCO 400 '!$L$14)*U1365)+('CAFCO 400 '!$L$15*LN(J1365)+'CAFCO 400 '!$L$16)),0)+IF(AND(L1365="Cafco 400",M1365="Software Idiem",C1365="IN",G1365=3),((('CAFCO 400 '!$D$23*(J1365^2)+'CAFCO 400 '!$D$24*(J1365)+'CAFCO 400 '!$D$25)*U1365^2)+(('CAFCO 400 '!$D$26*(J1365^2)+'CAFCO 400 '!$D$27*J1365+'CAFCO 400 '!$D$28)*U1365)+('CAFCO 400 '!$D$29*(J1365^2)+'CAFCO 400 '!$D$30*J1365+'CAFCO 400 '!$D$31)),0),0)+IF(AND(L1365="Cafco 300",J1365&gt;=95,J1365&lt;=240,C1365="Cj",I1365=90),VLOOKUP(T1365,'CAFCO 300 IDIEM TABLAS'!$B$4:$D$23,2,FALSE),0)+IF(AND(L1365="Cafco 300",J1365&gt;=95,J1365&lt;=240,C1365="Cj",I1365=120),VLOOKUP(T1365,'CAFCO 300 IDIEM TABLAS'!$B$4:$D$23,3,FALSE),0)+IF(AND(L1365="Cafco 300",J1365&gt;=95,J1365&lt;=400,G1365=3,C1365="IN",I1365=90),VLOOKUP(T1365,'CAFCO 300 IDIEM TABLAS'!$F$4:$H$35,2,FALSE),0)+IF(AND(L1365="Cafco 300",J1365&gt;=95,J1365&lt;=400,G1365=3,C1365="IN",I1365=120),VLOOKUP(T1365,'CAFCO 300 IDIEM TABLAS'!$F$4:$H$35,3,FALSE),0)+IF(AND(L1365="Cafco 300",J1365&gt;=95,J1365&lt;=450,G1365=4,C1365="IN",I1365=90),VLOOKUP(T1365,'CAFCO 300 IDIEM TABLAS'!$J$4:$L$40,2,FALSE),0)+IF(AND(L1365="Cafco 300",J1365&gt;=95,J1365&lt;=450,G1365=4,C1365="IN",I1365=120),VLOOKUP(T1365,'CAFCO 300 IDIEM TABLAS'!$J$4:$L$40,3,FALSE),0)+IF(AND(M1365="Ensayo Idiem",L1365="Cafco 400",C1365="IN",G1365=4,I1365=90),VLOOKUP(T1365,'CAFCO 400 ENSAYO'!$B$7:$D$43,2,FALSE),0)+IF(AND(M1365="Ensayo Idiem",L1365="Cafco 400",C1365="IN",G1365=4,I1365=120),VLOOKUP(T1365,'CAFCO 400 ENSAYO'!$B$7:$D$43,3,FALSE),0)</f>
        <v>0</v>
      </c>
      <c r="O1365" s="96">
        <f t="shared" si="138"/>
        <v>0</v>
      </c>
      <c r="P1365" s="132" t="str">
        <f t="shared" si="133"/>
        <v>N/A</v>
      </c>
      <c r="Q1365" s="132" t="str">
        <f t="shared" si="134"/>
        <v>N/A</v>
      </c>
      <c r="R1365" s="132" t="str">
        <f t="shared" si="135"/>
        <v>NO CERT.</v>
      </c>
      <c r="S1365" s="132" t="e">
        <f t="shared" si="136"/>
        <v>#N/A</v>
      </c>
      <c r="T1365" s="133" t="e">
        <f>+IF(J1365=LOOKUP(J1365,'CAFCO 300 IDIEM TABLAS'!$J$4:$J$40),'CALCULO MORTERO'!J1365,MROUND('CALCULO MORTERO'!J1365,10))</f>
        <v>#N/A</v>
      </c>
      <c r="U1365" s="134">
        <f t="shared" si="137"/>
        <v>0</v>
      </c>
    </row>
    <row r="1366" spans="1:21" x14ac:dyDescent="0.25">
      <c r="A1366" s="118">
        <f>+CUBICACION!D1360</f>
        <v>0</v>
      </c>
      <c r="B1366" s="819">
        <f>+CUBICACION!E1360</f>
        <v>0</v>
      </c>
      <c r="C1366" s="675">
        <f>+CUBICACION!F1360</f>
        <v>0</v>
      </c>
      <c r="D1366" s="118"/>
      <c r="E1366" s="118"/>
      <c r="F1366" s="820"/>
      <c r="G1366" s="675">
        <f>+CUBICACION!J1360</f>
        <v>0</v>
      </c>
      <c r="H1366" s="118"/>
      <c r="I1366" s="821">
        <f>+CUBICACION!L1360</f>
        <v>0</v>
      </c>
      <c r="J1366" s="64">
        <f>+CUBICACION!M1360</f>
        <v>0</v>
      </c>
      <c r="K1366" s="822" t="str">
        <f>+CUBICACION!N1360</f>
        <v/>
      </c>
      <c r="L1366" s="118">
        <f>+CUBICACION!O1360</f>
        <v>0</v>
      </c>
      <c r="M1366" s="823">
        <f>+CUBICACION!P1360</f>
        <v>0</v>
      </c>
      <c r="N1366" s="902">
        <f>ROUND(IF(AND(L1366="Blaze Shield II",M1366="Software Idiem",C1366="IN",G1366=4),((('BLAZE SHIELD II'!$D$4*('CALCULO MORTERO'!I1366^2)+'BLAZE SHIELD II'!$D$5*'CALCULO MORTERO'!I1366+'BLAZE SHIELD II'!$D$6)*LN(J1366))+('BLAZE SHIELD II'!$D$7*('CALCULO MORTERO'!I1366^2)+'BLAZE SHIELD II'!$D$8*'CALCULO MORTERO'!I1366+'BLAZE SHIELD II'!$D$9)),0)+IF(AND(L1366="Blaze Shield II",M1366="Software Idiem",C1366="Cj"),((('BLAZE SHIELD II'!$H$4*('CALCULO MORTERO'!I1366^2)+'BLAZE SHIELD II'!$H$5*'CALCULO MORTERO'!I1366+'BLAZE SHIELD II'!$H$6)*LN(J1366))+('BLAZE SHIELD II'!$H$7*('CALCULO MORTERO'!I1366^2)+'BLAZE SHIELD II'!$H$8*'CALCULO MORTERO'!I1366+'BLAZE SHIELD II'!$H$9)),0)+IF(AND(L1366="Blaze Shield II",M1366="Software Idiem",C1366="C"),((('BLAZE SHIELD II'!$L$4*('CALCULO MORTERO'!I1366^2)+'BLAZE SHIELD II'!$L$5*'CALCULO MORTERO'!I1366+'BLAZE SHIELD II'!$L$6)*LN(J1366))+('BLAZE SHIELD II'!$L$7*('CALCULO MORTERO'!I1366^2)+'BLAZE SHIELD II'!$L$8*'CALCULO MORTERO'!I1366+'BLAZE SHIELD II'!$L$9)),0)+IF(AND(L1366="Blaze Shield II",M1366="Software Idiem",C1366="L"),((('BLAZE SHIELD II'!$L$4*('CALCULO MORTERO'!I1366^2)+'BLAZE SHIELD II'!$L$5*'CALCULO MORTERO'!I1366+'BLAZE SHIELD II'!$L$6)*LN(J1366))+('BLAZE SHIELD II'!$L$7*('CALCULO MORTERO'!I1366^2)+'BLAZE SHIELD II'!$L$8*'CALCULO MORTERO'!I1366+'BLAZE SHIELD II'!$L$9)),0)+IF(AND(L1366="Blaze Shield II",M1366="Software Idiem",C1366="IN",G1366=3),((('BLAZE SHIELD II'!$H$14*('CALCULO MORTERO'!I1366^2)+'BLAZE SHIELD II'!$H$15*'CALCULO MORTERO'!I1366+'BLAZE SHIELD II'!$H$16)*LN(J1366))+('BLAZE SHIELD II'!$H$17*('CALCULO MORTERO'!I1366^2)+'BLAZE SHIELD II'!$H$18*'CALCULO MORTERO'!I1366+'BLAZE SHIELD II'!$H$19)),0),0)+ROUND(IF(AND(L1366="Cafco 400",M1366="Software Idiem",C1366="IN",G1366=4),((('CAFCO 400 '!$H$7*(J1366^4)+'CAFCO 400 '!$H$8*(J1366^3)+'CAFCO 400 '!$H$9*(J1366^2)+'CAFCO 400 '!$H$10*J1366+'CAFCO 400 '!$H$11)*U1366^2)+(('CAFCO 400 '!$H$12*(J1366^3)+'CAFCO 400 '!$H$13*(J1366^2)+'CAFCO 400 '!$H$14*J1366+'CAFCO 400 '!$H$15)*U1366)+('CAFCO 400 '!$H$16*(J1366^2)+'CAFCO 400 '!$H$17*J1366+'CAFCO 400 '!$H$18)),0)+IF(AND(L1366="Cafco 400",M1366="Software Idiem",C1366="Cj"),(((('CAFCO 400 '!$D$7*LN(J1366)+'CAFCO 400 '!$D$8)*U1366^2)+(('CAFCO 400 '!$D$9*LN(J1366)+'CAFCO 400 '!$D$10)*U1366)+('CAFCO 400 '!$D$11*LN(J1366)+'CAFCO 400 '!$D$12))),0)+IF(AND(L1366="Cafco 400",M1366="Software Idiem",C1366="C"),((('CAFCO 400 '!$L$7*(J1366^3)+'CAFCO 400 '!$L$8*(J1366^2)+'CAFCO 400 '!$L$9*J1366+'CAFCO 400 '!$L$10)*U1366^2)+(('CAFCO 400 '!$L$11*(J1366^3)+'CAFCO 400 '!$L$12*(J1366^2)+'CAFCO 400 '!$L$13*J1366+'CAFCO 400 '!$L$14)*U1366)+('CAFCO 400 '!$L$15*LN(J1366)+'CAFCO 400 '!$L$16)),0)+IF(AND(L1366="Cafco 400",M1366="Software Idiem",C1366="L"),((('CAFCO 400 '!$L$7*(J1366^3)+'CAFCO 400 '!$L$8*(J1366^2)+'CAFCO 400 '!$L$9*J1366+'CAFCO 400 '!$L$10)*U1366^2)+(('CAFCO 400 '!$L$11*(J1366^3)+'CAFCO 400 '!$L$12*(J1366^2)+'CAFCO 400 '!$L$13*J1366+'CAFCO 400 '!$L$14)*U1366)+('CAFCO 400 '!$L$15*LN(J1366)+'CAFCO 400 '!$L$16)),0)+IF(AND(L1366="Cafco 400",M1366="Software Idiem",C1366="IN",G1366=3),((('CAFCO 400 '!$D$23*(J1366^2)+'CAFCO 400 '!$D$24*(J1366)+'CAFCO 400 '!$D$25)*U1366^2)+(('CAFCO 400 '!$D$26*(J1366^2)+'CAFCO 400 '!$D$27*J1366+'CAFCO 400 '!$D$28)*U1366)+('CAFCO 400 '!$D$29*(J1366^2)+'CAFCO 400 '!$D$30*J1366+'CAFCO 400 '!$D$31)),0),0)+IF(AND(L1366="Cafco 300",J1366&gt;=95,J1366&lt;=240,C1366="Cj",I1366=90),VLOOKUP(T1366,'CAFCO 300 IDIEM TABLAS'!$B$4:$D$23,2,FALSE),0)+IF(AND(L1366="Cafco 300",J1366&gt;=95,J1366&lt;=240,C1366="Cj",I1366=120),VLOOKUP(T1366,'CAFCO 300 IDIEM TABLAS'!$B$4:$D$23,3,FALSE),0)+IF(AND(L1366="Cafco 300",J1366&gt;=95,J1366&lt;=400,G1366=3,C1366="IN",I1366=90),VLOOKUP(T1366,'CAFCO 300 IDIEM TABLAS'!$F$4:$H$35,2,FALSE),0)+IF(AND(L1366="Cafco 300",J1366&gt;=95,J1366&lt;=400,G1366=3,C1366="IN",I1366=120),VLOOKUP(T1366,'CAFCO 300 IDIEM TABLAS'!$F$4:$H$35,3,FALSE),0)+IF(AND(L1366="Cafco 300",J1366&gt;=95,J1366&lt;=450,G1366=4,C1366="IN",I1366=90),VLOOKUP(T1366,'CAFCO 300 IDIEM TABLAS'!$J$4:$L$40,2,FALSE),0)+IF(AND(L1366="Cafco 300",J1366&gt;=95,J1366&lt;=450,G1366=4,C1366="IN",I1366=120),VLOOKUP(T1366,'CAFCO 300 IDIEM TABLAS'!$J$4:$L$40,3,FALSE),0)+IF(AND(M1366="Ensayo Idiem",L1366="Cafco 400",C1366="IN",G1366=4,I1366=90),VLOOKUP(T1366,'CAFCO 400 ENSAYO'!$B$7:$D$43,2,FALSE),0)+IF(AND(M1366="Ensayo Idiem",L1366="Cafco 400",C1366="IN",G1366=4,I1366=120),VLOOKUP(T1366,'CAFCO 400 ENSAYO'!$B$7:$D$43,3,FALSE),0)</f>
        <v>0</v>
      </c>
      <c r="O1366" s="96">
        <f t="shared" si="138"/>
        <v>0</v>
      </c>
      <c r="P1366" s="95" t="str">
        <f t="shared" si="133"/>
        <v>N/A</v>
      </c>
      <c r="Q1366" s="95" t="str">
        <f t="shared" si="134"/>
        <v>N/A</v>
      </c>
      <c r="R1366" s="95" t="str">
        <f t="shared" si="135"/>
        <v>NO CERT.</v>
      </c>
      <c r="S1366" s="95" t="e">
        <f t="shared" si="136"/>
        <v>#N/A</v>
      </c>
      <c r="T1366" s="119" t="e">
        <f>+IF(J1366=LOOKUP(J1366,'CAFCO 300 IDIEM TABLAS'!$J$4:$J$40),'CALCULO MORTERO'!J1366,MROUND('CALCULO MORTERO'!J1366,10))</f>
        <v>#N/A</v>
      </c>
      <c r="U1366" s="118">
        <f t="shared" si="137"/>
        <v>0</v>
      </c>
    </row>
    <row r="1367" spans="1:21" x14ac:dyDescent="0.25">
      <c r="A1367" s="118">
        <f>+CUBICACION!D1361</f>
        <v>0</v>
      </c>
      <c r="B1367" s="819">
        <f>+CUBICACION!E1361</f>
        <v>0</v>
      </c>
      <c r="C1367" s="675">
        <f>+CUBICACION!F1361</f>
        <v>0</v>
      </c>
      <c r="D1367" s="118"/>
      <c r="E1367" s="118"/>
      <c r="F1367" s="820"/>
      <c r="G1367" s="675">
        <f>+CUBICACION!J1361</f>
        <v>0</v>
      </c>
      <c r="H1367" s="118"/>
      <c r="I1367" s="821">
        <f>+CUBICACION!L1361</f>
        <v>0</v>
      </c>
      <c r="J1367" s="64">
        <f>+CUBICACION!M1361</f>
        <v>0</v>
      </c>
      <c r="K1367" s="822" t="str">
        <f>+CUBICACION!N1361</f>
        <v/>
      </c>
      <c r="L1367" s="118">
        <f>+CUBICACION!O1361</f>
        <v>0</v>
      </c>
      <c r="M1367" s="823">
        <f>+CUBICACION!P1361</f>
        <v>0</v>
      </c>
      <c r="N1367" s="902">
        <f>ROUND(IF(AND(L1367="Blaze Shield II",M1367="Software Idiem",C1367="IN",G1367=4),((('BLAZE SHIELD II'!$D$4*('CALCULO MORTERO'!I1367^2)+'BLAZE SHIELD II'!$D$5*'CALCULO MORTERO'!I1367+'BLAZE SHIELD II'!$D$6)*LN(J1367))+('BLAZE SHIELD II'!$D$7*('CALCULO MORTERO'!I1367^2)+'BLAZE SHIELD II'!$D$8*'CALCULO MORTERO'!I1367+'BLAZE SHIELD II'!$D$9)),0)+IF(AND(L1367="Blaze Shield II",M1367="Software Idiem",C1367="Cj"),((('BLAZE SHIELD II'!$H$4*('CALCULO MORTERO'!I1367^2)+'BLAZE SHIELD II'!$H$5*'CALCULO MORTERO'!I1367+'BLAZE SHIELD II'!$H$6)*LN(J1367))+('BLAZE SHIELD II'!$H$7*('CALCULO MORTERO'!I1367^2)+'BLAZE SHIELD II'!$H$8*'CALCULO MORTERO'!I1367+'BLAZE SHIELD II'!$H$9)),0)+IF(AND(L1367="Blaze Shield II",M1367="Software Idiem",C1367="C"),((('BLAZE SHIELD II'!$L$4*('CALCULO MORTERO'!I1367^2)+'BLAZE SHIELD II'!$L$5*'CALCULO MORTERO'!I1367+'BLAZE SHIELD II'!$L$6)*LN(J1367))+('BLAZE SHIELD II'!$L$7*('CALCULO MORTERO'!I1367^2)+'BLAZE SHIELD II'!$L$8*'CALCULO MORTERO'!I1367+'BLAZE SHIELD II'!$L$9)),0)+IF(AND(L1367="Blaze Shield II",M1367="Software Idiem",C1367="L"),((('BLAZE SHIELD II'!$L$4*('CALCULO MORTERO'!I1367^2)+'BLAZE SHIELD II'!$L$5*'CALCULO MORTERO'!I1367+'BLAZE SHIELD II'!$L$6)*LN(J1367))+('BLAZE SHIELD II'!$L$7*('CALCULO MORTERO'!I1367^2)+'BLAZE SHIELD II'!$L$8*'CALCULO MORTERO'!I1367+'BLAZE SHIELD II'!$L$9)),0)+IF(AND(L1367="Blaze Shield II",M1367="Software Idiem",C1367="IN",G1367=3),((('BLAZE SHIELD II'!$H$14*('CALCULO MORTERO'!I1367^2)+'BLAZE SHIELD II'!$H$15*'CALCULO MORTERO'!I1367+'BLAZE SHIELD II'!$H$16)*LN(J1367))+('BLAZE SHIELD II'!$H$17*('CALCULO MORTERO'!I1367^2)+'BLAZE SHIELD II'!$H$18*'CALCULO MORTERO'!I1367+'BLAZE SHIELD II'!$H$19)),0),0)+ROUND(IF(AND(L1367="Cafco 400",M1367="Software Idiem",C1367="IN",G1367=4),((('CAFCO 400 '!$H$7*(J1367^4)+'CAFCO 400 '!$H$8*(J1367^3)+'CAFCO 400 '!$H$9*(J1367^2)+'CAFCO 400 '!$H$10*J1367+'CAFCO 400 '!$H$11)*U1367^2)+(('CAFCO 400 '!$H$12*(J1367^3)+'CAFCO 400 '!$H$13*(J1367^2)+'CAFCO 400 '!$H$14*J1367+'CAFCO 400 '!$H$15)*U1367)+('CAFCO 400 '!$H$16*(J1367^2)+'CAFCO 400 '!$H$17*J1367+'CAFCO 400 '!$H$18)),0)+IF(AND(L1367="Cafco 400",M1367="Software Idiem",C1367="Cj"),(((('CAFCO 400 '!$D$7*LN(J1367)+'CAFCO 400 '!$D$8)*U1367^2)+(('CAFCO 400 '!$D$9*LN(J1367)+'CAFCO 400 '!$D$10)*U1367)+('CAFCO 400 '!$D$11*LN(J1367)+'CAFCO 400 '!$D$12))),0)+IF(AND(L1367="Cafco 400",M1367="Software Idiem",C1367="C"),((('CAFCO 400 '!$L$7*(J1367^3)+'CAFCO 400 '!$L$8*(J1367^2)+'CAFCO 400 '!$L$9*J1367+'CAFCO 400 '!$L$10)*U1367^2)+(('CAFCO 400 '!$L$11*(J1367^3)+'CAFCO 400 '!$L$12*(J1367^2)+'CAFCO 400 '!$L$13*J1367+'CAFCO 400 '!$L$14)*U1367)+('CAFCO 400 '!$L$15*LN(J1367)+'CAFCO 400 '!$L$16)),0)+IF(AND(L1367="Cafco 400",M1367="Software Idiem",C1367="L"),((('CAFCO 400 '!$L$7*(J1367^3)+'CAFCO 400 '!$L$8*(J1367^2)+'CAFCO 400 '!$L$9*J1367+'CAFCO 400 '!$L$10)*U1367^2)+(('CAFCO 400 '!$L$11*(J1367^3)+'CAFCO 400 '!$L$12*(J1367^2)+'CAFCO 400 '!$L$13*J1367+'CAFCO 400 '!$L$14)*U1367)+('CAFCO 400 '!$L$15*LN(J1367)+'CAFCO 400 '!$L$16)),0)+IF(AND(L1367="Cafco 400",M1367="Software Idiem",C1367="IN",G1367=3),((('CAFCO 400 '!$D$23*(J1367^2)+'CAFCO 400 '!$D$24*(J1367)+'CAFCO 400 '!$D$25)*U1367^2)+(('CAFCO 400 '!$D$26*(J1367^2)+'CAFCO 400 '!$D$27*J1367+'CAFCO 400 '!$D$28)*U1367)+('CAFCO 400 '!$D$29*(J1367^2)+'CAFCO 400 '!$D$30*J1367+'CAFCO 400 '!$D$31)),0),0)+IF(AND(L1367="Cafco 300",J1367&gt;=95,J1367&lt;=240,C1367="Cj",I1367=90),VLOOKUP(T1367,'CAFCO 300 IDIEM TABLAS'!$B$4:$D$23,2,FALSE),0)+IF(AND(L1367="Cafco 300",J1367&gt;=95,J1367&lt;=240,C1367="Cj",I1367=120),VLOOKUP(T1367,'CAFCO 300 IDIEM TABLAS'!$B$4:$D$23,3,FALSE),0)+IF(AND(L1367="Cafco 300",J1367&gt;=95,J1367&lt;=400,G1367=3,C1367="IN",I1367=90),VLOOKUP(T1367,'CAFCO 300 IDIEM TABLAS'!$F$4:$H$35,2,FALSE),0)+IF(AND(L1367="Cafco 300",J1367&gt;=95,J1367&lt;=400,G1367=3,C1367="IN",I1367=120),VLOOKUP(T1367,'CAFCO 300 IDIEM TABLAS'!$F$4:$H$35,3,FALSE),0)+IF(AND(L1367="Cafco 300",J1367&gt;=95,J1367&lt;=450,G1367=4,C1367="IN",I1367=90),VLOOKUP(T1367,'CAFCO 300 IDIEM TABLAS'!$J$4:$L$40,2,FALSE),0)+IF(AND(L1367="Cafco 300",J1367&gt;=95,J1367&lt;=450,G1367=4,C1367="IN",I1367=120),VLOOKUP(T1367,'CAFCO 300 IDIEM TABLAS'!$J$4:$L$40,3,FALSE),0)+IF(AND(M1367="Ensayo Idiem",L1367="Cafco 400",C1367="IN",G1367=4,I1367=90),VLOOKUP(T1367,'CAFCO 400 ENSAYO'!$B$7:$D$43,2,FALSE),0)+IF(AND(M1367="Ensayo Idiem",L1367="Cafco 400",C1367="IN",G1367=4,I1367=120),VLOOKUP(T1367,'CAFCO 400 ENSAYO'!$B$7:$D$43,3,FALSE),0)</f>
        <v>0</v>
      </c>
      <c r="O1367" s="96">
        <f t="shared" si="138"/>
        <v>0</v>
      </c>
      <c r="P1367" s="132" t="str">
        <f t="shared" si="133"/>
        <v>N/A</v>
      </c>
      <c r="Q1367" s="132" t="str">
        <f t="shared" si="134"/>
        <v>N/A</v>
      </c>
      <c r="R1367" s="132" t="str">
        <f t="shared" si="135"/>
        <v>NO CERT.</v>
      </c>
      <c r="S1367" s="132" t="e">
        <f t="shared" si="136"/>
        <v>#N/A</v>
      </c>
      <c r="T1367" s="133" t="e">
        <f>+IF(J1367=LOOKUP(J1367,'CAFCO 300 IDIEM TABLAS'!$J$4:$J$40),'CALCULO MORTERO'!J1367,MROUND('CALCULO MORTERO'!J1367,10))</f>
        <v>#N/A</v>
      </c>
      <c r="U1367" s="134">
        <f t="shared" si="137"/>
        <v>0</v>
      </c>
    </row>
    <row r="1368" spans="1:21" x14ac:dyDescent="0.25">
      <c r="A1368" s="118">
        <f>+CUBICACION!D1362</f>
        <v>0</v>
      </c>
      <c r="B1368" s="819">
        <f>+CUBICACION!E1362</f>
        <v>0</v>
      </c>
      <c r="C1368" s="675">
        <f>+CUBICACION!F1362</f>
        <v>0</v>
      </c>
      <c r="D1368" s="118"/>
      <c r="E1368" s="118"/>
      <c r="F1368" s="820"/>
      <c r="G1368" s="675">
        <f>+CUBICACION!J1362</f>
        <v>0</v>
      </c>
      <c r="H1368" s="118"/>
      <c r="I1368" s="821">
        <f>+CUBICACION!L1362</f>
        <v>0</v>
      </c>
      <c r="J1368" s="64">
        <f>+CUBICACION!M1362</f>
        <v>0</v>
      </c>
      <c r="K1368" s="822" t="str">
        <f>+CUBICACION!N1362</f>
        <v/>
      </c>
      <c r="L1368" s="118">
        <f>+CUBICACION!O1362</f>
        <v>0</v>
      </c>
      <c r="M1368" s="823">
        <f>+CUBICACION!P1362</f>
        <v>0</v>
      </c>
      <c r="N1368" s="902">
        <f>ROUND(IF(AND(L1368="Blaze Shield II",M1368="Software Idiem",C1368="IN",G1368=4),((('BLAZE SHIELD II'!$D$4*('CALCULO MORTERO'!I1368^2)+'BLAZE SHIELD II'!$D$5*'CALCULO MORTERO'!I1368+'BLAZE SHIELD II'!$D$6)*LN(J1368))+('BLAZE SHIELD II'!$D$7*('CALCULO MORTERO'!I1368^2)+'BLAZE SHIELD II'!$D$8*'CALCULO MORTERO'!I1368+'BLAZE SHIELD II'!$D$9)),0)+IF(AND(L1368="Blaze Shield II",M1368="Software Idiem",C1368="Cj"),((('BLAZE SHIELD II'!$H$4*('CALCULO MORTERO'!I1368^2)+'BLAZE SHIELD II'!$H$5*'CALCULO MORTERO'!I1368+'BLAZE SHIELD II'!$H$6)*LN(J1368))+('BLAZE SHIELD II'!$H$7*('CALCULO MORTERO'!I1368^2)+'BLAZE SHIELD II'!$H$8*'CALCULO MORTERO'!I1368+'BLAZE SHIELD II'!$H$9)),0)+IF(AND(L1368="Blaze Shield II",M1368="Software Idiem",C1368="C"),((('BLAZE SHIELD II'!$L$4*('CALCULO MORTERO'!I1368^2)+'BLAZE SHIELD II'!$L$5*'CALCULO MORTERO'!I1368+'BLAZE SHIELD II'!$L$6)*LN(J1368))+('BLAZE SHIELD II'!$L$7*('CALCULO MORTERO'!I1368^2)+'BLAZE SHIELD II'!$L$8*'CALCULO MORTERO'!I1368+'BLAZE SHIELD II'!$L$9)),0)+IF(AND(L1368="Blaze Shield II",M1368="Software Idiem",C1368="L"),((('BLAZE SHIELD II'!$L$4*('CALCULO MORTERO'!I1368^2)+'BLAZE SHIELD II'!$L$5*'CALCULO MORTERO'!I1368+'BLAZE SHIELD II'!$L$6)*LN(J1368))+('BLAZE SHIELD II'!$L$7*('CALCULO MORTERO'!I1368^2)+'BLAZE SHIELD II'!$L$8*'CALCULO MORTERO'!I1368+'BLAZE SHIELD II'!$L$9)),0)+IF(AND(L1368="Blaze Shield II",M1368="Software Idiem",C1368="IN",G1368=3),((('BLAZE SHIELD II'!$H$14*('CALCULO MORTERO'!I1368^2)+'BLAZE SHIELD II'!$H$15*'CALCULO MORTERO'!I1368+'BLAZE SHIELD II'!$H$16)*LN(J1368))+('BLAZE SHIELD II'!$H$17*('CALCULO MORTERO'!I1368^2)+'BLAZE SHIELD II'!$H$18*'CALCULO MORTERO'!I1368+'BLAZE SHIELD II'!$H$19)),0),0)+ROUND(IF(AND(L1368="Cafco 400",M1368="Software Idiem",C1368="IN",G1368=4),((('CAFCO 400 '!$H$7*(J1368^4)+'CAFCO 400 '!$H$8*(J1368^3)+'CAFCO 400 '!$H$9*(J1368^2)+'CAFCO 400 '!$H$10*J1368+'CAFCO 400 '!$H$11)*U1368^2)+(('CAFCO 400 '!$H$12*(J1368^3)+'CAFCO 400 '!$H$13*(J1368^2)+'CAFCO 400 '!$H$14*J1368+'CAFCO 400 '!$H$15)*U1368)+('CAFCO 400 '!$H$16*(J1368^2)+'CAFCO 400 '!$H$17*J1368+'CAFCO 400 '!$H$18)),0)+IF(AND(L1368="Cafco 400",M1368="Software Idiem",C1368="Cj"),(((('CAFCO 400 '!$D$7*LN(J1368)+'CAFCO 400 '!$D$8)*U1368^2)+(('CAFCO 400 '!$D$9*LN(J1368)+'CAFCO 400 '!$D$10)*U1368)+('CAFCO 400 '!$D$11*LN(J1368)+'CAFCO 400 '!$D$12))),0)+IF(AND(L1368="Cafco 400",M1368="Software Idiem",C1368="C"),((('CAFCO 400 '!$L$7*(J1368^3)+'CAFCO 400 '!$L$8*(J1368^2)+'CAFCO 400 '!$L$9*J1368+'CAFCO 400 '!$L$10)*U1368^2)+(('CAFCO 400 '!$L$11*(J1368^3)+'CAFCO 400 '!$L$12*(J1368^2)+'CAFCO 400 '!$L$13*J1368+'CAFCO 400 '!$L$14)*U1368)+('CAFCO 400 '!$L$15*LN(J1368)+'CAFCO 400 '!$L$16)),0)+IF(AND(L1368="Cafco 400",M1368="Software Idiem",C1368="L"),((('CAFCO 400 '!$L$7*(J1368^3)+'CAFCO 400 '!$L$8*(J1368^2)+'CAFCO 400 '!$L$9*J1368+'CAFCO 400 '!$L$10)*U1368^2)+(('CAFCO 400 '!$L$11*(J1368^3)+'CAFCO 400 '!$L$12*(J1368^2)+'CAFCO 400 '!$L$13*J1368+'CAFCO 400 '!$L$14)*U1368)+('CAFCO 400 '!$L$15*LN(J1368)+'CAFCO 400 '!$L$16)),0)+IF(AND(L1368="Cafco 400",M1368="Software Idiem",C1368="IN",G1368=3),((('CAFCO 400 '!$D$23*(J1368^2)+'CAFCO 400 '!$D$24*(J1368)+'CAFCO 400 '!$D$25)*U1368^2)+(('CAFCO 400 '!$D$26*(J1368^2)+'CAFCO 400 '!$D$27*J1368+'CAFCO 400 '!$D$28)*U1368)+('CAFCO 400 '!$D$29*(J1368^2)+'CAFCO 400 '!$D$30*J1368+'CAFCO 400 '!$D$31)),0),0)+IF(AND(L1368="Cafco 300",J1368&gt;=95,J1368&lt;=240,C1368="Cj",I1368=90),VLOOKUP(T1368,'CAFCO 300 IDIEM TABLAS'!$B$4:$D$23,2,FALSE),0)+IF(AND(L1368="Cafco 300",J1368&gt;=95,J1368&lt;=240,C1368="Cj",I1368=120),VLOOKUP(T1368,'CAFCO 300 IDIEM TABLAS'!$B$4:$D$23,3,FALSE),0)+IF(AND(L1368="Cafco 300",J1368&gt;=95,J1368&lt;=400,G1368=3,C1368="IN",I1368=90),VLOOKUP(T1368,'CAFCO 300 IDIEM TABLAS'!$F$4:$H$35,2,FALSE),0)+IF(AND(L1368="Cafco 300",J1368&gt;=95,J1368&lt;=400,G1368=3,C1368="IN",I1368=120),VLOOKUP(T1368,'CAFCO 300 IDIEM TABLAS'!$F$4:$H$35,3,FALSE),0)+IF(AND(L1368="Cafco 300",J1368&gt;=95,J1368&lt;=450,G1368=4,C1368="IN",I1368=90),VLOOKUP(T1368,'CAFCO 300 IDIEM TABLAS'!$J$4:$L$40,2,FALSE),0)+IF(AND(L1368="Cafco 300",J1368&gt;=95,J1368&lt;=450,G1368=4,C1368="IN",I1368=120),VLOOKUP(T1368,'CAFCO 300 IDIEM TABLAS'!$J$4:$L$40,3,FALSE),0)+IF(AND(M1368="Ensayo Idiem",L1368="Cafco 400",C1368="IN",G1368=4,I1368=90),VLOOKUP(T1368,'CAFCO 400 ENSAYO'!$B$7:$D$43,2,FALSE),0)+IF(AND(M1368="Ensayo Idiem",L1368="Cafco 400",C1368="IN",G1368=4,I1368=120),VLOOKUP(T1368,'CAFCO 400 ENSAYO'!$B$7:$D$43,3,FALSE),0)</f>
        <v>0</v>
      </c>
      <c r="O1368" s="96">
        <f t="shared" si="138"/>
        <v>0</v>
      </c>
      <c r="P1368" s="95" t="str">
        <f t="shared" si="133"/>
        <v>N/A</v>
      </c>
      <c r="Q1368" s="95" t="str">
        <f t="shared" si="134"/>
        <v>N/A</v>
      </c>
      <c r="R1368" s="95" t="str">
        <f t="shared" si="135"/>
        <v>NO CERT.</v>
      </c>
      <c r="S1368" s="95" t="e">
        <f t="shared" si="136"/>
        <v>#N/A</v>
      </c>
      <c r="T1368" s="119" t="e">
        <f>+IF(J1368=LOOKUP(J1368,'CAFCO 300 IDIEM TABLAS'!$J$4:$J$40),'CALCULO MORTERO'!J1368,MROUND('CALCULO MORTERO'!J1368,10))</f>
        <v>#N/A</v>
      </c>
      <c r="U1368" s="118">
        <f t="shared" si="137"/>
        <v>0</v>
      </c>
    </row>
    <row r="1369" spans="1:21" x14ac:dyDescent="0.25">
      <c r="A1369" s="118">
        <f>+CUBICACION!D1363</f>
        <v>0</v>
      </c>
      <c r="B1369" s="819">
        <f>+CUBICACION!E1363</f>
        <v>0</v>
      </c>
      <c r="C1369" s="675">
        <f>+CUBICACION!F1363</f>
        <v>0</v>
      </c>
      <c r="D1369" s="118"/>
      <c r="E1369" s="118"/>
      <c r="F1369" s="820"/>
      <c r="G1369" s="675">
        <f>+CUBICACION!J1363</f>
        <v>0</v>
      </c>
      <c r="H1369" s="118"/>
      <c r="I1369" s="821">
        <f>+CUBICACION!L1363</f>
        <v>0</v>
      </c>
      <c r="J1369" s="64">
        <f>+CUBICACION!M1363</f>
        <v>0</v>
      </c>
      <c r="K1369" s="822" t="str">
        <f>+CUBICACION!N1363</f>
        <v/>
      </c>
      <c r="L1369" s="118">
        <f>+CUBICACION!O1363</f>
        <v>0</v>
      </c>
      <c r="M1369" s="823">
        <f>+CUBICACION!P1363</f>
        <v>0</v>
      </c>
      <c r="N1369" s="902">
        <f>ROUND(IF(AND(L1369="Blaze Shield II",M1369="Software Idiem",C1369="IN",G1369=4),((('BLAZE SHIELD II'!$D$4*('CALCULO MORTERO'!I1369^2)+'BLAZE SHIELD II'!$D$5*'CALCULO MORTERO'!I1369+'BLAZE SHIELD II'!$D$6)*LN(J1369))+('BLAZE SHIELD II'!$D$7*('CALCULO MORTERO'!I1369^2)+'BLAZE SHIELD II'!$D$8*'CALCULO MORTERO'!I1369+'BLAZE SHIELD II'!$D$9)),0)+IF(AND(L1369="Blaze Shield II",M1369="Software Idiem",C1369="Cj"),((('BLAZE SHIELD II'!$H$4*('CALCULO MORTERO'!I1369^2)+'BLAZE SHIELD II'!$H$5*'CALCULO MORTERO'!I1369+'BLAZE SHIELD II'!$H$6)*LN(J1369))+('BLAZE SHIELD II'!$H$7*('CALCULO MORTERO'!I1369^2)+'BLAZE SHIELD II'!$H$8*'CALCULO MORTERO'!I1369+'BLAZE SHIELD II'!$H$9)),0)+IF(AND(L1369="Blaze Shield II",M1369="Software Idiem",C1369="C"),((('BLAZE SHIELD II'!$L$4*('CALCULO MORTERO'!I1369^2)+'BLAZE SHIELD II'!$L$5*'CALCULO MORTERO'!I1369+'BLAZE SHIELD II'!$L$6)*LN(J1369))+('BLAZE SHIELD II'!$L$7*('CALCULO MORTERO'!I1369^2)+'BLAZE SHIELD II'!$L$8*'CALCULO MORTERO'!I1369+'BLAZE SHIELD II'!$L$9)),0)+IF(AND(L1369="Blaze Shield II",M1369="Software Idiem",C1369="L"),((('BLAZE SHIELD II'!$L$4*('CALCULO MORTERO'!I1369^2)+'BLAZE SHIELD II'!$L$5*'CALCULO MORTERO'!I1369+'BLAZE SHIELD II'!$L$6)*LN(J1369))+('BLAZE SHIELD II'!$L$7*('CALCULO MORTERO'!I1369^2)+'BLAZE SHIELD II'!$L$8*'CALCULO MORTERO'!I1369+'BLAZE SHIELD II'!$L$9)),0)+IF(AND(L1369="Blaze Shield II",M1369="Software Idiem",C1369="IN",G1369=3),((('BLAZE SHIELD II'!$H$14*('CALCULO MORTERO'!I1369^2)+'BLAZE SHIELD II'!$H$15*'CALCULO MORTERO'!I1369+'BLAZE SHIELD II'!$H$16)*LN(J1369))+('BLAZE SHIELD II'!$H$17*('CALCULO MORTERO'!I1369^2)+'BLAZE SHIELD II'!$H$18*'CALCULO MORTERO'!I1369+'BLAZE SHIELD II'!$H$19)),0),0)+ROUND(IF(AND(L1369="Cafco 400",M1369="Software Idiem",C1369="IN",G1369=4),((('CAFCO 400 '!$H$7*(J1369^4)+'CAFCO 400 '!$H$8*(J1369^3)+'CAFCO 400 '!$H$9*(J1369^2)+'CAFCO 400 '!$H$10*J1369+'CAFCO 400 '!$H$11)*U1369^2)+(('CAFCO 400 '!$H$12*(J1369^3)+'CAFCO 400 '!$H$13*(J1369^2)+'CAFCO 400 '!$H$14*J1369+'CAFCO 400 '!$H$15)*U1369)+('CAFCO 400 '!$H$16*(J1369^2)+'CAFCO 400 '!$H$17*J1369+'CAFCO 400 '!$H$18)),0)+IF(AND(L1369="Cafco 400",M1369="Software Idiem",C1369="Cj"),(((('CAFCO 400 '!$D$7*LN(J1369)+'CAFCO 400 '!$D$8)*U1369^2)+(('CAFCO 400 '!$D$9*LN(J1369)+'CAFCO 400 '!$D$10)*U1369)+('CAFCO 400 '!$D$11*LN(J1369)+'CAFCO 400 '!$D$12))),0)+IF(AND(L1369="Cafco 400",M1369="Software Idiem",C1369="C"),((('CAFCO 400 '!$L$7*(J1369^3)+'CAFCO 400 '!$L$8*(J1369^2)+'CAFCO 400 '!$L$9*J1369+'CAFCO 400 '!$L$10)*U1369^2)+(('CAFCO 400 '!$L$11*(J1369^3)+'CAFCO 400 '!$L$12*(J1369^2)+'CAFCO 400 '!$L$13*J1369+'CAFCO 400 '!$L$14)*U1369)+('CAFCO 400 '!$L$15*LN(J1369)+'CAFCO 400 '!$L$16)),0)+IF(AND(L1369="Cafco 400",M1369="Software Idiem",C1369="L"),((('CAFCO 400 '!$L$7*(J1369^3)+'CAFCO 400 '!$L$8*(J1369^2)+'CAFCO 400 '!$L$9*J1369+'CAFCO 400 '!$L$10)*U1369^2)+(('CAFCO 400 '!$L$11*(J1369^3)+'CAFCO 400 '!$L$12*(J1369^2)+'CAFCO 400 '!$L$13*J1369+'CAFCO 400 '!$L$14)*U1369)+('CAFCO 400 '!$L$15*LN(J1369)+'CAFCO 400 '!$L$16)),0)+IF(AND(L1369="Cafco 400",M1369="Software Idiem",C1369="IN",G1369=3),((('CAFCO 400 '!$D$23*(J1369^2)+'CAFCO 400 '!$D$24*(J1369)+'CAFCO 400 '!$D$25)*U1369^2)+(('CAFCO 400 '!$D$26*(J1369^2)+'CAFCO 400 '!$D$27*J1369+'CAFCO 400 '!$D$28)*U1369)+('CAFCO 400 '!$D$29*(J1369^2)+'CAFCO 400 '!$D$30*J1369+'CAFCO 400 '!$D$31)),0),0)+IF(AND(L1369="Cafco 300",J1369&gt;=95,J1369&lt;=240,C1369="Cj",I1369=90),VLOOKUP(T1369,'CAFCO 300 IDIEM TABLAS'!$B$4:$D$23,2,FALSE),0)+IF(AND(L1369="Cafco 300",J1369&gt;=95,J1369&lt;=240,C1369="Cj",I1369=120),VLOOKUP(T1369,'CAFCO 300 IDIEM TABLAS'!$B$4:$D$23,3,FALSE),0)+IF(AND(L1369="Cafco 300",J1369&gt;=95,J1369&lt;=400,G1369=3,C1369="IN",I1369=90),VLOOKUP(T1369,'CAFCO 300 IDIEM TABLAS'!$F$4:$H$35,2,FALSE),0)+IF(AND(L1369="Cafco 300",J1369&gt;=95,J1369&lt;=400,G1369=3,C1369="IN",I1369=120),VLOOKUP(T1369,'CAFCO 300 IDIEM TABLAS'!$F$4:$H$35,3,FALSE),0)+IF(AND(L1369="Cafco 300",J1369&gt;=95,J1369&lt;=450,G1369=4,C1369="IN",I1369=90),VLOOKUP(T1369,'CAFCO 300 IDIEM TABLAS'!$J$4:$L$40,2,FALSE),0)+IF(AND(L1369="Cafco 300",J1369&gt;=95,J1369&lt;=450,G1369=4,C1369="IN",I1369=120),VLOOKUP(T1369,'CAFCO 300 IDIEM TABLAS'!$J$4:$L$40,3,FALSE),0)+IF(AND(M1369="Ensayo Idiem",L1369="Cafco 400",C1369="IN",G1369=4,I1369=90),VLOOKUP(T1369,'CAFCO 400 ENSAYO'!$B$7:$D$43,2,FALSE),0)+IF(AND(M1369="Ensayo Idiem",L1369="Cafco 400",C1369="IN",G1369=4,I1369=120),VLOOKUP(T1369,'CAFCO 400 ENSAYO'!$B$7:$D$43,3,FALSE),0)</f>
        <v>0</v>
      </c>
      <c r="O1369" s="96">
        <f t="shared" si="138"/>
        <v>0</v>
      </c>
      <c r="P1369" s="132" t="str">
        <f t="shared" si="133"/>
        <v>N/A</v>
      </c>
      <c r="Q1369" s="132" t="str">
        <f t="shared" si="134"/>
        <v>N/A</v>
      </c>
      <c r="R1369" s="132" t="str">
        <f t="shared" si="135"/>
        <v>NO CERT.</v>
      </c>
      <c r="S1369" s="132" t="e">
        <f t="shared" si="136"/>
        <v>#N/A</v>
      </c>
      <c r="T1369" s="133" t="e">
        <f>+IF(J1369=LOOKUP(J1369,'CAFCO 300 IDIEM TABLAS'!$J$4:$J$40),'CALCULO MORTERO'!J1369,MROUND('CALCULO MORTERO'!J1369,10))</f>
        <v>#N/A</v>
      </c>
      <c r="U1369" s="134">
        <f t="shared" si="137"/>
        <v>0</v>
      </c>
    </row>
    <row r="1370" spans="1:21" x14ac:dyDescent="0.25">
      <c r="A1370" s="118">
        <f>+CUBICACION!D1364</f>
        <v>0</v>
      </c>
      <c r="B1370" s="819">
        <f>+CUBICACION!E1364</f>
        <v>0</v>
      </c>
      <c r="C1370" s="675">
        <f>+CUBICACION!F1364</f>
        <v>0</v>
      </c>
      <c r="D1370" s="118"/>
      <c r="E1370" s="118"/>
      <c r="F1370" s="820"/>
      <c r="G1370" s="675">
        <f>+CUBICACION!J1364</f>
        <v>0</v>
      </c>
      <c r="H1370" s="118"/>
      <c r="I1370" s="821">
        <f>+CUBICACION!L1364</f>
        <v>0</v>
      </c>
      <c r="J1370" s="64">
        <f>+CUBICACION!M1364</f>
        <v>0</v>
      </c>
      <c r="K1370" s="822" t="str">
        <f>+CUBICACION!N1364</f>
        <v/>
      </c>
      <c r="L1370" s="118">
        <f>+CUBICACION!O1364</f>
        <v>0</v>
      </c>
      <c r="M1370" s="823">
        <f>+CUBICACION!P1364</f>
        <v>0</v>
      </c>
      <c r="N1370" s="902">
        <f>ROUND(IF(AND(L1370="Blaze Shield II",M1370="Software Idiem",C1370="IN",G1370=4),((('BLAZE SHIELD II'!$D$4*('CALCULO MORTERO'!I1370^2)+'BLAZE SHIELD II'!$D$5*'CALCULO MORTERO'!I1370+'BLAZE SHIELD II'!$D$6)*LN(J1370))+('BLAZE SHIELD II'!$D$7*('CALCULO MORTERO'!I1370^2)+'BLAZE SHIELD II'!$D$8*'CALCULO MORTERO'!I1370+'BLAZE SHIELD II'!$D$9)),0)+IF(AND(L1370="Blaze Shield II",M1370="Software Idiem",C1370="Cj"),((('BLAZE SHIELD II'!$H$4*('CALCULO MORTERO'!I1370^2)+'BLAZE SHIELD II'!$H$5*'CALCULO MORTERO'!I1370+'BLAZE SHIELD II'!$H$6)*LN(J1370))+('BLAZE SHIELD II'!$H$7*('CALCULO MORTERO'!I1370^2)+'BLAZE SHIELD II'!$H$8*'CALCULO MORTERO'!I1370+'BLAZE SHIELD II'!$H$9)),0)+IF(AND(L1370="Blaze Shield II",M1370="Software Idiem",C1370="C"),((('BLAZE SHIELD II'!$L$4*('CALCULO MORTERO'!I1370^2)+'BLAZE SHIELD II'!$L$5*'CALCULO MORTERO'!I1370+'BLAZE SHIELD II'!$L$6)*LN(J1370))+('BLAZE SHIELD II'!$L$7*('CALCULO MORTERO'!I1370^2)+'BLAZE SHIELD II'!$L$8*'CALCULO MORTERO'!I1370+'BLAZE SHIELD II'!$L$9)),0)+IF(AND(L1370="Blaze Shield II",M1370="Software Idiem",C1370="L"),((('BLAZE SHIELD II'!$L$4*('CALCULO MORTERO'!I1370^2)+'BLAZE SHIELD II'!$L$5*'CALCULO MORTERO'!I1370+'BLAZE SHIELD II'!$L$6)*LN(J1370))+('BLAZE SHIELD II'!$L$7*('CALCULO MORTERO'!I1370^2)+'BLAZE SHIELD II'!$L$8*'CALCULO MORTERO'!I1370+'BLAZE SHIELD II'!$L$9)),0)+IF(AND(L1370="Blaze Shield II",M1370="Software Idiem",C1370="IN",G1370=3),((('BLAZE SHIELD II'!$H$14*('CALCULO MORTERO'!I1370^2)+'BLAZE SHIELD II'!$H$15*'CALCULO MORTERO'!I1370+'BLAZE SHIELD II'!$H$16)*LN(J1370))+('BLAZE SHIELD II'!$H$17*('CALCULO MORTERO'!I1370^2)+'BLAZE SHIELD II'!$H$18*'CALCULO MORTERO'!I1370+'BLAZE SHIELD II'!$H$19)),0),0)+ROUND(IF(AND(L1370="Cafco 400",M1370="Software Idiem",C1370="IN",G1370=4),((('CAFCO 400 '!$H$7*(J1370^4)+'CAFCO 400 '!$H$8*(J1370^3)+'CAFCO 400 '!$H$9*(J1370^2)+'CAFCO 400 '!$H$10*J1370+'CAFCO 400 '!$H$11)*U1370^2)+(('CAFCO 400 '!$H$12*(J1370^3)+'CAFCO 400 '!$H$13*(J1370^2)+'CAFCO 400 '!$H$14*J1370+'CAFCO 400 '!$H$15)*U1370)+('CAFCO 400 '!$H$16*(J1370^2)+'CAFCO 400 '!$H$17*J1370+'CAFCO 400 '!$H$18)),0)+IF(AND(L1370="Cafco 400",M1370="Software Idiem",C1370="Cj"),(((('CAFCO 400 '!$D$7*LN(J1370)+'CAFCO 400 '!$D$8)*U1370^2)+(('CAFCO 400 '!$D$9*LN(J1370)+'CAFCO 400 '!$D$10)*U1370)+('CAFCO 400 '!$D$11*LN(J1370)+'CAFCO 400 '!$D$12))),0)+IF(AND(L1370="Cafco 400",M1370="Software Idiem",C1370="C"),((('CAFCO 400 '!$L$7*(J1370^3)+'CAFCO 400 '!$L$8*(J1370^2)+'CAFCO 400 '!$L$9*J1370+'CAFCO 400 '!$L$10)*U1370^2)+(('CAFCO 400 '!$L$11*(J1370^3)+'CAFCO 400 '!$L$12*(J1370^2)+'CAFCO 400 '!$L$13*J1370+'CAFCO 400 '!$L$14)*U1370)+('CAFCO 400 '!$L$15*LN(J1370)+'CAFCO 400 '!$L$16)),0)+IF(AND(L1370="Cafco 400",M1370="Software Idiem",C1370="L"),((('CAFCO 400 '!$L$7*(J1370^3)+'CAFCO 400 '!$L$8*(J1370^2)+'CAFCO 400 '!$L$9*J1370+'CAFCO 400 '!$L$10)*U1370^2)+(('CAFCO 400 '!$L$11*(J1370^3)+'CAFCO 400 '!$L$12*(J1370^2)+'CAFCO 400 '!$L$13*J1370+'CAFCO 400 '!$L$14)*U1370)+('CAFCO 400 '!$L$15*LN(J1370)+'CAFCO 400 '!$L$16)),0)+IF(AND(L1370="Cafco 400",M1370="Software Idiem",C1370="IN",G1370=3),((('CAFCO 400 '!$D$23*(J1370^2)+'CAFCO 400 '!$D$24*(J1370)+'CAFCO 400 '!$D$25)*U1370^2)+(('CAFCO 400 '!$D$26*(J1370^2)+'CAFCO 400 '!$D$27*J1370+'CAFCO 400 '!$D$28)*U1370)+('CAFCO 400 '!$D$29*(J1370^2)+'CAFCO 400 '!$D$30*J1370+'CAFCO 400 '!$D$31)),0),0)+IF(AND(L1370="Cafco 300",J1370&gt;=95,J1370&lt;=240,C1370="Cj",I1370=90),VLOOKUP(T1370,'CAFCO 300 IDIEM TABLAS'!$B$4:$D$23,2,FALSE),0)+IF(AND(L1370="Cafco 300",J1370&gt;=95,J1370&lt;=240,C1370="Cj",I1370=120),VLOOKUP(T1370,'CAFCO 300 IDIEM TABLAS'!$B$4:$D$23,3,FALSE),0)+IF(AND(L1370="Cafco 300",J1370&gt;=95,J1370&lt;=400,G1370=3,C1370="IN",I1370=90),VLOOKUP(T1370,'CAFCO 300 IDIEM TABLAS'!$F$4:$H$35,2,FALSE),0)+IF(AND(L1370="Cafco 300",J1370&gt;=95,J1370&lt;=400,G1370=3,C1370="IN",I1370=120),VLOOKUP(T1370,'CAFCO 300 IDIEM TABLAS'!$F$4:$H$35,3,FALSE),0)+IF(AND(L1370="Cafco 300",J1370&gt;=95,J1370&lt;=450,G1370=4,C1370="IN",I1370=90),VLOOKUP(T1370,'CAFCO 300 IDIEM TABLAS'!$J$4:$L$40,2,FALSE),0)+IF(AND(L1370="Cafco 300",J1370&gt;=95,J1370&lt;=450,G1370=4,C1370="IN",I1370=120),VLOOKUP(T1370,'CAFCO 300 IDIEM TABLAS'!$J$4:$L$40,3,FALSE),0)+IF(AND(M1370="Ensayo Idiem",L1370="Cafco 400",C1370="IN",G1370=4,I1370=90),VLOOKUP(T1370,'CAFCO 400 ENSAYO'!$B$7:$D$43,2,FALSE),0)+IF(AND(M1370="Ensayo Idiem",L1370="Cafco 400",C1370="IN",G1370=4,I1370=120),VLOOKUP(T1370,'CAFCO 400 ENSAYO'!$B$7:$D$43,3,FALSE),0)</f>
        <v>0</v>
      </c>
      <c r="O1370" s="96">
        <f t="shared" si="138"/>
        <v>0</v>
      </c>
      <c r="P1370" s="95" t="str">
        <f t="shared" si="133"/>
        <v>N/A</v>
      </c>
      <c r="Q1370" s="95" t="str">
        <f t="shared" si="134"/>
        <v>N/A</v>
      </c>
      <c r="R1370" s="95" t="str">
        <f t="shared" si="135"/>
        <v>NO CERT.</v>
      </c>
      <c r="S1370" s="95" t="e">
        <f t="shared" si="136"/>
        <v>#N/A</v>
      </c>
      <c r="T1370" s="119" t="e">
        <f>+IF(J1370=LOOKUP(J1370,'CAFCO 300 IDIEM TABLAS'!$J$4:$J$40),'CALCULO MORTERO'!J1370,MROUND('CALCULO MORTERO'!J1370,10))</f>
        <v>#N/A</v>
      </c>
      <c r="U1370" s="118">
        <f t="shared" si="137"/>
        <v>0</v>
      </c>
    </row>
    <row r="1371" spans="1:21" x14ac:dyDescent="0.25">
      <c r="A1371" s="118">
        <f>+CUBICACION!D1365</f>
        <v>0</v>
      </c>
      <c r="B1371" s="819">
        <f>+CUBICACION!E1365</f>
        <v>0</v>
      </c>
      <c r="C1371" s="675">
        <f>+CUBICACION!F1365</f>
        <v>0</v>
      </c>
      <c r="D1371" s="118"/>
      <c r="E1371" s="118"/>
      <c r="F1371" s="820"/>
      <c r="G1371" s="675">
        <f>+CUBICACION!J1365</f>
        <v>0</v>
      </c>
      <c r="H1371" s="118"/>
      <c r="I1371" s="821">
        <f>+CUBICACION!L1365</f>
        <v>0</v>
      </c>
      <c r="J1371" s="64">
        <f>+CUBICACION!M1365</f>
        <v>0</v>
      </c>
      <c r="K1371" s="822" t="str">
        <f>+CUBICACION!N1365</f>
        <v/>
      </c>
      <c r="L1371" s="118">
        <f>+CUBICACION!O1365</f>
        <v>0</v>
      </c>
      <c r="M1371" s="823">
        <f>+CUBICACION!P1365</f>
        <v>0</v>
      </c>
      <c r="N1371" s="902">
        <f>ROUND(IF(AND(L1371="Blaze Shield II",M1371="Software Idiem",C1371="IN",G1371=4),((('BLAZE SHIELD II'!$D$4*('CALCULO MORTERO'!I1371^2)+'BLAZE SHIELD II'!$D$5*'CALCULO MORTERO'!I1371+'BLAZE SHIELD II'!$D$6)*LN(J1371))+('BLAZE SHIELD II'!$D$7*('CALCULO MORTERO'!I1371^2)+'BLAZE SHIELD II'!$D$8*'CALCULO MORTERO'!I1371+'BLAZE SHIELD II'!$D$9)),0)+IF(AND(L1371="Blaze Shield II",M1371="Software Idiem",C1371="Cj"),((('BLAZE SHIELD II'!$H$4*('CALCULO MORTERO'!I1371^2)+'BLAZE SHIELD II'!$H$5*'CALCULO MORTERO'!I1371+'BLAZE SHIELD II'!$H$6)*LN(J1371))+('BLAZE SHIELD II'!$H$7*('CALCULO MORTERO'!I1371^2)+'BLAZE SHIELD II'!$H$8*'CALCULO MORTERO'!I1371+'BLAZE SHIELD II'!$H$9)),0)+IF(AND(L1371="Blaze Shield II",M1371="Software Idiem",C1371="C"),((('BLAZE SHIELD II'!$L$4*('CALCULO MORTERO'!I1371^2)+'BLAZE SHIELD II'!$L$5*'CALCULO MORTERO'!I1371+'BLAZE SHIELD II'!$L$6)*LN(J1371))+('BLAZE SHIELD II'!$L$7*('CALCULO MORTERO'!I1371^2)+'BLAZE SHIELD II'!$L$8*'CALCULO MORTERO'!I1371+'BLAZE SHIELD II'!$L$9)),0)+IF(AND(L1371="Blaze Shield II",M1371="Software Idiem",C1371="L"),((('BLAZE SHIELD II'!$L$4*('CALCULO MORTERO'!I1371^2)+'BLAZE SHIELD II'!$L$5*'CALCULO MORTERO'!I1371+'BLAZE SHIELD II'!$L$6)*LN(J1371))+('BLAZE SHIELD II'!$L$7*('CALCULO MORTERO'!I1371^2)+'BLAZE SHIELD II'!$L$8*'CALCULO MORTERO'!I1371+'BLAZE SHIELD II'!$L$9)),0)+IF(AND(L1371="Blaze Shield II",M1371="Software Idiem",C1371="IN",G1371=3),((('BLAZE SHIELD II'!$H$14*('CALCULO MORTERO'!I1371^2)+'BLAZE SHIELD II'!$H$15*'CALCULO MORTERO'!I1371+'BLAZE SHIELD II'!$H$16)*LN(J1371))+('BLAZE SHIELD II'!$H$17*('CALCULO MORTERO'!I1371^2)+'BLAZE SHIELD II'!$H$18*'CALCULO MORTERO'!I1371+'BLAZE SHIELD II'!$H$19)),0),0)+ROUND(IF(AND(L1371="Cafco 400",M1371="Software Idiem",C1371="IN",G1371=4),((('CAFCO 400 '!$H$7*(J1371^4)+'CAFCO 400 '!$H$8*(J1371^3)+'CAFCO 400 '!$H$9*(J1371^2)+'CAFCO 400 '!$H$10*J1371+'CAFCO 400 '!$H$11)*U1371^2)+(('CAFCO 400 '!$H$12*(J1371^3)+'CAFCO 400 '!$H$13*(J1371^2)+'CAFCO 400 '!$H$14*J1371+'CAFCO 400 '!$H$15)*U1371)+('CAFCO 400 '!$H$16*(J1371^2)+'CAFCO 400 '!$H$17*J1371+'CAFCO 400 '!$H$18)),0)+IF(AND(L1371="Cafco 400",M1371="Software Idiem",C1371="Cj"),(((('CAFCO 400 '!$D$7*LN(J1371)+'CAFCO 400 '!$D$8)*U1371^2)+(('CAFCO 400 '!$D$9*LN(J1371)+'CAFCO 400 '!$D$10)*U1371)+('CAFCO 400 '!$D$11*LN(J1371)+'CAFCO 400 '!$D$12))),0)+IF(AND(L1371="Cafco 400",M1371="Software Idiem",C1371="C"),((('CAFCO 400 '!$L$7*(J1371^3)+'CAFCO 400 '!$L$8*(J1371^2)+'CAFCO 400 '!$L$9*J1371+'CAFCO 400 '!$L$10)*U1371^2)+(('CAFCO 400 '!$L$11*(J1371^3)+'CAFCO 400 '!$L$12*(J1371^2)+'CAFCO 400 '!$L$13*J1371+'CAFCO 400 '!$L$14)*U1371)+('CAFCO 400 '!$L$15*LN(J1371)+'CAFCO 400 '!$L$16)),0)+IF(AND(L1371="Cafco 400",M1371="Software Idiem",C1371="L"),((('CAFCO 400 '!$L$7*(J1371^3)+'CAFCO 400 '!$L$8*(J1371^2)+'CAFCO 400 '!$L$9*J1371+'CAFCO 400 '!$L$10)*U1371^2)+(('CAFCO 400 '!$L$11*(J1371^3)+'CAFCO 400 '!$L$12*(J1371^2)+'CAFCO 400 '!$L$13*J1371+'CAFCO 400 '!$L$14)*U1371)+('CAFCO 400 '!$L$15*LN(J1371)+'CAFCO 400 '!$L$16)),0)+IF(AND(L1371="Cafco 400",M1371="Software Idiem",C1371="IN",G1371=3),((('CAFCO 400 '!$D$23*(J1371^2)+'CAFCO 400 '!$D$24*(J1371)+'CAFCO 400 '!$D$25)*U1371^2)+(('CAFCO 400 '!$D$26*(J1371^2)+'CAFCO 400 '!$D$27*J1371+'CAFCO 400 '!$D$28)*U1371)+('CAFCO 400 '!$D$29*(J1371^2)+'CAFCO 400 '!$D$30*J1371+'CAFCO 400 '!$D$31)),0),0)+IF(AND(L1371="Cafco 300",J1371&gt;=95,J1371&lt;=240,C1371="Cj",I1371=90),VLOOKUP(T1371,'CAFCO 300 IDIEM TABLAS'!$B$4:$D$23,2,FALSE),0)+IF(AND(L1371="Cafco 300",J1371&gt;=95,J1371&lt;=240,C1371="Cj",I1371=120),VLOOKUP(T1371,'CAFCO 300 IDIEM TABLAS'!$B$4:$D$23,3,FALSE),0)+IF(AND(L1371="Cafco 300",J1371&gt;=95,J1371&lt;=400,G1371=3,C1371="IN",I1371=90),VLOOKUP(T1371,'CAFCO 300 IDIEM TABLAS'!$F$4:$H$35,2,FALSE),0)+IF(AND(L1371="Cafco 300",J1371&gt;=95,J1371&lt;=400,G1371=3,C1371="IN",I1371=120),VLOOKUP(T1371,'CAFCO 300 IDIEM TABLAS'!$F$4:$H$35,3,FALSE),0)+IF(AND(L1371="Cafco 300",J1371&gt;=95,J1371&lt;=450,G1371=4,C1371="IN",I1371=90),VLOOKUP(T1371,'CAFCO 300 IDIEM TABLAS'!$J$4:$L$40,2,FALSE),0)+IF(AND(L1371="Cafco 300",J1371&gt;=95,J1371&lt;=450,G1371=4,C1371="IN",I1371=120),VLOOKUP(T1371,'CAFCO 300 IDIEM TABLAS'!$J$4:$L$40,3,FALSE),0)+IF(AND(M1371="Ensayo Idiem",L1371="Cafco 400",C1371="IN",G1371=4,I1371=90),VLOOKUP(T1371,'CAFCO 400 ENSAYO'!$B$7:$D$43,2,FALSE),0)+IF(AND(M1371="Ensayo Idiem",L1371="Cafco 400",C1371="IN",G1371=4,I1371=120),VLOOKUP(T1371,'CAFCO 400 ENSAYO'!$B$7:$D$43,3,FALSE),0)</f>
        <v>0</v>
      </c>
      <c r="O1371" s="96">
        <f t="shared" si="138"/>
        <v>0</v>
      </c>
      <c r="P1371" s="132" t="str">
        <f t="shared" si="133"/>
        <v>N/A</v>
      </c>
      <c r="Q1371" s="132" t="str">
        <f t="shared" si="134"/>
        <v>N/A</v>
      </c>
      <c r="R1371" s="132" t="str">
        <f t="shared" si="135"/>
        <v>NO CERT.</v>
      </c>
      <c r="S1371" s="132" t="e">
        <f t="shared" si="136"/>
        <v>#N/A</v>
      </c>
      <c r="T1371" s="133" t="e">
        <f>+IF(J1371=LOOKUP(J1371,'CAFCO 300 IDIEM TABLAS'!$J$4:$J$40),'CALCULO MORTERO'!J1371,MROUND('CALCULO MORTERO'!J1371,10))</f>
        <v>#N/A</v>
      </c>
      <c r="U1371" s="134">
        <f t="shared" si="137"/>
        <v>0</v>
      </c>
    </row>
    <row r="1372" spans="1:21" x14ac:dyDescent="0.25">
      <c r="A1372" s="118">
        <f>+CUBICACION!D1366</f>
        <v>0</v>
      </c>
      <c r="B1372" s="819">
        <f>+CUBICACION!E1366</f>
        <v>0</v>
      </c>
      <c r="C1372" s="675">
        <f>+CUBICACION!F1366</f>
        <v>0</v>
      </c>
      <c r="D1372" s="118"/>
      <c r="E1372" s="118"/>
      <c r="F1372" s="820"/>
      <c r="G1372" s="675">
        <f>+CUBICACION!J1366</f>
        <v>0</v>
      </c>
      <c r="H1372" s="118"/>
      <c r="I1372" s="821">
        <f>+CUBICACION!L1366</f>
        <v>0</v>
      </c>
      <c r="J1372" s="64">
        <f>+CUBICACION!M1366</f>
        <v>0</v>
      </c>
      <c r="K1372" s="822" t="str">
        <f>+CUBICACION!N1366</f>
        <v/>
      </c>
      <c r="L1372" s="118">
        <f>+CUBICACION!O1366</f>
        <v>0</v>
      </c>
      <c r="M1372" s="823">
        <f>+CUBICACION!P1366</f>
        <v>0</v>
      </c>
      <c r="N1372" s="902">
        <f>ROUND(IF(AND(L1372="Blaze Shield II",M1372="Software Idiem",C1372="IN",G1372=4),((('BLAZE SHIELD II'!$D$4*('CALCULO MORTERO'!I1372^2)+'BLAZE SHIELD II'!$D$5*'CALCULO MORTERO'!I1372+'BLAZE SHIELD II'!$D$6)*LN(J1372))+('BLAZE SHIELD II'!$D$7*('CALCULO MORTERO'!I1372^2)+'BLAZE SHIELD II'!$D$8*'CALCULO MORTERO'!I1372+'BLAZE SHIELD II'!$D$9)),0)+IF(AND(L1372="Blaze Shield II",M1372="Software Idiem",C1372="Cj"),((('BLAZE SHIELD II'!$H$4*('CALCULO MORTERO'!I1372^2)+'BLAZE SHIELD II'!$H$5*'CALCULO MORTERO'!I1372+'BLAZE SHIELD II'!$H$6)*LN(J1372))+('BLAZE SHIELD II'!$H$7*('CALCULO MORTERO'!I1372^2)+'BLAZE SHIELD II'!$H$8*'CALCULO MORTERO'!I1372+'BLAZE SHIELD II'!$H$9)),0)+IF(AND(L1372="Blaze Shield II",M1372="Software Idiem",C1372="C"),((('BLAZE SHIELD II'!$L$4*('CALCULO MORTERO'!I1372^2)+'BLAZE SHIELD II'!$L$5*'CALCULO MORTERO'!I1372+'BLAZE SHIELD II'!$L$6)*LN(J1372))+('BLAZE SHIELD II'!$L$7*('CALCULO MORTERO'!I1372^2)+'BLAZE SHIELD II'!$L$8*'CALCULO MORTERO'!I1372+'BLAZE SHIELD II'!$L$9)),0)+IF(AND(L1372="Blaze Shield II",M1372="Software Idiem",C1372="L"),((('BLAZE SHIELD II'!$L$4*('CALCULO MORTERO'!I1372^2)+'BLAZE SHIELD II'!$L$5*'CALCULO MORTERO'!I1372+'BLAZE SHIELD II'!$L$6)*LN(J1372))+('BLAZE SHIELD II'!$L$7*('CALCULO MORTERO'!I1372^2)+'BLAZE SHIELD II'!$L$8*'CALCULO MORTERO'!I1372+'BLAZE SHIELD II'!$L$9)),0)+IF(AND(L1372="Blaze Shield II",M1372="Software Idiem",C1372="IN",G1372=3),((('BLAZE SHIELD II'!$H$14*('CALCULO MORTERO'!I1372^2)+'BLAZE SHIELD II'!$H$15*'CALCULO MORTERO'!I1372+'BLAZE SHIELD II'!$H$16)*LN(J1372))+('BLAZE SHIELD II'!$H$17*('CALCULO MORTERO'!I1372^2)+'BLAZE SHIELD II'!$H$18*'CALCULO MORTERO'!I1372+'BLAZE SHIELD II'!$H$19)),0),0)+ROUND(IF(AND(L1372="Cafco 400",M1372="Software Idiem",C1372="IN",G1372=4),((('CAFCO 400 '!$H$7*(J1372^4)+'CAFCO 400 '!$H$8*(J1372^3)+'CAFCO 400 '!$H$9*(J1372^2)+'CAFCO 400 '!$H$10*J1372+'CAFCO 400 '!$H$11)*U1372^2)+(('CAFCO 400 '!$H$12*(J1372^3)+'CAFCO 400 '!$H$13*(J1372^2)+'CAFCO 400 '!$H$14*J1372+'CAFCO 400 '!$H$15)*U1372)+('CAFCO 400 '!$H$16*(J1372^2)+'CAFCO 400 '!$H$17*J1372+'CAFCO 400 '!$H$18)),0)+IF(AND(L1372="Cafco 400",M1372="Software Idiem",C1372="Cj"),(((('CAFCO 400 '!$D$7*LN(J1372)+'CAFCO 400 '!$D$8)*U1372^2)+(('CAFCO 400 '!$D$9*LN(J1372)+'CAFCO 400 '!$D$10)*U1372)+('CAFCO 400 '!$D$11*LN(J1372)+'CAFCO 400 '!$D$12))),0)+IF(AND(L1372="Cafco 400",M1372="Software Idiem",C1372="C"),((('CAFCO 400 '!$L$7*(J1372^3)+'CAFCO 400 '!$L$8*(J1372^2)+'CAFCO 400 '!$L$9*J1372+'CAFCO 400 '!$L$10)*U1372^2)+(('CAFCO 400 '!$L$11*(J1372^3)+'CAFCO 400 '!$L$12*(J1372^2)+'CAFCO 400 '!$L$13*J1372+'CAFCO 400 '!$L$14)*U1372)+('CAFCO 400 '!$L$15*LN(J1372)+'CAFCO 400 '!$L$16)),0)+IF(AND(L1372="Cafco 400",M1372="Software Idiem",C1372="L"),((('CAFCO 400 '!$L$7*(J1372^3)+'CAFCO 400 '!$L$8*(J1372^2)+'CAFCO 400 '!$L$9*J1372+'CAFCO 400 '!$L$10)*U1372^2)+(('CAFCO 400 '!$L$11*(J1372^3)+'CAFCO 400 '!$L$12*(J1372^2)+'CAFCO 400 '!$L$13*J1372+'CAFCO 400 '!$L$14)*U1372)+('CAFCO 400 '!$L$15*LN(J1372)+'CAFCO 400 '!$L$16)),0)+IF(AND(L1372="Cafco 400",M1372="Software Idiem",C1372="IN",G1372=3),((('CAFCO 400 '!$D$23*(J1372^2)+'CAFCO 400 '!$D$24*(J1372)+'CAFCO 400 '!$D$25)*U1372^2)+(('CAFCO 400 '!$D$26*(J1372^2)+'CAFCO 400 '!$D$27*J1372+'CAFCO 400 '!$D$28)*U1372)+('CAFCO 400 '!$D$29*(J1372^2)+'CAFCO 400 '!$D$30*J1372+'CAFCO 400 '!$D$31)),0),0)+IF(AND(L1372="Cafco 300",J1372&gt;=95,J1372&lt;=240,C1372="Cj",I1372=90),VLOOKUP(T1372,'CAFCO 300 IDIEM TABLAS'!$B$4:$D$23,2,FALSE),0)+IF(AND(L1372="Cafco 300",J1372&gt;=95,J1372&lt;=240,C1372="Cj",I1372=120),VLOOKUP(T1372,'CAFCO 300 IDIEM TABLAS'!$B$4:$D$23,3,FALSE),0)+IF(AND(L1372="Cafco 300",J1372&gt;=95,J1372&lt;=400,G1372=3,C1372="IN",I1372=90),VLOOKUP(T1372,'CAFCO 300 IDIEM TABLAS'!$F$4:$H$35,2,FALSE),0)+IF(AND(L1372="Cafco 300",J1372&gt;=95,J1372&lt;=400,G1372=3,C1372="IN",I1372=120),VLOOKUP(T1372,'CAFCO 300 IDIEM TABLAS'!$F$4:$H$35,3,FALSE),0)+IF(AND(L1372="Cafco 300",J1372&gt;=95,J1372&lt;=450,G1372=4,C1372="IN",I1372=90),VLOOKUP(T1372,'CAFCO 300 IDIEM TABLAS'!$J$4:$L$40,2,FALSE),0)+IF(AND(L1372="Cafco 300",J1372&gt;=95,J1372&lt;=450,G1372=4,C1372="IN",I1372=120),VLOOKUP(T1372,'CAFCO 300 IDIEM TABLAS'!$J$4:$L$40,3,FALSE),0)+IF(AND(M1372="Ensayo Idiem",L1372="Cafco 400",C1372="IN",G1372=4,I1372=90),VLOOKUP(T1372,'CAFCO 400 ENSAYO'!$B$7:$D$43,2,FALSE),0)+IF(AND(M1372="Ensayo Idiem",L1372="Cafco 400",C1372="IN",G1372=4,I1372=120),VLOOKUP(T1372,'CAFCO 400 ENSAYO'!$B$7:$D$43,3,FALSE),0)</f>
        <v>0</v>
      </c>
      <c r="O1372" s="96">
        <f t="shared" si="138"/>
        <v>0</v>
      </c>
      <c r="P1372" s="95" t="str">
        <f t="shared" si="133"/>
        <v>N/A</v>
      </c>
      <c r="Q1372" s="95" t="str">
        <f t="shared" si="134"/>
        <v>N/A</v>
      </c>
      <c r="R1372" s="95" t="str">
        <f t="shared" si="135"/>
        <v>NO CERT.</v>
      </c>
      <c r="S1372" s="95" t="e">
        <f t="shared" si="136"/>
        <v>#N/A</v>
      </c>
      <c r="T1372" s="119" t="e">
        <f>+IF(J1372=LOOKUP(J1372,'CAFCO 300 IDIEM TABLAS'!$J$4:$J$40),'CALCULO MORTERO'!J1372,MROUND('CALCULO MORTERO'!J1372,10))</f>
        <v>#N/A</v>
      </c>
      <c r="U1372" s="118">
        <f t="shared" si="137"/>
        <v>0</v>
      </c>
    </row>
    <row r="1373" spans="1:21" x14ac:dyDescent="0.25">
      <c r="A1373" s="118">
        <f>+CUBICACION!D1367</f>
        <v>0</v>
      </c>
      <c r="B1373" s="819">
        <f>+CUBICACION!E1367</f>
        <v>0</v>
      </c>
      <c r="C1373" s="675">
        <f>+CUBICACION!F1367</f>
        <v>0</v>
      </c>
      <c r="D1373" s="118"/>
      <c r="E1373" s="118"/>
      <c r="F1373" s="820"/>
      <c r="G1373" s="675">
        <f>+CUBICACION!J1367</f>
        <v>0</v>
      </c>
      <c r="H1373" s="118"/>
      <c r="I1373" s="821">
        <f>+CUBICACION!L1367</f>
        <v>0</v>
      </c>
      <c r="J1373" s="64">
        <f>+CUBICACION!M1367</f>
        <v>0</v>
      </c>
      <c r="K1373" s="822" t="str">
        <f>+CUBICACION!N1367</f>
        <v/>
      </c>
      <c r="L1373" s="118">
        <f>+CUBICACION!O1367</f>
        <v>0</v>
      </c>
      <c r="M1373" s="823">
        <f>+CUBICACION!P1367</f>
        <v>0</v>
      </c>
      <c r="N1373" s="902">
        <f>ROUND(IF(AND(L1373="Blaze Shield II",M1373="Software Idiem",C1373="IN",G1373=4),((('BLAZE SHIELD II'!$D$4*('CALCULO MORTERO'!I1373^2)+'BLAZE SHIELD II'!$D$5*'CALCULO MORTERO'!I1373+'BLAZE SHIELD II'!$D$6)*LN(J1373))+('BLAZE SHIELD II'!$D$7*('CALCULO MORTERO'!I1373^2)+'BLAZE SHIELD II'!$D$8*'CALCULO MORTERO'!I1373+'BLAZE SHIELD II'!$D$9)),0)+IF(AND(L1373="Blaze Shield II",M1373="Software Idiem",C1373="Cj"),((('BLAZE SHIELD II'!$H$4*('CALCULO MORTERO'!I1373^2)+'BLAZE SHIELD II'!$H$5*'CALCULO MORTERO'!I1373+'BLAZE SHIELD II'!$H$6)*LN(J1373))+('BLAZE SHIELD II'!$H$7*('CALCULO MORTERO'!I1373^2)+'BLAZE SHIELD II'!$H$8*'CALCULO MORTERO'!I1373+'BLAZE SHIELD II'!$H$9)),0)+IF(AND(L1373="Blaze Shield II",M1373="Software Idiem",C1373="C"),((('BLAZE SHIELD II'!$L$4*('CALCULO MORTERO'!I1373^2)+'BLAZE SHIELD II'!$L$5*'CALCULO MORTERO'!I1373+'BLAZE SHIELD II'!$L$6)*LN(J1373))+('BLAZE SHIELD II'!$L$7*('CALCULO MORTERO'!I1373^2)+'BLAZE SHIELD II'!$L$8*'CALCULO MORTERO'!I1373+'BLAZE SHIELD II'!$L$9)),0)+IF(AND(L1373="Blaze Shield II",M1373="Software Idiem",C1373="L"),((('BLAZE SHIELD II'!$L$4*('CALCULO MORTERO'!I1373^2)+'BLAZE SHIELD II'!$L$5*'CALCULO MORTERO'!I1373+'BLAZE SHIELD II'!$L$6)*LN(J1373))+('BLAZE SHIELD II'!$L$7*('CALCULO MORTERO'!I1373^2)+'BLAZE SHIELD II'!$L$8*'CALCULO MORTERO'!I1373+'BLAZE SHIELD II'!$L$9)),0)+IF(AND(L1373="Blaze Shield II",M1373="Software Idiem",C1373="IN",G1373=3),((('BLAZE SHIELD II'!$H$14*('CALCULO MORTERO'!I1373^2)+'BLAZE SHIELD II'!$H$15*'CALCULO MORTERO'!I1373+'BLAZE SHIELD II'!$H$16)*LN(J1373))+('BLAZE SHIELD II'!$H$17*('CALCULO MORTERO'!I1373^2)+'BLAZE SHIELD II'!$H$18*'CALCULO MORTERO'!I1373+'BLAZE SHIELD II'!$H$19)),0),0)+ROUND(IF(AND(L1373="Cafco 400",M1373="Software Idiem",C1373="IN",G1373=4),((('CAFCO 400 '!$H$7*(J1373^4)+'CAFCO 400 '!$H$8*(J1373^3)+'CAFCO 400 '!$H$9*(J1373^2)+'CAFCO 400 '!$H$10*J1373+'CAFCO 400 '!$H$11)*U1373^2)+(('CAFCO 400 '!$H$12*(J1373^3)+'CAFCO 400 '!$H$13*(J1373^2)+'CAFCO 400 '!$H$14*J1373+'CAFCO 400 '!$H$15)*U1373)+('CAFCO 400 '!$H$16*(J1373^2)+'CAFCO 400 '!$H$17*J1373+'CAFCO 400 '!$H$18)),0)+IF(AND(L1373="Cafco 400",M1373="Software Idiem",C1373="Cj"),(((('CAFCO 400 '!$D$7*LN(J1373)+'CAFCO 400 '!$D$8)*U1373^2)+(('CAFCO 400 '!$D$9*LN(J1373)+'CAFCO 400 '!$D$10)*U1373)+('CAFCO 400 '!$D$11*LN(J1373)+'CAFCO 400 '!$D$12))),0)+IF(AND(L1373="Cafco 400",M1373="Software Idiem",C1373="C"),((('CAFCO 400 '!$L$7*(J1373^3)+'CAFCO 400 '!$L$8*(J1373^2)+'CAFCO 400 '!$L$9*J1373+'CAFCO 400 '!$L$10)*U1373^2)+(('CAFCO 400 '!$L$11*(J1373^3)+'CAFCO 400 '!$L$12*(J1373^2)+'CAFCO 400 '!$L$13*J1373+'CAFCO 400 '!$L$14)*U1373)+('CAFCO 400 '!$L$15*LN(J1373)+'CAFCO 400 '!$L$16)),0)+IF(AND(L1373="Cafco 400",M1373="Software Idiem",C1373="L"),((('CAFCO 400 '!$L$7*(J1373^3)+'CAFCO 400 '!$L$8*(J1373^2)+'CAFCO 400 '!$L$9*J1373+'CAFCO 400 '!$L$10)*U1373^2)+(('CAFCO 400 '!$L$11*(J1373^3)+'CAFCO 400 '!$L$12*(J1373^2)+'CAFCO 400 '!$L$13*J1373+'CAFCO 400 '!$L$14)*U1373)+('CAFCO 400 '!$L$15*LN(J1373)+'CAFCO 400 '!$L$16)),0)+IF(AND(L1373="Cafco 400",M1373="Software Idiem",C1373="IN",G1373=3),((('CAFCO 400 '!$D$23*(J1373^2)+'CAFCO 400 '!$D$24*(J1373)+'CAFCO 400 '!$D$25)*U1373^2)+(('CAFCO 400 '!$D$26*(J1373^2)+'CAFCO 400 '!$D$27*J1373+'CAFCO 400 '!$D$28)*U1373)+('CAFCO 400 '!$D$29*(J1373^2)+'CAFCO 400 '!$D$30*J1373+'CAFCO 400 '!$D$31)),0),0)+IF(AND(L1373="Cafco 300",J1373&gt;=95,J1373&lt;=240,C1373="Cj",I1373=90),VLOOKUP(T1373,'CAFCO 300 IDIEM TABLAS'!$B$4:$D$23,2,FALSE),0)+IF(AND(L1373="Cafco 300",J1373&gt;=95,J1373&lt;=240,C1373="Cj",I1373=120),VLOOKUP(T1373,'CAFCO 300 IDIEM TABLAS'!$B$4:$D$23,3,FALSE),0)+IF(AND(L1373="Cafco 300",J1373&gt;=95,J1373&lt;=400,G1373=3,C1373="IN",I1373=90),VLOOKUP(T1373,'CAFCO 300 IDIEM TABLAS'!$F$4:$H$35,2,FALSE),0)+IF(AND(L1373="Cafco 300",J1373&gt;=95,J1373&lt;=400,G1373=3,C1373="IN",I1373=120),VLOOKUP(T1373,'CAFCO 300 IDIEM TABLAS'!$F$4:$H$35,3,FALSE),0)+IF(AND(L1373="Cafco 300",J1373&gt;=95,J1373&lt;=450,G1373=4,C1373="IN",I1373=90),VLOOKUP(T1373,'CAFCO 300 IDIEM TABLAS'!$J$4:$L$40,2,FALSE),0)+IF(AND(L1373="Cafco 300",J1373&gt;=95,J1373&lt;=450,G1373=4,C1373="IN",I1373=120),VLOOKUP(T1373,'CAFCO 300 IDIEM TABLAS'!$J$4:$L$40,3,FALSE),0)+IF(AND(M1373="Ensayo Idiem",L1373="Cafco 400",C1373="IN",G1373=4,I1373=90),VLOOKUP(T1373,'CAFCO 400 ENSAYO'!$B$7:$D$43,2,FALSE),0)+IF(AND(M1373="Ensayo Idiem",L1373="Cafco 400",C1373="IN",G1373=4,I1373=120),VLOOKUP(T1373,'CAFCO 400 ENSAYO'!$B$7:$D$43,3,FALSE),0)</f>
        <v>0</v>
      </c>
      <c r="O1373" s="96">
        <f t="shared" si="138"/>
        <v>0</v>
      </c>
      <c r="P1373" s="132" t="str">
        <f t="shared" si="133"/>
        <v>N/A</v>
      </c>
      <c r="Q1373" s="132" t="str">
        <f t="shared" si="134"/>
        <v>N/A</v>
      </c>
      <c r="R1373" s="132" t="str">
        <f t="shared" si="135"/>
        <v>NO CERT.</v>
      </c>
      <c r="S1373" s="132" t="e">
        <f t="shared" si="136"/>
        <v>#N/A</v>
      </c>
      <c r="T1373" s="133" t="e">
        <f>+IF(J1373=LOOKUP(J1373,'CAFCO 300 IDIEM TABLAS'!$J$4:$J$40),'CALCULO MORTERO'!J1373,MROUND('CALCULO MORTERO'!J1373,10))</f>
        <v>#N/A</v>
      </c>
      <c r="U1373" s="134">
        <f t="shared" si="137"/>
        <v>0</v>
      </c>
    </row>
    <row r="1374" spans="1:21" x14ac:dyDescent="0.25">
      <c r="A1374" s="118">
        <f>+CUBICACION!D1368</f>
        <v>0</v>
      </c>
      <c r="B1374" s="819">
        <f>+CUBICACION!E1368</f>
        <v>0</v>
      </c>
      <c r="C1374" s="675">
        <f>+CUBICACION!F1368</f>
        <v>0</v>
      </c>
      <c r="D1374" s="118"/>
      <c r="E1374" s="118"/>
      <c r="F1374" s="820"/>
      <c r="G1374" s="675">
        <f>+CUBICACION!J1368</f>
        <v>0</v>
      </c>
      <c r="H1374" s="118"/>
      <c r="I1374" s="821">
        <f>+CUBICACION!L1368</f>
        <v>0</v>
      </c>
      <c r="J1374" s="64">
        <f>+CUBICACION!M1368</f>
        <v>0</v>
      </c>
      <c r="K1374" s="822" t="str">
        <f>+CUBICACION!N1368</f>
        <v/>
      </c>
      <c r="L1374" s="118">
        <f>+CUBICACION!O1368</f>
        <v>0</v>
      </c>
      <c r="M1374" s="823">
        <f>+CUBICACION!P1368</f>
        <v>0</v>
      </c>
      <c r="N1374" s="902">
        <f>ROUND(IF(AND(L1374="Blaze Shield II",M1374="Software Idiem",C1374="IN",G1374=4),((('BLAZE SHIELD II'!$D$4*('CALCULO MORTERO'!I1374^2)+'BLAZE SHIELD II'!$D$5*'CALCULO MORTERO'!I1374+'BLAZE SHIELD II'!$D$6)*LN(J1374))+('BLAZE SHIELD II'!$D$7*('CALCULO MORTERO'!I1374^2)+'BLAZE SHIELD II'!$D$8*'CALCULO MORTERO'!I1374+'BLAZE SHIELD II'!$D$9)),0)+IF(AND(L1374="Blaze Shield II",M1374="Software Idiem",C1374="Cj"),((('BLAZE SHIELD II'!$H$4*('CALCULO MORTERO'!I1374^2)+'BLAZE SHIELD II'!$H$5*'CALCULO MORTERO'!I1374+'BLAZE SHIELD II'!$H$6)*LN(J1374))+('BLAZE SHIELD II'!$H$7*('CALCULO MORTERO'!I1374^2)+'BLAZE SHIELD II'!$H$8*'CALCULO MORTERO'!I1374+'BLAZE SHIELD II'!$H$9)),0)+IF(AND(L1374="Blaze Shield II",M1374="Software Idiem",C1374="C"),((('BLAZE SHIELD II'!$L$4*('CALCULO MORTERO'!I1374^2)+'BLAZE SHIELD II'!$L$5*'CALCULO MORTERO'!I1374+'BLAZE SHIELD II'!$L$6)*LN(J1374))+('BLAZE SHIELD II'!$L$7*('CALCULO MORTERO'!I1374^2)+'BLAZE SHIELD II'!$L$8*'CALCULO MORTERO'!I1374+'BLAZE SHIELD II'!$L$9)),0)+IF(AND(L1374="Blaze Shield II",M1374="Software Idiem",C1374="L"),((('BLAZE SHIELD II'!$L$4*('CALCULO MORTERO'!I1374^2)+'BLAZE SHIELD II'!$L$5*'CALCULO MORTERO'!I1374+'BLAZE SHIELD II'!$L$6)*LN(J1374))+('BLAZE SHIELD II'!$L$7*('CALCULO MORTERO'!I1374^2)+'BLAZE SHIELD II'!$L$8*'CALCULO MORTERO'!I1374+'BLAZE SHIELD II'!$L$9)),0)+IF(AND(L1374="Blaze Shield II",M1374="Software Idiem",C1374="IN",G1374=3),((('BLAZE SHIELD II'!$H$14*('CALCULO MORTERO'!I1374^2)+'BLAZE SHIELD II'!$H$15*'CALCULO MORTERO'!I1374+'BLAZE SHIELD II'!$H$16)*LN(J1374))+('BLAZE SHIELD II'!$H$17*('CALCULO MORTERO'!I1374^2)+'BLAZE SHIELD II'!$H$18*'CALCULO MORTERO'!I1374+'BLAZE SHIELD II'!$H$19)),0),0)+ROUND(IF(AND(L1374="Cafco 400",M1374="Software Idiem",C1374="IN",G1374=4),((('CAFCO 400 '!$H$7*(J1374^4)+'CAFCO 400 '!$H$8*(J1374^3)+'CAFCO 400 '!$H$9*(J1374^2)+'CAFCO 400 '!$H$10*J1374+'CAFCO 400 '!$H$11)*U1374^2)+(('CAFCO 400 '!$H$12*(J1374^3)+'CAFCO 400 '!$H$13*(J1374^2)+'CAFCO 400 '!$H$14*J1374+'CAFCO 400 '!$H$15)*U1374)+('CAFCO 400 '!$H$16*(J1374^2)+'CAFCO 400 '!$H$17*J1374+'CAFCO 400 '!$H$18)),0)+IF(AND(L1374="Cafco 400",M1374="Software Idiem",C1374="Cj"),(((('CAFCO 400 '!$D$7*LN(J1374)+'CAFCO 400 '!$D$8)*U1374^2)+(('CAFCO 400 '!$D$9*LN(J1374)+'CAFCO 400 '!$D$10)*U1374)+('CAFCO 400 '!$D$11*LN(J1374)+'CAFCO 400 '!$D$12))),0)+IF(AND(L1374="Cafco 400",M1374="Software Idiem",C1374="C"),((('CAFCO 400 '!$L$7*(J1374^3)+'CAFCO 400 '!$L$8*(J1374^2)+'CAFCO 400 '!$L$9*J1374+'CAFCO 400 '!$L$10)*U1374^2)+(('CAFCO 400 '!$L$11*(J1374^3)+'CAFCO 400 '!$L$12*(J1374^2)+'CAFCO 400 '!$L$13*J1374+'CAFCO 400 '!$L$14)*U1374)+('CAFCO 400 '!$L$15*LN(J1374)+'CAFCO 400 '!$L$16)),0)+IF(AND(L1374="Cafco 400",M1374="Software Idiem",C1374="L"),((('CAFCO 400 '!$L$7*(J1374^3)+'CAFCO 400 '!$L$8*(J1374^2)+'CAFCO 400 '!$L$9*J1374+'CAFCO 400 '!$L$10)*U1374^2)+(('CAFCO 400 '!$L$11*(J1374^3)+'CAFCO 400 '!$L$12*(J1374^2)+'CAFCO 400 '!$L$13*J1374+'CAFCO 400 '!$L$14)*U1374)+('CAFCO 400 '!$L$15*LN(J1374)+'CAFCO 400 '!$L$16)),0)+IF(AND(L1374="Cafco 400",M1374="Software Idiem",C1374="IN",G1374=3),((('CAFCO 400 '!$D$23*(J1374^2)+'CAFCO 400 '!$D$24*(J1374)+'CAFCO 400 '!$D$25)*U1374^2)+(('CAFCO 400 '!$D$26*(J1374^2)+'CAFCO 400 '!$D$27*J1374+'CAFCO 400 '!$D$28)*U1374)+('CAFCO 400 '!$D$29*(J1374^2)+'CAFCO 400 '!$D$30*J1374+'CAFCO 400 '!$D$31)),0),0)+IF(AND(L1374="Cafco 300",J1374&gt;=95,J1374&lt;=240,C1374="Cj",I1374=90),VLOOKUP(T1374,'CAFCO 300 IDIEM TABLAS'!$B$4:$D$23,2,FALSE),0)+IF(AND(L1374="Cafco 300",J1374&gt;=95,J1374&lt;=240,C1374="Cj",I1374=120),VLOOKUP(T1374,'CAFCO 300 IDIEM TABLAS'!$B$4:$D$23,3,FALSE),0)+IF(AND(L1374="Cafco 300",J1374&gt;=95,J1374&lt;=400,G1374=3,C1374="IN",I1374=90),VLOOKUP(T1374,'CAFCO 300 IDIEM TABLAS'!$F$4:$H$35,2,FALSE),0)+IF(AND(L1374="Cafco 300",J1374&gt;=95,J1374&lt;=400,G1374=3,C1374="IN",I1374=120),VLOOKUP(T1374,'CAFCO 300 IDIEM TABLAS'!$F$4:$H$35,3,FALSE),0)+IF(AND(L1374="Cafco 300",J1374&gt;=95,J1374&lt;=450,G1374=4,C1374="IN",I1374=90),VLOOKUP(T1374,'CAFCO 300 IDIEM TABLAS'!$J$4:$L$40,2,FALSE),0)+IF(AND(L1374="Cafco 300",J1374&gt;=95,J1374&lt;=450,G1374=4,C1374="IN",I1374=120),VLOOKUP(T1374,'CAFCO 300 IDIEM TABLAS'!$J$4:$L$40,3,FALSE),0)+IF(AND(M1374="Ensayo Idiem",L1374="Cafco 400",C1374="IN",G1374=4,I1374=90),VLOOKUP(T1374,'CAFCO 400 ENSAYO'!$B$7:$D$43,2,FALSE),0)+IF(AND(M1374="Ensayo Idiem",L1374="Cafco 400",C1374="IN",G1374=4,I1374=120),VLOOKUP(T1374,'CAFCO 400 ENSAYO'!$B$7:$D$43,3,FALSE),0)</f>
        <v>0</v>
      </c>
      <c r="O1374" s="96">
        <f t="shared" si="138"/>
        <v>0</v>
      </c>
      <c r="P1374" s="95" t="str">
        <f t="shared" si="133"/>
        <v>N/A</v>
      </c>
      <c r="Q1374" s="95" t="str">
        <f t="shared" si="134"/>
        <v>N/A</v>
      </c>
      <c r="R1374" s="95" t="str">
        <f t="shared" si="135"/>
        <v>NO CERT.</v>
      </c>
      <c r="S1374" s="95" t="e">
        <f t="shared" si="136"/>
        <v>#N/A</v>
      </c>
      <c r="T1374" s="119" t="e">
        <f>+IF(J1374=LOOKUP(J1374,'CAFCO 300 IDIEM TABLAS'!$J$4:$J$40),'CALCULO MORTERO'!J1374,MROUND('CALCULO MORTERO'!J1374,10))</f>
        <v>#N/A</v>
      </c>
      <c r="U1374" s="118">
        <f t="shared" si="137"/>
        <v>0</v>
      </c>
    </row>
    <row r="1375" spans="1:21" x14ac:dyDescent="0.25">
      <c r="A1375" s="118">
        <f>+CUBICACION!D1369</f>
        <v>0</v>
      </c>
      <c r="B1375" s="819">
        <f>+CUBICACION!E1369</f>
        <v>0</v>
      </c>
      <c r="C1375" s="675">
        <f>+CUBICACION!F1369</f>
        <v>0</v>
      </c>
      <c r="D1375" s="118"/>
      <c r="E1375" s="118"/>
      <c r="F1375" s="820"/>
      <c r="G1375" s="675">
        <f>+CUBICACION!J1369</f>
        <v>0</v>
      </c>
      <c r="H1375" s="118"/>
      <c r="I1375" s="821">
        <f>+CUBICACION!L1369</f>
        <v>0</v>
      </c>
      <c r="J1375" s="64">
        <f>+CUBICACION!M1369</f>
        <v>0</v>
      </c>
      <c r="K1375" s="822" t="str">
        <f>+CUBICACION!N1369</f>
        <v/>
      </c>
      <c r="L1375" s="118">
        <f>+CUBICACION!O1369</f>
        <v>0</v>
      </c>
      <c r="M1375" s="823">
        <f>+CUBICACION!P1369</f>
        <v>0</v>
      </c>
      <c r="N1375" s="902">
        <f>ROUND(IF(AND(L1375="Blaze Shield II",M1375="Software Idiem",C1375="IN",G1375=4),((('BLAZE SHIELD II'!$D$4*('CALCULO MORTERO'!I1375^2)+'BLAZE SHIELD II'!$D$5*'CALCULO MORTERO'!I1375+'BLAZE SHIELD II'!$D$6)*LN(J1375))+('BLAZE SHIELD II'!$D$7*('CALCULO MORTERO'!I1375^2)+'BLAZE SHIELD II'!$D$8*'CALCULO MORTERO'!I1375+'BLAZE SHIELD II'!$D$9)),0)+IF(AND(L1375="Blaze Shield II",M1375="Software Idiem",C1375="Cj"),((('BLAZE SHIELD II'!$H$4*('CALCULO MORTERO'!I1375^2)+'BLAZE SHIELD II'!$H$5*'CALCULO MORTERO'!I1375+'BLAZE SHIELD II'!$H$6)*LN(J1375))+('BLAZE SHIELD II'!$H$7*('CALCULO MORTERO'!I1375^2)+'BLAZE SHIELD II'!$H$8*'CALCULO MORTERO'!I1375+'BLAZE SHIELD II'!$H$9)),0)+IF(AND(L1375="Blaze Shield II",M1375="Software Idiem",C1375="C"),((('BLAZE SHIELD II'!$L$4*('CALCULO MORTERO'!I1375^2)+'BLAZE SHIELD II'!$L$5*'CALCULO MORTERO'!I1375+'BLAZE SHIELD II'!$L$6)*LN(J1375))+('BLAZE SHIELD II'!$L$7*('CALCULO MORTERO'!I1375^2)+'BLAZE SHIELD II'!$L$8*'CALCULO MORTERO'!I1375+'BLAZE SHIELD II'!$L$9)),0)+IF(AND(L1375="Blaze Shield II",M1375="Software Idiem",C1375="L"),((('BLAZE SHIELD II'!$L$4*('CALCULO MORTERO'!I1375^2)+'BLAZE SHIELD II'!$L$5*'CALCULO MORTERO'!I1375+'BLAZE SHIELD II'!$L$6)*LN(J1375))+('BLAZE SHIELD II'!$L$7*('CALCULO MORTERO'!I1375^2)+'BLAZE SHIELD II'!$L$8*'CALCULO MORTERO'!I1375+'BLAZE SHIELD II'!$L$9)),0)+IF(AND(L1375="Blaze Shield II",M1375="Software Idiem",C1375="IN",G1375=3),((('BLAZE SHIELD II'!$H$14*('CALCULO MORTERO'!I1375^2)+'BLAZE SHIELD II'!$H$15*'CALCULO MORTERO'!I1375+'BLAZE SHIELD II'!$H$16)*LN(J1375))+('BLAZE SHIELD II'!$H$17*('CALCULO MORTERO'!I1375^2)+'BLAZE SHIELD II'!$H$18*'CALCULO MORTERO'!I1375+'BLAZE SHIELD II'!$H$19)),0),0)+ROUND(IF(AND(L1375="Cafco 400",M1375="Software Idiem",C1375="IN",G1375=4),((('CAFCO 400 '!$H$7*(J1375^4)+'CAFCO 400 '!$H$8*(J1375^3)+'CAFCO 400 '!$H$9*(J1375^2)+'CAFCO 400 '!$H$10*J1375+'CAFCO 400 '!$H$11)*U1375^2)+(('CAFCO 400 '!$H$12*(J1375^3)+'CAFCO 400 '!$H$13*(J1375^2)+'CAFCO 400 '!$H$14*J1375+'CAFCO 400 '!$H$15)*U1375)+('CAFCO 400 '!$H$16*(J1375^2)+'CAFCO 400 '!$H$17*J1375+'CAFCO 400 '!$H$18)),0)+IF(AND(L1375="Cafco 400",M1375="Software Idiem",C1375="Cj"),(((('CAFCO 400 '!$D$7*LN(J1375)+'CAFCO 400 '!$D$8)*U1375^2)+(('CAFCO 400 '!$D$9*LN(J1375)+'CAFCO 400 '!$D$10)*U1375)+('CAFCO 400 '!$D$11*LN(J1375)+'CAFCO 400 '!$D$12))),0)+IF(AND(L1375="Cafco 400",M1375="Software Idiem",C1375="C"),((('CAFCO 400 '!$L$7*(J1375^3)+'CAFCO 400 '!$L$8*(J1375^2)+'CAFCO 400 '!$L$9*J1375+'CAFCO 400 '!$L$10)*U1375^2)+(('CAFCO 400 '!$L$11*(J1375^3)+'CAFCO 400 '!$L$12*(J1375^2)+'CAFCO 400 '!$L$13*J1375+'CAFCO 400 '!$L$14)*U1375)+('CAFCO 400 '!$L$15*LN(J1375)+'CAFCO 400 '!$L$16)),0)+IF(AND(L1375="Cafco 400",M1375="Software Idiem",C1375="L"),((('CAFCO 400 '!$L$7*(J1375^3)+'CAFCO 400 '!$L$8*(J1375^2)+'CAFCO 400 '!$L$9*J1375+'CAFCO 400 '!$L$10)*U1375^2)+(('CAFCO 400 '!$L$11*(J1375^3)+'CAFCO 400 '!$L$12*(J1375^2)+'CAFCO 400 '!$L$13*J1375+'CAFCO 400 '!$L$14)*U1375)+('CAFCO 400 '!$L$15*LN(J1375)+'CAFCO 400 '!$L$16)),0)+IF(AND(L1375="Cafco 400",M1375="Software Idiem",C1375="IN",G1375=3),((('CAFCO 400 '!$D$23*(J1375^2)+'CAFCO 400 '!$D$24*(J1375)+'CAFCO 400 '!$D$25)*U1375^2)+(('CAFCO 400 '!$D$26*(J1375^2)+'CAFCO 400 '!$D$27*J1375+'CAFCO 400 '!$D$28)*U1375)+('CAFCO 400 '!$D$29*(J1375^2)+'CAFCO 400 '!$D$30*J1375+'CAFCO 400 '!$D$31)),0),0)+IF(AND(L1375="Cafco 300",J1375&gt;=95,J1375&lt;=240,C1375="Cj",I1375=90),VLOOKUP(T1375,'CAFCO 300 IDIEM TABLAS'!$B$4:$D$23,2,FALSE),0)+IF(AND(L1375="Cafco 300",J1375&gt;=95,J1375&lt;=240,C1375="Cj",I1375=120),VLOOKUP(T1375,'CAFCO 300 IDIEM TABLAS'!$B$4:$D$23,3,FALSE),0)+IF(AND(L1375="Cafco 300",J1375&gt;=95,J1375&lt;=400,G1375=3,C1375="IN",I1375=90),VLOOKUP(T1375,'CAFCO 300 IDIEM TABLAS'!$F$4:$H$35,2,FALSE),0)+IF(AND(L1375="Cafco 300",J1375&gt;=95,J1375&lt;=400,G1375=3,C1375="IN",I1375=120),VLOOKUP(T1375,'CAFCO 300 IDIEM TABLAS'!$F$4:$H$35,3,FALSE),0)+IF(AND(L1375="Cafco 300",J1375&gt;=95,J1375&lt;=450,G1375=4,C1375="IN",I1375=90),VLOOKUP(T1375,'CAFCO 300 IDIEM TABLAS'!$J$4:$L$40,2,FALSE),0)+IF(AND(L1375="Cafco 300",J1375&gt;=95,J1375&lt;=450,G1375=4,C1375="IN",I1375=120),VLOOKUP(T1375,'CAFCO 300 IDIEM TABLAS'!$J$4:$L$40,3,FALSE),0)+IF(AND(M1375="Ensayo Idiem",L1375="Cafco 400",C1375="IN",G1375=4,I1375=90),VLOOKUP(T1375,'CAFCO 400 ENSAYO'!$B$7:$D$43,2,FALSE),0)+IF(AND(M1375="Ensayo Idiem",L1375="Cafco 400",C1375="IN",G1375=4,I1375=120),VLOOKUP(T1375,'CAFCO 400 ENSAYO'!$B$7:$D$43,3,FALSE),0)</f>
        <v>0</v>
      </c>
      <c r="O1375" s="96">
        <f t="shared" si="138"/>
        <v>0</v>
      </c>
      <c r="P1375" s="132" t="str">
        <f t="shared" si="133"/>
        <v>N/A</v>
      </c>
      <c r="Q1375" s="132" t="str">
        <f t="shared" si="134"/>
        <v>N/A</v>
      </c>
      <c r="R1375" s="132" t="str">
        <f t="shared" si="135"/>
        <v>NO CERT.</v>
      </c>
      <c r="S1375" s="132" t="e">
        <f t="shared" si="136"/>
        <v>#N/A</v>
      </c>
      <c r="T1375" s="133" t="e">
        <f>+IF(J1375=LOOKUP(J1375,'CAFCO 300 IDIEM TABLAS'!$J$4:$J$40),'CALCULO MORTERO'!J1375,MROUND('CALCULO MORTERO'!J1375,10))</f>
        <v>#N/A</v>
      </c>
      <c r="U1375" s="134">
        <f t="shared" si="137"/>
        <v>0</v>
      </c>
    </row>
    <row r="1376" spans="1:21" x14ac:dyDescent="0.25">
      <c r="A1376" s="118">
        <f>+CUBICACION!D1370</f>
        <v>0</v>
      </c>
      <c r="B1376" s="819">
        <f>+CUBICACION!E1370</f>
        <v>0</v>
      </c>
      <c r="C1376" s="675">
        <f>+CUBICACION!F1370</f>
        <v>0</v>
      </c>
      <c r="D1376" s="118"/>
      <c r="E1376" s="118"/>
      <c r="F1376" s="820"/>
      <c r="G1376" s="675">
        <f>+CUBICACION!J1370</f>
        <v>0</v>
      </c>
      <c r="H1376" s="118"/>
      <c r="I1376" s="821">
        <f>+CUBICACION!L1370</f>
        <v>0</v>
      </c>
      <c r="J1376" s="64">
        <f>+CUBICACION!M1370</f>
        <v>0</v>
      </c>
      <c r="K1376" s="822" t="str">
        <f>+CUBICACION!N1370</f>
        <v/>
      </c>
      <c r="L1376" s="118">
        <f>+CUBICACION!O1370</f>
        <v>0</v>
      </c>
      <c r="M1376" s="823">
        <f>+CUBICACION!P1370</f>
        <v>0</v>
      </c>
      <c r="N1376" s="902">
        <f>ROUND(IF(AND(L1376="Blaze Shield II",M1376="Software Idiem",C1376="IN",G1376=4),((('BLAZE SHIELD II'!$D$4*('CALCULO MORTERO'!I1376^2)+'BLAZE SHIELD II'!$D$5*'CALCULO MORTERO'!I1376+'BLAZE SHIELD II'!$D$6)*LN(J1376))+('BLAZE SHIELD II'!$D$7*('CALCULO MORTERO'!I1376^2)+'BLAZE SHIELD II'!$D$8*'CALCULO MORTERO'!I1376+'BLAZE SHIELD II'!$D$9)),0)+IF(AND(L1376="Blaze Shield II",M1376="Software Idiem",C1376="Cj"),((('BLAZE SHIELD II'!$H$4*('CALCULO MORTERO'!I1376^2)+'BLAZE SHIELD II'!$H$5*'CALCULO MORTERO'!I1376+'BLAZE SHIELD II'!$H$6)*LN(J1376))+('BLAZE SHIELD II'!$H$7*('CALCULO MORTERO'!I1376^2)+'BLAZE SHIELD II'!$H$8*'CALCULO MORTERO'!I1376+'BLAZE SHIELD II'!$H$9)),0)+IF(AND(L1376="Blaze Shield II",M1376="Software Idiem",C1376="C"),((('BLAZE SHIELD II'!$L$4*('CALCULO MORTERO'!I1376^2)+'BLAZE SHIELD II'!$L$5*'CALCULO MORTERO'!I1376+'BLAZE SHIELD II'!$L$6)*LN(J1376))+('BLAZE SHIELD II'!$L$7*('CALCULO MORTERO'!I1376^2)+'BLAZE SHIELD II'!$L$8*'CALCULO MORTERO'!I1376+'BLAZE SHIELD II'!$L$9)),0)+IF(AND(L1376="Blaze Shield II",M1376="Software Idiem",C1376="L"),((('BLAZE SHIELD II'!$L$4*('CALCULO MORTERO'!I1376^2)+'BLAZE SHIELD II'!$L$5*'CALCULO MORTERO'!I1376+'BLAZE SHIELD II'!$L$6)*LN(J1376))+('BLAZE SHIELD II'!$L$7*('CALCULO MORTERO'!I1376^2)+'BLAZE SHIELD II'!$L$8*'CALCULO MORTERO'!I1376+'BLAZE SHIELD II'!$L$9)),0)+IF(AND(L1376="Blaze Shield II",M1376="Software Idiem",C1376="IN",G1376=3),((('BLAZE SHIELD II'!$H$14*('CALCULO MORTERO'!I1376^2)+'BLAZE SHIELD II'!$H$15*'CALCULO MORTERO'!I1376+'BLAZE SHIELD II'!$H$16)*LN(J1376))+('BLAZE SHIELD II'!$H$17*('CALCULO MORTERO'!I1376^2)+'BLAZE SHIELD II'!$H$18*'CALCULO MORTERO'!I1376+'BLAZE SHIELD II'!$H$19)),0),0)+ROUND(IF(AND(L1376="Cafco 400",M1376="Software Idiem",C1376="IN",G1376=4),((('CAFCO 400 '!$H$7*(J1376^4)+'CAFCO 400 '!$H$8*(J1376^3)+'CAFCO 400 '!$H$9*(J1376^2)+'CAFCO 400 '!$H$10*J1376+'CAFCO 400 '!$H$11)*U1376^2)+(('CAFCO 400 '!$H$12*(J1376^3)+'CAFCO 400 '!$H$13*(J1376^2)+'CAFCO 400 '!$H$14*J1376+'CAFCO 400 '!$H$15)*U1376)+('CAFCO 400 '!$H$16*(J1376^2)+'CAFCO 400 '!$H$17*J1376+'CAFCO 400 '!$H$18)),0)+IF(AND(L1376="Cafco 400",M1376="Software Idiem",C1376="Cj"),(((('CAFCO 400 '!$D$7*LN(J1376)+'CAFCO 400 '!$D$8)*U1376^2)+(('CAFCO 400 '!$D$9*LN(J1376)+'CAFCO 400 '!$D$10)*U1376)+('CAFCO 400 '!$D$11*LN(J1376)+'CAFCO 400 '!$D$12))),0)+IF(AND(L1376="Cafco 400",M1376="Software Idiem",C1376="C"),((('CAFCO 400 '!$L$7*(J1376^3)+'CAFCO 400 '!$L$8*(J1376^2)+'CAFCO 400 '!$L$9*J1376+'CAFCO 400 '!$L$10)*U1376^2)+(('CAFCO 400 '!$L$11*(J1376^3)+'CAFCO 400 '!$L$12*(J1376^2)+'CAFCO 400 '!$L$13*J1376+'CAFCO 400 '!$L$14)*U1376)+('CAFCO 400 '!$L$15*LN(J1376)+'CAFCO 400 '!$L$16)),0)+IF(AND(L1376="Cafco 400",M1376="Software Idiem",C1376="L"),((('CAFCO 400 '!$L$7*(J1376^3)+'CAFCO 400 '!$L$8*(J1376^2)+'CAFCO 400 '!$L$9*J1376+'CAFCO 400 '!$L$10)*U1376^2)+(('CAFCO 400 '!$L$11*(J1376^3)+'CAFCO 400 '!$L$12*(J1376^2)+'CAFCO 400 '!$L$13*J1376+'CAFCO 400 '!$L$14)*U1376)+('CAFCO 400 '!$L$15*LN(J1376)+'CAFCO 400 '!$L$16)),0)+IF(AND(L1376="Cafco 400",M1376="Software Idiem",C1376="IN",G1376=3),((('CAFCO 400 '!$D$23*(J1376^2)+'CAFCO 400 '!$D$24*(J1376)+'CAFCO 400 '!$D$25)*U1376^2)+(('CAFCO 400 '!$D$26*(J1376^2)+'CAFCO 400 '!$D$27*J1376+'CAFCO 400 '!$D$28)*U1376)+('CAFCO 400 '!$D$29*(J1376^2)+'CAFCO 400 '!$D$30*J1376+'CAFCO 400 '!$D$31)),0),0)+IF(AND(L1376="Cafco 300",J1376&gt;=95,J1376&lt;=240,C1376="Cj",I1376=90),VLOOKUP(T1376,'CAFCO 300 IDIEM TABLAS'!$B$4:$D$23,2,FALSE),0)+IF(AND(L1376="Cafco 300",J1376&gt;=95,J1376&lt;=240,C1376="Cj",I1376=120),VLOOKUP(T1376,'CAFCO 300 IDIEM TABLAS'!$B$4:$D$23,3,FALSE),0)+IF(AND(L1376="Cafco 300",J1376&gt;=95,J1376&lt;=400,G1376=3,C1376="IN",I1376=90),VLOOKUP(T1376,'CAFCO 300 IDIEM TABLAS'!$F$4:$H$35,2,FALSE),0)+IF(AND(L1376="Cafco 300",J1376&gt;=95,J1376&lt;=400,G1376=3,C1376="IN",I1376=120),VLOOKUP(T1376,'CAFCO 300 IDIEM TABLAS'!$F$4:$H$35,3,FALSE),0)+IF(AND(L1376="Cafco 300",J1376&gt;=95,J1376&lt;=450,G1376=4,C1376="IN",I1376=90),VLOOKUP(T1376,'CAFCO 300 IDIEM TABLAS'!$J$4:$L$40,2,FALSE),0)+IF(AND(L1376="Cafco 300",J1376&gt;=95,J1376&lt;=450,G1376=4,C1376="IN",I1376=120),VLOOKUP(T1376,'CAFCO 300 IDIEM TABLAS'!$J$4:$L$40,3,FALSE),0)+IF(AND(M1376="Ensayo Idiem",L1376="Cafco 400",C1376="IN",G1376=4,I1376=90),VLOOKUP(T1376,'CAFCO 400 ENSAYO'!$B$7:$D$43,2,FALSE),0)+IF(AND(M1376="Ensayo Idiem",L1376="Cafco 400",C1376="IN",G1376=4,I1376=120),VLOOKUP(T1376,'CAFCO 400 ENSAYO'!$B$7:$D$43,3,FALSE),0)</f>
        <v>0</v>
      </c>
      <c r="O1376" s="96">
        <f t="shared" si="138"/>
        <v>0</v>
      </c>
      <c r="P1376" s="95" t="str">
        <f t="shared" si="133"/>
        <v>N/A</v>
      </c>
      <c r="Q1376" s="95" t="str">
        <f t="shared" si="134"/>
        <v>N/A</v>
      </c>
      <c r="R1376" s="95" t="str">
        <f t="shared" si="135"/>
        <v>NO CERT.</v>
      </c>
      <c r="S1376" s="95" t="e">
        <f t="shared" si="136"/>
        <v>#N/A</v>
      </c>
      <c r="T1376" s="119" t="e">
        <f>+IF(J1376=LOOKUP(J1376,'CAFCO 300 IDIEM TABLAS'!$J$4:$J$40),'CALCULO MORTERO'!J1376,MROUND('CALCULO MORTERO'!J1376,10))</f>
        <v>#N/A</v>
      </c>
      <c r="U1376" s="118">
        <f t="shared" si="137"/>
        <v>0</v>
      </c>
    </row>
    <row r="1377" spans="1:21" x14ac:dyDescent="0.25">
      <c r="A1377" s="118">
        <f>+CUBICACION!D1371</f>
        <v>0</v>
      </c>
      <c r="B1377" s="819">
        <f>+CUBICACION!E1371</f>
        <v>0</v>
      </c>
      <c r="C1377" s="675">
        <f>+CUBICACION!F1371</f>
        <v>0</v>
      </c>
      <c r="D1377" s="118"/>
      <c r="E1377" s="118"/>
      <c r="F1377" s="820"/>
      <c r="G1377" s="675">
        <f>+CUBICACION!J1371</f>
        <v>0</v>
      </c>
      <c r="H1377" s="118"/>
      <c r="I1377" s="821">
        <f>+CUBICACION!L1371</f>
        <v>0</v>
      </c>
      <c r="J1377" s="64">
        <f>+CUBICACION!M1371</f>
        <v>0</v>
      </c>
      <c r="K1377" s="822" t="str">
        <f>+CUBICACION!N1371</f>
        <v/>
      </c>
      <c r="L1377" s="118">
        <f>+CUBICACION!O1371</f>
        <v>0</v>
      </c>
      <c r="M1377" s="823">
        <f>+CUBICACION!P1371</f>
        <v>0</v>
      </c>
      <c r="N1377" s="902">
        <f>ROUND(IF(AND(L1377="Blaze Shield II",M1377="Software Idiem",C1377="IN",G1377=4),((('BLAZE SHIELD II'!$D$4*('CALCULO MORTERO'!I1377^2)+'BLAZE SHIELD II'!$D$5*'CALCULO MORTERO'!I1377+'BLAZE SHIELD II'!$D$6)*LN(J1377))+('BLAZE SHIELD II'!$D$7*('CALCULO MORTERO'!I1377^2)+'BLAZE SHIELD II'!$D$8*'CALCULO MORTERO'!I1377+'BLAZE SHIELD II'!$D$9)),0)+IF(AND(L1377="Blaze Shield II",M1377="Software Idiem",C1377="Cj"),((('BLAZE SHIELD II'!$H$4*('CALCULO MORTERO'!I1377^2)+'BLAZE SHIELD II'!$H$5*'CALCULO MORTERO'!I1377+'BLAZE SHIELD II'!$H$6)*LN(J1377))+('BLAZE SHIELD II'!$H$7*('CALCULO MORTERO'!I1377^2)+'BLAZE SHIELD II'!$H$8*'CALCULO MORTERO'!I1377+'BLAZE SHIELD II'!$H$9)),0)+IF(AND(L1377="Blaze Shield II",M1377="Software Idiem",C1377="C"),((('BLAZE SHIELD II'!$L$4*('CALCULO MORTERO'!I1377^2)+'BLAZE SHIELD II'!$L$5*'CALCULO MORTERO'!I1377+'BLAZE SHIELD II'!$L$6)*LN(J1377))+('BLAZE SHIELD II'!$L$7*('CALCULO MORTERO'!I1377^2)+'BLAZE SHIELD II'!$L$8*'CALCULO MORTERO'!I1377+'BLAZE SHIELD II'!$L$9)),0)+IF(AND(L1377="Blaze Shield II",M1377="Software Idiem",C1377="L"),((('BLAZE SHIELD II'!$L$4*('CALCULO MORTERO'!I1377^2)+'BLAZE SHIELD II'!$L$5*'CALCULO MORTERO'!I1377+'BLAZE SHIELD II'!$L$6)*LN(J1377))+('BLAZE SHIELD II'!$L$7*('CALCULO MORTERO'!I1377^2)+'BLAZE SHIELD II'!$L$8*'CALCULO MORTERO'!I1377+'BLAZE SHIELD II'!$L$9)),0)+IF(AND(L1377="Blaze Shield II",M1377="Software Idiem",C1377="IN",G1377=3),((('BLAZE SHIELD II'!$H$14*('CALCULO MORTERO'!I1377^2)+'BLAZE SHIELD II'!$H$15*'CALCULO MORTERO'!I1377+'BLAZE SHIELD II'!$H$16)*LN(J1377))+('BLAZE SHIELD II'!$H$17*('CALCULO MORTERO'!I1377^2)+'BLAZE SHIELD II'!$H$18*'CALCULO MORTERO'!I1377+'BLAZE SHIELD II'!$H$19)),0),0)+ROUND(IF(AND(L1377="Cafco 400",M1377="Software Idiem",C1377="IN",G1377=4),((('CAFCO 400 '!$H$7*(J1377^4)+'CAFCO 400 '!$H$8*(J1377^3)+'CAFCO 400 '!$H$9*(J1377^2)+'CAFCO 400 '!$H$10*J1377+'CAFCO 400 '!$H$11)*U1377^2)+(('CAFCO 400 '!$H$12*(J1377^3)+'CAFCO 400 '!$H$13*(J1377^2)+'CAFCO 400 '!$H$14*J1377+'CAFCO 400 '!$H$15)*U1377)+('CAFCO 400 '!$H$16*(J1377^2)+'CAFCO 400 '!$H$17*J1377+'CAFCO 400 '!$H$18)),0)+IF(AND(L1377="Cafco 400",M1377="Software Idiem",C1377="Cj"),(((('CAFCO 400 '!$D$7*LN(J1377)+'CAFCO 400 '!$D$8)*U1377^2)+(('CAFCO 400 '!$D$9*LN(J1377)+'CAFCO 400 '!$D$10)*U1377)+('CAFCO 400 '!$D$11*LN(J1377)+'CAFCO 400 '!$D$12))),0)+IF(AND(L1377="Cafco 400",M1377="Software Idiem",C1377="C"),((('CAFCO 400 '!$L$7*(J1377^3)+'CAFCO 400 '!$L$8*(J1377^2)+'CAFCO 400 '!$L$9*J1377+'CAFCO 400 '!$L$10)*U1377^2)+(('CAFCO 400 '!$L$11*(J1377^3)+'CAFCO 400 '!$L$12*(J1377^2)+'CAFCO 400 '!$L$13*J1377+'CAFCO 400 '!$L$14)*U1377)+('CAFCO 400 '!$L$15*LN(J1377)+'CAFCO 400 '!$L$16)),0)+IF(AND(L1377="Cafco 400",M1377="Software Idiem",C1377="L"),((('CAFCO 400 '!$L$7*(J1377^3)+'CAFCO 400 '!$L$8*(J1377^2)+'CAFCO 400 '!$L$9*J1377+'CAFCO 400 '!$L$10)*U1377^2)+(('CAFCO 400 '!$L$11*(J1377^3)+'CAFCO 400 '!$L$12*(J1377^2)+'CAFCO 400 '!$L$13*J1377+'CAFCO 400 '!$L$14)*U1377)+('CAFCO 400 '!$L$15*LN(J1377)+'CAFCO 400 '!$L$16)),0)+IF(AND(L1377="Cafco 400",M1377="Software Idiem",C1377="IN",G1377=3),((('CAFCO 400 '!$D$23*(J1377^2)+'CAFCO 400 '!$D$24*(J1377)+'CAFCO 400 '!$D$25)*U1377^2)+(('CAFCO 400 '!$D$26*(J1377^2)+'CAFCO 400 '!$D$27*J1377+'CAFCO 400 '!$D$28)*U1377)+('CAFCO 400 '!$D$29*(J1377^2)+'CAFCO 400 '!$D$30*J1377+'CAFCO 400 '!$D$31)),0),0)+IF(AND(L1377="Cafco 300",J1377&gt;=95,J1377&lt;=240,C1377="Cj",I1377=90),VLOOKUP(T1377,'CAFCO 300 IDIEM TABLAS'!$B$4:$D$23,2,FALSE),0)+IF(AND(L1377="Cafco 300",J1377&gt;=95,J1377&lt;=240,C1377="Cj",I1377=120),VLOOKUP(T1377,'CAFCO 300 IDIEM TABLAS'!$B$4:$D$23,3,FALSE),0)+IF(AND(L1377="Cafco 300",J1377&gt;=95,J1377&lt;=400,G1377=3,C1377="IN",I1377=90),VLOOKUP(T1377,'CAFCO 300 IDIEM TABLAS'!$F$4:$H$35,2,FALSE),0)+IF(AND(L1377="Cafco 300",J1377&gt;=95,J1377&lt;=400,G1377=3,C1377="IN",I1377=120),VLOOKUP(T1377,'CAFCO 300 IDIEM TABLAS'!$F$4:$H$35,3,FALSE),0)+IF(AND(L1377="Cafco 300",J1377&gt;=95,J1377&lt;=450,G1377=4,C1377="IN",I1377=90),VLOOKUP(T1377,'CAFCO 300 IDIEM TABLAS'!$J$4:$L$40,2,FALSE),0)+IF(AND(L1377="Cafco 300",J1377&gt;=95,J1377&lt;=450,G1377=4,C1377="IN",I1377=120),VLOOKUP(T1377,'CAFCO 300 IDIEM TABLAS'!$J$4:$L$40,3,FALSE),0)+IF(AND(M1377="Ensayo Idiem",L1377="Cafco 400",C1377="IN",G1377=4,I1377=90),VLOOKUP(T1377,'CAFCO 400 ENSAYO'!$B$7:$D$43,2,FALSE),0)+IF(AND(M1377="Ensayo Idiem",L1377="Cafco 400",C1377="IN",G1377=4,I1377=120),VLOOKUP(T1377,'CAFCO 400 ENSAYO'!$B$7:$D$43,3,FALSE),0)</f>
        <v>0</v>
      </c>
      <c r="O1377" s="96">
        <f t="shared" si="138"/>
        <v>0</v>
      </c>
      <c r="P1377" s="132" t="str">
        <f t="shared" si="133"/>
        <v>N/A</v>
      </c>
      <c r="Q1377" s="132" t="str">
        <f t="shared" si="134"/>
        <v>N/A</v>
      </c>
      <c r="R1377" s="132" t="str">
        <f t="shared" si="135"/>
        <v>NO CERT.</v>
      </c>
      <c r="S1377" s="132" t="e">
        <f t="shared" si="136"/>
        <v>#N/A</v>
      </c>
      <c r="T1377" s="133" t="e">
        <f>+IF(J1377=LOOKUP(J1377,'CAFCO 300 IDIEM TABLAS'!$J$4:$J$40),'CALCULO MORTERO'!J1377,MROUND('CALCULO MORTERO'!J1377,10))</f>
        <v>#N/A</v>
      </c>
      <c r="U1377" s="134">
        <f t="shared" si="137"/>
        <v>0</v>
      </c>
    </row>
    <row r="1378" spans="1:21" x14ac:dyDescent="0.25">
      <c r="A1378" s="118">
        <f>+CUBICACION!D1372</f>
        <v>0</v>
      </c>
      <c r="B1378" s="819">
        <f>+CUBICACION!E1372</f>
        <v>0</v>
      </c>
      <c r="C1378" s="675">
        <f>+CUBICACION!F1372</f>
        <v>0</v>
      </c>
      <c r="D1378" s="118"/>
      <c r="E1378" s="118"/>
      <c r="F1378" s="820"/>
      <c r="G1378" s="675">
        <f>+CUBICACION!J1372</f>
        <v>0</v>
      </c>
      <c r="H1378" s="118"/>
      <c r="I1378" s="821">
        <f>+CUBICACION!L1372</f>
        <v>0</v>
      </c>
      <c r="J1378" s="64">
        <f>+CUBICACION!M1372</f>
        <v>0</v>
      </c>
      <c r="K1378" s="822" t="str">
        <f>+CUBICACION!N1372</f>
        <v/>
      </c>
      <c r="L1378" s="118">
        <f>+CUBICACION!O1372</f>
        <v>0</v>
      </c>
      <c r="M1378" s="823">
        <f>+CUBICACION!P1372</f>
        <v>0</v>
      </c>
      <c r="N1378" s="902">
        <f>ROUND(IF(AND(L1378="Blaze Shield II",M1378="Software Idiem",C1378="IN",G1378=4),((('BLAZE SHIELD II'!$D$4*('CALCULO MORTERO'!I1378^2)+'BLAZE SHIELD II'!$D$5*'CALCULO MORTERO'!I1378+'BLAZE SHIELD II'!$D$6)*LN(J1378))+('BLAZE SHIELD II'!$D$7*('CALCULO MORTERO'!I1378^2)+'BLAZE SHIELD II'!$D$8*'CALCULO MORTERO'!I1378+'BLAZE SHIELD II'!$D$9)),0)+IF(AND(L1378="Blaze Shield II",M1378="Software Idiem",C1378="Cj"),((('BLAZE SHIELD II'!$H$4*('CALCULO MORTERO'!I1378^2)+'BLAZE SHIELD II'!$H$5*'CALCULO MORTERO'!I1378+'BLAZE SHIELD II'!$H$6)*LN(J1378))+('BLAZE SHIELD II'!$H$7*('CALCULO MORTERO'!I1378^2)+'BLAZE SHIELD II'!$H$8*'CALCULO MORTERO'!I1378+'BLAZE SHIELD II'!$H$9)),0)+IF(AND(L1378="Blaze Shield II",M1378="Software Idiem",C1378="C"),((('BLAZE SHIELD II'!$L$4*('CALCULO MORTERO'!I1378^2)+'BLAZE SHIELD II'!$L$5*'CALCULO MORTERO'!I1378+'BLAZE SHIELD II'!$L$6)*LN(J1378))+('BLAZE SHIELD II'!$L$7*('CALCULO MORTERO'!I1378^2)+'BLAZE SHIELD II'!$L$8*'CALCULO MORTERO'!I1378+'BLAZE SHIELD II'!$L$9)),0)+IF(AND(L1378="Blaze Shield II",M1378="Software Idiem",C1378="L"),((('BLAZE SHIELD II'!$L$4*('CALCULO MORTERO'!I1378^2)+'BLAZE SHIELD II'!$L$5*'CALCULO MORTERO'!I1378+'BLAZE SHIELD II'!$L$6)*LN(J1378))+('BLAZE SHIELD II'!$L$7*('CALCULO MORTERO'!I1378^2)+'BLAZE SHIELD II'!$L$8*'CALCULO MORTERO'!I1378+'BLAZE SHIELD II'!$L$9)),0)+IF(AND(L1378="Blaze Shield II",M1378="Software Idiem",C1378="IN",G1378=3),((('BLAZE SHIELD II'!$H$14*('CALCULO MORTERO'!I1378^2)+'BLAZE SHIELD II'!$H$15*'CALCULO MORTERO'!I1378+'BLAZE SHIELD II'!$H$16)*LN(J1378))+('BLAZE SHIELD II'!$H$17*('CALCULO MORTERO'!I1378^2)+'BLAZE SHIELD II'!$H$18*'CALCULO MORTERO'!I1378+'BLAZE SHIELD II'!$H$19)),0),0)+ROUND(IF(AND(L1378="Cafco 400",M1378="Software Idiem",C1378="IN",G1378=4),((('CAFCO 400 '!$H$7*(J1378^4)+'CAFCO 400 '!$H$8*(J1378^3)+'CAFCO 400 '!$H$9*(J1378^2)+'CAFCO 400 '!$H$10*J1378+'CAFCO 400 '!$H$11)*U1378^2)+(('CAFCO 400 '!$H$12*(J1378^3)+'CAFCO 400 '!$H$13*(J1378^2)+'CAFCO 400 '!$H$14*J1378+'CAFCO 400 '!$H$15)*U1378)+('CAFCO 400 '!$H$16*(J1378^2)+'CAFCO 400 '!$H$17*J1378+'CAFCO 400 '!$H$18)),0)+IF(AND(L1378="Cafco 400",M1378="Software Idiem",C1378="Cj"),(((('CAFCO 400 '!$D$7*LN(J1378)+'CAFCO 400 '!$D$8)*U1378^2)+(('CAFCO 400 '!$D$9*LN(J1378)+'CAFCO 400 '!$D$10)*U1378)+('CAFCO 400 '!$D$11*LN(J1378)+'CAFCO 400 '!$D$12))),0)+IF(AND(L1378="Cafco 400",M1378="Software Idiem",C1378="C"),((('CAFCO 400 '!$L$7*(J1378^3)+'CAFCO 400 '!$L$8*(J1378^2)+'CAFCO 400 '!$L$9*J1378+'CAFCO 400 '!$L$10)*U1378^2)+(('CAFCO 400 '!$L$11*(J1378^3)+'CAFCO 400 '!$L$12*(J1378^2)+'CAFCO 400 '!$L$13*J1378+'CAFCO 400 '!$L$14)*U1378)+('CAFCO 400 '!$L$15*LN(J1378)+'CAFCO 400 '!$L$16)),0)+IF(AND(L1378="Cafco 400",M1378="Software Idiem",C1378="L"),((('CAFCO 400 '!$L$7*(J1378^3)+'CAFCO 400 '!$L$8*(J1378^2)+'CAFCO 400 '!$L$9*J1378+'CAFCO 400 '!$L$10)*U1378^2)+(('CAFCO 400 '!$L$11*(J1378^3)+'CAFCO 400 '!$L$12*(J1378^2)+'CAFCO 400 '!$L$13*J1378+'CAFCO 400 '!$L$14)*U1378)+('CAFCO 400 '!$L$15*LN(J1378)+'CAFCO 400 '!$L$16)),0)+IF(AND(L1378="Cafco 400",M1378="Software Idiem",C1378="IN",G1378=3),((('CAFCO 400 '!$D$23*(J1378^2)+'CAFCO 400 '!$D$24*(J1378)+'CAFCO 400 '!$D$25)*U1378^2)+(('CAFCO 400 '!$D$26*(J1378^2)+'CAFCO 400 '!$D$27*J1378+'CAFCO 400 '!$D$28)*U1378)+('CAFCO 400 '!$D$29*(J1378^2)+'CAFCO 400 '!$D$30*J1378+'CAFCO 400 '!$D$31)),0),0)+IF(AND(L1378="Cafco 300",J1378&gt;=95,J1378&lt;=240,C1378="Cj",I1378=90),VLOOKUP(T1378,'CAFCO 300 IDIEM TABLAS'!$B$4:$D$23,2,FALSE),0)+IF(AND(L1378="Cafco 300",J1378&gt;=95,J1378&lt;=240,C1378="Cj",I1378=120),VLOOKUP(T1378,'CAFCO 300 IDIEM TABLAS'!$B$4:$D$23,3,FALSE),0)+IF(AND(L1378="Cafco 300",J1378&gt;=95,J1378&lt;=400,G1378=3,C1378="IN",I1378=90),VLOOKUP(T1378,'CAFCO 300 IDIEM TABLAS'!$F$4:$H$35,2,FALSE),0)+IF(AND(L1378="Cafco 300",J1378&gt;=95,J1378&lt;=400,G1378=3,C1378="IN",I1378=120),VLOOKUP(T1378,'CAFCO 300 IDIEM TABLAS'!$F$4:$H$35,3,FALSE),0)+IF(AND(L1378="Cafco 300",J1378&gt;=95,J1378&lt;=450,G1378=4,C1378="IN",I1378=90),VLOOKUP(T1378,'CAFCO 300 IDIEM TABLAS'!$J$4:$L$40,2,FALSE),0)+IF(AND(L1378="Cafco 300",J1378&gt;=95,J1378&lt;=450,G1378=4,C1378="IN",I1378=120),VLOOKUP(T1378,'CAFCO 300 IDIEM TABLAS'!$J$4:$L$40,3,FALSE),0)+IF(AND(M1378="Ensayo Idiem",L1378="Cafco 400",C1378="IN",G1378=4,I1378=90),VLOOKUP(T1378,'CAFCO 400 ENSAYO'!$B$7:$D$43,2,FALSE),0)+IF(AND(M1378="Ensayo Idiem",L1378="Cafco 400",C1378="IN",G1378=4,I1378=120),VLOOKUP(T1378,'CAFCO 400 ENSAYO'!$B$7:$D$43,3,FALSE),0)</f>
        <v>0</v>
      </c>
      <c r="O1378" s="96">
        <f t="shared" si="138"/>
        <v>0</v>
      </c>
      <c r="P1378" s="95" t="str">
        <f t="shared" si="133"/>
        <v>N/A</v>
      </c>
      <c r="Q1378" s="95" t="str">
        <f t="shared" si="134"/>
        <v>N/A</v>
      </c>
      <c r="R1378" s="95" t="str">
        <f t="shared" si="135"/>
        <v>NO CERT.</v>
      </c>
      <c r="S1378" s="95" t="e">
        <f t="shared" si="136"/>
        <v>#N/A</v>
      </c>
      <c r="T1378" s="119" t="e">
        <f>+IF(J1378=LOOKUP(J1378,'CAFCO 300 IDIEM TABLAS'!$J$4:$J$40),'CALCULO MORTERO'!J1378,MROUND('CALCULO MORTERO'!J1378,10))</f>
        <v>#N/A</v>
      </c>
      <c r="U1378" s="118">
        <f t="shared" si="137"/>
        <v>0</v>
      </c>
    </row>
    <row r="1379" spans="1:21" x14ac:dyDescent="0.25">
      <c r="A1379" s="118">
        <f>+CUBICACION!D1373</f>
        <v>0</v>
      </c>
      <c r="B1379" s="819">
        <f>+CUBICACION!E1373</f>
        <v>0</v>
      </c>
      <c r="C1379" s="675">
        <f>+CUBICACION!F1373</f>
        <v>0</v>
      </c>
      <c r="D1379" s="118"/>
      <c r="E1379" s="118"/>
      <c r="F1379" s="820"/>
      <c r="G1379" s="675">
        <f>+CUBICACION!J1373</f>
        <v>0</v>
      </c>
      <c r="H1379" s="118"/>
      <c r="I1379" s="821">
        <f>+CUBICACION!L1373</f>
        <v>0</v>
      </c>
      <c r="J1379" s="64">
        <f>+CUBICACION!M1373</f>
        <v>0</v>
      </c>
      <c r="K1379" s="822" t="str">
        <f>+CUBICACION!N1373</f>
        <v/>
      </c>
      <c r="L1379" s="118">
        <f>+CUBICACION!O1373</f>
        <v>0</v>
      </c>
      <c r="M1379" s="823">
        <f>+CUBICACION!P1373</f>
        <v>0</v>
      </c>
      <c r="N1379" s="902">
        <f>ROUND(IF(AND(L1379="Blaze Shield II",M1379="Software Idiem",C1379="IN",G1379=4),((('BLAZE SHIELD II'!$D$4*('CALCULO MORTERO'!I1379^2)+'BLAZE SHIELD II'!$D$5*'CALCULO MORTERO'!I1379+'BLAZE SHIELD II'!$D$6)*LN(J1379))+('BLAZE SHIELD II'!$D$7*('CALCULO MORTERO'!I1379^2)+'BLAZE SHIELD II'!$D$8*'CALCULO MORTERO'!I1379+'BLAZE SHIELD II'!$D$9)),0)+IF(AND(L1379="Blaze Shield II",M1379="Software Idiem",C1379="Cj"),((('BLAZE SHIELD II'!$H$4*('CALCULO MORTERO'!I1379^2)+'BLAZE SHIELD II'!$H$5*'CALCULO MORTERO'!I1379+'BLAZE SHIELD II'!$H$6)*LN(J1379))+('BLAZE SHIELD II'!$H$7*('CALCULO MORTERO'!I1379^2)+'BLAZE SHIELD II'!$H$8*'CALCULO MORTERO'!I1379+'BLAZE SHIELD II'!$H$9)),0)+IF(AND(L1379="Blaze Shield II",M1379="Software Idiem",C1379="C"),((('BLAZE SHIELD II'!$L$4*('CALCULO MORTERO'!I1379^2)+'BLAZE SHIELD II'!$L$5*'CALCULO MORTERO'!I1379+'BLAZE SHIELD II'!$L$6)*LN(J1379))+('BLAZE SHIELD II'!$L$7*('CALCULO MORTERO'!I1379^2)+'BLAZE SHIELD II'!$L$8*'CALCULO MORTERO'!I1379+'BLAZE SHIELD II'!$L$9)),0)+IF(AND(L1379="Blaze Shield II",M1379="Software Idiem",C1379="L"),((('BLAZE SHIELD II'!$L$4*('CALCULO MORTERO'!I1379^2)+'BLAZE SHIELD II'!$L$5*'CALCULO MORTERO'!I1379+'BLAZE SHIELD II'!$L$6)*LN(J1379))+('BLAZE SHIELD II'!$L$7*('CALCULO MORTERO'!I1379^2)+'BLAZE SHIELD II'!$L$8*'CALCULO MORTERO'!I1379+'BLAZE SHIELD II'!$L$9)),0)+IF(AND(L1379="Blaze Shield II",M1379="Software Idiem",C1379="IN",G1379=3),((('BLAZE SHIELD II'!$H$14*('CALCULO MORTERO'!I1379^2)+'BLAZE SHIELD II'!$H$15*'CALCULO MORTERO'!I1379+'BLAZE SHIELD II'!$H$16)*LN(J1379))+('BLAZE SHIELD II'!$H$17*('CALCULO MORTERO'!I1379^2)+'BLAZE SHIELD II'!$H$18*'CALCULO MORTERO'!I1379+'BLAZE SHIELD II'!$H$19)),0),0)+ROUND(IF(AND(L1379="Cafco 400",M1379="Software Idiem",C1379="IN",G1379=4),((('CAFCO 400 '!$H$7*(J1379^4)+'CAFCO 400 '!$H$8*(J1379^3)+'CAFCO 400 '!$H$9*(J1379^2)+'CAFCO 400 '!$H$10*J1379+'CAFCO 400 '!$H$11)*U1379^2)+(('CAFCO 400 '!$H$12*(J1379^3)+'CAFCO 400 '!$H$13*(J1379^2)+'CAFCO 400 '!$H$14*J1379+'CAFCO 400 '!$H$15)*U1379)+('CAFCO 400 '!$H$16*(J1379^2)+'CAFCO 400 '!$H$17*J1379+'CAFCO 400 '!$H$18)),0)+IF(AND(L1379="Cafco 400",M1379="Software Idiem",C1379="Cj"),(((('CAFCO 400 '!$D$7*LN(J1379)+'CAFCO 400 '!$D$8)*U1379^2)+(('CAFCO 400 '!$D$9*LN(J1379)+'CAFCO 400 '!$D$10)*U1379)+('CAFCO 400 '!$D$11*LN(J1379)+'CAFCO 400 '!$D$12))),0)+IF(AND(L1379="Cafco 400",M1379="Software Idiem",C1379="C"),((('CAFCO 400 '!$L$7*(J1379^3)+'CAFCO 400 '!$L$8*(J1379^2)+'CAFCO 400 '!$L$9*J1379+'CAFCO 400 '!$L$10)*U1379^2)+(('CAFCO 400 '!$L$11*(J1379^3)+'CAFCO 400 '!$L$12*(J1379^2)+'CAFCO 400 '!$L$13*J1379+'CAFCO 400 '!$L$14)*U1379)+('CAFCO 400 '!$L$15*LN(J1379)+'CAFCO 400 '!$L$16)),0)+IF(AND(L1379="Cafco 400",M1379="Software Idiem",C1379="L"),((('CAFCO 400 '!$L$7*(J1379^3)+'CAFCO 400 '!$L$8*(J1379^2)+'CAFCO 400 '!$L$9*J1379+'CAFCO 400 '!$L$10)*U1379^2)+(('CAFCO 400 '!$L$11*(J1379^3)+'CAFCO 400 '!$L$12*(J1379^2)+'CAFCO 400 '!$L$13*J1379+'CAFCO 400 '!$L$14)*U1379)+('CAFCO 400 '!$L$15*LN(J1379)+'CAFCO 400 '!$L$16)),0)+IF(AND(L1379="Cafco 400",M1379="Software Idiem",C1379="IN",G1379=3),((('CAFCO 400 '!$D$23*(J1379^2)+'CAFCO 400 '!$D$24*(J1379)+'CAFCO 400 '!$D$25)*U1379^2)+(('CAFCO 400 '!$D$26*(J1379^2)+'CAFCO 400 '!$D$27*J1379+'CAFCO 400 '!$D$28)*U1379)+('CAFCO 400 '!$D$29*(J1379^2)+'CAFCO 400 '!$D$30*J1379+'CAFCO 400 '!$D$31)),0),0)+IF(AND(L1379="Cafco 300",J1379&gt;=95,J1379&lt;=240,C1379="Cj",I1379=90),VLOOKUP(T1379,'CAFCO 300 IDIEM TABLAS'!$B$4:$D$23,2,FALSE),0)+IF(AND(L1379="Cafco 300",J1379&gt;=95,J1379&lt;=240,C1379="Cj",I1379=120),VLOOKUP(T1379,'CAFCO 300 IDIEM TABLAS'!$B$4:$D$23,3,FALSE),0)+IF(AND(L1379="Cafco 300",J1379&gt;=95,J1379&lt;=400,G1379=3,C1379="IN",I1379=90),VLOOKUP(T1379,'CAFCO 300 IDIEM TABLAS'!$F$4:$H$35,2,FALSE),0)+IF(AND(L1379="Cafco 300",J1379&gt;=95,J1379&lt;=400,G1379=3,C1379="IN",I1379=120),VLOOKUP(T1379,'CAFCO 300 IDIEM TABLAS'!$F$4:$H$35,3,FALSE),0)+IF(AND(L1379="Cafco 300",J1379&gt;=95,J1379&lt;=450,G1379=4,C1379="IN",I1379=90),VLOOKUP(T1379,'CAFCO 300 IDIEM TABLAS'!$J$4:$L$40,2,FALSE),0)+IF(AND(L1379="Cafco 300",J1379&gt;=95,J1379&lt;=450,G1379=4,C1379="IN",I1379=120),VLOOKUP(T1379,'CAFCO 300 IDIEM TABLAS'!$J$4:$L$40,3,FALSE),0)+IF(AND(M1379="Ensayo Idiem",L1379="Cafco 400",C1379="IN",G1379=4,I1379=90),VLOOKUP(T1379,'CAFCO 400 ENSAYO'!$B$7:$D$43,2,FALSE),0)+IF(AND(M1379="Ensayo Idiem",L1379="Cafco 400",C1379="IN",G1379=4,I1379=120),VLOOKUP(T1379,'CAFCO 400 ENSAYO'!$B$7:$D$43,3,FALSE),0)</f>
        <v>0</v>
      </c>
      <c r="O1379" s="96">
        <f t="shared" si="138"/>
        <v>0</v>
      </c>
      <c r="P1379" s="132" t="str">
        <f t="shared" si="133"/>
        <v>N/A</v>
      </c>
      <c r="Q1379" s="132" t="str">
        <f t="shared" si="134"/>
        <v>N/A</v>
      </c>
      <c r="R1379" s="132" t="str">
        <f t="shared" si="135"/>
        <v>NO CERT.</v>
      </c>
      <c r="S1379" s="132" t="e">
        <f t="shared" si="136"/>
        <v>#N/A</v>
      </c>
      <c r="T1379" s="133" t="e">
        <f>+IF(J1379=LOOKUP(J1379,'CAFCO 300 IDIEM TABLAS'!$J$4:$J$40),'CALCULO MORTERO'!J1379,MROUND('CALCULO MORTERO'!J1379,10))</f>
        <v>#N/A</v>
      </c>
      <c r="U1379" s="134">
        <f t="shared" si="137"/>
        <v>0</v>
      </c>
    </row>
    <row r="1380" spans="1:21" x14ac:dyDescent="0.25">
      <c r="A1380" s="118">
        <f>+CUBICACION!D1374</f>
        <v>0</v>
      </c>
      <c r="B1380" s="819">
        <f>+CUBICACION!E1374</f>
        <v>0</v>
      </c>
      <c r="C1380" s="675">
        <f>+CUBICACION!F1374</f>
        <v>0</v>
      </c>
      <c r="D1380" s="118"/>
      <c r="E1380" s="118"/>
      <c r="F1380" s="820"/>
      <c r="G1380" s="675">
        <f>+CUBICACION!J1374</f>
        <v>0</v>
      </c>
      <c r="H1380" s="118"/>
      <c r="I1380" s="821">
        <f>+CUBICACION!L1374</f>
        <v>0</v>
      </c>
      <c r="J1380" s="64">
        <f>+CUBICACION!M1374</f>
        <v>0</v>
      </c>
      <c r="K1380" s="822" t="str">
        <f>+CUBICACION!N1374</f>
        <v/>
      </c>
      <c r="L1380" s="118">
        <f>+CUBICACION!O1374</f>
        <v>0</v>
      </c>
      <c r="M1380" s="823">
        <f>+CUBICACION!P1374</f>
        <v>0</v>
      </c>
      <c r="N1380" s="902">
        <f>ROUND(IF(AND(L1380="Blaze Shield II",M1380="Software Idiem",C1380="IN",G1380=4),((('BLAZE SHIELD II'!$D$4*('CALCULO MORTERO'!I1380^2)+'BLAZE SHIELD II'!$D$5*'CALCULO MORTERO'!I1380+'BLAZE SHIELD II'!$D$6)*LN(J1380))+('BLAZE SHIELD II'!$D$7*('CALCULO MORTERO'!I1380^2)+'BLAZE SHIELD II'!$D$8*'CALCULO MORTERO'!I1380+'BLAZE SHIELD II'!$D$9)),0)+IF(AND(L1380="Blaze Shield II",M1380="Software Idiem",C1380="Cj"),((('BLAZE SHIELD II'!$H$4*('CALCULO MORTERO'!I1380^2)+'BLAZE SHIELD II'!$H$5*'CALCULO MORTERO'!I1380+'BLAZE SHIELD II'!$H$6)*LN(J1380))+('BLAZE SHIELD II'!$H$7*('CALCULO MORTERO'!I1380^2)+'BLAZE SHIELD II'!$H$8*'CALCULO MORTERO'!I1380+'BLAZE SHIELD II'!$H$9)),0)+IF(AND(L1380="Blaze Shield II",M1380="Software Idiem",C1380="C"),((('BLAZE SHIELD II'!$L$4*('CALCULO MORTERO'!I1380^2)+'BLAZE SHIELD II'!$L$5*'CALCULO MORTERO'!I1380+'BLAZE SHIELD II'!$L$6)*LN(J1380))+('BLAZE SHIELD II'!$L$7*('CALCULO MORTERO'!I1380^2)+'BLAZE SHIELD II'!$L$8*'CALCULO MORTERO'!I1380+'BLAZE SHIELD II'!$L$9)),0)+IF(AND(L1380="Blaze Shield II",M1380="Software Idiem",C1380="L"),((('BLAZE SHIELD II'!$L$4*('CALCULO MORTERO'!I1380^2)+'BLAZE SHIELD II'!$L$5*'CALCULO MORTERO'!I1380+'BLAZE SHIELD II'!$L$6)*LN(J1380))+('BLAZE SHIELD II'!$L$7*('CALCULO MORTERO'!I1380^2)+'BLAZE SHIELD II'!$L$8*'CALCULO MORTERO'!I1380+'BLAZE SHIELD II'!$L$9)),0)+IF(AND(L1380="Blaze Shield II",M1380="Software Idiem",C1380="IN",G1380=3),((('BLAZE SHIELD II'!$H$14*('CALCULO MORTERO'!I1380^2)+'BLAZE SHIELD II'!$H$15*'CALCULO MORTERO'!I1380+'BLAZE SHIELD II'!$H$16)*LN(J1380))+('BLAZE SHIELD II'!$H$17*('CALCULO MORTERO'!I1380^2)+'BLAZE SHIELD II'!$H$18*'CALCULO MORTERO'!I1380+'BLAZE SHIELD II'!$H$19)),0),0)+ROUND(IF(AND(L1380="Cafco 400",M1380="Software Idiem",C1380="IN",G1380=4),((('CAFCO 400 '!$H$7*(J1380^4)+'CAFCO 400 '!$H$8*(J1380^3)+'CAFCO 400 '!$H$9*(J1380^2)+'CAFCO 400 '!$H$10*J1380+'CAFCO 400 '!$H$11)*U1380^2)+(('CAFCO 400 '!$H$12*(J1380^3)+'CAFCO 400 '!$H$13*(J1380^2)+'CAFCO 400 '!$H$14*J1380+'CAFCO 400 '!$H$15)*U1380)+('CAFCO 400 '!$H$16*(J1380^2)+'CAFCO 400 '!$H$17*J1380+'CAFCO 400 '!$H$18)),0)+IF(AND(L1380="Cafco 400",M1380="Software Idiem",C1380="Cj"),(((('CAFCO 400 '!$D$7*LN(J1380)+'CAFCO 400 '!$D$8)*U1380^2)+(('CAFCO 400 '!$D$9*LN(J1380)+'CAFCO 400 '!$D$10)*U1380)+('CAFCO 400 '!$D$11*LN(J1380)+'CAFCO 400 '!$D$12))),0)+IF(AND(L1380="Cafco 400",M1380="Software Idiem",C1380="C"),((('CAFCO 400 '!$L$7*(J1380^3)+'CAFCO 400 '!$L$8*(J1380^2)+'CAFCO 400 '!$L$9*J1380+'CAFCO 400 '!$L$10)*U1380^2)+(('CAFCO 400 '!$L$11*(J1380^3)+'CAFCO 400 '!$L$12*(J1380^2)+'CAFCO 400 '!$L$13*J1380+'CAFCO 400 '!$L$14)*U1380)+('CAFCO 400 '!$L$15*LN(J1380)+'CAFCO 400 '!$L$16)),0)+IF(AND(L1380="Cafco 400",M1380="Software Idiem",C1380="L"),((('CAFCO 400 '!$L$7*(J1380^3)+'CAFCO 400 '!$L$8*(J1380^2)+'CAFCO 400 '!$L$9*J1380+'CAFCO 400 '!$L$10)*U1380^2)+(('CAFCO 400 '!$L$11*(J1380^3)+'CAFCO 400 '!$L$12*(J1380^2)+'CAFCO 400 '!$L$13*J1380+'CAFCO 400 '!$L$14)*U1380)+('CAFCO 400 '!$L$15*LN(J1380)+'CAFCO 400 '!$L$16)),0)+IF(AND(L1380="Cafco 400",M1380="Software Idiem",C1380="IN",G1380=3),((('CAFCO 400 '!$D$23*(J1380^2)+'CAFCO 400 '!$D$24*(J1380)+'CAFCO 400 '!$D$25)*U1380^2)+(('CAFCO 400 '!$D$26*(J1380^2)+'CAFCO 400 '!$D$27*J1380+'CAFCO 400 '!$D$28)*U1380)+('CAFCO 400 '!$D$29*(J1380^2)+'CAFCO 400 '!$D$30*J1380+'CAFCO 400 '!$D$31)),0),0)+IF(AND(L1380="Cafco 300",J1380&gt;=95,J1380&lt;=240,C1380="Cj",I1380=90),VLOOKUP(T1380,'CAFCO 300 IDIEM TABLAS'!$B$4:$D$23,2,FALSE),0)+IF(AND(L1380="Cafco 300",J1380&gt;=95,J1380&lt;=240,C1380="Cj",I1380=120),VLOOKUP(T1380,'CAFCO 300 IDIEM TABLAS'!$B$4:$D$23,3,FALSE),0)+IF(AND(L1380="Cafco 300",J1380&gt;=95,J1380&lt;=400,G1380=3,C1380="IN",I1380=90),VLOOKUP(T1380,'CAFCO 300 IDIEM TABLAS'!$F$4:$H$35,2,FALSE),0)+IF(AND(L1380="Cafco 300",J1380&gt;=95,J1380&lt;=400,G1380=3,C1380="IN",I1380=120),VLOOKUP(T1380,'CAFCO 300 IDIEM TABLAS'!$F$4:$H$35,3,FALSE),0)+IF(AND(L1380="Cafco 300",J1380&gt;=95,J1380&lt;=450,G1380=4,C1380="IN",I1380=90),VLOOKUP(T1380,'CAFCO 300 IDIEM TABLAS'!$J$4:$L$40,2,FALSE),0)+IF(AND(L1380="Cafco 300",J1380&gt;=95,J1380&lt;=450,G1380=4,C1380="IN",I1380=120),VLOOKUP(T1380,'CAFCO 300 IDIEM TABLAS'!$J$4:$L$40,3,FALSE),0)+IF(AND(M1380="Ensayo Idiem",L1380="Cafco 400",C1380="IN",G1380=4,I1380=90),VLOOKUP(T1380,'CAFCO 400 ENSAYO'!$B$7:$D$43,2,FALSE),0)+IF(AND(M1380="Ensayo Idiem",L1380="Cafco 400",C1380="IN",G1380=4,I1380=120),VLOOKUP(T1380,'CAFCO 400 ENSAYO'!$B$7:$D$43,3,FALSE),0)</f>
        <v>0</v>
      </c>
      <c r="O1380" s="96">
        <f t="shared" si="138"/>
        <v>0</v>
      </c>
      <c r="P1380" s="95" t="str">
        <f t="shared" si="133"/>
        <v>N/A</v>
      </c>
      <c r="Q1380" s="95" t="str">
        <f t="shared" si="134"/>
        <v>N/A</v>
      </c>
      <c r="R1380" s="95" t="str">
        <f t="shared" si="135"/>
        <v>NO CERT.</v>
      </c>
      <c r="S1380" s="95" t="e">
        <f t="shared" si="136"/>
        <v>#N/A</v>
      </c>
      <c r="T1380" s="119" t="e">
        <f>+IF(J1380=LOOKUP(J1380,'CAFCO 300 IDIEM TABLAS'!$J$4:$J$40),'CALCULO MORTERO'!J1380,MROUND('CALCULO MORTERO'!J1380,10))</f>
        <v>#N/A</v>
      </c>
      <c r="U1380" s="118">
        <f t="shared" si="137"/>
        <v>0</v>
      </c>
    </row>
    <row r="1381" spans="1:21" x14ac:dyDescent="0.25">
      <c r="A1381" s="118">
        <f>+CUBICACION!D1375</f>
        <v>0</v>
      </c>
      <c r="B1381" s="819">
        <f>+CUBICACION!E1375</f>
        <v>0</v>
      </c>
      <c r="C1381" s="675">
        <f>+CUBICACION!F1375</f>
        <v>0</v>
      </c>
      <c r="D1381" s="118"/>
      <c r="E1381" s="118"/>
      <c r="F1381" s="820"/>
      <c r="G1381" s="675">
        <f>+CUBICACION!J1375</f>
        <v>0</v>
      </c>
      <c r="H1381" s="118"/>
      <c r="I1381" s="821">
        <f>+CUBICACION!L1375</f>
        <v>0</v>
      </c>
      <c r="J1381" s="64">
        <f>+CUBICACION!M1375</f>
        <v>0</v>
      </c>
      <c r="K1381" s="822" t="str">
        <f>+CUBICACION!N1375</f>
        <v/>
      </c>
      <c r="L1381" s="118">
        <f>+CUBICACION!O1375</f>
        <v>0</v>
      </c>
      <c r="M1381" s="823">
        <f>+CUBICACION!P1375</f>
        <v>0</v>
      </c>
      <c r="N1381" s="902">
        <f>ROUND(IF(AND(L1381="Blaze Shield II",M1381="Software Idiem",C1381="IN",G1381=4),((('BLAZE SHIELD II'!$D$4*('CALCULO MORTERO'!I1381^2)+'BLAZE SHIELD II'!$D$5*'CALCULO MORTERO'!I1381+'BLAZE SHIELD II'!$D$6)*LN(J1381))+('BLAZE SHIELD II'!$D$7*('CALCULO MORTERO'!I1381^2)+'BLAZE SHIELD II'!$D$8*'CALCULO MORTERO'!I1381+'BLAZE SHIELD II'!$D$9)),0)+IF(AND(L1381="Blaze Shield II",M1381="Software Idiem",C1381="Cj"),((('BLAZE SHIELD II'!$H$4*('CALCULO MORTERO'!I1381^2)+'BLAZE SHIELD II'!$H$5*'CALCULO MORTERO'!I1381+'BLAZE SHIELD II'!$H$6)*LN(J1381))+('BLAZE SHIELD II'!$H$7*('CALCULO MORTERO'!I1381^2)+'BLAZE SHIELD II'!$H$8*'CALCULO MORTERO'!I1381+'BLAZE SHIELD II'!$H$9)),0)+IF(AND(L1381="Blaze Shield II",M1381="Software Idiem",C1381="C"),((('BLAZE SHIELD II'!$L$4*('CALCULO MORTERO'!I1381^2)+'BLAZE SHIELD II'!$L$5*'CALCULO MORTERO'!I1381+'BLAZE SHIELD II'!$L$6)*LN(J1381))+('BLAZE SHIELD II'!$L$7*('CALCULO MORTERO'!I1381^2)+'BLAZE SHIELD II'!$L$8*'CALCULO MORTERO'!I1381+'BLAZE SHIELD II'!$L$9)),0)+IF(AND(L1381="Blaze Shield II",M1381="Software Idiem",C1381="L"),((('BLAZE SHIELD II'!$L$4*('CALCULO MORTERO'!I1381^2)+'BLAZE SHIELD II'!$L$5*'CALCULO MORTERO'!I1381+'BLAZE SHIELD II'!$L$6)*LN(J1381))+('BLAZE SHIELD II'!$L$7*('CALCULO MORTERO'!I1381^2)+'BLAZE SHIELD II'!$L$8*'CALCULO MORTERO'!I1381+'BLAZE SHIELD II'!$L$9)),0)+IF(AND(L1381="Blaze Shield II",M1381="Software Idiem",C1381="IN",G1381=3),((('BLAZE SHIELD II'!$H$14*('CALCULO MORTERO'!I1381^2)+'BLAZE SHIELD II'!$H$15*'CALCULO MORTERO'!I1381+'BLAZE SHIELD II'!$H$16)*LN(J1381))+('BLAZE SHIELD II'!$H$17*('CALCULO MORTERO'!I1381^2)+'BLAZE SHIELD II'!$H$18*'CALCULO MORTERO'!I1381+'BLAZE SHIELD II'!$H$19)),0),0)+ROUND(IF(AND(L1381="Cafco 400",M1381="Software Idiem",C1381="IN",G1381=4),((('CAFCO 400 '!$H$7*(J1381^4)+'CAFCO 400 '!$H$8*(J1381^3)+'CAFCO 400 '!$H$9*(J1381^2)+'CAFCO 400 '!$H$10*J1381+'CAFCO 400 '!$H$11)*U1381^2)+(('CAFCO 400 '!$H$12*(J1381^3)+'CAFCO 400 '!$H$13*(J1381^2)+'CAFCO 400 '!$H$14*J1381+'CAFCO 400 '!$H$15)*U1381)+('CAFCO 400 '!$H$16*(J1381^2)+'CAFCO 400 '!$H$17*J1381+'CAFCO 400 '!$H$18)),0)+IF(AND(L1381="Cafco 400",M1381="Software Idiem",C1381="Cj"),(((('CAFCO 400 '!$D$7*LN(J1381)+'CAFCO 400 '!$D$8)*U1381^2)+(('CAFCO 400 '!$D$9*LN(J1381)+'CAFCO 400 '!$D$10)*U1381)+('CAFCO 400 '!$D$11*LN(J1381)+'CAFCO 400 '!$D$12))),0)+IF(AND(L1381="Cafco 400",M1381="Software Idiem",C1381="C"),((('CAFCO 400 '!$L$7*(J1381^3)+'CAFCO 400 '!$L$8*(J1381^2)+'CAFCO 400 '!$L$9*J1381+'CAFCO 400 '!$L$10)*U1381^2)+(('CAFCO 400 '!$L$11*(J1381^3)+'CAFCO 400 '!$L$12*(J1381^2)+'CAFCO 400 '!$L$13*J1381+'CAFCO 400 '!$L$14)*U1381)+('CAFCO 400 '!$L$15*LN(J1381)+'CAFCO 400 '!$L$16)),0)+IF(AND(L1381="Cafco 400",M1381="Software Idiem",C1381="L"),((('CAFCO 400 '!$L$7*(J1381^3)+'CAFCO 400 '!$L$8*(J1381^2)+'CAFCO 400 '!$L$9*J1381+'CAFCO 400 '!$L$10)*U1381^2)+(('CAFCO 400 '!$L$11*(J1381^3)+'CAFCO 400 '!$L$12*(J1381^2)+'CAFCO 400 '!$L$13*J1381+'CAFCO 400 '!$L$14)*U1381)+('CAFCO 400 '!$L$15*LN(J1381)+'CAFCO 400 '!$L$16)),0)+IF(AND(L1381="Cafco 400",M1381="Software Idiem",C1381="IN",G1381=3),((('CAFCO 400 '!$D$23*(J1381^2)+'CAFCO 400 '!$D$24*(J1381)+'CAFCO 400 '!$D$25)*U1381^2)+(('CAFCO 400 '!$D$26*(J1381^2)+'CAFCO 400 '!$D$27*J1381+'CAFCO 400 '!$D$28)*U1381)+('CAFCO 400 '!$D$29*(J1381^2)+'CAFCO 400 '!$D$30*J1381+'CAFCO 400 '!$D$31)),0),0)+IF(AND(L1381="Cafco 300",J1381&gt;=95,J1381&lt;=240,C1381="Cj",I1381=90),VLOOKUP(T1381,'CAFCO 300 IDIEM TABLAS'!$B$4:$D$23,2,FALSE),0)+IF(AND(L1381="Cafco 300",J1381&gt;=95,J1381&lt;=240,C1381="Cj",I1381=120),VLOOKUP(T1381,'CAFCO 300 IDIEM TABLAS'!$B$4:$D$23,3,FALSE),0)+IF(AND(L1381="Cafco 300",J1381&gt;=95,J1381&lt;=400,G1381=3,C1381="IN",I1381=90),VLOOKUP(T1381,'CAFCO 300 IDIEM TABLAS'!$F$4:$H$35,2,FALSE),0)+IF(AND(L1381="Cafco 300",J1381&gt;=95,J1381&lt;=400,G1381=3,C1381="IN",I1381=120),VLOOKUP(T1381,'CAFCO 300 IDIEM TABLAS'!$F$4:$H$35,3,FALSE),0)+IF(AND(L1381="Cafco 300",J1381&gt;=95,J1381&lt;=450,G1381=4,C1381="IN",I1381=90),VLOOKUP(T1381,'CAFCO 300 IDIEM TABLAS'!$J$4:$L$40,2,FALSE),0)+IF(AND(L1381="Cafco 300",J1381&gt;=95,J1381&lt;=450,G1381=4,C1381="IN",I1381=120),VLOOKUP(T1381,'CAFCO 300 IDIEM TABLAS'!$J$4:$L$40,3,FALSE),0)+IF(AND(M1381="Ensayo Idiem",L1381="Cafco 400",C1381="IN",G1381=4,I1381=90),VLOOKUP(T1381,'CAFCO 400 ENSAYO'!$B$7:$D$43,2,FALSE),0)+IF(AND(M1381="Ensayo Idiem",L1381="Cafco 400",C1381="IN",G1381=4,I1381=120),VLOOKUP(T1381,'CAFCO 400 ENSAYO'!$B$7:$D$43,3,FALSE),0)</f>
        <v>0</v>
      </c>
      <c r="O1381" s="96">
        <f t="shared" si="138"/>
        <v>0</v>
      </c>
      <c r="P1381" s="132" t="str">
        <f t="shared" si="133"/>
        <v>N/A</v>
      </c>
      <c r="Q1381" s="132" t="str">
        <f t="shared" si="134"/>
        <v>N/A</v>
      </c>
      <c r="R1381" s="132" t="str">
        <f t="shared" si="135"/>
        <v>NO CERT.</v>
      </c>
      <c r="S1381" s="132" t="e">
        <f t="shared" si="136"/>
        <v>#N/A</v>
      </c>
      <c r="T1381" s="133" t="e">
        <f>+IF(J1381=LOOKUP(J1381,'CAFCO 300 IDIEM TABLAS'!$J$4:$J$40),'CALCULO MORTERO'!J1381,MROUND('CALCULO MORTERO'!J1381,10))</f>
        <v>#N/A</v>
      </c>
      <c r="U1381" s="134">
        <f t="shared" si="137"/>
        <v>0</v>
      </c>
    </row>
    <row r="1382" spans="1:21" x14ac:dyDescent="0.25">
      <c r="A1382" s="118">
        <f>+CUBICACION!D1376</f>
        <v>0</v>
      </c>
      <c r="B1382" s="819">
        <f>+CUBICACION!E1376</f>
        <v>0</v>
      </c>
      <c r="C1382" s="675">
        <f>+CUBICACION!F1376</f>
        <v>0</v>
      </c>
      <c r="D1382" s="118"/>
      <c r="E1382" s="118"/>
      <c r="F1382" s="820"/>
      <c r="G1382" s="675">
        <f>+CUBICACION!J1376</f>
        <v>0</v>
      </c>
      <c r="H1382" s="118"/>
      <c r="I1382" s="821">
        <f>+CUBICACION!L1376</f>
        <v>0</v>
      </c>
      <c r="J1382" s="64">
        <f>+CUBICACION!M1376</f>
        <v>0</v>
      </c>
      <c r="K1382" s="822" t="str">
        <f>+CUBICACION!N1376</f>
        <v/>
      </c>
      <c r="L1382" s="118">
        <f>+CUBICACION!O1376</f>
        <v>0</v>
      </c>
      <c r="M1382" s="823">
        <f>+CUBICACION!P1376</f>
        <v>0</v>
      </c>
      <c r="N1382" s="902">
        <f>ROUND(IF(AND(L1382="Blaze Shield II",M1382="Software Idiem",C1382="IN",G1382=4),((('BLAZE SHIELD II'!$D$4*('CALCULO MORTERO'!I1382^2)+'BLAZE SHIELD II'!$D$5*'CALCULO MORTERO'!I1382+'BLAZE SHIELD II'!$D$6)*LN(J1382))+('BLAZE SHIELD II'!$D$7*('CALCULO MORTERO'!I1382^2)+'BLAZE SHIELD II'!$D$8*'CALCULO MORTERO'!I1382+'BLAZE SHIELD II'!$D$9)),0)+IF(AND(L1382="Blaze Shield II",M1382="Software Idiem",C1382="Cj"),((('BLAZE SHIELD II'!$H$4*('CALCULO MORTERO'!I1382^2)+'BLAZE SHIELD II'!$H$5*'CALCULO MORTERO'!I1382+'BLAZE SHIELD II'!$H$6)*LN(J1382))+('BLAZE SHIELD II'!$H$7*('CALCULO MORTERO'!I1382^2)+'BLAZE SHIELD II'!$H$8*'CALCULO MORTERO'!I1382+'BLAZE SHIELD II'!$H$9)),0)+IF(AND(L1382="Blaze Shield II",M1382="Software Idiem",C1382="C"),((('BLAZE SHIELD II'!$L$4*('CALCULO MORTERO'!I1382^2)+'BLAZE SHIELD II'!$L$5*'CALCULO MORTERO'!I1382+'BLAZE SHIELD II'!$L$6)*LN(J1382))+('BLAZE SHIELD II'!$L$7*('CALCULO MORTERO'!I1382^2)+'BLAZE SHIELD II'!$L$8*'CALCULO MORTERO'!I1382+'BLAZE SHIELD II'!$L$9)),0)+IF(AND(L1382="Blaze Shield II",M1382="Software Idiem",C1382="L"),((('BLAZE SHIELD II'!$L$4*('CALCULO MORTERO'!I1382^2)+'BLAZE SHIELD II'!$L$5*'CALCULO MORTERO'!I1382+'BLAZE SHIELD II'!$L$6)*LN(J1382))+('BLAZE SHIELD II'!$L$7*('CALCULO MORTERO'!I1382^2)+'BLAZE SHIELD II'!$L$8*'CALCULO MORTERO'!I1382+'BLAZE SHIELD II'!$L$9)),0)+IF(AND(L1382="Blaze Shield II",M1382="Software Idiem",C1382="IN",G1382=3),((('BLAZE SHIELD II'!$H$14*('CALCULO MORTERO'!I1382^2)+'BLAZE SHIELD II'!$H$15*'CALCULO MORTERO'!I1382+'BLAZE SHIELD II'!$H$16)*LN(J1382))+('BLAZE SHIELD II'!$H$17*('CALCULO MORTERO'!I1382^2)+'BLAZE SHIELD II'!$H$18*'CALCULO MORTERO'!I1382+'BLAZE SHIELD II'!$H$19)),0),0)+ROUND(IF(AND(L1382="Cafco 400",M1382="Software Idiem",C1382="IN",G1382=4),((('CAFCO 400 '!$H$7*(J1382^4)+'CAFCO 400 '!$H$8*(J1382^3)+'CAFCO 400 '!$H$9*(J1382^2)+'CAFCO 400 '!$H$10*J1382+'CAFCO 400 '!$H$11)*U1382^2)+(('CAFCO 400 '!$H$12*(J1382^3)+'CAFCO 400 '!$H$13*(J1382^2)+'CAFCO 400 '!$H$14*J1382+'CAFCO 400 '!$H$15)*U1382)+('CAFCO 400 '!$H$16*(J1382^2)+'CAFCO 400 '!$H$17*J1382+'CAFCO 400 '!$H$18)),0)+IF(AND(L1382="Cafco 400",M1382="Software Idiem",C1382="Cj"),(((('CAFCO 400 '!$D$7*LN(J1382)+'CAFCO 400 '!$D$8)*U1382^2)+(('CAFCO 400 '!$D$9*LN(J1382)+'CAFCO 400 '!$D$10)*U1382)+('CAFCO 400 '!$D$11*LN(J1382)+'CAFCO 400 '!$D$12))),0)+IF(AND(L1382="Cafco 400",M1382="Software Idiem",C1382="C"),((('CAFCO 400 '!$L$7*(J1382^3)+'CAFCO 400 '!$L$8*(J1382^2)+'CAFCO 400 '!$L$9*J1382+'CAFCO 400 '!$L$10)*U1382^2)+(('CAFCO 400 '!$L$11*(J1382^3)+'CAFCO 400 '!$L$12*(J1382^2)+'CAFCO 400 '!$L$13*J1382+'CAFCO 400 '!$L$14)*U1382)+('CAFCO 400 '!$L$15*LN(J1382)+'CAFCO 400 '!$L$16)),0)+IF(AND(L1382="Cafco 400",M1382="Software Idiem",C1382="L"),((('CAFCO 400 '!$L$7*(J1382^3)+'CAFCO 400 '!$L$8*(J1382^2)+'CAFCO 400 '!$L$9*J1382+'CAFCO 400 '!$L$10)*U1382^2)+(('CAFCO 400 '!$L$11*(J1382^3)+'CAFCO 400 '!$L$12*(J1382^2)+'CAFCO 400 '!$L$13*J1382+'CAFCO 400 '!$L$14)*U1382)+('CAFCO 400 '!$L$15*LN(J1382)+'CAFCO 400 '!$L$16)),0)+IF(AND(L1382="Cafco 400",M1382="Software Idiem",C1382="IN",G1382=3),((('CAFCO 400 '!$D$23*(J1382^2)+'CAFCO 400 '!$D$24*(J1382)+'CAFCO 400 '!$D$25)*U1382^2)+(('CAFCO 400 '!$D$26*(J1382^2)+'CAFCO 400 '!$D$27*J1382+'CAFCO 400 '!$D$28)*U1382)+('CAFCO 400 '!$D$29*(J1382^2)+'CAFCO 400 '!$D$30*J1382+'CAFCO 400 '!$D$31)),0),0)+IF(AND(L1382="Cafco 300",J1382&gt;=95,J1382&lt;=240,C1382="Cj",I1382=90),VLOOKUP(T1382,'CAFCO 300 IDIEM TABLAS'!$B$4:$D$23,2,FALSE),0)+IF(AND(L1382="Cafco 300",J1382&gt;=95,J1382&lt;=240,C1382="Cj",I1382=120),VLOOKUP(T1382,'CAFCO 300 IDIEM TABLAS'!$B$4:$D$23,3,FALSE),0)+IF(AND(L1382="Cafco 300",J1382&gt;=95,J1382&lt;=400,G1382=3,C1382="IN",I1382=90),VLOOKUP(T1382,'CAFCO 300 IDIEM TABLAS'!$F$4:$H$35,2,FALSE),0)+IF(AND(L1382="Cafco 300",J1382&gt;=95,J1382&lt;=400,G1382=3,C1382="IN",I1382=120),VLOOKUP(T1382,'CAFCO 300 IDIEM TABLAS'!$F$4:$H$35,3,FALSE),0)+IF(AND(L1382="Cafco 300",J1382&gt;=95,J1382&lt;=450,G1382=4,C1382="IN",I1382=90),VLOOKUP(T1382,'CAFCO 300 IDIEM TABLAS'!$J$4:$L$40,2,FALSE),0)+IF(AND(L1382="Cafco 300",J1382&gt;=95,J1382&lt;=450,G1382=4,C1382="IN",I1382=120),VLOOKUP(T1382,'CAFCO 300 IDIEM TABLAS'!$J$4:$L$40,3,FALSE),0)+IF(AND(M1382="Ensayo Idiem",L1382="Cafco 400",C1382="IN",G1382=4,I1382=90),VLOOKUP(T1382,'CAFCO 400 ENSAYO'!$B$7:$D$43,2,FALSE),0)+IF(AND(M1382="Ensayo Idiem",L1382="Cafco 400",C1382="IN",G1382=4,I1382=120),VLOOKUP(T1382,'CAFCO 400 ENSAYO'!$B$7:$D$43,3,FALSE),0)</f>
        <v>0</v>
      </c>
      <c r="O1382" s="96">
        <f t="shared" si="138"/>
        <v>0</v>
      </c>
      <c r="P1382" s="95" t="str">
        <f t="shared" si="133"/>
        <v>N/A</v>
      </c>
      <c r="Q1382" s="95" t="str">
        <f t="shared" si="134"/>
        <v>N/A</v>
      </c>
      <c r="R1382" s="95" t="str">
        <f t="shared" si="135"/>
        <v>NO CERT.</v>
      </c>
      <c r="S1382" s="95" t="e">
        <f t="shared" si="136"/>
        <v>#N/A</v>
      </c>
      <c r="T1382" s="119" t="e">
        <f>+IF(J1382=LOOKUP(J1382,'CAFCO 300 IDIEM TABLAS'!$J$4:$J$40),'CALCULO MORTERO'!J1382,MROUND('CALCULO MORTERO'!J1382,10))</f>
        <v>#N/A</v>
      </c>
      <c r="U1382" s="118">
        <f t="shared" si="137"/>
        <v>0</v>
      </c>
    </row>
    <row r="1383" spans="1:21" x14ac:dyDescent="0.25">
      <c r="A1383" s="118">
        <f>+CUBICACION!D1377</f>
        <v>0</v>
      </c>
      <c r="B1383" s="819">
        <f>+CUBICACION!E1377</f>
        <v>0</v>
      </c>
      <c r="C1383" s="675">
        <f>+CUBICACION!F1377</f>
        <v>0</v>
      </c>
      <c r="D1383" s="118"/>
      <c r="E1383" s="118"/>
      <c r="F1383" s="820"/>
      <c r="G1383" s="675">
        <f>+CUBICACION!J1377</f>
        <v>0</v>
      </c>
      <c r="H1383" s="118"/>
      <c r="I1383" s="821">
        <f>+CUBICACION!L1377</f>
        <v>0</v>
      </c>
      <c r="J1383" s="64">
        <f>+CUBICACION!M1377</f>
        <v>0</v>
      </c>
      <c r="K1383" s="822" t="str">
        <f>+CUBICACION!N1377</f>
        <v/>
      </c>
      <c r="L1383" s="118">
        <f>+CUBICACION!O1377</f>
        <v>0</v>
      </c>
      <c r="M1383" s="823">
        <f>+CUBICACION!P1377</f>
        <v>0</v>
      </c>
      <c r="N1383" s="902">
        <f>ROUND(IF(AND(L1383="Blaze Shield II",M1383="Software Idiem",C1383="IN",G1383=4),((('BLAZE SHIELD II'!$D$4*('CALCULO MORTERO'!I1383^2)+'BLAZE SHIELD II'!$D$5*'CALCULO MORTERO'!I1383+'BLAZE SHIELD II'!$D$6)*LN(J1383))+('BLAZE SHIELD II'!$D$7*('CALCULO MORTERO'!I1383^2)+'BLAZE SHIELD II'!$D$8*'CALCULO MORTERO'!I1383+'BLAZE SHIELD II'!$D$9)),0)+IF(AND(L1383="Blaze Shield II",M1383="Software Idiem",C1383="Cj"),((('BLAZE SHIELD II'!$H$4*('CALCULO MORTERO'!I1383^2)+'BLAZE SHIELD II'!$H$5*'CALCULO MORTERO'!I1383+'BLAZE SHIELD II'!$H$6)*LN(J1383))+('BLAZE SHIELD II'!$H$7*('CALCULO MORTERO'!I1383^2)+'BLAZE SHIELD II'!$H$8*'CALCULO MORTERO'!I1383+'BLAZE SHIELD II'!$H$9)),0)+IF(AND(L1383="Blaze Shield II",M1383="Software Idiem",C1383="C"),((('BLAZE SHIELD II'!$L$4*('CALCULO MORTERO'!I1383^2)+'BLAZE SHIELD II'!$L$5*'CALCULO MORTERO'!I1383+'BLAZE SHIELD II'!$L$6)*LN(J1383))+('BLAZE SHIELD II'!$L$7*('CALCULO MORTERO'!I1383^2)+'BLAZE SHIELD II'!$L$8*'CALCULO MORTERO'!I1383+'BLAZE SHIELD II'!$L$9)),0)+IF(AND(L1383="Blaze Shield II",M1383="Software Idiem",C1383="L"),((('BLAZE SHIELD II'!$L$4*('CALCULO MORTERO'!I1383^2)+'BLAZE SHIELD II'!$L$5*'CALCULO MORTERO'!I1383+'BLAZE SHIELD II'!$L$6)*LN(J1383))+('BLAZE SHIELD II'!$L$7*('CALCULO MORTERO'!I1383^2)+'BLAZE SHIELD II'!$L$8*'CALCULO MORTERO'!I1383+'BLAZE SHIELD II'!$L$9)),0)+IF(AND(L1383="Blaze Shield II",M1383="Software Idiem",C1383="IN",G1383=3),((('BLAZE SHIELD II'!$H$14*('CALCULO MORTERO'!I1383^2)+'BLAZE SHIELD II'!$H$15*'CALCULO MORTERO'!I1383+'BLAZE SHIELD II'!$H$16)*LN(J1383))+('BLAZE SHIELD II'!$H$17*('CALCULO MORTERO'!I1383^2)+'BLAZE SHIELD II'!$H$18*'CALCULO MORTERO'!I1383+'BLAZE SHIELD II'!$H$19)),0),0)+ROUND(IF(AND(L1383="Cafco 400",M1383="Software Idiem",C1383="IN",G1383=4),((('CAFCO 400 '!$H$7*(J1383^4)+'CAFCO 400 '!$H$8*(J1383^3)+'CAFCO 400 '!$H$9*(J1383^2)+'CAFCO 400 '!$H$10*J1383+'CAFCO 400 '!$H$11)*U1383^2)+(('CAFCO 400 '!$H$12*(J1383^3)+'CAFCO 400 '!$H$13*(J1383^2)+'CAFCO 400 '!$H$14*J1383+'CAFCO 400 '!$H$15)*U1383)+('CAFCO 400 '!$H$16*(J1383^2)+'CAFCO 400 '!$H$17*J1383+'CAFCO 400 '!$H$18)),0)+IF(AND(L1383="Cafco 400",M1383="Software Idiem",C1383="Cj"),(((('CAFCO 400 '!$D$7*LN(J1383)+'CAFCO 400 '!$D$8)*U1383^2)+(('CAFCO 400 '!$D$9*LN(J1383)+'CAFCO 400 '!$D$10)*U1383)+('CAFCO 400 '!$D$11*LN(J1383)+'CAFCO 400 '!$D$12))),0)+IF(AND(L1383="Cafco 400",M1383="Software Idiem",C1383="C"),((('CAFCO 400 '!$L$7*(J1383^3)+'CAFCO 400 '!$L$8*(J1383^2)+'CAFCO 400 '!$L$9*J1383+'CAFCO 400 '!$L$10)*U1383^2)+(('CAFCO 400 '!$L$11*(J1383^3)+'CAFCO 400 '!$L$12*(J1383^2)+'CAFCO 400 '!$L$13*J1383+'CAFCO 400 '!$L$14)*U1383)+('CAFCO 400 '!$L$15*LN(J1383)+'CAFCO 400 '!$L$16)),0)+IF(AND(L1383="Cafco 400",M1383="Software Idiem",C1383="L"),((('CAFCO 400 '!$L$7*(J1383^3)+'CAFCO 400 '!$L$8*(J1383^2)+'CAFCO 400 '!$L$9*J1383+'CAFCO 400 '!$L$10)*U1383^2)+(('CAFCO 400 '!$L$11*(J1383^3)+'CAFCO 400 '!$L$12*(J1383^2)+'CAFCO 400 '!$L$13*J1383+'CAFCO 400 '!$L$14)*U1383)+('CAFCO 400 '!$L$15*LN(J1383)+'CAFCO 400 '!$L$16)),0)+IF(AND(L1383="Cafco 400",M1383="Software Idiem",C1383="IN",G1383=3),((('CAFCO 400 '!$D$23*(J1383^2)+'CAFCO 400 '!$D$24*(J1383)+'CAFCO 400 '!$D$25)*U1383^2)+(('CAFCO 400 '!$D$26*(J1383^2)+'CAFCO 400 '!$D$27*J1383+'CAFCO 400 '!$D$28)*U1383)+('CAFCO 400 '!$D$29*(J1383^2)+'CAFCO 400 '!$D$30*J1383+'CAFCO 400 '!$D$31)),0),0)+IF(AND(L1383="Cafco 300",J1383&gt;=95,J1383&lt;=240,C1383="Cj",I1383=90),VLOOKUP(T1383,'CAFCO 300 IDIEM TABLAS'!$B$4:$D$23,2,FALSE),0)+IF(AND(L1383="Cafco 300",J1383&gt;=95,J1383&lt;=240,C1383="Cj",I1383=120),VLOOKUP(T1383,'CAFCO 300 IDIEM TABLAS'!$B$4:$D$23,3,FALSE),0)+IF(AND(L1383="Cafco 300",J1383&gt;=95,J1383&lt;=400,G1383=3,C1383="IN",I1383=90),VLOOKUP(T1383,'CAFCO 300 IDIEM TABLAS'!$F$4:$H$35,2,FALSE),0)+IF(AND(L1383="Cafco 300",J1383&gt;=95,J1383&lt;=400,G1383=3,C1383="IN",I1383=120),VLOOKUP(T1383,'CAFCO 300 IDIEM TABLAS'!$F$4:$H$35,3,FALSE),0)+IF(AND(L1383="Cafco 300",J1383&gt;=95,J1383&lt;=450,G1383=4,C1383="IN",I1383=90),VLOOKUP(T1383,'CAFCO 300 IDIEM TABLAS'!$J$4:$L$40,2,FALSE),0)+IF(AND(L1383="Cafco 300",J1383&gt;=95,J1383&lt;=450,G1383=4,C1383="IN",I1383=120),VLOOKUP(T1383,'CAFCO 300 IDIEM TABLAS'!$J$4:$L$40,3,FALSE),0)+IF(AND(M1383="Ensayo Idiem",L1383="Cafco 400",C1383="IN",G1383=4,I1383=90),VLOOKUP(T1383,'CAFCO 400 ENSAYO'!$B$7:$D$43,2,FALSE),0)+IF(AND(M1383="Ensayo Idiem",L1383="Cafco 400",C1383="IN",G1383=4,I1383=120),VLOOKUP(T1383,'CAFCO 400 ENSAYO'!$B$7:$D$43,3,FALSE),0)</f>
        <v>0</v>
      </c>
      <c r="O1383" s="96">
        <f t="shared" si="138"/>
        <v>0</v>
      </c>
      <c r="P1383" s="132" t="str">
        <f t="shared" si="133"/>
        <v>N/A</v>
      </c>
      <c r="Q1383" s="132" t="str">
        <f t="shared" si="134"/>
        <v>N/A</v>
      </c>
      <c r="R1383" s="132" t="str">
        <f t="shared" si="135"/>
        <v>NO CERT.</v>
      </c>
      <c r="S1383" s="132" t="e">
        <f t="shared" si="136"/>
        <v>#N/A</v>
      </c>
      <c r="T1383" s="133" t="e">
        <f>+IF(J1383=LOOKUP(J1383,'CAFCO 300 IDIEM TABLAS'!$J$4:$J$40),'CALCULO MORTERO'!J1383,MROUND('CALCULO MORTERO'!J1383,10))</f>
        <v>#N/A</v>
      </c>
      <c r="U1383" s="134">
        <f t="shared" si="137"/>
        <v>0</v>
      </c>
    </row>
    <row r="1384" spans="1:21" x14ac:dyDescent="0.25">
      <c r="A1384" s="118">
        <f>+CUBICACION!D1378</f>
        <v>0</v>
      </c>
      <c r="B1384" s="819">
        <f>+CUBICACION!E1378</f>
        <v>0</v>
      </c>
      <c r="C1384" s="675">
        <f>+CUBICACION!F1378</f>
        <v>0</v>
      </c>
      <c r="D1384" s="118"/>
      <c r="E1384" s="118"/>
      <c r="F1384" s="820"/>
      <c r="G1384" s="675">
        <f>+CUBICACION!J1378</f>
        <v>0</v>
      </c>
      <c r="H1384" s="118"/>
      <c r="I1384" s="821">
        <f>+CUBICACION!L1378</f>
        <v>0</v>
      </c>
      <c r="J1384" s="64">
        <f>+CUBICACION!M1378</f>
        <v>0</v>
      </c>
      <c r="K1384" s="822" t="str">
        <f>+CUBICACION!N1378</f>
        <v/>
      </c>
      <c r="L1384" s="118">
        <f>+CUBICACION!O1378</f>
        <v>0</v>
      </c>
      <c r="M1384" s="823">
        <f>+CUBICACION!P1378</f>
        <v>0</v>
      </c>
      <c r="N1384" s="902">
        <f>ROUND(IF(AND(L1384="Blaze Shield II",M1384="Software Idiem",C1384="IN",G1384=4),((('BLAZE SHIELD II'!$D$4*('CALCULO MORTERO'!I1384^2)+'BLAZE SHIELD II'!$D$5*'CALCULO MORTERO'!I1384+'BLAZE SHIELD II'!$D$6)*LN(J1384))+('BLAZE SHIELD II'!$D$7*('CALCULO MORTERO'!I1384^2)+'BLAZE SHIELD II'!$D$8*'CALCULO MORTERO'!I1384+'BLAZE SHIELD II'!$D$9)),0)+IF(AND(L1384="Blaze Shield II",M1384="Software Idiem",C1384="Cj"),((('BLAZE SHIELD II'!$H$4*('CALCULO MORTERO'!I1384^2)+'BLAZE SHIELD II'!$H$5*'CALCULO MORTERO'!I1384+'BLAZE SHIELD II'!$H$6)*LN(J1384))+('BLAZE SHIELD II'!$H$7*('CALCULO MORTERO'!I1384^2)+'BLAZE SHIELD II'!$H$8*'CALCULO MORTERO'!I1384+'BLAZE SHIELD II'!$H$9)),0)+IF(AND(L1384="Blaze Shield II",M1384="Software Idiem",C1384="C"),((('BLAZE SHIELD II'!$L$4*('CALCULO MORTERO'!I1384^2)+'BLAZE SHIELD II'!$L$5*'CALCULO MORTERO'!I1384+'BLAZE SHIELD II'!$L$6)*LN(J1384))+('BLAZE SHIELD II'!$L$7*('CALCULO MORTERO'!I1384^2)+'BLAZE SHIELD II'!$L$8*'CALCULO MORTERO'!I1384+'BLAZE SHIELD II'!$L$9)),0)+IF(AND(L1384="Blaze Shield II",M1384="Software Idiem",C1384="L"),((('BLAZE SHIELD II'!$L$4*('CALCULO MORTERO'!I1384^2)+'BLAZE SHIELD II'!$L$5*'CALCULO MORTERO'!I1384+'BLAZE SHIELD II'!$L$6)*LN(J1384))+('BLAZE SHIELD II'!$L$7*('CALCULO MORTERO'!I1384^2)+'BLAZE SHIELD II'!$L$8*'CALCULO MORTERO'!I1384+'BLAZE SHIELD II'!$L$9)),0)+IF(AND(L1384="Blaze Shield II",M1384="Software Idiem",C1384="IN",G1384=3),((('BLAZE SHIELD II'!$H$14*('CALCULO MORTERO'!I1384^2)+'BLAZE SHIELD II'!$H$15*'CALCULO MORTERO'!I1384+'BLAZE SHIELD II'!$H$16)*LN(J1384))+('BLAZE SHIELD II'!$H$17*('CALCULO MORTERO'!I1384^2)+'BLAZE SHIELD II'!$H$18*'CALCULO MORTERO'!I1384+'BLAZE SHIELD II'!$H$19)),0),0)+ROUND(IF(AND(L1384="Cafco 400",M1384="Software Idiem",C1384="IN",G1384=4),((('CAFCO 400 '!$H$7*(J1384^4)+'CAFCO 400 '!$H$8*(J1384^3)+'CAFCO 400 '!$H$9*(J1384^2)+'CAFCO 400 '!$H$10*J1384+'CAFCO 400 '!$H$11)*U1384^2)+(('CAFCO 400 '!$H$12*(J1384^3)+'CAFCO 400 '!$H$13*(J1384^2)+'CAFCO 400 '!$H$14*J1384+'CAFCO 400 '!$H$15)*U1384)+('CAFCO 400 '!$H$16*(J1384^2)+'CAFCO 400 '!$H$17*J1384+'CAFCO 400 '!$H$18)),0)+IF(AND(L1384="Cafco 400",M1384="Software Idiem",C1384="Cj"),(((('CAFCO 400 '!$D$7*LN(J1384)+'CAFCO 400 '!$D$8)*U1384^2)+(('CAFCO 400 '!$D$9*LN(J1384)+'CAFCO 400 '!$D$10)*U1384)+('CAFCO 400 '!$D$11*LN(J1384)+'CAFCO 400 '!$D$12))),0)+IF(AND(L1384="Cafco 400",M1384="Software Idiem",C1384="C"),((('CAFCO 400 '!$L$7*(J1384^3)+'CAFCO 400 '!$L$8*(J1384^2)+'CAFCO 400 '!$L$9*J1384+'CAFCO 400 '!$L$10)*U1384^2)+(('CAFCO 400 '!$L$11*(J1384^3)+'CAFCO 400 '!$L$12*(J1384^2)+'CAFCO 400 '!$L$13*J1384+'CAFCO 400 '!$L$14)*U1384)+('CAFCO 400 '!$L$15*LN(J1384)+'CAFCO 400 '!$L$16)),0)+IF(AND(L1384="Cafco 400",M1384="Software Idiem",C1384="L"),((('CAFCO 400 '!$L$7*(J1384^3)+'CAFCO 400 '!$L$8*(J1384^2)+'CAFCO 400 '!$L$9*J1384+'CAFCO 400 '!$L$10)*U1384^2)+(('CAFCO 400 '!$L$11*(J1384^3)+'CAFCO 400 '!$L$12*(J1384^2)+'CAFCO 400 '!$L$13*J1384+'CAFCO 400 '!$L$14)*U1384)+('CAFCO 400 '!$L$15*LN(J1384)+'CAFCO 400 '!$L$16)),0)+IF(AND(L1384="Cafco 400",M1384="Software Idiem",C1384="IN",G1384=3),((('CAFCO 400 '!$D$23*(J1384^2)+'CAFCO 400 '!$D$24*(J1384)+'CAFCO 400 '!$D$25)*U1384^2)+(('CAFCO 400 '!$D$26*(J1384^2)+'CAFCO 400 '!$D$27*J1384+'CAFCO 400 '!$D$28)*U1384)+('CAFCO 400 '!$D$29*(J1384^2)+'CAFCO 400 '!$D$30*J1384+'CAFCO 400 '!$D$31)),0),0)+IF(AND(L1384="Cafco 300",J1384&gt;=95,J1384&lt;=240,C1384="Cj",I1384=90),VLOOKUP(T1384,'CAFCO 300 IDIEM TABLAS'!$B$4:$D$23,2,FALSE),0)+IF(AND(L1384="Cafco 300",J1384&gt;=95,J1384&lt;=240,C1384="Cj",I1384=120),VLOOKUP(T1384,'CAFCO 300 IDIEM TABLAS'!$B$4:$D$23,3,FALSE),0)+IF(AND(L1384="Cafco 300",J1384&gt;=95,J1384&lt;=400,G1384=3,C1384="IN",I1384=90),VLOOKUP(T1384,'CAFCO 300 IDIEM TABLAS'!$F$4:$H$35,2,FALSE),0)+IF(AND(L1384="Cafco 300",J1384&gt;=95,J1384&lt;=400,G1384=3,C1384="IN",I1384=120),VLOOKUP(T1384,'CAFCO 300 IDIEM TABLAS'!$F$4:$H$35,3,FALSE),0)+IF(AND(L1384="Cafco 300",J1384&gt;=95,J1384&lt;=450,G1384=4,C1384="IN",I1384=90),VLOOKUP(T1384,'CAFCO 300 IDIEM TABLAS'!$J$4:$L$40,2,FALSE),0)+IF(AND(L1384="Cafco 300",J1384&gt;=95,J1384&lt;=450,G1384=4,C1384="IN",I1384=120),VLOOKUP(T1384,'CAFCO 300 IDIEM TABLAS'!$J$4:$L$40,3,FALSE),0)+IF(AND(M1384="Ensayo Idiem",L1384="Cafco 400",C1384="IN",G1384=4,I1384=90),VLOOKUP(T1384,'CAFCO 400 ENSAYO'!$B$7:$D$43,2,FALSE),0)+IF(AND(M1384="Ensayo Idiem",L1384="Cafco 400",C1384="IN",G1384=4,I1384=120),VLOOKUP(T1384,'CAFCO 400 ENSAYO'!$B$7:$D$43,3,FALSE),0)</f>
        <v>0</v>
      </c>
      <c r="O1384" s="96">
        <f t="shared" si="138"/>
        <v>0</v>
      </c>
      <c r="P1384" s="95" t="str">
        <f t="shared" si="133"/>
        <v>N/A</v>
      </c>
      <c r="Q1384" s="95" t="str">
        <f t="shared" si="134"/>
        <v>N/A</v>
      </c>
      <c r="R1384" s="95" t="str">
        <f t="shared" si="135"/>
        <v>NO CERT.</v>
      </c>
      <c r="S1384" s="95" t="e">
        <f t="shared" si="136"/>
        <v>#N/A</v>
      </c>
      <c r="T1384" s="119" t="e">
        <f>+IF(J1384=LOOKUP(J1384,'CAFCO 300 IDIEM TABLAS'!$J$4:$J$40),'CALCULO MORTERO'!J1384,MROUND('CALCULO MORTERO'!J1384,10))</f>
        <v>#N/A</v>
      </c>
      <c r="U1384" s="118">
        <f t="shared" si="137"/>
        <v>0</v>
      </c>
    </row>
    <row r="1385" spans="1:21" x14ac:dyDescent="0.25">
      <c r="A1385" s="118">
        <f>+CUBICACION!D1379</f>
        <v>0</v>
      </c>
      <c r="B1385" s="819">
        <f>+CUBICACION!E1379</f>
        <v>0</v>
      </c>
      <c r="C1385" s="675">
        <f>+CUBICACION!F1379</f>
        <v>0</v>
      </c>
      <c r="D1385" s="118"/>
      <c r="E1385" s="118"/>
      <c r="F1385" s="820"/>
      <c r="G1385" s="675">
        <f>+CUBICACION!J1379</f>
        <v>0</v>
      </c>
      <c r="H1385" s="118"/>
      <c r="I1385" s="821">
        <f>+CUBICACION!L1379</f>
        <v>0</v>
      </c>
      <c r="J1385" s="64">
        <f>+CUBICACION!M1379</f>
        <v>0</v>
      </c>
      <c r="K1385" s="822" t="str">
        <f>+CUBICACION!N1379</f>
        <v/>
      </c>
      <c r="L1385" s="118">
        <f>+CUBICACION!O1379</f>
        <v>0</v>
      </c>
      <c r="M1385" s="823">
        <f>+CUBICACION!P1379</f>
        <v>0</v>
      </c>
      <c r="N1385" s="902">
        <f>ROUND(IF(AND(L1385="Blaze Shield II",M1385="Software Idiem",C1385="IN",G1385=4),((('BLAZE SHIELD II'!$D$4*('CALCULO MORTERO'!I1385^2)+'BLAZE SHIELD II'!$D$5*'CALCULO MORTERO'!I1385+'BLAZE SHIELD II'!$D$6)*LN(J1385))+('BLAZE SHIELD II'!$D$7*('CALCULO MORTERO'!I1385^2)+'BLAZE SHIELD II'!$D$8*'CALCULO MORTERO'!I1385+'BLAZE SHIELD II'!$D$9)),0)+IF(AND(L1385="Blaze Shield II",M1385="Software Idiem",C1385="Cj"),((('BLAZE SHIELD II'!$H$4*('CALCULO MORTERO'!I1385^2)+'BLAZE SHIELD II'!$H$5*'CALCULO MORTERO'!I1385+'BLAZE SHIELD II'!$H$6)*LN(J1385))+('BLAZE SHIELD II'!$H$7*('CALCULO MORTERO'!I1385^2)+'BLAZE SHIELD II'!$H$8*'CALCULO MORTERO'!I1385+'BLAZE SHIELD II'!$H$9)),0)+IF(AND(L1385="Blaze Shield II",M1385="Software Idiem",C1385="C"),((('BLAZE SHIELD II'!$L$4*('CALCULO MORTERO'!I1385^2)+'BLAZE SHIELD II'!$L$5*'CALCULO MORTERO'!I1385+'BLAZE SHIELD II'!$L$6)*LN(J1385))+('BLAZE SHIELD II'!$L$7*('CALCULO MORTERO'!I1385^2)+'BLAZE SHIELD II'!$L$8*'CALCULO MORTERO'!I1385+'BLAZE SHIELD II'!$L$9)),0)+IF(AND(L1385="Blaze Shield II",M1385="Software Idiem",C1385="L"),((('BLAZE SHIELD II'!$L$4*('CALCULO MORTERO'!I1385^2)+'BLAZE SHIELD II'!$L$5*'CALCULO MORTERO'!I1385+'BLAZE SHIELD II'!$L$6)*LN(J1385))+('BLAZE SHIELD II'!$L$7*('CALCULO MORTERO'!I1385^2)+'BLAZE SHIELD II'!$L$8*'CALCULO MORTERO'!I1385+'BLAZE SHIELD II'!$L$9)),0)+IF(AND(L1385="Blaze Shield II",M1385="Software Idiem",C1385="IN",G1385=3),((('BLAZE SHIELD II'!$H$14*('CALCULO MORTERO'!I1385^2)+'BLAZE SHIELD II'!$H$15*'CALCULO MORTERO'!I1385+'BLAZE SHIELD II'!$H$16)*LN(J1385))+('BLAZE SHIELD II'!$H$17*('CALCULO MORTERO'!I1385^2)+'BLAZE SHIELD II'!$H$18*'CALCULO MORTERO'!I1385+'BLAZE SHIELD II'!$H$19)),0),0)+ROUND(IF(AND(L1385="Cafco 400",M1385="Software Idiem",C1385="IN",G1385=4),((('CAFCO 400 '!$H$7*(J1385^4)+'CAFCO 400 '!$H$8*(J1385^3)+'CAFCO 400 '!$H$9*(J1385^2)+'CAFCO 400 '!$H$10*J1385+'CAFCO 400 '!$H$11)*U1385^2)+(('CAFCO 400 '!$H$12*(J1385^3)+'CAFCO 400 '!$H$13*(J1385^2)+'CAFCO 400 '!$H$14*J1385+'CAFCO 400 '!$H$15)*U1385)+('CAFCO 400 '!$H$16*(J1385^2)+'CAFCO 400 '!$H$17*J1385+'CAFCO 400 '!$H$18)),0)+IF(AND(L1385="Cafco 400",M1385="Software Idiem",C1385="Cj"),(((('CAFCO 400 '!$D$7*LN(J1385)+'CAFCO 400 '!$D$8)*U1385^2)+(('CAFCO 400 '!$D$9*LN(J1385)+'CAFCO 400 '!$D$10)*U1385)+('CAFCO 400 '!$D$11*LN(J1385)+'CAFCO 400 '!$D$12))),0)+IF(AND(L1385="Cafco 400",M1385="Software Idiem",C1385="C"),((('CAFCO 400 '!$L$7*(J1385^3)+'CAFCO 400 '!$L$8*(J1385^2)+'CAFCO 400 '!$L$9*J1385+'CAFCO 400 '!$L$10)*U1385^2)+(('CAFCO 400 '!$L$11*(J1385^3)+'CAFCO 400 '!$L$12*(J1385^2)+'CAFCO 400 '!$L$13*J1385+'CAFCO 400 '!$L$14)*U1385)+('CAFCO 400 '!$L$15*LN(J1385)+'CAFCO 400 '!$L$16)),0)+IF(AND(L1385="Cafco 400",M1385="Software Idiem",C1385="L"),((('CAFCO 400 '!$L$7*(J1385^3)+'CAFCO 400 '!$L$8*(J1385^2)+'CAFCO 400 '!$L$9*J1385+'CAFCO 400 '!$L$10)*U1385^2)+(('CAFCO 400 '!$L$11*(J1385^3)+'CAFCO 400 '!$L$12*(J1385^2)+'CAFCO 400 '!$L$13*J1385+'CAFCO 400 '!$L$14)*U1385)+('CAFCO 400 '!$L$15*LN(J1385)+'CAFCO 400 '!$L$16)),0)+IF(AND(L1385="Cafco 400",M1385="Software Idiem",C1385="IN",G1385=3),((('CAFCO 400 '!$D$23*(J1385^2)+'CAFCO 400 '!$D$24*(J1385)+'CAFCO 400 '!$D$25)*U1385^2)+(('CAFCO 400 '!$D$26*(J1385^2)+'CAFCO 400 '!$D$27*J1385+'CAFCO 400 '!$D$28)*U1385)+('CAFCO 400 '!$D$29*(J1385^2)+'CAFCO 400 '!$D$30*J1385+'CAFCO 400 '!$D$31)),0),0)+IF(AND(L1385="Cafco 300",J1385&gt;=95,J1385&lt;=240,C1385="Cj",I1385=90),VLOOKUP(T1385,'CAFCO 300 IDIEM TABLAS'!$B$4:$D$23,2,FALSE),0)+IF(AND(L1385="Cafco 300",J1385&gt;=95,J1385&lt;=240,C1385="Cj",I1385=120),VLOOKUP(T1385,'CAFCO 300 IDIEM TABLAS'!$B$4:$D$23,3,FALSE),0)+IF(AND(L1385="Cafco 300",J1385&gt;=95,J1385&lt;=400,G1385=3,C1385="IN",I1385=90),VLOOKUP(T1385,'CAFCO 300 IDIEM TABLAS'!$F$4:$H$35,2,FALSE),0)+IF(AND(L1385="Cafco 300",J1385&gt;=95,J1385&lt;=400,G1385=3,C1385="IN",I1385=120),VLOOKUP(T1385,'CAFCO 300 IDIEM TABLAS'!$F$4:$H$35,3,FALSE),0)+IF(AND(L1385="Cafco 300",J1385&gt;=95,J1385&lt;=450,G1385=4,C1385="IN",I1385=90),VLOOKUP(T1385,'CAFCO 300 IDIEM TABLAS'!$J$4:$L$40,2,FALSE),0)+IF(AND(L1385="Cafco 300",J1385&gt;=95,J1385&lt;=450,G1385=4,C1385="IN",I1385=120),VLOOKUP(T1385,'CAFCO 300 IDIEM TABLAS'!$J$4:$L$40,3,FALSE),0)+IF(AND(M1385="Ensayo Idiem",L1385="Cafco 400",C1385="IN",G1385=4,I1385=90),VLOOKUP(T1385,'CAFCO 400 ENSAYO'!$B$7:$D$43,2,FALSE),0)+IF(AND(M1385="Ensayo Idiem",L1385="Cafco 400",C1385="IN",G1385=4,I1385=120),VLOOKUP(T1385,'CAFCO 400 ENSAYO'!$B$7:$D$43,3,FALSE),0)</f>
        <v>0</v>
      </c>
      <c r="O1385" s="96">
        <f t="shared" si="138"/>
        <v>0</v>
      </c>
      <c r="P1385" s="132" t="str">
        <f t="shared" si="133"/>
        <v>N/A</v>
      </c>
      <c r="Q1385" s="132" t="str">
        <f t="shared" si="134"/>
        <v>N/A</v>
      </c>
      <c r="R1385" s="132" t="str">
        <f t="shared" si="135"/>
        <v>NO CERT.</v>
      </c>
      <c r="S1385" s="132" t="e">
        <f t="shared" si="136"/>
        <v>#N/A</v>
      </c>
      <c r="T1385" s="133" t="e">
        <f>+IF(J1385=LOOKUP(J1385,'CAFCO 300 IDIEM TABLAS'!$J$4:$J$40),'CALCULO MORTERO'!J1385,MROUND('CALCULO MORTERO'!J1385,10))</f>
        <v>#N/A</v>
      </c>
      <c r="U1385" s="134">
        <f t="shared" si="137"/>
        <v>0</v>
      </c>
    </row>
    <row r="1386" spans="1:21" x14ac:dyDescent="0.25">
      <c r="A1386" s="118">
        <f>+CUBICACION!D1380</f>
        <v>0</v>
      </c>
      <c r="B1386" s="819">
        <f>+CUBICACION!E1380</f>
        <v>0</v>
      </c>
      <c r="C1386" s="675">
        <f>+CUBICACION!F1380</f>
        <v>0</v>
      </c>
      <c r="D1386" s="118"/>
      <c r="E1386" s="118"/>
      <c r="F1386" s="820"/>
      <c r="G1386" s="675">
        <f>+CUBICACION!J1380</f>
        <v>0</v>
      </c>
      <c r="H1386" s="118"/>
      <c r="I1386" s="821">
        <f>+CUBICACION!L1380</f>
        <v>0</v>
      </c>
      <c r="J1386" s="64">
        <f>+CUBICACION!M1380</f>
        <v>0</v>
      </c>
      <c r="K1386" s="822" t="str">
        <f>+CUBICACION!N1380</f>
        <v/>
      </c>
      <c r="L1386" s="118">
        <f>+CUBICACION!O1380</f>
        <v>0</v>
      </c>
      <c r="M1386" s="823">
        <f>+CUBICACION!P1380</f>
        <v>0</v>
      </c>
      <c r="N1386" s="902">
        <f>ROUND(IF(AND(L1386="Blaze Shield II",M1386="Software Idiem",C1386="IN",G1386=4),((('BLAZE SHIELD II'!$D$4*('CALCULO MORTERO'!I1386^2)+'BLAZE SHIELD II'!$D$5*'CALCULO MORTERO'!I1386+'BLAZE SHIELD II'!$D$6)*LN(J1386))+('BLAZE SHIELD II'!$D$7*('CALCULO MORTERO'!I1386^2)+'BLAZE SHIELD II'!$D$8*'CALCULO MORTERO'!I1386+'BLAZE SHIELD II'!$D$9)),0)+IF(AND(L1386="Blaze Shield II",M1386="Software Idiem",C1386="Cj"),((('BLAZE SHIELD II'!$H$4*('CALCULO MORTERO'!I1386^2)+'BLAZE SHIELD II'!$H$5*'CALCULO MORTERO'!I1386+'BLAZE SHIELD II'!$H$6)*LN(J1386))+('BLAZE SHIELD II'!$H$7*('CALCULO MORTERO'!I1386^2)+'BLAZE SHIELD II'!$H$8*'CALCULO MORTERO'!I1386+'BLAZE SHIELD II'!$H$9)),0)+IF(AND(L1386="Blaze Shield II",M1386="Software Idiem",C1386="C"),((('BLAZE SHIELD II'!$L$4*('CALCULO MORTERO'!I1386^2)+'BLAZE SHIELD II'!$L$5*'CALCULO MORTERO'!I1386+'BLAZE SHIELD II'!$L$6)*LN(J1386))+('BLAZE SHIELD II'!$L$7*('CALCULO MORTERO'!I1386^2)+'BLAZE SHIELD II'!$L$8*'CALCULO MORTERO'!I1386+'BLAZE SHIELD II'!$L$9)),0)+IF(AND(L1386="Blaze Shield II",M1386="Software Idiem",C1386="L"),((('BLAZE SHIELD II'!$L$4*('CALCULO MORTERO'!I1386^2)+'BLAZE SHIELD II'!$L$5*'CALCULO MORTERO'!I1386+'BLAZE SHIELD II'!$L$6)*LN(J1386))+('BLAZE SHIELD II'!$L$7*('CALCULO MORTERO'!I1386^2)+'BLAZE SHIELD II'!$L$8*'CALCULO MORTERO'!I1386+'BLAZE SHIELD II'!$L$9)),0)+IF(AND(L1386="Blaze Shield II",M1386="Software Idiem",C1386="IN",G1386=3),((('BLAZE SHIELD II'!$H$14*('CALCULO MORTERO'!I1386^2)+'BLAZE SHIELD II'!$H$15*'CALCULO MORTERO'!I1386+'BLAZE SHIELD II'!$H$16)*LN(J1386))+('BLAZE SHIELD II'!$H$17*('CALCULO MORTERO'!I1386^2)+'BLAZE SHIELD II'!$H$18*'CALCULO MORTERO'!I1386+'BLAZE SHIELD II'!$H$19)),0),0)+ROUND(IF(AND(L1386="Cafco 400",M1386="Software Idiem",C1386="IN",G1386=4),((('CAFCO 400 '!$H$7*(J1386^4)+'CAFCO 400 '!$H$8*(J1386^3)+'CAFCO 400 '!$H$9*(J1386^2)+'CAFCO 400 '!$H$10*J1386+'CAFCO 400 '!$H$11)*U1386^2)+(('CAFCO 400 '!$H$12*(J1386^3)+'CAFCO 400 '!$H$13*(J1386^2)+'CAFCO 400 '!$H$14*J1386+'CAFCO 400 '!$H$15)*U1386)+('CAFCO 400 '!$H$16*(J1386^2)+'CAFCO 400 '!$H$17*J1386+'CAFCO 400 '!$H$18)),0)+IF(AND(L1386="Cafco 400",M1386="Software Idiem",C1386="Cj"),(((('CAFCO 400 '!$D$7*LN(J1386)+'CAFCO 400 '!$D$8)*U1386^2)+(('CAFCO 400 '!$D$9*LN(J1386)+'CAFCO 400 '!$D$10)*U1386)+('CAFCO 400 '!$D$11*LN(J1386)+'CAFCO 400 '!$D$12))),0)+IF(AND(L1386="Cafco 400",M1386="Software Idiem",C1386="C"),((('CAFCO 400 '!$L$7*(J1386^3)+'CAFCO 400 '!$L$8*(J1386^2)+'CAFCO 400 '!$L$9*J1386+'CAFCO 400 '!$L$10)*U1386^2)+(('CAFCO 400 '!$L$11*(J1386^3)+'CAFCO 400 '!$L$12*(J1386^2)+'CAFCO 400 '!$L$13*J1386+'CAFCO 400 '!$L$14)*U1386)+('CAFCO 400 '!$L$15*LN(J1386)+'CAFCO 400 '!$L$16)),0)+IF(AND(L1386="Cafco 400",M1386="Software Idiem",C1386="L"),((('CAFCO 400 '!$L$7*(J1386^3)+'CAFCO 400 '!$L$8*(J1386^2)+'CAFCO 400 '!$L$9*J1386+'CAFCO 400 '!$L$10)*U1386^2)+(('CAFCO 400 '!$L$11*(J1386^3)+'CAFCO 400 '!$L$12*(J1386^2)+'CAFCO 400 '!$L$13*J1386+'CAFCO 400 '!$L$14)*U1386)+('CAFCO 400 '!$L$15*LN(J1386)+'CAFCO 400 '!$L$16)),0)+IF(AND(L1386="Cafco 400",M1386="Software Idiem",C1386="IN",G1386=3),((('CAFCO 400 '!$D$23*(J1386^2)+'CAFCO 400 '!$D$24*(J1386)+'CAFCO 400 '!$D$25)*U1386^2)+(('CAFCO 400 '!$D$26*(J1386^2)+'CAFCO 400 '!$D$27*J1386+'CAFCO 400 '!$D$28)*U1386)+('CAFCO 400 '!$D$29*(J1386^2)+'CAFCO 400 '!$D$30*J1386+'CAFCO 400 '!$D$31)),0),0)+IF(AND(L1386="Cafco 300",J1386&gt;=95,J1386&lt;=240,C1386="Cj",I1386=90),VLOOKUP(T1386,'CAFCO 300 IDIEM TABLAS'!$B$4:$D$23,2,FALSE),0)+IF(AND(L1386="Cafco 300",J1386&gt;=95,J1386&lt;=240,C1386="Cj",I1386=120),VLOOKUP(T1386,'CAFCO 300 IDIEM TABLAS'!$B$4:$D$23,3,FALSE),0)+IF(AND(L1386="Cafco 300",J1386&gt;=95,J1386&lt;=400,G1386=3,C1386="IN",I1386=90),VLOOKUP(T1386,'CAFCO 300 IDIEM TABLAS'!$F$4:$H$35,2,FALSE),0)+IF(AND(L1386="Cafco 300",J1386&gt;=95,J1386&lt;=400,G1386=3,C1386="IN",I1386=120),VLOOKUP(T1386,'CAFCO 300 IDIEM TABLAS'!$F$4:$H$35,3,FALSE),0)+IF(AND(L1386="Cafco 300",J1386&gt;=95,J1386&lt;=450,G1386=4,C1386="IN",I1386=90),VLOOKUP(T1386,'CAFCO 300 IDIEM TABLAS'!$J$4:$L$40,2,FALSE),0)+IF(AND(L1386="Cafco 300",J1386&gt;=95,J1386&lt;=450,G1386=4,C1386="IN",I1386=120),VLOOKUP(T1386,'CAFCO 300 IDIEM TABLAS'!$J$4:$L$40,3,FALSE),0)+IF(AND(M1386="Ensayo Idiem",L1386="Cafco 400",C1386="IN",G1386=4,I1386=90),VLOOKUP(T1386,'CAFCO 400 ENSAYO'!$B$7:$D$43,2,FALSE),0)+IF(AND(M1386="Ensayo Idiem",L1386="Cafco 400",C1386="IN",G1386=4,I1386=120),VLOOKUP(T1386,'CAFCO 400 ENSAYO'!$B$7:$D$43,3,FALSE),0)</f>
        <v>0</v>
      </c>
      <c r="O1386" s="96">
        <f t="shared" si="138"/>
        <v>0</v>
      </c>
      <c r="P1386" s="95" t="str">
        <f t="shared" si="133"/>
        <v>N/A</v>
      </c>
      <c r="Q1386" s="95" t="str">
        <f t="shared" si="134"/>
        <v>N/A</v>
      </c>
      <c r="R1386" s="95" t="str">
        <f t="shared" si="135"/>
        <v>NO CERT.</v>
      </c>
      <c r="S1386" s="95" t="e">
        <f t="shared" si="136"/>
        <v>#N/A</v>
      </c>
      <c r="T1386" s="119" t="e">
        <f>+IF(J1386=LOOKUP(J1386,'CAFCO 300 IDIEM TABLAS'!$J$4:$J$40),'CALCULO MORTERO'!J1386,MROUND('CALCULO MORTERO'!J1386,10))</f>
        <v>#N/A</v>
      </c>
      <c r="U1386" s="118">
        <f t="shared" si="137"/>
        <v>0</v>
      </c>
    </row>
    <row r="1387" spans="1:21" x14ac:dyDescent="0.25">
      <c r="A1387" s="118">
        <f>+CUBICACION!D1381</f>
        <v>0</v>
      </c>
      <c r="B1387" s="819">
        <f>+CUBICACION!E1381</f>
        <v>0</v>
      </c>
      <c r="C1387" s="675">
        <f>+CUBICACION!F1381</f>
        <v>0</v>
      </c>
      <c r="D1387" s="118"/>
      <c r="E1387" s="118"/>
      <c r="F1387" s="820"/>
      <c r="G1387" s="675">
        <f>+CUBICACION!J1381</f>
        <v>0</v>
      </c>
      <c r="H1387" s="118"/>
      <c r="I1387" s="821">
        <f>+CUBICACION!L1381</f>
        <v>0</v>
      </c>
      <c r="J1387" s="64">
        <f>+CUBICACION!M1381</f>
        <v>0</v>
      </c>
      <c r="K1387" s="822" t="str">
        <f>+CUBICACION!N1381</f>
        <v/>
      </c>
      <c r="L1387" s="118">
        <f>+CUBICACION!O1381</f>
        <v>0</v>
      </c>
      <c r="M1387" s="823">
        <f>+CUBICACION!P1381</f>
        <v>0</v>
      </c>
      <c r="N1387" s="902">
        <f>ROUND(IF(AND(L1387="Blaze Shield II",M1387="Software Idiem",C1387="IN",G1387=4),((('BLAZE SHIELD II'!$D$4*('CALCULO MORTERO'!I1387^2)+'BLAZE SHIELD II'!$D$5*'CALCULO MORTERO'!I1387+'BLAZE SHIELD II'!$D$6)*LN(J1387))+('BLAZE SHIELD II'!$D$7*('CALCULO MORTERO'!I1387^2)+'BLAZE SHIELD II'!$D$8*'CALCULO MORTERO'!I1387+'BLAZE SHIELD II'!$D$9)),0)+IF(AND(L1387="Blaze Shield II",M1387="Software Idiem",C1387="Cj"),((('BLAZE SHIELD II'!$H$4*('CALCULO MORTERO'!I1387^2)+'BLAZE SHIELD II'!$H$5*'CALCULO MORTERO'!I1387+'BLAZE SHIELD II'!$H$6)*LN(J1387))+('BLAZE SHIELD II'!$H$7*('CALCULO MORTERO'!I1387^2)+'BLAZE SHIELD II'!$H$8*'CALCULO MORTERO'!I1387+'BLAZE SHIELD II'!$H$9)),0)+IF(AND(L1387="Blaze Shield II",M1387="Software Idiem",C1387="C"),((('BLAZE SHIELD II'!$L$4*('CALCULO MORTERO'!I1387^2)+'BLAZE SHIELD II'!$L$5*'CALCULO MORTERO'!I1387+'BLAZE SHIELD II'!$L$6)*LN(J1387))+('BLAZE SHIELD II'!$L$7*('CALCULO MORTERO'!I1387^2)+'BLAZE SHIELD II'!$L$8*'CALCULO MORTERO'!I1387+'BLAZE SHIELD II'!$L$9)),0)+IF(AND(L1387="Blaze Shield II",M1387="Software Idiem",C1387="L"),((('BLAZE SHIELD II'!$L$4*('CALCULO MORTERO'!I1387^2)+'BLAZE SHIELD II'!$L$5*'CALCULO MORTERO'!I1387+'BLAZE SHIELD II'!$L$6)*LN(J1387))+('BLAZE SHIELD II'!$L$7*('CALCULO MORTERO'!I1387^2)+'BLAZE SHIELD II'!$L$8*'CALCULO MORTERO'!I1387+'BLAZE SHIELD II'!$L$9)),0)+IF(AND(L1387="Blaze Shield II",M1387="Software Idiem",C1387="IN",G1387=3),((('BLAZE SHIELD II'!$H$14*('CALCULO MORTERO'!I1387^2)+'BLAZE SHIELD II'!$H$15*'CALCULO MORTERO'!I1387+'BLAZE SHIELD II'!$H$16)*LN(J1387))+('BLAZE SHIELD II'!$H$17*('CALCULO MORTERO'!I1387^2)+'BLAZE SHIELD II'!$H$18*'CALCULO MORTERO'!I1387+'BLAZE SHIELD II'!$H$19)),0),0)+ROUND(IF(AND(L1387="Cafco 400",M1387="Software Idiem",C1387="IN",G1387=4),((('CAFCO 400 '!$H$7*(J1387^4)+'CAFCO 400 '!$H$8*(J1387^3)+'CAFCO 400 '!$H$9*(J1387^2)+'CAFCO 400 '!$H$10*J1387+'CAFCO 400 '!$H$11)*U1387^2)+(('CAFCO 400 '!$H$12*(J1387^3)+'CAFCO 400 '!$H$13*(J1387^2)+'CAFCO 400 '!$H$14*J1387+'CAFCO 400 '!$H$15)*U1387)+('CAFCO 400 '!$H$16*(J1387^2)+'CAFCO 400 '!$H$17*J1387+'CAFCO 400 '!$H$18)),0)+IF(AND(L1387="Cafco 400",M1387="Software Idiem",C1387="Cj"),(((('CAFCO 400 '!$D$7*LN(J1387)+'CAFCO 400 '!$D$8)*U1387^2)+(('CAFCO 400 '!$D$9*LN(J1387)+'CAFCO 400 '!$D$10)*U1387)+('CAFCO 400 '!$D$11*LN(J1387)+'CAFCO 400 '!$D$12))),0)+IF(AND(L1387="Cafco 400",M1387="Software Idiem",C1387="C"),((('CAFCO 400 '!$L$7*(J1387^3)+'CAFCO 400 '!$L$8*(J1387^2)+'CAFCO 400 '!$L$9*J1387+'CAFCO 400 '!$L$10)*U1387^2)+(('CAFCO 400 '!$L$11*(J1387^3)+'CAFCO 400 '!$L$12*(J1387^2)+'CAFCO 400 '!$L$13*J1387+'CAFCO 400 '!$L$14)*U1387)+('CAFCO 400 '!$L$15*LN(J1387)+'CAFCO 400 '!$L$16)),0)+IF(AND(L1387="Cafco 400",M1387="Software Idiem",C1387="L"),((('CAFCO 400 '!$L$7*(J1387^3)+'CAFCO 400 '!$L$8*(J1387^2)+'CAFCO 400 '!$L$9*J1387+'CAFCO 400 '!$L$10)*U1387^2)+(('CAFCO 400 '!$L$11*(J1387^3)+'CAFCO 400 '!$L$12*(J1387^2)+'CAFCO 400 '!$L$13*J1387+'CAFCO 400 '!$L$14)*U1387)+('CAFCO 400 '!$L$15*LN(J1387)+'CAFCO 400 '!$L$16)),0)+IF(AND(L1387="Cafco 400",M1387="Software Idiem",C1387="IN",G1387=3),((('CAFCO 400 '!$D$23*(J1387^2)+'CAFCO 400 '!$D$24*(J1387)+'CAFCO 400 '!$D$25)*U1387^2)+(('CAFCO 400 '!$D$26*(J1387^2)+'CAFCO 400 '!$D$27*J1387+'CAFCO 400 '!$D$28)*U1387)+('CAFCO 400 '!$D$29*(J1387^2)+'CAFCO 400 '!$D$30*J1387+'CAFCO 400 '!$D$31)),0),0)+IF(AND(L1387="Cafco 300",J1387&gt;=95,J1387&lt;=240,C1387="Cj",I1387=90),VLOOKUP(T1387,'CAFCO 300 IDIEM TABLAS'!$B$4:$D$23,2,FALSE),0)+IF(AND(L1387="Cafco 300",J1387&gt;=95,J1387&lt;=240,C1387="Cj",I1387=120),VLOOKUP(T1387,'CAFCO 300 IDIEM TABLAS'!$B$4:$D$23,3,FALSE),0)+IF(AND(L1387="Cafco 300",J1387&gt;=95,J1387&lt;=400,G1387=3,C1387="IN",I1387=90),VLOOKUP(T1387,'CAFCO 300 IDIEM TABLAS'!$F$4:$H$35,2,FALSE),0)+IF(AND(L1387="Cafco 300",J1387&gt;=95,J1387&lt;=400,G1387=3,C1387="IN",I1387=120),VLOOKUP(T1387,'CAFCO 300 IDIEM TABLAS'!$F$4:$H$35,3,FALSE),0)+IF(AND(L1387="Cafco 300",J1387&gt;=95,J1387&lt;=450,G1387=4,C1387="IN",I1387=90),VLOOKUP(T1387,'CAFCO 300 IDIEM TABLAS'!$J$4:$L$40,2,FALSE),0)+IF(AND(L1387="Cafco 300",J1387&gt;=95,J1387&lt;=450,G1387=4,C1387="IN",I1387=120),VLOOKUP(T1387,'CAFCO 300 IDIEM TABLAS'!$J$4:$L$40,3,FALSE),0)+IF(AND(M1387="Ensayo Idiem",L1387="Cafco 400",C1387="IN",G1387=4,I1387=90),VLOOKUP(T1387,'CAFCO 400 ENSAYO'!$B$7:$D$43,2,FALSE),0)+IF(AND(M1387="Ensayo Idiem",L1387="Cafco 400",C1387="IN",G1387=4,I1387=120),VLOOKUP(T1387,'CAFCO 400 ENSAYO'!$B$7:$D$43,3,FALSE),0)</f>
        <v>0</v>
      </c>
      <c r="O1387" s="96">
        <f t="shared" si="138"/>
        <v>0</v>
      </c>
      <c r="P1387" s="132" t="str">
        <f t="shared" si="133"/>
        <v>N/A</v>
      </c>
      <c r="Q1387" s="132" t="str">
        <f t="shared" si="134"/>
        <v>N/A</v>
      </c>
      <c r="R1387" s="132" t="str">
        <f t="shared" si="135"/>
        <v>NO CERT.</v>
      </c>
      <c r="S1387" s="132" t="e">
        <f t="shared" si="136"/>
        <v>#N/A</v>
      </c>
      <c r="T1387" s="133" t="e">
        <f>+IF(J1387=LOOKUP(J1387,'CAFCO 300 IDIEM TABLAS'!$J$4:$J$40),'CALCULO MORTERO'!J1387,MROUND('CALCULO MORTERO'!J1387,10))</f>
        <v>#N/A</v>
      </c>
      <c r="U1387" s="134">
        <f t="shared" si="137"/>
        <v>0</v>
      </c>
    </row>
    <row r="1388" spans="1:21" x14ac:dyDescent="0.25">
      <c r="A1388" s="118">
        <f>+CUBICACION!D1382</f>
        <v>0</v>
      </c>
      <c r="B1388" s="819">
        <f>+CUBICACION!E1382</f>
        <v>0</v>
      </c>
      <c r="C1388" s="675">
        <f>+CUBICACION!F1382</f>
        <v>0</v>
      </c>
      <c r="D1388" s="118"/>
      <c r="E1388" s="118"/>
      <c r="F1388" s="820"/>
      <c r="G1388" s="675">
        <f>+CUBICACION!J1382</f>
        <v>0</v>
      </c>
      <c r="H1388" s="118"/>
      <c r="I1388" s="821">
        <f>+CUBICACION!L1382</f>
        <v>0</v>
      </c>
      <c r="J1388" s="64">
        <f>+CUBICACION!M1382</f>
        <v>0</v>
      </c>
      <c r="K1388" s="822" t="str">
        <f>+CUBICACION!N1382</f>
        <v/>
      </c>
      <c r="L1388" s="118">
        <f>+CUBICACION!O1382</f>
        <v>0</v>
      </c>
      <c r="M1388" s="823">
        <f>+CUBICACION!P1382</f>
        <v>0</v>
      </c>
      <c r="N1388" s="902">
        <f>ROUND(IF(AND(L1388="Blaze Shield II",M1388="Software Idiem",C1388="IN",G1388=4),((('BLAZE SHIELD II'!$D$4*('CALCULO MORTERO'!I1388^2)+'BLAZE SHIELD II'!$D$5*'CALCULO MORTERO'!I1388+'BLAZE SHIELD II'!$D$6)*LN(J1388))+('BLAZE SHIELD II'!$D$7*('CALCULO MORTERO'!I1388^2)+'BLAZE SHIELD II'!$D$8*'CALCULO MORTERO'!I1388+'BLAZE SHIELD II'!$D$9)),0)+IF(AND(L1388="Blaze Shield II",M1388="Software Idiem",C1388="Cj"),((('BLAZE SHIELD II'!$H$4*('CALCULO MORTERO'!I1388^2)+'BLAZE SHIELD II'!$H$5*'CALCULO MORTERO'!I1388+'BLAZE SHIELD II'!$H$6)*LN(J1388))+('BLAZE SHIELD II'!$H$7*('CALCULO MORTERO'!I1388^2)+'BLAZE SHIELD II'!$H$8*'CALCULO MORTERO'!I1388+'BLAZE SHIELD II'!$H$9)),0)+IF(AND(L1388="Blaze Shield II",M1388="Software Idiem",C1388="C"),((('BLAZE SHIELD II'!$L$4*('CALCULO MORTERO'!I1388^2)+'BLAZE SHIELD II'!$L$5*'CALCULO MORTERO'!I1388+'BLAZE SHIELD II'!$L$6)*LN(J1388))+('BLAZE SHIELD II'!$L$7*('CALCULO MORTERO'!I1388^2)+'BLAZE SHIELD II'!$L$8*'CALCULO MORTERO'!I1388+'BLAZE SHIELD II'!$L$9)),0)+IF(AND(L1388="Blaze Shield II",M1388="Software Idiem",C1388="L"),((('BLAZE SHIELD II'!$L$4*('CALCULO MORTERO'!I1388^2)+'BLAZE SHIELD II'!$L$5*'CALCULO MORTERO'!I1388+'BLAZE SHIELD II'!$L$6)*LN(J1388))+('BLAZE SHIELD II'!$L$7*('CALCULO MORTERO'!I1388^2)+'BLAZE SHIELD II'!$L$8*'CALCULO MORTERO'!I1388+'BLAZE SHIELD II'!$L$9)),0)+IF(AND(L1388="Blaze Shield II",M1388="Software Idiem",C1388="IN",G1388=3),((('BLAZE SHIELD II'!$H$14*('CALCULO MORTERO'!I1388^2)+'BLAZE SHIELD II'!$H$15*'CALCULO MORTERO'!I1388+'BLAZE SHIELD II'!$H$16)*LN(J1388))+('BLAZE SHIELD II'!$H$17*('CALCULO MORTERO'!I1388^2)+'BLAZE SHIELD II'!$H$18*'CALCULO MORTERO'!I1388+'BLAZE SHIELD II'!$H$19)),0),0)+ROUND(IF(AND(L1388="Cafco 400",M1388="Software Idiem",C1388="IN",G1388=4),((('CAFCO 400 '!$H$7*(J1388^4)+'CAFCO 400 '!$H$8*(J1388^3)+'CAFCO 400 '!$H$9*(J1388^2)+'CAFCO 400 '!$H$10*J1388+'CAFCO 400 '!$H$11)*U1388^2)+(('CAFCO 400 '!$H$12*(J1388^3)+'CAFCO 400 '!$H$13*(J1388^2)+'CAFCO 400 '!$H$14*J1388+'CAFCO 400 '!$H$15)*U1388)+('CAFCO 400 '!$H$16*(J1388^2)+'CAFCO 400 '!$H$17*J1388+'CAFCO 400 '!$H$18)),0)+IF(AND(L1388="Cafco 400",M1388="Software Idiem",C1388="Cj"),(((('CAFCO 400 '!$D$7*LN(J1388)+'CAFCO 400 '!$D$8)*U1388^2)+(('CAFCO 400 '!$D$9*LN(J1388)+'CAFCO 400 '!$D$10)*U1388)+('CAFCO 400 '!$D$11*LN(J1388)+'CAFCO 400 '!$D$12))),0)+IF(AND(L1388="Cafco 400",M1388="Software Idiem",C1388="C"),((('CAFCO 400 '!$L$7*(J1388^3)+'CAFCO 400 '!$L$8*(J1388^2)+'CAFCO 400 '!$L$9*J1388+'CAFCO 400 '!$L$10)*U1388^2)+(('CAFCO 400 '!$L$11*(J1388^3)+'CAFCO 400 '!$L$12*(J1388^2)+'CAFCO 400 '!$L$13*J1388+'CAFCO 400 '!$L$14)*U1388)+('CAFCO 400 '!$L$15*LN(J1388)+'CAFCO 400 '!$L$16)),0)+IF(AND(L1388="Cafco 400",M1388="Software Idiem",C1388="L"),((('CAFCO 400 '!$L$7*(J1388^3)+'CAFCO 400 '!$L$8*(J1388^2)+'CAFCO 400 '!$L$9*J1388+'CAFCO 400 '!$L$10)*U1388^2)+(('CAFCO 400 '!$L$11*(J1388^3)+'CAFCO 400 '!$L$12*(J1388^2)+'CAFCO 400 '!$L$13*J1388+'CAFCO 400 '!$L$14)*U1388)+('CAFCO 400 '!$L$15*LN(J1388)+'CAFCO 400 '!$L$16)),0)+IF(AND(L1388="Cafco 400",M1388="Software Idiem",C1388="IN",G1388=3),((('CAFCO 400 '!$D$23*(J1388^2)+'CAFCO 400 '!$D$24*(J1388)+'CAFCO 400 '!$D$25)*U1388^2)+(('CAFCO 400 '!$D$26*(J1388^2)+'CAFCO 400 '!$D$27*J1388+'CAFCO 400 '!$D$28)*U1388)+('CAFCO 400 '!$D$29*(J1388^2)+'CAFCO 400 '!$D$30*J1388+'CAFCO 400 '!$D$31)),0),0)+IF(AND(L1388="Cafco 300",J1388&gt;=95,J1388&lt;=240,C1388="Cj",I1388=90),VLOOKUP(T1388,'CAFCO 300 IDIEM TABLAS'!$B$4:$D$23,2,FALSE),0)+IF(AND(L1388="Cafco 300",J1388&gt;=95,J1388&lt;=240,C1388="Cj",I1388=120),VLOOKUP(T1388,'CAFCO 300 IDIEM TABLAS'!$B$4:$D$23,3,FALSE),0)+IF(AND(L1388="Cafco 300",J1388&gt;=95,J1388&lt;=400,G1388=3,C1388="IN",I1388=90),VLOOKUP(T1388,'CAFCO 300 IDIEM TABLAS'!$F$4:$H$35,2,FALSE),0)+IF(AND(L1388="Cafco 300",J1388&gt;=95,J1388&lt;=400,G1388=3,C1388="IN",I1388=120),VLOOKUP(T1388,'CAFCO 300 IDIEM TABLAS'!$F$4:$H$35,3,FALSE),0)+IF(AND(L1388="Cafco 300",J1388&gt;=95,J1388&lt;=450,G1388=4,C1388="IN",I1388=90),VLOOKUP(T1388,'CAFCO 300 IDIEM TABLAS'!$J$4:$L$40,2,FALSE),0)+IF(AND(L1388="Cafco 300",J1388&gt;=95,J1388&lt;=450,G1388=4,C1388="IN",I1388=120),VLOOKUP(T1388,'CAFCO 300 IDIEM TABLAS'!$J$4:$L$40,3,FALSE),0)+IF(AND(M1388="Ensayo Idiem",L1388="Cafco 400",C1388="IN",G1388=4,I1388=90),VLOOKUP(T1388,'CAFCO 400 ENSAYO'!$B$7:$D$43,2,FALSE),0)+IF(AND(M1388="Ensayo Idiem",L1388="Cafco 400",C1388="IN",G1388=4,I1388=120),VLOOKUP(T1388,'CAFCO 400 ENSAYO'!$B$7:$D$43,3,FALSE),0)</f>
        <v>0</v>
      </c>
      <c r="O1388" s="96">
        <f t="shared" si="138"/>
        <v>0</v>
      </c>
      <c r="P1388" s="95" t="str">
        <f t="shared" si="133"/>
        <v>N/A</v>
      </c>
      <c r="Q1388" s="95" t="str">
        <f t="shared" si="134"/>
        <v>N/A</v>
      </c>
      <c r="R1388" s="95" t="str">
        <f t="shared" si="135"/>
        <v>NO CERT.</v>
      </c>
      <c r="S1388" s="95" t="e">
        <f t="shared" si="136"/>
        <v>#N/A</v>
      </c>
      <c r="T1388" s="119" t="e">
        <f>+IF(J1388=LOOKUP(J1388,'CAFCO 300 IDIEM TABLAS'!$J$4:$J$40),'CALCULO MORTERO'!J1388,MROUND('CALCULO MORTERO'!J1388,10))</f>
        <v>#N/A</v>
      </c>
      <c r="U1388" s="118">
        <f t="shared" si="137"/>
        <v>0</v>
      </c>
    </row>
    <row r="1389" spans="1:21" x14ac:dyDescent="0.25">
      <c r="A1389" s="118">
        <f>+CUBICACION!D1383</f>
        <v>0</v>
      </c>
      <c r="B1389" s="819">
        <f>+CUBICACION!E1383</f>
        <v>0</v>
      </c>
      <c r="C1389" s="675">
        <f>+CUBICACION!F1383</f>
        <v>0</v>
      </c>
      <c r="D1389" s="118"/>
      <c r="E1389" s="118"/>
      <c r="F1389" s="820"/>
      <c r="G1389" s="675">
        <f>+CUBICACION!J1383</f>
        <v>0</v>
      </c>
      <c r="H1389" s="118"/>
      <c r="I1389" s="821">
        <f>+CUBICACION!L1383</f>
        <v>0</v>
      </c>
      <c r="J1389" s="64">
        <f>+CUBICACION!M1383</f>
        <v>0</v>
      </c>
      <c r="K1389" s="822" t="str">
        <f>+CUBICACION!N1383</f>
        <v/>
      </c>
      <c r="L1389" s="118">
        <f>+CUBICACION!O1383</f>
        <v>0</v>
      </c>
      <c r="M1389" s="823">
        <f>+CUBICACION!P1383</f>
        <v>0</v>
      </c>
      <c r="N1389" s="902">
        <f>ROUND(IF(AND(L1389="Blaze Shield II",M1389="Software Idiem",C1389="IN",G1389=4),((('BLAZE SHIELD II'!$D$4*('CALCULO MORTERO'!I1389^2)+'BLAZE SHIELD II'!$D$5*'CALCULO MORTERO'!I1389+'BLAZE SHIELD II'!$D$6)*LN(J1389))+('BLAZE SHIELD II'!$D$7*('CALCULO MORTERO'!I1389^2)+'BLAZE SHIELD II'!$D$8*'CALCULO MORTERO'!I1389+'BLAZE SHIELD II'!$D$9)),0)+IF(AND(L1389="Blaze Shield II",M1389="Software Idiem",C1389="Cj"),((('BLAZE SHIELD II'!$H$4*('CALCULO MORTERO'!I1389^2)+'BLAZE SHIELD II'!$H$5*'CALCULO MORTERO'!I1389+'BLAZE SHIELD II'!$H$6)*LN(J1389))+('BLAZE SHIELD II'!$H$7*('CALCULO MORTERO'!I1389^2)+'BLAZE SHIELD II'!$H$8*'CALCULO MORTERO'!I1389+'BLAZE SHIELD II'!$H$9)),0)+IF(AND(L1389="Blaze Shield II",M1389="Software Idiem",C1389="C"),((('BLAZE SHIELD II'!$L$4*('CALCULO MORTERO'!I1389^2)+'BLAZE SHIELD II'!$L$5*'CALCULO MORTERO'!I1389+'BLAZE SHIELD II'!$L$6)*LN(J1389))+('BLAZE SHIELD II'!$L$7*('CALCULO MORTERO'!I1389^2)+'BLAZE SHIELD II'!$L$8*'CALCULO MORTERO'!I1389+'BLAZE SHIELD II'!$L$9)),0)+IF(AND(L1389="Blaze Shield II",M1389="Software Idiem",C1389="L"),((('BLAZE SHIELD II'!$L$4*('CALCULO MORTERO'!I1389^2)+'BLAZE SHIELD II'!$L$5*'CALCULO MORTERO'!I1389+'BLAZE SHIELD II'!$L$6)*LN(J1389))+('BLAZE SHIELD II'!$L$7*('CALCULO MORTERO'!I1389^2)+'BLAZE SHIELD II'!$L$8*'CALCULO MORTERO'!I1389+'BLAZE SHIELD II'!$L$9)),0)+IF(AND(L1389="Blaze Shield II",M1389="Software Idiem",C1389="IN",G1389=3),((('BLAZE SHIELD II'!$H$14*('CALCULO MORTERO'!I1389^2)+'BLAZE SHIELD II'!$H$15*'CALCULO MORTERO'!I1389+'BLAZE SHIELD II'!$H$16)*LN(J1389))+('BLAZE SHIELD II'!$H$17*('CALCULO MORTERO'!I1389^2)+'BLAZE SHIELD II'!$H$18*'CALCULO MORTERO'!I1389+'BLAZE SHIELD II'!$H$19)),0),0)+ROUND(IF(AND(L1389="Cafco 400",M1389="Software Idiem",C1389="IN",G1389=4),((('CAFCO 400 '!$H$7*(J1389^4)+'CAFCO 400 '!$H$8*(J1389^3)+'CAFCO 400 '!$H$9*(J1389^2)+'CAFCO 400 '!$H$10*J1389+'CAFCO 400 '!$H$11)*U1389^2)+(('CAFCO 400 '!$H$12*(J1389^3)+'CAFCO 400 '!$H$13*(J1389^2)+'CAFCO 400 '!$H$14*J1389+'CAFCO 400 '!$H$15)*U1389)+('CAFCO 400 '!$H$16*(J1389^2)+'CAFCO 400 '!$H$17*J1389+'CAFCO 400 '!$H$18)),0)+IF(AND(L1389="Cafco 400",M1389="Software Idiem",C1389="Cj"),(((('CAFCO 400 '!$D$7*LN(J1389)+'CAFCO 400 '!$D$8)*U1389^2)+(('CAFCO 400 '!$D$9*LN(J1389)+'CAFCO 400 '!$D$10)*U1389)+('CAFCO 400 '!$D$11*LN(J1389)+'CAFCO 400 '!$D$12))),0)+IF(AND(L1389="Cafco 400",M1389="Software Idiem",C1389="C"),((('CAFCO 400 '!$L$7*(J1389^3)+'CAFCO 400 '!$L$8*(J1389^2)+'CAFCO 400 '!$L$9*J1389+'CAFCO 400 '!$L$10)*U1389^2)+(('CAFCO 400 '!$L$11*(J1389^3)+'CAFCO 400 '!$L$12*(J1389^2)+'CAFCO 400 '!$L$13*J1389+'CAFCO 400 '!$L$14)*U1389)+('CAFCO 400 '!$L$15*LN(J1389)+'CAFCO 400 '!$L$16)),0)+IF(AND(L1389="Cafco 400",M1389="Software Idiem",C1389="L"),((('CAFCO 400 '!$L$7*(J1389^3)+'CAFCO 400 '!$L$8*(J1389^2)+'CAFCO 400 '!$L$9*J1389+'CAFCO 400 '!$L$10)*U1389^2)+(('CAFCO 400 '!$L$11*(J1389^3)+'CAFCO 400 '!$L$12*(J1389^2)+'CAFCO 400 '!$L$13*J1389+'CAFCO 400 '!$L$14)*U1389)+('CAFCO 400 '!$L$15*LN(J1389)+'CAFCO 400 '!$L$16)),0)+IF(AND(L1389="Cafco 400",M1389="Software Idiem",C1389="IN",G1389=3),((('CAFCO 400 '!$D$23*(J1389^2)+'CAFCO 400 '!$D$24*(J1389)+'CAFCO 400 '!$D$25)*U1389^2)+(('CAFCO 400 '!$D$26*(J1389^2)+'CAFCO 400 '!$D$27*J1389+'CAFCO 400 '!$D$28)*U1389)+('CAFCO 400 '!$D$29*(J1389^2)+'CAFCO 400 '!$D$30*J1389+'CAFCO 400 '!$D$31)),0),0)+IF(AND(L1389="Cafco 300",J1389&gt;=95,J1389&lt;=240,C1389="Cj",I1389=90),VLOOKUP(T1389,'CAFCO 300 IDIEM TABLAS'!$B$4:$D$23,2,FALSE),0)+IF(AND(L1389="Cafco 300",J1389&gt;=95,J1389&lt;=240,C1389="Cj",I1389=120),VLOOKUP(T1389,'CAFCO 300 IDIEM TABLAS'!$B$4:$D$23,3,FALSE),0)+IF(AND(L1389="Cafco 300",J1389&gt;=95,J1389&lt;=400,G1389=3,C1389="IN",I1389=90),VLOOKUP(T1389,'CAFCO 300 IDIEM TABLAS'!$F$4:$H$35,2,FALSE),0)+IF(AND(L1389="Cafco 300",J1389&gt;=95,J1389&lt;=400,G1389=3,C1389="IN",I1389=120),VLOOKUP(T1389,'CAFCO 300 IDIEM TABLAS'!$F$4:$H$35,3,FALSE),0)+IF(AND(L1389="Cafco 300",J1389&gt;=95,J1389&lt;=450,G1389=4,C1389="IN",I1389=90),VLOOKUP(T1389,'CAFCO 300 IDIEM TABLAS'!$J$4:$L$40,2,FALSE),0)+IF(AND(L1389="Cafco 300",J1389&gt;=95,J1389&lt;=450,G1389=4,C1389="IN",I1389=120),VLOOKUP(T1389,'CAFCO 300 IDIEM TABLAS'!$J$4:$L$40,3,FALSE),0)+IF(AND(M1389="Ensayo Idiem",L1389="Cafco 400",C1389="IN",G1389=4,I1389=90),VLOOKUP(T1389,'CAFCO 400 ENSAYO'!$B$7:$D$43,2,FALSE),0)+IF(AND(M1389="Ensayo Idiem",L1389="Cafco 400",C1389="IN",G1389=4,I1389=120),VLOOKUP(T1389,'CAFCO 400 ENSAYO'!$B$7:$D$43,3,FALSE),0)</f>
        <v>0</v>
      </c>
      <c r="O1389" s="96">
        <f t="shared" si="138"/>
        <v>0</v>
      </c>
      <c r="P1389" s="132" t="str">
        <f t="shared" si="133"/>
        <v>N/A</v>
      </c>
      <c r="Q1389" s="132" t="str">
        <f t="shared" si="134"/>
        <v>N/A</v>
      </c>
      <c r="R1389" s="132" t="str">
        <f t="shared" si="135"/>
        <v>NO CERT.</v>
      </c>
      <c r="S1389" s="132" t="e">
        <f t="shared" si="136"/>
        <v>#N/A</v>
      </c>
      <c r="T1389" s="133" t="e">
        <f>+IF(J1389=LOOKUP(J1389,'CAFCO 300 IDIEM TABLAS'!$J$4:$J$40),'CALCULO MORTERO'!J1389,MROUND('CALCULO MORTERO'!J1389,10))</f>
        <v>#N/A</v>
      </c>
      <c r="U1389" s="134">
        <f t="shared" si="137"/>
        <v>0</v>
      </c>
    </row>
    <row r="1390" spans="1:21" x14ac:dyDescent="0.25">
      <c r="A1390" s="118">
        <f>+CUBICACION!D1384</f>
        <v>0</v>
      </c>
      <c r="B1390" s="819">
        <f>+CUBICACION!E1384</f>
        <v>0</v>
      </c>
      <c r="C1390" s="675">
        <f>+CUBICACION!F1384</f>
        <v>0</v>
      </c>
      <c r="D1390" s="118"/>
      <c r="E1390" s="118"/>
      <c r="F1390" s="820"/>
      <c r="G1390" s="675">
        <f>+CUBICACION!J1384</f>
        <v>0</v>
      </c>
      <c r="H1390" s="118"/>
      <c r="I1390" s="821">
        <f>+CUBICACION!L1384</f>
        <v>0</v>
      </c>
      <c r="J1390" s="64">
        <f>+CUBICACION!M1384</f>
        <v>0</v>
      </c>
      <c r="K1390" s="822" t="str">
        <f>+CUBICACION!N1384</f>
        <v/>
      </c>
      <c r="L1390" s="118">
        <f>+CUBICACION!O1384</f>
        <v>0</v>
      </c>
      <c r="M1390" s="823">
        <f>+CUBICACION!P1384</f>
        <v>0</v>
      </c>
      <c r="N1390" s="902">
        <f>ROUND(IF(AND(L1390="Blaze Shield II",M1390="Software Idiem",C1390="IN",G1390=4),((('BLAZE SHIELD II'!$D$4*('CALCULO MORTERO'!I1390^2)+'BLAZE SHIELD II'!$D$5*'CALCULO MORTERO'!I1390+'BLAZE SHIELD II'!$D$6)*LN(J1390))+('BLAZE SHIELD II'!$D$7*('CALCULO MORTERO'!I1390^2)+'BLAZE SHIELD II'!$D$8*'CALCULO MORTERO'!I1390+'BLAZE SHIELD II'!$D$9)),0)+IF(AND(L1390="Blaze Shield II",M1390="Software Idiem",C1390="Cj"),((('BLAZE SHIELD II'!$H$4*('CALCULO MORTERO'!I1390^2)+'BLAZE SHIELD II'!$H$5*'CALCULO MORTERO'!I1390+'BLAZE SHIELD II'!$H$6)*LN(J1390))+('BLAZE SHIELD II'!$H$7*('CALCULO MORTERO'!I1390^2)+'BLAZE SHIELD II'!$H$8*'CALCULO MORTERO'!I1390+'BLAZE SHIELD II'!$H$9)),0)+IF(AND(L1390="Blaze Shield II",M1390="Software Idiem",C1390="C"),((('BLAZE SHIELD II'!$L$4*('CALCULO MORTERO'!I1390^2)+'BLAZE SHIELD II'!$L$5*'CALCULO MORTERO'!I1390+'BLAZE SHIELD II'!$L$6)*LN(J1390))+('BLAZE SHIELD II'!$L$7*('CALCULO MORTERO'!I1390^2)+'BLAZE SHIELD II'!$L$8*'CALCULO MORTERO'!I1390+'BLAZE SHIELD II'!$L$9)),0)+IF(AND(L1390="Blaze Shield II",M1390="Software Idiem",C1390="L"),((('BLAZE SHIELD II'!$L$4*('CALCULO MORTERO'!I1390^2)+'BLAZE SHIELD II'!$L$5*'CALCULO MORTERO'!I1390+'BLAZE SHIELD II'!$L$6)*LN(J1390))+('BLAZE SHIELD II'!$L$7*('CALCULO MORTERO'!I1390^2)+'BLAZE SHIELD II'!$L$8*'CALCULO MORTERO'!I1390+'BLAZE SHIELD II'!$L$9)),0)+IF(AND(L1390="Blaze Shield II",M1390="Software Idiem",C1390="IN",G1390=3),((('BLAZE SHIELD II'!$H$14*('CALCULO MORTERO'!I1390^2)+'BLAZE SHIELD II'!$H$15*'CALCULO MORTERO'!I1390+'BLAZE SHIELD II'!$H$16)*LN(J1390))+('BLAZE SHIELD II'!$H$17*('CALCULO MORTERO'!I1390^2)+'BLAZE SHIELD II'!$H$18*'CALCULO MORTERO'!I1390+'BLAZE SHIELD II'!$H$19)),0),0)+ROUND(IF(AND(L1390="Cafco 400",M1390="Software Idiem",C1390="IN",G1390=4),((('CAFCO 400 '!$H$7*(J1390^4)+'CAFCO 400 '!$H$8*(J1390^3)+'CAFCO 400 '!$H$9*(J1390^2)+'CAFCO 400 '!$H$10*J1390+'CAFCO 400 '!$H$11)*U1390^2)+(('CAFCO 400 '!$H$12*(J1390^3)+'CAFCO 400 '!$H$13*(J1390^2)+'CAFCO 400 '!$H$14*J1390+'CAFCO 400 '!$H$15)*U1390)+('CAFCO 400 '!$H$16*(J1390^2)+'CAFCO 400 '!$H$17*J1390+'CAFCO 400 '!$H$18)),0)+IF(AND(L1390="Cafco 400",M1390="Software Idiem",C1390="Cj"),(((('CAFCO 400 '!$D$7*LN(J1390)+'CAFCO 400 '!$D$8)*U1390^2)+(('CAFCO 400 '!$D$9*LN(J1390)+'CAFCO 400 '!$D$10)*U1390)+('CAFCO 400 '!$D$11*LN(J1390)+'CAFCO 400 '!$D$12))),0)+IF(AND(L1390="Cafco 400",M1390="Software Idiem",C1390="C"),((('CAFCO 400 '!$L$7*(J1390^3)+'CAFCO 400 '!$L$8*(J1390^2)+'CAFCO 400 '!$L$9*J1390+'CAFCO 400 '!$L$10)*U1390^2)+(('CAFCO 400 '!$L$11*(J1390^3)+'CAFCO 400 '!$L$12*(J1390^2)+'CAFCO 400 '!$L$13*J1390+'CAFCO 400 '!$L$14)*U1390)+('CAFCO 400 '!$L$15*LN(J1390)+'CAFCO 400 '!$L$16)),0)+IF(AND(L1390="Cafco 400",M1390="Software Idiem",C1390="L"),((('CAFCO 400 '!$L$7*(J1390^3)+'CAFCO 400 '!$L$8*(J1390^2)+'CAFCO 400 '!$L$9*J1390+'CAFCO 400 '!$L$10)*U1390^2)+(('CAFCO 400 '!$L$11*(J1390^3)+'CAFCO 400 '!$L$12*(J1390^2)+'CAFCO 400 '!$L$13*J1390+'CAFCO 400 '!$L$14)*U1390)+('CAFCO 400 '!$L$15*LN(J1390)+'CAFCO 400 '!$L$16)),0)+IF(AND(L1390="Cafco 400",M1390="Software Idiem",C1390="IN",G1390=3),((('CAFCO 400 '!$D$23*(J1390^2)+'CAFCO 400 '!$D$24*(J1390)+'CAFCO 400 '!$D$25)*U1390^2)+(('CAFCO 400 '!$D$26*(J1390^2)+'CAFCO 400 '!$D$27*J1390+'CAFCO 400 '!$D$28)*U1390)+('CAFCO 400 '!$D$29*(J1390^2)+'CAFCO 400 '!$D$30*J1390+'CAFCO 400 '!$D$31)),0),0)+IF(AND(L1390="Cafco 300",J1390&gt;=95,J1390&lt;=240,C1390="Cj",I1390=90),VLOOKUP(T1390,'CAFCO 300 IDIEM TABLAS'!$B$4:$D$23,2,FALSE),0)+IF(AND(L1390="Cafco 300",J1390&gt;=95,J1390&lt;=240,C1390="Cj",I1390=120),VLOOKUP(T1390,'CAFCO 300 IDIEM TABLAS'!$B$4:$D$23,3,FALSE),0)+IF(AND(L1390="Cafco 300",J1390&gt;=95,J1390&lt;=400,G1390=3,C1390="IN",I1390=90),VLOOKUP(T1390,'CAFCO 300 IDIEM TABLAS'!$F$4:$H$35,2,FALSE),0)+IF(AND(L1390="Cafco 300",J1390&gt;=95,J1390&lt;=400,G1390=3,C1390="IN",I1390=120),VLOOKUP(T1390,'CAFCO 300 IDIEM TABLAS'!$F$4:$H$35,3,FALSE),0)+IF(AND(L1390="Cafco 300",J1390&gt;=95,J1390&lt;=450,G1390=4,C1390="IN",I1390=90),VLOOKUP(T1390,'CAFCO 300 IDIEM TABLAS'!$J$4:$L$40,2,FALSE),0)+IF(AND(L1390="Cafco 300",J1390&gt;=95,J1390&lt;=450,G1390=4,C1390="IN",I1390=120),VLOOKUP(T1390,'CAFCO 300 IDIEM TABLAS'!$J$4:$L$40,3,FALSE),0)+IF(AND(M1390="Ensayo Idiem",L1390="Cafco 400",C1390="IN",G1390=4,I1390=90),VLOOKUP(T1390,'CAFCO 400 ENSAYO'!$B$7:$D$43,2,FALSE),0)+IF(AND(M1390="Ensayo Idiem",L1390="Cafco 400",C1390="IN",G1390=4,I1390=120),VLOOKUP(T1390,'CAFCO 400 ENSAYO'!$B$7:$D$43,3,FALSE),0)</f>
        <v>0</v>
      </c>
      <c r="O1390" s="96">
        <f t="shared" si="138"/>
        <v>0</v>
      </c>
      <c r="P1390" s="95" t="str">
        <f t="shared" si="133"/>
        <v>N/A</v>
      </c>
      <c r="Q1390" s="95" t="str">
        <f t="shared" si="134"/>
        <v>N/A</v>
      </c>
      <c r="R1390" s="95" t="str">
        <f t="shared" si="135"/>
        <v>NO CERT.</v>
      </c>
      <c r="S1390" s="95" t="e">
        <f t="shared" si="136"/>
        <v>#N/A</v>
      </c>
      <c r="T1390" s="119" t="e">
        <f>+IF(J1390=LOOKUP(J1390,'CAFCO 300 IDIEM TABLAS'!$J$4:$J$40),'CALCULO MORTERO'!J1390,MROUND('CALCULO MORTERO'!J1390,10))</f>
        <v>#N/A</v>
      </c>
      <c r="U1390" s="118">
        <f t="shared" si="137"/>
        <v>0</v>
      </c>
    </row>
    <row r="1391" spans="1:21" x14ac:dyDescent="0.25">
      <c r="A1391" s="118">
        <f>+CUBICACION!D1385</f>
        <v>0</v>
      </c>
      <c r="B1391" s="819">
        <f>+CUBICACION!E1385</f>
        <v>0</v>
      </c>
      <c r="C1391" s="675">
        <f>+CUBICACION!F1385</f>
        <v>0</v>
      </c>
      <c r="D1391" s="118"/>
      <c r="E1391" s="118"/>
      <c r="F1391" s="820"/>
      <c r="G1391" s="675">
        <f>+CUBICACION!J1385</f>
        <v>0</v>
      </c>
      <c r="H1391" s="118"/>
      <c r="I1391" s="821">
        <f>+CUBICACION!L1385</f>
        <v>0</v>
      </c>
      <c r="J1391" s="64">
        <f>+CUBICACION!M1385</f>
        <v>0</v>
      </c>
      <c r="K1391" s="822" t="str">
        <f>+CUBICACION!N1385</f>
        <v/>
      </c>
      <c r="L1391" s="118">
        <f>+CUBICACION!O1385</f>
        <v>0</v>
      </c>
      <c r="M1391" s="823">
        <f>+CUBICACION!P1385</f>
        <v>0</v>
      </c>
      <c r="N1391" s="902">
        <f>ROUND(IF(AND(L1391="Blaze Shield II",M1391="Software Idiem",C1391="IN",G1391=4),((('BLAZE SHIELD II'!$D$4*('CALCULO MORTERO'!I1391^2)+'BLAZE SHIELD II'!$D$5*'CALCULO MORTERO'!I1391+'BLAZE SHIELD II'!$D$6)*LN(J1391))+('BLAZE SHIELD II'!$D$7*('CALCULO MORTERO'!I1391^2)+'BLAZE SHIELD II'!$D$8*'CALCULO MORTERO'!I1391+'BLAZE SHIELD II'!$D$9)),0)+IF(AND(L1391="Blaze Shield II",M1391="Software Idiem",C1391="Cj"),((('BLAZE SHIELD II'!$H$4*('CALCULO MORTERO'!I1391^2)+'BLAZE SHIELD II'!$H$5*'CALCULO MORTERO'!I1391+'BLAZE SHIELD II'!$H$6)*LN(J1391))+('BLAZE SHIELD II'!$H$7*('CALCULO MORTERO'!I1391^2)+'BLAZE SHIELD II'!$H$8*'CALCULO MORTERO'!I1391+'BLAZE SHIELD II'!$H$9)),0)+IF(AND(L1391="Blaze Shield II",M1391="Software Idiem",C1391="C"),((('BLAZE SHIELD II'!$L$4*('CALCULO MORTERO'!I1391^2)+'BLAZE SHIELD II'!$L$5*'CALCULO MORTERO'!I1391+'BLAZE SHIELD II'!$L$6)*LN(J1391))+('BLAZE SHIELD II'!$L$7*('CALCULO MORTERO'!I1391^2)+'BLAZE SHIELD II'!$L$8*'CALCULO MORTERO'!I1391+'BLAZE SHIELD II'!$L$9)),0)+IF(AND(L1391="Blaze Shield II",M1391="Software Idiem",C1391="L"),((('BLAZE SHIELD II'!$L$4*('CALCULO MORTERO'!I1391^2)+'BLAZE SHIELD II'!$L$5*'CALCULO MORTERO'!I1391+'BLAZE SHIELD II'!$L$6)*LN(J1391))+('BLAZE SHIELD II'!$L$7*('CALCULO MORTERO'!I1391^2)+'BLAZE SHIELD II'!$L$8*'CALCULO MORTERO'!I1391+'BLAZE SHIELD II'!$L$9)),0)+IF(AND(L1391="Blaze Shield II",M1391="Software Idiem",C1391="IN",G1391=3),((('BLAZE SHIELD II'!$H$14*('CALCULO MORTERO'!I1391^2)+'BLAZE SHIELD II'!$H$15*'CALCULO MORTERO'!I1391+'BLAZE SHIELD II'!$H$16)*LN(J1391))+('BLAZE SHIELD II'!$H$17*('CALCULO MORTERO'!I1391^2)+'BLAZE SHIELD II'!$H$18*'CALCULO MORTERO'!I1391+'BLAZE SHIELD II'!$H$19)),0),0)+ROUND(IF(AND(L1391="Cafco 400",M1391="Software Idiem",C1391="IN",G1391=4),((('CAFCO 400 '!$H$7*(J1391^4)+'CAFCO 400 '!$H$8*(J1391^3)+'CAFCO 400 '!$H$9*(J1391^2)+'CAFCO 400 '!$H$10*J1391+'CAFCO 400 '!$H$11)*U1391^2)+(('CAFCO 400 '!$H$12*(J1391^3)+'CAFCO 400 '!$H$13*(J1391^2)+'CAFCO 400 '!$H$14*J1391+'CAFCO 400 '!$H$15)*U1391)+('CAFCO 400 '!$H$16*(J1391^2)+'CAFCO 400 '!$H$17*J1391+'CAFCO 400 '!$H$18)),0)+IF(AND(L1391="Cafco 400",M1391="Software Idiem",C1391="Cj"),(((('CAFCO 400 '!$D$7*LN(J1391)+'CAFCO 400 '!$D$8)*U1391^2)+(('CAFCO 400 '!$D$9*LN(J1391)+'CAFCO 400 '!$D$10)*U1391)+('CAFCO 400 '!$D$11*LN(J1391)+'CAFCO 400 '!$D$12))),0)+IF(AND(L1391="Cafco 400",M1391="Software Idiem",C1391="C"),((('CAFCO 400 '!$L$7*(J1391^3)+'CAFCO 400 '!$L$8*(J1391^2)+'CAFCO 400 '!$L$9*J1391+'CAFCO 400 '!$L$10)*U1391^2)+(('CAFCO 400 '!$L$11*(J1391^3)+'CAFCO 400 '!$L$12*(J1391^2)+'CAFCO 400 '!$L$13*J1391+'CAFCO 400 '!$L$14)*U1391)+('CAFCO 400 '!$L$15*LN(J1391)+'CAFCO 400 '!$L$16)),0)+IF(AND(L1391="Cafco 400",M1391="Software Idiem",C1391="L"),((('CAFCO 400 '!$L$7*(J1391^3)+'CAFCO 400 '!$L$8*(J1391^2)+'CAFCO 400 '!$L$9*J1391+'CAFCO 400 '!$L$10)*U1391^2)+(('CAFCO 400 '!$L$11*(J1391^3)+'CAFCO 400 '!$L$12*(J1391^2)+'CAFCO 400 '!$L$13*J1391+'CAFCO 400 '!$L$14)*U1391)+('CAFCO 400 '!$L$15*LN(J1391)+'CAFCO 400 '!$L$16)),0)+IF(AND(L1391="Cafco 400",M1391="Software Idiem",C1391="IN",G1391=3),((('CAFCO 400 '!$D$23*(J1391^2)+'CAFCO 400 '!$D$24*(J1391)+'CAFCO 400 '!$D$25)*U1391^2)+(('CAFCO 400 '!$D$26*(J1391^2)+'CAFCO 400 '!$D$27*J1391+'CAFCO 400 '!$D$28)*U1391)+('CAFCO 400 '!$D$29*(J1391^2)+'CAFCO 400 '!$D$30*J1391+'CAFCO 400 '!$D$31)),0),0)+IF(AND(L1391="Cafco 300",J1391&gt;=95,J1391&lt;=240,C1391="Cj",I1391=90),VLOOKUP(T1391,'CAFCO 300 IDIEM TABLAS'!$B$4:$D$23,2,FALSE),0)+IF(AND(L1391="Cafco 300",J1391&gt;=95,J1391&lt;=240,C1391="Cj",I1391=120),VLOOKUP(T1391,'CAFCO 300 IDIEM TABLAS'!$B$4:$D$23,3,FALSE),0)+IF(AND(L1391="Cafco 300",J1391&gt;=95,J1391&lt;=400,G1391=3,C1391="IN",I1391=90),VLOOKUP(T1391,'CAFCO 300 IDIEM TABLAS'!$F$4:$H$35,2,FALSE),0)+IF(AND(L1391="Cafco 300",J1391&gt;=95,J1391&lt;=400,G1391=3,C1391="IN",I1391=120),VLOOKUP(T1391,'CAFCO 300 IDIEM TABLAS'!$F$4:$H$35,3,FALSE),0)+IF(AND(L1391="Cafco 300",J1391&gt;=95,J1391&lt;=450,G1391=4,C1391="IN",I1391=90),VLOOKUP(T1391,'CAFCO 300 IDIEM TABLAS'!$J$4:$L$40,2,FALSE),0)+IF(AND(L1391="Cafco 300",J1391&gt;=95,J1391&lt;=450,G1391=4,C1391="IN",I1391=120),VLOOKUP(T1391,'CAFCO 300 IDIEM TABLAS'!$J$4:$L$40,3,FALSE),0)+IF(AND(M1391="Ensayo Idiem",L1391="Cafco 400",C1391="IN",G1391=4,I1391=90),VLOOKUP(T1391,'CAFCO 400 ENSAYO'!$B$7:$D$43,2,FALSE),0)+IF(AND(M1391="Ensayo Idiem",L1391="Cafco 400",C1391="IN",G1391=4,I1391=120),VLOOKUP(T1391,'CAFCO 400 ENSAYO'!$B$7:$D$43,3,FALSE),0)</f>
        <v>0</v>
      </c>
      <c r="O1391" s="96">
        <f t="shared" si="138"/>
        <v>0</v>
      </c>
      <c r="P1391" s="132" t="str">
        <f t="shared" si="133"/>
        <v>N/A</v>
      </c>
      <c r="Q1391" s="132" t="str">
        <f t="shared" si="134"/>
        <v>N/A</v>
      </c>
      <c r="R1391" s="132" t="str">
        <f t="shared" si="135"/>
        <v>NO CERT.</v>
      </c>
      <c r="S1391" s="132" t="e">
        <f t="shared" si="136"/>
        <v>#N/A</v>
      </c>
      <c r="T1391" s="133" t="e">
        <f>+IF(J1391=LOOKUP(J1391,'CAFCO 300 IDIEM TABLAS'!$J$4:$J$40),'CALCULO MORTERO'!J1391,MROUND('CALCULO MORTERO'!J1391,10))</f>
        <v>#N/A</v>
      </c>
      <c r="U1391" s="134">
        <f t="shared" si="137"/>
        <v>0</v>
      </c>
    </row>
    <row r="1392" spans="1:21" x14ac:dyDescent="0.25">
      <c r="A1392" s="118">
        <f>+CUBICACION!D1386</f>
        <v>0</v>
      </c>
      <c r="B1392" s="819">
        <f>+CUBICACION!E1386</f>
        <v>0</v>
      </c>
      <c r="C1392" s="675">
        <f>+CUBICACION!F1386</f>
        <v>0</v>
      </c>
      <c r="D1392" s="118"/>
      <c r="E1392" s="118"/>
      <c r="F1392" s="820"/>
      <c r="G1392" s="675">
        <f>+CUBICACION!J1386</f>
        <v>0</v>
      </c>
      <c r="H1392" s="118"/>
      <c r="I1392" s="821">
        <f>+CUBICACION!L1386</f>
        <v>0</v>
      </c>
      <c r="J1392" s="64">
        <f>+CUBICACION!M1386</f>
        <v>0</v>
      </c>
      <c r="K1392" s="822" t="str">
        <f>+CUBICACION!N1386</f>
        <v/>
      </c>
      <c r="L1392" s="118">
        <f>+CUBICACION!O1386</f>
        <v>0</v>
      </c>
      <c r="M1392" s="823">
        <f>+CUBICACION!P1386</f>
        <v>0</v>
      </c>
      <c r="N1392" s="902">
        <f>ROUND(IF(AND(L1392="Blaze Shield II",M1392="Software Idiem",C1392="IN",G1392=4),((('BLAZE SHIELD II'!$D$4*('CALCULO MORTERO'!I1392^2)+'BLAZE SHIELD II'!$D$5*'CALCULO MORTERO'!I1392+'BLAZE SHIELD II'!$D$6)*LN(J1392))+('BLAZE SHIELD II'!$D$7*('CALCULO MORTERO'!I1392^2)+'BLAZE SHIELD II'!$D$8*'CALCULO MORTERO'!I1392+'BLAZE SHIELD II'!$D$9)),0)+IF(AND(L1392="Blaze Shield II",M1392="Software Idiem",C1392="Cj"),((('BLAZE SHIELD II'!$H$4*('CALCULO MORTERO'!I1392^2)+'BLAZE SHIELD II'!$H$5*'CALCULO MORTERO'!I1392+'BLAZE SHIELD II'!$H$6)*LN(J1392))+('BLAZE SHIELD II'!$H$7*('CALCULO MORTERO'!I1392^2)+'BLAZE SHIELD II'!$H$8*'CALCULO MORTERO'!I1392+'BLAZE SHIELD II'!$H$9)),0)+IF(AND(L1392="Blaze Shield II",M1392="Software Idiem",C1392="C"),((('BLAZE SHIELD II'!$L$4*('CALCULO MORTERO'!I1392^2)+'BLAZE SHIELD II'!$L$5*'CALCULO MORTERO'!I1392+'BLAZE SHIELD II'!$L$6)*LN(J1392))+('BLAZE SHIELD II'!$L$7*('CALCULO MORTERO'!I1392^2)+'BLAZE SHIELD II'!$L$8*'CALCULO MORTERO'!I1392+'BLAZE SHIELD II'!$L$9)),0)+IF(AND(L1392="Blaze Shield II",M1392="Software Idiem",C1392="L"),((('BLAZE SHIELD II'!$L$4*('CALCULO MORTERO'!I1392^2)+'BLAZE SHIELD II'!$L$5*'CALCULO MORTERO'!I1392+'BLAZE SHIELD II'!$L$6)*LN(J1392))+('BLAZE SHIELD II'!$L$7*('CALCULO MORTERO'!I1392^2)+'BLAZE SHIELD II'!$L$8*'CALCULO MORTERO'!I1392+'BLAZE SHIELD II'!$L$9)),0)+IF(AND(L1392="Blaze Shield II",M1392="Software Idiem",C1392="IN",G1392=3),((('BLAZE SHIELD II'!$H$14*('CALCULO MORTERO'!I1392^2)+'BLAZE SHIELD II'!$H$15*'CALCULO MORTERO'!I1392+'BLAZE SHIELD II'!$H$16)*LN(J1392))+('BLAZE SHIELD II'!$H$17*('CALCULO MORTERO'!I1392^2)+'BLAZE SHIELD II'!$H$18*'CALCULO MORTERO'!I1392+'BLAZE SHIELD II'!$H$19)),0),0)+ROUND(IF(AND(L1392="Cafco 400",M1392="Software Idiem",C1392="IN",G1392=4),((('CAFCO 400 '!$H$7*(J1392^4)+'CAFCO 400 '!$H$8*(J1392^3)+'CAFCO 400 '!$H$9*(J1392^2)+'CAFCO 400 '!$H$10*J1392+'CAFCO 400 '!$H$11)*U1392^2)+(('CAFCO 400 '!$H$12*(J1392^3)+'CAFCO 400 '!$H$13*(J1392^2)+'CAFCO 400 '!$H$14*J1392+'CAFCO 400 '!$H$15)*U1392)+('CAFCO 400 '!$H$16*(J1392^2)+'CAFCO 400 '!$H$17*J1392+'CAFCO 400 '!$H$18)),0)+IF(AND(L1392="Cafco 400",M1392="Software Idiem",C1392="Cj"),(((('CAFCO 400 '!$D$7*LN(J1392)+'CAFCO 400 '!$D$8)*U1392^2)+(('CAFCO 400 '!$D$9*LN(J1392)+'CAFCO 400 '!$D$10)*U1392)+('CAFCO 400 '!$D$11*LN(J1392)+'CAFCO 400 '!$D$12))),0)+IF(AND(L1392="Cafco 400",M1392="Software Idiem",C1392="C"),((('CAFCO 400 '!$L$7*(J1392^3)+'CAFCO 400 '!$L$8*(J1392^2)+'CAFCO 400 '!$L$9*J1392+'CAFCO 400 '!$L$10)*U1392^2)+(('CAFCO 400 '!$L$11*(J1392^3)+'CAFCO 400 '!$L$12*(J1392^2)+'CAFCO 400 '!$L$13*J1392+'CAFCO 400 '!$L$14)*U1392)+('CAFCO 400 '!$L$15*LN(J1392)+'CAFCO 400 '!$L$16)),0)+IF(AND(L1392="Cafco 400",M1392="Software Idiem",C1392="L"),((('CAFCO 400 '!$L$7*(J1392^3)+'CAFCO 400 '!$L$8*(J1392^2)+'CAFCO 400 '!$L$9*J1392+'CAFCO 400 '!$L$10)*U1392^2)+(('CAFCO 400 '!$L$11*(J1392^3)+'CAFCO 400 '!$L$12*(J1392^2)+'CAFCO 400 '!$L$13*J1392+'CAFCO 400 '!$L$14)*U1392)+('CAFCO 400 '!$L$15*LN(J1392)+'CAFCO 400 '!$L$16)),0)+IF(AND(L1392="Cafco 400",M1392="Software Idiem",C1392="IN",G1392=3),((('CAFCO 400 '!$D$23*(J1392^2)+'CAFCO 400 '!$D$24*(J1392)+'CAFCO 400 '!$D$25)*U1392^2)+(('CAFCO 400 '!$D$26*(J1392^2)+'CAFCO 400 '!$D$27*J1392+'CAFCO 400 '!$D$28)*U1392)+('CAFCO 400 '!$D$29*(J1392^2)+'CAFCO 400 '!$D$30*J1392+'CAFCO 400 '!$D$31)),0),0)+IF(AND(L1392="Cafco 300",J1392&gt;=95,J1392&lt;=240,C1392="Cj",I1392=90),VLOOKUP(T1392,'CAFCO 300 IDIEM TABLAS'!$B$4:$D$23,2,FALSE),0)+IF(AND(L1392="Cafco 300",J1392&gt;=95,J1392&lt;=240,C1392="Cj",I1392=120),VLOOKUP(T1392,'CAFCO 300 IDIEM TABLAS'!$B$4:$D$23,3,FALSE),0)+IF(AND(L1392="Cafco 300",J1392&gt;=95,J1392&lt;=400,G1392=3,C1392="IN",I1392=90),VLOOKUP(T1392,'CAFCO 300 IDIEM TABLAS'!$F$4:$H$35,2,FALSE),0)+IF(AND(L1392="Cafco 300",J1392&gt;=95,J1392&lt;=400,G1392=3,C1392="IN",I1392=120),VLOOKUP(T1392,'CAFCO 300 IDIEM TABLAS'!$F$4:$H$35,3,FALSE),0)+IF(AND(L1392="Cafco 300",J1392&gt;=95,J1392&lt;=450,G1392=4,C1392="IN",I1392=90),VLOOKUP(T1392,'CAFCO 300 IDIEM TABLAS'!$J$4:$L$40,2,FALSE),0)+IF(AND(L1392="Cafco 300",J1392&gt;=95,J1392&lt;=450,G1392=4,C1392="IN",I1392=120),VLOOKUP(T1392,'CAFCO 300 IDIEM TABLAS'!$J$4:$L$40,3,FALSE),0)+IF(AND(M1392="Ensayo Idiem",L1392="Cafco 400",C1392="IN",G1392=4,I1392=90),VLOOKUP(T1392,'CAFCO 400 ENSAYO'!$B$7:$D$43,2,FALSE),0)+IF(AND(M1392="Ensayo Idiem",L1392="Cafco 400",C1392="IN",G1392=4,I1392=120),VLOOKUP(T1392,'CAFCO 400 ENSAYO'!$B$7:$D$43,3,FALSE),0)</f>
        <v>0</v>
      </c>
      <c r="O1392" s="96">
        <f t="shared" si="138"/>
        <v>0</v>
      </c>
      <c r="P1392" s="95" t="str">
        <f t="shared" si="133"/>
        <v>N/A</v>
      </c>
      <c r="Q1392" s="95" t="str">
        <f t="shared" si="134"/>
        <v>N/A</v>
      </c>
      <c r="R1392" s="95" t="str">
        <f t="shared" si="135"/>
        <v>NO CERT.</v>
      </c>
      <c r="S1392" s="95" t="e">
        <f t="shared" si="136"/>
        <v>#N/A</v>
      </c>
      <c r="T1392" s="119" t="e">
        <f>+IF(J1392=LOOKUP(J1392,'CAFCO 300 IDIEM TABLAS'!$J$4:$J$40),'CALCULO MORTERO'!J1392,MROUND('CALCULO MORTERO'!J1392,10))</f>
        <v>#N/A</v>
      </c>
      <c r="U1392" s="118">
        <f t="shared" si="137"/>
        <v>0</v>
      </c>
    </row>
    <row r="1393" spans="1:21" x14ac:dyDescent="0.25">
      <c r="A1393" s="118">
        <f>+CUBICACION!D1387</f>
        <v>0</v>
      </c>
      <c r="B1393" s="819">
        <f>+CUBICACION!E1387</f>
        <v>0</v>
      </c>
      <c r="C1393" s="675">
        <f>+CUBICACION!F1387</f>
        <v>0</v>
      </c>
      <c r="D1393" s="118"/>
      <c r="E1393" s="118"/>
      <c r="F1393" s="820"/>
      <c r="G1393" s="675">
        <f>+CUBICACION!J1387</f>
        <v>0</v>
      </c>
      <c r="H1393" s="118"/>
      <c r="I1393" s="821">
        <f>+CUBICACION!L1387</f>
        <v>0</v>
      </c>
      <c r="J1393" s="64">
        <f>+CUBICACION!M1387</f>
        <v>0</v>
      </c>
      <c r="K1393" s="822" t="str">
        <f>+CUBICACION!N1387</f>
        <v/>
      </c>
      <c r="L1393" s="118">
        <f>+CUBICACION!O1387</f>
        <v>0</v>
      </c>
      <c r="M1393" s="823">
        <f>+CUBICACION!P1387</f>
        <v>0</v>
      </c>
      <c r="N1393" s="902">
        <f>ROUND(IF(AND(L1393="Blaze Shield II",M1393="Software Idiem",C1393="IN",G1393=4),((('BLAZE SHIELD II'!$D$4*('CALCULO MORTERO'!I1393^2)+'BLAZE SHIELD II'!$D$5*'CALCULO MORTERO'!I1393+'BLAZE SHIELD II'!$D$6)*LN(J1393))+('BLAZE SHIELD II'!$D$7*('CALCULO MORTERO'!I1393^2)+'BLAZE SHIELD II'!$D$8*'CALCULO MORTERO'!I1393+'BLAZE SHIELD II'!$D$9)),0)+IF(AND(L1393="Blaze Shield II",M1393="Software Idiem",C1393="Cj"),((('BLAZE SHIELD II'!$H$4*('CALCULO MORTERO'!I1393^2)+'BLAZE SHIELD II'!$H$5*'CALCULO MORTERO'!I1393+'BLAZE SHIELD II'!$H$6)*LN(J1393))+('BLAZE SHIELD II'!$H$7*('CALCULO MORTERO'!I1393^2)+'BLAZE SHIELD II'!$H$8*'CALCULO MORTERO'!I1393+'BLAZE SHIELD II'!$H$9)),0)+IF(AND(L1393="Blaze Shield II",M1393="Software Idiem",C1393="C"),((('BLAZE SHIELD II'!$L$4*('CALCULO MORTERO'!I1393^2)+'BLAZE SHIELD II'!$L$5*'CALCULO MORTERO'!I1393+'BLAZE SHIELD II'!$L$6)*LN(J1393))+('BLAZE SHIELD II'!$L$7*('CALCULO MORTERO'!I1393^2)+'BLAZE SHIELD II'!$L$8*'CALCULO MORTERO'!I1393+'BLAZE SHIELD II'!$L$9)),0)+IF(AND(L1393="Blaze Shield II",M1393="Software Idiem",C1393="L"),((('BLAZE SHIELD II'!$L$4*('CALCULO MORTERO'!I1393^2)+'BLAZE SHIELD II'!$L$5*'CALCULO MORTERO'!I1393+'BLAZE SHIELD II'!$L$6)*LN(J1393))+('BLAZE SHIELD II'!$L$7*('CALCULO MORTERO'!I1393^2)+'BLAZE SHIELD II'!$L$8*'CALCULO MORTERO'!I1393+'BLAZE SHIELD II'!$L$9)),0)+IF(AND(L1393="Blaze Shield II",M1393="Software Idiem",C1393="IN",G1393=3),((('BLAZE SHIELD II'!$H$14*('CALCULO MORTERO'!I1393^2)+'BLAZE SHIELD II'!$H$15*'CALCULO MORTERO'!I1393+'BLAZE SHIELD II'!$H$16)*LN(J1393))+('BLAZE SHIELD II'!$H$17*('CALCULO MORTERO'!I1393^2)+'BLAZE SHIELD II'!$H$18*'CALCULO MORTERO'!I1393+'BLAZE SHIELD II'!$H$19)),0),0)+ROUND(IF(AND(L1393="Cafco 400",M1393="Software Idiem",C1393="IN",G1393=4),((('CAFCO 400 '!$H$7*(J1393^4)+'CAFCO 400 '!$H$8*(J1393^3)+'CAFCO 400 '!$H$9*(J1393^2)+'CAFCO 400 '!$H$10*J1393+'CAFCO 400 '!$H$11)*U1393^2)+(('CAFCO 400 '!$H$12*(J1393^3)+'CAFCO 400 '!$H$13*(J1393^2)+'CAFCO 400 '!$H$14*J1393+'CAFCO 400 '!$H$15)*U1393)+('CAFCO 400 '!$H$16*(J1393^2)+'CAFCO 400 '!$H$17*J1393+'CAFCO 400 '!$H$18)),0)+IF(AND(L1393="Cafco 400",M1393="Software Idiem",C1393="Cj"),(((('CAFCO 400 '!$D$7*LN(J1393)+'CAFCO 400 '!$D$8)*U1393^2)+(('CAFCO 400 '!$D$9*LN(J1393)+'CAFCO 400 '!$D$10)*U1393)+('CAFCO 400 '!$D$11*LN(J1393)+'CAFCO 400 '!$D$12))),0)+IF(AND(L1393="Cafco 400",M1393="Software Idiem",C1393="C"),((('CAFCO 400 '!$L$7*(J1393^3)+'CAFCO 400 '!$L$8*(J1393^2)+'CAFCO 400 '!$L$9*J1393+'CAFCO 400 '!$L$10)*U1393^2)+(('CAFCO 400 '!$L$11*(J1393^3)+'CAFCO 400 '!$L$12*(J1393^2)+'CAFCO 400 '!$L$13*J1393+'CAFCO 400 '!$L$14)*U1393)+('CAFCO 400 '!$L$15*LN(J1393)+'CAFCO 400 '!$L$16)),0)+IF(AND(L1393="Cafco 400",M1393="Software Idiem",C1393="L"),((('CAFCO 400 '!$L$7*(J1393^3)+'CAFCO 400 '!$L$8*(J1393^2)+'CAFCO 400 '!$L$9*J1393+'CAFCO 400 '!$L$10)*U1393^2)+(('CAFCO 400 '!$L$11*(J1393^3)+'CAFCO 400 '!$L$12*(J1393^2)+'CAFCO 400 '!$L$13*J1393+'CAFCO 400 '!$L$14)*U1393)+('CAFCO 400 '!$L$15*LN(J1393)+'CAFCO 400 '!$L$16)),0)+IF(AND(L1393="Cafco 400",M1393="Software Idiem",C1393="IN",G1393=3),((('CAFCO 400 '!$D$23*(J1393^2)+'CAFCO 400 '!$D$24*(J1393)+'CAFCO 400 '!$D$25)*U1393^2)+(('CAFCO 400 '!$D$26*(J1393^2)+'CAFCO 400 '!$D$27*J1393+'CAFCO 400 '!$D$28)*U1393)+('CAFCO 400 '!$D$29*(J1393^2)+'CAFCO 400 '!$D$30*J1393+'CAFCO 400 '!$D$31)),0),0)+IF(AND(L1393="Cafco 300",J1393&gt;=95,J1393&lt;=240,C1393="Cj",I1393=90),VLOOKUP(T1393,'CAFCO 300 IDIEM TABLAS'!$B$4:$D$23,2,FALSE),0)+IF(AND(L1393="Cafco 300",J1393&gt;=95,J1393&lt;=240,C1393="Cj",I1393=120),VLOOKUP(T1393,'CAFCO 300 IDIEM TABLAS'!$B$4:$D$23,3,FALSE),0)+IF(AND(L1393="Cafco 300",J1393&gt;=95,J1393&lt;=400,G1393=3,C1393="IN",I1393=90),VLOOKUP(T1393,'CAFCO 300 IDIEM TABLAS'!$F$4:$H$35,2,FALSE),0)+IF(AND(L1393="Cafco 300",J1393&gt;=95,J1393&lt;=400,G1393=3,C1393="IN",I1393=120),VLOOKUP(T1393,'CAFCO 300 IDIEM TABLAS'!$F$4:$H$35,3,FALSE),0)+IF(AND(L1393="Cafco 300",J1393&gt;=95,J1393&lt;=450,G1393=4,C1393="IN",I1393=90),VLOOKUP(T1393,'CAFCO 300 IDIEM TABLAS'!$J$4:$L$40,2,FALSE),0)+IF(AND(L1393="Cafco 300",J1393&gt;=95,J1393&lt;=450,G1393=4,C1393="IN",I1393=120),VLOOKUP(T1393,'CAFCO 300 IDIEM TABLAS'!$J$4:$L$40,3,FALSE),0)+IF(AND(M1393="Ensayo Idiem",L1393="Cafco 400",C1393="IN",G1393=4,I1393=90),VLOOKUP(T1393,'CAFCO 400 ENSAYO'!$B$7:$D$43,2,FALSE),0)+IF(AND(M1393="Ensayo Idiem",L1393="Cafco 400",C1393="IN",G1393=4,I1393=120),VLOOKUP(T1393,'CAFCO 400 ENSAYO'!$B$7:$D$43,3,FALSE),0)</f>
        <v>0</v>
      </c>
      <c r="O1393" s="96">
        <f t="shared" si="138"/>
        <v>0</v>
      </c>
      <c r="P1393" s="132" t="str">
        <f t="shared" si="133"/>
        <v>N/A</v>
      </c>
      <c r="Q1393" s="132" t="str">
        <f t="shared" si="134"/>
        <v>N/A</v>
      </c>
      <c r="R1393" s="132" t="str">
        <f t="shared" si="135"/>
        <v>NO CERT.</v>
      </c>
      <c r="S1393" s="132" t="e">
        <f t="shared" si="136"/>
        <v>#N/A</v>
      </c>
      <c r="T1393" s="133" t="e">
        <f>+IF(J1393=LOOKUP(J1393,'CAFCO 300 IDIEM TABLAS'!$J$4:$J$40),'CALCULO MORTERO'!J1393,MROUND('CALCULO MORTERO'!J1393,10))</f>
        <v>#N/A</v>
      </c>
      <c r="U1393" s="134">
        <f t="shared" si="137"/>
        <v>0</v>
      </c>
    </row>
    <row r="1394" spans="1:21" x14ac:dyDescent="0.25">
      <c r="A1394" s="118">
        <f>+CUBICACION!D1388</f>
        <v>0</v>
      </c>
      <c r="B1394" s="819">
        <f>+CUBICACION!E1388</f>
        <v>0</v>
      </c>
      <c r="C1394" s="675">
        <f>+CUBICACION!F1388</f>
        <v>0</v>
      </c>
      <c r="D1394" s="118"/>
      <c r="E1394" s="118"/>
      <c r="F1394" s="820"/>
      <c r="G1394" s="675">
        <f>+CUBICACION!J1388</f>
        <v>0</v>
      </c>
      <c r="H1394" s="118"/>
      <c r="I1394" s="821">
        <f>+CUBICACION!L1388</f>
        <v>0</v>
      </c>
      <c r="J1394" s="64">
        <f>+CUBICACION!M1388</f>
        <v>0</v>
      </c>
      <c r="K1394" s="822" t="str">
        <f>+CUBICACION!N1388</f>
        <v/>
      </c>
      <c r="L1394" s="118">
        <f>+CUBICACION!O1388</f>
        <v>0</v>
      </c>
      <c r="M1394" s="823">
        <f>+CUBICACION!P1388</f>
        <v>0</v>
      </c>
      <c r="N1394" s="902">
        <f>ROUND(IF(AND(L1394="Blaze Shield II",M1394="Software Idiem",C1394="IN",G1394=4),((('BLAZE SHIELD II'!$D$4*('CALCULO MORTERO'!I1394^2)+'BLAZE SHIELD II'!$D$5*'CALCULO MORTERO'!I1394+'BLAZE SHIELD II'!$D$6)*LN(J1394))+('BLAZE SHIELD II'!$D$7*('CALCULO MORTERO'!I1394^2)+'BLAZE SHIELD II'!$D$8*'CALCULO MORTERO'!I1394+'BLAZE SHIELD II'!$D$9)),0)+IF(AND(L1394="Blaze Shield II",M1394="Software Idiem",C1394="Cj"),((('BLAZE SHIELD II'!$H$4*('CALCULO MORTERO'!I1394^2)+'BLAZE SHIELD II'!$H$5*'CALCULO MORTERO'!I1394+'BLAZE SHIELD II'!$H$6)*LN(J1394))+('BLAZE SHIELD II'!$H$7*('CALCULO MORTERO'!I1394^2)+'BLAZE SHIELD II'!$H$8*'CALCULO MORTERO'!I1394+'BLAZE SHIELD II'!$H$9)),0)+IF(AND(L1394="Blaze Shield II",M1394="Software Idiem",C1394="C"),((('BLAZE SHIELD II'!$L$4*('CALCULO MORTERO'!I1394^2)+'BLAZE SHIELD II'!$L$5*'CALCULO MORTERO'!I1394+'BLAZE SHIELD II'!$L$6)*LN(J1394))+('BLAZE SHIELD II'!$L$7*('CALCULO MORTERO'!I1394^2)+'BLAZE SHIELD II'!$L$8*'CALCULO MORTERO'!I1394+'BLAZE SHIELD II'!$L$9)),0)+IF(AND(L1394="Blaze Shield II",M1394="Software Idiem",C1394="L"),((('BLAZE SHIELD II'!$L$4*('CALCULO MORTERO'!I1394^2)+'BLAZE SHIELD II'!$L$5*'CALCULO MORTERO'!I1394+'BLAZE SHIELD II'!$L$6)*LN(J1394))+('BLAZE SHIELD II'!$L$7*('CALCULO MORTERO'!I1394^2)+'BLAZE SHIELD II'!$L$8*'CALCULO MORTERO'!I1394+'BLAZE SHIELD II'!$L$9)),0)+IF(AND(L1394="Blaze Shield II",M1394="Software Idiem",C1394="IN",G1394=3),((('BLAZE SHIELD II'!$H$14*('CALCULO MORTERO'!I1394^2)+'BLAZE SHIELD II'!$H$15*'CALCULO MORTERO'!I1394+'BLAZE SHIELD II'!$H$16)*LN(J1394))+('BLAZE SHIELD II'!$H$17*('CALCULO MORTERO'!I1394^2)+'BLAZE SHIELD II'!$H$18*'CALCULO MORTERO'!I1394+'BLAZE SHIELD II'!$H$19)),0),0)+ROUND(IF(AND(L1394="Cafco 400",M1394="Software Idiem",C1394="IN",G1394=4),((('CAFCO 400 '!$H$7*(J1394^4)+'CAFCO 400 '!$H$8*(J1394^3)+'CAFCO 400 '!$H$9*(J1394^2)+'CAFCO 400 '!$H$10*J1394+'CAFCO 400 '!$H$11)*U1394^2)+(('CAFCO 400 '!$H$12*(J1394^3)+'CAFCO 400 '!$H$13*(J1394^2)+'CAFCO 400 '!$H$14*J1394+'CAFCO 400 '!$H$15)*U1394)+('CAFCO 400 '!$H$16*(J1394^2)+'CAFCO 400 '!$H$17*J1394+'CAFCO 400 '!$H$18)),0)+IF(AND(L1394="Cafco 400",M1394="Software Idiem",C1394="Cj"),(((('CAFCO 400 '!$D$7*LN(J1394)+'CAFCO 400 '!$D$8)*U1394^2)+(('CAFCO 400 '!$D$9*LN(J1394)+'CAFCO 400 '!$D$10)*U1394)+('CAFCO 400 '!$D$11*LN(J1394)+'CAFCO 400 '!$D$12))),0)+IF(AND(L1394="Cafco 400",M1394="Software Idiem",C1394="C"),((('CAFCO 400 '!$L$7*(J1394^3)+'CAFCO 400 '!$L$8*(J1394^2)+'CAFCO 400 '!$L$9*J1394+'CAFCO 400 '!$L$10)*U1394^2)+(('CAFCO 400 '!$L$11*(J1394^3)+'CAFCO 400 '!$L$12*(J1394^2)+'CAFCO 400 '!$L$13*J1394+'CAFCO 400 '!$L$14)*U1394)+('CAFCO 400 '!$L$15*LN(J1394)+'CAFCO 400 '!$L$16)),0)+IF(AND(L1394="Cafco 400",M1394="Software Idiem",C1394="L"),((('CAFCO 400 '!$L$7*(J1394^3)+'CAFCO 400 '!$L$8*(J1394^2)+'CAFCO 400 '!$L$9*J1394+'CAFCO 400 '!$L$10)*U1394^2)+(('CAFCO 400 '!$L$11*(J1394^3)+'CAFCO 400 '!$L$12*(J1394^2)+'CAFCO 400 '!$L$13*J1394+'CAFCO 400 '!$L$14)*U1394)+('CAFCO 400 '!$L$15*LN(J1394)+'CAFCO 400 '!$L$16)),0)+IF(AND(L1394="Cafco 400",M1394="Software Idiem",C1394="IN",G1394=3),((('CAFCO 400 '!$D$23*(J1394^2)+'CAFCO 400 '!$D$24*(J1394)+'CAFCO 400 '!$D$25)*U1394^2)+(('CAFCO 400 '!$D$26*(J1394^2)+'CAFCO 400 '!$D$27*J1394+'CAFCO 400 '!$D$28)*U1394)+('CAFCO 400 '!$D$29*(J1394^2)+'CAFCO 400 '!$D$30*J1394+'CAFCO 400 '!$D$31)),0),0)+IF(AND(L1394="Cafco 300",J1394&gt;=95,J1394&lt;=240,C1394="Cj",I1394=90),VLOOKUP(T1394,'CAFCO 300 IDIEM TABLAS'!$B$4:$D$23,2,FALSE),0)+IF(AND(L1394="Cafco 300",J1394&gt;=95,J1394&lt;=240,C1394="Cj",I1394=120),VLOOKUP(T1394,'CAFCO 300 IDIEM TABLAS'!$B$4:$D$23,3,FALSE),0)+IF(AND(L1394="Cafco 300",J1394&gt;=95,J1394&lt;=400,G1394=3,C1394="IN",I1394=90),VLOOKUP(T1394,'CAFCO 300 IDIEM TABLAS'!$F$4:$H$35,2,FALSE),0)+IF(AND(L1394="Cafco 300",J1394&gt;=95,J1394&lt;=400,G1394=3,C1394="IN",I1394=120),VLOOKUP(T1394,'CAFCO 300 IDIEM TABLAS'!$F$4:$H$35,3,FALSE),0)+IF(AND(L1394="Cafco 300",J1394&gt;=95,J1394&lt;=450,G1394=4,C1394="IN",I1394=90),VLOOKUP(T1394,'CAFCO 300 IDIEM TABLAS'!$J$4:$L$40,2,FALSE),0)+IF(AND(L1394="Cafco 300",J1394&gt;=95,J1394&lt;=450,G1394=4,C1394="IN",I1394=120),VLOOKUP(T1394,'CAFCO 300 IDIEM TABLAS'!$J$4:$L$40,3,FALSE),0)+IF(AND(M1394="Ensayo Idiem",L1394="Cafco 400",C1394="IN",G1394=4,I1394=90),VLOOKUP(T1394,'CAFCO 400 ENSAYO'!$B$7:$D$43,2,FALSE),0)+IF(AND(M1394="Ensayo Idiem",L1394="Cafco 400",C1394="IN",G1394=4,I1394=120),VLOOKUP(T1394,'CAFCO 400 ENSAYO'!$B$7:$D$43,3,FALSE),0)</f>
        <v>0</v>
      </c>
      <c r="O1394" s="96">
        <f t="shared" si="138"/>
        <v>0</v>
      </c>
      <c r="P1394" s="95" t="str">
        <f t="shared" ref="P1394:P1457" si="139">IF(AND(M1394="Software Idiem"),IF(AND(C1394="IN",G1394=4,J1394&gt;=50,J1394&lt;=500),"CERT.",IF(AND(C1394="Cj",J1394&gt;=50,J1394&lt;=500),"CERT.",IF(AND(C1394="C",J1394&gt;=50,J1394&lt;=1000),"CERT.",IF(AND(C1394="L",J1394&gt;=50,J1394&lt;=1000),"CERT.",IF(AND(C1394="IN",G1394=3,J1394&gt;=50,J1394&lt;=500),"CERT.","NO CERT."))))),"N/A")</f>
        <v>N/A</v>
      </c>
      <c r="Q1394" s="95" t="str">
        <f t="shared" ref="Q1394:Q1457" si="140">IF(AND(M1394="Software Idiem"),IF(AND(C1394="IN",G1394=4,J1394&gt;=50,J1394&lt;=500),"CERT.",IF(AND(C1394="Cj",J1394&gt;=50,J1394&lt;=500),"CERT.",IF(AND(C1394="C",J1394&gt;=50,J1394&lt;=1000),"CERT.",IF(AND(C1394="L",J1394&gt;=50,J1394&lt;=1000),"CERT.",IF(AND(C1394="IN",G1394=3,J1394&gt;=50,J1394&lt;=500),"CERT.","NO CERT."))))),"N/A")</f>
        <v>N/A</v>
      </c>
      <c r="R1394" s="95" t="str">
        <f t="shared" ref="R1394:R1457" si="141">IF(AND(C1394="IN",G1394=4,J1394&gt;=95,J1394&lt;=450,I1394=90),"CERT.",IF(AND(C1394="IN",G1394=4,J1394&gt;=95,J1394&lt;=450,I1394=120),"CERT.","NO CERT."))</f>
        <v>NO CERT.</v>
      </c>
      <c r="S1394" s="95" t="e">
        <f t="shared" ref="S1394:S1457" si="142">IF(AND(C1394="Cj",I1394=90,T1394&lt;=240),"CERT.",IF(AND(C1394="Cj",I1394=120,T1394&lt;=240),"CERT.",IF(AND(C1394="IN",G1394=3,I1394=90,T1394&lt;=400),"CERT.",IF(AND(C1394="IN",G1394=3,I1394=120,T1394&lt;=400),"CERT.",IF(AND(C1394="IN",G1394=4,I1394=90,T1394&lt;=450),"CERT.",IF(AND(C1394="IN",G1394=4,I1394=120,T1394&lt;=450),"CERT.","NO CERT."))))))</f>
        <v>#N/A</v>
      </c>
      <c r="T1394" s="119" t="e">
        <f>+IF(J1394=LOOKUP(J1394,'CAFCO 300 IDIEM TABLAS'!$J$4:$J$40),'CALCULO MORTERO'!J1394,MROUND('CALCULO MORTERO'!J1394,10))</f>
        <v>#N/A</v>
      </c>
      <c r="U1394" s="118">
        <f t="shared" ref="U1394:U1457" si="143">+I1394*60</f>
        <v>0</v>
      </c>
    </row>
    <row r="1395" spans="1:21" x14ac:dyDescent="0.25">
      <c r="A1395" s="118">
        <f>+CUBICACION!D1389</f>
        <v>0</v>
      </c>
      <c r="B1395" s="819">
        <f>+CUBICACION!E1389</f>
        <v>0</v>
      </c>
      <c r="C1395" s="675">
        <f>+CUBICACION!F1389</f>
        <v>0</v>
      </c>
      <c r="D1395" s="118"/>
      <c r="E1395" s="118"/>
      <c r="F1395" s="820"/>
      <c r="G1395" s="675">
        <f>+CUBICACION!J1389</f>
        <v>0</v>
      </c>
      <c r="H1395" s="118"/>
      <c r="I1395" s="821">
        <f>+CUBICACION!L1389</f>
        <v>0</v>
      </c>
      <c r="J1395" s="64">
        <f>+CUBICACION!M1389</f>
        <v>0</v>
      </c>
      <c r="K1395" s="822" t="str">
        <f>+CUBICACION!N1389</f>
        <v/>
      </c>
      <c r="L1395" s="118">
        <f>+CUBICACION!O1389</f>
        <v>0</v>
      </c>
      <c r="M1395" s="823">
        <f>+CUBICACION!P1389</f>
        <v>0</v>
      </c>
      <c r="N1395" s="902">
        <f>ROUND(IF(AND(L1395="Blaze Shield II",M1395="Software Idiem",C1395="IN",G1395=4),((('BLAZE SHIELD II'!$D$4*('CALCULO MORTERO'!I1395^2)+'BLAZE SHIELD II'!$D$5*'CALCULO MORTERO'!I1395+'BLAZE SHIELD II'!$D$6)*LN(J1395))+('BLAZE SHIELD II'!$D$7*('CALCULO MORTERO'!I1395^2)+'BLAZE SHIELD II'!$D$8*'CALCULO MORTERO'!I1395+'BLAZE SHIELD II'!$D$9)),0)+IF(AND(L1395="Blaze Shield II",M1395="Software Idiem",C1395="Cj"),((('BLAZE SHIELD II'!$H$4*('CALCULO MORTERO'!I1395^2)+'BLAZE SHIELD II'!$H$5*'CALCULO MORTERO'!I1395+'BLAZE SHIELD II'!$H$6)*LN(J1395))+('BLAZE SHIELD II'!$H$7*('CALCULO MORTERO'!I1395^2)+'BLAZE SHIELD II'!$H$8*'CALCULO MORTERO'!I1395+'BLAZE SHIELD II'!$H$9)),0)+IF(AND(L1395="Blaze Shield II",M1395="Software Idiem",C1395="C"),((('BLAZE SHIELD II'!$L$4*('CALCULO MORTERO'!I1395^2)+'BLAZE SHIELD II'!$L$5*'CALCULO MORTERO'!I1395+'BLAZE SHIELD II'!$L$6)*LN(J1395))+('BLAZE SHIELD II'!$L$7*('CALCULO MORTERO'!I1395^2)+'BLAZE SHIELD II'!$L$8*'CALCULO MORTERO'!I1395+'BLAZE SHIELD II'!$L$9)),0)+IF(AND(L1395="Blaze Shield II",M1395="Software Idiem",C1395="L"),((('BLAZE SHIELD II'!$L$4*('CALCULO MORTERO'!I1395^2)+'BLAZE SHIELD II'!$L$5*'CALCULO MORTERO'!I1395+'BLAZE SHIELD II'!$L$6)*LN(J1395))+('BLAZE SHIELD II'!$L$7*('CALCULO MORTERO'!I1395^2)+'BLAZE SHIELD II'!$L$8*'CALCULO MORTERO'!I1395+'BLAZE SHIELD II'!$L$9)),0)+IF(AND(L1395="Blaze Shield II",M1395="Software Idiem",C1395="IN",G1395=3),((('BLAZE SHIELD II'!$H$14*('CALCULO MORTERO'!I1395^2)+'BLAZE SHIELD II'!$H$15*'CALCULO MORTERO'!I1395+'BLAZE SHIELD II'!$H$16)*LN(J1395))+('BLAZE SHIELD II'!$H$17*('CALCULO MORTERO'!I1395^2)+'BLAZE SHIELD II'!$H$18*'CALCULO MORTERO'!I1395+'BLAZE SHIELD II'!$H$19)),0),0)+ROUND(IF(AND(L1395="Cafco 400",M1395="Software Idiem",C1395="IN",G1395=4),((('CAFCO 400 '!$H$7*(J1395^4)+'CAFCO 400 '!$H$8*(J1395^3)+'CAFCO 400 '!$H$9*(J1395^2)+'CAFCO 400 '!$H$10*J1395+'CAFCO 400 '!$H$11)*U1395^2)+(('CAFCO 400 '!$H$12*(J1395^3)+'CAFCO 400 '!$H$13*(J1395^2)+'CAFCO 400 '!$H$14*J1395+'CAFCO 400 '!$H$15)*U1395)+('CAFCO 400 '!$H$16*(J1395^2)+'CAFCO 400 '!$H$17*J1395+'CAFCO 400 '!$H$18)),0)+IF(AND(L1395="Cafco 400",M1395="Software Idiem",C1395="Cj"),(((('CAFCO 400 '!$D$7*LN(J1395)+'CAFCO 400 '!$D$8)*U1395^2)+(('CAFCO 400 '!$D$9*LN(J1395)+'CAFCO 400 '!$D$10)*U1395)+('CAFCO 400 '!$D$11*LN(J1395)+'CAFCO 400 '!$D$12))),0)+IF(AND(L1395="Cafco 400",M1395="Software Idiem",C1395="C"),((('CAFCO 400 '!$L$7*(J1395^3)+'CAFCO 400 '!$L$8*(J1395^2)+'CAFCO 400 '!$L$9*J1395+'CAFCO 400 '!$L$10)*U1395^2)+(('CAFCO 400 '!$L$11*(J1395^3)+'CAFCO 400 '!$L$12*(J1395^2)+'CAFCO 400 '!$L$13*J1395+'CAFCO 400 '!$L$14)*U1395)+('CAFCO 400 '!$L$15*LN(J1395)+'CAFCO 400 '!$L$16)),0)+IF(AND(L1395="Cafco 400",M1395="Software Idiem",C1395="L"),((('CAFCO 400 '!$L$7*(J1395^3)+'CAFCO 400 '!$L$8*(J1395^2)+'CAFCO 400 '!$L$9*J1395+'CAFCO 400 '!$L$10)*U1395^2)+(('CAFCO 400 '!$L$11*(J1395^3)+'CAFCO 400 '!$L$12*(J1395^2)+'CAFCO 400 '!$L$13*J1395+'CAFCO 400 '!$L$14)*U1395)+('CAFCO 400 '!$L$15*LN(J1395)+'CAFCO 400 '!$L$16)),0)+IF(AND(L1395="Cafco 400",M1395="Software Idiem",C1395="IN",G1395=3),((('CAFCO 400 '!$D$23*(J1395^2)+'CAFCO 400 '!$D$24*(J1395)+'CAFCO 400 '!$D$25)*U1395^2)+(('CAFCO 400 '!$D$26*(J1395^2)+'CAFCO 400 '!$D$27*J1395+'CAFCO 400 '!$D$28)*U1395)+('CAFCO 400 '!$D$29*(J1395^2)+'CAFCO 400 '!$D$30*J1395+'CAFCO 400 '!$D$31)),0),0)+IF(AND(L1395="Cafco 300",J1395&gt;=95,J1395&lt;=240,C1395="Cj",I1395=90),VLOOKUP(T1395,'CAFCO 300 IDIEM TABLAS'!$B$4:$D$23,2,FALSE),0)+IF(AND(L1395="Cafco 300",J1395&gt;=95,J1395&lt;=240,C1395="Cj",I1395=120),VLOOKUP(T1395,'CAFCO 300 IDIEM TABLAS'!$B$4:$D$23,3,FALSE),0)+IF(AND(L1395="Cafco 300",J1395&gt;=95,J1395&lt;=400,G1395=3,C1395="IN",I1395=90),VLOOKUP(T1395,'CAFCO 300 IDIEM TABLAS'!$F$4:$H$35,2,FALSE),0)+IF(AND(L1395="Cafco 300",J1395&gt;=95,J1395&lt;=400,G1395=3,C1395="IN",I1395=120),VLOOKUP(T1395,'CAFCO 300 IDIEM TABLAS'!$F$4:$H$35,3,FALSE),0)+IF(AND(L1395="Cafco 300",J1395&gt;=95,J1395&lt;=450,G1395=4,C1395="IN",I1395=90),VLOOKUP(T1395,'CAFCO 300 IDIEM TABLAS'!$J$4:$L$40,2,FALSE),0)+IF(AND(L1395="Cafco 300",J1395&gt;=95,J1395&lt;=450,G1395=4,C1395="IN",I1395=120),VLOOKUP(T1395,'CAFCO 300 IDIEM TABLAS'!$J$4:$L$40,3,FALSE),0)+IF(AND(M1395="Ensayo Idiem",L1395="Cafco 400",C1395="IN",G1395=4,I1395=90),VLOOKUP(T1395,'CAFCO 400 ENSAYO'!$B$7:$D$43,2,FALSE),0)+IF(AND(M1395="Ensayo Idiem",L1395="Cafco 400",C1395="IN",G1395=4,I1395=120),VLOOKUP(T1395,'CAFCO 400 ENSAYO'!$B$7:$D$43,3,FALSE),0)</f>
        <v>0</v>
      </c>
      <c r="O1395" s="96">
        <f t="shared" si="138"/>
        <v>0</v>
      </c>
      <c r="P1395" s="132" t="str">
        <f t="shared" si="139"/>
        <v>N/A</v>
      </c>
      <c r="Q1395" s="132" t="str">
        <f t="shared" si="140"/>
        <v>N/A</v>
      </c>
      <c r="R1395" s="132" t="str">
        <f t="shared" si="141"/>
        <v>NO CERT.</v>
      </c>
      <c r="S1395" s="132" t="e">
        <f t="shared" si="142"/>
        <v>#N/A</v>
      </c>
      <c r="T1395" s="133" t="e">
        <f>+IF(J1395=LOOKUP(J1395,'CAFCO 300 IDIEM TABLAS'!$J$4:$J$40),'CALCULO MORTERO'!J1395,MROUND('CALCULO MORTERO'!J1395,10))</f>
        <v>#N/A</v>
      </c>
      <c r="U1395" s="134">
        <f t="shared" si="143"/>
        <v>0</v>
      </c>
    </row>
    <row r="1396" spans="1:21" x14ac:dyDescent="0.25">
      <c r="A1396" s="118">
        <f>+CUBICACION!D1390</f>
        <v>0</v>
      </c>
      <c r="B1396" s="819">
        <f>+CUBICACION!E1390</f>
        <v>0</v>
      </c>
      <c r="C1396" s="675">
        <f>+CUBICACION!F1390</f>
        <v>0</v>
      </c>
      <c r="D1396" s="118"/>
      <c r="E1396" s="118"/>
      <c r="F1396" s="820"/>
      <c r="G1396" s="675">
        <f>+CUBICACION!J1390</f>
        <v>0</v>
      </c>
      <c r="H1396" s="118"/>
      <c r="I1396" s="821">
        <f>+CUBICACION!L1390</f>
        <v>0</v>
      </c>
      <c r="J1396" s="64">
        <f>+CUBICACION!M1390</f>
        <v>0</v>
      </c>
      <c r="K1396" s="822" t="str">
        <f>+CUBICACION!N1390</f>
        <v/>
      </c>
      <c r="L1396" s="118">
        <f>+CUBICACION!O1390</f>
        <v>0</v>
      </c>
      <c r="M1396" s="823">
        <f>+CUBICACION!P1390</f>
        <v>0</v>
      </c>
      <c r="N1396" s="902">
        <f>ROUND(IF(AND(L1396="Blaze Shield II",M1396="Software Idiem",C1396="IN",G1396=4),((('BLAZE SHIELD II'!$D$4*('CALCULO MORTERO'!I1396^2)+'BLAZE SHIELD II'!$D$5*'CALCULO MORTERO'!I1396+'BLAZE SHIELD II'!$D$6)*LN(J1396))+('BLAZE SHIELD II'!$D$7*('CALCULO MORTERO'!I1396^2)+'BLAZE SHIELD II'!$D$8*'CALCULO MORTERO'!I1396+'BLAZE SHIELD II'!$D$9)),0)+IF(AND(L1396="Blaze Shield II",M1396="Software Idiem",C1396="Cj"),((('BLAZE SHIELD II'!$H$4*('CALCULO MORTERO'!I1396^2)+'BLAZE SHIELD II'!$H$5*'CALCULO MORTERO'!I1396+'BLAZE SHIELD II'!$H$6)*LN(J1396))+('BLAZE SHIELD II'!$H$7*('CALCULO MORTERO'!I1396^2)+'BLAZE SHIELD II'!$H$8*'CALCULO MORTERO'!I1396+'BLAZE SHIELD II'!$H$9)),0)+IF(AND(L1396="Blaze Shield II",M1396="Software Idiem",C1396="C"),((('BLAZE SHIELD II'!$L$4*('CALCULO MORTERO'!I1396^2)+'BLAZE SHIELD II'!$L$5*'CALCULO MORTERO'!I1396+'BLAZE SHIELD II'!$L$6)*LN(J1396))+('BLAZE SHIELD II'!$L$7*('CALCULO MORTERO'!I1396^2)+'BLAZE SHIELD II'!$L$8*'CALCULO MORTERO'!I1396+'BLAZE SHIELD II'!$L$9)),0)+IF(AND(L1396="Blaze Shield II",M1396="Software Idiem",C1396="L"),((('BLAZE SHIELD II'!$L$4*('CALCULO MORTERO'!I1396^2)+'BLAZE SHIELD II'!$L$5*'CALCULO MORTERO'!I1396+'BLAZE SHIELD II'!$L$6)*LN(J1396))+('BLAZE SHIELD II'!$L$7*('CALCULO MORTERO'!I1396^2)+'BLAZE SHIELD II'!$L$8*'CALCULO MORTERO'!I1396+'BLAZE SHIELD II'!$L$9)),0)+IF(AND(L1396="Blaze Shield II",M1396="Software Idiem",C1396="IN",G1396=3),((('BLAZE SHIELD II'!$H$14*('CALCULO MORTERO'!I1396^2)+'BLAZE SHIELD II'!$H$15*'CALCULO MORTERO'!I1396+'BLAZE SHIELD II'!$H$16)*LN(J1396))+('BLAZE SHIELD II'!$H$17*('CALCULO MORTERO'!I1396^2)+'BLAZE SHIELD II'!$H$18*'CALCULO MORTERO'!I1396+'BLAZE SHIELD II'!$H$19)),0),0)+ROUND(IF(AND(L1396="Cafco 400",M1396="Software Idiem",C1396="IN",G1396=4),((('CAFCO 400 '!$H$7*(J1396^4)+'CAFCO 400 '!$H$8*(J1396^3)+'CAFCO 400 '!$H$9*(J1396^2)+'CAFCO 400 '!$H$10*J1396+'CAFCO 400 '!$H$11)*U1396^2)+(('CAFCO 400 '!$H$12*(J1396^3)+'CAFCO 400 '!$H$13*(J1396^2)+'CAFCO 400 '!$H$14*J1396+'CAFCO 400 '!$H$15)*U1396)+('CAFCO 400 '!$H$16*(J1396^2)+'CAFCO 400 '!$H$17*J1396+'CAFCO 400 '!$H$18)),0)+IF(AND(L1396="Cafco 400",M1396="Software Idiem",C1396="Cj"),(((('CAFCO 400 '!$D$7*LN(J1396)+'CAFCO 400 '!$D$8)*U1396^2)+(('CAFCO 400 '!$D$9*LN(J1396)+'CAFCO 400 '!$D$10)*U1396)+('CAFCO 400 '!$D$11*LN(J1396)+'CAFCO 400 '!$D$12))),0)+IF(AND(L1396="Cafco 400",M1396="Software Idiem",C1396="C"),((('CAFCO 400 '!$L$7*(J1396^3)+'CAFCO 400 '!$L$8*(J1396^2)+'CAFCO 400 '!$L$9*J1396+'CAFCO 400 '!$L$10)*U1396^2)+(('CAFCO 400 '!$L$11*(J1396^3)+'CAFCO 400 '!$L$12*(J1396^2)+'CAFCO 400 '!$L$13*J1396+'CAFCO 400 '!$L$14)*U1396)+('CAFCO 400 '!$L$15*LN(J1396)+'CAFCO 400 '!$L$16)),0)+IF(AND(L1396="Cafco 400",M1396="Software Idiem",C1396="L"),((('CAFCO 400 '!$L$7*(J1396^3)+'CAFCO 400 '!$L$8*(J1396^2)+'CAFCO 400 '!$L$9*J1396+'CAFCO 400 '!$L$10)*U1396^2)+(('CAFCO 400 '!$L$11*(J1396^3)+'CAFCO 400 '!$L$12*(J1396^2)+'CAFCO 400 '!$L$13*J1396+'CAFCO 400 '!$L$14)*U1396)+('CAFCO 400 '!$L$15*LN(J1396)+'CAFCO 400 '!$L$16)),0)+IF(AND(L1396="Cafco 400",M1396="Software Idiem",C1396="IN",G1396=3),((('CAFCO 400 '!$D$23*(J1396^2)+'CAFCO 400 '!$D$24*(J1396)+'CAFCO 400 '!$D$25)*U1396^2)+(('CAFCO 400 '!$D$26*(J1396^2)+'CAFCO 400 '!$D$27*J1396+'CAFCO 400 '!$D$28)*U1396)+('CAFCO 400 '!$D$29*(J1396^2)+'CAFCO 400 '!$D$30*J1396+'CAFCO 400 '!$D$31)),0),0)+IF(AND(L1396="Cafco 300",J1396&gt;=95,J1396&lt;=240,C1396="Cj",I1396=90),VLOOKUP(T1396,'CAFCO 300 IDIEM TABLAS'!$B$4:$D$23,2,FALSE),0)+IF(AND(L1396="Cafco 300",J1396&gt;=95,J1396&lt;=240,C1396="Cj",I1396=120),VLOOKUP(T1396,'CAFCO 300 IDIEM TABLAS'!$B$4:$D$23,3,FALSE),0)+IF(AND(L1396="Cafco 300",J1396&gt;=95,J1396&lt;=400,G1396=3,C1396="IN",I1396=90),VLOOKUP(T1396,'CAFCO 300 IDIEM TABLAS'!$F$4:$H$35,2,FALSE),0)+IF(AND(L1396="Cafco 300",J1396&gt;=95,J1396&lt;=400,G1396=3,C1396="IN",I1396=120),VLOOKUP(T1396,'CAFCO 300 IDIEM TABLAS'!$F$4:$H$35,3,FALSE),0)+IF(AND(L1396="Cafco 300",J1396&gt;=95,J1396&lt;=450,G1396=4,C1396="IN",I1396=90),VLOOKUP(T1396,'CAFCO 300 IDIEM TABLAS'!$J$4:$L$40,2,FALSE),0)+IF(AND(L1396="Cafco 300",J1396&gt;=95,J1396&lt;=450,G1396=4,C1396="IN",I1396=120),VLOOKUP(T1396,'CAFCO 300 IDIEM TABLAS'!$J$4:$L$40,3,FALSE),0)+IF(AND(M1396="Ensayo Idiem",L1396="Cafco 400",C1396="IN",G1396=4,I1396=90),VLOOKUP(T1396,'CAFCO 400 ENSAYO'!$B$7:$D$43,2,FALSE),0)+IF(AND(M1396="Ensayo Idiem",L1396="Cafco 400",C1396="IN",G1396=4,I1396=120),VLOOKUP(T1396,'CAFCO 400 ENSAYO'!$B$7:$D$43,3,FALSE),0)</f>
        <v>0</v>
      </c>
      <c r="O1396" s="96">
        <f t="shared" si="138"/>
        <v>0</v>
      </c>
      <c r="P1396" s="95" t="str">
        <f t="shared" si="139"/>
        <v>N/A</v>
      </c>
      <c r="Q1396" s="95" t="str">
        <f t="shared" si="140"/>
        <v>N/A</v>
      </c>
      <c r="R1396" s="95" t="str">
        <f t="shared" si="141"/>
        <v>NO CERT.</v>
      </c>
      <c r="S1396" s="95" t="e">
        <f t="shared" si="142"/>
        <v>#N/A</v>
      </c>
      <c r="T1396" s="119" t="e">
        <f>+IF(J1396=LOOKUP(J1396,'CAFCO 300 IDIEM TABLAS'!$J$4:$J$40),'CALCULO MORTERO'!J1396,MROUND('CALCULO MORTERO'!J1396,10))</f>
        <v>#N/A</v>
      </c>
      <c r="U1396" s="118">
        <f t="shared" si="143"/>
        <v>0</v>
      </c>
    </row>
    <row r="1397" spans="1:21" x14ac:dyDescent="0.25">
      <c r="A1397" s="118">
        <f>+CUBICACION!D1391</f>
        <v>0</v>
      </c>
      <c r="B1397" s="819">
        <f>+CUBICACION!E1391</f>
        <v>0</v>
      </c>
      <c r="C1397" s="675">
        <f>+CUBICACION!F1391</f>
        <v>0</v>
      </c>
      <c r="D1397" s="118"/>
      <c r="E1397" s="118"/>
      <c r="F1397" s="820"/>
      <c r="G1397" s="675">
        <f>+CUBICACION!J1391</f>
        <v>0</v>
      </c>
      <c r="H1397" s="118"/>
      <c r="I1397" s="821">
        <f>+CUBICACION!L1391</f>
        <v>0</v>
      </c>
      <c r="J1397" s="64">
        <f>+CUBICACION!M1391</f>
        <v>0</v>
      </c>
      <c r="K1397" s="822" t="str">
        <f>+CUBICACION!N1391</f>
        <v/>
      </c>
      <c r="L1397" s="118">
        <f>+CUBICACION!O1391</f>
        <v>0</v>
      </c>
      <c r="M1397" s="823">
        <f>+CUBICACION!P1391</f>
        <v>0</v>
      </c>
      <c r="N1397" s="902">
        <f>ROUND(IF(AND(L1397="Blaze Shield II",M1397="Software Idiem",C1397="IN",G1397=4),((('BLAZE SHIELD II'!$D$4*('CALCULO MORTERO'!I1397^2)+'BLAZE SHIELD II'!$D$5*'CALCULO MORTERO'!I1397+'BLAZE SHIELD II'!$D$6)*LN(J1397))+('BLAZE SHIELD II'!$D$7*('CALCULO MORTERO'!I1397^2)+'BLAZE SHIELD II'!$D$8*'CALCULO MORTERO'!I1397+'BLAZE SHIELD II'!$D$9)),0)+IF(AND(L1397="Blaze Shield II",M1397="Software Idiem",C1397="Cj"),((('BLAZE SHIELD II'!$H$4*('CALCULO MORTERO'!I1397^2)+'BLAZE SHIELD II'!$H$5*'CALCULO MORTERO'!I1397+'BLAZE SHIELD II'!$H$6)*LN(J1397))+('BLAZE SHIELD II'!$H$7*('CALCULO MORTERO'!I1397^2)+'BLAZE SHIELD II'!$H$8*'CALCULO MORTERO'!I1397+'BLAZE SHIELD II'!$H$9)),0)+IF(AND(L1397="Blaze Shield II",M1397="Software Idiem",C1397="C"),((('BLAZE SHIELD II'!$L$4*('CALCULO MORTERO'!I1397^2)+'BLAZE SHIELD II'!$L$5*'CALCULO MORTERO'!I1397+'BLAZE SHIELD II'!$L$6)*LN(J1397))+('BLAZE SHIELD II'!$L$7*('CALCULO MORTERO'!I1397^2)+'BLAZE SHIELD II'!$L$8*'CALCULO MORTERO'!I1397+'BLAZE SHIELD II'!$L$9)),0)+IF(AND(L1397="Blaze Shield II",M1397="Software Idiem",C1397="L"),((('BLAZE SHIELD II'!$L$4*('CALCULO MORTERO'!I1397^2)+'BLAZE SHIELD II'!$L$5*'CALCULO MORTERO'!I1397+'BLAZE SHIELD II'!$L$6)*LN(J1397))+('BLAZE SHIELD II'!$L$7*('CALCULO MORTERO'!I1397^2)+'BLAZE SHIELD II'!$L$8*'CALCULO MORTERO'!I1397+'BLAZE SHIELD II'!$L$9)),0)+IF(AND(L1397="Blaze Shield II",M1397="Software Idiem",C1397="IN",G1397=3),((('BLAZE SHIELD II'!$H$14*('CALCULO MORTERO'!I1397^2)+'BLAZE SHIELD II'!$H$15*'CALCULO MORTERO'!I1397+'BLAZE SHIELD II'!$H$16)*LN(J1397))+('BLAZE SHIELD II'!$H$17*('CALCULO MORTERO'!I1397^2)+'BLAZE SHIELD II'!$H$18*'CALCULO MORTERO'!I1397+'BLAZE SHIELD II'!$H$19)),0),0)+ROUND(IF(AND(L1397="Cafco 400",M1397="Software Idiem",C1397="IN",G1397=4),((('CAFCO 400 '!$H$7*(J1397^4)+'CAFCO 400 '!$H$8*(J1397^3)+'CAFCO 400 '!$H$9*(J1397^2)+'CAFCO 400 '!$H$10*J1397+'CAFCO 400 '!$H$11)*U1397^2)+(('CAFCO 400 '!$H$12*(J1397^3)+'CAFCO 400 '!$H$13*(J1397^2)+'CAFCO 400 '!$H$14*J1397+'CAFCO 400 '!$H$15)*U1397)+('CAFCO 400 '!$H$16*(J1397^2)+'CAFCO 400 '!$H$17*J1397+'CAFCO 400 '!$H$18)),0)+IF(AND(L1397="Cafco 400",M1397="Software Idiem",C1397="Cj"),(((('CAFCO 400 '!$D$7*LN(J1397)+'CAFCO 400 '!$D$8)*U1397^2)+(('CAFCO 400 '!$D$9*LN(J1397)+'CAFCO 400 '!$D$10)*U1397)+('CAFCO 400 '!$D$11*LN(J1397)+'CAFCO 400 '!$D$12))),0)+IF(AND(L1397="Cafco 400",M1397="Software Idiem",C1397="C"),((('CAFCO 400 '!$L$7*(J1397^3)+'CAFCO 400 '!$L$8*(J1397^2)+'CAFCO 400 '!$L$9*J1397+'CAFCO 400 '!$L$10)*U1397^2)+(('CAFCO 400 '!$L$11*(J1397^3)+'CAFCO 400 '!$L$12*(J1397^2)+'CAFCO 400 '!$L$13*J1397+'CAFCO 400 '!$L$14)*U1397)+('CAFCO 400 '!$L$15*LN(J1397)+'CAFCO 400 '!$L$16)),0)+IF(AND(L1397="Cafco 400",M1397="Software Idiem",C1397="L"),((('CAFCO 400 '!$L$7*(J1397^3)+'CAFCO 400 '!$L$8*(J1397^2)+'CAFCO 400 '!$L$9*J1397+'CAFCO 400 '!$L$10)*U1397^2)+(('CAFCO 400 '!$L$11*(J1397^3)+'CAFCO 400 '!$L$12*(J1397^2)+'CAFCO 400 '!$L$13*J1397+'CAFCO 400 '!$L$14)*U1397)+('CAFCO 400 '!$L$15*LN(J1397)+'CAFCO 400 '!$L$16)),0)+IF(AND(L1397="Cafco 400",M1397="Software Idiem",C1397="IN",G1397=3),((('CAFCO 400 '!$D$23*(J1397^2)+'CAFCO 400 '!$D$24*(J1397)+'CAFCO 400 '!$D$25)*U1397^2)+(('CAFCO 400 '!$D$26*(J1397^2)+'CAFCO 400 '!$D$27*J1397+'CAFCO 400 '!$D$28)*U1397)+('CAFCO 400 '!$D$29*(J1397^2)+'CAFCO 400 '!$D$30*J1397+'CAFCO 400 '!$D$31)),0),0)+IF(AND(L1397="Cafco 300",J1397&gt;=95,J1397&lt;=240,C1397="Cj",I1397=90),VLOOKUP(T1397,'CAFCO 300 IDIEM TABLAS'!$B$4:$D$23,2,FALSE),0)+IF(AND(L1397="Cafco 300",J1397&gt;=95,J1397&lt;=240,C1397="Cj",I1397=120),VLOOKUP(T1397,'CAFCO 300 IDIEM TABLAS'!$B$4:$D$23,3,FALSE),0)+IF(AND(L1397="Cafco 300",J1397&gt;=95,J1397&lt;=400,G1397=3,C1397="IN",I1397=90),VLOOKUP(T1397,'CAFCO 300 IDIEM TABLAS'!$F$4:$H$35,2,FALSE),0)+IF(AND(L1397="Cafco 300",J1397&gt;=95,J1397&lt;=400,G1397=3,C1397="IN",I1397=120),VLOOKUP(T1397,'CAFCO 300 IDIEM TABLAS'!$F$4:$H$35,3,FALSE),0)+IF(AND(L1397="Cafco 300",J1397&gt;=95,J1397&lt;=450,G1397=4,C1397="IN",I1397=90),VLOOKUP(T1397,'CAFCO 300 IDIEM TABLAS'!$J$4:$L$40,2,FALSE),0)+IF(AND(L1397="Cafco 300",J1397&gt;=95,J1397&lt;=450,G1397=4,C1397="IN",I1397=120),VLOOKUP(T1397,'CAFCO 300 IDIEM TABLAS'!$J$4:$L$40,3,FALSE),0)+IF(AND(M1397="Ensayo Idiem",L1397="Cafco 400",C1397="IN",G1397=4,I1397=90),VLOOKUP(T1397,'CAFCO 400 ENSAYO'!$B$7:$D$43,2,FALSE),0)+IF(AND(M1397="Ensayo Idiem",L1397="Cafco 400",C1397="IN",G1397=4,I1397=120),VLOOKUP(T1397,'CAFCO 400 ENSAYO'!$B$7:$D$43,3,FALSE),0)</f>
        <v>0</v>
      </c>
      <c r="O1397" s="96">
        <f t="shared" si="138"/>
        <v>0</v>
      </c>
      <c r="P1397" s="132" t="str">
        <f t="shared" si="139"/>
        <v>N/A</v>
      </c>
      <c r="Q1397" s="132" t="str">
        <f t="shared" si="140"/>
        <v>N/A</v>
      </c>
      <c r="R1397" s="132" t="str">
        <f t="shared" si="141"/>
        <v>NO CERT.</v>
      </c>
      <c r="S1397" s="132" t="e">
        <f t="shared" si="142"/>
        <v>#N/A</v>
      </c>
      <c r="T1397" s="133" t="e">
        <f>+IF(J1397=LOOKUP(J1397,'CAFCO 300 IDIEM TABLAS'!$J$4:$J$40),'CALCULO MORTERO'!J1397,MROUND('CALCULO MORTERO'!J1397,10))</f>
        <v>#N/A</v>
      </c>
      <c r="U1397" s="134">
        <f t="shared" si="143"/>
        <v>0</v>
      </c>
    </row>
    <row r="1398" spans="1:21" x14ac:dyDescent="0.25">
      <c r="A1398" s="118">
        <f>+CUBICACION!D1392</f>
        <v>0</v>
      </c>
      <c r="B1398" s="819">
        <f>+CUBICACION!E1392</f>
        <v>0</v>
      </c>
      <c r="C1398" s="675">
        <f>+CUBICACION!F1392</f>
        <v>0</v>
      </c>
      <c r="D1398" s="118"/>
      <c r="E1398" s="118"/>
      <c r="F1398" s="820"/>
      <c r="G1398" s="675">
        <f>+CUBICACION!J1392</f>
        <v>0</v>
      </c>
      <c r="H1398" s="118"/>
      <c r="I1398" s="821">
        <f>+CUBICACION!L1392</f>
        <v>0</v>
      </c>
      <c r="J1398" s="64">
        <f>+CUBICACION!M1392</f>
        <v>0</v>
      </c>
      <c r="K1398" s="822" t="str">
        <f>+CUBICACION!N1392</f>
        <v/>
      </c>
      <c r="L1398" s="118">
        <f>+CUBICACION!O1392</f>
        <v>0</v>
      </c>
      <c r="M1398" s="823">
        <f>+CUBICACION!P1392</f>
        <v>0</v>
      </c>
      <c r="N1398" s="902">
        <f>ROUND(IF(AND(L1398="Blaze Shield II",M1398="Software Idiem",C1398="IN",G1398=4),((('BLAZE SHIELD II'!$D$4*('CALCULO MORTERO'!I1398^2)+'BLAZE SHIELD II'!$D$5*'CALCULO MORTERO'!I1398+'BLAZE SHIELD II'!$D$6)*LN(J1398))+('BLAZE SHIELD II'!$D$7*('CALCULO MORTERO'!I1398^2)+'BLAZE SHIELD II'!$D$8*'CALCULO MORTERO'!I1398+'BLAZE SHIELD II'!$D$9)),0)+IF(AND(L1398="Blaze Shield II",M1398="Software Idiem",C1398="Cj"),((('BLAZE SHIELD II'!$H$4*('CALCULO MORTERO'!I1398^2)+'BLAZE SHIELD II'!$H$5*'CALCULO MORTERO'!I1398+'BLAZE SHIELD II'!$H$6)*LN(J1398))+('BLAZE SHIELD II'!$H$7*('CALCULO MORTERO'!I1398^2)+'BLAZE SHIELD II'!$H$8*'CALCULO MORTERO'!I1398+'BLAZE SHIELD II'!$H$9)),0)+IF(AND(L1398="Blaze Shield II",M1398="Software Idiem",C1398="C"),((('BLAZE SHIELD II'!$L$4*('CALCULO MORTERO'!I1398^2)+'BLAZE SHIELD II'!$L$5*'CALCULO MORTERO'!I1398+'BLAZE SHIELD II'!$L$6)*LN(J1398))+('BLAZE SHIELD II'!$L$7*('CALCULO MORTERO'!I1398^2)+'BLAZE SHIELD II'!$L$8*'CALCULO MORTERO'!I1398+'BLAZE SHIELD II'!$L$9)),0)+IF(AND(L1398="Blaze Shield II",M1398="Software Idiem",C1398="L"),((('BLAZE SHIELD II'!$L$4*('CALCULO MORTERO'!I1398^2)+'BLAZE SHIELD II'!$L$5*'CALCULO MORTERO'!I1398+'BLAZE SHIELD II'!$L$6)*LN(J1398))+('BLAZE SHIELD II'!$L$7*('CALCULO MORTERO'!I1398^2)+'BLAZE SHIELD II'!$L$8*'CALCULO MORTERO'!I1398+'BLAZE SHIELD II'!$L$9)),0)+IF(AND(L1398="Blaze Shield II",M1398="Software Idiem",C1398="IN",G1398=3),((('BLAZE SHIELD II'!$H$14*('CALCULO MORTERO'!I1398^2)+'BLAZE SHIELD II'!$H$15*'CALCULO MORTERO'!I1398+'BLAZE SHIELD II'!$H$16)*LN(J1398))+('BLAZE SHIELD II'!$H$17*('CALCULO MORTERO'!I1398^2)+'BLAZE SHIELD II'!$H$18*'CALCULO MORTERO'!I1398+'BLAZE SHIELD II'!$H$19)),0),0)+ROUND(IF(AND(L1398="Cafco 400",M1398="Software Idiem",C1398="IN",G1398=4),((('CAFCO 400 '!$H$7*(J1398^4)+'CAFCO 400 '!$H$8*(J1398^3)+'CAFCO 400 '!$H$9*(J1398^2)+'CAFCO 400 '!$H$10*J1398+'CAFCO 400 '!$H$11)*U1398^2)+(('CAFCO 400 '!$H$12*(J1398^3)+'CAFCO 400 '!$H$13*(J1398^2)+'CAFCO 400 '!$H$14*J1398+'CAFCO 400 '!$H$15)*U1398)+('CAFCO 400 '!$H$16*(J1398^2)+'CAFCO 400 '!$H$17*J1398+'CAFCO 400 '!$H$18)),0)+IF(AND(L1398="Cafco 400",M1398="Software Idiem",C1398="Cj"),(((('CAFCO 400 '!$D$7*LN(J1398)+'CAFCO 400 '!$D$8)*U1398^2)+(('CAFCO 400 '!$D$9*LN(J1398)+'CAFCO 400 '!$D$10)*U1398)+('CAFCO 400 '!$D$11*LN(J1398)+'CAFCO 400 '!$D$12))),0)+IF(AND(L1398="Cafco 400",M1398="Software Idiem",C1398="C"),((('CAFCO 400 '!$L$7*(J1398^3)+'CAFCO 400 '!$L$8*(J1398^2)+'CAFCO 400 '!$L$9*J1398+'CAFCO 400 '!$L$10)*U1398^2)+(('CAFCO 400 '!$L$11*(J1398^3)+'CAFCO 400 '!$L$12*(J1398^2)+'CAFCO 400 '!$L$13*J1398+'CAFCO 400 '!$L$14)*U1398)+('CAFCO 400 '!$L$15*LN(J1398)+'CAFCO 400 '!$L$16)),0)+IF(AND(L1398="Cafco 400",M1398="Software Idiem",C1398="L"),((('CAFCO 400 '!$L$7*(J1398^3)+'CAFCO 400 '!$L$8*(J1398^2)+'CAFCO 400 '!$L$9*J1398+'CAFCO 400 '!$L$10)*U1398^2)+(('CAFCO 400 '!$L$11*(J1398^3)+'CAFCO 400 '!$L$12*(J1398^2)+'CAFCO 400 '!$L$13*J1398+'CAFCO 400 '!$L$14)*U1398)+('CAFCO 400 '!$L$15*LN(J1398)+'CAFCO 400 '!$L$16)),0)+IF(AND(L1398="Cafco 400",M1398="Software Idiem",C1398="IN",G1398=3),((('CAFCO 400 '!$D$23*(J1398^2)+'CAFCO 400 '!$D$24*(J1398)+'CAFCO 400 '!$D$25)*U1398^2)+(('CAFCO 400 '!$D$26*(J1398^2)+'CAFCO 400 '!$D$27*J1398+'CAFCO 400 '!$D$28)*U1398)+('CAFCO 400 '!$D$29*(J1398^2)+'CAFCO 400 '!$D$30*J1398+'CAFCO 400 '!$D$31)),0),0)+IF(AND(L1398="Cafco 300",J1398&gt;=95,J1398&lt;=240,C1398="Cj",I1398=90),VLOOKUP(T1398,'CAFCO 300 IDIEM TABLAS'!$B$4:$D$23,2,FALSE),0)+IF(AND(L1398="Cafco 300",J1398&gt;=95,J1398&lt;=240,C1398="Cj",I1398=120),VLOOKUP(T1398,'CAFCO 300 IDIEM TABLAS'!$B$4:$D$23,3,FALSE),0)+IF(AND(L1398="Cafco 300",J1398&gt;=95,J1398&lt;=400,G1398=3,C1398="IN",I1398=90),VLOOKUP(T1398,'CAFCO 300 IDIEM TABLAS'!$F$4:$H$35,2,FALSE),0)+IF(AND(L1398="Cafco 300",J1398&gt;=95,J1398&lt;=400,G1398=3,C1398="IN",I1398=120),VLOOKUP(T1398,'CAFCO 300 IDIEM TABLAS'!$F$4:$H$35,3,FALSE),0)+IF(AND(L1398="Cafco 300",J1398&gt;=95,J1398&lt;=450,G1398=4,C1398="IN",I1398=90),VLOOKUP(T1398,'CAFCO 300 IDIEM TABLAS'!$J$4:$L$40,2,FALSE),0)+IF(AND(L1398="Cafco 300",J1398&gt;=95,J1398&lt;=450,G1398=4,C1398="IN",I1398=120),VLOOKUP(T1398,'CAFCO 300 IDIEM TABLAS'!$J$4:$L$40,3,FALSE),0)+IF(AND(M1398="Ensayo Idiem",L1398="Cafco 400",C1398="IN",G1398=4,I1398=90),VLOOKUP(T1398,'CAFCO 400 ENSAYO'!$B$7:$D$43,2,FALSE),0)+IF(AND(M1398="Ensayo Idiem",L1398="Cafco 400",C1398="IN",G1398=4,I1398=120),VLOOKUP(T1398,'CAFCO 400 ENSAYO'!$B$7:$D$43,3,FALSE),0)</f>
        <v>0</v>
      </c>
      <c r="O1398" s="96">
        <f t="shared" si="138"/>
        <v>0</v>
      </c>
      <c r="P1398" s="95" t="str">
        <f t="shared" si="139"/>
        <v>N/A</v>
      </c>
      <c r="Q1398" s="95" t="str">
        <f t="shared" si="140"/>
        <v>N/A</v>
      </c>
      <c r="R1398" s="95" t="str">
        <f t="shared" si="141"/>
        <v>NO CERT.</v>
      </c>
      <c r="S1398" s="95" t="e">
        <f t="shared" si="142"/>
        <v>#N/A</v>
      </c>
      <c r="T1398" s="119" t="e">
        <f>+IF(J1398=LOOKUP(J1398,'CAFCO 300 IDIEM TABLAS'!$J$4:$J$40),'CALCULO MORTERO'!J1398,MROUND('CALCULO MORTERO'!J1398,10))</f>
        <v>#N/A</v>
      </c>
      <c r="U1398" s="118">
        <f t="shared" si="143"/>
        <v>0</v>
      </c>
    </row>
    <row r="1399" spans="1:21" x14ac:dyDescent="0.25">
      <c r="A1399" s="118">
        <f>+CUBICACION!D1393</f>
        <v>0</v>
      </c>
      <c r="B1399" s="819">
        <f>+CUBICACION!E1393</f>
        <v>0</v>
      </c>
      <c r="C1399" s="675">
        <f>+CUBICACION!F1393</f>
        <v>0</v>
      </c>
      <c r="D1399" s="118"/>
      <c r="E1399" s="118"/>
      <c r="F1399" s="820"/>
      <c r="G1399" s="675">
        <f>+CUBICACION!J1393</f>
        <v>0</v>
      </c>
      <c r="H1399" s="118"/>
      <c r="I1399" s="821">
        <f>+CUBICACION!L1393</f>
        <v>0</v>
      </c>
      <c r="J1399" s="64">
        <f>+CUBICACION!M1393</f>
        <v>0</v>
      </c>
      <c r="K1399" s="822" t="str">
        <f>+CUBICACION!N1393</f>
        <v/>
      </c>
      <c r="L1399" s="118">
        <f>+CUBICACION!O1393</f>
        <v>0</v>
      </c>
      <c r="M1399" s="823">
        <f>+CUBICACION!P1393</f>
        <v>0</v>
      </c>
      <c r="N1399" s="902">
        <f>ROUND(IF(AND(L1399="Blaze Shield II",M1399="Software Idiem",C1399="IN",G1399=4),((('BLAZE SHIELD II'!$D$4*('CALCULO MORTERO'!I1399^2)+'BLAZE SHIELD II'!$D$5*'CALCULO MORTERO'!I1399+'BLAZE SHIELD II'!$D$6)*LN(J1399))+('BLAZE SHIELD II'!$D$7*('CALCULO MORTERO'!I1399^2)+'BLAZE SHIELD II'!$D$8*'CALCULO MORTERO'!I1399+'BLAZE SHIELD II'!$D$9)),0)+IF(AND(L1399="Blaze Shield II",M1399="Software Idiem",C1399="Cj"),((('BLAZE SHIELD II'!$H$4*('CALCULO MORTERO'!I1399^2)+'BLAZE SHIELD II'!$H$5*'CALCULO MORTERO'!I1399+'BLAZE SHIELD II'!$H$6)*LN(J1399))+('BLAZE SHIELD II'!$H$7*('CALCULO MORTERO'!I1399^2)+'BLAZE SHIELD II'!$H$8*'CALCULO MORTERO'!I1399+'BLAZE SHIELD II'!$H$9)),0)+IF(AND(L1399="Blaze Shield II",M1399="Software Idiem",C1399="C"),((('BLAZE SHIELD II'!$L$4*('CALCULO MORTERO'!I1399^2)+'BLAZE SHIELD II'!$L$5*'CALCULO MORTERO'!I1399+'BLAZE SHIELD II'!$L$6)*LN(J1399))+('BLAZE SHIELD II'!$L$7*('CALCULO MORTERO'!I1399^2)+'BLAZE SHIELD II'!$L$8*'CALCULO MORTERO'!I1399+'BLAZE SHIELD II'!$L$9)),0)+IF(AND(L1399="Blaze Shield II",M1399="Software Idiem",C1399="L"),((('BLAZE SHIELD II'!$L$4*('CALCULO MORTERO'!I1399^2)+'BLAZE SHIELD II'!$L$5*'CALCULO MORTERO'!I1399+'BLAZE SHIELD II'!$L$6)*LN(J1399))+('BLAZE SHIELD II'!$L$7*('CALCULO MORTERO'!I1399^2)+'BLAZE SHIELD II'!$L$8*'CALCULO MORTERO'!I1399+'BLAZE SHIELD II'!$L$9)),0)+IF(AND(L1399="Blaze Shield II",M1399="Software Idiem",C1399="IN",G1399=3),((('BLAZE SHIELD II'!$H$14*('CALCULO MORTERO'!I1399^2)+'BLAZE SHIELD II'!$H$15*'CALCULO MORTERO'!I1399+'BLAZE SHIELD II'!$H$16)*LN(J1399))+('BLAZE SHIELD II'!$H$17*('CALCULO MORTERO'!I1399^2)+'BLAZE SHIELD II'!$H$18*'CALCULO MORTERO'!I1399+'BLAZE SHIELD II'!$H$19)),0),0)+ROUND(IF(AND(L1399="Cafco 400",M1399="Software Idiem",C1399="IN",G1399=4),((('CAFCO 400 '!$H$7*(J1399^4)+'CAFCO 400 '!$H$8*(J1399^3)+'CAFCO 400 '!$H$9*(J1399^2)+'CAFCO 400 '!$H$10*J1399+'CAFCO 400 '!$H$11)*U1399^2)+(('CAFCO 400 '!$H$12*(J1399^3)+'CAFCO 400 '!$H$13*(J1399^2)+'CAFCO 400 '!$H$14*J1399+'CAFCO 400 '!$H$15)*U1399)+('CAFCO 400 '!$H$16*(J1399^2)+'CAFCO 400 '!$H$17*J1399+'CAFCO 400 '!$H$18)),0)+IF(AND(L1399="Cafco 400",M1399="Software Idiem",C1399="Cj"),(((('CAFCO 400 '!$D$7*LN(J1399)+'CAFCO 400 '!$D$8)*U1399^2)+(('CAFCO 400 '!$D$9*LN(J1399)+'CAFCO 400 '!$D$10)*U1399)+('CAFCO 400 '!$D$11*LN(J1399)+'CAFCO 400 '!$D$12))),0)+IF(AND(L1399="Cafco 400",M1399="Software Idiem",C1399="C"),((('CAFCO 400 '!$L$7*(J1399^3)+'CAFCO 400 '!$L$8*(J1399^2)+'CAFCO 400 '!$L$9*J1399+'CAFCO 400 '!$L$10)*U1399^2)+(('CAFCO 400 '!$L$11*(J1399^3)+'CAFCO 400 '!$L$12*(J1399^2)+'CAFCO 400 '!$L$13*J1399+'CAFCO 400 '!$L$14)*U1399)+('CAFCO 400 '!$L$15*LN(J1399)+'CAFCO 400 '!$L$16)),0)+IF(AND(L1399="Cafco 400",M1399="Software Idiem",C1399="L"),((('CAFCO 400 '!$L$7*(J1399^3)+'CAFCO 400 '!$L$8*(J1399^2)+'CAFCO 400 '!$L$9*J1399+'CAFCO 400 '!$L$10)*U1399^2)+(('CAFCO 400 '!$L$11*(J1399^3)+'CAFCO 400 '!$L$12*(J1399^2)+'CAFCO 400 '!$L$13*J1399+'CAFCO 400 '!$L$14)*U1399)+('CAFCO 400 '!$L$15*LN(J1399)+'CAFCO 400 '!$L$16)),0)+IF(AND(L1399="Cafco 400",M1399="Software Idiem",C1399="IN",G1399=3),((('CAFCO 400 '!$D$23*(J1399^2)+'CAFCO 400 '!$D$24*(J1399)+'CAFCO 400 '!$D$25)*U1399^2)+(('CAFCO 400 '!$D$26*(J1399^2)+'CAFCO 400 '!$D$27*J1399+'CAFCO 400 '!$D$28)*U1399)+('CAFCO 400 '!$D$29*(J1399^2)+'CAFCO 400 '!$D$30*J1399+'CAFCO 400 '!$D$31)),0),0)+IF(AND(L1399="Cafco 300",J1399&gt;=95,J1399&lt;=240,C1399="Cj",I1399=90),VLOOKUP(T1399,'CAFCO 300 IDIEM TABLAS'!$B$4:$D$23,2,FALSE),0)+IF(AND(L1399="Cafco 300",J1399&gt;=95,J1399&lt;=240,C1399="Cj",I1399=120),VLOOKUP(T1399,'CAFCO 300 IDIEM TABLAS'!$B$4:$D$23,3,FALSE),0)+IF(AND(L1399="Cafco 300",J1399&gt;=95,J1399&lt;=400,G1399=3,C1399="IN",I1399=90),VLOOKUP(T1399,'CAFCO 300 IDIEM TABLAS'!$F$4:$H$35,2,FALSE),0)+IF(AND(L1399="Cafco 300",J1399&gt;=95,J1399&lt;=400,G1399=3,C1399="IN",I1399=120),VLOOKUP(T1399,'CAFCO 300 IDIEM TABLAS'!$F$4:$H$35,3,FALSE),0)+IF(AND(L1399="Cafco 300",J1399&gt;=95,J1399&lt;=450,G1399=4,C1399="IN",I1399=90),VLOOKUP(T1399,'CAFCO 300 IDIEM TABLAS'!$J$4:$L$40,2,FALSE),0)+IF(AND(L1399="Cafco 300",J1399&gt;=95,J1399&lt;=450,G1399=4,C1399="IN",I1399=120),VLOOKUP(T1399,'CAFCO 300 IDIEM TABLAS'!$J$4:$L$40,3,FALSE),0)+IF(AND(M1399="Ensayo Idiem",L1399="Cafco 400",C1399="IN",G1399=4,I1399=90),VLOOKUP(T1399,'CAFCO 400 ENSAYO'!$B$7:$D$43,2,FALSE),0)+IF(AND(M1399="Ensayo Idiem",L1399="Cafco 400",C1399="IN",G1399=4,I1399=120),VLOOKUP(T1399,'CAFCO 400 ENSAYO'!$B$7:$D$43,3,FALSE),0)</f>
        <v>0</v>
      </c>
      <c r="O1399" s="96">
        <f t="shared" si="138"/>
        <v>0</v>
      </c>
      <c r="P1399" s="132" t="str">
        <f t="shared" si="139"/>
        <v>N/A</v>
      </c>
      <c r="Q1399" s="132" t="str">
        <f t="shared" si="140"/>
        <v>N/A</v>
      </c>
      <c r="R1399" s="132" t="str">
        <f t="shared" si="141"/>
        <v>NO CERT.</v>
      </c>
      <c r="S1399" s="132" t="e">
        <f t="shared" si="142"/>
        <v>#N/A</v>
      </c>
      <c r="T1399" s="133" t="e">
        <f>+IF(J1399=LOOKUP(J1399,'CAFCO 300 IDIEM TABLAS'!$J$4:$J$40),'CALCULO MORTERO'!J1399,MROUND('CALCULO MORTERO'!J1399,10))</f>
        <v>#N/A</v>
      </c>
      <c r="U1399" s="134">
        <f t="shared" si="143"/>
        <v>0</v>
      </c>
    </row>
    <row r="1400" spans="1:21" x14ac:dyDescent="0.25">
      <c r="A1400" s="118">
        <f>+CUBICACION!D1394</f>
        <v>0</v>
      </c>
      <c r="B1400" s="819">
        <f>+CUBICACION!E1394</f>
        <v>0</v>
      </c>
      <c r="C1400" s="675">
        <f>+CUBICACION!F1394</f>
        <v>0</v>
      </c>
      <c r="D1400" s="118"/>
      <c r="E1400" s="118"/>
      <c r="F1400" s="820"/>
      <c r="G1400" s="675">
        <f>+CUBICACION!J1394</f>
        <v>0</v>
      </c>
      <c r="H1400" s="118"/>
      <c r="I1400" s="821">
        <f>+CUBICACION!L1394</f>
        <v>0</v>
      </c>
      <c r="J1400" s="64">
        <f>+CUBICACION!M1394</f>
        <v>0</v>
      </c>
      <c r="K1400" s="822" t="str">
        <f>+CUBICACION!N1394</f>
        <v/>
      </c>
      <c r="L1400" s="118">
        <f>+CUBICACION!O1394</f>
        <v>0</v>
      </c>
      <c r="M1400" s="823">
        <f>+CUBICACION!P1394</f>
        <v>0</v>
      </c>
      <c r="N1400" s="902">
        <f>ROUND(IF(AND(L1400="Blaze Shield II",M1400="Software Idiem",C1400="IN",G1400=4),((('BLAZE SHIELD II'!$D$4*('CALCULO MORTERO'!I1400^2)+'BLAZE SHIELD II'!$D$5*'CALCULO MORTERO'!I1400+'BLAZE SHIELD II'!$D$6)*LN(J1400))+('BLAZE SHIELD II'!$D$7*('CALCULO MORTERO'!I1400^2)+'BLAZE SHIELD II'!$D$8*'CALCULO MORTERO'!I1400+'BLAZE SHIELD II'!$D$9)),0)+IF(AND(L1400="Blaze Shield II",M1400="Software Idiem",C1400="Cj"),((('BLAZE SHIELD II'!$H$4*('CALCULO MORTERO'!I1400^2)+'BLAZE SHIELD II'!$H$5*'CALCULO MORTERO'!I1400+'BLAZE SHIELD II'!$H$6)*LN(J1400))+('BLAZE SHIELD II'!$H$7*('CALCULO MORTERO'!I1400^2)+'BLAZE SHIELD II'!$H$8*'CALCULO MORTERO'!I1400+'BLAZE SHIELD II'!$H$9)),0)+IF(AND(L1400="Blaze Shield II",M1400="Software Idiem",C1400="C"),((('BLAZE SHIELD II'!$L$4*('CALCULO MORTERO'!I1400^2)+'BLAZE SHIELD II'!$L$5*'CALCULO MORTERO'!I1400+'BLAZE SHIELD II'!$L$6)*LN(J1400))+('BLAZE SHIELD II'!$L$7*('CALCULO MORTERO'!I1400^2)+'BLAZE SHIELD II'!$L$8*'CALCULO MORTERO'!I1400+'BLAZE SHIELD II'!$L$9)),0)+IF(AND(L1400="Blaze Shield II",M1400="Software Idiem",C1400="L"),((('BLAZE SHIELD II'!$L$4*('CALCULO MORTERO'!I1400^2)+'BLAZE SHIELD II'!$L$5*'CALCULO MORTERO'!I1400+'BLAZE SHIELD II'!$L$6)*LN(J1400))+('BLAZE SHIELD II'!$L$7*('CALCULO MORTERO'!I1400^2)+'BLAZE SHIELD II'!$L$8*'CALCULO MORTERO'!I1400+'BLAZE SHIELD II'!$L$9)),0)+IF(AND(L1400="Blaze Shield II",M1400="Software Idiem",C1400="IN",G1400=3),((('BLAZE SHIELD II'!$H$14*('CALCULO MORTERO'!I1400^2)+'BLAZE SHIELD II'!$H$15*'CALCULO MORTERO'!I1400+'BLAZE SHIELD II'!$H$16)*LN(J1400))+('BLAZE SHIELD II'!$H$17*('CALCULO MORTERO'!I1400^2)+'BLAZE SHIELD II'!$H$18*'CALCULO MORTERO'!I1400+'BLAZE SHIELD II'!$H$19)),0),0)+ROUND(IF(AND(L1400="Cafco 400",M1400="Software Idiem",C1400="IN",G1400=4),((('CAFCO 400 '!$H$7*(J1400^4)+'CAFCO 400 '!$H$8*(J1400^3)+'CAFCO 400 '!$H$9*(J1400^2)+'CAFCO 400 '!$H$10*J1400+'CAFCO 400 '!$H$11)*U1400^2)+(('CAFCO 400 '!$H$12*(J1400^3)+'CAFCO 400 '!$H$13*(J1400^2)+'CAFCO 400 '!$H$14*J1400+'CAFCO 400 '!$H$15)*U1400)+('CAFCO 400 '!$H$16*(J1400^2)+'CAFCO 400 '!$H$17*J1400+'CAFCO 400 '!$H$18)),0)+IF(AND(L1400="Cafco 400",M1400="Software Idiem",C1400="Cj"),(((('CAFCO 400 '!$D$7*LN(J1400)+'CAFCO 400 '!$D$8)*U1400^2)+(('CAFCO 400 '!$D$9*LN(J1400)+'CAFCO 400 '!$D$10)*U1400)+('CAFCO 400 '!$D$11*LN(J1400)+'CAFCO 400 '!$D$12))),0)+IF(AND(L1400="Cafco 400",M1400="Software Idiem",C1400="C"),((('CAFCO 400 '!$L$7*(J1400^3)+'CAFCO 400 '!$L$8*(J1400^2)+'CAFCO 400 '!$L$9*J1400+'CAFCO 400 '!$L$10)*U1400^2)+(('CAFCO 400 '!$L$11*(J1400^3)+'CAFCO 400 '!$L$12*(J1400^2)+'CAFCO 400 '!$L$13*J1400+'CAFCO 400 '!$L$14)*U1400)+('CAFCO 400 '!$L$15*LN(J1400)+'CAFCO 400 '!$L$16)),0)+IF(AND(L1400="Cafco 400",M1400="Software Idiem",C1400="L"),((('CAFCO 400 '!$L$7*(J1400^3)+'CAFCO 400 '!$L$8*(J1400^2)+'CAFCO 400 '!$L$9*J1400+'CAFCO 400 '!$L$10)*U1400^2)+(('CAFCO 400 '!$L$11*(J1400^3)+'CAFCO 400 '!$L$12*(J1400^2)+'CAFCO 400 '!$L$13*J1400+'CAFCO 400 '!$L$14)*U1400)+('CAFCO 400 '!$L$15*LN(J1400)+'CAFCO 400 '!$L$16)),0)+IF(AND(L1400="Cafco 400",M1400="Software Idiem",C1400="IN",G1400=3),((('CAFCO 400 '!$D$23*(J1400^2)+'CAFCO 400 '!$D$24*(J1400)+'CAFCO 400 '!$D$25)*U1400^2)+(('CAFCO 400 '!$D$26*(J1400^2)+'CAFCO 400 '!$D$27*J1400+'CAFCO 400 '!$D$28)*U1400)+('CAFCO 400 '!$D$29*(J1400^2)+'CAFCO 400 '!$D$30*J1400+'CAFCO 400 '!$D$31)),0),0)+IF(AND(L1400="Cafco 300",J1400&gt;=95,J1400&lt;=240,C1400="Cj",I1400=90),VLOOKUP(T1400,'CAFCO 300 IDIEM TABLAS'!$B$4:$D$23,2,FALSE),0)+IF(AND(L1400="Cafco 300",J1400&gt;=95,J1400&lt;=240,C1400="Cj",I1400=120),VLOOKUP(T1400,'CAFCO 300 IDIEM TABLAS'!$B$4:$D$23,3,FALSE),0)+IF(AND(L1400="Cafco 300",J1400&gt;=95,J1400&lt;=400,G1400=3,C1400="IN",I1400=90),VLOOKUP(T1400,'CAFCO 300 IDIEM TABLAS'!$F$4:$H$35,2,FALSE),0)+IF(AND(L1400="Cafco 300",J1400&gt;=95,J1400&lt;=400,G1400=3,C1400="IN",I1400=120),VLOOKUP(T1400,'CAFCO 300 IDIEM TABLAS'!$F$4:$H$35,3,FALSE),0)+IF(AND(L1400="Cafco 300",J1400&gt;=95,J1400&lt;=450,G1400=4,C1400="IN",I1400=90),VLOOKUP(T1400,'CAFCO 300 IDIEM TABLAS'!$J$4:$L$40,2,FALSE),0)+IF(AND(L1400="Cafco 300",J1400&gt;=95,J1400&lt;=450,G1400=4,C1400="IN",I1400=120),VLOOKUP(T1400,'CAFCO 300 IDIEM TABLAS'!$J$4:$L$40,3,FALSE),0)+IF(AND(M1400="Ensayo Idiem",L1400="Cafco 400",C1400="IN",G1400=4,I1400=90),VLOOKUP(T1400,'CAFCO 400 ENSAYO'!$B$7:$D$43,2,FALSE),0)+IF(AND(M1400="Ensayo Idiem",L1400="Cafco 400",C1400="IN",G1400=4,I1400=120),VLOOKUP(T1400,'CAFCO 400 ENSAYO'!$B$7:$D$43,3,FALSE),0)</f>
        <v>0</v>
      </c>
      <c r="O1400" s="96">
        <f t="shared" si="138"/>
        <v>0</v>
      </c>
      <c r="P1400" s="95" t="str">
        <f t="shared" si="139"/>
        <v>N/A</v>
      </c>
      <c r="Q1400" s="95" t="str">
        <f t="shared" si="140"/>
        <v>N/A</v>
      </c>
      <c r="R1400" s="95" t="str">
        <f t="shared" si="141"/>
        <v>NO CERT.</v>
      </c>
      <c r="S1400" s="95" t="e">
        <f t="shared" si="142"/>
        <v>#N/A</v>
      </c>
      <c r="T1400" s="119" t="e">
        <f>+IF(J1400=LOOKUP(J1400,'CAFCO 300 IDIEM TABLAS'!$J$4:$J$40),'CALCULO MORTERO'!J1400,MROUND('CALCULO MORTERO'!J1400,10))</f>
        <v>#N/A</v>
      </c>
      <c r="U1400" s="118">
        <f t="shared" si="143"/>
        <v>0</v>
      </c>
    </row>
    <row r="1401" spans="1:21" x14ac:dyDescent="0.25">
      <c r="A1401" s="118">
        <f>+CUBICACION!D1395</f>
        <v>0</v>
      </c>
      <c r="B1401" s="819">
        <f>+CUBICACION!E1395</f>
        <v>0</v>
      </c>
      <c r="C1401" s="675">
        <f>+CUBICACION!F1395</f>
        <v>0</v>
      </c>
      <c r="D1401" s="118"/>
      <c r="E1401" s="118"/>
      <c r="F1401" s="820"/>
      <c r="G1401" s="675">
        <f>+CUBICACION!J1395</f>
        <v>0</v>
      </c>
      <c r="H1401" s="118"/>
      <c r="I1401" s="821">
        <f>+CUBICACION!L1395</f>
        <v>0</v>
      </c>
      <c r="J1401" s="64">
        <f>+CUBICACION!M1395</f>
        <v>0</v>
      </c>
      <c r="K1401" s="822" t="str">
        <f>+CUBICACION!N1395</f>
        <v/>
      </c>
      <c r="L1401" s="118">
        <f>+CUBICACION!O1395</f>
        <v>0</v>
      </c>
      <c r="M1401" s="823">
        <f>+CUBICACION!P1395</f>
        <v>0</v>
      </c>
      <c r="N1401" s="902">
        <f>ROUND(IF(AND(L1401="Blaze Shield II",M1401="Software Idiem",C1401="IN",G1401=4),((('BLAZE SHIELD II'!$D$4*('CALCULO MORTERO'!I1401^2)+'BLAZE SHIELD II'!$D$5*'CALCULO MORTERO'!I1401+'BLAZE SHIELD II'!$D$6)*LN(J1401))+('BLAZE SHIELD II'!$D$7*('CALCULO MORTERO'!I1401^2)+'BLAZE SHIELD II'!$D$8*'CALCULO MORTERO'!I1401+'BLAZE SHIELD II'!$D$9)),0)+IF(AND(L1401="Blaze Shield II",M1401="Software Idiem",C1401="Cj"),((('BLAZE SHIELD II'!$H$4*('CALCULO MORTERO'!I1401^2)+'BLAZE SHIELD II'!$H$5*'CALCULO MORTERO'!I1401+'BLAZE SHIELD II'!$H$6)*LN(J1401))+('BLAZE SHIELD II'!$H$7*('CALCULO MORTERO'!I1401^2)+'BLAZE SHIELD II'!$H$8*'CALCULO MORTERO'!I1401+'BLAZE SHIELD II'!$H$9)),0)+IF(AND(L1401="Blaze Shield II",M1401="Software Idiem",C1401="C"),((('BLAZE SHIELD II'!$L$4*('CALCULO MORTERO'!I1401^2)+'BLAZE SHIELD II'!$L$5*'CALCULO MORTERO'!I1401+'BLAZE SHIELD II'!$L$6)*LN(J1401))+('BLAZE SHIELD II'!$L$7*('CALCULO MORTERO'!I1401^2)+'BLAZE SHIELD II'!$L$8*'CALCULO MORTERO'!I1401+'BLAZE SHIELD II'!$L$9)),0)+IF(AND(L1401="Blaze Shield II",M1401="Software Idiem",C1401="L"),((('BLAZE SHIELD II'!$L$4*('CALCULO MORTERO'!I1401^2)+'BLAZE SHIELD II'!$L$5*'CALCULO MORTERO'!I1401+'BLAZE SHIELD II'!$L$6)*LN(J1401))+('BLAZE SHIELD II'!$L$7*('CALCULO MORTERO'!I1401^2)+'BLAZE SHIELD II'!$L$8*'CALCULO MORTERO'!I1401+'BLAZE SHIELD II'!$L$9)),0)+IF(AND(L1401="Blaze Shield II",M1401="Software Idiem",C1401="IN",G1401=3),((('BLAZE SHIELD II'!$H$14*('CALCULO MORTERO'!I1401^2)+'BLAZE SHIELD II'!$H$15*'CALCULO MORTERO'!I1401+'BLAZE SHIELD II'!$H$16)*LN(J1401))+('BLAZE SHIELD II'!$H$17*('CALCULO MORTERO'!I1401^2)+'BLAZE SHIELD II'!$H$18*'CALCULO MORTERO'!I1401+'BLAZE SHIELD II'!$H$19)),0),0)+ROUND(IF(AND(L1401="Cafco 400",M1401="Software Idiem",C1401="IN",G1401=4),((('CAFCO 400 '!$H$7*(J1401^4)+'CAFCO 400 '!$H$8*(J1401^3)+'CAFCO 400 '!$H$9*(J1401^2)+'CAFCO 400 '!$H$10*J1401+'CAFCO 400 '!$H$11)*U1401^2)+(('CAFCO 400 '!$H$12*(J1401^3)+'CAFCO 400 '!$H$13*(J1401^2)+'CAFCO 400 '!$H$14*J1401+'CAFCO 400 '!$H$15)*U1401)+('CAFCO 400 '!$H$16*(J1401^2)+'CAFCO 400 '!$H$17*J1401+'CAFCO 400 '!$H$18)),0)+IF(AND(L1401="Cafco 400",M1401="Software Idiem",C1401="Cj"),(((('CAFCO 400 '!$D$7*LN(J1401)+'CAFCO 400 '!$D$8)*U1401^2)+(('CAFCO 400 '!$D$9*LN(J1401)+'CAFCO 400 '!$D$10)*U1401)+('CAFCO 400 '!$D$11*LN(J1401)+'CAFCO 400 '!$D$12))),0)+IF(AND(L1401="Cafco 400",M1401="Software Idiem",C1401="C"),((('CAFCO 400 '!$L$7*(J1401^3)+'CAFCO 400 '!$L$8*(J1401^2)+'CAFCO 400 '!$L$9*J1401+'CAFCO 400 '!$L$10)*U1401^2)+(('CAFCO 400 '!$L$11*(J1401^3)+'CAFCO 400 '!$L$12*(J1401^2)+'CAFCO 400 '!$L$13*J1401+'CAFCO 400 '!$L$14)*U1401)+('CAFCO 400 '!$L$15*LN(J1401)+'CAFCO 400 '!$L$16)),0)+IF(AND(L1401="Cafco 400",M1401="Software Idiem",C1401="L"),((('CAFCO 400 '!$L$7*(J1401^3)+'CAFCO 400 '!$L$8*(J1401^2)+'CAFCO 400 '!$L$9*J1401+'CAFCO 400 '!$L$10)*U1401^2)+(('CAFCO 400 '!$L$11*(J1401^3)+'CAFCO 400 '!$L$12*(J1401^2)+'CAFCO 400 '!$L$13*J1401+'CAFCO 400 '!$L$14)*U1401)+('CAFCO 400 '!$L$15*LN(J1401)+'CAFCO 400 '!$L$16)),0)+IF(AND(L1401="Cafco 400",M1401="Software Idiem",C1401="IN",G1401=3),((('CAFCO 400 '!$D$23*(J1401^2)+'CAFCO 400 '!$D$24*(J1401)+'CAFCO 400 '!$D$25)*U1401^2)+(('CAFCO 400 '!$D$26*(J1401^2)+'CAFCO 400 '!$D$27*J1401+'CAFCO 400 '!$D$28)*U1401)+('CAFCO 400 '!$D$29*(J1401^2)+'CAFCO 400 '!$D$30*J1401+'CAFCO 400 '!$D$31)),0),0)+IF(AND(L1401="Cafco 300",J1401&gt;=95,J1401&lt;=240,C1401="Cj",I1401=90),VLOOKUP(T1401,'CAFCO 300 IDIEM TABLAS'!$B$4:$D$23,2,FALSE),0)+IF(AND(L1401="Cafco 300",J1401&gt;=95,J1401&lt;=240,C1401="Cj",I1401=120),VLOOKUP(T1401,'CAFCO 300 IDIEM TABLAS'!$B$4:$D$23,3,FALSE),0)+IF(AND(L1401="Cafco 300",J1401&gt;=95,J1401&lt;=400,G1401=3,C1401="IN",I1401=90),VLOOKUP(T1401,'CAFCO 300 IDIEM TABLAS'!$F$4:$H$35,2,FALSE),0)+IF(AND(L1401="Cafco 300",J1401&gt;=95,J1401&lt;=400,G1401=3,C1401="IN",I1401=120),VLOOKUP(T1401,'CAFCO 300 IDIEM TABLAS'!$F$4:$H$35,3,FALSE),0)+IF(AND(L1401="Cafco 300",J1401&gt;=95,J1401&lt;=450,G1401=4,C1401="IN",I1401=90),VLOOKUP(T1401,'CAFCO 300 IDIEM TABLAS'!$J$4:$L$40,2,FALSE),0)+IF(AND(L1401="Cafco 300",J1401&gt;=95,J1401&lt;=450,G1401=4,C1401="IN",I1401=120),VLOOKUP(T1401,'CAFCO 300 IDIEM TABLAS'!$J$4:$L$40,3,FALSE),0)+IF(AND(M1401="Ensayo Idiem",L1401="Cafco 400",C1401="IN",G1401=4,I1401=90),VLOOKUP(T1401,'CAFCO 400 ENSAYO'!$B$7:$D$43,2,FALSE),0)+IF(AND(M1401="Ensayo Idiem",L1401="Cafco 400",C1401="IN",G1401=4,I1401=120),VLOOKUP(T1401,'CAFCO 400 ENSAYO'!$B$7:$D$43,3,FALSE),0)</f>
        <v>0</v>
      </c>
      <c r="O1401" s="96">
        <f t="shared" si="138"/>
        <v>0</v>
      </c>
      <c r="P1401" s="132" t="str">
        <f t="shared" si="139"/>
        <v>N/A</v>
      </c>
      <c r="Q1401" s="132" t="str">
        <f t="shared" si="140"/>
        <v>N/A</v>
      </c>
      <c r="R1401" s="132" t="str">
        <f t="shared" si="141"/>
        <v>NO CERT.</v>
      </c>
      <c r="S1401" s="132" t="e">
        <f t="shared" si="142"/>
        <v>#N/A</v>
      </c>
      <c r="T1401" s="133" t="e">
        <f>+IF(J1401=LOOKUP(J1401,'CAFCO 300 IDIEM TABLAS'!$J$4:$J$40),'CALCULO MORTERO'!J1401,MROUND('CALCULO MORTERO'!J1401,10))</f>
        <v>#N/A</v>
      </c>
      <c r="U1401" s="134">
        <f t="shared" si="143"/>
        <v>0</v>
      </c>
    </row>
    <row r="1402" spans="1:21" x14ac:dyDescent="0.25">
      <c r="A1402" s="118">
        <f>+CUBICACION!D1396</f>
        <v>0</v>
      </c>
      <c r="B1402" s="819">
        <f>+CUBICACION!E1396</f>
        <v>0</v>
      </c>
      <c r="C1402" s="675">
        <f>+CUBICACION!F1396</f>
        <v>0</v>
      </c>
      <c r="D1402" s="118"/>
      <c r="E1402" s="118"/>
      <c r="F1402" s="820"/>
      <c r="G1402" s="675">
        <f>+CUBICACION!J1396</f>
        <v>0</v>
      </c>
      <c r="H1402" s="118"/>
      <c r="I1402" s="821">
        <f>+CUBICACION!L1396</f>
        <v>0</v>
      </c>
      <c r="J1402" s="64">
        <f>+CUBICACION!M1396</f>
        <v>0</v>
      </c>
      <c r="K1402" s="822" t="str">
        <f>+CUBICACION!N1396</f>
        <v/>
      </c>
      <c r="L1402" s="118">
        <f>+CUBICACION!O1396</f>
        <v>0</v>
      </c>
      <c r="M1402" s="823">
        <f>+CUBICACION!P1396</f>
        <v>0</v>
      </c>
      <c r="N1402" s="902">
        <f>ROUND(IF(AND(L1402="Blaze Shield II",M1402="Software Idiem",C1402="IN",G1402=4),((('BLAZE SHIELD II'!$D$4*('CALCULO MORTERO'!I1402^2)+'BLAZE SHIELD II'!$D$5*'CALCULO MORTERO'!I1402+'BLAZE SHIELD II'!$D$6)*LN(J1402))+('BLAZE SHIELD II'!$D$7*('CALCULO MORTERO'!I1402^2)+'BLAZE SHIELD II'!$D$8*'CALCULO MORTERO'!I1402+'BLAZE SHIELD II'!$D$9)),0)+IF(AND(L1402="Blaze Shield II",M1402="Software Idiem",C1402="Cj"),((('BLAZE SHIELD II'!$H$4*('CALCULO MORTERO'!I1402^2)+'BLAZE SHIELD II'!$H$5*'CALCULO MORTERO'!I1402+'BLAZE SHIELD II'!$H$6)*LN(J1402))+('BLAZE SHIELD II'!$H$7*('CALCULO MORTERO'!I1402^2)+'BLAZE SHIELD II'!$H$8*'CALCULO MORTERO'!I1402+'BLAZE SHIELD II'!$H$9)),0)+IF(AND(L1402="Blaze Shield II",M1402="Software Idiem",C1402="C"),((('BLAZE SHIELD II'!$L$4*('CALCULO MORTERO'!I1402^2)+'BLAZE SHIELD II'!$L$5*'CALCULO MORTERO'!I1402+'BLAZE SHIELD II'!$L$6)*LN(J1402))+('BLAZE SHIELD II'!$L$7*('CALCULO MORTERO'!I1402^2)+'BLAZE SHIELD II'!$L$8*'CALCULO MORTERO'!I1402+'BLAZE SHIELD II'!$L$9)),0)+IF(AND(L1402="Blaze Shield II",M1402="Software Idiem",C1402="L"),((('BLAZE SHIELD II'!$L$4*('CALCULO MORTERO'!I1402^2)+'BLAZE SHIELD II'!$L$5*'CALCULO MORTERO'!I1402+'BLAZE SHIELD II'!$L$6)*LN(J1402))+('BLAZE SHIELD II'!$L$7*('CALCULO MORTERO'!I1402^2)+'BLAZE SHIELD II'!$L$8*'CALCULO MORTERO'!I1402+'BLAZE SHIELD II'!$L$9)),0)+IF(AND(L1402="Blaze Shield II",M1402="Software Idiem",C1402="IN",G1402=3),((('BLAZE SHIELD II'!$H$14*('CALCULO MORTERO'!I1402^2)+'BLAZE SHIELD II'!$H$15*'CALCULO MORTERO'!I1402+'BLAZE SHIELD II'!$H$16)*LN(J1402))+('BLAZE SHIELD II'!$H$17*('CALCULO MORTERO'!I1402^2)+'BLAZE SHIELD II'!$H$18*'CALCULO MORTERO'!I1402+'BLAZE SHIELD II'!$H$19)),0),0)+ROUND(IF(AND(L1402="Cafco 400",M1402="Software Idiem",C1402="IN",G1402=4),((('CAFCO 400 '!$H$7*(J1402^4)+'CAFCO 400 '!$H$8*(J1402^3)+'CAFCO 400 '!$H$9*(J1402^2)+'CAFCO 400 '!$H$10*J1402+'CAFCO 400 '!$H$11)*U1402^2)+(('CAFCO 400 '!$H$12*(J1402^3)+'CAFCO 400 '!$H$13*(J1402^2)+'CAFCO 400 '!$H$14*J1402+'CAFCO 400 '!$H$15)*U1402)+('CAFCO 400 '!$H$16*(J1402^2)+'CAFCO 400 '!$H$17*J1402+'CAFCO 400 '!$H$18)),0)+IF(AND(L1402="Cafco 400",M1402="Software Idiem",C1402="Cj"),(((('CAFCO 400 '!$D$7*LN(J1402)+'CAFCO 400 '!$D$8)*U1402^2)+(('CAFCO 400 '!$D$9*LN(J1402)+'CAFCO 400 '!$D$10)*U1402)+('CAFCO 400 '!$D$11*LN(J1402)+'CAFCO 400 '!$D$12))),0)+IF(AND(L1402="Cafco 400",M1402="Software Idiem",C1402="C"),((('CAFCO 400 '!$L$7*(J1402^3)+'CAFCO 400 '!$L$8*(J1402^2)+'CAFCO 400 '!$L$9*J1402+'CAFCO 400 '!$L$10)*U1402^2)+(('CAFCO 400 '!$L$11*(J1402^3)+'CAFCO 400 '!$L$12*(J1402^2)+'CAFCO 400 '!$L$13*J1402+'CAFCO 400 '!$L$14)*U1402)+('CAFCO 400 '!$L$15*LN(J1402)+'CAFCO 400 '!$L$16)),0)+IF(AND(L1402="Cafco 400",M1402="Software Idiem",C1402="L"),((('CAFCO 400 '!$L$7*(J1402^3)+'CAFCO 400 '!$L$8*(J1402^2)+'CAFCO 400 '!$L$9*J1402+'CAFCO 400 '!$L$10)*U1402^2)+(('CAFCO 400 '!$L$11*(J1402^3)+'CAFCO 400 '!$L$12*(J1402^2)+'CAFCO 400 '!$L$13*J1402+'CAFCO 400 '!$L$14)*U1402)+('CAFCO 400 '!$L$15*LN(J1402)+'CAFCO 400 '!$L$16)),0)+IF(AND(L1402="Cafco 400",M1402="Software Idiem",C1402="IN",G1402=3),((('CAFCO 400 '!$D$23*(J1402^2)+'CAFCO 400 '!$D$24*(J1402)+'CAFCO 400 '!$D$25)*U1402^2)+(('CAFCO 400 '!$D$26*(J1402^2)+'CAFCO 400 '!$D$27*J1402+'CAFCO 400 '!$D$28)*U1402)+('CAFCO 400 '!$D$29*(J1402^2)+'CAFCO 400 '!$D$30*J1402+'CAFCO 400 '!$D$31)),0),0)+IF(AND(L1402="Cafco 300",J1402&gt;=95,J1402&lt;=240,C1402="Cj",I1402=90),VLOOKUP(T1402,'CAFCO 300 IDIEM TABLAS'!$B$4:$D$23,2,FALSE),0)+IF(AND(L1402="Cafco 300",J1402&gt;=95,J1402&lt;=240,C1402="Cj",I1402=120),VLOOKUP(T1402,'CAFCO 300 IDIEM TABLAS'!$B$4:$D$23,3,FALSE),0)+IF(AND(L1402="Cafco 300",J1402&gt;=95,J1402&lt;=400,G1402=3,C1402="IN",I1402=90),VLOOKUP(T1402,'CAFCO 300 IDIEM TABLAS'!$F$4:$H$35,2,FALSE),0)+IF(AND(L1402="Cafco 300",J1402&gt;=95,J1402&lt;=400,G1402=3,C1402="IN",I1402=120),VLOOKUP(T1402,'CAFCO 300 IDIEM TABLAS'!$F$4:$H$35,3,FALSE),0)+IF(AND(L1402="Cafco 300",J1402&gt;=95,J1402&lt;=450,G1402=4,C1402="IN",I1402=90),VLOOKUP(T1402,'CAFCO 300 IDIEM TABLAS'!$J$4:$L$40,2,FALSE),0)+IF(AND(L1402="Cafco 300",J1402&gt;=95,J1402&lt;=450,G1402=4,C1402="IN",I1402=120),VLOOKUP(T1402,'CAFCO 300 IDIEM TABLAS'!$J$4:$L$40,3,FALSE),0)+IF(AND(M1402="Ensayo Idiem",L1402="Cafco 400",C1402="IN",G1402=4,I1402=90),VLOOKUP(T1402,'CAFCO 400 ENSAYO'!$B$7:$D$43,2,FALSE),0)+IF(AND(M1402="Ensayo Idiem",L1402="Cafco 400",C1402="IN",G1402=4,I1402=120),VLOOKUP(T1402,'CAFCO 400 ENSAYO'!$B$7:$D$43,3,FALSE),0)</f>
        <v>0</v>
      </c>
      <c r="O1402" s="96">
        <f t="shared" si="138"/>
        <v>0</v>
      </c>
      <c r="P1402" s="95" t="str">
        <f t="shared" si="139"/>
        <v>N/A</v>
      </c>
      <c r="Q1402" s="95" t="str">
        <f t="shared" si="140"/>
        <v>N/A</v>
      </c>
      <c r="R1402" s="95" t="str">
        <f t="shared" si="141"/>
        <v>NO CERT.</v>
      </c>
      <c r="S1402" s="95" t="e">
        <f t="shared" si="142"/>
        <v>#N/A</v>
      </c>
      <c r="T1402" s="119" t="e">
        <f>+IF(J1402=LOOKUP(J1402,'CAFCO 300 IDIEM TABLAS'!$J$4:$J$40),'CALCULO MORTERO'!J1402,MROUND('CALCULO MORTERO'!J1402,10))</f>
        <v>#N/A</v>
      </c>
      <c r="U1402" s="118">
        <f t="shared" si="143"/>
        <v>0</v>
      </c>
    </row>
    <row r="1403" spans="1:21" x14ac:dyDescent="0.25">
      <c r="A1403" s="118">
        <f>+CUBICACION!D1397</f>
        <v>0</v>
      </c>
      <c r="B1403" s="819">
        <f>+CUBICACION!E1397</f>
        <v>0</v>
      </c>
      <c r="C1403" s="675">
        <f>+CUBICACION!F1397</f>
        <v>0</v>
      </c>
      <c r="D1403" s="118"/>
      <c r="E1403" s="118"/>
      <c r="F1403" s="820"/>
      <c r="G1403" s="675">
        <f>+CUBICACION!J1397</f>
        <v>0</v>
      </c>
      <c r="H1403" s="118"/>
      <c r="I1403" s="821">
        <f>+CUBICACION!L1397</f>
        <v>0</v>
      </c>
      <c r="J1403" s="64">
        <f>+CUBICACION!M1397</f>
        <v>0</v>
      </c>
      <c r="K1403" s="822" t="str">
        <f>+CUBICACION!N1397</f>
        <v/>
      </c>
      <c r="L1403" s="118">
        <f>+CUBICACION!O1397</f>
        <v>0</v>
      </c>
      <c r="M1403" s="823">
        <f>+CUBICACION!P1397</f>
        <v>0</v>
      </c>
      <c r="N1403" s="902">
        <f>ROUND(IF(AND(L1403="Blaze Shield II",M1403="Software Idiem",C1403="IN",G1403=4),((('BLAZE SHIELD II'!$D$4*('CALCULO MORTERO'!I1403^2)+'BLAZE SHIELD II'!$D$5*'CALCULO MORTERO'!I1403+'BLAZE SHIELD II'!$D$6)*LN(J1403))+('BLAZE SHIELD II'!$D$7*('CALCULO MORTERO'!I1403^2)+'BLAZE SHIELD II'!$D$8*'CALCULO MORTERO'!I1403+'BLAZE SHIELD II'!$D$9)),0)+IF(AND(L1403="Blaze Shield II",M1403="Software Idiem",C1403="Cj"),((('BLAZE SHIELD II'!$H$4*('CALCULO MORTERO'!I1403^2)+'BLAZE SHIELD II'!$H$5*'CALCULO MORTERO'!I1403+'BLAZE SHIELD II'!$H$6)*LN(J1403))+('BLAZE SHIELD II'!$H$7*('CALCULO MORTERO'!I1403^2)+'BLAZE SHIELD II'!$H$8*'CALCULO MORTERO'!I1403+'BLAZE SHIELD II'!$H$9)),0)+IF(AND(L1403="Blaze Shield II",M1403="Software Idiem",C1403="C"),((('BLAZE SHIELD II'!$L$4*('CALCULO MORTERO'!I1403^2)+'BLAZE SHIELD II'!$L$5*'CALCULO MORTERO'!I1403+'BLAZE SHIELD II'!$L$6)*LN(J1403))+('BLAZE SHIELD II'!$L$7*('CALCULO MORTERO'!I1403^2)+'BLAZE SHIELD II'!$L$8*'CALCULO MORTERO'!I1403+'BLAZE SHIELD II'!$L$9)),0)+IF(AND(L1403="Blaze Shield II",M1403="Software Idiem",C1403="L"),((('BLAZE SHIELD II'!$L$4*('CALCULO MORTERO'!I1403^2)+'BLAZE SHIELD II'!$L$5*'CALCULO MORTERO'!I1403+'BLAZE SHIELD II'!$L$6)*LN(J1403))+('BLAZE SHIELD II'!$L$7*('CALCULO MORTERO'!I1403^2)+'BLAZE SHIELD II'!$L$8*'CALCULO MORTERO'!I1403+'BLAZE SHIELD II'!$L$9)),0)+IF(AND(L1403="Blaze Shield II",M1403="Software Idiem",C1403="IN",G1403=3),((('BLAZE SHIELD II'!$H$14*('CALCULO MORTERO'!I1403^2)+'BLAZE SHIELD II'!$H$15*'CALCULO MORTERO'!I1403+'BLAZE SHIELD II'!$H$16)*LN(J1403))+('BLAZE SHIELD II'!$H$17*('CALCULO MORTERO'!I1403^2)+'BLAZE SHIELD II'!$H$18*'CALCULO MORTERO'!I1403+'BLAZE SHIELD II'!$H$19)),0),0)+ROUND(IF(AND(L1403="Cafco 400",M1403="Software Idiem",C1403="IN",G1403=4),((('CAFCO 400 '!$H$7*(J1403^4)+'CAFCO 400 '!$H$8*(J1403^3)+'CAFCO 400 '!$H$9*(J1403^2)+'CAFCO 400 '!$H$10*J1403+'CAFCO 400 '!$H$11)*U1403^2)+(('CAFCO 400 '!$H$12*(J1403^3)+'CAFCO 400 '!$H$13*(J1403^2)+'CAFCO 400 '!$H$14*J1403+'CAFCO 400 '!$H$15)*U1403)+('CAFCO 400 '!$H$16*(J1403^2)+'CAFCO 400 '!$H$17*J1403+'CAFCO 400 '!$H$18)),0)+IF(AND(L1403="Cafco 400",M1403="Software Idiem",C1403="Cj"),(((('CAFCO 400 '!$D$7*LN(J1403)+'CAFCO 400 '!$D$8)*U1403^2)+(('CAFCO 400 '!$D$9*LN(J1403)+'CAFCO 400 '!$D$10)*U1403)+('CAFCO 400 '!$D$11*LN(J1403)+'CAFCO 400 '!$D$12))),0)+IF(AND(L1403="Cafco 400",M1403="Software Idiem",C1403="C"),((('CAFCO 400 '!$L$7*(J1403^3)+'CAFCO 400 '!$L$8*(J1403^2)+'CAFCO 400 '!$L$9*J1403+'CAFCO 400 '!$L$10)*U1403^2)+(('CAFCO 400 '!$L$11*(J1403^3)+'CAFCO 400 '!$L$12*(J1403^2)+'CAFCO 400 '!$L$13*J1403+'CAFCO 400 '!$L$14)*U1403)+('CAFCO 400 '!$L$15*LN(J1403)+'CAFCO 400 '!$L$16)),0)+IF(AND(L1403="Cafco 400",M1403="Software Idiem",C1403="L"),((('CAFCO 400 '!$L$7*(J1403^3)+'CAFCO 400 '!$L$8*(J1403^2)+'CAFCO 400 '!$L$9*J1403+'CAFCO 400 '!$L$10)*U1403^2)+(('CAFCO 400 '!$L$11*(J1403^3)+'CAFCO 400 '!$L$12*(J1403^2)+'CAFCO 400 '!$L$13*J1403+'CAFCO 400 '!$L$14)*U1403)+('CAFCO 400 '!$L$15*LN(J1403)+'CAFCO 400 '!$L$16)),0)+IF(AND(L1403="Cafco 400",M1403="Software Idiem",C1403="IN",G1403=3),((('CAFCO 400 '!$D$23*(J1403^2)+'CAFCO 400 '!$D$24*(J1403)+'CAFCO 400 '!$D$25)*U1403^2)+(('CAFCO 400 '!$D$26*(J1403^2)+'CAFCO 400 '!$D$27*J1403+'CAFCO 400 '!$D$28)*U1403)+('CAFCO 400 '!$D$29*(J1403^2)+'CAFCO 400 '!$D$30*J1403+'CAFCO 400 '!$D$31)),0),0)+IF(AND(L1403="Cafco 300",J1403&gt;=95,J1403&lt;=240,C1403="Cj",I1403=90),VLOOKUP(T1403,'CAFCO 300 IDIEM TABLAS'!$B$4:$D$23,2,FALSE),0)+IF(AND(L1403="Cafco 300",J1403&gt;=95,J1403&lt;=240,C1403="Cj",I1403=120),VLOOKUP(T1403,'CAFCO 300 IDIEM TABLAS'!$B$4:$D$23,3,FALSE),0)+IF(AND(L1403="Cafco 300",J1403&gt;=95,J1403&lt;=400,G1403=3,C1403="IN",I1403=90),VLOOKUP(T1403,'CAFCO 300 IDIEM TABLAS'!$F$4:$H$35,2,FALSE),0)+IF(AND(L1403="Cafco 300",J1403&gt;=95,J1403&lt;=400,G1403=3,C1403="IN",I1403=120),VLOOKUP(T1403,'CAFCO 300 IDIEM TABLAS'!$F$4:$H$35,3,FALSE),0)+IF(AND(L1403="Cafco 300",J1403&gt;=95,J1403&lt;=450,G1403=4,C1403="IN",I1403=90),VLOOKUP(T1403,'CAFCO 300 IDIEM TABLAS'!$J$4:$L$40,2,FALSE),0)+IF(AND(L1403="Cafco 300",J1403&gt;=95,J1403&lt;=450,G1403=4,C1403="IN",I1403=120),VLOOKUP(T1403,'CAFCO 300 IDIEM TABLAS'!$J$4:$L$40,3,FALSE),0)+IF(AND(M1403="Ensayo Idiem",L1403="Cafco 400",C1403="IN",G1403=4,I1403=90),VLOOKUP(T1403,'CAFCO 400 ENSAYO'!$B$7:$D$43,2,FALSE),0)+IF(AND(M1403="Ensayo Idiem",L1403="Cafco 400",C1403="IN",G1403=4,I1403=120),VLOOKUP(T1403,'CAFCO 400 ENSAYO'!$B$7:$D$43,3,FALSE),0)</f>
        <v>0</v>
      </c>
      <c r="O1403" s="96">
        <f t="shared" si="138"/>
        <v>0</v>
      </c>
      <c r="P1403" s="132" t="str">
        <f t="shared" si="139"/>
        <v>N/A</v>
      </c>
      <c r="Q1403" s="132" t="str">
        <f t="shared" si="140"/>
        <v>N/A</v>
      </c>
      <c r="R1403" s="132" t="str">
        <f t="shared" si="141"/>
        <v>NO CERT.</v>
      </c>
      <c r="S1403" s="132" t="e">
        <f t="shared" si="142"/>
        <v>#N/A</v>
      </c>
      <c r="T1403" s="133" t="e">
        <f>+IF(J1403=LOOKUP(J1403,'CAFCO 300 IDIEM TABLAS'!$J$4:$J$40),'CALCULO MORTERO'!J1403,MROUND('CALCULO MORTERO'!J1403,10))</f>
        <v>#N/A</v>
      </c>
      <c r="U1403" s="134">
        <f t="shared" si="143"/>
        <v>0</v>
      </c>
    </row>
    <row r="1404" spans="1:21" x14ac:dyDescent="0.25">
      <c r="A1404" s="118">
        <f>+CUBICACION!D1398</f>
        <v>0</v>
      </c>
      <c r="B1404" s="819">
        <f>+CUBICACION!E1398</f>
        <v>0</v>
      </c>
      <c r="C1404" s="675">
        <f>+CUBICACION!F1398</f>
        <v>0</v>
      </c>
      <c r="D1404" s="118"/>
      <c r="E1404" s="118"/>
      <c r="F1404" s="820"/>
      <c r="G1404" s="675">
        <f>+CUBICACION!J1398</f>
        <v>0</v>
      </c>
      <c r="H1404" s="118"/>
      <c r="I1404" s="821">
        <f>+CUBICACION!L1398</f>
        <v>0</v>
      </c>
      <c r="J1404" s="64">
        <f>+CUBICACION!M1398</f>
        <v>0</v>
      </c>
      <c r="K1404" s="822" t="str">
        <f>+CUBICACION!N1398</f>
        <v/>
      </c>
      <c r="L1404" s="118">
        <f>+CUBICACION!O1398</f>
        <v>0</v>
      </c>
      <c r="M1404" s="823">
        <f>+CUBICACION!P1398</f>
        <v>0</v>
      </c>
      <c r="N1404" s="902">
        <f>ROUND(IF(AND(L1404="Blaze Shield II",M1404="Software Idiem",C1404="IN",G1404=4),((('BLAZE SHIELD II'!$D$4*('CALCULO MORTERO'!I1404^2)+'BLAZE SHIELD II'!$D$5*'CALCULO MORTERO'!I1404+'BLAZE SHIELD II'!$D$6)*LN(J1404))+('BLAZE SHIELD II'!$D$7*('CALCULO MORTERO'!I1404^2)+'BLAZE SHIELD II'!$D$8*'CALCULO MORTERO'!I1404+'BLAZE SHIELD II'!$D$9)),0)+IF(AND(L1404="Blaze Shield II",M1404="Software Idiem",C1404="Cj"),((('BLAZE SHIELD II'!$H$4*('CALCULO MORTERO'!I1404^2)+'BLAZE SHIELD II'!$H$5*'CALCULO MORTERO'!I1404+'BLAZE SHIELD II'!$H$6)*LN(J1404))+('BLAZE SHIELD II'!$H$7*('CALCULO MORTERO'!I1404^2)+'BLAZE SHIELD II'!$H$8*'CALCULO MORTERO'!I1404+'BLAZE SHIELD II'!$H$9)),0)+IF(AND(L1404="Blaze Shield II",M1404="Software Idiem",C1404="C"),((('BLAZE SHIELD II'!$L$4*('CALCULO MORTERO'!I1404^2)+'BLAZE SHIELD II'!$L$5*'CALCULO MORTERO'!I1404+'BLAZE SHIELD II'!$L$6)*LN(J1404))+('BLAZE SHIELD II'!$L$7*('CALCULO MORTERO'!I1404^2)+'BLAZE SHIELD II'!$L$8*'CALCULO MORTERO'!I1404+'BLAZE SHIELD II'!$L$9)),0)+IF(AND(L1404="Blaze Shield II",M1404="Software Idiem",C1404="L"),((('BLAZE SHIELD II'!$L$4*('CALCULO MORTERO'!I1404^2)+'BLAZE SHIELD II'!$L$5*'CALCULO MORTERO'!I1404+'BLAZE SHIELD II'!$L$6)*LN(J1404))+('BLAZE SHIELD II'!$L$7*('CALCULO MORTERO'!I1404^2)+'BLAZE SHIELD II'!$L$8*'CALCULO MORTERO'!I1404+'BLAZE SHIELD II'!$L$9)),0)+IF(AND(L1404="Blaze Shield II",M1404="Software Idiem",C1404="IN",G1404=3),((('BLAZE SHIELD II'!$H$14*('CALCULO MORTERO'!I1404^2)+'BLAZE SHIELD II'!$H$15*'CALCULO MORTERO'!I1404+'BLAZE SHIELD II'!$H$16)*LN(J1404))+('BLAZE SHIELD II'!$H$17*('CALCULO MORTERO'!I1404^2)+'BLAZE SHIELD II'!$H$18*'CALCULO MORTERO'!I1404+'BLAZE SHIELD II'!$H$19)),0),0)+ROUND(IF(AND(L1404="Cafco 400",M1404="Software Idiem",C1404="IN",G1404=4),((('CAFCO 400 '!$H$7*(J1404^4)+'CAFCO 400 '!$H$8*(J1404^3)+'CAFCO 400 '!$H$9*(J1404^2)+'CAFCO 400 '!$H$10*J1404+'CAFCO 400 '!$H$11)*U1404^2)+(('CAFCO 400 '!$H$12*(J1404^3)+'CAFCO 400 '!$H$13*(J1404^2)+'CAFCO 400 '!$H$14*J1404+'CAFCO 400 '!$H$15)*U1404)+('CAFCO 400 '!$H$16*(J1404^2)+'CAFCO 400 '!$H$17*J1404+'CAFCO 400 '!$H$18)),0)+IF(AND(L1404="Cafco 400",M1404="Software Idiem",C1404="Cj"),(((('CAFCO 400 '!$D$7*LN(J1404)+'CAFCO 400 '!$D$8)*U1404^2)+(('CAFCO 400 '!$D$9*LN(J1404)+'CAFCO 400 '!$D$10)*U1404)+('CAFCO 400 '!$D$11*LN(J1404)+'CAFCO 400 '!$D$12))),0)+IF(AND(L1404="Cafco 400",M1404="Software Idiem",C1404="C"),((('CAFCO 400 '!$L$7*(J1404^3)+'CAFCO 400 '!$L$8*(J1404^2)+'CAFCO 400 '!$L$9*J1404+'CAFCO 400 '!$L$10)*U1404^2)+(('CAFCO 400 '!$L$11*(J1404^3)+'CAFCO 400 '!$L$12*(J1404^2)+'CAFCO 400 '!$L$13*J1404+'CAFCO 400 '!$L$14)*U1404)+('CAFCO 400 '!$L$15*LN(J1404)+'CAFCO 400 '!$L$16)),0)+IF(AND(L1404="Cafco 400",M1404="Software Idiem",C1404="L"),((('CAFCO 400 '!$L$7*(J1404^3)+'CAFCO 400 '!$L$8*(J1404^2)+'CAFCO 400 '!$L$9*J1404+'CAFCO 400 '!$L$10)*U1404^2)+(('CAFCO 400 '!$L$11*(J1404^3)+'CAFCO 400 '!$L$12*(J1404^2)+'CAFCO 400 '!$L$13*J1404+'CAFCO 400 '!$L$14)*U1404)+('CAFCO 400 '!$L$15*LN(J1404)+'CAFCO 400 '!$L$16)),0)+IF(AND(L1404="Cafco 400",M1404="Software Idiem",C1404="IN",G1404=3),((('CAFCO 400 '!$D$23*(J1404^2)+'CAFCO 400 '!$D$24*(J1404)+'CAFCO 400 '!$D$25)*U1404^2)+(('CAFCO 400 '!$D$26*(J1404^2)+'CAFCO 400 '!$D$27*J1404+'CAFCO 400 '!$D$28)*U1404)+('CAFCO 400 '!$D$29*(J1404^2)+'CAFCO 400 '!$D$30*J1404+'CAFCO 400 '!$D$31)),0),0)+IF(AND(L1404="Cafco 300",J1404&gt;=95,J1404&lt;=240,C1404="Cj",I1404=90),VLOOKUP(T1404,'CAFCO 300 IDIEM TABLAS'!$B$4:$D$23,2,FALSE),0)+IF(AND(L1404="Cafco 300",J1404&gt;=95,J1404&lt;=240,C1404="Cj",I1404=120),VLOOKUP(T1404,'CAFCO 300 IDIEM TABLAS'!$B$4:$D$23,3,FALSE),0)+IF(AND(L1404="Cafco 300",J1404&gt;=95,J1404&lt;=400,G1404=3,C1404="IN",I1404=90),VLOOKUP(T1404,'CAFCO 300 IDIEM TABLAS'!$F$4:$H$35,2,FALSE),0)+IF(AND(L1404="Cafco 300",J1404&gt;=95,J1404&lt;=400,G1404=3,C1404="IN",I1404=120),VLOOKUP(T1404,'CAFCO 300 IDIEM TABLAS'!$F$4:$H$35,3,FALSE),0)+IF(AND(L1404="Cafco 300",J1404&gt;=95,J1404&lt;=450,G1404=4,C1404="IN",I1404=90),VLOOKUP(T1404,'CAFCO 300 IDIEM TABLAS'!$J$4:$L$40,2,FALSE),0)+IF(AND(L1404="Cafco 300",J1404&gt;=95,J1404&lt;=450,G1404=4,C1404="IN",I1404=120),VLOOKUP(T1404,'CAFCO 300 IDIEM TABLAS'!$J$4:$L$40,3,FALSE),0)+IF(AND(M1404="Ensayo Idiem",L1404="Cafco 400",C1404="IN",G1404=4,I1404=90),VLOOKUP(T1404,'CAFCO 400 ENSAYO'!$B$7:$D$43,2,FALSE),0)+IF(AND(M1404="Ensayo Idiem",L1404="Cafco 400",C1404="IN",G1404=4,I1404=120),VLOOKUP(T1404,'CAFCO 400 ENSAYO'!$B$7:$D$43,3,FALSE),0)</f>
        <v>0</v>
      </c>
      <c r="O1404" s="96">
        <f t="shared" si="138"/>
        <v>0</v>
      </c>
      <c r="P1404" s="95" t="str">
        <f t="shared" si="139"/>
        <v>N/A</v>
      </c>
      <c r="Q1404" s="95" t="str">
        <f t="shared" si="140"/>
        <v>N/A</v>
      </c>
      <c r="R1404" s="95" t="str">
        <f t="shared" si="141"/>
        <v>NO CERT.</v>
      </c>
      <c r="S1404" s="95" t="e">
        <f t="shared" si="142"/>
        <v>#N/A</v>
      </c>
      <c r="T1404" s="119" t="e">
        <f>+IF(J1404=LOOKUP(J1404,'CAFCO 300 IDIEM TABLAS'!$J$4:$J$40),'CALCULO MORTERO'!J1404,MROUND('CALCULO MORTERO'!J1404,10))</f>
        <v>#N/A</v>
      </c>
      <c r="U1404" s="118">
        <f t="shared" si="143"/>
        <v>0</v>
      </c>
    </row>
    <row r="1405" spans="1:21" x14ac:dyDescent="0.25">
      <c r="A1405" s="118">
        <f>+CUBICACION!D1399</f>
        <v>0</v>
      </c>
      <c r="B1405" s="819">
        <f>+CUBICACION!E1399</f>
        <v>0</v>
      </c>
      <c r="C1405" s="675">
        <f>+CUBICACION!F1399</f>
        <v>0</v>
      </c>
      <c r="D1405" s="118"/>
      <c r="E1405" s="118"/>
      <c r="F1405" s="820"/>
      <c r="G1405" s="675">
        <f>+CUBICACION!J1399</f>
        <v>0</v>
      </c>
      <c r="H1405" s="118"/>
      <c r="I1405" s="821">
        <f>+CUBICACION!L1399</f>
        <v>0</v>
      </c>
      <c r="J1405" s="64">
        <f>+CUBICACION!M1399</f>
        <v>0</v>
      </c>
      <c r="K1405" s="822" t="str">
        <f>+CUBICACION!N1399</f>
        <v/>
      </c>
      <c r="L1405" s="118">
        <f>+CUBICACION!O1399</f>
        <v>0</v>
      </c>
      <c r="M1405" s="823">
        <f>+CUBICACION!P1399</f>
        <v>0</v>
      </c>
      <c r="N1405" s="902">
        <f>ROUND(IF(AND(L1405="Blaze Shield II",M1405="Software Idiem",C1405="IN",G1405=4),((('BLAZE SHIELD II'!$D$4*('CALCULO MORTERO'!I1405^2)+'BLAZE SHIELD II'!$D$5*'CALCULO MORTERO'!I1405+'BLAZE SHIELD II'!$D$6)*LN(J1405))+('BLAZE SHIELD II'!$D$7*('CALCULO MORTERO'!I1405^2)+'BLAZE SHIELD II'!$D$8*'CALCULO MORTERO'!I1405+'BLAZE SHIELD II'!$D$9)),0)+IF(AND(L1405="Blaze Shield II",M1405="Software Idiem",C1405="Cj"),((('BLAZE SHIELD II'!$H$4*('CALCULO MORTERO'!I1405^2)+'BLAZE SHIELD II'!$H$5*'CALCULO MORTERO'!I1405+'BLAZE SHIELD II'!$H$6)*LN(J1405))+('BLAZE SHIELD II'!$H$7*('CALCULO MORTERO'!I1405^2)+'BLAZE SHIELD II'!$H$8*'CALCULO MORTERO'!I1405+'BLAZE SHIELD II'!$H$9)),0)+IF(AND(L1405="Blaze Shield II",M1405="Software Idiem",C1405="C"),((('BLAZE SHIELD II'!$L$4*('CALCULO MORTERO'!I1405^2)+'BLAZE SHIELD II'!$L$5*'CALCULO MORTERO'!I1405+'BLAZE SHIELD II'!$L$6)*LN(J1405))+('BLAZE SHIELD II'!$L$7*('CALCULO MORTERO'!I1405^2)+'BLAZE SHIELD II'!$L$8*'CALCULO MORTERO'!I1405+'BLAZE SHIELD II'!$L$9)),0)+IF(AND(L1405="Blaze Shield II",M1405="Software Idiem",C1405="L"),((('BLAZE SHIELD II'!$L$4*('CALCULO MORTERO'!I1405^2)+'BLAZE SHIELD II'!$L$5*'CALCULO MORTERO'!I1405+'BLAZE SHIELD II'!$L$6)*LN(J1405))+('BLAZE SHIELD II'!$L$7*('CALCULO MORTERO'!I1405^2)+'BLAZE SHIELD II'!$L$8*'CALCULO MORTERO'!I1405+'BLAZE SHIELD II'!$L$9)),0)+IF(AND(L1405="Blaze Shield II",M1405="Software Idiem",C1405="IN",G1405=3),((('BLAZE SHIELD II'!$H$14*('CALCULO MORTERO'!I1405^2)+'BLAZE SHIELD II'!$H$15*'CALCULO MORTERO'!I1405+'BLAZE SHIELD II'!$H$16)*LN(J1405))+('BLAZE SHIELD II'!$H$17*('CALCULO MORTERO'!I1405^2)+'BLAZE SHIELD II'!$H$18*'CALCULO MORTERO'!I1405+'BLAZE SHIELD II'!$H$19)),0),0)+ROUND(IF(AND(L1405="Cafco 400",M1405="Software Idiem",C1405="IN",G1405=4),((('CAFCO 400 '!$H$7*(J1405^4)+'CAFCO 400 '!$H$8*(J1405^3)+'CAFCO 400 '!$H$9*(J1405^2)+'CAFCO 400 '!$H$10*J1405+'CAFCO 400 '!$H$11)*U1405^2)+(('CAFCO 400 '!$H$12*(J1405^3)+'CAFCO 400 '!$H$13*(J1405^2)+'CAFCO 400 '!$H$14*J1405+'CAFCO 400 '!$H$15)*U1405)+('CAFCO 400 '!$H$16*(J1405^2)+'CAFCO 400 '!$H$17*J1405+'CAFCO 400 '!$H$18)),0)+IF(AND(L1405="Cafco 400",M1405="Software Idiem",C1405="Cj"),(((('CAFCO 400 '!$D$7*LN(J1405)+'CAFCO 400 '!$D$8)*U1405^2)+(('CAFCO 400 '!$D$9*LN(J1405)+'CAFCO 400 '!$D$10)*U1405)+('CAFCO 400 '!$D$11*LN(J1405)+'CAFCO 400 '!$D$12))),0)+IF(AND(L1405="Cafco 400",M1405="Software Idiem",C1405="C"),((('CAFCO 400 '!$L$7*(J1405^3)+'CAFCO 400 '!$L$8*(J1405^2)+'CAFCO 400 '!$L$9*J1405+'CAFCO 400 '!$L$10)*U1405^2)+(('CAFCO 400 '!$L$11*(J1405^3)+'CAFCO 400 '!$L$12*(J1405^2)+'CAFCO 400 '!$L$13*J1405+'CAFCO 400 '!$L$14)*U1405)+('CAFCO 400 '!$L$15*LN(J1405)+'CAFCO 400 '!$L$16)),0)+IF(AND(L1405="Cafco 400",M1405="Software Idiem",C1405="L"),((('CAFCO 400 '!$L$7*(J1405^3)+'CAFCO 400 '!$L$8*(J1405^2)+'CAFCO 400 '!$L$9*J1405+'CAFCO 400 '!$L$10)*U1405^2)+(('CAFCO 400 '!$L$11*(J1405^3)+'CAFCO 400 '!$L$12*(J1405^2)+'CAFCO 400 '!$L$13*J1405+'CAFCO 400 '!$L$14)*U1405)+('CAFCO 400 '!$L$15*LN(J1405)+'CAFCO 400 '!$L$16)),0)+IF(AND(L1405="Cafco 400",M1405="Software Idiem",C1405="IN",G1405=3),((('CAFCO 400 '!$D$23*(J1405^2)+'CAFCO 400 '!$D$24*(J1405)+'CAFCO 400 '!$D$25)*U1405^2)+(('CAFCO 400 '!$D$26*(J1405^2)+'CAFCO 400 '!$D$27*J1405+'CAFCO 400 '!$D$28)*U1405)+('CAFCO 400 '!$D$29*(J1405^2)+'CAFCO 400 '!$D$30*J1405+'CAFCO 400 '!$D$31)),0),0)+IF(AND(L1405="Cafco 300",J1405&gt;=95,J1405&lt;=240,C1405="Cj",I1405=90),VLOOKUP(T1405,'CAFCO 300 IDIEM TABLAS'!$B$4:$D$23,2,FALSE),0)+IF(AND(L1405="Cafco 300",J1405&gt;=95,J1405&lt;=240,C1405="Cj",I1405=120),VLOOKUP(T1405,'CAFCO 300 IDIEM TABLAS'!$B$4:$D$23,3,FALSE),0)+IF(AND(L1405="Cafco 300",J1405&gt;=95,J1405&lt;=400,G1405=3,C1405="IN",I1405=90),VLOOKUP(T1405,'CAFCO 300 IDIEM TABLAS'!$F$4:$H$35,2,FALSE),0)+IF(AND(L1405="Cafco 300",J1405&gt;=95,J1405&lt;=400,G1405=3,C1405="IN",I1405=120),VLOOKUP(T1405,'CAFCO 300 IDIEM TABLAS'!$F$4:$H$35,3,FALSE),0)+IF(AND(L1405="Cafco 300",J1405&gt;=95,J1405&lt;=450,G1405=4,C1405="IN",I1405=90),VLOOKUP(T1405,'CAFCO 300 IDIEM TABLAS'!$J$4:$L$40,2,FALSE),0)+IF(AND(L1405="Cafco 300",J1405&gt;=95,J1405&lt;=450,G1405=4,C1405="IN",I1405=120),VLOOKUP(T1405,'CAFCO 300 IDIEM TABLAS'!$J$4:$L$40,3,FALSE),0)+IF(AND(M1405="Ensayo Idiem",L1405="Cafco 400",C1405="IN",G1405=4,I1405=90),VLOOKUP(T1405,'CAFCO 400 ENSAYO'!$B$7:$D$43,2,FALSE),0)+IF(AND(M1405="Ensayo Idiem",L1405="Cafco 400",C1405="IN",G1405=4,I1405=120),VLOOKUP(T1405,'CAFCO 400 ENSAYO'!$B$7:$D$43,3,FALSE),0)</f>
        <v>0</v>
      </c>
      <c r="O1405" s="96">
        <f t="shared" si="138"/>
        <v>0</v>
      </c>
      <c r="P1405" s="132" t="str">
        <f t="shared" si="139"/>
        <v>N/A</v>
      </c>
      <c r="Q1405" s="132" t="str">
        <f t="shared" si="140"/>
        <v>N/A</v>
      </c>
      <c r="R1405" s="132" t="str">
        <f t="shared" si="141"/>
        <v>NO CERT.</v>
      </c>
      <c r="S1405" s="132" t="e">
        <f t="shared" si="142"/>
        <v>#N/A</v>
      </c>
      <c r="T1405" s="133" t="e">
        <f>+IF(J1405=LOOKUP(J1405,'CAFCO 300 IDIEM TABLAS'!$J$4:$J$40),'CALCULO MORTERO'!J1405,MROUND('CALCULO MORTERO'!J1405,10))</f>
        <v>#N/A</v>
      </c>
      <c r="U1405" s="134">
        <f t="shared" si="143"/>
        <v>0</v>
      </c>
    </row>
    <row r="1406" spans="1:21" x14ac:dyDescent="0.25">
      <c r="A1406" s="118">
        <f>+CUBICACION!D1400</f>
        <v>0</v>
      </c>
      <c r="B1406" s="819">
        <f>+CUBICACION!E1400</f>
        <v>0</v>
      </c>
      <c r="C1406" s="675">
        <f>+CUBICACION!F1400</f>
        <v>0</v>
      </c>
      <c r="D1406" s="118"/>
      <c r="E1406" s="118"/>
      <c r="F1406" s="820"/>
      <c r="G1406" s="675">
        <f>+CUBICACION!J1400</f>
        <v>0</v>
      </c>
      <c r="H1406" s="118"/>
      <c r="I1406" s="821">
        <f>+CUBICACION!L1400</f>
        <v>0</v>
      </c>
      <c r="J1406" s="64">
        <f>+CUBICACION!M1400</f>
        <v>0</v>
      </c>
      <c r="K1406" s="822" t="str">
        <f>+CUBICACION!N1400</f>
        <v/>
      </c>
      <c r="L1406" s="118">
        <f>+CUBICACION!O1400</f>
        <v>0</v>
      </c>
      <c r="M1406" s="823">
        <f>+CUBICACION!P1400</f>
        <v>0</v>
      </c>
      <c r="N1406" s="902">
        <f>ROUND(IF(AND(L1406="Blaze Shield II",M1406="Software Idiem",C1406="IN",G1406=4),((('BLAZE SHIELD II'!$D$4*('CALCULO MORTERO'!I1406^2)+'BLAZE SHIELD II'!$D$5*'CALCULO MORTERO'!I1406+'BLAZE SHIELD II'!$D$6)*LN(J1406))+('BLAZE SHIELD II'!$D$7*('CALCULO MORTERO'!I1406^2)+'BLAZE SHIELD II'!$D$8*'CALCULO MORTERO'!I1406+'BLAZE SHIELD II'!$D$9)),0)+IF(AND(L1406="Blaze Shield II",M1406="Software Idiem",C1406="Cj"),((('BLAZE SHIELD II'!$H$4*('CALCULO MORTERO'!I1406^2)+'BLAZE SHIELD II'!$H$5*'CALCULO MORTERO'!I1406+'BLAZE SHIELD II'!$H$6)*LN(J1406))+('BLAZE SHIELD II'!$H$7*('CALCULO MORTERO'!I1406^2)+'BLAZE SHIELD II'!$H$8*'CALCULO MORTERO'!I1406+'BLAZE SHIELD II'!$H$9)),0)+IF(AND(L1406="Blaze Shield II",M1406="Software Idiem",C1406="C"),((('BLAZE SHIELD II'!$L$4*('CALCULO MORTERO'!I1406^2)+'BLAZE SHIELD II'!$L$5*'CALCULO MORTERO'!I1406+'BLAZE SHIELD II'!$L$6)*LN(J1406))+('BLAZE SHIELD II'!$L$7*('CALCULO MORTERO'!I1406^2)+'BLAZE SHIELD II'!$L$8*'CALCULO MORTERO'!I1406+'BLAZE SHIELD II'!$L$9)),0)+IF(AND(L1406="Blaze Shield II",M1406="Software Idiem",C1406="L"),((('BLAZE SHIELD II'!$L$4*('CALCULO MORTERO'!I1406^2)+'BLAZE SHIELD II'!$L$5*'CALCULO MORTERO'!I1406+'BLAZE SHIELD II'!$L$6)*LN(J1406))+('BLAZE SHIELD II'!$L$7*('CALCULO MORTERO'!I1406^2)+'BLAZE SHIELD II'!$L$8*'CALCULO MORTERO'!I1406+'BLAZE SHIELD II'!$L$9)),0)+IF(AND(L1406="Blaze Shield II",M1406="Software Idiem",C1406="IN",G1406=3),((('BLAZE SHIELD II'!$H$14*('CALCULO MORTERO'!I1406^2)+'BLAZE SHIELD II'!$H$15*'CALCULO MORTERO'!I1406+'BLAZE SHIELD II'!$H$16)*LN(J1406))+('BLAZE SHIELD II'!$H$17*('CALCULO MORTERO'!I1406^2)+'BLAZE SHIELD II'!$H$18*'CALCULO MORTERO'!I1406+'BLAZE SHIELD II'!$H$19)),0),0)+ROUND(IF(AND(L1406="Cafco 400",M1406="Software Idiem",C1406="IN",G1406=4),((('CAFCO 400 '!$H$7*(J1406^4)+'CAFCO 400 '!$H$8*(J1406^3)+'CAFCO 400 '!$H$9*(J1406^2)+'CAFCO 400 '!$H$10*J1406+'CAFCO 400 '!$H$11)*U1406^2)+(('CAFCO 400 '!$H$12*(J1406^3)+'CAFCO 400 '!$H$13*(J1406^2)+'CAFCO 400 '!$H$14*J1406+'CAFCO 400 '!$H$15)*U1406)+('CAFCO 400 '!$H$16*(J1406^2)+'CAFCO 400 '!$H$17*J1406+'CAFCO 400 '!$H$18)),0)+IF(AND(L1406="Cafco 400",M1406="Software Idiem",C1406="Cj"),(((('CAFCO 400 '!$D$7*LN(J1406)+'CAFCO 400 '!$D$8)*U1406^2)+(('CAFCO 400 '!$D$9*LN(J1406)+'CAFCO 400 '!$D$10)*U1406)+('CAFCO 400 '!$D$11*LN(J1406)+'CAFCO 400 '!$D$12))),0)+IF(AND(L1406="Cafco 400",M1406="Software Idiem",C1406="C"),((('CAFCO 400 '!$L$7*(J1406^3)+'CAFCO 400 '!$L$8*(J1406^2)+'CAFCO 400 '!$L$9*J1406+'CAFCO 400 '!$L$10)*U1406^2)+(('CAFCO 400 '!$L$11*(J1406^3)+'CAFCO 400 '!$L$12*(J1406^2)+'CAFCO 400 '!$L$13*J1406+'CAFCO 400 '!$L$14)*U1406)+('CAFCO 400 '!$L$15*LN(J1406)+'CAFCO 400 '!$L$16)),0)+IF(AND(L1406="Cafco 400",M1406="Software Idiem",C1406="L"),((('CAFCO 400 '!$L$7*(J1406^3)+'CAFCO 400 '!$L$8*(J1406^2)+'CAFCO 400 '!$L$9*J1406+'CAFCO 400 '!$L$10)*U1406^2)+(('CAFCO 400 '!$L$11*(J1406^3)+'CAFCO 400 '!$L$12*(J1406^2)+'CAFCO 400 '!$L$13*J1406+'CAFCO 400 '!$L$14)*U1406)+('CAFCO 400 '!$L$15*LN(J1406)+'CAFCO 400 '!$L$16)),0)+IF(AND(L1406="Cafco 400",M1406="Software Idiem",C1406="IN",G1406=3),((('CAFCO 400 '!$D$23*(J1406^2)+'CAFCO 400 '!$D$24*(J1406)+'CAFCO 400 '!$D$25)*U1406^2)+(('CAFCO 400 '!$D$26*(J1406^2)+'CAFCO 400 '!$D$27*J1406+'CAFCO 400 '!$D$28)*U1406)+('CAFCO 400 '!$D$29*(J1406^2)+'CAFCO 400 '!$D$30*J1406+'CAFCO 400 '!$D$31)),0),0)+IF(AND(L1406="Cafco 300",J1406&gt;=95,J1406&lt;=240,C1406="Cj",I1406=90),VLOOKUP(T1406,'CAFCO 300 IDIEM TABLAS'!$B$4:$D$23,2,FALSE),0)+IF(AND(L1406="Cafco 300",J1406&gt;=95,J1406&lt;=240,C1406="Cj",I1406=120),VLOOKUP(T1406,'CAFCO 300 IDIEM TABLAS'!$B$4:$D$23,3,FALSE),0)+IF(AND(L1406="Cafco 300",J1406&gt;=95,J1406&lt;=400,G1406=3,C1406="IN",I1406=90),VLOOKUP(T1406,'CAFCO 300 IDIEM TABLAS'!$F$4:$H$35,2,FALSE),0)+IF(AND(L1406="Cafco 300",J1406&gt;=95,J1406&lt;=400,G1406=3,C1406="IN",I1406=120),VLOOKUP(T1406,'CAFCO 300 IDIEM TABLAS'!$F$4:$H$35,3,FALSE),0)+IF(AND(L1406="Cafco 300",J1406&gt;=95,J1406&lt;=450,G1406=4,C1406="IN",I1406=90),VLOOKUP(T1406,'CAFCO 300 IDIEM TABLAS'!$J$4:$L$40,2,FALSE),0)+IF(AND(L1406="Cafco 300",J1406&gt;=95,J1406&lt;=450,G1406=4,C1406="IN",I1406=120),VLOOKUP(T1406,'CAFCO 300 IDIEM TABLAS'!$J$4:$L$40,3,FALSE),0)+IF(AND(M1406="Ensayo Idiem",L1406="Cafco 400",C1406="IN",G1406=4,I1406=90),VLOOKUP(T1406,'CAFCO 400 ENSAYO'!$B$7:$D$43,2,FALSE),0)+IF(AND(M1406="Ensayo Idiem",L1406="Cafco 400",C1406="IN",G1406=4,I1406=120),VLOOKUP(T1406,'CAFCO 400 ENSAYO'!$B$7:$D$43,3,FALSE),0)</f>
        <v>0</v>
      </c>
      <c r="O1406" s="96">
        <f t="shared" si="138"/>
        <v>0</v>
      </c>
      <c r="P1406" s="95" t="str">
        <f t="shared" si="139"/>
        <v>N/A</v>
      </c>
      <c r="Q1406" s="95" t="str">
        <f t="shared" si="140"/>
        <v>N/A</v>
      </c>
      <c r="R1406" s="95" t="str">
        <f t="shared" si="141"/>
        <v>NO CERT.</v>
      </c>
      <c r="S1406" s="95" t="e">
        <f t="shared" si="142"/>
        <v>#N/A</v>
      </c>
      <c r="T1406" s="119" t="e">
        <f>+IF(J1406=LOOKUP(J1406,'CAFCO 300 IDIEM TABLAS'!$J$4:$J$40),'CALCULO MORTERO'!J1406,MROUND('CALCULO MORTERO'!J1406,10))</f>
        <v>#N/A</v>
      </c>
      <c r="U1406" s="118">
        <f t="shared" si="143"/>
        <v>0</v>
      </c>
    </row>
    <row r="1407" spans="1:21" x14ac:dyDescent="0.25">
      <c r="A1407" s="118">
        <f>+CUBICACION!D1401</f>
        <v>0</v>
      </c>
      <c r="B1407" s="819">
        <f>+CUBICACION!E1401</f>
        <v>0</v>
      </c>
      <c r="C1407" s="675">
        <f>+CUBICACION!F1401</f>
        <v>0</v>
      </c>
      <c r="D1407" s="118"/>
      <c r="E1407" s="118"/>
      <c r="F1407" s="820"/>
      <c r="G1407" s="675">
        <f>+CUBICACION!J1401</f>
        <v>0</v>
      </c>
      <c r="H1407" s="118"/>
      <c r="I1407" s="821">
        <f>+CUBICACION!L1401</f>
        <v>0</v>
      </c>
      <c r="J1407" s="64">
        <f>+CUBICACION!M1401</f>
        <v>0</v>
      </c>
      <c r="K1407" s="822" t="str">
        <f>+CUBICACION!N1401</f>
        <v/>
      </c>
      <c r="L1407" s="118">
        <f>+CUBICACION!O1401</f>
        <v>0</v>
      </c>
      <c r="M1407" s="823">
        <f>+CUBICACION!P1401</f>
        <v>0</v>
      </c>
      <c r="N1407" s="902">
        <f>ROUND(IF(AND(L1407="Blaze Shield II",M1407="Software Idiem",C1407="IN",G1407=4),((('BLAZE SHIELD II'!$D$4*('CALCULO MORTERO'!I1407^2)+'BLAZE SHIELD II'!$D$5*'CALCULO MORTERO'!I1407+'BLAZE SHIELD II'!$D$6)*LN(J1407))+('BLAZE SHIELD II'!$D$7*('CALCULO MORTERO'!I1407^2)+'BLAZE SHIELD II'!$D$8*'CALCULO MORTERO'!I1407+'BLAZE SHIELD II'!$D$9)),0)+IF(AND(L1407="Blaze Shield II",M1407="Software Idiem",C1407="Cj"),((('BLAZE SHIELD II'!$H$4*('CALCULO MORTERO'!I1407^2)+'BLAZE SHIELD II'!$H$5*'CALCULO MORTERO'!I1407+'BLAZE SHIELD II'!$H$6)*LN(J1407))+('BLAZE SHIELD II'!$H$7*('CALCULO MORTERO'!I1407^2)+'BLAZE SHIELD II'!$H$8*'CALCULO MORTERO'!I1407+'BLAZE SHIELD II'!$H$9)),0)+IF(AND(L1407="Blaze Shield II",M1407="Software Idiem",C1407="C"),((('BLAZE SHIELD II'!$L$4*('CALCULO MORTERO'!I1407^2)+'BLAZE SHIELD II'!$L$5*'CALCULO MORTERO'!I1407+'BLAZE SHIELD II'!$L$6)*LN(J1407))+('BLAZE SHIELD II'!$L$7*('CALCULO MORTERO'!I1407^2)+'BLAZE SHIELD II'!$L$8*'CALCULO MORTERO'!I1407+'BLAZE SHIELD II'!$L$9)),0)+IF(AND(L1407="Blaze Shield II",M1407="Software Idiem",C1407="L"),((('BLAZE SHIELD II'!$L$4*('CALCULO MORTERO'!I1407^2)+'BLAZE SHIELD II'!$L$5*'CALCULO MORTERO'!I1407+'BLAZE SHIELD II'!$L$6)*LN(J1407))+('BLAZE SHIELD II'!$L$7*('CALCULO MORTERO'!I1407^2)+'BLAZE SHIELD II'!$L$8*'CALCULO MORTERO'!I1407+'BLAZE SHIELD II'!$L$9)),0)+IF(AND(L1407="Blaze Shield II",M1407="Software Idiem",C1407="IN",G1407=3),((('BLAZE SHIELD II'!$H$14*('CALCULO MORTERO'!I1407^2)+'BLAZE SHIELD II'!$H$15*'CALCULO MORTERO'!I1407+'BLAZE SHIELD II'!$H$16)*LN(J1407))+('BLAZE SHIELD II'!$H$17*('CALCULO MORTERO'!I1407^2)+'BLAZE SHIELD II'!$H$18*'CALCULO MORTERO'!I1407+'BLAZE SHIELD II'!$H$19)),0),0)+ROUND(IF(AND(L1407="Cafco 400",M1407="Software Idiem",C1407="IN",G1407=4),((('CAFCO 400 '!$H$7*(J1407^4)+'CAFCO 400 '!$H$8*(J1407^3)+'CAFCO 400 '!$H$9*(J1407^2)+'CAFCO 400 '!$H$10*J1407+'CAFCO 400 '!$H$11)*U1407^2)+(('CAFCO 400 '!$H$12*(J1407^3)+'CAFCO 400 '!$H$13*(J1407^2)+'CAFCO 400 '!$H$14*J1407+'CAFCO 400 '!$H$15)*U1407)+('CAFCO 400 '!$H$16*(J1407^2)+'CAFCO 400 '!$H$17*J1407+'CAFCO 400 '!$H$18)),0)+IF(AND(L1407="Cafco 400",M1407="Software Idiem",C1407="Cj"),(((('CAFCO 400 '!$D$7*LN(J1407)+'CAFCO 400 '!$D$8)*U1407^2)+(('CAFCO 400 '!$D$9*LN(J1407)+'CAFCO 400 '!$D$10)*U1407)+('CAFCO 400 '!$D$11*LN(J1407)+'CAFCO 400 '!$D$12))),0)+IF(AND(L1407="Cafco 400",M1407="Software Idiem",C1407="C"),((('CAFCO 400 '!$L$7*(J1407^3)+'CAFCO 400 '!$L$8*(J1407^2)+'CAFCO 400 '!$L$9*J1407+'CAFCO 400 '!$L$10)*U1407^2)+(('CAFCO 400 '!$L$11*(J1407^3)+'CAFCO 400 '!$L$12*(J1407^2)+'CAFCO 400 '!$L$13*J1407+'CAFCO 400 '!$L$14)*U1407)+('CAFCO 400 '!$L$15*LN(J1407)+'CAFCO 400 '!$L$16)),0)+IF(AND(L1407="Cafco 400",M1407="Software Idiem",C1407="L"),((('CAFCO 400 '!$L$7*(J1407^3)+'CAFCO 400 '!$L$8*(J1407^2)+'CAFCO 400 '!$L$9*J1407+'CAFCO 400 '!$L$10)*U1407^2)+(('CAFCO 400 '!$L$11*(J1407^3)+'CAFCO 400 '!$L$12*(J1407^2)+'CAFCO 400 '!$L$13*J1407+'CAFCO 400 '!$L$14)*U1407)+('CAFCO 400 '!$L$15*LN(J1407)+'CAFCO 400 '!$L$16)),0)+IF(AND(L1407="Cafco 400",M1407="Software Idiem",C1407="IN",G1407=3),((('CAFCO 400 '!$D$23*(J1407^2)+'CAFCO 400 '!$D$24*(J1407)+'CAFCO 400 '!$D$25)*U1407^2)+(('CAFCO 400 '!$D$26*(J1407^2)+'CAFCO 400 '!$D$27*J1407+'CAFCO 400 '!$D$28)*U1407)+('CAFCO 400 '!$D$29*(J1407^2)+'CAFCO 400 '!$D$30*J1407+'CAFCO 400 '!$D$31)),0),0)+IF(AND(L1407="Cafco 300",J1407&gt;=95,J1407&lt;=240,C1407="Cj",I1407=90),VLOOKUP(T1407,'CAFCO 300 IDIEM TABLAS'!$B$4:$D$23,2,FALSE),0)+IF(AND(L1407="Cafco 300",J1407&gt;=95,J1407&lt;=240,C1407="Cj",I1407=120),VLOOKUP(T1407,'CAFCO 300 IDIEM TABLAS'!$B$4:$D$23,3,FALSE),0)+IF(AND(L1407="Cafco 300",J1407&gt;=95,J1407&lt;=400,G1407=3,C1407="IN",I1407=90),VLOOKUP(T1407,'CAFCO 300 IDIEM TABLAS'!$F$4:$H$35,2,FALSE),0)+IF(AND(L1407="Cafco 300",J1407&gt;=95,J1407&lt;=400,G1407=3,C1407="IN",I1407=120),VLOOKUP(T1407,'CAFCO 300 IDIEM TABLAS'!$F$4:$H$35,3,FALSE),0)+IF(AND(L1407="Cafco 300",J1407&gt;=95,J1407&lt;=450,G1407=4,C1407="IN",I1407=90),VLOOKUP(T1407,'CAFCO 300 IDIEM TABLAS'!$J$4:$L$40,2,FALSE),0)+IF(AND(L1407="Cafco 300",J1407&gt;=95,J1407&lt;=450,G1407=4,C1407="IN",I1407=120),VLOOKUP(T1407,'CAFCO 300 IDIEM TABLAS'!$J$4:$L$40,3,FALSE),0)+IF(AND(M1407="Ensayo Idiem",L1407="Cafco 400",C1407="IN",G1407=4,I1407=90),VLOOKUP(T1407,'CAFCO 400 ENSAYO'!$B$7:$D$43,2,FALSE),0)+IF(AND(M1407="Ensayo Idiem",L1407="Cafco 400",C1407="IN",G1407=4,I1407=120),VLOOKUP(T1407,'CAFCO 400 ENSAYO'!$B$7:$D$43,3,FALSE),0)</f>
        <v>0</v>
      </c>
      <c r="O1407" s="96">
        <f t="shared" si="138"/>
        <v>0</v>
      </c>
      <c r="P1407" s="132" t="str">
        <f t="shared" si="139"/>
        <v>N/A</v>
      </c>
      <c r="Q1407" s="132" t="str">
        <f t="shared" si="140"/>
        <v>N/A</v>
      </c>
      <c r="R1407" s="132" t="str">
        <f t="shared" si="141"/>
        <v>NO CERT.</v>
      </c>
      <c r="S1407" s="132" t="e">
        <f t="shared" si="142"/>
        <v>#N/A</v>
      </c>
      <c r="T1407" s="133" t="e">
        <f>+IF(J1407=LOOKUP(J1407,'CAFCO 300 IDIEM TABLAS'!$J$4:$J$40),'CALCULO MORTERO'!J1407,MROUND('CALCULO MORTERO'!J1407,10))</f>
        <v>#N/A</v>
      </c>
      <c r="U1407" s="134">
        <f t="shared" si="143"/>
        <v>0</v>
      </c>
    </row>
    <row r="1408" spans="1:21" x14ac:dyDescent="0.25">
      <c r="A1408" s="118">
        <f>+CUBICACION!D1402</f>
        <v>0</v>
      </c>
      <c r="B1408" s="819">
        <f>+CUBICACION!E1402</f>
        <v>0</v>
      </c>
      <c r="C1408" s="675">
        <f>+CUBICACION!F1402</f>
        <v>0</v>
      </c>
      <c r="D1408" s="118"/>
      <c r="E1408" s="118"/>
      <c r="F1408" s="820"/>
      <c r="G1408" s="675">
        <f>+CUBICACION!J1402</f>
        <v>0</v>
      </c>
      <c r="H1408" s="118"/>
      <c r="I1408" s="821">
        <f>+CUBICACION!L1402</f>
        <v>0</v>
      </c>
      <c r="J1408" s="64">
        <f>+CUBICACION!M1402</f>
        <v>0</v>
      </c>
      <c r="K1408" s="822" t="str">
        <f>+CUBICACION!N1402</f>
        <v/>
      </c>
      <c r="L1408" s="118">
        <f>+CUBICACION!O1402</f>
        <v>0</v>
      </c>
      <c r="M1408" s="823">
        <f>+CUBICACION!P1402</f>
        <v>0</v>
      </c>
      <c r="N1408" s="902">
        <f>ROUND(IF(AND(L1408="Blaze Shield II",M1408="Software Idiem",C1408="IN",G1408=4),((('BLAZE SHIELD II'!$D$4*('CALCULO MORTERO'!I1408^2)+'BLAZE SHIELD II'!$D$5*'CALCULO MORTERO'!I1408+'BLAZE SHIELD II'!$D$6)*LN(J1408))+('BLAZE SHIELD II'!$D$7*('CALCULO MORTERO'!I1408^2)+'BLAZE SHIELD II'!$D$8*'CALCULO MORTERO'!I1408+'BLAZE SHIELD II'!$D$9)),0)+IF(AND(L1408="Blaze Shield II",M1408="Software Idiem",C1408="Cj"),((('BLAZE SHIELD II'!$H$4*('CALCULO MORTERO'!I1408^2)+'BLAZE SHIELD II'!$H$5*'CALCULO MORTERO'!I1408+'BLAZE SHIELD II'!$H$6)*LN(J1408))+('BLAZE SHIELD II'!$H$7*('CALCULO MORTERO'!I1408^2)+'BLAZE SHIELD II'!$H$8*'CALCULO MORTERO'!I1408+'BLAZE SHIELD II'!$H$9)),0)+IF(AND(L1408="Blaze Shield II",M1408="Software Idiem",C1408="C"),((('BLAZE SHIELD II'!$L$4*('CALCULO MORTERO'!I1408^2)+'BLAZE SHIELD II'!$L$5*'CALCULO MORTERO'!I1408+'BLAZE SHIELD II'!$L$6)*LN(J1408))+('BLAZE SHIELD II'!$L$7*('CALCULO MORTERO'!I1408^2)+'BLAZE SHIELD II'!$L$8*'CALCULO MORTERO'!I1408+'BLAZE SHIELD II'!$L$9)),0)+IF(AND(L1408="Blaze Shield II",M1408="Software Idiem",C1408="L"),((('BLAZE SHIELD II'!$L$4*('CALCULO MORTERO'!I1408^2)+'BLAZE SHIELD II'!$L$5*'CALCULO MORTERO'!I1408+'BLAZE SHIELD II'!$L$6)*LN(J1408))+('BLAZE SHIELD II'!$L$7*('CALCULO MORTERO'!I1408^2)+'BLAZE SHIELD II'!$L$8*'CALCULO MORTERO'!I1408+'BLAZE SHIELD II'!$L$9)),0)+IF(AND(L1408="Blaze Shield II",M1408="Software Idiem",C1408="IN",G1408=3),((('BLAZE SHIELD II'!$H$14*('CALCULO MORTERO'!I1408^2)+'BLAZE SHIELD II'!$H$15*'CALCULO MORTERO'!I1408+'BLAZE SHIELD II'!$H$16)*LN(J1408))+('BLAZE SHIELD II'!$H$17*('CALCULO MORTERO'!I1408^2)+'BLAZE SHIELD II'!$H$18*'CALCULO MORTERO'!I1408+'BLAZE SHIELD II'!$H$19)),0),0)+ROUND(IF(AND(L1408="Cafco 400",M1408="Software Idiem",C1408="IN",G1408=4),((('CAFCO 400 '!$H$7*(J1408^4)+'CAFCO 400 '!$H$8*(J1408^3)+'CAFCO 400 '!$H$9*(J1408^2)+'CAFCO 400 '!$H$10*J1408+'CAFCO 400 '!$H$11)*U1408^2)+(('CAFCO 400 '!$H$12*(J1408^3)+'CAFCO 400 '!$H$13*(J1408^2)+'CAFCO 400 '!$H$14*J1408+'CAFCO 400 '!$H$15)*U1408)+('CAFCO 400 '!$H$16*(J1408^2)+'CAFCO 400 '!$H$17*J1408+'CAFCO 400 '!$H$18)),0)+IF(AND(L1408="Cafco 400",M1408="Software Idiem",C1408="Cj"),(((('CAFCO 400 '!$D$7*LN(J1408)+'CAFCO 400 '!$D$8)*U1408^2)+(('CAFCO 400 '!$D$9*LN(J1408)+'CAFCO 400 '!$D$10)*U1408)+('CAFCO 400 '!$D$11*LN(J1408)+'CAFCO 400 '!$D$12))),0)+IF(AND(L1408="Cafco 400",M1408="Software Idiem",C1408="C"),((('CAFCO 400 '!$L$7*(J1408^3)+'CAFCO 400 '!$L$8*(J1408^2)+'CAFCO 400 '!$L$9*J1408+'CAFCO 400 '!$L$10)*U1408^2)+(('CAFCO 400 '!$L$11*(J1408^3)+'CAFCO 400 '!$L$12*(J1408^2)+'CAFCO 400 '!$L$13*J1408+'CAFCO 400 '!$L$14)*U1408)+('CAFCO 400 '!$L$15*LN(J1408)+'CAFCO 400 '!$L$16)),0)+IF(AND(L1408="Cafco 400",M1408="Software Idiem",C1408="L"),((('CAFCO 400 '!$L$7*(J1408^3)+'CAFCO 400 '!$L$8*(J1408^2)+'CAFCO 400 '!$L$9*J1408+'CAFCO 400 '!$L$10)*U1408^2)+(('CAFCO 400 '!$L$11*(J1408^3)+'CAFCO 400 '!$L$12*(J1408^2)+'CAFCO 400 '!$L$13*J1408+'CAFCO 400 '!$L$14)*U1408)+('CAFCO 400 '!$L$15*LN(J1408)+'CAFCO 400 '!$L$16)),0)+IF(AND(L1408="Cafco 400",M1408="Software Idiem",C1408="IN",G1408=3),((('CAFCO 400 '!$D$23*(J1408^2)+'CAFCO 400 '!$D$24*(J1408)+'CAFCO 400 '!$D$25)*U1408^2)+(('CAFCO 400 '!$D$26*(J1408^2)+'CAFCO 400 '!$D$27*J1408+'CAFCO 400 '!$D$28)*U1408)+('CAFCO 400 '!$D$29*(J1408^2)+'CAFCO 400 '!$D$30*J1408+'CAFCO 400 '!$D$31)),0),0)+IF(AND(L1408="Cafco 300",J1408&gt;=95,J1408&lt;=240,C1408="Cj",I1408=90),VLOOKUP(T1408,'CAFCO 300 IDIEM TABLAS'!$B$4:$D$23,2,FALSE),0)+IF(AND(L1408="Cafco 300",J1408&gt;=95,J1408&lt;=240,C1408="Cj",I1408=120),VLOOKUP(T1408,'CAFCO 300 IDIEM TABLAS'!$B$4:$D$23,3,FALSE),0)+IF(AND(L1408="Cafco 300",J1408&gt;=95,J1408&lt;=400,G1408=3,C1408="IN",I1408=90),VLOOKUP(T1408,'CAFCO 300 IDIEM TABLAS'!$F$4:$H$35,2,FALSE),0)+IF(AND(L1408="Cafco 300",J1408&gt;=95,J1408&lt;=400,G1408=3,C1408="IN",I1408=120),VLOOKUP(T1408,'CAFCO 300 IDIEM TABLAS'!$F$4:$H$35,3,FALSE),0)+IF(AND(L1408="Cafco 300",J1408&gt;=95,J1408&lt;=450,G1408=4,C1408="IN",I1408=90),VLOOKUP(T1408,'CAFCO 300 IDIEM TABLAS'!$J$4:$L$40,2,FALSE),0)+IF(AND(L1408="Cafco 300",J1408&gt;=95,J1408&lt;=450,G1408=4,C1408="IN",I1408=120),VLOOKUP(T1408,'CAFCO 300 IDIEM TABLAS'!$J$4:$L$40,3,FALSE),0)+IF(AND(M1408="Ensayo Idiem",L1408="Cafco 400",C1408="IN",G1408=4,I1408=90),VLOOKUP(T1408,'CAFCO 400 ENSAYO'!$B$7:$D$43,2,FALSE),0)+IF(AND(M1408="Ensayo Idiem",L1408="Cafco 400",C1408="IN",G1408=4,I1408=120),VLOOKUP(T1408,'CAFCO 400 ENSAYO'!$B$7:$D$43,3,FALSE),0)</f>
        <v>0</v>
      </c>
      <c r="O1408" s="96">
        <f t="shared" si="138"/>
        <v>0</v>
      </c>
      <c r="P1408" s="95" t="str">
        <f t="shared" si="139"/>
        <v>N/A</v>
      </c>
      <c r="Q1408" s="95" t="str">
        <f t="shared" si="140"/>
        <v>N/A</v>
      </c>
      <c r="R1408" s="95" t="str">
        <f t="shared" si="141"/>
        <v>NO CERT.</v>
      </c>
      <c r="S1408" s="95" t="e">
        <f t="shared" si="142"/>
        <v>#N/A</v>
      </c>
      <c r="T1408" s="119" t="e">
        <f>+IF(J1408=LOOKUP(J1408,'CAFCO 300 IDIEM TABLAS'!$J$4:$J$40),'CALCULO MORTERO'!J1408,MROUND('CALCULO MORTERO'!J1408,10))</f>
        <v>#N/A</v>
      </c>
      <c r="U1408" s="118">
        <f t="shared" si="143"/>
        <v>0</v>
      </c>
    </row>
    <row r="1409" spans="1:21" x14ac:dyDescent="0.25">
      <c r="A1409" s="118">
        <f>+CUBICACION!D1403</f>
        <v>0</v>
      </c>
      <c r="B1409" s="819">
        <f>+CUBICACION!E1403</f>
        <v>0</v>
      </c>
      <c r="C1409" s="675">
        <f>+CUBICACION!F1403</f>
        <v>0</v>
      </c>
      <c r="D1409" s="118"/>
      <c r="E1409" s="118"/>
      <c r="F1409" s="820"/>
      <c r="G1409" s="675">
        <f>+CUBICACION!J1403</f>
        <v>0</v>
      </c>
      <c r="H1409" s="118"/>
      <c r="I1409" s="821">
        <f>+CUBICACION!L1403</f>
        <v>0</v>
      </c>
      <c r="J1409" s="64">
        <f>+CUBICACION!M1403</f>
        <v>0</v>
      </c>
      <c r="K1409" s="822" t="str">
        <f>+CUBICACION!N1403</f>
        <v/>
      </c>
      <c r="L1409" s="118">
        <f>+CUBICACION!O1403</f>
        <v>0</v>
      </c>
      <c r="M1409" s="823">
        <f>+CUBICACION!P1403</f>
        <v>0</v>
      </c>
      <c r="N1409" s="902">
        <f>ROUND(IF(AND(L1409="Blaze Shield II",M1409="Software Idiem",C1409="IN",G1409=4),((('BLAZE SHIELD II'!$D$4*('CALCULO MORTERO'!I1409^2)+'BLAZE SHIELD II'!$D$5*'CALCULO MORTERO'!I1409+'BLAZE SHIELD II'!$D$6)*LN(J1409))+('BLAZE SHIELD II'!$D$7*('CALCULO MORTERO'!I1409^2)+'BLAZE SHIELD II'!$D$8*'CALCULO MORTERO'!I1409+'BLAZE SHIELD II'!$D$9)),0)+IF(AND(L1409="Blaze Shield II",M1409="Software Idiem",C1409="Cj"),((('BLAZE SHIELD II'!$H$4*('CALCULO MORTERO'!I1409^2)+'BLAZE SHIELD II'!$H$5*'CALCULO MORTERO'!I1409+'BLAZE SHIELD II'!$H$6)*LN(J1409))+('BLAZE SHIELD II'!$H$7*('CALCULO MORTERO'!I1409^2)+'BLAZE SHIELD II'!$H$8*'CALCULO MORTERO'!I1409+'BLAZE SHIELD II'!$H$9)),0)+IF(AND(L1409="Blaze Shield II",M1409="Software Idiem",C1409="C"),((('BLAZE SHIELD II'!$L$4*('CALCULO MORTERO'!I1409^2)+'BLAZE SHIELD II'!$L$5*'CALCULO MORTERO'!I1409+'BLAZE SHIELD II'!$L$6)*LN(J1409))+('BLAZE SHIELD II'!$L$7*('CALCULO MORTERO'!I1409^2)+'BLAZE SHIELD II'!$L$8*'CALCULO MORTERO'!I1409+'BLAZE SHIELD II'!$L$9)),0)+IF(AND(L1409="Blaze Shield II",M1409="Software Idiem",C1409="L"),((('BLAZE SHIELD II'!$L$4*('CALCULO MORTERO'!I1409^2)+'BLAZE SHIELD II'!$L$5*'CALCULO MORTERO'!I1409+'BLAZE SHIELD II'!$L$6)*LN(J1409))+('BLAZE SHIELD II'!$L$7*('CALCULO MORTERO'!I1409^2)+'BLAZE SHIELD II'!$L$8*'CALCULO MORTERO'!I1409+'BLAZE SHIELD II'!$L$9)),0)+IF(AND(L1409="Blaze Shield II",M1409="Software Idiem",C1409="IN",G1409=3),((('BLAZE SHIELD II'!$H$14*('CALCULO MORTERO'!I1409^2)+'BLAZE SHIELD II'!$H$15*'CALCULO MORTERO'!I1409+'BLAZE SHIELD II'!$H$16)*LN(J1409))+('BLAZE SHIELD II'!$H$17*('CALCULO MORTERO'!I1409^2)+'BLAZE SHIELD II'!$H$18*'CALCULO MORTERO'!I1409+'BLAZE SHIELD II'!$H$19)),0),0)+ROUND(IF(AND(L1409="Cafco 400",M1409="Software Idiem",C1409="IN",G1409=4),((('CAFCO 400 '!$H$7*(J1409^4)+'CAFCO 400 '!$H$8*(J1409^3)+'CAFCO 400 '!$H$9*(J1409^2)+'CAFCO 400 '!$H$10*J1409+'CAFCO 400 '!$H$11)*U1409^2)+(('CAFCO 400 '!$H$12*(J1409^3)+'CAFCO 400 '!$H$13*(J1409^2)+'CAFCO 400 '!$H$14*J1409+'CAFCO 400 '!$H$15)*U1409)+('CAFCO 400 '!$H$16*(J1409^2)+'CAFCO 400 '!$H$17*J1409+'CAFCO 400 '!$H$18)),0)+IF(AND(L1409="Cafco 400",M1409="Software Idiem",C1409="Cj"),(((('CAFCO 400 '!$D$7*LN(J1409)+'CAFCO 400 '!$D$8)*U1409^2)+(('CAFCO 400 '!$D$9*LN(J1409)+'CAFCO 400 '!$D$10)*U1409)+('CAFCO 400 '!$D$11*LN(J1409)+'CAFCO 400 '!$D$12))),0)+IF(AND(L1409="Cafco 400",M1409="Software Idiem",C1409="C"),((('CAFCO 400 '!$L$7*(J1409^3)+'CAFCO 400 '!$L$8*(J1409^2)+'CAFCO 400 '!$L$9*J1409+'CAFCO 400 '!$L$10)*U1409^2)+(('CAFCO 400 '!$L$11*(J1409^3)+'CAFCO 400 '!$L$12*(J1409^2)+'CAFCO 400 '!$L$13*J1409+'CAFCO 400 '!$L$14)*U1409)+('CAFCO 400 '!$L$15*LN(J1409)+'CAFCO 400 '!$L$16)),0)+IF(AND(L1409="Cafco 400",M1409="Software Idiem",C1409="L"),((('CAFCO 400 '!$L$7*(J1409^3)+'CAFCO 400 '!$L$8*(J1409^2)+'CAFCO 400 '!$L$9*J1409+'CAFCO 400 '!$L$10)*U1409^2)+(('CAFCO 400 '!$L$11*(J1409^3)+'CAFCO 400 '!$L$12*(J1409^2)+'CAFCO 400 '!$L$13*J1409+'CAFCO 400 '!$L$14)*U1409)+('CAFCO 400 '!$L$15*LN(J1409)+'CAFCO 400 '!$L$16)),0)+IF(AND(L1409="Cafco 400",M1409="Software Idiem",C1409="IN",G1409=3),((('CAFCO 400 '!$D$23*(J1409^2)+'CAFCO 400 '!$D$24*(J1409)+'CAFCO 400 '!$D$25)*U1409^2)+(('CAFCO 400 '!$D$26*(J1409^2)+'CAFCO 400 '!$D$27*J1409+'CAFCO 400 '!$D$28)*U1409)+('CAFCO 400 '!$D$29*(J1409^2)+'CAFCO 400 '!$D$30*J1409+'CAFCO 400 '!$D$31)),0),0)+IF(AND(L1409="Cafco 300",J1409&gt;=95,J1409&lt;=240,C1409="Cj",I1409=90),VLOOKUP(T1409,'CAFCO 300 IDIEM TABLAS'!$B$4:$D$23,2,FALSE),0)+IF(AND(L1409="Cafco 300",J1409&gt;=95,J1409&lt;=240,C1409="Cj",I1409=120),VLOOKUP(T1409,'CAFCO 300 IDIEM TABLAS'!$B$4:$D$23,3,FALSE),0)+IF(AND(L1409="Cafco 300",J1409&gt;=95,J1409&lt;=400,G1409=3,C1409="IN",I1409=90),VLOOKUP(T1409,'CAFCO 300 IDIEM TABLAS'!$F$4:$H$35,2,FALSE),0)+IF(AND(L1409="Cafco 300",J1409&gt;=95,J1409&lt;=400,G1409=3,C1409="IN",I1409=120),VLOOKUP(T1409,'CAFCO 300 IDIEM TABLAS'!$F$4:$H$35,3,FALSE),0)+IF(AND(L1409="Cafco 300",J1409&gt;=95,J1409&lt;=450,G1409=4,C1409="IN",I1409=90),VLOOKUP(T1409,'CAFCO 300 IDIEM TABLAS'!$J$4:$L$40,2,FALSE),0)+IF(AND(L1409="Cafco 300",J1409&gt;=95,J1409&lt;=450,G1409=4,C1409="IN",I1409=120),VLOOKUP(T1409,'CAFCO 300 IDIEM TABLAS'!$J$4:$L$40,3,FALSE),0)+IF(AND(M1409="Ensayo Idiem",L1409="Cafco 400",C1409="IN",G1409=4,I1409=90),VLOOKUP(T1409,'CAFCO 400 ENSAYO'!$B$7:$D$43,2,FALSE),0)+IF(AND(M1409="Ensayo Idiem",L1409="Cafco 400",C1409="IN",G1409=4,I1409=120),VLOOKUP(T1409,'CAFCO 400 ENSAYO'!$B$7:$D$43,3,FALSE),0)</f>
        <v>0</v>
      </c>
      <c r="O1409" s="96">
        <f t="shared" si="138"/>
        <v>0</v>
      </c>
      <c r="P1409" s="132" t="str">
        <f t="shared" si="139"/>
        <v>N/A</v>
      </c>
      <c r="Q1409" s="132" t="str">
        <f t="shared" si="140"/>
        <v>N/A</v>
      </c>
      <c r="R1409" s="132" t="str">
        <f t="shared" si="141"/>
        <v>NO CERT.</v>
      </c>
      <c r="S1409" s="132" t="e">
        <f t="shared" si="142"/>
        <v>#N/A</v>
      </c>
      <c r="T1409" s="133" t="e">
        <f>+IF(J1409=LOOKUP(J1409,'CAFCO 300 IDIEM TABLAS'!$J$4:$J$40),'CALCULO MORTERO'!J1409,MROUND('CALCULO MORTERO'!J1409,10))</f>
        <v>#N/A</v>
      </c>
      <c r="U1409" s="134">
        <f t="shared" si="143"/>
        <v>0</v>
      </c>
    </row>
    <row r="1410" spans="1:21" x14ac:dyDescent="0.25">
      <c r="A1410" s="118">
        <f>+CUBICACION!D1404</f>
        <v>0</v>
      </c>
      <c r="B1410" s="819">
        <f>+CUBICACION!E1404</f>
        <v>0</v>
      </c>
      <c r="C1410" s="675">
        <f>+CUBICACION!F1404</f>
        <v>0</v>
      </c>
      <c r="D1410" s="118"/>
      <c r="E1410" s="118"/>
      <c r="F1410" s="820"/>
      <c r="G1410" s="675">
        <f>+CUBICACION!J1404</f>
        <v>0</v>
      </c>
      <c r="H1410" s="118"/>
      <c r="I1410" s="821">
        <f>+CUBICACION!L1404</f>
        <v>0</v>
      </c>
      <c r="J1410" s="64">
        <f>+CUBICACION!M1404</f>
        <v>0</v>
      </c>
      <c r="K1410" s="822" t="str">
        <f>+CUBICACION!N1404</f>
        <v/>
      </c>
      <c r="L1410" s="118">
        <f>+CUBICACION!O1404</f>
        <v>0</v>
      </c>
      <c r="M1410" s="823">
        <f>+CUBICACION!P1404</f>
        <v>0</v>
      </c>
      <c r="N1410" s="902">
        <f>ROUND(IF(AND(L1410="Blaze Shield II",M1410="Software Idiem",C1410="IN",G1410=4),((('BLAZE SHIELD II'!$D$4*('CALCULO MORTERO'!I1410^2)+'BLAZE SHIELD II'!$D$5*'CALCULO MORTERO'!I1410+'BLAZE SHIELD II'!$D$6)*LN(J1410))+('BLAZE SHIELD II'!$D$7*('CALCULO MORTERO'!I1410^2)+'BLAZE SHIELD II'!$D$8*'CALCULO MORTERO'!I1410+'BLAZE SHIELD II'!$D$9)),0)+IF(AND(L1410="Blaze Shield II",M1410="Software Idiem",C1410="Cj"),((('BLAZE SHIELD II'!$H$4*('CALCULO MORTERO'!I1410^2)+'BLAZE SHIELD II'!$H$5*'CALCULO MORTERO'!I1410+'BLAZE SHIELD II'!$H$6)*LN(J1410))+('BLAZE SHIELD II'!$H$7*('CALCULO MORTERO'!I1410^2)+'BLAZE SHIELD II'!$H$8*'CALCULO MORTERO'!I1410+'BLAZE SHIELD II'!$H$9)),0)+IF(AND(L1410="Blaze Shield II",M1410="Software Idiem",C1410="C"),((('BLAZE SHIELD II'!$L$4*('CALCULO MORTERO'!I1410^2)+'BLAZE SHIELD II'!$L$5*'CALCULO MORTERO'!I1410+'BLAZE SHIELD II'!$L$6)*LN(J1410))+('BLAZE SHIELD II'!$L$7*('CALCULO MORTERO'!I1410^2)+'BLAZE SHIELD II'!$L$8*'CALCULO MORTERO'!I1410+'BLAZE SHIELD II'!$L$9)),0)+IF(AND(L1410="Blaze Shield II",M1410="Software Idiem",C1410="L"),((('BLAZE SHIELD II'!$L$4*('CALCULO MORTERO'!I1410^2)+'BLAZE SHIELD II'!$L$5*'CALCULO MORTERO'!I1410+'BLAZE SHIELD II'!$L$6)*LN(J1410))+('BLAZE SHIELD II'!$L$7*('CALCULO MORTERO'!I1410^2)+'BLAZE SHIELD II'!$L$8*'CALCULO MORTERO'!I1410+'BLAZE SHIELD II'!$L$9)),0)+IF(AND(L1410="Blaze Shield II",M1410="Software Idiem",C1410="IN",G1410=3),((('BLAZE SHIELD II'!$H$14*('CALCULO MORTERO'!I1410^2)+'BLAZE SHIELD II'!$H$15*'CALCULO MORTERO'!I1410+'BLAZE SHIELD II'!$H$16)*LN(J1410))+('BLAZE SHIELD II'!$H$17*('CALCULO MORTERO'!I1410^2)+'BLAZE SHIELD II'!$H$18*'CALCULO MORTERO'!I1410+'BLAZE SHIELD II'!$H$19)),0),0)+ROUND(IF(AND(L1410="Cafco 400",M1410="Software Idiem",C1410="IN",G1410=4),((('CAFCO 400 '!$H$7*(J1410^4)+'CAFCO 400 '!$H$8*(J1410^3)+'CAFCO 400 '!$H$9*(J1410^2)+'CAFCO 400 '!$H$10*J1410+'CAFCO 400 '!$H$11)*U1410^2)+(('CAFCO 400 '!$H$12*(J1410^3)+'CAFCO 400 '!$H$13*(J1410^2)+'CAFCO 400 '!$H$14*J1410+'CAFCO 400 '!$H$15)*U1410)+('CAFCO 400 '!$H$16*(J1410^2)+'CAFCO 400 '!$H$17*J1410+'CAFCO 400 '!$H$18)),0)+IF(AND(L1410="Cafco 400",M1410="Software Idiem",C1410="Cj"),(((('CAFCO 400 '!$D$7*LN(J1410)+'CAFCO 400 '!$D$8)*U1410^2)+(('CAFCO 400 '!$D$9*LN(J1410)+'CAFCO 400 '!$D$10)*U1410)+('CAFCO 400 '!$D$11*LN(J1410)+'CAFCO 400 '!$D$12))),0)+IF(AND(L1410="Cafco 400",M1410="Software Idiem",C1410="C"),((('CAFCO 400 '!$L$7*(J1410^3)+'CAFCO 400 '!$L$8*(J1410^2)+'CAFCO 400 '!$L$9*J1410+'CAFCO 400 '!$L$10)*U1410^2)+(('CAFCO 400 '!$L$11*(J1410^3)+'CAFCO 400 '!$L$12*(J1410^2)+'CAFCO 400 '!$L$13*J1410+'CAFCO 400 '!$L$14)*U1410)+('CAFCO 400 '!$L$15*LN(J1410)+'CAFCO 400 '!$L$16)),0)+IF(AND(L1410="Cafco 400",M1410="Software Idiem",C1410="L"),((('CAFCO 400 '!$L$7*(J1410^3)+'CAFCO 400 '!$L$8*(J1410^2)+'CAFCO 400 '!$L$9*J1410+'CAFCO 400 '!$L$10)*U1410^2)+(('CAFCO 400 '!$L$11*(J1410^3)+'CAFCO 400 '!$L$12*(J1410^2)+'CAFCO 400 '!$L$13*J1410+'CAFCO 400 '!$L$14)*U1410)+('CAFCO 400 '!$L$15*LN(J1410)+'CAFCO 400 '!$L$16)),0)+IF(AND(L1410="Cafco 400",M1410="Software Idiem",C1410="IN",G1410=3),((('CAFCO 400 '!$D$23*(J1410^2)+'CAFCO 400 '!$D$24*(J1410)+'CAFCO 400 '!$D$25)*U1410^2)+(('CAFCO 400 '!$D$26*(J1410^2)+'CAFCO 400 '!$D$27*J1410+'CAFCO 400 '!$D$28)*U1410)+('CAFCO 400 '!$D$29*(J1410^2)+'CAFCO 400 '!$D$30*J1410+'CAFCO 400 '!$D$31)),0),0)+IF(AND(L1410="Cafco 300",J1410&gt;=95,J1410&lt;=240,C1410="Cj",I1410=90),VLOOKUP(T1410,'CAFCO 300 IDIEM TABLAS'!$B$4:$D$23,2,FALSE),0)+IF(AND(L1410="Cafco 300",J1410&gt;=95,J1410&lt;=240,C1410="Cj",I1410=120),VLOOKUP(T1410,'CAFCO 300 IDIEM TABLAS'!$B$4:$D$23,3,FALSE),0)+IF(AND(L1410="Cafco 300",J1410&gt;=95,J1410&lt;=400,G1410=3,C1410="IN",I1410=90),VLOOKUP(T1410,'CAFCO 300 IDIEM TABLAS'!$F$4:$H$35,2,FALSE),0)+IF(AND(L1410="Cafco 300",J1410&gt;=95,J1410&lt;=400,G1410=3,C1410="IN",I1410=120),VLOOKUP(T1410,'CAFCO 300 IDIEM TABLAS'!$F$4:$H$35,3,FALSE),0)+IF(AND(L1410="Cafco 300",J1410&gt;=95,J1410&lt;=450,G1410=4,C1410="IN",I1410=90),VLOOKUP(T1410,'CAFCO 300 IDIEM TABLAS'!$J$4:$L$40,2,FALSE),0)+IF(AND(L1410="Cafco 300",J1410&gt;=95,J1410&lt;=450,G1410=4,C1410="IN",I1410=120),VLOOKUP(T1410,'CAFCO 300 IDIEM TABLAS'!$J$4:$L$40,3,FALSE),0)+IF(AND(M1410="Ensayo Idiem",L1410="Cafco 400",C1410="IN",G1410=4,I1410=90),VLOOKUP(T1410,'CAFCO 400 ENSAYO'!$B$7:$D$43,2,FALSE),0)+IF(AND(M1410="Ensayo Idiem",L1410="Cafco 400",C1410="IN",G1410=4,I1410=120),VLOOKUP(T1410,'CAFCO 400 ENSAYO'!$B$7:$D$43,3,FALSE),0)</f>
        <v>0</v>
      </c>
      <c r="O1410" s="96">
        <f t="shared" si="138"/>
        <v>0</v>
      </c>
      <c r="P1410" s="95" t="str">
        <f t="shared" si="139"/>
        <v>N/A</v>
      </c>
      <c r="Q1410" s="95" t="str">
        <f t="shared" si="140"/>
        <v>N/A</v>
      </c>
      <c r="R1410" s="95" t="str">
        <f t="shared" si="141"/>
        <v>NO CERT.</v>
      </c>
      <c r="S1410" s="95" t="e">
        <f t="shared" si="142"/>
        <v>#N/A</v>
      </c>
      <c r="T1410" s="119" t="e">
        <f>+IF(J1410=LOOKUP(J1410,'CAFCO 300 IDIEM TABLAS'!$J$4:$J$40),'CALCULO MORTERO'!J1410,MROUND('CALCULO MORTERO'!J1410,10))</f>
        <v>#N/A</v>
      </c>
      <c r="U1410" s="118">
        <f t="shared" si="143"/>
        <v>0</v>
      </c>
    </row>
    <row r="1411" spans="1:21" x14ac:dyDescent="0.25">
      <c r="A1411" s="118">
        <f>+CUBICACION!D1405</f>
        <v>0</v>
      </c>
      <c r="B1411" s="819">
        <f>+CUBICACION!E1405</f>
        <v>0</v>
      </c>
      <c r="C1411" s="675">
        <f>+CUBICACION!F1405</f>
        <v>0</v>
      </c>
      <c r="D1411" s="118"/>
      <c r="E1411" s="118"/>
      <c r="F1411" s="820"/>
      <c r="G1411" s="675">
        <f>+CUBICACION!J1405</f>
        <v>0</v>
      </c>
      <c r="H1411" s="118"/>
      <c r="I1411" s="821">
        <f>+CUBICACION!L1405</f>
        <v>0</v>
      </c>
      <c r="J1411" s="64">
        <f>+CUBICACION!M1405</f>
        <v>0</v>
      </c>
      <c r="K1411" s="822" t="str">
        <f>+CUBICACION!N1405</f>
        <v/>
      </c>
      <c r="L1411" s="118">
        <f>+CUBICACION!O1405</f>
        <v>0</v>
      </c>
      <c r="M1411" s="823">
        <f>+CUBICACION!P1405</f>
        <v>0</v>
      </c>
      <c r="N1411" s="902">
        <f>ROUND(IF(AND(L1411="Blaze Shield II",M1411="Software Idiem",C1411="IN",G1411=4),((('BLAZE SHIELD II'!$D$4*('CALCULO MORTERO'!I1411^2)+'BLAZE SHIELD II'!$D$5*'CALCULO MORTERO'!I1411+'BLAZE SHIELD II'!$D$6)*LN(J1411))+('BLAZE SHIELD II'!$D$7*('CALCULO MORTERO'!I1411^2)+'BLAZE SHIELD II'!$D$8*'CALCULO MORTERO'!I1411+'BLAZE SHIELD II'!$D$9)),0)+IF(AND(L1411="Blaze Shield II",M1411="Software Idiem",C1411="Cj"),((('BLAZE SHIELD II'!$H$4*('CALCULO MORTERO'!I1411^2)+'BLAZE SHIELD II'!$H$5*'CALCULO MORTERO'!I1411+'BLAZE SHIELD II'!$H$6)*LN(J1411))+('BLAZE SHIELD II'!$H$7*('CALCULO MORTERO'!I1411^2)+'BLAZE SHIELD II'!$H$8*'CALCULO MORTERO'!I1411+'BLAZE SHIELD II'!$H$9)),0)+IF(AND(L1411="Blaze Shield II",M1411="Software Idiem",C1411="C"),((('BLAZE SHIELD II'!$L$4*('CALCULO MORTERO'!I1411^2)+'BLAZE SHIELD II'!$L$5*'CALCULO MORTERO'!I1411+'BLAZE SHIELD II'!$L$6)*LN(J1411))+('BLAZE SHIELD II'!$L$7*('CALCULO MORTERO'!I1411^2)+'BLAZE SHIELD II'!$L$8*'CALCULO MORTERO'!I1411+'BLAZE SHIELD II'!$L$9)),0)+IF(AND(L1411="Blaze Shield II",M1411="Software Idiem",C1411="L"),((('BLAZE SHIELD II'!$L$4*('CALCULO MORTERO'!I1411^2)+'BLAZE SHIELD II'!$L$5*'CALCULO MORTERO'!I1411+'BLAZE SHIELD II'!$L$6)*LN(J1411))+('BLAZE SHIELD II'!$L$7*('CALCULO MORTERO'!I1411^2)+'BLAZE SHIELD II'!$L$8*'CALCULO MORTERO'!I1411+'BLAZE SHIELD II'!$L$9)),0)+IF(AND(L1411="Blaze Shield II",M1411="Software Idiem",C1411="IN",G1411=3),((('BLAZE SHIELD II'!$H$14*('CALCULO MORTERO'!I1411^2)+'BLAZE SHIELD II'!$H$15*'CALCULO MORTERO'!I1411+'BLAZE SHIELD II'!$H$16)*LN(J1411))+('BLAZE SHIELD II'!$H$17*('CALCULO MORTERO'!I1411^2)+'BLAZE SHIELD II'!$H$18*'CALCULO MORTERO'!I1411+'BLAZE SHIELD II'!$H$19)),0),0)+ROUND(IF(AND(L1411="Cafco 400",M1411="Software Idiem",C1411="IN",G1411=4),((('CAFCO 400 '!$H$7*(J1411^4)+'CAFCO 400 '!$H$8*(J1411^3)+'CAFCO 400 '!$H$9*(J1411^2)+'CAFCO 400 '!$H$10*J1411+'CAFCO 400 '!$H$11)*U1411^2)+(('CAFCO 400 '!$H$12*(J1411^3)+'CAFCO 400 '!$H$13*(J1411^2)+'CAFCO 400 '!$H$14*J1411+'CAFCO 400 '!$H$15)*U1411)+('CAFCO 400 '!$H$16*(J1411^2)+'CAFCO 400 '!$H$17*J1411+'CAFCO 400 '!$H$18)),0)+IF(AND(L1411="Cafco 400",M1411="Software Idiem",C1411="Cj"),(((('CAFCO 400 '!$D$7*LN(J1411)+'CAFCO 400 '!$D$8)*U1411^2)+(('CAFCO 400 '!$D$9*LN(J1411)+'CAFCO 400 '!$D$10)*U1411)+('CAFCO 400 '!$D$11*LN(J1411)+'CAFCO 400 '!$D$12))),0)+IF(AND(L1411="Cafco 400",M1411="Software Idiem",C1411="C"),((('CAFCO 400 '!$L$7*(J1411^3)+'CAFCO 400 '!$L$8*(J1411^2)+'CAFCO 400 '!$L$9*J1411+'CAFCO 400 '!$L$10)*U1411^2)+(('CAFCO 400 '!$L$11*(J1411^3)+'CAFCO 400 '!$L$12*(J1411^2)+'CAFCO 400 '!$L$13*J1411+'CAFCO 400 '!$L$14)*U1411)+('CAFCO 400 '!$L$15*LN(J1411)+'CAFCO 400 '!$L$16)),0)+IF(AND(L1411="Cafco 400",M1411="Software Idiem",C1411="L"),((('CAFCO 400 '!$L$7*(J1411^3)+'CAFCO 400 '!$L$8*(J1411^2)+'CAFCO 400 '!$L$9*J1411+'CAFCO 400 '!$L$10)*U1411^2)+(('CAFCO 400 '!$L$11*(J1411^3)+'CAFCO 400 '!$L$12*(J1411^2)+'CAFCO 400 '!$L$13*J1411+'CAFCO 400 '!$L$14)*U1411)+('CAFCO 400 '!$L$15*LN(J1411)+'CAFCO 400 '!$L$16)),0)+IF(AND(L1411="Cafco 400",M1411="Software Idiem",C1411="IN",G1411=3),((('CAFCO 400 '!$D$23*(J1411^2)+'CAFCO 400 '!$D$24*(J1411)+'CAFCO 400 '!$D$25)*U1411^2)+(('CAFCO 400 '!$D$26*(J1411^2)+'CAFCO 400 '!$D$27*J1411+'CAFCO 400 '!$D$28)*U1411)+('CAFCO 400 '!$D$29*(J1411^2)+'CAFCO 400 '!$D$30*J1411+'CAFCO 400 '!$D$31)),0),0)+IF(AND(L1411="Cafco 300",J1411&gt;=95,J1411&lt;=240,C1411="Cj",I1411=90),VLOOKUP(T1411,'CAFCO 300 IDIEM TABLAS'!$B$4:$D$23,2,FALSE),0)+IF(AND(L1411="Cafco 300",J1411&gt;=95,J1411&lt;=240,C1411="Cj",I1411=120),VLOOKUP(T1411,'CAFCO 300 IDIEM TABLAS'!$B$4:$D$23,3,FALSE),0)+IF(AND(L1411="Cafco 300",J1411&gt;=95,J1411&lt;=400,G1411=3,C1411="IN",I1411=90),VLOOKUP(T1411,'CAFCO 300 IDIEM TABLAS'!$F$4:$H$35,2,FALSE),0)+IF(AND(L1411="Cafco 300",J1411&gt;=95,J1411&lt;=400,G1411=3,C1411="IN",I1411=120),VLOOKUP(T1411,'CAFCO 300 IDIEM TABLAS'!$F$4:$H$35,3,FALSE),0)+IF(AND(L1411="Cafco 300",J1411&gt;=95,J1411&lt;=450,G1411=4,C1411="IN",I1411=90),VLOOKUP(T1411,'CAFCO 300 IDIEM TABLAS'!$J$4:$L$40,2,FALSE),0)+IF(AND(L1411="Cafco 300",J1411&gt;=95,J1411&lt;=450,G1411=4,C1411="IN",I1411=120),VLOOKUP(T1411,'CAFCO 300 IDIEM TABLAS'!$J$4:$L$40,3,FALSE),0)+IF(AND(M1411="Ensayo Idiem",L1411="Cafco 400",C1411="IN",G1411=4,I1411=90),VLOOKUP(T1411,'CAFCO 400 ENSAYO'!$B$7:$D$43,2,FALSE),0)+IF(AND(M1411="Ensayo Idiem",L1411="Cafco 400",C1411="IN",G1411=4,I1411=120),VLOOKUP(T1411,'CAFCO 400 ENSAYO'!$B$7:$D$43,3,FALSE),0)</f>
        <v>0</v>
      </c>
      <c r="O1411" s="96">
        <f t="shared" si="138"/>
        <v>0</v>
      </c>
      <c r="P1411" s="132" t="str">
        <f t="shared" si="139"/>
        <v>N/A</v>
      </c>
      <c r="Q1411" s="132" t="str">
        <f t="shared" si="140"/>
        <v>N/A</v>
      </c>
      <c r="R1411" s="132" t="str">
        <f t="shared" si="141"/>
        <v>NO CERT.</v>
      </c>
      <c r="S1411" s="132" t="e">
        <f t="shared" si="142"/>
        <v>#N/A</v>
      </c>
      <c r="T1411" s="133" t="e">
        <f>+IF(J1411=LOOKUP(J1411,'CAFCO 300 IDIEM TABLAS'!$J$4:$J$40),'CALCULO MORTERO'!J1411,MROUND('CALCULO MORTERO'!J1411,10))</f>
        <v>#N/A</v>
      </c>
      <c r="U1411" s="134">
        <f t="shared" si="143"/>
        <v>0</v>
      </c>
    </row>
    <row r="1412" spans="1:21" x14ac:dyDescent="0.25">
      <c r="A1412" s="118">
        <f>+CUBICACION!D1406</f>
        <v>0</v>
      </c>
      <c r="B1412" s="819">
        <f>+CUBICACION!E1406</f>
        <v>0</v>
      </c>
      <c r="C1412" s="675">
        <f>+CUBICACION!F1406</f>
        <v>0</v>
      </c>
      <c r="D1412" s="118"/>
      <c r="E1412" s="118"/>
      <c r="F1412" s="820"/>
      <c r="G1412" s="675">
        <f>+CUBICACION!J1406</f>
        <v>0</v>
      </c>
      <c r="H1412" s="118"/>
      <c r="I1412" s="821">
        <f>+CUBICACION!L1406</f>
        <v>0</v>
      </c>
      <c r="J1412" s="64">
        <f>+CUBICACION!M1406</f>
        <v>0</v>
      </c>
      <c r="K1412" s="822" t="str">
        <f>+CUBICACION!N1406</f>
        <v/>
      </c>
      <c r="L1412" s="118">
        <f>+CUBICACION!O1406</f>
        <v>0</v>
      </c>
      <c r="M1412" s="823">
        <f>+CUBICACION!P1406</f>
        <v>0</v>
      </c>
      <c r="N1412" s="902">
        <f>ROUND(IF(AND(L1412="Blaze Shield II",M1412="Software Idiem",C1412="IN",G1412=4),((('BLAZE SHIELD II'!$D$4*('CALCULO MORTERO'!I1412^2)+'BLAZE SHIELD II'!$D$5*'CALCULO MORTERO'!I1412+'BLAZE SHIELD II'!$D$6)*LN(J1412))+('BLAZE SHIELD II'!$D$7*('CALCULO MORTERO'!I1412^2)+'BLAZE SHIELD II'!$D$8*'CALCULO MORTERO'!I1412+'BLAZE SHIELD II'!$D$9)),0)+IF(AND(L1412="Blaze Shield II",M1412="Software Idiem",C1412="Cj"),((('BLAZE SHIELD II'!$H$4*('CALCULO MORTERO'!I1412^2)+'BLAZE SHIELD II'!$H$5*'CALCULO MORTERO'!I1412+'BLAZE SHIELD II'!$H$6)*LN(J1412))+('BLAZE SHIELD II'!$H$7*('CALCULO MORTERO'!I1412^2)+'BLAZE SHIELD II'!$H$8*'CALCULO MORTERO'!I1412+'BLAZE SHIELD II'!$H$9)),0)+IF(AND(L1412="Blaze Shield II",M1412="Software Idiem",C1412="C"),((('BLAZE SHIELD II'!$L$4*('CALCULO MORTERO'!I1412^2)+'BLAZE SHIELD II'!$L$5*'CALCULO MORTERO'!I1412+'BLAZE SHIELD II'!$L$6)*LN(J1412))+('BLAZE SHIELD II'!$L$7*('CALCULO MORTERO'!I1412^2)+'BLAZE SHIELD II'!$L$8*'CALCULO MORTERO'!I1412+'BLAZE SHIELD II'!$L$9)),0)+IF(AND(L1412="Blaze Shield II",M1412="Software Idiem",C1412="L"),((('BLAZE SHIELD II'!$L$4*('CALCULO MORTERO'!I1412^2)+'BLAZE SHIELD II'!$L$5*'CALCULO MORTERO'!I1412+'BLAZE SHIELD II'!$L$6)*LN(J1412))+('BLAZE SHIELD II'!$L$7*('CALCULO MORTERO'!I1412^2)+'BLAZE SHIELD II'!$L$8*'CALCULO MORTERO'!I1412+'BLAZE SHIELD II'!$L$9)),0)+IF(AND(L1412="Blaze Shield II",M1412="Software Idiem",C1412="IN",G1412=3),((('BLAZE SHIELD II'!$H$14*('CALCULO MORTERO'!I1412^2)+'BLAZE SHIELD II'!$H$15*'CALCULO MORTERO'!I1412+'BLAZE SHIELD II'!$H$16)*LN(J1412))+('BLAZE SHIELD II'!$H$17*('CALCULO MORTERO'!I1412^2)+'BLAZE SHIELD II'!$H$18*'CALCULO MORTERO'!I1412+'BLAZE SHIELD II'!$H$19)),0),0)+ROUND(IF(AND(L1412="Cafco 400",M1412="Software Idiem",C1412="IN",G1412=4),((('CAFCO 400 '!$H$7*(J1412^4)+'CAFCO 400 '!$H$8*(J1412^3)+'CAFCO 400 '!$H$9*(J1412^2)+'CAFCO 400 '!$H$10*J1412+'CAFCO 400 '!$H$11)*U1412^2)+(('CAFCO 400 '!$H$12*(J1412^3)+'CAFCO 400 '!$H$13*(J1412^2)+'CAFCO 400 '!$H$14*J1412+'CAFCO 400 '!$H$15)*U1412)+('CAFCO 400 '!$H$16*(J1412^2)+'CAFCO 400 '!$H$17*J1412+'CAFCO 400 '!$H$18)),0)+IF(AND(L1412="Cafco 400",M1412="Software Idiem",C1412="Cj"),(((('CAFCO 400 '!$D$7*LN(J1412)+'CAFCO 400 '!$D$8)*U1412^2)+(('CAFCO 400 '!$D$9*LN(J1412)+'CAFCO 400 '!$D$10)*U1412)+('CAFCO 400 '!$D$11*LN(J1412)+'CAFCO 400 '!$D$12))),0)+IF(AND(L1412="Cafco 400",M1412="Software Idiem",C1412="C"),((('CAFCO 400 '!$L$7*(J1412^3)+'CAFCO 400 '!$L$8*(J1412^2)+'CAFCO 400 '!$L$9*J1412+'CAFCO 400 '!$L$10)*U1412^2)+(('CAFCO 400 '!$L$11*(J1412^3)+'CAFCO 400 '!$L$12*(J1412^2)+'CAFCO 400 '!$L$13*J1412+'CAFCO 400 '!$L$14)*U1412)+('CAFCO 400 '!$L$15*LN(J1412)+'CAFCO 400 '!$L$16)),0)+IF(AND(L1412="Cafco 400",M1412="Software Idiem",C1412="L"),((('CAFCO 400 '!$L$7*(J1412^3)+'CAFCO 400 '!$L$8*(J1412^2)+'CAFCO 400 '!$L$9*J1412+'CAFCO 400 '!$L$10)*U1412^2)+(('CAFCO 400 '!$L$11*(J1412^3)+'CAFCO 400 '!$L$12*(J1412^2)+'CAFCO 400 '!$L$13*J1412+'CAFCO 400 '!$L$14)*U1412)+('CAFCO 400 '!$L$15*LN(J1412)+'CAFCO 400 '!$L$16)),0)+IF(AND(L1412="Cafco 400",M1412="Software Idiem",C1412="IN",G1412=3),((('CAFCO 400 '!$D$23*(J1412^2)+'CAFCO 400 '!$D$24*(J1412)+'CAFCO 400 '!$D$25)*U1412^2)+(('CAFCO 400 '!$D$26*(J1412^2)+'CAFCO 400 '!$D$27*J1412+'CAFCO 400 '!$D$28)*U1412)+('CAFCO 400 '!$D$29*(J1412^2)+'CAFCO 400 '!$D$30*J1412+'CAFCO 400 '!$D$31)),0),0)+IF(AND(L1412="Cafco 300",J1412&gt;=95,J1412&lt;=240,C1412="Cj",I1412=90),VLOOKUP(T1412,'CAFCO 300 IDIEM TABLAS'!$B$4:$D$23,2,FALSE),0)+IF(AND(L1412="Cafco 300",J1412&gt;=95,J1412&lt;=240,C1412="Cj",I1412=120),VLOOKUP(T1412,'CAFCO 300 IDIEM TABLAS'!$B$4:$D$23,3,FALSE),0)+IF(AND(L1412="Cafco 300",J1412&gt;=95,J1412&lt;=400,G1412=3,C1412="IN",I1412=90),VLOOKUP(T1412,'CAFCO 300 IDIEM TABLAS'!$F$4:$H$35,2,FALSE),0)+IF(AND(L1412="Cafco 300",J1412&gt;=95,J1412&lt;=400,G1412=3,C1412="IN",I1412=120),VLOOKUP(T1412,'CAFCO 300 IDIEM TABLAS'!$F$4:$H$35,3,FALSE),0)+IF(AND(L1412="Cafco 300",J1412&gt;=95,J1412&lt;=450,G1412=4,C1412="IN",I1412=90),VLOOKUP(T1412,'CAFCO 300 IDIEM TABLAS'!$J$4:$L$40,2,FALSE),0)+IF(AND(L1412="Cafco 300",J1412&gt;=95,J1412&lt;=450,G1412=4,C1412="IN",I1412=120),VLOOKUP(T1412,'CAFCO 300 IDIEM TABLAS'!$J$4:$L$40,3,FALSE),0)+IF(AND(M1412="Ensayo Idiem",L1412="Cafco 400",C1412="IN",G1412=4,I1412=90),VLOOKUP(T1412,'CAFCO 400 ENSAYO'!$B$7:$D$43,2,FALSE),0)+IF(AND(M1412="Ensayo Idiem",L1412="Cafco 400",C1412="IN",G1412=4,I1412=120),VLOOKUP(T1412,'CAFCO 400 ENSAYO'!$B$7:$D$43,3,FALSE),0)</f>
        <v>0</v>
      </c>
      <c r="O1412" s="96">
        <f t="shared" si="138"/>
        <v>0</v>
      </c>
      <c r="P1412" s="95" t="str">
        <f t="shared" si="139"/>
        <v>N/A</v>
      </c>
      <c r="Q1412" s="95" t="str">
        <f t="shared" si="140"/>
        <v>N/A</v>
      </c>
      <c r="R1412" s="95" t="str">
        <f t="shared" si="141"/>
        <v>NO CERT.</v>
      </c>
      <c r="S1412" s="95" t="e">
        <f t="shared" si="142"/>
        <v>#N/A</v>
      </c>
      <c r="T1412" s="119" t="e">
        <f>+IF(J1412=LOOKUP(J1412,'CAFCO 300 IDIEM TABLAS'!$J$4:$J$40),'CALCULO MORTERO'!J1412,MROUND('CALCULO MORTERO'!J1412,10))</f>
        <v>#N/A</v>
      </c>
      <c r="U1412" s="118">
        <f t="shared" si="143"/>
        <v>0</v>
      </c>
    </row>
    <row r="1413" spans="1:21" x14ac:dyDescent="0.25">
      <c r="A1413" s="118">
        <f>+CUBICACION!D1407</f>
        <v>0</v>
      </c>
      <c r="B1413" s="819">
        <f>+CUBICACION!E1407</f>
        <v>0</v>
      </c>
      <c r="C1413" s="675">
        <f>+CUBICACION!F1407</f>
        <v>0</v>
      </c>
      <c r="D1413" s="118"/>
      <c r="E1413" s="118"/>
      <c r="F1413" s="820"/>
      <c r="G1413" s="675">
        <f>+CUBICACION!J1407</f>
        <v>0</v>
      </c>
      <c r="H1413" s="118"/>
      <c r="I1413" s="821">
        <f>+CUBICACION!L1407</f>
        <v>0</v>
      </c>
      <c r="J1413" s="64">
        <f>+CUBICACION!M1407</f>
        <v>0</v>
      </c>
      <c r="K1413" s="822" t="str">
        <f>+CUBICACION!N1407</f>
        <v/>
      </c>
      <c r="L1413" s="118">
        <f>+CUBICACION!O1407</f>
        <v>0</v>
      </c>
      <c r="M1413" s="823">
        <f>+CUBICACION!P1407</f>
        <v>0</v>
      </c>
      <c r="N1413" s="902">
        <f>ROUND(IF(AND(L1413="Blaze Shield II",M1413="Software Idiem",C1413="IN",G1413=4),((('BLAZE SHIELD II'!$D$4*('CALCULO MORTERO'!I1413^2)+'BLAZE SHIELD II'!$D$5*'CALCULO MORTERO'!I1413+'BLAZE SHIELD II'!$D$6)*LN(J1413))+('BLAZE SHIELD II'!$D$7*('CALCULO MORTERO'!I1413^2)+'BLAZE SHIELD II'!$D$8*'CALCULO MORTERO'!I1413+'BLAZE SHIELD II'!$D$9)),0)+IF(AND(L1413="Blaze Shield II",M1413="Software Idiem",C1413="Cj"),((('BLAZE SHIELD II'!$H$4*('CALCULO MORTERO'!I1413^2)+'BLAZE SHIELD II'!$H$5*'CALCULO MORTERO'!I1413+'BLAZE SHIELD II'!$H$6)*LN(J1413))+('BLAZE SHIELD II'!$H$7*('CALCULO MORTERO'!I1413^2)+'BLAZE SHIELD II'!$H$8*'CALCULO MORTERO'!I1413+'BLAZE SHIELD II'!$H$9)),0)+IF(AND(L1413="Blaze Shield II",M1413="Software Idiem",C1413="C"),((('BLAZE SHIELD II'!$L$4*('CALCULO MORTERO'!I1413^2)+'BLAZE SHIELD II'!$L$5*'CALCULO MORTERO'!I1413+'BLAZE SHIELD II'!$L$6)*LN(J1413))+('BLAZE SHIELD II'!$L$7*('CALCULO MORTERO'!I1413^2)+'BLAZE SHIELD II'!$L$8*'CALCULO MORTERO'!I1413+'BLAZE SHIELD II'!$L$9)),0)+IF(AND(L1413="Blaze Shield II",M1413="Software Idiem",C1413="L"),((('BLAZE SHIELD II'!$L$4*('CALCULO MORTERO'!I1413^2)+'BLAZE SHIELD II'!$L$5*'CALCULO MORTERO'!I1413+'BLAZE SHIELD II'!$L$6)*LN(J1413))+('BLAZE SHIELD II'!$L$7*('CALCULO MORTERO'!I1413^2)+'BLAZE SHIELD II'!$L$8*'CALCULO MORTERO'!I1413+'BLAZE SHIELD II'!$L$9)),0)+IF(AND(L1413="Blaze Shield II",M1413="Software Idiem",C1413="IN",G1413=3),((('BLAZE SHIELD II'!$H$14*('CALCULO MORTERO'!I1413^2)+'BLAZE SHIELD II'!$H$15*'CALCULO MORTERO'!I1413+'BLAZE SHIELD II'!$H$16)*LN(J1413))+('BLAZE SHIELD II'!$H$17*('CALCULO MORTERO'!I1413^2)+'BLAZE SHIELD II'!$H$18*'CALCULO MORTERO'!I1413+'BLAZE SHIELD II'!$H$19)),0),0)+ROUND(IF(AND(L1413="Cafco 400",M1413="Software Idiem",C1413="IN",G1413=4),((('CAFCO 400 '!$H$7*(J1413^4)+'CAFCO 400 '!$H$8*(J1413^3)+'CAFCO 400 '!$H$9*(J1413^2)+'CAFCO 400 '!$H$10*J1413+'CAFCO 400 '!$H$11)*U1413^2)+(('CAFCO 400 '!$H$12*(J1413^3)+'CAFCO 400 '!$H$13*(J1413^2)+'CAFCO 400 '!$H$14*J1413+'CAFCO 400 '!$H$15)*U1413)+('CAFCO 400 '!$H$16*(J1413^2)+'CAFCO 400 '!$H$17*J1413+'CAFCO 400 '!$H$18)),0)+IF(AND(L1413="Cafco 400",M1413="Software Idiem",C1413="Cj"),(((('CAFCO 400 '!$D$7*LN(J1413)+'CAFCO 400 '!$D$8)*U1413^2)+(('CAFCO 400 '!$D$9*LN(J1413)+'CAFCO 400 '!$D$10)*U1413)+('CAFCO 400 '!$D$11*LN(J1413)+'CAFCO 400 '!$D$12))),0)+IF(AND(L1413="Cafco 400",M1413="Software Idiem",C1413="C"),((('CAFCO 400 '!$L$7*(J1413^3)+'CAFCO 400 '!$L$8*(J1413^2)+'CAFCO 400 '!$L$9*J1413+'CAFCO 400 '!$L$10)*U1413^2)+(('CAFCO 400 '!$L$11*(J1413^3)+'CAFCO 400 '!$L$12*(J1413^2)+'CAFCO 400 '!$L$13*J1413+'CAFCO 400 '!$L$14)*U1413)+('CAFCO 400 '!$L$15*LN(J1413)+'CAFCO 400 '!$L$16)),0)+IF(AND(L1413="Cafco 400",M1413="Software Idiem",C1413="L"),((('CAFCO 400 '!$L$7*(J1413^3)+'CAFCO 400 '!$L$8*(J1413^2)+'CAFCO 400 '!$L$9*J1413+'CAFCO 400 '!$L$10)*U1413^2)+(('CAFCO 400 '!$L$11*(J1413^3)+'CAFCO 400 '!$L$12*(J1413^2)+'CAFCO 400 '!$L$13*J1413+'CAFCO 400 '!$L$14)*U1413)+('CAFCO 400 '!$L$15*LN(J1413)+'CAFCO 400 '!$L$16)),0)+IF(AND(L1413="Cafco 400",M1413="Software Idiem",C1413="IN",G1413=3),((('CAFCO 400 '!$D$23*(J1413^2)+'CAFCO 400 '!$D$24*(J1413)+'CAFCO 400 '!$D$25)*U1413^2)+(('CAFCO 400 '!$D$26*(J1413^2)+'CAFCO 400 '!$D$27*J1413+'CAFCO 400 '!$D$28)*U1413)+('CAFCO 400 '!$D$29*(J1413^2)+'CAFCO 400 '!$D$30*J1413+'CAFCO 400 '!$D$31)),0),0)+IF(AND(L1413="Cafco 300",J1413&gt;=95,J1413&lt;=240,C1413="Cj",I1413=90),VLOOKUP(T1413,'CAFCO 300 IDIEM TABLAS'!$B$4:$D$23,2,FALSE),0)+IF(AND(L1413="Cafco 300",J1413&gt;=95,J1413&lt;=240,C1413="Cj",I1413=120),VLOOKUP(T1413,'CAFCO 300 IDIEM TABLAS'!$B$4:$D$23,3,FALSE),0)+IF(AND(L1413="Cafco 300",J1413&gt;=95,J1413&lt;=400,G1413=3,C1413="IN",I1413=90),VLOOKUP(T1413,'CAFCO 300 IDIEM TABLAS'!$F$4:$H$35,2,FALSE),0)+IF(AND(L1413="Cafco 300",J1413&gt;=95,J1413&lt;=400,G1413=3,C1413="IN",I1413=120),VLOOKUP(T1413,'CAFCO 300 IDIEM TABLAS'!$F$4:$H$35,3,FALSE),0)+IF(AND(L1413="Cafco 300",J1413&gt;=95,J1413&lt;=450,G1413=4,C1413="IN",I1413=90),VLOOKUP(T1413,'CAFCO 300 IDIEM TABLAS'!$J$4:$L$40,2,FALSE),0)+IF(AND(L1413="Cafco 300",J1413&gt;=95,J1413&lt;=450,G1413=4,C1413="IN",I1413=120),VLOOKUP(T1413,'CAFCO 300 IDIEM TABLAS'!$J$4:$L$40,3,FALSE),0)+IF(AND(M1413="Ensayo Idiem",L1413="Cafco 400",C1413="IN",G1413=4,I1413=90),VLOOKUP(T1413,'CAFCO 400 ENSAYO'!$B$7:$D$43,2,FALSE),0)+IF(AND(M1413="Ensayo Idiem",L1413="Cafco 400",C1413="IN",G1413=4,I1413=120),VLOOKUP(T1413,'CAFCO 400 ENSAYO'!$B$7:$D$43,3,FALSE),0)</f>
        <v>0</v>
      </c>
      <c r="O1413" s="96">
        <f t="shared" si="138"/>
        <v>0</v>
      </c>
      <c r="P1413" s="132" t="str">
        <f t="shared" si="139"/>
        <v>N/A</v>
      </c>
      <c r="Q1413" s="132" t="str">
        <f t="shared" si="140"/>
        <v>N/A</v>
      </c>
      <c r="R1413" s="132" t="str">
        <f t="shared" si="141"/>
        <v>NO CERT.</v>
      </c>
      <c r="S1413" s="132" t="e">
        <f t="shared" si="142"/>
        <v>#N/A</v>
      </c>
      <c r="T1413" s="133" t="e">
        <f>+IF(J1413=LOOKUP(J1413,'CAFCO 300 IDIEM TABLAS'!$J$4:$J$40),'CALCULO MORTERO'!J1413,MROUND('CALCULO MORTERO'!J1413,10))</f>
        <v>#N/A</v>
      </c>
      <c r="U1413" s="134">
        <f t="shared" si="143"/>
        <v>0</v>
      </c>
    </row>
    <row r="1414" spans="1:21" x14ac:dyDescent="0.25">
      <c r="A1414" s="118">
        <f>+CUBICACION!D1408</f>
        <v>0</v>
      </c>
      <c r="B1414" s="819">
        <f>+CUBICACION!E1408</f>
        <v>0</v>
      </c>
      <c r="C1414" s="675">
        <f>+CUBICACION!F1408</f>
        <v>0</v>
      </c>
      <c r="D1414" s="118"/>
      <c r="E1414" s="118"/>
      <c r="F1414" s="820"/>
      <c r="G1414" s="675">
        <f>+CUBICACION!J1408</f>
        <v>0</v>
      </c>
      <c r="H1414" s="118"/>
      <c r="I1414" s="821">
        <f>+CUBICACION!L1408</f>
        <v>0</v>
      </c>
      <c r="J1414" s="64">
        <f>+CUBICACION!M1408</f>
        <v>0</v>
      </c>
      <c r="K1414" s="822" t="str">
        <f>+CUBICACION!N1408</f>
        <v/>
      </c>
      <c r="L1414" s="118">
        <f>+CUBICACION!O1408</f>
        <v>0</v>
      </c>
      <c r="M1414" s="823">
        <f>+CUBICACION!P1408</f>
        <v>0</v>
      </c>
      <c r="N1414" s="902">
        <f>ROUND(IF(AND(L1414="Blaze Shield II",M1414="Software Idiem",C1414="IN",G1414=4),((('BLAZE SHIELD II'!$D$4*('CALCULO MORTERO'!I1414^2)+'BLAZE SHIELD II'!$D$5*'CALCULO MORTERO'!I1414+'BLAZE SHIELD II'!$D$6)*LN(J1414))+('BLAZE SHIELD II'!$D$7*('CALCULO MORTERO'!I1414^2)+'BLAZE SHIELD II'!$D$8*'CALCULO MORTERO'!I1414+'BLAZE SHIELD II'!$D$9)),0)+IF(AND(L1414="Blaze Shield II",M1414="Software Idiem",C1414="Cj"),((('BLAZE SHIELD II'!$H$4*('CALCULO MORTERO'!I1414^2)+'BLAZE SHIELD II'!$H$5*'CALCULO MORTERO'!I1414+'BLAZE SHIELD II'!$H$6)*LN(J1414))+('BLAZE SHIELD II'!$H$7*('CALCULO MORTERO'!I1414^2)+'BLAZE SHIELD II'!$H$8*'CALCULO MORTERO'!I1414+'BLAZE SHIELD II'!$H$9)),0)+IF(AND(L1414="Blaze Shield II",M1414="Software Idiem",C1414="C"),((('BLAZE SHIELD II'!$L$4*('CALCULO MORTERO'!I1414^2)+'BLAZE SHIELD II'!$L$5*'CALCULO MORTERO'!I1414+'BLAZE SHIELD II'!$L$6)*LN(J1414))+('BLAZE SHIELD II'!$L$7*('CALCULO MORTERO'!I1414^2)+'BLAZE SHIELD II'!$L$8*'CALCULO MORTERO'!I1414+'BLAZE SHIELD II'!$L$9)),0)+IF(AND(L1414="Blaze Shield II",M1414="Software Idiem",C1414="L"),((('BLAZE SHIELD II'!$L$4*('CALCULO MORTERO'!I1414^2)+'BLAZE SHIELD II'!$L$5*'CALCULO MORTERO'!I1414+'BLAZE SHIELD II'!$L$6)*LN(J1414))+('BLAZE SHIELD II'!$L$7*('CALCULO MORTERO'!I1414^2)+'BLAZE SHIELD II'!$L$8*'CALCULO MORTERO'!I1414+'BLAZE SHIELD II'!$L$9)),0)+IF(AND(L1414="Blaze Shield II",M1414="Software Idiem",C1414="IN",G1414=3),((('BLAZE SHIELD II'!$H$14*('CALCULO MORTERO'!I1414^2)+'BLAZE SHIELD II'!$H$15*'CALCULO MORTERO'!I1414+'BLAZE SHIELD II'!$H$16)*LN(J1414))+('BLAZE SHIELD II'!$H$17*('CALCULO MORTERO'!I1414^2)+'BLAZE SHIELD II'!$H$18*'CALCULO MORTERO'!I1414+'BLAZE SHIELD II'!$H$19)),0),0)+ROUND(IF(AND(L1414="Cafco 400",M1414="Software Idiem",C1414="IN",G1414=4),((('CAFCO 400 '!$H$7*(J1414^4)+'CAFCO 400 '!$H$8*(J1414^3)+'CAFCO 400 '!$H$9*(J1414^2)+'CAFCO 400 '!$H$10*J1414+'CAFCO 400 '!$H$11)*U1414^2)+(('CAFCO 400 '!$H$12*(J1414^3)+'CAFCO 400 '!$H$13*(J1414^2)+'CAFCO 400 '!$H$14*J1414+'CAFCO 400 '!$H$15)*U1414)+('CAFCO 400 '!$H$16*(J1414^2)+'CAFCO 400 '!$H$17*J1414+'CAFCO 400 '!$H$18)),0)+IF(AND(L1414="Cafco 400",M1414="Software Idiem",C1414="Cj"),(((('CAFCO 400 '!$D$7*LN(J1414)+'CAFCO 400 '!$D$8)*U1414^2)+(('CAFCO 400 '!$D$9*LN(J1414)+'CAFCO 400 '!$D$10)*U1414)+('CAFCO 400 '!$D$11*LN(J1414)+'CAFCO 400 '!$D$12))),0)+IF(AND(L1414="Cafco 400",M1414="Software Idiem",C1414="C"),((('CAFCO 400 '!$L$7*(J1414^3)+'CAFCO 400 '!$L$8*(J1414^2)+'CAFCO 400 '!$L$9*J1414+'CAFCO 400 '!$L$10)*U1414^2)+(('CAFCO 400 '!$L$11*(J1414^3)+'CAFCO 400 '!$L$12*(J1414^2)+'CAFCO 400 '!$L$13*J1414+'CAFCO 400 '!$L$14)*U1414)+('CAFCO 400 '!$L$15*LN(J1414)+'CAFCO 400 '!$L$16)),0)+IF(AND(L1414="Cafco 400",M1414="Software Idiem",C1414="L"),((('CAFCO 400 '!$L$7*(J1414^3)+'CAFCO 400 '!$L$8*(J1414^2)+'CAFCO 400 '!$L$9*J1414+'CAFCO 400 '!$L$10)*U1414^2)+(('CAFCO 400 '!$L$11*(J1414^3)+'CAFCO 400 '!$L$12*(J1414^2)+'CAFCO 400 '!$L$13*J1414+'CAFCO 400 '!$L$14)*U1414)+('CAFCO 400 '!$L$15*LN(J1414)+'CAFCO 400 '!$L$16)),0)+IF(AND(L1414="Cafco 400",M1414="Software Idiem",C1414="IN",G1414=3),((('CAFCO 400 '!$D$23*(J1414^2)+'CAFCO 400 '!$D$24*(J1414)+'CAFCO 400 '!$D$25)*U1414^2)+(('CAFCO 400 '!$D$26*(J1414^2)+'CAFCO 400 '!$D$27*J1414+'CAFCO 400 '!$D$28)*U1414)+('CAFCO 400 '!$D$29*(J1414^2)+'CAFCO 400 '!$D$30*J1414+'CAFCO 400 '!$D$31)),0),0)+IF(AND(L1414="Cafco 300",J1414&gt;=95,J1414&lt;=240,C1414="Cj",I1414=90),VLOOKUP(T1414,'CAFCO 300 IDIEM TABLAS'!$B$4:$D$23,2,FALSE),0)+IF(AND(L1414="Cafco 300",J1414&gt;=95,J1414&lt;=240,C1414="Cj",I1414=120),VLOOKUP(T1414,'CAFCO 300 IDIEM TABLAS'!$B$4:$D$23,3,FALSE),0)+IF(AND(L1414="Cafco 300",J1414&gt;=95,J1414&lt;=400,G1414=3,C1414="IN",I1414=90),VLOOKUP(T1414,'CAFCO 300 IDIEM TABLAS'!$F$4:$H$35,2,FALSE),0)+IF(AND(L1414="Cafco 300",J1414&gt;=95,J1414&lt;=400,G1414=3,C1414="IN",I1414=120),VLOOKUP(T1414,'CAFCO 300 IDIEM TABLAS'!$F$4:$H$35,3,FALSE),0)+IF(AND(L1414="Cafco 300",J1414&gt;=95,J1414&lt;=450,G1414=4,C1414="IN",I1414=90),VLOOKUP(T1414,'CAFCO 300 IDIEM TABLAS'!$J$4:$L$40,2,FALSE),0)+IF(AND(L1414="Cafco 300",J1414&gt;=95,J1414&lt;=450,G1414=4,C1414="IN",I1414=120),VLOOKUP(T1414,'CAFCO 300 IDIEM TABLAS'!$J$4:$L$40,3,FALSE),0)+IF(AND(M1414="Ensayo Idiem",L1414="Cafco 400",C1414="IN",G1414=4,I1414=90),VLOOKUP(T1414,'CAFCO 400 ENSAYO'!$B$7:$D$43,2,FALSE),0)+IF(AND(M1414="Ensayo Idiem",L1414="Cafco 400",C1414="IN",G1414=4,I1414=120),VLOOKUP(T1414,'CAFCO 400 ENSAYO'!$B$7:$D$43,3,FALSE),0)</f>
        <v>0</v>
      </c>
      <c r="O1414" s="96">
        <f t="shared" si="138"/>
        <v>0</v>
      </c>
      <c r="P1414" s="95" t="str">
        <f t="shared" si="139"/>
        <v>N/A</v>
      </c>
      <c r="Q1414" s="95" t="str">
        <f t="shared" si="140"/>
        <v>N/A</v>
      </c>
      <c r="R1414" s="95" t="str">
        <f t="shared" si="141"/>
        <v>NO CERT.</v>
      </c>
      <c r="S1414" s="95" t="e">
        <f t="shared" si="142"/>
        <v>#N/A</v>
      </c>
      <c r="T1414" s="119" t="e">
        <f>+IF(J1414=LOOKUP(J1414,'CAFCO 300 IDIEM TABLAS'!$J$4:$J$40),'CALCULO MORTERO'!J1414,MROUND('CALCULO MORTERO'!J1414,10))</f>
        <v>#N/A</v>
      </c>
      <c r="U1414" s="118">
        <f t="shared" si="143"/>
        <v>0</v>
      </c>
    </row>
    <row r="1415" spans="1:21" x14ac:dyDescent="0.25">
      <c r="A1415" s="118">
        <f>+CUBICACION!D1409</f>
        <v>0</v>
      </c>
      <c r="B1415" s="819">
        <f>+CUBICACION!E1409</f>
        <v>0</v>
      </c>
      <c r="C1415" s="675">
        <f>+CUBICACION!F1409</f>
        <v>0</v>
      </c>
      <c r="D1415" s="118"/>
      <c r="E1415" s="118"/>
      <c r="F1415" s="820"/>
      <c r="G1415" s="675">
        <f>+CUBICACION!J1409</f>
        <v>0</v>
      </c>
      <c r="H1415" s="118"/>
      <c r="I1415" s="821">
        <f>+CUBICACION!L1409</f>
        <v>0</v>
      </c>
      <c r="J1415" s="64">
        <f>+CUBICACION!M1409</f>
        <v>0</v>
      </c>
      <c r="K1415" s="822" t="str">
        <f>+CUBICACION!N1409</f>
        <v/>
      </c>
      <c r="L1415" s="118">
        <f>+CUBICACION!O1409</f>
        <v>0</v>
      </c>
      <c r="M1415" s="823">
        <f>+CUBICACION!P1409</f>
        <v>0</v>
      </c>
      <c r="N1415" s="902">
        <f>ROUND(IF(AND(L1415="Blaze Shield II",M1415="Software Idiem",C1415="IN",G1415=4),((('BLAZE SHIELD II'!$D$4*('CALCULO MORTERO'!I1415^2)+'BLAZE SHIELD II'!$D$5*'CALCULO MORTERO'!I1415+'BLAZE SHIELD II'!$D$6)*LN(J1415))+('BLAZE SHIELD II'!$D$7*('CALCULO MORTERO'!I1415^2)+'BLAZE SHIELD II'!$D$8*'CALCULO MORTERO'!I1415+'BLAZE SHIELD II'!$D$9)),0)+IF(AND(L1415="Blaze Shield II",M1415="Software Idiem",C1415="Cj"),((('BLAZE SHIELD II'!$H$4*('CALCULO MORTERO'!I1415^2)+'BLAZE SHIELD II'!$H$5*'CALCULO MORTERO'!I1415+'BLAZE SHIELD II'!$H$6)*LN(J1415))+('BLAZE SHIELD II'!$H$7*('CALCULO MORTERO'!I1415^2)+'BLAZE SHIELD II'!$H$8*'CALCULO MORTERO'!I1415+'BLAZE SHIELD II'!$H$9)),0)+IF(AND(L1415="Blaze Shield II",M1415="Software Idiem",C1415="C"),((('BLAZE SHIELD II'!$L$4*('CALCULO MORTERO'!I1415^2)+'BLAZE SHIELD II'!$L$5*'CALCULO MORTERO'!I1415+'BLAZE SHIELD II'!$L$6)*LN(J1415))+('BLAZE SHIELD II'!$L$7*('CALCULO MORTERO'!I1415^2)+'BLAZE SHIELD II'!$L$8*'CALCULO MORTERO'!I1415+'BLAZE SHIELD II'!$L$9)),0)+IF(AND(L1415="Blaze Shield II",M1415="Software Idiem",C1415="L"),((('BLAZE SHIELD II'!$L$4*('CALCULO MORTERO'!I1415^2)+'BLAZE SHIELD II'!$L$5*'CALCULO MORTERO'!I1415+'BLAZE SHIELD II'!$L$6)*LN(J1415))+('BLAZE SHIELD II'!$L$7*('CALCULO MORTERO'!I1415^2)+'BLAZE SHIELD II'!$L$8*'CALCULO MORTERO'!I1415+'BLAZE SHIELD II'!$L$9)),0)+IF(AND(L1415="Blaze Shield II",M1415="Software Idiem",C1415="IN",G1415=3),((('BLAZE SHIELD II'!$H$14*('CALCULO MORTERO'!I1415^2)+'BLAZE SHIELD II'!$H$15*'CALCULO MORTERO'!I1415+'BLAZE SHIELD II'!$H$16)*LN(J1415))+('BLAZE SHIELD II'!$H$17*('CALCULO MORTERO'!I1415^2)+'BLAZE SHIELD II'!$H$18*'CALCULO MORTERO'!I1415+'BLAZE SHIELD II'!$H$19)),0),0)+ROUND(IF(AND(L1415="Cafco 400",M1415="Software Idiem",C1415="IN",G1415=4),((('CAFCO 400 '!$H$7*(J1415^4)+'CAFCO 400 '!$H$8*(J1415^3)+'CAFCO 400 '!$H$9*(J1415^2)+'CAFCO 400 '!$H$10*J1415+'CAFCO 400 '!$H$11)*U1415^2)+(('CAFCO 400 '!$H$12*(J1415^3)+'CAFCO 400 '!$H$13*(J1415^2)+'CAFCO 400 '!$H$14*J1415+'CAFCO 400 '!$H$15)*U1415)+('CAFCO 400 '!$H$16*(J1415^2)+'CAFCO 400 '!$H$17*J1415+'CAFCO 400 '!$H$18)),0)+IF(AND(L1415="Cafco 400",M1415="Software Idiem",C1415="Cj"),(((('CAFCO 400 '!$D$7*LN(J1415)+'CAFCO 400 '!$D$8)*U1415^2)+(('CAFCO 400 '!$D$9*LN(J1415)+'CAFCO 400 '!$D$10)*U1415)+('CAFCO 400 '!$D$11*LN(J1415)+'CAFCO 400 '!$D$12))),0)+IF(AND(L1415="Cafco 400",M1415="Software Idiem",C1415="C"),((('CAFCO 400 '!$L$7*(J1415^3)+'CAFCO 400 '!$L$8*(J1415^2)+'CAFCO 400 '!$L$9*J1415+'CAFCO 400 '!$L$10)*U1415^2)+(('CAFCO 400 '!$L$11*(J1415^3)+'CAFCO 400 '!$L$12*(J1415^2)+'CAFCO 400 '!$L$13*J1415+'CAFCO 400 '!$L$14)*U1415)+('CAFCO 400 '!$L$15*LN(J1415)+'CAFCO 400 '!$L$16)),0)+IF(AND(L1415="Cafco 400",M1415="Software Idiem",C1415="L"),((('CAFCO 400 '!$L$7*(J1415^3)+'CAFCO 400 '!$L$8*(J1415^2)+'CAFCO 400 '!$L$9*J1415+'CAFCO 400 '!$L$10)*U1415^2)+(('CAFCO 400 '!$L$11*(J1415^3)+'CAFCO 400 '!$L$12*(J1415^2)+'CAFCO 400 '!$L$13*J1415+'CAFCO 400 '!$L$14)*U1415)+('CAFCO 400 '!$L$15*LN(J1415)+'CAFCO 400 '!$L$16)),0)+IF(AND(L1415="Cafco 400",M1415="Software Idiem",C1415="IN",G1415=3),((('CAFCO 400 '!$D$23*(J1415^2)+'CAFCO 400 '!$D$24*(J1415)+'CAFCO 400 '!$D$25)*U1415^2)+(('CAFCO 400 '!$D$26*(J1415^2)+'CAFCO 400 '!$D$27*J1415+'CAFCO 400 '!$D$28)*U1415)+('CAFCO 400 '!$D$29*(J1415^2)+'CAFCO 400 '!$D$30*J1415+'CAFCO 400 '!$D$31)),0),0)+IF(AND(L1415="Cafco 300",J1415&gt;=95,J1415&lt;=240,C1415="Cj",I1415=90),VLOOKUP(T1415,'CAFCO 300 IDIEM TABLAS'!$B$4:$D$23,2,FALSE),0)+IF(AND(L1415="Cafco 300",J1415&gt;=95,J1415&lt;=240,C1415="Cj",I1415=120),VLOOKUP(T1415,'CAFCO 300 IDIEM TABLAS'!$B$4:$D$23,3,FALSE),0)+IF(AND(L1415="Cafco 300",J1415&gt;=95,J1415&lt;=400,G1415=3,C1415="IN",I1415=90),VLOOKUP(T1415,'CAFCO 300 IDIEM TABLAS'!$F$4:$H$35,2,FALSE),0)+IF(AND(L1415="Cafco 300",J1415&gt;=95,J1415&lt;=400,G1415=3,C1415="IN",I1415=120),VLOOKUP(T1415,'CAFCO 300 IDIEM TABLAS'!$F$4:$H$35,3,FALSE),0)+IF(AND(L1415="Cafco 300",J1415&gt;=95,J1415&lt;=450,G1415=4,C1415="IN",I1415=90),VLOOKUP(T1415,'CAFCO 300 IDIEM TABLAS'!$J$4:$L$40,2,FALSE),0)+IF(AND(L1415="Cafco 300",J1415&gt;=95,J1415&lt;=450,G1415=4,C1415="IN",I1415=120),VLOOKUP(T1415,'CAFCO 300 IDIEM TABLAS'!$J$4:$L$40,3,FALSE),0)+IF(AND(M1415="Ensayo Idiem",L1415="Cafco 400",C1415="IN",G1415=4,I1415=90),VLOOKUP(T1415,'CAFCO 400 ENSAYO'!$B$7:$D$43,2,FALSE),0)+IF(AND(M1415="Ensayo Idiem",L1415="Cafco 400",C1415="IN",G1415=4,I1415=120),VLOOKUP(T1415,'CAFCO 400 ENSAYO'!$B$7:$D$43,3,FALSE),0)</f>
        <v>0</v>
      </c>
      <c r="O1415" s="96">
        <f t="shared" si="138"/>
        <v>0</v>
      </c>
      <c r="P1415" s="132" t="str">
        <f t="shared" si="139"/>
        <v>N/A</v>
      </c>
      <c r="Q1415" s="132" t="str">
        <f t="shared" si="140"/>
        <v>N/A</v>
      </c>
      <c r="R1415" s="132" t="str">
        <f t="shared" si="141"/>
        <v>NO CERT.</v>
      </c>
      <c r="S1415" s="132" t="e">
        <f t="shared" si="142"/>
        <v>#N/A</v>
      </c>
      <c r="T1415" s="133" t="e">
        <f>+IF(J1415=LOOKUP(J1415,'CAFCO 300 IDIEM TABLAS'!$J$4:$J$40),'CALCULO MORTERO'!J1415,MROUND('CALCULO MORTERO'!J1415,10))</f>
        <v>#N/A</v>
      </c>
      <c r="U1415" s="134">
        <f t="shared" si="143"/>
        <v>0</v>
      </c>
    </row>
    <row r="1416" spans="1:21" x14ac:dyDescent="0.25">
      <c r="A1416" s="118">
        <f>+CUBICACION!D1410</f>
        <v>0</v>
      </c>
      <c r="B1416" s="819">
        <f>+CUBICACION!E1410</f>
        <v>0</v>
      </c>
      <c r="C1416" s="675">
        <f>+CUBICACION!F1410</f>
        <v>0</v>
      </c>
      <c r="D1416" s="118"/>
      <c r="E1416" s="118"/>
      <c r="F1416" s="820"/>
      <c r="G1416" s="675">
        <f>+CUBICACION!J1410</f>
        <v>0</v>
      </c>
      <c r="H1416" s="118"/>
      <c r="I1416" s="821">
        <f>+CUBICACION!L1410</f>
        <v>0</v>
      </c>
      <c r="J1416" s="64">
        <f>+CUBICACION!M1410</f>
        <v>0</v>
      </c>
      <c r="K1416" s="822" t="str">
        <f>+CUBICACION!N1410</f>
        <v/>
      </c>
      <c r="L1416" s="118">
        <f>+CUBICACION!O1410</f>
        <v>0</v>
      </c>
      <c r="M1416" s="823">
        <f>+CUBICACION!P1410</f>
        <v>0</v>
      </c>
      <c r="N1416" s="902">
        <f>ROUND(IF(AND(L1416="Blaze Shield II",M1416="Software Idiem",C1416="IN",G1416=4),((('BLAZE SHIELD II'!$D$4*('CALCULO MORTERO'!I1416^2)+'BLAZE SHIELD II'!$D$5*'CALCULO MORTERO'!I1416+'BLAZE SHIELD II'!$D$6)*LN(J1416))+('BLAZE SHIELD II'!$D$7*('CALCULO MORTERO'!I1416^2)+'BLAZE SHIELD II'!$D$8*'CALCULO MORTERO'!I1416+'BLAZE SHIELD II'!$D$9)),0)+IF(AND(L1416="Blaze Shield II",M1416="Software Idiem",C1416="Cj"),((('BLAZE SHIELD II'!$H$4*('CALCULO MORTERO'!I1416^2)+'BLAZE SHIELD II'!$H$5*'CALCULO MORTERO'!I1416+'BLAZE SHIELD II'!$H$6)*LN(J1416))+('BLAZE SHIELD II'!$H$7*('CALCULO MORTERO'!I1416^2)+'BLAZE SHIELD II'!$H$8*'CALCULO MORTERO'!I1416+'BLAZE SHIELD II'!$H$9)),0)+IF(AND(L1416="Blaze Shield II",M1416="Software Idiem",C1416="C"),((('BLAZE SHIELD II'!$L$4*('CALCULO MORTERO'!I1416^2)+'BLAZE SHIELD II'!$L$5*'CALCULO MORTERO'!I1416+'BLAZE SHIELD II'!$L$6)*LN(J1416))+('BLAZE SHIELD II'!$L$7*('CALCULO MORTERO'!I1416^2)+'BLAZE SHIELD II'!$L$8*'CALCULO MORTERO'!I1416+'BLAZE SHIELD II'!$L$9)),0)+IF(AND(L1416="Blaze Shield II",M1416="Software Idiem",C1416="L"),((('BLAZE SHIELD II'!$L$4*('CALCULO MORTERO'!I1416^2)+'BLAZE SHIELD II'!$L$5*'CALCULO MORTERO'!I1416+'BLAZE SHIELD II'!$L$6)*LN(J1416))+('BLAZE SHIELD II'!$L$7*('CALCULO MORTERO'!I1416^2)+'BLAZE SHIELD II'!$L$8*'CALCULO MORTERO'!I1416+'BLAZE SHIELD II'!$L$9)),0)+IF(AND(L1416="Blaze Shield II",M1416="Software Idiem",C1416="IN",G1416=3),((('BLAZE SHIELD II'!$H$14*('CALCULO MORTERO'!I1416^2)+'BLAZE SHIELD II'!$H$15*'CALCULO MORTERO'!I1416+'BLAZE SHIELD II'!$H$16)*LN(J1416))+('BLAZE SHIELD II'!$H$17*('CALCULO MORTERO'!I1416^2)+'BLAZE SHIELD II'!$H$18*'CALCULO MORTERO'!I1416+'BLAZE SHIELD II'!$H$19)),0),0)+ROUND(IF(AND(L1416="Cafco 400",M1416="Software Idiem",C1416="IN",G1416=4),((('CAFCO 400 '!$H$7*(J1416^4)+'CAFCO 400 '!$H$8*(J1416^3)+'CAFCO 400 '!$H$9*(J1416^2)+'CAFCO 400 '!$H$10*J1416+'CAFCO 400 '!$H$11)*U1416^2)+(('CAFCO 400 '!$H$12*(J1416^3)+'CAFCO 400 '!$H$13*(J1416^2)+'CAFCO 400 '!$H$14*J1416+'CAFCO 400 '!$H$15)*U1416)+('CAFCO 400 '!$H$16*(J1416^2)+'CAFCO 400 '!$H$17*J1416+'CAFCO 400 '!$H$18)),0)+IF(AND(L1416="Cafco 400",M1416="Software Idiem",C1416="Cj"),(((('CAFCO 400 '!$D$7*LN(J1416)+'CAFCO 400 '!$D$8)*U1416^2)+(('CAFCO 400 '!$D$9*LN(J1416)+'CAFCO 400 '!$D$10)*U1416)+('CAFCO 400 '!$D$11*LN(J1416)+'CAFCO 400 '!$D$12))),0)+IF(AND(L1416="Cafco 400",M1416="Software Idiem",C1416="C"),((('CAFCO 400 '!$L$7*(J1416^3)+'CAFCO 400 '!$L$8*(J1416^2)+'CAFCO 400 '!$L$9*J1416+'CAFCO 400 '!$L$10)*U1416^2)+(('CAFCO 400 '!$L$11*(J1416^3)+'CAFCO 400 '!$L$12*(J1416^2)+'CAFCO 400 '!$L$13*J1416+'CAFCO 400 '!$L$14)*U1416)+('CAFCO 400 '!$L$15*LN(J1416)+'CAFCO 400 '!$L$16)),0)+IF(AND(L1416="Cafco 400",M1416="Software Idiem",C1416="L"),((('CAFCO 400 '!$L$7*(J1416^3)+'CAFCO 400 '!$L$8*(J1416^2)+'CAFCO 400 '!$L$9*J1416+'CAFCO 400 '!$L$10)*U1416^2)+(('CAFCO 400 '!$L$11*(J1416^3)+'CAFCO 400 '!$L$12*(J1416^2)+'CAFCO 400 '!$L$13*J1416+'CAFCO 400 '!$L$14)*U1416)+('CAFCO 400 '!$L$15*LN(J1416)+'CAFCO 400 '!$L$16)),0)+IF(AND(L1416="Cafco 400",M1416="Software Idiem",C1416="IN",G1416=3),((('CAFCO 400 '!$D$23*(J1416^2)+'CAFCO 400 '!$D$24*(J1416)+'CAFCO 400 '!$D$25)*U1416^2)+(('CAFCO 400 '!$D$26*(J1416^2)+'CAFCO 400 '!$D$27*J1416+'CAFCO 400 '!$D$28)*U1416)+('CAFCO 400 '!$D$29*(J1416^2)+'CAFCO 400 '!$D$30*J1416+'CAFCO 400 '!$D$31)),0),0)+IF(AND(L1416="Cafco 300",J1416&gt;=95,J1416&lt;=240,C1416="Cj",I1416=90),VLOOKUP(T1416,'CAFCO 300 IDIEM TABLAS'!$B$4:$D$23,2,FALSE),0)+IF(AND(L1416="Cafco 300",J1416&gt;=95,J1416&lt;=240,C1416="Cj",I1416=120),VLOOKUP(T1416,'CAFCO 300 IDIEM TABLAS'!$B$4:$D$23,3,FALSE),0)+IF(AND(L1416="Cafco 300",J1416&gt;=95,J1416&lt;=400,G1416=3,C1416="IN",I1416=90),VLOOKUP(T1416,'CAFCO 300 IDIEM TABLAS'!$F$4:$H$35,2,FALSE),0)+IF(AND(L1416="Cafco 300",J1416&gt;=95,J1416&lt;=400,G1416=3,C1416="IN",I1416=120),VLOOKUP(T1416,'CAFCO 300 IDIEM TABLAS'!$F$4:$H$35,3,FALSE),0)+IF(AND(L1416="Cafco 300",J1416&gt;=95,J1416&lt;=450,G1416=4,C1416="IN",I1416=90),VLOOKUP(T1416,'CAFCO 300 IDIEM TABLAS'!$J$4:$L$40,2,FALSE),0)+IF(AND(L1416="Cafco 300",J1416&gt;=95,J1416&lt;=450,G1416=4,C1416="IN",I1416=120),VLOOKUP(T1416,'CAFCO 300 IDIEM TABLAS'!$J$4:$L$40,3,FALSE),0)+IF(AND(M1416="Ensayo Idiem",L1416="Cafco 400",C1416="IN",G1416=4,I1416=90),VLOOKUP(T1416,'CAFCO 400 ENSAYO'!$B$7:$D$43,2,FALSE),0)+IF(AND(M1416="Ensayo Idiem",L1416="Cafco 400",C1416="IN",G1416=4,I1416=120),VLOOKUP(T1416,'CAFCO 400 ENSAYO'!$B$7:$D$43,3,FALSE),0)</f>
        <v>0</v>
      </c>
      <c r="O1416" s="96">
        <f t="shared" si="138"/>
        <v>0</v>
      </c>
      <c r="P1416" s="95" t="str">
        <f t="shared" si="139"/>
        <v>N/A</v>
      </c>
      <c r="Q1416" s="95" t="str">
        <f t="shared" si="140"/>
        <v>N/A</v>
      </c>
      <c r="R1416" s="95" t="str">
        <f t="shared" si="141"/>
        <v>NO CERT.</v>
      </c>
      <c r="S1416" s="95" t="e">
        <f t="shared" si="142"/>
        <v>#N/A</v>
      </c>
      <c r="T1416" s="119" t="e">
        <f>+IF(J1416=LOOKUP(J1416,'CAFCO 300 IDIEM TABLAS'!$J$4:$J$40),'CALCULO MORTERO'!J1416,MROUND('CALCULO MORTERO'!J1416,10))</f>
        <v>#N/A</v>
      </c>
      <c r="U1416" s="118">
        <f t="shared" si="143"/>
        <v>0</v>
      </c>
    </row>
    <row r="1417" spans="1:21" x14ac:dyDescent="0.25">
      <c r="A1417" s="118">
        <f>+CUBICACION!D1411</f>
        <v>0</v>
      </c>
      <c r="B1417" s="819">
        <f>+CUBICACION!E1411</f>
        <v>0</v>
      </c>
      <c r="C1417" s="675">
        <f>+CUBICACION!F1411</f>
        <v>0</v>
      </c>
      <c r="D1417" s="118"/>
      <c r="E1417" s="118"/>
      <c r="F1417" s="820"/>
      <c r="G1417" s="675">
        <f>+CUBICACION!J1411</f>
        <v>0</v>
      </c>
      <c r="H1417" s="118"/>
      <c r="I1417" s="821">
        <f>+CUBICACION!L1411</f>
        <v>0</v>
      </c>
      <c r="J1417" s="64">
        <f>+CUBICACION!M1411</f>
        <v>0</v>
      </c>
      <c r="K1417" s="822" t="str">
        <f>+CUBICACION!N1411</f>
        <v/>
      </c>
      <c r="L1417" s="118">
        <f>+CUBICACION!O1411</f>
        <v>0</v>
      </c>
      <c r="M1417" s="823">
        <f>+CUBICACION!P1411</f>
        <v>0</v>
      </c>
      <c r="N1417" s="902">
        <f>ROUND(IF(AND(L1417="Blaze Shield II",M1417="Software Idiem",C1417="IN",G1417=4),((('BLAZE SHIELD II'!$D$4*('CALCULO MORTERO'!I1417^2)+'BLAZE SHIELD II'!$D$5*'CALCULO MORTERO'!I1417+'BLAZE SHIELD II'!$D$6)*LN(J1417))+('BLAZE SHIELD II'!$D$7*('CALCULO MORTERO'!I1417^2)+'BLAZE SHIELD II'!$D$8*'CALCULO MORTERO'!I1417+'BLAZE SHIELD II'!$D$9)),0)+IF(AND(L1417="Blaze Shield II",M1417="Software Idiem",C1417="Cj"),((('BLAZE SHIELD II'!$H$4*('CALCULO MORTERO'!I1417^2)+'BLAZE SHIELD II'!$H$5*'CALCULO MORTERO'!I1417+'BLAZE SHIELD II'!$H$6)*LN(J1417))+('BLAZE SHIELD II'!$H$7*('CALCULO MORTERO'!I1417^2)+'BLAZE SHIELD II'!$H$8*'CALCULO MORTERO'!I1417+'BLAZE SHIELD II'!$H$9)),0)+IF(AND(L1417="Blaze Shield II",M1417="Software Idiem",C1417="C"),((('BLAZE SHIELD II'!$L$4*('CALCULO MORTERO'!I1417^2)+'BLAZE SHIELD II'!$L$5*'CALCULO MORTERO'!I1417+'BLAZE SHIELD II'!$L$6)*LN(J1417))+('BLAZE SHIELD II'!$L$7*('CALCULO MORTERO'!I1417^2)+'BLAZE SHIELD II'!$L$8*'CALCULO MORTERO'!I1417+'BLAZE SHIELD II'!$L$9)),0)+IF(AND(L1417="Blaze Shield II",M1417="Software Idiem",C1417="L"),((('BLAZE SHIELD II'!$L$4*('CALCULO MORTERO'!I1417^2)+'BLAZE SHIELD II'!$L$5*'CALCULO MORTERO'!I1417+'BLAZE SHIELD II'!$L$6)*LN(J1417))+('BLAZE SHIELD II'!$L$7*('CALCULO MORTERO'!I1417^2)+'BLAZE SHIELD II'!$L$8*'CALCULO MORTERO'!I1417+'BLAZE SHIELD II'!$L$9)),0)+IF(AND(L1417="Blaze Shield II",M1417="Software Idiem",C1417="IN",G1417=3),((('BLAZE SHIELD II'!$H$14*('CALCULO MORTERO'!I1417^2)+'BLAZE SHIELD II'!$H$15*'CALCULO MORTERO'!I1417+'BLAZE SHIELD II'!$H$16)*LN(J1417))+('BLAZE SHIELD II'!$H$17*('CALCULO MORTERO'!I1417^2)+'BLAZE SHIELD II'!$H$18*'CALCULO MORTERO'!I1417+'BLAZE SHIELD II'!$H$19)),0),0)+ROUND(IF(AND(L1417="Cafco 400",M1417="Software Idiem",C1417="IN",G1417=4),((('CAFCO 400 '!$H$7*(J1417^4)+'CAFCO 400 '!$H$8*(J1417^3)+'CAFCO 400 '!$H$9*(J1417^2)+'CAFCO 400 '!$H$10*J1417+'CAFCO 400 '!$H$11)*U1417^2)+(('CAFCO 400 '!$H$12*(J1417^3)+'CAFCO 400 '!$H$13*(J1417^2)+'CAFCO 400 '!$H$14*J1417+'CAFCO 400 '!$H$15)*U1417)+('CAFCO 400 '!$H$16*(J1417^2)+'CAFCO 400 '!$H$17*J1417+'CAFCO 400 '!$H$18)),0)+IF(AND(L1417="Cafco 400",M1417="Software Idiem",C1417="Cj"),(((('CAFCO 400 '!$D$7*LN(J1417)+'CAFCO 400 '!$D$8)*U1417^2)+(('CAFCO 400 '!$D$9*LN(J1417)+'CAFCO 400 '!$D$10)*U1417)+('CAFCO 400 '!$D$11*LN(J1417)+'CAFCO 400 '!$D$12))),0)+IF(AND(L1417="Cafco 400",M1417="Software Idiem",C1417="C"),((('CAFCO 400 '!$L$7*(J1417^3)+'CAFCO 400 '!$L$8*(J1417^2)+'CAFCO 400 '!$L$9*J1417+'CAFCO 400 '!$L$10)*U1417^2)+(('CAFCO 400 '!$L$11*(J1417^3)+'CAFCO 400 '!$L$12*(J1417^2)+'CAFCO 400 '!$L$13*J1417+'CAFCO 400 '!$L$14)*U1417)+('CAFCO 400 '!$L$15*LN(J1417)+'CAFCO 400 '!$L$16)),0)+IF(AND(L1417="Cafco 400",M1417="Software Idiem",C1417="L"),((('CAFCO 400 '!$L$7*(J1417^3)+'CAFCO 400 '!$L$8*(J1417^2)+'CAFCO 400 '!$L$9*J1417+'CAFCO 400 '!$L$10)*U1417^2)+(('CAFCO 400 '!$L$11*(J1417^3)+'CAFCO 400 '!$L$12*(J1417^2)+'CAFCO 400 '!$L$13*J1417+'CAFCO 400 '!$L$14)*U1417)+('CAFCO 400 '!$L$15*LN(J1417)+'CAFCO 400 '!$L$16)),0)+IF(AND(L1417="Cafco 400",M1417="Software Idiem",C1417="IN",G1417=3),((('CAFCO 400 '!$D$23*(J1417^2)+'CAFCO 400 '!$D$24*(J1417)+'CAFCO 400 '!$D$25)*U1417^2)+(('CAFCO 400 '!$D$26*(J1417^2)+'CAFCO 400 '!$D$27*J1417+'CAFCO 400 '!$D$28)*U1417)+('CAFCO 400 '!$D$29*(J1417^2)+'CAFCO 400 '!$D$30*J1417+'CAFCO 400 '!$D$31)),0),0)+IF(AND(L1417="Cafco 300",J1417&gt;=95,J1417&lt;=240,C1417="Cj",I1417=90),VLOOKUP(T1417,'CAFCO 300 IDIEM TABLAS'!$B$4:$D$23,2,FALSE),0)+IF(AND(L1417="Cafco 300",J1417&gt;=95,J1417&lt;=240,C1417="Cj",I1417=120),VLOOKUP(T1417,'CAFCO 300 IDIEM TABLAS'!$B$4:$D$23,3,FALSE),0)+IF(AND(L1417="Cafco 300",J1417&gt;=95,J1417&lt;=400,G1417=3,C1417="IN",I1417=90),VLOOKUP(T1417,'CAFCO 300 IDIEM TABLAS'!$F$4:$H$35,2,FALSE),0)+IF(AND(L1417="Cafco 300",J1417&gt;=95,J1417&lt;=400,G1417=3,C1417="IN",I1417=120),VLOOKUP(T1417,'CAFCO 300 IDIEM TABLAS'!$F$4:$H$35,3,FALSE),0)+IF(AND(L1417="Cafco 300",J1417&gt;=95,J1417&lt;=450,G1417=4,C1417="IN",I1417=90),VLOOKUP(T1417,'CAFCO 300 IDIEM TABLAS'!$J$4:$L$40,2,FALSE),0)+IF(AND(L1417="Cafco 300",J1417&gt;=95,J1417&lt;=450,G1417=4,C1417="IN",I1417=120),VLOOKUP(T1417,'CAFCO 300 IDIEM TABLAS'!$J$4:$L$40,3,FALSE),0)+IF(AND(M1417="Ensayo Idiem",L1417="Cafco 400",C1417="IN",G1417=4,I1417=90),VLOOKUP(T1417,'CAFCO 400 ENSAYO'!$B$7:$D$43,2,FALSE),0)+IF(AND(M1417="Ensayo Idiem",L1417="Cafco 400",C1417="IN",G1417=4,I1417=120),VLOOKUP(T1417,'CAFCO 400 ENSAYO'!$B$7:$D$43,3,FALSE),0)</f>
        <v>0</v>
      </c>
      <c r="O1417" s="96">
        <f t="shared" si="138"/>
        <v>0</v>
      </c>
      <c r="P1417" s="132" t="str">
        <f t="shared" si="139"/>
        <v>N/A</v>
      </c>
      <c r="Q1417" s="132" t="str">
        <f t="shared" si="140"/>
        <v>N/A</v>
      </c>
      <c r="R1417" s="132" t="str">
        <f t="shared" si="141"/>
        <v>NO CERT.</v>
      </c>
      <c r="S1417" s="132" t="e">
        <f t="shared" si="142"/>
        <v>#N/A</v>
      </c>
      <c r="T1417" s="133" t="e">
        <f>+IF(J1417=LOOKUP(J1417,'CAFCO 300 IDIEM TABLAS'!$J$4:$J$40),'CALCULO MORTERO'!J1417,MROUND('CALCULO MORTERO'!J1417,10))</f>
        <v>#N/A</v>
      </c>
      <c r="U1417" s="134">
        <f t="shared" si="143"/>
        <v>0</v>
      </c>
    </row>
    <row r="1418" spans="1:21" x14ac:dyDescent="0.25">
      <c r="A1418" s="118">
        <f>+CUBICACION!D1412</f>
        <v>0</v>
      </c>
      <c r="B1418" s="819">
        <f>+CUBICACION!E1412</f>
        <v>0</v>
      </c>
      <c r="C1418" s="675">
        <f>+CUBICACION!F1412</f>
        <v>0</v>
      </c>
      <c r="D1418" s="118"/>
      <c r="E1418" s="118"/>
      <c r="F1418" s="820"/>
      <c r="G1418" s="675">
        <f>+CUBICACION!J1412</f>
        <v>0</v>
      </c>
      <c r="H1418" s="118"/>
      <c r="I1418" s="821">
        <f>+CUBICACION!L1412</f>
        <v>0</v>
      </c>
      <c r="J1418" s="64">
        <f>+CUBICACION!M1412</f>
        <v>0</v>
      </c>
      <c r="K1418" s="822" t="str">
        <f>+CUBICACION!N1412</f>
        <v/>
      </c>
      <c r="L1418" s="118">
        <f>+CUBICACION!O1412</f>
        <v>0</v>
      </c>
      <c r="M1418" s="823">
        <f>+CUBICACION!P1412</f>
        <v>0</v>
      </c>
      <c r="N1418" s="902">
        <f>ROUND(IF(AND(L1418="Blaze Shield II",M1418="Software Idiem",C1418="IN",G1418=4),((('BLAZE SHIELD II'!$D$4*('CALCULO MORTERO'!I1418^2)+'BLAZE SHIELD II'!$D$5*'CALCULO MORTERO'!I1418+'BLAZE SHIELD II'!$D$6)*LN(J1418))+('BLAZE SHIELD II'!$D$7*('CALCULO MORTERO'!I1418^2)+'BLAZE SHIELD II'!$D$8*'CALCULO MORTERO'!I1418+'BLAZE SHIELD II'!$D$9)),0)+IF(AND(L1418="Blaze Shield II",M1418="Software Idiem",C1418="Cj"),((('BLAZE SHIELD II'!$H$4*('CALCULO MORTERO'!I1418^2)+'BLAZE SHIELD II'!$H$5*'CALCULO MORTERO'!I1418+'BLAZE SHIELD II'!$H$6)*LN(J1418))+('BLAZE SHIELD II'!$H$7*('CALCULO MORTERO'!I1418^2)+'BLAZE SHIELD II'!$H$8*'CALCULO MORTERO'!I1418+'BLAZE SHIELD II'!$H$9)),0)+IF(AND(L1418="Blaze Shield II",M1418="Software Idiem",C1418="C"),((('BLAZE SHIELD II'!$L$4*('CALCULO MORTERO'!I1418^2)+'BLAZE SHIELD II'!$L$5*'CALCULO MORTERO'!I1418+'BLAZE SHIELD II'!$L$6)*LN(J1418))+('BLAZE SHIELD II'!$L$7*('CALCULO MORTERO'!I1418^2)+'BLAZE SHIELD II'!$L$8*'CALCULO MORTERO'!I1418+'BLAZE SHIELD II'!$L$9)),0)+IF(AND(L1418="Blaze Shield II",M1418="Software Idiem",C1418="L"),((('BLAZE SHIELD II'!$L$4*('CALCULO MORTERO'!I1418^2)+'BLAZE SHIELD II'!$L$5*'CALCULO MORTERO'!I1418+'BLAZE SHIELD II'!$L$6)*LN(J1418))+('BLAZE SHIELD II'!$L$7*('CALCULO MORTERO'!I1418^2)+'BLAZE SHIELD II'!$L$8*'CALCULO MORTERO'!I1418+'BLAZE SHIELD II'!$L$9)),0)+IF(AND(L1418="Blaze Shield II",M1418="Software Idiem",C1418="IN",G1418=3),((('BLAZE SHIELD II'!$H$14*('CALCULO MORTERO'!I1418^2)+'BLAZE SHIELD II'!$H$15*'CALCULO MORTERO'!I1418+'BLAZE SHIELD II'!$H$16)*LN(J1418))+('BLAZE SHIELD II'!$H$17*('CALCULO MORTERO'!I1418^2)+'BLAZE SHIELD II'!$H$18*'CALCULO MORTERO'!I1418+'BLAZE SHIELD II'!$H$19)),0),0)+ROUND(IF(AND(L1418="Cafco 400",M1418="Software Idiem",C1418="IN",G1418=4),((('CAFCO 400 '!$H$7*(J1418^4)+'CAFCO 400 '!$H$8*(J1418^3)+'CAFCO 400 '!$H$9*(J1418^2)+'CAFCO 400 '!$H$10*J1418+'CAFCO 400 '!$H$11)*U1418^2)+(('CAFCO 400 '!$H$12*(J1418^3)+'CAFCO 400 '!$H$13*(J1418^2)+'CAFCO 400 '!$H$14*J1418+'CAFCO 400 '!$H$15)*U1418)+('CAFCO 400 '!$H$16*(J1418^2)+'CAFCO 400 '!$H$17*J1418+'CAFCO 400 '!$H$18)),0)+IF(AND(L1418="Cafco 400",M1418="Software Idiem",C1418="Cj"),(((('CAFCO 400 '!$D$7*LN(J1418)+'CAFCO 400 '!$D$8)*U1418^2)+(('CAFCO 400 '!$D$9*LN(J1418)+'CAFCO 400 '!$D$10)*U1418)+('CAFCO 400 '!$D$11*LN(J1418)+'CAFCO 400 '!$D$12))),0)+IF(AND(L1418="Cafco 400",M1418="Software Idiem",C1418="C"),((('CAFCO 400 '!$L$7*(J1418^3)+'CAFCO 400 '!$L$8*(J1418^2)+'CAFCO 400 '!$L$9*J1418+'CAFCO 400 '!$L$10)*U1418^2)+(('CAFCO 400 '!$L$11*(J1418^3)+'CAFCO 400 '!$L$12*(J1418^2)+'CAFCO 400 '!$L$13*J1418+'CAFCO 400 '!$L$14)*U1418)+('CAFCO 400 '!$L$15*LN(J1418)+'CAFCO 400 '!$L$16)),0)+IF(AND(L1418="Cafco 400",M1418="Software Idiem",C1418="L"),((('CAFCO 400 '!$L$7*(J1418^3)+'CAFCO 400 '!$L$8*(J1418^2)+'CAFCO 400 '!$L$9*J1418+'CAFCO 400 '!$L$10)*U1418^2)+(('CAFCO 400 '!$L$11*(J1418^3)+'CAFCO 400 '!$L$12*(J1418^2)+'CAFCO 400 '!$L$13*J1418+'CAFCO 400 '!$L$14)*U1418)+('CAFCO 400 '!$L$15*LN(J1418)+'CAFCO 400 '!$L$16)),0)+IF(AND(L1418="Cafco 400",M1418="Software Idiem",C1418="IN",G1418=3),((('CAFCO 400 '!$D$23*(J1418^2)+'CAFCO 400 '!$D$24*(J1418)+'CAFCO 400 '!$D$25)*U1418^2)+(('CAFCO 400 '!$D$26*(J1418^2)+'CAFCO 400 '!$D$27*J1418+'CAFCO 400 '!$D$28)*U1418)+('CAFCO 400 '!$D$29*(J1418^2)+'CAFCO 400 '!$D$30*J1418+'CAFCO 400 '!$D$31)),0),0)+IF(AND(L1418="Cafco 300",J1418&gt;=95,J1418&lt;=240,C1418="Cj",I1418=90),VLOOKUP(T1418,'CAFCO 300 IDIEM TABLAS'!$B$4:$D$23,2,FALSE),0)+IF(AND(L1418="Cafco 300",J1418&gt;=95,J1418&lt;=240,C1418="Cj",I1418=120),VLOOKUP(T1418,'CAFCO 300 IDIEM TABLAS'!$B$4:$D$23,3,FALSE),0)+IF(AND(L1418="Cafco 300",J1418&gt;=95,J1418&lt;=400,G1418=3,C1418="IN",I1418=90),VLOOKUP(T1418,'CAFCO 300 IDIEM TABLAS'!$F$4:$H$35,2,FALSE),0)+IF(AND(L1418="Cafco 300",J1418&gt;=95,J1418&lt;=400,G1418=3,C1418="IN",I1418=120),VLOOKUP(T1418,'CAFCO 300 IDIEM TABLAS'!$F$4:$H$35,3,FALSE),0)+IF(AND(L1418="Cafco 300",J1418&gt;=95,J1418&lt;=450,G1418=4,C1418="IN",I1418=90),VLOOKUP(T1418,'CAFCO 300 IDIEM TABLAS'!$J$4:$L$40,2,FALSE),0)+IF(AND(L1418="Cafco 300",J1418&gt;=95,J1418&lt;=450,G1418=4,C1418="IN",I1418=120),VLOOKUP(T1418,'CAFCO 300 IDIEM TABLAS'!$J$4:$L$40,3,FALSE),0)+IF(AND(M1418="Ensayo Idiem",L1418="Cafco 400",C1418="IN",G1418=4,I1418=90),VLOOKUP(T1418,'CAFCO 400 ENSAYO'!$B$7:$D$43,2,FALSE),0)+IF(AND(M1418="Ensayo Idiem",L1418="Cafco 400",C1418="IN",G1418=4,I1418=120),VLOOKUP(T1418,'CAFCO 400 ENSAYO'!$B$7:$D$43,3,FALSE),0)</f>
        <v>0</v>
      </c>
      <c r="O1418" s="96">
        <f t="shared" si="138"/>
        <v>0</v>
      </c>
      <c r="P1418" s="95" t="str">
        <f t="shared" si="139"/>
        <v>N/A</v>
      </c>
      <c r="Q1418" s="95" t="str">
        <f t="shared" si="140"/>
        <v>N/A</v>
      </c>
      <c r="R1418" s="95" t="str">
        <f t="shared" si="141"/>
        <v>NO CERT.</v>
      </c>
      <c r="S1418" s="95" t="e">
        <f t="shared" si="142"/>
        <v>#N/A</v>
      </c>
      <c r="T1418" s="119" t="e">
        <f>+IF(J1418=LOOKUP(J1418,'CAFCO 300 IDIEM TABLAS'!$J$4:$J$40),'CALCULO MORTERO'!J1418,MROUND('CALCULO MORTERO'!J1418,10))</f>
        <v>#N/A</v>
      </c>
      <c r="U1418" s="118">
        <f t="shared" si="143"/>
        <v>0</v>
      </c>
    </row>
    <row r="1419" spans="1:21" x14ac:dyDescent="0.25">
      <c r="A1419" s="118">
        <f>+CUBICACION!D1413</f>
        <v>0</v>
      </c>
      <c r="B1419" s="819">
        <f>+CUBICACION!E1413</f>
        <v>0</v>
      </c>
      <c r="C1419" s="675">
        <f>+CUBICACION!F1413</f>
        <v>0</v>
      </c>
      <c r="D1419" s="118"/>
      <c r="E1419" s="118"/>
      <c r="F1419" s="820"/>
      <c r="G1419" s="675">
        <f>+CUBICACION!J1413</f>
        <v>0</v>
      </c>
      <c r="H1419" s="118"/>
      <c r="I1419" s="821">
        <f>+CUBICACION!L1413</f>
        <v>0</v>
      </c>
      <c r="J1419" s="64">
        <f>+CUBICACION!M1413</f>
        <v>0</v>
      </c>
      <c r="K1419" s="822" t="str">
        <f>+CUBICACION!N1413</f>
        <v/>
      </c>
      <c r="L1419" s="118">
        <f>+CUBICACION!O1413</f>
        <v>0</v>
      </c>
      <c r="M1419" s="823">
        <f>+CUBICACION!P1413</f>
        <v>0</v>
      </c>
      <c r="N1419" s="902">
        <f>ROUND(IF(AND(L1419="Blaze Shield II",M1419="Software Idiem",C1419="IN",G1419=4),((('BLAZE SHIELD II'!$D$4*('CALCULO MORTERO'!I1419^2)+'BLAZE SHIELD II'!$D$5*'CALCULO MORTERO'!I1419+'BLAZE SHIELD II'!$D$6)*LN(J1419))+('BLAZE SHIELD II'!$D$7*('CALCULO MORTERO'!I1419^2)+'BLAZE SHIELD II'!$D$8*'CALCULO MORTERO'!I1419+'BLAZE SHIELD II'!$D$9)),0)+IF(AND(L1419="Blaze Shield II",M1419="Software Idiem",C1419="Cj"),((('BLAZE SHIELD II'!$H$4*('CALCULO MORTERO'!I1419^2)+'BLAZE SHIELD II'!$H$5*'CALCULO MORTERO'!I1419+'BLAZE SHIELD II'!$H$6)*LN(J1419))+('BLAZE SHIELD II'!$H$7*('CALCULO MORTERO'!I1419^2)+'BLAZE SHIELD II'!$H$8*'CALCULO MORTERO'!I1419+'BLAZE SHIELD II'!$H$9)),0)+IF(AND(L1419="Blaze Shield II",M1419="Software Idiem",C1419="C"),((('BLAZE SHIELD II'!$L$4*('CALCULO MORTERO'!I1419^2)+'BLAZE SHIELD II'!$L$5*'CALCULO MORTERO'!I1419+'BLAZE SHIELD II'!$L$6)*LN(J1419))+('BLAZE SHIELD II'!$L$7*('CALCULO MORTERO'!I1419^2)+'BLAZE SHIELD II'!$L$8*'CALCULO MORTERO'!I1419+'BLAZE SHIELD II'!$L$9)),0)+IF(AND(L1419="Blaze Shield II",M1419="Software Idiem",C1419="L"),((('BLAZE SHIELD II'!$L$4*('CALCULO MORTERO'!I1419^2)+'BLAZE SHIELD II'!$L$5*'CALCULO MORTERO'!I1419+'BLAZE SHIELD II'!$L$6)*LN(J1419))+('BLAZE SHIELD II'!$L$7*('CALCULO MORTERO'!I1419^2)+'BLAZE SHIELD II'!$L$8*'CALCULO MORTERO'!I1419+'BLAZE SHIELD II'!$L$9)),0)+IF(AND(L1419="Blaze Shield II",M1419="Software Idiem",C1419="IN",G1419=3),((('BLAZE SHIELD II'!$H$14*('CALCULO MORTERO'!I1419^2)+'BLAZE SHIELD II'!$H$15*'CALCULO MORTERO'!I1419+'BLAZE SHIELD II'!$H$16)*LN(J1419))+('BLAZE SHIELD II'!$H$17*('CALCULO MORTERO'!I1419^2)+'BLAZE SHIELD II'!$H$18*'CALCULO MORTERO'!I1419+'BLAZE SHIELD II'!$H$19)),0),0)+ROUND(IF(AND(L1419="Cafco 400",M1419="Software Idiem",C1419="IN",G1419=4),((('CAFCO 400 '!$H$7*(J1419^4)+'CAFCO 400 '!$H$8*(J1419^3)+'CAFCO 400 '!$H$9*(J1419^2)+'CAFCO 400 '!$H$10*J1419+'CAFCO 400 '!$H$11)*U1419^2)+(('CAFCO 400 '!$H$12*(J1419^3)+'CAFCO 400 '!$H$13*(J1419^2)+'CAFCO 400 '!$H$14*J1419+'CAFCO 400 '!$H$15)*U1419)+('CAFCO 400 '!$H$16*(J1419^2)+'CAFCO 400 '!$H$17*J1419+'CAFCO 400 '!$H$18)),0)+IF(AND(L1419="Cafco 400",M1419="Software Idiem",C1419="Cj"),(((('CAFCO 400 '!$D$7*LN(J1419)+'CAFCO 400 '!$D$8)*U1419^2)+(('CAFCO 400 '!$D$9*LN(J1419)+'CAFCO 400 '!$D$10)*U1419)+('CAFCO 400 '!$D$11*LN(J1419)+'CAFCO 400 '!$D$12))),0)+IF(AND(L1419="Cafco 400",M1419="Software Idiem",C1419="C"),((('CAFCO 400 '!$L$7*(J1419^3)+'CAFCO 400 '!$L$8*(J1419^2)+'CAFCO 400 '!$L$9*J1419+'CAFCO 400 '!$L$10)*U1419^2)+(('CAFCO 400 '!$L$11*(J1419^3)+'CAFCO 400 '!$L$12*(J1419^2)+'CAFCO 400 '!$L$13*J1419+'CAFCO 400 '!$L$14)*U1419)+('CAFCO 400 '!$L$15*LN(J1419)+'CAFCO 400 '!$L$16)),0)+IF(AND(L1419="Cafco 400",M1419="Software Idiem",C1419="L"),((('CAFCO 400 '!$L$7*(J1419^3)+'CAFCO 400 '!$L$8*(J1419^2)+'CAFCO 400 '!$L$9*J1419+'CAFCO 400 '!$L$10)*U1419^2)+(('CAFCO 400 '!$L$11*(J1419^3)+'CAFCO 400 '!$L$12*(J1419^2)+'CAFCO 400 '!$L$13*J1419+'CAFCO 400 '!$L$14)*U1419)+('CAFCO 400 '!$L$15*LN(J1419)+'CAFCO 400 '!$L$16)),0)+IF(AND(L1419="Cafco 400",M1419="Software Idiem",C1419="IN",G1419=3),((('CAFCO 400 '!$D$23*(J1419^2)+'CAFCO 400 '!$D$24*(J1419)+'CAFCO 400 '!$D$25)*U1419^2)+(('CAFCO 400 '!$D$26*(J1419^2)+'CAFCO 400 '!$D$27*J1419+'CAFCO 400 '!$D$28)*U1419)+('CAFCO 400 '!$D$29*(J1419^2)+'CAFCO 400 '!$D$30*J1419+'CAFCO 400 '!$D$31)),0),0)+IF(AND(L1419="Cafco 300",J1419&gt;=95,J1419&lt;=240,C1419="Cj",I1419=90),VLOOKUP(T1419,'CAFCO 300 IDIEM TABLAS'!$B$4:$D$23,2,FALSE),0)+IF(AND(L1419="Cafco 300",J1419&gt;=95,J1419&lt;=240,C1419="Cj",I1419=120),VLOOKUP(T1419,'CAFCO 300 IDIEM TABLAS'!$B$4:$D$23,3,FALSE),0)+IF(AND(L1419="Cafco 300",J1419&gt;=95,J1419&lt;=400,G1419=3,C1419="IN",I1419=90),VLOOKUP(T1419,'CAFCO 300 IDIEM TABLAS'!$F$4:$H$35,2,FALSE),0)+IF(AND(L1419="Cafco 300",J1419&gt;=95,J1419&lt;=400,G1419=3,C1419="IN",I1419=120),VLOOKUP(T1419,'CAFCO 300 IDIEM TABLAS'!$F$4:$H$35,3,FALSE),0)+IF(AND(L1419="Cafco 300",J1419&gt;=95,J1419&lt;=450,G1419=4,C1419="IN",I1419=90),VLOOKUP(T1419,'CAFCO 300 IDIEM TABLAS'!$J$4:$L$40,2,FALSE),0)+IF(AND(L1419="Cafco 300",J1419&gt;=95,J1419&lt;=450,G1419=4,C1419="IN",I1419=120),VLOOKUP(T1419,'CAFCO 300 IDIEM TABLAS'!$J$4:$L$40,3,FALSE),0)+IF(AND(M1419="Ensayo Idiem",L1419="Cafco 400",C1419="IN",G1419=4,I1419=90),VLOOKUP(T1419,'CAFCO 400 ENSAYO'!$B$7:$D$43,2,FALSE),0)+IF(AND(M1419="Ensayo Idiem",L1419="Cafco 400",C1419="IN",G1419=4,I1419=120),VLOOKUP(T1419,'CAFCO 400 ENSAYO'!$B$7:$D$43,3,FALSE),0)</f>
        <v>0</v>
      </c>
      <c r="O1419" s="96">
        <f t="shared" ref="O1419:O1482" si="144">((IF(L1419="Blaze Shield II",((K1419*N1419*0.43)/38),IF(L1419="Cafco 400",((K1419*N1419*0.43)/23),IF(L1419="Cafco 300",((K1419*N1419*0.43)/31.16),0)))))</f>
        <v>0</v>
      </c>
      <c r="P1419" s="132" t="str">
        <f t="shared" si="139"/>
        <v>N/A</v>
      </c>
      <c r="Q1419" s="132" t="str">
        <f t="shared" si="140"/>
        <v>N/A</v>
      </c>
      <c r="R1419" s="132" t="str">
        <f t="shared" si="141"/>
        <v>NO CERT.</v>
      </c>
      <c r="S1419" s="132" t="e">
        <f t="shared" si="142"/>
        <v>#N/A</v>
      </c>
      <c r="T1419" s="133" t="e">
        <f>+IF(J1419=LOOKUP(J1419,'CAFCO 300 IDIEM TABLAS'!$J$4:$J$40),'CALCULO MORTERO'!J1419,MROUND('CALCULO MORTERO'!J1419,10))</f>
        <v>#N/A</v>
      </c>
      <c r="U1419" s="134">
        <f t="shared" si="143"/>
        <v>0</v>
      </c>
    </row>
    <row r="1420" spans="1:21" x14ac:dyDescent="0.25">
      <c r="A1420" s="118">
        <f>+CUBICACION!D1414</f>
        <v>0</v>
      </c>
      <c r="B1420" s="819">
        <f>+CUBICACION!E1414</f>
        <v>0</v>
      </c>
      <c r="C1420" s="675">
        <f>+CUBICACION!F1414</f>
        <v>0</v>
      </c>
      <c r="D1420" s="118"/>
      <c r="E1420" s="118"/>
      <c r="F1420" s="820"/>
      <c r="G1420" s="675">
        <f>+CUBICACION!J1414</f>
        <v>0</v>
      </c>
      <c r="H1420" s="118"/>
      <c r="I1420" s="821">
        <f>+CUBICACION!L1414</f>
        <v>0</v>
      </c>
      <c r="J1420" s="64">
        <f>+CUBICACION!M1414</f>
        <v>0</v>
      </c>
      <c r="K1420" s="822" t="str">
        <f>+CUBICACION!N1414</f>
        <v/>
      </c>
      <c r="L1420" s="118">
        <f>+CUBICACION!O1414</f>
        <v>0</v>
      </c>
      <c r="M1420" s="823">
        <f>+CUBICACION!P1414</f>
        <v>0</v>
      </c>
      <c r="N1420" s="902">
        <f>ROUND(IF(AND(L1420="Blaze Shield II",M1420="Software Idiem",C1420="IN",G1420=4),((('BLAZE SHIELD II'!$D$4*('CALCULO MORTERO'!I1420^2)+'BLAZE SHIELD II'!$D$5*'CALCULO MORTERO'!I1420+'BLAZE SHIELD II'!$D$6)*LN(J1420))+('BLAZE SHIELD II'!$D$7*('CALCULO MORTERO'!I1420^2)+'BLAZE SHIELD II'!$D$8*'CALCULO MORTERO'!I1420+'BLAZE SHIELD II'!$D$9)),0)+IF(AND(L1420="Blaze Shield II",M1420="Software Idiem",C1420="Cj"),((('BLAZE SHIELD II'!$H$4*('CALCULO MORTERO'!I1420^2)+'BLAZE SHIELD II'!$H$5*'CALCULO MORTERO'!I1420+'BLAZE SHIELD II'!$H$6)*LN(J1420))+('BLAZE SHIELD II'!$H$7*('CALCULO MORTERO'!I1420^2)+'BLAZE SHIELD II'!$H$8*'CALCULO MORTERO'!I1420+'BLAZE SHIELD II'!$H$9)),0)+IF(AND(L1420="Blaze Shield II",M1420="Software Idiem",C1420="C"),((('BLAZE SHIELD II'!$L$4*('CALCULO MORTERO'!I1420^2)+'BLAZE SHIELD II'!$L$5*'CALCULO MORTERO'!I1420+'BLAZE SHIELD II'!$L$6)*LN(J1420))+('BLAZE SHIELD II'!$L$7*('CALCULO MORTERO'!I1420^2)+'BLAZE SHIELD II'!$L$8*'CALCULO MORTERO'!I1420+'BLAZE SHIELD II'!$L$9)),0)+IF(AND(L1420="Blaze Shield II",M1420="Software Idiem",C1420="L"),((('BLAZE SHIELD II'!$L$4*('CALCULO MORTERO'!I1420^2)+'BLAZE SHIELD II'!$L$5*'CALCULO MORTERO'!I1420+'BLAZE SHIELD II'!$L$6)*LN(J1420))+('BLAZE SHIELD II'!$L$7*('CALCULO MORTERO'!I1420^2)+'BLAZE SHIELD II'!$L$8*'CALCULO MORTERO'!I1420+'BLAZE SHIELD II'!$L$9)),0)+IF(AND(L1420="Blaze Shield II",M1420="Software Idiem",C1420="IN",G1420=3),((('BLAZE SHIELD II'!$H$14*('CALCULO MORTERO'!I1420^2)+'BLAZE SHIELD II'!$H$15*'CALCULO MORTERO'!I1420+'BLAZE SHIELD II'!$H$16)*LN(J1420))+('BLAZE SHIELD II'!$H$17*('CALCULO MORTERO'!I1420^2)+'BLAZE SHIELD II'!$H$18*'CALCULO MORTERO'!I1420+'BLAZE SHIELD II'!$H$19)),0),0)+ROUND(IF(AND(L1420="Cafco 400",M1420="Software Idiem",C1420="IN",G1420=4),((('CAFCO 400 '!$H$7*(J1420^4)+'CAFCO 400 '!$H$8*(J1420^3)+'CAFCO 400 '!$H$9*(J1420^2)+'CAFCO 400 '!$H$10*J1420+'CAFCO 400 '!$H$11)*U1420^2)+(('CAFCO 400 '!$H$12*(J1420^3)+'CAFCO 400 '!$H$13*(J1420^2)+'CAFCO 400 '!$H$14*J1420+'CAFCO 400 '!$H$15)*U1420)+('CAFCO 400 '!$H$16*(J1420^2)+'CAFCO 400 '!$H$17*J1420+'CAFCO 400 '!$H$18)),0)+IF(AND(L1420="Cafco 400",M1420="Software Idiem",C1420="Cj"),(((('CAFCO 400 '!$D$7*LN(J1420)+'CAFCO 400 '!$D$8)*U1420^2)+(('CAFCO 400 '!$D$9*LN(J1420)+'CAFCO 400 '!$D$10)*U1420)+('CAFCO 400 '!$D$11*LN(J1420)+'CAFCO 400 '!$D$12))),0)+IF(AND(L1420="Cafco 400",M1420="Software Idiem",C1420="C"),((('CAFCO 400 '!$L$7*(J1420^3)+'CAFCO 400 '!$L$8*(J1420^2)+'CAFCO 400 '!$L$9*J1420+'CAFCO 400 '!$L$10)*U1420^2)+(('CAFCO 400 '!$L$11*(J1420^3)+'CAFCO 400 '!$L$12*(J1420^2)+'CAFCO 400 '!$L$13*J1420+'CAFCO 400 '!$L$14)*U1420)+('CAFCO 400 '!$L$15*LN(J1420)+'CAFCO 400 '!$L$16)),0)+IF(AND(L1420="Cafco 400",M1420="Software Idiem",C1420="L"),((('CAFCO 400 '!$L$7*(J1420^3)+'CAFCO 400 '!$L$8*(J1420^2)+'CAFCO 400 '!$L$9*J1420+'CAFCO 400 '!$L$10)*U1420^2)+(('CAFCO 400 '!$L$11*(J1420^3)+'CAFCO 400 '!$L$12*(J1420^2)+'CAFCO 400 '!$L$13*J1420+'CAFCO 400 '!$L$14)*U1420)+('CAFCO 400 '!$L$15*LN(J1420)+'CAFCO 400 '!$L$16)),0)+IF(AND(L1420="Cafco 400",M1420="Software Idiem",C1420="IN",G1420=3),((('CAFCO 400 '!$D$23*(J1420^2)+'CAFCO 400 '!$D$24*(J1420)+'CAFCO 400 '!$D$25)*U1420^2)+(('CAFCO 400 '!$D$26*(J1420^2)+'CAFCO 400 '!$D$27*J1420+'CAFCO 400 '!$D$28)*U1420)+('CAFCO 400 '!$D$29*(J1420^2)+'CAFCO 400 '!$D$30*J1420+'CAFCO 400 '!$D$31)),0),0)+IF(AND(L1420="Cafco 300",J1420&gt;=95,J1420&lt;=240,C1420="Cj",I1420=90),VLOOKUP(T1420,'CAFCO 300 IDIEM TABLAS'!$B$4:$D$23,2,FALSE),0)+IF(AND(L1420="Cafco 300",J1420&gt;=95,J1420&lt;=240,C1420="Cj",I1420=120),VLOOKUP(T1420,'CAFCO 300 IDIEM TABLAS'!$B$4:$D$23,3,FALSE),0)+IF(AND(L1420="Cafco 300",J1420&gt;=95,J1420&lt;=400,G1420=3,C1420="IN",I1420=90),VLOOKUP(T1420,'CAFCO 300 IDIEM TABLAS'!$F$4:$H$35,2,FALSE),0)+IF(AND(L1420="Cafco 300",J1420&gt;=95,J1420&lt;=400,G1420=3,C1420="IN",I1420=120),VLOOKUP(T1420,'CAFCO 300 IDIEM TABLAS'!$F$4:$H$35,3,FALSE),0)+IF(AND(L1420="Cafco 300",J1420&gt;=95,J1420&lt;=450,G1420=4,C1420="IN",I1420=90),VLOOKUP(T1420,'CAFCO 300 IDIEM TABLAS'!$J$4:$L$40,2,FALSE),0)+IF(AND(L1420="Cafco 300",J1420&gt;=95,J1420&lt;=450,G1420=4,C1420="IN",I1420=120),VLOOKUP(T1420,'CAFCO 300 IDIEM TABLAS'!$J$4:$L$40,3,FALSE),0)+IF(AND(M1420="Ensayo Idiem",L1420="Cafco 400",C1420="IN",G1420=4,I1420=90),VLOOKUP(T1420,'CAFCO 400 ENSAYO'!$B$7:$D$43,2,FALSE),0)+IF(AND(M1420="Ensayo Idiem",L1420="Cafco 400",C1420="IN",G1420=4,I1420=120),VLOOKUP(T1420,'CAFCO 400 ENSAYO'!$B$7:$D$43,3,FALSE),0)</f>
        <v>0</v>
      </c>
      <c r="O1420" s="96">
        <f t="shared" si="144"/>
        <v>0</v>
      </c>
      <c r="P1420" s="95" t="str">
        <f t="shared" si="139"/>
        <v>N/A</v>
      </c>
      <c r="Q1420" s="95" t="str">
        <f t="shared" si="140"/>
        <v>N/A</v>
      </c>
      <c r="R1420" s="95" t="str">
        <f t="shared" si="141"/>
        <v>NO CERT.</v>
      </c>
      <c r="S1420" s="95" t="e">
        <f t="shared" si="142"/>
        <v>#N/A</v>
      </c>
      <c r="T1420" s="119" t="e">
        <f>+IF(J1420=LOOKUP(J1420,'CAFCO 300 IDIEM TABLAS'!$J$4:$J$40),'CALCULO MORTERO'!J1420,MROUND('CALCULO MORTERO'!J1420,10))</f>
        <v>#N/A</v>
      </c>
      <c r="U1420" s="118">
        <f t="shared" si="143"/>
        <v>0</v>
      </c>
    </row>
    <row r="1421" spans="1:21" x14ac:dyDescent="0.25">
      <c r="A1421" s="118">
        <f>+CUBICACION!D1415</f>
        <v>0</v>
      </c>
      <c r="B1421" s="819">
        <f>+CUBICACION!E1415</f>
        <v>0</v>
      </c>
      <c r="C1421" s="675">
        <f>+CUBICACION!F1415</f>
        <v>0</v>
      </c>
      <c r="D1421" s="118"/>
      <c r="E1421" s="118"/>
      <c r="F1421" s="820"/>
      <c r="G1421" s="675">
        <f>+CUBICACION!J1415</f>
        <v>0</v>
      </c>
      <c r="H1421" s="118"/>
      <c r="I1421" s="821">
        <f>+CUBICACION!L1415</f>
        <v>0</v>
      </c>
      <c r="J1421" s="64">
        <f>+CUBICACION!M1415</f>
        <v>0</v>
      </c>
      <c r="K1421" s="822" t="str">
        <f>+CUBICACION!N1415</f>
        <v/>
      </c>
      <c r="L1421" s="118">
        <f>+CUBICACION!O1415</f>
        <v>0</v>
      </c>
      <c r="M1421" s="823">
        <f>+CUBICACION!P1415</f>
        <v>0</v>
      </c>
      <c r="N1421" s="902">
        <f>ROUND(IF(AND(L1421="Blaze Shield II",M1421="Software Idiem",C1421="IN",G1421=4),((('BLAZE SHIELD II'!$D$4*('CALCULO MORTERO'!I1421^2)+'BLAZE SHIELD II'!$D$5*'CALCULO MORTERO'!I1421+'BLAZE SHIELD II'!$D$6)*LN(J1421))+('BLAZE SHIELD II'!$D$7*('CALCULO MORTERO'!I1421^2)+'BLAZE SHIELD II'!$D$8*'CALCULO MORTERO'!I1421+'BLAZE SHIELD II'!$D$9)),0)+IF(AND(L1421="Blaze Shield II",M1421="Software Idiem",C1421="Cj"),((('BLAZE SHIELD II'!$H$4*('CALCULO MORTERO'!I1421^2)+'BLAZE SHIELD II'!$H$5*'CALCULO MORTERO'!I1421+'BLAZE SHIELD II'!$H$6)*LN(J1421))+('BLAZE SHIELD II'!$H$7*('CALCULO MORTERO'!I1421^2)+'BLAZE SHIELD II'!$H$8*'CALCULO MORTERO'!I1421+'BLAZE SHIELD II'!$H$9)),0)+IF(AND(L1421="Blaze Shield II",M1421="Software Idiem",C1421="C"),((('BLAZE SHIELD II'!$L$4*('CALCULO MORTERO'!I1421^2)+'BLAZE SHIELD II'!$L$5*'CALCULO MORTERO'!I1421+'BLAZE SHIELD II'!$L$6)*LN(J1421))+('BLAZE SHIELD II'!$L$7*('CALCULO MORTERO'!I1421^2)+'BLAZE SHIELD II'!$L$8*'CALCULO MORTERO'!I1421+'BLAZE SHIELD II'!$L$9)),0)+IF(AND(L1421="Blaze Shield II",M1421="Software Idiem",C1421="L"),((('BLAZE SHIELD II'!$L$4*('CALCULO MORTERO'!I1421^2)+'BLAZE SHIELD II'!$L$5*'CALCULO MORTERO'!I1421+'BLAZE SHIELD II'!$L$6)*LN(J1421))+('BLAZE SHIELD II'!$L$7*('CALCULO MORTERO'!I1421^2)+'BLAZE SHIELD II'!$L$8*'CALCULO MORTERO'!I1421+'BLAZE SHIELD II'!$L$9)),0)+IF(AND(L1421="Blaze Shield II",M1421="Software Idiem",C1421="IN",G1421=3),((('BLAZE SHIELD II'!$H$14*('CALCULO MORTERO'!I1421^2)+'BLAZE SHIELD II'!$H$15*'CALCULO MORTERO'!I1421+'BLAZE SHIELD II'!$H$16)*LN(J1421))+('BLAZE SHIELD II'!$H$17*('CALCULO MORTERO'!I1421^2)+'BLAZE SHIELD II'!$H$18*'CALCULO MORTERO'!I1421+'BLAZE SHIELD II'!$H$19)),0),0)+ROUND(IF(AND(L1421="Cafco 400",M1421="Software Idiem",C1421="IN",G1421=4),((('CAFCO 400 '!$H$7*(J1421^4)+'CAFCO 400 '!$H$8*(J1421^3)+'CAFCO 400 '!$H$9*(J1421^2)+'CAFCO 400 '!$H$10*J1421+'CAFCO 400 '!$H$11)*U1421^2)+(('CAFCO 400 '!$H$12*(J1421^3)+'CAFCO 400 '!$H$13*(J1421^2)+'CAFCO 400 '!$H$14*J1421+'CAFCO 400 '!$H$15)*U1421)+('CAFCO 400 '!$H$16*(J1421^2)+'CAFCO 400 '!$H$17*J1421+'CAFCO 400 '!$H$18)),0)+IF(AND(L1421="Cafco 400",M1421="Software Idiem",C1421="Cj"),(((('CAFCO 400 '!$D$7*LN(J1421)+'CAFCO 400 '!$D$8)*U1421^2)+(('CAFCO 400 '!$D$9*LN(J1421)+'CAFCO 400 '!$D$10)*U1421)+('CAFCO 400 '!$D$11*LN(J1421)+'CAFCO 400 '!$D$12))),0)+IF(AND(L1421="Cafco 400",M1421="Software Idiem",C1421="C"),((('CAFCO 400 '!$L$7*(J1421^3)+'CAFCO 400 '!$L$8*(J1421^2)+'CAFCO 400 '!$L$9*J1421+'CAFCO 400 '!$L$10)*U1421^2)+(('CAFCO 400 '!$L$11*(J1421^3)+'CAFCO 400 '!$L$12*(J1421^2)+'CAFCO 400 '!$L$13*J1421+'CAFCO 400 '!$L$14)*U1421)+('CAFCO 400 '!$L$15*LN(J1421)+'CAFCO 400 '!$L$16)),0)+IF(AND(L1421="Cafco 400",M1421="Software Idiem",C1421="L"),((('CAFCO 400 '!$L$7*(J1421^3)+'CAFCO 400 '!$L$8*(J1421^2)+'CAFCO 400 '!$L$9*J1421+'CAFCO 400 '!$L$10)*U1421^2)+(('CAFCO 400 '!$L$11*(J1421^3)+'CAFCO 400 '!$L$12*(J1421^2)+'CAFCO 400 '!$L$13*J1421+'CAFCO 400 '!$L$14)*U1421)+('CAFCO 400 '!$L$15*LN(J1421)+'CAFCO 400 '!$L$16)),0)+IF(AND(L1421="Cafco 400",M1421="Software Idiem",C1421="IN",G1421=3),((('CAFCO 400 '!$D$23*(J1421^2)+'CAFCO 400 '!$D$24*(J1421)+'CAFCO 400 '!$D$25)*U1421^2)+(('CAFCO 400 '!$D$26*(J1421^2)+'CAFCO 400 '!$D$27*J1421+'CAFCO 400 '!$D$28)*U1421)+('CAFCO 400 '!$D$29*(J1421^2)+'CAFCO 400 '!$D$30*J1421+'CAFCO 400 '!$D$31)),0),0)+IF(AND(L1421="Cafco 300",J1421&gt;=95,J1421&lt;=240,C1421="Cj",I1421=90),VLOOKUP(T1421,'CAFCO 300 IDIEM TABLAS'!$B$4:$D$23,2,FALSE),0)+IF(AND(L1421="Cafco 300",J1421&gt;=95,J1421&lt;=240,C1421="Cj",I1421=120),VLOOKUP(T1421,'CAFCO 300 IDIEM TABLAS'!$B$4:$D$23,3,FALSE),0)+IF(AND(L1421="Cafco 300",J1421&gt;=95,J1421&lt;=400,G1421=3,C1421="IN",I1421=90),VLOOKUP(T1421,'CAFCO 300 IDIEM TABLAS'!$F$4:$H$35,2,FALSE),0)+IF(AND(L1421="Cafco 300",J1421&gt;=95,J1421&lt;=400,G1421=3,C1421="IN",I1421=120),VLOOKUP(T1421,'CAFCO 300 IDIEM TABLAS'!$F$4:$H$35,3,FALSE),0)+IF(AND(L1421="Cafco 300",J1421&gt;=95,J1421&lt;=450,G1421=4,C1421="IN",I1421=90),VLOOKUP(T1421,'CAFCO 300 IDIEM TABLAS'!$J$4:$L$40,2,FALSE),0)+IF(AND(L1421="Cafco 300",J1421&gt;=95,J1421&lt;=450,G1421=4,C1421="IN",I1421=120),VLOOKUP(T1421,'CAFCO 300 IDIEM TABLAS'!$J$4:$L$40,3,FALSE),0)+IF(AND(M1421="Ensayo Idiem",L1421="Cafco 400",C1421="IN",G1421=4,I1421=90),VLOOKUP(T1421,'CAFCO 400 ENSAYO'!$B$7:$D$43,2,FALSE),0)+IF(AND(M1421="Ensayo Idiem",L1421="Cafco 400",C1421="IN",G1421=4,I1421=120),VLOOKUP(T1421,'CAFCO 400 ENSAYO'!$B$7:$D$43,3,FALSE),0)</f>
        <v>0</v>
      </c>
      <c r="O1421" s="96">
        <f t="shared" si="144"/>
        <v>0</v>
      </c>
      <c r="P1421" s="132" t="str">
        <f t="shared" si="139"/>
        <v>N/A</v>
      </c>
      <c r="Q1421" s="132" t="str">
        <f t="shared" si="140"/>
        <v>N/A</v>
      </c>
      <c r="R1421" s="132" t="str">
        <f t="shared" si="141"/>
        <v>NO CERT.</v>
      </c>
      <c r="S1421" s="132" t="e">
        <f t="shared" si="142"/>
        <v>#N/A</v>
      </c>
      <c r="T1421" s="133" t="e">
        <f>+IF(J1421=LOOKUP(J1421,'CAFCO 300 IDIEM TABLAS'!$J$4:$J$40),'CALCULO MORTERO'!J1421,MROUND('CALCULO MORTERO'!J1421,10))</f>
        <v>#N/A</v>
      </c>
      <c r="U1421" s="134">
        <f t="shared" si="143"/>
        <v>0</v>
      </c>
    </row>
    <row r="1422" spans="1:21" x14ac:dyDescent="0.25">
      <c r="A1422" s="118">
        <f>+CUBICACION!D1416</f>
        <v>0</v>
      </c>
      <c r="B1422" s="819">
        <f>+CUBICACION!E1416</f>
        <v>0</v>
      </c>
      <c r="C1422" s="675">
        <f>+CUBICACION!F1416</f>
        <v>0</v>
      </c>
      <c r="D1422" s="118"/>
      <c r="E1422" s="118"/>
      <c r="F1422" s="820"/>
      <c r="G1422" s="675">
        <f>+CUBICACION!J1416</f>
        <v>0</v>
      </c>
      <c r="H1422" s="118"/>
      <c r="I1422" s="821">
        <f>+CUBICACION!L1416</f>
        <v>0</v>
      </c>
      <c r="J1422" s="64">
        <f>+CUBICACION!M1416</f>
        <v>0</v>
      </c>
      <c r="K1422" s="822" t="str">
        <f>+CUBICACION!N1416</f>
        <v/>
      </c>
      <c r="L1422" s="118">
        <f>+CUBICACION!O1416</f>
        <v>0</v>
      </c>
      <c r="M1422" s="823">
        <f>+CUBICACION!P1416</f>
        <v>0</v>
      </c>
      <c r="N1422" s="902">
        <f>ROUND(IF(AND(L1422="Blaze Shield II",M1422="Software Idiem",C1422="IN",G1422=4),((('BLAZE SHIELD II'!$D$4*('CALCULO MORTERO'!I1422^2)+'BLAZE SHIELD II'!$D$5*'CALCULO MORTERO'!I1422+'BLAZE SHIELD II'!$D$6)*LN(J1422))+('BLAZE SHIELD II'!$D$7*('CALCULO MORTERO'!I1422^2)+'BLAZE SHIELD II'!$D$8*'CALCULO MORTERO'!I1422+'BLAZE SHIELD II'!$D$9)),0)+IF(AND(L1422="Blaze Shield II",M1422="Software Idiem",C1422="Cj"),((('BLAZE SHIELD II'!$H$4*('CALCULO MORTERO'!I1422^2)+'BLAZE SHIELD II'!$H$5*'CALCULO MORTERO'!I1422+'BLAZE SHIELD II'!$H$6)*LN(J1422))+('BLAZE SHIELD II'!$H$7*('CALCULO MORTERO'!I1422^2)+'BLAZE SHIELD II'!$H$8*'CALCULO MORTERO'!I1422+'BLAZE SHIELD II'!$H$9)),0)+IF(AND(L1422="Blaze Shield II",M1422="Software Idiem",C1422="C"),((('BLAZE SHIELD II'!$L$4*('CALCULO MORTERO'!I1422^2)+'BLAZE SHIELD II'!$L$5*'CALCULO MORTERO'!I1422+'BLAZE SHIELD II'!$L$6)*LN(J1422))+('BLAZE SHIELD II'!$L$7*('CALCULO MORTERO'!I1422^2)+'BLAZE SHIELD II'!$L$8*'CALCULO MORTERO'!I1422+'BLAZE SHIELD II'!$L$9)),0)+IF(AND(L1422="Blaze Shield II",M1422="Software Idiem",C1422="L"),((('BLAZE SHIELD II'!$L$4*('CALCULO MORTERO'!I1422^2)+'BLAZE SHIELD II'!$L$5*'CALCULO MORTERO'!I1422+'BLAZE SHIELD II'!$L$6)*LN(J1422))+('BLAZE SHIELD II'!$L$7*('CALCULO MORTERO'!I1422^2)+'BLAZE SHIELD II'!$L$8*'CALCULO MORTERO'!I1422+'BLAZE SHIELD II'!$L$9)),0)+IF(AND(L1422="Blaze Shield II",M1422="Software Idiem",C1422="IN",G1422=3),((('BLAZE SHIELD II'!$H$14*('CALCULO MORTERO'!I1422^2)+'BLAZE SHIELD II'!$H$15*'CALCULO MORTERO'!I1422+'BLAZE SHIELD II'!$H$16)*LN(J1422))+('BLAZE SHIELD II'!$H$17*('CALCULO MORTERO'!I1422^2)+'BLAZE SHIELD II'!$H$18*'CALCULO MORTERO'!I1422+'BLAZE SHIELD II'!$H$19)),0),0)+ROUND(IF(AND(L1422="Cafco 400",M1422="Software Idiem",C1422="IN",G1422=4),((('CAFCO 400 '!$H$7*(J1422^4)+'CAFCO 400 '!$H$8*(J1422^3)+'CAFCO 400 '!$H$9*(J1422^2)+'CAFCO 400 '!$H$10*J1422+'CAFCO 400 '!$H$11)*U1422^2)+(('CAFCO 400 '!$H$12*(J1422^3)+'CAFCO 400 '!$H$13*(J1422^2)+'CAFCO 400 '!$H$14*J1422+'CAFCO 400 '!$H$15)*U1422)+('CAFCO 400 '!$H$16*(J1422^2)+'CAFCO 400 '!$H$17*J1422+'CAFCO 400 '!$H$18)),0)+IF(AND(L1422="Cafco 400",M1422="Software Idiem",C1422="Cj"),(((('CAFCO 400 '!$D$7*LN(J1422)+'CAFCO 400 '!$D$8)*U1422^2)+(('CAFCO 400 '!$D$9*LN(J1422)+'CAFCO 400 '!$D$10)*U1422)+('CAFCO 400 '!$D$11*LN(J1422)+'CAFCO 400 '!$D$12))),0)+IF(AND(L1422="Cafco 400",M1422="Software Idiem",C1422="C"),((('CAFCO 400 '!$L$7*(J1422^3)+'CAFCO 400 '!$L$8*(J1422^2)+'CAFCO 400 '!$L$9*J1422+'CAFCO 400 '!$L$10)*U1422^2)+(('CAFCO 400 '!$L$11*(J1422^3)+'CAFCO 400 '!$L$12*(J1422^2)+'CAFCO 400 '!$L$13*J1422+'CAFCO 400 '!$L$14)*U1422)+('CAFCO 400 '!$L$15*LN(J1422)+'CAFCO 400 '!$L$16)),0)+IF(AND(L1422="Cafco 400",M1422="Software Idiem",C1422="L"),((('CAFCO 400 '!$L$7*(J1422^3)+'CAFCO 400 '!$L$8*(J1422^2)+'CAFCO 400 '!$L$9*J1422+'CAFCO 400 '!$L$10)*U1422^2)+(('CAFCO 400 '!$L$11*(J1422^3)+'CAFCO 400 '!$L$12*(J1422^2)+'CAFCO 400 '!$L$13*J1422+'CAFCO 400 '!$L$14)*U1422)+('CAFCO 400 '!$L$15*LN(J1422)+'CAFCO 400 '!$L$16)),0)+IF(AND(L1422="Cafco 400",M1422="Software Idiem",C1422="IN",G1422=3),((('CAFCO 400 '!$D$23*(J1422^2)+'CAFCO 400 '!$D$24*(J1422)+'CAFCO 400 '!$D$25)*U1422^2)+(('CAFCO 400 '!$D$26*(J1422^2)+'CAFCO 400 '!$D$27*J1422+'CAFCO 400 '!$D$28)*U1422)+('CAFCO 400 '!$D$29*(J1422^2)+'CAFCO 400 '!$D$30*J1422+'CAFCO 400 '!$D$31)),0),0)+IF(AND(L1422="Cafco 300",J1422&gt;=95,J1422&lt;=240,C1422="Cj",I1422=90),VLOOKUP(T1422,'CAFCO 300 IDIEM TABLAS'!$B$4:$D$23,2,FALSE),0)+IF(AND(L1422="Cafco 300",J1422&gt;=95,J1422&lt;=240,C1422="Cj",I1422=120),VLOOKUP(T1422,'CAFCO 300 IDIEM TABLAS'!$B$4:$D$23,3,FALSE),0)+IF(AND(L1422="Cafco 300",J1422&gt;=95,J1422&lt;=400,G1422=3,C1422="IN",I1422=90),VLOOKUP(T1422,'CAFCO 300 IDIEM TABLAS'!$F$4:$H$35,2,FALSE),0)+IF(AND(L1422="Cafco 300",J1422&gt;=95,J1422&lt;=400,G1422=3,C1422="IN",I1422=120),VLOOKUP(T1422,'CAFCO 300 IDIEM TABLAS'!$F$4:$H$35,3,FALSE),0)+IF(AND(L1422="Cafco 300",J1422&gt;=95,J1422&lt;=450,G1422=4,C1422="IN",I1422=90),VLOOKUP(T1422,'CAFCO 300 IDIEM TABLAS'!$J$4:$L$40,2,FALSE),0)+IF(AND(L1422="Cafco 300",J1422&gt;=95,J1422&lt;=450,G1422=4,C1422="IN",I1422=120),VLOOKUP(T1422,'CAFCO 300 IDIEM TABLAS'!$J$4:$L$40,3,FALSE),0)+IF(AND(M1422="Ensayo Idiem",L1422="Cafco 400",C1422="IN",G1422=4,I1422=90),VLOOKUP(T1422,'CAFCO 400 ENSAYO'!$B$7:$D$43,2,FALSE),0)+IF(AND(M1422="Ensayo Idiem",L1422="Cafco 400",C1422="IN",G1422=4,I1422=120),VLOOKUP(T1422,'CAFCO 400 ENSAYO'!$B$7:$D$43,3,FALSE),0)</f>
        <v>0</v>
      </c>
      <c r="O1422" s="96">
        <f t="shared" si="144"/>
        <v>0</v>
      </c>
      <c r="P1422" s="95" t="str">
        <f t="shared" si="139"/>
        <v>N/A</v>
      </c>
      <c r="Q1422" s="95" t="str">
        <f t="shared" si="140"/>
        <v>N/A</v>
      </c>
      <c r="R1422" s="95" t="str">
        <f t="shared" si="141"/>
        <v>NO CERT.</v>
      </c>
      <c r="S1422" s="95" t="e">
        <f t="shared" si="142"/>
        <v>#N/A</v>
      </c>
      <c r="T1422" s="119" t="e">
        <f>+IF(J1422=LOOKUP(J1422,'CAFCO 300 IDIEM TABLAS'!$J$4:$J$40),'CALCULO MORTERO'!J1422,MROUND('CALCULO MORTERO'!J1422,10))</f>
        <v>#N/A</v>
      </c>
      <c r="U1422" s="118">
        <f t="shared" si="143"/>
        <v>0</v>
      </c>
    </row>
    <row r="1423" spans="1:21" x14ac:dyDescent="0.25">
      <c r="A1423" s="118">
        <f>+CUBICACION!D1417</f>
        <v>0</v>
      </c>
      <c r="B1423" s="819">
        <f>+CUBICACION!E1417</f>
        <v>0</v>
      </c>
      <c r="C1423" s="675">
        <f>+CUBICACION!F1417</f>
        <v>0</v>
      </c>
      <c r="D1423" s="118"/>
      <c r="E1423" s="118"/>
      <c r="F1423" s="820"/>
      <c r="G1423" s="675">
        <f>+CUBICACION!J1417</f>
        <v>0</v>
      </c>
      <c r="H1423" s="118"/>
      <c r="I1423" s="821">
        <f>+CUBICACION!L1417</f>
        <v>0</v>
      </c>
      <c r="J1423" s="64">
        <f>+CUBICACION!M1417</f>
        <v>0</v>
      </c>
      <c r="K1423" s="822" t="str">
        <f>+CUBICACION!N1417</f>
        <v/>
      </c>
      <c r="L1423" s="118">
        <f>+CUBICACION!O1417</f>
        <v>0</v>
      </c>
      <c r="M1423" s="823">
        <f>+CUBICACION!P1417</f>
        <v>0</v>
      </c>
      <c r="N1423" s="902">
        <f>ROUND(IF(AND(L1423="Blaze Shield II",M1423="Software Idiem",C1423="IN",G1423=4),((('BLAZE SHIELD II'!$D$4*('CALCULO MORTERO'!I1423^2)+'BLAZE SHIELD II'!$D$5*'CALCULO MORTERO'!I1423+'BLAZE SHIELD II'!$D$6)*LN(J1423))+('BLAZE SHIELD II'!$D$7*('CALCULO MORTERO'!I1423^2)+'BLAZE SHIELD II'!$D$8*'CALCULO MORTERO'!I1423+'BLAZE SHIELD II'!$D$9)),0)+IF(AND(L1423="Blaze Shield II",M1423="Software Idiem",C1423="Cj"),((('BLAZE SHIELD II'!$H$4*('CALCULO MORTERO'!I1423^2)+'BLAZE SHIELD II'!$H$5*'CALCULO MORTERO'!I1423+'BLAZE SHIELD II'!$H$6)*LN(J1423))+('BLAZE SHIELD II'!$H$7*('CALCULO MORTERO'!I1423^2)+'BLAZE SHIELD II'!$H$8*'CALCULO MORTERO'!I1423+'BLAZE SHIELD II'!$H$9)),0)+IF(AND(L1423="Blaze Shield II",M1423="Software Idiem",C1423="C"),((('BLAZE SHIELD II'!$L$4*('CALCULO MORTERO'!I1423^2)+'BLAZE SHIELD II'!$L$5*'CALCULO MORTERO'!I1423+'BLAZE SHIELD II'!$L$6)*LN(J1423))+('BLAZE SHIELD II'!$L$7*('CALCULO MORTERO'!I1423^2)+'BLAZE SHIELD II'!$L$8*'CALCULO MORTERO'!I1423+'BLAZE SHIELD II'!$L$9)),0)+IF(AND(L1423="Blaze Shield II",M1423="Software Idiem",C1423="L"),((('BLAZE SHIELD II'!$L$4*('CALCULO MORTERO'!I1423^2)+'BLAZE SHIELD II'!$L$5*'CALCULO MORTERO'!I1423+'BLAZE SHIELD II'!$L$6)*LN(J1423))+('BLAZE SHIELD II'!$L$7*('CALCULO MORTERO'!I1423^2)+'BLAZE SHIELD II'!$L$8*'CALCULO MORTERO'!I1423+'BLAZE SHIELD II'!$L$9)),0)+IF(AND(L1423="Blaze Shield II",M1423="Software Idiem",C1423="IN",G1423=3),((('BLAZE SHIELD II'!$H$14*('CALCULO MORTERO'!I1423^2)+'BLAZE SHIELD II'!$H$15*'CALCULO MORTERO'!I1423+'BLAZE SHIELD II'!$H$16)*LN(J1423))+('BLAZE SHIELD II'!$H$17*('CALCULO MORTERO'!I1423^2)+'BLAZE SHIELD II'!$H$18*'CALCULO MORTERO'!I1423+'BLAZE SHIELD II'!$H$19)),0),0)+ROUND(IF(AND(L1423="Cafco 400",M1423="Software Idiem",C1423="IN",G1423=4),((('CAFCO 400 '!$H$7*(J1423^4)+'CAFCO 400 '!$H$8*(J1423^3)+'CAFCO 400 '!$H$9*(J1423^2)+'CAFCO 400 '!$H$10*J1423+'CAFCO 400 '!$H$11)*U1423^2)+(('CAFCO 400 '!$H$12*(J1423^3)+'CAFCO 400 '!$H$13*(J1423^2)+'CAFCO 400 '!$H$14*J1423+'CAFCO 400 '!$H$15)*U1423)+('CAFCO 400 '!$H$16*(J1423^2)+'CAFCO 400 '!$H$17*J1423+'CAFCO 400 '!$H$18)),0)+IF(AND(L1423="Cafco 400",M1423="Software Idiem",C1423="Cj"),(((('CAFCO 400 '!$D$7*LN(J1423)+'CAFCO 400 '!$D$8)*U1423^2)+(('CAFCO 400 '!$D$9*LN(J1423)+'CAFCO 400 '!$D$10)*U1423)+('CAFCO 400 '!$D$11*LN(J1423)+'CAFCO 400 '!$D$12))),0)+IF(AND(L1423="Cafco 400",M1423="Software Idiem",C1423="C"),((('CAFCO 400 '!$L$7*(J1423^3)+'CAFCO 400 '!$L$8*(J1423^2)+'CAFCO 400 '!$L$9*J1423+'CAFCO 400 '!$L$10)*U1423^2)+(('CAFCO 400 '!$L$11*(J1423^3)+'CAFCO 400 '!$L$12*(J1423^2)+'CAFCO 400 '!$L$13*J1423+'CAFCO 400 '!$L$14)*U1423)+('CAFCO 400 '!$L$15*LN(J1423)+'CAFCO 400 '!$L$16)),0)+IF(AND(L1423="Cafco 400",M1423="Software Idiem",C1423="L"),((('CAFCO 400 '!$L$7*(J1423^3)+'CAFCO 400 '!$L$8*(J1423^2)+'CAFCO 400 '!$L$9*J1423+'CAFCO 400 '!$L$10)*U1423^2)+(('CAFCO 400 '!$L$11*(J1423^3)+'CAFCO 400 '!$L$12*(J1423^2)+'CAFCO 400 '!$L$13*J1423+'CAFCO 400 '!$L$14)*U1423)+('CAFCO 400 '!$L$15*LN(J1423)+'CAFCO 400 '!$L$16)),0)+IF(AND(L1423="Cafco 400",M1423="Software Idiem",C1423="IN",G1423=3),((('CAFCO 400 '!$D$23*(J1423^2)+'CAFCO 400 '!$D$24*(J1423)+'CAFCO 400 '!$D$25)*U1423^2)+(('CAFCO 400 '!$D$26*(J1423^2)+'CAFCO 400 '!$D$27*J1423+'CAFCO 400 '!$D$28)*U1423)+('CAFCO 400 '!$D$29*(J1423^2)+'CAFCO 400 '!$D$30*J1423+'CAFCO 400 '!$D$31)),0),0)+IF(AND(L1423="Cafco 300",J1423&gt;=95,J1423&lt;=240,C1423="Cj",I1423=90),VLOOKUP(T1423,'CAFCO 300 IDIEM TABLAS'!$B$4:$D$23,2,FALSE),0)+IF(AND(L1423="Cafco 300",J1423&gt;=95,J1423&lt;=240,C1423="Cj",I1423=120),VLOOKUP(T1423,'CAFCO 300 IDIEM TABLAS'!$B$4:$D$23,3,FALSE),0)+IF(AND(L1423="Cafco 300",J1423&gt;=95,J1423&lt;=400,G1423=3,C1423="IN",I1423=90),VLOOKUP(T1423,'CAFCO 300 IDIEM TABLAS'!$F$4:$H$35,2,FALSE),0)+IF(AND(L1423="Cafco 300",J1423&gt;=95,J1423&lt;=400,G1423=3,C1423="IN",I1423=120),VLOOKUP(T1423,'CAFCO 300 IDIEM TABLAS'!$F$4:$H$35,3,FALSE),0)+IF(AND(L1423="Cafco 300",J1423&gt;=95,J1423&lt;=450,G1423=4,C1423="IN",I1423=90),VLOOKUP(T1423,'CAFCO 300 IDIEM TABLAS'!$J$4:$L$40,2,FALSE),0)+IF(AND(L1423="Cafco 300",J1423&gt;=95,J1423&lt;=450,G1423=4,C1423="IN",I1423=120),VLOOKUP(T1423,'CAFCO 300 IDIEM TABLAS'!$J$4:$L$40,3,FALSE),0)+IF(AND(M1423="Ensayo Idiem",L1423="Cafco 400",C1423="IN",G1423=4,I1423=90),VLOOKUP(T1423,'CAFCO 400 ENSAYO'!$B$7:$D$43,2,FALSE),0)+IF(AND(M1423="Ensayo Idiem",L1423="Cafco 400",C1423="IN",G1423=4,I1423=120),VLOOKUP(T1423,'CAFCO 400 ENSAYO'!$B$7:$D$43,3,FALSE),0)</f>
        <v>0</v>
      </c>
      <c r="O1423" s="96">
        <f t="shared" si="144"/>
        <v>0</v>
      </c>
      <c r="P1423" s="132" t="str">
        <f t="shared" si="139"/>
        <v>N/A</v>
      </c>
      <c r="Q1423" s="132" t="str">
        <f t="shared" si="140"/>
        <v>N/A</v>
      </c>
      <c r="R1423" s="132" t="str">
        <f t="shared" si="141"/>
        <v>NO CERT.</v>
      </c>
      <c r="S1423" s="132" t="e">
        <f t="shared" si="142"/>
        <v>#N/A</v>
      </c>
      <c r="T1423" s="133" t="e">
        <f>+IF(J1423=LOOKUP(J1423,'CAFCO 300 IDIEM TABLAS'!$J$4:$J$40),'CALCULO MORTERO'!J1423,MROUND('CALCULO MORTERO'!J1423,10))</f>
        <v>#N/A</v>
      </c>
      <c r="U1423" s="134">
        <f t="shared" si="143"/>
        <v>0</v>
      </c>
    </row>
    <row r="1424" spans="1:21" x14ac:dyDescent="0.25">
      <c r="A1424" s="118">
        <f>+CUBICACION!D1418</f>
        <v>0</v>
      </c>
      <c r="B1424" s="819">
        <f>+CUBICACION!E1418</f>
        <v>0</v>
      </c>
      <c r="C1424" s="675">
        <f>+CUBICACION!F1418</f>
        <v>0</v>
      </c>
      <c r="D1424" s="118"/>
      <c r="E1424" s="118"/>
      <c r="F1424" s="820"/>
      <c r="G1424" s="675">
        <f>+CUBICACION!J1418</f>
        <v>0</v>
      </c>
      <c r="H1424" s="118"/>
      <c r="I1424" s="821">
        <f>+CUBICACION!L1418</f>
        <v>0</v>
      </c>
      <c r="J1424" s="64">
        <f>+CUBICACION!M1418</f>
        <v>0</v>
      </c>
      <c r="K1424" s="822" t="str">
        <f>+CUBICACION!N1418</f>
        <v/>
      </c>
      <c r="L1424" s="118">
        <f>+CUBICACION!O1418</f>
        <v>0</v>
      </c>
      <c r="M1424" s="823">
        <f>+CUBICACION!P1418</f>
        <v>0</v>
      </c>
      <c r="N1424" s="902">
        <f>ROUND(IF(AND(L1424="Blaze Shield II",M1424="Software Idiem",C1424="IN",G1424=4),((('BLAZE SHIELD II'!$D$4*('CALCULO MORTERO'!I1424^2)+'BLAZE SHIELD II'!$D$5*'CALCULO MORTERO'!I1424+'BLAZE SHIELD II'!$D$6)*LN(J1424))+('BLAZE SHIELD II'!$D$7*('CALCULO MORTERO'!I1424^2)+'BLAZE SHIELD II'!$D$8*'CALCULO MORTERO'!I1424+'BLAZE SHIELD II'!$D$9)),0)+IF(AND(L1424="Blaze Shield II",M1424="Software Idiem",C1424="Cj"),((('BLAZE SHIELD II'!$H$4*('CALCULO MORTERO'!I1424^2)+'BLAZE SHIELD II'!$H$5*'CALCULO MORTERO'!I1424+'BLAZE SHIELD II'!$H$6)*LN(J1424))+('BLAZE SHIELD II'!$H$7*('CALCULO MORTERO'!I1424^2)+'BLAZE SHIELD II'!$H$8*'CALCULO MORTERO'!I1424+'BLAZE SHIELD II'!$H$9)),0)+IF(AND(L1424="Blaze Shield II",M1424="Software Idiem",C1424="C"),((('BLAZE SHIELD II'!$L$4*('CALCULO MORTERO'!I1424^2)+'BLAZE SHIELD II'!$L$5*'CALCULO MORTERO'!I1424+'BLAZE SHIELD II'!$L$6)*LN(J1424))+('BLAZE SHIELD II'!$L$7*('CALCULO MORTERO'!I1424^2)+'BLAZE SHIELD II'!$L$8*'CALCULO MORTERO'!I1424+'BLAZE SHIELD II'!$L$9)),0)+IF(AND(L1424="Blaze Shield II",M1424="Software Idiem",C1424="L"),((('BLAZE SHIELD II'!$L$4*('CALCULO MORTERO'!I1424^2)+'BLAZE SHIELD II'!$L$5*'CALCULO MORTERO'!I1424+'BLAZE SHIELD II'!$L$6)*LN(J1424))+('BLAZE SHIELD II'!$L$7*('CALCULO MORTERO'!I1424^2)+'BLAZE SHIELD II'!$L$8*'CALCULO MORTERO'!I1424+'BLAZE SHIELD II'!$L$9)),0)+IF(AND(L1424="Blaze Shield II",M1424="Software Idiem",C1424="IN",G1424=3),((('BLAZE SHIELD II'!$H$14*('CALCULO MORTERO'!I1424^2)+'BLAZE SHIELD II'!$H$15*'CALCULO MORTERO'!I1424+'BLAZE SHIELD II'!$H$16)*LN(J1424))+('BLAZE SHIELD II'!$H$17*('CALCULO MORTERO'!I1424^2)+'BLAZE SHIELD II'!$H$18*'CALCULO MORTERO'!I1424+'BLAZE SHIELD II'!$H$19)),0),0)+ROUND(IF(AND(L1424="Cafco 400",M1424="Software Idiem",C1424="IN",G1424=4),((('CAFCO 400 '!$H$7*(J1424^4)+'CAFCO 400 '!$H$8*(J1424^3)+'CAFCO 400 '!$H$9*(J1424^2)+'CAFCO 400 '!$H$10*J1424+'CAFCO 400 '!$H$11)*U1424^2)+(('CAFCO 400 '!$H$12*(J1424^3)+'CAFCO 400 '!$H$13*(J1424^2)+'CAFCO 400 '!$H$14*J1424+'CAFCO 400 '!$H$15)*U1424)+('CAFCO 400 '!$H$16*(J1424^2)+'CAFCO 400 '!$H$17*J1424+'CAFCO 400 '!$H$18)),0)+IF(AND(L1424="Cafco 400",M1424="Software Idiem",C1424="Cj"),(((('CAFCO 400 '!$D$7*LN(J1424)+'CAFCO 400 '!$D$8)*U1424^2)+(('CAFCO 400 '!$D$9*LN(J1424)+'CAFCO 400 '!$D$10)*U1424)+('CAFCO 400 '!$D$11*LN(J1424)+'CAFCO 400 '!$D$12))),0)+IF(AND(L1424="Cafco 400",M1424="Software Idiem",C1424="C"),((('CAFCO 400 '!$L$7*(J1424^3)+'CAFCO 400 '!$L$8*(J1424^2)+'CAFCO 400 '!$L$9*J1424+'CAFCO 400 '!$L$10)*U1424^2)+(('CAFCO 400 '!$L$11*(J1424^3)+'CAFCO 400 '!$L$12*(J1424^2)+'CAFCO 400 '!$L$13*J1424+'CAFCO 400 '!$L$14)*U1424)+('CAFCO 400 '!$L$15*LN(J1424)+'CAFCO 400 '!$L$16)),0)+IF(AND(L1424="Cafco 400",M1424="Software Idiem",C1424="L"),((('CAFCO 400 '!$L$7*(J1424^3)+'CAFCO 400 '!$L$8*(J1424^2)+'CAFCO 400 '!$L$9*J1424+'CAFCO 400 '!$L$10)*U1424^2)+(('CAFCO 400 '!$L$11*(J1424^3)+'CAFCO 400 '!$L$12*(J1424^2)+'CAFCO 400 '!$L$13*J1424+'CAFCO 400 '!$L$14)*U1424)+('CAFCO 400 '!$L$15*LN(J1424)+'CAFCO 400 '!$L$16)),0)+IF(AND(L1424="Cafco 400",M1424="Software Idiem",C1424="IN",G1424=3),((('CAFCO 400 '!$D$23*(J1424^2)+'CAFCO 400 '!$D$24*(J1424)+'CAFCO 400 '!$D$25)*U1424^2)+(('CAFCO 400 '!$D$26*(J1424^2)+'CAFCO 400 '!$D$27*J1424+'CAFCO 400 '!$D$28)*U1424)+('CAFCO 400 '!$D$29*(J1424^2)+'CAFCO 400 '!$D$30*J1424+'CAFCO 400 '!$D$31)),0),0)+IF(AND(L1424="Cafco 300",J1424&gt;=95,J1424&lt;=240,C1424="Cj",I1424=90),VLOOKUP(T1424,'CAFCO 300 IDIEM TABLAS'!$B$4:$D$23,2,FALSE),0)+IF(AND(L1424="Cafco 300",J1424&gt;=95,J1424&lt;=240,C1424="Cj",I1424=120),VLOOKUP(T1424,'CAFCO 300 IDIEM TABLAS'!$B$4:$D$23,3,FALSE),0)+IF(AND(L1424="Cafco 300",J1424&gt;=95,J1424&lt;=400,G1424=3,C1424="IN",I1424=90),VLOOKUP(T1424,'CAFCO 300 IDIEM TABLAS'!$F$4:$H$35,2,FALSE),0)+IF(AND(L1424="Cafco 300",J1424&gt;=95,J1424&lt;=400,G1424=3,C1424="IN",I1424=120),VLOOKUP(T1424,'CAFCO 300 IDIEM TABLAS'!$F$4:$H$35,3,FALSE),0)+IF(AND(L1424="Cafco 300",J1424&gt;=95,J1424&lt;=450,G1424=4,C1424="IN",I1424=90),VLOOKUP(T1424,'CAFCO 300 IDIEM TABLAS'!$J$4:$L$40,2,FALSE),0)+IF(AND(L1424="Cafco 300",J1424&gt;=95,J1424&lt;=450,G1424=4,C1424="IN",I1424=120),VLOOKUP(T1424,'CAFCO 300 IDIEM TABLAS'!$J$4:$L$40,3,FALSE),0)+IF(AND(M1424="Ensayo Idiem",L1424="Cafco 400",C1424="IN",G1424=4,I1424=90),VLOOKUP(T1424,'CAFCO 400 ENSAYO'!$B$7:$D$43,2,FALSE),0)+IF(AND(M1424="Ensayo Idiem",L1424="Cafco 400",C1424="IN",G1424=4,I1424=120),VLOOKUP(T1424,'CAFCO 400 ENSAYO'!$B$7:$D$43,3,FALSE),0)</f>
        <v>0</v>
      </c>
      <c r="O1424" s="96">
        <f t="shared" si="144"/>
        <v>0</v>
      </c>
      <c r="P1424" s="95" t="str">
        <f t="shared" si="139"/>
        <v>N/A</v>
      </c>
      <c r="Q1424" s="95" t="str">
        <f t="shared" si="140"/>
        <v>N/A</v>
      </c>
      <c r="R1424" s="95" t="str">
        <f t="shared" si="141"/>
        <v>NO CERT.</v>
      </c>
      <c r="S1424" s="95" t="e">
        <f t="shared" si="142"/>
        <v>#N/A</v>
      </c>
      <c r="T1424" s="119" t="e">
        <f>+IF(J1424=LOOKUP(J1424,'CAFCO 300 IDIEM TABLAS'!$J$4:$J$40),'CALCULO MORTERO'!J1424,MROUND('CALCULO MORTERO'!J1424,10))</f>
        <v>#N/A</v>
      </c>
      <c r="U1424" s="118">
        <f t="shared" si="143"/>
        <v>0</v>
      </c>
    </row>
    <row r="1425" spans="1:21" x14ac:dyDescent="0.25">
      <c r="A1425" s="118">
        <f>+CUBICACION!D1419</f>
        <v>0</v>
      </c>
      <c r="B1425" s="819">
        <f>+CUBICACION!E1419</f>
        <v>0</v>
      </c>
      <c r="C1425" s="675">
        <f>+CUBICACION!F1419</f>
        <v>0</v>
      </c>
      <c r="D1425" s="118"/>
      <c r="E1425" s="118"/>
      <c r="F1425" s="820"/>
      <c r="G1425" s="675">
        <f>+CUBICACION!J1419</f>
        <v>0</v>
      </c>
      <c r="H1425" s="118"/>
      <c r="I1425" s="821">
        <f>+CUBICACION!L1419</f>
        <v>0</v>
      </c>
      <c r="J1425" s="64">
        <f>+CUBICACION!M1419</f>
        <v>0</v>
      </c>
      <c r="K1425" s="822" t="str">
        <f>+CUBICACION!N1419</f>
        <v/>
      </c>
      <c r="L1425" s="118">
        <f>+CUBICACION!O1419</f>
        <v>0</v>
      </c>
      <c r="M1425" s="823">
        <f>+CUBICACION!P1419</f>
        <v>0</v>
      </c>
      <c r="N1425" s="902">
        <f>ROUND(IF(AND(L1425="Blaze Shield II",M1425="Software Idiem",C1425="IN",G1425=4),((('BLAZE SHIELD II'!$D$4*('CALCULO MORTERO'!I1425^2)+'BLAZE SHIELD II'!$D$5*'CALCULO MORTERO'!I1425+'BLAZE SHIELD II'!$D$6)*LN(J1425))+('BLAZE SHIELD II'!$D$7*('CALCULO MORTERO'!I1425^2)+'BLAZE SHIELD II'!$D$8*'CALCULO MORTERO'!I1425+'BLAZE SHIELD II'!$D$9)),0)+IF(AND(L1425="Blaze Shield II",M1425="Software Idiem",C1425="Cj"),((('BLAZE SHIELD II'!$H$4*('CALCULO MORTERO'!I1425^2)+'BLAZE SHIELD II'!$H$5*'CALCULO MORTERO'!I1425+'BLAZE SHIELD II'!$H$6)*LN(J1425))+('BLAZE SHIELD II'!$H$7*('CALCULO MORTERO'!I1425^2)+'BLAZE SHIELD II'!$H$8*'CALCULO MORTERO'!I1425+'BLAZE SHIELD II'!$H$9)),0)+IF(AND(L1425="Blaze Shield II",M1425="Software Idiem",C1425="C"),((('BLAZE SHIELD II'!$L$4*('CALCULO MORTERO'!I1425^2)+'BLAZE SHIELD II'!$L$5*'CALCULO MORTERO'!I1425+'BLAZE SHIELD II'!$L$6)*LN(J1425))+('BLAZE SHIELD II'!$L$7*('CALCULO MORTERO'!I1425^2)+'BLAZE SHIELD II'!$L$8*'CALCULO MORTERO'!I1425+'BLAZE SHIELD II'!$L$9)),0)+IF(AND(L1425="Blaze Shield II",M1425="Software Idiem",C1425="L"),((('BLAZE SHIELD II'!$L$4*('CALCULO MORTERO'!I1425^2)+'BLAZE SHIELD II'!$L$5*'CALCULO MORTERO'!I1425+'BLAZE SHIELD II'!$L$6)*LN(J1425))+('BLAZE SHIELD II'!$L$7*('CALCULO MORTERO'!I1425^2)+'BLAZE SHIELD II'!$L$8*'CALCULO MORTERO'!I1425+'BLAZE SHIELD II'!$L$9)),0)+IF(AND(L1425="Blaze Shield II",M1425="Software Idiem",C1425="IN",G1425=3),((('BLAZE SHIELD II'!$H$14*('CALCULO MORTERO'!I1425^2)+'BLAZE SHIELD II'!$H$15*'CALCULO MORTERO'!I1425+'BLAZE SHIELD II'!$H$16)*LN(J1425))+('BLAZE SHIELD II'!$H$17*('CALCULO MORTERO'!I1425^2)+'BLAZE SHIELD II'!$H$18*'CALCULO MORTERO'!I1425+'BLAZE SHIELD II'!$H$19)),0),0)+ROUND(IF(AND(L1425="Cafco 400",M1425="Software Idiem",C1425="IN",G1425=4),((('CAFCO 400 '!$H$7*(J1425^4)+'CAFCO 400 '!$H$8*(J1425^3)+'CAFCO 400 '!$H$9*(J1425^2)+'CAFCO 400 '!$H$10*J1425+'CAFCO 400 '!$H$11)*U1425^2)+(('CAFCO 400 '!$H$12*(J1425^3)+'CAFCO 400 '!$H$13*(J1425^2)+'CAFCO 400 '!$H$14*J1425+'CAFCO 400 '!$H$15)*U1425)+('CAFCO 400 '!$H$16*(J1425^2)+'CAFCO 400 '!$H$17*J1425+'CAFCO 400 '!$H$18)),0)+IF(AND(L1425="Cafco 400",M1425="Software Idiem",C1425="Cj"),(((('CAFCO 400 '!$D$7*LN(J1425)+'CAFCO 400 '!$D$8)*U1425^2)+(('CAFCO 400 '!$D$9*LN(J1425)+'CAFCO 400 '!$D$10)*U1425)+('CAFCO 400 '!$D$11*LN(J1425)+'CAFCO 400 '!$D$12))),0)+IF(AND(L1425="Cafco 400",M1425="Software Idiem",C1425="C"),((('CAFCO 400 '!$L$7*(J1425^3)+'CAFCO 400 '!$L$8*(J1425^2)+'CAFCO 400 '!$L$9*J1425+'CAFCO 400 '!$L$10)*U1425^2)+(('CAFCO 400 '!$L$11*(J1425^3)+'CAFCO 400 '!$L$12*(J1425^2)+'CAFCO 400 '!$L$13*J1425+'CAFCO 400 '!$L$14)*U1425)+('CAFCO 400 '!$L$15*LN(J1425)+'CAFCO 400 '!$L$16)),0)+IF(AND(L1425="Cafco 400",M1425="Software Idiem",C1425="L"),((('CAFCO 400 '!$L$7*(J1425^3)+'CAFCO 400 '!$L$8*(J1425^2)+'CAFCO 400 '!$L$9*J1425+'CAFCO 400 '!$L$10)*U1425^2)+(('CAFCO 400 '!$L$11*(J1425^3)+'CAFCO 400 '!$L$12*(J1425^2)+'CAFCO 400 '!$L$13*J1425+'CAFCO 400 '!$L$14)*U1425)+('CAFCO 400 '!$L$15*LN(J1425)+'CAFCO 400 '!$L$16)),0)+IF(AND(L1425="Cafco 400",M1425="Software Idiem",C1425="IN",G1425=3),((('CAFCO 400 '!$D$23*(J1425^2)+'CAFCO 400 '!$D$24*(J1425)+'CAFCO 400 '!$D$25)*U1425^2)+(('CAFCO 400 '!$D$26*(J1425^2)+'CAFCO 400 '!$D$27*J1425+'CAFCO 400 '!$D$28)*U1425)+('CAFCO 400 '!$D$29*(J1425^2)+'CAFCO 400 '!$D$30*J1425+'CAFCO 400 '!$D$31)),0),0)+IF(AND(L1425="Cafco 300",J1425&gt;=95,J1425&lt;=240,C1425="Cj",I1425=90),VLOOKUP(T1425,'CAFCO 300 IDIEM TABLAS'!$B$4:$D$23,2,FALSE),0)+IF(AND(L1425="Cafco 300",J1425&gt;=95,J1425&lt;=240,C1425="Cj",I1425=120),VLOOKUP(T1425,'CAFCO 300 IDIEM TABLAS'!$B$4:$D$23,3,FALSE),0)+IF(AND(L1425="Cafco 300",J1425&gt;=95,J1425&lt;=400,G1425=3,C1425="IN",I1425=90),VLOOKUP(T1425,'CAFCO 300 IDIEM TABLAS'!$F$4:$H$35,2,FALSE),0)+IF(AND(L1425="Cafco 300",J1425&gt;=95,J1425&lt;=400,G1425=3,C1425="IN",I1425=120),VLOOKUP(T1425,'CAFCO 300 IDIEM TABLAS'!$F$4:$H$35,3,FALSE),0)+IF(AND(L1425="Cafco 300",J1425&gt;=95,J1425&lt;=450,G1425=4,C1425="IN",I1425=90),VLOOKUP(T1425,'CAFCO 300 IDIEM TABLAS'!$J$4:$L$40,2,FALSE),0)+IF(AND(L1425="Cafco 300",J1425&gt;=95,J1425&lt;=450,G1425=4,C1425="IN",I1425=120),VLOOKUP(T1425,'CAFCO 300 IDIEM TABLAS'!$J$4:$L$40,3,FALSE),0)+IF(AND(M1425="Ensayo Idiem",L1425="Cafco 400",C1425="IN",G1425=4,I1425=90),VLOOKUP(T1425,'CAFCO 400 ENSAYO'!$B$7:$D$43,2,FALSE),0)+IF(AND(M1425="Ensayo Idiem",L1425="Cafco 400",C1425="IN",G1425=4,I1425=120),VLOOKUP(T1425,'CAFCO 400 ENSAYO'!$B$7:$D$43,3,FALSE),0)</f>
        <v>0</v>
      </c>
      <c r="O1425" s="96">
        <f t="shared" si="144"/>
        <v>0</v>
      </c>
      <c r="P1425" s="132" t="str">
        <f t="shared" si="139"/>
        <v>N/A</v>
      </c>
      <c r="Q1425" s="132" t="str">
        <f t="shared" si="140"/>
        <v>N/A</v>
      </c>
      <c r="R1425" s="132" t="str">
        <f t="shared" si="141"/>
        <v>NO CERT.</v>
      </c>
      <c r="S1425" s="132" t="e">
        <f t="shared" si="142"/>
        <v>#N/A</v>
      </c>
      <c r="T1425" s="133" t="e">
        <f>+IF(J1425=LOOKUP(J1425,'CAFCO 300 IDIEM TABLAS'!$J$4:$J$40),'CALCULO MORTERO'!J1425,MROUND('CALCULO MORTERO'!J1425,10))</f>
        <v>#N/A</v>
      </c>
      <c r="U1425" s="134">
        <f t="shared" si="143"/>
        <v>0</v>
      </c>
    </row>
    <row r="1426" spans="1:21" x14ac:dyDescent="0.25">
      <c r="A1426" s="118">
        <f>+CUBICACION!D1420</f>
        <v>0</v>
      </c>
      <c r="B1426" s="819">
        <f>+CUBICACION!E1420</f>
        <v>0</v>
      </c>
      <c r="C1426" s="675">
        <f>+CUBICACION!F1420</f>
        <v>0</v>
      </c>
      <c r="D1426" s="118"/>
      <c r="E1426" s="118"/>
      <c r="F1426" s="820"/>
      <c r="G1426" s="675">
        <f>+CUBICACION!J1420</f>
        <v>0</v>
      </c>
      <c r="H1426" s="118"/>
      <c r="I1426" s="821">
        <f>+CUBICACION!L1420</f>
        <v>0</v>
      </c>
      <c r="J1426" s="64">
        <f>+CUBICACION!M1420</f>
        <v>0</v>
      </c>
      <c r="K1426" s="822" t="str">
        <f>+CUBICACION!N1420</f>
        <v/>
      </c>
      <c r="L1426" s="118">
        <f>+CUBICACION!O1420</f>
        <v>0</v>
      </c>
      <c r="M1426" s="823">
        <f>+CUBICACION!P1420</f>
        <v>0</v>
      </c>
      <c r="N1426" s="902">
        <f>ROUND(IF(AND(L1426="Blaze Shield II",M1426="Software Idiem",C1426="IN",G1426=4),((('BLAZE SHIELD II'!$D$4*('CALCULO MORTERO'!I1426^2)+'BLAZE SHIELD II'!$D$5*'CALCULO MORTERO'!I1426+'BLAZE SHIELD II'!$D$6)*LN(J1426))+('BLAZE SHIELD II'!$D$7*('CALCULO MORTERO'!I1426^2)+'BLAZE SHIELD II'!$D$8*'CALCULO MORTERO'!I1426+'BLAZE SHIELD II'!$D$9)),0)+IF(AND(L1426="Blaze Shield II",M1426="Software Idiem",C1426="Cj"),((('BLAZE SHIELD II'!$H$4*('CALCULO MORTERO'!I1426^2)+'BLAZE SHIELD II'!$H$5*'CALCULO MORTERO'!I1426+'BLAZE SHIELD II'!$H$6)*LN(J1426))+('BLAZE SHIELD II'!$H$7*('CALCULO MORTERO'!I1426^2)+'BLAZE SHIELD II'!$H$8*'CALCULO MORTERO'!I1426+'BLAZE SHIELD II'!$H$9)),0)+IF(AND(L1426="Blaze Shield II",M1426="Software Idiem",C1426="C"),((('BLAZE SHIELD II'!$L$4*('CALCULO MORTERO'!I1426^2)+'BLAZE SHIELD II'!$L$5*'CALCULO MORTERO'!I1426+'BLAZE SHIELD II'!$L$6)*LN(J1426))+('BLAZE SHIELD II'!$L$7*('CALCULO MORTERO'!I1426^2)+'BLAZE SHIELD II'!$L$8*'CALCULO MORTERO'!I1426+'BLAZE SHIELD II'!$L$9)),0)+IF(AND(L1426="Blaze Shield II",M1426="Software Idiem",C1426="L"),((('BLAZE SHIELD II'!$L$4*('CALCULO MORTERO'!I1426^2)+'BLAZE SHIELD II'!$L$5*'CALCULO MORTERO'!I1426+'BLAZE SHIELD II'!$L$6)*LN(J1426))+('BLAZE SHIELD II'!$L$7*('CALCULO MORTERO'!I1426^2)+'BLAZE SHIELD II'!$L$8*'CALCULO MORTERO'!I1426+'BLAZE SHIELD II'!$L$9)),0)+IF(AND(L1426="Blaze Shield II",M1426="Software Idiem",C1426="IN",G1426=3),((('BLAZE SHIELD II'!$H$14*('CALCULO MORTERO'!I1426^2)+'BLAZE SHIELD II'!$H$15*'CALCULO MORTERO'!I1426+'BLAZE SHIELD II'!$H$16)*LN(J1426))+('BLAZE SHIELD II'!$H$17*('CALCULO MORTERO'!I1426^2)+'BLAZE SHIELD II'!$H$18*'CALCULO MORTERO'!I1426+'BLAZE SHIELD II'!$H$19)),0),0)+ROUND(IF(AND(L1426="Cafco 400",M1426="Software Idiem",C1426="IN",G1426=4),((('CAFCO 400 '!$H$7*(J1426^4)+'CAFCO 400 '!$H$8*(J1426^3)+'CAFCO 400 '!$H$9*(J1426^2)+'CAFCO 400 '!$H$10*J1426+'CAFCO 400 '!$H$11)*U1426^2)+(('CAFCO 400 '!$H$12*(J1426^3)+'CAFCO 400 '!$H$13*(J1426^2)+'CAFCO 400 '!$H$14*J1426+'CAFCO 400 '!$H$15)*U1426)+('CAFCO 400 '!$H$16*(J1426^2)+'CAFCO 400 '!$H$17*J1426+'CAFCO 400 '!$H$18)),0)+IF(AND(L1426="Cafco 400",M1426="Software Idiem",C1426="Cj"),(((('CAFCO 400 '!$D$7*LN(J1426)+'CAFCO 400 '!$D$8)*U1426^2)+(('CAFCO 400 '!$D$9*LN(J1426)+'CAFCO 400 '!$D$10)*U1426)+('CAFCO 400 '!$D$11*LN(J1426)+'CAFCO 400 '!$D$12))),0)+IF(AND(L1426="Cafco 400",M1426="Software Idiem",C1426="C"),((('CAFCO 400 '!$L$7*(J1426^3)+'CAFCO 400 '!$L$8*(J1426^2)+'CAFCO 400 '!$L$9*J1426+'CAFCO 400 '!$L$10)*U1426^2)+(('CAFCO 400 '!$L$11*(J1426^3)+'CAFCO 400 '!$L$12*(J1426^2)+'CAFCO 400 '!$L$13*J1426+'CAFCO 400 '!$L$14)*U1426)+('CAFCO 400 '!$L$15*LN(J1426)+'CAFCO 400 '!$L$16)),0)+IF(AND(L1426="Cafco 400",M1426="Software Idiem",C1426="L"),((('CAFCO 400 '!$L$7*(J1426^3)+'CAFCO 400 '!$L$8*(J1426^2)+'CAFCO 400 '!$L$9*J1426+'CAFCO 400 '!$L$10)*U1426^2)+(('CAFCO 400 '!$L$11*(J1426^3)+'CAFCO 400 '!$L$12*(J1426^2)+'CAFCO 400 '!$L$13*J1426+'CAFCO 400 '!$L$14)*U1426)+('CAFCO 400 '!$L$15*LN(J1426)+'CAFCO 400 '!$L$16)),0)+IF(AND(L1426="Cafco 400",M1426="Software Idiem",C1426="IN",G1426=3),((('CAFCO 400 '!$D$23*(J1426^2)+'CAFCO 400 '!$D$24*(J1426)+'CAFCO 400 '!$D$25)*U1426^2)+(('CAFCO 400 '!$D$26*(J1426^2)+'CAFCO 400 '!$D$27*J1426+'CAFCO 400 '!$D$28)*U1426)+('CAFCO 400 '!$D$29*(J1426^2)+'CAFCO 400 '!$D$30*J1426+'CAFCO 400 '!$D$31)),0),0)+IF(AND(L1426="Cafco 300",J1426&gt;=95,J1426&lt;=240,C1426="Cj",I1426=90),VLOOKUP(T1426,'CAFCO 300 IDIEM TABLAS'!$B$4:$D$23,2,FALSE),0)+IF(AND(L1426="Cafco 300",J1426&gt;=95,J1426&lt;=240,C1426="Cj",I1426=120),VLOOKUP(T1426,'CAFCO 300 IDIEM TABLAS'!$B$4:$D$23,3,FALSE),0)+IF(AND(L1426="Cafco 300",J1426&gt;=95,J1426&lt;=400,G1426=3,C1426="IN",I1426=90),VLOOKUP(T1426,'CAFCO 300 IDIEM TABLAS'!$F$4:$H$35,2,FALSE),0)+IF(AND(L1426="Cafco 300",J1426&gt;=95,J1426&lt;=400,G1426=3,C1426="IN",I1426=120),VLOOKUP(T1426,'CAFCO 300 IDIEM TABLAS'!$F$4:$H$35,3,FALSE),0)+IF(AND(L1426="Cafco 300",J1426&gt;=95,J1426&lt;=450,G1426=4,C1426="IN",I1426=90),VLOOKUP(T1426,'CAFCO 300 IDIEM TABLAS'!$J$4:$L$40,2,FALSE),0)+IF(AND(L1426="Cafco 300",J1426&gt;=95,J1426&lt;=450,G1426=4,C1426="IN",I1426=120),VLOOKUP(T1426,'CAFCO 300 IDIEM TABLAS'!$J$4:$L$40,3,FALSE),0)+IF(AND(M1426="Ensayo Idiem",L1426="Cafco 400",C1426="IN",G1426=4,I1426=90),VLOOKUP(T1426,'CAFCO 400 ENSAYO'!$B$7:$D$43,2,FALSE),0)+IF(AND(M1426="Ensayo Idiem",L1426="Cafco 400",C1426="IN",G1426=4,I1426=120),VLOOKUP(T1426,'CAFCO 400 ENSAYO'!$B$7:$D$43,3,FALSE),0)</f>
        <v>0</v>
      </c>
      <c r="O1426" s="96">
        <f t="shared" si="144"/>
        <v>0</v>
      </c>
      <c r="P1426" s="95" t="str">
        <f t="shared" si="139"/>
        <v>N/A</v>
      </c>
      <c r="Q1426" s="95" t="str">
        <f t="shared" si="140"/>
        <v>N/A</v>
      </c>
      <c r="R1426" s="95" t="str">
        <f t="shared" si="141"/>
        <v>NO CERT.</v>
      </c>
      <c r="S1426" s="95" t="e">
        <f t="shared" si="142"/>
        <v>#N/A</v>
      </c>
      <c r="T1426" s="119" t="e">
        <f>+IF(J1426=LOOKUP(J1426,'CAFCO 300 IDIEM TABLAS'!$J$4:$J$40),'CALCULO MORTERO'!J1426,MROUND('CALCULO MORTERO'!J1426,10))</f>
        <v>#N/A</v>
      </c>
      <c r="U1426" s="118">
        <f t="shared" si="143"/>
        <v>0</v>
      </c>
    </row>
    <row r="1427" spans="1:21" x14ac:dyDescent="0.25">
      <c r="A1427" s="118">
        <f>+CUBICACION!D1421</f>
        <v>0</v>
      </c>
      <c r="B1427" s="819">
        <f>+CUBICACION!E1421</f>
        <v>0</v>
      </c>
      <c r="C1427" s="675">
        <f>+CUBICACION!F1421</f>
        <v>0</v>
      </c>
      <c r="D1427" s="118"/>
      <c r="E1427" s="118"/>
      <c r="F1427" s="820"/>
      <c r="G1427" s="675">
        <f>+CUBICACION!J1421</f>
        <v>0</v>
      </c>
      <c r="H1427" s="118"/>
      <c r="I1427" s="821">
        <f>+CUBICACION!L1421</f>
        <v>0</v>
      </c>
      <c r="J1427" s="64">
        <f>+CUBICACION!M1421</f>
        <v>0</v>
      </c>
      <c r="K1427" s="822" t="str">
        <f>+CUBICACION!N1421</f>
        <v/>
      </c>
      <c r="L1427" s="118">
        <f>+CUBICACION!O1421</f>
        <v>0</v>
      </c>
      <c r="M1427" s="823">
        <f>+CUBICACION!P1421</f>
        <v>0</v>
      </c>
      <c r="N1427" s="902">
        <f>ROUND(IF(AND(L1427="Blaze Shield II",M1427="Software Idiem",C1427="IN",G1427=4),((('BLAZE SHIELD II'!$D$4*('CALCULO MORTERO'!I1427^2)+'BLAZE SHIELD II'!$D$5*'CALCULO MORTERO'!I1427+'BLAZE SHIELD II'!$D$6)*LN(J1427))+('BLAZE SHIELD II'!$D$7*('CALCULO MORTERO'!I1427^2)+'BLAZE SHIELD II'!$D$8*'CALCULO MORTERO'!I1427+'BLAZE SHIELD II'!$D$9)),0)+IF(AND(L1427="Blaze Shield II",M1427="Software Idiem",C1427="Cj"),((('BLAZE SHIELD II'!$H$4*('CALCULO MORTERO'!I1427^2)+'BLAZE SHIELD II'!$H$5*'CALCULO MORTERO'!I1427+'BLAZE SHIELD II'!$H$6)*LN(J1427))+('BLAZE SHIELD II'!$H$7*('CALCULO MORTERO'!I1427^2)+'BLAZE SHIELD II'!$H$8*'CALCULO MORTERO'!I1427+'BLAZE SHIELD II'!$H$9)),0)+IF(AND(L1427="Blaze Shield II",M1427="Software Idiem",C1427="C"),((('BLAZE SHIELD II'!$L$4*('CALCULO MORTERO'!I1427^2)+'BLAZE SHIELD II'!$L$5*'CALCULO MORTERO'!I1427+'BLAZE SHIELD II'!$L$6)*LN(J1427))+('BLAZE SHIELD II'!$L$7*('CALCULO MORTERO'!I1427^2)+'BLAZE SHIELD II'!$L$8*'CALCULO MORTERO'!I1427+'BLAZE SHIELD II'!$L$9)),0)+IF(AND(L1427="Blaze Shield II",M1427="Software Idiem",C1427="L"),((('BLAZE SHIELD II'!$L$4*('CALCULO MORTERO'!I1427^2)+'BLAZE SHIELD II'!$L$5*'CALCULO MORTERO'!I1427+'BLAZE SHIELD II'!$L$6)*LN(J1427))+('BLAZE SHIELD II'!$L$7*('CALCULO MORTERO'!I1427^2)+'BLAZE SHIELD II'!$L$8*'CALCULO MORTERO'!I1427+'BLAZE SHIELD II'!$L$9)),0)+IF(AND(L1427="Blaze Shield II",M1427="Software Idiem",C1427="IN",G1427=3),((('BLAZE SHIELD II'!$H$14*('CALCULO MORTERO'!I1427^2)+'BLAZE SHIELD II'!$H$15*'CALCULO MORTERO'!I1427+'BLAZE SHIELD II'!$H$16)*LN(J1427))+('BLAZE SHIELD II'!$H$17*('CALCULO MORTERO'!I1427^2)+'BLAZE SHIELD II'!$H$18*'CALCULO MORTERO'!I1427+'BLAZE SHIELD II'!$H$19)),0),0)+ROUND(IF(AND(L1427="Cafco 400",M1427="Software Idiem",C1427="IN",G1427=4),((('CAFCO 400 '!$H$7*(J1427^4)+'CAFCO 400 '!$H$8*(J1427^3)+'CAFCO 400 '!$H$9*(J1427^2)+'CAFCO 400 '!$H$10*J1427+'CAFCO 400 '!$H$11)*U1427^2)+(('CAFCO 400 '!$H$12*(J1427^3)+'CAFCO 400 '!$H$13*(J1427^2)+'CAFCO 400 '!$H$14*J1427+'CAFCO 400 '!$H$15)*U1427)+('CAFCO 400 '!$H$16*(J1427^2)+'CAFCO 400 '!$H$17*J1427+'CAFCO 400 '!$H$18)),0)+IF(AND(L1427="Cafco 400",M1427="Software Idiem",C1427="Cj"),(((('CAFCO 400 '!$D$7*LN(J1427)+'CAFCO 400 '!$D$8)*U1427^2)+(('CAFCO 400 '!$D$9*LN(J1427)+'CAFCO 400 '!$D$10)*U1427)+('CAFCO 400 '!$D$11*LN(J1427)+'CAFCO 400 '!$D$12))),0)+IF(AND(L1427="Cafco 400",M1427="Software Idiem",C1427="C"),((('CAFCO 400 '!$L$7*(J1427^3)+'CAFCO 400 '!$L$8*(J1427^2)+'CAFCO 400 '!$L$9*J1427+'CAFCO 400 '!$L$10)*U1427^2)+(('CAFCO 400 '!$L$11*(J1427^3)+'CAFCO 400 '!$L$12*(J1427^2)+'CAFCO 400 '!$L$13*J1427+'CAFCO 400 '!$L$14)*U1427)+('CAFCO 400 '!$L$15*LN(J1427)+'CAFCO 400 '!$L$16)),0)+IF(AND(L1427="Cafco 400",M1427="Software Idiem",C1427="L"),((('CAFCO 400 '!$L$7*(J1427^3)+'CAFCO 400 '!$L$8*(J1427^2)+'CAFCO 400 '!$L$9*J1427+'CAFCO 400 '!$L$10)*U1427^2)+(('CAFCO 400 '!$L$11*(J1427^3)+'CAFCO 400 '!$L$12*(J1427^2)+'CAFCO 400 '!$L$13*J1427+'CAFCO 400 '!$L$14)*U1427)+('CAFCO 400 '!$L$15*LN(J1427)+'CAFCO 400 '!$L$16)),0)+IF(AND(L1427="Cafco 400",M1427="Software Idiem",C1427="IN",G1427=3),((('CAFCO 400 '!$D$23*(J1427^2)+'CAFCO 400 '!$D$24*(J1427)+'CAFCO 400 '!$D$25)*U1427^2)+(('CAFCO 400 '!$D$26*(J1427^2)+'CAFCO 400 '!$D$27*J1427+'CAFCO 400 '!$D$28)*U1427)+('CAFCO 400 '!$D$29*(J1427^2)+'CAFCO 400 '!$D$30*J1427+'CAFCO 400 '!$D$31)),0),0)+IF(AND(L1427="Cafco 300",J1427&gt;=95,J1427&lt;=240,C1427="Cj",I1427=90),VLOOKUP(T1427,'CAFCO 300 IDIEM TABLAS'!$B$4:$D$23,2,FALSE),0)+IF(AND(L1427="Cafco 300",J1427&gt;=95,J1427&lt;=240,C1427="Cj",I1427=120),VLOOKUP(T1427,'CAFCO 300 IDIEM TABLAS'!$B$4:$D$23,3,FALSE),0)+IF(AND(L1427="Cafco 300",J1427&gt;=95,J1427&lt;=400,G1427=3,C1427="IN",I1427=90),VLOOKUP(T1427,'CAFCO 300 IDIEM TABLAS'!$F$4:$H$35,2,FALSE),0)+IF(AND(L1427="Cafco 300",J1427&gt;=95,J1427&lt;=400,G1427=3,C1427="IN",I1427=120),VLOOKUP(T1427,'CAFCO 300 IDIEM TABLAS'!$F$4:$H$35,3,FALSE),0)+IF(AND(L1427="Cafco 300",J1427&gt;=95,J1427&lt;=450,G1427=4,C1427="IN",I1427=90),VLOOKUP(T1427,'CAFCO 300 IDIEM TABLAS'!$J$4:$L$40,2,FALSE),0)+IF(AND(L1427="Cafco 300",J1427&gt;=95,J1427&lt;=450,G1427=4,C1427="IN",I1427=120),VLOOKUP(T1427,'CAFCO 300 IDIEM TABLAS'!$J$4:$L$40,3,FALSE),0)+IF(AND(M1427="Ensayo Idiem",L1427="Cafco 400",C1427="IN",G1427=4,I1427=90),VLOOKUP(T1427,'CAFCO 400 ENSAYO'!$B$7:$D$43,2,FALSE),0)+IF(AND(M1427="Ensayo Idiem",L1427="Cafco 400",C1427="IN",G1427=4,I1427=120),VLOOKUP(T1427,'CAFCO 400 ENSAYO'!$B$7:$D$43,3,FALSE),0)</f>
        <v>0</v>
      </c>
      <c r="O1427" s="96">
        <f t="shared" si="144"/>
        <v>0</v>
      </c>
      <c r="P1427" s="132" t="str">
        <f t="shared" si="139"/>
        <v>N/A</v>
      </c>
      <c r="Q1427" s="132" t="str">
        <f t="shared" si="140"/>
        <v>N/A</v>
      </c>
      <c r="R1427" s="132" t="str">
        <f t="shared" si="141"/>
        <v>NO CERT.</v>
      </c>
      <c r="S1427" s="132" t="e">
        <f t="shared" si="142"/>
        <v>#N/A</v>
      </c>
      <c r="T1427" s="133" t="e">
        <f>+IF(J1427=LOOKUP(J1427,'CAFCO 300 IDIEM TABLAS'!$J$4:$J$40),'CALCULO MORTERO'!J1427,MROUND('CALCULO MORTERO'!J1427,10))</f>
        <v>#N/A</v>
      </c>
      <c r="U1427" s="134">
        <f t="shared" si="143"/>
        <v>0</v>
      </c>
    </row>
    <row r="1428" spans="1:21" x14ac:dyDescent="0.25">
      <c r="A1428" s="118">
        <f>+CUBICACION!D1422</f>
        <v>0</v>
      </c>
      <c r="B1428" s="819">
        <f>+CUBICACION!E1422</f>
        <v>0</v>
      </c>
      <c r="C1428" s="675">
        <f>+CUBICACION!F1422</f>
        <v>0</v>
      </c>
      <c r="D1428" s="118"/>
      <c r="E1428" s="118"/>
      <c r="F1428" s="820"/>
      <c r="G1428" s="675">
        <f>+CUBICACION!J1422</f>
        <v>0</v>
      </c>
      <c r="H1428" s="118"/>
      <c r="I1428" s="821">
        <f>+CUBICACION!L1422</f>
        <v>0</v>
      </c>
      <c r="J1428" s="64">
        <f>+CUBICACION!M1422</f>
        <v>0</v>
      </c>
      <c r="K1428" s="822" t="str">
        <f>+CUBICACION!N1422</f>
        <v/>
      </c>
      <c r="L1428" s="118">
        <f>+CUBICACION!O1422</f>
        <v>0</v>
      </c>
      <c r="M1428" s="823">
        <f>+CUBICACION!P1422</f>
        <v>0</v>
      </c>
      <c r="N1428" s="902">
        <f>ROUND(IF(AND(L1428="Blaze Shield II",M1428="Software Idiem",C1428="IN",G1428=4),((('BLAZE SHIELD II'!$D$4*('CALCULO MORTERO'!I1428^2)+'BLAZE SHIELD II'!$D$5*'CALCULO MORTERO'!I1428+'BLAZE SHIELD II'!$D$6)*LN(J1428))+('BLAZE SHIELD II'!$D$7*('CALCULO MORTERO'!I1428^2)+'BLAZE SHIELD II'!$D$8*'CALCULO MORTERO'!I1428+'BLAZE SHIELD II'!$D$9)),0)+IF(AND(L1428="Blaze Shield II",M1428="Software Idiem",C1428="Cj"),((('BLAZE SHIELD II'!$H$4*('CALCULO MORTERO'!I1428^2)+'BLAZE SHIELD II'!$H$5*'CALCULO MORTERO'!I1428+'BLAZE SHIELD II'!$H$6)*LN(J1428))+('BLAZE SHIELD II'!$H$7*('CALCULO MORTERO'!I1428^2)+'BLAZE SHIELD II'!$H$8*'CALCULO MORTERO'!I1428+'BLAZE SHIELD II'!$H$9)),0)+IF(AND(L1428="Blaze Shield II",M1428="Software Idiem",C1428="C"),((('BLAZE SHIELD II'!$L$4*('CALCULO MORTERO'!I1428^2)+'BLAZE SHIELD II'!$L$5*'CALCULO MORTERO'!I1428+'BLAZE SHIELD II'!$L$6)*LN(J1428))+('BLAZE SHIELD II'!$L$7*('CALCULO MORTERO'!I1428^2)+'BLAZE SHIELD II'!$L$8*'CALCULO MORTERO'!I1428+'BLAZE SHIELD II'!$L$9)),0)+IF(AND(L1428="Blaze Shield II",M1428="Software Idiem",C1428="L"),((('BLAZE SHIELD II'!$L$4*('CALCULO MORTERO'!I1428^2)+'BLAZE SHIELD II'!$L$5*'CALCULO MORTERO'!I1428+'BLAZE SHIELD II'!$L$6)*LN(J1428))+('BLAZE SHIELD II'!$L$7*('CALCULO MORTERO'!I1428^2)+'BLAZE SHIELD II'!$L$8*'CALCULO MORTERO'!I1428+'BLAZE SHIELD II'!$L$9)),0)+IF(AND(L1428="Blaze Shield II",M1428="Software Idiem",C1428="IN",G1428=3),((('BLAZE SHIELD II'!$H$14*('CALCULO MORTERO'!I1428^2)+'BLAZE SHIELD II'!$H$15*'CALCULO MORTERO'!I1428+'BLAZE SHIELD II'!$H$16)*LN(J1428))+('BLAZE SHIELD II'!$H$17*('CALCULO MORTERO'!I1428^2)+'BLAZE SHIELD II'!$H$18*'CALCULO MORTERO'!I1428+'BLAZE SHIELD II'!$H$19)),0),0)+ROUND(IF(AND(L1428="Cafco 400",M1428="Software Idiem",C1428="IN",G1428=4),((('CAFCO 400 '!$H$7*(J1428^4)+'CAFCO 400 '!$H$8*(J1428^3)+'CAFCO 400 '!$H$9*(J1428^2)+'CAFCO 400 '!$H$10*J1428+'CAFCO 400 '!$H$11)*U1428^2)+(('CAFCO 400 '!$H$12*(J1428^3)+'CAFCO 400 '!$H$13*(J1428^2)+'CAFCO 400 '!$H$14*J1428+'CAFCO 400 '!$H$15)*U1428)+('CAFCO 400 '!$H$16*(J1428^2)+'CAFCO 400 '!$H$17*J1428+'CAFCO 400 '!$H$18)),0)+IF(AND(L1428="Cafco 400",M1428="Software Idiem",C1428="Cj"),(((('CAFCO 400 '!$D$7*LN(J1428)+'CAFCO 400 '!$D$8)*U1428^2)+(('CAFCO 400 '!$D$9*LN(J1428)+'CAFCO 400 '!$D$10)*U1428)+('CAFCO 400 '!$D$11*LN(J1428)+'CAFCO 400 '!$D$12))),0)+IF(AND(L1428="Cafco 400",M1428="Software Idiem",C1428="C"),((('CAFCO 400 '!$L$7*(J1428^3)+'CAFCO 400 '!$L$8*(J1428^2)+'CAFCO 400 '!$L$9*J1428+'CAFCO 400 '!$L$10)*U1428^2)+(('CAFCO 400 '!$L$11*(J1428^3)+'CAFCO 400 '!$L$12*(J1428^2)+'CAFCO 400 '!$L$13*J1428+'CAFCO 400 '!$L$14)*U1428)+('CAFCO 400 '!$L$15*LN(J1428)+'CAFCO 400 '!$L$16)),0)+IF(AND(L1428="Cafco 400",M1428="Software Idiem",C1428="L"),((('CAFCO 400 '!$L$7*(J1428^3)+'CAFCO 400 '!$L$8*(J1428^2)+'CAFCO 400 '!$L$9*J1428+'CAFCO 400 '!$L$10)*U1428^2)+(('CAFCO 400 '!$L$11*(J1428^3)+'CAFCO 400 '!$L$12*(J1428^2)+'CAFCO 400 '!$L$13*J1428+'CAFCO 400 '!$L$14)*U1428)+('CAFCO 400 '!$L$15*LN(J1428)+'CAFCO 400 '!$L$16)),0)+IF(AND(L1428="Cafco 400",M1428="Software Idiem",C1428="IN",G1428=3),((('CAFCO 400 '!$D$23*(J1428^2)+'CAFCO 400 '!$D$24*(J1428)+'CAFCO 400 '!$D$25)*U1428^2)+(('CAFCO 400 '!$D$26*(J1428^2)+'CAFCO 400 '!$D$27*J1428+'CAFCO 400 '!$D$28)*U1428)+('CAFCO 400 '!$D$29*(J1428^2)+'CAFCO 400 '!$D$30*J1428+'CAFCO 400 '!$D$31)),0),0)+IF(AND(L1428="Cafco 300",J1428&gt;=95,J1428&lt;=240,C1428="Cj",I1428=90),VLOOKUP(T1428,'CAFCO 300 IDIEM TABLAS'!$B$4:$D$23,2,FALSE),0)+IF(AND(L1428="Cafco 300",J1428&gt;=95,J1428&lt;=240,C1428="Cj",I1428=120),VLOOKUP(T1428,'CAFCO 300 IDIEM TABLAS'!$B$4:$D$23,3,FALSE),0)+IF(AND(L1428="Cafco 300",J1428&gt;=95,J1428&lt;=400,G1428=3,C1428="IN",I1428=90),VLOOKUP(T1428,'CAFCO 300 IDIEM TABLAS'!$F$4:$H$35,2,FALSE),0)+IF(AND(L1428="Cafco 300",J1428&gt;=95,J1428&lt;=400,G1428=3,C1428="IN",I1428=120),VLOOKUP(T1428,'CAFCO 300 IDIEM TABLAS'!$F$4:$H$35,3,FALSE),0)+IF(AND(L1428="Cafco 300",J1428&gt;=95,J1428&lt;=450,G1428=4,C1428="IN",I1428=90),VLOOKUP(T1428,'CAFCO 300 IDIEM TABLAS'!$J$4:$L$40,2,FALSE),0)+IF(AND(L1428="Cafco 300",J1428&gt;=95,J1428&lt;=450,G1428=4,C1428="IN",I1428=120),VLOOKUP(T1428,'CAFCO 300 IDIEM TABLAS'!$J$4:$L$40,3,FALSE),0)+IF(AND(M1428="Ensayo Idiem",L1428="Cafco 400",C1428="IN",G1428=4,I1428=90),VLOOKUP(T1428,'CAFCO 400 ENSAYO'!$B$7:$D$43,2,FALSE),0)+IF(AND(M1428="Ensayo Idiem",L1428="Cafco 400",C1428="IN",G1428=4,I1428=120),VLOOKUP(T1428,'CAFCO 400 ENSAYO'!$B$7:$D$43,3,FALSE),0)</f>
        <v>0</v>
      </c>
      <c r="O1428" s="96">
        <f t="shared" si="144"/>
        <v>0</v>
      </c>
      <c r="P1428" s="95" t="str">
        <f t="shared" si="139"/>
        <v>N/A</v>
      </c>
      <c r="Q1428" s="95" t="str">
        <f t="shared" si="140"/>
        <v>N/A</v>
      </c>
      <c r="R1428" s="95" t="str">
        <f t="shared" si="141"/>
        <v>NO CERT.</v>
      </c>
      <c r="S1428" s="95" t="e">
        <f t="shared" si="142"/>
        <v>#N/A</v>
      </c>
      <c r="T1428" s="119" t="e">
        <f>+IF(J1428=LOOKUP(J1428,'CAFCO 300 IDIEM TABLAS'!$J$4:$J$40),'CALCULO MORTERO'!J1428,MROUND('CALCULO MORTERO'!J1428,10))</f>
        <v>#N/A</v>
      </c>
      <c r="U1428" s="118">
        <f t="shared" si="143"/>
        <v>0</v>
      </c>
    </row>
    <row r="1429" spans="1:21" x14ac:dyDescent="0.25">
      <c r="A1429" s="118">
        <f>+CUBICACION!D1423</f>
        <v>0</v>
      </c>
      <c r="B1429" s="819">
        <f>+CUBICACION!E1423</f>
        <v>0</v>
      </c>
      <c r="C1429" s="675">
        <f>+CUBICACION!F1423</f>
        <v>0</v>
      </c>
      <c r="D1429" s="118"/>
      <c r="E1429" s="118"/>
      <c r="F1429" s="820"/>
      <c r="G1429" s="675">
        <f>+CUBICACION!J1423</f>
        <v>0</v>
      </c>
      <c r="H1429" s="118"/>
      <c r="I1429" s="821">
        <f>+CUBICACION!L1423</f>
        <v>0</v>
      </c>
      <c r="J1429" s="64">
        <f>+CUBICACION!M1423</f>
        <v>0</v>
      </c>
      <c r="K1429" s="822" t="str">
        <f>+CUBICACION!N1423</f>
        <v/>
      </c>
      <c r="L1429" s="118">
        <f>+CUBICACION!O1423</f>
        <v>0</v>
      </c>
      <c r="M1429" s="823">
        <f>+CUBICACION!P1423</f>
        <v>0</v>
      </c>
      <c r="N1429" s="902">
        <f>ROUND(IF(AND(L1429="Blaze Shield II",M1429="Software Idiem",C1429="IN",G1429=4),((('BLAZE SHIELD II'!$D$4*('CALCULO MORTERO'!I1429^2)+'BLAZE SHIELD II'!$D$5*'CALCULO MORTERO'!I1429+'BLAZE SHIELD II'!$D$6)*LN(J1429))+('BLAZE SHIELD II'!$D$7*('CALCULO MORTERO'!I1429^2)+'BLAZE SHIELD II'!$D$8*'CALCULO MORTERO'!I1429+'BLAZE SHIELD II'!$D$9)),0)+IF(AND(L1429="Blaze Shield II",M1429="Software Idiem",C1429="Cj"),((('BLAZE SHIELD II'!$H$4*('CALCULO MORTERO'!I1429^2)+'BLAZE SHIELD II'!$H$5*'CALCULO MORTERO'!I1429+'BLAZE SHIELD II'!$H$6)*LN(J1429))+('BLAZE SHIELD II'!$H$7*('CALCULO MORTERO'!I1429^2)+'BLAZE SHIELD II'!$H$8*'CALCULO MORTERO'!I1429+'BLAZE SHIELD II'!$H$9)),0)+IF(AND(L1429="Blaze Shield II",M1429="Software Idiem",C1429="C"),((('BLAZE SHIELD II'!$L$4*('CALCULO MORTERO'!I1429^2)+'BLAZE SHIELD II'!$L$5*'CALCULO MORTERO'!I1429+'BLAZE SHIELD II'!$L$6)*LN(J1429))+('BLAZE SHIELD II'!$L$7*('CALCULO MORTERO'!I1429^2)+'BLAZE SHIELD II'!$L$8*'CALCULO MORTERO'!I1429+'BLAZE SHIELD II'!$L$9)),0)+IF(AND(L1429="Blaze Shield II",M1429="Software Idiem",C1429="L"),((('BLAZE SHIELD II'!$L$4*('CALCULO MORTERO'!I1429^2)+'BLAZE SHIELD II'!$L$5*'CALCULO MORTERO'!I1429+'BLAZE SHIELD II'!$L$6)*LN(J1429))+('BLAZE SHIELD II'!$L$7*('CALCULO MORTERO'!I1429^2)+'BLAZE SHIELD II'!$L$8*'CALCULO MORTERO'!I1429+'BLAZE SHIELD II'!$L$9)),0)+IF(AND(L1429="Blaze Shield II",M1429="Software Idiem",C1429="IN",G1429=3),((('BLAZE SHIELD II'!$H$14*('CALCULO MORTERO'!I1429^2)+'BLAZE SHIELD II'!$H$15*'CALCULO MORTERO'!I1429+'BLAZE SHIELD II'!$H$16)*LN(J1429))+('BLAZE SHIELD II'!$H$17*('CALCULO MORTERO'!I1429^2)+'BLAZE SHIELD II'!$H$18*'CALCULO MORTERO'!I1429+'BLAZE SHIELD II'!$H$19)),0),0)+ROUND(IF(AND(L1429="Cafco 400",M1429="Software Idiem",C1429="IN",G1429=4),((('CAFCO 400 '!$H$7*(J1429^4)+'CAFCO 400 '!$H$8*(J1429^3)+'CAFCO 400 '!$H$9*(J1429^2)+'CAFCO 400 '!$H$10*J1429+'CAFCO 400 '!$H$11)*U1429^2)+(('CAFCO 400 '!$H$12*(J1429^3)+'CAFCO 400 '!$H$13*(J1429^2)+'CAFCO 400 '!$H$14*J1429+'CAFCO 400 '!$H$15)*U1429)+('CAFCO 400 '!$H$16*(J1429^2)+'CAFCO 400 '!$H$17*J1429+'CAFCO 400 '!$H$18)),0)+IF(AND(L1429="Cafco 400",M1429="Software Idiem",C1429="Cj"),(((('CAFCO 400 '!$D$7*LN(J1429)+'CAFCO 400 '!$D$8)*U1429^2)+(('CAFCO 400 '!$D$9*LN(J1429)+'CAFCO 400 '!$D$10)*U1429)+('CAFCO 400 '!$D$11*LN(J1429)+'CAFCO 400 '!$D$12))),0)+IF(AND(L1429="Cafco 400",M1429="Software Idiem",C1429="C"),((('CAFCO 400 '!$L$7*(J1429^3)+'CAFCO 400 '!$L$8*(J1429^2)+'CAFCO 400 '!$L$9*J1429+'CAFCO 400 '!$L$10)*U1429^2)+(('CAFCO 400 '!$L$11*(J1429^3)+'CAFCO 400 '!$L$12*(J1429^2)+'CAFCO 400 '!$L$13*J1429+'CAFCO 400 '!$L$14)*U1429)+('CAFCO 400 '!$L$15*LN(J1429)+'CAFCO 400 '!$L$16)),0)+IF(AND(L1429="Cafco 400",M1429="Software Idiem",C1429="L"),((('CAFCO 400 '!$L$7*(J1429^3)+'CAFCO 400 '!$L$8*(J1429^2)+'CAFCO 400 '!$L$9*J1429+'CAFCO 400 '!$L$10)*U1429^2)+(('CAFCO 400 '!$L$11*(J1429^3)+'CAFCO 400 '!$L$12*(J1429^2)+'CAFCO 400 '!$L$13*J1429+'CAFCO 400 '!$L$14)*U1429)+('CAFCO 400 '!$L$15*LN(J1429)+'CAFCO 400 '!$L$16)),0)+IF(AND(L1429="Cafco 400",M1429="Software Idiem",C1429="IN",G1429=3),((('CAFCO 400 '!$D$23*(J1429^2)+'CAFCO 400 '!$D$24*(J1429)+'CAFCO 400 '!$D$25)*U1429^2)+(('CAFCO 400 '!$D$26*(J1429^2)+'CAFCO 400 '!$D$27*J1429+'CAFCO 400 '!$D$28)*U1429)+('CAFCO 400 '!$D$29*(J1429^2)+'CAFCO 400 '!$D$30*J1429+'CAFCO 400 '!$D$31)),0),0)+IF(AND(L1429="Cafco 300",J1429&gt;=95,J1429&lt;=240,C1429="Cj",I1429=90),VLOOKUP(T1429,'CAFCO 300 IDIEM TABLAS'!$B$4:$D$23,2,FALSE),0)+IF(AND(L1429="Cafco 300",J1429&gt;=95,J1429&lt;=240,C1429="Cj",I1429=120),VLOOKUP(T1429,'CAFCO 300 IDIEM TABLAS'!$B$4:$D$23,3,FALSE),0)+IF(AND(L1429="Cafco 300",J1429&gt;=95,J1429&lt;=400,G1429=3,C1429="IN",I1429=90),VLOOKUP(T1429,'CAFCO 300 IDIEM TABLAS'!$F$4:$H$35,2,FALSE),0)+IF(AND(L1429="Cafco 300",J1429&gt;=95,J1429&lt;=400,G1429=3,C1429="IN",I1429=120),VLOOKUP(T1429,'CAFCO 300 IDIEM TABLAS'!$F$4:$H$35,3,FALSE),0)+IF(AND(L1429="Cafco 300",J1429&gt;=95,J1429&lt;=450,G1429=4,C1429="IN",I1429=90),VLOOKUP(T1429,'CAFCO 300 IDIEM TABLAS'!$J$4:$L$40,2,FALSE),0)+IF(AND(L1429="Cafco 300",J1429&gt;=95,J1429&lt;=450,G1429=4,C1429="IN",I1429=120),VLOOKUP(T1429,'CAFCO 300 IDIEM TABLAS'!$J$4:$L$40,3,FALSE),0)+IF(AND(M1429="Ensayo Idiem",L1429="Cafco 400",C1429="IN",G1429=4,I1429=90),VLOOKUP(T1429,'CAFCO 400 ENSAYO'!$B$7:$D$43,2,FALSE),0)+IF(AND(M1429="Ensayo Idiem",L1429="Cafco 400",C1429="IN",G1429=4,I1429=120),VLOOKUP(T1429,'CAFCO 400 ENSAYO'!$B$7:$D$43,3,FALSE),0)</f>
        <v>0</v>
      </c>
      <c r="O1429" s="96">
        <f t="shared" si="144"/>
        <v>0</v>
      </c>
      <c r="P1429" s="132" t="str">
        <f t="shared" si="139"/>
        <v>N/A</v>
      </c>
      <c r="Q1429" s="132" t="str">
        <f t="shared" si="140"/>
        <v>N/A</v>
      </c>
      <c r="R1429" s="132" t="str">
        <f t="shared" si="141"/>
        <v>NO CERT.</v>
      </c>
      <c r="S1429" s="132" t="e">
        <f t="shared" si="142"/>
        <v>#N/A</v>
      </c>
      <c r="T1429" s="133" t="e">
        <f>+IF(J1429=LOOKUP(J1429,'CAFCO 300 IDIEM TABLAS'!$J$4:$J$40),'CALCULO MORTERO'!J1429,MROUND('CALCULO MORTERO'!J1429,10))</f>
        <v>#N/A</v>
      </c>
      <c r="U1429" s="134">
        <f t="shared" si="143"/>
        <v>0</v>
      </c>
    </row>
    <row r="1430" spans="1:21" x14ac:dyDescent="0.25">
      <c r="A1430" s="118">
        <f>+CUBICACION!D1424</f>
        <v>0</v>
      </c>
      <c r="B1430" s="819">
        <f>+CUBICACION!E1424</f>
        <v>0</v>
      </c>
      <c r="C1430" s="675">
        <f>+CUBICACION!F1424</f>
        <v>0</v>
      </c>
      <c r="D1430" s="118"/>
      <c r="E1430" s="118"/>
      <c r="F1430" s="820"/>
      <c r="G1430" s="675">
        <f>+CUBICACION!J1424</f>
        <v>0</v>
      </c>
      <c r="H1430" s="118"/>
      <c r="I1430" s="821">
        <f>+CUBICACION!L1424</f>
        <v>0</v>
      </c>
      <c r="J1430" s="64">
        <f>+CUBICACION!M1424</f>
        <v>0</v>
      </c>
      <c r="K1430" s="822" t="str">
        <f>+CUBICACION!N1424</f>
        <v/>
      </c>
      <c r="L1430" s="118">
        <f>+CUBICACION!O1424</f>
        <v>0</v>
      </c>
      <c r="M1430" s="823">
        <f>+CUBICACION!P1424</f>
        <v>0</v>
      </c>
      <c r="N1430" s="902">
        <f>ROUND(IF(AND(L1430="Blaze Shield II",M1430="Software Idiem",C1430="IN",G1430=4),((('BLAZE SHIELD II'!$D$4*('CALCULO MORTERO'!I1430^2)+'BLAZE SHIELD II'!$D$5*'CALCULO MORTERO'!I1430+'BLAZE SHIELD II'!$D$6)*LN(J1430))+('BLAZE SHIELD II'!$D$7*('CALCULO MORTERO'!I1430^2)+'BLAZE SHIELD II'!$D$8*'CALCULO MORTERO'!I1430+'BLAZE SHIELD II'!$D$9)),0)+IF(AND(L1430="Blaze Shield II",M1430="Software Idiem",C1430="Cj"),((('BLAZE SHIELD II'!$H$4*('CALCULO MORTERO'!I1430^2)+'BLAZE SHIELD II'!$H$5*'CALCULO MORTERO'!I1430+'BLAZE SHIELD II'!$H$6)*LN(J1430))+('BLAZE SHIELD II'!$H$7*('CALCULO MORTERO'!I1430^2)+'BLAZE SHIELD II'!$H$8*'CALCULO MORTERO'!I1430+'BLAZE SHIELD II'!$H$9)),0)+IF(AND(L1430="Blaze Shield II",M1430="Software Idiem",C1430="C"),((('BLAZE SHIELD II'!$L$4*('CALCULO MORTERO'!I1430^2)+'BLAZE SHIELD II'!$L$5*'CALCULO MORTERO'!I1430+'BLAZE SHIELD II'!$L$6)*LN(J1430))+('BLAZE SHIELD II'!$L$7*('CALCULO MORTERO'!I1430^2)+'BLAZE SHIELD II'!$L$8*'CALCULO MORTERO'!I1430+'BLAZE SHIELD II'!$L$9)),0)+IF(AND(L1430="Blaze Shield II",M1430="Software Idiem",C1430="L"),((('BLAZE SHIELD II'!$L$4*('CALCULO MORTERO'!I1430^2)+'BLAZE SHIELD II'!$L$5*'CALCULO MORTERO'!I1430+'BLAZE SHIELD II'!$L$6)*LN(J1430))+('BLAZE SHIELD II'!$L$7*('CALCULO MORTERO'!I1430^2)+'BLAZE SHIELD II'!$L$8*'CALCULO MORTERO'!I1430+'BLAZE SHIELD II'!$L$9)),0)+IF(AND(L1430="Blaze Shield II",M1430="Software Idiem",C1430="IN",G1430=3),((('BLAZE SHIELD II'!$H$14*('CALCULO MORTERO'!I1430^2)+'BLAZE SHIELD II'!$H$15*'CALCULO MORTERO'!I1430+'BLAZE SHIELD II'!$H$16)*LN(J1430))+('BLAZE SHIELD II'!$H$17*('CALCULO MORTERO'!I1430^2)+'BLAZE SHIELD II'!$H$18*'CALCULO MORTERO'!I1430+'BLAZE SHIELD II'!$H$19)),0),0)+ROUND(IF(AND(L1430="Cafco 400",M1430="Software Idiem",C1430="IN",G1430=4),((('CAFCO 400 '!$H$7*(J1430^4)+'CAFCO 400 '!$H$8*(J1430^3)+'CAFCO 400 '!$H$9*(J1430^2)+'CAFCO 400 '!$H$10*J1430+'CAFCO 400 '!$H$11)*U1430^2)+(('CAFCO 400 '!$H$12*(J1430^3)+'CAFCO 400 '!$H$13*(J1430^2)+'CAFCO 400 '!$H$14*J1430+'CAFCO 400 '!$H$15)*U1430)+('CAFCO 400 '!$H$16*(J1430^2)+'CAFCO 400 '!$H$17*J1430+'CAFCO 400 '!$H$18)),0)+IF(AND(L1430="Cafco 400",M1430="Software Idiem",C1430="Cj"),(((('CAFCO 400 '!$D$7*LN(J1430)+'CAFCO 400 '!$D$8)*U1430^2)+(('CAFCO 400 '!$D$9*LN(J1430)+'CAFCO 400 '!$D$10)*U1430)+('CAFCO 400 '!$D$11*LN(J1430)+'CAFCO 400 '!$D$12))),0)+IF(AND(L1430="Cafco 400",M1430="Software Idiem",C1430="C"),((('CAFCO 400 '!$L$7*(J1430^3)+'CAFCO 400 '!$L$8*(J1430^2)+'CAFCO 400 '!$L$9*J1430+'CAFCO 400 '!$L$10)*U1430^2)+(('CAFCO 400 '!$L$11*(J1430^3)+'CAFCO 400 '!$L$12*(J1430^2)+'CAFCO 400 '!$L$13*J1430+'CAFCO 400 '!$L$14)*U1430)+('CAFCO 400 '!$L$15*LN(J1430)+'CAFCO 400 '!$L$16)),0)+IF(AND(L1430="Cafco 400",M1430="Software Idiem",C1430="L"),((('CAFCO 400 '!$L$7*(J1430^3)+'CAFCO 400 '!$L$8*(J1430^2)+'CAFCO 400 '!$L$9*J1430+'CAFCO 400 '!$L$10)*U1430^2)+(('CAFCO 400 '!$L$11*(J1430^3)+'CAFCO 400 '!$L$12*(J1430^2)+'CAFCO 400 '!$L$13*J1430+'CAFCO 400 '!$L$14)*U1430)+('CAFCO 400 '!$L$15*LN(J1430)+'CAFCO 400 '!$L$16)),0)+IF(AND(L1430="Cafco 400",M1430="Software Idiem",C1430="IN",G1430=3),((('CAFCO 400 '!$D$23*(J1430^2)+'CAFCO 400 '!$D$24*(J1430)+'CAFCO 400 '!$D$25)*U1430^2)+(('CAFCO 400 '!$D$26*(J1430^2)+'CAFCO 400 '!$D$27*J1430+'CAFCO 400 '!$D$28)*U1430)+('CAFCO 400 '!$D$29*(J1430^2)+'CAFCO 400 '!$D$30*J1430+'CAFCO 400 '!$D$31)),0),0)+IF(AND(L1430="Cafco 300",J1430&gt;=95,J1430&lt;=240,C1430="Cj",I1430=90),VLOOKUP(T1430,'CAFCO 300 IDIEM TABLAS'!$B$4:$D$23,2,FALSE),0)+IF(AND(L1430="Cafco 300",J1430&gt;=95,J1430&lt;=240,C1430="Cj",I1430=120),VLOOKUP(T1430,'CAFCO 300 IDIEM TABLAS'!$B$4:$D$23,3,FALSE),0)+IF(AND(L1430="Cafco 300",J1430&gt;=95,J1430&lt;=400,G1430=3,C1430="IN",I1430=90),VLOOKUP(T1430,'CAFCO 300 IDIEM TABLAS'!$F$4:$H$35,2,FALSE),0)+IF(AND(L1430="Cafco 300",J1430&gt;=95,J1430&lt;=400,G1430=3,C1430="IN",I1430=120),VLOOKUP(T1430,'CAFCO 300 IDIEM TABLAS'!$F$4:$H$35,3,FALSE),0)+IF(AND(L1430="Cafco 300",J1430&gt;=95,J1430&lt;=450,G1430=4,C1430="IN",I1430=90),VLOOKUP(T1430,'CAFCO 300 IDIEM TABLAS'!$J$4:$L$40,2,FALSE),0)+IF(AND(L1430="Cafco 300",J1430&gt;=95,J1430&lt;=450,G1430=4,C1430="IN",I1430=120),VLOOKUP(T1430,'CAFCO 300 IDIEM TABLAS'!$J$4:$L$40,3,FALSE),0)+IF(AND(M1430="Ensayo Idiem",L1430="Cafco 400",C1430="IN",G1430=4,I1430=90),VLOOKUP(T1430,'CAFCO 400 ENSAYO'!$B$7:$D$43,2,FALSE),0)+IF(AND(M1430="Ensayo Idiem",L1430="Cafco 400",C1430="IN",G1430=4,I1430=120),VLOOKUP(T1430,'CAFCO 400 ENSAYO'!$B$7:$D$43,3,FALSE),0)</f>
        <v>0</v>
      </c>
      <c r="O1430" s="96">
        <f t="shared" si="144"/>
        <v>0</v>
      </c>
      <c r="P1430" s="95" t="str">
        <f t="shared" si="139"/>
        <v>N/A</v>
      </c>
      <c r="Q1430" s="95" t="str">
        <f t="shared" si="140"/>
        <v>N/A</v>
      </c>
      <c r="R1430" s="95" t="str">
        <f t="shared" si="141"/>
        <v>NO CERT.</v>
      </c>
      <c r="S1430" s="95" t="e">
        <f t="shared" si="142"/>
        <v>#N/A</v>
      </c>
      <c r="T1430" s="119" t="e">
        <f>+IF(J1430=LOOKUP(J1430,'CAFCO 300 IDIEM TABLAS'!$J$4:$J$40),'CALCULO MORTERO'!J1430,MROUND('CALCULO MORTERO'!J1430,10))</f>
        <v>#N/A</v>
      </c>
      <c r="U1430" s="118">
        <f t="shared" si="143"/>
        <v>0</v>
      </c>
    </row>
    <row r="1431" spans="1:21" x14ac:dyDescent="0.25">
      <c r="A1431" s="118">
        <f>+CUBICACION!D1425</f>
        <v>0</v>
      </c>
      <c r="B1431" s="819">
        <f>+CUBICACION!E1425</f>
        <v>0</v>
      </c>
      <c r="C1431" s="675">
        <f>+CUBICACION!F1425</f>
        <v>0</v>
      </c>
      <c r="D1431" s="118"/>
      <c r="E1431" s="118"/>
      <c r="F1431" s="820"/>
      <c r="G1431" s="675">
        <f>+CUBICACION!J1425</f>
        <v>0</v>
      </c>
      <c r="H1431" s="118"/>
      <c r="I1431" s="821">
        <f>+CUBICACION!L1425</f>
        <v>0</v>
      </c>
      <c r="J1431" s="64">
        <f>+CUBICACION!M1425</f>
        <v>0</v>
      </c>
      <c r="K1431" s="822" t="str">
        <f>+CUBICACION!N1425</f>
        <v/>
      </c>
      <c r="L1431" s="118">
        <f>+CUBICACION!O1425</f>
        <v>0</v>
      </c>
      <c r="M1431" s="823">
        <f>+CUBICACION!P1425</f>
        <v>0</v>
      </c>
      <c r="N1431" s="902">
        <f>ROUND(IF(AND(L1431="Blaze Shield II",M1431="Software Idiem",C1431="IN",G1431=4),((('BLAZE SHIELD II'!$D$4*('CALCULO MORTERO'!I1431^2)+'BLAZE SHIELD II'!$D$5*'CALCULO MORTERO'!I1431+'BLAZE SHIELD II'!$D$6)*LN(J1431))+('BLAZE SHIELD II'!$D$7*('CALCULO MORTERO'!I1431^2)+'BLAZE SHIELD II'!$D$8*'CALCULO MORTERO'!I1431+'BLAZE SHIELD II'!$D$9)),0)+IF(AND(L1431="Blaze Shield II",M1431="Software Idiem",C1431="Cj"),((('BLAZE SHIELD II'!$H$4*('CALCULO MORTERO'!I1431^2)+'BLAZE SHIELD II'!$H$5*'CALCULO MORTERO'!I1431+'BLAZE SHIELD II'!$H$6)*LN(J1431))+('BLAZE SHIELD II'!$H$7*('CALCULO MORTERO'!I1431^2)+'BLAZE SHIELD II'!$H$8*'CALCULO MORTERO'!I1431+'BLAZE SHIELD II'!$H$9)),0)+IF(AND(L1431="Blaze Shield II",M1431="Software Idiem",C1431="C"),((('BLAZE SHIELD II'!$L$4*('CALCULO MORTERO'!I1431^2)+'BLAZE SHIELD II'!$L$5*'CALCULO MORTERO'!I1431+'BLAZE SHIELD II'!$L$6)*LN(J1431))+('BLAZE SHIELD II'!$L$7*('CALCULO MORTERO'!I1431^2)+'BLAZE SHIELD II'!$L$8*'CALCULO MORTERO'!I1431+'BLAZE SHIELD II'!$L$9)),0)+IF(AND(L1431="Blaze Shield II",M1431="Software Idiem",C1431="L"),((('BLAZE SHIELD II'!$L$4*('CALCULO MORTERO'!I1431^2)+'BLAZE SHIELD II'!$L$5*'CALCULO MORTERO'!I1431+'BLAZE SHIELD II'!$L$6)*LN(J1431))+('BLAZE SHIELD II'!$L$7*('CALCULO MORTERO'!I1431^2)+'BLAZE SHIELD II'!$L$8*'CALCULO MORTERO'!I1431+'BLAZE SHIELD II'!$L$9)),0)+IF(AND(L1431="Blaze Shield II",M1431="Software Idiem",C1431="IN",G1431=3),((('BLAZE SHIELD II'!$H$14*('CALCULO MORTERO'!I1431^2)+'BLAZE SHIELD II'!$H$15*'CALCULO MORTERO'!I1431+'BLAZE SHIELD II'!$H$16)*LN(J1431))+('BLAZE SHIELD II'!$H$17*('CALCULO MORTERO'!I1431^2)+'BLAZE SHIELD II'!$H$18*'CALCULO MORTERO'!I1431+'BLAZE SHIELD II'!$H$19)),0),0)+ROUND(IF(AND(L1431="Cafco 400",M1431="Software Idiem",C1431="IN",G1431=4),((('CAFCO 400 '!$H$7*(J1431^4)+'CAFCO 400 '!$H$8*(J1431^3)+'CAFCO 400 '!$H$9*(J1431^2)+'CAFCO 400 '!$H$10*J1431+'CAFCO 400 '!$H$11)*U1431^2)+(('CAFCO 400 '!$H$12*(J1431^3)+'CAFCO 400 '!$H$13*(J1431^2)+'CAFCO 400 '!$H$14*J1431+'CAFCO 400 '!$H$15)*U1431)+('CAFCO 400 '!$H$16*(J1431^2)+'CAFCO 400 '!$H$17*J1431+'CAFCO 400 '!$H$18)),0)+IF(AND(L1431="Cafco 400",M1431="Software Idiem",C1431="Cj"),(((('CAFCO 400 '!$D$7*LN(J1431)+'CAFCO 400 '!$D$8)*U1431^2)+(('CAFCO 400 '!$D$9*LN(J1431)+'CAFCO 400 '!$D$10)*U1431)+('CAFCO 400 '!$D$11*LN(J1431)+'CAFCO 400 '!$D$12))),0)+IF(AND(L1431="Cafco 400",M1431="Software Idiem",C1431="C"),((('CAFCO 400 '!$L$7*(J1431^3)+'CAFCO 400 '!$L$8*(J1431^2)+'CAFCO 400 '!$L$9*J1431+'CAFCO 400 '!$L$10)*U1431^2)+(('CAFCO 400 '!$L$11*(J1431^3)+'CAFCO 400 '!$L$12*(J1431^2)+'CAFCO 400 '!$L$13*J1431+'CAFCO 400 '!$L$14)*U1431)+('CAFCO 400 '!$L$15*LN(J1431)+'CAFCO 400 '!$L$16)),0)+IF(AND(L1431="Cafco 400",M1431="Software Idiem",C1431="L"),((('CAFCO 400 '!$L$7*(J1431^3)+'CAFCO 400 '!$L$8*(J1431^2)+'CAFCO 400 '!$L$9*J1431+'CAFCO 400 '!$L$10)*U1431^2)+(('CAFCO 400 '!$L$11*(J1431^3)+'CAFCO 400 '!$L$12*(J1431^2)+'CAFCO 400 '!$L$13*J1431+'CAFCO 400 '!$L$14)*U1431)+('CAFCO 400 '!$L$15*LN(J1431)+'CAFCO 400 '!$L$16)),0)+IF(AND(L1431="Cafco 400",M1431="Software Idiem",C1431="IN",G1431=3),((('CAFCO 400 '!$D$23*(J1431^2)+'CAFCO 400 '!$D$24*(J1431)+'CAFCO 400 '!$D$25)*U1431^2)+(('CAFCO 400 '!$D$26*(J1431^2)+'CAFCO 400 '!$D$27*J1431+'CAFCO 400 '!$D$28)*U1431)+('CAFCO 400 '!$D$29*(J1431^2)+'CAFCO 400 '!$D$30*J1431+'CAFCO 400 '!$D$31)),0),0)+IF(AND(L1431="Cafco 300",J1431&gt;=95,J1431&lt;=240,C1431="Cj",I1431=90),VLOOKUP(T1431,'CAFCO 300 IDIEM TABLAS'!$B$4:$D$23,2,FALSE),0)+IF(AND(L1431="Cafco 300",J1431&gt;=95,J1431&lt;=240,C1431="Cj",I1431=120),VLOOKUP(T1431,'CAFCO 300 IDIEM TABLAS'!$B$4:$D$23,3,FALSE),0)+IF(AND(L1431="Cafco 300",J1431&gt;=95,J1431&lt;=400,G1431=3,C1431="IN",I1431=90),VLOOKUP(T1431,'CAFCO 300 IDIEM TABLAS'!$F$4:$H$35,2,FALSE),0)+IF(AND(L1431="Cafco 300",J1431&gt;=95,J1431&lt;=400,G1431=3,C1431="IN",I1431=120),VLOOKUP(T1431,'CAFCO 300 IDIEM TABLAS'!$F$4:$H$35,3,FALSE),0)+IF(AND(L1431="Cafco 300",J1431&gt;=95,J1431&lt;=450,G1431=4,C1431="IN",I1431=90),VLOOKUP(T1431,'CAFCO 300 IDIEM TABLAS'!$J$4:$L$40,2,FALSE),0)+IF(AND(L1431="Cafco 300",J1431&gt;=95,J1431&lt;=450,G1431=4,C1431="IN",I1431=120),VLOOKUP(T1431,'CAFCO 300 IDIEM TABLAS'!$J$4:$L$40,3,FALSE),0)+IF(AND(M1431="Ensayo Idiem",L1431="Cafco 400",C1431="IN",G1431=4,I1431=90),VLOOKUP(T1431,'CAFCO 400 ENSAYO'!$B$7:$D$43,2,FALSE),0)+IF(AND(M1431="Ensayo Idiem",L1431="Cafco 400",C1431="IN",G1431=4,I1431=120),VLOOKUP(T1431,'CAFCO 400 ENSAYO'!$B$7:$D$43,3,FALSE),0)</f>
        <v>0</v>
      </c>
      <c r="O1431" s="96">
        <f t="shared" si="144"/>
        <v>0</v>
      </c>
      <c r="P1431" s="132" t="str">
        <f t="shared" si="139"/>
        <v>N/A</v>
      </c>
      <c r="Q1431" s="132" t="str">
        <f t="shared" si="140"/>
        <v>N/A</v>
      </c>
      <c r="R1431" s="132" t="str">
        <f t="shared" si="141"/>
        <v>NO CERT.</v>
      </c>
      <c r="S1431" s="132" t="e">
        <f t="shared" si="142"/>
        <v>#N/A</v>
      </c>
      <c r="T1431" s="133" t="e">
        <f>+IF(J1431=LOOKUP(J1431,'CAFCO 300 IDIEM TABLAS'!$J$4:$J$40),'CALCULO MORTERO'!J1431,MROUND('CALCULO MORTERO'!J1431,10))</f>
        <v>#N/A</v>
      </c>
      <c r="U1431" s="134">
        <f t="shared" si="143"/>
        <v>0</v>
      </c>
    </row>
    <row r="1432" spans="1:21" x14ac:dyDescent="0.25">
      <c r="A1432" s="118">
        <f>+CUBICACION!D1426</f>
        <v>0</v>
      </c>
      <c r="B1432" s="819">
        <f>+CUBICACION!E1426</f>
        <v>0</v>
      </c>
      <c r="C1432" s="675">
        <f>+CUBICACION!F1426</f>
        <v>0</v>
      </c>
      <c r="D1432" s="118"/>
      <c r="E1432" s="118"/>
      <c r="F1432" s="820"/>
      <c r="G1432" s="675">
        <f>+CUBICACION!J1426</f>
        <v>0</v>
      </c>
      <c r="H1432" s="118"/>
      <c r="I1432" s="821">
        <f>+CUBICACION!L1426</f>
        <v>0</v>
      </c>
      <c r="J1432" s="64">
        <f>+CUBICACION!M1426</f>
        <v>0</v>
      </c>
      <c r="K1432" s="822" t="str">
        <f>+CUBICACION!N1426</f>
        <v/>
      </c>
      <c r="L1432" s="118">
        <f>+CUBICACION!O1426</f>
        <v>0</v>
      </c>
      <c r="M1432" s="823">
        <f>+CUBICACION!P1426</f>
        <v>0</v>
      </c>
      <c r="N1432" s="902">
        <f>ROUND(IF(AND(L1432="Blaze Shield II",M1432="Software Idiem",C1432="IN",G1432=4),((('BLAZE SHIELD II'!$D$4*('CALCULO MORTERO'!I1432^2)+'BLAZE SHIELD II'!$D$5*'CALCULO MORTERO'!I1432+'BLAZE SHIELD II'!$D$6)*LN(J1432))+('BLAZE SHIELD II'!$D$7*('CALCULO MORTERO'!I1432^2)+'BLAZE SHIELD II'!$D$8*'CALCULO MORTERO'!I1432+'BLAZE SHIELD II'!$D$9)),0)+IF(AND(L1432="Blaze Shield II",M1432="Software Idiem",C1432="Cj"),((('BLAZE SHIELD II'!$H$4*('CALCULO MORTERO'!I1432^2)+'BLAZE SHIELD II'!$H$5*'CALCULO MORTERO'!I1432+'BLAZE SHIELD II'!$H$6)*LN(J1432))+('BLAZE SHIELD II'!$H$7*('CALCULO MORTERO'!I1432^2)+'BLAZE SHIELD II'!$H$8*'CALCULO MORTERO'!I1432+'BLAZE SHIELD II'!$H$9)),0)+IF(AND(L1432="Blaze Shield II",M1432="Software Idiem",C1432="C"),((('BLAZE SHIELD II'!$L$4*('CALCULO MORTERO'!I1432^2)+'BLAZE SHIELD II'!$L$5*'CALCULO MORTERO'!I1432+'BLAZE SHIELD II'!$L$6)*LN(J1432))+('BLAZE SHIELD II'!$L$7*('CALCULO MORTERO'!I1432^2)+'BLAZE SHIELD II'!$L$8*'CALCULO MORTERO'!I1432+'BLAZE SHIELD II'!$L$9)),0)+IF(AND(L1432="Blaze Shield II",M1432="Software Idiem",C1432="L"),((('BLAZE SHIELD II'!$L$4*('CALCULO MORTERO'!I1432^2)+'BLAZE SHIELD II'!$L$5*'CALCULO MORTERO'!I1432+'BLAZE SHIELD II'!$L$6)*LN(J1432))+('BLAZE SHIELD II'!$L$7*('CALCULO MORTERO'!I1432^2)+'BLAZE SHIELD II'!$L$8*'CALCULO MORTERO'!I1432+'BLAZE SHIELD II'!$L$9)),0)+IF(AND(L1432="Blaze Shield II",M1432="Software Idiem",C1432="IN",G1432=3),((('BLAZE SHIELD II'!$H$14*('CALCULO MORTERO'!I1432^2)+'BLAZE SHIELD II'!$H$15*'CALCULO MORTERO'!I1432+'BLAZE SHIELD II'!$H$16)*LN(J1432))+('BLAZE SHIELD II'!$H$17*('CALCULO MORTERO'!I1432^2)+'BLAZE SHIELD II'!$H$18*'CALCULO MORTERO'!I1432+'BLAZE SHIELD II'!$H$19)),0),0)+ROUND(IF(AND(L1432="Cafco 400",M1432="Software Idiem",C1432="IN",G1432=4),((('CAFCO 400 '!$H$7*(J1432^4)+'CAFCO 400 '!$H$8*(J1432^3)+'CAFCO 400 '!$H$9*(J1432^2)+'CAFCO 400 '!$H$10*J1432+'CAFCO 400 '!$H$11)*U1432^2)+(('CAFCO 400 '!$H$12*(J1432^3)+'CAFCO 400 '!$H$13*(J1432^2)+'CAFCO 400 '!$H$14*J1432+'CAFCO 400 '!$H$15)*U1432)+('CAFCO 400 '!$H$16*(J1432^2)+'CAFCO 400 '!$H$17*J1432+'CAFCO 400 '!$H$18)),0)+IF(AND(L1432="Cafco 400",M1432="Software Idiem",C1432="Cj"),(((('CAFCO 400 '!$D$7*LN(J1432)+'CAFCO 400 '!$D$8)*U1432^2)+(('CAFCO 400 '!$D$9*LN(J1432)+'CAFCO 400 '!$D$10)*U1432)+('CAFCO 400 '!$D$11*LN(J1432)+'CAFCO 400 '!$D$12))),0)+IF(AND(L1432="Cafco 400",M1432="Software Idiem",C1432="C"),((('CAFCO 400 '!$L$7*(J1432^3)+'CAFCO 400 '!$L$8*(J1432^2)+'CAFCO 400 '!$L$9*J1432+'CAFCO 400 '!$L$10)*U1432^2)+(('CAFCO 400 '!$L$11*(J1432^3)+'CAFCO 400 '!$L$12*(J1432^2)+'CAFCO 400 '!$L$13*J1432+'CAFCO 400 '!$L$14)*U1432)+('CAFCO 400 '!$L$15*LN(J1432)+'CAFCO 400 '!$L$16)),0)+IF(AND(L1432="Cafco 400",M1432="Software Idiem",C1432="L"),((('CAFCO 400 '!$L$7*(J1432^3)+'CAFCO 400 '!$L$8*(J1432^2)+'CAFCO 400 '!$L$9*J1432+'CAFCO 400 '!$L$10)*U1432^2)+(('CAFCO 400 '!$L$11*(J1432^3)+'CAFCO 400 '!$L$12*(J1432^2)+'CAFCO 400 '!$L$13*J1432+'CAFCO 400 '!$L$14)*U1432)+('CAFCO 400 '!$L$15*LN(J1432)+'CAFCO 400 '!$L$16)),0)+IF(AND(L1432="Cafco 400",M1432="Software Idiem",C1432="IN",G1432=3),((('CAFCO 400 '!$D$23*(J1432^2)+'CAFCO 400 '!$D$24*(J1432)+'CAFCO 400 '!$D$25)*U1432^2)+(('CAFCO 400 '!$D$26*(J1432^2)+'CAFCO 400 '!$D$27*J1432+'CAFCO 400 '!$D$28)*U1432)+('CAFCO 400 '!$D$29*(J1432^2)+'CAFCO 400 '!$D$30*J1432+'CAFCO 400 '!$D$31)),0),0)+IF(AND(L1432="Cafco 300",J1432&gt;=95,J1432&lt;=240,C1432="Cj",I1432=90),VLOOKUP(T1432,'CAFCO 300 IDIEM TABLAS'!$B$4:$D$23,2,FALSE),0)+IF(AND(L1432="Cafco 300",J1432&gt;=95,J1432&lt;=240,C1432="Cj",I1432=120),VLOOKUP(T1432,'CAFCO 300 IDIEM TABLAS'!$B$4:$D$23,3,FALSE),0)+IF(AND(L1432="Cafco 300",J1432&gt;=95,J1432&lt;=400,G1432=3,C1432="IN",I1432=90),VLOOKUP(T1432,'CAFCO 300 IDIEM TABLAS'!$F$4:$H$35,2,FALSE),0)+IF(AND(L1432="Cafco 300",J1432&gt;=95,J1432&lt;=400,G1432=3,C1432="IN",I1432=120),VLOOKUP(T1432,'CAFCO 300 IDIEM TABLAS'!$F$4:$H$35,3,FALSE),0)+IF(AND(L1432="Cafco 300",J1432&gt;=95,J1432&lt;=450,G1432=4,C1432="IN",I1432=90),VLOOKUP(T1432,'CAFCO 300 IDIEM TABLAS'!$J$4:$L$40,2,FALSE),0)+IF(AND(L1432="Cafco 300",J1432&gt;=95,J1432&lt;=450,G1432=4,C1432="IN",I1432=120),VLOOKUP(T1432,'CAFCO 300 IDIEM TABLAS'!$J$4:$L$40,3,FALSE),0)+IF(AND(M1432="Ensayo Idiem",L1432="Cafco 400",C1432="IN",G1432=4,I1432=90),VLOOKUP(T1432,'CAFCO 400 ENSAYO'!$B$7:$D$43,2,FALSE),0)+IF(AND(M1432="Ensayo Idiem",L1432="Cafco 400",C1432="IN",G1432=4,I1432=120),VLOOKUP(T1432,'CAFCO 400 ENSAYO'!$B$7:$D$43,3,FALSE),0)</f>
        <v>0</v>
      </c>
      <c r="O1432" s="96">
        <f t="shared" si="144"/>
        <v>0</v>
      </c>
      <c r="P1432" s="95" t="str">
        <f t="shared" si="139"/>
        <v>N/A</v>
      </c>
      <c r="Q1432" s="95" t="str">
        <f t="shared" si="140"/>
        <v>N/A</v>
      </c>
      <c r="R1432" s="95" t="str">
        <f t="shared" si="141"/>
        <v>NO CERT.</v>
      </c>
      <c r="S1432" s="95" t="e">
        <f t="shared" si="142"/>
        <v>#N/A</v>
      </c>
      <c r="T1432" s="119" t="e">
        <f>+IF(J1432=LOOKUP(J1432,'CAFCO 300 IDIEM TABLAS'!$J$4:$J$40),'CALCULO MORTERO'!J1432,MROUND('CALCULO MORTERO'!J1432,10))</f>
        <v>#N/A</v>
      </c>
      <c r="U1432" s="118">
        <f t="shared" si="143"/>
        <v>0</v>
      </c>
    </row>
    <row r="1433" spans="1:21" x14ac:dyDescent="0.25">
      <c r="A1433" s="118">
        <f>+CUBICACION!D1427</f>
        <v>0</v>
      </c>
      <c r="B1433" s="819">
        <f>+CUBICACION!E1427</f>
        <v>0</v>
      </c>
      <c r="C1433" s="675">
        <f>+CUBICACION!F1427</f>
        <v>0</v>
      </c>
      <c r="D1433" s="118"/>
      <c r="E1433" s="118"/>
      <c r="F1433" s="820"/>
      <c r="G1433" s="675">
        <f>+CUBICACION!J1427</f>
        <v>0</v>
      </c>
      <c r="H1433" s="118"/>
      <c r="I1433" s="821">
        <f>+CUBICACION!L1427</f>
        <v>0</v>
      </c>
      <c r="J1433" s="64">
        <f>+CUBICACION!M1427</f>
        <v>0</v>
      </c>
      <c r="K1433" s="822" t="str">
        <f>+CUBICACION!N1427</f>
        <v/>
      </c>
      <c r="L1433" s="118">
        <f>+CUBICACION!O1427</f>
        <v>0</v>
      </c>
      <c r="M1433" s="823">
        <f>+CUBICACION!P1427</f>
        <v>0</v>
      </c>
      <c r="N1433" s="902">
        <f>ROUND(IF(AND(L1433="Blaze Shield II",M1433="Software Idiem",C1433="IN",G1433=4),((('BLAZE SHIELD II'!$D$4*('CALCULO MORTERO'!I1433^2)+'BLAZE SHIELD II'!$D$5*'CALCULO MORTERO'!I1433+'BLAZE SHIELD II'!$D$6)*LN(J1433))+('BLAZE SHIELD II'!$D$7*('CALCULO MORTERO'!I1433^2)+'BLAZE SHIELD II'!$D$8*'CALCULO MORTERO'!I1433+'BLAZE SHIELD II'!$D$9)),0)+IF(AND(L1433="Blaze Shield II",M1433="Software Idiem",C1433="Cj"),((('BLAZE SHIELD II'!$H$4*('CALCULO MORTERO'!I1433^2)+'BLAZE SHIELD II'!$H$5*'CALCULO MORTERO'!I1433+'BLAZE SHIELD II'!$H$6)*LN(J1433))+('BLAZE SHIELD II'!$H$7*('CALCULO MORTERO'!I1433^2)+'BLAZE SHIELD II'!$H$8*'CALCULO MORTERO'!I1433+'BLAZE SHIELD II'!$H$9)),0)+IF(AND(L1433="Blaze Shield II",M1433="Software Idiem",C1433="C"),((('BLAZE SHIELD II'!$L$4*('CALCULO MORTERO'!I1433^2)+'BLAZE SHIELD II'!$L$5*'CALCULO MORTERO'!I1433+'BLAZE SHIELD II'!$L$6)*LN(J1433))+('BLAZE SHIELD II'!$L$7*('CALCULO MORTERO'!I1433^2)+'BLAZE SHIELD II'!$L$8*'CALCULO MORTERO'!I1433+'BLAZE SHIELD II'!$L$9)),0)+IF(AND(L1433="Blaze Shield II",M1433="Software Idiem",C1433="L"),((('BLAZE SHIELD II'!$L$4*('CALCULO MORTERO'!I1433^2)+'BLAZE SHIELD II'!$L$5*'CALCULO MORTERO'!I1433+'BLAZE SHIELD II'!$L$6)*LN(J1433))+('BLAZE SHIELD II'!$L$7*('CALCULO MORTERO'!I1433^2)+'BLAZE SHIELD II'!$L$8*'CALCULO MORTERO'!I1433+'BLAZE SHIELD II'!$L$9)),0)+IF(AND(L1433="Blaze Shield II",M1433="Software Idiem",C1433="IN",G1433=3),((('BLAZE SHIELD II'!$H$14*('CALCULO MORTERO'!I1433^2)+'BLAZE SHIELD II'!$H$15*'CALCULO MORTERO'!I1433+'BLAZE SHIELD II'!$H$16)*LN(J1433))+('BLAZE SHIELD II'!$H$17*('CALCULO MORTERO'!I1433^2)+'BLAZE SHIELD II'!$H$18*'CALCULO MORTERO'!I1433+'BLAZE SHIELD II'!$H$19)),0),0)+ROUND(IF(AND(L1433="Cafco 400",M1433="Software Idiem",C1433="IN",G1433=4),((('CAFCO 400 '!$H$7*(J1433^4)+'CAFCO 400 '!$H$8*(J1433^3)+'CAFCO 400 '!$H$9*(J1433^2)+'CAFCO 400 '!$H$10*J1433+'CAFCO 400 '!$H$11)*U1433^2)+(('CAFCO 400 '!$H$12*(J1433^3)+'CAFCO 400 '!$H$13*(J1433^2)+'CAFCO 400 '!$H$14*J1433+'CAFCO 400 '!$H$15)*U1433)+('CAFCO 400 '!$H$16*(J1433^2)+'CAFCO 400 '!$H$17*J1433+'CAFCO 400 '!$H$18)),0)+IF(AND(L1433="Cafco 400",M1433="Software Idiem",C1433="Cj"),(((('CAFCO 400 '!$D$7*LN(J1433)+'CAFCO 400 '!$D$8)*U1433^2)+(('CAFCO 400 '!$D$9*LN(J1433)+'CAFCO 400 '!$D$10)*U1433)+('CAFCO 400 '!$D$11*LN(J1433)+'CAFCO 400 '!$D$12))),0)+IF(AND(L1433="Cafco 400",M1433="Software Idiem",C1433="C"),((('CAFCO 400 '!$L$7*(J1433^3)+'CAFCO 400 '!$L$8*(J1433^2)+'CAFCO 400 '!$L$9*J1433+'CAFCO 400 '!$L$10)*U1433^2)+(('CAFCO 400 '!$L$11*(J1433^3)+'CAFCO 400 '!$L$12*(J1433^2)+'CAFCO 400 '!$L$13*J1433+'CAFCO 400 '!$L$14)*U1433)+('CAFCO 400 '!$L$15*LN(J1433)+'CAFCO 400 '!$L$16)),0)+IF(AND(L1433="Cafco 400",M1433="Software Idiem",C1433="L"),((('CAFCO 400 '!$L$7*(J1433^3)+'CAFCO 400 '!$L$8*(J1433^2)+'CAFCO 400 '!$L$9*J1433+'CAFCO 400 '!$L$10)*U1433^2)+(('CAFCO 400 '!$L$11*(J1433^3)+'CAFCO 400 '!$L$12*(J1433^2)+'CAFCO 400 '!$L$13*J1433+'CAFCO 400 '!$L$14)*U1433)+('CAFCO 400 '!$L$15*LN(J1433)+'CAFCO 400 '!$L$16)),0)+IF(AND(L1433="Cafco 400",M1433="Software Idiem",C1433="IN",G1433=3),((('CAFCO 400 '!$D$23*(J1433^2)+'CAFCO 400 '!$D$24*(J1433)+'CAFCO 400 '!$D$25)*U1433^2)+(('CAFCO 400 '!$D$26*(J1433^2)+'CAFCO 400 '!$D$27*J1433+'CAFCO 400 '!$D$28)*U1433)+('CAFCO 400 '!$D$29*(J1433^2)+'CAFCO 400 '!$D$30*J1433+'CAFCO 400 '!$D$31)),0),0)+IF(AND(L1433="Cafco 300",J1433&gt;=95,J1433&lt;=240,C1433="Cj",I1433=90),VLOOKUP(T1433,'CAFCO 300 IDIEM TABLAS'!$B$4:$D$23,2,FALSE),0)+IF(AND(L1433="Cafco 300",J1433&gt;=95,J1433&lt;=240,C1433="Cj",I1433=120),VLOOKUP(T1433,'CAFCO 300 IDIEM TABLAS'!$B$4:$D$23,3,FALSE),0)+IF(AND(L1433="Cafco 300",J1433&gt;=95,J1433&lt;=400,G1433=3,C1433="IN",I1433=90),VLOOKUP(T1433,'CAFCO 300 IDIEM TABLAS'!$F$4:$H$35,2,FALSE),0)+IF(AND(L1433="Cafco 300",J1433&gt;=95,J1433&lt;=400,G1433=3,C1433="IN",I1433=120),VLOOKUP(T1433,'CAFCO 300 IDIEM TABLAS'!$F$4:$H$35,3,FALSE),0)+IF(AND(L1433="Cafco 300",J1433&gt;=95,J1433&lt;=450,G1433=4,C1433="IN",I1433=90),VLOOKUP(T1433,'CAFCO 300 IDIEM TABLAS'!$J$4:$L$40,2,FALSE),0)+IF(AND(L1433="Cafco 300",J1433&gt;=95,J1433&lt;=450,G1433=4,C1433="IN",I1433=120),VLOOKUP(T1433,'CAFCO 300 IDIEM TABLAS'!$J$4:$L$40,3,FALSE),0)+IF(AND(M1433="Ensayo Idiem",L1433="Cafco 400",C1433="IN",G1433=4,I1433=90),VLOOKUP(T1433,'CAFCO 400 ENSAYO'!$B$7:$D$43,2,FALSE),0)+IF(AND(M1433="Ensayo Idiem",L1433="Cafco 400",C1433="IN",G1433=4,I1433=120),VLOOKUP(T1433,'CAFCO 400 ENSAYO'!$B$7:$D$43,3,FALSE),0)</f>
        <v>0</v>
      </c>
      <c r="O1433" s="96">
        <f t="shared" si="144"/>
        <v>0</v>
      </c>
      <c r="P1433" s="132" t="str">
        <f t="shared" si="139"/>
        <v>N/A</v>
      </c>
      <c r="Q1433" s="132" t="str">
        <f t="shared" si="140"/>
        <v>N/A</v>
      </c>
      <c r="R1433" s="132" t="str">
        <f t="shared" si="141"/>
        <v>NO CERT.</v>
      </c>
      <c r="S1433" s="132" t="e">
        <f t="shared" si="142"/>
        <v>#N/A</v>
      </c>
      <c r="T1433" s="133" t="e">
        <f>+IF(J1433=LOOKUP(J1433,'CAFCO 300 IDIEM TABLAS'!$J$4:$J$40),'CALCULO MORTERO'!J1433,MROUND('CALCULO MORTERO'!J1433,10))</f>
        <v>#N/A</v>
      </c>
      <c r="U1433" s="134">
        <f t="shared" si="143"/>
        <v>0</v>
      </c>
    </row>
    <row r="1434" spans="1:21" x14ac:dyDescent="0.25">
      <c r="A1434" s="118">
        <f>+CUBICACION!D1428</f>
        <v>0</v>
      </c>
      <c r="B1434" s="819">
        <f>+CUBICACION!E1428</f>
        <v>0</v>
      </c>
      <c r="C1434" s="675">
        <f>+CUBICACION!F1428</f>
        <v>0</v>
      </c>
      <c r="D1434" s="118"/>
      <c r="E1434" s="118"/>
      <c r="F1434" s="820"/>
      <c r="G1434" s="675">
        <f>+CUBICACION!J1428</f>
        <v>0</v>
      </c>
      <c r="H1434" s="118"/>
      <c r="I1434" s="821">
        <f>+CUBICACION!L1428</f>
        <v>0</v>
      </c>
      <c r="J1434" s="64">
        <f>+CUBICACION!M1428</f>
        <v>0</v>
      </c>
      <c r="K1434" s="822" t="str">
        <f>+CUBICACION!N1428</f>
        <v/>
      </c>
      <c r="L1434" s="118">
        <f>+CUBICACION!O1428</f>
        <v>0</v>
      </c>
      <c r="M1434" s="823">
        <f>+CUBICACION!P1428</f>
        <v>0</v>
      </c>
      <c r="N1434" s="902">
        <f>ROUND(IF(AND(L1434="Blaze Shield II",M1434="Software Idiem",C1434="IN",G1434=4),((('BLAZE SHIELD II'!$D$4*('CALCULO MORTERO'!I1434^2)+'BLAZE SHIELD II'!$D$5*'CALCULO MORTERO'!I1434+'BLAZE SHIELD II'!$D$6)*LN(J1434))+('BLAZE SHIELD II'!$D$7*('CALCULO MORTERO'!I1434^2)+'BLAZE SHIELD II'!$D$8*'CALCULO MORTERO'!I1434+'BLAZE SHIELD II'!$D$9)),0)+IF(AND(L1434="Blaze Shield II",M1434="Software Idiem",C1434="Cj"),((('BLAZE SHIELD II'!$H$4*('CALCULO MORTERO'!I1434^2)+'BLAZE SHIELD II'!$H$5*'CALCULO MORTERO'!I1434+'BLAZE SHIELD II'!$H$6)*LN(J1434))+('BLAZE SHIELD II'!$H$7*('CALCULO MORTERO'!I1434^2)+'BLAZE SHIELD II'!$H$8*'CALCULO MORTERO'!I1434+'BLAZE SHIELD II'!$H$9)),0)+IF(AND(L1434="Blaze Shield II",M1434="Software Idiem",C1434="C"),((('BLAZE SHIELD II'!$L$4*('CALCULO MORTERO'!I1434^2)+'BLAZE SHIELD II'!$L$5*'CALCULO MORTERO'!I1434+'BLAZE SHIELD II'!$L$6)*LN(J1434))+('BLAZE SHIELD II'!$L$7*('CALCULO MORTERO'!I1434^2)+'BLAZE SHIELD II'!$L$8*'CALCULO MORTERO'!I1434+'BLAZE SHIELD II'!$L$9)),0)+IF(AND(L1434="Blaze Shield II",M1434="Software Idiem",C1434="L"),((('BLAZE SHIELD II'!$L$4*('CALCULO MORTERO'!I1434^2)+'BLAZE SHIELD II'!$L$5*'CALCULO MORTERO'!I1434+'BLAZE SHIELD II'!$L$6)*LN(J1434))+('BLAZE SHIELD II'!$L$7*('CALCULO MORTERO'!I1434^2)+'BLAZE SHIELD II'!$L$8*'CALCULO MORTERO'!I1434+'BLAZE SHIELD II'!$L$9)),0)+IF(AND(L1434="Blaze Shield II",M1434="Software Idiem",C1434="IN",G1434=3),((('BLAZE SHIELD II'!$H$14*('CALCULO MORTERO'!I1434^2)+'BLAZE SHIELD II'!$H$15*'CALCULO MORTERO'!I1434+'BLAZE SHIELD II'!$H$16)*LN(J1434))+('BLAZE SHIELD II'!$H$17*('CALCULO MORTERO'!I1434^2)+'BLAZE SHIELD II'!$H$18*'CALCULO MORTERO'!I1434+'BLAZE SHIELD II'!$H$19)),0),0)+ROUND(IF(AND(L1434="Cafco 400",M1434="Software Idiem",C1434="IN",G1434=4),((('CAFCO 400 '!$H$7*(J1434^4)+'CAFCO 400 '!$H$8*(J1434^3)+'CAFCO 400 '!$H$9*(J1434^2)+'CAFCO 400 '!$H$10*J1434+'CAFCO 400 '!$H$11)*U1434^2)+(('CAFCO 400 '!$H$12*(J1434^3)+'CAFCO 400 '!$H$13*(J1434^2)+'CAFCO 400 '!$H$14*J1434+'CAFCO 400 '!$H$15)*U1434)+('CAFCO 400 '!$H$16*(J1434^2)+'CAFCO 400 '!$H$17*J1434+'CAFCO 400 '!$H$18)),0)+IF(AND(L1434="Cafco 400",M1434="Software Idiem",C1434="Cj"),(((('CAFCO 400 '!$D$7*LN(J1434)+'CAFCO 400 '!$D$8)*U1434^2)+(('CAFCO 400 '!$D$9*LN(J1434)+'CAFCO 400 '!$D$10)*U1434)+('CAFCO 400 '!$D$11*LN(J1434)+'CAFCO 400 '!$D$12))),0)+IF(AND(L1434="Cafco 400",M1434="Software Idiem",C1434="C"),((('CAFCO 400 '!$L$7*(J1434^3)+'CAFCO 400 '!$L$8*(J1434^2)+'CAFCO 400 '!$L$9*J1434+'CAFCO 400 '!$L$10)*U1434^2)+(('CAFCO 400 '!$L$11*(J1434^3)+'CAFCO 400 '!$L$12*(J1434^2)+'CAFCO 400 '!$L$13*J1434+'CAFCO 400 '!$L$14)*U1434)+('CAFCO 400 '!$L$15*LN(J1434)+'CAFCO 400 '!$L$16)),0)+IF(AND(L1434="Cafco 400",M1434="Software Idiem",C1434="L"),((('CAFCO 400 '!$L$7*(J1434^3)+'CAFCO 400 '!$L$8*(J1434^2)+'CAFCO 400 '!$L$9*J1434+'CAFCO 400 '!$L$10)*U1434^2)+(('CAFCO 400 '!$L$11*(J1434^3)+'CAFCO 400 '!$L$12*(J1434^2)+'CAFCO 400 '!$L$13*J1434+'CAFCO 400 '!$L$14)*U1434)+('CAFCO 400 '!$L$15*LN(J1434)+'CAFCO 400 '!$L$16)),0)+IF(AND(L1434="Cafco 400",M1434="Software Idiem",C1434="IN",G1434=3),((('CAFCO 400 '!$D$23*(J1434^2)+'CAFCO 400 '!$D$24*(J1434)+'CAFCO 400 '!$D$25)*U1434^2)+(('CAFCO 400 '!$D$26*(J1434^2)+'CAFCO 400 '!$D$27*J1434+'CAFCO 400 '!$D$28)*U1434)+('CAFCO 400 '!$D$29*(J1434^2)+'CAFCO 400 '!$D$30*J1434+'CAFCO 400 '!$D$31)),0),0)+IF(AND(L1434="Cafco 300",J1434&gt;=95,J1434&lt;=240,C1434="Cj",I1434=90),VLOOKUP(T1434,'CAFCO 300 IDIEM TABLAS'!$B$4:$D$23,2,FALSE),0)+IF(AND(L1434="Cafco 300",J1434&gt;=95,J1434&lt;=240,C1434="Cj",I1434=120),VLOOKUP(T1434,'CAFCO 300 IDIEM TABLAS'!$B$4:$D$23,3,FALSE),0)+IF(AND(L1434="Cafco 300",J1434&gt;=95,J1434&lt;=400,G1434=3,C1434="IN",I1434=90),VLOOKUP(T1434,'CAFCO 300 IDIEM TABLAS'!$F$4:$H$35,2,FALSE),0)+IF(AND(L1434="Cafco 300",J1434&gt;=95,J1434&lt;=400,G1434=3,C1434="IN",I1434=120),VLOOKUP(T1434,'CAFCO 300 IDIEM TABLAS'!$F$4:$H$35,3,FALSE),0)+IF(AND(L1434="Cafco 300",J1434&gt;=95,J1434&lt;=450,G1434=4,C1434="IN",I1434=90),VLOOKUP(T1434,'CAFCO 300 IDIEM TABLAS'!$J$4:$L$40,2,FALSE),0)+IF(AND(L1434="Cafco 300",J1434&gt;=95,J1434&lt;=450,G1434=4,C1434="IN",I1434=120),VLOOKUP(T1434,'CAFCO 300 IDIEM TABLAS'!$J$4:$L$40,3,FALSE),0)+IF(AND(M1434="Ensayo Idiem",L1434="Cafco 400",C1434="IN",G1434=4,I1434=90),VLOOKUP(T1434,'CAFCO 400 ENSAYO'!$B$7:$D$43,2,FALSE),0)+IF(AND(M1434="Ensayo Idiem",L1434="Cafco 400",C1434="IN",G1434=4,I1434=120),VLOOKUP(T1434,'CAFCO 400 ENSAYO'!$B$7:$D$43,3,FALSE),0)</f>
        <v>0</v>
      </c>
      <c r="O1434" s="96">
        <f t="shared" si="144"/>
        <v>0</v>
      </c>
      <c r="P1434" s="95" t="str">
        <f t="shared" si="139"/>
        <v>N/A</v>
      </c>
      <c r="Q1434" s="95" t="str">
        <f t="shared" si="140"/>
        <v>N/A</v>
      </c>
      <c r="R1434" s="95" t="str">
        <f t="shared" si="141"/>
        <v>NO CERT.</v>
      </c>
      <c r="S1434" s="95" t="e">
        <f t="shared" si="142"/>
        <v>#N/A</v>
      </c>
      <c r="T1434" s="119" t="e">
        <f>+IF(J1434=LOOKUP(J1434,'CAFCO 300 IDIEM TABLAS'!$J$4:$J$40),'CALCULO MORTERO'!J1434,MROUND('CALCULO MORTERO'!J1434,10))</f>
        <v>#N/A</v>
      </c>
      <c r="U1434" s="118">
        <f t="shared" si="143"/>
        <v>0</v>
      </c>
    </row>
    <row r="1435" spans="1:21" x14ac:dyDescent="0.25">
      <c r="A1435" s="118">
        <f>+CUBICACION!D1429</f>
        <v>0</v>
      </c>
      <c r="B1435" s="819">
        <f>+CUBICACION!E1429</f>
        <v>0</v>
      </c>
      <c r="C1435" s="675">
        <f>+CUBICACION!F1429</f>
        <v>0</v>
      </c>
      <c r="D1435" s="118"/>
      <c r="E1435" s="118"/>
      <c r="F1435" s="820"/>
      <c r="G1435" s="675">
        <f>+CUBICACION!J1429</f>
        <v>0</v>
      </c>
      <c r="H1435" s="118"/>
      <c r="I1435" s="821">
        <f>+CUBICACION!L1429</f>
        <v>0</v>
      </c>
      <c r="J1435" s="64">
        <f>+CUBICACION!M1429</f>
        <v>0</v>
      </c>
      <c r="K1435" s="822" t="str">
        <f>+CUBICACION!N1429</f>
        <v/>
      </c>
      <c r="L1435" s="118">
        <f>+CUBICACION!O1429</f>
        <v>0</v>
      </c>
      <c r="M1435" s="823">
        <f>+CUBICACION!P1429</f>
        <v>0</v>
      </c>
      <c r="N1435" s="902">
        <f>ROUND(IF(AND(L1435="Blaze Shield II",M1435="Software Idiem",C1435="IN",G1435=4),((('BLAZE SHIELD II'!$D$4*('CALCULO MORTERO'!I1435^2)+'BLAZE SHIELD II'!$D$5*'CALCULO MORTERO'!I1435+'BLAZE SHIELD II'!$D$6)*LN(J1435))+('BLAZE SHIELD II'!$D$7*('CALCULO MORTERO'!I1435^2)+'BLAZE SHIELD II'!$D$8*'CALCULO MORTERO'!I1435+'BLAZE SHIELD II'!$D$9)),0)+IF(AND(L1435="Blaze Shield II",M1435="Software Idiem",C1435="Cj"),((('BLAZE SHIELD II'!$H$4*('CALCULO MORTERO'!I1435^2)+'BLAZE SHIELD II'!$H$5*'CALCULO MORTERO'!I1435+'BLAZE SHIELD II'!$H$6)*LN(J1435))+('BLAZE SHIELD II'!$H$7*('CALCULO MORTERO'!I1435^2)+'BLAZE SHIELD II'!$H$8*'CALCULO MORTERO'!I1435+'BLAZE SHIELD II'!$H$9)),0)+IF(AND(L1435="Blaze Shield II",M1435="Software Idiem",C1435="C"),((('BLAZE SHIELD II'!$L$4*('CALCULO MORTERO'!I1435^2)+'BLAZE SHIELD II'!$L$5*'CALCULO MORTERO'!I1435+'BLAZE SHIELD II'!$L$6)*LN(J1435))+('BLAZE SHIELD II'!$L$7*('CALCULO MORTERO'!I1435^2)+'BLAZE SHIELD II'!$L$8*'CALCULO MORTERO'!I1435+'BLAZE SHIELD II'!$L$9)),0)+IF(AND(L1435="Blaze Shield II",M1435="Software Idiem",C1435="L"),((('BLAZE SHIELD II'!$L$4*('CALCULO MORTERO'!I1435^2)+'BLAZE SHIELD II'!$L$5*'CALCULO MORTERO'!I1435+'BLAZE SHIELD II'!$L$6)*LN(J1435))+('BLAZE SHIELD II'!$L$7*('CALCULO MORTERO'!I1435^2)+'BLAZE SHIELD II'!$L$8*'CALCULO MORTERO'!I1435+'BLAZE SHIELD II'!$L$9)),0)+IF(AND(L1435="Blaze Shield II",M1435="Software Idiem",C1435="IN",G1435=3),((('BLAZE SHIELD II'!$H$14*('CALCULO MORTERO'!I1435^2)+'BLAZE SHIELD II'!$H$15*'CALCULO MORTERO'!I1435+'BLAZE SHIELD II'!$H$16)*LN(J1435))+('BLAZE SHIELD II'!$H$17*('CALCULO MORTERO'!I1435^2)+'BLAZE SHIELD II'!$H$18*'CALCULO MORTERO'!I1435+'BLAZE SHIELD II'!$H$19)),0),0)+ROUND(IF(AND(L1435="Cafco 400",M1435="Software Idiem",C1435="IN",G1435=4),((('CAFCO 400 '!$H$7*(J1435^4)+'CAFCO 400 '!$H$8*(J1435^3)+'CAFCO 400 '!$H$9*(J1435^2)+'CAFCO 400 '!$H$10*J1435+'CAFCO 400 '!$H$11)*U1435^2)+(('CAFCO 400 '!$H$12*(J1435^3)+'CAFCO 400 '!$H$13*(J1435^2)+'CAFCO 400 '!$H$14*J1435+'CAFCO 400 '!$H$15)*U1435)+('CAFCO 400 '!$H$16*(J1435^2)+'CAFCO 400 '!$H$17*J1435+'CAFCO 400 '!$H$18)),0)+IF(AND(L1435="Cafco 400",M1435="Software Idiem",C1435="Cj"),(((('CAFCO 400 '!$D$7*LN(J1435)+'CAFCO 400 '!$D$8)*U1435^2)+(('CAFCO 400 '!$D$9*LN(J1435)+'CAFCO 400 '!$D$10)*U1435)+('CAFCO 400 '!$D$11*LN(J1435)+'CAFCO 400 '!$D$12))),0)+IF(AND(L1435="Cafco 400",M1435="Software Idiem",C1435="C"),((('CAFCO 400 '!$L$7*(J1435^3)+'CAFCO 400 '!$L$8*(J1435^2)+'CAFCO 400 '!$L$9*J1435+'CAFCO 400 '!$L$10)*U1435^2)+(('CAFCO 400 '!$L$11*(J1435^3)+'CAFCO 400 '!$L$12*(J1435^2)+'CAFCO 400 '!$L$13*J1435+'CAFCO 400 '!$L$14)*U1435)+('CAFCO 400 '!$L$15*LN(J1435)+'CAFCO 400 '!$L$16)),0)+IF(AND(L1435="Cafco 400",M1435="Software Idiem",C1435="L"),((('CAFCO 400 '!$L$7*(J1435^3)+'CAFCO 400 '!$L$8*(J1435^2)+'CAFCO 400 '!$L$9*J1435+'CAFCO 400 '!$L$10)*U1435^2)+(('CAFCO 400 '!$L$11*(J1435^3)+'CAFCO 400 '!$L$12*(J1435^2)+'CAFCO 400 '!$L$13*J1435+'CAFCO 400 '!$L$14)*U1435)+('CAFCO 400 '!$L$15*LN(J1435)+'CAFCO 400 '!$L$16)),0)+IF(AND(L1435="Cafco 400",M1435="Software Idiem",C1435="IN",G1435=3),((('CAFCO 400 '!$D$23*(J1435^2)+'CAFCO 400 '!$D$24*(J1435)+'CAFCO 400 '!$D$25)*U1435^2)+(('CAFCO 400 '!$D$26*(J1435^2)+'CAFCO 400 '!$D$27*J1435+'CAFCO 400 '!$D$28)*U1435)+('CAFCO 400 '!$D$29*(J1435^2)+'CAFCO 400 '!$D$30*J1435+'CAFCO 400 '!$D$31)),0),0)+IF(AND(L1435="Cafco 300",J1435&gt;=95,J1435&lt;=240,C1435="Cj",I1435=90),VLOOKUP(T1435,'CAFCO 300 IDIEM TABLAS'!$B$4:$D$23,2,FALSE),0)+IF(AND(L1435="Cafco 300",J1435&gt;=95,J1435&lt;=240,C1435="Cj",I1435=120),VLOOKUP(T1435,'CAFCO 300 IDIEM TABLAS'!$B$4:$D$23,3,FALSE),0)+IF(AND(L1435="Cafco 300",J1435&gt;=95,J1435&lt;=400,G1435=3,C1435="IN",I1435=90),VLOOKUP(T1435,'CAFCO 300 IDIEM TABLAS'!$F$4:$H$35,2,FALSE),0)+IF(AND(L1435="Cafco 300",J1435&gt;=95,J1435&lt;=400,G1435=3,C1435="IN",I1435=120),VLOOKUP(T1435,'CAFCO 300 IDIEM TABLAS'!$F$4:$H$35,3,FALSE),0)+IF(AND(L1435="Cafco 300",J1435&gt;=95,J1435&lt;=450,G1435=4,C1435="IN",I1435=90),VLOOKUP(T1435,'CAFCO 300 IDIEM TABLAS'!$J$4:$L$40,2,FALSE),0)+IF(AND(L1435="Cafco 300",J1435&gt;=95,J1435&lt;=450,G1435=4,C1435="IN",I1435=120),VLOOKUP(T1435,'CAFCO 300 IDIEM TABLAS'!$J$4:$L$40,3,FALSE),0)+IF(AND(M1435="Ensayo Idiem",L1435="Cafco 400",C1435="IN",G1435=4,I1435=90),VLOOKUP(T1435,'CAFCO 400 ENSAYO'!$B$7:$D$43,2,FALSE),0)+IF(AND(M1435="Ensayo Idiem",L1435="Cafco 400",C1435="IN",G1435=4,I1435=120),VLOOKUP(T1435,'CAFCO 400 ENSAYO'!$B$7:$D$43,3,FALSE),0)</f>
        <v>0</v>
      </c>
      <c r="O1435" s="96">
        <f t="shared" si="144"/>
        <v>0</v>
      </c>
      <c r="P1435" s="132" t="str">
        <f t="shared" si="139"/>
        <v>N/A</v>
      </c>
      <c r="Q1435" s="132" t="str">
        <f t="shared" si="140"/>
        <v>N/A</v>
      </c>
      <c r="R1435" s="132" t="str">
        <f t="shared" si="141"/>
        <v>NO CERT.</v>
      </c>
      <c r="S1435" s="132" t="e">
        <f t="shared" si="142"/>
        <v>#N/A</v>
      </c>
      <c r="T1435" s="133" t="e">
        <f>+IF(J1435=LOOKUP(J1435,'CAFCO 300 IDIEM TABLAS'!$J$4:$J$40),'CALCULO MORTERO'!J1435,MROUND('CALCULO MORTERO'!J1435,10))</f>
        <v>#N/A</v>
      </c>
      <c r="U1435" s="134">
        <f t="shared" si="143"/>
        <v>0</v>
      </c>
    </row>
    <row r="1436" spans="1:21" x14ac:dyDescent="0.25">
      <c r="A1436" s="118">
        <f>+CUBICACION!D1430</f>
        <v>0</v>
      </c>
      <c r="B1436" s="819">
        <f>+CUBICACION!E1430</f>
        <v>0</v>
      </c>
      <c r="C1436" s="675">
        <f>+CUBICACION!F1430</f>
        <v>0</v>
      </c>
      <c r="D1436" s="118"/>
      <c r="E1436" s="118"/>
      <c r="F1436" s="820"/>
      <c r="G1436" s="675">
        <f>+CUBICACION!J1430</f>
        <v>0</v>
      </c>
      <c r="H1436" s="118"/>
      <c r="I1436" s="821">
        <f>+CUBICACION!L1430</f>
        <v>0</v>
      </c>
      <c r="J1436" s="64">
        <f>+CUBICACION!M1430</f>
        <v>0</v>
      </c>
      <c r="K1436" s="822" t="str">
        <f>+CUBICACION!N1430</f>
        <v/>
      </c>
      <c r="L1436" s="118">
        <f>+CUBICACION!O1430</f>
        <v>0</v>
      </c>
      <c r="M1436" s="823">
        <f>+CUBICACION!P1430</f>
        <v>0</v>
      </c>
      <c r="N1436" s="902">
        <f>ROUND(IF(AND(L1436="Blaze Shield II",M1436="Software Idiem",C1436="IN",G1436=4),((('BLAZE SHIELD II'!$D$4*('CALCULO MORTERO'!I1436^2)+'BLAZE SHIELD II'!$D$5*'CALCULO MORTERO'!I1436+'BLAZE SHIELD II'!$D$6)*LN(J1436))+('BLAZE SHIELD II'!$D$7*('CALCULO MORTERO'!I1436^2)+'BLAZE SHIELD II'!$D$8*'CALCULO MORTERO'!I1436+'BLAZE SHIELD II'!$D$9)),0)+IF(AND(L1436="Blaze Shield II",M1436="Software Idiem",C1436="Cj"),((('BLAZE SHIELD II'!$H$4*('CALCULO MORTERO'!I1436^2)+'BLAZE SHIELD II'!$H$5*'CALCULO MORTERO'!I1436+'BLAZE SHIELD II'!$H$6)*LN(J1436))+('BLAZE SHIELD II'!$H$7*('CALCULO MORTERO'!I1436^2)+'BLAZE SHIELD II'!$H$8*'CALCULO MORTERO'!I1436+'BLAZE SHIELD II'!$H$9)),0)+IF(AND(L1436="Blaze Shield II",M1436="Software Idiem",C1436="C"),((('BLAZE SHIELD II'!$L$4*('CALCULO MORTERO'!I1436^2)+'BLAZE SHIELD II'!$L$5*'CALCULO MORTERO'!I1436+'BLAZE SHIELD II'!$L$6)*LN(J1436))+('BLAZE SHIELD II'!$L$7*('CALCULO MORTERO'!I1436^2)+'BLAZE SHIELD II'!$L$8*'CALCULO MORTERO'!I1436+'BLAZE SHIELD II'!$L$9)),0)+IF(AND(L1436="Blaze Shield II",M1436="Software Idiem",C1436="L"),((('BLAZE SHIELD II'!$L$4*('CALCULO MORTERO'!I1436^2)+'BLAZE SHIELD II'!$L$5*'CALCULO MORTERO'!I1436+'BLAZE SHIELD II'!$L$6)*LN(J1436))+('BLAZE SHIELD II'!$L$7*('CALCULO MORTERO'!I1436^2)+'BLAZE SHIELD II'!$L$8*'CALCULO MORTERO'!I1436+'BLAZE SHIELD II'!$L$9)),0)+IF(AND(L1436="Blaze Shield II",M1436="Software Idiem",C1436="IN",G1436=3),((('BLAZE SHIELD II'!$H$14*('CALCULO MORTERO'!I1436^2)+'BLAZE SHIELD II'!$H$15*'CALCULO MORTERO'!I1436+'BLAZE SHIELD II'!$H$16)*LN(J1436))+('BLAZE SHIELD II'!$H$17*('CALCULO MORTERO'!I1436^2)+'BLAZE SHIELD II'!$H$18*'CALCULO MORTERO'!I1436+'BLAZE SHIELD II'!$H$19)),0),0)+ROUND(IF(AND(L1436="Cafco 400",M1436="Software Idiem",C1436="IN",G1436=4),((('CAFCO 400 '!$H$7*(J1436^4)+'CAFCO 400 '!$H$8*(J1436^3)+'CAFCO 400 '!$H$9*(J1436^2)+'CAFCO 400 '!$H$10*J1436+'CAFCO 400 '!$H$11)*U1436^2)+(('CAFCO 400 '!$H$12*(J1436^3)+'CAFCO 400 '!$H$13*(J1436^2)+'CAFCO 400 '!$H$14*J1436+'CAFCO 400 '!$H$15)*U1436)+('CAFCO 400 '!$H$16*(J1436^2)+'CAFCO 400 '!$H$17*J1436+'CAFCO 400 '!$H$18)),0)+IF(AND(L1436="Cafco 400",M1436="Software Idiem",C1436="Cj"),(((('CAFCO 400 '!$D$7*LN(J1436)+'CAFCO 400 '!$D$8)*U1436^2)+(('CAFCO 400 '!$D$9*LN(J1436)+'CAFCO 400 '!$D$10)*U1436)+('CAFCO 400 '!$D$11*LN(J1436)+'CAFCO 400 '!$D$12))),0)+IF(AND(L1436="Cafco 400",M1436="Software Idiem",C1436="C"),((('CAFCO 400 '!$L$7*(J1436^3)+'CAFCO 400 '!$L$8*(J1436^2)+'CAFCO 400 '!$L$9*J1436+'CAFCO 400 '!$L$10)*U1436^2)+(('CAFCO 400 '!$L$11*(J1436^3)+'CAFCO 400 '!$L$12*(J1436^2)+'CAFCO 400 '!$L$13*J1436+'CAFCO 400 '!$L$14)*U1436)+('CAFCO 400 '!$L$15*LN(J1436)+'CAFCO 400 '!$L$16)),0)+IF(AND(L1436="Cafco 400",M1436="Software Idiem",C1436="L"),((('CAFCO 400 '!$L$7*(J1436^3)+'CAFCO 400 '!$L$8*(J1436^2)+'CAFCO 400 '!$L$9*J1436+'CAFCO 400 '!$L$10)*U1436^2)+(('CAFCO 400 '!$L$11*(J1436^3)+'CAFCO 400 '!$L$12*(J1436^2)+'CAFCO 400 '!$L$13*J1436+'CAFCO 400 '!$L$14)*U1436)+('CAFCO 400 '!$L$15*LN(J1436)+'CAFCO 400 '!$L$16)),0)+IF(AND(L1436="Cafco 400",M1436="Software Idiem",C1436="IN",G1436=3),((('CAFCO 400 '!$D$23*(J1436^2)+'CAFCO 400 '!$D$24*(J1436)+'CAFCO 400 '!$D$25)*U1436^2)+(('CAFCO 400 '!$D$26*(J1436^2)+'CAFCO 400 '!$D$27*J1436+'CAFCO 400 '!$D$28)*U1436)+('CAFCO 400 '!$D$29*(J1436^2)+'CAFCO 400 '!$D$30*J1436+'CAFCO 400 '!$D$31)),0),0)+IF(AND(L1436="Cafco 300",J1436&gt;=95,J1436&lt;=240,C1436="Cj",I1436=90),VLOOKUP(T1436,'CAFCO 300 IDIEM TABLAS'!$B$4:$D$23,2,FALSE),0)+IF(AND(L1436="Cafco 300",J1436&gt;=95,J1436&lt;=240,C1436="Cj",I1436=120),VLOOKUP(T1436,'CAFCO 300 IDIEM TABLAS'!$B$4:$D$23,3,FALSE),0)+IF(AND(L1436="Cafco 300",J1436&gt;=95,J1436&lt;=400,G1436=3,C1436="IN",I1436=90),VLOOKUP(T1436,'CAFCO 300 IDIEM TABLAS'!$F$4:$H$35,2,FALSE),0)+IF(AND(L1436="Cafco 300",J1436&gt;=95,J1436&lt;=400,G1436=3,C1436="IN",I1436=120),VLOOKUP(T1436,'CAFCO 300 IDIEM TABLAS'!$F$4:$H$35,3,FALSE),0)+IF(AND(L1436="Cafco 300",J1436&gt;=95,J1436&lt;=450,G1436=4,C1436="IN",I1436=90),VLOOKUP(T1436,'CAFCO 300 IDIEM TABLAS'!$J$4:$L$40,2,FALSE),0)+IF(AND(L1436="Cafco 300",J1436&gt;=95,J1436&lt;=450,G1436=4,C1436="IN",I1436=120),VLOOKUP(T1436,'CAFCO 300 IDIEM TABLAS'!$J$4:$L$40,3,FALSE),0)+IF(AND(M1436="Ensayo Idiem",L1436="Cafco 400",C1436="IN",G1436=4,I1436=90),VLOOKUP(T1436,'CAFCO 400 ENSAYO'!$B$7:$D$43,2,FALSE),0)+IF(AND(M1436="Ensayo Idiem",L1436="Cafco 400",C1436="IN",G1436=4,I1436=120),VLOOKUP(T1436,'CAFCO 400 ENSAYO'!$B$7:$D$43,3,FALSE),0)</f>
        <v>0</v>
      </c>
      <c r="O1436" s="96">
        <f t="shared" si="144"/>
        <v>0</v>
      </c>
      <c r="P1436" s="95" t="str">
        <f t="shared" si="139"/>
        <v>N/A</v>
      </c>
      <c r="Q1436" s="95" t="str">
        <f t="shared" si="140"/>
        <v>N/A</v>
      </c>
      <c r="R1436" s="95" t="str">
        <f t="shared" si="141"/>
        <v>NO CERT.</v>
      </c>
      <c r="S1436" s="95" t="e">
        <f t="shared" si="142"/>
        <v>#N/A</v>
      </c>
      <c r="T1436" s="119" t="e">
        <f>+IF(J1436=LOOKUP(J1436,'CAFCO 300 IDIEM TABLAS'!$J$4:$J$40),'CALCULO MORTERO'!J1436,MROUND('CALCULO MORTERO'!J1436,10))</f>
        <v>#N/A</v>
      </c>
      <c r="U1436" s="118">
        <f t="shared" si="143"/>
        <v>0</v>
      </c>
    </row>
    <row r="1437" spans="1:21" x14ac:dyDescent="0.25">
      <c r="A1437" s="118">
        <f>+CUBICACION!D1431</f>
        <v>0</v>
      </c>
      <c r="B1437" s="819">
        <f>+CUBICACION!E1431</f>
        <v>0</v>
      </c>
      <c r="C1437" s="675">
        <f>+CUBICACION!F1431</f>
        <v>0</v>
      </c>
      <c r="D1437" s="118"/>
      <c r="E1437" s="118"/>
      <c r="F1437" s="820"/>
      <c r="G1437" s="675">
        <f>+CUBICACION!J1431</f>
        <v>0</v>
      </c>
      <c r="H1437" s="118"/>
      <c r="I1437" s="821">
        <f>+CUBICACION!L1431</f>
        <v>0</v>
      </c>
      <c r="J1437" s="64">
        <f>+CUBICACION!M1431</f>
        <v>0</v>
      </c>
      <c r="K1437" s="822" t="str">
        <f>+CUBICACION!N1431</f>
        <v/>
      </c>
      <c r="L1437" s="118">
        <f>+CUBICACION!O1431</f>
        <v>0</v>
      </c>
      <c r="M1437" s="823">
        <f>+CUBICACION!P1431</f>
        <v>0</v>
      </c>
      <c r="N1437" s="902">
        <f>ROUND(IF(AND(L1437="Blaze Shield II",M1437="Software Idiem",C1437="IN",G1437=4),((('BLAZE SHIELD II'!$D$4*('CALCULO MORTERO'!I1437^2)+'BLAZE SHIELD II'!$D$5*'CALCULO MORTERO'!I1437+'BLAZE SHIELD II'!$D$6)*LN(J1437))+('BLAZE SHIELD II'!$D$7*('CALCULO MORTERO'!I1437^2)+'BLAZE SHIELD II'!$D$8*'CALCULO MORTERO'!I1437+'BLAZE SHIELD II'!$D$9)),0)+IF(AND(L1437="Blaze Shield II",M1437="Software Idiem",C1437="Cj"),((('BLAZE SHIELD II'!$H$4*('CALCULO MORTERO'!I1437^2)+'BLAZE SHIELD II'!$H$5*'CALCULO MORTERO'!I1437+'BLAZE SHIELD II'!$H$6)*LN(J1437))+('BLAZE SHIELD II'!$H$7*('CALCULO MORTERO'!I1437^2)+'BLAZE SHIELD II'!$H$8*'CALCULO MORTERO'!I1437+'BLAZE SHIELD II'!$H$9)),0)+IF(AND(L1437="Blaze Shield II",M1437="Software Idiem",C1437="C"),((('BLAZE SHIELD II'!$L$4*('CALCULO MORTERO'!I1437^2)+'BLAZE SHIELD II'!$L$5*'CALCULO MORTERO'!I1437+'BLAZE SHIELD II'!$L$6)*LN(J1437))+('BLAZE SHIELD II'!$L$7*('CALCULO MORTERO'!I1437^2)+'BLAZE SHIELD II'!$L$8*'CALCULO MORTERO'!I1437+'BLAZE SHIELD II'!$L$9)),0)+IF(AND(L1437="Blaze Shield II",M1437="Software Idiem",C1437="L"),((('BLAZE SHIELD II'!$L$4*('CALCULO MORTERO'!I1437^2)+'BLAZE SHIELD II'!$L$5*'CALCULO MORTERO'!I1437+'BLAZE SHIELD II'!$L$6)*LN(J1437))+('BLAZE SHIELD II'!$L$7*('CALCULO MORTERO'!I1437^2)+'BLAZE SHIELD II'!$L$8*'CALCULO MORTERO'!I1437+'BLAZE SHIELD II'!$L$9)),0)+IF(AND(L1437="Blaze Shield II",M1437="Software Idiem",C1437="IN",G1437=3),((('BLAZE SHIELD II'!$H$14*('CALCULO MORTERO'!I1437^2)+'BLAZE SHIELD II'!$H$15*'CALCULO MORTERO'!I1437+'BLAZE SHIELD II'!$H$16)*LN(J1437))+('BLAZE SHIELD II'!$H$17*('CALCULO MORTERO'!I1437^2)+'BLAZE SHIELD II'!$H$18*'CALCULO MORTERO'!I1437+'BLAZE SHIELD II'!$H$19)),0),0)+ROUND(IF(AND(L1437="Cafco 400",M1437="Software Idiem",C1437="IN",G1437=4),((('CAFCO 400 '!$H$7*(J1437^4)+'CAFCO 400 '!$H$8*(J1437^3)+'CAFCO 400 '!$H$9*(J1437^2)+'CAFCO 400 '!$H$10*J1437+'CAFCO 400 '!$H$11)*U1437^2)+(('CAFCO 400 '!$H$12*(J1437^3)+'CAFCO 400 '!$H$13*(J1437^2)+'CAFCO 400 '!$H$14*J1437+'CAFCO 400 '!$H$15)*U1437)+('CAFCO 400 '!$H$16*(J1437^2)+'CAFCO 400 '!$H$17*J1437+'CAFCO 400 '!$H$18)),0)+IF(AND(L1437="Cafco 400",M1437="Software Idiem",C1437="Cj"),(((('CAFCO 400 '!$D$7*LN(J1437)+'CAFCO 400 '!$D$8)*U1437^2)+(('CAFCO 400 '!$D$9*LN(J1437)+'CAFCO 400 '!$D$10)*U1437)+('CAFCO 400 '!$D$11*LN(J1437)+'CAFCO 400 '!$D$12))),0)+IF(AND(L1437="Cafco 400",M1437="Software Idiem",C1437="C"),((('CAFCO 400 '!$L$7*(J1437^3)+'CAFCO 400 '!$L$8*(J1437^2)+'CAFCO 400 '!$L$9*J1437+'CAFCO 400 '!$L$10)*U1437^2)+(('CAFCO 400 '!$L$11*(J1437^3)+'CAFCO 400 '!$L$12*(J1437^2)+'CAFCO 400 '!$L$13*J1437+'CAFCO 400 '!$L$14)*U1437)+('CAFCO 400 '!$L$15*LN(J1437)+'CAFCO 400 '!$L$16)),0)+IF(AND(L1437="Cafco 400",M1437="Software Idiem",C1437="L"),((('CAFCO 400 '!$L$7*(J1437^3)+'CAFCO 400 '!$L$8*(J1437^2)+'CAFCO 400 '!$L$9*J1437+'CAFCO 400 '!$L$10)*U1437^2)+(('CAFCO 400 '!$L$11*(J1437^3)+'CAFCO 400 '!$L$12*(J1437^2)+'CAFCO 400 '!$L$13*J1437+'CAFCO 400 '!$L$14)*U1437)+('CAFCO 400 '!$L$15*LN(J1437)+'CAFCO 400 '!$L$16)),0)+IF(AND(L1437="Cafco 400",M1437="Software Idiem",C1437="IN",G1437=3),((('CAFCO 400 '!$D$23*(J1437^2)+'CAFCO 400 '!$D$24*(J1437)+'CAFCO 400 '!$D$25)*U1437^2)+(('CAFCO 400 '!$D$26*(J1437^2)+'CAFCO 400 '!$D$27*J1437+'CAFCO 400 '!$D$28)*U1437)+('CAFCO 400 '!$D$29*(J1437^2)+'CAFCO 400 '!$D$30*J1437+'CAFCO 400 '!$D$31)),0),0)+IF(AND(L1437="Cafco 300",J1437&gt;=95,J1437&lt;=240,C1437="Cj",I1437=90),VLOOKUP(T1437,'CAFCO 300 IDIEM TABLAS'!$B$4:$D$23,2,FALSE),0)+IF(AND(L1437="Cafco 300",J1437&gt;=95,J1437&lt;=240,C1437="Cj",I1437=120),VLOOKUP(T1437,'CAFCO 300 IDIEM TABLAS'!$B$4:$D$23,3,FALSE),0)+IF(AND(L1437="Cafco 300",J1437&gt;=95,J1437&lt;=400,G1437=3,C1437="IN",I1437=90),VLOOKUP(T1437,'CAFCO 300 IDIEM TABLAS'!$F$4:$H$35,2,FALSE),0)+IF(AND(L1437="Cafco 300",J1437&gt;=95,J1437&lt;=400,G1437=3,C1437="IN",I1437=120),VLOOKUP(T1437,'CAFCO 300 IDIEM TABLAS'!$F$4:$H$35,3,FALSE),0)+IF(AND(L1437="Cafco 300",J1437&gt;=95,J1437&lt;=450,G1437=4,C1437="IN",I1437=90),VLOOKUP(T1437,'CAFCO 300 IDIEM TABLAS'!$J$4:$L$40,2,FALSE),0)+IF(AND(L1437="Cafco 300",J1437&gt;=95,J1437&lt;=450,G1437=4,C1437="IN",I1437=120),VLOOKUP(T1437,'CAFCO 300 IDIEM TABLAS'!$J$4:$L$40,3,FALSE),0)+IF(AND(M1437="Ensayo Idiem",L1437="Cafco 400",C1437="IN",G1437=4,I1437=90),VLOOKUP(T1437,'CAFCO 400 ENSAYO'!$B$7:$D$43,2,FALSE),0)+IF(AND(M1437="Ensayo Idiem",L1437="Cafco 400",C1437="IN",G1437=4,I1437=120),VLOOKUP(T1437,'CAFCO 400 ENSAYO'!$B$7:$D$43,3,FALSE),0)</f>
        <v>0</v>
      </c>
      <c r="O1437" s="96">
        <f t="shared" si="144"/>
        <v>0</v>
      </c>
      <c r="P1437" s="132" t="str">
        <f t="shared" si="139"/>
        <v>N/A</v>
      </c>
      <c r="Q1437" s="132" t="str">
        <f t="shared" si="140"/>
        <v>N/A</v>
      </c>
      <c r="R1437" s="132" t="str">
        <f t="shared" si="141"/>
        <v>NO CERT.</v>
      </c>
      <c r="S1437" s="132" t="e">
        <f t="shared" si="142"/>
        <v>#N/A</v>
      </c>
      <c r="T1437" s="133" t="e">
        <f>+IF(J1437=LOOKUP(J1437,'CAFCO 300 IDIEM TABLAS'!$J$4:$J$40),'CALCULO MORTERO'!J1437,MROUND('CALCULO MORTERO'!J1437,10))</f>
        <v>#N/A</v>
      </c>
      <c r="U1437" s="134">
        <f t="shared" si="143"/>
        <v>0</v>
      </c>
    </row>
    <row r="1438" spans="1:21" x14ac:dyDescent="0.25">
      <c r="A1438" s="118">
        <f>+CUBICACION!D1432</f>
        <v>0</v>
      </c>
      <c r="B1438" s="819">
        <f>+CUBICACION!E1432</f>
        <v>0</v>
      </c>
      <c r="C1438" s="675">
        <f>+CUBICACION!F1432</f>
        <v>0</v>
      </c>
      <c r="D1438" s="118"/>
      <c r="E1438" s="118"/>
      <c r="F1438" s="820"/>
      <c r="G1438" s="675">
        <f>+CUBICACION!J1432</f>
        <v>0</v>
      </c>
      <c r="H1438" s="118"/>
      <c r="I1438" s="821">
        <f>+CUBICACION!L1432</f>
        <v>0</v>
      </c>
      <c r="J1438" s="64">
        <f>+CUBICACION!M1432</f>
        <v>0</v>
      </c>
      <c r="K1438" s="822" t="str">
        <f>+CUBICACION!N1432</f>
        <v/>
      </c>
      <c r="L1438" s="118">
        <f>+CUBICACION!O1432</f>
        <v>0</v>
      </c>
      <c r="M1438" s="823">
        <f>+CUBICACION!P1432</f>
        <v>0</v>
      </c>
      <c r="N1438" s="902">
        <f>ROUND(IF(AND(L1438="Blaze Shield II",M1438="Software Idiem",C1438="IN",G1438=4),((('BLAZE SHIELD II'!$D$4*('CALCULO MORTERO'!I1438^2)+'BLAZE SHIELD II'!$D$5*'CALCULO MORTERO'!I1438+'BLAZE SHIELD II'!$D$6)*LN(J1438))+('BLAZE SHIELD II'!$D$7*('CALCULO MORTERO'!I1438^2)+'BLAZE SHIELD II'!$D$8*'CALCULO MORTERO'!I1438+'BLAZE SHIELD II'!$D$9)),0)+IF(AND(L1438="Blaze Shield II",M1438="Software Idiem",C1438="Cj"),((('BLAZE SHIELD II'!$H$4*('CALCULO MORTERO'!I1438^2)+'BLAZE SHIELD II'!$H$5*'CALCULO MORTERO'!I1438+'BLAZE SHIELD II'!$H$6)*LN(J1438))+('BLAZE SHIELD II'!$H$7*('CALCULO MORTERO'!I1438^2)+'BLAZE SHIELD II'!$H$8*'CALCULO MORTERO'!I1438+'BLAZE SHIELD II'!$H$9)),0)+IF(AND(L1438="Blaze Shield II",M1438="Software Idiem",C1438="C"),((('BLAZE SHIELD II'!$L$4*('CALCULO MORTERO'!I1438^2)+'BLAZE SHIELD II'!$L$5*'CALCULO MORTERO'!I1438+'BLAZE SHIELD II'!$L$6)*LN(J1438))+('BLAZE SHIELD II'!$L$7*('CALCULO MORTERO'!I1438^2)+'BLAZE SHIELD II'!$L$8*'CALCULO MORTERO'!I1438+'BLAZE SHIELD II'!$L$9)),0)+IF(AND(L1438="Blaze Shield II",M1438="Software Idiem",C1438="L"),((('BLAZE SHIELD II'!$L$4*('CALCULO MORTERO'!I1438^2)+'BLAZE SHIELD II'!$L$5*'CALCULO MORTERO'!I1438+'BLAZE SHIELD II'!$L$6)*LN(J1438))+('BLAZE SHIELD II'!$L$7*('CALCULO MORTERO'!I1438^2)+'BLAZE SHIELD II'!$L$8*'CALCULO MORTERO'!I1438+'BLAZE SHIELD II'!$L$9)),0)+IF(AND(L1438="Blaze Shield II",M1438="Software Idiem",C1438="IN",G1438=3),((('BLAZE SHIELD II'!$H$14*('CALCULO MORTERO'!I1438^2)+'BLAZE SHIELD II'!$H$15*'CALCULO MORTERO'!I1438+'BLAZE SHIELD II'!$H$16)*LN(J1438))+('BLAZE SHIELD II'!$H$17*('CALCULO MORTERO'!I1438^2)+'BLAZE SHIELD II'!$H$18*'CALCULO MORTERO'!I1438+'BLAZE SHIELD II'!$H$19)),0),0)+ROUND(IF(AND(L1438="Cafco 400",M1438="Software Idiem",C1438="IN",G1438=4),((('CAFCO 400 '!$H$7*(J1438^4)+'CAFCO 400 '!$H$8*(J1438^3)+'CAFCO 400 '!$H$9*(J1438^2)+'CAFCO 400 '!$H$10*J1438+'CAFCO 400 '!$H$11)*U1438^2)+(('CAFCO 400 '!$H$12*(J1438^3)+'CAFCO 400 '!$H$13*(J1438^2)+'CAFCO 400 '!$H$14*J1438+'CAFCO 400 '!$H$15)*U1438)+('CAFCO 400 '!$H$16*(J1438^2)+'CAFCO 400 '!$H$17*J1438+'CAFCO 400 '!$H$18)),0)+IF(AND(L1438="Cafco 400",M1438="Software Idiem",C1438="Cj"),(((('CAFCO 400 '!$D$7*LN(J1438)+'CAFCO 400 '!$D$8)*U1438^2)+(('CAFCO 400 '!$D$9*LN(J1438)+'CAFCO 400 '!$D$10)*U1438)+('CAFCO 400 '!$D$11*LN(J1438)+'CAFCO 400 '!$D$12))),0)+IF(AND(L1438="Cafco 400",M1438="Software Idiem",C1438="C"),((('CAFCO 400 '!$L$7*(J1438^3)+'CAFCO 400 '!$L$8*(J1438^2)+'CAFCO 400 '!$L$9*J1438+'CAFCO 400 '!$L$10)*U1438^2)+(('CAFCO 400 '!$L$11*(J1438^3)+'CAFCO 400 '!$L$12*(J1438^2)+'CAFCO 400 '!$L$13*J1438+'CAFCO 400 '!$L$14)*U1438)+('CAFCO 400 '!$L$15*LN(J1438)+'CAFCO 400 '!$L$16)),0)+IF(AND(L1438="Cafco 400",M1438="Software Idiem",C1438="L"),((('CAFCO 400 '!$L$7*(J1438^3)+'CAFCO 400 '!$L$8*(J1438^2)+'CAFCO 400 '!$L$9*J1438+'CAFCO 400 '!$L$10)*U1438^2)+(('CAFCO 400 '!$L$11*(J1438^3)+'CAFCO 400 '!$L$12*(J1438^2)+'CAFCO 400 '!$L$13*J1438+'CAFCO 400 '!$L$14)*U1438)+('CAFCO 400 '!$L$15*LN(J1438)+'CAFCO 400 '!$L$16)),0)+IF(AND(L1438="Cafco 400",M1438="Software Idiem",C1438="IN",G1438=3),((('CAFCO 400 '!$D$23*(J1438^2)+'CAFCO 400 '!$D$24*(J1438)+'CAFCO 400 '!$D$25)*U1438^2)+(('CAFCO 400 '!$D$26*(J1438^2)+'CAFCO 400 '!$D$27*J1438+'CAFCO 400 '!$D$28)*U1438)+('CAFCO 400 '!$D$29*(J1438^2)+'CAFCO 400 '!$D$30*J1438+'CAFCO 400 '!$D$31)),0),0)+IF(AND(L1438="Cafco 300",J1438&gt;=95,J1438&lt;=240,C1438="Cj",I1438=90),VLOOKUP(T1438,'CAFCO 300 IDIEM TABLAS'!$B$4:$D$23,2,FALSE),0)+IF(AND(L1438="Cafco 300",J1438&gt;=95,J1438&lt;=240,C1438="Cj",I1438=120),VLOOKUP(T1438,'CAFCO 300 IDIEM TABLAS'!$B$4:$D$23,3,FALSE),0)+IF(AND(L1438="Cafco 300",J1438&gt;=95,J1438&lt;=400,G1438=3,C1438="IN",I1438=90),VLOOKUP(T1438,'CAFCO 300 IDIEM TABLAS'!$F$4:$H$35,2,FALSE),0)+IF(AND(L1438="Cafco 300",J1438&gt;=95,J1438&lt;=400,G1438=3,C1438="IN",I1438=120),VLOOKUP(T1438,'CAFCO 300 IDIEM TABLAS'!$F$4:$H$35,3,FALSE),0)+IF(AND(L1438="Cafco 300",J1438&gt;=95,J1438&lt;=450,G1438=4,C1438="IN",I1438=90),VLOOKUP(T1438,'CAFCO 300 IDIEM TABLAS'!$J$4:$L$40,2,FALSE),0)+IF(AND(L1438="Cafco 300",J1438&gt;=95,J1438&lt;=450,G1438=4,C1438="IN",I1438=120),VLOOKUP(T1438,'CAFCO 300 IDIEM TABLAS'!$J$4:$L$40,3,FALSE),0)+IF(AND(M1438="Ensayo Idiem",L1438="Cafco 400",C1438="IN",G1438=4,I1438=90),VLOOKUP(T1438,'CAFCO 400 ENSAYO'!$B$7:$D$43,2,FALSE),0)+IF(AND(M1438="Ensayo Idiem",L1438="Cafco 400",C1438="IN",G1438=4,I1438=120),VLOOKUP(T1438,'CAFCO 400 ENSAYO'!$B$7:$D$43,3,FALSE),0)</f>
        <v>0</v>
      </c>
      <c r="O1438" s="96">
        <f t="shared" si="144"/>
        <v>0</v>
      </c>
      <c r="P1438" s="95" t="str">
        <f t="shared" si="139"/>
        <v>N/A</v>
      </c>
      <c r="Q1438" s="95" t="str">
        <f t="shared" si="140"/>
        <v>N/A</v>
      </c>
      <c r="R1438" s="95" t="str">
        <f t="shared" si="141"/>
        <v>NO CERT.</v>
      </c>
      <c r="S1438" s="95" t="e">
        <f t="shared" si="142"/>
        <v>#N/A</v>
      </c>
      <c r="T1438" s="119" t="e">
        <f>+IF(J1438=LOOKUP(J1438,'CAFCO 300 IDIEM TABLAS'!$J$4:$J$40),'CALCULO MORTERO'!J1438,MROUND('CALCULO MORTERO'!J1438,10))</f>
        <v>#N/A</v>
      </c>
      <c r="U1438" s="118">
        <f t="shared" si="143"/>
        <v>0</v>
      </c>
    </row>
    <row r="1439" spans="1:21" x14ac:dyDescent="0.25">
      <c r="A1439" s="118">
        <f>+CUBICACION!D1433</f>
        <v>0</v>
      </c>
      <c r="B1439" s="819">
        <f>+CUBICACION!E1433</f>
        <v>0</v>
      </c>
      <c r="C1439" s="675">
        <f>+CUBICACION!F1433</f>
        <v>0</v>
      </c>
      <c r="D1439" s="118"/>
      <c r="E1439" s="118"/>
      <c r="F1439" s="820"/>
      <c r="G1439" s="675">
        <f>+CUBICACION!J1433</f>
        <v>0</v>
      </c>
      <c r="H1439" s="118"/>
      <c r="I1439" s="821">
        <f>+CUBICACION!L1433</f>
        <v>0</v>
      </c>
      <c r="J1439" s="64">
        <f>+CUBICACION!M1433</f>
        <v>0</v>
      </c>
      <c r="K1439" s="822" t="str">
        <f>+CUBICACION!N1433</f>
        <v/>
      </c>
      <c r="L1439" s="118">
        <f>+CUBICACION!O1433</f>
        <v>0</v>
      </c>
      <c r="M1439" s="823">
        <f>+CUBICACION!P1433</f>
        <v>0</v>
      </c>
      <c r="N1439" s="902">
        <f>ROUND(IF(AND(L1439="Blaze Shield II",M1439="Software Idiem",C1439="IN",G1439=4),((('BLAZE SHIELD II'!$D$4*('CALCULO MORTERO'!I1439^2)+'BLAZE SHIELD II'!$D$5*'CALCULO MORTERO'!I1439+'BLAZE SHIELD II'!$D$6)*LN(J1439))+('BLAZE SHIELD II'!$D$7*('CALCULO MORTERO'!I1439^2)+'BLAZE SHIELD II'!$D$8*'CALCULO MORTERO'!I1439+'BLAZE SHIELD II'!$D$9)),0)+IF(AND(L1439="Blaze Shield II",M1439="Software Idiem",C1439="Cj"),((('BLAZE SHIELD II'!$H$4*('CALCULO MORTERO'!I1439^2)+'BLAZE SHIELD II'!$H$5*'CALCULO MORTERO'!I1439+'BLAZE SHIELD II'!$H$6)*LN(J1439))+('BLAZE SHIELD II'!$H$7*('CALCULO MORTERO'!I1439^2)+'BLAZE SHIELD II'!$H$8*'CALCULO MORTERO'!I1439+'BLAZE SHIELD II'!$H$9)),0)+IF(AND(L1439="Blaze Shield II",M1439="Software Idiem",C1439="C"),((('BLAZE SHIELD II'!$L$4*('CALCULO MORTERO'!I1439^2)+'BLAZE SHIELD II'!$L$5*'CALCULO MORTERO'!I1439+'BLAZE SHIELD II'!$L$6)*LN(J1439))+('BLAZE SHIELD II'!$L$7*('CALCULO MORTERO'!I1439^2)+'BLAZE SHIELD II'!$L$8*'CALCULO MORTERO'!I1439+'BLAZE SHIELD II'!$L$9)),0)+IF(AND(L1439="Blaze Shield II",M1439="Software Idiem",C1439="L"),((('BLAZE SHIELD II'!$L$4*('CALCULO MORTERO'!I1439^2)+'BLAZE SHIELD II'!$L$5*'CALCULO MORTERO'!I1439+'BLAZE SHIELD II'!$L$6)*LN(J1439))+('BLAZE SHIELD II'!$L$7*('CALCULO MORTERO'!I1439^2)+'BLAZE SHIELD II'!$L$8*'CALCULO MORTERO'!I1439+'BLAZE SHIELD II'!$L$9)),0)+IF(AND(L1439="Blaze Shield II",M1439="Software Idiem",C1439="IN",G1439=3),((('BLAZE SHIELD II'!$H$14*('CALCULO MORTERO'!I1439^2)+'BLAZE SHIELD II'!$H$15*'CALCULO MORTERO'!I1439+'BLAZE SHIELD II'!$H$16)*LN(J1439))+('BLAZE SHIELD II'!$H$17*('CALCULO MORTERO'!I1439^2)+'BLAZE SHIELD II'!$H$18*'CALCULO MORTERO'!I1439+'BLAZE SHIELD II'!$H$19)),0),0)+ROUND(IF(AND(L1439="Cafco 400",M1439="Software Idiem",C1439="IN",G1439=4),((('CAFCO 400 '!$H$7*(J1439^4)+'CAFCO 400 '!$H$8*(J1439^3)+'CAFCO 400 '!$H$9*(J1439^2)+'CAFCO 400 '!$H$10*J1439+'CAFCO 400 '!$H$11)*U1439^2)+(('CAFCO 400 '!$H$12*(J1439^3)+'CAFCO 400 '!$H$13*(J1439^2)+'CAFCO 400 '!$H$14*J1439+'CAFCO 400 '!$H$15)*U1439)+('CAFCO 400 '!$H$16*(J1439^2)+'CAFCO 400 '!$H$17*J1439+'CAFCO 400 '!$H$18)),0)+IF(AND(L1439="Cafco 400",M1439="Software Idiem",C1439="Cj"),(((('CAFCO 400 '!$D$7*LN(J1439)+'CAFCO 400 '!$D$8)*U1439^2)+(('CAFCO 400 '!$D$9*LN(J1439)+'CAFCO 400 '!$D$10)*U1439)+('CAFCO 400 '!$D$11*LN(J1439)+'CAFCO 400 '!$D$12))),0)+IF(AND(L1439="Cafco 400",M1439="Software Idiem",C1439="C"),((('CAFCO 400 '!$L$7*(J1439^3)+'CAFCO 400 '!$L$8*(J1439^2)+'CAFCO 400 '!$L$9*J1439+'CAFCO 400 '!$L$10)*U1439^2)+(('CAFCO 400 '!$L$11*(J1439^3)+'CAFCO 400 '!$L$12*(J1439^2)+'CAFCO 400 '!$L$13*J1439+'CAFCO 400 '!$L$14)*U1439)+('CAFCO 400 '!$L$15*LN(J1439)+'CAFCO 400 '!$L$16)),0)+IF(AND(L1439="Cafco 400",M1439="Software Idiem",C1439="L"),((('CAFCO 400 '!$L$7*(J1439^3)+'CAFCO 400 '!$L$8*(J1439^2)+'CAFCO 400 '!$L$9*J1439+'CAFCO 400 '!$L$10)*U1439^2)+(('CAFCO 400 '!$L$11*(J1439^3)+'CAFCO 400 '!$L$12*(J1439^2)+'CAFCO 400 '!$L$13*J1439+'CAFCO 400 '!$L$14)*U1439)+('CAFCO 400 '!$L$15*LN(J1439)+'CAFCO 400 '!$L$16)),0)+IF(AND(L1439="Cafco 400",M1439="Software Idiem",C1439="IN",G1439=3),((('CAFCO 400 '!$D$23*(J1439^2)+'CAFCO 400 '!$D$24*(J1439)+'CAFCO 400 '!$D$25)*U1439^2)+(('CAFCO 400 '!$D$26*(J1439^2)+'CAFCO 400 '!$D$27*J1439+'CAFCO 400 '!$D$28)*U1439)+('CAFCO 400 '!$D$29*(J1439^2)+'CAFCO 400 '!$D$30*J1439+'CAFCO 400 '!$D$31)),0),0)+IF(AND(L1439="Cafco 300",J1439&gt;=95,J1439&lt;=240,C1439="Cj",I1439=90),VLOOKUP(T1439,'CAFCO 300 IDIEM TABLAS'!$B$4:$D$23,2,FALSE),0)+IF(AND(L1439="Cafco 300",J1439&gt;=95,J1439&lt;=240,C1439="Cj",I1439=120),VLOOKUP(T1439,'CAFCO 300 IDIEM TABLAS'!$B$4:$D$23,3,FALSE),0)+IF(AND(L1439="Cafco 300",J1439&gt;=95,J1439&lt;=400,G1439=3,C1439="IN",I1439=90),VLOOKUP(T1439,'CAFCO 300 IDIEM TABLAS'!$F$4:$H$35,2,FALSE),0)+IF(AND(L1439="Cafco 300",J1439&gt;=95,J1439&lt;=400,G1439=3,C1439="IN",I1439=120),VLOOKUP(T1439,'CAFCO 300 IDIEM TABLAS'!$F$4:$H$35,3,FALSE),0)+IF(AND(L1439="Cafco 300",J1439&gt;=95,J1439&lt;=450,G1439=4,C1439="IN",I1439=90),VLOOKUP(T1439,'CAFCO 300 IDIEM TABLAS'!$J$4:$L$40,2,FALSE),0)+IF(AND(L1439="Cafco 300",J1439&gt;=95,J1439&lt;=450,G1439=4,C1439="IN",I1439=120),VLOOKUP(T1439,'CAFCO 300 IDIEM TABLAS'!$J$4:$L$40,3,FALSE),0)+IF(AND(M1439="Ensayo Idiem",L1439="Cafco 400",C1439="IN",G1439=4,I1439=90),VLOOKUP(T1439,'CAFCO 400 ENSAYO'!$B$7:$D$43,2,FALSE),0)+IF(AND(M1439="Ensayo Idiem",L1439="Cafco 400",C1439="IN",G1439=4,I1439=120),VLOOKUP(T1439,'CAFCO 400 ENSAYO'!$B$7:$D$43,3,FALSE),0)</f>
        <v>0</v>
      </c>
      <c r="O1439" s="96">
        <f t="shared" si="144"/>
        <v>0</v>
      </c>
      <c r="P1439" s="132" t="str">
        <f t="shared" si="139"/>
        <v>N/A</v>
      </c>
      <c r="Q1439" s="132" t="str">
        <f t="shared" si="140"/>
        <v>N/A</v>
      </c>
      <c r="R1439" s="132" t="str">
        <f t="shared" si="141"/>
        <v>NO CERT.</v>
      </c>
      <c r="S1439" s="132" t="e">
        <f t="shared" si="142"/>
        <v>#N/A</v>
      </c>
      <c r="T1439" s="133" t="e">
        <f>+IF(J1439=LOOKUP(J1439,'CAFCO 300 IDIEM TABLAS'!$J$4:$J$40),'CALCULO MORTERO'!J1439,MROUND('CALCULO MORTERO'!J1439,10))</f>
        <v>#N/A</v>
      </c>
      <c r="U1439" s="134">
        <f t="shared" si="143"/>
        <v>0</v>
      </c>
    </row>
    <row r="1440" spans="1:21" x14ac:dyDescent="0.25">
      <c r="A1440" s="118">
        <f>+CUBICACION!D1434</f>
        <v>0</v>
      </c>
      <c r="B1440" s="819">
        <f>+CUBICACION!E1434</f>
        <v>0</v>
      </c>
      <c r="C1440" s="675">
        <f>+CUBICACION!F1434</f>
        <v>0</v>
      </c>
      <c r="D1440" s="118"/>
      <c r="E1440" s="118"/>
      <c r="F1440" s="820"/>
      <c r="G1440" s="675">
        <f>+CUBICACION!J1434</f>
        <v>0</v>
      </c>
      <c r="H1440" s="118"/>
      <c r="I1440" s="821">
        <f>+CUBICACION!L1434</f>
        <v>0</v>
      </c>
      <c r="J1440" s="64">
        <f>+CUBICACION!M1434</f>
        <v>0</v>
      </c>
      <c r="K1440" s="822" t="str">
        <f>+CUBICACION!N1434</f>
        <v/>
      </c>
      <c r="L1440" s="118">
        <f>+CUBICACION!O1434</f>
        <v>0</v>
      </c>
      <c r="M1440" s="823">
        <f>+CUBICACION!P1434</f>
        <v>0</v>
      </c>
      <c r="N1440" s="902">
        <f>ROUND(IF(AND(L1440="Blaze Shield II",M1440="Software Idiem",C1440="IN",G1440=4),((('BLAZE SHIELD II'!$D$4*('CALCULO MORTERO'!I1440^2)+'BLAZE SHIELD II'!$D$5*'CALCULO MORTERO'!I1440+'BLAZE SHIELD II'!$D$6)*LN(J1440))+('BLAZE SHIELD II'!$D$7*('CALCULO MORTERO'!I1440^2)+'BLAZE SHIELD II'!$D$8*'CALCULO MORTERO'!I1440+'BLAZE SHIELD II'!$D$9)),0)+IF(AND(L1440="Blaze Shield II",M1440="Software Idiem",C1440="Cj"),((('BLAZE SHIELD II'!$H$4*('CALCULO MORTERO'!I1440^2)+'BLAZE SHIELD II'!$H$5*'CALCULO MORTERO'!I1440+'BLAZE SHIELD II'!$H$6)*LN(J1440))+('BLAZE SHIELD II'!$H$7*('CALCULO MORTERO'!I1440^2)+'BLAZE SHIELD II'!$H$8*'CALCULO MORTERO'!I1440+'BLAZE SHIELD II'!$H$9)),0)+IF(AND(L1440="Blaze Shield II",M1440="Software Idiem",C1440="C"),((('BLAZE SHIELD II'!$L$4*('CALCULO MORTERO'!I1440^2)+'BLAZE SHIELD II'!$L$5*'CALCULO MORTERO'!I1440+'BLAZE SHIELD II'!$L$6)*LN(J1440))+('BLAZE SHIELD II'!$L$7*('CALCULO MORTERO'!I1440^2)+'BLAZE SHIELD II'!$L$8*'CALCULO MORTERO'!I1440+'BLAZE SHIELD II'!$L$9)),0)+IF(AND(L1440="Blaze Shield II",M1440="Software Idiem",C1440="L"),((('BLAZE SHIELD II'!$L$4*('CALCULO MORTERO'!I1440^2)+'BLAZE SHIELD II'!$L$5*'CALCULO MORTERO'!I1440+'BLAZE SHIELD II'!$L$6)*LN(J1440))+('BLAZE SHIELD II'!$L$7*('CALCULO MORTERO'!I1440^2)+'BLAZE SHIELD II'!$L$8*'CALCULO MORTERO'!I1440+'BLAZE SHIELD II'!$L$9)),0)+IF(AND(L1440="Blaze Shield II",M1440="Software Idiem",C1440="IN",G1440=3),((('BLAZE SHIELD II'!$H$14*('CALCULO MORTERO'!I1440^2)+'BLAZE SHIELD II'!$H$15*'CALCULO MORTERO'!I1440+'BLAZE SHIELD II'!$H$16)*LN(J1440))+('BLAZE SHIELD II'!$H$17*('CALCULO MORTERO'!I1440^2)+'BLAZE SHIELD II'!$H$18*'CALCULO MORTERO'!I1440+'BLAZE SHIELD II'!$H$19)),0),0)+ROUND(IF(AND(L1440="Cafco 400",M1440="Software Idiem",C1440="IN",G1440=4),((('CAFCO 400 '!$H$7*(J1440^4)+'CAFCO 400 '!$H$8*(J1440^3)+'CAFCO 400 '!$H$9*(J1440^2)+'CAFCO 400 '!$H$10*J1440+'CAFCO 400 '!$H$11)*U1440^2)+(('CAFCO 400 '!$H$12*(J1440^3)+'CAFCO 400 '!$H$13*(J1440^2)+'CAFCO 400 '!$H$14*J1440+'CAFCO 400 '!$H$15)*U1440)+('CAFCO 400 '!$H$16*(J1440^2)+'CAFCO 400 '!$H$17*J1440+'CAFCO 400 '!$H$18)),0)+IF(AND(L1440="Cafco 400",M1440="Software Idiem",C1440="Cj"),(((('CAFCO 400 '!$D$7*LN(J1440)+'CAFCO 400 '!$D$8)*U1440^2)+(('CAFCO 400 '!$D$9*LN(J1440)+'CAFCO 400 '!$D$10)*U1440)+('CAFCO 400 '!$D$11*LN(J1440)+'CAFCO 400 '!$D$12))),0)+IF(AND(L1440="Cafco 400",M1440="Software Idiem",C1440="C"),((('CAFCO 400 '!$L$7*(J1440^3)+'CAFCO 400 '!$L$8*(J1440^2)+'CAFCO 400 '!$L$9*J1440+'CAFCO 400 '!$L$10)*U1440^2)+(('CAFCO 400 '!$L$11*(J1440^3)+'CAFCO 400 '!$L$12*(J1440^2)+'CAFCO 400 '!$L$13*J1440+'CAFCO 400 '!$L$14)*U1440)+('CAFCO 400 '!$L$15*LN(J1440)+'CAFCO 400 '!$L$16)),0)+IF(AND(L1440="Cafco 400",M1440="Software Idiem",C1440="L"),((('CAFCO 400 '!$L$7*(J1440^3)+'CAFCO 400 '!$L$8*(J1440^2)+'CAFCO 400 '!$L$9*J1440+'CAFCO 400 '!$L$10)*U1440^2)+(('CAFCO 400 '!$L$11*(J1440^3)+'CAFCO 400 '!$L$12*(J1440^2)+'CAFCO 400 '!$L$13*J1440+'CAFCO 400 '!$L$14)*U1440)+('CAFCO 400 '!$L$15*LN(J1440)+'CAFCO 400 '!$L$16)),0)+IF(AND(L1440="Cafco 400",M1440="Software Idiem",C1440="IN",G1440=3),((('CAFCO 400 '!$D$23*(J1440^2)+'CAFCO 400 '!$D$24*(J1440)+'CAFCO 400 '!$D$25)*U1440^2)+(('CAFCO 400 '!$D$26*(J1440^2)+'CAFCO 400 '!$D$27*J1440+'CAFCO 400 '!$D$28)*U1440)+('CAFCO 400 '!$D$29*(J1440^2)+'CAFCO 400 '!$D$30*J1440+'CAFCO 400 '!$D$31)),0),0)+IF(AND(L1440="Cafco 300",J1440&gt;=95,J1440&lt;=240,C1440="Cj",I1440=90),VLOOKUP(T1440,'CAFCO 300 IDIEM TABLAS'!$B$4:$D$23,2,FALSE),0)+IF(AND(L1440="Cafco 300",J1440&gt;=95,J1440&lt;=240,C1440="Cj",I1440=120),VLOOKUP(T1440,'CAFCO 300 IDIEM TABLAS'!$B$4:$D$23,3,FALSE),0)+IF(AND(L1440="Cafco 300",J1440&gt;=95,J1440&lt;=400,G1440=3,C1440="IN",I1440=90),VLOOKUP(T1440,'CAFCO 300 IDIEM TABLAS'!$F$4:$H$35,2,FALSE),0)+IF(AND(L1440="Cafco 300",J1440&gt;=95,J1440&lt;=400,G1440=3,C1440="IN",I1440=120),VLOOKUP(T1440,'CAFCO 300 IDIEM TABLAS'!$F$4:$H$35,3,FALSE),0)+IF(AND(L1440="Cafco 300",J1440&gt;=95,J1440&lt;=450,G1440=4,C1440="IN",I1440=90),VLOOKUP(T1440,'CAFCO 300 IDIEM TABLAS'!$J$4:$L$40,2,FALSE),0)+IF(AND(L1440="Cafco 300",J1440&gt;=95,J1440&lt;=450,G1440=4,C1440="IN",I1440=120),VLOOKUP(T1440,'CAFCO 300 IDIEM TABLAS'!$J$4:$L$40,3,FALSE),0)+IF(AND(M1440="Ensayo Idiem",L1440="Cafco 400",C1440="IN",G1440=4,I1440=90),VLOOKUP(T1440,'CAFCO 400 ENSAYO'!$B$7:$D$43,2,FALSE),0)+IF(AND(M1440="Ensayo Idiem",L1440="Cafco 400",C1440="IN",G1440=4,I1440=120),VLOOKUP(T1440,'CAFCO 400 ENSAYO'!$B$7:$D$43,3,FALSE),0)</f>
        <v>0</v>
      </c>
      <c r="O1440" s="96">
        <f t="shared" si="144"/>
        <v>0</v>
      </c>
      <c r="P1440" s="95" t="str">
        <f t="shared" si="139"/>
        <v>N/A</v>
      </c>
      <c r="Q1440" s="95" t="str">
        <f t="shared" si="140"/>
        <v>N/A</v>
      </c>
      <c r="R1440" s="95" t="str">
        <f t="shared" si="141"/>
        <v>NO CERT.</v>
      </c>
      <c r="S1440" s="95" t="e">
        <f t="shared" si="142"/>
        <v>#N/A</v>
      </c>
      <c r="T1440" s="119" t="e">
        <f>+IF(J1440=LOOKUP(J1440,'CAFCO 300 IDIEM TABLAS'!$J$4:$J$40),'CALCULO MORTERO'!J1440,MROUND('CALCULO MORTERO'!J1440,10))</f>
        <v>#N/A</v>
      </c>
      <c r="U1440" s="118">
        <f t="shared" si="143"/>
        <v>0</v>
      </c>
    </row>
    <row r="1441" spans="1:21" x14ac:dyDescent="0.25">
      <c r="A1441" s="118">
        <f>+CUBICACION!D1435</f>
        <v>0</v>
      </c>
      <c r="B1441" s="819">
        <f>+CUBICACION!E1435</f>
        <v>0</v>
      </c>
      <c r="C1441" s="675">
        <f>+CUBICACION!F1435</f>
        <v>0</v>
      </c>
      <c r="D1441" s="118"/>
      <c r="E1441" s="118"/>
      <c r="F1441" s="820"/>
      <c r="G1441" s="675">
        <f>+CUBICACION!J1435</f>
        <v>0</v>
      </c>
      <c r="H1441" s="118"/>
      <c r="I1441" s="821">
        <f>+CUBICACION!L1435</f>
        <v>0</v>
      </c>
      <c r="J1441" s="64">
        <f>+CUBICACION!M1435</f>
        <v>0</v>
      </c>
      <c r="K1441" s="822" t="str">
        <f>+CUBICACION!N1435</f>
        <v/>
      </c>
      <c r="L1441" s="118">
        <f>+CUBICACION!O1435</f>
        <v>0</v>
      </c>
      <c r="M1441" s="823">
        <f>+CUBICACION!P1435</f>
        <v>0</v>
      </c>
      <c r="N1441" s="902">
        <f>ROUND(IF(AND(L1441="Blaze Shield II",M1441="Software Idiem",C1441="IN",G1441=4),((('BLAZE SHIELD II'!$D$4*('CALCULO MORTERO'!I1441^2)+'BLAZE SHIELD II'!$D$5*'CALCULO MORTERO'!I1441+'BLAZE SHIELD II'!$D$6)*LN(J1441))+('BLAZE SHIELD II'!$D$7*('CALCULO MORTERO'!I1441^2)+'BLAZE SHIELD II'!$D$8*'CALCULO MORTERO'!I1441+'BLAZE SHIELD II'!$D$9)),0)+IF(AND(L1441="Blaze Shield II",M1441="Software Idiem",C1441="Cj"),((('BLAZE SHIELD II'!$H$4*('CALCULO MORTERO'!I1441^2)+'BLAZE SHIELD II'!$H$5*'CALCULO MORTERO'!I1441+'BLAZE SHIELD II'!$H$6)*LN(J1441))+('BLAZE SHIELD II'!$H$7*('CALCULO MORTERO'!I1441^2)+'BLAZE SHIELD II'!$H$8*'CALCULO MORTERO'!I1441+'BLAZE SHIELD II'!$H$9)),0)+IF(AND(L1441="Blaze Shield II",M1441="Software Idiem",C1441="C"),((('BLAZE SHIELD II'!$L$4*('CALCULO MORTERO'!I1441^2)+'BLAZE SHIELD II'!$L$5*'CALCULO MORTERO'!I1441+'BLAZE SHIELD II'!$L$6)*LN(J1441))+('BLAZE SHIELD II'!$L$7*('CALCULO MORTERO'!I1441^2)+'BLAZE SHIELD II'!$L$8*'CALCULO MORTERO'!I1441+'BLAZE SHIELD II'!$L$9)),0)+IF(AND(L1441="Blaze Shield II",M1441="Software Idiem",C1441="L"),((('BLAZE SHIELD II'!$L$4*('CALCULO MORTERO'!I1441^2)+'BLAZE SHIELD II'!$L$5*'CALCULO MORTERO'!I1441+'BLAZE SHIELD II'!$L$6)*LN(J1441))+('BLAZE SHIELD II'!$L$7*('CALCULO MORTERO'!I1441^2)+'BLAZE SHIELD II'!$L$8*'CALCULO MORTERO'!I1441+'BLAZE SHIELD II'!$L$9)),0)+IF(AND(L1441="Blaze Shield II",M1441="Software Idiem",C1441="IN",G1441=3),((('BLAZE SHIELD II'!$H$14*('CALCULO MORTERO'!I1441^2)+'BLAZE SHIELD II'!$H$15*'CALCULO MORTERO'!I1441+'BLAZE SHIELD II'!$H$16)*LN(J1441))+('BLAZE SHIELD II'!$H$17*('CALCULO MORTERO'!I1441^2)+'BLAZE SHIELD II'!$H$18*'CALCULO MORTERO'!I1441+'BLAZE SHIELD II'!$H$19)),0),0)+ROUND(IF(AND(L1441="Cafco 400",M1441="Software Idiem",C1441="IN",G1441=4),((('CAFCO 400 '!$H$7*(J1441^4)+'CAFCO 400 '!$H$8*(J1441^3)+'CAFCO 400 '!$H$9*(J1441^2)+'CAFCO 400 '!$H$10*J1441+'CAFCO 400 '!$H$11)*U1441^2)+(('CAFCO 400 '!$H$12*(J1441^3)+'CAFCO 400 '!$H$13*(J1441^2)+'CAFCO 400 '!$H$14*J1441+'CAFCO 400 '!$H$15)*U1441)+('CAFCO 400 '!$H$16*(J1441^2)+'CAFCO 400 '!$H$17*J1441+'CAFCO 400 '!$H$18)),0)+IF(AND(L1441="Cafco 400",M1441="Software Idiem",C1441="Cj"),(((('CAFCO 400 '!$D$7*LN(J1441)+'CAFCO 400 '!$D$8)*U1441^2)+(('CAFCO 400 '!$D$9*LN(J1441)+'CAFCO 400 '!$D$10)*U1441)+('CAFCO 400 '!$D$11*LN(J1441)+'CAFCO 400 '!$D$12))),0)+IF(AND(L1441="Cafco 400",M1441="Software Idiem",C1441="C"),((('CAFCO 400 '!$L$7*(J1441^3)+'CAFCO 400 '!$L$8*(J1441^2)+'CAFCO 400 '!$L$9*J1441+'CAFCO 400 '!$L$10)*U1441^2)+(('CAFCO 400 '!$L$11*(J1441^3)+'CAFCO 400 '!$L$12*(J1441^2)+'CAFCO 400 '!$L$13*J1441+'CAFCO 400 '!$L$14)*U1441)+('CAFCO 400 '!$L$15*LN(J1441)+'CAFCO 400 '!$L$16)),0)+IF(AND(L1441="Cafco 400",M1441="Software Idiem",C1441="L"),((('CAFCO 400 '!$L$7*(J1441^3)+'CAFCO 400 '!$L$8*(J1441^2)+'CAFCO 400 '!$L$9*J1441+'CAFCO 400 '!$L$10)*U1441^2)+(('CAFCO 400 '!$L$11*(J1441^3)+'CAFCO 400 '!$L$12*(J1441^2)+'CAFCO 400 '!$L$13*J1441+'CAFCO 400 '!$L$14)*U1441)+('CAFCO 400 '!$L$15*LN(J1441)+'CAFCO 400 '!$L$16)),0)+IF(AND(L1441="Cafco 400",M1441="Software Idiem",C1441="IN",G1441=3),((('CAFCO 400 '!$D$23*(J1441^2)+'CAFCO 400 '!$D$24*(J1441)+'CAFCO 400 '!$D$25)*U1441^2)+(('CAFCO 400 '!$D$26*(J1441^2)+'CAFCO 400 '!$D$27*J1441+'CAFCO 400 '!$D$28)*U1441)+('CAFCO 400 '!$D$29*(J1441^2)+'CAFCO 400 '!$D$30*J1441+'CAFCO 400 '!$D$31)),0),0)+IF(AND(L1441="Cafco 300",J1441&gt;=95,J1441&lt;=240,C1441="Cj",I1441=90),VLOOKUP(T1441,'CAFCO 300 IDIEM TABLAS'!$B$4:$D$23,2,FALSE),0)+IF(AND(L1441="Cafco 300",J1441&gt;=95,J1441&lt;=240,C1441="Cj",I1441=120),VLOOKUP(T1441,'CAFCO 300 IDIEM TABLAS'!$B$4:$D$23,3,FALSE),0)+IF(AND(L1441="Cafco 300",J1441&gt;=95,J1441&lt;=400,G1441=3,C1441="IN",I1441=90),VLOOKUP(T1441,'CAFCO 300 IDIEM TABLAS'!$F$4:$H$35,2,FALSE),0)+IF(AND(L1441="Cafco 300",J1441&gt;=95,J1441&lt;=400,G1441=3,C1441="IN",I1441=120),VLOOKUP(T1441,'CAFCO 300 IDIEM TABLAS'!$F$4:$H$35,3,FALSE),0)+IF(AND(L1441="Cafco 300",J1441&gt;=95,J1441&lt;=450,G1441=4,C1441="IN",I1441=90),VLOOKUP(T1441,'CAFCO 300 IDIEM TABLAS'!$J$4:$L$40,2,FALSE),0)+IF(AND(L1441="Cafco 300",J1441&gt;=95,J1441&lt;=450,G1441=4,C1441="IN",I1441=120),VLOOKUP(T1441,'CAFCO 300 IDIEM TABLAS'!$J$4:$L$40,3,FALSE),0)+IF(AND(M1441="Ensayo Idiem",L1441="Cafco 400",C1441="IN",G1441=4,I1441=90),VLOOKUP(T1441,'CAFCO 400 ENSAYO'!$B$7:$D$43,2,FALSE),0)+IF(AND(M1441="Ensayo Idiem",L1441="Cafco 400",C1441="IN",G1441=4,I1441=120),VLOOKUP(T1441,'CAFCO 400 ENSAYO'!$B$7:$D$43,3,FALSE),0)</f>
        <v>0</v>
      </c>
      <c r="O1441" s="96">
        <f t="shared" si="144"/>
        <v>0</v>
      </c>
      <c r="P1441" s="132" t="str">
        <f t="shared" si="139"/>
        <v>N/A</v>
      </c>
      <c r="Q1441" s="132" t="str">
        <f t="shared" si="140"/>
        <v>N/A</v>
      </c>
      <c r="R1441" s="132" t="str">
        <f t="shared" si="141"/>
        <v>NO CERT.</v>
      </c>
      <c r="S1441" s="132" t="e">
        <f t="shared" si="142"/>
        <v>#N/A</v>
      </c>
      <c r="T1441" s="133" t="e">
        <f>+IF(J1441=LOOKUP(J1441,'CAFCO 300 IDIEM TABLAS'!$J$4:$J$40),'CALCULO MORTERO'!J1441,MROUND('CALCULO MORTERO'!J1441,10))</f>
        <v>#N/A</v>
      </c>
      <c r="U1441" s="134">
        <f t="shared" si="143"/>
        <v>0</v>
      </c>
    </row>
    <row r="1442" spans="1:21" x14ac:dyDescent="0.25">
      <c r="A1442" s="118">
        <f>+CUBICACION!D1436</f>
        <v>0</v>
      </c>
      <c r="B1442" s="819">
        <f>+CUBICACION!E1436</f>
        <v>0</v>
      </c>
      <c r="C1442" s="675">
        <f>+CUBICACION!F1436</f>
        <v>0</v>
      </c>
      <c r="D1442" s="118"/>
      <c r="E1442" s="118"/>
      <c r="F1442" s="820"/>
      <c r="G1442" s="675">
        <f>+CUBICACION!J1436</f>
        <v>0</v>
      </c>
      <c r="H1442" s="118"/>
      <c r="I1442" s="821">
        <f>+CUBICACION!L1436</f>
        <v>0</v>
      </c>
      <c r="J1442" s="64">
        <f>+CUBICACION!M1436</f>
        <v>0</v>
      </c>
      <c r="K1442" s="822" t="str">
        <f>+CUBICACION!N1436</f>
        <v/>
      </c>
      <c r="L1442" s="118">
        <f>+CUBICACION!O1436</f>
        <v>0</v>
      </c>
      <c r="M1442" s="823">
        <f>+CUBICACION!P1436</f>
        <v>0</v>
      </c>
      <c r="N1442" s="902">
        <f>ROUND(IF(AND(L1442="Blaze Shield II",M1442="Software Idiem",C1442="IN",G1442=4),((('BLAZE SHIELD II'!$D$4*('CALCULO MORTERO'!I1442^2)+'BLAZE SHIELD II'!$D$5*'CALCULO MORTERO'!I1442+'BLAZE SHIELD II'!$D$6)*LN(J1442))+('BLAZE SHIELD II'!$D$7*('CALCULO MORTERO'!I1442^2)+'BLAZE SHIELD II'!$D$8*'CALCULO MORTERO'!I1442+'BLAZE SHIELD II'!$D$9)),0)+IF(AND(L1442="Blaze Shield II",M1442="Software Idiem",C1442="Cj"),((('BLAZE SHIELD II'!$H$4*('CALCULO MORTERO'!I1442^2)+'BLAZE SHIELD II'!$H$5*'CALCULO MORTERO'!I1442+'BLAZE SHIELD II'!$H$6)*LN(J1442))+('BLAZE SHIELD II'!$H$7*('CALCULO MORTERO'!I1442^2)+'BLAZE SHIELD II'!$H$8*'CALCULO MORTERO'!I1442+'BLAZE SHIELD II'!$H$9)),0)+IF(AND(L1442="Blaze Shield II",M1442="Software Idiem",C1442="C"),((('BLAZE SHIELD II'!$L$4*('CALCULO MORTERO'!I1442^2)+'BLAZE SHIELD II'!$L$5*'CALCULO MORTERO'!I1442+'BLAZE SHIELD II'!$L$6)*LN(J1442))+('BLAZE SHIELD II'!$L$7*('CALCULO MORTERO'!I1442^2)+'BLAZE SHIELD II'!$L$8*'CALCULO MORTERO'!I1442+'BLAZE SHIELD II'!$L$9)),0)+IF(AND(L1442="Blaze Shield II",M1442="Software Idiem",C1442="L"),((('BLAZE SHIELD II'!$L$4*('CALCULO MORTERO'!I1442^2)+'BLAZE SHIELD II'!$L$5*'CALCULO MORTERO'!I1442+'BLAZE SHIELD II'!$L$6)*LN(J1442))+('BLAZE SHIELD II'!$L$7*('CALCULO MORTERO'!I1442^2)+'BLAZE SHIELD II'!$L$8*'CALCULO MORTERO'!I1442+'BLAZE SHIELD II'!$L$9)),0)+IF(AND(L1442="Blaze Shield II",M1442="Software Idiem",C1442="IN",G1442=3),((('BLAZE SHIELD II'!$H$14*('CALCULO MORTERO'!I1442^2)+'BLAZE SHIELD II'!$H$15*'CALCULO MORTERO'!I1442+'BLAZE SHIELD II'!$H$16)*LN(J1442))+('BLAZE SHIELD II'!$H$17*('CALCULO MORTERO'!I1442^2)+'BLAZE SHIELD II'!$H$18*'CALCULO MORTERO'!I1442+'BLAZE SHIELD II'!$H$19)),0),0)+ROUND(IF(AND(L1442="Cafco 400",M1442="Software Idiem",C1442="IN",G1442=4),((('CAFCO 400 '!$H$7*(J1442^4)+'CAFCO 400 '!$H$8*(J1442^3)+'CAFCO 400 '!$H$9*(J1442^2)+'CAFCO 400 '!$H$10*J1442+'CAFCO 400 '!$H$11)*U1442^2)+(('CAFCO 400 '!$H$12*(J1442^3)+'CAFCO 400 '!$H$13*(J1442^2)+'CAFCO 400 '!$H$14*J1442+'CAFCO 400 '!$H$15)*U1442)+('CAFCO 400 '!$H$16*(J1442^2)+'CAFCO 400 '!$H$17*J1442+'CAFCO 400 '!$H$18)),0)+IF(AND(L1442="Cafco 400",M1442="Software Idiem",C1442="Cj"),(((('CAFCO 400 '!$D$7*LN(J1442)+'CAFCO 400 '!$D$8)*U1442^2)+(('CAFCO 400 '!$D$9*LN(J1442)+'CAFCO 400 '!$D$10)*U1442)+('CAFCO 400 '!$D$11*LN(J1442)+'CAFCO 400 '!$D$12))),0)+IF(AND(L1442="Cafco 400",M1442="Software Idiem",C1442="C"),((('CAFCO 400 '!$L$7*(J1442^3)+'CAFCO 400 '!$L$8*(J1442^2)+'CAFCO 400 '!$L$9*J1442+'CAFCO 400 '!$L$10)*U1442^2)+(('CAFCO 400 '!$L$11*(J1442^3)+'CAFCO 400 '!$L$12*(J1442^2)+'CAFCO 400 '!$L$13*J1442+'CAFCO 400 '!$L$14)*U1442)+('CAFCO 400 '!$L$15*LN(J1442)+'CAFCO 400 '!$L$16)),0)+IF(AND(L1442="Cafco 400",M1442="Software Idiem",C1442="L"),((('CAFCO 400 '!$L$7*(J1442^3)+'CAFCO 400 '!$L$8*(J1442^2)+'CAFCO 400 '!$L$9*J1442+'CAFCO 400 '!$L$10)*U1442^2)+(('CAFCO 400 '!$L$11*(J1442^3)+'CAFCO 400 '!$L$12*(J1442^2)+'CAFCO 400 '!$L$13*J1442+'CAFCO 400 '!$L$14)*U1442)+('CAFCO 400 '!$L$15*LN(J1442)+'CAFCO 400 '!$L$16)),0)+IF(AND(L1442="Cafco 400",M1442="Software Idiem",C1442="IN",G1442=3),((('CAFCO 400 '!$D$23*(J1442^2)+'CAFCO 400 '!$D$24*(J1442)+'CAFCO 400 '!$D$25)*U1442^2)+(('CAFCO 400 '!$D$26*(J1442^2)+'CAFCO 400 '!$D$27*J1442+'CAFCO 400 '!$D$28)*U1442)+('CAFCO 400 '!$D$29*(J1442^2)+'CAFCO 400 '!$D$30*J1442+'CAFCO 400 '!$D$31)),0),0)+IF(AND(L1442="Cafco 300",J1442&gt;=95,J1442&lt;=240,C1442="Cj",I1442=90),VLOOKUP(T1442,'CAFCO 300 IDIEM TABLAS'!$B$4:$D$23,2,FALSE),0)+IF(AND(L1442="Cafco 300",J1442&gt;=95,J1442&lt;=240,C1442="Cj",I1442=120),VLOOKUP(T1442,'CAFCO 300 IDIEM TABLAS'!$B$4:$D$23,3,FALSE),0)+IF(AND(L1442="Cafco 300",J1442&gt;=95,J1442&lt;=400,G1442=3,C1442="IN",I1442=90),VLOOKUP(T1442,'CAFCO 300 IDIEM TABLAS'!$F$4:$H$35,2,FALSE),0)+IF(AND(L1442="Cafco 300",J1442&gt;=95,J1442&lt;=400,G1442=3,C1442="IN",I1442=120),VLOOKUP(T1442,'CAFCO 300 IDIEM TABLAS'!$F$4:$H$35,3,FALSE),0)+IF(AND(L1442="Cafco 300",J1442&gt;=95,J1442&lt;=450,G1442=4,C1442="IN",I1442=90),VLOOKUP(T1442,'CAFCO 300 IDIEM TABLAS'!$J$4:$L$40,2,FALSE),0)+IF(AND(L1442="Cafco 300",J1442&gt;=95,J1442&lt;=450,G1442=4,C1442="IN",I1442=120),VLOOKUP(T1442,'CAFCO 300 IDIEM TABLAS'!$J$4:$L$40,3,FALSE),0)+IF(AND(M1442="Ensayo Idiem",L1442="Cafco 400",C1442="IN",G1442=4,I1442=90),VLOOKUP(T1442,'CAFCO 400 ENSAYO'!$B$7:$D$43,2,FALSE),0)+IF(AND(M1442="Ensayo Idiem",L1442="Cafco 400",C1442="IN",G1442=4,I1442=120),VLOOKUP(T1442,'CAFCO 400 ENSAYO'!$B$7:$D$43,3,FALSE),0)</f>
        <v>0</v>
      </c>
      <c r="O1442" s="96">
        <f t="shared" si="144"/>
        <v>0</v>
      </c>
      <c r="P1442" s="95" t="str">
        <f t="shared" si="139"/>
        <v>N/A</v>
      </c>
      <c r="Q1442" s="95" t="str">
        <f t="shared" si="140"/>
        <v>N/A</v>
      </c>
      <c r="R1442" s="95" t="str">
        <f t="shared" si="141"/>
        <v>NO CERT.</v>
      </c>
      <c r="S1442" s="95" t="e">
        <f t="shared" si="142"/>
        <v>#N/A</v>
      </c>
      <c r="T1442" s="119" t="e">
        <f>+IF(J1442=LOOKUP(J1442,'CAFCO 300 IDIEM TABLAS'!$J$4:$J$40),'CALCULO MORTERO'!J1442,MROUND('CALCULO MORTERO'!J1442,10))</f>
        <v>#N/A</v>
      </c>
      <c r="U1442" s="118">
        <f t="shared" si="143"/>
        <v>0</v>
      </c>
    </row>
    <row r="1443" spans="1:21" x14ac:dyDescent="0.25">
      <c r="A1443" s="118">
        <f>+CUBICACION!D1437</f>
        <v>0</v>
      </c>
      <c r="B1443" s="819">
        <f>+CUBICACION!E1437</f>
        <v>0</v>
      </c>
      <c r="C1443" s="675">
        <f>+CUBICACION!F1437</f>
        <v>0</v>
      </c>
      <c r="D1443" s="118"/>
      <c r="E1443" s="118"/>
      <c r="F1443" s="820"/>
      <c r="G1443" s="675">
        <f>+CUBICACION!J1437</f>
        <v>0</v>
      </c>
      <c r="H1443" s="118"/>
      <c r="I1443" s="821">
        <f>+CUBICACION!L1437</f>
        <v>0</v>
      </c>
      <c r="J1443" s="64">
        <f>+CUBICACION!M1437</f>
        <v>0</v>
      </c>
      <c r="K1443" s="822" t="str">
        <f>+CUBICACION!N1437</f>
        <v/>
      </c>
      <c r="L1443" s="118">
        <f>+CUBICACION!O1437</f>
        <v>0</v>
      </c>
      <c r="M1443" s="823">
        <f>+CUBICACION!P1437</f>
        <v>0</v>
      </c>
      <c r="N1443" s="902">
        <f>ROUND(IF(AND(L1443="Blaze Shield II",M1443="Software Idiem",C1443="IN",G1443=4),((('BLAZE SHIELD II'!$D$4*('CALCULO MORTERO'!I1443^2)+'BLAZE SHIELD II'!$D$5*'CALCULO MORTERO'!I1443+'BLAZE SHIELD II'!$D$6)*LN(J1443))+('BLAZE SHIELD II'!$D$7*('CALCULO MORTERO'!I1443^2)+'BLAZE SHIELD II'!$D$8*'CALCULO MORTERO'!I1443+'BLAZE SHIELD II'!$D$9)),0)+IF(AND(L1443="Blaze Shield II",M1443="Software Idiem",C1443="Cj"),((('BLAZE SHIELD II'!$H$4*('CALCULO MORTERO'!I1443^2)+'BLAZE SHIELD II'!$H$5*'CALCULO MORTERO'!I1443+'BLAZE SHIELD II'!$H$6)*LN(J1443))+('BLAZE SHIELD II'!$H$7*('CALCULO MORTERO'!I1443^2)+'BLAZE SHIELD II'!$H$8*'CALCULO MORTERO'!I1443+'BLAZE SHIELD II'!$H$9)),0)+IF(AND(L1443="Blaze Shield II",M1443="Software Idiem",C1443="C"),((('BLAZE SHIELD II'!$L$4*('CALCULO MORTERO'!I1443^2)+'BLAZE SHIELD II'!$L$5*'CALCULO MORTERO'!I1443+'BLAZE SHIELD II'!$L$6)*LN(J1443))+('BLAZE SHIELD II'!$L$7*('CALCULO MORTERO'!I1443^2)+'BLAZE SHIELD II'!$L$8*'CALCULO MORTERO'!I1443+'BLAZE SHIELD II'!$L$9)),0)+IF(AND(L1443="Blaze Shield II",M1443="Software Idiem",C1443="L"),((('BLAZE SHIELD II'!$L$4*('CALCULO MORTERO'!I1443^2)+'BLAZE SHIELD II'!$L$5*'CALCULO MORTERO'!I1443+'BLAZE SHIELD II'!$L$6)*LN(J1443))+('BLAZE SHIELD II'!$L$7*('CALCULO MORTERO'!I1443^2)+'BLAZE SHIELD II'!$L$8*'CALCULO MORTERO'!I1443+'BLAZE SHIELD II'!$L$9)),0)+IF(AND(L1443="Blaze Shield II",M1443="Software Idiem",C1443="IN",G1443=3),((('BLAZE SHIELD II'!$H$14*('CALCULO MORTERO'!I1443^2)+'BLAZE SHIELD II'!$H$15*'CALCULO MORTERO'!I1443+'BLAZE SHIELD II'!$H$16)*LN(J1443))+('BLAZE SHIELD II'!$H$17*('CALCULO MORTERO'!I1443^2)+'BLAZE SHIELD II'!$H$18*'CALCULO MORTERO'!I1443+'BLAZE SHIELD II'!$H$19)),0),0)+ROUND(IF(AND(L1443="Cafco 400",M1443="Software Idiem",C1443="IN",G1443=4),((('CAFCO 400 '!$H$7*(J1443^4)+'CAFCO 400 '!$H$8*(J1443^3)+'CAFCO 400 '!$H$9*(J1443^2)+'CAFCO 400 '!$H$10*J1443+'CAFCO 400 '!$H$11)*U1443^2)+(('CAFCO 400 '!$H$12*(J1443^3)+'CAFCO 400 '!$H$13*(J1443^2)+'CAFCO 400 '!$H$14*J1443+'CAFCO 400 '!$H$15)*U1443)+('CAFCO 400 '!$H$16*(J1443^2)+'CAFCO 400 '!$H$17*J1443+'CAFCO 400 '!$H$18)),0)+IF(AND(L1443="Cafco 400",M1443="Software Idiem",C1443="Cj"),(((('CAFCO 400 '!$D$7*LN(J1443)+'CAFCO 400 '!$D$8)*U1443^2)+(('CAFCO 400 '!$D$9*LN(J1443)+'CAFCO 400 '!$D$10)*U1443)+('CAFCO 400 '!$D$11*LN(J1443)+'CAFCO 400 '!$D$12))),0)+IF(AND(L1443="Cafco 400",M1443="Software Idiem",C1443="C"),((('CAFCO 400 '!$L$7*(J1443^3)+'CAFCO 400 '!$L$8*(J1443^2)+'CAFCO 400 '!$L$9*J1443+'CAFCO 400 '!$L$10)*U1443^2)+(('CAFCO 400 '!$L$11*(J1443^3)+'CAFCO 400 '!$L$12*(J1443^2)+'CAFCO 400 '!$L$13*J1443+'CAFCO 400 '!$L$14)*U1443)+('CAFCO 400 '!$L$15*LN(J1443)+'CAFCO 400 '!$L$16)),0)+IF(AND(L1443="Cafco 400",M1443="Software Idiem",C1443="L"),((('CAFCO 400 '!$L$7*(J1443^3)+'CAFCO 400 '!$L$8*(J1443^2)+'CAFCO 400 '!$L$9*J1443+'CAFCO 400 '!$L$10)*U1443^2)+(('CAFCO 400 '!$L$11*(J1443^3)+'CAFCO 400 '!$L$12*(J1443^2)+'CAFCO 400 '!$L$13*J1443+'CAFCO 400 '!$L$14)*U1443)+('CAFCO 400 '!$L$15*LN(J1443)+'CAFCO 400 '!$L$16)),0)+IF(AND(L1443="Cafco 400",M1443="Software Idiem",C1443="IN",G1443=3),((('CAFCO 400 '!$D$23*(J1443^2)+'CAFCO 400 '!$D$24*(J1443)+'CAFCO 400 '!$D$25)*U1443^2)+(('CAFCO 400 '!$D$26*(J1443^2)+'CAFCO 400 '!$D$27*J1443+'CAFCO 400 '!$D$28)*U1443)+('CAFCO 400 '!$D$29*(J1443^2)+'CAFCO 400 '!$D$30*J1443+'CAFCO 400 '!$D$31)),0),0)+IF(AND(L1443="Cafco 300",J1443&gt;=95,J1443&lt;=240,C1443="Cj",I1443=90),VLOOKUP(T1443,'CAFCO 300 IDIEM TABLAS'!$B$4:$D$23,2,FALSE),0)+IF(AND(L1443="Cafco 300",J1443&gt;=95,J1443&lt;=240,C1443="Cj",I1443=120),VLOOKUP(T1443,'CAFCO 300 IDIEM TABLAS'!$B$4:$D$23,3,FALSE),0)+IF(AND(L1443="Cafco 300",J1443&gt;=95,J1443&lt;=400,G1443=3,C1443="IN",I1443=90),VLOOKUP(T1443,'CAFCO 300 IDIEM TABLAS'!$F$4:$H$35,2,FALSE),0)+IF(AND(L1443="Cafco 300",J1443&gt;=95,J1443&lt;=400,G1443=3,C1443="IN",I1443=120),VLOOKUP(T1443,'CAFCO 300 IDIEM TABLAS'!$F$4:$H$35,3,FALSE),0)+IF(AND(L1443="Cafco 300",J1443&gt;=95,J1443&lt;=450,G1443=4,C1443="IN",I1443=90),VLOOKUP(T1443,'CAFCO 300 IDIEM TABLAS'!$J$4:$L$40,2,FALSE),0)+IF(AND(L1443="Cafco 300",J1443&gt;=95,J1443&lt;=450,G1443=4,C1443="IN",I1443=120),VLOOKUP(T1443,'CAFCO 300 IDIEM TABLAS'!$J$4:$L$40,3,FALSE),0)+IF(AND(M1443="Ensayo Idiem",L1443="Cafco 400",C1443="IN",G1443=4,I1443=90),VLOOKUP(T1443,'CAFCO 400 ENSAYO'!$B$7:$D$43,2,FALSE),0)+IF(AND(M1443="Ensayo Idiem",L1443="Cafco 400",C1443="IN",G1443=4,I1443=120),VLOOKUP(T1443,'CAFCO 400 ENSAYO'!$B$7:$D$43,3,FALSE),0)</f>
        <v>0</v>
      </c>
      <c r="O1443" s="96">
        <f t="shared" si="144"/>
        <v>0</v>
      </c>
      <c r="P1443" s="132" t="str">
        <f t="shared" si="139"/>
        <v>N/A</v>
      </c>
      <c r="Q1443" s="132" t="str">
        <f t="shared" si="140"/>
        <v>N/A</v>
      </c>
      <c r="R1443" s="132" t="str">
        <f t="shared" si="141"/>
        <v>NO CERT.</v>
      </c>
      <c r="S1443" s="132" t="e">
        <f t="shared" si="142"/>
        <v>#N/A</v>
      </c>
      <c r="T1443" s="133" t="e">
        <f>+IF(J1443=LOOKUP(J1443,'CAFCO 300 IDIEM TABLAS'!$J$4:$J$40),'CALCULO MORTERO'!J1443,MROUND('CALCULO MORTERO'!J1443,10))</f>
        <v>#N/A</v>
      </c>
      <c r="U1443" s="134">
        <f t="shared" si="143"/>
        <v>0</v>
      </c>
    </row>
    <row r="1444" spans="1:21" x14ac:dyDescent="0.25">
      <c r="A1444" s="118">
        <f>+CUBICACION!D1438</f>
        <v>0</v>
      </c>
      <c r="B1444" s="819">
        <f>+CUBICACION!E1438</f>
        <v>0</v>
      </c>
      <c r="C1444" s="675">
        <f>+CUBICACION!F1438</f>
        <v>0</v>
      </c>
      <c r="D1444" s="118"/>
      <c r="E1444" s="118"/>
      <c r="F1444" s="820"/>
      <c r="G1444" s="675">
        <f>+CUBICACION!J1438</f>
        <v>0</v>
      </c>
      <c r="H1444" s="118"/>
      <c r="I1444" s="821">
        <f>+CUBICACION!L1438</f>
        <v>0</v>
      </c>
      <c r="J1444" s="64">
        <f>+CUBICACION!M1438</f>
        <v>0</v>
      </c>
      <c r="K1444" s="822" t="str">
        <f>+CUBICACION!N1438</f>
        <v/>
      </c>
      <c r="L1444" s="118">
        <f>+CUBICACION!O1438</f>
        <v>0</v>
      </c>
      <c r="M1444" s="823">
        <f>+CUBICACION!P1438</f>
        <v>0</v>
      </c>
      <c r="N1444" s="902">
        <f>ROUND(IF(AND(L1444="Blaze Shield II",M1444="Software Idiem",C1444="IN",G1444=4),((('BLAZE SHIELD II'!$D$4*('CALCULO MORTERO'!I1444^2)+'BLAZE SHIELD II'!$D$5*'CALCULO MORTERO'!I1444+'BLAZE SHIELD II'!$D$6)*LN(J1444))+('BLAZE SHIELD II'!$D$7*('CALCULO MORTERO'!I1444^2)+'BLAZE SHIELD II'!$D$8*'CALCULO MORTERO'!I1444+'BLAZE SHIELD II'!$D$9)),0)+IF(AND(L1444="Blaze Shield II",M1444="Software Idiem",C1444="Cj"),((('BLAZE SHIELD II'!$H$4*('CALCULO MORTERO'!I1444^2)+'BLAZE SHIELD II'!$H$5*'CALCULO MORTERO'!I1444+'BLAZE SHIELD II'!$H$6)*LN(J1444))+('BLAZE SHIELD II'!$H$7*('CALCULO MORTERO'!I1444^2)+'BLAZE SHIELD II'!$H$8*'CALCULO MORTERO'!I1444+'BLAZE SHIELD II'!$H$9)),0)+IF(AND(L1444="Blaze Shield II",M1444="Software Idiem",C1444="C"),((('BLAZE SHIELD II'!$L$4*('CALCULO MORTERO'!I1444^2)+'BLAZE SHIELD II'!$L$5*'CALCULO MORTERO'!I1444+'BLAZE SHIELD II'!$L$6)*LN(J1444))+('BLAZE SHIELD II'!$L$7*('CALCULO MORTERO'!I1444^2)+'BLAZE SHIELD II'!$L$8*'CALCULO MORTERO'!I1444+'BLAZE SHIELD II'!$L$9)),0)+IF(AND(L1444="Blaze Shield II",M1444="Software Idiem",C1444="L"),((('BLAZE SHIELD II'!$L$4*('CALCULO MORTERO'!I1444^2)+'BLAZE SHIELD II'!$L$5*'CALCULO MORTERO'!I1444+'BLAZE SHIELD II'!$L$6)*LN(J1444))+('BLAZE SHIELD II'!$L$7*('CALCULO MORTERO'!I1444^2)+'BLAZE SHIELD II'!$L$8*'CALCULO MORTERO'!I1444+'BLAZE SHIELD II'!$L$9)),0)+IF(AND(L1444="Blaze Shield II",M1444="Software Idiem",C1444="IN",G1444=3),((('BLAZE SHIELD II'!$H$14*('CALCULO MORTERO'!I1444^2)+'BLAZE SHIELD II'!$H$15*'CALCULO MORTERO'!I1444+'BLAZE SHIELD II'!$H$16)*LN(J1444))+('BLAZE SHIELD II'!$H$17*('CALCULO MORTERO'!I1444^2)+'BLAZE SHIELD II'!$H$18*'CALCULO MORTERO'!I1444+'BLAZE SHIELD II'!$H$19)),0),0)+ROUND(IF(AND(L1444="Cafco 400",M1444="Software Idiem",C1444="IN",G1444=4),((('CAFCO 400 '!$H$7*(J1444^4)+'CAFCO 400 '!$H$8*(J1444^3)+'CAFCO 400 '!$H$9*(J1444^2)+'CAFCO 400 '!$H$10*J1444+'CAFCO 400 '!$H$11)*U1444^2)+(('CAFCO 400 '!$H$12*(J1444^3)+'CAFCO 400 '!$H$13*(J1444^2)+'CAFCO 400 '!$H$14*J1444+'CAFCO 400 '!$H$15)*U1444)+('CAFCO 400 '!$H$16*(J1444^2)+'CAFCO 400 '!$H$17*J1444+'CAFCO 400 '!$H$18)),0)+IF(AND(L1444="Cafco 400",M1444="Software Idiem",C1444="Cj"),(((('CAFCO 400 '!$D$7*LN(J1444)+'CAFCO 400 '!$D$8)*U1444^2)+(('CAFCO 400 '!$D$9*LN(J1444)+'CAFCO 400 '!$D$10)*U1444)+('CAFCO 400 '!$D$11*LN(J1444)+'CAFCO 400 '!$D$12))),0)+IF(AND(L1444="Cafco 400",M1444="Software Idiem",C1444="C"),((('CAFCO 400 '!$L$7*(J1444^3)+'CAFCO 400 '!$L$8*(J1444^2)+'CAFCO 400 '!$L$9*J1444+'CAFCO 400 '!$L$10)*U1444^2)+(('CAFCO 400 '!$L$11*(J1444^3)+'CAFCO 400 '!$L$12*(J1444^2)+'CAFCO 400 '!$L$13*J1444+'CAFCO 400 '!$L$14)*U1444)+('CAFCO 400 '!$L$15*LN(J1444)+'CAFCO 400 '!$L$16)),0)+IF(AND(L1444="Cafco 400",M1444="Software Idiem",C1444="L"),((('CAFCO 400 '!$L$7*(J1444^3)+'CAFCO 400 '!$L$8*(J1444^2)+'CAFCO 400 '!$L$9*J1444+'CAFCO 400 '!$L$10)*U1444^2)+(('CAFCO 400 '!$L$11*(J1444^3)+'CAFCO 400 '!$L$12*(J1444^2)+'CAFCO 400 '!$L$13*J1444+'CAFCO 400 '!$L$14)*U1444)+('CAFCO 400 '!$L$15*LN(J1444)+'CAFCO 400 '!$L$16)),0)+IF(AND(L1444="Cafco 400",M1444="Software Idiem",C1444="IN",G1444=3),((('CAFCO 400 '!$D$23*(J1444^2)+'CAFCO 400 '!$D$24*(J1444)+'CAFCO 400 '!$D$25)*U1444^2)+(('CAFCO 400 '!$D$26*(J1444^2)+'CAFCO 400 '!$D$27*J1444+'CAFCO 400 '!$D$28)*U1444)+('CAFCO 400 '!$D$29*(J1444^2)+'CAFCO 400 '!$D$30*J1444+'CAFCO 400 '!$D$31)),0),0)+IF(AND(L1444="Cafco 300",J1444&gt;=95,J1444&lt;=240,C1444="Cj",I1444=90),VLOOKUP(T1444,'CAFCO 300 IDIEM TABLAS'!$B$4:$D$23,2,FALSE),0)+IF(AND(L1444="Cafco 300",J1444&gt;=95,J1444&lt;=240,C1444="Cj",I1444=120),VLOOKUP(T1444,'CAFCO 300 IDIEM TABLAS'!$B$4:$D$23,3,FALSE),0)+IF(AND(L1444="Cafco 300",J1444&gt;=95,J1444&lt;=400,G1444=3,C1444="IN",I1444=90),VLOOKUP(T1444,'CAFCO 300 IDIEM TABLAS'!$F$4:$H$35,2,FALSE),0)+IF(AND(L1444="Cafco 300",J1444&gt;=95,J1444&lt;=400,G1444=3,C1444="IN",I1444=120),VLOOKUP(T1444,'CAFCO 300 IDIEM TABLAS'!$F$4:$H$35,3,FALSE),0)+IF(AND(L1444="Cafco 300",J1444&gt;=95,J1444&lt;=450,G1444=4,C1444="IN",I1444=90),VLOOKUP(T1444,'CAFCO 300 IDIEM TABLAS'!$J$4:$L$40,2,FALSE),0)+IF(AND(L1444="Cafco 300",J1444&gt;=95,J1444&lt;=450,G1444=4,C1444="IN",I1444=120),VLOOKUP(T1444,'CAFCO 300 IDIEM TABLAS'!$J$4:$L$40,3,FALSE),0)+IF(AND(M1444="Ensayo Idiem",L1444="Cafco 400",C1444="IN",G1444=4,I1444=90),VLOOKUP(T1444,'CAFCO 400 ENSAYO'!$B$7:$D$43,2,FALSE),0)+IF(AND(M1444="Ensayo Idiem",L1444="Cafco 400",C1444="IN",G1444=4,I1444=120),VLOOKUP(T1444,'CAFCO 400 ENSAYO'!$B$7:$D$43,3,FALSE),0)</f>
        <v>0</v>
      </c>
      <c r="O1444" s="96">
        <f t="shared" si="144"/>
        <v>0</v>
      </c>
      <c r="P1444" s="95" t="str">
        <f t="shared" si="139"/>
        <v>N/A</v>
      </c>
      <c r="Q1444" s="95" t="str">
        <f t="shared" si="140"/>
        <v>N/A</v>
      </c>
      <c r="R1444" s="95" t="str">
        <f t="shared" si="141"/>
        <v>NO CERT.</v>
      </c>
      <c r="S1444" s="95" t="e">
        <f t="shared" si="142"/>
        <v>#N/A</v>
      </c>
      <c r="T1444" s="119" t="e">
        <f>+IF(J1444=LOOKUP(J1444,'CAFCO 300 IDIEM TABLAS'!$J$4:$J$40),'CALCULO MORTERO'!J1444,MROUND('CALCULO MORTERO'!J1444,10))</f>
        <v>#N/A</v>
      </c>
      <c r="U1444" s="118">
        <f t="shared" si="143"/>
        <v>0</v>
      </c>
    </row>
    <row r="1445" spans="1:21" x14ac:dyDescent="0.25">
      <c r="A1445" s="118">
        <f>+CUBICACION!D1439</f>
        <v>0</v>
      </c>
      <c r="B1445" s="819">
        <f>+CUBICACION!E1439</f>
        <v>0</v>
      </c>
      <c r="C1445" s="675">
        <f>+CUBICACION!F1439</f>
        <v>0</v>
      </c>
      <c r="D1445" s="118"/>
      <c r="E1445" s="118"/>
      <c r="F1445" s="820"/>
      <c r="G1445" s="675">
        <f>+CUBICACION!J1439</f>
        <v>0</v>
      </c>
      <c r="H1445" s="118"/>
      <c r="I1445" s="821">
        <f>+CUBICACION!L1439</f>
        <v>0</v>
      </c>
      <c r="J1445" s="64">
        <f>+CUBICACION!M1439</f>
        <v>0</v>
      </c>
      <c r="K1445" s="822" t="str">
        <f>+CUBICACION!N1439</f>
        <v/>
      </c>
      <c r="L1445" s="118">
        <f>+CUBICACION!O1439</f>
        <v>0</v>
      </c>
      <c r="M1445" s="823">
        <f>+CUBICACION!P1439</f>
        <v>0</v>
      </c>
      <c r="N1445" s="902">
        <f>ROUND(IF(AND(L1445="Blaze Shield II",M1445="Software Idiem",C1445="IN",G1445=4),((('BLAZE SHIELD II'!$D$4*('CALCULO MORTERO'!I1445^2)+'BLAZE SHIELD II'!$D$5*'CALCULO MORTERO'!I1445+'BLAZE SHIELD II'!$D$6)*LN(J1445))+('BLAZE SHIELD II'!$D$7*('CALCULO MORTERO'!I1445^2)+'BLAZE SHIELD II'!$D$8*'CALCULO MORTERO'!I1445+'BLAZE SHIELD II'!$D$9)),0)+IF(AND(L1445="Blaze Shield II",M1445="Software Idiem",C1445="Cj"),((('BLAZE SHIELD II'!$H$4*('CALCULO MORTERO'!I1445^2)+'BLAZE SHIELD II'!$H$5*'CALCULO MORTERO'!I1445+'BLAZE SHIELD II'!$H$6)*LN(J1445))+('BLAZE SHIELD II'!$H$7*('CALCULO MORTERO'!I1445^2)+'BLAZE SHIELD II'!$H$8*'CALCULO MORTERO'!I1445+'BLAZE SHIELD II'!$H$9)),0)+IF(AND(L1445="Blaze Shield II",M1445="Software Idiem",C1445="C"),((('BLAZE SHIELD II'!$L$4*('CALCULO MORTERO'!I1445^2)+'BLAZE SHIELD II'!$L$5*'CALCULO MORTERO'!I1445+'BLAZE SHIELD II'!$L$6)*LN(J1445))+('BLAZE SHIELD II'!$L$7*('CALCULO MORTERO'!I1445^2)+'BLAZE SHIELD II'!$L$8*'CALCULO MORTERO'!I1445+'BLAZE SHIELD II'!$L$9)),0)+IF(AND(L1445="Blaze Shield II",M1445="Software Idiem",C1445="L"),((('BLAZE SHIELD II'!$L$4*('CALCULO MORTERO'!I1445^2)+'BLAZE SHIELD II'!$L$5*'CALCULO MORTERO'!I1445+'BLAZE SHIELD II'!$L$6)*LN(J1445))+('BLAZE SHIELD II'!$L$7*('CALCULO MORTERO'!I1445^2)+'BLAZE SHIELD II'!$L$8*'CALCULO MORTERO'!I1445+'BLAZE SHIELD II'!$L$9)),0)+IF(AND(L1445="Blaze Shield II",M1445="Software Idiem",C1445="IN",G1445=3),((('BLAZE SHIELD II'!$H$14*('CALCULO MORTERO'!I1445^2)+'BLAZE SHIELD II'!$H$15*'CALCULO MORTERO'!I1445+'BLAZE SHIELD II'!$H$16)*LN(J1445))+('BLAZE SHIELD II'!$H$17*('CALCULO MORTERO'!I1445^2)+'BLAZE SHIELD II'!$H$18*'CALCULO MORTERO'!I1445+'BLAZE SHIELD II'!$H$19)),0),0)+ROUND(IF(AND(L1445="Cafco 400",M1445="Software Idiem",C1445="IN",G1445=4),((('CAFCO 400 '!$H$7*(J1445^4)+'CAFCO 400 '!$H$8*(J1445^3)+'CAFCO 400 '!$H$9*(J1445^2)+'CAFCO 400 '!$H$10*J1445+'CAFCO 400 '!$H$11)*U1445^2)+(('CAFCO 400 '!$H$12*(J1445^3)+'CAFCO 400 '!$H$13*(J1445^2)+'CAFCO 400 '!$H$14*J1445+'CAFCO 400 '!$H$15)*U1445)+('CAFCO 400 '!$H$16*(J1445^2)+'CAFCO 400 '!$H$17*J1445+'CAFCO 400 '!$H$18)),0)+IF(AND(L1445="Cafco 400",M1445="Software Idiem",C1445="Cj"),(((('CAFCO 400 '!$D$7*LN(J1445)+'CAFCO 400 '!$D$8)*U1445^2)+(('CAFCO 400 '!$D$9*LN(J1445)+'CAFCO 400 '!$D$10)*U1445)+('CAFCO 400 '!$D$11*LN(J1445)+'CAFCO 400 '!$D$12))),0)+IF(AND(L1445="Cafco 400",M1445="Software Idiem",C1445="C"),((('CAFCO 400 '!$L$7*(J1445^3)+'CAFCO 400 '!$L$8*(J1445^2)+'CAFCO 400 '!$L$9*J1445+'CAFCO 400 '!$L$10)*U1445^2)+(('CAFCO 400 '!$L$11*(J1445^3)+'CAFCO 400 '!$L$12*(J1445^2)+'CAFCO 400 '!$L$13*J1445+'CAFCO 400 '!$L$14)*U1445)+('CAFCO 400 '!$L$15*LN(J1445)+'CAFCO 400 '!$L$16)),0)+IF(AND(L1445="Cafco 400",M1445="Software Idiem",C1445="L"),((('CAFCO 400 '!$L$7*(J1445^3)+'CAFCO 400 '!$L$8*(J1445^2)+'CAFCO 400 '!$L$9*J1445+'CAFCO 400 '!$L$10)*U1445^2)+(('CAFCO 400 '!$L$11*(J1445^3)+'CAFCO 400 '!$L$12*(J1445^2)+'CAFCO 400 '!$L$13*J1445+'CAFCO 400 '!$L$14)*U1445)+('CAFCO 400 '!$L$15*LN(J1445)+'CAFCO 400 '!$L$16)),0)+IF(AND(L1445="Cafco 400",M1445="Software Idiem",C1445="IN",G1445=3),((('CAFCO 400 '!$D$23*(J1445^2)+'CAFCO 400 '!$D$24*(J1445)+'CAFCO 400 '!$D$25)*U1445^2)+(('CAFCO 400 '!$D$26*(J1445^2)+'CAFCO 400 '!$D$27*J1445+'CAFCO 400 '!$D$28)*U1445)+('CAFCO 400 '!$D$29*(J1445^2)+'CAFCO 400 '!$D$30*J1445+'CAFCO 400 '!$D$31)),0),0)+IF(AND(L1445="Cafco 300",J1445&gt;=95,J1445&lt;=240,C1445="Cj",I1445=90),VLOOKUP(T1445,'CAFCO 300 IDIEM TABLAS'!$B$4:$D$23,2,FALSE),0)+IF(AND(L1445="Cafco 300",J1445&gt;=95,J1445&lt;=240,C1445="Cj",I1445=120),VLOOKUP(T1445,'CAFCO 300 IDIEM TABLAS'!$B$4:$D$23,3,FALSE),0)+IF(AND(L1445="Cafco 300",J1445&gt;=95,J1445&lt;=400,G1445=3,C1445="IN",I1445=90),VLOOKUP(T1445,'CAFCO 300 IDIEM TABLAS'!$F$4:$H$35,2,FALSE),0)+IF(AND(L1445="Cafco 300",J1445&gt;=95,J1445&lt;=400,G1445=3,C1445="IN",I1445=120),VLOOKUP(T1445,'CAFCO 300 IDIEM TABLAS'!$F$4:$H$35,3,FALSE),0)+IF(AND(L1445="Cafco 300",J1445&gt;=95,J1445&lt;=450,G1445=4,C1445="IN",I1445=90),VLOOKUP(T1445,'CAFCO 300 IDIEM TABLAS'!$J$4:$L$40,2,FALSE),0)+IF(AND(L1445="Cafco 300",J1445&gt;=95,J1445&lt;=450,G1445=4,C1445="IN",I1445=120),VLOOKUP(T1445,'CAFCO 300 IDIEM TABLAS'!$J$4:$L$40,3,FALSE),0)+IF(AND(M1445="Ensayo Idiem",L1445="Cafco 400",C1445="IN",G1445=4,I1445=90),VLOOKUP(T1445,'CAFCO 400 ENSAYO'!$B$7:$D$43,2,FALSE),0)+IF(AND(M1445="Ensayo Idiem",L1445="Cafco 400",C1445="IN",G1445=4,I1445=120),VLOOKUP(T1445,'CAFCO 400 ENSAYO'!$B$7:$D$43,3,FALSE),0)</f>
        <v>0</v>
      </c>
      <c r="O1445" s="96">
        <f t="shared" si="144"/>
        <v>0</v>
      </c>
      <c r="P1445" s="132" t="str">
        <f t="shared" si="139"/>
        <v>N/A</v>
      </c>
      <c r="Q1445" s="132" t="str">
        <f t="shared" si="140"/>
        <v>N/A</v>
      </c>
      <c r="R1445" s="132" t="str">
        <f t="shared" si="141"/>
        <v>NO CERT.</v>
      </c>
      <c r="S1445" s="132" t="e">
        <f t="shared" si="142"/>
        <v>#N/A</v>
      </c>
      <c r="T1445" s="133" t="e">
        <f>+IF(J1445=LOOKUP(J1445,'CAFCO 300 IDIEM TABLAS'!$J$4:$J$40),'CALCULO MORTERO'!J1445,MROUND('CALCULO MORTERO'!J1445,10))</f>
        <v>#N/A</v>
      </c>
      <c r="U1445" s="134">
        <f t="shared" si="143"/>
        <v>0</v>
      </c>
    </row>
    <row r="1446" spans="1:21" x14ac:dyDescent="0.25">
      <c r="A1446" s="118">
        <f>+CUBICACION!D1440</f>
        <v>0</v>
      </c>
      <c r="B1446" s="819">
        <f>+CUBICACION!E1440</f>
        <v>0</v>
      </c>
      <c r="C1446" s="675">
        <f>+CUBICACION!F1440</f>
        <v>0</v>
      </c>
      <c r="D1446" s="118"/>
      <c r="E1446" s="118"/>
      <c r="F1446" s="820"/>
      <c r="G1446" s="675">
        <f>+CUBICACION!J1440</f>
        <v>0</v>
      </c>
      <c r="H1446" s="118"/>
      <c r="I1446" s="821">
        <f>+CUBICACION!L1440</f>
        <v>0</v>
      </c>
      <c r="J1446" s="64">
        <f>+CUBICACION!M1440</f>
        <v>0</v>
      </c>
      <c r="K1446" s="822" t="str">
        <f>+CUBICACION!N1440</f>
        <v/>
      </c>
      <c r="L1446" s="118">
        <f>+CUBICACION!O1440</f>
        <v>0</v>
      </c>
      <c r="M1446" s="823">
        <f>+CUBICACION!P1440</f>
        <v>0</v>
      </c>
      <c r="N1446" s="902">
        <f>ROUND(IF(AND(L1446="Blaze Shield II",M1446="Software Idiem",C1446="IN",G1446=4),((('BLAZE SHIELD II'!$D$4*('CALCULO MORTERO'!I1446^2)+'BLAZE SHIELD II'!$D$5*'CALCULO MORTERO'!I1446+'BLAZE SHIELD II'!$D$6)*LN(J1446))+('BLAZE SHIELD II'!$D$7*('CALCULO MORTERO'!I1446^2)+'BLAZE SHIELD II'!$D$8*'CALCULO MORTERO'!I1446+'BLAZE SHIELD II'!$D$9)),0)+IF(AND(L1446="Blaze Shield II",M1446="Software Idiem",C1446="Cj"),((('BLAZE SHIELD II'!$H$4*('CALCULO MORTERO'!I1446^2)+'BLAZE SHIELD II'!$H$5*'CALCULO MORTERO'!I1446+'BLAZE SHIELD II'!$H$6)*LN(J1446))+('BLAZE SHIELD II'!$H$7*('CALCULO MORTERO'!I1446^2)+'BLAZE SHIELD II'!$H$8*'CALCULO MORTERO'!I1446+'BLAZE SHIELD II'!$H$9)),0)+IF(AND(L1446="Blaze Shield II",M1446="Software Idiem",C1446="C"),((('BLAZE SHIELD II'!$L$4*('CALCULO MORTERO'!I1446^2)+'BLAZE SHIELD II'!$L$5*'CALCULO MORTERO'!I1446+'BLAZE SHIELD II'!$L$6)*LN(J1446))+('BLAZE SHIELD II'!$L$7*('CALCULO MORTERO'!I1446^2)+'BLAZE SHIELD II'!$L$8*'CALCULO MORTERO'!I1446+'BLAZE SHIELD II'!$L$9)),0)+IF(AND(L1446="Blaze Shield II",M1446="Software Idiem",C1446="L"),((('BLAZE SHIELD II'!$L$4*('CALCULO MORTERO'!I1446^2)+'BLAZE SHIELD II'!$L$5*'CALCULO MORTERO'!I1446+'BLAZE SHIELD II'!$L$6)*LN(J1446))+('BLAZE SHIELD II'!$L$7*('CALCULO MORTERO'!I1446^2)+'BLAZE SHIELD II'!$L$8*'CALCULO MORTERO'!I1446+'BLAZE SHIELD II'!$L$9)),0)+IF(AND(L1446="Blaze Shield II",M1446="Software Idiem",C1446="IN",G1446=3),((('BLAZE SHIELD II'!$H$14*('CALCULO MORTERO'!I1446^2)+'BLAZE SHIELD II'!$H$15*'CALCULO MORTERO'!I1446+'BLAZE SHIELD II'!$H$16)*LN(J1446))+('BLAZE SHIELD II'!$H$17*('CALCULO MORTERO'!I1446^2)+'BLAZE SHIELD II'!$H$18*'CALCULO MORTERO'!I1446+'BLAZE SHIELD II'!$H$19)),0),0)+ROUND(IF(AND(L1446="Cafco 400",M1446="Software Idiem",C1446="IN",G1446=4),((('CAFCO 400 '!$H$7*(J1446^4)+'CAFCO 400 '!$H$8*(J1446^3)+'CAFCO 400 '!$H$9*(J1446^2)+'CAFCO 400 '!$H$10*J1446+'CAFCO 400 '!$H$11)*U1446^2)+(('CAFCO 400 '!$H$12*(J1446^3)+'CAFCO 400 '!$H$13*(J1446^2)+'CAFCO 400 '!$H$14*J1446+'CAFCO 400 '!$H$15)*U1446)+('CAFCO 400 '!$H$16*(J1446^2)+'CAFCO 400 '!$H$17*J1446+'CAFCO 400 '!$H$18)),0)+IF(AND(L1446="Cafco 400",M1446="Software Idiem",C1446="Cj"),(((('CAFCO 400 '!$D$7*LN(J1446)+'CAFCO 400 '!$D$8)*U1446^2)+(('CAFCO 400 '!$D$9*LN(J1446)+'CAFCO 400 '!$D$10)*U1446)+('CAFCO 400 '!$D$11*LN(J1446)+'CAFCO 400 '!$D$12))),0)+IF(AND(L1446="Cafco 400",M1446="Software Idiem",C1446="C"),((('CAFCO 400 '!$L$7*(J1446^3)+'CAFCO 400 '!$L$8*(J1446^2)+'CAFCO 400 '!$L$9*J1446+'CAFCO 400 '!$L$10)*U1446^2)+(('CAFCO 400 '!$L$11*(J1446^3)+'CAFCO 400 '!$L$12*(J1446^2)+'CAFCO 400 '!$L$13*J1446+'CAFCO 400 '!$L$14)*U1446)+('CAFCO 400 '!$L$15*LN(J1446)+'CAFCO 400 '!$L$16)),0)+IF(AND(L1446="Cafco 400",M1446="Software Idiem",C1446="L"),((('CAFCO 400 '!$L$7*(J1446^3)+'CAFCO 400 '!$L$8*(J1446^2)+'CAFCO 400 '!$L$9*J1446+'CAFCO 400 '!$L$10)*U1446^2)+(('CAFCO 400 '!$L$11*(J1446^3)+'CAFCO 400 '!$L$12*(J1446^2)+'CAFCO 400 '!$L$13*J1446+'CAFCO 400 '!$L$14)*U1446)+('CAFCO 400 '!$L$15*LN(J1446)+'CAFCO 400 '!$L$16)),0)+IF(AND(L1446="Cafco 400",M1446="Software Idiem",C1446="IN",G1446=3),((('CAFCO 400 '!$D$23*(J1446^2)+'CAFCO 400 '!$D$24*(J1446)+'CAFCO 400 '!$D$25)*U1446^2)+(('CAFCO 400 '!$D$26*(J1446^2)+'CAFCO 400 '!$D$27*J1446+'CAFCO 400 '!$D$28)*U1446)+('CAFCO 400 '!$D$29*(J1446^2)+'CAFCO 400 '!$D$30*J1446+'CAFCO 400 '!$D$31)),0),0)+IF(AND(L1446="Cafco 300",J1446&gt;=95,J1446&lt;=240,C1446="Cj",I1446=90),VLOOKUP(T1446,'CAFCO 300 IDIEM TABLAS'!$B$4:$D$23,2,FALSE),0)+IF(AND(L1446="Cafco 300",J1446&gt;=95,J1446&lt;=240,C1446="Cj",I1446=120),VLOOKUP(T1446,'CAFCO 300 IDIEM TABLAS'!$B$4:$D$23,3,FALSE),0)+IF(AND(L1446="Cafco 300",J1446&gt;=95,J1446&lt;=400,G1446=3,C1446="IN",I1446=90),VLOOKUP(T1446,'CAFCO 300 IDIEM TABLAS'!$F$4:$H$35,2,FALSE),0)+IF(AND(L1446="Cafco 300",J1446&gt;=95,J1446&lt;=400,G1446=3,C1446="IN",I1446=120),VLOOKUP(T1446,'CAFCO 300 IDIEM TABLAS'!$F$4:$H$35,3,FALSE),0)+IF(AND(L1446="Cafco 300",J1446&gt;=95,J1446&lt;=450,G1446=4,C1446="IN",I1446=90),VLOOKUP(T1446,'CAFCO 300 IDIEM TABLAS'!$J$4:$L$40,2,FALSE),0)+IF(AND(L1446="Cafco 300",J1446&gt;=95,J1446&lt;=450,G1446=4,C1446="IN",I1446=120),VLOOKUP(T1446,'CAFCO 300 IDIEM TABLAS'!$J$4:$L$40,3,FALSE),0)+IF(AND(M1446="Ensayo Idiem",L1446="Cafco 400",C1446="IN",G1446=4,I1446=90),VLOOKUP(T1446,'CAFCO 400 ENSAYO'!$B$7:$D$43,2,FALSE),0)+IF(AND(M1446="Ensayo Idiem",L1446="Cafco 400",C1446="IN",G1446=4,I1446=120),VLOOKUP(T1446,'CAFCO 400 ENSAYO'!$B$7:$D$43,3,FALSE),0)</f>
        <v>0</v>
      </c>
      <c r="O1446" s="96">
        <f t="shared" si="144"/>
        <v>0</v>
      </c>
      <c r="P1446" s="95" t="str">
        <f t="shared" si="139"/>
        <v>N/A</v>
      </c>
      <c r="Q1446" s="95" t="str">
        <f t="shared" si="140"/>
        <v>N/A</v>
      </c>
      <c r="R1446" s="95" t="str">
        <f t="shared" si="141"/>
        <v>NO CERT.</v>
      </c>
      <c r="S1446" s="95" t="e">
        <f t="shared" si="142"/>
        <v>#N/A</v>
      </c>
      <c r="T1446" s="119" t="e">
        <f>+IF(J1446=LOOKUP(J1446,'CAFCO 300 IDIEM TABLAS'!$J$4:$J$40),'CALCULO MORTERO'!J1446,MROUND('CALCULO MORTERO'!J1446,10))</f>
        <v>#N/A</v>
      </c>
      <c r="U1446" s="118">
        <f t="shared" si="143"/>
        <v>0</v>
      </c>
    </row>
    <row r="1447" spans="1:21" x14ac:dyDescent="0.25">
      <c r="A1447" s="118">
        <f>+CUBICACION!D1441</f>
        <v>0</v>
      </c>
      <c r="B1447" s="819">
        <f>+CUBICACION!E1441</f>
        <v>0</v>
      </c>
      <c r="C1447" s="675">
        <f>+CUBICACION!F1441</f>
        <v>0</v>
      </c>
      <c r="D1447" s="118"/>
      <c r="E1447" s="118"/>
      <c r="F1447" s="820"/>
      <c r="G1447" s="675">
        <f>+CUBICACION!J1441</f>
        <v>0</v>
      </c>
      <c r="H1447" s="118"/>
      <c r="I1447" s="821">
        <f>+CUBICACION!L1441</f>
        <v>0</v>
      </c>
      <c r="J1447" s="64">
        <f>+CUBICACION!M1441</f>
        <v>0</v>
      </c>
      <c r="K1447" s="822" t="str">
        <f>+CUBICACION!N1441</f>
        <v/>
      </c>
      <c r="L1447" s="118">
        <f>+CUBICACION!O1441</f>
        <v>0</v>
      </c>
      <c r="M1447" s="823">
        <f>+CUBICACION!P1441</f>
        <v>0</v>
      </c>
      <c r="N1447" s="902">
        <f>ROUND(IF(AND(L1447="Blaze Shield II",M1447="Software Idiem",C1447="IN",G1447=4),((('BLAZE SHIELD II'!$D$4*('CALCULO MORTERO'!I1447^2)+'BLAZE SHIELD II'!$D$5*'CALCULO MORTERO'!I1447+'BLAZE SHIELD II'!$D$6)*LN(J1447))+('BLAZE SHIELD II'!$D$7*('CALCULO MORTERO'!I1447^2)+'BLAZE SHIELD II'!$D$8*'CALCULO MORTERO'!I1447+'BLAZE SHIELD II'!$D$9)),0)+IF(AND(L1447="Blaze Shield II",M1447="Software Idiem",C1447="Cj"),((('BLAZE SHIELD II'!$H$4*('CALCULO MORTERO'!I1447^2)+'BLAZE SHIELD II'!$H$5*'CALCULO MORTERO'!I1447+'BLAZE SHIELD II'!$H$6)*LN(J1447))+('BLAZE SHIELD II'!$H$7*('CALCULO MORTERO'!I1447^2)+'BLAZE SHIELD II'!$H$8*'CALCULO MORTERO'!I1447+'BLAZE SHIELD II'!$H$9)),0)+IF(AND(L1447="Blaze Shield II",M1447="Software Idiem",C1447="C"),((('BLAZE SHIELD II'!$L$4*('CALCULO MORTERO'!I1447^2)+'BLAZE SHIELD II'!$L$5*'CALCULO MORTERO'!I1447+'BLAZE SHIELD II'!$L$6)*LN(J1447))+('BLAZE SHIELD II'!$L$7*('CALCULO MORTERO'!I1447^2)+'BLAZE SHIELD II'!$L$8*'CALCULO MORTERO'!I1447+'BLAZE SHIELD II'!$L$9)),0)+IF(AND(L1447="Blaze Shield II",M1447="Software Idiem",C1447="L"),((('BLAZE SHIELD II'!$L$4*('CALCULO MORTERO'!I1447^2)+'BLAZE SHIELD II'!$L$5*'CALCULO MORTERO'!I1447+'BLAZE SHIELD II'!$L$6)*LN(J1447))+('BLAZE SHIELD II'!$L$7*('CALCULO MORTERO'!I1447^2)+'BLAZE SHIELD II'!$L$8*'CALCULO MORTERO'!I1447+'BLAZE SHIELD II'!$L$9)),0)+IF(AND(L1447="Blaze Shield II",M1447="Software Idiem",C1447="IN",G1447=3),((('BLAZE SHIELD II'!$H$14*('CALCULO MORTERO'!I1447^2)+'BLAZE SHIELD II'!$H$15*'CALCULO MORTERO'!I1447+'BLAZE SHIELD II'!$H$16)*LN(J1447))+('BLAZE SHIELD II'!$H$17*('CALCULO MORTERO'!I1447^2)+'BLAZE SHIELD II'!$H$18*'CALCULO MORTERO'!I1447+'BLAZE SHIELD II'!$H$19)),0),0)+ROUND(IF(AND(L1447="Cafco 400",M1447="Software Idiem",C1447="IN",G1447=4),((('CAFCO 400 '!$H$7*(J1447^4)+'CAFCO 400 '!$H$8*(J1447^3)+'CAFCO 400 '!$H$9*(J1447^2)+'CAFCO 400 '!$H$10*J1447+'CAFCO 400 '!$H$11)*U1447^2)+(('CAFCO 400 '!$H$12*(J1447^3)+'CAFCO 400 '!$H$13*(J1447^2)+'CAFCO 400 '!$H$14*J1447+'CAFCO 400 '!$H$15)*U1447)+('CAFCO 400 '!$H$16*(J1447^2)+'CAFCO 400 '!$H$17*J1447+'CAFCO 400 '!$H$18)),0)+IF(AND(L1447="Cafco 400",M1447="Software Idiem",C1447="Cj"),(((('CAFCO 400 '!$D$7*LN(J1447)+'CAFCO 400 '!$D$8)*U1447^2)+(('CAFCO 400 '!$D$9*LN(J1447)+'CAFCO 400 '!$D$10)*U1447)+('CAFCO 400 '!$D$11*LN(J1447)+'CAFCO 400 '!$D$12))),0)+IF(AND(L1447="Cafco 400",M1447="Software Idiem",C1447="C"),((('CAFCO 400 '!$L$7*(J1447^3)+'CAFCO 400 '!$L$8*(J1447^2)+'CAFCO 400 '!$L$9*J1447+'CAFCO 400 '!$L$10)*U1447^2)+(('CAFCO 400 '!$L$11*(J1447^3)+'CAFCO 400 '!$L$12*(J1447^2)+'CAFCO 400 '!$L$13*J1447+'CAFCO 400 '!$L$14)*U1447)+('CAFCO 400 '!$L$15*LN(J1447)+'CAFCO 400 '!$L$16)),0)+IF(AND(L1447="Cafco 400",M1447="Software Idiem",C1447="L"),((('CAFCO 400 '!$L$7*(J1447^3)+'CAFCO 400 '!$L$8*(J1447^2)+'CAFCO 400 '!$L$9*J1447+'CAFCO 400 '!$L$10)*U1447^2)+(('CAFCO 400 '!$L$11*(J1447^3)+'CAFCO 400 '!$L$12*(J1447^2)+'CAFCO 400 '!$L$13*J1447+'CAFCO 400 '!$L$14)*U1447)+('CAFCO 400 '!$L$15*LN(J1447)+'CAFCO 400 '!$L$16)),0)+IF(AND(L1447="Cafco 400",M1447="Software Idiem",C1447="IN",G1447=3),((('CAFCO 400 '!$D$23*(J1447^2)+'CAFCO 400 '!$D$24*(J1447)+'CAFCO 400 '!$D$25)*U1447^2)+(('CAFCO 400 '!$D$26*(J1447^2)+'CAFCO 400 '!$D$27*J1447+'CAFCO 400 '!$D$28)*U1447)+('CAFCO 400 '!$D$29*(J1447^2)+'CAFCO 400 '!$D$30*J1447+'CAFCO 400 '!$D$31)),0),0)+IF(AND(L1447="Cafco 300",J1447&gt;=95,J1447&lt;=240,C1447="Cj",I1447=90),VLOOKUP(T1447,'CAFCO 300 IDIEM TABLAS'!$B$4:$D$23,2,FALSE),0)+IF(AND(L1447="Cafco 300",J1447&gt;=95,J1447&lt;=240,C1447="Cj",I1447=120),VLOOKUP(T1447,'CAFCO 300 IDIEM TABLAS'!$B$4:$D$23,3,FALSE),0)+IF(AND(L1447="Cafco 300",J1447&gt;=95,J1447&lt;=400,G1447=3,C1447="IN",I1447=90),VLOOKUP(T1447,'CAFCO 300 IDIEM TABLAS'!$F$4:$H$35,2,FALSE),0)+IF(AND(L1447="Cafco 300",J1447&gt;=95,J1447&lt;=400,G1447=3,C1447="IN",I1447=120),VLOOKUP(T1447,'CAFCO 300 IDIEM TABLAS'!$F$4:$H$35,3,FALSE),0)+IF(AND(L1447="Cafco 300",J1447&gt;=95,J1447&lt;=450,G1447=4,C1447="IN",I1447=90),VLOOKUP(T1447,'CAFCO 300 IDIEM TABLAS'!$J$4:$L$40,2,FALSE),0)+IF(AND(L1447="Cafco 300",J1447&gt;=95,J1447&lt;=450,G1447=4,C1447="IN",I1447=120),VLOOKUP(T1447,'CAFCO 300 IDIEM TABLAS'!$J$4:$L$40,3,FALSE),0)+IF(AND(M1447="Ensayo Idiem",L1447="Cafco 400",C1447="IN",G1447=4,I1447=90),VLOOKUP(T1447,'CAFCO 400 ENSAYO'!$B$7:$D$43,2,FALSE),0)+IF(AND(M1447="Ensayo Idiem",L1447="Cafco 400",C1447="IN",G1447=4,I1447=120),VLOOKUP(T1447,'CAFCO 400 ENSAYO'!$B$7:$D$43,3,FALSE),0)</f>
        <v>0</v>
      </c>
      <c r="O1447" s="96">
        <f t="shared" si="144"/>
        <v>0</v>
      </c>
      <c r="P1447" s="132" t="str">
        <f t="shared" si="139"/>
        <v>N/A</v>
      </c>
      <c r="Q1447" s="132" t="str">
        <f t="shared" si="140"/>
        <v>N/A</v>
      </c>
      <c r="R1447" s="132" t="str">
        <f t="shared" si="141"/>
        <v>NO CERT.</v>
      </c>
      <c r="S1447" s="132" t="e">
        <f t="shared" si="142"/>
        <v>#N/A</v>
      </c>
      <c r="T1447" s="133" t="e">
        <f>+IF(J1447=LOOKUP(J1447,'CAFCO 300 IDIEM TABLAS'!$J$4:$J$40),'CALCULO MORTERO'!J1447,MROUND('CALCULO MORTERO'!J1447,10))</f>
        <v>#N/A</v>
      </c>
      <c r="U1447" s="134">
        <f t="shared" si="143"/>
        <v>0</v>
      </c>
    </row>
    <row r="1448" spans="1:21" x14ac:dyDescent="0.25">
      <c r="A1448" s="118">
        <f>+CUBICACION!D1442</f>
        <v>0</v>
      </c>
      <c r="B1448" s="819">
        <f>+CUBICACION!E1442</f>
        <v>0</v>
      </c>
      <c r="C1448" s="675">
        <f>+CUBICACION!F1442</f>
        <v>0</v>
      </c>
      <c r="D1448" s="118"/>
      <c r="E1448" s="118"/>
      <c r="F1448" s="820"/>
      <c r="G1448" s="675">
        <f>+CUBICACION!J1442</f>
        <v>0</v>
      </c>
      <c r="H1448" s="118"/>
      <c r="I1448" s="821">
        <f>+CUBICACION!L1442</f>
        <v>0</v>
      </c>
      <c r="J1448" s="64">
        <f>+CUBICACION!M1442</f>
        <v>0</v>
      </c>
      <c r="K1448" s="822" t="str">
        <f>+CUBICACION!N1442</f>
        <v/>
      </c>
      <c r="L1448" s="118">
        <f>+CUBICACION!O1442</f>
        <v>0</v>
      </c>
      <c r="M1448" s="823">
        <f>+CUBICACION!P1442</f>
        <v>0</v>
      </c>
      <c r="N1448" s="902">
        <f>ROUND(IF(AND(L1448="Blaze Shield II",M1448="Software Idiem",C1448="IN",G1448=4),((('BLAZE SHIELD II'!$D$4*('CALCULO MORTERO'!I1448^2)+'BLAZE SHIELD II'!$D$5*'CALCULO MORTERO'!I1448+'BLAZE SHIELD II'!$D$6)*LN(J1448))+('BLAZE SHIELD II'!$D$7*('CALCULO MORTERO'!I1448^2)+'BLAZE SHIELD II'!$D$8*'CALCULO MORTERO'!I1448+'BLAZE SHIELD II'!$D$9)),0)+IF(AND(L1448="Blaze Shield II",M1448="Software Idiem",C1448="Cj"),((('BLAZE SHIELD II'!$H$4*('CALCULO MORTERO'!I1448^2)+'BLAZE SHIELD II'!$H$5*'CALCULO MORTERO'!I1448+'BLAZE SHIELD II'!$H$6)*LN(J1448))+('BLAZE SHIELD II'!$H$7*('CALCULO MORTERO'!I1448^2)+'BLAZE SHIELD II'!$H$8*'CALCULO MORTERO'!I1448+'BLAZE SHIELD II'!$H$9)),0)+IF(AND(L1448="Blaze Shield II",M1448="Software Idiem",C1448="C"),((('BLAZE SHIELD II'!$L$4*('CALCULO MORTERO'!I1448^2)+'BLAZE SHIELD II'!$L$5*'CALCULO MORTERO'!I1448+'BLAZE SHIELD II'!$L$6)*LN(J1448))+('BLAZE SHIELD II'!$L$7*('CALCULO MORTERO'!I1448^2)+'BLAZE SHIELD II'!$L$8*'CALCULO MORTERO'!I1448+'BLAZE SHIELD II'!$L$9)),0)+IF(AND(L1448="Blaze Shield II",M1448="Software Idiem",C1448="L"),((('BLAZE SHIELD II'!$L$4*('CALCULO MORTERO'!I1448^2)+'BLAZE SHIELD II'!$L$5*'CALCULO MORTERO'!I1448+'BLAZE SHIELD II'!$L$6)*LN(J1448))+('BLAZE SHIELD II'!$L$7*('CALCULO MORTERO'!I1448^2)+'BLAZE SHIELD II'!$L$8*'CALCULO MORTERO'!I1448+'BLAZE SHIELD II'!$L$9)),0)+IF(AND(L1448="Blaze Shield II",M1448="Software Idiem",C1448="IN",G1448=3),((('BLAZE SHIELD II'!$H$14*('CALCULO MORTERO'!I1448^2)+'BLAZE SHIELD II'!$H$15*'CALCULO MORTERO'!I1448+'BLAZE SHIELD II'!$H$16)*LN(J1448))+('BLAZE SHIELD II'!$H$17*('CALCULO MORTERO'!I1448^2)+'BLAZE SHIELD II'!$H$18*'CALCULO MORTERO'!I1448+'BLAZE SHIELD II'!$H$19)),0),0)+ROUND(IF(AND(L1448="Cafco 400",M1448="Software Idiem",C1448="IN",G1448=4),((('CAFCO 400 '!$H$7*(J1448^4)+'CAFCO 400 '!$H$8*(J1448^3)+'CAFCO 400 '!$H$9*(J1448^2)+'CAFCO 400 '!$H$10*J1448+'CAFCO 400 '!$H$11)*U1448^2)+(('CAFCO 400 '!$H$12*(J1448^3)+'CAFCO 400 '!$H$13*(J1448^2)+'CAFCO 400 '!$H$14*J1448+'CAFCO 400 '!$H$15)*U1448)+('CAFCO 400 '!$H$16*(J1448^2)+'CAFCO 400 '!$H$17*J1448+'CAFCO 400 '!$H$18)),0)+IF(AND(L1448="Cafco 400",M1448="Software Idiem",C1448="Cj"),(((('CAFCO 400 '!$D$7*LN(J1448)+'CAFCO 400 '!$D$8)*U1448^2)+(('CAFCO 400 '!$D$9*LN(J1448)+'CAFCO 400 '!$D$10)*U1448)+('CAFCO 400 '!$D$11*LN(J1448)+'CAFCO 400 '!$D$12))),0)+IF(AND(L1448="Cafco 400",M1448="Software Idiem",C1448="C"),((('CAFCO 400 '!$L$7*(J1448^3)+'CAFCO 400 '!$L$8*(J1448^2)+'CAFCO 400 '!$L$9*J1448+'CAFCO 400 '!$L$10)*U1448^2)+(('CAFCO 400 '!$L$11*(J1448^3)+'CAFCO 400 '!$L$12*(J1448^2)+'CAFCO 400 '!$L$13*J1448+'CAFCO 400 '!$L$14)*U1448)+('CAFCO 400 '!$L$15*LN(J1448)+'CAFCO 400 '!$L$16)),0)+IF(AND(L1448="Cafco 400",M1448="Software Idiem",C1448="L"),((('CAFCO 400 '!$L$7*(J1448^3)+'CAFCO 400 '!$L$8*(J1448^2)+'CAFCO 400 '!$L$9*J1448+'CAFCO 400 '!$L$10)*U1448^2)+(('CAFCO 400 '!$L$11*(J1448^3)+'CAFCO 400 '!$L$12*(J1448^2)+'CAFCO 400 '!$L$13*J1448+'CAFCO 400 '!$L$14)*U1448)+('CAFCO 400 '!$L$15*LN(J1448)+'CAFCO 400 '!$L$16)),0)+IF(AND(L1448="Cafco 400",M1448="Software Idiem",C1448="IN",G1448=3),((('CAFCO 400 '!$D$23*(J1448^2)+'CAFCO 400 '!$D$24*(J1448)+'CAFCO 400 '!$D$25)*U1448^2)+(('CAFCO 400 '!$D$26*(J1448^2)+'CAFCO 400 '!$D$27*J1448+'CAFCO 400 '!$D$28)*U1448)+('CAFCO 400 '!$D$29*(J1448^2)+'CAFCO 400 '!$D$30*J1448+'CAFCO 400 '!$D$31)),0),0)+IF(AND(L1448="Cafco 300",J1448&gt;=95,J1448&lt;=240,C1448="Cj",I1448=90),VLOOKUP(T1448,'CAFCO 300 IDIEM TABLAS'!$B$4:$D$23,2,FALSE),0)+IF(AND(L1448="Cafco 300",J1448&gt;=95,J1448&lt;=240,C1448="Cj",I1448=120),VLOOKUP(T1448,'CAFCO 300 IDIEM TABLAS'!$B$4:$D$23,3,FALSE),0)+IF(AND(L1448="Cafco 300",J1448&gt;=95,J1448&lt;=400,G1448=3,C1448="IN",I1448=90),VLOOKUP(T1448,'CAFCO 300 IDIEM TABLAS'!$F$4:$H$35,2,FALSE),0)+IF(AND(L1448="Cafco 300",J1448&gt;=95,J1448&lt;=400,G1448=3,C1448="IN",I1448=120),VLOOKUP(T1448,'CAFCO 300 IDIEM TABLAS'!$F$4:$H$35,3,FALSE),0)+IF(AND(L1448="Cafco 300",J1448&gt;=95,J1448&lt;=450,G1448=4,C1448="IN",I1448=90),VLOOKUP(T1448,'CAFCO 300 IDIEM TABLAS'!$J$4:$L$40,2,FALSE),0)+IF(AND(L1448="Cafco 300",J1448&gt;=95,J1448&lt;=450,G1448=4,C1448="IN",I1448=120),VLOOKUP(T1448,'CAFCO 300 IDIEM TABLAS'!$J$4:$L$40,3,FALSE),0)+IF(AND(M1448="Ensayo Idiem",L1448="Cafco 400",C1448="IN",G1448=4,I1448=90),VLOOKUP(T1448,'CAFCO 400 ENSAYO'!$B$7:$D$43,2,FALSE),0)+IF(AND(M1448="Ensayo Idiem",L1448="Cafco 400",C1448="IN",G1448=4,I1448=120),VLOOKUP(T1448,'CAFCO 400 ENSAYO'!$B$7:$D$43,3,FALSE),0)</f>
        <v>0</v>
      </c>
      <c r="O1448" s="96">
        <f t="shared" si="144"/>
        <v>0</v>
      </c>
      <c r="P1448" s="95" t="str">
        <f t="shared" si="139"/>
        <v>N/A</v>
      </c>
      <c r="Q1448" s="95" t="str">
        <f t="shared" si="140"/>
        <v>N/A</v>
      </c>
      <c r="R1448" s="95" t="str">
        <f t="shared" si="141"/>
        <v>NO CERT.</v>
      </c>
      <c r="S1448" s="95" t="e">
        <f t="shared" si="142"/>
        <v>#N/A</v>
      </c>
      <c r="T1448" s="119" t="e">
        <f>+IF(J1448=LOOKUP(J1448,'CAFCO 300 IDIEM TABLAS'!$J$4:$J$40),'CALCULO MORTERO'!J1448,MROUND('CALCULO MORTERO'!J1448,10))</f>
        <v>#N/A</v>
      </c>
      <c r="U1448" s="118">
        <f t="shared" si="143"/>
        <v>0</v>
      </c>
    </row>
    <row r="1449" spans="1:21" x14ac:dyDescent="0.25">
      <c r="A1449" s="118">
        <f>+CUBICACION!D1443</f>
        <v>0</v>
      </c>
      <c r="B1449" s="819">
        <f>+CUBICACION!E1443</f>
        <v>0</v>
      </c>
      <c r="C1449" s="675">
        <f>+CUBICACION!F1443</f>
        <v>0</v>
      </c>
      <c r="D1449" s="118"/>
      <c r="E1449" s="118"/>
      <c r="F1449" s="820"/>
      <c r="G1449" s="675">
        <f>+CUBICACION!J1443</f>
        <v>0</v>
      </c>
      <c r="H1449" s="118"/>
      <c r="I1449" s="821">
        <f>+CUBICACION!L1443</f>
        <v>0</v>
      </c>
      <c r="J1449" s="64">
        <f>+CUBICACION!M1443</f>
        <v>0</v>
      </c>
      <c r="K1449" s="822" t="str">
        <f>+CUBICACION!N1443</f>
        <v/>
      </c>
      <c r="L1449" s="118">
        <f>+CUBICACION!O1443</f>
        <v>0</v>
      </c>
      <c r="M1449" s="823">
        <f>+CUBICACION!P1443</f>
        <v>0</v>
      </c>
      <c r="N1449" s="902">
        <f>ROUND(IF(AND(L1449="Blaze Shield II",M1449="Software Idiem",C1449="IN",G1449=4),((('BLAZE SHIELD II'!$D$4*('CALCULO MORTERO'!I1449^2)+'BLAZE SHIELD II'!$D$5*'CALCULO MORTERO'!I1449+'BLAZE SHIELD II'!$D$6)*LN(J1449))+('BLAZE SHIELD II'!$D$7*('CALCULO MORTERO'!I1449^2)+'BLAZE SHIELD II'!$D$8*'CALCULO MORTERO'!I1449+'BLAZE SHIELD II'!$D$9)),0)+IF(AND(L1449="Blaze Shield II",M1449="Software Idiem",C1449="Cj"),((('BLAZE SHIELD II'!$H$4*('CALCULO MORTERO'!I1449^2)+'BLAZE SHIELD II'!$H$5*'CALCULO MORTERO'!I1449+'BLAZE SHIELD II'!$H$6)*LN(J1449))+('BLAZE SHIELD II'!$H$7*('CALCULO MORTERO'!I1449^2)+'BLAZE SHIELD II'!$H$8*'CALCULO MORTERO'!I1449+'BLAZE SHIELD II'!$H$9)),0)+IF(AND(L1449="Blaze Shield II",M1449="Software Idiem",C1449="C"),((('BLAZE SHIELD II'!$L$4*('CALCULO MORTERO'!I1449^2)+'BLAZE SHIELD II'!$L$5*'CALCULO MORTERO'!I1449+'BLAZE SHIELD II'!$L$6)*LN(J1449))+('BLAZE SHIELD II'!$L$7*('CALCULO MORTERO'!I1449^2)+'BLAZE SHIELD II'!$L$8*'CALCULO MORTERO'!I1449+'BLAZE SHIELD II'!$L$9)),0)+IF(AND(L1449="Blaze Shield II",M1449="Software Idiem",C1449="L"),((('BLAZE SHIELD II'!$L$4*('CALCULO MORTERO'!I1449^2)+'BLAZE SHIELD II'!$L$5*'CALCULO MORTERO'!I1449+'BLAZE SHIELD II'!$L$6)*LN(J1449))+('BLAZE SHIELD II'!$L$7*('CALCULO MORTERO'!I1449^2)+'BLAZE SHIELD II'!$L$8*'CALCULO MORTERO'!I1449+'BLAZE SHIELD II'!$L$9)),0)+IF(AND(L1449="Blaze Shield II",M1449="Software Idiem",C1449="IN",G1449=3),((('BLAZE SHIELD II'!$H$14*('CALCULO MORTERO'!I1449^2)+'BLAZE SHIELD II'!$H$15*'CALCULO MORTERO'!I1449+'BLAZE SHIELD II'!$H$16)*LN(J1449))+('BLAZE SHIELD II'!$H$17*('CALCULO MORTERO'!I1449^2)+'BLAZE SHIELD II'!$H$18*'CALCULO MORTERO'!I1449+'BLAZE SHIELD II'!$H$19)),0),0)+ROUND(IF(AND(L1449="Cafco 400",M1449="Software Idiem",C1449="IN",G1449=4),((('CAFCO 400 '!$H$7*(J1449^4)+'CAFCO 400 '!$H$8*(J1449^3)+'CAFCO 400 '!$H$9*(J1449^2)+'CAFCO 400 '!$H$10*J1449+'CAFCO 400 '!$H$11)*U1449^2)+(('CAFCO 400 '!$H$12*(J1449^3)+'CAFCO 400 '!$H$13*(J1449^2)+'CAFCO 400 '!$H$14*J1449+'CAFCO 400 '!$H$15)*U1449)+('CAFCO 400 '!$H$16*(J1449^2)+'CAFCO 400 '!$H$17*J1449+'CAFCO 400 '!$H$18)),0)+IF(AND(L1449="Cafco 400",M1449="Software Idiem",C1449="Cj"),(((('CAFCO 400 '!$D$7*LN(J1449)+'CAFCO 400 '!$D$8)*U1449^2)+(('CAFCO 400 '!$D$9*LN(J1449)+'CAFCO 400 '!$D$10)*U1449)+('CAFCO 400 '!$D$11*LN(J1449)+'CAFCO 400 '!$D$12))),0)+IF(AND(L1449="Cafco 400",M1449="Software Idiem",C1449="C"),((('CAFCO 400 '!$L$7*(J1449^3)+'CAFCO 400 '!$L$8*(J1449^2)+'CAFCO 400 '!$L$9*J1449+'CAFCO 400 '!$L$10)*U1449^2)+(('CAFCO 400 '!$L$11*(J1449^3)+'CAFCO 400 '!$L$12*(J1449^2)+'CAFCO 400 '!$L$13*J1449+'CAFCO 400 '!$L$14)*U1449)+('CAFCO 400 '!$L$15*LN(J1449)+'CAFCO 400 '!$L$16)),0)+IF(AND(L1449="Cafco 400",M1449="Software Idiem",C1449="L"),((('CAFCO 400 '!$L$7*(J1449^3)+'CAFCO 400 '!$L$8*(J1449^2)+'CAFCO 400 '!$L$9*J1449+'CAFCO 400 '!$L$10)*U1449^2)+(('CAFCO 400 '!$L$11*(J1449^3)+'CAFCO 400 '!$L$12*(J1449^2)+'CAFCO 400 '!$L$13*J1449+'CAFCO 400 '!$L$14)*U1449)+('CAFCO 400 '!$L$15*LN(J1449)+'CAFCO 400 '!$L$16)),0)+IF(AND(L1449="Cafco 400",M1449="Software Idiem",C1449="IN",G1449=3),((('CAFCO 400 '!$D$23*(J1449^2)+'CAFCO 400 '!$D$24*(J1449)+'CAFCO 400 '!$D$25)*U1449^2)+(('CAFCO 400 '!$D$26*(J1449^2)+'CAFCO 400 '!$D$27*J1449+'CAFCO 400 '!$D$28)*U1449)+('CAFCO 400 '!$D$29*(J1449^2)+'CAFCO 400 '!$D$30*J1449+'CAFCO 400 '!$D$31)),0),0)+IF(AND(L1449="Cafco 300",J1449&gt;=95,J1449&lt;=240,C1449="Cj",I1449=90),VLOOKUP(T1449,'CAFCO 300 IDIEM TABLAS'!$B$4:$D$23,2,FALSE),0)+IF(AND(L1449="Cafco 300",J1449&gt;=95,J1449&lt;=240,C1449="Cj",I1449=120),VLOOKUP(T1449,'CAFCO 300 IDIEM TABLAS'!$B$4:$D$23,3,FALSE),0)+IF(AND(L1449="Cafco 300",J1449&gt;=95,J1449&lt;=400,G1449=3,C1449="IN",I1449=90),VLOOKUP(T1449,'CAFCO 300 IDIEM TABLAS'!$F$4:$H$35,2,FALSE),0)+IF(AND(L1449="Cafco 300",J1449&gt;=95,J1449&lt;=400,G1449=3,C1449="IN",I1449=120),VLOOKUP(T1449,'CAFCO 300 IDIEM TABLAS'!$F$4:$H$35,3,FALSE),0)+IF(AND(L1449="Cafco 300",J1449&gt;=95,J1449&lt;=450,G1449=4,C1449="IN",I1449=90),VLOOKUP(T1449,'CAFCO 300 IDIEM TABLAS'!$J$4:$L$40,2,FALSE),0)+IF(AND(L1449="Cafco 300",J1449&gt;=95,J1449&lt;=450,G1449=4,C1449="IN",I1449=120),VLOOKUP(T1449,'CAFCO 300 IDIEM TABLAS'!$J$4:$L$40,3,FALSE),0)+IF(AND(M1449="Ensayo Idiem",L1449="Cafco 400",C1449="IN",G1449=4,I1449=90),VLOOKUP(T1449,'CAFCO 400 ENSAYO'!$B$7:$D$43,2,FALSE),0)+IF(AND(M1449="Ensayo Idiem",L1449="Cafco 400",C1449="IN",G1449=4,I1449=120),VLOOKUP(T1449,'CAFCO 400 ENSAYO'!$B$7:$D$43,3,FALSE),0)</f>
        <v>0</v>
      </c>
      <c r="O1449" s="96">
        <f t="shared" si="144"/>
        <v>0</v>
      </c>
      <c r="P1449" s="132" t="str">
        <f t="shared" si="139"/>
        <v>N/A</v>
      </c>
      <c r="Q1449" s="132" t="str">
        <f t="shared" si="140"/>
        <v>N/A</v>
      </c>
      <c r="R1449" s="132" t="str">
        <f t="shared" si="141"/>
        <v>NO CERT.</v>
      </c>
      <c r="S1449" s="132" t="e">
        <f t="shared" si="142"/>
        <v>#N/A</v>
      </c>
      <c r="T1449" s="133" t="e">
        <f>+IF(J1449=LOOKUP(J1449,'CAFCO 300 IDIEM TABLAS'!$J$4:$J$40),'CALCULO MORTERO'!J1449,MROUND('CALCULO MORTERO'!J1449,10))</f>
        <v>#N/A</v>
      </c>
      <c r="U1449" s="134">
        <f t="shared" si="143"/>
        <v>0</v>
      </c>
    </row>
    <row r="1450" spans="1:21" x14ac:dyDescent="0.25">
      <c r="A1450" s="118">
        <f>+CUBICACION!D1444</f>
        <v>0</v>
      </c>
      <c r="B1450" s="819">
        <f>+CUBICACION!E1444</f>
        <v>0</v>
      </c>
      <c r="C1450" s="675">
        <f>+CUBICACION!F1444</f>
        <v>0</v>
      </c>
      <c r="D1450" s="118"/>
      <c r="E1450" s="118"/>
      <c r="F1450" s="820"/>
      <c r="G1450" s="675">
        <f>+CUBICACION!J1444</f>
        <v>0</v>
      </c>
      <c r="H1450" s="118"/>
      <c r="I1450" s="821">
        <f>+CUBICACION!L1444</f>
        <v>0</v>
      </c>
      <c r="J1450" s="64">
        <f>+CUBICACION!M1444</f>
        <v>0</v>
      </c>
      <c r="K1450" s="822" t="str">
        <f>+CUBICACION!N1444</f>
        <v/>
      </c>
      <c r="L1450" s="118">
        <f>+CUBICACION!O1444</f>
        <v>0</v>
      </c>
      <c r="M1450" s="823">
        <f>+CUBICACION!P1444</f>
        <v>0</v>
      </c>
      <c r="N1450" s="902">
        <f>ROUND(IF(AND(L1450="Blaze Shield II",M1450="Software Idiem",C1450="IN",G1450=4),((('BLAZE SHIELD II'!$D$4*('CALCULO MORTERO'!I1450^2)+'BLAZE SHIELD II'!$D$5*'CALCULO MORTERO'!I1450+'BLAZE SHIELD II'!$D$6)*LN(J1450))+('BLAZE SHIELD II'!$D$7*('CALCULO MORTERO'!I1450^2)+'BLAZE SHIELD II'!$D$8*'CALCULO MORTERO'!I1450+'BLAZE SHIELD II'!$D$9)),0)+IF(AND(L1450="Blaze Shield II",M1450="Software Idiem",C1450="Cj"),((('BLAZE SHIELD II'!$H$4*('CALCULO MORTERO'!I1450^2)+'BLAZE SHIELD II'!$H$5*'CALCULO MORTERO'!I1450+'BLAZE SHIELD II'!$H$6)*LN(J1450))+('BLAZE SHIELD II'!$H$7*('CALCULO MORTERO'!I1450^2)+'BLAZE SHIELD II'!$H$8*'CALCULO MORTERO'!I1450+'BLAZE SHIELD II'!$H$9)),0)+IF(AND(L1450="Blaze Shield II",M1450="Software Idiem",C1450="C"),((('BLAZE SHIELD II'!$L$4*('CALCULO MORTERO'!I1450^2)+'BLAZE SHIELD II'!$L$5*'CALCULO MORTERO'!I1450+'BLAZE SHIELD II'!$L$6)*LN(J1450))+('BLAZE SHIELD II'!$L$7*('CALCULO MORTERO'!I1450^2)+'BLAZE SHIELD II'!$L$8*'CALCULO MORTERO'!I1450+'BLAZE SHIELD II'!$L$9)),0)+IF(AND(L1450="Blaze Shield II",M1450="Software Idiem",C1450="L"),((('BLAZE SHIELD II'!$L$4*('CALCULO MORTERO'!I1450^2)+'BLAZE SHIELD II'!$L$5*'CALCULO MORTERO'!I1450+'BLAZE SHIELD II'!$L$6)*LN(J1450))+('BLAZE SHIELD II'!$L$7*('CALCULO MORTERO'!I1450^2)+'BLAZE SHIELD II'!$L$8*'CALCULO MORTERO'!I1450+'BLAZE SHIELD II'!$L$9)),0)+IF(AND(L1450="Blaze Shield II",M1450="Software Idiem",C1450="IN",G1450=3),((('BLAZE SHIELD II'!$H$14*('CALCULO MORTERO'!I1450^2)+'BLAZE SHIELD II'!$H$15*'CALCULO MORTERO'!I1450+'BLAZE SHIELD II'!$H$16)*LN(J1450))+('BLAZE SHIELD II'!$H$17*('CALCULO MORTERO'!I1450^2)+'BLAZE SHIELD II'!$H$18*'CALCULO MORTERO'!I1450+'BLAZE SHIELD II'!$H$19)),0),0)+ROUND(IF(AND(L1450="Cafco 400",M1450="Software Idiem",C1450="IN",G1450=4),((('CAFCO 400 '!$H$7*(J1450^4)+'CAFCO 400 '!$H$8*(J1450^3)+'CAFCO 400 '!$H$9*(J1450^2)+'CAFCO 400 '!$H$10*J1450+'CAFCO 400 '!$H$11)*U1450^2)+(('CAFCO 400 '!$H$12*(J1450^3)+'CAFCO 400 '!$H$13*(J1450^2)+'CAFCO 400 '!$H$14*J1450+'CAFCO 400 '!$H$15)*U1450)+('CAFCO 400 '!$H$16*(J1450^2)+'CAFCO 400 '!$H$17*J1450+'CAFCO 400 '!$H$18)),0)+IF(AND(L1450="Cafco 400",M1450="Software Idiem",C1450="Cj"),(((('CAFCO 400 '!$D$7*LN(J1450)+'CAFCO 400 '!$D$8)*U1450^2)+(('CAFCO 400 '!$D$9*LN(J1450)+'CAFCO 400 '!$D$10)*U1450)+('CAFCO 400 '!$D$11*LN(J1450)+'CAFCO 400 '!$D$12))),0)+IF(AND(L1450="Cafco 400",M1450="Software Idiem",C1450="C"),((('CAFCO 400 '!$L$7*(J1450^3)+'CAFCO 400 '!$L$8*(J1450^2)+'CAFCO 400 '!$L$9*J1450+'CAFCO 400 '!$L$10)*U1450^2)+(('CAFCO 400 '!$L$11*(J1450^3)+'CAFCO 400 '!$L$12*(J1450^2)+'CAFCO 400 '!$L$13*J1450+'CAFCO 400 '!$L$14)*U1450)+('CAFCO 400 '!$L$15*LN(J1450)+'CAFCO 400 '!$L$16)),0)+IF(AND(L1450="Cafco 400",M1450="Software Idiem",C1450="L"),((('CAFCO 400 '!$L$7*(J1450^3)+'CAFCO 400 '!$L$8*(J1450^2)+'CAFCO 400 '!$L$9*J1450+'CAFCO 400 '!$L$10)*U1450^2)+(('CAFCO 400 '!$L$11*(J1450^3)+'CAFCO 400 '!$L$12*(J1450^2)+'CAFCO 400 '!$L$13*J1450+'CAFCO 400 '!$L$14)*U1450)+('CAFCO 400 '!$L$15*LN(J1450)+'CAFCO 400 '!$L$16)),0)+IF(AND(L1450="Cafco 400",M1450="Software Idiem",C1450="IN",G1450=3),((('CAFCO 400 '!$D$23*(J1450^2)+'CAFCO 400 '!$D$24*(J1450)+'CAFCO 400 '!$D$25)*U1450^2)+(('CAFCO 400 '!$D$26*(J1450^2)+'CAFCO 400 '!$D$27*J1450+'CAFCO 400 '!$D$28)*U1450)+('CAFCO 400 '!$D$29*(J1450^2)+'CAFCO 400 '!$D$30*J1450+'CAFCO 400 '!$D$31)),0),0)+IF(AND(L1450="Cafco 300",J1450&gt;=95,J1450&lt;=240,C1450="Cj",I1450=90),VLOOKUP(T1450,'CAFCO 300 IDIEM TABLAS'!$B$4:$D$23,2,FALSE),0)+IF(AND(L1450="Cafco 300",J1450&gt;=95,J1450&lt;=240,C1450="Cj",I1450=120),VLOOKUP(T1450,'CAFCO 300 IDIEM TABLAS'!$B$4:$D$23,3,FALSE),0)+IF(AND(L1450="Cafco 300",J1450&gt;=95,J1450&lt;=400,G1450=3,C1450="IN",I1450=90),VLOOKUP(T1450,'CAFCO 300 IDIEM TABLAS'!$F$4:$H$35,2,FALSE),0)+IF(AND(L1450="Cafco 300",J1450&gt;=95,J1450&lt;=400,G1450=3,C1450="IN",I1450=120),VLOOKUP(T1450,'CAFCO 300 IDIEM TABLAS'!$F$4:$H$35,3,FALSE),0)+IF(AND(L1450="Cafco 300",J1450&gt;=95,J1450&lt;=450,G1450=4,C1450="IN",I1450=90),VLOOKUP(T1450,'CAFCO 300 IDIEM TABLAS'!$J$4:$L$40,2,FALSE),0)+IF(AND(L1450="Cafco 300",J1450&gt;=95,J1450&lt;=450,G1450=4,C1450="IN",I1450=120),VLOOKUP(T1450,'CAFCO 300 IDIEM TABLAS'!$J$4:$L$40,3,FALSE),0)+IF(AND(M1450="Ensayo Idiem",L1450="Cafco 400",C1450="IN",G1450=4,I1450=90),VLOOKUP(T1450,'CAFCO 400 ENSAYO'!$B$7:$D$43,2,FALSE),0)+IF(AND(M1450="Ensayo Idiem",L1450="Cafco 400",C1450="IN",G1450=4,I1450=120),VLOOKUP(T1450,'CAFCO 400 ENSAYO'!$B$7:$D$43,3,FALSE),0)</f>
        <v>0</v>
      </c>
      <c r="O1450" s="96">
        <f t="shared" si="144"/>
        <v>0</v>
      </c>
      <c r="P1450" s="95" t="str">
        <f t="shared" si="139"/>
        <v>N/A</v>
      </c>
      <c r="Q1450" s="95" t="str">
        <f t="shared" si="140"/>
        <v>N/A</v>
      </c>
      <c r="R1450" s="95" t="str">
        <f t="shared" si="141"/>
        <v>NO CERT.</v>
      </c>
      <c r="S1450" s="95" t="e">
        <f t="shared" si="142"/>
        <v>#N/A</v>
      </c>
      <c r="T1450" s="119" t="e">
        <f>+IF(J1450=LOOKUP(J1450,'CAFCO 300 IDIEM TABLAS'!$J$4:$J$40),'CALCULO MORTERO'!J1450,MROUND('CALCULO MORTERO'!J1450,10))</f>
        <v>#N/A</v>
      </c>
      <c r="U1450" s="118">
        <f t="shared" si="143"/>
        <v>0</v>
      </c>
    </row>
    <row r="1451" spans="1:21" x14ac:dyDescent="0.25">
      <c r="A1451" s="118">
        <f>+CUBICACION!D1445</f>
        <v>0</v>
      </c>
      <c r="B1451" s="819">
        <f>+CUBICACION!E1445</f>
        <v>0</v>
      </c>
      <c r="C1451" s="675">
        <f>+CUBICACION!F1445</f>
        <v>0</v>
      </c>
      <c r="D1451" s="118"/>
      <c r="E1451" s="118"/>
      <c r="F1451" s="820"/>
      <c r="G1451" s="675">
        <f>+CUBICACION!J1445</f>
        <v>0</v>
      </c>
      <c r="H1451" s="118"/>
      <c r="I1451" s="821">
        <f>+CUBICACION!L1445</f>
        <v>0</v>
      </c>
      <c r="J1451" s="64">
        <f>+CUBICACION!M1445</f>
        <v>0</v>
      </c>
      <c r="K1451" s="822" t="str">
        <f>+CUBICACION!N1445</f>
        <v/>
      </c>
      <c r="L1451" s="118">
        <f>+CUBICACION!O1445</f>
        <v>0</v>
      </c>
      <c r="M1451" s="823">
        <f>+CUBICACION!P1445</f>
        <v>0</v>
      </c>
      <c r="N1451" s="902">
        <f>ROUND(IF(AND(L1451="Blaze Shield II",M1451="Software Idiem",C1451="IN",G1451=4),((('BLAZE SHIELD II'!$D$4*('CALCULO MORTERO'!I1451^2)+'BLAZE SHIELD II'!$D$5*'CALCULO MORTERO'!I1451+'BLAZE SHIELD II'!$D$6)*LN(J1451))+('BLAZE SHIELD II'!$D$7*('CALCULO MORTERO'!I1451^2)+'BLAZE SHIELD II'!$D$8*'CALCULO MORTERO'!I1451+'BLAZE SHIELD II'!$D$9)),0)+IF(AND(L1451="Blaze Shield II",M1451="Software Idiem",C1451="Cj"),((('BLAZE SHIELD II'!$H$4*('CALCULO MORTERO'!I1451^2)+'BLAZE SHIELD II'!$H$5*'CALCULO MORTERO'!I1451+'BLAZE SHIELD II'!$H$6)*LN(J1451))+('BLAZE SHIELD II'!$H$7*('CALCULO MORTERO'!I1451^2)+'BLAZE SHIELD II'!$H$8*'CALCULO MORTERO'!I1451+'BLAZE SHIELD II'!$H$9)),0)+IF(AND(L1451="Blaze Shield II",M1451="Software Idiem",C1451="C"),((('BLAZE SHIELD II'!$L$4*('CALCULO MORTERO'!I1451^2)+'BLAZE SHIELD II'!$L$5*'CALCULO MORTERO'!I1451+'BLAZE SHIELD II'!$L$6)*LN(J1451))+('BLAZE SHIELD II'!$L$7*('CALCULO MORTERO'!I1451^2)+'BLAZE SHIELD II'!$L$8*'CALCULO MORTERO'!I1451+'BLAZE SHIELD II'!$L$9)),0)+IF(AND(L1451="Blaze Shield II",M1451="Software Idiem",C1451="L"),((('BLAZE SHIELD II'!$L$4*('CALCULO MORTERO'!I1451^2)+'BLAZE SHIELD II'!$L$5*'CALCULO MORTERO'!I1451+'BLAZE SHIELD II'!$L$6)*LN(J1451))+('BLAZE SHIELD II'!$L$7*('CALCULO MORTERO'!I1451^2)+'BLAZE SHIELD II'!$L$8*'CALCULO MORTERO'!I1451+'BLAZE SHIELD II'!$L$9)),0)+IF(AND(L1451="Blaze Shield II",M1451="Software Idiem",C1451="IN",G1451=3),((('BLAZE SHIELD II'!$H$14*('CALCULO MORTERO'!I1451^2)+'BLAZE SHIELD II'!$H$15*'CALCULO MORTERO'!I1451+'BLAZE SHIELD II'!$H$16)*LN(J1451))+('BLAZE SHIELD II'!$H$17*('CALCULO MORTERO'!I1451^2)+'BLAZE SHIELD II'!$H$18*'CALCULO MORTERO'!I1451+'BLAZE SHIELD II'!$H$19)),0),0)+ROUND(IF(AND(L1451="Cafco 400",M1451="Software Idiem",C1451="IN",G1451=4),((('CAFCO 400 '!$H$7*(J1451^4)+'CAFCO 400 '!$H$8*(J1451^3)+'CAFCO 400 '!$H$9*(J1451^2)+'CAFCO 400 '!$H$10*J1451+'CAFCO 400 '!$H$11)*U1451^2)+(('CAFCO 400 '!$H$12*(J1451^3)+'CAFCO 400 '!$H$13*(J1451^2)+'CAFCO 400 '!$H$14*J1451+'CAFCO 400 '!$H$15)*U1451)+('CAFCO 400 '!$H$16*(J1451^2)+'CAFCO 400 '!$H$17*J1451+'CAFCO 400 '!$H$18)),0)+IF(AND(L1451="Cafco 400",M1451="Software Idiem",C1451="Cj"),(((('CAFCO 400 '!$D$7*LN(J1451)+'CAFCO 400 '!$D$8)*U1451^2)+(('CAFCO 400 '!$D$9*LN(J1451)+'CAFCO 400 '!$D$10)*U1451)+('CAFCO 400 '!$D$11*LN(J1451)+'CAFCO 400 '!$D$12))),0)+IF(AND(L1451="Cafco 400",M1451="Software Idiem",C1451="C"),((('CAFCO 400 '!$L$7*(J1451^3)+'CAFCO 400 '!$L$8*(J1451^2)+'CAFCO 400 '!$L$9*J1451+'CAFCO 400 '!$L$10)*U1451^2)+(('CAFCO 400 '!$L$11*(J1451^3)+'CAFCO 400 '!$L$12*(J1451^2)+'CAFCO 400 '!$L$13*J1451+'CAFCO 400 '!$L$14)*U1451)+('CAFCO 400 '!$L$15*LN(J1451)+'CAFCO 400 '!$L$16)),0)+IF(AND(L1451="Cafco 400",M1451="Software Idiem",C1451="L"),((('CAFCO 400 '!$L$7*(J1451^3)+'CAFCO 400 '!$L$8*(J1451^2)+'CAFCO 400 '!$L$9*J1451+'CAFCO 400 '!$L$10)*U1451^2)+(('CAFCO 400 '!$L$11*(J1451^3)+'CAFCO 400 '!$L$12*(J1451^2)+'CAFCO 400 '!$L$13*J1451+'CAFCO 400 '!$L$14)*U1451)+('CAFCO 400 '!$L$15*LN(J1451)+'CAFCO 400 '!$L$16)),0)+IF(AND(L1451="Cafco 400",M1451="Software Idiem",C1451="IN",G1451=3),((('CAFCO 400 '!$D$23*(J1451^2)+'CAFCO 400 '!$D$24*(J1451)+'CAFCO 400 '!$D$25)*U1451^2)+(('CAFCO 400 '!$D$26*(J1451^2)+'CAFCO 400 '!$D$27*J1451+'CAFCO 400 '!$D$28)*U1451)+('CAFCO 400 '!$D$29*(J1451^2)+'CAFCO 400 '!$D$30*J1451+'CAFCO 400 '!$D$31)),0),0)+IF(AND(L1451="Cafco 300",J1451&gt;=95,J1451&lt;=240,C1451="Cj",I1451=90),VLOOKUP(T1451,'CAFCO 300 IDIEM TABLAS'!$B$4:$D$23,2,FALSE),0)+IF(AND(L1451="Cafco 300",J1451&gt;=95,J1451&lt;=240,C1451="Cj",I1451=120),VLOOKUP(T1451,'CAFCO 300 IDIEM TABLAS'!$B$4:$D$23,3,FALSE),0)+IF(AND(L1451="Cafco 300",J1451&gt;=95,J1451&lt;=400,G1451=3,C1451="IN",I1451=90),VLOOKUP(T1451,'CAFCO 300 IDIEM TABLAS'!$F$4:$H$35,2,FALSE),0)+IF(AND(L1451="Cafco 300",J1451&gt;=95,J1451&lt;=400,G1451=3,C1451="IN",I1451=120),VLOOKUP(T1451,'CAFCO 300 IDIEM TABLAS'!$F$4:$H$35,3,FALSE),0)+IF(AND(L1451="Cafco 300",J1451&gt;=95,J1451&lt;=450,G1451=4,C1451="IN",I1451=90),VLOOKUP(T1451,'CAFCO 300 IDIEM TABLAS'!$J$4:$L$40,2,FALSE),0)+IF(AND(L1451="Cafco 300",J1451&gt;=95,J1451&lt;=450,G1451=4,C1451="IN",I1451=120),VLOOKUP(T1451,'CAFCO 300 IDIEM TABLAS'!$J$4:$L$40,3,FALSE),0)+IF(AND(M1451="Ensayo Idiem",L1451="Cafco 400",C1451="IN",G1451=4,I1451=90),VLOOKUP(T1451,'CAFCO 400 ENSAYO'!$B$7:$D$43,2,FALSE),0)+IF(AND(M1451="Ensayo Idiem",L1451="Cafco 400",C1451="IN",G1451=4,I1451=120),VLOOKUP(T1451,'CAFCO 400 ENSAYO'!$B$7:$D$43,3,FALSE),0)</f>
        <v>0</v>
      </c>
      <c r="O1451" s="96">
        <f t="shared" si="144"/>
        <v>0</v>
      </c>
      <c r="P1451" s="132" t="str">
        <f t="shared" si="139"/>
        <v>N/A</v>
      </c>
      <c r="Q1451" s="132" t="str">
        <f t="shared" si="140"/>
        <v>N/A</v>
      </c>
      <c r="R1451" s="132" t="str">
        <f t="shared" si="141"/>
        <v>NO CERT.</v>
      </c>
      <c r="S1451" s="132" t="e">
        <f t="shared" si="142"/>
        <v>#N/A</v>
      </c>
      <c r="T1451" s="133" t="e">
        <f>+IF(J1451=LOOKUP(J1451,'CAFCO 300 IDIEM TABLAS'!$J$4:$J$40),'CALCULO MORTERO'!J1451,MROUND('CALCULO MORTERO'!J1451,10))</f>
        <v>#N/A</v>
      </c>
      <c r="U1451" s="134">
        <f t="shared" si="143"/>
        <v>0</v>
      </c>
    </row>
    <row r="1452" spans="1:21" x14ac:dyDescent="0.25">
      <c r="A1452" s="118">
        <f>+CUBICACION!D1446</f>
        <v>0</v>
      </c>
      <c r="B1452" s="819">
        <f>+CUBICACION!E1446</f>
        <v>0</v>
      </c>
      <c r="C1452" s="675">
        <f>+CUBICACION!F1446</f>
        <v>0</v>
      </c>
      <c r="D1452" s="118"/>
      <c r="E1452" s="118"/>
      <c r="F1452" s="820"/>
      <c r="G1452" s="675">
        <f>+CUBICACION!J1446</f>
        <v>0</v>
      </c>
      <c r="H1452" s="118"/>
      <c r="I1452" s="821">
        <f>+CUBICACION!L1446</f>
        <v>0</v>
      </c>
      <c r="J1452" s="64">
        <f>+CUBICACION!M1446</f>
        <v>0</v>
      </c>
      <c r="K1452" s="822" t="str">
        <f>+CUBICACION!N1446</f>
        <v/>
      </c>
      <c r="L1452" s="118">
        <f>+CUBICACION!O1446</f>
        <v>0</v>
      </c>
      <c r="M1452" s="823">
        <f>+CUBICACION!P1446</f>
        <v>0</v>
      </c>
      <c r="N1452" s="902">
        <f>ROUND(IF(AND(L1452="Blaze Shield II",M1452="Software Idiem",C1452="IN",G1452=4),((('BLAZE SHIELD II'!$D$4*('CALCULO MORTERO'!I1452^2)+'BLAZE SHIELD II'!$D$5*'CALCULO MORTERO'!I1452+'BLAZE SHIELD II'!$D$6)*LN(J1452))+('BLAZE SHIELD II'!$D$7*('CALCULO MORTERO'!I1452^2)+'BLAZE SHIELD II'!$D$8*'CALCULO MORTERO'!I1452+'BLAZE SHIELD II'!$D$9)),0)+IF(AND(L1452="Blaze Shield II",M1452="Software Idiem",C1452="Cj"),((('BLAZE SHIELD II'!$H$4*('CALCULO MORTERO'!I1452^2)+'BLAZE SHIELD II'!$H$5*'CALCULO MORTERO'!I1452+'BLAZE SHIELD II'!$H$6)*LN(J1452))+('BLAZE SHIELD II'!$H$7*('CALCULO MORTERO'!I1452^2)+'BLAZE SHIELD II'!$H$8*'CALCULO MORTERO'!I1452+'BLAZE SHIELD II'!$H$9)),0)+IF(AND(L1452="Blaze Shield II",M1452="Software Idiem",C1452="C"),((('BLAZE SHIELD II'!$L$4*('CALCULO MORTERO'!I1452^2)+'BLAZE SHIELD II'!$L$5*'CALCULO MORTERO'!I1452+'BLAZE SHIELD II'!$L$6)*LN(J1452))+('BLAZE SHIELD II'!$L$7*('CALCULO MORTERO'!I1452^2)+'BLAZE SHIELD II'!$L$8*'CALCULO MORTERO'!I1452+'BLAZE SHIELD II'!$L$9)),0)+IF(AND(L1452="Blaze Shield II",M1452="Software Idiem",C1452="L"),((('BLAZE SHIELD II'!$L$4*('CALCULO MORTERO'!I1452^2)+'BLAZE SHIELD II'!$L$5*'CALCULO MORTERO'!I1452+'BLAZE SHIELD II'!$L$6)*LN(J1452))+('BLAZE SHIELD II'!$L$7*('CALCULO MORTERO'!I1452^2)+'BLAZE SHIELD II'!$L$8*'CALCULO MORTERO'!I1452+'BLAZE SHIELD II'!$L$9)),0)+IF(AND(L1452="Blaze Shield II",M1452="Software Idiem",C1452="IN",G1452=3),((('BLAZE SHIELD II'!$H$14*('CALCULO MORTERO'!I1452^2)+'BLAZE SHIELD II'!$H$15*'CALCULO MORTERO'!I1452+'BLAZE SHIELD II'!$H$16)*LN(J1452))+('BLAZE SHIELD II'!$H$17*('CALCULO MORTERO'!I1452^2)+'BLAZE SHIELD II'!$H$18*'CALCULO MORTERO'!I1452+'BLAZE SHIELD II'!$H$19)),0),0)+ROUND(IF(AND(L1452="Cafco 400",M1452="Software Idiem",C1452="IN",G1452=4),((('CAFCO 400 '!$H$7*(J1452^4)+'CAFCO 400 '!$H$8*(J1452^3)+'CAFCO 400 '!$H$9*(J1452^2)+'CAFCO 400 '!$H$10*J1452+'CAFCO 400 '!$H$11)*U1452^2)+(('CAFCO 400 '!$H$12*(J1452^3)+'CAFCO 400 '!$H$13*(J1452^2)+'CAFCO 400 '!$H$14*J1452+'CAFCO 400 '!$H$15)*U1452)+('CAFCO 400 '!$H$16*(J1452^2)+'CAFCO 400 '!$H$17*J1452+'CAFCO 400 '!$H$18)),0)+IF(AND(L1452="Cafco 400",M1452="Software Idiem",C1452="Cj"),(((('CAFCO 400 '!$D$7*LN(J1452)+'CAFCO 400 '!$D$8)*U1452^2)+(('CAFCO 400 '!$D$9*LN(J1452)+'CAFCO 400 '!$D$10)*U1452)+('CAFCO 400 '!$D$11*LN(J1452)+'CAFCO 400 '!$D$12))),0)+IF(AND(L1452="Cafco 400",M1452="Software Idiem",C1452="C"),((('CAFCO 400 '!$L$7*(J1452^3)+'CAFCO 400 '!$L$8*(J1452^2)+'CAFCO 400 '!$L$9*J1452+'CAFCO 400 '!$L$10)*U1452^2)+(('CAFCO 400 '!$L$11*(J1452^3)+'CAFCO 400 '!$L$12*(J1452^2)+'CAFCO 400 '!$L$13*J1452+'CAFCO 400 '!$L$14)*U1452)+('CAFCO 400 '!$L$15*LN(J1452)+'CAFCO 400 '!$L$16)),0)+IF(AND(L1452="Cafco 400",M1452="Software Idiem",C1452="L"),((('CAFCO 400 '!$L$7*(J1452^3)+'CAFCO 400 '!$L$8*(J1452^2)+'CAFCO 400 '!$L$9*J1452+'CAFCO 400 '!$L$10)*U1452^2)+(('CAFCO 400 '!$L$11*(J1452^3)+'CAFCO 400 '!$L$12*(J1452^2)+'CAFCO 400 '!$L$13*J1452+'CAFCO 400 '!$L$14)*U1452)+('CAFCO 400 '!$L$15*LN(J1452)+'CAFCO 400 '!$L$16)),0)+IF(AND(L1452="Cafco 400",M1452="Software Idiem",C1452="IN",G1452=3),((('CAFCO 400 '!$D$23*(J1452^2)+'CAFCO 400 '!$D$24*(J1452)+'CAFCO 400 '!$D$25)*U1452^2)+(('CAFCO 400 '!$D$26*(J1452^2)+'CAFCO 400 '!$D$27*J1452+'CAFCO 400 '!$D$28)*U1452)+('CAFCO 400 '!$D$29*(J1452^2)+'CAFCO 400 '!$D$30*J1452+'CAFCO 400 '!$D$31)),0),0)+IF(AND(L1452="Cafco 300",J1452&gt;=95,J1452&lt;=240,C1452="Cj",I1452=90),VLOOKUP(T1452,'CAFCO 300 IDIEM TABLAS'!$B$4:$D$23,2,FALSE),0)+IF(AND(L1452="Cafco 300",J1452&gt;=95,J1452&lt;=240,C1452="Cj",I1452=120),VLOOKUP(T1452,'CAFCO 300 IDIEM TABLAS'!$B$4:$D$23,3,FALSE),0)+IF(AND(L1452="Cafco 300",J1452&gt;=95,J1452&lt;=400,G1452=3,C1452="IN",I1452=90),VLOOKUP(T1452,'CAFCO 300 IDIEM TABLAS'!$F$4:$H$35,2,FALSE),0)+IF(AND(L1452="Cafco 300",J1452&gt;=95,J1452&lt;=400,G1452=3,C1452="IN",I1452=120),VLOOKUP(T1452,'CAFCO 300 IDIEM TABLAS'!$F$4:$H$35,3,FALSE),0)+IF(AND(L1452="Cafco 300",J1452&gt;=95,J1452&lt;=450,G1452=4,C1452="IN",I1452=90),VLOOKUP(T1452,'CAFCO 300 IDIEM TABLAS'!$J$4:$L$40,2,FALSE),0)+IF(AND(L1452="Cafco 300",J1452&gt;=95,J1452&lt;=450,G1452=4,C1452="IN",I1452=120),VLOOKUP(T1452,'CAFCO 300 IDIEM TABLAS'!$J$4:$L$40,3,FALSE),0)+IF(AND(M1452="Ensayo Idiem",L1452="Cafco 400",C1452="IN",G1452=4,I1452=90),VLOOKUP(T1452,'CAFCO 400 ENSAYO'!$B$7:$D$43,2,FALSE),0)+IF(AND(M1452="Ensayo Idiem",L1452="Cafco 400",C1452="IN",G1452=4,I1452=120),VLOOKUP(T1452,'CAFCO 400 ENSAYO'!$B$7:$D$43,3,FALSE),0)</f>
        <v>0</v>
      </c>
      <c r="O1452" s="96">
        <f t="shared" si="144"/>
        <v>0</v>
      </c>
      <c r="P1452" s="95" t="str">
        <f t="shared" si="139"/>
        <v>N/A</v>
      </c>
      <c r="Q1452" s="95" t="str">
        <f t="shared" si="140"/>
        <v>N/A</v>
      </c>
      <c r="R1452" s="95" t="str">
        <f t="shared" si="141"/>
        <v>NO CERT.</v>
      </c>
      <c r="S1452" s="95" t="e">
        <f t="shared" si="142"/>
        <v>#N/A</v>
      </c>
      <c r="T1452" s="119" t="e">
        <f>+IF(J1452=LOOKUP(J1452,'CAFCO 300 IDIEM TABLAS'!$J$4:$J$40),'CALCULO MORTERO'!J1452,MROUND('CALCULO MORTERO'!J1452,10))</f>
        <v>#N/A</v>
      </c>
      <c r="U1452" s="118">
        <f t="shared" si="143"/>
        <v>0</v>
      </c>
    </row>
    <row r="1453" spans="1:21" x14ac:dyDescent="0.25">
      <c r="A1453" s="118">
        <f>+CUBICACION!D1447</f>
        <v>0</v>
      </c>
      <c r="B1453" s="819">
        <f>+CUBICACION!E1447</f>
        <v>0</v>
      </c>
      <c r="C1453" s="675">
        <f>+CUBICACION!F1447</f>
        <v>0</v>
      </c>
      <c r="D1453" s="118"/>
      <c r="E1453" s="118"/>
      <c r="F1453" s="820"/>
      <c r="G1453" s="675">
        <f>+CUBICACION!J1447</f>
        <v>0</v>
      </c>
      <c r="H1453" s="118"/>
      <c r="I1453" s="821">
        <f>+CUBICACION!L1447</f>
        <v>0</v>
      </c>
      <c r="J1453" s="64">
        <f>+CUBICACION!M1447</f>
        <v>0</v>
      </c>
      <c r="K1453" s="822" t="str">
        <f>+CUBICACION!N1447</f>
        <v/>
      </c>
      <c r="L1453" s="118">
        <f>+CUBICACION!O1447</f>
        <v>0</v>
      </c>
      <c r="M1453" s="823">
        <f>+CUBICACION!P1447</f>
        <v>0</v>
      </c>
      <c r="N1453" s="902">
        <f>ROUND(IF(AND(L1453="Blaze Shield II",M1453="Software Idiem",C1453="IN",G1453=4),((('BLAZE SHIELD II'!$D$4*('CALCULO MORTERO'!I1453^2)+'BLAZE SHIELD II'!$D$5*'CALCULO MORTERO'!I1453+'BLAZE SHIELD II'!$D$6)*LN(J1453))+('BLAZE SHIELD II'!$D$7*('CALCULO MORTERO'!I1453^2)+'BLAZE SHIELD II'!$D$8*'CALCULO MORTERO'!I1453+'BLAZE SHIELD II'!$D$9)),0)+IF(AND(L1453="Blaze Shield II",M1453="Software Idiem",C1453="Cj"),((('BLAZE SHIELD II'!$H$4*('CALCULO MORTERO'!I1453^2)+'BLAZE SHIELD II'!$H$5*'CALCULO MORTERO'!I1453+'BLAZE SHIELD II'!$H$6)*LN(J1453))+('BLAZE SHIELD II'!$H$7*('CALCULO MORTERO'!I1453^2)+'BLAZE SHIELD II'!$H$8*'CALCULO MORTERO'!I1453+'BLAZE SHIELD II'!$H$9)),0)+IF(AND(L1453="Blaze Shield II",M1453="Software Idiem",C1453="C"),((('BLAZE SHIELD II'!$L$4*('CALCULO MORTERO'!I1453^2)+'BLAZE SHIELD II'!$L$5*'CALCULO MORTERO'!I1453+'BLAZE SHIELD II'!$L$6)*LN(J1453))+('BLAZE SHIELD II'!$L$7*('CALCULO MORTERO'!I1453^2)+'BLAZE SHIELD II'!$L$8*'CALCULO MORTERO'!I1453+'BLAZE SHIELD II'!$L$9)),0)+IF(AND(L1453="Blaze Shield II",M1453="Software Idiem",C1453="L"),((('BLAZE SHIELD II'!$L$4*('CALCULO MORTERO'!I1453^2)+'BLAZE SHIELD II'!$L$5*'CALCULO MORTERO'!I1453+'BLAZE SHIELD II'!$L$6)*LN(J1453))+('BLAZE SHIELD II'!$L$7*('CALCULO MORTERO'!I1453^2)+'BLAZE SHIELD II'!$L$8*'CALCULO MORTERO'!I1453+'BLAZE SHIELD II'!$L$9)),0)+IF(AND(L1453="Blaze Shield II",M1453="Software Idiem",C1453="IN",G1453=3),((('BLAZE SHIELD II'!$H$14*('CALCULO MORTERO'!I1453^2)+'BLAZE SHIELD II'!$H$15*'CALCULO MORTERO'!I1453+'BLAZE SHIELD II'!$H$16)*LN(J1453))+('BLAZE SHIELD II'!$H$17*('CALCULO MORTERO'!I1453^2)+'BLAZE SHIELD II'!$H$18*'CALCULO MORTERO'!I1453+'BLAZE SHIELD II'!$H$19)),0),0)+ROUND(IF(AND(L1453="Cafco 400",M1453="Software Idiem",C1453="IN",G1453=4),((('CAFCO 400 '!$H$7*(J1453^4)+'CAFCO 400 '!$H$8*(J1453^3)+'CAFCO 400 '!$H$9*(J1453^2)+'CAFCO 400 '!$H$10*J1453+'CAFCO 400 '!$H$11)*U1453^2)+(('CAFCO 400 '!$H$12*(J1453^3)+'CAFCO 400 '!$H$13*(J1453^2)+'CAFCO 400 '!$H$14*J1453+'CAFCO 400 '!$H$15)*U1453)+('CAFCO 400 '!$H$16*(J1453^2)+'CAFCO 400 '!$H$17*J1453+'CAFCO 400 '!$H$18)),0)+IF(AND(L1453="Cafco 400",M1453="Software Idiem",C1453="Cj"),(((('CAFCO 400 '!$D$7*LN(J1453)+'CAFCO 400 '!$D$8)*U1453^2)+(('CAFCO 400 '!$D$9*LN(J1453)+'CAFCO 400 '!$D$10)*U1453)+('CAFCO 400 '!$D$11*LN(J1453)+'CAFCO 400 '!$D$12))),0)+IF(AND(L1453="Cafco 400",M1453="Software Idiem",C1453="C"),((('CAFCO 400 '!$L$7*(J1453^3)+'CAFCO 400 '!$L$8*(J1453^2)+'CAFCO 400 '!$L$9*J1453+'CAFCO 400 '!$L$10)*U1453^2)+(('CAFCO 400 '!$L$11*(J1453^3)+'CAFCO 400 '!$L$12*(J1453^2)+'CAFCO 400 '!$L$13*J1453+'CAFCO 400 '!$L$14)*U1453)+('CAFCO 400 '!$L$15*LN(J1453)+'CAFCO 400 '!$L$16)),0)+IF(AND(L1453="Cafco 400",M1453="Software Idiem",C1453="L"),((('CAFCO 400 '!$L$7*(J1453^3)+'CAFCO 400 '!$L$8*(J1453^2)+'CAFCO 400 '!$L$9*J1453+'CAFCO 400 '!$L$10)*U1453^2)+(('CAFCO 400 '!$L$11*(J1453^3)+'CAFCO 400 '!$L$12*(J1453^2)+'CAFCO 400 '!$L$13*J1453+'CAFCO 400 '!$L$14)*U1453)+('CAFCO 400 '!$L$15*LN(J1453)+'CAFCO 400 '!$L$16)),0)+IF(AND(L1453="Cafco 400",M1453="Software Idiem",C1453="IN",G1453=3),((('CAFCO 400 '!$D$23*(J1453^2)+'CAFCO 400 '!$D$24*(J1453)+'CAFCO 400 '!$D$25)*U1453^2)+(('CAFCO 400 '!$D$26*(J1453^2)+'CAFCO 400 '!$D$27*J1453+'CAFCO 400 '!$D$28)*U1453)+('CAFCO 400 '!$D$29*(J1453^2)+'CAFCO 400 '!$D$30*J1453+'CAFCO 400 '!$D$31)),0),0)+IF(AND(L1453="Cafco 300",J1453&gt;=95,J1453&lt;=240,C1453="Cj",I1453=90),VLOOKUP(T1453,'CAFCO 300 IDIEM TABLAS'!$B$4:$D$23,2,FALSE),0)+IF(AND(L1453="Cafco 300",J1453&gt;=95,J1453&lt;=240,C1453="Cj",I1453=120),VLOOKUP(T1453,'CAFCO 300 IDIEM TABLAS'!$B$4:$D$23,3,FALSE),0)+IF(AND(L1453="Cafco 300",J1453&gt;=95,J1453&lt;=400,G1453=3,C1453="IN",I1453=90),VLOOKUP(T1453,'CAFCO 300 IDIEM TABLAS'!$F$4:$H$35,2,FALSE),0)+IF(AND(L1453="Cafco 300",J1453&gt;=95,J1453&lt;=400,G1453=3,C1453="IN",I1453=120),VLOOKUP(T1453,'CAFCO 300 IDIEM TABLAS'!$F$4:$H$35,3,FALSE),0)+IF(AND(L1453="Cafco 300",J1453&gt;=95,J1453&lt;=450,G1453=4,C1453="IN",I1453=90),VLOOKUP(T1453,'CAFCO 300 IDIEM TABLAS'!$J$4:$L$40,2,FALSE),0)+IF(AND(L1453="Cafco 300",J1453&gt;=95,J1453&lt;=450,G1453=4,C1453="IN",I1453=120),VLOOKUP(T1453,'CAFCO 300 IDIEM TABLAS'!$J$4:$L$40,3,FALSE),0)+IF(AND(M1453="Ensayo Idiem",L1453="Cafco 400",C1453="IN",G1453=4,I1453=90),VLOOKUP(T1453,'CAFCO 400 ENSAYO'!$B$7:$D$43,2,FALSE),0)+IF(AND(M1453="Ensayo Idiem",L1453="Cafco 400",C1453="IN",G1453=4,I1453=120),VLOOKUP(T1453,'CAFCO 400 ENSAYO'!$B$7:$D$43,3,FALSE),0)</f>
        <v>0</v>
      </c>
      <c r="O1453" s="96">
        <f t="shared" si="144"/>
        <v>0</v>
      </c>
      <c r="P1453" s="132" t="str">
        <f t="shared" si="139"/>
        <v>N/A</v>
      </c>
      <c r="Q1453" s="132" t="str">
        <f t="shared" si="140"/>
        <v>N/A</v>
      </c>
      <c r="R1453" s="132" t="str">
        <f t="shared" si="141"/>
        <v>NO CERT.</v>
      </c>
      <c r="S1453" s="132" t="e">
        <f t="shared" si="142"/>
        <v>#N/A</v>
      </c>
      <c r="T1453" s="133" t="e">
        <f>+IF(J1453=LOOKUP(J1453,'CAFCO 300 IDIEM TABLAS'!$J$4:$J$40),'CALCULO MORTERO'!J1453,MROUND('CALCULO MORTERO'!J1453,10))</f>
        <v>#N/A</v>
      </c>
      <c r="U1453" s="134">
        <f t="shared" si="143"/>
        <v>0</v>
      </c>
    </row>
    <row r="1454" spans="1:21" x14ac:dyDescent="0.25">
      <c r="A1454" s="118">
        <f>+CUBICACION!D1448</f>
        <v>0</v>
      </c>
      <c r="B1454" s="819">
        <f>+CUBICACION!E1448</f>
        <v>0</v>
      </c>
      <c r="C1454" s="675">
        <f>+CUBICACION!F1448</f>
        <v>0</v>
      </c>
      <c r="D1454" s="118"/>
      <c r="E1454" s="118"/>
      <c r="F1454" s="820"/>
      <c r="G1454" s="675">
        <f>+CUBICACION!J1448</f>
        <v>0</v>
      </c>
      <c r="H1454" s="118"/>
      <c r="I1454" s="821">
        <f>+CUBICACION!L1448</f>
        <v>0</v>
      </c>
      <c r="J1454" s="64">
        <f>+CUBICACION!M1448</f>
        <v>0</v>
      </c>
      <c r="K1454" s="822" t="str">
        <f>+CUBICACION!N1448</f>
        <v/>
      </c>
      <c r="L1454" s="118">
        <f>+CUBICACION!O1448</f>
        <v>0</v>
      </c>
      <c r="M1454" s="823">
        <f>+CUBICACION!P1448</f>
        <v>0</v>
      </c>
      <c r="N1454" s="902">
        <f>ROUND(IF(AND(L1454="Blaze Shield II",M1454="Software Idiem",C1454="IN",G1454=4),((('BLAZE SHIELD II'!$D$4*('CALCULO MORTERO'!I1454^2)+'BLAZE SHIELD II'!$D$5*'CALCULO MORTERO'!I1454+'BLAZE SHIELD II'!$D$6)*LN(J1454))+('BLAZE SHIELD II'!$D$7*('CALCULO MORTERO'!I1454^2)+'BLAZE SHIELD II'!$D$8*'CALCULO MORTERO'!I1454+'BLAZE SHIELD II'!$D$9)),0)+IF(AND(L1454="Blaze Shield II",M1454="Software Idiem",C1454="Cj"),((('BLAZE SHIELD II'!$H$4*('CALCULO MORTERO'!I1454^2)+'BLAZE SHIELD II'!$H$5*'CALCULO MORTERO'!I1454+'BLAZE SHIELD II'!$H$6)*LN(J1454))+('BLAZE SHIELD II'!$H$7*('CALCULO MORTERO'!I1454^2)+'BLAZE SHIELD II'!$H$8*'CALCULO MORTERO'!I1454+'BLAZE SHIELD II'!$H$9)),0)+IF(AND(L1454="Blaze Shield II",M1454="Software Idiem",C1454="C"),((('BLAZE SHIELD II'!$L$4*('CALCULO MORTERO'!I1454^2)+'BLAZE SHIELD II'!$L$5*'CALCULO MORTERO'!I1454+'BLAZE SHIELD II'!$L$6)*LN(J1454))+('BLAZE SHIELD II'!$L$7*('CALCULO MORTERO'!I1454^2)+'BLAZE SHIELD II'!$L$8*'CALCULO MORTERO'!I1454+'BLAZE SHIELD II'!$L$9)),0)+IF(AND(L1454="Blaze Shield II",M1454="Software Idiem",C1454="L"),((('BLAZE SHIELD II'!$L$4*('CALCULO MORTERO'!I1454^2)+'BLAZE SHIELD II'!$L$5*'CALCULO MORTERO'!I1454+'BLAZE SHIELD II'!$L$6)*LN(J1454))+('BLAZE SHIELD II'!$L$7*('CALCULO MORTERO'!I1454^2)+'BLAZE SHIELD II'!$L$8*'CALCULO MORTERO'!I1454+'BLAZE SHIELD II'!$L$9)),0)+IF(AND(L1454="Blaze Shield II",M1454="Software Idiem",C1454="IN",G1454=3),((('BLAZE SHIELD II'!$H$14*('CALCULO MORTERO'!I1454^2)+'BLAZE SHIELD II'!$H$15*'CALCULO MORTERO'!I1454+'BLAZE SHIELD II'!$H$16)*LN(J1454))+('BLAZE SHIELD II'!$H$17*('CALCULO MORTERO'!I1454^2)+'BLAZE SHIELD II'!$H$18*'CALCULO MORTERO'!I1454+'BLAZE SHIELD II'!$H$19)),0),0)+ROUND(IF(AND(L1454="Cafco 400",M1454="Software Idiem",C1454="IN",G1454=4),((('CAFCO 400 '!$H$7*(J1454^4)+'CAFCO 400 '!$H$8*(J1454^3)+'CAFCO 400 '!$H$9*(J1454^2)+'CAFCO 400 '!$H$10*J1454+'CAFCO 400 '!$H$11)*U1454^2)+(('CAFCO 400 '!$H$12*(J1454^3)+'CAFCO 400 '!$H$13*(J1454^2)+'CAFCO 400 '!$H$14*J1454+'CAFCO 400 '!$H$15)*U1454)+('CAFCO 400 '!$H$16*(J1454^2)+'CAFCO 400 '!$H$17*J1454+'CAFCO 400 '!$H$18)),0)+IF(AND(L1454="Cafco 400",M1454="Software Idiem",C1454="Cj"),(((('CAFCO 400 '!$D$7*LN(J1454)+'CAFCO 400 '!$D$8)*U1454^2)+(('CAFCO 400 '!$D$9*LN(J1454)+'CAFCO 400 '!$D$10)*U1454)+('CAFCO 400 '!$D$11*LN(J1454)+'CAFCO 400 '!$D$12))),0)+IF(AND(L1454="Cafco 400",M1454="Software Idiem",C1454="C"),((('CAFCO 400 '!$L$7*(J1454^3)+'CAFCO 400 '!$L$8*(J1454^2)+'CAFCO 400 '!$L$9*J1454+'CAFCO 400 '!$L$10)*U1454^2)+(('CAFCO 400 '!$L$11*(J1454^3)+'CAFCO 400 '!$L$12*(J1454^2)+'CAFCO 400 '!$L$13*J1454+'CAFCO 400 '!$L$14)*U1454)+('CAFCO 400 '!$L$15*LN(J1454)+'CAFCO 400 '!$L$16)),0)+IF(AND(L1454="Cafco 400",M1454="Software Idiem",C1454="L"),((('CAFCO 400 '!$L$7*(J1454^3)+'CAFCO 400 '!$L$8*(J1454^2)+'CAFCO 400 '!$L$9*J1454+'CAFCO 400 '!$L$10)*U1454^2)+(('CAFCO 400 '!$L$11*(J1454^3)+'CAFCO 400 '!$L$12*(J1454^2)+'CAFCO 400 '!$L$13*J1454+'CAFCO 400 '!$L$14)*U1454)+('CAFCO 400 '!$L$15*LN(J1454)+'CAFCO 400 '!$L$16)),0)+IF(AND(L1454="Cafco 400",M1454="Software Idiem",C1454="IN",G1454=3),((('CAFCO 400 '!$D$23*(J1454^2)+'CAFCO 400 '!$D$24*(J1454)+'CAFCO 400 '!$D$25)*U1454^2)+(('CAFCO 400 '!$D$26*(J1454^2)+'CAFCO 400 '!$D$27*J1454+'CAFCO 400 '!$D$28)*U1454)+('CAFCO 400 '!$D$29*(J1454^2)+'CAFCO 400 '!$D$30*J1454+'CAFCO 400 '!$D$31)),0),0)+IF(AND(L1454="Cafco 300",J1454&gt;=95,J1454&lt;=240,C1454="Cj",I1454=90),VLOOKUP(T1454,'CAFCO 300 IDIEM TABLAS'!$B$4:$D$23,2,FALSE),0)+IF(AND(L1454="Cafco 300",J1454&gt;=95,J1454&lt;=240,C1454="Cj",I1454=120),VLOOKUP(T1454,'CAFCO 300 IDIEM TABLAS'!$B$4:$D$23,3,FALSE),0)+IF(AND(L1454="Cafco 300",J1454&gt;=95,J1454&lt;=400,G1454=3,C1454="IN",I1454=90),VLOOKUP(T1454,'CAFCO 300 IDIEM TABLAS'!$F$4:$H$35,2,FALSE),0)+IF(AND(L1454="Cafco 300",J1454&gt;=95,J1454&lt;=400,G1454=3,C1454="IN",I1454=120),VLOOKUP(T1454,'CAFCO 300 IDIEM TABLAS'!$F$4:$H$35,3,FALSE),0)+IF(AND(L1454="Cafco 300",J1454&gt;=95,J1454&lt;=450,G1454=4,C1454="IN",I1454=90),VLOOKUP(T1454,'CAFCO 300 IDIEM TABLAS'!$J$4:$L$40,2,FALSE),0)+IF(AND(L1454="Cafco 300",J1454&gt;=95,J1454&lt;=450,G1454=4,C1454="IN",I1454=120),VLOOKUP(T1454,'CAFCO 300 IDIEM TABLAS'!$J$4:$L$40,3,FALSE),0)+IF(AND(M1454="Ensayo Idiem",L1454="Cafco 400",C1454="IN",G1454=4,I1454=90),VLOOKUP(T1454,'CAFCO 400 ENSAYO'!$B$7:$D$43,2,FALSE),0)+IF(AND(M1454="Ensayo Idiem",L1454="Cafco 400",C1454="IN",G1454=4,I1454=120),VLOOKUP(T1454,'CAFCO 400 ENSAYO'!$B$7:$D$43,3,FALSE),0)</f>
        <v>0</v>
      </c>
      <c r="O1454" s="96">
        <f t="shared" si="144"/>
        <v>0</v>
      </c>
      <c r="P1454" s="95" t="str">
        <f t="shared" si="139"/>
        <v>N/A</v>
      </c>
      <c r="Q1454" s="95" t="str">
        <f t="shared" si="140"/>
        <v>N/A</v>
      </c>
      <c r="R1454" s="95" t="str">
        <f t="shared" si="141"/>
        <v>NO CERT.</v>
      </c>
      <c r="S1454" s="95" t="e">
        <f t="shared" si="142"/>
        <v>#N/A</v>
      </c>
      <c r="T1454" s="119" t="e">
        <f>+IF(J1454=LOOKUP(J1454,'CAFCO 300 IDIEM TABLAS'!$J$4:$J$40),'CALCULO MORTERO'!J1454,MROUND('CALCULO MORTERO'!J1454,10))</f>
        <v>#N/A</v>
      </c>
      <c r="U1454" s="118">
        <f t="shared" si="143"/>
        <v>0</v>
      </c>
    </row>
    <row r="1455" spans="1:21" x14ac:dyDescent="0.25">
      <c r="A1455" s="118">
        <f>+CUBICACION!D1449</f>
        <v>0</v>
      </c>
      <c r="B1455" s="819">
        <f>+CUBICACION!E1449</f>
        <v>0</v>
      </c>
      <c r="C1455" s="675">
        <f>+CUBICACION!F1449</f>
        <v>0</v>
      </c>
      <c r="D1455" s="118"/>
      <c r="E1455" s="118"/>
      <c r="F1455" s="820"/>
      <c r="G1455" s="675">
        <f>+CUBICACION!J1449</f>
        <v>0</v>
      </c>
      <c r="H1455" s="118"/>
      <c r="I1455" s="821">
        <f>+CUBICACION!L1449</f>
        <v>0</v>
      </c>
      <c r="J1455" s="64">
        <f>+CUBICACION!M1449</f>
        <v>0</v>
      </c>
      <c r="K1455" s="822" t="str">
        <f>+CUBICACION!N1449</f>
        <v/>
      </c>
      <c r="L1455" s="118">
        <f>+CUBICACION!O1449</f>
        <v>0</v>
      </c>
      <c r="M1455" s="823">
        <f>+CUBICACION!P1449</f>
        <v>0</v>
      </c>
      <c r="N1455" s="902">
        <f>ROUND(IF(AND(L1455="Blaze Shield II",M1455="Software Idiem",C1455="IN",G1455=4),((('BLAZE SHIELD II'!$D$4*('CALCULO MORTERO'!I1455^2)+'BLAZE SHIELD II'!$D$5*'CALCULO MORTERO'!I1455+'BLAZE SHIELD II'!$D$6)*LN(J1455))+('BLAZE SHIELD II'!$D$7*('CALCULO MORTERO'!I1455^2)+'BLAZE SHIELD II'!$D$8*'CALCULO MORTERO'!I1455+'BLAZE SHIELD II'!$D$9)),0)+IF(AND(L1455="Blaze Shield II",M1455="Software Idiem",C1455="Cj"),((('BLAZE SHIELD II'!$H$4*('CALCULO MORTERO'!I1455^2)+'BLAZE SHIELD II'!$H$5*'CALCULO MORTERO'!I1455+'BLAZE SHIELD II'!$H$6)*LN(J1455))+('BLAZE SHIELD II'!$H$7*('CALCULO MORTERO'!I1455^2)+'BLAZE SHIELD II'!$H$8*'CALCULO MORTERO'!I1455+'BLAZE SHIELD II'!$H$9)),0)+IF(AND(L1455="Blaze Shield II",M1455="Software Idiem",C1455="C"),((('BLAZE SHIELD II'!$L$4*('CALCULO MORTERO'!I1455^2)+'BLAZE SHIELD II'!$L$5*'CALCULO MORTERO'!I1455+'BLAZE SHIELD II'!$L$6)*LN(J1455))+('BLAZE SHIELD II'!$L$7*('CALCULO MORTERO'!I1455^2)+'BLAZE SHIELD II'!$L$8*'CALCULO MORTERO'!I1455+'BLAZE SHIELD II'!$L$9)),0)+IF(AND(L1455="Blaze Shield II",M1455="Software Idiem",C1455="L"),((('BLAZE SHIELD II'!$L$4*('CALCULO MORTERO'!I1455^2)+'BLAZE SHIELD II'!$L$5*'CALCULO MORTERO'!I1455+'BLAZE SHIELD II'!$L$6)*LN(J1455))+('BLAZE SHIELD II'!$L$7*('CALCULO MORTERO'!I1455^2)+'BLAZE SHIELD II'!$L$8*'CALCULO MORTERO'!I1455+'BLAZE SHIELD II'!$L$9)),0)+IF(AND(L1455="Blaze Shield II",M1455="Software Idiem",C1455="IN",G1455=3),((('BLAZE SHIELD II'!$H$14*('CALCULO MORTERO'!I1455^2)+'BLAZE SHIELD II'!$H$15*'CALCULO MORTERO'!I1455+'BLAZE SHIELD II'!$H$16)*LN(J1455))+('BLAZE SHIELD II'!$H$17*('CALCULO MORTERO'!I1455^2)+'BLAZE SHIELD II'!$H$18*'CALCULO MORTERO'!I1455+'BLAZE SHIELD II'!$H$19)),0),0)+ROUND(IF(AND(L1455="Cafco 400",M1455="Software Idiem",C1455="IN",G1455=4),((('CAFCO 400 '!$H$7*(J1455^4)+'CAFCO 400 '!$H$8*(J1455^3)+'CAFCO 400 '!$H$9*(J1455^2)+'CAFCO 400 '!$H$10*J1455+'CAFCO 400 '!$H$11)*U1455^2)+(('CAFCO 400 '!$H$12*(J1455^3)+'CAFCO 400 '!$H$13*(J1455^2)+'CAFCO 400 '!$H$14*J1455+'CAFCO 400 '!$H$15)*U1455)+('CAFCO 400 '!$H$16*(J1455^2)+'CAFCO 400 '!$H$17*J1455+'CAFCO 400 '!$H$18)),0)+IF(AND(L1455="Cafco 400",M1455="Software Idiem",C1455="Cj"),(((('CAFCO 400 '!$D$7*LN(J1455)+'CAFCO 400 '!$D$8)*U1455^2)+(('CAFCO 400 '!$D$9*LN(J1455)+'CAFCO 400 '!$D$10)*U1455)+('CAFCO 400 '!$D$11*LN(J1455)+'CAFCO 400 '!$D$12))),0)+IF(AND(L1455="Cafco 400",M1455="Software Idiem",C1455="C"),((('CAFCO 400 '!$L$7*(J1455^3)+'CAFCO 400 '!$L$8*(J1455^2)+'CAFCO 400 '!$L$9*J1455+'CAFCO 400 '!$L$10)*U1455^2)+(('CAFCO 400 '!$L$11*(J1455^3)+'CAFCO 400 '!$L$12*(J1455^2)+'CAFCO 400 '!$L$13*J1455+'CAFCO 400 '!$L$14)*U1455)+('CAFCO 400 '!$L$15*LN(J1455)+'CAFCO 400 '!$L$16)),0)+IF(AND(L1455="Cafco 400",M1455="Software Idiem",C1455="L"),((('CAFCO 400 '!$L$7*(J1455^3)+'CAFCO 400 '!$L$8*(J1455^2)+'CAFCO 400 '!$L$9*J1455+'CAFCO 400 '!$L$10)*U1455^2)+(('CAFCO 400 '!$L$11*(J1455^3)+'CAFCO 400 '!$L$12*(J1455^2)+'CAFCO 400 '!$L$13*J1455+'CAFCO 400 '!$L$14)*U1455)+('CAFCO 400 '!$L$15*LN(J1455)+'CAFCO 400 '!$L$16)),0)+IF(AND(L1455="Cafco 400",M1455="Software Idiem",C1455="IN",G1455=3),((('CAFCO 400 '!$D$23*(J1455^2)+'CAFCO 400 '!$D$24*(J1455)+'CAFCO 400 '!$D$25)*U1455^2)+(('CAFCO 400 '!$D$26*(J1455^2)+'CAFCO 400 '!$D$27*J1455+'CAFCO 400 '!$D$28)*U1455)+('CAFCO 400 '!$D$29*(J1455^2)+'CAFCO 400 '!$D$30*J1455+'CAFCO 400 '!$D$31)),0),0)+IF(AND(L1455="Cafco 300",J1455&gt;=95,J1455&lt;=240,C1455="Cj",I1455=90),VLOOKUP(T1455,'CAFCO 300 IDIEM TABLAS'!$B$4:$D$23,2,FALSE),0)+IF(AND(L1455="Cafco 300",J1455&gt;=95,J1455&lt;=240,C1455="Cj",I1455=120),VLOOKUP(T1455,'CAFCO 300 IDIEM TABLAS'!$B$4:$D$23,3,FALSE),0)+IF(AND(L1455="Cafco 300",J1455&gt;=95,J1455&lt;=400,G1455=3,C1455="IN",I1455=90),VLOOKUP(T1455,'CAFCO 300 IDIEM TABLAS'!$F$4:$H$35,2,FALSE),0)+IF(AND(L1455="Cafco 300",J1455&gt;=95,J1455&lt;=400,G1455=3,C1455="IN",I1455=120),VLOOKUP(T1455,'CAFCO 300 IDIEM TABLAS'!$F$4:$H$35,3,FALSE),0)+IF(AND(L1455="Cafco 300",J1455&gt;=95,J1455&lt;=450,G1455=4,C1455="IN",I1455=90),VLOOKUP(T1455,'CAFCO 300 IDIEM TABLAS'!$J$4:$L$40,2,FALSE),0)+IF(AND(L1455="Cafco 300",J1455&gt;=95,J1455&lt;=450,G1455=4,C1455="IN",I1455=120),VLOOKUP(T1455,'CAFCO 300 IDIEM TABLAS'!$J$4:$L$40,3,FALSE),0)+IF(AND(M1455="Ensayo Idiem",L1455="Cafco 400",C1455="IN",G1455=4,I1455=90),VLOOKUP(T1455,'CAFCO 400 ENSAYO'!$B$7:$D$43,2,FALSE),0)+IF(AND(M1455="Ensayo Idiem",L1455="Cafco 400",C1455="IN",G1455=4,I1455=120),VLOOKUP(T1455,'CAFCO 400 ENSAYO'!$B$7:$D$43,3,FALSE),0)</f>
        <v>0</v>
      </c>
      <c r="O1455" s="96">
        <f t="shared" si="144"/>
        <v>0</v>
      </c>
      <c r="P1455" s="132" t="str">
        <f t="shared" si="139"/>
        <v>N/A</v>
      </c>
      <c r="Q1455" s="132" t="str">
        <f t="shared" si="140"/>
        <v>N/A</v>
      </c>
      <c r="R1455" s="132" t="str">
        <f t="shared" si="141"/>
        <v>NO CERT.</v>
      </c>
      <c r="S1455" s="132" t="e">
        <f t="shared" si="142"/>
        <v>#N/A</v>
      </c>
      <c r="T1455" s="133" t="e">
        <f>+IF(J1455=LOOKUP(J1455,'CAFCO 300 IDIEM TABLAS'!$J$4:$J$40),'CALCULO MORTERO'!J1455,MROUND('CALCULO MORTERO'!J1455,10))</f>
        <v>#N/A</v>
      </c>
      <c r="U1455" s="134">
        <f t="shared" si="143"/>
        <v>0</v>
      </c>
    </row>
    <row r="1456" spans="1:21" x14ac:dyDescent="0.25">
      <c r="A1456" s="118">
        <f>+CUBICACION!D1450</f>
        <v>0</v>
      </c>
      <c r="B1456" s="819">
        <f>+CUBICACION!E1450</f>
        <v>0</v>
      </c>
      <c r="C1456" s="675">
        <f>+CUBICACION!F1450</f>
        <v>0</v>
      </c>
      <c r="D1456" s="118"/>
      <c r="E1456" s="118"/>
      <c r="F1456" s="820"/>
      <c r="G1456" s="675">
        <f>+CUBICACION!J1450</f>
        <v>0</v>
      </c>
      <c r="H1456" s="118"/>
      <c r="I1456" s="821">
        <f>+CUBICACION!L1450</f>
        <v>0</v>
      </c>
      <c r="J1456" s="64">
        <f>+CUBICACION!M1450</f>
        <v>0</v>
      </c>
      <c r="K1456" s="822" t="str">
        <f>+CUBICACION!N1450</f>
        <v/>
      </c>
      <c r="L1456" s="118">
        <f>+CUBICACION!O1450</f>
        <v>0</v>
      </c>
      <c r="M1456" s="823">
        <f>+CUBICACION!P1450</f>
        <v>0</v>
      </c>
      <c r="N1456" s="902">
        <f>ROUND(IF(AND(L1456="Blaze Shield II",M1456="Software Idiem",C1456="IN",G1456=4),((('BLAZE SHIELD II'!$D$4*('CALCULO MORTERO'!I1456^2)+'BLAZE SHIELD II'!$D$5*'CALCULO MORTERO'!I1456+'BLAZE SHIELD II'!$D$6)*LN(J1456))+('BLAZE SHIELD II'!$D$7*('CALCULO MORTERO'!I1456^2)+'BLAZE SHIELD II'!$D$8*'CALCULO MORTERO'!I1456+'BLAZE SHIELD II'!$D$9)),0)+IF(AND(L1456="Blaze Shield II",M1456="Software Idiem",C1456="Cj"),((('BLAZE SHIELD II'!$H$4*('CALCULO MORTERO'!I1456^2)+'BLAZE SHIELD II'!$H$5*'CALCULO MORTERO'!I1456+'BLAZE SHIELD II'!$H$6)*LN(J1456))+('BLAZE SHIELD II'!$H$7*('CALCULO MORTERO'!I1456^2)+'BLAZE SHIELD II'!$H$8*'CALCULO MORTERO'!I1456+'BLAZE SHIELD II'!$H$9)),0)+IF(AND(L1456="Blaze Shield II",M1456="Software Idiem",C1456="C"),((('BLAZE SHIELD II'!$L$4*('CALCULO MORTERO'!I1456^2)+'BLAZE SHIELD II'!$L$5*'CALCULO MORTERO'!I1456+'BLAZE SHIELD II'!$L$6)*LN(J1456))+('BLAZE SHIELD II'!$L$7*('CALCULO MORTERO'!I1456^2)+'BLAZE SHIELD II'!$L$8*'CALCULO MORTERO'!I1456+'BLAZE SHIELD II'!$L$9)),0)+IF(AND(L1456="Blaze Shield II",M1456="Software Idiem",C1456="L"),((('BLAZE SHIELD II'!$L$4*('CALCULO MORTERO'!I1456^2)+'BLAZE SHIELD II'!$L$5*'CALCULO MORTERO'!I1456+'BLAZE SHIELD II'!$L$6)*LN(J1456))+('BLAZE SHIELD II'!$L$7*('CALCULO MORTERO'!I1456^2)+'BLAZE SHIELD II'!$L$8*'CALCULO MORTERO'!I1456+'BLAZE SHIELD II'!$L$9)),0)+IF(AND(L1456="Blaze Shield II",M1456="Software Idiem",C1456="IN",G1456=3),((('BLAZE SHIELD II'!$H$14*('CALCULO MORTERO'!I1456^2)+'BLAZE SHIELD II'!$H$15*'CALCULO MORTERO'!I1456+'BLAZE SHIELD II'!$H$16)*LN(J1456))+('BLAZE SHIELD II'!$H$17*('CALCULO MORTERO'!I1456^2)+'BLAZE SHIELD II'!$H$18*'CALCULO MORTERO'!I1456+'BLAZE SHIELD II'!$H$19)),0),0)+ROUND(IF(AND(L1456="Cafco 400",M1456="Software Idiem",C1456="IN",G1456=4),((('CAFCO 400 '!$H$7*(J1456^4)+'CAFCO 400 '!$H$8*(J1456^3)+'CAFCO 400 '!$H$9*(J1456^2)+'CAFCO 400 '!$H$10*J1456+'CAFCO 400 '!$H$11)*U1456^2)+(('CAFCO 400 '!$H$12*(J1456^3)+'CAFCO 400 '!$H$13*(J1456^2)+'CAFCO 400 '!$H$14*J1456+'CAFCO 400 '!$H$15)*U1456)+('CAFCO 400 '!$H$16*(J1456^2)+'CAFCO 400 '!$H$17*J1456+'CAFCO 400 '!$H$18)),0)+IF(AND(L1456="Cafco 400",M1456="Software Idiem",C1456="Cj"),(((('CAFCO 400 '!$D$7*LN(J1456)+'CAFCO 400 '!$D$8)*U1456^2)+(('CAFCO 400 '!$D$9*LN(J1456)+'CAFCO 400 '!$D$10)*U1456)+('CAFCO 400 '!$D$11*LN(J1456)+'CAFCO 400 '!$D$12))),0)+IF(AND(L1456="Cafco 400",M1456="Software Idiem",C1456="C"),((('CAFCO 400 '!$L$7*(J1456^3)+'CAFCO 400 '!$L$8*(J1456^2)+'CAFCO 400 '!$L$9*J1456+'CAFCO 400 '!$L$10)*U1456^2)+(('CAFCO 400 '!$L$11*(J1456^3)+'CAFCO 400 '!$L$12*(J1456^2)+'CAFCO 400 '!$L$13*J1456+'CAFCO 400 '!$L$14)*U1456)+('CAFCO 400 '!$L$15*LN(J1456)+'CAFCO 400 '!$L$16)),0)+IF(AND(L1456="Cafco 400",M1456="Software Idiem",C1456="L"),((('CAFCO 400 '!$L$7*(J1456^3)+'CAFCO 400 '!$L$8*(J1456^2)+'CAFCO 400 '!$L$9*J1456+'CAFCO 400 '!$L$10)*U1456^2)+(('CAFCO 400 '!$L$11*(J1456^3)+'CAFCO 400 '!$L$12*(J1456^2)+'CAFCO 400 '!$L$13*J1456+'CAFCO 400 '!$L$14)*U1456)+('CAFCO 400 '!$L$15*LN(J1456)+'CAFCO 400 '!$L$16)),0)+IF(AND(L1456="Cafco 400",M1456="Software Idiem",C1456="IN",G1456=3),((('CAFCO 400 '!$D$23*(J1456^2)+'CAFCO 400 '!$D$24*(J1456)+'CAFCO 400 '!$D$25)*U1456^2)+(('CAFCO 400 '!$D$26*(J1456^2)+'CAFCO 400 '!$D$27*J1456+'CAFCO 400 '!$D$28)*U1456)+('CAFCO 400 '!$D$29*(J1456^2)+'CAFCO 400 '!$D$30*J1456+'CAFCO 400 '!$D$31)),0),0)+IF(AND(L1456="Cafco 300",J1456&gt;=95,J1456&lt;=240,C1456="Cj",I1456=90),VLOOKUP(T1456,'CAFCO 300 IDIEM TABLAS'!$B$4:$D$23,2,FALSE),0)+IF(AND(L1456="Cafco 300",J1456&gt;=95,J1456&lt;=240,C1456="Cj",I1456=120),VLOOKUP(T1456,'CAFCO 300 IDIEM TABLAS'!$B$4:$D$23,3,FALSE),0)+IF(AND(L1456="Cafco 300",J1456&gt;=95,J1456&lt;=400,G1456=3,C1456="IN",I1456=90),VLOOKUP(T1456,'CAFCO 300 IDIEM TABLAS'!$F$4:$H$35,2,FALSE),0)+IF(AND(L1456="Cafco 300",J1456&gt;=95,J1456&lt;=400,G1456=3,C1456="IN",I1456=120),VLOOKUP(T1456,'CAFCO 300 IDIEM TABLAS'!$F$4:$H$35,3,FALSE),0)+IF(AND(L1456="Cafco 300",J1456&gt;=95,J1456&lt;=450,G1456=4,C1456="IN",I1456=90),VLOOKUP(T1456,'CAFCO 300 IDIEM TABLAS'!$J$4:$L$40,2,FALSE),0)+IF(AND(L1456="Cafco 300",J1456&gt;=95,J1456&lt;=450,G1456=4,C1456="IN",I1456=120),VLOOKUP(T1456,'CAFCO 300 IDIEM TABLAS'!$J$4:$L$40,3,FALSE),0)+IF(AND(M1456="Ensayo Idiem",L1456="Cafco 400",C1456="IN",G1456=4,I1456=90),VLOOKUP(T1456,'CAFCO 400 ENSAYO'!$B$7:$D$43,2,FALSE),0)+IF(AND(M1456="Ensayo Idiem",L1456="Cafco 400",C1456="IN",G1456=4,I1456=120),VLOOKUP(T1456,'CAFCO 400 ENSAYO'!$B$7:$D$43,3,FALSE),0)</f>
        <v>0</v>
      </c>
      <c r="O1456" s="96">
        <f t="shared" si="144"/>
        <v>0</v>
      </c>
      <c r="P1456" s="95" t="str">
        <f t="shared" si="139"/>
        <v>N/A</v>
      </c>
      <c r="Q1456" s="95" t="str">
        <f t="shared" si="140"/>
        <v>N/A</v>
      </c>
      <c r="R1456" s="95" t="str">
        <f t="shared" si="141"/>
        <v>NO CERT.</v>
      </c>
      <c r="S1456" s="95" t="e">
        <f t="shared" si="142"/>
        <v>#N/A</v>
      </c>
      <c r="T1456" s="119" t="e">
        <f>+IF(J1456=LOOKUP(J1456,'CAFCO 300 IDIEM TABLAS'!$J$4:$J$40),'CALCULO MORTERO'!J1456,MROUND('CALCULO MORTERO'!J1456,10))</f>
        <v>#N/A</v>
      </c>
      <c r="U1456" s="118">
        <f t="shared" si="143"/>
        <v>0</v>
      </c>
    </row>
    <row r="1457" spans="1:21" x14ac:dyDescent="0.25">
      <c r="A1457" s="118">
        <f>+CUBICACION!D1451</f>
        <v>0</v>
      </c>
      <c r="B1457" s="819">
        <f>+CUBICACION!E1451</f>
        <v>0</v>
      </c>
      <c r="C1457" s="675">
        <f>+CUBICACION!F1451</f>
        <v>0</v>
      </c>
      <c r="D1457" s="118"/>
      <c r="E1457" s="118"/>
      <c r="F1457" s="820"/>
      <c r="G1457" s="675">
        <f>+CUBICACION!J1451</f>
        <v>0</v>
      </c>
      <c r="H1457" s="118"/>
      <c r="I1457" s="821">
        <f>+CUBICACION!L1451</f>
        <v>0</v>
      </c>
      <c r="J1457" s="64">
        <f>+CUBICACION!M1451</f>
        <v>0</v>
      </c>
      <c r="K1457" s="822" t="str">
        <f>+CUBICACION!N1451</f>
        <v/>
      </c>
      <c r="L1457" s="118">
        <f>+CUBICACION!O1451</f>
        <v>0</v>
      </c>
      <c r="M1457" s="823">
        <f>+CUBICACION!P1451</f>
        <v>0</v>
      </c>
      <c r="N1457" s="902">
        <f>ROUND(IF(AND(L1457="Blaze Shield II",M1457="Software Idiem",C1457="IN",G1457=4),((('BLAZE SHIELD II'!$D$4*('CALCULO MORTERO'!I1457^2)+'BLAZE SHIELD II'!$D$5*'CALCULO MORTERO'!I1457+'BLAZE SHIELD II'!$D$6)*LN(J1457))+('BLAZE SHIELD II'!$D$7*('CALCULO MORTERO'!I1457^2)+'BLAZE SHIELD II'!$D$8*'CALCULO MORTERO'!I1457+'BLAZE SHIELD II'!$D$9)),0)+IF(AND(L1457="Blaze Shield II",M1457="Software Idiem",C1457="Cj"),((('BLAZE SHIELD II'!$H$4*('CALCULO MORTERO'!I1457^2)+'BLAZE SHIELD II'!$H$5*'CALCULO MORTERO'!I1457+'BLAZE SHIELD II'!$H$6)*LN(J1457))+('BLAZE SHIELD II'!$H$7*('CALCULO MORTERO'!I1457^2)+'BLAZE SHIELD II'!$H$8*'CALCULO MORTERO'!I1457+'BLAZE SHIELD II'!$H$9)),0)+IF(AND(L1457="Blaze Shield II",M1457="Software Idiem",C1457="C"),((('BLAZE SHIELD II'!$L$4*('CALCULO MORTERO'!I1457^2)+'BLAZE SHIELD II'!$L$5*'CALCULO MORTERO'!I1457+'BLAZE SHIELD II'!$L$6)*LN(J1457))+('BLAZE SHIELD II'!$L$7*('CALCULO MORTERO'!I1457^2)+'BLAZE SHIELD II'!$L$8*'CALCULO MORTERO'!I1457+'BLAZE SHIELD II'!$L$9)),0)+IF(AND(L1457="Blaze Shield II",M1457="Software Idiem",C1457="L"),((('BLAZE SHIELD II'!$L$4*('CALCULO MORTERO'!I1457^2)+'BLAZE SHIELD II'!$L$5*'CALCULO MORTERO'!I1457+'BLAZE SHIELD II'!$L$6)*LN(J1457))+('BLAZE SHIELD II'!$L$7*('CALCULO MORTERO'!I1457^2)+'BLAZE SHIELD II'!$L$8*'CALCULO MORTERO'!I1457+'BLAZE SHIELD II'!$L$9)),0)+IF(AND(L1457="Blaze Shield II",M1457="Software Idiem",C1457="IN",G1457=3),((('BLAZE SHIELD II'!$H$14*('CALCULO MORTERO'!I1457^2)+'BLAZE SHIELD II'!$H$15*'CALCULO MORTERO'!I1457+'BLAZE SHIELD II'!$H$16)*LN(J1457))+('BLAZE SHIELD II'!$H$17*('CALCULO MORTERO'!I1457^2)+'BLAZE SHIELD II'!$H$18*'CALCULO MORTERO'!I1457+'BLAZE SHIELD II'!$H$19)),0),0)+ROUND(IF(AND(L1457="Cafco 400",M1457="Software Idiem",C1457="IN",G1457=4),((('CAFCO 400 '!$H$7*(J1457^4)+'CAFCO 400 '!$H$8*(J1457^3)+'CAFCO 400 '!$H$9*(J1457^2)+'CAFCO 400 '!$H$10*J1457+'CAFCO 400 '!$H$11)*U1457^2)+(('CAFCO 400 '!$H$12*(J1457^3)+'CAFCO 400 '!$H$13*(J1457^2)+'CAFCO 400 '!$H$14*J1457+'CAFCO 400 '!$H$15)*U1457)+('CAFCO 400 '!$H$16*(J1457^2)+'CAFCO 400 '!$H$17*J1457+'CAFCO 400 '!$H$18)),0)+IF(AND(L1457="Cafco 400",M1457="Software Idiem",C1457="Cj"),(((('CAFCO 400 '!$D$7*LN(J1457)+'CAFCO 400 '!$D$8)*U1457^2)+(('CAFCO 400 '!$D$9*LN(J1457)+'CAFCO 400 '!$D$10)*U1457)+('CAFCO 400 '!$D$11*LN(J1457)+'CAFCO 400 '!$D$12))),0)+IF(AND(L1457="Cafco 400",M1457="Software Idiem",C1457="C"),((('CAFCO 400 '!$L$7*(J1457^3)+'CAFCO 400 '!$L$8*(J1457^2)+'CAFCO 400 '!$L$9*J1457+'CAFCO 400 '!$L$10)*U1457^2)+(('CAFCO 400 '!$L$11*(J1457^3)+'CAFCO 400 '!$L$12*(J1457^2)+'CAFCO 400 '!$L$13*J1457+'CAFCO 400 '!$L$14)*U1457)+('CAFCO 400 '!$L$15*LN(J1457)+'CAFCO 400 '!$L$16)),0)+IF(AND(L1457="Cafco 400",M1457="Software Idiem",C1457="L"),((('CAFCO 400 '!$L$7*(J1457^3)+'CAFCO 400 '!$L$8*(J1457^2)+'CAFCO 400 '!$L$9*J1457+'CAFCO 400 '!$L$10)*U1457^2)+(('CAFCO 400 '!$L$11*(J1457^3)+'CAFCO 400 '!$L$12*(J1457^2)+'CAFCO 400 '!$L$13*J1457+'CAFCO 400 '!$L$14)*U1457)+('CAFCO 400 '!$L$15*LN(J1457)+'CAFCO 400 '!$L$16)),0)+IF(AND(L1457="Cafco 400",M1457="Software Idiem",C1457="IN",G1457=3),((('CAFCO 400 '!$D$23*(J1457^2)+'CAFCO 400 '!$D$24*(J1457)+'CAFCO 400 '!$D$25)*U1457^2)+(('CAFCO 400 '!$D$26*(J1457^2)+'CAFCO 400 '!$D$27*J1457+'CAFCO 400 '!$D$28)*U1457)+('CAFCO 400 '!$D$29*(J1457^2)+'CAFCO 400 '!$D$30*J1457+'CAFCO 400 '!$D$31)),0),0)+IF(AND(L1457="Cafco 300",J1457&gt;=95,J1457&lt;=240,C1457="Cj",I1457=90),VLOOKUP(T1457,'CAFCO 300 IDIEM TABLAS'!$B$4:$D$23,2,FALSE),0)+IF(AND(L1457="Cafco 300",J1457&gt;=95,J1457&lt;=240,C1457="Cj",I1457=120),VLOOKUP(T1457,'CAFCO 300 IDIEM TABLAS'!$B$4:$D$23,3,FALSE),0)+IF(AND(L1457="Cafco 300",J1457&gt;=95,J1457&lt;=400,G1457=3,C1457="IN",I1457=90),VLOOKUP(T1457,'CAFCO 300 IDIEM TABLAS'!$F$4:$H$35,2,FALSE),0)+IF(AND(L1457="Cafco 300",J1457&gt;=95,J1457&lt;=400,G1457=3,C1457="IN",I1457=120),VLOOKUP(T1457,'CAFCO 300 IDIEM TABLAS'!$F$4:$H$35,3,FALSE),0)+IF(AND(L1457="Cafco 300",J1457&gt;=95,J1457&lt;=450,G1457=4,C1457="IN",I1457=90),VLOOKUP(T1457,'CAFCO 300 IDIEM TABLAS'!$J$4:$L$40,2,FALSE),0)+IF(AND(L1457="Cafco 300",J1457&gt;=95,J1457&lt;=450,G1457=4,C1457="IN",I1457=120),VLOOKUP(T1457,'CAFCO 300 IDIEM TABLAS'!$J$4:$L$40,3,FALSE),0)+IF(AND(M1457="Ensayo Idiem",L1457="Cafco 400",C1457="IN",G1457=4,I1457=90),VLOOKUP(T1457,'CAFCO 400 ENSAYO'!$B$7:$D$43,2,FALSE),0)+IF(AND(M1457="Ensayo Idiem",L1457="Cafco 400",C1457="IN",G1457=4,I1457=120),VLOOKUP(T1457,'CAFCO 400 ENSAYO'!$B$7:$D$43,3,FALSE),0)</f>
        <v>0</v>
      </c>
      <c r="O1457" s="96">
        <f t="shared" si="144"/>
        <v>0</v>
      </c>
      <c r="P1457" s="132" t="str">
        <f t="shared" si="139"/>
        <v>N/A</v>
      </c>
      <c r="Q1457" s="132" t="str">
        <f t="shared" si="140"/>
        <v>N/A</v>
      </c>
      <c r="R1457" s="132" t="str">
        <f t="shared" si="141"/>
        <v>NO CERT.</v>
      </c>
      <c r="S1457" s="132" t="e">
        <f t="shared" si="142"/>
        <v>#N/A</v>
      </c>
      <c r="T1457" s="133" t="e">
        <f>+IF(J1457=LOOKUP(J1457,'CAFCO 300 IDIEM TABLAS'!$J$4:$J$40),'CALCULO MORTERO'!J1457,MROUND('CALCULO MORTERO'!J1457,10))</f>
        <v>#N/A</v>
      </c>
      <c r="U1457" s="134">
        <f t="shared" si="143"/>
        <v>0</v>
      </c>
    </row>
    <row r="1458" spans="1:21" x14ac:dyDescent="0.25">
      <c r="A1458" s="118">
        <f>+CUBICACION!D1452</f>
        <v>0</v>
      </c>
      <c r="B1458" s="819">
        <f>+CUBICACION!E1452</f>
        <v>0</v>
      </c>
      <c r="C1458" s="675">
        <f>+CUBICACION!F1452</f>
        <v>0</v>
      </c>
      <c r="D1458" s="118"/>
      <c r="E1458" s="118"/>
      <c r="F1458" s="820"/>
      <c r="G1458" s="675">
        <f>+CUBICACION!J1452</f>
        <v>0</v>
      </c>
      <c r="H1458" s="118"/>
      <c r="I1458" s="821">
        <f>+CUBICACION!L1452</f>
        <v>0</v>
      </c>
      <c r="J1458" s="64">
        <f>+CUBICACION!M1452</f>
        <v>0</v>
      </c>
      <c r="K1458" s="822" t="str">
        <f>+CUBICACION!N1452</f>
        <v/>
      </c>
      <c r="L1458" s="118">
        <f>+CUBICACION!O1452</f>
        <v>0</v>
      </c>
      <c r="M1458" s="823">
        <f>+CUBICACION!P1452</f>
        <v>0</v>
      </c>
      <c r="N1458" s="902">
        <f>ROUND(IF(AND(L1458="Blaze Shield II",M1458="Software Idiem",C1458="IN",G1458=4),((('BLAZE SHIELD II'!$D$4*('CALCULO MORTERO'!I1458^2)+'BLAZE SHIELD II'!$D$5*'CALCULO MORTERO'!I1458+'BLAZE SHIELD II'!$D$6)*LN(J1458))+('BLAZE SHIELD II'!$D$7*('CALCULO MORTERO'!I1458^2)+'BLAZE SHIELD II'!$D$8*'CALCULO MORTERO'!I1458+'BLAZE SHIELD II'!$D$9)),0)+IF(AND(L1458="Blaze Shield II",M1458="Software Idiem",C1458="Cj"),((('BLAZE SHIELD II'!$H$4*('CALCULO MORTERO'!I1458^2)+'BLAZE SHIELD II'!$H$5*'CALCULO MORTERO'!I1458+'BLAZE SHIELD II'!$H$6)*LN(J1458))+('BLAZE SHIELD II'!$H$7*('CALCULO MORTERO'!I1458^2)+'BLAZE SHIELD II'!$H$8*'CALCULO MORTERO'!I1458+'BLAZE SHIELD II'!$H$9)),0)+IF(AND(L1458="Blaze Shield II",M1458="Software Idiem",C1458="C"),((('BLAZE SHIELD II'!$L$4*('CALCULO MORTERO'!I1458^2)+'BLAZE SHIELD II'!$L$5*'CALCULO MORTERO'!I1458+'BLAZE SHIELD II'!$L$6)*LN(J1458))+('BLAZE SHIELD II'!$L$7*('CALCULO MORTERO'!I1458^2)+'BLAZE SHIELD II'!$L$8*'CALCULO MORTERO'!I1458+'BLAZE SHIELD II'!$L$9)),0)+IF(AND(L1458="Blaze Shield II",M1458="Software Idiem",C1458="L"),((('BLAZE SHIELD II'!$L$4*('CALCULO MORTERO'!I1458^2)+'BLAZE SHIELD II'!$L$5*'CALCULO MORTERO'!I1458+'BLAZE SHIELD II'!$L$6)*LN(J1458))+('BLAZE SHIELD II'!$L$7*('CALCULO MORTERO'!I1458^2)+'BLAZE SHIELD II'!$L$8*'CALCULO MORTERO'!I1458+'BLAZE SHIELD II'!$L$9)),0)+IF(AND(L1458="Blaze Shield II",M1458="Software Idiem",C1458="IN",G1458=3),((('BLAZE SHIELD II'!$H$14*('CALCULO MORTERO'!I1458^2)+'BLAZE SHIELD II'!$H$15*'CALCULO MORTERO'!I1458+'BLAZE SHIELD II'!$H$16)*LN(J1458))+('BLAZE SHIELD II'!$H$17*('CALCULO MORTERO'!I1458^2)+'BLAZE SHIELD II'!$H$18*'CALCULO MORTERO'!I1458+'BLAZE SHIELD II'!$H$19)),0),0)+ROUND(IF(AND(L1458="Cafco 400",M1458="Software Idiem",C1458="IN",G1458=4),((('CAFCO 400 '!$H$7*(J1458^4)+'CAFCO 400 '!$H$8*(J1458^3)+'CAFCO 400 '!$H$9*(J1458^2)+'CAFCO 400 '!$H$10*J1458+'CAFCO 400 '!$H$11)*U1458^2)+(('CAFCO 400 '!$H$12*(J1458^3)+'CAFCO 400 '!$H$13*(J1458^2)+'CAFCO 400 '!$H$14*J1458+'CAFCO 400 '!$H$15)*U1458)+('CAFCO 400 '!$H$16*(J1458^2)+'CAFCO 400 '!$H$17*J1458+'CAFCO 400 '!$H$18)),0)+IF(AND(L1458="Cafco 400",M1458="Software Idiem",C1458="Cj"),(((('CAFCO 400 '!$D$7*LN(J1458)+'CAFCO 400 '!$D$8)*U1458^2)+(('CAFCO 400 '!$D$9*LN(J1458)+'CAFCO 400 '!$D$10)*U1458)+('CAFCO 400 '!$D$11*LN(J1458)+'CAFCO 400 '!$D$12))),0)+IF(AND(L1458="Cafco 400",M1458="Software Idiem",C1458="C"),((('CAFCO 400 '!$L$7*(J1458^3)+'CAFCO 400 '!$L$8*(J1458^2)+'CAFCO 400 '!$L$9*J1458+'CAFCO 400 '!$L$10)*U1458^2)+(('CAFCO 400 '!$L$11*(J1458^3)+'CAFCO 400 '!$L$12*(J1458^2)+'CAFCO 400 '!$L$13*J1458+'CAFCO 400 '!$L$14)*U1458)+('CAFCO 400 '!$L$15*LN(J1458)+'CAFCO 400 '!$L$16)),0)+IF(AND(L1458="Cafco 400",M1458="Software Idiem",C1458="L"),((('CAFCO 400 '!$L$7*(J1458^3)+'CAFCO 400 '!$L$8*(J1458^2)+'CAFCO 400 '!$L$9*J1458+'CAFCO 400 '!$L$10)*U1458^2)+(('CAFCO 400 '!$L$11*(J1458^3)+'CAFCO 400 '!$L$12*(J1458^2)+'CAFCO 400 '!$L$13*J1458+'CAFCO 400 '!$L$14)*U1458)+('CAFCO 400 '!$L$15*LN(J1458)+'CAFCO 400 '!$L$16)),0)+IF(AND(L1458="Cafco 400",M1458="Software Idiem",C1458="IN",G1458=3),((('CAFCO 400 '!$D$23*(J1458^2)+'CAFCO 400 '!$D$24*(J1458)+'CAFCO 400 '!$D$25)*U1458^2)+(('CAFCO 400 '!$D$26*(J1458^2)+'CAFCO 400 '!$D$27*J1458+'CAFCO 400 '!$D$28)*U1458)+('CAFCO 400 '!$D$29*(J1458^2)+'CAFCO 400 '!$D$30*J1458+'CAFCO 400 '!$D$31)),0),0)+IF(AND(L1458="Cafco 300",J1458&gt;=95,J1458&lt;=240,C1458="Cj",I1458=90),VLOOKUP(T1458,'CAFCO 300 IDIEM TABLAS'!$B$4:$D$23,2,FALSE),0)+IF(AND(L1458="Cafco 300",J1458&gt;=95,J1458&lt;=240,C1458="Cj",I1458=120),VLOOKUP(T1458,'CAFCO 300 IDIEM TABLAS'!$B$4:$D$23,3,FALSE),0)+IF(AND(L1458="Cafco 300",J1458&gt;=95,J1458&lt;=400,G1458=3,C1458="IN",I1458=90),VLOOKUP(T1458,'CAFCO 300 IDIEM TABLAS'!$F$4:$H$35,2,FALSE),0)+IF(AND(L1458="Cafco 300",J1458&gt;=95,J1458&lt;=400,G1458=3,C1458="IN",I1458=120),VLOOKUP(T1458,'CAFCO 300 IDIEM TABLAS'!$F$4:$H$35,3,FALSE),0)+IF(AND(L1458="Cafco 300",J1458&gt;=95,J1458&lt;=450,G1458=4,C1458="IN",I1458=90),VLOOKUP(T1458,'CAFCO 300 IDIEM TABLAS'!$J$4:$L$40,2,FALSE),0)+IF(AND(L1458="Cafco 300",J1458&gt;=95,J1458&lt;=450,G1458=4,C1458="IN",I1458=120),VLOOKUP(T1458,'CAFCO 300 IDIEM TABLAS'!$J$4:$L$40,3,FALSE),0)+IF(AND(M1458="Ensayo Idiem",L1458="Cafco 400",C1458="IN",G1458=4,I1458=90),VLOOKUP(T1458,'CAFCO 400 ENSAYO'!$B$7:$D$43,2,FALSE),0)+IF(AND(M1458="Ensayo Idiem",L1458="Cafco 400",C1458="IN",G1458=4,I1458=120),VLOOKUP(T1458,'CAFCO 400 ENSAYO'!$B$7:$D$43,3,FALSE),0)</f>
        <v>0</v>
      </c>
      <c r="O1458" s="96">
        <f t="shared" si="144"/>
        <v>0</v>
      </c>
      <c r="P1458" s="95" t="str">
        <f t="shared" ref="P1458:P1521" si="145">IF(AND(M1458="Software Idiem"),IF(AND(C1458="IN",G1458=4,J1458&gt;=50,J1458&lt;=500),"CERT.",IF(AND(C1458="Cj",J1458&gt;=50,J1458&lt;=500),"CERT.",IF(AND(C1458="C",J1458&gt;=50,J1458&lt;=1000),"CERT.",IF(AND(C1458="L",J1458&gt;=50,J1458&lt;=1000),"CERT.",IF(AND(C1458="IN",G1458=3,J1458&gt;=50,J1458&lt;=500),"CERT.","NO CERT."))))),"N/A")</f>
        <v>N/A</v>
      </c>
      <c r="Q1458" s="95" t="str">
        <f t="shared" ref="Q1458:Q1521" si="146">IF(AND(M1458="Software Idiem"),IF(AND(C1458="IN",G1458=4,J1458&gt;=50,J1458&lt;=500),"CERT.",IF(AND(C1458="Cj",J1458&gt;=50,J1458&lt;=500),"CERT.",IF(AND(C1458="C",J1458&gt;=50,J1458&lt;=1000),"CERT.",IF(AND(C1458="L",J1458&gt;=50,J1458&lt;=1000),"CERT.",IF(AND(C1458="IN",G1458=3,J1458&gt;=50,J1458&lt;=500),"CERT.","NO CERT."))))),"N/A")</f>
        <v>N/A</v>
      </c>
      <c r="R1458" s="95" t="str">
        <f t="shared" ref="R1458:R1521" si="147">IF(AND(C1458="IN",G1458=4,J1458&gt;=95,J1458&lt;=450,I1458=90),"CERT.",IF(AND(C1458="IN",G1458=4,J1458&gt;=95,J1458&lt;=450,I1458=120),"CERT.","NO CERT."))</f>
        <v>NO CERT.</v>
      </c>
      <c r="S1458" s="95" t="e">
        <f t="shared" ref="S1458:S1521" si="148">IF(AND(C1458="Cj",I1458=90,T1458&lt;=240),"CERT.",IF(AND(C1458="Cj",I1458=120,T1458&lt;=240),"CERT.",IF(AND(C1458="IN",G1458=3,I1458=90,T1458&lt;=400),"CERT.",IF(AND(C1458="IN",G1458=3,I1458=120,T1458&lt;=400),"CERT.",IF(AND(C1458="IN",G1458=4,I1458=90,T1458&lt;=450),"CERT.",IF(AND(C1458="IN",G1458=4,I1458=120,T1458&lt;=450),"CERT.","NO CERT."))))))</f>
        <v>#N/A</v>
      </c>
      <c r="T1458" s="119" t="e">
        <f>+IF(J1458=LOOKUP(J1458,'CAFCO 300 IDIEM TABLAS'!$J$4:$J$40),'CALCULO MORTERO'!J1458,MROUND('CALCULO MORTERO'!J1458,10))</f>
        <v>#N/A</v>
      </c>
      <c r="U1458" s="118">
        <f t="shared" ref="U1458:U1521" si="149">+I1458*60</f>
        <v>0</v>
      </c>
    </row>
    <row r="1459" spans="1:21" x14ac:dyDescent="0.25">
      <c r="A1459" s="118">
        <f>+CUBICACION!D1453</f>
        <v>0</v>
      </c>
      <c r="B1459" s="819">
        <f>+CUBICACION!E1453</f>
        <v>0</v>
      </c>
      <c r="C1459" s="675">
        <f>+CUBICACION!F1453</f>
        <v>0</v>
      </c>
      <c r="D1459" s="118"/>
      <c r="E1459" s="118"/>
      <c r="F1459" s="820"/>
      <c r="G1459" s="675">
        <f>+CUBICACION!J1453</f>
        <v>0</v>
      </c>
      <c r="H1459" s="118"/>
      <c r="I1459" s="821">
        <f>+CUBICACION!L1453</f>
        <v>0</v>
      </c>
      <c r="J1459" s="64">
        <f>+CUBICACION!M1453</f>
        <v>0</v>
      </c>
      <c r="K1459" s="822" t="str">
        <f>+CUBICACION!N1453</f>
        <v/>
      </c>
      <c r="L1459" s="118">
        <f>+CUBICACION!O1453</f>
        <v>0</v>
      </c>
      <c r="M1459" s="823">
        <f>+CUBICACION!P1453</f>
        <v>0</v>
      </c>
      <c r="N1459" s="902">
        <f>ROUND(IF(AND(L1459="Blaze Shield II",M1459="Software Idiem",C1459="IN",G1459=4),((('BLAZE SHIELD II'!$D$4*('CALCULO MORTERO'!I1459^2)+'BLAZE SHIELD II'!$D$5*'CALCULO MORTERO'!I1459+'BLAZE SHIELD II'!$D$6)*LN(J1459))+('BLAZE SHIELD II'!$D$7*('CALCULO MORTERO'!I1459^2)+'BLAZE SHIELD II'!$D$8*'CALCULO MORTERO'!I1459+'BLAZE SHIELD II'!$D$9)),0)+IF(AND(L1459="Blaze Shield II",M1459="Software Idiem",C1459="Cj"),((('BLAZE SHIELD II'!$H$4*('CALCULO MORTERO'!I1459^2)+'BLAZE SHIELD II'!$H$5*'CALCULO MORTERO'!I1459+'BLAZE SHIELD II'!$H$6)*LN(J1459))+('BLAZE SHIELD II'!$H$7*('CALCULO MORTERO'!I1459^2)+'BLAZE SHIELD II'!$H$8*'CALCULO MORTERO'!I1459+'BLAZE SHIELD II'!$H$9)),0)+IF(AND(L1459="Blaze Shield II",M1459="Software Idiem",C1459="C"),((('BLAZE SHIELD II'!$L$4*('CALCULO MORTERO'!I1459^2)+'BLAZE SHIELD II'!$L$5*'CALCULO MORTERO'!I1459+'BLAZE SHIELD II'!$L$6)*LN(J1459))+('BLAZE SHIELD II'!$L$7*('CALCULO MORTERO'!I1459^2)+'BLAZE SHIELD II'!$L$8*'CALCULO MORTERO'!I1459+'BLAZE SHIELD II'!$L$9)),0)+IF(AND(L1459="Blaze Shield II",M1459="Software Idiem",C1459="L"),((('BLAZE SHIELD II'!$L$4*('CALCULO MORTERO'!I1459^2)+'BLAZE SHIELD II'!$L$5*'CALCULO MORTERO'!I1459+'BLAZE SHIELD II'!$L$6)*LN(J1459))+('BLAZE SHIELD II'!$L$7*('CALCULO MORTERO'!I1459^2)+'BLAZE SHIELD II'!$L$8*'CALCULO MORTERO'!I1459+'BLAZE SHIELD II'!$L$9)),0)+IF(AND(L1459="Blaze Shield II",M1459="Software Idiem",C1459="IN",G1459=3),((('BLAZE SHIELD II'!$H$14*('CALCULO MORTERO'!I1459^2)+'BLAZE SHIELD II'!$H$15*'CALCULO MORTERO'!I1459+'BLAZE SHIELD II'!$H$16)*LN(J1459))+('BLAZE SHIELD II'!$H$17*('CALCULO MORTERO'!I1459^2)+'BLAZE SHIELD II'!$H$18*'CALCULO MORTERO'!I1459+'BLAZE SHIELD II'!$H$19)),0),0)+ROUND(IF(AND(L1459="Cafco 400",M1459="Software Idiem",C1459="IN",G1459=4),((('CAFCO 400 '!$H$7*(J1459^4)+'CAFCO 400 '!$H$8*(J1459^3)+'CAFCO 400 '!$H$9*(J1459^2)+'CAFCO 400 '!$H$10*J1459+'CAFCO 400 '!$H$11)*U1459^2)+(('CAFCO 400 '!$H$12*(J1459^3)+'CAFCO 400 '!$H$13*(J1459^2)+'CAFCO 400 '!$H$14*J1459+'CAFCO 400 '!$H$15)*U1459)+('CAFCO 400 '!$H$16*(J1459^2)+'CAFCO 400 '!$H$17*J1459+'CAFCO 400 '!$H$18)),0)+IF(AND(L1459="Cafco 400",M1459="Software Idiem",C1459="Cj"),(((('CAFCO 400 '!$D$7*LN(J1459)+'CAFCO 400 '!$D$8)*U1459^2)+(('CAFCO 400 '!$D$9*LN(J1459)+'CAFCO 400 '!$D$10)*U1459)+('CAFCO 400 '!$D$11*LN(J1459)+'CAFCO 400 '!$D$12))),0)+IF(AND(L1459="Cafco 400",M1459="Software Idiem",C1459="C"),((('CAFCO 400 '!$L$7*(J1459^3)+'CAFCO 400 '!$L$8*(J1459^2)+'CAFCO 400 '!$L$9*J1459+'CAFCO 400 '!$L$10)*U1459^2)+(('CAFCO 400 '!$L$11*(J1459^3)+'CAFCO 400 '!$L$12*(J1459^2)+'CAFCO 400 '!$L$13*J1459+'CAFCO 400 '!$L$14)*U1459)+('CAFCO 400 '!$L$15*LN(J1459)+'CAFCO 400 '!$L$16)),0)+IF(AND(L1459="Cafco 400",M1459="Software Idiem",C1459="L"),((('CAFCO 400 '!$L$7*(J1459^3)+'CAFCO 400 '!$L$8*(J1459^2)+'CAFCO 400 '!$L$9*J1459+'CAFCO 400 '!$L$10)*U1459^2)+(('CAFCO 400 '!$L$11*(J1459^3)+'CAFCO 400 '!$L$12*(J1459^2)+'CAFCO 400 '!$L$13*J1459+'CAFCO 400 '!$L$14)*U1459)+('CAFCO 400 '!$L$15*LN(J1459)+'CAFCO 400 '!$L$16)),0)+IF(AND(L1459="Cafco 400",M1459="Software Idiem",C1459="IN",G1459=3),((('CAFCO 400 '!$D$23*(J1459^2)+'CAFCO 400 '!$D$24*(J1459)+'CAFCO 400 '!$D$25)*U1459^2)+(('CAFCO 400 '!$D$26*(J1459^2)+'CAFCO 400 '!$D$27*J1459+'CAFCO 400 '!$D$28)*U1459)+('CAFCO 400 '!$D$29*(J1459^2)+'CAFCO 400 '!$D$30*J1459+'CAFCO 400 '!$D$31)),0),0)+IF(AND(L1459="Cafco 300",J1459&gt;=95,J1459&lt;=240,C1459="Cj",I1459=90),VLOOKUP(T1459,'CAFCO 300 IDIEM TABLAS'!$B$4:$D$23,2,FALSE),0)+IF(AND(L1459="Cafco 300",J1459&gt;=95,J1459&lt;=240,C1459="Cj",I1459=120),VLOOKUP(T1459,'CAFCO 300 IDIEM TABLAS'!$B$4:$D$23,3,FALSE),0)+IF(AND(L1459="Cafco 300",J1459&gt;=95,J1459&lt;=400,G1459=3,C1459="IN",I1459=90),VLOOKUP(T1459,'CAFCO 300 IDIEM TABLAS'!$F$4:$H$35,2,FALSE),0)+IF(AND(L1459="Cafco 300",J1459&gt;=95,J1459&lt;=400,G1459=3,C1459="IN",I1459=120),VLOOKUP(T1459,'CAFCO 300 IDIEM TABLAS'!$F$4:$H$35,3,FALSE),0)+IF(AND(L1459="Cafco 300",J1459&gt;=95,J1459&lt;=450,G1459=4,C1459="IN",I1459=90),VLOOKUP(T1459,'CAFCO 300 IDIEM TABLAS'!$J$4:$L$40,2,FALSE),0)+IF(AND(L1459="Cafco 300",J1459&gt;=95,J1459&lt;=450,G1459=4,C1459="IN",I1459=120),VLOOKUP(T1459,'CAFCO 300 IDIEM TABLAS'!$J$4:$L$40,3,FALSE),0)+IF(AND(M1459="Ensayo Idiem",L1459="Cafco 400",C1459="IN",G1459=4,I1459=90),VLOOKUP(T1459,'CAFCO 400 ENSAYO'!$B$7:$D$43,2,FALSE),0)+IF(AND(M1459="Ensayo Idiem",L1459="Cafco 400",C1459="IN",G1459=4,I1459=120),VLOOKUP(T1459,'CAFCO 400 ENSAYO'!$B$7:$D$43,3,FALSE),0)</f>
        <v>0</v>
      </c>
      <c r="O1459" s="96">
        <f t="shared" si="144"/>
        <v>0</v>
      </c>
      <c r="P1459" s="132" t="str">
        <f t="shared" si="145"/>
        <v>N/A</v>
      </c>
      <c r="Q1459" s="132" t="str">
        <f t="shared" si="146"/>
        <v>N/A</v>
      </c>
      <c r="R1459" s="132" t="str">
        <f t="shared" si="147"/>
        <v>NO CERT.</v>
      </c>
      <c r="S1459" s="132" t="e">
        <f t="shared" si="148"/>
        <v>#N/A</v>
      </c>
      <c r="T1459" s="133" t="e">
        <f>+IF(J1459=LOOKUP(J1459,'CAFCO 300 IDIEM TABLAS'!$J$4:$J$40),'CALCULO MORTERO'!J1459,MROUND('CALCULO MORTERO'!J1459,10))</f>
        <v>#N/A</v>
      </c>
      <c r="U1459" s="134">
        <f t="shared" si="149"/>
        <v>0</v>
      </c>
    </row>
    <row r="1460" spans="1:21" x14ac:dyDescent="0.25">
      <c r="A1460" s="118">
        <f>+CUBICACION!D1454</f>
        <v>0</v>
      </c>
      <c r="B1460" s="819">
        <f>+CUBICACION!E1454</f>
        <v>0</v>
      </c>
      <c r="C1460" s="675">
        <f>+CUBICACION!F1454</f>
        <v>0</v>
      </c>
      <c r="D1460" s="118"/>
      <c r="E1460" s="118"/>
      <c r="F1460" s="820"/>
      <c r="G1460" s="675">
        <f>+CUBICACION!J1454</f>
        <v>0</v>
      </c>
      <c r="H1460" s="118"/>
      <c r="I1460" s="821">
        <f>+CUBICACION!L1454</f>
        <v>0</v>
      </c>
      <c r="J1460" s="64">
        <f>+CUBICACION!M1454</f>
        <v>0</v>
      </c>
      <c r="K1460" s="822" t="str">
        <f>+CUBICACION!N1454</f>
        <v/>
      </c>
      <c r="L1460" s="118">
        <f>+CUBICACION!O1454</f>
        <v>0</v>
      </c>
      <c r="M1460" s="823">
        <f>+CUBICACION!P1454</f>
        <v>0</v>
      </c>
      <c r="N1460" s="902">
        <f>ROUND(IF(AND(L1460="Blaze Shield II",M1460="Software Idiem",C1460="IN",G1460=4),((('BLAZE SHIELD II'!$D$4*('CALCULO MORTERO'!I1460^2)+'BLAZE SHIELD II'!$D$5*'CALCULO MORTERO'!I1460+'BLAZE SHIELD II'!$D$6)*LN(J1460))+('BLAZE SHIELD II'!$D$7*('CALCULO MORTERO'!I1460^2)+'BLAZE SHIELD II'!$D$8*'CALCULO MORTERO'!I1460+'BLAZE SHIELD II'!$D$9)),0)+IF(AND(L1460="Blaze Shield II",M1460="Software Idiem",C1460="Cj"),((('BLAZE SHIELD II'!$H$4*('CALCULO MORTERO'!I1460^2)+'BLAZE SHIELD II'!$H$5*'CALCULO MORTERO'!I1460+'BLAZE SHIELD II'!$H$6)*LN(J1460))+('BLAZE SHIELD II'!$H$7*('CALCULO MORTERO'!I1460^2)+'BLAZE SHIELD II'!$H$8*'CALCULO MORTERO'!I1460+'BLAZE SHIELD II'!$H$9)),0)+IF(AND(L1460="Blaze Shield II",M1460="Software Idiem",C1460="C"),((('BLAZE SHIELD II'!$L$4*('CALCULO MORTERO'!I1460^2)+'BLAZE SHIELD II'!$L$5*'CALCULO MORTERO'!I1460+'BLAZE SHIELD II'!$L$6)*LN(J1460))+('BLAZE SHIELD II'!$L$7*('CALCULO MORTERO'!I1460^2)+'BLAZE SHIELD II'!$L$8*'CALCULO MORTERO'!I1460+'BLAZE SHIELD II'!$L$9)),0)+IF(AND(L1460="Blaze Shield II",M1460="Software Idiem",C1460="L"),((('BLAZE SHIELD II'!$L$4*('CALCULO MORTERO'!I1460^2)+'BLAZE SHIELD II'!$L$5*'CALCULO MORTERO'!I1460+'BLAZE SHIELD II'!$L$6)*LN(J1460))+('BLAZE SHIELD II'!$L$7*('CALCULO MORTERO'!I1460^2)+'BLAZE SHIELD II'!$L$8*'CALCULO MORTERO'!I1460+'BLAZE SHIELD II'!$L$9)),0)+IF(AND(L1460="Blaze Shield II",M1460="Software Idiem",C1460="IN",G1460=3),((('BLAZE SHIELD II'!$H$14*('CALCULO MORTERO'!I1460^2)+'BLAZE SHIELD II'!$H$15*'CALCULO MORTERO'!I1460+'BLAZE SHIELD II'!$H$16)*LN(J1460))+('BLAZE SHIELD II'!$H$17*('CALCULO MORTERO'!I1460^2)+'BLAZE SHIELD II'!$H$18*'CALCULO MORTERO'!I1460+'BLAZE SHIELD II'!$H$19)),0),0)+ROUND(IF(AND(L1460="Cafco 400",M1460="Software Idiem",C1460="IN",G1460=4),((('CAFCO 400 '!$H$7*(J1460^4)+'CAFCO 400 '!$H$8*(J1460^3)+'CAFCO 400 '!$H$9*(J1460^2)+'CAFCO 400 '!$H$10*J1460+'CAFCO 400 '!$H$11)*U1460^2)+(('CAFCO 400 '!$H$12*(J1460^3)+'CAFCO 400 '!$H$13*(J1460^2)+'CAFCO 400 '!$H$14*J1460+'CAFCO 400 '!$H$15)*U1460)+('CAFCO 400 '!$H$16*(J1460^2)+'CAFCO 400 '!$H$17*J1460+'CAFCO 400 '!$H$18)),0)+IF(AND(L1460="Cafco 400",M1460="Software Idiem",C1460="Cj"),(((('CAFCO 400 '!$D$7*LN(J1460)+'CAFCO 400 '!$D$8)*U1460^2)+(('CAFCO 400 '!$D$9*LN(J1460)+'CAFCO 400 '!$D$10)*U1460)+('CAFCO 400 '!$D$11*LN(J1460)+'CAFCO 400 '!$D$12))),0)+IF(AND(L1460="Cafco 400",M1460="Software Idiem",C1460="C"),((('CAFCO 400 '!$L$7*(J1460^3)+'CAFCO 400 '!$L$8*(J1460^2)+'CAFCO 400 '!$L$9*J1460+'CAFCO 400 '!$L$10)*U1460^2)+(('CAFCO 400 '!$L$11*(J1460^3)+'CAFCO 400 '!$L$12*(J1460^2)+'CAFCO 400 '!$L$13*J1460+'CAFCO 400 '!$L$14)*U1460)+('CAFCO 400 '!$L$15*LN(J1460)+'CAFCO 400 '!$L$16)),0)+IF(AND(L1460="Cafco 400",M1460="Software Idiem",C1460="L"),((('CAFCO 400 '!$L$7*(J1460^3)+'CAFCO 400 '!$L$8*(J1460^2)+'CAFCO 400 '!$L$9*J1460+'CAFCO 400 '!$L$10)*U1460^2)+(('CAFCO 400 '!$L$11*(J1460^3)+'CAFCO 400 '!$L$12*(J1460^2)+'CAFCO 400 '!$L$13*J1460+'CAFCO 400 '!$L$14)*U1460)+('CAFCO 400 '!$L$15*LN(J1460)+'CAFCO 400 '!$L$16)),0)+IF(AND(L1460="Cafco 400",M1460="Software Idiem",C1460="IN",G1460=3),((('CAFCO 400 '!$D$23*(J1460^2)+'CAFCO 400 '!$D$24*(J1460)+'CAFCO 400 '!$D$25)*U1460^2)+(('CAFCO 400 '!$D$26*(J1460^2)+'CAFCO 400 '!$D$27*J1460+'CAFCO 400 '!$D$28)*U1460)+('CAFCO 400 '!$D$29*(J1460^2)+'CAFCO 400 '!$D$30*J1460+'CAFCO 400 '!$D$31)),0),0)+IF(AND(L1460="Cafco 300",J1460&gt;=95,J1460&lt;=240,C1460="Cj",I1460=90),VLOOKUP(T1460,'CAFCO 300 IDIEM TABLAS'!$B$4:$D$23,2,FALSE),0)+IF(AND(L1460="Cafco 300",J1460&gt;=95,J1460&lt;=240,C1460="Cj",I1460=120),VLOOKUP(T1460,'CAFCO 300 IDIEM TABLAS'!$B$4:$D$23,3,FALSE),0)+IF(AND(L1460="Cafco 300",J1460&gt;=95,J1460&lt;=400,G1460=3,C1460="IN",I1460=90),VLOOKUP(T1460,'CAFCO 300 IDIEM TABLAS'!$F$4:$H$35,2,FALSE),0)+IF(AND(L1460="Cafco 300",J1460&gt;=95,J1460&lt;=400,G1460=3,C1460="IN",I1460=120),VLOOKUP(T1460,'CAFCO 300 IDIEM TABLAS'!$F$4:$H$35,3,FALSE),0)+IF(AND(L1460="Cafco 300",J1460&gt;=95,J1460&lt;=450,G1460=4,C1460="IN",I1460=90),VLOOKUP(T1460,'CAFCO 300 IDIEM TABLAS'!$J$4:$L$40,2,FALSE),0)+IF(AND(L1460="Cafco 300",J1460&gt;=95,J1460&lt;=450,G1460=4,C1460="IN",I1460=120),VLOOKUP(T1460,'CAFCO 300 IDIEM TABLAS'!$J$4:$L$40,3,FALSE),0)+IF(AND(M1460="Ensayo Idiem",L1460="Cafco 400",C1460="IN",G1460=4,I1460=90),VLOOKUP(T1460,'CAFCO 400 ENSAYO'!$B$7:$D$43,2,FALSE),0)+IF(AND(M1460="Ensayo Idiem",L1460="Cafco 400",C1460="IN",G1460=4,I1460=120),VLOOKUP(T1460,'CAFCO 400 ENSAYO'!$B$7:$D$43,3,FALSE),0)</f>
        <v>0</v>
      </c>
      <c r="O1460" s="96">
        <f t="shared" si="144"/>
        <v>0</v>
      </c>
      <c r="P1460" s="95" t="str">
        <f t="shared" si="145"/>
        <v>N/A</v>
      </c>
      <c r="Q1460" s="95" t="str">
        <f t="shared" si="146"/>
        <v>N/A</v>
      </c>
      <c r="R1460" s="95" t="str">
        <f t="shared" si="147"/>
        <v>NO CERT.</v>
      </c>
      <c r="S1460" s="95" t="e">
        <f t="shared" si="148"/>
        <v>#N/A</v>
      </c>
      <c r="T1460" s="119" t="e">
        <f>+IF(J1460=LOOKUP(J1460,'CAFCO 300 IDIEM TABLAS'!$J$4:$J$40),'CALCULO MORTERO'!J1460,MROUND('CALCULO MORTERO'!J1460,10))</f>
        <v>#N/A</v>
      </c>
      <c r="U1460" s="118">
        <f t="shared" si="149"/>
        <v>0</v>
      </c>
    </row>
    <row r="1461" spans="1:21" x14ac:dyDescent="0.25">
      <c r="A1461" s="118">
        <f>+CUBICACION!D1455</f>
        <v>0</v>
      </c>
      <c r="B1461" s="819">
        <f>+CUBICACION!E1455</f>
        <v>0</v>
      </c>
      <c r="C1461" s="675">
        <f>+CUBICACION!F1455</f>
        <v>0</v>
      </c>
      <c r="D1461" s="118"/>
      <c r="E1461" s="118"/>
      <c r="F1461" s="820"/>
      <c r="G1461" s="675">
        <f>+CUBICACION!J1455</f>
        <v>0</v>
      </c>
      <c r="H1461" s="118"/>
      <c r="I1461" s="821">
        <f>+CUBICACION!L1455</f>
        <v>0</v>
      </c>
      <c r="J1461" s="64">
        <f>+CUBICACION!M1455</f>
        <v>0</v>
      </c>
      <c r="K1461" s="822" t="str">
        <f>+CUBICACION!N1455</f>
        <v/>
      </c>
      <c r="L1461" s="118">
        <f>+CUBICACION!O1455</f>
        <v>0</v>
      </c>
      <c r="M1461" s="823">
        <f>+CUBICACION!P1455</f>
        <v>0</v>
      </c>
      <c r="N1461" s="902">
        <f>ROUND(IF(AND(L1461="Blaze Shield II",M1461="Software Idiem",C1461="IN",G1461=4),((('BLAZE SHIELD II'!$D$4*('CALCULO MORTERO'!I1461^2)+'BLAZE SHIELD II'!$D$5*'CALCULO MORTERO'!I1461+'BLAZE SHIELD II'!$D$6)*LN(J1461))+('BLAZE SHIELD II'!$D$7*('CALCULO MORTERO'!I1461^2)+'BLAZE SHIELD II'!$D$8*'CALCULO MORTERO'!I1461+'BLAZE SHIELD II'!$D$9)),0)+IF(AND(L1461="Blaze Shield II",M1461="Software Idiem",C1461="Cj"),((('BLAZE SHIELD II'!$H$4*('CALCULO MORTERO'!I1461^2)+'BLAZE SHIELD II'!$H$5*'CALCULO MORTERO'!I1461+'BLAZE SHIELD II'!$H$6)*LN(J1461))+('BLAZE SHIELD II'!$H$7*('CALCULO MORTERO'!I1461^2)+'BLAZE SHIELD II'!$H$8*'CALCULO MORTERO'!I1461+'BLAZE SHIELD II'!$H$9)),0)+IF(AND(L1461="Blaze Shield II",M1461="Software Idiem",C1461="C"),((('BLAZE SHIELD II'!$L$4*('CALCULO MORTERO'!I1461^2)+'BLAZE SHIELD II'!$L$5*'CALCULO MORTERO'!I1461+'BLAZE SHIELD II'!$L$6)*LN(J1461))+('BLAZE SHIELD II'!$L$7*('CALCULO MORTERO'!I1461^2)+'BLAZE SHIELD II'!$L$8*'CALCULO MORTERO'!I1461+'BLAZE SHIELD II'!$L$9)),0)+IF(AND(L1461="Blaze Shield II",M1461="Software Idiem",C1461="L"),((('BLAZE SHIELD II'!$L$4*('CALCULO MORTERO'!I1461^2)+'BLAZE SHIELD II'!$L$5*'CALCULO MORTERO'!I1461+'BLAZE SHIELD II'!$L$6)*LN(J1461))+('BLAZE SHIELD II'!$L$7*('CALCULO MORTERO'!I1461^2)+'BLAZE SHIELD II'!$L$8*'CALCULO MORTERO'!I1461+'BLAZE SHIELD II'!$L$9)),0)+IF(AND(L1461="Blaze Shield II",M1461="Software Idiem",C1461="IN",G1461=3),((('BLAZE SHIELD II'!$H$14*('CALCULO MORTERO'!I1461^2)+'BLAZE SHIELD II'!$H$15*'CALCULO MORTERO'!I1461+'BLAZE SHIELD II'!$H$16)*LN(J1461))+('BLAZE SHIELD II'!$H$17*('CALCULO MORTERO'!I1461^2)+'BLAZE SHIELD II'!$H$18*'CALCULO MORTERO'!I1461+'BLAZE SHIELD II'!$H$19)),0),0)+ROUND(IF(AND(L1461="Cafco 400",M1461="Software Idiem",C1461="IN",G1461=4),((('CAFCO 400 '!$H$7*(J1461^4)+'CAFCO 400 '!$H$8*(J1461^3)+'CAFCO 400 '!$H$9*(J1461^2)+'CAFCO 400 '!$H$10*J1461+'CAFCO 400 '!$H$11)*U1461^2)+(('CAFCO 400 '!$H$12*(J1461^3)+'CAFCO 400 '!$H$13*(J1461^2)+'CAFCO 400 '!$H$14*J1461+'CAFCO 400 '!$H$15)*U1461)+('CAFCO 400 '!$H$16*(J1461^2)+'CAFCO 400 '!$H$17*J1461+'CAFCO 400 '!$H$18)),0)+IF(AND(L1461="Cafco 400",M1461="Software Idiem",C1461="Cj"),(((('CAFCO 400 '!$D$7*LN(J1461)+'CAFCO 400 '!$D$8)*U1461^2)+(('CAFCO 400 '!$D$9*LN(J1461)+'CAFCO 400 '!$D$10)*U1461)+('CAFCO 400 '!$D$11*LN(J1461)+'CAFCO 400 '!$D$12))),0)+IF(AND(L1461="Cafco 400",M1461="Software Idiem",C1461="C"),((('CAFCO 400 '!$L$7*(J1461^3)+'CAFCO 400 '!$L$8*(J1461^2)+'CAFCO 400 '!$L$9*J1461+'CAFCO 400 '!$L$10)*U1461^2)+(('CAFCO 400 '!$L$11*(J1461^3)+'CAFCO 400 '!$L$12*(J1461^2)+'CAFCO 400 '!$L$13*J1461+'CAFCO 400 '!$L$14)*U1461)+('CAFCO 400 '!$L$15*LN(J1461)+'CAFCO 400 '!$L$16)),0)+IF(AND(L1461="Cafco 400",M1461="Software Idiem",C1461="L"),((('CAFCO 400 '!$L$7*(J1461^3)+'CAFCO 400 '!$L$8*(J1461^2)+'CAFCO 400 '!$L$9*J1461+'CAFCO 400 '!$L$10)*U1461^2)+(('CAFCO 400 '!$L$11*(J1461^3)+'CAFCO 400 '!$L$12*(J1461^2)+'CAFCO 400 '!$L$13*J1461+'CAFCO 400 '!$L$14)*U1461)+('CAFCO 400 '!$L$15*LN(J1461)+'CAFCO 400 '!$L$16)),0)+IF(AND(L1461="Cafco 400",M1461="Software Idiem",C1461="IN",G1461=3),((('CAFCO 400 '!$D$23*(J1461^2)+'CAFCO 400 '!$D$24*(J1461)+'CAFCO 400 '!$D$25)*U1461^2)+(('CAFCO 400 '!$D$26*(J1461^2)+'CAFCO 400 '!$D$27*J1461+'CAFCO 400 '!$D$28)*U1461)+('CAFCO 400 '!$D$29*(J1461^2)+'CAFCO 400 '!$D$30*J1461+'CAFCO 400 '!$D$31)),0),0)+IF(AND(L1461="Cafco 300",J1461&gt;=95,J1461&lt;=240,C1461="Cj",I1461=90),VLOOKUP(T1461,'CAFCO 300 IDIEM TABLAS'!$B$4:$D$23,2,FALSE),0)+IF(AND(L1461="Cafco 300",J1461&gt;=95,J1461&lt;=240,C1461="Cj",I1461=120),VLOOKUP(T1461,'CAFCO 300 IDIEM TABLAS'!$B$4:$D$23,3,FALSE),0)+IF(AND(L1461="Cafco 300",J1461&gt;=95,J1461&lt;=400,G1461=3,C1461="IN",I1461=90),VLOOKUP(T1461,'CAFCO 300 IDIEM TABLAS'!$F$4:$H$35,2,FALSE),0)+IF(AND(L1461="Cafco 300",J1461&gt;=95,J1461&lt;=400,G1461=3,C1461="IN",I1461=120),VLOOKUP(T1461,'CAFCO 300 IDIEM TABLAS'!$F$4:$H$35,3,FALSE),0)+IF(AND(L1461="Cafco 300",J1461&gt;=95,J1461&lt;=450,G1461=4,C1461="IN",I1461=90),VLOOKUP(T1461,'CAFCO 300 IDIEM TABLAS'!$J$4:$L$40,2,FALSE),0)+IF(AND(L1461="Cafco 300",J1461&gt;=95,J1461&lt;=450,G1461=4,C1461="IN",I1461=120),VLOOKUP(T1461,'CAFCO 300 IDIEM TABLAS'!$J$4:$L$40,3,FALSE),0)+IF(AND(M1461="Ensayo Idiem",L1461="Cafco 400",C1461="IN",G1461=4,I1461=90),VLOOKUP(T1461,'CAFCO 400 ENSAYO'!$B$7:$D$43,2,FALSE),0)+IF(AND(M1461="Ensayo Idiem",L1461="Cafco 400",C1461="IN",G1461=4,I1461=120),VLOOKUP(T1461,'CAFCO 400 ENSAYO'!$B$7:$D$43,3,FALSE),0)</f>
        <v>0</v>
      </c>
      <c r="O1461" s="96">
        <f t="shared" si="144"/>
        <v>0</v>
      </c>
      <c r="P1461" s="132" t="str">
        <f t="shared" si="145"/>
        <v>N/A</v>
      </c>
      <c r="Q1461" s="132" t="str">
        <f t="shared" si="146"/>
        <v>N/A</v>
      </c>
      <c r="R1461" s="132" t="str">
        <f t="shared" si="147"/>
        <v>NO CERT.</v>
      </c>
      <c r="S1461" s="132" t="e">
        <f t="shared" si="148"/>
        <v>#N/A</v>
      </c>
      <c r="T1461" s="133" t="e">
        <f>+IF(J1461=LOOKUP(J1461,'CAFCO 300 IDIEM TABLAS'!$J$4:$J$40),'CALCULO MORTERO'!J1461,MROUND('CALCULO MORTERO'!J1461,10))</f>
        <v>#N/A</v>
      </c>
      <c r="U1461" s="134">
        <f t="shared" si="149"/>
        <v>0</v>
      </c>
    </row>
    <row r="1462" spans="1:21" x14ac:dyDescent="0.25">
      <c r="A1462" s="118">
        <f>+CUBICACION!D1456</f>
        <v>0</v>
      </c>
      <c r="B1462" s="819">
        <f>+CUBICACION!E1456</f>
        <v>0</v>
      </c>
      <c r="C1462" s="675">
        <f>+CUBICACION!F1456</f>
        <v>0</v>
      </c>
      <c r="D1462" s="118"/>
      <c r="E1462" s="118"/>
      <c r="F1462" s="820"/>
      <c r="G1462" s="675">
        <f>+CUBICACION!J1456</f>
        <v>0</v>
      </c>
      <c r="H1462" s="118"/>
      <c r="I1462" s="821">
        <f>+CUBICACION!L1456</f>
        <v>0</v>
      </c>
      <c r="J1462" s="64">
        <f>+CUBICACION!M1456</f>
        <v>0</v>
      </c>
      <c r="K1462" s="822" t="str">
        <f>+CUBICACION!N1456</f>
        <v/>
      </c>
      <c r="L1462" s="118">
        <f>+CUBICACION!O1456</f>
        <v>0</v>
      </c>
      <c r="M1462" s="823">
        <f>+CUBICACION!P1456</f>
        <v>0</v>
      </c>
      <c r="N1462" s="902">
        <f>ROUND(IF(AND(L1462="Blaze Shield II",M1462="Software Idiem",C1462="IN",G1462=4),((('BLAZE SHIELD II'!$D$4*('CALCULO MORTERO'!I1462^2)+'BLAZE SHIELD II'!$D$5*'CALCULO MORTERO'!I1462+'BLAZE SHIELD II'!$D$6)*LN(J1462))+('BLAZE SHIELD II'!$D$7*('CALCULO MORTERO'!I1462^2)+'BLAZE SHIELD II'!$D$8*'CALCULO MORTERO'!I1462+'BLAZE SHIELD II'!$D$9)),0)+IF(AND(L1462="Blaze Shield II",M1462="Software Idiem",C1462="Cj"),((('BLAZE SHIELD II'!$H$4*('CALCULO MORTERO'!I1462^2)+'BLAZE SHIELD II'!$H$5*'CALCULO MORTERO'!I1462+'BLAZE SHIELD II'!$H$6)*LN(J1462))+('BLAZE SHIELD II'!$H$7*('CALCULO MORTERO'!I1462^2)+'BLAZE SHIELD II'!$H$8*'CALCULO MORTERO'!I1462+'BLAZE SHIELD II'!$H$9)),0)+IF(AND(L1462="Blaze Shield II",M1462="Software Idiem",C1462="C"),((('BLAZE SHIELD II'!$L$4*('CALCULO MORTERO'!I1462^2)+'BLAZE SHIELD II'!$L$5*'CALCULO MORTERO'!I1462+'BLAZE SHIELD II'!$L$6)*LN(J1462))+('BLAZE SHIELD II'!$L$7*('CALCULO MORTERO'!I1462^2)+'BLAZE SHIELD II'!$L$8*'CALCULO MORTERO'!I1462+'BLAZE SHIELD II'!$L$9)),0)+IF(AND(L1462="Blaze Shield II",M1462="Software Idiem",C1462="L"),((('BLAZE SHIELD II'!$L$4*('CALCULO MORTERO'!I1462^2)+'BLAZE SHIELD II'!$L$5*'CALCULO MORTERO'!I1462+'BLAZE SHIELD II'!$L$6)*LN(J1462))+('BLAZE SHIELD II'!$L$7*('CALCULO MORTERO'!I1462^2)+'BLAZE SHIELD II'!$L$8*'CALCULO MORTERO'!I1462+'BLAZE SHIELD II'!$L$9)),0)+IF(AND(L1462="Blaze Shield II",M1462="Software Idiem",C1462="IN",G1462=3),((('BLAZE SHIELD II'!$H$14*('CALCULO MORTERO'!I1462^2)+'BLAZE SHIELD II'!$H$15*'CALCULO MORTERO'!I1462+'BLAZE SHIELD II'!$H$16)*LN(J1462))+('BLAZE SHIELD II'!$H$17*('CALCULO MORTERO'!I1462^2)+'BLAZE SHIELD II'!$H$18*'CALCULO MORTERO'!I1462+'BLAZE SHIELD II'!$H$19)),0),0)+ROUND(IF(AND(L1462="Cafco 400",M1462="Software Idiem",C1462="IN",G1462=4),((('CAFCO 400 '!$H$7*(J1462^4)+'CAFCO 400 '!$H$8*(J1462^3)+'CAFCO 400 '!$H$9*(J1462^2)+'CAFCO 400 '!$H$10*J1462+'CAFCO 400 '!$H$11)*U1462^2)+(('CAFCO 400 '!$H$12*(J1462^3)+'CAFCO 400 '!$H$13*(J1462^2)+'CAFCO 400 '!$H$14*J1462+'CAFCO 400 '!$H$15)*U1462)+('CAFCO 400 '!$H$16*(J1462^2)+'CAFCO 400 '!$H$17*J1462+'CAFCO 400 '!$H$18)),0)+IF(AND(L1462="Cafco 400",M1462="Software Idiem",C1462="Cj"),(((('CAFCO 400 '!$D$7*LN(J1462)+'CAFCO 400 '!$D$8)*U1462^2)+(('CAFCO 400 '!$D$9*LN(J1462)+'CAFCO 400 '!$D$10)*U1462)+('CAFCO 400 '!$D$11*LN(J1462)+'CAFCO 400 '!$D$12))),0)+IF(AND(L1462="Cafco 400",M1462="Software Idiem",C1462="C"),((('CAFCO 400 '!$L$7*(J1462^3)+'CAFCO 400 '!$L$8*(J1462^2)+'CAFCO 400 '!$L$9*J1462+'CAFCO 400 '!$L$10)*U1462^2)+(('CAFCO 400 '!$L$11*(J1462^3)+'CAFCO 400 '!$L$12*(J1462^2)+'CAFCO 400 '!$L$13*J1462+'CAFCO 400 '!$L$14)*U1462)+('CAFCO 400 '!$L$15*LN(J1462)+'CAFCO 400 '!$L$16)),0)+IF(AND(L1462="Cafco 400",M1462="Software Idiem",C1462="L"),((('CAFCO 400 '!$L$7*(J1462^3)+'CAFCO 400 '!$L$8*(J1462^2)+'CAFCO 400 '!$L$9*J1462+'CAFCO 400 '!$L$10)*U1462^2)+(('CAFCO 400 '!$L$11*(J1462^3)+'CAFCO 400 '!$L$12*(J1462^2)+'CAFCO 400 '!$L$13*J1462+'CAFCO 400 '!$L$14)*U1462)+('CAFCO 400 '!$L$15*LN(J1462)+'CAFCO 400 '!$L$16)),0)+IF(AND(L1462="Cafco 400",M1462="Software Idiem",C1462="IN",G1462=3),((('CAFCO 400 '!$D$23*(J1462^2)+'CAFCO 400 '!$D$24*(J1462)+'CAFCO 400 '!$D$25)*U1462^2)+(('CAFCO 400 '!$D$26*(J1462^2)+'CAFCO 400 '!$D$27*J1462+'CAFCO 400 '!$D$28)*U1462)+('CAFCO 400 '!$D$29*(J1462^2)+'CAFCO 400 '!$D$30*J1462+'CAFCO 400 '!$D$31)),0),0)+IF(AND(L1462="Cafco 300",J1462&gt;=95,J1462&lt;=240,C1462="Cj",I1462=90),VLOOKUP(T1462,'CAFCO 300 IDIEM TABLAS'!$B$4:$D$23,2,FALSE),0)+IF(AND(L1462="Cafco 300",J1462&gt;=95,J1462&lt;=240,C1462="Cj",I1462=120),VLOOKUP(T1462,'CAFCO 300 IDIEM TABLAS'!$B$4:$D$23,3,FALSE),0)+IF(AND(L1462="Cafco 300",J1462&gt;=95,J1462&lt;=400,G1462=3,C1462="IN",I1462=90),VLOOKUP(T1462,'CAFCO 300 IDIEM TABLAS'!$F$4:$H$35,2,FALSE),0)+IF(AND(L1462="Cafco 300",J1462&gt;=95,J1462&lt;=400,G1462=3,C1462="IN",I1462=120),VLOOKUP(T1462,'CAFCO 300 IDIEM TABLAS'!$F$4:$H$35,3,FALSE),0)+IF(AND(L1462="Cafco 300",J1462&gt;=95,J1462&lt;=450,G1462=4,C1462="IN",I1462=90),VLOOKUP(T1462,'CAFCO 300 IDIEM TABLAS'!$J$4:$L$40,2,FALSE),0)+IF(AND(L1462="Cafco 300",J1462&gt;=95,J1462&lt;=450,G1462=4,C1462="IN",I1462=120),VLOOKUP(T1462,'CAFCO 300 IDIEM TABLAS'!$J$4:$L$40,3,FALSE),0)+IF(AND(M1462="Ensayo Idiem",L1462="Cafco 400",C1462="IN",G1462=4,I1462=90),VLOOKUP(T1462,'CAFCO 400 ENSAYO'!$B$7:$D$43,2,FALSE),0)+IF(AND(M1462="Ensayo Idiem",L1462="Cafco 400",C1462="IN",G1462=4,I1462=120),VLOOKUP(T1462,'CAFCO 400 ENSAYO'!$B$7:$D$43,3,FALSE),0)</f>
        <v>0</v>
      </c>
      <c r="O1462" s="96">
        <f t="shared" si="144"/>
        <v>0</v>
      </c>
      <c r="P1462" s="95" t="str">
        <f t="shared" si="145"/>
        <v>N/A</v>
      </c>
      <c r="Q1462" s="95" t="str">
        <f t="shared" si="146"/>
        <v>N/A</v>
      </c>
      <c r="R1462" s="95" t="str">
        <f t="shared" si="147"/>
        <v>NO CERT.</v>
      </c>
      <c r="S1462" s="95" t="e">
        <f t="shared" si="148"/>
        <v>#N/A</v>
      </c>
      <c r="T1462" s="119" t="e">
        <f>+IF(J1462=LOOKUP(J1462,'CAFCO 300 IDIEM TABLAS'!$J$4:$J$40),'CALCULO MORTERO'!J1462,MROUND('CALCULO MORTERO'!J1462,10))</f>
        <v>#N/A</v>
      </c>
      <c r="U1462" s="118">
        <f t="shared" si="149"/>
        <v>0</v>
      </c>
    </row>
    <row r="1463" spans="1:21" x14ac:dyDescent="0.25">
      <c r="A1463" s="118">
        <f>+CUBICACION!D1457</f>
        <v>0</v>
      </c>
      <c r="B1463" s="819">
        <f>+CUBICACION!E1457</f>
        <v>0</v>
      </c>
      <c r="C1463" s="675">
        <f>+CUBICACION!F1457</f>
        <v>0</v>
      </c>
      <c r="D1463" s="118"/>
      <c r="E1463" s="118"/>
      <c r="F1463" s="820"/>
      <c r="G1463" s="675">
        <f>+CUBICACION!J1457</f>
        <v>0</v>
      </c>
      <c r="H1463" s="118"/>
      <c r="I1463" s="821">
        <f>+CUBICACION!L1457</f>
        <v>0</v>
      </c>
      <c r="J1463" s="64">
        <f>+CUBICACION!M1457</f>
        <v>0</v>
      </c>
      <c r="K1463" s="822" t="str">
        <f>+CUBICACION!N1457</f>
        <v/>
      </c>
      <c r="L1463" s="118">
        <f>+CUBICACION!O1457</f>
        <v>0</v>
      </c>
      <c r="M1463" s="823">
        <f>+CUBICACION!P1457</f>
        <v>0</v>
      </c>
      <c r="N1463" s="902">
        <f>ROUND(IF(AND(L1463="Blaze Shield II",M1463="Software Idiem",C1463="IN",G1463=4),((('BLAZE SHIELD II'!$D$4*('CALCULO MORTERO'!I1463^2)+'BLAZE SHIELD II'!$D$5*'CALCULO MORTERO'!I1463+'BLAZE SHIELD II'!$D$6)*LN(J1463))+('BLAZE SHIELD II'!$D$7*('CALCULO MORTERO'!I1463^2)+'BLAZE SHIELD II'!$D$8*'CALCULO MORTERO'!I1463+'BLAZE SHIELD II'!$D$9)),0)+IF(AND(L1463="Blaze Shield II",M1463="Software Idiem",C1463="Cj"),((('BLAZE SHIELD II'!$H$4*('CALCULO MORTERO'!I1463^2)+'BLAZE SHIELD II'!$H$5*'CALCULO MORTERO'!I1463+'BLAZE SHIELD II'!$H$6)*LN(J1463))+('BLAZE SHIELD II'!$H$7*('CALCULO MORTERO'!I1463^2)+'BLAZE SHIELD II'!$H$8*'CALCULO MORTERO'!I1463+'BLAZE SHIELD II'!$H$9)),0)+IF(AND(L1463="Blaze Shield II",M1463="Software Idiem",C1463="C"),((('BLAZE SHIELD II'!$L$4*('CALCULO MORTERO'!I1463^2)+'BLAZE SHIELD II'!$L$5*'CALCULO MORTERO'!I1463+'BLAZE SHIELD II'!$L$6)*LN(J1463))+('BLAZE SHIELD II'!$L$7*('CALCULO MORTERO'!I1463^2)+'BLAZE SHIELD II'!$L$8*'CALCULO MORTERO'!I1463+'BLAZE SHIELD II'!$L$9)),0)+IF(AND(L1463="Blaze Shield II",M1463="Software Idiem",C1463="L"),((('BLAZE SHIELD II'!$L$4*('CALCULO MORTERO'!I1463^2)+'BLAZE SHIELD II'!$L$5*'CALCULO MORTERO'!I1463+'BLAZE SHIELD II'!$L$6)*LN(J1463))+('BLAZE SHIELD II'!$L$7*('CALCULO MORTERO'!I1463^2)+'BLAZE SHIELD II'!$L$8*'CALCULO MORTERO'!I1463+'BLAZE SHIELD II'!$L$9)),0)+IF(AND(L1463="Blaze Shield II",M1463="Software Idiem",C1463="IN",G1463=3),((('BLAZE SHIELD II'!$H$14*('CALCULO MORTERO'!I1463^2)+'BLAZE SHIELD II'!$H$15*'CALCULO MORTERO'!I1463+'BLAZE SHIELD II'!$H$16)*LN(J1463))+('BLAZE SHIELD II'!$H$17*('CALCULO MORTERO'!I1463^2)+'BLAZE SHIELD II'!$H$18*'CALCULO MORTERO'!I1463+'BLAZE SHIELD II'!$H$19)),0),0)+ROUND(IF(AND(L1463="Cafco 400",M1463="Software Idiem",C1463="IN",G1463=4),((('CAFCO 400 '!$H$7*(J1463^4)+'CAFCO 400 '!$H$8*(J1463^3)+'CAFCO 400 '!$H$9*(J1463^2)+'CAFCO 400 '!$H$10*J1463+'CAFCO 400 '!$H$11)*U1463^2)+(('CAFCO 400 '!$H$12*(J1463^3)+'CAFCO 400 '!$H$13*(J1463^2)+'CAFCO 400 '!$H$14*J1463+'CAFCO 400 '!$H$15)*U1463)+('CAFCO 400 '!$H$16*(J1463^2)+'CAFCO 400 '!$H$17*J1463+'CAFCO 400 '!$H$18)),0)+IF(AND(L1463="Cafco 400",M1463="Software Idiem",C1463="Cj"),(((('CAFCO 400 '!$D$7*LN(J1463)+'CAFCO 400 '!$D$8)*U1463^2)+(('CAFCO 400 '!$D$9*LN(J1463)+'CAFCO 400 '!$D$10)*U1463)+('CAFCO 400 '!$D$11*LN(J1463)+'CAFCO 400 '!$D$12))),0)+IF(AND(L1463="Cafco 400",M1463="Software Idiem",C1463="C"),((('CAFCO 400 '!$L$7*(J1463^3)+'CAFCO 400 '!$L$8*(J1463^2)+'CAFCO 400 '!$L$9*J1463+'CAFCO 400 '!$L$10)*U1463^2)+(('CAFCO 400 '!$L$11*(J1463^3)+'CAFCO 400 '!$L$12*(J1463^2)+'CAFCO 400 '!$L$13*J1463+'CAFCO 400 '!$L$14)*U1463)+('CAFCO 400 '!$L$15*LN(J1463)+'CAFCO 400 '!$L$16)),0)+IF(AND(L1463="Cafco 400",M1463="Software Idiem",C1463="L"),((('CAFCO 400 '!$L$7*(J1463^3)+'CAFCO 400 '!$L$8*(J1463^2)+'CAFCO 400 '!$L$9*J1463+'CAFCO 400 '!$L$10)*U1463^2)+(('CAFCO 400 '!$L$11*(J1463^3)+'CAFCO 400 '!$L$12*(J1463^2)+'CAFCO 400 '!$L$13*J1463+'CAFCO 400 '!$L$14)*U1463)+('CAFCO 400 '!$L$15*LN(J1463)+'CAFCO 400 '!$L$16)),0)+IF(AND(L1463="Cafco 400",M1463="Software Idiem",C1463="IN",G1463=3),((('CAFCO 400 '!$D$23*(J1463^2)+'CAFCO 400 '!$D$24*(J1463)+'CAFCO 400 '!$D$25)*U1463^2)+(('CAFCO 400 '!$D$26*(J1463^2)+'CAFCO 400 '!$D$27*J1463+'CAFCO 400 '!$D$28)*U1463)+('CAFCO 400 '!$D$29*(J1463^2)+'CAFCO 400 '!$D$30*J1463+'CAFCO 400 '!$D$31)),0),0)+IF(AND(L1463="Cafco 300",J1463&gt;=95,J1463&lt;=240,C1463="Cj",I1463=90),VLOOKUP(T1463,'CAFCO 300 IDIEM TABLAS'!$B$4:$D$23,2,FALSE),0)+IF(AND(L1463="Cafco 300",J1463&gt;=95,J1463&lt;=240,C1463="Cj",I1463=120),VLOOKUP(T1463,'CAFCO 300 IDIEM TABLAS'!$B$4:$D$23,3,FALSE),0)+IF(AND(L1463="Cafco 300",J1463&gt;=95,J1463&lt;=400,G1463=3,C1463="IN",I1463=90),VLOOKUP(T1463,'CAFCO 300 IDIEM TABLAS'!$F$4:$H$35,2,FALSE),0)+IF(AND(L1463="Cafco 300",J1463&gt;=95,J1463&lt;=400,G1463=3,C1463="IN",I1463=120),VLOOKUP(T1463,'CAFCO 300 IDIEM TABLAS'!$F$4:$H$35,3,FALSE),0)+IF(AND(L1463="Cafco 300",J1463&gt;=95,J1463&lt;=450,G1463=4,C1463="IN",I1463=90),VLOOKUP(T1463,'CAFCO 300 IDIEM TABLAS'!$J$4:$L$40,2,FALSE),0)+IF(AND(L1463="Cafco 300",J1463&gt;=95,J1463&lt;=450,G1463=4,C1463="IN",I1463=120),VLOOKUP(T1463,'CAFCO 300 IDIEM TABLAS'!$J$4:$L$40,3,FALSE),0)+IF(AND(M1463="Ensayo Idiem",L1463="Cafco 400",C1463="IN",G1463=4,I1463=90),VLOOKUP(T1463,'CAFCO 400 ENSAYO'!$B$7:$D$43,2,FALSE),0)+IF(AND(M1463="Ensayo Idiem",L1463="Cafco 400",C1463="IN",G1463=4,I1463=120),VLOOKUP(T1463,'CAFCO 400 ENSAYO'!$B$7:$D$43,3,FALSE),0)</f>
        <v>0</v>
      </c>
      <c r="O1463" s="96">
        <f t="shared" si="144"/>
        <v>0</v>
      </c>
      <c r="P1463" s="132" t="str">
        <f t="shared" si="145"/>
        <v>N/A</v>
      </c>
      <c r="Q1463" s="132" t="str">
        <f t="shared" si="146"/>
        <v>N/A</v>
      </c>
      <c r="R1463" s="132" t="str">
        <f t="shared" si="147"/>
        <v>NO CERT.</v>
      </c>
      <c r="S1463" s="132" t="e">
        <f t="shared" si="148"/>
        <v>#N/A</v>
      </c>
      <c r="T1463" s="133" t="e">
        <f>+IF(J1463=LOOKUP(J1463,'CAFCO 300 IDIEM TABLAS'!$J$4:$J$40),'CALCULO MORTERO'!J1463,MROUND('CALCULO MORTERO'!J1463,10))</f>
        <v>#N/A</v>
      </c>
      <c r="U1463" s="134">
        <f t="shared" si="149"/>
        <v>0</v>
      </c>
    </row>
    <row r="1464" spans="1:21" x14ac:dyDescent="0.25">
      <c r="A1464" s="118">
        <f>+CUBICACION!D1458</f>
        <v>0</v>
      </c>
      <c r="B1464" s="819">
        <f>+CUBICACION!E1458</f>
        <v>0</v>
      </c>
      <c r="C1464" s="675">
        <f>+CUBICACION!F1458</f>
        <v>0</v>
      </c>
      <c r="D1464" s="118"/>
      <c r="E1464" s="118"/>
      <c r="F1464" s="820"/>
      <c r="G1464" s="675">
        <f>+CUBICACION!J1458</f>
        <v>0</v>
      </c>
      <c r="H1464" s="118"/>
      <c r="I1464" s="821">
        <f>+CUBICACION!L1458</f>
        <v>0</v>
      </c>
      <c r="J1464" s="64">
        <f>+CUBICACION!M1458</f>
        <v>0</v>
      </c>
      <c r="K1464" s="822" t="str">
        <f>+CUBICACION!N1458</f>
        <v/>
      </c>
      <c r="L1464" s="118">
        <f>+CUBICACION!O1458</f>
        <v>0</v>
      </c>
      <c r="M1464" s="823">
        <f>+CUBICACION!P1458</f>
        <v>0</v>
      </c>
      <c r="N1464" s="902">
        <f>ROUND(IF(AND(L1464="Blaze Shield II",M1464="Software Idiem",C1464="IN",G1464=4),((('BLAZE SHIELD II'!$D$4*('CALCULO MORTERO'!I1464^2)+'BLAZE SHIELD II'!$D$5*'CALCULO MORTERO'!I1464+'BLAZE SHIELD II'!$D$6)*LN(J1464))+('BLAZE SHIELD II'!$D$7*('CALCULO MORTERO'!I1464^2)+'BLAZE SHIELD II'!$D$8*'CALCULO MORTERO'!I1464+'BLAZE SHIELD II'!$D$9)),0)+IF(AND(L1464="Blaze Shield II",M1464="Software Idiem",C1464="Cj"),((('BLAZE SHIELD II'!$H$4*('CALCULO MORTERO'!I1464^2)+'BLAZE SHIELD II'!$H$5*'CALCULO MORTERO'!I1464+'BLAZE SHIELD II'!$H$6)*LN(J1464))+('BLAZE SHIELD II'!$H$7*('CALCULO MORTERO'!I1464^2)+'BLAZE SHIELD II'!$H$8*'CALCULO MORTERO'!I1464+'BLAZE SHIELD II'!$H$9)),0)+IF(AND(L1464="Blaze Shield II",M1464="Software Idiem",C1464="C"),((('BLAZE SHIELD II'!$L$4*('CALCULO MORTERO'!I1464^2)+'BLAZE SHIELD II'!$L$5*'CALCULO MORTERO'!I1464+'BLAZE SHIELD II'!$L$6)*LN(J1464))+('BLAZE SHIELD II'!$L$7*('CALCULO MORTERO'!I1464^2)+'BLAZE SHIELD II'!$L$8*'CALCULO MORTERO'!I1464+'BLAZE SHIELD II'!$L$9)),0)+IF(AND(L1464="Blaze Shield II",M1464="Software Idiem",C1464="L"),((('BLAZE SHIELD II'!$L$4*('CALCULO MORTERO'!I1464^2)+'BLAZE SHIELD II'!$L$5*'CALCULO MORTERO'!I1464+'BLAZE SHIELD II'!$L$6)*LN(J1464))+('BLAZE SHIELD II'!$L$7*('CALCULO MORTERO'!I1464^2)+'BLAZE SHIELD II'!$L$8*'CALCULO MORTERO'!I1464+'BLAZE SHIELD II'!$L$9)),0)+IF(AND(L1464="Blaze Shield II",M1464="Software Idiem",C1464="IN",G1464=3),((('BLAZE SHIELD II'!$H$14*('CALCULO MORTERO'!I1464^2)+'BLAZE SHIELD II'!$H$15*'CALCULO MORTERO'!I1464+'BLAZE SHIELD II'!$H$16)*LN(J1464))+('BLAZE SHIELD II'!$H$17*('CALCULO MORTERO'!I1464^2)+'BLAZE SHIELD II'!$H$18*'CALCULO MORTERO'!I1464+'BLAZE SHIELD II'!$H$19)),0),0)+ROUND(IF(AND(L1464="Cafco 400",M1464="Software Idiem",C1464="IN",G1464=4),((('CAFCO 400 '!$H$7*(J1464^4)+'CAFCO 400 '!$H$8*(J1464^3)+'CAFCO 400 '!$H$9*(J1464^2)+'CAFCO 400 '!$H$10*J1464+'CAFCO 400 '!$H$11)*U1464^2)+(('CAFCO 400 '!$H$12*(J1464^3)+'CAFCO 400 '!$H$13*(J1464^2)+'CAFCO 400 '!$H$14*J1464+'CAFCO 400 '!$H$15)*U1464)+('CAFCO 400 '!$H$16*(J1464^2)+'CAFCO 400 '!$H$17*J1464+'CAFCO 400 '!$H$18)),0)+IF(AND(L1464="Cafco 400",M1464="Software Idiem",C1464="Cj"),(((('CAFCO 400 '!$D$7*LN(J1464)+'CAFCO 400 '!$D$8)*U1464^2)+(('CAFCO 400 '!$D$9*LN(J1464)+'CAFCO 400 '!$D$10)*U1464)+('CAFCO 400 '!$D$11*LN(J1464)+'CAFCO 400 '!$D$12))),0)+IF(AND(L1464="Cafco 400",M1464="Software Idiem",C1464="C"),((('CAFCO 400 '!$L$7*(J1464^3)+'CAFCO 400 '!$L$8*(J1464^2)+'CAFCO 400 '!$L$9*J1464+'CAFCO 400 '!$L$10)*U1464^2)+(('CAFCO 400 '!$L$11*(J1464^3)+'CAFCO 400 '!$L$12*(J1464^2)+'CAFCO 400 '!$L$13*J1464+'CAFCO 400 '!$L$14)*U1464)+('CAFCO 400 '!$L$15*LN(J1464)+'CAFCO 400 '!$L$16)),0)+IF(AND(L1464="Cafco 400",M1464="Software Idiem",C1464="L"),((('CAFCO 400 '!$L$7*(J1464^3)+'CAFCO 400 '!$L$8*(J1464^2)+'CAFCO 400 '!$L$9*J1464+'CAFCO 400 '!$L$10)*U1464^2)+(('CAFCO 400 '!$L$11*(J1464^3)+'CAFCO 400 '!$L$12*(J1464^2)+'CAFCO 400 '!$L$13*J1464+'CAFCO 400 '!$L$14)*U1464)+('CAFCO 400 '!$L$15*LN(J1464)+'CAFCO 400 '!$L$16)),0)+IF(AND(L1464="Cafco 400",M1464="Software Idiem",C1464="IN",G1464=3),((('CAFCO 400 '!$D$23*(J1464^2)+'CAFCO 400 '!$D$24*(J1464)+'CAFCO 400 '!$D$25)*U1464^2)+(('CAFCO 400 '!$D$26*(J1464^2)+'CAFCO 400 '!$D$27*J1464+'CAFCO 400 '!$D$28)*U1464)+('CAFCO 400 '!$D$29*(J1464^2)+'CAFCO 400 '!$D$30*J1464+'CAFCO 400 '!$D$31)),0),0)+IF(AND(L1464="Cafco 300",J1464&gt;=95,J1464&lt;=240,C1464="Cj",I1464=90),VLOOKUP(T1464,'CAFCO 300 IDIEM TABLAS'!$B$4:$D$23,2,FALSE),0)+IF(AND(L1464="Cafco 300",J1464&gt;=95,J1464&lt;=240,C1464="Cj",I1464=120),VLOOKUP(T1464,'CAFCO 300 IDIEM TABLAS'!$B$4:$D$23,3,FALSE),0)+IF(AND(L1464="Cafco 300",J1464&gt;=95,J1464&lt;=400,G1464=3,C1464="IN",I1464=90),VLOOKUP(T1464,'CAFCO 300 IDIEM TABLAS'!$F$4:$H$35,2,FALSE),0)+IF(AND(L1464="Cafco 300",J1464&gt;=95,J1464&lt;=400,G1464=3,C1464="IN",I1464=120),VLOOKUP(T1464,'CAFCO 300 IDIEM TABLAS'!$F$4:$H$35,3,FALSE),0)+IF(AND(L1464="Cafco 300",J1464&gt;=95,J1464&lt;=450,G1464=4,C1464="IN",I1464=90),VLOOKUP(T1464,'CAFCO 300 IDIEM TABLAS'!$J$4:$L$40,2,FALSE),0)+IF(AND(L1464="Cafco 300",J1464&gt;=95,J1464&lt;=450,G1464=4,C1464="IN",I1464=120),VLOOKUP(T1464,'CAFCO 300 IDIEM TABLAS'!$J$4:$L$40,3,FALSE),0)+IF(AND(M1464="Ensayo Idiem",L1464="Cafco 400",C1464="IN",G1464=4,I1464=90),VLOOKUP(T1464,'CAFCO 400 ENSAYO'!$B$7:$D$43,2,FALSE),0)+IF(AND(M1464="Ensayo Idiem",L1464="Cafco 400",C1464="IN",G1464=4,I1464=120),VLOOKUP(T1464,'CAFCO 400 ENSAYO'!$B$7:$D$43,3,FALSE),0)</f>
        <v>0</v>
      </c>
      <c r="O1464" s="96">
        <f t="shared" si="144"/>
        <v>0</v>
      </c>
      <c r="P1464" s="95" t="str">
        <f t="shared" si="145"/>
        <v>N/A</v>
      </c>
      <c r="Q1464" s="95" t="str">
        <f t="shared" si="146"/>
        <v>N/A</v>
      </c>
      <c r="R1464" s="95" t="str">
        <f t="shared" si="147"/>
        <v>NO CERT.</v>
      </c>
      <c r="S1464" s="95" t="e">
        <f t="shared" si="148"/>
        <v>#N/A</v>
      </c>
      <c r="T1464" s="119" t="e">
        <f>+IF(J1464=LOOKUP(J1464,'CAFCO 300 IDIEM TABLAS'!$J$4:$J$40),'CALCULO MORTERO'!J1464,MROUND('CALCULO MORTERO'!J1464,10))</f>
        <v>#N/A</v>
      </c>
      <c r="U1464" s="118">
        <f t="shared" si="149"/>
        <v>0</v>
      </c>
    </row>
    <row r="1465" spans="1:21" x14ac:dyDescent="0.25">
      <c r="A1465" s="118">
        <f>+CUBICACION!D1459</f>
        <v>0</v>
      </c>
      <c r="B1465" s="819">
        <f>+CUBICACION!E1459</f>
        <v>0</v>
      </c>
      <c r="C1465" s="675">
        <f>+CUBICACION!F1459</f>
        <v>0</v>
      </c>
      <c r="D1465" s="118"/>
      <c r="E1465" s="118"/>
      <c r="F1465" s="820"/>
      <c r="G1465" s="675">
        <f>+CUBICACION!J1459</f>
        <v>0</v>
      </c>
      <c r="H1465" s="118"/>
      <c r="I1465" s="821">
        <f>+CUBICACION!L1459</f>
        <v>0</v>
      </c>
      <c r="J1465" s="64">
        <f>+CUBICACION!M1459</f>
        <v>0</v>
      </c>
      <c r="K1465" s="822" t="str">
        <f>+CUBICACION!N1459</f>
        <v/>
      </c>
      <c r="L1465" s="118">
        <f>+CUBICACION!O1459</f>
        <v>0</v>
      </c>
      <c r="M1465" s="823">
        <f>+CUBICACION!P1459</f>
        <v>0</v>
      </c>
      <c r="N1465" s="902">
        <f>ROUND(IF(AND(L1465="Blaze Shield II",M1465="Software Idiem",C1465="IN",G1465=4),((('BLAZE SHIELD II'!$D$4*('CALCULO MORTERO'!I1465^2)+'BLAZE SHIELD II'!$D$5*'CALCULO MORTERO'!I1465+'BLAZE SHIELD II'!$D$6)*LN(J1465))+('BLAZE SHIELD II'!$D$7*('CALCULO MORTERO'!I1465^2)+'BLAZE SHIELD II'!$D$8*'CALCULO MORTERO'!I1465+'BLAZE SHIELD II'!$D$9)),0)+IF(AND(L1465="Blaze Shield II",M1465="Software Idiem",C1465="Cj"),((('BLAZE SHIELD II'!$H$4*('CALCULO MORTERO'!I1465^2)+'BLAZE SHIELD II'!$H$5*'CALCULO MORTERO'!I1465+'BLAZE SHIELD II'!$H$6)*LN(J1465))+('BLAZE SHIELD II'!$H$7*('CALCULO MORTERO'!I1465^2)+'BLAZE SHIELD II'!$H$8*'CALCULO MORTERO'!I1465+'BLAZE SHIELD II'!$H$9)),0)+IF(AND(L1465="Blaze Shield II",M1465="Software Idiem",C1465="C"),((('BLAZE SHIELD II'!$L$4*('CALCULO MORTERO'!I1465^2)+'BLAZE SHIELD II'!$L$5*'CALCULO MORTERO'!I1465+'BLAZE SHIELD II'!$L$6)*LN(J1465))+('BLAZE SHIELD II'!$L$7*('CALCULO MORTERO'!I1465^2)+'BLAZE SHIELD II'!$L$8*'CALCULO MORTERO'!I1465+'BLAZE SHIELD II'!$L$9)),0)+IF(AND(L1465="Blaze Shield II",M1465="Software Idiem",C1465="L"),((('BLAZE SHIELD II'!$L$4*('CALCULO MORTERO'!I1465^2)+'BLAZE SHIELD II'!$L$5*'CALCULO MORTERO'!I1465+'BLAZE SHIELD II'!$L$6)*LN(J1465))+('BLAZE SHIELD II'!$L$7*('CALCULO MORTERO'!I1465^2)+'BLAZE SHIELD II'!$L$8*'CALCULO MORTERO'!I1465+'BLAZE SHIELD II'!$L$9)),0)+IF(AND(L1465="Blaze Shield II",M1465="Software Idiem",C1465="IN",G1465=3),((('BLAZE SHIELD II'!$H$14*('CALCULO MORTERO'!I1465^2)+'BLAZE SHIELD II'!$H$15*'CALCULO MORTERO'!I1465+'BLAZE SHIELD II'!$H$16)*LN(J1465))+('BLAZE SHIELD II'!$H$17*('CALCULO MORTERO'!I1465^2)+'BLAZE SHIELD II'!$H$18*'CALCULO MORTERO'!I1465+'BLAZE SHIELD II'!$H$19)),0),0)+ROUND(IF(AND(L1465="Cafco 400",M1465="Software Idiem",C1465="IN",G1465=4),((('CAFCO 400 '!$H$7*(J1465^4)+'CAFCO 400 '!$H$8*(J1465^3)+'CAFCO 400 '!$H$9*(J1465^2)+'CAFCO 400 '!$H$10*J1465+'CAFCO 400 '!$H$11)*U1465^2)+(('CAFCO 400 '!$H$12*(J1465^3)+'CAFCO 400 '!$H$13*(J1465^2)+'CAFCO 400 '!$H$14*J1465+'CAFCO 400 '!$H$15)*U1465)+('CAFCO 400 '!$H$16*(J1465^2)+'CAFCO 400 '!$H$17*J1465+'CAFCO 400 '!$H$18)),0)+IF(AND(L1465="Cafco 400",M1465="Software Idiem",C1465="Cj"),(((('CAFCO 400 '!$D$7*LN(J1465)+'CAFCO 400 '!$D$8)*U1465^2)+(('CAFCO 400 '!$D$9*LN(J1465)+'CAFCO 400 '!$D$10)*U1465)+('CAFCO 400 '!$D$11*LN(J1465)+'CAFCO 400 '!$D$12))),0)+IF(AND(L1465="Cafco 400",M1465="Software Idiem",C1465="C"),((('CAFCO 400 '!$L$7*(J1465^3)+'CAFCO 400 '!$L$8*(J1465^2)+'CAFCO 400 '!$L$9*J1465+'CAFCO 400 '!$L$10)*U1465^2)+(('CAFCO 400 '!$L$11*(J1465^3)+'CAFCO 400 '!$L$12*(J1465^2)+'CAFCO 400 '!$L$13*J1465+'CAFCO 400 '!$L$14)*U1465)+('CAFCO 400 '!$L$15*LN(J1465)+'CAFCO 400 '!$L$16)),0)+IF(AND(L1465="Cafco 400",M1465="Software Idiem",C1465="L"),((('CAFCO 400 '!$L$7*(J1465^3)+'CAFCO 400 '!$L$8*(J1465^2)+'CAFCO 400 '!$L$9*J1465+'CAFCO 400 '!$L$10)*U1465^2)+(('CAFCO 400 '!$L$11*(J1465^3)+'CAFCO 400 '!$L$12*(J1465^2)+'CAFCO 400 '!$L$13*J1465+'CAFCO 400 '!$L$14)*U1465)+('CAFCO 400 '!$L$15*LN(J1465)+'CAFCO 400 '!$L$16)),0)+IF(AND(L1465="Cafco 400",M1465="Software Idiem",C1465="IN",G1465=3),((('CAFCO 400 '!$D$23*(J1465^2)+'CAFCO 400 '!$D$24*(J1465)+'CAFCO 400 '!$D$25)*U1465^2)+(('CAFCO 400 '!$D$26*(J1465^2)+'CAFCO 400 '!$D$27*J1465+'CAFCO 400 '!$D$28)*U1465)+('CAFCO 400 '!$D$29*(J1465^2)+'CAFCO 400 '!$D$30*J1465+'CAFCO 400 '!$D$31)),0),0)+IF(AND(L1465="Cafco 300",J1465&gt;=95,J1465&lt;=240,C1465="Cj",I1465=90),VLOOKUP(T1465,'CAFCO 300 IDIEM TABLAS'!$B$4:$D$23,2,FALSE),0)+IF(AND(L1465="Cafco 300",J1465&gt;=95,J1465&lt;=240,C1465="Cj",I1465=120),VLOOKUP(T1465,'CAFCO 300 IDIEM TABLAS'!$B$4:$D$23,3,FALSE),0)+IF(AND(L1465="Cafco 300",J1465&gt;=95,J1465&lt;=400,G1465=3,C1465="IN",I1465=90),VLOOKUP(T1465,'CAFCO 300 IDIEM TABLAS'!$F$4:$H$35,2,FALSE),0)+IF(AND(L1465="Cafco 300",J1465&gt;=95,J1465&lt;=400,G1465=3,C1465="IN",I1465=120),VLOOKUP(T1465,'CAFCO 300 IDIEM TABLAS'!$F$4:$H$35,3,FALSE),0)+IF(AND(L1465="Cafco 300",J1465&gt;=95,J1465&lt;=450,G1465=4,C1465="IN",I1465=90),VLOOKUP(T1465,'CAFCO 300 IDIEM TABLAS'!$J$4:$L$40,2,FALSE),0)+IF(AND(L1465="Cafco 300",J1465&gt;=95,J1465&lt;=450,G1465=4,C1465="IN",I1465=120),VLOOKUP(T1465,'CAFCO 300 IDIEM TABLAS'!$J$4:$L$40,3,FALSE),0)+IF(AND(M1465="Ensayo Idiem",L1465="Cafco 400",C1465="IN",G1465=4,I1465=90),VLOOKUP(T1465,'CAFCO 400 ENSAYO'!$B$7:$D$43,2,FALSE),0)+IF(AND(M1465="Ensayo Idiem",L1465="Cafco 400",C1465="IN",G1465=4,I1465=120),VLOOKUP(T1465,'CAFCO 400 ENSAYO'!$B$7:$D$43,3,FALSE),0)</f>
        <v>0</v>
      </c>
      <c r="O1465" s="96">
        <f t="shared" si="144"/>
        <v>0</v>
      </c>
      <c r="P1465" s="132" t="str">
        <f t="shared" si="145"/>
        <v>N/A</v>
      </c>
      <c r="Q1465" s="132" t="str">
        <f t="shared" si="146"/>
        <v>N/A</v>
      </c>
      <c r="R1465" s="132" t="str">
        <f t="shared" si="147"/>
        <v>NO CERT.</v>
      </c>
      <c r="S1465" s="132" t="e">
        <f t="shared" si="148"/>
        <v>#N/A</v>
      </c>
      <c r="T1465" s="133" t="e">
        <f>+IF(J1465=LOOKUP(J1465,'CAFCO 300 IDIEM TABLAS'!$J$4:$J$40),'CALCULO MORTERO'!J1465,MROUND('CALCULO MORTERO'!J1465,10))</f>
        <v>#N/A</v>
      </c>
      <c r="U1465" s="134">
        <f t="shared" si="149"/>
        <v>0</v>
      </c>
    </row>
    <row r="1466" spans="1:21" x14ac:dyDescent="0.25">
      <c r="A1466" s="118">
        <f>+CUBICACION!D1460</f>
        <v>0</v>
      </c>
      <c r="B1466" s="819">
        <f>+CUBICACION!E1460</f>
        <v>0</v>
      </c>
      <c r="C1466" s="675">
        <f>+CUBICACION!F1460</f>
        <v>0</v>
      </c>
      <c r="D1466" s="118"/>
      <c r="E1466" s="118"/>
      <c r="F1466" s="820"/>
      <c r="G1466" s="675">
        <f>+CUBICACION!J1460</f>
        <v>0</v>
      </c>
      <c r="H1466" s="118"/>
      <c r="I1466" s="821">
        <f>+CUBICACION!L1460</f>
        <v>0</v>
      </c>
      <c r="J1466" s="64">
        <f>+CUBICACION!M1460</f>
        <v>0</v>
      </c>
      <c r="K1466" s="822" t="str">
        <f>+CUBICACION!N1460</f>
        <v/>
      </c>
      <c r="L1466" s="118">
        <f>+CUBICACION!O1460</f>
        <v>0</v>
      </c>
      <c r="M1466" s="823">
        <f>+CUBICACION!P1460</f>
        <v>0</v>
      </c>
      <c r="N1466" s="902">
        <f>ROUND(IF(AND(L1466="Blaze Shield II",M1466="Software Idiem",C1466="IN",G1466=4),((('BLAZE SHIELD II'!$D$4*('CALCULO MORTERO'!I1466^2)+'BLAZE SHIELD II'!$D$5*'CALCULO MORTERO'!I1466+'BLAZE SHIELD II'!$D$6)*LN(J1466))+('BLAZE SHIELD II'!$D$7*('CALCULO MORTERO'!I1466^2)+'BLAZE SHIELD II'!$D$8*'CALCULO MORTERO'!I1466+'BLAZE SHIELD II'!$D$9)),0)+IF(AND(L1466="Blaze Shield II",M1466="Software Idiem",C1466="Cj"),((('BLAZE SHIELD II'!$H$4*('CALCULO MORTERO'!I1466^2)+'BLAZE SHIELD II'!$H$5*'CALCULO MORTERO'!I1466+'BLAZE SHIELD II'!$H$6)*LN(J1466))+('BLAZE SHIELD II'!$H$7*('CALCULO MORTERO'!I1466^2)+'BLAZE SHIELD II'!$H$8*'CALCULO MORTERO'!I1466+'BLAZE SHIELD II'!$H$9)),0)+IF(AND(L1466="Blaze Shield II",M1466="Software Idiem",C1466="C"),((('BLAZE SHIELD II'!$L$4*('CALCULO MORTERO'!I1466^2)+'BLAZE SHIELD II'!$L$5*'CALCULO MORTERO'!I1466+'BLAZE SHIELD II'!$L$6)*LN(J1466))+('BLAZE SHIELD II'!$L$7*('CALCULO MORTERO'!I1466^2)+'BLAZE SHIELD II'!$L$8*'CALCULO MORTERO'!I1466+'BLAZE SHIELD II'!$L$9)),0)+IF(AND(L1466="Blaze Shield II",M1466="Software Idiem",C1466="L"),((('BLAZE SHIELD II'!$L$4*('CALCULO MORTERO'!I1466^2)+'BLAZE SHIELD II'!$L$5*'CALCULO MORTERO'!I1466+'BLAZE SHIELD II'!$L$6)*LN(J1466))+('BLAZE SHIELD II'!$L$7*('CALCULO MORTERO'!I1466^2)+'BLAZE SHIELD II'!$L$8*'CALCULO MORTERO'!I1466+'BLAZE SHIELD II'!$L$9)),0)+IF(AND(L1466="Blaze Shield II",M1466="Software Idiem",C1466="IN",G1466=3),((('BLAZE SHIELD II'!$H$14*('CALCULO MORTERO'!I1466^2)+'BLAZE SHIELD II'!$H$15*'CALCULO MORTERO'!I1466+'BLAZE SHIELD II'!$H$16)*LN(J1466))+('BLAZE SHIELD II'!$H$17*('CALCULO MORTERO'!I1466^2)+'BLAZE SHIELD II'!$H$18*'CALCULO MORTERO'!I1466+'BLAZE SHIELD II'!$H$19)),0),0)+ROUND(IF(AND(L1466="Cafco 400",M1466="Software Idiem",C1466="IN",G1466=4),((('CAFCO 400 '!$H$7*(J1466^4)+'CAFCO 400 '!$H$8*(J1466^3)+'CAFCO 400 '!$H$9*(J1466^2)+'CAFCO 400 '!$H$10*J1466+'CAFCO 400 '!$H$11)*U1466^2)+(('CAFCO 400 '!$H$12*(J1466^3)+'CAFCO 400 '!$H$13*(J1466^2)+'CAFCO 400 '!$H$14*J1466+'CAFCO 400 '!$H$15)*U1466)+('CAFCO 400 '!$H$16*(J1466^2)+'CAFCO 400 '!$H$17*J1466+'CAFCO 400 '!$H$18)),0)+IF(AND(L1466="Cafco 400",M1466="Software Idiem",C1466="Cj"),(((('CAFCO 400 '!$D$7*LN(J1466)+'CAFCO 400 '!$D$8)*U1466^2)+(('CAFCO 400 '!$D$9*LN(J1466)+'CAFCO 400 '!$D$10)*U1466)+('CAFCO 400 '!$D$11*LN(J1466)+'CAFCO 400 '!$D$12))),0)+IF(AND(L1466="Cafco 400",M1466="Software Idiem",C1466="C"),((('CAFCO 400 '!$L$7*(J1466^3)+'CAFCO 400 '!$L$8*(J1466^2)+'CAFCO 400 '!$L$9*J1466+'CAFCO 400 '!$L$10)*U1466^2)+(('CAFCO 400 '!$L$11*(J1466^3)+'CAFCO 400 '!$L$12*(J1466^2)+'CAFCO 400 '!$L$13*J1466+'CAFCO 400 '!$L$14)*U1466)+('CAFCO 400 '!$L$15*LN(J1466)+'CAFCO 400 '!$L$16)),0)+IF(AND(L1466="Cafco 400",M1466="Software Idiem",C1466="L"),((('CAFCO 400 '!$L$7*(J1466^3)+'CAFCO 400 '!$L$8*(J1466^2)+'CAFCO 400 '!$L$9*J1466+'CAFCO 400 '!$L$10)*U1466^2)+(('CAFCO 400 '!$L$11*(J1466^3)+'CAFCO 400 '!$L$12*(J1466^2)+'CAFCO 400 '!$L$13*J1466+'CAFCO 400 '!$L$14)*U1466)+('CAFCO 400 '!$L$15*LN(J1466)+'CAFCO 400 '!$L$16)),0)+IF(AND(L1466="Cafco 400",M1466="Software Idiem",C1466="IN",G1466=3),((('CAFCO 400 '!$D$23*(J1466^2)+'CAFCO 400 '!$D$24*(J1466)+'CAFCO 400 '!$D$25)*U1466^2)+(('CAFCO 400 '!$D$26*(J1466^2)+'CAFCO 400 '!$D$27*J1466+'CAFCO 400 '!$D$28)*U1466)+('CAFCO 400 '!$D$29*(J1466^2)+'CAFCO 400 '!$D$30*J1466+'CAFCO 400 '!$D$31)),0),0)+IF(AND(L1466="Cafco 300",J1466&gt;=95,J1466&lt;=240,C1466="Cj",I1466=90),VLOOKUP(T1466,'CAFCO 300 IDIEM TABLAS'!$B$4:$D$23,2,FALSE),0)+IF(AND(L1466="Cafco 300",J1466&gt;=95,J1466&lt;=240,C1466="Cj",I1466=120),VLOOKUP(T1466,'CAFCO 300 IDIEM TABLAS'!$B$4:$D$23,3,FALSE),0)+IF(AND(L1466="Cafco 300",J1466&gt;=95,J1466&lt;=400,G1466=3,C1466="IN",I1466=90),VLOOKUP(T1466,'CAFCO 300 IDIEM TABLAS'!$F$4:$H$35,2,FALSE),0)+IF(AND(L1466="Cafco 300",J1466&gt;=95,J1466&lt;=400,G1466=3,C1466="IN",I1466=120),VLOOKUP(T1466,'CAFCO 300 IDIEM TABLAS'!$F$4:$H$35,3,FALSE),0)+IF(AND(L1466="Cafco 300",J1466&gt;=95,J1466&lt;=450,G1466=4,C1466="IN",I1466=90),VLOOKUP(T1466,'CAFCO 300 IDIEM TABLAS'!$J$4:$L$40,2,FALSE),0)+IF(AND(L1466="Cafco 300",J1466&gt;=95,J1466&lt;=450,G1466=4,C1466="IN",I1466=120),VLOOKUP(T1466,'CAFCO 300 IDIEM TABLAS'!$J$4:$L$40,3,FALSE),0)+IF(AND(M1466="Ensayo Idiem",L1466="Cafco 400",C1466="IN",G1466=4,I1466=90),VLOOKUP(T1466,'CAFCO 400 ENSAYO'!$B$7:$D$43,2,FALSE),0)+IF(AND(M1466="Ensayo Idiem",L1466="Cafco 400",C1466="IN",G1466=4,I1466=120),VLOOKUP(T1466,'CAFCO 400 ENSAYO'!$B$7:$D$43,3,FALSE),0)</f>
        <v>0</v>
      </c>
      <c r="O1466" s="96">
        <f t="shared" si="144"/>
        <v>0</v>
      </c>
      <c r="P1466" s="95" t="str">
        <f t="shared" si="145"/>
        <v>N/A</v>
      </c>
      <c r="Q1466" s="95" t="str">
        <f t="shared" si="146"/>
        <v>N/A</v>
      </c>
      <c r="R1466" s="95" t="str">
        <f t="shared" si="147"/>
        <v>NO CERT.</v>
      </c>
      <c r="S1466" s="95" t="e">
        <f t="shared" si="148"/>
        <v>#N/A</v>
      </c>
      <c r="T1466" s="119" t="e">
        <f>+IF(J1466=LOOKUP(J1466,'CAFCO 300 IDIEM TABLAS'!$J$4:$J$40),'CALCULO MORTERO'!J1466,MROUND('CALCULO MORTERO'!J1466,10))</f>
        <v>#N/A</v>
      </c>
      <c r="U1466" s="118">
        <f t="shared" si="149"/>
        <v>0</v>
      </c>
    </row>
    <row r="1467" spans="1:21" x14ac:dyDescent="0.25">
      <c r="A1467" s="118">
        <f>+CUBICACION!D1461</f>
        <v>0</v>
      </c>
      <c r="B1467" s="819">
        <f>+CUBICACION!E1461</f>
        <v>0</v>
      </c>
      <c r="C1467" s="675">
        <f>+CUBICACION!F1461</f>
        <v>0</v>
      </c>
      <c r="D1467" s="118"/>
      <c r="E1467" s="118"/>
      <c r="F1467" s="820"/>
      <c r="G1467" s="675">
        <f>+CUBICACION!J1461</f>
        <v>0</v>
      </c>
      <c r="H1467" s="118"/>
      <c r="I1467" s="821">
        <f>+CUBICACION!L1461</f>
        <v>0</v>
      </c>
      <c r="J1467" s="64">
        <f>+CUBICACION!M1461</f>
        <v>0</v>
      </c>
      <c r="K1467" s="822" t="str">
        <f>+CUBICACION!N1461</f>
        <v/>
      </c>
      <c r="L1467" s="118">
        <f>+CUBICACION!O1461</f>
        <v>0</v>
      </c>
      <c r="M1467" s="823">
        <f>+CUBICACION!P1461</f>
        <v>0</v>
      </c>
      <c r="N1467" s="902">
        <f>ROUND(IF(AND(L1467="Blaze Shield II",M1467="Software Idiem",C1467="IN",G1467=4),((('BLAZE SHIELD II'!$D$4*('CALCULO MORTERO'!I1467^2)+'BLAZE SHIELD II'!$D$5*'CALCULO MORTERO'!I1467+'BLAZE SHIELD II'!$D$6)*LN(J1467))+('BLAZE SHIELD II'!$D$7*('CALCULO MORTERO'!I1467^2)+'BLAZE SHIELD II'!$D$8*'CALCULO MORTERO'!I1467+'BLAZE SHIELD II'!$D$9)),0)+IF(AND(L1467="Blaze Shield II",M1467="Software Idiem",C1467="Cj"),((('BLAZE SHIELD II'!$H$4*('CALCULO MORTERO'!I1467^2)+'BLAZE SHIELD II'!$H$5*'CALCULO MORTERO'!I1467+'BLAZE SHIELD II'!$H$6)*LN(J1467))+('BLAZE SHIELD II'!$H$7*('CALCULO MORTERO'!I1467^2)+'BLAZE SHIELD II'!$H$8*'CALCULO MORTERO'!I1467+'BLAZE SHIELD II'!$H$9)),0)+IF(AND(L1467="Blaze Shield II",M1467="Software Idiem",C1467="C"),((('BLAZE SHIELD II'!$L$4*('CALCULO MORTERO'!I1467^2)+'BLAZE SHIELD II'!$L$5*'CALCULO MORTERO'!I1467+'BLAZE SHIELD II'!$L$6)*LN(J1467))+('BLAZE SHIELD II'!$L$7*('CALCULO MORTERO'!I1467^2)+'BLAZE SHIELD II'!$L$8*'CALCULO MORTERO'!I1467+'BLAZE SHIELD II'!$L$9)),0)+IF(AND(L1467="Blaze Shield II",M1467="Software Idiem",C1467="L"),((('BLAZE SHIELD II'!$L$4*('CALCULO MORTERO'!I1467^2)+'BLAZE SHIELD II'!$L$5*'CALCULO MORTERO'!I1467+'BLAZE SHIELD II'!$L$6)*LN(J1467))+('BLAZE SHIELD II'!$L$7*('CALCULO MORTERO'!I1467^2)+'BLAZE SHIELD II'!$L$8*'CALCULO MORTERO'!I1467+'BLAZE SHIELD II'!$L$9)),0)+IF(AND(L1467="Blaze Shield II",M1467="Software Idiem",C1467="IN",G1467=3),((('BLAZE SHIELD II'!$H$14*('CALCULO MORTERO'!I1467^2)+'BLAZE SHIELD II'!$H$15*'CALCULO MORTERO'!I1467+'BLAZE SHIELD II'!$H$16)*LN(J1467))+('BLAZE SHIELD II'!$H$17*('CALCULO MORTERO'!I1467^2)+'BLAZE SHIELD II'!$H$18*'CALCULO MORTERO'!I1467+'BLAZE SHIELD II'!$H$19)),0),0)+ROUND(IF(AND(L1467="Cafco 400",M1467="Software Idiem",C1467="IN",G1467=4),((('CAFCO 400 '!$H$7*(J1467^4)+'CAFCO 400 '!$H$8*(J1467^3)+'CAFCO 400 '!$H$9*(J1467^2)+'CAFCO 400 '!$H$10*J1467+'CAFCO 400 '!$H$11)*U1467^2)+(('CAFCO 400 '!$H$12*(J1467^3)+'CAFCO 400 '!$H$13*(J1467^2)+'CAFCO 400 '!$H$14*J1467+'CAFCO 400 '!$H$15)*U1467)+('CAFCO 400 '!$H$16*(J1467^2)+'CAFCO 400 '!$H$17*J1467+'CAFCO 400 '!$H$18)),0)+IF(AND(L1467="Cafco 400",M1467="Software Idiem",C1467="Cj"),(((('CAFCO 400 '!$D$7*LN(J1467)+'CAFCO 400 '!$D$8)*U1467^2)+(('CAFCO 400 '!$D$9*LN(J1467)+'CAFCO 400 '!$D$10)*U1467)+('CAFCO 400 '!$D$11*LN(J1467)+'CAFCO 400 '!$D$12))),0)+IF(AND(L1467="Cafco 400",M1467="Software Idiem",C1467="C"),((('CAFCO 400 '!$L$7*(J1467^3)+'CAFCO 400 '!$L$8*(J1467^2)+'CAFCO 400 '!$L$9*J1467+'CAFCO 400 '!$L$10)*U1467^2)+(('CAFCO 400 '!$L$11*(J1467^3)+'CAFCO 400 '!$L$12*(J1467^2)+'CAFCO 400 '!$L$13*J1467+'CAFCO 400 '!$L$14)*U1467)+('CAFCO 400 '!$L$15*LN(J1467)+'CAFCO 400 '!$L$16)),0)+IF(AND(L1467="Cafco 400",M1467="Software Idiem",C1467="L"),((('CAFCO 400 '!$L$7*(J1467^3)+'CAFCO 400 '!$L$8*(J1467^2)+'CAFCO 400 '!$L$9*J1467+'CAFCO 400 '!$L$10)*U1467^2)+(('CAFCO 400 '!$L$11*(J1467^3)+'CAFCO 400 '!$L$12*(J1467^2)+'CAFCO 400 '!$L$13*J1467+'CAFCO 400 '!$L$14)*U1467)+('CAFCO 400 '!$L$15*LN(J1467)+'CAFCO 400 '!$L$16)),0)+IF(AND(L1467="Cafco 400",M1467="Software Idiem",C1467="IN",G1467=3),((('CAFCO 400 '!$D$23*(J1467^2)+'CAFCO 400 '!$D$24*(J1467)+'CAFCO 400 '!$D$25)*U1467^2)+(('CAFCO 400 '!$D$26*(J1467^2)+'CAFCO 400 '!$D$27*J1467+'CAFCO 400 '!$D$28)*U1467)+('CAFCO 400 '!$D$29*(J1467^2)+'CAFCO 400 '!$D$30*J1467+'CAFCO 400 '!$D$31)),0),0)+IF(AND(L1467="Cafco 300",J1467&gt;=95,J1467&lt;=240,C1467="Cj",I1467=90),VLOOKUP(T1467,'CAFCO 300 IDIEM TABLAS'!$B$4:$D$23,2,FALSE),0)+IF(AND(L1467="Cafco 300",J1467&gt;=95,J1467&lt;=240,C1467="Cj",I1467=120),VLOOKUP(T1467,'CAFCO 300 IDIEM TABLAS'!$B$4:$D$23,3,FALSE),0)+IF(AND(L1467="Cafco 300",J1467&gt;=95,J1467&lt;=400,G1467=3,C1467="IN",I1467=90),VLOOKUP(T1467,'CAFCO 300 IDIEM TABLAS'!$F$4:$H$35,2,FALSE),0)+IF(AND(L1467="Cafco 300",J1467&gt;=95,J1467&lt;=400,G1467=3,C1467="IN",I1467=120),VLOOKUP(T1467,'CAFCO 300 IDIEM TABLAS'!$F$4:$H$35,3,FALSE),0)+IF(AND(L1467="Cafco 300",J1467&gt;=95,J1467&lt;=450,G1467=4,C1467="IN",I1467=90),VLOOKUP(T1467,'CAFCO 300 IDIEM TABLAS'!$J$4:$L$40,2,FALSE),0)+IF(AND(L1467="Cafco 300",J1467&gt;=95,J1467&lt;=450,G1467=4,C1467="IN",I1467=120),VLOOKUP(T1467,'CAFCO 300 IDIEM TABLAS'!$J$4:$L$40,3,FALSE),0)+IF(AND(M1467="Ensayo Idiem",L1467="Cafco 400",C1467="IN",G1467=4,I1467=90),VLOOKUP(T1467,'CAFCO 400 ENSAYO'!$B$7:$D$43,2,FALSE),0)+IF(AND(M1467="Ensayo Idiem",L1467="Cafco 400",C1467="IN",G1467=4,I1467=120),VLOOKUP(T1467,'CAFCO 400 ENSAYO'!$B$7:$D$43,3,FALSE),0)</f>
        <v>0</v>
      </c>
      <c r="O1467" s="96">
        <f t="shared" si="144"/>
        <v>0</v>
      </c>
      <c r="P1467" s="132" t="str">
        <f t="shared" si="145"/>
        <v>N/A</v>
      </c>
      <c r="Q1467" s="132" t="str">
        <f t="shared" si="146"/>
        <v>N/A</v>
      </c>
      <c r="R1467" s="132" t="str">
        <f t="shared" si="147"/>
        <v>NO CERT.</v>
      </c>
      <c r="S1467" s="132" t="e">
        <f t="shared" si="148"/>
        <v>#N/A</v>
      </c>
      <c r="T1467" s="133" t="e">
        <f>+IF(J1467=LOOKUP(J1467,'CAFCO 300 IDIEM TABLAS'!$J$4:$J$40),'CALCULO MORTERO'!J1467,MROUND('CALCULO MORTERO'!J1467,10))</f>
        <v>#N/A</v>
      </c>
      <c r="U1467" s="134">
        <f t="shared" si="149"/>
        <v>0</v>
      </c>
    </row>
    <row r="1468" spans="1:21" x14ac:dyDescent="0.25">
      <c r="A1468" s="118">
        <f>+CUBICACION!D1462</f>
        <v>0</v>
      </c>
      <c r="B1468" s="819">
        <f>+CUBICACION!E1462</f>
        <v>0</v>
      </c>
      <c r="C1468" s="675">
        <f>+CUBICACION!F1462</f>
        <v>0</v>
      </c>
      <c r="D1468" s="118"/>
      <c r="E1468" s="118"/>
      <c r="F1468" s="820"/>
      <c r="G1468" s="675">
        <f>+CUBICACION!J1462</f>
        <v>0</v>
      </c>
      <c r="H1468" s="118"/>
      <c r="I1468" s="821">
        <f>+CUBICACION!L1462</f>
        <v>0</v>
      </c>
      <c r="J1468" s="64">
        <f>+CUBICACION!M1462</f>
        <v>0</v>
      </c>
      <c r="K1468" s="822" t="str">
        <f>+CUBICACION!N1462</f>
        <v/>
      </c>
      <c r="L1468" s="118">
        <f>+CUBICACION!O1462</f>
        <v>0</v>
      </c>
      <c r="M1468" s="823">
        <f>+CUBICACION!P1462</f>
        <v>0</v>
      </c>
      <c r="N1468" s="902">
        <f>ROUND(IF(AND(L1468="Blaze Shield II",M1468="Software Idiem",C1468="IN",G1468=4),((('BLAZE SHIELD II'!$D$4*('CALCULO MORTERO'!I1468^2)+'BLAZE SHIELD II'!$D$5*'CALCULO MORTERO'!I1468+'BLAZE SHIELD II'!$D$6)*LN(J1468))+('BLAZE SHIELD II'!$D$7*('CALCULO MORTERO'!I1468^2)+'BLAZE SHIELD II'!$D$8*'CALCULO MORTERO'!I1468+'BLAZE SHIELD II'!$D$9)),0)+IF(AND(L1468="Blaze Shield II",M1468="Software Idiem",C1468="Cj"),((('BLAZE SHIELD II'!$H$4*('CALCULO MORTERO'!I1468^2)+'BLAZE SHIELD II'!$H$5*'CALCULO MORTERO'!I1468+'BLAZE SHIELD II'!$H$6)*LN(J1468))+('BLAZE SHIELD II'!$H$7*('CALCULO MORTERO'!I1468^2)+'BLAZE SHIELD II'!$H$8*'CALCULO MORTERO'!I1468+'BLAZE SHIELD II'!$H$9)),0)+IF(AND(L1468="Blaze Shield II",M1468="Software Idiem",C1468="C"),((('BLAZE SHIELD II'!$L$4*('CALCULO MORTERO'!I1468^2)+'BLAZE SHIELD II'!$L$5*'CALCULO MORTERO'!I1468+'BLAZE SHIELD II'!$L$6)*LN(J1468))+('BLAZE SHIELD II'!$L$7*('CALCULO MORTERO'!I1468^2)+'BLAZE SHIELD II'!$L$8*'CALCULO MORTERO'!I1468+'BLAZE SHIELD II'!$L$9)),0)+IF(AND(L1468="Blaze Shield II",M1468="Software Idiem",C1468="L"),((('BLAZE SHIELD II'!$L$4*('CALCULO MORTERO'!I1468^2)+'BLAZE SHIELD II'!$L$5*'CALCULO MORTERO'!I1468+'BLAZE SHIELD II'!$L$6)*LN(J1468))+('BLAZE SHIELD II'!$L$7*('CALCULO MORTERO'!I1468^2)+'BLAZE SHIELD II'!$L$8*'CALCULO MORTERO'!I1468+'BLAZE SHIELD II'!$L$9)),0)+IF(AND(L1468="Blaze Shield II",M1468="Software Idiem",C1468="IN",G1468=3),((('BLAZE SHIELD II'!$H$14*('CALCULO MORTERO'!I1468^2)+'BLAZE SHIELD II'!$H$15*'CALCULO MORTERO'!I1468+'BLAZE SHIELD II'!$H$16)*LN(J1468))+('BLAZE SHIELD II'!$H$17*('CALCULO MORTERO'!I1468^2)+'BLAZE SHIELD II'!$H$18*'CALCULO MORTERO'!I1468+'BLAZE SHIELD II'!$H$19)),0),0)+ROUND(IF(AND(L1468="Cafco 400",M1468="Software Idiem",C1468="IN",G1468=4),((('CAFCO 400 '!$H$7*(J1468^4)+'CAFCO 400 '!$H$8*(J1468^3)+'CAFCO 400 '!$H$9*(J1468^2)+'CAFCO 400 '!$H$10*J1468+'CAFCO 400 '!$H$11)*U1468^2)+(('CAFCO 400 '!$H$12*(J1468^3)+'CAFCO 400 '!$H$13*(J1468^2)+'CAFCO 400 '!$H$14*J1468+'CAFCO 400 '!$H$15)*U1468)+('CAFCO 400 '!$H$16*(J1468^2)+'CAFCO 400 '!$H$17*J1468+'CAFCO 400 '!$H$18)),0)+IF(AND(L1468="Cafco 400",M1468="Software Idiem",C1468="Cj"),(((('CAFCO 400 '!$D$7*LN(J1468)+'CAFCO 400 '!$D$8)*U1468^2)+(('CAFCO 400 '!$D$9*LN(J1468)+'CAFCO 400 '!$D$10)*U1468)+('CAFCO 400 '!$D$11*LN(J1468)+'CAFCO 400 '!$D$12))),0)+IF(AND(L1468="Cafco 400",M1468="Software Idiem",C1468="C"),((('CAFCO 400 '!$L$7*(J1468^3)+'CAFCO 400 '!$L$8*(J1468^2)+'CAFCO 400 '!$L$9*J1468+'CAFCO 400 '!$L$10)*U1468^2)+(('CAFCO 400 '!$L$11*(J1468^3)+'CAFCO 400 '!$L$12*(J1468^2)+'CAFCO 400 '!$L$13*J1468+'CAFCO 400 '!$L$14)*U1468)+('CAFCO 400 '!$L$15*LN(J1468)+'CAFCO 400 '!$L$16)),0)+IF(AND(L1468="Cafco 400",M1468="Software Idiem",C1468="L"),((('CAFCO 400 '!$L$7*(J1468^3)+'CAFCO 400 '!$L$8*(J1468^2)+'CAFCO 400 '!$L$9*J1468+'CAFCO 400 '!$L$10)*U1468^2)+(('CAFCO 400 '!$L$11*(J1468^3)+'CAFCO 400 '!$L$12*(J1468^2)+'CAFCO 400 '!$L$13*J1468+'CAFCO 400 '!$L$14)*U1468)+('CAFCO 400 '!$L$15*LN(J1468)+'CAFCO 400 '!$L$16)),0)+IF(AND(L1468="Cafco 400",M1468="Software Idiem",C1468="IN",G1468=3),((('CAFCO 400 '!$D$23*(J1468^2)+'CAFCO 400 '!$D$24*(J1468)+'CAFCO 400 '!$D$25)*U1468^2)+(('CAFCO 400 '!$D$26*(J1468^2)+'CAFCO 400 '!$D$27*J1468+'CAFCO 400 '!$D$28)*U1468)+('CAFCO 400 '!$D$29*(J1468^2)+'CAFCO 400 '!$D$30*J1468+'CAFCO 400 '!$D$31)),0),0)+IF(AND(L1468="Cafco 300",J1468&gt;=95,J1468&lt;=240,C1468="Cj",I1468=90),VLOOKUP(T1468,'CAFCO 300 IDIEM TABLAS'!$B$4:$D$23,2,FALSE),0)+IF(AND(L1468="Cafco 300",J1468&gt;=95,J1468&lt;=240,C1468="Cj",I1468=120),VLOOKUP(T1468,'CAFCO 300 IDIEM TABLAS'!$B$4:$D$23,3,FALSE),0)+IF(AND(L1468="Cafco 300",J1468&gt;=95,J1468&lt;=400,G1468=3,C1468="IN",I1468=90),VLOOKUP(T1468,'CAFCO 300 IDIEM TABLAS'!$F$4:$H$35,2,FALSE),0)+IF(AND(L1468="Cafco 300",J1468&gt;=95,J1468&lt;=400,G1468=3,C1468="IN",I1468=120),VLOOKUP(T1468,'CAFCO 300 IDIEM TABLAS'!$F$4:$H$35,3,FALSE),0)+IF(AND(L1468="Cafco 300",J1468&gt;=95,J1468&lt;=450,G1468=4,C1468="IN",I1468=90),VLOOKUP(T1468,'CAFCO 300 IDIEM TABLAS'!$J$4:$L$40,2,FALSE),0)+IF(AND(L1468="Cafco 300",J1468&gt;=95,J1468&lt;=450,G1468=4,C1468="IN",I1468=120),VLOOKUP(T1468,'CAFCO 300 IDIEM TABLAS'!$J$4:$L$40,3,FALSE),0)+IF(AND(M1468="Ensayo Idiem",L1468="Cafco 400",C1468="IN",G1468=4,I1468=90),VLOOKUP(T1468,'CAFCO 400 ENSAYO'!$B$7:$D$43,2,FALSE),0)+IF(AND(M1468="Ensayo Idiem",L1468="Cafco 400",C1468="IN",G1468=4,I1468=120),VLOOKUP(T1468,'CAFCO 400 ENSAYO'!$B$7:$D$43,3,FALSE),0)</f>
        <v>0</v>
      </c>
      <c r="O1468" s="96">
        <f t="shared" si="144"/>
        <v>0</v>
      </c>
      <c r="P1468" s="95" t="str">
        <f t="shared" si="145"/>
        <v>N/A</v>
      </c>
      <c r="Q1468" s="95" t="str">
        <f t="shared" si="146"/>
        <v>N/A</v>
      </c>
      <c r="R1468" s="95" t="str">
        <f t="shared" si="147"/>
        <v>NO CERT.</v>
      </c>
      <c r="S1468" s="95" t="e">
        <f t="shared" si="148"/>
        <v>#N/A</v>
      </c>
      <c r="T1468" s="119" t="e">
        <f>+IF(J1468=LOOKUP(J1468,'CAFCO 300 IDIEM TABLAS'!$J$4:$J$40),'CALCULO MORTERO'!J1468,MROUND('CALCULO MORTERO'!J1468,10))</f>
        <v>#N/A</v>
      </c>
      <c r="U1468" s="118">
        <f t="shared" si="149"/>
        <v>0</v>
      </c>
    </row>
    <row r="1469" spans="1:21" x14ac:dyDescent="0.25">
      <c r="A1469" s="118">
        <f>+CUBICACION!D1463</f>
        <v>0</v>
      </c>
      <c r="B1469" s="819">
        <f>+CUBICACION!E1463</f>
        <v>0</v>
      </c>
      <c r="C1469" s="675">
        <f>+CUBICACION!F1463</f>
        <v>0</v>
      </c>
      <c r="D1469" s="118"/>
      <c r="E1469" s="118"/>
      <c r="F1469" s="820"/>
      <c r="G1469" s="675">
        <f>+CUBICACION!J1463</f>
        <v>0</v>
      </c>
      <c r="H1469" s="118"/>
      <c r="I1469" s="821">
        <f>+CUBICACION!L1463</f>
        <v>0</v>
      </c>
      <c r="J1469" s="64">
        <f>+CUBICACION!M1463</f>
        <v>0</v>
      </c>
      <c r="K1469" s="822" t="str">
        <f>+CUBICACION!N1463</f>
        <v/>
      </c>
      <c r="L1469" s="118">
        <f>+CUBICACION!O1463</f>
        <v>0</v>
      </c>
      <c r="M1469" s="823">
        <f>+CUBICACION!P1463</f>
        <v>0</v>
      </c>
      <c r="N1469" s="902">
        <f>ROUND(IF(AND(L1469="Blaze Shield II",M1469="Software Idiem",C1469="IN",G1469=4),((('BLAZE SHIELD II'!$D$4*('CALCULO MORTERO'!I1469^2)+'BLAZE SHIELD II'!$D$5*'CALCULO MORTERO'!I1469+'BLAZE SHIELD II'!$D$6)*LN(J1469))+('BLAZE SHIELD II'!$D$7*('CALCULO MORTERO'!I1469^2)+'BLAZE SHIELD II'!$D$8*'CALCULO MORTERO'!I1469+'BLAZE SHIELD II'!$D$9)),0)+IF(AND(L1469="Blaze Shield II",M1469="Software Idiem",C1469="Cj"),((('BLAZE SHIELD II'!$H$4*('CALCULO MORTERO'!I1469^2)+'BLAZE SHIELD II'!$H$5*'CALCULO MORTERO'!I1469+'BLAZE SHIELD II'!$H$6)*LN(J1469))+('BLAZE SHIELD II'!$H$7*('CALCULO MORTERO'!I1469^2)+'BLAZE SHIELD II'!$H$8*'CALCULO MORTERO'!I1469+'BLAZE SHIELD II'!$H$9)),0)+IF(AND(L1469="Blaze Shield II",M1469="Software Idiem",C1469="C"),((('BLAZE SHIELD II'!$L$4*('CALCULO MORTERO'!I1469^2)+'BLAZE SHIELD II'!$L$5*'CALCULO MORTERO'!I1469+'BLAZE SHIELD II'!$L$6)*LN(J1469))+('BLAZE SHIELD II'!$L$7*('CALCULO MORTERO'!I1469^2)+'BLAZE SHIELD II'!$L$8*'CALCULO MORTERO'!I1469+'BLAZE SHIELD II'!$L$9)),0)+IF(AND(L1469="Blaze Shield II",M1469="Software Idiem",C1469="L"),((('BLAZE SHIELD II'!$L$4*('CALCULO MORTERO'!I1469^2)+'BLAZE SHIELD II'!$L$5*'CALCULO MORTERO'!I1469+'BLAZE SHIELD II'!$L$6)*LN(J1469))+('BLAZE SHIELD II'!$L$7*('CALCULO MORTERO'!I1469^2)+'BLAZE SHIELD II'!$L$8*'CALCULO MORTERO'!I1469+'BLAZE SHIELD II'!$L$9)),0)+IF(AND(L1469="Blaze Shield II",M1469="Software Idiem",C1469="IN",G1469=3),((('BLAZE SHIELD II'!$H$14*('CALCULO MORTERO'!I1469^2)+'BLAZE SHIELD II'!$H$15*'CALCULO MORTERO'!I1469+'BLAZE SHIELD II'!$H$16)*LN(J1469))+('BLAZE SHIELD II'!$H$17*('CALCULO MORTERO'!I1469^2)+'BLAZE SHIELD II'!$H$18*'CALCULO MORTERO'!I1469+'BLAZE SHIELD II'!$H$19)),0),0)+ROUND(IF(AND(L1469="Cafco 400",M1469="Software Idiem",C1469="IN",G1469=4),((('CAFCO 400 '!$H$7*(J1469^4)+'CAFCO 400 '!$H$8*(J1469^3)+'CAFCO 400 '!$H$9*(J1469^2)+'CAFCO 400 '!$H$10*J1469+'CAFCO 400 '!$H$11)*U1469^2)+(('CAFCO 400 '!$H$12*(J1469^3)+'CAFCO 400 '!$H$13*(J1469^2)+'CAFCO 400 '!$H$14*J1469+'CAFCO 400 '!$H$15)*U1469)+('CAFCO 400 '!$H$16*(J1469^2)+'CAFCO 400 '!$H$17*J1469+'CAFCO 400 '!$H$18)),0)+IF(AND(L1469="Cafco 400",M1469="Software Idiem",C1469="Cj"),(((('CAFCO 400 '!$D$7*LN(J1469)+'CAFCO 400 '!$D$8)*U1469^2)+(('CAFCO 400 '!$D$9*LN(J1469)+'CAFCO 400 '!$D$10)*U1469)+('CAFCO 400 '!$D$11*LN(J1469)+'CAFCO 400 '!$D$12))),0)+IF(AND(L1469="Cafco 400",M1469="Software Idiem",C1469="C"),((('CAFCO 400 '!$L$7*(J1469^3)+'CAFCO 400 '!$L$8*(J1469^2)+'CAFCO 400 '!$L$9*J1469+'CAFCO 400 '!$L$10)*U1469^2)+(('CAFCO 400 '!$L$11*(J1469^3)+'CAFCO 400 '!$L$12*(J1469^2)+'CAFCO 400 '!$L$13*J1469+'CAFCO 400 '!$L$14)*U1469)+('CAFCO 400 '!$L$15*LN(J1469)+'CAFCO 400 '!$L$16)),0)+IF(AND(L1469="Cafco 400",M1469="Software Idiem",C1469="L"),((('CAFCO 400 '!$L$7*(J1469^3)+'CAFCO 400 '!$L$8*(J1469^2)+'CAFCO 400 '!$L$9*J1469+'CAFCO 400 '!$L$10)*U1469^2)+(('CAFCO 400 '!$L$11*(J1469^3)+'CAFCO 400 '!$L$12*(J1469^2)+'CAFCO 400 '!$L$13*J1469+'CAFCO 400 '!$L$14)*U1469)+('CAFCO 400 '!$L$15*LN(J1469)+'CAFCO 400 '!$L$16)),0)+IF(AND(L1469="Cafco 400",M1469="Software Idiem",C1469="IN",G1469=3),((('CAFCO 400 '!$D$23*(J1469^2)+'CAFCO 400 '!$D$24*(J1469)+'CAFCO 400 '!$D$25)*U1469^2)+(('CAFCO 400 '!$D$26*(J1469^2)+'CAFCO 400 '!$D$27*J1469+'CAFCO 400 '!$D$28)*U1469)+('CAFCO 400 '!$D$29*(J1469^2)+'CAFCO 400 '!$D$30*J1469+'CAFCO 400 '!$D$31)),0),0)+IF(AND(L1469="Cafco 300",J1469&gt;=95,J1469&lt;=240,C1469="Cj",I1469=90),VLOOKUP(T1469,'CAFCO 300 IDIEM TABLAS'!$B$4:$D$23,2,FALSE),0)+IF(AND(L1469="Cafco 300",J1469&gt;=95,J1469&lt;=240,C1469="Cj",I1469=120),VLOOKUP(T1469,'CAFCO 300 IDIEM TABLAS'!$B$4:$D$23,3,FALSE),0)+IF(AND(L1469="Cafco 300",J1469&gt;=95,J1469&lt;=400,G1469=3,C1469="IN",I1469=90),VLOOKUP(T1469,'CAFCO 300 IDIEM TABLAS'!$F$4:$H$35,2,FALSE),0)+IF(AND(L1469="Cafco 300",J1469&gt;=95,J1469&lt;=400,G1469=3,C1469="IN",I1469=120),VLOOKUP(T1469,'CAFCO 300 IDIEM TABLAS'!$F$4:$H$35,3,FALSE),0)+IF(AND(L1469="Cafco 300",J1469&gt;=95,J1469&lt;=450,G1469=4,C1469="IN",I1469=90),VLOOKUP(T1469,'CAFCO 300 IDIEM TABLAS'!$J$4:$L$40,2,FALSE),0)+IF(AND(L1469="Cafco 300",J1469&gt;=95,J1469&lt;=450,G1469=4,C1469="IN",I1469=120),VLOOKUP(T1469,'CAFCO 300 IDIEM TABLAS'!$J$4:$L$40,3,FALSE),0)+IF(AND(M1469="Ensayo Idiem",L1469="Cafco 400",C1469="IN",G1469=4,I1469=90),VLOOKUP(T1469,'CAFCO 400 ENSAYO'!$B$7:$D$43,2,FALSE),0)+IF(AND(M1469="Ensayo Idiem",L1469="Cafco 400",C1469="IN",G1469=4,I1469=120),VLOOKUP(T1469,'CAFCO 400 ENSAYO'!$B$7:$D$43,3,FALSE),0)</f>
        <v>0</v>
      </c>
      <c r="O1469" s="96">
        <f t="shared" si="144"/>
        <v>0</v>
      </c>
      <c r="P1469" s="132" t="str">
        <f t="shared" si="145"/>
        <v>N/A</v>
      </c>
      <c r="Q1469" s="132" t="str">
        <f t="shared" si="146"/>
        <v>N/A</v>
      </c>
      <c r="R1469" s="132" t="str">
        <f t="shared" si="147"/>
        <v>NO CERT.</v>
      </c>
      <c r="S1469" s="132" t="e">
        <f t="shared" si="148"/>
        <v>#N/A</v>
      </c>
      <c r="T1469" s="133" t="e">
        <f>+IF(J1469=LOOKUP(J1469,'CAFCO 300 IDIEM TABLAS'!$J$4:$J$40),'CALCULO MORTERO'!J1469,MROUND('CALCULO MORTERO'!J1469,10))</f>
        <v>#N/A</v>
      </c>
      <c r="U1469" s="134">
        <f t="shared" si="149"/>
        <v>0</v>
      </c>
    </row>
    <row r="1470" spans="1:21" x14ac:dyDescent="0.25">
      <c r="A1470" s="118">
        <f>+CUBICACION!D1464</f>
        <v>0</v>
      </c>
      <c r="B1470" s="819">
        <f>+CUBICACION!E1464</f>
        <v>0</v>
      </c>
      <c r="C1470" s="675">
        <f>+CUBICACION!F1464</f>
        <v>0</v>
      </c>
      <c r="D1470" s="118"/>
      <c r="E1470" s="118"/>
      <c r="F1470" s="820"/>
      <c r="G1470" s="675">
        <f>+CUBICACION!J1464</f>
        <v>0</v>
      </c>
      <c r="H1470" s="118"/>
      <c r="I1470" s="821">
        <f>+CUBICACION!L1464</f>
        <v>0</v>
      </c>
      <c r="J1470" s="64">
        <f>+CUBICACION!M1464</f>
        <v>0</v>
      </c>
      <c r="K1470" s="822" t="str">
        <f>+CUBICACION!N1464</f>
        <v/>
      </c>
      <c r="L1470" s="118">
        <f>+CUBICACION!O1464</f>
        <v>0</v>
      </c>
      <c r="M1470" s="823">
        <f>+CUBICACION!P1464</f>
        <v>0</v>
      </c>
      <c r="N1470" s="902">
        <f>ROUND(IF(AND(L1470="Blaze Shield II",M1470="Software Idiem",C1470="IN",G1470=4),((('BLAZE SHIELD II'!$D$4*('CALCULO MORTERO'!I1470^2)+'BLAZE SHIELD II'!$D$5*'CALCULO MORTERO'!I1470+'BLAZE SHIELD II'!$D$6)*LN(J1470))+('BLAZE SHIELD II'!$D$7*('CALCULO MORTERO'!I1470^2)+'BLAZE SHIELD II'!$D$8*'CALCULO MORTERO'!I1470+'BLAZE SHIELD II'!$D$9)),0)+IF(AND(L1470="Blaze Shield II",M1470="Software Idiem",C1470="Cj"),((('BLAZE SHIELD II'!$H$4*('CALCULO MORTERO'!I1470^2)+'BLAZE SHIELD II'!$H$5*'CALCULO MORTERO'!I1470+'BLAZE SHIELD II'!$H$6)*LN(J1470))+('BLAZE SHIELD II'!$H$7*('CALCULO MORTERO'!I1470^2)+'BLAZE SHIELD II'!$H$8*'CALCULO MORTERO'!I1470+'BLAZE SHIELD II'!$H$9)),0)+IF(AND(L1470="Blaze Shield II",M1470="Software Idiem",C1470="C"),((('BLAZE SHIELD II'!$L$4*('CALCULO MORTERO'!I1470^2)+'BLAZE SHIELD II'!$L$5*'CALCULO MORTERO'!I1470+'BLAZE SHIELD II'!$L$6)*LN(J1470))+('BLAZE SHIELD II'!$L$7*('CALCULO MORTERO'!I1470^2)+'BLAZE SHIELD II'!$L$8*'CALCULO MORTERO'!I1470+'BLAZE SHIELD II'!$L$9)),0)+IF(AND(L1470="Blaze Shield II",M1470="Software Idiem",C1470="L"),((('BLAZE SHIELD II'!$L$4*('CALCULO MORTERO'!I1470^2)+'BLAZE SHIELD II'!$L$5*'CALCULO MORTERO'!I1470+'BLAZE SHIELD II'!$L$6)*LN(J1470))+('BLAZE SHIELD II'!$L$7*('CALCULO MORTERO'!I1470^2)+'BLAZE SHIELD II'!$L$8*'CALCULO MORTERO'!I1470+'BLAZE SHIELD II'!$L$9)),0)+IF(AND(L1470="Blaze Shield II",M1470="Software Idiem",C1470="IN",G1470=3),((('BLAZE SHIELD II'!$H$14*('CALCULO MORTERO'!I1470^2)+'BLAZE SHIELD II'!$H$15*'CALCULO MORTERO'!I1470+'BLAZE SHIELD II'!$H$16)*LN(J1470))+('BLAZE SHIELD II'!$H$17*('CALCULO MORTERO'!I1470^2)+'BLAZE SHIELD II'!$H$18*'CALCULO MORTERO'!I1470+'BLAZE SHIELD II'!$H$19)),0),0)+ROUND(IF(AND(L1470="Cafco 400",M1470="Software Idiem",C1470="IN",G1470=4),((('CAFCO 400 '!$H$7*(J1470^4)+'CAFCO 400 '!$H$8*(J1470^3)+'CAFCO 400 '!$H$9*(J1470^2)+'CAFCO 400 '!$H$10*J1470+'CAFCO 400 '!$H$11)*U1470^2)+(('CAFCO 400 '!$H$12*(J1470^3)+'CAFCO 400 '!$H$13*(J1470^2)+'CAFCO 400 '!$H$14*J1470+'CAFCO 400 '!$H$15)*U1470)+('CAFCO 400 '!$H$16*(J1470^2)+'CAFCO 400 '!$H$17*J1470+'CAFCO 400 '!$H$18)),0)+IF(AND(L1470="Cafco 400",M1470="Software Idiem",C1470="Cj"),(((('CAFCO 400 '!$D$7*LN(J1470)+'CAFCO 400 '!$D$8)*U1470^2)+(('CAFCO 400 '!$D$9*LN(J1470)+'CAFCO 400 '!$D$10)*U1470)+('CAFCO 400 '!$D$11*LN(J1470)+'CAFCO 400 '!$D$12))),0)+IF(AND(L1470="Cafco 400",M1470="Software Idiem",C1470="C"),((('CAFCO 400 '!$L$7*(J1470^3)+'CAFCO 400 '!$L$8*(J1470^2)+'CAFCO 400 '!$L$9*J1470+'CAFCO 400 '!$L$10)*U1470^2)+(('CAFCO 400 '!$L$11*(J1470^3)+'CAFCO 400 '!$L$12*(J1470^2)+'CAFCO 400 '!$L$13*J1470+'CAFCO 400 '!$L$14)*U1470)+('CAFCO 400 '!$L$15*LN(J1470)+'CAFCO 400 '!$L$16)),0)+IF(AND(L1470="Cafco 400",M1470="Software Idiem",C1470="L"),((('CAFCO 400 '!$L$7*(J1470^3)+'CAFCO 400 '!$L$8*(J1470^2)+'CAFCO 400 '!$L$9*J1470+'CAFCO 400 '!$L$10)*U1470^2)+(('CAFCO 400 '!$L$11*(J1470^3)+'CAFCO 400 '!$L$12*(J1470^2)+'CAFCO 400 '!$L$13*J1470+'CAFCO 400 '!$L$14)*U1470)+('CAFCO 400 '!$L$15*LN(J1470)+'CAFCO 400 '!$L$16)),0)+IF(AND(L1470="Cafco 400",M1470="Software Idiem",C1470="IN",G1470=3),((('CAFCO 400 '!$D$23*(J1470^2)+'CAFCO 400 '!$D$24*(J1470)+'CAFCO 400 '!$D$25)*U1470^2)+(('CAFCO 400 '!$D$26*(J1470^2)+'CAFCO 400 '!$D$27*J1470+'CAFCO 400 '!$D$28)*U1470)+('CAFCO 400 '!$D$29*(J1470^2)+'CAFCO 400 '!$D$30*J1470+'CAFCO 400 '!$D$31)),0),0)+IF(AND(L1470="Cafco 300",J1470&gt;=95,J1470&lt;=240,C1470="Cj",I1470=90),VLOOKUP(T1470,'CAFCO 300 IDIEM TABLAS'!$B$4:$D$23,2,FALSE),0)+IF(AND(L1470="Cafco 300",J1470&gt;=95,J1470&lt;=240,C1470="Cj",I1470=120),VLOOKUP(T1470,'CAFCO 300 IDIEM TABLAS'!$B$4:$D$23,3,FALSE),0)+IF(AND(L1470="Cafco 300",J1470&gt;=95,J1470&lt;=400,G1470=3,C1470="IN",I1470=90),VLOOKUP(T1470,'CAFCO 300 IDIEM TABLAS'!$F$4:$H$35,2,FALSE),0)+IF(AND(L1470="Cafco 300",J1470&gt;=95,J1470&lt;=400,G1470=3,C1470="IN",I1470=120),VLOOKUP(T1470,'CAFCO 300 IDIEM TABLAS'!$F$4:$H$35,3,FALSE),0)+IF(AND(L1470="Cafco 300",J1470&gt;=95,J1470&lt;=450,G1470=4,C1470="IN",I1470=90),VLOOKUP(T1470,'CAFCO 300 IDIEM TABLAS'!$J$4:$L$40,2,FALSE),0)+IF(AND(L1470="Cafco 300",J1470&gt;=95,J1470&lt;=450,G1470=4,C1470="IN",I1470=120),VLOOKUP(T1470,'CAFCO 300 IDIEM TABLAS'!$J$4:$L$40,3,FALSE),0)+IF(AND(M1470="Ensayo Idiem",L1470="Cafco 400",C1470="IN",G1470=4,I1470=90),VLOOKUP(T1470,'CAFCO 400 ENSAYO'!$B$7:$D$43,2,FALSE),0)+IF(AND(M1470="Ensayo Idiem",L1470="Cafco 400",C1470="IN",G1470=4,I1470=120),VLOOKUP(T1470,'CAFCO 400 ENSAYO'!$B$7:$D$43,3,FALSE),0)</f>
        <v>0</v>
      </c>
      <c r="O1470" s="96">
        <f t="shared" si="144"/>
        <v>0</v>
      </c>
      <c r="P1470" s="95" t="str">
        <f t="shared" si="145"/>
        <v>N/A</v>
      </c>
      <c r="Q1470" s="95" t="str">
        <f t="shared" si="146"/>
        <v>N/A</v>
      </c>
      <c r="R1470" s="95" t="str">
        <f t="shared" si="147"/>
        <v>NO CERT.</v>
      </c>
      <c r="S1470" s="95" t="e">
        <f t="shared" si="148"/>
        <v>#N/A</v>
      </c>
      <c r="T1470" s="119" t="e">
        <f>+IF(J1470=LOOKUP(J1470,'CAFCO 300 IDIEM TABLAS'!$J$4:$J$40),'CALCULO MORTERO'!J1470,MROUND('CALCULO MORTERO'!J1470,10))</f>
        <v>#N/A</v>
      </c>
      <c r="U1470" s="118">
        <f t="shared" si="149"/>
        <v>0</v>
      </c>
    </row>
    <row r="1471" spans="1:21" x14ac:dyDescent="0.25">
      <c r="A1471" s="118">
        <f>+CUBICACION!D1465</f>
        <v>0</v>
      </c>
      <c r="B1471" s="819">
        <f>+CUBICACION!E1465</f>
        <v>0</v>
      </c>
      <c r="C1471" s="675">
        <f>+CUBICACION!F1465</f>
        <v>0</v>
      </c>
      <c r="D1471" s="118"/>
      <c r="E1471" s="118"/>
      <c r="F1471" s="820"/>
      <c r="G1471" s="675">
        <f>+CUBICACION!J1465</f>
        <v>0</v>
      </c>
      <c r="H1471" s="118"/>
      <c r="I1471" s="821">
        <f>+CUBICACION!L1465</f>
        <v>0</v>
      </c>
      <c r="J1471" s="64">
        <f>+CUBICACION!M1465</f>
        <v>0</v>
      </c>
      <c r="K1471" s="822" t="str">
        <f>+CUBICACION!N1465</f>
        <v/>
      </c>
      <c r="L1471" s="118">
        <f>+CUBICACION!O1465</f>
        <v>0</v>
      </c>
      <c r="M1471" s="823">
        <f>+CUBICACION!P1465</f>
        <v>0</v>
      </c>
      <c r="N1471" s="902">
        <f>ROUND(IF(AND(L1471="Blaze Shield II",M1471="Software Idiem",C1471="IN",G1471=4),((('BLAZE SHIELD II'!$D$4*('CALCULO MORTERO'!I1471^2)+'BLAZE SHIELD II'!$D$5*'CALCULO MORTERO'!I1471+'BLAZE SHIELD II'!$D$6)*LN(J1471))+('BLAZE SHIELD II'!$D$7*('CALCULO MORTERO'!I1471^2)+'BLAZE SHIELD II'!$D$8*'CALCULO MORTERO'!I1471+'BLAZE SHIELD II'!$D$9)),0)+IF(AND(L1471="Blaze Shield II",M1471="Software Idiem",C1471="Cj"),((('BLAZE SHIELD II'!$H$4*('CALCULO MORTERO'!I1471^2)+'BLAZE SHIELD II'!$H$5*'CALCULO MORTERO'!I1471+'BLAZE SHIELD II'!$H$6)*LN(J1471))+('BLAZE SHIELD II'!$H$7*('CALCULO MORTERO'!I1471^2)+'BLAZE SHIELD II'!$H$8*'CALCULO MORTERO'!I1471+'BLAZE SHIELD II'!$H$9)),0)+IF(AND(L1471="Blaze Shield II",M1471="Software Idiem",C1471="C"),((('BLAZE SHIELD II'!$L$4*('CALCULO MORTERO'!I1471^2)+'BLAZE SHIELD II'!$L$5*'CALCULO MORTERO'!I1471+'BLAZE SHIELD II'!$L$6)*LN(J1471))+('BLAZE SHIELD II'!$L$7*('CALCULO MORTERO'!I1471^2)+'BLAZE SHIELD II'!$L$8*'CALCULO MORTERO'!I1471+'BLAZE SHIELD II'!$L$9)),0)+IF(AND(L1471="Blaze Shield II",M1471="Software Idiem",C1471="L"),((('BLAZE SHIELD II'!$L$4*('CALCULO MORTERO'!I1471^2)+'BLAZE SHIELD II'!$L$5*'CALCULO MORTERO'!I1471+'BLAZE SHIELD II'!$L$6)*LN(J1471))+('BLAZE SHIELD II'!$L$7*('CALCULO MORTERO'!I1471^2)+'BLAZE SHIELD II'!$L$8*'CALCULO MORTERO'!I1471+'BLAZE SHIELD II'!$L$9)),0)+IF(AND(L1471="Blaze Shield II",M1471="Software Idiem",C1471="IN",G1471=3),((('BLAZE SHIELD II'!$H$14*('CALCULO MORTERO'!I1471^2)+'BLAZE SHIELD II'!$H$15*'CALCULO MORTERO'!I1471+'BLAZE SHIELD II'!$H$16)*LN(J1471))+('BLAZE SHIELD II'!$H$17*('CALCULO MORTERO'!I1471^2)+'BLAZE SHIELD II'!$H$18*'CALCULO MORTERO'!I1471+'BLAZE SHIELD II'!$H$19)),0),0)+ROUND(IF(AND(L1471="Cafco 400",M1471="Software Idiem",C1471="IN",G1471=4),((('CAFCO 400 '!$H$7*(J1471^4)+'CAFCO 400 '!$H$8*(J1471^3)+'CAFCO 400 '!$H$9*(J1471^2)+'CAFCO 400 '!$H$10*J1471+'CAFCO 400 '!$H$11)*U1471^2)+(('CAFCO 400 '!$H$12*(J1471^3)+'CAFCO 400 '!$H$13*(J1471^2)+'CAFCO 400 '!$H$14*J1471+'CAFCO 400 '!$H$15)*U1471)+('CAFCO 400 '!$H$16*(J1471^2)+'CAFCO 400 '!$H$17*J1471+'CAFCO 400 '!$H$18)),0)+IF(AND(L1471="Cafco 400",M1471="Software Idiem",C1471="Cj"),(((('CAFCO 400 '!$D$7*LN(J1471)+'CAFCO 400 '!$D$8)*U1471^2)+(('CAFCO 400 '!$D$9*LN(J1471)+'CAFCO 400 '!$D$10)*U1471)+('CAFCO 400 '!$D$11*LN(J1471)+'CAFCO 400 '!$D$12))),0)+IF(AND(L1471="Cafco 400",M1471="Software Idiem",C1471="C"),((('CAFCO 400 '!$L$7*(J1471^3)+'CAFCO 400 '!$L$8*(J1471^2)+'CAFCO 400 '!$L$9*J1471+'CAFCO 400 '!$L$10)*U1471^2)+(('CAFCO 400 '!$L$11*(J1471^3)+'CAFCO 400 '!$L$12*(J1471^2)+'CAFCO 400 '!$L$13*J1471+'CAFCO 400 '!$L$14)*U1471)+('CAFCO 400 '!$L$15*LN(J1471)+'CAFCO 400 '!$L$16)),0)+IF(AND(L1471="Cafco 400",M1471="Software Idiem",C1471="L"),((('CAFCO 400 '!$L$7*(J1471^3)+'CAFCO 400 '!$L$8*(J1471^2)+'CAFCO 400 '!$L$9*J1471+'CAFCO 400 '!$L$10)*U1471^2)+(('CAFCO 400 '!$L$11*(J1471^3)+'CAFCO 400 '!$L$12*(J1471^2)+'CAFCO 400 '!$L$13*J1471+'CAFCO 400 '!$L$14)*U1471)+('CAFCO 400 '!$L$15*LN(J1471)+'CAFCO 400 '!$L$16)),0)+IF(AND(L1471="Cafco 400",M1471="Software Idiem",C1471="IN",G1471=3),((('CAFCO 400 '!$D$23*(J1471^2)+'CAFCO 400 '!$D$24*(J1471)+'CAFCO 400 '!$D$25)*U1471^2)+(('CAFCO 400 '!$D$26*(J1471^2)+'CAFCO 400 '!$D$27*J1471+'CAFCO 400 '!$D$28)*U1471)+('CAFCO 400 '!$D$29*(J1471^2)+'CAFCO 400 '!$D$30*J1471+'CAFCO 400 '!$D$31)),0),0)+IF(AND(L1471="Cafco 300",J1471&gt;=95,J1471&lt;=240,C1471="Cj",I1471=90),VLOOKUP(T1471,'CAFCO 300 IDIEM TABLAS'!$B$4:$D$23,2,FALSE),0)+IF(AND(L1471="Cafco 300",J1471&gt;=95,J1471&lt;=240,C1471="Cj",I1471=120),VLOOKUP(T1471,'CAFCO 300 IDIEM TABLAS'!$B$4:$D$23,3,FALSE),0)+IF(AND(L1471="Cafco 300",J1471&gt;=95,J1471&lt;=400,G1471=3,C1471="IN",I1471=90),VLOOKUP(T1471,'CAFCO 300 IDIEM TABLAS'!$F$4:$H$35,2,FALSE),0)+IF(AND(L1471="Cafco 300",J1471&gt;=95,J1471&lt;=400,G1471=3,C1471="IN",I1471=120),VLOOKUP(T1471,'CAFCO 300 IDIEM TABLAS'!$F$4:$H$35,3,FALSE),0)+IF(AND(L1471="Cafco 300",J1471&gt;=95,J1471&lt;=450,G1471=4,C1471="IN",I1471=90),VLOOKUP(T1471,'CAFCO 300 IDIEM TABLAS'!$J$4:$L$40,2,FALSE),0)+IF(AND(L1471="Cafco 300",J1471&gt;=95,J1471&lt;=450,G1471=4,C1471="IN",I1471=120),VLOOKUP(T1471,'CAFCO 300 IDIEM TABLAS'!$J$4:$L$40,3,FALSE),0)+IF(AND(M1471="Ensayo Idiem",L1471="Cafco 400",C1471="IN",G1471=4,I1471=90),VLOOKUP(T1471,'CAFCO 400 ENSAYO'!$B$7:$D$43,2,FALSE),0)+IF(AND(M1471="Ensayo Idiem",L1471="Cafco 400",C1471="IN",G1471=4,I1471=120),VLOOKUP(T1471,'CAFCO 400 ENSAYO'!$B$7:$D$43,3,FALSE),0)</f>
        <v>0</v>
      </c>
      <c r="O1471" s="96">
        <f t="shared" si="144"/>
        <v>0</v>
      </c>
      <c r="P1471" s="132" t="str">
        <f t="shared" si="145"/>
        <v>N/A</v>
      </c>
      <c r="Q1471" s="132" t="str">
        <f t="shared" si="146"/>
        <v>N/A</v>
      </c>
      <c r="R1471" s="132" t="str">
        <f t="shared" si="147"/>
        <v>NO CERT.</v>
      </c>
      <c r="S1471" s="132" t="e">
        <f t="shared" si="148"/>
        <v>#N/A</v>
      </c>
      <c r="T1471" s="133" t="e">
        <f>+IF(J1471=LOOKUP(J1471,'CAFCO 300 IDIEM TABLAS'!$J$4:$J$40),'CALCULO MORTERO'!J1471,MROUND('CALCULO MORTERO'!J1471,10))</f>
        <v>#N/A</v>
      </c>
      <c r="U1471" s="134">
        <f t="shared" si="149"/>
        <v>0</v>
      </c>
    </row>
    <row r="1472" spans="1:21" x14ac:dyDescent="0.25">
      <c r="A1472" s="118">
        <f>+CUBICACION!D1466</f>
        <v>0</v>
      </c>
      <c r="B1472" s="819">
        <f>+CUBICACION!E1466</f>
        <v>0</v>
      </c>
      <c r="C1472" s="675">
        <f>+CUBICACION!F1466</f>
        <v>0</v>
      </c>
      <c r="D1472" s="118"/>
      <c r="E1472" s="118"/>
      <c r="F1472" s="820"/>
      <c r="G1472" s="675">
        <f>+CUBICACION!J1466</f>
        <v>0</v>
      </c>
      <c r="H1472" s="118"/>
      <c r="I1472" s="821">
        <f>+CUBICACION!L1466</f>
        <v>0</v>
      </c>
      <c r="J1472" s="64">
        <f>+CUBICACION!M1466</f>
        <v>0</v>
      </c>
      <c r="K1472" s="822" t="str">
        <f>+CUBICACION!N1466</f>
        <v/>
      </c>
      <c r="L1472" s="118">
        <f>+CUBICACION!O1466</f>
        <v>0</v>
      </c>
      <c r="M1472" s="823">
        <f>+CUBICACION!P1466</f>
        <v>0</v>
      </c>
      <c r="N1472" s="902">
        <f>ROUND(IF(AND(L1472="Blaze Shield II",M1472="Software Idiem",C1472="IN",G1472=4),((('BLAZE SHIELD II'!$D$4*('CALCULO MORTERO'!I1472^2)+'BLAZE SHIELD II'!$D$5*'CALCULO MORTERO'!I1472+'BLAZE SHIELD II'!$D$6)*LN(J1472))+('BLAZE SHIELD II'!$D$7*('CALCULO MORTERO'!I1472^2)+'BLAZE SHIELD II'!$D$8*'CALCULO MORTERO'!I1472+'BLAZE SHIELD II'!$D$9)),0)+IF(AND(L1472="Blaze Shield II",M1472="Software Idiem",C1472="Cj"),((('BLAZE SHIELD II'!$H$4*('CALCULO MORTERO'!I1472^2)+'BLAZE SHIELD II'!$H$5*'CALCULO MORTERO'!I1472+'BLAZE SHIELD II'!$H$6)*LN(J1472))+('BLAZE SHIELD II'!$H$7*('CALCULO MORTERO'!I1472^2)+'BLAZE SHIELD II'!$H$8*'CALCULO MORTERO'!I1472+'BLAZE SHIELD II'!$H$9)),0)+IF(AND(L1472="Blaze Shield II",M1472="Software Idiem",C1472="C"),((('BLAZE SHIELD II'!$L$4*('CALCULO MORTERO'!I1472^2)+'BLAZE SHIELD II'!$L$5*'CALCULO MORTERO'!I1472+'BLAZE SHIELD II'!$L$6)*LN(J1472))+('BLAZE SHIELD II'!$L$7*('CALCULO MORTERO'!I1472^2)+'BLAZE SHIELD II'!$L$8*'CALCULO MORTERO'!I1472+'BLAZE SHIELD II'!$L$9)),0)+IF(AND(L1472="Blaze Shield II",M1472="Software Idiem",C1472="L"),((('BLAZE SHIELD II'!$L$4*('CALCULO MORTERO'!I1472^2)+'BLAZE SHIELD II'!$L$5*'CALCULO MORTERO'!I1472+'BLAZE SHIELD II'!$L$6)*LN(J1472))+('BLAZE SHIELD II'!$L$7*('CALCULO MORTERO'!I1472^2)+'BLAZE SHIELD II'!$L$8*'CALCULO MORTERO'!I1472+'BLAZE SHIELD II'!$L$9)),0)+IF(AND(L1472="Blaze Shield II",M1472="Software Idiem",C1472="IN",G1472=3),((('BLAZE SHIELD II'!$H$14*('CALCULO MORTERO'!I1472^2)+'BLAZE SHIELD II'!$H$15*'CALCULO MORTERO'!I1472+'BLAZE SHIELD II'!$H$16)*LN(J1472))+('BLAZE SHIELD II'!$H$17*('CALCULO MORTERO'!I1472^2)+'BLAZE SHIELD II'!$H$18*'CALCULO MORTERO'!I1472+'BLAZE SHIELD II'!$H$19)),0),0)+ROUND(IF(AND(L1472="Cafco 400",M1472="Software Idiem",C1472="IN",G1472=4),((('CAFCO 400 '!$H$7*(J1472^4)+'CAFCO 400 '!$H$8*(J1472^3)+'CAFCO 400 '!$H$9*(J1472^2)+'CAFCO 400 '!$H$10*J1472+'CAFCO 400 '!$H$11)*U1472^2)+(('CAFCO 400 '!$H$12*(J1472^3)+'CAFCO 400 '!$H$13*(J1472^2)+'CAFCO 400 '!$H$14*J1472+'CAFCO 400 '!$H$15)*U1472)+('CAFCO 400 '!$H$16*(J1472^2)+'CAFCO 400 '!$H$17*J1472+'CAFCO 400 '!$H$18)),0)+IF(AND(L1472="Cafco 400",M1472="Software Idiem",C1472="Cj"),(((('CAFCO 400 '!$D$7*LN(J1472)+'CAFCO 400 '!$D$8)*U1472^2)+(('CAFCO 400 '!$D$9*LN(J1472)+'CAFCO 400 '!$D$10)*U1472)+('CAFCO 400 '!$D$11*LN(J1472)+'CAFCO 400 '!$D$12))),0)+IF(AND(L1472="Cafco 400",M1472="Software Idiem",C1472="C"),((('CAFCO 400 '!$L$7*(J1472^3)+'CAFCO 400 '!$L$8*(J1472^2)+'CAFCO 400 '!$L$9*J1472+'CAFCO 400 '!$L$10)*U1472^2)+(('CAFCO 400 '!$L$11*(J1472^3)+'CAFCO 400 '!$L$12*(J1472^2)+'CAFCO 400 '!$L$13*J1472+'CAFCO 400 '!$L$14)*U1472)+('CAFCO 400 '!$L$15*LN(J1472)+'CAFCO 400 '!$L$16)),0)+IF(AND(L1472="Cafco 400",M1472="Software Idiem",C1472="L"),((('CAFCO 400 '!$L$7*(J1472^3)+'CAFCO 400 '!$L$8*(J1472^2)+'CAFCO 400 '!$L$9*J1472+'CAFCO 400 '!$L$10)*U1472^2)+(('CAFCO 400 '!$L$11*(J1472^3)+'CAFCO 400 '!$L$12*(J1472^2)+'CAFCO 400 '!$L$13*J1472+'CAFCO 400 '!$L$14)*U1472)+('CAFCO 400 '!$L$15*LN(J1472)+'CAFCO 400 '!$L$16)),0)+IF(AND(L1472="Cafco 400",M1472="Software Idiem",C1472="IN",G1472=3),((('CAFCO 400 '!$D$23*(J1472^2)+'CAFCO 400 '!$D$24*(J1472)+'CAFCO 400 '!$D$25)*U1472^2)+(('CAFCO 400 '!$D$26*(J1472^2)+'CAFCO 400 '!$D$27*J1472+'CAFCO 400 '!$D$28)*U1472)+('CAFCO 400 '!$D$29*(J1472^2)+'CAFCO 400 '!$D$30*J1472+'CAFCO 400 '!$D$31)),0),0)+IF(AND(L1472="Cafco 300",J1472&gt;=95,J1472&lt;=240,C1472="Cj",I1472=90),VLOOKUP(T1472,'CAFCO 300 IDIEM TABLAS'!$B$4:$D$23,2,FALSE),0)+IF(AND(L1472="Cafco 300",J1472&gt;=95,J1472&lt;=240,C1472="Cj",I1472=120),VLOOKUP(T1472,'CAFCO 300 IDIEM TABLAS'!$B$4:$D$23,3,FALSE),0)+IF(AND(L1472="Cafco 300",J1472&gt;=95,J1472&lt;=400,G1472=3,C1472="IN",I1472=90),VLOOKUP(T1472,'CAFCO 300 IDIEM TABLAS'!$F$4:$H$35,2,FALSE),0)+IF(AND(L1472="Cafco 300",J1472&gt;=95,J1472&lt;=400,G1472=3,C1472="IN",I1472=120),VLOOKUP(T1472,'CAFCO 300 IDIEM TABLAS'!$F$4:$H$35,3,FALSE),0)+IF(AND(L1472="Cafco 300",J1472&gt;=95,J1472&lt;=450,G1472=4,C1472="IN",I1472=90),VLOOKUP(T1472,'CAFCO 300 IDIEM TABLAS'!$J$4:$L$40,2,FALSE),0)+IF(AND(L1472="Cafco 300",J1472&gt;=95,J1472&lt;=450,G1472=4,C1472="IN",I1472=120),VLOOKUP(T1472,'CAFCO 300 IDIEM TABLAS'!$J$4:$L$40,3,FALSE),0)+IF(AND(M1472="Ensayo Idiem",L1472="Cafco 400",C1472="IN",G1472=4,I1472=90),VLOOKUP(T1472,'CAFCO 400 ENSAYO'!$B$7:$D$43,2,FALSE),0)+IF(AND(M1472="Ensayo Idiem",L1472="Cafco 400",C1472="IN",G1472=4,I1472=120),VLOOKUP(T1472,'CAFCO 400 ENSAYO'!$B$7:$D$43,3,FALSE),0)</f>
        <v>0</v>
      </c>
      <c r="O1472" s="96">
        <f t="shared" si="144"/>
        <v>0</v>
      </c>
      <c r="P1472" s="95" t="str">
        <f t="shared" si="145"/>
        <v>N/A</v>
      </c>
      <c r="Q1472" s="95" t="str">
        <f t="shared" si="146"/>
        <v>N/A</v>
      </c>
      <c r="R1472" s="95" t="str">
        <f t="shared" si="147"/>
        <v>NO CERT.</v>
      </c>
      <c r="S1472" s="95" t="e">
        <f t="shared" si="148"/>
        <v>#N/A</v>
      </c>
      <c r="T1472" s="119" t="e">
        <f>+IF(J1472=LOOKUP(J1472,'CAFCO 300 IDIEM TABLAS'!$J$4:$J$40),'CALCULO MORTERO'!J1472,MROUND('CALCULO MORTERO'!J1472,10))</f>
        <v>#N/A</v>
      </c>
      <c r="U1472" s="118">
        <f t="shared" si="149"/>
        <v>0</v>
      </c>
    </row>
    <row r="1473" spans="1:21" x14ac:dyDescent="0.25">
      <c r="A1473" s="118">
        <f>+CUBICACION!D1467</f>
        <v>0</v>
      </c>
      <c r="B1473" s="819">
        <f>+CUBICACION!E1467</f>
        <v>0</v>
      </c>
      <c r="C1473" s="675">
        <f>+CUBICACION!F1467</f>
        <v>0</v>
      </c>
      <c r="D1473" s="118"/>
      <c r="E1473" s="118"/>
      <c r="F1473" s="820"/>
      <c r="G1473" s="675">
        <f>+CUBICACION!J1467</f>
        <v>0</v>
      </c>
      <c r="H1473" s="118"/>
      <c r="I1473" s="821">
        <f>+CUBICACION!L1467</f>
        <v>0</v>
      </c>
      <c r="J1473" s="64">
        <f>+CUBICACION!M1467</f>
        <v>0</v>
      </c>
      <c r="K1473" s="822" t="str">
        <f>+CUBICACION!N1467</f>
        <v/>
      </c>
      <c r="L1473" s="118">
        <f>+CUBICACION!O1467</f>
        <v>0</v>
      </c>
      <c r="M1473" s="823">
        <f>+CUBICACION!P1467</f>
        <v>0</v>
      </c>
      <c r="N1473" s="902">
        <f>ROUND(IF(AND(L1473="Blaze Shield II",M1473="Software Idiem",C1473="IN",G1473=4),((('BLAZE SHIELD II'!$D$4*('CALCULO MORTERO'!I1473^2)+'BLAZE SHIELD II'!$D$5*'CALCULO MORTERO'!I1473+'BLAZE SHIELD II'!$D$6)*LN(J1473))+('BLAZE SHIELD II'!$D$7*('CALCULO MORTERO'!I1473^2)+'BLAZE SHIELD II'!$D$8*'CALCULO MORTERO'!I1473+'BLAZE SHIELD II'!$D$9)),0)+IF(AND(L1473="Blaze Shield II",M1473="Software Idiem",C1473="Cj"),((('BLAZE SHIELD II'!$H$4*('CALCULO MORTERO'!I1473^2)+'BLAZE SHIELD II'!$H$5*'CALCULO MORTERO'!I1473+'BLAZE SHIELD II'!$H$6)*LN(J1473))+('BLAZE SHIELD II'!$H$7*('CALCULO MORTERO'!I1473^2)+'BLAZE SHIELD II'!$H$8*'CALCULO MORTERO'!I1473+'BLAZE SHIELD II'!$H$9)),0)+IF(AND(L1473="Blaze Shield II",M1473="Software Idiem",C1473="C"),((('BLAZE SHIELD II'!$L$4*('CALCULO MORTERO'!I1473^2)+'BLAZE SHIELD II'!$L$5*'CALCULO MORTERO'!I1473+'BLAZE SHIELD II'!$L$6)*LN(J1473))+('BLAZE SHIELD II'!$L$7*('CALCULO MORTERO'!I1473^2)+'BLAZE SHIELD II'!$L$8*'CALCULO MORTERO'!I1473+'BLAZE SHIELD II'!$L$9)),0)+IF(AND(L1473="Blaze Shield II",M1473="Software Idiem",C1473="L"),((('BLAZE SHIELD II'!$L$4*('CALCULO MORTERO'!I1473^2)+'BLAZE SHIELD II'!$L$5*'CALCULO MORTERO'!I1473+'BLAZE SHIELD II'!$L$6)*LN(J1473))+('BLAZE SHIELD II'!$L$7*('CALCULO MORTERO'!I1473^2)+'BLAZE SHIELD II'!$L$8*'CALCULO MORTERO'!I1473+'BLAZE SHIELD II'!$L$9)),0)+IF(AND(L1473="Blaze Shield II",M1473="Software Idiem",C1473="IN",G1473=3),((('BLAZE SHIELD II'!$H$14*('CALCULO MORTERO'!I1473^2)+'BLAZE SHIELD II'!$H$15*'CALCULO MORTERO'!I1473+'BLAZE SHIELD II'!$H$16)*LN(J1473))+('BLAZE SHIELD II'!$H$17*('CALCULO MORTERO'!I1473^2)+'BLAZE SHIELD II'!$H$18*'CALCULO MORTERO'!I1473+'BLAZE SHIELD II'!$H$19)),0),0)+ROUND(IF(AND(L1473="Cafco 400",M1473="Software Idiem",C1473="IN",G1473=4),((('CAFCO 400 '!$H$7*(J1473^4)+'CAFCO 400 '!$H$8*(J1473^3)+'CAFCO 400 '!$H$9*(J1473^2)+'CAFCO 400 '!$H$10*J1473+'CAFCO 400 '!$H$11)*U1473^2)+(('CAFCO 400 '!$H$12*(J1473^3)+'CAFCO 400 '!$H$13*(J1473^2)+'CAFCO 400 '!$H$14*J1473+'CAFCO 400 '!$H$15)*U1473)+('CAFCO 400 '!$H$16*(J1473^2)+'CAFCO 400 '!$H$17*J1473+'CAFCO 400 '!$H$18)),0)+IF(AND(L1473="Cafco 400",M1473="Software Idiem",C1473="Cj"),(((('CAFCO 400 '!$D$7*LN(J1473)+'CAFCO 400 '!$D$8)*U1473^2)+(('CAFCO 400 '!$D$9*LN(J1473)+'CAFCO 400 '!$D$10)*U1473)+('CAFCO 400 '!$D$11*LN(J1473)+'CAFCO 400 '!$D$12))),0)+IF(AND(L1473="Cafco 400",M1473="Software Idiem",C1473="C"),((('CAFCO 400 '!$L$7*(J1473^3)+'CAFCO 400 '!$L$8*(J1473^2)+'CAFCO 400 '!$L$9*J1473+'CAFCO 400 '!$L$10)*U1473^2)+(('CAFCO 400 '!$L$11*(J1473^3)+'CAFCO 400 '!$L$12*(J1473^2)+'CAFCO 400 '!$L$13*J1473+'CAFCO 400 '!$L$14)*U1473)+('CAFCO 400 '!$L$15*LN(J1473)+'CAFCO 400 '!$L$16)),0)+IF(AND(L1473="Cafco 400",M1473="Software Idiem",C1473="L"),((('CAFCO 400 '!$L$7*(J1473^3)+'CAFCO 400 '!$L$8*(J1473^2)+'CAFCO 400 '!$L$9*J1473+'CAFCO 400 '!$L$10)*U1473^2)+(('CAFCO 400 '!$L$11*(J1473^3)+'CAFCO 400 '!$L$12*(J1473^2)+'CAFCO 400 '!$L$13*J1473+'CAFCO 400 '!$L$14)*U1473)+('CAFCO 400 '!$L$15*LN(J1473)+'CAFCO 400 '!$L$16)),0)+IF(AND(L1473="Cafco 400",M1473="Software Idiem",C1473="IN",G1473=3),((('CAFCO 400 '!$D$23*(J1473^2)+'CAFCO 400 '!$D$24*(J1473)+'CAFCO 400 '!$D$25)*U1473^2)+(('CAFCO 400 '!$D$26*(J1473^2)+'CAFCO 400 '!$D$27*J1473+'CAFCO 400 '!$D$28)*U1473)+('CAFCO 400 '!$D$29*(J1473^2)+'CAFCO 400 '!$D$30*J1473+'CAFCO 400 '!$D$31)),0),0)+IF(AND(L1473="Cafco 300",J1473&gt;=95,J1473&lt;=240,C1473="Cj",I1473=90),VLOOKUP(T1473,'CAFCO 300 IDIEM TABLAS'!$B$4:$D$23,2,FALSE),0)+IF(AND(L1473="Cafco 300",J1473&gt;=95,J1473&lt;=240,C1473="Cj",I1473=120),VLOOKUP(T1473,'CAFCO 300 IDIEM TABLAS'!$B$4:$D$23,3,FALSE),0)+IF(AND(L1473="Cafco 300",J1473&gt;=95,J1473&lt;=400,G1473=3,C1473="IN",I1473=90),VLOOKUP(T1473,'CAFCO 300 IDIEM TABLAS'!$F$4:$H$35,2,FALSE),0)+IF(AND(L1473="Cafco 300",J1473&gt;=95,J1473&lt;=400,G1473=3,C1473="IN",I1473=120),VLOOKUP(T1473,'CAFCO 300 IDIEM TABLAS'!$F$4:$H$35,3,FALSE),0)+IF(AND(L1473="Cafco 300",J1473&gt;=95,J1473&lt;=450,G1473=4,C1473="IN",I1473=90),VLOOKUP(T1473,'CAFCO 300 IDIEM TABLAS'!$J$4:$L$40,2,FALSE),0)+IF(AND(L1473="Cafco 300",J1473&gt;=95,J1473&lt;=450,G1473=4,C1473="IN",I1473=120),VLOOKUP(T1473,'CAFCO 300 IDIEM TABLAS'!$J$4:$L$40,3,FALSE),0)+IF(AND(M1473="Ensayo Idiem",L1473="Cafco 400",C1473="IN",G1473=4,I1473=90),VLOOKUP(T1473,'CAFCO 400 ENSAYO'!$B$7:$D$43,2,FALSE),0)+IF(AND(M1473="Ensayo Idiem",L1473="Cafco 400",C1473="IN",G1473=4,I1473=120),VLOOKUP(T1473,'CAFCO 400 ENSAYO'!$B$7:$D$43,3,FALSE),0)</f>
        <v>0</v>
      </c>
      <c r="O1473" s="96">
        <f t="shared" si="144"/>
        <v>0</v>
      </c>
      <c r="P1473" s="132" t="str">
        <f t="shared" si="145"/>
        <v>N/A</v>
      </c>
      <c r="Q1473" s="132" t="str">
        <f t="shared" si="146"/>
        <v>N/A</v>
      </c>
      <c r="R1473" s="132" t="str">
        <f t="shared" si="147"/>
        <v>NO CERT.</v>
      </c>
      <c r="S1473" s="132" t="e">
        <f t="shared" si="148"/>
        <v>#N/A</v>
      </c>
      <c r="T1473" s="133" t="e">
        <f>+IF(J1473=LOOKUP(J1473,'CAFCO 300 IDIEM TABLAS'!$J$4:$J$40),'CALCULO MORTERO'!J1473,MROUND('CALCULO MORTERO'!J1473,10))</f>
        <v>#N/A</v>
      </c>
      <c r="U1473" s="134">
        <f t="shared" si="149"/>
        <v>0</v>
      </c>
    </row>
    <row r="1474" spans="1:21" x14ac:dyDescent="0.25">
      <c r="A1474" s="118">
        <f>+CUBICACION!D1468</f>
        <v>0</v>
      </c>
      <c r="B1474" s="819">
        <f>+CUBICACION!E1468</f>
        <v>0</v>
      </c>
      <c r="C1474" s="675">
        <f>+CUBICACION!F1468</f>
        <v>0</v>
      </c>
      <c r="D1474" s="118"/>
      <c r="E1474" s="118"/>
      <c r="F1474" s="820"/>
      <c r="G1474" s="675">
        <f>+CUBICACION!J1468</f>
        <v>0</v>
      </c>
      <c r="H1474" s="118"/>
      <c r="I1474" s="821">
        <f>+CUBICACION!L1468</f>
        <v>0</v>
      </c>
      <c r="J1474" s="64">
        <f>+CUBICACION!M1468</f>
        <v>0</v>
      </c>
      <c r="K1474" s="822" t="str">
        <f>+CUBICACION!N1468</f>
        <v/>
      </c>
      <c r="L1474" s="118">
        <f>+CUBICACION!O1468</f>
        <v>0</v>
      </c>
      <c r="M1474" s="823">
        <f>+CUBICACION!P1468</f>
        <v>0</v>
      </c>
      <c r="N1474" s="902">
        <f>ROUND(IF(AND(L1474="Blaze Shield II",M1474="Software Idiem",C1474="IN",G1474=4),((('BLAZE SHIELD II'!$D$4*('CALCULO MORTERO'!I1474^2)+'BLAZE SHIELD II'!$D$5*'CALCULO MORTERO'!I1474+'BLAZE SHIELD II'!$D$6)*LN(J1474))+('BLAZE SHIELD II'!$D$7*('CALCULO MORTERO'!I1474^2)+'BLAZE SHIELD II'!$D$8*'CALCULO MORTERO'!I1474+'BLAZE SHIELD II'!$D$9)),0)+IF(AND(L1474="Blaze Shield II",M1474="Software Idiem",C1474="Cj"),((('BLAZE SHIELD II'!$H$4*('CALCULO MORTERO'!I1474^2)+'BLAZE SHIELD II'!$H$5*'CALCULO MORTERO'!I1474+'BLAZE SHIELD II'!$H$6)*LN(J1474))+('BLAZE SHIELD II'!$H$7*('CALCULO MORTERO'!I1474^2)+'BLAZE SHIELD II'!$H$8*'CALCULO MORTERO'!I1474+'BLAZE SHIELD II'!$H$9)),0)+IF(AND(L1474="Blaze Shield II",M1474="Software Idiem",C1474="C"),((('BLAZE SHIELD II'!$L$4*('CALCULO MORTERO'!I1474^2)+'BLAZE SHIELD II'!$L$5*'CALCULO MORTERO'!I1474+'BLAZE SHIELD II'!$L$6)*LN(J1474))+('BLAZE SHIELD II'!$L$7*('CALCULO MORTERO'!I1474^2)+'BLAZE SHIELD II'!$L$8*'CALCULO MORTERO'!I1474+'BLAZE SHIELD II'!$L$9)),0)+IF(AND(L1474="Blaze Shield II",M1474="Software Idiem",C1474="L"),((('BLAZE SHIELD II'!$L$4*('CALCULO MORTERO'!I1474^2)+'BLAZE SHIELD II'!$L$5*'CALCULO MORTERO'!I1474+'BLAZE SHIELD II'!$L$6)*LN(J1474))+('BLAZE SHIELD II'!$L$7*('CALCULO MORTERO'!I1474^2)+'BLAZE SHIELD II'!$L$8*'CALCULO MORTERO'!I1474+'BLAZE SHIELD II'!$L$9)),0)+IF(AND(L1474="Blaze Shield II",M1474="Software Idiem",C1474="IN",G1474=3),((('BLAZE SHIELD II'!$H$14*('CALCULO MORTERO'!I1474^2)+'BLAZE SHIELD II'!$H$15*'CALCULO MORTERO'!I1474+'BLAZE SHIELD II'!$H$16)*LN(J1474))+('BLAZE SHIELD II'!$H$17*('CALCULO MORTERO'!I1474^2)+'BLAZE SHIELD II'!$H$18*'CALCULO MORTERO'!I1474+'BLAZE SHIELD II'!$H$19)),0),0)+ROUND(IF(AND(L1474="Cafco 400",M1474="Software Idiem",C1474="IN",G1474=4),((('CAFCO 400 '!$H$7*(J1474^4)+'CAFCO 400 '!$H$8*(J1474^3)+'CAFCO 400 '!$H$9*(J1474^2)+'CAFCO 400 '!$H$10*J1474+'CAFCO 400 '!$H$11)*U1474^2)+(('CAFCO 400 '!$H$12*(J1474^3)+'CAFCO 400 '!$H$13*(J1474^2)+'CAFCO 400 '!$H$14*J1474+'CAFCO 400 '!$H$15)*U1474)+('CAFCO 400 '!$H$16*(J1474^2)+'CAFCO 400 '!$H$17*J1474+'CAFCO 400 '!$H$18)),0)+IF(AND(L1474="Cafco 400",M1474="Software Idiem",C1474="Cj"),(((('CAFCO 400 '!$D$7*LN(J1474)+'CAFCO 400 '!$D$8)*U1474^2)+(('CAFCO 400 '!$D$9*LN(J1474)+'CAFCO 400 '!$D$10)*U1474)+('CAFCO 400 '!$D$11*LN(J1474)+'CAFCO 400 '!$D$12))),0)+IF(AND(L1474="Cafco 400",M1474="Software Idiem",C1474="C"),((('CAFCO 400 '!$L$7*(J1474^3)+'CAFCO 400 '!$L$8*(J1474^2)+'CAFCO 400 '!$L$9*J1474+'CAFCO 400 '!$L$10)*U1474^2)+(('CAFCO 400 '!$L$11*(J1474^3)+'CAFCO 400 '!$L$12*(J1474^2)+'CAFCO 400 '!$L$13*J1474+'CAFCO 400 '!$L$14)*U1474)+('CAFCO 400 '!$L$15*LN(J1474)+'CAFCO 400 '!$L$16)),0)+IF(AND(L1474="Cafco 400",M1474="Software Idiem",C1474="L"),((('CAFCO 400 '!$L$7*(J1474^3)+'CAFCO 400 '!$L$8*(J1474^2)+'CAFCO 400 '!$L$9*J1474+'CAFCO 400 '!$L$10)*U1474^2)+(('CAFCO 400 '!$L$11*(J1474^3)+'CAFCO 400 '!$L$12*(J1474^2)+'CAFCO 400 '!$L$13*J1474+'CAFCO 400 '!$L$14)*U1474)+('CAFCO 400 '!$L$15*LN(J1474)+'CAFCO 400 '!$L$16)),0)+IF(AND(L1474="Cafco 400",M1474="Software Idiem",C1474="IN",G1474=3),((('CAFCO 400 '!$D$23*(J1474^2)+'CAFCO 400 '!$D$24*(J1474)+'CAFCO 400 '!$D$25)*U1474^2)+(('CAFCO 400 '!$D$26*(J1474^2)+'CAFCO 400 '!$D$27*J1474+'CAFCO 400 '!$D$28)*U1474)+('CAFCO 400 '!$D$29*(J1474^2)+'CAFCO 400 '!$D$30*J1474+'CAFCO 400 '!$D$31)),0),0)+IF(AND(L1474="Cafco 300",J1474&gt;=95,J1474&lt;=240,C1474="Cj",I1474=90),VLOOKUP(T1474,'CAFCO 300 IDIEM TABLAS'!$B$4:$D$23,2,FALSE),0)+IF(AND(L1474="Cafco 300",J1474&gt;=95,J1474&lt;=240,C1474="Cj",I1474=120),VLOOKUP(T1474,'CAFCO 300 IDIEM TABLAS'!$B$4:$D$23,3,FALSE),0)+IF(AND(L1474="Cafco 300",J1474&gt;=95,J1474&lt;=400,G1474=3,C1474="IN",I1474=90),VLOOKUP(T1474,'CAFCO 300 IDIEM TABLAS'!$F$4:$H$35,2,FALSE),0)+IF(AND(L1474="Cafco 300",J1474&gt;=95,J1474&lt;=400,G1474=3,C1474="IN",I1474=120),VLOOKUP(T1474,'CAFCO 300 IDIEM TABLAS'!$F$4:$H$35,3,FALSE),0)+IF(AND(L1474="Cafco 300",J1474&gt;=95,J1474&lt;=450,G1474=4,C1474="IN",I1474=90),VLOOKUP(T1474,'CAFCO 300 IDIEM TABLAS'!$J$4:$L$40,2,FALSE),0)+IF(AND(L1474="Cafco 300",J1474&gt;=95,J1474&lt;=450,G1474=4,C1474="IN",I1474=120),VLOOKUP(T1474,'CAFCO 300 IDIEM TABLAS'!$J$4:$L$40,3,FALSE),0)+IF(AND(M1474="Ensayo Idiem",L1474="Cafco 400",C1474="IN",G1474=4,I1474=90),VLOOKUP(T1474,'CAFCO 400 ENSAYO'!$B$7:$D$43,2,FALSE),0)+IF(AND(M1474="Ensayo Idiem",L1474="Cafco 400",C1474="IN",G1474=4,I1474=120),VLOOKUP(T1474,'CAFCO 400 ENSAYO'!$B$7:$D$43,3,FALSE),0)</f>
        <v>0</v>
      </c>
      <c r="O1474" s="96">
        <f t="shared" si="144"/>
        <v>0</v>
      </c>
      <c r="P1474" s="95" t="str">
        <f t="shared" si="145"/>
        <v>N/A</v>
      </c>
      <c r="Q1474" s="95" t="str">
        <f t="shared" si="146"/>
        <v>N/A</v>
      </c>
      <c r="R1474" s="95" t="str">
        <f t="shared" si="147"/>
        <v>NO CERT.</v>
      </c>
      <c r="S1474" s="95" t="e">
        <f t="shared" si="148"/>
        <v>#N/A</v>
      </c>
      <c r="T1474" s="119" t="e">
        <f>+IF(J1474=LOOKUP(J1474,'CAFCO 300 IDIEM TABLAS'!$J$4:$J$40),'CALCULO MORTERO'!J1474,MROUND('CALCULO MORTERO'!J1474,10))</f>
        <v>#N/A</v>
      </c>
      <c r="U1474" s="118">
        <f t="shared" si="149"/>
        <v>0</v>
      </c>
    </row>
    <row r="1475" spans="1:21" x14ac:dyDescent="0.25">
      <c r="A1475" s="118">
        <f>+CUBICACION!D1469</f>
        <v>0</v>
      </c>
      <c r="B1475" s="819">
        <f>+CUBICACION!E1469</f>
        <v>0</v>
      </c>
      <c r="C1475" s="675">
        <f>+CUBICACION!F1469</f>
        <v>0</v>
      </c>
      <c r="D1475" s="118"/>
      <c r="E1475" s="118"/>
      <c r="F1475" s="820"/>
      <c r="G1475" s="675">
        <f>+CUBICACION!J1469</f>
        <v>0</v>
      </c>
      <c r="H1475" s="118"/>
      <c r="I1475" s="821">
        <f>+CUBICACION!L1469</f>
        <v>0</v>
      </c>
      <c r="J1475" s="64">
        <f>+CUBICACION!M1469</f>
        <v>0</v>
      </c>
      <c r="K1475" s="822" t="str">
        <f>+CUBICACION!N1469</f>
        <v/>
      </c>
      <c r="L1475" s="118">
        <f>+CUBICACION!O1469</f>
        <v>0</v>
      </c>
      <c r="M1475" s="823">
        <f>+CUBICACION!P1469</f>
        <v>0</v>
      </c>
      <c r="N1475" s="902">
        <f>ROUND(IF(AND(L1475="Blaze Shield II",M1475="Software Idiem",C1475="IN",G1475=4),((('BLAZE SHIELD II'!$D$4*('CALCULO MORTERO'!I1475^2)+'BLAZE SHIELD II'!$D$5*'CALCULO MORTERO'!I1475+'BLAZE SHIELD II'!$D$6)*LN(J1475))+('BLAZE SHIELD II'!$D$7*('CALCULO MORTERO'!I1475^2)+'BLAZE SHIELD II'!$D$8*'CALCULO MORTERO'!I1475+'BLAZE SHIELD II'!$D$9)),0)+IF(AND(L1475="Blaze Shield II",M1475="Software Idiem",C1475="Cj"),((('BLAZE SHIELD II'!$H$4*('CALCULO MORTERO'!I1475^2)+'BLAZE SHIELD II'!$H$5*'CALCULO MORTERO'!I1475+'BLAZE SHIELD II'!$H$6)*LN(J1475))+('BLAZE SHIELD II'!$H$7*('CALCULO MORTERO'!I1475^2)+'BLAZE SHIELD II'!$H$8*'CALCULO MORTERO'!I1475+'BLAZE SHIELD II'!$H$9)),0)+IF(AND(L1475="Blaze Shield II",M1475="Software Idiem",C1475="C"),((('BLAZE SHIELD II'!$L$4*('CALCULO MORTERO'!I1475^2)+'BLAZE SHIELD II'!$L$5*'CALCULO MORTERO'!I1475+'BLAZE SHIELD II'!$L$6)*LN(J1475))+('BLAZE SHIELD II'!$L$7*('CALCULO MORTERO'!I1475^2)+'BLAZE SHIELD II'!$L$8*'CALCULO MORTERO'!I1475+'BLAZE SHIELD II'!$L$9)),0)+IF(AND(L1475="Blaze Shield II",M1475="Software Idiem",C1475="L"),((('BLAZE SHIELD II'!$L$4*('CALCULO MORTERO'!I1475^2)+'BLAZE SHIELD II'!$L$5*'CALCULO MORTERO'!I1475+'BLAZE SHIELD II'!$L$6)*LN(J1475))+('BLAZE SHIELD II'!$L$7*('CALCULO MORTERO'!I1475^2)+'BLAZE SHIELD II'!$L$8*'CALCULO MORTERO'!I1475+'BLAZE SHIELD II'!$L$9)),0)+IF(AND(L1475="Blaze Shield II",M1475="Software Idiem",C1475="IN",G1475=3),((('BLAZE SHIELD II'!$H$14*('CALCULO MORTERO'!I1475^2)+'BLAZE SHIELD II'!$H$15*'CALCULO MORTERO'!I1475+'BLAZE SHIELD II'!$H$16)*LN(J1475))+('BLAZE SHIELD II'!$H$17*('CALCULO MORTERO'!I1475^2)+'BLAZE SHIELD II'!$H$18*'CALCULO MORTERO'!I1475+'BLAZE SHIELD II'!$H$19)),0),0)+ROUND(IF(AND(L1475="Cafco 400",M1475="Software Idiem",C1475="IN",G1475=4),((('CAFCO 400 '!$H$7*(J1475^4)+'CAFCO 400 '!$H$8*(J1475^3)+'CAFCO 400 '!$H$9*(J1475^2)+'CAFCO 400 '!$H$10*J1475+'CAFCO 400 '!$H$11)*U1475^2)+(('CAFCO 400 '!$H$12*(J1475^3)+'CAFCO 400 '!$H$13*(J1475^2)+'CAFCO 400 '!$H$14*J1475+'CAFCO 400 '!$H$15)*U1475)+('CAFCO 400 '!$H$16*(J1475^2)+'CAFCO 400 '!$H$17*J1475+'CAFCO 400 '!$H$18)),0)+IF(AND(L1475="Cafco 400",M1475="Software Idiem",C1475="Cj"),(((('CAFCO 400 '!$D$7*LN(J1475)+'CAFCO 400 '!$D$8)*U1475^2)+(('CAFCO 400 '!$D$9*LN(J1475)+'CAFCO 400 '!$D$10)*U1475)+('CAFCO 400 '!$D$11*LN(J1475)+'CAFCO 400 '!$D$12))),0)+IF(AND(L1475="Cafco 400",M1475="Software Idiem",C1475="C"),((('CAFCO 400 '!$L$7*(J1475^3)+'CAFCO 400 '!$L$8*(J1475^2)+'CAFCO 400 '!$L$9*J1475+'CAFCO 400 '!$L$10)*U1475^2)+(('CAFCO 400 '!$L$11*(J1475^3)+'CAFCO 400 '!$L$12*(J1475^2)+'CAFCO 400 '!$L$13*J1475+'CAFCO 400 '!$L$14)*U1475)+('CAFCO 400 '!$L$15*LN(J1475)+'CAFCO 400 '!$L$16)),0)+IF(AND(L1475="Cafco 400",M1475="Software Idiem",C1475="L"),((('CAFCO 400 '!$L$7*(J1475^3)+'CAFCO 400 '!$L$8*(J1475^2)+'CAFCO 400 '!$L$9*J1475+'CAFCO 400 '!$L$10)*U1475^2)+(('CAFCO 400 '!$L$11*(J1475^3)+'CAFCO 400 '!$L$12*(J1475^2)+'CAFCO 400 '!$L$13*J1475+'CAFCO 400 '!$L$14)*U1475)+('CAFCO 400 '!$L$15*LN(J1475)+'CAFCO 400 '!$L$16)),0)+IF(AND(L1475="Cafco 400",M1475="Software Idiem",C1475="IN",G1475=3),((('CAFCO 400 '!$D$23*(J1475^2)+'CAFCO 400 '!$D$24*(J1475)+'CAFCO 400 '!$D$25)*U1475^2)+(('CAFCO 400 '!$D$26*(J1475^2)+'CAFCO 400 '!$D$27*J1475+'CAFCO 400 '!$D$28)*U1475)+('CAFCO 400 '!$D$29*(J1475^2)+'CAFCO 400 '!$D$30*J1475+'CAFCO 400 '!$D$31)),0),0)+IF(AND(L1475="Cafco 300",J1475&gt;=95,J1475&lt;=240,C1475="Cj",I1475=90),VLOOKUP(T1475,'CAFCO 300 IDIEM TABLAS'!$B$4:$D$23,2,FALSE),0)+IF(AND(L1475="Cafco 300",J1475&gt;=95,J1475&lt;=240,C1475="Cj",I1475=120),VLOOKUP(T1475,'CAFCO 300 IDIEM TABLAS'!$B$4:$D$23,3,FALSE),0)+IF(AND(L1475="Cafco 300",J1475&gt;=95,J1475&lt;=400,G1475=3,C1475="IN",I1475=90),VLOOKUP(T1475,'CAFCO 300 IDIEM TABLAS'!$F$4:$H$35,2,FALSE),0)+IF(AND(L1475="Cafco 300",J1475&gt;=95,J1475&lt;=400,G1475=3,C1475="IN",I1475=120),VLOOKUP(T1475,'CAFCO 300 IDIEM TABLAS'!$F$4:$H$35,3,FALSE),0)+IF(AND(L1475="Cafco 300",J1475&gt;=95,J1475&lt;=450,G1475=4,C1475="IN",I1475=90),VLOOKUP(T1475,'CAFCO 300 IDIEM TABLAS'!$J$4:$L$40,2,FALSE),0)+IF(AND(L1475="Cafco 300",J1475&gt;=95,J1475&lt;=450,G1475=4,C1475="IN",I1475=120),VLOOKUP(T1475,'CAFCO 300 IDIEM TABLAS'!$J$4:$L$40,3,FALSE),0)+IF(AND(M1475="Ensayo Idiem",L1475="Cafco 400",C1475="IN",G1475=4,I1475=90),VLOOKUP(T1475,'CAFCO 400 ENSAYO'!$B$7:$D$43,2,FALSE),0)+IF(AND(M1475="Ensayo Idiem",L1475="Cafco 400",C1475="IN",G1475=4,I1475=120),VLOOKUP(T1475,'CAFCO 400 ENSAYO'!$B$7:$D$43,3,FALSE),0)</f>
        <v>0</v>
      </c>
      <c r="O1475" s="96">
        <f t="shared" si="144"/>
        <v>0</v>
      </c>
      <c r="P1475" s="132" t="str">
        <f t="shared" si="145"/>
        <v>N/A</v>
      </c>
      <c r="Q1475" s="132" t="str">
        <f t="shared" si="146"/>
        <v>N/A</v>
      </c>
      <c r="R1475" s="132" t="str">
        <f t="shared" si="147"/>
        <v>NO CERT.</v>
      </c>
      <c r="S1475" s="132" t="e">
        <f t="shared" si="148"/>
        <v>#N/A</v>
      </c>
      <c r="T1475" s="133" t="e">
        <f>+IF(J1475=LOOKUP(J1475,'CAFCO 300 IDIEM TABLAS'!$J$4:$J$40),'CALCULO MORTERO'!J1475,MROUND('CALCULO MORTERO'!J1475,10))</f>
        <v>#N/A</v>
      </c>
      <c r="U1475" s="134">
        <f t="shared" si="149"/>
        <v>0</v>
      </c>
    </row>
    <row r="1476" spans="1:21" x14ac:dyDescent="0.25">
      <c r="A1476" s="118">
        <f>+CUBICACION!D1470</f>
        <v>0</v>
      </c>
      <c r="B1476" s="819">
        <f>+CUBICACION!E1470</f>
        <v>0</v>
      </c>
      <c r="C1476" s="675">
        <f>+CUBICACION!F1470</f>
        <v>0</v>
      </c>
      <c r="D1476" s="118"/>
      <c r="E1476" s="118"/>
      <c r="F1476" s="820"/>
      <c r="G1476" s="675">
        <f>+CUBICACION!J1470</f>
        <v>0</v>
      </c>
      <c r="H1476" s="118"/>
      <c r="I1476" s="821">
        <f>+CUBICACION!L1470</f>
        <v>0</v>
      </c>
      <c r="J1476" s="64">
        <f>+CUBICACION!M1470</f>
        <v>0</v>
      </c>
      <c r="K1476" s="822" t="str">
        <f>+CUBICACION!N1470</f>
        <v/>
      </c>
      <c r="L1476" s="118">
        <f>+CUBICACION!O1470</f>
        <v>0</v>
      </c>
      <c r="M1476" s="823">
        <f>+CUBICACION!P1470</f>
        <v>0</v>
      </c>
      <c r="N1476" s="902">
        <f>ROUND(IF(AND(L1476="Blaze Shield II",M1476="Software Idiem",C1476="IN",G1476=4),((('BLAZE SHIELD II'!$D$4*('CALCULO MORTERO'!I1476^2)+'BLAZE SHIELD II'!$D$5*'CALCULO MORTERO'!I1476+'BLAZE SHIELD II'!$D$6)*LN(J1476))+('BLAZE SHIELD II'!$D$7*('CALCULO MORTERO'!I1476^2)+'BLAZE SHIELD II'!$D$8*'CALCULO MORTERO'!I1476+'BLAZE SHIELD II'!$D$9)),0)+IF(AND(L1476="Blaze Shield II",M1476="Software Idiem",C1476="Cj"),((('BLAZE SHIELD II'!$H$4*('CALCULO MORTERO'!I1476^2)+'BLAZE SHIELD II'!$H$5*'CALCULO MORTERO'!I1476+'BLAZE SHIELD II'!$H$6)*LN(J1476))+('BLAZE SHIELD II'!$H$7*('CALCULO MORTERO'!I1476^2)+'BLAZE SHIELD II'!$H$8*'CALCULO MORTERO'!I1476+'BLAZE SHIELD II'!$H$9)),0)+IF(AND(L1476="Blaze Shield II",M1476="Software Idiem",C1476="C"),((('BLAZE SHIELD II'!$L$4*('CALCULO MORTERO'!I1476^2)+'BLAZE SHIELD II'!$L$5*'CALCULO MORTERO'!I1476+'BLAZE SHIELD II'!$L$6)*LN(J1476))+('BLAZE SHIELD II'!$L$7*('CALCULO MORTERO'!I1476^2)+'BLAZE SHIELD II'!$L$8*'CALCULO MORTERO'!I1476+'BLAZE SHIELD II'!$L$9)),0)+IF(AND(L1476="Blaze Shield II",M1476="Software Idiem",C1476="L"),((('BLAZE SHIELD II'!$L$4*('CALCULO MORTERO'!I1476^2)+'BLAZE SHIELD II'!$L$5*'CALCULO MORTERO'!I1476+'BLAZE SHIELD II'!$L$6)*LN(J1476))+('BLAZE SHIELD II'!$L$7*('CALCULO MORTERO'!I1476^2)+'BLAZE SHIELD II'!$L$8*'CALCULO MORTERO'!I1476+'BLAZE SHIELD II'!$L$9)),0)+IF(AND(L1476="Blaze Shield II",M1476="Software Idiem",C1476="IN",G1476=3),((('BLAZE SHIELD II'!$H$14*('CALCULO MORTERO'!I1476^2)+'BLAZE SHIELD II'!$H$15*'CALCULO MORTERO'!I1476+'BLAZE SHIELD II'!$H$16)*LN(J1476))+('BLAZE SHIELD II'!$H$17*('CALCULO MORTERO'!I1476^2)+'BLAZE SHIELD II'!$H$18*'CALCULO MORTERO'!I1476+'BLAZE SHIELD II'!$H$19)),0),0)+ROUND(IF(AND(L1476="Cafco 400",M1476="Software Idiem",C1476="IN",G1476=4),((('CAFCO 400 '!$H$7*(J1476^4)+'CAFCO 400 '!$H$8*(J1476^3)+'CAFCO 400 '!$H$9*(J1476^2)+'CAFCO 400 '!$H$10*J1476+'CAFCO 400 '!$H$11)*U1476^2)+(('CAFCO 400 '!$H$12*(J1476^3)+'CAFCO 400 '!$H$13*(J1476^2)+'CAFCO 400 '!$H$14*J1476+'CAFCO 400 '!$H$15)*U1476)+('CAFCO 400 '!$H$16*(J1476^2)+'CAFCO 400 '!$H$17*J1476+'CAFCO 400 '!$H$18)),0)+IF(AND(L1476="Cafco 400",M1476="Software Idiem",C1476="Cj"),(((('CAFCO 400 '!$D$7*LN(J1476)+'CAFCO 400 '!$D$8)*U1476^2)+(('CAFCO 400 '!$D$9*LN(J1476)+'CAFCO 400 '!$D$10)*U1476)+('CAFCO 400 '!$D$11*LN(J1476)+'CAFCO 400 '!$D$12))),0)+IF(AND(L1476="Cafco 400",M1476="Software Idiem",C1476="C"),((('CAFCO 400 '!$L$7*(J1476^3)+'CAFCO 400 '!$L$8*(J1476^2)+'CAFCO 400 '!$L$9*J1476+'CAFCO 400 '!$L$10)*U1476^2)+(('CAFCO 400 '!$L$11*(J1476^3)+'CAFCO 400 '!$L$12*(J1476^2)+'CAFCO 400 '!$L$13*J1476+'CAFCO 400 '!$L$14)*U1476)+('CAFCO 400 '!$L$15*LN(J1476)+'CAFCO 400 '!$L$16)),0)+IF(AND(L1476="Cafco 400",M1476="Software Idiem",C1476="L"),((('CAFCO 400 '!$L$7*(J1476^3)+'CAFCO 400 '!$L$8*(J1476^2)+'CAFCO 400 '!$L$9*J1476+'CAFCO 400 '!$L$10)*U1476^2)+(('CAFCO 400 '!$L$11*(J1476^3)+'CAFCO 400 '!$L$12*(J1476^2)+'CAFCO 400 '!$L$13*J1476+'CAFCO 400 '!$L$14)*U1476)+('CAFCO 400 '!$L$15*LN(J1476)+'CAFCO 400 '!$L$16)),0)+IF(AND(L1476="Cafco 400",M1476="Software Idiem",C1476="IN",G1476=3),((('CAFCO 400 '!$D$23*(J1476^2)+'CAFCO 400 '!$D$24*(J1476)+'CAFCO 400 '!$D$25)*U1476^2)+(('CAFCO 400 '!$D$26*(J1476^2)+'CAFCO 400 '!$D$27*J1476+'CAFCO 400 '!$D$28)*U1476)+('CAFCO 400 '!$D$29*(J1476^2)+'CAFCO 400 '!$D$30*J1476+'CAFCO 400 '!$D$31)),0),0)+IF(AND(L1476="Cafco 300",J1476&gt;=95,J1476&lt;=240,C1476="Cj",I1476=90),VLOOKUP(T1476,'CAFCO 300 IDIEM TABLAS'!$B$4:$D$23,2,FALSE),0)+IF(AND(L1476="Cafco 300",J1476&gt;=95,J1476&lt;=240,C1476="Cj",I1476=120),VLOOKUP(T1476,'CAFCO 300 IDIEM TABLAS'!$B$4:$D$23,3,FALSE),0)+IF(AND(L1476="Cafco 300",J1476&gt;=95,J1476&lt;=400,G1476=3,C1476="IN",I1476=90),VLOOKUP(T1476,'CAFCO 300 IDIEM TABLAS'!$F$4:$H$35,2,FALSE),0)+IF(AND(L1476="Cafco 300",J1476&gt;=95,J1476&lt;=400,G1476=3,C1476="IN",I1476=120),VLOOKUP(T1476,'CAFCO 300 IDIEM TABLAS'!$F$4:$H$35,3,FALSE),0)+IF(AND(L1476="Cafco 300",J1476&gt;=95,J1476&lt;=450,G1476=4,C1476="IN",I1476=90),VLOOKUP(T1476,'CAFCO 300 IDIEM TABLAS'!$J$4:$L$40,2,FALSE),0)+IF(AND(L1476="Cafco 300",J1476&gt;=95,J1476&lt;=450,G1476=4,C1476="IN",I1476=120),VLOOKUP(T1476,'CAFCO 300 IDIEM TABLAS'!$J$4:$L$40,3,FALSE),0)+IF(AND(M1476="Ensayo Idiem",L1476="Cafco 400",C1476="IN",G1476=4,I1476=90),VLOOKUP(T1476,'CAFCO 400 ENSAYO'!$B$7:$D$43,2,FALSE),0)+IF(AND(M1476="Ensayo Idiem",L1476="Cafco 400",C1476="IN",G1476=4,I1476=120),VLOOKUP(T1476,'CAFCO 400 ENSAYO'!$B$7:$D$43,3,FALSE),0)</f>
        <v>0</v>
      </c>
      <c r="O1476" s="96">
        <f t="shared" si="144"/>
        <v>0</v>
      </c>
      <c r="P1476" s="95" t="str">
        <f t="shared" si="145"/>
        <v>N/A</v>
      </c>
      <c r="Q1476" s="95" t="str">
        <f t="shared" si="146"/>
        <v>N/A</v>
      </c>
      <c r="R1476" s="95" t="str">
        <f t="shared" si="147"/>
        <v>NO CERT.</v>
      </c>
      <c r="S1476" s="95" t="e">
        <f t="shared" si="148"/>
        <v>#N/A</v>
      </c>
      <c r="T1476" s="119" t="e">
        <f>+IF(J1476=LOOKUP(J1476,'CAFCO 300 IDIEM TABLAS'!$J$4:$J$40),'CALCULO MORTERO'!J1476,MROUND('CALCULO MORTERO'!J1476,10))</f>
        <v>#N/A</v>
      </c>
      <c r="U1476" s="118">
        <f t="shared" si="149"/>
        <v>0</v>
      </c>
    </row>
    <row r="1477" spans="1:21" x14ac:dyDescent="0.25">
      <c r="A1477" s="118">
        <f>+CUBICACION!D1471</f>
        <v>0</v>
      </c>
      <c r="B1477" s="819">
        <f>+CUBICACION!E1471</f>
        <v>0</v>
      </c>
      <c r="C1477" s="675">
        <f>+CUBICACION!F1471</f>
        <v>0</v>
      </c>
      <c r="D1477" s="118"/>
      <c r="E1477" s="118"/>
      <c r="F1477" s="820"/>
      <c r="G1477" s="675">
        <f>+CUBICACION!J1471</f>
        <v>0</v>
      </c>
      <c r="H1477" s="118"/>
      <c r="I1477" s="821">
        <f>+CUBICACION!L1471</f>
        <v>0</v>
      </c>
      <c r="J1477" s="64">
        <f>+CUBICACION!M1471</f>
        <v>0</v>
      </c>
      <c r="K1477" s="822" t="str">
        <f>+CUBICACION!N1471</f>
        <v/>
      </c>
      <c r="L1477" s="118">
        <f>+CUBICACION!O1471</f>
        <v>0</v>
      </c>
      <c r="M1477" s="823">
        <f>+CUBICACION!P1471</f>
        <v>0</v>
      </c>
      <c r="N1477" s="902">
        <f>ROUND(IF(AND(L1477="Blaze Shield II",M1477="Software Idiem",C1477="IN",G1477=4),((('BLAZE SHIELD II'!$D$4*('CALCULO MORTERO'!I1477^2)+'BLAZE SHIELD II'!$D$5*'CALCULO MORTERO'!I1477+'BLAZE SHIELD II'!$D$6)*LN(J1477))+('BLAZE SHIELD II'!$D$7*('CALCULO MORTERO'!I1477^2)+'BLAZE SHIELD II'!$D$8*'CALCULO MORTERO'!I1477+'BLAZE SHIELD II'!$D$9)),0)+IF(AND(L1477="Blaze Shield II",M1477="Software Idiem",C1477="Cj"),((('BLAZE SHIELD II'!$H$4*('CALCULO MORTERO'!I1477^2)+'BLAZE SHIELD II'!$H$5*'CALCULO MORTERO'!I1477+'BLAZE SHIELD II'!$H$6)*LN(J1477))+('BLAZE SHIELD II'!$H$7*('CALCULO MORTERO'!I1477^2)+'BLAZE SHIELD II'!$H$8*'CALCULO MORTERO'!I1477+'BLAZE SHIELD II'!$H$9)),0)+IF(AND(L1477="Blaze Shield II",M1477="Software Idiem",C1477="C"),((('BLAZE SHIELD II'!$L$4*('CALCULO MORTERO'!I1477^2)+'BLAZE SHIELD II'!$L$5*'CALCULO MORTERO'!I1477+'BLAZE SHIELD II'!$L$6)*LN(J1477))+('BLAZE SHIELD II'!$L$7*('CALCULO MORTERO'!I1477^2)+'BLAZE SHIELD II'!$L$8*'CALCULO MORTERO'!I1477+'BLAZE SHIELD II'!$L$9)),0)+IF(AND(L1477="Blaze Shield II",M1477="Software Idiem",C1477="L"),((('BLAZE SHIELD II'!$L$4*('CALCULO MORTERO'!I1477^2)+'BLAZE SHIELD II'!$L$5*'CALCULO MORTERO'!I1477+'BLAZE SHIELD II'!$L$6)*LN(J1477))+('BLAZE SHIELD II'!$L$7*('CALCULO MORTERO'!I1477^2)+'BLAZE SHIELD II'!$L$8*'CALCULO MORTERO'!I1477+'BLAZE SHIELD II'!$L$9)),0)+IF(AND(L1477="Blaze Shield II",M1477="Software Idiem",C1477="IN",G1477=3),((('BLAZE SHIELD II'!$H$14*('CALCULO MORTERO'!I1477^2)+'BLAZE SHIELD II'!$H$15*'CALCULO MORTERO'!I1477+'BLAZE SHIELD II'!$H$16)*LN(J1477))+('BLAZE SHIELD II'!$H$17*('CALCULO MORTERO'!I1477^2)+'BLAZE SHIELD II'!$H$18*'CALCULO MORTERO'!I1477+'BLAZE SHIELD II'!$H$19)),0),0)+ROUND(IF(AND(L1477="Cafco 400",M1477="Software Idiem",C1477="IN",G1477=4),((('CAFCO 400 '!$H$7*(J1477^4)+'CAFCO 400 '!$H$8*(J1477^3)+'CAFCO 400 '!$H$9*(J1477^2)+'CAFCO 400 '!$H$10*J1477+'CAFCO 400 '!$H$11)*U1477^2)+(('CAFCO 400 '!$H$12*(J1477^3)+'CAFCO 400 '!$H$13*(J1477^2)+'CAFCO 400 '!$H$14*J1477+'CAFCO 400 '!$H$15)*U1477)+('CAFCO 400 '!$H$16*(J1477^2)+'CAFCO 400 '!$H$17*J1477+'CAFCO 400 '!$H$18)),0)+IF(AND(L1477="Cafco 400",M1477="Software Idiem",C1477="Cj"),(((('CAFCO 400 '!$D$7*LN(J1477)+'CAFCO 400 '!$D$8)*U1477^2)+(('CAFCO 400 '!$D$9*LN(J1477)+'CAFCO 400 '!$D$10)*U1477)+('CAFCO 400 '!$D$11*LN(J1477)+'CAFCO 400 '!$D$12))),0)+IF(AND(L1477="Cafco 400",M1477="Software Idiem",C1477="C"),((('CAFCO 400 '!$L$7*(J1477^3)+'CAFCO 400 '!$L$8*(J1477^2)+'CAFCO 400 '!$L$9*J1477+'CAFCO 400 '!$L$10)*U1477^2)+(('CAFCO 400 '!$L$11*(J1477^3)+'CAFCO 400 '!$L$12*(J1477^2)+'CAFCO 400 '!$L$13*J1477+'CAFCO 400 '!$L$14)*U1477)+('CAFCO 400 '!$L$15*LN(J1477)+'CAFCO 400 '!$L$16)),0)+IF(AND(L1477="Cafco 400",M1477="Software Idiem",C1477="L"),((('CAFCO 400 '!$L$7*(J1477^3)+'CAFCO 400 '!$L$8*(J1477^2)+'CAFCO 400 '!$L$9*J1477+'CAFCO 400 '!$L$10)*U1477^2)+(('CAFCO 400 '!$L$11*(J1477^3)+'CAFCO 400 '!$L$12*(J1477^2)+'CAFCO 400 '!$L$13*J1477+'CAFCO 400 '!$L$14)*U1477)+('CAFCO 400 '!$L$15*LN(J1477)+'CAFCO 400 '!$L$16)),0)+IF(AND(L1477="Cafco 400",M1477="Software Idiem",C1477="IN",G1477=3),((('CAFCO 400 '!$D$23*(J1477^2)+'CAFCO 400 '!$D$24*(J1477)+'CAFCO 400 '!$D$25)*U1477^2)+(('CAFCO 400 '!$D$26*(J1477^2)+'CAFCO 400 '!$D$27*J1477+'CAFCO 400 '!$D$28)*U1477)+('CAFCO 400 '!$D$29*(J1477^2)+'CAFCO 400 '!$D$30*J1477+'CAFCO 400 '!$D$31)),0),0)+IF(AND(L1477="Cafco 300",J1477&gt;=95,J1477&lt;=240,C1477="Cj",I1477=90),VLOOKUP(T1477,'CAFCO 300 IDIEM TABLAS'!$B$4:$D$23,2,FALSE),0)+IF(AND(L1477="Cafco 300",J1477&gt;=95,J1477&lt;=240,C1477="Cj",I1477=120),VLOOKUP(T1477,'CAFCO 300 IDIEM TABLAS'!$B$4:$D$23,3,FALSE),0)+IF(AND(L1477="Cafco 300",J1477&gt;=95,J1477&lt;=400,G1477=3,C1477="IN",I1477=90),VLOOKUP(T1477,'CAFCO 300 IDIEM TABLAS'!$F$4:$H$35,2,FALSE),0)+IF(AND(L1477="Cafco 300",J1477&gt;=95,J1477&lt;=400,G1477=3,C1477="IN",I1477=120),VLOOKUP(T1477,'CAFCO 300 IDIEM TABLAS'!$F$4:$H$35,3,FALSE),0)+IF(AND(L1477="Cafco 300",J1477&gt;=95,J1477&lt;=450,G1477=4,C1477="IN",I1477=90),VLOOKUP(T1477,'CAFCO 300 IDIEM TABLAS'!$J$4:$L$40,2,FALSE),0)+IF(AND(L1477="Cafco 300",J1477&gt;=95,J1477&lt;=450,G1477=4,C1477="IN",I1477=120),VLOOKUP(T1477,'CAFCO 300 IDIEM TABLAS'!$J$4:$L$40,3,FALSE),0)+IF(AND(M1477="Ensayo Idiem",L1477="Cafco 400",C1477="IN",G1477=4,I1477=90),VLOOKUP(T1477,'CAFCO 400 ENSAYO'!$B$7:$D$43,2,FALSE),0)+IF(AND(M1477="Ensayo Idiem",L1477="Cafco 400",C1477="IN",G1477=4,I1477=120),VLOOKUP(T1477,'CAFCO 400 ENSAYO'!$B$7:$D$43,3,FALSE),0)</f>
        <v>0</v>
      </c>
      <c r="O1477" s="96">
        <f t="shared" si="144"/>
        <v>0</v>
      </c>
      <c r="P1477" s="132" t="str">
        <f t="shared" si="145"/>
        <v>N/A</v>
      </c>
      <c r="Q1477" s="132" t="str">
        <f t="shared" si="146"/>
        <v>N/A</v>
      </c>
      <c r="R1477" s="132" t="str">
        <f t="shared" si="147"/>
        <v>NO CERT.</v>
      </c>
      <c r="S1477" s="132" t="e">
        <f t="shared" si="148"/>
        <v>#N/A</v>
      </c>
      <c r="T1477" s="133" t="e">
        <f>+IF(J1477=LOOKUP(J1477,'CAFCO 300 IDIEM TABLAS'!$J$4:$J$40),'CALCULO MORTERO'!J1477,MROUND('CALCULO MORTERO'!J1477,10))</f>
        <v>#N/A</v>
      </c>
      <c r="U1477" s="134">
        <f t="shared" si="149"/>
        <v>0</v>
      </c>
    </row>
    <row r="1478" spans="1:21" x14ac:dyDescent="0.25">
      <c r="A1478" s="118">
        <f>+CUBICACION!D1472</f>
        <v>0</v>
      </c>
      <c r="B1478" s="819">
        <f>+CUBICACION!E1472</f>
        <v>0</v>
      </c>
      <c r="C1478" s="675">
        <f>+CUBICACION!F1472</f>
        <v>0</v>
      </c>
      <c r="D1478" s="118"/>
      <c r="E1478" s="118"/>
      <c r="F1478" s="820"/>
      <c r="G1478" s="675">
        <f>+CUBICACION!J1472</f>
        <v>0</v>
      </c>
      <c r="H1478" s="118"/>
      <c r="I1478" s="821">
        <f>+CUBICACION!L1472</f>
        <v>0</v>
      </c>
      <c r="J1478" s="64">
        <f>+CUBICACION!M1472</f>
        <v>0</v>
      </c>
      <c r="K1478" s="822" t="str">
        <f>+CUBICACION!N1472</f>
        <v/>
      </c>
      <c r="L1478" s="118">
        <f>+CUBICACION!O1472</f>
        <v>0</v>
      </c>
      <c r="M1478" s="823">
        <f>+CUBICACION!P1472</f>
        <v>0</v>
      </c>
      <c r="N1478" s="902">
        <f>ROUND(IF(AND(L1478="Blaze Shield II",M1478="Software Idiem",C1478="IN",G1478=4),((('BLAZE SHIELD II'!$D$4*('CALCULO MORTERO'!I1478^2)+'BLAZE SHIELD II'!$D$5*'CALCULO MORTERO'!I1478+'BLAZE SHIELD II'!$D$6)*LN(J1478))+('BLAZE SHIELD II'!$D$7*('CALCULO MORTERO'!I1478^2)+'BLAZE SHIELD II'!$D$8*'CALCULO MORTERO'!I1478+'BLAZE SHIELD II'!$D$9)),0)+IF(AND(L1478="Blaze Shield II",M1478="Software Idiem",C1478="Cj"),((('BLAZE SHIELD II'!$H$4*('CALCULO MORTERO'!I1478^2)+'BLAZE SHIELD II'!$H$5*'CALCULO MORTERO'!I1478+'BLAZE SHIELD II'!$H$6)*LN(J1478))+('BLAZE SHIELD II'!$H$7*('CALCULO MORTERO'!I1478^2)+'BLAZE SHIELD II'!$H$8*'CALCULO MORTERO'!I1478+'BLAZE SHIELD II'!$H$9)),0)+IF(AND(L1478="Blaze Shield II",M1478="Software Idiem",C1478="C"),((('BLAZE SHIELD II'!$L$4*('CALCULO MORTERO'!I1478^2)+'BLAZE SHIELD II'!$L$5*'CALCULO MORTERO'!I1478+'BLAZE SHIELD II'!$L$6)*LN(J1478))+('BLAZE SHIELD II'!$L$7*('CALCULO MORTERO'!I1478^2)+'BLAZE SHIELD II'!$L$8*'CALCULO MORTERO'!I1478+'BLAZE SHIELD II'!$L$9)),0)+IF(AND(L1478="Blaze Shield II",M1478="Software Idiem",C1478="L"),((('BLAZE SHIELD II'!$L$4*('CALCULO MORTERO'!I1478^2)+'BLAZE SHIELD II'!$L$5*'CALCULO MORTERO'!I1478+'BLAZE SHIELD II'!$L$6)*LN(J1478))+('BLAZE SHIELD II'!$L$7*('CALCULO MORTERO'!I1478^2)+'BLAZE SHIELD II'!$L$8*'CALCULO MORTERO'!I1478+'BLAZE SHIELD II'!$L$9)),0)+IF(AND(L1478="Blaze Shield II",M1478="Software Idiem",C1478="IN",G1478=3),((('BLAZE SHIELD II'!$H$14*('CALCULO MORTERO'!I1478^2)+'BLAZE SHIELD II'!$H$15*'CALCULO MORTERO'!I1478+'BLAZE SHIELD II'!$H$16)*LN(J1478))+('BLAZE SHIELD II'!$H$17*('CALCULO MORTERO'!I1478^2)+'BLAZE SHIELD II'!$H$18*'CALCULO MORTERO'!I1478+'BLAZE SHIELD II'!$H$19)),0),0)+ROUND(IF(AND(L1478="Cafco 400",M1478="Software Idiem",C1478="IN",G1478=4),((('CAFCO 400 '!$H$7*(J1478^4)+'CAFCO 400 '!$H$8*(J1478^3)+'CAFCO 400 '!$H$9*(J1478^2)+'CAFCO 400 '!$H$10*J1478+'CAFCO 400 '!$H$11)*U1478^2)+(('CAFCO 400 '!$H$12*(J1478^3)+'CAFCO 400 '!$H$13*(J1478^2)+'CAFCO 400 '!$H$14*J1478+'CAFCO 400 '!$H$15)*U1478)+('CAFCO 400 '!$H$16*(J1478^2)+'CAFCO 400 '!$H$17*J1478+'CAFCO 400 '!$H$18)),0)+IF(AND(L1478="Cafco 400",M1478="Software Idiem",C1478="Cj"),(((('CAFCO 400 '!$D$7*LN(J1478)+'CAFCO 400 '!$D$8)*U1478^2)+(('CAFCO 400 '!$D$9*LN(J1478)+'CAFCO 400 '!$D$10)*U1478)+('CAFCO 400 '!$D$11*LN(J1478)+'CAFCO 400 '!$D$12))),0)+IF(AND(L1478="Cafco 400",M1478="Software Idiem",C1478="C"),((('CAFCO 400 '!$L$7*(J1478^3)+'CAFCO 400 '!$L$8*(J1478^2)+'CAFCO 400 '!$L$9*J1478+'CAFCO 400 '!$L$10)*U1478^2)+(('CAFCO 400 '!$L$11*(J1478^3)+'CAFCO 400 '!$L$12*(J1478^2)+'CAFCO 400 '!$L$13*J1478+'CAFCO 400 '!$L$14)*U1478)+('CAFCO 400 '!$L$15*LN(J1478)+'CAFCO 400 '!$L$16)),0)+IF(AND(L1478="Cafco 400",M1478="Software Idiem",C1478="L"),((('CAFCO 400 '!$L$7*(J1478^3)+'CAFCO 400 '!$L$8*(J1478^2)+'CAFCO 400 '!$L$9*J1478+'CAFCO 400 '!$L$10)*U1478^2)+(('CAFCO 400 '!$L$11*(J1478^3)+'CAFCO 400 '!$L$12*(J1478^2)+'CAFCO 400 '!$L$13*J1478+'CAFCO 400 '!$L$14)*U1478)+('CAFCO 400 '!$L$15*LN(J1478)+'CAFCO 400 '!$L$16)),0)+IF(AND(L1478="Cafco 400",M1478="Software Idiem",C1478="IN",G1478=3),((('CAFCO 400 '!$D$23*(J1478^2)+'CAFCO 400 '!$D$24*(J1478)+'CAFCO 400 '!$D$25)*U1478^2)+(('CAFCO 400 '!$D$26*(J1478^2)+'CAFCO 400 '!$D$27*J1478+'CAFCO 400 '!$D$28)*U1478)+('CAFCO 400 '!$D$29*(J1478^2)+'CAFCO 400 '!$D$30*J1478+'CAFCO 400 '!$D$31)),0),0)+IF(AND(L1478="Cafco 300",J1478&gt;=95,J1478&lt;=240,C1478="Cj",I1478=90),VLOOKUP(T1478,'CAFCO 300 IDIEM TABLAS'!$B$4:$D$23,2,FALSE),0)+IF(AND(L1478="Cafco 300",J1478&gt;=95,J1478&lt;=240,C1478="Cj",I1478=120),VLOOKUP(T1478,'CAFCO 300 IDIEM TABLAS'!$B$4:$D$23,3,FALSE),0)+IF(AND(L1478="Cafco 300",J1478&gt;=95,J1478&lt;=400,G1478=3,C1478="IN",I1478=90),VLOOKUP(T1478,'CAFCO 300 IDIEM TABLAS'!$F$4:$H$35,2,FALSE),0)+IF(AND(L1478="Cafco 300",J1478&gt;=95,J1478&lt;=400,G1478=3,C1478="IN",I1478=120),VLOOKUP(T1478,'CAFCO 300 IDIEM TABLAS'!$F$4:$H$35,3,FALSE),0)+IF(AND(L1478="Cafco 300",J1478&gt;=95,J1478&lt;=450,G1478=4,C1478="IN",I1478=90),VLOOKUP(T1478,'CAFCO 300 IDIEM TABLAS'!$J$4:$L$40,2,FALSE),0)+IF(AND(L1478="Cafco 300",J1478&gt;=95,J1478&lt;=450,G1478=4,C1478="IN",I1478=120),VLOOKUP(T1478,'CAFCO 300 IDIEM TABLAS'!$J$4:$L$40,3,FALSE),0)+IF(AND(M1478="Ensayo Idiem",L1478="Cafco 400",C1478="IN",G1478=4,I1478=90),VLOOKUP(T1478,'CAFCO 400 ENSAYO'!$B$7:$D$43,2,FALSE),0)+IF(AND(M1478="Ensayo Idiem",L1478="Cafco 400",C1478="IN",G1478=4,I1478=120),VLOOKUP(T1478,'CAFCO 400 ENSAYO'!$B$7:$D$43,3,FALSE),0)</f>
        <v>0</v>
      </c>
      <c r="O1478" s="96">
        <f t="shared" si="144"/>
        <v>0</v>
      </c>
      <c r="P1478" s="95" t="str">
        <f t="shared" si="145"/>
        <v>N/A</v>
      </c>
      <c r="Q1478" s="95" t="str">
        <f t="shared" si="146"/>
        <v>N/A</v>
      </c>
      <c r="R1478" s="95" t="str">
        <f t="shared" si="147"/>
        <v>NO CERT.</v>
      </c>
      <c r="S1478" s="95" t="e">
        <f t="shared" si="148"/>
        <v>#N/A</v>
      </c>
      <c r="T1478" s="119" t="e">
        <f>+IF(J1478=LOOKUP(J1478,'CAFCO 300 IDIEM TABLAS'!$J$4:$J$40),'CALCULO MORTERO'!J1478,MROUND('CALCULO MORTERO'!J1478,10))</f>
        <v>#N/A</v>
      </c>
      <c r="U1478" s="118">
        <f t="shared" si="149"/>
        <v>0</v>
      </c>
    </row>
    <row r="1479" spans="1:21" x14ac:dyDescent="0.25">
      <c r="A1479" s="118">
        <f>+CUBICACION!D1473</f>
        <v>0</v>
      </c>
      <c r="B1479" s="819">
        <f>+CUBICACION!E1473</f>
        <v>0</v>
      </c>
      <c r="C1479" s="675">
        <f>+CUBICACION!F1473</f>
        <v>0</v>
      </c>
      <c r="D1479" s="118"/>
      <c r="E1479" s="118"/>
      <c r="F1479" s="820"/>
      <c r="G1479" s="675">
        <f>+CUBICACION!J1473</f>
        <v>0</v>
      </c>
      <c r="H1479" s="118"/>
      <c r="I1479" s="821">
        <f>+CUBICACION!L1473</f>
        <v>0</v>
      </c>
      <c r="J1479" s="64">
        <f>+CUBICACION!M1473</f>
        <v>0</v>
      </c>
      <c r="K1479" s="822" t="str">
        <f>+CUBICACION!N1473</f>
        <v/>
      </c>
      <c r="L1479" s="118">
        <f>+CUBICACION!O1473</f>
        <v>0</v>
      </c>
      <c r="M1479" s="823">
        <f>+CUBICACION!P1473</f>
        <v>0</v>
      </c>
      <c r="N1479" s="902">
        <f>ROUND(IF(AND(L1479="Blaze Shield II",M1479="Software Idiem",C1479="IN",G1479=4),((('BLAZE SHIELD II'!$D$4*('CALCULO MORTERO'!I1479^2)+'BLAZE SHIELD II'!$D$5*'CALCULO MORTERO'!I1479+'BLAZE SHIELD II'!$D$6)*LN(J1479))+('BLAZE SHIELD II'!$D$7*('CALCULO MORTERO'!I1479^2)+'BLAZE SHIELD II'!$D$8*'CALCULO MORTERO'!I1479+'BLAZE SHIELD II'!$D$9)),0)+IF(AND(L1479="Blaze Shield II",M1479="Software Idiem",C1479="Cj"),((('BLAZE SHIELD II'!$H$4*('CALCULO MORTERO'!I1479^2)+'BLAZE SHIELD II'!$H$5*'CALCULO MORTERO'!I1479+'BLAZE SHIELD II'!$H$6)*LN(J1479))+('BLAZE SHIELD II'!$H$7*('CALCULO MORTERO'!I1479^2)+'BLAZE SHIELD II'!$H$8*'CALCULO MORTERO'!I1479+'BLAZE SHIELD II'!$H$9)),0)+IF(AND(L1479="Blaze Shield II",M1479="Software Idiem",C1479="C"),((('BLAZE SHIELD II'!$L$4*('CALCULO MORTERO'!I1479^2)+'BLAZE SHIELD II'!$L$5*'CALCULO MORTERO'!I1479+'BLAZE SHIELD II'!$L$6)*LN(J1479))+('BLAZE SHIELD II'!$L$7*('CALCULO MORTERO'!I1479^2)+'BLAZE SHIELD II'!$L$8*'CALCULO MORTERO'!I1479+'BLAZE SHIELD II'!$L$9)),0)+IF(AND(L1479="Blaze Shield II",M1479="Software Idiem",C1479="L"),((('BLAZE SHIELD II'!$L$4*('CALCULO MORTERO'!I1479^2)+'BLAZE SHIELD II'!$L$5*'CALCULO MORTERO'!I1479+'BLAZE SHIELD II'!$L$6)*LN(J1479))+('BLAZE SHIELD II'!$L$7*('CALCULO MORTERO'!I1479^2)+'BLAZE SHIELD II'!$L$8*'CALCULO MORTERO'!I1479+'BLAZE SHIELD II'!$L$9)),0)+IF(AND(L1479="Blaze Shield II",M1479="Software Idiem",C1479="IN",G1479=3),((('BLAZE SHIELD II'!$H$14*('CALCULO MORTERO'!I1479^2)+'BLAZE SHIELD II'!$H$15*'CALCULO MORTERO'!I1479+'BLAZE SHIELD II'!$H$16)*LN(J1479))+('BLAZE SHIELD II'!$H$17*('CALCULO MORTERO'!I1479^2)+'BLAZE SHIELD II'!$H$18*'CALCULO MORTERO'!I1479+'BLAZE SHIELD II'!$H$19)),0),0)+ROUND(IF(AND(L1479="Cafco 400",M1479="Software Idiem",C1479="IN",G1479=4),((('CAFCO 400 '!$H$7*(J1479^4)+'CAFCO 400 '!$H$8*(J1479^3)+'CAFCO 400 '!$H$9*(J1479^2)+'CAFCO 400 '!$H$10*J1479+'CAFCO 400 '!$H$11)*U1479^2)+(('CAFCO 400 '!$H$12*(J1479^3)+'CAFCO 400 '!$H$13*(J1479^2)+'CAFCO 400 '!$H$14*J1479+'CAFCO 400 '!$H$15)*U1479)+('CAFCO 400 '!$H$16*(J1479^2)+'CAFCO 400 '!$H$17*J1479+'CAFCO 400 '!$H$18)),0)+IF(AND(L1479="Cafco 400",M1479="Software Idiem",C1479="Cj"),(((('CAFCO 400 '!$D$7*LN(J1479)+'CAFCO 400 '!$D$8)*U1479^2)+(('CAFCO 400 '!$D$9*LN(J1479)+'CAFCO 400 '!$D$10)*U1479)+('CAFCO 400 '!$D$11*LN(J1479)+'CAFCO 400 '!$D$12))),0)+IF(AND(L1479="Cafco 400",M1479="Software Idiem",C1479="C"),((('CAFCO 400 '!$L$7*(J1479^3)+'CAFCO 400 '!$L$8*(J1479^2)+'CAFCO 400 '!$L$9*J1479+'CAFCO 400 '!$L$10)*U1479^2)+(('CAFCO 400 '!$L$11*(J1479^3)+'CAFCO 400 '!$L$12*(J1479^2)+'CAFCO 400 '!$L$13*J1479+'CAFCO 400 '!$L$14)*U1479)+('CAFCO 400 '!$L$15*LN(J1479)+'CAFCO 400 '!$L$16)),0)+IF(AND(L1479="Cafco 400",M1479="Software Idiem",C1479="L"),((('CAFCO 400 '!$L$7*(J1479^3)+'CAFCO 400 '!$L$8*(J1479^2)+'CAFCO 400 '!$L$9*J1479+'CAFCO 400 '!$L$10)*U1479^2)+(('CAFCO 400 '!$L$11*(J1479^3)+'CAFCO 400 '!$L$12*(J1479^2)+'CAFCO 400 '!$L$13*J1479+'CAFCO 400 '!$L$14)*U1479)+('CAFCO 400 '!$L$15*LN(J1479)+'CAFCO 400 '!$L$16)),0)+IF(AND(L1479="Cafco 400",M1479="Software Idiem",C1479="IN",G1479=3),((('CAFCO 400 '!$D$23*(J1479^2)+'CAFCO 400 '!$D$24*(J1479)+'CAFCO 400 '!$D$25)*U1479^2)+(('CAFCO 400 '!$D$26*(J1479^2)+'CAFCO 400 '!$D$27*J1479+'CAFCO 400 '!$D$28)*U1479)+('CAFCO 400 '!$D$29*(J1479^2)+'CAFCO 400 '!$D$30*J1479+'CAFCO 400 '!$D$31)),0),0)+IF(AND(L1479="Cafco 300",J1479&gt;=95,J1479&lt;=240,C1479="Cj",I1479=90),VLOOKUP(T1479,'CAFCO 300 IDIEM TABLAS'!$B$4:$D$23,2,FALSE),0)+IF(AND(L1479="Cafco 300",J1479&gt;=95,J1479&lt;=240,C1479="Cj",I1479=120),VLOOKUP(T1479,'CAFCO 300 IDIEM TABLAS'!$B$4:$D$23,3,FALSE),0)+IF(AND(L1479="Cafco 300",J1479&gt;=95,J1479&lt;=400,G1479=3,C1479="IN",I1479=90),VLOOKUP(T1479,'CAFCO 300 IDIEM TABLAS'!$F$4:$H$35,2,FALSE),0)+IF(AND(L1479="Cafco 300",J1479&gt;=95,J1479&lt;=400,G1479=3,C1479="IN",I1479=120),VLOOKUP(T1479,'CAFCO 300 IDIEM TABLAS'!$F$4:$H$35,3,FALSE),0)+IF(AND(L1479="Cafco 300",J1479&gt;=95,J1479&lt;=450,G1479=4,C1479="IN",I1479=90),VLOOKUP(T1479,'CAFCO 300 IDIEM TABLAS'!$J$4:$L$40,2,FALSE),0)+IF(AND(L1479="Cafco 300",J1479&gt;=95,J1479&lt;=450,G1479=4,C1479="IN",I1479=120),VLOOKUP(T1479,'CAFCO 300 IDIEM TABLAS'!$J$4:$L$40,3,FALSE),0)+IF(AND(M1479="Ensayo Idiem",L1479="Cafco 400",C1479="IN",G1479=4,I1479=90),VLOOKUP(T1479,'CAFCO 400 ENSAYO'!$B$7:$D$43,2,FALSE),0)+IF(AND(M1479="Ensayo Idiem",L1479="Cafco 400",C1479="IN",G1479=4,I1479=120),VLOOKUP(T1479,'CAFCO 400 ENSAYO'!$B$7:$D$43,3,FALSE),0)</f>
        <v>0</v>
      </c>
      <c r="O1479" s="96">
        <f t="shared" si="144"/>
        <v>0</v>
      </c>
      <c r="P1479" s="132" t="str">
        <f t="shared" si="145"/>
        <v>N/A</v>
      </c>
      <c r="Q1479" s="132" t="str">
        <f t="shared" si="146"/>
        <v>N/A</v>
      </c>
      <c r="R1479" s="132" t="str">
        <f t="shared" si="147"/>
        <v>NO CERT.</v>
      </c>
      <c r="S1479" s="132" t="e">
        <f t="shared" si="148"/>
        <v>#N/A</v>
      </c>
      <c r="T1479" s="133" t="e">
        <f>+IF(J1479=LOOKUP(J1479,'CAFCO 300 IDIEM TABLAS'!$J$4:$J$40),'CALCULO MORTERO'!J1479,MROUND('CALCULO MORTERO'!J1479,10))</f>
        <v>#N/A</v>
      </c>
      <c r="U1479" s="134">
        <f t="shared" si="149"/>
        <v>0</v>
      </c>
    </row>
    <row r="1480" spans="1:21" x14ac:dyDescent="0.25">
      <c r="A1480" s="118">
        <f>+CUBICACION!D1474</f>
        <v>0</v>
      </c>
      <c r="B1480" s="819">
        <f>+CUBICACION!E1474</f>
        <v>0</v>
      </c>
      <c r="C1480" s="675">
        <f>+CUBICACION!F1474</f>
        <v>0</v>
      </c>
      <c r="D1480" s="118"/>
      <c r="E1480" s="118"/>
      <c r="F1480" s="820"/>
      <c r="G1480" s="675">
        <f>+CUBICACION!J1474</f>
        <v>0</v>
      </c>
      <c r="H1480" s="118"/>
      <c r="I1480" s="821">
        <f>+CUBICACION!L1474</f>
        <v>0</v>
      </c>
      <c r="J1480" s="64">
        <f>+CUBICACION!M1474</f>
        <v>0</v>
      </c>
      <c r="K1480" s="822" t="str">
        <f>+CUBICACION!N1474</f>
        <v/>
      </c>
      <c r="L1480" s="118">
        <f>+CUBICACION!O1474</f>
        <v>0</v>
      </c>
      <c r="M1480" s="823">
        <f>+CUBICACION!P1474</f>
        <v>0</v>
      </c>
      <c r="N1480" s="902">
        <f>ROUND(IF(AND(L1480="Blaze Shield II",M1480="Software Idiem",C1480="IN",G1480=4),((('BLAZE SHIELD II'!$D$4*('CALCULO MORTERO'!I1480^2)+'BLAZE SHIELD II'!$D$5*'CALCULO MORTERO'!I1480+'BLAZE SHIELD II'!$D$6)*LN(J1480))+('BLAZE SHIELD II'!$D$7*('CALCULO MORTERO'!I1480^2)+'BLAZE SHIELD II'!$D$8*'CALCULO MORTERO'!I1480+'BLAZE SHIELD II'!$D$9)),0)+IF(AND(L1480="Blaze Shield II",M1480="Software Idiem",C1480="Cj"),((('BLAZE SHIELD II'!$H$4*('CALCULO MORTERO'!I1480^2)+'BLAZE SHIELD II'!$H$5*'CALCULO MORTERO'!I1480+'BLAZE SHIELD II'!$H$6)*LN(J1480))+('BLAZE SHIELD II'!$H$7*('CALCULO MORTERO'!I1480^2)+'BLAZE SHIELD II'!$H$8*'CALCULO MORTERO'!I1480+'BLAZE SHIELD II'!$H$9)),0)+IF(AND(L1480="Blaze Shield II",M1480="Software Idiem",C1480="C"),((('BLAZE SHIELD II'!$L$4*('CALCULO MORTERO'!I1480^2)+'BLAZE SHIELD II'!$L$5*'CALCULO MORTERO'!I1480+'BLAZE SHIELD II'!$L$6)*LN(J1480))+('BLAZE SHIELD II'!$L$7*('CALCULO MORTERO'!I1480^2)+'BLAZE SHIELD II'!$L$8*'CALCULO MORTERO'!I1480+'BLAZE SHIELD II'!$L$9)),0)+IF(AND(L1480="Blaze Shield II",M1480="Software Idiem",C1480="L"),((('BLAZE SHIELD II'!$L$4*('CALCULO MORTERO'!I1480^2)+'BLAZE SHIELD II'!$L$5*'CALCULO MORTERO'!I1480+'BLAZE SHIELD II'!$L$6)*LN(J1480))+('BLAZE SHIELD II'!$L$7*('CALCULO MORTERO'!I1480^2)+'BLAZE SHIELD II'!$L$8*'CALCULO MORTERO'!I1480+'BLAZE SHIELD II'!$L$9)),0)+IF(AND(L1480="Blaze Shield II",M1480="Software Idiem",C1480="IN",G1480=3),((('BLAZE SHIELD II'!$H$14*('CALCULO MORTERO'!I1480^2)+'BLAZE SHIELD II'!$H$15*'CALCULO MORTERO'!I1480+'BLAZE SHIELD II'!$H$16)*LN(J1480))+('BLAZE SHIELD II'!$H$17*('CALCULO MORTERO'!I1480^2)+'BLAZE SHIELD II'!$H$18*'CALCULO MORTERO'!I1480+'BLAZE SHIELD II'!$H$19)),0),0)+ROUND(IF(AND(L1480="Cafco 400",M1480="Software Idiem",C1480="IN",G1480=4),((('CAFCO 400 '!$H$7*(J1480^4)+'CAFCO 400 '!$H$8*(J1480^3)+'CAFCO 400 '!$H$9*(J1480^2)+'CAFCO 400 '!$H$10*J1480+'CAFCO 400 '!$H$11)*U1480^2)+(('CAFCO 400 '!$H$12*(J1480^3)+'CAFCO 400 '!$H$13*(J1480^2)+'CAFCO 400 '!$H$14*J1480+'CAFCO 400 '!$H$15)*U1480)+('CAFCO 400 '!$H$16*(J1480^2)+'CAFCO 400 '!$H$17*J1480+'CAFCO 400 '!$H$18)),0)+IF(AND(L1480="Cafco 400",M1480="Software Idiem",C1480="Cj"),(((('CAFCO 400 '!$D$7*LN(J1480)+'CAFCO 400 '!$D$8)*U1480^2)+(('CAFCO 400 '!$D$9*LN(J1480)+'CAFCO 400 '!$D$10)*U1480)+('CAFCO 400 '!$D$11*LN(J1480)+'CAFCO 400 '!$D$12))),0)+IF(AND(L1480="Cafco 400",M1480="Software Idiem",C1480="C"),((('CAFCO 400 '!$L$7*(J1480^3)+'CAFCO 400 '!$L$8*(J1480^2)+'CAFCO 400 '!$L$9*J1480+'CAFCO 400 '!$L$10)*U1480^2)+(('CAFCO 400 '!$L$11*(J1480^3)+'CAFCO 400 '!$L$12*(J1480^2)+'CAFCO 400 '!$L$13*J1480+'CAFCO 400 '!$L$14)*U1480)+('CAFCO 400 '!$L$15*LN(J1480)+'CAFCO 400 '!$L$16)),0)+IF(AND(L1480="Cafco 400",M1480="Software Idiem",C1480="L"),((('CAFCO 400 '!$L$7*(J1480^3)+'CAFCO 400 '!$L$8*(J1480^2)+'CAFCO 400 '!$L$9*J1480+'CAFCO 400 '!$L$10)*U1480^2)+(('CAFCO 400 '!$L$11*(J1480^3)+'CAFCO 400 '!$L$12*(J1480^2)+'CAFCO 400 '!$L$13*J1480+'CAFCO 400 '!$L$14)*U1480)+('CAFCO 400 '!$L$15*LN(J1480)+'CAFCO 400 '!$L$16)),0)+IF(AND(L1480="Cafco 400",M1480="Software Idiem",C1480="IN",G1480=3),((('CAFCO 400 '!$D$23*(J1480^2)+'CAFCO 400 '!$D$24*(J1480)+'CAFCO 400 '!$D$25)*U1480^2)+(('CAFCO 400 '!$D$26*(J1480^2)+'CAFCO 400 '!$D$27*J1480+'CAFCO 400 '!$D$28)*U1480)+('CAFCO 400 '!$D$29*(J1480^2)+'CAFCO 400 '!$D$30*J1480+'CAFCO 400 '!$D$31)),0),0)+IF(AND(L1480="Cafco 300",J1480&gt;=95,J1480&lt;=240,C1480="Cj",I1480=90),VLOOKUP(T1480,'CAFCO 300 IDIEM TABLAS'!$B$4:$D$23,2,FALSE),0)+IF(AND(L1480="Cafco 300",J1480&gt;=95,J1480&lt;=240,C1480="Cj",I1480=120),VLOOKUP(T1480,'CAFCO 300 IDIEM TABLAS'!$B$4:$D$23,3,FALSE),0)+IF(AND(L1480="Cafco 300",J1480&gt;=95,J1480&lt;=400,G1480=3,C1480="IN",I1480=90),VLOOKUP(T1480,'CAFCO 300 IDIEM TABLAS'!$F$4:$H$35,2,FALSE),0)+IF(AND(L1480="Cafco 300",J1480&gt;=95,J1480&lt;=400,G1480=3,C1480="IN",I1480=120),VLOOKUP(T1480,'CAFCO 300 IDIEM TABLAS'!$F$4:$H$35,3,FALSE),0)+IF(AND(L1480="Cafco 300",J1480&gt;=95,J1480&lt;=450,G1480=4,C1480="IN",I1480=90),VLOOKUP(T1480,'CAFCO 300 IDIEM TABLAS'!$J$4:$L$40,2,FALSE),0)+IF(AND(L1480="Cafco 300",J1480&gt;=95,J1480&lt;=450,G1480=4,C1480="IN",I1480=120),VLOOKUP(T1480,'CAFCO 300 IDIEM TABLAS'!$J$4:$L$40,3,FALSE),0)+IF(AND(M1480="Ensayo Idiem",L1480="Cafco 400",C1480="IN",G1480=4,I1480=90),VLOOKUP(T1480,'CAFCO 400 ENSAYO'!$B$7:$D$43,2,FALSE),0)+IF(AND(M1480="Ensayo Idiem",L1480="Cafco 400",C1480="IN",G1480=4,I1480=120),VLOOKUP(T1480,'CAFCO 400 ENSAYO'!$B$7:$D$43,3,FALSE),0)</f>
        <v>0</v>
      </c>
      <c r="O1480" s="96">
        <f t="shared" si="144"/>
        <v>0</v>
      </c>
      <c r="P1480" s="95" t="str">
        <f t="shared" si="145"/>
        <v>N/A</v>
      </c>
      <c r="Q1480" s="95" t="str">
        <f t="shared" si="146"/>
        <v>N/A</v>
      </c>
      <c r="R1480" s="95" t="str">
        <f t="shared" si="147"/>
        <v>NO CERT.</v>
      </c>
      <c r="S1480" s="95" t="e">
        <f t="shared" si="148"/>
        <v>#N/A</v>
      </c>
      <c r="T1480" s="119" t="e">
        <f>+IF(J1480=LOOKUP(J1480,'CAFCO 300 IDIEM TABLAS'!$J$4:$J$40),'CALCULO MORTERO'!J1480,MROUND('CALCULO MORTERO'!J1480,10))</f>
        <v>#N/A</v>
      </c>
      <c r="U1480" s="118">
        <f t="shared" si="149"/>
        <v>0</v>
      </c>
    </row>
    <row r="1481" spans="1:21" x14ac:dyDescent="0.25">
      <c r="A1481" s="118">
        <f>+CUBICACION!D1475</f>
        <v>0</v>
      </c>
      <c r="B1481" s="819">
        <f>+CUBICACION!E1475</f>
        <v>0</v>
      </c>
      <c r="C1481" s="675">
        <f>+CUBICACION!F1475</f>
        <v>0</v>
      </c>
      <c r="D1481" s="118"/>
      <c r="E1481" s="118"/>
      <c r="F1481" s="820"/>
      <c r="G1481" s="675">
        <f>+CUBICACION!J1475</f>
        <v>0</v>
      </c>
      <c r="H1481" s="118"/>
      <c r="I1481" s="821">
        <f>+CUBICACION!L1475</f>
        <v>0</v>
      </c>
      <c r="J1481" s="64">
        <f>+CUBICACION!M1475</f>
        <v>0</v>
      </c>
      <c r="K1481" s="822" t="str">
        <f>+CUBICACION!N1475</f>
        <v/>
      </c>
      <c r="L1481" s="118">
        <f>+CUBICACION!O1475</f>
        <v>0</v>
      </c>
      <c r="M1481" s="823">
        <f>+CUBICACION!P1475</f>
        <v>0</v>
      </c>
      <c r="N1481" s="902">
        <f>ROUND(IF(AND(L1481="Blaze Shield II",M1481="Software Idiem",C1481="IN",G1481=4),((('BLAZE SHIELD II'!$D$4*('CALCULO MORTERO'!I1481^2)+'BLAZE SHIELD II'!$D$5*'CALCULO MORTERO'!I1481+'BLAZE SHIELD II'!$D$6)*LN(J1481))+('BLAZE SHIELD II'!$D$7*('CALCULO MORTERO'!I1481^2)+'BLAZE SHIELD II'!$D$8*'CALCULO MORTERO'!I1481+'BLAZE SHIELD II'!$D$9)),0)+IF(AND(L1481="Blaze Shield II",M1481="Software Idiem",C1481="Cj"),((('BLAZE SHIELD II'!$H$4*('CALCULO MORTERO'!I1481^2)+'BLAZE SHIELD II'!$H$5*'CALCULO MORTERO'!I1481+'BLAZE SHIELD II'!$H$6)*LN(J1481))+('BLAZE SHIELD II'!$H$7*('CALCULO MORTERO'!I1481^2)+'BLAZE SHIELD II'!$H$8*'CALCULO MORTERO'!I1481+'BLAZE SHIELD II'!$H$9)),0)+IF(AND(L1481="Blaze Shield II",M1481="Software Idiem",C1481="C"),((('BLAZE SHIELD II'!$L$4*('CALCULO MORTERO'!I1481^2)+'BLAZE SHIELD II'!$L$5*'CALCULO MORTERO'!I1481+'BLAZE SHIELD II'!$L$6)*LN(J1481))+('BLAZE SHIELD II'!$L$7*('CALCULO MORTERO'!I1481^2)+'BLAZE SHIELD II'!$L$8*'CALCULO MORTERO'!I1481+'BLAZE SHIELD II'!$L$9)),0)+IF(AND(L1481="Blaze Shield II",M1481="Software Idiem",C1481="L"),((('BLAZE SHIELD II'!$L$4*('CALCULO MORTERO'!I1481^2)+'BLAZE SHIELD II'!$L$5*'CALCULO MORTERO'!I1481+'BLAZE SHIELD II'!$L$6)*LN(J1481))+('BLAZE SHIELD II'!$L$7*('CALCULO MORTERO'!I1481^2)+'BLAZE SHIELD II'!$L$8*'CALCULO MORTERO'!I1481+'BLAZE SHIELD II'!$L$9)),0)+IF(AND(L1481="Blaze Shield II",M1481="Software Idiem",C1481="IN",G1481=3),((('BLAZE SHIELD II'!$H$14*('CALCULO MORTERO'!I1481^2)+'BLAZE SHIELD II'!$H$15*'CALCULO MORTERO'!I1481+'BLAZE SHIELD II'!$H$16)*LN(J1481))+('BLAZE SHIELD II'!$H$17*('CALCULO MORTERO'!I1481^2)+'BLAZE SHIELD II'!$H$18*'CALCULO MORTERO'!I1481+'BLAZE SHIELD II'!$H$19)),0),0)+ROUND(IF(AND(L1481="Cafco 400",M1481="Software Idiem",C1481="IN",G1481=4),((('CAFCO 400 '!$H$7*(J1481^4)+'CAFCO 400 '!$H$8*(J1481^3)+'CAFCO 400 '!$H$9*(J1481^2)+'CAFCO 400 '!$H$10*J1481+'CAFCO 400 '!$H$11)*U1481^2)+(('CAFCO 400 '!$H$12*(J1481^3)+'CAFCO 400 '!$H$13*(J1481^2)+'CAFCO 400 '!$H$14*J1481+'CAFCO 400 '!$H$15)*U1481)+('CAFCO 400 '!$H$16*(J1481^2)+'CAFCO 400 '!$H$17*J1481+'CAFCO 400 '!$H$18)),0)+IF(AND(L1481="Cafco 400",M1481="Software Idiem",C1481="Cj"),(((('CAFCO 400 '!$D$7*LN(J1481)+'CAFCO 400 '!$D$8)*U1481^2)+(('CAFCO 400 '!$D$9*LN(J1481)+'CAFCO 400 '!$D$10)*U1481)+('CAFCO 400 '!$D$11*LN(J1481)+'CAFCO 400 '!$D$12))),0)+IF(AND(L1481="Cafco 400",M1481="Software Idiem",C1481="C"),((('CAFCO 400 '!$L$7*(J1481^3)+'CAFCO 400 '!$L$8*(J1481^2)+'CAFCO 400 '!$L$9*J1481+'CAFCO 400 '!$L$10)*U1481^2)+(('CAFCO 400 '!$L$11*(J1481^3)+'CAFCO 400 '!$L$12*(J1481^2)+'CAFCO 400 '!$L$13*J1481+'CAFCO 400 '!$L$14)*U1481)+('CAFCO 400 '!$L$15*LN(J1481)+'CAFCO 400 '!$L$16)),0)+IF(AND(L1481="Cafco 400",M1481="Software Idiem",C1481="L"),((('CAFCO 400 '!$L$7*(J1481^3)+'CAFCO 400 '!$L$8*(J1481^2)+'CAFCO 400 '!$L$9*J1481+'CAFCO 400 '!$L$10)*U1481^2)+(('CAFCO 400 '!$L$11*(J1481^3)+'CAFCO 400 '!$L$12*(J1481^2)+'CAFCO 400 '!$L$13*J1481+'CAFCO 400 '!$L$14)*U1481)+('CAFCO 400 '!$L$15*LN(J1481)+'CAFCO 400 '!$L$16)),0)+IF(AND(L1481="Cafco 400",M1481="Software Idiem",C1481="IN",G1481=3),((('CAFCO 400 '!$D$23*(J1481^2)+'CAFCO 400 '!$D$24*(J1481)+'CAFCO 400 '!$D$25)*U1481^2)+(('CAFCO 400 '!$D$26*(J1481^2)+'CAFCO 400 '!$D$27*J1481+'CAFCO 400 '!$D$28)*U1481)+('CAFCO 400 '!$D$29*(J1481^2)+'CAFCO 400 '!$D$30*J1481+'CAFCO 400 '!$D$31)),0),0)+IF(AND(L1481="Cafco 300",J1481&gt;=95,J1481&lt;=240,C1481="Cj",I1481=90),VLOOKUP(T1481,'CAFCO 300 IDIEM TABLAS'!$B$4:$D$23,2,FALSE),0)+IF(AND(L1481="Cafco 300",J1481&gt;=95,J1481&lt;=240,C1481="Cj",I1481=120),VLOOKUP(T1481,'CAFCO 300 IDIEM TABLAS'!$B$4:$D$23,3,FALSE),0)+IF(AND(L1481="Cafco 300",J1481&gt;=95,J1481&lt;=400,G1481=3,C1481="IN",I1481=90),VLOOKUP(T1481,'CAFCO 300 IDIEM TABLAS'!$F$4:$H$35,2,FALSE),0)+IF(AND(L1481="Cafco 300",J1481&gt;=95,J1481&lt;=400,G1481=3,C1481="IN",I1481=120),VLOOKUP(T1481,'CAFCO 300 IDIEM TABLAS'!$F$4:$H$35,3,FALSE),0)+IF(AND(L1481="Cafco 300",J1481&gt;=95,J1481&lt;=450,G1481=4,C1481="IN",I1481=90),VLOOKUP(T1481,'CAFCO 300 IDIEM TABLAS'!$J$4:$L$40,2,FALSE),0)+IF(AND(L1481="Cafco 300",J1481&gt;=95,J1481&lt;=450,G1481=4,C1481="IN",I1481=120),VLOOKUP(T1481,'CAFCO 300 IDIEM TABLAS'!$J$4:$L$40,3,FALSE),0)+IF(AND(M1481="Ensayo Idiem",L1481="Cafco 400",C1481="IN",G1481=4,I1481=90),VLOOKUP(T1481,'CAFCO 400 ENSAYO'!$B$7:$D$43,2,FALSE),0)+IF(AND(M1481="Ensayo Idiem",L1481="Cafco 400",C1481="IN",G1481=4,I1481=120),VLOOKUP(T1481,'CAFCO 400 ENSAYO'!$B$7:$D$43,3,FALSE),0)</f>
        <v>0</v>
      </c>
      <c r="O1481" s="96">
        <f t="shared" si="144"/>
        <v>0</v>
      </c>
      <c r="P1481" s="132" t="str">
        <f t="shared" si="145"/>
        <v>N/A</v>
      </c>
      <c r="Q1481" s="132" t="str">
        <f t="shared" si="146"/>
        <v>N/A</v>
      </c>
      <c r="R1481" s="132" t="str">
        <f t="shared" si="147"/>
        <v>NO CERT.</v>
      </c>
      <c r="S1481" s="132" t="e">
        <f t="shared" si="148"/>
        <v>#N/A</v>
      </c>
      <c r="T1481" s="133" t="e">
        <f>+IF(J1481=LOOKUP(J1481,'CAFCO 300 IDIEM TABLAS'!$J$4:$J$40),'CALCULO MORTERO'!J1481,MROUND('CALCULO MORTERO'!J1481,10))</f>
        <v>#N/A</v>
      </c>
      <c r="U1481" s="134">
        <f t="shared" si="149"/>
        <v>0</v>
      </c>
    </row>
    <row r="1482" spans="1:21" x14ac:dyDescent="0.25">
      <c r="A1482" s="118">
        <f>+CUBICACION!D1476</f>
        <v>0</v>
      </c>
      <c r="B1482" s="819">
        <f>+CUBICACION!E1476</f>
        <v>0</v>
      </c>
      <c r="C1482" s="675">
        <f>+CUBICACION!F1476</f>
        <v>0</v>
      </c>
      <c r="D1482" s="118"/>
      <c r="E1482" s="118"/>
      <c r="F1482" s="820"/>
      <c r="G1482" s="675">
        <f>+CUBICACION!J1476</f>
        <v>0</v>
      </c>
      <c r="H1482" s="118"/>
      <c r="I1482" s="821">
        <f>+CUBICACION!L1476</f>
        <v>0</v>
      </c>
      <c r="J1482" s="64">
        <f>+CUBICACION!M1476</f>
        <v>0</v>
      </c>
      <c r="K1482" s="822" t="str">
        <f>+CUBICACION!N1476</f>
        <v/>
      </c>
      <c r="L1482" s="118">
        <f>+CUBICACION!O1476</f>
        <v>0</v>
      </c>
      <c r="M1482" s="823">
        <f>+CUBICACION!P1476</f>
        <v>0</v>
      </c>
      <c r="N1482" s="902">
        <f>ROUND(IF(AND(L1482="Blaze Shield II",M1482="Software Idiem",C1482="IN",G1482=4),((('BLAZE SHIELD II'!$D$4*('CALCULO MORTERO'!I1482^2)+'BLAZE SHIELD II'!$D$5*'CALCULO MORTERO'!I1482+'BLAZE SHIELD II'!$D$6)*LN(J1482))+('BLAZE SHIELD II'!$D$7*('CALCULO MORTERO'!I1482^2)+'BLAZE SHIELD II'!$D$8*'CALCULO MORTERO'!I1482+'BLAZE SHIELD II'!$D$9)),0)+IF(AND(L1482="Blaze Shield II",M1482="Software Idiem",C1482="Cj"),((('BLAZE SHIELD II'!$H$4*('CALCULO MORTERO'!I1482^2)+'BLAZE SHIELD II'!$H$5*'CALCULO MORTERO'!I1482+'BLAZE SHIELD II'!$H$6)*LN(J1482))+('BLAZE SHIELD II'!$H$7*('CALCULO MORTERO'!I1482^2)+'BLAZE SHIELD II'!$H$8*'CALCULO MORTERO'!I1482+'BLAZE SHIELD II'!$H$9)),0)+IF(AND(L1482="Blaze Shield II",M1482="Software Idiem",C1482="C"),((('BLAZE SHIELD II'!$L$4*('CALCULO MORTERO'!I1482^2)+'BLAZE SHIELD II'!$L$5*'CALCULO MORTERO'!I1482+'BLAZE SHIELD II'!$L$6)*LN(J1482))+('BLAZE SHIELD II'!$L$7*('CALCULO MORTERO'!I1482^2)+'BLAZE SHIELD II'!$L$8*'CALCULO MORTERO'!I1482+'BLAZE SHIELD II'!$L$9)),0)+IF(AND(L1482="Blaze Shield II",M1482="Software Idiem",C1482="L"),((('BLAZE SHIELD II'!$L$4*('CALCULO MORTERO'!I1482^2)+'BLAZE SHIELD II'!$L$5*'CALCULO MORTERO'!I1482+'BLAZE SHIELD II'!$L$6)*LN(J1482))+('BLAZE SHIELD II'!$L$7*('CALCULO MORTERO'!I1482^2)+'BLAZE SHIELD II'!$L$8*'CALCULO MORTERO'!I1482+'BLAZE SHIELD II'!$L$9)),0)+IF(AND(L1482="Blaze Shield II",M1482="Software Idiem",C1482="IN",G1482=3),((('BLAZE SHIELD II'!$H$14*('CALCULO MORTERO'!I1482^2)+'BLAZE SHIELD II'!$H$15*'CALCULO MORTERO'!I1482+'BLAZE SHIELD II'!$H$16)*LN(J1482))+('BLAZE SHIELD II'!$H$17*('CALCULO MORTERO'!I1482^2)+'BLAZE SHIELD II'!$H$18*'CALCULO MORTERO'!I1482+'BLAZE SHIELD II'!$H$19)),0),0)+ROUND(IF(AND(L1482="Cafco 400",M1482="Software Idiem",C1482="IN",G1482=4),((('CAFCO 400 '!$H$7*(J1482^4)+'CAFCO 400 '!$H$8*(J1482^3)+'CAFCO 400 '!$H$9*(J1482^2)+'CAFCO 400 '!$H$10*J1482+'CAFCO 400 '!$H$11)*U1482^2)+(('CAFCO 400 '!$H$12*(J1482^3)+'CAFCO 400 '!$H$13*(J1482^2)+'CAFCO 400 '!$H$14*J1482+'CAFCO 400 '!$H$15)*U1482)+('CAFCO 400 '!$H$16*(J1482^2)+'CAFCO 400 '!$H$17*J1482+'CAFCO 400 '!$H$18)),0)+IF(AND(L1482="Cafco 400",M1482="Software Idiem",C1482="Cj"),(((('CAFCO 400 '!$D$7*LN(J1482)+'CAFCO 400 '!$D$8)*U1482^2)+(('CAFCO 400 '!$D$9*LN(J1482)+'CAFCO 400 '!$D$10)*U1482)+('CAFCO 400 '!$D$11*LN(J1482)+'CAFCO 400 '!$D$12))),0)+IF(AND(L1482="Cafco 400",M1482="Software Idiem",C1482="C"),((('CAFCO 400 '!$L$7*(J1482^3)+'CAFCO 400 '!$L$8*(J1482^2)+'CAFCO 400 '!$L$9*J1482+'CAFCO 400 '!$L$10)*U1482^2)+(('CAFCO 400 '!$L$11*(J1482^3)+'CAFCO 400 '!$L$12*(J1482^2)+'CAFCO 400 '!$L$13*J1482+'CAFCO 400 '!$L$14)*U1482)+('CAFCO 400 '!$L$15*LN(J1482)+'CAFCO 400 '!$L$16)),0)+IF(AND(L1482="Cafco 400",M1482="Software Idiem",C1482="L"),((('CAFCO 400 '!$L$7*(J1482^3)+'CAFCO 400 '!$L$8*(J1482^2)+'CAFCO 400 '!$L$9*J1482+'CAFCO 400 '!$L$10)*U1482^2)+(('CAFCO 400 '!$L$11*(J1482^3)+'CAFCO 400 '!$L$12*(J1482^2)+'CAFCO 400 '!$L$13*J1482+'CAFCO 400 '!$L$14)*U1482)+('CAFCO 400 '!$L$15*LN(J1482)+'CAFCO 400 '!$L$16)),0)+IF(AND(L1482="Cafco 400",M1482="Software Idiem",C1482="IN",G1482=3),((('CAFCO 400 '!$D$23*(J1482^2)+'CAFCO 400 '!$D$24*(J1482)+'CAFCO 400 '!$D$25)*U1482^2)+(('CAFCO 400 '!$D$26*(J1482^2)+'CAFCO 400 '!$D$27*J1482+'CAFCO 400 '!$D$28)*U1482)+('CAFCO 400 '!$D$29*(J1482^2)+'CAFCO 400 '!$D$30*J1482+'CAFCO 400 '!$D$31)),0),0)+IF(AND(L1482="Cafco 300",J1482&gt;=95,J1482&lt;=240,C1482="Cj",I1482=90),VLOOKUP(T1482,'CAFCO 300 IDIEM TABLAS'!$B$4:$D$23,2,FALSE),0)+IF(AND(L1482="Cafco 300",J1482&gt;=95,J1482&lt;=240,C1482="Cj",I1482=120),VLOOKUP(T1482,'CAFCO 300 IDIEM TABLAS'!$B$4:$D$23,3,FALSE),0)+IF(AND(L1482="Cafco 300",J1482&gt;=95,J1482&lt;=400,G1482=3,C1482="IN",I1482=90),VLOOKUP(T1482,'CAFCO 300 IDIEM TABLAS'!$F$4:$H$35,2,FALSE),0)+IF(AND(L1482="Cafco 300",J1482&gt;=95,J1482&lt;=400,G1482=3,C1482="IN",I1482=120),VLOOKUP(T1482,'CAFCO 300 IDIEM TABLAS'!$F$4:$H$35,3,FALSE),0)+IF(AND(L1482="Cafco 300",J1482&gt;=95,J1482&lt;=450,G1482=4,C1482="IN",I1482=90),VLOOKUP(T1482,'CAFCO 300 IDIEM TABLAS'!$J$4:$L$40,2,FALSE),0)+IF(AND(L1482="Cafco 300",J1482&gt;=95,J1482&lt;=450,G1482=4,C1482="IN",I1482=120),VLOOKUP(T1482,'CAFCO 300 IDIEM TABLAS'!$J$4:$L$40,3,FALSE),0)+IF(AND(M1482="Ensayo Idiem",L1482="Cafco 400",C1482="IN",G1482=4,I1482=90),VLOOKUP(T1482,'CAFCO 400 ENSAYO'!$B$7:$D$43,2,FALSE),0)+IF(AND(M1482="Ensayo Idiem",L1482="Cafco 400",C1482="IN",G1482=4,I1482=120),VLOOKUP(T1482,'CAFCO 400 ENSAYO'!$B$7:$D$43,3,FALSE),0)</f>
        <v>0</v>
      </c>
      <c r="O1482" s="96">
        <f t="shared" si="144"/>
        <v>0</v>
      </c>
      <c r="P1482" s="95" t="str">
        <f t="shared" si="145"/>
        <v>N/A</v>
      </c>
      <c r="Q1482" s="95" t="str">
        <f t="shared" si="146"/>
        <v>N/A</v>
      </c>
      <c r="R1482" s="95" t="str">
        <f t="shared" si="147"/>
        <v>NO CERT.</v>
      </c>
      <c r="S1482" s="95" t="e">
        <f t="shared" si="148"/>
        <v>#N/A</v>
      </c>
      <c r="T1482" s="119" t="e">
        <f>+IF(J1482=LOOKUP(J1482,'CAFCO 300 IDIEM TABLAS'!$J$4:$J$40),'CALCULO MORTERO'!J1482,MROUND('CALCULO MORTERO'!J1482,10))</f>
        <v>#N/A</v>
      </c>
      <c r="U1482" s="118">
        <f t="shared" si="149"/>
        <v>0</v>
      </c>
    </row>
    <row r="1483" spans="1:21" x14ac:dyDescent="0.25">
      <c r="A1483" s="118">
        <f>+CUBICACION!D1477</f>
        <v>0</v>
      </c>
      <c r="B1483" s="819">
        <f>+CUBICACION!E1477</f>
        <v>0</v>
      </c>
      <c r="C1483" s="675">
        <f>+CUBICACION!F1477</f>
        <v>0</v>
      </c>
      <c r="D1483" s="118"/>
      <c r="E1483" s="118"/>
      <c r="F1483" s="820"/>
      <c r="G1483" s="675">
        <f>+CUBICACION!J1477</f>
        <v>0</v>
      </c>
      <c r="H1483" s="118"/>
      <c r="I1483" s="821">
        <f>+CUBICACION!L1477</f>
        <v>0</v>
      </c>
      <c r="J1483" s="64">
        <f>+CUBICACION!M1477</f>
        <v>0</v>
      </c>
      <c r="K1483" s="822" t="str">
        <f>+CUBICACION!N1477</f>
        <v/>
      </c>
      <c r="L1483" s="118">
        <f>+CUBICACION!O1477</f>
        <v>0</v>
      </c>
      <c r="M1483" s="823">
        <f>+CUBICACION!P1477</f>
        <v>0</v>
      </c>
      <c r="N1483" s="902">
        <f>ROUND(IF(AND(L1483="Blaze Shield II",M1483="Software Idiem",C1483="IN",G1483=4),((('BLAZE SHIELD II'!$D$4*('CALCULO MORTERO'!I1483^2)+'BLAZE SHIELD II'!$D$5*'CALCULO MORTERO'!I1483+'BLAZE SHIELD II'!$D$6)*LN(J1483))+('BLAZE SHIELD II'!$D$7*('CALCULO MORTERO'!I1483^2)+'BLAZE SHIELD II'!$D$8*'CALCULO MORTERO'!I1483+'BLAZE SHIELD II'!$D$9)),0)+IF(AND(L1483="Blaze Shield II",M1483="Software Idiem",C1483="Cj"),((('BLAZE SHIELD II'!$H$4*('CALCULO MORTERO'!I1483^2)+'BLAZE SHIELD II'!$H$5*'CALCULO MORTERO'!I1483+'BLAZE SHIELD II'!$H$6)*LN(J1483))+('BLAZE SHIELD II'!$H$7*('CALCULO MORTERO'!I1483^2)+'BLAZE SHIELD II'!$H$8*'CALCULO MORTERO'!I1483+'BLAZE SHIELD II'!$H$9)),0)+IF(AND(L1483="Blaze Shield II",M1483="Software Idiem",C1483="C"),((('BLAZE SHIELD II'!$L$4*('CALCULO MORTERO'!I1483^2)+'BLAZE SHIELD II'!$L$5*'CALCULO MORTERO'!I1483+'BLAZE SHIELD II'!$L$6)*LN(J1483))+('BLAZE SHIELD II'!$L$7*('CALCULO MORTERO'!I1483^2)+'BLAZE SHIELD II'!$L$8*'CALCULO MORTERO'!I1483+'BLAZE SHIELD II'!$L$9)),0)+IF(AND(L1483="Blaze Shield II",M1483="Software Idiem",C1483="L"),((('BLAZE SHIELD II'!$L$4*('CALCULO MORTERO'!I1483^2)+'BLAZE SHIELD II'!$L$5*'CALCULO MORTERO'!I1483+'BLAZE SHIELD II'!$L$6)*LN(J1483))+('BLAZE SHIELD II'!$L$7*('CALCULO MORTERO'!I1483^2)+'BLAZE SHIELD II'!$L$8*'CALCULO MORTERO'!I1483+'BLAZE SHIELD II'!$L$9)),0)+IF(AND(L1483="Blaze Shield II",M1483="Software Idiem",C1483="IN",G1483=3),((('BLAZE SHIELD II'!$H$14*('CALCULO MORTERO'!I1483^2)+'BLAZE SHIELD II'!$H$15*'CALCULO MORTERO'!I1483+'BLAZE SHIELD II'!$H$16)*LN(J1483))+('BLAZE SHIELD II'!$H$17*('CALCULO MORTERO'!I1483^2)+'BLAZE SHIELD II'!$H$18*'CALCULO MORTERO'!I1483+'BLAZE SHIELD II'!$H$19)),0),0)+ROUND(IF(AND(L1483="Cafco 400",M1483="Software Idiem",C1483="IN",G1483=4),((('CAFCO 400 '!$H$7*(J1483^4)+'CAFCO 400 '!$H$8*(J1483^3)+'CAFCO 400 '!$H$9*(J1483^2)+'CAFCO 400 '!$H$10*J1483+'CAFCO 400 '!$H$11)*U1483^2)+(('CAFCO 400 '!$H$12*(J1483^3)+'CAFCO 400 '!$H$13*(J1483^2)+'CAFCO 400 '!$H$14*J1483+'CAFCO 400 '!$H$15)*U1483)+('CAFCO 400 '!$H$16*(J1483^2)+'CAFCO 400 '!$H$17*J1483+'CAFCO 400 '!$H$18)),0)+IF(AND(L1483="Cafco 400",M1483="Software Idiem",C1483="Cj"),(((('CAFCO 400 '!$D$7*LN(J1483)+'CAFCO 400 '!$D$8)*U1483^2)+(('CAFCO 400 '!$D$9*LN(J1483)+'CAFCO 400 '!$D$10)*U1483)+('CAFCO 400 '!$D$11*LN(J1483)+'CAFCO 400 '!$D$12))),0)+IF(AND(L1483="Cafco 400",M1483="Software Idiem",C1483="C"),((('CAFCO 400 '!$L$7*(J1483^3)+'CAFCO 400 '!$L$8*(J1483^2)+'CAFCO 400 '!$L$9*J1483+'CAFCO 400 '!$L$10)*U1483^2)+(('CAFCO 400 '!$L$11*(J1483^3)+'CAFCO 400 '!$L$12*(J1483^2)+'CAFCO 400 '!$L$13*J1483+'CAFCO 400 '!$L$14)*U1483)+('CAFCO 400 '!$L$15*LN(J1483)+'CAFCO 400 '!$L$16)),0)+IF(AND(L1483="Cafco 400",M1483="Software Idiem",C1483="L"),((('CAFCO 400 '!$L$7*(J1483^3)+'CAFCO 400 '!$L$8*(J1483^2)+'CAFCO 400 '!$L$9*J1483+'CAFCO 400 '!$L$10)*U1483^2)+(('CAFCO 400 '!$L$11*(J1483^3)+'CAFCO 400 '!$L$12*(J1483^2)+'CAFCO 400 '!$L$13*J1483+'CAFCO 400 '!$L$14)*U1483)+('CAFCO 400 '!$L$15*LN(J1483)+'CAFCO 400 '!$L$16)),0)+IF(AND(L1483="Cafco 400",M1483="Software Idiem",C1483="IN",G1483=3),((('CAFCO 400 '!$D$23*(J1483^2)+'CAFCO 400 '!$D$24*(J1483)+'CAFCO 400 '!$D$25)*U1483^2)+(('CAFCO 400 '!$D$26*(J1483^2)+'CAFCO 400 '!$D$27*J1483+'CAFCO 400 '!$D$28)*U1483)+('CAFCO 400 '!$D$29*(J1483^2)+'CAFCO 400 '!$D$30*J1483+'CAFCO 400 '!$D$31)),0),0)+IF(AND(L1483="Cafco 300",J1483&gt;=95,J1483&lt;=240,C1483="Cj",I1483=90),VLOOKUP(T1483,'CAFCO 300 IDIEM TABLAS'!$B$4:$D$23,2,FALSE),0)+IF(AND(L1483="Cafco 300",J1483&gt;=95,J1483&lt;=240,C1483="Cj",I1483=120),VLOOKUP(T1483,'CAFCO 300 IDIEM TABLAS'!$B$4:$D$23,3,FALSE),0)+IF(AND(L1483="Cafco 300",J1483&gt;=95,J1483&lt;=400,G1483=3,C1483="IN",I1483=90),VLOOKUP(T1483,'CAFCO 300 IDIEM TABLAS'!$F$4:$H$35,2,FALSE),0)+IF(AND(L1483="Cafco 300",J1483&gt;=95,J1483&lt;=400,G1483=3,C1483="IN",I1483=120),VLOOKUP(T1483,'CAFCO 300 IDIEM TABLAS'!$F$4:$H$35,3,FALSE),0)+IF(AND(L1483="Cafco 300",J1483&gt;=95,J1483&lt;=450,G1483=4,C1483="IN",I1483=90),VLOOKUP(T1483,'CAFCO 300 IDIEM TABLAS'!$J$4:$L$40,2,FALSE),0)+IF(AND(L1483="Cafco 300",J1483&gt;=95,J1483&lt;=450,G1483=4,C1483="IN",I1483=120),VLOOKUP(T1483,'CAFCO 300 IDIEM TABLAS'!$J$4:$L$40,3,FALSE),0)+IF(AND(M1483="Ensayo Idiem",L1483="Cafco 400",C1483="IN",G1483=4,I1483=90),VLOOKUP(T1483,'CAFCO 400 ENSAYO'!$B$7:$D$43,2,FALSE),0)+IF(AND(M1483="Ensayo Idiem",L1483="Cafco 400",C1483="IN",G1483=4,I1483=120),VLOOKUP(T1483,'CAFCO 400 ENSAYO'!$B$7:$D$43,3,FALSE),0)</f>
        <v>0</v>
      </c>
      <c r="O1483" s="96">
        <f t="shared" ref="O1483:O1546" si="150">((IF(L1483="Blaze Shield II",((K1483*N1483*0.43)/38),IF(L1483="Cafco 400",((K1483*N1483*0.43)/23),IF(L1483="Cafco 300",((K1483*N1483*0.43)/31.16),0)))))</f>
        <v>0</v>
      </c>
      <c r="P1483" s="132" t="str">
        <f t="shared" si="145"/>
        <v>N/A</v>
      </c>
      <c r="Q1483" s="132" t="str">
        <f t="shared" si="146"/>
        <v>N/A</v>
      </c>
      <c r="R1483" s="132" t="str">
        <f t="shared" si="147"/>
        <v>NO CERT.</v>
      </c>
      <c r="S1483" s="132" t="e">
        <f t="shared" si="148"/>
        <v>#N/A</v>
      </c>
      <c r="T1483" s="133" t="e">
        <f>+IF(J1483=LOOKUP(J1483,'CAFCO 300 IDIEM TABLAS'!$J$4:$J$40),'CALCULO MORTERO'!J1483,MROUND('CALCULO MORTERO'!J1483,10))</f>
        <v>#N/A</v>
      </c>
      <c r="U1483" s="134">
        <f t="shared" si="149"/>
        <v>0</v>
      </c>
    </row>
    <row r="1484" spans="1:21" x14ac:dyDescent="0.25">
      <c r="A1484" s="118">
        <f>+CUBICACION!D1478</f>
        <v>0</v>
      </c>
      <c r="B1484" s="819">
        <f>+CUBICACION!E1478</f>
        <v>0</v>
      </c>
      <c r="C1484" s="675">
        <f>+CUBICACION!F1478</f>
        <v>0</v>
      </c>
      <c r="D1484" s="118"/>
      <c r="E1484" s="118"/>
      <c r="F1484" s="820"/>
      <c r="G1484" s="675">
        <f>+CUBICACION!J1478</f>
        <v>0</v>
      </c>
      <c r="H1484" s="118"/>
      <c r="I1484" s="821">
        <f>+CUBICACION!L1478</f>
        <v>0</v>
      </c>
      <c r="J1484" s="64">
        <f>+CUBICACION!M1478</f>
        <v>0</v>
      </c>
      <c r="K1484" s="822" t="str">
        <f>+CUBICACION!N1478</f>
        <v/>
      </c>
      <c r="L1484" s="118">
        <f>+CUBICACION!O1478</f>
        <v>0</v>
      </c>
      <c r="M1484" s="823">
        <f>+CUBICACION!P1478</f>
        <v>0</v>
      </c>
      <c r="N1484" s="902">
        <f>ROUND(IF(AND(L1484="Blaze Shield II",M1484="Software Idiem",C1484="IN",G1484=4),((('BLAZE SHIELD II'!$D$4*('CALCULO MORTERO'!I1484^2)+'BLAZE SHIELD II'!$D$5*'CALCULO MORTERO'!I1484+'BLAZE SHIELD II'!$D$6)*LN(J1484))+('BLAZE SHIELD II'!$D$7*('CALCULO MORTERO'!I1484^2)+'BLAZE SHIELD II'!$D$8*'CALCULO MORTERO'!I1484+'BLAZE SHIELD II'!$D$9)),0)+IF(AND(L1484="Blaze Shield II",M1484="Software Idiem",C1484="Cj"),((('BLAZE SHIELD II'!$H$4*('CALCULO MORTERO'!I1484^2)+'BLAZE SHIELD II'!$H$5*'CALCULO MORTERO'!I1484+'BLAZE SHIELD II'!$H$6)*LN(J1484))+('BLAZE SHIELD II'!$H$7*('CALCULO MORTERO'!I1484^2)+'BLAZE SHIELD II'!$H$8*'CALCULO MORTERO'!I1484+'BLAZE SHIELD II'!$H$9)),0)+IF(AND(L1484="Blaze Shield II",M1484="Software Idiem",C1484="C"),((('BLAZE SHIELD II'!$L$4*('CALCULO MORTERO'!I1484^2)+'BLAZE SHIELD II'!$L$5*'CALCULO MORTERO'!I1484+'BLAZE SHIELD II'!$L$6)*LN(J1484))+('BLAZE SHIELD II'!$L$7*('CALCULO MORTERO'!I1484^2)+'BLAZE SHIELD II'!$L$8*'CALCULO MORTERO'!I1484+'BLAZE SHIELD II'!$L$9)),0)+IF(AND(L1484="Blaze Shield II",M1484="Software Idiem",C1484="L"),((('BLAZE SHIELD II'!$L$4*('CALCULO MORTERO'!I1484^2)+'BLAZE SHIELD II'!$L$5*'CALCULO MORTERO'!I1484+'BLAZE SHIELD II'!$L$6)*LN(J1484))+('BLAZE SHIELD II'!$L$7*('CALCULO MORTERO'!I1484^2)+'BLAZE SHIELD II'!$L$8*'CALCULO MORTERO'!I1484+'BLAZE SHIELD II'!$L$9)),0)+IF(AND(L1484="Blaze Shield II",M1484="Software Idiem",C1484="IN",G1484=3),((('BLAZE SHIELD II'!$H$14*('CALCULO MORTERO'!I1484^2)+'BLAZE SHIELD II'!$H$15*'CALCULO MORTERO'!I1484+'BLAZE SHIELD II'!$H$16)*LN(J1484))+('BLAZE SHIELD II'!$H$17*('CALCULO MORTERO'!I1484^2)+'BLAZE SHIELD II'!$H$18*'CALCULO MORTERO'!I1484+'BLAZE SHIELD II'!$H$19)),0),0)+ROUND(IF(AND(L1484="Cafco 400",M1484="Software Idiem",C1484="IN",G1484=4),((('CAFCO 400 '!$H$7*(J1484^4)+'CAFCO 400 '!$H$8*(J1484^3)+'CAFCO 400 '!$H$9*(J1484^2)+'CAFCO 400 '!$H$10*J1484+'CAFCO 400 '!$H$11)*U1484^2)+(('CAFCO 400 '!$H$12*(J1484^3)+'CAFCO 400 '!$H$13*(J1484^2)+'CAFCO 400 '!$H$14*J1484+'CAFCO 400 '!$H$15)*U1484)+('CAFCO 400 '!$H$16*(J1484^2)+'CAFCO 400 '!$H$17*J1484+'CAFCO 400 '!$H$18)),0)+IF(AND(L1484="Cafco 400",M1484="Software Idiem",C1484="Cj"),(((('CAFCO 400 '!$D$7*LN(J1484)+'CAFCO 400 '!$D$8)*U1484^2)+(('CAFCO 400 '!$D$9*LN(J1484)+'CAFCO 400 '!$D$10)*U1484)+('CAFCO 400 '!$D$11*LN(J1484)+'CAFCO 400 '!$D$12))),0)+IF(AND(L1484="Cafco 400",M1484="Software Idiem",C1484="C"),((('CAFCO 400 '!$L$7*(J1484^3)+'CAFCO 400 '!$L$8*(J1484^2)+'CAFCO 400 '!$L$9*J1484+'CAFCO 400 '!$L$10)*U1484^2)+(('CAFCO 400 '!$L$11*(J1484^3)+'CAFCO 400 '!$L$12*(J1484^2)+'CAFCO 400 '!$L$13*J1484+'CAFCO 400 '!$L$14)*U1484)+('CAFCO 400 '!$L$15*LN(J1484)+'CAFCO 400 '!$L$16)),0)+IF(AND(L1484="Cafco 400",M1484="Software Idiem",C1484="L"),((('CAFCO 400 '!$L$7*(J1484^3)+'CAFCO 400 '!$L$8*(J1484^2)+'CAFCO 400 '!$L$9*J1484+'CAFCO 400 '!$L$10)*U1484^2)+(('CAFCO 400 '!$L$11*(J1484^3)+'CAFCO 400 '!$L$12*(J1484^2)+'CAFCO 400 '!$L$13*J1484+'CAFCO 400 '!$L$14)*U1484)+('CAFCO 400 '!$L$15*LN(J1484)+'CAFCO 400 '!$L$16)),0)+IF(AND(L1484="Cafco 400",M1484="Software Idiem",C1484="IN",G1484=3),((('CAFCO 400 '!$D$23*(J1484^2)+'CAFCO 400 '!$D$24*(J1484)+'CAFCO 400 '!$D$25)*U1484^2)+(('CAFCO 400 '!$D$26*(J1484^2)+'CAFCO 400 '!$D$27*J1484+'CAFCO 400 '!$D$28)*U1484)+('CAFCO 400 '!$D$29*(J1484^2)+'CAFCO 400 '!$D$30*J1484+'CAFCO 400 '!$D$31)),0),0)+IF(AND(L1484="Cafco 300",J1484&gt;=95,J1484&lt;=240,C1484="Cj",I1484=90),VLOOKUP(T1484,'CAFCO 300 IDIEM TABLAS'!$B$4:$D$23,2,FALSE),0)+IF(AND(L1484="Cafco 300",J1484&gt;=95,J1484&lt;=240,C1484="Cj",I1484=120),VLOOKUP(T1484,'CAFCO 300 IDIEM TABLAS'!$B$4:$D$23,3,FALSE),0)+IF(AND(L1484="Cafco 300",J1484&gt;=95,J1484&lt;=400,G1484=3,C1484="IN",I1484=90),VLOOKUP(T1484,'CAFCO 300 IDIEM TABLAS'!$F$4:$H$35,2,FALSE),0)+IF(AND(L1484="Cafco 300",J1484&gt;=95,J1484&lt;=400,G1484=3,C1484="IN",I1484=120),VLOOKUP(T1484,'CAFCO 300 IDIEM TABLAS'!$F$4:$H$35,3,FALSE),0)+IF(AND(L1484="Cafco 300",J1484&gt;=95,J1484&lt;=450,G1484=4,C1484="IN",I1484=90),VLOOKUP(T1484,'CAFCO 300 IDIEM TABLAS'!$J$4:$L$40,2,FALSE),0)+IF(AND(L1484="Cafco 300",J1484&gt;=95,J1484&lt;=450,G1484=4,C1484="IN",I1484=120),VLOOKUP(T1484,'CAFCO 300 IDIEM TABLAS'!$J$4:$L$40,3,FALSE),0)+IF(AND(M1484="Ensayo Idiem",L1484="Cafco 400",C1484="IN",G1484=4,I1484=90),VLOOKUP(T1484,'CAFCO 400 ENSAYO'!$B$7:$D$43,2,FALSE),0)+IF(AND(M1484="Ensayo Idiem",L1484="Cafco 400",C1484="IN",G1484=4,I1484=120),VLOOKUP(T1484,'CAFCO 400 ENSAYO'!$B$7:$D$43,3,FALSE),0)</f>
        <v>0</v>
      </c>
      <c r="O1484" s="96">
        <f t="shared" si="150"/>
        <v>0</v>
      </c>
      <c r="P1484" s="95" t="str">
        <f t="shared" si="145"/>
        <v>N/A</v>
      </c>
      <c r="Q1484" s="95" t="str">
        <f t="shared" si="146"/>
        <v>N/A</v>
      </c>
      <c r="R1484" s="95" t="str">
        <f t="shared" si="147"/>
        <v>NO CERT.</v>
      </c>
      <c r="S1484" s="95" t="e">
        <f t="shared" si="148"/>
        <v>#N/A</v>
      </c>
      <c r="T1484" s="119" t="e">
        <f>+IF(J1484=LOOKUP(J1484,'CAFCO 300 IDIEM TABLAS'!$J$4:$J$40),'CALCULO MORTERO'!J1484,MROUND('CALCULO MORTERO'!J1484,10))</f>
        <v>#N/A</v>
      </c>
      <c r="U1484" s="118">
        <f t="shared" si="149"/>
        <v>0</v>
      </c>
    </row>
    <row r="1485" spans="1:21" x14ac:dyDescent="0.25">
      <c r="A1485" s="118">
        <f>+CUBICACION!D1479</f>
        <v>0</v>
      </c>
      <c r="B1485" s="819">
        <f>+CUBICACION!E1479</f>
        <v>0</v>
      </c>
      <c r="C1485" s="675">
        <f>+CUBICACION!F1479</f>
        <v>0</v>
      </c>
      <c r="D1485" s="118"/>
      <c r="E1485" s="118"/>
      <c r="F1485" s="820"/>
      <c r="G1485" s="675">
        <f>+CUBICACION!J1479</f>
        <v>0</v>
      </c>
      <c r="H1485" s="118"/>
      <c r="I1485" s="821">
        <f>+CUBICACION!L1479</f>
        <v>0</v>
      </c>
      <c r="J1485" s="64">
        <f>+CUBICACION!M1479</f>
        <v>0</v>
      </c>
      <c r="K1485" s="822" t="str">
        <f>+CUBICACION!N1479</f>
        <v/>
      </c>
      <c r="L1485" s="118">
        <f>+CUBICACION!O1479</f>
        <v>0</v>
      </c>
      <c r="M1485" s="823">
        <f>+CUBICACION!P1479</f>
        <v>0</v>
      </c>
      <c r="N1485" s="902">
        <f>ROUND(IF(AND(L1485="Blaze Shield II",M1485="Software Idiem",C1485="IN",G1485=4),((('BLAZE SHIELD II'!$D$4*('CALCULO MORTERO'!I1485^2)+'BLAZE SHIELD II'!$D$5*'CALCULO MORTERO'!I1485+'BLAZE SHIELD II'!$D$6)*LN(J1485))+('BLAZE SHIELD II'!$D$7*('CALCULO MORTERO'!I1485^2)+'BLAZE SHIELD II'!$D$8*'CALCULO MORTERO'!I1485+'BLAZE SHIELD II'!$D$9)),0)+IF(AND(L1485="Blaze Shield II",M1485="Software Idiem",C1485="Cj"),((('BLAZE SHIELD II'!$H$4*('CALCULO MORTERO'!I1485^2)+'BLAZE SHIELD II'!$H$5*'CALCULO MORTERO'!I1485+'BLAZE SHIELD II'!$H$6)*LN(J1485))+('BLAZE SHIELD II'!$H$7*('CALCULO MORTERO'!I1485^2)+'BLAZE SHIELD II'!$H$8*'CALCULO MORTERO'!I1485+'BLAZE SHIELD II'!$H$9)),0)+IF(AND(L1485="Blaze Shield II",M1485="Software Idiem",C1485="C"),((('BLAZE SHIELD II'!$L$4*('CALCULO MORTERO'!I1485^2)+'BLAZE SHIELD II'!$L$5*'CALCULO MORTERO'!I1485+'BLAZE SHIELD II'!$L$6)*LN(J1485))+('BLAZE SHIELD II'!$L$7*('CALCULO MORTERO'!I1485^2)+'BLAZE SHIELD II'!$L$8*'CALCULO MORTERO'!I1485+'BLAZE SHIELD II'!$L$9)),0)+IF(AND(L1485="Blaze Shield II",M1485="Software Idiem",C1485="L"),((('BLAZE SHIELD II'!$L$4*('CALCULO MORTERO'!I1485^2)+'BLAZE SHIELD II'!$L$5*'CALCULO MORTERO'!I1485+'BLAZE SHIELD II'!$L$6)*LN(J1485))+('BLAZE SHIELD II'!$L$7*('CALCULO MORTERO'!I1485^2)+'BLAZE SHIELD II'!$L$8*'CALCULO MORTERO'!I1485+'BLAZE SHIELD II'!$L$9)),0)+IF(AND(L1485="Blaze Shield II",M1485="Software Idiem",C1485="IN",G1485=3),((('BLAZE SHIELD II'!$H$14*('CALCULO MORTERO'!I1485^2)+'BLAZE SHIELD II'!$H$15*'CALCULO MORTERO'!I1485+'BLAZE SHIELD II'!$H$16)*LN(J1485))+('BLAZE SHIELD II'!$H$17*('CALCULO MORTERO'!I1485^2)+'BLAZE SHIELD II'!$H$18*'CALCULO MORTERO'!I1485+'BLAZE SHIELD II'!$H$19)),0),0)+ROUND(IF(AND(L1485="Cafco 400",M1485="Software Idiem",C1485="IN",G1485=4),((('CAFCO 400 '!$H$7*(J1485^4)+'CAFCO 400 '!$H$8*(J1485^3)+'CAFCO 400 '!$H$9*(J1485^2)+'CAFCO 400 '!$H$10*J1485+'CAFCO 400 '!$H$11)*U1485^2)+(('CAFCO 400 '!$H$12*(J1485^3)+'CAFCO 400 '!$H$13*(J1485^2)+'CAFCO 400 '!$H$14*J1485+'CAFCO 400 '!$H$15)*U1485)+('CAFCO 400 '!$H$16*(J1485^2)+'CAFCO 400 '!$H$17*J1485+'CAFCO 400 '!$H$18)),0)+IF(AND(L1485="Cafco 400",M1485="Software Idiem",C1485="Cj"),(((('CAFCO 400 '!$D$7*LN(J1485)+'CAFCO 400 '!$D$8)*U1485^2)+(('CAFCO 400 '!$D$9*LN(J1485)+'CAFCO 400 '!$D$10)*U1485)+('CAFCO 400 '!$D$11*LN(J1485)+'CAFCO 400 '!$D$12))),0)+IF(AND(L1485="Cafco 400",M1485="Software Idiem",C1485="C"),((('CAFCO 400 '!$L$7*(J1485^3)+'CAFCO 400 '!$L$8*(J1485^2)+'CAFCO 400 '!$L$9*J1485+'CAFCO 400 '!$L$10)*U1485^2)+(('CAFCO 400 '!$L$11*(J1485^3)+'CAFCO 400 '!$L$12*(J1485^2)+'CAFCO 400 '!$L$13*J1485+'CAFCO 400 '!$L$14)*U1485)+('CAFCO 400 '!$L$15*LN(J1485)+'CAFCO 400 '!$L$16)),0)+IF(AND(L1485="Cafco 400",M1485="Software Idiem",C1485="L"),((('CAFCO 400 '!$L$7*(J1485^3)+'CAFCO 400 '!$L$8*(J1485^2)+'CAFCO 400 '!$L$9*J1485+'CAFCO 400 '!$L$10)*U1485^2)+(('CAFCO 400 '!$L$11*(J1485^3)+'CAFCO 400 '!$L$12*(J1485^2)+'CAFCO 400 '!$L$13*J1485+'CAFCO 400 '!$L$14)*U1485)+('CAFCO 400 '!$L$15*LN(J1485)+'CAFCO 400 '!$L$16)),0)+IF(AND(L1485="Cafco 400",M1485="Software Idiem",C1485="IN",G1485=3),((('CAFCO 400 '!$D$23*(J1485^2)+'CAFCO 400 '!$D$24*(J1485)+'CAFCO 400 '!$D$25)*U1485^2)+(('CAFCO 400 '!$D$26*(J1485^2)+'CAFCO 400 '!$D$27*J1485+'CAFCO 400 '!$D$28)*U1485)+('CAFCO 400 '!$D$29*(J1485^2)+'CAFCO 400 '!$D$30*J1485+'CAFCO 400 '!$D$31)),0),0)+IF(AND(L1485="Cafco 300",J1485&gt;=95,J1485&lt;=240,C1485="Cj",I1485=90),VLOOKUP(T1485,'CAFCO 300 IDIEM TABLAS'!$B$4:$D$23,2,FALSE),0)+IF(AND(L1485="Cafco 300",J1485&gt;=95,J1485&lt;=240,C1485="Cj",I1485=120),VLOOKUP(T1485,'CAFCO 300 IDIEM TABLAS'!$B$4:$D$23,3,FALSE),0)+IF(AND(L1485="Cafco 300",J1485&gt;=95,J1485&lt;=400,G1485=3,C1485="IN",I1485=90),VLOOKUP(T1485,'CAFCO 300 IDIEM TABLAS'!$F$4:$H$35,2,FALSE),0)+IF(AND(L1485="Cafco 300",J1485&gt;=95,J1485&lt;=400,G1485=3,C1485="IN",I1485=120),VLOOKUP(T1485,'CAFCO 300 IDIEM TABLAS'!$F$4:$H$35,3,FALSE),0)+IF(AND(L1485="Cafco 300",J1485&gt;=95,J1485&lt;=450,G1485=4,C1485="IN",I1485=90),VLOOKUP(T1485,'CAFCO 300 IDIEM TABLAS'!$J$4:$L$40,2,FALSE),0)+IF(AND(L1485="Cafco 300",J1485&gt;=95,J1485&lt;=450,G1485=4,C1485="IN",I1485=120),VLOOKUP(T1485,'CAFCO 300 IDIEM TABLAS'!$J$4:$L$40,3,FALSE),0)+IF(AND(M1485="Ensayo Idiem",L1485="Cafco 400",C1485="IN",G1485=4,I1485=90),VLOOKUP(T1485,'CAFCO 400 ENSAYO'!$B$7:$D$43,2,FALSE),0)+IF(AND(M1485="Ensayo Idiem",L1485="Cafco 400",C1485="IN",G1485=4,I1485=120),VLOOKUP(T1485,'CAFCO 400 ENSAYO'!$B$7:$D$43,3,FALSE),0)</f>
        <v>0</v>
      </c>
      <c r="O1485" s="96">
        <f t="shared" si="150"/>
        <v>0</v>
      </c>
      <c r="P1485" s="132" t="str">
        <f t="shared" si="145"/>
        <v>N/A</v>
      </c>
      <c r="Q1485" s="132" t="str">
        <f t="shared" si="146"/>
        <v>N/A</v>
      </c>
      <c r="R1485" s="132" t="str">
        <f t="shared" si="147"/>
        <v>NO CERT.</v>
      </c>
      <c r="S1485" s="132" t="e">
        <f t="shared" si="148"/>
        <v>#N/A</v>
      </c>
      <c r="T1485" s="133" t="e">
        <f>+IF(J1485=LOOKUP(J1485,'CAFCO 300 IDIEM TABLAS'!$J$4:$J$40),'CALCULO MORTERO'!J1485,MROUND('CALCULO MORTERO'!J1485,10))</f>
        <v>#N/A</v>
      </c>
      <c r="U1485" s="134">
        <f t="shared" si="149"/>
        <v>0</v>
      </c>
    </row>
    <row r="1486" spans="1:21" x14ac:dyDescent="0.25">
      <c r="A1486" s="118">
        <f>+CUBICACION!D1480</f>
        <v>0</v>
      </c>
      <c r="B1486" s="819">
        <f>+CUBICACION!E1480</f>
        <v>0</v>
      </c>
      <c r="C1486" s="675">
        <f>+CUBICACION!F1480</f>
        <v>0</v>
      </c>
      <c r="D1486" s="118"/>
      <c r="E1486" s="118"/>
      <c r="F1486" s="820"/>
      <c r="G1486" s="675">
        <f>+CUBICACION!J1480</f>
        <v>0</v>
      </c>
      <c r="H1486" s="118"/>
      <c r="I1486" s="821">
        <f>+CUBICACION!L1480</f>
        <v>0</v>
      </c>
      <c r="J1486" s="64">
        <f>+CUBICACION!M1480</f>
        <v>0</v>
      </c>
      <c r="K1486" s="822" t="str">
        <f>+CUBICACION!N1480</f>
        <v/>
      </c>
      <c r="L1486" s="118">
        <f>+CUBICACION!O1480</f>
        <v>0</v>
      </c>
      <c r="M1486" s="823">
        <f>+CUBICACION!P1480</f>
        <v>0</v>
      </c>
      <c r="N1486" s="902">
        <f>ROUND(IF(AND(L1486="Blaze Shield II",M1486="Software Idiem",C1486="IN",G1486=4),((('BLAZE SHIELD II'!$D$4*('CALCULO MORTERO'!I1486^2)+'BLAZE SHIELD II'!$D$5*'CALCULO MORTERO'!I1486+'BLAZE SHIELD II'!$D$6)*LN(J1486))+('BLAZE SHIELD II'!$D$7*('CALCULO MORTERO'!I1486^2)+'BLAZE SHIELD II'!$D$8*'CALCULO MORTERO'!I1486+'BLAZE SHIELD II'!$D$9)),0)+IF(AND(L1486="Blaze Shield II",M1486="Software Idiem",C1486="Cj"),((('BLAZE SHIELD II'!$H$4*('CALCULO MORTERO'!I1486^2)+'BLAZE SHIELD II'!$H$5*'CALCULO MORTERO'!I1486+'BLAZE SHIELD II'!$H$6)*LN(J1486))+('BLAZE SHIELD II'!$H$7*('CALCULO MORTERO'!I1486^2)+'BLAZE SHIELD II'!$H$8*'CALCULO MORTERO'!I1486+'BLAZE SHIELD II'!$H$9)),0)+IF(AND(L1486="Blaze Shield II",M1486="Software Idiem",C1486="C"),((('BLAZE SHIELD II'!$L$4*('CALCULO MORTERO'!I1486^2)+'BLAZE SHIELD II'!$L$5*'CALCULO MORTERO'!I1486+'BLAZE SHIELD II'!$L$6)*LN(J1486))+('BLAZE SHIELD II'!$L$7*('CALCULO MORTERO'!I1486^2)+'BLAZE SHIELD II'!$L$8*'CALCULO MORTERO'!I1486+'BLAZE SHIELD II'!$L$9)),0)+IF(AND(L1486="Blaze Shield II",M1486="Software Idiem",C1486="L"),((('BLAZE SHIELD II'!$L$4*('CALCULO MORTERO'!I1486^2)+'BLAZE SHIELD II'!$L$5*'CALCULO MORTERO'!I1486+'BLAZE SHIELD II'!$L$6)*LN(J1486))+('BLAZE SHIELD II'!$L$7*('CALCULO MORTERO'!I1486^2)+'BLAZE SHIELD II'!$L$8*'CALCULO MORTERO'!I1486+'BLAZE SHIELD II'!$L$9)),0)+IF(AND(L1486="Blaze Shield II",M1486="Software Idiem",C1486="IN",G1486=3),((('BLAZE SHIELD II'!$H$14*('CALCULO MORTERO'!I1486^2)+'BLAZE SHIELD II'!$H$15*'CALCULO MORTERO'!I1486+'BLAZE SHIELD II'!$H$16)*LN(J1486))+('BLAZE SHIELD II'!$H$17*('CALCULO MORTERO'!I1486^2)+'BLAZE SHIELD II'!$H$18*'CALCULO MORTERO'!I1486+'BLAZE SHIELD II'!$H$19)),0),0)+ROUND(IF(AND(L1486="Cafco 400",M1486="Software Idiem",C1486="IN",G1486=4),((('CAFCO 400 '!$H$7*(J1486^4)+'CAFCO 400 '!$H$8*(J1486^3)+'CAFCO 400 '!$H$9*(J1486^2)+'CAFCO 400 '!$H$10*J1486+'CAFCO 400 '!$H$11)*U1486^2)+(('CAFCO 400 '!$H$12*(J1486^3)+'CAFCO 400 '!$H$13*(J1486^2)+'CAFCO 400 '!$H$14*J1486+'CAFCO 400 '!$H$15)*U1486)+('CAFCO 400 '!$H$16*(J1486^2)+'CAFCO 400 '!$H$17*J1486+'CAFCO 400 '!$H$18)),0)+IF(AND(L1486="Cafco 400",M1486="Software Idiem",C1486="Cj"),(((('CAFCO 400 '!$D$7*LN(J1486)+'CAFCO 400 '!$D$8)*U1486^2)+(('CAFCO 400 '!$D$9*LN(J1486)+'CAFCO 400 '!$D$10)*U1486)+('CAFCO 400 '!$D$11*LN(J1486)+'CAFCO 400 '!$D$12))),0)+IF(AND(L1486="Cafco 400",M1486="Software Idiem",C1486="C"),((('CAFCO 400 '!$L$7*(J1486^3)+'CAFCO 400 '!$L$8*(J1486^2)+'CAFCO 400 '!$L$9*J1486+'CAFCO 400 '!$L$10)*U1486^2)+(('CAFCO 400 '!$L$11*(J1486^3)+'CAFCO 400 '!$L$12*(J1486^2)+'CAFCO 400 '!$L$13*J1486+'CAFCO 400 '!$L$14)*U1486)+('CAFCO 400 '!$L$15*LN(J1486)+'CAFCO 400 '!$L$16)),0)+IF(AND(L1486="Cafco 400",M1486="Software Idiem",C1486="L"),((('CAFCO 400 '!$L$7*(J1486^3)+'CAFCO 400 '!$L$8*(J1486^2)+'CAFCO 400 '!$L$9*J1486+'CAFCO 400 '!$L$10)*U1486^2)+(('CAFCO 400 '!$L$11*(J1486^3)+'CAFCO 400 '!$L$12*(J1486^2)+'CAFCO 400 '!$L$13*J1486+'CAFCO 400 '!$L$14)*U1486)+('CAFCO 400 '!$L$15*LN(J1486)+'CAFCO 400 '!$L$16)),0)+IF(AND(L1486="Cafco 400",M1486="Software Idiem",C1486="IN",G1486=3),((('CAFCO 400 '!$D$23*(J1486^2)+'CAFCO 400 '!$D$24*(J1486)+'CAFCO 400 '!$D$25)*U1486^2)+(('CAFCO 400 '!$D$26*(J1486^2)+'CAFCO 400 '!$D$27*J1486+'CAFCO 400 '!$D$28)*U1486)+('CAFCO 400 '!$D$29*(J1486^2)+'CAFCO 400 '!$D$30*J1486+'CAFCO 400 '!$D$31)),0),0)+IF(AND(L1486="Cafco 300",J1486&gt;=95,J1486&lt;=240,C1486="Cj",I1486=90),VLOOKUP(T1486,'CAFCO 300 IDIEM TABLAS'!$B$4:$D$23,2,FALSE),0)+IF(AND(L1486="Cafco 300",J1486&gt;=95,J1486&lt;=240,C1486="Cj",I1486=120),VLOOKUP(T1486,'CAFCO 300 IDIEM TABLAS'!$B$4:$D$23,3,FALSE),0)+IF(AND(L1486="Cafco 300",J1486&gt;=95,J1486&lt;=400,G1486=3,C1486="IN",I1486=90),VLOOKUP(T1486,'CAFCO 300 IDIEM TABLAS'!$F$4:$H$35,2,FALSE),0)+IF(AND(L1486="Cafco 300",J1486&gt;=95,J1486&lt;=400,G1486=3,C1486="IN",I1486=120),VLOOKUP(T1486,'CAFCO 300 IDIEM TABLAS'!$F$4:$H$35,3,FALSE),0)+IF(AND(L1486="Cafco 300",J1486&gt;=95,J1486&lt;=450,G1486=4,C1486="IN",I1486=90),VLOOKUP(T1486,'CAFCO 300 IDIEM TABLAS'!$J$4:$L$40,2,FALSE),0)+IF(AND(L1486="Cafco 300",J1486&gt;=95,J1486&lt;=450,G1486=4,C1486="IN",I1486=120),VLOOKUP(T1486,'CAFCO 300 IDIEM TABLAS'!$J$4:$L$40,3,FALSE),0)+IF(AND(M1486="Ensayo Idiem",L1486="Cafco 400",C1486="IN",G1486=4,I1486=90),VLOOKUP(T1486,'CAFCO 400 ENSAYO'!$B$7:$D$43,2,FALSE),0)+IF(AND(M1486="Ensayo Idiem",L1486="Cafco 400",C1486="IN",G1486=4,I1486=120),VLOOKUP(T1486,'CAFCO 400 ENSAYO'!$B$7:$D$43,3,FALSE),0)</f>
        <v>0</v>
      </c>
      <c r="O1486" s="96">
        <f t="shared" si="150"/>
        <v>0</v>
      </c>
      <c r="P1486" s="95" t="str">
        <f t="shared" si="145"/>
        <v>N/A</v>
      </c>
      <c r="Q1486" s="95" t="str">
        <f t="shared" si="146"/>
        <v>N/A</v>
      </c>
      <c r="R1486" s="95" t="str">
        <f t="shared" si="147"/>
        <v>NO CERT.</v>
      </c>
      <c r="S1486" s="95" t="e">
        <f t="shared" si="148"/>
        <v>#N/A</v>
      </c>
      <c r="T1486" s="119" t="e">
        <f>+IF(J1486=LOOKUP(J1486,'CAFCO 300 IDIEM TABLAS'!$J$4:$J$40),'CALCULO MORTERO'!J1486,MROUND('CALCULO MORTERO'!J1486,10))</f>
        <v>#N/A</v>
      </c>
      <c r="U1486" s="118">
        <f t="shared" si="149"/>
        <v>0</v>
      </c>
    </row>
    <row r="1487" spans="1:21" x14ac:dyDescent="0.25">
      <c r="A1487" s="118">
        <f>+CUBICACION!D1481</f>
        <v>0</v>
      </c>
      <c r="B1487" s="819">
        <f>+CUBICACION!E1481</f>
        <v>0</v>
      </c>
      <c r="C1487" s="675">
        <f>+CUBICACION!F1481</f>
        <v>0</v>
      </c>
      <c r="D1487" s="118"/>
      <c r="E1487" s="118"/>
      <c r="F1487" s="820"/>
      <c r="G1487" s="675">
        <f>+CUBICACION!J1481</f>
        <v>0</v>
      </c>
      <c r="H1487" s="118"/>
      <c r="I1487" s="821">
        <f>+CUBICACION!L1481</f>
        <v>0</v>
      </c>
      <c r="J1487" s="64">
        <f>+CUBICACION!M1481</f>
        <v>0</v>
      </c>
      <c r="K1487" s="822" t="str">
        <f>+CUBICACION!N1481</f>
        <v/>
      </c>
      <c r="L1487" s="118">
        <f>+CUBICACION!O1481</f>
        <v>0</v>
      </c>
      <c r="M1487" s="823">
        <f>+CUBICACION!P1481</f>
        <v>0</v>
      </c>
      <c r="N1487" s="902">
        <f>ROUND(IF(AND(L1487="Blaze Shield II",M1487="Software Idiem",C1487="IN",G1487=4),((('BLAZE SHIELD II'!$D$4*('CALCULO MORTERO'!I1487^2)+'BLAZE SHIELD II'!$D$5*'CALCULO MORTERO'!I1487+'BLAZE SHIELD II'!$D$6)*LN(J1487))+('BLAZE SHIELD II'!$D$7*('CALCULO MORTERO'!I1487^2)+'BLAZE SHIELD II'!$D$8*'CALCULO MORTERO'!I1487+'BLAZE SHIELD II'!$D$9)),0)+IF(AND(L1487="Blaze Shield II",M1487="Software Idiem",C1487="Cj"),((('BLAZE SHIELD II'!$H$4*('CALCULO MORTERO'!I1487^2)+'BLAZE SHIELD II'!$H$5*'CALCULO MORTERO'!I1487+'BLAZE SHIELD II'!$H$6)*LN(J1487))+('BLAZE SHIELD II'!$H$7*('CALCULO MORTERO'!I1487^2)+'BLAZE SHIELD II'!$H$8*'CALCULO MORTERO'!I1487+'BLAZE SHIELD II'!$H$9)),0)+IF(AND(L1487="Blaze Shield II",M1487="Software Idiem",C1487="C"),((('BLAZE SHIELD II'!$L$4*('CALCULO MORTERO'!I1487^2)+'BLAZE SHIELD II'!$L$5*'CALCULO MORTERO'!I1487+'BLAZE SHIELD II'!$L$6)*LN(J1487))+('BLAZE SHIELD II'!$L$7*('CALCULO MORTERO'!I1487^2)+'BLAZE SHIELD II'!$L$8*'CALCULO MORTERO'!I1487+'BLAZE SHIELD II'!$L$9)),0)+IF(AND(L1487="Blaze Shield II",M1487="Software Idiem",C1487="L"),((('BLAZE SHIELD II'!$L$4*('CALCULO MORTERO'!I1487^2)+'BLAZE SHIELD II'!$L$5*'CALCULO MORTERO'!I1487+'BLAZE SHIELD II'!$L$6)*LN(J1487))+('BLAZE SHIELD II'!$L$7*('CALCULO MORTERO'!I1487^2)+'BLAZE SHIELD II'!$L$8*'CALCULO MORTERO'!I1487+'BLAZE SHIELD II'!$L$9)),0)+IF(AND(L1487="Blaze Shield II",M1487="Software Idiem",C1487="IN",G1487=3),((('BLAZE SHIELD II'!$H$14*('CALCULO MORTERO'!I1487^2)+'BLAZE SHIELD II'!$H$15*'CALCULO MORTERO'!I1487+'BLAZE SHIELD II'!$H$16)*LN(J1487))+('BLAZE SHIELD II'!$H$17*('CALCULO MORTERO'!I1487^2)+'BLAZE SHIELD II'!$H$18*'CALCULO MORTERO'!I1487+'BLAZE SHIELD II'!$H$19)),0),0)+ROUND(IF(AND(L1487="Cafco 400",M1487="Software Idiem",C1487="IN",G1487=4),((('CAFCO 400 '!$H$7*(J1487^4)+'CAFCO 400 '!$H$8*(J1487^3)+'CAFCO 400 '!$H$9*(J1487^2)+'CAFCO 400 '!$H$10*J1487+'CAFCO 400 '!$H$11)*U1487^2)+(('CAFCO 400 '!$H$12*(J1487^3)+'CAFCO 400 '!$H$13*(J1487^2)+'CAFCO 400 '!$H$14*J1487+'CAFCO 400 '!$H$15)*U1487)+('CAFCO 400 '!$H$16*(J1487^2)+'CAFCO 400 '!$H$17*J1487+'CAFCO 400 '!$H$18)),0)+IF(AND(L1487="Cafco 400",M1487="Software Idiem",C1487="Cj"),(((('CAFCO 400 '!$D$7*LN(J1487)+'CAFCO 400 '!$D$8)*U1487^2)+(('CAFCO 400 '!$D$9*LN(J1487)+'CAFCO 400 '!$D$10)*U1487)+('CAFCO 400 '!$D$11*LN(J1487)+'CAFCO 400 '!$D$12))),0)+IF(AND(L1487="Cafco 400",M1487="Software Idiem",C1487="C"),((('CAFCO 400 '!$L$7*(J1487^3)+'CAFCO 400 '!$L$8*(J1487^2)+'CAFCO 400 '!$L$9*J1487+'CAFCO 400 '!$L$10)*U1487^2)+(('CAFCO 400 '!$L$11*(J1487^3)+'CAFCO 400 '!$L$12*(J1487^2)+'CAFCO 400 '!$L$13*J1487+'CAFCO 400 '!$L$14)*U1487)+('CAFCO 400 '!$L$15*LN(J1487)+'CAFCO 400 '!$L$16)),0)+IF(AND(L1487="Cafco 400",M1487="Software Idiem",C1487="L"),((('CAFCO 400 '!$L$7*(J1487^3)+'CAFCO 400 '!$L$8*(J1487^2)+'CAFCO 400 '!$L$9*J1487+'CAFCO 400 '!$L$10)*U1487^2)+(('CAFCO 400 '!$L$11*(J1487^3)+'CAFCO 400 '!$L$12*(J1487^2)+'CAFCO 400 '!$L$13*J1487+'CAFCO 400 '!$L$14)*U1487)+('CAFCO 400 '!$L$15*LN(J1487)+'CAFCO 400 '!$L$16)),0)+IF(AND(L1487="Cafco 400",M1487="Software Idiem",C1487="IN",G1487=3),((('CAFCO 400 '!$D$23*(J1487^2)+'CAFCO 400 '!$D$24*(J1487)+'CAFCO 400 '!$D$25)*U1487^2)+(('CAFCO 400 '!$D$26*(J1487^2)+'CAFCO 400 '!$D$27*J1487+'CAFCO 400 '!$D$28)*U1487)+('CAFCO 400 '!$D$29*(J1487^2)+'CAFCO 400 '!$D$30*J1487+'CAFCO 400 '!$D$31)),0),0)+IF(AND(L1487="Cafco 300",J1487&gt;=95,J1487&lt;=240,C1487="Cj",I1487=90),VLOOKUP(T1487,'CAFCO 300 IDIEM TABLAS'!$B$4:$D$23,2,FALSE),0)+IF(AND(L1487="Cafco 300",J1487&gt;=95,J1487&lt;=240,C1487="Cj",I1487=120),VLOOKUP(T1487,'CAFCO 300 IDIEM TABLAS'!$B$4:$D$23,3,FALSE),0)+IF(AND(L1487="Cafco 300",J1487&gt;=95,J1487&lt;=400,G1487=3,C1487="IN",I1487=90),VLOOKUP(T1487,'CAFCO 300 IDIEM TABLAS'!$F$4:$H$35,2,FALSE),0)+IF(AND(L1487="Cafco 300",J1487&gt;=95,J1487&lt;=400,G1487=3,C1487="IN",I1487=120),VLOOKUP(T1487,'CAFCO 300 IDIEM TABLAS'!$F$4:$H$35,3,FALSE),0)+IF(AND(L1487="Cafco 300",J1487&gt;=95,J1487&lt;=450,G1487=4,C1487="IN",I1487=90),VLOOKUP(T1487,'CAFCO 300 IDIEM TABLAS'!$J$4:$L$40,2,FALSE),0)+IF(AND(L1487="Cafco 300",J1487&gt;=95,J1487&lt;=450,G1487=4,C1487="IN",I1487=120),VLOOKUP(T1487,'CAFCO 300 IDIEM TABLAS'!$J$4:$L$40,3,FALSE),0)+IF(AND(M1487="Ensayo Idiem",L1487="Cafco 400",C1487="IN",G1487=4,I1487=90),VLOOKUP(T1487,'CAFCO 400 ENSAYO'!$B$7:$D$43,2,FALSE),0)+IF(AND(M1487="Ensayo Idiem",L1487="Cafco 400",C1487="IN",G1487=4,I1487=120),VLOOKUP(T1487,'CAFCO 400 ENSAYO'!$B$7:$D$43,3,FALSE),0)</f>
        <v>0</v>
      </c>
      <c r="O1487" s="96">
        <f t="shared" si="150"/>
        <v>0</v>
      </c>
      <c r="P1487" s="132" t="str">
        <f t="shared" si="145"/>
        <v>N/A</v>
      </c>
      <c r="Q1487" s="132" t="str">
        <f t="shared" si="146"/>
        <v>N/A</v>
      </c>
      <c r="R1487" s="132" t="str">
        <f t="shared" si="147"/>
        <v>NO CERT.</v>
      </c>
      <c r="S1487" s="132" t="e">
        <f t="shared" si="148"/>
        <v>#N/A</v>
      </c>
      <c r="T1487" s="133" t="e">
        <f>+IF(J1487=LOOKUP(J1487,'CAFCO 300 IDIEM TABLAS'!$J$4:$J$40),'CALCULO MORTERO'!J1487,MROUND('CALCULO MORTERO'!J1487,10))</f>
        <v>#N/A</v>
      </c>
      <c r="U1487" s="134">
        <f t="shared" si="149"/>
        <v>0</v>
      </c>
    </row>
    <row r="1488" spans="1:21" x14ac:dyDescent="0.25">
      <c r="A1488" s="118">
        <f>+CUBICACION!D1482</f>
        <v>0</v>
      </c>
      <c r="B1488" s="819">
        <f>+CUBICACION!E1482</f>
        <v>0</v>
      </c>
      <c r="C1488" s="675">
        <f>+CUBICACION!F1482</f>
        <v>0</v>
      </c>
      <c r="D1488" s="118"/>
      <c r="E1488" s="118"/>
      <c r="F1488" s="820"/>
      <c r="G1488" s="675">
        <f>+CUBICACION!J1482</f>
        <v>0</v>
      </c>
      <c r="H1488" s="118"/>
      <c r="I1488" s="821">
        <f>+CUBICACION!L1482</f>
        <v>0</v>
      </c>
      <c r="J1488" s="64">
        <f>+CUBICACION!M1482</f>
        <v>0</v>
      </c>
      <c r="K1488" s="822" t="str">
        <f>+CUBICACION!N1482</f>
        <v/>
      </c>
      <c r="L1488" s="118">
        <f>+CUBICACION!O1482</f>
        <v>0</v>
      </c>
      <c r="M1488" s="823">
        <f>+CUBICACION!P1482</f>
        <v>0</v>
      </c>
      <c r="N1488" s="902">
        <f>ROUND(IF(AND(L1488="Blaze Shield II",M1488="Software Idiem",C1488="IN",G1488=4),((('BLAZE SHIELD II'!$D$4*('CALCULO MORTERO'!I1488^2)+'BLAZE SHIELD II'!$D$5*'CALCULO MORTERO'!I1488+'BLAZE SHIELD II'!$D$6)*LN(J1488))+('BLAZE SHIELD II'!$D$7*('CALCULO MORTERO'!I1488^2)+'BLAZE SHIELD II'!$D$8*'CALCULO MORTERO'!I1488+'BLAZE SHIELD II'!$D$9)),0)+IF(AND(L1488="Blaze Shield II",M1488="Software Idiem",C1488="Cj"),((('BLAZE SHIELD II'!$H$4*('CALCULO MORTERO'!I1488^2)+'BLAZE SHIELD II'!$H$5*'CALCULO MORTERO'!I1488+'BLAZE SHIELD II'!$H$6)*LN(J1488))+('BLAZE SHIELD II'!$H$7*('CALCULO MORTERO'!I1488^2)+'BLAZE SHIELD II'!$H$8*'CALCULO MORTERO'!I1488+'BLAZE SHIELD II'!$H$9)),0)+IF(AND(L1488="Blaze Shield II",M1488="Software Idiem",C1488="C"),((('BLAZE SHIELD II'!$L$4*('CALCULO MORTERO'!I1488^2)+'BLAZE SHIELD II'!$L$5*'CALCULO MORTERO'!I1488+'BLAZE SHIELD II'!$L$6)*LN(J1488))+('BLAZE SHIELD II'!$L$7*('CALCULO MORTERO'!I1488^2)+'BLAZE SHIELD II'!$L$8*'CALCULO MORTERO'!I1488+'BLAZE SHIELD II'!$L$9)),0)+IF(AND(L1488="Blaze Shield II",M1488="Software Idiem",C1488="L"),((('BLAZE SHIELD II'!$L$4*('CALCULO MORTERO'!I1488^2)+'BLAZE SHIELD II'!$L$5*'CALCULO MORTERO'!I1488+'BLAZE SHIELD II'!$L$6)*LN(J1488))+('BLAZE SHIELD II'!$L$7*('CALCULO MORTERO'!I1488^2)+'BLAZE SHIELD II'!$L$8*'CALCULO MORTERO'!I1488+'BLAZE SHIELD II'!$L$9)),0)+IF(AND(L1488="Blaze Shield II",M1488="Software Idiem",C1488="IN",G1488=3),((('BLAZE SHIELD II'!$H$14*('CALCULO MORTERO'!I1488^2)+'BLAZE SHIELD II'!$H$15*'CALCULO MORTERO'!I1488+'BLAZE SHIELD II'!$H$16)*LN(J1488))+('BLAZE SHIELD II'!$H$17*('CALCULO MORTERO'!I1488^2)+'BLAZE SHIELD II'!$H$18*'CALCULO MORTERO'!I1488+'BLAZE SHIELD II'!$H$19)),0),0)+ROUND(IF(AND(L1488="Cafco 400",M1488="Software Idiem",C1488="IN",G1488=4),((('CAFCO 400 '!$H$7*(J1488^4)+'CAFCO 400 '!$H$8*(J1488^3)+'CAFCO 400 '!$H$9*(J1488^2)+'CAFCO 400 '!$H$10*J1488+'CAFCO 400 '!$H$11)*U1488^2)+(('CAFCO 400 '!$H$12*(J1488^3)+'CAFCO 400 '!$H$13*(J1488^2)+'CAFCO 400 '!$H$14*J1488+'CAFCO 400 '!$H$15)*U1488)+('CAFCO 400 '!$H$16*(J1488^2)+'CAFCO 400 '!$H$17*J1488+'CAFCO 400 '!$H$18)),0)+IF(AND(L1488="Cafco 400",M1488="Software Idiem",C1488="Cj"),(((('CAFCO 400 '!$D$7*LN(J1488)+'CAFCO 400 '!$D$8)*U1488^2)+(('CAFCO 400 '!$D$9*LN(J1488)+'CAFCO 400 '!$D$10)*U1488)+('CAFCO 400 '!$D$11*LN(J1488)+'CAFCO 400 '!$D$12))),0)+IF(AND(L1488="Cafco 400",M1488="Software Idiem",C1488="C"),((('CAFCO 400 '!$L$7*(J1488^3)+'CAFCO 400 '!$L$8*(J1488^2)+'CAFCO 400 '!$L$9*J1488+'CAFCO 400 '!$L$10)*U1488^2)+(('CAFCO 400 '!$L$11*(J1488^3)+'CAFCO 400 '!$L$12*(J1488^2)+'CAFCO 400 '!$L$13*J1488+'CAFCO 400 '!$L$14)*U1488)+('CAFCO 400 '!$L$15*LN(J1488)+'CAFCO 400 '!$L$16)),0)+IF(AND(L1488="Cafco 400",M1488="Software Idiem",C1488="L"),((('CAFCO 400 '!$L$7*(J1488^3)+'CAFCO 400 '!$L$8*(J1488^2)+'CAFCO 400 '!$L$9*J1488+'CAFCO 400 '!$L$10)*U1488^2)+(('CAFCO 400 '!$L$11*(J1488^3)+'CAFCO 400 '!$L$12*(J1488^2)+'CAFCO 400 '!$L$13*J1488+'CAFCO 400 '!$L$14)*U1488)+('CAFCO 400 '!$L$15*LN(J1488)+'CAFCO 400 '!$L$16)),0)+IF(AND(L1488="Cafco 400",M1488="Software Idiem",C1488="IN",G1488=3),((('CAFCO 400 '!$D$23*(J1488^2)+'CAFCO 400 '!$D$24*(J1488)+'CAFCO 400 '!$D$25)*U1488^2)+(('CAFCO 400 '!$D$26*(J1488^2)+'CAFCO 400 '!$D$27*J1488+'CAFCO 400 '!$D$28)*U1488)+('CAFCO 400 '!$D$29*(J1488^2)+'CAFCO 400 '!$D$30*J1488+'CAFCO 400 '!$D$31)),0),0)+IF(AND(L1488="Cafco 300",J1488&gt;=95,J1488&lt;=240,C1488="Cj",I1488=90),VLOOKUP(T1488,'CAFCO 300 IDIEM TABLAS'!$B$4:$D$23,2,FALSE),0)+IF(AND(L1488="Cafco 300",J1488&gt;=95,J1488&lt;=240,C1488="Cj",I1488=120),VLOOKUP(T1488,'CAFCO 300 IDIEM TABLAS'!$B$4:$D$23,3,FALSE),0)+IF(AND(L1488="Cafco 300",J1488&gt;=95,J1488&lt;=400,G1488=3,C1488="IN",I1488=90),VLOOKUP(T1488,'CAFCO 300 IDIEM TABLAS'!$F$4:$H$35,2,FALSE),0)+IF(AND(L1488="Cafco 300",J1488&gt;=95,J1488&lt;=400,G1488=3,C1488="IN",I1488=120),VLOOKUP(T1488,'CAFCO 300 IDIEM TABLAS'!$F$4:$H$35,3,FALSE),0)+IF(AND(L1488="Cafco 300",J1488&gt;=95,J1488&lt;=450,G1488=4,C1488="IN",I1488=90),VLOOKUP(T1488,'CAFCO 300 IDIEM TABLAS'!$J$4:$L$40,2,FALSE),0)+IF(AND(L1488="Cafco 300",J1488&gt;=95,J1488&lt;=450,G1488=4,C1488="IN",I1488=120),VLOOKUP(T1488,'CAFCO 300 IDIEM TABLAS'!$J$4:$L$40,3,FALSE),0)+IF(AND(M1488="Ensayo Idiem",L1488="Cafco 400",C1488="IN",G1488=4,I1488=90),VLOOKUP(T1488,'CAFCO 400 ENSAYO'!$B$7:$D$43,2,FALSE),0)+IF(AND(M1488="Ensayo Idiem",L1488="Cafco 400",C1488="IN",G1488=4,I1488=120),VLOOKUP(T1488,'CAFCO 400 ENSAYO'!$B$7:$D$43,3,FALSE),0)</f>
        <v>0</v>
      </c>
      <c r="O1488" s="96">
        <f t="shared" si="150"/>
        <v>0</v>
      </c>
      <c r="P1488" s="95" t="str">
        <f t="shared" si="145"/>
        <v>N/A</v>
      </c>
      <c r="Q1488" s="95" t="str">
        <f t="shared" si="146"/>
        <v>N/A</v>
      </c>
      <c r="R1488" s="95" t="str">
        <f t="shared" si="147"/>
        <v>NO CERT.</v>
      </c>
      <c r="S1488" s="95" t="e">
        <f t="shared" si="148"/>
        <v>#N/A</v>
      </c>
      <c r="T1488" s="119" t="e">
        <f>+IF(J1488=LOOKUP(J1488,'CAFCO 300 IDIEM TABLAS'!$J$4:$J$40),'CALCULO MORTERO'!J1488,MROUND('CALCULO MORTERO'!J1488,10))</f>
        <v>#N/A</v>
      </c>
      <c r="U1488" s="118">
        <f t="shared" si="149"/>
        <v>0</v>
      </c>
    </row>
    <row r="1489" spans="1:21" x14ac:dyDescent="0.25">
      <c r="A1489" s="118">
        <f>+CUBICACION!D1483</f>
        <v>0</v>
      </c>
      <c r="B1489" s="819">
        <f>+CUBICACION!E1483</f>
        <v>0</v>
      </c>
      <c r="C1489" s="675">
        <f>+CUBICACION!F1483</f>
        <v>0</v>
      </c>
      <c r="D1489" s="118"/>
      <c r="E1489" s="118"/>
      <c r="F1489" s="820"/>
      <c r="G1489" s="675">
        <f>+CUBICACION!J1483</f>
        <v>0</v>
      </c>
      <c r="H1489" s="118"/>
      <c r="I1489" s="821">
        <f>+CUBICACION!L1483</f>
        <v>0</v>
      </c>
      <c r="J1489" s="64">
        <f>+CUBICACION!M1483</f>
        <v>0</v>
      </c>
      <c r="K1489" s="822" t="str">
        <f>+CUBICACION!N1483</f>
        <v/>
      </c>
      <c r="L1489" s="118">
        <f>+CUBICACION!O1483</f>
        <v>0</v>
      </c>
      <c r="M1489" s="823">
        <f>+CUBICACION!P1483</f>
        <v>0</v>
      </c>
      <c r="N1489" s="902">
        <f>ROUND(IF(AND(L1489="Blaze Shield II",M1489="Software Idiem",C1489="IN",G1489=4),((('BLAZE SHIELD II'!$D$4*('CALCULO MORTERO'!I1489^2)+'BLAZE SHIELD II'!$D$5*'CALCULO MORTERO'!I1489+'BLAZE SHIELD II'!$D$6)*LN(J1489))+('BLAZE SHIELD II'!$D$7*('CALCULO MORTERO'!I1489^2)+'BLAZE SHIELD II'!$D$8*'CALCULO MORTERO'!I1489+'BLAZE SHIELD II'!$D$9)),0)+IF(AND(L1489="Blaze Shield II",M1489="Software Idiem",C1489="Cj"),((('BLAZE SHIELD II'!$H$4*('CALCULO MORTERO'!I1489^2)+'BLAZE SHIELD II'!$H$5*'CALCULO MORTERO'!I1489+'BLAZE SHIELD II'!$H$6)*LN(J1489))+('BLAZE SHIELD II'!$H$7*('CALCULO MORTERO'!I1489^2)+'BLAZE SHIELD II'!$H$8*'CALCULO MORTERO'!I1489+'BLAZE SHIELD II'!$H$9)),0)+IF(AND(L1489="Blaze Shield II",M1489="Software Idiem",C1489="C"),((('BLAZE SHIELD II'!$L$4*('CALCULO MORTERO'!I1489^2)+'BLAZE SHIELD II'!$L$5*'CALCULO MORTERO'!I1489+'BLAZE SHIELD II'!$L$6)*LN(J1489))+('BLAZE SHIELD II'!$L$7*('CALCULO MORTERO'!I1489^2)+'BLAZE SHIELD II'!$L$8*'CALCULO MORTERO'!I1489+'BLAZE SHIELD II'!$L$9)),0)+IF(AND(L1489="Blaze Shield II",M1489="Software Idiem",C1489="L"),((('BLAZE SHIELD II'!$L$4*('CALCULO MORTERO'!I1489^2)+'BLAZE SHIELD II'!$L$5*'CALCULO MORTERO'!I1489+'BLAZE SHIELD II'!$L$6)*LN(J1489))+('BLAZE SHIELD II'!$L$7*('CALCULO MORTERO'!I1489^2)+'BLAZE SHIELD II'!$L$8*'CALCULO MORTERO'!I1489+'BLAZE SHIELD II'!$L$9)),0)+IF(AND(L1489="Blaze Shield II",M1489="Software Idiem",C1489="IN",G1489=3),((('BLAZE SHIELD II'!$H$14*('CALCULO MORTERO'!I1489^2)+'BLAZE SHIELD II'!$H$15*'CALCULO MORTERO'!I1489+'BLAZE SHIELD II'!$H$16)*LN(J1489))+('BLAZE SHIELD II'!$H$17*('CALCULO MORTERO'!I1489^2)+'BLAZE SHIELD II'!$H$18*'CALCULO MORTERO'!I1489+'BLAZE SHIELD II'!$H$19)),0),0)+ROUND(IF(AND(L1489="Cafco 400",M1489="Software Idiem",C1489="IN",G1489=4),((('CAFCO 400 '!$H$7*(J1489^4)+'CAFCO 400 '!$H$8*(J1489^3)+'CAFCO 400 '!$H$9*(J1489^2)+'CAFCO 400 '!$H$10*J1489+'CAFCO 400 '!$H$11)*U1489^2)+(('CAFCO 400 '!$H$12*(J1489^3)+'CAFCO 400 '!$H$13*(J1489^2)+'CAFCO 400 '!$H$14*J1489+'CAFCO 400 '!$H$15)*U1489)+('CAFCO 400 '!$H$16*(J1489^2)+'CAFCO 400 '!$H$17*J1489+'CAFCO 400 '!$H$18)),0)+IF(AND(L1489="Cafco 400",M1489="Software Idiem",C1489="Cj"),(((('CAFCO 400 '!$D$7*LN(J1489)+'CAFCO 400 '!$D$8)*U1489^2)+(('CAFCO 400 '!$D$9*LN(J1489)+'CAFCO 400 '!$D$10)*U1489)+('CAFCO 400 '!$D$11*LN(J1489)+'CAFCO 400 '!$D$12))),0)+IF(AND(L1489="Cafco 400",M1489="Software Idiem",C1489="C"),((('CAFCO 400 '!$L$7*(J1489^3)+'CAFCO 400 '!$L$8*(J1489^2)+'CAFCO 400 '!$L$9*J1489+'CAFCO 400 '!$L$10)*U1489^2)+(('CAFCO 400 '!$L$11*(J1489^3)+'CAFCO 400 '!$L$12*(J1489^2)+'CAFCO 400 '!$L$13*J1489+'CAFCO 400 '!$L$14)*U1489)+('CAFCO 400 '!$L$15*LN(J1489)+'CAFCO 400 '!$L$16)),0)+IF(AND(L1489="Cafco 400",M1489="Software Idiem",C1489="L"),((('CAFCO 400 '!$L$7*(J1489^3)+'CAFCO 400 '!$L$8*(J1489^2)+'CAFCO 400 '!$L$9*J1489+'CAFCO 400 '!$L$10)*U1489^2)+(('CAFCO 400 '!$L$11*(J1489^3)+'CAFCO 400 '!$L$12*(J1489^2)+'CAFCO 400 '!$L$13*J1489+'CAFCO 400 '!$L$14)*U1489)+('CAFCO 400 '!$L$15*LN(J1489)+'CAFCO 400 '!$L$16)),0)+IF(AND(L1489="Cafco 400",M1489="Software Idiem",C1489="IN",G1489=3),((('CAFCO 400 '!$D$23*(J1489^2)+'CAFCO 400 '!$D$24*(J1489)+'CAFCO 400 '!$D$25)*U1489^2)+(('CAFCO 400 '!$D$26*(J1489^2)+'CAFCO 400 '!$D$27*J1489+'CAFCO 400 '!$D$28)*U1489)+('CAFCO 400 '!$D$29*(J1489^2)+'CAFCO 400 '!$D$30*J1489+'CAFCO 400 '!$D$31)),0),0)+IF(AND(L1489="Cafco 300",J1489&gt;=95,J1489&lt;=240,C1489="Cj",I1489=90),VLOOKUP(T1489,'CAFCO 300 IDIEM TABLAS'!$B$4:$D$23,2,FALSE),0)+IF(AND(L1489="Cafco 300",J1489&gt;=95,J1489&lt;=240,C1489="Cj",I1489=120),VLOOKUP(T1489,'CAFCO 300 IDIEM TABLAS'!$B$4:$D$23,3,FALSE),0)+IF(AND(L1489="Cafco 300",J1489&gt;=95,J1489&lt;=400,G1489=3,C1489="IN",I1489=90),VLOOKUP(T1489,'CAFCO 300 IDIEM TABLAS'!$F$4:$H$35,2,FALSE),0)+IF(AND(L1489="Cafco 300",J1489&gt;=95,J1489&lt;=400,G1489=3,C1489="IN",I1489=120),VLOOKUP(T1489,'CAFCO 300 IDIEM TABLAS'!$F$4:$H$35,3,FALSE),0)+IF(AND(L1489="Cafco 300",J1489&gt;=95,J1489&lt;=450,G1489=4,C1489="IN",I1489=90),VLOOKUP(T1489,'CAFCO 300 IDIEM TABLAS'!$J$4:$L$40,2,FALSE),0)+IF(AND(L1489="Cafco 300",J1489&gt;=95,J1489&lt;=450,G1489=4,C1489="IN",I1489=120),VLOOKUP(T1489,'CAFCO 300 IDIEM TABLAS'!$J$4:$L$40,3,FALSE),0)+IF(AND(M1489="Ensayo Idiem",L1489="Cafco 400",C1489="IN",G1489=4,I1489=90),VLOOKUP(T1489,'CAFCO 400 ENSAYO'!$B$7:$D$43,2,FALSE),0)+IF(AND(M1489="Ensayo Idiem",L1489="Cafco 400",C1489="IN",G1489=4,I1489=120),VLOOKUP(T1489,'CAFCO 400 ENSAYO'!$B$7:$D$43,3,FALSE),0)</f>
        <v>0</v>
      </c>
      <c r="O1489" s="96">
        <f t="shared" si="150"/>
        <v>0</v>
      </c>
      <c r="P1489" s="132" t="str">
        <f t="shared" si="145"/>
        <v>N/A</v>
      </c>
      <c r="Q1489" s="132" t="str">
        <f t="shared" si="146"/>
        <v>N/A</v>
      </c>
      <c r="R1489" s="132" t="str">
        <f t="shared" si="147"/>
        <v>NO CERT.</v>
      </c>
      <c r="S1489" s="132" t="e">
        <f t="shared" si="148"/>
        <v>#N/A</v>
      </c>
      <c r="T1489" s="133" t="e">
        <f>+IF(J1489=LOOKUP(J1489,'CAFCO 300 IDIEM TABLAS'!$J$4:$J$40),'CALCULO MORTERO'!J1489,MROUND('CALCULO MORTERO'!J1489,10))</f>
        <v>#N/A</v>
      </c>
      <c r="U1489" s="134">
        <f t="shared" si="149"/>
        <v>0</v>
      </c>
    </row>
    <row r="1490" spans="1:21" x14ac:dyDescent="0.25">
      <c r="A1490" s="118">
        <f>+CUBICACION!D1484</f>
        <v>0</v>
      </c>
      <c r="B1490" s="819">
        <f>+CUBICACION!E1484</f>
        <v>0</v>
      </c>
      <c r="C1490" s="675">
        <f>+CUBICACION!F1484</f>
        <v>0</v>
      </c>
      <c r="D1490" s="118"/>
      <c r="E1490" s="118"/>
      <c r="F1490" s="820"/>
      <c r="G1490" s="675">
        <f>+CUBICACION!J1484</f>
        <v>0</v>
      </c>
      <c r="H1490" s="118"/>
      <c r="I1490" s="821">
        <f>+CUBICACION!L1484</f>
        <v>0</v>
      </c>
      <c r="J1490" s="64">
        <f>+CUBICACION!M1484</f>
        <v>0</v>
      </c>
      <c r="K1490" s="822" t="str">
        <f>+CUBICACION!N1484</f>
        <v/>
      </c>
      <c r="L1490" s="118">
        <f>+CUBICACION!O1484</f>
        <v>0</v>
      </c>
      <c r="M1490" s="823">
        <f>+CUBICACION!P1484</f>
        <v>0</v>
      </c>
      <c r="N1490" s="902">
        <f>ROUND(IF(AND(L1490="Blaze Shield II",M1490="Software Idiem",C1490="IN",G1490=4),((('BLAZE SHIELD II'!$D$4*('CALCULO MORTERO'!I1490^2)+'BLAZE SHIELD II'!$D$5*'CALCULO MORTERO'!I1490+'BLAZE SHIELD II'!$D$6)*LN(J1490))+('BLAZE SHIELD II'!$D$7*('CALCULO MORTERO'!I1490^2)+'BLAZE SHIELD II'!$D$8*'CALCULO MORTERO'!I1490+'BLAZE SHIELD II'!$D$9)),0)+IF(AND(L1490="Blaze Shield II",M1490="Software Idiem",C1490="Cj"),((('BLAZE SHIELD II'!$H$4*('CALCULO MORTERO'!I1490^2)+'BLAZE SHIELD II'!$H$5*'CALCULO MORTERO'!I1490+'BLAZE SHIELD II'!$H$6)*LN(J1490))+('BLAZE SHIELD II'!$H$7*('CALCULO MORTERO'!I1490^2)+'BLAZE SHIELD II'!$H$8*'CALCULO MORTERO'!I1490+'BLAZE SHIELD II'!$H$9)),0)+IF(AND(L1490="Blaze Shield II",M1490="Software Idiem",C1490="C"),((('BLAZE SHIELD II'!$L$4*('CALCULO MORTERO'!I1490^2)+'BLAZE SHIELD II'!$L$5*'CALCULO MORTERO'!I1490+'BLAZE SHIELD II'!$L$6)*LN(J1490))+('BLAZE SHIELD II'!$L$7*('CALCULO MORTERO'!I1490^2)+'BLAZE SHIELD II'!$L$8*'CALCULO MORTERO'!I1490+'BLAZE SHIELD II'!$L$9)),0)+IF(AND(L1490="Blaze Shield II",M1490="Software Idiem",C1490="L"),((('BLAZE SHIELD II'!$L$4*('CALCULO MORTERO'!I1490^2)+'BLAZE SHIELD II'!$L$5*'CALCULO MORTERO'!I1490+'BLAZE SHIELD II'!$L$6)*LN(J1490))+('BLAZE SHIELD II'!$L$7*('CALCULO MORTERO'!I1490^2)+'BLAZE SHIELD II'!$L$8*'CALCULO MORTERO'!I1490+'BLAZE SHIELD II'!$L$9)),0)+IF(AND(L1490="Blaze Shield II",M1490="Software Idiem",C1490="IN",G1490=3),((('BLAZE SHIELD II'!$H$14*('CALCULO MORTERO'!I1490^2)+'BLAZE SHIELD II'!$H$15*'CALCULO MORTERO'!I1490+'BLAZE SHIELD II'!$H$16)*LN(J1490))+('BLAZE SHIELD II'!$H$17*('CALCULO MORTERO'!I1490^2)+'BLAZE SHIELD II'!$H$18*'CALCULO MORTERO'!I1490+'BLAZE SHIELD II'!$H$19)),0),0)+ROUND(IF(AND(L1490="Cafco 400",M1490="Software Idiem",C1490="IN",G1490=4),((('CAFCO 400 '!$H$7*(J1490^4)+'CAFCO 400 '!$H$8*(J1490^3)+'CAFCO 400 '!$H$9*(J1490^2)+'CAFCO 400 '!$H$10*J1490+'CAFCO 400 '!$H$11)*U1490^2)+(('CAFCO 400 '!$H$12*(J1490^3)+'CAFCO 400 '!$H$13*(J1490^2)+'CAFCO 400 '!$H$14*J1490+'CAFCO 400 '!$H$15)*U1490)+('CAFCO 400 '!$H$16*(J1490^2)+'CAFCO 400 '!$H$17*J1490+'CAFCO 400 '!$H$18)),0)+IF(AND(L1490="Cafco 400",M1490="Software Idiem",C1490="Cj"),(((('CAFCO 400 '!$D$7*LN(J1490)+'CAFCO 400 '!$D$8)*U1490^2)+(('CAFCO 400 '!$D$9*LN(J1490)+'CAFCO 400 '!$D$10)*U1490)+('CAFCO 400 '!$D$11*LN(J1490)+'CAFCO 400 '!$D$12))),0)+IF(AND(L1490="Cafco 400",M1490="Software Idiem",C1490="C"),((('CAFCO 400 '!$L$7*(J1490^3)+'CAFCO 400 '!$L$8*(J1490^2)+'CAFCO 400 '!$L$9*J1490+'CAFCO 400 '!$L$10)*U1490^2)+(('CAFCO 400 '!$L$11*(J1490^3)+'CAFCO 400 '!$L$12*(J1490^2)+'CAFCO 400 '!$L$13*J1490+'CAFCO 400 '!$L$14)*U1490)+('CAFCO 400 '!$L$15*LN(J1490)+'CAFCO 400 '!$L$16)),0)+IF(AND(L1490="Cafco 400",M1490="Software Idiem",C1490="L"),((('CAFCO 400 '!$L$7*(J1490^3)+'CAFCO 400 '!$L$8*(J1490^2)+'CAFCO 400 '!$L$9*J1490+'CAFCO 400 '!$L$10)*U1490^2)+(('CAFCO 400 '!$L$11*(J1490^3)+'CAFCO 400 '!$L$12*(J1490^2)+'CAFCO 400 '!$L$13*J1490+'CAFCO 400 '!$L$14)*U1490)+('CAFCO 400 '!$L$15*LN(J1490)+'CAFCO 400 '!$L$16)),0)+IF(AND(L1490="Cafco 400",M1490="Software Idiem",C1490="IN",G1490=3),((('CAFCO 400 '!$D$23*(J1490^2)+'CAFCO 400 '!$D$24*(J1490)+'CAFCO 400 '!$D$25)*U1490^2)+(('CAFCO 400 '!$D$26*(J1490^2)+'CAFCO 400 '!$D$27*J1490+'CAFCO 400 '!$D$28)*U1490)+('CAFCO 400 '!$D$29*(J1490^2)+'CAFCO 400 '!$D$30*J1490+'CAFCO 400 '!$D$31)),0),0)+IF(AND(L1490="Cafco 300",J1490&gt;=95,J1490&lt;=240,C1490="Cj",I1490=90),VLOOKUP(T1490,'CAFCO 300 IDIEM TABLAS'!$B$4:$D$23,2,FALSE),0)+IF(AND(L1490="Cafco 300",J1490&gt;=95,J1490&lt;=240,C1490="Cj",I1490=120),VLOOKUP(T1490,'CAFCO 300 IDIEM TABLAS'!$B$4:$D$23,3,FALSE),0)+IF(AND(L1490="Cafco 300",J1490&gt;=95,J1490&lt;=400,G1490=3,C1490="IN",I1490=90),VLOOKUP(T1490,'CAFCO 300 IDIEM TABLAS'!$F$4:$H$35,2,FALSE),0)+IF(AND(L1490="Cafco 300",J1490&gt;=95,J1490&lt;=400,G1490=3,C1490="IN",I1490=120),VLOOKUP(T1490,'CAFCO 300 IDIEM TABLAS'!$F$4:$H$35,3,FALSE),0)+IF(AND(L1490="Cafco 300",J1490&gt;=95,J1490&lt;=450,G1490=4,C1490="IN",I1490=90),VLOOKUP(T1490,'CAFCO 300 IDIEM TABLAS'!$J$4:$L$40,2,FALSE),0)+IF(AND(L1490="Cafco 300",J1490&gt;=95,J1490&lt;=450,G1490=4,C1490="IN",I1490=120),VLOOKUP(T1490,'CAFCO 300 IDIEM TABLAS'!$J$4:$L$40,3,FALSE),0)+IF(AND(M1490="Ensayo Idiem",L1490="Cafco 400",C1490="IN",G1490=4,I1490=90),VLOOKUP(T1490,'CAFCO 400 ENSAYO'!$B$7:$D$43,2,FALSE),0)+IF(AND(M1490="Ensayo Idiem",L1490="Cafco 400",C1490="IN",G1490=4,I1490=120),VLOOKUP(T1490,'CAFCO 400 ENSAYO'!$B$7:$D$43,3,FALSE),0)</f>
        <v>0</v>
      </c>
      <c r="O1490" s="96">
        <f t="shared" si="150"/>
        <v>0</v>
      </c>
      <c r="P1490" s="95" t="str">
        <f t="shared" si="145"/>
        <v>N/A</v>
      </c>
      <c r="Q1490" s="95" t="str">
        <f t="shared" si="146"/>
        <v>N/A</v>
      </c>
      <c r="R1490" s="95" t="str">
        <f t="shared" si="147"/>
        <v>NO CERT.</v>
      </c>
      <c r="S1490" s="95" t="e">
        <f t="shared" si="148"/>
        <v>#N/A</v>
      </c>
      <c r="T1490" s="119" t="e">
        <f>+IF(J1490=LOOKUP(J1490,'CAFCO 300 IDIEM TABLAS'!$J$4:$J$40),'CALCULO MORTERO'!J1490,MROUND('CALCULO MORTERO'!J1490,10))</f>
        <v>#N/A</v>
      </c>
      <c r="U1490" s="118">
        <f t="shared" si="149"/>
        <v>0</v>
      </c>
    </row>
    <row r="1491" spans="1:21" x14ac:dyDescent="0.25">
      <c r="A1491" s="118">
        <f>+CUBICACION!D1485</f>
        <v>0</v>
      </c>
      <c r="B1491" s="819">
        <f>+CUBICACION!E1485</f>
        <v>0</v>
      </c>
      <c r="C1491" s="675">
        <f>+CUBICACION!F1485</f>
        <v>0</v>
      </c>
      <c r="D1491" s="118"/>
      <c r="E1491" s="118"/>
      <c r="F1491" s="820"/>
      <c r="G1491" s="675">
        <f>+CUBICACION!J1485</f>
        <v>0</v>
      </c>
      <c r="H1491" s="118"/>
      <c r="I1491" s="821">
        <f>+CUBICACION!L1485</f>
        <v>0</v>
      </c>
      <c r="J1491" s="64">
        <f>+CUBICACION!M1485</f>
        <v>0</v>
      </c>
      <c r="K1491" s="822" t="str">
        <f>+CUBICACION!N1485</f>
        <v/>
      </c>
      <c r="L1491" s="118">
        <f>+CUBICACION!O1485</f>
        <v>0</v>
      </c>
      <c r="M1491" s="823">
        <f>+CUBICACION!P1485</f>
        <v>0</v>
      </c>
      <c r="N1491" s="902">
        <f>ROUND(IF(AND(L1491="Blaze Shield II",M1491="Software Idiem",C1491="IN",G1491=4),((('BLAZE SHIELD II'!$D$4*('CALCULO MORTERO'!I1491^2)+'BLAZE SHIELD II'!$D$5*'CALCULO MORTERO'!I1491+'BLAZE SHIELD II'!$D$6)*LN(J1491))+('BLAZE SHIELD II'!$D$7*('CALCULO MORTERO'!I1491^2)+'BLAZE SHIELD II'!$D$8*'CALCULO MORTERO'!I1491+'BLAZE SHIELD II'!$D$9)),0)+IF(AND(L1491="Blaze Shield II",M1491="Software Idiem",C1491="Cj"),((('BLAZE SHIELD II'!$H$4*('CALCULO MORTERO'!I1491^2)+'BLAZE SHIELD II'!$H$5*'CALCULO MORTERO'!I1491+'BLAZE SHIELD II'!$H$6)*LN(J1491))+('BLAZE SHIELD II'!$H$7*('CALCULO MORTERO'!I1491^2)+'BLAZE SHIELD II'!$H$8*'CALCULO MORTERO'!I1491+'BLAZE SHIELD II'!$H$9)),0)+IF(AND(L1491="Blaze Shield II",M1491="Software Idiem",C1491="C"),((('BLAZE SHIELD II'!$L$4*('CALCULO MORTERO'!I1491^2)+'BLAZE SHIELD II'!$L$5*'CALCULO MORTERO'!I1491+'BLAZE SHIELD II'!$L$6)*LN(J1491))+('BLAZE SHIELD II'!$L$7*('CALCULO MORTERO'!I1491^2)+'BLAZE SHIELD II'!$L$8*'CALCULO MORTERO'!I1491+'BLAZE SHIELD II'!$L$9)),0)+IF(AND(L1491="Blaze Shield II",M1491="Software Idiem",C1491="L"),((('BLAZE SHIELD II'!$L$4*('CALCULO MORTERO'!I1491^2)+'BLAZE SHIELD II'!$L$5*'CALCULO MORTERO'!I1491+'BLAZE SHIELD II'!$L$6)*LN(J1491))+('BLAZE SHIELD II'!$L$7*('CALCULO MORTERO'!I1491^2)+'BLAZE SHIELD II'!$L$8*'CALCULO MORTERO'!I1491+'BLAZE SHIELD II'!$L$9)),0)+IF(AND(L1491="Blaze Shield II",M1491="Software Idiem",C1491="IN",G1491=3),((('BLAZE SHIELD II'!$H$14*('CALCULO MORTERO'!I1491^2)+'BLAZE SHIELD II'!$H$15*'CALCULO MORTERO'!I1491+'BLAZE SHIELD II'!$H$16)*LN(J1491))+('BLAZE SHIELD II'!$H$17*('CALCULO MORTERO'!I1491^2)+'BLAZE SHIELD II'!$H$18*'CALCULO MORTERO'!I1491+'BLAZE SHIELD II'!$H$19)),0),0)+ROUND(IF(AND(L1491="Cafco 400",M1491="Software Idiem",C1491="IN",G1491=4),((('CAFCO 400 '!$H$7*(J1491^4)+'CAFCO 400 '!$H$8*(J1491^3)+'CAFCO 400 '!$H$9*(J1491^2)+'CAFCO 400 '!$H$10*J1491+'CAFCO 400 '!$H$11)*U1491^2)+(('CAFCO 400 '!$H$12*(J1491^3)+'CAFCO 400 '!$H$13*(J1491^2)+'CAFCO 400 '!$H$14*J1491+'CAFCO 400 '!$H$15)*U1491)+('CAFCO 400 '!$H$16*(J1491^2)+'CAFCO 400 '!$H$17*J1491+'CAFCO 400 '!$H$18)),0)+IF(AND(L1491="Cafco 400",M1491="Software Idiem",C1491="Cj"),(((('CAFCO 400 '!$D$7*LN(J1491)+'CAFCO 400 '!$D$8)*U1491^2)+(('CAFCO 400 '!$D$9*LN(J1491)+'CAFCO 400 '!$D$10)*U1491)+('CAFCO 400 '!$D$11*LN(J1491)+'CAFCO 400 '!$D$12))),0)+IF(AND(L1491="Cafco 400",M1491="Software Idiem",C1491="C"),((('CAFCO 400 '!$L$7*(J1491^3)+'CAFCO 400 '!$L$8*(J1491^2)+'CAFCO 400 '!$L$9*J1491+'CAFCO 400 '!$L$10)*U1491^2)+(('CAFCO 400 '!$L$11*(J1491^3)+'CAFCO 400 '!$L$12*(J1491^2)+'CAFCO 400 '!$L$13*J1491+'CAFCO 400 '!$L$14)*U1491)+('CAFCO 400 '!$L$15*LN(J1491)+'CAFCO 400 '!$L$16)),0)+IF(AND(L1491="Cafco 400",M1491="Software Idiem",C1491="L"),((('CAFCO 400 '!$L$7*(J1491^3)+'CAFCO 400 '!$L$8*(J1491^2)+'CAFCO 400 '!$L$9*J1491+'CAFCO 400 '!$L$10)*U1491^2)+(('CAFCO 400 '!$L$11*(J1491^3)+'CAFCO 400 '!$L$12*(J1491^2)+'CAFCO 400 '!$L$13*J1491+'CAFCO 400 '!$L$14)*U1491)+('CAFCO 400 '!$L$15*LN(J1491)+'CAFCO 400 '!$L$16)),0)+IF(AND(L1491="Cafco 400",M1491="Software Idiem",C1491="IN",G1491=3),((('CAFCO 400 '!$D$23*(J1491^2)+'CAFCO 400 '!$D$24*(J1491)+'CAFCO 400 '!$D$25)*U1491^2)+(('CAFCO 400 '!$D$26*(J1491^2)+'CAFCO 400 '!$D$27*J1491+'CAFCO 400 '!$D$28)*U1491)+('CAFCO 400 '!$D$29*(J1491^2)+'CAFCO 400 '!$D$30*J1491+'CAFCO 400 '!$D$31)),0),0)+IF(AND(L1491="Cafco 300",J1491&gt;=95,J1491&lt;=240,C1491="Cj",I1491=90),VLOOKUP(T1491,'CAFCO 300 IDIEM TABLAS'!$B$4:$D$23,2,FALSE),0)+IF(AND(L1491="Cafco 300",J1491&gt;=95,J1491&lt;=240,C1491="Cj",I1491=120),VLOOKUP(T1491,'CAFCO 300 IDIEM TABLAS'!$B$4:$D$23,3,FALSE),0)+IF(AND(L1491="Cafco 300",J1491&gt;=95,J1491&lt;=400,G1491=3,C1491="IN",I1491=90),VLOOKUP(T1491,'CAFCO 300 IDIEM TABLAS'!$F$4:$H$35,2,FALSE),0)+IF(AND(L1491="Cafco 300",J1491&gt;=95,J1491&lt;=400,G1491=3,C1491="IN",I1491=120),VLOOKUP(T1491,'CAFCO 300 IDIEM TABLAS'!$F$4:$H$35,3,FALSE),0)+IF(AND(L1491="Cafco 300",J1491&gt;=95,J1491&lt;=450,G1491=4,C1491="IN",I1491=90),VLOOKUP(T1491,'CAFCO 300 IDIEM TABLAS'!$J$4:$L$40,2,FALSE),0)+IF(AND(L1491="Cafco 300",J1491&gt;=95,J1491&lt;=450,G1491=4,C1491="IN",I1491=120),VLOOKUP(T1491,'CAFCO 300 IDIEM TABLAS'!$J$4:$L$40,3,FALSE),0)+IF(AND(M1491="Ensayo Idiem",L1491="Cafco 400",C1491="IN",G1491=4,I1491=90),VLOOKUP(T1491,'CAFCO 400 ENSAYO'!$B$7:$D$43,2,FALSE),0)+IF(AND(M1491="Ensayo Idiem",L1491="Cafco 400",C1491="IN",G1491=4,I1491=120),VLOOKUP(T1491,'CAFCO 400 ENSAYO'!$B$7:$D$43,3,FALSE),0)</f>
        <v>0</v>
      </c>
      <c r="O1491" s="96">
        <f t="shared" si="150"/>
        <v>0</v>
      </c>
      <c r="P1491" s="132" t="str">
        <f t="shared" si="145"/>
        <v>N/A</v>
      </c>
      <c r="Q1491" s="132" t="str">
        <f t="shared" si="146"/>
        <v>N/A</v>
      </c>
      <c r="R1491" s="132" t="str">
        <f t="shared" si="147"/>
        <v>NO CERT.</v>
      </c>
      <c r="S1491" s="132" t="e">
        <f t="shared" si="148"/>
        <v>#N/A</v>
      </c>
      <c r="T1491" s="133" t="e">
        <f>+IF(J1491=LOOKUP(J1491,'CAFCO 300 IDIEM TABLAS'!$J$4:$J$40),'CALCULO MORTERO'!J1491,MROUND('CALCULO MORTERO'!J1491,10))</f>
        <v>#N/A</v>
      </c>
      <c r="U1491" s="134">
        <f t="shared" si="149"/>
        <v>0</v>
      </c>
    </row>
    <row r="1492" spans="1:21" x14ac:dyDescent="0.25">
      <c r="A1492" s="118">
        <f>+CUBICACION!D1486</f>
        <v>0</v>
      </c>
      <c r="B1492" s="819">
        <f>+CUBICACION!E1486</f>
        <v>0</v>
      </c>
      <c r="C1492" s="675">
        <f>+CUBICACION!F1486</f>
        <v>0</v>
      </c>
      <c r="D1492" s="118"/>
      <c r="E1492" s="118"/>
      <c r="F1492" s="820"/>
      <c r="G1492" s="675">
        <f>+CUBICACION!J1486</f>
        <v>0</v>
      </c>
      <c r="H1492" s="118"/>
      <c r="I1492" s="821">
        <f>+CUBICACION!L1486</f>
        <v>0</v>
      </c>
      <c r="J1492" s="64">
        <f>+CUBICACION!M1486</f>
        <v>0</v>
      </c>
      <c r="K1492" s="822" t="str">
        <f>+CUBICACION!N1486</f>
        <v/>
      </c>
      <c r="L1492" s="118">
        <f>+CUBICACION!O1486</f>
        <v>0</v>
      </c>
      <c r="M1492" s="823">
        <f>+CUBICACION!P1486</f>
        <v>0</v>
      </c>
      <c r="N1492" s="902">
        <f>ROUND(IF(AND(L1492="Blaze Shield II",M1492="Software Idiem",C1492="IN",G1492=4),((('BLAZE SHIELD II'!$D$4*('CALCULO MORTERO'!I1492^2)+'BLAZE SHIELD II'!$D$5*'CALCULO MORTERO'!I1492+'BLAZE SHIELD II'!$D$6)*LN(J1492))+('BLAZE SHIELD II'!$D$7*('CALCULO MORTERO'!I1492^2)+'BLAZE SHIELD II'!$D$8*'CALCULO MORTERO'!I1492+'BLAZE SHIELD II'!$D$9)),0)+IF(AND(L1492="Blaze Shield II",M1492="Software Idiem",C1492="Cj"),((('BLAZE SHIELD II'!$H$4*('CALCULO MORTERO'!I1492^2)+'BLAZE SHIELD II'!$H$5*'CALCULO MORTERO'!I1492+'BLAZE SHIELD II'!$H$6)*LN(J1492))+('BLAZE SHIELD II'!$H$7*('CALCULO MORTERO'!I1492^2)+'BLAZE SHIELD II'!$H$8*'CALCULO MORTERO'!I1492+'BLAZE SHIELD II'!$H$9)),0)+IF(AND(L1492="Blaze Shield II",M1492="Software Idiem",C1492="C"),((('BLAZE SHIELD II'!$L$4*('CALCULO MORTERO'!I1492^2)+'BLAZE SHIELD II'!$L$5*'CALCULO MORTERO'!I1492+'BLAZE SHIELD II'!$L$6)*LN(J1492))+('BLAZE SHIELD II'!$L$7*('CALCULO MORTERO'!I1492^2)+'BLAZE SHIELD II'!$L$8*'CALCULO MORTERO'!I1492+'BLAZE SHIELD II'!$L$9)),0)+IF(AND(L1492="Blaze Shield II",M1492="Software Idiem",C1492="L"),((('BLAZE SHIELD II'!$L$4*('CALCULO MORTERO'!I1492^2)+'BLAZE SHIELD II'!$L$5*'CALCULO MORTERO'!I1492+'BLAZE SHIELD II'!$L$6)*LN(J1492))+('BLAZE SHIELD II'!$L$7*('CALCULO MORTERO'!I1492^2)+'BLAZE SHIELD II'!$L$8*'CALCULO MORTERO'!I1492+'BLAZE SHIELD II'!$L$9)),0)+IF(AND(L1492="Blaze Shield II",M1492="Software Idiem",C1492="IN",G1492=3),((('BLAZE SHIELD II'!$H$14*('CALCULO MORTERO'!I1492^2)+'BLAZE SHIELD II'!$H$15*'CALCULO MORTERO'!I1492+'BLAZE SHIELD II'!$H$16)*LN(J1492))+('BLAZE SHIELD II'!$H$17*('CALCULO MORTERO'!I1492^2)+'BLAZE SHIELD II'!$H$18*'CALCULO MORTERO'!I1492+'BLAZE SHIELD II'!$H$19)),0),0)+ROUND(IF(AND(L1492="Cafco 400",M1492="Software Idiem",C1492="IN",G1492=4),((('CAFCO 400 '!$H$7*(J1492^4)+'CAFCO 400 '!$H$8*(J1492^3)+'CAFCO 400 '!$H$9*(J1492^2)+'CAFCO 400 '!$H$10*J1492+'CAFCO 400 '!$H$11)*U1492^2)+(('CAFCO 400 '!$H$12*(J1492^3)+'CAFCO 400 '!$H$13*(J1492^2)+'CAFCO 400 '!$H$14*J1492+'CAFCO 400 '!$H$15)*U1492)+('CAFCO 400 '!$H$16*(J1492^2)+'CAFCO 400 '!$H$17*J1492+'CAFCO 400 '!$H$18)),0)+IF(AND(L1492="Cafco 400",M1492="Software Idiem",C1492="Cj"),(((('CAFCO 400 '!$D$7*LN(J1492)+'CAFCO 400 '!$D$8)*U1492^2)+(('CAFCO 400 '!$D$9*LN(J1492)+'CAFCO 400 '!$D$10)*U1492)+('CAFCO 400 '!$D$11*LN(J1492)+'CAFCO 400 '!$D$12))),0)+IF(AND(L1492="Cafco 400",M1492="Software Idiem",C1492="C"),((('CAFCO 400 '!$L$7*(J1492^3)+'CAFCO 400 '!$L$8*(J1492^2)+'CAFCO 400 '!$L$9*J1492+'CAFCO 400 '!$L$10)*U1492^2)+(('CAFCO 400 '!$L$11*(J1492^3)+'CAFCO 400 '!$L$12*(J1492^2)+'CAFCO 400 '!$L$13*J1492+'CAFCO 400 '!$L$14)*U1492)+('CAFCO 400 '!$L$15*LN(J1492)+'CAFCO 400 '!$L$16)),0)+IF(AND(L1492="Cafco 400",M1492="Software Idiem",C1492="L"),((('CAFCO 400 '!$L$7*(J1492^3)+'CAFCO 400 '!$L$8*(J1492^2)+'CAFCO 400 '!$L$9*J1492+'CAFCO 400 '!$L$10)*U1492^2)+(('CAFCO 400 '!$L$11*(J1492^3)+'CAFCO 400 '!$L$12*(J1492^2)+'CAFCO 400 '!$L$13*J1492+'CAFCO 400 '!$L$14)*U1492)+('CAFCO 400 '!$L$15*LN(J1492)+'CAFCO 400 '!$L$16)),0)+IF(AND(L1492="Cafco 400",M1492="Software Idiem",C1492="IN",G1492=3),((('CAFCO 400 '!$D$23*(J1492^2)+'CAFCO 400 '!$D$24*(J1492)+'CAFCO 400 '!$D$25)*U1492^2)+(('CAFCO 400 '!$D$26*(J1492^2)+'CAFCO 400 '!$D$27*J1492+'CAFCO 400 '!$D$28)*U1492)+('CAFCO 400 '!$D$29*(J1492^2)+'CAFCO 400 '!$D$30*J1492+'CAFCO 400 '!$D$31)),0),0)+IF(AND(L1492="Cafco 300",J1492&gt;=95,J1492&lt;=240,C1492="Cj",I1492=90),VLOOKUP(T1492,'CAFCO 300 IDIEM TABLAS'!$B$4:$D$23,2,FALSE),0)+IF(AND(L1492="Cafco 300",J1492&gt;=95,J1492&lt;=240,C1492="Cj",I1492=120),VLOOKUP(T1492,'CAFCO 300 IDIEM TABLAS'!$B$4:$D$23,3,FALSE),0)+IF(AND(L1492="Cafco 300",J1492&gt;=95,J1492&lt;=400,G1492=3,C1492="IN",I1492=90),VLOOKUP(T1492,'CAFCO 300 IDIEM TABLAS'!$F$4:$H$35,2,FALSE),0)+IF(AND(L1492="Cafco 300",J1492&gt;=95,J1492&lt;=400,G1492=3,C1492="IN",I1492=120),VLOOKUP(T1492,'CAFCO 300 IDIEM TABLAS'!$F$4:$H$35,3,FALSE),0)+IF(AND(L1492="Cafco 300",J1492&gt;=95,J1492&lt;=450,G1492=4,C1492="IN",I1492=90),VLOOKUP(T1492,'CAFCO 300 IDIEM TABLAS'!$J$4:$L$40,2,FALSE),0)+IF(AND(L1492="Cafco 300",J1492&gt;=95,J1492&lt;=450,G1492=4,C1492="IN",I1492=120),VLOOKUP(T1492,'CAFCO 300 IDIEM TABLAS'!$J$4:$L$40,3,FALSE),0)+IF(AND(M1492="Ensayo Idiem",L1492="Cafco 400",C1492="IN",G1492=4,I1492=90),VLOOKUP(T1492,'CAFCO 400 ENSAYO'!$B$7:$D$43,2,FALSE),0)+IF(AND(M1492="Ensayo Idiem",L1492="Cafco 400",C1492="IN",G1492=4,I1492=120),VLOOKUP(T1492,'CAFCO 400 ENSAYO'!$B$7:$D$43,3,FALSE),0)</f>
        <v>0</v>
      </c>
      <c r="O1492" s="96">
        <f t="shared" si="150"/>
        <v>0</v>
      </c>
      <c r="P1492" s="95" t="str">
        <f t="shared" si="145"/>
        <v>N/A</v>
      </c>
      <c r="Q1492" s="95" t="str">
        <f t="shared" si="146"/>
        <v>N/A</v>
      </c>
      <c r="R1492" s="95" t="str">
        <f t="shared" si="147"/>
        <v>NO CERT.</v>
      </c>
      <c r="S1492" s="95" t="e">
        <f t="shared" si="148"/>
        <v>#N/A</v>
      </c>
      <c r="T1492" s="119" t="e">
        <f>+IF(J1492=LOOKUP(J1492,'CAFCO 300 IDIEM TABLAS'!$J$4:$J$40),'CALCULO MORTERO'!J1492,MROUND('CALCULO MORTERO'!J1492,10))</f>
        <v>#N/A</v>
      </c>
      <c r="U1492" s="118">
        <f t="shared" si="149"/>
        <v>0</v>
      </c>
    </row>
    <row r="1493" spans="1:21" x14ac:dyDescent="0.25">
      <c r="A1493" s="118">
        <f>+CUBICACION!D1487</f>
        <v>0</v>
      </c>
      <c r="B1493" s="819">
        <f>+CUBICACION!E1487</f>
        <v>0</v>
      </c>
      <c r="C1493" s="675">
        <f>+CUBICACION!F1487</f>
        <v>0</v>
      </c>
      <c r="D1493" s="118"/>
      <c r="E1493" s="118"/>
      <c r="F1493" s="820"/>
      <c r="G1493" s="675">
        <f>+CUBICACION!J1487</f>
        <v>0</v>
      </c>
      <c r="H1493" s="118"/>
      <c r="I1493" s="821">
        <f>+CUBICACION!L1487</f>
        <v>0</v>
      </c>
      <c r="J1493" s="64">
        <f>+CUBICACION!M1487</f>
        <v>0</v>
      </c>
      <c r="K1493" s="822" t="str">
        <f>+CUBICACION!N1487</f>
        <v/>
      </c>
      <c r="L1493" s="118">
        <f>+CUBICACION!O1487</f>
        <v>0</v>
      </c>
      <c r="M1493" s="823">
        <f>+CUBICACION!P1487</f>
        <v>0</v>
      </c>
      <c r="N1493" s="902">
        <f>ROUND(IF(AND(L1493="Blaze Shield II",M1493="Software Idiem",C1493="IN",G1493=4),((('BLAZE SHIELD II'!$D$4*('CALCULO MORTERO'!I1493^2)+'BLAZE SHIELD II'!$D$5*'CALCULO MORTERO'!I1493+'BLAZE SHIELD II'!$D$6)*LN(J1493))+('BLAZE SHIELD II'!$D$7*('CALCULO MORTERO'!I1493^2)+'BLAZE SHIELD II'!$D$8*'CALCULO MORTERO'!I1493+'BLAZE SHIELD II'!$D$9)),0)+IF(AND(L1493="Blaze Shield II",M1493="Software Idiem",C1493="Cj"),((('BLAZE SHIELD II'!$H$4*('CALCULO MORTERO'!I1493^2)+'BLAZE SHIELD II'!$H$5*'CALCULO MORTERO'!I1493+'BLAZE SHIELD II'!$H$6)*LN(J1493))+('BLAZE SHIELD II'!$H$7*('CALCULO MORTERO'!I1493^2)+'BLAZE SHIELD II'!$H$8*'CALCULO MORTERO'!I1493+'BLAZE SHIELD II'!$H$9)),0)+IF(AND(L1493="Blaze Shield II",M1493="Software Idiem",C1493="C"),((('BLAZE SHIELD II'!$L$4*('CALCULO MORTERO'!I1493^2)+'BLAZE SHIELD II'!$L$5*'CALCULO MORTERO'!I1493+'BLAZE SHIELD II'!$L$6)*LN(J1493))+('BLAZE SHIELD II'!$L$7*('CALCULO MORTERO'!I1493^2)+'BLAZE SHIELD II'!$L$8*'CALCULO MORTERO'!I1493+'BLAZE SHIELD II'!$L$9)),0)+IF(AND(L1493="Blaze Shield II",M1493="Software Idiem",C1493="L"),((('BLAZE SHIELD II'!$L$4*('CALCULO MORTERO'!I1493^2)+'BLAZE SHIELD II'!$L$5*'CALCULO MORTERO'!I1493+'BLAZE SHIELD II'!$L$6)*LN(J1493))+('BLAZE SHIELD II'!$L$7*('CALCULO MORTERO'!I1493^2)+'BLAZE SHIELD II'!$L$8*'CALCULO MORTERO'!I1493+'BLAZE SHIELD II'!$L$9)),0)+IF(AND(L1493="Blaze Shield II",M1493="Software Idiem",C1493="IN",G1493=3),((('BLAZE SHIELD II'!$H$14*('CALCULO MORTERO'!I1493^2)+'BLAZE SHIELD II'!$H$15*'CALCULO MORTERO'!I1493+'BLAZE SHIELD II'!$H$16)*LN(J1493))+('BLAZE SHIELD II'!$H$17*('CALCULO MORTERO'!I1493^2)+'BLAZE SHIELD II'!$H$18*'CALCULO MORTERO'!I1493+'BLAZE SHIELD II'!$H$19)),0),0)+ROUND(IF(AND(L1493="Cafco 400",M1493="Software Idiem",C1493="IN",G1493=4),((('CAFCO 400 '!$H$7*(J1493^4)+'CAFCO 400 '!$H$8*(J1493^3)+'CAFCO 400 '!$H$9*(J1493^2)+'CAFCO 400 '!$H$10*J1493+'CAFCO 400 '!$H$11)*U1493^2)+(('CAFCO 400 '!$H$12*(J1493^3)+'CAFCO 400 '!$H$13*(J1493^2)+'CAFCO 400 '!$H$14*J1493+'CAFCO 400 '!$H$15)*U1493)+('CAFCO 400 '!$H$16*(J1493^2)+'CAFCO 400 '!$H$17*J1493+'CAFCO 400 '!$H$18)),0)+IF(AND(L1493="Cafco 400",M1493="Software Idiem",C1493="Cj"),(((('CAFCO 400 '!$D$7*LN(J1493)+'CAFCO 400 '!$D$8)*U1493^2)+(('CAFCO 400 '!$D$9*LN(J1493)+'CAFCO 400 '!$D$10)*U1493)+('CAFCO 400 '!$D$11*LN(J1493)+'CAFCO 400 '!$D$12))),0)+IF(AND(L1493="Cafco 400",M1493="Software Idiem",C1493="C"),((('CAFCO 400 '!$L$7*(J1493^3)+'CAFCO 400 '!$L$8*(J1493^2)+'CAFCO 400 '!$L$9*J1493+'CAFCO 400 '!$L$10)*U1493^2)+(('CAFCO 400 '!$L$11*(J1493^3)+'CAFCO 400 '!$L$12*(J1493^2)+'CAFCO 400 '!$L$13*J1493+'CAFCO 400 '!$L$14)*U1493)+('CAFCO 400 '!$L$15*LN(J1493)+'CAFCO 400 '!$L$16)),0)+IF(AND(L1493="Cafco 400",M1493="Software Idiem",C1493="L"),((('CAFCO 400 '!$L$7*(J1493^3)+'CAFCO 400 '!$L$8*(J1493^2)+'CAFCO 400 '!$L$9*J1493+'CAFCO 400 '!$L$10)*U1493^2)+(('CAFCO 400 '!$L$11*(J1493^3)+'CAFCO 400 '!$L$12*(J1493^2)+'CAFCO 400 '!$L$13*J1493+'CAFCO 400 '!$L$14)*U1493)+('CAFCO 400 '!$L$15*LN(J1493)+'CAFCO 400 '!$L$16)),0)+IF(AND(L1493="Cafco 400",M1493="Software Idiem",C1493="IN",G1493=3),((('CAFCO 400 '!$D$23*(J1493^2)+'CAFCO 400 '!$D$24*(J1493)+'CAFCO 400 '!$D$25)*U1493^2)+(('CAFCO 400 '!$D$26*(J1493^2)+'CAFCO 400 '!$D$27*J1493+'CAFCO 400 '!$D$28)*U1493)+('CAFCO 400 '!$D$29*(J1493^2)+'CAFCO 400 '!$D$30*J1493+'CAFCO 400 '!$D$31)),0),0)+IF(AND(L1493="Cafco 300",J1493&gt;=95,J1493&lt;=240,C1493="Cj",I1493=90),VLOOKUP(T1493,'CAFCO 300 IDIEM TABLAS'!$B$4:$D$23,2,FALSE),0)+IF(AND(L1493="Cafco 300",J1493&gt;=95,J1493&lt;=240,C1493="Cj",I1493=120),VLOOKUP(T1493,'CAFCO 300 IDIEM TABLAS'!$B$4:$D$23,3,FALSE),0)+IF(AND(L1493="Cafco 300",J1493&gt;=95,J1493&lt;=400,G1493=3,C1493="IN",I1493=90),VLOOKUP(T1493,'CAFCO 300 IDIEM TABLAS'!$F$4:$H$35,2,FALSE),0)+IF(AND(L1493="Cafco 300",J1493&gt;=95,J1493&lt;=400,G1493=3,C1493="IN",I1493=120),VLOOKUP(T1493,'CAFCO 300 IDIEM TABLAS'!$F$4:$H$35,3,FALSE),0)+IF(AND(L1493="Cafco 300",J1493&gt;=95,J1493&lt;=450,G1493=4,C1493="IN",I1493=90),VLOOKUP(T1493,'CAFCO 300 IDIEM TABLAS'!$J$4:$L$40,2,FALSE),0)+IF(AND(L1493="Cafco 300",J1493&gt;=95,J1493&lt;=450,G1493=4,C1493="IN",I1493=120),VLOOKUP(T1493,'CAFCO 300 IDIEM TABLAS'!$J$4:$L$40,3,FALSE),0)+IF(AND(M1493="Ensayo Idiem",L1493="Cafco 400",C1493="IN",G1493=4,I1493=90),VLOOKUP(T1493,'CAFCO 400 ENSAYO'!$B$7:$D$43,2,FALSE),0)+IF(AND(M1493="Ensayo Idiem",L1493="Cafco 400",C1493="IN",G1493=4,I1493=120),VLOOKUP(T1493,'CAFCO 400 ENSAYO'!$B$7:$D$43,3,FALSE),0)</f>
        <v>0</v>
      </c>
      <c r="O1493" s="96">
        <f t="shared" si="150"/>
        <v>0</v>
      </c>
      <c r="P1493" s="132" t="str">
        <f t="shared" si="145"/>
        <v>N/A</v>
      </c>
      <c r="Q1493" s="132" t="str">
        <f t="shared" si="146"/>
        <v>N/A</v>
      </c>
      <c r="R1493" s="132" t="str">
        <f t="shared" si="147"/>
        <v>NO CERT.</v>
      </c>
      <c r="S1493" s="132" t="e">
        <f t="shared" si="148"/>
        <v>#N/A</v>
      </c>
      <c r="T1493" s="133" t="e">
        <f>+IF(J1493=LOOKUP(J1493,'CAFCO 300 IDIEM TABLAS'!$J$4:$J$40),'CALCULO MORTERO'!J1493,MROUND('CALCULO MORTERO'!J1493,10))</f>
        <v>#N/A</v>
      </c>
      <c r="U1493" s="134">
        <f t="shared" si="149"/>
        <v>0</v>
      </c>
    </row>
    <row r="1494" spans="1:21" x14ac:dyDescent="0.25">
      <c r="A1494" s="118">
        <f>+CUBICACION!D1488</f>
        <v>0</v>
      </c>
      <c r="B1494" s="819">
        <f>+CUBICACION!E1488</f>
        <v>0</v>
      </c>
      <c r="C1494" s="675">
        <f>+CUBICACION!F1488</f>
        <v>0</v>
      </c>
      <c r="D1494" s="118"/>
      <c r="E1494" s="118"/>
      <c r="F1494" s="820"/>
      <c r="G1494" s="675">
        <f>+CUBICACION!J1488</f>
        <v>0</v>
      </c>
      <c r="H1494" s="118"/>
      <c r="I1494" s="821">
        <f>+CUBICACION!L1488</f>
        <v>0</v>
      </c>
      <c r="J1494" s="64">
        <f>+CUBICACION!M1488</f>
        <v>0</v>
      </c>
      <c r="K1494" s="822" t="str">
        <f>+CUBICACION!N1488</f>
        <v/>
      </c>
      <c r="L1494" s="118">
        <f>+CUBICACION!O1488</f>
        <v>0</v>
      </c>
      <c r="M1494" s="823">
        <f>+CUBICACION!P1488</f>
        <v>0</v>
      </c>
      <c r="N1494" s="902">
        <f>ROUND(IF(AND(L1494="Blaze Shield II",M1494="Software Idiem",C1494="IN",G1494=4),((('BLAZE SHIELD II'!$D$4*('CALCULO MORTERO'!I1494^2)+'BLAZE SHIELD II'!$D$5*'CALCULO MORTERO'!I1494+'BLAZE SHIELD II'!$D$6)*LN(J1494))+('BLAZE SHIELD II'!$D$7*('CALCULO MORTERO'!I1494^2)+'BLAZE SHIELD II'!$D$8*'CALCULO MORTERO'!I1494+'BLAZE SHIELD II'!$D$9)),0)+IF(AND(L1494="Blaze Shield II",M1494="Software Idiem",C1494="Cj"),((('BLAZE SHIELD II'!$H$4*('CALCULO MORTERO'!I1494^2)+'BLAZE SHIELD II'!$H$5*'CALCULO MORTERO'!I1494+'BLAZE SHIELD II'!$H$6)*LN(J1494))+('BLAZE SHIELD II'!$H$7*('CALCULO MORTERO'!I1494^2)+'BLAZE SHIELD II'!$H$8*'CALCULO MORTERO'!I1494+'BLAZE SHIELD II'!$H$9)),0)+IF(AND(L1494="Blaze Shield II",M1494="Software Idiem",C1494="C"),((('BLAZE SHIELD II'!$L$4*('CALCULO MORTERO'!I1494^2)+'BLAZE SHIELD II'!$L$5*'CALCULO MORTERO'!I1494+'BLAZE SHIELD II'!$L$6)*LN(J1494))+('BLAZE SHIELD II'!$L$7*('CALCULO MORTERO'!I1494^2)+'BLAZE SHIELD II'!$L$8*'CALCULO MORTERO'!I1494+'BLAZE SHIELD II'!$L$9)),0)+IF(AND(L1494="Blaze Shield II",M1494="Software Idiem",C1494="L"),((('BLAZE SHIELD II'!$L$4*('CALCULO MORTERO'!I1494^2)+'BLAZE SHIELD II'!$L$5*'CALCULO MORTERO'!I1494+'BLAZE SHIELD II'!$L$6)*LN(J1494))+('BLAZE SHIELD II'!$L$7*('CALCULO MORTERO'!I1494^2)+'BLAZE SHIELD II'!$L$8*'CALCULO MORTERO'!I1494+'BLAZE SHIELD II'!$L$9)),0)+IF(AND(L1494="Blaze Shield II",M1494="Software Idiem",C1494="IN",G1494=3),((('BLAZE SHIELD II'!$H$14*('CALCULO MORTERO'!I1494^2)+'BLAZE SHIELD II'!$H$15*'CALCULO MORTERO'!I1494+'BLAZE SHIELD II'!$H$16)*LN(J1494))+('BLAZE SHIELD II'!$H$17*('CALCULO MORTERO'!I1494^2)+'BLAZE SHIELD II'!$H$18*'CALCULO MORTERO'!I1494+'BLAZE SHIELD II'!$H$19)),0),0)+ROUND(IF(AND(L1494="Cafco 400",M1494="Software Idiem",C1494="IN",G1494=4),((('CAFCO 400 '!$H$7*(J1494^4)+'CAFCO 400 '!$H$8*(J1494^3)+'CAFCO 400 '!$H$9*(J1494^2)+'CAFCO 400 '!$H$10*J1494+'CAFCO 400 '!$H$11)*U1494^2)+(('CAFCO 400 '!$H$12*(J1494^3)+'CAFCO 400 '!$H$13*(J1494^2)+'CAFCO 400 '!$H$14*J1494+'CAFCO 400 '!$H$15)*U1494)+('CAFCO 400 '!$H$16*(J1494^2)+'CAFCO 400 '!$H$17*J1494+'CAFCO 400 '!$H$18)),0)+IF(AND(L1494="Cafco 400",M1494="Software Idiem",C1494="Cj"),(((('CAFCO 400 '!$D$7*LN(J1494)+'CAFCO 400 '!$D$8)*U1494^2)+(('CAFCO 400 '!$D$9*LN(J1494)+'CAFCO 400 '!$D$10)*U1494)+('CAFCO 400 '!$D$11*LN(J1494)+'CAFCO 400 '!$D$12))),0)+IF(AND(L1494="Cafco 400",M1494="Software Idiem",C1494="C"),((('CAFCO 400 '!$L$7*(J1494^3)+'CAFCO 400 '!$L$8*(J1494^2)+'CAFCO 400 '!$L$9*J1494+'CAFCO 400 '!$L$10)*U1494^2)+(('CAFCO 400 '!$L$11*(J1494^3)+'CAFCO 400 '!$L$12*(J1494^2)+'CAFCO 400 '!$L$13*J1494+'CAFCO 400 '!$L$14)*U1494)+('CAFCO 400 '!$L$15*LN(J1494)+'CAFCO 400 '!$L$16)),0)+IF(AND(L1494="Cafco 400",M1494="Software Idiem",C1494="L"),((('CAFCO 400 '!$L$7*(J1494^3)+'CAFCO 400 '!$L$8*(J1494^2)+'CAFCO 400 '!$L$9*J1494+'CAFCO 400 '!$L$10)*U1494^2)+(('CAFCO 400 '!$L$11*(J1494^3)+'CAFCO 400 '!$L$12*(J1494^2)+'CAFCO 400 '!$L$13*J1494+'CAFCO 400 '!$L$14)*U1494)+('CAFCO 400 '!$L$15*LN(J1494)+'CAFCO 400 '!$L$16)),0)+IF(AND(L1494="Cafco 400",M1494="Software Idiem",C1494="IN",G1494=3),((('CAFCO 400 '!$D$23*(J1494^2)+'CAFCO 400 '!$D$24*(J1494)+'CAFCO 400 '!$D$25)*U1494^2)+(('CAFCO 400 '!$D$26*(J1494^2)+'CAFCO 400 '!$D$27*J1494+'CAFCO 400 '!$D$28)*U1494)+('CAFCO 400 '!$D$29*(J1494^2)+'CAFCO 400 '!$D$30*J1494+'CAFCO 400 '!$D$31)),0),0)+IF(AND(L1494="Cafco 300",J1494&gt;=95,J1494&lt;=240,C1494="Cj",I1494=90),VLOOKUP(T1494,'CAFCO 300 IDIEM TABLAS'!$B$4:$D$23,2,FALSE),0)+IF(AND(L1494="Cafco 300",J1494&gt;=95,J1494&lt;=240,C1494="Cj",I1494=120),VLOOKUP(T1494,'CAFCO 300 IDIEM TABLAS'!$B$4:$D$23,3,FALSE),0)+IF(AND(L1494="Cafco 300",J1494&gt;=95,J1494&lt;=400,G1494=3,C1494="IN",I1494=90),VLOOKUP(T1494,'CAFCO 300 IDIEM TABLAS'!$F$4:$H$35,2,FALSE),0)+IF(AND(L1494="Cafco 300",J1494&gt;=95,J1494&lt;=400,G1494=3,C1494="IN",I1494=120),VLOOKUP(T1494,'CAFCO 300 IDIEM TABLAS'!$F$4:$H$35,3,FALSE),0)+IF(AND(L1494="Cafco 300",J1494&gt;=95,J1494&lt;=450,G1494=4,C1494="IN",I1494=90),VLOOKUP(T1494,'CAFCO 300 IDIEM TABLAS'!$J$4:$L$40,2,FALSE),0)+IF(AND(L1494="Cafco 300",J1494&gt;=95,J1494&lt;=450,G1494=4,C1494="IN",I1494=120),VLOOKUP(T1494,'CAFCO 300 IDIEM TABLAS'!$J$4:$L$40,3,FALSE),0)+IF(AND(M1494="Ensayo Idiem",L1494="Cafco 400",C1494="IN",G1494=4,I1494=90),VLOOKUP(T1494,'CAFCO 400 ENSAYO'!$B$7:$D$43,2,FALSE),0)+IF(AND(M1494="Ensayo Idiem",L1494="Cafco 400",C1494="IN",G1494=4,I1494=120),VLOOKUP(T1494,'CAFCO 400 ENSAYO'!$B$7:$D$43,3,FALSE),0)</f>
        <v>0</v>
      </c>
      <c r="O1494" s="96">
        <f t="shared" si="150"/>
        <v>0</v>
      </c>
      <c r="P1494" s="95" t="str">
        <f t="shared" si="145"/>
        <v>N/A</v>
      </c>
      <c r="Q1494" s="95" t="str">
        <f t="shared" si="146"/>
        <v>N/A</v>
      </c>
      <c r="R1494" s="95" t="str">
        <f t="shared" si="147"/>
        <v>NO CERT.</v>
      </c>
      <c r="S1494" s="95" t="e">
        <f t="shared" si="148"/>
        <v>#N/A</v>
      </c>
      <c r="T1494" s="119" t="e">
        <f>+IF(J1494=LOOKUP(J1494,'CAFCO 300 IDIEM TABLAS'!$J$4:$J$40),'CALCULO MORTERO'!J1494,MROUND('CALCULO MORTERO'!J1494,10))</f>
        <v>#N/A</v>
      </c>
      <c r="U1494" s="118">
        <f t="shared" si="149"/>
        <v>0</v>
      </c>
    </row>
    <row r="1495" spans="1:21" x14ac:dyDescent="0.25">
      <c r="A1495" s="118">
        <f>+CUBICACION!D1489</f>
        <v>0</v>
      </c>
      <c r="B1495" s="819">
        <f>+CUBICACION!E1489</f>
        <v>0</v>
      </c>
      <c r="C1495" s="675">
        <f>+CUBICACION!F1489</f>
        <v>0</v>
      </c>
      <c r="D1495" s="118"/>
      <c r="E1495" s="118"/>
      <c r="F1495" s="820"/>
      <c r="G1495" s="675">
        <f>+CUBICACION!J1489</f>
        <v>0</v>
      </c>
      <c r="H1495" s="118"/>
      <c r="I1495" s="821">
        <f>+CUBICACION!L1489</f>
        <v>0</v>
      </c>
      <c r="J1495" s="64">
        <f>+CUBICACION!M1489</f>
        <v>0</v>
      </c>
      <c r="K1495" s="822" t="str">
        <f>+CUBICACION!N1489</f>
        <v/>
      </c>
      <c r="L1495" s="118">
        <f>+CUBICACION!O1489</f>
        <v>0</v>
      </c>
      <c r="M1495" s="823">
        <f>+CUBICACION!P1489</f>
        <v>0</v>
      </c>
      <c r="N1495" s="902">
        <f>ROUND(IF(AND(L1495="Blaze Shield II",M1495="Software Idiem",C1495="IN",G1495=4),((('BLAZE SHIELD II'!$D$4*('CALCULO MORTERO'!I1495^2)+'BLAZE SHIELD II'!$D$5*'CALCULO MORTERO'!I1495+'BLAZE SHIELD II'!$D$6)*LN(J1495))+('BLAZE SHIELD II'!$D$7*('CALCULO MORTERO'!I1495^2)+'BLAZE SHIELD II'!$D$8*'CALCULO MORTERO'!I1495+'BLAZE SHIELD II'!$D$9)),0)+IF(AND(L1495="Blaze Shield II",M1495="Software Idiem",C1495="Cj"),((('BLAZE SHIELD II'!$H$4*('CALCULO MORTERO'!I1495^2)+'BLAZE SHIELD II'!$H$5*'CALCULO MORTERO'!I1495+'BLAZE SHIELD II'!$H$6)*LN(J1495))+('BLAZE SHIELD II'!$H$7*('CALCULO MORTERO'!I1495^2)+'BLAZE SHIELD II'!$H$8*'CALCULO MORTERO'!I1495+'BLAZE SHIELD II'!$H$9)),0)+IF(AND(L1495="Blaze Shield II",M1495="Software Idiem",C1495="C"),((('BLAZE SHIELD II'!$L$4*('CALCULO MORTERO'!I1495^2)+'BLAZE SHIELD II'!$L$5*'CALCULO MORTERO'!I1495+'BLAZE SHIELD II'!$L$6)*LN(J1495))+('BLAZE SHIELD II'!$L$7*('CALCULO MORTERO'!I1495^2)+'BLAZE SHIELD II'!$L$8*'CALCULO MORTERO'!I1495+'BLAZE SHIELD II'!$L$9)),0)+IF(AND(L1495="Blaze Shield II",M1495="Software Idiem",C1495="L"),((('BLAZE SHIELD II'!$L$4*('CALCULO MORTERO'!I1495^2)+'BLAZE SHIELD II'!$L$5*'CALCULO MORTERO'!I1495+'BLAZE SHIELD II'!$L$6)*LN(J1495))+('BLAZE SHIELD II'!$L$7*('CALCULO MORTERO'!I1495^2)+'BLAZE SHIELD II'!$L$8*'CALCULO MORTERO'!I1495+'BLAZE SHIELD II'!$L$9)),0)+IF(AND(L1495="Blaze Shield II",M1495="Software Idiem",C1495="IN",G1495=3),((('BLAZE SHIELD II'!$H$14*('CALCULO MORTERO'!I1495^2)+'BLAZE SHIELD II'!$H$15*'CALCULO MORTERO'!I1495+'BLAZE SHIELD II'!$H$16)*LN(J1495))+('BLAZE SHIELD II'!$H$17*('CALCULO MORTERO'!I1495^2)+'BLAZE SHIELD II'!$H$18*'CALCULO MORTERO'!I1495+'BLAZE SHIELD II'!$H$19)),0),0)+ROUND(IF(AND(L1495="Cafco 400",M1495="Software Idiem",C1495="IN",G1495=4),((('CAFCO 400 '!$H$7*(J1495^4)+'CAFCO 400 '!$H$8*(J1495^3)+'CAFCO 400 '!$H$9*(J1495^2)+'CAFCO 400 '!$H$10*J1495+'CAFCO 400 '!$H$11)*U1495^2)+(('CAFCO 400 '!$H$12*(J1495^3)+'CAFCO 400 '!$H$13*(J1495^2)+'CAFCO 400 '!$H$14*J1495+'CAFCO 400 '!$H$15)*U1495)+('CAFCO 400 '!$H$16*(J1495^2)+'CAFCO 400 '!$H$17*J1495+'CAFCO 400 '!$H$18)),0)+IF(AND(L1495="Cafco 400",M1495="Software Idiem",C1495="Cj"),(((('CAFCO 400 '!$D$7*LN(J1495)+'CAFCO 400 '!$D$8)*U1495^2)+(('CAFCO 400 '!$D$9*LN(J1495)+'CAFCO 400 '!$D$10)*U1495)+('CAFCO 400 '!$D$11*LN(J1495)+'CAFCO 400 '!$D$12))),0)+IF(AND(L1495="Cafco 400",M1495="Software Idiem",C1495="C"),((('CAFCO 400 '!$L$7*(J1495^3)+'CAFCO 400 '!$L$8*(J1495^2)+'CAFCO 400 '!$L$9*J1495+'CAFCO 400 '!$L$10)*U1495^2)+(('CAFCO 400 '!$L$11*(J1495^3)+'CAFCO 400 '!$L$12*(J1495^2)+'CAFCO 400 '!$L$13*J1495+'CAFCO 400 '!$L$14)*U1495)+('CAFCO 400 '!$L$15*LN(J1495)+'CAFCO 400 '!$L$16)),0)+IF(AND(L1495="Cafco 400",M1495="Software Idiem",C1495="L"),((('CAFCO 400 '!$L$7*(J1495^3)+'CAFCO 400 '!$L$8*(J1495^2)+'CAFCO 400 '!$L$9*J1495+'CAFCO 400 '!$L$10)*U1495^2)+(('CAFCO 400 '!$L$11*(J1495^3)+'CAFCO 400 '!$L$12*(J1495^2)+'CAFCO 400 '!$L$13*J1495+'CAFCO 400 '!$L$14)*U1495)+('CAFCO 400 '!$L$15*LN(J1495)+'CAFCO 400 '!$L$16)),0)+IF(AND(L1495="Cafco 400",M1495="Software Idiem",C1495="IN",G1495=3),((('CAFCO 400 '!$D$23*(J1495^2)+'CAFCO 400 '!$D$24*(J1495)+'CAFCO 400 '!$D$25)*U1495^2)+(('CAFCO 400 '!$D$26*(J1495^2)+'CAFCO 400 '!$D$27*J1495+'CAFCO 400 '!$D$28)*U1495)+('CAFCO 400 '!$D$29*(J1495^2)+'CAFCO 400 '!$D$30*J1495+'CAFCO 400 '!$D$31)),0),0)+IF(AND(L1495="Cafco 300",J1495&gt;=95,J1495&lt;=240,C1495="Cj",I1495=90),VLOOKUP(T1495,'CAFCO 300 IDIEM TABLAS'!$B$4:$D$23,2,FALSE),0)+IF(AND(L1495="Cafco 300",J1495&gt;=95,J1495&lt;=240,C1495="Cj",I1495=120),VLOOKUP(T1495,'CAFCO 300 IDIEM TABLAS'!$B$4:$D$23,3,FALSE),0)+IF(AND(L1495="Cafco 300",J1495&gt;=95,J1495&lt;=400,G1495=3,C1495="IN",I1495=90),VLOOKUP(T1495,'CAFCO 300 IDIEM TABLAS'!$F$4:$H$35,2,FALSE),0)+IF(AND(L1495="Cafco 300",J1495&gt;=95,J1495&lt;=400,G1495=3,C1495="IN",I1495=120),VLOOKUP(T1495,'CAFCO 300 IDIEM TABLAS'!$F$4:$H$35,3,FALSE),0)+IF(AND(L1495="Cafco 300",J1495&gt;=95,J1495&lt;=450,G1495=4,C1495="IN",I1495=90),VLOOKUP(T1495,'CAFCO 300 IDIEM TABLAS'!$J$4:$L$40,2,FALSE),0)+IF(AND(L1495="Cafco 300",J1495&gt;=95,J1495&lt;=450,G1495=4,C1495="IN",I1495=120),VLOOKUP(T1495,'CAFCO 300 IDIEM TABLAS'!$J$4:$L$40,3,FALSE),0)+IF(AND(M1495="Ensayo Idiem",L1495="Cafco 400",C1495="IN",G1495=4,I1495=90),VLOOKUP(T1495,'CAFCO 400 ENSAYO'!$B$7:$D$43,2,FALSE),0)+IF(AND(M1495="Ensayo Idiem",L1495="Cafco 400",C1495="IN",G1495=4,I1495=120),VLOOKUP(T1495,'CAFCO 400 ENSAYO'!$B$7:$D$43,3,FALSE),0)</f>
        <v>0</v>
      </c>
      <c r="O1495" s="96">
        <f t="shared" si="150"/>
        <v>0</v>
      </c>
      <c r="P1495" s="132" t="str">
        <f t="shared" si="145"/>
        <v>N/A</v>
      </c>
      <c r="Q1495" s="132" t="str">
        <f t="shared" si="146"/>
        <v>N/A</v>
      </c>
      <c r="R1495" s="132" t="str">
        <f t="shared" si="147"/>
        <v>NO CERT.</v>
      </c>
      <c r="S1495" s="132" t="e">
        <f t="shared" si="148"/>
        <v>#N/A</v>
      </c>
      <c r="T1495" s="133" t="e">
        <f>+IF(J1495=LOOKUP(J1495,'CAFCO 300 IDIEM TABLAS'!$J$4:$J$40),'CALCULO MORTERO'!J1495,MROUND('CALCULO MORTERO'!J1495,10))</f>
        <v>#N/A</v>
      </c>
      <c r="U1495" s="134">
        <f t="shared" si="149"/>
        <v>0</v>
      </c>
    </row>
    <row r="1496" spans="1:21" x14ac:dyDescent="0.25">
      <c r="A1496" s="118">
        <f>+CUBICACION!D1490</f>
        <v>0</v>
      </c>
      <c r="B1496" s="819">
        <f>+CUBICACION!E1490</f>
        <v>0</v>
      </c>
      <c r="C1496" s="675">
        <f>+CUBICACION!F1490</f>
        <v>0</v>
      </c>
      <c r="D1496" s="118"/>
      <c r="E1496" s="118"/>
      <c r="F1496" s="820"/>
      <c r="G1496" s="675">
        <f>+CUBICACION!J1490</f>
        <v>0</v>
      </c>
      <c r="H1496" s="118"/>
      <c r="I1496" s="821">
        <f>+CUBICACION!L1490</f>
        <v>0</v>
      </c>
      <c r="J1496" s="64">
        <f>+CUBICACION!M1490</f>
        <v>0</v>
      </c>
      <c r="K1496" s="822" t="str">
        <f>+CUBICACION!N1490</f>
        <v/>
      </c>
      <c r="L1496" s="118">
        <f>+CUBICACION!O1490</f>
        <v>0</v>
      </c>
      <c r="M1496" s="823">
        <f>+CUBICACION!P1490</f>
        <v>0</v>
      </c>
      <c r="N1496" s="902">
        <f>ROUND(IF(AND(L1496="Blaze Shield II",M1496="Software Idiem",C1496="IN",G1496=4),((('BLAZE SHIELD II'!$D$4*('CALCULO MORTERO'!I1496^2)+'BLAZE SHIELD II'!$D$5*'CALCULO MORTERO'!I1496+'BLAZE SHIELD II'!$D$6)*LN(J1496))+('BLAZE SHIELD II'!$D$7*('CALCULO MORTERO'!I1496^2)+'BLAZE SHIELD II'!$D$8*'CALCULO MORTERO'!I1496+'BLAZE SHIELD II'!$D$9)),0)+IF(AND(L1496="Blaze Shield II",M1496="Software Idiem",C1496="Cj"),((('BLAZE SHIELD II'!$H$4*('CALCULO MORTERO'!I1496^2)+'BLAZE SHIELD II'!$H$5*'CALCULO MORTERO'!I1496+'BLAZE SHIELD II'!$H$6)*LN(J1496))+('BLAZE SHIELD II'!$H$7*('CALCULO MORTERO'!I1496^2)+'BLAZE SHIELD II'!$H$8*'CALCULO MORTERO'!I1496+'BLAZE SHIELD II'!$H$9)),0)+IF(AND(L1496="Blaze Shield II",M1496="Software Idiem",C1496="C"),((('BLAZE SHIELD II'!$L$4*('CALCULO MORTERO'!I1496^2)+'BLAZE SHIELD II'!$L$5*'CALCULO MORTERO'!I1496+'BLAZE SHIELD II'!$L$6)*LN(J1496))+('BLAZE SHIELD II'!$L$7*('CALCULO MORTERO'!I1496^2)+'BLAZE SHIELD II'!$L$8*'CALCULO MORTERO'!I1496+'BLAZE SHIELD II'!$L$9)),0)+IF(AND(L1496="Blaze Shield II",M1496="Software Idiem",C1496="L"),((('BLAZE SHIELD II'!$L$4*('CALCULO MORTERO'!I1496^2)+'BLAZE SHIELD II'!$L$5*'CALCULO MORTERO'!I1496+'BLAZE SHIELD II'!$L$6)*LN(J1496))+('BLAZE SHIELD II'!$L$7*('CALCULO MORTERO'!I1496^2)+'BLAZE SHIELD II'!$L$8*'CALCULO MORTERO'!I1496+'BLAZE SHIELD II'!$L$9)),0)+IF(AND(L1496="Blaze Shield II",M1496="Software Idiem",C1496="IN",G1496=3),((('BLAZE SHIELD II'!$H$14*('CALCULO MORTERO'!I1496^2)+'BLAZE SHIELD II'!$H$15*'CALCULO MORTERO'!I1496+'BLAZE SHIELD II'!$H$16)*LN(J1496))+('BLAZE SHIELD II'!$H$17*('CALCULO MORTERO'!I1496^2)+'BLAZE SHIELD II'!$H$18*'CALCULO MORTERO'!I1496+'BLAZE SHIELD II'!$H$19)),0),0)+ROUND(IF(AND(L1496="Cafco 400",M1496="Software Idiem",C1496="IN",G1496=4),((('CAFCO 400 '!$H$7*(J1496^4)+'CAFCO 400 '!$H$8*(J1496^3)+'CAFCO 400 '!$H$9*(J1496^2)+'CAFCO 400 '!$H$10*J1496+'CAFCO 400 '!$H$11)*U1496^2)+(('CAFCO 400 '!$H$12*(J1496^3)+'CAFCO 400 '!$H$13*(J1496^2)+'CAFCO 400 '!$H$14*J1496+'CAFCO 400 '!$H$15)*U1496)+('CAFCO 400 '!$H$16*(J1496^2)+'CAFCO 400 '!$H$17*J1496+'CAFCO 400 '!$H$18)),0)+IF(AND(L1496="Cafco 400",M1496="Software Idiem",C1496="Cj"),(((('CAFCO 400 '!$D$7*LN(J1496)+'CAFCO 400 '!$D$8)*U1496^2)+(('CAFCO 400 '!$D$9*LN(J1496)+'CAFCO 400 '!$D$10)*U1496)+('CAFCO 400 '!$D$11*LN(J1496)+'CAFCO 400 '!$D$12))),0)+IF(AND(L1496="Cafco 400",M1496="Software Idiem",C1496="C"),((('CAFCO 400 '!$L$7*(J1496^3)+'CAFCO 400 '!$L$8*(J1496^2)+'CAFCO 400 '!$L$9*J1496+'CAFCO 400 '!$L$10)*U1496^2)+(('CAFCO 400 '!$L$11*(J1496^3)+'CAFCO 400 '!$L$12*(J1496^2)+'CAFCO 400 '!$L$13*J1496+'CAFCO 400 '!$L$14)*U1496)+('CAFCO 400 '!$L$15*LN(J1496)+'CAFCO 400 '!$L$16)),0)+IF(AND(L1496="Cafco 400",M1496="Software Idiem",C1496="L"),((('CAFCO 400 '!$L$7*(J1496^3)+'CAFCO 400 '!$L$8*(J1496^2)+'CAFCO 400 '!$L$9*J1496+'CAFCO 400 '!$L$10)*U1496^2)+(('CAFCO 400 '!$L$11*(J1496^3)+'CAFCO 400 '!$L$12*(J1496^2)+'CAFCO 400 '!$L$13*J1496+'CAFCO 400 '!$L$14)*U1496)+('CAFCO 400 '!$L$15*LN(J1496)+'CAFCO 400 '!$L$16)),0)+IF(AND(L1496="Cafco 400",M1496="Software Idiem",C1496="IN",G1496=3),((('CAFCO 400 '!$D$23*(J1496^2)+'CAFCO 400 '!$D$24*(J1496)+'CAFCO 400 '!$D$25)*U1496^2)+(('CAFCO 400 '!$D$26*(J1496^2)+'CAFCO 400 '!$D$27*J1496+'CAFCO 400 '!$D$28)*U1496)+('CAFCO 400 '!$D$29*(J1496^2)+'CAFCO 400 '!$D$30*J1496+'CAFCO 400 '!$D$31)),0),0)+IF(AND(L1496="Cafco 300",J1496&gt;=95,J1496&lt;=240,C1496="Cj",I1496=90),VLOOKUP(T1496,'CAFCO 300 IDIEM TABLAS'!$B$4:$D$23,2,FALSE),0)+IF(AND(L1496="Cafco 300",J1496&gt;=95,J1496&lt;=240,C1496="Cj",I1496=120),VLOOKUP(T1496,'CAFCO 300 IDIEM TABLAS'!$B$4:$D$23,3,FALSE),0)+IF(AND(L1496="Cafco 300",J1496&gt;=95,J1496&lt;=400,G1496=3,C1496="IN",I1496=90),VLOOKUP(T1496,'CAFCO 300 IDIEM TABLAS'!$F$4:$H$35,2,FALSE),0)+IF(AND(L1496="Cafco 300",J1496&gt;=95,J1496&lt;=400,G1496=3,C1496="IN",I1496=120),VLOOKUP(T1496,'CAFCO 300 IDIEM TABLAS'!$F$4:$H$35,3,FALSE),0)+IF(AND(L1496="Cafco 300",J1496&gt;=95,J1496&lt;=450,G1496=4,C1496="IN",I1496=90),VLOOKUP(T1496,'CAFCO 300 IDIEM TABLAS'!$J$4:$L$40,2,FALSE),0)+IF(AND(L1496="Cafco 300",J1496&gt;=95,J1496&lt;=450,G1496=4,C1496="IN",I1496=120),VLOOKUP(T1496,'CAFCO 300 IDIEM TABLAS'!$J$4:$L$40,3,FALSE),0)+IF(AND(M1496="Ensayo Idiem",L1496="Cafco 400",C1496="IN",G1496=4,I1496=90),VLOOKUP(T1496,'CAFCO 400 ENSAYO'!$B$7:$D$43,2,FALSE),0)+IF(AND(M1496="Ensayo Idiem",L1496="Cafco 400",C1496="IN",G1496=4,I1496=120),VLOOKUP(T1496,'CAFCO 400 ENSAYO'!$B$7:$D$43,3,FALSE),0)</f>
        <v>0</v>
      </c>
      <c r="O1496" s="96">
        <f t="shared" si="150"/>
        <v>0</v>
      </c>
      <c r="P1496" s="95" t="str">
        <f t="shared" si="145"/>
        <v>N/A</v>
      </c>
      <c r="Q1496" s="95" t="str">
        <f t="shared" si="146"/>
        <v>N/A</v>
      </c>
      <c r="R1496" s="95" t="str">
        <f t="shared" si="147"/>
        <v>NO CERT.</v>
      </c>
      <c r="S1496" s="95" t="e">
        <f t="shared" si="148"/>
        <v>#N/A</v>
      </c>
      <c r="T1496" s="119" t="e">
        <f>+IF(J1496=LOOKUP(J1496,'CAFCO 300 IDIEM TABLAS'!$J$4:$J$40),'CALCULO MORTERO'!J1496,MROUND('CALCULO MORTERO'!J1496,10))</f>
        <v>#N/A</v>
      </c>
      <c r="U1496" s="118">
        <f t="shared" si="149"/>
        <v>0</v>
      </c>
    </row>
    <row r="1497" spans="1:21" x14ac:dyDescent="0.25">
      <c r="A1497" s="118">
        <f>+CUBICACION!D1491</f>
        <v>0</v>
      </c>
      <c r="B1497" s="819">
        <f>+CUBICACION!E1491</f>
        <v>0</v>
      </c>
      <c r="C1497" s="675">
        <f>+CUBICACION!F1491</f>
        <v>0</v>
      </c>
      <c r="D1497" s="118"/>
      <c r="E1497" s="118"/>
      <c r="F1497" s="820"/>
      <c r="G1497" s="675">
        <f>+CUBICACION!J1491</f>
        <v>0</v>
      </c>
      <c r="H1497" s="118"/>
      <c r="I1497" s="821">
        <f>+CUBICACION!L1491</f>
        <v>0</v>
      </c>
      <c r="J1497" s="64">
        <f>+CUBICACION!M1491</f>
        <v>0</v>
      </c>
      <c r="K1497" s="822" t="str">
        <f>+CUBICACION!N1491</f>
        <v/>
      </c>
      <c r="L1497" s="118">
        <f>+CUBICACION!O1491</f>
        <v>0</v>
      </c>
      <c r="M1497" s="823">
        <f>+CUBICACION!P1491</f>
        <v>0</v>
      </c>
      <c r="N1497" s="902">
        <f>ROUND(IF(AND(L1497="Blaze Shield II",M1497="Software Idiem",C1497="IN",G1497=4),((('BLAZE SHIELD II'!$D$4*('CALCULO MORTERO'!I1497^2)+'BLAZE SHIELD II'!$D$5*'CALCULO MORTERO'!I1497+'BLAZE SHIELD II'!$D$6)*LN(J1497))+('BLAZE SHIELD II'!$D$7*('CALCULO MORTERO'!I1497^2)+'BLAZE SHIELD II'!$D$8*'CALCULO MORTERO'!I1497+'BLAZE SHIELD II'!$D$9)),0)+IF(AND(L1497="Blaze Shield II",M1497="Software Idiem",C1497="Cj"),((('BLAZE SHIELD II'!$H$4*('CALCULO MORTERO'!I1497^2)+'BLAZE SHIELD II'!$H$5*'CALCULO MORTERO'!I1497+'BLAZE SHIELD II'!$H$6)*LN(J1497))+('BLAZE SHIELD II'!$H$7*('CALCULO MORTERO'!I1497^2)+'BLAZE SHIELD II'!$H$8*'CALCULO MORTERO'!I1497+'BLAZE SHIELD II'!$H$9)),0)+IF(AND(L1497="Blaze Shield II",M1497="Software Idiem",C1497="C"),((('BLAZE SHIELD II'!$L$4*('CALCULO MORTERO'!I1497^2)+'BLAZE SHIELD II'!$L$5*'CALCULO MORTERO'!I1497+'BLAZE SHIELD II'!$L$6)*LN(J1497))+('BLAZE SHIELD II'!$L$7*('CALCULO MORTERO'!I1497^2)+'BLAZE SHIELD II'!$L$8*'CALCULO MORTERO'!I1497+'BLAZE SHIELD II'!$L$9)),0)+IF(AND(L1497="Blaze Shield II",M1497="Software Idiem",C1497="L"),((('BLAZE SHIELD II'!$L$4*('CALCULO MORTERO'!I1497^2)+'BLAZE SHIELD II'!$L$5*'CALCULO MORTERO'!I1497+'BLAZE SHIELD II'!$L$6)*LN(J1497))+('BLAZE SHIELD II'!$L$7*('CALCULO MORTERO'!I1497^2)+'BLAZE SHIELD II'!$L$8*'CALCULO MORTERO'!I1497+'BLAZE SHIELD II'!$L$9)),0)+IF(AND(L1497="Blaze Shield II",M1497="Software Idiem",C1497="IN",G1497=3),((('BLAZE SHIELD II'!$H$14*('CALCULO MORTERO'!I1497^2)+'BLAZE SHIELD II'!$H$15*'CALCULO MORTERO'!I1497+'BLAZE SHIELD II'!$H$16)*LN(J1497))+('BLAZE SHIELD II'!$H$17*('CALCULO MORTERO'!I1497^2)+'BLAZE SHIELD II'!$H$18*'CALCULO MORTERO'!I1497+'BLAZE SHIELD II'!$H$19)),0),0)+ROUND(IF(AND(L1497="Cafco 400",M1497="Software Idiem",C1497="IN",G1497=4),((('CAFCO 400 '!$H$7*(J1497^4)+'CAFCO 400 '!$H$8*(J1497^3)+'CAFCO 400 '!$H$9*(J1497^2)+'CAFCO 400 '!$H$10*J1497+'CAFCO 400 '!$H$11)*U1497^2)+(('CAFCO 400 '!$H$12*(J1497^3)+'CAFCO 400 '!$H$13*(J1497^2)+'CAFCO 400 '!$H$14*J1497+'CAFCO 400 '!$H$15)*U1497)+('CAFCO 400 '!$H$16*(J1497^2)+'CAFCO 400 '!$H$17*J1497+'CAFCO 400 '!$H$18)),0)+IF(AND(L1497="Cafco 400",M1497="Software Idiem",C1497="Cj"),(((('CAFCO 400 '!$D$7*LN(J1497)+'CAFCO 400 '!$D$8)*U1497^2)+(('CAFCO 400 '!$D$9*LN(J1497)+'CAFCO 400 '!$D$10)*U1497)+('CAFCO 400 '!$D$11*LN(J1497)+'CAFCO 400 '!$D$12))),0)+IF(AND(L1497="Cafco 400",M1497="Software Idiem",C1497="C"),((('CAFCO 400 '!$L$7*(J1497^3)+'CAFCO 400 '!$L$8*(J1497^2)+'CAFCO 400 '!$L$9*J1497+'CAFCO 400 '!$L$10)*U1497^2)+(('CAFCO 400 '!$L$11*(J1497^3)+'CAFCO 400 '!$L$12*(J1497^2)+'CAFCO 400 '!$L$13*J1497+'CAFCO 400 '!$L$14)*U1497)+('CAFCO 400 '!$L$15*LN(J1497)+'CAFCO 400 '!$L$16)),0)+IF(AND(L1497="Cafco 400",M1497="Software Idiem",C1497="L"),((('CAFCO 400 '!$L$7*(J1497^3)+'CAFCO 400 '!$L$8*(J1497^2)+'CAFCO 400 '!$L$9*J1497+'CAFCO 400 '!$L$10)*U1497^2)+(('CAFCO 400 '!$L$11*(J1497^3)+'CAFCO 400 '!$L$12*(J1497^2)+'CAFCO 400 '!$L$13*J1497+'CAFCO 400 '!$L$14)*U1497)+('CAFCO 400 '!$L$15*LN(J1497)+'CAFCO 400 '!$L$16)),0)+IF(AND(L1497="Cafco 400",M1497="Software Idiem",C1497="IN",G1497=3),((('CAFCO 400 '!$D$23*(J1497^2)+'CAFCO 400 '!$D$24*(J1497)+'CAFCO 400 '!$D$25)*U1497^2)+(('CAFCO 400 '!$D$26*(J1497^2)+'CAFCO 400 '!$D$27*J1497+'CAFCO 400 '!$D$28)*U1497)+('CAFCO 400 '!$D$29*(J1497^2)+'CAFCO 400 '!$D$30*J1497+'CAFCO 400 '!$D$31)),0),0)+IF(AND(L1497="Cafco 300",J1497&gt;=95,J1497&lt;=240,C1497="Cj",I1497=90),VLOOKUP(T1497,'CAFCO 300 IDIEM TABLAS'!$B$4:$D$23,2,FALSE),0)+IF(AND(L1497="Cafco 300",J1497&gt;=95,J1497&lt;=240,C1497="Cj",I1497=120),VLOOKUP(T1497,'CAFCO 300 IDIEM TABLAS'!$B$4:$D$23,3,FALSE),0)+IF(AND(L1497="Cafco 300",J1497&gt;=95,J1497&lt;=400,G1497=3,C1497="IN",I1497=90),VLOOKUP(T1497,'CAFCO 300 IDIEM TABLAS'!$F$4:$H$35,2,FALSE),0)+IF(AND(L1497="Cafco 300",J1497&gt;=95,J1497&lt;=400,G1497=3,C1497="IN",I1497=120),VLOOKUP(T1497,'CAFCO 300 IDIEM TABLAS'!$F$4:$H$35,3,FALSE),0)+IF(AND(L1497="Cafco 300",J1497&gt;=95,J1497&lt;=450,G1497=4,C1497="IN",I1497=90),VLOOKUP(T1497,'CAFCO 300 IDIEM TABLAS'!$J$4:$L$40,2,FALSE),0)+IF(AND(L1497="Cafco 300",J1497&gt;=95,J1497&lt;=450,G1497=4,C1497="IN",I1497=120),VLOOKUP(T1497,'CAFCO 300 IDIEM TABLAS'!$J$4:$L$40,3,FALSE),0)+IF(AND(M1497="Ensayo Idiem",L1497="Cafco 400",C1497="IN",G1497=4,I1497=90),VLOOKUP(T1497,'CAFCO 400 ENSAYO'!$B$7:$D$43,2,FALSE),0)+IF(AND(M1497="Ensayo Idiem",L1497="Cafco 400",C1497="IN",G1497=4,I1497=120),VLOOKUP(T1497,'CAFCO 400 ENSAYO'!$B$7:$D$43,3,FALSE),0)</f>
        <v>0</v>
      </c>
      <c r="O1497" s="96">
        <f t="shared" si="150"/>
        <v>0</v>
      </c>
      <c r="P1497" s="132" t="str">
        <f t="shared" si="145"/>
        <v>N/A</v>
      </c>
      <c r="Q1497" s="132" t="str">
        <f t="shared" si="146"/>
        <v>N/A</v>
      </c>
      <c r="R1497" s="132" t="str">
        <f t="shared" si="147"/>
        <v>NO CERT.</v>
      </c>
      <c r="S1497" s="132" t="e">
        <f t="shared" si="148"/>
        <v>#N/A</v>
      </c>
      <c r="T1497" s="133" t="e">
        <f>+IF(J1497=LOOKUP(J1497,'CAFCO 300 IDIEM TABLAS'!$J$4:$J$40),'CALCULO MORTERO'!J1497,MROUND('CALCULO MORTERO'!J1497,10))</f>
        <v>#N/A</v>
      </c>
      <c r="U1497" s="134">
        <f t="shared" si="149"/>
        <v>0</v>
      </c>
    </row>
    <row r="1498" spans="1:21" x14ac:dyDescent="0.25">
      <c r="A1498" s="118">
        <f>+CUBICACION!D1492</f>
        <v>0</v>
      </c>
      <c r="B1498" s="819">
        <f>+CUBICACION!E1492</f>
        <v>0</v>
      </c>
      <c r="C1498" s="675">
        <f>+CUBICACION!F1492</f>
        <v>0</v>
      </c>
      <c r="D1498" s="118"/>
      <c r="E1498" s="118"/>
      <c r="F1498" s="820"/>
      <c r="G1498" s="675">
        <f>+CUBICACION!J1492</f>
        <v>0</v>
      </c>
      <c r="H1498" s="118"/>
      <c r="I1498" s="821">
        <f>+CUBICACION!L1492</f>
        <v>0</v>
      </c>
      <c r="J1498" s="64">
        <f>+CUBICACION!M1492</f>
        <v>0</v>
      </c>
      <c r="K1498" s="822" t="str">
        <f>+CUBICACION!N1492</f>
        <v/>
      </c>
      <c r="L1498" s="118">
        <f>+CUBICACION!O1492</f>
        <v>0</v>
      </c>
      <c r="M1498" s="823">
        <f>+CUBICACION!P1492</f>
        <v>0</v>
      </c>
      <c r="N1498" s="902">
        <f>ROUND(IF(AND(L1498="Blaze Shield II",M1498="Software Idiem",C1498="IN",G1498=4),((('BLAZE SHIELD II'!$D$4*('CALCULO MORTERO'!I1498^2)+'BLAZE SHIELD II'!$D$5*'CALCULO MORTERO'!I1498+'BLAZE SHIELD II'!$D$6)*LN(J1498))+('BLAZE SHIELD II'!$D$7*('CALCULO MORTERO'!I1498^2)+'BLAZE SHIELD II'!$D$8*'CALCULO MORTERO'!I1498+'BLAZE SHIELD II'!$D$9)),0)+IF(AND(L1498="Blaze Shield II",M1498="Software Idiem",C1498="Cj"),((('BLAZE SHIELD II'!$H$4*('CALCULO MORTERO'!I1498^2)+'BLAZE SHIELD II'!$H$5*'CALCULO MORTERO'!I1498+'BLAZE SHIELD II'!$H$6)*LN(J1498))+('BLAZE SHIELD II'!$H$7*('CALCULO MORTERO'!I1498^2)+'BLAZE SHIELD II'!$H$8*'CALCULO MORTERO'!I1498+'BLAZE SHIELD II'!$H$9)),0)+IF(AND(L1498="Blaze Shield II",M1498="Software Idiem",C1498="C"),((('BLAZE SHIELD II'!$L$4*('CALCULO MORTERO'!I1498^2)+'BLAZE SHIELD II'!$L$5*'CALCULO MORTERO'!I1498+'BLAZE SHIELD II'!$L$6)*LN(J1498))+('BLAZE SHIELD II'!$L$7*('CALCULO MORTERO'!I1498^2)+'BLAZE SHIELD II'!$L$8*'CALCULO MORTERO'!I1498+'BLAZE SHIELD II'!$L$9)),0)+IF(AND(L1498="Blaze Shield II",M1498="Software Idiem",C1498="L"),((('BLAZE SHIELD II'!$L$4*('CALCULO MORTERO'!I1498^2)+'BLAZE SHIELD II'!$L$5*'CALCULO MORTERO'!I1498+'BLAZE SHIELD II'!$L$6)*LN(J1498))+('BLAZE SHIELD II'!$L$7*('CALCULO MORTERO'!I1498^2)+'BLAZE SHIELD II'!$L$8*'CALCULO MORTERO'!I1498+'BLAZE SHIELD II'!$L$9)),0)+IF(AND(L1498="Blaze Shield II",M1498="Software Idiem",C1498="IN",G1498=3),((('BLAZE SHIELD II'!$H$14*('CALCULO MORTERO'!I1498^2)+'BLAZE SHIELD II'!$H$15*'CALCULO MORTERO'!I1498+'BLAZE SHIELD II'!$H$16)*LN(J1498))+('BLAZE SHIELD II'!$H$17*('CALCULO MORTERO'!I1498^2)+'BLAZE SHIELD II'!$H$18*'CALCULO MORTERO'!I1498+'BLAZE SHIELD II'!$H$19)),0),0)+ROUND(IF(AND(L1498="Cafco 400",M1498="Software Idiem",C1498="IN",G1498=4),((('CAFCO 400 '!$H$7*(J1498^4)+'CAFCO 400 '!$H$8*(J1498^3)+'CAFCO 400 '!$H$9*(J1498^2)+'CAFCO 400 '!$H$10*J1498+'CAFCO 400 '!$H$11)*U1498^2)+(('CAFCO 400 '!$H$12*(J1498^3)+'CAFCO 400 '!$H$13*(J1498^2)+'CAFCO 400 '!$H$14*J1498+'CAFCO 400 '!$H$15)*U1498)+('CAFCO 400 '!$H$16*(J1498^2)+'CAFCO 400 '!$H$17*J1498+'CAFCO 400 '!$H$18)),0)+IF(AND(L1498="Cafco 400",M1498="Software Idiem",C1498="Cj"),(((('CAFCO 400 '!$D$7*LN(J1498)+'CAFCO 400 '!$D$8)*U1498^2)+(('CAFCO 400 '!$D$9*LN(J1498)+'CAFCO 400 '!$D$10)*U1498)+('CAFCO 400 '!$D$11*LN(J1498)+'CAFCO 400 '!$D$12))),0)+IF(AND(L1498="Cafco 400",M1498="Software Idiem",C1498="C"),((('CAFCO 400 '!$L$7*(J1498^3)+'CAFCO 400 '!$L$8*(J1498^2)+'CAFCO 400 '!$L$9*J1498+'CAFCO 400 '!$L$10)*U1498^2)+(('CAFCO 400 '!$L$11*(J1498^3)+'CAFCO 400 '!$L$12*(J1498^2)+'CAFCO 400 '!$L$13*J1498+'CAFCO 400 '!$L$14)*U1498)+('CAFCO 400 '!$L$15*LN(J1498)+'CAFCO 400 '!$L$16)),0)+IF(AND(L1498="Cafco 400",M1498="Software Idiem",C1498="L"),((('CAFCO 400 '!$L$7*(J1498^3)+'CAFCO 400 '!$L$8*(J1498^2)+'CAFCO 400 '!$L$9*J1498+'CAFCO 400 '!$L$10)*U1498^2)+(('CAFCO 400 '!$L$11*(J1498^3)+'CAFCO 400 '!$L$12*(J1498^2)+'CAFCO 400 '!$L$13*J1498+'CAFCO 400 '!$L$14)*U1498)+('CAFCO 400 '!$L$15*LN(J1498)+'CAFCO 400 '!$L$16)),0)+IF(AND(L1498="Cafco 400",M1498="Software Idiem",C1498="IN",G1498=3),((('CAFCO 400 '!$D$23*(J1498^2)+'CAFCO 400 '!$D$24*(J1498)+'CAFCO 400 '!$D$25)*U1498^2)+(('CAFCO 400 '!$D$26*(J1498^2)+'CAFCO 400 '!$D$27*J1498+'CAFCO 400 '!$D$28)*U1498)+('CAFCO 400 '!$D$29*(J1498^2)+'CAFCO 400 '!$D$30*J1498+'CAFCO 400 '!$D$31)),0),0)+IF(AND(L1498="Cafco 300",J1498&gt;=95,J1498&lt;=240,C1498="Cj",I1498=90),VLOOKUP(T1498,'CAFCO 300 IDIEM TABLAS'!$B$4:$D$23,2,FALSE),0)+IF(AND(L1498="Cafco 300",J1498&gt;=95,J1498&lt;=240,C1498="Cj",I1498=120),VLOOKUP(T1498,'CAFCO 300 IDIEM TABLAS'!$B$4:$D$23,3,FALSE),0)+IF(AND(L1498="Cafco 300",J1498&gt;=95,J1498&lt;=400,G1498=3,C1498="IN",I1498=90),VLOOKUP(T1498,'CAFCO 300 IDIEM TABLAS'!$F$4:$H$35,2,FALSE),0)+IF(AND(L1498="Cafco 300",J1498&gt;=95,J1498&lt;=400,G1498=3,C1498="IN",I1498=120),VLOOKUP(T1498,'CAFCO 300 IDIEM TABLAS'!$F$4:$H$35,3,FALSE),0)+IF(AND(L1498="Cafco 300",J1498&gt;=95,J1498&lt;=450,G1498=4,C1498="IN",I1498=90),VLOOKUP(T1498,'CAFCO 300 IDIEM TABLAS'!$J$4:$L$40,2,FALSE),0)+IF(AND(L1498="Cafco 300",J1498&gt;=95,J1498&lt;=450,G1498=4,C1498="IN",I1498=120),VLOOKUP(T1498,'CAFCO 300 IDIEM TABLAS'!$J$4:$L$40,3,FALSE),0)+IF(AND(M1498="Ensayo Idiem",L1498="Cafco 400",C1498="IN",G1498=4,I1498=90),VLOOKUP(T1498,'CAFCO 400 ENSAYO'!$B$7:$D$43,2,FALSE),0)+IF(AND(M1498="Ensayo Idiem",L1498="Cafco 400",C1498="IN",G1498=4,I1498=120),VLOOKUP(T1498,'CAFCO 400 ENSAYO'!$B$7:$D$43,3,FALSE),0)</f>
        <v>0</v>
      </c>
      <c r="O1498" s="96">
        <f t="shared" si="150"/>
        <v>0</v>
      </c>
      <c r="P1498" s="95" t="str">
        <f t="shared" si="145"/>
        <v>N/A</v>
      </c>
      <c r="Q1498" s="95" t="str">
        <f t="shared" si="146"/>
        <v>N/A</v>
      </c>
      <c r="R1498" s="95" t="str">
        <f t="shared" si="147"/>
        <v>NO CERT.</v>
      </c>
      <c r="S1498" s="95" t="e">
        <f t="shared" si="148"/>
        <v>#N/A</v>
      </c>
      <c r="T1498" s="119" t="e">
        <f>+IF(J1498=LOOKUP(J1498,'CAFCO 300 IDIEM TABLAS'!$J$4:$J$40),'CALCULO MORTERO'!J1498,MROUND('CALCULO MORTERO'!J1498,10))</f>
        <v>#N/A</v>
      </c>
      <c r="U1498" s="118">
        <f t="shared" si="149"/>
        <v>0</v>
      </c>
    </row>
    <row r="1499" spans="1:21" x14ac:dyDescent="0.25">
      <c r="A1499" s="118">
        <f>+CUBICACION!D1493</f>
        <v>0</v>
      </c>
      <c r="B1499" s="819">
        <f>+CUBICACION!E1493</f>
        <v>0</v>
      </c>
      <c r="C1499" s="675">
        <f>+CUBICACION!F1493</f>
        <v>0</v>
      </c>
      <c r="D1499" s="118"/>
      <c r="E1499" s="118"/>
      <c r="F1499" s="820"/>
      <c r="G1499" s="675">
        <f>+CUBICACION!J1493</f>
        <v>0</v>
      </c>
      <c r="H1499" s="118"/>
      <c r="I1499" s="821">
        <f>+CUBICACION!L1493</f>
        <v>0</v>
      </c>
      <c r="J1499" s="64">
        <f>+CUBICACION!M1493</f>
        <v>0</v>
      </c>
      <c r="K1499" s="822" t="str">
        <f>+CUBICACION!N1493</f>
        <v/>
      </c>
      <c r="L1499" s="118">
        <f>+CUBICACION!O1493</f>
        <v>0</v>
      </c>
      <c r="M1499" s="823">
        <f>+CUBICACION!P1493</f>
        <v>0</v>
      </c>
      <c r="N1499" s="902">
        <f>ROUND(IF(AND(L1499="Blaze Shield II",M1499="Software Idiem",C1499="IN",G1499=4),((('BLAZE SHIELD II'!$D$4*('CALCULO MORTERO'!I1499^2)+'BLAZE SHIELD II'!$D$5*'CALCULO MORTERO'!I1499+'BLAZE SHIELD II'!$D$6)*LN(J1499))+('BLAZE SHIELD II'!$D$7*('CALCULO MORTERO'!I1499^2)+'BLAZE SHIELD II'!$D$8*'CALCULO MORTERO'!I1499+'BLAZE SHIELD II'!$D$9)),0)+IF(AND(L1499="Blaze Shield II",M1499="Software Idiem",C1499="Cj"),((('BLAZE SHIELD II'!$H$4*('CALCULO MORTERO'!I1499^2)+'BLAZE SHIELD II'!$H$5*'CALCULO MORTERO'!I1499+'BLAZE SHIELD II'!$H$6)*LN(J1499))+('BLAZE SHIELD II'!$H$7*('CALCULO MORTERO'!I1499^2)+'BLAZE SHIELD II'!$H$8*'CALCULO MORTERO'!I1499+'BLAZE SHIELD II'!$H$9)),0)+IF(AND(L1499="Blaze Shield II",M1499="Software Idiem",C1499="C"),((('BLAZE SHIELD II'!$L$4*('CALCULO MORTERO'!I1499^2)+'BLAZE SHIELD II'!$L$5*'CALCULO MORTERO'!I1499+'BLAZE SHIELD II'!$L$6)*LN(J1499))+('BLAZE SHIELD II'!$L$7*('CALCULO MORTERO'!I1499^2)+'BLAZE SHIELD II'!$L$8*'CALCULO MORTERO'!I1499+'BLAZE SHIELD II'!$L$9)),0)+IF(AND(L1499="Blaze Shield II",M1499="Software Idiem",C1499="L"),((('BLAZE SHIELD II'!$L$4*('CALCULO MORTERO'!I1499^2)+'BLAZE SHIELD II'!$L$5*'CALCULO MORTERO'!I1499+'BLAZE SHIELD II'!$L$6)*LN(J1499))+('BLAZE SHIELD II'!$L$7*('CALCULO MORTERO'!I1499^2)+'BLAZE SHIELD II'!$L$8*'CALCULO MORTERO'!I1499+'BLAZE SHIELD II'!$L$9)),0)+IF(AND(L1499="Blaze Shield II",M1499="Software Idiem",C1499="IN",G1499=3),((('BLAZE SHIELD II'!$H$14*('CALCULO MORTERO'!I1499^2)+'BLAZE SHIELD II'!$H$15*'CALCULO MORTERO'!I1499+'BLAZE SHIELD II'!$H$16)*LN(J1499))+('BLAZE SHIELD II'!$H$17*('CALCULO MORTERO'!I1499^2)+'BLAZE SHIELD II'!$H$18*'CALCULO MORTERO'!I1499+'BLAZE SHIELD II'!$H$19)),0),0)+ROUND(IF(AND(L1499="Cafco 400",M1499="Software Idiem",C1499="IN",G1499=4),((('CAFCO 400 '!$H$7*(J1499^4)+'CAFCO 400 '!$H$8*(J1499^3)+'CAFCO 400 '!$H$9*(J1499^2)+'CAFCO 400 '!$H$10*J1499+'CAFCO 400 '!$H$11)*U1499^2)+(('CAFCO 400 '!$H$12*(J1499^3)+'CAFCO 400 '!$H$13*(J1499^2)+'CAFCO 400 '!$H$14*J1499+'CAFCO 400 '!$H$15)*U1499)+('CAFCO 400 '!$H$16*(J1499^2)+'CAFCO 400 '!$H$17*J1499+'CAFCO 400 '!$H$18)),0)+IF(AND(L1499="Cafco 400",M1499="Software Idiem",C1499="Cj"),(((('CAFCO 400 '!$D$7*LN(J1499)+'CAFCO 400 '!$D$8)*U1499^2)+(('CAFCO 400 '!$D$9*LN(J1499)+'CAFCO 400 '!$D$10)*U1499)+('CAFCO 400 '!$D$11*LN(J1499)+'CAFCO 400 '!$D$12))),0)+IF(AND(L1499="Cafco 400",M1499="Software Idiem",C1499="C"),((('CAFCO 400 '!$L$7*(J1499^3)+'CAFCO 400 '!$L$8*(J1499^2)+'CAFCO 400 '!$L$9*J1499+'CAFCO 400 '!$L$10)*U1499^2)+(('CAFCO 400 '!$L$11*(J1499^3)+'CAFCO 400 '!$L$12*(J1499^2)+'CAFCO 400 '!$L$13*J1499+'CAFCO 400 '!$L$14)*U1499)+('CAFCO 400 '!$L$15*LN(J1499)+'CAFCO 400 '!$L$16)),0)+IF(AND(L1499="Cafco 400",M1499="Software Idiem",C1499="L"),((('CAFCO 400 '!$L$7*(J1499^3)+'CAFCO 400 '!$L$8*(J1499^2)+'CAFCO 400 '!$L$9*J1499+'CAFCO 400 '!$L$10)*U1499^2)+(('CAFCO 400 '!$L$11*(J1499^3)+'CAFCO 400 '!$L$12*(J1499^2)+'CAFCO 400 '!$L$13*J1499+'CAFCO 400 '!$L$14)*U1499)+('CAFCO 400 '!$L$15*LN(J1499)+'CAFCO 400 '!$L$16)),0)+IF(AND(L1499="Cafco 400",M1499="Software Idiem",C1499="IN",G1499=3),((('CAFCO 400 '!$D$23*(J1499^2)+'CAFCO 400 '!$D$24*(J1499)+'CAFCO 400 '!$D$25)*U1499^2)+(('CAFCO 400 '!$D$26*(J1499^2)+'CAFCO 400 '!$D$27*J1499+'CAFCO 400 '!$D$28)*U1499)+('CAFCO 400 '!$D$29*(J1499^2)+'CAFCO 400 '!$D$30*J1499+'CAFCO 400 '!$D$31)),0),0)+IF(AND(L1499="Cafco 300",J1499&gt;=95,J1499&lt;=240,C1499="Cj",I1499=90),VLOOKUP(T1499,'CAFCO 300 IDIEM TABLAS'!$B$4:$D$23,2,FALSE),0)+IF(AND(L1499="Cafco 300",J1499&gt;=95,J1499&lt;=240,C1499="Cj",I1499=120),VLOOKUP(T1499,'CAFCO 300 IDIEM TABLAS'!$B$4:$D$23,3,FALSE),0)+IF(AND(L1499="Cafco 300",J1499&gt;=95,J1499&lt;=400,G1499=3,C1499="IN",I1499=90),VLOOKUP(T1499,'CAFCO 300 IDIEM TABLAS'!$F$4:$H$35,2,FALSE),0)+IF(AND(L1499="Cafco 300",J1499&gt;=95,J1499&lt;=400,G1499=3,C1499="IN",I1499=120),VLOOKUP(T1499,'CAFCO 300 IDIEM TABLAS'!$F$4:$H$35,3,FALSE),0)+IF(AND(L1499="Cafco 300",J1499&gt;=95,J1499&lt;=450,G1499=4,C1499="IN",I1499=90),VLOOKUP(T1499,'CAFCO 300 IDIEM TABLAS'!$J$4:$L$40,2,FALSE),0)+IF(AND(L1499="Cafco 300",J1499&gt;=95,J1499&lt;=450,G1499=4,C1499="IN",I1499=120),VLOOKUP(T1499,'CAFCO 300 IDIEM TABLAS'!$J$4:$L$40,3,FALSE),0)+IF(AND(M1499="Ensayo Idiem",L1499="Cafco 400",C1499="IN",G1499=4,I1499=90),VLOOKUP(T1499,'CAFCO 400 ENSAYO'!$B$7:$D$43,2,FALSE),0)+IF(AND(M1499="Ensayo Idiem",L1499="Cafco 400",C1499="IN",G1499=4,I1499=120),VLOOKUP(T1499,'CAFCO 400 ENSAYO'!$B$7:$D$43,3,FALSE),0)</f>
        <v>0</v>
      </c>
      <c r="O1499" s="96">
        <f t="shared" si="150"/>
        <v>0</v>
      </c>
      <c r="P1499" s="132" t="str">
        <f t="shared" si="145"/>
        <v>N/A</v>
      </c>
      <c r="Q1499" s="132" t="str">
        <f t="shared" si="146"/>
        <v>N/A</v>
      </c>
      <c r="R1499" s="132" t="str">
        <f t="shared" si="147"/>
        <v>NO CERT.</v>
      </c>
      <c r="S1499" s="132" t="e">
        <f t="shared" si="148"/>
        <v>#N/A</v>
      </c>
      <c r="T1499" s="133" t="e">
        <f>+IF(J1499=LOOKUP(J1499,'CAFCO 300 IDIEM TABLAS'!$J$4:$J$40),'CALCULO MORTERO'!J1499,MROUND('CALCULO MORTERO'!J1499,10))</f>
        <v>#N/A</v>
      </c>
      <c r="U1499" s="134">
        <f t="shared" si="149"/>
        <v>0</v>
      </c>
    </row>
    <row r="1500" spans="1:21" x14ac:dyDescent="0.25">
      <c r="A1500" s="118">
        <f>+CUBICACION!D1494</f>
        <v>0</v>
      </c>
      <c r="B1500" s="819">
        <f>+CUBICACION!E1494</f>
        <v>0</v>
      </c>
      <c r="C1500" s="675">
        <f>+CUBICACION!F1494</f>
        <v>0</v>
      </c>
      <c r="D1500" s="118"/>
      <c r="E1500" s="118"/>
      <c r="F1500" s="820"/>
      <c r="G1500" s="675">
        <f>+CUBICACION!J1494</f>
        <v>0</v>
      </c>
      <c r="H1500" s="118"/>
      <c r="I1500" s="821">
        <f>+CUBICACION!L1494</f>
        <v>0</v>
      </c>
      <c r="J1500" s="64">
        <f>+CUBICACION!M1494</f>
        <v>0</v>
      </c>
      <c r="K1500" s="822" t="str">
        <f>+CUBICACION!N1494</f>
        <v/>
      </c>
      <c r="L1500" s="118">
        <f>+CUBICACION!O1494</f>
        <v>0</v>
      </c>
      <c r="M1500" s="823">
        <f>+CUBICACION!P1494</f>
        <v>0</v>
      </c>
      <c r="N1500" s="902">
        <f>ROUND(IF(AND(L1500="Blaze Shield II",M1500="Software Idiem",C1500="IN",G1500=4),((('BLAZE SHIELD II'!$D$4*('CALCULO MORTERO'!I1500^2)+'BLAZE SHIELD II'!$D$5*'CALCULO MORTERO'!I1500+'BLAZE SHIELD II'!$D$6)*LN(J1500))+('BLAZE SHIELD II'!$D$7*('CALCULO MORTERO'!I1500^2)+'BLAZE SHIELD II'!$D$8*'CALCULO MORTERO'!I1500+'BLAZE SHIELD II'!$D$9)),0)+IF(AND(L1500="Blaze Shield II",M1500="Software Idiem",C1500="Cj"),((('BLAZE SHIELD II'!$H$4*('CALCULO MORTERO'!I1500^2)+'BLAZE SHIELD II'!$H$5*'CALCULO MORTERO'!I1500+'BLAZE SHIELD II'!$H$6)*LN(J1500))+('BLAZE SHIELD II'!$H$7*('CALCULO MORTERO'!I1500^2)+'BLAZE SHIELD II'!$H$8*'CALCULO MORTERO'!I1500+'BLAZE SHIELD II'!$H$9)),0)+IF(AND(L1500="Blaze Shield II",M1500="Software Idiem",C1500="C"),((('BLAZE SHIELD II'!$L$4*('CALCULO MORTERO'!I1500^2)+'BLAZE SHIELD II'!$L$5*'CALCULO MORTERO'!I1500+'BLAZE SHIELD II'!$L$6)*LN(J1500))+('BLAZE SHIELD II'!$L$7*('CALCULO MORTERO'!I1500^2)+'BLAZE SHIELD II'!$L$8*'CALCULO MORTERO'!I1500+'BLAZE SHIELD II'!$L$9)),0)+IF(AND(L1500="Blaze Shield II",M1500="Software Idiem",C1500="L"),((('BLAZE SHIELD II'!$L$4*('CALCULO MORTERO'!I1500^2)+'BLAZE SHIELD II'!$L$5*'CALCULO MORTERO'!I1500+'BLAZE SHIELD II'!$L$6)*LN(J1500))+('BLAZE SHIELD II'!$L$7*('CALCULO MORTERO'!I1500^2)+'BLAZE SHIELD II'!$L$8*'CALCULO MORTERO'!I1500+'BLAZE SHIELD II'!$L$9)),0)+IF(AND(L1500="Blaze Shield II",M1500="Software Idiem",C1500="IN",G1500=3),((('BLAZE SHIELD II'!$H$14*('CALCULO MORTERO'!I1500^2)+'BLAZE SHIELD II'!$H$15*'CALCULO MORTERO'!I1500+'BLAZE SHIELD II'!$H$16)*LN(J1500))+('BLAZE SHIELD II'!$H$17*('CALCULO MORTERO'!I1500^2)+'BLAZE SHIELD II'!$H$18*'CALCULO MORTERO'!I1500+'BLAZE SHIELD II'!$H$19)),0),0)+ROUND(IF(AND(L1500="Cafco 400",M1500="Software Idiem",C1500="IN",G1500=4),((('CAFCO 400 '!$H$7*(J1500^4)+'CAFCO 400 '!$H$8*(J1500^3)+'CAFCO 400 '!$H$9*(J1500^2)+'CAFCO 400 '!$H$10*J1500+'CAFCO 400 '!$H$11)*U1500^2)+(('CAFCO 400 '!$H$12*(J1500^3)+'CAFCO 400 '!$H$13*(J1500^2)+'CAFCO 400 '!$H$14*J1500+'CAFCO 400 '!$H$15)*U1500)+('CAFCO 400 '!$H$16*(J1500^2)+'CAFCO 400 '!$H$17*J1500+'CAFCO 400 '!$H$18)),0)+IF(AND(L1500="Cafco 400",M1500="Software Idiem",C1500="Cj"),(((('CAFCO 400 '!$D$7*LN(J1500)+'CAFCO 400 '!$D$8)*U1500^2)+(('CAFCO 400 '!$D$9*LN(J1500)+'CAFCO 400 '!$D$10)*U1500)+('CAFCO 400 '!$D$11*LN(J1500)+'CAFCO 400 '!$D$12))),0)+IF(AND(L1500="Cafco 400",M1500="Software Idiem",C1500="C"),((('CAFCO 400 '!$L$7*(J1500^3)+'CAFCO 400 '!$L$8*(J1500^2)+'CAFCO 400 '!$L$9*J1500+'CAFCO 400 '!$L$10)*U1500^2)+(('CAFCO 400 '!$L$11*(J1500^3)+'CAFCO 400 '!$L$12*(J1500^2)+'CAFCO 400 '!$L$13*J1500+'CAFCO 400 '!$L$14)*U1500)+('CAFCO 400 '!$L$15*LN(J1500)+'CAFCO 400 '!$L$16)),0)+IF(AND(L1500="Cafco 400",M1500="Software Idiem",C1500="L"),((('CAFCO 400 '!$L$7*(J1500^3)+'CAFCO 400 '!$L$8*(J1500^2)+'CAFCO 400 '!$L$9*J1500+'CAFCO 400 '!$L$10)*U1500^2)+(('CAFCO 400 '!$L$11*(J1500^3)+'CAFCO 400 '!$L$12*(J1500^2)+'CAFCO 400 '!$L$13*J1500+'CAFCO 400 '!$L$14)*U1500)+('CAFCO 400 '!$L$15*LN(J1500)+'CAFCO 400 '!$L$16)),0)+IF(AND(L1500="Cafco 400",M1500="Software Idiem",C1500="IN",G1500=3),((('CAFCO 400 '!$D$23*(J1500^2)+'CAFCO 400 '!$D$24*(J1500)+'CAFCO 400 '!$D$25)*U1500^2)+(('CAFCO 400 '!$D$26*(J1500^2)+'CAFCO 400 '!$D$27*J1500+'CAFCO 400 '!$D$28)*U1500)+('CAFCO 400 '!$D$29*(J1500^2)+'CAFCO 400 '!$D$30*J1500+'CAFCO 400 '!$D$31)),0),0)+IF(AND(L1500="Cafco 300",J1500&gt;=95,J1500&lt;=240,C1500="Cj",I1500=90),VLOOKUP(T1500,'CAFCO 300 IDIEM TABLAS'!$B$4:$D$23,2,FALSE),0)+IF(AND(L1500="Cafco 300",J1500&gt;=95,J1500&lt;=240,C1500="Cj",I1500=120),VLOOKUP(T1500,'CAFCO 300 IDIEM TABLAS'!$B$4:$D$23,3,FALSE),0)+IF(AND(L1500="Cafco 300",J1500&gt;=95,J1500&lt;=400,G1500=3,C1500="IN",I1500=90),VLOOKUP(T1500,'CAFCO 300 IDIEM TABLAS'!$F$4:$H$35,2,FALSE),0)+IF(AND(L1500="Cafco 300",J1500&gt;=95,J1500&lt;=400,G1500=3,C1500="IN",I1500=120),VLOOKUP(T1500,'CAFCO 300 IDIEM TABLAS'!$F$4:$H$35,3,FALSE),0)+IF(AND(L1500="Cafco 300",J1500&gt;=95,J1500&lt;=450,G1500=4,C1500="IN",I1500=90),VLOOKUP(T1500,'CAFCO 300 IDIEM TABLAS'!$J$4:$L$40,2,FALSE),0)+IF(AND(L1500="Cafco 300",J1500&gt;=95,J1500&lt;=450,G1500=4,C1500="IN",I1500=120),VLOOKUP(T1500,'CAFCO 300 IDIEM TABLAS'!$J$4:$L$40,3,FALSE),0)+IF(AND(M1500="Ensayo Idiem",L1500="Cafco 400",C1500="IN",G1500=4,I1500=90),VLOOKUP(T1500,'CAFCO 400 ENSAYO'!$B$7:$D$43,2,FALSE),0)+IF(AND(M1500="Ensayo Idiem",L1500="Cafco 400",C1500="IN",G1500=4,I1500=120),VLOOKUP(T1500,'CAFCO 400 ENSAYO'!$B$7:$D$43,3,FALSE),0)</f>
        <v>0</v>
      </c>
      <c r="O1500" s="96">
        <f t="shared" si="150"/>
        <v>0</v>
      </c>
      <c r="P1500" s="95" t="str">
        <f t="shared" si="145"/>
        <v>N/A</v>
      </c>
      <c r="Q1500" s="95" t="str">
        <f t="shared" si="146"/>
        <v>N/A</v>
      </c>
      <c r="R1500" s="95" t="str">
        <f t="shared" si="147"/>
        <v>NO CERT.</v>
      </c>
      <c r="S1500" s="95" t="e">
        <f t="shared" si="148"/>
        <v>#N/A</v>
      </c>
      <c r="T1500" s="119" t="e">
        <f>+IF(J1500=LOOKUP(J1500,'CAFCO 300 IDIEM TABLAS'!$J$4:$J$40),'CALCULO MORTERO'!J1500,MROUND('CALCULO MORTERO'!J1500,10))</f>
        <v>#N/A</v>
      </c>
      <c r="U1500" s="118">
        <f t="shared" si="149"/>
        <v>0</v>
      </c>
    </row>
    <row r="1501" spans="1:21" x14ac:dyDescent="0.25">
      <c r="A1501" s="118">
        <f>+CUBICACION!D1495</f>
        <v>0</v>
      </c>
      <c r="B1501" s="819">
        <f>+CUBICACION!E1495</f>
        <v>0</v>
      </c>
      <c r="C1501" s="675">
        <f>+CUBICACION!F1495</f>
        <v>0</v>
      </c>
      <c r="D1501" s="118"/>
      <c r="E1501" s="118"/>
      <c r="F1501" s="820"/>
      <c r="G1501" s="675">
        <f>+CUBICACION!J1495</f>
        <v>0</v>
      </c>
      <c r="H1501" s="118"/>
      <c r="I1501" s="821">
        <f>+CUBICACION!L1495</f>
        <v>0</v>
      </c>
      <c r="J1501" s="64">
        <f>+CUBICACION!M1495</f>
        <v>0</v>
      </c>
      <c r="K1501" s="822" t="str">
        <f>+CUBICACION!N1495</f>
        <v/>
      </c>
      <c r="L1501" s="118">
        <f>+CUBICACION!O1495</f>
        <v>0</v>
      </c>
      <c r="M1501" s="823">
        <f>+CUBICACION!P1495</f>
        <v>0</v>
      </c>
      <c r="N1501" s="902">
        <f>ROUND(IF(AND(L1501="Blaze Shield II",M1501="Software Idiem",C1501="IN",G1501=4),((('BLAZE SHIELD II'!$D$4*('CALCULO MORTERO'!I1501^2)+'BLAZE SHIELD II'!$D$5*'CALCULO MORTERO'!I1501+'BLAZE SHIELD II'!$D$6)*LN(J1501))+('BLAZE SHIELD II'!$D$7*('CALCULO MORTERO'!I1501^2)+'BLAZE SHIELD II'!$D$8*'CALCULO MORTERO'!I1501+'BLAZE SHIELD II'!$D$9)),0)+IF(AND(L1501="Blaze Shield II",M1501="Software Idiem",C1501="Cj"),((('BLAZE SHIELD II'!$H$4*('CALCULO MORTERO'!I1501^2)+'BLAZE SHIELD II'!$H$5*'CALCULO MORTERO'!I1501+'BLAZE SHIELD II'!$H$6)*LN(J1501))+('BLAZE SHIELD II'!$H$7*('CALCULO MORTERO'!I1501^2)+'BLAZE SHIELD II'!$H$8*'CALCULO MORTERO'!I1501+'BLAZE SHIELD II'!$H$9)),0)+IF(AND(L1501="Blaze Shield II",M1501="Software Idiem",C1501="C"),((('BLAZE SHIELD II'!$L$4*('CALCULO MORTERO'!I1501^2)+'BLAZE SHIELD II'!$L$5*'CALCULO MORTERO'!I1501+'BLAZE SHIELD II'!$L$6)*LN(J1501))+('BLAZE SHIELD II'!$L$7*('CALCULO MORTERO'!I1501^2)+'BLAZE SHIELD II'!$L$8*'CALCULO MORTERO'!I1501+'BLAZE SHIELD II'!$L$9)),0)+IF(AND(L1501="Blaze Shield II",M1501="Software Idiem",C1501="L"),((('BLAZE SHIELD II'!$L$4*('CALCULO MORTERO'!I1501^2)+'BLAZE SHIELD II'!$L$5*'CALCULO MORTERO'!I1501+'BLAZE SHIELD II'!$L$6)*LN(J1501))+('BLAZE SHIELD II'!$L$7*('CALCULO MORTERO'!I1501^2)+'BLAZE SHIELD II'!$L$8*'CALCULO MORTERO'!I1501+'BLAZE SHIELD II'!$L$9)),0)+IF(AND(L1501="Blaze Shield II",M1501="Software Idiem",C1501="IN",G1501=3),((('BLAZE SHIELD II'!$H$14*('CALCULO MORTERO'!I1501^2)+'BLAZE SHIELD II'!$H$15*'CALCULO MORTERO'!I1501+'BLAZE SHIELD II'!$H$16)*LN(J1501))+('BLAZE SHIELD II'!$H$17*('CALCULO MORTERO'!I1501^2)+'BLAZE SHIELD II'!$H$18*'CALCULO MORTERO'!I1501+'BLAZE SHIELD II'!$H$19)),0),0)+ROUND(IF(AND(L1501="Cafco 400",M1501="Software Idiem",C1501="IN",G1501=4),((('CAFCO 400 '!$H$7*(J1501^4)+'CAFCO 400 '!$H$8*(J1501^3)+'CAFCO 400 '!$H$9*(J1501^2)+'CAFCO 400 '!$H$10*J1501+'CAFCO 400 '!$H$11)*U1501^2)+(('CAFCO 400 '!$H$12*(J1501^3)+'CAFCO 400 '!$H$13*(J1501^2)+'CAFCO 400 '!$H$14*J1501+'CAFCO 400 '!$H$15)*U1501)+('CAFCO 400 '!$H$16*(J1501^2)+'CAFCO 400 '!$H$17*J1501+'CAFCO 400 '!$H$18)),0)+IF(AND(L1501="Cafco 400",M1501="Software Idiem",C1501="Cj"),(((('CAFCO 400 '!$D$7*LN(J1501)+'CAFCO 400 '!$D$8)*U1501^2)+(('CAFCO 400 '!$D$9*LN(J1501)+'CAFCO 400 '!$D$10)*U1501)+('CAFCO 400 '!$D$11*LN(J1501)+'CAFCO 400 '!$D$12))),0)+IF(AND(L1501="Cafco 400",M1501="Software Idiem",C1501="C"),((('CAFCO 400 '!$L$7*(J1501^3)+'CAFCO 400 '!$L$8*(J1501^2)+'CAFCO 400 '!$L$9*J1501+'CAFCO 400 '!$L$10)*U1501^2)+(('CAFCO 400 '!$L$11*(J1501^3)+'CAFCO 400 '!$L$12*(J1501^2)+'CAFCO 400 '!$L$13*J1501+'CAFCO 400 '!$L$14)*U1501)+('CAFCO 400 '!$L$15*LN(J1501)+'CAFCO 400 '!$L$16)),0)+IF(AND(L1501="Cafco 400",M1501="Software Idiem",C1501="L"),((('CAFCO 400 '!$L$7*(J1501^3)+'CAFCO 400 '!$L$8*(J1501^2)+'CAFCO 400 '!$L$9*J1501+'CAFCO 400 '!$L$10)*U1501^2)+(('CAFCO 400 '!$L$11*(J1501^3)+'CAFCO 400 '!$L$12*(J1501^2)+'CAFCO 400 '!$L$13*J1501+'CAFCO 400 '!$L$14)*U1501)+('CAFCO 400 '!$L$15*LN(J1501)+'CAFCO 400 '!$L$16)),0)+IF(AND(L1501="Cafco 400",M1501="Software Idiem",C1501="IN",G1501=3),((('CAFCO 400 '!$D$23*(J1501^2)+'CAFCO 400 '!$D$24*(J1501)+'CAFCO 400 '!$D$25)*U1501^2)+(('CAFCO 400 '!$D$26*(J1501^2)+'CAFCO 400 '!$D$27*J1501+'CAFCO 400 '!$D$28)*U1501)+('CAFCO 400 '!$D$29*(J1501^2)+'CAFCO 400 '!$D$30*J1501+'CAFCO 400 '!$D$31)),0),0)+IF(AND(L1501="Cafco 300",J1501&gt;=95,J1501&lt;=240,C1501="Cj",I1501=90),VLOOKUP(T1501,'CAFCO 300 IDIEM TABLAS'!$B$4:$D$23,2,FALSE),0)+IF(AND(L1501="Cafco 300",J1501&gt;=95,J1501&lt;=240,C1501="Cj",I1501=120),VLOOKUP(T1501,'CAFCO 300 IDIEM TABLAS'!$B$4:$D$23,3,FALSE),0)+IF(AND(L1501="Cafco 300",J1501&gt;=95,J1501&lt;=400,G1501=3,C1501="IN",I1501=90),VLOOKUP(T1501,'CAFCO 300 IDIEM TABLAS'!$F$4:$H$35,2,FALSE),0)+IF(AND(L1501="Cafco 300",J1501&gt;=95,J1501&lt;=400,G1501=3,C1501="IN",I1501=120),VLOOKUP(T1501,'CAFCO 300 IDIEM TABLAS'!$F$4:$H$35,3,FALSE),0)+IF(AND(L1501="Cafco 300",J1501&gt;=95,J1501&lt;=450,G1501=4,C1501="IN",I1501=90),VLOOKUP(T1501,'CAFCO 300 IDIEM TABLAS'!$J$4:$L$40,2,FALSE),0)+IF(AND(L1501="Cafco 300",J1501&gt;=95,J1501&lt;=450,G1501=4,C1501="IN",I1501=120),VLOOKUP(T1501,'CAFCO 300 IDIEM TABLAS'!$J$4:$L$40,3,FALSE),0)+IF(AND(M1501="Ensayo Idiem",L1501="Cafco 400",C1501="IN",G1501=4,I1501=90),VLOOKUP(T1501,'CAFCO 400 ENSAYO'!$B$7:$D$43,2,FALSE),0)+IF(AND(M1501="Ensayo Idiem",L1501="Cafco 400",C1501="IN",G1501=4,I1501=120),VLOOKUP(T1501,'CAFCO 400 ENSAYO'!$B$7:$D$43,3,FALSE),0)</f>
        <v>0</v>
      </c>
      <c r="O1501" s="96">
        <f t="shared" si="150"/>
        <v>0</v>
      </c>
      <c r="P1501" s="132" t="str">
        <f t="shared" si="145"/>
        <v>N/A</v>
      </c>
      <c r="Q1501" s="132" t="str">
        <f t="shared" si="146"/>
        <v>N/A</v>
      </c>
      <c r="R1501" s="132" t="str">
        <f t="shared" si="147"/>
        <v>NO CERT.</v>
      </c>
      <c r="S1501" s="132" t="e">
        <f t="shared" si="148"/>
        <v>#N/A</v>
      </c>
      <c r="T1501" s="133" t="e">
        <f>+IF(J1501=LOOKUP(J1501,'CAFCO 300 IDIEM TABLAS'!$J$4:$J$40),'CALCULO MORTERO'!J1501,MROUND('CALCULO MORTERO'!J1501,10))</f>
        <v>#N/A</v>
      </c>
      <c r="U1501" s="134">
        <f t="shared" si="149"/>
        <v>0</v>
      </c>
    </row>
    <row r="1502" spans="1:21" x14ac:dyDescent="0.25">
      <c r="A1502" s="118">
        <f>+CUBICACION!D1496</f>
        <v>0</v>
      </c>
      <c r="B1502" s="819">
        <f>+CUBICACION!E1496</f>
        <v>0</v>
      </c>
      <c r="C1502" s="675">
        <f>+CUBICACION!F1496</f>
        <v>0</v>
      </c>
      <c r="D1502" s="118"/>
      <c r="E1502" s="118"/>
      <c r="F1502" s="820"/>
      <c r="G1502" s="675">
        <f>+CUBICACION!J1496</f>
        <v>0</v>
      </c>
      <c r="H1502" s="118"/>
      <c r="I1502" s="821">
        <f>+CUBICACION!L1496</f>
        <v>0</v>
      </c>
      <c r="J1502" s="64">
        <f>+CUBICACION!M1496</f>
        <v>0</v>
      </c>
      <c r="K1502" s="822" t="str">
        <f>+CUBICACION!N1496</f>
        <v/>
      </c>
      <c r="L1502" s="118">
        <f>+CUBICACION!O1496</f>
        <v>0</v>
      </c>
      <c r="M1502" s="823">
        <f>+CUBICACION!P1496</f>
        <v>0</v>
      </c>
      <c r="N1502" s="902">
        <f>ROUND(IF(AND(L1502="Blaze Shield II",M1502="Software Idiem",C1502="IN",G1502=4),((('BLAZE SHIELD II'!$D$4*('CALCULO MORTERO'!I1502^2)+'BLAZE SHIELD II'!$D$5*'CALCULO MORTERO'!I1502+'BLAZE SHIELD II'!$D$6)*LN(J1502))+('BLAZE SHIELD II'!$D$7*('CALCULO MORTERO'!I1502^2)+'BLAZE SHIELD II'!$D$8*'CALCULO MORTERO'!I1502+'BLAZE SHIELD II'!$D$9)),0)+IF(AND(L1502="Blaze Shield II",M1502="Software Idiem",C1502="Cj"),((('BLAZE SHIELD II'!$H$4*('CALCULO MORTERO'!I1502^2)+'BLAZE SHIELD II'!$H$5*'CALCULO MORTERO'!I1502+'BLAZE SHIELD II'!$H$6)*LN(J1502))+('BLAZE SHIELD II'!$H$7*('CALCULO MORTERO'!I1502^2)+'BLAZE SHIELD II'!$H$8*'CALCULO MORTERO'!I1502+'BLAZE SHIELD II'!$H$9)),0)+IF(AND(L1502="Blaze Shield II",M1502="Software Idiem",C1502="C"),((('BLAZE SHIELD II'!$L$4*('CALCULO MORTERO'!I1502^2)+'BLAZE SHIELD II'!$L$5*'CALCULO MORTERO'!I1502+'BLAZE SHIELD II'!$L$6)*LN(J1502))+('BLAZE SHIELD II'!$L$7*('CALCULO MORTERO'!I1502^2)+'BLAZE SHIELD II'!$L$8*'CALCULO MORTERO'!I1502+'BLAZE SHIELD II'!$L$9)),0)+IF(AND(L1502="Blaze Shield II",M1502="Software Idiem",C1502="L"),((('BLAZE SHIELD II'!$L$4*('CALCULO MORTERO'!I1502^2)+'BLAZE SHIELD II'!$L$5*'CALCULO MORTERO'!I1502+'BLAZE SHIELD II'!$L$6)*LN(J1502))+('BLAZE SHIELD II'!$L$7*('CALCULO MORTERO'!I1502^2)+'BLAZE SHIELD II'!$L$8*'CALCULO MORTERO'!I1502+'BLAZE SHIELD II'!$L$9)),0)+IF(AND(L1502="Blaze Shield II",M1502="Software Idiem",C1502="IN",G1502=3),((('BLAZE SHIELD II'!$H$14*('CALCULO MORTERO'!I1502^2)+'BLAZE SHIELD II'!$H$15*'CALCULO MORTERO'!I1502+'BLAZE SHIELD II'!$H$16)*LN(J1502))+('BLAZE SHIELD II'!$H$17*('CALCULO MORTERO'!I1502^2)+'BLAZE SHIELD II'!$H$18*'CALCULO MORTERO'!I1502+'BLAZE SHIELD II'!$H$19)),0),0)+ROUND(IF(AND(L1502="Cafco 400",M1502="Software Idiem",C1502="IN",G1502=4),((('CAFCO 400 '!$H$7*(J1502^4)+'CAFCO 400 '!$H$8*(J1502^3)+'CAFCO 400 '!$H$9*(J1502^2)+'CAFCO 400 '!$H$10*J1502+'CAFCO 400 '!$H$11)*U1502^2)+(('CAFCO 400 '!$H$12*(J1502^3)+'CAFCO 400 '!$H$13*(J1502^2)+'CAFCO 400 '!$H$14*J1502+'CAFCO 400 '!$H$15)*U1502)+('CAFCO 400 '!$H$16*(J1502^2)+'CAFCO 400 '!$H$17*J1502+'CAFCO 400 '!$H$18)),0)+IF(AND(L1502="Cafco 400",M1502="Software Idiem",C1502="Cj"),(((('CAFCO 400 '!$D$7*LN(J1502)+'CAFCO 400 '!$D$8)*U1502^2)+(('CAFCO 400 '!$D$9*LN(J1502)+'CAFCO 400 '!$D$10)*U1502)+('CAFCO 400 '!$D$11*LN(J1502)+'CAFCO 400 '!$D$12))),0)+IF(AND(L1502="Cafco 400",M1502="Software Idiem",C1502="C"),((('CAFCO 400 '!$L$7*(J1502^3)+'CAFCO 400 '!$L$8*(J1502^2)+'CAFCO 400 '!$L$9*J1502+'CAFCO 400 '!$L$10)*U1502^2)+(('CAFCO 400 '!$L$11*(J1502^3)+'CAFCO 400 '!$L$12*(J1502^2)+'CAFCO 400 '!$L$13*J1502+'CAFCO 400 '!$L$14)*U1502)+('CAFCO 400 '!$L$15*LN(J1502)+'CAFCO 400 '!$L$16)),0)+IF(AND(L1502="Cafco 400",M1502="Software Idiem",C1502="L"),((('CAFCO 400 '!$L$7*(J1502^3)+'CAFCO 400 '!$L$8*(J1502^2)+'CAFCO 400 '!$L$9*J1502+'CAFCO 400 '!$L$10)*U1502^2)+(('CAFCO 400 '!$L$11*(J1502^3)+'CAFCO 400 '!$L$12*(J1502^2)+'CAFCO 400 '!$L$13*J1502+'CAFCO 400 '!$L$14)*U1502)+('CAFCO 400 '!$L$15*LN(J1502)+'CAFCO 400 '!$L$16)),0)+IF(AND(L1502="Cafco 400",M1502="Software Idiem",C1502="IN",G1502=3),((('CAFCO 400 '!$D$23*(J1502^2)+'CAFCO 400 '!$D$24*(J1502)+'CAFCO 400 '!$D$25)*U1502^2)+(('CAFCO 400 '!$D$26*(J1502^2)+'CAFCO 400 '!$D$27*J1502+'CAFCO 400 '!$D$28)*U1502)+('CAFCO 400 '!$D$29*(J1502^2)+'CAFCO 400 '!$D$30*J1502+'CAFCO 400 '!$D$31)),0),0)+IF(AND(L1502="Cafco 300",J1502&gt;=95,J1502&lt;=240,C1502="Cj",I1502=90),VLOOKUP(T1502,'CAFCO 300 IDIEM TABLAS'!$B$4:$D$23,2,FALSE),0)+IF(AND(L1502="Cafco 300",J1502&gt;=95,J1502&lt;=240,C1502="Cj",I1502=120),VLOOKUP(T1502,'CAFCO 300 IDIEM TABLAS'!$B$4:$D$23,3,FALSE),0)+IF(AND(L1502="Cafco 300",J1502&gt;=95,J1502&lt;=400,G1502=3,C1502="IN",I1502=90),VLOOKUP(T1502,'CAFCO 300 IDIEM TABLAS'!$F$4:$H$35,2,FALSE),0)+IF(AND(L1502="Cafco 300",J1502&gt;=95,J1502&lt;=400,G1502=3,C1502="IN",I1502=120),VLOOKUP(T1502,'CAFCO 300 IDIEM TABLAS'!$F$4:$H$35,3,FALSE),0)+IF(AND(L1502="Cafco 300",J1502&gt;=95,J1502&lt;=450,G1502=4,C1502="IN",I1502=90),VLOOKUP(T1502,'CAFCO 300 IDIEM TABLAS'!$J$4:$L$40,2,FALSE),0)+IF(AND(L1502="Cafco 300",J1502&gt;=95,J1502&lt;=450,G1502=4,C1502="IN",I1502=120),VLOOKUP(T1502,'CAFCO 300 IDIEM TABLAS'!$J$4:$L$40,3,FALSE),0)+IF(AND(M1502="Ensayo Idiem",L1502="Cafco 400",C1502="IN",G1502=4,I1502=90),VLOOKUP(T1502,'CAFCO 400 ENSAYO'!$B$7:$D$43,2,FALSE),0)+IF(AND(M1502="Ensayo Idiem",L1502="Cafco 400",C1502="IN",G1502=4,I1502=120),VLOOKUP(T1502,'CAFCO 400 ENSAYO'!$B$7:$D$43,3,FALSE),0)</f>
        <v>0</v>
      </c>
      <c r="O1502" s="96">
        <f t="shared" si="150"/>
        <v>0</v>
      </c>
      <c r="P1502" s="95" t="str">
        <f t="shared" si="145"/>
        <v>N/A</v>
      </c>
      <c r="Q1502" s="95" t="str">
        <f t="shared" si="146"/>
        <v>N/A</v>
      </c>
      <c r="R1502" s="95" t="str">
        <f t="shared" si="147"/>
        <v>NO CERT.</v>
      </c>
      <c r="S1502" s="95" t="e">
        <f t="shared" si="148"/>
        <v>#N/A</v>
      </c>
      <c r="T1502" s="119" t="e">
        <f>+IF(J1502=LOOKUP(J1502,'CAFCO 300 IDIEM TABLAS'!$J$4:$J$40),'CALCULO MORTERO'!J1502,MROUND('CALCULO MORTERO'!J1502,10))</f>
        <v>#N/A</v>
      </c>
      <c r="U1502" s="118">
        <f t="shared" si="149"/>
        <v>0</v>
      </c>
    </row>
    <row r="1503" spans="1:21" x14ac:dyDescent="0.25">
      <c r="A1503" s="118">
        <f>+CUBICACION!D1497</f>
        <v>0</v>
      </c>
      <c r="B1503" s="819">
        <f>+CUBICACION!E1497</f>
        <v>0</v>
      </c>
      <c r="C1503" s="675">
        <f>+CUBICACION!F1497</f>
        <v>0</v>
      </c>
      <c r="D1503" s="118"/>
      <c r="E1503" s="118"/>
      <c r="F1503" s="820"/>
      <c r="G1503" s="675">
        <f>+CUBICACION!J1497</f>
        <v>0</v>
      </c>
      <c r="H1503" s="118"/>
      <c r="I1503" s="821">
        <f>+CUBICACION!L1497</f>
        <v>0</v>
      </c>
      <c r="J1503" s="64">
        <f>+CUBICACION!M1497</f>
        <v>0</v>
      </c>
      <c r="K1503" s="822" t="str">
        <f>+CUBICACION!N1497</f>
        <v/>
      </c>
      <c r="L1503" s="118">
        <f>+CUBICACION!O1497</f>
        <v>0</v>
      </c>
      <c r="M1503" s="823">
        <f>+CUBICACION!P1497</f>
        <v>0</v>
      </c>
      <c r="N1503" s="902">
        <f>ROUND(IF(AND(L1503="Blaze Shield II",M1503="Software Idiem",C1503="IN",G1503=4),((('BLAZE SHIELD II'!$D$4*('CALCULO MORTERO'!I1503^2)+'BLAZE SHIELD II'!$D$5*'CALCULO MORTERO'!I1503+'BLAZE SHIELD II'!$D$6)*LN(J1503))+('BLAZE SHIELD II'!$D$7*('CALCULO MORTERO'!I1503^2)+'BLAZE SHIELD II'!$D$8*'CALCULO MORTERO'!I1503+'BLAZE SHIELD II'!$D$9)),0)+IF(AND(L1503="Blaze Shield II",M1503="Software Idiem",C1503="Cj"),((('BLAZE SHIELD II'!$H$4*('CALCULO MORTERO'!I1503^2)+'BLAZE SHIELD II'!$H$5*'CALCULO MORTERO'!I1503+'BLAZE SHIELD II'!$H$6)*LN(J1503))+('BLAZE SHIELD II'!$H$7*('CALCULO MORTERO'!I1503^2)+'BLAZE SHIELD II'!$H$8*'CALCULO MORTERO'!I1503+'BLAZE SHIELD II'!$H$9)),0)+IF(AND(L1503="Blaze Shield II",M1503="Software Idiem",C1503="C"),((('BLAZE SHIELD II'!$L$4*('CALCULO MORTERO'!I1503^2)+'BLAZE SHIELD II'!$L$5*'CALCULO MORTERO'!I1503+'BLAZE SHIELD II'!$L$6)*LN(J1503))+('BLAZE SHIELD II'!$L$7*('CALCULO MORTERO'!I1503^2)+'BLAZE SHIELD II'!$L$8*'CALCULO MORTERO'!I1503+'BLAZE SHIELD II'!$L$9)),0)+IF(AND(L1503="Blaze Shield II",M1503="Software Idiem",C1503="L"),((('BLAZE SHIELD II'!$L$4*('CALCULO MORTERO'!I1503^2)+'BLAZE SHIELD II'!$L$5*'CALCULO MORTERO'!I1503+'BLAZE SHIELD II'!$L$6)*LN(J1503))+('BLAZE SHIELD II'!$L$7*('CALCULO MORTERO'!I1503^2)+'BLAZE SHIELD II'!$L$8*'CALCULO MORTERO'!I1503+'BLAZE SHIELD II'!$L$9)),0)+IF(AND(L1503="Blaze Shield II",M1503="Software Idiem",C1503="IN",G1503=3),((('BLAZE SHIELD II'!$H$14*('CALCULO MORTERO'!I1503^2)+'BLAZE SHIELD II'!$H$15*'CALCULO MORTERO'!I1503+'BLAZE SHIELD II'!$H$16)*LN(J1503))+('BLAZE SHIELD II'!$H$17*('CALCULO MORTERO'!I1503^2)+'BLAZE SHIELD II'!$H$18*'CALCULO MORTERO'!I1503+'BLAZE SHIELD II'!$H$19)),0),0)+ROUND(IF(AND(L1503="Cafco 400",M1503="Software Idiem",C1503="IN",G1503=4),((('CAFCO 400 '!$H$7*(J1503^4)+'CAFCO 400 '!$H$8*(J1503^3)+'CAFCO 400 '!$H$9*(J1503^2)+'CAFCO 400 '!$H$10*J1503+'CAFCO 400 '!$H$11)*U1503^2)+(('CAFCO 400 '!$H$12*(J1503^3)+'CAFCO 400 '!$H$13*(J1503^2)+'CAFCO 400 '!$H$14*J1503+'CAFCO 400 '!$H$15)*U1503)+('CAFCO 400 '!$H$16*(J1503^2)+'CAFCO 400 '!$H$17*J1503+'CAFCO 400 '!$H$18)),0)+IF(AND(L1503="Cafco 400",M1503="Software Idiem",C1503="Cj"),(((('CAFCO 400 '!$D$7*LN(J1503)+'CAFCO 400 '!$D$8)*U1503^2)+(('CAFCO 400 '!$D$9*LN(J1503)+'CAFCO 400 '!$D$10)*U1503)+('CAFCO 400 '!$D$11*LN(J1503)+'CAFCO 400 '!$D$12))),0)+IF(AND(L1503="Cafco 400",M1503="Software Idiem",C1503="C"),((('CAFCO 400 '!$L$7*(J1503^3)+'CAFCO 400 '!$L$8*(J1503^2)+'CAFCO 400 '!$L$9*J1503+'CAFCO 400 '!$L$10)*U1503^2)+(('CAFCO 400 '!$L$11*(J1503^3)+'CAFCO 400 '!$L$12*(J1503^2)+'CAFCO 400 '!$L$13*J1503+'CAFCO 400 '!$L$14)*U1503)+('CAFCO 400 '!$L$15*LN(J1503)+'CAFCO 400 '!$L$16)),0)+IF(AND(L1503="Cafco 400",M1503="Software Idiem",C1503="L"),((('CAFCO 400 '!$L$7*(J1503^3)+'CAFCO 400 '!$L$8*(J1503^2)+'CAFCO 400 '!$L$9*J1503+'CAFCO 400 '!$L$10)*U1503^2)+(('CAFCO 400 '!$L$11*(J1503^3)+'CAFCO 400 '!$L$12*(J1503^2)+'CAFCO 400 '!$L$13*J1503+'CAFCO 400 '!$L$14)*U1503)+('CAFCO 400 '!$L$15*LN(J1503)+'CAFCO 400 '!$L$16)),0)+IF(AND(L1503="Cafco 400",M1503="Software Idiem",C1503="IN",G1503=3),((('CAFCO 400 '!$D$23*(J1503^2)+'CAFCO 400 '!$D$24*(J1503)+'CAFCO 400 '!$D$25)*U1503^2)+(('CAFCO 400 '!$D$26*(J1503^2)+'CAFCO 400 '!$D$27*J1503+'CAFCO 400 '!$D$28)*U1503)+('CAFCO 400 '!$D$29*(J1503^2)+'CAFCO 400 '!$D$30*J1503+'CAFCO 400 '!$D$31)),0),0)+IF(AND(L1503="Cafco 300",J1503&gt;=95,J1503&lt;=240,C1503="Cj",I1503=90),VLOOKUP(T1503,'CAFCO 300 IDIEM TABLAS'!$B$4:$D$23,2,FALSE),0)+IF(AND(L1503="Cafco 300",J1503&gt;=95,J1503&lt;=240,C1503="Cj",I1503=120),VLOOKUP(T1503,'CAFCO 300 IDIEM TABLAS'!$B$4:$D$23,3,FALSE),0)+IF(AND(L1503="Cafco 300",J1503&gt;=95,J1503&lt;=400,G1503=3,C1503="IN",I1503=90),VLOOKUP(T1503,'CAFCO 300 IDIEM TABLAS'!$F$4:$H$35,2,FALSE),0)+IF(AND(L1503="Cafco 300",J1503&gt;=95,J1503&lt;=400,G1503=3,C1503="IN",I1503=120),VLOOKUP(T1503,'CAFCO 300 IDIEM TABLAS'!$F$4:$H$35,3,FALSE),0)+IF(AND(L1503="Cafco 300",J1503&gt;=95,J1503&lt;=450,G1503=4,C1503="IN",I1503=90),VLOOKUP(T1503,'CAFCO 300 IDIEM TABLAS'!$J$4:$L$40,2,FALSE),0)+IF(AND(L1503="Cafco 300",J1503&gt;=95,J1503&lt;=450,G1503=4,C1503="IN",I1503=120),VLOOKUP(T1503,'CAFCO 300 IDIEM TABLAS'!$J$4:$L$40,3,FALSE),0)+IF(AND(M1503="Ensayo Idiem",L1503="Cafco 400",C1503="IN",G1503=4,I1503=90),VLOOKUP(T1503,'CAFCO 400 ENSAYO'!$B$7:$D$43,2,FALSE),0)+IF(AND(M1503="Ensayo Idiem",L1503="Cafco 400",C1503="IN",G1503=4,I1503=120),VLOOKUP(T1503,'CAFCO 400 ENSAYO'!$B$7:$D$43,3,FALSE),0)</f>
        <v>0</v>
      </c>
      <c r="O1503" s="96">
        <f t="shared" si="150"/>
        <v>0</v>
      </c>
      <c r="P1503" s="132" t="str">
        <f t="shared" si="145"/>
        <v>N/A</v>
      </c>
      <c r="Q1503" s="132" t="str">
        <f t="shared" si="146"/>
        <v>N/A</v>
      </c>
      <c r="R1503" s="132" t="str">
        <f t="shared" si="147"/>
        <v>NO CERT.</v>
      </c>
      <c r="S1503" s="132" t="e">
        <f t="shared" si="148"/>
        <v>#N/A</v>
      </c>
      <c r="T1503" s="133" t="e">
        <f>+IF(J1503=LOOKUP(J1503,'CAFCO 300 IDIEM TABLAS'!$J$4:$J$40),'CALCULO MORTERO'!J1503,MROUND('CALCULO MORTERO'!J1503,10))</f>
        <v>#N/A</v>
      </c>
      <c r="U1503" s="134">
        <f t="shared" si="149"/>
        <v>0</v>
      </c>
    </row>
    <row r="1504" spans="1:21" x14ac:dyDescent="0.25">
      <c r="A1504" s="118">
        <f>+CUBICACION!D1498</f>
        <v>0</v>
      </c>
      <c r="B1504" s="819">
        <f>+CUBICACION!E1498</f>
        <v>0</v>
      </c>
      <c r="C1504" s="675">
        <f>+CUBICACION!F1498</f>
        <v>0</v>
      </c>
      <c r="D1504" s="118"/>
      <c r="E1504" s="118"/>
      <c r="F1504" s="820"/>
      <c r="G1504" s="675">
        <f>+CUBICACION!J1498</f>
        <v>0</v>
      </c>
      <c r="H1504" s="118"/>
      <c r="I1504" s="821">
        <f>+CUBICACION!L1498</f>
        <v>0</v>
      </c>
      <c r="J1504" s="64">
        <f>+CUBICACION!M1498</f>
        <v>0</v>
      </c>
      <c r="K1504" s="822" t="str">
        <f>+CUBICACION!N1498</f>
        <v/>
      </c>
      <c r="L1504" s="118">
        <f>+CUBICACION!O1498</f>
        <v>0</v>
      </c>
      <c r="M1504" s="823">
        <f>+CUBICACION!P1498</f>
        <v>0</v>
      </c>
      <c r="N1504" s="902">
        <f>ROUND(IF(AND(L1504="Blaze Shield II",M1504="Software Idiem",C1504="IN",G1504=4),((('BLAZE SHIELD II'!$D$4*('CALCULO MORTERO'!I1504^2)+'BLAZE SHIELD II'!$D$5*'CALCULO MORTERO'!I1504+'BLAZE SHIELD II'!$D$6)*LN(J1504))+('BLAZE SHIELD II'!$D$7*('CALCULO MORTERO'!I1504^2)+'BLAZE SHIELD II'!$D$8*'CALCULO MORTERO'!I1504+'BLAZE SHIELD II'!$D$9)),0)+IF(AND(L1504="Blaze Shield II",M1504="Software Idiem",C1504="Cj"),((('BLAZE SHIELD II'!$H$4*('CALCULO MORTERO'!I1504^2)+'BLAZE SHIELD II'!$H$5*'CALCULO MORTERO'!I1504+'BLAZE SHIELD II'!$H$6)*LN(J1504))+('BLAZE SHIELD II'!$H$7*('CALCULO MORTERO'!I1504^2)+'BLAZE SHIELD II'!$H$8*'CALCULO MORTERO'!I1504+'BLAZE SHIELD II'!$H$9)),0)+IF(AND(L1504="Blaze Shield II",M1504="Software Idiem",C1504="C"),((('BLAZE SHIELD II'!$L$4*('CALCULO MORTERO'!I1504^2)+'BLAZE SHIELD II'!$L$5*'CALCULO MORTERO'!I1504+'BLAZE SHIELD II'!$L$6)*LN(J1504))+('BLAZE SHIELD II'!$L$7*('CALCULO MORTERO'!I1504^2)+'BLAZE SHIELD II'!$L$8*'CALCULO MORTERO'!I1504+'BLAZE SHIELD II'!$L$9)),0)+IF(AND(L1504="Blaze Shield II",M1504="Software Idiem",C1504="L"),((('BLAZE SHIELD II'!$L$4*('CALCULO MORTERO'!I1504^2)+'BLAZE SHIELD II'!$L$5*'CALCULO MORTERO'!I1504+'BLAZE SHIELD II'!$L$6)*LN(J1504))+('BLAZE SHIELD II'!$L$7*('CALCULO MORTERO'!I1504^2)+'BLAZE SHIELD II'!$L$8*'CALCULO MORTERO'!I1504+'BLAZE SHIELD II'!$L$9)),0)+IF(AND(L1504="Blaze Shield II",M1504="Software Idiem",C1504="IN",G1504=3),((('BLAZE SHIELD II'!$H$14*('CALCULO MORTERO'!I1504^2)+'BLAZE SHIELD II'!$H$15*'CALCULO MORTERO'!I1504+'BLAZE SHIELD II'!$H$16)*LN(J1504))+('BLAZE SHIELD II'!$H$17*('CALCULO MORTERO'!I1504^2)+'BLAZE SHIELD II'!$H$18*'CALCULO MORTERO'!I1504+'BLAZE SHIELD II'!$H$19)),0),0)+ROUND(IF(AND(L1504="Cafco 400",M1504="Software Idiem",C1504="IN",G1504=4),((('CAFCO 400 '!$H$7*(J1504^4)+'CAFCO 400 '!$H$8*(J1504^3)+'CAFCO 400 '!$H$9*(J1504^2)+'CAFCO 400 '!$H$10*J1504+'CAFCO 400 '!$H$11)*U1504^2)+(('CAFCO 400 '!$H$12*(J1504^3)+'CAFCO 400 '!$H$13*(J1504^2)+'CAFCO 400 '!$H$14*J1504+'CAFCO 400 '!$H$15)*U1504)+('CAFCO 400 '!$H$16*(J1504^2)+'CAFCO 400 '!$H$17*J1504+'CAFCO 400 '!$H$18)),0)+IF(AND(L1504="Cafco 400",M1504="Software Idiem",C1504="Cj"),(((('CAFCO 400 '!$D$7*LN(J1504)+'CAFCO 400 '!$D$8)*U1504^2)+(('CAFCO 400 '!$D$9*LN(J1504)+'CAFCO 400 '!$D$10)*U1504)+('CAFCO 400 '!$D$11*LN(J1504)+'CAFCO 400 '!$D$12))),0)+IF(AND(L1504="Cafco 400",M1504="Software Idiem",C1504="C"),((('CAFCO 400 '!$L$7*(J1504^3)+'CAFCO 400 '!$L$8*(J1504^2)+'CAFCO 400 '!$L$9*J1504+'CAFCO 400 '!$L$10)*U1504^2)+(('CAFCO 400 '!$L$11*(J1504^3)+'CAFCO 400 '!$L$12*(J1504^2)+'CAFCO 400 '!$L$13*J1504+'CAFCO 400 '!$L$14)*U1504)+('CAFCO 400 '!$L$15*LN(J1504)+'CAFCO 400 '!$L$16)),0)+IF(AND(L1504="Cafco 400",M1504="Software Idiem",C1504="L"),((('CAFCO 400 '!$L$7*(J1504^3)+'CAFCO 400 '!$L$8*(J1504^2)+'CAFCO 400 '!$L$9*J1504+'CAFCO 400 '!$L$10)*U1504^2)+(('CAFCO 400 '!$L$11*(J1504^3)+'CAFCO 400 '!$L$12*(J1504^2)+'CAFCO 400 '!$L$13*J1504+'CAFCO 400 '!$L$14)*U1504)+('CAFCO 400 '!$L$15*LN(J1504)+'CAFCO 400 '!$L$16)),0)+IF(AND(L1504="Cafco 400",M1504="Software Idiem",C1504="IN",G1504=3),((('CAFCO 400 '!$D$23*(J1504^2)+'CAFCO 400 '!$D$24*(J1504)+'CAFCO 400 '!$D$25)*U1504^2)+(('CAFCO 400 '!$D$26*(J1504^2)+'CAFCO 400 '!$D$27*J1504+'CAFCO 400 '!$D$28)*U1504)+('CAFCO 400 '!$D$29*(J1504^2)+'CAFCO 400 '!$D$30*J1504+'CAFCO 400 '!$D$31)),0),0)+IF(AND(L1504="Cafco 300",J1504&gt;=95,J1504&lt;=240,C1504="Cj",I1504=90),VLOOKUP(T1504,'CAFCO 300 IDIEM TABLAS'!$B$4:$D$23,2,FALSE),0)+IF(AND(L1504="Cafco 300",J1504&gt;=95,J1504&lt;=240,C1504="Cj",I1504=120),VLOOKUP(T1504,'CAFCO 300 IDIEM TABLAS'!$B$4:$D$23,3,FALSE),0)+IF(AND(L1504="Cafco 300",J1504&gt;=95,J1504&lt;=400,G1504=3,C1504="IN",I1504=90),VLOOKUP(T1504,'CAFCO 300 IDIEM TABLAS'!$F$4:$H$35,2,FALSE),0)+IF(AND(L1504="Cafco 300",J1504&gt;=95,J1504&lt;=400,G1504=3,C1504="IN",I1504=120),VLOOKUP(T1504,'CAFCO 300 IDIEM TABLAS'!$F$4:$H$35,3,FALSE),0)+IF(AND(L1504="Cafco 300",J1504&gt;=95,J1504&lt;=450,G1504=4,C1504="IN",I1504=90),VLOOKUP(T1504,'CAFCO 300 IDIEM TABLAS'!$J$4:$L$40,2,FALSE),0)+IF(AND(L1504="Cafco 300",J1504&gt;=95,J1504&lt;=450,G1504=4,C1504="IN",I1504=120),VLOOKUP(T1504,'CAFCO 300 IDIEM TABLAS'!$J$4:$L$40,3,FALSE),0)+IF(AND(M1504="Ensayo Idiem",L1504="Cafco 400",C1504="IN",G1504=4,I1504=90),VLOOKUP(T1504,'CAFCO 400 ENSAYO'!$B$7:$D$43,2,FALSE),0)+IF(AND(M1504="Ensayo Idiem",L1504="Cafco 400",C1504="IN",G1504=4,I1504=120),VLOOKUP(T1504,'CAFCO 400 ENSAYO'!$B$7:$D$43,3,FALSE),0)</f>
        <v>0</v>
      </c>
      <c r="O1504" s="96">
        <f t="shared" si="150"/>
        <v>0</v>
      </c>
      <c r="P1504" s="95" t="str">
        <f t="shared" si="145"/>
        <v>N/A</v>
      </c>
      <c r="Q1504" s="95" t="str">
        <f t="shared" si="146"/>
        <v>N/A</v>
      </c>
      <c r="R1504" s="95" t="str">
        <f t="shared" si="147"/>
        <v>NO CERT.</v>
      </c>
      <c r="S1504" s="95" t="e">
        <f t="shared" si="148"/>
        <v>#N/A</v>
      </c>
      <c r="T1504" s="119" t="e">
        <f>+IF(J1504=LOOKUP(J1504,'CAFCO 300 IDIEM TABLAS'!$J$4:$J$40),'CALCULO MORTERO'!J1504,MROUND('CALCULO MORTERO'!J1504,10))</f>
        <v>#N/A</v>
      </c>
      <c r="U1504" s="118">
        <f t="shared" si="149"/>
        <v>0</v>
      </c>
    </row>
    <row r="1505" spans="1:21" x14ac:dyDescent="0.25">
      <c r="A1505" s="118">
        <f>+CUBICACION!D1499</f>
        <v>0</v>
      </c>
      <c r="B1505" s="819">
        <f>+CUBICACION!E1499</f>
        <v>0</v>
      </c>
      <c r="C1505" s="675">
        <f>+CUBICACION!F1499</f>
        <v>0</v>
      </c>
      <c r="D1505" s="118"/>
      <c r="E1505" s="118"/>
      <c r="F1505" s="820"/>
      <c r="G1505" s="675">
        <f>+CUBICACION!J1499</f>
        <v>0</v>
      </c>
      <c r="H1505" s="118"/>
      <c r="I1505" s="821">
        <f>+CUBICACION!L1499</f>
        <v>0</v>
      </c>
      <c r="J1505" s="64">
        <f>+CUBICACION!M1499</f>
        <v>0</v>
      </c>
      <c r="K1505" s="822" t="str">
        <f>+CUBICACION!N1499</f>
        <v/>
      </c>
      <c r="L1505" s="118">
        <f>+CUBICACION!O1499</f>
        <v>0</v>
      </c>
      <c r="M1505" s="823">
        <f>+CUBICACION!P1499</f>
        <v>0</v>
      </c>
      <c r="N1505" s="902">
        <f>ROUND(IF(AND(L1505="Blaze Shield II",M1505="Software Idiem",C1505="IN",G1505=4),((('BLAZE SHIELD II'!$D$4*('CALCULO MORTERO'!I1505^2)+'BLAZE SHIELD II'!$D$5*'CALCULO MORTERO'!I1505+'BLAZE SHIELD II'!$D$6)*LN(J1505))+('BLAZE SHIELD II'!$D$7*('CALCULO MORTERO'!I1505^2)+'BLAZE SHIELD II'!$D$8*'CALCULO MORTERO'!I1505+'BLAZE SHIELD II'!$D$9)),0)+IF(AND(L1505="Blaze Shield II",M1505="Software Idiem",C1505="Cj"),((('BLAZE SHIELD II'!$H$4*('CALCULO MORTERO'!I1505^2)+'BLAZE SHIELD II'!$H$5*'CALCULO MORTERO'!I1505+'BLAZE SHIELD II'!$H$6)*LN(J1505))+('BLAZE SHIELD II'!$H$7*('CALCULO MORTERO'!I1505^2)+'BLAZE SHIELD II'!$H$8*'CALCULO MORTERO'!I1505+'BLAZE SHIELD II'!$H$9)),0)+IF(AND(L1505="Blaze Shield II",M1505="Software Idiem",C1505="C"),((('BLAZE SHIELD II'!$L$4*('CALCULO MORTERO'!I1505^2)+'BLAZE SHIELD II'!$L$5*'CALCULO MORTERO'!I1505+'BLAZE SHIELD II'!$L$6)*LN(J1505))+('BLAZE SHIELD II'!$L$7*('CALCULO MORTERO'!I1505^2)+'BLAZE SHIELD II'!$L$8*'CALCULO MORTERO'!I1505+'BLAZE SHIELD II'!$L$9)),0)+IF(AND(L1505="Blaze Shield II",M1505="Software Idiem",C1505="L"),((('BLAZE SHIELD II'!$L$4*('CALCULO MORTERO'!I1505^2)+'BLAZE SHIELD II'!$L$5*'CALCULO MORTERO'!I1505+'BLAZE SHIELD II'!$L$6)*LN(J1505))+('BLAZE SHIELD II'!$L$7*('CALCULO MORTERO'!I1505^2)+'BLAZE SHIELD II'!$L$8*'CALCULO MORTERO'!I1505+'BLAZE SHIELD II'!$L$9)),0)+IF(AND(L1505="Blaze Shield II",M1505="Software Idiem",C1505="IN",G1505=3),((('BLAZE SHIELD II'!$H$14*('CALCULO MORTERO'!I1505^2)+'BLAZE SHIELD II'!$H$15*'CALCULO MORTERO'!I1505+'BLAZE SHIELD II'!$H$16)*LN(J1505))+('BLAZE SHIELD II'!$H$17*('CALCULO MORTERO'!I1505^2)+'BLAZE SHIELD II'!$H$18*'CALCULO MORTERO'!I1505+'BLAZE SHIELD II'!$H$19)),0),0)+ROUND(IF(AND(L1505="Cafco 400",M1505="Software Idiem",C1505="IN",G1505=4),((('CAFCO 400 '!$H$7*(J1505^4)+'CAFCO 400 '!$H$8*(J1505^3)+'CAFCO 400 '!$H$9*(J1505^2)+'CAFCO 400 '!$H$10*J1505+'CAFCO 400 '!$H$11)*U1505^2)+(('CAFCO 400 '!$H$12*(J1505^3)+'CAFCO 400 '!$H$13*(J1505^2)+'CAFCO 400 '!$H$14*J1505+'CAFCO 400 '!$H$15)*U1505)+('CAFCO 400 '!$H$16*(J1505^2)+'CAFCO 400 '!$H$17*J1505+'CAFCO 400 '!$H$18)),0)+IF(AND(L1505="Cafco 400",M1505="Software Idiem",C1505="Cj"),(((('CAFCO 400 '!$D$7*LN(J1505)+'CAFCO 400 '!$D$8)*U1505^2)+(('CAFCO 400 '!$D$9*LN(J1505)+'CAFCO 400 '!$D$10)*U1505)+('CAFCO 400 '!$D$11*LN(J1505)+'CAFCO 400 '!$D$12))),0)+IF(AND(L1505="Cafco 400",M1505="Software Idiem",C1505="C"),((('CAFCO 400 '!$L$7*(J1505^3)+'CAFCO 400 '!$L$8*(J1505^2)+'CAFCO 400 '!$L$9*J1505+'CAFCO 400 '!$L$10)*U1505^2)+(('CAFCO 400 '!$L$11*(J1505^3)+'CAFCO 400 '!$L$12*(J1505^2)+'CAFCO 400 '!$L$13*J1505+'CAFCO 400 '!$L$14)*U1505)+('CAFCO 400 '!$L$15*LN(J1505)+'CAFCO 400 '!$L$16)),0)+IF(AND(L1505="Cafco 400",M1505="Software Idiem",C1505="L"),((('CAFCO 400 '!$L$7*(J1505^3)+'CAFCO 400 '!$L$8*(J1505^2)+'CAFCO 400 '!$L$9*J1505+'CAFCO 400 '!$L$10)*U1505^2)+(('CAFCO 400 '!$L$11*(J1505^3)+'CAFCO 400 '!$L$12*(J1505^2)+'CAFCO 400 '!$L$13*J1505+'CAFCO 400 '!$L$14)*U1505)+('CAFCO 400 '!$L$15*LN(J1505)+'CAFCO 400 '!$L$16)),0)+IF(AND(L1505="Cafco 400",M1505="Software Idiem",C1505="IN",G1505=3),((('CAFCO 400 '!$D$23*(J1505^2)+'CAFCO 400 '!$D$24*(J1505)+'CAFCO 400 '!$D$25)*U1505^2)+(('CAFCO 400 '!$D$26*(J1505^2)+'CAFCO 400 '!$D$27*J1505+'CAFCO 400 '!$D$28)*U1505)+('CAFCO 400 '!$D$29*(J1505^2)+'CAFCO 400 '!$D$30*J1505+'CAFCO 400 '!$D$31)),0),0)+IF(AND(L1505="Cafco 300",J1505&gt;=95,J1505&lt;=240,C1505="Cj",I1505=90),VLOOKUP(T1505,'CAFCO 300 IDIEM TABLAS'!$B$4:$D$23,2,FALSE),0)+IF(AND(L1505="Cafco 300",J1505&gt;=95,J1505&lt;=240,C1505="Cj",I1505=120),VLOOKUP(T1505,'CAFCO 300 IDIEM TABLAS'!$B$4:$D$23,3,FALSE),0)+IF(AND(L1505="Cafco 300",J1505&gt;=95,J1505&lt;=400,G1505=3,C1505="IN",I1505=90),VLOOKUP(T1505,'CAFCO 300 IDIEM TABLAS'!$F$4:$H$35,2,FALSE),0)+IF(AND(L1505="Cafco 300",J1505&gt;=95,J1505&lt;=400,G1505=3,C1505="IN",I1505=120),VLOOKUP(T1505,'CAFCO 300 IDIEM TABLAS'!$F$4:$H$35,3,FALSE),0)+IF(AND(L1505="Cafco 300",J1505&gt;=95,J1505&lt;=450,G1505=4,C1505="IN",I1505=90),VLOOKUP(T1505,'CAFCO 300 IDIEM TABLAS'!$J$4:$L$40,2,FALSE),0)+IF(AND(L1505="Cafco 300",J1505&gt;=95,J1505&lt;=450,G1505=4,C1505="IN",I1505=120),VLOOKUP(T1505,'CAFCO 300 IDIEM TABLAS'!$J$4:$L$40,3,FALSE),0)+IF(AND(M1505="Ensayo Idiem",L1505="Cafco 400",C1505="IN",G1505=4,I1505=90),VLOOKUP(T1505,'CAFCO 400 ENSAYO'!$B$7:$D$43,2,FALSE),0)+IF(AND(M1505="Ensayo Idiem",L1505="Cafco 400",C1505="IN",G1505=4,I1505=120),VLOOKUP(T1505,'CAFCO 400 ENSAYO'!$B$7:$D$43,3,FALSE),0)</f>
        <v>0</v>
      </c>
      <c r="O1505" s="96">
        <f t="shared" si="150"/>
        <v>0</v>
      </c>
      <c r="P1505" s="132" t="str">
        <f t="shared" si="145"/>
        <v>N/A</v>
      </c>
      <c r="Q1505" s="132" t="str">
        <f t="shared" si="146"/>
        <v>N/A</v>
      </c>
      <c r="R1505" s="132" t="str">
        <f t="shared" si="147"/>
        <v>NO CERT.</v>
      </c>
      <c r="S1505" s="132" t="e">
        <f t="shared" si="148"/>
        <v>#N/A</v>
      </c>
      <c r="T1505" s="133" t="e">
        <f>+IF(J1505=LOOKUP(J1505,'CAFCO 300 IDIEM TABLAS'!$J$4:$J$40),'CALCULO MORTERO'!J1505,MROUND('CALCULO MORTERO'!J1505,10))</f>
        <v>#N/A</v>
      </c>
      <c r="U1505" s="134">
        <f t="shared" si="149"/>
        <v>0</v>
      </c>
    </row>
    <row r="1506" spans="1:21" x14ac:dyDescent="0.25">
      <c r="A1506" s="118">
        <f>+CUBICACION!D1500</f>
        <v>0</v>
      </c>
      <c r="B1506" s="819">
        <f>+CUBICACION!E1500</f>
        <v>0</v>
      </c>
      <c r="C1506" s="675">
        <f>+CUBICACION!F1500</f>
        <v>0</v>
      </c>
      <c r="D1506" s="118"/>
      <c r="E1506" s="118"/>
      <c r="F1506" s="820"/>
      <c r="G1506" s="675">
        <f>+CUBICACION!J1500</f>
        <v>0</v>
      </c>
      <c r="H1506" s="118"/>
      <c r="I1506" s="821">
        <f>+CUBICACION!L1500</f>
        <v>0</v>
      </c>
      <c r="J1506" s="64">
        <f>+CUBICACION!M1500</f>
        <v>0</v>
      </c>
      <c r="K1506" s="822" t="str">
        <f>+CUBICACION!N1500</f>
        <v/>
      </c>
      <c r="L1506" s="118">
        <f>+CUBICACION!O1500</f>
        <v>0</v>
      </c>
      <c r="M1506" s="823">
        <f>+CUBICACION!P1500</f>
        <v>0</v>
      </c>
      <c r="N1506" s="902">
        <f>ROUND(IF(AND(L1506="Blaze Shield II",M1506="Software Idiem",C1506="IN",G1506=4),((('BLAZE SHIELD II'!$D$4*('CALCULO MORTERO'!I1506^2)+'BLAZE SHIELD II'!$D$5*'CALCULO MORTERO'!I1506+'BLAZE SHIELD II'!$D$6)*LN(J1506))+('BLAZE SHIELD II'!$D$7*('CALCULO MORTERO'!I1506^2)+'BLAZE SHIELD II'!$D$8*'CALCULO MORTERO'!I1506+'BLAZE SHIELD II'!$D$9)),0)+IF(AND(L1506="Blaze Shield II",M1506="Software Idiem",C1506="Cj"),((('BLAZE SHIELD II'!$H$4*('CALCULO MORTERO'!I1506^2)+'BLAZE SHIELD II'!$H$5*'CALCULO MORTERO'!I1506+'BLAZE SHIELD II'!$H$6)*LN(J1506))+('BLAZE SHIELD II'!$H$7*('CALCULO MORTERO'!I1506^2)+'BLAZE SHIELD II'!$H$8*'CALCULO MORTERO'!I1506+'BLAZE SHIELD II'!$H$9)),0)+IF(AND(L1506="Blaze Shield II",M1506="Software Idiem",C1506="C"),((('BLAZE SHIELD II'!$L$4*('CALCULO MORTERO'!I1506^2)+'BLAZE SHIELD II'!$L$5*'CALCULO MORTERO'!I1506+'BLAZE SHIELD II'!$L$6)*LN(J1506))+('BLAZE SHIELD II'!$L$7*('CALCULO MORTERO'!I1506^2)+'BLAZE SHIELD II'!$L$8*'CALCULO MORTERO'!I1506+'BLAZE SHIELD II'!$L$9)),0)+IF(AND(L1506="Blaze Shield II",M1506="Software Idiem",C1506="L"),((('BLAZE SHIELD II'!$L$4*('CALCULO MORTERO'!I1506^2)+'BLAZE SHIELD II'!$L$5*'CALCULO MORTERO'!I1506+'BLAZE SHIELD II'!$L$6)*LN(J1506))+('BLAZE SHIELD II'!$L$7*('CALCULO MORTERO'!I1506^2)+'BLAZE SHIELD II'!$L$8*'CALCULO MORTERO'!I1506+'BLAZE SHIELD II'!$L$9)),0)+IF(AND(L1506="Blaze Shield II",M1506="Software Idiem",C1506="IN",G1506=3),((('BLAZE SHIELD II'!$H$14*('CALCULO MORTERO'!I1506^2)+'BLAZE SHIELD II'!$H$15*'CALCULO MORTERO'!I1506+'BLAZE SHIELD II'!$H$16)*LN(J1506))+('BLAZE SHIELD II'!$H$17*('CALCULO MORTERO'!I1506^2)+'BLAZE SHIELD II'!$H$18*'CALCULO MORTERO'!I1506+'BLAZE SHIELD II'!$H$19)),0),0)+ROUND(IF(AND(L1506="Cafco 400",M1506="Software Idiem",C1506="IN",G1506=4),((('CAFCO 400 '!$H$7*(J1506^4)+'CAFCO 400 '!$H$8*(J1506^3)+'CAFCO 400 '!$H$9*(J1506^2)+'CAFCO 400 '!$H$10*J1506+'CAFCO 400 '!$H$11)*U1506^2)+(('CAFCO 400 '!$H$12*(J1506^3)+'CAFCO 400 '!$H$13*(J1506^2)+'CAFCO 400 '!$H$14*J1506+'CAFCO 400 '!$H$15)*U1506)+('CAFCO 400 '!$H$16*(J1506^2)+'CAFCO 400 '!$H$17*J1506+'CAFCO 400 '!$H$18)),0)+IF(AND(L1506="Cafco 400",M1506="Software Idiem",C1506="Cj"),(((('CAFCO 400 '!$D$7*LN(J1506)+'CAFCO 400 '!$D$8)*U1506^2)+(('CAFCO 400 '!$D$9*LN(J1506)+'CAFCO 400 '!$D$10)*U1506)+('CAFCO 400 '!$D$11*LN(J1506)+'CAFCO 400 '!$D$12))),0)+IF(AND(L1506="Cafco 400",M1506="Software Idiem",C1506="C"),((('CAFCO 400 '!$L$7*(J1506^3)+'CAFCO 400 '!$L$8*(J1506^2)+'CAFCO 400 '!$L$9*J1506+'CAFCO 400 '!$L$10)*U1506^2)+(('CAFCO 400 '!$L$11*(J1506^3)+'CAFCO 400 '!$L$12*(J1506^2)+'CAFCO 400 '!$L$13*J1506+'CAFCO 400 '!$L$14)*U1506)+('CAFCO 400 '!$L$15*LN(J1506)+'CAFCO 400 '!$L$16)),0)+IF(AND(L1506="Cafco 400",M1506="Software Idiem",C1506="L"),((('CAFCO 400 '!$L$7*(J1506^3)+'CAFCO 400 '!$L$8*(J1506^2)+'CAFCO 400 '!$L$9*J1506+'CAFCO 400 '!$L$10)*U1506^2)+(('CAFCO 400 '!$L$11*(J1506^3)+'CAFCO 400 '!$L$12*(J1506^2)+'CAFCO 400 '!$L$13*J1506+'CAFCO 400 '!$L$14)*U1506)+('CAFCO 400 '!$L$15*LN(J1506)+'CAFCO 400 '!$L$16)),0)+IF(AND(L1506="Cafco 400",M1506="Software Idiem",C1506="IN",G1506=3),((('CAFCO 400 '!$D$23*(J1506^2)+'CAFCO 400 '!$D$24*(J1506)+'CAFCO 400 '!$D$25)*U1506^2)+(('CAFCO 400 '!$D$26*(J1506^2)+'CAFCO 400 '!$D$27*J1506+'CAFCO 400 '!$D$28)*U1506)+('CAFCO 400 '!$D$29*(J1506^2)+'CAFCO 400 '!$D$30*J1506+'CAFCO 400 '!$D$31)),0),0)+IF(AND(L1506="Cafco 300",J1506&gt;=95,J1506&lt;=240,C1506="Cj",I1506=90),VLOOKUP(T1506,'CAFCO 300 IDIEM TABLAS'!$B$4:$D$23,2,FALSE),0)+IF(AND(L1506="Cafco 300",J1506&gt;=95,J1506&lt;=240,C1506="Cj",I1506=120),VLOOKUP(T1506,'CAFCO 300 IDIEM TABLAS'!$B$4:$D$23,3,FALSE),0)+IF(AND(L1506="Cafco 300",J1506&gt;=95,J1506&lt;=400,G1506=3,C1506="IN",I1506=90),VLOOKUP(T1506,'CAFCO 300 IDIEM TABLAS'!$F$4:$H$35,2,FALSE),0)+IF(AND(L1506="Cafco 300",J1506&gt;=95,J1506&lt;=400,G1506=3,C1506="IN",I1506=120),VLOOKUP(T1506,'CAFCO 300 IDIEM TABLAS'!$F$4:$H$35,3,FALSE),0)+IF(AND(L1506="Cafco 300",J1506&gt;=95,J1506&lt;=450,G1506=4,C1506="IN",I1506=90),VLOOKUP(T1506,'CAFCO 300 IDIEM TABLAS'!$J$4:$L$40,2,FALSE),0)+IF(AND(L1506="Cafco 300",J1506&gt;=95,J1506&lt;=450,G1506=4,C1506="IN",I1506=120),VLOOKUP(T1506,'CAFCO 300 IDIEM TABLAS'!$J$4:$L$40,3,FALSE),0)+IF(AND(M1506="Ensayo Idiem",L1506="Cafco 400",C1506="IN",G1506=4,I1506=90),VLOOKUP(T1506,'CAFCO 400 ENSAYO'!$B$7:$D$43,2,FALSE),0)+IF(AND(M1506="Ensayo Idiem",L1506="Cafco 400",C1506="IN",G1506=4,I1506=120),VLOOKUP(T1506,'CAFCO 400 ENSAYO'!$B$7:$D$43,3,FALSE),0)</f>
        <v>0</v>
      </c>
      <c r="O1506" s="96">
        <f t="shared" si="150"/>
        <v>0</v>
      </c>
      <c r="P1506" s="95" t="str">
        <f t="shared" si="145"/>
        <v>N/A</v>
      </c>
      <c r="Q1506" s="95" t="str">
        <f t="shared" si="146"/>
        <v>N/A</v>
      </c>
      <c r="R1506" s="95" t="str">
        <f t="shared" si="147"/>
        <v>NO CERT.</v>
      </c>
      <c r="S1506" s="95" t="e">
        <f t="shared" si="148"/>
        <v>#N/A</v>
      </c>
      <c r="T1506" s="119" t="e">
        <f>+IF(J1506=LOOKUP(J1506,'CAFCO 300 IDIEM TABLAS'!$J$4:$J$40),'CALCULO MORTERO'!J1506,MROUND('CALCULO MORTERO'!J1506,10))</f>
        <v>#N/A</v>
      </c>
      <c r="U1506" s="118">
        <f t="shared" si="149"/>
        <v>0</v>
      </c>
    </row>
    <row r="1507" spans="1:21" x14ac:dyDescent="0.25">
      <c r="A1507" s="118">
        <f>+CUBICACION!D1501</f>
        <v>0</v>
      </c>
      <c r="B1507" s="819">
        <f>+CUBICACION!E1501</f>
        <v>0</v>
      </c>
      <c r="C1507" s="675">
        <f>+CUBICACION!F1501</f>
        <v>0</v>
      </c>
      <c r="D1507" s="118"/>
      <c r="E1507" s="118"/>
      <c r="F1507" s="820"/>
      <c r="G1507" s="675">
        <f>+CUBICACION!J1501</f>
        <v>0</v>
      </c>
      <c r="H1507" s="118"/>
      <c r="I1507" s="821">
        <f>+CUBICACION!L1501</f>
        <v>0</v>
      </c>
      <c r="J1507" s="64">
        <f>+CUBICACION!M1501</f>
        <v>0</v>
      </c>
      <c r="K1507" s="822" t="str">
        <f>+CUBICACION!N1501</f>
        <v/>
      </c>
      <c r="L1507" s="118">
        <f>+CUBICACION!O1501</f>
        <v>0</v>
      </c>
      <c r="M1507" s="823">
        <f>+CUBICACION!P1501</f>
        <v>0</v>
      </c>
      <c r="N1507" s="902">
        <f>ROUND(IF(AND(L1507="Blaze Shield II",M1507="Software Idiem",C1507="IN",G1507=4),((('BLAZE SHIELD II'!$D$4*('CALCULO MORTERO'!I1507^2)+'BLAZE SHIELD II'!$D$5*'CALCULO MORTERO'!I1507+'BLAZE SHIELD II'!$D$6)*LN(J1507))+('BLAZE SHIELD II'!$D$7*('CALCULO MORTERO'!I1507^2)+'BLAZE SHIELD II'!$D$8*'CALCULO MORTERO'!I1507+'BLAZE SHIELD II'!$D$9)),0)+IF(AND(L1507="Blaze Shield II",M1507="Software Idiem",C1507="Cj"),((('BLAZE SHIELD II'!$H$4*('CALCULO MORTERO'!I1507^2)+'BLAZE SHIELD II'!$H$5*'CALCULO MORTERO'!I1507+'BLAZE SHIELD II'!$H$6)*LN(J1507))+('BLAZE SHIELD II'!$H$7*('CALCULO MORTERO'!I1507^2)+'BLAZE SHIELD II'!$H$8*'CALCULO MORTERO'!I1507+'BLAZE SHIELD II'!$H$9)),0)+IF(AND(L1507="Blaze Shield II",M1507="Software Idiem",C1507="C"),((('BLAZE SHIELD II'!$L$4*('CALCULO MORTERO'!I1507^2)+'BLAZE SHIELD II'!$L$5*'CALCULO MORTERO'!I1507+'BLAZE SHIELD II'!$L$6)*LN(J1507))+('BLAZE SHIELD II'!$L$7*('CALCULO MORTERO'!I1507^2)+'BLAZE SHIELD II'!$L$8*'CALCULO MORTERO'!I1507+'BLAZE SHIELD II'!$L$9)),0)+IF(AND(L1507="Blaze Shield II",M1507="Software Idiem",C1507="L"),((('BLAZE SHIELD II'!$L$4*('CALCULO MORTERO'!I1507^2)+'BLAZE SHIELD II'!$L$5*'CALCULO MORTERO'!I1507+'BLAZE SHIELD II'!$L$6)*LN(J1507))+('BLAZE SHIELD II'!$L$7*('CALCULO MORTERO'!I1507^2)+'BLAZE SHIELD II'!$L$8*'CALCULO MORTERO'!I1507+'BLAZE SHIELD II'!$L$9)),0)+IF(AND(L1507="Blaze Shield II",M1507="Software Idiem",C1507="IN",G1507=3),((('BLAZE SHIELD II'!$H$14*('CALCULO MORTERO'!I1507^2)+'BLAZE SHIELD II'!$H$15*'CALCULO MORTERO'!I1507+'BLAZE SHIELD II'!$H$16)*LN(J1507))+('BLAZE SHIELD II'!$H$17*('CALCULO MORTERO'!I1507^2)+'BLAZE SHIELD II'!$H$18*'CALCULO MORTERO'!I1507+'BLAZE SHIELD II'!$H$19)),0),0)+ROUND(IF(AND(L1507="Cafco 400",M1507="Software Idiem",C1507="IN",G1507=4),((('CAFCO 400 '!$H$7*(J1507^4)+'CAFCO 400 '!$H$8*(J1507^3)+'CAFCO 400 '!$H$9*(J1507^2)+'CAFCO 400 '!$H$10*J1507+'CAFCO 400 '!$H$11)*U1507^2)+(('CAFCO 400 '!$H$12*(J1507^3)+'CAFCO 400 '!$H$13*(J1507^2)+'CAFCO 400 '!$H$14*J1507+'CAFCO 400 '!$H$15)*U1507)+('CAFCO 400 '!$H$16*(J1507^2)+'CAFCO 400 '!$H$17*J1507+'CAFCO 400 '!$H$18)),0)+IF(AND(L1507="Cafco 400",M1507="Software Idiem",C1507="Cj"),(((('CAFCO 400 '!$D$7*LN(J1507)+'CAFCO 400 '!$D$8)*U1507^2)+(('CAFCO 400 '!$D$9*LN(J1507)+'CAFCO 400 '!$D$10)*U1507)+('CAFCO 400 '!$D$11*LN(J1507)+'CAFCO 400 '!$D$12))),0)+IF(AND(L1507="Cafco 400",M1507="Software Idiem",C1507="C"),((('CAFCO 400 '!$L$7*(J1507^3)+'CAFCO 400 '!$L$8*(J1507^2)+'CAFCO 400 '!$L$9*J1507+'CAFCO 400 '!$L$10)*U1507^2)+(('CAFCO 400 '!$L$11*(J1507^3)+'CAFCO 400 '!$L$12*(J1507^2)+'CAFCO 400 '!$L$13*J1507+'CAFCO 400 '!$L$14)*U1507)+('CAFCO 400 '!$L$15*LN(J1507)+'CAFCO 400 '!$L$16)),0)+IF(AND(L1507="Cafco 400",M1507="Software Idiem",C1507="L"),((('CAFCO 400 '!$L$7*(J1507^3)+'CAFCO 400 '!$L$8*(J1507^2)+'CAFCO 400 '!$L$9*J1507+'CAFCO 400 '!$L$10)*U1507^2)+(('CAFCO 400 '!$L$11*(J1507^3)+'CAFCO 400 '!$L$12*(J1507^2)+'CAFCO 400 '!$L$13*J1507+'CAFCO 400 '!$L$14)*U1507)+('CAFCO 400 '!$L$15*LN(J1507)+'CAFCO 400 '!$L$16)),0)+IF(AND(L1507="Cafco 400",M1507="Software Idiem",C1507="IN",G1507=3),((('CAFCO 400 '!$D$23*(J1507^2)+'CAFCO 400 '!$D$24*(J1507)+'CAFCO 400 '!$D$25)*U1507^2)+(('CAFCO 400 '!$D$26*(J1507^2)+'CAFCO 400 '!$D$27*J1507+'CAFCO 400 '!$D$28)*U1507)+('CAFCO 400 '!$D$29*(J1507^2)+'CAFCO 400 '!$D$30*J1507+'CAFCO 400 '!$D$31)),0),0)+IF(AND(L1507="Cafco 300",J1507&gt;=95,J1507&lt;=240,C1507="Cj",I1507=90),VLOOKUP(T1507,'CAFCO 300 IDIEM TABLAS'!$B$4:$D$23,2,FALSE),0)+IF(AND(L1507="Cafco 300",J1507&gt;=95,J1507&lt;=240,C1507="Cj",I1507=120),VLOOKUP(T1507,'CAFCO 300 IDIEM TABLAS'!$B$4:$D$23,3,FALSE),0)+IF(AND(L1507="Cafco 300",J1507&gt;=95,J1507&lt;=400,G1507=3,C1507="IN",I1507=90),VLOOKUP(T1507,'CAFCO 300 IDIEM TABLAS'!$F$4:$H$35,2,FALSE),0)+IF(AND(L1507="Cafco 300",J1507&gt;=95,J1507&lt;=400,G1507=3,C1507="IN",I1507=120),VLOOKUP(T1507,'CAFCO 300 IDIEM TABLAS'!$F$4:$H$35,3,FALSE),0)+IF(AND(L1507="Cafco 300",J1507&gt;=95,J1507&lt;=450,G1507=4,C1507="IN",I1507=90),VLOOKUP(T1507,'CAFCO 300 IDIEM TABLAS'!$J$4:$L$40,2,FALSE),0)+IF(AND(L1507="Cafco 300",J1507&gt;=95,J1507&lt;=450,G1507=4,C1507="IN",I1507=120),VLOOKUP(T1507,'CAFCO 300 IDIEM TABLAS'!$J$4:$L$40,3,FALSE),0)+IF(AND(M1507="Ensayo Idiem",L1507="Cafco 400",C1507="IN",G1507=4,I1507=90),VLOOKUP(T1507,'CAFCO 400 ENSAYO'!$B$7:$D$43,2,FALSE),0)+IF(AND(M1507="Ensayo Idiem",L1507="Cafco 400",C1507="IN",G1507=4,I1507=120),VLOOKUP(T1507,'CAFCO 400 ENSAYO'!$B$7:$D$43,3,FALSE),0)</f>
        <v>0</v>
      </c>
      <c r="O1507" s="96">
        <f t="shared" si="150"/>
        <v>0</v>
      </c>
      <c r="P1507" s="132" t="str">
        <f t="shared" si="145"/>
        <v>N/A</v>
      </c>
      <c r="Q1507" s="132" t="str">
        <f t="shared" si="146"/>
        <v>N/A</v>
      </c>
      <c r="R1507" s="132" t="str">
        <f t="shared" si="147"/>
        <v>NO CERT.</v>
      </c>
      <c r="S1507" s="132" t="e">
        <f t="shared" si="148"/>
        <v>#N/A</v>
      </c>
      <c r="T1507" s="133" t="e">
        <f>+IF(J1507=LOOKUP(J1507,'CAFCO 300 IDIEM TABLAS'!$J$4:$J$40),'CALCULO MORTERO'!J1507,MROUND('CALCULO MORTERO'!J1507,10))</f>
        <v>#N/A</v>
      </c>
      <c r="U1507" s="134">
        <f t="shared" si="149"/>
        <v>0</v>
      </c>
    </row>
    <row r="1508" spans="1:21" x14ac:dyDescent="0.25">
      <c r="A1508" s="118">
        <f>+CUBICACION!D1502</f>
        <v>0</v>
      </c>
      <c r="B1508" s="819">
        <f>+CUBICACION!E1502</f>
        <v>0</v>
      </c>
      <c r="C1508" s="675">
        <f>+CUBICACION!F1502</f>
        <v>0</v>
      </c>
      <c r="D1508" s="118"/>
      <c r="E1508" s="118"/>
      <c r="F1508" s="820"/>
      <c r="G1508" s="675">
        <f>+CUBICACION!J1502</f>
        <v>0</v>
      </c>
      <c r="H1508" s="118"/>
      <c r="I1508" s="821">
        <f>+CUBICACION!L1502</f>
        <v>0</v>
      </c>
      <c r="J1508" s="64">
        <f>+CUBICACION!M1502</f>
        <v>0</v>
      </c>
      <c r="K1508" s="822" t="str">
        <f>+CUBICACION!N1502</f>
        <v/>
      </c>
      <c r="L1508" s="118">
        <f>+CUBICACION!O1502</f>
        <v>0</v>
      </c>
      <c r="M1508" s="823">
        <f>+CUBICACION!P1502</f>
        <v>0</v>
      </c>
      <c r="N1508" s="902">
        <f>ROUND(IF(AND(L1508="Blaze Shield II",M1508="Software Idiem",C1508="IN",G1508=4),((('BLAZE SHIELD II'!$D$4*('CALCULO MORTERO'!I1508^2)+'BLAZE SHIELD II'!$D$5*'CALCULO MORTERO'!I1508+'BLAZE SHIELD II'!$D$6)*LN(J1508))+('BLAZE SHIELD II'!$D$7*('CALCULO MORTERO'!I1508^2)+'BLAZE SHIELD II'!$D$8*'CALCULO MORTERO'!I1508+'BLAZE SHIELD II'!$D$9)),0)+IF(AND(L1508="Blaze Shield II",M1508="Software Idiem",C1508="Cj"),((('BLAZE SHIELD II'!$H$4*('CALCULO MORTERO'!I1508^2)+'BLAZE SHIELD II'!$H$5*'CALCULO MORTERO'!I1508+'BLAZE SHIELD II'!$H$6)*LN(J1508))+('BLAZE SHIELD II'!$H$7*('CALCULO MORTERO'!I1508^2)+'BLAZE SHIELD II'!$H$8*'CALCULO MORTERO'!I1508+'BLAZE SHIELD II'!$H$9)),0)+IF(AND(L1508="Blaze Shield II",M1508="Software Idiem",C1508="C"),((('BLAZE SHIELD II'!$L$4*('CALCULO MORTERO'!I1508^2)+'BLAZE SHIELD II'!$L$5*'CALCULO MORTERO'!I1508+'BLAZE SHIELD II'!$L$6)*LN(J1508))+('BLAZE SHIELD II'!$L$7*('CALCULO MORTERO'!I1508^2)+'BLAZE SHIELD II'!$L$8*'CALCULO MORTERO'!I1508+'BLAZE SHIELD II'!$L$9)),0)+IF(AND(L1508="Blaze Shield II",M1508="Software Idiem",C1508="L"),((('BLAZE SHIELD II'!$L$4*('CALCULO MORTERO'!I1508^2)+'BLAZE SHIELD II'!$L$5*'CALCULO MORTERO'!I1508+'BLAZE SHIELD II'!$L$6)*LN(J1508))+('BLAZE SHIELD II'!$L$7*('CALCULO MORTERO'!I1508^2)+'BLAZE SHIELD II'!$L$8*'CALCULO MORTERO'!I1508+'BLAZE SHIELD II'!$L$9)),0)+IF(AND(L1508="Blaze Shield II",M1508="Software Idiem",C1508="IN",G1508=3),((('BLAZE SHIELD II'!$H$14*('CALCULO MORTERO'!I1508^2)+'BLAZE SHIELD II'!$H$15*'CALCULO MORTERO'!I1508+'BLAZE SHIELD II'!$H$16)*LN(J1508))+('BLAZE SHIELD II'!$H$17*('CALCULO MORTERO'!I1508^2)+'BLAZE SHIELD II'!$H$18*'CALCULO MORTERO'!I1508+'BLAZE SHIELD II'!$H$19)),0),0)+ROUND(IF(AND(L1508="Cafco 400",M1508="Software Idiem",C1508="IN",G1508=4),((('CAFCO 400 '!$H$7*(J1508^4)+'CAFCO 400 '!$H$8*(J1508^3)+'CAFCO 400 '!$H$9*(J1508^2)+'CAFCO 400 '!$H$10*J1508+'CAFCO 400 '!$H$11)*U1508^2)+(('CAFCO 400 '!$H$12*(J1508^3)+'CAFCO 400 '!$H$13*(J1508^2)+'CAFCO 400 '!$H$14*J1508+'CAFCO 400 '!$H$15)*U1508)+('CAFCO 400 '!$H$16*(J1508^2)+'CAFCO 400 '!$H$17*J1508+'CAFCO 400 '!$H$18)),0)+IF(AND(L1508="Cafco 400",M1508="Software Idiem",C1508="Cj"),(((('CAFCO 400 '!$D$7*LN(J1508)+'CAFCO 400 '!$D$8)*U1508^2)+(('CAFCO 400 '!$D$9*LN(J1508)+'CAFCO 400 '!$D$10)*U1508)+('CAFCO 400 '!$D$11*LN(J1508)+'CAFCO 400 '!$D$12))),0)+IF(AND(L1508="Cafco 400",M1508="Software Idiem",C1508="C"),((('CAFCO 400 '!$L$7*(J1508^3)+'CAFCO 400 '!$L$8*(J1508^2)+'CAFCO 400 '!$L$9*J1508+'CAFCO 400 '!$L$10)*U1508^2)+(('CAFCO 400 '!$L$11*(J1508^3)+'CAFCO 400 '!$L$12*(J1508^2)+'CAFCO 400 '!$L$13*J1508+'CAFCO 400 '!$L$14)*U1508)+('CAFCO 400 '!$L$15*LN(J1508)+'CAFCO 400 '!$L$16)),0)+IF(AND(L1508="Cafco 400",M1508="Software Idiem",C1508="L"),((('CAFCO 400 '!$L$7*(J1508^3)+'CAFCO 400 '!$L$8*(J1508^2)+'CAFCO 400 '!$L$9*J1508+'CAFCO 400 '!$L$10)*U1508^2)+(('CAFCO 400 '!$L$11*(J1508^3)+'CAFCO 400 '!$L$12*(J1508^2)+'CAFCO 400 '!$L$13*J1508+'CAFCO 400 '!$L$14)*U1508)+('CAFCO 400 '!$L$15*LN(J1508)+'CAFCO 400 '!$L$16)),0)+IF(AND(L1508="Cafco 400",M1508="Software Idiem",C1508="IN",G1508=3),((('CAFCO 400 '!$D$23*(J1508^2)+'CAFCO 400 '!$D$24*(J1508)+'CAFCO 400 '!$D$25)*U1508^2)+(('CAFCO 400 '!$D$26*(J1508^2)+'CAFCO 400 '!$D$27*J1508+'CAFCO 400 '!$D$28)*U1508)+('CAFCO 400 '!$D$29*(J1508^2)+'CAFCO 400 '!$D$30*J1508+'CAFCO 400 '!$D$31)),0),0)+IF(AND(L1508="Cafco 300",J1508&gt;=95,J1508&lt;=240,C1508="Cj",I1508=90),VLOOKUP(T1508,'CAFCO 300 IDIEM TABLAS'!$B$4:$D$23,2,FALSE),0)+IF(AND(L1508="Cafco 300",J1508&gt;=95,J1508&lt;=240,C1508="Cj",I1508=120),VLOOKUP(T1508,'CAFCO 300 IDIEM TABLAS'!$B$4:$D$23,3,FALSE),0)+IF(AND(L1508="Cafco 300",J1508&gt;=95,J1508&lt;=400,G1508=3,C1508="IN",I1508=90),VLOOKUP(T1508,'CAFCO 300 IDIEM TABLAS'!$F$4:$H$35,2,FALSE),0)+IF(AND(L1508="Cafco 300",J1508&gt;=95,J1508&lt;=400,G1508=3,C1508="IN",I1508=120),VLOOKUP(T1508,'CAFCO 300 IDIEM TABLAS'!$F$4:$H$35,3,FALSE),0)+IF(AND(L1508="Cafco 300",J1508&gt;=95,J1508&lt;=450,G1508=4,C1508="IN",I1508=90),VLOOKUP(T1508,'CAFCO 300 IDIEM TABLAS'!$J$4:$L$40,2,FALSE),0)+IF(AND(L1508="Cafco 300",J1508&gt;=95,J1508&lt;=450,G1508=4,C1508="IN",I1508=120),VLOOKUP(T1508,'CAFCO 300 IDIEM TABLAS'!$J$4:$L$40,3,FALSE),0)+IF(AND(M1508="Ensayo Idiem",L1508="Cafco 400",C1508="IN",G1508=4,I1508=90),VLOOKUP(T1508,'CAFCO 400 ENSAYO'!$B$7:$D$43,2,FALSE),0)+IF(AND(M1508="Ensayo Idiem",L1508="Cafco 400",C1508="IN",G1508=4,I1508=120),VLOOKUP(T1508,'CAFCO 400 ENSAYO'!$B$7:$D$43,3,FALSE),0)</f>
        <v>0</v>
      </c>
      <c r="O1508" s="96">
        <f t="shared" si="150"/>
        <v>0</v>
      </c>
      <c r="P1508" s="95" t="str">
        <f t="shared" si="145"/>
        <v>N/A</v>
      </c>
      <c r="Q1508" s="95" t="str">
        <f t="shared" si="146"/>
        <v>N/A</v>
      </c>
      <c r="R1508" s="95" t="str">
        <f t="shared" si="147"/>
        <v>NO CERT.</v>
      </c>
      <c r="S1508" s="95" t="e">
        <f t="shared" si="148"/>
        <v>#N/A</v>
      </c>
      <c r="T1508" s="119" t="e">
        <f>+IF(J1508=LOOKUP(J1508,'CAFCO 300 IDIEM TABLAS'!$J$4:$J$40),'CALCULO MORTERO'!J1508,MROUND('CALCULO MORTERO'!J1508,10))</f>
        <v>#N/A</v>
      </c>
      <c r="U1508" s="118">
        <f t="shared" si="149"/>
        <v>0</v>
      </c>
    </row>
    <row r="1509" spans="1:21" x14ac:dyDescent="0.25">
      <c r="A1509" s="118">
        <f>+CUBICACION!D1503</f>
        <v>0</v>
      </c>
      <c r="B1509" s="819">
        <f>+CUBICACION!E1503</f>
        <v>0</v>
      </c>
      <c r="C1509" s="675">
        <f>+CUBICACION!F1503</f>
        <v>0</v>
      </c>
      <c r="D1509" s="118"/>
      <c r="E1509" s="118"/>
      <c r="F1509" s="820"/>
      <c r="G1509" s="675">
        <f>+CUBICACION!J1503</f>
        <v>0</v>
      </c>
      <c r="H1509" s="118"/>
      <c r="I1509" s="821">
        <f>+CUBICACION!L1503</f>
        <v>0</v>
      </c>
      <c r="J1509" s="64">
        <f>+CUBICACION!M1503</f>
        <v>0</v>
      </c>
      <c r="K1509" s="822" t="str">
        <f>+CUBICACION!N1503</f>
        <v/>
      </c>
      <c r="L1509" s="118">
        <f>+CUBICACION!O1503</f>
        <v>0</v>
      </c>
      <c r="M1509" s="823">
        <f>+CUBICACION!P1503</f>
        <v>0</v>
      </c>
      <c r="N1509" s="902">
        <f>ROUND(IF(AND(L1509="Blaze Shield II",M1509="Software Idiem",C1509="IN",G1509=4),((('BLAZE SHIELD II'!$D$4*('CALCULO MORTERO'!I1509^2)+'BLAZE SHIELD II'!$D$5*'CALCULO MORTERO'!I1509+'BLAZE SHIELD II'!$D$6)*LN(J1509))+('BLAZE SHIELD II'!$D$7*('CALCULO MORTERO'!I1509^2)+'BLAZE SHIELD II'!$D$8*'CALCULO MORTERO'!I1509+'BLAZE SHIELD II'!$D$9)),0)+IF(AND(L1509="Blaze Shield II",M1509="Software Idiem",C1509="Cj"),((('BLAZE SHIELD II'!$H$4*('CALCULO MORTERO'!I1509^2)+'BLAZE SHIELD II'!$H$5*'CALCULO MORTERO'!I1509+'BLAZE SHIELD II'!$H$6)*LN(J1509))+('BLAZE SHIELD II'!$H$7*('CALCULO MORTERO'!I1509^2)+'BLAZE SHIELD II'!$H$8*'CALCULO MORTERO'!I1509+'BLAZE SHIELD II'!$H$9)),0)+IF(AND(L1509="Blaze Shield II",M1509="Software Idiem",C1509="C"),((('BLAZE SHIELD II'!$L$4*('CALCULO MORTERO'!I1509^2)+'BLAZE SHIELD II'!$L$5*'CALCULO MORTERO'!I1509+'BLAZE SHIELD II'!$L$6)*LN(J1509))+('BLAZE SHIELD II'!$L$7*('CALCULO MORTERO'!I1509^2)+'BLAZE SHIELD II'!$L$8*'CALCULO MORTERO'!I1509+'BLAZE SHIELD II'!$L$9)),0)+IF(AND(L1509="Blaze Shield II",M1509="Software Idiem",C1509="L"),((('BLAZE SHIELD II'!$L$4*('CALCULO MORTERO'!I1509^2)+'BLAZE SHIELD II'!$L$5*'CALCULO MORTERO'!I1509+'BLAZE SHIELD II'!$L$6)*LN(J1509))+('BLAZE SHIELD II'!$L$7*('CALCULO MORTERO'!I1509^2)+'BLAZE SHIELD II'!$L$8*'CALCULO MORTERO'!I1509+'BLAZE SHIELD II'!$L$9)),0)+IF(AND(L1509="Blaze Shield II",M1509="Software Idiem",C1509="IN",G1509=3),((('BLAZE SHIELD II'!$H$14*('CALCULO MORTERO'!I1509^2)+'BLAZE SHIELD II'!$H$15*'CALCULO MORTERO'!I1509+'BLAZE SHIELD II'!$H$16)*LN(J1509))+('BLAZE SHIELD II'!$H$17*('CALCULO MORTERO'!I1509^2)+'BLAZE SHIELD II'!$H$18*'CALCULO MORTERO'!I1509+'BLAZE SHIELD II'!$H$19)),0),0)+ROUND(IF(AND(L1509="Cafco 400",M1509="Software Idiem",C1509="IN",G1509=4),((('CAFCO 400 '!$H$7*(J1509^4)+'CAFCO 400 '!$H$8*(J1509^3)+'CAFCO 400 '!$H$9*(J1509^2)+'CAFCO 400 '!$H$10*J1509+'CAFCO 400 '!$H$11)*U1509^2)+(('CAFCO 400 '!$H$12*(J1509^3)+'CAFCO 400 '!$H$13*(J1509^2)+'CAFCO 400 '!$H$14*J1509+'CAFCO 400 '!$H$15)*U1509)+('CAFCO 400 '!$H$16*(J1509^2)+'CAFCO 400 '!$H$17*J1509+'CAFCO 400 '!$H$18)),0)+IF(AND(L1509="Cafco 400",M1509="Software Idiem",C1509="Cj"),(((('CAFCO 400 '!$D$7*LN(J1509)+'CAFCO 400 '!$D$8)*U1509^2)+(('CAFCO 400 '!$D$9*LN(J1509)+'CAFCO 400 '!$D$10)*U1509)+('CAFCO 400 '!$D$11*LN(J1509)+'CAFCO 400 '!$D$12))),0)+IF(AND(L1509="Cafco 400",M1509="Software Idiem",C1509="C"),((('CAFCO 400 '!$L$7*(J1509^3)+'CAFCO 400 '!$L$8*(J1509^2)+'CAFCO 400 '!$L$9*J1509+'CAFCO 400 '!$L$10)*U1509^2)+(('CAFCO 400 '!$L$11*(J1509^3)+'CAFCO 400 '!$L$12*(J1509^2)+'CAFCO 400 '!$L$13*J1509+'CAFCO 400 '!$L$14)*U1509)+('CAFCO 400 '!$L$15*LN(J1509)+'CAFCO 400 '!$L$16)),0)+IF(AND(L1509="Cafco 400",M1509="Software Idiem",C1509="L"),((('CAFCO 400 '!$L$7*(J1509^3)+'CAFCO 400 '!$L$8*(J1509^2)+'CAFCO 400 '!$L$9*J1509+'CAFCO 400 '!$L$10)*U1509^2)+(('CAFCO 400 '!$L$11*(J1509^3)+'CAFCO 400 '!$L$12*(J1509^2)+'CAFCO 400 '!$L$13*J1509+'CAFCO 400 '!$L$14)*U1509)+('CAFCO 400 '!$L$15*LN(J1509)+'CAFCO 400 '!$L$16)),0)+IF(AND(L1509="Cafco 400",M1509="Software Idiem",C1509="IN",G1509=3),((('CAFCO 400 '!$D$23*(J1509^2)+'CAFCO 400 '!$D$24*(J1509)+'CAFCO 400 '!$D$25)*U1509^2)+(('CAFCO 400 '!$D$26*(J1509^2)+'CAFCO 400 '!$D$27*J1509+'CAFCO 400 '!$D$28)*U1509)+('CAFCO 400 '!$D$29*(J1509^2)+'CAFCO 400 '!$D$30*J1509+'CAFCO 400 '!$D$31)),0),0)+IF(AND(L1509="Cafco 300",J1509&gt;=95,J1509&lt;=240,C1509="Cj",I1509=90),VLOOKUP(T1509,'CAFCO 300 IDIEM TABLAS'!$B$4:$D$23,2,FALSE),0)+IF(AND(L1509="Cafco 300",J1509&gt;=95,J1509&lt;=240,C1509="Cj",I1509=120),VLOOKUP(T1509,'CAFCO 300 IDIEM TABLAS'!$B$4:$D$23,3,FALSE),0)+IF(AND(L1509="Cafco 300",J1509&gt;=95,J1509&lt;=400,G1509=3,C1509="IN",I1509=90),VLOOKUP(T1509,'CAFCO 300 IDIEM TABLAS'!$F$4:$H$35,2,FALSE),0)+IF(AND(L1509="Cafco 300",J1509&gt;=95,J1509&lt;=400,G1509=3,C1509="IN",I1509=120),VLOOKUP(T1509,'CAFCO 300 IDIEM TABLAS'!$F$4:$H$35,3,FALSE),0)+IF(AND(L1509="Cafco 300",J1509&gt;=95,J1509&lt;=450,G1509=4,C1509="IN",I1509=90),VLOOKUP(T1509,'CAFCO 300 IDIEM TABLAS'!$J$4:$L$40,2,FALSE),0)+IF(AND(L1509="Cafco 300",J1509&gt;=95,J1509&lt;=450,G1509=4,C1509="IN",I1509=120),VLOOKUP(T1509,'CAFCO 300 IDIEM TABLAS'!$J$4:$L$40,3,FALSE),0)+IF(AND(M1509="Ensayo Idiem",L1509="Cafco 400",C1509="IN",G1509=4,I1509=90),VLOOKUP(T1509,'CAFCO 400 ENSAYO'!$B$7:$D$43,2,FALSE),0)+IF(AND(M1509="Ensayo Idiem",L1509="Cafco 400",C1509="IN",G1509=4,I1509=120),VLOOKUP(T1509,'CAFCO 400 ENSAYO'!$B$7:$D$43,3,FALSE),0)</f>
        <v>0</v>
      </c>
      <c r="O1509" s="96">
        <f t="shared" si="150"/>
        <v>0</v>
      </c>
      <c r="P1509" s="132" t="str">
        <f t="shared" si="145"/>
        <v>N/A</v>
      </c>
      <c r="Q1509" s="132" t="str">
        <f t="shared" si="146"/>
        <v>N/A</v>
      </c>
      <c r="R1509" s="132" t="str">
        <f t="shared" si="147"/>
        <v>NO CERT.</v>
      </c>
      <c r="S1509" s="132" t="e">
        <f t="shared" si="148"/>
        <v>#N/A</v>
      </c>
      <c r="T1509" s="133" t="e">
        <f>+IF(J1509=LOOKUP(J1509,'CAFCO 300 IDIEM TABLAS'!$J$4:$J$40),'CALCULO MORTERO'!J1509,MROUND('CALCULO MORTERO'!J1509,10))</f>
        <v>#N/A</v>
      </c>
      <c r="U1509" s="134">
        <f t="shared" si="149"/>
        <v>0</v>
      </c>
    </row>
    <row r="1510" spans="1:21" x14ac:dyDescent="0.25">
      <c r="A1510" s="118">
        <f>+CUBICACION!D1504</f>
        <v>0</v>
      </c>
      <c r="B1510" s="819">
        <f>+CUBICACION!E1504</f>
        <v>0</v>
      </c>
      <c r="C1510" s="675">
        <f>+CUBICACION!F1504</f>
        <v>0</v>
      </c>
      <c r="D1510" s="118"/>
      <c r="E1510" s="118"/>
      <c r="F1510" s="820"/>
      <c r="G1510" s="675">
        <f>+CUBICACION!J1504</f>
        <v>0</v>
      </c>
      <c r="H1510" s="118"/>
      <c r="I1510" s="821">
        <f>+CUBICACION!L1504</f>
        <v>0</v>
      </c>
      <c r="J1510" s="64">
        <f>+CUBICACION!M1504</f>
        <v>0</v>
      </c>
      <c r="K1510" s="822" t="str">
        <f>+CUBICACION!N1504</f>
        <v/>
      </c>
      <c r="L1510" s="118">
        <f>+CUBICACION!O1504</f>
        <v>0</v>
      </c>
      <c r="M1510" s="823">
        <f>+CUBICACION!P1504</f>
        <v>0</v>
      </c>
      <c r="N1510" s="902">
        <f>ROUND(IF(AND(L1510="Blaze Shield II",M1510="Software Idiem",C1510="IN",G1510=4),((('BLAZE SHIELD II'!$D$4*('CALCULO MORTERO'!I1510^2)+'BLAZE SHIELD II'!$D$5*'CALCULO MORTERO'!I1510+'BLAZE SHIELD II'!$D$6)*LN(J1510))+('BLAZE SHIELD II'!$D$7*('CALCULO MORTERO'!I1510^2)+'BLAZE SHIELD II'!$D$8*'CALCULO MORTERO'!I1510+'BLAZE SHIELD II'!$D$9)),0)+IF(AND(L1510="Blaze Shield II",M1510="Software Idiem",C1510="Cj"),((('BLAZE SHIELD II'!$H$4*('CALCULO MORTERO'!I1510^2)+'BLAZE SHIELD II'!$H$5*'CALCULO MORTERO'!I1510+'BLAZE SHIELD II'!$H$6)*LN(J1510))+('BLAZE SHIELD II'!$H$7*('CALCULO MORTERO'!I1510^2)+'BLAZE SHIELD II'!$H$8*'CALCULO MORTERO'!I1510+'BLAZE SHIELD II'!$H$9)),0)+IF(AND(L1510="Blaze Shield II",M1510="Software Idiem",C1510="C"),((('BLAZE SHIELD II'!$L$4*('CALCULO MORTERO'!I1510^2)+'BLAZE SHIELD II'!$L$5*'CALCULO MORTERO'!I1510+'BLAZE SHIELD II'!$L$6)*LN(J1510))+('BLAZE SHIELD II'!$L$7*('CALCULO MORTERO'!I1510^2)+'BLAZE SHIELD II'!$L$8*'CALCULO MORTERO'!I1510+'BLAZE SHIELD II'!$L$9)),0)+IF(AND(L1510="Blaze Shield II",M1510="Software Idiem",C1510="L"),((('BLAZE SHIELD II'!$L$4*('CALCULO MORTERO'!I1510^2)+'BLAZE SHIELD II'!$L$5*'CALCULO MORTERO'!I1510+'BLAZE SHIELD II'!$L$6)*LN(J1510))+('BLAZE SHIELD II'!$L$7*('CALCULO MORTERO'!I1510^2)+'BLAZE SHIELD II'!$L$8*'CALCULO MORTERO'!I1510+'BLAZE SHIELD II'!$L$9)),0)+IF(AND(L1510="Blaze Shield II",M1510="Software Idiem",C1510="IN",G1510=3),((('BLAZE SHIELD II'!$H$14*('CALCULO MORTERO'!I1510^2)+'BLAZE SHIELD II'!$H$15*'CALCULO MORTERO'!I1510+'BLAZE SHIELD II'!$H$16)*LN(J1510))+('BLAZE SHIELD II'!$H$17*('CALCULO MORTERO'!I1510^2)+'BLAZE SHIELD II'!$H$18*'CALCULO MORTERO'!I1510+'BLAZE SHIELD II'!$H$19)),0),0)+ROUND(IF(AND(L1510="Cafco 400",M1510="Software Idiem",C1510="IN",G1510=4),((('CAFCO 400 '!$H$7*(J1510^4)+'CAFCO 400 '!$H$8*(J1510^3)+'CAFCO 400 '!$H$9*(J1510^2)+'CAFCO 400 '!$H$10*J1510+'CAFCO 400 '!$H$11)*U1510^2)+(('CAFCO 400 '!$H$12*(J1510^3)+'CAFCO 400 '!$H$13*(J1510^2)+'CAFCO 400 '!$H$14*J1510+'CAFCO 400 '!$H$15)*U1510)+('CAFCO 400 '!$H$16*(J1510^2)+'CAFCO 400 '!$H$17*J1510+'CAFCO 400 '!$H$18)),0)+IF(AND(L1510="Cafco 400",M1510="Software Idiem",C1510="Cj"),(((('CAFCO 400 '!$D$7*LN(J1510)+'CAFCO 400 '!$D$8)*U1510^2)+(('CAFCO 400 '!$D$9*LN(J1510)+'CAFCO 400 '!$D$10)*U1510)+('CAFCO 400 '!$D$11*LN(J1510)+'CAFCO 400 '!$D$12))),0)+IF(AND(L1510="Cafco 400",M1510="Software Idiem",C1510="C"),((('CAFCO 400 '!$L$7*(J1510^3)+'CAFCO 400 '!$L$8*(J1510^2)+'CAFCO 400 '!$L$9*J1510+'CAFCO 400 '!$L$10)*U1510^2)+(('CAFCO 400 '!$L$11*(J1510^3)+'CAFCO 400 '!$L$12*(J1510^2)+'CAFCO 400 '!$L$13*J1510+'CAFCO 400 '!$L$14)*U1510)+('CAFCO 400 '!$L$15*LN(J1510)+'CAFCO 400 '!$L$16)),0)+IF(AND(L1510="Cafco 400",M1510="Software Idiem",C1510="L"),((('CAFCO 400 '!$L$7*(J1510^3)+'CAFCO 400 '!$L$8*(J1510^2)+'CAFCO 400 '!$L$9*J1510+'CAFCO 400 '!$L$10)*U1510^2)+(('CAFCO 400 '!$L$11*(J1510^3)+'CAFCO 400 '!$L$12*(J1510^2)+'CAFCO 400 '!$L$13*J1510+'CAFCO 400 '!$L$14)*U1510)+('CAFCO 400 '!$L$15*LN(J1510)+'CAFCO 400 '!$L$16)),0)+IF(AND(L1510="Cafco 400",M1510="Software Idiem",C1510="IN",G1510=3),((('CAFCO 400 '!$D$23*(J1510^2)+'CAFCO 400 '!$D$24*(J1510)+'CAFCO 400 '!$D$25)*U1510^2)+(('CAFCO 400 '!$D$26*(J1510^2)+'CAFCO 400 '!$D$27*J1510+'CAFCO 400 '!$D$28)*U1510)+('CAFCO 400 '!$D$29*(J1510^2)+'CAFCO 400 '!$D$30*J1510+'CAFCO 400 '!$D$31)),0),0)+IF(AND(L1510="Cafco 300",J1510&gt;=95,J1510&lt;=240,C1510="Cj",I1510=90),VLOOKUP(T1510,'CAFCO 300 IDIEM TABLAS'!$B$4:$D$23,2,FALSE),0)+IF(AND(L1510="Cafco 300",J1510&gt;=95,J1510&lt;=240,C1510="Cj",I1510=120),VLOOKUP(T1510,'CAFCO 300 IDIEM TABLAS'!$B$4:$D$23,3,FALSE),0)+IF(AND(L1510="Cafco 300",J1510&gt;=95,J1510&lt;=400,G1510=3,C1510="IN",I1510=90),VLOOKUP(T1510,'CAFCO 300 IDIEM TABLAS'!$F$4:$H$35,2,FALSE),0)+IF(AND(L1510="Cafco 300",J1510&gt;=95,J1510&lt;=400,G1510=3,C1510="IN",I1510=120),VLOOKUP(T1510,'CAFCO 300 IDIEM TABLAS'!$F$4:$H$35,3,FALSE),0)+IF(AND(L1510="Cafco 300",J1510&gt;=95,J1510&lt;=450,G1510=4,C1510="IN",I1510=90),VLOOKUP(T1510,'CAFCO 300 IDIEM TABLAS'!$J$4:$L$40,2,FALSE),0)+IF(AND(L1510="Cafco 300",J1510&gt;=95,J1510&lt;=450,G1510=4,C1510="IN",I1510=120),VLOOKUP(T1510,'CAFCO 300 IDIEM TABLAS'!$J$4:$L$40,3,FALSE),0)+IF(AND(M1510="Ensayo Idiem",L1510="Cafco 400",C1510="IN",G1510=4,I1510=90),VLOOKUP(T1510,'CAFCO 400 ENSAYO'!$B$7:$D$43,2,FALSE),0)+IF(AND(M1510="Ensayo Idiem",L1510="Cafco 400",C1510="IN",G1510=4,I1510=120),VLOOKUP(T1510,'CAFCO 400 ENSAYO'!$B$7:$D$43,3,FALSE),0)</f>
        <v>0</v>
      </c>
      <c r="O1510" s="96">
        <f t="shared" si="150"/>
        <v>0</v>
      </c>
      <c r="P1510" s="95" t="str">
        <f t="shared" si="145"/>
        <v>N/A</v>
      </c>
      <c r="Q1510" s="95" t="str">
        <f t="shared" si="146"/>
        <v>N/A</v>
      </c>
      <c r="R1510" s="95" t="str">
        <f t="shared" si="147"/>
        <v>NO CERT.</v>
      </c>
      <c r="S1510" s="95" t="e">
        <f t="shared" si="148"/>
        <v>#N/A</v>
      </c>
      <c r="T1510" s="119" t="e">
        <f>+IF(J1510=LOOKUP(J1510,'CAFCO 300 IDIEM TABLAS'!$J$4:$J$40),'CALCULO MORTERO'!J1510,MROUND('CALCULO MORTERO'!J1510,10))</f>
        <v>#N/A</v>
      </c>
      <c r="U1510" s="118">
        <f t="shared" si="149"/>
        <v>0</v>
      </c>
    </row>
    <row r="1511" spans="1:21" x14ac:dyDescent="0.25">
      <c r="A1511" s="118">
        <f>+CUBICACION!D1505</f>
        <v>0</v>
      </c>
      <c r="B1511" s="819">
        <f>+CUBICACION!E1505</f>
        <v>0</v>
      </c>
      <c r="C1511" s="675">
        <f>+CUBICACION!F1505</f>
        <v>0</v>
      </c>
      <c r="D1511" s="118"/>
      <c r="E1511" s="118"/>
      <c r="F1511" s="820"/>
      <c r="G1511" s="675">
        <f>+CUBICACION!J1505</f>
        <v>0</v>
      </c>
      <c r="H1511" s="118"/>
      <c r="I1511" s="821">
        <f>+CUBICACION!L1505</f>
        <v>0</v>
      </c>
      <c r="J1511" s="64">
        <f>+CUBICACION!M1505</f>
        <v>0</v>
      </c>
      <c r="K1511" s="822" t="str">
        <f>+CUBICACION!N1505</f>
        <v/>
      </c>
      <c r="L1511" s="118">
        <f>+CUBICACION!O1505</f>
        <v>0</v>
      </c>
      <c r="M1511" s="823">
        <f>+CUBICACION!P1505</f>
        <v>0</v>
      </c>
      <c r="N1511" s="902">
        <f>ROUND(IF(AND(L1511="Blaze Shield II",M1511="Software Idiem",C1511="IN",G1511=4),((('BLAZE SHIELD II'!$D$4*('CALCULO MORTERO'!I1511^2)+'BLAZE SHIELD II'!$D$5*'CALCULO MORTERO'!I1511+'BLAZE SHIELD II'!$D$6)*LN(J1511))+('BLAZE SHIELD II'!$D$7*('CALCULO MORTERO'!I1511^2)+'BLAZE SHIELD II'!$D$8*'CALCULO MORTERO'!I1511+'BLAZE SHIELD II'!$D$9)),0)+IF(AND(L1511="Blaze Shield II",M1511="Software Idiem",C1511="Cj"),((('BLAZE SHIELD II'!$H$4*('CALCULO MORTERO'!I1511^2)+'BLAZE SHIELD II'!$H$5*'CALCULO MORTERO'!I1511+'BLAZE SHIELD II'!$H$6)*LN(J1511))+('BLAZE SHIELD II'!$H$7*('CALCULO MORTERO'!I1511^2)+'BLAZE SHIELD II'!$H$8*'CALCULO MORTERO'!I1511+'BLAZE SHIELD II'!$H$9)),0)+IF(AND(L1511="Blaze Shield II",M1511="Software Idiem",C1511="C"),((('BLAZE SHIELD II'!$L$4*('CALCULO MORTERO'!I1511^2)+'BLAZE SHIELD II'!$L$5*'CALCULO MORTERO'!I1511+'BLAZE SHIELD II'!$L$6)*LN(J1511))+('BLAZE SHIELD II'!$L$7*('CALCULO MORTERO'!I1511^2)+'BLAZE SHIELD II'!$L$8*'CALCULO MORTERO'!I1511+'BLAZE SHIELD II'!$L$9)),0)+IF(AND(L1511="Blaze Shield II",M1511="Software Idiem",C1511="L"),((('BLAZE SHIELD II'!$L$4*('CALCULO MORTERO'!I1511^2)+'BLAZE SHIELD II'!$L$5*'CALCULO MORTERO'!I1511+'BLAZE SHIELD II'!$L$6)*LN(J1511))+('BLAZE SHIELD II'!$L$7*('CALCULO MORTERO'!I1511^2)+'BLAZE SHIELD II'!$L$8*'CALCULO MORTERO'!I1511+'BLAZE SHIELD II'!$L$9)),0)+IF(AND(L1511="Blaze Shield II",M1511="Software Idiem",C1511="IN",G1511=3),((('BLAZE SHIELD II'!$H$14*('CALCULO MORTERO'!I1511^2)+'BLAZE SHIELD II'!$H$15*'CALCULO MORTERO'!I1511+'BLAZE SHIELD II'!$H$16)*LN(J1511))+('BLAZE SHIELD II'!$H$17*('CALCULO MORTERO'!I1511^2)+'BLAZE SHIELD II'!$H$18*'CALCULO MORTERO'!I1511+'BLAZE SHIELD II'!$H$19)),0),0)+ROUND(IF(AND(L1511="Cafco 400",M1511="Software Idiem",C1511="IN",G1511=4),((('CAFCO 400 '!$H$7*(J1511^4)+'CAFCO 400 '!$H$8*(J1511^3)+'CAFCO 400 '!$H$9*(J1511^2)+'CAFCO 400 '!$H$10*J1511+'CAFCO 400 '!$H$11)*U1511^2)+(('CAFCO 400 '!$H$12*(J1511^3)+'CAFCO 400 '!$H$13*(J1511^2)+'CAFCO 400 '!$H$14*J1511+'CAFCO 400 '!$H$15)*U1511)+('CAFCO 400 '!$H$16*(J1511^2)+'CAFCO 400 '!$H$17*J1511+'CAFCO 400 '!$H$18)),0)+IF(AND(L1511="Cafco 400",M1511="Software Idiem",C1511="Cj"),(((('CAFCO 400 '!$D$7*LN(J1511)+'CAFCO 400 '!$D$8)*U1511^2)+(('CAFCO 400 '!$D$9*LN(J1511)+'CAFCO 400 '!$D$10)*U1511)+('CAFCO 400 '!$D$11*LN(J1511)+'CAFCO 400 '!$D$12))),0)+IF(AND(L1511="Cafco 400",M1511="Software Idiem",C1511="C"),((('CAFCO 400 '!$L$7*(J1511^3)+'CAFCO 400 '!$L$8*(J1511^2)+'CAFCO 400 '!$L$9*J1511+'CAFCO 400 '!$L$10)*U1511^2)+(('CAFCO 400 '!$L$11*(J1511^3)+'CAFCO 400 '!$L$12*(J1511^2)+'CAFCO 400 '!$L$13*J1511+'CAFCO 400 '!$L$14)*U1511)+('CAFCO 400 '!$L$15*LN(J1511)+'CAFCO 400 '!$L$16)),0)+IF(AND(L1511="Cafco 400",M1511="Software Idiem",C1511="L"),((('CAFCO 400 '!$L$7*(J1511^3)+'CAFCO 400 '!$L$8*(J1511^2)+'CAFCO 400 '!$L$9*J1511+'CAFCO 400 '!$L$10)*U1511^2)+(('CAFCO 400 '!$L$11*(J1511^3)+'CAFCO 400 '!$L$12*(J1511^2)+'CAFCO 400 '!$L$13*J1511+'CAFCO 400 '!$L$14)*U1511)+('CAFCO 400 '!$L$15*LN(J1511)+'CAFCO 400 '!$L$16)),0)+IF(AND(L1511="Cafco 400",M1511="Software Idiem",C1511="IN",G1511=3),((('CAFCO 400 '!$D$23*(J1511^2)+'CAFCO 400 '!$D$24*(J1511)+'CAFCO 400 '!$D$25)*U1511^2)+(('CAFCO 400 '!$D$26*(J1511^2)+'CAFCO 400 '!$D$27*J1511+'CAFCO 400 '!$D$28)*U1511)+('CAFCO 400 '!$D$29*(J1511^2)+'CAFCO 400 '!$D$30*J1511+'CAFCO 400 '!$D$31)),0),0)+IF(AND(L1511="Cafco 300",J1511&gt;=95,J1511&lt;=240,C1511="Cj",I1511=90),VLOOKUP(T1511,'CAFCO 300 IDIEM TABLAS'!$B$4:$D$23,2,FALSE),0)+IF(AND(L1511="Cafco 300",J1511&gt;=95,J1511&lt;=240,C1511="Cj",I1511=120),VLOOKUP(T1511,'CAFCO 300 IDIEM TABLAS'!$B$4:$D$23,3,FALSE),0)+IF(AND(L1511="Cafco 300",J1511&gt;=95,J1511&lt;=400,G1511=3,C1511="IN",I1511=90),VLOOKUP(T1511,'CAFCO 300 IDIEM TABLAS'!$F$4:$H$35,2,FALSE),0)+IF(AND(L1511="Cafco 300",J1511&gt;=95,J1511&lt;=400,G1511=3,C1511="IN",I1511=120),VLOOKUP(T1511,'CAFCO 300 IDIEM TABLAS'!$F$4:$H$35,3,FALSE),0)+IF(AND(L1511="Cafco 300",J1511&gt;=95,J1511&lt;=450,G1511=4,C1511="IN",I1511=90),VLOOKUP(T1511,'CAFCO 300 IDIEM TABLAS'!$J$4:$L$40,2,FALSE),0)+IF(AND(L1511="Cafco 300",J1511&gt;=95,J1511&lt;=450,G1511=4,C1511="IN",I1511=120),VLOOKUP(T1511,'CAFCO 300 IDIEM TABLAS'!$J$4:$L$40,3,FALSE),0)+IF(AND(M1511="Ensayo Idiem",L1511="Cafco 400",C1511="IN",G1511=4,I1511=90),VLOOKUP(T1511,'CAFCO 400 ENSAYO'!$B$7:$D$43,2,FALSE),0)+IF(AND(M1511="Ensayo Idiem",L1511="Cafco 400",C1511="IN",G1511=4,I1511=120),VLOOKUP(T1511,'CAFCO 400 ENSAYO'!$B$7:$D$43,3,FALSE),0)</f>
        <v>0</v>
      </c>
      <c r="O1511" s="96">
        <f t="shared" si="150"/>
        <v>0</v>
      </c>
      <c r="P1511" s="132" t="str">
        <f t="shared" si="145"/>
        <v>N/A</v>
      </c>
      <c r="Q1511" s="132" t="str">
        <f t="shared" si="146"/>
        <v>N/A</v>
      </c>
      <c r="R1511" s="132" t="str">
        <f t="shared" si="147"/>
        <v>NO CERT.</v>
      </c>
      <c r="S1511" s="132" t="e">
        <f t="shared" si="148"/>
        <v>#N/A</v>
      </c>
      <c r="T1511" s="133" t="e">
        <f>+IF(J1511=LOOKUP(J1511,'CAFCO 300 IDIEM TABLAS'!$J$4:$J$40),'CALCULO MORTERO'!J1511,MROUND('CALCULO MORTERO'!J1511,10))</f>
        <v>#N/A</v>
      </c>
      <c r="U1511" s="134">
        <f t="shared" si="149"/>
        <v>0</v>
      </c>
    </row>
    <row r="1512" spans="1:21" x14ac:dyDescent="0.25">
      <c r="A1512" s="118">
        <f>+CUBICACION!D1506</f>
        <v>0</v>
      </c>
      <c r="B1512" s="819">
        <f>+CUBICACION!E1506</f>
        <v>0</v>
      </c>
      <c r="C1512" s="675">
        <f>+CUBICACION!F1506</f>
        <v>0</v>
      </c>
      <c r="D1512" s="118"/>
      <c r="E1512" s="118"/>
      <c r="F1512" s="820"/>
      <c r="G1512" s="675">
        <f>+CUBICACION!J1506</f>
        <v>0</v>
      </c>
      <c r="H1512" s="118"/>
      <c r="I1512" s="821">
        <f>+CUBICACION!L1506</f>
        <v>0</v>
      </c>
      <c r="J1512" s="64">
        <f>+CUBICACION!M1506</f>
        <v>0</v>
      </c>
      <c r="K1512" s="822" t="str">
        <f>+CUBICACION!N1506</f>
        <v/>
      </c>
      <c r="L1512" s="118">
        <f>+CUBICACION!O1506</f>
        <v>0</v>
      </c>
      <c r="M1512" s="823">
        <f>+CUBICACION!P1506</f>
        <v>0</v>
      </c>
      <c r="N1512" s="902">
        <f>ROUND(IF(AND(L1512="Blaze Shield II",M1512="Software Idiem",C1512="IN",G1512=4),((('BLAZE SHIELD II'!$D$4*('CALCULO MORTERO'!I1512^2)+'BLAZE SHIELD II'!$D$5*'CALCULO MORTERO'!I1512+'BLAZE SHIELD II'!$D$6)*LN(J1512))+('BLAZE SHIELD II'!$D$7*('CALCULO MORTERO'!I1512^2)+'BLAZE SHIELD II'!$D$8*'CALCULO MORTERO'!I1512+'BLAZE SHIELD II'!$D$9)),0)+IF(AND(L1512="Blaze Shield II",M1512="Software Idiem",C1512="Cj"),((('BLAZE SHIELD II'!$H$4*('CALCULO MORTERO'!I1512^2)+'BLAZE SHIELD II'!$H$5*'CALCULO MORTERO'!I1512+'BLAZE SHIELD II'!$H$6)*LN(J1512))+('BLAZE SHIELD II'!$H$7*('CALCULO MORTERO'!I1512^2)+'BLAZE SHIELD II'!$H$8*'CALCULO MORTERO'!I1512+'BLAZE SHIELD II'!$H$9)),0)+IF(AND(L1512="Blaze Shield II",M1512="Software Idiem",C1512="C"),((('BLAZE SHIELD II'!$L$4*('CALCULO MORTERO'!I1512^2)+'BLAZE SHIELD II'!$L$5*'CALCULO MORTERO'!I1512+'BLAZE SHIELD II'!$L$6)*LN(J1512))+('BLAZE SHIELD II'!$L$7*('CALCULO MORTERO'!I1512^2)+'BLAZE SHIELD II'!$L$8*'CALCULO MORTERO'!I1512+'BLAZE SHIELD II'!$L$9)),0)+IF(AND(L1512="Blaze Shield II",M1512="Software Idiem",C1512="L"),((('BLAZE SHIELD II'!$L$4*('CALCULO MORTERO'!I1512^2)+'BLAZE SHIELD II'!$L$5*'CALCULO MORTERO'!I1512+'BLAZE SHIELD II'!$L$6)*LN(J1512))+('BLAZE SHIELD II'!$L$7*('CALCULO MORTERO'!I1512^2)+'BLAZE SHIELD II'!$L$8*'CALCULO MORTERO'!I1512+'BLAZE SHIELD II'!$L$9)),0)+IF(AND(L1512="Blaze Shield II",M1512="Software Idiem",C1512="IN",G1512=3),((('BLAZE SHIELD II'!$H$14*('CALCULO MORTERO'!I1512^2)+'BLAZE SHIELD II'!$H$15*'CALCULO MORTERO'!I1512+'BLAZE SHIELD II'!$H$16)*LN(J1512))+('BLAZE SHIELD II'!$H$17*('CALCULO MORTERO'!I1512^2)+'BLAZE SHIELD II'!$H$18*'CALCULO MORTERO'!I1512+'BLAZE SHIELD II'!$H$19)),0),0)+ROUND(IF(AND(L1512="Cafco 400",M1512="Software Idiem",C1512="IN",G1512=4),((('CAFCO 400 '!$H$7*(J1512^4)+'CAFCO 400 '!$H$8*(J1512^3)+'CAFCO 400 '!$H$9*(J1512^2)+'CAFCO 400 '!$H$10*J1512+'CAFCO 400 '!$H$11)*U1512^2)+(('CAFCO 400 '!$H$12*(J1512^3)+'CAFCO 400 '!$H$13*(J1512^2)+'CAFCO 400 '!$H$14*J1512+'CAFCO 400 '!$H$15)*U1512)+('CAFCO 400 '!$H$16*(J1512^2)+'CAFCO 400 '!$H$17*J1512+'CAFCO 400 '!$H$18)),0)+IF(AND(L1512="Cafco 400",M1512="Software Idiem",C1512="Cj"),(((('CAFCO 400 '!$D$7*LN(J1512)+'CAFCO 400 '!$D$8)*U1512^2)+(('CAFCO 400 '!$D$9*LN(J1512)+'CAFCO 400 '!$D$10)*U1512)+('CAFCO 400 '!$D$11*LN(J1512)+'CAFCO 400 '!$D$12))),0)+IF(AND(L1512="Cafco 400",M1512="Software Idiem",C1512="C"),((('CAFCO 400 '!$L$7*(J1512^3)+'CAFCO 400 '!$L$8*(J1512^2)+'CAFCO 400 '!$L$9*J1512+'CAFCO 400 '!$L$10)*U1512^2)+(('CAFCO 400 '!$L$11*(J1512^3)+'CAFCO 400 '!$L$12*(J1512^2)+'CAFCO 400 '!$L$13*J1512+'CAFCO 400 '!$L$14)*U1512)+('CAFCO 400 '!$L$15*LN(J1512)+'CAFCO 400 '!$L$16)),0)+IF(AND(L1512="Cafco 400",M1512="Software Idiem",C1512="L"),((('CAFCO 400 '!$L$7*(J1512^3)+'CAFCO 400 '!$L$8*(J1512^2)+'CAFCO 400 '!$L$9*J1512+'CAFCO 400 '!$L$10)*U1512^2)+(('CAFCO 400 '!$L$11*(J1512^3)+'CAFCO 400 '!$L$12*(J1512^2)+'CAFCO 400 '!$L$13*J1512+'CAFCO 400 '!$L$14)*U1512)+('CAFCO 400 '!$L$15*LN(J1512)+'CAFCO 400 '!$L$16)),0)+IF(AND(L1512="Cafco 400",M1512="Software Idiem",C1512="IN",G1512=3),((('CAFCO 400 '!$D$23*(J1512^2)+'CAFCO 400 '!$D$24*(J1512)+'CAFCO 400 '!$D$25)*U1512^2)+(('CAFCO 400 '!$D$26*(J1512^2)+'CAFCO 400 '!$D$27*J1512+'CAFCO 400 '!$D$28)*U1512)+('CAFCO 400 '!$D$29*(J1512^2)+'CAFCO 400 '!$D$30*J1512+'CAFCO 400 '!$D$31)),0),0)+IF(AND(L1512="Cafco 300",J1512&gt;=95,J1512&lt;=240,C1512="Cj",I1512=90),VLOOKUP(T1512,'CAFCO 300 IDIEM TABLAS'!$B$4:$D$23,2,FALSE),0)+IF(AND(L1512="Cafco 300",J1512&gt;=95,J1512&lt;=240,C1512="Cj",I1512=120),VLOOKUP(T1512,'CAFCO 300 IDIEM TABLAS'!$B$4:$D$23,3,FALSE),0)+IF(AND(L1512="Cafco 300",J1512&gt;=95,J1512&lt;=400,G1512=3,C1512="IN",I1512=90),VLOOKUP(T1512,'CAFCO 300 IDIEM TABLAS'!$F$4:$H$35,2,FALSE),0)+IF(AND(L1512="Cafco 300",J1512&gt;=95,J1512&lt;=400,G1512=3,C1512="IN",I1512=120),VLOOKUP(T1512,'CAFCO 300 IDIEM TABLAS'!$F$4:$H$35,3,FALSE),0)+IF(AND(L1512="Cafco 300",J1512&gt;=95,J1512&lt;=450,G1512=4,C1512="IN",I1512=90),VLOOKUP(T1512,'CAFCO 300 IDIEM TABLAS'!$J$4:$L$40,2,FALSE),0)+IF(AND(L1512="Cafco 300",J1512&gt;=95,J1512&lt;=450,G1512=4,C1512="IN",I1512=120),VLOOKUP(T1512,'CAFCO 300 IDIEM TABLAS'!$J$4:$L$40,3,FALSE),0)+IF(AND(M1512="Ensayo Idiem",L1512="Cafco 400",C1512="IN",G1512=4,I1512=90),VLOOKUP(T1512,'CAFCO 400 ENSAYO'!$B$7:$D$43,2,FALSE),0)+IF(AND(M1512="Ensayo Idiem",L1512="Cafco 400",C1512="IN",G1512=4,I1512=120),VLOOKUP(T1512,'CAFCO 400 ENSAYO'!$B$7:$D$43,3,FALSE),0)</f>
        <v>0</v>
      </c>
      <c r="O1512" s="96">
        <f t="shared" si="150"/>
        <v>0</v>
      </c>
      <c r="P1512" s="95" t="str">
        <f t="shared" si="145"/>
        <v>N/A</v>
      </c>
      <c r="Q1512" s="95" t="str">
        <f t="shared" si="146"/>
        <v>N/A</v>
      </c>
      <c r="R1512" s="95" t="str">
        <f t="shared" si="147"/>
        <v>NO CERT.</v>
      </c>
      <c r="S1512" s="95" t="e">
        <f t="shared" si="148"/>
        <v>#N/A</v>
      </c>
      <c r="T1512" s="119" t="e">
        <f>+IF(J1512=LOOKUP(J1512,'CAFCO 300 IDIEM TABLAS'!$J$4:$J$40),'CALCULO MORTERO'!J1512,MROUND('CALCULO MORTERO'!J1512,10))</f>
        <v>#N/A</v>
      </c>
      <c r="U1512" s="118">
        <f t="shared" si="149"/>
        <v>0</v>
      </c>
    </row>
    <row r="1513" spans="1:21" x14ac:dyDescent="0.25">
      <c r="A1513" s="118">
        <f>+CUBICACION!D1507</f>
        <v>0</v>
      </c>
      <c r="B1513" s="819">
        <f>+CUBICACION!E1507</f>
        <v>0</v>
      </c>
      <c r="C1513" s="675">
        <f>+CUBICACION!F1507</f>
        <v>0</v>
      </c>
      <c r="D1513" s="118"/>
      <c r="E1513" s="118"/>
      <c r="F1513" s="820"/>
      <c r="G1513" s="675">
        <f>+CUBICACION!J1507</f>
        <v>0</v>
      </c>
      <c r="H1513" s="118"/>
      <c r="I1513" s="821">
        <f>+CUBICACION!L1507</f>
        <v>0</v>
      </c>
      <c r="J1513" s="64">
        <f>+CUBICACION!M1507</f>
        <v>0</v>
      </c>
      <c r="K1513" s="822" t="str">
        <f>+CUBICACION!N1507</f>
        <v/>
      </c>
      <c r="L1513" s="118">
        <f>+CUBICACION!O1507</f>
        <v>0</v>
      </c>
      <c r="M1513" s="823">
        <f>+CUBICACION!P1507</f>
        <v>0</v>
      </c>
      <c r="N1513" s="902">
        <f>ROUND(IF(AND(L1513="Blaze Shield II",M1513="Software Idiem",C1513="IN",G1513=4),((('BLAZE SHIELD II'!$D$4*('CALCULO MORTERO'!I1513^2)+'BLAZE SHIELD II'!$D$5*'CALCULO MORTERO'!I1513+'BLAZE SHIELD II'!$D$6)*LN(J1513))+('BLAZE SHIELD II'!$D$7*('CALCULO MORTERO'!I1513^2)+'BLAZE SHIELD II'!$D$8*'CALCULO MORTERO'!I1513+'BLAZE SHIELD II'!$D$9)),0)+IF(AND(L1513="Blaze Shield II",M1513="Software Idiem",C1513="Cj"),((('BLAZE SHIELD II'!$H$4*('CALCULO MORTERO'!I1513^2)+'BLAZE SHIELD II'!$H$5*'CALCULO MORTERO'!I1513+'BLAZE SHIELD II'!$H$6)*LN(J1513))+('BLAZE SHIELD II'!$H$7*('CALCULO MORTERO'!I1513^2)+'BLAZE SHIELD II'!$H$8*'CALCULO MORTERO'!I1513+'BLAZE SHIELD II'!$H$9)),0)+IF(AND(L1513="Blaze Shield II",M1513="Software Idiem",C1513="C"),((('BLAZE SHIELD II'!$L$4*('CALCULO MORTERO'!I1513^2)+'BLAZE SHIELD II'!$L$5*'CALCULO MORTERO'!I1513+'BLAZE SHIELD II'!$L$6)*LN(J1513))+('BLAZE SHIELD II'!$L$7*('CALCULO MORTERO'!I1513^2)+'BLAZE SHIELD II'!$L$8*'CALCULO MORTERO'!I1513+'BLAZE SHIELD II'!$L$9)),0)+IF(AND(L1513="Blaze Shield II",M1513="Software Idiem",C1513="L"),((('BLAZE SHIELD II'!$L$4*('CALCULO MORTERO'!I1513^2)+'BLAZE SHIELD II'!$L$5*'CALCULO MORTERO'!I1513+'BLAZE SHIELD II'!$L$6)*LN(J1513))+('BLAZE SHIELD II'!$L$7*('CALCULO MORTERO'!I1513^2)+'BLAZE SHIELD II'!$L$8*'CALCULO MORTERO'!I1513+'BLAZE SHIELD II'!$L$9)),0)+IF(AND(L1513="Blaze Shield II",M1513="Software Idiem",C1513="IN",G1513=3),((('BLAZE SHIELD II'!$H$14*('CALCULO MORTERO'!I1513^2)+'BLAZE SHIELD II'!$H$15*'CALCULO MORTERO'!I1513+'BLAZE SHIELD II'!$H$16)*LN(J1513))+('BLAZE SHIELD II'!$H$17*('CALCULO MORTERO'!I1513^2)+'BLAZE SHIELD II'!$H$18*'CALCULO MORTERO'!I1513+'BLAZE SHIELD II'!$H$19)),0),0)+ROUND(IF(AND(L1513="Cafco 400",M1513="Software Idiem",C1513="IN",G1513=4),((('CAFCO 400 '!$H$7*(J1513^4)+'CAFCO 400 '!$H$8*(J1513^3)+'CAFCO 400 '!$H$9*(J1513^2)+'CAFCO 400 '!$H$10*J1513+'CAFCO 400 '!$H$11)*U1513^2)+(('CAFCO 400 '!$H$12*(J1513^3)+'CAFCO 400 '!$H$13*(J1513^2)+'CAFCO 400 '!$H$14*J1513+'CAFCO 400 '!$H$15)*U1513)+('CAFCO 400 '!$H$16*(J1513^2)+'CAFCO 400 '!$H$17*J1513+'CAFCO 400 '!$H$18)),0)+IF(AND(L1513="Cafco 400",M1513="Software Idiem",C1513="Cj"),(((('CAFCO 400 '!$D$7*LN(J1513)+'CAFCO 400 '!$D$8)*U1513^2)+(('CAFCO 400 '!$D$9*LN(J1513)+'CAFCO 400 '!$D$10)*U1513)+('CAFCO 400 '!$D$11*LN(J1513)+'CAFCO 400 '!$D$12))),0)+IF(AND(L1513="Cafco 400",M1513="Software Idiem",C1513="C"),((('CAFCO 400 '!$L$7*(J1513^3)+'CAFCO 400 '!$L$8*(J1513^2)+'CAFCO 400 '!$L$9*J1513+'CAFCO 400 '!$L$10)*U1513^2)+(('CAFCO 400 '!$L$11*(J1513^3)+'CAFCO 400 '!$L$12*(J1513^2)+'CAFCO 400 '!$L$13*J1513+'CAFCO 400 '!$L$14)*U1513)+('CAFCO 400 '!$L$15*LN(J1513)+'CAFCO 400 '!$L$16)),0)+IF(AND(L1513="Cafco 400",M1513="Software Idiem",C1513="L"),((('CAFCO 400 '!$L$7*(J1513^3)+'CAFCO 400 '!$L$8*(J1513^2)+'CAFCO 400 '!$L$9*J1513+'CAFCO 400 '!$L$10)*U1513^2)+(('CAFCO 400 '!$L$11*(J1513^3)+'CAFCO 400 '!$L$12*(J1513^2)+'CAFCO 400 '!$L$13*J1513+'CAFCO 400 '!$L$14)*U1513)+('CAFCO 400 '!$L$15*LN(J1513)+'CAFCO 400 '!$L$16)),0)+IF(AND(L1513="Cafco 400",M1513="Software Idiem",C1513="IN",G1513=3),((('CAFCO 400 '!$D$23*(J1513^2)+'CAFCO 400 '!$D$24*(J1513)+'CAFCO 400 '!$D$25)*U1513^2)+(('CAFCO 400 '!$D$26*(J1513^2)+'CAFCO 400 '!$D$27*J1513+'CAFCO 400 '!$D$28)*U1513)+('CAFCO 400 '!$D$29*(J1513^2)+'CAFCO 400 '!$D$30*J1513+'CAFCO 400 '!$D$31)),0),0)+IF(AND(L1513="Cafco 300",J1513&gt;=95,J1513&lt;=240,C1513="Cj",I1513=90),VLOOKUP(T1513,'CAFCO 300 IDIEM TABLAS'!$B$4:$D$23,2,FALSE),0)+IF(AND(L1513="Cafco 300",J1513&gt;=95,J1513&lt;=240,C1513="Cj",I1513=120),VLOOKUP(T1513,'CAFCO 300 IDIEM TABLAS'!$B$4:$D$23,3,FALSE),0)+IF(AND(L1513="Cafco 300",J1513&gt;=95,J1513&lt;=400,G1513=3,C1513="IN",I1513=90),VLOOKUP(T1513,'CAFCO 300 IDIEM TABLAS'!$F$4:$H$35,2,FALSE),0)+IF(AND(L1513="Cafco 300",J1513&gt;=95,J1513&lt;=400,G1513=3,C1513="IN",I1513=120),VLOOKUP(T1513,'CAFCO 300 IDIEM TABLAS'!$F$4:$H$35,3,FALSE),0)+IF(AND(L1513="Cafco 300",J1513&gt;=95,J1513&lt;=450,G1513=4,C1513="IN",I1513=90),VLOOKUP(T1513,'CAFCO 300 IDIEM TABLAS'!$J$4:$L$40,2,FALSE),0)+IF(AND(L1513="Cafco 300",J1513&gt;=95,J1513&lt;=450,G1513=4,C1513="IN",I1513=120),VLOOKUP(T1513,'CAFCO 300 IDIEM TABLAS'!$J$4:$L$40,3,FALSE),0)+IF(AND(M1513="Ensayo Idiem",L1513="Cafco 400",C1513="IN",G1513=4,I1513=90),VLOOKUP(T1513,'CAFCO 400 ENSAYO'!$B$7:$D$43,2,FALSE),0)+IF(AND(M1513="Ensayo Idiem",L1513="Cafco 400",C1513="IN",G1513=4,I1513=120),VLOOKUP(T1513,'CAFCO 400 ENSAYO'!$B$7:$D$43,3,FALSE),0)</f>
        <v>0</v>
      </c>
      <c r="O1513" s="96">
        <f t="shared" si="150"/>
        <v>0</v>
      </c>
      <c r="P1513" s="132" t="str">
        <f t="shared" si="145"/>
        <v>N/A</v>
      </c>
      <c r="Q1513" s="132" t="str">
        <f t="shared" si="146"/>
        <v>N/A</v>
      </c>
      <c r="R1513" s="132" t="str">
        <f t="shared" si="147"/>
        <v>NO CERT.</v>
      </c>
      <c r="S1513" s="132" t="e">
        <f t="shared" si="148"/>
        <v>#N/A</v>
      </c>
      <c r="T1513" s="133" t="e">
        <f>+IF(J1513=LOOKUP(J1513,'CAFCO 300 IDIEM TABLAS'!$J$4:$J$40),'CALCULO MORTERO'!J1513,MROUND('CALCULO MORTERO'!J1513,10))</f>
        <v>#N/A</v>
      </c>
      <c r="U1513" s="134">
        <f t="shared" si="149"/>
        <v>0</v>
      </c>
    </row>
    <row r="1514" spans="1:21" x14ac:dyDescent="0.25">
      <c r="A1514" s="118">
        <f>+CUBICACION!D1508</f>
        <v>0</v>
      </c>
      <c r="B1514" s="819">
        <f>+CUBICACION!E1508</f>
        <v>0</v>
      </c>
      <c r="C1514" s="675">
        <f>+CUBICACION!F1508</f>
        <v>0</v>
      </c>
      <c r="D1514" s="118"/>
      <c r="E1514" s="118"/>
      <c r="F1514" s="820"/>
      <c r="G1514" s="675">
        <f>+CUBICACION!J1508</f>
        <v>0</v>
      </c>
      <c r="H1514" s="118"/>
      <c r="I1514" s="821">
        <f>+CUBICACION!L1508</f>
        <v>0</v>
      </c>
      <c r="J1514" s="64">
        <f>+CUBICACION!M1508</f>
        <v>0</v>
      </c>
      <c r="K1514" s="822" t="str">
        <f>+CUBICACION!N1508</f>
        <v/>
      </c>
      <c r="L1514" s="118">
        <f>+CUBICACION!O1508</f>
        <v>0</v>
      </c>
      <c r="M1514" s="823">
        <f>+CUBICACION!P1508</f>
        <v>0</v>
      </c>
      <c r="N1514" s="902">
        <f>ROUND(IF(AND(L1514="Blaze Shield II",M1514="Software Idiem",C1514="IN",G1514=4),((('BLAZE SHIELD II'!$D$4*('CALCULO MORTERO'!I1514^2)+'BLAZE SHIELD II'!$D$5*'CALCULO MORTERO'!I1514+'BLAZE SHIELD II'!$D$6)*LN(J1514))+('BLAZE SHIELD II'!$D$7*('CALCULO MORTERO'!I1514^2)+'BLAZE SHIELD II'!$D$8*'CALCULO MORTERO'!I1514+'BLAZE SHIELD II'!$D$9)),0)+IF(AND(L1514="Blaze Shield II",M1514="Software Idiem",C1514="Cj"),((('BLAZE SHIELD II'!$H$4*('CALCULO MORTERO'!I1514^2)+'BLAZE SHIELD II'!$H$5*'CALCULO MORTERO'!I1514+'BLAZE SHIELD II'!$H$6)*LN(J1514))+('BLAZE SHIELD II'!$H$7*('CALCULO MORTERO'!I1514^2)+'BLAZE SHIELD II'!$H$8*'CALCULO MORTERO'!I1514+'BLAZE SHIELD II'!$H$9)),0)+IF(AND(L1514="Blaze Shield II",M1514="Software Idiem",C1514="C"),((('BLAZE SHIELD II'!$L$4*('CALCULO MORTERO'!I1514^2)+'BLAZE SHIELD II'!$L$5*'CALCULO MORTERO'!I1514+'BLAZE SHIELD II'!$L$6)*LN(J1514))+('BLAZE SHIELD II'!$L$7*('CALCULO MORTERO'!I1514^2)+'BLAZE SHIELD II'!$L$8*'CALCULO MORTERO'!I1514+'BLAZE SHIELD II'!$L$9)),0)+IF(AND(L1514="Blaze Shield II",M1514="Software Idiem",C1514="L"),((('BLAZE SHIELD II'!$L$4*('CALCULO MORTERO'!I1514^2)+'BLAZE SHIELD II'!$L$5*'CALCULO MORTERO'!I1514+'BLAZE SHIELD II'!$L$6)*LN(J1514))+('BLAZE SHIELD II'!$L$7*('CALCULO MORTERO'!I1514^2)+'BLAZE SHIELD II'!$L$8*'CALCULO MORTERO'!I1514+'BLAZE SHIELD II'!$L$9)),0)+IF(AND(L1514="Blaze Shield II",M1514="Software Idiem",C1514="IN",G1514=3),((('BLAZE SHIELD II'!$H$14*('CALCULO MORTERO'!I1514^2)+'BLAZE SHIELD II'!$H$15*'CALCULO MORTERO'!I1514+'BLAZE SHIELD II'!$H$16)*LN(J1514))+('BLAZE SHIELD II'!$H$17*('CALCULO MORTERO'!I1514^2)+'BLAZE SHIELD II'!$H$18*'CALCULO MORTERO'!I1514+'BLAZE SHIELD II'!$H$19)),0),0)+ROUND(IF(AND(L1514="Cafco 400",M1514="Software Idiem",C1514="IN",G1514=4),((('CAFCO 400 '!$H$7*(J1514^4)+'CAFCO 400 '!$H$8*(J1514^3)+'CAFCO 400 '!$H$9*(J1514^2)+'CAFCO 400 '!$H$10*J1514+'CAFCO 400 '!$H$11)*U1514^2)+(('CAFCO 400 '!$H$12*(J1514^3)+'CAFCO 400 '!$H$13*(J1514^2)+'CAFCO 400 '!$H$14*J1514+'CAFCO 400 '!$H$15)*U1514)+('CAFCO 400 '!$H$16*(J1514^2)+'CAFCO 400 '!$H$17*J1514+'CAFCO 400 '!$H$18)),0)+IF(AND(L1514="Cafco 400",M1514="Software Idiem",C1514="Cj"),(((('CAFCO 400 '!$D$7*LN(J1514)+'CAFCO 400 '!$D$8)*U1514^2)+(('CAFCO 400 '!$D$9*LN(J1514)+'CAFCO 400 '!$D$10)*U1514)+('CAFCO 400 '!$D$11*LN(J1514)+'CAFCO 400 '!$D$12))),0)+IF(AND(L1514="Cafco 400",M1514="Software Idiem",C1514="C"),((('CAFCO 400 '!$L$7*(J1514^3)+'CAFCO 400 '!$L$8*(J1514^2)+'CAFCO 400 '!$L$9*J1514+'CAFCO 400 '!$L$10)*U1514^2)+(('CAFCO 400 '!$L$11*(J1514^3)+'CAFCO 400 '!$L$12*(J1514^2)+'CAFCO 400 '!$L$13*J1514+'CAFCO 400 '!$L$14)*U1514)+('CAFCO 400 '!$L$15*LN(J1514)+'CAFCO 400 '!$L$16)),0)+IF(AND(L1514="Cafco 400",M1514="Software Idiem",C1514="L"),((('CAFCO 400 '!$L$7*(J1514^3)+'CAFCO 400 '!$L$8*(J1514^2)+'CAFCO 400 '!$L$9*J1514+'CAFCO 400 '!$L$10)*U1514^2)+(('CAFCO 400 '!$L$11*(J1514^3)+'CAFCO 400 '!$L$12*(J1514^2)+'CAFCO 400 '!$L$13*J1514+'CAFCO 400 '!$L$14)*U1514)+('CAFCO 400 '!$L$15*LN(J1514)+'CAFCO 400 '!$L$16)),0)+IF(AND(L1514="Cafco 400",M1514="Software Idiem",C1514="IN",G1514=3),((('CAFCO 400 '!$D$23*(J1514^2)+'CAFCO 400 '!$D$24*(J1514)+'CAFCO 400 '!$D$25)*U1514^2)+(('CAFCO 400 '!$D$26*(J1514^2)+'CAFCO 400 '!$D$27*J1514+'CAFCO 400 '!$D$28)*U1514)+('CAFCO 400 '!$D$29*(J1514^2)+'CAFCO 400 '!$D$30*J1514+'CAFCO 400 '!$D$31)),0),0)+IF(AND(L1514="Cafco 300",J1514&gt;=95,J1514&lt;=240,C1514="Cj",I1514=90),VLOOKUP(T1514,'CAFCO 300 IDIEM TABLAS'!$B$4:$D$23,2,FALSE),0)+IF(AND(L1514="Cafco 300",J1514&gt;=95,J1514&lt;=240,C1514="Cj",I1514=120),VLOOKUP(T1514,'CAFCO 300 IDIEM TABLAS'!$B$4:$D$23,3,FALSE),0)+IF(AND(L1514="Cafco 300",J1514&gt;=95,J1514&lt;=400,G1514=3,C1514="IN",I1514=90),VLOOKUP(T1514,'CAFCO 300 IDIEM TABLAS'!$F$4:$H$35,2,FALSE),0)+IF(AND(L1514="Cafco 300",J1514&gt;=95,J1514&lt;=400,G1514=3,C1514="IN",I1514=120),VLOOKUP(T1514,'CAFCO 300 IDIEM TABLAS'!$F$4:$H$35,3,FALSE),0)+IF(AND(L1514="Cafco 300",J1514&gt;=95,J1514&lt;=450,G1514=4,C1514="IN",I1514=90),VLOOKUP(T1514,'CAFCO 300 IDIEM TABLAS'!$J$4:$L$40,2,FALSE),0)+IF(AND(L1514="Cafco 300",J1514&gt;=95,J1514&lt;=450,G1514=4,C1514="IN",I1514=120),VLOOKUP(T1514,'CAFCO 300 IDIEM TABLAS'!$J$4:$L$40,3,FALSE),0)+IF(AND(M1514="Ensayo Idiem",L1514="Cafco 400",C1514="IN",G1514=4,I1514=90),VLOOKUP(T1514,'CAFCO 400 ENSAYO'!$B$7:$D$43,2,FALSE),0)+IF(AND(M1514="Ensayo Idiem",L1514="Cafco 400",C1514="IN",G1514=4,I1514=120),VLOOKUP(T1514,'CAFCO 400 ENSAYO'!$B$7:$D$43,3,FALSE),0)</f>
        <v>0</v>
      </c>
      <c r="O1514" s="96">
        <f t="shared" si="150"/>
        <v>0</v>
      </c>
      <c r="P1514" s="95" t="str">
        <f t="shared" si="145"/>
        <v>N/A</v>
      </c>
      <c r="Q1514" s="95" t="str">
        <f t="shared" si="146"/>
        <v>N/A</v>
      </c>
      <c r="R1514" s="95" t="str">
        <f t="shared" si="147"/>
        <v>NO CERT.</v>
      </c>
      <c r="S1514" s="95" t="e">
        <f t="shared" si="148"/>
        <v>#N/A</v>
      </c>
      <c r="T1514" s="119" t="e">
        <f>+IF(J1514=LOOKUP(J1514,'CAFCO 300 IDIEM TABLAS'!$J$4:$J$40),'CALCULO MORTERO'!J1514,MROUND('CALCULO MORTERO'!J1514,10))</f>
        <v>#N/A</v>
      </c>
      <c r="U1514" s="118">
        <f t="shared" si="149"/>
        <v>0</v>
      </c>
    </row>
    <row r="1515" spans="1:21" x14ac:dyDescent="0.25">
      <c r="A1515" s="118">
        <f>+CUBICACION!D1509</f>
        <v>0</v>
      </c>
      <c r="B1515" s="819">
        <f>+CUBICACION!E1509</f>
        <v>0</v>
      </c>
      <c r="C1515" s="675">
        <f>+CUBICACION!F1509</f>
        <v>0</v>
      </c>
      <c r="D1515" s="118"/>
      <c r="E1515" s="118"/>
      <c r="F1515" s="820"/>
      <c r="G1515" s="675">
        <f>+CUBICACION!J1509</f>
        <v>0</v>
      </c>
      <c r="H1515" s="118"/>
      <c r="I1515" s="821">
        <f>+CUBICACION!L1509</f>
        <v>0</v>
      </c>
      <c r="J1515" s="64">
        <f>+CUBICACION!M1509</f>
        <v>0</v>
      </c>
      <c r="K1515" s="822" t="str">
        <f>+CUBICACION!N1509</f>
        <v/>
      </c>
      <c r="L1515" s="118">
        <f>+CUBICACION!O1509</f>
        <v>0</v>
      </c>
      <c r="M1515" s="823">
        <f>+CUBICACION!P1509</f>
        <v>0</v>
      </c>
      <c r="N1515" s="902">
        <f>ROUND(IF(AND(L1515="Blaze Shield II",M1515="Software Idiem",C1515="IN",G1515=4),((('BLAZE SHIELD II'!$D$4*('CALCULO MORTERO'!I1515^2)+'BLAZE SHIELD II'!$D$5*'CALCULO MORTERO'!I1515+'BLAZE SHIELD II'!$D$6)*LN(J1515))+('BLAZE SHIELD II'!$D$7*('CALCULO MORTERO'!I1515^2)+'BLAZE SHIELD II'!$D$8*'CALCULO MORTERO'!I1515+'BLAZE SHIELD II'!$D$9)),0)+IF(AND(L1515="Blaze Shield II",M1515="Software Idiem",C1515="Cj"),((('BLAZE SHIELD II'!$H$4*('CALCULO MORTERO'!I1515^2)+'BLAZE SHIELD II'!$H$5*'CALCULO MORTERO'!I1515+'BLAZE SHIELD II'!$H$6)*LN(J1515))+('BLAZE SHIELD II'!$H$7*('CALCULO MORTERO'!I1515^2)+'BLAZE SHIELD II'!$H$8*'CALCULO MORTERO'!I1515+'BLAZE SHIELD II'!$H$9)),0)+IF(AND(L1515="Blaze Shield II",M1515="Software Idiem",C1515="C"),((('BLAZE SHIELD II'!$L$4*('CALCULO MORTERO'!I1515^2)+'BLAZE SHIELD II'!$L$5*'CALCULO MORTERO'!I1515+'BLAZE SHIELD II'!$L$6)*LN(J1515))+('BLAZE SHIELD II'!$L$7*('CALCULO MORTERO'!I1515^2)+'BLAZE SHIELD II'!$L$8*'CALCULO MORTERO'!I1515+'BLAZE SHIELD II'!$L$9)),0)+IF(AND(L1515="Blaze Shield II",M1515="Software Idiem",C1515="L"),((('BLAZE SHIELD II'!$L$4*('CALCULO MORTERO'!I1515^2)+'BLAZE SHIELD II'!$L$5*'CALCULO MORTERO'!I1515+'BLAZE SHIELD II'!$L$6)*LN(J1515))+('BLAZE SHIELD II'!$L$7*('CALCULO MORTERO'!I1515^2)+'BLAZE SHIELD II'!$L$8*'CALCULO MORTERO'!I1515+'BLAZE SHIELD II'!$L$9)),0)+IF(AND(L1515="Blaze Shield II",M1515="Software Idiem",C1515="IN",G1515=3),((('BLAZE SHIELD II'!$H$14*('CALCULO MORTERO'!I1515^2)+'BLAZE SHIELD II'!$H$15*'CALCULO MORTERO'!I1515+'BLAZE SHIELD II'!$H$16)*LN(J1515))+('BLAZE SHIELD II'!$H$17*('CALCULO MORTERO'!I1515^2)+'BLAZE SHIELD II'!$H$18*'CALCULO MORTERO'!I1515+'BLAZE SHIELD II'!$H$19)),0),0)+ROUND(IF(AND(L1515="Cafco 400",M1515="Software Idiem",C1515="IN",G1515=4),((('CAFCO 400 '!$H$7*(J1515^4)+'CAFCO 400 '!$H$8*(J1515^3)+'CAFCO 400 '!$H$9*(J1515^2)+'CAFCO 400 '!$H$10*J1515+'CAFCO 400 '!$H$11)*U1515^2)+(('CAFCO 400 '!$H$12*(J1515^3)+'CAFCO 400 '!$H$13*(J1515^2)+'CAFCO 400 '!$H$14*J1515+'CAFCO 400 '!$H$15)*U1515)+('CAFCO 400 '!$H$16*(J1515^2)+'CAFCO 400 '!$H$17*J1515+'CAFCO 400 '!$H$18)),0)+IF(AND(L1515="Cafco 400",M1515="Software Idiem",C1515="Cj"),(((('CAFCO 400 '!$D$7*LN(J1515)+'CAFCO 400 '!$D$8)*U1515^2)+(('CAFCO 400 '!$D$9*LN(J1515)+'CAFCO 400 '!$D$10)*U1515)+('CAFCO 400 '!$D$11*LN(J1515)+'CAFCO 400 '!$D$12))),0)+IF(AND(L1515="Cafco 400",M1515="Software Idiem",C1515="C"),((('CAFCO 400 '!$L$7*(J1515^3)+'CAFCO 400 '!$L$8*(J1515^2)+'CAFCO 400 '!$L$9*J1515+'CAFCO 400 '!$L$10)*U1515^2)+(('CAFCO 400 '!$L$11*(J1515^3)+'CAFCO 400 '!$L$12*(J1515^2)+'CAFCO 400 '!$L$13*J1515+'CAFCO 400 '!$L$14)*U1515)+('CAFCO 400 '!$L$15*LN(J1515)+'CAFCO 400 '!$L$16)),0)+IF(AND(L1515="Cafco 400",M1515="Software Idiem",C1515="L"),((('CAFCO 400 '!$L$7*(J1515^3)+'CAFCO 400 '!$L$8*(J1515^2)+'CAFCO 400 '!$L$9*J1515+'CAFCO 400 '!$L$10)*U1515^2)+(('CAFCO 400 '!$L$11*(J1515^3)+'CAFCO 400 '!$L$12*(J1515^2)+'CAFCO 400 '!$L$13*J1515+'CAFCO 400 '!$L$14)*U1515)+('CAFCO 400 '!$L$15*LN(J1515)+'CAFCO 400 '!$L$16)),0)+IF(AND(L1515="Cafco 400",M1515="Software Idiem",C1515="IN",G1515=3),((('CAFCO 400 '!$D$23*(J1515^2)+'CAFCO 400 '!$D$24*(J1515)+'CAFCO 400 '!$D$25)*U1515^2)+(('CAFCO 400 '!$D$26*(J1515^2)+'CAFCO 400 '!$D$27*J1515+'CAFCO 400 '!$D$28)*U1515)+('CAFCO 400 '!$D$29*(J1515^2)+'CAFCO 400 '!$D$30*J1515+'CAFCO 400 '!$D$31)),0),0)+IF(AND(L1515="Cafco 300",J1515&gt;=95,J1515&lt;=240,C1515="Cj",I1515=90),VLOOKUP(T1515,'CAFCO 300 IDIEM TABLAS'!$B$4:$D$23,2,FALSE),0)+IF(AND(L1515="Cafco 300",J1515&gt;=95,J1515&lt;=240,C1515="Cj",I1515=120),VLOOKUP(T1515,'CAFCO 300 IDIEM TABLAS'!$B$4:$D$23,3,FALSE),0)+IF(AND(L1515="Cafco 300",J1515&gt;=95,J1515&lt;=400,G1515=3,C1515="IN",I1515=90),VLOOKUP(T1515,'CAFCO 300 IDIEM TABLAS'!$F$4:$H$35,2,FALSE),0)+IF(AND(L1515="Cafco 300",J1515&gt;=95,J1515&lt;=400,G1515=3,C1515="IN",I1515=120),VLOOKUP(T1515,'CAFCO 300 IDIEM TABLAS'!$F$4:$H$35,3,FALSE),0)+IF(AND(L1515="Cafco 300",J1515&gt;=95,J1515&lt;=450,G1515=4,C1515="IN",I1515=90),VLOOKUP(T1515,'CAFCO 300 IDIEM TABLAS'!$J$4:$L$40,2,FALSE),0)+IF(AND(L1515="Cafco 300",J1515&gt;=95,J1515&lt;=450,G1515=4,C1515="IN",I1515=120),VLOOKUP(T1515,'CAFCO 300 IDIEM TABLAS'!$J$4:$L$40,3,FALSE),0)+IF(AND(M1515="Ensayo Idiem",L1515="Cafco 400",C1515="IN",G1515=4,I1515=90),VLOOKUP(T1515,'CAFCO 400 ENSAYO'!$B$7:$D$43,2,FALSE),0)+IF(AND(M1515="Ensayo Idiem",L1515="Cafco 400",C1515="IN",G1515=4,I1515=120),VLOOKUP(T1515,'CAFCO 400 ENSAYO'!$B$7:$D$43,3,FALSE),0)</f>
        <v>0</v>
      </c>
      <c r="O1515" s="96">
        <f t="shared" si="150"/>
        <v>0</v>
      </c>
      <c r="P1515" s="132" t="str">
        <f t="shared" si="145"/>
        <v>N/A</v>
      </c>
      <c r="Q1515" s="132" t="str">
        <f t="shared" si="146"/>
        <v>N/A</v>
      </c>
      <c r="R1515" s="132" t="str">
        <f t="shared" si="147"/>
        <v>NO CERT.</v>
      </c>
      <c r="S1515" s="132" t="e">
        <f t="shared" si="148"/>
        <v>#N/A</v>
      </c>
      <c r="T1515" s="133" t="e">
        <f>+IF(J1515=LOOKUP(J1515,'CAFCO 300 IDIEM TABLAS'!$J$4:$J$40),'CALCULO MORTERO'!J1515,MROUND('CALCULO MORTERO'!J1515,10))</f>
        <v>#N/A</v>
      </c>
      <c r="U1515" s="134">
        <f t="shared" si="149"/>
        <v>0</v>
      </c>
    </row>
    <row r="1516" spans="1:21" x14ac:dyDescent="0.25">
      <c r="A1516" s="118">
        <f>+CUBICACION!D1510</f>
        <v>0</v>
      </c>
      <c r="B1516" s="819">
        <f>+CUBICACION!E1510</f>
        <v>0</v>
      </c>
      <c r="C1516" s="675">
        <f>+CUBICACION!F1510</f>
        <v>0</v>
      </c>
      <c r="D1516" s="118"/>
      <c r="E1516" s="118"/>
      <c r="F1516" s="820"/>
      <c r="G1516" s="675">
        <f>+CUBICACION!J1510</f>
        <v>0</v>
      </c>
      <c r="H1516" s="118"/>
      <c r="I1516" s="821">
        <f>+CUBICACION!L1510</f>
        <v>0</v>
      </c>
      <c r="J1516" s="64">
        <f>+CUBICACION!M1510</f>
        <v>0</v>
      </c>
      <c r="K1516" s="822" t="str">
        <f>+CUBICACION!N1510</f>
        <v/>
      </c>
      <c r="L1516" s="118">
        <f>+CUBICACION!O1510</f>
        <v>0</v>
      </c>
      <c r="M1516" s="823">
        <f>+CUBICACION!P1510</f>
        <v>0</v>
      </c>
      <c r="N1516" s="902">
        <f>ROUND(IF(AND(L1516="Blaze Shield II",M1516="Software Idiem",C1516="IN",G1516=4),((('BLAZE SHIELD II'!$D$4*('CALCULO MORTERO'!I1516^2)+'BLAZE SHIELD II'!$D$5*'CALCULO MORTERO'!I1516+'BLAZE SHIELD II'!$D$6)*LN(J1516))+('BLAZE SHIELD II'!$D$7*('CALCULO MORTERO'!I1516^2)+'BLAZE SHIELD II'!$D$8*'CALCULO MORTERO'!I1516+'BLAZE SHIELD II'!$D$9)),0)+IF(AND(L1516="Blaze Shield II",M1516="Software Idiem",C1516="Cj"),((('BLAZE SHIELD II'!$H$4*('CALCULO MORTERO'!I1516^2)+'BLAZE SHIELD II'!$H$5*'CALCULO MORTERO'!I1516+'BLAZE SHIELD II'!$H$6)*LN(J1516))+('BLAZE SHIELD II'!$H$7*('CALCULO MORTERO'!I1516^2)+'BLAZE SHIELD II'!$H$8*'CALCULO MORTERO'!I1516+'BLAZE SHIELD II'!$H$9)),0)+IF(AND(L1516="Blaze Shield II",M1516="Software Idiem",C1516="C"),((('BLAZE SHIELD II'!$L$4*('CALCULO MORTERO'!I1516^2)+'BLAZE SHIELD II'!$L$5*'CALCULO MORTERO'!I1516+'BLAZE SHIELD II'!$L$6)*LN(J1516))+('BLAZE SHIELD II'!$L$7*('CALCULO MORTERO'!I1516^2)+'BLAZE SHIELD II'!$L$8*'CALCULO MORTERO'!I1516+'BLAZE SHIELD II'!$L$9)),0)+IF(AND(L1516="Blaze Shield II",M1516="Software Idiem",C1516="L"),((('BLAZE SHIELD II'!$L$4*('CALCULO MORTERO'!I1516^2)+'BLAZE SHIELD II'!$L$5*'CALCULO MORTERO'!I1516+'BLAZE SHIELD II'!$L$6)*LN(J1516))+('BLAZE SHIELD II'!$L$7*('CALCULO MORTERO'!I1516^2)+'BLAZE SHIELD II'!$L$8*'CALCULO MORTERO'!I1516+'BLAZE SHIELD II'!$L$9)),0)+IF(AND(L1516="Blaze Shield II",M1516="Software Idiem",C1516="IN",G1516=3),((('BLAZE SHIELD II'!$H$14*('CALCULO MORTERO'!I1516^2)+'BLAZE SHIELD II'!$H$15*'CALCULO MORTERO'!I1516+'BLAZE SHIELD II'!$H$16)*LN(J1516))+('BLAZE SHIELD II'!$H$17*('CALCULO MORTERO'!I1516^2)+'BLAZE SHIELD II'!$H$18*'CALCULO MORTERO'!I1516+'BLAZE SHIELD II'!$H$19)),0),0)+ROUND(IF(AND(L1516="Cafco 400",M1516="Software Idiem",C1516="IN",G1516=4),((('CAFCO 400 '!$H$7*(J1516^4)+'CAFCO 400 '!$H$8*(J1516^3)+'CAFCO 400 '!$H$9*(J1516^2)+'CAFCO 400 '!$H$10*J1516+'CAFCO 400 '!$H$11)*U1516^2)+(('CAFCO 400 '!$H$12*(J1516^3)+'CAFCO 400 '!$H$13*(J1516^2)+'CAFCO 400 '!$H$14*J1516+'CAFCO 400 '!$H$15)*U1516)+('CAFCO 400 '!$H$16*(J1516^2)+'CAFCO 400 '!$H$17*J1516+'CAFCO 400 '!$H$18)),0)+IF(AND(L1516="Cafco 400",M1516="Software Idiem",C1516="Cj"),(((('CAFCO 400 '!$D$7*LN(J1516)+'CAFCO 400 '!$D$8)*U1516^2)+(('CAFCO 400 '!$D$9*LN(J1516)+'CAFCO 400 '!$D$10)*U1516)+('CAFCO 400 '!$D$11*LN(J1516)+'CAFCO 400 '!$D$12))),0)+IF(AND(L1516="Cafco 400",M1516="Software Idiem",C1516="C"),((('CAFCO 400 '!$L$7*(J1516^3)+'CAFCO 400 '!$L$8*(J1516^2)+'CAFCO 400 '!$L$9*J1516+'CAFCO 400 '!$L$10)*U1516^2)+(('CAFCO 400 '!$L$11*(J1516^3)+'CAFCO 400 '!$L$12*(J1516^2)+'CAFCO 400 '!$L$13*J1516+'CAFCO 400 '!$L$14)*U1516)+('CAFCO 400 '!$L$15*LN(J1516)+'CAFCO 400 '!$L$16)),0)+IF(AND(L1516="Cafco 400",M1516="Software Idiem",C1516="L"),((('CAFCO 400 '!$L$7*(J1516^3)+'CAFCO 400 '!$L$8*(J1516^2)+'CAFCO 400 '!$L$9*J1516+'CAFCO 400 '!$L$10)*U1516^2)+(('CAFCO 400 '!$L$11*(J1516^3)+'CAFCO 400 '!$L$12*(J1516^2)+'CAFCO 400 '!$L$13*J1516+'CAFCO 400 '!$L$14)*U1516)+('CAFCO 400 '!$L$15*LN(J1516)+'CAFCO 400 '!$L$16)),0)+IF(AND(L1516="Cafco 400",M1516="Software Idiem",C1516="IN",G1516=3),((('CAFCO 400 '!$D$23*(J1516^2)+'CAFCO 400 '!$D$24*(J1516)+'CAFCO 400 '!$D$25)*U1516^2)+(('CAFCO 400 '!$D$26*(J1516^2)+'CAFCO 400 '!$D$27*J1516+'CAFCO 400 '!$D$28)*U1516)+('CAFCO 400 '!$D$29*(J1516^2)+'CAFCO 400 '!$D$30*J1516+'CAFCO 400 '!$D$31)),0),0)+IF(AND(L1516="Cafco 300",J1516&gt;=95,J1516&lt;=240,C1516="Cj",I1516=90),VLOOKUP(T1516,'CAFCO 300 IDIEM TABLAS'!$B$4:$D$23,2,FALSE),0)+IF(AND(L1516="Cafco 300",J1516&gt;=95,J1516&lt;=240,C1516="Cj",I1516=120),VLOOKUP(T1516,'CAFCO 300 IDIEM TABLAS'!$B$4:$D$23,3,FALSE),0)+IF(AND(L1516="Cafco 300",J1516&gt;=95,J1516&lt;=400,G1516=3,C1516="IN",I1516=90),VLOOKUP(T1516,'CAFCO 300 IDIEM TABLAS'!$F$4:$H$35,2,FALSE),0)+IF(AND(L1516="Cafco 300",J1516&gt;=95,J1516&lt;=400,G1516=3,C1516="IN",I1516=120),VLOOKUP(T1516,'CAFCO 300 IDIEM TABLAS'!$F$4:$H$35,3,FALSE),0)+IF(AND(L1516="Cafco 300",J1516&gt;=95,J1516&lt;=450,G1516=4,C1516="IN",I1516=90),VLOOKUP(T1516,'CAFCO 300 IDIEM TABLAS'!$J$4:$L$40,2,FALSE),0)+IF(AND(L1516="Cafco 300",J1516&gt;=95,J1516&lt;=450,G1516=4,C1516="IN",I1516=120),VLOOKUP(T1516,'CAFCO 300 IDIEM TABLAS'!$J$4:$L$40,3,FALSE),0)+IF(AND(M1516="Ensayo Idiem",L1516="Cafco 400",C1516="IN",G1516=4,I1516=90),VLOOKUP(T1516,'CAFCO 400 ENSAYO'!$B$7:$D$43,2,FALSE),0)+IF(AND(M1516="Ensayo Idiem",L1516="Cafco 400",C1516="IN",G1516=4,I1516=120),VLOOKUP(T1516,'CAFCO 400 ENSAYO'!$B$7:$D$43,3,FALSE),0)</f>
        <v>0</v>
      </c>
      <c r="O1516" s="96">
        <f t="shared" si="150"/>
        <v>0</v>
      </c>
      <c r="P1516" s="95" t="str">
        <f t="shared" si="145"/>
        <v>N/A</v>
      </c>
      <c r="Q1516" s="95" t="str">
        <f t="shared" si="146"/>
        <v>N/A</v>
      </c>
      <c r="R1516" s="95" t="str">
        <f t="shared" si="147"/>
        <v>NO CERT.</v>
      </c>
      <c r="S1516" s="95" t="e">
        <f t="shared" si="148"/>
        <v>#N/A</v>
      </c>
      <c r="T1516" s="119" t="e">
        <f>+IF(J1516=LOOKUP(J1516,'CAFCO 300 IDIEM TABLAS'!$J$4:$J$40),'CALCULO MORTERO'!J1516,MROUND('CALCULO MORTERO'!J1516,10))</f>
        <v>#N/A</v>
      </c>
      <c r="U1516" s="118">
        <f t="shared" si="149"/>
        <v>0</v>
      </c>
    </row>
    <row r="1517" spans="1:21" x14ac:dyDescent="0.25">
      <c r="A1517" s="118">
        <f>+CUBICACION!D1511</f>
        <v>0</v>
      </c>
      <c r="B1517" s="819">
        <f>+CUBICACION!E1511</f>
        <v>0</v>
      </c>
      <c r="C1517" s="675">
        <f>+CUBICACION!F1511</f>
        <v>0</v>
      </c>
      <c r="D1517" s="118"/>
      <c r="E1517" s="118"/>
      <c r="F1517" s="820"/>
      <c r="G1517" s="675">
        <f>+CUBICACION!J1511</f>
        <v>0</v>
      </c>
      <c r="H1517" s="118"/>
      <c r="I1517" s="821">
        <f>+CUBICACION!L1511</f>
        <v>0</v>
      </c>
      <c r="J1517" s="64">
        <f>+CUBICACION!M1511</f>
        <v>0</v>
      </c>
      <c r="K1517" s="822" t="str">
        <f>+CUBICACION!N1511</f>
        <v/>
      </c>
      <c r="L1517" s="118">
        <f>+CUBICACION!O1511</f>
        <v>0</v>
      </c>
      <c r="M1517" s="823">
        <f>+CUBICACION!P1511</f>
        <v>0</v>
      </c>
      <c r="N1517" s="902">
        <f>ROUND(IF(AND(L1517="Blaze Shield II",M1517="Software Idiem",C1517="IN",G1517=4),((('BLAZE SHIELD II'!$D$4*('CALCULO MORTERO'!I1517^2)+'BLAZE SHIELD II'!$D$5*'CALCULO MORTERO'!I1517+'BLAZE SHIELD II'!$D$6)*LN(J1517))+('BLAZE SHIELD II'!$D$7*('CALCULO MORTERO'!I1517^2)+'BLAZE SHIELD II'!$D$8*'CALCULO MORTERO'!I1517+'BLAZE SHIELD II'!$D$9)),0)+IF(AND(L1517="Blaze Shield II",M1517="Software Idiem",C1517="Cj"),((('BLAZE SHIELD II'!$H$4*('CALCULO MORTERO'!I1517^2)+'BLAZE SHIELD II'!$H$5*'CALCULO MORTERO'!I1517+'BLAZE SHIELD II'!$H$6)*LN(J1517))+('BLAZE SHIELD II'!$H$7*('CALCULO MORTERO'!I1517^2)+'BLAZE SHIELD II'!$H$8*'CALCULO MORTERO'!I1517+'BLAZE SHIELD II'!$H$9)),0)+IF(AND(L1517="Blaze Shield II",M1517="Software Idiem",C1517="C"),((('BLAZE SHIELD II'!$L$4*('CALCULO MORTERO'!I1517^2)+'BLAZE SHIELD II'!$L$5*'CALCULO MORTERO'!I1517+'BLAZE SHIELD II'!$L$6)*LN(J1517))+('BLAZE SHIELD II'!$L$7*('CALCULO MORTERO'!I1517^2)+'BLAZE SHIELD II'!$L$8*'CALCULO MORTERO'!I1517+'BLAZE SHIELD II'!$L$9)),0)+IF(AND(L1517="Blaze Shield II",M1517="Software Idiem",C1517="L"),((('BLAZE SHIELD II'!$L$4*('CALCULO MORTERO'!I1517^2)+'BLAZE SHIELD II'!$L$5*'CALCULO MORTERO'!I1517+'BLAZE SHIELD II'!$L$6)*LN(J1517))+('BLAZE SHIELD II'!$L$7*('CALCULO MORTERO'!I1517^2)+'BLAZE SHIELD II'!$L$8*'CALCULO MORTERO'!I1517+'BLAZE SHIELD II'!$L$9)),0)+IF(AND(L1517="Blaze Shield II",M1517="Software Idiem",C1517="IN",G1517=3),((('BLAZE SHIELD II'!$H$14*('CALCULO MORTERO'!I1517^2)+'BLAZE SHIELD II'!$H$15*'CALCULO MORTERO'!I1517+'BLAZE SHIELD II'!$H$16)*LN(J1517))+('BLAZE SHIELD II'!$H$17*('CALCULO MORTERO'!I1517^2)+'BLAZE SHIELD II'!$H$18*'CALCULO MORTERO'!I1517+'BLAZE SHIELD II'!$H$19)),0),0)+ROUND(IF(AND(L1517="Cafco 400",M1517="Software Idiem",C1517="IN",G1517=4),((('CAFCO 400 '!$H$7*(J1517^4)+'CAFCO 400 '!$H$8*(J1517^3)+'CAFCO 400 '!$H$9*(J1517^2)+'CAFCO 400 '!$H$10*J1517+'CAFCO 400 '!$H$11)*U1517^2)+(('CAFCO 400 '!$H$12*(J1517^3)+'CAFCO 400 '!$H$13*(J1517^2)+'CAFCO 400 '!$H$14*J1517+'CAFCO 400 '!$H$15)*U1517)+('CAFCO 400 '!$H$16*(J1517^2)+'CAFCO 400 '!$H$17*J1517+'CAFCO 400 '!$H$18)),0)+IF(AND(L1517="Cafco 400",M1517="Software Idiem",C1517="Cj"),(((('CAFCO 400 '!$D$7*LN(J1517)+'CAFCO 400 '!$D$8)*U1517^2)+(('CAFCO 400 '!$D$9*LN(J1517)+'CAFCO 400 '!$D$10)*U1517)+('CAFCO 400 '!$D$11*LN(J1517)+'CAFCO 400 '!$D$12))),0)+IF(AND(L1517="Cafco 400",M1517="Software Idiem",C1517="C"),((('CAFCO 400 '!$L$7*(J1517^3)+'CAFCO 400 '!$L$8*(J1517^2)+'CAFCO 400 '!$L$9*J1517+'CAFCO 400 '!$L$10)*U1517^2)+(('CAFCO 400 '!$L$11*(J1517^3)+'CAFCO 400 '!$L$12*(J1517^2)+'CAFCO 400 '!$L$13*J1517+'CAFCO 400 '!$L$14)*U1517)+('CAFCO 400 '!$L$15*LN(J1517)+'CAFCO 400 '!$L$16)),0)+IF(AND(L1517="Cafco 400",M1517="Software Idiem",C1517="L"),((('CAFCO 400 '!$L$7*(J1517^3)+'CAFCO 400 '!$L$8*(J1517^2)+'CAFCO 400 '!$L$9*J1517+'CAFCO 400 '!$L$10)*U1517^2)+(('CAFCO 400 '!$L$11*(J1517^3)+'CAFCO 400 '!$L$12*(J1517^2)+'CAFCO 400 '!$L$13*J1517+'CAFCO 400 '!$L$14)*U1517)+('CAFCO 400 '!$L$15*LN(J1517)+'CAFCO 400 '!$L$16)),0)+IF(AND(L1517="Cafco 400",M1517="Software Idiem",C1517="IN",G1517=3),((('CAFCO 400 '!$D$23*(J1517^2)+'CAFCO 400 '!$D$24*(J1517)+'CAFCO 400 '!$D$25)*U1517^2)+(('CAFCO 400 '!$D$26*(J1517^2)+'CAFCO 400 '!$D$27*J1517+'CAFCO 400 '!$D$28)*U1517)+('CAFCO 400 '!$D$29*(J1517^2)+'CAFCO 400 '!$D$30*J1517+'CAFCO 400 '!$D$31)),0),0)+IF(AND(L1517="Cafco 300",J1517&gt;=95,J1517&lt;=240,C1517="Cj",I1517=90),VLOOKUP(T1517,'CAFCO 300 IDIEM TABLAS'!$B$4:$D$23,2,FALSE),0)+IF(AND(L1517="Cafco 300",J1517&gt;=95,J1517&lt;=240,C1517="Cj",I1517=120),VLOOKUP(T1517,'CAFCO 300 IDIEM TABLAS'!$B$4:$D$23,3,FALSE),0)+IF(AND(L1517="Cafco 300",J1517&gt;=95,J1517&lt;=400,G1517=3,C1517="IN",I1517=90),VLOOKUP(T1517,'CAFCO 300 IDIEM TABLAS'!$F$4:$H$35,2,FALSE),0)+IF(AND(L1517="Cafco 300",J1517&gt;=95,J1517&lt;=400,G1517=3,C1517="IN",I1517=120),VLOOKUP(T1517,'CAFCO 300 IDIEM TABLAS'!$F$4:$H$35,3,FALSE),0)+IF(AND(L1517="Cafco 300",J1517&gt;=95,J1517&lt;=450,G1517=4,C1517="IN",I1517=90),VLOOKUP(T1517,'CAFCO 300 IDIEM TABLAS'!$J$4:$L$40,2,FALSE),0)+IF(AND(L1517="Cafco 300",J1517&gt;=95,J1517&lt;=450,G1517=4,C1517="IN",I1517=120),VLOOKUP(T1517,'CAFCO 300 IDIEM TABLAS'!$J$4:$L$40,3,FALSE),0)+IF(AND(M1517="Ensayo Idiem",L1517="Cafco 400",C1517="IN",G1517=4,I1517=90),VLOOKUP(T1517,'CAFCO 400 ENSAYO'!$B$7:$D$43,2,FALSE),0)+IF(AND(M1517="Ensayo Idiem",L1517="Cafco 400",C1517="IN",G1517=4,I1517=120),VLOOKUP(T1517,'CAFCO 400 ENSAYO'!$B$7:$D$43,3,FALSE),0)</f>
        <v>0</v>
      </c>
      <c r="O1517" s="96">
        <f t="shared" si="150"/>
        <v>0</v>
      </c>
      <c r="P1517" s="132" t="str">
        <f t="shared" si="145"/>
        <v>N/A</v>
      </c>
      <c r="Q1517" s="132" t="str">
        <f t="shared" si="146"/>
        <v>N/A</v>
      </c>
      <c r="R1517" s="132" t="str">
        <f t="shared" si="147"/>
        <v>NO CERT.</v>
      </c>
      <c r="S1517" s="132" t="e">
        <f t="shared" si="148"/>
        <v>#N/A</v>
      </c>
      <c r="T1517" s="133" t="e">
        <f>+IF(J1517=LOOKUP(J1517,'CAFCO 300 IDIEM TABLAS'!$J$4:$J$40),'CALCULO MORTERO'!J1517,MROUND('CALCULO MORTERO'!J1517,10))</f>
        <v>#N/A</v>
      </c>
      <c r="U1517" s="134">
        <f t="shared" si="149"/>
        <v>0</v>
      </c>
    </row>
    <row r="1518" spans="1:21" x14ac:dyDescent="0.25">
      <c r="A1518" s="118">
        <f>+CUBICACION!D1512</f>
        <v>0</v>
      </c>
      <c r="B1518" s="819">
        <f>+CUBICACION!E1512</f>
        <v>0</v>
      </c>
      <c r="C1518" s="675">
        <f>+CUBICACION!F1512</f>
        <v>0</v>
      </c>
      <c r="D1518" s="118"/>
      <c r="E1518" s="118"/>
      <c r="F1518" s="820"/>
      <c r="G1518" s="675">
        <f>+CUBICACION!J1512</f>
        <v>0</v>
      </c>
      <c r="H1518" s="118"/>
      <c r="I1518" s="821">
        <f>+CUBICACION!L1512</f>
        <v>0</v>
      </c>
      <c r="J1518" s="64">
        <f>+CUBICACION!M1512</f>
        <v>0</v>
      </c>
      <c r="K1518" s="822" t="str">
        <f>+CUBICACION!N1512</f>
        <v/>
      </c>
      <c r="L1518" s="118">
        <f>+CUBICACION!O1512</f>
        <v>0</v>
      </c>
      <c r="M1518" s="823">
        <f>+CUBICACION!P1512</f>
        <v>0</v>
      </c>
      <c r="N1518" s="902">
        <f>ROUND(IF(AND(L1518="Blaze Shield II",M1518="Software Idiem",C1518="IN",G1518=4),((('BLAZE SHIELD II'!$D$4*('CALCULO MORTERO'!I1518^2)+'BLAZE SHIELD II'!$D$5*'CALCULO MORTERO'!I1518+'BLAZE SHIELD II'!$D$6)*LN(J1518))+('BLAZE SHIELD II'!$D$7*('CALCULO MORTERO'!I1518^2)+'BLAZE SHIELD II'!$D$8*'CALCULO MORTERO'!I1518+'BLAZE SHIELD II'!$D$9)),0)+IF(AND(L1518="Blaze Shield II",M1518="Software Idiem",C1518="Cj"),((('BLAZE SHIELD II'!$H$4*('CALCULO MORTERO'!I1518^2)+'BLAZE SHIELD II'!$H$5*'CALCULO MORTERO'!I1518+'BLAZE SHIELD II'!$H$6)*LN(J1518))+('BLAZE SHIELD II'!$H$7*('CALCULO MORTERO'!I1518^2)+'BLAZE SHIELD II'!$H$8*'CALCULO MORTERO'!I1518+'BLAZE SHIELD II'!$H$9)),0)+IF(AND(L1518="Blaze Shield II",M1518="Software Idiem",C1518="C"),((('BLAZE SHIELD II'!$L$4*('CALCULO MORTERO'!I1518^2)+'BLAZE SHIELD II'!$L$5*'CALCULO MORTERO'!I1518+'BLAZE SHIELD II'!$L$6)*LN(J1518))+('BLAZE SHIELD II'!$L$7*('CALCULO MORTERO'!I1518^2)+'BLAZE SHIELD II'!$L$8*'CALCULO MORTERO'!I1518+'BLAZE SHIELD II'!$L$9)),0)+IF(AND(L1518="Blaze Shield II",M1518="Software Idiem",C1518="L"),((('BLAZE SHIELD II'!$L$4*('CALCULO MORTERO'!I1518^2)+'BLAZE SHIELD II'!$L$5*'CALCULO MORTERO'!I1518+'BLAZE SHIELD II'!$L$6)*LN(J1518))+('BLAZE SHIELD II'!$L$7*('CALCULO MORTERO'!I1518^2)+'BLAZE SHIELD II'!$L$8*'CALCULO MORTERO'!I1518+'BLAZE SHIELD II'!$L$9)),0)+IF(AND(L1518="Blaze Shield II",M1518="Software Idiem",C1518="IN",G1518=3),((('BLAZE SHIELD II'!$H$14*('CALCULO MORTERO'!I1518^2)+'BLAZE SHIELD II'!$H$15*'CALCULO MORTERO'!I1518+'BLAZE SHIELD II'!$H$16)*LN(J1518))+('BLAZE SHIELD II'!$H$17*('CALCULO MORTERO'!I1518^2)+'BLAZE SHIELD II'!$H$18*'CALCULO MORTERO'!I1518+'BLAZE SHIELD II'!$H$19)),0),0)+ROUND(IF(AND(L1518="Cafco 400",M1518="Software Idiem",C1518="IN",G1518=4),((('CAFCO 400 '!$H$7*(J1518^4)+'CAFCO 400 '!$H$8*(J1518^3)+'CAFCO 400 '!$H$9*(J1518^2)+'CAFCO 400 '!$H$10*J1518+'CAFCO 400 '!$H$11)*U1518^2)+(('CAFCO 400 '!$H$12*(J1518^3)+'CAFCO 400 '!$H$13*(J1518^2)+'CAFCO 400 '!$H$14*J1518+'CAFCO 400 '!$H$15)*U1518)+('CAFCO 400 '!$H$16*(J1518^2)+'CAFCO 400 '!$H$17*J1518+'CAFCO 400 '!$H$18)),0)+IF(AND(L1518="Cafco 400",M1518="Software Idiem",C1518="Cj"),(((('CAFCO 400 '!$D$7*LN(J1518)+'CAFCO 400 '!$D$8)*U1518^2)+(('CAFCO 400 '!$D$9*LN(J1518)+'CAFCO 400 '!$D$10)*U1518)+('CAFCO 400 '!$D$11*LN(J1518)+'CAFCO 400 '!$D$12))),0)+IF(AND(L1518="Cafco 400",M1518="Software Idiem",C1518="C"),((('CAFCO 400 '!$L$7*(J1518^3)+'CAFCO 400 '!$L$8*(J1518^2)+'CAFCO 400 '!$L$9*J1518+'CAFCO 400 '!$L$10)*U1518^2)+(('CAFCO 400 '!$L$11*(J1518^3)+'CAFCO 400 '!$L$12*(J1518^2)+'CAFCO 400 '!$L$13*J1518+'CAFCO 400 '!$L$14)*U1518)+('CAFCO 400 '!$L$15*LN(J1518)+'CAFCO 400 '!$L$16)),0)+IF(AND(L1518="Cafco 400",M1518="Software Idiem",C1518="L"),((('CAFCO 400 '!$L$7*(J1518^3)+'CAFCO 400 '!$L$8*(J1518^2)+'CAFCO 400 '!$L$9*J1518+'CAFCO 400 '!$L$10)*U1518^2)+(('CAFCO 400 '!$L$11*(J1518^3)+'CAFCO 400 '!$L$12*(J1518^2)+'CAFCO 400 '!$L$13*J1518+'CAFCO 400 '!$L$14)*U1518)+('CAFCO 400 '!$L$15*LN(J1518)+'CAFCO 400 '!$L$16)),0)+IF(AND(L1518="Cafco 400",M1518="Software Idiem",C1518="IN",G1518=3),((('CAFCO 400 '!$D$23*(J1518^2)+'CAFCO 400 '!$D$24*(J1518)+'CAFCO 400 '!$D$25)*U1518^2)+(('CAFCO 400 '!$D$26*(J1518^2)+'CAFCO 400 '!$D$27*J1518+'CAFCO 400 '!$D$28)*U1518)+('CAFCO 400 '!$D$29*(J1518^2)+'CAFCO 400 '!$D$30*J1518+'CAFCO 400 '!$D$31)),0),0)+IF(AND(L1518="Cafco 300",J1518&gt;=95,J1518&lt;=240,C1518="Cj",I1518=90),VLOOKUP(T1518,'CAFCO 300 IDIEM TABLAS'!$B$4:$D$23,2,FALSE),0)+IF(AND(L1518="Cafco 300",J1518&gt;=95,J1518&lt;=240,C1518="Cj",I1518=120),VLOOKUP(T1518,'CAFCO 300 IDIEM TABLAS'!$B$4:$D$23,3,FALSE),0)+IF(AND(L1518="Cafco 300",J1518&gt;=95,J1518&lt;=400,G1518=3,C1518="IN",I1518=90),VLOOKUP(T1518,'CAFCO 300 IDIEM TABLAS'!$F$4:$H$35,2,FALSE),0)+IF(AND(L1518="Cafco 300",J1518&gt;=95,J1518&lt;=400,G1518=3,C1518="IN",I1518=120),VLOOKUP(T1518,'CAFCO 300 IDIEM TABLAS'!$F$4:$H$35,3,FALSE),0)+IF(AND(L1518="Cafco 300",J1518&gt;=95,J1518&lt;=450,G1518=4,C1518="IN",I1518=90),VLOOKUP(T1518,'CAFCO 300 IDIEM TABLAS'!$J$4:$L$40,2,FALSE),0)+IF(AND(L1518="Cafco 300",J1518&gt;=95,J1518&lt;=450,G1518=4,C1518="IN",I1518=120),VLOOKUP(T1518,'CAFCO 300 IDIEM TABLAS'!$J$4:$L$40,3,FALSE),0)+IF(AND(M1518="Ensayo Idiem",L1518="Cafco 400",C1518="IN",G1518=4,I1518=90),VLOOKUP(T1518,'CAFCO 400 ENSAYO'!$B$7:$D$43,2,FALSE),0)+IF(AND(M1518="Ensayo Idiem",L1518="Cafco 400",C1518="IN",G1518=4,I1518=120),VLOOKUP(T1518,'CAFCO 400 ENSAYO'!$B$7:$D$43,3,FALSE),0)</f>
        <v>0</v>
      </c>
      <c r="O1518" s="96">
        <f t="shared" si="150"/>
        <v>0</v>
      </c>
      <c r="P1518" s="95" t="str">
        <f t="shared" si="145"/>
        <v>N/A</v>
      </c>
      <c r="Q1518" s="95" t="str">
        <f t="shared" si="146"/>
        <v>N/A</v>
      </c>
      <c r="R1518" s="95" t="str">
        <f t="shared" si="147"/>
        <v>NO CERT.</v>
      </c>
      <c r="S1518" s="95" t="e">
        <f t="shared" si="148"/>
        <v>#N/A</v>
      </c>
      <c r="T1518" s="119" t="e">
        <f>+IF(J1518=LOOKUP(J1518,'CAFCO 300 IDIEM TABLAS'!$J$4:$J$40),'CALCULO MORTERO'!J1518,MROUND('CALCULO MORTERO'!J1518,10))</f>
        <v>#N/A</v>
      </c>
      <c r="U1518" s="118">
        <f t="shared" si="149"/>
        <v>0</v>
      </c>
    </row>
    <row r="1519" spans="1:21" x14ac:dyDescent="0.25">
      <c r="A1519" s="118">
        <f>+CUBICACION!D1513</f>
        <v>0</v>
      </c>
      <c r="B1519" s="819">
        <f>+CUBICACION!E1513</f>
        <v>0</v>
      </c>
      <c r="C1519" s="675">
        <f>+CUBICACION!F1513</f>
        <v>0</v>
      </c>
      <c r="D1519" s="118"/>
      <c r="E1519" s="118"/>
      <c r="F1519" s="820"/>
      <c r="G1519" s="675">
        <f>+CUBICACION!J1513</f>
        <v>0</v>
      </c>
      <c r="H1519" s="118"/>
      <c r="I1519" s="821">
        <f>+CUBICACION!L1513</f>
        <v>0</v>
      </c>
      <c r="J1519" s="64">
        <f>+CUBICACION!M1513</f>
        <v>0</v>
      </c>
      <c r="K1519" s="822" t="str">
        <f>+CUBICACION!N1513</f>
        <v/>
      </c>
      <c r="L1519" s="118">
        <f>+CUBICACION!O1513</f>
        <v>0</v>
      </c>
      <c r="M1519" s="823">
        <f>+CUBICACION!P1513</f>
        <v>0</v>
      </c>
      <c r="N1519" s="902">
        <f>ROUND(IF(AND(L1519="Blaze Shield II",M1519="Software Idiem",C1519="IN",G1519=4),((('BLAZE SHIELD II'!$D$4*('CALCULO MORTERO'!I1519^2)+'BLAZE SHIELD II'!$D$5*'CALCULO MORTERO'!I1519+'BLAZE SHIELD II'!$D$6)*LN(J1519))+('BLAZE SHIELD II'!$D$7*('CALCULO MORTERO'!I1519^2)+'BLAZE SHIELD II'!$D$8*'CALCULO MORTERO'!I1519+'BLAZE SHIELD II'!$D$9)),0)+IF(AND(L1519="Blaze Shield II",M1519="Software Idiem",C1519="Cj"),((('BLAZE SHIELD II'!$H$4*('CALCULO MORTERO'!I1519^2)+'BLAZE SHIELD II'!$H$5*'CALCULO MORTERO'!I1519+'BLAZE SHIELD II'!$H$6)*LN(J1519))+('BLAZE SHIELD II'!$H$7*('CALCULO MORTERO'!I1519^2)+'BLAZE SHIELD II'!$H$8*'CALCULO MORTERO'!I1519+'BLAZE SHIELD II'!$H$9)),0)+IF(AND(L1519="Blaze Shield II",M1519="Software Idiem",C1519="C"),((('BLAZE SHIELD II'!$L$4*('CALCULO MORTERO'!I1519^2)+'BLAZE SHIELD II'!$L$5*'CALCULO MORTERO'!I1519+'BLAZE SHIELD II'!$L$6)*LN(J1519))+('BLAZE SHIELD II'!$L$7*('CALCULO MORTERO'!I1519^2)+'BLAZE SHIELD II'!$L$8*'CALCULO MORTERO'!I1519+'BLAZE SHIELD II'!$L$9)),0)+IF(AND(L1519="Blaze Shield II",M1519="Software Idiem",C1519="L"),((('BLAZE SHIELD II'!$L$4*('CALCULO MORTERO'!I1519^2)+'BLAZE SHIELD II'!$L$5*'CALCULO MORTERO'!I1519+'BLAZE SHIELD II'!$L$6)*LN(J1519))+('BLAZE SHIELD II'!$L$7*('CALCULO MORTERO'!I1519^2)+'BLAZE SHIELD II'!$L$8*'CALCULO MORTERO'!I1519+'BLAZE SHIELD II'!$L$9)),0)+IF(AND(L1519="Blaze Shield II",M1519="Software Idiem",C1519="IN",G1519=3),((('BLAZE SHIELD II'!$H$14*('CALCULO MORTERO'!I1519^2)+'BLAZE SHIELD II'!$H$15*'CALCULO MORTERO'!I1519+'BLAZE SHIELD II'!$H$16)*LN(J1519))+('BLAZE SHIELD II'!$H$17*('CALCULO MORTERO'!I1519^2)+'BLAZE SHIELD II'!$H$18*'CALCULO MORTERO'!I1519+'BLAZE SHIELD II'!$H$19)),0),0)+ROUND(IF(AND(L1519="Cafco 400",M1519="Software Idiem",C1519="IN",G1519=4),((('CAFCO 400 '!$H$7*(J1519^4)+'CAFCO 400 '!$H$8*(J1519^3)+'CAFCO 400 '!$H$9*(J1519^2)+'CAFCO 400 '!$H$10*J1519+'CAFCO 400 '!$H$11)*U1519^2)+(('CAFCO 400 '!$H$12*(J1519^3)+'CAFCO 400 '!$H$13*(J1519^2)+'CAFCO 400 '!$H$14*J1519+'CAFCO 400 '!$H$15)*U1519)+('CAFCO 400 '!$H$16*(J1519^2)+'CAFCO 400 '!$H$17*J1519+'CAFCO 400 '!$H$18)),0)+IF(AND(L1519="Cafco 400",M1519="Software Idiem",C1519="Cj"),(((('CAFCO 400 '!$D$7*LN(J1519)+'CAFCO 400 '!$D$8)*U1519^2)+(('CAFCO 400 '!$D$9*LN(J1519)+'CAFCO 400 '!$D$10)*U1519)+('CAFCO 400 '!$D$11*LN(J1519)+'CAFCO 400 '!$D$12))),0)+IF(AND(L1519="Cafco 400",M1519="Software Idiem",C1519="C"),((('CAFCO 400 '!$L$7*(J1519^3)+'CAFCO 400 '!$L$8*(J1519^2)+'CAFCO 400 '!$L$9*J1519+'CAFCO 400 '!$L$10)*U1519^2)+(('CAFCO 400 '!$L$11*(J1519^3)+'CAFCO 400 '!$L$12*(J1519^2)+'CAFCO 400 '!$L$13*J1519+'CAFCO 400 '!$L$14)*U1519)+('CAFCO 400 '!$L$15*LN(J1519)+'CAFCO 400 '!$L$16)),0)+IF(AND(L1519="Cafco 400",M1519="Software Idiem",C1519="L"),((('CAFCO 400 '!$L$7*(J1519^3)+'CAFCO 400 '!$L$8*(J1519^2)+'CAFCO 400 '!$L$9*J1519+'CAFCO 400 '!$L$10)*U1519^2)+(('CAFCO 400 '!$L$11*(J1519^3)+'CAFCO 400 '!$L$12*(J1519^2)+'CAFCO 400 '!$L$13*J1519+'CAFCO 400 '!$L$14)*U1519)+('CAFCO 400 '!$L$15*LN(J1519)+'CAFCO 400 '!$L$16)),0)+IF(AND(L1519="Cafco 400",M1519="Software Idiem",C1519="IN",G1519=3),((('CAFCO 400 '!$D$23*(J1519^2)+'CAFCO 400 '!$D$24*(J1519)+'CAFCO 400 '!$D$25)*U1519^2)+(('CAFCO 400 '!$D$26*(J1519^2)+'CAFCO 400 '!$D$27*J1519+'CAFCO 400 '!$D$28)*U1519)+('CAFCO 400 '!$D$29*(J1519^2)+'CAFCO 400 '!$D$30*J1519+'CAFCO 400 '!$D$31)),0),0)+IF(AND(L1519="Cafco 300",J1519&gt;=95,J1519&lt;=240,C1519="Cj",I1519=90),VLOOKUP(T1519,'CAFCO 300 IDIEM TABLAS'!$B$4:$D$23,2,FALSE),0)+IF(AND(L1519="Cafco 300",J1519&gt;=95,J1519&lt;=240,C1519="Cj",I1519=120),VLOOKUP(T1519,'CAFCO 300 IDIEM TABLAS'!$B$4:$D$23,3,FALSE),0)+IF(AND(L1519="Cafco 300",J1519&gt;=95,J1519&lt;=400,G1519=3,C1519="IN",I1519=90),VLOOKUP(T1519,'CAFCO 300 IDIEM TABLAS'!$F$4:$H$35,2,FALSE),0)+IF(AND(L1519="Cafco 300",J1519&gt;=95,J1519&lt;=400,G1519=3,C1519="IN",I1519=120),VLOOKUP(T1519,'CAFCO 300 IDIEM TABLAS'!$F$4:$H$35,3,FALSE),0)+IF(AND(L1519="Cafco 300",J1519&gt;=95,J1519&lt;=450,G1519=4,C1519="IN",I1519=90),VLOOKUP(T1519,'CAFCO 300 IDIEM TABLAS'!$J$4:$L$40,2,FALSE),0)+IF(AND(L1519="Cafco 300",J1519&gt;=95,J1519&lt;=450,G1519=4,C1519="IN",I1519=120),VLOOKUP(T1519,'CAFCO 300 IDIEM TABLAS'!$J$4:$L$40,3,FALSE),0)+IF(AND(M1519="Ensayo Idiem",L1519="Cafco 400",C1519="IN",G1519=4,I1519=90),VLOOKUP(T1519,'CAFCO 400 ENSAYO'!$B$7:$D$43,2,FALSE),0)+IF(AND(M1519="Ensayo Idiem",L1519="Cafco 400",C1519="IN",G1519=4,I1519=120),VLOOKUP(T1519,'CAFCO 400 ENSAYO'!$B$7:$D$43,3,FALSE),0)</f>
        <v>0</v>
      </c>
      <c r="O1519" s="96">
        <f t="shared" si="150"/>
        <v>0</v>
      </c>
      <c r="P1519" s="132" t="str">
        <f t="shared" si="145"/>
        <v>N/A</v>
      </c>
      <c r="Q1519" s="132" t="str">
        <f t="shared" si="146"/>
        <v>N/A</v>
      </c>
      <c r="R1519" s="132" t="str">
        <f t="shared" si="147"/>
        <v>NO CERT.</v>
      </c>
      <c r="S1519" s="132" t="e">
        <f t="shared" si="148"/>
        <v>#N/A</v>
      </c>
      <c r="T1519" s="133" t="e">
        <f>+IF(J1519=LOOKUP(J1519,'CAFCO 300 IDIEM TABLAS'!$J$4:$J$40),'CALCULO MORTERO'!J1519,MROUND('CALCULO MORTERO'!J1519,10))</f>
        <v>#N/A</v>
      </c>
      <c r="U1519" s="134">
        <f t="shared" si="149"/>
        <v>0</v>
      </c>
    </row>
    <row r="1520" spans="1:21" x14ac:dyDescent="0.25">
      <c r="A1520" s="118">
        <f>+CUBICACION!D1514</f>
        <v>0</v>
      </c>
      <c r="B1520" s="819">
        <f>+CUBICACION!E1514</f>
        <v>0</v>
      </c>
      <c r="C1520" s="675">
        <f>+CUBICACION!F1514</f>
        <v>0</v>
      </c>
      <c r="D1520" s="118"/>
      <c r="E1520" s="118"/>
      <c r="F1520" s="820"/>
      <c r="G1520" s="675">
        <f>+CUBICACION!J1514</f>
        <v>0</v>
      </c>
      <c r="H1520" s="118"/>
      <c r="I1520" s="821">
        <f>+CUBICACION!L1514</f>
        <v>0</v>
      </c>
      <c r="J1520" s="64">
        <f>+CUBICACION!M1514</f>
        <v>0</v>
      </c>
      <c r="K1520" s="822" t="str">
        <f>+CUBICACION!N1514</f>
        <v/>
      </c>
      <c r="L1520" s="118">
        <f>+CUBICACION!O1514</f>
        <v>0</v>
      </c>
      <c r="M1520" s="823">
        <f>+CUBICACION!P1514</f>
        <v>0</v>
      </c>
      <c r="N1520" s="902">
        <f>ROUND(IF(AND(L1520="Blaze Shield II",M1520="Software Idiem",C1520="IN",G1520=4),((('BLAZE SHIELD II'!$D$4*('CALCULO MORTERO'!I1520^2)+'BLAZE SHIELD II'!$D$5*'CALCULO MORTERO'!I1520+'BLAZE SHIELD II'!$D$6)*LN(J1520))+('BLAZE SHIELD II'!$D$7*('CALCULO MORTERO'!I1520^2)+'BLAZE SHIELD II'!$D$8*'CALCULO MORTERO'!I1520+'BLAZE SHIELD II'!$D$9)),0)+IF(AND(L1520="Blaze Shield II",M1520="Software Idiem",C1520="Cj"),((('BLAZE SHIELD II'!$H$4*('CALCULO MORTERO'!I1520^2)+'BLAZE SHIELD II'!$H$5*'CALCULO MORTERO'!I1520+'BLAZE SHIELD II'!$H$6)*LN(J1520))+('BLAZE SHIELD II'!$H$7*('CALCULO MORTERO'!I1520^2)+'BLAZE SHIELD II'!$H$8*'CALCULO MORTERO'!I1520+'BLAZE SHIELD II'!$H$9)),0)+IF(AND(L1520="Blaze Shield II",M1520="Software Idiem",C1520="C"),((('BLAZE SHIELD II'!$L$4*('CALCULO MORTERO'!I1520^2)+'BLAZE SHIELD II'!$L$5*'CALCULO MORTERO'!I1520+'BLAZE SHIELD II'!$L$6)*LN(J1520))+('BLAZE SHIELD II'!$L$7*('CALCULO MORTERO'!I1520^2)+'BLAZE SHIELD II'!$L$8*'CALCULO MORTERO'!I1520+'BLAZE SHIELD II'!$L$9)),0)+IF(AND(L1520="Blaze Shield II",M1520="Software Idiem",C1520="L"),((('BLAZE SHIELD II'!$L$4*('CALCULO MORTERO'!I1520^2)+'BLAZE SHIELD II'!$L$5*'CALCULO MORTERO'!I1520+'BLAZE SHIELD II'!$L$6)*LN(J1520))+('BLAZE SHIELD II'!$L$7*('CALCULO MORTERO'!I1520^2)+'BLAZE SHIELD II'!$L$8*'CALCULO MORTERO'!I1520+'BLAZE SHIELD II'!$L$9)),0)+IF(AND(L1520="Blaze Shield II",M1520="Software Idiem",C1520="IN",G1520=3),((('BLAZE SHIELD II'!$H$14*('CALCULO MORTERO'!I1520^2)+'BLAZE SHIELD II'!$H$15*'CALCULO MORTERO'!I1520+'BLAZE SHIELD II'!$H$16)*LN(J1520))+('BLAZE SHIELD II'!$H$17*('CALCULO MORTERO'!I1520^2)+'BLAZE SHIELD II'!$H$18*'CALCULO MORTERO'!I1520+'BLAZE SHIELD II'!$H$19)),0),0)+ROUND(IF(AND(L1520="Cafco 400",M1520="Software Idiem",C1520="IN",G1520=4),((('CAFCO 400 '!$H$7*(J1520^4)+'CAFCO 400 '!$H$8*(J1520^3)+'CAFCO 400 '!$H$9*(J1520^2)+'CAFCO 400 '!$H$10*J1520+'CAFCO 400 '!$H$11)*U1520^2)+(('CAFCO 400 '!$H$12*(J1520^3)+'CAFCO 400 '!$H$13*(J1520^2)+'CAFCO 400 '!$H$14*J1520+'CAFCO 400 '!$H$15)*U1520)+('CAFCO 400 '!$H$16*(J1520^2)+'CAFCO 400 '!$H$17*J1520+'CAFCO 400 '!$H$18)),0)+IF(AND(L1520="Cafco 400",M1520="Software Idiem",C1520="Cj"),(((('CAFCO 400 '!$D$7*LN(J1520)+'CAFCO 400 '!$D$8)*U1520^2)+(('CAFCO 400 '!$D$9*LN(J1520)+'CAFCO 400 '!$D$10)*U1520)+('CAFCO 400 '!$D$11*LN(J1520)+'CAFCO 400 '!$D$12))),0)+IF(AND(L1520="Cafco 400",M1520="Software Idiem",C1520="C"),((('CAFCO 400 '!$L$7*(J1520^3)+'CAFCO 400 '!$L$8*(J1520^2)+'CAFCO 400 '!$L$9*J1520+'CAFCO 400 '!$L$10)*U1520^2)+(('CAFCO 400 '!$L$11*(J1520^3)+'CAFCO 400 '!$L$12*(J1520^2)+'CAFCO 400 '!$L$13*J1520+'CAFCO 400 '!$L$14)*U1520)+('CAFCO 400 '!$L$15*LN(J1520)+'CAFCO 400 '!$L$16)),0)+IF(AND(L1520="Cafco 400",M1520="Software Idiem",C1520="L"),((('CAFCO 400 '!$L$7*(J1520^3)+'CAFCO 400 '!$L$8*(J1520^2)+'CAFCO 400 '!$L$9*J1520+'CAFCO 400 '!$L$10)*U1520^2)+(('CAFCO 400 '!$L$11*(J1520^3)+'CAFCO 400 '!$L$12*(J1520^2)+'CAFCO 400 '!$L$13*J1520+'CAFCO 400 '!$L$14)*U1520)+('CAFCO 400 '!$L$15*LN(J1520)+'CAFCO 400 '!$L$16)),0)+IF(AND(L1520="Cafco 400",M1520="Software Idiem",C1520="IN",G1520=3),((('CAFCO 400 '!$D$23*(J1520^2)+'CAFCO 400 '!$D$24*(J1520)+'CAFCO 400 '!$D$25)*U1520^2)+(('CAFCO 400 '!$D$26*(J1520^2)+'CAFCO 400 '!$D$27*J1520+'CAFCO 400 '!$D$28)*U1520)+('CAFCO 400 '!$D$29*(J1520^2)+'CAFCO 400 '!$D$30*J1520+'CAFCO 400 '!$D$31)),0),0)+IF(AND(L1520="Cafco 300",J1520&gt;=95,J1520&lt;=240,C1520="Cj",I1520=90),VLOOKUP(T1520,'CAFCO 300 IDIEM TABLAS'!$B$4:$D$23,2,FALSE),0)+IF(AND(L1520="Cafco 300",J1520&gt;=95,J1520&lt;=240,C1520="Cj",I1520=120),VLOOKUP(T1520,'CAFCO 300 IDIEM TABLAS'!$B$4:$D$23,3,FALSE),0)+IF(AND(L1520="Cafco 300",J1520&gt;=95,J1520&lt;=400,G1520=3,C1520="IN",I1520=90),VLOOKUP(T1520,'CAFCO 300 IDIEM TABLAS'!$F$4:$H$35,2,FALSE),0)+IF(AND(L1520="Cafco 300",J1520&gt;=95,J1520&lt;=400,G1520=3,C1520="IN",I1520=120),VLOOKUP(T1520,'CAFCO 300 IDIEM TABLAS'!$F$4:$H$35,3,FALSE),0)+IF(AND(L1520="Cafco 300",J1520&gt;=95,J1520&lt;=450,G1520=4,C1520="IN",I1520=90),VLOOKUP(T1520,'CAFCO 300 IDIEM TABLAS'!$J$4:$L$40,2,FALSE),0)+IF(AND(L1520="Cafco 300",J1520&gt;=95,J1520&lt;=450,G1520=4,C1520="IN",I1520=120),VLOOKUP(T1520,'CAFCO 300 IDIEM TABLAS'!$J$4:$L$40,3,FALSE),0)+IF(AND(M1520="Ensayo Idiem",L1520="Cafco 400",C1520="IN",G1520=4,I1520=90),VLOOKUP(T1520,'CAFCO 400 ENSAYO'!$B$7:$D$43,2,FALSE),0)+IF(AND(M1520="Ensayo Idiem",L1520="Cafco 400",C1520="IN",G1520=4,I1520=120),VLOOKUP(T1520,'CAFCO 400 ENSAYO'!$B$7:$D$43,3,FALSE),0)</f>
        <v>0</v>
      </c>
      <c r="O1520" s="96">
        <f t="shared" si="150"/>
        <v>0</v>
      </c>
      <c r="P1520" s="95" t="str">
        <f t="shared" si="145"/>
        <v>N/A</v>
      </c>
      <c r="Q1520" s="95" t="str">
        <f t="shared" si="146"/>
        <v>N/A</v>
      </c>
      <c r="R1520" s="95" t="str">
        <f t="shared" si="147"/>
        <v>NO CERT.</v>
      </c>
      <c r="S1520" s="95" t="e">
        <f t="shared" si="148"/>
        <v>#N/A</v>
      </c>
      <c r="T1520" s="119" t="e">
        <f>+IF(J1520=LOOKUP(J1520,'CAFCO 300 IDIEM TABLAS'!$J$4:$J$40),'CALCULO MORTERO'!J1520,MROUND('CALCULO MORTERO'!J1520,10))</f>
        <v>#N/A</v>
      </c>
      <c r="U1520" s="118">
        <f t="shared" si="149"/>
        <v>0</v>
      </c>
    </row>
    <row r="1521" spans="1:21" x14ac:dyDescent="0.25">
      <c r="A1521" s="118">
        <f>+CUBICACION!D1515</f>
        <v>0</v>
      </c>
      <c r="B1521" s="819">
        <f>+CUBICACION!E1515</f>
        <v>0</v>
      </c>
      <c r="C1521" s="675">
        <f>+CUBICACION!F1515</f>
        <v>0</v>
      </c>
      <c r="D1521" s="118"/>
      <c r="E1521" s="118"/>
      <c r="F1521" s="820"/>
      <c r="G1521" s="675">
        <f>+CUBICACION!J1515</f>
        <v>0</v>
      </c>
      <c r="H1521" s="118"/>
      <c r="I1521" s="821">
        <f>+CUBICACION!L1515</f>
        <v>0</v>
      </c>
      <c r="J1521" s="64">
        <f>+CUBICACION!M1515</f>
        <v>0</v>
      </c>
      <c r="K1521" s="822" t="str">
        <f>+CUBICACION!N1515</f>
        <v/>
      </c>
      <c r="L1521" s="118">
        <f>+CUBICACION!O1515</f>
        <v>0</v>
      </c>
      <c r="M1521" s="823">
        <f>+CUBICACION!P1515</f>
        <v>0</v>
      </c>
      <c r="N1521" s="902">
        <f>ROUND(IF(AND(L1521="Blaze Shield II",M1521="Software Idiem",C1521="IN",G1521=4),((('BLAZE SHIELD II'!$D$4*('CALCULO MORTERO'!I1521^2)+'BLAZE SHIELD II'!$D$5*'CALCULO MORTERO'!I1521+'BLAZE SHIELD II'!$D$6)*LN(J1521))+('BLAZE SHIELD II'!$D$7*('CALCULO MORTERO'!I1521^2)+'BLAZE SHIELD II'!$D$8*'CALCULO MORTERO'!I1521+'BLAZE SHIELD II'!$D$9)),0)+IF(AND(L1521="Blaze Shield II",M1521="Software Idiem",C1521="Cj"),((('BLAZE SHIELD II'!$H$4*('CALCULO MORTERO'!I1521^2)+'BLAZE SHIELD II'!$H$5*'CALCULO MORTERO'!I1521+'BLAZE SHIELD II'!$H$6)*LN(J1521))+('BLAZE SHIELD II'!$H$7*('CALCULO MORTERO'!I1521^2)+'BLAZE SHIELD II'!$H$8*'CALCULO MORTERO'!I1521+'BLAZE SHIELD II'!$H$9)),0)+IF(AND(L1521="Blaze Shield II",M1521="Software Idiem",C1521="C"),((('BLAZE SHIELD II'!$L$4*('CALCULO MORTERO'!I1521^2)+'BLAZE SHIELD II'!$L$5*'CALCULO MORTERO'!I1521+'BLAZE SHIELD II'!$L$6)*LN(J1521))+('BLAZE SHIELD II'!$L$7*('CALCULO MORTERO'!I1521^2)+'BLAZE SHIELD II'!$L$8*'CALCULO MORTERO'!I1521+'BLAZE SHIELD II'!$L$9)),0)+IF(AND(L1521="Blaze Shield II",M1521="Software Idiem",C1521="L"),((('BLAZE SHIELD II'!$L$4*('CALCULO MORTERO'!I1521^2)+'BLAZE SHIELD II'!$L$5*'CALCULO MORTERO'!I1521+'BLAZE SHIELD II'!$L$6)*LN(J1521))+('BLAZE SHIELD II'!$L$7*('CALCULO MORTERO'!I1521^2)+'BLAZE SHIELD II'!$L$8*'CALCULO MORTERO'!I1521+'BLAZE SHIELD II'!$L$9)),0)+IF(AND(L1521="Blaze Shield II",M1521="Software Idiem",C1521="IN",G1521=3),((('BLAZE SHIELD II'!$H$14*('CALCULO MORTERO'!I1521^2)+'BLAZE SHIELD II'!$H$15*'CALCULO MORTERO'!I1521+'BLAZE SHIELD II'!$H$16)*LN(J1521))+('BLAZE SHIELD II'!$H$17*('CALCULO MORTERO'!I1521^2)+'BLAZE SHIELD II'!$H$18*'CALCULO MORTERO'!I1521+'BLAZE SHIELD II'!$H$19)),0),0)+ROUND(IF(AND(L1521="Cafco 400",M1521="Software Idiem",C1521="IN",G1521=4),((('CAFCO 400 '!$H$7*(J1521^4)+'CAFCO 400 '!$H$8*(J1521^3)+'CAFCO 400 '!$H$9*(J1521^2)+'CAFCO 400 '!$H$10*J1521+'CAFCO 400 '!$H$11)*U1521^2)+(('CAFCO 400 '!$H$12*(J1521^3)+'CAFCO 400 '!$H$13*(J1521^2)+'CAFCO 400 '!$H$14*J1521+'CAFCO 400 '!$H$15)*U1521)+('CAFCO 400 '!$H$16*(J1521^2)+'CAFCO 400 '!$H$17*J1521+'CAFCO 400 '!$H$18)),0)+IF(AND(L1521="Cafco 400",M1521="Software Idiem",C1521="Cj"),(((('CAFCO 400 '!$D$7*LN(J1521)+'CAFCO 400 '!$D$8)*U1521^2)+(('CAFCO 400 '!$D$9*LN(J1521)+'CAFCO 400 '!$D$10)*U1521)+('CAFCO 400 '!$D$11*LN(J1521)+'CAFCO 400 '!$D$12))),0)+IF(AND(L1521="Cafco 400",M1521="Software Idiem",C1521="C"),((('CAFCO 400 '!$L$7*(J1521^3)+'CAFCO 400 '!$L$8*(J1521^2)+'CAFCO 400 '!$L$9*J1521+'CAFCO 400 '!$L$10)*U1521^2)+(('CAFCO 400 '!$L$11*(J1521^3)+'CAFCO 400 '!$L$12*(J1521^2)+'CAFCO 400 '!$L$13*J1521+'CAFCO 400 '!$L$14)*U1521)+('CAFCO 400 '!$L$15*LN(J1521)+'CAFCO 400 '!$L$16)),0)+IF(AND(L1521="Cafco 400",M1521="Software Idiem",C1521="L"),((('CAFCO 400 '!$L$7*(J1521^3)+'CAFCO 400 '!$L$8*(J1521^2)+'CAFCO 400 '!$L$9*J1521+'CAFCO 400 '!$L$10)*U1521^2)+(('CAFCO 400 '!$L$11*(J1521^3)+'CAFCO 400 '!$L$12*(J1521^2)+'CAFCO 400 '!$L$13*J1521+'CAFCO 400 '!$L$14)*U1521)+('CAFCO 400 '!$L$15*LN(J1521)+'CAFCO 400 '!$L$16)),0)+IF(AND(L1521="Cafco 400",M1521="Software Idiem",C1521="IN",G1521=3),((('CAFCO 400 '!$D$23*(J1521^2)+'CAFCO 400 '!$D$24*(J1521)+'CAFCO 400 '!$D$25)*U1521^2)+(('CAFCO 400 '!$D$26*(J1521^2)+'CAFCO 400 '!$D$27*J1521+'CAFCO 400 '!$D$28)*U1521)+('CAFCO 400 '!$D$29*(J1521^2)+'CAFCO 400 '!$D$30*J1521+'CAFCO 400 '!$D$31)),0),0)+IF(AND(L1521="Cafco 300",J1521&gt;=95,J1521&lt;=240,C1521="Cj",I1521=90),VLOOKUP(T1521,'CAFCO 300 IDIEM TABLAS'!$B$4:$D$23,2,FALSE),0)+IF(AND(L1521="Cafco 300",J1521&gt;=95,J1521&lt;=240,C1521="Cj",I1521=120),VLOOKUP(T1521,'CAFCO 300 IDIEM TABLAS'!$B$4:$D$23,3,FALSE),0)+IF(AND(L1521="Cafco 300",J1521&gt;=95,J1521&lt;=400,G1521=3,C1521="IN",I1521=90),VLOOKUP(T1521,'CAFCO 300 IDIEM TABLAS'!$F$4:$H$35,2,FALSE),0)+IF(AND(L1521="Cafco 300",J1521&gt;=95,J1521&lt;=400,G1521=3,C1521="IN",I1521=120),VLOOKUP(T1521,'CAFCO 300 IDIEM TABLAS'!$F$4:$H$35,3,FALSE),0)+IF(AND(L1521="Cafco 300",J1521&gt;=95,J1521&lt;=450,G1521=4,C1521="IN",I1521=90),VLOOKUP(T1521,'CAFCO 300 IDIEM TABLAS'!$J$4:$L$40,2,FALSE),0)+IF(AND(L1521="Cafco 300",J1521&gt;=95,J1521&lt;=450,G1521=4,C1521="IN",I1521=120),VLOOKUP(T1521,'CAFCO 300 IDIEM TABLAS'!$J$4:$L$40,3,FALSE),0)+IF(AND(M1521="Ensayo Idiem",L1521="Cafco 400",C1521="IN",G1521=4,I1521=90),VLOOKUP(T1521,'CAFCO 400 ENSAYO'!$B$7:$D$43,2,FALSE),0)+IF(AND(M1521="Ensayo Idiem",L1521="Cafco 400",C1521="IN",G1521=4,I1521=120),VLOOKUP(T1521,'CAFCO 400 ENSAYO'!$B$7:$D$43,3,FALSE),0)</f>
        <v>0</v>
      </c>
      <c r="O1521" s="96">
        <f t="shared" si="150"/>
        <v>0</v>
      </c>
      <c r="P1521" s="132" t="str">
        <f t="shared" si="145"/>
        <v>N/A</v>
      </c>
      <c r="Q1521" s="132" t="str">
        <f t="shared" si="146"/>
        <v>N/A</v>
      </c>
      <c r="R1521" s="132" t="str">
        <f t="shared" si="147"/>
        <v>NO CERT.</v>
      </c>
      <c r="S1521" s="132" t="e">
        <f t="shared" si="148"/>
        <v>#N/A</v>
      </c>
      <c r="T1521" s="133" t="e">
        <f>+IF(J1521=LOOKUP(J1521,'CAFCO 300 IDIEM TABLAS'!$J$4:$J$40),'CALCULO MORTERO'!J1521,MROUND('CALCULO MORTERO'!J1521,10))</f>
        <v>#N/A</v>
      </c>
      <c r="U1521" s="134">
        <f t="shared" si="149"/>
        <v>0</v>
      </c>
    </row>
    <row r="1522" spans="1:21" x14ac:dyDescent="0.25">
      <c r="A1522" s="118">
        <f>+CUBICACION!D1516</f>
        <v>0</v>
      </c>
      <c r="B1522" s="819">
        <f>+CUBICACION!E1516</f>
        <v>0</v>
      </c>
      <c r="C1522" s="675">
        <f>+CUBICACION!F1516</f>
        <v>0</v>
      </c>
      <c r="D1522" s="118"/>
      <c r="E1522" s="118"/>
      <c r="F1522" s="820"/>
      <c r="G1522" s="675">
        <f>+CUBICACION!J1516</f>
        <v>0</v>
      </c>
      <c r="H1522" s="118"/>
      <c r="I1522" s="821">
        <f>+CUBICACION!L1516</f>
        <v>0</v>
      </c>
      <c r="J1522" s="64">
        <f>+CUBICACION!M1516</f>
        <v>0</v>
      </c>
      <c r="K1522" s="822" t="str">
        <f>+CUBICACION!N1516</f>
        <v/>
      </c>
      <c r="L1522" s="118">
        <f>+CUBICACION!O1516</f>
        <v>0</v>
      </c>
      <c r="M1522" s="823">
        <f>+CUBICACION!P1516</f>
        <v>0</v>
      </c>
      <c r="N1522" s="902">
        <f>ROUND(IF(AND(L1522="Blaze Shield II",M1522="Software Idiem",C1522="IN",G1522=4),((('BLAZE SHIELD II'!$D$4*('CALCULO MORTERO'!I1522^2)+'BLAZE SHIELD II'!$D$5*'CALCULO MORTERO'!I1522+'BLAZE SHIELD II'!$D$6)*LN(J1522))+('BLAZE SHIELD II'!$D$7*('CALCULO MORTERO'!I1522^2)+'BLAZE SHIELD II'!$D$8*'CALCULO MORTERO'!I1522+'BLAZE SHIELD II'!$D$9)),0)+IF(AND(L1522="Blaze Shield II",M1522="Software Idiem",C1522="Cj"),((('BLAZE SHIELD II'!$H$4*('CALCULO MORTERO'!I1522^2)+'BLAZE SHIELD II'!$H$5*'CALCULO MORTERO'!I1522+'BLAZE SHIELD II'!$H$6)*LN(J1522))+('BLAZE SHIELD II'!$H$7*('CALCULO MORTERO'!I1522^2)+'BLAZE SHIELD II'!$H$8*'CALCULO MORTERO'!I1522+'BLAZE SHIELD II'!$H$9)),0)+IF(AND(L1522="Blaze Shield II",M1522="Software Idiem",C1522="C"),((('BLAZE SHIELD II'!$L$4*('CALCULO MORTERO'!I1522^2)+'BLAZE SHIELD II'!$L$5*'CALCULO MORTERO'!I1522+'BLAZE SHIELD II'!$L$6)*LN(J1522))+('BLAZE SHIELD II'!$L$7*('CALCULO MORTERO'!I1522^2)+'BLAZE SHIELD II'!$L$8*'CALCULO MORTERO'!I1522+'BLAZE SHIELD II'!$L$9)),0)+IF(AND(L1522="Blaze Shield II",M1522="Software Idiem",C1522="L"),((('BLAZE SHIELD II'!$L$4*('CALCULO MORTERO'!I1522^2)+'BLAZE SHIELD II'!$L$5*'CALCULO MORTERO'!I1522+'BLAZE SHIELD II'!$L$6)*LN(J1522))+('BLAZE SHIELD II'!$L$7*('CALCULO MORTERO'!I1522^2)+'BLAZE SHIELD II'!$L$8*'CALCULO MORTERO'!I1522+'BLAZE SHIELD II'!$L$9)),0)+IF(AND(L1522="Blaze Shield II",M1522="Software Idiem",C1522="IN",G1522=3),((('BLAZE SHIELD II'!$H$14*('CALCULO MORTERO'!I1522^2)+'BLAZE SHIELD II'!$H$15*'CALCULO MORTERO'!I1522+'BLAZE SHIELD II'!$H$16)*LN(J1522))+('BLAZE SHIELD II'!$H$17*('CALCULO MORTERO'!I1522^2)+'BLAZE SHIELD II'!$H$18*'CALCULO MORTERO'!I1522+'BLAZE SHIELD II'!$H$19)),0),0)+ROUND(IF(AND(L1522="Cafco 400",M1522="Software Idiem",C1522="IN",G1522=4),((('CAFCO 400 '!$H$7*(J1522^4)+'CAFCO 400 '!$H$8*(J1522^3)+'CAFCO 400 '!$H$9*(J1522^2)+'CAFCO 400 '!$H$10*J1522+'CAFCO 400 '!$H$11)*U1522^2)+(('CAFCO 400 '!$H$12*(J1522^3)+'CAFCO 400 '!$H$13*(J1522^2)+'CAFCO 400 '!$H$14*J1522+'CAFCO 400 '!$H$15)*U1522)+('CAFCO 400 '!$H$16*(J1522^2)+'CAFCO 400 '!$H$17*J1522+'CAFCO 400 '!$H$18)),0)+IF(AND(L1522="Cafco 400",M1522="Software Idiem",C1522="Cj"),(((('CAFCO 400 '!$D$7*LN(J1522)+'CAFCO 400 '!$D$8)*U1522^2)+(('CAFCO 400 '!$D$9*LN(J1522)+'CAFCO 400 '!$D$10)*U1522)+('CAFCO 400 '!$D$11*LN(J1522)+'CAFCO 400 '!$D$12))),0)+IF(AND(L1522="Cafco 400",M1522="Software Idiem",C1522="C"),((('CAFCO 400 '!$L$7*(J1522^3)+'CAFCO 400 '!$L$8*(J1522^2)+'CAFCO 400 '!$L$9*J1522+'CAFCO 400 '!$L$10)*U1522^2)+(('CAFCO 400 '!$L$11*(J1522^3)+'CAFCO 400 '!$L$12*(J1522^2)+'CAFCO 400 '!$L$13*J1522+'CAFCO 400 '!$L$14)*U1522)+('CAFCO 400 '!$L$15*LN(J1522)+'CAFCO 400 '!$L$16)),0)+IF(AND(L1522="Cafco 400",M1522="Software Idiem",C1522="L"),((('CAFCO 400 '!$L$7*(J1522^3)+'CAFCO 400 '!$L$8*(J1522^2)+'CAFCO 400 '!$L$9*J1522+'CAFCO 400 '!$L$10)*U1522^2)+(('CAFCO 400 '!$L$11*(J1522^3)+'CAFCO 400 '!$L$12*(J1522^2)+'CAFCO 400 '!$L$13*J1522+'CAFCO 400 '!$L$14)*U1522)+('CAFCO 400 '!$L$15*LN(J1522)+'CAFCO 400 '!$L$16)),0)+IF(AND(L1522="Cafco 400",M1522="Software Idiem",C1522="IN",G1522=3),((('CAFCO 400 '!$D$23*(J1522^2)+'CAFCO 400 '!$D$24*(J1522)+'CAFCO 400 '!$D$25)*U1522^2)+(('CAFCO 400 '!$D$26*(J1522^2)+'CAFCO 400 '!$D$27*J1522+'CAFCO 400 '!$D$28)*U1522)+('CAFCO 400 '!$D$29*(J1522^2)+'CAFCO 400 '!$D$30*J1522+'CAFCO 400 '!$D$31)),0),0)+IF(AND(L1522="Cafco 300",J1522&gt;=95,J1522&lt;=240,C1522="Cj",I1522=90),VLOOKUP(T1522,'CAFCO 300 IDIEM TABLAS'!$B$4:$D$23,2,FALSE),0)+IF(AND(L1522="Cafco 300",J1522&gt;=95,J1522&lt;=240,C1522="Cj",I1522=120),VLOOKUP(T1522,'CAFCO 300 IDIEM TABLAS'!$B$4:$D$23,3,FALSE),0)+IF(AND(L1522="Cafco 300",J1522&gt;=95,J1522&lt;=400,G1522=3,C1522="IN",I1522=90),VLOOKUP(T1522,'CAFCO 300 IDIEM TABLAS'!$F$4:$H$35,2,FALSE),0)+IF(AND(L1522="Cafco 300",J1522&gt;=95,J1522&lt;=400,G1522=3,C1522="IN",I1522=120),VLOOKUP(T1522,'CAFCO 300 IDIEM TABLAS'!$F$4:$H$35,3,FALSE),0)+IF(AND(L1522="Cafco 300",J1522&gt;=95,J1522&lt;=450,G1522=4,C1522="IN",I1522=90),VLOOKUP(T1522,'CAFCO 300 IDIEM TABLAS'!$J$4:$L$40,2,FALSE),0)+IF(AND(L1522="Cafco 300",J1522&gt;=95,J1522&lt;=450,G1522=4,C1522="IN",I1522=120),VLOOKUP(T1522,'CAFCO 300 IDIEM TABLAS'!$J$4:$L$40,3,FALSE),0)+IF(AND(M1522="Ensayo Idiem",L1522="Cafco 400",C1522="IN",G1522=4,I1522=90),VLOOKUP(T1522,'CAFCO 400 ENSAYO'!$B$7:$D$43,2,FALSE),0)+IF(AND(M1522="Ensayo Idiem",L1522="Cafco 400",C1522="IN",G1522=4,I1522=120),VLOOKUP(T1522,'CAFCO 400 ENSAYO'!$B$7:$D$43,3,FALSE),0)</f>
        <v>0</v>
      </c>
      <c r="O1522" s="96">
        <f t="shared" si="150"/>
        <v>0</v>
      </c>
      <c r="P1522" s="95" t="str">
        <f t="shared" ref="P1522:P1585" si="151">IF(AND(M1522="Software Idiem"),IF(AND(C1522="IN",G1522=4,J1522&gt;=50,J1522&lt;=500),"CERT.",IF(AND(C1522="Cj",J1522&gt;=50,J1522&lt;=500),"CERT.",IF(AND(C1522="C",J1522&gt;=50,J1522&lt;=1000),"CERT.",IF(AND(C1522="L",J1522&gt;=50,J1522&lt;=1000),"CERT.",IF(AND(C1522="IN",G1522=3,J1522&gt;=50,J1522&lt;=500),"CERT.","NO CERT."))))),"N/A")</f>
        <v>N/A</v>
      </c>
      <c r="Q1522" s="95" t="str">
        <f t="shared" ref="Q1522:Q1585" si="152">IF(AND(M1522="Software Idiem"),IF(AND(C1522="IN",G1522=4,J1522&gt;=50,J1522&lt;=500),"CERT.",IF(AND(C1522="Cj",J1522&gt;=50,J1522&lt;=500),"CERT.",IF(AND(C1522="C",J1522&gt;=50,J1522&lt;=1000),"CERT.",IF(AND(C1522="L",J1522&gt;=50,J1522&lt;=1000),"CERT.",IF(AND(C1522="IN",G1522=3,J1522&gt;=50,J1522&lt;=500),"CERT.","NO CERT."))))),"N/A")</f>
        <v>N/A</v>
      </c>
      <c r="R1522" s="95" t="str">
        <f t="shared" ref="R1522:R1585" si="153">IF(AND(C1522="IN",G1522=4,J1522&gt;=95,J1522&lt;=450,I1522=90),"CERT.",IF(AND(C1522="IN",G1522=4,J1522&gt;=95,J1522&lt;=450,I1522=120),"CERT.","NO CERT."))</f>
        <v>NO CERT.</v>
      </c>
      <c r="S1522" s="95" t="e">
        <f t="shared" ref="S1522:S1585" si="154">IF(AND(C1522="Cj",I1522=90,T1522&lt;=240),"CERT.",IF(AND(C1522="Cj",I1522=120,T1522&lt;=240),"CERT.",IF(AND(C1522="IN",G1522=3,I1522=90,T1522&lt;=400),"CERT.",IF(AND(C1522="IN",G1522=3,I1522=120,T1522&lt;=400),"CERT.",IF(AND(C1522="IN",G1522=4,I1522=90,T1522&lt;=450),"CERT.",IF(AND(C1522="IN",G1522=4,I1522=120,T1522&lt;=450),"CERT.","NO CERT."))))))</f>
        <v>#N/A</v>
      </c>
      <c r="T1522" s="119" t="e">
        <f>+IF(J1522=LOOKUP(J1522,'CAFCO 300 IDIEM TABLAS'!$J$4:$J$40),'CALCULO MORTERO'!J1522,MROUND('CALCULO MORTERO'!J1522,10))</f>
        <v>#N/A</v>
      </c>
      <c r="U1522" s="118">
        <f t="shared" ref="U1522:U1585" si="155">+I1522*60</f>
        <v>0</v>
      </c>
    </row>
    <row r="1523" spans="1:21" x14ac:dyDescent="0.25">
      <c r="A1523" s="118">
        <f>+CUBICACION!D1517</f>
        <v>0</v>
      </c>
      <c r="B1523" s="819">
        <f>+CUBICACION!E1517</f>
        <v>0</v>
      </c>
      <c r="C1523" s="675">
        <f>+CUBICACION!F1517</f>
        <v>0</v>
      </c>
      <c r="D1523" s="118"/>
      <c r="E1523" s="118"/>
      <c r="F1523" s="820"/>
      <c r="G1523" s="675">
        <f>+CUBICACION!J1517</f>
        <v>0</v>
      </c>
      <c r="H1523" s="118"/>
      <c r="I1523" s="821">
        <f>+CUBICACION!L1517</f>
        <v>0</v>
      </c>
      <c r="J1523" s="64">
        <f>+CUBICACION!M1517</f>
        <v>0</v>
      </c>
      <c r="K1523" s="822" t="str">
        <f>+CUBICACION!N1517</f>
        <v/>
      </c>
      <c r="L1523" s="118">
        <f>+CUBICACION!O1517</f>
        <v>0</v>
      </c>
      <c r="M1523" s="823">
        <f>+CUBICACION!P1517</f>
        <v>0</v>
      </c>
      <c r="N1523" s="902">
        <f>ROUND(IF(AND(L1523="Blaze Shield II",M1523="Software Idiem",C1523="IN",G1523=4),((('BLAZE SHIELD II'!$D$4*('CALCULO MORTERO'!I1523^2)+'BLAZE SHIELD II'!$D$5*'CALCULO MORTERO'!I1523+'BLAZE SHIELD II'!$D$6)*LN(J1523))+('BLAZE SHIELD II'!$D$7*('CALCULO MORTERO'!I1523^2)+'BLAZE SHIELD II'!$D$8*'CALCULO MORTERO'!I1523+'BLAZE SHIELD II'!$D$9)),0)+IF(AND(L1523="Blaze Shield II",M1523="Software Idiem",C1523="Cj"),((('BLAZE SHIELD II'!$H$4*('CALCULO MORTERO'!I1523^2)+'BLAZE SHIELD II'!$H$5*'CALCULO MORTERO'!I1523+'BLAZE SHIELD II'!$H$6)*LN(J1523))+('BLAZE SHIELD II'!$H$7*('CALCULO MORTERO'!I1523^2)+'BLAZE SHIELD II'!$H$8*'CALCULO MORTERO'!I1523+'BLAZE SHIELD II'!$H$9)),0)+IF(AND(L1523="Blaze Shield II",M1523="Software Idiem",C1523="C"),((('BLAZE SHIELD II'!$L$4*('CALCULO MORTERO'!I1523^2)+'BLAZE SHIELD II'!$L$5*'CALCULO MORTERO'!I1523+'BLAZE SHIELD II'!$L$6)*LN(J1523))+('BLAZE SHIELD II'!$L$7*('CALCULO MORTERO'!I1523^2)+'BLAZE SHIELD II'!$L$8*'CALCULO MORTERO'!I1523+'BLAZE SHIELD II'!$L$9)),0)+IF(AND(L1523="Blaze Shield II",M1523="Software Idiem",C1523="L"),((('BLAZE SHIELD II'!$L$4*('CALCULO MORTERO'!I1523^2)+'BLAZE SHIELD II'!$L$5*'CALCULO MORTERO'!I1523+'BLAZE SHIELD II'!$L$6)*LN(J1523))+('BLAZE SHIELD II'!$L$7*('CALCULO MORTERO'!I1523^2)+'BLAZE SHIELD II'!$L$8*'CALCULO MORTERO'!I1523+'BLAZE SHIELD II'!$L$9)),0)+IF(AND(L1523="Blaze Shield II",M1523="Software Idiem",C1523="IN",G1523=3),((('BLAZE SHIELD II'!$H$14*('CALCULO MORTERO'!I1523^2)+'BLAZE SHIELD II'!$H$15*'CALCULO MORTERO'!I1523+'BLAZE SHIELD II'!$H$16)*LN(J1523))+('BLAZE SHIELD II'!$H$17*('CALCULO MORTERO'!I1523^2)+'BLAZE SHIELD II'!$H$18*'CALCULO MORTERO'!I1523+'BLAZE SHIELD II'!$H$19)),0),0)+ROUND(IF(AND(L1523="Cafco 400",M1523="Software Idiem",C1523="IN",G1523=4),((('CAFCO 400 '!$H$7*(J1523^4)+'CAFCO 400 '!$H$8*(J1523^3)+'CAFCO 400 '!$H$9*(J1523^2)+'CAFCO 400 '!$H$10*J1523+'CAFCO 400 '!$H$11)*U1523^2)+(('CAFCO 400 '!$H$12*(J1523^3)+'CAFCO 400 '!$H$13*(J1523^2)+'CAFCO 400 '!$H$14*J1523+'CAFCO 400 '!$H$15)*U1523)+('CAFCO 400 '!$H$16*(J1523^2)+'CAFCO 400 '!$H$17*J1523+'CAFCO 400 '!$H$18)),0)+IF(AND(L1523="Cafco 400",M1523="Software Idiem",C1523="Cj"),(((('CAFCO 400 '!$D$7*LN(J1523)+'CAFCO 400 '!$D$8)*U1523^2)+(('CAFCO 400 '!$D$9*LN(J1523)+'CAFCO 400 '!$D$10)*U1523)+('CAFCO 400 '!$D$11*LN(J1523)+'CAFCO 400 '!$D$12))),0)+IF(AND(L1523="Cafco 400",M1523="Software Idiem",C1523="C"),((('CAFCO 400 '!$L$7*(J1523^3)+'CAFCO 400 '!$L$8*(J1523^2)+'CAFCO 400 '!$L$9*J1523+'CAFCO 400 '!$L$10)*U1523^2)+(('CAFCO 400 '!$L$11*(J1523^3)+'CAFCO 400 '!$L$12*(J1523^2)+'CAFCO 400 '!$L$13*J1523+'CAFCO 400 '!$L$14)*U1523)+('CAFCO 400 '!$L$15*LN(J1523)+'CAFCO 400 '!$L$16)),0)+IF(AND(L1523="Cafco 400",M1523="Software Idiem",C1523="L"),((('CAFCO 400 '!$L$7*(J1523^3)+'CAFCO 400 '!$L$8*(J1523^2)+'CAFCO 400 '!$L$9*J1523+'CAFCO 400 '!$L$10)*U1523^2)+(('CAFCO 400 '!$L$11*(J1523^3)+'CAFCO 400 '!$L$12*(J1523^2)+'CAFCO 400 '!$L$13*J1523+'CAFCO 400 '!$L$14)*U1523)+('CAFCO 400 '!$L$15*LN(J1523)+'CAFCO 400 '!$L$16)),0)+IF(AND(L1523="Cafco 400",M1523="Software Idiem",C1523="IN",G1523=3),((('CAFCO 400 '!$D$23*(J1523^2)+'CAFCO 400 '!$D$24*(J1523)+'CAFCO 400 '!$D$25)*U1523^2)+(('CAFCO 400 '!$D$26*(J1523^2)+'CAFCO 400 '!$D$27*J1523+'CAFCO 400 '!$D$28)*U1523)+('CAFCO 400 '!$D$29*(J1523^2)+'CAFCO 400 '!$D$30*J1523+'CAFCO 400 '!$D$31)),0),0)+IF(AND(L1523="Cafco 300",J1523&gt;=95,J1523&lt;=240,C1523="Cj",I1523=90),VLOOKUP(T1523,'CAFCO 300 IDIEM TABLAS'!$B$4:$D$23,2,FALSE),0)+IF(AND(L1523="Cafco 300",J1523&gt;=95,J1523&lt;=240,C1523="Cj",I1523=120),VLOOKUP(T1523,'CAFCO 300 IDIEM TABLAS'!$B$4:$D$23,3,FALSE),0)+IF(AND(L1523="Cafco 300",J1523&gt;=95,J1523&lt;=400,G1523=3,C1523="IN",I1523=90),VLOOKUP(T1523,'CAFCO 300 IDIEM TABLAS'!$F$4:$H$35,2,FALSE),0)+IF(AND(L1523="Cafco 300",J1523&gt;=95,J1523&lt;=400,G1523=3,C1523="IN",I1523=120),VLOOKUP(T1523,'CAFCO 300 IDIEM TABLAS'!$F$4:$H$35,3,FALSE),0)+IF(AND(L1523="Cafco 300",J1523&gt;=95,J1523&lt;=450,G1523=4,C1523="IN",I1523=90),VLOOKUP(T1523,'CAFCO 300 IDIEM TABLAS'!$J$4:$L$40,2,FALSE),0)+IF(AND(L1523="Cafco 300",J1523&gt;=95,J1523&lt;=450,G1523=4,C1523="IN",I1523=120),VLOOKUP(T1523,'CAFCO 300 IDIEM TABLAS'!$J$4:$L$40,3,FALSE),0)+IF(AND(M1523="Ensayo Idiem",L1523="Cafco 400",C1523="IN",G1523=4,I1523=90),VLOOKUP(T1523,'CAFCO 400 ENSAYO'!$B$7:$D$43,2,FALSE),0)+IF(AND(M1523="Ensayo Idiem",L1523="Cafco 400",C1523="IN",G1523=4,I1523=120),VLOOKUP(T1523,'CAFCO 400 ENSAYO'!$B$7:$D$43,3,FALSE),0)</f>
        <v>0</v>
      </c>
      <c r="O1523" s="96">
        <f t="shared" si="150"/>
        <v>0</v>
      </c>
      <c r="P1523" s="132" t="str">
        <f t="shared" si="151"/>
        <v>N/A</v>
      </c>
      <c r="Q1523" s="132" t="str">
        <f t="shared" si="152"/>
        <v>N/A</v>
      </c>
      <c r="R1523" s="132" t="str">
        <f t="shared" si="153"/>
        <v>NO CERT.</v>
      </c>
      <c r="S1523" s="132" t="e">
        <f t="shared" si="154"/>
        <v>#N/A</v>
      </c>
      <c r="T1523" s="133" t="e">
        <f>+IF(J1523=LOOKUP(J1523,'CAFCO 300 IDIEM TABLAS'!$J$4:$J$40),'CALCULO MORTERO'!J1523,MROUND('CALCULO MORTERO'!J1523,10))</f>
        <v>#N/A</v>
      </c>
      <c r="U1523" s="134">
        <f t="shared" si="155"/>
        <v>0</v>
      </c>
    </row>
    <row r="1524" spans="1:21" x14ac:dyDescent="0.25">
      <c r="A1524" s="118">
        <f>+CUBICACION!D1518</f>
        <v>0</v>
      </c>
      <c r="B1524" s="819">
        <f>+CUBICACION!E1518</f>
        <v>0</v>
      </c>
      <c r="C1524" s="675">
        <f>+CUBICACION!F1518</f>
        <v>0</v>
      </c>
      <c r="D1524" s="118"/>
      <c r="E1524" s="118"/>
      <c r="F1524" s="820"/>
      <c r="G1524" s="675">
        <f>+CUBICACION!J1518</f>
        <v>0</v>
      </c>
      <c r="H1524" s="118"/>
      <c r="I1524" s="821">
        <f>+CUBICACION!L1518</f>
        <v>0</v>
      </c>
      <c r="J1524" s="64">
        <f>+CUBICACION!M1518</f>
        <v>0</v>
      </c>
      <c r="K1524" s="822" t="str">
        <f>+CUBICACION!N1518</f>
        <v/>
      </c>
      <c r="L1524" s="118">
        <f>+CUBICACION!O1518</f>
        <v>0</v>
      </c>
      <c r="M1524" s="823">
        <f>+CUBICACION!P1518</f>
        <v>0</v>
      </c>
      <c r="N1524" s="902">
        <f>ROUND(IF(AND(L1524="Blaze Shield II",M1524="Software Idiem",C1524="IN",G1524=4),((('BLAZE SHIELD II'!$D$4*('CALCULO MORTERO'!I1524^2)+'BLAZE SHIELD II'!$D$5*'CALCULO MORTERO'!I1524+'BLAZE SHIELD II'!$D$6)*LN(J1524))+('BLAZE SHIELD II'!$D$7*('CALCULO MORTERO'!I1524^2)+'BLAZE SHIELD II'!$D$8*'CALCULO MORTERO'!I1524+'BLAZE SHIELD II'!$D$9)),0)+IF(AND(L1524="Blaze Shield II",M1524="Software Idiem",C1524="Cj"),((('BLAZE SHIELD II'!$H$4*('CALCULO MORTERO'!I1524^2)+'BLAZE SHIELD II'!$H$5*'CALCULO MORTERO'!I1524+'BLAZE SHIELD II'!$H$6)*LN(J1524))+('BLAZE SHIELD II'!$H$7*('CALCULO MORTERO'!I1524^2)+'BLAZE SHIELD II'!$H$8*'CALCULO MORTERO'!I1524+'BLAZE SHIELD II'!$H$9)),0)+IF(AND(L1524="Blaze Shield II",M1524="Software Idiem",C1524="C"),((('BLAZE SHIELD II'!$L$4*('CALCULO MORTERO'!I1524^2)+'BLAZE SHIELD II'!$L$5*'CALCULO MORTERO'!I1524+'BLAZE SHIELD II'!$L$6)*LN(J1524))+('BLAZE SHIELD II'!$L$7*('CALCULO MORTERO'!I1524^2)+'BLAZE SHIELD II'!$L$8*'CALCULO MORTERO'!I1524+'BLAZE SHIELD II'!$L$9)),0)+IF(AND(L1524="Blaze Shield II",M1524="Software Idiem",C1524="L"),((('BLAZE SHIELD II'!$L$4*('CALCULO MORTERO'!I1524^2)+'BLAZE SHIELD II'!$L$5*'CALCULO MORTERO'!I1524+'BLAZE SHIELD II'!$L$6)*LN(J1524))+('BLAZE SHIELD II'!$L$7*('CALCULO MORTERO'!I1524^2)+'BLAZE SHIELD II'!$L$8*'CALCULO MORTERO'!I1524+'BLAZE SHIELD II'!$L$9)),0)+IF(AND(L1524="Blaze Shield II",M1524="Software Idiem",C1524="IN",G1524=3),((('BLAZE SHIELD II'!$H$14*('CALCULO MORTERO'!I1524^2)+'BLAZE SHIELD II'!$H$15*'CALCULO MORTERO'!I1524+'BLAZE SHIELD II'!$H$16)*LN(J1524))+('BLAZE SHIELD II'!$H$17*('CALCULO MORTERO'!I1524^2)+'BLAZE SHIELD II'!$H$18*'CALCULO MORTERO'!I1524+'BLAZE SHIELD II'!$H$19)),0),0)+ROUND(IF(AND(L1524="Cafco 400",M1524="Software Idiem",C1524="IN",G1524=4),((('CAFCO 400 '!$H$7*(J1524^4)+'CAFCO 400 '!$H$8*(J1524^3)+'CAFCO 400 '!$H$9*(J1524^2)+'CAFCO 400 '!$H$10*J1524+'CAFCO 400 '!$H$11)*U1524^2)+(('CAFCO 400 '!$H$12*(J1524^3)+'CAFCO 400 '!$H$13*(J1524^2)+'CAFCO 400 '!$H$14*J1524+'CAFCO 400 '!$H$15)*U1524)+('CAFCO 400 '!$H$16*(J1524^2)+'CAFCO 400 '!$H$17*J1524+'CAFCO 400 '!$H$18)),0)+IF(AND(L1524="Cafco 400",M1524="Software Idiem",C1524="Cj"),(((('CAFCO 400 '!$D$7*LN(J1524)+'CAFCO 400 '!$D$8)*U1524^2)+(('CAFCO 400 '!$D$9*LN(J1524)+'CAFCO 400 '!$D$10)*U1524)+('CAFCO 400 '!$D$11*LN(J1524)+'CAFCO 400 '!$D$12))),0)+IF(AND(L1524="Cafco 400",M1524="Software Idiem",C1524="C"),((('CAFCO 400 '!$L$7*(J1524^3)+'CAFCO 400 '!$L$8*(J1524^2)+'CAFCO 400 '!$L$9*J1524+'CAFCO 400 '!$L$10)*U1524^2)+(('CAFCO 400 '!$L$11*(J1524^3)+'CAFCO 400 '!$L$12*(J1524^2)+'CAFCO 400 '!$L$13*J1524+'CAFCO 400 '!$L$14)*U1524)+('CAFCO 400 '!$L$15*LN(J1524)+'CAFCO 400 '!$L$16)),0)+IF(AND(L1524="Cafco 400",M1524="Software Idiem",C1524="L"),((('CAFCO 400 '!$L$7*(J1524^3)+'CAFCO 400 '!$L$8*(J1524^2)+'CAFCO 400 '!$L$9*J1524+'CAFCO 400 '!$L$10)*U1524^2)+(('CAFCO 400 '!$L$11*(J1524^3)+'CAFCO 400 '!$L$12*(J1524^2)+'CAFCO 400 '!$L$13*J1524+'CAFCO 400 '!$L$14)*U1524)+('CAFCO 400 '!$L$15*LN(J1524)+'CAFCO 400 '!$L$16)),0)+IF(AND(L1524="Cafco 400",M1524="Software Idiem",C1524="IN",G1524=3),((('CAFCO 400 '!$D$23*(J1524^2)+'CAFCO 400 '!$D$24*(J1524)+'CAFCO 400 '!$D$25)*U1524^2)+(('CAFCO 400 '!$D$26*(J1524^2)+'CAFCO 400 '!$D$27*J1524+'CAFCO 400 '!$D$28)*U1524)+('CAFCO 400 '!$D$29*(J1524^2)+'CAFCO 400 '!$D$30*J1524+'CAFCO 400 '!$D$31)),0),0)+IF(AND(L1524="Cafco 300",J1524&gt;=95,J1524&lt;=240,C1524="Cj",I1524=90),VLOOKUP(T1524,'CAFCO 300 IDIEM TABLAS'!$B$4:$D$23,2,FALSE),0)+IF(AND(L1524="Cafco 300",J1524&gt;=95,J1524&lt;=240,C1524="Cj",I1524=120),VLOOKUP(T1524,'CAFCO 300 IDIEM TABLAS'!$B$4:$D$23,3,FALSE),0)+IF(AND(L1524="Cafco 300",J1524&gt;=95,J1524&lt;=400,G1524=3,C1524="IN",I1524=90),VLOOKUP(T1524,'CAFCO 300 IDIEM TABLAS'!$F$4:$H$35,2,FALSE),0)+IF(AND(L1524="Cafco 300",J1524&gt;=95,J1524&lt;=400,G1524=3,C1524="IN",I1524=120),VLOOKUP(T1524,'CAFCO 300 IDIEM TABLAS'!$F$4:$H$35,3,FALSE),0)+IF(AND(L1524="Cafco 300",J1524&gt;=95,J1524&lt;=450,G1524=4,C1524="IN",I1524=90),VLOOKUP(T1524,'CAFCO 300 IDIEM TABLAS'!$J$4:$L$40,2,FALSE),0)+IF(AND(L1524="Cafco 300",J1524&gt;=95,J1524&lt;=450,G1524=4,C1524="IN",I1524=120),VLOOKUP(T1524,'CAFCO 300 IDIEM TABLAS'!$J$4:$L$40,3,FALSE),0)+IF(AND(M1524="Ensayo Idiem",L1524="Cafco 400",C1524="IN",G1524=4,I1524=90),VLOOKUP(T1524,'CAFCO 400 ENSAYO'!$B$7:$D$43,2,FALSE),0)+IF(AND(M1524="Ensayo Idiem",L1524="Cafco 400",C1524="IN",G1524=4,I1524=120),VLOOKUP(T1524,'CAFCO 400 ENSAYO'!$B$7:$D$43,3,FALSE),0)</f>
        <v>0</v>
      </c>
      <c r="O1524" s="96">
        <f t="shared" si="150"/>
        <v>0</v>
      </c>
      <c r="P1524" s="95" t="str">
        <f t="shared" si="151"/>
        <v>N/A</v>
      </c>
      <c r="Q1524" s="95" t="str">
        <f t="shared" si="152"/>
        <v>N/A</v>
      </c>
      <c r="R1524" s="95" t="str">
        <f t="shared" si="153"/>
        <v>NO CERT.</v>
      </c>
      <c r="S1524" s="95" t="e">
        <f t="shared" si="154"/>
        <v>#N/A</v>
      </c>
      <c r="T1524" s="119" t="e">
        <f>+IF(J1524=LOOKUP(J1524,'CAFCO 300 IDIEM TABLAS'!$J$4:$J$40),'CALCULO MORTERO'!J1524,MROUND('CALCULO MORTERO'!J1524,10))</f>
        <v>#N/A</v>
      </c>
      <c r="U1524" s="118">
        <f t="shared" si="155"/>
        <v>0</v>
      </c>
    </row>
    <row r="1525" spans="1:21" x14ac:dyDescent="0.25">
      <c r="A1525" s="118">
        <f>+CUBICACION!D1519</f>
        <v>0</v>
      </c>
      <c r="B1525" s="819">
        <f>+CUBICACION!E1519</f>
        <v>0</v>
      </c>
      <c r="C1525" s="675">
        <f>+CUBICACION!F1519</f>
        <v>0</v>
      </c>
      <c r="D1525" s="118"/>
      <c r="E1525" s="118"/>
      <c r="F1525" s="820"/>
      <c r="G1525" s="675">
        <f>+CUBICACION!J1519</f>
        <v>0</v>
      </c>
      <c r="H1525" s="118"/>
      <c r="I1525" s="821">
        <f>+CUBICACION!L1519</f>
        <v>0</v>
      </c>
      <c r="J1525" s="64">
        <f>+CUBICACION!M1519</f>
        <v>0</v>
      </c>
      <c r="K1525" s="822" t="str">
        <f>+CUBICACION!N1519</f>
        <v/>
      </c>
      <c r="L1525" s="118">
        <f>+CUBICACION!O1519</f>
        <v>0</v>
      </c>
      <c r="M1525" s="823">
        <f>+CUBICACION!P1519</f>
        <v>0</v>
      </c>
      <c r="N1525" s="902">
        <f>ROUND(IF(AND(L1525="Blaze Shield II",M1525="Software Idiem",C1525="IN",G1525=4),((('BLAZE SHIELD II'!$D$4*('CALCULO MORTERO'!I1525^2)+'BLAZE SHIELD II'!$D$5*'CALCULO MORTERO'!I1525+'BLAZE SHIELD II'!$D$6)*LN(J1525))+('BLAZE SHIELD II'!$D$7*('CALCULO MORTERO'!I1525^2)+'BLAZE SHIELD II'!$D$8*'CALCULO MORTERO'!I1525+'BLAZE SHIELD II'!$D$9)),0)+IF(AND(L1525="Blaze Shield II",M1525="Software Idiem",C1525="Cj"),((('BLAZE SHIELD II'!$H$4*('CALCULO MORTERO'!I1525^2)+'BLAZE SHIELD II'!$H$5*'CALCULO MORTERO'!I1525+'BLAZE SHIELD II'!$H$6)*LN(J1525))+('BLAZE SHIELD II'!$H$7*('CALCULO MORTERO'!I1525^2)+'BLAZE SHIELD II'!$H$8*'CALCULO MORTERO'!I1525+'BLAZE SHIELD II'!$H$9)),0)+IF(AND(L1525="Blaze Shield II",M1525="Software Idiem",C1525="C"),((('BLAZE SHIELD II'!$L$4*('CALCULO MORTERO'!I1525^2)+'BLAZE SHIELD II'!$L$5*'CALCULO MORTERO'!I1525+'BLAZE SHIELD II'!$L$6)*LN(J1525))+('BLAZE SHIELD II'!$L$7*('CALCULO MORTERO'!I1525^2)+'BLAZE SHIELD II'!$L$8*'CALCULO MORTERO'!I1525+'BLAZE SHIELD II'!$L$9)),0)+IF(AND(L1525="Blaze Shield II",M1525="Software Idiem",C1525="L"),((('BLAZE SHIELD II'!$L$4*('CALCULO MORTERO'!I1525^2)+'BLAZE SHIELD II'!$L$5*'CALCULO MORTERO'!I1525+'BLAZE SHIELD II'!$L$6)*LN(J1525))+('BLAZE SHIELD II'!$L$7*('CALCULO MORTERO'!I1525^2)+'BLAZE SHIELD II'!$L$8*'CALCULO MORTERO'!I1525+'BLAZE SHIELD II'!$L$9)),0)+IF(AND(L1525="Blaze Shield II",M1525="Software Idiem",C1525="IN",G1525=3),((('BLAZE SHIELD II'!$H$14*('CALCULO MORTERO'!I1525^2)+'BLAZE SHIELD II'!$H$15*'CALCULO MORTERO'!I1525+'BLAZE SHIELD II'!$H$16)*LN(J1525))+('BLAZE SHIELD II'!$H$17*('CALCULO MORTERO'!I1525^2)+'BLAZE SHIELD II'!$H$18*'CALCULO MORTERO'!I1525+'BLAZE SHIELD II'!$H$19)),0),0)+ROUND(IF(AND(L1525="Cafco 400",M1525="Software Idiem",C1525="IN",G1525=4),((('CAFCO 400 '!$H$7*(J1525^4)+'CAFCO 400 '!$H$8*(J1525^3)+'CAFCO 400 '!$H$9*(J1525^2)+'CAFCO 400 '!$H$10*J1525+'CAFCO 400 '!$H$11)*U1525^2)+(('CAFCO 400 '!$H$12*(J1525^3)+'CAFCO 400 '!$H$13*(J1525^2)+'CAFCO 400 '!$H$14*J1525+'CAFCO 400 '!$H$15)*U1525)+('CAFCO 400 '!$H$16*(J1525^2)+'CAFCO 400 '!$H$17*J1525+'CAFCO 400 '!$H$18)),0)+IF(AND(L1525="Cafco 400",M1525="Software Idiem",C1525="Cj"),(((('CAFCO 400 '!$D$7*LN(J1525)+'CAFCO 400 '!$D$8)*U1525^2)+(('CAFCO 400 '!$D$9*LN(J1525)+'CAFCO 400 '!$D$10)*U1525)+('CAFCO 400 '!$D$11*LN(J1525)+'CAFCO 400 '!$D$12))),0)+IF(AND(L1525="Cafco 400",M1525="Software Idiem",C1525="C"),((('CAFCO 400 '!$L$7*(J1525^3)+'CAFCO 400 '!$L$8*(J1525^2)+'CAFCO 400 '!$L$9*J1525+'CAFCO 400 '!$L$10)*U1525^2)+(('CAFCO 400 '!$L$11*(J1525^3)+'CAFCO 400 '!$L$12*(J1525^2)+'CAFCO 400 '!$L$13*J1525+'CAFCO 400 '!$L$14)*U1525)+('CAFCO 400 '!$L$15*LN(J1525)+'CAFCO 400 '!$L$16)),0)+IF(AND(L1525="Cafco 400",M1525="Software Idiem",C1525="L"),((('CAFCO 400 '!$L$7*(J1525^3)+'CAFCO 400 '!$L$8*(J1525^2)+'CAFCO 400 '!$L$9*J1525+'CAFCO 400 '!$L$10)*U1525^2)+(('CAFCO 400 '!$L$11*(J1525^3)+'CAFCO 400 '!$L$12*(J1525^2)+'CAFCO 400 '!$L$13*J1525+'CAFCO 400 '!$L$14)*U1525)+('CAFCO 400 '!$L$15*LN(J1525)+'CAFCO 400 '!$L$16)),0)+IF(AND(L1525="Cafco 400",M1525="Software Idiem",C1525="IN",G1525=3),((('CAFCO 400 '!$D$23*(J1525^2)+'CAFCO 400 '!$D$24*(J1525)+'CAFCO 400 '!$D$25)*U1525^2)+(('CAFCO 400 '!$D$26*(J1525^2)+'CAFCO 400 '!$D$27*J1525+'CAFCO 400 '!$D$28)*U1525)+('CAFCO 400 '!$D$29*(J1525^2)+'CAFCO 400 '!$D$30*J1525+'CAFCO 400 '!$D$31)),0),0)+IF(AND(L1525="Cafco 300",J1525&gt;=95,J1525&lt;=240,C1525="Cj",I1525=90),VLOOKUP(T1525,'CAFCO 300 IDIEM TABLAS'!$B$4:$D$23,2,FALSE),0)+IF(AND(L1525="Cafco 300",J1525&gt;=95,J1525&lt;=240,C1525="Cj",I1525=120),VLOOKUP(T1525,'CAFCO 300 IDIEM TABLAS'!$B$4:$D$23,3,FALSE),0)+IF(AND(L1525="Cafco 300",J1525&gt;=95,J1525&lt;=400,G1525=3,C1525="IN",I1525=90),VLOOKUP(T1525,'CAFCO 300 IDIEM TABLAS'!$F$4:$H$35,2,FALSE),0)+IF(AND(L1525="Cafco 300",J1525&gt;=95,J1525&lt;=400,G1525=3,C1525="IN",I1525=120),VLOOKUP(T1525,'CAFCO 300 IDIEM TABLAS'!$F$4:$H$35,3,FALSE),0)+IF(AND(L1525="Cafco 300",J1525&gt;=95,J1525&lt;=450,G1525=4,C1525="IN",I1525=90),VLOOKUP(T1525,'CAFCO 300 IDIEM TABLAS'!$J$4:$L$40,2,FALSE),0)+IF(AND(L1525="Cafco 300",J1525&gt;=95,J1525&lt;=450,G1525=4,C1525="IN",I1525=120),VLOOKUP(T1525,'CAFCO 300 IDIEM TABLAS'!$J$4:$L$40,3,FALSE),0)+IF(AND(M1525="Ensayo Idiem",L1525="Cafco 400",C1525="IN",G1525=4,I1525=90),VLOOKUP(T1525,'CAFCO 400 ENSAYO'!$B$7:$D$43,2,FALSE),0)+IF(AND(M1525="Ensayo Idiem",L1525="Cafco 400",C1525="IN",G1525=4,I1525=120),VLOOKUP(T1525,'CAFCO 400 ENSAYO'!$B$7:$D$43,3,FALSE),0)</f>
        <v>0</v>
      </c>
      <c r="O1525" s="96">
        <f t="shared" si="150"/>
        <v>0</v>
      </c>
      <c r="P1525" s="132" t="str">
        <f t="shared" si="151"/>
        <v>N/A</v>
      </c>
      <c r="Q1525" s="132" t="str">
        <f t="shared" si="152"/>
        <v>N/A</v>
      </c>
      <c r="R1525" s="132" t="str">
        <f t="shared" si="153"/>
        <v>NO CERT.</v>
      </c>
      <c r="S1525" s="132" t="e">
        <f t="shared" si="154"/>
        <v>#N/A</v>
      </c>
      <c r="T1525" s="133" t="e">
        <f>+IF(J1525=LOOKUP(J1525,'CAFCO 300 IDIEM TABLAS'!$J$4:$J$40),'CALCULO MORTERO'!J1525,MROUND('CALCULO MORTERO'!J1525,10))</f>
        <v>#N/A</v>
      </c>
      <c r="U1525" s="134">
        <f t="shared" si="155"/>
        <v>0</v>
      </c>
    </row>
    <row r="1526" spans="1:21" x14ac:dyDescent="0.25">
      <c r="A1526" s="118">
        <f>+CUBICACION!D1520</f>
        <v>0</v>
      </c>
      <c r="B1526" s="819">
        <f>+CUBICACION!E1520</f>
        <v>0</v>
      </c>
      <c r="C1526" s="675">
        <f>+CUBICACION!F1520</f>
        <v>0</v>
      </c>
      <c r="D1526" s="118"/>
      <c r="E1526" s="118"/>
      <c r="F1526" s="820"/>
      <c r="G1526" s="675">
        <f>+CUBICACION!J1520</f>
        <v>0</v>
      </c>
      <c r="H1526" s="118"/>
      <c r="I1526" s="821">
        <f>+CUBICACION!L1520</f>
        <v>0</v>
      </c>
      <c r="J1526" s="64">
        <f>+CUBICACION!M1520</f>
        <v>0</v>
      </c>
      <c r="K1526" s="822" t="str">
        <f>+CUBICACION!N1520</f>
        <v/>
      </c>
      <c r="L1526" s="118">
        <f>+CUBICACION!O1520</f>
        <v>0</v>
      </c>
      <c r="M1526" s="823">
        <f>+CUBICACION!P1520</f>
        <v>0</v>
      </c>
      <c r="N1526" s="902">
        <f>ROUND(IF(AND(L1526="Blaze Shield II",M1526="Software Idiem",C1526="IN",G1526=4),((('BLAZE SHIELD II'!$D$4*('CALCULO MORTERO'!I1526^2)+'BLAZE SHIELD II'!$D$5*'CALCULO MORTERO'!I1526+'BLAZE SHIELD II'!$D$6)*LN(J1526))+('BLAZE SHIELD II'!$D$7*('CALCULO MORTERO'!I1526^2)+'BLAZE SHIELD II'!$D$8*'CALCULO MORTERO'!I1526+'BLAZE SHIELD II'!$D$9)),0)+IF(AND(L1526="Blaze Shield II",M1526="Software Idiem",C1526="Cj"),((('BLAZE SHIELD II'!$H$4*('CALCULO MORTERO'!I1526^2)+'BLAZE SHIELD II'!$H$5*'CALCULO MORTERO'!I1526+'BLAZE SHIELD II'!$H$6)*LN(J1526))+('BLAZE SHIELD II'!$H$7*('CALCULO MORTERO'!I1526^2)+'BLAZE SHIELD II'!$H$8*'CALCULO MORTERO'!I1526+'BLAZE SHIELD II'!$H$9)),0)+IF(AND(L1526="Blaze Shield II",M1526="Software Idiem",C1526="C"),((('BLAZE SHIELD II'!$L$4*('CALCULO MORTERO'!I1526^2)+'BLAZE SHIELD II'!$L$5*'CALCULO MORTERO'!I1526+'BLAZE SHIELD II'!$L$6)*LN(J1526))+('BLAZE SHIELD II'!$L$7*('CALCULO MORTERO'!I1526^2)+'BLAZE SHIELD II'!$L$8*'CALCULO MORTERO'!I1526+'BLAZE SHIELD II'!$L$9)),0)+IF(AND(L1526="Blaze Shield II",M1526="Software Idiem",C1526="L"),((('BLAZE SHIELD II'!$L$4*('CALCULO MORTERO'!I1526^2)+'BLAZE SHIELD II'!$L$5*'CALCULO MORTERO'!I1526+'BLAZE SHIELD II'!$L$6)*LN(J1526))+('BLAZE SHIELD II'!$L$7*('CALCULO MORTERO'!I1526^2)+'BLAZE SHIELD II'!$L$8*'CALCULO MORTERO'!I1526+'BLAZE SHIELD II'!$L$9)),0)+IF(AND(L1526="Blaze Shield II",M1526="Software Idiem",C1526="IN",G1526=3),((('BLAZE SHIELD II'!$H$14*('CALCULO MORTERO'!I1526^2)+'BLAZE SHIELD II'!$H$15*'CALCULO MORTERO'!I1526+'BLAZE SHIELD II'!$H$16)*LN(J1526))+('BLAZE SHIELD II'!$H$17*('CALCULO MORTERO'!I1526^2)+'BLAZE SHIELD II'!$H$18*'CALCULO MORTERO'!I1526+'BLAZE SHIELD II'!$H$19)),0),0)+ROUND(IF(AND(L1526="Cafco 400",M1526="Software Idiem",C1526="IN",G1526=4),((('CAFCO 400 '!$H$7*(J1526^4)+'CAFCO 400 '!$H$8*(J1526^3)+'CAFCO 400 '!$H$9*(J1526^2)+'CAFCO 400 '!$H$10*J1526+'CAFCO 400 '!$H$11)*U1526^2)+(('CAFCO 400 '!$H$12*(J1526^3)+'CAFCO 400 '!$H$13*(J1526^2)+'CAFCO 400 '!$H$14*J1526+'CAFCO 400 '!$H$15)*U1526)+('CAFCO 400 '!$H$16*(J1526^2)+'CAFCO 400 '!$H$17*J1526+'CAFCO 400 '!$H$18)),0)+IF(AND(L1526="Cafco 400",M1526="Software Idiem",C1526="Cj"),(((('CAFCO 400 '!$D$7*LN(J1526)+'CAFCO 400 '!$D$8)*U1526^2)+(('CAFCO 400 '!$D$9*LN(J1526)+'CAFCO 400 '!$D$10)*U1526)+('CAFCO 400 '!$D$11*LN(J1526)+'CAFCO 400 '!$D$12))),0)+IF(AND(L1526="Cafco 400",M1526="Software Idiem",C1526="C"),((('CAFCO 400 '!$L$7*(J1526^3)+'CAFCO 400 '!$L$8*(J1526^2)+'CAFCO 400 '!$L$9*J1526+'CAFCO 400 '!$L$10)*U1526^2)+(('CAFCO 400 '!$L$11*(J1526^3)+'CAFCO 400 '!$L$12*(J1526^2)+'CAFCO 400 '!$L$13*J1526+'CAFCO 400 '!$L$14)*U1526)+('CAFCO 400 '!$L$15*LN(J1526)+'CAFCO 400 '!$L$16)),0)+IF(AND(L1526="Cafco 400",M1526="Software Idiem",C1526="L"),((('CAFCO 400 '!$L$7*(J1526^3)+'CAFCO 400 '!$L$8*(J1526^2)+'CAFCO 400 '!$L$9*J1526+'CAFCO 400 '!$L$10)*U1526^2)+(('CAFCO 400 '!$L$11*(J1526^3)+'CAFCO 400 '!$L$12*(J1526^2)+'CAFCO 400 '!$L$13*J1526+'CAFCO 400 '!$L$14)*U1526)+('CAFCO 400 '!$L$15*LN(J1526)+'CAFCO 400 '!$L$16)),0)+IF(AND(L1526="Cafco 400",M1526="Software Idiem",C1526="IN",G1526=3),((('CAFCO 400 '!$D$23*(J1526^2)+'CAFCO 400 '!$D$24*(J1526)+'CAFCO 400 '!$D$25)*U1526^2)+(('CAFCO 400 '!$D$26*(J1526^2)+'CAFCO 400 '!$D$27*J1526+'CAFCO 400 '!$D$28)*U1526)+('CAFCO 400 '!$D$29*(J1526^2)+'CAFCO 400 '!$D$30*J1526+'CAFCO 400 '!$D$31)),0),0)+IF(AND(L1526="Cafco 300",J1526&gt;=95,J1526&lt;=240,C1526="Cj",I1526=90),VLOOKUP(T1526,'CAFCO 300 IDIEM TABLAS'!$B$4:$D$23,2,FALSE),0)+IF(AND(L1526="Cafco 300",J1526&gt;=95,J1526&lt;=240,C1526="Cj",I1526=120),VLOOKUP(T1526,'CAFCO 300 IDIEM TABLAS'!$B$4:$D$23,3,FALSE),0)+IF(AND(L1526="Cafco 300",J1526&gt;=95,J1526&lt;=400,G1526=3,C1526="IN",I1526=90),VLOOKUP(T1526,'CAFCO 300 IDIEM TABLAS'!$F$4:$H$35,2,FALSE),0)+IF(AND(L1526="Cafco 300",J1526&gt;=95,J1526&lt;=400,G1526=3,C1526="IN",I1526=120),VLOOKUP(T1526,'CAFCO 300 IDIEM TABLAS'!$F$4:$H$35,3,FALSE),0)+IF(AND(L1526="Cafco 300",J1526&gt;=95,J1526&lt;=450,G1526=4,C1526="IN",I1526=90),VLOOKUP(T1526,'CAFCO 300 IDIEM TABLAS'!$J$4:$L$40,2,FALSE),0)+IF(AND(L1526="Cafco 300",J1526&gt;=95,J1526&lt;=450,G1526=4,C1526="IN",I1526=120),VLOOKUP(T1526,'CAFCO 300 IDIEM TABLAS'!$J$4:$L$40,3,FALSE),0)+IF(AND(M1526="Ensayo Idiem",L1526="Cafco 400",C1526="IN",G1526=4,I1526=90),VLOOKUP(T1526,'CAFCO 400 ENSAYO'!$B$7:$D$43,2,FALSE),0)+IF(AND(M1526="Ensayo Idiem",L1526="Cafco 400",C1526="IN",G1526=4,I1526=120),VLOOKUP(T1526,'CAFCO 400 ENSAYO'!$B$7:$D$43,3,FALSE),0)</f>
        <v>0</v>
      </c>
      <c r="O1526" s="96">
        <f t="shared" si="150"/>
        <v>0</v>
      </c>
      <c r="P1526" s="95" t="str">
        <f t="shared" si="151"/>
        <v>N/A</v>
      </c>
      <c r="Q1526" s="95" t="str">
        <f t="shared" si="152"/>
        <v>N/A</v>
      </c>
      <c r="R1526" s="95" t="str">
        <f t="shared" si="153"/>
        <v>NO CERT.</v>
      </c>
      <c r="S1526" s="95" t="e">
        <f t="shared" si="154"/>
        <v>#N/A</v>
      </c>
      <c r="T1526" s="119" t="e">
        <f>+IF(J1526=LOOKUP(J1526,'CAFCO 300 IDIEM TABLAS'!$J$4:$J$40),'CALCULO MORTERO'!J1526,MROUND('CALCULO MORTERO'!J1526,10))</f>
        <v>#N/A</v>
      </c>
      <c r="U1526" s="118">
        <f t="shared" si="155"/>
        <v>0</v>
      </c>
    </row>
    <row r="1527" spans="1:21" x14ac:dyDescent="0.25">
      <c r="A1527" s="118">
        <f>+CUBICACION!D1521</f>
        <v>0</v>
      </c>
      <c r="B1527" s="819">
        <f>+CUBICACION!E1521</f>
        <v>0</v>
      </c>
      <c r="C1527" s="675">
        <f>+CUBICACION!F1521</f>
        <v>0</v>
      </c>
      <c r="D1527" s="118"/>
      <c r="E1527" s="118"/>
      <c r="F1527" s="820"/>
      <c r="G1527" s="675">
        <f>+CUBICACION!J1521</f>
        <v>0</v>
      </c>
      <c r="H1527" s="118"/>
      <c r="I1527" s="821">
        <f>+CUBICACION!L1521</f>
        <v>0</v>
      </c>
      <c r="J1527" s="64">
        <f>+CUBICACION!M1521</f>
        <v>0</v>
      </c>
      <c r="K1527" s="822" t="str">
        <f>+CUBICACION!N1521</f>
        <v/>
      </c>
      <c r="L1527" s="118">
        <f>+CUBICACION!O1521</f>
        <v>0</v>
      </c>
      <c r="M1527" s="823">
        <f>+CUBICACION!P1521</f>
        <v>0</v>
      </c>
      <c r="N1527" s="902">
        <f>ROUND(IF(AND(L1527="Blaze Shield II",M1527="Software Idiem",C1527="IN",G1527=4),((('BLAZE SHIELD II'!$D$4*('CALCULO MORTERO'!I1527^2)+'BLAZE SHIELD II'!$D$5*'CALCULO MORTERO'!I1527+'BLAZE SHIELD II'!$D$6)*LN(J1527))+('BLAZE SHIELD II'!$D$7*('CALCULO MORTERO'!I1527^2)+'BLAZE SHIELD II'!$D$8*'CALCULO MORTERO'!I1527+'BLAZE SHIELD II'!$D$9)),0)+IF(AND(L1527="Blaze Shield II",M1527="Software Idiem",C1527="Cj"),((('BLAZE SHIELD II'!$H$4*('CALCULO MORTERO'!I1527^2)+'BLAZE SHIELD II'!$H$5*'CALCULO MORTERO'!I1527+'BLAZE SHIELD II'!$H$6)*LN(J1527))+('BLAZE SHIELD II'!$H$7*('CALCULO MORTERO'!I1527^2)+'BLAZE SHIELD II'!$H$8*'CALCULO MORTERO'!I1527+'BLAZE SHIELD II'!$H$9)),0)+IF(AND(L1527="Blaze Shield II",M1527="Software Idiem",C1527="C"),((('BLAZE SHIELD II'!$L$4*('CALCULO MORTERO'!I1527^2)+'BLAZE SHIELD II'!$L$5*'CALCULO MORTERO'!I1527+'BLAZE SHIELD II'!$L$6)*LN(J1527))+('BLAZE SHIELD II'!$L$7*('CALCULO MORTERO'!I1527^2)+'BLAZE SHIELD II'!$L$8*'CALCULO MORTERO'!I1527+'BLAZE SHIELD II'!$L$9)),0)+IF(AND(L1527="Blaze Shield II",M1527="Software Idiem",C1527="L"),((('BLAZE SHIELD II'!$L$4*('CALCULO MORTERO'!I1527^2)+'BLAZE SHIELD II'!$L$5*'CALCULO MORTERO'!I1527+'BLAZE SHIELD II'!$L$6)*LN(J1527))+('BLAZE SHIELD II'!$L$7*('CALCULO MORTERO'!I1527^2)+'BLAZE SHIELD II'!$L$8*'CALCULO MORTERO'!I1527+'BLAZE SHIELD II'!$L$9)),0)+IF(AND(L1527="Blaze Shield II",M1527="Software Idiem",C1527="IN",G1527=3),((('BLAZE SHIELD II'!$H$14*('CALCULO MORTERO'!I1527^2)+'BLAZE SHIELD II'!$H$15*'CALCULO MORTERO'!I1527+'BLAZE SHIELD II'!$H$16)*LN(J1527))+('BLAZE SHIELD II'!$H$17*('CALCULO MORTERO'!I1527^2)+'BLAZE SHIELD II'!$H$18*'CALCULO MORTERO'!I1527+'BLAZE SHIELD II'!$H$19)),0),0)+ROUND(IF(AND(L1527="Cafco 400",M1527="Software Idiem",C1527="IN",G1527=4),((('CAFCO 400 '!$H$7*(J1527^4)+'CAFCO 400 '!$H$8*(J1527^3)+'CAFCO 400 '!$H$9*(J1527^2)+'CAFCO 400 '!$H$10*J1527+'CAFCO 400 '!$H$11)*U1527^2)+(('CAFCO 400 '!$H$12*(J1527^3)+'CAFCO 400 '!$H$13*(J1527^2)+'CAFCO 400 '!$H$14*J1527+'CAFCO 400 '!$H$15)*U1527)+('CAFCO 400 '!$H$16*(J1527^2)+'CAFCO 400 '!$H$17*J1527+'CAFCO 400 '!$H$18)),0)+IF(AND(L1527="Cafco 400",M1527="Software Idiem",C1527="Cj"),(((('CAFCO 400 '!$D$7*LN(J1527)+'CAFCO 400 '!$D$8)*U1527^2)+(('CAFCO 400 '!$D$9*LN(J1527)+'CAFCO 400 '!$D$10)*U1527)+('CAFCO 400 '!$D$11*LN(J1527)+'CAFCO 400 '!$D$12))),0)+IF(AND(L1527="Cafco 400",M1527="Software Idiem",C1527="C"),((('CAFCO 400 '!$L$7*(J1527^3)+'CAFCO 400 '!$L$8*(J1527^2)+'CAFCO 400 '!$L$9*J1527+'CAFCO 400 '!$L$10)*U1527^2)+(('CAFCO 400 '!$L$11*(J1527^3)+'CAFCO 400 '!$L$12*(J1527^2)+'CAFCO 400 '!$L$13*J1527+'CAFCO 400 '!$L$14)*U1527)+('CAFCO 400 '!$L$15*LN(J1527)+'CAFCO 400 '!$L$16)),0)+IF(AND(L1527="Cafco 400",M1527="Software Idiem",C1527="L"),((('CAFCO 400 '!$L$7*(J1527^3)+'CAFCO 400 '!$L$8*(J1527^2)+'CAFCO 400 '!$L$9*J1527+'CAFCO 400 '!$L$10)*U1527^2)+(('CAFCO 400 '!$L$11*(J1527^3)+'CAFCO 400 '!$L$12*(J1527^2)+'CAFCO 400 '!$L$13*J1527+'CAFCO 400 '!$L$14)*U1527)+('CAFCO 400 '!$L$15*LN(J1527)+'CAFCO 400 '!$L$16)),0)+IF(AND(L1527="Cafco 400",M1527="Software Idiem",C1527="IN",G1527=3),((('CAFCO 400 '!$D$23*(J1527^2)+'CAFCO 400 '!$D$24*(J1527)+'CAFCO 400 '!$D$25)*U1527^2)+(('CAFCO 400 '!$D$26*(J1527^2)+'CAFCO 400 '!$D$27*J1527+'CAFCO 400 '!$D$28)*U1527)+('CAFCO 400 '!$D$29*(J1527^2)+'CAFCO 400 '!$D$30*J1527+'CAFCO 400 '!$D$31)),0),0)+IF(AND(L1527="Cafco 300",J1527&gt;=95,J1527&lt;=240,C1527="Cj",I1527=90),VLOOKUP(T1527,'CAFCO 300 IDIEM TABLAS'!$B$4:$D$23,2,FALSE),0)+IF(AND(L1527="Cafco 300",J1527&gt;=95,J1527&lt;=240,C1527="Cj",I1527=120),VLOOKUP(T1527,'CAFCO 300 IDIEM TABLAS'!$B$4:$D$23,3,FALSE),0)+IF(AND(L1527="Cafco 300",J1527&gt;=95,J1527&lt;=400,G1527=3,C1527="IN",I1527=90),VLOOKUP(T1527,'CAFCO 300 IDIEM TABLAS'!$F$4:$H$35,2,FALSE),0)+IF(AND(L1527="Cafco 300",J1527&gt;=95,J1527&lt;=400,G1527=3,C1527="IN",I1527=120),VLOOKUP(T1527,'CAFCO 300 IDIEM TABLAS'!$F$4:$H$35,3,FALSE),0)+IF(AND(L1527="Cafco 300",J1527&gt;=95,J1527&lt;=450,G1527=4,C1527="IN",I1527=90),VLOOKUP(T1527,'CAFCO 300 IDIEM TABLAS'!$J$4:$L$40,2,FALSE),0)+IF(AND(L1527="Cafco 300",J1527&gt;=95,J1527&lt;=450,G1527=4,C1527="IN",I1527=120),VLOOKUP(T1527,'CAFCO 300 IDIEM TABLAS'!$J$4:$L$40,3,FALSE),0)+IF(AND(M1527="Ensayo Idiem",L1527="Cafco 400",C1527="IN",G1527=4,I1527=90),VLOOKUP(T1527,'CAFCO 400 ENSAYO'!$B$7:$D$43,2,FALSE),0)+IF(AND(M1527="Ensayo Idiem",L1527="Cafco 400",C1527="IN",G1527=4,I1527=120),VLOOKUP(T1527,'CAFCO 400 ENSAYO'!$B$7:$D$43,3,FALSE),0)</f>
        <v>0</v>
      </c>
      <c r="O1527" s="96">
        <f t="shared" si="150"/>
        <v>0</v>
      </c>
      <c r="P1527" s="132" t="str">
        <f t="shared" si="151"/>
        <v>N/A</v>
      </c>
      <c r="Q1527" s="132" t="str">
        <f t="shared" si="152"/>
        <v>N/A</v>
      </c>
      <c r="R1527" s="132" t="str">
        <f t="shared" si="153"/>
        <v>NO CERT.</v>
      </c>
      <c r="S1527" s="132" t="e">
        <f t="shared" si="154"/>
        <v>#N/A</v>
      </c>
      <c r="T1527" s="133" t="e">
        <f>+IF(J1527=LOOKUP(J1527,'CAFCO 300 IDIEM TABLAS'!$J$4:$J$40),'CALCULO MORTERO'!J1527,MROUND('CALCULO MORTERO'!J1527,10))</f>
        <v>#N/A</v>
      </c>
      <c r="U1527" s="134">
        <f t="shared" si="155"/>
        <v>0</v>
      </c>
    </row>
    <row r="1528" spans="1:21" x14ac:dyDescent="0.25">
      <c r="A1528" s="118">
        <f>+CUBICACION!D1522</f>
        <v>0</v>
      </c>
      <c r="B1528" s="819">
        <f>+CUBICACION!E1522</f>
        <v>0</v>
      </c>
      <c r="C1528" s="675">
        <f>+CUBICACION!F1522</f>
        <v>0</v>
      </c>
      <c r="D1528" s="118"/>
      <c r="E1528" s="118"/>
      <c r="F1528" s="820"/>
      <c r="G1528" s="675">
        <f>+CUBICACION!J1522</f>
        <v>0</v>
      </c>
      <c r="H1528" s="118"/>
      <c r="I1528" s="821">
        <f>+CUBICACION!L1522</f>
        <v>0</v>
      </c>
      <c r="J1528" s="64">
        <f>+CUBICACION!M1522</f>
        <v>0</v>
      </c>
      <c r="K1528" s="822" t="str">
        <f>+CUBICACION!N1522</f>
        <v/>
      </c>
      <c r="L1528" s="118">
        <f>+CUBICACION!O1522</f>
        <v>0</v>
      </c>
      <c r="M1528" s="823">
        <f>+CUBICACION!P1522</f>
        <v>0</v>
      </c>
      <c r="N1528" s="902">
        <f>ROUND(IF(AND(L1528="Blaze Shield II",M1528="Software Idiem",C1528="IN",G1528=4),((('BLAZE SHIELD II'!$D$4*('CALCULO MORTERO'!I1528^2)+'BLAZE SHIELD II'!$D$5*'CALCULO MORTERO'!I1528+'BLAZE SHIELD II'!$D$6)*LN(J1528))+('BLAZE SHIELD II'!$D$7*('CALCULO MORTERO'!I1528^2)+'BLAZE SHIELD II'!$D$8*'CALCULO MORTERO'!I1528+'BLAZE SHIELD II'!$D$9)),0)+IF(AND(L1528="Blaze Shield II",M1528="Software Idiem",C1528="Cj"),((('BLAZE SHIELD II'!$H$4*('CALCULO MORTERO'!I1528^2)+'BLAZE SHIELD II'!$H$5*'CALCULO MORTERO'!I1528+'BLAZE SHIELD II'!$H$6)*LN(J1528))+('BLAZE SHIELD II'!$H$7*('CALCULO MORTERO'!I1528^2)+'BLAZE SHIELD II'!$H$8*'CALCULO MORTERO'!I1528+'BLAZE SHIELD II'!$H$9)),0)+IF(AND(L1528="Blaze Shield II",M1528="Software Idiem",C1528="C"),((('BLAZE SHIELD II'!$L$4*('CALCULO MORTERO'!I1528^2)+'BLAZE SHIELD II'!$L$5*'CALCULO MORTERO'!I1528+'BLAZE SHIELD II'!$L$6)*LN(J1528))+('BLAZE SHIELD II'!$L$7*('CALCULO MORTERO'!I1528^2)+'BLAZE SHIELD II'!$L$8*'CALCULO MORTERO'!I1528+'BLAZE SHIELD II'!$L$9)),0)+IF(AND(L1528="Blaze Shield II",M1528="Software Idiem",C1528="L"),((('BLAZE SHIELD II'!$L$4*('CALCULO MORTERO'!I1528^2)+'BLAZE SHIELD II'!$L$5*'CALCULO MORTERO'!I1528+'BLAZE SHIELD II'!$L$6)*LN(J1528))+('BLAZE SHIELD II'!$L$7*('CALCULO MORTERO'!I1528^2)+'BLAZE SHIELD II'!$L$8*'CALCULO MORTERO'!I1528+'BLAZE SHIELD II'!$L$9)),0)+IF(AND(L1528="Blaze Shield II",M1528="Software Idiem",C1528="IN",G1528=3),((('BLAZE SHIELD II'!$H$14*('CALCULO MORTERO'!I1528^2)+'BLAZE SHIELD II'!$H$15*'CALCULO MORTERO'!I1528+'BLAZE SHIELD II'!$H$16)*LN(J1528))+('BLAZE SHIELD II'!$H$17*('CALCULO MORTERO'!I1528^2)+'BLAZE SHIELD II'!$H$18*'CALCULO MORTERO'!I1528+'BLAZE SHIELD II'!$H$19)),0),0)+ROUND(IF(AND(L1528="Cafco 400",M1528="Software Idiem",C1528="IN",G1528=4),((('CAFCO 400 '!$H$7*(J1528^4)+'CAFCO 400 '!$H$8*(J1528^3)+'CAFCO 400 '!$H$9*(J1528^2)+'CAFCO 400 '!$H$10*J1528+'CAFCO 400 '!$H$11)*U1528^2)+(('CAFCO 400 '!$H$12*(J1528^3)+'CAFCO 400 '!$H$13*(J1528^2)+'CAFCO 400 '!$H$14*J1528+'CAFCO 400 '!$H$15)*U1528)+('CAFCO 400 '!$H$16*(J1528^2)+'CAFCO 400 '!$H$17*J1528+'CAFCO 400 '!$H$18)),0)+IF(AND(L1528="Cafco 400",M1528="Software Idiem",C1528="Cj"),(((('CAFCO 400 '!$D$7*LN(J1528)+'CAFCO 400 '!$D$8)*U1528^2)+(('CAFCO 400 '!$D$9*LN(J1528)+'CAFCO 400 '!$D$10)*U1528)+('CAFCO 400 '!$D$11*LN(J1528)+'CAFCO 400 '!$D$12))),0)+IF(AND(L1528="Cafco 400",M1528="Software Idiem",C1528="C"),((('CAFCO 400 '!$L$7*(J1528^3)+'CAFCO 400 '!$L$8*(J1528^2)+'CAFCO 400 '!$L$9*J1528+'CAFCO 400 '!$L$10)*U1528^2)+(('CAFCO 400 '!$L$11*(J1528^3)+'CAFCO 400 '!$L$12*(J1528^2)+'CAFCO 400 '!$L$13*J1528+'CAFCO 400 '!$L$14)*U1528)+('CAFCO 400 '!$L$15*LN(J1528)+'CAFCO 400 '!$L$16)),0)+IF(AND(L1528="Cafco 400",M1528="Software Idiem",C1528="L"),((('CAFCO 400 '!$L$7*(J1528^3)+'CAFCO 400 '!$L$8*(J1528^2)+'CAFCO 400 '!$L$9*J1528+'CAFCO 400 '!$L$10)*U1528^2)+(('CAFCO 400 '!$L$11*(J1528^3)+'CAFCO 400 '!$L$12*(J1528^2)+'CAFCO 400 '!$L$13*J1528+'CAFCO 400 '!$L$14)*U1528)+('CAFCO 400 '!$L$15*LN(J1528)+'CAFCO 400 '!$L$16)),0)+IF(AND(L1528="Cafco 400",M1528="Software Idiem",C1528="IN",G1528=3),((('CAFCO 400 '!$D$23*(J1528^2)+'CAFCO 400 '!$D$24*(J1528)+'CAFCO 400 '!$D$25)*U1528^2)+(('CAFCO 400 '!$D$26*(J1528^2)+'CAFCO 400 '!$D$27*J1528+'CAFCO 400 '!$D$28)*U1528)+('CAFCO 400 '!$D$29*(J1528^2)+'CAFCO 400 '!$D$30*J1528+'CAFCO 400 '!$D$31)),0),0)+IF(AND(L1528="Cafco 300",J1528&gt;=95,J1528&lt;=240,C1528="Cj",I1528=90),VLOOKUP(T1528,'CAFCO 300 IDIEM TABLAS'!$B$4:$D$23,2,FALSE),0)+IF(AND(L1528="Cafco 300",J1528&gt;=95,J1528&lt;=240,C1528="Cj",I1528=120),VLOOKUP(T1528,'CAFCO 300 IDIEM TABLAS'!$B$4:$D$23,3,FALSE),0)+IF(AND(L1528="Cafco 300",J1528&gt;=95,J1528&lt;=400,G1528=3,C1528="IN",I1528=90),VLOOKUP(T1528,'CAFCO 300 IDIEM TABLAS'!$F$4:$H$35,2,FALSE),0)+IF(AND(L1528="Cafco 300",J1528&gt;=95,J1528&lt;=400,G1528=3,C1528="IN",I1528=120),VLOOKUP(T1528,'CAFCO 300 IDIEM TABLAS'!$F$4:$H$35,3,FALSE),0)+IF(AND(L1528="Cafco 300",J1528&gt;=95,J1528&lt;=450,G1528=4,C1528="IN",I1528=90),VLOOKUP(T1528,'CAFCO 300 IDIEM TABLAS'!$J$4:$L$40,2,FALSE),0)+IF(AND(L1528="Cafco 300",J1528&gt;=95,J1528&lt;=450,G1528=4,C1528="IN",I1528=120),VLOOKUP(T1528,'CAFCO 300 IDIEM TABLAS'!$J$4:$L$40,3,FALSE),0)+IF(AND(M1528="Ensayo Idiem",L1528="Cafco 400",C1528="IN",G1528=4,I1528=90),VLOOKUP(T1528,'CAFCO 400 ENSAYO'!$B$7:$D$43,2,FALSE),0)+IF(AND(M1528="Ensayo Idiem",L1528="Cafco 400",C1528="IN",G1528=4,I1528=120),VLOOKUP(T1528,'CAFCO 400 ENSAYO'!$B$7:$D$43,3,FALSE),0)</f>
        <v>0</v>
      </c>
      <c r="O1528" s="96">
        <f t="shared" si="150"/>
        <v>0</v>
      </c>
      <c r="P1528" s="95" t="str">
        <f t="shared" si="151"/>
        <v>N/A</v>
      </c>
      <c r="Q1528" s="95" t="str">
        <f t="shared" si="152"/>
        <v>N/A</v>
      </c>
      <c r="R1528" s="95" t="str">
        <f t="shared" si="153"/>
        <v>NO CERT.</v>
      </c>
      <c r="S1528" s="95" t="e">
        <f t="shared" si="154"/>
        <v>#N/A</v>
      </c>
      <c r="T1528" s="119" t="e">
        <f>+IF(J1528=LOOKUP(J1528,'CAFCO 300 IDIEM TABLAS'!$J$4:$J$40),'CALCULO MORTERO'!J1528,MROUND('CALCULO MORTERO'!J1528,10))</f>
        <v>#N/A</v>
      </c>
      <c r="U1528" s="118">
        <f t="shared" si="155"/>
        <v>0</v>
      </c>
    </row>
    <row r="1529" spans="1:21" x14ac:dyDescent="0.25">
      <c r="A1529" s="118">
        <f>+CUBICACION!D1523</f>
        <v>0</v>
      </c>
      <c r="B1529" s="819">
        <f>+CUBICACION!E1523</f>
        <v>0</v>
      </c>
      <c r="C1529" s="675">
        <f>+CUBICACION!F1523</f>
        <v>0</v>
      </c>
      <c r="D1529" s="118"/>
      <c r="E1529" s="118"/>
      <c r="F1529" s="820"/>
      <c r="G1529" s="675">
        <f>+CUBICACION!J1523</f>
        <v>0</v>
      </c>
      <c r="H1529" s="118"/>
      <c r="I1529" s="821">
        <f>+CUBICACION!L1523</f>
        <v>0</v>
      </c>
      <c r="J1529" s="64">
        <f>+CUBICACION!M1523</f>
        <v>0</v>
      </c>
      <c r="K1529" s="822" t="str">
        <f>+CUBICACION!N1523</f>
        <v/>
      </c>
      <c r="L1529" s="118">
        <f>+CUBICACION!O1523</f>
        <v>0</v>
      </c>
      <c r="M1529" s="823">
        <f>+CUBICACION!P1523</f>
        <v>0</v>
      </c>
      <c r="N1529" s="902">
        <f>ROUND(IF(AND(L1529="Blaze Shield II",M1529="Software Idiem",C1529="IN",G1529=4),((('BLAZE SHIELD II'!$D$4*('CALCULO MORTERO'!I1529^2)+'BLAZE SHIELD II'!$D$5*'CALCULO MORTERO'!I1529+'BLAZE SHIELD II'!$D$6)*LN(J1529))+('BLAZE SHIELD II'!$D$7*('CALCULO MORTERO'!I1529^2)+'BLAZE SHIELD II'!$D$8*'CALCULO MORTERO'!I1529+'BLAZE SHIELD II'!$D$9)),0)+IF(AND(L1529="Blaze Shield II",M1529="Software Idiem",C1529="Cj"),((('BLAZE SHIELD II'!$H$4*('CALCULO MORTERO'!I1529^2)+'BLAZE SHIELD II'!$H$5*'CALCULO MORTERO'!I1529+'BLAZE SHIELD II'!$H$6)*LN(J1529))+('BLAZE SHIELD II'!$H$7*('CALCULO MORTERO'!I1529^2)+'BLAZE SHIELD II'!$H$8*'CALCULO MORTERO'!I1529+'BLAZE SHIELD II'!$H$9)),0)+IF(AND(L1529="Blaze Shield II",M1529="Software Idiem",C1529="C"),((('BLAZE SHIELD II'!$L$4*('CALCULO MORTERO'!I1529^2)+'BLAZE SHIELD II'!$L$5*'CALCULO MORTERO'!I1529+'BLAZE SHIELD II'!$L$6)*LN(J1529))+('BLAZE SHIELD II'!$L$7*('CALCULO MORTERO'!I1529^2)+'BLAZE SHIELD II'!$L$8*'CALCULO MORTERO'!I1529+'BLAZE SHIELD II'!$L$9)),0)+IF(AND(L1529="Blaze Shield II",M1529="Software Idiem",C1529="L"),((('BLAZE SHIELD II'!$L$4*('CALCULO MORTERO'!I1529^2)+'BLAZE SHIELD II'!$L$5*'CALCULO MORTERO'!I1529+'BLAZE SHIELD II'!$L$6)*LN(J1529))+('BLAZE SHIELD II'!$L$7*('CALCULO MORTERO'!I1529^2)+'BLAZE SHIELD II'!$L$8*'CALCULO MORTERO'!I1529+'BLAZE SHIELD II'!$L$9)),0)+IF(AND(L1529="Blaze Shield II",M1529="Software Idiem",C1529="IN",G1529=3),((('BLAZE SHIELD II'!$H$14*('CALCULO MORTERO'!I1529^2)+'BLAZE SHIELD II'!$H$15*'CALCULO MORTERO'!I1529+'BLAZE SHIELD II'!$H$16)*LN(J1529))+('BLAZE SHIELD II'!$H$17*('CALCULO MORTERO'!I1529^2)+'BLAZE SHIELD II'!$H$18*'CALCULO MORTERO'!I1529+'BLAZE SHIELD II'!$H$19)),0),0)+ROUND(IF(AND(L1529="Cafco 400",M1529="Software Idiem",C1529="IN",G1529=4),((('CAFCO 400 '!$H$7*(J1529^4)+'CAFCO 400 '!$H$8*(J1529^3)+'CAFCO 400 '!$H$9*(J1529^2)+'CAFCO 400 '!$H$10*J1529+'CAFCO 400 '!$H$11)*U1529^2)+(('CAFCO 400 '!$H$12*(J1529^3)+'CAFCO 400 '!$H$13*(J1529^2)+'CAFCO 400 '!$H$14*J1529+'CAFCO 400 '!$H$15)*U1529)+('CAFCO 400 '!$H$16*(J1529^2)+'CAFCO 400 '!$H$17*J1529+'CAFCO 400 '!$H$18)),0)+IF(AND(L1529="Cafco 400",M1529="Software Idiem",C1529="Cj"),(((('CAFCO 400 '!$D$7*LN(J1529)+'CAFCO 400 '!$D$8)*U1529^2)+(('CAFCO 400 '!$D$9*LN(J1529)+'CAFCO 400 '!$D$10)*U1529)+('CAFCO 400 '!$D$11*LN(J1529)+'CAFCO 400 '!$D$12))),0)+IF(AND(L1529="Cafco 400",M1529="Software Idiem",C1529="C"),((('CAFCO 400 '!$L$7*(J1529^3)+'CAFCO 400 '!$L$8*(J1529^2)+'CAFCO 400 '!$L$9*J1529+'CAFCO 400 '!$L$10)*U1529^2)+(('CAFCO 400 '!$L$11*(J1529^3)+'CAFCO 400 '!$L$12*(J1529^2)+'CAFCO 400 '!$L$13*J1529+'CAFCO 400 '!$L$14)*U1529)+('CAFCO 400 '!$L$15*LN(J1529)+'CAFCO 400 '!$L$16)),0)+IF(AND(L1529="Cafco 400",M1529="Software Idiem",C1529="L"),((('CAFCO 400 '!$L$7*(J1529^3)+'CAFCO 400 '!$L$8*(J1529^2)+'CAFCO 400 '!$L$9*J1529+'CAFCO 400 '!$L$10)*U1529^2)+(('CAFCO 400 '!$L$11*(J1529^3)+'CAFCO 400 '!$L$12*(J1529^2)+'CAFCO 400 '!$L$13*J1529+'CAFCO 400 '!$L$14)*U1529)+('CAFCO 400 '!$L$15*LN(J1529)+'CAFCO 400 '!$L$16)),0)+IF(AND(L1529="Cafco 400",M1529="Software Idiem",C1529="IN",G1529=3),((('CAFCO 400 '!$D$23*(J1529^2)+'CAFCO 400 '!$D$24*(J1529)+'CAFCO 400 '!$D$25)*U1529^2)+(('CAFCO 400 '!$D$26*(J1529^2)+'CAFCO 400 '!$D$27*J1529+'CAFCO 400 '!$D$28)*U1529)+('CAFCO 400 '!$D$29*(J1529^2)+'CAFCO 400 '!$D$30*J1529+'CAFCO 400 '!$D$31)),0),0)+IF(AND(L1529="Cafco 300",J1529&gt;=95,J1529&lt;=240,C1529="Cj",I1529=90),VLOOKUP(T1529,'CAFCO 300 IDIEM TABLAS'!$B$4:$D$23,2,FALSE),0)+IF(AND(L1529="Cafco 300",J1529&gt;=95,J1529&lt;=240,C1529="Cj",I1529=120),VLOOKUP(T1529,'CAFCO 300 IDIEM TABLAS'!$B$4:$D$23,3,FALSE),0)+IF(AND(L1529="Cafco 300",J1529&gt;=95,J1529&lt;=400,G1529=3,C1529="IN",I1529=90),VLOOKUP(T1529,'CAFCO 300 IDIEM TABLAS'!$F$4:$H$35,2,FALSE),0)+IF(AND(L1529="Cafco 300",J1529&gt;=95,J1529&lt;=400,G1529=3,C1529="IN",I1529=120),VLOOKUP(T1529,'CAFCO 300 IDIEM TABLAS'!$F$4:$H$35,3,FALSE),0)+IF(AND(L1529="Cafco 300",J1529&gt;=95,J1529&lt;=450,G1529=4,C1529="IN",I1529=90),VLOOKUP(T1529,'CAFCO 300 IDIEM TABLAS'!$J$4:$L$40,2,FALSE),0)+IF(AND(L1529="Cafco 300",J1529&gt;=95,J1529&lt;=450,G1529=4,C1529="IN",I1529=120),VLOOKUP(T1529,'CAFCO 300 IDIEM TABLAS'!$J$4:$L$40,3,FALSE),0)+IF(AND(M1529="Ensayo Idiem",L1529="Cafco 400",C1529="IN",G1529=4,I1529=90),VLOOKUP(T1529,'CAFCO 400 ENSAYO'!$B$7:$D$43,2,FALSE),0)+IF(AND(M1529="Ensayo Idiem",L1529="Cafco 400",C1529="IN",G1529=4,I1529=120),VLOOKUP(T1529,'CAFCO 400 ENSAYO'!$B$7:$D$43,3,FALSE),0)</f>
        <v>0</v>
      </c>
      <c r="O1529" s="96">
        <f t="shared" si="150"/>
        <v>0</v>
      </c>
      <c r="P1529" s="132" t="str">
        <f t="shared" si="151"/>
        <v>N/A</v>
      </c>
      <c r="Q1529" s="132" t="str">
        <f t="shared" si="152"/>
        <v>N/A</v>
      </c>
      <c r="R1529" s="132" t="str">
        <f t="shared" si="153"/>
        <v>NO CERT.</v>
      </c>
      <c r="S1529" s="132" t="e">
        <f t="shared" si="154"/>
        <v>#N/A</v>
      </c>
      <c r="T1529" s="133" t="e">
        <f>+IF(J1529=LOOKUP(J1529,'CAFCO 300 IDIEM TABLAS'!$J$4:$J$40),'CALCULO MORTERO'!J1529,MROUND('CALCULO MORTERO'!J1529,10))</f>
        <v>#N/A</v>
      </c>
      <c r="U1529" s="134">
        <f t="shared" si="155"/>
        <v>0</v>
      </c>
    </row>
    <row r="1530" spans="1:21" x14ac:dyDescent="0.25">
      <c r="A1530" s="118">
        <f>+CUBICACION!D1524</f>
        <v>0</v>
      </c>
      <c r="B1530" s="819">
        <f>+CUBICACION!E1524</f>
        <v>0</v>
      </c>
      <c r="C1530" s="675">
        <f>+CUBICACION!F1524</f>
        <v>0</v>
      </c>
      <c r="D1530" s="118"/>
      <c r="E1530" s="118"/>
      <c r="F1530" s="820"/>
      <c r="G1530" s="675">
        <f>+CUBICACION!J1524</f>
        <v>0</v>
      </c>
      <c r="H1530" s="118"/>
      <c r="I1530" s="821">
        <f>+CUBICACION!L1524</f>
        <v>0</v>
      </c>
      <c r="J1530" s="64">
        <f>+CUBICACION!M1524</f>
        <v>0</v>
      </c>
      <c r="K1530" s="822" t="str">
        <f>+CUBICACION!N1524</f>
        <v/>
      </c>
      <c r="L1530" s="118">
        <f>+CUBICACION!O1524</f>
        <v>0</v>
      </c>
      <c r="M1530" s="823">
        <f>+CUBICACION!P1524</f>
        <v>0</v>
      </c>
      <c r="N1530" s="902">
        <f>ROUND(IF(AND(L1530="Blaze Shield II",M1530="Software Idiem",C1530="IN",G1530=4),((('BLAZE SHIELD II'!$D$4*('CALCULO MORTERO'!I1530^2)+'BLAZE SHIELD II'!$D$5*'CALCULO MORTERO'!I1530+'BLAZE SHIELD II'!$D$6)*LN(J1530))+('BLAZE SHIELD II'!$D$7*('CALCULO MORTERO'!I1530^2)+'BLAZE SHIELD II'!$D$8*'CALCULO MORTERO'!I1530+'BLAZE SHIELD II'!$D$9)),0)+IF(AND(L1530="Blaze Shield II",M1530="Software Idiem",C1530="Cj"),((('BLAZE SHIELD II'!$H$4*('CALCULO MORTERO'!I1530^2)+'BLAZE SHIELD II'!$H$5*'CALCULO MORTERO'!I1530+'BLAZE SHIELD II'!$H$6)*LN(J1530))+('BLAZE SHIELD II'!$H$7*('CALCULO MORTERO'!I1530^2)+'BLAZE SHIELD II'!$H$8*'CALCULO MORTERO'!I1530+'BLAZE SHIELD II'!$H$9)),0)+IF(AND(L1530="Blaze Shield II",M1530="Software Idiem",C1530="C"),((('BLAZE SHIELD II'!$L$4*('CALCULO MORTERO'!I1530^2)+'BLAZE SHIELD II'!$L$5*'CALCULO MORTERO'!I1530+'BLAZE SHIELD II'!$L$6)*LN(J1530))+('BLAZE SHIELD II'!$L$7*('CALCULO MORTERO'!I1530^2)+'BLAZE SHIELD II'!$L$8*'CALCULO MORTERO'!I1530+'BLAZE SHIELD II'!$L$9)),0)+IF(AND(L1530="Blaze Shield II",M1530="Software Idiem",C1530="L"),((('BLAZE SHIELD II'!$L$4*('CALCULO MORTERO'!I1530^2)+'BLAZE SHIELD II'!$L$5*'CALCULO MORTERO'!I1530+'BLAZE SHIELD II'!$L$6)*LN(J1530))+('BLAZE SHIELD II'!$L$7*('CALCULO MORTERO'!I1530^2)+'BLAZE SHIELD II'!$L$8*'CALCULO MORTERO'!I1530+'BLAZE SHIELD II'!$L$9)),0)+IF(AND(L1530="Blaze Shield II",M1530="Software Idiem",C1530="IN",G1530=3),((('BLAZE SHIELD II'!$H$14*('CALCULO MORTERO'!I1530^2)+'BLAZE SHIELD II'!$H$15*'CALCULO MORTERO'!I1530+'BLAZE SHIELD II'!$H$16)*LN(J1530))+('BLAZE SHIELD II'!$H$17*('CALCULO MORTERO'!I1530^2)+'BLAZE SHIELD II'!$H$18*'CALCULO MORTERO'!I1530+'BLAZE SHIELD II'!$H$19)),0),0)+ROUND(IF(AND(L1530="Cafco 400",M1530="Software Idiem",C1530="IN",G1530=4),((('CAFCO 400 '!$H$7*(J1530^4)+'CAFCO 400 '!$H$8*(J1530^3)+'CAFCO 400 '!$H$9*(J1530^2)+'CAFCO 400 '!$H$10*J1530+'CAFCO 400 '!$H$11)*U1530^2)+(('CAFCO 400 '!$H$12*(J1530^3)+'CAFCO 400 '!$H$13*(J1530^2)+'CAFCO 400 '!$H$14*J1530+'CAFCO 400 '!$H$15)*U1530)+('CAFCO 400 '!$H$16*(J1530^2)+'CAFCO 400 '!$H$17*J1530+'CAFCO 400 '!$H$18)),0)+IF(AND(L1530="Cafco 400",M1530="Software Idiem",C1530="Cj"),(((('CAFCO 400 '!$D$7*LN(J1530)+'CAFCO 400 '!$D$8)*U1530^2)+(('CAFCO 400 '!$D$9*LN(J1530)+'CAFCO 400 '!$D$10)*U1530)+('CAFCO 400 '!$D$11*LN(J1530)+'CAFCO 400 '!$D$12))),0)+IF(AND(L1530="Cafco 400",M1530="Software Idiem",C1530="C"),((('CAFCO 400 '!$L$7*(J1530^3)+'CAFCO 400 '!$L$8*(J1530^2)+'CAFCO 400 '!$L$9*J1530+'CAFCO 400 '!$L$10)*U1530^2)+(('CAFCO 400 '!$L$11*(J1530^3)+'CAFCO 400 '!$L$12*(J1530^2)+'CAFCO 400 '!$L$13*J1530+'CAFCO 400 '!$L$14)*U1530)+('CAFCO 400 '!$L$15*LN(J1530)+'CAFCO 400 '!$L$16)),0)+IF(AND(L1530="Cafco 400",M1530="Software Idiem",C1530="L"),((('CAFCO 400 '!$L$7*(J1530^3)+'CAFCO 400 '!$L$8*(J1530^2)+'CAFCO 400 '!$L$9*J1530+'CAFCO 400 '!$L$10)*U1530^2)+(('CAFCO 400 '!$L$11*(J1530^3)+'CAFCO 400 '!$L$12*(J1530^2)+'CAFCO 400 '!$L$13*J1530+'CAFCO 400 '!$L$14)*U1530)+('CAFCO 400 '!$L$15*LN(J1530)+'CAFCO 400 '!$L$16)),0)+IF(AND(L1530="Cafco 400",M1530="Software Idiem",C1530="IN",G1530=3),((('CAFCO 400 '!$D$23*(J1530^2)+'CAFCO 400 '!$D$24*(J1530)+'CAFCO 400 '!$D$25)*U1530^2)+(('CAFCO 400 '!$D$26*(J1530^2)+'CAFCO 400 '!$D$27*J1530+'CAFCO 400 '!$D$28)*U1530)+('CAFCO 400 '!$D$29*(J1530^2)+'CAFCO 400 '!$D$30*J1530+'CAFCO 400 '!$D$31)),0),0)+IF(AND(L1530="Cafco 300",J1530&gt;=95,J1530&lt;=240,C1530="Cj",I1530=90),VLOOKUP(T1530,'CAFCO 300 IDIEM TABLAS'!$B$4:$D$23,2,FALSE),0)+IF(AND(L1530="Cafco 300",J1530&gt;=95,J1530&lt;=240,C1530="Cj",I1530=120),VLOOKUP(T1530,'CAFCO 300 IDIEM TABLAS'!$B$4:$D$23,3,FALSE),0)+IF(AND(L1530="Cafco 300",J1530&gt;=95,J1530&lt;=400,G1530=3,C1530="IN",I1530=90),VLOOKUP(T1530,'CAFCO 300 IDIEM TABLAS'!$F$4:$H$35,2,FALSE),0)+IF(AND(L1530="Cafco 300",J1530&gt;=95,J1530&lt;=400,G1530=3,C1530="IN",I1530=120),VLOOKUP(T1530,'CAFCO 300 IDIEM TABLAS'!$F$4:$H$35,3,FALSE),0)+IF(AND(L1530="Cafco 300",J1530&gt;=95,J1530&lt;=450,G1530=4,C1530="IN",I1530=90),VLOOKUP(T1530,'CAFCO 300 IDIEM TABLAS'!$J$4:$L$40,2,FALSE),0)+IF(AND(L1530="Cafco 300",J1530&gt;=95,J1530&lt;=450,G1530=4,C1530="IN",I1530=120),VLOOKUP(T1530,'CAFCO 300 IDIEM TABLAS'!$J$4:$L$40,3,FALSE),0)+IF(AND(M1530="Ensayo Idiem",L1530="Cafco 400",C1530="IN",G1530=4,I1530=90),VLOOKUP(T1530,'CAFCO 400 ENSAYO'!$B$7:$D$43,2,FALSE),0)+IF(AND(M1530="Ensayo Idiem",L1530="Cafco 400",C1530="IN",G1530=4,I1530=120),VLOOKUP(T1530,'CAFCO 400 ENSAYO'!$B$7:$D$43,3,FALSE),0)</f>
        <v>0</v>
      </c>
      <c r="O1530" s="96">
        <f t="shared" si="150"/>
        <v>0</v>
      </c>
      <c r="P1530" s="95" t="str">
        <f t="shared" si="151"/>
        <v>N/A</v>
      </c>
      <c r="Q1530" s="95" t="str">
        <f t="shared" si="152"/>
        <v>N/A</v>
      </c>
      <c r="R1530" s="95" t="str">
        <f t="shared" si="153"/>
        <v>NO CERT.</v>
      </c>
      <c r="S1530" s="95" t="e">
        <f t="shared" si="154"/>
        <v>#N/A</v>
      </c>
      <c r="T1530" s="119" t="e">
        <f>+IF(J1530=LOOKUP(J1530,'CAFCO 300 IDIEM TABLAS'!$J$4:$J$40),'CALCULO MORTERO'!J1530,MROUND('CALCULO MORTERO'!J1530,10))</f>
        <v>#N/A</v>
      </c>
      <c r="U1530" s="118">
        <f t="shared" si="155"/>
        <v>0</v>
      </c>
    </row>
    <row r="1531" spans="1:21" x14ac:dyDescent="0.25">
      <c r="A1531" s="118">
        <f>+CUBICACION!D1525</f>
        <v>0</v>
      </c>
      <c r="B1531" s="819">
        <f>+CUBICACION!E1525</f>
        <v>0</v>
      </c>
      <c r="C1531" s="675">
        <f>+CUBICACION!F1525</f>
        <v>0</v>
      </c>
      <c r="D1531" s="118"/>
      <c r="E1531" s="118"/>
      <c r="F1531" s="820"/>
      <c r="G1531" s="675">
        <f>+CUBICACION!J1525</f>
        <v>0</v>
      </c>
      <c r="H1531" s="118"/>
      <c r="I1531" s="821">
        <f>+CUBICACION!L1525</f>
        <v>0</v>
      </c>
      <c r="J1531" s="64">
        <f>+CUBICACION!M1525</f>
        <v>0</v>
      </c>
      <c r="K1531" s="822" t="str">
        <f>+CUBICACION!N1525</f>
        <v/>
      </c>
      <c r="L1531" s="118">
        <f>+CUBICACION!O1525</f>
        <v>0</v>
      </c>
      <c r="M1531" s="823">
        <f>+CUBICACION!P1525</f>
        <v>0</v>
      </c>
      <c r="N1531" s="902">
        <f>ROUND(IF(AND(L1531="Blaze Shield II",M1531="Software Idiem",C1531="IN",G1531=4),((('BLAZE SHIELD II'!$D$4*('CALCULO MORTERO'!I1531^2)+'BLAZE SHIELD II'!$D$5*'CALCULO MORTERO'!I1531+'BLAZE SHIELD II'!$D$6)*LN(J1531))+('BLAZE SHIELD II'!$D$7*('CALCULO MORTERO'!I1531^2)+'BLAZE SHIELD II'!$D$8*'CALCULO MORTERO'!I1531+'BLAZE SHIELD II'!$D$9)),0)+IF(AND(L1531="Blaze Shield II",M1531="Software Idiem",C1531="Cj"),((('BLAZE SHIELD II'!$H$4*('CALCULO MORTERO'!I1531^2)+'BLAZE SHIELD II'!$H$5*'CALCULO MORTERO'!I1531+'BLAZE SHIELD II'!$H$6)*LN(J1531))+('BLAZE SHIELD II'!$H$7*('CALCULO MORTERO'!I1531^2)+'BLAZE SHIELD II'!$H$8*'CALCULO MORTERO'!I1531+'BLAZE SHIELD II'!$H$9)),0)+IF(AND(L1531="Blaze Shield II",M1531="Software Idiem",C1531="C"),((('BLAZE SHIELD II'!$L$4*('CALCULO MORTERO'!I1531^2)+'BLAZE SHIELD II'!$L$5*'CALCULO MORTERO'!I1531+'BLAZE SHIELD II'!$L$6)*LN(J1531))+('BLAZE SHIELD II'!$L$7*('CALCULO MORTERO'!I1531^2)+'BLAZE SHIELD II'!$L$8*'CALCULO MORTERO'!I1531+'BLAZE SHIELD II'!$L$9)),0)+IF(AND(L1531="Blaze Shield II",M1531="Software Idiem",C1531="L"),((('BLAZE SHIELD II'!$L$4*('CALCULO MORTERO'!I1531^2)+'BLAZE SHIELD II'!$L$5*'CALCULO MORTERO'!I1531+'BLAZE SHIELD II'!$L$6)*LN(J1531))+('BLAZE SHIELD II'!$L$7*('CALCULO MORTERO'!I1531^2)+'BLAZE SHIELD II'!$L$8*'CALCULO MORTERO'!I1531+'BLAZE SHIELD II'!$L$9)),0)+IF(AND(L1531="Blaze Shield II",M1531="Software Idiem",C1531="IN",G1531=3),((('BLAZE SHIELD II'!$H$14*('CALCULO MORTERO'!I1531^2)+'BLAZE SHIELD II'!$H$15*'CALCULO MORTERO'!I1531+'BLAZE SHIELD II'!$H$16)*LN(J1531))+('BLAZE SHIELD II'!$H$17*('CALCULO MORTERO'!I1531^2)+'BLAZE SHIELD II'!$H$18*'CALCULO MORTERO'!I1531+'BLAZE SHIELD II'!$H$19)),0),0)+ROUND(IF(AND(L1531="Cafco 400",M1531="Software Idiem",C1531="IN",G1531=4),((('CAFCO 400 '!$H$7*(J1531^4)+'CAFCO 400 '!$H$8*(J1531^3)+'CAFCO 400 '!$H$9*(J1531^2)+'CAFCO 400 '!$H$10*J1531+'CAFCO 400 '!$H$11)*U1531^2)+(('CAFCO 400 '!$H$12*(J1531^3)+'CAFCO 400 '!$H$13*(J1531^2)+'CAFCO 400 '!$H$14*J1531+'CAFCO 400 '!$H$15)*U1531)+('CAFCO 400 '!$H$16*(J1531^2)+'CAFCO 400 '!$H$17*J1531+'CAFCO 400 '!$H$18)),0)+IF(AND(L1531="Cafco 400",M1531="Software Idiem",C1531="Cj"),(((('CAFCO 400 '!$D$7*LN(J1531)+'CAFCO 400 '!$D$8)*U1531^2)+(('CAFCO 400 '!$D$9*LN(J1531)+'CAFCO 400 '!$D$10)*U1531)+('CAFCO 400 '!$D$11*LN(J1531)+'CAFCO 400 '!$D$12))),0)+IF(AND(L1531="Cafco 400",M1531="Software Idiem",C1531="C"),((('CAFCO 400 '!$L$7*(J1531^3)+'CAFCO 400 '!$L$8*(J1531^2)+'CAFCO 400 '!$L$9*J1531+'CAFCO 400 '!$L$10)*U1531^2)+(('CAFCO 400 '!$L$11*(J1531^3)+'CAFCO 400 '!$L$12*(J1531^2)+'CAFCO 400 '!$L$13*J1531+'CAFCO 400 '!$L$14)*U1531)+('CAFCO 400 '!$L$15*LN(J1531)+'CAFCO 400 '!$L$16)),0)+IF(AND(L1531="Cafco 400",M1531="Software Idiem",C1531="L"),((('CAFCO 400 '!$L$7*(J1531^3)+'CAFCO 400 '!$L$8*(J1531^2)+'CAFCO 400 '!$L$9*J1531+'CAFCO 400 '!$L$10)*U1531^2)+(('CAFCO 400 '!$L$11*(J1531^3)+'CAFCO 400 '!$L$12*(J1531^2)+'CAFCO 400 '!$L$13*J1531+'CAFCO 400 '!$L$14)*U1531)+('CAFCO 400 '!$L$15*LN(J1531)+'CAFCO 400 '!$L$16)),0)+IF(AND(L1531="Cafco 400",M1531="Software Idiem",C1531="IN",G1531=3),((('CAFCO 400 '!$D$23*(J1531^2)+'CAFCO 400 '!$D$24*(J1531)+'CAFCO 400 '!$D$25)*U1531^2)+(('CAFCO 400 '!$D$26*(J1531^2)+'CAFCO 400 '!$D$27*J1531+'CAFCO 400 '!$D$28)*U1531)+('CAFCO 400 '!$D$29*(J1531^2)+'CAFCO 400 '!$D$30*J1531+'CAFCO 400 '!$D$31)),0),0)+IF(AND(L1531="Cafco 300",J1531&gt;=95,J1531&lt;=240,C1531="Cj",I1531=90),VLOOKUP(T1531,'CAFCO 300 IDIEM TABLAS'!$B$4:$D$23,2,FALSE),0)+IF(AND(L1531="Cafco 300",J1531&gt;=95,J1531&lt;=240,C1531="Cj",I1531=120),VLOOKUP(T1531,'CAFCO 300 IDIEM TABLAS'!$B$4:$D$23,3,FALSE),0)+IF(AND(L1531="Cafco 300",J1531&gt;=95,J1531&lt;=400,G1531=3,C1531="IN",I1531=90),VLOOKUP(T1531,'CAFCO 300 IDIEM TABLAS'!$F$4:$H$35,2,FALSE),0)+IF(AND(L1531="Cafco 300",J1531&gt;=95,J1531&lt;=400,G1531=3,C1531="IN",I1531=120),VLOOKUP(T1531,'CAFCO 300 IDIEM TABLAS'!$F$4:$H$35,3,FALSE),0)+IF(AND(L1531="Cafco 300",J1531&gt;=95,J1531&lt;=450,G1531=4,C1531="IN",I1531=90),VLOOKUP(T1531,'CAFCO 300 IDIEM TABLAS'!$J$4:$L$40,2,FALSE),0)+IF(AND(L1531="Cafco 300",J1531&gt;=95,J1531&lt;=450,G1531=4,C1531="IN",I1531=120),VLOOKUP(T1531,'CAFCO 300 IDIEM TABLAS'!$J$4:$L$40,3,FALSE),0)+IF(AND(M1531="Ensayo Idiem",L1531="Cafco 400",C1531="IN",G1531=4,I1531=90),VLOOKUP(T1531,'CAFCO 400 ENSAYO'!$B$7:$D$43,2,FALSE),0)+IF(AND(M1531="Ensayo Idiem",L1531="Cafco 400",C1531="IN",G1531=4,I1531=120),VLOOKUP(T1531,'CAFCO 400 ENSAYO'!$B$7:$D$43,3,FALSE),0)</f>
        <v>0</v>
      </c>
      <c r="O1531" s="96">
        <f t="shared" si="150"/>
        <v>0</v>
      </c>
      <c r="P1531" s="132" t="str">
        <f t="shared" si="151"/>
        <v>N/A</v>
      </c>
      <c r="Q1531" s="132" t="str">
        <f t="shared" si="152"/>
        <v>N/A</v>
      </c>
      <c r="R1531" s="132" t="str">
        <f t="shared" si="153"/>
        <v>NO CERT.</v>
      </c>
      <c r="S1531" s="132" t="e">
        <f t="shared" si="154"/>
        <v>#N/A</v>
      </c>
      <c r="T1531" s="133" t="e">
        <f>+IF(J1531=LOOKUP(J1531,'CAFCO 300 IDIEM TABLAS'!$J$4:$J$40),'CALCULO MORTERO'!J1531,MROUND('CALCULO MORTERO'!J1531,10))</f>
        <v>#N/A</v>
      </c>
      <c r="U1531" s="134">
        <f t="shared" si="155"/>
        <v>0</v>
      </c>
    </row>
    <row r="1532" spans="1:21" x14ac:dyDescent="0.25">
      <c r="A1532" s="118">
        <f>+CUBICACION!D1526</f>
        <v>0</v>
      </c>
      <c r="B1532" s="819">
        <f>+CUBICACION!E1526</f>
        <v>0</v>
      </c>
      <c r="C1532" s="675">
        <f>+CUBICACION!F1526</f>
        <v>0</v>
      </c>
      <c r="D1532" s="118"/>
      <c r="E1532" s="118"/>
      <c r="F1532" s="820"/>
      <c r="G1532" s="675">
        <f>+CUBICACION!J1526</f>
        <v>0</v>
      </c>
      <c r="H1532" s="118"/>
      <c r="I1532" s="821">
        <f>+CUBICACION!L1526</f>
        <v>0</v>
      </c>
      <c r="J1532" s="64">
        <f>+CUBICACION!M1526</f>
        <v>0</v>
      </c>
      <c r="K1532" s="822" t="str">
        <f>+CUBICACION!N1526</f>
        <v/>
      </c>
      <c r="L1532" s="118">
        <f>+CUBICACION!O1526</f>
        <v>0</v>
      </c>
      <c r="M1532" s="823">
        <f>+CUBICACION!P1526</f>
        <v>0</v>
      </c>
      <c r="N1532" s="902">
        <f>ROUND(IF(AND(L1532="Blaze Shield II",M1532="Software Idiem",C1532="IN",G1532=4),((('BLAZE SHIELD II'!$D$4*('CALCULO MORTERO'!I1532^2)+'BLAZE SHIELD II'!$D$5*'CALCULO MORTERO'!I1532+'BLAZE SHIELD II'!$D$6)*LN(J1532))+('BLAZE SHIELD II'!$D$7*('CALCULO MORTERO'!I1532^2)+'BLAZE SHIELD II'!$D$8*'CALCULO MORTERO'!I1532+'BLAZE SHIELD II'!$D$9)),0)+IF(AND(L1532="Blaze Shield II",M1532="Software Idiem",C1532="Cj"),((('BLAZE SHIELD II'!$H$4*('CALCULO MORTERO'!I1532^2)+'BLAZE SHIELD II'!$H$5*'CALCULO MORTERO'!I1532+'BLAZE SHIELD II'!$H$6)*LN(J1532))+('BLAZE SHIELD II'!$H$7*('CALCULO MORTERO'!I1532^2)+'BLAZE SHIELD II'!$H$8*'CALCULO MORTERO'!I1532+'BLAZE SHIELD II'!$H$9)),0)+IF(AND(L1532="Blaze Shield II",M1532="Software Idiem",C1532="C"),((('BLAZE SHIELD II'!$L$4*('CALCULO MORTERO'!I1532^2)+'BLAZE SHIELD II'!$L$5*'CALCULO MORTERO'!I1532+'BLAZE SHIELD II'!$L$6)*LN(J1532))+('BLAZE SHIELD II'!$L$7*('CALCULO MORTERO'!I1532^2)+'BLAZE SHIELD II'!$L$8*'CALCULO MORTERO'!I1532+'BLAZE SHIELD II'!$L$9)),0)+IF(AND(L1532="Blaze Shield II",M1532="Software Idiem",C1532="L"),((('BLAZE SHIELD II'!$L$4*('CALCULO MORTERO'!I1532^2)+'BLAZE SHIELD II'!$L$5*'CALCULO MORTERO'!I1532+'BLAZE SHIELD II'!$L$6)*LN(J1532))+('BLAZE SHIELD II'!$L$7*('CALCULO MORTERO'!I1532^2)+'BLAZE SHIELD II'!$L$8*'CALCULO MORTERO'!I1532+'BLAZE SHIELD II'!$L$9)),0)+IF(AND(L1532="Blaze Shield II",M1532="Software Idiem",C1532="IN",G1532=3),((('BLAZE SHIELD II'!$H$14*('CALCULO MORTERO'!I1532^2)+'BLAZE SHIELD II'!$H$15*'CALCULO MORTERO'!I1532+'BLAZE SHIELD II'!$H$16)*LN(J1532))+('BLAZE SHIELD II'!$H$17*('CALCULO MORTERO'!I1532^2)+'BLAZE SHIELD II'!$H$18*'CALCULO MORTERO'!I1532+'BLAZE SHIELD II'!$H$19)),0),0)+ROUND(IF(AND(L1532="Cafco 400",M1532="Software Idiem",C1532="IN",G1532=4),((('CAFCO 400 '!$H$7*(J1532^4)+'CAFCO 400 '!$H$8*(J1532^3)+'CAFCO 400 '!$H$9*(J1532^2)+'CAFCO 400 '!$H$10*J1532+'CAFCO 400 '!$H$11)*U1532^2)+(('CAFCO 400 '!$H$12*(J1532^3)+'CAFCO 400 '!$H$13*(J1532^2)+'CAFCO 400 '!$H$14*J1532+'CAFCO 400 '!$H$15)*U1532)+('CAFCO 400 '!$H$16*(J1532^2)+'CAFCO 400 '!$H$17*J1532+'CAFCO 400 '!$H$18)),0)+IF(AND(L1532="Cafco 400",M1532="Software Idiem",C1532="Cj"),(((('CAFCO 400 '!$D$7*LN(J1532)+'CAFCO 400 '!$D$8)*U1532^2)+(('CAFCO 400 '!$D$9*LN(J1532)+'CAFCO 400 '!$D$10)*U1532)+('CAFCO 400 '!$D$11*LN(J1532)+'CAFCO 400 '!$D$12))),0)+IF(AND(L1532="Cafco 400",M1532="Software Idiem",C1532="C"),((('CAFCO 400 '!$L$7*(J1532^3)+'CAFCO 400 '!$L$8*(J1532^2)+'CAFCO 400 '!$L$9*J1532+'CAFCO 400 '!$L$10)*U1532^2)+(('CAFCO 400 '!$L$11*(J1532^3)+'CAFCO 400 '!$L$12*(J1532^2)+'CAFCO 400 '!$L$13*J1532+'CAFCO 400 '!$L$14)*U1532)+('CAFCO 400 '!$L$15*LN(J1532)+'CAFCO 400 '!$L$16)),0)+IF(AND(L1532="Cafco 400",M1532="Software Idiem",C1532="L"),((('CAFCO 400 '!$L$7*(J1532^3)+'CAFCO 400 '!$L$8*(J1532^2)+'CAFCO 400 '!$L$9*J1532+'CAFCO 400 '!$L$10)*U1532^2)+(('CAFCO 400 '!$L$11*(J1532^3)+'CAFCO 400 '!$L$12*(J1532^2)+'CAFCO 400 '!$L$13*J1532+'CAFCO 400 '!$L$14)*U1532)+('CAFCO 400 '!$L$15*LN(J1532)+'CAFCO 400 '!$L$16)),0)+IF(AND(L1532="Cafco 400",M1532="Software Idiem",C1532="IN",G1532=3),((('CAFCO 400 '!$D$23*(J1532^2)+'CAFCO 400 '!$D$24*(J1532)+'CAFCO 400 '!$D$25)*U1532^2)+(('CAFCO 400 '!$D$26*(J1532^2)+'CAFCO 400 '!$D$27*J1532+'CAFCO 400 '!$D$28)*U1532)+('CAFCO 400 '!$D$29*(J1532^2)+'CAFCO 400 '!$D$30*J1532+'CAFCO 400 '!$D$31)),0),0)+IF(AND(L1532="Cafco 300",J1532&gt;=95,J1532&lt;=240,C1532="Cj",I1532=90),VLOOKUP(T1532,'CAFCO 300 IDIEM TABLAS'!$B$4:$D$23,2,FALSE),0)+IF(AND(L1532="Cafco 300",J1532&gt;=95,J1532&lt;=240,C1532="Cj",I1532=120),VLOOKUP(T1532,'CAFCO 300 IDIEM TABLAS'!$B$4:$D$23,3,FALSE),0)+IF(AND(L1532="Cafco 300",J1532&gt;=95,J1532&lt;=400,G1532=3,C1532="IN",I1532=90),VLOOKUP(T1532,'CAFCO 300 IDIEM TABLAS'!$F$4:$H$35,2,FALSE),0)+IF(AND(L1532="Cafco 300",J1532&gt;=95,J1532&lt;=400,G1532=3,C1532="IN",I1532=120),VLOOKUP(T1532,'CAFCO 300 IDIEM TABLAS'!$F$4:$H$35,3,FALSE),0)+IF(AND(L1532="Cafco 300",J1532&gt;=95,J1532&lt;=450,G1532=4,C1532="IN",I1532=90),VLOOKUP(T1532,'CAFCO 300 IDIEM TABLAS'!$J$4:$L$40,2,FALSE),0)+IF(AND(L1532="Cafco 300",J1532&gt;=95,J1532&lt;=450,G1532=4,C1532="IN",I1532=120),VLOOKUP(T1532,'CAFCO 300 IDIEM TABLAS'!$J$4:$L$40,3,FALSE),0)+IF(AND(M1532="Ensayo Idiem",L1532="Cafco 400",C1532="IN",G1532=4,I1532=90),VLOOKUP(T1532,'CAFCO 400 ENSAYO'!$B$7:$D$43,2,FALSE),0)+IF(AND(M1532="Ensayo Idiem",L1532="Cafco 400",C1532="IN",G1532=4,I1532=120),VLOOKUP(T1532,'CAFCO 400 ENSAYO'!$B$7:$D$43,3,FALSE),0)</f>
        <v>0</v>
      </c>
      <c r="O1532" s="96">
        <f t="shared" si="150"/>
        <v>0</v>
      </c>
      <c r="P1532" s="95" t="str">
        <f t="shared" si="151"/>
        <v>N/A</v>
      </c>
      <c r="Q1532" s="95" t="str">
        <f t="shared" si="152"/>
        <v>N/A</v>
      </c>
      <c r="R1532" s="95" t="str">
        <f t="shared" si="153"/>
        <v>NO CERT.</v>
      </c>
      <c r="S1532" s="95" t="e">
        <f t="shared" si="154"/>
        <v>#N/A</v>
      </c>
      <c r="T1532" s="119" t="e">
        <f>+IF(J1532=LOOKUP(J1532,'CAFCO 300 IDIEM TABLAS'!$J$4:$J$40),'CALCULO MORTERO'!J1532,MROUND('CALCULO MORTERO'!J1532,10))</f>
        <v>#N/A</v>
      </c>
      <c r="U1532" s="118">
        <f t="shared" si="155"/>
        <v>0</v>
      </c>
    </row>
    <row r="1533" spans="1:21" x14ac:dyDescent="0.25">
      <c r="A1533" s="118">
        <f>+CUBICACION!D1527</f>
        <v>0</v>
      </c>
      <c r="B1533" s="819">
        <f>+CUBICACION!E1527</f>
        <v>0</v>
      </c>
      <c r="C1533" s="675">
        <f>+CUBICACION!F1527</f>
        <v>0</v>
      </c>
      <c r="D1533" s="118"/>
      <c r="E1533" s="118"/>
      <c r="F1533" s="820"/>
      <c r="G1533" s="675">
        <f>+CUBICACION!J1527</f>
        <v>0</v>
      </c>
      <c r="H1533" s="118"/>
      <c r="I1533" s="821">
        <f>+CUBICACION!L1527</f>
        <v>0</v>
      </c>
      <c r="J1533" s="64">
        <f>+CUBICACION!M1527</f>
        <v>0</v>
      </c>
      <c r="K1533" s="822" t="str">
        <f>+CUBICACION!N1527</f>
        <v/>
      </c>
      <c r="L1533" s="118">
        <f>+CUBICACION!O1527</f>
        <v>0</v>
      </c>
      <c r="M1533" s="823">
        <f>+CUBICACION!P1527</f>
        <v>0</v>
      </c>
      <c r="N1533" s="902">
        <f>ROUND(IF(AND(L1533="Blaze Shield II",M1533="Software Idiem",C1533="IN",G1533=4),((('BLAZE SHIELD II'!$D$4*('CALCULO MORTERO'!I1533^2)+'BLAZE SHIELD II'!$D$5*'CALCULO MORTERO'!I1533+'BLAZE SHIELD II'!$D$6)*LN(J1533))+('BLAZE SHIELD II'!$D$7*('CALCULO MORTERO'!I1533^2)+'BLAZE SHIELD II'!$D$8*'CALCULO MORTERO'!I1533+'BLAZE SHIELD II'!$D$9)),0)+IF(AND(L1533="Blaze Shield II",M1533="Software Idiem",C1533="Cj"),((('BLAZE SHIELD II'!$H$4*('CALCULO MORTERO'!I1533^2)+'BLAZE SHIELD II'!$H$5*'CALCULO MORTERO'!I1533+'BLAZE SHIELD II'!$H$6)*LN(J1533))+('BLAZE SHIELD II'!$H$7*('CALCULO MORTERO'!I1533^2)+'BLAZE SHIELD II'!$H$8*'CALCULO MORTERO'!I1533+'BLAZE SHIELD II'!$H$9)),0)+IF(AND(L1533="Blaze Shield II",M1533="Software Idiem",C1533="C"),((('BLAZE SHIELD II'!$L$4*('CALCULO MORTERO'!I1533^2)+'BLAZE SHIELD II'!$L$5*'CALCULO MORTERO'!I1533+'BLAZE SHIELD II'!$L$6)*LN(J1533))+('BLAZE SHIELD II'!$L$7*('CALCULO MORTERO'!I1533^2)+'BLAZE SHIELD II'!$L$8*'CALCULO MORTERO'!I1533+'BLAZE SHIELD II'!$L$9)),0)+IF(AND(L1533="Blaze Shield II",M1533="Software Idiem",C1533="L"),((('BLAZE SHIELD II'!$L$4*('CALCULO MORTERO'!I1533^2)+'BLAZE SHIELD II'!$L$5*'CALCULO MORTERO'!I1533+'BLAZE SHIELD II'!$L$6)*LN(J1533))+('BLAZE SHIELD II'!$L$7*('CALCULO MORTERO'!I1533^2)+'BLAZE SHIELD II'!$L$8*'CALCULO MORTERO'!I1533+'BLAZE SHIELD II'!$L$9)),0)+IF(AND(L1533="Blaze Shield II",M1533="Software Idiem",C1533="IN",G1533=3),((('BLAZE SHIELD II'!$H$14*('CALCULO MORTERO'!I1533^2)+'BLAZE SHIELD II'!$H$15*'CALCULO MORTERO'!I1533+'BLAZE SHIELD II'!$H$16)*LN(J1533))+('BLAZE SHIELD II'!$H$17*('CALCULO MORTERO'!I1533^2)+'BLAZE SHIELD II'!$H$18*'CALCULO MORTERO'!I1533+'BLAZE SHIELD II'!$H$19)),0),0)+ROUND(IF(AND(L1533="Cafco 400",M1533="Software Idiem",C1533="IN",G1533=4),((('CAFCO 400 '!$H$7*(J1533^4)+'CAFCO 400 '!$H$8*(J1533^3)+'CAFCO 400 '!$H$9*(J1533^2)+'CAFCO 400 '!$H$10*J1533+'CAFCO 400 '!$H$11)*U1533^2)+(('CAFCO 400 '!$H$12*(J1533^3)+'CAFCO 400 '!$H$13*(J1533^2)+'CAFCO 400 '!$H$14*J1533+'CAFCO 400 '!$H$15)*U1533)+('CAFCO 400 '!$H$16*(J1533^2)+'CAFCO 400 '!$H$17*J1533+'CAFCO 400 '!$H$18)),0)+IF(AND(L1533="Cafco 400",M1533="Software Idiem",C1533="Cj"),(((('CAFCO 400 '!$D$7*LN(J1533)+'CAFCO 400 '!$D$8)*U1533^2)+(('CAFCO 400 '!$D$9*LN(J1533)+'CAFCO 400 '!$D$10)*U1533)+('CAFCO 400 '!$D$11*LN(J1533)+'CAFCO 400 '!$D$12))),0)+IF(AND(L1533="Cafco 400",M1533="Software Idiem",C1533="C"),((('CAFCO 400 '!$L$7*(J1533^3)+'CAFCO 400 '!$L$8*(J1533^2)+'CAFCO 400 '!$L$9*J1533+'CAFCO 400 '!$L$10)*U1533^2)+(('CAFCO 400 '!$L$11*(J1533^3)+'CAFCO 400 '!$L$12*(J1533^2)+'CAFCO 400 '!$L$13*J1533+'CAFCO 400 '!$L$14)*U1533)+('CAFCO 400 '!$L$15*LN(J1533)+'CAFCO 400 '!$L$16)),0)+IF(AND(L1533="Cafco 400",M1533="Software Idiem",C1533="L"),((('CAFCO 400 '!$L$7*(J1533^3)+'CAFCO 400 '!$L$8*(J1533^2)+'CAFCO 400 '!$L$9*J1533+'CAFCO 400 '!$L$10)*U1533^2)+(('CAFCO 400 '!$L$11*(J1533^3)+'CAFCO 400 '!$L$12*(J1533^2)+'CAFCO 400 '!$L$13*J1533+'CAFCO 400 '!$L$14)*U1533)+('CAFCO 400 '!$L$15*LN(J1533)+'CAFCO 400 '!$L$16)),0)+IF(AND(L1533="Cafco 400",M1533="Software Idiem",C1533="IN",G1533=3),((('CAFCO 400 '!$D$23*(J1533^2)+'CAFCO 400 '!$D$24*(J1533)+'CAFCO 400 '!$D$25)*U1533^2)+(('CAFCO 400 '!$D$26*(J1533^2)+'CAFCO 400 '!$D$27*J1533+'CAFCO 400 '!$D$28)*U1533)+('CAFCO 400 '!$D$29*(J1533^2)+'CAFCO 400 '!$D$30*J1533+'CAFCO 400 '!$D$31)),0),0)+IF(AND(L1533="Cafco 300",J1533&gt;=95,J1533&lt;=240,C1533="Cj",I1533=90),VLOOKUP(T1533,'CAFCO 300 IDIEM TABLAS'!$B$4:$D$23,2,FALSE),0)+IF(AND(L1533="Cafco 300",J1533&gt;=95,J1533&lt;=240,C1533="Cj",I1533=120),VLOOKUP(T1533,'CAFCO 300 IDIEM TABLAS'!$B$4:$D$23,3,FALSE),0)+IF(AND(L1533="Cafco 300",J1533&gt;=95,J1533&lt;=400,G1533=3,C1533="IN",I1533=90),VLOOKUP(T1533,'CAFCO 300 IDIEM TABLAS'!$F$4:$H$35,2,FALSE),0)+IF(AND(L1533="Cafco 300",J1533&gt;=95,J1533&lt;=400,G1533=3,C1533="IN",I1533=120),VLOOKUP(T1533,'CAFCO 300 IDIEM TABLAS'!$F$4:$H$35,3,FALSE),0)+IF(AND(L1533="Cafco 300",J1533&gt;=95,J1533&lt;=450,G1533=4,C1533="IN",I1533=90),VLOOKUP(T1533,'CAFCO 300 IDIEM TABLAS'!$J$4:$L$40,2,FALSE),0)+IF(AND(L1533="Cafco 300",J1533&gt;=95,J1533&lt;=450,G1533=4,C1533="IN",I1533=120),VLOOKUP(T1533,'CAFCO 300 IDIEM TABLAS'!$J$4:$L$40,3,FALSE),0)+IF(AND(M1533="Ensayo Idiem",L1533="Cafco 400",C1533="IN",G1533=4,I1533=90),VLOOKUP(T1533,'CAFCO 400 ENSAYO'!$B$7:$D$43,2,FALSE),0)+IF(AND(M1533="Ensayo Idiem",L1533="Cafco 400",C1533="IN",G1533=4,I1533=120),VLOOKUP(T1533,'CAFCO 400 ENSAYO'!$B$7:$D$43,3,FALSE),0)</f>
        <v>0</v>
      </c>
      <c r="O1533" s="96">
        <f t="shared" si="150"/>
        <v>0</v>
      </c>
      <c r="P1533" s="132" t="str">
        <f t="shared" si="151"/>
        <v>N/A</v>
      </c>
      <c r="Q1533" s="132" t="str">
        <f t="shared" si="152"/>
        <v>N/A</v>
      </c>
      <c r="R1533" s="132" t="str">
        <f t="shared" si="153"/>
        <v>NO CERT.</v>
      </c>
      <c r="S1533" s="132" t="e">
        <f t="shared" si="154"/>
        <v>#N/A</v>
      </c>
      <c r="T1533" s="133" t="e">
        <f>+IF(J1533=LOOKUP(J1533,'CAFCO 300 IDIEM TABLAS'!$J$4:$J$40),'CALCULO MORTERO'!J1533,MROUND('CALCULO MORTERO'!J1533,10))</f>
        <v>#N/A</v>
      </c>
      <c r="U1533" s="134">
        <f t="shared" si="155"/>
        <v>0</v>
      </c>
    </row>
    <row r="1534" spans="1:21" x14ac:dyDescent="0.25">
      <c r="A1534" s="118">
        <f>+CUBICACION!D1528</f>
        <v>0</v>
      </c>
      <c r="B1534" s="819">
        <f>+CUBICACION!E1528</f>
        <v>0</v>
      </c>
      <c r="C1534" s="675">
        <f>+CUBICACION!F1528</f>
        <v>0</v>
      </c>
      <c r="D1534" s="118"/>
      <c r="E1534" s="118"/>
      <c r="F1534" s="820"/>
      <c r="G1534" s="675">
        <f>+CUBICACION!J1528</f>
        <v>0</v>
      </c>
      <c r="H1534" s="118"/>
      <c r="I1534" s="821">
        <f>+CUBICACION!L1528</f>
        <v>0</v>
      </c>
      <c r="J1534" s="64">
        <f>+CUBICACION!M1528</f>
        <v>0</v>
      </c>
      <c r="K1534" s="822" t="str">
        <f>+CUBICACION!N1528</f>
        <v/>
      </c>
      <c r="L1534" s="118">
        <f>+CUBICACION!O1528</f>
        <v>0</v>
      </c>
      <c r="M1534" s="823">
        <f>+CUBICACION!P1528</f>
        <v>0</v>
      </c>
      <c r="N1534" s="902">
        <f>ROUND(IF(AND(L1534="Blaze Shield II",M1534="Software Idiem",C1534="IN",G1534=4),((('BLAZE SHIELD II'!$D$4*('CALCULO MORTERO'!I1534^2)+'BLAZE SHIELD II'!$D$5*'CALCULO MORTERO'!I1534+'BLAZE SHIELD II'!$D$6)*LN(J1534))+('BLAZE SHIELD II'!$D$7*('CALCULO MORTERO'!I1534^2)+'BLAZE SHIELD II'!$D$8*'CALCULO MORTERO'!I1534+'BLAZE SHIELD II'!$D$9)),0)+IF(AND(L1534="Blaze Shield II",M1534="Software Idiem",C1534="Cj"),((('BLAZE SHIELD II'!$H$4*('CALCULO MORTERO'!I1534^2)+'BLAZE SHIELD II'!$H$5*'CALCULO MORTERO'!I1534+'BLAZE SHIELD II'!$H$6)*LN(J1534))+('BLAZE SHIELD II'!$H$7*('CALCULO MORTERO'!I1534^2)+'BLAZE SHIELD II'!$H$8*'CALCULO MORTERO'!I1534+'BLAZE SHIELD II'!$H$9)),0)+IF(AND(L1534="Blaze Shield II",M1534="Software Idiem",C1534="C"),((('BLAZE SHIELD II'!$L$4*('CALCULO MORTERO'!I1534^2)+'BLAZE SHIELD II'!$L$5*'CALCULO MORTERO'!I1534+'BLAZE SHIELD II'!$L$6)*LN(J1534))+('BLAZE SHIELD II'!$L$7*('CALCULO MORTERO'!I1534^2)+'BLAZE SHIELD II'!$L$8*'CALCULO MORTERO'!I1534+'BLAZE SHIELD II'!$L$9)),0)+IF(AND(L1534="Blaze Shield II",M1534="Software Idiem",C1534="L"),((('BLAZE SHIELD II'!$L$4*('CALCULO MORTERO'!I1534^2)+'BLAZE SHIELD II'!$L$5*'CALCULO MORTERO'!I1534+'BLAZE SHIELD II'!$L$6)*LN(J1534))+('BLAZE SHIELD II'!$L$7*('CALCULO MORTERO'!I1534^2)+'BLAZE SHIELD II'!$L$8*'CALCULO MORTERO'!I1534+'BLAZE SHIELD II'!$L$9)),0)+IF(AND(L1534="Blaze Shield II",M1534="Software Idiem",C1534="IN",G1534=3),((('BLAZE SHIELD II'!$H$14*('CALCULO MORTERO'!I1534^2)+'BLAZE SHIELD II'!$H$15*'CALCULO MORTERO'!I1534+'BLAZE SHIELD II'!$H$16)*LN(J1534))+('BLAZE SHIELD II'!$H$17*('CALCULO MORTERO'!I1534^2)+'BLAZE SHIELD II'!$H$18*'CALCULO MORTERO'!I1534+'BLAZE SHIELD II'!$H$19)),0),0)+ROUND(IF(AND(L1534="Cafco 400",M1534="Software Idiem",C1534="IN",G1534=4),((('CAFCO 400 '!$H$7*(J1534^4)+'CAFCO 400 '!$H$8*(J1534^3)+'CAFCO 400 '!$H$9*(J1534^2)+'CAFCO 400 '!$H$10*J1534+'CAFCO 400 '!$H$11)*U1534^2)+(('CAFCO 400 '!$H$12*(J1534^3)+'CAFCO 400 '!$H$13*(J1534^2)+'CAFCO 400 '!$H$14*J1534+'CAFCO 400 '!$H$15)*U1534)+('CAFCO 400 '!$H$16*(J1534^2)+'CAFCO 400 '!$H$17*J1534+'CAFCO 400 '!$H$18)),0)+IF(AND(L1534="Cafco 400",M1534="Software Idiem",C1534="Cj"),(((('CAFCO 400 '!$D$7*LN(J1534)+'CAFCO 400 '!$D$8)*U1534^2)+(('CAFCO 400 '!$D$9*LN(J1534)+'CAFCO 400 '!$D$10)*U1534)+('CAFCO 400 '!$D$11*LN(J1534)+'CAFCO 400 '!$D$12))),0)+IF(AND(L1534="Cafco 400",M1534="Software Idiem",C1534="C"),((('CAFCO 400 '!$L$7*(J1534^3)+'CAFCO 400 '!$L$8*(J1534^2)+'CAFCO 400 '!$L$9*J1534+'CAFCO 400 '!$L$10)*U1534^2)+(('CAFCO 400 '!$L$11*(J1534^3)+'CAFCO 400 '!$L$12*(J1534^2)+'CAFCO 400 '!$L$13*J1534+'CAFCO 400 '!$L$14)*U1534)+('CAFCO 400 '!$L$15*LN(J1534)+'CAFCO 400 '!$L$16)),0)+IF(AND(L1534="Cafco 400",M1534="Software Idiem",C1534="L"),((('CAFCO 400 '!$L$7*(J1534^3)+'CAFCO 400 '!$L$8*(J1534^2)+'CAFCO 400 '!$L$9*J1534+'CAFCO 400 '!$L$10)*U1534^2)+(('CAFCO 400 '!$L$11*(J1534^3)+'CAFCO 400 '!$L$12*(J1534^2)+'CAFCO 400 '!$L$13*J1534+'CAFCO 400 '!$L$14)*U1534)+('CAFCO 400 '!$L$15*LN(J1534)+'CAFCO 400 '!$L$16)),0)+IF(AND(L1534="Cafco 400",M1534="Software Idiem",C1534="IN",G1534=3),((('CAFCO 400 '!$D$23*(J1534^2)+'CAFCO 400 '!$D$24*(J1534)+'CAFCO 400 '!$D$25)*U1534^2)+(('CAFCO 400 '!$D$26*(J1534^2)+'CAFCO 400 '!$D$27*J1534+'CAFCO 400 '!$D$28)*U1534)+('CAFCO 400 '!$D$29*(J1534^2)+'CAFCO 400 '!$D$30*J1534+'CAFCO 400 '!$D$31)),0),0)+IF(AND(L1534="Cafco 300",J1534&gt;=95,J1534&lt;=240,C1534="Cj",I1534=90),VLOOKUP(T1534,'CAFCO 300 IDIEM TABLAS'!$B$4:$D$23,2,FALSE),0)+IF(AND(L1534="Cafco 300",J1534&gt;=95,J1534&lt;=240,C1534="Cj",I1534=120),VLOOKUP(T1534,'CAFCO 300 IDIEM TABLAS'!$B$4:$D$23,3,FALSE),0)+IF(AND(L1534="Cafco 300",J1534&gt;=95,J1534&lt;=400,G1534=3,C1534="IN",I1534=90),VLOOKUP(T1534,'CAFCO 300 IDIEM TABLAS'!$F$4:$H$35,2,FALSE),0)+IF(AND(L1534="Cafco 300",J1534&gt;=95,J1534&lt;=400,G1534=3,C1534="IN",I1534=120),VLOOKUP(T1534,'CAFCO 300 IDIEM TABLAS'!$F$4:$H$35,3,FALSE),0)+IF(AND(L1534="Cafco 300",J1534&gt;=95,J1534&lt;=450,G1534=4,C1534="IN",I1534=90),VLOOKUP(T1534,'CAFCO 300 IDIEM TABLAS'!$J$4:$L$40,2,FALSE),0)+IF(AND(L1534="Cafco 300",J1534&gt;=95,J1534&lt;=450,G1534=4,C1534="IN",I1534=120),VLOOKUP(T1534,'CAFCO 300 IDIEM TABLAS'!$J$4:$L$40,3,FALSE),0)+IF(AND(M1534="Ensayo Idiem",L1534="Cafco 400",C1534="IN",G1534=4,I1534=90),VLOOKUP(T1534,'CAFCO 400 ENSAYO'!$B$7:$D$43,2,FALSE),0)+IF(AND(M1534="Ensayo Idiem",L1534="Cafco 400",C1534="IN",G1534=4,I1534=120),VLOOKUP(T1534,'CAFCO 400 ENSAYO'!$B$7:$D$43,3,FALSE),0)</f>
        <v>0</v>
      </c>
      <c r="O1534" s="96">
        <f t="shared" si="150"/>
        <v>0</v>
      </c>
      <c r="P1534" s="95" t="str">
        <f t="shared" si="151"/>
        <v>N/A</v>
      </c>
      <c r="Q1534" s="95" t="str">
        <f t="shared" si="152"/>
        <v>N/A</v>
      </c>
      <c r="R1534" s="95" t="str">
        <f t="shared" si="153"/>
        <v>NO CERT.</v>
      </c>
      <c r="S1534" s="95" t="e">
        <f t="shared" si="154"/>
        <v>#N/A</v>
      </c>
      <c r="T1534" s="119" t="e">
        <f>+IF(J1534=LOOKUP(J1534,'CAFCO 300 IDIEM TABLAS'!$J$4:$J$40),'CALCULO MORTERO'!J1534,MROUND('CALCULO MORTERO'!J1534,10))</f>
        <v>#N/A</v>
      </c>
      <c r="U1534" s="118">
        <f t="shared" si="155"/>
        <v>0</v>
      </c>
    </row>
    <row r="1535" spans="1:21" x14ac:dyDescent="0.25">
      <c r="A1535" s="118">
        <f>+CUBICACION!D1529</f>
        <v>0</v>
      </c>
      <c r="B1535" s="819">
        <f>+CUBICACION!E1529</f>
        <v>0</v>
      </c>
      <c r="C1535" s="675">
        <f>+CUBICACION!F1529</f>
        <v>0</v>
      </c>
      <c r="D1535" s="118"/>
      <c r="E1535" s="118"/>
      <c r="F1535" s="820"/>
      <c r="G1535" s="675">
        <f>+CUBICACION!J1529</f>
        <v>0</v>
      </c>
      <c r="H1535" s="118"/>
      <c r="I1535" s="821">
        <f>+CUBICACION!L1529</f>
        <v>0</v>
      </c>
      <c r="J1535" s="64">
        <f>+CUBICACION!M1529</f>
        <v>0</v>
      </c>
      <c r="K1535" s="822" t="str">
        <f>+CUBICACION!N1529</f>
        <v/>
      </c>
      <c r="L1535" s="118">
        <f>+CUBICACION!O1529</f>
        <v>0</v>
      </c>
      <c r="M1535" s="823">
        <f>+CUBICACION!P1529</f>
        <v>0</v>
      </c>
      <c r="N1535" s="902">
        <f>ROUND(IF(AND(L1535="Blaze Shield II",M1535="Software Idiem",C1535="IN",G1535=4),((('BLAZE SHIELD II'!$D$4*('CALCULO MORTERO'!I1535^2)+'BLAZE SHIELD II'!$D$5*'CALCULO MORTERO'!I1535+'BLAZE SHIELD II'!$D$6)*LN(J1535))+('BLAZE SHIELD II'!$D$7*('CALCULO MORTERO'!I1535^2)+'BLAZE SHIELD II'!$D$8*'CALCULO MORTERO'!I1535+'BLAZE SHIELD II'!$D$9)),0)+IF(AND(L1535="Blaze Shield II",M1535="Software Idiem",C1535="Cj"),((('BLAZE SHIELD II'!$H$4*('CALCULO MORTERO'!I1535^2)+'BLAZE SHIELD II'!$H$5*'CALCULO MORTERO'!I1535+'BLAZE SHIELD II'!$H$6)*LN(J1535))+('BLAZE SHIELD II'!$H$7*('CALCULO MORTERO'!I1535^2)+'BLAZE SHIELD II'!$H$8*'CALCULO MORTERO'!I1535+'BLAZE SHIELD II'!$H$9)),0)+IF(AND(L1535="Blaze Shield II",M1535="Software Idiem",C1535="C"),((('BLAZE SHIELD II'!$L$4*('CALCULO MORTERO'!I1535^2)+'BLAZE SHIELD II'!$L$5*'CALCULO MORTERO'!I1535+'BLAZE SHIELD II'!$L$6)*LN(J1535))+('BLAZE SHIELD II'!$L$7*('CALCULO MORTERO'!I1535^2)+'BLAZE SHIELD II'!$L$8*'CALCULO MORTERO'!I1535+'BLAZE SHIELD II'!$L$9)),0)+IF(AND(L1535="Blaze Shield II",M1535="Software Idiem",C1535="L"),((('BLAZE SHIELD II'!$L$4*('CALCULO MORTERO'!I1535^2)+'BLAZE SHIELD II'!$L$5*'CALCULO MORTERO'!I1535+'BLAZE SHIELD II'!$L$6)*LN(J1535))+('BLAZE SHIELD II'!$L$7*('CALCULO MORTERO'!I1535^2)+'BLAZE SHIELD II'!$L$8*'CALCULO MORTERO'!I1535+'BLAZE SHIELD II'!$L$9)),0)+IF(AND(L1535="Blaze Shield II",M1535="Software Idiem",C1535="IN",G1535=3),((('BLAZE SHIELD II'!$H$14*('CALCULO MORTERO'!I1535^2)+'BLAZE SHIELD II'!$H$15*'CALCULO MORTERO'!I1535+'BLAZE SHIELD II'!$H$16)*LN(J1535))+('BLAZE SHIELD II'!$H$17*('CALCULO MORTERO'!I1535^2)+'BLAZE SHIELD II'!$H$18*'CALCULO MORTERO'!I1535+'BLAZE SHIELD II'!$H$19)),0),0)+ROUND(IF(AND(L1535="Cafco 400",M1535="Software Idiem",C1535="IN",G1535=4),((('CAFCO 400 '!$H$7*(J1535^4)+'CAFCO 400 '!$H$8*(J1535^3)+'CAFCO 400 '!$H$9*(J1535^2)+'CAFCO 400 '!$H$10*J1535+'CAFCO 400 '!$H$11)*U1535^2)+(('CAFCO 400 '!$H$12*(J1535^3)+'CAFCO 400 '!$H$13*(J1535^2)+'CAFCO 400 '!$H$14*J1535+'CAFCO 400 '!$H$15)*U1535)+('CAFCO 400 '!$H$16*(J1535^2)+'CAFCO 400 '!$H$17*J1535+'CAFCO 400 '!$H$18)),0)+IF(AND(L1535="Cafco 400",M1535="Software Idiem",C1535="Cj"),(((('CAFCO 400 '!$D$7*LN(J1535)+'CAFCO 400 '!$D$8)*U1535^2)+(('CAFCO 400 '!$D$9*LN(J1535)+'CAFCO 400 '!$D$10)*U1535)+('CAFCO 400 '!$D$11*LN(J1535)+'CAFCO 400 '!$D$12))),0)+IF(AND(L1535="Cafco 400",M1535="Software Idiem",C1535="C"),((('CAFCO 400 '!$L$7*(J1535^3)+'CAFCO 400 '!$L$8*(J1535^2)+'CAFCO 400 '!$L$9*J1535+'CAFCO 400 '!$L$10)*U1535^2)+(('CAFCO 400 '!$L$11*(J1535^3)+'CAFCO 400 '!$L$12*(J1535^2)+'CAFCO 400 '!$L$13*J1535+'CAFCO 400 '!$L$14)*U1535)+('CAFCO 400 '!$L$15*LN(J1535)+'CAFCO 400 '!$L$16)),0)+IF(AND(L1535="Cafco 400",M1535="Software Idiem",C1535="L"),((('CAFCO 400 '!$L$7*(J1535^3)+'CAFCO 400 '!$L$8*(J1535^2)+'CAFCO 400 '!$L$9*J1535+'CAFCO 400 '!$L$10)*U1535^2)+(('CAFCO 400 '!$L$11*(J1535^3)+'CAFCO 400 '!$L$12*(J1535^2)+'CAFCO 400 '!$L$13*J1535+'CAFCO 400 '!$L$14)*U1535)+('CAFCO 400 '!$L$15*LN(J1535)+'CAFCO 400 '!$L$16)),0)+IF(AND(L1535="Cafco 400",M1535="Software Idiem",C1535="IN",G1535=3),((('CAFCO 400 '!$D$23*(J1535^2)+'CAFCO 400 '!$D$24*(J1535)+'CAFCO 400 '!$D$25)*U1535^2)+(('CAFCO 400 '!$D$26*(J1535^2)+'CAFCO 400 '!$D$27*J1535+'CAFCO 400 '!$D$28)*U1535)+('CAFCO 400 '!$D$29*(J1535^2)+'CAFCO 400 '!$D$30*J1535+'CAFCO 400 '!$D$31)),0),0)+IF(AND(L1535="Cafco 300",J1535&gt;=95,J1535&lt;=240,C1535="Cj",I1535=90),VLOOKUP(T1535,'CAFCO 300 IDIEM TABLAS'!$B$4:$D$23,2,FALSE),0)+IF(AND(L1535="Cafco 300",J1535&gt;=95,J1535&lt;=240,C1535="Cj",I1535=120),VLOOKUP(T1535,'CAFCO 300 IDIEM TABLAS'!$B$4:$D$23,3,FALSE),0)+IF(AND(L1535="Cafco 300",J1535&gt;=95,J1535&lt;=400,G1535=3,C1535="IN",I1535=90),VLOOKUP(T1535,'CAFCO 300 IDIEM TABLAS'!$F$4:$H$35,2,FALSE),0)+IF(AND(L1535="Cafco 300",J1535&gt;=95,J1535&lt;=400,G1535=3,C1535="IN",I1535=120),VLOOKUP(T1535,'CAFCO 300 IDIEM TABLAS'!$F$4:$H$35,3,FALSE),0)+IF(AND(L1535="Cafco 300",J1535&gt;=95,J1535&lt;=450,G1535=4,C1535="IN",I1535=90),VLOOKUP(T1535,'CAFCO 300 IDIEM TABLAS'!$J$4:$L$40,2,FALSE),0)+IF(AND(L1535="Cafco 300",J1535&gt;=95,J1535&lt;=450,G1535=4,C1535="IN",I1535=120),VLOOKUP(T1535,'CAFCO 300 IDIEM TABLAS'!$J$4:$L$40,3,FALSE),0)+IF(AND(M1535="Ensayo Idiem",L1535="Cafco 400",C1535="IN",G1535=4,I1535=90),VLOOKUP(T1535,'CAFCO 400 ENSAYO'!$B$7:$D$43,2,FALSE),0)+IF(AND(M1535="Ensayo Idiem",L1535="Cafco 400",C1535="IN",G1535=4,I1535=120),VLOOKUP(T1535,'CAFCO 400 ENSAYO'!$B$7:$D$43,3,FALSE),0)</f>
        <v>0</v>
      </c>
      <c r="O1535" s="96">
        <f t="shared" si="150"/>
        <v>0</v>
      </c>
      <c r="P1535" s="132" t="str">
        <f t="shared" si="151"/>
        <v>N/A</v>
      </c>
      <c r="Q1535" s="132" t="str">
        <f t="shared" si="152"/>
        <v>N/A</v>
      </c>
      <c r="R1535" s="132" t="str">
        <f t="shared" si="153"/>
        <v>NO CERT.</v>
      </c>
      <c r="S1535" s="132" t="e">
        <f t="shared" si="154"/>
        <v>#N/A</v>
      </c>
      <c r="T1535" s="133" t="e">
        <f>+IF(J1535=LOOKUP(J1535,'CAFCO 300 IDIEM TABLAS'!$J$4:$J$40),'CALCULO MORTERO'!J1535,MROUND('CALCULO MORTERO'!J1535,10))</f>
        <v>#N/A</v>
      </c>
      <c r="U1535" s="134">
        <f t="shared" si="155"/>
        <v>0</v>
      </c>
    </row>
    <row r="1536" spans="1:21" x14ac:dyDescent="0.25">
      <c r="A1536" s="118">
        <f>+CUBICACION!D1530</f>
        <v>0</v>
      </c>
      <c r="B1536" s="819">
        <f>+CUBICACION!E1530</f>
        <v>0</v>
      </c>
      <c r="C1536" s="675">
        <f>+CUBICACION!F1530</f>
        <v>0</v>
      </c>
      <c r="D1536" s="118"/>
      <c r="E1536" s="118"/>
      <c r="F1536" s="820"/>
      <c r="G1536" s="675">
        <f>+CUBICACION!J1530</f>
        <v>0</v>
      </c>
      <c r="H1536" s="118"/>
      <c r="I1536" s="821">
        <f>+CUBICACION!L1530</f>
        <v>0</v>
      </c>
      <c r="J1536" s="64">
        <f>+CUBICACION!M1530</f>
        <v>0</v>
      </c>
      <c r="K1536" s="822" t="str">
        <f>+CUBICACION!N1530</f>
        <v/>
      </c>
      <c r="L1536" s="118">
        <f>+CUBICACION!O1530</f>
        <v>0</v>
      </c>
      <c r="M1536" s="823">
        <f>+CUBICACION!P1530</f>
        <v>0</v>
      </c>
      <c r="N1536" s="902">
        <f>ROUND(IF(AND(L1536="Blaze Shield II",M1536="Software Idiem",C1536="IN",G1536=4),((('BLAZE SHIELD II'!$D$4*('CALCULO MORTERO'!I1536^2)+'BLAZE SHIELD II'!$D$5*'CALCULO MORTERO'!I1536+'BLAZE SHIELD II'!$D$6)*LN(J1536))+('BLAZE SHIELD II'!$D$7*('CALCULO MORTERO'!I1536^2)+'BLAZE SHIELD II'!$D$8*'CALCULO MORTERO'!I1536+'BLAZE SHIELD II'!$D$9)),0)+IF(AND(L1536="Blaze Shield II",M1536="Software Idiem",C1536="Cj"),((('BLAZE SHIELD II'!$H$4*('CALCULO MORTERO'!I1536^2)+'BLAZE SHIELD II'!$H$5*'CALCULO MORTERO'!I1536+'BLAZE SHIELD II'!$H$6)*LN(J1536))+('BLAZE SHIELD II'!$H$7*('CALCULO MORTERO'!I1536^2)+'BLAZE SHIELD II'!$H$8*'CALCULO MORTERO'!I1536+'BLAZE SHIELD II'!$H$9)),0)+IF(AND(L1536="Blaze Shield II",M1536="Software Idiem",C1536="C"),((('BLAZE SHIELD II'!$L$4*('CALCULO MORTERO'!I1536^2)+'BLAZE SHIELD II'!$L$5*'CALCULO MORTERO'!I1536+'BLAZE SHIELD II'!$L$6)*LN(J1536))+('BLAZE SHIELD II'!$L$7*('CALCULO MORTERO'!I1536^2)+'BLAZE SHIELD II'!$L$8*'CALCULO MORTERO'!I1536+'BLAZE SHIELD II'!$L$9)),0)+IF(AND(L1536="Blaze Shield II",M1536="Software Idiem",C1536="L"),((('BLAZE SHIELD II'!$L$4*('CALCULO MORTERO'!I1536^2)+'BLAZE SHIELD II'!$L$5*'CALCULO MORTERO'!I1536+'BLAZE SHIELD II'!$L$6)*LN(J1536))+('BLAZE SHIELD II'!$L$7*('CALCULO MORTERO'!I1536^2)+'BLAZE SHIELD II'!$L$8*'CALCULO MORTERO'!I1536+'BLAZE SHIELD II'!$L$9)),0)+IF(AND(L1536="Blaze Shield II",M1536="Software Idiem",C1536="IN",G1536=3),((('BLAZE SHIELD II'!$H$14*('CALCULO MORTERO'!I1536^2)+'BLAZE SHIELD II'!$H$15*'CALCULO MORTERO'!I1536+'BLAZE SHIELD II'!$H$16)*LN(J1536))+('BLAZE SHIELD II'!$H$17*('CALCULO MORTERO'!I1536^2)+'BLAZE SHIELD II'!$H$18*'CALCULO MORTERO'!I1536+'BLAZE SHIELD II'!$H$19)),0),0)+ROUND(IF(AND(L1536="Cafco 400",M1536="Software Idiem",C1536="IN",G1536=4),((('CAFCO 400 '!$H$7*(J1536^4)+'CAFCO 400 '!$H$8*(J1536^3)+'CAFCO 400 '!$H$9*(J1536^2)+'CAFCO 400 '!$H$10*J1536+'CAFCO 400 '!$H$11)*U1536^2)+(('CAFCO 400 '!$H$12*(J1536^3)+'CAFCO 400 '!$H$13*(J1536^2)+'CAFCO 400 '!$H$14*J1536+'CAFCO 400 '!$H$15)*U1536)+('CAFCO 400 '!$H$16*(J1536^2)+'CAFCO 400 '!$H$17*J1536+'CAFCO 400 '!$H$18)),0)+IF(AND(L1536="Cafco 400",M1536="Software Idiem",C1536="Cj"),(((('CAFCO 400 '!$D$7*LN(J1536)+'CAFCO 400 '!$D$8)*U1536^2)+(('CAFCO 400 '!$D$9*LN(J1536)+'CAFCO 400 '!$D$10)*U1536)+('CAFCO 400 '!$D$11*LN(J1536)+'CAFCO 400 '!$D$12))),0)+IF(AND(L1536="Cafco 400",M1536="Software Idiem",C1536="C"),((('CAFCO 400 '!$L$7*(J1536^3)+'CAFCO 400 '!$L$8*(J1536^2)+'CAFCO 400 '!$L$9*J1536+'CAFCO 400 '!$L$10)*U1536^2)+(('CAFCO 400 '!$L$11*(J1536^3)+'CAFCO 400 '!$L$12*(J1536^2)+'CAFCO 400 '!$L$13*J1536+'CAFCO 400 '!$L$14)*U1536)+('CAFCO 400 '!$L$15*LN(J1536)+'CAFCO 400 '!$L$16)),0)+IF(AND(L1536="Cafco 400",M1536="Software Idiem",C1536="L"),((('CAFCO 400 '!$L$7*(J1536^3)+'CAFCO 400 '!$L$8*(J1536^2)+'CAFCO 400 '!$L$9*J1536+'CAFCO 400 '!$L$10)*U1536^2)+(('CAFCO 400 '!$L$11*(J1536^3)+'CAFCO 400 '!$L$12*(J1536^2)+'CAFCO 400 '!$L$13*J1536+'CAFCO 400 '!$L$14)*U1536)+('CAFCO 400 '!$L$15*LN(J1536)+'CAFCO 400 '!$L$16)),0)+IF(AND(L1536="Cafco 400",M1536="Software Idiem",C1536="IN",G1536=3),((('CAFCO 400 '!$D$23*(J1536^2)+'CAFCO 400 '!$D$24*(J1536)+'CAFCO 400 '!$D$25)*U1536^2)+(('CAFCO 400 '!$D$26*(J1536^2)+'CAFCO 400 '!$D$27*J1536+'CAFCO 400 '!$D$28)*U1536)+('CAFCO 400 '!$D$29*(J1536^2)+'CAFCO 400 '!$D$30*J1536+'CAFCO 400 '!$D$31)),0),0)+IF(AND(L1536="Cafco 300",J1536&gt;=95,J1536&lt;=240,C1536="Cj",I1536=90),VLOOKUP(T1536,'CAFCO 300 IDIEM TABLAS'!$B$4:$D$23,2,FALSE),0)+IF(AND(L1536="Cafco 300",J1536&gt;=95,J1536&lt;=240,C1536="Cj",I1536=120),VLOOKUP(T1536,'CAFCO 300 IDIEM TABLAS'!$B$4:$D$23,3,FALSE),0)+IF(AND(L1536="Cafco 300",J1536&gt;=95,J1536&lt;=400,G1536=3,C1536="IN",I1536=90),VLOOKUP(T1536,'CAFCO 300 IDIEM TABLAS'!$F$4:$H$35,2,FALSE),0)+IF(AND(L1536="Cafco 300",J1536&gt;=95,J1536&lt;=400,G1536=3,C1536="IN",I1536=120),VLOOKUP(T1536,'CAFCO 300 IDIEM TABLAS'!$F$4:$H$35,3,FALSE),0)+IF(AND(L1536="Cafco 300",J1536&gt;=95,J1536&lt;=450,G1536=4,C1536="IN",I1536=90),VLOOKUP(T1536,'CAFCO 300 IDIEM TABLAS'!$J$4:$L$40,2,FALSE),0)+IF(AND(L1536="Cafco 300",J1536&gt;=95,J1536&lt;=450,G1536=4,C1536="IN",I1536=120),VLOOKUP(T1536,'CAFCO 300 IDIEM TABLAS'!$J$4:$L$40,3,FALSE),0)+IF(AND(M1536="Ensayo Idiem",L1536="Cafco 400",C1536="IN",G1536=4,I1536=90),VLOOKUP(T1536,'CAFCO 400 ENSAYO'!$B$7:$D$43,2,FALSE),0)+IF(AND(M1536="Ensayo Idiem",L1536="Cafco 400",C1536="IN",G1536=4,I1536=120),VLOOKUP(T1536,'CAFCO 400 ENSAYO'!$B$7:$D$43,3,FALSE),0)</f>
        <v>0</v>
      </c>
      <c r="O1536" s="96">
        <f t="shared" si="150"/>
        <v>0</v>
      </c>
      <c r="P1536" s="95" t="str">
        <f t="shared" si="151"/>
        <v>N/A</v>
      </c>
      <c r="Q1536" s="95" t="str">
        <f t="shared" si="152"/>
        <v>N/A</v>
      </c>
      <c r="R1536" s="95" t="str">
        <f t="shared" si="153"/>
        <v>NO CERT.</v>
      </c>
      <c r="S1536" s="95" t="e">
        <f t="shared" si="154"/>
        <v>#N/A</v>
      </c>
      <c r="T1536" s="119" t="e">
        <f>+IF(J1536=LOOKUP(J1536,'CAFCO 300 IDIEM TABLAS'!$J$4:$J$40),'CALCULO MORTERO'!J1536,MROUND('CALCULO MORTERO'!J1536,10))</f>
        <v>#N/A</v>
      </c>
      <c r="U1536" s="118">
        <f t="shared" si="155"/>
        <v>0</v>
      </c>
    </row>
    <row r="1537" spans="1:21" x14ac:dyDescent="0.25">
      <c r="A1537" s="118">
        <f>+CUBICACION!D1531</f>
        <v>0</v>
      </c>
      <c r="B1537" s="819">
        <f>+CUBICACION!E1531</f>
        <v>0</v>
      </c>
      <c r="C1537" s="675">
        <f>+CUBICACION!F1531</f>
        <v>0</v>
      </c>
      <c r="D1537" s="118"/>
      <c r="E1537" s="118"/>
      <c r="F1537" s="820"/>
      <c r="G1537" s="675">
        <f>+CUBICACION!J1531</f>
        <v>0</v>
      </c>
      <c r="H1537" s="118"/>
      <c r="I1537" s="821">
        <f>+CUBICACION!L1531</f>
        <v>0</v>
      </c>
      <c r="J1537" s="64">
        <f>+CUBICACION!M1531</f>
        <v>0</v>
      </c>
      <c r="K1537" s="822" t="str">
        <f>+CUBICACION!N1531</f>
        <v/>
      </c>
      <c r="L1537" s="118">
        <f>+CUBICACION!O1531</f>
        <v>0</v>
      </c>
      <c r="M1537" s="823">
        <f>+CUBICACION!P1531</f>
        <v>0</v>
      </c>
      <c r="N1537" s="902">
        <f>ROUND(IF(AND(L1537="Blaze Shield II",M1537="Software Idiem",C1537="IN",G1537=4),((('BLAZE SHIELD II'!$D$4*('CALCULO MORTERO'!I1537^2)+'BLAZE SHIELD II'!$D$5*'CALCULO MORTERO'!I1537+'BLAZE SHIELD II'!$D$6)*LN(J1537))+('BLAZE SHIELD II'!$D$7*('CALCULO MORTERO'!I1537^2)+'BLAZE SHIELD II'!$D$8*'CALCULO MORTERO'!I1537+'BLAZE SHIELD II'!$D$9)),0)+IF(AND(L1537="Blaze Shield II",M1537="Software Idiem",C1537="Cj"),((('BLAZE SHIELD II'!$H$4*('CALCULO MORTERO'!I1537^2)+'BLAZE SHIELD II'!$H$5*'CALCULO MORTERO'!I1537+'BLAZE SHIELD II'!$H$6)*LN(J1537))+('BLAZE SHIELD II'!$H$7*('CALCULO MORTERO'!I1537^2)+'BLAZE SHIELD II'!$H$8*'CALCULO MORTERO'!I1537+'BLAZE SHIELD II'!$H$9)),0)+IF(AND(L1537="Blaze Shield II",M1537="Software Idiem",C1537="C"),((('BLAZE SHIELD II'!$L$4*('CALCULO MORTERO'!I1537^2)+'BLAZE SHIELD II'!$L$5*'CALCULO MORTERO'!I1537+'BLAZE SHIELD II'!$L$6)*LN(J1537))+('BLAZE SHIELD II'!$L$7*('CALCULO MORTERO'!I1537^2)+'BLAZE SHIELD II'!$L$8*'CALCULO MORTERO'!I1537+'BLAZE SHIELD II'!$L$9)),0)+IF(AND(L1537="Blaze Shield II",M1537="Software Idiem",C1537="L"),((('BLAZE SHIELD II'!$L$4*('CALCULO MORTERO'!I1537^2)+'BLAZE SHIELD II'!$L$5*'CALCULO MORTERO'!I1537+'BLAZE SHIELD II'!$L$6)*LN(J1537))+('BLAZE SHIELD II'!$L$7*('CALCULO MORTERO'!I1537^2)+'BLAZE SHIELD II'!$L$8*'CALCULO MORTERO'!I1537+'BLAZE SHIELD II'!$L$9)),0)+IF(AND(L1537="Blaze Shield II",M1537="Software Idiem",C1537="IN",G1537=3),((('BLAZE SHIELD II'!$H$14*('CALCULO MORTERO'!I1537^2)+'BLAZE SHIELD II'!$H$15*'CALCULO MORTERO'!I1537+'BLAZE SHIELD II'!$H$16)*LN(J1537))+('BLAZE SHIELD II'!$H$17*('CALCULO MORTERO'!I1537^2)+'BLAZE SHIELD II'!$H$18*'CALCULO MORTERO'!I1537+'BLAZE SHIELD II'!$H$19)),0),0)+ROUND(IF(AND(L1537="Cafco 400",M1537="Software Idiem",C1537="IN",G1537=4),((('CAFCO 400 '!$H$7*(J1537^4)+'CAFCO 400 '!$H$8*(J1537^3)+'CAFCO 400 '!$H$9*(J1537^2)+'CAFCO 400 '!$H$10*J1537+'CAFCO 400 '!$H$11)*U1537^2)+(('CAFCO 400 '!$H$12*(J1537^3)+'CAFCO 400 '!$H$13*(J1537^2)+'CAFCO 400 '!$H$14*J1537+'CAFCO 400 '!$H$15)*U1537)+('CAFCO 400 '!$H$16*(J1537^2)+'CAFCO 400 '!$H$17*J1537+'CAFCO 400 '!$H$18)),0)+IF(AND(L1537="Cafco 400",M1537="Software Idiem",C1537="Cj"),(((('CAFCO 400 '!$D$7*LN(J1537)+'CAFCO 400 '!$D$8)*U1537^2)+(('CAFCO 400 '!$D$9*LN(J1537)+'CAFCO 400 '!$D$10)*U1537)+('CAFCO 400 '!$D$11*LN(J1537)+'CAFCO 400 '!$D$12))),0)+IF(AND(L1537="Cafco 400",M1537="Software Idiem",C1537="C"),((('CAFCO 400 '!$L$7*(J1537^3)+'CAFCO 400 '!$L$8*(J1537^2)+'CAFCO 400 '!$L$9*J1537+'CAFCO 400 '!$L$10)*U1537^2)+(('CAFCO 400 '!$L$11*(J1537^3)+'CAFCO 400 '!$L$12*(J1537^2)+'CAFCO 400 '!$L$13*J1537+'CAFCO 400 '!$L$14)*U1537)+('CAFCO 400 '!$L$15*LN(J1537)+'CAFCO 400 '!$L$16)),0)+IF(AND(L1537="Cafco 400",M1537="Software Idiem",C1537="L"),((('CAFCO 400 '!$L$7*(J1537^3)+'CAFCO 400 '!$L$8*(J1537^2)+'CAFCO 400 '!$L$9*J1537+'CAFCO 400 '!$L$10)*U1537^2)+(('CAFCO 400 '!$L$11*(J1537^3)+'CAFCO 400 '!$L$12*(J1537^2)+'CAFCO 400 '!$L$13*J1537+'CAFCO 400 '!$L$14)*U1537)+('CAFCO 400 '!$L$15*LN(J1537)+'CAFCO 400 '!$L$16)),0)+IF(AND(L1537="Cafco 400",M1537="Software Idiem",C1537="IN",G1537=3),((('CAFCO 400 '!$D$23*(J1537^2)+'CAFCO 400 '!$D$24*(J1537)+'CAFCO 400 '!$D$25)*U1537^2)+(('CAFCO 400 '!$D$26*(J1537^2)+'CAFCO 400 '!$D$27*J1537+'CAFCO 400 '!$D$28)*U1537)+('CAFCO 400 '!$D$29*(J1537^2)+'CAFCO 400 '!$D$30*J1537+'CAFCO 400 '!$D$31)),0),0)+IF(AND(L1537="Cafco 300",J1537&gt;=95,J1537&lt;=240,C1537="Cj",I1537=90),VLOOKUP(T1537,'CAFCO 300 IDIEM TABLAS'!$B$4:$D$23,2,FALSE),0)+IF(AND(L1537="Cafco 300",J1537&gt;=95,J1537&lt;=240,C1537="Cj",I1537=120),VLOOKUP(T1537,'CAFCO 300 IDIEM TABLAS'!$B$4:$D$23,3,FALSE),0)+IF(AND(L1537="Cafco 300",J1537&gt;=95,J1537&lt;=400,G1537=3,C1537="IN",I1537=90),VLOOKUP(T1537,'CAFCO 300 IDIEM TABLAS'!$F$4:$H$35,2,FALSE),0)+IF(AND(L1537="Cafco 300",J1537&gt;=95,J1537&lt;=400,G1537=3,C1537="IN",I1537=120),VLOOKUP(T1537,'CAFCO 300 IDIEM TABLAS'!$F$4:$H$35,3,FALSE),0)+IF(AND(L1537="Cafco 300",J1537&gt;=95,J1537&lt;=450,G1537=4,C1537="IN",I1537=90),VLOOKUP(T1537,'CAFCO 300 IDIEM TABLAS'!$J$4:$L$40,2,FALSE),0)+IF(AND(L1537="Cafco 300",J1537&gt;=95,J1537&lt;=450,G1537=4,C1537="IN",I1537=120),VLOOKUP(T1537,'CAFCO 300 IDIEM TABLAS'!$J$4:$L$40,3,FALSE),0)+IF(AND(M1537="Ensayo Idiem",L1537="Cafco 400",C1537="IN",G1537=4,I1537=90),VLOOKUP(T1537,'CAFCO 400 ENSAYO'!$B$7:$D$43,2,FALSE),0)+IF(AND(M1537="Ensayo Idiem",L1537="Cafco 400",C1537="IN",G1537=4,I1537=120),VLOOKUP(T1537,'CAFCO 400 ENSAYO'!$B$7:$D$43,3,FALSE),0)</f>
        <v>0</v>
      </c>
      <c r="O1537" s="96">
        <f t="shared" si="150"/>
        <v>0</v>
      </c>
      <c r="P1537" s="132" t="str">
        <f t="shared" si="151"/>
        <v>N/A</v>
      </c>
      <c r="Q1537" s="132" t="str">
        <f t="shared" si="152"/>
        <v>N/A</v>
      </c>
      <c r="R1537" s="132" t="str">
        <f t="shared" si="153"/>
        <v>NO CERT.</v>
      </c>
      <c r="S1537" s="132" t="e">
        <f t="shared" si="154"/>
        <v>#N/A</v>
      </c>
      <c r="T1537" s="133" t="e">
        <f>+IF(J1537=LOOKUP(J1537,'CAFCO 300 IDIEM TABLAS'!$J$4:$J$40),'CALCULO MORTERO'!J1537,MROUND('CALCULO MORTERO'!J1537,10))</f>
        <v>#N/A</v>
      </c>
      <c r="U1537" s="134">
        <f t="shared" si="155"/>
        <v>0</v>
      </c>
    </row>
    <row r="1538" spans="1:21" x14ac:dyDescent="0.25">
      <c r="A1538" s="118">
        <f>+CUBICACION!D1532</f>
        <v>0</v>
      </c>
      <c r="B1538" s="819">
        <f>+CUBICACION!E1532</f>
        <v>0</v>
      </c>
      <c r="C1538" s="675">
        <f>+CUBICACION!F1532</f>
        <v>0</v>
      </c>
      <c r="D1538" s="118"/>
      <c r="E1538" s="118"/>
      <c r="F1538" s="820"/>
      <c r="G1538" s="675">
        <f>+CUBICACION!J1532</f>
        <v>0</v>
      </c>
      <c r="H1538" s="118"/>
      <c r="I1538" s="821">
        <f>+CUBICACION!L1532</f>
        <v>0</v>
      </c>
      <c r="J1538" s="64">
        <f>+CUBICACION!M1532</f>
        <v>0</v>
      </c>
      <c r="K1538" s="822" t="str">
        <f>+CUBICACION!N1532</f>
        <v/>
      </c>
      <c r="L1538" s="118">
        <f>+CUBICACION!O1532</f>
        <v>0</v>
      </c>
      <c r="M1538" s="823">
        <f>+CUBICACION!P1532</f>
        <v>0</v>
      </c>
      <c r="N1538" s="902">
        <f>ROUND(IF(AND(L1538="Blaze Shield II",M1538="Software Idiem",C1538="IN",G1538=4),((('BLAZE SHIELD II'!$D$4*('CALCULO MORTERO'!I1538^2)+'BLAZE SHIELD II'!$D$5*'CALCULO MORTERO'!I1538+'BLAZE SHIELD II'!$D$6)*LN(J1538))+('BLAZE SHIELD II'!$D$7*('CALCULO MORTERO'!I1538^2)+'BLAZE SHIELD II'!$D$8*'CALCULO MORTERO'!I1538+'BLAZE SHIELD II'!$D$9)),0)+IF(AND(L1538="Blaze Shield II",M1538="Software Idiem",C1538="Cj"),((('BLAZE SHIELD II'!$H$4*('CALCULO MORTERO'!I1538^2)+'BLAZE SHIELD II'!$H$5*'CALCULO MORTERO'!I1538+'BLAZE SHIELD II'!$H$6)*LN(J1538))+('BLAZE SHIELD II'!$H$7*('CALCULO MORTERO'!I1538^2)+'BLAZE SHIELD II'!$H$8*'CALCULO MORTERO'!I1538+'BLAZE SHIELD II'!$H$9)),0)+IF(AND(L1538="Blaze Shield II",M1538="Software Idiem",C1538="C"),((('BLAZE SHIELD II'!$L$4*('CALCULO MORTERO'!I1538^2)+'BLAZE SHIELD II'!$L$5*'CALCULO MORTERO'!I1538+'BLAZE SHIELD II'!$L$6)*LN(J1538))+('BLAZE SHIELD II'!$L$7*('CALCULO MORTERO'!I1538^2)+'BLAZE SHIELD II'!$L$8*'CALCULO MORTERO'!I1538+'BLAZE SHIELD II'!$L$9)),0)+IF(AND(L1538="Blaze Shield II",M1538="Software Idiem",C1538="L"),((('BLAZE SHIELD II'!$L$4*('CALCULO MORTERO'!I1538^2)+'BLAZE SHIELD II'!$L$5*'CALCULO MORTERO'!I1538+'BLAZE SHIELD II'!$L$6)*LN(J1538))+('BLAZE SHIELD II'!$L$7*('CALCULO MORTERO'!I1538^2)+'BLAZE SHIELD II'!$L$8*'CALCULO MORTERO'!I1538+'BLAZE SHIELD II'!$L$9)),0)+IF(AND(L1538="Blaze Shield II",M1538="Software Idiem",C1538="IN",G1538=3),((('BLAZE SHIELD II'!$H$14*('CALCULO MORTERO'!I1538^2)+'BLAZE SHIELD II'!$H$15*'CALCULO MORTERO'!I1538+'BLAZE SHIELD II'!$H$16)*LN(J1538))+('BLAZE SHIELD II'!$H$17*('CALCULO MORTERO'!I1538^2)+'BLAZE SHIELD II'!$H$18*'CALCULO MORTERO'!I1538+'BLAZE SHIELD II'!$H$19)),0),0)+ROUND(IF(AND(L1538="Cafco 400",M1538="Software Idiem",C1538="IN",G1538=4),((('CAFCO 400 '!$H$7*(J1538^4)+'CAFCO 400 '!$H$8*(J1538^3)+'CAFCO 400 '!$H$9*(J1538^2)+'CAFCO 400 '!$H$10*J1538+'CAFCO 400 '!$H$11)*U1538^2)+(('CAFCO 400 '!$H$12*(J1538^3)+'CAFCO 400 '!$H$13*(J1538^2)+'CAFCO 400 '!$H$14*J1538+'CAFCO 400 '!$H$15)*U1538)+('CAFCO 400 '!$H$16*(J1538^2)+'CAFCO 400 '!$H$17*J1538+'CAFCO 400 '!$H$18)),0)+IF(AND(L1538="Cafco 400",M1538="Software Idiem",C1538="Cj"),(((('CAFCO 400 '!$D$7*LN(J1538)+'CAFCO 400 '!$D$8)*U1538^2)+(('CAFCO 400 '!$D$9*LN(J1538)+'CAFCO 400 '!$D$10)*U1538)+('CAFCO 400 '!$D$11*LN(J1538)+'CAFCO 400 '!$D$12))),0)+IF(AND(L1538="Cafco 400",M1538="Software Idiem",C1538="C"),((('CAFCO 400 '!$L$7*(J1538^3)+'CAFCO 400 '!$L$8*(J1538^2)+'CAFCO 400 '!$L$9*J1538+'CAFCO 400 '!$L$10)*U1538^2)+(('CAFCO 400 '!$L$11*(J1538^3)+'CAFCO 400 '!$L$12*(J1538^2)+'CAFCO 400 '!$L$13*J1538+'CAFCO 400 '!$L$14)*U1538)+('CAFCO 400 '!$L$15*LN(J1538)+'CAFCO 400 '!$L$16)),0)+IF(AND(L1538="Cafco 400",M1538="Software Idiem",C1538="L"),((('CAFCO 400 '!$L$7*(J1538^3)+'CAFCO 400 '!$L$8*(J1538^2)+'CAFCO 400 '!$L$9*J1538+'CAFCO 400 '!$L$10)*U1538^2)+(('CAFCO 400 '!$L$11*(J1538^3)+'CAFCO 400 '!$L$12*(J1538^2)+'CAFCO 400 '!$L$13*J1538+'CAFCO 400 '!$L$14)*U1538)+('CAFCO 400 '!$L$15*LN(J1538)+'CAFCO 400 '!$L$16)),0)+IF(AND(L1538="Cafco 400",M1538="Software Idiem",C1538="IN",G1538=3),((('CAFCO 400 '!$D$23*(J1538^2)+'CAFCO 400 '!$D$24*(J1538)+'CAFCO 400 '!$D$25)*U1538^2)+(('CAFCO 400 '!$D$26*(J1538^2)+'CAFCO 400 '!$D$27*J1538+'CAFCO 400 '!$D$28)*U1538)+('CAFCO 400 '!$D$29*(J1538^2)+'CAFCO 400 '!$D$30*J1538+'CAFCO 400 '!$D$31)),0),0)+IF(AND(L1538="Cafco 300",J1538&gt;=95,J1538&lt;=240,C1538="Cj",I1538=90),VLOOKUP(T1538,'CAFCO 300 IDIEM TABLAS'!$B$4:$D$23,2,FALSE),0)+IF(AND(L1538="Cafco 300",J1538&gt;=95,J1538&lt;=240,C1538="Cj",I1538=120),VLOOKUP(T1538,'CAFCO 300 IDIEM TABLAS'!$B$4:$D$23,3,FALSE),0)+IF(AND(L1538="Cafco 300",J1538&gt;=95,J1538&lt;=400,G1538=3,C1538="IN",I1538=90),VLOOKUP(T1538,'CAFCO 300 IDIEM TABLAS'!$F$4:$H$35,2,FALSE),0)+IF(AND(L1538="Cafco 300",J1538&gt;=95,J1538&lt;=400,G1538=3,C1538="IN",I1538=120),VLOOKUP(T1538,'CAFCO 300 IDIEM TABLAS'!$F$4:$H$35,3,FALSE),0)+IF(AND(L1538="Cafco 300",J1538&gt;=95,J1538&lt;=450,G1538=4,C1538="IN",I1538=90),VLOOKUP(T1538,'CAFCO 300 IDIEM TABLAS'!$J$4:$L$40,2,FALSE),0)+IF(AND(L1538="Cafco 300",J1538&gt;=95,J1538&lt;=450,G1538=4,C1538="IN",I1538=120),VLOOKUP(T1538,'CAFCO 300 IDIEM TABLAS'!$J$4:$L$40,3,FALSE),0)+IF(AND(M1538="Ensayo Idiem",L1538="Cafco 400",C1538="IN",G1538=4,I1538=90),VLOOKUP(T1538,'CAFCO 400 ENSAYO'!$B$7:$D$43,2,FALSE),0)+IF(AND(M1538="Ensayo Idiem",L1538="Cafco 400",C1538="IN",G1538=4,I1538=120),VLOOKUP(T1538,'CAFCO 400 ENSAYO'!$B$7:$D$43,3,FALSE),0)</f>
        <v>0</v>
      </c>
      <c r="O1538" s="96">
        <f t="shared" si="150"/>
        <v>0</v>
      </c>
      <c r="P1538" s="95" t="str">
        <f t="shared" si="151"/>
        <v>N/A</v>
      </c>
      <c r="Q1538" s="95" t="str">
        <f t="shared" si="152"/>
        <v>N/A</v>
      </c>
      <c r="R1538" s="95" t="str">
        <f t="shared" si="153"/>
        <v>NO CERT.</v>
      </c>
      <c r="S1538" s="95" t="e">
        <f t="shared" si="154"/>
        <v>#N/A</v>
      </c>
      <c r="T1538" s="119" t="e">
        <f>+IF(J1538=LOOKUP(J1538,'CAFCO 300 IDIEM TABLAS'!$J$4:$J$40),'CALCULO MORTERO'!J1538,MROUND('CALCULO MORTERO'!J1538,10))</f>
        <v>#N/A</v>
      </c>
      <c r="U1538" s="118">
        <f t="shared" si="155"/>
        <v>0</v>
      </c>
    </row>
    <row r="1539" spans="1:21" x14ac:dyDescent="0.25">
      <c r="A1539" s="118">
        <f>+CUBICACION!D1533</f>
        <v>0</v>
      </c>
      <c r="B1539" s="819">
        <f>+CUBICACION!E1533</f>
        <v>0</v>
      </c>
      <c r="C1539" s="675">
        <f>+CUBICACION!F1533</f>
        <v>0</v>
      </c>
      <c r="D1539" s="118"/>
      <c r="E1539" s="118"/>
      <c r="F1539" s="820"/>
      <c r="G1539" s="675">
        <f>+CUBICACION!J1533</f>
        <v>0</v>
      </c>
      <c r="H1539" s="118"/>
      <c r="I1539" s="821">
        <f>+CUBICACION!L1533</f>
        <v>0</v>
      </c>
      <c r="J1539" s="64">
        <f>+CUBICACION!M1533</f>
        <v>0</v>
      </c>
      <c r="K1539" s="822" t="str">
        <f>+CUBICACION!N1533</f>
        <v/>
      </c>
      <c r="L1539" s="118">
        <f>+CUBICACION!O1533</f>
        <v>0</v>
      </c>
      <c r="M1539" s="823">
        <f>+CUBICACION!P1533</f>
        <v>0</v>
      </c>
      <c r="N1539" s="902">
        <f>ROUND(IF(AND(L1539="Blaze Shield II",M1539="Software Idiem",C1539="IN",G1539=4),((('BLAZE SHIELD II'!$D$4*('CALCULO MORTERO'!I1539^2)+'BLAZE SHIELD II'!$D$5*'CALCULO MORTERO'!I1539+'BLAZE SHIELD II'!$D$6)*LN(J1539))+('BLAZE SHIELD II'!$D$7*('CALCULO MORTERO'!I1539^2)+'BLAZE SHIELD II'!$D$8*'CALCULO MORTERO'!I1539+'BLAZE SHIELD II'!$D$9)),0)+IF(AND(L1539="Blaze Shield II",M1539="Software Idiem",C1539="Cj"),((('BLAZE SHIELD II'!$H$4*('CALCULO MORTERO'!I1539^2)+'BLAZE SHIELD II'!$H$5*'CALCULO MORTERO'!I1539+'BLAZE SHIELD II'!$H$6)*LN(J1539))+('BLAZE SHIELD II'!$H$7*('CALCULO MORTERO'!I1539^2)+'BLAZE SHIELD II'!$H$8*'CALCULO MORTERO'!I1539+'BLAZE SHIELD II'!$H$9)),0)+IF(AND(L1539="Blaze Shield II",M1539="Software Idiem",C1539="C"),((('BLAZE SHIELD II'!$L$4*('CALCULO MORTERO'!I1539^2)+'BLAZE SHIELD II'!$L$5*'CALCULO MORTERO'!I1539+'BLAZE SHIELD II'!$L$6)*LN(J1539))+('BLAZE SHIELD II'!$L$7*('CALCULO MORTERO'!I1539^2)+'BLAZE SHIELD II'!$L$8*'CALCULO MORTERO'!I1539+'BLAZE SHIELD II'!$L$9)),0)+IF(AND(L1539="Blaze Shield II",M1539="Software Idiem",C1539="L"),((('BLAZE SHIELD II'!$L$4*('CALCULO MORTERO'!I1539^2)+'BLAZE SHIELD II'!$L$5*'CALCULO MORTERO'!I1539+'BLAZE SHIELD II'!$L$6)*LN(J1539))+('BLAZE SHIELD II'!$L$7*('CALCULO MORTERO'!I1539^2)+'BLAZE SHIELD II'!$L$8*'CALCULO MORTERO'!I1539+'BLAZE SHIELD II'!$L$9)),0)+IF(AND(L1539="Blaze Shield II",M1539="Software Idiem",C1539="IN",G1539=3),((('BLAZE SHIELD II'!$H$14*('CALCULO MORTERO'!I1539^2)+'BLAZE SHIELD II'!$H$15*'CALCULO MORTERO'!I1539+'BLAZE SHIELD II'!$H$16)*LN(J1539))+('BLAZE SHIELD II'!$H$17*('CALCULO MORTERO'!I1539^2)+'BLAZE SHIELD II'!$H$18*'CALCULO MORTERO'!I1539+'BLAZE SHIELD II'!$H$19)),0),0)+ROUND(IF(AND(L1539="Cafco 400",M1539="Software Idiem",C1539="IN",G1539=4),((('CAFCO 400 '!$H$7*(J1539^4)+'CAFCO 400 '!$H$8*(J1539^3)+'CAFCO 400 '!$H$9*(J1539^2)+'CAFCO 400 '!$H$10*J1539+'CAFCO 400 '!$H$11)*U1539^2)+(('CAFCO 400 '!$H$12*(J1539^3)+'CAFCO 400 '!$H$13*(J1539^2)+'CAFCO 400 '!$H$14*J1539+'CAFCO 400 '!$H$15)*U1539)+('CAFCO 400 '!$H$16*(J1539^2)+'CAFCO 400 '!$H$17*J1539+'CAFCO 400 '!$H$18)),0)+IF(AND(L1539="Cafco 400",M1539="Software Idiem",C1539="Cj"),(((('CAFCO 400 '!$D$7*LN(J1539)+'CAFCO 400 '!$D$8)*U1539^2)+(('CAFCO 400 '!$D$9*LN(J1539)+'CAFCO 400 '!$D$10)*U1539)+('CAFCO 400 '!$D$11*LN(J1539)+'CAFCO 400 '!$D$12))),0)+IF(AND(L1539="Cafco 400",M1539="Software Idiem",C1539="C"),((('CAFCO 400 '!$L$7*(J1539^3)+'CAFCO 400 '!$L$8*(J1539^2)+'CAFCO 400 '!$L$9*J1539+'CAFCO 400 '!$L$10)*U1539^2)+(('CAFCO 400 '!$L$11*(J1539^3)+'CAFCO 400 '!$L$12*(J1539^2)+'CAFCO 400 '!$L$13*J1539+'CAFCO 400 '!$L$14)*U1539)+('CAFCO 400 '!$L$15*LN(J1539)+'CAFCO 400 '!$L$16)),0)+IF(AND(L1539="Cafco 400",M1539="Software Idiem",C1539="L"),((('CAFCO 400 '!$L$7*(J1539^3)+'CAFCO 400 '!$L$8*(J1539^2)+'CAFCO 400 '!$L$9*J1539+'CAFCO 400 '!$L$10)*U1539^2)+(('CAFCO 400 '!$L$11*(J1539^3)+'CAFCO 400 '!$L$12*(J1539^2)+'CAFCO 400 '!$L$13*J1539+'CAFCO 400 '!$L$14)*U1539)+('CAFCO 400 '!$L$15*LN(J1539)+'CAFCO 400 '!$L$16)),0)+IF(AND(L1539="Cafco 400",M1539="Software Idiem",C1539="IN",G1539=3),((('CAFCO 400 '!$D$23*(J1539^2)+'CAFCO 400 '!$D$24*(J1539)+'CAFCO 400 '!$D$25)*U1539^2)+(('CAFCO 400 '!$D$26*(J1539^2)+'CAFCO 400 '!$D$27*J1539+'CAFCO 400 '!$D$28)*U1539)+('CAFCO 400 '!$D$29*(J1539^2)+'CAFCO 400 '!$D$30*J1539+'CAFCO 400 '!$D$31)),0),0)+IF(AND(L1539="Cafco 300",J1539&gt;=95,J1539&lt;=240,C1539="Cj",I1539=90),VLOOKUP(T1539,'CAFCO 300 IDIEM TABLAS'!$B$4:$D$23,2,FALSE),0)+IF(AND(L1539="Cafco 300",J1539&gt;=95,J1539&lt;=240,C1539="Cj",I1539=120),VLOOKUP(T1539,'CAFCO 300 IDIEM TABLAS'!$B$4:$D$23,3,FALSE),0)+IF(AND(L1539="Cafco 300",J1539&gt;=95,J1539&lt;=400,G1539=3,C1539="IN",I1539=90),VLOOKUP(T1539,'CAFCO 300 IDIEM TABLAS'!$F$4:$H$35,2,FALSE),0)+IF(AND(L1539="Cafco 300",J1539&gt;=95,J1539&lt;=400,G1539=3,C1539="IN",I1539=120),VLOOKUP(T1539,'CAFCO 300 IDIEM TABLAS'!$F$4:$H$35,3,FALSE),0)+IF(AND(L1539="Cafco 300",J1539&gt;=95,J1539&lt;=450,G1539=4,C1539="IN",I1539=90),VLOOKUP(T1539,'CAFCO 300 IDIEM TABLAS'!$J$4:$L$40,2,FALSE),0)+IF(AND(L1539="Cafco 300",J1539&gt;=95,J1539&lt;=450,G1539=4,C1539="IN",I1539=120),VLOOKUP(T1539,'CAFCO 300 IDIEM TABLAS'!$J$4:$L$40,3,FALSE),0)+IF(AND(M1539="Ensayo Idiem",L1539="Cafco 400",C1539="IN",G1539=4,I1539=90),VLOOKUP(T1539,'CAFCO 400 ENSAYO'!$B$7:$D$43,2,FALSE),0)+IF(AND(M1539="Ensayo Idiem",L1539="Cafco 400",C1539="IN",G1539=4,I1539=120),VLOOKUP(T1539,'CAFCO 400 ENSAYO'!$B$7:$D$43,3,FALSE),0)</f>
        <v>0</v>
      </c>
      <c r="O1539" s="96">
        <f t="shared" si="150"/>
        <v>0</v>
      </c>
      <c r="P1539" s="132" t="str">
        <f t="shared" si="151"/>
        <v>N/A</v>
      </c>
      <c r="Q1539" s="132" t="str">
        <f t="shared" si="152"/>
        <v>N/A</v>
      </c>
      <c r="R1539" s="132" t="str">
        <f t="shared" si="153"/>
        <v>NO CERT.</v>
      </c>
      <c r="S1539" s="132" t="e">
        <f t="shared" si="154"/>
        <v>#N/A</v>
      </c>
      <c r="T1539" s="133" t="e">
        <f>+IF(J1539=LOOKUP(J1539,'CAFCO 300 IDIEM TABLAS'!$J$4:$J$40),'CALCULO MORTERO'!J1539,MROUND('CALCULO MORTERO'!J1539,10))</f>
        <v>#N/A</v>
      </c>
      <c r="U1539" s="134">
        <f t="shared" si="155"/>
        <v>0</v>
      </c>
    </row>
    <row r="1540" spans="1:21" x14ac:dyDescent="0.25">
      <c r="A1540" s="118">
        <f>+CUBICACION!D1534</f>
        <v>0</v>
      </c>
      <c r="B1540" s="819">
        <f>+CUBICACION!E1534</f>
        <v>0</v>
      </c>
      <c r="C1540" s="675">
        <f>+CUBICACION!F1534</f>
        <v>0</v>
      </c>
      <c r="D1540" s="118"/>
      <c r="E1540" s="118"/>
      <c r="F1540" s="820"/>
      <c r="G1540" s="675">
        <f>+CUBICACION!J1534</f>
        <v>0</v>
      </c>
      <c r="H1540" s="118"/>
      <c r="I1540" s="821">
        <f>+CUBICACION!L1534</f>
        <v>0</v>
      </c>
      <c r="J1540" s="64">
        <f>+CUBICACION!M1534</f>
        <v>0</v>
      </c>
      <c r="K1540" s="822" t="str">
        <f>+CUBICACION!N1534</f>
        <v/>
      </c>
      <c r="L1540" s="118">
        <f>+CUBICACION!O1534</f>
        <v>0</v>
      </c>
      <c r="M1540" s="823">
        <f>+CUBICACION!P1534</f>
        <v>0</v>
      </c>
      <c r="N1540" s="902">
        <f>ROUND(IF(AND(L1540="Blaze Shield II",M1540="Software Idiem",C1540="IN",G1540=4),((('BLAZE SHIELD II'!$D$4*('CALCULO MORTERO'!I1540^2)+'BLAZE SHIELD II'!$D$5*'CALCULO MORTERO'!I1540+'BLAZE SHIELD II'!$D$6)*LN(J1540))+('BLAZE SHIELD II'!$D$7*('CALCULO MORTERO'!I1540^2)+'BLAZE SHIELD II'!$D$8*'CALCULO MORTERO'!I1540+'BLAZE SHIELD II'!$D$9)),0)+IF(AND(L1540="Blaze Shield II",M1540="Software Idiem",C1540="Cj"),((('BLAZE SHIELD II'!$H$4*('CALCULO MORTERO'!I1540^2)+'BLAZE SHIELD II'!$H$5*'CALCULO MORTERO'!I1540+'BLAZE SHIELD II'!$H$6)*LN(J1540))+('BLAZE SHIELD II'!$H$7*('CALCULO MORTERO'!I1540^2)+'BLAZE SHIELD II'!$H$8*'CALCULO MORTERO'!I1540+'BLAZE SHIELD II'!$H$9)),0)+IF(AND(L1540="Blaze Shield II",M1540="Software Idiem",C1540="C"),((('BLAZE SHIELD II'!$L$4*('CALCULO MORTERO'!I1540^2)+'BLAZE SHIELD II'!$L$5*'CALCULO MORTERO'!I1540+'BLAZE SHIELD II'!$L$6)*LN(J1540))+('BLAZE SHIELD II'!$L$7*('CALCULO MORTERO'!I1540^2)+'BLAZE SHIELD II'!$L$8*'CALCULO MORTERO'!I1540+'BLAZE SHIELD II'!$L$9)),0)+IF(AND(L1540="Blaze Shield II",M1540="Software Idiem",C1540="L"),((('BLAZE SHIELD II'!$L$4*('CALCULO MORTERO'!I1540^2)+'BLAZE SHIELD II'!$L$5*'CALCULO MORTERO'!I1540+'BLAZE SHIELD II'!$L$6)*LN(J1540))+('BLAZE SHIELD II'!$L$7*('CALCULO MORTERO'!I1540^2)+'BLAZE SHIELD II'!$L$8*'CALCULO MORTERO'!I1540+'BLAZE SHIELD II'!$L$9)),0)+IF(AND(L1540="Blaze Shield II",M1540="Software Idiem",C1540="IN",G1540=3),((('BLAZE SHIELD II'!$H$14*('CALCULO MORTERO'!I1540^2)+'BLAZE SHIELD II'!$H$15*'CALCULO MORTERO'!I1540+'BLAZE SHIELD II'!$H$16)*LN(J1540))+('BLAZE SHIELD II'!$H$17*('CALCULO MORTERO'!I1540^2)+'BLAZE SHIELD II'!$H$18*'CALCULO MORTERO'!I1540+'BLAZE SHIELD II'!$H$19)),0),0)+ROUND(IF(AND(L1540="Cafco 400",M1540="Software Idiem",C1540="IN",G1540=4),((('CAFCO 400 '!$H$7*(J1540^4)+'CAFCO 400 '!$H$8*(J1540^3)+'CAFCO 400 '!$H$9*(J1540^2)+'CAFCO 400 '!$H$10*J1540+'CAFCO 400 '!$H$11)*U1540^2)+(('CAFCO 400 '!$H$12*(J1540^3)+'CAFCO 400 '!$H$13*(J1540^2)+'CAFCO 400 '!$H$14*J1540+'CAFCO 400 '!$H$15)*U1540)+('CAFCO 400 '!$H$16*(J1540^2)+'CAFCO 400 '!$H$17*J1540+'CAFCO 400 '!$H$18)),0)+IF(AND(L1540="Cafco 400",M1540="Software Idiem",C1540="Cj"),(((('CAFCO 400 '!$D$7*LN(J1540)+'CAFCO 400 '!$D$8)*U1540^2)+(('CAFCO 400 '!$D$9*LN(J1540)+'CAFCO 400 '!$D$10)*U1540)+('CAFCO 400 '!$D$11*LN(J1540)+'CAFCO 400 '!$D$12))),0)+IF(AND(L1540="Cafco 400",M1540="Software Idiem",C1540="C"),((('CAFCO 400 '!$L$7*(J1540^3)+'CAFCO 400 '!$L$8*(J1540^2)+'CAFCO 400 '!$L$9*J1540+'CAFCO 400 '!$L$10)*U1540^2)+(('CAFCO 400 '!$L$11*(J1540^3)+'CAFCO 400 '!$L$12*(J1540^2)+'CAFCO 400 '!$L$13*J1540+'CAFCO 400 '!$L$14)*U1540)+('CAFCO 400 '!$L$15*LN(J1540)+'CAFCO 400 '!$L$16)),0)+IF(AND(L1540="Cafco 400",M1540="Software Idiem",C1540="L"),((('CAFCO 400 '!$L$7*(J1540^3)+'CAFCO 400 '!$L$8*(J1540^2)+'CAFCO 400 '!$L$9*J1540+'CAFCO 400 '!$L$10)*U1540^2)+(('CAFCO 400 '!$L$11*(J1540^3)+'CAFCO 400 '!$L$12*(J1540^2)+'CAFCO 400 '!$L$13*J1540+'CAFCO 400 '!$L$14)*U1540)+('CAFCO 400 '!$L$15*LN(J1540)+'CAFCO 400 '!$L$16)),0)+IF(AND(L1540="Cafco 400",M1540="Software Idiem",C1540="IN",G1540=3),((('CAFCO 400 '!$D$23*(J1540^2)+'CAFCO 400 '!$D$24*(J1540)+'CAFCO 400 '!$D$25)*U1540^2)+(('CAFCO 400 '!$D$26*(J1540^2)+'CAFCO 400 '!$D$27*J1540+'CAFCO 400 '!$D$28)*U1540)+('CAFCO 400 '!$D$29*(J1540^2)+'CAFCO 400 '!$D$30*J1540+'CAFCO 400 '!$D$31)),0),0)+IF(AND(L1540="Cafco 300",J1540&gt;=95,J1540&lt;=240,C1540="Cj",I1540=90),VLOOKUP(T1540,'CAFCO 300 IDIEM TABLAS'!$B$4:$D$23,2,FALSE),0)+IF(AND(L1540="Cafco 300",J1540&gt;=95,J1540&lt;=240,C1540="Cj",I1540=120),VLOOKUP(T1540,'CAFCO 300 IDIEM TABLAS'!$B$4:$D$23,3,FALSE),0)+IF(AND(L1540="Cafco 300",J1540&gt;=95,J1540&lt;=400,G1540=3,C1540="IN",I1540=90),VLOOKUP(T1540,'CAFCO 300 IDIEM TABLAS'!$F$4:$H$35,2,FALSE),0)+IF(AND(L1540="Cafco 300",J1540&gt;=95,J1540&lt;=400,G1540=3,C1540="IN",I1540=120),VLOOKUP(T1540,'CAFCO 300 IDIEM TABLAS'!$F$4:$H$35,3,FALSE),0)+IF(AND(L1540="Cafco 300",J1540&gt;=95,J1540&lt;=450,G1540=4,C1540="IN",I1540=90),VLOOKUP(T1540,'CAFCO 300 IDIEM TABLAS'!$J$4:$L$40,2,FALSE),0)+IF(AND(L1540="Cafco 300",J1540&gt;=95,J1540&lt;=450,G1540=4,C1540="IN",I1540=120),VLOOKUP(T1540,'CAFCO 300 IDIEM TABLAS'!$J$4:$L$40,3,FALSE),0)+IF(AND(M1540="Ensayo Idiem",L1540="Cafco 400",C1540="IN",G1540=4,I1540=90),VLOOKUP(T1540,'CAFCO 400 ENSAYO'!$B$7:$D$43,2,FALSE),0)+IF(AND(M1540="Ensayo Idiem",L1540="Cafco 400",C1540="IN",G1540=4,I1540=120),VLOOKUP(T1540,'CAFCO 400 ENSAYO'!$B$7:$D$43,3,FALSE),0)</f>
        <v>0</v>
      </c>
      <c r="O1540" s="96">
        <f t="shared" si="150"/>
        <v>0</v>
      </c>
      <c r="P1540" s="95" t="str">
        <f t="shared" si="151"/>
        <v>N/A</v>
      </c>
      <c r="Q1540" s="95" t="str">
        <f t="shared" si="152"/>
        <v>N/A</v>
      </c>
      <c r="R1540" s="95" t="str">
        <f t="shared" si="153"/>
        <v>NO CERT.</v>
      </c>
      <c r="S1540" s="95" t="e">
        <f t="shared" si="154"/>
        <v>#N/A</v>
      </c>
      <c r="T1540" s="119" t="e">
        <f>+IF(J1540=LOOKUP(J1540,'CAFCO 300 IDIEM TABLAS'!$J$4:$J$40),'CALCULO MORTERO'!J1540,MROUND('CALCULO MORTERO'!J1540,10))</f>
        <v>#N/A</v>
      </c>
      <c r="U1540" s="118">
        <f t="shared" si="155"/>
        <v>0</v>
      </c>
    </row>
    <row r="1541" spans="1:21" x14ac:dyDescent="0.25">
      <c r="A1541" s="118">
        <f>+CUBICACION!D1535</f>
        <v>0</v>
      </c>
      <c r="B1541" s="819">
        <f>+CUBICACION!E1535</f>
        <v>0</v>
      </c>
      <c r="C1541" s="675">
        <f>+CUBICACION!F1535</f>
        <v>0</v>
      </c>
      <c r="D1541" s="118"/>
      <c r="E1541" s="118"/>
      <c r="F1541" s="820"/>
      <c r="G1541" s="675">
        <f>+CUBICACION!J1535</f>
        <v>0</v>
      </c>
      <c r="H1541" s="118"/>
      <c r="I1541" s="821">
        <f>+CUBICACION!L1535</f>
        <v>0</v>
      </c>
      <c r="J1541" s="64">
        <f>+CUBICACION!M1535</f>
        <v>0</v>
      </c>
      <c r="K1541" s="822" t="str">
        <f>+CUBICACION!N1535</f>
        <v/>
      </c>
      <c r="L1541" s="118">
        <f>+CUBICACION!O1535</f>
        <v>0</v>
      </c>
      <c r="M1541" s="823">
        <f>+CUBICACION!P1535</f>
        <v>0</v>
      </c>
      <c r="N1541" s="902">
        <f>ROUND(IF(AND(L1541="Blaze Shield II",M1541="Software Idiem",C1541="IN",G1541=4),((('BLAZE SHIELD II'!$D$4*('CALCULO MORTERO'!I1541^2)+'BLAZE SHIELD II'!$D$5*'CALCULO MORTERO'!I1541+'BLAZE SHIELD II'!$D$6)*LN(J1541))+('BLAZE SHIELD II'!$D$7*('CALCULO MORTERO'!I1541^2)+'BLAZE SHIELD II'!$D$8*'CALCULO MORTERO'!I1541+'BLAZE SHIELD II'!$D$9)),0)+IF(AND(L1541="Blaze Shield II",M1541="Software Idiem",C1541="Cj"),((('BLAZE SHIELD II'!$H$4*('CALCULO MORTERO'!I1541^2)+'BLAZE SHIELD II'!$H$5*'CALCULO MORTERO'!I1541+'BLAZE SHIELD II'!$H$6)*LN(J1541))+('BLAZE SHIELD II'!$H$7*('CALCULO MORTERO'!I1541^2)+'BLAZE SHIELD II'!$H$8*'CALCULO MORTERO'!I1541+'BLAZE SHIELD II'!$H$9)),0)+IF(AND(L1541="Blaze Shield II",M1541="Software Idiem",C1541="C"),((('BLAZE SHIELD II'!$L$4*('CALCULO MORTERO'!I1541^2)+'BLAZE SHIELD II'!$L$5*'CALCULO MORTERO'!I1541+'BLAZE SHIELD II'!$L$6)*LN(J1541))+('BLAZE SHIELD II'!$L$7*('CALCULO MORTERO'!I1541^2)+'BLAZE SHIELD II'!$L$8*'CALCULO MORTERO'!I1541+'BLAZE SHIELD II'!$L$9)),0)+IF(AND(L1541="Blaze Shield II",M1541="Software Idiem",C1541="L"),((('BLAZE SHIELD II'!$L$4*('CALCULO MORTERO'!I1541^2)+'BLAZE SHIELD II'!$L$5*'CALCULO MORTERO'!I1541+'BLAZE SHIELD II'!$L$6)*LN(J1541))+('BLAZE SHIELD II'!$L$7*('CALCULO MORTERO'!I1541^2)+'BLAZE SHIELD II'!$L$8*'CALCULO MORTERO'!I1541+'BLAZE SHIELD II'!$L$9)),0)+IF(AND(L1541="Blaze Shield II",M1541="Software Idiem",C1541="IN",G1541=3),((('BLAZE SHIELD II'!$H$14*('CALCULO MORTERO'!I1541^2)+'BLAZE SHIELD II'!$H$15*'CALCULO MORTERO'!I1541+'BLAZE SHIELD II'!$H$16)*LN(J1541))+('BLAZE SHIELD II'!$H$17*('CALCULO MORTERO'!I1541^2)+'BLAZE SHIELD II'!$H$18*'CALCULO MORTERO'!I1541+'BLAZE SHIELD II'!$H$19)),0),0)+ROUND(IF(AND(L1541="Cafco 400",M1541="Software Idiem",C1541="IN",G1541=4),((('CAFCO 400 '!$H$7*(J1541^4)+'CAFCO 400 '!$H$8*(J1541^3)+'CAFCO 400 '!$H$9*(J1541^2)+'CAFCO 400 '!$H$10*J1541+'CAFCO 400 '!$H$11)*U1541^2)+(('CAFCO 400 '!$H$12*(J1541^3)+'CAFCO 400 '!$H$13*(J1541^2)+'CAFCO 400 '!$H$14*J1541+'CAFCO 400 '!$H$15)*U1541)+('CAFCO 400 '!$H$16*(J1541^2)+'CAFCO 400 '!$H$17*J1541+'CAFCO 400 '!$H$18)),0)+IF(AND(L1541="Cafco 400",M1541="Software Idiem",C1541="Cj"),(((('CAFCO 400 '!$D$7*LN(J1541)+'CAFCO 400 '!$D$8)*U1541^2)+(('CAFCO 400 '!$D$9*LN(J1541)+'CAFCO 400 '!$D$10)*U1541)+('CAFCO 400 '!$D$11*LN(J1541)+'CAFCO 400 '!$D$12))),0)+IF(AND(L1541="Cafco 400",M1541="Software Idiem",C1541="C"),((('CAFCO 400 '!$L$7*(J1541^3)+'CAFCO 400 '!$L$8*(J1541^2)+'CAFCO 400 '!$L$9*J1541+'CAFCO 400 '!$L$10)*U1541^2)+(('CAFCO 400 '!$L$11*(J1541^3)+'CAFCO 400 '!$L$12*(J1541^2)+'CAFCO 400 '!$L$13*J1541+'CAFCO 400 '!$L$14)*U1541)+('CAFCO 400 '!$L$15*LN(J1541)+'CAFCO 400 '!$L$16)),0)+IF(AND(L1541="Cafco 400",M1541="Software Idiem",C1541="L"),((('CAFCO 400 '!$L$7*(J1541^3)+'CAFCO 400 '!$L$8*(J1541^2)+'CAFCO 400 '!$L$9*J1541+'CAFCO 400 '!$L$10)*U1541^2)+(('CAFCO 400 '!$L$11*(J1541^3)+'CAFCO 400 '!$L$12*(J1541^2)+'CAFCO 400 '!$L$13*J1541+'CAFCO 400 '!$L$14)*U1541)+('CAFCO 400 '!$L$15*LN(J1541)+'CAFCO 400 '!$L$16)),0)+IF(AND(L1541="Cafco 400",M1541="Software Idiem",C1541="IN",G1541=3),((('CAFCO 400 '!$D$23*(J1541^2)+'CAFCO 400 '!$D$24*(J1541)+'CAFCO 400 '!$D$25)*U1541^2)+(('CAFCO 400 '!$D$26*(J1541^2)+'CAFCO 400 '!$D$27*J1541+'CAFCO 400 '!$D$28)*U1541)+('CAFCO 400 '!$D$29*(J1541^2)+'CAFCO 400 '!$D$30*J1541+'CAFCO 400 '!$D$31)),0),0)+IF(AND(L1541="Cafco 300",J1541&gt;=95,J1541&lt;=240,C1541="Cj",I1541=90),VLOOKUP(T1541,'CAFCO 300 IDIEM TABLAS'!$B$4:$D$23,2,FALSE),0)+IF(AND(L1541="Cafco 300",J1541&gt;=95,J1541&lt;=240,C1541="Cj",I1541=120),VLOOKUP(T1541,'CAFCO 300 IDIEM TABLAS'!$B$4:$D$23,3,FALSE),0)+IF(AND(L1541="Cafco 300",J1541&gt;=95,J1541&lt;=400,G1541=3,C1541="IN",I1541=90),VLOOKUP(T1541,'CAFCO 300 IDIEM TABLAS'!$F$4:$H$35,2,FALSE),0)+IF(AND(L1541="Cafco 300",J1541&gt;=95,J1541&lt;=400,G1541=3,C1541="IN",I1541=120),VLOOKUP(T1541,'CAFCO 300 IDIEM TABLAS'!$F$4:$H$35,3,FALSE),0)+IF(AND(L1541="Cafco 300",J1541&gt;=95,J1541&lt;=450,G1541=4,C1541="IN",I1541=90),VLOOKUP(T1541,'CAFCO 300 IDIEM TABLAS'!$J$4:$L$40,2,FALSE),0)+IF(AND(L1541="Cafco 300",J1541&gt;=95,J1541&lt;=450,G1541=4,C1541="IN",I1541=120),VLOOKUP(T1541,'CAFCO 300 IDIEM TABLAS'!$J$4:$L$40,3,FALSE),0)+IF(AND(M1541="Ensayo Idiem",L1541="Cafco 400",C1541="IN",G1541=4,I1541=90),VLOOKUP(T1541,'CAFCO 400 ENSAYO'!$B$7:$D$43,2,FALSE),0)+IF(AND(M1541="Ensayo Idiem",L1541="Cafco 400",C1541="IN",G1541=4,I1541=120),VLOOKUP(T1541,'CAFCO 400 ENSAYO'!$B$7:$D$43,3,FALSE),0)</f>
        <v>0</v>
      </c>
      <c r="O1541" s="96">
        <f t="shared" si="150"/>
        <v>0</v>
      </c>
      <c r="P1541" s="132" t="str">
        <f t="shared" si="151"/>
        <v>N/A</v>
      </c>
      <c r="Q1541" s="132" t="str">
        <f t="shared" si="152"/>
        <v>N/A</v>
      </c>
      <c r="R1541" s="132" t="str">
        <f t="shared" si="153"/>
        <v>NO CERT.</v>
      </c>
      <c r="S1541" s="132" t="e">
        <f t="shared" si="154"/>
        <v>#N/A</v>
      </c>
      <c r="T1541" s="133" t="e">
        <f>+IF(J1541=LOOKUP(J1541,'CAFCO 300 IDIEM TABLAS'!$J$4:$J$40),'CALCULO MORTERO'!J1541,MROUND('CALCULO MORTERO'!J1541,10))</f>
        <v>#N/A</v>
      </c>
      <c r="U1541" s="134">
        <f t="shared" si="155"/>
        <v>0</v>
      </c>
    </row>
    <row r="1542" spans="1:21" x14ac:dyDescent="0.25">
      <c r="A1542" s="118">
        <f>+CUBICACION!D1536</f>
        <v>0</v>
      </c>
      <c r="B1542" s="819">
        <f>+CUBICACION!E1536</f>
        <v>0</v>
      </c>
      <c r="C1542" s="675">
        <f>+CUBICACION!F1536</f>
        <v>0</v>
      </c>
      <c r="D1542" s="118"/>
      <c r="E1542" s="118"/>
      <c r="F1542" s="820"/>
      <c r="G1542" s="675">
        <f>+CUBICACION!J1536</f>
        <v>0</v>
      </c>
      <c r="H1542" s="118"/>
      <c r="I1542" s="821">
        <f>+CUBICACION!L1536</f>
        <v>0</v>
      </c>
      <c r="J1542" s="64">
        <f>+CUBICACION!M1536</f>
        <v>0</v>
      </c>
      <c r="K1542" s="822" t="str">
        <f>+CUBICACION!N1536</f>
        <v/>
      </c>
      <c r="L1542" s="118">
        <f>+CUBICACION!O1536</f>
        <v>0</v>
      </c>
      <c r="M1542" s="823">
        <f>+CUBICACION!P1536</f>
        <v>0</v>
      </c>
      <c r="N1542" s="902">
        <f>ROUND(IF(AND(L1542="Blaze Shield II",M1542="Software Idiem",C1542="IN",G1542=4),((('BLAZE SHIELD II'!$D$4*('CALCULO MORTERO'!I1542^2)+'BLAZE SHIELD II'!$D$5*'CALCULO MORTERO'!I1542+'BLAZE SHIELD II'!$D$6)*LN(J1542))+('BLAZE SHIELD II'!$D$7*('CALCULO MORTERO'!I1542^2)+'BLAZE SHIELD II'!$D$8*'CALCULO MORTERO'!I1542+'BLAZE SHIELD II'!$D$9)),0)+IF(AND(L1542="Blaze Shield II",M1542="Software Idiem",C1542="Cj"),((('BLAZE SHIELD II'!$H$4*('CALCULO MORTERO'!I1542^2)+'BLAZE SHIELD II'!$H$5*'CALCULO MORTERO'!I1542+'BLAZE SHIELD II'!$H$6)*LN(J1542))+('BLAZE SHIELD II'!$H$7*('CALCULO MORTERO'!I1542^2)+'BLAZE SHIELD II'!$H$8*'CALCULO MORTERO'!I1542+'BLAZE SHIELD II'!$H$9)),0)+IF(AND(L1542="Blaze Shield II",M1542="Software Idiem",C1542="C"),((('BLAZE SHIELD II'!$L$4*('CALCULO MORTERO'!I1542^2)+'BLAZE SHIELD II'!$L$5*'CALCULO MORTERO'!I1542+'BLAZE SHIELD II'!$L$6)*LN(J1542))+('BLAZE SHIELD II'!$L$7*('CALCULO MORTERO'!I1542^2)+'BLAZE SHIELD II'!$L$8*'CALCULO MORTERO'!I1542+'BLAZE SHIELD II'!$L$9)),0)+IF(AND(L1542="Blaze Shield II",M1542="Software Idiem",C1542="L"),((('BLAZE SHIELD II'!$L$4*('CALCULO MORTERO'!I1542^2)+'BLAZE SHIELD II'!$L$5*'CALCULO MORTERO'!I1542+'BLAZE SHIELD II'!$L$6)*LN(J1542))+('BLAZE SHIELD II'!$L$7*('CALCULO MORTERO'!I1542^2)+'BLAZE SHIELD II'!$L$8*'CALCULO MORTERO'!I1542+'BLAZE SHIELD II'!$L$9)),0)+IF(AND(L1542="Blaze Shield II",M1542="Software Idiem",C1542="IN",G1542=3),((('BLAZE SHIELD II'!$H$14*('CALCULO MORTERO'!I1542^2)+'BLAZE SHIELD II'!$H$15*'CALCULO MORTERO'!I1542+'BLAZE SHIELD II'!$H$16)*LN(J1542))+('BLAZE SHIELD II'!$H$17*('CALCULO MORTERO'!I1542^2)+'BLAZE SHIELD II'!$H$18*'CALCULO MORTERO'!I1542+'BLAZE SHIELD II'!$H$19)),0),0)+ROUND(IF(AND(L1542="Cafco 400",M1542="Software Idiem",C1542="IN",G1542=4),((('CAFCO 400 '!$H$7*(J1542^4)+'CAFCO 400 '!$H$8*(J1542^3)+'CAFCO 400 '!$H$9*(J1542^2)+'CAFCO 400 '!$H$10*J1542+'CAFCO 400 '!$H$11)*U1542^2)+(('CAFCO 400 '!$H$12*(J1542^3)+'CAFCO 400 '!$H$13*(J1542^2)+'CAFCO 400 '!$H$14*J1542+'CAFCO 400 '!$H$15)*U1542)+('CAFCO 400 '!$H$16*(J1542^2)+'CAFCO 400 '!$H$17*J1542+'CAFCO 400 '!$H$18)),0)+IF(AND(L1542="Cafco 400",M1542="Software Idiem",C1542="Cj"),(((('CAFCO 400 '!$D$7*LN(J1542)+'CAFCO 400 '!$D$8)*U1542^2)+(('CAFCO 400 '!$D$9*LN(J1542)+'CAFCO 400 '!$D$10)*U1542)+('CAFCO 400 '!$D$11*LN(J1542)+'CAFCO 400 '!$D$12))),0)+IF(AND(L1542="Cafco 400",M1542="Software Idiem",C1542="C"),((('CAFCO 400 '!$L$7*(J1542^3)+'CAFCO 400 '!$L$8*(J1542^2)+'CAFCO 400 '!$L$9*J1542+'CAFCO 400 '!$L$10)*U1542^2)+(('CAFCO 400 '!$L$11*(J1542^3)+'CAFCO 400 '!$L$12*(J1542^2)+'CAFCO 400 '!$L$13*J1542+'CAFCO 400 '!$L$14)*U1542)+('CAFCO 400 '!$L$15*LN(J1542)+'CAFCO 400 '!$L$16)),0)+IF(AND(L1542="Cafco 400",M1542="Software Idiem",C1542="L"),((('CAFCO 400 '!$L$7*(J1542^3)+'CAFCO 400 '!$L$8*(J1542^2)+'CAFCO 400 '!$L$9*J1542+'CAFCO 400 '!$L$10)*U1542^2)+(('CAFCO 400 '!$L$11*(J1542^3)+'CAFCO 400 '!$L$12*(J1542^2)+'CAFCO 400 '!$L$13*J1542+'CAFCO 400 '!$L$14)*U1542)+('CAFCO 400 '!$L$15*LN(J1542)+'CAFCO 400 '!$L$16)),0)+IF(AND(L1542="Cafco 400",M1542="Software Idiem",C1542="IN",G1542=3),((('CAFCO 400 '!$D$23*(J1542^2)+'CAFCO 400 '!$D$24*(J1542)+'CAFCO 400 '!$D$25)*U1542^2)+(('CAFCO 400 '!$D$26*(J1542^2)+'CAFCO 400 '!$D$27*J1542+'CAFCO 400 '!$D$28)*U1542)+('CAFCO 400 '!$D$29*(J1542^2)+'CAFCO 400 '!$D$30*J1542+'CAFCO 400 '!$D$31)),0),0)+IF(AND(L1542="Cafco 300",J1542&gt;=95,J1542&lt;=240,C1542="Cj",I1542=90),VLOOKUP(T1542,'CAFCO 300 IDIEM TABLAS'!$B$4:$D$23,2,FALSE),0)+IF(AND(L1542="Cafco 300",J1542&gt;=95,J1542&lt;=240,C1542="Cj",I1542=120),VLOOKUP(T1542,'CAFCO 300 IDIEM TABLAS'!$B$4:$D$23,3,FALSE),0)+IF(AND(L1542="Cafco 300",J1542&gt;=95,J1542&lt;=400,G1542=3,C1542="IN",I1542=90),VLOOKUP(T1542,'CAFCO 300 IDIEM TABLAS'!$F$4:$H$35,2,FALSE),0)+IF(AND(L1542="Cafco 300",J1542&gt;=95,J1542&lt;=400,G1542=3,C1542="IN",I1542=120),VLOOKUP(T1542,'CAFCO 300 IDIEM TABLAS'!$F$4:$H$35,3,FALSE),0)+IF(AND(L1542="Cafco 300",J1542&gt;=95,J1542&lt;=450,G1542=4,C1542="IN",I1542=90),VLOOKUP(T1542,'CAFCO 300 IDIEM TABLAS'!$J$4:$L$40,2,FALSE),0)+IF(AND(L1542="Cafco 300",J1542&gt;=95,J1542&lt;=450,G1542=4,C1542="IN",I1542=120),VLOOKUP(T1542,'CAFCO 300 IDIEM TABLAS'!$J$4:$L$40,3,FALSE),0)+IF(AND(M1542="Ensayo Idiem",L1542="Cafco 400",C1542="IN",G1542=4,I1542=90),VLOOKUP(T1542,'CAFCO 400 ENSAYO'!$B$7:$D$43,2,FALSE),0)+IF(AND(M1542="Ensayo Idiem",L1542="Cafco 400",C1542="IN",G1542=4,I1542=120),VLOOKUP(T1542,'CAFCO 400 ENSAYO'!$B$7:$D$43,3,FALSE),0)</f>
        <v>0</v>
      </c>
      <c r="O1542" s="96">
        <f t="shared" si="150"/>
        <v>0</v>
      </c>
      <c r="P1542" s="95" t="str">
        <f t="shared" si="151"/>
        <v>N/A</v>
      </c>
      <c r="Q1542" s="95" t="str">
        <f t="shared" si="152"/>
        <v>N/A</v>
      </c>
      <c r="R1542" s="95" t="str">
        <f t="shared" si="153"/>
        <v>NO CERT.</v>
      </c>
      <c r="S1542" s="95" t="e">
        <f t="shared" si="154"/>
        <v>#N/A</v>
      </c>
      <c r="T1542" s="119" t="e">
        <f>+IF(J1542=LOOKUP(J1542,'CAFCO 300 IDIEM TABLAS'!$J$4:$J$40),'CALCULO MORTERO'!J1542,MROUND('CALCULO MORTERO'!J1542,10))</f>
        <v>#N/A</v>
      </c>
      <c r="U1542" s="118">
        <f t="shared" si="155"/>
        <v>0</v>
      </c>
    </row>
    <row r="1543" spans="1:21" x14ac:dyDescent="0.25">
      <c r="A1543" s="118">
        <f>+CUBICACION!D1537</f>
        <v>0</v>
      </c>
      <c r="B1543" s="819">
        <f>+CUBICACION!E1537</f>
        <v>0</v>
      </c>
      <c r="C1543" s="675">
        <f>+CUBICACION!F1537</f>
        <v>0</v>
      </c>
      <c r="D1543" s="118"/>
      <c r="E1543" s="118"/>
      <c r="F1543" s="820"/>
      <c r="G1543" s="675">
        <f>+CUBICACION!J1537</f>
        <v>0</v>
      </c>
      <c r="H1543" s="118"/>
      <c r="I1543" s="821">
        <f>+CUBICACION!L1537</f>
        <v>0</v>
      </c>
      <c r="J1543" s="64">
        <f>+CUBICACION!M1537</f>
        <v>0</v>
      </c>
      <c r="K1543" s="822" t="str">
        <f>+CUBICACION!N1537</f>
        <v/>
      </c>
      <c r="L1543" s="118">
        <f>+CUBICACION!O1537</f>
        <v>0</v>
      </c>
      <c r="M1543" s="823">
        <f>+CUBICACION!P1537</f>
        <v>0</v>
      </c>
      <c r="N1543" s="902">
        <f>ROUND(IF(AND(L1543="Blaze Shield II",M1543="Software Idiem",C1543="IN",G1543=4),((('BLAZE SHIELD II'!$D$4*('CALCULO MORTERO'!I1543^2)+'BLAZE SHIELD II'!$D$5*'CALCULO MORTERO'!I1543+'BLAZE SHIELD II'!$D$6)*LN(J1543))+('BLAZE SHIELD II'!$D$7*('CALCULO MORTERO'!I1543^2)+'BLAZE SHIELD II'!$D$8*'CALCULO MORTERO'!I1543+'BLAZE SHIELD II'!$D$9)),0)+IF(AND(L1543="Blaze Shield II",M1543="Software Idiem",C1543="Cj"),((('BLAZE SHIELD II'!$H$4*('CALCULO MORTERO'!I1543^2)+'BLAZE SHIELD II'!$H$5*'CALCULO MORTERO'!I1543+'BLAZE SHIELD II'!$H$6)*LN(J1543))+('BLAZE SHIELD II'!$H$7*('CALCULO MORTERO'!I1543^2)+'BLAZE SHIELD II'!$H$8*'CALCULO MORTERO'!I1543+'BLAZE SHIELD II'!$H$9)),0)+IF(AND(L1543="Blaze Shield II",M1543="Software Idiem",C1543="C"),((('BLAZE SHIELD II'!$L$4*('CALCULO MORTERO'!I1543^2)+'BLAZE SHIELD II'!$L$5*'CALCULO MORTERO'!I1543+'BLAZE SHIELD II'!$L$6)*LN(J1543))+('BLAZE SHIELD II'!$L$7*('CALCULO MORTERO'!I1543^2)+'BLAZE SHIELD II'!$L$8*'CALCULO MORTERO'!I1543+'BLAZE SHIELD II'!$L$9)),0)+IF(AND(L1543="Blaze Shield II",M1543="Software Idiem",C1543="L"),((('BLAZE SHIELD II'!$L$4*('CALCULO MORTERO'!I1543^2)+'BLAZE SHIELD II'!$L$5*'CALCULO MORTERO'!I1543+'BLAZE SHIELD II'!$L$6)*LN(J1543))+('BLAZE SHIELD II'!$L$7*('CALCULO MORTERO'!I1543^2)+'BLAZE SHIELD II'!$L$8*'CALCULO MORTERO'!I1543+'BLAZE SHIELD II'!$L$9)),0)+IF(AND(L1543="Blaze Shield II",M1543="Software Idiem",C1543="IN",G1543=3),((('BLAZE SHIELD II'!$H$14*('CALCULO MORTERO'!I1543^2)+'BLAZE SHIELD II'!$H$15*'CALCULO MORTERO'!I1543+'BLAZE SHIELD II'!$H$16)*LN(J1543))+('BLAZE SHIELD II'!$H$17*('CALCULO MORTERO'!I1543^2)+'BLAZE SHIELD II'!$H$18*'CALCULO MORTERO'!I1543+'BLAZE SHIELD II'!$H$19)),0),0)+ROUND(IF(AND(L1543="Cafco 400",M1543="Software Idiem",C1543="IN",G1543=4),((('CAFCO 400 '!$H$7*(J1543^4)+'CAFCO 400 '!$H$8*(J1543^3)+'CAFCO 400 '!$H$9*(J1543^2)+'CAFCO 400 '!$H$10*J1543+'CAFCO 400 '!$H$11)*U1543^2)+(('CAFCO 400 '!$H$12*(J1543^3)+'CAFCO 400 '!$H$13*(J1543^2)+'CAFCO 400 '!$H$14*J1543+'CAFCO 400 '!$H$15)*U1543)+('CAFCO 400 '!$H$16*(J1543^2)+'CAFCO 400 '!$H$17*J1543+'CAFCO 400 '!$H$18)),0)+IF(AND(L1543="Cafco 400",M1543="Software Idiem",C1543="Cj"),(((('CAFCO 400 '!$D$7*LN(J1543)+'CAFCO 400 '!$D$8)*U1543^2)+(('CAFCO 400 '!$D$9*LN(J1543)+'CAFCO 400 '!$D$10)*U1543)+('CAFCO 400 '!$D$11*LN(J1543)+'CAFCO 400 '!$D$12))),0)+IF(AND(L1543="Cafco 400",M1543="Software Idiem",C1543="C"),((('CAFCO 400 '!$L$7*(J1543^3)+'CAFCO 400 '!$L$8*(J1543^2)+'CAFCO 400 '!$L$9*J1543+'CAFCO 400 '!$L$10)*U1543^2)+(('CAFCO 400 '!$L$11*(J1543^3)+'CAFCO 400 '!$L$12*(J1543^2)+'CAFCO 400 '!$L$13*J1543+'CAFCO 400 '!$L$14)*U1543)+('CAFCO 400 '!$L$15*LN(J1543)+'CAFCO 400 '!$L$16)),0)+IF(AND(L1543="Cafco 400",M1543="Software Idiem",C1543="L"),((('CAFCO 400 '!$L$7*(J1543^3)+'CAFCO 400 '!$L$8*(J1543^2)+'CAFCO 400 '!$L$9*J1543+'CAFCO 400 '!$L$10)*U1543^2)+(('CAFCO 400 '!$L$11*(J1543^3)+'CAFCO 400 '!$L$12*(J1543^2)+'CAFCO 400 '!$L$13*J1543+'CAFCO 400 '!$L$14)*U1543)+('CAFCO 400 '!$L$15*LN(J1543)+'CAFCO 400 '!$L$16)),0)+IF(AND(L1543="Cafco 400",M1543="Software Idiem",C1543="IN",G1543=3),((('CAFCO 400 '!$D$23*(J1543^2)+'CAFCO 400 '!$D$24*(J1543)+'CAFCO 400 '!$D$25)*U1543^2)+(('CAFCO 400 '!$D$26*(J1543^2)+'CAFCO 400 '!$D$27*J1543+'CAFCO 400 '!$D$28)*U1543)+('CAFCO 400 '!$D$29*(J1543^2)+'CAFCO 400 '!$D$30*J1543+'CAFCO 400 '!$D$31)),0),0)+IF(AND(L1543="Cafco 300",J1543&gt;=95,J1543&lt;=240,C1543="Cj",I1543=90),VLOOKUP(T1543,'CAFCO 300 IDIEM TABLAS'!$B$4:$D$23,2,FALSE),0)+IF(AND(L1543="Cafco 300",J1543&gt;=95,J1543&lt;=240,C1543="Cj",I1543=120),VLOOKUP(T1543,'CAFCO 300 IDIEM TABLAS'!$B$4:$D$23,3,FALSE),0)+IF(AND(L1543="Cafco 300",J1543&gt;=95,J1543&lt;=400,G1543=3,C1543="IN",I1543=90),VLOOKUP(T1543,'CAFCO 300 IDIEM TABLAS'!$F$4:$H$35,2,FALSE),0)+IF(AND(L1543="Cafco 300",J1543&gt;=95,J1543&lt;=400,G1543=3,C1543="IN",I1543=120),VLOOKUP(T1543,'CAFCO 300 IDIEM TABLAS'!$F$4:$H$35,3,FALSE),0)+IF(AND(L1543="Cafco 300",J1543&gt;=95,J1543&lt;=450,G1543=4,C1543="IN",I1543=90),VLOOKUP(T1543,'CAFCO 300 IDIEM TABLAS'!$J$4:$L$40,2,FALSE),0)+IF(AND(L1543="Cafco 300",J1543&gt;=95,J1543&lt;=450,G1543=4,C1543="IN",I1543=120),VLOOKUP(T1543,'CAFCO 300 IDIEM TABLAS'!$J$4:$L$40,3,FALSE),0)+IF(AND(M1543="Ensayo Idiem",L1543="Cafco 400",C1543="IN",G1543=4,I1543=90),VLOOKUP(T1543,'CAFCO 400 ENSAYO'!$B$7:$D$43,2,FALSE),0)+IF(AND(M1543="Ensayo Idiem",L1543="Cafco 400",C1543="IN",G1543=4,I1543=120),VLOOKUP(T1543,'CAFCO 400 ENSAYO'!$B$7:$D$43,3,FALSE),0)</f>
        <v>0</v>
      </c>
      <c r="O1543" s="96">
        <f t="shared" si="150"/>
        <v>0</v>
      </c>
      <c r="P1543" s="132" t="str">
        <f t="shared" si="151"/>
        <v>N/A</v>
      </c>
      <c r="Q1543" s="132" t="str">
        <f t="shared" si="152"/>
        <v>N/A</v>
      </c>
      <c r="R1543" s="132" t="str">
        <f t="shared" si="153"/>
        <v>NO CERT.</v>
      </c>
      <c r="S1543" s="132" t="e">
        <f t="shared" si="154"/>
        <v>#N/A</v>
      </c>
      <c r="T1543" s="133" t="e">
        <f>+IF(J1543=LOOKUP(J1543,'CAFCO 300 IDIEM TABLAS'!$J$4:$J$40),'CALCULO MORTERO'!J1543,MROUND('CALCULO MORTERO'!J1543,10))</f>
        <v>#N/A</v>
      </c>
      <c r="U1543" s="134">
        <f t="shared" si="155"/>
        <v>0</v>
      </c>
    </row>
    <row r="1544" spans="1:21" x14ac:dyDescent="0.25">
      <c r="A1544" s="118">
        <f>+CUBICACION!D1538</f>
        <v>0</v>
      </c>
      <c r="B1544" s="819">
        <f>+CUBICACION!E1538</f>
        <v>0</v>
      </c>
      <c r="C1544" s="675">
        <f>+CUBICACION!F1538</f>
        <v>0</v>
      </c>
      <c r="D1544" s="118"/>
      <c r="E1544" s="118"/>
      <c r="F1544" s="820"/>
      <c r="G1544" s="675">
        <f>+CUBICACION!J1538</f>
        <v>0</v>
      </c>
      <c r="H1544" s="118"/>
      <c r="I1544" s="821">
        <f>+CUBICACION!L1538</f>
        <v>0</v>
      </c>
      <c r="J1544" s="64">
        <f>+CUBICACION!M1538</f>
        <v>0</v>
      </c>
      <c r="K1544" s="822" t="str">
        <f>+CUBICACION!N1538</f>
        <v/>
      </c>
      <c r="L1544" s="118">
        <f>+CUBICACION!O1538</f>
        <v>0</v>
      </c>
      <c r="M1544" s="823">
        <f>+CUBICACION!P1538</f>
        <v>0</v>
      </c>
      <c r="N1544" s="902">
        <f>ROUND(IF(AND(L1544="Blaze Shield II",M1544="Software Idiem",C1544="IN",G1544=4),((('BLAZE SHIELD II'!$D$4*('CALCULO MORTERO'!I1544^2)+'BLAZE SHIELD II'!$D$5*'CALCULO MORTERO'!I1544+'BLAZE SHIELD II'!$D$6)*LN(J1544))+('BLAZE SHIELD II'!$D$7*('CALCULO MORTERO'!I1544^2)+'BLAZE SHIELD II'!$D$8*'CALCULO MORTERO'!I1544+'BLAZE SHIELD II'!$D$9)),0)+IF(AND(L1544="Blaze Shield II",M1544="Software Idiem",C1544="Cj"),((('BLAZE SHIELD II'!$H$4*('CALCULO MORTERO'!I1544^2)+'BLAZE SHIELD II'!$H$5*'CALCULO MORTERO'!I1544+'BLAZE SHIELD II'!$H$6)*LN(J1544))+('BLAZE SHIELD II'!$H$7*('CALCULO MORTERO'!I1544^2)+'BLAZE SHIELD II'!$H$8*'CALCULO MORTERO'!I1544+'BLAZE SHIELD II'!$H$9)),0)+IF(AND(L1544="Blaze Shield II",M1544="Software Idiem",C1544="C"),((('BLAZE SHIELD II'!$L$4*('CALCULO MORTERO'!I1544^2)+'BLAZE SHIELD II'!$L$5*'CALCULO MORTERO'!I1544+'BLAZE SHIELD II'!$L$6)*LN(J1544))+('BLAZE SHIELD II'!$L$7*('CALCULO MORTERO'!I1544^2)+'BLAZE SHIELD II'!$L$8*'CALCULO MORTERO'!I1544+'BLAZE SHIELD II'!$L$9)),0)+IF(AND(L1544="Blaze Shield II",M1544="Software Idiem",C1544="L"),((('BLAZE SHIELD II'!$L$4*('CALCULO MORTERO'!I1544^2)+'BLAZE SHIELD II'!$L$5*'CALCULO MORTERO'!I1544+'BLAZE SHIELD II'!$L$6)*LN(J1544))+('BLAZE SHIELD II'!$L$7*('CALCULO MORTERO'!I1544^2)+'BLAZE SHIELD II'!$L$8*'CALCULO MORTERO'!I1544+'BLAZE SHIELD II'!$L$9)),0)+IF(AND(L1544="Blaze Shield II",M1544="Software Idiem",C1544="IN",G1544=3),((('BLAZE SHIELD II'!$H$14*('CALCULO MORTERO'!I1544^2)+'BLAZE SHIELD II'!$H$15*'CALCULO MORTERO'!I1544+'BLAZE SHIELD II'!$H$16)*LN(J1544))+('BLAZE SHIELD II'!$H$17*('CALCULO MORTERO'!I1544^2)+'BLAZE SHIELD II'!$H$18*'CALCULO MORTERO'!I1544+'BLAZE SHIELD II'!$H$19)),0),0)+ROUND(IF(AND(L1544="Cafco 400",M1544="Software Idiem",C1544="IN",G1544=4),((('CAFCO 400 '!$H$7*(J1544^4)+'CAFCO 400 '!$H$8*(J1544^3)+'CAFCO 400 '!$H$9*(J1544^2)+'CAFCO 400 '!$H$10*J1544+'CAFCO 400 '!$H$11)*U1544^2)+(('CAFCO 400 '!$H$12*(J1544^3)+'CAFCO 400 '!$H$13*(J1544^2)+'CAFCO 400 '!$H$14*J1544+'CAFCO 400 '!$H$15)*U1544)+('CAFCO 400 '!$H$16*(J1544^2)+'CAFCO 400 '!$H$17*J1544+'CAFCO 400 '!$H$18)),0)+IF(AND(L1544="Cafco 400",M1544="Software Idiem",C1544="Cj"),(((('CAFCO 400 '!$D$7*LN(J1544)+'CAFCO 400 '!$D$8)*U1544^2)+(('CAFCO 400 '!$D$9*LN(J1544)+'CAFCO 400 '!$D$10)*U1544)+('CAFCO 400 '!$D$11*LN(J1544)+'CAFCO 400 '!$D$12))),0)+IF(AND(L1544="Cafco 400",M1544="Software Idiem",C1544="C"),((('CAFCO 400 '!$L$7*(J1544^3)+'CAFCO 400 '!$L$8*(J1544^2)+'CAFCO 400 '!$L$9*J1544+'CAFCO 400 '!$L$10)*U1544^2)+(('CAFCO 400 '!$L$11*(J1544^3)+'CAFCO 400 '!$L$12*(J1544^2)+'CAFCO 400 '!$L$13*J1544+'CAFCO 400 '!$L$14)*U1544)+('CAFCO 400 '!$L$15*LN(J1544)+'CAFCO 400 '!$L$16)),0)+IF(AND(L1544="Cafco 400",M1544="Software Idiem",C1544="L"),((('CAFCO 400 '!$L$7*(J1544^3)+'CAFCO 400 '!$L$8*(J1544^2)+'CAFCO 400 '!$L$9*J1544+'CAFCO 400 '!$L$10)*U1544^2)+(('CAFCO 400 '!$L$11*(J1544^3)+'CAFCO 400 '!$L$12*(J1544^2)+'CAFCO 400 '!$L$13*J1544+'CAFCO 400 '!$L$14)*U1544)+('CAFCO 400 '!$L$15*LN(J1544)+'CAFCO 400 '!$L$16)),0)+IF(AND(L1544="Cafco 400",M1544="Software Idiem",C1544="IN",G1544=3),((('CAFCO 400 '!$D$23*(J1544^2)+'CAFCO 400 '!$D$24*(J1544)+'CAFCO 400 '!$D$25)*U1544^2)+(('CAFCO 400 '!$D$26*(J1544^2)+'CAFCO 400 '!$D$27*J1544+'CAFCO 400 '!$D$28)*U1544)+('CAFCO 400 '!$D$29*(J1544^2)+'CAFCO 400 '!$D$30*J1544+'CAFCO 400 '!$D$31)),0),0)+IF(AND(L1544="Cafco 300",J1544&gt;=95,J1544&lt;=240,C1544="Cj",I1544=90),VLOOKUP(T1544,'CAFCO 300 IDIEM TABLAS'!$B$4:$D$23,2,FALSE),0)+IF(AND(L1544="Cafco 300",J1544&gt;=95,J1544&lt;=240,C1544="Cj",I1544=120),VLOOKUP(T1544,'CAFCO 300 IDIEM TABLAS'!$B$4:$D$23,3,FALSE),0)+IF(AND(L1544="Cafco 300",J1544&gt;=95,J1544&lt;=400,G1544=3,C1544="IN",I1544=90),VLOOKUP(T1544,'CAFCO 300 IDIEM TABLAS'!$F$4:$H$35,2,FALSE),0)+IF(AND(L1544="Cafco 300",J1544&gt;=95,J1544&lt;=400,G1544=3,C1544="IN",I1544=120),VLOOKUP(T1544,'CAFCO 300 IDIEM TABLAS'!$F$4:$H$35,3,FALSE),0)+IF(AND(L1544="Cafco 300",J1544&gt;=95,J1544&lt;=450,G1544=4,C1544="IN",I1544=90),VLOOKUP(T1544,'CAFCO 300 IDIEM TABLAS'!$J$4:$L$40,2,FALSE),0)+IF(AND(L1544="Cafco 300",J1544&gt;=95,J1544&lt;=450,G1544=4,C1544="IN",I1544=120),VLOOKUP(T1544,'CAFCO 300 IDIEM TABLAS'!$J$4:$L$40,3,FALSE),0)+IF(AND(M1544="Ensayo Idiem",L1544="Cafco 400",C1544="IN",G1544=4,I1544=90),VLOOKUP(T1544,'CAFCO 400 ENSAYO'!$B$7:$D$43,2,FALSE),0)+IF(AND(M1544="Ensayo Idiem",L1544="Cafco 400",C1544="IN",G1544=4,I1544=120),VLOOKUP(T1544,'CAFCO 400 ENSAYO'!$B$7:$D$43,3,FALSE),0)</f>
        <v>0</v>
      </c>
      <c r="O1544" s="96">
        <f t="shared" si="150"/>
        <v>0</v>
      </c>
      <c r="P1544" s="95" t="str">
        <f t="shared" si="151"/>
        <v>N/A</v>
      </c>
      <c r="Q1544" s="95" t="str">
        <f t="shared" si="152"/>
        <v>N/A</v>
      </c>
      <c r="R1544" s="95" t="str">
        <f t="shared" si="153"/>
        <v>NO CERT.</v>
      </c>
      <c r="S1544" s="95" t="e">
        <f t="shared" si="154"/>
        <v>#N/A</v>
      </c>
      <c r="T1544" s="119" t="e">
        <f>+IF(J1544=LOOKUP(J1544,'CAFCO 300 IDIEM TABLAS'!$J$4:$J$40),'CALCULO MORTERO'!J1544,MROUND('CALCULO MORTERO'!J1544,10))</f>
        <v>#N/A</v>
      </c>
      <c r="U1544" s="118">
        <f t="shared" si="155"/>
        <v>0</v>
      </c>
    </row>
    <row r="1545" spans="1:21" x14ac:dyDescent="0.25">
      <c r="A1545" s="118">
        <f>+CUBICACION!D1539</f>
        <v>0</v>
      </c>
      <c r="B1545" s="819">
        <f>+CUBICACION!E1539</f>
        <v>0</v>
      </c>
      <c r="C1545" s="675">
        <f>+CUBICACION!F1539</f>
        <v>0</v>
      </c>
      <c r="D1545" s="118"/>
      <c r="E1545" s="118"/>
      <c r="F1545" s="820"/>
      <c r="G1545" s="675">
        <f>+CUBICACION!J1539</f>
        <v>0</v>
      </c>
      <c r="H1545" s="118"/>
      <c r="I1545" s="821">
        <f>+CUBICACION!L1539</f>
        <v>0</v>
      </c>
      <c r="J1545" s="64">
        <f>+CUBICACION!M1539</f>
        <v>0</v>
      </c>
      <c r="K1545" s="822" t="str">
        <f>+CUBICACION!N1539</f>
        <v/>
      </c>
      <c r="L1545" s="118">
        <f>+CUBICACION!O1539</f>
        <v>0</v>
      </c>
      <c r="M1545" s="823">
        <f>+CUBICACION!P1539</f>
        <v>0</v>
      </c>
      <c r="N1545" s="902">
        <f>ROUND(IF(AND(L1545="Blaze Shield II",M1545="Software Idiem",C1545="IN",G1545=4),((('BLAZE SHIELD II'!$D$4*('CALCULO MORTERO'!I1545^2)+'BLAZE SHIELD II'!$D$5*'CALCULO MORTERO'!I1545+'BLAZE SHIELD II'!$D$6)*LN(J1545))+('BLAZE SHIELD II'!$D$7*('CALCULO MORTERO'!I1545^2)+'BLAZE SHIELD II'!$D$8*'CALCULO MORTERO'!I1545+'BLAZE SHIELD II'!$D$9)),0)+IF(AND(L1545="Blaze Shield II",M1545="Software Idiem",C1545="Cj"),((('BLAZE SHIELD II'!$H$4*('CALCULO MORTERO'!I1545^2)+'BLAZE SHIELD II'!$H$5*'CALCULO MORTERO'!I1545+'BLAZE SHIELD II'!$H$6)*LN(J1545))+('BLAZE SHIELD II'!$H$7*('CALCULO MORTERO'!I1545^2)+'BLAZE SHIELD II'!$H$8*'CALCULO MORTERO'!I1545+'BLAZE SHIELD II'!$H$9)),0)+IF(AND(L1545="Blaze Shield II",M1545="Software Idiem",C1545="C"),((('BLAZE SHIELD II'!$L$4*('CALCULO MORTERO'!I1545^2)+'BLAZE SHIELD II'!$L$5*'CALCULO MORTERO'!I1545+'BLAZE SHIELD II'!$L$6)*LN(J1545))+('BLAZE SHIELD II'!$L$7*('CALCULO MORTERO'!I1545^2)+'BLAZE SHIELD II'!$L$8*'CALCULO MORTERO'!I1545+'BLAZE SHIELD II'!$L$9)),0)+IF(AND(L1545="Blaze Shield II",M1545="Software Idiem",C1545="L"),((('BLAZE SHIELD II'!$L$4*('CALCULO MORTERO'!I1545^2)+'BLAZE SHIELD II'!$L$5*'CALCULO MORTERO'!I1545+'BLAZE SHIELD II'!$L$6)*LN(J1545))+('BLAZE SHIELD II'!$L$7*('CALCULO MORTERO'!I1545^2)+'BLAZE SHIELD II'!$L$8*'CALCULO MORTERO'!I1545+'BLAZE SHIELD II'!$L$9)),0)+IF(AND(L1545="Blaze Shield II",M1545="Software Idiem",C1545="IN",G1545=3),((('BLAZE SHIELD II'!$H$14*('CALCULO MORTERO'!I1545^2)+'BLAZE SHIELD II'!$H$15*'CALCULO MORTERO'!I1545+'BLAZE SHIELD II'!$H$16)*LN(J1545))+('BLAZE SHIELD II'!$H$17*('CALCULO MORTERO'!I1545^2)+'BLAZE SHIELD II'!$H$18*'CALCULO MORTERO'!I1545+'BLAZE SHIELD II'!$H$19)),0),0)+ROUND(IF(AND(L1545="Cafco 400",M1545="Software Idiem",C1545="IN",G1545=4),((('CAFCO 400 '!$H$7*(J1545^4)+'CAFCO 400 '!$H$8*(J1545^3)+'CAFCO 400 '!$H$9*(J1545^2)+'CAFCO 400 '!$H$10*J1545+'CAFCO 400 '!$H$11)*U1545^2)+(('CAFCO 400 '!$H$12*(J1545^3)+'CAFCO 400 '!$H$13*(J1545^2)+'CAFCO 400 '!$H$14*J1545+'CAFCO 400 '!$H$15)*U1545)+('CAFCO 400 '!$H$16*(J1545^2)+'CAFCO 400 '!$H$17*J1545+'CAFCO 400 '!$H$18)),0)+IF(AND(L1545="Cafco 400",M1545="Software Idiem",C1545="Cj"),(((('CAFCO 400 '!$D$7*LN(J1545)+'CAFCO 400 '!$D$8)*U1545^2)+(('CAFCO 400 '!$D$9*LN(J1545)+'CAFCO 400 '!$D$10)*U1545)+('CAFCO 400 '!$D$11*LN(J1545)+'CAFCO 400 '!$D$12))),0)+IF(AND(L1545="Cafco 400",M1545="Software Idiem",C1545="C"),((('CAFCO 400 '!$L$7*(J1545^3)+'CAFCO 400 '!$L$8*(J1545^2)+'CAFCO 400 '!$L$9*J1545+'CAFCO 400 '!$L$10)*U1545^2)+(('CAFCO 400 '!$L$11*(J1545^3)+'CAFCO 400 '!$L$12*(J1545^2)+'CAFCO 400 '!$L$13*J1545+'CAFCO 400 '!$L$14)*U1545)+('CAFCO 400 '!$L$15*LN(J1545)+'CAFCO 400 '!$L$16)),0)+IF(AND(L1545="Cafco 400",M1545="Software Idiem",C1545="L"),((('CAFCO 400 '!$L$7*(J1545^3)+'CAFCO 400 '!$L$8*(J1545^2)+'CAFCO 400 '!$L$9*J1545+'CAFCO 400 '!$L$10)*U1545^2)+(('CAFCO 400 '!$L$11*(J1545^3)+'CAFCO 400 '!$L$12*(J1545^2)+'CAFCO 400 '!$L$13*J1545+'CAFCO 400 '!$L$14)*U1545)+('CAFCO 400 '!$L$15*LN(J1545)+'CAFCO 400 '!$L$16)),0)+IF(AND(L1545="Cafco 400",M1545="Software Idiem",C1545="IN",G1545=3),((('CAFCO 400 '!$D$23*(J1545^2)+'CAFCO 400 '!$D$24*(J1545)+'CAFCO 400 '!$D$25)*U1545^2)+(('CAFCO 400 '!$D$26*(J1545^2)+'CAFCO 400 '!$D$27*J1545+'CAFCO 400 '!$D$28)*U1545)+('CAFCO 400 '!$D$29*(J1545^2)+'CAFCO 400 '!$D$30*J1545+'CAFCO 400 '!$D$31)),0),0)+IF(AND(L1545="Cafco 300",J1545&gt;=95,J1545&lt;=240,C1545="Cj",I1545=90),VLOOKUP(T1545,'CAFCO 300 IDIEM TABLAS'!$B$4:$D$23,2,FALSE),0)+IF(AND(L1545="Cafco 300",J1545&gt;=95,J1545&lt;=240,C1545="Cj",I1545=120),VLOOKUP(T1545,'CAFCO 300 IDIEM TABLAS'!$B$4:$D$23,3,FALSE),0)+IF(AND(L1545="Cafco 300",J1545&gt;=95,J1545&lt;=400,G1545=3,C1545="IN",I1545=90),VLOOKUP(T1545,'CAFCO 300 IDIEM TABLAS'!$F$4:$H$35,2,FALSE),0)+IF(AND(L1545="Cafco 300",J1545&gt;=95,J1545&lt;=400,G1545=3,C1545="IN",I1545=120),VLOOKUP(T1545,'CAFCO 300 IDIEM TABLAS'!$F$4:$H$35,3,FALSE),0)+IF(AND(L1545="Cafco 300",J1545&gt;=95,J1545&lt;=450,G1545=4,C1545="IN",I1545=90),VLOOKUP(T1545,'CAFCO 300 IDIEM TABLAS'!$J$4:$L$40,2,FALSE),0)+IF(AND(L1545="Cafco 300",J1545&gt;=95,J1545&lt;=450,G1545=4,C1545="IN",I1545=120),VLOOKUP(T1545,'CAFCO 300 IDIEM TABLAS'!$J$4:$L$40,3,FALSE),0)+IF(AND(M1545="Ensayo Idiem",L1545="Cafco 400",C1545="IN",G1545=4,I1545=90),VLOOKUP(T1545,'CAFCO 400 ENSAYO'!$B$7:$D$43,2,FALSE),0)+IF(AND(M1545="Ensayo Idiem",L1545="Cafco 400",C1545="IN",G1545=4,I1545=120),VLOOKUP(T1545,'CAFCO 400 ENSAYO'!$B$7:$D$43,3,FALSE),0)</f>
        <v>0</v>
      </c>
      <c r="O1545" s="96">
        <f t="shared" si="150"/>
        <v>0</v>
      </c>
      <c r="P1545" s="132" t="str">
        <f t="shared" si="151"/>
        <v>N/A</v>
      </c>
      <c r="Q1545" s="132" t="str">
        <f t="shared" si="152"/>
        <v>N/A</v>
      </c>
      <c r="R1545" s="132" t="str">
        <f t="shared" si="153"/>
        <v>NO CERT.</v>
      </c>
      <c r="S1545" s="132" t="e">
        <f t="shared" si="154"/>
        <v>#N/A</v>
      </c>
      <c r="T1545" s="133" t="e">
        <f>+IF(J1545=LOOKUP(J1545,'CAFCO 300 IDIEM TABLAS'!$J$4:$J$40),'CALCULO MORTERO'!J1545,MROUND('CALCULO MORTERO'!J1545,10))</f>
        <v>#N/A</v>
      </c>
      <c r="U1545" s="134">
        <f t="shared" si="155"/>
        <v>0</v>
      </c>
    </row>
    <row r="1546" spans="1:21" x14ac:dyDescent="0.25">
      <c r="A1546" s="118">
        <f>+CUBICACION!D1540</f>
        <v>0</v>
      </c>
      <c r="B1546" s="819">
        <f>+CUBICACION!E1540</f>
        <v>0</v>
      </c>
      <c r="C1546" s="675">
        <f>+CUBICACION!F1540</f>
        <v>0</v>
      </c>
      <c r="D1546" s="118"/>
      <c r="E1546" s="118"/>
      <c r="F1546" s="820"/>
      <c r="G1546" s="675">
        <f>+CUBICACION!J1540</f>
        <v>0</v>
      </c>
      <c r="H1546" s="118"/>
      <c r="I1546" s="821">
        <f>+CUBICACION!L1540</f>
        <v>0</v>
      </c>
      <c r="J1546" s="64">
        <f>+CUBICACION!M1540</f>
        <v>0</v>
      </c>
      <c r="K1546" s="822" t="str">
        <f>+CUBICACION!N1540</f>
        <v/>
      </c>
      <c r="L1546" s="118">
        <f>+CUBICACION!O1540</f>
        <v>0</v>
      </c>
      <c r="M1546" s="823">
        <f>+CUBICACION!P1540</f>
        <v>0</v>
      </c>
      <c r="N1546" s="902">
        <f>ROUND(IF(AND(L1546="Blaze Shield II",M1546="Software Idiem",C1546="IN",G1546=4),((('BLAZE SHIELD II'!$D$4*('CALCULO MORTERO'!I1546^2)+'BLAZE SHIELD II'!$D$5*'CALCULO MORTERO'!I1546+'BLAZE SHIELD II'!$D$6)*LN(J1546))+('BLAZE SHIELD II'!$D$7*('CALCULO MORTERO'!I1546^2)+'BLAZE SHIELD II'!$D$8*'CALCULO MORTERO'!I1546+'BLAZE SHIELD II'!$D$9)),0)+IF(AND(L1546="Blaze Shield II",M1546="Software Idiem",C1546="Cj"),((('BLAZE SHIELD II'!$H$4*('CALCULO MORTERO'!I1546^2)+'BLAZE SHIELD II'!$H$5*'CALCULO MORTERO'!I1546+'BLAZE SHIELD II'!$H$6)*LN(J1546))+('BLAZE SHIELD II'!$H$7*('CALCULO MORTERO'!I1546^2)+'BLAZE SHIELD II'!$H$8*'CALCULO MORTERO'!I1546+'BLAZE SHIELD II'!$H$9)),0)+IF(AND(L1546="Blaze Shield II",M1546="Software Idiem",C1546="C"),((('BLAZE SHIELD II'!$L$4*('CALCULO MORTERO'!I1546^2)+'BLAZE SHIELD II'!$L$5*'CALCULO MORTERO'!I1546+'BLAZE SHIELD II'!$L$6)*LN(J1546))+('BLAZE SHIELD II'!$L$7*('CALCULO MORTERO'!I1546^2)+'BLAZE SHIELD II'!$L$8*'CALCULO MORTERO'!I1546+'BLAZE SHIELD II'!$L$9)),0)+IF(AND(L1546="Blaze Shield II",M1546="Software Idiem",C1546="L"),((('BLAZE SHIELD II'!$L$4*('CALCULO MORTERO'!I1546^2)+'BLAZE SHIELD II'!$L$5*'CALCULO MORTERO'!I1546+'BLAZE SHIELD II'!$L$6)*LN(J1546))+('BLAZE SHIELD II'!$L$7*('CALCULO MORTERO'!I1546^2)+'BLAZE SHIELD II'!$L$8*'CALCULO MORTERO'!I1546+'BLAZE SHIELD II'!$L$9)),0)+IF(AND(L1546="Blaze Shield II",M1546="Software Idiem",C1546="IN",G1546=3),((('BLAZE SHIELD II'!$H$14*('CALCULO MORTERO'!I1546^2)+'BLAZE SHIELD II'!$H$15*'CALCULO MORTERO'!I1546+'BLAZE SHIELD II'!$H$16)*LN(J1546))+('BLAZE SHIELD II'!$H$17*('CALCULO MORTERO'!I1546^2)+'BLAZE SHIELD II'!$H$18*'CALCULO MORTERO'!I1546+'BLAZE SHIELD II'!$H$19)),0),0)+ROUND(IF(AND(L1546="Cafco 400",M1546="Software Idiem",C1546="IN",G1546=4),((('CAFCO 400 '!$H$7*(J1546^4)+'CAFCO 400 '!$H$8*(J1546^3)+'CAFCO 400 '!$H$9*(J1546^2)+'CAFCO 400 '!$H$10*J1546+'CAFCO 400 '!$H$11)*U1546^2)+(('CAFCO 400 '!$H$12*(J1546^3)+'CAFCO 400 '!$H$13*(J1546^2)+'CAFCO 400 '!$H$14*J1546+'CAFCO 400 '!$H$15)*U1546)+('CAFCO 400 '!$H$16*(J1546^2)+'CAFCO 400 '!$H$17*J1546+'CAFCO 400 '!$H$18)),0)+IF(AND(L1546="Cafco 400",M1546="Software Idiem",C1546="Cj"),(((('CAFCO 400 '!$D$7*LN(J1546)+'CAFCO 400 '!$D$8)*U1546^2)+(('CAFCO 400 '!$D$9*LN(J1546)+'CAFCO 400 '!$D$10)*U1546)+('CAFCO 400 '!$D$11*LN(J1546)+'CAFCO 400 '!$D$12))),0)+IF(AND(L1546="Cafco 400",M1546="Software Idiem",C1546="C"),((('CAFCO 400 '!$L$7*(J1546^3)+'CAFCO 400 '!$L$8*(J1546^2)+'CAFCO 400 '!$L$9*J1546+'CAFCO 400 '!$L$10)*U1546^2)+(('CAFCO 400 '!$L$11*(J1546^3)+'CAFCO 400 '!$L$12*(J1546^2)+'CAFCO 400 '!$L$13*J1546+'CAFCO 400 '!$L$14)*U1546)+('CAFCO 400 '!$L$15*LN(J1546)+'CAFCO 400 '!$L$16)),0)+IF(AND(L1546="Cafco 400",M1546="Software Idiem",C1546="L"),((('CAFCO 400 '!$L$7*(J1546^3)+'CAFCO 400 '!$L$8*(J1546^2)+'CAFCO 400 '!$L$9*J1546+'CAFCO 400 '!$L$10)*U1546^2)+(('CAFCO 400 '!$L$11*(J1546^3)+'CAFCO 400 '!$L$12*(J1546^2)+'CAFCO 400 '!$L$13*J1546+'CAFCO 400 '!$L$14)*U1546)+('CAFCO 400 '!$L$15*LN(J1546)+'CAFCO 400 '!$L$16)),0)+IF(AND(L1546="Cafco 400",M1546="Software Idiem",C1546="IN",G1546=3),((('CAFCO 400 '!$D$23*(J1546^2)+'CAFCO 400 '!$D$24*(J1546)+'CAFCO 400 '!$D$25)*U1546^2)+(('CAFCO 400 '!$D$26*(J1546^2)+'CAFCO 400 '!$D$27*J1546+'CAFCO 400 '!$D$28)*U1546)+('CAFCO 400 '!$D$29*(J1546^2)+'CAFCO 400 '!$D$30*J1546+'CAFCO 400 '!$D$31)),0),0)+IF(AND(L1546="Cafco 300",J1546&gt;=95,J1546&lt;=240,C1546="Cj",I1546=90),VLOOKUP(T1546,'CAFCO 300 IDIEM TABLAS'!$B$4:$D$23,2,FALSE),0)+IF(AND(L1546="Cafco 300",J1546&gt;=95,J1546&lt;=240,C1546="Cj",I1546=120),VLOOKUP(T1546,'CAFCO 300 IDIEM TABLAS'!$B$4:$D$23,3,FALSE),0)+IF(AND(L1546="Cafco 300",J1546&gt;=95,J1546&lt;=400,G1546=3,C1546="IN",I1546=90),VLOOKUP(T1546,'CAFCO 300 IDIEM TABLAS'!$F$4:$H$35,2,FALSE),0)+IF(AND(L1546="Cafco 300",J1546&gt;=95,J1546&lt;=400,G1546=3,C1546="IN",I1546=120),VLOOKUP(T1546,'CAFCO 300 IDIEM TABLAS'!$F$4:$H$35,3,FALSE),0)+IF(AND(L1546="Cafco 300",J1546&gt;=95,J1546&lt;=450,G1546=4,C1546="IN",I1546=90),VLOOKUP(T1546,'CAFCO 300 IDIEM TABLAS'!$J$4:$L$40,2,FALSE),0)+IF(AND(L1546="Cafco 300",J1546&gt;=95,J1546&lt;=450,G1546=4,C1546="IN",I1546=120),VLOOKUP(T1546,'CAFCO 300 IDIEM TABLAS'!$J$4:$L$40,3,FALSE),0)+IF(AND(M1546="Ensayo Idiem",L1546="Cafco 400",C1546="IN",G1546=4,I1546=90),VLOOKUP(T1546,'CAFCO 400 ENSAYO'!$B$7:$D$43,2,FALSE),0)+IF(AND(M1546="Ensayo Idiem",L1546="Cafco 400",C1546="IN",G1546=4,I1546=120),VLOOKUP(T1546,'CAFCO 400 ENSAYO'!$B$7:$D$43,3,FALSE),0)</f>
        <v>0</v>
      </c>
      <c r="O1546" s="96">
        <f t="shared" si="150"/>
        <v>0</v>
      </c>
      <c r="P1546" s="95" t="str">
        <f t="shared" si="151"/>
        <v>N/A</v>
      </c>
      <c r="Q1546" s="95" t="str">
        <f t="shared" si="152"/>
        <v>N/A</v>
      </c>
      <c r="R1546" s="95" t="str">
        <f t="shared" si="153"/>
        <v>NO CERT.</v>
      </c>
      <c r="S1546" s="95" t="e">
        <f t="shared" si="154"/>
        <v>#N/A</v>
      </c>
      <c r="T1546" s="119" t="e">
        <f>+IF(J1546=LOOKUP(J1546,'CAFCO 300 IDIEM TABLAS'!$J$4:$J$40),'CALCULO MORTERO'!J1546,MROUND('CALCULO MORTERO'!J1546,10))</f>
        <v>#N/A</v>
      </c>
      <c r="U1546" s="118">
        <f t="shared" si="155"/>
        <v>0</v>
      </c>
    </row>
    <row r="1547" spans="1:21" x14ac:dyDescent="0.25">
      <c r="A1547" s="118">
        <f>+CUBICACION!D1541</f>
        <v>0</v>
      </c>
      <c r="B1547" s="819">
        <f>+CUBICACION!E1541</f>
        <v>0</v>
      </c>
      <c r="C1547" s="675">
        <f>+CUBICACION!F1541</f>
        <v>0</v>
      </c>
      <c r="D1547" s="118"/>
      <c r="E1547" s="118"/>
      <c r="F1547" s="820"/>
      <c r="G1547" s="675">
        <f>+CUBICACION!J1541</f>
        <v>0</v>
      </c>
      <c r="H1547" s="118"/>
      <c r="I1547" s="821">
        <f>+CUBICACION!L1541</f>
        <v>0</v>
      </c>
      <c r="J1547" s="64">
        <f>+CUBICACION!M1541</f>
        <v>0</v>
      </c>
      <c r="K1547" s="822" t="str">
        <f>+CUBICACION!N1541</f>
        <v/>
      </c>
      <c r="L1547" s="118">
        <f>+CUBICACION!O1541</f>
        <v>0</v>
      </c>
      <c r="M1547" s="823">
        <f>+CUBICACION!P1541</f>
        <v>0</v>
      </c>
      <c r="N1547" s="902">
        <f>ROUND(IF(AND(L1547="Blaze Shield II",M1547="Software Idiem",C1547="IN",G1547=4),((('BLAZE SHIELD II'!$D$4*('CALCULO MORTERO'!I1547^2)+'BLAZE SHIELD II'!$D$5*'CALCULO MORTERO'!I1547+'BLAZE SHIELD II'!$D$6)*LN(J1547))+('BLAZE SHIELD II'!$D$7*('CALCULO MORTERO'!I1547^2)+'BLAZE SHIELD II'!$D$8*'CALCULO MORTERO'!I1547+'BLAZE SHIELD II'!$D$9)),0)+IF(AND(L1547="Blaze Shield II",M1547="Software Idiem",C1547="Cj"),((('BLAZE SHIELD II'!$H$4*('CALCULO MORTERO'!I1547^2)+'BLAZE SHIELD II'!$H$5*'CALCULO MORTERO'!I1547+'BLAZE SHIELD II'!$H$6)*LN(J1547))+('BLAZE SHIELD II'!$H$7*('CALCULO MORTERO'!I1547^2)+'BLAZE SHIELD II'!$H$8*'CALCULO MORTERO'!I1547+'BLAZE SHIELD II'!$H$9)),0)+IF(AND(L1547="Blaze Shield II",M1547="Software Idiem",C1547="C"),((('BLAZE SHIELD II'!$L$4*('CALCULO MORTERO'!I1547^2)+'BLAZE SHIELD II'!$L$5*'CALCULO MORTERO'!I1547+'BLAZE SHIELD II'!$L$6)*LN(J1547))+('BLAZE SHIELD II'!$L$7*('CALCULO MORTERO'!I1547^2)+'BLAZE SHIELD II'!$L$8*'CALCULO MORTERO'!I1547+'BLAZE SHIELD II'!$L$9)),0)+IF(AND(L1547="Blaze Shield II",M1547="Software Idiem",C1547="L"),((('BLAZE SHIELD II'!$L$4*('CALCULO MORTERO'!I1547^2)+'BLAZE SHIELD II'!$L$5*'CALCULO MORTERO'!I1547+'BLAZE SHIELD II'!$L$6)*LN(J1547))+('BLAZE SHIELD II'!$L$7*('CALCULO MORTERO'!I1547^2)+'BLAZE SHIELD II'!$L$8*'CALCULO MORTERO'!I1547+'BLAZE SHIELD II'!$L$9)),0)+IF(AND(L1547="Blaze Shield II",M1547="Software Idiem",C1547="IN",G1547=3),((('BLAZE SHIELD II'!$H$14*('CALCULO MORTERO'!I1547^2)+'BLAZE SHIELD II'!$H$15*'CALCULO MORTERO'!I1547+'BLAZE SHIELD II'!$H$16)*LN(J1547))+('BLAZE SHIELD II'!$H$17*('CALCULO MORTERO'!I1547^2)+'BLAZE SHIELD II'!$H$18*'CALCULO MORTERO'!I1547+'BLAZE SHIELD II'!$H$19)),0),0)+ROUND(IF(AND(L1547="Cafco 400",M1547="Software Idiem",C1547="IN",G1547=4),((('CAFCO 400 '!$H$7*(J1547^4)+'CAFCO 400 '!$H$8*(J1547^3)+'CAFCO 400 '!$H$9*(J1547^2)+'CAFCO 400 '!$H$10*J1547+'CAFCO 400 '!$H$11)*U1547^2)+(('CAFCO 400 '!$H$12*(J1547^3)+'CAFCO 400 '!$H$13*(J1547^2)+'CAFCO 400 '!$H$14*J1547+'CAFCO 400 '!$H$15)*U1547)+('CAFCO 400 '!$H$16*(J1547^2)+'CAFCO 400 '!$H$17*J1547+'CAFCO 400 '!$H$18)),0)+IF(AND(L1547="Cafco 400",M1547="Software Idiem",C1547="Cj"),(((('CAFCO 400 '!$D$7*LN(J1547)+'CAFCO 400 '!$D$8)*U1547^2)+(('CAFCO 400 '!$D$9*LN(J1547)+'CAFCO 400 '!$D$10)*U1547)+('CAFCO 400 '!$D$11*LN(J1547)+'CAFCO 400 '!$D$12))),0)+IF(AND(L1547="Cafco 400",M1547="Software Idiem",C1547="C"),((('CAFCO 400 '!$L$7*(J1547^3)+'CAFCO 400 '!$L$8*(J1547^2)+'CAFCO 400 '!$L$9*J1547+'CAFCO 400 '!$L$10)*U1547^2)+(('CAFCO 400 '!$L$11*(J1547^3)+'CAFCO 400 '!$L$12*(J1547^2)+'CAFCO 400 '!$L$13*J1547+'CAFCO 400 '!$L$14)*U1547)+('CAFCO 400 '!$L$15*LN(J1547)+'CAFCO 400 '!$L$16)),0)+IF(AND(L1547="Cafco 400",M1547="Software Idiem",C1547="L"),((('CAFCO 400 '!$L$7*(J1547^3)+'CAFCO 400 '!$L$8*(J1547^2)+'CAFCO 400 '!$L$9*J1547+'CAFCO 400 '!$L$10)*U1547^2)+(('CAFCO 400 '!$L$11*(J1547^3)+'CAFCO 400 '!$L$12*(J1547^2)+'CAFCO 400 '!$L$13*J1547+'CAFCO 400 '!$L$14)*U1547)+('CAFCO 400 '!$L$15*LN(J1547)+'CAFCO 400 '!$L$16)),0)+IF(AND(L1547="Cafco 400",M1547="Software Idiem",C1547="IN",G1547=3),((('CAFCO 400 '!$D$23*(J1547^2)+'CAFCO 400 '!$D$24*(J1547)+'CAFCO 400 '!$D$25)*U1547^2)+(('CAFCO 400 '!$D$26*(J1547^2)+'CAFCO 400 '!$D$27*J1547+'CAFCO 400 '!$D$28)*U1547)+('CAFCO 400 '!$D$29*(J1547^2)+'CAFCO 400 '!$D$30*J1547+'CAFCO 400 '!$D$31)),0),0)+IF(AND(L1547="Cafco 300",J1547&gt;=95,J1547&lt;=240,C1547="Cj",I1547=90),VLOOKUP(T1547,'CAFCO 300 IDIEM TABLAS'!$B$4:$D$23,2,FALSE),0)+IF(AND(L1547="Cafco 300",J1547&gt;=95,J1547&lt;=240,C1547="Cj",I1547=120),VLOOKUP(T1547,'CAFCO 300 IDIEM TABLAS'!$B$4:$D$23,3,FALSE),0)+IF(AND(L1547="Cafco 300",J1547&gt;=95,J1547&lt;=400,G1547=3,C1547="IN",I1547=90),VLOOKUP(T1547,'CAFCO 300 IDIEM TABLAS'!$F$4:$H$35,2,FALSE),0)+IF(AND(L1547="Cafco 300",J1547&gt;=95,J1547&lt;=400,G1547=3,C1547="IN",I1547=120),VLOOKUP(T1547,'CAFCO 300 IDIEM TABLAS'!$F$4:$H$35,3,FALSE),0)+IF(AND(L1547="Cafco 300",J1547&gt;=95,J1547&lt;=450,G1547=4,C1547="IN",I1547=90),VLOOKUP(T1547,'CAFCO 300 IDIEM TABLAS'!$J$4:$L$40,2,FALSE),0)+IF(AND(L1547="Cafco 300",J1547&gt;=95,J1547&lt;=450,G1547=4,C1547="IN",I1547=120),VLOOKUP(T1547,'CAFCO 300 IDIEM TABLAS'!$J$4:$L$40,3,FALSE),0)+IF(AND(M1547="Ensayo Idiem",L1547="Cafco 400",C1547="IN",G1547=4,I1547=90),VLOOKUP(T1547,'CAFCO 400 ENSAYO'!$B$7:$D$43,2,FALSE),0)+IF(AND(M1547="Ensayo Idiem",L1547="Cafco 400",C1547="IN",G1547=4,I1547=120),VLOOKUP(T1547,'CAFCO 400 ENSAYO'!$B$7:$D$43,3,FALSE),0)</f>
        <v>0</v>
      </c>
      <c r="O1547" s="96">
        <f t="shared" ref="O1547:O1610" si="156">((IF(L1547="Blaze Shield II",((K1547*N1547*0.43)/38),IF(L1547="Cafco 400",((K1547*N1547*0.43)/23),IF(L1547="Cafco 300",((K1547*N1547*0.43)/31.16),0)))))</f>
        <v>0</v>
      </c>
      <c r="P1547" s="132" t="str">
        <f t="shared" si="151"/>
        <v>N/A</v>
      </c>
      <c r="Q1547" s="132" t="str">
        <f t="shared" si="152"/>
        <v>N/A</v>
      </c>
      <c r="R1547" s="132" t="str">
        <f t="shared" si="153"/>
        <v>NO CERT.</v>
      </c>
      <c r="S1547" s="132" t="e">
        <f t="shared" si="154"/>
        <v>#N/A</v>
      </c>
      <c r="T1547" s="133" t="e">
        <f>+IF(J1547=LOOKUP(J1547,'CAFCO 300 IDIEM TABLAS'!$J$4:$J$40),'CALCULO MORTERO'!J1547,MROUND('CALCULO MORTERO'!J1547,10))</f>
        <v>#N/A</v>
      </c>
      <c r="U1547" s="134">
        <f t="shared" si="155"/>
        <v>0</v>
      </c>
    </row>
    <row r="1548" spans="1:21" x14ac:dyDescent="0.25">
      <c r="A1548" s="118">
        <f>+CUBICACION!D1542</f>
        <v>0</v>
      </c>
      <c r="B1548" s="819">
        <f>+CUBICACION!E1542</f>
        <v>0</v>
      </c>
      <c r="C1548" s="675">
        <f>+CUBICACION!F1542</f>
        <v>0</v>
      </c>
      <c r="D1548" s="118"/>
      <c r="E1548" s="118"/>
      <c r="F1548" s="820"/>
      <c r="G1548" s="675">
        <f>+CUBICACION!J1542</f>
        <v>0</v>
      </c>
      <c r="H1548" s="118"/>
      <c r="I1548" s="821">
        <f>+CUBICACION!L1542</f>
        <v>0</v>
      </c>
      <c r="J1548" s="64">
        <f>+CUBICACION!M1542</f>
        <v>0</v>
      </c>
      <c r="K1548" s="822" t="str">
        <f>+CUBICACION!N1542</f>
        <v/>
      </c>
      <c r="L1548" s="118">
        <f>+CUBICACION!O1542</f>
        <v>0</v>
      </c>
      <c r="M1548" s="823">
        <f>+CUBICACION!P1542</f>
        <v>0</v>
      </c>
      <c r="N1548" s="902">
        <f>ROUND(IF(AND(L1548="Blaze Shield II",M1548="Software Idiem",C1548="IN",G1548=4),((('BLAZE SHIELD II'!$D$4*('CALCULO MORTERO'!I1548^2)+'BLAZE SHIELD II'!$D$5*'CALCULO MORTERO'!I1548+'BLAZE SHIELD II'!$D$6)*LN(J1548))+('BLAZE SHIELD II'!$D$7*('CALCULO MORTERO'!I1548^2)+'BLAZE SHIELD II'!$D$8*'CALCULO MORTERO'!I1548+'BLAZE SHIELD II'!$D$9)),0)+IF(AND(L1548="Blaze Shield II",M1548="Software Idiem",C1548="Cj"),((('BLAZE SHIELD II'!$H$4*('CALCULO MORTERO'!I1548^2)+'BLAZE SHIELD II'!$H$5*'CALCULO MORTERO'!I1548+'BLAZE SHIELD II'!$H$6)*LN(J1548))+('BLAZE SHIELD II'!$H$7*('CALCULO MORTERO'!I1548^2)+'BLAZE SHIELD II'!$H$8*'CALCULO MORTERO'!I1548+'BLAZE SHIELD II'!$H$9)),0)+IF(AND(L1548="Blaze Shield II",M1548="Software Idiem",C1548="C"),((('BLAZE SHIELD II'!$L$4*('CALCULO MORTERO'!I1548^2)+'BLAZE SHIELD II'!$L$5*'CALCULO MORTERO'!I1548+'BLAZE SHIELD II'!$L$6)*LN(J1548))+('BLAZE SHIELD II'!$L$7*('CALCULO MORTERO'!I1548^2)+'BLAZE SHIELD II'!$L$8*'CALCULO MORTERO'!I1548+'BLAZE SHIELD II'!$L$9)),0)+IF(AND(L1548="Blaze Shield II",M1548="Software Idiem",C1548="L"),((('BLAZE SHIELD II'!$L$4*('CALCULO MORTERO'!I1548^2)+'BLAZE SHIELD II'!$L$5*'CALCULO MORTERO'!I1548+'BLAZE SHIELD II'!$L$6)*LN(J1548))+('BLAZE SHIELD II'!$L$7*('CALCULO MORTERO'!I1548^2)+'BLAZE SHIELD II'!$L$8*'CALCULO MORTERO'!I1548+'BLAZE SHIELD II'!$L$9)),0)+IF(AND(L1548="Blaze Shield II",M1548="Software Idiem",C1548="IN",G1548=3),((('BLAZE SHIELD II'!$H$14*('CALCULO MORTERO'!I1548^2)+'BLAZE SHIELD II'!$H$15*'CALCULO MORTERO'!I1548+'BLAZE SHIELD II'!$H$16)*LN(J1548))+('BLAZE SHIELD II'!$H$17*('CALCULO MORTERO'!I1548^2)+'BLAZE SHIELD II'!$H$18*'CALCULO MORTERO'!I1548+'BLAZE SHIELD II'!$H$19)),0),0)+ROUND(IF(AND(L1548="Cafco 400",M1548="Software Idiem",C1548="IN",G1548=4),((('CAFCO 400 '!$H$7*(J1548^4)+'CAFCO 400 '!$H$8*(J1548^3)+'CAFCO 400 '!$H$9*(J1548^2)+'CAFCO 400 '!$H$10*J1548+'CAFCO 400 '!$H$11)*U1548^2)+(('CAFCO 400 '!$H$12*(J1548^3)+'CAFCO 400 '!$H$13*(J1548^2)+'CAFCO 400 '!$H$14*J1548+'CAFCO 400 '!$H$15)*U1548)+('CAFCO 400 '!$H$16*(J1548^2)+'CAFCO 400 '!$H$17*J1548+'CAFCO 400 '!$H$18)),0)+IF(AND(L1548="Cafco 400",M1548="Software Idiem",C1548="Cj"),(((('CAFCO 400 '!$D$7*LN(J1548)+'CAFCO 400 '!$D$8)*U1548^2)+(('CAFCO 400 '!$D$9*LN(J1548)+'CAFCO 400 '!$D$10)*U1548)+('CAFCO 400 '!$D$11*LN(J1548)+'CAFCO 400 '!$D$12))),0)+IF(AND(L1548="Cafco 400",M1548="Software Idiem",C1548="C"),((('CAFCO 400 '!$L$7*(J1548^3)+'CAFCO 400 '!$L$8*(J1548^2)+'CAFCO 400 '!$L$9*J1548+'CAFCO 400 '!$L$10)*U1548^2)+(('CAFCO 400 '!$L$11*(J1548^3)+'CAFCO 400 '!$L$12*(J1548^2)+'CAFCO 400 '!$L$13*J1548+'CAFCO 400 '!$L$14)*U1548)+('CAFCO 400 '!$L$15*LN(J1548)+'CAFCO 400 '!$L$16)),0)+IF(AND(L1548="Cafco 400",M1548="Software Idiem",C1548="L"),((('CAFCO 400 '!$L$7*(J1548^3)+'CAFCO 400 '!$L$8*(J1548^2)+'CAFCO 400 '!$L$9*J1548+'CAFCO 400 '!$L$10)*U1548^2)+(('CAFCO 400 '!$L$11*(J1548^3)+'CAFCO 400 '!$L$12*(J1548^2)+'CAFCO 400 '!$L$13*J1548+'CAFCO 400 '!$L$14)*U1548)+('CAFCO 400 '!$L$15*LN(J1548)+'CAFCO 400 '!$L$16)),0)+IF(AND(L1548="Cafco 400",M1548="Software Idiem",C1548="IN",G1548=3),((('CAFCO 400 '!$D$23*(J1548^2)+'CAFCO 400 '!$D$24*(J1548)+'CAFCO 400 '!$D$25)*U1548^2)+(('CAFCO 400 '!$D$26*(J1548^2)+'CAFCO 400 '!$D$27*J1548+'CAFCO 400 '!$D$28)*U1548)+('CAFCO 400 '!$D$29*(J1548^2)+'CAFCO 400 '!$D$30*J1548+'CAFCO 400 '!$D$31)),0),0)+IF(AND(L1548="Cafco 300",J1548&gt;=95,J1548&lt;=240,C1548="Cj",I1548=90),VLOOKUP(T1548,'CAFCO 300 IDIEM TABLAS'!$B$4:$D$23,2,FALSE),0)+IF(AND(L1548="Cafco 300",J1548&gt;=95,J1548&lt;=240,C1548="Cj",I1548=120),VLOOKUP(T1548,'CAFCO 300 IDIEM TABLAS'!$B$4:$D$23,3,FALSE),0)+IF(AND(L1548="Cafco 300",J1548&gt;=95,J1548&lt;=400,G1548=3,C1548="IN",I1548=90),VLOOKUP(T1548,'CAFCO 300 IDIEM TABLAS'!$F$4:$H$35,2,FALSE),0)+IF(AND(L1548="Cafco 300",J1548&gt;=95,J1548&lt;=400,G1548=3,C1548="IN",I1548=120),VLOOKUP(T1548,'CAFCO 300 IDIEM TABLAS'!$F$4:$H$35,3,FALSE),0)+IF(AND(L1548="Cafco 300",J1548&gt;=95,J1548&lt;=450,G1548=4,C1548="IN",I1548=90),VLOOKUP(T1548,'CAFCO 300 IDIEM TABLAS'!$J$4:$L$40,2,FALSE),0)+IF(AND(L1548="Cafco 300",J1548&gt;=95,J1548&lt;=450,G1548=4,C1548="IN",I1548=120),VLOOKUP(T1548,'CAFCO 300 IDIEM TABLAS'!$J$4:$L$40,3,FALSE),0)+IF(AND(M1548="Ensayo Idiem",L1548="Cafco 400",C1548="IN",G1548=4,I1548=90),VLOOKUP(T1548,'CAFCO 400 ENSAYO'!$B$7:$D$43,2,FALSE),0)+IF(AND(M1548="Ensayo Idiem",L1548="Cafco 400",C1548="IN",G1548=4,I1548=120),VLOOKUP(T1548,'CAFCO 400 ENSAYO'!$B$7:$D$43,3,FALSE),0)</f>
        <v>0</v>
      </c>
      <c r="O1548" s="96">
        <f t="shared" si="156"/>
        <v>0</v>
      </c>
      <c r="P1548" s="95" t="str">
        <f t="shared" si="151"/>
        <v>N/A</v>
      </c>
      <c r="Q1548" s="95" t="str">
        <f t="shared" si="152"/>
        <v>N/A</v>
      </c>
      <c r="R1548" s="95" t="str">
        <f t="shared" si="153"/>
        <v>NO CERT.</v>
      </c>
      <c r="S1548" s="95" t="e">
        <f t="shared" si="154"/>
        <v>#N/A</v>
      </c>
      <c r="T1548" s="119" t="e">
        <f>+IF(J1548=LOOKUP(J1548,'CAFCO 300 IDIEM TABLAS'!$J$4:$J$40),'CALCULO MORTERO'!J1548,MROUND('CALCULO MORTERO'!J1548,10))</f>
        <v>#N/A</v>
      </c>
      <c r="U1548" s="118">
        <f t="shared" si="155"/>
        <v>0</v>
      </c>
    </row>
    <row r="1549" spans="1:21" x14ac:dyDescent="0.25">
      <c r="A1549" s="118">
        <f>+CUBICACION!D1543</f>
        <v>0</v>
      </c>
      <c r="B1549" s="819">
        <f>+CUBICACION!E1543</f>
        <v>0</v>
      </c>
      <c r="C1549" s="675">
        <f>+CUBICACION!F1543</f>
        <v>0</v>
      </c>
      <c r="D1549" s="118"/>
      <c r="E1549" s="118"/>
      <c r="F1549" s="820"/>
      <c r="G1549" s="675">
        <f>+CUBICACION!J1543</f>
        <v>0</v>
      </c>
      <c r="H1549" s="118"/>
      <c r="I1549" s="821">
        <f>+CUBICACION!L1543</f>
        <v>0</v>
      </c>
      <c r="J1549" s="64">
        <f>+CUBICACION!M1543</f>
        <v>0</v>
      </c>
      <c r="K1549" s="822" t="str">
        <f>+CUBICACION!N1543</f>
        <v/>
      </c>
      <c r="L1549" s="118">
        <f>+CUBICACION!O1543</f>
        <v>0</v>
      </c>
      <c r="M1549" s="823">
        <f>+CUBICACION!P1543</f>
        <v>0</v>
      </c>
      <c r="N1549" s="902">
        <f>ROUND(IF(AND(L1549="Blaze Shield II",M1549="Software Idiem",C1549="IN",G1549=4),((('BLAZE SHIELD II'!$D$4*('CALCULO MORTERO'!I1549^2)+'BLAZE SHIELD II'!$D$5*'CALCULO MORTERO'!I1549+'BLAZE SHIELD II'!$D$6)*LN(J1549))+('BLAZE SHIELD II'!$D$7*('CALCULO MORTERO'!I1549^2)+'BLAZE SHIELD II'!$D$8*'CALCULO MORTERO'!I1549+'BLAZE SHIELD II'!$D$9)),0)+IF(AND(L1549="Blaze Shield II",M1549="Software Idiem",C1549="Cj"),((('BLAZE SHIELD II'!$H$4*('CALCULO MORTERO'!I1549^2)+'BLAZE SHIELD II'!$H$5*'CALCULO MORTERO'!I1549+'BLAZE SHIELD II'!$H$6)*LN(J1549))+('BLAZE SHIELD II'!$H$7*('CALCULO MORTERO'!I1549^2)+'BLAZE SHIELD II'!$H$8*'CALCULO MORTERO'!I1549+'BLAZE SHIELD II'!$H$9)),0)+IF(AND(L1549="Blaze Shield II",M1549="Software Idiem",C1549="C"),((('BLAZE SHIELD II'!$L$4*('CALCULO MORTERO'!I1549^2)+'BLAZE SHIELD II'!$L$5*'CALCULO MORTERO'!I1549+'BLAZE SHIELD II'!$L$6)*LN(J1549))+('BLAZE SHIELD II'!$L$7*('CALCULO MORTERO'!I1549^2)+'BLAZE SHIELD II'!$L$8*'CALCULO MORTERO'!I1549+'BLAZE SHIELD II'!$L$9)),0)+IF(AND(L1549="Blaze Shield II",M1549="Software Idiem",C1549="L"),((('BLAZE SHIELD II'!$L$4*('CALCULO MORTERO'!I1549^2)+'BLAZE SHIELD II'!$L$5*'CALCULO MORTERO'!I1549+'BLAZE SHIELD II'!$L$6)*LN(J1549))+('BLAZE SHIELD II'!$L$7*('CALCULO MORTERO'!I1549^2)+'BLAZE SHIELD II'!$L$8*'CALCULO MORTERO'!I1549+'BLAZE SHIELD II'!$L$9)),0)+IF(AND(L1549="Blaze Shield II",M1549="Software Idiem",C1549="IN",G1549=3),((('BLAZE SHIELD II'!$H$14*('CALCULO MORTERO'!I1549^2)+'BLAZE SHIELD II'!$H$15*'CALCULO MORTERO'!I1549+'BLAZE SHIELD II'!$H$16)*LN(J1549))+('BLAZE SHIELD II'!$H$17*('CALCULO MORTERO'!I1549^2)+'BLAZE SHIELD II'!$H$18*'CALCULO MORTERO'!I1549+'BLAZE SHIELD II'!$H$19)),0),0)+ROUND(IF(AND(L1549="Cafco 400",M1549="Software Idiem",C1549="IN",G1549=4),((('CAFCO 400 '!$H$7*(J1549^4)+'CAFCO 400 '!$H$8*(J1549^3)+'CAFCO 400 '!$H$9*(J1549^2)+'CAFCO 400 '!$H$10*J1549+'CAFCO 400 '!$H$11)*U1549^2)+(('CAFCO 400 '!$H$12*(J1549^3)+'CAFCO 400 '!$H$13*(J1549^2)+'CAFCO 400 '!$H$14*J1549+'CAFCO 400 '!$H$15)*U1549)+('CAFCO 400 '!$H$16*(J1549^2)+'CAFCO 400 '!$H$17*J1549+'CAFCO 400 '!$H$18)),0)+IF(AND(L1549="Cafco 400",M1549="Software Idiem",C1549="Cj"),(((('CAFCO 400 '!$D$7*LN(J1549)+'CAFCO 400 '!$D$8)*U1549^2)+(('CAFCO 400 '!$D$9*LN(J1549)+'CAFCO 400 '!$D$10)*U1549)+('CAFCO 400 '!$D$11*LN(J1549)+'CAFCO 400 '!$D$12))),0)+IF(AND(L1549="Cafco 400",M1549="Software Idiem",C1549="C"),((('CAFCO 400 '!$L$7*(J1549^3)+'CAFCO 400 '!$L$8*(J1549^2)+'CAFCO 400 '!$L$9*J1549+'CAFCO 400 '!$L$10)*U1549^2)+(('CAFCO 400 '!$L$11*(J1549^3)+'CAFCO 400 '!$L$12*(J1549^2)+'CAFCO 400 '!$L$13*J1549+'CAFCO 400 '!$L$14)*U1549)+('CAFCO 400 '!$L$15*LN(J1549)+'CAFCO 400 '!$L$16)),0)+IF(AND(L1549="Cafco 400",M1549="Software Idiem",C1549="L"),((('CAFCO 400 '!$L$7*(J1549^3)+'CAFCO 400 '!$L$8*(J1549^2)+'CAFCO 400 '!$L$9*J1549+'CAFCO 400 '!$L$10)*U1549^2)+(('CAFCO 400 '!$L$11*(J1549^3)+'CAFCO 400 '!$L$12*(J1549^2)+'CAFCO 400 '!$L$13*J1549+'CAFCO 400 '!$L$14)*U1549)+('CAFCO 400 '!$L$15*LN(J1549)+'CAFCO 400 '!$L$16)),0)+IF(AND(L1549="Cafco 400",M1549="Software Idiem",C1549="IN",G1549=3),((('CAFCO 400 '!$D$23*(J1549^2)+'CAFCO 400 '!$D$24*(J1549)+'CAFCO 400 '!$D$25)*U1549^2)+(('CAFCO 400 '!$D$26*(J1549^2)+'CAFCO 400 '!$D$27*J1549+'CAFCO 400 '!$D$28)*U1549)+('CAFCO 400 '!$D$29*(J1549^2)+'CAFCO 400 '!$D$30*J1549+'CAFCO 400 '!$D$31)),0),0)+IF(AND(L1549="Cafco 300",J1549&gt;=95,J1549&lt;=240,C1549="Cj",I1549=90),VLOOKUP(T1549,'CAFCO 300 IDIEM TABLAS'!$B$4:$D$23,2,FALSE),0)+IF(AND(L1549="Cafco 300",J1549&gt;=95,J1549&lt;=240,C1549="Cj",I1549=120),VLOOKUP(T1549,'CAFCO 300 IDIEM TABLAS'!$B$4:$D$23,3,FALSE),0)+IF(AND(L1549="Cafco 300",J1549&gt;=95,J1549&lt;=400,G1549=3,C1549="IN",I1549=90),VLOOKUP(T1549,'CAFCO 300 IDIEM TABLAS'!$F$4:$H$35,2,FALSE),0)+IF(AND(L1549="Cafco 300",J1549&gt;=95,J1549&lt;=400,G1549=3,C1549="IN",I1549=120),VLOOKUP(T1549,'CAFCO 300 IDIEM TABLAS'!$F$4:$H$35,3,FALSE),0)+IF(AND(L1549="Cafco 300",J1549&gt;=95,J1549&lt;=450,G1549=4,C1549="IN",I1549=90),VLOOKUP(T1549,'CAFCO 300 IDIEM TABLAS'!$J$4:$L$40,2,FALSE),0)+IF(AND(L1549="Cafco 300",J1549&gt;=95,J1549&lt;=450,G1549=4,C1549="IN",I1549=120),VLOOKUP(T1549,'CAFCO 300 IDIEM TABLAS'!$J$4:$L$40,3,FALSE),0)+IF(AND(M1549="Ensayo Idiem",L1549="Cafco 400",C1549="IN",G1549=4,I1549=90),VLOOKUP(T1549,'CAFCO 400 ENSAYO'!$B$7:$D$43,2,FALSE),0)+IF(AND(M1549="Ensayo Idiem",L1549="Cafco 400",C1549="IN",G1549=4,I1549=120),VLOOKUP(T1549,'CAFCO 400 ENSAYO'!$B$7:$D$43,3,FALSE),0)</f>
        <v>0</v>
      </c>
      <c r="O1549" s="96">
        <f t="shared" si="156"/>
        <v>0</v>
      </c>
      <c r="P1549" s="132" t="str">
        <f t="shared" si="151"/>
        <v>N/A</v>
      </c>
      <c r="Q1549" s="132" t="str">
        <f t="shared" si="152"/>
        <v>N/A</v>
      </c>
      <c r="R1549" s="132" t="str">
        <f t="shared" si="153"/>
        <v>NO CERT.</v>
      </c>
      <c r="S1549" s="132" t="e">
        <f t="shared" si="154"/>
        <v>#N/A</v>
      </c>
      <c r="T1549" s="133" t="e">
        <f>+IF(J1549=LOOKUP(J1549,'CAFCO 300 IDIEM TABLAS'!$J$4:$J$40),'CALCULO MORTERO'!J1549,MROUND('CALCULO MORTERO'!J1549,10))</f>
        <v>#N/A</v>
      </c>
      <c r="U1549" s="134">
        <f t="shared" si="155"/>
        <v>0</v>
      </c>
    </row>
    <row r="1550" spans="1:21" x14ac:dyDescent="0.25">
      <c r="A1550" s="118">
        <f>+CUBICACION!D1544</f>
        <v>0</v>
      </c>
      <c r="B1550" s="819">
        <f>+CUBICACION!E1544</f>
        <v>0</v>
      </c>
      <c r="C1550" s="675">
        <f>+CUBICACION!F1544</f>
        <v>0</v>
      </c>
      <c r="D1550" s="118"/>
      <c r="E1550" s="118"/>
      <c r="F1550" s="820"/>
      <c r="G1550" s="675">
        <f>+CUBICACION!J1544</f>
        <v>0</v>
      </c>
      <c r="H1550" s="118"/>
      <c r="I1550" s="821">
        <f>+CUBICACION!L1544</f>
        <v>0</v>
      </c>
      <c r="J1550" s="64">
        <f>+CUBICACION!M1544</f>
        <v>0</v>
      </c>
      <c r="K1550" s="822" t="str">
        <f>+CUBICACION!N1544</f>
        <v/>
      </c>
      <c r="L1550" s="118">
        <f>+CUBICACION!O1544</f>
        <v>0</v>
      </c>
      <c r="M1550" s="823">
        <f>+CUBICACION!P1544</f>
        <v>0</v>
      </c>
      <c r="N1550" s="902">
        <f>ROUND(IF(AND(L1550="Blaze Shield II",M1550="Software Idiem",C1550="IN",G1550=4),((('BLAZE SHIELD II'!$D$4*('CALCULO MORTERO'!I1550^2)+'BLAZE SHIELD II'!$D$5*'CALCULO MORTERO'!I1550+'BLAZE SHIELD II'!$D$6)*LN(J1550))+('BLAZE SHIELD II'!$D$7*('CALCULO MORTERO'!I1550^2)+'BLAZE SHIELD II'!$D$8*'CALCULO MORTERO'!I1550+'BLAZE SHIELD II'!$D$9)),0)+IF(AND(L1550="Blaze Shield II",M1550="Software Idiem",C1550="Cj"),((('BLAZE SHIELD II'!$H$4*('CALCULO MORTERO'!I1550^2)+'BLAZE SHIELD II'!$H$5*'CALCULO MORTERO'!I1550+'BLAZE SHIELD II'!$H$6)*LN(J1550))+('BLAZE SHIELD II'!$H$7*('CALCULO MORTERO'!I1550^2)+'BLAZE SHIELD II'!$H$8*'CALCULO MORTERO'!I1550+'BLAZE SHIELD II'!$H$9)),0)+IF(AND(L1550="Blaze Shield II",M1550="Software Idiem",C1550="C"),((('BLAZE SHIELD II'!$L$4*('CALCULO MORTERO'!I1550^2)+'BLAZE SHIELD II'!$L$5*'CALCULO MORTERO'!I1550+'BLAZE SHIELD II'!$L$6)*LN(J1550))+('BLAZE SHIELD II'!$L$7*('CALCULO MORTERO'!I1550^2)+'BLAZE SHIELD II'!$L$8*'CALCULO MORTERO'!I1550+'BLAZE SHIELD II'!$L$9)),0)+IF(AND(L1550="Blaze Shield II",M1550="Software Idiem",C1550="L"),((('BLAZE SHIELD II'!$L$4*('CALCULO MORTERO'!I1550^2)+'BLAZE SHIELD II'!$L$5*'CALCULO MORTERO'!I1550+'BLAZE SHIELD II'!$L$6)*LN(J1550))+('BLAZE SHIELD II'!$L$7*('CALCULO MORTERO'!I1550^2)+'BLAZE SHIELD II'!$L$8*'CALCULO MORTERO'!I1550+'BLAZE SHIELD II'!$L$9)),0)+IF(AND(L1550="Blaze Shield II",M1550="Software Idiem",C1550="IN",G1550=3),((('BLAZE SHIELD II'!$H$14*('CALCULO MORTERO'!I1550^2)+'BLAZE SHIELD II'!$H$15*'CALCULO MORTERO'!I1550+'BLAZE SHIELD II'!$H$16)*LN(J1550))+('BLAZE SHIELD II'!$H$17*('CALCULO MORTERO'!I1550^2)+'BLAZE SHIELD II'!$H$18*'CALCULO MORTERO'!I1550+'BLAZE SHIELD II'!$H$19)),0),0)+ROUND(IF(AND(L1550="Cafco 400",M1550="Software Idiem",C1550="IN",G1550=4),((('CAFCO 400 '!$H$7*(J1550^4)+'CAFCO 400 '!$H$8*(J1550^3)+'CAFCO 400 '!$H$9*(J1550^2)+'CAFCO 400 '!$H$10*J1550+'CAFCO 400 '!$H$11)*U1550^2)+(('CAFCO 400 '!$H$12*(J1550^3)+'CAFCO 400 '!$H$13*(J1550^2)+'CAFCO 400 '!$H$14*J1550+'CAFCO 400 '!$H$15)*U1550)+('CAFCO 400 '!$H$16*(J1550^2)+'CAFCO 400 '!$H$17*J1550+'CAFCO 400 '!$H$18)),0)+IF(AND(L1550="Cafco 400",M1550="Software Idiem",C1550="Cj"),(((('CAFCO 400 '!$D$7*LN(J1550)+'CAFCO 400 '!$D$8)*U1550^2)+(('CAFCO 400 '!$D$9*LN(J1550)+'CAFCO 400 '!$D$10)*U1550)+('CAFCO 400 '!$D$11*LN(J1550)+'CAFCO 400 '!$D$12))),0)+IF(AND(L1550="Cafco 400",M1550="Software Idiem",C1550="C"),((('CAFCO 400 '!$L$7*(J1550^3)+'CAFCO 400 '!$L$8*(J1550^2)+'CAFCO 400 '!$L$9*J1550+'CAFCO 400 '!$L$10)*U1550^2)+(('CAFCO 400 '!$L$11*(J1550^3)+'CAFCO 400 '!$L$12*(J1550^2)+'CAFCO 400 '!$L$13*J1550+'CAFCO 400 '!$L$14)*U1550)+('CAFCO 400 '!$L$15*LN(J1550)+'CAFCO 400 '!$L$16)),0)+IF(AND(L1550="Cafco 400",M1550="Software Idiem",C1550="L"),((('CAFCO 400 '!$L$7*(J1550^3)+'CAFCO 400 '!$L$8*(J1550^2)+'CAFCO 400 '!$L$9*J1550+'CAFCO 400 '!$L$10)*U1550^2)+(('CAFCO 400 '!$L$11*(J1550^3)+'CAFCO 400 '!$L$12*(J1550^2)+'CAFCO 400 '!$L$13*J1550+'CAFCO 400 '!$L$14)*U1550)+('CAFCO 400 '!$L$15*LN(J1550)+'CAFCO 400 '!$L$16)),0)+IF(AND(L1550="Cafco 400",M1550="Software Idiem",C1550="IN",G1550=3),((('CAFCO 400 '!$D$23*(J1550^2)+'CAFCO 400 '!$D$24*(J1550)+'CAFCO 400 '!$D$25)*U1550^2)+(('CAFCO 400 '!$D$26*(J1550^2)+'CAFCO 400 '!$D$27*J1550+'CAFCO 400 '!$D$28)*U1550)+('CAFCO 400 '!$D$29*(J1550^2)+'CAFCO 400 '!$D$30*J1550+'CAFCO 400 '!$D$31)),0),0)+IF(AND(L1550="Cafco 300",J1550&gt;=95,J1550&lt;=240,C1550="Cj",I1550=90),VLOOKUP(T1550,'CAFCO 300 IDIEM TABLAS'!$B$4:$D$23,2,FALSE),0)+IF(AND(L1550="Cafco 300",J1550&gt;=95,J1550&lt;=240,C1550="Cj",I1550=120),VLOOKUP(T1550,'CAFCO 300 IDIEM TABLAS'!$B$4:$D$23,3,FALSE),0)+IF(AND(L1550="Cafco 300",J1550&gt;=95,J1550&lt;=400,G1550=3,C1550="IN",I1550=90),VLOOKUP(T1550,'CAFCO 300 IDIEM TABLAS'!$F$4:$H$35,2,FALSE),0)+IF(AND(L1550="Cafco 300",J1550&gt;=95,J1550&lt;=400,G1550=3,C1550="IN",I1550=120),VLOOKUP(T1550,'CAFCO 300 IDIEM TABLAS'!$F$4:$H$35,3,FALSE),0)+IF(AND(L1550="Cafco 300",J1550&gt;=95,J1550&lt;=450,G1550=4,C1550="IN",I1550=90),VLOOKUP(T1550,'CAFCO 300 IDIEM TABLAS'!$J$4:$L$40,2,FALSE),0)+IF(AND(L1550="Cafco 300",J1550&gt;=95,J1550&lt;=450,G1550=4,C1550="IN",I1550=120),VLOOKUP(T1550,'CAFCO 300 IDIEM TABLAS'!$J$4:$L$40,3,FALSE),0)+IF(AND(M1550="Ensayo Idiem",L1550="Cafco 400",C1550="IN",G1550=4,I1550=90),VLOOKUP(T1550,'CAFCO 400 ENSAYO'!$B$7:$D$43,2,FALSE),0)+IF(AND(M1550="Ensayo Idiem",L1550="Cafco 400",C1550="IN",G1550=4,I1550=120),VLOOKUP(T1550,'CAFCO 400 ENSAYO'!$B$7:$D$43,3,FALSE),0)</f>
        <v>0</v>
      </c>
      <c r="O1550" s="96">
        <f t="shared" si="156"/>
        <v>0</v>
      </c>
      <c r="P1550" s="95" t="str">
        <f t="shared" si="151"/>
        <v>N/A</v>
      </c>
      <c r="Q1550" s="95" t="str">
        <f t="shared" si="152"/>
        <v>N/A</v>
      </c>
      <c r="R1550" s="95" t="str">
        <f t="shared" si="153"/>
        <v>NO CERT.</v>
      </c>
      <c r="S1550" s="95" t="e">
        <f t="shared" si="154"/>
        <v>#N/A</v>
      </c>
      <c r="T1550" s="119" t="e">
        <f>+IF(J1550=LOOKUP(J1550,'CAFCO 300 IDIEM TABLAS'!$J$4:$J$40),'CALCULO MORTERO'!J1550,MROUND('CALCULO MORTERO'!J1550,10))</f>
        <v>#N/A</v>
      </c>
      <c r="U1550" s="118">
        <f t="shared" si="155"/>
        <v>0</v>
      </c>
    </row>
    <row r="1551" spans="1:21" x14ac:dyDescent="0.25">
      <c r="A1551" s="118">
        <f>+CUBICACION!D1545</f>
        <v>0</v>
      </c>
      <c r="B1551" s="819">
        <f>+CUBICACION!E1545</f>
        <v>0</v>
      </c>
      <c r="C1551" s="675">
        <f>+CUBICACION!F1545</f>
        <v>0</v>
      </c>
      <c r="D1551" s="118"/>
      <c r="E1551" s="118"/>
      <c r="F1551" s="820"/>
      <c r="G1551" s="675">
        <f>+CUBICACION!J1545</f>
        <v>0</v>
      </c>
      <c r="H1551" s="118"/>
      <c r="I1551" s="821">
        <f>+CUBICACION!L1545</f>
        <v>0</v>
      </c>
      <c r="J1551" s="64">
        <f>+CUBICACION!M1545</f>
        <v>0</v>
      </c>
      <c r="K1551" s="822" t="str">
        <f>+CUBICACION!N1545</f>
        <v/>
      </c>
      <c r="L1551" s="118">
        <f>+CUBICACION!O1545</f>
        <v>0</v>
      </c>
      <c r="M1551" s="823">
        <f>+CUBICACION!P1545</f>
        <v>0</v>
      </c>
      <c r="N1551" s="902">
        <f>ROUND(IF(AND(L1551="Blaze Shield II",M1551="Software Idiem",C1551="IN",G1551=4),((('BLAZE SHIELD II'!$D$4*('CALCULO MORTERO'!I1551^2)+'BLAZE SHIELD II'!$D$5*'CALCULO MORTERO'!I1551+'BLAZE SHIELD II'!$D$6)*LN(J1551))+('BLAZE SHIELD II'!$D$7*('CALCULO MORTERO'!I1551^2)+'BLAZE SHIELD II'!$D$8*'CALCULO MORTERO'!I1551+'BLAZE SHIELD II'!$D$9)),0)+IF(AND(L1551="Blaze Shield II",M1551="Software Idiem",C1551="Cj"),((('BLAZE SHIELD II'!$H$4*('CALCULO MORTERO'!I1551^2)+'BLAZE SHIELD II'!$H$5*'CALCULO MORTERO'!I1551+'BLAZE SHIELD II'!$H$6)*LN(J1551))+('BLAZE SHIELD II'!$H$7*('CALCULO MORTERO'!I1551^2)+'BLAZE SHIELD II'!$H$8*'CALCULO MORTERO'!I1551+'BLAZE SHIELD II'!$H$9)),0)+IF(AND(L1551="Blaze Shield II",M1551="Software Idiem",C1551="C"),((('BLAZE SHIELD II'!$L$4*('CALCULO MORTERO'!I1551^2)+'BLAZE SHIELD II'!$L$5*'CALCULO MORTERO'!I1551+'BLAZE SHIELD II'!$L$6)*LN(J1551))+('BLAZE SHIELD II'!$L$7*('CALCULO MORTERO'!I1551^2)+'BLAZE SHIELD II'!$L$8*'CALCULO MORTERO'!I1551+'BLAZE SHIELD II'!$L$9)),0)+IF(AND(L1551="Blaze Shield II",M1551="Software Idiem",C1551="L"),((('BLAZE SHIELD II'!$L$4*('CALCULO MORTERO'!I1551^2)+'BLAZE SHIELD II'!$L$5*'CALCULO MORTERO'!I1551+'BLAZE SHIELD II'!$L$6)*LN(J1551))+('BLAZE SHIELD II'!$L$7*('CALCULO MORTERO'!I1551^2)+'BLAZE SHIELD II'!$L$8*'CALCULO MORTERO'!I1551+'BLAZE SHIELD II'!$L$9)),0)+IF(AND(L1551="Blaze Shield II",M1551="Software Idiem",C1551="IN",G1551=3),((('BLAZE SHIELD II'!$H$14*('CALCULO MORTERO'!I1551^2)+'BLAZE SHIELD II'!$H$15*'CALCULO MORTERO'!I1551+'BLAZE SHIELD II'!$H$16)*LN(J1551))+('BLAZE SHIELD II'!$H$17*('CALCULO MORTERO'!I1551^2)+'BLAZE SHIELD II'!$H$18*'CALCULO MORTERO'!I1551+'BLAZE SHIELD II'!$H$19)),0),0)+ROUND(IF(AND(L1551="Cafco 400",M1551="Software Idiem",C1551="IN",G1551=4),((('CAFCO 400 '!$H$7*(J1551^4)+'CAFCO 400 '!$H$8*(J1551^3)+'CAFCO 400 '!$H$9*(J1551^2)+'CAFCO 400 '!$H$10*J1551+'CAFCO 400 '!$H$11)*U1551^2)+(('CAFCO 400 '!$H$12*(J1551^3)+'CAFCO 400 '!$H$13*(J1551^2)+'CAFCO 400 '!$H$14*J1551+'CAFCO 400 '!$H$15)*U1551)+('CAFCO 400 '!$H$16*(J1551^2)+'CAFCO 400 '!$H$17*J1551+'CAFCO 400 '!$H$18)),0)+IF(AND(L1551="Cafco 400",M1551="Software Idiem",C1551="Cj"),(((('CAFCO 400 '!$D$7*LN(J1551)+'CAFCO 400 '!$D$8)*U1551^2)+(('CAFCO 400 '!$D$9*LN(J1551)+'CAFCO 400 '!$D$10)*U1551)+('CAFCO 400 '!$D$11*LN(J1551)+'CAFCO 400 '!$D$12))),0)+IF(AND(L1551="Cafco 400",M1551="Software Idiem",C1551="C"),((('CAFCO 400 '!$L$7*(J1551^3)+'CAFCO 400 '!$L$8*(J1551^2)+'CAFCO 400 '!$L$9*J1551+'CAFCO 400 '!$L$10)*U1551^2)+(('CAFCO 400 '!$L$11*(J1551^3)+'CAFCO 400 '!$L$12*(J1551^2)+'CAFCO 400 '!$L$13*J1551+'CAFCO 400 '!$L$14)*U1551)+('CAFCO 400 '!$L$15*LN(J1551)+'CAFCO 400 '!$L$16)),0)+IF(AND(L1551="Cafco 400",M1551="Software Idiem",C1551="L"),((('CAFCO 400 '!$L$7*(J1551^3)+'CAFCO 400 '!$L$8*(J1551^2)+'CAFCO 400 '!$L$9*J1551+'CAFCO 400 '!$L$10)*U1551^2)+(('CAFCO 400 '!$L$11*(J1551^3)+'CAFCO 400 '!$L$12*(J1551^2)+'CAFCO 400 '!$L$13*J1551+'CAFCO 400 '!$L$14)*U1551)+('CAFCO 400 '!$L$15*LN(J1551)+'CAFCO 400 '!$L$16)),0)+IF(AND(L1551="Cafco 400",M1551="Software Idiem",C1551="IN",G1551=3),((('CAFCO 400 '!$D$23*(J1551^2)+'CAFCO 400 '!$D$24*(J1551)+'CAFCO 400 '!$D$25)*U1551^2)+(('CAFCO 400 '!$D$26*(J1551^2)+'CAFCO 400 '!$D$27*J1551+'CAFCO 400 '!$D$28)*U1551)+('CAFCO 400 '!$D$29*(J1551^2)+'CAFCO 400 '!$D$30*J1551+'CAFCO 400 '!$D$31)),0),0)+IF(AND(L1551="Cafco 300",J1551&gt;=95,J1551&lt;=240,C1551="Cj",I1551=90),VLOOKUP(T1551,'CAFCO 300 IDIEM TABLAS'!$B$4:$D$23,2,FALSE),0)+IF(AND(L1551="Cafco 300",J1551&gt;=95,J1551&lt;=240,C1551="Cj",I1551=120),VLOOKUP(T1551,'CAFCO 300 IDIEM TABLAS'!$B$4:$D$23,3,FALSE),0)+IF(AND(L1551="Cafco 300",J1551&gt;=95,J1551&lt;=400,G1551=3,C1551="IN",I1551=90),VLOOKUP(T1551,'CAFCO 300 IDIEM TABLAS'!$F$4:$H$35,2,FALSE),0)+IF(AND(L1551="Cafco 300",J1551&gt;=95,J1551&lt;=400,G1551=3,C1551="IN",I1551=120),VLOOKUP(T1551,'CAFCO 300 IDIEM TABLAS'!$F$4:$H$35,3,FALSE),0)+IF(AND(L1551="Cafco 300",J1551&gt;=95,J1551&lt;=450,G1551=4,C1551="IN",I1551=90),VLOOKUP(T1551,'CAFCO 300 IDIEM TABLAS'!$J$4:$L$40,2,FALSE),0)+IF(AND(L1551="Cafco 300",J1551&gt;=95,J1551&lt;=450,G1551=4,C1551="IN",I1551=120),VLOOKUP(T1551,'CAFCO 300 IDIEM TABLAS'!$J$4:$L$40,3,FALSE),0)+IF(AND(M1551="Ensayo Idiem",L1551="Cafco 400",C1551="IN",G1551=4,I1551=90),VLOOKUP(T1551,'CAFCO 400 ENSAYO'!$B$7:$D$43,2,FALSE),0)+IF(AND(M1551="Ensayo Idiem",L1551="Cafco 400",C1551="IN",G1551=4,I1551=120),VLOOKUP(T1551,'CAFCO 400 ENSAYO'!$B$7:$D$43,3,FALSE),0)</f>
        <v>0</v>
      </c>
      <c r="O1551" s="96">
        <f t="shared" si="156"/>
        <v>0</v>
      </c>
      <c r="P1551" s="132" t="str">
        <f t="shared" si="151"/>
        <v>N/A</v>
      </c>
      <c r="Q1551" s="132" t="str">
        <f t="shared" si="152"/>
        <v>N/A</v>
      </c>
      <c r="R1551" s="132" t="str">
        <f t="shared" si="153"/>
        <v>NO CERT.</v>
      </c>
      <c r="S1551" s="132" t="e">
        <f t="shared" si="154"/>
        <v>#N/A</v>
      </c>
      <c r="T1551" s="133" t="e">
        <f>+IF(J1551=LOOKUP(J1551,'CAFCO 300 IDIEM TABLAS'!$J$4:$J$40),'CALCULO MORTERO'!J1551,MROUND('CALCULO MORTERO'!J1551,10))</f>
        <v>#N/A</v>
      </c>
      <c r="U1551" s="134">
        <f t="shared" si="155"/>
        <v>0</v>
      </c>
    </row>
    <row r="1552" spans="1:21" x14ac:dyDescent="0.25">
      <c r="A1552" s="118">
        <f>+CUBICACION!D1546</f>
        <v>0</v>
      </c>
      <c r="B1552" s="819">
        <f>+CUBICACION!E1546</f>
        <v>0</v>
      </c>
      <c r="C1552" s="675">
        <f>+CUBICACION!F1546</f>
        <v>0</v>
      </c>
      <c r="D1552" s="118"/>
      <c r="E1552" s="118"/>
      <c r="F1552" s="820"/>
      <c r="G1552" s="675">
        <f>+CUBICACION!J1546</f>
        <v>0</v>
      </c>
      <c r="H1552" s="118"/>
      <c r="I1552" s="821">
        <f>+CUBICACION!L1546</f>
        <v>0</v>
      </c>
      <c r="J1552" s="64">
        <f>+CUBICACION!M1546</f>
        <v>0</v>
      </c>
      <c r="K1552" s="822" t="str">
        <f>+CUBICACION!N1546</f>
        <v/>
      </c>
      <c r="L1552" s="118">
        <f>+CUBICACION!O1546</f>
        <v>0</v>
      </c>
      <c r="M1552" s="823">
        <f>+CUBICACION!P1546</f>
        <v>0</v>
      </c>
      <c r="N1552" s="902">
        <f>ROUND(IF(AND(L1552="Blaze Shield II",M1552="Software Idiem",C1552="IN",G1552=4),((('BLAZE SHIELD II'!$D$4*('CALCULO MORTERO'!I1552^2)+'BLAZE SHIELD II'!$D$5*'CALCULO MORTERO'!I1552+'BLAZE SHIELD II'!$D$6)*LN(J1552))+('BLAZE SHIELD II'!$D$7*('CALCULO MORTERO'!I1552^2)+'BLAZE SHIELD II'!$D$8*'CALCULO MORTERO'!I1552+'BLAZE SHIELD II'!$D$9)),0)+IF(AND(L1552="Blaze Shield II",M1552="Software Idiem",C1552="Cj"),((('BLAZE SHIELD II'!$H$4*('CALCULO MORTERO'!I1552^2)+'BLAZE SHIELD II'!$H$5*'CALCULO MORTERO'!I1552+'BLAZE SHIELD II'!$H$6)*LN(J1552))+('BLAZE SHIELD II'!$H$7*('CALCULO MORTERO'!I1552^2)+'BLAZE SHIELD II'!$H$8*'CALCULO MORTERO'!I1552+'BLAZE SHIELD II'!$H$9)),0)+IF(AND(L1552="Blaze Shield II",M1552="Software Idiem",C1552="C"),((('BLAZE SHIELD II'!$L$4*('CALCULO MORTERO'!I1552^2)+'BLAZE SHIELD II'!$L$5*'CALCULO MORTERO'!I1552+'BLAZE SHIELD II'!$L$6)*LN(J1552))+('BLAZE SHIELD II'!$L$7*('CALCULO MORTERO'!I1552^2)+'BLAZE SHIELD II'!$L$8*'CALCULO MORTERO'!I1552+'BLAZE SHIELD II'!$L$9)),0)+IF(AND(L1552="Blaze Shield II",M1552="Software Idiem",C1552="L"),((('BLAZE SHIELD II'!$L$4*('CALCULO MORTERO'!I1552^2)+'BLAZE SHIELD II'!$L$5*'CALCULO MORTERO'!I1552+'BLAZE SHIELD II'!$L$6)*LN(J1552))+('BLAZE SHIELD II'!$L$7*('CALCULO MORTERO'!I1552^2)+'BLAZE SHIELD II'!$L$8*'CALCULO MORTERO'!I1552+'BLAZE SHIELD II'!$L$9)),0)+IF(AND(L1552="Blaze Shield II",M1552="Software Idiem",C1552="IN",G1552=3),((('BLAZE SHIELD II'!$H$14*('CALCULO MORTERO'!I1552^2)+'BLAZE SHIELD II'!$H$15*'CALCULO MORTERO'!I1552+'BLAZE SHIELD II'!$H$16)*LN(J1552))+('BLAZE SHIELD II'!$H$17*('CALCULO MORTERO'!I1552^2)+'BLAZE SHIELD II'!$H$18*'CALCULO MORTERO'!I1552+'BLAZE SHIELD II'!$H$19)),0),0)+ROUND(IF(AND(L1552="Cafco 400",M1552="Software Idiem",C1552="IN",G1552=4),((('CAFCO 400 '!$H$7*(J1552^4)+'CAFCO 400 '!$H$8*(J1552^3)+'CAFCO 400 '!$H$9*(J1552^2)+'CAFCO 400 '!$H$10*J1552+'CAFCO 400 '!$H$11)*U1552^2)+(('CAFCO 400 '!$H$12*(J1552^3)+'CAFCO 400 '!$H$13*(J1552^2)+'CAFCO 400 '!$H$14*J1552+'CAFCO 400 '!$H$15)*U1552)+('CAFCO 400 '!$H$16*(J1552^2)+'CAFCO 400 '!$H$17*J1552+'CAFCO 400 '!$H$18)),0)+IF(AND(L1552="Cafco 400",M1552="Software Idiem",C1552="Cj"),(((('CAFCO 400 '!$D$7*LN(J1552)+'CAFCO 400 '!$D$8)*U1552^2)+(('CAFCO 400 '!$D$9*LN(J1552)+'CAFCO 400 '!$D$10)*U1552)+('CAFCO 400 '!$D$11*LN(J1552)+'CAFCO 400 '!$D$12))),0)+IF(AND(L1552="Cafco 400",M1552="Software Idiem",C1552="C"),((('CAFCO 400 '!$L$7*(J1552^3)+'CAFCO 400 '!$L$8*(J1552^2)+'CAFCO 400 '!$L$9*J1552+'CAFCO 400 '!$L$10)*U1552^2)+(('CAFCO 400 '!$L$11*(J1552^3)+'CAFCO 400 '!$L$12*(J1552^2)+'CAFCO 400 '!$L$13*J1552+'CAFCO 400 '!$L$14)*U1552)+('CAFCO 400 '!$L$15*LN(J1552)+'CAFCO 400 '!$L$16)),0)+IF(AND(L1552="Cafco 400",M1552="Software Idiem",C1552="L"),((('CAFCO 400 '!$L$7*(J1552^3)+'CAFCO 400 '!$L$8*(J1552^2)+'CAFCO 400 '!$L$9*J1552+'CAFCO 400 '!$L$10)*U1552^2)+(('CAFCO 400 '!$L$11*(J1552^3)+'CAFCO 400 '!$L$12*(J1552^2)+'CAFCO 400 '!$L$13*J1552+'CAFCO 400 '!$L$14)*U1552)+('CAFCO 400 '!$L$15*LN(J1552)+'CAFCO 400 '!$L$16)),0)+IF(AND(L1552="Cafco 400",M1552="Software Idiem",C1552="IN",G1552=3),((('CAFCO 400 '!$D$23*(J1552^2)+'CAFCO 400 '!$D$24*(J1552)+'CAFCO 400 '!$D$25)*U1552^2)+(('CAFCO 400 '!$D$26*(J1552^2)+'CAFCO 400 '!$D$27*J1552+'CAFCO 400 '!$D$28)*U1552)+('CAFCO 400 '!$D$29*(J1552^2)+'CAFCO 400 '!$D$30*J1552+'CAFCO 400 '!$D$31)),0),0)+IF(AND(L1552="Cafco 300",J1552&gt;=95,J1552&lt;=240,C1552="Cj",I1552=90),VLOOKUP(T1552,'CAFCO 300 IDIEM TABLAS'!$B$4:$D$23,2,FALSE),0)+IF(AND(L1552="Cafco 300",J1552&gt;=95,J1552&lt;=240,C1552="Cj",I1552=120),VLOOKUP(T1552,'CAFCO 300 IDIEM TABLAS'!$B$4:$D$23,3,FALSE),0)+IF(AND(L1552="Cafco 300",J1552&gt;=95,J1552&lt;=400,G1552=3,C1552="IN",I1552=90),VLOOKUP(T1552,'CAFCO 300 IDIEM TABLAS'!$F$4:$H$35,2,FALSE),0)+IF(AND(L1552="Cafco 300",J1552&gt;=95,J1552&lt;=400,G1552=3,C1552="IN",I1552=120),VLOOKUP(T1552,'CAFCO 300 IDIEM TABLAS'!$F$4:$H$35,3,FALSE),0)+IF(AND(L1552="Cafco 300",J1552&gt;=95,J1552&lt;=450,G1552=4,C1552="IN",I1552=90),VLOOKUP(T1552,'CAFCO 300 IDIEM TABLAS'!$J$4:$L$40,2,FALSE),0)+IF(AND(L1552="Cafco 300",J1552&gt;=95,J1552&lt;=450,G1552=4,C1552="IN",I1552=120),VLOOKUP(T1552,'CAFCO 300 IDIEM TABLAS'!$J$4:$L$40,3,FALSE),0)+IF(AND(M1552="Ensayo Idiem",L1552="Cafco 400",C1552="IN",G1552=4,I1552=90),VLOOKUP(T1552,'CAFCO 400 ENSAYO'!$B$7:$D$43,2,FALSE),0)+IF(AND(M1552="Ensayo Idiem",L1552="Cafco 400",C1552="IN",G1552=4,I1552=120),VLOOKUP(T1552,'CAFCO 400 ENSAYO'!$B$7:$D$43,3,FALSE),0)</f>
        <v>0</v>
      </c>
      <c r="O1552" s="96">
        <f t="shared" si="156"/>
        <v>0</v>
      </c>
      <c r="P1552" s="95" t="str">
        <f t="shared" si="151"/>
        <v>N/A</v>
      </c>
      <c r="Q1552" s="95" t="str">
        <f t="shared" si="152"/>
        <v>N/A</v>
      </c>
      <c r="R1552" s="95" t="str">
        <f t="shared" si="153"/>
        <v>NO CERT.</v>
      </c>
      <c r="S1552" s="95" t="e">
        <f t="shared" si="154"/>
        <v>#N/A</v>
      </c>
      <c r="T1552" s="119" t="e">
        <f>+IF(J1552=LOOKUP(J1552,'CAFCO 300 IDIEM TABLAS'!$J$4:$J$40),'CALCULO MORTERO'!J1552,MROUND('CALCULO MORTERO'!J1552,10))</f>
        <v>#N/A</v>
      </c>
      <c r="U1552" s="118">
        <f t="shared" si="155"/>
        <v>0</v>
      </c>
    </row>
    <row r="1553" spans="1:21" x14ac:dyDescent="0.25">
      <c r="A1553" s="118">
        <f>+CUBICACION!D1547</f>
        <v>0</v>
      </c>
      <c r="B1553" s="819">
        <f>+CUBICACION!E1547</f>
        <v>0</v>
      </c>
      <c r="C1553" s="675">
        <f>+CUBICACION!F1547</f>
        <v>0</v>
      </c>
      <c r="D1553" s="118"/>
      <c r="E1553" s="118"/>
      <c r="F1553" s="820"/>
      <c r="G1553" s="675">
        <f>+CUBICACION!J1547</f>
        <v>0</v>
      </c>
      <c r="H1553" s="118"/>
      <c r="I1553" s="821">
        <f>+CUBICACION!L1547</f>
        <v>0</v>
      </c>
      <c r="J1553" s="64">
        <f>+CUBICACION!M1547</f>
        <v>0</v>
      </c>
      <c r="K1553" s="822" t="str">
        <f>+CUBICACION!N1547</f>
        <v/>
      </c>
      <c r="L1553" s="118">
        <f>+CUBICACION!O1547</f>
        <v>0</v>
      </c>
      <c r="M1553" s="823">
        <f>+CUBICACION!P1547</f>
        <v>0</v>
      </c>
      <c r="N1553" s="902">
        <f>ROUND(IF(AND(L1553="Blaze Shield II",M1553="Software Idiem",C1553="IN",G1553=4),((('BLAZE SHIELD II'!$D$4*('CALCULO MORTERO'!I1553^2)+'BLAZE SHIELD II'!$D$5*'CALCULO MORTERO'!I1553+'BLAZE SHIELD II'!$D$6)*LN(J1553))+('BLAZE SHIELD II'!$D$7*('CALCULO MORTERO'!I1553^2)+'BLAZE SHIELD II'!$D$8*'CALCULO MORTERO'!I1553+'BLAZE SHIELD II'!$D$9)),0)+IF(AND(L1553="Blaze Shield II",M1553="Software Idiem",C1553="Cj"),((('BLAZE SHIELD II'!$H$4*('CALCULO MORTERO'!I1553^2)+'BLAZE SHIELD II'!$H$5*'CALCULO MORTERO'!I1553+'BLAZE SHIELD II'!$H$6)*LN(J1553))+('BLAZE SHIELD II'!$H$7*('CALCULO MORTERO'!I1553^2)+'BLAZE SHIELD II'!$H$8*'CALCULO MORTERO'!I1553+'BLAZE SHIELD II'!$H$9)),0)+IF(AND(L1553="Blaze Shield II",M1553="Software Idiem",C1553="C"),((('BLAZE SHIELD II'!$L$4*('CALCULO MORTERO'!I1553^2)+'BLAZE SHIELD II'!$L$5*'CALCULO MORTERO'!I1553+'BLAZE SHIELD II'!$L$6)*LN(J1553))+('BLAZE SHIELD II'!$L$7*('CALCULO MORTERO'!I1553^2)+'BLAZE SHIELD II'!$L$8*'CALCULO MORTERO'!I1553+'BLAZE SHIELD II'!$L$9)),0)+IF(AND(L1553="Blaze Shield II",M1553="Software Idiem",C1553="L"),((('BLAZE SHIELD II'!$L$4*('CALCULO MORTERO'!I1553^2)+'BLAZE SHIELD II'!$L$5*'CALCULO MORTERO'!I1553+'BLAZE SHIELD II'!$L$6)*LN(J1553))+('BLAZE SHIELD II'!$L$7*('CALCULO MORTERO'!I1553^2)+'BLAZE SHIELD II'!$L$8*'CALCULO MORTERO'!I1553+'BLAZE SHIELD II'!$L$9)),0)+IF(AND(L1553="Blaze Shield II",M1553="Software Idiem",C1553="IN",G1553=3),((('BLAZE SHIELD II'!$H$14*('CALCULO MORTERO'!I1553^2)+'BLAZE SHIELD II'!$H$15*'CALCULO MORTERO'!I1553+'BLAZE SHIELD II'!$H$16)*LN(J1553))+('BLAZE SHIELD II'!$H$17*('CALCULO MORTERO'!I1553^2)+'BLAZE SHIELD II'!$H$18*'CALCULO MORTERO'!I1553+'BLAZE SHIELD II'!$H$19)),0),0)+ROUND(IF(AND(L1553="Cafco 400",M1553="Software Idiem",C1553="IN",G1553=4),((('CAFCO 400 '!$H$7*(J1553^4)+'CAFCO 400 '!$H$8*(J1553^3)+'CAFCO 400 '!$H$9*(J1553^2)+'CAFCO 400 '!$H$10*J1553+'CAFCO 400 '!$H$11)*U1553^2)+(('CAFCO 400 '!$H$12*(J1553^3)+'CAFCO 400 '!$H$13*(J1553^2)+'CAFCO 400 '!$H$14*J1553+'CAFCO 400 '!$H$15)*U1553)+('CAFCO 400 '!$H$16*(J1553^2)+'CAFCO 400 '!$H$17*J1553+'CAFCO 400 '!$H$18)),0)+IF(AND(L1553="Cafco 400",M1553="Software Idiem",C1553="Cj"),(((('CAFCO 400 '!$D$7*LN(J1553)+'CAFCO 400 '!$D$8)*U1553^2)+(('CAFCO 400 '!$D$9*LN(J1553)+'CAFCO 400 '!$D$10)*U1553)+('CAFCO 400 '!$D$11*LN(J1553)+'CAFCO 400 '!$D$12))),0)+IF(AND(L1553="Cafco 400",M1553="Software Idiem",C1553="C"),((('CAFCO 400 '!$L$7*(J1553^3)+'CAFCO 400 '!$L$8*(J1553^2)+'CAFCO 400 '!$L$9*J1553+'CAFCO 400 '!$L$10)*U1553^2)+(('CAFCO 400 '!$L$11*(J1553^3)+'CAFCO 400 '!$L$12*(J1553^2)+'CAFCO 400 '!$L$13*J1553+'CAFCO 400 '!$L$14)*U1553)+('CAFCO 400 '!$L$15*LN(J1553)+'CAFCO 400 '!$L$16)),0)+IF(AND(L1553="Cafco 400",M1553="Software Idiem",C1553="L"),((('CAFCO 400 '!$L$7*(J1553^3)+'CAFCO 400 '!$L$8*(J1553^2)+'CAFCO 400 '!$L$9*J1553+'CAFCO 400 '!$L$10)*U1553^2)+(('CAFCO 400 '!$L$11*(J1553^3)+'CAFCO 400 '!$L$12*(J1553^2)+'CAFCO 400 '!$L$13*J1553+'CAFCO 400 '!$L$14)*U1553)+('CAFCO 400 '!$L$15*LN(J1553)+'CAFCO 400 '!$L$16)),0)+IF(AND(L1553="Cafco 400",M1553="Software Idiem",C1553="IN",G1553=3),((('CAFCO 400 '!$D$23*(J1553^2)+'CAFCO 400 '!$D$24*(J1553)+'CAFCO 400 '!$D$25)*U1553^2)+(('CAFCO 400 '!$D$26*(J1553^2)+'CAFCO 400 '!$D$27*J1553+'CAFCO 400 '!$D$28)*U1553)+('CAFCO 400 '!$D$29*(J1553^2)+'CAFCO 400 '!$D$30*J1553+'CAFCO 400 '!$D$31)),0),0)+IF(AND(L1553="Cafco 300",J1553&gt;=95,J1553&lt;=240,C1553="Cj",I1553=90),VLOOKUP(T1553,'CAFCO 300 IDIEM TABLAS'!$B$4:$D$23,2,FALSE),0)+IF(AND(L1553="Cafco 300",J1553&gt;=95,J1553&lt;=240,C1553="Cj",I1553=120),VLOOKUP(T1553,'CAFCO 300 IDIEM TABLAS'!$B$4:$D$23,3,FALSE),0)+IF(AND(L1553="Cafco 300",J1553&gt;=95,J1553&lt;=400,G1553=3,C1553="IN",I1553=90),VLOOKUP(T1553,'CAFCO 300 IDIEM TABLAS'!$F$4:$H$35,2,FALSE),0)+IF(AND(L1553="Cafco 300",J1553&gt;=95,J1553&lt;=400,G1553=3,C1553="IN",I1553=120),VLOOKUP(T1553,'CAFCO 300 IDIEM TABLAS'!$F$4:$H$35,3,FALSE),0)+IF(AND(L1553="Cafco 300",J1553&gt;=95,J1553&lt;=450,G1553=4,C1553="IN",I1553=90),VLOOKUP(T1553,'CAFCO 300 IDIEM TABLAS'!$J$4:$L$40,2,FALSE),0)+IF(AND(L1553="Cafco 300",J1553&gt;=95,J1553&lt;=450,G1553=4,C1553="IN",I1553=120),VLOOKUP(T1553,'CAFCO 300 IDIEM TABLAS'!$J$4:$L$40,3,FALSE),0)+IF(AND(M1553="Ensayo Idiem",L1553="Cafco 400",C1553="IN",G1553=4,I1553=90),VLOOKUP(T1553,'CAFCO 400 ENSAYO'!$B$7:$D$43,2,FALSE),0)+IF(AND(M1553="Ensayo Idiem",L1553="Cafco 400",C1553="IN",G1553=4,I1553=120),VLOOKUP(T1553,'CAFCO 400 ENSAYO'!$B$7:$D$43,3,FALSE),0)</f>
        <v>0</v>
      </c>
      <c r="O1553" s="96">
        <f t="shared" si="156"/>
        <v>0</v>
      </c>
      <c r="P1553" s="132" t="str">
        <f t="shared" si="151"/>
        <v>N/A</v>
      </c>
      <c r="Q1553" s="132" t="str">
        <f t="shared" si="152"/>
        <v>N/A</v>
      </c>
      <c r="R1553" s="132" t="str">
        <f t="shared" si="153"/>
        <v>NO CERT.</v>
      </c>
      <c r="S1553" s="132" t="e">
        <f t="shared" si="154"/>
        <v>#N/A</v>
      </c>
      <c r="T1553" s="133" t="e">
        <f>+IF(J1553=LOOKUP(J1553,'CAFCO 300 IDIEM TABLAS'!$J$4:$J$40),'CALCULO MORTERO'!J1553,MROUND('CALCULO MORTERO'!J1553,10))</f>
        <v>#N/A</v>
      </c>
      <c r="U1553" s="134">
        <f t="shared" si="155"/>
        <v>0</v>
      </c>
    </row>
    <row r="1554" spans="1:21" x14ac:dyDescent="0.25">
      <c r="A1554" s="118">
        <f>+CUBICACION!D1548</f>
        <v>0</v>
      </c>
      <c r="B1554" s="819">
        <f>+CUBICACION!E1548</f>
        <v>0</v>
      </c>
      <c r="C1554" s="675">
        <f>+CUBICACION!F1548</f>
        <v>0</v>
      </c>
      <c r="D1554" s="118"/>
      <c r="E1554" s="118"/>
      <c r="F1554" s="820"/>
      <c r="G1554" s="675">
        <f>+CUBICACION!J1548</f>
        <v>0</v>
      </c>
      <c r="H1554" s="118"/>
      <c r="I1554" s="821">
        <f>+CUBICACION!L1548</f>
        <v>0</v>
      </c>
      <c r="J1554" s="64">
        <f>+CUBICACION!M1548</f>
        <v>0</v>
      </c>
      <c r="K1554" s="822" t="str">
        <f>+CUBICACION!N1548</f>
        <v/>
      </c>
      <c r="L1554" s="118">
        <f>+CUBICACION!O1548</f>
        <v>0</v>
      </c>
      <c r="M1554" s="823">
        <f>+CUBICACION!P1548</f>
        <v>0</v>
      </c>
      <c r="N1554" s="902">
        <f>ROUND(IF(AND(L1554="Blaze Shield II",M1554="Software Idiem",C1554="IN",G1554=4),((('BLAZE SHIELD II'!$D$4*('CALCULO MORTERO'!I1554^2)+'BLAZE SHIELD II'!$D$5*'CALCULO MORTERO'!I1554+'BLAZE SHIELD II'!$D$6)*LN(J1554))+('BLAZE SHIELD II'!$D$7*('CALCULO MORTERO'!I1554^2)+'BLAZE SHIELD II'!$D$8*'CALCULO MORTERO'!I1554+'BLAZE SHIELD II'!$D$9)),0)+IF(AND(L1554="Blaze Shield II",M1554="Software Idiem",C1554="Cj"),((('BLAZE SHIELD II'!$H$4*('CALCULO MORTERO'!I1554^2)+'BLAZE SHIELD II'!$H$5*'CALCULO MORTERO'!I1554+'BLAZE SHIELD II'!$H$6)*LN(J1554))+('BLAZE SHIELD II'!$H$7*('CALCULO MORTERO'!I1554^2)+'BLAZE SHIELD II'!$H$8*'CALCULO MORTERO'!I1554+'BLAZE SHIELD II'!$H$9)),0)+IF(AND(L1554="Blaze Shield II",M1554="Software Idiem",C1554="C"),((('BLAZE SHIELD II'!$L$4*('CALCULO MORTERO'!I1554^2)+'BLAZE SHIELD II'!$L$5*'CALCULO MORTERO'!I1554+'BLAZE SHIELD II'!$L$6)*LN(J1554))+('BLAZE SHIELD II'!$L$7*('CALCULO MORTERO'!I1554^2)+'BLAZE SHIELD II'!$L$8*'CALCULO MORTERO'!I1554+'BLAZE SHIELD II'!$L$9)),0)+IF(AND(L1554="Blaze Shield II",M1554="Software Idiem",C1554="L"),((('BLAZE SHIELD II'!$L$4*('CALCULO MORTERO'!I1554^2)+'BLAZE SHIELD II'!$L$5*'CALCULO MORTERO'!I1554+'BLAZE SHIELD II'!$L$6)*LN(J1554))+('BLAZE SHIELD II'!$L$7*('CALCULO MORTERO'!I1554^2)+'BLAZE SHIELD II'!$L$8*'CALCULO MORTERO'!I1554+'BLAZE SHIELD II'!$L$9)),0)+IF(AND(L1554="Blaze Shield II",M1554="Software Idiem",C1554="IN",G1554=3),((('BLAZE SHIELD II'!$H$14*('CALCULO MORTERO'!I1554^2)+'BLAZE SHIELD II'!$H$15*'CALCULO MORTERO'!I1554+'BLAZE SHIELD II'!$H$16)*LN(J1554))+('BLAZE SHIELD II'!$H$17*('CALCULO MORTERO'!I1554^2)+'BLAZE SHIELD II'!$H$18*'CALCULO MORTERO'!I1554+'BLAZE SHIELD II'!$H$19)),0),0)+ROUND(IF(AND(L1554="Cafco 400",M1554="Software Idiem",C1554="IN",G1554=4),((('CAFCO 400 '!$H$7*(J1554^4)+'CAFCO 400 '!$H$8*(J1554^3)+'CAFCO 400 '!$H$9*(J1554^2)+'CAFCO 400 '!$H$10*J1554+'CAFCO 400 '!$H$11)*U1554^2)+(('CAFCO 400 '!$H$12*(J1554^3)+'CAFCO 400 '!$H$13*(J1554^2)+'CAFCO 400 '!$H$14*J1554+'CAFCO 400 '!$H$15)*U1554)+('CAFCO 400 '!$H$16*(J1554^2)+'CAFCO 400 '!$H$17*J1554+'CAFCO 400 '!$H$18)),0)+IF(AND(L1554="Cafco 400",M1554="Software Idiem",C1554="Cj"),(((('CAFCO 400 '!$D$7*LN(J1554)+'CAFCO 400 '!$D$8)*U1554^2)+(('CAFCO 400 '!$D$9*LN(J1554)+'CAFCO 400 '!$D$10)*U1554)+('CAFCO 400 '!$D$11*LN(J1554)+'CAFCO 400 '!$D$12))),0)+IF(AND(L1554="Cafco 400",M1554="Software Idiem",C1554="C"),((('CAFCO 400 '!$L$7*(J1554^3)+'CAFCO 400 '!$L$8*(J1554^2)+'CAFCO 400 '!$L$9*J1554+'CAFCO 400 '!$L$10)*U1554^2)+(('CAFCO 400 '!$L$11*(J1554^3)+'CAFCO 400 '!$L$12*(J1554^2)+'CAFCO 400 '!$L$13*J1554+'CAFCO 400 '!$L$14)*U1554)+('CAFCO 400 '!$L$15*LN(J1554)+'CAFCO 400 '!$L$16)),0)+IF(AND(L1554="Cafco 400",M1554="Software Idiem",C1554="L"),((('CAFCO 400 '!$L$7*(J1554^3)+'CAFCO 400 '!$L$8*(J1554^2)+'CAFCO 400 '!$L$9*J1554+'CAFCO 400 '!$L$10)*U1554^2)+(('CAFCO 400 '!$L$11*(J1554^3)+'CAFCO 400 '!$L$12*(J1554^2)+'CAFCO 400 '!$L$13*J1554+'CAFCO 400 '!$L$14)*U1554)+('CAFCO 400 '!$L$15*LN(J1554)+'CAFCO 400 '!$L$16)),0)+IF(AND(L1554="Cafco 400",M1554="Software Idiem",C1554="IN",G1554=3),((('CAFCO 400 '!$D$23*(J1554^2)+'CAFCO 400 '!$D$24*(J1554)+'CAFCO 400 '!$D$25)*U1554^2)+(('CAFCO 400 '!$D$26*(J1554^2)+'CAFCO 400 '!$D$27*J1554+'CAFCO 400 '!$D$28)*U1554)+('CAFCO 400 '!$D$29*(J1554^2)+'CAFCO 400 '!$D$30*J1554+'CAFCO 400 '!$D$31)),0),0)+IF(AND(L1554="Cafco 300",J1554&gt;=95,J1554&lt;=240,C1554="Cj",I1554=90),VLOOKUP(T1554,'CAFCO 300 IDIEM TABLAS'!$B$4:$D$23,2,FALSE),0)+IF(AND(L1554="Cafco 300",J1554&gt;=95,J1554&lt;=240,C1554="Cj",I1554=120),VLOOKUP(T1554,'CAFCO 300 IDIEM TABLAS'!$B$4:$D$23,3,FALSE),0)+IF(AND(L1554="Cafco 300",J1554&gt;=95,J1554&lt;=400,G1554=3,C1554="IN",I1554=90),VLOOKUP(T1554,'CAFCO 300 IDIEM TABLAS'!$F$4:$H$35,2,FALSE),0)+IF(AND(L1554="Cafco 300",J1554&gt;=95,J1554&lt;=400,G1554=3,C1554="IN",I1554=120),VLOOKUP(T1554,'CAFCO 300 IDIEM TABLAS'!$F$4:$H$35,3,FALSE),0)+IF(AND(L1554="Cafco 300",J1554&gt;=95,J1554&lt;=450,G1554=4,C1554="IN",I1554=90),VLOOKUP(T1554,'CAFCO 300 IDIEM TABLAS'!$J$4:$L$40,2,FALSE),0)+IF(AND(L1554="Cafco 300",J1554&gt;=95,J1554&lt;=450,G1554=4,C1554="IN",I1554=120),VLOOKUP(T1554,'CAFCO 300 IDIEM TABLAS'!$J$4:$L$40,3,FALSE),0)+IF(AND(M1554="Ensayo Idiem",L1554="Cafco 400",C1554="IN",G1554=4,I1554=90),VLOOKUP(T1554,'CAFCO 400 ENSAYO'!$B$7:$D$43,2,FALSE),0)+IF(AND(M1554="Ensayo Idiem",L1554="Cafco 400",C1554="IN",G1554=4,I1554=120),VLOOKUP(T1554,'CAFCO 400 ENSAYO'!$B$7:$D$43,3,FALSE),0)</f>
        <v>0</v>
      </c>
      <c r="O1554" s="96">
        <f t="shared" si="156"/>
        <v>0</v>
      </c>
      <c r="P1554" s="95" t="str">
        <f t="shared" si="151"/>
        <v>N/A</v>
      </c>
      <c r="Q1554" s="95" t="str">
        <f t="shared" si="152"/>
        <v>N/A</v>
      </c>
      <c r="R1554" s="95" t="str">
        <f t="shared" si="153"/>
        <v>NO CERT.</v>
      </c>
      <c r="S1554" s="95" t="e">
        <f t="shared" si="154"/>
        <v>#N/A</v>
      </c>
      <c r="T1554" s="119" t="e">
        <f>+IF(J1554=LOOKUP(J1554,'CAFCO 300 IDIEM TABLAS'!$J$4:$J$40),'CALCULO MORTERO'!J1554,MROUND('CALCULO MORTERO'!J1554,10))</f>
        <v>#N/A</v>
      </c>
      <c r="U1554" s="118">
        <f t="shared" si="155"/>
        <v>0</v>
      </c>
    </row>
    <row r="1555" spans="1:21" x14ac:dyDescent="0.25">
      <c r="A1555" s="118">
        <f>+CUBICACION!D1549</f>
        <v>0</v>
      </c>
      <c r="B1555" s="819">
        <f>+CUBICACION!E1549</f>
        <v>0</v>
      </c>
      <c r="C1555" s="675">
        <f>+CUBICACION!F1549</f>
        <v>0</v>
      </c>
      <c r="D1555" s="118"/>
      <c r="E1555" s="118"/>
      <c r="F1555" s="820"/>
      <c r="G1555" s="675">
        <f>+CUBICACION!J1549</f>
        <v>0</v>
      </c>
      <c r="H1555" s="118"/>
      <c r="I1555" s="821">
        <f>+CUBICACION!L1549</f>
        <v>0</v>
      </c>
      <c r="J1555" s="64">
        <f>+CUBICACION!M1549</f>
        <v>0</v>
      </c>
      <c r="K1555" s="822" t="str">
        <f>+CUBICACION!N1549</f>
        <v/>
      </c>
      <c r="L1555" s="118">
        <f>+CUBICACION!O1549</f>
        <v>0</v>
      </c>
      <c r="M1555" s="823">
        <f>+CUBICACION!P1549</f>
        <v>0</v>
      </c>
      <c r="N1555" s="902">
        <f>ROUND(IF(AND(L1555="Blaze Shield II",M1555="Software Idiem",C1555="IN",G1555=4),((('BLAZE SHIELD II'!$D$4*('CALCULO MORTERO'!I1555^2)+'BLAZE SHIELD II'!$D$5*'CALCULO MORTERO'!I1555+'BLAZE SHIELD II'!$D$6)*LN(J1555))+('BLAZE SHIELD II'!$D$7*('CALCULO MORTERO'!I1555^2)+'BLAZE SHIELD II'!$D$8*'CALCULO MORTERO'!I1555+'BLAZE SHIELD II'!$D$9)),0)+IF(AND(L1555="Blaze Shield II",M1555="Software Idiem",C1555="Cj"),((('BLAZE SHIELD II'!$H$4*('CALCULO MORTERO'!I1555^2)+'BLAZE SHIELD II'!$H$5*'CALCULO MORTERO'!I1555+'BLAZE SHIELD II'!$H$6)*LN(J1555))+('BLAZE SHIELD II'!$H$7*('CALCULO MORTERO'!I1555^2)+'BLAZE SHIELD II'!$H$8*'CALCULO MORTERO'!I1555+'BLAZE SHIELD II'!$H$9)),0)+IF(AND(L1555="Blaze Shield II",M1555="Software Idiem",C1555="C"),((('BLAZE SHIELD II'!$L$4*('CALCULO MORTERO'!I1555^2)+'BLAZE SHIELD II'!$L$5*'CALCULO MORTERO'!I1555+'BLAZE SHIELD II'!$L$6)*LN(J1555))+('BLAZE SHIELD II'!$L$7*('CALCULO MORTERO'!I1555^2)+'BLAZE SHIELD II'!$L$8*'CALCULO MORTERO'!I1555+'BLAZE SHIELD II'!$L$9)),0)+IF(AND(L1555="Blaze Shield II",M1555="Software Idiem",C1555="L"),((('BLAZE SHIELD II'!$L$4*('CALCULO MORTERO'!I1555^2)+'BLAZE SHIELD II'!$L$5*'CALCULO MORTERO'!I1555+'BLAZE SHIELD II'!$L$6)*LN(J1555))+('BLAZE SHIELD II'!$L$7*('CALCULO MORTERO'!I1555^2)+'BLAZE SHIELD II'!$L$8*'CALCULO MORTERO'!I1555+'BLAZE SHIELD II'!$L$9)),0)+IF(AND(L1555="Blaze Shield II",M1555="Software Idiem",C1555="IN",G1555=3),((('BLAZE SHIELD II'!$H$14*('CALCULO MORTERO'!I1555^2)+'BLAZE SHIELD II'!$H$15*'CALCULO MORTERO'!I1555+'BLAZE SHIELD II'!$H$16)*LN(J1555))+('BLAZE SHIELD II'!$H$17*('CALCULO MORTERO'!I1555^2)+'BLAZE SHIELD II'!$H$18*'CALCULO MORTERO'!I1555+'BLAZE SHIELD II'!$H$19)),0),0)+ROUND(IF(AND(L1555="Cafco 400",M1555="Software Idiem",C1555="IN",G1555=4),((('CAFCO 400 '!$H$7*(J1555^4)+'CAFCO 400 '!$H$8*(J1555^3)+'CAFCO 400 '!$H$9*(J1555^2)+'CAFCO 400 '!$H$10*J1555+'CAFCO 400 '!$H$11)*U1555^2)+(('CAFCO 400 '!$H$12*(J1555^3)+'CAFCO 400 '!$H$13*(J1555^2)+'CAFCO 400 '!$H$14*J1555+'CAFCO 400 '!$H$15)*U1555)+('CAFCO 400 '!$H$16*(J1555^2)+'CAFCO 400 '!$H$17*J1555+'CAFCO 400 '!$H$18)),0)+IF(AND(L1555="Cafco 400",M1555="Software Idiem",C1555="Cj"),(((('CAFCO 400 '!$D$7*LN(J1555)+'CAFCO 400 '!$D$8)*U1555^2)+(('CAFCO 400 '!$D$9*LN(J1555)+'CAFCO 400 '!$D$10)*U1555)+('CAFCO 400 '!$D$11*LN(J1555)+'CAFCO 400 '!$D$12))),0)+IF(AND(L1555="Cafco 400",M1555="Software Idiem",C1555="C"),((('CAFCO 400 '!$L$7*(J1555^3)+'CAFCO 400 '!$L$8*(J1555^2)+'CAFCO 400 '!$L$9*J1555+'CAFCO 400 '!$L$10)*U1555^2)+(('CAFCO 400 '!$L$11*(J1555^3)+'CAFCO 400 '!$L$12*(J1555^2)+'CAFCO 400 '!$L$13*J1555+'CAFCO 400 '!$L$14)*U1555)+('CAFCO 400 '!$L$15*LN(J1555)+'CAFCO 400 '!$L$16)),0)+IF(AND(L1555="Cafco 400",M1555="Software Idiem",C1555="L"),((('CAFCO 400 '!$L$7*(J1555^3)+'CAFCO 400 '!$L$8*(J1555^2)+'CAFCO 400 '!$L$9*J1555+'CAFCO 400 '!$L$10)*U1555^2)+(('CAFCO 400 '!$L$11*(J1555^3)+'CAFCO 400 '!$L$12*(J1555^2)+'CAFCO 400 '!$L$13*J1555+'CAFCO 400 '!$L$14)*U1555)+('CAFCO 400 '!$L$15*LN(J1555)+'CAFCO 400 '!$L$16)),0)+IF(AND(L1555="Cafco 400",M1555="Software Idiem",C1555="IN",G1555=3),((('CAFCO 400 '!$D$23*(J1555^2)+'CAFCO 400 '!$D$24*(J1555)+'CAFCO 400 '!$D$25)*U1555^2)+(('CAFCO 400 '!$D$26*(J1555^2)+'CAFCO 400 '!$D$27*J1555+'CAFCO 400 '!$D$28)*U1555)+('CAFCO 400 '!$D$29*(J1555^2)+'CAFCO 400 '!$D$30*J1555+'CAFCO 400 '!$D$31)),0),0)+IF(AND(L1555="Cafco 300",J1555&gt;=95,J1555&lt;=240,C1555="Cj",I1555=90),VLOOKUP(T1555,'CAFCO 300 IDIEM TABLAS'!$B$4:$D$23,2,FALSE),0)+IF(AND(L1555="Cafco 300",J1555&gt;=95,J1555&lt;=240,C1555="Cj",I1555=120),VLOOKUP(T1555,'CAFCO 300 IDIEM TABLAS'!$B$4:$D$23,3,FALSE),0)+IF(AND(L1555="Cafco 300",J1555&gt;=95,J1555&lt;=400,G1555=3,C1555="IN",I1555=90),VLOOKUP(T1555,'CAFCO 300 IDIEM TABLAS'!$F$4:$H$35,2,FALSE),0)+IF(AND(L1555="Cafco 300",J1555&gt;=95,J1555&lt;=400,G1555=3,C1555="IN",I1555=120),VLOOKUP(T1555,'CAFCO 300 IDIEM TABLAS'!$F$4:$H$35,3,FALSE),0)+IF(AND(L1555="Cafco 300",J1555&gt;=95,J1555&lt;=450,G1555=4,C1555="IN",I1555=90),VLOOKUP(T1555,'CAFCO 300 IDIEM TABLAS'!$J$4:$L$40,2,FALSE),0)+IF(AND(L1555="Cafco 300",J1555&gt;=95,J1555&lt;=450,G1555=4,C1555="IN",I1555=120),VLOOKUP(T1555,'CAFCO 300 IDIEM TABLAS'!$J$4:$L$40,3,FALSE),0)+IF(AND(M1555="Ensayo Idiem",L1555="Cafco 400",C1555="IN",G1555=4,I1555=90),VLOOKUP(T1555,'CAFCO 400 ENSAYO'!$B$7:$D$43,2,FALSE),0)+IF(AND(M1555="Ensayo Idiem",L1555="Cafco 400",C1555="IN",G1555=4,I1555=120),VLOOKUP(T1555,'CAFCO 400 ENSAYO'!$B$7:$D$43,3,FALSE),0)</f>
        <v>0</v>
      </c>
      <c r="O1555" s="96">
        <f t="shared" si="156"/>
        <v>0</v>
      </c>
      <c r="P1555" s="132" t="str">
        <f t="shared" si="151"/>
        <v>N/A</v>
      </c>
      <c r="Q1555" s="132" t="str">
        <f t="shared" si="152"/>
        <v>N/A</v>
      </c>
      <c r="R1555" s="132" t="str">
        <f t="shared" si="153"/>
        <v>NO CERT.</v>
      </c>
      <c r="S1555" s="132" t="e">
        <f t="shared" si="154"/>
        <v>#N/A</v>
      </c>
      <c r="T1555" s="133" t="e">
        <f>+IF(J1555=LOOKUP(J1555,'CAFCO 300 IDIEM TABLAS'!$J$4:$J$40),'CALCULO MORTERO'!J1555,MROUND('CALCULO MORTERO'!J1555,10))</f>
        <v>#N/A</v>
      </c>
      <c r="U1555" s="134">
        <f t="shared" si="155"/>
        <v>0</v>
      </c>
    </row>
    <row r="1556" spans="1:21" x14ac:dyDescent="0.25">
      <c r="A1556" s="118">
        <f>+CUBICACION!D1550</f>
        <v>0</v>
      </c>
      <c r="B1556" s="819">
        <f>+CUBICACION!E1550</f>
        <v>0</v>
      </c>
      <c r="C1556" s="675">
        <f>+CUBICACION!F1550</f>
        <v>0</v>
      </c>
      <c r="D1556" s="118"/>
      <c r="E1556" s="118"/>
      <c r="F1556" s="820"/>
      <c r="G1556" s="675">
        <f>+CUBICACION!J1550</f>
        <v>0</v>
      </c>
      <c r="H1556" s="118"/>
      <c r="I1556" s="821">
        <f>+CUBICACION!L1550</f>
        <v>0</v>
      </c>
      <c r="J1556" s="64">
        <f>+CUBICACION!M1550</f>
        <v>0</v>
      </c>
      <c r="K1556" s="822" t="str">
        <f>+CUBICACION!N1550</f>
        <v/>
      </c>
      <c r="L1556" s="118">
        <f>+CUBICACION!O1550</f>
        <v>0</v>
      </c>
      <c r="M1556" s="823">
        <f>+CUBICACION!P1550</f>
        <v>0</v>
      </c>
      <c r="N1556" s="902">
        <f>ROUND(IF(AND(L1556="Blaze Shield II",M1556="Software Idiem",C1556="IN",G1556=4),((('BLAZE SHIELD II'!$D$4*('CALCULO MORTERO'!I1556^2)+'BLAZE SHIELD II'!$D$5*'CALCULO MORTERO'!I1556+'BLAZE SHIELD II'!$D$6)*LN(J1556))+('BLAZE SHIELD II'!$D$7*('CALCULO MORTERO'!I1556^2)+'BLAZE SHIELD II'!$D$8*'CALCULO MORTERO'!I1556+'BLAZE SHIELD II'!$D$9)),0)+IF(AND(L1556="Blaze Shield II",M1556="Software Idiem",C1556="Cj"),((('BLAZE SHIELD II'!$H$4*('CALCULO MORTERO'!I1556^2)+'BLAZE SHIELD II'!$H$5*'CALCULO MORTERO'!I1556+'BLAZE SHIELD II'!$H$6)*LN(J1556))+('BLAZE SHIELD II'!$H$7*('CALCULO MORTERO'!I1556^2)+'BLAZE SHIELD II'!$H$8*'CALCULO MORTERO'!I1556+'BLAZE SHIELD II'!$H$9)),0)+IF(AND(L1556="Blaze Shield II",M1556="Software Idiem",C1556="C"),((('BLAZE SHIELD II'!$L$4*('CALCULO MORTERO'!I1556^2)+'BLAZE SHIELD II'!$L$5*'CALCULO MORTERO'!I1556+'BLAZE SHIELD II'!$L$6)*LN(J1556))+('BLAZE SHIELD II'!$L$7*('CALCULO MORTERO'!I1556^2)+'BLAZE SHIELD II'!$L$8*'CALCULO MORTERO'!I1556+'BLAZE SHIELD II'!$L$9)),0)+IF(AND(L1556="Blaze Shield II",M1556="Software Idiem",C1556="L"),((('BLAZE SHIELD II'!$L$4*('CALCULO MORTERO'!I1556^2)+'BLAZE SHIELD II'!$L$5*'CALCULO MORTERO'!I1556+'BLAZE SHIELD II'!$L$6)*LN(J1556))+('BLAZE SHIELD II'!$L$7*('CALCULO MORTERO'!I1556^2)+'BLAZE SHIELD II'!$L$8*'CALCULO MORTERO'!I1556+'BLAZE SHIELD II'!$L$9)),0)+IF(AND(L1556="Blaze Shield II",M1556="Software Idiem",C1556="IN",G1556=3),((('BLAZE SHIELD II'!$H$14*('CALCULO MORTERO'!I1556^2)+'BLAZE SHIELD II'!$H$15*'CALCULO MORTERO'!I1556+'BLAZE SHIELD II'!$H$16)*LN(J1556))+('BLAZE SHIELD II'!$H$17*('CALCULO MORTERO'!I1556^2)+'BLAZE SHIELD II'!$H$18*'CALCULO MORTERO'!I1556+'BLAZE SHIELD II'!$H$19)),0),0)+ROUND(IF(AND(L1556="Cafco 400",M1556="Software Idiem",C1556="IN",G1556=4),((('CAFCO 400 '!$H$7*(J1556^4)+'CAFCO 400 '!$H$8*(J1556^3)+'CAFCO 400 '!$H$9*(J1556^2)+'CAFCO 400 '!$H$10*J1556+'CAFCO 400 '!$H$11)*U1556^2)+(('CAFCO 400 '!$H$12*(J1556^3)+'CAFCO 400 '!$H$13*(J1556^2)+'CAFCO 400 '!$H$14*J1556+'CAFCO 400 '!$H$15)*U1556)+('CAFCO 400 '!$H$16*(J1556^2)+'CAFCO 400 '!$H$17*J1556+'CAFCO 400 '!$H$18)),0)+IF(AND(L1556="Cafco 400",M1556="Software Idiem",C1556="Cj"),(((('CAFCO 400 '!$D$7*LN(J1556)+'CAFCO 400 '!$D$8)*U1556^2)+(('CAFCO 400 '!$D$9*LN(J1556)+'CAFCO 400 '!$D$10)*U1556)+('CAFCO 400 '!$D$11*LN(J1556)+'CAFCO 400 '!$D$12))),0)+IF(AND(L1556="Cafco 400",M1556="Software Idiem",C1556="C"),((('CAFCO 400 '!$L$7*(J1556^3)+'CAFCO 400 '!$L$8*(J1556^2)+'CAFCO 400 '!$L$9*J1556+'CAFCO 400 '!$L$10)*U1556^2)+(('CAFCO 400 '!$L$11*(J1556^3)+'CAFCO 400 '!$L$12*(J1556^2)+'CAFCO 400 '!$L$13*J1556+'CAFCO 400 '!$L$14)*U1556)+('CAFCO 400 '!$L$15*LN(J1556)+'CAFCO 400 '!$L$16)),0)+IF(AND(L1556="Cafco 400",M1556="Software Idiem",C1556="L"),((('CAFCO 400 '!$L$7*(J1556^3)+'CAFCO 400 '!$L$8*(J1556^2)+'CAFCO 400 '!$L$9*J1556+'CAFCO 400 '!$L$10)*U1556^2)+(('CAFCO 400 '!$L$11*(J1556^3)+'CAFCO 400 '!$L$12*(J1556^2)+'CAFCO 400 '!$L$13*J1556+'CAFCO 400 '!$L$14)*U1556)+('CAFCO 400 '!$L$15*LN(J1556)+'CAFCO 400 '!$L$16)),0)+IF(AND(L1556="Cafco 400",M1556="Software Idiem",C1556="IN",G1556=3),((('CAFCO 400 '!$D$23*(J1556^2)+'CAFCO 400 '!$D$24*(J1556)+'CAFCO 400 '!$D$25)*U1556^2)+(('CAFCO 400 '!$D$26*(J1556^2)+'CAFCO 400 '!$D$27*J1556+'CAFCO 400 '!$D$28)*U1556)+('CAFCO 400 '!$D$29*(J1556^2)+'CAFCO 400 '!$D$30*J1556+'CAFCO 400 '!$D$31)),0),0)+IF(AND(L1556="Cafco 300",J1556&gt;=95,J1556&lt;=240,C1556="Cj",I1556=90),VLOOKUP(T1556,'CAFCO 300 IDIEM TABLAS'!$B$4:$D$23,2,FALSE),0)+IF(AND(L1556="Cafco 300",J1556&gt;=95,J1556&lt;=240,C1556="Cj",I1556=120),VLOOKUP(T1556,'CAFCO 300 IDIEM TABLAS'!$B$4:$D$23,3,FALSE),0)+IF(AND(L1556="Cafco 300",J1556&gt;=95,J1556&lt;=400,G1556=3,C1556="IN",I1556=90),VLOOKUP(T1556,'CAFCO 300 IDIEM TABLAS'!$F$4:$H$35,2,FALSE),0)+IF(AND(L1556="Cafco 300",J1556&gt;=95,J1556&lt;=400,G1556=3,C1556="IN",I1556=120),VLOOKUP(T1556,'CAFCO 300 IDIEM TABLAS'!$F$4:$H$35,3,FALSE),0)+IF(AND(L1556="Cafco 300",J1556&gt;=95,J1556&lt;=450,G1556=4,C1556="IN",I1556=90),VLOOKUP(T1556,'CAFCO 300 IDIEM TABLAS'!$J$4:$L$40,2,FALSE),0)+IF(AND(L1556="Cafco 300",J1556&gt;=95,J1556&lt;=450,G1556=4,C1556="IN",I1556=120),VLOOKUP(T1556,'CAFCO 300 IDIEM TABLAS'!$J$4:$L$40,3,FALSE),0)+IF(AND(M1556="Ensayo Idiem",L1556="Cafco 400",C1556="IN",G1556=4,I1556=90),VLOOKUP(T1556,'CAFCO 400 ENSAYO'!$B$7:$D$43,2,FALSE),0)+IF(AND(M1556="Ensayo Idiem",L1556="Cafco 400",C1556="IN",G1556=4,I1556=120),VLOOKUP(T1556,'CAFCO 400 ENSAYO'!$B$7:$D$43,3,FALSE),0)</f>
        <v>0</v>
      </c>
      <c r="O1556" s="96">
        <f t="shared" si="156"/>
        <v>0</v>
      </c>
      <c r="P1556" s="95" t="str">
        <f t="shared" si="151"/>
        <v>N/A</v>
      </c>
      <c r="Q1556" s="95" t="str">
        <f t="shared" si="152"/>
        <v>N/A</v>
      </c>
      <c r="R1556" s="95" t="str">
        <f t="shared" si="153"/>
        <v>NO CERT.</v>
      </c>
      <c r="S1556" s="95" t="e">
        <f t="shared" si="154"/>
        <v>#N/A</v>
      </c>
      <c r="T1556" s="119" t="e">
        <f>+IF(J1556=LOOKUP(J1556,'CAFCO 300 IDIEM TABLAS'!$J$4:$J$40),'CALCULO MORTERO'!J1556,MROUND('CALCULO MORTERO'!J1556,10))</f>
        <v>#N/A</v>
      </c>
      <c r="U1556" s="118">
        <f t="shared" si="155"/>
        <v>0</v>
      </c>
    </row>
    <row r="1557" spans="1:21" x14ac:dyDescent="0.25">
      <c r="A1557" s="118">
        <f>+CUBICACION!D1551</f>
        <v>0</v>
      </c>
      <c r="B1557" s="819">
        <f>+CUBICACION!E1551</f>
        <v>0</v>
      </c>
      <c r="C1557" s="675">
        <f>+CUBICACION!F1551</f>
        <v>0</v>
      </c>
      <c r="D1557" s="118"/>
      <c r="E1557" s="118"/>
      <c r="F1557" s="820"/>
      <c r="G1557" s="675">
        <f>+CUBICACION!J1551</f>
        <v>0</v>
      </c>
      <c r="H1557" s="118"/>
      <c r="I1557" s="821">
        <f>+CUBICACION!L1551</f>
        <v>0</v>
      </c>
      <c r="J1557" s="64">
        <f>+CUBICACION!M1551</f>
        <v>0</v>
      </c>
      <c r="K1557" s="822" t="str">
        <f>+CUBICACION!N1551</f>
        <v/>
      </c>
      <c r="L1557" s="118">
        <f>+CUBICACION!O1551</f>
        <v>0</v>
      </c>
      <c r="M1557" s="823">
        <f>+CUBICACION!P1551</f>
        <v>0</v>
      </c>
      <c r="N1557" s="902">
        <f>ROUND(IF(AND(L1557="Blaze Shield II",M1557="Software Idiem",C1557="IN",G1557=4),((('BLAZE SHIELD II'!$D$4*('CALCULO MORTERO'!I1557^2)+'BLAZE SHIELD II'!$D$5*'CALCULO MORTERO'!I1557+'BLAZE SHIELD II'!$D$6)*LN(J1557))+('BLAZE SHIELD II'!$D$7*('CALCULO MORTERO'!I1557^2)+'BLAZE SHIELD II'!$D$8*'CALCULO MORTERO'!I1557+'BLAZE SHIELD II'!$D$9)),0)+IF(AND(L1557="Blaze Shield II",M1557="Software Idiem",C1557="Cj"),((('BLAZE SHIELD II'!$H$4*('CALCULO MORTERO'!I1557^2)+'BLAZE SHIELD II'!$H$5*'CALCULO MORTERO'!I1557+'BLAZE SHIELD II'!$H$6)*LN(J1557))+('BLAZE SHIELD II'!$H$7*('CALCULO MORTERO'!I1557^2)+'BLAZE SHIELD II'!$H$8*'CALCULO MORTERO'!I1557+'BLAZE SHIELD II'!$H$9)),0)+IF(AND(L1557="Blaze Shield II",M1557="Software Idiem",C1557="C"),((('BLAZE SHIELD II'!$L$4*('CALCULO MORTERO'!I1557^2)+'BLAZE SHIELD II'!$L$5*'CALCULO MORTERO'!I1557+'BLAZE SHIELD II'!$L$6)*LN(J1557))+('BLAZE SHIELD II'!$L$7*('CALCULO MORTERO'!I1557^2)+'BLAZE SHIELD II'!$L$8*'CALCULO MORTERO'!I1557+'BLAZE SHIELD II'!$L$9)),0)+IF(AND(L1557="Blaze Shield II",M1557="Software Idiem",C1557="L"),((('BLAZE SHIELD II'!$L$4*('CALCULO MORTERO'!I1557^2)+'BLAZE SHIELD II'!$L$5*'CALCULO MORTERO'!I1557+'BLAZE SHIELD II'!$L$6)*LN(J1557))+('BLAZE SHIELD II'!$L$7*('CALCULO MORTERO'!I1557^2)+'BLAZE SHIELD II'!$L$8*'CALCULO MORTERO'!I1557+'BLAZE SHIELD II'!$L$9)),0)+IF(AND(L1557="Blaze Shield II",M1557="Software Idiem",C1557="IN",G1557=3),((('BLAZE SHIELD II'!$H$14*('CALCULO MORTERO'!I1557^2)+'BLAZE SHIELD II'!$H$15*'CALCULO MORTERO'!I1557+'BLAZE SHIELD II'!$H$16)*LN(J1557))+('BLAZE SHIELD II'!$H$17*('CALCULO MORTERO'!I1557^2)+'BLAZE SHIELD II'!$H$18*'CALCULO MORTERO'!I1557+'BLAZE SHIELD II'!$H$19)),0),0)+ROUND(IF(AND(L1557="Cafco 400",M1557="Software Idiem",C1557="IN",G1557=4),((('CAFCO 400 '!$H$7*(J1557^4)+'CAFCO 400 '!$H$8*(J1557^3)+'CAFCO 400 '!$H$9*(J1557^2)+'CAFCO 400 '!$H$10*J1557+'CAFCO 400 '!$H$11)*U1557^2)+(('CAFCO 400 '!$H$12*(J1557^3)+'CAFCO 400 '!$H$13*(J1557^2)+'CAFCO 400 '!$H$14*J1557+'CAFCO 400 '!$H$15)*U1557)+('CAFCO 400 '!$H$16*(J1557^2)+'CAFCO 400 '!$H$17*J1557+'CAFCO 400 '!$H$18)),0)+IF(AND(L1557="Cafco 400",M1557="Software Idiem",C1557="Cj"),(((('CAFCO 400 '!$D$7*LN(J1557)+'CAFCO 400 '!$D$8)*U1557^2)+(('CAFCO 400 '!$D$9*LN(J1557)+'CAFCO 400 '!$D$10)*U1557)+('CAFCO 400 '!$D$11*LN(J1557)+'CAFCO 400 '!$D$12))),0)+IF(AND(L1557="Cafco 400",M1557="Software Idiem",C1557="C"),((('CAFCO 400 '!$L$7*(J1557^3)+'CAFCO 400 '!$L$8*(J1557^2)+'CAFCO 400 '!$L$9*J1557+'CAFCO 400 '!$L$10)*U1557^2)+(('CAFCO 400 '!$L$11*(J1557^3)+'CAFCO 400 '!$L$12*(J1557^2)+'CAFCO 400 '!$L$13*J1557+'CAFCO 400 '!$L$14)*U1557)+('CAFCO 400 '!$L$15*LN(J1557)+'CAFCO 400 '!$L$16)),0)+IF(AND(L1557="Cafco 400",M1557="Software Idiem",C1557="L"),((('CAFCO 400 '!$L$7*(J1557^3)+'CAFCO 400 '!$L$8*(J1557^2)+'CAFCO 400 '!$L$9*J1557+'CAFCO 400 '!$L$10)*U1557^2)+(('CAFCO 400 '!$L$11*(J1557^3)+'CAFCO 400 '!$L$12*(J1557^2)+'CAFCO 400 '!$L$13*J1557+'CAFCO 400 '!$L$14)*U1557)+('CAFCO 400 '!$L$15*LN(J1557)+'CAFCO 400 '!$L$16)),0)+IF(AND(L1557="Cafco 400",M1557="Software Idiem",C1557="IN",G1557=3),((('CAFCO 400 '!$D$23*(J1557^2)+'CAFCO 400 '!$D$24*(J1557)+'CAFCO 400 '!$D$25)*U1557^2)+(('CAFCO 400 '!$D$26*(J1557^2)+'CAFCO 400 '!$D$27*J1557+'CAFCO 400 '!$D$28)*U1557)+('CAFCO 400 '!$D$29*(J1557^2)+'CAFCO 400 '!$D$30*J1557+'CAFCO 400 '!$D$31)),0),0)+IF(AND(L1557="Cafco 300",J1557&gt;=95,J1557&lt;=240,C1557="Cj",I1557=90),VLOOKUP(T1557,'CAFCO 300 IDIEM TABLAS'!$B$4:$D$23,2,FALSE),0)+IF(AND(L1557="Cafco 300",J1557&gt;=95,J1557&lt;=240,C1557="Cj",I1557=120),VLOOKUP(T1557,'CAFCO 300 IDIEM TABLAS'!$B$4:$D$23,3,FALSE),0)+IF(AND(L1557="Cafco 300",J1557&gt;=95,J1557&lt;=400,G1557=3,C1557="IN",I1557=90),VLOOKUP(T1557,'CAFCO 300 IDIEM TABLAS'!$F$4:$H$35,2,FALSE),0)+IF(AND(L1557="Cafco 300",J1557&gt;=95,J1557&lt;=400,G1557=3,C1557="IN",I1557=120),VLOOKUP(T1557,'CAFCO 300 IDIEM TABLAS'!$F$4:$H$35,3,FALSE),0)+IF(AND(L1557="Cafco 300",J1557&gt;=95,J1557&lt;=450,G1557=4,C1557="IN",I1557=90),VLOOKUP(T1557,'CAFCO 300 IDIEM TABLAS'!$J$4:$L$40,2,FALSE),0)+IF(AND(L1557="Cafco 300",J1557&gt;=95,J1557&lt;=450,G1557=4,C1557="IN",I1557=120),VLOOKUP(T1557,'CAFCO 300 IDIEM TABLAS'!$J$4:$L$40,3,FALSE),0)+IF(AND(M1557="Ensayo Idiem",L1557="Cafco 400",C1557="IN",G1557=4,I1557=90),VLOOKUP(T1557,'CAFCO 400 ENSAYO'!$B$7:$D$43,2,FALSE),0)+IF(AND(M1557="Ensayo Idiem",L1557="Cafco 400",C1557="IN",G1557=4,I1557=120),VLOOKUP(T1557,'CAFCO 400 ENSAYO'!$B$7:$D$43,3,FALSE),0)</f>
        <v>0</v>
      </c>
      <c r="O1557" s="96">
        <f t="shared" si="156"/>
        <v>0</v>
      </c>
      <c r="P1557" s="132" t="str">
        <f t="shared" si="151"/>
        <v>N/A</v>
      </c>
      <c r="Q1557" s="132" t="str">
        <f t="shared" si="152"/>
        <v>N/A</v>
      </c>
      <c r="R1557" s="132" t="str">
        <f t="shared" si="153"/>
        <v>NO CERT.</v>
      </c>
      <c r="S1557" s="132" t="e">
        <f t="shared" si="154"/>
        <v>#N/A</v>
      </c>
      <c r="T1557" s="133" t="e">
        <f>+IF(J1557=LOOKUP(J1557,'CAFCO 300 IDIEM TABLAS'!$J$4:$J$40),'CALCULO MORTERO'!J1557,MROUND('CALCULO MORTERO'!J1557,10))</f>
        <v>#N/A</v>
      </c>
      <c r="U1557" s="134">
        <f t="shared" si="155"/>
        <v>0</v>
      </c>
    </row>
    <row r="1558" spans="1:21" x14ac:dyDescent="0.25">
      <c r="A1558" s="118">
        <f>+CUBICACION!D1552</f>
        <v>0</v>
      </c>
      <c r="B1558" s="819">
        <f>+CUBICACION!E1552</f>
        <v>0</v>
      </c>
      <c r="C1558" s="675">
        <f>+CUBICACION!F1552</f>
        <v>0</v>
      </c>
      <c r="D1558" s="118"/>
      <c r="E1558" s="118"/>
      <c r="F1558" s="820"/>
      <c r="G1558" s="675">
        <f>+CUBICACION!J1552</f>
        <v>0</v>
      </c>
      <c r="H1558" s="118"/>
      <c r="I1558" s="821">
        <f>+CUBICACION!L1552</f>
        <v>0</v>
      </c>
      <c r="J1558" s="64">
        <f>+CUBICACION!M1552</f>
        <v>0</v>
      </c>
      <c r="K1558" s="822" t="str">
        <f>+CUBICACION!N1552</f>
        <v/>
      </c>
      <c r="L1558" s="118">
        <f>+CUBICACION!O1552</f>
        <v>0</v>
      </c>
      <c r="M1558" s="823">
        <f>+CUBICACION!P1552</f>
        <v>0</v>
      </c>
      <c r="N1558" s="902">
        <f>ROUND(IF(AND(L1558="Blaze Shield II",M1558="Software Idiem",C1558="IN",G1558=4),((('BLAZE SHIELD II'!$D$4*('CALCULO MORTERO'!I1558^2)+'BLAZE SHIELD II'!$D$5*'CALCULO MORTERO'!I1558+'BLAZE SHIELD II'!$D$6)*LN(J1558))+('BLAZE SHIELD II'!$D$7*('CALCULO MORTERO'!I1558^2)+'BLAZE SHIELD II'!$D$8*'CALCULO MORTERO'!I1558+'BLAZE SHIELD II'!$D$9)),0)+IF(AND(L1558="Blaze Shield II",M1558="Software Idiem",C1558="Cj"),((('BLAZE SHIELD II'!$H$4*('CALCULO MORTERO'!I1558^2)+'BLAZE SHIELD II'!$H$5*'CALCULO MORTERO'!I1558+'BLAZE SHIELD II'!$H$6)*LN(J1558))+('BLAZE SHIELD II'!$H$7*('CALCULO MORTERO'!I1558^2)+'BLAZE SHIELD II'!$H$8*'CALCULO MORTERO'!I1558+'BLAZE SHIELD II'!$H$9)),0)+IF(AND(L1558="Blaze Shield II",M1558="Software Idiem",C1558="C"),((('BLAZE SHIELD II'!$L$4*('CALCULO MORTERO'!I1558^2)+'BLAZE SHIELD II'!$L$5*'CALCULO MORTERO'!I1558+'BLAZE SHIELD II'!$L$6)*LN(J1558))+('BLAZE SHIELD II'!$L$7*('CALCULO MORTERO'!I1558^2)+'BLAZE SHIELD II'!$L$8*'CALCULO MORTERO'!I1558+'BLAZE SHIELD II'!$L$9)),0)+IF(AND(L1558="Blaze Shield II",M1558="Software Idiem",C1558="L"),((('BLAZE SHIELD II'!$L$4*('CALCULO MORTERO'!I1558^2)+'BLAZE SHIELD II'!$L$5*'CALCULO MORTERO'!I1558+'BLAZE SHIELD II'!$L$6)*LN(J1558))+('BLAZE SHIELD II'!$L$7*('CALCULO MORTERO'!I1558^2)+'BLAZE SHIELD II'!$L$8*'CALCULO MORTERO'!I1558+'BLAZE SHIELD II'!$L$9)),0)+IF(AND(L1558="Blaze Shield II",M1558="Software Idiem",C1558="IN",G1558=3),((('BLAZE SHIELD II'!$H$14*('CALCULO MORTERO'!I1558^2)+'BLAZE SHIELD II'!$H$15*'CALCULO MORTERO'!I1558+'BLAZE SHIELD II'!$H$16)*LN(J1558))+('BLAZE SHIELD II'!$H$17*('CALCULO MORTERO'!I1558^2)+'BLAZE SHIELD II'!$H$18*'CALCULO MORTERO'!I1558+'BLAZE SHIELD II'!$H$19)),0),0)+ROUND(IF(AND(L1558="Cafco 400",M1558="Software Idiem",C1558="IN",G1558=4),((('CAFCO 400 '!$H$7*(J1558^4)+'CAFCO 400 '!$H$8*(J1558^3)+'CAFCO 400 '!$H$9*(J1558^2)+'CAFCO 400 '!$H$10*J1558+'CAFCO 400 '!$H$11)*U1558^2)+(('CAFCO 400 '!$H$12*(J1558^3)+'CAFCO 400 '!$H$13*(J1558^2)+'CAFCO 400 '!$H$14*J1558+'CAFCO 400 '!$H$15)*U1558)+('CAFCO 400 '!$H$16*(J1558^2)+'CAFCO 400 '!$H$17*J1558+'CAFCO 400 '!$H$18)),0)+IF(AND(L1558="Cafco 400",M1558="Software Idiem",C1558="Cj"),(((('CAFCO 400 '!$D$7*LN(J1558)+'CAFCO 400 '!$D$8)*U1558^2)+(('CAFCO 400 '!$D$9*LN(J1558)+'CAFCO 400 '!$D$10)*U1558)+('CAFCO 400 '!$D$11*LN(J1558)+'CAFCO 400 '!$D$12))),0)+IF(AND(L1558="Cafco 400",M1558="Software Idiem",C1558="C"),((('CAFCO 400 '!$L$7*(J1558^3)+'CAFCO 400 '!$L$8*(J1558^2)+'CAFCO 400 '!$L$9*J1558+'CAFCO 400 '!$L$10)*U1558^2)+(('CAFCO 400 '!$L$11*(J1558^3)+'CAFCO 400 '!$L$12*(J1558^2)+'CAFCO 400 '!$L$13*J1558+'CAFCO 400 '!$L$14)*U1558)+('CAFCO 400 '!$L$15*LN(J1558)+'CAFCO 400 '!$L$16)),0)+IF(AND(L1558="Cafco 400",M1558="Software Idiem",C1558="L"),((('CAFCO 400 '!$L$7*(J1558^3)+'CAFCO 400 '!$L$8*(J1558^2)+'CAFCO 400 '!$L$9*J1558+'CAFCO 400 '!$L$10)*U1558^2)+(('CAFCO 400 '!$L$11*(J1558^3)+'CAFCO 400 '!$L$12*(J1558^2)+'CAFCO 400 '!$L$13*J1558+'CAFCO 400 '!$L$14)*U1558)+('CAFCO 400 '!$L$15*LN(J1558)+'CAFCO 400 '!$L$16)),0)+IF(AND(L1558="Cafco 400",M1558="Software Idiem",C1558="IN",G1558=3),((('CAFCO 400 '!$D$23*(J1558^2)+'CAFCO 400 '!$D$24*(J1558)+'CAFCO 400 '!$D$25)*U1558^2)+(('CAFCO 400 '!$D$26*(J1558^2)+'CAFCO 400 '!$D$27*J1558+'CAFCO 400 '!$D$28)*U1558)+('CAFCO 400 '!$D$29*(J1558^2)+'CAFCO 400 '!$D$30*J1558+'CAFCO 400 '!$D$31)),0),0)+IF(AND(L1558="Cafco 300",J1558&gt;=95,J1558&lt;=240,C1558="Cj",I1558=90),VLOOKUP(T1558,'CAFCO 300 IDIEM TABLAS'!$B$4:$D$23,2,FALSE),0)+IF(AND(L1558="Cafco 300",J1558&gt;=95,J1558&lt;=240,C1558="Cj",I1558=120),VLOOKUP(T1558,'CAFCO 300 IDIEM TABLAS'!$B$4:$D$23,3,FALSE),0)+IF(AND(L1558="Cafco 300",J1558&gt;=95,J1558&lt;=400,G1558=3,C1558="IN",I1558=90),VLOOKUP(T1558,'CAFCO 300 IDIEM TABLAS'!$F$4:$H$35,2,FALSE),0)+IF(AND(L1558="Cafco 300",J1558&gt;=95,J1558&lt;=400,G1558=3,C1558="IN",I1558=120),VLOOKUP(T1558,'CAFCO 300 IDIEM TABLAS'!$F$4:$H$35,3,FALSE),0)+IF(AND(L1558="Cafco 300",J1558&gt;=95,J1558&lt;=450,G1558=4,C1558="IN",I1558=90),VLOOKUP(T1558,'CAFCO 300 IDIEM TABLAS'!$J$4:$L$40,2,FALSE),0)+IF(AND(L1558="Cafco 300",J1558&gt;=95,J1558&lt;=450,G1558=4,C1558="IN",I1558=120),VLOOKUP(T1558,'CAFCO 300 IDIEM TABLAS'!$J$4:$L$40,3,FALSE),0)+IF(AND(M1558="Ensayo Idiem",L1558="Cafco 400",C1558="IN",G1558=4,I1558=90),VLOOKUP(T1558,'CAFCO 400 ENSAYO'!$B$7:$D$43,2,FALSE),0)+IF(AND(M1558="Ensayo Idiem",L1558="Cafco 400",C1558="IN",G1558=4,I1558=120),VLOOKUP(T1558,'CAFCO 400 ENSAYO'!$B$7:$D$43,3,FALSE),0)</f>
        <v>0</v>
      </c>
      <c r="O1558" s="96">
        <f t="shared" si="156"/>
        <v>0</v>
      </c>
      <c r="P1558" s="95" t="str">
        <f t="shared" si="151"/>
        <v>N/A</v>
      </c>
      <c r="Q1558" s="95" t="str">
        <f t="shared" si="152"/>
        <v>N/A</v>
      </c>
      <c r="R1558" s="95" t="str">
        <f t="shared" si="153"/>
        <v>NO CERT.</v>
      </c>
      <c r="S1558" s="95" t="e">
        <f t="shared" si="154"/>
        <v>#N/A</v>
      </c>
      <c r="T1558" s="119" t="e">
        <f>+IF(J1558=LOOKUP(J1558,'CAFCO 300 IDIEM TABLAS'!$J$4:$J$40),'CALCULO MORTERO'!J1558,MROUND('CALCULO MORTERO'!J1558,10))</f>
        <v>#N/A</v>
      </c>
      <c r="U1558" s="118">
        <f t="shared" si="155"/>
        <v>0</v>
      </c>
    </row>
    <row r="1559" spans="1:21" x14ac:dyDescent="0.25">
      <c r="A1559" s="118">
        <f>+CUBICACION!D1553</f>
        <v>0</v>
      </c>
      <c r="B1559" s="819">
        <f>+CUBICACION!E1553</f>
        <v>0</v>
      </c>
      <c r="C1559" s="675">
        <f>+CUBICACION!F1553</f>
        <v>0</v>
      </c>
      <c r="D1559" s="118"/>
      <c r="E1559" s="118"/>
      <c r="F1559" s="820"/>
      <c r="G1559" s="675">
        <f>+CUBICACION!J1553</f>
        <v>0</v>
      </c>
      <c r="H1559" s="118"/>
      <c r="I1559" s="821">
        <f>+CUBICACION!L1553</f>
        <v>0</v>
      </c>
      <c r="J1559" s="64">
        <f>+CUBICACION!M1553</f>
        <v>0</v>
      </c>
      <c r="K1559" s="822" t="str">
        <f>+CUBICACION!N1553</f>
        <v/>
      </c>
      <c r="L1559" s="118">
        <f>+CUBICACION!O1553</f>
        <v>0</v>
      </c>
      <c r="M1559" s="823">
        <f>+CUBICACION!P1553</f>
        <v>0</v>
      </c>
      <c r="N1559" s="902">
        <f>ROUND(IF(AND(L1559="Blaze Shield II",M1559="Software Idiem",C1559="IN",G1559=4),((('BLAZE SHIELD II'!$D$4*('CALCULO MORTERO'!I1559^2)+'BLAZE SHIELD II'!$D$5*'CALCULO MORTERO'!I1559+'BLAZE SHIELD II'!$D$6)*LN(J1559))+('BLAZE SHIELD II'!$D$7*('CALCULO MORTERO'!I1559^2)+'BLAZE SHIELD II'!$D$8*'CALCULO MORTERO'!I1559+'BLAZE SHIELD II'!$D$9)),0)+IF(AND(L1559="Blaze Shield II",M1559="Software Idiem",C1559="Cj"),((('BLAZE SHIELD II'!$H$4*('CALCULO MORTERO'!I1559^2)+'BLAZE SHIELD II'!$H$5*'CALCULO MORTERO'!I1559+'BLAZE SHIELD II'!$H$6)*LN(J1559))+('BLAZE SHIELD II'!$H$7*('CALCULO MORTERO'!I1559^2)+'BLAZE SHIELD II'!$H$8*'CALCULO MORTERO'!I1559+'BLAZE SHIELD II'!$H$9)),0)+IF(AND(L1559="Blaze Shield II",M1559="Software Idiem",C1559="C"),((('BLAZE SHIELD II'!$L$4*('CALCULO MORTERO'!I1559^2)+'BLAZE SHIELD II'!$L$5*'CALCULO MORTERO'!I1559+'BLAZE SHIELD II'!$L$6)*LN(J1559))+('BLAZE SHIELD II'!$L$7*('CALCULO MORTERO'!I1559^2)+'BLAZE SHIELD II'!$L$8*'CALCULO MORTERO'!I1559+'BLAZE SHIELD II'!$L$9)),0)+IF(AND(L1559="Blaze Shield II",M1559="Software Idiem",C1559="L"),((('BLAZE SHIELD II'!$L$4*('CALCULO MORTERO'!I1559^2)+'BLAZE SHIELD II'!$L$5*'CALCULO MORTERO'!I1559+'BLAZE SHIELD II'!$L$6)*LN(J1559))+('BLAZE SHIELD II'!$L$7*('CALCULO MORTERO'!I1559^2)+'BLAZE SHIELD II'!$L$8*'CALCULO MORTERO'!I1559+'BLAZE SHIELD II'!$L$9)),0)+IF(AND(L1559="Blaze Shield II",M1559="Software Idiem",C1559="IN",G1559=3),((('BLAZE SHIELD II'!$H$14*('CALCULO MORTERO'!I1559^2)+'BLAZE SHIELD II'!$H$15*'CALCULO MORTERO'!I1559+'BLAZE SHIELD II'!$H$16)*LN(J1559))+('BLAZE SHIELD II'!$H$17*('CALCULO MORTERO'!I1559^2)+'BLAZE SHIELD II'!$H$18*'CALCULO MORTERO'!I1559+'BLAZE SHIELD II'!$H$19)),0),0)+ROUND(IF(AND(L1559="Cafco 400",M1559="Software Idiem",C1559="IN",G1559=4),((('CAFCO 400 '!$H$7*(J1559^4)+'CAFCO 400 '!$H$8*(J1559^3)+'CAFCO 400 '!$H$9*(J1559^2)+'CAFCO 400 '!$H$10*J1559+'CAFCO 400 '!$H$11)*U1559^2)+(('CAFCO 400 '!$H$12*(J1559^3)+'CAFCO 400 '!$H$13*(J1559^2)+'CAFCO 400 '!$H$14*J1559+'CAFCO 400 '!$H$15)*U1559)+('CAFCO 400 '!$H$16*(J1559^2)+'CAFCO 400 '!$H$17*J1559+'CAFCO 400 '!$H$18)),0)+IF(AND(L1559="Cafco 400",M1559="Software Idiem",C1559="Cj"),(((('CAFCO 400 '!$D$7*LN(J1559)+'CAFCO 400 '!$D$8)*U1559^2)+(('CAFCO 400 '!$D$9*LN(J1559)+'CAFCO 400 '!$D$10)*U1559)+('CAFCO 400 '!$D$11*LN(J1559)+'CAFCO 400 '!$D$12))),0)+IF(AND(L1559="Cafco 400",M1559="Software Idiem",C1559="C"),((('CAFCO 400 '!$L$7*(J1559^3)+'CAFCO 400 '!$L$8*(J1559^2)+'CAFCO 400 '!$L$9*J1559+'CAFCO 400 '!$L$10)*U1559^2)+(('CAFCO 400 '!$L$11*(J1559^3)+'CAFCO 400 '!$L$12*(J1559^2)+'CAFCO 400 '!$L$13*J1559+'CAFCO 400 '!$L$14)*U1559)+('CAFCO 400 '!$L$15*LN(J1559)+'CAFCO 400 '!$L$16)),0)+IF(AND(L1559="Cafco 400",M1559="Software Idiem",C1559="L"),((('CAFCO 400 '!$L$7*(J1559^3)+'CAFCO 400 '!$L$8*(J1559^2)+'CAFCO 400 '!$L$9*J1559+'CAFCO 400 '!$L$10)*U1559^2)+(('CAFCO 400 '!$L$11*(J1559^3)+'CAFCO 400 '!$L$12*(J1559^2)+'CAFCO 400 '!$L$13*J1559+'CAFCO 400 '!$L$14)*U1559)+('CAFCO 400 '!$L$15*LN(J1559)+'CAFCO 400 '!$L$16)),0)+IF(AND(L1559="Cafco 400",M1559="Software Idiem",C1559="IN",G1559=3),((('CAFCO 400 '!$D$23*(J1559^2)+'CAFCO 400 '!$D$24*(J1559)+'CAFCO 400 '!$D$25)*U1559^2)+(('CAFCO 400 '!$D$26*(J1559^2)+'CAFCO 400 '!$D$27*J1559+'CAFCO 400 '!$D$28)*U1559)+('CAFCO 400 '!$D$29*(J1559^2)+'CAFCO 400 '!$D$30*J1559+'CAFCO 400 '!$D$31)),0),0)+IF(AND(L1559="Cafco 300",J1559&gt;=95,J1559&lt;=240,C1559="Cj",I1559=90),VLOOKUP(T1559,'CAFCO 300 IDIEM TABLAS'!$B$4:$D$23,2,FALSE),0)+IF(AND(L1559="Cafco 300",J1559&gt;=95,J1559&lt;=240,C1559="Cj",I1559=120),VLOOKUP(T1559,'CAFCO 300 IDIEM TABLAS'!$B$4:$D$23,3,FALSE),0)+IF(AND(L1559="Cafco 300",J1559&gt;=95,J1559&lt;=400,G1559=3,C1559="IN",I1559=90),VLOOKUP(T1559,'CAFCO 300 IDIEM TABLAS'!$F$4:$H$35,2,FALSE),0)+IF(AND(L1559="Cafco 300",J1559&gt;=95,J1559&lt;=400,G1559=3,C1559="IN",I1559=120),VLOOKUP(T1559,'CAFCO 300 IDIEM TABLAS'!$F$4:$H$35,3,FALSE),0)+IF(AND(L1559="Cafco 300",J1559&gt;=95,J1559&lt;=450,G1559=4,C1559="IN",I1559=90),VLOOKUP(T1559,'CAFCO 300 IDIEM TABLAS'!$J$4:$L$40,2,FALSE),0)+IF(AND(L1559="Cafco 300",J1559&gt;=95,J1559&lt;=450,G1559=4,C1559="IN",I1559=120),VLOOKUP(T1559,'CAFCO 300 IDIEM TABLAS'!$J$4:$L$40,3,FALSE),0)+IF(AND(M1559="Ensayo Idiem",L1559="Cafco 400",C1559="IN",G1559=4,I1559=90),VLOOKUP(T1559,'CAFCO 400 ENSAYO'!$B$7:$D$43,2,FALSE),0)+IF(AND(M1559="Ensayo Idiem",L1559="Cafco 400",C1559="IN",G1559=4,I1559=120),VLOOKUP(T1559,'CAFCO 400 ENSAYO'!$B$7:$D$43,3,FALSE),0)</f>
        <v>0</v>
      </c>
      <c r="O1559" s="96">
        <f t="shared" si="156"/>
        <v>0</v>
      </c>
      <c r="P1559" s="132" t="str">
        <f t="shared" si="151"/>
        <v>N/A</v>
      </c>
      <c r="Q1559" s="132" t="str">
        <f t="shared" si="152"/>
        <v>N/A</v>
      </c>
      <c r="R1559" s="132" t="str">
        <f t="shared" si="153"/>
        <v>NO CERT.</v>
      </c>
      <c r="S1559" s="132" t="e">
        <f t="shared" si="154"/>
        <v>#N/A</v>
      </c>
      <c r="T1559" s="133" t="e">
        <f>+IF(J1559=LOOKUP(J1559,'CAFCO 300 IDIEM TABLAS'!$J$4:$J$40),'CALCULO MORTERO'!J1559,MROUND('CALCULO MORTERO'!J1559,10))</f>
        <v>#N/A</v>
      </c>
      <c r="U1559" s="134">
        <f t="shared" si="155"/>
        <v>0</v>
      </c>
    </row>
    <row r="1560" spans="1:21" x14ac:dyDescent="0.25">
      <c r="A1560" s="118">
        <f>+CUBICACION!D1554</f>
        <v>0</v>
      </c>
      <c r="B1560" s="819">
        <f>+CUBICACION!E1554</f>
        <v>0</v>
      </c>
      <c r="C1560" s="675">
        <f>+CUBICACION!F1554</f>
        <v>0</v>
      </c>
      <c r="D1560" s="118"/>
      <c r="E1560" s="118"/>
      <c r="F1560" s="820"/>
      <c r="G1560" s="675">
        <f>+CUBICACION!J1554</f>
        <v>0</v>
      </c>
      <c r="H1560" s="118"/>
      <c r="I1560" s="821">
        <f>+CUBICACION!L1554</f>
        <v>0</v>
      </c>
      <c r="J1560" s="64">
        <f>+CUBICACION!M1554</f>
        <v>0</v>
      </c>
      <c r="K1560" s="822" t="str">
        <f>+CUBICACION!N1554</f>
        <v/>
      </c>
      <c r="L1560" s="118">
        <f>+CUBICACION!O1554</f>
        <v>0</v>
      </c>
      <c r="M1560" s="823">
        <f>+CUBICACION!P1554</f>
        <v>0</v>
      </c>
      <c r="N1560" s="902">
        <f>ROUND(IF(AND(L1560="Blaze Shield II",M1560="Software Idiem",C1560="IN",G1560=4),((('BLAZE SHIELD II'!$D$4*('CALCULO MORTERO'!I1560^2)+'BLAZE SHIELD II'!$D$5*'CALCULO MORTERO'!I1560+'BLAZE SHIELD II'!$D$6)*LN(J1560))+('BLAZE SHIELD II'!$D$7*('CALCULO MORTERO'!I1560^2)+'BLAZE SHIELD II'!$D$8*'CALCULO MORTERO'!I1560+'BLAZE SHIELD II'!$D$9)),0)+IF(AND(L1560="Blaze Shield II",M1560="Software Idiem",C1560="Cj"),((('BLAZE SHIELD II'!$H$4*('CALCULO MORTERO'!I1560^2)+'BLAZE SHIELD II'!$H$5*'CALCULO MORTERO'!I1560+'BLAZE SHIELD II'!$H$6)*LN(J1560))+('BLAZE SHIELD II'!$H$7*('CALCULO MORTERO'!I1560^2)+'BLAZE SHIELD II'!$H$8*'CALCULO MORTERO'!I1560+'BLAZE SHIELD II'!$H$9)),0)+IF(AND(L1560="Blaze Shield II",M1560="Software Idiem",C1560="C"),((('BLAZE SHIELD II'!$L$4*('CALCULO MORTERO'!I1560^2)+'BLAZE SHIELD II'!$L$5*'CALCULO MORTERO'!I1560+'BLAZE SHIELD II'!$L$6)*LN(J1560))+('BLAZE SHIELD II'!$L$7*('CALCULO MORTERO'!I1560^2)+'BLAZE SHIELD II'!$L$8*'CALCULO MORTERO'!I1560+'BLAZE SHIELD II'!$L$9)),0)+IF(AND(L1560="Blaze Shield II",M1560="Software Idiem",C1560="L"),((('BLAZE SHIELD II'!$L$4*('CALCULO MORTERO'!I1560^2)+'BLAZE SHIELD II'!$L$5*'CALCULO MORTERO'!I1560+'BLAZE SHIELD II'!$L$6)*LN(J1560))+('BLAZE SHIELD II'!$L$7*('CALCULO MORTERO'!I1560^2)+'BLAZE SHIELD II'!$L$8*'CALCULO MORTERO'!I1560+'BLAZE SHIELD II'!$L$9)),0)+IF(AND(L1560="Blaze Shield II",M1560="Software Idiem",C1560="IN",G1560=3),((('BLAZE SHIELD II'!$H$14*('CALCULO MORTERO'!I1560^2)+'BLAZE SHIELD II'!$H$15*'CALCULO MORTERO'!I1560+'BLAZE SHIELD II'!$H$16)*LN(J1560))+('BLAZE SHIELD II'!$H$17*('CALCULO MORTERO'!I1560^2)+'BLAZE SHIELD II'!$H$18*'CALCULO MORTERO'!I1560+'BLAZE SHIELD II'!$H$19)),0),0)+ROUND(IF(AND(L1560="Cafco 400",M1560="Software Idiem",C1560="IN",G1560=4),((('CAFCO 400 '!$H$7*(J1560^4)+'CAFCO 400 '!$H$8*(J1560^3)+'CAFCO 400 '!$H$9*(J1560^2)+'CAFCO 400 '!$H$10*J1560+'CAFCO 400 '!$H$11)*U1560^2)+(('CAFCO 400 '!$H$12*(J1560^3)+'CAFCO 400 '!$H$13*(J1560^2)+'CAFCO 400 '!$H$14*J1560+'CAFCO 400 '!$H$15)*U1560)+('CAFCO 400 '!$H$16*(J1560^2)+'CAFCO 400 '!$H$17*J1560+'CAFCO 400 '!$H$18)),0)+IF(AND(L1560="Cafco 400",M1560="Software Idiem",C1560="Cj"),(((('CAFCO 400 '!$D$7*LN(J1560)+'CAFCO 400 '!$D$8)*U1560^2)+(('CAFCO 400 '!$D$9*LN(J1560)+'CAFCO 400 '!$D$10)*U1560)+('CAFCO 400 '!$D$11*LN(J1560)+'CAFCO 400 '!$D$12))),0)+IF(AND(L1560="Cafco 400",M1560="Software Idiem",C1560="C"),((('CAFCO 400 '!$L$7*(J1560^3)+'CAFCO 400 '!$L$8*(J1560^2)+'CAFCO 400 '!$L$9*J1560+'CAFCO 400 '!$L$10)*U1560^2)+(('CAFCO 400 '!$L$11*(J1560^3)+'CAFCO 400 '!$L$12*(J1560^2)+'CAFCO 400 '!$L$13*J1560+'CAFCO 400 '!$L$14)*U1560)+('CAFCO 400 '!$L$15*LN(J1560)+'CAFCO 400 '!$L$16)),0)+IF(AND(L1560="Cafco 400",M1560="Software Idiem",C1560="L"),((('CAFCO 400 '!$L$7*(J1560^3)+'CAFCO 400 '!$L$8*(J1560^2)+'CAFCO 400 '!$L$9*J1560+'CAFCO 400 '!$L$10)*U1560^2)+(('CAFCO 400 '!$L$11*(J1560^3)+'CAFCO 400 '!$L$12*(J1560^2)+'CAFCO 400 '!$L$13*J1560+'CAFCO 400 '!$L$14)*U1560)+('CAFCO 400 '!$L$15*LN(J1560)+'CAFCO 400 '!$L$16)),0)+IF(AND(L1560="Cafco 400",M1560="Software Idiem",C1560="IN",G1560=3),((('CAFCO 400 '!$D$23*(J1560^2)+'CAFCO 400 '!$D$24*(J1560)+'CAFCO 400 '!$D$25)*U1560^2)+(('CAFCO 400 '!$D$26*(J1560^2)+'CAFCO 400 '!$D$27*J1560+'CAFCO 400 '!$D$28)*U1560)+('CAFCO 400 '!$D$29*(J1560^2)+'CAFCO 400 '!$D$30*J1560+'CAFCO 400 '!$D$31)),0),0)+IF(AND(L1560="Cafco 300",J1560&gt;=95,J1560&lt;=240,C1560="Cj",I1560=90),VLOOKUP(T1560,'CAFCO 300 IDIEM TABLAS'!$B$4:$D$23,2,FALSE),0)+IF(AND(L1560="Cafco 300",J1560&gt;=95,J1560&lt;=240,C1560="Cj",I1560=120),VLOOKUP(T1560,'CAFCO 300 IDIEM TABLAS'!$B$4:$D$23,3,FALSE),0)+IF(AND(L1560="Cafco 300",J1560&gt;=95,J1560&lt;=400,G1560=3,C1560="IN",I1560=90),VLOOKUP(T1560,'CAFCO 300 IDIEM TABLAS'!$F$4:$H$35,2,FALSE),0)+IF(AND(L1560="Cafco 300",J1560&gt;=95,J1560&lt;=400,G1560=3,C1560="IN",I1560=120),VLOOKUP(T1560,'CAFCO 300 IDIEM TABLAS'!$F$4:$H$35,3,FALSE),0)+IF(AND(L1560="Cafco 300",J1560&gt;=95,J1560&lt;=450,G1560=4,C1560="IN",I1560=90),VLOOKUP(T1560,'CAFCO 300 IDIEM TABLAS'!$J$4:$L$40,2,FALSE),0)+IF(AND(L1560="Cafco 300",J1560&gt;=95,J1560&lt;=450,G1560=4,C1560="IN",I1560=120),VLOOKUP(T1560,'CAFCO 300 IDIEM TABLAS'!$J$4:$L$40,3,FALSE),0)+IF(AND(M1560="Ensayo Idiem",L1560="Cafco 400",C1560="IN",G1560=4,I1560=90),VLOOKUP(T1560,'CAFCO 400 ENSAYO'!$B$7:$D$43,2,FALSE),0)+IF(AND(M1560="Ensayo Idiem",L1560="Cafco 400",C1560="IN",G1560=4,I1560=120),VLOOKUP(T1560,'CAFCO 400 ENSAYO'!$B$7:$D$43,3,FALSE),0)</f>
        <v>0</v>
      </c>
      <c r="O1560" s="96">
        <f t="shared" si="156"/>
        <v>0</v>
      </c>
      <c r="P1560" s="95" t="str">
        <f t="shared" si="151"/>
        <v>N/A</v>
      </c>
      <c r="Q1560" s="95" t="str">
        <f t="shared" si="152"/>
        <v>N/A</v>
      </c>
      <c r="R1560" s="95" t="str">
        <f t="shared" si="153"/>
        <v>NO CERT.</v>
      </c>
      <c r="S1560" s="95" t="e">
        <f t="shared" si="154"/>
        <v>#N/A</v>
      </c>
      <c r="T1560" s="119" t="e">
        <f>+IF(J1560=LOOKUP(J1560,'CAFCO 300 IDIEM TABLAS'!$J$4:$J$40),'CALCULO MORTERO'!J1560,MROUND('CALCULO MORTERO'!J1560,10))</f>
        <v>#N/A</v>
      </c>
      <c r="U1560" s="118">
        <f t="shared" si="155"/>
        <v>0</v>
      </c>
    </row>
    <row r="1561" spans="1:21" x14ac:dyDescent="0.25">
      <c r="A1561" s="118">
        <f>+CUBICACION!D1555</f>
        <v>0</v>
      </c>
      <c r="B1561" s="819">
        <f>+CUBICACION!E1555</f>
        <v>0</v>
      </c>
      <c r="C1561" s="675">
        <f>+CUBICACION!F1555</f>
        <v>0</v>
      </c>
      <c r="D1561" s="118"/>
      <c r="E1561" s="118"/>
      <c r="F1561" s="820"/>
      <c r="G1561" s="675">
        <f>+CUBICACION!J1555</f>
        <v>0</v>
      </c>
      <c r="H1561" s="118"/>
      <c r="I1561" s="821">
        <f>+CUBICACION!L1555</f>
        <v>0</v>
      </c>
      <c r="J1561" s="64">
        <f>+CUBICACION!M1555</f>
        <v>0</v>
      </c>
      <c r="K1561" s="822" t="str">
        <f>+CUBICACION!N1555</f>
        <v/>
      </c>
      <c r="L1561" s="118">
        <f>+CUBICACION!O1555</f>
        <v>0</v>
      </c>
      <c r="M1561" s="823">
        <f>+CUBICACION!P1555</f>
        <v>0</v>
      </c>
      <c r="N1561" s="902">
        <f>ROUND(IF(AND(L1561="Blaze Shield II",M1561="Software Idiem",C1561="IN",G1561=4),((('BLAZE SHIELD II'!$D$4*('CALCULO MORTERO'!I1561^2)+'BLAZE SHIELD II'!$D$5*'CALCULO MORTERO'!I1561+'BLAZE SHIELD II'!$D$6)*LN(J1561))+('BLAZE SHIELD II'!$D$7*('CALCULO MORTERO'!I1561^2)+'BLAZE SHIELD II'!$D$8*'CALCULO MORTERO'!I1561+'BLAZE SHIELD II'!$D$9)),0)+IF(AND(L1561="Blaze Shield II",M1561="Software Idiem",C1561="Cj"),((('BLAZE SHIELD II'!$H$4*('CALCULO MORTERO'!I1561^2)+'BLAZE SHIELD II'!$H$5*'CALCULO MORTERO'!I1561+'BLAZE SHIELD II'!$H$6)*LN(J1561))+('BLAZE SHIELD II'!$H$7*('CALCULO MORTERO'!I1561^2)+'BLAZE SHIELD II'!$H$8*'CALCULO MORTERO'!I1561+'BLAZE SHIELD II'!$H$9)),0)+IF(AND(L1561="Blaze Shield II",M1561="Software Idiem",C1561="C"),((('BLAZE SHIELD II'!$L$4*('CALCULO MORTERO'!I1561^2)+'BLAZE SHIELD II'!$L$5*'CALCULO MORTERO'!I1561+'BLAZE SHIELD II'!$L$6)*LN(J1561))+('BLAZE SHIELD II'!$L$7*('CALCULO MORTERO'!I1561^2)+'BLAZE SHIELD II'!$L$8*'CALCULO MORTERO'!I1561+'BLAZE SHIELD II'!$L$9)),0)+IF(AND(L1561="Blaze Shield II",M1561="Software Idiem",C1561="L"),((('BLAZE SHIELD II'!$L$4*('CALCULO MORTERO'!I1561^2)+'BLAZE SHIELD II'!$L$5*'CALCULO MORTERO'!I1561+'BLAZE SHIELD II'!$L$6)*LN(J1561))+('BLAZE SHIELD II'!$L$7*('CALCULO MORTERO'!I1561^2)+'BLAZE SHIELD II'!$L$8*'CALCULO MORTERO'!I1561+'BLAZE SHIELD II'!$L$9)),0)+IF(AND(L1561="Blaze Shield II",M1561="Software Idiem",C1561="IN",G1561=3),((('BLAZE SHIELD II'!$H$14*('CALCULO MORTERO'!I1561^2)+'BLAZE SHIELD II'!$H$15*'CALCULO MORTERO'!I1561+'BLAZE SHIELD II'!$H$16)*LN(J1561))+('BLAZE SHIELD II'!$H$17*('CALCULO MORTERO'!I1561^2)+'BLAZE SHIELD II'!$H$18*'CALCULO MORTERO'!I1561+'BLAZE SHIELD II'!$H$19)),0),0)+ROUND(IF(AND(L1561="Cafco 400",M1561="Software Idiem",C1561="IN",G1561=4),((('CAFCO 400 '!$H$7*(J1561^4)+'CAFCO 400 '!$H$8*(J1561^3)+'CAFCO 400 '!$H$9*(J1561^2)+'CAFCO 400 '!$H$10*J1561+'CAFCO 400 '!$H$11)*U1561^2)+(('CAFCO 400 '!$H$12*(J1561^3)+'CAFCO 400 '!$H$13*(J1561^2)+'CAFCO 400 '!$H$14*J1561+'CAFCO 400 '!$H$15)*U1561)+('CAFCO 400 '!$H$16*(J1561^2)+'CAFCO 400 '!$H$17*J1561+'CAFCO 400 '!$H$18)),0)+IF(AND(L1561="Cafco 400",M1561="Software Idiem",C1561="Cj"),(((('CAFCO 400 '!$D$7*LN(J1561)+'CAFCO 400 '!$D$8)*U1561^2)+(('CAFCO 400 '!$D$9*LN(J1561)+'CAFCO 400 '!$D$10)*U1561)+('CAFCO 400 '!$D$11*LN(J1561)+'CAFCO 400 '!$D$12))),0)+IF(AND(L1561="Cafco 400",M1561="Software Idiem",C1561="C"),((('CAFCO 400 '!$L$7*(J1561^3)+'CAFCO 400 '!$L$8*(J1561^2)+'CAFCO 400 '!$L$9*J1561+'CAFCO 400 '!$L$10)*U1561^2)+(('CAFCO 400 '!$L$11*(J1561^3)+'CAFCO 400 '!$L$12*(J1561^2)+'CAFCO 400 '!$L$13*J1561+'CAFCO 400 '!$L$14)*U1561)+('CAFCO 400 '!$L$15*LN(J1561)+'CAFCO 400 '!$L$16)),0)+IF(AND(L1561="Cafco 400",M1561="Software Idiem",C1561="L"),((('CAFCO 400 '!$L$7*(J1561^3)+'CAFCO 400 '!$L$8*(J1561^2)+'CAFCO 400 '!$L$9*J1561+'CAFCO 400 '!$L$10)*U1561^2)+(('CAFCO 400 '!$L$11*(J1561^3)+'CAFCO 400 '!$L$12*(J1561^2)+'CAFCO 400 '!$L$13*J1561+'CAFCO 400 '!$L$14)*U1561)+('CAFCO 400 '!$L$15*LN(J1561)+'CAFCO 400 '!$L$16)),0)+IF(AND(L1561="Cafco 400",M1561="Software Idiem",C1561="IN",G1561=3),((('CAFCO 400 '!$D$23*(J1561^2)+'CAFCO 400 '!$D$24*(J1561)+'CAFCO 400 '!$D$25)*U1561^2)+(('CAFCO 400 '!$D$26*(J1561^2)+'CAFCO 400 '!$D$27*J1561+'CAFCO 400 '!$D$28)*U1561)+('CAFCO 400 '!$D$29*(J1561^2)+'CAFCO 400 '!$D$30*J1561+'CAFCO 400 '!$D$31)),0),0)+IF(AND(L1561="Cafco 300",J1561&gt;=95,J1561&lt;=240,C1561="Cj",I1561=90),VLOOKUP(T1561,'CAFCO 300 IDIEM TABLAS'!$B$4:$D$23,2,FALSE),0)+IF(AND(L1561="Cafco 300",J1561&gt;=95,J1561&lt;=240,C1561="Cj",I1561=120),VLOOKUP(T1561,'CAFCO 300 IDIEM TABLAS'!$B$4:$D$23,3,FALSE),0)+IF(AND(L1561="Cafco 300",J1561&gt;=95,J1561&lt;=400,G1561=3,C1561="IN",I1561=90),VLOOKUP(T1561,'CAFCO 300 IDIEM TABLAS'!$F$4:$H$35,2,FALSE),0)+IF(AND(L1561="Cafco 300",J1561&gt;=95,J1561&lt;=400,G1561=3,C1561="IN",I1561=120),VLOOKUP(T1561,'CAFCO 300 IDIEM TABLAS'!$F$4:$H$35,3,FALSE),0)+IF(AND(L1561="Cafco 300",J1561&gt;=95,J1561&lt;=450,G1561=4,C1561="IN",I1561=90),VLOOKUP(T1561,'CAFCO 300 IDIEM TABLAS'!$J$4:$L$40,2,FALSE),0)+IF(AND(L1561="Cafco 300",J1561&gt;=95,J1561&lt;=450,G1561=4,C1561="IN",I1561=120),VLOOKUP(T1561,'CAFCO 300 IDIEM TABLAS'!$J$4:$L$40,3,FALSE),0)+IF(AND(M1561="Ensayo Idiem",L1561="Cafco 400",C1561="IN",G1561=4,I1561=90),VLOOKUP(T1561,'CAFCO 400 ENSAYO'!$B$7:$D$43,2,FALSE),0)+IF(AND(M1561="Ensayo Idiem",L1561="Cafco 400",C1561="IN",G1561=4,I1561=120),VLOOKUP(T1561,'CAFCO 400 ENSAYO'!$B$7:$D$43,3,FALSE),0)</f>
        <v>0</v>
      </c>
      <c r="O1561" s="96">
        <f t="shared" si="156"/>
        <v>0</v>
      </c>
      <c r="P1561" s="132" t="str">
        <f t="shared" si="151"/>
        <v>N/A</v>
      </c>
      <c r="Q1561" s="132" t="str">
        <f t="shared" si="152"/>
        <v>N/A</v>
      </c>
      <c r="R1561" s="132" t="str">
        <f t="shared" si="153"/>
        <v>NO CERT.</v>
      </c>
      <c r="S1561" s="132" t="e">
        <f t="shared" si="154"/>
        <v>#N/A</v>
      </c>
      <c r="T1561" s="133" t="e">
        <f>+IF(J1561=LOOKUP(J1561,'CAFCO 300 IDIEM TABLAS'!$J$4:$J$40),'CALCULO MORTERO'!J1561,MROUND('CALCULO MORTERO'!J1561,10))</f>
        <v>#N/A</v>
      </c>
      <c r="U1561" s="134">
        <f t="shared" si="155"/>
        <v>0</v>
      </c>
    </row>
    <row r="1562" spans="1:21" x14ac:dyDescent="0.25">
      <c r="A1562" s="118">
        <f>+CUBICACION!D1556</f>
        <v>0</v>
      </c>
      <c r="B1562" s="819">
        <f>+CUBICACION!E1556</f>
        <v>0</v>
      </c>
      <c r="C1562" s="675">
        <f>+CUBICACION!F1556</f>
        <v>0</v>
      </c>
      <c r="D1562" s="118"/>
      <c r="E1562" s="118"/>
      <c r="F1562" s="820"/>
      <c r="G1562" s="675">
        <f>+CUBICACION!J1556</f>
        <v>0</v>
      </c>
      <c r="H1562" s="118"/>
      <c r="I1562" s="821">
        <f>+CUBICACION!L1556</f>
        <v>0</v>
      </c>
      <c r="J1562" s="64">
        <f>+CUBICACION!M1556</f>
        <v>0</v>
      </c>
      <c r="K1562" s="822" t="str">
        <f>+CUBICACION!N1556</f>
        <v/>
      </c>
      <c r="L1562" s="118">
        <f>+CUBICACION!O1556</f>
        <v>0</v>
      </c>
      <c r="M1562" s="823">
        <f>+CUBICACION!P1556</f>
        <v>0</v>
      </c>
      <c r="N1562" s="902">
        <f>ROUND(IF(AND(L1562="Blaze Shield II",M1562="Software Idiem",C1562="IN",G1562=4),((('BLAZE SHIELD II'!$D$4*('CALCULO MORTERO'!I1562^2)+'BLAZE SHIELD II'!$D$5*'CALCULO MORTERO'!I1562+'BLAZE SHIELD II'!$D$6)*LN(J1562))+('BLAZE SHIELD II'!$D$7*('CALCULO MORTERO'!I1562^2)+'BLAZE SHIELD II'!$D$8*'CALCULO MORTERO'!I1562+'BLAZE SHIELD II'!$D$9)),0)+IF(AND(L1562="Blaze Shield II",M1562="Software Idiem",C1562="Cj"),((('BLAZE SHIELD II'!$H$4*('CALCULO MORTERO'!I1562^2)+'BLAZE SHIELD II'!$H$5*'CALCULO MORTERO'!I1562+'BLAZE SHIELD II'!$H$6)*LN(J1562))+('BLAZE SHIELD II'!$H$7*('CALCULO MORTERO'!I1562^2)+'BLAZE SHIELD II'!$H$8*'CALCULO MORTERO'!I1562+'BLAZE SHIELD II'!$H$9)),0)+IF(AND(L1562="Blaze Shield II",M1562="Software Idiem",C1562="C"),((('BLAZE SHIELD II'!$L$4*('CALCULO MORTERO'!I1562^2)+'BLAZE SHIELD II'!$L$5*'CALCULO MORTERO'!I1562+'BLAZE SHIELD II'!$L$6)*LN(J1562))+('BLAZE SHIELD II'!$L$7*('CALCULO MORTERO'!I1562^2)+'BLAZE SHIELD II'!$L$8*'CALCULO MORTERO'!I1562+'BLAZE SHIELD II'!$L$9)),0)+IF(AND(L1562="Blaze Shield II",M1562="Software Idiem",C1562="L"),((('BLAZE SHIELD II'!$L$4*('CALCULO MORTERO'!I1562^2)+'BLAZE SHIELD II'!$L$5*'CALCULO MORTERO'!I1562+'BLAZE SHIELD II'!$L$6)*LN(J1562))+('BLAZE SHIELD II'!$L$7*('CALCULO MORTERO'!I1562^2)+'BLAZE SHIELD II'!$L$8*'CALCULO MORTERO'!I1562+'BLAZE SHIELD II'!$L$9)),0)+IF(AND(L1562="Blaze Shield II",M1562="Software Idiem",C1562="IN",G1562=3),((('BLAZE SHIELD II'!$H$14*('CALCULO MORTERO'!I1562^2)+'BLAZE SHIELD II'!$H$15*'CALCULO MORTERO'!I1562+'BLAZE SHIELD II'!$H$16)*LN(J1562))+('BLAZE SHIELD II'!$H$17*('CALCULO MORTERO'!I1562^2)+'BLAZE SHIELD II'!$H$18*'CALCULO MORTERO'!I1562+'BLAZE SHIELD II'!$H$19)),0),0)+ROUND(IF(AND(L1562="Cafco 400",M1562="Software Idiem",C1562="IN",G1562=4),((('CAFCO 400 '!$H$7*(J1562^4)+'CAFCO 400 '!$H$8*(J1562^3)+'CAFCO 400 '!$H$9*(J1562^2)+'CAFCO 400 '!$H$10*J1562+'CAFCO 400 '!$H$11)*U1562^2)+(('CAFCO 400 '!$H$12*(J1562^3)+'CAFCO 400 '!$H$13*(J1562^2)+'CAFCO 400 '!$H$14*J1562+'CAFCO 400 '!$H$15)*U1562)+('CAFCO 400 '!$H$16*(J1562^2)+'CAFCO 400 '!$H$17*J1562+'CAFCO 400 '!$H$18)),0)+IF(AND(L1562="Cafco 400",M1562="Software Idiem",C1562="Cj"),(((('CAFCO 400 '!$D$7*LN(J1562)+'CAFCO 400 '!$D$8)*U1562^2)+(('CAFCO 400 '!$D$9*LN(J1562)+'CAFCO 400 '!$D$10)*U1562)+('CAFCO 400 '!$D$11*LN(J1562)+'CAFCO 400 '!$D$12))),0)+IF(AND(L1562="Cafco 400",M1562="Software Idiem",C1562="C"),((('CAFCO 400 '!$L$7*(J1562^3)+'CAFCO 400 '!$L$8*(J1562^2)+'CAFCO 400 '!$L$9*J1562+'CAFCO 400 '!$L$10)*U1562^2)+(('CAFCO 400 '!$L$11*(J1562^3)+'CAFCO 400 '!$L$12*(J1562^2)+'CAFCO 400 '!$L$13*J1562+'CAFCO 400 '!$L$14)*U1562)+('CAFCO 400 '!$L$15*LN(J1562)+'CAFCO 400 '!$L$16)),0)+IF(AND(L1562="Cafco 400",M1562="Software Idiem",C1562="L"),((('CAFCO 400 '!$L$7*(J1562^3)+'CAFCO 400 '!$L$8*(J1562^2)+'CAFCO 400 '!$L$9*J1562+'CAFCO 400 '!$L$10)*U1562^2)+(('CAFCO 400 '!$L$11*(J1562^3)+'CAFCO 400 '!$L$12*(J1562^2)+'CAFCO 400 '!$L$13*J1562+'CAFCO 400 '!$L$14)*U1562)+('CAFCO 400 '!$L$15*LN(J1562)+'CAFCO 400 '!$L$16)),0)+IF(AND(L1562="Cafco 400",M1562="Software Idiem",C1562="IN",G1562=3),((('CAFCO 400 '!$D$23*(J1562^2)+'CAFCO 400 '!$D$24*(J1562)+'CAFCO 400 '!$D$25)*U1562^2)+(('CAFCO 400 '!$D$26*(J1562^2)+'CAFCO 400 '!$D$27*J1562+'CAFCO 400 '!$D$28)*U1562)+('CAFCO 400 '!$D$29*(J1562^2)+'CAFCO 400 '!$D$30*J1562+'CAFCO 400 '!$D$31)),0),0)+IF(AND(L1562="Cafco 300",J1562&gt;=95,J1562&lt;=240,C1562="Cj",I1562=90),VLOOKUP(T1562,'CAFCO 300 IDIEM TABLAS'!$B$4:$D$23,2,FALSE),0)+IF(AND(L1562="Cafco 300",J1562&gt;=95,J1562&lt;=240,C1562="Cj",I1562=120),VLOOKUP(T1562,'CAFCO 300 IDIEM TABLAS'!$B$4:$D$23,3,FALSE),0)+IF(AND(L1562="Cafco 300",J1562&gt;=95,J1562&lt;=400,G1562=3,C1562="IN",I1562=90),VLOOKUP(T1562,'CAFCO 300 IDIEM TABLAS'!$F$4:$H$35,2,FALSE),0)+IF(AND(L1562="Cafco 300",J1562&gt;=95,J1562&lt;=400,G1562=3,C1562="IN",I1562=120),VLOOKUP(T1562,'CAFCO 300 IDIEM TABLAS'!$F$4:$H$35,3,FALSE),0)+IF(AND(L1562="Cafco 300",J1562&gt;=95,J1562&lt;=450,G1562=4,C1562="IN",I1562=90),VLOOKUP(T1562,'CAFCO 300 IDIEM TABLAS'!$J$4:$L$40,2,FALSE),0)+IF(AND(L1562="Cafco 300",J1562&gt;=95,J1562&lt;=450,G1562=4,C1562="IN",I1562=120),VLOOKUP(T1562,'CAFCO 300 IDIEM TABLAS'!$J$4:$L$40,3,FALSE),0)+IF(AND(M1562="Ensayo Idiem",L1562="Cafco 400",C1562="IN",G1562=4,I1562=90),VLOOKUP(T1562,'CAFCO 400 ENSAYO'!$B$7:$D$43,2,FALSE),0)+IF(AND(M1562="Ensayo Idiem",L1562="Cafco 400",C1562="IN",G1562=4,I1562=120),VLOOKUP(T1562,'CAFCO 400 ENSAYO'!$B$7:$D$43,3,FALSE),0)</f>
        <v>0</v>
      </c>
      <c r="O1562" s="96">
        <f t="shared" si="156"/>
        <v>0</v>
      </c>
      <c r="P1562" s="95" t="str">
        <f t="shared" si="151"/>
        <v>N/A</v>
      </c>
      <c r="Q1562" s="95" t="str">
        <f t="shared" si="152"/>
        <v>N/A</v>
      </c>
      <c r="R1562" s="95" t="str">
        <f t="shared" si="153"/>
        <v>NO CERT.</v>
      </c>
      <c r="S1562" s="95" t="e">
        <f t="shared" si="154"/>
        <v>#N/A</v>
      </c>
      <c r="T1562" s="119" t="e">
        <f>+IF(J1562=LOOKUP(J1562,'CAFCO 300 IDIEM TABLAS'!$J$4:$J$40),'CALCULO MORTERO'!J1562,MROUND('CALCULO MORTERO'!J1562,10))</f>
        <v>#N/A</v>
      </c>
      <c r="U1562" s="118">
        <f t="shared" si="155"/>
        <v>0</v>
      </c>
    </row>
    <row r="1563" spans="1:21" x14ac:dyDescent="0.25">
      <c r="A1563" s="118">
        <f>+CUBICACION!D1557</f>
        <v>0</v>
      </c>
      <c r="B1563" s="819">
        <f>+CUBICACION!E1557</f>
        <v>0</v>
      </c>
      <c r="C1563" s="675">
        <f>+CUBICACION!F1557</f>
        <v>0</v>
      </c>
      <c r="D1563" s="118"/>
      <c r="E1563" s="118"/>
      <c r="F1563" s="820"/>
      <c r="G1563" s="675">
        <f>+CUBICACION!J1557</f>
        <v>0</v>
      </c>
      <c r="H1563" s="118"/>
      <c r="I1563" s="821">
        <f>+CUBICACION!L1557</f>
        <v>0</v>
      </c>
      <c r="J1563" s="64">
        <f>+CUBICACION!M1557</f>
        <v>0</v>
      </c>
      <c r="K1563" s="822" t="str">
        <f>+CUBICACION!N1557</f>
        <v/>
      </c>
      <c r="L1563" s="118">
        <f>+CUBICACION!O1557</f>
        <v>0</v>
      </c>
      <c r="M1563" s="823">
        <f>+CUBICACION!P1557</f>
        <v>0</v>
      </c>
      <c r="N1563" s="902">
        <f>ROUND(IF(AND(L1563="Blaze Shield II",M1563="Software Idiem",C1563="IN",G1563=4),((('BLAZE SHIELD II'!$D$4*('CALCULO MORTERO'!I1563^2)+'BLAZE SHIELD II'!$D$5*'CALCULO MORTERO'!I1563+'BLAZE SHIELD II'!$D$6)*LN(J1563))+('BLAZE SHIELD II'!$D$7*('CALCULO MORTERO'!I1563^2)+'BLAZE SHIELD II'!$D$8*'CALCULO MORTERO'!I1563+'BLAZE SHIELD II'!$D$9)),0)+IF(AND(L1563="Blaze Shield II",M1563="Software Idiem",C1563="Cj"),((('BLAZE SHIELD II'!$H$4*('CALCULO MORTERO'!I1563^2)+'BLAZE SHIELD II'!$H$5*'CALCULO MORTERO'!I1563+'BLAZE SHIELD II'!$H$6)*LN(J1563))+('BLAZE SHIELD II'!$H$7*('CALCULO MORTERO'!I1563^2)+'BLAZE SHIELD II'!$H$8*'CALCULO MORTERO'!I1563+'BLAZE SHIELD II'!$H$9)),0)+IF(AND(L1563="Blaze Shield II",M1563="Software Idiem",C1563="C"),((('BLAZE SHIELD II'!$L$4*('CALCULO MORTERO'!I1563^2)+'BLAZE SHIELD II'!$L$5*'CALCULO MORTERO'!I1563+'BLAZE SHIELD II'!$L$6)*LN(J1563))+('BLAZE SHIELD II'!$L$7*('CALCULO MORTERO'!I1563^2)+'BLAZE SHIELD II'!$L$8*'CALCULO MORTERO'!I1563+'BLAZE SHIELD II'!$L$9)),0)+IF(AND(L1563="Blaze Shield II",M1563="Software Idiem",C1563="L"),((('BLAZE SHIELD II'!$L$4*('CALCULO MORTERO'!I1563^2)+'BLAZE SHIELD II'!$L$5*'CALCULO MORTERO'!I1563+'BLAZE SHIELD II'!$L$6)*LN(J1563))+('BLAZE SHIELD II'!$L$7*('CALCULO MORTERO'!I1563^2)+'BLAZE SHIELD II'!$L$8*'CALCULO MORTERO'!I1563+'BLAZE SHIELD II'!$L$9)),0)+IF(AND(L1563="Blaze Shield II",M1563="Software Idiem",C1563="IN",G1563=3),((('BLAZE SHIELD II'!$H$14*('CALCULO MORTERO'!I1563^2)+'BLAZE SHIELD II'!$H$15*'CALCULO MORTERO'!I1563+'BLAZE SHIELD II'!$H$16)*LN(J1563))+('BLAZE SHIELD II'!$H$17*('CALCULO MORTERO'!I1563^2)+'BLAZE SHIELD II'!$H$18*'CALCULO MORTERO'!I1563+'BLAZE SHIELD II'!$H$19)),0),0)+ROUND(IF(AND(L1563="Cafco 400",M1563="Software Idiem",C1563="IN",G1563=4),((('CAFCO 400 '!$H$7*(J1563^4)+'CAFCO 400 '!$H$8*(J1563^3)+'CAFCO 400 '!$H$9*(J1563^2)+'CAFCO 400 '!$H$10*J1563+'CAFCO 400 '!$H$11)*U1563^2)+(('CAFCO 400 '!$H$12*(J1563^3)+'CAFCO 400 '!$H$13*(J1563^2)+'CAFCO 400 '!$H$14*J1563+'CAFCO 400 '!$H$15)*U1563)+('CAFCO 400 '!$H$16*(J1563^2)+'CAFCO 400 '!$H$17*J1563+'CAFCO 400 '!$H$18)),0)+IF(AND(L1563="Cafco 400",M1563="Software Idiem",C1563="Cj"),(((('CAFCO 400 '!$D$7*LN(J1563)+'CAFCO 400 '!$D$8)*U1563^2)+(('CAFCO 400 '!$D$9*LN(J1563)+'CAFCO 400 '!$D$10)*U1563)+('CAFCO 400 '!$D$11*LN(J1563)+'CAFCO 400 '!$D$12))),0)+IF(AND(L1563="Cafco 400",M1563="Software Idiem",C1563="C"),((('CAFCO 400 '!$L$7*(J1563^3)+'CAFCO 400 '!$L$8*(J1563^2)+'CAFCO 400 '!$L$9*J1563+'CAFCO 400 '!$L$10)*U1563^2)+(('CAFCO 400 '!$L$11*(J1563^3)+'CAFCO 400 '!$L$12*(J1563^2)+'CAFCO 400 '!$L$13*J1563+'CAFCO 400 '!$L$14)*U1563)+('CAFCO 400 '!$L$15*LN(J1563)+'CAFCO 400 '!$L$16)),0)+IF(AND(L1563="Cafco 400",M1563="Software Idiem",C1563="L"),((('CAFCO 400 '!$L$7*(J1563^3)+'CAFCO 400 '!$L$8*(J1563^2)+'CAFCO 400 '!$L$9*J1563+'CAFCO 400 '!$L$10)*U1563^2)+(('CAFCO 400 '!$L$11*(J1563^3)+'CAFCO 400 '!$L$12*(J1563^2)+'CAFCO 400 '!$L$13*J1563+'CAFCO 400 '!$L$14)*U1563)+('CAFCO 400 '!$L$15*LN(J1563)+'CAFCO 400 '!$L$16)),0)+IF(AND(L1563="Cafco 400",M1563="Software Idiem",C1563="IN",G1563=3),((('CAFCO 400 '!$D$23*(J1563^2)+'CAFCO 400 '!$D$24*(J1563)+'CAFCO 400 '!$D$25)*U1563^2)+(('CAFCO 400 '!$D$26*(J1563^2)+'CAFCO 400 '!$D$27*J1563+'CAFCO 400 '!$D$28)*U1563)+('CAFCO 400 '!$D$29*(J1563^2)+'CAFCO 400 '!$D$30*J1563+'CAFCO 400 '!$D$31)),0),0)+IF(AND(L1563="Cafco 300",J1563&gt;=95,J1563&lt;=240,C1563="Cj",I1563=90),VLOOKUP(T1563,'CAFCO 300 IDIEM TABLAS'!$B$4:$D$23,2,FALSE),0)+IF(AND(L1563="Cafco 300",J1563&gt;=95,J1563&lt;=240,C1563="Cj",I1563=120),VLOOKUP(T1563,'CAFCO 300 IDIEM TABLAS'!$B$4:$D$23,3,FALSE),0)+IF(AND(L1563="Cafco 300",J1563&gt;=95,J1563&lt;=400,G1563=3,C1563="IN",I1563=90),VLOOKUP(T1563,'CAFCO 300 IDIEM TABLAS'!$F$4:$H$35,2,FALSE),0)+IF(AND(L1563="Cafco 300",J1563&gt;=95,J1563&lt;=400,G1563=3,C1563="IN",I1563=120),VLOOKUP(T1563,'CAFCO 300 IDIEM TABLAS'!$F$4:$H$35,3,FALSE),0)+IF(AND(L1563="Cafco 300",J1563&gt;=95,J1563&lt;=450,G1563=4,C1563="IN",I1563=90),VLOOKUP(T1563,'CAFCO 300 IDIEM TABLAS'!$J$4:$L$40,2,FALSE),0)+IF(AND(L1563="Cafco 300",J1563&gt;=95,J1563&lt;=450,G1563=4,C1563="IN",I1563=120),VLOOKUP(T1563,'CAFCO 300 IDIEM TABLAS'!$J$4:$L$40,3,FALSE),0)+IF(AND(M1563="Ensayo Idiem",L1563="Cafco 400",C1563="IN",G1563=4,I1563=90),VLOOKUP(T1563,'CAFCO 400 ENSAYO'!$B$7:$D$43,2,FALSE),0)+IF(AND(M1563="Ensayo Idiem",L1563="Cafco 400",C1563="IN",G1563=4,I1563=120),VLOOKUP(T1563,'CAFCO 400 ENSAYO'!$B$7:$D$43,3,FALSE),0)</f>
        <v>0</v>
      </c>
      <c r="O1563" s="96">
        <f t="shared" si="156"/>
        <v>0</v>
      </c>
      <c r="P1563" s="132" t="str">
        <f t="shared" si="151"/>
        <v>N/A</v>
      </c>
      <c r="Q1563" s="132" t="str">
        <f t="shared" si="152"/>
        <v>N/A</v>
      </c>
      <c r="R1563" s="132" t="str">
        <f t="shared" si="153"/>
        <v>NO CERT.</v>
      </c>
      <c r="S1563" s="132" t="e">
        <f t="shared" si="154"/>
        <v>#N/A</v>
      </c>
      <c r="T1563" s="133" t="e">
        <f>+IF(J1563=LOOKUP(J1563,'CAFCO 300 IDIEM TABLAS'!$J$4:$J$40),'CALCULO MORTERO'!J1563,MROUND('CALCULO MORTERO'!J1563,10))</f>
        <v>#N/A</v>
      </c>
      <c r="U1563" s="134">
        <f t="shared" si="155"/>
        <v>0</v>
      </c>
    </row>
    <row r="1564" spans="1:21" x14ac:dyDescent="0.25">
      <c r="A1564" s="118">
        <f>+CUBICACION!D1558</f>
        <v>0</v>
      </c>
      <c r="B1564" s="819">
        <f>+CUBICACION!E1558</f>
        <v>0</v>
      </c>
      <c r="C1564" s="675">
        <f>+CUBICACION!F1558</f>
        <v>0</v>
      </c>
      <c r="D1564" s="118"/>
      <c r="E1564" s="118"/>
      <c r="F1564" s="820"/>
      <c r="G1564" s="675">
        <f>+CUBICACION!J1558</f>
        <v>0</v>
      </c>
      <c r="H1564" s="118"/>
      <c r="I1564" s="821">
        <f>+CUBICACION!L1558</f>
        <v>0</v>
      </c>
      <c r="J1564" s="64">
        <f>+CUBICACION!M1558</f>
        <v>0</v>
      </c>
      <c r="K1564" s="822" t="str">
        <f>+CUBICACION!N1558</f>
        <v/>
      </c>
      <c r="L1564" s="118">
        <f>+CUBICACION!O1558</f>
        <v>0</v>
      </c>
      <c r="M1564" s="823">
        <f>+CUBICACION!P1558</f>
        <v>0</v>
      </c>
      <c r="N1564" s="902">
        <f>ROUND(IF(AND(L1564="Blaze Shield II",M1564="Software Idiem",C1564="IN",G1564=4),((('BLAZE SHIELD II'!$D$4*('CALCULO MORTERO'!I1564^2)+'BLAZE SHIELD II'!$D$5*'CALCULO MORTERO'!I1564+'BLAZE SHIELD II'!$D$6)*LN(J1564))+('BLAZE SHIELD II'!$D$7*('CALCULO MORTERO'!I1564^2)+'BLAZE SHIELD II'!$D$8*'CALCULO MORTERO'!I1564+'BLAZE SHIELD II'!$D$9)),0)+IF(AND(L1564="Blaze Shield II",M1564="Software Idiem",C1564="Cj"),((('BLAZE SHIELD II'!$H$4*('CALCULO MORTERO'!I1564^2)+'BLAZE SHIELD II'!$H$5*'CALCULO MORTERO'!I1564+'BLAZE SHIELD II'!$H$6)*LN(J1564))+('BLAZE SHIELD II'!$H$7*('CALCULO MORTERO'!I1564^2)+'BLAZE SHIELD II'!$H$8*'CALCULO MORTERO'!I1564+'BLAZE SHIELD II'!$H$9)),0)+IF(AND(L1564="Blaze Shield II",M1564="Software Idiem",C1564="C"),((('BLAZE SHIELD II'!$L$4*('CALCULO MORTERO'!I1564^2)+'BLAZE SHIELD II'!$L$5*'CALCULO MORTERO'!I1564+'BLAZE SHIELD II'!$L$6)*LN(J1564))+('BLAZE SHIELD II'!$L$7*('CALCULO MORTERO'!I1564^2)+'BLAZE SHIELD II'!$L$8*'CALCULO MORTERO'!I1564+'BLAZE SHIELD II'!$L$9)),0)+IF(AND(L1564="Blaze Shield II",M1564="Software Idiem",C1564="L"),((('BLAZE SHIELD II'!$L$4*('CALCULO MORTERO'!I1564^2)+'BLAZE SHIELD II'!$L$5*'CALCULO MORTERO'!I1564+'BLAZE SHIELD II'!$L$6)*LN(J1564))+('BLAZE SHIELD II'!$L$7*('CALCULO MORTERO'!I1564^2)+'BLAZE SHIELD II'!$L$8*'CALCULO MORTERO'!I1564+'BLAZE SHIELD II'!$L$9)),0)+IF(AND(L1564="Blaze Shield II",M1564="Software Idiem",C1564="IN",G1564=3),((('BLAZE SHIELD II'!$H$14*('CALCULO MORTERO'!I1564^2)+'BLAZE SHIELD II'!$H$15*'CALCULO MORTERO'!I1564+'BLAZE SHIELD II'!$H$16)*LN(J1564))+('BLAZE SHIELD II'!$H$17*('CALCULO MORTERO'!I1564^2)+'BLAZE SHIELD II'!$H$18*'CALCULO MORTERO'!I1564+'BLAZE SHIELD II'!$H$19)),0),0)+ROUND(IF(AND(L1564="Cafco 400",M1564="Software Idiem",C1564="IN",G1564=4),((('CAFCO 400 '!$H$7*(J1564^4)+'CAFCO 400 '!$H$8*(J1564^3)+'CAFCO 400 '!$H$9*(J1564^2)+'CAFCO 400 '!$H$10*J1564+'CAFCO 400 '!$H$11)*U1564^2)+(('CAFCO 400 '!$H$12*(J1564^3)+'CAFCO 400 '!$H$13*(J1564^2)+'CAFCO 400 '!$H$14*J1564+'CAFCO 400 '!$H$15)*U1564)+('CAFCO 400 '!$H$16*(J1564^2)+'CAFCO 400 '!$H$17*J1564+'CAFCO 400 '!$H$18)),0)+IF(AND(L1564="Cafco 400",M1564="Software Idiem",C1564="Cj"),(((('CAFCO 400 '!$D$7*LN(J1564)+'CAFCO 400 '!$D$8)*U1564^2)+(('CAFCO 400 '!$D$9*LN(J1564)+'CAFCO 400 '!$D$10)*U1564)+('CAFCO 400 '!$D$11*LN(J1564)+'CAFCO 400 '!$D$12))),0)+IF(AND(L1564="Cafco 400",M1564="Software Idiem",C1564="C"),((('CAFCO 400 '!$L$7*(J1564^3)+'CAFCO 400 '!$L$8*(J1564^2)+'CAFCO 400 '!$L$9*J1564+'CAFCO 400 '!$L$10)*U1564^2)+(('CAFCO 400 '!$L$11*(J1564^3)+'CAFCO 400 '!$L$12*(J1564^2)+'CAFCO 400 '!$L$13*J1564+'CAFCO 400 '!$L$14)*U1564)+('CAFCO 400 '!$L$15*LN(J1564)+'CAFCO 400 '!$L$16)),0)+IF(AND(L1564="Cafco 400",M1564="Software Idiem",C1564="L"),((('CAFCO 400 '!$L$7*(J1564^3)+'CAFCO 400 '!$L$8*(J1564^2)+'CAFCO 400 '!$L$9*J1564+'CAFCO 400 '!$L$10)*U1564^2)+(('CAFCO 400 '!$L$11*(J1564^3)+'CAFCO 400 '!$L$12*(J1564^2)+'CAFCO 400 '!$L$13*J1564+'CAFCO 400 '!$L$14)*U1564)+('CAFCO 400 '!$L$15*LN(J1564)+'CAFCO 400 '!$L$16)),0)+IF(AND(L1564="Cafco 400",M1564="Software Idiem",C1564="IN",G1564=3),((('CAFCO 400 '!$D$23*(J1564^2)+'CAFCO 400 '!$D$24*(J1564)+'CAFCO 400 '!$D$25)*U1564^2)+(('CAFCO 400 '!$D$26*(J1564^2)+'CAFCO 400 '!$D$27*J1564+'CAFCO 400 '!$D$28)*U1564)+('CAFCO 400 '!$D$29*(J1564^2)+'CAFCO 400 '!$D$30*J1564+'CAFCO 400 '!$D$31)),0),0)+IF(AND(L1564="Cafco 300",J1564&gt;=95,J1564&lt;=240,C1564="Cj",I1564=90),VLOOKUP(T1564,'CAFCO 300 IDIEM TABLAS'!$B$4:$D$23,2,FALSE),0)+IF(AND(L1564="Cafco 300",J1564&gt;=95,J1564&lt;=240,C1564="Cj",I1564=120),VLOOKUP(T1564,'CAFCO 300 IDIEM TABLAS'!$B$4:$D$23,3,FALSE),0)+IF(AND(L1564="Cafco 300",J1564&gt;=95,J1564&lt;=400,G1564=3,C1564="IN",I1564=90),VLOOKUP(T1564,'CAFCO 300 IDIEM TABLAS'!$F$4:$H$35,2,FALSE),0)+IF(AND(L1564="Cafco 300",J1564&gt;=95,J1564&lt;=400,G1564=3,C1564="IN",I1564=120),VLOOKUP(T1564,'CAFCO 300 IDIEM TABLAS'!$F$4:$H$35,3,FALSE),0)+IF(AND(L1564="Cafco 300",J1564&gt;=95,J1564&lt;=450,G1564=4,C1564="IN",I1564=90),VLOOKUP(T1564,'CAFCO 300 IDIEM TABLAS'!$J$4:$L$40,2,FALSE),0)+IF(AND(L1564="Cafco 300",J1564&gt;=95,J1564&lt;=450,G1564=4,C1564="IN",I1564=120),VLOOKUP(T1564,'CAFCO 300 IDIEM TABLAS'!$J$4:$L$40,3,FALSE),0)+IF(AND(M1564="Ensayo Idiem",L1564="Cafco 400",C1564="IN",G1564=4,I1564=90),VLOOKUP(T1564,'CAFCO 400 ENSAYO'!$B$7:$D$43,2,FALSE),0)+IF(AND(M1564="Ensayo Idiem",L1564="Cafco 400",C1564="IN",G1564=4,I1564=120),VLOOKUP(T1564,'CAFCO 400 ENSAYO'!$B$7:$D$43,3,FALSE),0)</f>
        <v>0</v>
      </c>
      <c r="O1564" s="96">
        <f t="shared" si="156"/>
        <v>0</v>
      </c>
      <c r="P1564" s="95" t="str">
        <f t="shared" si="151"/>
        <v>N/A</v>
      </c>
      <c r="Q1564" s="95" t="str">
        <f t="shared" si="152"/>
        <v>N/A</v>
      </c>
      <c r="R1564" s="95" t="str">
        <f t="shared" si="153"/>
        <v>NO CERT.</v>
      </c>
      <c r="S1564" s="95" t="e">
        <f t="shared" si="154"/>
        <v>#N/A</v>
      </c>
      <c r="T1564" s="119" t="e">
        <f>+IF(J1564=LOOKUP(J1564,'CAFCO 300 IDIEM TABLAS'!$J$4:$J$40),'CALCULO MORTERO'!J1564,MROUND('CALCULO MORTERO'!J1564,10))</f>
        <v>#N/A</v>
      </c>
      <c r="U1564" s="118">
        <f t="shared" si="155"/>
        <v>0</v>
      </c>
    </row>
    <row r="1565" spans="1:21" x14ac:dyDescent="0.25">
      <c r="A1565" s="118">
        <f>+CUBICACION!D1559</f>
        <v>0</v>
      </c>
      <c r="B1565" s="819">
        <f>+CUBICACION!E1559</f>
        <v>0</v>
      </c>
      <c r="C1565" s="675">
        <f>+CUBICACION!F1559</f>
        <v>0</v>
      </c>
      <c r="D1565" s="118"/>
      <c r="E1565" s="118"/>
      <c r="F1565" s="820"/>
      <c r="G1565" s="675">
        <f>+CUBICACION!J1559</f>
        <v>0</v>
      </c>
      <c r="H1565" s="118"/>
      <c r="I1565" s="821">
        <f>+CUBICACION!L1559</f>
        <v>0</v>
      </c>
      <c r="J1565" s="64">
        <f>+CUBICACION!M1559</f>
        <v>0</v>
      </c>
      <c r="K1565" s="822" t="str">
        <f>+CUBICACION!N1559</f>
        <v/>
      </c>
      <c r="L1565" s="118">
        <f>+CUBICACION!O1559</f>
        <v>0</v>
      </c>
      <c r="M1565" s="823">
        <f>+CUBICACION!P1559</f>
        <v>0</v>
      </c>
      <c r="N1565" s="902">
        <f>ROUND(IF(AND(L1565="Blaze Shield II",M1565="Software Idiem",C1565="IN",G1565=4),((('BLAZE SHIELD II'!$D$4*('CALCULO MORTERO'!I1565^2)+'BLAZE SHIELD II'!$D$5*'CALCULO MORTERO'!I1565+'BLAZE SHIELD II'!$D$6)*LN(J1565))+('BLAZE SHIELD II'!$D$7*('CALCULO MORTERO'!I1565^2)+'BLAZE SHIELD II'!$D$8*'CALCULO MORTERO'!I1565+'BLAZE SHIELD II'!$D$9)),0)+IF(AND(L1565="Blaze Shield II",M1565="Software Idiem",C1565="Cj"),((('BLAZE SHIELD II'!$H$4*('CALCULO MORTERO'!I1565^2)+'BLAZE SHIELD II'!$H$5*'CALCULO MORTERO'!I1565+'BLAZE SHIELD II'!$H$6)*LN(J1565))+('BLAZE SHIELD II'!$H$7*('CALCULO MORTERO'!I1565^2)+'BLAZE SHIELD II'!$H$8*'CALCULO MORTERO'!I1565+'BLAZE SHIELD II'!$H$9)),0)+IF(AND(L1565="Blaze Shield II",M1565="Software Idiem",C1565="C"),((('BLAZE SHIELD II'!$L$4*('CALCULO MORTERO'!I1565^2)+'BLAZE SHIELD II'!$L$5*'CALCULO MORTERO'!I1565+'BLAZE SHIELD II'!$L$6)*LN(J1565))+('BLAZE SHIELD II'!$L$7*('CALCULO MORTERO'!I1565^2)+'BLAZE SHIELD II'!$L$8*'CALCULO MORTERO'!I1565+'BLAZE SHIELD II'!$L$9)),0)+IF(AND(L1565="Blaze Shield II",M1565="Software Idiem",C1565="L"),((('BLAZE SHIELD II'!$L$4*('CALCULO MORTERO'!I1565^2)+'BLAZE SHIELD II'!$L$5*'CALCULO MORTERO'!I1565+'BLAZE SHIELD II'!$L$6)*LN(J1565))+('BLAZE SHIELD II'!$L$7*('CALCULO MORTERO'!I1565^2)+'BLAZE SHIELD II'!$L$8*'CALCULO MORTERO'!I1565+'BLAZE SHIELD II'!$L$9)),0)+IF(AND(L1565="Blaze Shield II",M1565="Software Idiem",C1565="IN",G1565=3),((('BLAZE SHIELD II'!$H$14*('CALCULO MORTERO'!I1565^2)+'BLAZE SHIELD II'!$H$15*'CALCULO MORTERO'!I1565+'BLAZE SHIELD II'!$H$16)*LN(J1565))+('BLAZE SHIELD II'!$H$17*('CALCULO MORTERO'!I1565^2)+'BLAZE SHIELD II'!$H$18*'CALCULO MORTERO'!I1565+'BLAZE SHIELD II'!$H$19)),0),0)+ROUND(IF(AND(L1565="Cafco 400",M1565="Software Idiem",C1565="IN",G1565=4),((('CAFCO 400 '!$H$7*(J1565^4)+'CAFCO 400 '!$H$8*(J1565^3)+'CAFCO 400 '!$H$9*(J1565^2)+'CAFCO 400 '!$H$10*J1565+'CAFCO 400 '!$H$11)*U1565^2)+(('CAFCO 400 '!$H$12*(J1565^3)+'CAFCO 400 '!$H$13*(J1565^2)+'CAFCO 400 '!$H$14*J1565+'CAFCO 400 '!$H$15)*U1565)+('CAFCO 400 '!$H$16*(J1565^2)+'CAFCO 400 '!$H$17*J1565+'CAFCO 400 '!$H$18)),0)+IF(AND(L1565="Cafco 400",M1565="Software Idiem",C1565="Cj"),(((('CAFCO 400 '!$D$7*LN(J1565)+'CAFCO 400 '!$D$8)*U1565^2)+(('CAFCO 400 '!$D$9*LN(J1565)+'CAFCO 400 '!$D$10)*U1565)+('CAFCO 400 '!$D$11*LN(J1565)+'CAFCO 400 '!$D$12))),0)+IF(AND(L1565="Cafco 400",M1565="Software Idiem",C1565="C"),((('CAFCO 400 '!$L$7*(J1565^3)+'CAFCO 400 '!$L$8*(J1565^2)+'CAFCO 400 '!$L$9*J1565+'CAFCO 400 '!$L$10)*U1565^2)+(('CAFCO 400 '!$L$11*(J1565^3)+'CAFCO 400 '!$L$12*(J1565^2)+'CAFCO 400 '!$L$13*J1565+'CAFCO 400 '!$L$14)*U1565)+('CAFCO 400 '!$L$15*LN(J1565)+'CAFCO 400 '!$L$16)),0)+IF(AND(L1565="Cafco 400",M1565="Software Idiem",C1565="L"),((('CAFCO 400 '!$L$7*(J1565^3)+'CAFCO 400 '!$L$8*(J1565^2)+'CAFCO 400 '!$L$9*J1565+'CAFCO 400 '!$L$10)*U1565^2)+(('CAFCO 400 '!$L$11*(J1565^3)+'CAFCO 400 '!$L$12*(J1565^2)+'CAFCO 400 '!$L$13*J1565+'CAFCO 400 '!$L$14)*U1565)+('CAFCO 400 '!$L$15*LN(J1565)+'CAFCO 400 '!$L$16)),0)+IF(AND(L1565="Cafco 400",M1565="Software Idiem",C1565="IN",G1565=3),((('CAFCO 400 '!$D$23*(J1565^2)+'CAFCO 400 '!$D$24*(J1565)+'CAFCO 400 '!$D$25)*U1565^2)+(('CAFCO 400 '!$D$26*(J1565^2)+'CAFCO 400 '!$D$27*J1565+'CAFCO 400 '!$D$28)*U1565)+('CAFCO 400 '!$D$29*(J1565^2)+'CAFCO 400 '!$D$30*J1565+'CAFCO 400 '!$D$31)),0),0)+IF(AND(L1565="Cafco 300",J1565&gt;=95,J1565&lt;=240,C1565="Cj",I1565=90),VLOOKUP(T1565,'CAFCO 300 IDIEM TABLAS'!$B$4:$D$23,2,FALSE),0)+IF(AND(L1565="Cafco 300",J1565&gt;=95,J1565&lt;=240,C1565="Cj",I1565=120),VLOOKUP(T1565,'CAFCO 300 IDIEM TABLAS'!$B$4:$D$23,3,FALSE),0)+IF(AND(L1565="Cafco 300",J1565&gt;=95,J1565&lt;=400,G1565=3,C1565="IN",I1565=90),VLOOKUP(T1565,'CAFCO 300 IDIEM TABLAS'!$F$4:$H$35,2,FALSE),0)+IF(AND(L1565="Cafco 300",J1565&gt;=95,J1565&lt;=400,G1565=3,C1565="IN",I1565=120),VLOOKUP(T1565,'CAFCO 300 IDIEM TABLAS'!$F$4:$H$35,3,FALSE),0)+IF(AND(L1565="Cafco 300",J1565&gt;=95,J1565&lt;=450,G1565=4,C1565="IN",I1565=90),VLOOKUP(T1565,'CAFCO 300 IDIEM TABLAS'!$J$4:$L$40,2,FALSE),0)+IF(AND(L1565="Cafco 300",J1565&gt;=95,J1565&lt;=450,G1565=4,C1565="IN",I1565=120),VLOOKUP(T1565,'CAFCO 300 IDIEM TABLAS'!$J$4:$L$40,3,FALSE),0)+IF(AND(M1565="Ensayo Idiem",L1565="Cafco 400",C1565="IN",G1565=4,I1565=90),VLOOKUP(T1565,'CAFCO 400 ENSAYO'!$B$7:$D$43,2,FALSE),0)+IF(AND(M1565="Ensayo Idiem",L1565="Cafco 400",C1565="IN",G1565=4,I1565=120),VLOOKUP(T1565,'CAFCO 400 ENSAYO'!$B$7:$D$43,3,FALSE),0)</f>
        <v>0</v>
      </c>
      <c r="O1565" s="96">
        <f t="shared" si="156"/>
        <v>0</v>
      </c>
      <c r="P1565" s="132" t="str">
        <f t="shared" si="151"/>
        <v>N/A</v>
      </c>
      <c r="Q1565" s="132" t="str">
        <f t="shared" si="152"/>
        <v>N/A</v>
      </c>
      <c r="R1565" s="132" t="str">
        <f t="shared" si="153"/>
        <v>NO CERT.</v>
      </c>
      <c r="S1565" s="132" t="e">
        <f t="shared" si="154"/>
        <v>#N/A</v>
      </c>
      <c r="T1565" s="133" t="e">
        <f>+IF(J1565=LOOKUP(J1565,'CAFCO 300 IDIEM TABLAS'!$J$4:$J$40),'CALCULO MORTERO'!J1565,MROUND('CALCULO MORTERO'!J1565,10))</f>
        <v>#N/A</v>
      </c>
      <c r="U1565" s="134">
        <f t="shared" si="155"/>
        <v>0</v>
      </c>
    </row>
    <row r="1566" spans="1:21" x14ac:dyDescent="0.25">
      <c r="A1566" s="118">
        <f>+CUBICACION!D1560</f>
        <v>0</v>
      </c>
      <c r="B1566" s="819">
        <f>+CUBICACION!E1560</f>
        <v>0</v>
      </c>
      <c r="C1566" s="675">
        <f>+CUBICACION!F1560</f>
        <v>0</v>
      </c>
      <c r="D1566" s="118"/>
      <c r="E1566" s="118"/>
      <c r="F1566" s="820"/>
      <c r="G1566" s="675">
        <f>+CUBICACION!J1560</f>
        <v>0</v>
      </c>
      <c r="H1566" s="118"/>
      <c r="I1566" s="821">
        <f>+CUBICACION!L1560</f>
        <v>0</v>
      </c>
      <c r="J1566" s="64">
        <f>+CUBICACION!M1560</f>
        <v>0</v>
      </c>
      <c r="K1566" s="822" t="str">
        <f>+CUBICACION!N1560</f>
        <v/>
      </c>
      <c r="L1566" s="118">
        <f>+CUBICACION!O1560</f>
        <v>0</v>
      </c>
      <c r="M1566" s="823">
        <f>+CUBICACION!P1560</f>
        <v>0</v>
      </c>
      <c r="N1566" s="902">
        <f>ROUND(IF(AND(L1566="Blaze Shield II",M1566="Software Idiem",C1566="IN",G1566=4),((('BLAZE SHIELD II'!$D$4*('CALCULO MORTERO'!I1566^2)+'BLAZE SHIELD II'!$D$5*'CALCULO MORTERO'!I1566+'BLAZE SHIELD II'!$D$6)*LN(J1566))+('BLAZE SHIELD II'!$D$7*('CALCULO MORTERO'!I1566^2)+'BLAZE SHIELD II'!$D$8*'CALCULO MORTERO'!I1566+'BLAZE SHIELD II'!$D$9)),0)+IF(AND(L1566="Blaze Shield II",M1566="Software Idiem",C1566="Cj"),((('BLAZE SHIELD II'!$H$4*('CALCULO MORTERO'!I1566^2)+'BLAZE SHIELD II'!$H$5*'CALCULO MORTERO'!I1566+'BLAZE SHIELD II'!$H$6)*LN(J1566))+('BLAZE SHIELD II'!$H$7*('CALCULO MORTERO'!I1566^2)+'BLAZE SHIELD II'!$H$8*'CALCULO MORTERO'!I1566+'BLAZE SHIELD II'!$H$9)),0)+IF(AND(L1566="Blaze Shield II",M1566="Software Idiem",C1566="C"),((('BLAZE SHIELD II'!$L$4*('CALCULO MORTERO'!I1566^2)+'BLAZE SHIELD II'!$L$5*'CALCULO MORTERO'!I1566+'BLAZE SHIELD II'!$L$6)*LN(J1566))+('BLAZE SHIELD II'!$L$7*('CALCULO MORTERO'!I1566^2)+'BLAZE SHIELD II'!$L$8*'CALCULO MORTERO'!I1566+'BLAZE SHIELD II'!$L$9)),0)+IF(AND(L1566="Blaze Shield II",M1566="Software Idiem",C1566="L"),((('BLAZE SHIELD II'!$L$4*('CALCULO MORTERO'!I1566^2)+'BLAZE SHIELD II'!$L$5*'CALCULO MORTERO'!I1566+'BLAZE SHIELD II'!$L$6)*LN(J1566))+('BLAZE SHIELD II'!$L$7*('CALCULO MORTERO'!I1566^2)+'BLAZE SHIELD II'!$L$8*'CALCULO MORTERO'!I1566+'BLAZE SHIELD II'!$L$9)),0)+IF(AND(L1566="Blaze Shield II",M1566="Software Idiem",C1566="IN",G1566=3),((('BLAZE SHIELD II'!$H$14*('CALCULO MORTERO'!I1566^2)+'BLAZE SHIELD II'!$H$15*'CALCULO MORTERO'!I1566+'BLAZE SHIELD II'!$H$16)*LN(J1566))+('BLAZE SHIELD II'!$H$17*('CALCULO MORTERO'!I1566^2)+'BLAZE SHIELD II'!$H$18*'CALCULO MORTERO'!I1566+'BLAZE SHIELD II'!$H$19)),0),0)+ROUND(IF(AND(L1566="Cafco 400",M1566="Software Idiem",C1566="IN",G1566=4),((('CAFCO 400 '!$H$7*(J1566^4)+'CAFCO 400 '!$H$8*(J1566^3)+'CAFCO 400 '!$H$9*(J1566^2)+'CAFCO 400 '!$H$10*J1566+'CAFCO 400 '!$H$11)*U1566^2)+(('CAFCO 400 '!$H$12*(J1566^3)+'CAFCO 400 '!$H$13*(J1566^2)+'CAFCO 400 '!$H$14*J1566+'CAFCO 400 '!$H$15)*U1566)+('CAFCO 400 '!$H$16*(J1566^2)+'CAFCO 400 '!$H$17*J1566+'CAFCO 400 '!$H$18)),0)+IF(AND(L1566="Cafco 400",M1566="Software Idiem",C1566="Cj"),(((('CAFCO 400 '!$D$7*LN(J1566)+'CAFCO 400 '!$D$8)*U1566^2)+(('CAFCO 400 '!$D$9*LN(J1566)+'CAFCO 400 '!$D$10)*U1566)+('CAFCO 400 '!$D$11*LN(J1566)+'CAFCO 400 '!$D$12))),0)+IF(AND(L1566="Cafco 400",M1566="Software Idiem",C1566="C"),((('CAFCO 400 '!$L$7*(J1566^3)+'CAFCO 400 '!$L$8*(J1566^2)+'CAFCO 400 '!$L$9*J1566+'CAFCO 400 '!$L$10)*U1566^2)+(('CAFCO 400 '!$L$11*(J1566^3)+'CAFCO 400 '!$L$12*(J1566^2)+'CAFCO 400 '!$L$13*J1566+'CAFCO 400 '!$L$14)*U1566)+('CAFCO 400 '!$L$15*LN(J1566)+'CAFCO 400 '!$L$16)),0)+IF(AND(L1566="Cafco 400",M1566="Software Idiem",C1566="L"),((('CAFCO 400 '!$L$7*(J1566^3)+'CAFCO 400 '!$L$8*(J1566^2)+'CAFCO 400 '!$L$9*J1566+'CAFCO 400 '!$L$10)*U1566^2)+(('CAFCO 400 '!$L$11*(J1566^3)+'CAFCO 400 '!$L$12*(J1566^2)+'CAFCO 400 '!$L$13*J1566+'CAFCO 400 '!$L$14)*U1566)+('CAFCO 400 '!$L$15*LN(J1566)+'CAFCO 400 '!$L$16)),0)+IF(AND(L1566="Cafco 400",M1566="Software Idiem",C1566="IN",G1566=3),((('CAFCO 400 '!$D$23*(J1566^2)+'CAFCO 400 '!$D$24*(J1566)+'CAFCO 400 '!$D$25)*U1566^2)+(('CAFCO 400 '!$D$26*(J1566^2)+'CAFCO 400 '!$D$27*J1566+'CAFCO 400 '!$D$28)*U1566)+('CAFCO 400 '!$D$29*(J1566^2)+'CAFCO 400 '!$D$30*J1566+'CAFCO 400 '!$D$31)),0),0)+IF(AND(L1566="Cafco 300",J1566&gt;=95,J1566&lt;=240,C1566="Cj",I1566=90),VLOOKUP(T1566,'CAFCO 300 IDIEM TABLAS'!$B$4:$D$23,2,FALSE),0)+IF(AND(L1566="Cafco 300",J1566&gt;=95,J1566&lt;=240,C1566="Cj",I1566=120),VLOOKUP(T1566,'CAFCO 300 IDIEM TABLAS'!$B$4:$D$23,3,FALSE),0)+IF(AND(L1566="Cafco 300",J1566&gt;=95,J1566&lt;=400,G1566=3,C1566="IN",I1566=90),VLOOKUP(T1566,'CAFCO 300 IDIEM TABLAS'!$F$4:$H$35,2,FALSE),0)+IF(AND(L1566="Cafco 300",J1566&gt;=95,J1566&lt;=400,G1566=3,C1566="IN",I1566=120),VLOOKUP(T1566,'CAFCO 300 IDIEM TABLAS'!$F$4:$H$35,3,FALSE),0)+IF(AND(L1566="Cafco 300",J1566&gt;=95,J1566&lt;=450,G1566=4,C1566="IN",I1566=90),VLOOKUP(T1566,'CAFCO 300 IDIEM TABLAS'!$J$4:$L$40,2,FALSE),0)+IF(AND(L1566="Cafco 300",J1566&gt;=95,J1566&lt;=450,G1566=4,C1566="IN",I1566=120),VLOOKUP(T1566,'CAFCO 300 IDIEM TABLAS'!$J$4:$L$40,3,FALSE),0)+IF(AND(M1566="Ensayo Idiem",L1566="Cafco 400",C1566="IN",G1566=4,I1566=90),VLOOKUP(T1566,'CAFCO 400 ENSAYO'!$B$7:$D$43,2,FALSE),0)+IF(AND(M1566="Ensayo Idiem",L1566="Cafco 400",C1566="IN",G1566=4,I1566=120),VLOOKUP(T1566,'CAFCO 400 ENSAYO'!$B$7:$D$43,3,FALSE),0)</f>
        <v>0</v>
      </c>
      <c r="O1566" s="96">
        <f t="shared" si="156"/>
        <v>0</v>
      </c>
      <c r="P1566" s="95" t="str">
        <f t="shared" si="151"/>
        <v>N/A</v>
      </c>
      <c r="Q1566" s="95" t="str">
        <f t="shared" si="152"/>
        <v>N/A</v>
      </c>
      <c r="R1566" s="95" t="str">
        <f t="shared" si="153"/>
        <v>NO CERT.</v>
      </c>
      <c r="S1566" s="95" t="e">
        <f t="shared" si="154"/>
        <v>#N/A</v>
      </c>
      <c r="T1566" s="119" t="e">
        <f>+IF(J1566=LOOKUP(J1566,'CAFCO 300 IDIEM TABLAS'!$J$4:$J$40),'CALCULO MORTERO'!J1566,MROUND('CALCULO MORTERO'!J1566,10))</f>
        <v>#N/A</v>
      </c>
      <c r="U1566" s="118">
        <f t="shared" si="155"/>
        <v>0</v>
      </c>
    </row>
    <row r="1567" spans="1:21" x14ac:dyDescent="0.25">
      <c r="A1567" s="118">
        <f>+CUBICACION!D1561</f>
        <v>0</v>
      </c>
      <c r="B1567" s="819">
        <f>+CUBICACION!E1561</f>
        <v>0</v>
      </c>
      <c r="C1567" s="675">
        <f>+CUBICACION!F1561</f>
        <v>0</v>
      </c>
      <c r="D1567" s="118"/>
      <c r="E1567" s="118"/>
      <c r="F1567" s="820"/>
      <c r="G1567" s="675">
        <f>+CUBICACION!J1561</f>
        <v>0</v>
      </c>
      <c r="H1567" s="118"/>
      <c r="I1567" s="821">
        <f>+CUBICACION!L1561</f>
        <v>0</v>
      </c>
      <c r="J1567" s="64">
        <f>+CUBICACION!M1561</f>
        <v>0</v>
      </c>
      <c r="K1567" s="822" t="str">
        <f>+CUBICACION!N1561</f>
        <v/>
      </c>
      <c r="L1567" s="118">
        <f>+CUBICACION!O1561</f>
        <v>0</v>
      </c>
      <c r="M1567" s="823">
        <f>+CUBICACION!P1561</f>
        <v>0</v>
      </c>
      <c r="N1567" s="902">
        <f>ROUND(IF(AND(L1567="Blaze Shield II",M1567="Software Idiem",C1567="IN",G1567=4),((('BLAZE SHIELD II'!$D$4*('CALCULO MORTERO'!I1567^2)+'BLAZE SHIELD II'!$D$5*'CALCULO MORTERO'!I1567+'BLAZE SHIELD II'!$D$6)*LN(J1567))+('BLAZE SHIELD II'!$D$7*('CALCULO MORTERO'!I1567^2)+'BLAZE SHIELD II'!$D$8*'CALCULO MORTERO'!I1567+'BLAZE SHIELD II'!$D$9)),0)+IF(AND(L1567="Blaze Shield II",M1567="Software Idiem",C1567="Cj"),((('BLAZE SHIELD II'!$H$4*('CALCULO MORTERO'!I1567^2)+'BLAZE SHIELD II'!$H$5*'CALCULO MORTERO'!I1567+'BLAZE SHIELD II'!$H$6)*LN(J1567))+('BLAZE SHIELD II'!$H$7*('CALCULO MORTERO'!I1567^2)+'BLAZE SHIELD II'!$H$8*'CALCULO MORTERO'!I1567+'BLAZE SHIELD II'!$H$9)),0)+IF(AND(L1567="Blaze Shield II",M1567="Software Idiem",C1567="C"),((('BLAZE SHIELD II'!$L$4*('CALCULO MORTERO'!I1567^2)+'BLAZE SHIELD II'!$L$5*'CALCULO MORTERO'!I1567+'BLAZE SHIELD II'!$L$6)*LN(J1567))+('BLAZE SHIELD II'!$L$7*('CALCULO MORTERO'!I1567^2)+'BLAZE SHIELD II'!$L$8*'CALCULO MORTERO'!I1567+'BLAZE SHIELD II'!$L$9)),0)+IF(AND(L1567="Blaze Shield II",M1567="Software Idiem",C1567="L"),((('BLAZE SHIELD II'!$L$4*('CALCULO MORTERO'!I1567^2)+'BLAZE SHIELD II'!$L$5*'CALCULO MORTERO'!I1567+'BLAZE SHIELD II'!$L$6)*LN(J1567))+('BLAZE SHIELD II'!$L$7*('CALCULO MORTERO'!I1567^2)+'BLAZE SHIELD II'!$L$8*'CALCULO MORTERO'!I1567+'BLAZE SHIELD II'!$L$9)),0)+IF(AND(L1567="Blaze Shield II",M1567="Software Idiem",C1567="IN",G1567=3),((('BLAZE SHIELD II'!$H$14*('CALCULO MORTERO'!I1567^2)+'BLAZE SHIELD II'!$H$15*'CALCULO MORTERO'!I1567+'BLAZE SHIELD II'!$H$16)*LN(J1567))+('BLAZE SHIELD II'!$H$17*('CALCULO MORTERO'!I1567^2)+'BLAZE SHIELD II'!$H$18*'CALCULO MORTERO'!I1567+'BLAZE SHIELD II'!$H$19)),0),0)+ROUND(IF(AND(L1567="Cafco 400",M1567="Software Idiem",C1567="IN",G1567=4),((('CAFCO 400 '!$H$7*(J1567^4)+'CAFCO 400 '!$H$8*(J1567^3)+'CAFCO 400 '!$H$9*(J1567^2)+'CAFCO 400 '!$H$10*J1567+'CAFCO 400 '!$H$11)*U1567^2)+(('CAFCO 400 '!$H$12*(J1567^3)+'CAFCO 400 '!$H$13*(J1567^2)+'CAFCO 400 '!$H$14*J1567+'CAFCO 400 '!$H$15)*U1567)+('CAFCO 400 '!$H$16*(J1567^2)+'CAFCO 400 '!$H$17*J1567+'CAFCO 400 '!$H$18)),0)+IF(AND(L1567="Cafco 400",M1567="Software Idiem",C1567="Cj"),(((('CAFCO 400 '!$D$7*LN(J1567)+'CAFCO 400 '!$D$8)*U1567^2)+(('CAFCO 400 '!$D$9*LN(J1567)+'CAFCO 400 '!$D$10)*U1567)+('CAFCO 400 '!$D$11*LN(J1567)+'CAFCO 400 '!$D$12))),0)+IF(AND(L1567="Cafco 400",M1567="Software Idiem",C1567="C"),((('CAFCO 400 '!$L$7*(J1567^3)+'CAFCO 400 '!$L$8*(J1567^2)+'CAFCO 400 '!$L$9*J1567+'CAFCO 400 '!$L$10)*U1567^2)+(('CAFCO 400 '!$L$11*(J1567^3)+'CAFCO 400 '!$L$12*(J1567^2)+'CAFCO 400 '!$L$13*J1567+'CAFCO 400 '!$L$14)*U1567)+('CAFCO 400 '!$L$15*LN(J1567)+'CAFCO 400 '!$L$16)),0)+IF(AND(L1567="Cafco 400",M1567="Software Idiem",C1567="L"),((('CAFCO 400 '!$L$7*(J1567^3)+'CAFCO 400 '!$L$8*(J1567^2)+'CAFCO 400 '!$L$9*J1567+'CAFCO 400 '!$L$10)*U1567^2)+(('CAFCO 400 '!$L$11*(J1567^3)+'CAFCO 400 '!$L$12*(J1567^2)+'CAFCO 400 '!$L$13*J1567+'CAFCO 400 '!$L$14)*U1567)+('CAFCO 400 '!$L$15*LN(J1567)+'CAFCO 400 '!$L$16)),0)+IF(AND(L1567="Cafco 400",M1567="Software Idiem",C1567="IN",G1567=3),((('CAFCO 400 '!$D$23*(J1567^2)+'CAFCO 400 '!$D$24*(J1567)+'CAFCO 400 '!$D$25)*U1567^2)+(('CAFCO 400 '!$D$26*(J1567^2)+'CAFCO 400 '!$D$27*J1567+'CAFCO 400 '!$D$28)*U1567)+('CAFCO 400 '!$D$29*(J1567^2)+'CAFCO 400 '!$D$30*J1567+'CAFCO 400 '!$D$31)),0),0)+IF(AND(L1567="Cafco 300",J1567&gt;=95,J1567&lt;=240,C1567="Cj",I1567=90),VLOOKUP(T1567,'CAFCO 300 IDIEM TABLAS'!$B$4:$D$23,2,FALSE),0)+IF(AND(L1567="Cafco 300",J1567&gt;=95,J1567&lt;=240,C1567="Cj",I1567=120),VLOOKUP(T1567,'CAFCO 300 IDIEM TABLAS'!$B$4:$D$23,3,FALSE),0)+IF(AND(L1567="Cafco 300",J1567&gt;=95,J1567&lt;=400,G1567=3,C1567="IN",I1567=90),VLOOKUP(T1567,'CAFCO 300 IDIEM TABLAS'!$F$4:$H$35,2,FALSE),0)+IF(AND(L1567="Cafco 300",J1567&gt;=95,J1567&lt;=400,G1567=3,C1567="IN",I1567=120),VLOOKUP(T1567,'CAFCO 300 IDIEM TABLAS'!$F$4:$H$35,3,FALSE),0)+IF(AND(L1567="Cafco 300",J1567&gt;=95,J1567&lt;=450,G1567=4,C1567="IN",I1567=90),VLOOKUP(T1567,'CAFCO 300 IDIEM TABLAS'!$J$4:$L$40,2,FALSE),0)+IF(AND(L1567="Cafco 300",J1567&gt;=95,J1567&lt;=450,G1567=4,C1567="IN",I1567=120),VLOOKUP(T1567,'CAFCO 300 IDIEM TABLAS'!$J$4:$L$40,3,FALSE),0)+IF(AND(M1567="Ensayo Idiem",L1567="Cafco 400",C1567="IN",G1567=4,I1567=90),VLOOKUP(T1567,'CAFCO 400 ENSAYO'!$B$7:$D$43,2,FALSE),0)+IF(AND(M1567="Ensayo Idiem",L1567="Cafco 400",C1567="IN",G1567=4,I1567=120),VLOOKUP(T1567,'CAFCO 400 ENSAYO'!$B$7:$D$43,3,FALSE),0)</f>
        <v>0</v>
      </c>
      <c r="O1567" s="96">
        <f t="shared" si="156"/>
        <v>0</v>
      </c>
      <c r="P1567" s="132" t="str">
        <f t="shared" si="151"/>
        <v>N/A</v>
      </c>
      <c r="Q1567" s="132" t="str">
        <f t="shared" si="152"/>
        <v>N/A</v>
      </c>
      <c r="R1567" s="132" t="str">
        <f t="shared" si="153"/>
        <v>NO CERT.</v>
      </c>
      <c r="S1567" s="132" t="e">
        <f t="shared" si="154"/>
        <v>#N/A</v>
      </c>
      <c r="T1567" s="133" t="e">
        <f>+IF(J1567=LOOKUP(J1567,'CAFCO 300 IDIEM TABLAS'!$J$4:$J$40),'CALCULO MORTERO'!J1567,MROUND('CALCULO MORTERO'!J1567,10))</f>
        <v>#N/A</v>
      </c>
      <c r="U1567" s="134">
        <f t="shared" si="155"/>
        <v>0</v>
      </c>
    </row>
    <row r="1568" spans="1:21" x14ac:dyDescent="0.25">
      <c r="A1568" s="118">
        <f>+CUBICACION!D1562</f>
        <v>0</v>
      </c>
      <c r="B1568" s="819">
        <f>+CUBICACION!E1562</f>
        <v>0</v>
      </c>
      <c r="C1568" s="675">
        <f>+CUBICACION!F1562</f>
        <v>0</v>
      </c>
      <c r="D1568" s="118"/>
      <c r="E1568" s="118"/>
      <c r="F1568" s="820"/>
      <c r="G1568" s="675">
        <f>+CUBICACION!J1562</f>
        <v>0</v>
      </c>
      <c r="H1568" s="118"/>
      <c r="I1568" s="821">
        <f>+CUBICACION!L1562</f>
        <v>0</v>
      </c>
      <c r="J1568" s="64">
        <f>+CUBICACION!M1562</f>
        <v>0</v>
      </c>
      <c r="K1568" s="822" t="str">
        <f>+CUBICACION!N1562</f>
        <v/>
      </c>
      <c r="L1568" s="118">
        <f>+CUBICACION!O1562</f>
        <v>0</v>
      </c>
      <c r="M1568" s="823">
        <f>+CUBICACION!P1562</f>
        <v>0</v>
      </c>
      <c r="N1568" s="902">
        <f>ROUND(IF(AND(L1568="Blaze Shield II",M1568="Software Idiem",C1568="IN",G1568=4),((('BLAZE SHIELD II'!$D$4*('CALCULO MORTERO'!I1568^2)+'BLAZE SHIELD II'!$D$5*'CALCULO MORTERO'!I1568+'BLAZE SHIELD II'!$D$6)*LN(J1568))+('BLAZE SHIELD II'!$D$7*('CALCULO MORTERO'!I1568^2)+'BLAZE SHIELD II'!$D$8*'CALCULO MORTERO'!I1568+'BLAZE SHIELD II'!$D$9)),0)+IF(AND(L1568="Blaze Shield II",M1568="Software Idiem",C1568="Cj"),((('BLAZE SHIELD II'!$H$4*('CALCULO MORTERO'!I1568^2)+'BLAZE SHIELD II'!$H$5*'CALCULO MORTERO'!I1568+'BLAZE SHIELD II'!$H$6)*LN(J1568))+('BLAZE SHIELD II'!$H$7*('CALCULO MORTERO'!I1568^2)+'BLAZE SHIELD II'!$H$8*'CALCULO MORTERO'!I1568+'BLAZE SHIELD II'!$H$9)),0)+IF(AND(L1568="Blaze Shield II",M1568="Software Idiem",C1568="C"),((('BLAZE SHIELD II'!$L$4*('CALCULO MORTERO'!I1568^2)+'BLAZE SHIELD II'!$L$5*'CALCULO MORTERO'!I1568+'BLAZE SHIELD II'!$L$6)*LN(J1568))+('BLAZE SHIELD II'!$L$7*('CALCULO MORTERO'!I1568^2)+'BLAZE SHIELD II'!$L$8*'CALCULO MORTERO'!I1568+'BLAZE SHIELD II'!$L$9)),0)+IF(AND(L1568="Blaze Shield II",M1568="Software Idiem",C1568="L"),((('BLAZE SHIELD II'!$L$4*('CALCULO MORTERO'!I1568^2)+'BLAZE SHIELD II'!$L$5*'CALCULO MORTERO'!I1568+'BLAZE SHIELD II'!$L$6)*LN(J1568))+('BLAZE SHIELD II'!$L$7*('CALCULO MORTERO'!I1568^2)+'BLAZE SHIELD II'!$L$8*'CALCULO MORTERO'!I1568+'BLAZE SHIELD II'!$L$9)),0)+IF(AND(L1568="Blaze Shield II",M1568="Software Idiem",C1568="IN",G1568=3),((('BLAZE SHIELD II'!$H$14*('CALCULO MORTERO'!I1568^2)+'BLAZE SHIELD II'!$H$15*'CALCULO MORTERO'!I1568+'BLAZE SHIELD II'!$H$16)*LN(J1568))+('BLAZE SHIELD II'!$H$17*('CALCULO MORTERO'!I1568^2)+'BLAZE SHIELD II'!$H$18*'CALCULO MORTERO'!I1568+'BLAZE SHIELD II'!$H$19)),0),0)+ROUND(IF(AND(L1568="Cafco 400",M1568="Software Idiem",C1568="IN",G1568=4),((('CAFCO 400 '!$H$7*(J1568^4)+'CAFCO 400 '!$H$8*(J1568^3)+'CAFCO 400 '!$H$9*(J1568^2)+'CAFCO 400 '!$H$10*J1568+'CAFCO 400 '!$H$11)*U1568^2)+(('CAFCO 400 '!$H$12*(J1568^3)+'CAFCO 400 '!$H$13*(J1568^2)+'CAFCO 400 '!$H$14*J1568+'CAFCO 400 '!$H$15)*U1568)+('CAFCO 400 '!$H$16*(J1568^2)+'CAFCO 400 '!$H$17*J1568+'CAFCO 400 '!$H$18)),0)+IF(AND(L1568="Cafco 400",M1568="Software Idiem",C1568="Cj"),(((('CAFCO 400 '!$D$7*LN(J1568)+'CAFCO 400 '!$D$8)*U1568^2)+(('CAFCO 400 '!$D$9*LN(J1568)+'CAFCO 400 '!$D$10)*U1568)+('CAFCO 400 '!$D$11*LN(J1568)+'CAFCO 400 '!$D$12))),0)+IF(AND(L1568="Cafco 400",M1568="Software Idiem",C1568="C"),((('CAFCO 400 '!$L$7*(J1568^3)+'CAFCO 400 '!$L$8*(J1568^2)+'CAFCO 400 '!$L$9*J1568+'CAFCO 400 '!$L$10)*U1568^2)+(('CAFCO 400 '!$L$11*(J1568^3)+'CAFCO 400 '!$L$12*(J1568^2)+'CAFCO 400 '!$L$13*J1568+'CAFCO 400 '!$L$14)*U1568)+('CAFCO 400 '!$L$15*LN(J1568)+'CAFCO 400 '!$L$16)),0)+IF(AND(L1568="Cafco 400",M1568="Software Idiem",C1568="L"),((('CAFCO 400 '!$L$7*(J1568^3)+'CAFCO 400 '!$L$8*(J1568^2)+'CAFCO 400 '!$L$9*J1568+'CAFCO 400 '!$L$10)*U1568^2)+(('CAFCO 400 '!$L$11*(J1568^3)+'CAFCO 400 '!$L$12*(J1568^2)+'CAFCO 400 '!$L$13*J1568+'CAFCO 400 '!$L$14)*U1568)+('CAFCO 400 '!$L$15*LN(J1568)+'CAFCO 400 '!$L$16)),0)+IF(AND(L1568="Cafco 400",M1568="Software Idiem",C1568="IN",G1568=3),((('CAFCO 400 '!$D$23*(J1568^2)+'CAFCO 400 '!$D$24*(J1568)+'CAFCO 400 '!$D$25)*U1568^2)+(('CAFCO 400 '!$D$26*(J1568^2)+'CAFCO 400 '!$D$27*J1568+'CAFCO 400 '!$D$28)*U1568)+('CAFCO 400 '!$D$29*(J1568^2)+'CAFCO 400 '!$D$30*J1568+'CAFCO 400 '!$D$31)),0),0)+IF(AND(L1568="Cafco 300",J1568&gt;=95,J1568&lt;=240,C1568="Cj",I1568=90),VLOOKUP(T1568,'CAFCO 300 IDIEM TABLAS'!$B$4:$D$23,2,FALSE),0)+IF(AND(L1568="Cafco 300",J1568&gt;=95,J1568&lt;=240,C1568="Cj",I1568=120),VLOOKUP(T1568,'CAFCO 300 IDIEM TABLAS'!$B$4:$D$23,3,FALSE),0)+IF(AND(L1568="Cafco 300",J1568&gt;=95,J1568&lt;=400,G1568=3,C1568="IN",I1568=90),VLOOKUP(T1568,'CAFCO 300 IDIEM TABLAS'!$F$4:$H$35,2,FALSE),0)+IF(AND(L1568="Cafco 300",J1568&gt;=95,J1568&lt;=400,G1568=3,C1568="IN",I1568=120),VLOOKUP(T1568,'CAFCO 300 IDIEM TABLAS'!$F$4:$H$35,3,FALSE),0)+IF(AND(L1568="Cafco 300",J1568&gt;=95,J1568&lt;=450,G1568=4,C1568="IN",I1568=90),VLOOKUP(T1568,'CAFCO 300 IDIEM TABLAS'!$J$4:$L$40,2,FALSE),0)+IF(AND(L1568="Cafco 300",J1568&gt;=95,J1568&lt;=450,G1568=4,C1568="IN",I1568=120),VLOOKUP(T1568,'CAFCO 300 IDIEM TABLAS'!$J$4:$L$40,3,FALSE),0)+IF(AND(M1568="Ensayo Idiem",L1568="Cafco 400",C1568="IN",G1568=4,I1568=90),VLOOKUP(T1568,'CAFCO 400 ENSAYO'!$B$7:$D$43,2,FALSE),0)+IF(AND(M1568="Ensayo Idiem",L1568="Cafco 400",C1568="IN",G1568=4,I1568=120),VLOOKUP(T1568,'CAFCO 400 ENSAYO'!$B$7:$D$43,3,FALSE),0)</f>
        <v>0</v>
      </c>
      <c r="O1568" s="96">
        <f t="shared" si="156"/>
        <v>0</v>
      </c>
      <c r="P1568" s="95" t="str">
        <f t="shared" si="151"/>
        <v>N/A</v>
      </c>
      <c r="Q1568" s="95" t="str">
        <f t="shared" si="152"/>
        <v>N/A</v>
      </c>
      <c r="R1568" s="95" t="str">
        <f t="shared" si="153"/>
        <v>NO CERT.</v>
      </c>
      <c r="S1568" s="95" t="e">
        <f t="shared" si="154"/>
        <v>#N/A</v>
      </c>
      <c r="T1568" s="119" t="e">
        <f>+IF(J1568=LOOKUP(J1568,'CAFCO 300 IDIEM TABLAS'!$J$4:$J$40),'CALCULO MORTERO'!J1568,MROUND('CALCULO MORTERO'!J1568,10))</f>
        <v>#N/A</v>
      </c>
      <c r="U1568" s="118">
        <f t="shared" si="155"/>
        <v>0</v>
      </c>
    </row>
    <row r="1569" spans="1:21" x14ac:dyDescent="0.25">
      <c r="A1569" s="118">
        <f>+CUBICACION!D1563</f>
        <v>0</v>
      </c>
      <c r="B1569" s="819">
        <f>+CUBICACION!E1563</f>
        <v>0</v>
      </c>
      <c r="C1569" s="675">
        <f>+CUBICACION!F1563</f>
        <v>0</v>
      </c>
      <c r="D1569" s="118"/>
      <c r="E1569" s="118"/>
      <c r="F1569" s="820"/>
      <c r="G1569" s="675">
        <f>+CUBICACION!J1563</f>
        <v>0</v>
      </c>
      <c r="H1569" s="118"/>
      <c r="I1569" s="821">
        <f>+CUBICACION!L1563</f>
        <v>0</v>
      </c>
      <c r="J1569" s="64">
        <f>+CUBICACION!M1563</f>
        <v>0</v>
      </c>
      <c r="K1569" s="822" t="str">
        <f>+CUBICACION!N1563</f>
        <v/>
      </c>
      <c r="L1569" s="118">
        <f>+CUBICACION!O1563</f>
        <v>0</v>
      </c>
      <c r="M1569" s="823">
        <f>+CUBICACION!P1563</f>
        <v>0</v>
      </c>
      <c r="N1569" s="902">
        <f>ROUND(IF(AND(L1569="Blaze Shield II",M1569="Software Idiem",C1569="IN",G1569=4),((('BLAZE SHIELD II'!$D$4*('CALCULO MORTERO'!I1569^2)+'BLAZE SHIELD II'!$D$5*'CALCULO MORTERO'!I1569+'BLAZE SHIELD II'!$D$6)*LN(J1569))+('BLAZE SHIELD II'!$D$7*('CALCULO MORTERO'!I1569^2)+'BLAZE SHIELD II'!$D$8*'CALCULO MORTERO'!I1569+'BLAZE SHIELD II'!$D$9)),0)+IF(AND(L1569="Blaze Shield II",M1569="Software Idiem",C1569="Cj"),((('BLAZE SHIELD II'!$H$4*('CALCULO MORTERO'!I1569^2)+'BLAZE SHIELD II'!$H$5*'CALCULO MORTERO'!I1569+'BLAZE SHIELD II'!$H$6)*LN(J1569))+('BLAZE SHIELD II'!$H$7*('CALCULO MORTERO'!I1569^2)+'BLAZE SHIELD II'!$H$8*'CALCULO MORTERO'!I1569+'BLAZE SHIELD II'!$H$9)),0)+IF(AND(L1569="Blaze Shield II",M1569="Software Idiem",C1569="C"),((('BLAZE SHIELD II'!$L$4*('CALCULO MORTERO'!I1569^2)+'BLAZE SHIELD II'!$L$5*'CALCULO MORTERO'!I1569+'BLAZE SHIELD II'!$L$6)*LN(J1569))+('BLAZE SHIELD II'!$L$7*('CALCULO MORTERO'!I1569^2)+'BLAZE SHIELD II'!$L$8*'CALCULO MORTERO'!I1569+'BLAZE SHIELD II'!$L$9)),0)+IF(AND(L1569="Blaze Shield II",M1569="Software Idiem",C1569="L"),((('BLAZE SHIELD II'!$L$4*('CALCULO MORTERO'!I1569^2)+'BLAZE SHIELD II'!$L$5*'CALCULO MORTERO'!I1569+'BLAZE SHIELD II'!$L$6)*LN(J1569))+('BLAZE SHIELD II'!$L$7*('CALCULO MORTERO'!I1569^2)+'BLAZE SHIELD II'!$L$8*'CALCULO MORTERO'!I1569+'BLAZE SHIELD II'!$L$9)),0)+IF(AND(L1569="Blaze Shield II",M1569="Software Idiem",C1569="IN",G1569=3),((('BLAZE SHIELD II'!$H$14*('CALCULO MORTERO'!I1569^2)+'BLAZE SHIELD II'!$H$15*'CALCULO MORTERO'!I1569+'BLAZE SHIELD II'!$H$16)*LN(J1569))+('BLAZE SHIELD II'!$H$17*('CALCULO MORTERO'!I1569^2)+'BLAZE SHIELD II'!$H$18*'CALCULO MORTERO'!I1569+'BLAZE SHIELD II'!$H$19)),0),0)+ROUND(IF(AND(L1569="Cafco 400",M1569="Software Idiem",C1569="IN",G1569=4),((('CAFCO 400 '!$H$7*(J1569^4)+'CAFCO 400 '!$H$8*(J1569^3)+'CAFCO 400 '!$H$9*(J1569^2)+'CAFCO 400 '!$H$10*J1569+'CAFCO 400 '!$H$11)*U1569^2)+(('CAFCO 400 '!$H$12*(J1569^3)+'CAFCO 400 '!$H$13*(J1569^2)+'CAFCO 400 '!$H$14*J1569+'CAFCO 400 '!$H$15)*U1569)+('CAFCO 400 '!$H$16*(J1569^2)+'CAFCO 400 '!$H$17*J1569+'CAFCO 400 '!$H$18)),0)+IF(AND(L1569="Cafco 400",M1569="Software Idiem",C1569="Cj"),(((('CAFCO 400 '!$D$7*LN(J1569)+'CAFCO 400 '!$D$8)*U1569^2)+(('CAFCO 400 '!$D$9*LN(J1569)+'CAFCO 400 '!$D$10)*U1569)+('CAFCO 400 '!$D$11*LN(J1569)+'CAFCO 400 '!$D$12))),0)+IF(AND(L1569="Cafco 400",M1569="Software Idiem",C1569="C"),((('CAFCO 400 '!$L$7*(J1569^3)+'CAFCO 400 '!$L$8*(J1569^2)+'CAFCO 400 '!$L$9*J1569+'CAFCO 400 '!$L$10)*U1569^2)+(('CAFCO 400 '!$L$11*(J1569^3)+'CAFCO 400 '!$L$12*(J1569^2)+'CAFCO 400 '!$L$13*J1569+'CAFCO 400 '!$L$14)*U1569)+('CAFCO 400 '!$L$15*LN(J1569)+'CAFCO 400 '!$L$16)),0)+IF(AND(L1569="Cafco 400",M1569="Software Idiem",C1569="L"),((('CAFCO 400 '!$L$7*(J1569^3)+'CAFCO 400 '!$L$8*(J1569^2)+'CAFCO 400 '!$L$9*J1569+'CAFCO 400 '!$L$10)*U1569^2)+(('CAFCO 400 '!$L$11*(J1569^3)+'CAFCO 400 '!$L$12*(J1569^2)+'CAFCO 400 '!$L$13*J1569+'CAFCO 400 '!$L$14)*U1569)+('CAFCO 400 '!$L$15*LN(J1569)+'CAFCO 400 '!$L$16)),0)+IF(AND(L1569="Cafco 400",M1569="Software Idiem",C1569="IN",G1569=3),((('CAFCO 400 '!$D$23*(J1569^2)+'CAFCO 400 '!$D$24*(J1569)+'CAFCO 400 '!$D$25)*U1569^2)+(('CAFCO 400 '!$D$26*(J1569^2)+'CAFCO 400 '!$D$27*J1569+'CAFCO 400 '!$D$28)*U1569)+('CAFCO 400 '!$D$29*(J1569^2)+'CAFCO 400 '!$D$30*J1569+'CAFCO 400 '!$D$31)),0),0)+IF(AND(L1569="Cafco 300",J1569&gt;=95,J1569&lt;=240,C1569="Cj",I1569=90),VLOOKUP(T1569,'CAFCO 300 IDIEM TABLAS'!$B$4:$D$23,2,FALSE),0)+IF(AND(L1569="Cafco 300",J1569&gt;=95,J1569&lt;=240,C1569="Cj",I1569=120),VLOOKUP(T1569,'CAFCO 300 IDIEM TABLAS'!$B$4:$D$23,3,FALSE),0)+IF(AND(L1569="Cafco 300",J1569&gt;=95,J1569&lt;=400,G1569=3,C1569="IN",I1569=90),VLOOKUP(T1569,'CAFCO 300 IDIEM TABLAS'!$F$4:$H$35,2,FALSE),0)+IF(AND(L1569="Cafco 300",J1569&gt;=95,J1569&lt;=400,G1569=3,C1569="IN",I1569=120),VLOOKUP(T1569,'CAFCO 300 IDIEM TABLAS'!$F$4:$H$35,3,FALSE),0)+IF(AND(L1569="Cafco 300",J1569&gt;=95,J1569&lt;=450,G1569=4,C1569="IN",I1569=90),VLOOKUP(T1569,'CAFCO 300 IDIEM TABLAS'!$J$4:$L$40,2,FALSE),0)+IF(AND(L1569="Cafco 300",J1569&gt;=95,J1569&lt;=450,G1569=4,C1569="IN",I1569=120),VLOOKUP(T1569,'CAFCO 300 IDIEM TABLAS'!$J$4:$L$40,3,FALSE),0)+IF(AND(M1569="Ensayo Idiem",L1569="Cafco 400",C1569="IN",G1569=4,I1569=90),VLOOKUP(T1569,'CAFCO 400 ENSAYO'!$B$7:$D$43,2,FALSE),0)+IF(AND(M1569="Ensayo Idiem",L1569="Cafco 400",C1569="IN",G1569=4,I1569=120),VLOOKUP(T1569,'CAFCO 400 ENSAYO'!$B$7:$D$43,3,FALSE),0)</f>
        <v>0</v>
      </c>
      <c r="O1569" s="96">
        <f t="shared" si="156"/>
        <v>0</v>
      </c>
      <c r="P1569" s="132" t="str">
        <f t="shared" si="151"/>
        <v>N/A</v>
      </c>
      <c r="Q1569" s="132" t="str">
        <f t="shared" si="152"/>
        <v>N/A</v>
      </c>
      <c r="R1569" s="132" t="str">
        <f t="shared" si="153"/>
        <v>NO CERT.</v>
      </c>
      <c r="S1569" s="132" t="e">
        <f t="shared" si="154"/>
        <v>#N/A</v>
      </c>
      <c r="T1569" s="133" t="e">
        <f>+IF(J1569=LOOKUP(J1569,'CAFCO 300 IDIEM TABLAS'!$J$4:$J$40),'CALCULO MORTERO'!J1569,MROUND('CALCULO MORTERO'!J1569,10))</f>
        <v>#N/A</v>
      </c>
      <c r="U1569" s="134">
        <f t="shared" si="155"/>
        <v>0</v>
      </c>
    </row>
    <row r="1570" spans="1:21" x14ac:dyDescent="0.25">
      <c r="A1570" s="118">
        <f>+CUBICACION!D1564</f>
        <v>0</v>
      </c>
      <c r="B1570" s="819">
        <f>+CUBICACION!E1564</f>
        <v>0</v>
      </c>
      <c r="C1570" s="675">
        <f>+CUBICACION!F1564</f>
        <v>0</v>
      </c>
      <c r="D1570" s="118"/>
      <c r="E1570" s="118"/>
      <c r="F1570" s="820"/>
      <c r="G1570" s="675">
        <f>+CUBICACION!J1564</f>
        <v>0</v>
      </c>
      <c r="H1570" s="118"/>
      <c r="I1570" s="821">
        <f>+CUBICACION!L1564</f>
        <v>0</v>
      </c>
      <c r="J1570" s="64">
        <f>+CUBICACION!M1564</f>
        <v>0</v>
      </c>
      <c r="K1570" s="822" t="str">
        <f>+CUBICACION!N1564</f>
        <v/>
      </c>
      <c r="L1570" s="118">
        <f>+CUBICACION!O1564</f>
        <v>0</v>
      </c>
      <c r="M1570" s="823">
        <f>+CUBICACION!P1564</f>
        <v>0</v>
      </c>
      <c r="N1570" s="902">
        <f>ROUND(IF(AND(L1570="Blaze Shield II",M1570="Software Idiem",C1570="IN",G1570=4),((('BLAZE SHIELD II'!$D$4*('CALCULO MORTERO'!I1570^2)+'BLAZE SHIELD II'!$D$5*'CALCULO MORTERO'!I1570+'BLAZE SHIELD II'!$D$6)*LN(J1570))+('BLAZE SHIELD II'!$D$7*('CALCULO MORTERO'!I1570^2)+'BLAZE SHIELD II'!$D$8*'CALCULO MORTERO'!I1570+'BLAZE SHIELD II'!$D$9)),0)+IF(AND(L1570="Blaze Shield II",M1570="Software Idiem",C1570="Cj"),((('BLAZE SHIELD II'!$H$4*('CALCULO MORTERO'!I1570^2)+'BLAZE SHIELD II'!$H$5*'CALCULO MORTERO'!I1570+'BLAZE SHIELD II'!$H$6)*LN(J1570))+('BLAZE SHIELD II'!$H$7*('CALCULO MORTERO'!I1570^2)+'BLAZE SHIELD II'!$H$8*'CALCULO MORTERO'!I1570+'BLAZE SHIELD II'!$H$9)),0)+IF(AND(L1570="Blaze Shield II",M1570="Software Idiem",C1570="C"),((('BLAZE SHIELD II'!$L$4*('CALCULO MORTERO'!I1570^2)+'BLAZE SHIELD II'!$L$5*'CALCULO MORTERO'!I1570+'BLAZE SHIELD II'!$L$6)*LN(J1570))+('BLAZE SHIELD II'!$L$7*('CALCULO MORTERO'!I1570^2)+'BLAZE SHIELD II'!$L$8*'CALCULO MORTERO'!I1570+'BLAZE SHIELD II'!$L$9)),0)+IF(AND(L1570="Blaze Shield II",M1570="Software Idiem",C1570="L"),((('BLAZE SHIELD II'!$L$4*('CALCULO MORTERO'!I1570^2)+'BLAZE SHIELD II'!$L$5*'CALCULO MORTERO'!I1570+'BLAZE SHIELD II'!$L$6)*LN(J1570))+('BLAZE SHIELD II'!$L$7*('CALCULO MORTERO'!I1570^2)+'BLAZE SHIELD II'!$L$8*'CALCULO MORTERO'!I1570+'BLAZE SHIELD II'!$L$9)),0)+IF(AND(L1570="Blaze Shield II",M1570="Software Idiem",C1570="IN",G1570=3),((('BLAZE SHIELD II'!$H$14*('CALCULO MORTERO'!I1570^2)+'BLAZE SHIELD II'!$H$15*'CALCULO MORTERO'!I1570+'BLAZE SHIELD II'!$H$16)*LN(J1570))+('BLAZE SHIELD II'!$H$17*('CALCULO MORTERO'!I1570^2)+'BLAZE SHIELD II'!$H$18*'CALCULO MORTERO'!I1570+'BLAZE SHIELD II'!$H$19)),0),0)+ROUND(IF(AND(L1570="Cafco 400",M1570="Software Idiem",C1570="IN",G1570=4),((('CAFCO 400 '!$H$7*(J1570^4)+'CAFCO 400 '!$H$8*(J1570^3)+'CAFCO 400 '!$H$9*(J1570^2)+'CAFCO 400 '!$H$10*J1570+'CAFCO 400 '!$H$11)*U1570^2)+(('CAFCO 400 '!$H$12*(J1570^3)+'CAFCO 400 '!$H$13*(J1570^2)+'CAFCO 400 '!$H$14*J1570+'CAFCO 400 '!$H$15)*U1570)+('CAFCO 400 '!$H$16*(J1570^2)+'CAFCO 400 '!$H$17*J1570+'CAFCO 400 '!$H$18)),0)+IF(AND(L1570="Cafco 400",M1570="Software Idiem",C1570="Cj"),(((('CAFCO 400 '!$D$7*LN(J1570)+'CAFCO 400 '!$D$8)*U1570^2)+(('CAFCO 400 '!$D$9*LN(J1570)+'CAFCO 400 '!$D$10)*U1570)+('CAFCO 400 '!$D$11*LN(J1570)+'CAFCO 400 '!$D$12))),0)+IF(AND(L1570="Cafco 400",M1570="Software Idiem",C1570="C"),((('CAFCO 400 '!$L$7*(J1570^3)+'CAFCO 400 '!$L$8*(J1570^2)+'CAFCO 400 '!$L$9*J1570+'CAFCO 400 '!$L$10)*U1570^2)+(('CAFCO 400 '!$L$11*(J1570^3)+'CAFCO 400 '!$L$12*(J1570^2)+'CAFCO 400 '!$L$13*J1570+'CAFCO 400 '!$L$14)*U1570)+('CAFCO 400 '!$L$15*LN(J1570)+'CAFCO 400 '!$L$16)),0)+IF(AND(L1570="Cafco 400",M1570="Software Idiem",C1570="L"),((('CAFCO 400 '!$L$7*(J1570^3)+'CAFCO 400 '!$L$8*(J1570^2)+'CAFCO 400 '!$L$9*J1570+'CAFCO 400 '!$L$10)*U1570^2)+(('CAFCO 400 '!$L$11*(J1570^3)+'CAFCO 400 '!$L$12*(J1570^2)+'CAFCO 400 '!$L$13*J1570+'CAFCO 400 '!$L$14)*U1570)+('CAFCO 400 '!$L$15*LN(J1570)+'CAFCO 400 '!$L$16)),0)+IF(AND(L1570="Cafco 400",M1570="Software Idiem",C1570="IN",G1570=3),((('CAFCO 400 '!$D$23*(J1570^2)+'CAFCO 400 '!$D$24*(J1570)+'CAFCO 400 '!$D$25)*U1570^2)+(('CAFCO 400 '!$D$26*(J1570^2)+'CAFCO 400 '!$D$27*J1570+'CAFCO 400 '!$D$28)*U1570)+('CAFCO 400 '!$D$29*(J1570^2)+'CAFCO 400 '!$D$30*J1570+'CAFCO 400 '!$D$31)),0),0)+IF(AND(L1570="Cafco 300",J1570&gt;=95,J1570&lt;=240,C1570="Cj",I1570=90),VLOOKUP(T1570,'CAFCO 300 IDIEM TABLAS'!$B$4:$D$23,2,FALSE),0)+IF(AND(L1570="Cafco 300",J1570&gt;=95,J1570&lt;=240,C1570="Cj",I1570=120),VLOOKUP(T1570,'CAFCO 300 IDIEM TABLAS'!$B$4:$D$23,3,FALSE),0)+IF(AND(L1570="Cafco 300",J1570&gt;=95,J1570&lt;=400,G1570=3,C1570="IN",I1570=90),VLOOKUP(T1570,'CAFCO 300 IDIEM TABLAS'!$F$4:$H$35,2,FALSE),0)+IF(AND(L1570="Cafco 300",J1570&gt;=95,J1570&lt;=400,G1570=3,C1570="IN",I1570=120),VLOOKUP(T1570,'CAFCO 300 IDIEM TABLAS'!$F$4:$H$35,3,FALSE),0)+IF(AND(L1570="Cafco 300",J1570&gt;=95,J1570&lt;=450,G1570=4,C1570="IN",I1570=90),VLOOKUP(T1570,'CAFCO 300 IDIEM TABLAS'!$J$4:$L$40,2,FALSE),0)+IF(AND(L1570="Cafco 300",J1570&gt;=95,J1570&lt;=450,G1570=4,C1570="IN",I1570=120),VLOOKUP(T1570,'CAFCO 300 IDIEM TABLAS'!$J$4:$L$40,3,FALSE),0)+IF(AND(M1570="Ensayo Idiem",L1570="Cafco 400",C1570="IN",G1570=4,I1570=90),VLOOKUP(T1570,'CAFCO 400 ENSAYO'!$B$7:$D$43,2,FALSE),0)+IF(AND(M1570="Ensayo Idiem",L1570="Cafco 400",C1570="IN",G1570=4,I1570=120),VLOOKUP(T1570,'CAFCO 400 ENSAYO'!$B$7:$D$43,3,FALSE),0)</f>
        <v>0</v>
      </c>
      <c r="O1570" s="96">
        <f t="shared" si="156"/>
        <v>0</v>
      </c>
      <c r="P1570" s="95" t="str">
        <f t="shared" si="151"/>
        <v>N/A</v>
      </c>
      <c r="Q1570" s="95" t="str">
        <f t="shared" si="152"/>
        <v>N/A</v>
      </c>
      <c r="R1570" s="95" t="str">
        <f t="shared" si="153"/>
        <v>NO CERT.</v>
      </c>
      <c r="S1570" s="95" t="e">
        <f t="shared" si="154"/>
        <v>#N/A</v>
      </c>
      <c r="T1570" s="119" t="e">
        <f>+IF(J1570=LOOKUP(J1570,'CAFCO 300 IDIEM TABLAS'!$J$4:$J$40),'CALCULO MORTERO'!J1570,MROUND('CALCULO MORTERO'!J1570,10))</f>
        <v>#N/A</v>
      </c>
      <c r="U1570" s="118">
        <f t="shared" si="155"/>
        <v>0</v>
      </c>
    </row>
    <row r="1571" spans="1:21" x14ac:dyDescent="0.25">
      <c r="A1571" s="118">
        <f>+CUBICACION!D1565</f>
        <v>0</v>
      </c>
      <c r="B1571" s="819">
        <f>+CUBICACION!E1565</f>
        <v>0</v>
      </c>
      <c r="C1571" s="675">
        <f>+CUBICACION!F1565</f>
        <v>0</v>
      </c>
      <c r="D1571" s="118"/>
      <c r="E1571" s="118"/>
      <c r="F1571" s="820"/>
      <c r="G1571" s="675">
        <f>+CUBICACION!J1565</f>
        <v>0</v>
      </c>
      <c r="H1571" s="118"/>
      <c r="I1571" s="821">
        <f>+CUBICACION!L1565</f>
        <v>0</v>
      </c>
      <c r="J1571" s="64">
        <f>+CUBICACION!M1565</f>
        <v>0</v>
      </c>
      <c r="K1571" s="822" t="str">
        <f>+CUBICACION!N1565</f>
        <v/>
      </c>
      <c r="L1571" s="118">
        <f>+CUBICACION!O1565</f>
        <v>0</v>
      </c>
      <c r="M1571" s="823">
        <f>+CUBICACION!P1565</f>
        <v>0</v>
      </c>
      <c r="N1571" s="902">
        <f>ROUND(IF(AND(L1571="Blaze Shield II",M1571="Software Idiem",C1571="IN",G1571=4),((('BLAZE SHIELD II'!$D$4*('CALCULO MORTERO'!I1571^2)+'BLAZE SHIELD II'!$D$5*'CALCULO MORTERO'!I1571+'BLAZE SHIELD II'!$D$6)*LN(J1571))+('BLAZE SHIELD II'!$D$7*('CALCULO MORTERO'!I1571^2)+'BLAZE SHIELD II'!$D$8*'CALCULO MORTERO'!I1571+'BLAZE SHIELD II'!$D$9)),0)+IF(AND(L1571="Blaze Shield II",M1571="Software Idiem",C1571="Cj"),((('BLAZE SHIELD II'!$H$4*('CALCULO MORTERO'!I1571^2)+'BLAZE SHIELD II'!$H$5*'CALCULO MORTERO'!I1571+'BLAZE SHIELD II'!$H$6)*LN(J1571))+('BLAZE SHIELD II'!$H$7*('CALCULO MORTERO'!I1571^2)+'BLAZE SHIELD II'!$H$8*'CALCULO MORTERO'!I1571+'BLAZE SHIELD II'!$H$9)),0)+IF(AND(L1571="Blaze Shield II",M1571="Software Idiem",C1571="C"),((('BLAZE SHIELD II'!$L$4*('CALCULO MORTERO'!I1571^2)+'BLAZE SHIELD II'!$L$5*'CALCULO MORTERO'!I1571+'BLAZE SHIELD II'!$L$6)*LN(J1571))+('BLAZE SHIELD II'!$L$7*('CALCULO MORTERO'!I1571^2)+'BLAZE SHIELD II'!$L$8*'CALCULO MORTERO'!I1571+'BLAZE SHIELD II'!$L$9)),0)+IF(AND(L1571="Blaze Shield II",M1571="Software Idiem",C1571="L"),((('BLAZE SHIELD II'!$L$4*('CALCULO MORTERO'!I1571^2)+'BLAZE SHIELD II'!$L$5*'CALCULO MORTERO'!I1571+'BLAZE SHIELD II'!$L$6)*LN(J1571))+('BLAZE SHIELD II'!$L$7*('CALCULO MORTERO'!I1571^2)+'BLAZE SHIELD II'!$L$8*'CALCULO MORTERO'!I1571+'BLAZE SHIELD II'!$L$9)),0)+IF(AND(L1571="Blaze Shield II",M1571="Software Idiem",C1571="IN",G1571=3),((('BLAZE SHIELD II'!$H$14*('CALCULO MORTERO'!I1571^2)+'BLAZE SHIELD II'!$H$15*'CALCULO MORTERO'!I1571+'BLAZE SHIELD II'!$H$16)*LN(J1571))+('BLAZE SHIELD II'!$H$17*('CALCULO MORTERO'!I1571^2)+'BLAZE SHIELD II'!$H$18*'CALCULO MORTERO'!I1571+'BLAZE SHIELD II'!$H$19)),0),0)+ROUND(IF(AND(L1571="Cafco 400",M1571="Software Idiem",C1571="IN",G1571=4),((('CAFCO 400 '!$H$7*(J1571^4)+'CAFCO 400 '!$H$8*(J1571^3)+'CAFCO 400 '!$H$9*(J1571^2)+'CAFCO 400 '!$H$10*J1571+'CAFCO 400 '!$H$11)*U1571^2)+(('CAFCO 400 '!$H$12*(J1571^3)+'CAFCO 400 '!$H$13*(J1571^2)+'CAFCO 400 '!$H$14*J1571+'CAFCO 400 '!$H$15)*U1571)+('CAFCO 400 '!$H$16*(J1571^2)+'CAFCO 400 '!$H$17*J1571+'CAFCO 400 '!$H$18)),0)+IF(AND(L1571="Cafco 400",M1571="Software Idiem",C1571="Cj"),(((('CAFCO 400 '!$D$7*LN(J1571)+'CAFCO 400 '!$D$8)*U1571^2)+(('CAFCO 400 '!$D$9*LN(J1571)+'CAFCO 400 '!$D$10)*U1571)+('CAFCO 400 '!$D$11*LN(J1571)+'CAFCO 400 '!$D$12))),0)+IF(AND(L1571="Cafco 400",M1571="Software Idiem",C1571="C"),((('CAFCO 400 '!$L$7*(J1571^3)+'CAFCO 400 '!$L$8*(J1571^2)+'CAFCO 400 '!$L$9*J1571+'CAFCO 400 '!$L$10)*U1571^2)+(('CAFCO 400 '!$L$11*(J1571^3)+'CAFCO 400 '!$L$12*(J1571^2)+'CAFCO 400 '!$L$13*J1571+'CAFCO 400 '!$L$14)*U1571)+('CAFCO 400 '!$L$15*LN(J1571)+'CAFCO 400 '!$L$16)),0)+IF(AND(L1571="Cafco 400",M1571="Software Idiem",C1571="L"),((('CAFCO 400 '!$L$7*(J1571^3)+'CAFCO 400 '!$L$8*(J1571^2)+'CAFCO 400 '!$L$9*J1571+'CAFCO 400 '!$L$10)*U1571^2)+(('CAFCO 400 '!$L$11*(J1571^3)+'CAFCO 400 '!$L$12*(J1571^2)+'CAFCO 400 '!$L$13*J1571+'CAFCO 400 '!$L$14)*U1571)+('CAFCO 400 '!$L$15*LN(J1571)+'CAFCO 400 '!$L$16)),0)+IF(AND(L1571="Cafco 400",M1571="Software Idiem",C1571="IN",G1571=3),((('CAFCO 400 '!$D$23*(J1571^2)+'CAFCO 400 '!$D$24*(J1571)+'CAFCO 400 '!$D$25)*U1571^2)+(('CAFCO 400 '!$D$26*(J1571^2)+'CAFCO 400 '!$D$27*J1571+'CAFCO 400 '!$D$28)*U1571)+('CAFCO 400 '!$D$29*(J1571^2)+'CAFCO 400 '!$D$30*J1571+'CAFCO 400 '!$D$31)),0),0)+IF(AND(L1571="Cafco 300",J1571&gt;=95,J1571&lt;=240,C1571="Cj",I1571=90),VLOOKUP(T1571,'CAFCO 300 IDIEM TABLAS'!$B$4:$D$23,2,FALSE),0)+IF(AND(L1571="Cafco 300",J1571&gt;=95,J1571&lt;=240,C1571="Cj",I1571=120),VLOOKUP(T1571,'CAFCO 300 IDIEM TABLAS'!$B$4:$D$23,3,FALSE),0)+IF(AND(L1571="Cafco 300",J1571&gt;=95,J1571&lt;=400,G1571=3,C1571="IN",I1571=90),VLOOKUP(T1571,'CAFCO 300 IDIEM TABLAS'!$F$4:$H$35,2,FALSE),0)+IF(AND(L1571="Cafco 300",J1571&gt;=95,J1571&lt;=400,G1571=3,C1571="IN",I1571=120),VLOOKUP(T1571,'CAFCO 300 IDIEM TABLAS'!$F$4:$H$35,3,FALSE),0)+IF(AND(L1571="Cafco 300",J1571&gt;=95,J1571&lt;=450,G1571=4,C1571="IN",I1571=90),VLOOKUP(T1571,'CAFCO 300 IDIEM TABLAS'!$J$4:$L$40,2,FALSE),0)+IF(AND(L1571="Cafco 300",J1571&gt;=95,J1571&lt;=450,G1571=4,C1571="IN",I1571=120),VLOOKUP(T1571,'CAFCO 300 IDIEM TABLAS'!$J$4:$L$40,3,FALSE),0)+IF(AND(M1571="Ensayo Idiem",L1571="Cafco 400",C1571="IN",G1571=4,I1571=90),VLOOKUP(T1571,'CAFCO 400 ENSAYO'!$B$7:$D$43,2,FALSE),0)+IF(AND(M1571="Ensayo Idiem",L1571="Cafco 400",C1571="IN",G1571=4,I1571=120),VLOOKUP(T1571,'CAFCO 400 ENSAYO'!$B$7:$D$43,3,FALSE),0)</f>
        <v>0</v>
      </c>
      <c r="O1571" s="96">
        <f t="shared" si="156"/>
        <v>0</v>
      </c>
      <c r="P1571" s="132" t="str">
        <f t="shared" si="151"/>
        <v>N/A</v>
      </c>
      <c r="Q1571" s="132" t="str">
        <f t="shared" si="152"/>
        <v>N/A</v>
      </c>
      <c r="R1571" s="132" t="str">
        <f t="shared" si="153"/>
        <v>NO CERT.</v>
      </c>
      <c r="S1571" s="132" t="e">
        <f t="shared" si="154"/>
        <v>#N/A</v>
      </c>
      <c r="T1571" s="133" t="e">
        <f>+IF(J1571=LOOKUP(J1571,'CAFCO 300 IDIEM TABLAS'!$J$4:$J$40),'CALCULO MORTERO'!J1571,MROUND('CALCULO MORTERO'!J1571,10))</f>
        <v>#N/A</v>
      </c>
      <c r="U1571" s="134">
        <f t="shared" si="155"/>
        <v>0</v>
      </c>
    </row>
    <row r="1572" spans="1:21" x14ac:dyDescent="0.25">
      <c r="A1572" s="118">
        <f>+CUBICACION!D1566</f>
        <v>0</v>
      </c>
      <c r="B1572" s="819">
        <f>+CUBICACION!E1566</f>
        <v>0</v>
      </c>
      <c r="C1572" s="675">
        <f>+CUBICACION!F1566</f>
        <v>0</v>
      </c>
      <c r="D1572" s="118"/>
      <c r="E1572" s="118"/>
      <c r="F1572" s="820"/>
      <c r="G1572" s="675">
        <f>+CUBICACION!J1566</f>
        <v>0</v>
      </c>
      <c r="H1572" s="118"/>
      <c r="I1572" s="821">
        <f>+CUBICACION!L1566</f>
        <v>0</v>
      </c>
      <c r="J1572" s="64">
        <f>+CUBICACION!M1566</f>
        <v>0</v>
      </c>
      <c r="K1572" s="822" t="str">
        <f>+CUBICACION!N1566</f>
        <v/>
      </c>
      <c r="L1572" s="118">
        <f>+CUBICACION!O1566</f>
        <v>0</v>
      </c>
      <c r="M1572" s="823">
        <f>+CUBICACION!P1566</f>
        <v>0</v>
      </c>
      <c r="N1572" s="902">
        <f>ROUND(IF(AND(L1572="Blaze Shield II",M1572="Software Idiem",C1572="IN",G1572=4),((('BLAZE SHIELD II'!$D$4*('CALCULO MORTERO'!I1572^2)+'BLAZE SHIELD II'!$D$5*'CALCULO MORTERO'!I1572+'BLAZE SHIELD II'!$D$6)*LN(J1572))+('BLAZE SHIELD II'!$D$7*('CALCULO MORTERO'!I1572^2)+'BLAZE SHIELD II'!$D$8*'CALCULO MORTERO'!I1572+'BLAZE SHIELD II'!$D$9)),0)+IF(AND(L1572="Blaze Shield II",M1572="Software Idiem",C1572="Cj"),((('BLAZE SHIELD II'!$H$4*('CALCULO MORTERO'!I1572^2)+'BLAZE SHIELD II'!$H$5*'CALCULO MORTERO'!I1572+'BLAZE SHIELD II'!$H$6)*LN(J1572))+('BLAZE SHIELD II'!$H$7*('CALCULO MORTERO'!I1572^2)+'BLAZE SHIELD II'!$H$8*'CALCULO MORTERO'!I1572+'BLAZE SHIELD II'!$H$9)),0)+IF(AND(L1572="Blaze Shield II",M1572="Software Idiem",C1572="C"),((('BLAZE SHIELD II'!$L$4*('CALCULO MORTERO'!I1572^2)+'BLAZE SHIELD II'!$L$5*'CALCULO MORTERO'!I1572+'BLAZE SHIELD II'!$L$6)*LN(J1572))+('BLAZE SHIELD II'!$L$7*('CALCULO MORTERO'!I1572^2)+'BLAZE SHIELD II'!$L$8*'CALCULO MORTERO'!I1572+'BLAZE SHIELD II'!$L$9)),0)+IF(AND(L1572="Blaze Shield II",M1572="Software Idiem",C1572="L"),((('BLAZE SHIELD II'!$L$4*('CALCULO MORTERO'!I1572^2)+'BLAZE SHIELD II'!$L$5*'CALCULO MORTERO'!I1572+'BLAZE SHIELD II'!$L$6)*LN(J1572))+('BLAZE SHIELD II'!$L$7*('CALCULO MORTERO'!I1572^2)+'BLAZE SHIELD II'!$L$8*'CALCULO MORTERO'!I1572+'BLAZE SHIELD II'!$L$9)),0)+IF(AND(L1572="Blaze Shield II",M1572="Software Idiem",C1572="IN",G1572=3),((('BLAZE SHIELD II'!$H$14*('CALCULO MORTERO'!I1572^2)+'BLAZE SHIELD II'!$H$15*'CALCULO MORTERO'!I1572+'BLAZE SHIELD II'!$H$16)*LN(J1572))+('BLAZE SHIELD II'!$H$17*('CALCULO MORTERO'!I1572^2)+'BLAZE SHIELD II'!$H$18*'CALCULO MORTERO'!I1572+'BLAZE SHIELD II'!$H$19)),0),0)+ROUND(IF(AND(L1572="Cafco 400",M1572="Software Idiem",C1572="IN",G1572=4),((('CAFCO 400 '!$H$7*(J1572^4)+'CAFCO 400 '!$H$8*(J1572^3)+'CAFCO 400 '!$H$9*(J1572^2)+'CAFCO 400 '!$H$10*J1572+'CAFCO 400 '!$H$11)*U1572^2)+(('CAFCO 400 '!$H$12*(J1572^3)+'CAFCO 400 '!$H$13*(J1572^2)+'CAFCO 400 '!$H$14*J1572+'CAFCO 400 '!$H$15)*U1572)+('CAFCO 400 '!$H$16*(J1572^2)+'CAFCO 400 '!$H$17*J1572+'CAFCO 400 '!$H$18)),0)+IF(AND(L1572="Cafco 400",M1572="Software Idiem",C1572="Cj"),(((('CAFCO 400 '!$D$7*LN(J1572)+'CAFCO 400 '!$D$8)*U1572^2)+(('CAFCO 400 '!$D$9*LN(J1572)+'CAFCO 400 '!$D$10)*U1572)+('CAFCO 400 '!$D$11*LN(J1572)+'CAFCO 400 '!$D$12))),0)+IF(AND(L1572="Cafco 400",M1572="Software Idiem",C1572="C"),((('CAFCO 400 '!$L$7*(J1572^3)+'CAFCO 400 '!$L$8*(J1572^2)+'CAFCO 400 '!$L$9*J1572+'CAFCO 400 '!$L$10)*U1572^2)+(('CAFCO 400 '!$L$11*(J1572^3)+'CAFCO 400 '!$L$12*(J1572^2)+'CAFCO 400 '!$L$13*J1572+'CAFCO 400 '!$L$14)*U1572)+('CAFCO 400 '!$L$15*LN(J1572)+'CAFCO 400 '!$L$16)),0)+IF(AND(L1572="Cafco 400",M1572="Software Idiem",C1572="L"),((('CAFCO 400 '!$L$7*(J1572^3)+'CAFCO 400 '!$L$8*(J1572^2)+'CAFCO 400 '!$L$9*J1572+'CAFCO 400 '!$L$10)*U1572^2)+(('CAFCO 400 '!$L$11*(J1572^3)+'CAFCO 400 '!$L$12*(J1572^2)+'CAFCO 400 '!$L$13*J1572+'CAFCO 400 '!$L$14)*U1572)+('CAFCO 400 '!$L$15*LN(J1572)+'CAFCO 400 '!$L$16)),0)+IF(AND(L1572="Cafco 400",M1572="Software Idiem",C1572="IN",G1572=3),((('CAFCO 400 '!$D$23*(J1572^2)+'CAFCO 400 '!$D$24*(J1572)+'CAFCO 400 '!$D$25)*U1572^2)+(('CAFCO 400 '!$D$26*(J1572^2)+'CAFCO 400 '!$D$27*J1572+'CAFCO 400 '!$D$28)*U1572)+('CAFCO 400 '!$D$29*(J1572^2)+'CAFCO 400 '!$D$30*J1572+'CAFCO 400 '!$D$31)),0),0)+IF(AND(L1572="Cafco 300",J1572&gt;=95,J1572&lt;=240,C1572="Cj",I1572=90),VLOOKUP(T1572,'CAFCO 300 IDIEM TABLAS'!$B$4:$D$23,2,FALSE),0)+IF(AND(L1572="Cafco 300",J1572&gt;=95,J1572&lt;=240,C1572="Cj",I1572=120),VLOOKUP(T1572,'CAFCO 300 IDIEM TABLAS'!$B$4:$D$23,3,FALSE),0)+IF(AND(L1572="Cafco 300",J1572&gt;=95,J1572&lt;=400,G1572=3,C1572="IN",I1572=90),VLOOKUP(T1572,'CAFCO 300 IDIEM TABLAS'!$F$4:$H$35,2,FALSE),0)+IF(AND(L1572="Cafco 300",J1572&gt;=95,J1572&lt;=400,G1572=3,C1572="IN",I1572=120),VLOOKUP(T1572,'CAFCO 300 IDIEM TABLAS'!$F$4:$H$35,3,FALSE),0)+IF(AND(L1572="Cafco 300",J1572&gt;=95,J1572&lt;=450,G1572=4,C1572="IN",I1572=90),VLOOKUP(T1572,'CAFCO 300 IDIEM TABLAS'!$J$4:$L$40,2,FALSE),0)+IF(AND(L1572="Cafco 300",J1572&gt;=95,J1572&lt;=450,G1572=4,C1572="IN",I1572=120),VLOOKUP(T1572,'CAFCO 300 IDIEM TABLAS'!$J$4:$L$40,3,FALSE),0)+IF(AND(M1572="Ensayo Idiem",L1572="Cafco 400",C1572="IN",G1572=4,I1572=90),VLOOKUP(T1572,'CAFCO 400 ENSAYO'!$B$7:$D$43,2,FALSE),0)+IF(AND(M1572="Ensayo Idiem",L1572="Cafco 400",C1572="IN",G1572=4,I1572=120),VLOOKUP(T1572,'CAFCO 400 ENSAYO'!$B$7:$D$43,3,FALSE),0)</f>
        <v>0</v>
      </c>
      <c r="O1572" s="96">
        <f t="shared" si="156"/>
        <v>0</v>
      </c>
      <c r="P1572" s="95" t="str">
        <f t="shared" si="151"/>
        <v>N/A</v>
      </c>
      <c r="Q1572" s="95" t="str">
        <f t="shared" si="152"/>
        <v>N/A</v>
      </c>
      <c r="R1572" s="95" t="str">
        <f t="shared" si="153"/>
        <v>NO CERT.</v>
      </c>
      <c r="S1572" s="95" t="e">
        <f t="shared" si="154"/>
        <v>#N/A</v>
      </c>
      <c r="T1572" s="119" t="e">
        <f>+IF(J1572=LOOKUP(J1572,'CAFCO 300 IDIEM TABLAS'!$J$4:$J$40),'CALCULO MORTERO'!J1572,MROUND('CALCULO MORTERO'!J1572,10))</f>
        <v>#N/A</v>
      </c>
      <c r="U1572" s="118">
        <f t="shared" si="155"/>
        <v>0</v>
      </c>
    </row>
    <row r="1573" spans="1:21" x14ac:dyDescent="0.25">
      <c r="A1573" s="118">
        <f>+CUBICACION!D1567</f>
        <v>0</v>
      </c>
      <c r="B1573" s="819">
        <f>+CUBICACION!E1567</f>
        <v>0</v>
      </c>
      <c r="C1573" s="675">
        <f>+CUBICACION!F1567</f>
        <v>0</v>
      </c>
      <c r="D1573" s="118"/>
      <c r="E1573" s="118"/>
      <c r="F1573" s="820"/>
      <c r="G1573" s="675">
        <f>+CUBICACION!J1567</f>
        <v>0</v>
      </c>
      <c r="H1573" s="118"/>
      <c r="I1573" s="821">
        <f>+CUBICACION!L1567</f>
        <v>0</v>
      </c>
      <c r="J1573" s="64">
        <f>+CUBICACION!M1567</f>
        <v>0</v>
      </c>
      <c r="K1573" s="822" t="str">
        <f>+CUBICACION!N1567</f>
        <v/>
      </c>
      <c r="L1573" s="118">
        <f>+CUBICACION!O1567</f>
        <v>0</v>
      </c>
      <c r="M1573" s="823">
        <f>+CUBICACION!P1567</f>
        <v>0</v>
      </c>
      <c r="N1573" s="902">
        <f>ROUND(IF(AND(L1573="Blaze Shield II",M1573="Software Idiem",C1573="IN",G1573=4),((('BLAZE SHIELD II'!$D$4*('CALCULO MORTERO'!I1573^2)+'BLAZE SHIELD II'!$D$5*'CALCULO MORTERO'!I1573+'BLAZE SHIELD II'!$D$6)*LN(J1573))+('BLAZE SHIELD II'!$D$7*('CALCULO MORTERO'!I1573^2)+'BLAZE SHIELD II'!$D$8*'CALCULO MORTERO'!I1573+'BLAZE SHIELD II'!$D$9)),0)+IF(AND(L1573="Blaze Shield II",M1573="Software Idiem",C1573="Cj"),((('BLAZE SHIELD II'!$H$4*('CALCULO MORTERO'!I1573^2)+'BLAZE SHIELD II'!$H$5*'CALCULO MORTERO'!I1573+'BLAZE SHIELD II'!$H$6)*LN(J1573))+('BLAZE SHIELD II'!$H$7*('CALCULO MORTERO'!I1573^2)+'BLAZE SHIELD II'!$H$8*'CALCULO MORTERO'!I1573+'BLAZE SHIELD II'!$H$9)),0)+IF(AND(L1573="Blaze Shield II",M1573="Software Idiem",C1573="C"),((('BLAZE SHIELD II'!$L$4*('CALCULO MORTERO'!I1573^2)+'BLAZE SHIELD II'!$L$5*'CALCULO MORTERO'!I1573+'BLAZE SHIELD II'!$L$6)*LN(J1573))+('BLAZE SHIELD II'!$L$7*('CALCULO MORTERO'!I1573^2)+'BLAZE SHIELD II'!$L$8*'CALCULO MORTERO'!I1573+'BLAZE SHIELD II'!$L$9)),0)+IF(AND(L1573="Blaze Shield II",M1573="Software Idiem",C1573="L"),((('BLAZE SHIELD II'!$L$4*('CALCULO MORTERO'!I1573^2)+'BLAZE SHIELD II'!$L$5*'CALCULO MORTERO'!I1573+'BLAZE SHIELD II'!$L$6)*LN(J1573))+('BLAZE SHIELD II'!$L$7*('CALCULO MORTERO'!I1573^2)+'BLAZE SHIELD II'!$L$8*'CALCULO MORTERO'!I1573+'BLAZE SHIELD II'!$L$9)),0)+IF(AND(L1573="Blaze Shield II",M1573="Software Idiem",C1573="IN",G1573=3),((('BLAZE SHIELD II'!$H$14*('CALCULO MORTERO'!I1573^2)+'BLAZE SHIELD II'!$H$15*'CALCULO MORTERO'!I1573+'BLAZE SHIELD II'!$H$16)*LN(J1573))+('BLAZE SHIELD II'!$H$17*('CALCULO MORTERO'!I1573^2)+'BLAZE SHIELD II'!$H$18*'CALCULO MORTERO'!I1573+'BLAZE SHIELD II'!$H$19)),0),0)+ROUND(IF(AND(L1573="Cafco 400",M1573="Software Idiem",C1573="IN",G1573=4),((('CAFCO 400 '!$H$7*(J1573^4)+'CAFCO 400 '!$H$8*(J1573^3)+'CAFCO 400 '!$H$9*(J1573^2)+'CAFCO 400 '!$H$10*J1573+'CAFCO 400 '!$H$11)*U1573^2)+(('CAFCO 400 '!$H$12*(J1573^3)+'CAFCO 400 '!$H$13*(J1573^2)+'CAFCO 400 '!$H$14*J1573+'CAFCO 400 '!$H$15)*U1573)+('CAFCO 400 '!$H$16*(J1573^2)+'CAFCO 400 '!$H$17*J1573+'CAFCO 400 '!$H$18)),0)+IF(AND(L1573="Cafco 400",M1573="Software Idiem",C1573="Cj"),(((('CAFCO 400 '!$D$7*LN(J1573)+'CAFCO 400 '!$D$8)*U1573^2)+(('CAFCO 400 '!$D$9*LN(J1573)+'CAFCO 400 '!$D$10)*U1573)+('CAFCO 400 '!$D$11*LN(J1573)+'CAFCO 400 '!$D$12))),0)+IF(AND(L1573="Cafco 400",M1573="Software Idiem",C1573="C"),((('CAFCO 400 '!$L$7*(J1573^3)+'CAFCO 400 '!$L$8*(J1573^2)+'CAFCO 400 '!$L$9*J1573+'CAFCO 400 '!$L$10)*U1573^2)+(('CAFCO 400 '!$L$11*(J1573^3)+'CAFCO 400 '!$L$12*(J1573^2)+'CAFCO 400 '!$L$13*J1573+'CAFCO 400 '!$L$14)*U1573)+('CAFCO 400 '!$L$15*LN(J1573)+'CAFCO 400 '!$L$16)),0)+IF(AND(L1573="Cafco 400",M1573="Software Idiem",C1573="L"),((('CAFCO 400 '!$L$7*(J1573^3)+'CAFCO 400 '!$L$8*(J1573^2)+'CAFCO 400 '!$L$9*J1573+'CAFCO 400 '!$L$10)*U1573^2)+(('CAFCO 400 '!$L$11*(J1573^3)+'CAFCO 400 '!$L$12*(J1573^2)+'CAFCO 400 '!$L$13*J1573+'CAFCO 400 '!$L$14)*U1573)+('CAFCO 400 '!$L$15*LN(J1573)+'CAFCO 400 '!$L$16)),0)+IF(AND(L1573="Cafco 400",M1573="Software Idiem",C1573="IN",G1573=3),((('CAFCO 400 '!$D$23*(J1573^2)+'CAFCO 400 '!$D$24*(J1573)+'CAFCO 400 '!$D$25)*U1573^2)+(('CAFCO 400 '!$D$26*(J1573^2)+'CAFCO 400 '!$D$27*J1573+'CAFCO 400 '!$D$28)*U1573)+('CAFCO 400 '!$D$29*(J1573^2)+'CAFCO 400 '!$D$30*J1573+'CAFCO 400 '!$D$31)),0),0)+IF(AND(L1573="Cafco 300",J1573&gt;=95,J1573&lt;=240,C1573="Cj",I1573=90),VLOOKUP(T1573,'CAFCO 300 IDIEM TABLAS'!$B$4:$D$23,2,FALSE),0)+IF(AND(L1573="Cafco 300",J1573&gt;=95,J1573&lt;=240,C1573="Cj",I1573=120),VLOOKUP(T1573,'CAFCO 300 IDIEM TABLAS'!$B$4:$D$23,3,FALSE),0)+IF(AND(L1573="Cafco 300",J1573&gt;=95,J1573&lt;=400,G1573=3,C1573="IN",I1573=90),VLOOKUP(T1573,'CAFCO 300 IDIEM TABLAS'!$F$4:$H$35,2,FALSE),0)+IF(AND(L1573="Cafco 300",J1573&gt;=95,J1573&lt;=400,G1573=3,C1573="IN",I1573=120),VLOOKUP(T1573,'CAFCO 300 IDIEM TABLAS'!$F$4:$H$35,3,FALSE),0)+IF(AND(L1573="Cafco 300",J1573&gt;=95,J1573&lt;=450,G1573=4,C1573="IN",I1573=90),VLOOKUP(T1573,'CAFCO 300 IDIEM TABLAS'!$J$4:$L$40,2,FALSE),0)+IF(AND(L1573="Cafco 300",J1573&gt;=95,J1573&lt;=450,G1573=4,C1573="IN",I1573=120),VLOOKUP(T1573,'CAFCO 300 IDIEM TABLAS'!$J$4:$L$40,3,FALSE),0)+IF(AND(M1573="Ensayo Idiem",L1573="Cafco 400",C1573="IN",G1573=4,I1573=90),VLOOKUP(T1573,'CAFCO 400 ENSAYO'!$B$7:$D$43,2,FALSE),0)+IF(AND(M1573="Ensayo Idiem",L1573="Cafco 400",C1573="IN",G1573=4,I1573=120),VLOOKUP(T1573,'CAFCO 400 ENSAYO'!$B$7:$D$43,3,FALSE),0)</f>
        <v>0</v>
      </c>
      <c r="O1573" s="96">
        <f t="shared" si="156"/>
        <v>0</v>
      </c>
      <c r="P1573" s="132" t="str">
        <f t="shared" si="151"/>
        <v>N/A</v>
      </c>
      <c r="Q1573" s="132" t="str">
        <f t="shared" si="152"/>
        <v>N/A</v>
      </c>
      <c r="R1573" s="132" t="str">
        <f t="shared" si="153"/>
        <v>NO CERT.</v>
      </c>
      <c r="S1573" s="132" t="e">
        <f t="shared" si="154"/>
        <v>#N/A</v>
      </c>
      <c r="T1573" s="133" t="e">
        <f>+IF(J1573=LOOKUP(J1573,'CAFCO 300 IDIEM TABLAS'!$J$4:$J$40),'CALCULO MORTERO'!J1573,MROUND('CALCULO MORTERO'!J1573,10))</f>
        <v>#N/A</v>
      </c>
      <c r="U1573" s="134">
        <f t="shared" si="155"/>
        <v>0</v>
      </c>
    </row>
    <row r="1574" spans="1:21" x14ac:dyDescent="0.25">
      <c r="A1574" s="118">
        <f>+CUBICACION!D1568</f>
        <v>0</v>
      </c>
      <c r="B1574" s="819">
        <f>+CUBICACION!E1568</f>
        <v>0</v>
      </c>
      <c r="C1574" s="675">
        <f>+CUBICACION!F1568</f>
        <v>0</v>
      </c>
      <c r="D1574" s="118"/>
      <c r="E1574" s="118"/>
      <c r="F1574" s="820"/>
      <c r="G1574" s="675">
        <f>+CUBICACION!J1568</f>
        <v>0</v>
      </c>
      <c r="H1574" s="118"/>
      <c r="I1574" s="821">
        <f>+CUBICACION!L1568</f>
        <v>0</v>
      </c>
      <c r="J1574" s="64">
        <f>+CUBICACION!M1568</f>
        <v>0</v>
      </c>
      <c r="K1574" s="822" t="str">
        <f>+CUBICACION!N1568</f>
        <v/>
      </c>
      <c r="L1574" s="118">
        <f>+CUBICACION!O1568</f>
        <v>0</v>
      </c>
      <c r="M1574" s="823">
        <f>+CUBICACION!P1568</f>
        <v>0</v>
      </c>
      <c r="N1574" s="902">
        <f>ROUND(IF(AND(L1574="Blaze Shield II",M1574="Software Idiem",C1574="IN",G1574=4),((('BLAZE SHIELD II'!$D$4*('CALCULO MORTERO'!I1574^2)+'BLAZE SHIELD II'!$D$5*'CALCULO MORTERO'!I1574+'BLAZE SHIELD II'!$D$6)*LN(J1574))+('BLAZE SHIELD II'!$D$7*('CALCULO MORTERO'!I1574^2)+'BLAZE SHIELD II'!$D$8*'CALCULO MORTERO'!I1574+'BLAZE SHIELD II'!$D$9)),0)+IF(AND(L1574="Blaze Shield II",M1574="Software Idiem",C1574="Cj"),((('BLAZE SHIELD II'!$H$4*('CALCULO MORTERO'!I1574^2)+'BLAZE SHIELD II'!$H$5*'CALCULO MORTERO'!I1574+'BLAZE SHIELD II'!$H$6)*LN(J1574))+('BLAZE SHIELD II'!$H$7*('CALCULO MORTERO'!I1574^2)+'BLAZE SHIELD II'!$H$8*'CALCULO MORTERO'!I1574+'BLAZE SHIELD II'!$H$9)),0)+IF(AND(L1574="Blaze Shield II",M1574="Software Idiem",C1574="C"),((('BLAZE SHIELD II'!$L$4*('CALCULO MORTERO'!I1574^2)+'BLAZE SHIELD II'!$L$5*'CALCULO MORTERO'!I1574+'BLAZE SHIELD II'!$L$6)*LN(J1574))+('BLAZE SHIELD II'!$L$7*('CALCULO MORTERO'!I1574^2)+'BLAZE SHIELD II'!$L$8*'CALCULO MORTERO'!I1574+'BLAZE SHIELD II'!$L$9)),0)+IF(AND(L1574="Blaze Shield II",M1574="Software Idiem",C1574="L"),((('BLAZE SHIELD II'!$L$4*('CALCULO MORTERO'!I1574^2)+'BLAZE SHIELD II'!$L$5*'CALCULO MORTERO'!I1574+'BLAZE SHIELD II'!$L$6)*LN(J1574))+('BLAZE SHIELD II'!$L$7*('CALCULO MORTERO'!I1574^2)+'BLAZE SHIELD II'!$L$8*'CALCULO MORTERO'!I1574+'BLAZE SHIELD II'!$L$9)),0)+IF(AND(L1574="Blaze Shield II",M1574="Software Idiem",C1574="IN",G1574=3),((('BLAZE SHIELD II'!$H$14*('CALCULO MORTERO'!I1574^2)+'BLAZE SHIELD II'!$H$15*'CALCULO MORTERO'!I1574+'BLAZE SHIELD II'!$H$16)*LN(J1574))+('BLAZE SHIELD II'!$H$17*('CALCULO MORTERO'!I1574^2)+'BLAZE SHIELD II'!$H$18*'CALCULO MORTERO'!I1574+'BLAZE SHIELD II'!$H$19)),0),0)+ROUND(IF(AND(L1574="Cafco 400",M1574="Software Idiem",C1574="IN",G1574=4),((('CAFCO 400 '!$H$7*(J1574^4)+'CAFCO 400 '!$H$8*(J1574^3)+'CAFCO 400 '!$H$9*(J1574^2)+'CAFCO 400 '!$H$10*J1574+'CAFCO 400 '!$H$11)*U1574^2)+(('CAFCO 400 '!$H$12*(J1574^3)+'CAFCO 400 '!$H$13*(J1574^2)+'CAFCO 400 '!$H$14*J1574+'CAFCO 400 '!$H$15)*U1574)+('CAFCO 400 '!$H$16*(J1574^2)+'CAFCO 400 '!$H$17*J1574+'CAFCO 400 '!$H$18)),0)+IF(AND(L1574="Cafco 400",M1574="Software Idiem",C1574="Cj"),(((('CAFCO 400 '!$D$7*LN(J1574)+'CAFCO 400 '!$D$8)*U1574^2)+(('CAFCO 400 '!$D$9*LN(J1574)+'CAFCO 400 '!$D$10)*U1574)+('CAFCO 400 '!$D$11*LN(J1574)+'CAFCO 400 '!$D$12))),0)+IF(AND(L1574="Cafco 400",M1574="Software Idiem",C1574="C"),((('CAFCO 400 '!$L$7*(J1574^3)+'CAFCO 400 '!$L$8*(J1574^2)+'CAFCO 400 '!$L$9*J1574+'CAFCO 400 '!$L$10)*U1574^2)+(('CAFCO 400 '!$L$11*(J1574^3)+'CAFCO 400 '!$L$12*(J1574^2)+'CAFCO 400 '!$L$13*J1574+'CAFCO 400 '!$L$14)*U1574)+('CAFCO 400 '!$L$15*LN(J1574)+'CAFCO 400 '!$L$16)),0)+IF(AND(L1574="Cafco 400",M1574="Software Idiem",C1574="L"),((('CAFCO 400 '!$L$7*(J1574^3)+'CAFCO 400 '!$L$8*(J1574^2)+'CAFCO 400 '!$L$9*J1574+'CAFCO 400 '!$L$10)*U1574^2)+(('CAFCO 400 '!$L$11*(J1574^3)+'CAFCO 400 '!$L$12*(J1574^2)+'CAFCO 400 '!$L$13*J1574+'CAFCO 400 '!$L$14)*U1574)+('CAFCO 400 '!$L$15*LN(J1574)+'CAFCO 400 '!$L$16)),0)+IF(AND(L1574="Cafco 400",M1574="Software Idiem",C1574="IN",G1574=3),((('CAFCO 400 '!$D$23*(J1574^2)+'CAFCO 400 '!$D$24*(J1574)+'CAFCO 400 '!$D$25)*U1574^2)+(('CAFCO 400 '!$D$26*(J1574^2)+'CAFCO 400 '!$D$27*J1574+'CAFCO 400 '!$D$28)*U1574)+('CAFCO 400 '!$D$29*(J1574^2)+'CAFCO 400 '!$D$30*J1574+'CAFCO 400 '!$D$31)),0),0)+IF(AND(L1574="Cafco 300",J1574&gt;=95,J1574&lt;=240,C1574="Cj",I1574=90),VLOOKUP(T1574,'CAFCO 300 IDIEM TABLAS'!$B$4:$D$23,2,FALSE),0)+IF(AND(L1574="Cafco 300",J1574&gt;=95,J1574&lt;=240,C1574="Cj",I1574=120),VLOOKUP(T1574,'CAFCO 300 IDIEM TABLAS'!$B$4:$D$23,3,FALSE),0)+IF(AND(L1574="Cafco 300",J1574&gt;=95,J1574&lt;=400,G1574=3,C1574="IN",I1574=90),VLOOKUP(T1574,'CAFCO 300 IDIEM TABLAS'!$F$4:$H$35,2,FALSE),0)+IF(AND(L1574="Cafco 300",J1574&gt;=95,J1574&lt;=400,G1574=3,C1574="IN",I1574=120),VLOOKUP(T1574,'CAFCO 300 IDIEM TABLAS'!$F$4:$H$35,3,FALSE),0)+IF(AND(L1574="Cafco 300",J1574&gt;=95,J1574&lt;=450,G1574=4,C1574="IN",I1574=90),VLOOKUP(T1574,'CAFCO 300 IDIEM TABLAS'!$J$4:$L$40,2,FALSE),0)+IF(AND(L1574="Cafco 300",J1574&gt;=95,J1574&lt;=450,G1574=4,C1574="IN",I1574=120),VLOOKUP(T1574,'CAFCO 300 IDIEM TABLAS'!$J$4:$L$40,3,FALSE),0)+IF(AND(M1574="Ensayo Idiem",L1574="Cafco 400",C1574="IN",G1574=4,I1574=90),VLOOKUP(T1574,'CAFCO 400 ENSAYO'!$B$7:$D$43,2,FALSE),0)+IF(AND(M1574="Ensayo Idiem",L1574="Cafco 400",C1574="IN",G1574=4,I1574=120),VLOOKUP(T1574,'CAFCO 400 ENSAYO'!$B$7:$D$43,3,FALSE),0)</f>
        <v>0</v>
      </c>
      <c r="O1574" s="96">
        <f t="shared" si="156"/>
        <v>0</v>
      </c>
      <c r="P1574" s="95" t="str">
        <f t="shared" si="151"/>
        <v>N/A</v>
      </c>
      <c r="Q1574" s="95" t="str">
        <f t="shared" si="152"/>
        <v>N/A</v>
      </c>
      <c r="R1574" s="95" t="str">
        <f t="shared" si="153"/>
        <v>NO CERT.</v>
      </c>
      <c r="S1574" s="95" t="e">
        <f t="shared" si="154"/>
        <v>#N/A</v>
      </c>
      <c r="T1574" s="119" t="e">
        <f>+IF(J1574=LOOKUP(J1574,'CAFCO 300 IDIEM TABLAS'!$J$4:$J$40),'CALCULO MORTERO'!J1574,MROUND('CALCULO MORTERO'!J1574,10))</f>
        <v>#N/A</v>
      </c>
      <c r="U1574" s="118">
        <f t="shared" si="155"/>
        <v>0</v>
      </c>
    </row>
    <row r="1575" spans="1:21" x14ac:dyDescent="0.25">
      <c r="A1575" s="118">
        <f>+CUBICACION!D1569</f>
        <v>0</v>
      </c>
      <c r="B1575" s="819">
        <f>+CUBICACION!E1569</f>
        <v>0</v>
      </c>
      <c r="C1575" s="675">
        <f>+CUBICACION!F1569</f>
        <v>0</v>
      </c>
      <c r="D1575" s="118"/>
      <c r="E1575" s="118"/>
      <c r="F1575" s="820"/>
      <c r="G1575" s="675">
        <f>+CUBICACION!J1569</f>
        <v>0</v>
      </c>
      <c r="H1575" s="118"/>
      <c r="I1575" s="821">
        <f>+CUBICACION!L1569</f>
        <v>0</v>
      </c>
      <c r="J1575" s="64">
        <f>+CUBICACION!M1569</f>
        <v>0</v>
      </c>
      <c r="K1575" s="822" t="str">
        <f>+CUBICACION!N1569</f>
        <v/>
      </c>
      <c r="L1575" s="118">
        <f>+CUBICACION!O1569</f>
        <v>0</v>
      </c>
      <c r="M1575" s="823">
        <f>+CUBICACION!P1569</f>
        <v>0</v>
      </c>
      <c r="N1575" s="902">
        <f>ROUND(IF(AND(L1575="Blaze Shield II",M1575="Software Idiem",C1575="IN",G1575=4),((('BLAZE SHIELD II'!$D$4*('CALCULO MORTERO'!I1575^2)+'BLAZE SHIELD II'!$D$5*'CALCULO MORTERO'!I1575+'BLAZE SHIELD II'!$D$6)*LN(J1575))+('BLAZE SHIELD II'!$D$7*('CALCULO MORTERO'!I1575^2)+'BLAZE SHIELD II'!$D$8*'CALCULO MORTERO'!I1575+'BLAZE SHIELD II'!$D$9)),0)+IF(AND(L1575="Blaze Shield II",M1575="Software Idiem",C1575="Cj"),((('BLAZE SHIELD II'!$H$4*('CALCULO MORTERO'!I1575^2)+'BLAZE SHIELD II'!$H$5*'CALCULO MORTERO'!I1575+'BLAZE SHIELD II'!$H$6)*LN(J1575))+('BLAZE SHIELD II'!$H$7*('CALCULO MORTERO'!I1575^2)+'BLAZE SHIELD II'!$H$8*'CALCULO MORTERO'!I1575+'BLAZE SHIELD II'!$H$9)),0)+IF(AND(L1575="Blaze Shield II",M1575="Software Idiem",C1575="C"),((('BLAZE SHIELD II'!$L$4*('CALCULO MORTERO'!I1575^2)+'BLAZE SHIELD II'!$L$5*'CALCULO MORTERO'!I1575+'BLAZE SHIELD II'!$L$6)*LN(J1575))+('BLAZE SHIELD II'!$L$7*('CALCULO MORTERO'!I1575^2)+'BLAZE SHIELD II'!$L$8*'CALCULO MORTERO'!I1575+'BLAZE SHIELD II'!$L$9)),0)+IF(AND(L1575="Blaze Shield II",M1575="Software Idiem",C1575="L"),((('BLAZE SHIELD II'!$L$4*('CALCULO MORTERO'!I1575^2)+'BLAZE SHIELD II'!$L$5*'CALCULO MORTERO'!I1575+'BLAZE SHIELD II'!$L$6)*LN(J1575))+('BLAZE SHIELD II'!$L$7*('CALCULO MORTERO'!I1575^2)+'BLAZE SHIELD II'!$L$8*'CALCULO MORTERO'!I1575+'BLAZE SHIELD II'!$L$9)),0)+IF(AND(L1575="Blaze Shield II",M1575="Software Idiem",C1575="IN",G1575=3),((('BLAZE SHIELD II'!$H$14*('CALCULO MORTERO'!I1575^2)+'BLAZE SHIELD II'!$H$15*'CALCULO MORTERO'!I1575+'BLAZE SHIELD II'!$H$16)*LN(J1575))+('BLAZE SHIELD II'!$H$17*('CALCULO MORTERO'!I1575^2)+'BLAZE SHIELD II'!$H$18*'CALCULO MORTERO'!I1575+'BLAZE SHIELD II'!$H$19)),0),0)+ROUND(IF(AND(L1575="Cafco 400",M1575="Software Idiem",C1575="IN",G1575=4),((('CAFCO 400 '!$H$7*(J1575^4)+'CAFCO 400 '!$H$8*(J1575^3)+'CAFCO 400 '!$H$9*(J1575^2)+'CAFCO 400 '!$H$10*J1575+'CAFCO 400 '!$H$11)*U1575^2)+(('CAFCO 400 '!$H$12*(J1575^3)+'CAFCO 400 '!$H$13*(J1575^2)+'CAFCO 400 '!$H$14*J1575+'CAFCO 400 '!$H$15)*U1575)+('CAFCO 400 '!$H$16*(J1575^2)+'CAFCO 400 '!$H$17*J1575+'CAFCO 400 '!$H$18)),0)+IF(AND(L1575="Cafco 400",M1575="Software Idiem",C1575="Cj"),(((('CAFCO 400 '!$D$7*LN(J1575)+'CAFCO 400 '!$D$8)*U1575^2)+(('CAFCO 400 '!$D$9*LN(J1575)+'CAFCO 400 '!$D$10)*U1575)+('CAFCO 400 '!$D$11*LN(J1575)+'CAFCO 400 '!$D$12))),0)+IF(AND(L1575="Cafco 400",M1575="Software Idiem",C1575="C"),((('CAFCO 400 '!$L$7*(J1575^3)+'CAFCO 400 '!$L$8*(J1575^2)+'CAFCO 400 '!$L$9*J1575+'CAFCO 400 '!$L$10)*U1575^2)+(('CAFCO 400 '!$L$11*(J1575^3)+'CAFCO 400 '!$L$12*(J1575^2)+'CAFCO 400 '!$L$13*J1575+'CAFCO 400 '!$L$14)*U1575)+('CAFCO 400 '!$L$15*LN(J1575)+'CAFCO 400 '!$L$16)),0)+IF(AND(L1575="Cafco 400",M1575="Software Idiem",C1575="L"),((('CAFCO 400 '!$L$7*(J1575^3)+'CAFCO 400 '!$L$8*(J1575^2)+'CAFCO 400 '!$L$9*J1575+'CAFCO 400 '!$L$10)*U1575^2)+(('CAFCO 400 '!$L$11*(J1575^3)+'CAFCO 400 '!$L$12*(J1575^2)+'CAFCO 400 '!$L$13*J1575+'CAFCO 400 '!$L$14)*U1575)+('CAFCO 400 '!$L$15*LN(J1575)+'CAFCO 400 '!$L$16)),0)+IF(AND(L1575="Cafco 400",M1575="Software Idiem",C1575="IN",G1575=3),((('CAFCO 400 '!$D$23*(J1575^2)+'CAFCO 400 '!$D$24*(J1575)+'CAFCO 400 '!$D$25)*U1575^2)+(('CAFCO 400 '!$D$26*(J1575^2)+'CAFCO 400 '!$D$27*J1575+'CAFCO 400 '!$D$28)*U1575)+('CAFCO 400 '!$D$29*(J1575^2)+'CAFCO 400 '!$D$30*J1575+'CAFCO 400 '!$D$31)),0),0)+IF(AND(L1575="Cafco 300",J1575&gt;=95,J1575&lt;=240,C1575="Cj",I1575=90),VLOOKUP(T1575,'CAFCO 300 IDIEM TABLAS'!$B$4:$D$23,2,FALSE),0)+IF(AND(L1575="Cafco 300",J1575&gt;=95,J1575&lt;=240,C1575="Cj",I1575=120),VLOOKUP(T1575,'CAFCO 300 IDIEM TABLAS'!$B$4:$D$23,3,FALSE),0)+IF(AND(L1575="Cafco 300",J1575&gt;=95,J1575&lt;=400,G1575=3,C1575="IN",I1575=90),VLOOKUP(T1575,'CAFCO 300 IDIEM TABLAS'!$F$4:$H$35,2,FALSE),0)+IF(AND(L1575="Cafco 300",J1575&gt;=95,J1575&lt;=400,G1575=3,C1575="IN",I1575=120),VLOOKUP(T1575,'CAFCO 300 IDIEM TABLAS'!$F$4:$H$35,3,FALSE),0)+IF(AND(L1575="Cafco 300",J1575&gt;=95,J1575&lt;=450,G1575=4,C1575="IN",I1575=90),VLOOKUP(T1575,'CAFCO 300 IDIEM TABLAS'!$J$4:$L$40,2,FALSE),0)+IF(AND(L1575="Cafco 300",J1575&gt;=95,J1575&lt;=450,G1575=4,C1575="IN",I1575=120),VLOOKUP(T1575,'CAFCO 300 IDIEM TABLAS'!$J$4:$L$40,3,FALSE),0)+IF(AND(M1575="Ensayo Idiem",L1575="Cafco 400",C1575="IN",G1575=4,I1575=90),VLOOKUP(T1575,'CAFCO 400 ENSAYO'!$B$7:$D$43,2,FALSE),0)+IF(AND(M1575="Ensayo Idiem",L1575="Cafco 400",C1575="IN",G1575=4,I1575=120),VLOOKUP(T1575,'CAFCO 400 ENSAYO'!$B$7:$D$43,3,FALSE),0)</f>
        <v>0</v>
      </c>
      <c r="O1575" s="96">
        <f t="shared" si="156"/>
        <v>0</v>
      </c>
      <c r="P1575" s="132" t="str">
        <f t="shared" si="151"/>
        <v>N/A</v>
      </c>
      <c r="Q1575" s="132" t="str">
        <f t="shared" si="152"/>
        <v>N/A</v>
      </c>
      <c r="R1575" s="132" t="str">
        <f t="shared" si="153"/>
        <v>NO CERT.</v>
      </c>
      <c r="S1575" s="132" t="e">
        <f t="shared" si="154"/>
        <v>#N/A</v>
      </c>
      <c r="T1575" s="133" t="e">
        <f>+IF(J1575=LOOKUP(J1575,'CAFCO 300 IDIEM TABLAS'!$J$4:$J$40),'CALCULO MORTERO'!J1575,MROUND('CALCULO MORTERO'!J1575,10))</f>
        <v>#N/A</v>
      </c>
      <c r="U1575" s="134">
        <f t="shared" si="155"/>
        <v>0</v>
      </c>
    </row>
    <row r="1576" spans="1:21" x14ac:dyDescent="0.25">
      <c r="A1576" s="118">
        <f>+CUBICACION!D1570</f>
        <v>0</v>
      </c>
      <c r="B1576" s="819">
        <f>+CUBICACION!E1570</f>
        <v>0</v>
      </c>
      <c r="C1576" s="675">
        <f>+CUBICACION!F1570</f>
        <v>0</v>
      </c>
      <c r="D1576" s="118"/>
      <c r="E1576" s="118"/>
      <c r="F1576" s="820"/>
      <c r="G1576" s="675">
        <f>+CUBICACION!J1570</f>
        <v>0</v>
      </c>
      <c r="H1576" s="118"/>
      <c r="I1576" s="821">
        <f>+CUBICACION!L1570</f>
        <v>0</v>
      </c>
      <c r="J1576" s="64">
        <f>+CUBICACION!M1570</f>
        <v>0</v>
      </c>
      <c r="K1576" s="822" t="str">
        <f>+CUBICACION!N1570</f>
        <v/>
      </c>
      <c r="L1576" s="118">
        <f>+CUBICACION!O1570</f>
        <v>0</v>
      </c>
      <c r="M1576" s="823">
        <f>+CUBICACION!P1570</f>
        <v>0</v>
      </c>
      <c r="N1576" s="902">
        <f>ROUND(IF(AND(L1576="Blaze Shield II",M1576="Software Idiem",C1576="IN",G1576=4),((('BLAZE SHIELD II'!$D$4*('CALCULO MORTERO'!I1576^2)+'BLAZE SHIELD II'!$D$5*'CALCULO MORTERO'!I1576+'BLAZE SHIELD II'!$D$6)*LN(J1576))+('BLAZE SHIELD II'!$D$7*('CALCULO MORTERO'!I1576^2)+'BLAZE SHIELD II'!$D$8*'CALCULO MORTERO'!I1576+'BLAZE SHIELD II'!$D$9)),0)+IF(AND(L1576="Blaze Shield II",M1576="Software Idiem",C1576="Cj"),((('BLAZE SHIELD II'!$H$4*('CALCULO MORTERO'!I1576^2)+'BLAZE SHIELD II'!$H$5*'CALCULO MORTERO'!I1576+'BLAZE SHIELD II'!$H$6)*LN(J1576))+('BLAZE SHIELD II'!$H$7*('CALCULO MORTERO'!I1576^2)+'BLAZE SHIELD II'!$H$8*'CALCULO MORTERO'!I1576+'BLAZE SHIELD II'!$H$9)),0)+IF(AND(L1576="Blaze Shield II",M1576="Software Idiem",C1576="C"),((('BLAZE SHIELD II'!$L$4*('CALCULO MORTERO'!I1576^2)+'BLAZE SHIELD II'!$L$5*'CALCULO MORTERO'!I1576+'BLAZE SHIELD II'!$L$6)*LN(J1576))+('BLAZE SHIELD II'!$L$7*('CALCULO MORTERO'!I1576^2)+'BLAZE SHIELD II'!$L$8*'CALCULO MORTERO'!I1576+'BLAZE SHIELD II'!$L$9)),0)+IF(AND(L1576="Blaze Shield II",M1576="Software Idiem",C1576="L"),((('BLAZE SHIELD II'!$L$4*('CALCULO MORTERO'!I1576^2)+'BLAZE SHIELD II'!$L$5*'CALCULO MORTERO'!I1576+'BLAZE SHIELD II'!$L$6)*LN(J1576))+('BLAZE SHIELD II'!$L$7*('CALCULO MORTERO'!I1576^2)+'BLAZE SHIELD II'!$L$8*'CALCULO MORTERO'!I1576+'BLAZE SHIELD II'!$L$9)),0)+IF(AND(L1576="Blaze Shield II",M1576="Software Idiem",C1576="IN",G1576=3),((('BLAZE SHIELD II'!$H$14*('CALCULO MORTERO'!I1576^2)+'BLAZE SHIELD II'!$H$15*'CALCULO MORTERO'!I1576+'BLAZE SHIELD II'!$H$16)*LN(J1576))+('BLAZE SHIELD II'!$H$17*('CALCULO MORTERO'!I1576^2)+'BLAZE SHIELD II'!$H$18*'CALCULO MORTERO'!I1576+'BLAZE SHIELD II'!$H$19)),0),0)+ROUND(IF(AND(L1576="Cafco 400",M1576="Software Idiem",C1576="IN",G1576=4),((('CAFCO 400 '!$H$7*(J1576^4)+'CAFCO 400 '!$H$8*(J1576^3)+'CAFCO 400 '!$H$9*(J1576^2)+'CAFCO 400 '!$H$10*J1576+'CAFCO 400 '!$H$11)*U1576^2)+(('CAFCO 400 '!$H$12*(J1576^3)+'CAFCO 400 '!$H$13*(J1576^2)+'CAFCO 400 '!$H$14*J1576+'CAFCO 400 '!$H$15)*U1576)+('CAFCO 400 '!$H$16*(J1576^2)+'CAFCO 400 '!$H$17*J1576+'CAFCO 400 '!$H$18)),0)+IF(AND(L1576="Cafco 400",M1576="Software Idiem",C1576="Cj"),(((('CAFCO 400 '!$D$7*LN(J1576)+'CAFCO 400 '!$D$8)*U1576^2)+(('CAFCO 400 '!$D$9*LN(J1576)+'CAFCO 400 '!$D$10)*U1576)+('CAFCO 400 '!$D$11*LN(J1576)+'CAFCO 400 '!$D$12))),0)+IF(AND(L1576="Cafco 400",M1576="Software Idiem",C1576="C"),((('CAFCO 400 '!$L$7*(J1576^3)+'CAFCO 400 '!$L$8*(J1576^2)+'CAFCO 400 '!$L$9*J1576+'CAFCO 400 '!$L$10)*U1576^2)+(('CAFCO 400 '!$L$11*(J1576^3)+'CAFCO 400 '!$L$12*(J1576^2)+'CAFCO 400 '!$L$13*J1576+'CAFCO 400 '!$L$14)*U1576)+('CAFCO 400 '!$L$15*LN(J1576)+'CAFCO 400 '!$L$16)),0)+IF(AND(L1576="Cafco 400",M1576="Software Idiem",C1576="L"),((('CAFCO 400 '!$L$7*(J1576^3)+'CAFCO 400 '!$L$8*(J1576^2)+'CAFCO 400 '!$L$9*J1576+'CAFCO 400 '!$L$10)*U1576^2)+(('CAFCO 400 '!$L$11*(J1576^3)+'CAFCO 400 '!$L$12*(J1576^2)+'CAFCO 400 '!$L$13*J1576+'CAFCO 400 '!$L$14)*U1576)+('CAFCO 400 '!$L$15*LN(J1576)+'CAFCO 400 '!$L$16)),0)+IF(AND(L1576="Cafco 400",M1576="Software Idiem",C1576="IN",G1576=3),((('CAFCO 400 '!$D$23*(J1576^2)+'CAFCO 400 '!$D$24*(J1576)+'CAFCO 400 '!$D$25)*U1576^2)+(('CAFCO 400 '!$D$26*(J1576^2)+'CAFCO 400 '!$D$27*J1576+'CAFCO 400 '!$D$28)*U1576)+('CAFCO 400 '!$D$29*(J1576^2)+'CAFCO 400 '!$D$30*J1576+'CAFCO 400 '!$D$31)),0),0)+IF(AND(L1576="Cafco 300",J1576&gt;=95,J1576&lt;=240,C1576="Cj",I1576=90),VLOOKUP(T1576,'CAFCO 300 IDIEM TABLAS'!$B$4:$D$23,2,FALSE),0)+IF(AND(L1576="Cafco 300",J1576&gt;=95,J1576&lt;=240,C1576="Cj",I1576=120),VLOOKUP(T1576,'CAFCO 300 IDIEM TABLAS'!$B$4:$D$23,3,FALSE),0)+IF(AND(L1576="Cafco 300",J1576&gt;=95,J1576&lt;=400,G1576=3,C1576="IN",I1576=90),VLOOKUP(T1576,'CAFCO 300 IDIEM TABLAS'!$F$4:$H$35,2,FALSE),0)+IF(AND(L1576="Cafco 300",J1576&gt;=95,J1576&lt;=400,G1576=3,C1576="IN",I1576=120),VLOOKUP(T1576,'CAFCO 300 IDIEM TABLAS'!$F$4:$H$35,3,FALSE),0)+IF(AND(L1576="Cafco 300",J1576&gt;=95,J1576&lt;=450,G1576=4,C1576="IN",I1576=90),VLOOKUP(T1576,'CAFCO 300 IDIEM TABLAS'!$J$4:$L$40,2,FALSE),0)+IF(AND(L1576="Cafco 300",J1576&gt;=95,J1576&lt;=450,G1576=4,C1576="IN",I1576=120),VLOOKUP(T1576,'CAFCO 300 IDIEM TABLAS'!$J$4:$L$40,3,FALSE),0)+IF(AND(M1576="Ensayo Idiem",L1576="Cafco 400",C1576="IN",G1576=4,I1576=90),VLOOKUP(T1576,'CAFCO 400 ENSAYO'!$B$7:$D$43,2,FALSE),0)+IF(AND(M1576="Ensayo Idiem",L1576="Cafco 400",C1576="IN",G1576=4,I1576=120),VLOOKUP(T1576,'CAFCO 400 ENSAYO'!$B$7:$D$43,3,FALSE),0)</f>
        <v>0</v>
      </c>
      <c r="O1576" s="96">
        <f t="shared" si="156"/>
        <v>0</v>
      </c>
      <c r="P1576" s="95" t="str">
        <f t="shared" si="151"/>
        <v>N/A</v>
      </c>
      <c r="Q1576" s="95" t="str">
        <f t="shared" si="152"/>
        <v>N/A</v>
      </c>
      <c r="R1576" s="95" t="str">
        <f t="shared" si="153"/>
        <v>NO CERT.</v>
      </c>
      <c r="S1576" s="95" t="e">
        <f t="shared" si="154"/>
        <v>#N/A</v>
      </c>
      <c r="T1576" s="119" t="e">
        <f>+IF(J1576=LOOKUP(J1576,'CAFCO 300 IDIEM TABLAS'!$J$4:$J$40),'CALCULO MORTERO'!J1576,MROUND('CALCULO MORTERO'!J1576,10))</f>
        <v>#N/A</v>
      </c>
      <c r="U1576" s="118">
        <f t="shared" si="155"/>
        <v>0</v>
      </c>
    </row>
    <row r="1577" spans="1:21" x14ac:dyDescent="0.25">
      <c r="A1577" s="118">
        <f>+CUBICACION!D1571</f>
        <v>0</v>
      </c>
      <c r="B1577" s="819">
        <f>+CUBICACION!E1571</f>
        <v>0</v>
      </c>
      <c r="C1577" s="675">
        <f>+CUBICACION!F1571</f>
        <v>0</v>
      </c>
      <c r="D1577" s="118"/>
      <c r="E1577" s="118"/>
      <c r="F1577" s="820"/>
      <c r="G1577" s="675">
        <f>+CUBICACION!J1571</f>
        <v>0</v>
      </c>
      <c r="H1577" s="118"/>
      <c r="I1577" s="821">
        <f>+CUBICACION!L1571</f>
        <v>0</v>
      </c>
      <c r="J1577" s="64">
        <f>+CUBICACION!M1571</f>
        <v>0</v>
      </c>
      <c r="K1577" s="822" t="str">
        <f>+CUBICACION!N1571</f>
        <v/>
      </c>
      <c r="L1577" s="118">
        <f>+CUBICACION!O1571</f>
        <v>0</v>
      </c>
      <c r="M1577" s="823">
        <f>+CUBICACION!P1571</f>
        <v>0</v>
      </c>
      <c r="N1577" s="902">
        <f>ROUND(IF(AND(L1577="Blaze Shield II",M1577="Software Idiem",C1577="IN",G1577=4),((('BLAZE SHIELD II'!$D$4*('CALCULO MORTERO'!I1577^2)+'BLAZE SHIELD II'!$D$5*'CALCULO MORTERO'!I1577+'BLAZE SHIELD II'!$D$6)*LN(J1577))+('BLAZE SHIELD II'!$D$7*('CALCULO MORTERO'!I1577^2)+'BLAZE SHIELD II'!$D$8*'CALCULO MORTERO'!I1577+'BLAZE SHIELD II'!$D$9)),0)+IF(AND(L1577="Blaze Shield II",M1577="Software Idiem",C1577="Cj"),((('BLAZE SHIELD II'!$H$4*('CALCULO MORTERO'!I1577^2)+'BLAZE SHIELD II'!$H$5*'CALCULO MORTERO'!I1577+'BLAZE SHIELD II'!$H$6)*LN(J1577))+('BLAZE SHIELD II'!$H$7*('CALCULO MORTERO'!I1577^2)+'BLAZE SHIELD II'!$H$8*'CALCULO MORTERO'!I1577+'BLAZE SHIELD II'!$H$9)),0)+IF(AND(L1577="Blaze Shield II",M1577="Software Idiem",C1577="C"),((('BLAZE SHIELD II'!$L$4*('CALCULO MORTERO'!I1577^2)+'BLAZE SHIELD II'!$L$5*'CALCULO MORTERO'!I1577+'BLAZE SHIELD II'!$L$6)*LN(J1577))+('BLAZE SHIELD II'!$L$7*('CALCULO MORTERO'!I1577^2)+'BLAZE SHIELD II'!$L$8*'CALCULO MORTERO'!I1577+'BLAZE SHIELD II'!$L$9)),0)+IF(AND(L1577="Blaze Shield II",M1577="Software Idiem",C1577="L"),((('BLAZE SHIELD II'!$L$4*('CALCULO MORTERO'!I1577^2)+'BLAZE SHIELD II'!$L$5*'CALCULO MORTERO'!I1577+'BLAZE SHIELD II'!$L$6)*LN(J1577))+('BLAZE SHIELD II'!$L$7*('CALCULO MORTERO'!I1577^2)+'BLAZE SHIELD II'!$L$8*'CALCULO MORTERO'!I1577+'BLAZE SHIELD II'!$L$9)),0)+IF(AND(L1577="Blaze Shield II",M1577="Software Idiem",C1577="IN",G1577=3),((('BLAZE SHIELD II'!$H$14*('CALCULO MORTERO'!I1577^2)+'BLAZE SHIELD II'!$H$15*'CALCULO MORTERO'!I1577+'BLAZE SHIELD II'!$H$16)*LN(J1577))+('BLAZE SHIELD II'!$H$17*('CALCULO MORTERO'!I1577^2)+'BLAZE SHIELD II'!$H$18*'CALCULO MORTERO'!I1577+'BLAZE SHIELD II'!$H$19)),0),0)+ROUND(IF(AND(L1577="Cafco 400",M1577="Software Idiem",C1577="IN",G1577=4),((('CAFCO 400 '!$H$7*(J1577^4)+'CAFCO 400 '!$H$8*(J1577^3)+'CAFCO 400 '!$H$9*(J1577^2)+'CAFCO 400 '!$H$10*J1577+'CAFCO 400 '!$H$11)*U1577^2)+(('CAFCO 400 '!$H$12*(J1577^3)+'CAFCO 400 '!$H$13*(J1577^2)+'CAFCO 400 '!$H$14*J1577+'CAFCO 400 '!$H$15)*U1577)+('CAFCO 400 '!$H$16*(J1577^2)+'CAFCO 400 '!$H$17*J1577+'CAFCO 400 '!$H$18)),0)+IF(AND(L1577="Cafco 400",M1577="Software Idiem",C1577="Cj"),(((('CAFCO 400 '!$D$7*LN(J1577)+'CAFCO 400 '!$D$8)*U1577^2)+(('CAFCO 400 '!$D$9*LN(J1577)+'CAFCO 400 '!$D$10)*U1577)+('CAFCO 400 '!$D$11*LN(J1577)+'CAFCO 400 '!$D$12))),0)+IF(AND(L1577="Cafco 400",M1577="Software Idiem",C1577="C"),((('CAFCO 400 '!$L$7*(J1577^3)+'CAFCO 400 '!$L$8*(J1577^2)+'CAFCO 400 '!$L$9*J1577+'CAFCO 400 '!$L$10)*U1577^2)+(('CAFCO 400 '!$L$11*(J1577^3)+'CAFCO 400 '!$L$12*(J1577^2)+'CAFCO 400 '!$L$13*J1577+'CAFCO 400 '!$L$14)*U1577)+('CAFCO 400 '!$L$15*LN(J1577)+'CAFCO 400 '!$L$16)),0)+IF(AND(L1577="Cafco 400",M1577="Software Idiem",C1577="L"),((('CAFCO 400 '!$L$7*(J1577^3)+'CAFCO 400 '!$L$8*(J1577^2)+'CAFCO 400 '!$L$9*J1577+'CAFCO 400 '!$L$10)*U1577^2)+(('CAFCO 400 '!$L$11*(J1577^3)+'CAFCO 400 '!$L$12*(J1577^2)+'CAFCO 400 '!$L$13*J1577+'CAFCO 400 '!$L$14)*U1577)+('CAFCO 400 '!$L$15*LN(J1577)+'CAFCO 400 '!$L$16)),0)+IF(AND(L1577="Cafco 400",M1577="Software Idiem",C1577="IN",G1577=3),((('CAFCO 400 '!$D$23*(J1577^2)+'CAFCO 400 '!$D$24*(J1577)+'CAFCO 400 '!$D$25)*U1577^2)+(('CAFCO 400 '!$D$26*(J1577^2)+'CAFCO 400 '!$D$27*J1577+'CAFCO 400 '!$D$28)*U1577)+('CAFCO 400 '!$D$29*(J1577^2)+'CAFCO 400 '!$D$30*J1577+'CAFCO 400 '!$D$31)),0),0)+IF(AND(L1577="Cafco 300",J1577&gt;=95,J1577&lt;=240,C1577="Cj",I1577=90),VLOOKUP(T1577,'CAFCO 300 IDIEM TABLAS'!$B$4:$D$23,2,FALSE),0)+IF(AND(L1577="Cafco 300",J1577&gt;=95,J1577&lt;=240,C1577="Cj",I1577=120),VLOOKUP(T1577,'CAFCO 300 IDIEM TABLAS'!$B$4:$D$23,3,FALSE),0)+IF(AND(L1577="Cafco 300",J1577&gt;=95,J1577&lt;=400,G1577=3,C1577="IN",I1577=90),VLOOKUP(T1577,'CAFCO 300 IDIEM TABLAS'!$F$4:$H$35,2,FALSE),0)+IF(AND(L1577="Cafco 300",J1577&gt;=95,J1577&lt;=400,G1577=3,C1577="IN",I1577=120),VLOOKUP(T1577,'CAFCO 300 IDIEM TABLAS'!$F$4:$H$35,3,FALSE),0)+IF(AND(L1577="Cafco 300",J1577&gt;=95,J1577&lt;=450,G1577=4,C1577="IN",I1577=90),VLOOKUP(T1577,'CAFCO 300 IDIEM TABLAS'!$J$4:$L$40,2,FALSE),0)+IF(AND(L1577="Cafco 300",J1577&gt;=95,J1577&lt;=450,G1577=4,C1577="IN",I1577=120),VLOOKUP(T1577,'CAFCO 300 IDIEM TABLAS'!$J$4:$L$40,3,FALSE),0)+IF(AND(M1577="Ensayo Idiem",L1577="Cafco 400",C1577="IN",G1577=4,I1577=90),VLOOKUP(T1577,'CAFCO 400 ENSAYO'!$B$7:$D$43,2,FALSE),0)+IF(AND(M1577="Ensayo Idiem",L1577="Cafco 400",C1577="IN",G1577=4,I1577=120),VLOOKUP(T1577,'CAFCO 400 ENSAYO'!$B$7:$D$43,3,FALSE),0)</f>
        <v>0</v>
      </c>
      <c r="O1577" s="96">
        <f t="shared" si="156"/>
        <v>0</v>
      </c>
      <c r="P1577" s="132" t="str">
        <f t="shared" si="151"/>
        <v>N/A</v>
      </c>
      <c r="Q1577" s="132" t="str">
        <f t="shared" si="152"/>
        <v>N/A</v>
      </c>
      <c r="R1577" s="132" t="str">
        <f t="shared" si="153"/>
        <v>NO CERT.</v>
      </c>
      <c r="S1577" s="132" t="e">
        <f t="shared" si="154"/>
        <v>#N/A</v>
      </c>
      <c r="T1577" s="133" t="e">
        <f>+IF(J1577=LOOKUP(J1577,'CAFCO 300 IDIEM TABLAS'!$J$4:$J$40),'CALCULO MORTERO'!J1577,MROUND('CALCULO MORTERO'!J1577,10))</f>
        <v>#N/A</v>
      </c>
      <c r="U1577" s="134">
        <f t="shared" si="155"/>
        <v>0</v>
      </c>
    </row>
    <row r="1578" spans="1:21" x14ac:dyDescent="0.25">
      <c r="A1578" s="118">
        <f>+CUBICACION!D1572</f>
        <v>0</v>
      </c>
      <c r="B1578" s="819">
        <f>+CUBICACION!E1572</f>
        <v>0</v>
      </c>
      <c r="C1578" s="675">
        <f>+CUBICACION!F1572</f>
        <v>0</v>
      </c>
      <c r="D1578" s="118"/>
      <c r="E1578" s="118"/>
      <c r="F1578" s="820"/>
      <c r="G1578" s="675">
        <f>+CUBICACION!J1572</f>
        <v>0</v>
      </c>
      <c r="H1578" s="118"/>
      <c r="I1578" s="821">
        <f>+CUBICACION!L1572</f>
        <v>0</v>
      </c>
      <c r="J1578" s="64">
        <f>+CUBICACION!M1572</f>
        <v>0</v>
      </c>
      <c r="K1578" s="822" t="str">
        <f>+CUBICACION!N1572</f>
        <v/>
      </c>
      <c r="L1578" s="118">
        <f>+CUBICACION!O1572</f>
        <v>0</v>
      </c>
      <c r="M1578" s="823">
        <f>+CUBICACION!P1572</f>
        <v>0</v>
      </c>
      <c r="N1578" s="902">
        <f>ROUND(IF(AND(L1578="Blaze Shield II",M1578="Software Idiem",C1578="IN",G1578=4),((('BLAZE SHIELD II'!$D$4*('CALCULO MORTERO'!I1578^2)+'BLAZE SHIELD II'!$D$5*'CALCULO MORTERO'!I1578+'BLAZE SHIELD II'!$D$6)*LN(J1578))+('BLAZE SHIELD II'!$D$7*('CALCULO MORTERO'!I1578^2)+'BLAZE SHIELD II'!$D$8*'CALCULO MORTERO'!I1578+'BLAZE SHIELD II'!$D$9)),0)+IF(AND(L1578="Blaze Shield II",M1578="Software Idiem",C1578="Cj"),((('BLAZE SHIELD II'!$H$4*('CALCULO MORTERO'!I1578^2)+'BLAZE SHIELD II'!$H$5*'CALCULO MORTERO'!I1578+'BLAZE SHIELD II'!$H$6)*LN(J1578))+('BLAZE SHIELD II'!$H$7*('CALCULO MORTERO'!I1578^2)+'BLAZE SHIELD II'!$H$8*'CALCULO MORTERO'!I1578+'BLAZE SHIELD II'!$H$9)),0)+IF(AND(L1578="Blaze Shield II",M1578="Software Idiem",C1578="C"),((('BLAZE SHIELD II'!$L$4*('CALCULO MORTERO'!I1578^2)+'BLAZE SHIELD II'!$L$5*'CALCULO MORTERO'!I1578+'BLAZE SHIELD II'!$L$6)*LN(J1578))+('BLAZE SHIELD II'!$L$7*('CALCULO MORTERO'!I1578^2)+'BLAZE SHIELD II'!$L$8*'CALCULO MORTERO'!I1578+'BLAZE SHIELD II'!$L$9)),0)+IF(AND(L1578="Blaze Shield II",M1578="Software Idiem",C1578="L"),((('BLAZE SHIELD II'!$L$4*('CALCULO MORTERO'!I1578^2)+'BLAZE SHIELD II'!$L$5*'CALCULO MORTERO'!I1578+'BLAZE SHIELD II'!$L$6)*LN(J1578))+('BLAZE SHIELD II'!$L$7*('CALCULO MORTERO'!I1578^2)+'BLAZE SHIELD II'!$L$8*'CALCULO MORTERO'!I1578+'BLAZE SHIELD II'!$L$9)),0)+IF(AND(L1578="Blaze Shield II",M1578="Software Idiem",C1578="IN",G1578=3),((('BLAZE SHIELD II'!$H$14*('CALCULO MORTERO'!I1578^2)+'BLAZE SHIELD II'!$H$15*'CALCULO MORTERO'!I1578+'BLAZE SHIELD II'!$H$16)*LN(J1578))+('BLAZE SHIELD II'!$H$17*('CALCULO MORTERO'!I1578^2)+'BLAZE SHIELD II'!$H$18*'CALCULO MORTERO'!I1578+'BLAZE SHIELD II'!$H$19)),0),0)+ROUND(IF(AND(L1578="Cafco 400",M1578="Software Idiem",C1578="IN",G1578=4),((('CAFCO 400 '!$H$7*(J1578^4)+'CAFCO 400 '!$H$8*(J1578^3)+'CAFCO 400 '!$H$9*(J1578^2)+'CAFCO 400 '!$H$10*J1578+'CAFCO 400 '!$H$11)*U1578^2)+(('CAFCO 400 '!$H$12*(J1578^3)+'CAFCO 400 '!$H$13*(J1578^2)+'CAFCO 400 '!$H$14*J1578+'CAFCO 400 '!$H$15)*U1578)+('CAFCO 400 '!$H$16*(J1578^2)+'CAFCO 400 '!$H$17*J1578+'CAFCO 400 '!$H$18)),0)+IF(AND(L1578="Cafco 400",M1578="Software Idiem",C1578="Cj"),(((('CAFCO 400 '!$D$7*LN(J1578)+'CAFCO 400 '!$D$8)*U1578^2)+(('CAFCO 400 '!$D$9*LN(J1578)+'CAFCO 400 '!$D$10)*U1578)+('CAFCO 400 '!$D$11*LN(J1578)+'CAFCO 400 '!$D$12))),0)+IF(AND(L1578="Cafco 400",M1578="Software Idiem",C1578="C"),((('CAFCO 400 '!$L$7*(J1578^3)+'CAFCO 400 '!$L$8*(J1578^2)+'CAFCO 400 '!$L$9*J1578+'CAFCO 400 '!$L$10)*U1578^2)+(('CAFCO 400 '!$L$11*(J1578^3)+'CAFCO 400 '!$L$12*(J1578^2)+'CAFCO 400 '!$L$13*J1578+'CAFCO 400 '!$L$14)*U1578)+('CAFCO 400 '!$L$15*LN(J1578)+'CAFCO 400 '!$L$16)),0)+IF(AND(L1578="Cafco 400",M1578="Software Idiem",C1578="L"),((('CAFCO 400 '!$L$7*(J1578^3)+'CAFCO 400 '!$L$8*(J1578^2)+'CAFCO 400 '!$L$9*J1578+'CAFCO 400 '!$L$10)*U1578^2)+(('CAFCO 400 '!$L$11*(J1578^3)+'CAFCO 400 '!$L$12*(J1578^2)+'CAFCO 400 '!$L$13*J1578+'CAFCO 400 '!$L$14)*U1578)+('CAFCO 400 '!$L$15*LN(J1578)+'CAFCO 400 '!$L$16)),0)+IF(AND(L1578="Cafco 400",M1578="Software Idiem",C1578="IN",G1578=3),((('CAFCO 400 '!$D$23*(J1578^2)+'CAFCO 400 '!$D$24*(J1578)+'CAFCO 400 '!$D$25)*U1578^2)+(('CAFCO 400 '!$D$26*(J1578^2)+'CAFCO 400 '!$D$27*J1578+'CAFCO 400 '!$D$28)*U1578)+('CAFCO 400 '!$D$29*(J1578^2)+'CAFCO 400 '!$D$30*J1578+'CAFCO 400 '!$D$31)),0),0)+IF(AND(L1578="Cafco 300",J1578&gt;=95,J1578&lt;=240,C1578="Cj",I1578=90),VLOOKUP(T1578,'CAFCO 300 IDIEM TABLAS'!$B$4:$D$23,2,FALSE),0)+IF(AND(L1578="Cafco 300",J1578&gt;=95,J1578&lt;=240,C1578="Cj",I1578=120),VLOOKUP(T1578,'CAFCO 300 IDIEM TABLAS'!$B$4:$D$23,3,FALSE),0)+IF(AND(L1578="Cafco 300",J1578&gt;=95,J1578&lt;=400,G1578=3,C1578="IN",I1578=90),VLOOKUP(T1578,'CAFCO 300 IDIEM TABLAS'!$F$4:$H$35,2,FALSE),0)+IF(AND(L1578="Cafco 300",J1578&gt;=95,J1578&lt;=400,G1578=3,C1578="IN",I1578=120),VLOOKUP(T1578,'CAFCO 300 IDIEM TABLAS'!$F$4:$H$35,3,FALSE),0)+IF(AND(L1578="Cafco 300",J1578&gt;=95,J1578&lt;=450,G1578=4,C1578="IN",I1578=90),VLOOKUP(T1578,'CAFCO 300 IDIEM TABLAS'!$J$4:$L$40,2,FALSE),0)+IF(AND(L1578="Cafco 300",J1578&gt;=95,J1578&lt;=450,G1578=4,C1578="IN",I1578=120),VLOOKUP(T1578,'CAFCO 300 IDIEM TABLAS'!$J$4:$L$40,3,FALSE),0)+IF(AND(M1578="Ensayo Idiem",L1578="Cafco 400",C1578="IN",G1578=4,I1578=90),VLOOKUP(T1578,'CAFCO 400 ENSAYO'!$B$7:$D$43,2,FALSE),0)+IF(AND(M1578="Ensayo Idiem",L1578="Cafco 400",C1578="IN",G1578=4,I1578=120),VLOOKUP(T1578,'CAFCO 400 ENSAYO'!$B$7:$D$43,3,FALSE),0)</f>
        <v>0</v>
      </c>
      <c r="O1578" s="96">
        <f t="shared" si="156"/>
        <v>0</v>
      </c>
      <c r="P1578" s="95" t="str">
        <f t="shared" si="151"/>
        <v>N/A</v>
      </c>
      <c r="Q1578" s="95" t="str">
        <f t="shared" si="152"/>
        <v>N/A</v>
      </c>
      <c r="R1578" s="95" t="str">
        <f t="shared" si="153"/>
        <v>NO CERT.</v>
      </c>
      <c r="S1578" s="95" t="e">
        <f t="shared" si="154"/>
        <v>#N/A</v>
      </c>
      <c r="T1578" s="119" t="e">
        <f>+IF(J1578=LOOKUP(J1578,'CAFCO 300 IDIEM TABLAS'!$J$4:$J$40),'CALCULO MORTERO'!J1578,MROUND('CALCULO MORTERO'!J1578,10))</f>
        <v>#N/A</v>
      </c>
      <c r="U1578" s="118">
        <f t="shared" si="155"/>
        <v>0</v>
      </c>
    </row>
    <row r="1579" spans="1:21" x14ac:dyDescent="0.25">
      <c r="A1579" s="118">
        <f>+CUBICACION!D1573</f>
        <v>0</v>
      </c>
      <c r="B1579" s="819">
        <f>+CUBICACION!E1573</f>
        <v>0</v>
      </c>
      <c r="C1579" s="675">
        <f>+CUBICACION!F1573</f>
        <v>0</v>
      </c>
      <c r="D1579" s="118"/>
      <c r="E1579" s="118"/>
      <c r="F1579" s="820"/>
      <c r="G1579" s="675">
        <f>+CUBICACION!J1573</f>
        <v>0</v>
      </c>
      <c r="H1579" s="118"/>
      <c r="I1579" s="821">
        <f>+CUBICACION!L1573</f>
        <v>0</v>
      </c>
      <c r="J1579" s="64">
        <f>+CUBICACION!M1573</f>
        <v>0</v>
      </c>
      <c r="K1579" s="822" t="str">
        <f>+CUBICACION!N1573</f>
        <v/>
      </c>
      <c r="L1579" s="118">
        <f>+CUBICACION!O1573</f>
        <v>0</v>
      </c>
      <c r="M1579" s="823">
        <f>+CUBICACION!P1573</f>
        <v>0</v>
      </c>
      <c r="N1579" s="902">
        <f>ROUND(IF(AND(L1579="Blaze Shield II",M1579="Software Idiem",C1579="IN",G1579=4),((('BLAZE SHIELD II'!$D$4*('CALCULO MORTERO'!I1579^2)+'BLAZE SHIELD II'!$D$5*'CALCULO MORTERO'!I1579+'BLAZE SHIELD II'!$D$6)*LN(J1579))+('BLAZE SHIELD II'!$D$7*('CALCULO MORTERO'!I1579^2)+'BLAZE SHIELD II'!$D$8*'CALCULO MORTERO'!I1579+'BLAZE SHIELD II'!$D$9)),0)+IF(AND(L1579="Blaze Shield II",M1579="Software Idiem",C1579="Cj"),((('BLAZE SHIELD II'!$H$4*('CALCULO MORTERO'!I1579^2)+'BLAZE SHIELD II'!$H$5*'CALCULO MORTERO'!I1579+'BLAZE SHIELD II'!$H$6)*LN(J1579))+('BLAZE SHIELD II'!$H$7*('CALCULO MORTERO'!I1579^2)+'BLAZE SHIELD II'!$H$8*'CALCULO MORTERO'!I1579+'BLAZE SHIELD II'!$H$9)),0)+IF(AND(L1579="Blaze Shield II",M1579="Software Idiem",C1579="C"),((('BLAZE SHIELD II'!$L$4*('CALCULO MORTERO'!I1579^2)+'BLAZE SHIELD II'!$L$5*'CALCULO MORTERO'!I1579+'BLAZE SHIELD II'!$L$6)*LN(J1579))+('BLAZE SHIELD II'!$L$7*('CALCULO MORTERO'!I1579^2)+'BLAZE SHIELD II'!$L$8*'CALCULO MORTERO'!I1579+'BLAZE SHIELD II'!$L$9)),0)+IF(AND(L1579="Blaze Shield II",M1579="Software Idiem",C1579="L"),((('BLAZE SHIELD II'!$L$4*('CALCULO MORTERO'!I1579^2)+'BLAZE SHIELD II'!$L$5*'CALCULO MORTERO'!I1579+'BLAZE SHIELD II'!$L$6)*LN(J1579))+('BLAZE SHIELD II'!$L$7*('CALCULO MORTERO'!I1579^2)+'BLAZE SHIELD II'!$L$8*'CALCULO MORTERO'!I1579+'BLAZE SHIELD II'!$L$9)),0)+IF(AND(L1579="Blaze Shield II",M1579="Software Idiem",C1579="IN",G1579=3),((('BLAZE SHIELD II'!$H$14*('CALCULO MORTERO'!I1579^2)+'BLAZE SHIELD II'!$H$15*'CALCULO MORTERO'!I1579+'BLAZE SHIELD II'!$H$16)*LN(J1579))+('BLAZE SHIELD II'!$H$17*('CALCULO MORTERO'!I1579^2)+'BLAZE SHIELD II'!$H$18*'CALCULO MORTERO'!I1579+'BLAZE SHIELD II'!$H$19)),0),0)+ROUND(IF(AND(L1579="Cafco 400",M1579="Software Idiem",C1579="IN",G1579=4),((('CAFCO 400 '!$H$7*(J1579^4)+'CAFCO 400 '!$H$8*(J1579^3)+'CAFCO 400 '!$H$9*(J1579^2)+'CAFCO 400 '!$H$10*J1579+'CAFCO 400 '!$H$11)*U1579^2)+(('CAFCO 400 '!$H$12*(J1579^3)+'CAFCO 400 '!$H$13*(J1579^2)+'CAFCO 400 '!$H$14*J1579+'CAFCO 400 '!$H$15)*U1579)+('CAFCO 400 '!$H$16*(J1579^2)+'CAFCO 400 '!$H$17*J1579+'CAFCO 400 '!$H$18)),0)+IF(AND(L1579="Cafco 400",M1579="Software Idiem",C1579="Cj"),(((('CAFCO 400 '!$D$7*LN(J1579)+'CAFCO 400 '!$D$8)*U1579^2)+(('CAFCO 400 '!$D$9*LN(J1579)+'CAFCO 400 '!$D$10)*U1579)+('CAFCO 400 '!$D$11*LN(J1579)+'CAFCO 400 '!$D$12))),0)+IF(AND(L1579="Cafco 400",M1579="Software Idiem",C1579="C"),((('CAFCO 400 '!$L$7*(J1579^3)+'CAFCO 400 '!$L$8*(J1579^2)+'CAFCO 400 '!$L$9*J1579+'CAFCO 400 '!$L$10)*U1579^2)+(('CAFCO 400 '!$L$11*(J1579^3)+'CAFCO 400 '!$L$12*(J1579^2)+'CAFCO 400 '!$L$13*J1579+'CAFCO 400 '!$L$14)*U1579)+('CAFCO 400 '!$L$15*LN(J1579)+'CAFCO 400 '!$L$16)),0)+IF(AND(L1579="Cafco 400",M1579="Software Idiem",C1579="L"),((('CAFCO 400 '!$L$7*(J1579^3)+'CAFCO 400 '!$L$8*(J1579^2)+'CAFCO 400 '!$L$9*J1579+'CAFCO 400 '!$L$10)*U1579^2)+(('CAFCO 400 '!$L$11*(J1579^3)+'CAFCO 400 '!$L$12*(J1579^2)+'CAFCO 400 '!$L$13*J1579+'CAFCO 400 '!$L$14)*U1579)+('CAFCO 400 '!$L$15*LN(J1579)+'CAFCO 400 '!$L$16)),0)+IF(AND(L1579="Cafco 400",M1579="Software Idiem",C1579="IN",G1579=3),((('CAFCO 400 '!$D$23*(J1579^2)+'CAFCO 400 '!$D$24*(J1579)+'CAFCO 400 '!$D$25)*U1579^2)+(('CAFCO 400 '!$D$26*(J1579^2)+'CAFCO 400 '!$D$27*J1579+'CAFCO 400 '!$D$28)*U1579)+('CAFCO 400 '!$D$29*(J1579^2)+'CAFCO 400 '!$D$30*J1579+'CAFCO 400 '!$D$31)),0),0)+IF(AND(L1579="Cafco 300",J1579&gt;=95,J1579&lt;=240,C1579="Cj",I1579=90),VLOOKUP(T1579,'CAFCO 300 IDIEM TABLAS'!$B$4:$D$23,2,FALSE),0)+IF(AND(L1579="Cafco 300",J1579&gt;=95,J1579&lt;=240,C1579="Cj",I1579=120),VLOOKUP(T1579,'CAFCO 300 IDIEM TABLAS'!$B$4:$D$23,3,FALSE),0)+IF(AND(L1579="Cafco 300",J1579&gt;=95,J1579&lt;=400,G1579=3,C1579="IN",I1579=90),VLOOKUP(T1579,'CAFCO 300 IDIEM TABLAS'!$F$4:$H$35,2,FALSE),0)+IF(AND(L1579="Cafco 300",J1579&gt;=95,J1579&lt;=400,G1579=3,C1579="IN",I1579=120),VLOOKUP(T1579,'CAFCO 300 IDIEM TABLAS'!$F$4:$H$35,3,FALSE),0)+IF(AND(L1579="Cafco 300",J1579&gt;=95,J1579&lt;=450,G1579=4,C1579="IN",I1579=90),VLOOKUP(T1579,'CAFCO 300 IDIEM TABLAS'!$J$4:$L$40,2,FALSE),0)+IF(AND(L1579="Cafco 300",J1579&gt;=95,J1579&lt;=450,G1579=4,C1579="IN",I1579=120),VLOOKUP(T1579,'CAFCO 300 IDIEM TABLAS'!$J$4:$L$40,3,FALSE),0)+IF(AND(M1579="Ensayo Idiem",L1579="Cafco 400",C1579="IN",G1579=4,I1579=90),VLOOKUP(T1579,'CAFCO 400 ENSAYO'!$B$7:$D$43,2,FALSE),0)+IF(AND(M1579="Ensayo Idiem",L1579="Cafco 400",C1579="IN",G1579=4,I1579=120),VLOOKUP(T1579,'CAFCO 400 ENSAYO'!$B$7:$D$43,3,FALSE),0)</f>
        <v>0</v>
      </c>
      <c r="O1579" s="96">
        <f t="shared" si="156"/>
        <v>0</v>
      </c>
      <c r="P1579" s="132" t="str">
        <f t="shared" si="151"/>
        <v>N/A</v>
      </c>
      <c r="Q1579" s="132" t="str">
        <f t="shared" si="152"/>
        <v>N/A</v>
      </c>
      <c r="R1579" s="132" t="str">
        <f t="shared" si="153"/>
        <v>NO CERT.</v>
      </c>
      <c r="S1579" s="132" t="e">
        <f t="shared" si="154"/>
        <v>#N/A</v>
      </c>
      <c r="T1579" s="133" t="e">
        <f>+IF(J1579=LOOKUP(J1579,'CAFCO 300 IDIEM TABLAS'!$J$4:$J$40),'CALCULO MORTERO'!J1579,MROUND('CALCULO MORTERO'!J1579,10))</f>
        <v>#N/A</v>
      </c>
      <c r="U1579" s="134">
        <f t="shared" si="155"/>
        <v>0</v>
      </c>
    </row>
    <row r="1580" spans="1:21" x14ac:dyDescent="0.25">
      <c r="A1580" s="118">
        <f>+CUBICACION!D1574</f>
        <v>0</v>
      </c>
      <c r="B1580" s="819">
        <f>+CUBICACION!E1574</f>
        <v>0</v>
      </c>
      <c r="C1580" s="675">
        <f>+CUBICACION!F1574</f>
        <v>0</v>
      </c>
      <c r="D1580" s="118"/>
      <c r="E1580" s="118"/>
      <c r="F1580" s="820"/>
      <c r="G1580" s="675">
        <f>+CUBICACION!J1574</f>
        <v>0</v>
      </c>
      <c r="H1580" s="118"/>
      <c r="I1580" s="821">
        <f>+CUBICACION!L1574</f>
        <v>0</v>
      </c>
      <c r="J1580" s="64">
        <f>+CUBICACION!M1574</f>
        <v>0</v>
      </c>
      <c r="K1580" s="822" t="str">
        <f>+CUBICACION!N1574</f>
        <v/>
      </c>
      <c r="L1580" s="118">
        <f>+CUBICACION!O1574</f>
        <v>0</v>
      </c>
      <c r="M1580" s="823">
        <f>+CUBICACION!P1574</f>
        <v>0</v>
      </c>
      <c r="N1580" s="902">
        <f>ROUND(IF(AND(L1580="Blaze Shield II",M1580="Software Idiem",C1580="IN",G1580=4),((('BLAZE SHIELD II'!$D$4*('CALCULO MORTERO'!I1580^2)+'BLAZE SHIELD II'!$D$5*'CALCULO MORTERO'!I1580+'BLAZE SHIELD II'!$D$6)*LN(J1580))+('BLAZE SHIELD II'!$D$7*('CALCULO MORTERO'!I1580^2)+'BLAZE SHIELD II'!$D$8*'CALCULO MORTERO'!I1580+'BLAZE SHIELD II'!$D$9)),0)+IF(AND(L1580="Blaze Shield II",M1580="Software Idiem",C1580="Cj"),((('BLAZE SHIELD II'!$H$4*('CALCULO MORTERO'!I1580^2)+'BLAZE SHIELD II'!$H$5*'CALCULO MORTERO'!I1580+'BLAZE SHIELD II'!$H$6)*LN(J1580))+('BLAZE SHIELD II'!$H$7*('CALCULO MORTERO'!I1580^2)+'BLAZE SHIELD II'!$H$8*'CALCULO MORTERO'!I1580+'BLAZE SHIELD II'!$H$9)),0)+IF(AND(L1580="Blaze Shield II",M1580="Software Idiem",C1580="C"),((('BLAZE SHIELD II'!$L$4*('CALCULO MORTERO'!I1580^2)+'BLAZE SHIELD II'!$L$5*'CALCULO MORTERO'!I1580+'BLAZE SHIELD II'!$L$6)*LN(J1580))+('BLAZE SHIELD II'!$L$7*('CALCULO MORTERO'!I1580^2)+'BLAZE SHIELD II'!$L$8*'CALCULO MORTERO'!I1580+'BLAZE SHIELD II'!$L$9)),0)+IF(AND(L1580="Blaze Shield II",M1580="Software Idiem",C1580="L"),((('BLAZE SHIELD II'!$L$4*('CALCULO MORTERO'!I1580^2)+'BLAZE SHIELD II'!$L$5*'CALCULO MORTERO'!I1580+'BLAZE SHIELD II'!$L$6)*LN(J1580))+('BLAZE SHIELD II'!$L$7*('CALCULO MORTERO'!I1580^2)+'BLAZE SHIELD II'!$L$8*'CALCULO MORTERO'!I1580+'BLAZE SHIELD II'!$L$9)),0)+IF(AND(L1580="Blaze Shield II",M1580="Software Idiem",C1580="IN",G1580=3),((('BLAZE SHIELD II'!$H$14*('CALCULO MORTERO'!I1580^2)+'BLAZE SHIELD II'!$H$15*'CALCULO MORTERO'!I1580+'BLAZE SHIELD II'!$H$16)*LN(J1580))+('BLAZE SHIELD II'!$H$17*('CALCULO MORTERO'!I1580^2)+'BLAZE SHIELD II'!$H$18*'CALCULO MORTERO'!I1580+'BLAZE SHIELD II'!$H$19)),0),0)+ROUND(IF(AND(L1580="Cafco 400",M1580="Software Idiem",C1580="IN",G1580=4),((('CAFCO 400 '!$H$7*(J1580^4)+'CAFCO 400 '!$H$8*(J1580^3)+'CAFCO 400 '!$H$9*(J1580^2)+'CAFCO 400 '!$H$10*J1580+'CAFCO 400 '!$H$11)*U1580^2)+(('CAFCO 400 '!$H$12*(J1580^3)+'CAFCO 400 '!$H$13*(J1580^2)+'CAFCO 400 '!$H$14*J1580+'CAFCO 400 '!$H$15)*U1580)+('CAFCO 400 '!$H$16*(J1580^2)+'CAFCO 400 '!$H$17*J1580+'CAFCO 400 '!$H$18)),0)+IF(AND(L1580="Cafco 400",M1580="Software Idiem",C1580="Cj"),(((('CAFCO 400 '!$D$7*LN(J1580)+'CAFCO 400 '!$D$8)*U1580^2)+(('CAFCO 400 '!$D$9*LN(J1580)+'CAFCO 400 '!$D$10)*U1580)+('CAFCO 400 '!$D$11*LN(J1580)+'CAFCO 400 '!$D$12))),0)+IF(AND(L1580="Cafco 400",M1580="Software Idiem",C1580="C"),((('CAFCO 400 '!$L$7*(J1580^3)+'CAFCO 400 '!$L$8*(J1580^2)+'CAFCO 400 '!$L$9*J1580+'CAFCO 400 '!$L$10)*U1580^2)+(('CAFCO 400 '!$L$11*(J1580^3)+'CAFCO 400 '!$L$12*(J1580^2)+'CAFCO 400 '!$L$13*J1580+'CAFCO 400 '!$L$14)*U1580)+('CAFCO 400 '!$L$15*LN(J1580)+'CAFCO 400 '!$L$16)),0)+IF(AND(L1580="Cafco 400",M1580="Software Idiem",C1580="L"),((('CAFCO 400 '!$L$7*(J1580^3)+'CAFCO 400 '!$L$8*(J1580^2)+'CAFCO 400 '!$L$9*J1580+'CAFCO 400 '!$L$10)*U1580^2)+(('CAFCO 400 '!$L$11*(J1580^3)+'CAFCO 400 '!$L$12*(J1580^2)+'CAFCO 400 '!$L$13*J1580+'CAFCO 400 '!$L$14)*U1580)+('CAFCO 400 '!$L$15*LN(J1580)+'CAFCO 400 '!$L$16)),0)+IF(AND(L1580="Cafco 400",M1580="Software Idiem",C1580="IN",G1580=3),((('CAFCO 400 '!$D$23*(J1580^2)+'CAFCO 400 '!$D$24*(J1580)+'CAFCO 400 '!$D$25)*U1580^2)+(('CAFCO 400 '!$D$26*(J1580^2)+'CAFCO 400 '!$D$27*J1580+'CAFCO 400 '!$D$28)*U1580)+('CAFCO 400 '!$D$29*(J1580^2)+'CAFCO 400 '!$D$30*J1580+'CAFCO 400 '!$D$31)),0),0)+IF(AND(L1580="Cafco 300",J1580&gt;=95,J1580&lt;=240,C1580="Cj",I1580=90),VLOOKUP(T1580,'CAFCO 300 IDIEM TABLAS'!$B$4:$D$23,2,FALSE),0)+IF(AND(L1580="Cafco 300",J1580&gt;=95,J1580&lt;=240,C1580="Cj",I1580=120),VLOOKUP(T1580,'CAFCO 300 IDIEM TABLAS'!$B$4:$D$23,3,FALSE),0)+IF(AND(L1580="Cafco 300",J1580&gt;=95,J1580&lt;=400,G1580=3,C1580="IN",I1580=90),VLOOKUP(T1580,'CAFCO 300 IDIEM TABLAS'!$F$4:$H$35,2,FALSE),0)+IF(AND(L1580="Cafco 300",J1580&gt;=95,J1580&lt;=400,G1580=3,C1580="IN",I1580=120),VLOOKUP(T1580,'CAFCO 300 IDIEM TABLAS'!$F$4:$H$35,3,FALSE),0)+IF(AND(L1580="Cafco 300",J1580&gt;=95,J1580&lt;=450,G1580=4,C1580="IN",I1580=90),VLOOKUP(T1580,'CAFCO 300 IDIEM TABLAS'!$J$4:$L$40,2,FALSE),0)+IF(AND(L1580="Cafco 300",J1580&gt;=95,J1580&lt;=450,G1580=4,C1580="IN",I1580=120),VLOOKUP(T1580,'CAFCO 300 IDIEM TABLAS'!$J$4:$L$40,3,FALSE),0)+IF(AND(M1580="Ensayo Idiem",L1580="Cafco 400",C1580="IN",G1580=4,I1580=90),VLOOKUP(T1580,'CAFCO 400 ENSAYO'!$B$7:$D$43,2,FALSE),0)+IF(AND(M1580="Ensayo Idiem",L1580="Cafco 400",C1580="IN",G1580=4,I1580=120),VLOOKUP(T1580,'CAFCO 400 ENSAYO'!$B$7:$D$43,3,FALSE),0)</f>
        <v>0</v>
      </c>
      <c r="O1580" s="96">
        <f t="shared" si="156"/>
        <v>0</v>
      </c>
      <c r="P1580" s="95" t="str">
        <f t="shared" si="151"/>
        <v>N/A</v>
      </c>
      <c r="Q1580" s="95" t="str">
        <f t="shared" si="152"/>
        <v>N/A</v>
      </c>
      <c r="R1580" s="95" t="str">
        <f t="shared" si="153"/>
        <v>NO CERT.</v>
      </c>
      <c r="S1580" s="95" t="e">
        <f t="shared" si="154"/>
        <v>#N/A</v>
      </c>
      <c r="T1580" s="119" t="e">
        <f>+IF(J1580=LOOKUP(J1580,'CAFCO 300 IDIEM TABLAS'!$J$4:$J$40),'CALCULO MORTERO'!J1580,MROUND('CALCULO MORTERO'!J1580,10))</f>
        <v>#N/A</v>
      </c>
      <c r="U1580" s="118">
        <f t="shared" si="155"/>
        <v>0</v>
      </c>
    </row>
    <row r="1581" spans="1:21" x14ac:dyDescent="0.25">
      <c r="A1581" s="118">
        <f>+CUBICACION!D1575</f>
        <v>0</v>
      </c>
      <c r="B1581" s="819">
        <f>+CUBICACION!E1575</f>
        <v>0</v>
      </c>
      <c r="C1581" s="675">
        <f>+CUBICACION!F1575</f>
        <v>0</v>
      </c>
      <c r="D1581" s="118"/>
      <c r="E1581" s="118"/>
      <c r="F1581" s="820"/>
      <c r="G1581" s="675">
        <f>+CUBICACION!J1575</f>
        <v>0</v>
      </c>
      <c r="H1581" s="118"/>
      <c r="I1581" s="821">
        <f>+CUBICACION!L1575</f>
        <v>0</v>
      </c>
      <c r="J1581" s="64">
        <f>+CUBICACION!M1575</f>
        <v>0</v>
      </c>
      <c r="K1581" s="822" t="str">
        <f>+CUBICACION!N1575</f>
        <v/>
      </c>
      <c r="L1581" s="118">
        <f>+CUBICACION!O1575</f>
        <v>0</v>
      </c>
      <c r="M1581" s="823">
        <f>+CUBICACION!P1575</f>
        <v>0</v>
      </c>
      <c r="N1581" s="902">
        <f>ROUND(IF(AND(L1581="Blaze Shield II",M1581="Software Idiem",C1581="IN",G1581=4),((('BLAZE SHIELD II'!$D$4*('CALCULO MORTERO'!I1581^2)+'BLAZE SHIELD II'!$D$5*'CALCULO MORTERO'!I1581+'BLAZE SHIELD II'!$D$6)*LN(J1581))+('BLAZE SHIELD II'!$D$7*('CALCULO MORTERO'!I1581^2)+'BLAZE SHIELD II'!$D$8*'CALCULO MORTERO'!I1581+'BLAZE SHIELD II'!$D$9)),0)+IF(AND(L1581="Blaze Shield II",M1581="Software Idiem",C1581="Cj"),((('BLAZE SHIELD II'!$H$4*('CALCULO MORTERO'!I1581^2)+'BLAZE SHIELD II'!$H$5*'CALCULO MORTERO'!I1581+'BLAZE SHIELD II'!$H$6)*LN(J1581))+('BLAZE SHIELD II'!$H$7*('CALCULO MORTERO'!I1581^2)+'BLAZE SHIELD II'!$H$8*'CALCULO MORTERO'!I1581+'BLAZE SHIELD II'!$H$9)),0)+IF(AND(L1581="Blaze Shield II",M1581="Software Idiem",C1581="C"),((('BLAZE SHIELD II'!$L$4*('CALCULO MORTERO'!I1581^2)+'BLAZE SHIELD II'!$L$5*'CALCULO MORTERO'!I1581+'BLAZE SHIELD II'!$L$6)*LN(J1581))+('BLAZE SHIELD II'!$L$7*('CALCULO MORTERO'!I1581^2)+'BLAZE SHIELD II'!$L$8*'CALCULO MORTERO'!I1581+'BLAZE SHIELD II'!$L$9)),0)+IF(AND(L1581="Blaze Shield II",M1581="Software Idiem",C1581="L"),((('BLAZE SHIELD II'!$L$4*('CALCULO MORTERO'!I1581^2)+'BLAZE SHIELD II'!$L$5*'CALCULO MORTERO'!I1581+'BLAZE SHIELD II'!$L$6)*LN(J1581))+('BLAZE SHIELD II'!$L$7*('CALCULO MORTERO'!I1581^2)+'BLAZE SHIELD II'!$L$8*'CALCULO MORTERO'!I1581+'BLAZE SHIELD II'!$L$9)),0)+IF(AND(L1581="Blaze Shield II",M1581="Software Idiem",C1581="IN",G1581=3),((('BLAZE SHIELD II'!$H$14*('CALCULO MORTERO'!I1581^2)+'BLAZE SHIELD II'!$H$15*'CALCULO MORTERO'!I1581+'BLAZE SHIELD II'!$H$16)*LN(J1581))+('BLAZE SHIELD II'!$H$17*('CALCULO MORTERO'!I1581^2)+'BLAZE SHIELD II'!$H$18*'CALCULO MORTERO'!I1581+'BLAZE SHIELD II'!$H$19)),0),0)+ROUND(IF(AND(L1581="Cafco 400",M1581="Software Idiem",C1581="IN",G1581=4),((('CAFCO 400 '!$H$7*(J1581^4)+'CAFCO 400 '!$H$8*(J1581^3)+'CAFCO 400 '!$H$9*(J1581^2)+'CAFCO 400 '!$H$10*J1581+'CAFCO 400 '!$H$11)*U1581^2)+(('CAFCO 400 '!$H$12*(J1581^3)+'CAFCO 400 '!$H$13*(J1581^2)+'CAFCO 400 '!$H$14*J1581+'CAFCO 400 '!$H$15)*U1581)+('CAFCO 400 '!$H$16*(J1581^2)+'CAFCO 400 '!$H$17*J1581+'CAFCO 400 '!$H$18)),0)+IF(AND(L1581="Cafco 400",M1581="Software Idiem",C1581="Cj"),(((('CAFCO 400 '!$D$7*LN(J1581)+'CAFCO 400 '!$D$8)*U1581^2)+(('CAFCO 400 '!$D$9*LN(J1581)+'CAFCO 400 '!$D$10)*U1581)+('CAFCO 400 '!$D$11*LN(J1581)+'CAFCO 400 '!$D$12))),0)+IF(AND(L1581="Cafco 400",M1581="Software Idiem",C1581="C"),((('CAFCO 400 '!$L$7*(J1581^3)+'CAFCO 400 '!$L$8*(J1581^2)+'CAFCO 400 '!$L$9*J1581+'CAFCO 400 '!$L$10)*U1581^2)+(('CAFCO 400 '!$L$11*(J1581^3)+'CAFCO 400 '!$L$12*(J1581^2)+'CAFCO 400 '!$L$13*J1581+'CAFCO 400 '!$L$14)*U1581)+('CAFCO 400 '!$L$15*LN(J1581)+'CAFCO 400 '!$L$16)),0)+IF(AND(L1581="Cafco 400",M1581="Software Idiem",C1581="L"),((('CAFCO 400 '!$L$7*(J1581^3)+'CAFCO 400 '!$L$8*(J1581^2)+'CAFCO 400 '!$L$9*J1581+'CAFCO 400 '!$L$10)*U1581^2)+(('CAFCO 400 '!$L$11*(J1581^3)+'CAFCO 400 '!$L$12*(J1581^2)+'CAFCO 400 '!$L$13*J1581+'CAFCO 400 '!$L$14)*U1581)+('CAFCO 400 '!$L$15*LN(J1581)+'CAFCO 400 '!$L$16)),0)+IF(AND(L1581="Cafco 400",M1581="Software Idiem",C1581="IN",G1581=3),((('CAFCO 400 '!$D$23*(J1581^2)+'CAFCO 400 '!$D$24*(J1581)+'CAFCO 400 '!$D$25)*U1581^2)+(('CAFCO 400 '!$D$26*(J1581^2)+'CAFCO 400 '!$D$27*J1581+'CAFCO 400 '!$D$28)*U1581)+('CAFCO 400 '!$D$29*(J1581^2)+'CAFCO 400 '!$D$30*J1581+'CAFCO 400 '!$D$31)),0),0)+IF(AND(L1581="Cafco 300",J1581&gt;=95,J1581&lt;=240,C1581="Cj",I1581=90),VLOOKUP(T1581,'CAFCO 300 IDIEM TABLAS'!$B$4:$D$23,2,FALSE),0)+IF(AND(L1581="Cafco 300",J1581&gt;=95,J1581&lt;=240,C1581="Cj",I1581=120),VLOOKUP(T1581,'CAFCO 300 IDIEM TABLAS'!$B$4:$D$23,3,FALSE),0)+IF(AND(L1581="Cafco 300",J1581&gt;=95,J1581&lt;=400,G1581=3,C1581="IN",I1581=90),VLOOKUP(T1581,'CAFCO 300 IDIEM TABLAS'!$F$4:$H$35,2,FALSE),0)+IF(AND(L1581="Cafco 300",J1581&gt;=95,J1581&lt;=400,G1581=3,C1581="IN",I1581=120),VLOOKUP(T1581,'CAFCO 300 IDIEM TABLAS'!$F$4:$H$35,3,FALSE),0)+IF(AND(L1581="Cafco 300",J1581&gt;=95,J1581&lt;=450,G1581=4,C1581="IN",I1581=90),VLOOKUP(T1581,'CAFCO 300 IDIEM TABLAS'!$J$4:$L$40,2,FALSE),0)+IF(AND(L1581="Cafco 300",J1581&gt;=95,J1581&lt;=450,G1581=4,C1581="IN",I1581=120),VLOOKUP(T1581,'CAFCO 300 IDIEM TABLAS'!$J$4:$L$40,3,FALSE),0)+IF(AND(M1581="Ensayo Idiem",L1581="Cafco 400",C1581="IN",G1581=4,I1581=90),VLOOKUP(T1581,'CAFCO 400 ENSAYO'!$B$7:$D$43,2,FALSE),0)+IF(AND(M1581="Ensayo Idiem",L1581="Cafco 400",C1581="IN",G1581=4,I1581=120),VLOOKUP(T1581,'CAFCO 400 ENSAYO'!$B$7:$D$43,3,FALSE),0)</f>
        <v>0</v>
      </c>
      <c r="O1581" s="96">
        <f t="shared" si="156"/>
        <v>0</v>
      </c>
      <c r="P1581" s="132" t="str">
        <f t="shared" si="151"/>
        <v>N/A</v>
      </c>
      <c r="Q1581" s="132" t="str">
        <f t="shared" si="152"/>
        <v>N/A</v>
      </c>
      <c r="R1581" s="132" t="str">
        <f t="shared" si="153"/>
        <v>NO CERT.</v>
      </c>
      <c r="S1581" s="132" t="e">
        <f t="shared" si="154"/>
        <v>#N/A</v>
      </c>
      <c r="T1581" s="133" t="e">
        <f>+IF(J1581=LOOKUP(J1581,'CAFCO 300 IDIEM TABLAS'!$J$4:$J$40),'CALCULO MORTERO'!J1581,MROUND('CALCULO MORTERO'!J1581,10))</f>
        <v>#N/A</v>
      </c>
      <c r="U1581" s="134">
        <f t="shared" si="155"/>
        <v>0</v>
      </c>
    </row>
    <row r="1582" spans="1:21" x14ac:dyDescent="0.25">
      <c r="A1582" s="118">
        <f>+CUBICACION!D1576</f>
        <v>0</v>
      </c>
      <c r="B1582" s="819">
        <f>+CUBICACION!E1576</f>
        <v>0</v>
      </c>
      <c r="C1582" s="675">
        <f>+CUBICACION!F1576</f>
        <v>0</v>
      </c>
      <c r="D1582" s="118"/>
      <c r="E1582" s="118"/>
      <c r="F1582" s="820"/>
      <c r="G1582" s="675">
        <f>+CUBICACION!J1576</f>
        <v>0</v>
      </c>
      <c r="H1582" s="118"/>
      <c r="I1582" s="821">
        <f>+CUBICACION!L1576</f>
        <v>0</v>
      </c>
      <c r="J1582" s="64">
        <f>+CUBICACION!M1576</f>
        <v>0</v>
      </c>
      <c r="K1582" s="822" t="str">
        <f>+CUBICACION!N1576</f>
        <v/>
      </c>
      <c r="L1582" s="118">
        <f>+CUBICACION!O1576</f>
        <v>0</v>
      </c>
      <c r="M1582" s="823">
        <f>+CUBICACION!P1576</f>
        <v>0</v>
      </c>
      <c r="N1582" s="902">
        <f>ROUND(IF(AND(L1582="Blaze Shield II",M1582="Software Idiem",C1582="IN",G1582=4),((('BLAZE SHIELD II'!$D$4*('CALCULO MORTERO'!I1582^2)+'BLAZE SHIELD II'!$D$5*'CALCULO MORTERO'!I1582+'BLAZE SHIELD II'!$D$6)*LN(J1582))+('BLAZE SHIELD II'!$D$7*('CALCULO MORTERO'!I1582^2)+'BLAZE SHIELD II'!$D$8*'CALCULO MORTERO'!I1582+'BLAZE SHIELD II'!$D$9)),0)+IF(AND(L1582="Blaze Shield II",M1582="Software Idiem",C1582="Cj"),((('BLAZE SHIELD II'!$H$4*('CALCULO MORTERO'!I1582^2)+'BLAZE SHIELD II'!$H$5*'CALCULO MORTERO'!I1582+'BLAZE SHIELD II'!$H$6)*LN(J1582))+('BLAZE SHIELD II'!$H$7*('CALCULO MORTERO'!I1582^2)+'BLAZE SHIELD II'!$H$8*'CALCULO MORTERO'!I1582+'BLAZE SHIELD II'!$H$9)),0)+IF(AND(L1582="Blaze Shield II",M1582="Software Idiem",C1582="C"),((('BLAZE SHIELD II'!$L$4*('CALCULO MORTERO'!I1582^2)+'BLAZE SHIELD II'!$L$5*'CALCULO MORTERO'!I1582+'BLAZE SHIELD II'!$L$6)*LN(J1582))+('BLAZE SHIELD II'!$L$7*('CALCULO MORTERO'!I1582^2)+'BLAZE SHIELD II'!$L$8*'CALCULO MORTERO'!I1582+'BLAZE SHIELD II'!$L$9)),0)+IF(AND(L1582="Blaze Shield II",M1582="Software Idiem",C1582="L"),((('BLAZE SHIELD II'!$L$4*('CALCULO MORTERO'!I1582^2)+'BLAZE SHIELD II'!$L$5*'CALCULO MORTERO'!I1582+'BLAZE SHIELD II'!$L$6)*LN(J1582))+('BLAZE SHIELD II'!$L$7*('CALCULO MORTERO'!I1582^2)+'BLAZE SHIELD II'!$L$8*'CALCULO MORTERO'!I1582+'BLAZE SHIELD II'!$L$9)),0)+IF(AND(L1582="Blaze Shield II",M1582="Software Idiem",C1582="IN",G1582=3),((('BLAZE SHIELD II'!$H$14*('CALCULO MORTERO'!I1582^2)+'BLAZE SHIELD II'!$H$15*'CALCULO MORTERO'!I1582+'BLAZE SHIELD II'!$H$16)*LN(J1582))+('BLAZE SHIELD II'!$H$17*('CALCULO MORTERO'!I1582^2)+'BLAZE SHIELD II'!$H$18*'CALCULO MORTERO'!I1582+'BLAZE SHIELD II'!$H$19)),0),0)+ROUND(IF(AND(L1582="Cafco 400",M1582="Software Idiem",C1582="IN",G1582=4),((('CAFCO 400 '!$H$7*(J1582^4)+'CAFCO 400 '!$H$8*(J1582^3)+'CAFCO 400 '!$H$9*(J1582^2)+'CAFCO 400 '!$H$10*J1582+'CAFCO 400 '!$H$11)*U1582^2)+(('CAFCO 400 '!$H$12*(J1582^3)+'CAFCO 400 '!$H$13*(J1582^2)+'CAFCO 400 '!$H$14*J1582+'CAFCO 400 '!$H$15)*U1582)+('CAFCO 400 '!$H$16*(J1582^2)+'CAFCO 400 '!$H$17*J1582+'CAFCO 400 '!$H$18)),0)+IF(AND(L1582="Cafco 400",M1582="Software Idiem",C1582="Cj"),(((('CAFCO 400 '!$D$7*LN(J1582)+'CAFCO 400 '!$D$8)*U1582^2)+(('CAFCO 400 '!$D$9*LN(J1582)+'CAFCO 400 '!$D$10)*U1582)+('CAFCO 400 '!$D$11*LN(J1582)+'CAFCO 400 '!$D$12))),0)+IF(AND(L1582="Cafco 400",M1582="Software Idiem",C1582="C"),((('CAFCO 400 '!$L$7*(J1582^3)+'CAFCO 400 '!$L$8*(J1582^2)+'CAFCO 400 '!$L$9*J1582+'CAFCO 400 '!$L$10)*U1582^2)+(('CAFCO 400 '!$L$11*(J1582^3)+'CAFCO 400 '!$L$12*(J1582^2)+'CAFCO 400 '!$L$13*J1582+'CAFCO 400 '!$L$14)*U1582)+('CAFCO 400 '!$L$15*LN(J1582)+'CAFCO 400 '!$L$16)),0)+IF(AND(L1582="Cafco 400",M1582="Software Idiem",C1582="L"),((('CAFCO 400 '!$L$7*(J1582^3)+'CAFCO 400 '!$L$8*(J1582^2)+'CAFCO 400 '!$L$9*J1582+'CAFCO 400 '!$L$10)*U1582^2)+(('CAFCO 400 '!$L$11*(J1582^3)+'CAFCO 400 '!$L$12*(J1582^2)+'CAFCO 400 '!$L$13*J1582+'CAFCO 400 '!$L$14)*U1582)+('CAFCO 400 '!$L$15*LN(J1582)+'CAFCO 400 '!$L$16)),0)+IF(AND(L1582="Cafco 400",M1582="Software Idiem",C1582="IN",G1582=3),((('CAFCO 400 '!$D$23*(J1582^2)+'CAFCO 400 '!$D$24*(J1582)+'CAFCO 400 '!$D$25)*U1582^2)+(('CAFCO 400 '!$D$26*(J1582^2)+'CAFCO 400 '!$D$27*J1582+'CAFCO 400 '!$D$28)*U1582)+('CAFCO 400 '!$D$29*(J1582^2)+'CAFCO 400 '!$D$30*J1582+'CAFCO 400 '!$D$31)),0),0)+IF(AND(L1582="Cafco 300",J1582&gt;=95,J1582&lt;=240,C1582="Cj",I1582=90),VLOOKUP(T1582,'CAFCO 300 IDIEM TABLAS'!$B$4:$D$23,2,FALSE),0)+IF(AND(L1582="Cafco 300",J1582&gt;=95,J1582&lt;=240,C1582="Cj",I1582=120),VLOOKUP(T1582,'CAFCO 300 IDIEM TABLAS'!$B$4:$D$23,3,FALSE),0)+IF(AND(L1582="Cafco 300",J1582&gt;=95,J1582&lt;=400,G1582=3,C1582="IN",I1582=90),VLOOKUP(T1582,'CAFCO 300 IDIEM TABLAS'!$F$4:$H$35,2,FALSE),0)+IF(AND(L1582="Cafco 300",J1582&gt;=95,J1582&lt;=400,G1582=3,C1582="IN",I1582=120),VLOOKUP(T1582,'CAFCO 300 IDIEM TABLAS'!$F$4:$H$35,3,FALSE),0)+IF(AND(L1582="Cafco 300",J1582&gt;=95,J1582&lt;=450,G1582=4,C1582="IN",I1582=90),VLOOKUP(T1582,'CAFCO 300 IDIEM TABLAS'!$J$4:$L$40,2,FALSE),0)+IF(AND(L1582="Cafco 300",J1582&gt;=95,J1582&lt;=450,G1582=4,C1582="IN",I1582=120),VLOOKUP(T1582,'CAFCO 300 IDIEM TABLAS'!$J$4:$L$40,3,FALSE),0)+IF(AND(M1582="Ensayo Idiem",L1582="Cafco 400",C1582="IN",G1582=4,I1582=90),VLOOKUP(T1582,'CAFCO 400 ENSAYO'!$B$7:$D$43,2,FALSE),0)+IF(AND(M1582="Ensayo Idiem",L1582="Cafco 400",C1582="IN",G1582=4,I1582=120),VLOOKUP(T1582,'CAFCO 400 ENSAYO'!$B$7:$D$43,3,FALSE),0)</f>
        <v>0</v>
      </c>
      <c r="O1582" s="96">
        <f t="shared" si="156"/>
        <v>0</v>
      </c>
      <c r="P1582" s="95" t="str">
        <f t="shared" si="151"/>
        <v>N/A</v>
      </c>
      <c r="Q1582" s="95" t="str">
        <f t="shared" si="152"/>
        <v>N/A</v>
      </c>
      <c r="R1582" s="95" t="str">
        <f t="shared" si="153"/>
        <v>NO CERT.</v>
      </c>
      <c r="S1582" s="95" t="e">
        <f t="shared" si="154"/>
        <v>#N/A</v>
      </c>
      <c r="T1582" s="119" t="e">
        <f>+IF(J1582=LOOKUP(J1582,'CAFCO 300 IDIEM TABLAS'!$J$4:$J$40),'CALCULO MORTERO'!J1582,MROUND('CALCULO MORTERO'!J1582,10))</f>
        <v>#N/A</v>
      </c>
      <c r="U1582" s="118">
        <f t="shared" si="155"/>
        <v>0</v>
      </c>
    </row>
    <row r="1583" spans="1:21" x14ac:dyDescent="0.25">
      <c r="A1583" s="118">
        <f>+CUBICACION!D1577</f>
        <v>0</v>
      </c>
      <c r="B1583" s="819">
        <f>+CUBICACION!E1577</f>
        <v>0</v>
      </c>
      <c r="C1583" s="675">
        <f>+CUBICACION!F1577</f>
        <v>0</v>
      </c>
      <c r="D1583" s="118"/>
      <c r="E1583" s="118"/>
      <c r="F1583" s="820"/>
      <c r="G1583" s="675">
        <f>+CUBICACION!J1577</f>
        <v>0</v>
      </c>
      <c r="H1583" s="118"/>
      <c r="I1583" s="821">
        <f>+CUBICACION!L1577</f>
        <v>0</v>
      </c>
      <c r="J1583" s="64">
        <f>+CUBICACION!M1577</f>
        <v>0</v>
      </c>
      <c r="K1583" s="822" t="str">
        <f>+CUBICACION!N1577</f>
        <v/>
      </c>
      <c r="L1583" s="118">
        <f>+CUBICACION!O1577</f>
        <v>0</v>
      </c>
      <c r="M1583" s="823">
        <f>+CUBICACION!P1577</f>
        <v>0</v>
      </c>
      <c r="N1583" s="902">
        <f>ROUND(IF(AND(L1583="Blaze Shield II",M1583="Software Idiem",C1583="IN",G1583=4),((('BLAZE SHIELD II'!$D$4*('CALCULO MORTERO'!I1583^2)+'BLAZE SHIELD II'!$D$5*'CALCULO MORTERO'!I1583+'BLAZE SHIELD II'!$D$6)*LN(J1583))+('BLAZE SHIELD II'!$D$7*('CALCULO MORTERO'!I1583^2)+'BLAZE SHIELD II'!$D$8*'CALCULO MORTERO'!I1583+'BLAZE SHIELD II'!$D$9)),0)+IF(AND(L1583="Blaze Shield II",M1583="Software Idiem",C1583="Cj"),((('BLAZE SHIELD II'!$H$4*('CALCULO MORTERO'!I1583^2)+'BLAZE SHIELD II'!$H$5*'CALCULO MORTERO'!I1583+'BLAZE SHIELD II'!$H$6)*LN(J1583))+('BLAZE SHIELD II'!$H$7*('CALCULO MORTERO'!I1583^2)+'BLAZE SHIELD II'!$H$8*'CALCULO MORTERO'!I1583+'BLAZE SHIELD II'!$H$9)),0)+IF(AND(L1583="Blaze Shield II",M1583="Software Idiem",C1583="C"),((('BLAZE SHIELD II'!$L$4*('CALCULO MORTERO'!I1583^2)+'BLAZE SHIELD II'!$L$5*'CALCULO MORTERO'!I1583+'BLAZE SHIELD II'!$L$6)*LN(J1583))+('BLAZE SHIELD II'!$L$7*('CALCULO MORTERO'!I1583^2)+'BLAZE SHIELD II'!$L$8*'CALCULO MORTERO'!I1583+'BLAZE SHIELD II'!$L$9)),0)+IF(AND(L1583="Blaze Shield II",M1583="Software Idiem",C1583="L"),((('BLAZE SHIELD II'!$L$4*('CALCULO MORTERO'!I1583^2)+'BLAZE SHIELD II'!$L$5*'CALCULO MORTERO'!I1583+'BLAZE SHIELD II'!$L$6)*LN(J1583))+('BLAZE SHIELD II'!$L$7*('CALCULO MORTERO'!I1583^2)+'BLAZE SHIELD II'!$L$8*'CALCULO MORTERO'!I1583+'BLAZE SHIELD II'!$L$9)),0)+IF(AND(L1583="Blaze Shield II",M1583="Software Idiem",C1583="IN",G1583=3),((('BLAZE SHIELD II'!$H$14*('CALCULO MORTERO'!I1583^2)+'BLAZE SHIELD II'!$H$15*'CALCULO MORTERO'!I1583+'BLAZE SHIELD II'!$H$16)*LN(J1583))+('BLAZE SHIELD II'!$H$17*('CALCULO MORTERO'!I1583^2)+'BLAZE SHIELD II'!$H$18*'CALCULO MORTERO'!I1583+'BLAZE SHIELD II'!$H$19)),0),0)+ROUND(IF(AND(L1583="Cafco 400",M1583="Software Idiem",C1583="IN",G1583=4),((('CAFCO 400 '!$H$7*(J1583^4)+'CAFCO 400 '!$H$8*(J1583^3)+'CAFCO 400 '!$H$9*(J1583^2)+'CAFCO 400 '!$H$10*J1583+'CAFCO 400 '!$H$11)*U1583^2)+(('CAFCO 400 '!$H$12*(J1583^3)+'CAFCO 400 '!$H$13*(J1583^2)+'CAFCO 400 '!$H$14*J1583+'CAFCO 400 '!$H$15)*U1583)+('CAFCO 400 '!$H$16*(J1583^2)+'CAFCO 400 '!$H$17*J1583+'CAFCO 400 '!$H$18)),0)+IF(AND(L1583="Cafco 400",M1583="Software Idiem",C1583="Cj"),(((('CAFCO 400 '!$D$7*LN(J1583)+'CAFCO 400 '!$D$8)*U1583^2)+(('CAFCO 400 '!$D$9*LN(J1583)+'CAFCO 400 '!$D$10)*U1583)+('CAFCO 400 '!$D$11*LN(J1583)+'CAFCO 400 '!$D$12))),0)+IF(AND(L1583="Cafco 400",M1583="Software Idiem",C1583="C"),((('CAFCO 400 '!$L$7*(J1583^3)+'CAFCO 400 '!$L$8*(J1583^2)+'CAFCO 400 '!$L$9*J1583+'CAFCO 400 '!$L$10)*U1583^2)+(('CAFCO 400 '!$L$11*(J1583^3)+'CAFCO 400 '!$L$12*(J1583^2)+'CAFCO 400 '!$L$13*J1583+'CAFCO 400 '!$L$14)*U1583)+('CAFCO 400 '!$L$15*LN(J1583)+'CAFCO 400 '!$L$16)),0)+IF(AND(L1583="Cafco 400",M1583="Software Idiem",C1583="L"),((('CAFCO 400 '!$L$7*(J1583^3)+'CAFCO 400 '!$L$8*(J1583^2)+'CAFCO 400 '!$L$9*J1583+'CAFCO 400 '!$L$10)*U1583^2)+(('CAFCO 400 '!$L$11*(J1583^3)+'CAFCO 400 '!$L$12*(J1583^2)+'CAFCO 400 '!$L$13*J1583+'CAFCO 400 '!$L$14)*U1583)+('CAFCO 400 '!$L$15*LN(J1583)+'CAFCO 400 '!$L$16)),0)+IF(AND(L1583="Cafco 400",M1583="Software Idiem",C1583="IN",G1583=3),((('CAFCO 400 '!$D$23*(J1583^2)+'CAFCO 400 '!$D$24*(J1583)+'CAFCO 400 '!$D$25)*U1583^2)+(('CAFCO 400 '!$D$26*(J1583^2)+'CAFCO 400 '!$D$27*J1583+'CAFCO 400 '!$D$28)*U1583)+('CAFCO 400 '!$D$29*(J1583^2)+'CAFCO 400 '!$D$30*J1583+'CAFCO 400 '!$D$31)),0),0)+IF(AND(L1583="Cafco 300",J1583&gt;=95,J1583&lt;=240,C1583="Cj",I1583=90),VLOOKUP(T1583,'CAFCO 300 IDIEM TABLAS'!$B$4:$D$23,2,FALSE),0)+IF(AND(L1583="Cafco 300",J1583&gt;=95,J1583&lt;=240,C1583="Cj",I1583=120),VLOOKUP(T1583,'CAFCO 300 IDIEM TABLAS'!$B$4:$D$23,3,FALSE),0)+IF(AND(L1583="Cafco 300",J1583&gt;=95,J1583&lt;=400,G1583=3,C1583="IN",I1583=90),VLOOKUP(T1583,'CAFCO 300 IDIEM TABLAS'!$F$4:$H$35,2,FALSE),0)+IF(AND(L1583="Cafco 300",J1583&gt;=95,J1583&lt;=400,G1583=3,C1583="IN",I1583=120),VLOOKUP(T1583,'CAFCO 300 IDIEM TABLAS'!$F$4:$H$35,3,FALSE),0)+IF(AND(L1583="Cafco 300",J1583&gt;=95,J1583&lt;=450,G1583=4,C1583="IN",I1583=90),VLOOKUP(T1583,'CAFCO 300 IDIEM TABLAS'!$J$4:$L$40,2,FALSE),0)+IF(AND(L1583="Cafco 300",J1583&gt;=95,J1583&lt;=450,G1583=4,C1583="IN",I1583=120),VLOOKUP(T1583,'CAFCO 300 IDIEM TABLAS'!$J$4:$L$40,3,FALSE),0)+IF(AND(M1583="Ensayo Idiem",L1583="Cafco 400",C1583="IN",G1583=4,I1583=90),VLOOKUP(T1583,'CAFCO 400 ENSAYO'!$B$7:$D$43,2,FALSE),0)+IF(AND(M1583="Ensayo Idiem",L1583="Cafco 400",C1583="IN",G1583=4,I1583=120),VLOOKUP(T1583,'CAFCO 400 ENSAYO'!$B$7:$D$43,3,FALSE),0)</f>
        <v>0</v>
      </c>
      <c r="O1583" s="96">
        <f t="shared" si="156"/>
        <v>0</v>
      </c>
      <c r="P1583" s="132" t="str">
        <f t="shared" si="151"/>
        <v>N/A</v>
      </c>
      <c r="Q1583" s="132" t="str">
        <f t="shared" si="152"/>
        <v>N/A</v>
      </c>
      <c r="R1583" s="132" t="str">
        <f t="shared" si="153"/>
        <v>NO CERT.</v>
      </c>
      <c r="S1583" s="132" t="e">
        <f t="shared" si="154"/>
        <v>#N/A</v>
      </c>
      <c r="T1583" s="133" t="e">
        <f>+IF(J1583=LOOKUP(J1583,'CAFCO 300 IDIEM TABLAS'!$J$4:$J$40),'CALCULO MORTERO'!J1583,MROUND('CALCULO MORTERO'!J1583,10))</f>
        <v>#N/A</v>
      </c>
      <c r="U1583" s="134">
        <f t="shared" si="155"/>
        <v>0</v>
      </c>
    </row>
    <row r="1584" spans="1:21" x14ac:dyDescent="0.25">
      <c r="A1584" s="118">
        <f>+CUBICACION!D1578</f>
        <v>0</v>
      </c>
      <c r="B1584" s="819">
        <f>+CUBICACION!E1578</f>
        <v>0</v>
      </c>
      <c r="C1584" s="675">
        <f>+CUBICACION!F1578</f>
        <v>0</v>
      </c>
      <c r="D1584" s="118"/>
      <c r="E1584" s="118"/>
      <c r="F1584" s="820"/>
      <c r="G1584" s="675">
        <f>+CUBICACION!J1578</f>
        <v>0</v>
      </c>
      <c r="H1584" s="118"/>
      <c r="I1584" s="821">
        <f>+CUBICACION!L1578</f>
        <v>0</v>
      </c>
      <c r="J1584" s="64">
        <f>+CUBICACION!M1578</f>
        <v>0</v>
      </c>
      <c r="K1584" s="822" t="str">
        <f>+CUBICACION!N1578</f>
        <v/>
      </c>
      <c r="L1584" s="118">
        <f>+CUBICACION!O1578</f>
        <v>0</v>
      </c>
      <c r="M1584" s="823">
        <f>+CUBICACION!P1578</f>
        <v>0</v>
      </c>
      <c r="N1584" s="902">
        <f>ROUND(IF(AND(L1584="Blaze Shield II",M1584="Software Idiem",C1584="IN",G1584=4),((('BLAZE SHIELD II'!$D$4*('CALCULO MORTERO'!I1584^2)+'BLAZE SHIELD II'!$D$5*'CALCULO MORTERO'!I1584+'BLAZE SHIELD II'!$D$6)*LN(J1584))+('BLAZE SHIELD II'!$D$7*('CALCULO MORTERO'!I1584^2)+'BLAZE SHIELD II'!$D$8*'CALCULO MORTERO'!I1584+'BLAZE SHIELD II'!$D$9)),0)+IF(AND(L1584="Blaze Shield II",M1584="Software Idiem",C1584="Cj"),((('BLAZE SHIELD II'!$H$4*('CALCULO MORTERO'!I1584^2)+'BLAZE SHIELD II'!$H$5*'CALCULO MORTERO'!I1584+'BLAZE SHIELD II'!$H$6)*LN(J1584))+('BLAZE SHIELD II'!$H$7*('CALCULO MORTERO'!I1584^2)+'BLAZE SHIELD II'!$H$8*'CALCULO MORTERO'!I1584+'BLAZE SHIELD II'!$H$9)),0)+IF(AND(L1584="Blaze Shield II",M1584="Software Idiem",C1584="C"),((('BLAZE SHIELD II'!$L$4*('CALCULO MORTERO'!I1584^2)+'BLAZE SHIELD II'!$L$5*'CALCULO MORTERO'!I1584+'BLAZE SHIELD II'!$L$6)*LN(J1584))+('BLAZE SHIELD II'!$L$7*('CALCULO MORTERO'!I1584^2)+'BLAZE SHIELD II'!$L$8*'CALCULO MORTERO'!I1584+'BLAZE SHIELD II'!$L$9)),0)+IF(AND(L1584="Blaze Shield II",M1584="Software Idiem",C1584="L"),((('BLAZE SHIELD II'!$L$4*('CALCULO MORTERO'!I1584^2)+'BLAZE SHIELD II'!$L$5*'CALCULO MORTERO'!I1584+'BLAZE SHIELD II'!$L$6)*LN(J1584))+('BLAZE SHIELD II'!$L$7*('CALCULO MORTERO'!I1584^2)+'BLAZE SHIELD II'!$L$8*'CALCULO MORTERO'!I1584+'BLAZE SHIELD II'!$L$9)),0)+IF(AND(L1584="Blaze Shield II",M1584="Software Idiem",C1584="IN",G1584=3),((('BLAZE SHIELD II'!$H$14*('CALCULO MORTERO'!I1584^2)+'BLAZE SHIELD II'!$H$15*'CALCULO MORTERO'!I1584+'BLAZE SHIELD II'!$H$16)*LN(J1584))+('BLAZE SHIELD II'!$H$17*('CALCULO MORTERO'!I1584^2)+'BLAZE SHIELD II'!$H$18*'CALCULO MORTERO'!I1584+'BLAZE SHIELD II'!$H$19)),0),0)+ROUND(IF(AND(L1584="Cafco 400",M1584="Software Idiem",C1584="IN",G1584=4),((('CAFCO 400 '!$H$7*(J1584^4)+'CAFCO 400 '!$H$8*(J1584^3)+'CAFCO 400 '!$H$9*(J1584^2)+'CAFCO 400 '!$H$10*J1584+'CAFCO 400 '!$H$11)*U1584^2)+(('CAFCO 400 '!$H$12*(J1584^3)+'CAFCO 400 '!$H$13*(J1584^2)+'CAFCO 400 '!$H$14*J1584+'CAFCO 400 '!$H$15)*U1584)+('CAFCO 400 '!$H$16*(J1584^2)+'CAFCO 400 '!$H$17*J1584+'CAFCO 400 '!$H$18)),0)+IF(AND(L1584="Cafco 400",M1584="Software Idiem",C1584="Cj"),(((('CAFCO 400 '!$D$7*LN(J1584)+'CAFCO 400 '!$D$8)*U1584^2)+(('CAFCO 400 '!$D$9*LN(J1584)+'CAFCO 400 '!$D$10)*U1584)+('CAFCO 400 '!$D$11*LN(J1584)+'CAFCO 400 '!$D$12))),0)+IF(AND(L1584="Cafco 400",M1584="Software Idiem",C1584="C"),((('CAFCO 400 '!$L$7*(J1584^3)+'CAFCO 400 '!$L$8*(J1584^2)+'CAFCO 400 '!$L$9*J1584+'CAFCO 400 '!$L$10)*U1584^2)+(('CAFCO 400 '!$L$11*(J1584^3)+'CAFCO 400 '!$L$12*(J1584^2)+'CAFCO 400 '!$L$13*J1584+'CAFCO 400 '!$L$14)*U1584)+('CAFCO 400 '!$L$15*LN(J1584)+'CAFCO 400 '!$L$16)),0)+IF(AND(L1584="Cafco 400",M1584="Software Idiem",C1584="L"),((('CAFCO 400 '!$L$7*(J1584^3)+'CAFCO 400 '!$L$8*(J1584^2)+'CAFCO 400 '!$L$9*J1584+'CAFCO 400 '!$L$10)*U1584^2)+(('CAFCO 400 '!$L$11*(J1584^3)+'CAFCO 400 '!$L$12*(J1584^2)+'CAFCO 400 '!$L$13*J1584+'CAFCO 400 '!$L$14)*U1584)+('CAFCO 400 '!$L$15*LN(J1584)+'CAFCO 400 '!$L$16)),0)+IF(AND(L1584="Cafco 400",M1584="Software Idiem",C1584="IN",G1584=3),((('CAFCO 400 '!$D$23*(J1584^2)+'CAFCO 400 '!$D$24*(J1584)+'CAFCO 400 '!$D$25)*U1584^2)+(('CAFCO 400 '!$D$26*(J1584^2)+'CAFCO 400 '!$D$27*J1584+'CAFCO 400 '!$D$28)*U1584)+('CAFCO 400 '!$D$29*(J1584^2)+'CAFCO 400 '!$D$30*J1584+'CAFCO 400 '!$D$31)),0),0)+IF(AND(L1584="Cafco 300",J1584&gt;=95,J1584&lt;=240,C1584="Cj",I1584=90),VLOOKUP(T1584,'CAFCO 300 IDIEM TABLAS'!$B$4:$D$23,2,FALSE),0)+IF(AND(L1584="Cafco 300",J1584&gt;=95,J1584&lt;=240,C1584="Cj",I1584=120),VLOOKUP(T1584,'CAFCO 300 IDIEM TABLAS'!$B$4:$D$23,3,FALSE),0)+IF(AND(L1584="Cafco 300",J1584&gt;=95,J1584&lt;=400,G1584=3,C1584="IN",I1584=90),VLOOKUP(T1584,'CAFCO 300 IDIEM TABLAS'!$F$4:$H$35,2,FALSE),0)+IF(AND(L1584="Cafco 300",J1584&gt;=95,J1584&lt;=400,G1584=3,C1584="IN",I1584=120),VLOOKUP(T1584,'CAFCO 300 IDIEM TABLAS'!$F$4:$H$35,3,FALSE),0)+IF(AND(L1584="Cafco 300",J1584&gt;=95,J1584&lt;=450,G1584=4,C1584="IN",I1584=90),VLOOKUP(T1584,'CAFCO 300 IDIEM TABLAS'!$J$4:$L$40,2,FALSE),0)+IF(AND(L1584="Cafco 300",J1584&gt;=95,J1584&lt;=450,G1584=4,C1584="IN",I1584=120),VLOOKUP(T1584,'CAFCO 300 IDIEM TABLAS'!$J$4:$L$40,3,FALSE),0)+IF(AND(M1584="Ensayo Idiem",L1584="Cafco 400",C1584="IN",G1584=4,I1584=90),VLOOKUP(T1584,'CAFCO 400 ENSAYO'!$B$7:$D$43,2,FALSE),0)+IF(AND(M1584="Ensayo Idiem",L1584="Cafco 400",C1584="IN",G1584=4,I1584=120),VLOOKUP(T1584,'CAFCO 400 ENSAYO'!$B$7:$D$43,3,FALSE),0)</f>
        <v>0</v>
      </c>
      <c r="O1584" s="96">
        <f t="shared" si="156"/>
        <v>0</v>
      </c>
      <c r="P1584" s="95" t="str">
        <f t="shared" si="151"/>
        <v>N/A</v>
      </c>
      <c r="Q1584" s="95" t="str">
        <f t="shared" si="152"/>
        <v>N/A</v>
      </c>
      <c r="R1584" s="95" t="str">
        <f t="shared" si="153"/>
        <v>NO CERT.</v>
      </c>
      <c r="S1584" s="95" t="e">
        <f t="shared" si="154"/>
        <v>#N/A</v>
      </c>
      <c r="T1584" s="119" t="e">
        <f>+IF(J1584=LOOKUP(J1584,'CAFCO 300 IDIEM TABLAS'!$J$4:$J$40),'CALCULO MORTERO'!J1584,MROUND('CALCULO MORTERO'!J1584,10))</f>
        <v>#N/A</v>
      </c>
      <c r="U1584" s="118">
        <f t="shared" si="155"/>
        <v>0</v>
      </c>
    </row>
    <row r="1585" spans="1:21" x14ac:dyDescent="0.25">
      <c r="A1585" s="118">
        <f>+CUBICACION!D1579</f>
        <v>0</v>
      </c>
      <c r="B1585" s="819">
        <f>+CUBICACION!E1579</f>
        <v>0</v>
      </c>
      <c r="C1585" s="675">
        <f>+CUBICACION!F1579</f>
        <v>0</v>
      </c>
      <c r="D1585" s="118"/>
      <c r="E1585" s="118"/>
      <c r="F1585" s="820"/>
      <c r="G1585" s="675">
        <f>+CUBICACION!J1579</f>
        <v>0</v>
      </c>
      <c r="H1585" s="118"/>
      <c r="I1585" s="821">
        <f>+CUBICACION!L1579</f>
        <v>0</v>
      </c>
      <c r="J1585" s="64">
        <f>+CUBICACION!M1579</f>
        <v>0</v>
      </c>
      <c r="K1585" s="822" t="str">
        <f>+CUBICACION!N1579</f>
        <v/>
      </c>
      <c r="L1585" s="118">
        <f>+CUBICACION!O1579</f>
        <v>0</v>
      </c>
      <c r="M1585" s="823">
        <f>+CUBICACION!P1579</f>
        <v>0</v>
      </c>
      <c r="N1585" s="902">
        <f>ROUND(IF(AND(L1585="Blaze Shield II",M1585="Software Idiem",C1585="IN",G1585=4),((('BLAZE SHIELD II'!$D$4*('CALCULO MORTERO'!I1585^2)+'BLAZE SHIELD II'!$D$5*'CALCULO MORTERO'!I1585+'BLAZE SHIELD II'!$D$6)*LN(J1585))+('BLAZE SHIELD II'!$D$7*('CALCULO MORTERO'!I1585^2)+'BLAZE SHIELD II'!$D$8*'CALCULO MORTERO'!I1585+'BLAZE SHIELD II'!$D$9)),0)+IF(AND(L1585="Blaze Shield II",M1585="Software Idiem",C1585="Cj"),((('BLAZE SHIELD II'!$H$4*('CALCULO MORTERO'!I1585^2)+'BLAZE SHIELD II'!$H$5*'CALCULO MORTERO'!I1585+'BLAZE SHIELD II'!$H$6)*LN(J1585))+('BLAZE SHIELD II'!$H$7*('CALCULO MORTERO'!I1585^2)+'BLAZE SHIELD II'!$H$8*'CALCULO MORTERO'!I1585+'BLAZE SHIELD II'!$H$9)),0)+IF(AND(L1585="Blaze Shield II",M1585="Software Idiem",C1585="C"),((('BLAZE SHIELD II'!$L$4*('CALCULO MORTERO'!I1585^2)+'BLAZE SHIELD II'!$L$5*'CALCULO MORTERO'!I1585+'BLAZE SHIELD II'!$L$6)*LN(J1585))+('BLAZE SHIELD II'!$L$7*('CALCULO MORTERO'!I1585^2)+'BLAZE SHIELD II'!$L$8*'CALCULO MORTERO'!I1585+'BLAZE SHIELD II'!$L$9)),0)+IF(AND(L1585="Blaze Shield II",M1585="Software Idiem",C1585="L"),((('BLAZE SHIELD II'!$L$4*('CALCULO MORTERO'!I1585^2)+'BLAZE SHIELD II'!$L$5*'CALCULO MORTERO'!I1585+'BLAZE SHIELD II'!$L$6)*LN(J1585))+('BLAZE SHIELD II'!$L$7*('CALCULO MORTERO'!I1585^2)+'BLAZE SHIELD II'!$L$8*'CALCULO MORTERO'!I1585+'BLAZE SHIELD II'!$L$9)),0)+IF(AND(L1585="Blaze Shield II",M1585="Software Idiem",C1585="IN",G1585=3),((('BLAZE SHIELD II'!$H$14*('CALCULO MORTERO'!I1585^2)+'BLAZE SHIELD II'!$H$15*'CALCULO MORTERO'!I1585+'BLAZE SHIELD II'!$H$16)*LN(J1585))+('BLAZE SHIELD II'!$H$17*('CALCULO MORTERO'!I1585^2)+'BLAZE SHIELD II'!$H$18*'CALCULO MORTERO'!I1585+'BLAZE SHIELD II'!$H$19)),0),0)+ROUND(IF(AND(L1585="Cafco 400",M1585="Software Idiem",C1585="IN",G1585=4),((('CAFCO 400 '!$H$7*(J1585^4)+'CAFCO 400 '!$H$8*(J1585^3)+'CAFCO 400 '!$H$9*(J1585^2)+'CAFCO 400 '!$H$10*J1585+'CAFCO 400 '!$H$11)*U1585^2)+(('CAFCO 400 '!$H$12*(J1585^3)+'CAFCO 400 '!$H$13*(J1585^2)+'CAFCO 400 '!$H$14*J1585+'CAFCO 400 '!$H$15)*U1585)+('CAFCO 400 '!$H$16*(J1585^2)+'CAFCO 400 '!$H$17*J1585+'CAFCO 400 '!$H$18)),0)+IF(AND(L1585="Cafco 400",M1585="Software Idiem",C1585="Cj"),(((('CAFCO 400 '!$D$7*LN(J1585)+'CAFCO 400 '!$D$8)*U1585^2)+(('CAFCO 400 '!$D$9*LN(J1585)+'CAFCO 400 '!$D$10)*U1585)+('CAFCO 400 '!$D$11*LN(J1585)+'CAFCO 400 '!$D$12))),0)+IF(AND(L1585="Cafco 400",M1585="Software Idiem",C1585="C"),((('CAFCO 400 '!$L$7*(J1585^3)+'CAFCO 400 '!$L$8*(J1585^2)+'CAFCO 400 '!$L$9*J1585+'CAFCO 400 '!$L$10)*U1585^2)+(('CAFCO 400 '!$L$11*(J1585^3)+'CAFCO 400 '!$L$12*(J1585^2)+'CAFCO 400 '!$L$13*J1585+'CAFCO 400 '!$L$14)*U1585)+('CAFCO 400 '!$L$15*LN(J1585)+'CAFCO 400 '!$L$16)),0)+IF(AND(L1585="Cafco 400",M1585="Software Idiem",C1585="L"),((('CAFCO 400 '!$L$7*(J1585^3)+'CAFCO 400 '!$L$8*(J1585^2)+'CAFCO 400 '!$L$9*J1585+'CAFCO 400 '!$L$10)*U1585^2)+(('CAFCO 400 '!$L$11*(J1585^3)+'CAFCO 400 '!$L$12*(J1585^2)+'CAFCO 400 '!$L$13*J1585+'CAFCO 400 '!$L$14)*U1585)+('CAFCO 400 '!$L$15*LN(J1585)+'CAFCO 400 '!$L$16)),0)+IF(AND(L1585="Cafco 400",M1585="Software Idiem",C1585="IN",G1585=3),((('CAFCO 400 '!$D$23*(J1585^2)+'CAFCO 400 '!$D$24*(J1585)+'CAFCO 400 '!$D$25)*U1585^2)+(('CAFCO 400 '!$D$26*(J1585^2)+'CAFCO 400 '!$D$27*J1585+'CAFCO 400 '!$D$28)*U1585)+('CAFCO 400 '!$D$29*(J1585^2)+'CAFCO 400 '!$D$30*J1585+'CAFCO 400 '!$D$31)),0),0)+IF(AND(L1585="Cafco 300",J1585&gt;=95,J1585&lt;=240,C1585="Cj",I1585=90),VLOOKUP(T1585,'CAFCO 300 IDIEM TABLAS'!$B$4:$D$23,2,FALSE),0)+IF(AND(L1585="Cafco 300",J1585&gt;=95,J1585&lt;=240,C1585="Cj",I1585=120),VLOOKUP(T1585,'CAFCO 300 IDIEM TABLAS'!$B$4:$D$23,3,FALSE),0)+IF(AND(L1585="Cafco 300",J1585&gt;=95,J1585&lt;=400,G1585=3,C1585="IN",I1585=90),VLOOKUP(T1585,'CAFCO 300 IDIEM TABLAS'!$F$4:$H$35,2,FALSE),0)+IF(AND(L1585="Cafco 300",J1585&gt;=95,J1585&lt;=400,G1585=3,C1585="IN",I1585=120),VLOOKUP(T1585,'CAFCO 300 IDIEM TABLAS'!$F$4:$H$35,3,FALSE),0)+IF(AND(L1585="Cafco 300",J1585&gt;=95,J1585&lt;=450,G1585=4,C1585="IN",I1585=90),VLOOKUP(T1585,'CAFCO 300 IDIEM TABLAS'!$J$4:$L$40,2,FALSE),0)+IF(AND(L1585="Cafco 300",J1585&gt;=95,J1585&lt;=450,G1585=4,C1585="IN",I1585=120),VLOOKUP(T1585,'CAFCO 300 IDIEM TABLAS'!$J$4:$L$40,3,FALSE),0)+IF(AND(M1585="Ensayo Idiem",L1585="Cafco 400",C1585="IN",G1585=4,I1585=90),VLOOKUP(T1585,'CAFCO 400 ENSAYO'!$B$7:$D$43,2,FALSE),0)+IF(AND(M1585="Ensayo Idiem",L1585="Cafco 400",C1585="IN",G1585=4,I1585=120),VLOOKUP(T1585,'CAFCO 400 ENSAYO'!$B$7:$D$43,3,FALSE),0)</f>
        <v>0</v>
      </c>
      <c r="O1585" s="96">
        <f t="shared" si="156"/>
        <v>0</v>
      </c>
      <c r="P1585" s="132" t="str">
        <f t="shared" si="151"/>
        <v>N/A</v>
      </c>
      <c r="Q1585" s="132" t="str">
        <f t="shared" si="152"/>
        <v>N/A</v>
      </c>
      <c r="R1585" s="132" t="str">
        <f t="shared" si="153"/>
        <v>NO CERT.</v>
      </c>
      <c r="S1585" s="132" t="e">
        <f t="shared" si="154"/>
        <v>#N/A</v>
      </c>
      <c r="T1585" s="133" t="e">
        <f>+IF(J1585=LOOKUP(J1585,'CAFCO 300 IDIEM TABLAS'!$J$4:$J$40),'CALCULO MORTERO'!J1585,MROUND('CALCULO MORTERO'!J1585,10))</f>
        <v>#N/A</v>
      </c>
      <c r="U1585" s="134">
        <f t="shared" si="155"/>
        <v>0</v>
      </c>
    </row>
    <row r="1586" spans="1:21" x14ac:dyDescent="0.25">
      <c r="A1586" s="118">
        <f>+CUBICACION!D1580</f>
        <v>0</v>
      </c>
      <c r="B1586" s="819">
        <f>+CUBICACION!E1580</f>
        <v>0</v>
      </c>
      <c r="C1586" s="675">
        <f>+CUBICACION!F1580</f>
        <v>0</v>
      </c>
      <c r="D1586" s="118"/>
      <c r="E1586" s="118"/>
      <c r="F1586" s="820"/>
      <c r="G1586" s="675">
        <f>+CUBICACION!J1580</f>
        <v>0</v>
      </c>
      <c r="H1586" s="118"/>
      <c r="I1586" s="821">
        <f>+CUBICACION!L1580</f>
        <v>0</v>
      </c>
      <c r="J1586" s="64">
        <f>+CUBICACION!M1580</f>
        <v>0</v>
      </c>
      <c r="K1586" s="822" t="str">
        <f>+CUBICACION!N1580</f>
        <v/>
      </c>
      <c r="L1586" s="118">
        <f>+CUBICACION!O1580</f>
        <v>0</v>
      </c>
      <c r="M1586" s="823">
        <f>+CUBICACION!P1580</f>
        <v>0</v>
      </c>
      <c r="N1586" s="902">
        <f>ROUND(IF(AND(L1586="Blaze Shield II",M1586="Software Idiem",C1586="IN",G1586=4),((('BLAZE SHIELD II'!$D$4*('CALCULO MORTERO'!I1586^2)+'BLAZE SHIELD II'!$D$5*'CALCULO MORTERO'!I1586+'BLAZE SHIELD II'!$D$6)*LN(J1586))+('BLAZE SHIELD II'!$D$7*('CALCULO MORTERO'!I1586^2)+'BLAZE SHIELD II'!$D$8*'CALCULO MORTERO'!I1586+'BLAZE SHIELD II'!$D$9)),0)+IF(AND(L1586="Blaze Shield II",M1586="Software Idiem",C1586="Cj"),((('BLAZE SHIELD II'!$H$4*('CALCULO MORTERO'!I1586^2)+'BLAZE SHIELD II'!$H$5*'CALCULO MORTERO'!I1586+'BLAZE SHIELD II'!$H$6)*LN(J1586))+('BLAZE SHIELD II'!$H$7*('CALCULO MORTERO'!I1586^2)+'BLAZE SHIELD II'!$H$8*'CALCULO MORTERO'!I1586+'BLAZE SHIELD II'!$H$9)),0)+IF(AND(L1586="Blaze Shield II",M1586="Software Idiem",C1586="C"),((('BLAZE SHIELD II'!$L$4*('CALCULO MORTERO'!I1586^2)+'BLAZE SHIELD II'!$L$5*'CALCULO MORTERO'!I1586+'BLAZE SHIELD II'!$L$6)*LN(J1586))+('BLAZE SHIELD II'!$L$7*('CALCULO MORTERO'!I1586^2)+'BLAZE SHIELD II'!$L$8*'CALCULO MORTERO'!I1586+'BLAZE SHIELD II'!$L$9)),0)+IF(AND(L1586="Blaze Shield II",M1586="Software Idiem",C1586="L"),((('BLAZE SHIELD II'!$L$4*('CALCULO MORTERO'!I1586^2)+'BLAZE SHIELD II'!$L$5*'CALCULO MORTERO'!I1586+'BLAZE SHIELD II'!$L$6)*LN(J1586))+('BLAZE SHIELD II'!$L$7*('CALCULO MORTERO'!I1586^2)+'BLAZE SHIELD II'!$L$8*'CALCULO MORTERO'!I1586+'BLAZE SHIELD II'!$L$9)),0)+IF(AND(L1586="Blaze Shield II",M1586="Software Idiem",C1586="IN",G1586=3),((('BLAZE SHIELD II'!$H$14*('CALCULO MORTERO'!I1586^2)+'BLAZE SHIELD II'!$H$15*'CALCULO MORTERO'!I1586+'BLAZE SHIELD II'!$H$16)*LN(J1586))+('BLAZE SHIELD II'!$H$17*('CALCULO MORTERO'!I1586^2)+'BLAZE SHIELD II'!$H$18*'CALCULO MORTERO'!I1586+'BLAZE SHIELD II'!$H$19)),0),0)+ROUND(IF(AND(L1586="Cafco 400",M1586="Software Idiem",C1586="IN",G1586=4),((('CAFCO 400 '!$H$7*(J1586^4)+'CAFCO 400 '!$H$8*(J1586^3)+'CAFCO 400 '!$H$9*(J1586^2)+'CAFCO 400 '!$H$10*J1586+'CAFCO 400 '!$H$11)*U1586^2)+(('CAFCO 400 '!$H$12*(J1586^3)+'CAFCO 400 '!$H$13*(J1586^2)+'CAFCO 400 '!$H$14*J1586+'CAFCO 400 '!$H$15)*U1586)+('CAFCO 400 '!$H$16*(J1586^2)+'CAFCO 400 '!$H$17*J1586+'CAFCO 400 '!$H$18)),0)+IF(AND(L1586="Cafco 400",M1586="Software Idiem",C1586="Cj"),(((('CAFCO 400 '!$D$7*LN(J1586)+'CAFCO 400 '!$D$8)*U1586^2)+(('CAFCO 400 '!$D$9*LN(J1586)+'CAFCO 400 '!$D$10)*U1586)+('CAFCO 400 '!$D$11*LN(J1586)+'CAFCO 400 '!$D$12))),0)+IF(AND(L1586="Cafco 400",M1586="Software Idiem",C1586="C"),((('CAFCO 400 '!$L$7*(J1586^3)+'CAFCO 400 '!$L$8*(J1586^2)+'CAFCO 400 '!$L$9*J1586+'CAFCO 400 '!$L$10)*U1586^2)+(('CAFCO 400 '!$L$11*(J1586^3)+'CAFCO 400 '!$L$12*(J1586^2)+'CAFCO 400 '!$L$13*J1586+'CAFCO 400 '!$L$14)*U1586)+('CAFCO 400 '!$L$15*LN(J1586)+'CAFCO 400 '!$L$16)),0)+IF(AND(L1586="Cafco 400",M1586="Software Idiem",C1586="L"),((('CAFCO 400 '!$L$7*(J1586^3)+'CAFCO 400 '!$L$8*(J1586^2)+'CAFCO 400 '!$L$9*J1586+'CAFCO 400 '!$L$10)*U1586^2)+(('CAFCO 400 '!$L$11*(J1586^3)+'CAFCO 400 '!$L$12*(J1586^2)+'CAFCO 400 '!$L$13*J1586+'CAFCO 400 '!$L$14)*U1586)+('CAFCO 400 '!$L$15*LN(J1586)+'CAFCO 400 '!$L$16)),0)+IF(AND(L1586="Cafco 400",M1586="Software Idiem",C1586="IN",G1586=3),((('CAFCO 400 '!$D$23*(J1586^2)+'CAFCO 400 '!$D$24*(J1586)+'CAFCO 400 '!$D$25)*U1586^2)+(('CAFCO 400 '!$D$26*(J1586^2)+'CAFCO 400 '!$D$27*J1586+'CAFCO 400 '!$D$28)*U1586)+('CAFCO 400 '!$D$29*(J1586^2)+'CAFCO 400 '!$D$30*J1586+'CAFCO 400 '!$D$31)),0),0)+IF(AND(L1586="Cafco 300",J1586&gt;=95,J1586&lt;=240,C1586="Cj",I1586=90),VLOOKUP(T1586,'CAFCO 300 IDIEM TABLAS'!$B$4:$D$23,2,FALSE),0)+IF(AND(L1586="Cafco 300",J1586&gt;=95,J1586&lt;=240,C1586="Cj",I1586=120),VLOOKUP(T1586,'CAFCO 300 IDIEM TABLAS'!$B$4:$D$23,3,FALSE),0)+IF(AND(L1586="Cafco 300",J1586&gt;=95,J1586&lt;=400,G1586=3,C1586="IN",I1586=90),VLOOKUP(T1586,'CAFCO 300 IDIEM TABLAS'!$F$4:$H$35,2,FALSE),0)+IF(AND(L1586="Cafco 300",J1586&gt;=95,J1586&lt;=400,G1586=3,C1586="IN",I1586=120),VLOOKUP(T1586,'CAFCO 300 IDIEM TABLAS'!$F$4:$H$35,3,FALSE),0)+IF(AND(L1586="Cafco 300",J1586&gt;=95,J1586&lt;=450,G1586=4,C1586="IN",I1586=90),VLOOKUP(T1586,'CAFCO 300 IDIEM TABLAS'!$J$4:$L$40,2,FALSE),0)+IF(AND(L1586="Cafco 300",J1586&gt;=95,J1586&lt;=450,G1586=4,C1586="IN",I1586=120),VLOOKUP(T1586,'CAFCO 300 IDIEM TABLAS'!$J$4:$L$40,3,FALSE),0)+IF(AND(M1586="Ensayo Idiem",L1586="Cafco 400",C1586="IN",G1586=4,I1586=90),VLOOKUP(T1586,'CAFCO 400 ENSAYO'!$B$7:$D$43,2,FALSE),0)+IF(AND(M1586="Ensayo Idiem",L1586="Cafco 400",C1586="IN",G1586=4,I1586=120),VLOOKUP(T1586,'CAFCO 400 ENSAYO'!$B$7:$D$43,3,FALSE),0)</f>
        <v>0</v>
      </c>
      <c r="O1586" s="96">
        <f t="shared" si="156"/>
        <v>0</v>
      </c>
      <c r="P1586" s="95" t="str">
        <f t="shared" ref="P1586:P1649" si="157">IF(AND(M1586="Software Idiem"),IF(AND(C1586="IN",G1586=4,J1586&gt;=50,J1586&lt;=500),"CERT.",IF(AND(C1586="Cj",J1586&gt;=50,J1586&lt;=500),"CERT.",IF(AND(C1586="C",J1586&gt;=50,J1586&lt;=1000),"CERT.",IF(AND(C1586="L",J1586&gt;=50,J1586&lt;=1000),"CERT.",IF(AND(C1586="IN",G1586=3,J1586&gt;=50,J1586&lt;=500),"CERT.","NO CERT."))))),"N/A")</f>
        <v>N/A</v>
      </c>
      <c r="Q1586" s="95" t="str">
        <f t="shared" ref="Q1586:Q1649" si="158">IF(AND(M1586="Software Idiem"),IF(AND(C1586="IN",G1586=4,J1586&gt;=50,J1586&lt;=500),"CERT.",IF(AND(C1586="Cj",J1586&gt;=50,J1586&lt;=500),"CERT.",IF(AND(C1586="C",J1586&gt;=50,J1586&lt;=1000),"CERT.",IF(AND(C1586="L",J1586&gt;=50,J1586&lt;=1000),"CERT.",IF(AND(C1586="IN",G1586=3,J1586&gt;=50,J1586&lt;=500),"CERT.","NO CERT."))))),"N/A")</f>
        <v>N/A</v>
      </c>
      <c r="R1586" s="95" t="str">
        <f t="shared" ref="R1586:R1649" si="159">IF(AND(C1586="IN",G1586=4,J1586&gt;=95,J1586&lt;=450,I1586=90),"CERT.",IF(AND(C1586="IN",G1586=4,J1586&gt;=95,J1586&lt;=450,I1586=120),"CERT.","NO CERT."))</f>
        <v>NO CERT.</v>
      </c>
      <c r="S1586" s="95" t="e">
        <f t="shared" ref="S1586:S1649" si="160">IF(AND(C1586="Cj",I1586=90,T1586&lt;=240),"CERT.",IF(AND(C1586="Cj",I1586=120,T1586&lt;=240),"CERT.",IF(AND(C1586="IN",G1586=3,I1586=90,T1586&lt;=400),"CERT.",IF(AND(C1586="IN",G1586=3,I1586=120,T1586&lt;=400),"CERT.",IF(AND(C1586="IN",G1586=4,I1586=90,T1586&lt;=450),"CERT.",IF(AND(C1586="IN",G1586=4,I1586=120,T1586&lt;=450),"CERT.","NO CERT."))))))</f>
        <v>#N/A</v>
      </c>
      <c r="T1586" s="119" t="e">
        <f>+IF(J1586=LOOKUP(J1586,'CAFCO 300 IDIEM TABLAS'!$J$4:$J$40),'CALCULO MORTERO'!J1586,MROUND('CALCULO MORTERO'!J1586,10))</f>
        <v>#N/A</v>
      </c>
      <c r="U1586" s="118">
        <f t="shared" ref="U1586:U1649" si="161">+I1586*60</f>
        <v>0</v>
      </c>
    </row>
    <row r="1587" spans="1:21" x14ac:dyDescent="0.25">
      <c r="A1587" s="118">
        <f>+CUBICACION!D1581</f>
        <v>0</v>
      </c>
      <c r="B1587" s="819">
        <f>+CUBICACION!E1581</f>
        <v>0</v>
      </c>
      <c r="C1587" s="675">
        <f>+CUBICACION!F1581</f>
        <v>0</v>
      </c>
      <c r="D1587" s="118"/>
      <c r="E1587" s="118"/>
      <c r="F1587" s="820"/>
      <c r="G1587" s="675">
        <f>+CUBICACION!J1581</f>
        <v>0</v>
      </c>
      <c r="H1587" s="118"/>
      <c r="I1587" s="821">
        <f>+CUBICACION!L1581</f>
        <v>0</v>
      </c>
      <c r="J1587" s="64">
        <f>+CUBICACION!M1581</f>
        <v>0</v>
      </c>
      <c r="K1587" s="822" t="str">
        <f>+CUBICACION!N1581</f>
        <v/>
      </c>
      <c r="L1587" s="118">
        <f>+CUBICACION!O1581</f>
        <v>0</v>
      </c>
      <c r="M1587" s="823">
        <f>+CUBICACION!P1581</f>
        <v>0</v>
      </c>
      <c r="N1587" s="902">
        <f>ROUND(IF(AND(L1587="Blaze Shield II",M1587="Software Idiem",C1587="IN",G1587=4),((('BLAZE SHIELD II'!$D$4*('CALCULO MORTERO'!I1587^2)+'BLAZE SHIELD II'!$D$5*'CALCULO MORTERO'!I1587+'BLAZE SHIELD II'!$D$6)*LN(J1587))+('BLAZE SHIELD II'!$D$7*('CALCULO MORTERO'!I1587^2)+'BLAZE SHIELD II'!$D$8*'CALCULO MORTERO'!I1587+'BLAZE SHIELD II'!$D$9)),0)+IF(AND(L1587="Blaze Shield II",M1587="Software Idiem",C1587="Cj"),((('BLAZE SHIELD II'!$H$4*('CALCULO MORTERO'!I1587^2)+'BLAZE SHIELD II'!$H$5*'CALCULO MORTERO'!I1587+'BLAZE SHIELD II'!$H$6)*LN(J1587))+('BLAZE SHIELD II'!$H$7*('CALCULO MORTERO'!I1587^2)+'BLAZE SHIELD II'!$H$8*'CALCULO MORTERO'!I1587+'BLAZE SHIELD II'!$H$9)),0)+IF(AND(L1587="Blaze Shield II",M1587="Software Idiem",C1587="C"),((('BLAZE SHIELD II'!$L$4*('CALCULO MORTERO'!I1587^2)+'BLAZE SHIELD II'!$L$5*'CALCULO MORTERO'!I1587+'BLAZE SHIELD II'!$L$6)*LN(J1587))+('BLAZE SHIELD II'!$L$7*('CALCULO MORTERO'!I1587^2)+'BLAZE SHIELD II'!$L$8*'CALCULO MORTERO'!I1587+'BLAZE SHIELD II'!$L$9)),0)+IF(AND(L1587="Blaze Shield II",M1587="Software Idiem",C1587="L"),((('BLAZE SHIELD II'!$L$4*('CALCULO MORTERO'!I1587^2)+'BLAZE SHIELD II'!$L$5*'CALCULO MORTERO'!I1587+'BLAZE SHIELD II'!$L$6)*LN(J1587))+('BLAZE SHIELD II'!$L$7*('CALCULO MORTERO'!I1587^2)+'BLAZE SHIELD II'!$L$8*'CALCULO MORTERO'!I1587+'BLAZE SHIELD II'!$L$9)),0)+IF(AND(L1587="Blaze Shield II",M1587="Software Idiem",C1587="IN",G1587=3),((('BLAZE SHIELD II'!$H$14*('CALCULO MORTERO'!I1587^2)+'BLAZE SHIELD II'!$H$15*'CALCULO MORTERO'!I1587+'BLAZE SHIELD II'!$H$16)*LN(J1587))+('BLAZE SHIELD II'!$H$17*('CALCULO MORTERO'!I1587^2)+'BLAZE SHIELD II'!$H$18*'CALCULO MORTERO'!I1587+'BLAZE SHIELD II'!$H$19)),0),0)+ROUND(IF(AND(L1587="Cafco 400",M1587="Software Idiem",C1587="IN",G1587=4),((('CAFCO 400 '!$H$7*(J1587^4)+'CAFCO 400 '!$H$8*(J1587^3)+'CAFCO 400 '!$H$9*(J1587^2)+'CAFCO 400 '!$H$10*J1587+'CAFCO 400 '!$H$11)*U1587^2)+(('CAFCO 400 '!$H$12*(J1587^3)+'CAFCO 400 '!$H$13*(J1587^2)+'CAFCO 400 '!$H$14*J1587+'CAFCO 400 '!$H$15)*U1587)+('CAFCO 400 '!$H$16*(J1587^2)+'CAFCO 400 '!$H$17*J1587+'CAFCO 400 '!$H$18)),0)+IF(AND(L1587="Cafco 400",M1587="Software Idiem",C1587="Cj"),(((('CAFCO 400 '!$D$7*LN(J1587)+'CAFCO 400 '!$D$8)*U1587^2)+(('CAFCO 400 '!$D$9*LN(J1587)+'CAFCO 400 '!$D$10)*U1587)+('CAFCO 400 '!$D$11*LN(J1587)+'CAFCO 400 '!$D$12))),0)+IF(AND(L1587="Cafco 400",M1587="Software Idiem",C1587="C"),((('CAFCO 400 '!$L$7*(J1587^3)+'CAFCO 400 '!$L$8*(J1587^2)+'CAFCO 400 '!$L$9*J1587+'CAFCO 400 '!$L$10)*U1587^2)+(('CAFCO 400 '!$L$11*(J1587^3)+'CAFCO 400 '!$L$12*(J1587^2)+'CAFCO 400 '!$L$13*J1587+'CAFCO 400 '!$L$14)*U1587)+('CAFCO 400 '!$L$15*LN(J1587)+'CAFCO 400 '!$L$16)),0)+IF(AND(L1587="Cafco 400",M1587="Software Idiem",C1587="L"),((('CAFCO 400 '!$L$7*(J1587^3)+'CAFCO 400 '!$L$8*(J1587^2)+'CAFCO 400 '!$L$9*J1587+'CAFCO 400 '!$L$10)*U1587^2)+(('CAFCO 400 '!$L$11*(J1587^3)+'CAFCO 400 '!$L$12*(J1587^2)+'CAFCO 400 '!$L$13*J1587+'CAFCO 400 '!$L$14)*U1587)+('CAFCO 400 '!$L$15*LN(J1587)+'CAFCO 400 '!$L$16)),0)+IF(AND(L1587="Cafco 400",M1587="Software Idiem",C1587="IN",G1587=3),((('CAFCO 400 '!$D$23*(J1587^2)+'CAFCO 400 '!$D$24*(J1587)+'CAFCO 400 '!$D$25)*U1587^2)+(('CAFCO 400 '!$D$26*(J1587^2)+'CAFCO 400 '!$D$27*J1587+'CAFCO 400 '!$D$28)*U1587)+('CAFCO 400 '!$D$29*(J1587^2)+'CAFCO 400 '!$D$30*J1587+'CAFCO 400 '!$D$31)),0),0)+IF(AND(L1587="Cafco 300",J1587&gt;=95,J1587&lt;=240,C1587="Cj",I1587=90),VLOOKUP(T1587,'CAFCO 300 IDIEM TABLAS'!$B$4:$D$23,2,FALSE),0)+IF(AND(L1587="Cafco 300",J1587&gt;=95,J1587&lt;=240,C1587="Cj",I1587=120),VLOOKUP(T1587,'CAFCO 300 IDIEM TABLAS'!$B$4:$D$23,3,FALSE),0)+IF(AND(L1587="Cafco 300",J1587&gt;=95,J1587&lt;=400,G1587=3,C1587="IN",I1587=90),VLOOKUP(T1587,'CAFCO 300 IDIEM TABLAS'!$F$4:$H$35,2,FALSE),0)+IF(AND(L1587="Cafco 300",J1587&gt;=95,J1587&lt;=400,G1587=3,C1587="IN",I1587=120),VLOOKUP(T1587,'CAFCO 300 IDIEM TABLAS'!$F$4:$H$35,3,FALSE),0)+IF(AND(L1587="Cafco 300",J1587&gt;=95,J1587&lt;=450,G1587=4,C1587="IN",I1587=90),VLOOKUP(T1587,'CAFCO 300 IDIEM TABLAS'!$J$4:$L$40,2,FALSE),0)+IF(AND(L1587="Cafco 300",J1587&gt;=95,J1587&lt;=450,G1587=4,C1587="IN",I1587=120),VLOOKUP(T1587,'CAFCO 300 IDIEM TABLAS'!$J$4:$L$40,3,FALSE),0)+IF(AND(M1587="Ensayo Idiem",L1587="Cafco 400",C1587="IN",G1587=4,I1587=90),VLOOKUP(T1587,'CAFCO 400 ENSAYO'!$B$7:$D$43,2,FALSE),0)+IF(AND(M1587="Ensayo Idiem",L1587="Cafco 400",C1587="IN",G1587=4,I1587=120),VLOOKUP(T1587,'CAFCO 400 ENSAYO'!$B$7:$D$43,3,FALSE),0)</f>
        <v>0</v>
      </c>
      <c r="O1587" s="96">
        <f t="shared" si="156"/>
        <v>0</v>
      </c>
      <c r="P1587" s="132" t="str">
        <f t="shared" si="157"/>
        <v>N/A</v>
      </c>
      <c r="Q1587" s="132" t="str">
        <f t="shared" si="158"/>
        <v>N/A</v>
      </c>
      <c r="R1587" s="132" t="str">
        <f t="shared" si="159"/>
        <v>NO CERT.</v>
      </c>
      <c r="S1587" s="132" t="e">
        <f t="shared" si="160"/>
        <v>#N/A</v>
      </c>
      <c r="T1587" s="133" t="e">
        <f>+IF(J1587=LOOKUP(J1587,'CAFCO 300 IDIEM TABLAS'!$J$4:$J$40),'CALCULO MORTERO'!J1587,MROUND('CALCULO MORTERO'!J1587,10))</f>
        <v>#N/A</v>
      </c>
      <c r="U1587" s="134">
        <f t="shared" si="161"/>
        <v>0</v>
      </c>
    </row>
    <row r="1588" spans="1:21" x14ac:dyDescent="0.25">
      <c r="A1588" s="118">
        <f>+CUBICACION!D1582</f>
        <v>0</v>
      </c>
      <c r="B1588" s="819">
        <f>+CUBICACION!E1582</f>
        <v>0</v>
      </c>
      <c r="C1588" s="675">
        <f>+CUBICACION!F1582</f>
        <v>0</v>
      </c>
      <c r="D1588" s="118"/>
      <c r="E1588" s="118"/>
      <c r="F1588" s="820"/>
      <c r="G1588" s="675">
        <f>+CUBICACION!J1582</f>
        <v>0</v>
      </c>
      <c r="H1588" s="118"/>
      <c r="I1588" s="821">
        <f>+CUBICACION!L1582</f>
        <v>0</v>
      </c>
      <c r="J1588" s="64">
        <f>+CUBICACION!M1582</f>
        <v>0</v>
      </c>
      <c r="K1588" s="822" t="str">
        <f>+CUBICACION!N1582</f>
        <v/>
      </c>
      <c r="L1588" s="118">
        <f>+CUBICACION!O1582</f>
        <v>0</v>
      </c>
      <c r="M1588" s="823">
        <f>+CUBICACION!P1582</f>
        <v>0</v>
      </c>
      <c r="N1588" s="902">
        <f>ROUND(IF(AND(L1588="Blaze Shield II",M1588="Software Idiem",C1588="IN",G1588=4),((('BLAZE SHIELD II'!$D$4*('CALCULO MORTERO'!I1588^2)+'BLAZE SHIELD II'!$D$5*'CALCULO MORTERO'!I1588+'BLAZE SHIELD II'!$D$6)*LN(J1588))+('BLAZE SHIELD II'!$D$7*('CALCULO MORTERO'!I1588^2)+'BLAZE SHIELD II'!$D$8*'CALCULO MORTERO'!I1588+'BLAZE SHIELD II'!$D$9)),0)+IF(AND(L1588="Blaze Shield II",M1588="Software Idiem",C1588="Cj"),((('BLAZE SHIELD II'!$H$4*('CALCULO MORTERO'!I1588^2)+'BLAZE SHIELD II'!$H$5*'CALCULO MORTERO'!I1588+'BLAZE SHIELD II'!$H$6)*LN(J1588))+('BLAZE SHIELD II'!$H$7*('CALCULO MORTERO'!I1588^2)+'BLAZE SHIELD II'!$H$8*'CALCULO MORTERO'!I1588+'BLAZE SHIELD II'!$H$9)),0)+IF(AND(L1588="Blaze Shield II",M1588="Software Idiem",C1588="C"),((('BLAZE SHIELD II'!$L$4*('CALCULO MORTERO'!I1588^2)+'BLAZE SHIELD II'!$L$5*'CALCULO MORTERO'!I1588+'BLAZE SHIELD II'!$L$6)*LN(J1588))+('BLAZE SHIELD II'!$L$7*('CALCULO MORTERO'!I1588^2)+'BLAZE SHIELD II'!$L$8*'CALCULO MORTERO'!I1588+'BLAZE SHIELD II'!$L$9)),0)+IF(AND(L1588="Blaze Shield II",M1588="Software Idiem",C1588="L"),((('BLAZE SHIELD II'!$L$4*('CALCULO MORTERO'!I1588^2)+'BLAZE SHIELD II'!$L$5*'CALCULO MORTERO'!I1588+'BLAZE SHIELD II'!$L$6)*LN(J1588))+('BLAZE SHIELD II'!$L$7*('CALCULO MORTERO'!I1588^2)+'BLAZE SHIELD II'!$L$8*'CALCULO MORTERO'!I1588+'BLAZE SHIELD II'!$L$9)),0)+IF(AND(L1588="Blaze Shield II",M1588="Software Idiem",C1588="IN",G1588=3),((('BLAZE SHIELD II'!$H$14*('CALCULO MORTERO'!I1588^2)+'BLAZE SHIELD II'!$H$15*'CALCULO MORTERO'!I1588+'BLAZE SHIELD II'!$H$16)*LN(J1588))+('BLAZE SHIELD II'!$H$17*('CALCULO MORTERO'!I1588^2)+'BLAZE SHIELD II'!$H$18*'CALCULO MORTERO'!I1588+'BLAZE SHIELD II'!$H$19)),0),0)+ROUND(IF(AND(L1588="Cafco 400",M1588="Software Idiem",C1588="IN",G1588=4),((('CAFCO 400 '!$H$7*(J1588^4)+'CAFCO 400 '!$H$8*(J1588^3)+'CAFCO 400 '!$H$9*(J1588^2)+'CAFCO 400 '!$H$10*J1588+'CAFCO 400 '!$H$11)*U1588^2)+(('CAFCO 400 '!$H$12*(J1588^3)+'CAFCO 400 '!$H$13*(J1588^2)+'CAFCO 400 '!$H$14*J1588+'CAFCO 400 '!$H$15)*U1588)+('CAFCO 400 '!$H$16*(J1588^2)+'CAFCO 400 '!$H$17*J1588+'CAFCO 400 '!$H$18)),0)+IF(AND(L1588="Cafco 400",M1588="Software Idiem",C1588="Cj"),(((('CAFCO 400 '!$D$7*LN(J1588)+'CAFCO 400 '!$D$8)*U1588^2)+(('CAFCO 400 '!$D$9*LN(J1588)+'CAFCO 400 '!$D$10)*U1588)+('CAFCO 400 '!$D$11*LN(J1588)+'CAFCO 400 '!$D$12))),0)+IF(AND(L1588="Cafco 400",M1588="Software Idiem",C1588="C"),((('CAFCO 400 '!$L$7*(J1588^3)+'CAFCO 400 '!$L$8*(J1588^2)+'CAFCO 400 '!$L$9*J1588+'CAFCO 400 '!$L$10)*U1588^2)+(('CAFCO 400 '!$L$11*(J1588^3)+'CAFCO 400 '!$L$12*(J1588^2)+'CAFCO 400 '!$L$13*J1588+'CAFCO 400 '!$L$14)*U1588)+('CAFCO 400 '!$L$15*LN(J1588)+'CAFCO 400 '!$L$16)),0)+IF(AND(L1588="Cafco 400",M1588="Software Idiem",C1588="L"),((('CAFCO 400 '!$L$7*(J1588^3)+'CAFCO 400 '!$L$8*(J1588^2)+'CAFCO 400 '!$L$9*J1588+'CAFCO 400 '!$L$10)*U1588^2)+(('CAFCO 400 '!$L$11*(J1588^3)+'CAFCO 400 '!$L$12*(J1588^2)+'CAFCO 400 '!$L$13*J1588+'CAFCO 400 '!$L$14)*U1588)+('CAFCO 400 '!$L$15*LN(J1588)+'CAFCO 400 '!$L$16)),0)+IF(AND(L1588="Cafco 400",M1588="Software Idiem",C1588="IN",G1588=3),((('CAFCO 400 '!$D$23*(J1588^2)+'CAFCO 400 '!$D$24*(J1588)+'CAFCO 400 '!$D$25)*U1588^2)+(('CAFCO 400 '!$D$26*(J1588^2)+'CAFCO 400 '!$D$27*J1588+'CAFCO 400 '!$D$28)*U1588)+('CAFCO 400 '!$D$29*(J1588^2)+'CAFCO 400 '!$D$30*J1588+'CAFCO 400 '!$D$31)),0),0)+IF(AND(L1588="Cafco 300",J1588&gt;=95,J1588&lt;=240,C1588="Cj",I1588=90),VLOOKUP(T1588,'CAFCO 300 IDIEM TABLAS'!$B$4:$D$23,2,FALSE),0)+IF(AND(L1588="Cafco 300",J1588&gt;=95,J1588&lt;=240,C1588="Cj",I1588=120),VLOOKUP(T1588,'CAFCO 300 IDIEM TABLAS'!$B$4:$D$23,3,FALSE),0)+IF(AND(L1588="Cafco 300",J1588&gt;=95,J1588&lt;=400,G1588=3,C1588="IN",I1588=90),VLOOKUP(T1588,'CAFCO 300 IDIEM TABLAS'!$F$4:$H$35,2,FALSE),0)+IF(AND(L1588="Cafco 300",J1588&gt;=95,J1588&lt;=400,G1588=3,C1588="IN",I1588=120),VLOOKUP(T1588,'CAFCO 300 IDIEM TABLAS'!$F$4:$H$35,3,FALSE),0)+IF(AND(L1588="Cafco 300",J1588&gt;=95,J1588&lt;=450,G1588=4,C1588="IN",I1588=90),VLOOKUP(T1588,'CAFCO 300 IDIEM TABLAS'!$J$4:$L$40,2,FALSE),0)+IF(AND(L1588="Cafco 300",J1588&gt;=95,J1588&lt;=450,G1588=4,C1588="IN",I1588=120),VLOOKUP(T1588,'CAFCO 300 IDIEM TABLAS'!$J$4:$L$40,3,FALSE),0)+IF(AND(M1588="Ensayo Idiem",L1588="Cafco 400",C1588="IN",G1588=4,I1588=90),VLOOKUP(T1588,'CAFCO 400 ENSAYO'!$B$7:$D$43,2,FALSE),0)+IF(AND(M1588="Ensayo Idiem",L1588="Cafco 400",C1588="IN",G1588=4,I1588=120),VLOOKUP(T1588,'CAFCO 400 ENSAYO'!$B$7:$D$43,3,FALSE),0)</f>
        <v>0</v>
      </c>
      <c r="O1588" s="96">
        <f t="shared" si="156"/>
        <v>0</v>
      </c>
      <c r="P1588" s="95" t="str">
        <f t="shared" si="157"/>
        <v>N/A</v>
      </c>
      <c r="Q1588" s="95" t="str">
        <f t="shared" si="158"/>
        <v>N/A</v>
      </c>
      <c r="R1588" s="95" t="str">
        <f t="shared" si="159"/>
        <v>NO CERT.</v>
      </c>
      <c r="S1588" s="95" t="e">
        <f t="shared" si="160"/>
        <v>#N/A</v>
      </c>
      <c r="T1588" s="119" t="e">
        <f>+IF(J1588=LOOKUP(J1588,'CAFCO 300 IDIEM TABLAS'!$J$4:$J$40),'CALCULO MORTERO'!J1588,MROUND('CALCULO MORTERO'!J1588,10))</f>
        <v>#N/A</v>
      </c>
      <c r="U1588" s="118">
        <f t="shared" si="161"/>
        <v>0</v>
      </c>
    </row>
    <row r="1589" spans="1:21" x14ac:dyDescent="0.25">
      <c r="A1589" s="118">
        <f>+CUBICACION!D1583</f>
        <v>0</v>
      </c>
      <c r="B1589" s="819">
        <f>+CUBICACION!E1583</f>
        <v>0</v>
      </c>
      <c r="C1589" s="675">
        <f>+CUBICACION!F1583</f>
        <v>0</v>
      </c>
      <c r="D1589" s="118"/>
      <c r="E1589" s="118"/>
      <c r="F1589" s="820"/>
      <c r="G1589" s="675">
        <f>+CUBICACION!J1583</f>
        <v>0</v>
      </c>
      <c r="H1589" s="118"/>
      <c r="I1589" s="821">
        <f>+CUBICACION!L1583</f>
        <v>0</v>
      </c>
      <c r="J1589" s="64">
        <f>+CUBICACION!M1583</f>
        <v>0</v>
      </c>
      <c r="K1589" s="822" t="str">
        <f>+CUBICACION!N1583</f>
        <v/>
      </c>
      <c r="L1589" s="118">
        <f>+CUBICACION!O1583</f>
        <v>0</v>
      </c>
      <c r="M1589" s="823">
        <f>+CUBICACION!P1583</f>
        <v>0</v>
      </c>
      <c r="N1589" s="902">
        <f>ROUND(IF(AND(L1589="Blaze Shield II",M1589="Software Idiem",C1589="IN",G1589=4),((('BLAZE SHIELD II'!$D$4*('CALCULO MORTERO'!I1589^2)+'BLAZE SHIELD II'!$D$5*'CALCULO MORTERO'!I1589+'BLAZE SHIELD II'!$D$6)*LN(J1589))+('BLAZE SHIELD II'!$D$7*('CALCULO MORTERO'!I1589^2)+'BLAZE SHIELD II'!$D$8*'CALCULO MORTERO'!I1589+'BLAZE SHIELD II'!$D$9)),0)+IF(AND(L1589="Blaze Shield II",M1589="Software Idiem",C1589="Cj"),((('BLAZE SHIELD II'!$H$4*('CALCULO MORTERO'!I1589^2)+'BLAZE SHIELD II'!$H$5*'CALCULO MORTERO'!I1589+'BLAZE SHIELD II'!$H$6)*LN(J1589))+('BLAZE SHIELD II'!$H$7*('CALCULO MORTERO'!I1589^2)+'BLAZE SHIELD II'!$H$8*'CALCULO MORTERO'!I1589+'BLAZE SHIELD II'!$H$9)),0)+IF(AND(L1589="Blaze Shield II",M1589="Software Idiem",C1589="C"),((('BLAZE SHIELD II'!$L$4*('CALCULO MORTERO'!I1589^2)+'BLAZE SHIELD II'!$L$5*'CALCULO MORTERO'!I1589+'BLAZE SHIELD II'!$L$6)*LN(J1589))+('BLAZE SHIELD II'!$L$7*('CALCULO MORTERO'!I1589^2)+'BLAZE SHIELD II'!$L$8*'CALCULO MORTERO'!I1589+'BLAZE SHIELD II'!$L$9)),0)+IF(AND(L1589="Blaze Shield II",M1589="Software Idiem",C1589="L"),((('BLAZE SHIELD II'!$L$4*('CALCULO MORTERO'!I1589^2)+'BLAZE SHIELD II'!$L$5*'CALCULO MORTERO'!I1589+'BLAZE SHIELD II'!$L$6)*LN(J1589))+('BLAZE SHIELD II'!$L$7*('CALCULO MORTERO'!I1589^2)+'BLAZE SHIELD II'!$L$8*'CALCULO MORTERO'!I1589+'BLAZE SHIELD II'!$L$9)),0)+IF(AND(L1589="Blaze Shield II",M1589="Software Idiem",C1589="IN",G1589=3),((('BLAZE SHIELD II'!$H$14*('CALCULO MORTERO'!I1589^2)+'BLAZE SHIELD II'!$H$15*'CALCULO MORTERO'!I1589+'BLAZE SHIELD II'!$H$16)*LN(J1589))+('BLAZE SHIELD II'!$H$17*('CALCULO MORTERO'!I1589^2)+'BLAZE SHIELD II'!$H$18*'CALCULO MORTERO'!I1589+'BLAZE SHIELD II'!$H$19)),0),0)+ROUND(IF(AND(L1589="Cafco 400",M1589="Software Idiem",C1589="IN",G1589=4),((('CAFCO 400 '!$H$7*(J1589^4)+'CAFCO 400 '!$H$8*(J1589^3)+'CAFCO 400 '!$H$9*(J1589^2)+'CAFCO 400 '!$H$10*J1589+'CAFCO 400 '!$H$11)*U1589^2)+(('CAFCO 400 '!$H$12*(J1589^3)+'CAFCO 400 '!$H$13*(J1589^2)+'CAFCO 400 '!$H$14*J1589+'CAFCO 400 '!$H$15)*U1589)+('CAFCO 400 '!$H$16*(J1589^2)+'CAFCO 400 '!$H$17*J1589+'CAFCO 400 '!$H$18)),0)+IF(AND(L1589="Cafco 400",M1589="Software Idiem",C1589="Cj"),(((('CAFCO 400 '!$D$7*LN(J1589)+'CAFCO 400 '!$D$8)*U1589^2)+(('CAFCO 400 '!$D$9*LN(J1589)+'CAFCO 400 '!$D$10)*U1589)+('CAFCO 400 '!$D$11*LN(J1589)+'CAFCO 400 '!$D$12))),0)+IF(AND(L1589="Cafco 400",M1589="Software Idiem",C1589="C"),((('CAFCO 400 '!$L$7*(J1589^3)+'CAFCO 400 '!$L$8*(J1589^2)+'CAFCO 400 '!$L$9*J1589+'CAFCO 400 '!$L$10)*U1589^2)+(('CAFCO 400 '!$L$11*(J1589^3)+'CAFCO 400 '!$L$12*(J1589^2)+'CAFCO 400 '!$L$13*J1589+'CAFCO 400 '!$L$14)*U1589)+('CAFCO 400 '!$L$15*LN(J1589)+'CAFCO 400 '!$L$16)),0)+IF(AND(L1589="Cafco 400",M1589="Software Idiem",C1589="L"),((('CAFCO 400 '!$L$7*(J1589^3)+'CAFCO 400 '!$L$8*(J1589^2)+'CAFCO 400 '!$L$9*J1589+'CAFCO 400 '!$L$10)*U1589^2)+(('CAFCO 400 '!$L$11*(J1589^3)+'CAFCO 400 '!$L$12*(J1589^2)+'CAFCO 400 '!$L$13*J1589+'CAFCO 400 '!$L$14)*U1589)+('CAFCO 400 '!$L$15*LN(J1589)+'CAFCO 400 '!$L$16)),0)+IF(AND(L1589="Cafco 400",M1589="Software Idiem",C1589="IN",G1589=3),((('CAFCO 400 '!$D$23*(J1589^2)+'CAFCO 400 '!$D$24*(J1589)+'CAFCO 400 '!$D$25)*U1589^2)+(('CAFCO 400 '!$D$26*(J1589^2)+'CAFCO 400 '!$D$27*J1589+'CAFCO 400 '!$D$28)*U1589)+('CAFCO 400 '!$D$29*(J1589^2)+'CAFCO 400 '!$D$30*J1589+'CAFCO 400 '!$D$31)),0),0)+IF(AND(L1589="Cafco 300",J1589&gt;=95,J1589&lt;=240,C1589="Cj",I1589=90),VLOOKUP(T1589,'CAFCO 300 IDIEM TABLAS'!$B$4:$D$23,2,FALSE),0)+IF(AND(L1589="Cafco 300",J1589&gt;=95,J1589&lt;=240,C1589="Cj",I1589=120),VLOOKUP(T1589,'CAFCO 300 IDIEM TABLAS'!$B$4:$D$23,3,FALSE),0)+IF(AND(L1589="Cafco 300",J1589&gt;=95,J1589&lt;=400,G1589=3,C1589="IN",I1589=90),VLOOKUP(T1589,'CAFCO 300 IDIEM TABLAS'!$F$4:$H$35,2,FALSE),0)+IF(AND(L1589="Cafco 300",J1589&gt;=95,J1589&lt;=400,G1589=3,C1589="IN",I1589=120),VLOOKUP(T1589,'CAFCO 300 IDIEM TABLAS'!$F$4:$H$35,3,FALSE),0)+IF(AND(L1589="Cafco 300",J1589&gt;=95,J1589&lt;=450,G1589=4,C1589="IN",I1589=90),VLOOKUP(T1589,'CAFCO 300 IDIEM TABLAS'!$J$4:$L$40,2,FALSE),0)+IF(AND(L1589="Cafco 300",J1589&gt;=95,J1589&lt;=450,G1589=4,C1589="IN",I1589=120),VLOOKUP(T1589,'CAFCO 300 IDIEM TABLAS'!$J$4:$L$40,3,FALSE),0)+IF(AND(M1589="Ensayo Idiem",L1589="Cafco 400",C1589="IN",G1589=4,I1589=90),VLOOKUP(T1589,'CAFCO 400 ENSAYO'!$B$7:$D$43,2,FALSE),0)+IF(AND(M1589="Ensayo Idiem",L1589="Cafco 400",C1589="IN",G1589=4,I1589=120),VLOOKUP(T1589,'CAFCO 400 ENSAYO'!$B$7:$D$43,3,FALSE),0)</f>
        <v>0</v>
      </c>
      <c r="O1589" s="96">
        <f t="shared" si="156"/>
        <v>0</v>
      </c>
      <c r="P1589" s="132" t="str">
        <f t="shared" si="157"/>
        <v>N/A</v>
      </c>
      <c r="Q1589" s="132" t="str">
        <f t="shared" si="158"/>
        <v>N/A</v>
      </c>
      <c r="R1589" s="132" t="str">
        <f t="shared" si="159"/>
        <v>NO CERT.</v>
      </c>
      <c r="S1589" s="132" t="e">
        <f t="shared" si="160"/>
        <v>#N/A</v>
      </c>
      <c r="T1589" s="133" t="e">
        <f>+IF(J1589=LOOKUP(J1589,'CAFCO 300 IDIEM TABLAS'!$J$4:$J$40),'CALCULO MORTERO'!J1589,MROUND('CALCULO MORTERO'!J1589,10))</f>
        <v>#N/A</v>
      </c>
      <c r="U1589" s="134">
        <f t="shared" si="161"/>
        <v>0</v>
      </c>
    </row>
    <row r="1590" spans="1:21" x14ac:dyDescent="0.25">
      <c r="A1590" s="118">
        <f>+CUBICACION!D1584</f>
        <v>0</v>
      </c>
      <c r="B1590" s="819">
        <f>+CUBICACION!E1584</f>
        <v>0</v>
      </c>
      <c r="C1590" s="675">
        <f>+CUBICACION!F1584</f>
        <v>0</v>
      </c>
      <c r="D1590" s="118"/>
      <c r="E1590" s="118"/>
      <c r="F1590" s="820"/>
      <c r="G1590" s="675">
        <f>+CUBICACION!J1584</f>
        <v>0</v>
      </c>
      <c r="H1590" s="118"/>
      <c r="I1590" s="821">
        <f>+CUBICACION!L1584</f>
        <v>0</v>
      </c>
      <c r="J1590" s="64">
        <f>+CUBICACION!M1584</f>
        <v>0</v>
      </c>
      <c r="K1590" s="822" t="str">
        <f>+CUBICACION!N1584</f>
        <v/>
      </c>
      <c r="L1590" s="118">
        <f>+CUBICACION!O1584</f>
        <v>0</v>
      </c>
      <c r="M1590" s="823">
        <f>+CUBICACION!P1584</f>
        <v>0</v>
      </c>
      <c r="N1590" s="902">
        <f>ROUND(IF(AND(L1590="Blaze Shield II",M1590="Software Idiem",C1590="IN",G1590=4),((('BLAZE SHIELD II'!$D$4*('CALCULO MORTERO'!I1590^2)+'BLAZE SHIELD II'!$D$5*'CALCULO MORTERO'!I1590+'BLAZE SHIELD II'!$D$6)*LN(J1590))+('BLAZE SHIELD II'!$D$7*('CALCULO MORTERO'!I1590^2)+'BLAZE SHIELD II'!$D$8*'CALCULO MORTERO'!I1590+'BLAZE SHIELD II'!$D$9)),0)+IF(AND(L1590="Blaze Shield II",M1590="Software Idiem",C1590="Cj"),((('BLAZE SHIELD II'!$H$4*('CALCULO MORTERO'!I1590^2)+'BLAZE SHIELD II'!$H$5*'CALCULO MORTERO'!I1590+'BLAZE SHIELD II'!$H$6)*LN(J1590))+('BLAZE SHIELD II'!$H$7*('CALCULO MORTERO'!I1590^2)+'BLAZE SHIELD II'!$H$8*'CALCULO MORTERO'!I1590+'BLAZE SHIELD II'!$H$9)),0)+IF(AND(L1590="Blaze Shield II",M1590="Software Idiem",C1590="C"),((('BLAZE SHIELD II'!$L$4*('CALCULO MORTERO'!I1590^2)+'BLAZE SHIELD II'!$L$5*'CALCULO MORTERO'!I1590+'BLAZE SHIELD II'!$L$6)*LN(J1590))+('BLAZE SHIELD II'!$L$7*('CALCULO MORTERO'!I1590^2)+'BLAZE SHIELD II'!$L$8*'CALCULO MORTERO'!I1590+'BLAZE SHIELD II'!$L$9)),0)+IF(AND(L1590="Blaze Shield II",M1590="Software Idiem",C1590="L"),((('BLAZE SHIELD II'!$L$4*('CALCULO MORTERO'!I1590^2)+'BLAZE SHIELD II'!$L$5*'CALCULO MORTERO'!I1590+'BLAZE SHIELD II'!$L$6)*LN(J1590))+('BLAZE SHIELD II'!$L$7*('CALCULO MORTERO'!I1590^2)+'BLAZE SHIELD II'!$L$8*'CALCULO MORTERO'!I1590+'BLAZE SHIELD II'!$L$9)),0)+IF(AND(L1590="Blaze Shield II",M1590="Software Idiem",C1590="IN",G1590=3),((('BLAZE SHIELD II'!$H$14*('CALCULO MORTERO'!I1590^2)+'BLAZE SHIELD II'!$H$15*'CALCULO MORTERO'!I1590+'BLAZE SHIELD II'!$H$16)*LN(J1590))+('BLAZE SHIELD II'!$H$17*('CALCULO MORTERO'!I1590^2)+'BLAZE SHIELD II'!$H$18*'CALCULO MORTERO'!I1590+'BLAZE SHIELD II'!$H$19)),0),0)+ROUND(IF(AND(L1590="Cafco 400",M1590="Software Idiem",C1590="IN",G1590=4),((('CAFCO 400 '!$H$7*(J1590^4)+'CAFCO 400 '!$H$8*(J1590^3)+'CAFCO 400 '!$H$9*(J1590^2)+'CAFCO 400 '!$H$10*J1590+'CAFCO 400 '!$H$11)*U1590^2)+(('CAFCO 400 '!$H$12*(J1590^3)+'CAFCO 400 '!$H$13*(J1590^2)+'CAFCO 400 '!$H$14*J1590+'CAFCO 400 '!$H$15)*U1590)+('CAFCO 400 '!$H$16*(J1590^2)+'CAFCO 400 '!$H$17*J1590+'CAFCO 400 '!$H$18)),0)+IF(AND(L1590="Cafco 400",M1590="Software Idiem",C1590="Cj"),(((('CAFCO 400 '!$D$7*LN(J1590)+'CAFCO 400 '!$D$8)*U1590^2)+(('CAFCO 400 '!$D$9*LN(J1590)+'CAFCO 400 '!$D$10)*U1590)+('CAFCO 400 '!$D$11*LN(J1590)+'CAFCO 400 '!$D$12))),0)+IF(AND(L1590="Cafco 400",M1590="Software Idiem",C1590="C"),((('CAFCO 400 '!$L$7*(J1590^3)+'CAFCO 400 '!$L$8*(J1590^2)+'CAFCO 400 '!$L$9*J1590+'CAFCO 400 '!$L$10)*U1590^2)+(('CAFCO 400 '!$L$11*(J1590^3)+'CAFCO 400 '!$L$12*(J1590^2)+'CAFCO 400 '!$L$13*J1590+'CAFCO 400 '!$L$14)*U1590)+('CAFCO 400 '!$L$15*LN(J1590)+'CAFCO 400 '!$L$16)),0)+IF(AND(L1590="Cafco 400",M1590="Software Idiem",C1590="L"),((('CAFCO 400 '!$L$7*(J1590^3)+'CAFCO 400 '!$L$8*(J1590^2)+'CAFCO 400 '!$L$9*J1590+'CAFCO 400 '!$L$10)*U1590^2)+(('CAFCO 400 '!$L$11*(J1590^3)+'CAFCO 400 '!$L$12*(J1590^2)+'CAFCO 400 '!$L$13*J1590+'CAFCO 400 '!$L$14)*U1590)+('CAFCO 400 '!$L$15*LN(J1590)+'CAFCO 400 '!$L$16)),0)+IF(AND(L1590="Cafco 400",M1590="Software Idiem",C1590="IN",G1590=3),((('CAFCO 400 '!$D$23*(J1590^2)+'CAFCO 400 '!$D$24*(J1590)+'CAFCO 400 '!$D$25)*U1590^2)+(('CAFCO 400 '!$D$26*(J1590^2)+'CAFCO 400 '!$D$27*J1590+'CAFCO 400 '!$D$28)*U1590)+('CAFCO 400 '!$D$29*(J1590^2)+'CAFCO 400 '!$D$30*J1590+'CAFCO 400 '!$D$31)),0),0)+IF(AND(L1590="Cafco 300",J1590&gt;=95,J1590&lt;=240,C1590="Cj",I1590=90),VLOOKUP(T1590,'CAFCO 300 IDIEM TABLAS'!$B$4:$D$23,2,FALSE),0)+IF(AND(L1590="Cafco 300",J1590&gt;=95,J1590&lt;=240,C1590="Cj",I1590=120),VLOOKUP(T1590,'CAFCO 300 IDIEM TABLAS'!$B$4:$D$23,3,FALSE),0)+IF(AND(L1590="Cafco 300",J1590&gt;=95,J1590&lt;=400,G1590=3,C1590="IN",I1590=90),VLOOKUP(T1590,'CAFCO 300 IDIEM TABLAS'!$F$4:$H$35,2,FALSE),0)+IF(AND(L1590="Cafco 300",J1590&gt;=95,J1590&lt;=400,G1590=3,C1590="IN",I1590=120),VLOOKUP(T1590,'CAFCO 300 IDIEM TABLAS'!$F$4:$H$35,3,FALSE),0)+IF(AND(L1590="Cafco 300",J1590&gt;=95,J1590&lt;=450,G1590=4,C1590="IN",I1590=90),VLOOKUP(T1590,'CAFCO 300 IDIEM TABLAS'!$J$4:$L$40,2,FALSE),0)+IF(AND(L1590="Cafco 300",J1590&gt;=95,J1590&lt;=450,G1590=4,C1590="IN",I1590=120),VLOOKUP(T1590,'CAFCO 300 IDIEM TABLAS'!$J$4:$L$40,3,FALSE),0)+IF(AND(M1590="Ensayo Idiem",L1590="Cafco 400",C1590="IN",G1590=4,I1590=90),VLOOKUP(T1590,'CAFCO 400 ENSAYO'!$B$7:$D$43,2,FALSE),0)+IF(AND(M1590="Ensayo Idiem",L1590="Cafco 400",C1590="IN",G1590=4,I1590=120),VLOOKUP(T1590,'CAFCO 400 ENSAYO'!$B$7:$D$43,3,FALSE),0)</f>
        <v>0</v>
      </c>
      <c r="O1590" s="96">
        <f t="shared" si="156"/>
        <v>0</v>
      </c>
      <c r="P1590" s="95" t="str">
        <f t="shared" si="157"/>
        <v>N/A</v>
      </c>
      <c r="Q1590" s="95" t="str">
        <f t="shared" si="158"/>
        <v>N/A</v>
      </c>
      <c r="R1590" s="95" t="str">
        <f t="shared" si="159"/>
        <v>NO CERT.</v>
      </c>
      <c r="S1590" s="95" t="e">
        <f t="shared" si="160"/>
        <v>#N/A</v>
      </c>
      <c r="T1590" s="119" t="e">
        <f>+IF(J1590=LOOKUP(J1590,'CAFCO 300 IDIEM TABLAS'!$J$4:$J$40),'CALCULO MORTERO'!J1590,MROUND('CALCULO MORTERO'!J1590,10))</f>
        <v>#N/A</v>
      </c>
      <c r="U1590" s="118">
        <f t="shared" si="161"/>
        <v>0</v>
      </c>
    </row>
    <row r="1591" spans="1:21" x14ac:dyDescent="0.25">
      <c r="A1591" s="118">
        <f>+CUBICACION!D1585</f>
        <v>0</v>
      </c>
      <c r="B1591" s="819">
        <f>+CUBICACION!E1585</f>
        <v>0</v>
      </c>
      <c r="C1591" s="675">
        <f>+CUBICACION!F1585</f>
        <v>0</v>
      </c>
      <c r="D1591" s="118"/>
      <c r="E1591" s="118"/>
      <c r="F1591" s="820"/>
      <c r="G1591" s="675">
        <f>+CUBICACION!J1585</f>
        <v>0</v>
      </c>
      <c r="H1591" s="118"/>
      <c r="I1591" s="821">
        <f>+CUBICACION!L1585</f>
        <v>0</v>
      </c>
      <c r="J1591" s="64">
        <f>+CUBICACION!M1585</f>
        <v>0</v>
      </c>
      <c r="K1591" s="822" t="str">
        <f>+CUBICACION!N1585</f>
        <v/>
      </c>
      <c r="L1591" s="118">
        <f>+CUBICACION!O1585</f>
        <v>0</v>
      </c>
      <c r="M1591" s="823">
        <f>+CUBICACION!P1585</f>
        <v>0</v>
      </c>
      <c r="N1591" s="902">
        <f>ROUND(IF(AND(L1591="Blaze Shield II",M1591="Software Idiem",C1591="IN",G1591=4),((('BLAZE SHIELD II'!$D$4*('CALCULO MORTERO'!I1591^2)+'BLAZE SHIELD II'!$D$5*'CALCULO MORTERO'!I1591+'BLAZE SHIELD II'!$D$6)*LN(J1591))+('BLAZE SHIELD II'!$D$7*('CALCULO MORTERO'!I1591^2)+'BLAZE SHIELD II'!$D$8*'CALCULO MORTERO'!I1591+'BLAZE SHIELD II'!$D$9)),0)+IF(AND(L1591="Blaze Shield II",M1591="Software Idiem",C1591="Cj"),((('BLAZE SHIELD II'!$H$4*('CALCULO MORTERO'!I1591^2)+'BLAZE SHIELD II'!$H$5*'CALCULO MORTERO'!I1591+'BLAZE SHIELD II'!$H$6)*LN(J1591))+('BLAZE SHIELD II'!$H$7*('CALCULO MORTERO'!I1591^2)+'BLAZE SHIELD II'!$H$8*'CALCULO MORTERO'!I1591+'BLAZE SHIELD II'!$H$9)),0)+IF(AND(L1591="Blaze Shield II",M1591="Software Idiem",C1591="C"),((('BLAZE SHIELD II'!$L$4*('CALCULO MORTERO'!I1591^2)+'BLAZE SHIELD II'!$L$5*'CALCULO MORTERO'!I1591+'BLAZE SHIELD II'!$L$6)*LN(J1591))+('BLAZE SHIELD II'!$L$7*('CALCULO MORTERO'!I1591^2)+'BLAZE SHIELD II'!$L$8*'CALCULO MORTERO'!I1591+'BLAZE SHIELD II'!$L$9)),0)+IF(AND(L1591="Blaze Shield II",M1591="Software Idiem",C1591="L"),((('BLAZE SHIELD II'!$L$4*('CALCULO MORTERO'!I1591^2)+'BLAZE SHIELD II'!$L$5*'CALCULO MORTERO'!I1591+'BLAZE SHIELD II'!$L$6)*LN(J1591))+('BLAZE SHIELD II'!$L$7*('CALCULO MORTERO'!I1591^2)+'BLAZE SHIELD II'!$L$8*'CALCULO MORTERO'!I1591+'BLAZE SHIELD II'!$L$9)),0)+IF(AND(L1591="Blaze Shield II",M1591="Software Idiem",C1591="IN",G1591=3),((('BLAZE SHIELD II'!$H$14*('CALCULO MORTERO'!I1591^2)+'BLAZE SHIELD II'!$H$15*'CALCULO MORTERO'!I1591+'BLAZE SHIELD II'!$H$16)*LN(J1591))+('BLAZE SHIELD II'!$H$17*('CALCULO MORTERO'!I1591^2)+'BLAZE SHIELD II'!$H$18*'CALCULO MORTERO'!I1591+'BLAZE SHIELD II'!$H$19)),0),0)+ROUND(IF(AND(L1591="Cafco 400",M1591="Software Idiem",C1591="IN",G1591=4),((('CAFCO 400 '!$H$7*(J1591^4)+'CAFCO 400 '!$H$8*(J1591^3)+'CAFCO 400 '!$H$9*(J1591^2)+'CAFCO 400 '!$H$10*J1591+'CAFCO 400 '!$H$11)*U1591^2)+(('CAFCO 400 '!$H$12*(J1591^3)+'CAFCO 400 '!$H$13*(J1591^2)+'CAFCO 400 '!$H$14*J1591+'CAFCO 400 '!$H$15)*U1591)+('CAFCO 400 '!$H$16*(J1591^2)+'CAFCO 400 '!$H$17*J1591+'CAFCO 400 '!$H$18)),0)+IF(AND(L1591="Cafco 400",M1591="Software Idiem",C1591="Cj"),(((('CAFCO 400 '!$D$7*LN(J1591)+'CAFCO 400 '!$D$8)*U1591^2)+(('CAFCO 400 '!$D$9*LN(J1591)+'CAFCO 400 '!$D$10)*U1591)+('CAFCO 400 '!$D$11*LN(J1591)+'CAFCO 400 '!$D$12))),0)+IF(AND(L1591="Cafco 400",M1591="Software Idiem",C1591="C"),((('CAFCO 400 '!$L$7*(J1591^3)+'CAFCO 400 '!$L$8*(J1591^2)+'CAFCO 400 '!$L$9*J1591+'CAFCO 400 '!$L$10)*U1591^2)+(('CAFCO 400 '!$L$11*(J1591^3)+'CAFCO 400 '!$L$12*(J1591^2)+'CAFCO 400 '!$L$13*J1591+'CAFCO 400 '!$L$14)*U1591)+('CAFCO 400 '!$L$15*LN(J1591)+'CAFCO 400 '!$L$16)),0)+IF(AND(L1591="Cafco 400",M1591="Software Idiem",C1591="L"),((('CAFCO 400 '!$L$7*(J1591^3)+'CAFCO 400 '!$L$8*(J1591^2)+'CAFCO 400 '!$L$9*J1591+'CAFCO 400 '!$L$10)*U1591^2)+(('CAFCO 400 '!$L$11*(J1591^3)+'CAFCO 400 '!$L$12*(J1591^2)+'CAFCO 400 '!$L$13*J1591+'CAFCO 400 '!$L$14)*U1591)+('CAFCO 400 '!$L$15*LN(J1591)+'CAFCO 400 '!$L$16)),0)+IF(AND(L1591="Cafco 400",M1591="Software Idiem",C1591="IN",G1591=3),((('CAFCO 400 '!$D$23*(J1591^2)+'CAFCO 400 '!$D$24*(J1591)+'CAFCO 400 '!$D$25)*U1591^2)+(('CAFCO 400 '!$D$26*(J1591^2)+'CAFCO 400 '!$D$27*J1591+'CAFCO 400 '!$D$28)*U1591)+('CAFCO 400 '!$D$29*(J1591^2)+'CAFCO 400 '!$D$30*J1591+'CAFCO 400 '!$D$31)),0),0)+IF(AND(L1591="Cafco 300",J1591&gt;=95,J1591&lt;=240,C1591="Cj",I1591=90),VLOOKUP(T1591,'CAFCO 300 IDIEM TABLAS'!$B$4:$D$23,2,FALSE),0)+IF(AND(L1591="Cafco 300",J1591&gt;=95,J1591&lt;=240,C1591="Cj",I1591=120),VLOOKUP(T1591,'CAFCO 300 IDIEM TABLAS'!$B$4:$D$23,3,FALSE),0)+IF(AND(L1591="Cafco 300",J1591&gt;=95,J1591&lt;=400,G1591=3,C1591="IN",I1591=90),VLOOKUP(T1591,'CAFCO 300 IDIEM TABLAS'!$F$4:$H$35,2,FALSE),0)+IF(AND(L1591="Cafco 300",J1591&gt;=95,J1591&lt;=400,G1591=3,C1591="IN",I1591=120),VLOOKUP(T1591,'CAFCO 300 IDIEM TABLAS'!$F$4:$H$35,3,FALSE),0)+IF(AND(L1591="Cafco 300",J1591&gt;=95,J1591&lt;=450,G1591=4,C1591="IN",I1591=90),VLOOKUP(T1591,'CAFCO 300 IDIEM TABLAS'!$J$4:$L$40,2,FALSE),0)+IF(AND(L1591="Cafco 300",J1591&gt;=95,J1591&lt;=450,G1591=4,C1591="IN",I1591=120),VLOOKUP(T1591,'CAFCO 300 IDIEM TABLAS'!$J$4:$L$40,3,FALSE),0)+IF(AND(M1591="Ensayo Idiem",L1591="Cafco 400",C1591="IN",G1591=4,I1591=90),VLOOKUP(T1591,'CAFCO 400 ENSAYO'!$B$7:$D$43,2,FALSE),0)+IF(AND(M1591="Ensayo Idiem",L1591="Cafco 400",C1591="IN",G1591=4,I1591=120),VLOOKUP(T1591,'CAFCO 400 ENSAYO'!$B$7:$D$43,3,FALSE),0)</f>
        <v>0</v>
      </c>
      <c r="O1591" s="96">
        <f t="shared" si="156"/>
        <v>0</v>
      </c>
      <c r="P1591" s="132" t="str">
        <f t="shared" si="157"/>
        <v>N/A</v>
      </c>
      <c r="Q1591" s="132" t="str">
        <f t="shared" si="158"/>
        <v>N/A</v>
      </c>
      <c r="R1591" s="132" t="str">
        <f t="shared" si="159"/>
        <v>NO CERT.</v>
      </c>
      <c r="S1591" s="132" t="e">
        <f t="shared" si="160"/>
        <v>#N/A</v>
      </c>
      <c r="T1591" s="133" t="e">
        <f>+IF(J1591=LOOKUP(J1591,'CAFCO 300 IDIEM TABLAS'!$J$4:$J$40),'CALCULO MORTERO'!J1591,MROUND('CALCULO MORTERO'!J1591,10))</f>
        <v>#N/A</v>
      </c>
      <c r="U1591" s="134">
        <f t="shared" si="161"/>
        <v>0</v>
      </c>
    </row>
    <row r="1592" spans="1:21" x14ac:dyDescent="0.25">
      <c r="A1592" s="118">
        <f>+CUBICACION!D1586</f>
        <v>0</v>
      </c>
      <c r="B1592" s="819">
        <f>+CUBICACION!E1586</f>
        <v>0</v>
      </c>
      <c r="C1592" s="675">
        <f>+CUBICACION!F1586</f>
        <v>0</v>
      </c>
      <c r="D1592" s="118"/>
      <c r="E1592" s="118"/>
      <c r="F1592" s="820"/>
      <c r="G1592" s="675">
        <f>+CUBICACION!J1586</f>
        <v>0</v>
      </c>
      <c r="H1592" s="118"/>
      <c r="I1592" s="821">
        <f>+CUBICACION!L1586</f>
        <v>0</v>
      </c>
      <c r="J1592" s="64">
        <f>+CUBICACION!M1586</f>
        <v>0</v>
      </c>
      <c r="K1592" s="822" t="str">
        <f>+CUBICACION!N1586</f>
        <v/>
      </c>
      <c r="L1592" s="118">
        <f>+CUBICACION!O1586</f>
        <v>0</v>
      </c>
      <c r="M1592" s="823">
        <f>+CUBICACION!P1586</f>
        <v>0</v>
      </c>
      <c r="N1592" s="902">
        <f>ROUND(IF(AND(L1592="Blaze Shield II",M1592="Software Idiem",C1592="IN",G1592=4),((('BLAZE SHIELD II'!$D$4*('CALCULO MORTERO'!I1592^2)+'BLAZE SHIELD II'!$D$5*'CALCULO MORTERO'!I1592+'BLAZE SHIELD II'!$D$6)*LN(J1592))+('BLAZE SHIELD II'!$D$7*('CALCULO MORTERO'!I1592^2)+'BLAZE SHIELD II'!$D$8*'CALCULO MORTERO'!I1592+'BLAZE SHIELD II'!$D$9)),0)+IF(AND(L1592="Blaze Shield II",M1592="Software Idiem",C1592="Cj"),((('BLAZE SHIELD II'!$H$4*('CALCULO MORTERO'!I1592^2)+'BLAZE SHIELD II'!$H$5*'CALCULO MORTERO'!I1592+'BLAZE SHIELD II'!$H$6)*LN(J1592))+('BLAZE SHIELD II'!$H$7*('CALCULO MORTERO'!I1592^2)+'BLAZE SHIELD II'!$H$8*'CALCULO MORTERO'!I1592+'BLAZE SHIELD II'!$H$9)),0)+IF(AND(L1592="Blaze Shield II",M1592="Software Idiem",C1592="C"),((('BLAZE SHIELD II'!$L$4*('CALCULO MORTERO'!I1592^2)+'BLAZE SHIELD II'!$L$5*'CALCULO MORTERO'!I1592+'BLAZE SHIELD II'!$L$6)*LN(J1592))+('BLAZE SHIELD II'!$L$7*('CALCULO MORTERO'!I1592^2)+'BLAZE SHIELD II'!$L$8*'CALCULO MORTERO'!I1592+'BLAZE SHIELD II'!$L$9)),0)+IF(AND(L1592="Blaze Shield II",M1592="Software Idiem",C1592="L"),((('BLAZE SHIELD II'!$L$4*('CALCULO MORTERO'!I1592^2)+'BLAZE SHIELD II'!$L$5*'CALCULO MORTERO'!I1592+'BLAZE SHIELD II'!$L$6)*LN(J1592))+('BLAZE SHIELD II'!$L$7*('CALCULO MORTERO'!I1592^2)+'BLAZE SHIELD II'!$L$8*'CALCULO MORTERO'!I1592+'BLAZE SHIELD II'!$L$9)),0)+IF(AND(L1592="Blaze Shield II",M1592="Software Idiem",C1592="IN",G1592=3),((('BLAZE SHIELD II'!$H$14*('CALCULO MORTERO'!I1592^2)+'BLAZE SHIELD II'!$H$15*'CALCULO MORTERO'!I1592+'BLAZE SHIELD II'!$H$16)*LN(J1592))+('BLAZE SHIELD II'!$H$17*('CALCULO MORTERO'!I1592^2)+'BLAZE SHIELD II'!$H$18*'CALCULO MORTERO'!I1592+'BLAZE SHIELD II'!$H$19)),0),0)+ROUND(IF(AND(L1592="Cafco 400",M1592="Software Idiem",C1592="IN",G1592=4),((('CAFCO 400 '!$H$7*(J1592^4)+'CAFCO 400 '!$H$8*(J1592^3)+'CAFCO 400 '!$H$9*(J1592^2)+'CAFCO 400 '!$H$10*J1592+'CAFCO 400 '!$H$11)*U1592^2)+(('CAFCO 400 '!$H$12*(J1592^3)+'CAFCO 400 '!$H$13*(J1592^2)+'CAFCO 400 '!$H$14*J1592+'CAFCO 400 '!$H$15)*U1592)+('CAFCO 400 '!$H$16*(J1592^2)+'CAFCO 400 '!$H$17*J1592+'CAFCO 400 '!$H$18)),0)+IF(AND(L1592="Cafco 400",M1592="Software Idiem",C1592="Cj"),(((('CAFCO 400 '!$D$7*LN(J1592)+'CAFCO 400 '!$D$8)*U1592^2)+(('CAFCO 400 '!$D$9*LN(J1592)+'CAFCO 400 '!$D$10)*U1592)+('CAFCO 400 '!$D$11*LN(J1592)+'CAFCO 400 '!$D$12))),0)+IF(AND(L1592="Cafco 400",M1592="Software Idiem",C1592="C"),((('CAFCO 400 '!$L$7*(J1592^3)+'CAFCO 400 '!$L$8*(J1592^2)+'CAFCO 400 '!$L$9*J1592+'CAFCO 400 '!$L$10)*U1592^2)+(('CAFCO 400 '!$L$11*(J1592^3)+'CAFCO 400 '!$L$12*(J1592^2)+'CAFCO 400 '!$L$13*J1592+'CAFCO 400 '!$L$14)*U1592)+('CAFCO 400 '!$L$15*LN(J1592)+'CAFCO 400 '!$L$16)),0)+IF(AND(L1592="Cafco 400",M1592="Software Idiem",C1592="L"),((('CAFCO 400 '!$L$7*(J1592^3)+'CAFCO 400 '!$L$8*(J1592^2)+'CAFCO 400 '!$L$9*J1592+'CAFCO 400 '!$L$10)*U1592^2)+(('CAFCO 400 '!$L$11*(J1592^3)+'CAFCO 400 '!$L$12*(J1592^2)+'CAFCO 400 '!$L$13*J1592+'CAFCO 400 '!$L$14)*U1592)+('CAFCO 400 '!$L$15*LN(J1592)+'CAFCO 400 '!$L$16)),0)+IF(AND(L1592="Cafco 400",M1592="Software Idiem",C1592="IN",G1592=3),((('CAFCO 400 '!$D$23*(J1592^2)+'CAFCO 400 '!$D$24*(J1592)+'CAFCO 400 '!$D$25)*U1592^2)+(('CAFCO 400 '!$D$26*(J1592^2)+'CAFCO 400 '!$D$27*J1592+'CAFCO 400 '!$D$28)*U1592)+('CAFCO 400 '!$D$29*(J1592^2)+'CAFCO 400 '!$D$30*J1592+'CAFCO 400 '!$D$31)),0),0)+IF(AND(L1592="Cafco 300",J1592&gt;=95,J1592&lt;=240,C1592="Cj",I1592=90),VLOOKUP(T1592,'CAFCO 300 IDIEM TABLAS'!$B$4:$D$23,2,FALSE),0)+IF(AND(L1592="Cafco 300",J1592&gt;=95,J1592&lt;=240,C1592="Cj",I1592=120),VLOOKUP(T1592,'CAFCO 300 IDIEM TABLAS'!$B$4:$D$23,3,FALSE),0)+IF(AND(L1592="Cafco 300",J1592&gt;=95,J1592&lt;=400,G1592=3,C1592="IN",I1592=90),VLOOKUP(T1592,'CAFCO 300 IDIEM TABLAS'!$F$4:$H$35,2,FALSE),0)+IF(AND(L1592="Cafco 300",J1592&gt;=95,J1592&lt;=400,G1592=3,C1592="IN",I1592=120),VLOOKUP(T1592,'CAFCO 300 IDIEM TABLAS'!$F$4:$H$35,3,FALSE),0)+IF(AND(L1592="Cafco 300",J1592&gt;=95,J1592&lt;=450,G1592=4,C1592="IN",I1592=90),VLOOKUP(T1592,'CAFCO 300 IDIEM TABLAS'!$J$4:$L$40,2,FALSE),0)+IF(AND(L1592="Cafco 300",J1592&gt;=95,J1592&lt;=450,G1592=4,C1592="IN",I1592=120),VLOOKUP(T1592,'CAFCO 300 IDIEM TABLAS'!$J$4:$L$40,3,FALSE),0)+IF(AND(M1592="Ensayo Idiem",L1592="Cafco 400",C1592="IN",G1592=4,I1592=90),VLOOKUP(T1592,'CAFCO 400 ENSAYO'!$B$7:$D$43,2,FALSE),0)+IF(AND(M1592="Ensayo Idiem",L1592="Cafco 400",C1592="IN",G1592=4,I1592=120),VLOOKUP(T1592,'CAFCO 400 ENSAYO'!$B$7:$D$43,3,FALSE),0)</f>
        <v>0</v>
      </c>
      <c r="O1592" s="96">
        <f t="shared" si="156"/>
        <v>0</v>
      </c>
      <c r="P1592" s="95" t="str">
        <f t="shared" si="157"/>
        <v>N/A</v>
      </c>
      <c r="Q1592" s="95" t="str">
        <f t="shared" si="158"/>
        <v>N/A</v>
      </c>
      <c r="R1592" s="95" t="str">
        <f t="shared" si="159"/>
        <v>NO CERT.</v>
      </c>
      <c r="S1592" s="95" t="e">
        <f t="shared" si="160"/>
        <v>#N/A</v>
      </c>
      <c r="T1592" s="119" t="e">
        <f>+IF(J1592=LOOKUP(J1592,'CAFCO 300 IDIEM TABLAS'!$J$4:$J$40),'CALCULO MORTERO'!J1592,MROUND('CALCULO MORTERO'!J1592,10))</f>
        <v>#N/A</v>
      </c>
      <c r="U1592" s="118">
        <f t="shared" si="161"/>
        <v>0</v>
      </c>
    </row>
    <row r="1593" spans="1:21" x14ac:dyDescent="0.25">
      <c r="A1593" s="118">
        <f>+CUBICACION!D1587</f>
        <v>0</v>
      </c>
      <c r="B1593" s="819">
        <f>+CUBICACION!E1587</f>
        <v>0</v>
      </c>
      <c r="C1593" s="675">
        <f>+CUBICACION!F1587</f>
        <v>0</v>
      </c>
      <c r="D1593" s="118"/>
      <c r="E1593" s="118"/>
      <c r="F1593" s="820"/>
      <c r="G1593" s="675">
        <f>+CUBICACION!J1587</f>
        <v>0</v>
      </c>
      <c r="H1593" s="118"/>
      <c r="I1593" s="821">
        <f>+CUBICACION!L1587</f>
        <v>0</v>
      </c>
      <c r="J1593" s="64">
        <f>+CUBICACION!M1587</f>
        <v>0</v>
      </c>
      <c r="K1593" s="822" t="str">
        <f>+CUBICACION!N1587</f>
        <v/>
      </c>
      <c r="L1593" s="118">
        <f>+CUBICACION!O1587</f>
        <v>0</v>
      </c>
      <c r="M1593" s="823">
        <f>+CUBICACION!P1587</f>
        <v>0</v>
      </c>
      <c r="N1593" s="902">
        <f>ROUND(IF(AND(L1593="Blaze Shield II",M1593="Software Idiem",C1593="IN",G1593=4),((('BLAZE SHIELD II'!$D$4*('CALCULO MORTERO'!I1593^2)+'BLAZE SHIELD II'!$D$5*'CALCULO MORTERO'!I1593+'BLAZE SHIELD II'!$D$6)*LN(J1593))+('BLAZE SHIELD II'!$D$7*('CALCULO MORTERO'!I1593^2)+'BLAZE SHIELD II'!$D$8*'CALCULO MORTERO'!I1593+'BLAZE SHIELD II'!$D$9)),0)+IF(AND(L1593="Blaze Shield II",M1593="Software Idiem",C1593="Cj"),((('BLAZE SHIELD II'!$H$4*('CALCULO MORTERO'!I1593^2)+'BLAZE SHIELD II'!$H$5*'CALCULO MORTERO'!I1593+'BLAZE SHIELD II'!$H$6)*LN(J1593))+('BLAZE SHIELD II'!$H$7*('CALCULO MORTERO'!I1593^2)+'BLAZE SHIELD II'!$H$8*'CALCULO MORTERO'!I1593+'BLAZE SHIELD II'!$H$9)),0)+IF(AND(L1593="Blaze Shield II",M1593="Software Idiem",C1593="C"),((('BLAZE SHIELD II'!$L$4*('CALCULO MORTERO'!I1593^2)+'BLAZE SHIELD II'!$L$5*'CALCULO MORTERO'!I1593+'BLAZE SHIELD II'!$L$6)*LN(J1593))+('BLAZE SHIELD II'!$L$7*('CALCULO MORTERO'!I1593^2)+'BLAZE SHIELD II'!$L$8*'CALCULO MORTERO'!I1593+'BLAZE SHIELD II'!$L$9)),0)+IF(AND(L1593="Blaze Shield II",M1593="Software Idiem",C1593="L"),((('BLAZE SHIELD II'!$L$4*('CALCULO MORTERO'!I1593^2)+'BLAZE SHIELD II'!$L$5*'CALCULO MORTERO'!I1593+'BLAZE SHIELD II'!$L$6)*LN(J1593))+('BLAZE SHIELD II'!$L$7*('CALCULO MORTERO'!I1593^2)+'BLAZE SHIELD II'!$L$8*'CALCULO MORTERO'!I1593+'BLAZE SHIELD II'!$L$9)),0)+IF(AND(L1593="Blaze Shield II",M1593="Software Idiem",C1593="IN",G1593=3),((('BLAZE SHIELD II'!$H$14*('CALCULO MORTERO'!I1593^2)+'BLAZE SHIELD II'!$H$15*'CALCULO MORTERO'!I1593+'BLAZE SHIELD II'!$H$16)*LN(J1593))+('BLAZE SHIELD II'!$H$17*('CALCULO MORTERO'!I1593^2)+'BLAZE SHIELD II'!$H$18*'CALCULO MORTERO'!I1593+'BLAZE SHIELD II'!$H$19)),0),0)+ROUND(IF(AND(L1593="Cafco 400",M1593="Software Idiem",C1593="IN",G1593=4),((('CAFCO 400 '!$H$7*(J1593^4)+'CAFCO 400 '!$H$8*(J1593^3)+'CAFCO 400 '!$H$9*(J1593^2)+'CAFCO 400 '!$H$10*J1593+'CAFCO 400 '!$H$11)*U1593^2)+(('CAFCO 400 '!$H$12*(J1593^3)+'CAFCO 400 '!$H$13*(J1593^2)+'CAFCO 400 '!$H$14*J1593+'CAFCO 400 '!$H$15)*U1593)+('CAFCO 400 '!$H$16*(J1593^2)+'CAFCO 400 '!$H$17*J1593+'CAFCO 400 '!$H$18)),0)+IF(AND(L1593="Cafco 400",M1593="Software Idiem",C1593="Cj"),(((('CAFCO 400 '!$D$7*LN(J1593)+'CAFCO 400 '!$D$8)*U1593^2)+(('CAFCO 400 '!$D$9*LN(J1593)+'CAFCO 400 '!$D$10)*U1593)+('CAFCO 400 '!$D$11*LN(J1593)+'CAFCO 400 '!$D$12))),0)+IF(AND(L1593="Cafco 400",M1593="Software Idiem",C1593="C"),((('CAFCO 400 '!$L$7*(J1593^3)+'CAFCO 400 '!$L$8*(J1593^2)+'CAFCO 400 '!$L$9*J1593+'CAFCO 400 '!$L$10)*U1593^2)+(('CAFCO 400 '!$L$11*(J1593^3)+'CAFCO 400 '!$L$12*(J1593^2)+'CAFCO 400 '!$L$13*J1593+'CAFCO 400 '!$L$14)*U1593)+('CAFCO 400 '!$L$15*LN(J1593)+'CAFCO 400 '!$L$16)),0)+IF(AND(L1593="Cafco 400",M1593="Software Idiem",C1593="L"),((('CAFCO 400 '!$L$7*(J1593^3)+'CAFCO 400 '!$L$8*(J1593^2)+'CAFCO 400 '!$L$9*J1593+'CAFCO 400 '!$L$10)*U1593^2)+(('CAFCO 400 '!$L$11*(J1593^3)+'CAFCO 400 '!$L$12*(J1593^2)+'CAFCO 400 '!$L$13*J1593+'CAFCO 400 '!$L$14)*U1593)+('CAFCO 400 '!$L$15*LN(J1593)+'CAFCO 400 '!$L$16)),0)+IF(AND(L1593="Cafco 400",M1593="Software Idiem",C1593="IN",G1593=3),((('CAFCO 400 '!$D$23*(J1593^2)+'CAFCO 400 '!$D$24*(J1593)+'CAFCO 400 '!$D$25)*U1593^2)+(('CAFCO 400 '!$D$26*(J1593^2)+'CAFCO 400 '!$D$27*J1593+'CAFCO 400 '!$D$28)*U1593)+('CAFCO 400 '!$D$29*(J1593^2)+'CAFCO 400 '!$D$30*J1593+'CAFCO 400 '!$D$31)),0),0)+IF(AND(L1593="Cafco 300",J1593&gt;=95,J1593&lt;=240,C1593="Cj",I1593=90),VLOOKUP(T1593,'CAFCO 300 IDIEM TABLAS'!$B$4:$D$23,2,FALSE),0)+IF(AND(L1593="Cafco 300",J1593&gt;=95,J1593&lt;=240,C1593="Cj",I1593=120),VLOOKUP(T1593,'CAFCO 300 IDIEM TABLAS'!$B$4:$D$23,3,FALSE),0)+IF(AND(L1593="Cafco 300",J1593&gt;=95,J1593&lt;=400,G1593=3,C1593="IN",I1593=90),VLOOKUP(T1593,'CAFCO 300 IDIEM TABLAS'!$F$4:$H$35,2,FALSE),0)+IF(AND(L1593="Cafco 300",J1593&gt;=95,J1593&lt;=400,G1593=3,C1593="IN",I1593=120),VLOOKUP(T1593,'CAFCO 300 IDIEM TABLAS'!$F$4:$H$35,3,FALSE),0)+IF(AND(L1593="Cafco 300",J1593&gt;=95,J1593&lt;=450,G1593=4,C1593="IN",I1593=90),VLOOKUP(T1593,'CAFCO 300 IDIEM TABLAS'!$J$4:$L$40,2,FALSE),0)+IF(AND(L1593="Cafco 300",J1593&gt;=95,J1593&lt;=450,G1593=4,C1593="IN",I1593=120),VLOOKUP(T1593,'CAFCO 300 IDIEM TABLAS'!$J$4:$L$40,3,FALSE),0)+IF(AND(M1593="Ensayo Idiem",L1593="Cafco 400",C1593="IN",G1593=4,I1593=90),VLOOKUP(T1593,'CAFCO 400 ENSAYO'!$B$7:$D$43,2,FALSE),0)+IF(AND(M1593="Ensayo Idiem",L1593="Cafco 400",C1593="IN",G1593=4,I1593=120),VLOOKUP(T1593,'CAFCO 400 ENSAYO'!$B$7:$D$43,3,FALSE),0)</f>
        <v>0</v>
      </c>
      <c r="O1593" s="96">
        <f t="shared" si="156"/>
        <v>0</v>
      </c>
      <c r="P1593" s="132" t="str">
        <f t="shared" si="157"/>
        <v>N/A</v>
      </c>
      <c r="Q1593" s="132" t="str">
        <f t="shared" si="158"/>
        <v>N/A</v>
      </c>
      <c r="R1593" s="132" t="str">
        <f t="shared" si="159"/>
        <v>NO CERT.</v>
      </c>
      <c r="S1593" s="132" t="e">
        <f t="shared" si="160"/>
        <v>#N/A</v>
      </c>
      <c r="T1593" s="133" t="e">
        <f>+IF(J1593=LOOKUP(J1593,'CAFCO 300 IDIEM TABLAS'!$J$4:$J$40),'CALCULO MORTERO'!J1593,MROUND('CALCULO MORTERO'!J1593,10))</f>
        <v>#N/A</v>
      </c>
      <c r="U1593" s="134">
        <f t="shared" si="161"/>
        <v>0</v>
      </c>
    </row>
    <row r="1594" spans="1:21" x14ac:dyDescent="0.25">
      <c r="A1594" s="118">
        <f>+CUBICACION!D1588</f>
        <v>0</v>
      </c>
      <c r="B1594" s="819">
        <f>+CUBICACION!E1588</f>
        <v>0</v>
      </c>
      <c r="C1594" s="675">
        <f>+CUBICACION!F1588</f>
        <v>0</v>
      </c>
      <c r="D1594" s="118"/>
      <c r="E1594" s="118"/>
      <c r="F1594" s="820"/>
      <c r="G1594" s="675">
        <f>+CUBICACION!J1588</f>
        <v>0</v>
      </c>
      <c r="H1594" s="118"/>
      <c r="I1594" s="821">
        <f>+CUBICACION!L1588</f>
        <v>0</v>
      </c>
      <c r="J1594" s="64">
        <f>+CUBICACION!M1588</f>
        <v>0</v>
      </c>
      <c r="K1594" s="822" t="str">
        <f>+CUBICACION!N1588</f>
        <v/>
      </c>
      <c r="L1594" s="118">
        <f>+CUBICACION!O1588</f>
        <v>0</v>
      </c>
      <c r="M1594" s="823">
        <f>+CUBICACION!P1588</f>
        <v>0</v>
      </c>
      <c r="N1594" s="902">
        <f>ROUND(IF(AND(L1594="Blaze Shield II",M1594="Software Idiem",C1594="IN",G1594=4),((('BLAZE SHIELD II'!$D$4*('CALCULO MORTERO'!I1594^2)+'BLAZE SHIELD II'!$D$5*'CALCULO MORTERO'!I1594+'BLAZE SHIELD II'!$D$6)*LN(J1594))+('BLAZE SHIELD II'!$D$7*('CALCULO MORTERO'!I1594^2)+'BLAZE SHIELD II'!$D$8*'CALCULO MORTERO'!I1594+'BLAZE SHIELD II'!$D$9)),0)+IF(AND(L1594="Blaze Shield II",M1594="Software Idiem",C1594="Cj"),((('BLAZE SHIELD II'!$H$4*('CALCULO MORTERO'!I1594^2)+'BLAZE SHIELD II'!$H$5*'CALCULO MORTERO'!I1594+'BLAZE SHIELD II'!$H$6)*LN(J1594))+('BLAZE SHIELD II'!$H$7*('CALCULO MORTERO'!I1594^2)+'BLAZE SHIELD II'!$H$8*'CALCULO MORTERO'!I1594+'BLAZE SHIELD II'!$H$9)),0)+IF(AND(L1594="Blaze Shield II",M1594="Software Idiem",C1594="C"),((('BLAZE SHIELD II'!$L$4*('CALCULO MORTERO'!I1594^2)+'BLAZE SHIELD II'!$L$5*'CALCULO MORTERO'!I1594+'BLAZE SHIELD II'!$L$6)*LN(J1594))+('BLAZE SHIELD II'!$L$7*('CALCULO MORTERO'!I1594^2)+'BLAZE SHIELD II'!$L$8*'CALCULO MORTERO'!I1594+'BLAZE SHIELD II'!$L$9)),0)+IF(AND(L1594="Blaze Shield II",M1594="Software Idiem",C1594="L"),((('BLAZE SHIELD II'!$L$4*('CALCULO MORTERO'!I1594^2)+'BLAZE SHIELD II'!$L$5*'CALCULO MORTERO'!I1594+'BLAZE SHIELD II'!$L$6)*LN(J1594))+('BLAZE SHIELD II'!$L$7*('CALCULO MORTERO'!I1594^2)+'BLAZE SHIELD II'!$L$8*'CALCULO MORTERO'!I1594+'BLAZE SHIELD II'!$L$9)),0)+IF(AND(L1594="Blaze Shield II",M1594="Software Idiem",C1594="IN",G1594=3),((('BLAZE SHIELD II'!$H$14*('CALCULO MORTERO'!I1594^2)+'BLAZE SHIELD II'!$H$15*'CALCULO MORTERO'!I1594+'BLAZE SHIELD II'!$H$16)*LN(J1594))+('BLAZE SHIELD II'!$H$17*('CALCULO MORTERO'!I1594^2)+'BLAZE SHIELD II'!$H$18*'CALCULO MORTERO'!I1594+'BLAZE SHIELD II'!$H$19)),0),0)+ROUND(IF(AND(L1594="Cafco 400",M1594="Software Idiem",C1594="IN",G1594=4),((('CAFCO 400 '!$H$7*(J1594^4)+'CAFCO 400 '!$H$8*(J1594^3)+'CAFCO 400 '!$H$9*(J1594^2)+'CAFCO 400 '!$H$10*J1594+'CAFCO 400 '!$H$11)*U1594^2)+(('CAFCO 400 '!$H$12*(J1594^3)+'CAFCO 400 '!$H$13*(J1594^2)+'CAFCO 400 '!$H$14*J1594+'CAFCO 400 '!$H$15)*U1594)+('CAFCO 400 '!$H$16*(J1594^2)+'CAFCO 400 '!$H$17*J1594+'CAFCO 400 '!$H$18)),0)+IF(AND(L1594="Cafco 400",M1594="Software Idiem",C1594="Cj"),(((('CAFCO 400 '!$D$7*LN(J1594)+'CAFCO 400 '!$D$8)*U1594^2)+(('CAFCO 400 '!$D$9*LN(J1594)+'CAFCO 400 '!$D$10)*U1594)+('CAFCO 400 '!$D$11*LN(J1594)+'CAFCO 400 '!$D$12))),0)+IF(AND(L1594="Cafco 400",M1594="Software Idiem",C1594="C"),((('CAFCO 400 '!$L$7*(J1594^3)+'CAFCO 400 '!$L$8*(J1594^2)+'CAFCO 400 '!$L$9*J1594+'CAFCO 400 '!$L$10)*U1594^2)+(('CAFCO 400 '!$L$11*(J1594^3)+'CAFCO 400 '!$L$12*(J1594^2)+'CAFCO 400 '!$L$13*J1594+'CAFCO 400 '!$L$14)*U1594)+('CAFCO 400 '!$L$15*LN(J1594)+'CAFCO 400 '!$L$16)),0)+IF(AND(L1594="Cafco 400",M1594="Software Idiem",C1594="L"),((('CAFCO 400 '!$L$7*(J1594^3)+'CAFCO 400 '!$L$8*(J1594^2)+'CAFCO 400 '!$L$9*J1594+'CAFCO 400 '!$L$10)*U1594^2)+(('CAFCO 400 '!$L$11*(J1594^3)+'CAFCO 400 '!$L$12*(J1594^2)+'CAFCO 400 '!$L$13*J1594+'CAFCO 400 '!$L$14)*U1594)+('CAFCO 400 '!$L$15*LN(J1594)+'CAFCO 400 '!$L$16)),0)+IF(AND(L1594="Cafco 400",M1594="Software Idiem",C1594="IN",G1594=3),((('CAFCO 400 '!$D$23*(J1594^2)+'CAFCO 400 '!$D$24*(J1594)+'CAFCO 400 '!$D$25)*U1594^2)+(('CAFCO 400 '!$D$26*(J1594^2)+'CAFCO 400 '!$D$27*J1594+'CAFCO 400 '!$D$28)*U1594)+('CAFCO 400 '!$D$29*(J1594^2)+'CAFCO 400 '!$D$30*J1594+'CAFCO 400 '!$D$31)),0),0)+IF(AND(L1594="Cafco 300",J1594&gt;=95,J1594&lt;=240,C1594="Cj",I1594=90),VLOOKUP(T1594,'CAFCO 300 IDIEM TABLAS'!$B$4:$D$23,2,FALSE),0)+IF(AND(L1594="Cafco 300",J1594&gt;=95,J1594&lt;=240,C1594="Cj",I1594=120),VLOOKUP(T1594,'CAFCO 300 IDIEM TABLAS'!$B$4:$D$23,3,FALSE),0)+IF(AND(L1594="Cafco 300",J1594&gt;=95,J1594&lt;=400,G1594=3,C1594="IN",I1594=90),VLOOKUP(T1594,'CAFCO 300 IDIEM TABLAS'!$F$4:$H$35,2,FALSE),0)+IF(AND(L1594="Cafco 300",J1594&gt;=95,J1594&lt;=400,G1594=3,C1594="IN",I1594=120),VLOOKUP(T1594,'CAFCO 300 IDIEM TABLAS'!$F$4:$H$35,3,FALSE),0)+IF(AND(L1594="Cafco 300",J1594&gt;=95,J1594&lt;=450,G1594=4,C1594="IN",I1594=90),VLOOKUP(T1594,'CAFCO 300 IDIEM TABLAS'!$J$4:$L$40,2,FALSE),0)+IF(AND(L1594="Cafco 300",J1594&gt;=95,J1594&lt;=450,G1594=4,C1594="IN",I1594=120),VLOOKUP(T1594,'CAFCO 300 IDIEM TABLAS'!$J$4:$L$40,3,FALSE),0)+IF(AND(M1594="Ensayo Idiem",L1594="Cafco 400",C1594="IN",G1594=4,I1594=90),VLOOKUP(T1594,'CAFCO 400 ENSAYO'!$B$7:$D$43,2,FALSE),0)+IF(AND(M1594="Ensayo Idiem",L1594="Cafco 400",C1594="IN",G1594=4,I1594=120),VLOOKUP(T1594,'CAFCO 400 ENSAYO'!$B$7:$D$43,3,FALSE),0)</f>
        <v>0</v>
      </c>
      <c r="O1594" s="96">
        <f t="shared" si="156"/>
        <v>0</v>
      </c>
      <c r="P1594" s="95" t="str">
        <f t="shared" si="157"/>
        <v>N/A</v>
      </c>
      <c r="Q1594" s="95" t="str">
        <f t="shared" si="158"/>
        <v>N/A</v>
      </c>
      <c r="R1594" s="95" t="str">
        <f t="shared" si="159"/>
        <v>NO CERT.</v>
      </c>
      <c r="S1594" s="95" t="e">
        <f t="shared" si="160"/>
        <v>#N/A</v>
      </c>
      <c r="T1594" s="119" t="e">
        <f>+IF(J1594=LOOKUP(J1594,'CAFCO 300 IDIEM TABLAS'!$J$4:$J$40),'CALCULO MORTERO'!J1594,MROUND('CALCULO MORTERO'!J1594,10))</f>
        <v>#N/A</v>
      </c>
      <c r="U1594" s="118">
        <f t="shared" si="161"/>
        <v>0</v>
      </c>
    </row>
    <row r="1595" spans="1:21" x14ac:dyDescent="0.25">
      <c r="A1595" s="118">
        <f>+CUBICACION!D1589</f>
        <v>0</v>
      </c>
      <c r="B1595" s="819">
        <f>+CUBICACION!E1589</f>
        <v>0</v>
      </c>
      <c r="C1595" s="675">
        <f>+CUBICACION!F1589</f>
        <v>0</v>
      </c>
      <c r="D1595" s="118"/>
      <c r="E1595" s="118"/>
      <c r="F1595" s="820"/>
      <c r="G1595" s="675">
        <f>+CUBICACION!J1589</f>
        <v>0</v>
      </c>
      <c r="H1595" s="118"/>
      <c r="I1595" s="821">
        <f>+CUBICACION!L1589</f>
        <v>0</v>
      </c>
      <c r="J1595" s="64">
        <f>+CUBICACION!M1589</f>
        <v>0</v>
      </c>
      <c r="K1595" s="822" t="str">
        <f>+CUBICACION!N1589</f>
        <v/>
      </c>
      <c r="L1595" s="118">
        <f>+CUBICACION!O1589</f>
        <v>0</v>
      </c>
      <c r="M1595" s="823">
        <f>+CUBICACION!P1589</f>
        <v>0</v>
      </c>
      <c r="N1595" s="902">
        <f>ROUND(IF(AND(L1595="Blaze Shield II",M1595="Software Idiem",C1595="IN",G1595=4),((('BLAZE SHIELD II'!$D$4*('CALCULO MORTERO'!I1595^2)+'BLAZE SHIELD II'!$D$5*'CALCULO MORTERO'!I1595+'BLAZE SHIELD II'!$D$6)*LN(J1595))+('BLAZE SHIELD II'!$D$7*('CALCULO MORTERO'!I1595^2)+'BLAZE SHIELD II'!$D$8*'CALCULO MORTERO'!I1595+'BLAZE SHIELD II'!$D$9)),0)+IF(AND(L1595="Blaze Shield II",M1595="Software Idiem",C1595="Cj"),((('BLAZE SHIELD II'!$H$4*('CALCULO MORTERO'!I1595^2)+'BLAZE SHIELD II'!$H$5*'CALCULO MORTERO'!I1595+'BLAZE SHIELD II'!$H$6)*LN(J1595))+('BLAZE SHIELD II'!$H$7*('CALCULO MORTERO'!I1595^2)+'BLAZE SHIELD II'!$H$8*'CALCULO MORTERO'!I1595+'BLAZE SHIELD II'!$H$9)),0)+IF(AND(L1595="Blaze Shield II",M1595="Software Idiem",C1595="C"),((('BLAZE SHIELD II'!$L$4*('CALCULO MORTERO'!I1595^2)+'BLAZE SHIELD II'!$L$5*'CALCULO MORTERO'!I1595+'BLAZE SHIELD II'!$L$6)*LN(J1595))+('BLAZE SHIELD II'!$L$7*('CALCULO MORTERO'!I1595^2)+'BLAZE SHIELD II'!$L$8*'CALCULO MORTERO'!I1595+'BLAZE SHIELD II'!$L$9)),0)+IF(AND(L1595="Blaze Shield II",M1595="Software Idiem",C1595="L"),((('BLAZE SHIELD II'!$L$4*('CALCULO MORTERO'!I1595^2)+'BLAZE SHIELD II'!$L$5*'CALCULO MORTERO'!I1595+'BLAZE SHIELD II'!$L$6)*LN(J1595))+('BLAZE SHIELD II'!$L$7*('CALCULO MORTERO'!I1595^2)+'BLAZE SHIELD II'!$L$8*'CALCULO MORTERO'!I1595+'BLAZE SHIELD II'!$L$9)),0)+IF(AND(L1595="Blaze Shield II",M1595="Software Idiem",C1595="IN",G1595=3),((('BLAZE SHIELD II'!$H$14*('CALCULO MORTERO'!I1595^2)+'BLAZE SHIELD II'!$H$15*'CALCULO MORTERO'!I1595+'BLAZE SHIELD II'!$H$16)*LN(J1595))+('BLAZE SHIELD II'!$H$17*('CALCULO MORTERO'!I1595^2)+'BLAZE SHIELD II'!$H$18*'CALCULO MORTERO'!I1595+'BLAZE SHIELD II'!$H$19)),0),0)+ROUND(IF(AND(L1595="Cafco 400",M1595="Software Idiem",C1595="IN",G1595=4),((('CAFCO 400 '!$H$7*(J1595^4)+'CAFCO 400 '!$H$8*(J1595^3)+'CAFCO 400 '!$H$9*(J1595^2)+'CAFCO 400 '!$H$10*J1595+'CAFCO 400 '!$H$11)*U1595^2)+(('CAFCO 400 '!$H$12*(J1595^3)+'CAFCO 400 '!$H$13*(J1595^2)+'CAFCO 400 '!$H$14*J1595+'CAFCO 400 '!$H$15)*U1595)+('CAFCO 400 '!$H$16*(J1595^2)+'CAFCO 400 '!$H$17*J1595+'CAFCO 400 '!$H$18)),0)+IF(AND(L1595="Cafco 400",M1595="Software Idiem",C1595="Cj"),(((('CAFCO 400 '!$D$7*LN(J1595)+'CAFCO 400 '!$D$8)*U1595^2)+(('CAFCO 400 '!$D$9*LN(J1595)+'CAFCO 400 '!$D$10)*U1595)+('CAFCO 400 '!$D$11*LN(J1595)+'CAFCO 400 '!$D$12))),0)+IF(AND(L1595="Cafco 400",M1595="Software Idiem",C1595="C"),((('CAFCO 400 '!$L$7*(J1595^3)+'CAFCO 400 '!$L$8*(J1595^2)+'CAFCO 400 '!$L$9*J1595+'CAFCO 400 '!$L$10)*U1595^2)+(('CAFCO 400 '!$L$11*(J1595^3)+'CAFCO 400 '!$L$12*(J1595^2)+'CAFCO 400 '!$L$13*J1595+'CAFCO 400 '!$L$14)*U1595)+('CAFCO 400 '!$L$15*LN(J1595)+'CAFCO 400 '!$L$16)),0)+IF(AND(L1595="Cafco 400",M1595="Software Idiem",C1595="L"),((('CAFCO 400 '!$L$7*(J1595^3)+'CAFCO 400 '!$L$8*(J1595^2)+'CAFCO 400 '!$L$9*J1595+'CAFCO 400 '!$L$10)*U1595^2)+(('CAFCO 400 '!$L$11*(J1595^3)+'CAFCO 400 '!$L$12*(J1595^2)+'CAFCO 400 '!$L$13*J1595+'CAFCO 400 '!$L$14)*U1595)+('CAFCO 400 '!$L$15*LN(J1595)+'CAFCO 400 '!$L$16)),0)+IF(AND(L1595="Cafco 400",M1595="Software Idiem",C1595="IN",G1595=3),((('CAFCO 400 '!$D$23*(J1595^2)+'CAFCO 400 '!$D$24*(J1595)+'CAFCO 400 '!$D$25)*U1595^2)+(('CAFCO 400 '!$D$26*(J1595^2)+'CAFCO 400 '!$D$27*J1595+'CAFCO 400 '!$D$28)*U1595)+('CAFCO 400 '!$D$29*(J1595^2)+'CAFCO 400 '!$D$30*J1595+'CAFCO 400 '!$D$31)),0),0)+IF(AND(L1595="Cafco 300",J1595&gt;=95,J1595&lt;=240,C1595="Cj",I1595=90),VLOOKUP(T1595,'CAFCO 300 IDIEM TABLAS'!$B$4:$D$23,2,FALSE),0)+IF(AND(L1595="Cafco 300",J1595&gt;=95,J1595&lt;=240,C1595="Cj",I1595=120),VLOOKUP(T1595,'CAFCO 300 IDIEM TABLAS'!$B$4:$D$23,3,FALSE),0)+IF(AND(L1595="Cafco 300",J1595&gt;=95,J1595&lt;=400,G1595=3,C1595="IN",I1595=90),VLOOKUP(T1595,'CAFCO 300 IDIEM TABLAS'!$F$4:$H$35,2,FALSE),0)+IF(AND(L1595="Cafco 300",J1595&gt;=95,J1595&lt;=400,G1595=3,C1595="IN",I1595=120),VLOOKUP(T1595,'CAFCO 300 IDIEM TABLAS'!$F$4:$H$35,3,FALSE),0)+IF(AND(L1595="Cafco 300",J1595&gt;=95,J1595&lt;=450,G1595=4,C1595="IN",I1595=90),VLOOKUP(T1595,'CAFCO 300 IDIEM TABLAS'!$J$4:$L$40,2,FALSE),0)+IF(AND(L1595="Cafco 300",J1595&gt;=95,J1595&lt;=450,G1595=4,C1595="IN",I1595=120),VLOOKUP(T1595,'CAFCO 300 IDIEM TABLAS'!$J$4:$L$40,3,FALSE),0)+IF(AND(M1595="Ensayo Idiem",L1595="Cafco 400",C1595="IN",G1595=4,I1595=90),VLOOKUP(T1595,'CAFCO 400 ENSAYO'!$B$7:$D$43,2,FALSE),0)+IF(AND(M1595="Ensayo Idiem",L1595="Cafco 400",C1595="IN",G1595=4,I1595=120),VLOOKUP(T1595,'CAFCO 400 ENSAYO'!$B$7:$D$43,3,FALSE),0)</f>
        <v>0</v>
      </c>
      <c r="O1595" s="96">
        <f t="shared" si="156"/>
        <v>0</v>
      </c>
      <c r="P1595" s="132" t="str">
        <f t="shared" si="157"/>
        <v>N/A</v>
      </c>
      <c r="Q1595" s="132" t="str">
        <f t="shared" si="158"/>
        <v>N/A</v>
      </c>
      <c r="R1595" s="132" t="str">
        <f t="shared" si="159"/>
        <v>NO CERT.</v>
      </c>
      <c r="S1595" s="132" t="e">
        <f t="shared" si="160"/>
        <v>#N/A</v>
      </c>
      <c r="T1595" s="133" t="e">
        <f>+IF(J1595=LOOKUP(J1595,'CAFCO 300 IDIEM TABLAS'!$J$4:$J$40),'CALCULO MORTERO'!J1595,MROUND('CALCULO MORTERO'!J1595,10))</f>
        <v>#N/A</v>
      </c>
      <c r="U1595" s="134">
        <f t="shared" si="161"/>
        <v>0</v>
      </c>
    </row>
    <row r="1596" spans="1:21" x14ac:dyDescent="0.25">
      <c r="A1596" s="118">
        <f>+CUBICACION!D1590</f>
        <v>0</v>
      </c>
      <c r="B1596" s="819">
        <f>+CUBICACION!E1590</f>
        <v>0</v>
      </c>
      <c r="C1596" s="675">
        <f>+CUBICACION!F1590</f>
        <v>0</v>
      </c>
      <c r="D1596" s="118"/>
      <c r="E1596" s="118"/>
      <c r="F1596" s="820"/>
      <c r="G1596" s="675">
        <f>+CUBICACION!J1590</f>
        <v>0</v>
      </c>
      <c r="H1596" s="118"/>
      <c r="I1596" s="821">
        <f>+CUBICACION!L1590</f>
        <v>0</v>
      </c>
      <c r="J1596" s="64">
        <f>+CUBICACION!M1590</f>
        <v>0</v>
      </c>
      <c r="K1596" s="822" t="str">
        <f>+CUBICACION!N1590</f>
        <v/>
      </c>
      <c r="L1596" s="118">
        <f>+CUBICACION!O1590</f>
        <v>0</v>
      </c>
      <c r="M1596" s="823">
        <f>+CUBICACION!P1590</f>
        <v>0</v>
      </c>
      <c r="N1596" s="902">
        <f>ROUND(IF(AND(L1596="Blaze Shield II",M1596="Software Idiem",C1596="IN",G1596=4),((('BLAZE SHIELD II'!$D$4*('CALCULO MORTERO'!I1596^2)+'BLAZE SHIELD II'!$D$5*'CALCULO MORTERO'!I1596+'BLAZE SHIELD II'!$D$6)*LN(J1596))+('BLAZE SHIELD II'!$D$7*('CALCULO MORTERO'!I1596^2)+'BLAZE SHIELD II'!$D$8*'CALCULO MORTERO'!I1596+'BLAZE SHIELD II'!$D$9)),0)+IF(AND(L1596="Blaze Shield II",M1596="Software Idiem",C1596="Cj"),((('BLAZE SHIELD II'!$H$4*('CALCULO MORTERO'!I1596^2)+'BLAZE SHIELD II'!$H$5*'CALCULO MORTERO'!I1596+'BLAZE SHIELD II'!$H$6)*LN(J1596))+('BLAZE SHIELD II'!$H$7*('CALCULO MORTERO'!I1596^2)+'BLAZE SHIELD II'!$H$8*'CALCULO MORTERO'!I1596+'BLAZE SHIELD II'!$H$9)),0)+IF(AND(L1596="Blaze Shield II",M1596="Software Idiem",C1596="C"),((('BLAZE SHIELD II'!$L$4*('CALCULO MORTERO'!I1596^2)+'BLAZE SHIELD II'!$L$5*'CALCULO MORTERO'!I1596+'BLAZE SHIELD II'!$L$6)*LN(J1596))+('BLAZE SHIELD II'!$L$7*('CALCULO MORTERO'!I1596^2)+'BLAZE SHIELD II'!$L$8*'CALCULO MORTERO'!I1596+'BLAZE SHIELD II'!$L$9)),0)+IF(AND(L1596="Blaze Shield II",M1596="Software Idiem",C1596="L"),((('BLAZE SHIELD II'!$L$4*('CALCULO MORTERO'!I1596^2)+'BLAZE SHIELD II'!$L$5*'CALCULO MORTERO'!I1596+'BLAZE SHIELD II'!$L$6)*LN(J1596))+('BLAZE SHIELD II'!$L$7*('CALCULO MORTERO'!I1596^2)+'BLAZE SHIELD II'!$L$8*'CALCULO MORTERO'!I1596+'BLAZE SHIELD II'!$L$9)),0)+IF(AND(L1596="Blaze Shield II",M1596="Software Idiem",C1596="IN",G1596=3),((('BLAZE SHIELD II'!$H$14*('CALCULO MORTERO'!I1596^2)+'BLAZE SHIELD II'!$H$15*'CALCULO MORTERO'!I1596+'BLAZE SHIELD II'!$H$16)*LN(J1596))+('BLAZE SHIELD II'!$H$17*('CALCULO MORTERO'!I1596^2)+'BLAZE SHIELD II'!$H$18*'CALCULO MORTERO'!I1596+'BLAZE SHIELD II'!$H$19)),0),0)+ROUND(IF(AND(L1596="Cafco 400",M1596="Software Idiem",C1596="IN",G1596=4),((('CAFCO 400 '!$H$7*(J1596^4)+'CAFCO 400 '!$H$8*(J1596^3)+'CAFCO 400 '!$H$9*(J1596^2)+'CAFCO 400 '!$H$10*J1596+'CAFCO 400 '!$H$11)*U1596^2)+(('CAFCO 400 '!$H$12*(J1596^3)+'CAFCO 400 '!$H$13*(J1596^2)+'CAFCO 400 '!$H$14*J1596+'CAFCO 400 '!$H$15)*U1596)+('CAFCO 400 '!$H$16*(J1596^2)+'CAFCO 400 '!$H$17*J1596+'CAFCO 400 '!$H$18)),0)+IF(AND(L1596="Cafco 400",M1596="Software Idiem",C1596="Cj"),(((('CAFCO 400 '!$D$7*LN(J1596)+'CAFCO 400 '!$D$8)*U1596^2)+(('CAFCO 400 '!$D$9*LN(J1596)+'CAFCO 400 '!$D$10)*U1596)+('CAFCO 400 '!$D$11*LN(J1596)+'CAFCO 400 '!$D$12))),0)+IF(AND(L1596="Cafco 400",M1596="Software Idiem",C1596="C"),((('CAFCO 400 '!$L$7*(J1596^3)+'CAFCO 400 '!$L$8*(J1596^2)+'CAFCO 400 '!$L$9*J1596+'CAFCO 400 '!$L$10)*U1596^2)+(('CAFCO 400 '!$L$11*(J1596^3)+'CAFCO 400 '!$L$12*(J1596^2)+'CAFCO 400 '!$L$13*J1596+'CAFCO 400 '!$L$14)*U1596)+('CAFCO 400 '!$L$15*LN(J1596)+'CAFCO 400 '!$L$16)),0)+IF(AND(L1596="Cafco 400",M1596="Software Idiem",C1596="L"),((('CAFCO 400 '!$L$7*(J1596^3)+'CAFCO 400 '!$L$8*(J1596^2)+'CAFCO 400 '!$L$9*J1596+'CAFCO 400 '!$L$10)*U1596^2)+(('CAFCO 400 '!$L$11*(J1596^3)+'CAFCO 400 '!$L$12*(J1596^2)+'CAFCO 400 '!$L$13*J1596+'CAFCO 400 '!$L$14)*U1596)+('CAFCO 400 '!$L$15*LN(J1596)+'CAFCO 400 '!$L$16)),0)+IF(AND(L1596="Cafco 400",M1596="Software Idiem",C1596="IN",G1596=3),((('CAFCO 400 '!$D$23*(J1596^2)+'CAFCO 400 '!$D$24*(J1596)+'CAFCO 400 '!$D$25)*U1596^2)+(('CAFCO 400 '!$D$26*(J1596^2)+'CAFCO 400 '!$D$27*J1596+'CAFCO 400 '!$D$28)*U1596)+('CAFCO 400 '!$D$29*(J1596^2)+'CAFCO 400 '!$D$30*J1596+'CAFCO 400 '!$D$31)),0),0)+IF(AND(L1596="Cafco 300",J1596&gt;=95,J1596&lt;=240,C1596="Cj",I1596=90),VLOOKUP(T1596,'CAFCO 300 IDIEM TABLAS'!$B$4:$D$23,2,FALSE),0)+IF(AND(L1596="Cafco 300",J1596&gt;=95,J1596&lt;=240,C1596="Cj",I1596=120),VLOOKUP(T1596,'CAFCO 300 IDIEM TABLAS'!$B$4:$D$23,3,FALSE),0)+IF(AND(L1596="Cafco 300",J1596&gt;=95,J1596&lt;=400,G1596=3,C1596="IN",I1596=90),VLOOKUP(T1596,'CAFCO 300 IDIEM TABLAS'!$F$4:$H$35,2,FALSE),0)+IF(AND(L1596="Cafco 300",J1596&gt;=95,J1596&lt;=400,G1596=3,C1596="IN",I1596=120),VLOOKUP(T1596,'CAFCO 300 IDIEM TABLAS'!$F$4:$H$35,3,FALSE),0)+IF(AND(L1596="Cafco 300",J1596&gt;=95,J1596&lt;=450,G1596=4,C1596="IN",I1596=90),VLOOKUP(T1596,'CAFCO 300 IDIEM TABLAS'!$J$4:$L$40,2,FALSE),0)+IF(AND(L1596="Cafco 300",J1596&gt;=95,J1596&lt;=450,G1596=4,C1596="IN",I1596=120),VLOOKUP(T1596,'CAFCO 300 IDIEM TABLAS'!$J$4:$L$40,3,FALSE),0)+IF(AND(M1596="Ensayo Idiem",L1596="Cafco 400",C1596="IN",G1596=4,I1596=90),VLOOKUP(T1596,'CAFCO 400 ENSAYO'!$B$7:$D$43,2,FALSE),0)+IF(AND(M1596="Ensayo Idiem",L1596="Cafco 400",C1596="IN",G1596=4,I1596=120),VLOOKUP(T1596,'CAFCO 400 ENSAYO'!$B$7:$D$43,3,FALSE),0)</f>
        <v>0</v>
      </c>
      <c r="O1596" s="96">
        <f t="shared" si="156"/>
        <v>0</v>
      </c>
      <c r="P1596" s="95" t="str">
        <f t="shared" si="157"/>
        <v>N/A</v>
      </c>
      <c r="Q1596" s="95" t="str">
        <f t="shared" si="158"/>
        <v>N/A</v>
      </c>
      <c r="R1596" s="95" t="str">
        <f t="shared" si="159"/>
        <v>NO CERT.</v>
      </c>
      <c r="S1596" s="95" t="e">
        <f t="shared" si="160"/>
        <v>#N/A</v>
      </c>
      <c r="T1596" s="119" t="e">
        <f>+IF(J1596=LOOKUP(J1596,'CAFCO 300 IDIEM TABLAS'!$J$4:$J$40),'CALCULO MORTERO'!J1596,MROUND('CALCULO MORTERO'!J1596,10))</f>
        <v>#N/A</v>
      </c>
      <c r="U1596" s="118">
        <f t="shared" si="161"/>
        <v>0</v>
      </c>
    </row>
    <row r="1597" spans="1:21" x14ac:dyDescent="0.25">
      <c r="A1597" s="118">
        <f>+CUBICACION!D1591</f>
        <v>0</v>
      </c>
      <c r="B1597" s="819">
        <f>+CUBICACION!E1591</f>
        <v>0</v>
      </c>
      <c r="C1597" s="675">
        <f>+CUBICACION!F1591</f>
        <v>0</v>
      </c>
      <c r="D1597" s="118"/>
      <c r="E1597" s="118"/>
      <c r="F1597" s="820"/>
      <c r="G1597" s="675">
        <f>+CUBICACION!J1591</f>
        <v>0</v>
      </c>
      <c r="H1597" s="118"/>
      <c r="I1597" s="821">
        <f>+CUBICACION!L1591</f>
        <v>0</v>
      </c>
      <c r="J1597" s="64">
        <f>+CUBICACION!M1591</f>
        <v>0</v>
      </c>
      <c r="K1597" s="822" t="str">
        <f>+CUBICACION!N1591</f>
        <v/>
      </c>
      <c r="L1597" s="118">
        <f>+CUBICACION!O1591</f>
        <v>0</v>
      </c>
      <c r="M1597" s="823">
        <f>+CUBICACION!P1591</f>
        <v>0</v>
      </c>
      <c r="N1597" s="902">
        <f>ROUND(IF(AND(L1597="Blaze Shield II",M1597="Software Idiem",C1597="IN",G1597=4),((('BLAZE SHIELD II'!$D$4*('CALCULO MORTERO'!I1597^2)+'BLAZE SHIELD II'!$D$5*'CALCULO MORTERO'!I1597+'BLAZE SHIELD II'!$D$6)*LN(J1597))+('BLAZE SHIELD II'!$D$7*('CALCULO MORTERO'!I1597^2)+'BLAZE SHIELD II'!$D$8*'CALCULO MORTERO'!I1597+'BLAZE SHIELD II'!$D$9)),0)+IF(AND(L1597="Blaze Shield II",M1597="Software Idiem",C1597="Cj"),((('BLAZE SHIELD II'!$H$4*('CALCULO MORTERO'!I1597^2)+'BLAZE SHIELD II'!$H$5*'CALCULO MORTERO'!I1597+'BLAZE SHIELD II'!$H$6)*LN(J1597))+('BLAZE SHIELD II'!$H$7*('CALCULO MORTERO'!I1597^2)+'BLAZE SHIELD II'!$H$8*'CALCULO MORTERO'!I1597+'BLAZE SHIELD II'!$H$9)),0)+IF(AND(L1597="Blaze Shield II",M1597="Software Idiem",C1597="C"),((('BLAZE SHIELD II'!$L$4*('CALCULO MORTERO'!I1597^2)+'BLAZE SHIELD II'!$L$5*'CALCULO MORTERO'!I1597+'BLAZE SHIELD II'!$L$6)*LN(J1597))+('BLAZE SHIELD II'!$L$7*('CALCULO MORTERO'!I1597^2)+'BLAZE SHIELD II'!$L$8*'CALCULO MORTERO'!I1597+'BLAZE SHIELD II'!$L$9)),0)+IF(AND(L1597="Blaze Shield II",M1597="Software Idiem",C1597="L"),((('BLAZE SHIELD II'!$L$4*('CALCULO MORTERO'!I1597^2)+'BLAZE SHIELD II'!$L$5*'CALCULO MORTERO'!I1597+'BLAZE SHIELD II'!$L$6)*LN(J1597))+('BLAZE SHIELD II'!$L$7*('CALCULO MORTERO'!I1597^2)+'BLAZE SHIELD II'!$L$8*'CALCULO MORTERO'!I1597+'BLAZE SHIELD II'!$L$9)),0)+IF(AND(L1597="Blaze Shield II",M1597="Software Idiem",C1597="IN",G1597=3),((('BLAZE SHIELD II'!$H$14*('CALCULO MORTERO'!I1597^2)+'BLAZE SHIELD II'!$H$15*'CALCULO MORTERO'!I1597+'BLAZE SHIELD II'!$H$16)*LN(J1597))+('BLAZE SHIELD II'!$H$17*('CALCULO MORTERO'!I1597^2)+'BLAZE SHIELD II'!$H$18*'CALCULO MORTERO'!I1597+'BLAZE SHIELD II'!$H$19)),0),0)+ROUND(IF(AND(L1597="Cafco 400",M1597="Software Idiem",C1597="IN",G1597=4),((('CAFCO 400 '!$H$7*(J1597^4)+'CAFCO 400 '!$H$8*(J1597^3)+'CAFCO 400 '!$H$9*(J1597^2)+'CAFCO 400 '!$H$10*J1597+'CAFCO 400 '!$H$11)*U1597^2)+(('CAFCO 400 '!$H$12*(J1597^3)+'CAFCO 400 '!$H$13*(J1597^2)+'CAFCO 400 '!$H$14*J1597+'CAFCO 400 '!$H$15)*U1597)+('CAFCO 400 '!$H$16*(J1597^2)+'CAFCO 400 '!$H$17*J1597+'CAFCO 400 '!$H$18)),0)+IF(AND(L1597="Cafco 400",M1597="Software Idiem",C1597="Cj"),(((('CAFCO 400 '!$D$7*LN(J1597)+'CAFCO 400 '!$D$8)*U1597^2)+(('CAFCO 400 '!$D$9*LN(J1597)+'CAFCO 400 '!$D$10)*U1597)+('CAFCO 400 '!$D$11*LN(J1597)+'CAFCO 400 '!$D$12))),0)+IF(AND(L1597="Cafco 400",M1597="Software Idiem",C1597="C"),((('CAFCO 400 '!$L$7*(J1597^3)+'CAFCO 400 '!$L$8*(J1597^2)+'CAFCO 400 '!$L$9*J1597+'CAFCO 400 '!$L$10)*U1597^2)+(('CAFCO 400 '!$L$11*(J1597^3)+'CAFCO 400 '!$L$12*(J1597^2)+'CAFCO 400 '!$L$13*J1597+'CAFCO 400 '!$L$14)*U1597)+('CAFCO 400 '!$L$15*LN(J1597)+'CAFCO 400 '!$L$16)),0)+IF(AND(L1597="Cafco 400",M1597="Software Idiem",C1597="L"),((('CAFCO 400 '!$L$7*(J1597^3)+'CAFCO 400 '!$L$8*(J1597^2)+'CAFCO 400 '!$L$9*J1597+'CAFCO 400 '!$L$10)*U1597^2)+(('CAFCO 400 '!$L$11*(J1597^3)+'CAFCO 400 '!$L$12*(J1597^2)+'CAFCO 400 '!$L$13*J1597+'CAFCO 400 '!$L$14)*U1597)+('CAFCO 400 '!$L$15*LN(J1597)+'CAFCO 400 '!$L$16)),0)+IF(AND(L1597="Cafco 400",M1597="Software Idiem",C1597="IN",G1597=3),((('CAFCO 400 '!$D$23*(J1597^2)+'CAFCO 400 '!$D$24*(J1597)+'CAFCO 400 '!$D$25)*U1597^2)+(('CAFCO 400 '!$D$26*(J1597^2)+'CAFCO 400 '!$D$27*J1597+'CAFCO 400 '!$D$28)*U1597)+('CAFCO 400 '!$D$29*(J1597^2)+'CAFCO 400 '!$D$30*J1597+'CAFCO 400 '!$D$31)),0),0)+IF(AND(L1597="Cafco 300",J1597&gt;=95,J1597&lt;=240,C1597="Cj",I1597=90),VLOOKUP(T1597,'CAFCO 300 IDIEM TABLAS'!$B$4:$D$23,2,FALSE),0)+IF(AND(L1597="Cafco 300",J1597&gt;=95,J1597&lt;=240,C1597="Cj",I1597=120),VLOOKUP(T1597,'CAFCO 300 IDIEM TABLAS'!$B$4:$D$23,3,FALSE),0)+IF(AND(L1597="Cafco 300",J1597&gt;=95,J1597&lt;=400,G1597=3,C1597="IN",I1597=90),VLOOKUP(T1597,'CAFCO 300 IDIEM TABLAS'!$F$4:$H$35,2,FALSE),0)+IF(AND(L1597="Cafco 300",J1597&gt;=95,J1597&lt;=400,G1597=3,C1597="IN",I1597=120),VLOOKUP(T1597,'CAFCO 300 IDIEM TABLAS'!$F$4:$H$35,3,FALSE),0)+IF(AND(L1597="Cafco 300",J1597&gt;=95,J1597&lt;=450,G1597=4,C1597="IN",I1597=90),VLOOKUP(T1597,'CAFCO 300 IDIEM TABLAS'!$J$4:$L$40,2,FALSE),0)+IF(AND(L1597="Cafco 300",J1597&gt;=95,J1597&lt;=450,G1597=4,C1597="IN",I1597=120),VLOOKUP(T1597,'CAFCO 300 IDIEM TABLAS'!$J$4:$L$40,3,FALSE),0)+IF(AND(M1597="Ensayo Idiem",L1597="Cafco 400",C1597="IN",G1597=4,I1597=90),VLOOKUP(T1597,'CAFCO 400 ENSAYO'!$B$7:$D$43,2,FALSE),0)+IF(AND(M1597="Ensayo Idiem",L1597="Cafco 400",C1597="IN",G1597=4,I1597=120),VLOOKUP(T1597,'CAFCO 400 ENSAYO'!$B$7:$D$43,3,FALSE),0)</f>
        <v>0</v>
      </c>
      <c r="O1597" s="96">
        <f t="shared" si="156"/>
        <v>0</v>
      </c>
      <c r="P1597" s="132" t="str">
        <f t="shared" si="157"/>
        <v>N/A</v>
      </c>
      <c r="Q1597" s="132" t="str">
        <f t="shared" si="158"/>
        <v>N/A</v>
      </c>
      <c r="R1597" s="132" t="str">
        <f t="shared" si="159"/>
        <v>NO CERT.</v>
      </c>
      <c r="S1597" s="132" t="e">
        <f t="shared" si="160"/>
        <v>#N/A</v>
      </c>
      <c r="T1597" s="133" t="e">
        <f>+IF(J1597=LOOKUP(J1597,'CAFCO 300 IDIEM TABLAS'!$J$4:$J$40),'CALCULO MORTERO'!J1597,MROUND('CALCULO MORTERO'!J1597,10))</f>
        <v>#N/A</v>
      </c>
      <c r="U1597" s="134">
        <f t="shared" si="161"/>
        <v>0</v>
      </c>
    </row>
    <row r="1598" spans="1:21" x14ac:dyDescent="0.25">
      <c r="A1598" s="118">
        <f>+CUBICACION!D1592</f>
        <v>0</v>
      </c>
      <c r="B1598" s="819">
        <f>+CUBICACION!E1592</f>
        <v>0</v>
      </c>
      <c r="C1598" s="675">
        <f>+CUBICACION!F1592</f>
        <v>0</v>
      </c>
      <c r="D1598" s="118"/>
      <c r="E1598" s="118"/>
      <c r="F1598" s="820"/>
      <c r="G1598" s="675">
        <f>+CUBICACION!J1592</f>
        <v>0</v>
      </c>
      <c r="H1598" s="118"/>
      <c r="I1598" s="821">
        <f>+CUBICACION!L1592</f>
        <v>0</v>
      </c>
      <c r="J1598" s="64">
        <f>+CUBICACION!M1592</f>
        <v>0</v>
      </c>
      <c r="K1598" s="822" t="str">
        <f>+CUBICACION!N1592</f>
        <v/>
      </c>
      <c r="L1598" s="118">
        <f>+CUBICACION!O1592</f>
        <v>0</v>
      </c>
      <c r="M1598" s="823">
        <f>+CUBICACION!P1592</f>
        <v>0</v>
      </c>
      <c r="N1598" s="902">
        <f>ROUND(IF(AND(L1598="Blaze Shield II",M1598="Software Idiem",C1598="IN",G1598=4),((('BLAZE SHIELD II'!$D$4*('CALCULO MORTERO'!I1598^2)+'BLAZE SHIELD II'!$D$5*'CALCULO MORTERO'!I1598+'BLAZE SHIELD II'!$D$6)*LN(J1598))+('BLAZE SHIELD II'!$D$7*('CALCULO MORTERO'!I1598^2)+'BLAZE SHIELD II'!$D$8*'CALCULO MORTERO'!I1598+'BLAZE SHIELD II'!$D$9)),0)+IF(AND(L1598="Blaze Shield II",M1598="Software Idiem",C1598="Cj"),((('BLAZE SHIELD II'!$H$4*('CALCULO MORTERO'!I1598^2)+'BLAZE SHIELD II'!$H$5*'CALCULO MORTERO'!I1598+'BLAZE SHIELD II'!$H$6)*LN(J1598))+('BLAZE SHIELD II'!$H$7*('CALCULO MORTERO'!I1598^2)+'BLAZE SHIELD II'!$H$8*'CALCULO MORTERO'!I1598+'BLAZE SHIELD II'!$H$9)),0)+IF(AND(L1598="Blaze Shield II",M1598="Software Idiem",C1598="C"),((('BLAZE SHIELD II'!$L$4*('CALCULO MORTERO'!I1598^2)+'BLAZE SHIELD II'!$L$5*'CALCULO MORTERO'!I1598+'BLAZE SHIELD II'!$L$6)*LN(J1598))+('BLAZE SHIELD II'!$L$7*('CALCULO MORTERO'!I1598^2)+'BLAZE SHIELD II'!$L$8*'CALCULO MORTERO'!I1598+'BLAZE SHIELD II'!$L$9)),0)+IF(AND(L1598="Blaze Shield II",M1598="Software Idiem",C1598="L"),((('BLAZE SHIELD II'!$L$4*('CALCULO MORTERO'!I1598^2)+'BLAZE SHIELD II'!$L$5*'CALCULO MORTERO'!I1598+'BLAZE SHIELD II'!$L$6)*LN(J1598))+('BLAZE SHIELD II'!$L$7*('CALCULO MORTERO'!I1598^2)+'BLAZE SHIELD II'!$L$8*'CALCULO MORTERO'!I1598+'BLAZE SHIELD II'!$L$9)),0)+IF(AND(L1598="Blaze Shield II",M1598="Software Idiem",C1598="IN",G1598=3),((('BLAZE SHIELD II'!$H$14*('CALCULO MORTERO'!I1598^2)+'BLAZE SHIELD II'!$H$15*'CALCULO MORTERO'!I1598+'BLAZE SHIELD II'!$H$16)*LN(J1598))+('BLAZE SHIELD II'!$H$17*('CALCULO MORTERO'!I1598^2)+'BLAZE SHIELD II'!$H$18*'CALCULO MORTERO'!I1598+'BLAZE SHIELD II'!$H$19)),0),0)+ROUND(IF(AND(L1598="Cafco 400",M1598="Software Idiem",C1598="IN",G1598=4),((('CAFCO 400 '!$H$7*(J1598^4)+'CAFCO 400 '!$H$8*(J1598^3)+'CAFCO 400 '!$H$9*(J1598^2)+'CAFCO 400 '!$H$10*J1598+'CAFCO 400 '!$H$11)*U1598^2)+(('CAFCO 400 '!$H$12*(J1598^3)+'CAFCO 400 '!$H$13*(J1598^2)+'CAFCO 400 '!$H$14*J1598+'CAFCO 400 '!$H$15)*U1598)+('CAFCO 400 '!$H$16*(J1598^2)+'CAFCO 400 '!$H$17*J1598+'CAFCO 400 '!$H$18)),0)+IF(AND(L1598="Cafco 400",M1598="Software Idiem",C1598="Cj"),(((('CAFCO 400 '!$D$7*LN(J1598)+'CAFCO 400 '!$D$8)*U1598^2)+(('CAFCO 400 '!$D$9*LN(J1598)+'CAFCO 400 '!$D$10)*U1598)+('CAFCO 400 '!$D$11*LN(J1598)+'CAFCO 400 '!$D$12))),0)+IF(AND(L1598="Cafco 400",M1598="Software Idiem",C1598="C"),((('CAFCO 400 '!$L$7*(J1598^3)+'CAFCO 400 '!$L$8*(J1598^2)+'CAFCO 400 '!$L$9*J1598+'CAFCO 400 '!$L$10)*U1598^2)+(('CAFCO 400 '!$L$11*(J1598^3)+'CAFCO 400 '!$L$12*(J1598^2)+'CAFCO 400 '!$L$13*J1598+'CAFCO 400 '!$L$14)*U1598)+('CAFCO 400 '!$L$15*LN(J1598)+'CAFCO 400 '!$L$16)),0)+IF(AND(L1598="Cafco 400",M1598="Software Idiem",C1598="L"),((('CAFCO 400 '!$L$7*(J1598^3)+'CAFCO 400 '!$L$8*(J1598^2)+'CAFCO 400 '!$L$9*J1598+'CAFCO 400 '!$L$10)*U1598^2)+(('CAFCO 400 '!$L$11*(J1598^3)+'CAFCO 400 '!$L$12*(J1598^2)+'CAFCO 400 '!$L$13*J1598+'CAFCO 400 '!$L$14)*U1598)+('CAFCO 400 '!$L$15*LN(J1598)+'CAFCO 400 '!$L$16)),0)+IF(AND(L1598="Cafco 400",M1598="Software Idiem",C1598="IN",G1598=3),((('CAFCO 400 '!$D$23*(J1598^2)+'CAFCO 400 '!$D$24*(J1598)+'CAFCO 400 '!$D$25)*U1598^2)+(('CAFCO 400 '!$D$26*(J1598^2)+'CAFCO 400 '!$D$27*J1598+'CAFCO 400 '!$D$28)*U1598)+('CAFCO 400 '!$D$29*(J1598^2)+'CAFCO 400 '!$D$30*J1598+'CAFCO 400 '!$D$31)),0),0)+IF(AND(L1598="Cafco 300",J1598&gt;=95,J1598&lt;=240,C1598="Cj",I1598=90),VLOOKUP(T1598,'CAFCO 300 IDIEM TABLAS'!$B$4:$D$23,2,FALSE),0)+IF(AND(L1598="Cafco 300",J1598&gt;=95,J1598&lt;=240,C1598="Cj",I1598=120),VLOOKUP(T1598,'CAFCO 300 IDIEM TABLAS'!$B$4:$D$23,3,FALSE),0)+IF(AND(L1598="Cafco 300",J1598&gt;=95,J1598&lt;=400,G1598=3,C1598="IN",I1598=90),VLOOKUP(T1598,'CAFCO 300 IDIEM TABLAS'!$F$4:$H$35,2,FALSE),0)+IF(AND(L1598="Cafco 300",J1598&gt;=95,J1598&lt;=400,G1598=3,C1598="IN",I1598=120),VLOOKUP(T1598,'CAFCO 300 IDIEM TABLAS'!$F$4:$H$35,3,FALSE),0)+IF(AND(L1598="Cafco 300",J1598&gt;=95,J1598&lt;=450,G1598=4,C1598="IN",I1598=90),VLOOKUP(T1598,'CAFCO 300 IDIEM TABLAS'!$J$4:$L$40,2,FALSE),0)+IF(AND(L1598="Cafco 300",J1598&gt;=95,J1598&lt;=450,G1598=4,C1598="IN",I1598=120),VLOOKUP(T1598,'CAFCO 300 IDIEM TABLAS'!$J$4:$L$40,3,FALSE),0)+IF(AND(M1598="Ensayo Idiem",L1598="Cafco 400",C1598="IN",G1598=4,I1598=90),VLOOKUP(T1598,'CAFCO 400 ENSAYO'!$B$7:$D$43,2,FALSE),0)+IF(AND(M1598="Ensayo Idiem",L1598="Cafco 400",C1598="IN",G1598=4,I1598=120),VLOOKUP(T1598,'CAFCO 400 ENSAYO'!$B$7:$D$43,3,FALSE),0)</f>
        <v>0</v>
      </c>
      <c r="O1598" s="96">
        <f t="shared" si="156"/>
        <v>0</v>
      </c>
      <c r="P1598" s="95" t="str">
        <f t="shared" si="157"/>
        <v>N/A</v>
      </c>
      <c r="Q1598" s="95" t="str">
        <f t="shared" si="158"/>
        <v>N/A</v>
      </c>
      <c r="R1598" s="95" t="str">
        <f t="shared" si="159"/>
        <v>NO CERT.</v>
      </c>
      <c r="S1598" s="95" t="e">
        <f t="shared" si="160"/>
        <v>#N/A</v>
      </c>
      <c r="T1598" s="119" t="e">
        <f>+IF(J1598=LOOKUP(J1598,'CAFCO 300 IDIEM TABLAS'!$J$4:$J$40),'CALCULO MORTERO'!J1598,MROUND('CALCULO MORTERO'!J1598,10))</f>
        <v>#N/A</v>
      </c>
      <c r="U1598" s="118">
        <f t="shared" si="161"/>
        <v>0</v>
      </c>
    </row>
    <row r="1599" spans="1:21" x14ac:dyDescent="0.25">
      <c r="A1599" s="118">
        <f>+CUBICACION!D1593</f>
        <v>0</v>
      </c>
      <c r="B1599" s="819">
        <f>+CUBICACION!E1593</f>
        <v>0</v>
      </c>
      <c r="C1599" s="675">
        <f>+CUBICACION!F1593</f>
        <v>0</v>
      </c>
      <c r="D1599" s="118"/>
      <c r="E1599" s="118"/>
      <c r="F1599" s="820"/>
      <c r="G1599" s="675">
        <f>+CUBICACION!J1593</f>
        <v>0</v>
      </c>
      <c r="H1599" s="118"/>
      <c r="I1599" s="821">
        <f>+CUBICACION!L1593</f>
        <v>0</v>
      </c>
      <c r="J1599" s="64">
        <f>+CUBICACION!M1593</f>
        <v>0</v>
      </c>
      <c r="K1599" s="822" t="str">
        <f>+CUBICACION!N1593</f>
        <v/>
      </c>
      <c r="L1599" s="118">
        <f>+CUBICACION!O1593</f>
        <v>0</v>
      </c>
      <c r="M1599" s="823">
        <f>+CUBICACION!P1593</f>
        <v>0</v>
      </c>
      <c r="N1599" s="902">
        <f>ROUND(IF(AND(L1599="Blaze Shield II",M1599="Software Idiem",C1599="IN",G1599=4),((('BLAZE SHIELD II'!$D$4*('CALCULO MORTERO'!I1599^2)+'BLAZE SHIELD II'!$D$5*'CALCULO MORTERO'!I1599+'BLAZE SHIELD II'!$D$6)*LN(J1599))+('BLAZE SHIELD II'!$D$7*('CALCULO MORTERO'!I1599^2)+'BLAZE SHIELD II'!$D$8*'CALCULO MORTERO'!I1599+'BLAZE SHIELD II'!$D$9)),0)+IF(AND(L1599="Blaze Shield II",M1599="Software Idiem",C1599="Cj"),((('BLAZE SHIELD II'!$H$4*('CALCULO MORTERO'!I1599^2)+'BLAZE SHIELD II'!$H$5*'CALCULO MORTERO'!I1599+'BLAZE SHIELD II'!$H$6)*LN(J1599))+('BLAZE SHIELD II'!$H$7*('CALCULO MORTERO'!I1599^2)+'BLAZE SHIELD II'!$H$8*'CALCULO MORTERO'!I1599+'BLAZE SHIELD II'!$H$9)),0)+IF(AND(L1599="Blaze Shield II",M1599="Software Idiem",C1599="C"),((('BLAZE SHIELD II'!$L$4*('CALCULO MORTERO'!I1599^2)+'BLAZE SHIELD II'!$L$5*'CALCULO MORTERO'!I1599+'BLAZE SHIELD II'!$L$6)*LN(J1599))+('BLAZE SHIELD II'!$L$7*('CALCULO MORTERO'!I1599^2)+'BLAZE SHIELD II'!$L$8*'CALCULO MORTERO'!I1599+'BLAZE SHIELD II'!$L$9)),0)+IF(AND(L1599="Blaze Shield II",M1599="Software Idiem",C1599="L"),((('BLAZE SHIELD II'!$L$4*('CALCULO MORTERO'!I1599^2)+'BLAZE SHIELD II'!$L$5*'CALCULO MORTERO'!I1599+'BLAZE SHIELD II'!$L$6)*LN(J1599))+('BLAZE SHIELD II'!$L$7*('CALCULO MORTERO'!I1599^2)+'BLAZE SHIELD II'!$L$8*'CALCULO MORTERO'!I1599+'BLAZE SHIELD II'!$L$9)),0)+IF(AND(L1599="Blaze Shield II",M1599="Software Idiem",C1599="IN",G1599=3),((('BLAZE SHIELD II'!$H$14*('CALCULO MORTERO'!I1599^2)+'BLAZE SHIELD II'!$H$15*'CALCULO MORTERO'!I1599+'BLAZE SHIELD II'!$H$16)*LN(J1599))+('BLAZE SHIELD II'!$H$17*('CALCULO MORTERO'!I1599^2)+'BLAZE SHIELD II'!$H$18*'CALCULO MORTERO'!I1599+'BLAZE SHIELD II'!$H$19)),0),0)+ROUND(IF(AND(L1599="Cafco 400",M1599="Software Idiem",C1599="IN",G1599=4),((('CAFCO 400 '!$H$7*(J1599^4)+'CAFCO 400 '!$H$8*(J1599^3)+'CAFCO 400 '!$H$9*(J1599^2)+'CAFCO 400 '!$H$10*J1599+'CAFCO 400 '!$H$11)*U1599^2)+(('CAFCO 400 '!$H$12*(J1599^3)+'CAFCO 400 '!$H$13*(J1599^2)+'CAFCO 400 '!$H$14*J1599+'CAFCO 400 '!$H$15)*U1599)+('CAFCO 400 '!$H$16*(J1599^2)+'CAFCO 400 '!$H$17*J1599+'CAFCO 400 '!$H$18)),0)+IF(AND(L1599="Cafco 400",M1599="Software Idiem",C1599="Cj"),(((('CAFCO 400 '!$D$7*LN(J1599)+'CAFCO 400 '!$D$8)*U1599^2)+(('CAFCO 400 '!$D$9*LN(J1599)+'CAFCO 400 '!$D$10)*U1599)+('CAFCO 400 '!$D$11*LN(J1599)+'CAFCO 400 '!$D$12))),0)+IF(AND(L1599="Cafco 400",M1599="Software Idiem",C1599="C"),((('CAFCO 400 '!$L$7*(J1599^3)+'CAFCO 400 '!$L$8*(J1599^2)+'CAFCO 400 '!$L$9*J1599+'CAFCO 400 '!$L$10)*U1599^2)+(('CAFCO 400 '!$L$11*(J1599^3)+'CAFCO 400 '!$L$12*(J1599^2)+'CAFCO 400 '!$L$13*J1599+'CAFCO 400 '!$L$14)*U1599)+('CAFCO 400 '!$L$15*LN(J1599)+'CAFCO 400 '!$L$16)),0)+IF(AND(L1599="Cafco 400",M1599="Software Idiem",C1599="L"),((('CAFCO 400 '!$L$7*(J1599^3)+'CAFCO 400 '!$L$8*(J1599^2)+'CAFCO 400 '!$L$9*J1599+'CAFCO 400 '!$L$10)*U1599^2)+(('CAFCO 400 '!$L$11*(J1599^3)+'CAFCO 400 '!$L$12*(J1599^2)+'CAFCO 400 '!$L$13*J1599+'CAFCO 400 '!$L$14)*U1599)+('CAFCO 400 '!$L$15*LN(J1599)+'CAFCO 400 '!$L$16)),0)+IF(AND(L1599="Cafco 400",M1599="Software Idiem",C1599="IN",G1599=3),((('CAFCO 400 '!$D$23*(J1599^2)+'CAFCO 400 '!$D$24*(J1599)+'CAFCO 400 '!$D$25)*U1599^2)+(('CAFCO 400 '!$D$26*(J1599^2)+'CAFCO 400 '!$D$27*J1599+'CAFCO 400 '!$D$28)*U1599)+('CAFCO 400 '!$D$29*(J1599^2)+'CAFCO 400 '!$D$30*J1599+'CAFCO 400 '!$D$31)),0),0)+IF(AND(L1599="Cafco 300",J1599&gt;=95,J1599&lt;=240,C1599="Cj",I1599=90),VLOOKUP(T1599,'CAFCO 300 IDIEM TABLAS'!$B$4:$D$23,2,FALSE),0)+IF(AND(L1599="Cafco 300",J1599&gt;=95,J1599&lt;=240,C1599="Cj",I1599=120),VLOOKUP(T1599,'CAFCO 300 IDIEM TABLAS'!$B$4:$D$23,3,FALSE),0)+IF(AND(L1599="Cafco 300",J1599&gt;=95,J1599&lt;=400,G1599=3,C1599="IN",I1599=90),VLOOKUP(T1599,'CAFCO 300 IDIEM TABLAS'!$F$4:$H$35,2,FALSE),0)+IF(AND(L1599="Cafco 300",J1599&gt;=95,J1599&lt;=400,G1599=3,C1599="IN",I1599=120),VLOOKUP(T1599,'CAFCO 300 IDIEM TABLAS'!$F$4:$H$35,3,FALSE),0)+IF(AND(L1599="Cafco 300",J1599&gt;=95,J1599&lt;=450,G1599=4,C1599="IN",I1599=90),VLOOKUP(T1599,'CAFCO 300 IDIEM TABLAS'!$J$4:$L$40,2,FALSE),0)+IF(AND(L1599="Cafco 300",J1599&gt;=95,J1599&lt;=450,G1599=4,C1599="IN",I1599=120),VLOOKUP(T1599,'CAFCO 300 IDIEM TABLAS'!$J$4:$L$40,3,FALSE),0)+IF(AND(M1599="Ensayo Idiem",L1599="Cafco 400",C1599="IN",G1599=4,I1599=90),VLOOKUP(T1599,'CAFCO 400 ENSAYO'!$B$7:$D$43,2,FALSE),0)+IF(AND(M1599="Ensayo Idiem",L1599="Cafco 400",C1599="IN",G1599=4,I1599=120),VLOOKUP(T1599,'CAFCO 400 ENSAYO'!$B$7:$D$43,3,FALSE),0)</f>
        <v>0</v>
      </c>
      <c r="O1599" s="96">
        <f t="shared" si="156"/>
        <v>0</v>
      </c>
      <c r="P1599" s="132" t="str">
        <f t="shared" si="157"/>
        <v>N/A</v>
      </c>
      <c r="Q1599" s="132" t="str">
        <f t="shared" si="158"/>
        <v>N/A</v>
      </c>
      <c r="R1599" s="132" t="str">
        <f t="shared" si="159"/>
        <v>NO CERT.</v>
      </c>
      <c r="S1599" s="132" t="e">
        <f t="shared" si="160"/>
        <v>#N/A</v>
      </c>
      <c r="T1599" s="133" t="e">
        <f>+IF(J1599=LOOKUP(J1599,'CAFCO 300 IDIEM TABLAS'!$J$4:$J$40),'CALCULO MORTERO'!J1599,MROUND('CALCULO MORTERO'!J1599,10))</f>
        <v>#N/A</v>
      </c>
      <c r="U1599" s="134">
        <f t="shared" si="161"/>
        <v>0</v>
      </c>
    </row>
    <row r="1600" spans="1:21" x14ac:dyDescent="0.25">
      <c r="A1600" s="118">
        <f>+CUBICACION!D1594</f>
        <v>0</v>
      </c>
      <c r="B1600" s="819">
        <f>+CUBICACION!E1594</f>
        <v>0</v>
      </c>
      <c r="C1600" s="675">
        <f>+CUBICACION!F1594</f>
        <v>0</v>
      </c>
      <c r="D1600" s="118"/>
      <c r="E1600" s="118"/>
      <c r="F1600" s="820"/>
      <c r="G1600" s="675">
        <f>+CUBICACION!J1594</f>
        <v>0</v>
      </c>
      <c r="H1600" s="118"/>
      <c r="I1600" s="821">
        <f>+CUBICACION!L1594</f>
        <v>0</v>
      </c>
      <c r="J1600" s="64">
        <f>+CUBICACION!M1594</f>
        <v>0</v>
      </c>
      <c r="K1600" s="822" t="str">
        <f>+CUBICACION!N1594</f>
        <v/>
      </c>
      <c r="L1600" s="118">
        <f>+CUBICACION!O1594</f>
        <v>0</v>
      </c>
      <c r="M1600" s="823">
        <f>+CUBICACION!P1594</f>
        <v>0</v>
      </c>
      <c r="N1600" s="902">
        <f>ROUND(IF(AND(L1600="Blaze Shield II",M1600="Software Idiem",C1600="IN",G1600=4),((('BLAZE SHIELD II'!$D$4*('CALCULO MORTERO'!I1600^2)+'BLAZE SHIELD II'!$D$5*'CALCULO MORTERO'!I1600+'BLAZE SHIELD II'!$D$6)*LN(J1600))+('BLAZE SHIELD II'!$D$7*('CALCULO MORTERO'!I1600^2)+'BLAZE SHIELD II'!$D$8*'CALCULO MORTERO'!I1600+'BLAZE SHIELD II'!$D$9)),0)+IF(AND(L1600="Blaze Shield II",M1600="Software Idiem",C1600="Cj"),((('BLAZE SHIELD II'!$H$4*('CALCULO MORTERO'!I1600^2)+'BLAZE SHIELD II'!$H$5*'CALCULO MORTERO'!I1600+'BLAZE SHIELD II'!$H$6)*LN(J1600))+('BLAZE SHIELD II'!$H$7*('CALCULO MORTERO'!I1600^2)+'BLAZE SHIELD II'!$H$8*'CALCULO MORTERO'!I1600+'BLAZE SHIELD II'!$H$9)),0)+IF(AND(L1600="Blaze Shield II",M1600="Software Idiem",C1600="C"),((('BLAZE SHIELD II'!$L$4*('CALCULO MORTERO'!I1600^2)+'BLAZE SHIELD II'!$L$5*'CALCULO MORTERO'!I1600+'BLAZE SHIELD II'!$L$6)*LN(J1600))+('BLAZE SHIELD II'!$L$7*('CALCULO MORTERO'!I1600^2)+'BLAZE SHIELD II'!$L$8*'CALCULO MORTERO'!I1600+'BLAZE SHIELD II'!$L$9)),0)+IF(AND(L1600="Blaze Shield II",M1600="Software Idiem",C1600="L"),((('BLAZE SHIELD II'!$L$4*('CALCULO MORTERO'!I1600^2)+'BLAZE SHIELD II'!$L$5*'CALCULO MORTERO'!I1600+'BLAZE SHIELD II'!$L$6)*LN(J1600))+('BLAZE SHIELD II'!$L$7*('CALCULO MORTERO'!I1600^2)+'BLAZE SHIELD II'!$L$8*'CALCULO MORTERO'!I1600+'BLAZE SHIELD II'!$L$9)),0)+IF(AND(L1600="Blaze Shield II",M1600="Software Idiem",C1600="IN",G1600=3),((('BLAZE SHIELD II'!$H$14*('CALCULO MORTERO'!I1600^2)+'BLAZE SHIELD II'!$H$15*'CALCULO MORTERO'!I1600+'BLAZE SHIELD II'!$H$16)*LN(J1600))+('BLAZE SHIELD II'!$H$17*('CALCULO MORTERO'!I1600^2)+'BLAZE SHIELD II'!$H$18*'CALCULO MORTERO'!I1600+'BLAZE SHIELD II'!$H$19)),0),0)+ROUND(IF(AND(L1600="Cafco 400",M1600="Software Idiem",C1600="IN",G1600=4),((('CAFCO 400 '!$H$7*(J1600^4)+'CAFCO 400 '!$H$8*(J1600^3)+'CAFCO 400 '!$H$9*(J1600^2)+'CAFCO 400 '!$H$10*J1600+'CAFCO 400 '!$H$11)*U1600^2)+(('CAFCO 400 '!$H$12*(J1600^3)+'CAFCO 400 '!$H$13*(J1600^2)+'CAFCO 400 '!$H$14*J1600+'CAFCO 400 '!$H$15)*U1600)+('CAFCO 400 '!$H$16*(J1600^2)+'CAFCO 400 '!$H$17*J1600+'CAFCO 400 '!$H$18)),0)+IF(AND(L1600="Cafco 400",M1600="Software Idiem",C1600="Cj"),(((('CAFCO 400 '!$D$7*LN(J1600)+'CAFCO 400 '!$D$8)*U1600^2)+(('CAFCO 400 '!$D$9*LN(J1600)+'CAFCO 400 '!$D$10)*U1600)+('CAFCO 400 '!$D$11*LN(J1600)+'CAFCO 400 '!$D$12))),0)+IF(AND(L1600="Cafco 400",M1600="Software Idiem",C1600="C"),((('CAFCO 400 '!$L$7*(J1600^3)+'CAFCO 400 '!$L$8*(J1600^2)+'CAFCO 400 '!$L$9*J1600+'CAFCO 400 '!$L$10)*U1600^2)+(('CAFCO 400 '!$L$11*(J1600^3)+'CAFCO 400 '!$L$12*(J1600^2)+'CAFCO 400 '!$L$13*J1600+'CAFCO 400 '!$L$14)*U1600)+('CAFCO 400 '!$L$15*LN(J1600)+'CAFCO 400 '!$L$16)),0)+IF(AND(L1600="Cafco 400",M1600="Software Idiem",C1600="L"),((('CAFCO 400 '!$L$7*(J1600^3)+'CAFCO 400 '!$L$8*(J1600^2)+'CAFCO 400 '!$L$9*J1600+'CAFCO 400 '!$L$10)*U1600^2)+(('CAFCO 400 '!$L$11*(J1600^3)+'CAFCO 400 '!$L$12*(J1600^2)+'CAFCO 400 '!$L$13*J1600+'CAFCO 400 '!$L$14)*U1600)+('CAFCO 400 '!$L$15*LN(J1600)+'CAFCO 400 '!$L$16)),0)+IF(AND(L1600="Cafco 400",M1600="Software Idiem",C1600="IN",G1600=3),((('CAFCO 400 '!$D$23*(J1600^2)+'CAFCO 400 '!$D$24*(J1600)+'CAFCO 400 '!$D$25)*U1600^2)+(('CAFCO 400 '!$D$26*(J1600^2)+'CAFCO 400 '!$D$27*J1600+'CAFCO 400 '!$D$28)*U1600)+('CAFCO 400 '!$D$29*(J1600^2)+'CAFCO 400 '!$D$30*J1600+'CAFCO 400 '!$D$31)),0),0)+IF(AND(L1600="Cafco 300",J1600&gt;=95,J1600&lt;=240,C1600="Cj",I1600=90),VLOOKUP(T1600,'CAFCO 300 IDIEM TABLAS'!$B$4:$D$23,2,FALSE),0)+IF(AND(L1600="Cafco 300",J1600&gt;=95,J1600&lt;=240,C1600="Cj",I1600=120),VLOOKUP(T1600,'CAFCO 300 IDIEM TABLAS'!$B$4:$D$23,3,FALSE),0)+IF(AND(L1600="Cafco 300",J1600&gt;=95,J1600&lt;=400,G1600=3,C1600="IN",I1600=90),VLOOKUP(T1600,'CAFCO 300 IDIEM TABLAS'!$F$4:$H$35,2,FALSE),0)+IF(AND(L1600="Cafco 300",J1600&gt;=95,J1600&lt;=400,G1600=3,C1600="IN",I1600=120),VLOOKUP(T1600,'CAFCO 300 IDIEM TABLAS'!$F$4:$H$35,3,FALSE),0)+IF(AND(L1600="Cafco 300",J1600&gt;=95,J1600&lt;=450,G1600=4,C1600="IN",I1600=90),VLOOKUP(T1600,'CAFCO 300 IDIEM TABLAS'!$J$4:$L$40,2,FALSE),0)+IF(AND(L1600="Cafco 300",J1600&gt;=95,J1600&lt;=450,G1600=4,C1600="IN",I1600=120),VLOOKUP(T1600,'CAFCO 300 IDIEM TABLAS'!$J$4:$L$40,3,FALSE),0)+IF(AND(M1600="Ensayo Idiem",L1600="Cafco 400",C1600="IN",G1600=4,I1600=90),VLOOKUP(T1600,'CAFCO 400 ENSAYO'!$B$7:$D$43,2,FALSE),0)+IF(AND(M1600="Ensayo Idiem",L1600="Cafco 400",C1600="IN",G1600=4,I1600=120),VLOOKUP(T1600,'CAFCO 400 ENSAYO'!$B$7:$D$43,3,FALSE),0)</f>
        <v>0</v>
      </c>
      <c r="O1600" s="96">
        <f t="shared" si="156"/>
        <v>0</v>
      </c>
      <c r="P1600" s="95" t="str">
        <f t="shared" si="157"/>
        <v>N/A</v>
      </c>
      <c r="Q1600" s="95" t="str">
        <f t="shared" si="158"/>
        <v>N/A</v>
      </c>
      <c r="R1600" s="95" t="str">
        <f t="shared" si="159"/>
        <v>NO CERT.</v>
      </c>
      <c r="S1600" s="95" t="e">
        <f t="shared" si="160"/>
        <v>#N/A</v>
      </c>
      <c r="T1600" s="119" t="e">
        <f>+IF(J1600=LOOKUP(J1600,'CAFCO 300 IDIEM TABLAS'!$J$4:$J$40),'CALCULO MORTERO'!J1600,MROUND('CALCULO MORTERO'!J1600,10))</f>
        <v>#N/A</v>
      </c>
      <c r="U1600" s="118">
        <f t="shared" si="161"/>
        <v>0</v>
      </c>
    </row>
    <row r="1601" spans="1:21" x14ac:dyDescent="0.25">
      <c r="A1601" s="118">
        <f>+CUBICACION!D1595</f>
        <v>0</v>
      </c>
      <c r="B1601" s="819">
        <f>+CUBICACION!E1595</f>
        <v>0</v>
      </c>
      <c r="C1601" s="675">
        <f>+CUBICACION!F1595</f>
        <v>0</v>
      </c>
      <c r="D1601" s="118"/>
      <c r="E1601" s="118"/>
      <c r="F1601" s="820"/>
      <c r="G1601" s="675">
        <f>+CUBICACION!J1595</f>
        <v>0</v>
      </c>
      <c r="H1601" s="118"/>
      <c r="I1601" s="821">
        <f>+CUBICACION!L1595</f>
        <v>0</v>
      </c>
      <c r="J1601" s="64">
        <f>+CUBICACION!M1595</f>
        <v>0</v>
      </c>
      <c r="K1601" s="822" t="str">
        <f>+CUBICACION!N1595</f>
        <v/>
      </c>
      <c r="L1601" s="118">
        <f>+CUBICACION!O1595</f>
        <v>0</v>
      </c>
      <c r="M1601" s="823">
        <f>+CUBICACION!P1595</f>
        <v>0</v>
      </c>
      <c r="N1601" s="902">
        <f>ROUND(IF(AND(L1601="Blaze Shield II",M1601="Software Idiem",C1601="IN",G1601=4),((('BLAZE SHIELD II'!$D$4*('CALCULO MORTERO'!I1601^2)+'BLAZE SHIELD II'!$D$5*'CALCULO MORTERO'!I1601+'BLAZE SHIELD II'!$D$6)*LN(J1601))+('BLAZE SHIELD II'!$D$7*('CALCULO MORTERO'!I1601^2)+'BLAZE SHIELD II'!$D$8*'CALCULO MORTERO'!I1601+'BLAZE SHIELD II'!$D$9)),0)+IF(AND(L1601="Blaze Shield II",M1601="Software Idiem",C1601="Cj"),((('BLAZE SHIELD II'!$H$4*('CALCULO MORTERO'!I1601^2)+'BLAZE SHIELD II'!$H$5*'CALCULO MORTERO'!I1601+'BLAZE SHIELD II'!$H$6)*LN(J1601))+('BLAZE SHIELD II'!$H$7*('CALCULO MORTERO'!I1601^2)+'BLAZE SHIELD II'!$H$8*'CALCULO MORTERO'!I1601+'BLAZE SHIELD II'!$H$9)),0)+IF(AND(L1601="Blaze Shield II",M1601="Software Idiem",C1601="C"),((('BLAZE SHIELD II'!$L$4*('CALCULO MORTERO'!I1601^2)+'BLAZE SHIELD II'!$L$5*'CALCULO MORTERO'!I1601+'BLAZE SHIELD II'!$L$6)*LN(J1601))+('BLAZE SHIELD II'!$L$7*('CALCULO MORTERO'!I1601^2)+'BLAZE SHIELD II'!$L$8*'CALCULO MORTERO'!I1601+'BLAZE SHIELD II'!$L$9)),0)+IF(AND(L1601="Blaze Shield II",M1601="Software Idiem",C1601="L"),((('BLAZE SHIELD II'!$L$4*('CALCULO MORTERO'!I1601^2)+'BLAZE SHIELD II'!$L$5*'CALCULO MORTERO'!I1601+'BLAZE SHIELD II'!$L$6)*LN(J1601))+('BLAZE SHIELD II'!$L$7*('CALCULO MORTERO'!I1601^2)+'BLAZE SHIELD II'!$L$8*'CALCULO MORTERO'!I1601+'BLAZE SHIELD II'!$L$9)),0)+IF(AND(L1601="Blaze Shield II",M1601="Software Idiem",C1601="IN",G1601=3),((('BLAZE SHIELD II'!$H$14*('CALCULO MORTERO'!I1601^2)+'BLAZE SHIELD II'!$H$15*'CALCULO MORTERO'!I1601+'BLAZE SHIELD II'!$H$16)*LN(J1601))+('BLAZE SHIELD II'!$H$17*('CALCULO MORTERO'!I1601^2)+'BLAZE SHIELD II'!$H$18*'CALCULO MORTERO'!I1601+'BLAZE SHIELD II'!$H$19)),0),0)+ROUND(IF(AND(L1601="Cafco 400",M1601="Software Idiem",C1601="IN",G1601=4),((('CAFCO 400 '!$H$7*(J1601^4)+'CAFCO 400 '!$H$8*(J1601^3)+'CAFCO 400 '!$H$9*(J1601^2)+'CAFCO 400 '!$H$10*J1601+'CAFCO 400 '!$H$11)*U1601^2)+(('CAFCO 400 '!$H$12*(J1601^3)+'CAFCO 400 '!$H$13*(J1601^2)+'CAFCO 400 '!$H$14*J1601+'CAFCO 400 '!$H$15)*U1601)+('CAFCO 400 '!$H$16*(J1601^2)+'CAFCO 400 '!$H$17*J1601+'CAFCO 400 '!$H$18)),0)+IF(AND(L1601="Cafco 400",M1601="Software Idiem",C1601="Cj"),(((('CAFCO 400 '!$D$7*LN(J1601)+'CAFCO 400 '!$D$8)*U1601^2)+(('CAFCO 400 '!$D$9*LN(J1601)+'CAFCO 400 '!$D$10)*U1601)+('CAFCO 400 '!$D$11*LN(J1601)+'CAFCO 400 '!$D$12))),0)+IF(AND(L1601="Cafco 400",M1601="Software Idiem",C1601="C"),((('CAFCO 400 '!$L$7*(J1601^3)+'CAFCO 400 '!$L$8*(J1601^2)+'CAFCO 400 '!$L$9*J1601+'CAFCO 400 '!$L$10)*U1601^2)+(('CAFCO 400 '!$L$11*(J1601^3)+'CAFCO 400 '!$L$12*(J1601^2)+'CAFCO 400 '!$L$13*J1601+'CAFCO 400 '!$L$14)*U1601)+('CAFCO 400 '!$L$15*LN(J1601)+'CAFCO 400 '!$L$16)),0)+IF(AND(L1601="Cafco 400",M1601="Software Idiem",C1601="L"),((('CAFCO 400 '!$L$7*(J1601^3)+'CAFCO 400 '!$L$8*(J1601^2)+'CAFCO 400 '!$L$9*J1601+'CAFCO 400 '!$L$10)*U1601^2)+(('CAFCO 400 '!$L$11*(J1601^3)+'CAFCO 400 '!$L$12*(J1601^2)+'CAFCO 400 '!$L$13*J1601+'CAFCO 400 '!$L$14)*U1601)+('CAFCO 400 '!$L$15*LN(J1601)+'CAFCO 400 '!$L$16)),0)+IF(AND(L1601="Cafco 400",M1601="Software Idiem",C1601="IN",G1601=3),((('CAFCO 400 '!$D$23*(J1601^2)+'CAFCO 400 '!$D$24*(J1601)+'CAFCO 400 '!$D$25)*U1601^2)+(('CAFCO 400 '!$D$26*(J1601^2)+'CAFCO 400 '!$D$27*J1601+'CAFCO 400 '!$D$28)*U1601)+('CAFCO 400 '!$D$29*(J1601^2)+'CAFCO 400 '!$D$30*J1601+'CAFCO 400 '!$D$31)),0),0)+IF(AND(L1601="Cafco 300",J1601&gt;=95,J1601&lt;=240,C1601="Cj",I1601=90),VLOOKUP(T1601,'CAFCO 300 IDIEM TABLAS'!$B$4:$D$23,2,FALSE),0)+IF(AND(L1601="Cafco 300",J1601&gt;=95,J1601&lt;=240,C1601="Cj",I1601=120),VLOOKUP(T1601,'CAFCO 300 IDIEM TABLAS'!$B$4:$D$23,3,FALSE),0)+IF(AND(L1601="Cafco 300",J1601&gt;=95,J1601&lt;=400,G1601=3,C1601="IN",I1601=90),VLOOKUP(T1601,'CAFCO 300 IDIEM TABLAS'!$F$4:$H$35,2,FALSE),0)+IF(AND(L1601="Cafco 300",J1601&gt;=95,J1601&lt;=400,G1601=3,C1601="IN",I1601=120),VLOOKUP(T1601,'CAFCO 300 IDIEM TABLAS'!$F$4:$H$35,3,FALSE),0)+IF(AND(L1601="Cafco 300",J1601&gt;=95,J1601&lt;=450,G1601=4,C1601="IN",I1601=90),VLOOKUP(T1601,'CAFCO 300 IDIEM TABLAS'!$J$4:$L$40,2,FALSE),0)+IF(AND(L1601="Cafco 300",J1601&gt;=95,J1601&lt;=450,G1601=4,C1601="IN",I1601=120),VLOOKUP(T1601,'CAFCO 300 IDIEM TABLAS'!$J$4:$L$40,3,FALSE),0)+IF(AND(M1601="Ensayo Idiem",L1601="Cafco 400",C1601="IN",G1601=4,I1601=90),VLOOKUP(T1601,'CAFCO 400 ENSAYO'!$B$7:$D$43,2,FALSE),0)+IF(AND(M1601="Ensayo Idiem",L1601="Cafco 400",C1601="IN",G1601=4,I1601=120),VLOOKUP(T1601,'CAFCO 400 ENSAYO'!$B$7:$D$43,3,FALSE),0)</f>
        <v>0</v>
      </c>
      <c r="O1601" s="96">
        <f t="shared" si="156"/>
        <v>0</v>
      </c>
      <c r="P1601" s="132" t="str">
        <f t="shared" si="157"/>
        <v>N/A</v>
      </c>
      <c r="Q1601" s="132" t="str">
        <f t="shared" si="158"/>
        <v>N/A</v>
      </c>
      <c r="R1601" s="132" t="str">
        <f t="shared" si="159"/>
        <v>NO CERT.</v>
      </c>
      <c r="S1601" s="132" t="e">
        <f t="shared" si="160"/>
        <v>#N/A</v>
      </c>
      <c r="T1601" s="133" t="e">
        <f>+IF(J1601=LOOKUP(J1601,'CAFCO 300 IDIEM TABLAS'!$J$4:$J$40),'CALCULO MORTERO'!J1601,MROUND('CALCULO MORTERO'!J1601,10))</f>
        <v>#N/A</v>
      </c>
      <c r="U1601" s="134">
        <f t="shared" si="161"/>
        <v>0</v>
      </c>
    </row>
    <row r="1602" spans="1:21" x14ac:dyDescent="0.25">
      <c r="A1602" s="118">
        <f>+CUBICACION!D1596</f>
        <v>0</v>
      </c>
      <c r="B1602" s="819">
        <f>+CUBICACION!E1596</f>
        <v>0</v>
      </c>
      <c r="C1602" s="675">
        <f>+CUBICACION!F1596</f>
        <v>0</v>
      </c>
      <c r="D1602" s="118"/>
      <c r="E1602" s="118"/>
      <c r="F1602" s="820"/>
      <c r="G1602" s="675">
        <f>+CUBICACION!J1596</f>
        <v>0</v>
      </c>
      <c r="H1602" s="118"/>
      <c r="I1602" s="821">
        <f>+CUBICACION!L1596</f>
        <v>0</v>
      </c>
      <c r="J1602" s="64">
        <f>+CUBICACION!M1596</f>
        <v>0</v>
      </c>
      <c r="K1602" s="822" t="str">
        <f>+CUBICACION!N1596</f>
        <v/>
      </c>
      <c r="L1602" s="118">
        <f>+CUBICACION!O1596</f>
        <v>0</v>
      </c>
      <c r="M1602" s="823">
        <f>+CUBICACION!P1596</f>
        <v>0</v>
      </c>
      <c r="N1602" s="902">
        <f>ROUND(IF(AND(L1602="Blaze Shield II",M1602="Software Idiem",C1602="IN",G1602=4),((('BLAZE SHIELD II'!$D$4*('CALCULO MORTERO'!I1602^2)+'BLAZE SHIELD II'!$D$5*'CALCULO MORTERO'!I1602+'BLAZE SHIELD II'!$D$6)*LN(J1602))+('BLAZE SHIELD II'!$D$7*('CALCULO MORTERO'!I1602^2)+'BLAZE SHIELD II'!$D$8*'CALCULO MORTERO'!I1602+'BLAZE SHIELD II'!$D$9)),0)+IF(AND(L1602="Blaze Shield II",M1602="Software Idiem",C1602="Cj"),((('BLAZE SHIELD II'!$H$4*('CALCULO MORTERO'!I1602^2)+'BLAZE SHIELD II'!$H$5*'CALCULO MORTERO'!I1602+'BLAZE SHIELD II'!$H$6)*LN(J1602))+('BLAZE SHIELD II'!$H$7*('CALCULO MORTERO'!I1602^2)+'BLAZE SHIELD II'!$H$8*'CALCULO MORTERO'!I1602+'BLAZE SHIELD II'!$H$9)),0)+IF(AND(L1602="Blaze Shield II",M1602="Software Idiem",C1602="C"),((('BLAZE SHIELD II'!$L$4*('CALCULO MORTERO'!I1602^2)+'BLAZE SHIELD II'!$L$5*'CALCULO MORTERO'!I1602+'BLAZE SHIELD II'!$L$6)*LN(J1602))+('BLAZE SHIELD II'!$L$7*('CALCULO MORTERO'!I1602^2)+'BLAZE SHIELD II'!$L$8*'CALCULO MORTERO'!I1602+'BLAZE SHIELD II'!$L$9)),0)+IF(AND(L1602="Blaze Shield II",M1602="Software Idiem",C1602="L"),((('BLAZE SHIELD II'!$L$4*('CALCULO MORTERO'!I1602^2)+'BLAZE SHIELD II'!$L$5*'CALCULO MORTERO'!I1602+'BLAZE SHIELD II'!$L$6)*LN(J1602))+('BLAZE SHIELD II'!$L$7*('CALCULO MORTERO'!I1602^2)+'BLAZE SHIELD II'!$L$8*'CALCULO MORTERO'!I1602+'BLAZE SHIELD II'!$L$9)),0)+IF(AND(L1602="Blaze Shield II",M1602="Software Idiem",C1602="IN",G1602=3),((('BLAZE SHIELD II'!$H$14*('CALCULO MORTERO'!I1602^2)+'BLAZE SHIELD II'!$H$15*'CALCULO MORTERO'!I1602+'BLAZE SHIELD II'!$H$16)*LN(J1602))+('BLAZE SHIELD II'!$H$17*('CALCULO MORTERO'!I1602^2)+'BLAZE SHIELD II'!$H$18*'CALCULO MORTERO'!I1602+'BLAZE SHIELD II'!$H$19)),0),0)+ROUND(IF(AND(L1602="Cafco 400",M1602="Software Idiem",C1602="IN",G1602=4),((('CAFCO 400 '!$H$7*(J1602^4)+'CAFCO 400 '!$H$8*(J1602^3)+'CAFCO 400 '!$H$9*(J1602^2)+'CAFCO 400 '!$H$10*J1602+'CAFCO 400 '!$H$11)*U1602^2)+(('CAFCO 400 '!$H$12*(J1602^3)+'CAFCO 400 '!$H$13*(J1602^2)+'CAFCO 400 '!$H$14*J1602+'CAFCO 400 '!$H$15)*U1602)+('CAFCO 400 '!$H$16*(J1602^2)+'CAFCO 400 '!$H$17*J1602+'CAFCO 400 '!$H$18)),0)+IF(AND(L1602="Cafco 400",M1602="Software Idiem",C1602="Cj"),(((('CAFCO 400 '!$D$7*LN(J1602)+'CAFCO 400 '!$D$8)*U1602^2)+(('CAFCO 400 '!$D$9*LN(J1602)+'CAFCO 400 '!$D$10)*U1602)+('CAFCO 400 '!$D$11*LN(J1602)+'CAFCO 400 '!$D$12))),0)+IF(AND(L1602="Cafco 400",M1602="Software Idiem",C1602="C"),((('CAFCO 400 '!$L$7*(J1602^3)+'CAFCO 400 '!$L$8*(J1602^2)+'CAFCO 400 '!$L$9*J1602+'CAFCO 400 '!$L$10)*U1602^2)+(('CAFCO 400 '!$L$11*(J1602^3)+'CAFCO 400 '!$L$12*(J1602^2)+'CAFCO 400 '!$L$13*J1602+'CAFCO 400 '!$L$14)*U1602)+('CAFCO 400 '!$L$15*LN(J1602)+'CAFCO 400 '!$L$16)),0)+IF(AND(L1602="Cafco 400",M1602="Software Idiem",C1602="L"),((('CAFCO 400 '!$L$7*(J1602^3)+'CAFCO 400 '!$L$8*(J1602^2)+'CAFCO 400 '!$L$9*J1602+'CAFCO 400 '!$L$10)*U1602^2)+(('CAFCO 400 '!$L$11*(J1602^3)+'CAFCO 400 '!$L$12*(J1602^2)+'CAFCO 400 '!$L$13*J1602+'CAFCO 400 '!$L$14)*U1602)+('CAFCO 400 '!$L$15*LN(J1602)+'CAFCO 400 '!$L$16)),0)+IF(AND(L1602="Cafco 400",M1602="Software Idiem",C1602="IN",G1602=3),((('CAFCO 400 '!$D$23*(J1602^2)+'CAFCO 400 '!$D$24*(J1602)+'CAFCO 400 '!$D$25)*U1602^2)+(('CAFCO 400 '!$D$26*(J1602^2)+'CAFCO 400 '!$D$27*J1602+'CAFCO 400 '!$D$28)*U1602)+('CAFCO 400 '!$D$29*(J1602^2)+'CAFCO 400 '!$D$30*J1602+'CAFCO 400 '!$D$31)),0),0)+IF(AND(L1602="Cafco 300",J1602&gt;=95,J1602&lt;=240,C1602="Cj",I1602=90),VLOOKUP(T1602,'CAFCO 300 IDIEM TABLAS'!$B$4:$D$23,2,FALSE),0)+IF(AND(L1602="Cafco 300",J1602&gt;=95,J1602&lt;=240,C1602="Cj",I1602=120),VLOOKUP(T1602,'CAFCO 300 IDIEM TABLAS'!$B$4:$D$23,3,FALSE),0)+IF(AND(L1602="Cafco 300",J1602&gt;=95,J1602&lt;=400,G1602=3,C1602="IN",I1602=90),VLOOKUP(T1602,'CAFCO 300 IDIEM TABLAS'!$F$4:$H$35,2,FALSE),0)+IF(AND(L1602="Cafco 300",J1602&gt;=95,J1602&lt;=400,G1602=3,C1602="IN",I1602=120),VLOOKUP(T1602,'CAFCO 300 IDIEM TABLAS'!$F$4:$H$35,3,FALSE),0)+IF(AND(L1602="Cafco 300",J1602&gt;=95,J1602&lt;=450,G1602=4,C1602="IN",I1602=90),VLOOKUP(T1602,'CAFCO 300 IDIEM TABLAS'!$J$4:$L$40,2,FALSE),0)+IF(AND(L1602="Cafco 300",J1602&gt;=95,J1602&lt;=450,G1602=4,C1602="IN",I1602=120),VLOOKUP(T1602,'CAFCO 300 IDIEM TABLAS'!$J$4:$L$40,3,FALSE),0)+IF(AND(M1602="Ensayo Idiem",L1602="Cafco 400",C1602="IN",G1602=4,I1602=90),VLOOKUP(T1602,'CAFCO 400 ENSAYO'!$B$7:$D$43,2,FALSE),0)+IF(AND(M1602="Ensayo Idiem",L1602="Cafco 400",C1602="IN",G1602=4,I1602=120),VLOOKUP(T1602,'CAFCO 400 ENSAYO'!$B$7:$D$43,3,FALSE),0)</f>
        <v>0</v>
      </c>
      <c r="O1602" s="96">
        <f t="shared" si="156"/>
        <v>0</v>
      </c>
      <c r="P1602" s="95" t="str">
        <f t="shared" si="157"/>
        <v>N/A</v>
      </c>
      <c r="Q1602" s="95" t="str">
        <f t="shared" si="158"/>
        <v>N/A</v>
      </c>
      <c r="R1602" s="95" t="str">
        <f t="shared" si="159"/>
        <v>NO CERT.</v>
      </c>
      <c r="S1602" s="95" t="e">
        <f t="shared" si="160"/>
        <v>#N/A</v>
      </c>
      <c r="T1602" s="119" t="e">
        <f>+IF(J1602=LOOKUP(J1602,'CAFCO 300 IDIEM TABLAS'!$J$4:$J$40),'CALCULO MORTERO'!J1602,MROUND('CALCULO MORTERO'!J1602,10))</f>
        <v>#N/A</v>
      </c>
      <c r="U1602" s="118">
        <f t="shared" si="161"/>
        <v>0</v>
      </c>
    </row>
    <row r="1603" spans="1:21" x14ac:dyDescent="0.25">
      <c r="A1603" s="118">
        <f>+CUBICACION!D1597</f>
        <v>0</v>
      </c>
      <c r="B1603" s="819">
        <f>+CUBICACION!E1597</f>
        <v>0</v>
      </c>
      <c r="C1603" s="675">
        <f>+CUBICACION!F1597</f>
        <v>0</v>
      </c>
      <c r="D1603" s="118"/>
      <c r="E1603" s="118"/>
      <c r="F1603" s="820"/>
      <c r="G1603" s="675">
        <f>+CUBICACION!J1597</f>
        <v>0</v>
      </c>
      <c r="H1603" s="118"/>
      <c r="I1603" s="821">
        <f>+CUBICACION!L1597</f>
        <v>0</v>
      </c>
      <c r="J1603" s="64">
        <f>+CUBICACION!M1597</f>
        <v>0</v>
      </c>
      <c r="K1603" s="822" t="str">
        <f>+CUBICACION!N1597</f>
        <v/>
      </c>
      <c r="L1603" s="118">
        <f>+CUBICACION!O1597</f>
        <v>0</v>
      </c>
      <c r="M1603" s="823">
        <f>+CUBICACION!P1597</f>
        <v>0</v>
      </c>
      <c r="N1603" s="902">
        <f>ROUND(IF(AND(L1603="Blaze Shield II",M1603="Software Idiem",C1603="IN",G1603=4),((('BLAZE SHIELD II'!$D$4*('CALCULO MORTERO'!I1603^2)+'BLAZE SHIELD II'!$D$5*'CALCULO MORTERO'!I1603+'BLAZE SHIELD II'!$D$6)*LN(J1603))+('BLAZE SHIELD II'!$D$7*('CALCULO MORTERO'!I1603^2)+'BLAZE SHIELD II'!$D$8*'CALCULO MORTERO'!I1603+'BLAZE SHIELD II'!$D$9)),0)+IF(AND(L1603="Blaze Shield II",M1603="Software Idiem",C1603="Cj"),((('BLAZE SHIELD II'!$H$4*('CALCULO MORTERO'!I1603^2)+'BLAZE SHIELD II'!$H$5*'CALCULO MORTERO'!I1603+'BLAZE SHIELD II'!$H$6)*LN(J1603))+('BLAZE SHIELD II'!$H$7*('CALCULO MORTERO'!I1603^2)+'BLAZE SHIELD II'!$H$8*'CALCULO MORTERO'!I1603+'BLAZE SHIELD II'!$H$9)),0)+IF(AND(L1603="Blaze Shield II",M1603="Software Idiem",C1603="C"),((('BLAZE SHIELD II'!$L$4*('CALCULO MORTERO'!I1603^2)+'BLAZE SHIELD II'!$L$5*'CALCULO MORTERO'!I1603+'BLAZE SHIELD II'!$L$6)*LN(J1603))+('BLAZE SHIELD II'!$L$7*('CALCULO MORTERO'!I1603^2)+'BLAZE SHIELD II'!$L$8*'CALCULO MORTERO'!I1603+'BLAZE SHIELD II'!$L$9)),0)+IF(AND(L1603="Blaze Shield II",M1603="Software Idiem",C1603="L"),((('BLAZE SHIELD II'!$L$4*('CALCULO MORTERO'!I1603^2)+'BLAZE SHIELD II'!$L$5*'CALCULO MORTERO'!I1603+'BLAZE SHIELD II'!$L$6)*LN(J1603))+('BLAZE SHIELD II'!$L$7*('CALCULO MORTERO'!I1603^2)+'BLAZE SHIELD II'!$L$8*'CALCULO MORTERO'!I1603+'BLAZE SHIELD II'!$L$9)),0)+IF(AND(L1603="Blaze Shield II",M1603="Software Idiem",C1603="IN",G1603=3),((('BLAZE SHIELD II'!$H$14*('CALCULO MORTERO'!I1603^2)+'BLAZE SHIELD II'!$H$15*'CALCULO MORTERO'!I1603+'BLAZE SHIELD II'!$H$16)*LN(J1603))+('BLAZE SHIELD II'!$H$17*('CALCULO MORTERO'!I1603^2)+'BLAZE SHIELD II'!$H$18*'CALCULO MORTERO'!I1603+'BLAZE SHIELD II'!$H$19)),0),0)+ROUND(IF(AND(L1603="Cafco 400",M1603="Software Idiem",C1603="IN",G1603=4),((('CAFCO 400 '!$H$7*(J1603^4)+'CAFCO 400 '!$H$8*(J1603^3)+'CAFCO 400 '!$H$9*(J1603^2)+'CAFCO 400 '!$H$10*J1603+'CAFCO 400 '!$H$11)*U1603^2)+(('CAFCO 400 '!$H$12*(J1603^3)+'CAFCO 400 '!$H$13*(J1603^2)+'CAFCO 400 '!$H$14*J1603+'CAFCO 400 '!$H$15)*U1603)+('CAFCO 400 '!$H$16*(J1603^2)+'CAFCO 400 '!$H$17*J1603+'CAFCO 400 '!$H$18)),0)+IF(AND(L1603="Cafco 400",M1603="Software Idiem",C1603="Cj"),(((('CAFCO 400 '!$D$7*LN(J1603)+'CAFCO 400 '!$D$8)*U1603^2)+(('CAFCO 400 '!$D$9*LN(J1603)+'CAFCO 400 '!$D$10)*U1603)+('CAFCO 400 '!$D$11*LN(J1603)+'CAFCO 400 '!$D$12))),0)+IF(AND(L1603="Cafco 400",M1603="Software Idiem",C1603="C"),((('CAFCO 400 '!$L$7*(J1603^3)+'CAFCO 400 '!$L$8*(J1603^2)+'CAFCO 400 '!$L$9*J1603+'CAFCO 400 '!$L$10)*U1603^2)+(('CAFCO 400 '!$L$11*(J1603^3)+'CAFCO 400 '!$L$12*(J1603^2)+'CAFCO 400 '!$L$13*J1603+'CAFCO 400 '!$L$14)*U1603)+('CAFCO 400 '!$L$15*LN(J1603)+'CAFCO 400 '!$L$16)),0)+IF(AND(L1603="Cafco 400",M1603="Software Idiem",C1603="L"),((('CAFCO 400 '!$L$7*(J1603^3)+'CAFCO 400 '!$L$8*(J1603^2)+'CAFCO 400 '!$L$9*J1603+'CAFCO 400 '!$L$10)*U1603^2)+(('CAFCO 400 '!$L$11*(J1603^3)+'CAFCO 400 '!$L$12*(J1603^2)+'CAFCO 400 '!$L$13*J1603+'CAFCO 400 '!$L$14)*U1603)+('CAFCO 400 '!$L$15*LN(J1603)+'CAFCO 400 '!$L$16)),0)+IF(AND(L1603="Cafco 400",M1603="Software Idiem",C1603="IN",G1603=3),((('CAFCO 400 '!$D$23*(J1603^2)+'CAFCO 400 '!$D$24*(J1603)+'CAFCO 400 '!$D$25)*U1603^2)+(('CAFCO 400 '!$D$26*(J1603^2)+'CAFCO 400 '!$D$27*J1603+'CAFCO 400 '!$D$28)*U1603)+('CAFCO 400 '!$D$29*(J1603^2)+'CAFCO 400 '!$D$30*J1603+'CAFCO 400 '!$D$31)),0),0)+IF(AND(L1603="Cafco 300",J1603&gt;=95,J1603&lt;=240,C1603="Cj",I1603=90),VLOOKUP(T1603,'CAFCO 300 IDIEM TABLAS'!$B$4:$D$23,2,FALSE),0)+IF(AND(L1603="Cafco 300",J1603&gt;=95,J1603&lt;=240,C1603="Cj",I1603=120),VLOOKUP(T1603,'CAFCO 300 IDIEM TABLAS'!$B$4:$D$23,3,FALSE),0)+IF(AND(L1603="Cafco 300",J1603&gt;=95,J1603&lt;=400,G1603=3,C1603="IN",I1603=90),VLOOKUP(T1603,'CAFCO 300 IDIEM TABLAS'!$F$4:$H$35,2,FALSE),0)+IF(AND(L1603="Cafco 300",J1603&gt;=95,J1603&lt;=400,G1603=3,C1603="IN",I1603=120),VLOOKUP(T1603,'CAFCO 300 IDIEM TABLAS'!$F$4:$H$35,3,FALSE),0)+IF(AND(L1603="Cafco 300",J1603&gt;=95,J1603&lt;=450,G1603=4,C1603="IN",I1603=90),VLOOKUP(T1603,'CAFCO 300 IDIEM TABLAS'!$J$4:$L$40,2,FALSE),0)+IF(AND(L1603="Cafco 300",J1603&gt;=95,J1603&lt;=450,G1603=4,C1603="IN",I1603=120),VLOOKUP(T1603,'CAFCO 300 IDIEM TABLAS'!$J$4:$L$40,3,FALSE),0)+IF(AND(M1603="Ensayo Idiem",L1603="Cafco 400",C1603="IN",G1603=4,I1603=90),VLOOKUP(T1603,'CAFCO 400 ENSAYO'!$B$7:$D$43,2,FALSE),0)+IF(AND(M1603="Ensayo Idiem",L1603="Cafco 400",C1603="IN",G1603=4,I1603=120),VLOOKUP(T1603,'CAFCO 400 ENSAYO'!$B$7:$D$43,3,FALSE),0)</f>
        <v>0</v>
      </c>
      <c r="O1603" s="96">
        <f t="shared" si="156"/>
        <v>0</v>
      </c>
      <c r="P1603" s="132" t="str">
        <f t="shared" si="157"/>
        <v>N/A</v>
      </c>
      <c r="Q1603" s="132" t="str">
        <f t="shared" si="158"/>
        <v>N/A</v>
      </c>
      <c r="R1603" s="132" t="str">
        <f t="shared" si="159"/>
        <v>NO CERT.</v>
      </c>
      <c r="S1603" s="132" t="e">
        <f t="shared" si="160"/>
        <v>#N/A</v>
      </c>
      <c r="T1603" s="133" t="e">
        <f>+IF(J1603=LOOKUP(J1603,'CAFCO 300 IDIEM TABLAS'!$J$4:$J$40),'CALCULO MORTERO'!J1603,MROUND('CALCULO MORTERO'!J1603,10))</f>
        <v>#N/A</v>
      </c>
      <c r="U1603" s="134">
        <f t="shared" si="161"/>
        <v>0</v>
      </c>
    </row>
    <row r="1604" spans="1:21" x14ac:dyDescent="0.25">
      <c r="A1604" s="118">
        <f>+CUBICACION!D1598</f>
        <v>0</v>
      </c>
      <c r="B1604" s="819">
        <f>+CUBICACION!E1598</f>
        <v>0</v>
      </c>
      <c r="C1604" s="675">
        <f>+CUBICACION!F1598</f>
        <v>0</v>
      </c>
      <c r="D1604" s="118"/>
      <c r="E1604" s="118"/>
      <c r="F1604" s="820"/>
      <c r="G1604" s="675">
        <f>+CUBICACION!J1598</f>
        <v>0</v>
      </c>
      <c r="H1604" s="118"/>
      <c r="I1604" s="821">
        <f>+CUBICACION!L1598</f>
        <v>0</v>
      </c>
      <c r="J1604" s="64">
        <f>+CUBICACION!M1598</f>
        <v>0</v>
      </c>
      <c r="K1604" s="822" t="str">
        <f>+CUBICACION!N1598</f>
        <v/>
      </c>
      <c r="L1604" s="118">
        <f>+CUBICACION!O1598</f>
        <v>0</v>
      </c>
      <c r="M1604" s="823">
        <f>+CUBICACION!P1598</f>
        <v>0</v>
      </c>
      <c r="N1604" s="902">
        <f>ROUND(IF(AND(L1604="Blaze Shield II",M1604="Software Idiem",C1604="IN",G1604=4),((('BLAZE SHIELD II'!$D$4*('CALCULO MORTERO'!I1604^2)+'BLAZE SHIELD II'!$D$5*'CALCULO MORTERO'!I1604+'BLAZE SHIELD II'!$D$6)*LN(J1604))+('BLAZE SHIELD II'!$D$7*('CALCULO MORTERO'!I1604^2)+'BLAZE SHIELD II'!$D$8*'CALCULO MORTERO'!I1604+'BLAZE SHIELD II'!$D$9)),0)+IF(AND(L1604="Blaze Shield II",M1604="Software Idiem",C1604="Cj"),((('BLAZE SHIELD II'!$H$4*('CALCULO MORTERO'!I1604^2)+'BLAZE SHIELD II'!$H$5*'CALCULO MORTERO'!I1604+'BLAZE SHIELD II'!$H$6)*LN(J1604))+('BLAZE SHIELD II'!$H$7*('CALCULO MORTERO'!I1604^2)+'BLAZE SHIELD II'!$H$8*'CALCULO MORTERO'!I1604+'BLAZE SHIELD II'!$H$9)),0)+IF(AND(L1604="Blaze Shield II",M1604="Software Idiem",C1604="C"),((('BLAZE SHIELD II'!$L$4*('CALCULO MORTERO'!I1604^2)+'BLAZE SHIELD II'!$L$5*'CALCULO MORTERO'!I1604+'BLAZE SHIELD II'!$L$6)*LN(J1604))+('BLAZE SHIELD II'!$L$7*('CALCULO MORTERO'!I1604^2)+'BLAZE SHIELD II'!$L$8*'CALCULO MORTERO'!I1604+'BLAZE SHIELD II'!$L$9)),0)+IF(AND(L1604="Blaze Shield II",M1604="Software Idiem",C1604="L"),((('BLAZE SHIELD II'!$L$4*('CALCULO MORTERO'!I1604^2)+'BLAZE SHIELD II'!$L$5*'CALCULO MORTERO'!I1604+'BLAZE SHIELD II'!$L$6)*LN(J1604))+('BLAZE SHIELD II'!$L$7*('CALCULO MORTERO'!I1604^2)+'BLAZE SHIELD II'!$L$8*'CALCULO MORTERO'!I1604+'BLAZE SHIELD II'!$L$9)),0)+IF(AND(L1604="Blaze Shield II",M1604="Software Idiem",C1604="IN",G1604=3),((('BLAZE SHIELD II'!$H$14*('CALCULO MORTERO'!I1604^2)+'BLAZE SHIELD II'!$H$15*'CALCULO MORTERO'!I1604+'BLAZE SHIELD II'!$H$16)*LN(J1604))+('BLAZE SHIELD II'!$H$17*('CALCULO MORTERO'!I1604^2)+'BLAZE SHIELD II'!$H$18*'CALCULO MORTERO'!I1604+'BLAZE SHIELD II'!$H$19)),0),0)+ROUND(IF(AND(L1604="Cafco 400",M1604="Software Idiem",C1604="IN",G1604=4),((('CAFCO 400 '!$H$7*(J1604^4)+'CAFCO 400 '!$H$8*(J1604^3)+'CAFCO 400 '!$H$9*(J1604^2)+'CAFCO 400 '!$H$10*J1604+'CAFCO 400 '!$H$11)*U1604^2)+(('CAFCO 400 '!$H$12*(J1604^3)+'CAFCO 400 '!$H$13*(J1604^2)+'CAFCO 400 '!$H$14*J1604+'CAFCO 400 '!$H$15)*U1604)+('CAFCO 400 '!$H$16*(J1604^2)+'CAFCO 400 '!$H$17*J1604+'CAFCO 400 '!$H$18)),0)+IF(AND(L1604="Cafco 400",M1604="Software Idiem",C1604="Cj"),(((('CAFCO 400 '!$D$7*LN(J1604)+'CAFCO 400 '!$D$8)*U1604^2)+(('CAFCO 400 '!$D$9*LN(J1604)+'CAFCO 400 '!$D$10)*U1604)+('CAFCO 400 '!$D$11*LN(J1604)+'CAFCO 400 '!$D$12))),0)+IF(AND(L1604="Cafco 400",M1604="Software Idiem",C1604="C"),((('CAFCO 400 '!$L$7*(J1604^3)+'CAFCO 400 '!$L$8*(J1604^2)+'CAFCO 400 '!$L$9*J1604+'CAFCO 400 '!$L$10)*U1604^2)+(('CAFCO 400 '!$L$11*(J1604^3)+'CAFCO 400 '!$L$12*(J1604^2)+'CAFCO 400 '!$L$13*J1604+'CAFCO 400 '!$L$14)*U1604)+('CAFCO 400 '!$L$15*LN(J1604)+'CAFCO 400 '!$L$16)),0)+IF(AND(L1604="Cafco 400",M1604="Software Idiem",C1604="L"),((('CAFCO 400 '!$L$7*(J1604^3)+'CAFCO 400 '!$L$8*(J1604^2)+'CAFCO 400 '!$L$9*J1604+'CAFCO 400 '!$L$10)*U1604^2)+(('CAFCO 400 '!$L$11*(J1604^3)+'CAFCO 400 '!$L$12*(J1604^2)+'CAFCO 400 '!$L$13*J1604+'CAFCO 400 '!$L$14)*U1604)+('CAFCO 400 '!$L$15*LN(J1604)+'CAFCO 400 '!$L$16)),0)+IF(AND(L1604="Cafco 400",M1604="Software Idiem",C1604="IN",G1604=3),((('CAFCO 400 '!$D$23*(J1604^2)+'CAFCO 400 '!$D$24*(J1604)+'CAFCO 400 '!$D$25)*U1604^2)+(('CAFCO 400 '!$D$26*(J1604^2)+'CAFCO 400 '!$D$27*J1604+'CAFCO 400 '!$D$28)*U1604)+('CAFCO 400 '!$D$29*(J1604^2)+'CAFCO 400 '!$D$30*J1604+'CAFCO 400 '!$D$31)),0),0)+IF(AND(L1604="Cafco 300",J1604&gt;=95,J1604&lt;=240,C1604="Cj",I1604=90),VLOOKUP(T1604,'CAFCO 300 IDIEM TABLAS'!$B$4:$D$23,2,FALSE),0)+IF(AND(L1604="Cafco 300",J1604&gt;=95,J1604&lt;=240,C1604="Cj",I1604=120),VLOOKUP(T1604,'CAFCO 300 IDIEM TABLAS'!$B$4:$D$23,3,FALSE),0)+IF(AND(L1604="Cafco 300",J1604&gt;=95,J1604&lt;=400,G1604=3,C1604="IN",I1604=90),VLOOKUP(T1604,'CAFCO 300 IDIEM TABLAS'!$F$4:$H$35,2,FALSE),0)+IF(AND(L1604="Cafco 300",J1604&gt;=95,J1604&lt;=400,G1604=3,C1604="IN",I1604=120),VLOOKUP(T1604,'CAFCO 300 IDIEM TABLAS'!$F$4:$H$35,3,FALSE),0)+IF(AND(L1604="Cafco 300",J1604&gt;=95,J1604&lt;=450,G1604=4,C1604="IN",I1604=90),VLOOKUP(T1604,'CAFCO 300 IDIEM TABLAS'!$J$4:$L$40,2,FALSE),0)+IF(AND(L1604="Cafco 300",J1604&gt;=95,J1604&lt;=450,G1604=4,C1604="IN",I1604=120),VLOOKUP(T1604,'CAFCO 300 IDIEM TABLAS'!$J$4:$L$40,3,FALSE),0)+IF(AND(M1604="Ensayo Idiem",L1604="Cafco 400",C1604="IN",G1604=4,I1604=90),VLOOKUP(T1604,'CAFCO 400 ENSAYO'!$B$7:$D$43,2,FALSE),0)+IF(AND(M1604="Ensayo Idiem",L1604="Cafco 400",C1604="IN",G1604=4,I1604=120),VLOOKUP(T1604,'CAFCO 400 ENSAYO'!$B$7:$D$43,3,FALSE),0)</f>
        <v>0</v>
      </c>
      <c r="O1604" s="96">
        <f t="shared" si="156"/>
        <v>0</v>
      </c>
      <c r="P1604" s="95" t="str">
        <f t="shared" si="157"/>
        <v>N/A</v>
      </c>
      <c r="Q1604" s="95" t="str">
        <f t="shared" si="158"/>
        <v>N/A</v>
      </c>
      <c r="R1604" s="95" t="str">
        <f t="shared" si="159"/>
        <v>NO CERT.</v>
      </c>
      <c r="S1604" s="95" t="e">
        <f t="shared" si="160"/>
        <v>#N/A</v>
      </c>
      <c r="T1604" s="119" t="e">
        <f>+IF(J1604=LOOKUP(J1604,'CAFCO 300 IDIEM TABLAS'!$J$4:$J$40),'CALCULO MORTERO'!J1604,MROUND('CALCULO MORTERO'!J1604,10))</f>
        <v>#N/A</v>
      </c>
      <c r="U1604" s="118">
        <f t="shared" si="161"/>
        <v>0</v>
      </c>
    </row>
    <row r="1605" spans="1:21" x14ac:dyDescent="0.25">
      <c r="A1605" s="118">
        <f>+CUBICACION!D1599</f>
        <v>0</v>
      </c>
      <c r="B1605" s="819">
        <f>+CUBICACION!E1599</f>
        <v>0</v>
      </c>
      <c r="C1605" s="675">
        <f>+CUBICACION!F1599</f>
        <v>0</v>
      </c>
      <c r="D1605" s="118"/>
      <c r="E1605" s="118"/>
      <c r="F1605" s="820"/>
      <c r="G1605" s="675">
        <f>+CUBICACION!J1599</f>
        <v>0</v>
      </c>
      <c r="H1605" s="118"/>
      <c r="I1605" s="821">
        <f>+CUBICACION!L1599</f>
        <v>0</v>
      </c>
      <c r="J1605" s="64">
        <f>+CUBICACION!M1599</f>
        <v>0</v>
      </c>
      <c r="K1605" s="822" t="str">
        <f>+CUBICACION!N1599</f>
        <v/>
      </c>
      <c r="L1605" s="118">
        <f>+CUBICACION!O1599</f>
        <v>0</v>
      </c>
      <c r="M1605" s="823">
        <f>+CUBICACION!P1599</f>
        <v>0</v>
      </c>
      <c r="N1605" s="902">
        <f>ROUND(IF(AND(L1605="Blaze Shield II",M1605="Software Idiem",C1605="IN",G1605=4),((('BLAZE SHIELD II'!$D$4*('CALCULO MORTERO'!I1605^2)+'BLAZE SHIELD II'!$D$5*'CALCULO MORTERO'!I1605+'BLAZE SHIELD II'!$D$6)*LN(J1605))+('BLAZE SHIELD II'!$D$7*('CALCULO MORTERO'!I1605^2)+'BLAZE SHIELD II'!$D$8*'CALCULO MORTERO'!I1605+'BLAZE SHIELD II'!$D$9)),0)+IF(AND(L1605="Blaze Shield II",M1605="Software Idiem",C1605="Cj"),((('BLAZE SHIELD II'!$H$4*('CALCULO MORTERO'!I1605^2)+'BLAZE SHIELD II'!$H$5*'CALCULO MORTERO'!I1605+'BLAZE SHIELD II'!$H$6)*LN(J1605))+('BLAZE SHIELD II'!$H$7*('CALCULO MORTERO'!I1605^2)+'BLAZE SHIELD II'!$H$8*'CALCULO MORTERO'!I1605+'BLAZE SHIELD II'!$H$9)),0)+IF(AND(L1605="Blaze Shield II",M1605="Software Idiem",C1605="C"),((('BLAZE SHIELD II'!$L$4*('CALCULO MORTERO'!I1605^2)+'BLAZE SHIELD II'!$L$5*'CALCULO MORTERO'!I1605+'BLAZE SHIELD II'!$L$6)*LN(J1605))+('BLAZE SHIELD II'!$L$7*('CALCULO MORTERO'!I1605^2)+'BLAZE SHIELD II'!$L$8*'CALCULO MORTERO'!I1605+'BLAZE SHIELD II'!$L$9)),0)+IF(AND(L1605="Blaze Shield II",M1605="Software Idiem",C1605="L"),((('BLAZE SHIELD II'!$L$4*('CALCULO MORTERO'!I1605^2)+'BLAZE SHIELD II'!$L$5*'CALCULO MORTERO'!I1605+'BLAZE SHIELD II'!$L$6)*LN(J1605))+('BLAZE SHIELD II'!$L$7*('CALCULO MORTERO'!I1605^2)+'BLAZE SHIELD II'!$L$8*'CALCULO MORTERO'!I1605+'BLAZE SHIELD II'!$L$9)),0)+IF(AND(L1605="Blaze Shield II",M1605="Software Idiem",C1605="IN",G1605=3),((('BLAZE SHIELD II'!$H$14*('CALCULO MORTERO'!I1605^2)+'BLAZE SHIELD II'!$H$15*'CALCULO MORTERO'!I1605+'BLAZE SHIELD II'!$H$16)*LN(J1605))+('BLAZE SHIELD II'!$H$17*('CALCULO MORTERO'!I1605^2)+'BLAZE SHIELD II'!$H$18*'CALCULO MORTERO'!I1605+'BLAZE SHIELD II'!$H$19)),0),0)+ROUND(IF(AND(L1605="Cafco 400",M1605="Software Idiem",C1605="IN",G1605=4),((('CAFCO 400 '!$H$7*(J1605^4)+'CAFCO 400 '!$H$8*(J1605^3)+'CAFCO 400 '!$H$9*(J1605^2)+'CAFCO 400 '!$H$10*J1605+'CAFCO 400 '!$H$11)*U1605^2)+(('CAFCO 400 '!$H$12*(J1605^3)+'CAFCO 400 '!$H$13*(J1605^2)+'CAFCO 400 '!$H$14*J1605+'CAFCO 400 '!$H$15)*U1605)+('CAFCO 400 '!$H$16*(J1605^2)+'CAFCO 400 '!$H$17*J1605+'CAFCO 400 '!$H$18)),0)+IF(AND(L1605="Cafco 400",M1605="Software Idiem",C1605="Cj"),(((('CAFCO 400 '!$D$7*LN(J1605)+'CAFCO 400 '!$D$8)*U1605^2)+(('CAFCO 400 '!$D$9*LN(J1605)+'CAFCO 400 '!$D$10)*U1605)+('CAFCO 400 '!$D$11*LN(J1605)+'CAFCO 400 '!$D$12))),0)+IF(AND(L1605="Cafco 400",M1605="Software Idiem",C1605="C"),((('CAFCO 400 '!$L$7*(J1605^3)+'CAFCO 400 '!$L$8*(J1605^2)+'CAFCO 400 '!$L$9*J1605+'CAFCO 400 '!$L$10)*U1605^2)+(('CAFCO 400 '!$L$11*(J1605^3)+'CAFCO 400 '!$L$12*(J1605^2)+'CAFCO 400 '!$L$13*J1605+'CAFCO 400 '!$L$14)*U1605)+('CAFCO 400 '!$L$15*LN(J1605)+'CAFCO 400 '!$L$16)),0)+IF(AND(L1605="Cafco 400",M1605="Software Idiem",C1605="L"),((('CAFCO 400 '!$L$7*(J1605^3)+'CAFCO 400 '!$L$8*(J1605^2)+'CAFCO 400 '!$L$9*J1605+'CAFCO 400 '!$L$10)*U1605^2)+(('CAFCO 400 '!$L$11*(J1605^3)+'CAFCO 400 '!$L$12*(J1605^2)+'CAFCO 400 '!$L$13*J1605+'CAFCO 400 '!$L$14)*U1605)+('CAFCO 400 '!$L$15*LN(J1605)+'CAFCO 400 '!$L$16)),0)+IF(AND(L1605="Cafco 400",M1605="Software Idiem",C1605="IN",G1605=3),((('CAFCO 400 '!$D$23*(J1605^2)+'CAFCO 400 '!$D$24*(J1605)+'CAFCO 400 '!$D$25)*U1605^2)+(('CAFCO 400 '!$D$26*(J1605^2)+'CAFCO 400 '!$D$27*J1605+'CAFCO 400 '!$D$28)*U1605)+('CAFCO 400 '!$D$29*(J1605^2)+'CAFCO 400 '!$D$30*J1605+'CAFCO 400 '!$D$31)),0),0)+IF(AND(L1605="Cafco 300",J1605&gt;=95,J1605&lt;=240,C1605="Cj",I1605=90),VLOOKUP(T1605,'CAFCO 300 IDIEM TABLAS'!$B$4:$D$23,2,FALSE),0)+IF(AND(L1605="Cafco 300",J1605&gt;=95,J1605&lt;=240,C1605="Cj",I1605=120),VLOOKUP(T1605,'CAFCO 300 IDIEM TABLAS'!$B$4:$D$23,3,FALSE),0)+IF(AND(L1605="Cafco 300",J1605&gt;=95,J1605&lt;=400,G1605=3,C1605="IN",I1605=90),VLOOKUP(T1605,'CAFCO 300 IDIEM TABLAS'!$F$4:$H$35,2,FALSE),0)+IF(AND(L1605="Cafco 300",J1605&gt;=95,J1605&lt;=400,G1605=3,C1605="IN",I1605=120),VLOOKUP(T1605,'CAFCO 300 IDIEM TABLAS'!$F$4:$H$35,3,FALSE),0)+IF(AND(L1605="Cafco 300",J1605&gt;=95,J1605&lt;=450,G1605=4,C1605="IN",I1605=90),VLOOKUP(T1605,'CAFCO 300 IDIEM TABLAS'!$J$4:$L$40,2,FALSE),0)+IF(AND(L1605="Cafco 300",J1605&gt;=95,J1605&lt;=450,G1605=4,C1605="IN",I1605=120),VLOOKUP(T1605,'CAFCO 300 IDIEM TABLAS'!$J$4:$L$40,3,FALSE),0)+IF(AND(M1605="Ensayo Idiem",L1605="Cafco 400",C1605="IN",G1605=4,I1605=90),VLOOKUP(T1605,'CAFCO 400 ENSAYO'!$B$7:$D$43,2,FALSE),0)+IF(AND(M1605="Ensayo Idiem",L1605="Cafco 400",C1605="IN",G1605=4,I1605=120),VLOOKUP(T1605,'CAFCO 400 ENSAYO'!$B$7:$D$43,3,FALSE),0)</f>
        <v>0</v>
      </c>
      <c r="O1605" s="96">
        <f t="shared" si="156"/>
        <v>0</v>
      </c>
      <c r="P1605" s="132" t="str">
        <f t="shared" si="157"/>
        <v>N/A</v>
      </c>
      <c r="Q1605" s="132" t="str">
        <f t="shared" si="158"/>
        <v>N/A</v>
      </c>
      <c r="R1605" s="132" t="str">
        <f t="shared" si="159"/>
        <v>NO CERT.</v>
      </c>
      <c r="S1605" s="132" t="e">
        <f t="shared" si="160"/>
        <v>#N/A</v>
      </c>
      <c r="T1605" s="133" t="e">
        <f>+IF(J1605=LOOKUP(J1605,'CAFCO 300 IDIEM TABLAS'!$J$4:$J$40),'CALCULO MORTERO'!J1605,MROUND('CALCULO MORTERO'!J1605,10))</f>
        <v>#N/A</v>
      </c>
      <c r="U1605" s="134">
        <f t="shared" si="161"/>
        <v>0</v>
      </c>
    </row>
    <row r="1606" spans="1:21" x14ac:dyDescent="0.25">
      <c r="A1606" s="118">
        <f>+CUBICACION!D1600</f>
        <v>0</v>
      </c>
      <c r="B1606" s="819">
        <f>+CUBICACION!E1600</f>
        <v>0</v>
      </c>
      <c r="C1606" s="675">
        <f>+CUBICACION!F1600</f>
        <v>0</v>
      </c>
      <c r="D1606" s="118"/>
      <c r="E1606" s="118"/>
      <c r="F1606" s="820"/>
      <c r="G1606" s="675">
        <f>+CUBICACION!J1600</f>
        <v>0</v>
      </c>
      <c r="H1606" s="118"/>
      <c r="I1606" s="821">
        <f>+CUBICACION!L1600</f>
        <v>0</v>
      </c>
      <c r="J1606" s="64">
        <f>+CUBICACION!M1600</f>
        <v>0</v>
      </c>
      <c r="K1606" s="822" t="str">
        <f>+CUBICACION!N1600</f>
        <v/>
      </c>
      <c r="L1606" s="118">
        <f>+CUBICACION!O1600</f>
        <v>0</v>
      </c>
      <c r="M1606" s="823">
        <f>+CUBICACION!P1600</f>
        <v>0</v>
      </c>
      <c r="N1606" s="902">
        <f>ROUND(IF(AND(L1606="Blaze Shield II",M1606="Software Idiem",C1606="IN",G1606=4),((('BLAZE SHIELD II'!$D$4*('CALCULO MORTERO'!I1606^2)+'BLAZE SHIELD II'!$D$5*'CALCULO MORTERO'!I1606+'BLAZE SHIELD II'!$D$6)*LN(J1606))+('BLAZE SHIELD II'!$D$7*('CALCULO MORTERO'!I1606^2)+'BLAZE SHIELD II'!$D$8*'CALCULO MORTERO'!I1606+'BLAZE SHIELD II'!$D$9)),0)+IF(AND(L1606="Blaze Shield II",M1606="Software Idiem",C1606="Cj"),((('BLAZE SHIELD II'!$H$4*('CALCULO MORTERO'!I1606^2)+'BLAZE SHIELD II'!$H$5*'CALCULO MORTERO'!I1606+'BLAZE SHIELD II'!$H$6)*LN(J1606))+('BLAZE SHIELD II'!$H$7*('CALCULO MORTERO'!I1606^2)+'BLAZE SHIELD II'!$H$8*'CALCULO MORTERO'!I1606+'BLAZE SHIELD II'!$H$9)),0)+IF(AND(L1606="Blaze Shield II",M1606="Software Idiem",C1606="C"),((('BLAZE SHIELD II'!$L$4*('CALCULO MORTERO'!I1606^2)+'BLAZE SHIELD II'!$L$5*'CALCULO MORTERO'!I1606+'BLAZE SHIELD II'!$L$6)*LN(J1606))+('BLAZE SHIELD II'!$L$7*('CALCULO MORTERO'!I1606^2)+'BLAZE SHIELD II'!$L$8*'CALCULO MORTERO'!I1606+'BLAZE SHIELD II'!$L$9)),0)+IF(AND(L1606="Blaze Shield II",M1606="Software Idiem",C1606="L"),((('BLAZE SHIELD II'!$L$4*('CALCULO MORTERO'!I1606^2)+'BLAZE SHIELD II'!$L$5*'CALCULO MORTERO'!I1606+'BLAZE SHIELD II'!$L$6)*LN(J1606))+('BLAZE SHIELD II'!$L$7*('CALCULO MORTERO'!I1606^2)+'BLAZE SHIELD II'!$L$8*'CALCULO MORTERO'!I1606+'BLAZE SHIELD II'!$L$9)),0)+IF(AND(L1606="Blaze Shield II",M1606="Software Idiem",C1606="IN",G1606=3),((('BLAZE SHIELD II'!$H$14*('CALCULO MORTERO'!I1606^2)+'BLAZE SHIELD II'!$H$15*'CALCULO MORTERO'!I1606+'BLAZE SHIELD II'!$H$16)*LN(J1606))+('BLAZE SHIELD II'!$H$17*('CALCULO MORTERO'!I1606^2)+'BLAZE SHIELD II'!$H$18*'CALCULO MORTERO'!I1606+'BLAZE SHIELD II'!$H$19)),0),0)+ROUND(IF(AND(L1606="Cafco 400",M1606="Software Idiem",C1606="IN",G1606=4),((('CAFCO 400 '!$H$7*(J1606^4)+'CAFCO 400 '!$H$8*(J1606^3)+'CAFCO 400 '!$H$9*(J1606^2)+'CAFCO 400 '!$H$10*J1606+'CAFCO 400 '!$H$11)*U1606^2)+(('CAFCO 400 '!$H$12*(J1606^3)+'CAFCO 400 '!$H$13*(J1606^2)+'CAFCO 400 '!$H$14*J1606+'CAFCO 400 '!$H$15)*U1606)+('CAFCO 400 '!$H$16*(J1606^2)+'CAFCO 400 '!$H$17*J1606+'CAFCO 400 '!$H$18)),0)+IF(AND(L1606="Cafco 400",M1606="Software Idiem",C1606="Cj"),(((('CAFCO 400 '!$D$7*LN(J1606)+'CAFCO 400 '!$D$8)*U1606^2)+(('CAFCO 400 '!$D$9*LN(J1606)+'CAFCO 400 '!$D$10)*U1606)+('CAFCO 400 '!$D$11*LN(J1606)+'CAFCO 400 '!$D$12))),0)+IF(AND(L1606="Cafco 400",M1606="Software Idiem",C1606="C"),((('CAFCO 400 '!$L$7*(J1606^3)+'CAFCO 400 '!$L$8*(J1606^2)+'CAFCO 400 '!$L$9*J1606+'CAFCO 400 '!$L$10)*U1606^2)+(('CAFCO 400 '!$L$11*(J1606^3)+'CAFCO 400 '!$L$12*(J1606^2)+'CAFCO 400 '!$L$13*J1606+'CAFCO 400 '!$L$14)*U1606)+('CAFCO 400 '!$L$15*LN(J1606)+'CAFCO 400 '!$L$16)),0)+IF(AND(L1606="Cafco 400",M1606="Software Idiem",C1606="L"),((('CAFCO 400 '!$L$7*(J1606^3)+'CAFCO 400 '!$L$8*(J1606^2)+'CAFCO 400 '!$L$9*J1606+'CAFCO 400 '!$L$10)*U1606^2)+(('CAFCO 400 '!$L$11*(J1606^3)+'CAFCO 400 '!$L$12*(J1606^2)+'CAFCO 400 '!$L$13*J1606+'CAFCO 400 '!$L$14)*U1606)+('CAFCO 400 '!$L$15*LN(J1606)+'CAFCO 400 '!$L$16)),0)+IF(AND(L1606="Cafco 400",M1606="Software Idiem",C1606="IN",G1606=3),((('CAFCO 400 '!$D$23*(J1606^2)+'CAFCO 400 '!$D$24*(J1606)+'CAFCO 400 '!$D$25)*U1606^2)+(('CAFCO 400 '!$D$26*(J1606^2)+'CAFCO 400 '!$D$27*J1606+'CAFCO 400 '!$D$28)*U1606)+('CAFCO 400 '!$D$29*(J1606^2)+'CAFCO 400 '!$D$30*J1606+'CAFCO 400 '!$D$31)),0),0)+IF(AND(L1606="Cafco 300",J1606&gt;=95,J1606&lt;=240,C1606="Cj",I1606=90),VLOOKUP(T1606,'CAFCO 300 IDIEM TABLAS'!$B$4:$D$23,2,FALSE),0)+IF(AND(L1606="Cafco 300",J1606&gt;=95,J1606&lt;=240,C1606="Cj",I1606=120),VLOOKUP(T1606,'CAFCO 300 IDIEM TABLAS'!$B$4:$D$23,3,FALSE),0)+IF(AND(L1606="Cafco 300",J1606&gt;=95,J1606&lt;=400,G1606=3,C1606="IN",I1606=90),VLOOKUP(T1606,'CAFCO 300 IDIEM TABLAS'!$F$4:$H$35,2,FALSE),0)+IF(AND(L1606="Cafco 300",J1606&gt;=95,J1606&lt;=400,G1606=3,C1606="IN",I1606=120),VLOOKUP(T1606,'CAFCO 300 IDIEM TABLAS'!$F$4:$H$35,3,FALSE),0)+IF(AND(L1606="Cafco 300",J1606&gt;=95,J1606&lt;=450,G1606=4,C1606="IN",I1606=90),VLOOKUP(T1606,'CAFCO 300 IDIEM TABLAS'!$J$4:$L$40,2,FALSE),0)+IF(AND(L1606="Cafco 300",J1606&gt;=95,J1606&lt;=450,G1606=4,C1606="IN",I1606=120),VLOOKUP(T1606,'CAFCO 300 IDIEM TABLAS'!$J$4:$L$40,3,FALSE),0)+IF(AND(M1606="Ensayo Idiem",L1606="Cafco 400",C1606="IN",G1606=4,I1606=90),VLOOKUP(T1606,'CAFCO 400 ENSAYO'!$B$7:$D$43,2,FALSE),0)+IF(AND(M1606="Ensayo Idiem",L1606="Cafco 400",C1606="IN",G1606=4,I1606=120),VLOOKUP(T1606,'CAFCO 400 ENSAYO'!$B$7:$D$43,3,FALSE),0)</f>
        <v>0</v>
      </c>
      <c r="O1606" s="96">
        <f t="shared" si="156"/>
        <v>0</v>
      </c>
      <c r="P1606" s="95" t="str">
        <f t="shared" si="157"/>
        <v>N/A</v>
      </c>
      <c r="Q1606" s="95" t="str">
        <f t="shared" si="158"/>
        <v>N/A</v>
      </c>
      <c r="R1606" s="95" t="str">
        <f t="shared" si="159"/>
        <v>NO CERT.</v>
      </c>
      <c r="S1606" s="95" t="e">
        <f t="shared" si="160"/>
        <v>#N/A</v>
      </c>
      <c r="T1606" s="119" t="e">
        <f>+IF(J1606=LOOKUP(J1606,'CAFCO 300 IDIEM TABLAS'!$J$4:$J$40),'CALCULO MORTERO'!J1606,MROUND('CALCULO MORTERO'!J1606,10))</f>
        <v>#N/A</v>
      </c>
      <c r="U1606" s="118">
        <f t="shared" si="161"/>
        <v>0</v>
      </c>
    </row>
    <row r="1607" spans="1:21" x14ac:dyDescent="0.25">
      <c r="A1607" s="118">
        <f>+CUBICACION!D1601</f>
        <v>0</v>
      </c>
      <c r="B1607" s="819">
        <f>+CUBICACION!E1601</f>
        <v>0</v>
      </c>
      <c r="C1607" s="675">
        <f>+CUBICACION!F1601</f>
        <v>0</v>
      </c>
      <c r="D1607" s="118"/>
      <c r="E1607" s="118"/>
      <c r="F1607" s="820"/>
      <c r="G1607" s="675">
        <f>+CUBICACION!J1601</f>
        <v>0</v>
      </c>
      <c r="H1607" s="118"/>
      <c r="I1607" s="821">
        <f>+CUBICACION!L1601</f>
        <v>0</v>
      </c>
      <c r="J1607" s="64">
        <f>+CUBICACION!M1601</f>
        <v>0</v>
      </c>
      <c r="K1607" s="822" t="str">
        <f>+CUBICACION!N1601</f>
        <v/>
      </c>
      <c r="L1607" s="118">
        <f>+CUBICACION!O1601</f>
        <v>0</v>
      </c>
      <c r="M1607" s="823">
        <f>+CUBICACION!P1601</f>
        <v>0</v>
      </c>
      <c r="N1607" s="902">
        <f>ROUND(IF(AND(L1607="Blaze Shield II",M1607="Software Idiem",C1607="IN",G1607=4),((('BLAZE SHIELD II'!$D$4*('CALCULO MORTERO'!I1607^2)+'BLAZE SHIELD II'!$D$5*'CALCULO MORTERO'!I1607+'BLAZE SHIELD II'!$D$6)*LN(J1607))+('BLAZE SHIELD II'!$D$7*('CALCULO MORTERO'!I1607^2)+'BLAZE SHIELD II'!$D$8*'CALCULO MORTERO'!I1607+'BLAZE SHIELD II'!$D$9)),0)+IF(AND(L1607="Blaze Shield II",M1607="Software Idiem",C1607="Cj"),((('BLAZE SHIELD II'!$H$4*('CALCULO MORTERO'!I1607^2)+'BLAZE SHIELD II'!$H$5*'CALCULO MORTERO'!I1607+'BLAZE SHIELD II'!$H$6)*LN(J1607))+('BLAZE SHIELD II'!$H$7*('CALCULO MORTERO'!I1607^2)+'BLAZE SHIELD II'!$H$8*'CALCULO MORTERO'!I1607+'BLAZE SHIELD II'!$H$9)),0)+IF(AND(L1607="Blaze Shield II",M1607="Software Idiem",C1607="C"),((('BLAZE SHIELD II'!$L$4*('CALCULO MORTERO'!I1607^2)+'BLAZE SHIELD II'!$L$5*'CALCULO MORTERO'!I1607+'BLAZE SHIELD II'!$L$6)*LN(J1607))+('BLAZE SHIELD II'!$L$7*('CALCULO MORTERO'!I1607^2)+'BLAZE SHIELD II'!$L$8*'CALCULO MORTERO'!I1607+'BLAZE SHIELD II'!$L$9)),0)+IF(AND(L1607="Blaze Shield II",M1607="Software Idiem",C1607="L"),((('BLAZE SHIELD II'!$L$4*('CALCULO MORTERO'!I1607^2)+'BLAZE SHIELD II'!$L$5*'CALCULO MORTERO'!I1607+'BLAZE SHIELD II'!$L$6)*LN(J1607))+('BLAZE SHIELD II'!$L$7*('CALCULO MORTERO'!I1607^2)+'BLAZE SHIELD II'!$L$8*'CALCULO MORTERO'!I1607+'BLAZE SHIELD II'!$L$9)),0)+IF(AND(L1607="Blaze Shield II",M1607="Software Idiem",C1607="IN",G1607=3),((('BLAZE SHIELD II'!$H$14*('CALCULO MORTERO'!I1607^2)+'BLAZE SHIELD II'!$H$15*'CALCULO MORTERO'!I1607+'BLAZE SHIELD II'!$H$16)*LN(J1607))+('BLAZE SHIELD II'!$H$17*('CALCULO MORTERO'!I1607^2)+'BLAZE SHIELD II'!$H$18*'CALCULO MORTERO'!I1607+'BLAZE SHIELD II'!$H$19)),0),0)+ROUND(IF(AND(L1607="Cafco 400",M1607="Software Idiem",C1607="IN",G1607=4),((('CAFCO 400 '!$H$7*(J1607^4)+'CAFCO 400 '!$H$8*(J1607^3)+'CAFCO 400 '!$H$9*(J1607^2)+'CAFCO 400 '!$H$10*J1607+'CAFCO 400 '!$H$11)*U1607^2)+(('CAFCO 400 '!$H$12*(J1607^3)+'CAFCO 400 '!$H$13*(J1607^2)+'CAFCO 400 '!$H$14*J1607+'CAFCO 400 '!$H$15)*U1607)+('CAFCO 400 '!$H$16*(J1607^2)+'CAFCO 400 '!$H$17*J1607+'CAFCO 400 '!$H$18)),0)+IF(AND(L1607="Cafco 400",M1607="Software Idiem",C1607="Cj"),(((('CAFCO 400 '!$D$7*LN(J1607)+'CAFCO 400 '!$D$8)*U1607^2)+(('CAFCO 400 '!$D$9*LN(J1607)+'CAFCO 400 '!$D$10)*U1607)+('CAFCO 400 '!$D$11*LN(J1607)+'CAFCO 400 '!$D$12))),0)+IF(AND(L1607="Cafco 400",M1607="Software Idiem",C1607="C"),((('CAFCO 400 '!$L$7*(J1607^3)+'CAFCO 400 '!$L$8*(J1607^2)+'CAFCO 400 '!$L$9*J1607+'CAFCO 400 '!$L$10)*U1607^2)+(('CAFCO 400 '!$L$11*(J1607^3)+'CAFCO 400 '!$L$12*(J1607^2)+'CAFCO 400 '!$L$13*J1607+'CAFCO 400 '!$L$14)*U1607)+('CAFCO 400 '!$L$15*LN(J1607)+'CAFCO 400 '!$L$16)),0)+IF(AND(L1607="Cafco 400",M1607="Software Idiem",C1607="L"),((('CAFCO 400 '!$L$7*(J1607^3)+'CAFCO 400 '!$L$8*(J1607^2)+'CAFCO 400 '!$L$9*J1607+'CAFCO 400 '!$L$10)*U1607^2)+(('CAFCO 400 '!$L$11*(J1607^3)+'CAFCO 400 '!$L$12*(J1607^2)+'CAFCO 400 '!$L$13*J1607+'CAFCO 400 '!$L$14)*U1607)+('CAFCO 400 '!$L$15*LN(J1607)+'CAFCO 400 '!$L$16)),0)+IF(AND(L1607="Cafco 400",M1607="Software Idiem",C1607="IN",G1607=3),((('CAFCO 400 '!$D$23*(J1607^2)+'CAFCO 400 '!$D$24*(J1607)+'CAFCO 400 '!$D$25)*U1607^2)+(('CAFCO 400 '!$D$26*(J1607^2)+'CAFCO 400 '!$D$27*J1607+'CAFCO 400 '!$D$28)*U1607)+('CAFCO 400 '!$D$29*(J1607^2)+'CAFCO 400 '!$D$30*J1607+'CAFCO 400 '!$D$31)),0),0)+IF(AND(L1607="Cafco 300",J1607&gt;=95,J1607&lt;=240,C1607="Cj",I1607=90),VLOOKUP(T1607,'CAFCO 300 IDIEM TABLAS'!$B$4:$D$23,2,FALSE),0)+IF(AND(L1607="Cafco 300",J1607&gt;=95,J1607&lt;=240,C1607="Cj",I1607=120),VLOOKUP(T1607,'CAFCO 300 IDIEM TABLAS'!$B$4:$D$23,3,FALSE),0)+IF(AND(L1607="Cafco 300",J1607&gt;=95,J1607&lt;=400,G1607=3,C1607="IN",I1607=90),VLOOKUP(T1607,'CAFCO 300 IDIEM TABLAS'!$F$4:$H$35,2,FALSE),0)+IF(AND(L1607="Cafco 300",J1607&gt;=95,J1607&lt;=400,G1607=3,C1607="IN",I1607=120),VLOOKUP(T1607,'CAFCO 300 IDIEM TABLAS'!$F$4:$H$35,3,FALSE),0)+IF(AND(L1607="Cafco 300",J1607&gt;=95,J1607&lt;=450,G1607=4,C1607="IN",I1607=90),VLOOKUP(T1607,'CAFCO 300 IDIEM TABLAS'!$J$4:$L$40,2,FALSE),0)+IF(AND(L1607="Cafco 300",J1607&gt;=95,J1607&lt;=450,G1607=4,C1607="IN",I1607=120),VLOOKUP(T1607,'CAFCO 300 IDIEM TABLAS'!$J$4:$L$40,3,FALSE),0)+IF(AND(M1607="Ensayo Idiem",L1607="Cafco 400",C1607="IN",G1607=4,I1607=90),VLOOKUP(T1607,'CAFCO 400 ENSAYO'!$B$7:$D$43,2,FALSE),0)+IF(AND(M1607="Ensayo Idiem",L1607="Cafco 400",C1607="IN",G1607=4,I1607=120),VLOOKUP(T1607,'CAFCO 400 ENSAYO'!$B$7:$D$43,3,FALSE),0)</f>
        <v>0</v>
      </c>
      <c r="O1607" s="96">
        <f t="shared" si="156"/>
        <v>0</v>
      </c>
      <c r="P1607" s="132" t="str">
        <f t="shared" si="157"/>
        <v>N/A</v>
      </c>
      <c r="Q1607" s="132" t="str">
        <f t="shared" si="158"/>
        <v>N/A</v>
      </c>
      <c r="R1607" s="132" t="str">
        <f t="shared" si="159"/>
        <v>NO CERT.</v>
      </c>
      <c r="S1607" s="132" t="e">
        <f t="shared" si="160"/>
        <v>#N/A</v>
      </c>
      <c r="T1607" s="133" t="e">
        <f>+IF(J1607=LOOKUP(J1607,'CAFCO 300 IDIEM TABLAS'!$J$4:$J$40),'CALCULO MORTERO'!J1607,MROUND('CALCULO MORTERO'!J1607,10))</f>
        <v>#N/A</v>
      </c>
      <c r="U1607" s="134">
        <f t="shared" si="161"/>
        <v>0</v>
      </c>
    </row>
    <row r="1608" spans="1:21" x14ac:dyDescent="0.25">
      <c r="A1608" s="118">
        <f>+CUBICACION!D1602</f>
        <v>0</v>
      </c>
      <c r="B1608" s="819">
        <f>+CUBICACION!E1602</f>
        <v>0</v>
      </c>
      <c r="C1608" s="675">
        <f>+CUBICACION!F1602</f>
        <v>0</v>
      </c>
      <c r="D1608" s="118"/>
      <c r="E1608" s="118"/>
      <c r="F1608" s="820"/>
      <c r="G1608" s="675">
        <f>+CUBICACION!J1602</f>
        <v>0</v>
      </c>
      <c r="H1608" s="118"/>
      <c r="I1608" s="821">
        <f>+CUBICACION!L1602</f>
        <v>0</v>
      </c>
      <c r="J1608" s="64">
        <f>+CUBICACION!M1602</f>
        <v>0</v>
      </c>
      <c r="K1608" s="822" t="str">
        <f>+CUBICACION!N1602</f>
        <v/>
      </c>
      <c r="L1608" s="118">
        <f>+CUBICACION!O1602</f>
        <v>0</v>
      </c>
      <c r="M1608" s="823">
        <f>+CUBICACION!P1602</f>
        <v>0</v>
      </c>
      <c r="N1608" s="902">
        <f>ROUND(IF(AND(L1608="Blaze Shield II",M1608="Software Idiem",C1608="IN",G1608=4),((('BLAZE SHIELD II'!$D$4*('CALCULO MORTERO'!I1608^2)+'BLAZE SHIELD II'!$D$5*'CALCULO MORTERO'!I1608+'BLAZE SHIELD II'!$D$6)*LN(J1608))+('BLAZE SHIELD II'!$D$7*('CALCULO MORTERO'!I1608^2)+'BLAZE SHIELD II'!$D$8*'CALCULO MORTERO'!I1608+'BLAZE SHIELD II'!$D$9)),0)+IF(AND(L1608="Blaze Shield II",M1608="Software Idiem",C1608="Cj"),((('BLAZE SHIELD II'!$H$4*('CALCULO MORTERO'!I1608^2)+'BLAZE SHIELD II'!$H$5*'CALCULO MORTERO'!I1608+'BLAZE SHIELD II'!$H$6)*LN(J1608))+('BLAZE SHIELD II'!$H$7*('CALCULO MORTERO'!I1608^2)+'BLAZE SHIELD II'!$H$8*'CALCULO MORTERO'!I1608+'BLAZE SHIELD II'!$H$9)),0)+IF(AND(L1608="Blaze Shield II",M1608="Software Idiem",C1608="C"),((('BLAZE SHIELD II'!$L$4*('CALCULO MORTERO'!I1608^2)+'BLAZE SHIELD II'!$L$5*'CALCULO MORTERO'!I1608+'BLAZE SHIELD II'!$L$6)*LN(J1608))+('BLAZE SHIELD II'!$L$7*('CALCULO MORTERO'!I1608^2)+'BLAZE SHIELD II'!$L$8*'CALCULO MORTERO'!I1608+'BLAZE SHIELD II'!$L$9)),0)+IF(AND(L1608="Blaze Shield II",M1608="Software Idiem",C1608="L"),((('BLAZE SHIELD II'!$L$4*('CALCULO MORTERO'!I1608^2)+'BLAZE SHIELD II'!$L$5*'CALCULO MORTERO'!I1608+'BLAZE SHIELD II'!$L$6)*LN(J1608))+('BLAZE SHIELD II'!$L$7*('CALCULO MORTERO'!I1608^2)+'BLAZE SHIELD II'!$L$8*'CALCULO MORTERO'!I1608+'BLAZE SHIELD II'!$L$9)),0)+IF(AND(L1608="Blaze Shield II",M1608="Software Idiem",C1608="IN",G1608=3),((('BLAZE SHIELD II'!$H$14*('CALCULO MORTERO'!I1608^2)+'BLAZE SHIELD II'!$H$15*'CALCULO MORTERO'!I1608+'BLAZE SHIELD II'!$H$16)*LN(J1608))+('BLAZE SHIELD II'!$H$17*('CALCULO MORTERO'!I1608^2)+'BLAZE SHIELD II'!$H$18*'CALCULO MORTERO'!I1608+'BLAZE SHIELD II'!$H$19)),0),0)+ROUND(IF(AND(L1608="Cafco 400",M1608="Software Idiem",C1608="IN",G1608=4),((('CAFCO 400 '!$H$7*(J1608^4)+'CAFCO 400 '!$H$8*(J1608^3)+'CAFCO 400 '!$H$9*(J1608^2)+'CAFCO 400 '!$H$10*J1608+'CAFCO 400 '!$H$11)*U1608^2)+(('CAFCO 400 '!$H$12*(J1608^3)+'CAFCO 400 '!$H$13*(J1608^2)+'CAFCO 400 '!$H$14*J1608+'CAFCO 400 '!$H$15)*U1608)+('CAFCO 400 '!$H$16*(J1608^2)+'CAFCO 400 '!$H$17*J1608+'CAFCO 400 '!$H$18)),0)+IF(AND(L1608="Cafco 400",M1608="Software Idiem",C1608="Cj"),(((('CAFCO 400 '!$D$7*LN(J1608)+'CAFCO 400 '!$D$8)*U1608^2)+(('CAFCO 400 '!$D$9*LN(J1608)+'CAFCO 400 '!$D$10)*U1608)+('CAFCO 400 '!$D$11*LN(J1608)+'CAFCO 400 '!$D$12))),0)+IF(AND(L1608="Cafco 400",M1608="Software Idiem",C1608="C"),((('CAFCO 400 '!$L$7*(J1608^3)+'CAFCO 400 '!$L$8*(J1608^2)+'CAFCO 400 '!$L$9*J1608+'CAFCO 400 '!$L$10)*U1608^2)+(('CAFCO 400 '!$L$11*(J1608^3)+'CAFCO 400 '!$L$12*(J1608^2)+'CAFCO 400 '!$L$13*J1608+'CAFCO 400 '!$L$14)*U1608)+('CAFCO 400 '!$L$15*LN(J1608)+'CAFCO 400 '!$L$16)),0)+IF(AND(L1608="Cafco 400",M1608="Software Idiem",C1608="L"),((('CAFCO 400 '!$L$7*(J1608^3)+'CAFCO 400 '!$L$8*(J1608^2)+'CAFCO 400 '!$L$9*J1608+'CAFCO 400 '!$L$10)*U1608^2)+(('CAFCO 400 '!$L$11*(J1608^3)+'CAFCO 400 '!$L$12*(J1608^2)+'CAFCO 400 '!$L$13*J1608+'CAFCO 400 '!$L$14)*U1608)+('CAFCO 400 '!$L$15*LN(J1608)+'CAFCO 400 '!$L$16)),0)+IF(AND(L1608="Cafco 400",M1608="Software Idiem",C1608="IN",G1608=3),((('CAFCO 400 '!$D$23*(J1608^2)+'CAFCO 400 '!$D$24*(J1608)+'CAFCO 400 '!$D$25)*U1608^2)+(('CAFCO 400 '!$D$26*(J1608^2)+'CAFCO 400 '!$D$27*J1608+'CAFCO 400 '!$D$28)*U1608)+('CAFCO 400 '!$D$29*(J1608^2)+'CAFCO 400 '!$D$30*J1608+'CAFCO 400 '!$D$31)),0),0)+IF(AND(L1608="Cafco 300",J1608&gt;=95,J1608&lt;=240,C1608="Cj",I1608=90),VLOOKUP(T1608,'CAFCO 300 IDIEM TABLAS'!$B$4:$D$23,2,FALSE),0)+IF(AND(L1608="Cafco 300",J1608&gt;=95,J1608&lt;=240,C1608="Cj",I1608=120),VLOOKUP(T1608,'CAFCO 300 IDIEM TABLAS'!$B$4:$D$23,3,FALSE),0)+IF(AND(L1608="Cafco 300",J1608&gt;=95,J1608&lt;=400,G1608=3,C1608="IN",I1608=90),VLOOKUP(T1608,'CAFCO 300 IDIEM TABLAS'!$F$4:$H$35,2,FALSE),0)+IF(AND(L1608="Cafco 300",J1608&gt;=95,J1608&lt;=400,G1608=3,C1608="IN",I1608=120),VLOOKUP(T1608,'CAFCO 300 IDIEM TABLAS'!$F$4:$H$35,3,FALSE),0)+IF(AND(L1608="Cafco 300",J1608&gt;=95,J1608&lt;=450,G1608=4,C1608="IN",I1608=90),VLOOKUP(T1608,'CAFCO 300 IDIEM TABLAS'!$J$4:$L$40,2,FALSE),0)+IF(AND(L1608="Cafco 300",J1608&gt;=95,J1608&lt;=450,G1608=4,C1608="IN",I1608=120),VLOOKUP(T1608,'CAFCO 300 IDIEM TABLAS'!$J$4:$L$40,3,FALSE),0)+IF(AND(M1608="Ensayo Idiem",L1608="Cafco 400",C1608="IN",G1608=4,I1608=90),VLOOKUP(T1608,'CAFCO 400 ENSAYO'!$B$7:$D$43,2,FALSE),0)+IF(AND(M1608="Ensayo Idiem",L1608="Cafco 400",C1608="IN",G1608=4,I1608=120),VLOOKUP(T1608,'CAFCO 400 ENSAYO'!$B$7:$D$43,3,FALSE),0)</f>
        <v>0</v>
      </c>
      <c r="O1608" s="96">
        <f t="shared" si="156"/>
        <v>0</v>
      </c>
      <c r="P1608" s="95" t="str">
        <f t="shared" si="157"/>
        <v>N/A</v>
      </c>
      <c r="Q1608" s="95" t="str">
        <f t="shared" si="158"/>
        <v>N/A</v>
      </c>
      <c r="R1608" s="95" t="str">
        <f t="shared" si="159"/>
        <v>NO CERT.</v>
      </c>
      <c r="S1608" s="95" t="e">
        <f t="shared" si="160"/>
        <v>#N/A</v>
      </c>
      <c r="T1608" s="119" t="e">
        <f>+IF(J1608=LOOKUP(J1608,'CAFCO 300 IDIEM TABLAS'!$J$4:$J$40),'CALCULO MORTERO'!J1608,MROUND('CALCULO MORTERO'!J1608,10))</f>
        <v>#N/A</v>
      </c>
      <c r="U1608" s="118">
        <f t="shared" si="161"/>
        <v>0</v>
      </c>
    </row>
    <row r="1609" spans="1:21" x14ac:dyDescent="0.25">
      <c r="A1609" s="118">
        <f>+CUBICACION!D1603</f>
        <v>0</v>
      </c>
      <c r="B1609" s="819">
        <f>+CUBICACION!E1603</f>
        <v>0</v>
      </c>
      <c r="C1609" s="675">
        <f>+CUBICACION!F1603</f>
        <v>0</v>
      </c>
      <c r="D1609" s="118"/>
      <c r="E1609" s="118"/>
      <c r="F1609" s="820"/>
      <c r="G1609" s="675">
        <f>+CUBICACION!J1603</f>
        <v>0</v>
      </c>
      <c r="H1609" s="118"/>
      <c r="I1609" s="821">
        <f>+CUBICACION!L1603</f>
        <v>0</v>
      </c>
      <c r="J1609" s="64">
        <f>+CUBICACION!M1603</f>
        <v>0</v>
      </c>
      <c r="K1609" s="822" t="str">
        <f>+CUBICACION!N1603</f>
        <v/>
      </c>
      <c r="L1609" s="118">
        <f>+CUBICACION!O1603</f>
        <v>0</v>
      </c>
      <c r="M1609" s="823">
        <f>+CUBICACION!P1603</f>
        <v>0</v>
      </c>
      <c r="N1609" s="902">
        <f>ROUND(IF(AND(L1609="Blaze Shield II",M1609="Software Idiem",C1609="IN",G1609=4),((('BLAZE SHIELD II'!$D$4*('CALCULO MORTERO'!I1609^2)+'BLAZE SHIELD II'!$D$5*'CALCULO MORTERO'!I1609+'BLAZE SHIELD II'!$D$6)*LN(J1609))+('BLAZE SHIELD II'!$D$7*('CALCULO MORTERO'!I1609^2)+'BLAZE SHIELD II'!$D$8*'CALCULO MORTERO'!I1609+'BLAZE SHIELD II'!$D$9)),0)+IF(AND(L1609="Blaze Shield II",M1609="Software Idiem",C1609="Cj"),((('BLAZE SHIELD II'!$H$4*('CALCULO MORTERO'!I1609^2)+'BLAZE SHIELD II'!$H$5*'CALCULO MORTERO'!I1609+'BLAZE SHIELD II'!$H$6)*LN(J1609))+('BLAZE SHIELD II'!$H$7*('CALCULO MORTERO'!I1609^2)+'BLAZE SHIELD II'!$H$8*'CALCULO MORTERO'!I1609+'BLAZE SHIELD II'!$H$9)),0)+IF(AND(L1609="Blaze Shield II",M1609="Software Idiem",C1609="C"),((('BLAZE SHIELD II'!$L$4*('CALCULO MORTERO'!I1609^2)+'BLAZE SHIELD II'!$L$5*'CALCULO MORTERO'!I1609+'BLAZE SHIELD II'!$L$6)*LN(J1609))+('BLAZE SHIELD II'!$L$7*('CALCULO MORTERO'!I1609^2)+'BLAZE SHIELD II'!$L$8*'CALCULO MORTERO'!I1609+'BLAZE SHIELD II'!$L$9)),0)+IF(AND(L1609="Blaze Shield II",M1609="Software Idiem",C1609="L"),((('BLAZE SHIELD II'!$L$4*('CALCULO MORTERO'!I1609^2)+'BLAZE SHIELD II'!$L$5*'CALCULO MORTERO'!I1609+'BLAZE SHIELD II'!$L$6)*LN(J1609))+('BLAZE SHIELD II'!$L$7*('CALCULO MORTERO'!I1609^2)+'BLAZE SHIELD II'!$L$8*'CALCULO MORTERO'!I1609+'BLAZE SHIELD II'!$L$9)),0)+IF(AND(L1609="Blaze Shield II",M1609="Software Idiem",C1609="IN",G1609=3),((('BLAZE SHIELD II'!$H$14*('CALCULO MORTERO'!I1609^2)+'BLAZE SHIELD II'!$H$15*'CALCULO MORTERO'!I1609+'BLAZE SHIELD II'!$H$16)*LN(J1609))+('BLAZE SHIELD II'!$H$17*('CALCULO MORTERO'!I1609^2)+'BLAZE SHIELD II'!$H$18*'CALCULO MORTERO'!I1609+'BLAZE SHIELD II'!$H$19)),0),0)+ROUND(IF(AND(L1609="Cafco 400",M1609="Software Idiem",C1609="IN",G1609=4),((('CAFCO 400 '!$H$7*(J1609^4)+'CAFCO 400 '!$H$8*(J1609^3)+'CAFCO 400 '!$H$9*(J1609^2)+'CAFCO 400 '!$H$10*J1609+'CAFCO 400 '!$H$11)*U1609^2)+(('CAFCO 400 '!$H$12*(J1609^3)+'CAFCO 400 '!$H$13*(J1609^2)+'CAFCO 400 '!$H$14*J1609+'CAFCO 400 '!$H$15)*U1609)+('CAFCO 400 '!$H$16*(J1609^2)+'CAFCO 400 '!$H$17*J1609+'CAFCO 400 '!$H$18)),0)+IF(AND(L1609="Cafco 400",M1609="Software Idiem",C1609="Cj"),(((('CAFCO 400 '!$D$7*LN(J1609)+'CAFCO 400 '!$D$8)*U1609^2)+(('CAFCO 400 '!$D$9*LN(J1609)+'CAFCO 400 '!$D$10)*U1609)+('CAFCO 400 '!$D$11*LN(J1609)+'CAFCO 400 '!$D$12))),0)+IF(AND(L1609="Cafco 400",M1609="Software Idiem",C1609="C"),((('CAFCO 400 '!$L$7*(J1609^3)+'CAFCO 400 '!$L$8*(J1609^2)+'CAFCO 400 '!$L$9*J1609+'CAFCO 400 '!$L$10)*U1609^2)+(('CAFCO 400 '!$L$11*(J1609^3)+'CAFCO 400 '!$L$12*(J1609^2)+'CAFCO 400 '!$L$13*J1609+'CAFCO 400 '!$L$14)*U1609)+('CAFCO 400 '!$L$15*LN(J1609)+'CAFCO 400 '!$L$16)),0)+IF(AND(L1609="Cafco 400",M1609="Software Idiem",C1609="L"),((('CAFCO 400 '!$L$7*(J1609^3)+'CAFCO 400 '!$L$8*(J1609^2)+'CAFCO 400 '!$L$9*J1609+'CAFCO 400 '!$L$10)*U1609^2)+(('CAFCO 400 '!$L$11*(J1609^3)+'CAFCO 400 '!$L$12*(J1609^2)+'CAFCO 400 '!$L$13*J1609+'CAFCO 400 '!$L$14)*U1609)+('CAFCO 400 '!$L$15*LN(J1609)+'CAFCO 400 '!$L$16)),0)+IF(AND(L1609="Cafco 400",M1609="Software Idiem",C1609="IN",G1609=3),((('CAFCO 400 '!$D$23*(J1609^2)+'CAFCO 400 '!$D$24*(J1609)+'CAFCO 400 '!$D$25)*U1609^2)+(('CAFCO 400 '!$D$26*(J1609^2)+'CAFCO 400 '!$D$27*J1609+'CAFCO 400 '!$D$28)*U1609)+('CAFCO 400 '!$D$29*(J1609^2)+'CAFCO 400 '!$D$30*J1609+'CAFCO 400 '!$D$31)),0),0)+IF(AND(L1609="Cafco 300",J1609&gt;=95,J1609&lt;=240,C1609="Cj",I1609=90),VLOOKUP(T1609,'CAFCO 300 IDIEM TABLAS'!$B$4:$D$23,2,FALSE),0)+IF(AND(L1609="Cafco 300",J1609&gt;=95,J1609&lt;=240,C1609="Cj",I1609=120),VLOOKUP(T1609,'CAFCO 300 IDIEM TABLAS'!$B$4:$D$23,3,FALSE),0)+IF(AND(L1609="Cafco 300",J1609&gt;=95,J1609&lt;=400,G1609=3,C1609="IN",I1609=90),VLOOKUP(T1609,'CAFCO 300 IDIEM TABLAS'!$F$4:$H$35,2,FALSE),0)+IF(AND(L1609="Cafco 300",J1609&gt;=95,J1609&lt;=400,G1609=3,C1609="IN",I1609=120),VLOOKUP(T1609,'CAFCO 300 IDIEM TABLAS'!$F$4:$H$35,3,FALSE),0)+IF(AND(L1609="Cafco 300",J1609&gt;=95,J1609&lt;=450,G1609=4,C1609="IN",I1609=90),VLOOKUP(T1609,'CAFCO 300 IDIEM TABLAS'!$J$4:$L$40,2,FALSE),0)+IF(AND(L1609="Cafco 300",J1609&gt;=95,J1609&lt;=450,G1609=4,C1609="IN",I1609=120),VLOOKUP(T1609,'CAFCO 300 IDIEM TABLAS'!$J$4:$L$40,3,FALSE),0)+IF(AND(M1609="Ensayo Idiem",L1609="Cafco 400",C1609="IN",G1609=4,I1609=90),VLOOKUP(T1609,'CAFCO 400 ENSAYO'!$B$7:$D$43,2,FALSE),0)+IF(AND(M1609="Ensayo Idiem",L1609="Cafco 400",C1609="IN",G1609=4,I1609=120),VLOOKUP(T1609,'CAFCO 400 ENSAYO'!$B$7:$D$43,3,FALSE),0)</f>
        <v>0</v>
      </c>
      <c r="O1609" s="96">
        <f t="shared" si="156"/>
        <v>0</v>
      </c>
      <c r="P1609" s="132" t="str">
        <f t="shared" si="157"/>
        <v>N/A</v>
      </c>
      <c r="Q1609" s="132" t="str">
        <f t="shared" si="158"/>
        <v>N/A</v>
      </c>
      <c r="R1609" s="132" t="str">
        <f t="shared" si="159"/>
        <v>NO CERT.</v>
      </c>
      <c r="S1609" s="132" t="e">
        <f t="shared" si="160"/>
        <v>#N/A</v>
      </c>
      <c r="T1609" s="133" t="e">
        <f>+IF(J1609=LOOKUP(J1609,'CAFCO 300 IDIEM TABLAS'!$J$4:$J$40),'CALCULO MORTERO'!J1609,MROUND('CALCULO MORTERO'!J1609,10))</f>
        <v>#N/A</v>
      </c>
      <c r="U1609" s="134">
        <f t="shared" si="161"/>
        <v>0</v>
      </c>
    </row>
    <row r="1610" spans="1:21" x14ac:dyDescent="0.25">
      <c r="A1610" s="118">
        <f>+CUBICACION!D1604</f>
        <v>0</v>
      </c>
      <c r="B1610" s="819">
        <f>+CUBICACION!E1604</f>
        <v>0</v>
      </c>
      <c r="C1610" s="675">
        <f>+CUBICACION!F1604</f>
        <v>0</v>
      </c>
      <c r="D1610" s="118"/>
      <c r="E1610" s="118"/>
      <c r="F1610" s="820"/>
      <c r="G1610" s="675">
        <f>+CUBICACION!J1604</f>
        <v>0</v>
      </c>
      <c r="H1610" s="118"/>
      <c r="I1610" s="821">
        <f>+CUBICACION!L1604</f>
        <v>0</v>
      </c>
      <c r="J1610" s="64">
        <f>+CUBICACION!M1604</f>
        <v>0</v>
      </c>
      <c r="K1610" s="822" t="str">
        <f>+CUBICACION!N1604</f>
        <v/>
      </c>
      <c r="L1610" s="118">
        <f>+CUBICACION!O1604</f>
        <v>0</v>
      </c>
      <c r="M1610" s="823">
        <f>+CUBICACION!P1604</f>
        <v>0</v>
      </c>
      <c r="N1610" s="902">
        <f>ROUND(IF(AND(L1610="Blaze Shield II",M1610="Software Idiem",C1610="IN",G1610=4),((('BLAZE SHIELD II'!$D$4*('CALCULO MORTERO'!I1610^2)+'BLAZE SHIELD II'!$D$5*'CALCULO MORTERO'!I1610+'BLAZE SHIELD II'!$D$6)*LN(J1610))+('BLAZE SHIELD II'!$D$7*('CALCULO MORTERO'!I1610^2)+'BLAZE SHIELD II'!$D$8*'CALCULO MORTERO'!I1610+'BLAZE SHIELD II'!$D$9)),0)+IF(AND(L1610="Blaze Shield II",M1610="Software Idiem",C1610="Cj"),((('BLAZE SHIELD II'!$H$4*('CALCULO MORTERO'!I1610^2)+'BLAZE SHIELD II'!$H$5*'CALCULO MORTERO'!I1610+'BLAZE SHIELD II'!$H$6)*LN(J1610))+('BLAZE SHIELD II'!$H$7*('CALCULO MORTERO'!I1610^2)+'BLAZE SHIELD II'!$H$8*'CALCULO MORTERO'!I1610+'BLAZE SHIELD II'!$H$9)),0)+IF(AND(L1610="Blaze Shield II",M1610="Software Idiem",C1610="C"),((('BLAZE SHIELD II'!$L$4*('CALCULO MORTERO'!I1610^2)+'BLAZE SHIELD II'!$L$5*'CALCULO MORTERO'!I1610+'BLAZE SHIELD II'!$L$6)*LN(J1610))+('BLAZE SHIELD II'!$L$7*('CALCULO MORTERO'!I1610^2)+'BLAZE SHIELD II'!$L$8*'CALCULO MORTERO'!I1610+'BLAZE SHIELD II'!$L$9)),0)+IF(AND(L1610="Blaze Shield II",M1610="Software Idiem",C1610="L"),((('BLAZE SHIELD II'!$L$4*('CALCULO MORTERO'!I1610^2)+'BLAZE SHIELD II'!$L$5*'CALCULO MORTERO'!I1610+'BLAZE SHIELD II'!$L$6)*LN(J1610))+('BLAZE SHIELD II'!$L$7*('CALCULO MORTERO'!I1610^2)+'BLAZE SHIELD II'!$L$8*'CALCULO MORTERO'!I1610+'BLAZE SHIELD II'!$L$9)),0)+IF(AND(L1610="Blaze Shield II",M1610="Software Idiem",C1610="IN",G1610=3),((('BLAZE SHIELD II'!$H$14*('CALCULO MORTERO'!I1610^2)+'BLAZE SHIELD II'!$H$15*'CALCULO MORTERO'!I1610+'BLAZE SHIELD II'!$H$16)*LN(J1610))+('BLAZE SHIELD II'!$H$17*('CALCULO MORTERO'!I1610^2)+'BLAZE SHIELD II'!$H$18*'CALCULO MORTERO'!I1610+'BLAZE SHIELD II'!$H$19)),0),0)+ROUND(IF(AND(L1610="Cafco 400",M1610="Software Idiem",C1610="IN",G1610=4),((('CAFCO 400 '!$H$7*(J1610^4)+'CAFCO 400 '!$H$8*(J1610^3)+'CAFCO 400 '!$H$9*(J1610^2)+'CAFCO 400 '!$H$10*J1610+'CAFCO 400 '!$H$11)*U1610^2)+(('CAFCO 400 '!$H$12*(J1610^3)+'CAFCO 400 '!$H$13*(J1610^2)+'CAFCO 400 '!$H$14*J1610+'CAFCO 400 '!$H$15)*U1610)+('CAFCO 400 '!$H$16*(J1610^2)+'CAFCO 400 '!$H$17*J1610+'CAFCO 400 '!$H$18)),0)+IF(AND(L1610="Cafco 400",M1610="Software Idiem",C1610="Cj"),(((('CAFCO 400 '!$D$7*LN(J1610)+'CAFCO 400 '!$D$8)*U1610^2)+(('CAFCO 400 '!$D$9*LN(J1610)+'CAFCO 400 '!$D$10)*U1610)+('CAFCO 400 '!$D$11*LN(J1610)+'CAFCO 400 '!$D$12))),0)+IF(AND(L1610="Cafco 400",M1610="Software Idiem",C1610="C"),((('CAFCO 400 '!$L$7*(J1610^3)+'CAFCO 400 '!$L$8*(J1610^2)+'CAFCO 400 '!$L$9*J1610+'CAFCO 400 '!$L$10)*U1610^2)+(('CAFCO 400 '!$L$11*(J1610^3)+'CAFCO 400 '!$L$12*(J1610^2)+'CAFCO 400 '!$L$13*J1610+'CAFCO 400 '!$L$14)*U1610)+('CAFCO 400 '!$L$15*LN(J1610)+'CAFCO 400 '!$L$16)),0)+IF(AND(L1610="Cafco 400",M1610="Software Idiem",C1610="L"),((('CAFCO 400 '!$L$7*(J1610^3)+'CAFCO 400 '!$L$8*(J1610^2)+'CAFCO 400 '!$L$9*J1610+'CAFCO 400 '!$L$10)*U1610^2)+(('CAFCO 400 '!$L$11*(J1610^3)+'CAFCO 400 '!$L$12*(J1610^2)+'CAFCO 400 '!$L$13*J1610+'CAFCO 400 '!$L$14)*U1610)+('CAFCO 400 '!$L$15*LN(J1610)+'CAFCO 400 '!$L$16)),0)+IF(AND(L1610="Cafco 400",M1610="Software Idiem",C1610="IN",G1610=3),((('CAFCO 400 '!$D$23*(J1610^2)+'CAFCO 400 '!$D$24*(J1610)+'CAFCO 400 '!$D$25)*U1610^2)+(('CAFCO 400 '!$D$26*(J1610^2)+'CAFCO 400 '!$D$27*J1610+'CAFCO 400 '!$D$28)*U1610)+('CAFCO 400 '!$D$29*(J1610^2)+'CAFCO 400 '!$D$30*J1610+'CAFCO 400 '!$D$31)),0),0)+IF(AND(L1610="Cafco 300",J1610&gt;=95,J1610&lt;=240,C1610="Cj",I1610=90),VLOOKUP(T1610,'CAFCO 300 IDIEM TABLAS'!$B$4:$D$23,2,FALSE),0)+IF(AND(L1610="Cafco 300",J1610&gt;=95,J1610&lt;=240,C1610="Cj",I1610=120),VLOOKUP(T1610,'CAFCO 300 IDIEM TABLAS'!$B$4:$D$23,3,FALSE),0)+IF(AND(L1610="Cafco 300",J1610&gt;=95,J1610&lt;=400,G1610=3,C1610="IN",I1610=90),VLOOKUP(T1610,'CAFCO 300 IDIEM TABLAS'!$F$4:$H$35,2,FALSE),0)+IF(AND(L1610="Cafco 300",J1610&gt;=95,J1610&lt;=400,G1610=3,C1610="IN",I1610=120),VLOOKUP(T1610,'CAFCO 300 IDIEM TABLAS'!$F$4:$H$35,3,FALSE),0)+IF(AND(L1610="Cafco 300",J1610&gt;=95,J1610&lt;=450,G1610=4,C1610="IN",I1610=90),VLOOKUP(T1610,'CAFCO 300 IDIEM TABLAS'!$J$4:$L$40,2,FALSE),0)+IF(AND(L1610="Cafco 300",J1610&gt;=95,J1610&lt;=450,G1610=4,C1610="IN",I1610=120),VLOOKUP(T1610,'CAFCO 300 IDIEM TABLAS'!$J$4:$L$40,3,FALSE),0)+IF(AND(M1610="Ensayo Idiem",L1610="Cafco 400",C1610="IN",G1610=4,I1610=90),VLOOKUP(T1610,'CAFCO 400 ENSAYO'!$B$7:$D$43,2,FALSE),0)+IF(AND(M1610="Ensayo Idiem",L1610="Cafco 400",C1610="IN",G1610=4,I1610=120),VLOOKUP(T1610,'CAFCO 400 ENSAYO'!$B$7:$D$43,3,FALSE),0)</f>
        <v>0</v>
      </c>
      <c r="O1610" s="96">
        <f t="shared" si="156"/>
        <v>0</v>
      </c>
      <c r="P1610" s="95" t="str">
        <f t="shared" si="157"/>
        <v>N/A</v>
      </c>
      <c r="Q1610" s="95" t="str">
        <f t="shared" si="158"/>
        <v>N/A</v>
      </c>
      <c r="R1610" s="95" t="str">
        <f t="shared" si="159"/>
        <v>NO CERT.</v>
      </c>
      <c r="S1610" s="95" t="e">
        <f t="shared" si="160"/>
        <v>#N/A</v>
      </c>
      <c r="T1610" s="119" t="e">
        <f>+IF(J1610=LOOKUP(J1610,'CAFCO 300 IDIEM TABLAS'!$J$4:$J$40),'CALCULO MORTERO'!J1610,MROUND('CALCULO MORTERO'!J1610,10))</f>
        <v>#N/A</v>
      </c>
      <c r="U1610" s="118">
        <f t="shared" si="161"/>
        <v>0</v>
      </c>
    </row>
    <row r="1611" spans="1:21" x14ac:dyDescent="0.25">
      <c r="A1611" s="118">
        <f>+CUBICACION!D1605</f>
        <v>0</v>
      </c>
      <c r="B1611" s="819">
        <f>+CUBICACION!E1605</f>
        <v>0</v>
      </c>
      <c r="C1611" s="675">
        <f>+CUBICACION!F1605</f>
        <v>0</v>
      </c>
      <c r="D1611" s="118"/>
      <c r="E1611" s="118"/>
      <c r="F1611" s="820"/>
      <c r="G1611" s="675">
        <f>+CUBICACION!J1605</f>
        <v>0</v>
      </c>
      <c r="H1611" s="118"/>
      <c r="I1611" s="821">
        <f>+CUBICACION!L1605</f>
        <v>0</v>
      </c>
      <c r="J1611" s="64">
        <f>+CUBICACION!M1605</f>
        <v>0</v>
      </c>
      <c r="K1611" s="822" t="str">
        <f>+CUBICACION!N1605</f>
        <v/>
      </c>
      <c r="L1611" s="118">
        <f>+CUBICACION!O1605</f>
        <v>0</v>
      </c>
      <c r="M1611" s="823">
        <f>+CUBICACION!P1605</f>
        <v>0</v>
      </c>
      <c r="N1611" s="902">
        <f>ROUND(IF(AND(L1611="Blaze Shield II",M1611="Software Idiem",C1611="IN",G1611=4),((('BLAZE SHIELD II'!$D$4*('CALCULO MORTERO'!I1611^2)+'BLAZE SHIELD II'!$D$5*'CALCULO MORTERO'!I1611+'BLAZE SHIELD II'!$D$6)*LN(J1611))+('BLAZE SHIELD II'!$D$7*('CALCULO MORTERO'!I1611^2)+'BLAZE SHIELD II'!$D$8*'CALCULO MORTERO'!I1611+'BLAZE SHIELD II'!$D$9)),0)+IF(AND(L1611="Blaze Shield II",M1611="Software Idiem",C1611="Cj"),((('BLAZE SHIELD II'!$H$4*('CALCULO MORTERO'!I1611^2)+'BLAZE SHIELD II'!$H$5*'CALCULO MORTERO'!I1611+'BLAZE SHIELD II'!$H$6)*LN(J1611))+('BLAZE SHIELD II'!$H$7*('CALCULO MORTERO'!I1611^2)+'BLAZE SHIELD II'!$H$8*'CALCULO MORTERO'!I1611+'BLAZE SHIELD II'!$H$9)),0)+IF(AND(L1611="Blaze Shield II",M1611="Software Idiem",C1611="C"),((('BLAZE SHIELD II'!$L$4*('CALCULO MORTERO'!I1611^2)+'BLAZE SHIELD II'!$L$5*'CALCULO MORTERO'!I1611+'BLAZE SHIELD II'!$L$6)*LN(J1611))+('BLAZE SHIELD II'!$L$7*('CALCULO MORTERO'!I1611^2)+'BLAZE SHIELD II'!$L$8*'CALCULO MORTERO'!I1611+'BLAZE SHIELD II'!$L$9)),0)+IF(AND(L1611="Blaze Shield II",M1611="Software Idiem",C1611="L"),((('BLAZE SHIELD II'!$L$4*('CALCULO MORTERO'!I1611^2)+'BLAZE SHIELD II'!$L$5*'CALCULO MORTERO'!I1611+'BLAZE SHIELD II'!$L$6)*LN(J1611))+('BLAZE SHIELD II'!$L$7*('CALCULO MORTERO'!I1611^2)+'BLAZE SHIELD II'!$L$8*'CALCULO MORTERO'!I1611+'BLAZE SHIELD II'!$L$9)),0)+IF(AND(L1611="Blaze Shield II",M1611="Software Idiem",C1611="IN",G1611=3),((('BLAZE SHIELD II'!$H$14*('CALCULO MORTERO'!I1611^2)+'BLAZE SHIELD II'!$H$15*'CALCULO MORTERO'!I1611+'BLAZE SHIELD II'!$H$16)*LN(J1611))+('BLAZE SHIELD II'!$H$17*('CALCULO MORTERO'!I1611^2)+'BLAZE SHIELD II'!$H$18*'CALCULO MORTERO'!I1611+'BLAZE SHIELD II'!$H$19)),0),0)+ROUND(IF(AND(L1611="Cafco 400",M1611="Software Idiem",C1611="IN",G1611=4),((('CAFCO 400 '!$H$7*(J1611^4)+'CAFCO 400 '!$H$8*(J1611^3)+'CAFCO 400 '!$H$9*(J1611^2)+'CAFCO 400 '!$H$10*J1611+'CAFCO 400 '!$H$11)*U1611^2)+(('CAFCO 400 '!$H$12*(J1611^3)+'CAFCO 400 '!$H$13*(J1611^2)+'CAFCO 400 '!$H$14*J1611+'CAFCO 400 '!$H$15)*U1611)+('CAFCO 400 '!$H$16*(J1611^2)+'CAFCO 400 '!$H$17*J1611+'CAFCO 400 '!$H$18)),0)+IF(AND(L1611="Cafco 400",M1611="Software Idiem",C1611="Cj"),(((('CAFCO 400 '!$D$7*LN(J1611)+'CAFCO 400 '!$D$8)*U1611^2)+(('CAFCO 400 '!$D$9*LN(J1611)+'CAFCO 400 '!$D$10)*U1611)+('CAFCO 400 '!$D$11*LN(J1611)+'CAFCO 400 '!$D$12))),0)+IF(AND(L1611="Cafco 400",M1611="Software Idiem",C1611="C"),((('CAFCO 400 '!$L$7*(J1611^3)+'CAFCO 400 '!$L$8*(J1611^2)+'CAFCO 400 '!$L$9*J1611+'CAFCO 400 '!$L$10)*U1611^2)+(('CAFCO 400 '!$L$11*(J1611^3)+'CAFCO 400 '!$L$12*(J1611^2)+'CAFCO 400 '!$L$13*J1611+'CAFCO 400 '!$L$14)*U1611)+('CAFCO 400 '!$L$15*LN(J1611)+'CAFCO 400 '!$L$16)),0)+IF(AND(L1611="Cafco 400",M1611="Software Idiem",C1611="L"),((('CAFCO 400 '!$L$7*(J1611^3)+'CAFCO 400 '!$L$8*(J1611^2)+'CAFCO 400 '!$L$9*J1611+'CAFCO 400 '!$L$10)*U1611^2)+(('CAFCO 400 '!$L$11*(J1611^3)+'CAFCO 400 '!$L$12*(J1611^2)+'CAFCO 400 '!$L$13*J1611+'CAFCO 400 '!$L$14)*U1611)+('CAFCO 400 '!$L$15*LN(J1611)+'CAFCO 400 '!$L$16)),0)+IF(AND(L1611="Cafco 400",M1611="Software Idiem",C1611="IN",G1611=3),((('CAFCO 400 '!$D$23*(J1611^2)+'CAFCO 400 '!$D$24*(J1611)+'CAFCO 400 '!$D$25)*U1611^2)+(('CAFCO 400 '!$D$26*(J1611^2)+'CAFCO 400 '!$D$27*J1611+'CAFCO 400 '!$D$28)*U1611)+('CAFCO 400 '!$D$29*(J1611^2)+'CAFCO 400 '!$D$30*J1611+'CAFCO 400 '!$D$31)),0),0)+IF(AND(L1611="Cafco 300",J1611&gt;=95,J1611&lt;=240,C1611="Cj",I1611=90),VLOOKUP(T1611,'CAFCO 300 IDIEM TABLAS'!$B$4:$D$23,2,FALSE),0)+IF(AND(L1611="Cafco 300",J1611&gt;=95,J1611&lt;=240,C1611="Cj",I1611=120),VLOOKUP(T1611,'CAFCO 300 IDIEM TABLAS'!$B$4:$D$23,3,FALSE),0)+IF(AND(L1611="Cafco 300",J1611&gt;=95,J1611&lt;=400,G1611=3,C1611="IN",I1611=90),VLOOKUP(T1611,'CAFCO 300 IDIEM TABLAS'!$F$4:$H$35,2,FALSE),0)+IF(AND(L1611="Cafco 300",J1611&gt;=95,J1611&lt;=400,G1611=3,C1611="IN",I1611=120),VLOOKUP(T1611,'CAFCO 300 IDIEM TABLAS'!$F$4:$H$35,3,FALSE),0)+IF(AND(L1611="Cafco 300",J1611&gt;=95,J1611&lt;=450,G1611=4,C1611="IN",I1611=90),VLOOKUP(T1611,'CAFCO 300 IDIEM TABLAS'!$J$4:$L$40,2,FALSE),0)+IF(AND(L1611="Cafco 300",J1611&gt;=95,J1611&lt;=450,G1611=4,C1611="IN",I1611=120),VLOOKUP(T1611,'CAFCO 300 IDIEM TABLAS'!$J$4:$L$40,3,FALSE),0)+IF(AND(M1611="Ensayo Idiem",L1611="Cafco 400",C1611="IN",G1611=4,I1611=90),VLOOKUP(T1611,'CAFCO 400 ENSAYO'!$B$7:$D$43,2,FALSE),0)+IF(AND(M1611="Ensayo Idiem",L1611="Cafco 400",C1611="IN",G1611=4,I1611=120),VLOOKUP(T1611,'CAFCO 400 ENSAYO'!$B$7:$D$43,3,FALSE),0)</f>
        <v>0</v>
      </c>
      <c r="O1611" s="96">
        <f t="shared" ref="O1611:O1674" si="162">((IF(L1611="Blaze Shield II",((K1611*N1611*0.43)/38),IF(L1611="Cafco 400",((K1611*N1611*0.43)/23),IF(L1611="Cafco 300",((K1611*N1611*0.43)/31.16),0)))))</f>
        <v>0</v>
      </c>
      <c r="P1611" s="132" t="str">
        <f t="shared" si="157"/>
        <v>N/A</v>
      </c>
      <c r="Q1611" s="132" t="str">
        <f t="shared" si="158"/>
        <v>N/A</v>
      </c>
      <c r="R1611" s="132" t="str">
        <f t="shared" si="159"/>
        <v>NO CERT.</v>
      </c>
      <c r="S1611" s="132" t="e">
        <f t="shared" si="160"/>
        <v>#N/A</v>
      </c>
      <c r="T1611" s="133" t="e">
        <f>+IF(J1611=LOOKUP(J1611,'CAFCO 300 IDIEM TABLAS'!$J$4:$J$40),'CALCULO MORTERO'!J1611,MROUND('CALCULO MORTERO'!J1611,10))</f>
        <v>#N/A</v>
      </c>
      <c r="U1611" s="134">
        <f t="shared" si="161"/>
        <v>0</v>
      </c>
    </row>
    <row r="1612" spans="1:21" x14ac:dyDescent="0.25">
      <c r="A1612" s="118">
        <f>+CUBICACION!D1606</f>
        <v>0</v>
      </c>
      <c r="B1612" s="819">
        <f>+CUBICACION!E1606</f>
        <v>0</v>
      </c>
      <c r="C1612" s="675">
        <f>+CUBICACION!F1606</f>
        <v>0</v>
      </c>
      <c r="D1612" s="118"/>
      <c r="E1612" s="118"/>
      <c r="F1612" s="820"/>
      <c r="G1612" s="675">
        <f>+CUBICACION!J1606</f>
        <v>0</v>
      </c>
      <c r="H1612" s="118"/>
      <c r="I1612" s="821">
        <f>+CUBICACION!L1606</f>
        <v>0</v>
      </c>
      <c r="J1612" s="64">
        <f>+CUBICACION!M1606</f>
        <v>0</v>
      </c>
      <c r="K1612" s="822" t="str">
        <f>+CUBICACION!N1606</f>
        <v/>
      </c>
      <c r="L1612" s="118">
        <f>+CUBICACION!O1606</f>
        <v>0</v>
      </c>
      <c r="M1612" s="823">
        <f>+CUBICACION!P1606</f>
        <v>0</v>
      </c>
      <c r="N1612" s="902">
        <f>ROUND(IF(AND(L1612="Blaze Shield II",M1612="Software Idiem",C1612="IN",G1612=4),((('BLAZE SHIELD II'!$D$4*('CALCULO MORTERO'!I1612^2)+'BLAZE SHIELD II'!$D$5*'CALCULO MORTERO'!I1612+'BLAZE SHIELD II'!$D$6)*LN(J1612))+('BLAZE SHIELD II'!$D$7*('CALCULO MORTERO'!I1612^2)+'BLAZE SHIELD II'!$D$8*'CALCULO MORTERO'!I1612+'BLAZE SHIELD II'!$D$9)),0)+IF(AND(L1612="Blaze Shield II",M1612="Software Idiem",C1612="Cj"),((('BLAZE SHIELD II'!$H$4*('CALCULO MORTERO'!I1612^2)+'BLAZE SHIELD II'!$H$5*'CALCULO MORTERO'!I1612+'BLAZE SHIELD II'!$H$6)*LN(J1612))+('BLAZE SHIELD II'!$H$7*('CALCULO MORTERO'!I1612^2)+'BLAZE SHIELD II'!$H$8*'CALCULO MORTERO'!I1612+'BLAZE SHIELD II'!$H$9)),0)+IF(AND(L1612="Blaze Shield II",M1612="Software Idiem",C1612="C"),((('BLAZE SHIELD II'!$L$4*('CALCULO MORTERO'!I1612^2)+'BLAZE SHIELD II'!$L$5*'CALCULO MORTERO'!I1612+'BLAZE SHIELD II'!$L$6)*LN(J1612))+('BLAZE SHIELD II'!$L$7*('CALCULO MORTERO'!I1612^2)+'BLAZE SHIELD II'!$L$8*'CALCULO MORTERO'!I1612+'BLAZE SHIELD II'!$L$9)),0)+IF(AND(L1612="Blaze Shield II",M1612="Software Idiem",C1612="L"),((('BLAZE SHIELD II'!$L$4*('CALCULO MORTERO'!I1612^2)+'BLAZE SHIELD II'!$L$5*'CALCULO MORTERO'!I1612+'BLAZE SHIELD II'!$L$6)*LN(J1612))+('BLAZE SHIELD II'!$L$7*('CALCULO MORTERO'!I1612^2)+'BLAZE SHIELD II'!$L$8*'CALCULO MORTERO'!I1612+'BLAZE SHIELD II'!$L$9)),0)+IF(AND(L1612="Blaze Shield II",M1612="Software Idiem",C1612="IN",G1612=3),((('BLAZE SHIELD II'!$H$14*('CALCULO MORTERO'!I1612^2)+'BLAZE SHIELD II'!$H$15*'CALCULO MORTERO'!I1612+'BLAZE SHIELD II'!$H$16)*LN(J1612))+('BLAZE SHIELD II'!$H$17*('CALCULO MORTERO'!I1612^2)+'BLAZE SHIELD II'!$H$18*'CALCULO MORTERO'!I1612+'BLAZE SHIELD II'!$H$19)),0),0)+ROUND(IF(AND(L1612="Cafco 400",M1612="Software Idiem",C1612="IN",G1612=4),((('CAFCO 400 '!$H$7*(J1612^4)+'CAFCO 400 '!$H$8*(J1612^3)+'CAFCO 400 '!$H$9*(J1612^2)+'CAFCO 400 '!$H$10*J1612+'CAFCO 400 '!$H$11)*U1612^2)+(('CAFCO 400 '!$H$12*(J1612^3)+'CAFCO 400 '!$H$13*(J1612^2)+'CAFCO 400 '!$H$14*J1612+'CAFCO 400 '!$H$15)*U1612)+('CAFCO 400 '!$H$16*(J1612^2)+'CAFCO 400 '!$H$17*J1612+'CAFCO 400 '!$H$18)),0)+IF(AND(L1612="Cafco 400",M1612="Software Idiem",C1612="Cj"),(((('CAFCO 400 '!$D$7*LN(J1612)+'CAFCO 400 '!$D$8)*U1612^2)+(('CAFCO 400 '!$D$9*LN(J1612)+'CAFCO 400 '!$D$10)*U1612)+('CAFCO 400 '!$D$11*LN(J1612)+'CAFCO 400 '!$D$12))),0)+IF(AND(L1612="Cafco 400",M1612="Software Idiem",C1612="C"),((('CAFCO 400 '!$L$7*(J1612^3)+'CAFCO 400 '!$L$8*(J1612^2)+'CAFCO 400 '!$L$9*J1612+'CAFCO 400 '!$L$10)*U1612^2)+(('CAFCO 400 '!$L$11*(J1612^3)+'CAFCO 400 '!$L$12*(J1612^2)+'CAFCO 400 '!$L$13*J1612+'CAFCO 400 '!$L$14)*U1612)+('CAFCO 400 '!$L$15*LN(J1612)+'CAFCO 400 '!$L$16)),0)+IF(AND(L1612="Cafco 400",M1612="Software Idiem",C1612="L"),((('CAFCO 400 '!$L$7*(J1612^3)+'CAFCO 400 '!$L$8*(J1612^2)+'CAFCO 400 '!$L$9*J1612+'CAFCO 400 '!$L$10)*U1612^2)+(('CAFCO 400 '!$L$11*(J1612^3)+'CAFCO 400 '!$L$12*(J1612^2)+'CAFCO 400 '!$L$13*J1612+'CAFCO 400 '!$L$14)*U1612)+('CAFCO 400 '!$L$15*LN(J1612)+'CAFCO 400 '!$L$16)),0)+IF(AND(L1612="Cafco 400",M1612="Software Idiem",C1612="IN",G1612=3),((('CAFCO 400 '!$D$23*(J1612^2)+'CAFCO 400 '!$D$24*(J1612)+'CAFCO 400 '!$D$25)*U1612^2)+(('CAFCO 400 '!$D$26*(J1612^2)+'CAFCO 400 '!$D$27*J1612+'CAFCO 400 '!$D$28)*U1612)+('CAFCO 400 '!$D$29*(J1612^2)+'CAFCO 400 '!$D$30*J1612+'CAFCO 400 '!$D$31)),0),0)+IF(AND(L1612="Cafco 300",J1612&gt;=95,J1612&lt;=240,C1612="Cj",I1612=90),VLOOKUP(T1612,'CAFCO 300 IDIEM TABLAS'!$B$4:$D$23,2,FALSE),0)+IF(AND(L1612="Cafco 300",J1612&gt;=95,J1612&lt;=240,C1612="Cj",I1612=120),VLOOKUP(T1612,'CAFCO 300 IDIEM TABLAS'!$B$4:$D$23,3,FALSE),0)+IF(AND(L1612="Cafco 300",J1612&gt;=95,J1612&lt;=400,G1612=3,C1612="IN",I1612=90),VLOOKUP(T1612,'CAFCO 300 IDIEM TABLAS'!$F$4:$H$35,2,FALSE),0)+IF(AND(L1612="Cafco 300",J1612&gt;=95,J1612&lt;=400,G1612=3,C1612="IN",I1612=120),VLOOKUP(T1612,'CAFCO 300 IDIEM TABLAS'!$F$4:$H$35,3,FALSE),0)+IF(AND(L1612="Cafco 300",J1612&gt;=95,J1612&lt;=450,G1612=4,C1612="IN",I1612=90),VLOOKUP(T1612,'CAFCO 300 IDIEM TABLAS'!$J$4:$L$40,2,FALSE),0)+IF(AND(L1612="Cafco 300",J1612&gt;=95,J1612&lt;=450,G1612=4,C1612="IN",I1612=120),VLOOKUP(T1612,'CAFCO 300 IDIEM TABLAS'!$J$4:$L$40,3,FALSE),0)+IF(AND(M1612="Ensayo Idiem",L1612="Cafco 400",C1612="IN",G1612=4,I1612=90),VLOOKUP(T1612,'CAFCO 400 ENSAYO'!$B$7:$D$43,2,FALSE),0)+IF(AND(M1612="Ensayo Idiem",L1612="Cafco 400",C1612="IN",G1612=4,I1612=120),VLOOKUP(T1612,'CAFCO 400 ENSAYO'!$B$7:$D$43,3,FALSE),0)</f>
        <v>0</v>
      </c>
      <c r="O1612" s="96">
        <f t="shared" si="162"/>
        <v>0</v>
      </c>
      <c r="P1612" s="95" t="str">
        <f t="shared" si="157"/>
        <v>N/A</v>
      </c>
      <c r="Q1612" s="95" t="str">
        <f t="shared" si="158"/>
        <v>N/A</v>
      </c>
      <c r="R1612" s="95" t="str">
        <f t="shared" si="159"/>
        <v>NO CERT.</v>
      </c>
      <c r="S1612" s="95" t="e">
        <f t="shared" si="160"/>
        <v>#N/A</v>
      </c>
      <c r="T1612" s="119" t="e">
        <f>+IF(J1612=LOOKUP(J1612,'CAFCO 300 IDIEM TABLAS'!$J$4:$J$40),'CALCULO MORTERO'!J1612,MROUND('CALCULO MORTERO'!J1612,10))</f>
        <v>#N/A</v>
      </c>
      <c r="U1612" s="118">
        <f t="shared" si="161"/>
        <v>0</v>
      </c>
    </row>
    <row r="1613" spans="1:21" x14ac:dyDescent="0.25">
      <c r="A1613" s="118">
        <f>+CUBICACION!D1607</f>
        <v>0</v>
      </c>
      <c r="B1613" s="819">
        <f>+CUBICACION!E1607</f>
        <v>0</v>
      </c>
      <c r="C1613" s="675">
        <f>+CUBICACION!F1607</f>
        <v>0</v>
      </c>
      <c r="D1613" s="118"/>
      <c r="E1613" s="118"/>
      <c r="F1613" s="820"/>
      <c r="G1613" s="675">
        <f>+CUBICACION!J1607</f>
        <v>0</v>
      </c>
      <c r="H1613" s="118"/>
      <c r="I1613" s="821">
        <f>+CUBICACION!L1607</f>
        <v>0</v>
      </c>
      <c r="J1613" s="64">
        <f>+CUBICACION!M1607</f>
        <v>0</v>
      </c>
      <c r="K1613" s="822" t="str">
        <f>+CUBICACION!N1607</f>
        <v/>
      </c>
      <c r="L1613" s="118">
        <f>+CUBICACION!O1607</f>
        <v>0</v>
      </c>
      <c r="M1613" s="823">
        <f>+CUBICACION!P1607</f>
        <v>0</v>
      </c>
      <c r="N1613" s="902">
        <f>ROUND(IF(AND(L1613="Blaze Shield II",M1613="Software Idiem",C1613="IN",G1613=4),((('BLAZE SHIELD II'!$D$4*('CALCULO MORTERO'!I1613^2)+'BLAZE SHIELD II'!$D$5*'CALCULO MORTERO'!I1613+'BLAZE SHIELD II'!$D$6)*LN(J1613))+('BLAZE SHIELD II'!$D$7*('CALCULO MORTERO'!I1613^2)+'BLAZE SHIELD II'!$D$8*'CALCULO MORTERO'!I1613+'BLAZE SHIELD II'!$D$9)),0)+IF(AND(L1613="Blaze Shield II",M1613="Software Idiem",C1613="Cj"),((('BLAZE SHIELD II'!$H$4*('CALCULO MORTERO'!I1613^2)+'BLAZE SHIELD II'!$H$5*'CALCULO MORTERO'!I1613+'BLAZE SHIELD II'!$H$6)*LN(J1613))+('BLAZE SHIELD II'!$H$7*('CALCULO MORTERO'!I1613^2)+'BLAZE SHIELD II'!$H$8*'CALCULO MORTERO'!I1613+'BLAZE SHIELD II'!$H$9)),0)+IF(AND(L1613="Blaze Shield II",M1613="Software Idiem",C1613="C"),((('BLAZE SHIELD II'!$L$4*('CALCULO MORTERO'!I1613^2)+'BLAZE SHIELD II'!$L$5*'CALCULO MORTERO'!I1613+'BLAZE SHIELD II'!$L$6)*LN(J1613))+('BLAZE SHIELD II'!$L$7*('CALCULO MORTERO'!I1613^2)+'BLAZE SHIELD II'!$L$8*'CALCULO MORTERO'!I1613+'BLAZE SHIELD II'!$L$9)),0)+IF(AND(L1613="Blaze Shield II",M1613="Software Idiem",C1613="L"),((('BLAZE SHIELD II'!$L$4*('CALCULO MORTERO'!I1613^2)+'BLAZE SHIELD II'!$L$5*'CALCULO MORTERO'!I1613+'BLAZE SHIELD II'!$L$6)*LN(J1613))+('BLAZE SHIELD II'!$L$7*('CALCULO MORTERO'!I1613^2)+'BLAZE SHIELD II'!$L$8*'CALCULO MORTERO'!I1613+'BLAZE SHIELD II'!$L$9)),0)+IF(AND(L1613="Blaze Shield II",M1613="Software Idiem",C1613="IN",G1613=3),((('BLAZE SHIELD II'!$H$14*('CALCULO MORTERO'!I1613^2)+'BLAZE SHIELD II'!$H$15*'CALCULO MORTERO'!I1613+'BLAZE SHIELD II'!$H$16)*LN(J1613))+('BLAZE SHIELD II'!$H$17*('CALCULO MORTERO'!I1613^2)+'BLAZE SHIELD II'!$H$18*'CALCULO MORTERO'!I1613+'BLAZE SHIELD II'!$H$19)),0),0)+ROUND(IF(AND(L1613="Cafco 400",M1613="Software Idiem",C1613="IN",G1613=4),((('CAFCO 400 '!$H$7*(J1613^4)+'CAFCO 400 '!$H$8*(J1613^3)+'CAFCO 400 '!$H$9*(J1613^2)+'CAFCO 400 '!$H$10*J1613+'CAFCO 400 '!$H$11)*U1613^2)+(('CAFCO 400 '!$H$12*(J1613^3)+'CAFCO 400 '!$H$13*(J1613^2)+'CAFCO 400 '!$H$14*J1613+'CAFCO 400 '!$H$15)*U1613)+('CAFCO 400 '!$H$16*(J1613^2)+'CAFCO 400 '!$H$17*J1613+'CAFCO 400 '!$H$18)),0)+IF(AND(L1613="Cafco 400",M1613="Software Idiem",C1613="Cj"),(((('CAFCO 400 '!$D$7*LN(J1613)+'CAFCO 400 '!$D$8)*U1613^2)+(('CAFCO 400 '!$D$9*LN(J1613)+'CAFCO 400 '!$D$10)*U1613)+('CAFCO 400 '!$D$11*LN(J1613)+'CAFCO 400 '!$D$12))),0)+IF(AND(L1613="Cafco 400",M1613="Software Idiem",C1613="C"),((('CAFCO 400 '!$L$7*(J1613^3)+'CAFCO 400 '!$L$8*(J1613^2)+'CAFCO 400 '!$L$9*J1613+'CAFCO 400 '!$L$10)*U1613^2)+(('CAFCO 400 '!$L$11*(J1613^3)+'CAFCO 400 '!$L$12*(J1613^2)+'CAFCO 400 '!$L$13*J1613+'CAFCO 400 '!$L$14)*U1613)+('CAFCO 400 '!$L$15*LN(J1613)+'CAFCO 400 '!$L$16)),0)+IF(AND(L1613="Cafco 400",M1613="Software Idiem",C1613="L"),((('CAFCO 400 '!$L$7*(J1613^3)+'CAFCO 400 '!$L$8*(J1613^2)+'CAFCO 400 '!$L$9*J1613+'CAFCO 400 '!$L$10)*U1613^2)+(('CAFCO 400 '!$L$11*(J1613^3)+'CAFCO 400 '!$L$12*(J1613^2)+'CAFCO 400 '!$L$13*J1613+'CAFCO 400 '!$L$14)*U1613)+('CAFCO 400 '!$L$15*LN(J1613)+'CAFCO 400 '!$L$16)),0)+IF(AND(L1613="Cafco 400",M1613="Software Idiem",C1613="IN",G1613=3),((('CAFCO 400 '!$D$23*(J1613^2)+'CAFCO 400 '!$D$24*(J1613)+'CAFCO 400 '!$D$25)*U1613^2)+(('CAFCO 400 '!$D$26*(J1613^2)+'CAFCO 400 '!$D$27*J1613+'CAFCO 400 '!$D$28)*U1613)+('CAFCO 400 '!$D$29*(J1613^2)+'CAFCO 400 '!$D$30*J1613+'CAFCO 400 '!$D$31)),0),0)+IF(AND(L1613="Cafco 300",J1613&gt;=95,J1613&lt;=240,C1613="Cj",I1613=90),VLOOKUP(T1613,'CAFCO 300 IDIEM TABLAS'!$B$4:$D$23,2,FALSE),0)+IF(AND(L1613="Cafco 300",J1613&gt;=95,J1613&lt;=240,C1613="Cj",I1613=120),VLOOKUP(T1613,'CAFCO 300 IDIEM TABLAS'!$B$4:$D$23,3,FALSE),0)+IF(AND(L1613="Cafco 300",J1613&gt;=95,J1613&lt;=400,G1613=3,C1613="IN",I1613=90),VLOOKUP(T1613,'CAFCO 300 IDIEM TABLAS'!$F$4:$H$35,2,FALSE),0)+IF(AND(L1613="Cafco 300",J1613&gt;=95,J1613&lt;=400,G1613=3,C1613="IN",I1613=120),VLOOKUP(T1613,'CAFCO 300 IDIEM TABLAS'!$F$4:$H$35,3,FALSE),0)+IF(AND(L1613="Cafco 300",J1613&gt;=95,J1613&lt;=450,G1613=4,C1613="IN",I1613=90),VLOOKUP(T1613,'CAFCO 300 IDIEM TABLAS'!$J$4:$L$40,2,FALSE),0)+IF(AND(L1613="Cafco 300",J1613&gt;=95,J1613&lt;=450,G1613=4,C1613="IN",I1613=120),VLOOKUP(T1613,'CAFCO 300 IDIEM TABLAS'!$J$4:$L$40,3,FALSE),0)+IF(AND(M1613="Ensayo Idiem",L1613="Cafco 400",C1613="IN",G1613=4,I1613=90),VLOOKUP(T1613,'CAFCO 400 ENSAYO'!$B$7:$D$43,2,FALSE),0)+IF(AND(M1613="Ensayo Idiem",L1613="Cafco 400",C1613="IN",G1613=4,I1613=120),VLOOKUP(T1613,'CAFCO 400 ENSAYO'!$B$7:$D$43,3,FALSE),0)</f>
        <v>0</v>
      </c>
      <c r="O1613" s="96">
        <f t="shared" si="162"/>
        <v>0</v>
      </c>
      <c r="P1613" s="132" t="str">
        <f t="shared" si="157"/>
        <v>N/A</v>
      </c>
      <c r="Q1613" s="132" t="str">
        <f t="shared" si="158"/>
        <v>N/A</v>
      </c>
      <c r="R1613" s="132" t="str">
        <f t="shared" si="159"/>
        <v>NO CERT.</v>
      </c>
      <c r="S1613" s="132" t="e">
        <f t="shared" si="160"/>
        <v>#N/A</v>
      </c>
      <c r="T1613" s="133" t="e">
        <f>+IF(J1613=LOOKUP(J1613,'CAFCO 300 IDIEM TABLAS'!$J$4:$J$40),'CALCULO MORTERO'!J1613,MROUND('CALCULO MORTERO'!J1613,10))</f>
        <v>#N/A</v>
      </c>
      <c r="U1613" s="134">
        <f t="shared" si="161"/>
        <v>0</v>
      </c>
    </row>
    <row r="1614" spans="1:21" x14ac:dyDescent="0.25">
      <c r="A1614" s="118">
        <f>+CUBICACION!D1608</f>
        <v>0</v>
      </c>
      <c r="B1614" s="819">
        <f>+CUBICACION!E1608</f>
        <v>0</v>
      </c>
      <c r="C1614" s="675">
        <f>+CUBICACION!F1608</f>
        <v>0</v>
      </c>
      <c r="D1614" s="118"/>
      <c r="E1614" s="118"/>
      <c r="F1614" s="820"/>
      <c r="G1614" s="675">
        <f>+CUBICACION!J1608</f>
        <v>0</v>
      </c>
      <c r="H1614" s="118"/>
      <c r="I1614" s="821">
        <f>+CUBICACION!L1608</f>
        <v>0</v>
      </c>
      <c r="J1614" s="64">
        <f>+CUBICACION!M1608</f>
        <v>0</v>
      </c>
      <c r="K1614" s="822" t="str">
        <f>+CUBICACION!N1608</f>
        <v/>
      </c>
      <c r="L1614" s="118">
        <f>+CUBICACION!O1608</f>
        <v>0</v>
      </c>
      <c r="M1614" s="823">
        <f>+CUBICACION!P1608</f>
        <v>0</v>
      </c>
      <c r="N1614" s="902">
        <f>ROUND(IF(AND(L1614="Blaze Shield II",M1614="Software Idiem",C1614="IN",G1614=4),((('BLAZE SHIELD II'!$D$4*('CALCULO MORTERO'!I1614^2)+'BLAZE SHIELD II'!$D$5*'CALCULO MORTERO'!I1614+'BLAZE SHIELD II'!$D$6)*LN(J1614))+('BLAZE SHIELD II'!$D$7*('CALCULO MORTERO'!I1614^2)+'BLAZE SHIELD II'!$D$8*'CALCULO MORTERO'!I1614+'BLAZE SHIELD II'!$D$9)),0)+IF(AND(L1614="Blaze Shield II",M1614="Software Idiem",C1614="Cj"),((('BLAZE SHIELD II'!$H$4*('CALCULO MORTERO'!I1614^2)+'BLAZE SHIELD II'!$H$5*'CALCULO MORTERO'!I1614+'BLAZE SHIELD II'!$H$6)*LN(J1614))+('BLAZE SHIELD II'!$H$7*('CALCULO MORTERO'!I1614^2)+'BLAZE SHIELD II'!$H$8*'CALCULO MORTERO'!I1614+'BLAZE SHIELD II'!$H$9)),0)+IF(AND(L1614="Blaze Shield II",M1614="Software Idiem",C1614="C"),((('BLAZE SHIELD II'!$L$4*('CALCULO MORTERO'!I1614^2)+'BLAZE SHIELD II'!$L$5*'CALCULO MORTERO'!I1614+'BLAZE SHIELD II'!$L$6)*LN(J1614))+('BLAZE SHIELD II'!$L$7*('CALCULO MORTERO'!I1614^2)+'BLAZE SHIELD II'!$L$8*'CALCULO MORTERO'!I1614+'BLAZE SHIELD II'!$L$9)),0)+IF(AND(L1614="Blaze Shield II",M1614="Software Idiem",C1614="L"),((('BLAZE SHIELD II'!$L$4*('CALCULO MORTERO'!I1614^2)+'BLAZE SHIELD II'!$L$5*'CALCULO MORTERO'!I1614+'BLAZE SHIELD II'!$L$6)*LN(J1614))+('BLAZE SHIELD II'!$L$7*('CALCULO MORTERO'!I1614^2)+'BLAZE SHIELD II'!$L$8*'CALCULO MORTERO'!I1614+'BLAZE SHIELD II'!$L$9)),0)+IF(AND(L1614="Blaze Shield II",M1614="Software Idiem",C1614="IN",G1614=3),((('BLAZE SHIELD II'!$H$14*('CALCULO MORTERO'!I1614^2)+'BLAZE SHIELD II'!$H$15*'CALCULO MORTERO'!I1614+'BLAZE SHIELD II'!$H$16)*LN(J1614))+('BLAZE SHIELD II'!$H$17*('CALCULO MORTERO'!I1614^2)+'BLAZE SHIELD II'!$H$18*'CALCULO MORTERO'!I1614+'BLAZE SHIELD II'!$H$19)),0),0)+ROUND(IF(AND(L1614="Cafco 400",M1614="Software Idiem",C1614="IN",G1614=4),((('CAFCO 400 '!$H$7*(J1614^4)+'CAFCO 400 '!$H$8*(J1614^3)+'CAFCO 400 '!$H$9*(J1614^2)+'CAFCO 400 '!$H$10*J1614+'CAFCO 400 '!$H$11)*U1614^2)+(('CAFCO 400 '!$H$12*(J1614^3)+'CAFCO 400 '!$H$13*(J1614^2)+'CAFCO 400 '!$H$14*J1614+'CAFCO 400 '!$H$15)*U1614)+('CAFCO 400 '!$H$16*(J1614^2)+'CAFCO 400 '!$H$17*J1614+'CAFCO 400 '!$H$18)),0)+IF(AND(L1614="Cafco 400",M1614="Software Idiem",C1614="Cj"),(((('CAFCO 400 '!$D$7*LN(J1614)+'CAFCO 400 '!$D$8)*U1614^2)+(('CAFCO 400 '!$D$9*LN(J1614)+'CAFCO 400 '!$D$10)*U1614)+('CAFCO 400 '!$D$11*LN(J1614)+'CAFCO 400 '!$D$12))),0)+IF(AND(L1614="Cafco 400",M1614="Software Idiem",C1614="C"),((('CAFCO 400 '!$L$7*(J1614^3)+'CAFCO 400 '!$L$8*(J1614^2)+'CAFCO 400 '!$L$9*J1614+'CAFCO 400 '!$L$10)*U1614^2)+(('CAFCO 400 '!$L$11*(J1614^3)+'CAFCO 400 '!$L$12*(J1614^2)+'CAFCO 400 '!$L$13*J1614+'CAFCO 400 '!$L$14)*U1614)+('CAFCO 400 '!$L$15*LN(J1614)+'CAFCO 400 '!$L$16)),0)+IF(AND(L1614="Cafco 400",M1614="Software Idiem",C1614="L"),((('CAFCO 400 '!$L$7*(J1614^3)+'CAFCO 400 '!$L$8*(J1614^2)+'CAFCO 400 '!$L$9*J1614+'CAFCO 400 '!$L$10)*U1614^2)+(('CAFCO 400 '!$L$11*(J1614^3)+'CAFCO 400 '!$L$12*(J1614^2)+'CAFCO 400 '!$L$13*J1614+'CAFCO 400 '!$L$14)*U1614)+('CAFCO 400 '!$L$15*LN(J1614)+'CAFCO 400 '!$L$16)),0)+IF(AND(L1614="Cafco 400",M1614="Software Idiem",C1614="IN",G1614=3),((('CAFCO 400 '!$D$23*(J1614^2)+'CAFCO 400 '!$D$24*(J1614)+'CAFCO 400 '!$D$25)*U1614^2)+(('CAFCO 400 '!$D$26*(J1614^2)+'CAFCO 400 '!$D$27*J1614+'CAFCO 400 '!$D$28)*U1614)+('CAFCO 400 '!$D$29*(J1614^2)+'CAFCO 400 '!$D$30*J1614+'CAFCO 400 '!$D$31)),0),0)+IF(AND(L1614="Cafco 300",J1614&gt;=95,J1614&lt;=240,C1614="Cj",I1614=90),VLOOKUP(T1614,'CAFCO 300 IDIEM TABLAS'!$B$4:$D$23,2,FALSE),0)+IF(AND(L1614="Cafco 300",J1614&gt;=95,J1614&lt;=240,C1614="Cj",I1614=120),VLOOKUP(T1614,'CAFCO 300 IDIEM TABLAS'!$B$4:$D$23,3,FALSE),0)+IF(AND(L1614="Cafco 300",J1614&gt;=95,J1614&lt;=400,G1614=3,C1614="IN",I1614=90),VLOOKUP(T1614,'CAFCO 300 IDIEM TABLAS'!$F$4:$H$35,2,FALSE),0)+IF(AND(L1614="Cafco 300",J1614&gt;=95,J1614&lt;=400,G1614=3,C1614="IN",I1614=120),VLOOKUP(T1614,'CAFCO 300 IDIEM TABLAS'!$F$4:$H$35,3,FALSE),0)+IF(AND(L1614="Cafco 300",J1614&gt;=95,J1614&lt;=450,G1614=4,C1614="IN",I1614=90),VLOOKUP(T1614,'CAFCO 300 IDIEM TABLAS'!$J$4:$L$40,2,FALSE),0)+IF(AND(L1614="Cafco 300",J1614&gt;=95,J1614&lt;=450,G1614=4,C1614="IN",I1614=120),VLOOKUP(T1614,'CAFCO 300 IDIEM TABLAS'!$J$4:$L$40,3,FALSE),0)+IF(AND(M1614="Ensayo Idiem",L1614="Cafco 400",C1614="IN",G1614=4,I1614=90),VLOOKUP(T1614,'CAFCO 400 ENSAYO'!$B$7:$D$43,2,FALSE),0)+IF(AND(M1614="Ensayo Idiem",L1614="Cafco 400",C1614="IN",G1614=4,I1614=120),VLOOKUP(T1614,'CAFCO 400 ENSAYO'!$B$7:$D$43,3,FALSE),0)</f>
        <v>0</v>
      </c>
      <c r="O1614" s="96">
        <f t="shared" si="162"/>
        <v>0</v>
      </c>
      <c r="P1614" s="95" t="str">
        <f t="shared" si="157"/>
        <v>N/A</v>
      </c>
      <c r="Q1614" s="95" t="str">
        <f t="shared" si="158"/>
        <v>N/A</v>
      </c>
      <c r="R1614" s="95" t="str">
        <f t="shared" si="159"/>
        <v>NO CERT.</v>
      </c>
      <c r="S1614" s="95" t="e">
        <f t="shared" si="160"/>
        <v>#N/A</v>
      </c>
      <c r="T1614" s="119" t="e">
        <f>+IF(J1614=LOOKUP(J1614,'CAFCO 300 IDIEM TABLAS'!$J$4:$J$40),'CALCULO MORTERO'!J1614,MROUND('CALCULO MORTERO'!J1614,10))</f>
        <v>#N/A</v>
      </c>
      <c r="U1614" s="118">
        <f t="shared" si="161"/>
        <v>0</v>
      </c>
    </row>
    <row r="1615" spans="1:21" x14ac:dyDescent="0.25">
      <c r="A1615" s="118">
        <f>+CUBICACION!D1609</f>
        <v>0</v>
      </c>
      <c r="B1615" s="819">
        <f>+CUBICACION!E1609</f>
        <v>0</v>
      </c>
      <c r="C1615" s="675">
        <f>+CUBICACION!F1609</f>
        <v>0</v>
      </c>
      <c r="D1615" s="118"/>
      <c r="E1615" s="118"/>
      <c r="F1615" s="820"/>
      <c r="G1615" s="675">
        <f>+CUBICACION!J1609</f>
        <v>0</v>
      </c>
      <c r="H1615" s="118"/>
      <c r="I1615" s="821">
        <f>+CUBICACION!L1609</f>
        <v>0</v>
      </c>
      <c r="J1615" s="64">
        <f>+CUBICACION!M1609</f>
        <v>0</v>
      </c>
      <c r="K1615" s="822" t="str">
        <f>+CUBICACION!N1609</f>
        <v/>
      </c>
      <c r="L1615" s="118">
        <f>+CUBICACION!O1609</f>
        <v>0</v>
      </c>
      <c r="M1615" s="823">
        <f>+CUBICACION!P1609</f>
        <v>0</v>
      </c>
      <c r="N1615" s="902">
        <f>ROUND(IF(AND(L1615="Blaze Shield II",M1615="Software Idiem",C1615="IN",G1615=4),((('BLAZE SHIELD II'!$D$4*('CALCULO MORTERO'!I1615^2)+'BLAZE SHIELD II'!$D$5*'CALCULO MORTERO'!I1615+'BLAZE SHIELD II'!$D$6)*LN(J1615))+('BLAZE SHIELD II'!$D$7*('CALCULO MORTERO'!I1615^2)+'BLAZE SHIELD II'!$D$8*'CALCULO MORTERO'!I1615+'BLAZE SHIELD II'!$D$9)),0)+IF(AND(L1615="Blaze Shield II",M1615="Software Idiem",C1615="Cj"),((('BLAZE SHIELD II'!$H$4*('CALCULO MORTERO'!I1615^2)+'BLAZE SHIELD II'!$H$5*'CALCULO MORTERO'!I1615+'BLAZE SHIELD II'!$H$6)*LN(J1615))+('BLAZE SHIELD II'!$H$7*('CALCULO MORTERO'!I1615^2)+'BLAZE SHIELD II'!$H$8*'CALCULO MORTERO'!I1615+'BLAZE SHIELD II'!$H$9)),0)+IF(AND(L1615="Blaze Shield II",M1615="Software Idiem",C1615="C"),((('BLAZE SHIELD II'!$L$4*('CALCULO MORTERO'!I1615^2)+'BLAZE SHIELD II'!$L$5*'CALCULO MORTERO'!I1615+'BLAZE SHIELD II'!$L$6)*LN(J1615))+('BLAZE SHIELD II'!$L$7*('CALCULO MORTERO'!I1615^2)+'BLAZE SHIELD II'!$L$8*'CALCULO MORTERO'!I1615+'BLAZE SHIELD II'!$L$9)),0)+IF(AND(L1615="Blaze Shield II",M1615="Software Idiem",C1615="L"),((('BLAZE SHIELD II'!$L$4*('CALCULO MORTERO'!I1615^2)+'BLAZE SHIELD II'!$L$5*'CALCULO MORTERO'!I1615+'BLAZE SHIELD II'!$L$6)*LN(J1615))+('BLAZE SHIELD II'!$L$7*('CALCULO MORTERO'!I1615^2)+'BLAZE SHIELD II'!$L$8*'CALCULO MORTERO'!I1615+'BLAZE SHIELD II'!$L$9)),0)+IF(AND(L1615="Blaze Shield II",M1615="Software Idiem",C1615="IN",G1615=3),((('BLAZE SHIELD II'!$H$14*('CALCULO MORTERO'!I1615^2)+'BLAZE SHIELD II'!$H$15*'CALCULO MORTERO'!I1615+'BLAZE SHIELD II'!$H$16)*LN(J1615))+('BLAZE SHIELD II'!$H$17*('CALCULO MORTERO'!I1615^2)+'BLAZE SHIELD II'!$H$18*'CALCULO MORTERO'!I1615+'BLAZE SHIELD II'!$H$19)),0),0)+ROUND(IF(AND(L1615="Cafco 400",M1615="Software Idiem",C1615="IN",G1615=4),((('CAFCO 400 '!$H$7*(J1615^4)+'CAFCO 400 '!$H$8*(J1615^3)+'CAFCO 400 '!$H$9*(J1615^2)+'CAFCO 400 '!$H$10*J1615+'CAFCO 400 '!$H$11)*U1615^2)+(('CAFCO 400 '!$H$12*(J1615^3)+'CAFCO 400 '!$H$13*(J1615^2)+'CAFCO 400 '!$H$14*J1615+'CAFCO 400 '!$H$15)*U1615)+('CAFCO 400 '!$H$16*(J1615^2)+'CAFCO 400 '!$H$17*J1615+'CAFCO 400 '!$H$18)),0)+IF(AND(L1615="Cafco 400",M1615="Software Idiem",C1615="Cj"),(((('CAFCO 400 '!$D$7*LN(J1615)+'CAFCO 400 '!$D$8)*U1615^2)+(('CAFCO 400 '!$D$9*LN(J1615)+'CAFCO 400 '!$D$10)*U1615)+('CAFCO 400 '!$D$11*LN(J1615)+'CAFCO 400 '!$D$12))),0)+IF(AND(L1615="Cafco 400",M1615="Software Idiem",C1615="C"),((('CAFCO 400 '!$L$7*(J1615^3)+'CAFCO 400 '!$L$8*(J1615^2)+'CAFCO 400 '!$L$9*J1615+'CAFCO 400 '!$L$10)*U1615^2)+(('CAFCO 400 '!$L$11*(J1615^3)+'CAFCO 400 '!$L$12*(J1615^2)+'CAFCO 400 '!$L$13*J1615+'CAFCO 400 '!$L$14)*U1615)+('CAFCO 400 '!$L$15*LN(J1615)+'CAFCO 400 '!$L$16)),0)+IF(AND(L1615="Cafco 400",M1615="Software Idiem",C1615="L"),((('CAFCO 400 '!$L$7*(J1615^3)+'CAFCO 400 '!$L$8*(J1615^2)+'CAFCO 400 '!$L$9*J1615+'CAFCO 400 '!$L$10)*U1615^2)+(('CAFCO 400 '!$L$11*(J1615^3)+'CAFCO 400 '!$L$12*(J1615^2)+'CAFCO 400 '!$L$13*J1615+'CAFCO 400 '!$L$14)*U1615)+('CAFCO 400 '!$L$15*LN(J1615)+'CAFCO 400 '!$L$16)),0)+IF(AND(L1615="Cafco 400",M1615="Software Idiem",C1615="IN",G1615=3),((('CAFCO 400 '!$D$23*(J1615^2)+'CAFCO 400 '!$D$24*(J1615)+'CAFCO 400 '!$D$25)*U1615^2)+(('CAFCO 400 '!$D$26*(J1615^2)+'CAFCO 400 '!$D$27*J1615+'CAFCO 400 '!$D$28)*U1615)+('CAFCO 400 '!$D$29*(J1615^2)+'CAFCO 400 '!$D$30*J1615+'CAFCO 400 '!$D$31)),0),0)+IF(AND(L1615="Cafco 300",J1615&gt;=95,J1615&lt;=240,C1615="Cj",I1615=90),VLOOKUP(T1615,'CAFCO 300 IDIEM TABLAS'!$B$4:$D$23,2,FALSE),0)+IF(AND(L1615="Cafco 300",J1615&gt;=95,J1615&lt;=240,C1615="Cj",I1615=120),VLOOKUP(T1615,'CAFCO 300 IDIEM TABLAS'!$B$4:$D$23,3,FALSE),0)+IF(AND(L1615="Cafco 300",J1615&gt;=95,J1615&lt;=400,G1615=3,C1615="IN",I1615=90),VLOOKUP(T1615,'CAFCO 300 IDIEM TABLAS'!$F$4:$H$35,2,FALSE),0)+IF(AND(L1615="Cafco 300",J1615&gt;=95,J1615&lt;=400,G1615=3,C1615="IN",I1615=120),VLOOKUP(T1615,'CAFCO 300 IDIEM TABLAS'!$F$4:$H$35,3,FALSE),0)+IF(AND(L1615="Cafco 300",J1615&gt;=95,J1615&lt;=450,G1615=4,C1615="IN",I1615=90),VLOOKUP(T1615,'CAFCO 300 IDIEM TABLAS'!$J$4:$L$40,2,FALSE),0)+IF(AND(L1615="Cafco 300",J1615&gt;=95,J1615&lt;=450,G1615=4,C1615="IN",I1615=120),VLOOKUP(T1615,'CAFCO 300 IDIEM TABLAS'!$J$4:$L$40,3,FALSE),0)+IF(AND(M1615="Ensayo Idiem",L1615="Cafco 400",C1615="IN",G1615=4,I1615=90),VLOOKUP(T1615,'CAFCO 400 ENSAYO'!$B$7:$D$43,2,FALSE),0)+IF(AND(M1615="Ensayo Idiem",L1615="Cafco 400",C1615="IN",G1615=4,I1615=120),VLOOKUP(T1615,'CAFCO 400 ENSAYO'!$B$7:$D$43,3,FALSE),0)</f>
        <v>0</v>
      </c>
      <c r="O1615" s="96">
        <f t="shared" si="162"/>
        <v>0</v>
      </c>
      <c r="P1615" s="132" t="str">
        <f t="shared" si="157"/>
        <v>N/A</v>
      </c>
      <c r="Q1615" s="132" t="str">
        <f t="shared" si="158"/>
        <v>N/A</v>
      </c>
      <c r="R1615" s="132" t="str">
        <f t="shared" si="159"/>
        <v>NO CERT.</v>
      </c>
      <c r="S1615" s="132" t="e">
        <f t="shared" si="160"/>
        <v>#N/A</v>
      </c>
      <c r="T1615" s="133" t="e">
        <f>+IF(J1615=LOOKUP(J1615,'CAFCO 300 IDIEM TABLAS'!$J$4:$J$40),'CALCULO MORTERO'!J1615,MROUND('CALCULO MORTERO'!J1615,10))</f>
        <v>#N/A</v>
      </c>
      <c r="U1615" s="134">
        <f t="shared" si="161"/>
        <v>0</v>
      </c>
    </row>
    <row r="1616" spans="1:21" x14ac:dyDescent="0.25">
      <c r="A1616" s="118">
        <f>+CUBICACION!D1610</f>
        <v>0</v>
      </c>
      <c r="B1616" s="819">
        <f>+CUBICACION!E1610</f>
        <v>0</v>
      </c>
      <c r="C1616" s="675">
        <f>+CUBICACION!F1610</f>
        <v>0</v>
      </c>
      <c r="D1616" s="118"/>
      <c r="E1616" s="118"/>
      <c r="F1616" s="820"/>
      <c r="G1616" s="675">
        <f>+CUBICACION!J1610</f>
        <v>0</v>
      </c>
      <c r="H1616" s="118"/>
      <c r="I1616" s="821">
        <f>+CUBICACION!L1610</f>
        <v>0</v>
      </c>
      <c r="J1616" s="64">
        <f>+CUBICACION!M1610</f>
        <v>0</v>
      </c>
      <c r="K1616" s="822" t="str">
        <f>+CUBICACION!N1610</f>
        <v/>
      </c>
      <c r="L1616" s="118">
        <f>+CUBICACION!O1610</f>
        <v>0</v>
      </c>
      <c r="M1616" s="823">
        <f>+CUBICACION!P1610</f>
        <v>0</v>
      </c>
      <c r="N1616" s="902">
        <f>ROUND(IF(AND(L1616="Blaze Shield II",M1616="Software Idiem",C1616="IN",G1616=4),((('BLAZE SHIELD II'!$D$4*('CALCULO MORTERO'!I1616^2)+'BLAZE SHIELD II'!$D$5*'CALCULO MORTERO'!I1616+'BLAZE SHIELD II'!$D$6)*LN(J1616))+('BLAZE SHIELD II'!$D$7*('CALCULO MORTERO'!I1616^2)+'BLAZE SHIELD II'!$D$8*'CALCULO MORTERO'!I1616+'BLAZE SHIELD II'!$D$9)),0)+IF(AND(L1616="Blaze Shield II",M1616="Software Idiem",C1616="Cj"),((('BLAZE SHIELD II'!$H$4*('CALCULO MORTERO'!I1616^2)+'BLAZE SHIELD II'!$H$5*'CALCULO MORTERO'!I1616+'BLAZE SHIELD II'!$H$6)*LN(J1616))+('BLAZE SHIELD II'!$H$7*('CALCULO MORTERO'!I1616^2)+'BLAZE SHIELD II'!$H$8*'CALCULO MORTERO'!I1616+'BLAZE SHIELD II'!$H$9)),0)+IF(AND(L1616="Blaze Shield II",M1616="Software Idiem",C1616="C"),((('BLAZE SHIELD II'!$L$4*('CALCULO MORTERO'!I1616^2)+'BLAZE SHIELD II'!$L$5*'CALCULO MORTERO'!I1616+'BLAZE SHIELD II'!$L$6)*LN(J1616))+('BLAZE SHIELD II'!$L$7*('CALCULO MORTERO'!I1616^2)+'BLAZE SHIELD II'!$L$8*'CALCULO MORTERO'!I1616+'BLAZE SHIELD II'!$L$9)),0)+IF(AND(L1616="Blaze Shield II",M1616="Software Idiem",C1616="L"),((('BLAZE SHIELD II'!$L$4*('CALCULO MORTERO'!I1616^2)+'BLAZE SHIELD II'!$L$5*'CALCULO MORTERO'!I1616+'BLAZE SHIELD II'!$L$6)*LN(J1616))+('BLAZE SHIELD II'!$L$7*('CALCULO MORTERO'!I1616^2)+'BLAZE SHIELD II'!$L$8*'CALCULO MORTERO'!I1616+'BLAZE SHIELD II'!$L$9)),0)+IF(AND(L1616="Blaze Shield II",M1616="Software Idiem",C1616="IN",G1616=3),((('BLAZE SHIELD II'!$H$14*('CALCULO MORTERO'!I1616^2)+'BLAZE SHIELD II'!$H$15*'CALCULO MORTERO'!I1616+'BLAZE SHIELD II'!$H$16)*LN(J1616))+('BLAZE SHIELD II'!$H$17*('CALCULO MORTERO'!I1616^2)+'BLAZE SHIELD II'!$H$18*'CALCULO MORTERO'!I1616+'BLAZE SHIELD II'!$H$19)),0),0)+ROUND(IF(AND(L1616="Cafco 400",M1616="Software Idiem",C1616="IN",G1616=4),((('CAFCO 400 '!$H$7*(J1616^4)+'CAFCO 400 '!$H$8*(J1616^3)+'CAFCO 400 '!$H$9*(J1616^2)+'CAFCO 400 '!$H$10*J1616+'CAFCO 400 '!$H$11)*U1616^2)+(('CAFCO 400 '!$H$12*(J1616^3)+'CAFCO 400 '!$H$13*(J1616^2)+'CAFCO 400 '!$H$14*J1616+'CAFCO 400 '!$H$15)*U1616)+('CAFCO 400 '!$H$16*(J1616^2)+'CAFCO 400 '!$H$17*J1616+'CAFCO 400 '!$H$18)),0)+IF(AND(L1616="Cafco 400",M1616="Software Idiem",C1616="Cj"),(((('CAFCO 400 '!$D$7*LN(J1616)+'CAFCO 400 '!$D$8)*U1616^2)+(('CAFCO 400 '!$D$9*LN(J1616)+'CAFCO 400 '!$D$10)*U1616)+('CAFCO 400 '!$D$11*LN(J1616)+'CAFCO 400 '!$D$12))),0)+IF(AND(L1616="Cafco 400",M1616="Software Idiem",C1616="C"),((('CAFCO 400 '!$L$7*(J1616^3)+'CAFCO 400 '!$L$8*(J1616^2)+'CAFCO 400 '!$L$9*J1616+'CAFCO 400 '!$L$10)*U1616^2)+(('CAFCO 400 '!$L$11*(J1616^3)+'CAFCO 400 '!$L$12*(J1616^2)+'CAFCO 400 '!$L$13*J1616+'CAFCO 400 '!$L$14)*U1616)+('CAFCO 400 '!$L$15*LN(J1616)+'CAFCO 400 '!$L$16)),0)+IF(AND(L1616="Cafco 400",M1616="Software Idiem",C1616="L"),((('CAFCO 400 '!$L$7*(J1616^3)+'CAFCO 400 '!$L$8*(J1616^2)+'CAFCO 400 '!$L$9*J1616+'CAFCO 400 '!$L$10)*U1616^2)+(('CAFCO 400 '!$L$11*(J1616^3)+'CAFCO 400 '!$L$12*(J1616^2)+'CAFCO 400 '!$L$13*J1616+'CAFCO 400 '!$L$14)*U1616)+('CAFCO 400 '!$L$15*LN(J1616)+'CAFCO 400 '!$L$16)),0)+IF(AND(L1616="Cafco 400",M1616="Software Idiem",C1616="IN",G1616=3),((('CAFCO 400 '!$D$23*(J1616^2)+'CAFCO 400 '!$D$24*(J1616)+'CAFCO 400 '!$D$25)*U1616^2)+(('CAFCO 400 '!$D$26*(J1616^2)+'CAFCO 400 '!$D$27*J1616+'CAFCO 400 '!$D$28)*U1616)+('CAFCO 400 '!$D$29*(J1616^2)+'CAFCO 400 '!$D$30*J1616+'CAFCO 400 '!$D$31)),0),0)+IF(AND(L1616="Cafco 300",J1616&gt;=95,J1616&lt;=240,C1616="Cj",I1616=90),VLOOKUP(T1616,'CAFCO 300 IDIEM TABLAS'!$B$4:$D$23,2,FALSE),0)+IF(AND(L1616="Cafco 300",J1616&gt;=95,J1616&lt;=240,C1616="Cj",I1616=120),VLOOKUP(T1616,'CAFCO 300 IDIEM TABLAS'!$B$4:$D$23,3,FALSE),0)+IF(AND(L1616="Cafco 300",J1616&gt;=95,J1616&lt;=400,G1616=3,C1616="IN",I1616=90),VLOOKUP(T1616,'CAFCO 300 IDIEM TABLAS'!$F$4:$H$35,2,FALSE),0)+IF(AND(L1616="Cafco 300",J1616&gt;=95,J1616&lt;=400,G1616=3,C1616="IN",I1616=120),VLOOKUP(T1616,'CAFCO 300 IDIEM TABLAS'!$F$4:$H$35,3,FALSE),0)+IF(AND(L1616="Cafco 300",J1616&gt;=95,J1616&lt;=450,G1616=4,C1616="IN",I1616=90),VLOOKUP(T1616,'CAFCO 300 IDIEM TABLAS'!$J$4:$L$40,2,FALSE),0)+IF(AND(L1616="Cafco 300",J1616&gt;=95,J1616&lt;=450,G1616=4,C1616="IN",I1616=120),VLOOKUP(T1616,'CAFCO 300 IDIEM TABLAS'!$J$4:$L$40,3,FALSE),0)+IF(AND(M1616="Ensayo Idiem",L1616="Cafco 400",C1616="IN",G1616=4,I1616=90),VLOOKUP(T1616,'CAFCO 400 ENSAYO'!$B$7:$D$43,2,FALSE),0)+IF(AND(M1616="Ensayo Idiem",L1616="Cafco 400",C1616="IN",G1616=4,I1616=120),VLOOKUP(T1616,'CAFCO 400 ENSAYO'!$B$7:$D$43,3,FALSE),0)</f>
        <v>0</v>
      </c>
      <c r="O1616" s="96">
        <f t="shared" si="162"/>
        <v>0</v>
      </c>
      <c r="P1616" s="95" t="str">
        <f t="shared" si="157"/>
        <v>N/A</v>
      </c>
      <c r="Q1616" s="95" t="str">
        <f t="shared" si="158"/>
        <v>N/A</v>
      </c>
      <c r="R1616" s="95" t="str">
        <f t="shared" si="159"/>
        <v>NO CERT.</v>
      </c>
      <c r="S1616" s="95" t="e">
        <f t="shared" si="160"/>
        <v>#N/A</v>
      </c>
      <c r="T1616" s="119" t="e">
        <f>+IF(J1616=LOOKUP(J1616,'CAFCO 300 IDIEM TABLAS'!$J$4:$J$40),'CALCULO MORTERO'!J1616,MROUND('CALCULO MORTERO'!J1616,10))</f>
        <v>#N/A</v>
      </c>
      <c r="U1616" s="118">
        <f t="shared" si="161"/>
        <v>0</v>
      </c>
    </row>
    <row r="1617" spans="1:21" x14ac:dyDescent="0.25">
      <c r="A1617" s="118">
        <f>+CUBICACION!D1611</f>
        <v>0</v>
      </c>
      <c r="B1617" s="819">
        <f>+CUBICACION!E1611</f>
        <v>0</v>
      </c>
      <c r="C1617" s="675">
        <f>+CUBICACION!F1611</f>
        <v>0</v>
      </c>
      <c r="D1617" s="118"/>
      <c r="E1617" s="118"/>
      <c r="F1617" s="820"/>
      <c r="G1617" s="675">
        <f>+CUBICACION!J1611</f>
        <v>0</v>
      </c>
      <c r="H1617" s="118"/>
      <c r="I1617" s="821">
        <f>+CUBICACION!L1611</f>
        <v>0</v>
      </c>
      <c r="J1617" s="64">
        <f>+CUBICACION!M1611</f>
        <v>0</v>
      </c>
      <c r="K1617" s="822" t="str">
        <f>+CUBICACION!N1611</f>
        <v/>
      </c>
      <c r="L1617" s="118">
        <f>+CUBICACION!O1611</f>
        <v>0</v>
      </c>
      <c r="M1617" s="823">
        <f>+CUBICACION!P1611</f>
        <v>0</v>
      </c>
      <c r="N1617" s="902">
        <f>ROUND(IF(AND(L1617="Blaze Shield II",M1617="Software Idiem",C1617="IN",G1617=4),((('BLAZE SHIELD II'!$D$4*('CALCULO MORTERO'!I1617^2)+'BLAZE SHIELD II'!$D$5*'CALCULO MORTERO'!I1617+'BLAZE SHIELD II'!$D$6)*LN(J1617))+('BLAZE SHIELD II'!$D$7*('CALCULO MORTERO'!I1617^2)+'BLAZE SHIELD II'!$D$8*'CALCULO MORTERO'!I1617+'BLAZE SHIELD II'!$D$9)),0)+IF(AND(L1617="Blaze Shield II",M1617="Software Idiem",C1617="Cj"),((('BLAZE SHIELD II'!$H$4*('CALCULO MORTERO'!I1617^2)+'BLAZE SHIELD II'!$H$5*'CALCULO MORTERO'!I1617+'BLAZE SHIELD II'!$H$6)*LN(J1617))+('BLAZE SHIELD II'!$H$7*('CALCULO MORTERO'!I1617^2)+'BLAZE SHIELD II'!$H$8*'CALCULO MORTERO'!I1617+'BLAZE SHIELD II'!$H$9)),0)+IF(AND(L1617="Blaze Shield II",M1617="Software Idiem",C1617="C"),((('BLAZE SHIELD II'!$L$4*('CALCULO MORTERO'!I1617^2)+'BLAZE SHIELD II'!$L$5*'CALCULO MORTERO'!I1617+'BLAZE SHIELD II'!$L$6)*LN(J1617))+('BLAZE SHIELD II'!$L$7*('CALCULO MORTERO'!I1617^2)+'BLAZE SHIELD II'!$L$8*'CALCULO MORTERO'!I1617+'BLAZE SHIELD II'!$L$9)),0)+IF(AND(L1617="Blaze Shield II",M1617="Software Idiem",C1617="L"),((('BLAZE SHIELD II'!$L$4*('CALCULO MORTERO'!I1617^2)+'BLAZE SHIELD II'!$L$5*'CALCULO MORTERO'!I1617+'BLAZE SHIELD II'!$L$6)*LN(J1617))+('BLAZE SHIELD II'!$L$7*('CALCULO MORTERO'!I1617^2)+'BLAZE SHIELD II'!$L$8*'CALCULO MORTERO'!I1617+'BLAZE SHIELD II'!$L$9)),0)+IF(AND(L1617="Blaze Shield II",M1617="Software Idiem",C1617="IN",G1617=3),((('BLAZE SHIELD II'!$H$14*('CALCULO MORTERO'!I1617^2)+'BLAZE SHIELD II'!$H$15*'CALCULO MORTERO'!I1617+'BLAZE SHIELD II'!$H$16)*LN(J1617))+('BLAZE SHIELD II'!$H$17*('CALCULO MORTERO'!I1617^2)+'BLAZE SHIELD II'!$H$18*'CALCULO MORTERO'!I1617+'BLAZE SHIELD II'!$H$19)),0),0)+ROUND(IF(AND(L1617="Cafco 400",M1617="Software Idiem",C1617="IN",G1617=4),((('CAFCO 400 '!$H$7*(J1617^4)+'CAFCO 400 '!$H$8*(J1617^3)+'CAFCO 400 '!$H$9*(J1617^2)+'CAFCO 400 '!$H$10*J1617+'CAFCO 400 '!$H$11)*U1617^2)+(('CAFCO 400 '!$H$12*(J1617^3)+'CAFCO 400 '!$H$13*(J1617^2)+'CAFCO 400 '!$H$14*J1617+'CAFCO 400 '!$H$15)*U1617)+('CAFCO 400 '!$H$16*(J1617^2)+'CAFCO 400 '!$H$17*J1617+'CAFCO 400 '!$H$18)),0)+IF(AND(L1617="Cafco 400",M1617="Software Idiem",C1617="Cj"),(((('CAFCO 400 '!$D$7*LN(J1617)+'CAFCO 400 '!$D$8)*U1617^2)+(('CAFCO 400 '!$D$9*LN(J1617)+'CAFCO 400 '!$D$10)*U1617)+('CAFCO 400 '!$D$11*LN(J1617)+'CAFCO 400 '!$D$12))),0)+IF(AND(L1617="Cafco 400",M1617="Software Idiem",C1617="C"),((('CAFCO 400 '!$L$7*(J1617^3)+'CAFCO 400 '!$L$8*(J1617^2)+'CAFCO 400 '!$L$9*J1617+'CAFCO 400 '!$L$10)*U1617^2)+(('CAFCO 400 '!$L$11*(J1617^3)+'CAFCO 400 '!$L$12*(J1617^2)+'CAFCO 400 '!$L$13*J1617+'CAFCO 400 '!$L$14)*U1617)+('CAFCO 400 '!$L$15*LN(J1617)+'CAFCO 400 '!$L$16)),0)+IF(AND(L1617="Cafco 400",M1617="Software Idiem",C1617="L"),((('CAFCO 400 '!$L$7*(J1617^3)+'CAFCO 400 '!$L$8*(J1617^2)+'CAFCO 400 '!$L$9*J1617+'CAFCO 400 '!$L$10)*U1617^2)+(('CAFCO 400 '!$L$11*(J1617^3)+'CAFCO 400 '!$L$12*(J1617^2)+'CAFCO 400 '!$L$13*J1617+'CAFCO 400 '!$L$14)*U1617)+('CAFCO 400 '!$L$15*LN(J1617)+'CAFCO 400 '!$L$16)),0)+IF(AND(L1617="Cafco 400",M1617="Software Idiem",C1617="IN",G1617=3),((('CAFCO 400 '!$D$23*(J1617^2)+'CAFCO 400 '!$D$24*(J1617)+'CAFCO 400 '!$D$25)*U1617^2)+(('CAFCO 400 '!$D$26*(J1617^2)+'CAFCO 400 '!$D$27*J1617+'CAFCO 400 '!$D$28)*U1617)+('CAFCO 400 '!$D$29*(J1617^2)+'CAFCO 400 '!$D$30*J1617+'CAFCO 400 '!$D$31)),0),0)+IF(AND(L1617="Cafco 300",J1617&gt;=95,J1617&lt;=240,C1617="Cj",I1617=90),VLOOKUP(T1617,'CAFCO 300 IDIEM TABLAS'!$B$4:$D$23,2,FALSE),0)+IF(AND(L1617="Cafco 300",J1617&gt;=95,J1617&lt;=240,C1617="Cj",I1617=120),VLOOKUP(T1617,'CAFCO 300 IDIEM TABLAS'!$B$4:$D$23,3,FALSE),0)+IF(AND(L1617="Cafco 300",J1617&gt;=95,J1617&lt;=400,G1617=3,C1617="IN",I1617=90),VLOOKUP(T1617,'CAFCO 300 IDIEM TABLAS'!$F$4:$H$35,2,FALSE),0)+IF(AND(L1617="Cafco 300",J1617&gt;=95,J1617&lt;=400,G1617=3,C1617="IN",I1617=120),VLOOKUP(T1617,'CAFCO 300 IDIEM TABLAS'!$F$4:$H$35,3,FALSE),0)+IF(AND(L1617="Cafco 300",J1617&gt;=95,J1617&lt;=450,G1617=4,C1617="IN",I1617=90),VLOOKUP(T1617,'CAFCO 300 IDIEM TABLAS'!$J$4:$L$40,2,FALSE),0)+IF(AND(L1617="Cafco 300",J1617&gt;=95,J1617&lt;=450,G1617=4,C1617="IN",I1617=120),VLOOKUP(T1617,'CAFCO 300 IDIEM TABLAS'!$J$4:$L$40,3,FALSE),0)+IF(AND(M1617="Ensayo Idiem",L1617="Cafco 400",C1617="IN",G1617=4,I1617=90),VLOOKUP(T1617,'CAFCO 400 ENSAYO'!$B$7:$D$43,2,FALSE),0)+IF(AND(M1617="Ensayo Idiem",L1617="Cafco 400",C1617="IN",G1617=4,I1617=120),VLOOKUP(T1617,'CAFCO 400 ENSAYO'!$B$7:$D$43,3,FALSE),0)</f>
        <v>0</v>
      </c>
      <c r="O1617" s="96">
        <f t="shared" si="162"/>
        <v>0</v>
      </c>
      <c r="P1617" s="132" t="str">
        <f t="shared" si="157"/>
        <v>N/A</v>
      </c>
      <c r="Q1617" s="132" t="str">
        <f t="shared" si="158"/>
        <v>N/A</v>
      </c>
      <c r="R1617" s="132" t="str">
        <f t="shared" si="159"/>
        <v>NO CERT.</v>
      </c>
      <c r="S1617" s="132" t="e">
        <f t="shared" si="160"/>
        <v>#N/A</v>
      </c>
      <c r="T1617" s="133" t="e">
        <f>+IF(J1617=LOOKUP(J1617,'CAFCO 300 IDIEM TABLAS'!$J$4:$J$40),'CALCULO MORTERO'!J1617,MROUND('CALCULO MORTERO'!J1617,10))</f>
        <v>#N/A</v>
      </c>
      <c r="U1617" s="134">
        <f t="shared" si="161"/>
        <v>0</v>
      </c>
    </row>
    <row r="1618" spans="1:21" x14ac:dyDescent="0.25">
      <c r="A1618" s="118">
        <f>+CUBICACION!D1612</f>
        <v>0</v>
      </c>
      <c r="B1618" s="819">
        <f>+CUBICACION!E1612</f>
        <v>0</v>
      </c>
      <c r="C1618" s="675">
        <f>+CUBICACION!F1612</f>
        <v>0</v>
      </c>
      <c r="D1618" s="118"/>
      <c r="E1618" s="118"/>
      <c r="F1618" s="820"/>
      <c r="G1618" s="675">
        <f>+CUBICACION!J1612</f>
        <v>0</v>
      </c>
      <c r="H1618" s="118"/>
      <c r="I1618" s="821">
        <f>+CUBICACION!L1612</f>
        <v>0</v>
      </c>
      <c r="J1618" s="64">
        <f>+CUBICACION!M1612</f>
        <v>0</v>
      </c>
      <c r="K1618" s="822" t="str">
        <f>+CUBICACION!N1612</f>
        <v/>
      </c>
      <c r="L1618" s="118">
        <f>+CUBICACION!O1612</f>
        <v>0</v>
      </c>
      <c r="M1618" s="823">
        <f>+CUBICACION!P1612</f>
        <v>0</v>
      </c>
      <c r="N1618" s="902">
        <f>ROUND(IF(AND(L1618="Blaze Shield II",M1618="Software Idiem",C1618="IN",G1618=4),((('BLAZE SHIELD II'!$D$4*('CALCULO MORTERO'!I1618^2)+'BLAZE SHIELD II'!$D$5*'CALCULO MORTERO'!I1618+'BLAZE SHIELD II'!$D$6)*LN(J1618))+('BLAZE SHIELD II'!$D$7*('CALCULO MORTERO'!I1618^2)+'BLAZE SHIELD II'!$D$8*'CALCULO MORTERO'!I1618+'BLAZE SHIELD II'!$D$9)),0)+IF(AND(L1618="Blaze Shield II",M1618="Software Idiem",C1618="Cj"),((('BLAZE SHIELD II'!$H$4*('CALCULO MORTERO'!I1618^2)+'BLAZE SHIELD II'!$H$5*'CALCULO MORTERO'!I1618+'BLAZE SHIELD II'!$H$6)*LN(J1618))+('BLAZE SHIELD II'!$H$7*('CALCULO MORTERO'!I1618^2)+'BLAZE SHIELD II'!$H$8*'CALCULO MORTERO'!I1618+'BLAZE SHIELD II'!$H$9)),0)+IF(AND(L1618="Blaze Shield II",M1618="Software Idiem",C1618="C"),((('BLAZE SHIELD II'!$L$4*('CALCULO MORTERO'!I1618^2)+'BLAZE SHIELD II'!$L$5*'CALCULO MORTERO'!I1618+'BLAZE SHIELD II'!$L$6)*LN(J1618))+('BLAZE SHIELD II'!$L$7*('CALCULO MORTERO'!I1618^2)+'BLAZE SHIELD II'!$L$8*'CALCULO MORTERO'!I1618+'BLAZE SHIELD II'!$L$9)),0)+IF(AND(L1618="Blaze Shield II",M1618="Software Idiem",C1618="L"),((('BLAZE SHIELD II'!$L$4*('CALCULO MORTERO'!I1618^2)+'BLAZE SHIELD II'!$L$5*'CALCULO MORTERO'!I1618+'BLAZE SHIELD II'!$L$6)*LN(J1618))+('BLAZE SHIELD II'!$L$7*('CALCULO MORTERO'!I1618^2)+'BLAZE SHIELD II'!$L$8*'CALCULO MORTERO'!I1618+'BLAZE SHIELD II'!$L$9)),0)+IF(AND(L1618="Blaze Shield II",M1618="Software Idiem",C1618="IN",G1618=3),((('BLAZE SHIELD II'!$H$14*('CALCULO MORTERO'!I1618^2)+'BLAZE SHIELD II'!$H$15*'CALCULO MORTERO'!I1618+'BLAZE SHIELD II'!$H$16)*LN(J1618))+('BLAZE SHIELD II'!$H$17*('CALCULO MORTERO'!I1618^2)+'BLAZE SHIELD II'!$H$18*'CALCULO MORTERO'!I1618+'BLAZE SHIELD II'!$H$19)),0),0)+ROUND(IF(AND(L1618="Cafco 400",M1618="Software Idiem",C1618="IN",G1618=4),((('CAFCO 400 '!$H$7*(J1618^4)+'CAFCO 400 '!$H$8*(J1618^3)+'CAFCO 400 '!$H$9*(J1618^2)+'CAFCO 400 '!$H$10*J1618+'CAFCO 400 '!$H$11)*U1618^2)+(('CAFCO 400 '!$H$12*(J1618^3)+'CAFCO 400 '!$H$13*(J1618^2)+'CAFCO 400 '!$H$14*J1618+'CAFCO 400 '!$H$15)*U1618)+('CAFCO 400 '!$H$16*(J1618^2)+'CAFCO 400 '!$H$17*J1618+'CAFCO 400 '!$H$18)),0)+IF(AND(L1618="Cafco 400",M1618="Software Idiem",C1618="Cj"),(((('CAFCO 400 '!$D$7*LN(J1618)+'CAFCO 400 '!$D$8)*U1618^2)+(('CAFCO 400 '!$D$9*LN(J1618)+'CAFCO 400 '!$D$10)*U1618)+('CAFCO 400 '!$D$11*LN(J1618)+'CAFCO 400 '!$D$12))),0)+IF(AND(L1618="Cafco 400",M1618="Software Idiem",C1618="C"),((('CAFCO 400 '!$L$7*(J1618^3)+'CAFCO 400 '!$L$8*(J1618^2)+'CAFCO 400 '!$L$9*J1618+'CAFCO 400 '!$L$10)*U1618^2)+(('CAFCO 400 '!$L$11*(J1618^3)+'CAFCO 400 '!$L$12*(J1618^2)+'CAFCO 400 '!$L$13*J1618+'CAFCO 400 '!$L$14)*U1618)+('CAFCO 400 '!$L$15*LN(J1618)+'CAFCO 400 '!$L$16)),0)+IF(AND(L1618="Cafco 400",M1618="Software Idiem",C1618="L"),((('CAFCO 400 '!$L$7*(J1618^3)+'CAFCO 400 '!$L$8*(J1618^2)+'CAFCO 400 '!$L$9*J1618+'CAFCO 400 '!$L$10)*U1618^2)+(('CAFCO 400 '!$L$11*(J1618^3)+'CAFCO 400 '!$L$12*(J1618^2)+'CAFCO 400 '!$L$13*J1618+'CAFCO 400 '!$L$14)*U1618)+('CAFCO 400 '!$L$15*LN(J1618)+'CAFCO 400 '!$L$16)),0)+IF(AND(L1618="Cafco 400",M1618="Software Idiem",C1618="IN",G1618=3),((('CAFCO 400 '!$D$23*(J1618^2)+'CAFCO 400 '!$D$24*(J1618)+'CAFCO 400 '!$D$25)*U1618^2)+(('CAFCO 400 '!$D$26*(J1618^2)+'CAFCO 400 '!$D$27*J1618+'CAFCO 400 '!$D$28)*U1618)+('CAFCO 400 '!$D$29*(J1618^2)+'CAFCO 400 '!$D$30*J1618+'CAFCO 400 '!$D$31)),0),0)+IF(AND(L1618="Cafco 300",J1618&gt;=95,J1618&lt;=240,C1618="Cj",I1618=90),VLOOKUP(T1618,'CAFCO 300 IDIEM TABLAS'!$B$4:$D$23,2,FALSE),0)+IF(AND(L1618="Cafco 300",J1618&gt;=95,J1618&lt;=240,C1618="Cj",I1618=120),VLOOKUP(T1618,'CAFCO 300 IDIEM TABLAS'!$B$4:$D$23,3,FALSE),0)+IF(AND(L1618="Cafco 300",J1618&gt;=95,J1618&lt;=400,G1618=3,C1618="IN",I1618=90),VLOOKUP(T1618,'CAFCO 300 IDIEM TABLAS'!$F$4:$H$35,2,FALSE),0)+IF(AND(L1618="Cafco 300",J1618&gt;=95,J1618&lt;=400,G1618=3,C1618="IN",I1618=120),VLOOKUP(T1618,'CAFCO 300 IDIEM TABLAS'!$F$4:$H$35,3,FALSE),0)+IF(AND(L1618="Cafco 300",J1618&gt;=95,J1618&lt;=450,G1618=4,C1618="IN",I1618=90),VLOOKUP(T1618,'CAFCO 300 IDIEM TABLAS'!$J$4:$L$40,2,FALSE),0)+IF(AND(L1618="Cafco 300",J1618&gt;=95,J1618&lt;=450,G1618=4,C1618="IN",I1618=120),VLOOKUP(T1618,'CAFCO 300 IDIEM TABLAS'!$J$4:$L$40,3,FALSE),0)+IF(AND(M1618="Ensayo Idiem",L1618="Cafco 400",C1618="IN",G1618=4,I1618=90),VLOOKUP(T1618,'CAFCO 400 ENSAYO'!$B$7:$D$43,2,FALSE),0)+IF(AND(M1618="Ensayo Idiem",L1618="Cafco 400",C1618="IN",G1618=4,I1618=120),VLOOKUP(T1618,'CAFCO 400 ENSAYO'!$B$7:$D$43,3,FALSE),0)</f>
        <v>0</v>
      </c>
      <c r="O1618" s="96">
        <f t="shared" si="162"/>
        <v>0</v>
      </c>
      <c r="P1618" s="95" t="str">
        <f t="shared" si="157"/>
        <v>N/A</v>
      </c>
      <c r="Q1618" s="95" t="str">
        <f t="shared" si="158"/>
        <v>N/A</v>
      </c>
      <c r="R1618" s="95" t="str">
        <f t="shared" si="159"/>
        <v>NO CERT.</v>
      </c>
      <c r="S1618" s="95" t="e">
        <f t="shared" si="160"/>
        <v>#N/A</v>
      </c>
      <c r="T1618" s="119" t="e">
        <f>+IF(J1618=LOOKUP(J1618,'CAFCO 300 IDIEM TABLAS'!$J$4:$J$40),'CALCULO MORTERO'!J1618,MROUND('CALCULO MORTERO'!J1618,10))</f>
        <v>#N/A</v>
      </c>
      <c r="U1618" s="118">
        <f t="shared" si="161"/>
        <v>0</v>
      </c>
    </row>
    <row r="1619" spans="1:21" x14ac:dyDescent="0.25">
      <c r="A1619" s="118">
        <f>+CUBICACION!D1613</f>
        <v>0</v>
      </c>
      <c r="B1619" s="819">
        <f>+CUBICACION!E1613</f>
        <v>0</v>
      </c>
      <c r="C1619" s="675">
        <f>+CUBICACION!F1613</f>
        <v>0</v>
      </c>
      <c r="D1619" s="118"/>
      <c r="E1619" s="118"/>
      <c r="F1619" s="820"/>
      <c r="G1619" s="675">
        <f>+CUBICACION!J1613</f>
        <v>0</v>
      </c>
      <c r="H1619" s="118"/>
      <c r="I1619" s="821">
        <f>+CUBICACION!L1613</f>
        <v>0</v>
      </c>
      <c r="J1619" s="64">
        <f>+CUBICACION!M1613</f>
        <v>0</v>
      </c>
      <c r="K1619" s="822" t="str">
        <f>+CUBICACION!N1613</f>
        <v/>
      </c>
      <c r="L1619" s="118">
        <f>+CUBICACION!O1613</f>
        <v>0</v>
      </c>
      <c r="M1619" s="823">
        <f>+CUBICACION!P1613</f>
        <v>0</v>
      </c>
      <c r="N1619" s="902">
        <f>ROUND(IF(AND(L1619="Blaze Shield II",M1619="Software Idiem",C1619="IN",G1619=4),((('BLAZE SHIELD II'!$D$4*('CALCULO MORTERO'!I1619^2)+'BLAZE SHIELD II'!$D$5*'CALCULO MORTERO'!I1619+'BLAZE SHIELD II'!$D$6)*LN(J1619))+('BLAZE SHIELD II'!$D$7*('CALCULO MORTERO'!I1619^2)+'BLAZE SHIELD II'!$D$8*'CALCULO MORTERO'!I1619+'BLAZE SHIELD II'!$D$9)),0)+IF(AND(L1619="Blaze Shield II",M1619="Software Idiem",C1619="Cj"),((('BLAZE SHIELD II'!$H$4*('CALCULO MORTERO'!I1619^2)+'BLAZE SHIELD II'!$H$5*'CALCULO MORTERO'!I1619+'BLAZE SHIELD II'!$H$6)*LN(J1619))+('BLAZE SHIELD II'!$H$7*('CALCULO MORTERO'!I1619^2)+'BLAZE SHIELD II'!$H$8*'CALCULO MORTERO'!I1619+'BLAZE SHIELD II'!$H$9)),0)+IF(AND(L1619="Blaze Shield II",M1619="Software Idiem",C1619="C"),((('BLAZE SHIELD II'!$L$4*('CALCULO MORTERO'!I1619^2)+'BLAZE SHIELD II'!$L$5*'CALCULO MORTERO'!I1619+'BLAZE SHIELD II'!$L$6)*LN(J1619))+('BLAZE SHIELD II'!$L$7*('CALCULO MORTERO'!I1619^2)+'BLAZE SHIELD II'!$L$8*'CALCULO MORTERO'!I1619+'BLAZE SHIELD II'!$L$9)),0)+IF(AND(L1619="Blaze Shield II",M1619="Software Idiem",C1619="L"),((('BLAZE SHIELD II'!$L$4*('CALCULO MORTERO'!I1619^2)+'BLAZE SHIELD II'!$L$5*'CALCULO MORTERO'!I1619+'BLAZE SHIELD II'!$L$6)*LN(J1619))+('BLAZE SHIELD II'!$L$7*('CALCULO MORTERO'!I1619^2)+'BLAZE SHIELD II'!$L$8*'CALCULO MORTERO'!I1619+'BLAZE SHIELD II'!$L$9)),0)+IF(AND(L1619="Blaze Shield II",M1619="Software Idiem",C1619="IN",G1619=3),((('BLAZE SHIELD II'!$H$14*('CALCULO MORTERO'!I1619^2)+'BLAZE SHIELD II'!$H$15*'CALCULO MORTERO'!I1619+'BLAZE SHIELD II'!$H$16)*LN(J1619))+('BLAZE SHIELD II'!$H$17*('CALCULO MORTERO'!I1619^2)+'BLAZE SHIELD II'!$H$18*'CALCULO MORTERO'!I1619+'BLAZE SHIELD II'!$H$19)),0),0)+ROUND(IF(AND(L1619="Cafco 400",M1619="Software Idiem",C1619="IN",G1619=4),((('CAFCO 400 '!$H$7*(J1619^4)+'CAFCO 400 '!$H$8*(J1619^3)+'CAFCO 400 '!$H$9*(J1619^2)+'CAFCO 400 '!$H$10*J1619+'CAFCO 400 '!$H$11)*U1619^2)+(('CAFCO 400 '!$H$12*(J1619^3)+'CAFCO 400 '!$H$13*(J1619^2)+'CAFCO 400 '!$H$14*J1619+'CAFCO 400 '!$H$15)*U1619)+('CAFCO 400 '!$H$16*(J1619^2)+'CAFCO 400 '!$H$17*J1619+'CAFCO 400 '!$H$18)),0)+IF(AND(L1619="Cafco 400",M1619="Software Idiem",C1619="Cj"),(((('CAFCO 400 '!$D$7*LN(J1619)+'CAFCO 400 '!$D$8)*U1619^2)+(('CAFCO 400 '!$D$9*LN(J1619)+'CAFCO 400 '!$D$10)*U1619)+('CAFCO 400 '!$D$11*LN(J1619)+'CAFCO 400 '!$D$12))),0)+IF(AND(L1619="Cafco 400",M1619="Software Idiem",C1619="C"),((('CAFCO 400 '!$L$7*(J1619^3)+'CAFCO 400 '!$L$8*(J1619^2)+'CAFCO 400 '!$L$9*J1619+'CAFCO 400 '!$L$10)*U1619^2)+(('CAFCO 400 '!$L$11*(J1619^3)+'CAFCO 400 '!$L$12*(J1619^2)+'CAFCO 400 '!$L$13*J1619+'CAFCO 400 '!$L$14)*U1619)+('CAFCO 400 '!$L$15*LN(J1619)+'CAFCO 400 '!$L$16)),0)+IF(AND(L1619="Cafco 400",M1619="Software Idiem",C1619="L"),((('CAFCO 400 '!$L$7*(J1619^3)+'CAFCO 400 '!$L$8*(J1619^2)+'CAFCO 400 '!$L$9*J1619+'CAFCO 400 '!$L$10)*U1619^2)+(('CAFCO 400 '!$L$11*(J1619^3)+'CAFCO 400 '!$L$12*(J1619^2)+'CAFCO 400 '!$L$13*J1619+'CAFCO 400 '!$L$14)*U1619)+('CAFCO 400 '!$L$15*LN(J1619)+'CAFCO 400 '!$L$16)),0)+IF(AND(L1619="Cafco 400",M1619="Software Idiem",C1619="IN",G1619=3),((('CAFCO 400 '!$D$23*(J1619^2)+'CAFCO 400 '!$D$24*(J1619)+'CAFCO 400 '!$D$25)*U1619^2)+(('CAFCO 400 '!$D$26*(J1619^2)+'CAFCO 400 '!$D$27*J1619+'CAFCO 400 '!$D$28)*U1619)+('CAFCO 400 '!$D$29*(J1619^2)+'CAFCO 400 '!$D$30*J1619+'CAFCO 400 '!$D$31)),0),0)+IF(AND(L1619="Cafco 300",J1619&gt;=95,J1619&lt;=240,C1619="Cj",I1619=90),VLOOKUP(T1619,'CAFCO 300 IDIEM TABLAS'!$B$4:$D$23,2,FALSE),0)+IF(AND(L1619="Cafco 300",J1619&gt;=95,J1619&lt;=240,C1619="Cj",I1619=120),VLOOKUP(T1619,'CAFCO 300 IDIEM TABLAS'!$B$4:$D$23,3,FALSE),0)+IF(AND(L1619="Cafco 300",J1619&gt;=95,J1619&lt;=400,G1619=3,C1619="IN",I1619=90),VLOOKUP(T1619,'CAFCO 300 IDIEM TABLAS'!$F$4:$H$35,2,FALSE),0)+IF(AND(L1619="Cafco 300",J1619&gt;=95,J1619&lt;=400,G1619=3,C1619="IN",I1619=120),VLOOKUP(T1619,'CAFCO 300 IDIEM TABLAS'!$F$4:$H$35,3,FALSE),0)+IF(AND(L1619="Cafco 300",J1619&gt;=95,J1619&lt;=450,G1619=4,C1619="IN",I1619=90),VLOOKUP(T1619,'CAFCO 300 IDIEM TABLAS'!$J$4:$L$40,2,FALSE),0)+IF(AND(L1619="Cafco 300",J1619&gt;=95,J1619&lt;=450,G1619=4,C1619="IN",I1619=120),VLOOKUP(T1619,'CAFCO 300 IDIEM TABLAS'!$J$4:$L$40,3,FALSE),0)+IF(AND(M1619="Ensayo Idiem",L1619="Cafco 400",C1619="IN",G1619=4,I1619=90),VLOOKUP(T1619,'CAFCO 400 ENSAYO'!$B$7:$D$43,2,FALSE),0)+IF(AND(M1619="Ensayo Idiem",L1619="Cafco 400",C1619="IN",G1619=4,I1619=120),VLOOKUP(T1619,'CAFCO 400 ENSAYO'!$B$7:$D$43,3,FALSE),0)</f>
        <v>0</v>
      </c>
      <c r="O1619" s="96">
        <f t="shared" si="162"/>
        <v>0</v>
      </c>
      <c r="P1619" s="132" t="str">
        <f t="shared" si="157"/>
        <v>N/A</v>
      </c>
      <c r="Q1619" s="132" t="str">
        <f t="shared" si="158"/>
        <v>N/A</v>
      </c>
      <c r="R1619" s="132" t="str">
        <f t="shared" si="159"/>
        <v>NO CERT.</v>
      </c>
      <c r="S1619" s="132" t="e">
        <f t="shared" si="160"/>
        <v>#N/A</v>
      </c>
      <c r="T1619" s="133" t="e">
        <f>+IF(J1619=LOOKUP(J1619,'CAFCO 300 IDIEM TABLAS'!$J$4:$J$40),'CALCULO MORTERO'!J1619,MROUND('CALCULO MORTERO'!J1619,10))</f>
        <v>#N/A</v>
      </c>
      <c r="U1619" s="134">
        <f t="shared" si="161"/>
        <v>0</v>
      </c>
    </row>
    <row r="1620" spans="1:21" x14ac:dyDescent="0.25">
      <c r="A1620" s="118">
        <f>+CUBICACION!D1614</f>
        <v>0</v>
      </c>
      <c r="B1620" s="819">
        <f>+CUBICACION!E1614</f>
        <v>0</v>
      </c>
      <c r="C1620" s="675">
        <f>+CUBICACION!F1614</f>
        <v>0</v>
      </c>
      <c r="D1620" s="118"/>
      <c r="E1620" s="118"/>
      <c r="F1620" s="820"/>
      <c r="G1620" s="675">
        <f>+CUBICACION!J1614</f>
        <v>0</v>
      </c>
      <c r="H1620" s="118"/>
      <c r="I1620" s="821">
        <f>+CUBICACION!L1614</f>
        <v>0</v>
      </c>
      <c r="J1620" s="64">
        <f>+CUBICACION!M1614</f>
        <v>0</v>
      </c>
      <c r="K1620" s="822" t="str">
        <f>+CUBICACION!N1614</f>
        <v/>
      </c>
      <c r="L1620" s="118">
        <f>+CUBICACION!O1614</f>
        <v>0</v>
      </c>
      <c r="M1620" s="823">
        <f>+CUBICACION!P1614</f>
        <v>0</v>
      </c>
      <c r="N1620" s="902">
        <f>ROUND(IF(AND(L1620="Blaze Shield II",M1620="Software Idiem",C1620="IN",G1620=4),((('BLAZE SHIELD II'!$D$4*('CALCULO MORTERO'!I1620^2)+'BLAZE SHIELD II'!$D$5*'CALCULO MORTERO'!I1620+'BLAZE SHIELD II'!$D$6)*LN(J1620))+('BLAZE SHIELD II'!$D$7*('CALCULO MORTERO'!I1620^2)+'BLAZE SHIELD II'!$D$8*'CALCULO MORTERO'!I1620+'BLAZE SHIELD II'!$D$9)),0)+IF(AND(L1620="Blaze Shield II",M1620="Software Idiem",C1620="Cj"),((('BLAZE SHIELD II'!$H$4*('CALCULO MORTERO'!I1620^2)+'BLAZE SHIELD II'!$H$5*'CALCULO MORTERO'!I1620+'BLAZE SHIELD II'!$H$6)*LN(J1620))+('BLAZE SHIELD II'!$H$7*('CALCULO MORTERO'!I1620^2)+'BLAZE SHIELD II'!$H$8*'CALCULO MORTERO'!I1620+'BLAZE SHIELD II'!$H$9)),0)+IF(AND(L1620="Blaze Shield II",M1620="Software Idiem",C1620="C"),((('BLAZE SHIELD II'!$L$4*('CALCULO MORTERO'!I1620^2)+'BLAZE SHIELD II'!$L$5*'CALCULO MORTERO'!I1620+'BLAZE SHIELD II'!$L$6)*LN(J1620))+('BLAZE SHIELD II'!$L$7*('CALCULO MORTERO'!I1620^2)+'BLAZE SHIELD II'!$L$8*'CALCULO MORTERO'!I1620+'BLAZE SHIELD II'!$L$9)),0)+IF(AND(L1620="Blaze Shield II",M1620="Software Idiem",C1620="L"),((('BLAZE SHIELD II'!$L$4*('CALCULO MORTERO'!I1620^2)+'BLAZE SHIELD II'!$L$5*'CALCULO MORTERO'!I1620+'BLAZE SHIELD II'!$L$6)*LN(J1620))+('BLAZE SHIELD II'!$L$7*('CALCULO MORTERO'!I1620^2)+'BLAZE SHIELD II'!$L$8*'CALCULO MORTERO'!I1620+'BLAZE SHIELD II'!$L$9)),0)+IF(AND(L1620="Blaze Shield II",M1620="Software Idiem",C1620="IN",G1620=3),((('BLAZE SHIELD II'!$H$14*('CALCULO MORTERO'!I1620^2)+'BLAZE SHIELD II'!$H$15*'CALCULO MORTERO'!I1620+'BLAZE SHIELD II'!$H$16)*LN(J1620))+('BLAZE SHIELD II'!$H$17*('CALCULO MORTERO'!I1620^2)+'BLAZE SHIELD II'!$H$18*'CALCULO MORTERO'!I1620+'BLAZE SHIELD II'!$H$19)),0),0)+ROUND(IF(AND(L1620="Cafco 400",M1620="Software Idiem",C1620="IN",G1620=4),((('CAFCO 400 '!$H$7*(J1620^4)+'CAFCO 400 '!$H$8*(J1620^3)+'CAFCO 400 '!$H$9*(J1620^2)+'CAFCO 400 '!$H$10*J1620+'CAFCO 400 '!$H$11)*U1620^2)+(('CAFCO 400 '!$H$12*(J1620^3)+'CAFCO 400 '!$H$13*(J1620^2)+'CAFCO 400 '!$H$14*J1620+'CAFCO 400 '!$H$15)*U1620)+('CAFCO 400 '!$H$16*(J1620^2)+'CAFCO 400 '!$H$17*J1620+'CAFCO 400 '!$H$18)),0)+IF(AND(L1620="Cafco 400",M1620="Software Idiem",C1620="Cj"),(((('CAFCO 400 '!$D$7*LN(J1620)+'CAFCO 400 '!$D$8)*U1620^2)+(('CAFCO 400 '!$D$9*LN(J1620)+'CAFCO 400 '!$D$10)*U1620)+('CAFCO 400 '!$D$11*LN(J1620)+'CAFCO 400 '!$D$12))),0)+IF(AND(L1620="Cafco 400",M1620="Software Idiem",C1620="C"),((('CAFCO 400 '!$L$7*(J1620^3)+'CAFCO 400 '!$L$8*(J1620^2)+'CAFCO 400 '!$L$9*J1620+'CAFCO 400 '!$L$10)*U1620^2)+(('CAFCO 400 '!$L$11*(J1620^3)+'CAFCO 400 '!$L$12*(J1620^2)+'CAFCO 400 '!$L$13*J1620+'CAFCO 400 '!$L$14)*U1620)+('CAFCO 400 '!$L$15*LN(J1620)+'CAFCO 400 '!$L$16)),0)+IF(AND(L1620="Cafco 400",M1620="Software Idiem",C1620="L"),((('CAFCO 400 '!$L$7*(J1620^3)+'CAFCO 400 '!$L$8*(J1620^2)+'CAFCO 400 '!$L$9*J1620+'CAFCO 400 '!$L$10)*U1620^2)+(('CAFCO 400 '!$L$11*(J1620^3)+'CAFCO 400 '!$L$12*(J1620^2)+'CAFCO 400 '!$L$13*J1620+'CAFCO 400 '!$L$14)*U1620)+('CAFCO 400 '!$L$15*LN(J1620)+'CAFCO 400 '!$L$16)),0)+IF(AND(L1620="Cafco 400",M1620="Software Idiem",C1620="IN",G1620=3),((('CAFCO 400 '!$D$23*(J1620^2)+'CAFCO 400 '!$D$24*(J1620)+'CAFCO 400 '!$D$25)*U1620^2)+(('CAFCO 400 '!$D$26*(J1620^2)+'CAFCO 400 '!$D$27*J1620+'CAFCO 400 '!$D$28)*U1620)+('CAFCO 400 '!$D$29*(J1620^2)+'CAFCO 400 '!$D$30*J1620+'CAFCO 400 '!$D$31)),0),0)+IF(AND(L1620="Cafco 300",J1620&gt;=95,J1620&lt;=240,C1620="Cj",I1620=90),VLOOKUP(T1620,'CAFCO 300 IDIEM TABLAS'!$B$4:$D$23,2,FALSE),0)+IF(AND(L1620="Cafco 300",J1620&gt;=95,J1620&lt;=240,C1620="Cj",I1620=120),VLOOKUP(T1620,'CAFCO 300 IDIEM TABLAS'!$B$4:$D$23,3,FALSE),0)+IF(AND(L1620="Cafco 300",J1620&gt;=95,J1620&lt;=400,G1620=3,C1620="IN",I1620=90),VLOOKUP(T1620,'CAFCO 300 IDIEM TABLAS'!$F$4:$H$35,2,FALSE),0)+IF(AND(L1620="Cafco 300",J1620&gt;=95,J1620&lt;=400,G1620=3,C1620="IN",I1620=120),VLOOKUP(T1620,'CAFCO 300 IDIEM TABLAS'!$F$4:$H$35,3,FALSE),0)+IF(AND(L1620="Cafco 300",J1620&gt;=95,J1620&lt;=450,G1620=4,C1620="IN",I1620=90),VLOOKUP(T1620,'CAFCO 300 IDIEM TABLAS'!$J$4:$L$40,2,FALSE),0)+IF(AND(L1620="Cafco 300",J1620&gt;=95,J1620&lt;=450,G1620=4,C1620="IN",I1620=120),VLOOKUP(T1620,'CAFCO 300 IDIEM TABLAS'!$J$4:$L$40,3,FALSE),0)+IF(AND(M1620="Ensayo Idiem",L1620="Cafco 400",C1620="IN",G1620=4,I1620=90),VLOOKUP(T1620,'CAFCO 400 ENSAYO'!$B$7:$D$43,2,FALSE),0)+IF(AND(M1620="Ensayo Idiem",L1620="Cafco 400",C1620="IN",G1620=4,I1620=120),VLOOKUP(T1620,'CAFCO 400 ENSAYO'!$B$7:$D$43,3,FALSE),0)</f>
        <v>0</v>
      </c>
      <c r="O1620" s="96">
        <f t="shared" si="162"/>
        <v>0</v>
      </c>
      <c r="P1620" s="95" t="str">
        <f t="shared" si="157"/>
        <v>N/A</v>
      </c>
      <c r="Q1620" s="95" t="str">
        <f t="shared" si="158"/>
        <v>N/A</v>
      </c>
      <c r="R1620" s="95" t="str">
        <f t="shared" si="159"/>
        <v>NO CERT.</v>
      </c>
      <c r="S1620" s="95" t="e">
        <f t="shared" si="160"/>
        <v>#N/A</v>
      </c>
      <c r="T1620" s="119" t="e">
        <f>+IF(J1620=LOOKUP(J1620,'CAFCO 300 IDIEM TABLAS'!$J$4:$J$40),'CALCULO MORTERO'!J1620,MROUND('CALCULO MORTERO'!J1620,10))</f>
        <v>#N/A</v>
      </c>
      <c r="U1620" s="118">
        <f t="shared" si="161"/>
        <v>0</v>
      </c>
    </row>
    <row r="1621" spans="1:21" x14ac:dyDescent="0.25">
      <c r="A1621" s="118">
        <f>+CUBICACION!D1615</f>
        <v>0</v>
      </c>
      <c r="B1621" s="819">
        <f>+CUBICACION!E1615</f>
        <v>0</v>
      </c>
      <c r="C1621" s="675">
        <f>+CUBICACION!F1615</f>
        <v>0</v>
      </c>
      <c r="D1621" s="118"/>
      <c r="E1621" s="118"/>
      <c r="F1621" s="820"/>
      <c r="G1621" s="675">
        <f>+CUBICACION!J1615</f>
        <v>0</v>
      </c>
      <c r="H1621" s="118"/>
      <c r="I1621" s="821">
        <f>+CUBICACION!L1615</f>
        <v>0</v>
      </c>
      <c r="J1621" s="64">
        <f>+CUBICACION!M1615</f>
        <v>0</v>
      </c>
      <c r="K1621" s="822" t="str">
        <f>+CUBICACION!N1615</f>
        <v/>
      </c>
      <c r="L1621" s="118">
        <f>+CUBICACION!O1615</f>
        <v>0</v>
      </c>
      <c r="M1621" s="823">
        <f>+CUBICACION!P1615</f>
        <v>0</v>
      </c>
      <c r="N1621" s="902">
        <f>ROUND(IF(AND(L1621="Blaze Shield II",M1621="Software Idiem",C1621="IN",G1621=4),((('BLAZE SHIELD II'!$D$4*('CALCULO MORTERO'!I1621^2)+'BLAZE SHIELD II'!$D$5*'CALCULO MORTERO'!I1621+'BLAZE SHIELD II'!$D$6)*LN(J1621))+('BLAZE SHIELD II'!$D$7*('CALCULO MORTERO'!I1621^2)+'BLAZE SHIELD II'!$D$8*'CALCULO MORTERO'!I1621+'BLAZE SHIELD II'!$D$9)),0)+IF(AND(L1621="Blaze Shield II",M1621="Software Idiem",C1621="Cj"),((('BLAZE SHIELD II'!$H$4*('CALCULO MORTERO'!I1621^2)+'BLAZE SHIELD II'!$H$5*'CALCULO MORTERO'!I1621+'BLAZE SHIELD II'!$H$6)*LN(J1621))+('BLAZE SHIELD II'!$H$7*('CALCULO MORTERO'!I1621^2)+'BLAZE SHIELD II'!$H$8*'CALCULO MORTERO'!I1621+'BLAZE SHIELD II'!$H$9)),0)+IF(AND(L1621="Blaze Shield II",M1621="Software Idiem",C1621="C"),((('BLAZE SHIELD II'!$L$4*('CALCULO MORTERO'!I1621^2)+'BLAZE SHIELD II'!$L$5*'CALCULO MORTERO'!I1621+'BLAZE SHIELD II'!$L$6)*LN(J1621))+('BLAZE SHIELD II'!$L$7*('CALCULO MORTERO'!I1621^2)+'BLAZE SHIELD II'!$L$8*'CALCULO MORTERO'!I1621+'BLAZE SHIELD II'!$L$9)),0)+IF(AND(L1621="Blaze Shield II",M1621="Software Idiem",C1621="L"),((('BLAZE SHIELD II'!$L$4*('CALCULO MORTERO'!I1621^2)+'BLAZE SHIELD II'!$L$5*'CALCULO MORTERO'!I1621+'BLAZE SHIELD II'!$L$6)*LN(J1621))+('BLAZE SHIELD II'!$L$7*('CALCULO MORTERO'!I1621^2)+'BLAZE SHIELD II'!$L$8*'CALCULO MORTERO'!I1621+'BLAZE SHIELD II'!$L$9)),0)+IF(AND(L1621="Blaze Shield II",M1621="Software Idiem",C1621="IN",G1621=3),((('BLAZE SHIELD II'!$H$14*('CALCULO MORTERO'!I1621^2)+'BLAZE SHIELD II'!$H$15*'CALCULO MORTERO'!I1621+'BLAZE SHIELD II'!$H$16)*LN(J1621))+('BLAZE SHIELD II'!$H$17*('CALCULO MORTERO'!I1621^2)+'BLAZE SHIELD II'!$H$18*'CALCULO MORTERO'!I1621+'BLAZE SHIELD II'!$H$19)),0),0)+ROUND(IF(AND(L1621="Cafco 400",M1621="Software Idiem",C1621="IN",G1621=4),((('CAFCO 400 '!$H$7*(J1621^4)+'CAFCO 400 '!$H$8*(J1621^3)+'CAFCO 400 '!$H$9*(J1621^2)+'CAFCO 400 '!$H$10*J1621+'CAFCO 400 '!$H$11)*U1621^2)+(('CAFCO 400 '!$H$12*(J1621^3)+'CAFCO 400 '!$H$13*(J1621^2)+'CAFCO 400 '!$H$14*J1621+'CAFCO 400 '!$H$15)*U1621)+('CAFCO 400 '!$H$16*(J1621^2)+'CAFCO 400 '!$H$17*J1621+'CAFCO 400 '!$H$18)),0)+IF(AND(L1621="Cafco 400",M1621="Software Idiem",C1621="Cj"),(((('CAFCO 400 '!$D$7*LN(J1621)+'CAFCO 400 '!$D$8)*U1621^2)+(('CAFCO 400 '!$D$9*LN(J1621)+'CAFCO 400 '!$D$10)*U1621)+('CAFCO 400 '!$D$11*LN(J1621)+'CAFCO 400 '!$D$12))),0)+IF(AND(L1621="Cafco 400",M1621="Software Idiem",C1621="C"),((('CAFCO 400 '!$L$7*(J1621^3)+'CAFCO 400 '!$L$8*(J1621^2)+'CAFCO 400 '!$L$9*J1621+'CAFCO 400 '!$L$10)*U1621^2)+(('CAFCO 400 '!$L$11*(J1621^3)+'CAFCO 400 '!$L$12*(J1621^2)+'CAFCO 400 '!$L$13*J1621+'CAFCO 400 '!$L$14)*U1621)+('CAFCO 400 '!$L$15*LN(J1621)+'CAFCO 400 '!$L$16)),0)+IF(AND(L1621="Cafco 400",M1621="Software Idiem",C1621="L"),((('CAFCO 400 '!$L$7*(J1621^3)+'CAFCO 400 '!$L$8*(J1621^2)+'CAFCO 400 '!$L$9*J1621+'CAFCO 400 '!$L$10)*U1621^2)+(('CAFCO 400 '!$L$11*(J1621^3)+'CAFCO 400 '!$L$12*(J1621^2)+'CAFCO 400 '!$L$13*J1621+'CAFCO 400 '!$L$14)*U1621)+('CAFCO 400 '!$L$15*LN(J1621)+'CAFCO 400 '!$L$16)),0)+IF(AND(L1621="Cafco 400",M1621="Software Idiem",C1621="IN",G1621=3),((('CAFCO 400 '!$D$23*(J1621^2)+'CAFCO 400 '!$D$24*(J1621)+'CAFCO 400 '!$D$25)*U1621^2)+(('CAFCO 400 '!$D$26*(J1621^2)+'CAFCO 400 '!$D$27*J1621+'CAFCO 400 '!$D$28)*U1621)+('CAFCO 400 '!$D$29*(J1621^2)+'CAFCO 400 '!$D$30*J1621+'CAFCO 400 '!$D$31)),0),0)+IF(AND(L1621="Cafco 300",J1621&gt;=95,J1621&lt;=240,C1621="Cj",I1621=90),VLOOKUP(T1621,'CAFCO 300 IDIEM TABLAS'!$B$4:$D$23,2,FALSE),0)+IF(AND(L1621="Cafco 300",J1621&gt;=95,J1621&lt;=240,C1621="Cj",I1621=120),VLOOKUP(T1621,'CAFCO 300 IDIEM TABLAS'!$B$4:$D$23,3,FALSE),0)+IF(AND(L1621="Cafco 300",J1621&gt;=95,J1621&lt;=400,G1621=3,C1621="IN",I1621=90),VLOOKUP(T1621,'CAFCO 300 IDIEM TABLAS'!$F$4:$H$35,2,FALSE),0)+IF(AND(L1621="Cafco 300",J1621&gt;=95,J1621&lt;=400,G1621=3,C1621="IN",I1621=120),VLOOKUP(T1621,'CAFCO 300 IDIEM TABLAS'!$F$4:$H$35,3,FALSE),0)+IF(AND(L1621="Cafco 300",J1621&gt;=95,J1621&lt;=450,G1621=4,C1621="IN",I1621=90),VLOOKUP(T1621,'CAFCO 300 IDIEM TABLAS'!$J$4:$L$40,2,FALSE),0)+IF(AND(L1621="Cafco 300",J1621&gt;=95,J1621&lt;=450,G1621=4,C1621="IN",I1621=120),VLOOKUP(T1621,'CAFCO 300 IDIEM TABLAS'!$J$4:$L$40,3,FALSE),0)+IF(AND(M1621="Ensayo Idiem",L1621="Cafco 400",C1621="IN",G1621=4,I1621=90),VLOOKUP(T1621,'CAFCO 400 ENSAYO'!$B$7:$D$43,2,FALSE),0)+IF(AND(M1621="Ensayo Idiem",L1621="Cafco 400",C1621="IN",G1621=4,I1621=120),VLOOKUP(T1621,'CAFCO 400 ENSAYO'!$B$7:$D$43,3,FALSE),0)</f>
        <v>0</v>
      </c>
      <c r="O1621" s="96">
        <f t="shared" si="162"/>
        <v>0</v>
      </c>
      <c r="P1621" s="132" t="str">
        <f t="shared" si="157"/>
        <v>N/A</v>
      </c>
      <c r="Q1621" s="132" t="str">
        <f t="shared" si="158"/>
        <v>N/A</v>
      </c>
      <c r="R1621" s="132" t="str">
        <f t="shared" si="159"/>
        <v>NO CERT.</v>
      </c>
      <c r="S1621" s="132" t="e">
        <f t="shared" si="160"/>
        <v>#N/A</v>
      </c>
      <c r="T1621" s="133" t="e">
        <f>+IF(J1621=LOOKUP(J1621,'CAFCO 300 IDIEM TABLAS'!$J$4:$J$40),'CALCULO MORTERO'!J1621,MROUND('CALCULO MORTERO'!J1621,10))</f>
        <v>#N/A</v>
      </c>
      <c r="U1621" s="134">
        <f t="shared" si="161"/>
        <v>0</v>
      </c>
    </row>
    <row r="1622" spans="1:21" x14ac:dyDescent="0.25">
      <c r="A1622" s="118">
        <f>+CUBICACION!D1616</f>
        <v>0</v>
      </c>
      <c r="B1622" s="819">
        <f>+CUBICACION!E1616</f>
        <v>0</v>
      </c>
      <c r="C1622" s="675">
        <f>+CUBICACION!F1616</f>
        <v>0</v>
      </c>
      <c r="D1622" s="118"/>
      <c r="E1622" s="118"/>
      <c r="F1622" s="820"/>
      <c r="G1622" s="675">
        <f>+CUBICACION!J1616</f>
        <v>0</v>
      </c>
      <c r="H1622" s="118"/>
      <c r="I1622" s="821">
        <f>+CUBICACION!L1616</f>
        <v>0</v>
      </c>
      <c r="J1622" s="64">
        <f>+CUBICACION!M1616</f>
        <v>0</v>
      </c>
      <c r="K1622" s="822" t="str">
        <f>+CUBICACION!N1616</f>
        <v/>
      </c>
      <c r="L1622" s="118">
        <f>+CUBICACION!O1616</f>
        <v>0</v>
      </c>
      <c r="M1622" s="823">
        <f>+CUBICACION!P1616</f>
        <v>0</v>
      </c>
      <c r="N1622" s="902">
        <f>ROUND(IF(AND(L1622="Blaze Shield II",M1622="Software Idiem",C1622="IN",G1622=4),((('BLAZE SHIELD II'!$D$4*('CALCULO MORTERO'!I1622^2)+'BLAZE SHIELD II'!$D$5*'CALCULO MORTERO'!I1622+'BLAZE SHIELD II'!$D$6)*LN(J1622))+('BLAZE SHIELD II'!$D$7*('CALCULO MORTERO'!I1622^2)+'BLAZE SHIELD II'!$D$8*'CALCULO MORTERO'!I1622+'BLAZE SHIELD II'!$D$9)),0)+IF(AND(L1622="Blaze Shield II",M1622="Software Idiem",C1622="Cj"),((('BLAZE SHIELD II'!$H$4*('CALCULO MORTERO'!I1622^2)+'BLAZE SHIELD II'!$H$5*'CALCULO MORTERO'!I1622+'BLAZE SHIELD II'!$H$6)*LN(J1622))+('BLAZE SHIELD II'!$H$7*('CALCULO MORTERO'!I1622^2)+'BLAZE SHIELD II'!$H$8*'CALCULO MORTERO'!I1622+'BLAZE SHIELD II'!$H$9)),0)+IF(AND(L1622="Blaze Shield II",M1622="Software Idiem",C1622="C"),((('BLAZE SHIELD II'!$L$4*('CALCULO MORTERO'!I1622^2)+'BLAZE SHIELD II'!$L$5*'CALCULO MORTERO'!I1622+'BLAZE SHIELD II'!$L$6)*LN(J1622))+('BLAZE SHIELD II'!$L$7*('CALCULO MORTERO'!I1622^2)+'BLAZE SHIELD II'!$L$8*'CALCULO MORTERO'!I1622+'BLAZE SHIELD II'!$L$9)),0)+IF(AND(L1622="Blaze Shield II",M1622="Software Idiem",C1622="L"),((('BLAZE SHIELD II'!$L$4*('CALCULO MORTERO'!I1622^2)+'BLAZE SHIELD II'!$L$5*'CALCULO MORTERO'!I1622+'BLAZE SHIELD II'!$L$6)*LN(J1622))+('BLAZE SHIELD II'!$L$7*('CALCULO MORTERO'!I1622^2)+'BLAZE SHIELD II'!$L$8*'CALCULO MORTERO'!I1622+'BLAZE SHIELD II'!$L$9)),0)+IF(AND(L1622="Blaze Shield II",M1622="Software Idiem",C1622="IN",G1622=3),((('BLAZE SHIELD II'!$H$14*('CALCULO MORTERO'!I1622^2)+'BLAZE SHIELD II'!$H$15*'CALCULO MORTERO'!I1622+'BLAZE SHIELD II'!$H$16)*LN(J1622))+('BLAZE SHIELD II'!$H$17*('CALCULO MORTERO'!I1622^2)+'BLAZE SHIELD II'!$H$18*'CALCULO MORTERO'!I1622+'BLAZE SHIELD II'!$H$19)),0),0)+ROUND(IF(AND(L1622="Cafco 400",M1622="Software Idiem",C1622="IN",G1622=4),((('CAFCO 400 '!$H$7*(J1622^4)+'CAFCO 400 '!$H$8*(J1622^3)+'CAFCO 400 '!$H$9*(J1622^2)+'CAFCO 400 '!$H$10*J1622+'CAFCO 400 '!$H$11)*U1622^2)+(('CAFCO 400 '!$H$12*(J1622^3)+'CAFCO 400 '!$H$13*(J1622^2)+'CAFCO 400 '!$H$14*J1622+'CAFCO 400 '!$H$15)*U1622)+('CAFCO 400 '!$H$16*(J1622^2)+'CAFCO 400 '!$H$17*J1622+'CAFCO 400 '!$H$18)),0)+IF(AND(L1622="Cafco 400",M1622="Software Idiem",C1622="Cj"),(((('CAFCO 400 '!$D$7*LN(J1622)+'CAFCO 400 '!$D$8)*U1622^2)+(('CAFCO 400 '!$D$9*LN(J1622)+'CAFCO 400 '!$D$10)*U1622)+('CAFCO 400 '!$D$11*LN(J1622)+'CAFCO 400 '!$D$12))),0)+IF(AND(L1622="Cafco 400",M1622="Software Idiem",C1622="C"),((('CAFCO 400 '!$L$7*(J1622^3)+'CAFCO 400 '!$L$8*(J1622^2)+'CAFCO 400 '!$L$9*J1622+'CAFCO 400 '!$L$10)*U1622^2)+(('CAFCO 400 '!$L$11*(J1622^3)+'CAFCO 400 '!$L$12*(J1622^2)+'CAFCO 400 '!$L$13*J1622+'CAFCO 400 '!$L$14)*U1622)+('CAFCO 400 '!$L$15*LN(J1622)+'CAFCO 400 '!$L$16)),0)+IF(AND(L1622="Cafco 400",M1622="Software Idiem",C1622="L"),((('CAFCO 400 '!$L$7*(J1622^3)+'CAFCO 400 '!$L$8*(J1622^2)+'CAFCO 400 '!$L$9*J1622+'CAFCO 400 '!$L$10)*U1622^2)+(('CAFCO 400 '!$L$11*(J1622^3)+'CAFCO 400 '!$L$12*(J1622^2)+'CAFCO 400 '!$L$13*J1622+'CAFCO 400 '!$L$14)*U1622)+('CAFCO 400 '!$L$15*LN(J1622)+'CAFCO 400 '!$L$16)),0)+IF(AND(L1622="Cafco 400",M1622="Software Idiem",C1622="IN",G1622=3),((('CAFCO 400 '!$D$23*(J1622^2)+'CAFCO 400 '!$D$24*(J1622)+'CAFCO 400 '!$D$25)*U1622^2)+(('CAFCO 400 '!$D$26*(J1622^2)+'CAFCO 400 '!$D$27*J1622+'CAFCO 400 '!$D$28)*U1622)+('CAFCO 400 '!$D$29*(J1622^2)+'CAFCO 400 '!$D$30*J1622+'CAFCO 400 '!$D$31)),0),0)+IF(AND(L1622="Cafco 300",J1622&gt;=95,J1622&lt;=240,C1622="Cj",I1622=90),VLOOKUP(T1622,'CAFCO 300 IDIEM TABLAS'!$B$4:$D$23,2,FALSE),0)+IF(AND(L1622="Cafco 300",J1622&gt;=95,J1622&lt;=240,C1622="Cj",I1622=120),VLOOKUP(T1622,'CAFCO 300 IDIEM TABLAS'!$B$4:$D$23,3,FALSE),0)+IF(AND(L1622="Cafco 300",J1622&gt;=95,J1622&lt;=400,G1622=3,C1622="IN",I1622=90),VLOOKUP(T1622,'CAFCO 300 IDIEM TABLAS'!$F$4:$H$35,2,FALSE),0)+IF(AND(L1622="Cafco 300",J1622&gt;=95,J1622&lt;=400,G1622=3,C1622="IN",I1622=120),VLOOKUP(T1622,'CAFCO 300 IDIEM TABLAS'!$F$4:$H$35,3,FALSE),0)+IF(AND(L1622="Cafco 300",J1622&gt;=95,J1622&lt;=450,G1622=4,C1622="IN",I1622=90),VLOOKUP(T1622,'CAFCO 300 IDIEM TABLAS'!$J$4:$L$40,2,FALSE),0)+IF(AND(L1622="Cafco 300",J1622&gt;=95,J1622&lt;=450,G1622=4,C1622="IN",I1622=120),VLOOKUP(T1622,'CAFCO 300 IDIEM TABLAS'!$J$4:$L$40,3,FALSE),0)+IF(AND(M1622="Ensayo Idiem",L1622="Cafco 400",C1622="IN",G1622=4,I1622=90),VLOOKUP(T1622,'CAFCO 400 ENSAYO'!$B$7:$D$43,2,FALSE),0)+IF(AND(M1622="Ensayo Idiem",L1622="Cafco 400",C1622="IN",G1622=4,I1622=120),VLOOKUP(T1622,'CAFCO 400 ENSAYO'!$B$7:$D$43,3,FALSE),0)</f>
        <v>0</v>
      </c>
      <c r="O1622" s="96">
        <f t="shared" si="162"/>
        <v>0</v>
      </c>
      <c r="P1622" s="95" t="str">
        <f t="shared" si="157"/>
        <v>N/A</v>
      </c>
      <c r="Q1622" s="95" t="str">
        <f t="shared" si="158"/>
        <v>N/A</v>
      </c>
      <c r="R1622" s="95" t="str">
        <f t="shared" si="159"/>
        <v>NO CERT.</v>
      </c>
      <c r="S1622" s="95" t="e">
        <f t="shared" si="160"/>
        <v>#N/A</v>
      </c>
      <c r="T1622" s="119" t="e">
        <f>+IF(J1622=LOOKUP(J1622,'CAFCO 300 IDIEM TABLAS'!$J$4:$J$40),'CALCULO MORTERO'!J1622,MROUND('CALCULO MORTERO'!J1622,10))</f>
        <v>#N/A</v>
      </c>
      <c r="U1622" s="118">
        <f t="shared" si="161"/>
        <v>0</v>
      </c>
    </row>
    <row r="1623" spans="1:21" x14ac:dyDescent="0.25">
      <c r="A1623" s="118">
        <f>+CUBICACION!D1617</f>
        <v>0</v>
      </c>
      <c r="B1623" s="819">
        <f>+CUBICACION!E1617</f>
        <v>0</v>
      </c>
      <c r="C1623" s="675">
        <f>+CUBICACION!F1617</f>
        <v>0</v>
      </c>
      <c r="D1623" s="118"/>
      <c r="E1623" s="118"/>
      <c r="F1623" s="820"/>
      <c r="G1623" s="675">
        <f>+CUBICACION!J1617</f>
        <v>0</v>
      </c>
      <c r="H1623" s="118"/>
      <c r="I1623" s="821">
        <f>+CUBICACION!L1617</f>
        <v>0</v>
      </c>
      <c r="J1623" s="64">
        <f>+CUBICACION!M1617</f>
        <v>0</v>
      </c>
      <c r="K1623" s="822" t="str">
        <f>+CUBICACION!N1617</f>
        <v/>
      </c>
      <c r="L1623" s="118">
        <f>+CUBICACION!O1617</f>
        <v>0</v>
      </c>
      <c r="M1623" s="823">
        <f>+CUBICACION!P1617</f>
        <v>0</v>
      </c>
      <c r="N1623" s="902">
        <f>ROUND(IF(AND(L1623="Blaze Shield II",M1623="Software Idiem",C1623="IN",G1623=4),((('BLAZE SHIELD II'!$D$4*('CALCULO MORTERO'!I1623^2)+'BLAZE SHIELD II'!$D$5*'CALCULO MORTERO'!I1623+'BLAZE SHIELD II'!$D$6)*LN(J1623))+('BLAZE SHIELD II'!$D$7*('CALCULO MORTERO'!I1623^2)+'BLAZE SHIELD II'!$D$8*'CALCULO MORTERO'!I1623+'BLAZE SHIELD II'!$D$9)),0)+IF(AND(L1623="Blaze Shield II",M1623="Software Idiem",C1623="Cj"),((('BLAZE SHIELD II'!$H$4*('CALCULO MORTERO'!I1623^2)+'BLAZE SHIELD II'!$H$5*'CALCULO MORTERO'!I1623+'BLAZE SHIELD II'!$H$6)*LN(J1623))+('BLAZE SHIELD II'!$H$7*('CALCULO MORTERO'!I1623^2)+'BLAZE SHIELD II'!$H$8*'CALCULO MORTERO'!I1623+'BLAZE SHIELD II'!$H$9)),0)+IF(AND(L1623="Blaze Shield II",M1623="Software Idiem",C1623="C"),((('BLAZE SHIELD II'!$L$4*('CALCULO MORTERO'!I1623^2)+'BLAZE SHIELD II'!$L$5*'CALCULO MORTERO'!I1623+'BLAZE SHIELD II'!$L$6)*LN(J1623))+('BLAZE SHIELD II'!$L$7*('CALCULO MORTERO'!I1623^2)+'BLAZE SHIELD II'!$L$8*'CALCULO MORTERO'!I1623+'BLAZE SHIELD II'!$L$9)),0)+IF(AND(L1623="Blaze Shield II",M1623="Software Idiem",C1623="L"),((('BLAZE SHIELD II'!$L$4*('CALCULO MORTERO'!I1623^2)+'BLAZE SHIELD II'!$L$5*'CALCULO MORTERO'!I1623+'BLAZE SHIELD II'!$L$6)*LN(J1623))+('BLAZE SHIELD II'!$L$7*('CALCULO MORTERO'!I1623^2)+'BLAZE SHIELD II'!$L$8*'CALCULO MORTERO'!I1623+'BLAZE SHIELD II'!$L$9)),0)+IF(AND(L1623="Blaze Shield II",M1623="Software Idiem",C1623="IN",G1623=3),((('BLAZE SHIELD II'!$H$14*('CALCULO MORTERO'!I1623^2)+'BLAZE SHIELD II'!$H$15*'CALCULO MORTERO'!I1623+'BLAZE SHIELD II'!$H$16)*LN(J1623))+('BLAZE SHIELD II'!$H$17*('CALCULO MORTERO'!I1623^2)+'BLAZE SHIELD II'!$H$18*'CALCULO MORTERO'!I1623+'BLAZE SHIELD II'!$H$19)),0),0)+ROUND(IF(AND(L1623="Cafco 400",M1623="Software Idiem",C1623="IN",G1623=4),((('CAFCO 400 '!$H$7*(J1623^4)+'CAFCO 400 '!$H$8*(J1623^3)+'CAFCO 400 '!$H$9*(J1623^2)+'CAFCO 400 '!$H$10*J1623+'CAFCO 400 '!$H$11)*U1623^2)+(('CAFCO 400 '!$H$12*(J1623^3)+'CAFCO 400 '!$H$13*(J1623^2)+'CAFCO 400 '!$H$14*J1623+'CAFCO 400 '!$H$15)*U1623)+('CAFCO 400 '!$H$16*(J1623^2)+'CAFCO 400 '!$H$17*J1623+'CAFCO 400 '!$H$18)),0)+IF(AND(L1623="Cafco 400",M1623="Software Idiem",C1623="Cj"),(((('CAFCO 400 '!$D$7*LN(J1623)+'CAFCO 400 '!$D$8)*U1623^2)+(('CAFCO 400 '!$D$9*LN(J1623)+'CAFCO 400 '!$D$10)*U1623)+('CAFCO 400 '!$D$11*LN(J1623)+'CAFCO 400 '!$D$12))),0)+IF(AND(L1623="Cafco 400",M1623="Software Idiem",C1623="C"),((('CAFCO 400 '!$L$7*(J1623^3)+'CAFCO 400 '!$L$8*(J1623^2)+'CAFCO 400 '!$L$9*J1623+'CAFCO 400 '!$L$10)*U1623^2)+(('CAFCO 400 '!$L$11*(J1623^3)+'CAFCO 400 '!$L$12*(J1623^2)+'CAFCO 400 '!$L$13*J1623+'CAFCO 400 '!$L$14)*U1623)+('CAFCO 400 '!$L$15*LN(J1623)+'CAFCO 400 '!$L$16)),0)+IF(AND(L1623="Cafco 400",M1623="Software Idiem",C1623="L"),((('CAFCO 400 '!$L$7*(J1623^3)+'CAFCO 400 '!$L$8*(J1623^2)+'CAFCO 400 '!$L$9*J1623+'CAFCO 400 '!$L$10)*U1623^2)+(('CAFCO 400 '!$L$11*(J1623^3)+'CAFCO 400 '!$L$12*(J1623^2)+'CAFCO 400 '!$L$13*J1623+'CAFCO 400 '!$L$14)*U1623)+('CAFCO 400 '!$L$15*LN(J1623)+'CAFCO 400 '!$L$16)),0)+IF(AND(L1623="Cafco 400",M1623="Software Idiem",C1623="IN",G1623=3),((('CAFCO 400 '!$D$23*(J1623^2)+'CAFCO 400 '!$D$24*(J1623)+'CAFCO 400 '!$D$25)*U1623^2)+(('CAFCO 400 '!$D$26*(J1623^2)+'CAFCO 400 '!$D$27*J1623+'CAFCO 400 '!$D$28)*U1623)+('CAFCO 400 '!$D$29*(J1623^2)+'CAFCO 400 '!$D$30*J1623+'CAFCO 400 '!$D$31)),0),0)+IF(AND(L1623="Cafco 300",J1623&gt;=95,J1623&lt;=240,C1623="Cj",I1623=90),VLOOKUP(T1623,'CAFCO 300 IDIEM TABLAS'!$B$4:$D$23,2,FALSE),0)+IF(AND(L1623="Cafco 300",J1623&gt;=95,J1623&lt;=240,C1623="Cj",I1623=120),VLOOKUP(T1623,'CAFCO 300 IDIEM TABLAS'!$B$4:$D$23,3,FALSE),0)+IF(AND(L1623="Cafco 300",J1623&gt;=95,J1623&lt;=400,G1623=3,C1623="IN",I1623=90),VLOOKUP(T1623,'CAFCO 300 IDIEM TABLAS'!$F$4:$H$35,2,FALSE),0)+IF(AND(L1623="Cafco 300",J1623&gt;=95,J1623&lt;=400,G1623=3,C1623="IN",I1623=120),VLOOKUP(T1623,'CAFCO 300 IDIEM TABLAS'!$F$4:$H$35,3,FALSE),0)+IF(AND(L1623="Cafco 300",J1623&gt;=95,J1623&lt;=450,G1623=4,C1623="IN",I1623=90),VLOOKUP(T1623,'CAFCO 300 IDIEM TABLAS'!$J$4:$L$40,2,FALSE),0)+IF(AND(L1623="Cafco 300",J1623&gt;=95,J1623&lt;=450,G1623=4,C1623="IN",I1623=120),VLOOKUP(T1623,'CAFCO 300 IDIEM TABLAS'!$J$4:$L$40,3,FALSE),0)+IF(AND(M1623="Ensayo Idiem",L1623="Cafco 400",C1623="IN",G1623=4,I1623=90),VLOOKUP(T1623,'CAFCO 400 ENSAYO'!$B$7:$D$43,2,FALSE),0)+IF(AND(M1623="Ensayo Idiem",L1623="Cafco 400",C1623="IN",G1623=4,I1623=120),VLOOKUP(T1623,'CAFCO 400 ENSAYO'!$B$7:$D$43,3,FALSE),0)</f>
        <v>0</v>
      </c>
      <c r="O1623" s="96">
        <f t="shared" si="162"/>
        <v>0</v>
      </c>
      <c r="P1623" s="132" t="str">
        <f t="shared" si="157"/>
        <v>N/A</v>
      </c>
      <c r="Q1623" s="132" t="str">
        <f t="shared" si="158"/>
        <v>N/A</v>
      </c>
      <c r="R1623" s="132" t="str">
        <f t="shared" si="159"/>
        <v>NO CERT.</v>
      </c>
      <c r="S1623" s="132" t="e">
        <f t="shared" si="160"/>
        <v>#N/A</v>
      </c>
      <c r="T1623" s="133" t="e">
        <f>+IF(J1623=LOOKUP(J1623,'CAFCO 300 IDIEM TABLAS'!$J$4:$J$40),'CALCULO MORTERO'!J1623,MROUND('CALCULO MORTERO'!J1623,10))</f>
        <v>#N/A</v>
      </c>
      <c r="U1623" s="134">
        <f t="shared" si="161"/>
        <v>0</v>
      </c>
    </row>
    <row r="1624" spans="1:21" x14ac:dyDescent="0.25">
      <c r="A1624" s="118">
        <f>+CUBICACION!D1618</f>
        <v>0</v>
      </c>
      <c r="B1624" s="819">
        <f>+CUBICACION!E1618</f>
        <v>0</v>
      </c>
      <c r="C1624" s="675">
        <f>+CUBICACION!F1618</f>
        <v>0</v>
      </c>
      <c r="D1624" s="118"/>
      <c r="E1624" s="118"/>
      <c r="F1624" s="820"/>
      <c r="G1624" s="675">
        <f>+CUBICACION!J1618</f>
        <v>0</v>
      </c>
      <c r="H1624" s="118"/>
      <c r="I1624" s="821">
        <f>+CUBICACION!L1618</f>
        <v>0</v>
      </c>
      <c r="J1624" s="64">
        <f>+CUBICACION!M1618</f>
        <v>0</v>
      </c>
      <c r="K1624" s="822" t="str">
        <f>+CUBICACION!N1618</f>
        <v/>
      </c>
      <c r="L1624" s="118">
        <f>+CUBICACION!O1618</f>
        <v>0</v>
      </c>
      <c r="M1624" s="823">
        <f>+CUBICACION!P1618</f>
        <v>0</v>
      </c>
      <c r="N1624" s="902">
        <f>ROUND(IF(AND(L1624="Blaze Shield II",M1624="Software Idiem",C1624="IN",G1624=4),((('BLAZE SHIELD II'!$D$4*('CALCULO MORTERO'!I1624^2)+'BLAZE SHIELD II'!$D$5*'CALCULO MORTERO'!I1624+'BLAZE SHIELD II'!$D$6)*LN(J1624))+('BLAZE SHIELD II'!$D$7*('CALCULO MORTERO'!I1624^2)+'BLAZE SHIELD II'!$D$8*'CALCULO MORTERO'!I1624+'BLAZE SHIELD II'!$D$9)),0)+IF(AND(L1624="Blaze Shield II",M1624="Software Idiem",C1624="Cj"),((('BLAZE SHIELD II'!$H$4*('CALCULO MORTERO'!I1624^2)+'BLAZE SHIELD II'!$H$5*'CALCULO MORTERO'!I1624+'BLAZE SHIELD II'!$H$6)*LN(J1624))+('BLAZE SHIELD II'!$H$7*('CALCULO MORTERO'!I1624^2)+'BLAZE SHIELD II'!$H$8*'CALCULO MORTERO'!I1624+'BLAZE SHIELD II'!$H$9)),0)+IF(AND(L1624="Blaze Shield II",M1624="Software Idiem",C1624="C"),((('BLAZE SHIELD II'!$L$4*('CALCULO MORTERO'!I1624^2)+'BLAZE SHIELD II'!$L$5*'CALCULO MORTERO'!I1624+'BLAZE SHIELD II'!$L$6)*LN(J1624))+('BLAZE SHIELD II'!$L$7*('CALCULO MORTERO'!I1624^2)+'BLAZE SHIELD II'!$L$8*'CALCULO MORTERO'!I1624+'BLAZE SHIELD II'!$L$9)),0)+IF(AND(L1624="Blaze Shield II",M1624="Software Idiem",C1624="L"),((('BLAZE SHIELD II'!$L$4*('CALCULO MORTERO'!I1624^2)+'BLAZE SHIELD II'!$L$5*'CALCULO MORTERO'!I1624+'BLAZE SHIELD II'!$L$6)*LN(J1624))+('BLAZE SHIELD II'!$L$7*('CALCULO MORTERO'!I1624^2)+'BLAZE SHIELD II'!$L$8*'CALCULO MORTERO'!I1624+'BLAZE SHIELD II'!$L$9)),0)+IF(AND(L1624="Blaze Shield II",M1624="Software Idiem",C1624="IN",G1624=3),((('BLAZE SHIELD II'!$H$14*('CALCULO MORTERO'!I1624^2)+'BLAZE SHIELD II'!$H$15*'CALCULO MORTERO'!I1624+'BLAZE SHIELD II'!$H$16)*LN(J1624))+('BLAZE SHIELD II'!$H$17*('CALCULO MORTERO'!I1624^2)+'BLAZE SHIELD II'!$H$18*'CALCULO MORTERO'!I1624+'BLAZE SHIELD II'!$H$19)),0),0)+ROUND(IF(AND(L1624="Cafco 400",M1624="Software Idiem",C1624="IN",G1624=4),((('CAFCO 400 '!$H$7*(J1624^4)+'CAFCO 400 '!$H$8*(J1624^3)+'CAFCO 400 '!$H$9*(J1624^2)+'CAFCO 400 '!$H$10*J1624+'CAFCO 400 '!$H$11)*U1624^2)+(('CAFCO 400 '!$H$12*(J1624^3)+'CAFCO 400 '!$H$13*(J1624^2)+'CAFCO 400 '!$H$14*J1624+'CAFCO 400 '!$H$15)*U1624)+('CAFCO 400 '!$H$16*(J1624^2)+'CAFCO 400 '!$H$17*J1624+'CAFCO 400 '!$H$18)),0)+IF(AND(L1624="Cafco 400",M1624="Software Idiem",C1624="Cj"),(((('CAFCO 400 '!$D$7*LN(J1624)+'CAFCO 400 '!$D$8)*U1624^2)+(('CAFCO 400 '!$D$9*LN(J1624)+'CAFCO 400 '!$D$10)*U1624)+('CAFCO 400 '!$D$11*LN(J1624)+'CAFCO 400 '!$D$12))),0)+IF(AND(L1624="Cafco 400",M1624="Software Idiem",C1624="C"),((('CAFCO 400 '!$L$7*(J1624^3)+'CAFCO 400 '!$L$8*(J1624^2)+'CAFCO 400 '!$L$9*J1624+'CAFCO 400 '!$L$10)*U1624^2)+(('CAFCO 400 '!$L$11*(J1624^3)+'CAFCO 400 '!$L$12*(J1624^2)+'CAFCO 400 '!$L$13*J1624+'CAFCO 400 '!$L$14)*U1624)+('CAFCO 400 '!$L$15*LN(J1624)+'CAFCO 400 '!$L$16)),0)+IF(AND(L1624="Cafco 400",M1624="Software Idiem",C1624="L"),((('CAFCO 400 '!$L$7*(J1624^3)+'CAFCO 400 '!$L$8*(J1624^2)+'CAFCO 400 '!$L$9*J1624+'CAFCO 400 '!$L$10)*U1624^2)+(('CAFCO 400 '!$L$11*(J1624^3)+'CAFCO 400 '!$L$12*(J1624^2)+'CAFCO 400 '!$L$13*J1624+'CAFCO 400 '!$L$14)*U1624)+('CAFCO 400 '!$L$15*LN(J1624)+'CAFCO 400 '!$L$16)),0)+IF(AND(L1624="Cafco 400",M1624="Software Idiem",C1624="IN",G1624=3),((('CAFCO 400 '!$D$23*(J1624^2)+'CAFCO 400 '!$D$24*(J1624)+'CAFCO 400 '!$D$25)*U1624^2)+(('CAFCO 400 '!$D$26*(J1624^2)+'CAFCO 400 '!$D$27*J1624+'CAFCO 400 '!$D$28)*U1624)+('CAFCO 400 '!$D$29*(J1624^2)+'CAFCO 400 '!$D$30*J1624+'CAFCO 400 '!$D$31)),0),0)+IF(AND(L1624="Cafco 300",J1624&gt;=95,J1624&lt;=240,C1624="Cj",I1624=90),VLOOKUP(T1624,'CAFCO 300 IDIEM TABLAS'!$B$4:$D$23,2,FALSE),0)+IF(AND(L1624="Cafco 300",J1624&gt;=95,J1624&lt;=240,C1624="Cj",I1624=120),VLOOKUP(T1624,'CAFCO 300 IDIEM TABLAS'!$B$4:$D$23,3,FALSE),0)+IF(AND(L1624="Cafco 300",J1624&gt;=95,J1624&lt;=400,G1624=3,C1624="IN",I1624=90),VLOOKUP(T1624,'CAFCO 300 IDIEM TABLAS'!$F$4:$H$35,2,FALSE),0)+IF(AND(L1624="Cafco 300",J1624&gt;=95,J1624&lt;=400,G1624=3,C1624="IN",I1624=120),VLOOKUP(T1624,'CAFCO 300 IDIEM TABLAS'!$F$4:$H$35,3,FALSE),0)+IF(AND(L1624="Cafco 300",J1624&gt;=95,J1624&lt;=450,G1624=4,C1624="IN",I1624=90),VLOOKUP(T1624,'CAFCO 300 IDIEM TABLAS'!$J$4:$L$40,2,FALSE),0)+IF(AND(L1624="Cafco 300",J1624&gt;=95,J1624&lt;=450,G1624=4,C1624="IN",I1624=120),VLOOKUP(T1624,'CAFCO 300 IDIEM TABLAS'!$J$4:$L$40,3,FALSE),0)+IF(AND(M1624="Ensayo Idiem",L1624="Cafco 400",C1624="IN",G1624=4,I1624=90),VLOOKUP(T1624,'CAFCO 400 ENSAYO'!$B$7:$D$43,2,FALSE),0)+IF(AND(M1624="Ensayo Idiem",L1624="Cafco 400",C1624="IN",G1624=4,I1624=120),VLOOKUP(T1624,'CAFCO 400 ENSAYO'!$B$7:$D$43,3,FALSE),0)</f>
        <v>0</v>
      </c>
      <c r="O1624" s="96">
        <f t="shared" si="162"/>
        <v>0</v>
      </c>
      <c r="P1624" s="95" t="str">
        <f t="shared" si="157"/>
        <v>N/A</v>
      </c>
      <c r="Q1624" s="95" t="str">
        <f t="shared" si="158"/>
        <v>N/A</v>
      </c>
      <c r="R1624" s="95" t="str">
        <f t="shared" si="159"/>
        <v>NO CERT.</v>
      </c>
      <c r="S1624" s="95" t="e">
        <f t="shared" si="160"/>
        <v>#N/A</v>
      </c>
      <c r="T1624" s="119" t="e">
        <f>+IF(J1624=LOOKUP(J1624,'CAFCO 300 IDIEM TABLAS'!$J$4:$J$40),'CALCULO MORTERO'!J1624,MROUND('CALCULO MORTERO'!J1624,10))</f>
        <v>#N/A</v>
      </c>
      <c r="U1624" s="118">
        <f t="shared" si="161"/>
        <v>0</v>
      </c>
    </row>
    <row r="1625" spans="1:21" x14ac:dyDescent="0.25">
      <c r="A1625" s="118">
        <f>+CUBICACION!D1619</f>
        <v>0</v>
      </c>
      <c r="B1625" s="819">
        <f>+CUBICACION!E1619</f>
        <v>0</v>
      </c>
      <c r="C1625" s="675">
        <f>+CUBICACION!F1619</f>
        <v>0</v>
      </c>
      <c r="D1625" s="118"/>
      <c r="E1625" s="118"/>
      <c r="F1625" s="820"/>
      <c r="G1625" s="675">
        <f>+CUBICACION!J1619</f>
        <v>0</v>
      </c>
      <c r="H1625" s="118"/>
      <c r="I1625" s="821">
        <f>+CUBICACION!L1619</f>
        <v>0</v>
      </c>
      <c r="J1625" s="64">
        <f>+CUBICACION!M1619</f>
        <v>0</v>
      </c>
      <c r="K1625" s="822" t="str">
        <f>+CUBICACION!N1619</f>
        <v/>
      </c>
      <c r="L1625" s="118">
        <f>+CUBICACION!O1619</f>
        <v>0</v>
      </c>
      <c r="M1625" s="823">
        <f>+CUBICACION!P1619</f>
        <v>0</v>
      </c>
      <c r="N1625" s="902">
        <f>ROUND(IF(AND(L1625="Blaze Shield II",M1625="Software Idiem",C1625="IN",G1625=4),((('BLAZE SHIELD II'!$D$4*('CALCULO MORTERO'!I1625^2)+'BLAZE SHIELD II'!$D$5*'CALCULO MORTERO'!I1625+'BLAZE SHIELD II'!$D$6)*LN(J1625))+('BLAZE SHIELD II'!$D$7*('CALCULO MORTERO'!I1625^2)+'BLAZE SHIELD II'!$D$8*'CALCULO MORTERO'!I1625+'BLAZE SHIELD II'!$D$9)),0)+IF(AND(L1625="Blaze Shield II",M1625="Software Idiem",C1625="Cj"),((('BLAZE SHIELD II'!$H$4*('CALCULO MORTERO'!I1625^2)+'BLAZE SHIELD II'!$H$5*'CALCULO MORTERO'!I1625+'BLAZE SHIELD II'!$H$6)*LN(J1625))+('BLAZE SHIELD II'!$H$7*('CALCULO MORTERO'!I1625^2)+'BLAZE SHIELD II'!$H$8*'CALCULO MORTERO'!I1625+'BLAZE SHIELD II'!$H$9)),0)+IF(AND(L1625="Blaze Shield II",M1625="Software Idiem",C1625="C"),((('BLAZE SHIELD II'!$L$4*('CALCULO MORTERO'!I1625^2)+'BLAZE SHIELD II'!$L$5*'CALCULO MORTERO'!I1625+'BLAZE SHIELD II'!$L$6)*LN(J1625))+('BLAZE SHIELD II'!$L$7*('CALCULO MORTERO'!I1625^2)+'BLAZE SHIELD II'!$L$8*'CALCULO MORTERO'!I1625+'BLAZE SHIELD II'!$L$9)),0)+IF(AND(L1625="Blaze Shield II",M1625="Software Idiem",C1625="L"),((('BLAZE SHIELD II'!$L$4*('CALCULO MORTERO'!I1625^2)+'BLAZE SHIELD II'!$L$5*'CALCULO MORTERO'!I1625+'BLAZE SHIELD II'!$L$6)*LN(J1625))+('BLAZE SHIELD II'!$L$7*('CALCULO MORTERO'!I1625^2)+'BLAZE SHIELD II'!$L$8*'CALCULO MORTERO'!I1625+'BLAZE SHIELD II'!$L$9)),0)+IF(AND(L1625="Blaze Shield II",M1625="Software Idiem",C1625="IN",G1625=3),((('BLAZE SHIELD II'!$H$14*('CALCULO MORTERO'!I1625^2)+'BLAZE SHIELD II'!$H$15*'CALCULO MORTERO'!I1625+'BLAZE SHIELD II'!$H$16)*LN(J1625))+('BLAZE SHIELD II'!$H$17*('CALCULO MORTERO'!I1625^2)+'BLAZE SHIELD II'!$H$18*'CALCULO MORTERO'!I1625+'BLAZE SHIELD II'!$H$19)),0),0)+ROUND(IF(AND(L1625="Cafco 400",M1625="Software Idiem",C1625="IN",G1625=4),((('CAFCO 400 '!$H$7*(J1625^4)+'CAFCO 400 '!$H$8*(J1625^3)+'CAFCO 400 '!$H$9*(J1625^2)+'CAFCO 400 '!$H$10*J1625+'CAFCO 400 '!$H$11)*U1625^2)+(('CAFCO 400 '!$H$12*(J1625^3)+'CAFCO 400 '!$H$13*(J1625^2)+'CAFCO 400 '!$H$14*J1625+'CAFCO 400 '!$H$15)*U1625)+('CAFCO 400 '!$H$16*(J1625^2)+'CAFCO 400 '!$H$17*J1625+'CAFCO 400 '!$H$18)),0)+IF(AND(L1625="Cafco 400",M1625="Software Idiem",C1625="Cj"),(((('CAFCO 400 '!$D$7*LN(J1625)+'CAFCO 400 '!$D$8)*U1625^2)+(('CAFCO 400 '!$D$9*LN(J1625)+'CAFCO 400 '!$D$10)*U1625)+('CAFCO 400 '!$D$11*LN(J1625)+'CAFCO 400 '!$D$12))),0)+IF(AND(L1625="Cafco 400",M1625="Software Idiem",C1625="C"),((('CAFCO 400 '!$L$7*(J1625^3)+'CAFCO 400 '!$L$8*(J1625^2)+'CAFCO 400 '!$L$9*J1625+'CAFCO 400 '!$L$10)*U1625^2)+(('CAFCO 400 '!$L$11*(J1625^3)+'CAFCO 400 '!$L$12*(J1625^2)+'CAFCO 400 '!$L$13*J1625+'CAFCO 400 '!$L$14)*U1625)+('CAFCO 400 '!$L$15*LN(J1625)+'CAFCO 400 '!$L$16)),0)+IF(AND(L1625="Cafco 400",M1625="Software Idiem",C1625="L"),((('CAFCO 400 '!$L$7*(J1625^3)+'CAFCO 400 '!$L$8*(J1625^2)+'CAFCO 400 '!$L$9*J1625+'CAFCO 400 '!$L$10)*U1625^2)+(('CAFCO 400 '!$L$11*(J1625^3)+'CAFCO 400 '!$L$12*(J1625^2)+'CAFCO 400 '!$L$13*J1625+'CAFCO 400 '!$L$14)*U1625)+('CAFCO 400 '!$L$15*LN(J1625)+'CAFCO 400 '!$L$16)),0)+IF(AND(L1625="Cafco 400",M1625="Software Idiem",C1625="IN",G1625=3),((('CAFCO 400 '!$D$23*(J1625^2)+'CAFCO 400 '!$D$24*(J1625)+'CAFCO 400 '!$D$25)*U1625^2)+(('CAFCO 400 '!$D$26*(J1625^2)+'CAFCO 400 '!$D$27*J1625+'CAFCO 400 '!$D$28)*U1625)+('CAFCO 400 '!$D$29*(J1625^2)+'CAFCO 400 '!$D$30*J1625+'CAFCO 400 '!$D$31)),0),0)+IF(AND(L1625="Cafco 300",J1625&gt;=95,J1625&lt;=240,C1625="Cj",I1625=90),VLOOKUP(T1625,'CAFCO 300 IDIEM TABLAS'!$B$4:$D$23,2,FALSE),0)+IF(AND(L1625="Cafco 300",J1625&gt;=95,J1625&lt;=240,C1625="Cj",I1625=120),VLOOKUP(T1625,'CAFCO 300 IDIEM TABLAS'!$B$4:$D$23,3,FALSE),0)+IF(AND(L1625="Cafco 300",J1625&gt;=95,J1625&lt;=400,G1625=3,C1625="IN",I1625=90),VLOOKUP(T1625,'CAFCO 300 IDIEM TABLAS'!$F$4:$H$35,2,FALSE),0)+IF(AND(L1625="Cafco 300",J1625&gt;=95,J1625&lt;=400,G1625=3,C1625="IN",I1625=120),VLOOKUP(T1625,'CAFCO 300 IDIEM TABLAS'!$F$4:$H$35,3,FALSE),0)+IF(AND(L1625="Cafco 300",J1625&gt;=95,J1625&lt;=450,G1625=4,C1625="IN",I1625=90),VLOOKUP(T1625,'CAFCO 300 IDIEM TABLAS'!$J$4:$L$40,2,FALSE),0)+IF(AND(L1625="Cafco 300",J1625&gt;=95,J1625&lt;=450,G1625=4,C1625="IN",I1625=120),VLOOKUP(T1625,'CAFCO 300 IDIEM TABLAS'!$J$4:$L$40,3,FALSE),0)+IF(AND(M1625="Ensayo Idiem",L1625="Cafco 400",C1625="IN",G1625=4,I1625=90),VLOOKUP(T1625,'CAFCO 400 ENSAYO'!$B$7:$D$43,2,FALSE),0)+IF(AND(M1625="Ensayo Idiem",L1625="Cafco 400",C1625="IN",G1625=4,I1625=120),VLOOKUP(T1625,'CAFCO 400 ENSAYO'!$B$7:$D$43,3,FALSE),0)</f>
        <v>0</v>
      </c>
      <c r="O1625" s="96">
        <f t="shared" si="162"/>
        <v>0</v>
      </c>
      <c r="P1625" s="132" t="str">
        <f t="shared" si="157"/>
        <v>N/A</v>
      </c>
      <c r="Q1625" s="132" t="str">
        <f t="shared" si="158"/>
        <v>N/A</v>
      </c>
      <c r="R1625" s="132" t="str">
        <f t="shared" si="159"/>
        <v>NO CERT.</v>
      </c>
      <c r="S1625" s="132" t="e">
        <f t="shared" si="160"/>
        <v>#N/A</v>
      </c>
      <c r="T1625" s="133" t="e">
        <f>+IF(J1625=LOOKUP(J1625,'CAFCO 300 IDIEM TABLAS'!$J$4:$J$40),'CALCULO MORTERO'!J1625,MROUND('CALCULO MORTERO'!J1625,10))</f>
        <v>#N/A</v>
      </c>
      <c r="U1625" s="134">
        <f t="shared" si="161"/>
        <v>0</v>
      </c>
    </row>
    <row r="1626" spans="1:21" x14ac:dyDescent="0.25">
      <c r="A1626" s="118">
        <f>+CUBICACION!D1620</f>
        <v>0</v>
      </c>
      <c r="B1626" s="819">
        <f>+CUBICACION!E1620</f>
        <v>0</v>
      </c>
      <c r="C1626" s="675">
        <f>+CUBICACION!F1620</f>
        <v>0</v>
      </c>
      <c r="D1626" s="118"/>
      <c r="E1626" s="118"/>
      <c r="F1626" s="820"/>
      <c r="G1626" s="675">
        <f>+CUBICACION!J1620</f>
        <v>0</v>
      </c>
      <c r="H1626" s="118"/>
      <c r="I1626" s="821">
        <f>+CUBICACION!L1620</f>
        <v>0</v>
      </c>
      <c r="J1626" s="64">
        <f>+CUBICACION!M1620</f>
        <v>0</v>
      </c>
      <c r="K1626" s="822" t="str">
        <f>+CUBICACION!N1620</f>
        <v/>
      </c>
      <c r="L1626" s="118">
        <f>+CUBICACION!O1620</f>
        <v>0</v>
      </c>
      <c r="M1626" s="823">
        <f>+CUBICACION!P1620</f>
        <v>0</v>
      </c>
      <c r="N1626" s="902">
        <f>ROUND(IF(AND(L1626="Blaze Shield II",M1626="Software Idiem",C1626="IN",G1626=4),((('BLAZE SHIELD II'!$D$4*('CALCULO MORTERO'!I1626^2)+'BLAZE SHIELD II'!$D$5*'CALCULO MORTERO'!I1626+'BLAZE SHIELD II'!$D$6)*LN(J1626))+('BLAZE SHIELD II'!$D$7*('CALCULO MORTERO'!I1626^2)+'BLAZE SHIELD II'!$D$8*'CALCULO MORTERO'!I1626+'BLAZE SHIELD II'!$D$9)),0)+IF(AND(L1626="Blaze Shield II",M1626="Software Idiem",C1626="Cj"),((('BLAZE SHIELD II'!$H$4*('CALCULO MORTERO'!I1626^2)+'BLAZE SHIELD II'!$H$5*'CALCULO MORTERO'!I1626+'BLAZE SHIELD II'!$H$6)*LN(J1626))+('BLAZE SHIELD II'!$H$7*('CALCULO MORTERO'!I1626^2)+'BLAZE SHIELD II'!$H$8*'CALCULO MORTERO'!I1626+'BLAZE SHIELD II'!$H$9)),0)+IF(AND(L1626="Blaze Shield II",M1626="Software Idiem",C1626="C"),((('BLAZE SHIELD II'!$L$4*('CALCULO MORTERO'!I1626^2)+'BLAZE SHIELD II'!$L$5*'CALCULO MORTERO'!I1626+'BLAZE SHIELD II'!$L$6)*LN(J1626))+('BLAZE SHIELD II'!$L$7*('CALCULO MORTERO'!I1626^2)+'BLAZE SHIELD II'!$L$8*'CALCULO MORTERO'!I1626+'BLAZE SHIELD II'!$L$9)),0)+IF(AND(L1626="Blaze Shield II",M1626="Software Idiem",C1626="L"),((('BLAZE SHIELD II'!$L$4*('CALCULO MORTERO'!I1626^2)+'BLAZE SHIELD II'!$L$5*'CALCULO MORTERO'!I1626+'BLAZE SHIELD II'!$L$6)*LN(J1626))+('BLAZE SHIELD II'!$L$7*('CALCULO MORTERO'!I1626^2)+'BLAZE SHIELD II'!$L$8*'CALCULO MORTERO'!I1626+'BLAZE SHIELD II'!$L$9)),0)+IF(AND(L1626="Blaze Shield II",M1626="Software Idiem",C1626="IN",G1626=3),((('BLAZE SHIELD II'!$H$14*('CALCULO MORTERO'!I1626^2)+'BLAZE SHIELD II'!$H$15*'CALCULO MORTERO'!I1626+'BLAZE SHIELD II'!$H$16)*LN(J1626))+('BLAZE SHIELD II'!$H$17*('CALCULO MORTERO'!I1626^2)+'BLAZE SHIELD II'!$H$18*'CALCULO MORTERO'!I1626+'BLAZE SHIELD II'!$H$19)),0),0)+ROUND(IF(AND(L1626="Cafco 400",M1626="Software Idiem",C1626="IN",G1626=4),((('CAFCO 400 '!$H$7*(J1626^4)+'CAFCO 400 '!$H$8*(J1626^3)+'CAFCO 400 '!$H$9*(J1626^2)+'CAFCO 400 '!$H$10*J1626+'CAFCO 400 '!$H$11)*U1626^2)+(('CAFCO 400 '!$H$12*(J1626^3)+'CAFCO 400 '!$H$13*(J1626^2)+'CAFCO 400 '!$H$14*J1626+'CAFCO 400 '!$H$15)*U1626)+('CAFCO 400 '!$H$16*(J1626^2)+'CAFCO 400 '!$H$17*J1626+'CAFCO 400 '!$H$18)),0)+IF(AND(L1626="Cafco 400",M1626="Software Idiem",C1626="Cj"),(((('CAFCO 400 '!$D$7*LN(J1626)+'CAFCO 400 '!$D$8)*U1626^2)+(('CAFCO 400 '!$D$9*LN(J1626)+'CAFCO 400 '!$D$10)*U1626)+('CAFCO 400 '!$D$11*LN(J1626)+'CAFCO 400 '!$D$12))),0)+IF(AND(L1626="Cafco 400",M1626="Software Idiem",C1626="C"),((('CAFCO 400 '!$L$7*(J1626^3)+'CAFCO 400 '!$L$8*(J1626^2)+'CAFCO 400 '!$L$9*J1626+'CAFCO 400 '!$L$10)*U1626^2)+(('CAFCO 400 '!$L$11*(J1626^3)+'CAFCO 400 '!$L$12*(J1626^2)+'CAFCO 400 '!$L$13*J1626+'CAFCO 400 '!$L$14)*U1626)+('CAFCO 400 '!$L$15*LN(J1626)+'CAFCO 400 '!$L$16)),0)+IF(AND(L1626="Cafco 400",M1626="Software Idiem",C1626="L"),((('CAFCO 400 '!$L$7*(J1626^3)+'CAFCO 400 '!$L$8*(J1626^2)+'CAFCO 400 '!$L$9*J1626+'CAFCO 400 '!$L$10)*U1626^2)+(('CAFCO 400 '!$L$11*(J1626^3)+'CAFCO 400 '!$L$12*(J1626^2)+'CAFCO 400 '!$L$13*J1626+'CAFCO 400 '!$L$14)*U1626)+('CAFCO 400 '!$L$15*LN(J1626)+'CAFCO 400 '!$L$16)),0)+IF(AND(L1626="Cafco 400",M1626="Software Idiem",C1626="IN",G1626=3),((('CAFCO 400 '!$D$23*(J1626^2)+'CAFCO 400 '!$D$24*(J1626)+'CAFCO 400 '!$D$25)*U1626^2)+(('CAFCO 400 '!$D$26*(J1626^2)+'CAFCO 400 '!$D$27*J1626+'CAFCO 400 '!$D$28)*U1626)+('CAFCO 400 '!$D$29*(J1626^2)+'CAFCO 400 '!$D$30*J1626+'CAFCO 400 '!$D$31)),0),0)+IF(AND(L1626="Cafco 300",J1626&gt;=95,J1626&lt;=240,C1626="Cj",I1626=90),VLOOKUP(T1626,'CAFCO 300 IDIEM TABLAS'!$B$4:$D$23,2,FALSE),0)+IF(AND(L1626="Cafco 300",J1626&gt;=95,J1626&lt;=240,C1626="Cj",I1626=120),VLOOKUP(T1626,'CAFCO 300 IDIEM TABLAS'!$B$4:$D$23,3,FALSE),0)+IF(AND(L1626="Cafco 300",J1626&gt;=95,J1626&lt;=400,G1626=3,C1626="IN",I1626=90),VLOOKUP(T1626,'CAFCO 300 IDIEM TABLAS'!$F$4:$H$35,2,FALSE),0)+IF(AND(L1626="Cafco 300",J1626&gt;=95,J1626&lt;=400,G1626=3,C1626="IN",I1626=120),VLOOKUP(T1626,'CAFCO 300 IDIEM TABLAS'!$F$4:$H$35,3,FALSE),0)+IF(AND(L1626="Cafco 300",J1626&gt;=95,J1626&lt;=450,G1626=4,C1626="IN",I1626=90),VLOOKUP(T1626,'CAFCO 300 IDIEM TABLAS'!$J$4:$L$40,2,FALSE),0)+IF(AND(L1626="Cafco 300",J1626&gt;=95,J1626&lt;=450,G1626=4,C1626="IN",I1626=120),VLOOKUP(T1626,'CAFCO 300 IDIEM TABLAS'!$J$4:$L$40,3,FALSE),0)+IF(AND(M1626="Ensayo Idiem",L1626="Cafco 400",C1626="IN",G1626=4,I1626=90),VLOOKUP(T1626,'CAFCO 400 ENSAYO'!$B$7:$D$43,2,FALSE),0)+IF(AND(M1626="Ensayo Idiem",L1626="Cafco 400",C1626="IN",G1626=4,I1626=120),VLOOKUP(T1626,'CAFCO 400 ENSAYO'!$B$7:$D$43,3,FALSE),0)</f>
        <v>0</v>
      </c>
      <c r="O1626" s="96">
        <f t="shared" si="162"/>
        <v>0</v>
      </c>
      <c r="P1626" s="95" t="str">
        <f t="shared" si="157"/>
        <v>N/A</v>
      </c>
      <c r="Q1626" s="95" t="str">
        <f t="shared" si="158"/>
        <v>N/A</v>
      </c>
      <c r="R1626" s="95" t="str">
        <f t="shared" si="159"/>
        <v>NO CERT.</v>
      </c>
      <c r="S1626" s="95" t="e">
        <f t="shared" si="160"/>
        <v>#N/A</v>
      </c>
      <c r="T1626" s="119" t="e">
        <f>+IF(J1626=LOOKUP(J1626,'CAFCO 300 IDIEM TABLAS'!$J$4:$J$40),'CALCULO MORTERO'!J1626,MROUND('CALCULO MORTERO'!J1626,10))</f>
        <v>#N/A</v>
      </c>
      <c r="U1626" s="118">
        <f t="shared" si="161"/>
        <v>0</v>
      </c>
    </row>
    <row r="1627" spans="1:21" x14ac:dyDescent="0.25">
      <c r="A1627" s="118">
        <f>+CUBICACION!D1621</f>
        <v>0</v>
      </c>
      <c r="B1627" s="819">
        <f>+CUBICACION!E1621</f>
        <v>0</v>
      </c>
      <c r="C1627" s="675">
        <f>+CUBICACION!F1621</f>
        <v>0</v>
      </c>
      <c r="D1627" s="118"/>
      <c r="E1627" s="118"/>
      <c r="F1627" s="820"/>
      <c r="G1627" s="675">
        <f>+CUBICACION!J1621</f>
        <v>0</v>
      </c>
      <c r="H1627" s="118"/>
      <c r="I1627" s="821">
        <f>+CUBICACION!L1621</f>
        <v>0</v>
      </c>
      <c r="J1627" s="64">
        <f>+CUBICACION!M1621</f>
        <v>0</v>
      </c>
      <c r="K1627" s="822">
        <f>+CUBICACION!N1621</f>
        <v>0</v>
      </c>
      <c r="L1627" s="118">
        <f>+CUBICACION!O1621</f>
        <v>0</v>
      </c>
      <c r="M1627" s="823">
        <f>+CUBICACION!P1621</f>
        <v>0</v>
      </c>
      <c r="N1627" s="902">
        <f>ROUND(IF(AND(L1627="Blaze Shield II",M1627="Software Idiem",C1627="IN",G1627=4),((('BLAZE SHIELD II'!$D$4*('CALCULO MORTERO'!I1627^2)+'BLAZE SHIELD II'!$D$5*'CALCULO MORTERO'!I1627+'BLAZE SHIELD II'!$D$6)*LN(J1627))+('BLAZE SHIELD II'!$D$7*('CALCULO MORTERO'!I1627^2)+'BLAZE SHIELD II'!$D$8*'CALCULO MORTERO'!I1627+'BLAZE SHIELD II'!$D$9)),0)+IF(AND(L1627="Blaze Shield II",M1627="Software Idiem",C1627="Cj"),((('BLAZE SHIELD II'!$H$4*('CALCULO MORTERO'!I1627^2)+'BLAZE SHIELD II'!$H$5*'CALCULO MORTERO'!I1627+'BLAZE SHIELD II'!$H$6)*LN(J1627))+('BLAZE SHIELD II'!$H$7*('CALCULO MORTERO'!I1627^2)+'BLAZE SHIELD II'!$H$8*'CALCULO MORTERO'!I1627+'BLAZE SHIELD II'!$H$9)),0)+IF(AND(L1627="Blaze Shield II",M1627="Software Idiem",C1627="C"),((('BLAZE SHIELD II'!$L$4*('CALCULO MORTERO'!I1627^2)+'BLAZE SHIELD II'!$L$5*'CALCULO MORTERO'!I1627+'BLAZE SHIELD II'!$L$6)*LN(J1627))+('BLAZE SHIELD II'!$L$7*('CALCULO MORTERO'!I1627^2)+'BLAZE SHIELD II'!$L$8*'CALCULO MORTERO'!I1627+'BLAZE SHIELD II'!$L$9)),0)+IF(AND(L1627="Blaze Shield II",M1627="Software Idiem",C1627="L"),((('BLAZE SHIELD II'!$L$4*('CALCULO MORTERO'!I1627^2)+'BLAZE SHIELD II'!$L$5*'CALCULO MORTERO'!I1627+'BLAZE SHIELD II'!$L$6)*LN(J1627))+('BLAZE SHIELD II'!$L$7*('CALCULO MORTERO'!I1627^2)+'BLAZE SHIELD II'!$L$8*'CALCULO MORTERO'!I1627+'BLAZE SHIELD II'!$L$9)),0)+IF(AND(L1627="Blaze Shield II",M1627="Software Idiem",C1627="IN",G1627=3),((('BLAZE SHIELD II'!$H$14*('CALCULO MORTERO'!I1627^2)+'BLAZE SHIELD II'!$H$15*'CALCULO MORTERO'!I1627+'BLAZE SHIELD II'!$H$16)*LN(J1627))+('BLAZE SHIELD II'!$H$17*('CALCULO MORTERO'!I1627^2)+'BLAZE SHIELD II'!$H$18*'CALCULO MORTERO'!I1627+'BLAZE SHIELD II'!$H$19)),0),0)+ROUND(IF(AND(L1627="Cafco 400",M1627="Software Idiem",C1627="IN",G1627=4),((('CAFCO 400 '!$H$7*(J1627^4)+'CAFCO 400 '!$H$8*(J1627^3)+'CAFCO 400 '!$H$9*(J1627^2)+'CAFCO 400 '!$H$10*J1627+'CAFCO 400 '!$H$11)*U1627^2)+(('CAFCO 400 '!$H$12*(J1627^3)+'CAFCO 400 '!$H$13*(J1627^2)+'CAFCO 400 '!$H$14*J1627+'CAFCO 400 '!$H$15)*U1627)+('CAFCO 400 '!$H$16*(J1627^2)+'CAFCO 400 '!$H$17*J1627+'CAFCO 400 '!$H$18)),0)+IF(AND(L1627="Cafco 400",M1627="Software Idiem",C1627="Cj"),(((('CAFCO 400 '!$D$7*LN(J1627)+'CAFCO 400 '!$D$8)*U1627^2)+(('CAFCO 400 '!$D$9*LN(J1627)+'CAFCO 400 '!$D$10)*U1627)+('CAFCO 400 '!$D$11*LN(J1627)+'CAFCO 400 '!$D$12))),0)+IF(AND(L1627="Cafco 400",M1627="Software Idiem",C1627="C"),((('CAFCO 400 '!$L$7*(J1627^3)+'CAFCO 400 '!$L$8*(J1627^2)+'CAFCO 400 '!$L$9*J1627+'CAFCO 400 '!$L$10)*U1627^2)+(('CAFCO 400 '!$L$11*(J1627^3)+'CAFCO 400 '!$L$12*(J1627^2)+'CAFCO 400 '!$L$13*J1627+'CAFCO 400 '!$L$14)*U1627)+('CAFCO 400 '!$L$15*LN(J1627)+'CAFCO 400 '!$L$16)),0)+IF(AND(L1627="Cafco 400",M1627="Software Idiem",C1627="L"),((('CAFCO 400 '!$L$7*(J1627^3)+'CAFCO 400 '!$L$8*(J1627^2)+'CAFCO 400 '!$L$9*J1627+'CAFCO 400 '!$L$10)*U1627^2)+(('CAFCO 400 '!$L$11*(J1627^3)+'CAFCO 400 '!$L$12*(J1627^2)+'CAFCO 400 '!$L$13*J1627+'CAFCO 400 '!$L$14)*U1627)+('CAFCO 400 '!$L$15*LN(J1627)+'CAFCO 400 '!$L$16)),0)+IF(AND(L1627="Cafco 400",M1627="Software Idiem",C1627="IN",G1627=3),((('CAFCO 400 '!$D$23*(J1627^2)+'CAFCO 400 '!$D$24*(J1627)+'CAFCO 400 '!$D$25)*U1627^2)+(('CAFCO 400 '!$D$26*(J1627^2)+'CAFCO 400 '!$D$27*J1627+'CAFCO 400 '!$D$28)*U1627)+('CAFCO 400 '!$D$29*(J1627^2)+'CAFCO 400 '!$D$30*J1627+'CAFCO 400 '!$D$31)),0),0)+IF(AND(L1627="Cafco 300",J1627&gt;=95,J1627&lt;=240,C1627="Cj",I1627=90),VLOOKUP(T1627,'CAFCO 300 IDIEM TABLAS'!$B$4:$D$23,2,FALSE),0)+IF(AND(L1627="Cafco 300",J1627&gt;=95,J1627&lt;=240,C1627="Cj",I1627=120),VLOOKUP(T1627,'CAFCO 300 IDIEM TABLAS'!$B$4:$D$23,3,FALSE),0)+IF(AND(L1627="Cafco 300",J1627&gt;=95,J1627&lt;=400,G1627=3,C1627="IN",I1627=90),VLOOKUP(T1627,'CAFCO 300 IDIEM TABLAS'!$F$4:$H$35,2,FALSE),0)+IF(AND(L1627="Cafco 300",J1627&gt;=95,J1627&lt;=400,G1627=3,C1627="IN",I1627=120),VLOOKUP(T1627,'CAFCO 300 IDIEM TABLAS'!$F$4:$H$35,3,FALSE),0)+IF(AND(L1627="Cafco 300",J1627&gt;=95,J1627&lt;=450,G1627=4,C1627="IN",I1627=90),VLOOKUP(T1627,'CAFCO 300 IDIEM TABLAS'!$J$4:$L$40,2,FALSE),0)+IF(AND(L1627="Cafco 300",J1627&gt;=95,J1627&lt;=450,G1627=4,C1627="IN",I1627=120),VLOOKUP(T1627,'CAFCO 300 IDIEM TABLAS'!$J$4:$L$40,3,FALSE),0)+IF(AND(M1627="Ensayo Idiem",L1627="Cafco 400",C1627="IN",G1627=4,I1627=90),VLOOKUP(T1627,'CAFCO 400 ENSAYO'!$B$7:$D$43,2,FALSE),0)+IF(AND(M1627="Ensayo Idiem",L1627="Cafco 400",C1627="IN",G1627=4,I1627=120),VLOOKUP(T1627,'CAFCO 400 ENSAYO'!$B$7:$D$43,3,FALSE),0)</f>
        <v>0</v>
      </c>
      <c r="O1627" s="96">
        <f t="shared" si="162"/>
        <v>0</v>
      </c>
      <c r="P1627" s="132" t="str">
        <f t="shared" si="157"/>
        <v>N/A</v>
      </c>
      <c r="Q1627" s="132" t="str">
        <f t="shared" si="158"/>
        <v>N/A</v>
      </c>
      <c r="R1627" s="132" t="str">
        <f t="shared" si="159"/>
        <v>NO CERT.</v>
      </c>
      <c r="S1627" s="132" t="e">
        <f t="shared" si="160"/>
        <v>#N/A</v>
      </c>
      <c r="T1627" s="133" t="e">
        <f>+IF(J1627=LOOKUP(J1627,'CAFCO 300 IDIEM TABLAS'!$J$4:$J$40),'CALCULO MORTERO'!J1627,MROUND('CALCULO MORTERO'!J1627,10))</f>
        <v>#N/A</v>
      </c>
      <c r="U1627" s="134">
        <f t="shared" si="161"/>
        <v>0</v>
      </c>
    </row>
    <row r="1628" spans="1:21" x14ac:dyDescent="0.25">
      <c r="A1628" s="118">
        <f>+CUBICACION!D1622</f>
        <v>0</v>
      </c>
      <c r="B1628" s="819">
        <f>+CUBICACION!E1622</f>
        <v>0</v>
      </c>
      <c r="C1628" s="675">
        <f>+CUBICACION!F1622</f>
        <v>0</v>
      </c>
      <c r="D1628" s="118"/>
      <c r="E1628" s="118"/>
      <c r="F1628" s="820"/>
      <c r="G1628" s="675">
        <f>+CUBICACION!J1622</f>
        <v>0</v>
      </c>
      <c r="H1628" s="118"/>
      <c r="I1628" s="821">
        <f>+CUBICACION!L1622</f>
        <v>0</v>
      </c>
      <c r="J1628" s="64">
        <f>+CUBICACION!M1622</f>
        <v>0</v>
      </c>
      <c r="K1628" s="822">
        <f>+CUBICACION!N1622</f>
        <v>0</v>
      </c>
      <c r="L1628" s="118">
        <f>+CUBICACION!O1622</f>
        <v>0</v>
      </c>
      <c r="M1628" s="823">
        <f>+CUBICACION!P1622</f>
        <v>0</v>
      </c>
      <c r="N1628" s="902">
        <f>ROUND(IF(AND(L1628="Blaze Shield II",M1628="Software Idiem",C1628="IN",G1628=4),((('BLAZE SHIELD II'!$D$4*('CALCULO MORTERO'!I1628^2)+'BLAZE SHIELD II'!$D$5*'CALCULO MORTERO'!I1628+'BLAZE SHIELD II'!$D$6)*LN(J1628))+('BLAZE SHIELD II'!$D$7*('CALCULO MORTERO'!I1628^2)+'BLAZE SHIELD II'!$D$8*'CALCULO MORTERO'!I1628+'BLAZE SHIELD II'!$D$9)),0)+IF(AND(L1628="Blaze Shield II",M1628="Software Idiem",C1628="Cj"),((('BLAZE SHIELD II'!$H$4*('CALCULO MORTERO'!I1628^2)+'BLAZE SHIELD II'!$H$5*'CALCULO MORTERO'!I1628+'BLAZE SHIELD II'!$H$6)*LN(J1628))+('BLAZE SHIELD II'!$H$7*('CALCULO MORTERO'!I1628^2)+'BLAZE SHIELD II'!$H$8*'CALCULO MORTERO'!I1628+'BLAZE SHIELD II'!$H$9)),0)+IF(AND(L1628="Blaze Shield II",M1628="Software Idiem",C1628="C"),((('BLAZE SHIELD II'!$L$4*('CALCULO MORTERO'!I1628^2)+'BLAZE SHIELD II'!$L$5*'CALCULO MORTERO'!I1628+'BLAZE SHIELD II'!$L$6)*LN(J1628))+('BLAZE SHIELD II'!$L$7*('CALCULO MORTERO'!I1628^2)+'BLAZE SHIELD II'!$L$8*'CALCULO MORTERO'!I1628+'BLAZE SHIELD II'!$L$9)),0)+IF(AND(L1628="Blaze Shield II",M1628="Software Idiem",C1628="L"),((('BLAZE SHIELD II'!$L$4*('CALCULO MORTERO'!I1628^2)+'BLAZE SHIELD II'!$L$5*'CALCULO MORTERO'!I1628+'BLAZE SHIELD II'!$L$6)*LN(J1628))+('BLAZE SHIELD II'!$L$7*('CALCULO MORTERO'!I1628^2)+'BLAZE SHIELD II'!$L$8*'CALCULO MORTERO'!I1628+'BLAZE SHIELD II'!$L$9)),0)+IF(AND(L1628="Blaze Shield II",M1628="Software Idiem",C1628="IN",G1628=3),((('BLAZE SHIELD II'!$H$14*('CALCULO MORTERO'!I1628^2)+'BLAZE SHIELD II'!$H$15*'CALCULO MORTERO'!I1628+'BLAZE SHIELD II'!$H$16)*LN(J1628))+('BLAZE SHIELD II'!$H$17*('CALCULO MORTERO'!I1628^2)+'BLAZE SHIELD II'!$H$18*'CALCULO MORTERO'!I1628+'BLAZE SHIELD II'!$H$19)),0),0)+ROUND(IF(AND(L1628="Cafco 400",M1628="Software Idiem",C1628="IN",G1628=4),((('CAFCO 400 '!$H$7*(J1628^4)+'CAFCO 400 '!$H$8*(J1628^3)+'CAFCO 400 '!$H$9*(J1628^2)+'CAFCO 400 '!$H$10*J1628+'CAFCO 400 '!$H$11)*U1628^2)+(('CAFCO 400 '!$H$12*(J1628^3)+'CAFCO 400 '!$H$13*(J1628^2)+'CAFCO 400 '!$H$14*J1628+'CAFCO 400 '!$H$15)*U1628)+('CAFCO 400 '!$H$16*(J1628^2)+'CAFCO 400 '!$H$17*J1628+'CAFCO 400 '!$H$18)),0)+IF(AND(L1628="Cafco 400",M1628="Software Idiem",C1628="Cj"),(((('CAFCO 400 '!$D$7*LN(J1628)+'CAFCO 400 '!$D$8)*U1628^2)+(('CAFCO 400 '!$D$9*LN(J1628)+'CAFCO 400 '!$D$10)*U1628)+('CAFCO 400 '!$D$11*LN(J1628)+'CAFCO 400 '!$D$12))),0)+IF(AND(L1628="Cafco 400",M1628="Software Idiem",C1628="C"),((('CAFCO 400 '!$L$7*(J1628^3)+'CAFCO 400 '!$L$8*(J1628^2)+'CAFCO 400 '!$L$9*J1628+'CAFCO 400 '!$L$10)*U1628^2)+(('CAFCO 400 '!$L$11*(J1628^3)+'CAFCO 400 '!$L$12*(J1628^2)+'CAFCO 400 '!$L$13*J1628+'CAFCO 400 '!$L$14)*U1628)+('CAFCO 400 '!$L$15*LN(J1628)+'CAFCO 400 '!$L$16)),0)+IF(AND(L1628="Cafco 400",M1628="Software Idiem",C1628="L"),((('CAFCO 400 '!$L$7*(J1628^3)+'CAFCO 400 '!$L$8*(J1628^2)+'CAFCO 400 '!$L$9*J1628+'CAFCO 400 '!$L$10)*U1628^2)+(('CAFCO 400 '!$L$11*(J1628^3)+'CAFCO 400 '!$L$12*(J1628^2)+'CAFCO 400 '!$L$13*J1628+'CAFCO 400 '!$L$14)*U1628)+('CAFCO 400 '!$L$15*LN(J1628)+'CAFCO 400 '!$L$16)),0)+IF(AND(L1628="Cafco 400",M1628="Software Idiem",C1628="IN",G1628=3),((('CAFCO 400 '!$D$23*(J1628^2)+'CAFCO 400 '!$D$24*(J1628)+'CAFCO 400 '!$D$25)*U1628^2)+(('CAFCO 400 '!$D$26*(J1628^2)+'CAFCO 400 '!$D$27*J1628+'CAFCO 400 '!$D$28)*U1628)+('CAFCO 400 '!$D$29*(J1628^2)+'CAFCO 400 '!$D$30*J1628+'CAFCO 400 '!$D$31)),0),0)+IF(AND(L1628="Cafco 300",J1628&gt;=95,J1628&lt;=240,C1628="Cj",I1628=90),VLOOKUP(T1628,'CAFCO 300 IDIEM TABLAS'!$B$4:$D$23,2,FALSE),0)+IF(AND(L1628="Cafco 300",J1628&gt;=95,J1628&lt;=240,C1628="Cj",I1628=120),VLOOKUP(T1628,'CAFCO 300 IDIEM TABLAS'!$B$4:$D$23,3,FALSE),0)+IF(AND(L1628="Cafco 300",J1628&gt;=95,J1628&lt;=400,G1628=3,C1628="IN",I1628=90),VLOOKUP(T1628,'CAFCO 300 IDIEM TABLAS'!$F$4:$H$35,2,FALSE),0)+IF(AND(L1628="Cafco 300",J1628&gt;=95,J1628&lt;=400,G1628=3,C1628="IN",I1628=120),VLOOKUP(T1628,'CAFCO 300 IDIEM TABLAS'!$F$4:$H$35,3,FALSE),0)+IF(AND(L1628="Cafco 300",J1628&gt;=95,J1628&lt;=450,G1628=4,C1628="IN",I1628=90),VLOOKUP(T1628,'CAFCO 300 IDIEM TABLAS'!$J$4:$L$40,2,FALSE),0)+IF(AND(L1628="Cafco 300",J1628&gt;=95,J1628&lt;=450,G1628=4,C1628="IN",I1628=120),VLOOKUP(T1628,'CAFCO 300 IDIEM TABLAS'!$J$4:$L$40,3,FALSE),0)+IF(AND(M1628="Ensayo Idiem",L1628="Cafco 400",C1628="IN",G1628=4,I1628=90),VLOOKUP(T1628,'CAFCO 400 ENSAYO'!$B$7:$D$43,2,FALSE),0)+IF(AND(M1628="Ensayo Idiem",L1628="Cafco 400",C1628="IN",G1628=4,I1628=120),VLOOKUP(T1628,'CAFCO 400 ENSAYO'!$B$7:$D$43,3,FALSE),0)</f>
        <v>0</v>
      </c>
      <c r="O1628" s="96">
        <f t="shared" si="162"/>
        <v>0</v>
      </c>
      <c r="P1628" s="95" t="str">
        <f t="shared" si="157"/>
        <v>N/A</v>
      </c>
      <c r="Q1628" s="95" t="str">
        <f t="shared" si="158"/>
        <v>N/A</v>
      </c>
      <c r="R1628" s="95" t="str">
        <f t="shared" si="159"/>
        <v>NO CERT.</v>
      </c>
      <c r="S1628" s="95" t="e">
        <f t="shared" si="160"/>
        <v>#N/A</v>
      </c>
      <c r="T1628" s="119" t="e">
        <f>+IF(J1628=LOOKUP(J1628,'CAFCO 300 IDIEM TABLAS'!$J$4:$J$40),'CALCULO MORTERO'!J1628,MROUND('CALCULO MORTERO'!J1628,10))</f>
        <v>#N/A</v>
      </c>
      <c r="U1628" s="118">
        <f t="shared" si="161"/>
        <v>0</v>
      </c>
    </row>
    <row r="1629" spans="1:21" x14ac:dyDescent="0.25">
      <c r="A1629" s="118">
        <f>+CUBICACION!D1623</f>
        <v>0</v>
      </c>
      <c r="B1629" s="819">
        <f>+CUBICACION!E1623</f>
        <v>0</v>
      </c>
      <c r="C1629" s="675">
        <f>+CUBICACION!F1623</f>
        <v>0</v>
      </c>
      <c r="D1629" s="118"/>
      <c r="E1629" s="118"/>
      <c r="F1629" s="820"/>
      <c r="G1629" s="675">
        <f>+CUBICACION!J1623</f>
        <v>0</v>
      </c>
      <c r="H1629" s="118"/>
      <c r="I1629" s="821">
        <f>+CUBICACION!L1623</f>
        <v>0</v>
      </c>
      <c r="J1629" s="64">
        <f>+CUBICACION!M1623</f>
        <v>0</v>
      </c>
      <c r="K1629" s="822">
        <f>+CUBICACION!N1623</f>
        <v>0</v>
      </c>
      <c r="L1629" s="118">
        <f>+CUBICACION!O1623</f>
        <v>0</v>
      </c>
      <c r="M1629" s="823">
        <f>+CUBICACION!P1623</f>
        <v>0</v>
      </c>
      <c r="N1629" s="902">
        <f>ROUND(IF(AND(L1629="Blaze Shield II",M1629="Software Idiem",C1629="IN",G1629=4),((('BLAZE SHIELD II'!$D$4*('CALCULO MORTERO'!I1629^2)+'BLAZE SHIELD II'!$D$5*'CALCULO MORTERO'!I1629+'BLAZE SHIELD II'!$D$6)*LN(J1629))+('BLAZE SHIELD II'!$D$7*('CALCULO MORTERO'!I1629^2)+'BLAZE SHIELD II'!$D$8*'CALCULO MORTERO'!I1629+'BLAZE SHIELD II'!$D$9)),0)+IF(AND(L1629="Blaze Shield II",M1629="Software Idiem",C1629="Cj"),((('BLAZE SHIELD II'!$H$4*('CALCULO MORTERO'!I1629^2)+'BLAZE SHIELD II'!$H$5*'CALCULO MORTERO'!I1629+'BLAZE SHIELD II'!$H$6)*LN(J1629))+('BLAZE SHIELD II'!$H$7*('CALCULO MORTERO'!I1629^2)+'BLAZE SHIELD II'!$H$8*'CALCULO MORTERO'!I1629+'BLAZE SHIELD II'!$H$9)),0)+IF(AND(L1629="Blaze Shield II",M1629="Software Idiem",C1629="C"),((('BLAZE SHIELD II'!$L$4*('CALCULO MORTERO'!I1629^2)+'BLAZE SHIELD II'!$L$5*'CALCULO MORTERO'!I1629+'BLAZE SHIELD II'!$L$6)*LN(J1629))+('BLAZE SHIELD II'!$L$7*('CALCULO MORTERO'!I1629^2)+'BLAZE SHIELD II'!$L$8*'CALCULO MORTERO'!I1629+'BLAZE SHIELD II'!$L$9)),0)+IF(AND(L1629="Blaze Shield II",M1629="Software Idiem",C1629="L"),((('BLAZE SHIELD II'!$L$4*('CALCULO MORTERO'!I1629^2)+'BLAZE SHIELD II'!$L$5*'CALCULO MORTERO'!I1629+'BLAZE SHIELD II'!$L$6)*LN(J1629))+('BLAZE SHIELD II'!$L$7*('CALCULO MORTERO'!I1629^2)+'BLAZE SHIELD II'!$L$8*'CALCULO MORTERO'!I1629+'BLAZE SHIELD II'!$L$9)),0)+IF(AND(L1629="Blaze Shield II",M1629="Software Idiem",C1629="IN",G1629=3),((('BLAZE SHIELD II'!$H$14*('CALCULO MORTERO'!I1629^2)+'BLAZE SHIELD II'!$H$15*'CALCULO MORTERO'!I1629+'BLAZE SHIELD II'!$H$16)*LN(J1629))+('BLAZE SHIELD II'!$H$17*('CALCULO MORTERO'!I1629^2)+'BLAZE SHIELD II'!$H$18*'CALCULO MORTERO'!I1629+'BLAZE SHIELD II'!$H$19)),0),0)+ROUND(IF(AND(L1629="Cafco 400",M1629="Software Idiem",C1629="IN",G1629=4),((('CAFCO 400 '!$H$7*(J1629^4)+'CAFCO 400 '!$H$8*(J1629^3)+'CAFCO 400 '!$H$9*(J1629^2)+'CAFCO 400 '!$H$10*J1629+'CAFCO 400 '!$H$11)*U1629^2)+(('CAFCO 400 '!$H$12*(J1629^3)+'CAFCO 400 '!$H$13*(J1629^2)+'CAFCO 400 '!$H$14*J1629+'CAFCO 400 '!$H$15)*U1629)+('CAFCO 400 '!$H$16*(J1629^2)+'CAFCO 400 '!$H$17*J1629+'CAFCO 400 '!$H$18)),0)+IF(AND(L1629="Cafco 400",M1629="Software Idiem",C1629="Cj"),(((('CAFCO 400 '!$D$7*LN(J1629)+'CAFCO 400 '!$D$8)*U1629^2)+(('CAFCO 400 '!$D$9*LN(J1629)+'CAFCO 400 '!$D$10)*U1629)+('CAFCO 400 '!$D$11*LN(J1629)+'CAFCO 400 '!$D$12))),0)+IF(AND(L1629="Cafco 400",M1629="Software Idiem",C1629="C"),((('CAFCO 400 '!$L$7*(J1629^3)+'CAFCO 400 '!$L$8*(J1629^2)+'CAFCO 400 '!$L$9*J1629+'CAFCO 400 '!$L$10)*U1629^2)+(('CAFCO 400 '!$L$11*(J1629^3)+'CAFCO 400 '!$L$12*(J1629^2)+'CAFCO 400 '!$L$13*J1629+'CAFCO 400 '!$L$14)*U1629)+('CAFCO 400 '!$L$15*LN(J1629)+'CAFCO 400 '!$L$16)),0)+IF(AND(L1629="Cafco 400",M1629="Software Idiem",C1629="L"),((('CAFCO 400 '!$L$7*(J1629^3)+'CAFCO 400 '!$L$8*(J1629^2)+'CAFCO 400 '!$L$9*J1629+'CAFCO 400 '!$L$10)*U1629^2)+(('CAFCO 400 '!$L$11*(J1629^3)+'CAFCO 400 '!$L$12*(J1629^2)+'CAFCO 400 '!$L$13*J1629+'CAFCO 400 '!$L$14)*U1629)+('CAFCO 400 '!$L$15*LN(J1629)+'CAFCO 400 '!$L$16)),0)+IF(AND(L1629="Cafco 400",M1629="Software Idiem",C1629="IN",G1629=3),((('CAFCO 400 '!$D$23*(J1629^2)+'CAFCO 400 '!$D$24*(J1629)+'CAFCO 400 '!$D$25)*U1629^2)+(('CAFCO 400 '!$D$26*(J1629^2)+'CAFCO 400 '!$D$27*J1629+'CAFCO 400 '!$D$28)*U1629)+('CAFCO 400 '!$D$29*(J1629^2)+'CAFCO 400 '!$D$30*J1629+'CAFCO 400 '!$D$31)),0),0)+IF(AND(L1629="Cafco 300",J1629&gt;=95,J1629&lt;=240,C1629="Cj",I1629=90),VLOOKUP(T1629,'CAFCO 300 IDIEM TABLAS'!$B$4:$D$23,2,FALSE),0)+IF(AND(L1629="Cafco 300",J1629&gt;=95,J1629&lt;=240,C1629="Cj",I1629=120),VLOOKUP(T1629,'CAFCO 300 IDIEM TABLAS'!$B$4:$D$23,3,FALSE),0)+IF(AND(L1629="Cafco 300",J1629&gt;=95,J1629&lt;=400,G1629=3,C1629="IN",I1629=90),VLOOKUP(T1629,'CAFCO 300 IDIEM TABLAS'!$F$4:$H$35,2,FALSE),0)+IF(AND(L1629="Cafco 300",J1629&gt;=95,J1629&lt;=400,G1629=3,C1629="IN",I1629=120),VLOOKUP(T1629,'CAFCO 300 IDIEM TABLAS'!$F$4:$H$35,3,FALSE),0)+IF(AND(L1629="Cafco 300",J1629&gt;=95,J1629&lt;=450,G1629=4,C1629="IN",I1629=90),VLOOKUP(T1629,'CAFCO 300 IDIEM TABLAS'!$J$4:$L$40,2,FALSE),0)+IF(AND(L1629="Cafco 300",J1629&gt;=95,J1629&lt;=450,G1629=4,C1629="IN",I1629=120),VLOOKUP(T1629,'CAFCO 300 IDIEM TABLAS'!$J$4:$L$40,3,FALSE),0)+IF(AND(M1629="Ensayo Idiem",L1629="Cafco 400",C1629="IN",G1629=4,I1629=90),VLOOKUP(T1629,'CAFCO 400 ENSAYO'!$B$7:$D$43,2,FALSE),0)+IF(AND(M1629="Ensayo Idiem",L1629="Cafco 400",C1629="IN",G1629=4,I1629=120),VLOOKUP(T1629,'CAFCO 400 ENSAYO'!$B$7:$D$43,3,FALSE),0)</f>
        <v>0</v>
      </c>
      <c r="O1629" s="96">
        <f t="shared" si="162"/>
        <v>0</v>
      </c>
      <c r="P1629" s="132" t="str">
        <f t="shared" si="157"/>
        <v>N/A</v>
      </c>
      <c r="Q1629" s="132" t="str">
        <f t="shared" si="158"/>
        <v>N/A</v>
      </c>
      <c r="R1629" s="132" t="str">
        <f t="shared" si="159"/>
        <v>NO CERT.</v>
      </c>
      <c r="S1629" s="132" t="e">
        <f t="shared" si="160"/>
        <v>#N/A</v>
      </c>
      <c r="T1629" s="133" t="e">
        <f>+IF(J1629=LOOKUP(J1629,'CAFCO 300 IDIEM TABLAS'!$J$4:$J$40),'CALCULO MORTERO'!J1629,MROUND('CALCULO MORTERO'!J1629,10))</f>
        <v>#N/A</v>
      </c>
      <c r="U1629" s="134">
        <f t="shared" si="161"/>
        <v>0</v>
      </c>
    </row>
    <row r="1630" spans="1:21" x14ac:dyDescent="0.25">
      <c r="A1630" s="118">
        <f>+CUBICACION!D1624</f>
        <v>0</v>
      </c>
      <c r="B1630" s="819">
        <f>+CUBICACION!E1624</f>
        <v>0</v>
      </c>
      <c r="C1630" s="675">
        <f>+CUBICACION!F1624</f>
        <v>0</v>
      </c>
      <c r="D1630" s="118"/>
      <c r="E1630" s="118"/>
      <c r="F1630" s="820"/>
      <c r="G1630" s="675">
        <f>+CUBICACION!J1624</f>
        <v>0</v>
      </c>
      <c r="H1630" s="118"/>
      <c r="I1630" s="821">
        <f>+CUBICACION!L1624</f>
        <v>0</v>
      </c>
      <c r="J1630" s="64">
        <f>+CUBICACION!M1624</f>
        <v>0</v>
      </c>
      <c r="K1630" s="822">
        <f>+CUBICACION!N1624</f>
        <v>0</v>
      </c>
      <c r="L1630" s="118">
        <f>+CUBICACION!O1624</f>
        <v>0</v>
      </c>
      <c r="M1630" s="823">
        <f>+CUBICACION!P1624</f>
        <v>0</v>
      </c>
      <c r="N1630" s="902">
        <f>ROUND(IF(AND(L1630="Blaze Shield II",M1630="Software Idiem",C1630="IN",G1630=4),((('BLAZE SHIELD II'!$D$4*('CALCULO MORTERO'!I1630^2)+'BLAZE SHIELD II'!$D$5*'CALCULO MORTERO'!I1630+'BLAZE SHIELD II'!$D$6)*LN(J1630))+('BLAZE SHIELD II'!$D$7*('CALCULO MORTERO'!I1630^2)+'BLAZE SHIELD II'!$D$8*'CALCULO MORTERO'!I1630+'BLAZE SHIELD II'!$D$9)),0)+IF(AND(L1630="Blaze Shield II",M1630="Software Idiem",C1630="Cj"),((('BLAZE SHIELD II'!$H$4*('CALCULO MORTERO'!I1630^2)+'BLAZE SHIELD II'!$H$5*'CALCULO MORTERO'!I1630+'BLAZE SHIELD II'!$H$6)*LN(J1630))+('BLAZE SHIELD II'!$H$7*('CALCULO MORTERO'!I1630^2)+'BLAZE SHIELD II'!$H$8*'CALCULO MORTERO'!I1630+'BLAZE SHIELD II'!$H$9)),0)+IF(AND(L1630="Blaze Shield II",M1630="Software Idiem",C1630="C"),((('BLAZE SHIELD II'!$L$4*('CALCULO MORTERO'!I1630^2)+'BLAZE SHIELD II'!$L$5*'CALCULO MORTERO'!I1630+'BLAZE SHIELD II'!$L$6)*LN(J1630))+('BLAZE SHIELD II'!$L$7*('CALCULO MORTERO'!I1630^2)+'BLAZE SHIELD II'!$L$8*'CALCULO MORTERO'!I1630+'BLAZE SHIELD II'!$L$9)),0)+IF(AND(L1630="Blaze Shield II",M1630="Software Idiem",C1630="L"),((('BLAZE SHIELD II'!$L$4*('CALCULO MORTERO'!I1630^2)+'BLAZE SHIELD II'!$L$5*'CALCULO MORTERO'!I1630+'BLAZE SHIELD II'!$L$6)*LN(J1630))+('BLAZE SHIELD II'!$L$7*('CALCULO MORTERO'!I1630^2)+'BLAZE SHIELD II'!$L$8*'CALCULO MORTERO'!I1630+'BLAZE SHIELD II'!$L$9)),0)+IF(AND(L1630="Blaze Shield II",M1630="Software Idiem",C1630="IN",G1630=3),((('BLAZE SHIELD II'!$H$14*('CALCULO MORTERO'!I1630^2)+'BLAZE SHIELD II'!$H$15*'CALCULO MORTERO'!I1630+'BLAZE SHIELD II'!$H$16)*LN(J1630))+('BLAZE SHIELD II'!$H$17*('CALCULO MORTERO'!I1630^2)+'BLAZE SHIELD II'!$H$18*'CALCULO MORTERO'!I1630+'BLAZE SHIELD II'!$H$19)),0),0)+ROUND(IF(AND(L1630="Cafco 400",M1630="Software Idiem",C1630="IN",G1630=4),((('CAFCO 400 '!$H$7*(J1630^4)+'CAFCO 400 '!$H$8*(J1630^3)+'CAFCO 400 '!$H$9*(J1630^2)+'CAFCO 400 '!$H$10*J1630+'CAFCO 400 '!$H$11)*U1630^2)+(('CAFCO 400 '!$H$12*(J1630^3)+'CAFCO 400 '!$H$13*(J1630^2)+'CAFCO 400 '!$H$14*J1630+'CAFCO 400 '!$H$15)*U1630)+('CAFCO 400 '!$H$16*(J1630^2)+'CAFCO 400 '!$H$17*J1630+'CAFCO 400 '!$H$18)),0)+IF(AND(L1630="Cafco 400",M1630="Software Idiem",C1630="Cj"),(((('CAFCO 400 '!$D$7*LN(J1630)+'CAFCO 400 '!$D$8)*U1630^2)+(('CAFCO 400 '!$D$9*LN(J1630)+'CAFCO 400 '!$D$10)*U1630)+('CAFCO 400 '!$D$11*LN(J1630)+'CAFCO 400 '!$D$12))),0)+IF(AND(L1630="Cafco 400",M1630="Software Idiem",C1630="C"),((('CAFCO 400 '!$L$7*(J1630^3)+'CAFCO 400 '!$L$8*(J1630^2)+'CAFCO 400 '!$L$9*J1630+'CAFCO 400 '!$L$10)*U1630^2)+(('CAFCO 400 '!$L$11*(J1630^3)+'CAFCO 400 '!$L$12*(J1630^2)+'CAFCO 400 '!$L$13*J1630+'CAFCO 400 '!$L$14)*U1630)+('CAFCO 400 '!$L$15*LN(J1630)+'CAFCO 400 '!$L$16)),0)+IF(AND(L1630="Cafco 400",M1630="Software Idiem",C1630="L"),((('CAFCO 400 '!$L$7*(J1630^3)+'CAFCO 400 '!$L$8*(J1630^2)+'CAFCO 400 '!$L$9*J1630+'CAFCO 400 '!$L$10)*U1630^2)+(('CAFCO 400 '!$L$11*(J1630^3)+'CAFCO 400 '!$L$12*(J1630^2)+'CAFCO 400 '!$L$13*J1630+'CAFCO 400 '!$L$14)*U1630)+('CAFCO 400 '!$L$15*LN(J1630)+'CAFCO 400 '!$L$16)),0)+IF(AND(L1630="Cafco 400",M1630="Software Idiem",C1630="IN",G1630=3),((('CAFCO 400 '!$D$23*(J1630^2)+'CAFCO 400 '!$D$24*(J1630)+'CAFCO 400 '!$D$25)*U1630^2)+(('CAFCO 400 '!$D$26*(J1630^2)+'CAFCO 400 '!$D$27*J1630+'CAFCO 400 '!$D$28)*U1630)+('CAFCO 400 '!$D$29*(J1630^2)+'CAFCO 400 '!$D$30*J1630+'CAFCO 400 '!$D$31)),0),0)+IF(AND(L1630="Cafco 300",J1630&gt;=95,J1630&lt;=240,C1630="Cj",I1630=90),VLOOKUP(T1630,'CAFCO 300 IDIEM TABLAS'!$B$4:$D$23,2,FALSE),0)+IF(AND(L1630="Cafco 300",J1630&gt;=95,J1630&lt;=240,C1630="Cj",I1630=120),VLOOKUP(T1630,'CAFCO 300 IDIEM TABLAS'!$B$4:$D$23,3,FALSE),0)+IF(AND(L1630="Cafco 300",J1630&gt;=95,J1630&lt;=400,G1630=3,C1630="IN",I1630=90),VLOOKUP(T1630,'CAFCO 300 IDIEM TABLAS'!$F$4:$H$35,2,FALSE),0)+IF(AND(L1630="Cafco 300",J1630&gt;=95,J1630&lt;=400,G1630=3,C1630="IN",I1630=120),VLOOKUP(T1630,'CAFCO 300 IDIEM TABLAS'!$F$4:$H$35,3,FALSE),0)+IF(AND(L1630="Cafco 300",J1630&gt;=95,J1630&lt;=450,G1630=4,C1630="IN",I1630=90),VLOOKUP(T1630,'CAFCO 300 IDIEM TABLAS'!$J$4:$L$40,2,FALSE),0)+IF(AND(L1630="Cafco 300",J1630&gt;=95,J1630&lt;=450,G1630=4,C1630="IN",I1630=120),VLOOKUP(T1630,'CAFCO 300 IDIEM TABLAS'!$J$4:$L$40,3,FALSE),0)+IF(AND(M1630="Ensayo Idiem",L1630="Cafco 400",C1630="IN",G1630=4,I1630=90),VLOOKUP(T1630,'CAFCO 400 ENSAYO'!$B$7:$D$43,2,FALSE),0)+IF(AND(M1630="Ensayo Idiem",L1630="Cafco 400",C1630="IN",G1630=4,I1630=120),VLOOKUP(T1630,'CAFCO 400 ENSAYO'!$B$7:$D$43,3,FALSE),0)</f>
        <v>0</v>
      </c>
      <c r="O1630" s="96">
        <f t="shared" si="162"/>
        <v>0</v>
      </c>
      <c r="P1630" s="95" t="str">
        <f t="shared" si="157"/>
        <v>N/A</v>
      </c>
      <c r="Q1630" s="95" t="str">
        <f t="shared" si="158"/>
        <v>N/A</v>
      </c>
      <c r="R1630" s="95" t="str">
        <f t="shared" si="159"/>
        <v>NO CERT.</v>
      </c>
      <c r="S1630" s="95" t="e">
        <f t="shared" si="160"/>
        <v>#N/A</v>
      </c>
      <c r="T1630" s="119" t="e">
        <f>+IF(J1630=LOOKUP(J1630,'CAFCO 300 IDIEM TABLAS'!$J$4:$J$40),'CALCULO MORTERO'!J1630,MROUND('CALCULO MORTERO'!J1630,10))</f>
        <v>#N/A</v>
      </c>
      <c r="U1630" s="118">
        <f t="shared" si="161"/>
        <v>0</v>
      </c>
    </row>
    <row r="1631" spans="1:21" x14ac:dyDescent="0.25">
      <c r="A1631" s="118">
        <f>+CUBICACION!D1625</f>
        <v>0</v>
      </c>
      <c r="B1631" s="819">
        <f>+CUBICACION!E1625</f>
        <v>0</v>
      </c>
      <c r="C1631" s="675">
        <f>+CUBICACION!F1625</f>
        <v>0</v>
      </c>
      <c r="D1631" s="118"/>
      <c r="E1631" s="118"/>
      <c r="F1631" s="820"/>
      <c r="G1631" s="675">
        <f>+CUBICACION!J1625</f>
        <v>0</v>
      </c>
      <c r="H1631" s="118"/>
      <c r="I1631" s="821">
        <f>+CUBICACION!L1625</f>
        <v>0</v>
      </c>
      <c r="J1631" s="64">
        <f>+CUBICACION!M1625</f>
        <v>0</v>
      </c>
      <c r="K1631" s="822">
        <f>+CUBICACION!N1625</f>
        <v>0</v>
      </c>
      <c r="L1631" s="118">
        <f>+CUBICACION!O1625</f>
        <v>0</v>
      </c>
      <c r="M1631" s="823">
        <f>+CUBICACION!P1625</f>
        <v>0</v>
      </c>
      <c r="N1631" s="902">
        <f>ROUND(IF(AND(L1631="Blaze Shield II",M1631="Software Idiem",C1631="IN",G1631=4),((('BLAZE SHIELD II'!$D$4*('CALCULO MORTERO'!I1631^2)+'BLAZE SHIELD II'!$D$5*'CALCULO MORTERO'!I1631+'BLAZE SHIELD II'!$D$6)*LN(J1631))+('BLAZE SHIELD II'!$D$7*('CALCULO MORTERO'!I1631^2)+'BLAZE SHIELD II'!$D$8*'CALCULO MORTERO'!I1631+'BLAZE SHIELD II'!$D$9)),0)+IF(AND(L1631="Blaze Shield II",M1631="Software Idiem",C1631="Cj"),((('BLAZE SHIELD II'!$H$4*('CALCULO MORTERO'!I1631^2)+'BLAZE SHIELD II'!$H$5*'CALCULO MORTERO'!I1631+'BLAZE SHIELD II'!$H$6)*LN(J1631))+('BLAZE SHIELD II'!$H$7*('CALCULO MORTERO'!I1631^2)+'BLAZE SHIELD II'!$H$8*'CALCULO MORTERO'!I1631+'BLAZE SHIELD II'!$H$9)),0)+IF(AND(L1631="Blaze Shield II",M1631="Software Idiem",C1631="C"),((('BLAZE SHIELD II'!$L$4*('CALCULO MORTERO'!I1631^2)+'BLAZE SHIELD II'!$L$5*'CALCULO MORTERO'!I1631+'BLAZE SHIELD II'!$L$6)*LN(J1631))+('BLAZE SHIELD II'!$L$7*('CALCULO MORTERO'!I1631^2)+'BLAZE SHIELD II'!$L$8*'CALCULO MORTERO'!I1631+'BLAZE SHIELD II'!$L$9)),0)+IF(AND(L1631="Blaze Shield II",M1631="Software Idiem",C1631="L"),((('BLAZE SHIELD II'!$L$4*('CALCULO MORTERO'!I1631^2)+'BLAZE SHIELD II'!$L$5*'CALCULO MORTERO'!I1631+'BLAZE SHIELD II'!$L$6)*LN(J1631))+('BLAZE SHIELD II'!$L$7*('CALCULO MORTERO'!I1631^2)+'BLAZE SHIELD II'!$L$8*'CALCULO MORTERO'!I1631+'BLAZE SHIELD II'!$L$9)),0)+IF(AND(L1631="Blaze Shield II",M1631="Software Idiem",C1631="IN",G1631=3),((('BLAZE SHIELD II'!$H$14*('CALCULO MORTERO'!I1631^2)+'BLAZE SHIELD II'!$H$15*'CALCULO MORTERO'!I1631+'BLAZE SHIELD II'!$H$16)*LN(J1631))+('BLAZE SHIELD II'!$H$17*('CALCULO MORTERO'!I1631^2)+'BLAZE SHIELD II'!$H$18*'CALCULO MORTERO'!I1631+'BLAZE SHIELD II'!$H$19)),0),0)+ROUND(IF(AND(L1631="Cafco 400",M1631="Software Idiem",C1631="IN",G1631=4),((('CAFCO 400 '!$H$7*(J1631^4)+'CAFCO 400 '!$H$8*(J1631^3)+'CAFCO 400 '!$H$9*(J1631^2)+'CAFCO 400 '!$H$10*J1631+'CAFCO 400 '!$H$11)*U1631^2)+(('CAFCO 400 '!$H$12*(J1631^3)+'CAFCO 400 '!$H$13*(J1631^2)+'CAFCO 400 '!$H$14*J1631+'CAFCO 400 '!$H$15)*U1631)+('CAFCO 400 '!$H$16*(J1631^2)+'CAFCO 400 '!$H$17*J1631+'CAFCO 400 '!$H$18)),0)+IF(AND(L1631="Cafco 400",M1631="Software Idiem",C1631="Cj"),(((('CAFCO 400 '!$D$7*LN(J1631)+'CAFCO 400 '!$D$8)*U1631^2)+(('CAFCO 400 '!$D$9*LN(J1631)+'CAFCO 400 '!$D$10)*U1631)+('CAFCO 400 '!$D$11*LN(J1631)+'CAFCO 400 '!$D$12))),0)+IF(AND(L1631="Cafco 400",M1631="Software Idiem",C1631="C"),((('CAFCO 400 '!$L$7*(J1631^3)+'CAFCO 400 '!$L$8*(J1631^2)+'CAFCO 400 '!$L$9*J1631+'CAFCO 400 '!$L$10)*U1631^2)+(('CAFCO 400 '!$L$11*(J1631^3)+'CAFCO 400 '!$L$12*(J1631^2)+'CAFCO 400 '!$L$13*J1631+'CAFCO 400 '!$L$14)*U1631)+('CAFCO 400 '!$L$15*LN(J1631)+'CAFCO 400 '!$L$16)),0)+IF(AND(L1631="Cafco 400",M1631="Software Idiem",C1631="L"),((('CAFCO 400 '!$L$7*(J1631^3)+'CAFCO 400 '!$L$8*(J1631^2)+'CAFCO 400 '!$L$9*J1631+'CAFCO 400 '!$L$10)*U1631^2)+(('CAFCO 400 '!$L$11*(J1631^3)+'CAFCO 400 '!$L$12*(J1631^2)+'CAFCO 400 '!$L$13*J1631+'CAFCO 400 '!$L$14)*U1631)+('CAFCO 400 '!$L$15*LN(J1631)+'CAFCO 400 '!$L$16)),0)+IF(AND(L1631="Cafco 400",M1631="Software Idiem",C1631="IN",G1631=3),((('CAFCO 400 '!$D$23*(J1631^2)+'CAFCO 400 '!$D$24*(J1631)+'CAFCO 400 '!$D$25)*U1631^2)+(('CAFCO 400 '!$D$26*(J1631^2)+'CAFCO 400 '!$D$27*J1631+'CAFCO 400 '!$D$28)*U1631)+('CAFCO 400 '!$D$29*(J1631^2)+'CAFCO 400 '!$D$30*J1631+'CAFCO 400 '!$D$31)),0),0)+IF(AND(L1631="Cafco 300",J1631&gt;=95,J1631&lt;=240,C1631="Cj",I1631=90),VLOOKUP(T1631,'CAFCO 300 IDIEM TABLAS'!$B$4:$D$23,2,FALSE),0)+IF(AND(L1631="Cafco 300",J1631&gt;=95,J1631&lt;=240,C1631="Cj",I1631=120),VLOOKUP(T1631,'CAFCO 300 IDIEM TABLAS'!$B$4:$D$23,3,FALSE),0)+IF(AND(L1631="Cafco 300",J1631&gt;=95,J1631&lt;=400,G1631=3,C1631="IN",I1631=90),VLOOKUP(T1631,'CAFCO 300 IDIEM TABLAS'!$F$4:$H$35,2,FALSE),0)+IF(AND(L1631="Cafco 300",J1631&gt;=95,J1631&lt;=400,G1631=3,C1631="IN",I1631=120),VLOOKUP(T1631,'CAFCO 300 IDIEM TABLAS'!$F$4:$H$35,3,FALSE),0)+IF(AND(L1631="Cafco 300",J1631&gt;=95,J1631&lt;=450,G1631=4,C1631="IN",I1631=90),VLOOKUP(T1631,'CAFCO 300 IDIEM TABLAS'!$J$4:$L$40,2,FALSE),0)+IF(AND(L1631="Cafco 300",J1631&gt;=95,J1631&lt;=450,G1631=4,C1631="IN",I1631=120),VLOOKUP(T1631,'CAFCO 300 IDIEM TABLAS'!$J$4:$L$40,3,FALSE),0)+IF(AND(M1631="Ensayo Idiem",L1631="Cafco 400",C1631="IN",G1631=4,I1631=90),VLOOKUP(T1631,'CAFCO 400 ENSAYO'!$B$7:$D$43,2,FALSE),0)+IF(AND(M1631="Ensayo Idiem",L1631="Cafco 400",C1631="IN",G1631=4,I1631=120),VLOOKUP(T1631,'CAFCO 400 ENSAYO'!$B$7:$D$43,3,FALSE),0)</f>
        <v>0</v>
      </c>
      <c r="O1631" s="96">
        <f t="shared" si="162"/>
        <v>0</v>
      </c>
      <c r="P1631" s="132" t="str">
        <f t="shared" si="157"/>
        <v>N/A</v>
      </c>
      <c r="Q1631" s="132" t="str">
        <f t="shared" si="158"/>
        <v>N/A</v>
      </c>
      <c r="R1631" s="132" t="str">
        <f t="shared" si="159"/>
        <v>NO CERT.</v>
      </c>
      <c r="S1631" s="132" t="e">
        <f t="shared" si="160"/>
        <v>#N/A</v>
      </c>
      <c r="T1631" s="133" t="e">
        <f>+IF(J1631=LOOKUP(J1631,'CAFCO 300 IDIEM TABLAS'!$J$4:$J$40),'CALCULO MORTERO'!J1631,MROUND('CALCULO MORTERO'!J1631,10))</f>
        <v>#N/A</v>
      </c>
      <c r="U1631" s="134">
        <f t="shared" si="161"/>
        <v>0</v>
      </c>
    </row>
    <row r="1632" spans="1:21" x14ac:dyDescent="0.25">
      <c r="A1632" s="118">
        <f>+CUBICACION!D1626</f>
        <v>0</v>
      </c>
      <c r="B1632" s="819">
        <f>+CUBICACION!E1626</f>
        <v>0</v>
      </c>
      <c r="C1632" s="675">
        <f>+CUBICACION!F1626</f>
        <v>0</v>
      </c>
      <c r="D1632" s="118"/>
      <c r="E1632" s="118"/>
      <c r="F1632" s="820"/>
      <c r="G1632" s="675">
        <f>+CUBICACION!J1626</f>
        <v>0</v>
      </c>
      <c r="H1632" s="118"/>
      <c r="I1632" s="821">
        <f>+CUBICACION!L1626</f>
        <v>0</v>
      </c>
      <c r="J1632" s="64">
        <f>+CUBICACION!M1626</f>
        <v>0</v>
      </c>
      <c r="K1632" s="822">
        <f>+CUBICACION!N1626</f>
        <v>0</v>
      </c>
      <c r="L1632" s="118">
        <f>+CUBICACION!O1626</f>
        <v>0</v>
      </c>
      <c r="M1632" s="823">
        <f>+CUBICACION!P1626</f>
        <v>0</v>
      </c>
      <c r="N1632" s="902">
        <f>ROUND(IF(AND(L1632="Blaze Shield II",M1632="Software Idiem",C1632="IN",G1632=4),((('BLAZE SHIELD II'!$D$4*('CALCULO MORTERO'!I1632^2)+'BLAZE SHIELD II'!$D$5*'CALCULO MORTERO'!I1632+'BLAZE SHIELD II'!$D$6)*LN(J1632))+('BLAZE SHIELD II'!$D$7*('CALCULO MORTERO'!I1632^2)+'BLAZE SHIELD II'!$D$8*'CALCULO MORTERO'!I1632+'BLAZE SHIELD II'!$D$9)),0)+IF(AND(L1632="Blaze Shield II",M1632="Software Idiem",C1632="Cj"),((('BLAZE SHIELD II'!$H$4*('CALCULO MORTERO'!I1632^2)+'BLAZE SHIELD II'!$H$5*'CALCULO MORTERO'!I1632+'BLAZE SHIELD II'!$H$6)*LN(J1632))+('BLAZE SHIELD II'!$H$7*('CALCULO MORTERO'!I1632^2)+'BLAZE SHIELD II'!$H$8*'CALCULO MORTERO'!I1632+'BLAZE SHIELD II'!$H$9)),0)+IF(AND(L1632="Blaze Shield II",M1632="Software Idiem",C1632="C"),((('BLAZE SHIELD II'!$L$4*('CALCULO MORTERO'!I1632^2)+'BLAZE SHIELD II'!$L$5*'CALCULO MORTERO'!I1632+'BLAZE SHIELD II'!$L$6)*LN(J1632))+('BLAZE SHIELD II'!$L$7*('CALCULO MORTERO'!I1632^2)+'BLAZE SHIELD II'!$L$8*'CALCULO MORTERO'!I1632+'BLAZE SHIELD II'!$L$9)),0)+IF(AND(L1632="Blaze Shield II",M1632="Software Idiem",C1632="L"),((('BLAZE SHIELD II'!$L$4*('CALCULO MORTERO'!I1632^2)+'BLAZE SHIELD II'!$L$5*'CALCULO MORTERO'!I1632+'BLAZE SHIELD II'!$L$6)*LN(J1632))+('BLAZE SHIELD II'!$L$7*('CALCULO MORTERO'!I1632^2)+'BLAZE SHIELD II'!$L$8*'CALCULO MORTERO'!I1632+'BLAZE SHIELD II'!$L$9)),0)+IF(AND(L1632="Blaze Shield II",M1632="Software Idiem",C1632="IN",G1632=3),((('BLAZE SHIELD II'!$H$14*('CALCULO MORTERO'!I1632^2)+'BLAZE SHIELD II'!$H$15*'CALCULO MORTERO'!I1632+'BLAZE SHIELD II'!$H$16)*LN(J1632))+('BLAZE SHIELD II'!$H$17*('CALCULO MORTERO'!I1632^2)+'BLAZE SHIELD II'!$H$18*'CALCULO MORTERO'!I1632+'BLAZE SHIELD II'!$H$19)),0),0)+ROUND(IF(AND(L1632="Cafco 400",M1632="Software Idiem",C1632="IN",G1632=4),((('CAFCO 400 '!$H$7*(J1632^4)+'CAFCO 400 '!$H$8*(J1632^3)+'CAFCO 400 '!$H$9*(J1632^2)+'CAFCO 400 '!$H$10*J1632+'CAFCO 400 '!$H$11)*U1632^2)+(('CAFCO 400 '!$H$12*(J1632^3)+'CAFCO 400 '!$H$13*(J1632^2)+'CAFCO 400 '!$H$14*J1632+'CAFCO 400 '!$H$15)*U1632)+('CAFCO 400 '!$H$16*(J1632^2)+'CAFCO 400 '!$H$17*J1632+'CAFCO 400 '!$H$18)),0)+IF(AND(L1632="Cafco 400",M1632="Software Idiem",C1632="Cj"),(((('CAFCO 400 '!$D$7*LN(J1632)+'CAFCO 400 '!$D$8)*U1632^2)+(('CAFCO 400 '!$D$9*LN(J1632)+'CAFCO 400 '!$D$10)*U1632)+('CAFCO 400 '!$D$11*LN(J1632)+'CAFCO 400 '!$D$12))),0)+IF(AND(L1632="Cafco 400",M1632="Software Idiem",C1632="C"),((('CAFCO 400 '!$L$7*(J1632^3)+'CAFCO 400 '!$L$8*(J1632^2)+'CAFCO 400 '!$L$9*J1632+'CAFCO 400 '!$L$10)*U1632^2)+(('CAFCO 400 '!$L$11*(J1632^3)+'CAFCO 400 '!$L$12*(J1632^2)+'CAFCO 400 '!$L$13*J1632+'CAFCO 400 '!$L$14)*U1632)+('CAFCO 400 '!$L$15*LN(J1632)+'CAFCO 400 '!$L$16)),0)+IF(AND(L1632="Cafco 400",M1632="Software Idiem",C1632="L"),((('CAFCO 400 '!$L$7*(J1632^3)+'CAFCO 400 '!$L$8*(J1632^2)+'CAFCO 400 '!$L$9*J1632+'CAFCO 400 '!$L$10)*U1632^2)+(('CAFCO 400 '!$L$11*(J1632^3)+'CAFCO 400 '!$L$12*(J1632^2)+'CAFCO 400 '!$L$13*J1632+'CAFCO 400 '!$L$14)*U1632)+('CAFCO 400 '!$L$15*LN(J1632)+'CAFCO 400 '!$L$16)),0)+IF(AND(L1632="Cafco 400",M1632="Software Idiem",C1632="IN",G1632=3),((('CAFCO 400 '!$D$23*(J1632^2)+'CAFCO 400 '!$D$24*(J1632)+'CAFCO 400 '!$D$25)*U1632^2)+(('CAFCO 400 '!$D$26*(J1632^2)+'CAFCO 400 '!$D$27*J1632+'CAFCO 400 '!$D$28)*U1632)+('CAFCO 400 '!$D$29*(J1632^2)+'CAFCO 400 '!$D$30*J1632+'CAFCO 400 '!$D$31)),0),0)+IF(AND(L1632="Cafco 300",J1632&gt;=95,J1632&lt;=240,C1632="Cj",I1632=90),VLOOKUP(T1632,'CAFCO 300 IDIEM TABLAS'!$B$4:$D$23,2,FALSE),0)+IF(AND(L1632="Cafco 300",J1632&gt;=95,J1632&lt;=240,C1632="Cj",I1632=120),VLOOKUP(T1632,'CAFCO 300 IDIEM TABLAS'!$B$4:$D$23,3,FALSE),0)+IF(AND(L1632="Cafco 300",J1632&gt;=95,J1632&lt;=400,G1632=3,C1632="IN",I1632=90),VLOOKUP(T1632,'CAFCO 300 IDIEM TABLAS'!$F$4:$H$35,2,FALSE),0)+IF(AND(L1632="Cafco 300",J1632&gt;=95,J1632&lt;=400,G1632=3,C1632="IN",I1632=120),VLOOKUP(T1632,'CAFCO 300 IDIEM TABLAS'!$F$4:$H$35,3,FALSE),0)+IF(AND(L1632="Cafco 300",J1632&gt;=95,J1632&lt;=450,G1632=4,C1632="IN",I1632=90),VLOOKUP(T1632,'CAFCO 300 IDIEM TABLAS'!$J$4:$L$40,2,FALSE),0)+IF(AND(L1632="Cafco 300",J1632&gt;=95,J1632&lt;=450,G1632=4,C1632="IN",I1632=120),VLOOKUP(T1632,'CAFCO 300 IDIEM TABLAS'!$J$4:$L$40,3,FALSE),0)+IF(AND(M1632="Ensayo Idiem",L1632="Cafco 400",C1632="IN",G1632=4,I1632=90),VLOOKUP(T1632,'CAFCO 400 ENSAYO'!$B$7:$D$43,2,FALSE),0)+IF(AND(M1632="Ensayo Idiem",L1632="Cafco 400",C1632="IN",G1632=4,I1632=120),VLOOKUP(T1632,'CAFCO 400 ENSAYO'!$B$7:$D$43,3,FALSE),0)</f>
        <v>0</v>
      </c>
      <c r="O1632" s="96">
        <f t="shared" si="162"/>
        <v>0</v>
      </c>
      <c r="P1632" s="95" t="str">
        <f t="shared" si="157"/>
        <v>N/A</v>
      </c>
      <c r="Q1632" s="95" t="str">
        <f t="shared" si="158"/>
        <v>N/A</v>
      </c>
      <c r="R1632" s="95" t="str">
        <f t="shared" si="159"/>
        <v>NO CERT.</v>
      </c>
      <c r="S1632" s="95" t="e">
        <f t="shared" si="160"/>
        <v>#N/A</v>
      </c>
      <c r="T1632" s="119" t="e">
        <f>+IF(J1632=LOOKUP(J1632,'CAFCO 300 IDIEM TABLAS'!$J$4:$J$40),'CALCULO MORTERO'!J1632,MROUND('CALCULO MORTERO'!J1632,10))</f>
        <v>#N/A</v>
      </c>
      <c r="U1632" s="118">
        <f t="shared" si="161"/>
        <v>0</v>
      </c>
    </row>
    <row r="1633" spans="1:21" x14ac:dyDescent="0.25">
      <c r="A1633" s="118">
        <f>+CUBICACION!D1627</f>
        <v>0</v>
      </c>
      <c r="B1633" s="819">
        <f>+CUBICACION!E1627</f>
        <v>0</v>
      </c>
      <c r="C1633" s="675">
        <f>+CUBICACION!F1627</f>
        <v>0</v>
      </c>
      <c r="D1633" s="118"/>
      <c r="E1633" s="118"/>
      <c r="F1633" s="820"/>
      <c r="G1633" s="675">
        <f>+CUBICACION!J1627</f>
        <v>0</v>
      </c>
      <c r="H1633" s="118"/>
      <c r="I1633" s="821">
        <f>+CUBICACION!L1627</f>
        <v>0</v>
      </c>
      <c r="J1633" s="64">
        <f>+CUBICACION!M1627</f>
        <v>0</v>
      </c>
      <c r="K1633" s="822">
        <f>+CUBICACION!N1627</f>
        <v>0</v>
      </c>
      <c r="L1633" s="118">
        <f>+CUBICACION!O1627</f>
        <v>0</v>
      </c>
      <c r="M1633" s="823">
        <f>+CUBICACION!P1627</f>
        <v>0</v>
      </c>
      <c r="N1633" s="902">
        <f>ROUND(IF(AND(L1633="Blaze Shield II",M1633="Software Idiem",C1633="IN",G1633=4),((('BLAZE SHIELD II'!$D$4*('CALCULO MORTERO'!I1633^2)+'BLAZE SHIELD II'!$D$5*'CALCULO MORTERO'!I1633+'BLAZE SHIELD II'!$D$6)*LN(J1633))+('BLAZE SHIELD II'!$D$7*('CALCULO MORTERO'!I1633^2)+'BLAZE SHIELD II'!$D$8*'CALCULO MORTERO'!I1633+'BLAZE SHIELD II'!$D$9)),0)+IF(AND(L1633="Blaze Shield II",M1633="Software Idiem",C1633="Cj"),((('BLAZE SHIELD II'!$H$4*('CALCULO MORTERO'!I1633^2)+'BLAZE SHIELD II'!$H$5*'CALCULO MORTERO'!I1633+'BLAZE SHIELD II'!$H$6)*LN(J1633))+('BLAZE SHIELD II'!$H$7*('CALCULO MORTERO'!I1633^2)+'BLAZE SHIELD II'!$H$8*'CALCULO MORTERO'!I1633+'BLAZE SHIELD II'!$H$9)),0)+IF(AND(L1633="Blaze Shield II",M1633="Software Idiem",C1633="C"),((('BLAZE SHIELD II'!$L$4*('CALCULO MORTERO'!I1633^2)+'BLAZE SHIELD II'!$L$5*'CALCULO MORTERO'!I1633+'BLAZE SHIELD II'!$L$6)*LN(J1633))+('BLAZE SHIELD II'!$L$7*('CALCULO MORTERO'!I1633^2)+'BLAZE SHIELD II'!$L$8*'CALCULO MORTERO'!I1633+'BLAZE SHIELD II'!$L$9)),0)+IF(AND(L1633="Blaze Shield II",M1633="Software Idiem",C1633="L"),((('BLAZE SHIELD II'!$L$4*('CALCULO MORTERO'!I1633^2)+'BLAZE SHIELD II'!$L$5*'CALCULO MORTERO'!I1633+'BLAZE SHIELD II'!$L$6)*LN(J1633))+('BLAZE SHIELD II'!$L$7*('CALCULO MORTERO'!I1633^2)+'BLAZE SHIELD II'!$L$8*'CALCULO MORTERO'!I1633+'BLAZE SHIELD II'!$L$9)),0)+IF(AND(L1633="Blaze Shield II",M1633="Software Idiem",C1633="IN",G1633=3),((('BLAZE SHIELD II'!$H$14*('CALCULO MORTERO'!I1633^2)+'BLAZE SHIELD II'!$H$15*'CALCULO MORTERO'!I1633+'BLAZE SHIELD II'!$H$16)*LN(J1633))+('BLAZE SHIELD II'!$H$17*('CALCULO MORTERO'!I1633^2)+'BLAZE SHIELD II'!$H$18*'CALCULO MORTERO'!I1633+'BLAZE SHIELD II'!$H$19)),0),0)+ROUND(IF(AND(L1633="Cafco 400",M1633="Software Idiem",C1633="IN",G1633=4),((('CAFCO 400 '!$H$7*(J1633^4)+'CAFCO 400 '!$H$8*(J1633^3)+'CAFCO 400 '!$H$9*(J1633^2)+'CAFCO 400 '!$H$10*J1633+'CAFCO 400 '!$H$11)*U1633^2)+(('CAFCO 400 '!$H$12*(J1633^3)+'CAFCO 400 '!$H$13*(J1633^2)+'CAFCO 400 '!$H$14*J1633+'CAFCO 400 '!$H$15)*U1633)+('CAFCO 400 '!$H$16*(J1633^2)+'CAFCO 400 '!$H$17*J1633+'CAFCO 400 '!$H$18)),0)+IF(AND(L1633="Cafco 400",M1633="Software Idiem",C1633="Cj"),(((('CAFCO 400 '!$D$7*LN(J1633)+'CAFCO 400 '!$D$8)*U1633^2)+(('CAFCO 400 '!$D$9*LN(J1633)+'CAFCO 400 '!$D$10)*U1633)+('CAFCO 400 '!$D$11*LN(J1633)+'CAFCO 400 '!$D$12))),0)+IF(AND(L1633="Cafco 400",M1633="Software Idiem",C1633="C"),((('CAFCO 400 '!$L$7*(J1633^3)+'CAFCO 400 '!$L$8*(J1633^2)+'CAFCO 400 '!$L$9*J1633+'CAFCO 400 '!$L$10)*U1633^2)+(('CAFCO 400 '!$L$11*(J1633^3)+'CAFCO 400 '!$L$12*(J1633^2)+'CAFCO 400 '!$L$13*J1633+'CAFCO 400 '!$L$14)*U1633)+('CAFCO 400 '!$L$15*LN(J1633)+'CAFCO 400 '!$L$16)),0)+IF(AND(L1633="Cafco 400",M1633="Software Idiem",C1633="L"),((('CAFCO 400 '!$L$7*(J1633^3)+'CAFCO 400 '!$L$8*(J1633^2)+'CAFCO 400 '!$L$9*J1633+'CAFCO 400 '!$L$10)*U1633^2)+(('CAFCO 400 '!$L$11*(J1633^3)+'CAFCO 400 '!$L$12*(J1633^2)+'CAFCO 400 '!$L$13*J1633+'CAFCO 400 '!$L$14)*U1633)+('CAFCO 400 '!$L$15*LN(J1633)+'CAFCO 400 '!$L$16)),0)+IF(AND(L1633="Cafco 400",M1633="Software Idiem",C1633="IN",G1633=3),((('CAFCO 400 '!$D$23*(J1633^2)+'CAFCO 400 '!$D$24*(J1633)+'CAFCO 400 '!$D$25)*U1633^2)+(('CAFCO 400 '!$D$26*(J1633^2)+'CAFCO 400 '!$D$27*J1633+'CAFCO 400 '!$D$28)*U1633)+('CAFCO 400 '!$D$29*(J1633^2)+'CAFCO 400 '!$D$30*J1633+'CAFCO 400 '!$D$31)),0),0)+IF(AND(L1633="Cafco 300",J1633&gt;=95,J1633&lt;=240,C1633="Cj",I1633=90),VLOOKUP(T1633,'CAFCO 300 IDIEM TABLAS'!$B$4:$D$23,2,FALSE),0)+IF(AND(L1633="Cafco 300",J1633&gt;=95,J1633&lt;=240,C1633="Cj",I1633=120),VLOOKUP(T1633,'CAFCO 300 IDIEM TABLAS'!$B$4:$D$23,3,FALSE),0)+IF(AND(L1633="Cafco 300",J1633&gt;=95,J1633&lt;=400,G1633=3,C1633="IN",I1633=90),VLOOKUP(T1633,'CAFCO 300 IDIEM TABLAS'!$F$4:$H$35,2,FALSE),0)+IF(AND(L1633="Cafco 300",J1633&gt;=95,J1633&lt;=400,G1633=3,C1633="IN",I1633=120),VLOOKUP(T1633,'CAFCO 300 IDIEM TABLAS'!$F$4:$H$35,3,FALSE),0)+IF(AND(L1633="Cafco 300",J1633&gt;=95,J1633&lt;=450,G1633=4,C1633="IN",I1633=90),VLOOKUP(T1633,'CAFCO 300 IDIEM TABLAS'!$J$4:$L$40,2,FALSE),0)+IF(AND(L1633="Cafco 300",J1633&gt;=95,J1633&lt;=450,G1633=4,C1633="IN",I1633=120),VLOOKUP(T1633,'CAFCO 300 IDIEM TABLAS'!$J$4:$L$40,3,FALSE),0)+IF(AND(M1633="Ensayo Idiem",L1633="Cafco 400",C1633="IN",G1633=4,I1633=90),VLOOKUP(T1633,'CAFCO 400 ENSAYO'!$B$7:$D$43,2,FALSE),0)+IF(AND(M1633="Ensayo Idiem",L1633="Cafco 400",C1633="IN",G1633=4,I1633=120),VLOOKUP(T1633,'CAFCO 400 ENSAYO'!$B$7:$D$43,3,FALSE),0)</f>
        <v>0</v>
      </c>
      <c r="O1633" s="96">
        <f t="shared" si="162"/>
        <v>0</v>
      </c>
      <c r="P1633" s="132" t="str">
        <f t="shared" si="157"/>
        <v>N/A</v>
      </c>
      <c r="Q1633" s="132" t="str">
        <f t="shared" si="158"/>
        <v>N/A</v>
      </c>
      <c r="R1633" s="132" t="str">
        <f t="shared" si="159"/>
        <v>NO CERT.</v>
      </c>
      <c r="S1633" s="132" t="e">
        <f t="shared" si="160"/>
        <v>#N/A</v>
      </c>
      <c r="T1633" s="133" t="e">
        <f>+IF(J1633=LOOKUP(J1633,'CAFCO 300 IDIEM TABLAS'!$J$4:$J$40),'CALCULO MORTERO'!J1633,MROUND('CALCULO MORTERO'!J1633,10))</f>
        <v>#N/A</v>
      </c>
      <c r="U1633" s="134">
        <f t="shared" si="161"/>
        <v>0</v>
      </c>
    </row>
    <row r="1634" spans="1:21" x14ac:dyDescent="0.25">
      <c r="A1634" s="118">
        <f>+CUBICACION!D1628</f>
        <v>0</v>
      </c>
      <c r="B1634" s="819">
        <f>+CUBICACION!E1628</f>
        <v>0</v>
      </c>
      <c r="C1634" s="675">
        <f>+CUBICACION!F1628</f>
        <v>0</v>
      </c>
      <c r="D1634" s="118"/>
      <c r="E1634" s="118"/>
      <c r="F1634" s="820"/>
      <c r="G1634" s="675">
        <f>+CUBICACION!J1628</f>
        <v>0</v>
      </c>
      <c r="H1634" s="118"/>
      <c r="I1634" s="821">
        <f>+CUBICACION!L1628</f>
        <v>0</v>
      </c>
      <c r="J1634" s="64">
        <f>+CUBICACION!M1628</f>
        <v>0</v>
      </c>
      <c r="K1634" s="822">
        <f>+CUBICACION!N1628</f>
        <v>0</v>
      </c>
      <c r="L1634" s="118">
        <f>+CUBICACION!O1628</f>
        <v>0</v>
      </c>
      <c r="M1634" s="823">
        <f>+CUBICACION!P1628</f>
        <v>0</v>
      </c>
      <c r="N1634" s="902">
        <f>ROUND(IF(AND(L1634="Blaze Shield II",M1634="Software Idiem",C1634="IN",G1634=4),((('BLAZE SHIELD II'!$D$4*('CALCULO MORTERO'!I1634^2)+'BLAZE SHIELD II'!$D$5*'CALCULO MORTERO'!I1634+'BLAZE SHIELD II'!$D$6)*LN(J1634))+('BLAZE SHIELD II'!$D$7*('CALCULO MORTERO'!I1634^2)+'BLAZE SHIELD II'!$D$8*'CALCULO MORTERO'!I1634+'BLAZE SHIELD II'!$D$9)),0)+IF(AND(L1634="Blaze Shield II",M1634="Software Idiem",C1634="Cj"),((('BLAZE SHIELD II'!$H$4*('CALCULO MORTERO'!I1634^2)+'BLAZE SHIELD II'!$H$5*'CALCULO MORTERO'!I1634+'BLAZE SHIELD II'!$H$6)*LN(J1634))+('BLAZE SHIELD II'!$H$7*('CALCULO MORTERO'!I1634^2)+'BLAZE SHIELD II'!$H$8*'CALCULO MORTERO'!I1634+'BLAZE SHIELD II'!$H$9)),0)+IF(AND(L1634="Blaze Shield II",M1634="Software Idiem",C1634="C"),((('BLAZE SHIELD II'!$L$4*('CALCULO MORTERO'!I1634^2)+'BLAZE SHIELD II'!$L$5*'CALCULO MORTERO'!I1634+'BLAZE SHIELD II'!$L$6)*LN(J1634))+('BLAZE SHIELD II'!$L$7*('CALCULO MORTERO'!I1634^2)+'BLAZE SHIELD II'!$L$8*'CALCULO MORTERO'!I1634+'BLAZE SHIELD II'!$L$9)),0)+IF(AND(L1634="Blaze Shield II",M1634="Software Idiem",C1634="L"),((('BLAZE SHIELD II'!$L$4*('CALCULO MORTERO'!I1634^2)+'BLAZE SHIELD II'!$L$5*'CALCULO MORTERO'!I1634+'BLAZE SHIELD II'!$L$6)*LN(J1634))+('BLAZE SHIELD II'!$L$7*('CALCULO MORTERO'!I1634^2)+'BLAZE SHIELD II'!$L$8*'CALCULO MORTERO'!I1634+'BLAZE SHIELD II'!$L$9)),0)+IF(AND(L1634="Blaze Shield II",M1634="Software Idiem",C1634="IN",G1634=3),((('BLAZE SHIELD II'!$H$14*('CALCULO MORTERO'!I1634^2)+'BLAZE SHIELD II'!$H$15*'CALCULO MORTERO'!I1634+'BLAZE SHIELD II'!$H$16)*LN(J1634))+('BLAZE SHIELD II'!$H$17*('CALCULO MORTERO'!I1634^2)+'BLAZE SHIELD II'!$H$18*'CALCULO MORTERO'!I1634+'BLAZE SHIELD II'!$H$19)),0),0)+ROUND(IF(AND(L1634="Cafco 400",M1634="Software Idiem",C1634="IN",G1634=4),((('CAFCO 400 '!$H$7*(J1634^4)+'CAFCO 400 '!$H$8*(J1634^3)+'CAFCO 400 '!$H$9*(J1634^2)+'CAFCO 400 '!$H$10*J1634+'CAFCO 400 '!$H$11)*U1634^2)+(('CAFCO 400 '!$H$12*(J1634^3)+'CAFCO 400 '!$H$13*(J1634^2)+'CAFCO 400 '!$H$14*J1634+'CAFCO 400 '!$H$15)*U1634)+('CAFCO 400 '!$H$16*(J1634^2)+'CAFCO 400 '!$H$17*J1634+'CAFCO 400 '!$H$18)),0)+IF(AND(L1634="Cafco 400",M1634="Software Idiem",C1634="Cj"),(((('CAFCO 400 '!$D$7*LN(J1634)+'CAFCO 400 '!$D$8)*U1634^2)+(('CAFCO 400 '!$D$9*LN(J1634)+'CAFCO 400 '!$D$10)*U1634)+('CAFCO 400 '!$D$11*LN(J1634)+'CAFCO 400 '!$D$12))),0)+IF(AND(L1634="Cafco 400",M1634="Software Idiem",C1634="C"),((('CAFCO 400 '!$L$7*(J1634^3)+'CAFCO 400 '!$L$8*(J1634^2)+'CAFCO 400 '!$L$9*J1634+'CAFCO 400 '!$L$10)*U1634^2)+(('CAFCO 400 '!$L$11*(J1634^3)+'CAFCO 400 '!$L$12*(J1634^2)+'CAFCO 400 '!$L$13*J1634+'CAFCO 400 '!$L$14)*U1634)+('CAFCO 400 '!$L$15*LN(J1634)+'CAFCO 400 '!$L$16)),0)+IF(AND(L1634="Cafco 400",M1634="Software Idiem",C1634="L"),((('CAFCO 400 '!$L$7*(J1634^3)+'CAFCO 400 '!$L$8*(J1634^2)+'CAFCO 400 '!$L$9*J1634+'CAFCO 400 '!$L$10)*U1634^2)+(('CAFCO 400 '!$L$11*(J1634^3)+'CAFCO 400 '!$L$12*(J1634^2)+'CAFCO 400 '!$L$13*J1634+'CAFCO 400 '!$L$14)*U1634)+('CAFCO 400 '!$L$15*LN(J1634)+'CAFCO 400 '!$L$16)),0)+IF(AND(L1634="Cafco 400",M1634="Software Idiem",C1634="IN",G1634=3),((('CAFCO 400 '!$D$23*(J1634^2)+'CAFCO 400 '!$D$24*(J1634)+'CAFCO 400 '!$D$25)*U1634^2)+(('CAFCO 400 '!$D$26*(J1634^2)+'CAFCO 400 '!$D$27*J1634+'CAFCO 400 '!$D$28)*U1634)+('CAFCO 400 '!$D$29*(J1634^2)+'CAFCO 400 '!$D$30*J1634+'CAFCO 400 '!$D$31)),0),0)+IF(AND(L1634="Cafco 300",J1634&gt;=95,J1634&lt;=240,C1634="Cj",I1634=90),VLOOKUP(T1634,'CAFCO 300 IDIEM TABLAS'!$B$4:$D$23,2,FALSE),0)+IF(AND(L1634="Cafco 300",J1634&gt;=95,J1634&lt;=240,C1634="Cj",I1634=120),VLOOKUP(T1634,'CAFCO 300 IDIEM TABLAS'!$B$4:$D$23,3,FALSE),0)+IF(AND(L1634="Cafco 300",J1634&gt;=95,J1634&lt;=400,G1634=3,C1634="IN",I1634=90),VLOOKUP(T1634,'CAFCO 300 IDIEM TABLAS'!$F$4:$H$35,2,FALSE),0)+IF(AND(L1634="Cafco 300",J1634&gt;=95,J1634&lt;=400,G1634=3,C1634="IN",I1634=120),VLOOKUP(T1634,'CAFCO 300 IDIEM TABLAS'!$F$4:$H$35,3,FALSE),0)+IF(AND(L1634="Cafco 300",J1634&gt;=95,J1634&lt;=450,G1634=4,C1634="IN",I1634=90),VLOOKUP(T1634,'CAFCO 300 IDIEM TABLAS'!$J$4:$L$40,2,FALSE),0)+IF(AND(L1634="Cafco 300",J1634&gt;=95,J1634&lt;=450,G1634=4,C1634="IN",I1634=120),VLOOKUP(T1634,'CAFCO 300 IDIEM TABLAS'!$J$4:$L$40,3,FALSE),0)+IF(AND(M1634="Ensayo Idiem",L1634="Cafco 400",C1634="IN",G1634=4,I1634=90),VLOOKUP(T1634,'CAFCO 400 ENSAYO'!$B$7:$D$43,2,FALSE),0)+IF(AND(M1634="Ensayo Idiem",L1634="Cafco 400",C1634="IN",G1634=4,I1634=120),VLOOKUP(T1634,'CAFCO 400 ENSAYO'!$B$7:$D$43,3,FALSE),0)</f>
        <v>0</v>
      </c>
      <c r="O1634" s="96">
        <f t="shared" si="162"/>
        <v>0</v>
      </c>
      <c r="P1634" s="95" t="str">
        <f t="shared" si="157"/>
        <v>N/A</v>
      </c>
      <c r="Q1634" s="95" t="str">
        <f t="shared" si="158"/>
        <v>N/A</v>
      </c>
      <c r="R1634" s="95" t="str">
        <f t="shared" si="159"/>
        <v>NO CERT.</v>
      </c>
      <c r="S1634" s="95" t="e">
        <f t="shared" si="160"/>
        <v>#N/A</v>
      </c>
      <c r="T1634" s="119" t="e">
        <f>+IF(J1634=LOOKUP(J1634,'CAFCO 300 IDIEM TABLAS'!$J$4:$J$40),'CALCULO MORTERO'!J1634,MROUND('CALCULO MORTERO'!J1634,10))</f>
        <v>#N/A</v>
      </c>
      <c r="U1634" s="118">
        <f t="shared" si="161"/>
        <v>0</v>
      </c>
    </row>
    <row r="1635" spans="1:21" x14ac:dyDescent="0.25">
      <c r="A1635" s="118">
        <f>+CUBICACION!D1629</f>
        <v>0</v>
      </c>
      <c r="B1635" s="819">
        <f>+CUBICACION!E1629</f>
        <v>0</v>
      </c>
      <c r="C1635" s="675">
        <f>+CUBICACION!F1629</f>
        <v>0</v>
      </c>
      <c r="D1635" s="118"/>
      <c r="E1635" s="118"/>
      <c r="F1635" s="820"/>
      <c r="G1635" s="675">
        <f>+CUBICACION!J1629</f>
        <v>0</v>
      </c>
      <c r="H1635" s="118"/>
      <c r="I1635" s="821">
        <f>+CUBICACION!L1629</f>
        <v>0</v>
      </c>
      <c r="J1635" s="64">
        <f>+CUBICACION!M1629</f>
        <v>0</v>
      </c>
      <c r="K1635" s="822">
        <f>+CUBICACION!N1629</f>
        <v>0</v>
      </c>
      <c r="L1635" s="118">
        <f>+CUBICACION!O1629</f>
        <v>0</v>
      </c>
      <c r="M1635" s="823">
        <f>+CUBICACION!P1629</f>
        <v>0</v>
      </c>
      <c r="N1635" s="902">
        <f>ROUND(IF(AND(L1635="Blaze Shield II",M1635="Software Idiem",C1635="IN",G1635=4),((('BLAZE SHIELD II'!$D$4*('CALCULO MORTERO'!I1635^2)+'BLAZE SHIELD II'!$D$5*'CALCULO MORTERO'!I1635+'BLAZE SHIELD II'!$D$6)*LN(J1635))+('BLAZE SHIELD II'!$D$7*('CALCULO MORTERO'!I1635^2)+'BLAZE SHIELD II'!$D$8*'CALCULO MORTERO'!I1635+'BLAZE SHIELD II'!$D$9)),0)+IF(AND(L1635="Blaze Shield II",M1635="Software Idiem",C1635="Cj"),((('BLAZE SHIELD II'!$H$4*('CALCULO MORTERO'!I1635^2)+'BLAZE SHIELD II'!$H$5*'CALCULO MORTERO'!I1635+'BLAZE SHIELD II'!$H$6)*LN(J1635))+('BLAZE SHIELD II'!$H$7*('CALCULO MORTERO'!I1635^2)+'BLAZE SHIELD II'!$H$8*'CALCULO MORTERO'!I1635+'BLAZE SHIELD II'!$H$9)),0)+IF(AND(L1635="Blaze Shield II",M1635="Software Idiem",C1635="C"),((('BLAZE SHIELD II'!$L$4*('CALCULO MORTERO'!I1635^2)+'BLAZE SHIELD II'!$L$5*'CALCULO MORTERO'!I1635+'BLAZE SHIELD II'!$L$6)*LN(J1635))+('BLAZE SHIELD II'!$L$7*('CALCULO MORTERO'!I1635^2)+'BLAZE SHIELD II'!$L$8*'CALCULO MORTERO'!I1635+'BLAZE SHIELD II'!$L$9)),0)+IF(AND(L1635="Blaze Shield II",M1635="Software Idiem",C1635="L"),((('BLAZE SHIELD II'!$L$4*('CALCULO MORTERO'!I1635^2)+'BLAZE SHIELD II'!$L$5*'CALCULO MORTERO'!I1635+'BLAZE SHIELD II'!$L$6)*LN(J1635))+('BLAZE SHIELD II'!$L$7*('CALCULO MORTERO'!I1635^2)+'BLAZE SHIELD II'!$L$8*'CALCULO MORTERO'!I1635+'BLAZE SHIELD II'!$L$9)),0)+IF(AND(L1635="Blaze Shield II",M1635="Software Idiem",C1635="IN",G1635=3),((('BLAZE SHIELD II'!$H$14*('CALCULO MORTERO'!I1635^2)+'BLAZE SHIELD II'!$H$15*'CALCULO MORTERO'!I1635+'BLAZE SHIELD II'!$H$16)*LN(J1635))+('BLAZE SHIELD II'!$H$17*('CALCULO MORTERO'!I1635^2)+'BLAZE SHIELD II'!$H$18*'CALCULO MORTERO'!I1635+'BLAZE SHIELD II'!$H$19)),0),0)+ROUND(IF(AND(L1635="Cafco 400",M1635="Software Idiem",C1635="IN",G1635=4),((('CAFCO 400 '!$H$7*(J1635^4)+'CAFCO 400 '!$H$8*(J1635^3)+'CAFCO 400 '!$H$9*(J1635^2)+'CAFCO 400 '!$H$10*J1635+'CAFCO 400 '!$H$11)*U1635^2)+(('CAFCO 400 '!$H$12*(J1635^3)+'CAFCO 400 '!$H$13*(J1635^2)+'CAFCO 400 '!$H$14*J1635+'CAFCO 400 '!$H$15)*U1635)+('CAFCO 400 '!$H$16*(J1635^2)+'CAFCO 400 '!$H$17*J1635+'CAFCO 400 '!$H$18)),0)+IF(AND(L1635="Cafco 400",M1635="Software Idiem",C1635="Cj"),(((('CAFCO 400 '!$D$7*LN(J1635)+'CAFCO 400 '!$D$8)*U1635^2)+(('CAFCO 400 '!$D$9*LN(J1635)+'CAFCO 400 '!$D$10)*U1635)+('CAFCO 400 '!$D$11*LN(J1635)+'CAFCO 400 '!$D$12))),0)+IF(AND(L1635="Cafco 400",M1635="Software Idiem",C1635="C"),((('CAFCO 400 '!$L$7*(J1635^3)+'CAFCO 400 '!$L$8*(J1635^2)+'CAFCO 400 '!$L$9*J1635+'CAFCO 400 '!$L$10)*U1635^2)+(('CAFCO 400 '!$L$11*(J1635^3)+'CAFCO 400 '!$L$12*(J1635^2)+'CAFCO 400 '!$L$13*J1635+'CAFCO 400 '!$L$14)*U1635)+('CAFCO 400 '!$L$15*LN(J1635)+'CAFCO 400 '!$L$16)),0)+IF(AND(L1635="Cafco 400",M1635="Software Idiem",C1635="L"),((('CAFCO 400 '!$L$7*(J1635^3)+'CAFCO 400 '!$L$8*(J1635^2)+'CAFCO 400 '!$L$9*J1635+'CAFCO 400 '!$L$10)*U1635^2)+(('CAFCO 400 '!$L$11*(J1635^3)+'CAFCO 400 '!$L$12*(J1635^2)+'CAFCO 400 '!$L$13*J1635+'CAFCO 400 '!$L$14)*U1635)+('CAFCO 400 '!$L$15*LN(J1635)+'CAFCO 400 '!$L$16)),0)+IF(AND(L1635="Cafco 400",M1635="Software Idiem",C1635="IN",G1635=3),((('CAFCO 400 '!$D$23*(J1635^2)+'CAFCO 400 '!$D$24*(J1635)+'CAFCO 400 '!$D$25)*U1635^2)+(('CAFCO 400 '!$D$26*(J1635^2)+'CAFCO 400 '!$D$27*J1635+'CAFCO 400 '!$D$28)*U1635)+('CAFCO 400 '!$D$29*(J1635^2)+'CAFCO 400 '!$D$30*J1635+'CAFCO 400 '!$D$31)),0),0)+IF(AND(L1635="Cafco 300",J1635&gt;=95,J1635&lt;=240,C1635="Cj",I1635=90),VLOOKUP(T1635,'CAFCO 300 IDIEM TABLAS'!$B$4:$D$23,2,FALSE),0)+IF(AND(L1635="Cafco 300",J1635&gt;=95,J1635&lt;=240,C1635="Cj",I1635=120),VLOOKUP(T1635,'CAFCO 300 IDIEM TABLAS'!$B$4:$D$23,3,FALSE),0)+IF(AND(L1635="Cafco 300",J1635&gt;=95,J1635&lt;=400,G1635=3,C1635="IN",I1635=90),VLOOKUP(T1635,'CAFCO 300 IDIEM TABLAS'!$F$4:$H$35,2,FALSE),0)+IF(AND(L1635="Cafco 300",J1635&gt;=95,J1635&lt;=400,G1635=3,C1635="IN",I1635=120),VLOOKUP(T1635,'CAFCO 300 IDIEM TABLAS'!$F$4:$H$35,3,FALSE),0)+IF(AND(L1635="Cafco 300",J1635&gt;=95,J1635&lt;=450,G1635=4,C1635="IN",I1635=90),VLOOKUP(T1635,'CAFCO 300 IDIEM TABLAS'!$J$4:$L$40,2,FALSE),0)+IF(AND(L1635="Cafco 300",J1635&gt;=95,J1635&lt;=450,G1635=4,C1635="IN",I1635=120),VLOOKUP(T1635,'CAFCO 300 IDIEM TABLAS'!$J$4:$L$40,3,FALSE),0)+IF(AND(M1635="Ensayo Idiem",L1635="Cafco 400",C1635="IN",G1635=4,I1635=90),VLOOKUP(T1635,'CAFCO 400 ENSAYO'!$B$7:$D$43,2,FALSE),0)+IF(AND(M1635="Ensayo Idiem",L1635="Cafco 400",C1635="IN",G1635=4,I1635=120),VLOOKUP(T1635,'CAFCO 400 ENSAYO'!$B$7:$D$43,3,FALSE),0)</f>
        <v>0</v>
      </c>
      <c r="O1635" s="96">
        <f t="shared" si="162"/>
        <v>0</v>
      </c>
      <c r="P1635" s="132" t="str">
        <f t="shared" si="157"/>
        <v>N/A</v>
      </c>
      <c r="Q1635" s="132" t="str">
        <f t="shared" si="158"/>
        <v>N/A</v>
      </c>
      <c r="R1635" s="132" t="str">
        <f t="shared" si="159"/>
        <v>NO CERT.</v>
      </c>
      <c r="S1635" s="132" t="e">
        <f t="shared" si="160"/>
        <v>#N/A</v>
      </c>
      <c r="T1635" s="133" t="e">
        <f>+IF(J1635=LOOKUP(J1635,'CAFCO 300 IDIEM TABLAS'!$J$4:$J$40),'CALCULO MORTERO'!J1635,MROUND('CALCULO MORTERO'!J1635,10))</f>
        <v>#N/A</v>
      </c>
      <c r="U1635" s="134">
        <f t="shared" si="161"/>
        <v>0</v>
      </c>
    </row>
    <row r="1636" spans="1:21" x14ac:dyDescent="0.25">
      <c r="A1636" s="118">
        <f>+CUBICACION!D1630</f>
        <v>0</v>
      </c>
      <c r="B1636" s="819">
        <f>+CUBICACION!E1630</f>
        <v>0</v>
      </c>
      <c r="C1636" s="675">
        <f>+CUBICACION!F1630</f>
        <v>0</v>
      </c>
      <c r="D1636" s="118"/>
      <c r="E1636" s="118"/>
      <c r="F1636" s="820"/>
      <c r="G1636" s="675">
        <f>+CUBICACION!J1630</f>
        <v>0</v>
      </c>
      <c r="H1636" s="118"/>
      <c r="I1636" s="821">
        <f>+CUBICACION!L1630</f>
        <v>0</v>
      </c>
      <c r="J1636" s="64">
        <f>+CUBICACION!M1630</f>
        <v>0</v>
      </c>
      <c r="K1636" s="822">
        <f>+CUBICACION!N1630</f>
        <v>0</v>
      </c>
      <c r="L1636" s="118">
        <f>+CUBICACION!O1630</f>
        <v>0</v>
      </c>
      <c r="M1636" s="823">
        <f>+CUBICACION!P1630</f>
        <v>0</v>
      </c>
      <c r="N1636" s="902">
        <f>ROUND(IF(AND(L1636="Blaze Shield II",M1636="Software Idiem",C1636="IN",G1636=4),((('BLAZE SHIELD II'!$D$4*('CALCULO MORTERO'!I1636^2)+'BLAZE SHIELD II'!$D$5*'CALCULO MORTERO'!I1636+'BLAZE SHIELD II'!$D$6)*LN(J1636))+('BLAZE SHIELD II'!$D$7*('CALCULO MORTERO'!I1636^2)+'BLAZE SHIELD II'!$D$8*'CALCULO MORTERO'!I1636+'BLAZE SHIELD II'!$D$9)),0)+IF(AND(L1636="Blaze Shield II",M1636="Software Idiem",C1636="Cj"),((('BLAZE SHIELD II'!$H$4*('CALCULO MORTERO'!I1636^2)+'BLAZE SHIELD II'!$H$5*'CALCULO MORTERO'!I1636+'BLAZE SHIELD II'!$H$6)*LN(J1636))+('BLAZE SHIELD II'!$H$7*('CALCULO MORTERO'!I1636^2)+'BLAZE SHIELD II'!$H$8*'CALCULO MORTERO'!I1636+'BLAZE SHIELD II'!$H$9)),0)+IF(AND(L1636="Blaze Shield II",M1636="Software Idiem",C1636="C"),((('BLAZE SHIELD II'!$L$4*('CALCULO MORTERO'!I1636^2)+'BLAZE SHIELD II'!$L$5*'CALCULO MORTERO'!I1636+'BLAZE SHIELD II'!$L$6)*LN(J1636))+('BLAZE SHIELD II'!$L$7*('CALCULO MORTERO'!I1636^2)+'BLAZE SHIELD II'!$L$8*'CALCULO MORTERO'!I1636+'BLAZE SHIELD II'!$L$9)),0)+IF(AND(L1636="Blaze Shield II",M1636="Software Idiem",C1636="L"),((('BLAZE SHIELD II'!$L$4*('CALCULO MORTERO'!I1636^2)+'BLAZE SHIELD II'!$L$5*'CALCULO MORTERO'!I1636+'BLAZE SHIELD II'!$L$6)*LN(J1636))+('BLAZE SHIELD II'!$L$7*('CALCULO MORTERO'!I1636^2)+'BLAZE SHIELD II'!$L$8*'CALCULO MORTERO'!I1636+'BLAZE SHIELD II'!$L$9)),0)+IF(AND(L1636="Blaze Shield II",M1636="Software Idiem",C1636="IN",G1636=3),((('BLAZE SHIELD II'!$H$14*('CALCULO MORTERO'!I1636^2)+'BLAZE SHIELD II'!$H$15*'CALCULO MORTERO'!I1636+'BLAZE SHIELD II'!$H$16)*LN(J1636))+('BLAZE SHIELD II'!$H$17*('CALCULO MORTERO'!I1636^2)+'BLAZE SHIELD II'!$H$18*'CALCULO MORTERO'!I1636+'BLAZE SHIELD II'!$H$19)),0),0)+ROUND(IF(AND(L1636="Cafco 400",M1636="Software Idiem",C1636="IN",G1636=4),((('CAFCO 400 '!$H$7*(J1636^4)+'CAFCO 400 '!$H$8*(J1636^3)+'CAFCO 400 '!$H$9*(J1636^2)+'CAFCO 400 '!$H$10*J1636+'CAFCO 400 '!$H$11)*U1636^2)+(('CAFCO 400 '!$H$12*(J1636^3)+'CAFCO 400 '!$H$13*(J1636^2)+'CAFCO 400 '!$H$14*J1636+'CAFCO 400 '!$H$15)*U1636)+('CAFCO 400 '!$H$16*(J1636^2)+'CAFCO 400 '!$H$17*J1636+'CAFCO 400 '!$H$18)),0)+IF(AND(L1636="Cafco 400",M1636="Software Idiem",C1636="Cj"),(((('CAFCO 400 '!$D$7*LN(J1636)+'CAFCO 400 '!$D$8)*U1636^2)+(('CAFCO 400 '!$D$9*LN(J1636)+'CAFCO 400 '!$D$10)*U1636)+('CAFCO 400 '!$D$11*LN(J1636)+'CAFCO 400 '!$D$12))),0)+IF(AND(L1636="Cafco 400",M1636="Software Idiem",C1636="C"),((('CAFCO 400 '!$L$7*(J1636^3)+'CAFCO 400 '!$L$8*(J1636^2)+'CAFCO 400 '!$L$9*J1636+'CAFCO 400 '!$L$10)*U1636^2)+(('CAFCO 400 '!$L$11*(J1636^3)+'CAFCO 400 '!$L$12*(J1636^2)+'CAFCO 400 '!$L$13*J1636+'CAFCO 400 '!$L$14)*U1636)+('CAFCO 400 '!$L$15*LN(J1636)+'CAFCO 400 '!$L$16)),0)+IF(AND(L1636="Cafco 400",M1636="Software Idiem",C1636="L"),((('CAFCO 400 '!$L$7*(J1636^3)+'CAFCO 400 '!$L$8*(J1636^2)+'CAFCO 400 '!$L$9*J1636+'CAFCO 400 '!$L$10)*U1636^2)+(('CAFCO 400 '!$L$11*(J1636^3)+'CAFCO 400 '!$L$12*(J1636^2)+'CAFCO 400 '!$L$13*J1636+'CAFCO 400 '!$L$14)*U1636)+('CAFCO 400 '!$L$15*LN(J1636)+'CAFCO 400 '!$L$16)),0)+IF(AND(L1636="Cafco 400",M1636="Software Idiem",C1636="IN",G1636=3),((('CAFCO 400 '!$D$23*(J1636^2)+'CAFCO 400 '!$D$24*(J1636)+'CAFCO 400 '!$D$25)*U1636^2)+(('CAFCO 400 '!$D$26*(J1636^2)+'CAFCO 400 '!$D$27*J1636+'CAFCO 400 '!$D$28)*U1636)+('CAFCO 400 '!$D$29*(J1636^2)+'CAFCO 400 '!$D$30*J1636+'CAFCO 400 '!$D$31)),0),0)+IF(AND(L1636="Cafco 300",J1636&gt;=95,J1636&lt;=240,C1636="Cj",I1636=90),VLOOKUP(T1636,'CAFCO 300 IDIEM TABLAS'!$B$4:$D$23,2,FALSE),0)+IF(AND(L1636="Cafco 300",J1636&gt;=95,J1636&lt;=240,C1636="Cj",I1636=120),VLOOKUP(T1636,'CAFCO 300 IDIEM TABLAS'!$B$4:$D$23,3,FALSE),0)+IF(AND(L1636="Cafco 300",J1636&gt;=95,J1636&lt;=400,G1636=3,C1636="IN",I1636=90),VLOOKUP(T1636,'CAFCO 300 IDIEM TABLAS'!$F$4:$H$35,2,FALSE),0)+IF(AND(L1636="Cafco 300",J1636&gt;=95,J1636&lt;=400,G1636=3,C1636="IN",I1636=120),VLOOKUP(T1636,'CAFCO 300 IDIEM TABLAS'!$F$4:$H$35,3,FALSE),0)+IF(AND(L1636="Cafco 300",J1636&gt;=95,J1636&lt;=450,G1636=4,C1636="IN",I1636=90),VLOOKUP(T1636,'CAFCO 300 IDIEM TABLAS'!$J$4:$L$40,2,FALSE),0)+IF(AND(L1636="Cafco 300",J1636&gt;=95,J1636&lt;=450,G1636=4,C1636="IN",I1636=120),VLOOKUP(T1636,'CAFCO 300 IDIEM TABLAS'!$J$4:$L$40,3,FALSE),0)+IF(AND(M1636="Ensayo Idiem",L1636="Cafco 400",C1636="IN",G1636=4,I1636=90),VLOOKUP(T1636,'CAFCO 400 ENSAYO'!$B$7:$D$43,2,FALSE),0)+IF(AND(M1636="Ensayo Idiem",L1636="Cafco 400",C1636="IN",G1636=4,I1636=120),VLOOKUP(T1636,'CAFCO 400 ENSAYO'!$B$7:$D$43,3,FALSE),0)</f>
        <v>0</v>
      </c>
      <c r="O1636" s="96">
        <f t="shared" si="162"/>
        <v>0</v>
      </c>
      <c r="P1636" s="95" t="str">
        <f t="shared" si="157"/>
        <v>N/A</v>
      </c>
      <c r="Q1636" s="95" t="str">
        <f t="shared" si="158"/>
        <v>N/A</v>
      </c>
      <c r="R1636" s="95" t="str">
        <f t="shared" si="159"/>
        <v>NO CERT.</v>
      </c>
      <c r="S1636" s="95" t="e">
        <f t="shared" si="160"/>
        <v>#N/A</v>
      </c>
      <c r="T1636" s="119" t="e">
        <f>+IF(J1636=LOOKUP(J1636,'CAFCO 300 IDIEM TABLAS'!$J$4:$J$40),'CALCULO MORTERO'!J1636,MROUND('CALCULO MORTERO'!J1636,10))</f>
        <v>#N/A</v>
      </c>
      <c r="U1636" s="118">
        <f t="shared" si="161"/>
        <v>0</v>
      </c>
    </row>
    <row r="1637" spans="1:21" x14ac:dyDescent="0.25">
      <c r="A1637" s="118">
        <f>+CUBICACION!D1631</f>
        <v>0</v>
      </c>
      <c r="B1637" s="819">
        <f>+CUBICACION!E1631</f>
        <v>0</v>
      </c>
      <c r="C1637" s="675">
        <f>+CUBICACION!F1631</f>
        <v>0</v>
      </c>
      <c r="D1637" s="118"/>
      <c r="E1637" s="118"/>
      <c r="F1637" s="820"/>
      <c r="G1637" s="675">
        <f>+CUBICACION!J1631</f>
        <v>0</v>
      </c>
      <c r="H1637" s="118"/>
      <c r="I1637" s="821">
        <f>+CUBICACION!L1631</f>
        <v>0</v>
      </c>
      <c r="J1637" s="64">
        <f>+CUBICACION!M1631</f>
        <v>0</v>
      </c>
      <c r="K1637" s="822">
        <f>+CUBICACION!N1631</f>
        <v>0</v>
      </c>
      <c r="L1637" s="118">
        <f>+CUBICACION!O1631</f>
        <v>0</v>
      </c>
      <c r="M1637" s="823">
        <f>+CUBICACION!P1631</f>
        <v>0</v>
      </c>
      <c r="N1637" s="902">
        <f>ROUND(IF(AND(L1637="Blaze Shield II",M1637="Software Idiem",C1637="IN",G1637=4),((('BLAZE SHIELD II'!$D$4*('CALCULO MORTERO'!I1637^2)+'BLAZE SHIELD II'!$D$5*'CALCULO MORTERO'!I1637+'BLAZE SHIELD II'!$D$6)*LN(J1637))+('BLAZE SHIELD II'!$D$7*('CALCULO MORTERO'!I1637^2)+'BLAZE SHIELD II'!$D$8*'CALCULO MORTERO'!I1637+'BLAZE SHIELD II'!$D$9)),0)+IF(AND(L1637="Blaze Shield II",M1637="Software Idiem",C1637="Cj"),((('BLAZE SHIELD II'!$H$4*('CALCULO MORTERO'!I1637^2)+'BLAZE SHIELD II'!$H$5*'CALCULO MORTERO'!I1637+'BLAZE SHIELD II'!$H$6)*LN(J1637))+('BLAZE SHIELD II'!$H$7*('CALCULO MORTERO'!I1637^2)+'BLAZE SHIELD II'!$H$8*'CALCULO MORTERO'!I1637+'BLAZE SHIELD II'!$H$9)),0)+IF(AND(L1637="Blaze Shield II",M1637="Software Idiem",C1637="C"),((('BLAZE SHIELD II'!$L$4*('CALCULO MORTERO'!I1637^2)+'BLAZE SHIELD II'!$L$5*'CALCULO MORTERO'!I1637+'BLAZE SHIELD II'!$L$6)*LN(J1637))+('BLAZE SHIELD II'!$L$7*('CALCULO MORTERO'!I1637^2)+'BLAZE SHIELD II'!$L$8*'CALCULO MORTERO'!I1637+'BLAZE SHIELD II'!$L$9)),0)+IF(AND(L1637="Blaze Shield II",M1637="Software Idiem",C1637="L"),((('BLAZE SHIELD II'!$L$4*('CALCULO MORTERO'!I1637^2)+'BLAZE SHIELD II'!$L$5*'CALCULO MORTERO'!I1637+'BLAZE SHIELD II'!$L$6)*LN(J1637))+('BLAZE SHIELD II'!$L$7*('CALCULO MORTERO'!I1637^2)+'BLAZE SHIELD II'!$L$8*'CALCULO MORTERO'!I1637+'BLAZE SHIELD II'!$L$9)),0)+IF(AND(L1637="Blaze Shield II",M1637="Software Idiem",C1637="IN",G1637=3),((('BLAZE SHIELD II'!$H$14*('CALCULO MORTERO'!I1637^2)+'BLAZE SHIELD II'!$H$15*'CALCULO MORTERO'!I1637+'BLAZE SHIELD II'!$H$16)*LN(J1637))+('BLAZE SHIELD II'!$H$17*('CALCULO MORTERO'!I1637^2)+'BLAZE SHIELD II'!$H$18*'CALCULO MORTERO'!I1637+'BLAZE SHIELD II'!$H$19)),0),0)+ROUND(IF(AND(L1637="Cafco 400",M1637="Software Idiem",C1637="IN",G1637=4),((('CAFCO 400 '!$H$7*(J1637^4)+'CAFCO 400 '!$H$8*(J1637^3)+'CAFCO 400 '!$H$9*(J1637^2)+'CAFCO 400 '!$H$10*J1637+'CAFCO 400 '!$H$11)*U1637^2)+(('CAFCO 400 '!$H$12*(J1637^3)+'CAFCO 400 '!$H$13*(J1637^2)+'CAFCO 400 '!$H$14*J1637+'CAFCO 400 '!$H$15)*U1637)+('CAFCO 400 '!$H$16*(J1637^2)+'CAFCO 400 '!$H$17*J1637+'CAFCO 400 '!$H$18)),0)+IF(AND(L1637="Cafco 400",M1637="Software Idiem",C1637="Cj"),(((('CAFCO 400 '!$D$7*LN(J1637)+'CAFCO 400 '!$D$8)*U1637^2)+(('CAFCO 400 '!$D$9*LN(J1637)+'CAFCO 400 '!$D$10)*U1637)+('CAFCO 400 '!$D$11*LN(J1637)+'CAFCO 400 '!$D$12))),0)+IF(AND(L1637="Cafco 400",M1637="Software Idiem",C1637="C"),((('CAFCO 400 '!$L$7*(J1637^3)+'CAFCO 400 '!$L$8*(J1637^2)+'CAFCO 400 '!$L$9*J1637+'CAFCO 400 '!$L$10)*U1637^2)+(('CAFCO 400 '!$L$11*(J1637^3)+'CAFCO 400 '!$L$12*(J1637^2)+'CAFCO 400 '!$L$13*J1637+'CAFCO 400 '!$L$14)*U1637)+('CAFCO 400 '!$L$15*LN(J1637)+'CAFCO 400 '!$L$16)),0)+IF(AND(L1637="Cafco 400",M1637="Software Idiem",C1637="L"),((('CAFCO 400 '!$L$7*(J1637^3)+'CAFCO 400 '!$L$8*(J1637^2)+'CAFCO 400 '!$L$9*J1637+'CAFCO 400 '!$L$10)*U1637^2)+(('CAFCO 400 '!$L$11*(J1637^3)+'CAFCO 400 '!$L$12*(J1637^2)+'CAFCO 400 '!$L$13*J1637+'CAFCO 400 '!$L$14)*U1637)+('CAFCO 400 '!$L$15*LN(J1637)+'CAFCO 400 '!$L$16)),0)+IF(AND(L1637="Cafco 400",M1637="Software Idiem",C1637="IN",G1637=3),((('CAFCO 400 '!$D$23*(J1637^2)+'CAFCO 400 '!$D$24*(J1637)+'CAFCO 400 '!$D$25)*U1637^2)+(('CAFCO 400 '!$D$26*(J1637^2)+'CAFCO 400 '!$D$27*J1637+'CAFCO 400 '!$D$28)*U1637)+('CAFCO 400 '!$D$29*(J1637^2)+'CAFCO 400 '!$D$30*J1637+'CAFCO 400 '!$D$31)),0),0)+IF(AND(L1637="Cafco 300",J1637&gt;=95,J1637&lt;=240,C1637="Cj",I1637=90),VLOOKUP(T1637,'CAFCO 300 IDIEM TABLAS'!$B$4:$D$23,2,FALSE),0)+IF(AND(L1637="Cafco 300",J1637&gt;=95,J1637&lt;=240,C1637="Cj",I1637=120),VLOOKUP(T1637,'CAFCO 300 IDIEM TABLAS'!$B$4:$D$23,3,FALSE),0)+IF(AND(L1637="Cafco 300",J1637&gt;=95,J1637&lt;=400,G1637=3,C1637="IN",I1637=90),VLOOKUP(T1637,'CAFCO 300 IDIEM TABLAS'!$F$4:$H$35,2,FALSE),0)+IF(AND(L1637="Cafco 300",J1637&gt;=95,J1637&lt;=400,G1637=3,C1637="IN",I1637=120),VLOOKUP(T1637,'CAFCO 300 IDIEM TABLAS'!$F$4:$H$35,3,FALSE),0)+IF(AND(L1637="Cafco 300",J1637&gt;=95,J1637&lt;=450,G1637=4,C1637="IN",I1637=90),VLOOKUP(T1637,'CAFCO 300 IDIEM TABLAS'!$J$4:$L$40,2,FALSE),0)+IF(AND(L1637="Cafco 300",J1637&gt;=95,J1637&lt;=450,G1637=4,C1637="IN",I1637=120),VLOOKUP(T1637,'CAFCO 300 IDIEM TABLAS'!$J$4:$L$40,3,FALSE),0)+IF(AND(M1637="Ensayo Idiem",L1637="Cafco 400",C1637="IN",G1637=4,I1637=90),VLOOKUP(T1637,'CAFCO 400 ENSAYO'!$B$7:$D$43,2,FALSE),0)+IF(AND(M1637="Ensayo Idiem",L1637="Cafco 400",C1637="IN",G1637=4,I1637=120),VLOOKUP(T1637,'CAFCO 400 ENSAYO'!$B$7:$D$43,3,FALSE),0)</f>
        <v>0</v>
      </c>
      <c r="O1637" s="96">
        <f t="shared" si="162"/>
        <v>0</v>
      </c>
      <c r="P1637" s="132" t="str">
        <f t="shared" si="157"/>
        <v>N/A</v>
      </c>
      <c r="Q1637" s="132" t="str">
        <f t="shared" si="158"/>
        <v>N/A</v>
      </c>
      <c r="R1637" s="132" t="str">
        <f t="shared" si="159"/>
        <v>NO CERT.</v>
      </c>
      <c r="S1637" s="132" t="e">
        <f t="shared" si="160"/>
        <v>#N/A</v>
      </c>
      <c r="T1637" s="133" t="e">
        <f>+IF(J1637=LOOKUP(J1637,'CAFCO 300 IDIEM TABLAS'!$J$4:$J$40),'CALCULO MORTERO'!J1637,MROUND('CALCULO MORTERO'!J1637,10))</f>
        <v>#N/A</v>
      </c>
      <c r="U1637" s="134">
        <f t="shared" si="161"/>
        <v>0</v>
      </c>
    </row>
    <row r="1638" spans="1:21" x14ac:dyDescent="0.25">
      <c r="A1638" s="118">
        <f>+CUBICACION!D1632</f>
        <v>0</v>
      </c>
      <c r="B1638" s="819">
        <f>+CUBICACION!E1632</f>
        <v>0</v>
      </c>
      <c r="C1638" s="675">
        <f>+CUBICACION!F1632</f>
        <v>0</v>
      </c>
      <c r="D1638" s="118"/>
      <c r="E1638" s="118"/>
      <c r="F1638" s="820"/>
      <c r="G1638" s="675">
        <f>+CUBICACION!J1632</f>
        <v>0</v>
      </c>
      <c r="H1638" s="118"/>
      <c r="I1638" s="821">
        <f>+CUBICACION!L1632</f>
        <v>0</v>
      </c>
      <c r="J1638" s="64">
        <f>+CUBICACION!M1632</f>
        <v>0</v>
      </c>
      <c r="K1638" s="822">
        <f>+CUBICACION!N1632</f>
        <v>0</v>
      </c>
      <c r="L1638" s="118">
        <f>+CUBICACION!O1632</f>
        <v>0</v>
      </c>
      <c r="M1638" s="823">
        <f>+CUBICACION!P1632</f>
        <v>0</v>
      </c>
      <c r="N1638" s="902">
        <f>ROUND(IF(AND(L1638="Blaze Shield II",M1638="Software Idiem",C1638="IN",G1638=4),((('BLAZE SHIELD II'!$D$4*('CALCULO MORTERO'!I1638^2)+'BLAZE SHIELD II'!$D$5*'CALCULO MORTERO'!I1638+'BLAZE SHIELD II'!$D$6)*LN(J1638))+('BLAZE SHIELD II'!$D$7*('CALCULO MORTERO'!I1638^2)+'BLAZE SHIELD II'!$D$8*'CALCULO MORTERO'!I1638+'BLAZE SHIELD II'!$D$9)),0)+IF(AND(L1638="Blaze Shield II",M1638="Software Idiem",C1638="Cj"),((('BLAZE SHIELD II'!$H$4*('CALCULO MORTERO'!I1638^2)+'BLAZE SHIELD II'!$H$5*'CALCULO MORTERO'!I1638+'BLAZE SHIELD II'!$H$6)*LN(J1638))+('BLAZE SHIELD II'!$H$7*('CALCULO MORTERO'!I1638^2)+'BLAZE SHIELD II'!$H$8*'CALCULO MORTERO'!I1638+'BLAZE SHIELD II'!$H$9)),0)+IF(AND(L1638="Blaze Shield II",M1638="Software Idiem",C1638="C"),((('BLAZE SHIELD II'!$L$4*('CALCULO MORTERO'!I1638^2)+'BLAZE SHIELD II'!$L$5*'CALCULO MORTERO'!I1638+'BLAZE SHIELD II'!$L$6)*LN(J1638))+('BLAZE SHIELD II'!$L$7*('CALCULO MORTERO'!I1638^2)+'BLAZE SHIELD II'!$L$8*'CALCULO MORTERO'!I1638+'BLAZE SHIELD II'!$L$9)),0)+IF(AND(L1638="Blaze Shield II",M1638="Software Idiem",C1638="L"),((('BLAZE SHIELD II'!$L$4*('CALCULO MORTERO'!I1638^2)+'BLAZE SHIELD II'!$L$5*'CALCULO MORTERO'!I1638+'BLAZE SHIELD II'!$L$6)*LN(J1638))+('BLAZE SHIELD II'!$L$7*('CALCULO MORTERO'!I1638^2)+'BLAZE SHIELD II'!$L$8*'CALCULO MORTERO'!I1638+'BLAZE SHIELD II'!$L$9)),0)+IF(AND(L1638="Blaze Shield II",M1638="Software Idiem",C1638="IN",G1638=3),((('BLAZE SHIELD II'!$H$14*('CALCULO MORTERO'!I1638^2)+'BLAZE SHIELD II'!$H$15*'CALCULO MORTERO'!I1638+'BLAZE SHIELD II'!$H$16)*LN(J1638))+('BLAZE SHIELD II'!$H$17*('CALCULO MORTERO'!I1638^2)+'BLAZE SHIELD II'!$H$18*'CALCULO MORTERO'!I1638+'BLAZE SHIELD II'!$H$19)),0),0)+ROUND(IF(AND(L1638="Cafco 400",M1638="Software Idiem",C1638="IN",G1638=4),((('CAFCO 400 '!$H$7*(J1638^4)+'CAFCO 400 '!$H$8*(J1638^3)+'CAFCO 400 '!$H$9*(J1638^2)+'CAFCO 400 '!$H$10*J1638+'CAFCO 400 '!$H$11)*U1638^2)+(('CAFCO 400 '!$H$12*(J1638^3)+'CAFCO 400 '!$H$13*(J1638^2)+'CAFCO 400 '!$H$14*J1638+'CAFCO 400 '!$H$15)*U1638)+('CAFCO 400 '!$H$16*(J1638^2)+'CAFCO 400 '!$H$17*J1638+'CAFCO 400 '!$H$18)),0)+IF(AND(L1638="Cafco 400",M1638="Software Idiem",C1638="Cj"),(((('CAFCO 400 '!$D$7*LN(J1638)+'CAFCO 400 '!$D$8)*U1638^2)+(('CAFCO 400 '!$D$9*LN(J1638)+'CAFCO 400 '!$D$10)*U1638)+('CAFCO 400 '!$D$11*LN(J1638)+'CAFCO 400 '!$D$12))),0)+IF(AND(L1638="Cafco 400",M1638="Software Idiem",C1638="C"),((('CAFCO 400 '!$L$7*(J1638^3)+'CAFCO 400 '!$L$8*(J1638^2)+'CAFCO 400 '!$L$9*J1638+'CAFCO 400 '!$L$10)*U1638^2)+(('CAFCO 400 '!$L$11*(J1638^3)+'CAFCO 400 '!$L$12*(J1638^2)+'CAFCO 400 '!$L$13*J1638+'CAFCO 400 '!$L$14)*U1638)+('CAFCO 400 '!$L$15*LN(J1638)+'CAFCO 400 '!$L$16)),0)+IF(AND(L1638="Cafco 400",M1638="Software Idiem",C1638="L"),((('CAFCO 400 '!$L$7*(J1638^3)+'CAFCO 400 '!$L$8*(J1638^2)+'CAFCO 400 '!$L$9*J1638+'CAFCO 400 '!$L$10)*U1638^2)+(('CAFCO 400 '!$L$11*(J1638^3)+'CAFCO 400 '!$L$12*(J1638^2)+'CAFCO 400 '!$L$13*J1638+'CAFCO 400 '!$L$14)*U1638)+('CAFCO 400 '!$L$15*LN(J1638)+'CAFCO 400 '!$L$16)),0)+IF(AND(L1638="Cafco 400",M1638="Software Idiem",C1638="IN",G1638=3),((('CAFCO 400 '!$D$23*(J1638^2)+'CAFCO 400 '!$D$24*(J1638)+'CAFCO 400 '!$D$25)*U1638^2)+(('CAFCO 400 '!$D$26*(J1638^2)+'CAFCO 400 '!$D$27*J1638+'CAFCO 400 '!$D$28)*U1638)+('CAFCO 400 '!$D$29*(J1638^2)+'CAFCO 400 '!$D$30*J1638+'CAFCO 400 '!$D$31)),0),0)+IF(AND(L1638="Cafco 300",J1638&gt;=95,J1638&lt;=240,C1638="Cj",I1638=90),VLOOKUP(T1638,'CAFCO 300 IDIEM TABLAS'!$B$4:$D$23,2,FALSE),0)+IF(AND(L1638="Cafco 300",J1638&gt;=95,J1638&lt;=240,C1638="Cj",I1638=120),VLOOKUP(T1638,'CAFCO 300 IDIEM TABLAS'!$B$4:$D$23,3,FALSE),0)+IF(AND(L1638="Cafco 300",J1638&gt;=95,J1638&lt;=400,G1638=3,C1638="IN",I1638=90),VLOOKUP(T1638,'CAFCO 300 IDIEM TABLAS'!$F$4:$H$35,2,FALSE),0)+IF(AND(L1638="Cafco 300",J1638&gt;=95,J1638&lt;=400,G1638=3,C1638="IN",I1638=120),VLOOKUP(T1638,'CAFCO 300 IDIEM TABLAS'!$F$4:$H$35,3,FALSE),0)+IF(AND(L1638="Cafco 300",J1638&gt;=95,J1638&lt;=450,G1638=4,C1638="IN",I1638=90),VLOOKUP(T1638,'CAFCO 300 IDIEM TABLAS'!$J$4:$L$40,2,FALSE),0)+IF(AND(L1638="Cafco 300",J1638&gt;=95,J1638&lt;=450,G1638=4,C1638="IN",I1638=120),VLOOKUP(T1638,'CAFCO 300 IDIEM TABLAS'!$J$4:$L$40,3,FALSE),0)+IF(AND(M1638="Ensayo Idiem",L1638="Cafco 400",C1638="IN",G1638=4,I1638=90),VLOOKUP(T1638,'CAFCO 400 ENSAYO'!$B$7:$D$43,2,FALSE),0)+IF(AND(M1638="Ensayo Idiem",L1638="Cafco 400",C1638="IN",G1638=4,I1638=120),VLOOKUP(T1638,'CAFCO 400 ENSAYO'!$B$7:$D$43,3,FALSE),0)</f>
        <v>0</v>
      </c>
      <c r="O1638" s="96">
        <f t="shared" si="162"/>
        <v>0</v>
      </c>
      <c r="P1638" s="95" t="str">
        <f t="shared" si="157"/>
        <v>N/A</v>
      </c>
      <c r="Q1638" s="95" t="str">
        <f t="shared" si="158"/>
        <v>N/A</v>
      </c>
      <c r="R1638" s="95" t="str">
        <f t="shared" si="159"/>
        <v>NO CERT.</v>
      </c>
      <c r="S1638" s="95" t="e">
        <f t="shared" si="160"/>
        <v>#N/A</v>
      </c>
      <c r="T1638" s="119" t="e">
        <f>+IF(J1638=LOOKUP(J1638,'CAFCO 300 IDIEM TABLAS'!$J$4:$J$40),'CALCULO MORTERO'!J1638,MROUND('CALCULO MORTERO'!J1638,10))</f>
        <v>#N/A</v>
      </c>
      <c r="U1638" s="118">
        <f t="shared" si="161"/>
        <v>0</v>
      </c>
    </row>
    <row r="1639" spans="1:21" x14ac:dyDescent="0.25">
      <c r="A1639" s="118">
        <f>+CUBICACION!D1633</f>
        <v>0</v>
      </c>
      <c r="B1639" s="819">
        <f>+CUBICACION!E1633</f>
        <v>0</v>
      </c>
      <c r="C1639" s="675">
        <f>+CUBICACION!F1633</f>
        <v>0</v>
      </c>
      <c r="D1639" s="118"/>
      <c r="E1639" s="118"/>
      <c r="F1639" s="820"/>
      <c r="G1639" s="675">
        <f>+CUBICACION!J1633</f>
        <v>0</v>
      </c>
      <c r="H1639" s="118"/>
      <c r="I1639" s="821">
        <f>+CUBICACION!L1633</f>
        <v>0</v>
      </c>
      <c r="J1639" s="64">
        <f>+CUBICACION!M1633</f>
        <v>0</v>
      </c>
      <c r="K1639" s="822">
        <f>+CUBICACION!N1633</f>
        <v>0</v>
      </c>
      <c r="L1639" s="118">
        <f>+CUBICACION!O1633</f>
        <v>0</v>
      </c>
      <c r="M1639" s="823">
        <f>+CUBICACION!P1633</f>
        <v>0</v>
      </c>
      <c r="N1639" s="902">
        <f>ROUND(IF(AND(L1639="Blaze Shield II",M1639="Software Idiem",C1639="IN",G1639=4),((('BLAZE SHIELD II'!$D$4*('CALCULO MORTERO'!I1639^2)+'BLAZE SHIELD II'!$D$5*'CALCULO MORTERO'!I1639+'BLAZE SHIELD II'!$D$6)*LN(J1639))+('BLAZE SHIELD II'!$D$7*('CALCULO MORTERO'!I1639^2)+'BLAZE SHIELD II'!$D$8*'CALCULO MORTERO'!I1639+'BLAZE SHIELD II'!$D$9)),0)+IF(AND(L1639="Blaze Shield II",M1639="Software Idiem",C1639="Cj"),((('BLAZE SHIELD II'!$H$4*('CALCULO MORTERO'!I1639^2)+'BLAZE SHIELD II'!$H$5*'CALCULO MORTERO'!I1639+'BLAZE SHIELD II'!$H$6)*LN(J1639))+('BLAZE SHIELD II'!$H$7*('CALCULO MORTERO'!I1639^2)+'BLAZE SHIELD II'!$H$8*'CALCULO MORTERO'!I1639+'BLAZE SHIELD II'!$H$9)),0)+IF(AND(L1639="Blaze Shield II",M1639="Software Idiem",C1639="C"),((('BLAZE SHIELD II'!$L$4*('CALCULO MORTERO'!I1639^2)+'BLAZE SHIELD II'!$L$5*'CALCULO MORTERO'!I1639+'BLAZE SHIELD II'!$L$6)*LN(J1639))+('BLAZE SHIELD II'!$L$7*('CALCULO MORTERO'!I1639^2)+'BLAZE SHIELD II'!$L$8*'CALCULO MORTERO'!I1639+'BLAZE SHIELD II'!$L$9)),0)+IF(AND(L1639="Blaze Shield II",M1639="Software Idiem",C1639="L"),((('BLAZE SHIELD II'!$L$4*('CALCULO MORTERO'!I1639^2)+'BLAZE SHIELD II'!$L$5*'CALCULO MORTERO'!I1639+'BLAZE SHIELD II'!$L$6)*LN(J1639))+('BLAZE SHIELD II'!$L$7*('CALCULO MORTERO'!I1639^2)+'BLAZE SHIELD II'!$L$8*'CALCULO MORTERO'!I1639+'BLAZE SHIELD II'!$L$9)),0)+IF(AND(L1639="Blaze Shield II",M1639="Software Idiem",C1639="IN",G1639=3),((('BLAZE SHIELD II'!$H$14*('CALCULO MORTERO'!I1639^2)+'BLAZE SHIELD II'!$H$15*'CALCULO MORTERO'!I1639+'BLAZE SHIELD II'!$H$16)*LN(J1639))+('BLAZE SHIELD II'!$H$17*('CALCULO MORTERO'!I1639^2)+'BLAZE SHIELD II'!$H$18*'CALCULO MORTERO'!I1639+'BLAZE SHIELD II'!$H$19)),0),0)+ROUND(IF(AND(L1639="Cafco 400",M1639="Software Idiem",C1639="IN",G1639=4),((('CAFCO 400 '!$H$7*(J1639^4)+'CAFCO 400 '!$H$8*(J1639^3)+'CAFCO 400 '!$H$9*(J1639^2)+'CAFCO 400 '!$H$10*J1639+'CAFCO 400 '!$H$11)*U1639^2)+(('CAFCO 400 '!$H$12*(J1639^3)+'CAFCO 400 '!$H$13*(J1639^2)+'CAFCO 400 '!$H$14*J1639+'CAFCO 400 '!$H$15)*U1639)+('CAFCO 400 '!$H$16*(J1639^2)+'CAFCO 400 '!$H$17*J1639+'CAFCO 400 '!$H$18)),0)+IF(AND(L1639="Cafco 400",M1639="Software Idiem",C1639="Cj"),(((('CAFCO 400 '!$D$7*LN(J1639)+'CAFCO 400 '!$D$8)*U1639^2)+(('CAFCO 400 '!$D$9*LN(J1639)+'CAFCO 400 '!$D$10)*U1639)+('CAFCO 400 '!$D$11*LN(J1639)+'CAFCO 400 '!$D$12))),0)+IF(AND(L1639="Cafco 400",M1639="Software Idiem",C1639="C"),((('CAFCO 400 '!$L$7*(J1639^3)+'CAFCO 400 '!$L$8*(J1639^2)+'CAFCO 400 '!$L$9*J1639+'CAFCO 400 '!$L$10)*U1639^2)+(('CAFCO 400 '!$L$11*(J1639^3)+'CAFCO 400 '!$L$12*(J1639^2)+'CAFCO 400 '!$L$13*J1639+'CAFCO 400 '!$L$14)*U1639)+('CAFCO 400 '!$L$15*LN(J1639)+'CAFCO 400 '!$L$16)),0)+IF(AND(L1639="Cafco 400",M1639="Software Idiem",C1639="L"),((('CAFCO 400 '!$L$7*(J1639^3)+'CAFCO 400 '!$L$8*(J1639^2)+'CAFCO 400 '!$L$9*J1639+'CAFCO 400 '!$L$10)*U1639^2)+(('CAFCO 400 '!$L$11*(J1639^3)+'CAFCO 400 '!$L$12*(J1639^2)+'CAFCO 400 '!$L$13*J1639+'CAFCO 400 '!$L$14)*U1639)+('CAFCO 400 '!$L$15*LN(J1639)+'CAFCO 400 '!$L$16)),0)+IF(AND(L1639="Cafco 400",M1639="Software Idiem",C1639="IN",G1639=3),((('CAFCO 400 '!$D$23*(J1639^2)+'CAFCO 400 '!$D$24*(J1639)+'CAFCO 400 '!$D$25)*U1639^2)+(('CAFCO 400 '!$D$26*(J1639^2)+'CAFCO 400 '!$D$27*J1639+'CAFCO 400 '!$D$28)*U1639)+('CAFCO 400 '!$D$29*(J1639^2)+'CAFCO 400 '!$D$30*J1639+'CAFCO 400 '!$D$31)),0),0)+IF(AND(L1639="Cafco 300",J1639&gt;=95,J1639&lt;=240,C1639="Cj",I1639=90),VLOOKUP(T1639,'CAFCO 300 IDIEM TABLAS'!$B$4:$D$23,2,FALSE),0)+IF(AND(L1639="Cafco 300",J1639&gt;=95,J1639&lt;=240,C1639="Cj",I1639=120),VLOOKUP(T1639,'CAFCO 300 IDIEM TABLAS'!$B$4:$D$23,3,FALSE),0)+IF(AND(L1639="Cafco 300",J1639&gt;=95,J1639&lt;=400,G1639=3,C1639="IN",I1639=90),VLOOKUP(T1639,'CAFCO 300 IDIEM TABLAS'!$F$4:$H$35,2,FALSE),0)+IF(AND(L1639="Cafco 300",J1639&gt;=95,J1639&lt;=400,G1639=3,C1639="IN",I1639=120),VLOOKUP(T1639,'CAFCO 300 IDIEM TABLAS'!$F$4:$H$35,3,FALSE),0)+IF(AND(L1639="Cafco 300",J1639&gt;=95,J1639&lt;=450,G1639=4,C1639="IN",I1639=90),VLOOKUP(T1639,'CAFCO 300 IDIEM TABLAS'!$J$4:$L$40,2,FALSE),0)+IF(AND(L1639="Cafco 300",J1639&gt;=95,J1639&lt;=450,G1639=4,C1639="IN",I1639=120),VLOOKUP(T1639,'CAFCO 300 IDIEM TABLAS'!$J$4:$L$40,3,FALSE),0)+IF(AND(M1639="Ensayo Idiem",L1639="Cafco 400",C1639="IN",G1639=4,I1639=90),VLOOKUP(T1639,'CAFCO 400 ENSAYO'!$B$7:$D$43,2,FALSE),0)+IF(AND(M1639="Ensayo Idiem",L1639="Cafco 400",C1639="IN",G1639=4,I1639=120),VLOOKUP(T1639,'CAFCO 400 ENSAYO'!$B$7:$D$43,3,FALSE),0)</f>
        <v>0</v>
      </c>
      <c r="O1639" s="96">
        <f t="shared" si="162"/>
        <v>0</v>
      </c>
      <c r="P1639" s="132" t="str">
        <f t="shared" si="157"/>
        <v>N/A</v>
      </c>
      <c r="Q1639" s="132" t="str">
        <f t="shared" si="158"/>
        <v>N/A</v>
      </c>
      <c r="R1639" s="132" t="str">
        <f t="shared" si="159"/>
        <v>NO CERT.</v>
      </c>
      <c r="S1639" s="132" t="e">
        <f t="shared" si="160"/>
        <v>#N/A</v>
      </c>
      <c r="T1639" s="133" t="e">
        <f>+IF(J1639=LOOKUP(J1639,'CAFCO 300 IDIEM TABLAS'!$J$4:$J$40),'CALCULO MORTERO'!J1639,MROUND('CALCULO MORTERO'!J1639,10))</f>
        <v>#N/A</v>
      </c>
      <c r="U1639" s="134">
        <f t="shared" si="161"/>
        <v>0</v>
      </c>
    </row>
    <row r="1640" spans="1:21" x14ac:dyDescent="0.25">
      <c r="A1640" s="118">
        <f>+CUBICACION!D1634</f>
        <v>0</v>
      </c>
      <c r="B1640" s="819">
        <f>+CUBICACION!E1634</f>
        <v>0</v>
      </c>
      <c r="C1640" s="675">
        <f>+CUBICACION!F1634</f>
        <v>0</v>
      </c>
      <c r="D1640" s="118"/>
      <c r="E1640" s="118"/>
      <c r="F1640" s="820"/>
      <c r="G1640" s="675">
        <f>+CUBICACION!J1634</f>
        <v>0</v>
      </c>
      <c r="H1640" s="118"/>
      <c r="I1640" s="821">
        <f>+CUBICACION!L1634</f>
        <v>0</v>
      </c>
      <c r="J1640" s="64">
        <f>+CUBICACION!M1634</f>
        <v>0</v>
      </c>
      <c r="K1640" s="822">
        <f>+CUBICACION!N1634</f>
        <v>0</v>
      </c>
      <c r="L1640" s="118">
        <f>+CUBICACION!O1634</f>
        <v>0</v>
      </c>
      <c r="M1640" s="823">
        <f>+CUBICACION!P1634</f>
        <v>0</v>
      </c>
      <c r="N1640" s="902">
        <f>ROUND(IF(AND(L1640="Blaze Shield II",M1640="Software Idiem",C1640="IN",G1640=4),((('BLAZE SHIELD II'!$D$4*('CALCULO MORTERO'!I1640^2)+'BLAZE SHIELD II'!$D$5*'CALCULO MORTERO'!I1640+'BLAZE SHIELD II'!$D$6)*LN(J1640))+('BLAZE SHIELD II'!$D$7*('CALCULO MORTERO'!I1640^2)+'BLAZE SHIELD II'!$D$8*'CALCULO MORTERO'!I1640+'BLAZE SHIELD II'!$D$9)),0)+IF(AND(L1640="Blaze Shield II",M1640="Software Idiem",C1640="Cj"),((('BLAZE SHIELD II'!$H$4*('CALCULO MORTERO'!I1640^2)+'BLAZE SHIELD II'!$H$5*'CALCULO MORTERO'!I1640+'BLAZE SHIELD II'!$H$6)*LN(J1640))+('BLAZE SHIELD II'!$H$7*('CALCULO MORTERO'!I1640^2)+'BLAZE SHIELD II'!$H$8*'CALCULO MORTERO'!I1640+'BLAZE SHIELD II'!$H$9)),0)+IF(AND(L1640="Blaze Shield II",M1640="Software Idiem",C1640="C"),((('BLAZE SHIELD II'!$L$4*('CALCULO MORTERO'!I1640^2)+'BLAZE SHIELD II'!$L$5*'CALCULO MORTERO'!I1640+'BLAZE SHIELD II'!$L$6)*LN(J1640))+('BLAZE SHIELD II'!$L$7*('CALCULO MORTERO'!I1640^2)+'BLAZE SHIELD II'!$L$8*'CALCULO MORTERO'!I1640+'BLAZE SHIELD II'!$L$9)),0)+IF(AND(L1640="Blaze Shield II",M1640="Software Idiem",C1640="L"),((('BLAZE SHIELD II'!$L$4*('CALCULO MORTERO'!I1640^2)+'BLAZE SHIELD II'!$L$5*'CALCULO MORTERO'!I1640+'BLAZE SHIELD II'!$L$6)*LN(J1640))+('BLAZE SHIELD II'!$L$7*('CALCULO MORTERO'!I1640^2)+'BLAZE SHIELD II'!$L$8*'CALCULO MORTERO'!I1640+'BLAZE SHIELD II'!$L$9)),0)+IF(AND(L1640="Blaze Shield II",M1640="Software Idiem",C1640="IN",G1640=3),((('BLAZE SHIELD II'!$H$14*('CALCULO MORTERO'!I1640^2)+'BLAZE SHIELD II'!$H$15*'CALCULO MORTERO'!I1640+'BLAZE SHIELD II'!$H$16)*LN(J1640))+('BLAZE SHIELD II'!$H$17*('CALCULO MORTERO'!I1640^2)+'BLAZE SHIELD II'!$H$18*'CALCULO MORTERO'!I1640+'BLAZE SHIELD II'!$H$19)),0),0)+ROUND(IF(AND(L1640="Cafco 400",M1640="Software Idiem",C1640="IN",G1640=4),((('CAFCO 400 '!$H$7*(J1640^4)+'CAFCO 400 '!$H$8*(J1640^3)+'CAFCO 400 '!$H$9*(J1640^2)+'CAFCO 400 '!$H$10*J1640+'CAFCO 400 '!$H$11)*U1640^2)+(('CAFCO 400 '!$H$12*(J1640^3)+'CAFCO 400 '!$H$13*(J1640^2)+'CAFCO 400 '!$H$14*J1640+'CAFCO 400 '!$H$15)*U1640)+('CAFCO 400 '!$H$16*(J1640^2)+'CAFCO 400 '!$H$17*J1640+'CAFCO 400 '!$H$18)),0)+IF(AND(L1640="Cafco 400",M1640="Software Idiem",C1640="Cj"),(((('CAFCO 400 '!$D$7*LN(J1640)+'CAFCO 400 '!$D$8)*U1640^2)+(('CAFCO 400 '!$D$9*LN(J1640)+'CAFCO 400 '!$D$10)*U1640)+('CAFCO 400 '!$D$11*LN(J1640)+'CAFCO 400 '!$D$12))),0)+IF(AND(L1640="Cafco 400",M1640="Software Idiem",C1640="C"),((('CAFCO 400 '!$L$7*(J1640^3)+'CAFCO 400 '!$L$8*(J1640^2)+'CAFCO 400 '!$L$9*J1640+'CAFCO 400 '!$L$10)*U1640^2)+(('CAFCO 400 '!$L$11*(J1640^3)+'CAFCO 400 '!$L$12*(J1640^2)+'CAFCO 400 '!$L$13*J1640+'CAFCO 400 '!$L$14)*U1640)+('CAFCO 400 '!$L$15*LN(J1640)+'CAFCO 400 '!$L$16)),0)+IF(AND(L1640="Cafco 400",M1640="Software Idiem",C1640="L"),((('CAFCO 400 '!$L$7*(J1640^3)+'CAFCO 400 '!$L$8*(J1640^2)+'CAFCO 400 '!$L$9*J1640+'CAFCO 400 '!$L$10)*U1640^2)+(('CAFCO 400 '!$L$11*(J1640^3)+'CAFCO 400 '!$L$12*(J1640^2)+'CAFCO 400 '!$L$13*J1640+'CAFCO 400 '!$L$14)*U1640)+('CAFCO 400 '!$L$15*LN(J1640)+'CAFCO 400 '!$L$16)),0)+IF(AND(L1640="Cafco 400",M1640="Software Idiem",C1640="IN",G1640=3),((('CAFCO 400 '!$D$23*(J1640^2)+'CAFCO 400 '!$D$24*(J1640)+'CAFCO 400 '!$D$25)*U1640^2)+(('CAFCO 400 '!$D$26*(J1640^2)+'CAFCO 400 '!$D$27*J1640+'CAFCO 400 '!$D$28)*U1640)+('CAFCO 400 '!$D$29*(J1640^2)+'CAFCO 400 '!$D$30*J1640+'CAFCO 400 '!$D$31)),0),0)+IF(AND(L1640="Cafco 300",J1640&gt;=95,J1640&lt;=240,C1640="Cj",I1640=90),VLOOKUP(T1640,'CAFCO 300 IDIEM TABLAS'!$B$4:$D$23,2,FALSE),0)+IF(AND(L1640="Cafco 300",J1640&gt;=95,J1640&lt;=240,C1640="Cj",I1640=120),VLOOKUP(T1640,'CAFCO 300 IDIEM TABLAS'!$B$4:$D$23,3,FALSE),0)+IF(AND(L1640="Cafco 300",J1640&gt;=95,J1640&lt;=400,G1640=3,C1640="IN",I1640=90),VLOOKUP(T1640,'CAFCO 300 IDIEM TABLAS'!$F$4:$H$35,2,FALSE),0)+IF(AND(L1640="Cafco 300",J1640&gt;=95,J1640&lt;=400,G1640=3,C1640="IN",I1640=120),VLOOKUP(T1640,'CAFCO 300 IDIEM TABLAS'!$F$4:$H$35,3,FALSE),0)+IF(AND(L1640="Cafco 300",J1640&gt;=95,J1640&lt;=450,G1640=4,C1640="IN",I1640=90),VLOOKUP(T1640,'CAFCO 300 IDIEM TABLAS'!$J$4:$L$40,2,FALSE),0)+IF(AND(L1640="Cafco 300",J1640&gt;=95,J1640&lt;=450,G1640=4,C1640="IN",I1640=120),VLOOKUP(T1640,'CAFCO 300 IDIEM TABLAS'!$J$4:$L$40,3,FALSE),0)+IF(AND(M1640="Ensayo Idiem",L1640="Cafco 400",C1640="IN",G1640=4,I1640=90),VLOOKUP(T1640,'CAFCO 400 ENSAYO'!$B$7:$D$43,2,FALSE),0)+IF(AND(M1640="Ensayo Idiem",L1640="Cafco 400",C1640="IN",G1640=4,I1640=120),VLOOKUP(T1640,'CAFCO 400 ENSAYO'!$B$7:$D$43,3,FALSE),0)</f>
        <v>0</v>
      </c>
      <c r="O1640" s="96">
        <f t="shared" si="162"/>
        <v>0</v>
      </c>
      <c r="P1640" s="95" t="str">
        <f t="shared" si="157"/>
        <v>N/A</v>
      </c>
      <c r="Q1640" s="95" t="str">
        <f t="shared" si="158"/>
        <v>N/A</v>
      </c>
      <c r="R1640" s="95" t="str">
        <f t="shared" si="159"/>
        <v>NO CERT.</v>
      </c>
      <c r="S1640" s="95" t="e">
        <f t="shared" si="160"/>
        <v>#N/A</v>
      </c>
      <c r="T1640" s="119" t="e">
        <f>+IF(J1640=LOOKUP(J1640,'CAFCO 300 IDIEM TABLAS'!$J$4:$J$40),'CALCULO MORTERO'!J1640,MROUND('CALCULO MORTERO'!J1640,10))</f>
        <v>#N/A</v>
      </c>
      <c r="U1640" s="118">
        <f t="shared" si="161"/>
        <v>0</v>
      </c>
    </row>
    <row r="1641" spans="1:21" x14ac:dyDescent="0.25">
      <c r="A1641" s="118">
        <f>+CUBICACION!D1635</f>
        <v>0</v>
      </c>
      <c r="B1641" s="819">
        <f>+CUBICACION!E1635</f>
        <v>0</v>
      </c>
      <c r="C1641" s="675">
        <f>+CUBICACION!F1635</f>
        <v>0</v>
      </c>
      <c r="D1641" s="118"/>
      <c r="E1641" s="118"/>
      <c r="F1641" s="820"/>
      <c r="G1641" s="675">
        <f>+CUBICACION!J1635</f>
        <v>0</v>
      </c>
      <c r="H1641" s="118"/>
      <c r="I1641" s="821">
        <f>+CUBICACION!L1635</f>
        <v>0</v>
      </c>
      <c r="J1641" s="64">
        <f>+CUBICACION!M1635</f>
        <v>0</v>
      </c>
      <c r="K1641" s="822">
        <f>+CUBICACION!N1635</f>
        <v>0</v>
      </c>
      <c r="L1641" s="118">
        <f>+CUBICACION!O1635</f>
        <v>0</v>
      </c>
      <c r="M1641" s="823">
        <f>+CUBICACION!P1635</f>
        <v>0</v>
      </c>
      <c r="N1641" s="902">
        <f>ROUND(IF(AND(L1641="Blaze Shield II",M1641="Software Idiem",C1641="IN",G1641=4),((('BLAZE SHIELD II'!$D$4*('CALCULO MORTERO'!I1641^2)+'BLAZE SHIELD II'!$D$5*'CALCULO MORTERO'!I1641+'BLAZE SHIELD II'!$D$6)*LN(J1641))+('BLAZE SHIELD II'!$D$7*('CALCULO MORTERO'!I1641^2)+'BLAZE SHIELD II'!$D$8*'CALCULO MORTERO'!I1641+'BLAZE SHIELD II'!$D$9)),0)+IF(AND(L1641="Blaze Shield II",M1641="Software Idiem",C1641="Cj"),((('BLAZE SHIELD II'!$H$4*('CALCULO MORTERO'!I1641^2)+'BLAZE SHIELD II'!$H$5*'CALCULO MORTERO'!I1641+'BLAZE SHIELD II'!$H$6)*LN(J1641))+('BLAZE SHIELD II'!$H$7*('CALCULO MORTERO'!I1641^2)+'BLAZE SHIELD II'!$H$8*'CALCULO MORTERO'!I1641+'BLAZE SHIELD II'!$H$9)),0)+IF(AND(L1641="Blaze Shield II",M1641="Software Idiem",C1641="C"),((('BLAZE SHIELD II'!$L$4*('CALCULO MORTERO'!I1641^2)+'BLAZE SHIELD II'!$L$5*'CALCULO MORTERO'!I1641+'BLAZE SHIELD II'!$L$6)*LN(J1641))+('BLAZE SHIELD II'!$L$7*('CALCULO MORTERO'!I1641^2)+'BLAZE SHIELD II'!$L$8*'CALCULO MORTERO'!I1641+'BLAZE SHIELD II'!$L$9)),0)+IF(AND(L1641="Blaze Shield II",M1641="Software Idiem",C1641="L"),((('BLAZE SHIELD II'!$L$4*('CALCULO MORTERO'!I1641^2)+'BLAZE SHIELD II'!$L$5*'CALCULO MORTERO'!I1641+'BLAZE SHIELD II'!$L$6)*LN(J1641))+('BLAZE SHIELD II'!$L$7*('CALCULO MORTERO'!I1641^2)+'BLAZE SHIELD II'!$L$8*'CALCULO MORTERO'!I1641+'BLAZE SHIELD II'!$L$9)),0)+IF(AND(L1641="Blaze Shield II",M1641="Software Idiem",C1641="IN",G1641=3),((('BLAZE SHIELD II'!$H$14*('CALCULO MORTERO'!I1641^2)+'BLAZE SHIELD II'!$H$15*'CALCULO MORTERO'!I1641+'BLAZE SHIELD II'!$H$16)*LN(J1641))+('BLAZE SHIELD II'!$H$17*('CALCULO MORTERO'!I1641^2)+'BLAZE SHIELD II'!$H$18*'CALCULO MORTERO'!I1641+'BLAZE SHIELD II'!$H$19)),0),0)+ROUND(IF(AND(L1641="Cafco 400",M1641="Software Idiem",C1641="IN",G1641=4),((('CAFCO 400 '!$H$7*(J1641^4)+'CAFCO 400 '!$H$8*(J1641^3)+'CAFCO 400 '!$H$9*(J1641^2)+'CAFCO 400 '!$H$10*J1641+'CAFCO 400 '!$H$11)*U1641^2)+(('CAFCO 400 '!$H$12*(J1641^3)+'CAFCO 400 '!$H$13*(J1641^2)+'CAFCO 400 '!$H$14*J1641+'CAFCO 400 '!$H$15)*U1641)+('CAFCO 400 '!$H$16*(J1641^2)+'CAFCO 400 '!$H$17*J1641+'CAFCO 400 '!$H$18)),0)+IF(AND(L1641="Cafco 400",M1641="Software Idiem",C1641="Cj"),(((('CAFCO 400 '!$D$7*LN(J1641)+'CAFCO 400 '!$D$8)*U1641^2)+(('CAFCO 400 '!$D$9*LN(J1641)+'CAFCO 400 '!$D$10)*U1641)+('CAFCO 400 '!$D$11*LN(J1641)+'CAFCO 400 '!$D$12))),0)+IF(AND(L1641="Cafco 400",M1641="Software Idiem",C1641="C"),((('CAFCO 400 '!$L$7*(J1641^3)+'CAFCO 400 '!$L$8*(J1641^2)+'CAFCO 400 '!$L$9*J1641+'CAFCO 400 '!$L$10)*U1641^2)+(('CAFCO 400 '!$L$11*(J1641^3)+'CAFCO 400 '!$L$12*(J1641^2)+'CAFCO 400 '!$L$13*J1641+'CAFCO 400 '!$L$14)*U1641)+('CAFCO 400 '!$L$15*LN(J1641)+'CAFCO 400 '!$L$16)),0)+IF(AND(L1641="Cafco 400",M1641="Software Idiem",C1641="L"),((('CAFCO 400 '!$L$7*(J1641^3)+'CAFCO 400 '!$L$8*(J1641^2)+'CAFCO 400 '!$L$9*J1641+'CAFCO 400 '!$L$10)*U1641^2)+(('CAFCO 400 '!$L$11*(J1641^3)+'CAFCO 400 '!$L$12*(J1641^2)+'CAFCO 400 '!$L$13*J1641+'CAFCO 400 '!$L$14)*U1641)+('CAFCO 400 '!$L$15*LN(J1641)+'CAFCO 400 '!$L$16)),0)+IF(AND(L1641="Cafco 400",M1641="Software Idiem",C1641="IN",G1641=3),((('CAFCO 400 '!$D$23*(J1641^2)+'CAFCO 400 '!$D$24*(J1641)+'CAFCO 400 '!$D$25)*U1641^2)+(('CAFCO 400 '!$D$26*(J1641^2)+'CAFCO 400 '!$D$27*J1641+'CAFCO 400 '!$D$28)*U1641)+('CAFCO 400 '!$D$29*(J1641^2)+'CAFCO 400 '!$D$30*J1641+'CAFCO 400 '!$D$31)),0),0)+IF(AND(L1641="Cafco 300",J1641&gt;=95,J1641&lt;=240,C1641="Cj",I1641=90),VLOOKUP(T1641,'CAFCO 300 IDIEM TABLAS'!$B$4:$D$23,2,FALSE),0)+IF(AND(L1641="Cafco 300",J1641&gt;=95,J1641&lt;=240,C1641="Cj",I1641=120),VLOOKUP(T1641,'CAFCO 300 IDIEM TABLAS'!$B$4:$D$23,3,FALSE),0)+IF(AND(L1641="Cafco 300",J1641&gt;=95,J1641&lt;=400,G1641=3,C1641="IN",I1641=90),VLOOKUP(T1641,'CAFCO 300 IDIEM TABLAS'!$F$4:$H$35,2,FALSE),0)+IF(AND(L1641="Cafco 300",J1641&gt;=95,J1641&lt;=400,G1641=3,C1641="IN",I1641=120),VLOOKUP(T1641,'CAFCO 300 IDIEM TABLAS'!$F$4:$H$35,3,FALSE),0)+IF(AND(L1641="Cafco 300",J1641&gt;=95,J1641&lt;=450,G1641=4,C1641="IN",I1641=90),VLOOKUP(T1641,'CAFCO 300 IDIEM TABLAS'!$J$4:$L$40,2,FALSE),0)+IF(AND(L1641="Cafco 300",J1641&gt;=95,J1641&lt;=450,G1641=4,C1641="IN",I1641=120),VLOOKUP(T1641,'CAFCO 300 IDIEM TABLAS'!$J$4:$L$40,3,FALSE),0)+IF(AND(M1641="Ensayo Idiem",L1641="Cafco 400",C1641="IN",G1641=4,I1641=90),VLOOKUP(T1641,'CAFCO 400 ENSAYO'!$B$7:$D$43,2,FALSE),0)+IF(AND(M1641="Ensayo Idiem",L1641="Cafco 400",C1641="IN",G1641=4,I1641=120),VLOOKUP(T1641,'CAFCO 400 ENSAYO'!$B$7:$D$43,3,FALSE),0)</f>
        <v>0</v>
      </c>
      <c r="O1641" s="96">
        <f t="shared" si="162"/>
        <v>0</v>
      </c>
      <c r="P1641" s="132" t="str">
        <f t="shared" si="157"/>
        <v>N/A</v>
      </c>
      <c r="Q1641" s="132" t="str">
        <f t="shared" si="158"/>
        <v>N/A</v>
      </c>
      <c r="R1641" s="132" t="str">
        <f t="shared" si="159"/>
        <v>NO CERT.</v>
      </c>
      <c r="S1641" s="132" t="e">
        <f t="shared" si="160"/>
        <v>#N/A</v>
      </c>
      <c r="T1641" s="133" t="e">
        <f>+IF(J1641=LOOKUP(J1641,'CAFCO 300 IDIEM TABLAS'!$J$4:$J$40),'CALCULO MORTERO'!J1641,MROUND('CALCULO MORTERO'!J1641,10))</f>
        <v>#N/A</v>
      </c>
      <c r="U1641" s="134">
        <f t="shared" si="161"/>
        <v>0</v>
      </c>
    </row>
    <row r="1642" spans="1:21" x14ac:dyDescent="0.25">
      <c r="A1642" s="118">
        <f>+CUBICACION!D1636</f>
        <v>0</v>
      </c>
      <c r="B1642" s="819">
        <f>+CUBICACION!E1636</f>
        <v>0</v>
      </c>
      <c r="C1642" s="675">
        <f>+CUBICACION!F1636</f>
        <v>0</v>
      </c>
      <c r="D1642" s="118"/>
      <c r="E1642" s="118"/>
      <c r="F1642" s="820"/>
      <c r="G1642" s="675">
        <f>+CUBICACION!J1636</f>
        <v>0</v>
      </c>
      <c r="H1642" s="118"/>
      <c r="I1642" s="821">
        <f>+CUBICACION!L1636</f>
        <v>0</v>
      </c>
      <c r="J1642" s="64">
        <f>+CUBICACION!M1636</f>
        <v>0</v>
      </c>
      <c r="K1642" s="822">
        <f>+CUBICACION!N1636</f>
        <v>0</v>
      </c>
      <c r="L1642" s="118">
        <f>+CUBICACION!O1636</f>
        <v>0</v>
      </c>
      <c r="M1642" s="823">
        <f>+CUBICACION!P1636</f>
        <v>0</v>
      </c>
      <c r="N1642" s="902">
        <f>ROUND(IF(AND(L1642="Blaze Shield II",M1642="Software Idiem",C1642="IN",G1642=4),((('BLAZE SHIELD II'!$D$4*('CALCULO MORTERO'!I1642^2)+'BLAZE SHIELD II'!$D$5*'CALCULO MORTERO'!I1642+'BLAZE SHIELD II'!$D$6)*LN(J1642))+('BLAZE SHIELD II'!$D$7*('CALCULO MORTERO'!I1642^2)+'BLAZE SHIELD II'!$D$8*'CALCULO MORTERO'!I1642+'BLAZE SHIELD II'!$D$9)),0)+IF(AND(L1642="Blaze Shield II",M1642="Software Idiem",C1642="Cj"),((('BLAZE SHIELD II'!$H$4*('CALCULO MORTERO'!I1642^2)+'BLAZE SHIELD II'!$H$5*'CALCULO MORTERO'!I1642+'BLAZE SHIELD II'!$H$6)*LN(J1642))+('BLAZE SHIELD II'!$H$7*('CALCULO MORTERO'!I1642^2)+'BLAZE SHIELD II'!$H$8*'CALCULO MORTERO'!I1642+'BLAZE SHIELD II'!$H$9)),0)+IF(AND(L1642="Blaze Shield II",M1642="Software Idiem",C1642="C"),((('BLAZE SHIELD II'!$L$4*('CALCULO MORTERO'!I1642^2)+'BLAZE SHIELD II'!$L$5*'CALCULO MORTERO'!I1642+'BLAZE SHIELD II'!$L$6)*LN(J1642))+('BLAZE SHIELD II'!$L$7*('CALCULO MORTERO'!I1642^2)+'BLAZE SHIELD II'!$L$8*'CALCULO MORTERO'!I1642+'BLAZE SHIELD II'!$L$9)),0)+IF(AND(L1642="Blaze Shield II",M1642="Software Idiem",C1642="L"),((('BLAZE SHIELD II'!$L$4*('CALCULO MORTERO'!I1642^2)+'BLAZE SHIELD II'!$L$5*'CALCULO MORTERO'!I1642+'BLAZE SHIELD II'!$L$6)*LN(J1642))+('BLAZE SHIELD II'!$L$7*('CALCULO MORTERO'!I1642^2)+'BLAZE SHIELD II'!$L$8*'CALCULO MORTERO'!I1642+'BLAZE SHIELD II'!$L$9)),0)+IF(AND(L1642="Blaze Shield II",M1642="Software Idiem",C1642="IN",G1642=3),((('BLAZE SHIELD II'!$H$14*('CALCULO MORTERO'!I1642^2)+'BLAZE SHIELD II'!$H$15*'CALCULO MORTERO'!I1642+'BLAZE SHIELD II'!$H$16)*LN(J1642))+('BLAZE SHIELD II'!$H$17*('CALCULO MORTERO'!I1642^2)+'BLAZE SHIELD II'!$H$18*'CALCULO MORTERO'!I1642+'BLAZE SHIELD II'!$H$19)),0),0)+ROUND(IF(AND(L1642="Cafco 400",M1642="Software Idiem",C1642="IN",G1642=4),((('CAFCO 400 '!$H$7*(J1642^4)+'CAFCO 400 '!$H$8*(J1642^3)+'CAFCO 400 '!$H$9*(J1642^2)+'CAFCO 400 '!$H$10*J1642+'CAFCO 400 '!$H$11)*U1642^2)+(('CAFCO 400 '!$H$12*(J1642^3)+'CAFCO 400 '!$H$13*(J1642^2)+'CAFCO 400 '!$H$14*J1642+'CAFCO 400 '!$H$15)*U1642)+('CAFCO 400 '!$H$16*(J1642^2)+'CAFCO 400 '!$H$17*J1642+'CAFCO 400 '!$H$18)),0)+IF(AND(L1642="Cafco 400",M1642="Software Idiem",C1642="Cj"),(((('CAFCO 400 '!$D$7*LN(J1642)+'CAFCO 400 '!$D$8)*U1642^2)+(('CAFCO 400 '!$D$9*LN(J1642)+'CAFCO 400 '!$D$10)*U1642)+('CAFCO 400 '!$D$11*LN(J1642)+'CAFCO 400 '!$D$12))),0)+IF(AND(L1642="Cafco 400",M1642="Software Idiem",C1642="C"),((('CAFCO 400 '!$L$7*(J1642^3)+'CAFCO 400 '!$L$8*(J1642^2)+'CAFCO 400 '!$L$9*J1642+'CAFCO 400 '!$L$10)*U1642^2)+(('CAFCO 400 '!$L$11*(J1642^3)+'CAFCO 400 '!$L$12*(J1642^2)+'CAFCO 400 '!$L$13*J1642+'CAFCO 400 '!$L$14)*U1642)+('CAFCO 400 '!$L$15*LN(J1642)+'CAFCO 400 '!$L$16)),0)+IF(AND(L1642="Cafco 400",M1642="Software Idiem",C1642="L"),((('CAFCO 400 '!$L$7*(J1642^3)+'CAFCO 400 '!$L$8*(J1642^2)+'CAFCO 400 '!$L$9*J1642+'CAFCO 400 '!$L$10)*U1642^2)+(('CAFCO 400 '!$L$11*(J1642^3)+'CAFCO 400 '!$L$12*(J1642^2)+'CAFCO 400 '!$L$13*J1642+'CAFCO 400 '!$L$14)*U1642)+('CAFCO 400 '!$L$15*LN(J1642)+'CAFCO 400 '!$L$16)),0)+IF(AND(L1642="Cafco 400",M1642="Software Idiem",C1642="IN",G1642=3),((('CAFCO 400 '!$D$23*(J1642^2)+'CAFCO 400 '!$D$24*(J1642)+'CAFCO 400 '!$D$25)*U1642^2)+(('CAFCO 400 '!$D$26*(J1642^2)+'CAFCO 400 '!$D$27*J1642+'CAFCO 400 '!$D$28)*U1642)+('CAFCO 400 '!$D$29*(J1642^2)+'CAFCO 400 '!$D$30*J1642+'CAFCO 400 '!$D$31)),0),0)+IF(AND(L1642="Cafco 300",J1642&gt;=95,J1642&lt;=240,C1642="Cj",I1642=90),VLOOKUP(T1642,'CAFCO 300 IDIEM TABLAS'!$B$4:$D$23,2,FALSE),0)+IF(AND(L1642="Cafco 300",J1642&gt;=95,J1642&lt;=240,C1642="Cj",I1642=120),VLOOKUP(T1642,'CAFCO 300 IDIEM TABLAS'!$B$4:$D$23,3,FALSE),0)+IF(AND(L1642="Cafco 300",J1642&gt;=95,J1642&lt;=400,G1642=3,C1642="IN",I1642=90),VLOOKUP(T1642,'CAFCO 300 IDIEM TABLAS'!$F$4:$H$35,2,FALSE),0)+IF(AND(L1642="Cafco 300",J1642&gt;=95,J1642&lt;=400,G1642=3,C1642="IN",I1642=120),VLOOKUP(T1642,'CAFCO 300 IDIEM TABLAS'!$F$4:$H$35,3,FALSE),0)+IF(AND(L1642="Cafco 300",J1642&gt;=95,J1642&lt;=450,G1642=4,C1642="IN",I1642=90),VLOOKUP(T1642,'CAFCO 300 IDIEM TABLAS'!$J$4:$L$40,2,FALSE),0)+IF(AND(L1642="Cafco 300",J1642&gt;=95,J1642&lt;=450,G1642=4,C1642="IN",I1642=120),VLOOKUP(T1642,'CAFCO 300 IDIEM TABLAS'!$J$4:$L$40,3,FALSE),0)+IF(AND(M1642="Ensayo Idiem",L1642="Cafco 400",C1642="IN",G1642=4,I1642=90),VLOOKUP(T1642,'CAFCO 400 ENSAYO'!$B$7:$D$43,2,FALSE),0)+IF(AND(M1642="Ensayo Idiem",L1642="Cafco 400",C1642="IN",G1642=4,I1642=120),VLOOKUP(T1642,'CAFCO 400 ENSAYO'!$B$7:$D$43,3,FALSE),0)</f>
        <v>0</v>
      </c>
      <c r="O1642" s="96">
        <f t="shared" si="162"/>
        <v>0</v>
      </c>
      <c r="P1642" s="95" t="str">
        <f t="shared" si="157"/>
        <v>N/A</v>
      </c>
      <c r="Q1642" s="95" t="str">
        <f t="shared" si="158"/>
        <v>N/A</v>
      </c>
      <c r="R1642" s="95" t="str">
        <f t="shared" si="159"/>
        <v>NO CERT.</v>
      </c>
      <c r="S1642" s="95" t="e">
        <f t="shared" si="160"/>
        <v>#N/A</v>
      </c>
      <c r="T1642" s="119" t="e">
        <f>+IF(J1642=LOOKUP(J1642,'CAFCO 300 IDIEM TABLAS'!$J$4:$J$40),'CALCULO MORTERO'!J1642,MROUND('CALCULO MORTERO'!J1642,10))</f>
        <v>#N/A</v>
      </c>
      <c r="U1642" s="118">
        <f t="shared" si="161"/>
        <v>0</v>
      </c>
    </row>
    <row r="1643" spans="1:21" x14ac:dyDescent="0.25">
      <c r="A1643" s="118">
        <f>+CUBICACION!D1637</f>
        <v>0</v>
      </c>
      <c r="B1643" s="819">
        <f>+CUBICACION!E1637</f>
        <v>0</v>
      </c>
      <c r="C1643" s="675">
        <f>+CUBICACION!F1637</f>
        <v>0</v>
      </c>
      <c r="D1643" s="118"/>
      <c r="E1643" s="118"/>
      <c r="F1643" s="820"/>
      <c r="G1643" s="675">
        <f>+CUBICACION!J1637</f>
        <v>0</v>
      </c>
      <c r="H1643" s="118"/>
      <c r="I1643" s="821">
        <f>+CUBICACION!L1637</f>
        <v>0</v>
      </c>
      <c r="J1643" s="64">
        <f>+CUBICACION!M1637</f>
        <v>0</v>
      </c>
      <c r="K1643" s="822">
        <f>+CUBICACION!N1637</f>
        <v>0</v>
      </c>
      <c r="L1643" s="118">
        <f>+CUBICACION!O1637</f>
        <v>0</v>
      </c>
      <c r="M1643" s="823">
        <f>+CUBICACION!P1637</f>
        <v>0</v>
      </c>
      <c r="N1643" s="902">
        <f>ROUND(IF(AND(L1643="Blaze Shield II",M1643="Software Idiem",C1643="IN",G1643=4),((('BLAZE SHIELD II'!$D$4*('CALCULO MORTERO'!I1643^2)+'BLAZE SHIELD II'!$D$5*'CALCULO MORTERO'!I1643+'BLAZE SHIELD II'!$D$6)*LN(J1643))+('BLAZE SHIELD II'!$D$7*('CALCULO MORTERO'!I1643^2)+'BLAZE SHIELD II'!$D$8*'CALCULO MORTERO'!I1643+'BLAZE SHIELD II'!$D$9)),0)+IF(AND(L1643="Blaze Shield II",M1643="Software Idiem",C1643="Cj"),((('BLAZE SHIELD II'!$H$4*('CALCULO MORTERO'!I1643^2)+'BLAZE SHIELD II'!$H$5*'CALCULO MORTERO'!I1643+'BLAZE SHIELD II'!$H$6)*LN(J1643))+('BLAZE SHIELD II'!$H$7*('CALCULO MORTERO'!I1643^2)+'BLAZE SHIELD II'!$H$8*'CALCULO MORTERO'!I1643+'BLAZE SHIELD II'!$H$9)),0)+IF(AND(L1643="Blaze Shield II",M1643="Software Idiem",C1643="C"),((('BLAZE SHIELD II'!$L$4*('CALCULO MORTERO'!I1643^2)+'BLAZE SHIELD II'!$L$5*'CALCULO MORTERO'!I1643+'BLAZE SHIELD II'!$L$6)*LN(J1643))+('BLAZE SHIELD II'!$L$7*('CALCULO MORTERO'!I1643^2)+'BLAZE SHIELD II'!$L$8*'CALCULO MORTERO'!I1643+'BLAZE SHIELD II'!$L$9)),0)+IF(AND(L1643="Blaze Shield II",M1643="Software Idiem",C1643="L"),((('BLAZE SHIELD II'!$L$4*('CALCULO MORTERO'!I1643^2)+'BLAZE SHIELD II'!$L$5*'CALCULO MORTERO'!I1643+'BLAZE SHIELD II'!$L$6)*LN(J1643))+('BLAZE SHIELD II'!$L$7*('CALCULO MORTERO'!I1643^2)+'BLAZE SHIELD II'!$L$8*'CALCULO MORTERO'!I1643+'BLAZE SHIELD II'!$L$9)),0)+IF(AND(L1643="Blaze Shield II",M1643="Software Idiem",C1643="IN",G1643=3),((('BLAZE SHIELD II'!$H$14*('CALCULO MORTERO'!I1643^2)+'BLAZE SHIELD II'!$H$15*'CALCULO MORTERO'!I1643+'BLAZE SHIELD II'!$H$16)*LN(J1643))+('BLAZE SHIELD II'!$H$17*('CALCULO MORTERO'!I1643^2)+'BLAZE SHIELD II'!$H$18*'CALCULO MORTERO'!I1643+'BLAZE SHIELD II'!$H$19)),0),0)+ROUND(IF(AND(L1643="Cafco 400",M1643="Software Idiem",C1643="IN",G1643=4),((('CAFCO 400 '!$H$7*(J1643^4)+'CAFCO 400 '!$H$8*(J1643^3)+'CAFCO 400 '!$H$9*(J1643^2)+'CAFCO 400 '!$H$10*J1643+'CAFCO 400 '!$H$11)*U1643^2)+(('CAFCO 400 '!$H$12*(J1643^3)+'CAFCO 400 '!$H$13*(J1643^2)+'CAFCO 400 '!$H$14*J1643+'CAFCO 400 '!$H$15)*U1643)+('CAFCO 400 '!$H$16*(J1643^2)+'CAFCO 400 '!$H$17*J1643+'CAFCO 400 '!$H$18)),0)+IF(AND(L1643="Cafco 400",M1643="Software Idiem",C1643="Cj"),(((('CAFCO 400 '!$D$7*LN(J1643)+'CAFCO 400 '!$D$8)*U1643^2)+(('CAFCO 400 '!$D$9*LN(J1643)+'CAFCO 400 '!$D$10)*U1643)+('CAFCO 400 '!$D$11*LN(J1643)+'CAFCO 400 '!$D$12))),0)+IF(AND(L1643="Cafco 400",M1643="Software Idiem",C1643="C"),((('CAFCO 400 '!$L$7*(J1643^3)+'CAFCO 400 '!$L$8*(J1643^2)+'CAFCO 400 '!$L$9*J1643+'CAFCO 400 '!$L$10)*U1643^2)+(('CAFCO 400 '!$L$11*(J1643^3)+'CAFCO 400 '!$L$12*(J1643^2)+'CAFCO 400 '!$L$13*J1643+'CAFCO 400 '!$L$14)*U1643)+('CAFCO 400 '!$L$15*LN(J1643)+'CAFCO 400 '!$L$16)),0)+IF(AND(L1643="Cafco 400",M1643="Software Idiem",C1643="L"),((('CAFCO 400 '!$L$7*(J1643^3)+'CAFCO 400 '!$L$8*(J1643^2)+'CAFCO 400 '!$L$9*J1643+'CAFCO 400 '!$L$10)*U1643^2)+(('CAFCO 400 '!$L$11*(J1643^3)+'CAFCO 400 '!$L$12*(J1643^2)+'CAFCO 400 '!$L$13*J1643+'CAFCO 400 '!$L$14)*U1643)+('CAFCO 400 '!$L$15*LN(J1643)+'CAFCO 400 '!$L$16)),0)+IF(AND(L1643="Cafco 400",M1643="Software Idiem",C1643="IN",G1643=3),((('CAFCO 400 '!$D$23*(J1643^2)+'CAFCO 400 '!$D$24*(J1643)+'CAFCO 400 '!$D$25)*U1643^2)+(('CAFCO 400 '!$D$26*(J1643^2)+'CAFCO 400 '!$D$27*J1643+'CAFCO 400 '!$D$28)*U1643)+('CAFCO 400 '!$D$29*(J1643^2)+'CAFCO 400 '!$D$30*J1643+'CAFCO 400 '!$D$31)),0),0)+IF(AND(L1643="Cafco 300",J1643&gt;=95,J1643&lt;=240,C1643="Cj",I1643=90),VLOOKUP(T1643,'CAFCO 300 IDIEM TABLAS'!$B$4:$D$23,2,FALSE),0)+IF(AND(L1643="Cafco 300",J1643&gt;=95,J1643&lt;=240,C1643="Cj",I1643=120),VLOOKUP(T1643,'CAFCO 300 IDIEM TABLAS'!$B$4:$D$23,3,FALSE),0)+IF(AND(L1643="Cafco 300",J1643&gt;=95,J1643&lt;=400,G1643=3,C1643="IN",I1643=90),VLOOKUP(T1643,'CAFCO 300 IDIEM TABLAS'!$F$4:$H$35,2,FALSE),0)+IF(AND(L1643="Cafco 300",J1643&gt;=95,J1643&lt;=400,G1643=3,C1643="IN",I1643=120),VLOOKUP(T1643,'CAFCO 300 IDIEM TABLAS'!$F$4:$H$35,3,FALSE),0)+IF(AND(L1643="Cafco 300",J1643&gt;=95,J1643&lt;=450,G1643=4,C1643="IN",I1643=90),VLOOKUP(T1643,'CAFCO 300 IDIEM TABLAS'!$J$4:$L$40,2,FALSE),0)+IF(AND(L1643="Cafco 300",J1643&gt;=95,J1643&lt;=450,G1643=4,C1643="IN",I1643=120),VLOOKUP(T1643,'CAFCO 300 IDIEM TABLAS'!$J$4:$L$40,3,FALSE),0)+IF(AND(M1643="Ensayo Idiem",L1643="Cafco 400",C1643="IN",G1643=4,I1643=90),VLOOKUP(T1643,'CAFCO 400 ENSAYO'!$B$7:$D$43,2,FALSE),0)+IF(AND(M1643="Ensayo Idiem",L1643="Cafco 400",C1643="IN",G1643=4,I1643=120),VLOOKUP(T1643,'CAFCO 400 ENSAYO'!$B$7:$D$43,3,FALSE),0)</f>
        <v>0</v>
      </c>
      <c r="O1643" s="96">
        <f t="shared" si="162"/>
        <v>0</v>
      </c>
      <c r="P1643" s="132" t="str">
        <f t="shared" si="157"/>
        <v>N/A</v>
      </c>
      <c r="Q1643" s="132" t="str">
        <f t="shared" si="158"/>
        <v>N/A</v>
      </c>
      <c r="R1643" s="132" t="str">
        <f t="shared" si="159"/>
        <v>NO CERT.</v>
      </c>
      <c r="S1643" s="132" t="e">
        <f t="shared" si="160"/>
        <v>#N/A</v>
      </c>
      <c r="T1643" s="133" t="e">
        <f>+IF(J1643=LOOKUP(J1643,'CAFCO 300 IDIEM TABLAS'!$J$4:$J$40),'CALCULO MORTERO'!J1643,MROUND('CALCULO MORTERO'!J1643,10))</f>
        <v>#N/A</v>
      </c>
      <c r="U1643" s="134">
        <f t="shared" si="161"/>
        <v>0</v>
      </c>
    </row>
    <row r="1644" spans="1:21" x14ac:dyDescent="0.25">
      <c r="A1644" s="118">
        <f>+CUBICACION!D1638</f>
        <v>0</v>
      </c>
      <c r="B1644" s="819">
        <f>+CUBICACION!E1638</f>
        <v>0</v>
      </c>
      <c r="C1644" s="675">
        <f>+CUBICACION!F1638</f>
        <v>0</v>
      </c>
      <c r="D1644" s="118"/>
      <c r="E1644" s="118"/>
      <c r="F1644" s="820"/>
      <c r="G1644" s="675">
        <f>+CUBICACION!J1638</f>
        <v>0</v>
      </c>
      <c r="H1644" s="118"/>
      <c r="I1644" s="821">
        <f>+CUBICACION!L1638</f>
        <v>0</v>
      </c>
      <c r="J1644" s="64">
        <f>+CUBICACION!M1638</f>
        <v>0</v>
      </c>
      <c r="K1644" s="822">
        <f>+CUBICACION!N1638</f>
        <v>0</v>
      </c>
      <c r="L1644" s="118">
        <f>+CUBICACION!O1638</f>
        <v>0</v>
      </c>
      <c r="M1644" s="823">
        <f>+CUBICACION!P1638</f>
        <v>0</v>
      </c>
      <c r="N1644" s="902">
        <f>ROUND(IF(AND(L1644="Blaze Shield II",M1644="Software Idiem",C1644="IN",G1644=4),((('BLAZE SHIELD II'!$D$4*('CALCULO MORTERO'!I1644^2)+'BLAZE SHIELD II'!$D$5*'CALCULO MORTERO'!I1644+'BLAZE SHIELD II'!$D$6)*LN(J1644))+('BLAZE SHIELD II'!$D$7*('CALCULO MORTERO'!I1644^2)+'BLAZE SHIELD II'!$D$8*'CALCULO MORTERO'!I1644+'BLAZE SHIELD II'!$D$9)),0)+IF(AND(L1644="Blaze Shield II",M1644="Software Idiem",C1644="Cj"),((('BLAZE SHIELD II'!$H$4*('CALCULO MORTERO'!I1644^2)+'BLAZE SHIELD II'!$H$5*'CALCULO MORTERO'!I1644+'BLAZE SHIELD II'!$H$6)*LN(J1644))+('BLAZE SHIELD II'!$H$7*('CALCULO MORTERO'!I1644^2)+'BLAZE SHIELD II'!$H$8*'CALCULO MORTERO'!I1644+'BLAZE SHIELD II'!$H$9)),0)+IF(AND(L1644="Blaze Shield II",M1644="Software Idiem",C1644="C"),((('BLAZE SHIELD II'!$L$4*('CALCULO MORTERO'!I1644^2)+'BLAZE SHIELD II'!$L$5*'CALCULO MORTERO'!I1644+'BLAZE SHIELD II'!$L$6)*LN(J1644))+('BLAZE SHIELD II'!$L$7*('CALCULO MORTERO'!I1644^2)+'BLAZE SHIELD II'!$L$8*'CALCULO MORTERO'!I1644+'BLAZE SHIELD II'!$L$9)),0)+IF(AND(L1644="Blaze Shield II",M1644="Software Idiem",C1644="L"),((('BLAZE SHIELD II'!$L$4*('CALCULO MORTERO'!I1644^2)+'BLAZE SHIELD II'!$L$5*'CALCULO MORTERO'!I1644+'BLAZE SHIELD II'!$L$6)*LN(J1644))+('BLAZE SHIELD II'!$L$7*('CALCULO MORTERO'!I1644^2)+'BLAZE SHIELD II'!$L$8*'CALCULO MORTERO'!I1644+'BLAZE SHIELD II'!$L$9)),0)+IF(AND(L1644="Blaze Shield II",M1644="Software Idiem",C1644="IN",G1644=3),((('BLAZE SHIELD II'!$H$14*('CALCULO MORTERO'!I1644^2)+'BLAZE SHIELD II'!$H$15*'CALCULO MORTERO'!I1644+'BLAZE SHIELD II'!$H$16)*LN(J1644))+('BLAZE SHIELD II'!$H$17*('CALCULO MORTERO'!I1644^2)+'BLAZE SHIELD II'!$H$18*'CALCULO MORTERO'!I1644+'BLAZE SHIELD II'!$H$19)),0),0)+ROUND(IF(AND(L1644="Cafco 400",M1644="Software Idiem",C1644="IN",G1644=4),((('CAFCO 400 '!$H$7*(J1644^4)+'CAFCO 400 '!$H$8*(J1644^3)+'CAFCO 400 '!$H$9*(J1644^2)+'CAFCO 400 '!$H$10*J1644+'CAFCO 400 '!$H$11)*U1644^2)+(('CAFCO 400 '!$H$12*(J1644^3)+'CAFCO 400 '!$H$13*(J1644^2)+'CAFCO 400 '!$H$14*J1644+'CAFCO 400 '!$H$15)*U1644)+('CAFCO 400 '!$H$16*(J1644^2)+'CAFCO 400 '!$H$17*J1644+'CAFCO 400 '!$H$18)),0)+IF(AND(L1644="Cafco 400",M1644="Software Idiem",C1644="Cj"),(((('CAFCO 400 '!$D$7*LN(J1644)+'CAFCO 400 '!$D$8)*U1644^2)+(('CAFCO 400 '!$D$9*LN(J1644)+'CAFCO 400 '!$D$10)*U1644)+('CAFCO 400 '!$D$11*LN(J1644)+'CAFCO 400 '!$D$12))),0)+IF(AND(L1644="Cafco 400",M1644="Software Idiem",C1644="C"),((('CAFCO 400 '!$L$7*(J1644^3)+'CAFCO 400 '!$L$8*(J1644^2)+'CAFCO 400 '!$L$9*J1644+'CAFCO 400 '!$L$10)*U1644^2)+(('CAFCO 400 '!$L$11*(J1644^3)+'CAFCO 400 '!$L$12*(J1644^2)+'CAFCO 400 '!$L$13*J1644+'CAFCO 400 '!$L$14)*U1644)+('CAFCO 400 '!$L$15*LN(J1644)+'CAFCO 400 '!$L$16)),0)+IF(AND(L1644="Cafco 400",M1644="Software Idiem",C1644="L"),((('CAFCO 400 '!$L$7*(J1644^3)+'CAFCO 400 '!$L$8*(J1644^2)+'CAFCO 400 '!$L$9*J1644+'CAFCO 400 '!$L$10)*U1644^2)+(('CAFCO 400 '!$L$11*(J1644^3)+'CAFCO 400 '!$L$12*(J1644^2)+'CAFCO 400 '!$L$13*J1644+'CAFCO 400 '!$L$14)*U1644)+('CAFCO 400 '!$L$15*LN(J1644)+'CAFCO 400 '!$L$16)),0)+IF(AND(L1644="Cafco 400",M1644="Software Idiem",C1644="IN",G1644=3),((('CAFCO 400 '!$D$23*(J1644^2)+'CAFCO 400 '!$D$24*(J1644)+'CAFCO 400 '!$D$25)*U1644^2)+(('CAFCO 400 '!$D$26*(J1644^2)+'CAFCO 400 '!$D$27*J1644+'CAFCO 400 '!$D$28)*U1644)+('CAFCO 400 '!$D$29*(J1644^2)+'CAFCO 400 '!$D$30*J1644+'CAFCO 400 '!$D$31)),0),0)+IF(AND(L1644="Cafco 300",J1644&gt;=95,J1644&lt;=240,C1644="Cj",I1644=90),VLOOKUP(T1644,'CAFCO 300 IDIEM TABLAS'!$B$4:$D$23,2,FALSE),0)+IF(AND(L1644="Cafco 300",J1644&gt;=95,J1644&lt;=240,C1644="Cj",I1644=120),VLOOKUP(T1644,'CAFCO 300 IDIEM TABLAS'!$B$4:$D$23,3,FALSE),0)+IF(AND(L1644="Cafco 300",J1644&gt;=95,J1644&lt;=400,G1644=3,C1644="IN",I1644=90),VLOOKUP(T1644,'CAFCO 300 IDIEM TABLAS'!$F$4:$H$35,2,FALSE),0)+IF(AND(L1644="Cafco 300",J1644&gt;=95,J1644&lt;=400,G1644=3,C1644="IN",I1644=120),VLOOKUP(T1644,'CAFCO 300 IDIEM TABLAS'!$F$4:$H$35,3,FALSE),0)+IF(AND(L1644="Cafco 300",J1644&gt;=95,J1644&lt;=450,G1644=4,C1644="IN",I1644=90),VLOOKUP(T1644,'CAFCO 300 IDIEM TABLAS'!$J$4:$L$40,2,FALSE),0)+IF(AND(L1644="Cafco 300",J1644&gt;=95,J1644&lt;=450,G1644=4,C1644="IN",I1644=120),VLOOKUP(T1644,'CAFCO 300 IDIEM TABLAS'!$J$4:$L$40,3,FALSE),0)+IF(AND(M1644="Ensayo Idiem",L1644="Cafco 400",C1644="IN",G1644=4,I1644=90),VLOOKUP(T1644,'CAFCO 400 ENSAYO'!$B$7:$D$43,2,FALSE),0)+IF(AND(M1644="Ensayo Idiem",L1644="Cafco 400",C1644="IN",G1644=4,I1644=120),VLOOKUP(T1644,'CAFCO 400 ENSAYO'!$B$7:$D$43,3,FALSE),0)</f>
        <v>0</v>
      </c>
      <c r="O1644" s="96">
        <f t="shared" si="162"/>
        <v>0</v>
      </c>
      <c r="P1644" s="95" t="str">
        <f t="shared" si="157"/>
        <v>N/A</v>
      </c>
      <c r="Q1644" s="95" t="str">
        <f t="shared" si="158"/>
        <v>N/A</v>
      </c>
      <c r="R1644" s="95" t="str">
        <f t="shared" si="159"/>
        <v>NO CERT.</v>
      </c>
      <c r="S1644" s="95" t="e">
        <f t="shared" si="160"/>
        <v>#N/A</v>
      </c>
      <c r="T1644" s="119" t="e">
        <f>+IF(J1644=LOOKUP(J1644,'CAFCO 300 IDIEM TABLAS'!$J$4:$J$40),'CALCULO MORTERO'!J1644,MROUND('CALCULO MORTERO'!J1644,10))</f>
        <v>#N/A</v>
      </c>
      <c r="U1644" s="118">
        <f t="shared" si="161"/>
        <v>0</v>
      </c>
    </row>
    <row r="1645" spans="1:21" x14ac:dyDescent="0.25">
      <c r="A1645" s="118">
        <f>+CUBICACION!D1639</f>
        <v>0</v>
      </c>
      <c r="B1645" s="819">
        <f>+CUBICACION!E1639</f>
        <v>0</v>
      </c>
      <c r="C1645" s="675">
        <f>+CUBICACION!F1639</f>
        <v>0</v>
      </c>
      <c r="D1645" s="118"/>
      <c r="E1645" s="118"/>
      <c r="F1645" s="820"/>
      <c r="G1645" s="675">
        <f>+CUBICACION!J1639</f>
        <v>0</v>
      </c>
      <c r="H1645" s="118"/>
      <c r="I1645" s="821">
        <f>+CUBICACION!L1639</f>
        <v>0</v>
      </c>
      <c r="J1645" s="64">
        <f>+CUBICACION!M1639</f>
        <v>0</v>
      </c>
      <c r="K1645" s="822">
        <f>+CUBICACION!N1639</f>
        <v>0</v>
      </c>
      <c r="L1645" s="118">
        <f>+CUBICACION!O1639</f>
        <v>0</v>
      </c>
      <c r="M1645" s="823">
        <f>+CUBICACION!P1639</f>
        <v>0</v>
      </c>
      <c r="N1645" s="902">
        <f>ROUND(IF(AND(L1645="Blaze Shield II",M1645="Software Idiem",C1645="IN",G1645=4),((('BLAZE SHIELD II'!$D$4*('CALCULO MORTERO'!I1645^2)+'BLAZE SHIELD II'!$D$5*'CALCULO MORTERO'!I1645+'BLAZE SHIELD II'!$D$6)*LN(J1645))+('BLAZE SHIELD II'!$D$7*('CALCULO MORTERO'!I1645^2)+'BLAZE SHIELD II'!$D$8*'CALCULO MORTERO'!I1645+'BLAZE SHIELD II'!$D$9)),0)+IF(AND(L1645="Blaze Shield II",M1645="Software Idiem",C1645="Cj"),((('BLAZE SHIELD II'!$H$4*('CALCULO MORTERO'!I1645^2)+'BLAZE SHIELD II'!$H$5*'CALCULO MORTERO'!I1645+'BLAZE SHIELD II'!$H$6)*LN(J1645))+('BLAZE SHIELD II'!$H$7*('CALCULO MORTERO'!I1645^2)+'BLAZE SHIELD II'!$H$8*'CALCULO MORTERO'!I1645+'BLAZE SHIELD II'!$H$9)),0)+IF(AND(L1645="Blaze Shield II",M1645="Software Idiem",C1645="C"),((('BLAZE SHIELD II'!$L$4*('CALCULO MORTERO'!I1645^2)+'BLAZE SHIELD II'!$L$5*'CALCULO MORTERO'!I1645+'BLAZE SHIELD II'!$L$6)*LN(J1645))+('BLAZE SHIELD II'!$L$7*('CALCULO MORTERO'!I1645^2)+'BLAZE SHIELD II'!$L$8*'CALCULO MORTERO'!I1645+'BLAZE SHIELD II'!$L$9)),0)+IF(AND(L1645="Blaze Shield II",M1645="Software Idiem",C1645="L"),((('BLAZE SHIELD II'!$L$4*('CALCULO MORTERO'!I1645^2)+'BLAZE SHIELD II'!$L$5*'CALCULO MORTERO'!I1645+'BLAZE SHIELD II'!$L$6)*LN(J1645))+('BLAZE SHIELD II'!$L$7*('CALCULO MORTERO'!I1645^2)+'BLAZE SHIELD II'!$L$8*'CALCULO MORTERO'!I1645+'BLAZE SHIELD II'!$L$9)),0)+IF(AND(L1645="Blaze Shield II",M1645="Software Idiem",C1645="IN",G1645=3),((('BLAZE SHIELD II'!$H$14*('CALCULO MORTERO'!I1645^2)+'BLAZE SHIELD II'!$H$15*'CALCULO MORTERO'!I1645+'BLAZE SHIELD II'!$H$16)*LN(J1645))+('BLAZE SHIELD II'!$H$17*('CALCULO MORTERO'!I1645^2)+'BLAZE SHIELD II'!$H$18*'CALCULO MORTERO'!I1645+'BLAZE SHIELD II'!$H$19)),0),0)+ROUND(IF(AND(L1645="Cafco 400",M1645="Software Idiem",C1645="IN",G1645=4),((('CAFCO 400 '!$H$7*(J1645^4)+'CAFCO 400 '!$H$8*(J1645^3)+'CAFCO 400 '!$H$9*(J1645^2)+'CAFCO 400 '!$H$10*J1645+'CAFCO 400 '!$H$11)*U1645^2)+(('CAFCO 400 '!$H$12*(J1645^3)+'CAFCO 400 '!$H$13*(J1645^2)+'CAFCO 400 '!$H$14*J1645+'CAFCO 400 '!$H$15)*U1645)+('CAFCO 400 '!$H$16*(J1645^2)+'CAFCO 400 '!$H$17*J1645+'CAFCO 400 '!$H$18)),0)+IF(AND(L1645="Cafco 400",M1645="Software Idiem",C1645="Cj"),(((('CAFCO 400 '!$D$7*LN(J1645)+'CAFCO 400 '!$D$8)*U1645^2)+(('CAFCO 400 '!$D$9*LN(J1645)+'CAFCO 400 '!$D$10)*U1645)+('CAFCO 400 '!$D$11*LN(J1645)+'CAFCO 400 '!$D$12))),0)+IF(AND(L1645="Cafco 400",M1645="Software Idiem",C1645="C"),((('CAFCO 400 '!$L$7*(J1645^3)+'CAFCO 400 '!$L$8*(J1645^2)+'CAFCO 400 '!$L$9*J1645+'CAFCO 400 '!$L$10)*U1645^2)+(('CAFCO 400 '!$L$11*(J1645^3)+'CAFCO 400 '!$L$12*(J1645^2)+'CAFCO 400 '!$L$13*J1645+'CAFCO 400 '!$L$14)*U1645)+('CAFCO 400 '!$L$15*LN(J1645)+'CAFCO 400 '!$L$16)),0)+IF(AND(L1645="Cafco 400",M1645="Software Idiem",C1645="L"),((('CAFCO 400 '!$L$7*(J1645^3)+'CAFCO 400 '!$L$8*(J1645^2)+'CAFCO 400 '!$L$9*J1645+'CAFCO 400 '!$L$10)*U1645^2)+(('CAFCO 400 '!$L$11*(J1645^3)+'CAFCO 400 '!$L$12*(J1645^2)+'CAFCO 400 '!$L$13*J1645+'CAFCO 400 '!$L$14)*U1645)+('CAFCO 400 '!$L$15*LN(J1645)+'CAFCO 400 '!$L$16)),0)+IF(AND(L1645="Cafco 400",M1645="Software Idiem",C1645="IN",G1645=3),((('CAFCO 400 '!$D$23*(J1645^2)+'CAFCO 400 '!$D$24*(J1645)+'CAFCO 400 '!$D$25)*U1645^2)+(('CAFCO 400 '!$D$26*(J1645^2)+'CAFCO 400 '!$D$27*J1645+'CAFCO 400 '!$D$28)*U1645)+('CAFCO 400 '!$D$29*(J1645^2)+'CAFCO 400 '!$D$30*J1645+'CAFCO 400 '!$D$31)),0),0)+IF(AND(L1645="Cafco 300",J1645&gt;=95,J1645&lt;=240,C1645="Cj",I1645=90),VLOOKUP(T1645,'CAFCO 300 IDIEM TABLAS'!$B$4:$D$23,2,FALSE),0)+IF(AND(L1645="Cafco 300",J1645&gt;=95,J1645&lt;=240,C1645="Cj",I1645=120),VLOOKUP(T1645,'CAFCO 300 IDIEM TABLAS'!$B$4:$D$23,3,FALSE),0)+IF(AND(L1645="Cafco 300",J1645&gt;=95,J1645&lt;=400,G1645=3,C1645="IN",I1645=90),VLOOKUP(T1645,'CAFCO 300 IDIEM TABLAS'!$F$4:$H$35,2,FALSE),0)+IF(AND(L1645="Cafco 300",J1645&gt;=95,J1645&lt;=400,G1645=3,C1645="IN",I1645=120),VLOOKUP(T1645,'CAFCO 300 IDIEM TABLAS'!$F$4:$H$35,3,FALSE),0)+IF(AND(L1645="Cafco 300",J1645&gt;=95,J1645&lt;=450,G1645=4,C1645="IN",I1645=90),VLOOKUP(T1645,'CAFCO 300 IDIEM TABLAS'!$J$4:$L$40,2,FALSE),0)+IF(AND(L1645="Cafco 300",J1645&gt;=95,J1645&lt;=450,G1645=4,C1645="IN",I1645=120),VLOOKUP(T1645,'CAFCO 300 IDIEM TABLAS'!$J$4:$L$40,3,FALSE),0)+IF(AND(M1645="Ensayo Idiem",L1645="Cafco 400",C1645="IN",G1645=4,I1645=90),VLOOKUP(T1645,'CAFCO 400 ENSAYO'!$B$7:$D$43,2,FALSE),0)+IF(AND(M1645="Ensayo Idiem",L1645="Cafco 400",C1645="IN",G1645=4,I1645=120),VLOOKUP(T1645,'CAFCO 400 ENSAYO'!$B$7:$D$43,3,FALSE),0)</f>
        <v>0</v>
      </c>
      <c r="O1645" s="96">
        <f t="shared" si="162"/>
        <v>0</v>
      </c>
      <c r="P1645" s="132" t="str">
        <f t="shared" si="157"/>
        <v>N/A</v>
      </c>
      <c r="Q1645" s="132" t="str">
        <f t="shared" si="158"/>
        <v>N/A</v>
      </c>
      <c r="R1645" s="132" t="str">
        <f t="shared" si="159"/>
        <v>NO CERT.</v>
      </c>
      <c r="S1645" s="132" t="e">
        <f t="shared" si="160"/>
        <v>#N/A</v>
      </c>
      <c r="T1645" s="133" t="e">
        <f>+IF(J1645=LOOKUP(J1645,'CAFCO 300 IDIEM TABLAS'!$J$4:$J$40),'CALCULO MORTERO'!J1645,MROUND('CALCULO MORTERO'!J1645,10))</f>
        <v>#N/A</v>
      </c>
      <c r="U1645" s="134">
        <f t="shared" si="161"/>
        <v>0</v>
      </c>
    </row>
    <row r="1646" spans="1:21" x14ac:dyDescent="0.25">
      <c r="A1646" s="118">
        <f>+CUBICACION!D1640</f>
        <v>0</v>
      </c>
      <c r="B1646" s="819">
        <f>+CUBICACION!E1640</f>
        <v>0</v>
      </c>
      <c r="C1646" s="675">
        <f>+CUBICACION!F1640</f>
        <v>0</v>
      </c>
      <c r="D1646" s="118"/>
      <c r="E1646" s="118"/>
      <c r="F1646" s="820"/>
      <c r="G1646" s="675">
        <f>+CUBICACION!J1640</f>
        <v>0</v>
      </c>
      <c r="H1646" s="118"/>
      <c r="I1646" s="821">
        <f>+CUBICACION!L1640</f>
        <v>0</v>
      </c>
      <c r="J1646" s="64">
        <f>+CUBICACION!M1640</f>
        <v>0</v>
      </c>
      <c r="K1646" s="822">
        <f>+CUBICACION!N1640</f>
        <v>0</v>
      </c>
      <c r="L1646" s="118">
        <f>+CUBICACION!O1640</f>
        <v>0</v>
      </c>
      <c r="M1646" s="823">
        <f>+CUBICACION!P1640</f>
        <v>0</v>
      </c>
      <c r="N1646" s="902">
        <f>ROUND(IF(AND(L1646="Blaze Shield II",M1646="Software Idiem",C1646="IN",G1646=4),((('BLAZE SHIELD II'!$D$4*('CALCULO MORTERO'!I1646^2)+'BLAZE SHIELD II'!$D$5*'CALCULO MORTERO'!I1646+'BLAZE SHIELD II'!$D$6)*LN(J1646))+('BLAZE SHIELD II'!$D$7*('CALCULO MORTERO'!I1646^2)+'BLAZE SHIELD II'!$D$8*'CALCULO MORTERO'!I1646+'BLAZE SHIELD II'!$D$9)),0)+IF(AND(L1646="Blaze Shield II",M1646="Software Idiem",C1646="Cj"),((('BLAZE SHIELD II'!$H$4*('CALCULO MORTERO'!I1646^2)+'BLAZE SHIELD II'!$H$5*'CALCULO MORTERO'!I1646+'BLAZE SHIELD II'!$H$6)*LN(J1646))+('BLAZE SHIELD II'!$H$7*('CALCULO MORTERO'!I1646^2)+'BLAZE SHIELD II'!$H$8*'CALCULO MORTERO'!I1646+'BLAZE SHIELD II'!$H$9)),0)+IF(AND(L1646="Blaze Shield II",M1646="Software Idiem",C1646="C"),((('BLAZE SHIELD II'!$L$4*('CALCULO MORTERO'!I1646^2)+'BLAZE SHIELD II'!$L$5*'CALCULO MORTERO'!I1646+'BLAZE SHIELD II'!$L$6)*LN(J1646))+('BLAZE SHIELD II'!$L$7*('CALCULO MORTERO'!I1646^2)+'BLAZE SHIELD II'!$L$8*'CALCULO MORTERO'!I1646+'BLAZE SHIELD II'!$L$9)),0)+IF(AND(L1646="Blaze Shield II",M1646="Software Idiem",C1646="L"),((('BLAZE SHIELD II'!$L$4*('CALCULO MORTERO'!I1646^2)+'BLAZE SHIELD II'!$L$5*'CALCULO MORTERO'!I1646+'BLAZE SHIELD II'!$L$6)*LN(J1646))+('BLAZE SHIELD II'!$L$7*('CALCULO MORTERO'!I1646^2)+'BLAZE SHIELD II'!$L$8*'CALCULO MORTERO'!I1646+'BLAZE SHIELD II'!$L$9)),0)+IF(AND(L1646="Blaze Shield II",M1646="Software Idiem",C1646="IN",G1646=3),((('BLAZE SHIELD II'!$H$14*('CALCULO MORTERO'!I1646^2)+'BLAZE SHIELD II'!$H$15*'CALCULO MORTERO'!I1646+'BLAZE SHIELD II'!$H$16)*LN(J1646))+('BLAZE SHIELD II'!$H$17*('CALCULO MORTERO'!I1646^2)+'BLAZE SHIELD II'!$H$18*'CALCULO MORTERO'!I1646+'BLAZE SHIELD II'!$H$19)),0),0)+ROUND(IF(AND(L1646="Cafco 400",M1646="Software Idiem",C1646="IN",G1646=4),((('CAFCO 400 '!$H$7*(J1646^4)+'CAFCO 400 '!$H$8*(J1646^3)+'CAFCO 400 '!$H$9*(J1646^2)+'CAFCO 400 '!$H$10*J1646+'CAFCO 400 '!$H$11)*U1646^2)+(('CAFCO 400 '!$H$12*(J1646^3)+'CAFCO 400 '!$H$13*(J1646^2)+'CAFCO 400 '!$H$14*J1646+'CAFCO 400 '!$H$15)*U1646)+('CAFCO 400 '!$H$16*(J1646^2)+'CAFCO 400 '!$H$17*J1646+'CAFCO 400 '!$H$18)),0)+IF(AND(L1646="Cafco 400",M1646="Software Idiem",C1646="Cj"),(((('CAFCO 400 '!$D$7*LN(J1646)+'CAFCO 400 '!$D$8)*U1646^2)+(('CAFCO 400 '!$D$9*LN(J1646)+'CAFCO 400 '!$D$10)*U1646)+('CAFCO 400 '!$D$11*LN(J1646)+'CAFCO 400 '!$D$12))),0)+IF(AND(L1646="Cafco 400",M1646="Software Idiem",C1646="C"),((('CAFCO 400 '!$L$7*(J1646^3)+'CAFCO 400 '!$L$8*(J1646^2)+'CAFCO 400 '!$L$9*J1646+'CAFCO 400 '!$L$10)*U1646^2)+(('CAFCO 400 '!$L$11*(J1646^3)+'CAFCO 400 '!$L$12*(J1646^2)+'CAFCO 400 '!$L$13*J1646+'CAFCO 400 '!$L$14)*U1646)+('CAFCO 400 '!$L$15*LN(J1646)+'CAFCO 400 '!$L$16)),0)+IF(AND(L1646="Cafco 400",M1646="Software Idiem",C1646="L"),((('CAFCO 400 '!$L$7*(J1646^3)+'CAFCO 400 '!$L$8*(J1646^2)+'CAFCO 400 '!$L$9*J1646+'CAFCO 400 '!$L$10)*U1646^2)+(('CAFCO 400 '!$L$11*(J1646^3)+'CAFCO 400 '!$L$12*(J1646^2)+'CAFCO 400 '!$L$13*J1646+'CAFCO 400 '!$L$14)*U1646)+('CAFCO 400 '!$L$15*LN(J1646)+'CAFCO 400 '!$L$16)),0)+IF(AND(L1646="Cafco 400",M1646="Software Idiem",C1646="IN",G1646=3),((('CAFCO 400 '!$D$23*(J1646^2)+'CAFCO 400 '!$D$24*(J1646)+'CAFCO 400 '!$D$25)*U1646^2)+(('CAFCO 400 '!$D$26*(J1646^2)+'CAFCO 400 '!$D$27*J1646+'CAFCO 400 '!$D$28)*U1646)+('CAFCO 400 '!$D$29*(J1646^2)+'CAFCO 400 '!$D$30*J1646+'CAFCO 400 '!$D$31)),0),0)+IF(AND(L1646="Cafco 300",J1646&gt;=95,J1646&lt;=240,C1646="Cj",I1646=90),VLOOKUP(T1646,'CAFCO 300 IDIEM TABLAS'!$B$4:$D$23,2,FALSE),0)+IF(AND(L1646="Cafco 300",J1646&gt;=95,J1646&lt;=240,C1646="Cj",I1646=120),VLOOKUP(T1646,'CAFCO 300 IDIEM TABLAS'!$B$4:$D$23,3,FALSE),0)+IF(AND(L1646="Cafco 300",J1646&gt;=95,J1646&lt;=400,G1646=3,C1646="IN",I1646=90),VLOOKUP(T1646,'CAFCO 300 IDIEM TABLAS'!$F$4:$H$35,2,FALSE),0)+IF(AND(L1646="Cafco 300",J1646&gt;=95,J1646&lt;=400,G1646=3,C1646="IN",I1646=120),VLOOKUP(T1646,'CAFCO 300 IDIEM TABLAS'!$F$4:$H$35,3,FALSE),0)+IF(AND(L1646="Cafco 300",J1646&gt;=95,J1646&lt;=450,G1646=4,C1646="IN",I1646=90),VLOOKUP(T1646,'CAFCO 300 IDIEM TABLAS'!$J$4:$L$40,2,FALSE),0)+IF(AND(L1646="Cafco 300",J1646&gt;=95,J1646&lt;=450,G1646=4,C1646="IN",I1646=120),VLOOKUP(T1646,'CAFCO 300 IDIEM TABLAS'!$J$4:$L$40,3,FALSE),0)+IF(AND(M1646="Ensayo Idiem",L1646="Cafco 400",C1646="IN",G1646=4,I1646=90),VLOOKUP(T1646,'CAFCO 400 ENSAYO'!$B$7:$D$43,2,FALSE),0)+IF(AND(M1646="Ensayo Idiem",L1646="Cafco 400",C1646="IN",G1646=4,I1646=120),VLOOKUP(T1646,'CAFCO 400 ENSAYO'!$B$7:$D$43,3,FALSE),0)</f>
        <v>0</v>
      </c>
      <c r="O1646" s="96">
        <f t="shared" si="162"/>
        <v>0</v>
      </c>
      <c r="P1646" s="95" t="str">
        <f t="shared" si="157"/>
        <v>N/A</v>
      </c>
      <c r="Q1646" s="95" t="str">
        <f t="shared" si="158"/>
        <v>N/A</v>
      </c>
      <c r="R1646" s="95" t="str">
        <f t="shared" si="159"/>
        <v>NO CERT.</v>
      </c>
      <c r="S1646" s="95" t="e">
        <f t="shared" si="160"/>
        <v>#N/A</v>
      </c>
      <c r="T1646" s="119" t="e">
        <f>+IF(J1646=LOOKUP(J1646,'CAFCO 300 IDIEM TABLAS'!$J$4:$J$40),'CALCULO MORTERO'!J1646,MROUND('CALCULO MORTERO'!J1646,10))</f>
        <v>#N/A</v>
      </c>
      <c r="U1646" s="118">
        <f t="shared" si="161"/>
        <v>0</v>
      </c>
    </row>
    <row r="1647" spans="1:21" x14ac:dyDescent="0.25">
      <c r="A1647" s="118">
        <f>+CUBICACION!D1641</f>
        <v>0</v>
      </c>
      <c r="B1647" s="819">
        <f>+CUBICACION!E1641</f>
        <v>0</v>
      </c>
      <c r="C1647" s="675">
        <f>+CUBICACION!F1641</f>
        <v>0</v>
      </c>
      <c r="D1647" s="118"/>
      <c r="E1647" s="118"/>
      <c r="F1647" s="820"/>
      <c r="G1647" s="675">
        <f>+CUBICACION!J1641</f>
        <v>0</v>
      </c>
      <c r="H1647" s="118"/>
      <c r="I1647" s="821">
        <f>+CUBICACION!L1641</f>
        <v>0</v>
      </c>
      <c r="J1647" s="64">
        <f>+CUBICACION!M1641</f>
        <v>0</v>
      </c>
      <c r="K1647" s="822">
        <f>+CUBICACION!N1641</f>
        <v>0</v>
      </c>
      <c r="L1647" s="118">
        <f>+CUBICACION!O1641</f>
        <v>0</v>
      </c>
      <c r="M1647" s="823">
        <f>+CUBICACION!P1641</f>
        <v>0</v>
      </c>
      <c r="N1647" s="902">
        <f>ROUND(IF(AND(L1647="Blaze Shield II",M1647="Software Idiem",C1647="IN",G1647=4),((('BLAZE SHIELD II'!$D$4*('CALCULO MORTERO'!I1647^2)+'BLAZE SHIELD II'!$D$5*'CALCULO MORTERO'!I1647+'BLAZE SHIELD II'!$D$6)*LN(J1647))+('BLAZE SHIELD II'!$D$7*('CALCULO MORTERO'!I1647^2)+'BLAZE SHIELD II'!$D$8*'CALCULO MORTERO'!I1647+'BLAZE SHIELD II'!$D$9)),0)+IF(AND(L1647="Blaze Shield II",M1647="Software Idiem",C1647="Cj"),((('BLAZE SHIELD II'!$H$4*('CALCULO MORTERO'!I1647^2)+'BLAZE SHIELD II'!$H$5*'CALCULO MORTERO'!I1647+'BLAZE SHIELD II'!$H$6)*LN(J1647))+('BLAZE SHIELD II'!$H$7*('CALCULO MORTERO'!I1647^2)+'BLAZE SHIELD II'!$H$8*'CALCULO MORTERO'!I1647+'BLAZE SHIELD II'!$H$9)),0)+IF(AND(L1647="Blaze Shield II",M1647="Software Idiem",C1647="C"),((('BLAZE SHIELD II'!$L$4*('CALCULO MORTERO'!I1647^2)+'BLAZE SHIELD II'!$L$5*'CALCULO MORTERO'!I1647+'BLAZE SHIELD II'!$L$6)*LN(J1647))+('BLAZE SHIELD II'!$L$7*('CALCULO MORTERO'!I1647^2)+'BLAZE SHIELD II'!$L$8*'CALCULO MORTERO'!I1647+'BLAZE SHIELD II'!$L$9)),0)+IF(AND(L1647="Blaze Shield II",M1647="Software Idiem",C1647="L"),((('BLAZE SHIELD II'!$L$4*('CALCULO MORTERO'!I1647^2)+'BLAZE SHIELD II'!$L$5*'CALCULO MORTERO'!I1647+'BLAZE SHIELD II'!$L$6)*LN(J1647))+('BLAZE SHIELD II'!$L$7*('CALCULO MORTERO'!I1647^2)+'BLAZE SHIELD II'!$L$8*'CALCULO MORTERO'!I1647+'BLAZE SHIELD II'!$L$9)),0)+IF(AND(L1647="Blaze Shield II",M1647="Software Idiem",C1647="IN",G1647=3),((('BLAZE SHIELD II'!$H$14*('CALCULO MORTERO'!I1647^2)+'BLAZE SHIELD II'!$H$15*'CALCULO MORTERO'!I1647+'BLAZE SHIELD II'!$H$16)*LN(J1647))+('BLAZE SHIELD II'!$H$17*('CALCULO MORTERO'!I1647^2)+'BLAZE SHIELD II'!$H$18*'CALCULO MORTERO'!I1647+'BLAZE SHIELD II'!$H$19)),0),0)+ROUND(IF(AND(L1647="Cafco 400",M1647="Software Idiem",C1647="IN",G1647=4),((('CAFCO 400 '!$H$7*(J1647^4)+'CAFCO 400 '!$H$8*(J1647^3)+'CAFCO 400 '!$H$9*(J1647^2)+'CAFCO 400 '!$H$10*J1647+'CAFCO 400 '!$H$11)*U1647^2)+(('CAFCO 400 '!$H$12*(J1647^3)+'CAFCO 400 '!$H$13*(J1647^2)+'CAFCO 400 '!$H$14*J1647+'CAFCO 400 '!$H$15)*U1647)+('CAFCO 400 '!$H$16*(J1647^2)+'CAFCO 400 '!$H$17*J1647+'CAFCO 400 '!$H$18)),0)+IF(AND(L1647="Cafco 400",M1647="Software Idiem",C1647="Cj"),(((('CAFCO 400 '!$D$7*LN(J1647)+'CAFCO 400 '!$D$8)*U1647^2)+(('CAFCO 400 '!$D$9*LN(J1647)+'CAFCO 400 '!$D$10)*U1647)+('CAFCO 400 '!$D$11*LN(J1647)+'CAFCO 400 '!$D$12))),0)+IF(AND(L1647="Cafco 400",M1647="Software Idiem",C1647="C"),((('CAFCO 400 '!$L$7*(J1647^3)+'CAFCO 400 '!$L$8*(J1647^2)+'CAFCO 400 '!$L$9*J1647+'CAFCO 400 '!$L$10)*U1647^2)+(('CAFCO 400 '!$L$11*(J1647^3)+'CAFCO 400 '!$L$12*(J1647^2)+'CAFCO 400 '!$L$13*J1647+'CAFCO 400 '!$L$14)*U1647)+('CAFCO 400 '!$L$15*LN(J1647)+'CAFCO 400 '!$L$16)),0)+IF(AND(L1647="Cafco 400",M1647="Software Idiem",C1647="L"),((('CAFCO 400 '!$L$7*(J1647^3)+'CAFCO 400 '!$L$8*(J1647^2)+'CAFCO 400 '!$L$9*J1647+'CAFCO 400 '!$L$10)*U1647^2)+(('CAFCO 400 '!$L$11*(J1647^3)+'CAFCO 400 '!$L$12*(J1647^2)+'CAFCO 400 '!$L$13*J1647+'CAFCO 400 '!$L$14)*U1647)+('CAFCO 400 '!$L$15*LN(J1647)+'CAFCO 400 '!$L$16)),0)+IF(AND(L1647="Cafco 400",M1647="Software Idiem",C1647="IN",G1647=3),((('CAFCO 400 '!$D$23*(J1647^2)+'CAFCO 400 '!$D$24*(J1647)+'CAFCO 400 '!$D$25)*U1647^2)+(('CAFCO 400 '!$D$26*(J1647^2)+'CAFCO 400 '!$D$27*J1647+'CAFCO 400 '!$D$28)*U1647)+('CAFCO 400 '!$D$29*(J1647^2)+'CAFCO 400 '!$D$30*J1647+'CAFCO 400 '!$D$31)),0),0)+IF(AND(L1647="Cafco 300",J1647&gt;=95,J1647&lt;=240,C1647="Cj",I1647=90),VLOOKUP(T1647,'CAFCO 300 IDIEM TABLAS'!$B$4:$D$23,2,FALSE),0)+IF(AND(L1647="Cafco 300",J1647&gt;=95,J1647&lt;=240,C1647="Cj",I1647=120),VLOOKUP(T1647,'CAFCO 300 IDIEM TABLAS'!$B$4:$D$23,3,FALSE),0)+IF(AND(L1647="Cafco 300",J1647&gt;=95,J1647&lt;=400,G1647=3,C1647="IN",I1647=90),VLOOKUP(T1647,'CAFCO 300 IDIEM TABLAS'!$F$4:$H$35,2,FALSE),0)+IF(AND(L1647="Cafco 300",J1647&gt;=95,J1647&lt;=400,G1647=3,C1647="IN",I1647=120),VLOOKUP(T1647,'CAFCO 300 IDIEM TABLAS'!$F$4:$H$35,3,FALSE),0)+IF(AND(L1647="Cafco 300",J1647&gt;=95,J1647&lt;=450,G1647=4,C1647="IN",I1647=90),VLOOKUP(T1647,'CAFCO 300 IDIEM TABLAS'!$J$4:$L$40,2,FALSE),0)+IF(AND(L1647="Cafco 300",J1647&gt;=95,J1647&lt;=450,G1647=4,C1647="IN",I1647=120),VLOOKUP(T1647,'CAFCO 300 IDIEM TABLAS'!$J$4:$L$40,3,FALSE),0)+IF(AND(M1647="Ensayo Idiem",L1647="Cafco 400",C1647="IN",G1647=4,I1647=90),VLOOKUP(T1647,'CAFCO 400 ENSAYO'!$B$7:$D$43,2,FALSE),0)+IF(AND(M1647="Ensayo Idiem",L1647="Cafco 400",C1647="IN",G1647=4,I1647=120),VLOOKUP(T1647,'CAFCO 400 ENSAYO'!$B$7:$D$43,3,FALSE),0)</f>
        <v>0</v>
      </c>
      <c r="O1647" s="96">
        <f t="shared" si="162"/>
        <v>0</v>
      </c>
      <c r="P1647" s="132" t="str">
        <f t="shared" si="157"/>
        <v>N/A</v>
      </c>
      <c r="Q1647" s="132" t="str">
        <f t="shared" si="158"/>
        <v>N/A</v>
      </c>
      <c r="R1647" s="132" t="str">
        <f t="shared" si="159"/>
        <v>NO CERT.</v>
      </c>
      <c r="S1647" s="132" t="e">
        <f t="shared" si="160"/>
        <v>#N/A</v>
      </c>
      <c r="T1647" s="133" t="e">
        <f>+IF(J1647=LOOKUP(J1647,'CAFCO 300 IDIEM TABLAS'!$J$4:$J$40),'CALCULO MORTERO'!J1647,MROUND('CALCULO MORTERO'!J1647,10))</f>
        <v>#N/A</v>
      </c>
      <c r="U1647" s="134">
        <f t="shared" si="161"/>
        <v>0</v>
      </c>
    </row>
    <row r="1648" spans="1:21" x14ac:dyDescent="0.25">
      <c r="A1648" s="118">
        <f>+CUBICACION!D1642</f>
        <v>0</v>
      </c>
      <c r="B1648" s="819">
        <f>+CUBICACION!E1642</f>
        <v>0</v>
      </c>
      <c r="C1648" s="675">
        <f>+CUBICACION!F1642</f>
        <v>0</v>
      </c>
      <c r="D1648" s="118"/>
      <c r="E1648" s="118"/>
      <c r="F1648" s="820"/>
      <c r="G1648" s="675">
        <f>+CUBICACION!J1642</f>
        <v>0</v>
      </c>
      <c r="H1648" s="118"/>
      <c r="I1648" s="821">
        <f>+CUBICACION!L1642</f>
        <v>0</v>
      </c>
      <c r="J1648" s="64">
        <f>+CUBICACION!M1642</f>
        <v>0</v>
      </c>
      <c r="K1648" s="822">
        <f>+CUBICACION!N1642</f>
        <v>0</v>
      </c>
      <c r="L1648" s="118">
        <f>+CUBICACION!O1642</f>
        <v>0</v>
      </c>
      <c r="M1648" s="823">
        <f>+CUBICACION!P1642</f>
        <v>0</v>
      </c>
      <c r="N1648" s="902">
        <f>ROUND(IF(AND(L1648="Blaze Shield II",M1648="Software Idiem",C1648="IN",G1648=4),((('BLAZE SHIELD II'!$D$4*('CALCULO MORTERO'!I1648^2)+'BLAZE SHIELD II'!$D$5*'CALCULO MORTERO'!I1648+'BLAZE SHIELD II'!$D$6)*LN(J1648))+('BLAZE SHIELD II'!$D$7*('CALCULO MORTERO'!I1648^2)+'BLAZE SHIELD II'!$D$8*'CALCULO MORTERO'!I1648+'BLAZE SHIELD II'!$D$9)),0)+IF(AND(L1648="Blaze Shield II",M1648="Software Idiem",C1648="Cj"),((('BLAZE SHIELD II'!$H$4*('CALCULO MORTERO'!I1648^2)+'BLAZE SHIELD II'!$H$5*'CALCULO MORTERO'!I1648+'BLAZE SHIELD II'!$H$6)*LN(J1648))+('BLAZE SHIELD II'!$H$7*('CALCULO MORTERO'!I1648^2)+'BLAZE SHIELD II'!$H$8*'CALCULO MORTERO'!I1648+'BLAZE SHIELD II'!$H$9)),0)+IF(AND(L1648="Blaze Shield II",M1648="Software Idiem",C1648="C"),((('BLAZE SHIELD II'!$L$4*('CALCULO MORTERO'!I1648^2)+'BLAZE SHIELD II'!$L$5*'CALCULO MORTERO'!I1648+'BLAZE SHIELD II'!$L$6)*LN(J1648))+('BLAZE SHIELD II'!$L$7*('CALCULO MORTERO'!I1648^2)+'BLAZE SHIELD II'!$L$8*'CALCULO MORTERO'!I1648+'BLAZE SHIELD II'!$L$9)),0)+IF(AND(L1648="Blaze Shield II",M1648="Software Idiem",C1648="L"),((('BLAZE SHIELD II'!$L$4*('CALCULO MORTERO'!I1648^2)+'BLAZE SHIELD II'!$L$5*'CALCULO MORTERO'!I1648+'BLAZE SHIELD II'!$L$6)*LN(J1648))+('BLAZE SHIELD II'!$L$7*('CALCULO MORTERO'!I1648^2)+'BLAZE SHIELD II'!$L$8*'CALCULO MORTERO'!I1648+'BLAZE SHIELD II'!$L$9)),0)+IF(AND(L1648="Blaze Shield II",M1648="Software Idiem",C1648="IN",G1648=3),((('BLAZE SHIELD II'!$H$14*('CALCULO MORTERO'!I1648^2)+'BLAZE SHIELD II'!$H$15*'CALCULO MORTERO'!I1648+'BLAZE SHIELD II'!$H$16)*LN(J1648))+('BLAZE SHIELD II'!$H$17*('CALCULO MORTERO'!I1648^2)+'BLAZE SHIELD II'!$H$18*'CALCULO MORTERO'!I1648+'BLAZE SHIELD II'!$H$19)),0),0)+ROUND(IF(AND(L1648="Cafco 400",M1648="Software Idiem",C1648="IN",G1648=4),((('CAFCO 400 '!$H$7*(J1648^4)+'CAFCO 400 '!$H$8*(J1648^3)+'CAFCO 400 '!$H$9*(J1648^2)+'CAFCO 400 '!$H$10*J1648+'CAFCO 400 '!$H$11)*U1648^2)+(('CAFCO 400 '!$H$12*(J1648^3)+'CAFCO 400 '!$H$13*(J1648^2)+'CAFCO 400 '!$H$14*J1648+'CAFCO 400 '!$H$15)*U1648)+('CAFCO 400 '!$H$16*(J1648^2)+'CAFCO 400 '!$H$17*J1648+'CAFCO 400 '!$H$18)),0)+IF(AND(L1648="Cafco 400",M1648="Software Idiem",C1648="Cj"),(((('CAFCO 400 '!$D$7*LN(J1648)+'CAFCO 400 '!$D$8)*U1648^2)+(('CAFCO 400 '!$D$9*LN(J1648)+'CAFCO 400 '!$D$10)*U1648)+('CAFCO 400 '!$D$11*LN(J1648)+'CAFCO 400 '!$D$12))),0)+IF(AND(L1648="Cafco 400",M1648="Software Idiem",C1648="C"),((('CAFCO 400 '!$L$7*(J1648^3)+'CAFCO 400 '!$L$8*(J1648^2)+'CAFCO 400 '!$L$9*J1648+'CAFCO 400 '!$L$10)*U1648^2)+(('CAFCO 400 '!$L$11*(J1648^3)+'CAFCO 400 '!$L$12*(J1648^2)+'CAFCO 400 '!$L$13*J1648+'CAFCO 400 '!$L$14)*U1648)+('CAFCO 400 '!$L$15*LN(J1648)+'CAFCO 400 '!$L$16)),0)+IF(AND(L1648="Cafco 400",M1648="Software Idiem",C1648="L"),((('CAFCO 400 '!$L$7*(J1648^3)+'CAFCO 400 '!$L$8*(J1648^2)+'CAFCO 400 '!$L$9*J1648+'CAFCO 400 '!$L$10)*U1648^2)+(('CAFCO 400 '!$L$11*(J1648^3)+'CAFCO 400 '!$L$12*(J1648^2)+'CAFCO 400 '!$L$13*J1648+'CAFCO 400 '!$L$14)*U1648)+('CAFCO 400 '!$L$15*LN(J1648)+'CAFCO 400 '!$L$16)),0)+IF(AND(L1648="Cafco 400",M1648="Software Idiem",C1648="IN",G1648=3),((('CAFCO 400 '!$D$23*(J1648^2)+'CAFCO 400 '!$D$24*(J1648)+'CAFCO 400 '!$D$25)*U1648^2)+(('CAFCO 400 '!$D$26*(J1648^2)+'CAFCO 400 '!$D$27*J1648+'CAFCO 400 '!$D$28)*U1648)+('CAFCO 400 '!$D$29*(J1648^2)+'CAFCO 400 '!$D$30*J1648+'CAFCO 400 '!$D$31)),0),0)+IF(AND(L1648="Cafco 300",J1648&gt;=95,J1648&lt;=240,C1648="Cj",I1648=90),VLOOKUP(T1648,'CAFCO 300 IDIEM TABLAS'!$B$4:$D$23,2,FALSE),0)+IF(AND(L1648="Cafco 300",J1648&gt;=95,J1648&lt;=240,C1648="Cj",I1648=120),VLOOKUP(T1648,'CAFCO 300 IDIEM TABLAS'!$B$4:$D$23,3,FALSE),0)+IF(AND(L1648="Cafco 300",J1648&gt;=95,J1648&lt;=400,G1648=3,C1648="IN",I1648=90),VLOOKUP(T1648,'CAFCO 300 IDIEM TABLAS'!$F$4:$H$35,2,FALSE),0)+IF(AND(L1648="Cafco 300",J1648&gt;=95,J1648&lt;=400,G1648=3,C1648="IN",I1648=120),VLOOKUP(T1648,'CAFCO 300 IDIEM TABLAS'!$F$4:$H$35,3,FALSE),0)+IF(AND(L1648="Cafco 300",J1648&gt;=95,J1648&lt;=450,G1648=4,C1648="IN",I1648=90),VLOOKUP(T1648,'CAFCO 300 IDIEM TABLAS'!$J$4:$L$40,2,FALSE),0)+IF(AND(L1648="Cafco 300",J1648&gt;=95,J1648&lt;=450,G1648=4,C1648="IN",I1648=120),VLOOKUP(T1648,'CAFCO 300 IDIEM TABLAS'!$J$4:$L$40,3,FALSE),0)+IF(AND(M1648="Ensayo Idiem",L1648="Cafco 400",C1648="IN",G1648=4,I1648=90),VLOOKUP(T1648,'CAFCO 400 ENSAYO'!$B$7:$D$43,2,FALSE),0)+IF(AND(M1648="Ensayo Idiem",L1648="Cafco 400",C1648="IN",G1648=4,I1648=120),VLOOKUP(T1648,'CAFCO 400 ENSAYO'!$B$7:$D$43,3,FALSE),0)</f>
        <v>0</v>
      </c>
      <c r="O1648" s="96">
        <f t="shared" si="162"/>
        <v>0</v>
      </c>
      <c r="P1648" s="95" t="str">
        <f t="shared" si="157"/>
        <v>N/A</v>
      </c>
      <c r="Q1648" s="95" t="str">
        <f t="shared" si="158"/>
        <v>N/A</v>
      </c>
      <c r="R1648" s="95" t="str">
        <f t="shared" si="159"/>
        <v>NO CERT.</v>
      </c>
      <c r="S1648" s="95" t="e">
        <f t="shared" si="160"/>
        <v>#N/A</v>
      </c>
      <c r="T1648" s="119" t="e">
        <f>+IF(J1648=LOOKUP(J1648,'CAFCO 300 IDIEM TABLAS'!$J$4:$J$40),'CALCULO MORTERO'!J1648,MROUND('CALCULO MORTERO'!J1648,10))</f>
        <v>#N/A</v>
      </c>
      <c r="U1648" s="118">
        <f t="shared" si="161"/>
        <v>0</v>
      </c>
    </row>
    <row r="1649" spans="1:21" x14ac:dyDescent="0.25">
      <c r="A1649" s="118">
        <f>+CUBICACION!D1643</f>
        <v>0</v>
      </c>
      <c r="B1649" s="819">
        <f>+CUBICACION!E1643</f>
        <v>0</v>
      </c>
      <c r="C1649" s="675">
        <f>+CUBICACION!F1643</f>
        <v>0</v>
      </c>
      <c r="D1649" s="118"/>
      <c r="E1649" s="118"/>
      <c r="F1649" s="820"/>
      <c r="G1649" s="675">
        <f>+CUBICACION!J1643</f>
        <v>0</v>
      </c>
      <c r="H1649" s="118"/>
      <c r="I1649" s="821">
        <f>+CUBICACION!L1643</f>
        <v>0</v>
      </c>
      <c r="J1649" s="64">
        <f>+CUBICACION!M1643</f>
        <v>0</v>
      </c>
      <c r="K1649" s="822">
        <f>+CUBICACION!N1643</f>
        <v>0</v>
      </c>
      <c r="L1649" s="118">
        <f>+CUBICACION!O1643</f>
        <v>0</v>
      </c>
      <c r="M1649" s="823">
        <f>+CUBICACION!P1643</f>
        <v>0</v>
      </c>
      <c r="N1649" s="902">
        <f>ROUND(IF(AND(L1649="Blaze Shield II",M1649="Software Idiem",C1649="IN",G1649=4),((('BLAZE SHIELD II'!$D$4*('CALCULO MORTERO'!I1649^2)+'BLAZE SHIELD II'!$D$5*'CALCULO MORTERO'!I1649+'BLAZE SHIELD II'!$D$6)*LN(J1649))+('BLAZE SHIELD II'!$D$7*('CALCULO MORTERO'!I1649^2)+'BLAZE SHIELD II'!$D$8*'CALCULO MORTERO'!I1649+'BLAZE SHIELD II'!$D$9)),0)+IF(AND(L1649="Blaze Shield II",M1649="Software Idiem",C1649="Cj"),((('BLAZE SHIELD II'!$H$4*('CALCULO MORTERO'!I1649^2)+'BLAZE SHIELD II'!$H$5*'CALCULO MORTERO'!I1649+'BLAZE SHIELD II'!$H$6)*LN(J1649))+('BLAZE SHIELD II'!$H$7*('CALCULO MORTERO'!I1649^2)+'BLAZE SHIELD II'!$H$8*'CALCULO MORTERO'!I1649+'BLAZE SHIELD II'!$H$9)),0)+IF(AND(L1649="Blaze Shield II",M1649="Software Idiem",C1649="C"),((('BLAZE SHIELD II'!$L$4*('CALCULO MORTERO'!I1649^2)+'BLAZE SHIELD II'!$L$5*'CALCULO MORTERO'!I1649+'BLAZE SHIELD II'!$L$6)*LN(J1649))+('BLAZE SHIELD II'!$L$7*('CALCULO MORTERO'!I1649^2)+'BLAZE SHIELD II'!$L$8*'CALCULO MORTERO'!I1649+'BLAZE SHIELD II'!$L$9)),0)+IF(AND(L1649="Blaze Shield II",M1649="Software Idiem",C1649="L"),((('BLAZE SHIELD II'!$L$4*('CALCULO MORTERO'!I1649^2)+'BLAZE SHIELD II'!$L$5*'CALCULO MORTERO'!I1649+'BLAZE SHIELD II'!$L$6)*LN(J1649))+('BLAZE SHIELD II'!$L$7*('CALCULO MORTERO'!I1649^2)+'BLAZE SHIELD II'!$L$8*'CALCULO MORTERO'!I1649+'BLAZE SHIELD II'!$L$9)),0)+IF(AND(L1649="Blaze Shield II",M1649="Software Idiem",C1649="IN",G1649=3),((('BLAZE SHIELD II'!$H$14*('CALCULO MORTERO'!I1649^2)+'BLAZE SHIELD II'!$H$15*'CALCULO MORTERO'!I1649+'BLAZE SHIELD II'!$H$16)*LN(J1649))+('BLAZE SHIELD II'!$H$17*('CALCULO MORTERO'!I1649^2)+'BLAZE SHIELD II'!$H$18*'CALCULO MORTERO'!I1649+'BLAZE SHIELD II'!$H$19)),0),0)+ROUND(IF(AND(L1649="Cafco 400",M1649="Software Idiem",C1649="IN",G1649=4),((('CAFCO 400 '!$H$7*(J1649^4)+'CAFCO 400 '!$H$8*(J1649^3)+'CAFCO 400 '!$H$9*(J1649^2)+'CAFCO 400 '!$H$10*J1649+'CAFCO 400 '!$H$11)*U1649^2)+(('CAFCO 400 '!$H$12*(J1649^3)+'CAFCO 400 '!$H$13*(J1649^2)+'CAFCO 400 '!$H$14*J1649+'CAFCO 400 '!$H$15)*U1649)+('CAFCO 400 '!$H$16*(J1649^2)+'CAFCO 400 '!$H$17*J1649+'CAFCO 400 '!$H$18)),0)+IF(AND(L1649="Cafco 400",M1649="Software Idiem",C1649="Cj"),(((('CAFCO 400 '!$D$7*LN(J1649)+'CAFCO 400 '!$D$8)*U1649^2)+(('CAFCO 400 '!$D$9*LN(J1649)+'CAFCO 400 '!$D$10)*U1649)+('CAFCO 400 '!$D$11*LN(J1649)+'CAFCO 400 '!$D$12))),0)+IF(AND(L1649="Cafco 400",M1649="Software Idiem",C1649="C"),((('CAFCO 400 '!$L$7*(J1649^3)+'CAFCO 400 '!$L$8*(J1649^2)+'CAFCO 400 '!$L$9*J1649+'CAFCO 400 '!$L$10)*U1649^2)+(('CAFCO 400 '!$L$11*(J1649^3)+'CAFCO 400 '!$L$12*(J1649^2)+'CAFCO 400 '!$L$13*J1649+'CAFCO 400 '!$L$14)*U1649)+('CAFCO 400 '!$L$15*LN(J1649)+'CAFCO 400 '!$L$16)),0)+IF(AND(L1649="Cafco 400",M1649="Software Idiem",C1649="L"),((('CAFCO 400 '!$L$7*(J1649^3)+'CAFCO 400 '!$L$8*(J1649^2)+'CAFCO 400 '!$L$9*J1649+'CAFCO 400 '!$L$10)*U1649^2)+(('CAFCO 400 '!$L$11*(J1649^3)+'CAFCO 400 '!$L$12*(J1649^2)+'CAFCO 400 '!$L$13*J1649+'CAFCO 400 '!$L$14)*U1649)+('CAFCO 400 '!$L$15*LN(J1649)+'CAFCO 400 '!$L$16)),0)+IF(AND(L1649="Cafco 400",M1649="Software Idiem",C1649="IN",G1649=3),((('CAFCO 400 '!$D$23*(J1649^2)+'CAFCO 400 '!$D$24*(J1649)+'CAFCO 400 '!$D$25)*U1649^2)+(('CAFCO 400 '!$D$26*(J1649^2)+'CAFCO 400 '!$D$27*J1649+'CAFCO 400 '!$D$28)*U1649)+('CAFCO 400 '!$D$29*(J1649^2)+'CAFCO 400 '!$D$30*J1649+'CAFCO 400 '!$D$31)),0),0)+IF(AND(L1649="Cafco 300",J1649&gt;=95,J1649&lt;=240,C1649="Cj",I1649=90),VLOOKUP(T1649,'CAFCO 300 IDIEM TABLAS'!$B$4:$D$23,2,FALSE),0)+IF(AND(L1649="Cafco 300",J1649&gt;=95,J1649&lt;=240,C1649="Cj",I1649=120),VLOOKUP(T1649,'CAFCO 300 IDIEM TABLAS'!$B$4:$D$23,3,FALSE),0)+IF(AND(L1649="Cafco 300",J1649&gt;=95,J1649&lt;=400,G1649=3,C1649="IN",I1649=90),VLOOKUP(T1649,'CAFCO 300 IDIEM TABLAS'!$F$4:$H$35,2,FALSE),0)+IF(AND(L1649="Cafco 300",J1649&gt;=95,J1649&lt;=400,G1649=3,C1649="IN",I1649=120),VLOOKUP(T1649,'CAFCO 300 IDIEM TABLAS'!$F$4:$H$35,3,FALSE),0)+IF(AND(L1649="Cafco 300",J1649&gt;=95,J1649&lt;=450,G1649=4,C1649="IN",I1649=90),VLOOKUP(T1649,'CAFCO 300 IDIEM TABLAS'!$J$4:$L$40,2,FALSE),0)+IF(AND(L1649="Cafco 300",J1649&gt;=95,J1649&lt;=450,G1649=4,C1649="IN",I1649=120),VLOOKUP(T1649,'CAFCO 300 IDIEM TABLAS'!$J$4:$L$40,3,FALSE),0)+IF(AND(M1649="Ensayo Idiem",L1649="Cafco 400",C1649="IN",G1649=4,I1649=90),VLOOKUP(T1649,'CAFCO 400 ENSAYO'!$B$7:$D$43,2,FALSE),0)+IF(AND(M1649="Ensayo Idiem",L1649="Cafco 400",C1649="IN",G1649=4,I1649=120),VLOOKUP(T1649,'CAFCO 400 ENSAYO'!$B$7:$D$43,3,FALSE),0)</f>
        <v>0</v>
      </c>
      <c r="O1649" s="96">
        <f t="shared" si="162"/>
        <v>0</v>
      </c>
      <c r="P1649" s="132" t="str">
        <f t="shared" si="157"/>
        <v>N/A</v>
      </c>
      <c r="Q1649" s="132" t="str">
        <f t="shared" si="158"/>
        <v>N/A</v>
      </c>
      <c r="R1649" s="132" t="str">
        <f t="shared" si="159"/>
        <v>NO CERT.</v>
      </c>
      <c r="S1649" s="132" t="e">
        <f t="shared" si="160"/>
        <v>#N/A</v>
      </c>
      <c r="T1649" s="133" t="e">
        <f>+IF(J1649=LOOKUP(J1649,'CAFCO 300 IDIEM TABLAS'!$J$4:$J$40),'CALCULO MORTERO'!J1649,MROUND('CALCULO MORTERO'!J1649,10))</f>
        <v>#N/A</v>
      </c>
      <c r="U1649" s="134">
        <f t="shared" si="161"/>
        <v>0</v>
      </c>
    </row>
    <row r="1650" spans="1:21" x14ac:dyDescent="0.25">
      <c r="A1650" s="118">
        <f>+CUBICACION!D1644</f>
        <v>0</v>
      </c>
      <c r="B1650" s="819">
        <f>+CUBICACION!E1644</f>
        <v>0</v>
      </c>
      <c r="C1650" s="675">
        <f>+CUBICACION!F1644</f>
        <v>0</v>
      </c>
      <c r="D1650" s="118"/>
      <c r="E1650" s="118"/>
      <c r="F1650" s="820"/>
      <c r="G1650" s="675">
        <f>+CUBICACION!J1644</f>
        <v>0</v>
      </c>
      <c r="H1650" s="118"/>
      <c r="I1650" s="821">
        <f>+CUBICACION!L1644</f>
        <v>0</v>
      </c>
      <c r="J1650" s="64">
        <f>+CUBICACION!M1644</f>
        <v>0</v>
      </c>
      <c r="K1650" s="822">
        <f>+CUBICACION!N1644</f>
        <v>0</v>
      </c>
      <c r="L1650" s="118">
        <f>+CUBICACION!O1644</f>
        <v>0</v>
      </c>
      <c r="M1650" s="823">
        <f>+CUBICACION!P1644</f>
        <v>0</v>
      </c>
      <c r="N1650" s="902">
        <f>ROUND(IF(AND(L1650="Blaze Shield II",M1650="Software Idiem",C1650="IN",G1650=4),((('BLAZE SHIELD II'!$D$4*('CALCULO MORTERO'!I1650^2)+'BLAZE SHIELD II'!$D$5*'CALCULO MORTERO'!I1650+'BLAZE SHIELD II'!$D$6)*LN(J1650))+('BLAZE SHIELD II'!$D$7*('CALCULO MORTERO'!I1650^2)+'BLAZE SHIELD II'!$D$8*'CALCULO MORTERO'!I1650+'BLAZE SHIELD II'!$D$9)),0)+IF(AND(L1650="Blaze Shield II",M1650="Software Idiem",C1650="Cj"),((('BLAZE SHIELD II'!$H$4*('CALCULO MORTERO'!I1650^2)+'BLAZE SHIELD II'!$H$5*'CALCULO MORTERO'!I1650+'BLAZE SHIELD II'!$H$6)*LN(J1650))+('BLAZE SHIELD II'!$H$7*('CALCULO MORTERO'!I1650^2)+'BLAZE SHIELD II'!$H$8*'CALCULO MORTERO'!I1650+'BLAZE SHIELD II'!$H$9)),0)+IF(AND(L1650="Blaze Shield II",M1650="Software Idiem",C1650="C"),((('BLAZE SHIELD II'!$L$4*('CALCULO MORTERO'!I1650^2)+'BLAZE SHIELD II'!$L$5*'CALCULO MORTERO'!I1650+'BLAZE SHIELD II'!$L$6)*LN(J1650))+('BLAZE SHIELD II'!$L$7*('CALCULO MORTERO'!I1650^2)+'BLAZE SHIELD II'!$L$8*'CALCULO MORTERO'!I1650+'BLAZE SHIELD II'!$L$9)),0)+IF(AND(L1650="Blaze Shield II",M1650="Software Idiem",C1650="L"),((('BLAZE SHIELD II'!$L$4*('CALCULO MORTERO'!I1650^2)+'BLAZE SHIELD II'!$L$5*'CALCULO MORTERO'!I1650+'BLAZE SHIELD II'!$L$6)*LN(J1650))+('BLAZE SHIELD II'!$L$7*('CALCULO MORTERO'!I1650^2)+'BLAZE SHIELD II'!$L$8*'CALCULO MORTERO'!I1650+'BLAZE SHIELD II'!$L$9)),0)+IF(AND(L1650="Blaze Shield II",M1650="Software Idiem",C1650="IN",G1650=3),((('BLAZE SHIELD II'!$H$14*('CALCULO MORTERO'!I1650^2)+'BLAZE SHIELD II'!$H$15*'CALCULO MORTERO'!I1650+'BLAZE SHIELD II'!$H$16)*LN(J1650))+('BLAZE SHIELD II'!$H$17*('CALCULO MORTERO'!I1650^2)+'BLAZE SHIELD II'!$H$18*'CALCULO MORTERO'!I1650+'BLAZE SHIELD II'!$H$19)),0),0)+ROUND(IF(AND(L1650="Cafco 400",M1650="Software Idiem",C1650="IN",G1650=4),((('CAFCO 400 '!$H$7*(J1650^4)+'CAFCO 400 '!$H$8*(J1650^3)+'CAFCO 400 '!$H$9*(J1650^2)+'CAFCO 400 '!$H$10*J1650+'CAFCO 400 '!$H$11)*U1650^2)+(('CAFCO 400 '!$H$12*(J1650^3)+'CAFCO 400 '!$H$13*(J1650^2)+'CAFCO 400 '!$H$14*J1650+'CAFCO 400 '!$H$15)*U1650)+('CAFCO 400 '!$H$16*(J1650^2)+'CAFCO 400 '!$H$17*J1650+'CAFCO 400 '!$H$18)),0)+IF(AND(L1650="Cafco 400",M1650="Software Idiem",C1650="Cj"),(((('CAFCO 400 '!$D$7*LN(J1650)+'CAFCO 400 '!$D$8)*U1650^2)+(('CAFCO 400 '!$D$9*LN(J1650)+'CAFCO 400 '!$D$10)*U1650)+('CAFCO 400 '!$D$11*LN(J1650)+'CAFCO 400 '!$D$12))),0)+IF(AND(L1650="Cafco 400",M1650="Software Idiem",C1650="C"),((('CAFCO 400 '!$L$7*(J1650^3)+'CAFCO 400 '!$L$8*(J1650^2)+'CAFCO 400 '!$L$9*J1650+'CAFCO 400 '!$L$10)*U1650^2)+(('CAFCO 400 '!$L$11*(J1650^3)+'CAFCO 400 '!$L$12*(J1650^2)+'CAFCO 400 '!$L$13*J1650+'CAFCO 400 '!$L$14)*U1650)+('CAFCO 400 '!$L$15*LN(J1650)+'CAFCO 400 '!$L$16)),0)+IF(AND(L1650="Cafco 400",M1650="Software Idiem",C1650="L"),((('CAFCO 400 '!$L$7*(J1650^3)+'CAFCO 400 '!$L$8*(J1650^2)+'CAFCO 400 '!$L$9*J1650+'CAFCO 400 '!$L$10)*U1650^2)+(('CAFCO 400 '!$L$11*(J1650^3)+'CAFCO 400 '!$L$12*(J1650^2)+'CAFCO 400 '!$L$13*J1650+'CAFCO 400 '!$L$14)*U1650)+('CAFCO 400 '!$L$15*LN(J1650)+'CAFCO 400 '!$L$16)),0)+IF(AND(L1650="Cafco 400",M1650="Software Idiem",C1650="IN",G1650=3),((('CAFCO 400 '!$D$23*(J1650^2)+'CAFCO 400 '!$D$24*(J1650)+'CAFCO 400 '!$D$25)*U1650^2)+(('CAFCO 400 '!$D$26*(J1650^2)+'CAFCO 400 '!$D$27*J1650+'CAFCO 400 '!$D$28)*U1650)+('CAFCO 400 '!$D$29*(J1650^2)+'CAFCO 400 '!$D$30*J1650+'CAFCO 400 '!$D$31)),0),0)+IF(AND(L1650="Cafco 300",J1650&gt;=95,J1650&lt;=240,C1650="Cj",I1650=90),VLOOKUP(T1650,'CAFCO 300 IDIEM TABLAS'!$B$4:$D$23,2,FALSE),0)+IF(AND(L1650="Cafco 300",J1650&gt;=95,J1650&lt;=240,C1650="Cj",I1650=120),VLOOKUP(T1650,'CAFCO 300 IDIEM TABLAS'!$B$4:$D$23,3,FALSE),0)+IF(AND(L1650="Cafco 300",J1650&gt;=95,J1650&lt;=400,G1650=3,C1650="IN",I1650=90),VLOOKUP(T1650,'CAFCO 300 IDIEM TABLAS'!$F$4:$H$35,2,FALSE),0)+IF(AND(L1650="Cafco 300",J1650&gt;=95,J1650&lt;=400,G1650=3,C1650="IN",I1650=120),VLOOKUP(T1650,'CAFCO 300 IDIEM TABLAS'!$F$4:$H$35,3,FALSE),0)+IF(AND(L1650="Cafco 300",J1650&gt;=95,J1650&lt;=450,G1650=4,C1650="IN",I1650=90),VLOOKUP(T1650,'CAFCO 300 IDIEM TABLAS'!$J$4:$L$40,2,FALSE),0)+IF(AND(L1650="Cafco 300",J1650&gt;=95,J1650&lt;=450,G1650=4,C1650="IN",I1650=120),VLOOKUP(T1650,'CAFCO 300 IDIEM TABLAS'!$J$4:$L$40,3,FALSE),0)+IF(AND(M1650="Ensayo Idiem",L1650="Cafco 400",C1650="IN",G1650=4,I1650=90),VLOOKUP(T1650,'CAFCO 400 ENSAYO'!$B$7:$D$43,2,FALSE),0)+IF(AND(M1650="Ensayo Idiem",L1650="Cafco 400",C1650="IN",G1650=4,I1650=120),VLOOKUP(T1650,'CAFCO 400 ENSAYO'!$B$7:$D$43,3,FALSE),0)</f>
        <v>0</v>
      </c>
      <c r="O1650" s="96">
        <f t="shared" si="162"/>
        <v>0</v>
      </c>
      <c r="P1650" s="95" t="str">
        <f t="shared" ref="P1650:P1700" si="163">IF(AND(M1650="Software Idiem"),IF(AND(C1650="IN",G1650=4,J1650&gt;=50,J1650&lt;=500),"CERT.",IF(AND(C1650="Cj",J1650&gt;=50,J1650&lt;=500),"CERT.",IF(AND(C1650="C",J1650&gt;=50,J1650&lt;=1000),"CERT.",IF(AND(C1650="L",J1650&gt;=50,J1650&lt;=1000),"CERT.",IF(AND(C1650="IN",G1650=3,J1650&gt;=50,J1650&lt;=500),"CERT.","NO CERT."))))),"N/A")</f>
        <v>N/A</v>
      </c>
      <c r="Q1650" s="95" t="str">
        <f t="shared" ref="Q1650:Q1700" si="164">IF(AND(M1650="Software Idiem"),IF(AND(C1650="IN",G1650=4,J1650&gt;=50,J1650&lt;=500),"CERT.",IF(AND(C1650="Cj",J1650&gt;=50,J1650&lt;=500),"CERT.",IF(AND(C1650="C",J1650&gt;=50,J1650&lt;=1000),"CERT.",IF(AND(C1650="L",J1650&gt;=50,J1650&lt;=1000),"CERT.",IF(AND(C1650="IN",G1650=3,J1650&gt;=50,J1650&lt;=500),"CERT.","NO CERT."))))),"N/A")</f>
        <v>N/A</v>
      </c>
      <c r="R1650" s="95" t="str">
        <f t="shared" ref="R1650:R1700" si="165">IF(AND(C1650="IN",G1650=4,J1650&gt;=95,J1650&lt;=450,I1650=90),"CERT.",IF(AND(C1650="IN",G1650=4,J1650&gt;=95,J1650&lt;=450,I1650=120),"CERT.","NO CERT."))</f>
        <v>NO CERT.</v>
      </c>
      <c r="S1650" s="95" t="e">
        <f t="shared" ref="S1650:S1700" si="166">IF(AND(C1650="Cj",I1650=90,T1650&lt;=240),"CERT.",IF(AND(C1650="Cj",I1650=120,T1650&lt;=240),"CERT.",IF(AND(C1650="IN",G1650=3,I1650=90,T1650&lt;=400),"CERT.",IF(AND(C1650="IN",G1650=3,I1650=120,T1650&lt;=400),"CERT.",IF(AND(C1650="IN",G1650=4,I1650=90,T1650&lt;=450),"CERT.",IF(AND(C1650="IN",G1650=4,I1650=120,T1650&lt;=450),"CERT.","NO CERT."))))))</f>
        <v>#N/A</v>
      </c>
      <c r="T1650" s="119" t="e">
        <f>+IF(J1650=LOOKUP(J1650,'CAFCO 300 IDIEM TABLAS'!$J$4:$J$40),'CALCULO MORTERO'!J1650,MROUND('CALCULO MORTERO'!J1650,10))</f>
        <v>#N/A</v>
      </c>
      <c r="U1650" s="118">
        <f t="shared" ref="U1650:U1700" si="167">+I1650*60</f>
        <v>0</v>
      </c>
    </row>
    <row r="1651" spans="1:21" x14ac:dyDescent="0.25">
      <c r="A1651" s="118">
        <f>+CUBICACION!D1645</f>
        <v>0</v>
      </c>
      <c r="B1651" s="819">
        <f>+CUBICACION!E1645</f>
        <v>0</v>
      </c>
      <c r="C1651" s="675">
        <f>+CUBICACION!F1645</f>
        <v>0</v>
      </c>
      <c r="D1651" s="118"/>
      <c r="E1651" s="118"/>
      <c r="F1651" s="820"/>
      <c r="G1651" s="675">
        <f>+CUBICACION!J1645</f>
        <v>0</v>
      </c>
      <c r="H1651" s="118"/>
      <c r="I1651" s="821">
        <f>+CUBICACION!L1645</f>
        <v>0</v>
      </c>
      <c r="J1651" s="64">
        <f>+CUBICACION!M1645</f>
        <v>0</v>
      </c>
      <c r="K1651" s="822">
        <f>+CUBICACION!N1645</f>
        <v>0</v>
      </c>
      <c r="L1651" s="118">
        <f>+CUBICACION!O1645</f>
        <v>0</v>
      </c>
      <c r="M1651" s="823">
        <f>+CUBICACION!P1645</f>
        <v>0</v>
      </c>
      <c r="N1651" s="902">
        <f>ROUND(IF(AND(L1651="Blaze Shield II",M1651="Software Idiem",C1651="IN",G1651=4),((('BLAZE SHIELD II'!$D$4*('CALCULO MORTERO'!I1651^2)+'BLAZE SHIELD II'!$D$5*'CALCULO MORTERO'!I1651+'BLAZE SHIELD II'!$D$6)*LN(J1651))+('BLAZE SHIELD II'!$D$7*('CALCULO MORTERO'!I1651^2)+'BLAZE SHIELD II'!$D$8*'CALCULO MORTERO'!I1651+'BLAZE SHIELD II'!$D$9)),0)+IF(AND(L1651="Blaze Shield II",M1651="Software Idiem",C1651="Cj"),((('BLAZE SHIELD II'!$H$4*('CALCULO MORTERO'!I1651^2)+'BLAZE SHIELD II'!$H$5*'CALCULO MORTERO'!I1651+'BLAZE SHIELD II'!$H$6)*LN(J1651))+('BLAZE SHIELD II'!$H$7*('CALCULO MORTERO'!I1651^2)+'BLAZE SHIELD II'!$H$8*'CALCULO MORTERO'!I1651+'BLAZE SHIELD II'!$H$9)),0)+IF(AND(L1651="Blaze Shield II",M1651="Software Idiem",C1651="C"),((('BLAZE SHIELD II'!$L$4*('CALCULO MORTERO'!I1651^2)+'BLAZE SHIELD II'!$L$5*'CALCULO MORTERO'!I1651+'BLAZE SHIELD II'!$L$6)*LN(J1651))+('BLAZE SHIELD II'!$L$7*('CALCULO MORTERO'!I1651^2)+'BLAZE SHIELD II'!$L$8*'CALCULO MORTERO'!I1651+'BLAZE SHIELD II'!$L$9)),0)+IF(AND(L1651="Blaze Shield II",M1651="Software Idiem",C1651="L"),((('BLAZE SHIELD II'!$L$4*('CALCULO MORTERO'!I1651^2)+'BLAZE SHIELD II'!$L$5*'CALCULO MORTERO'!I1651+'BLAZE SHIELD II'!$L$6)*LN(J1651))+('BLAZE SHIELD II'!$L$7*('CALCULO MORTERO'!I1651^2)+'BLAZE SHIELD II'!$L$8*'CALCULO MORTERO'!I1651+'BLAZE SHIELD II'!$L$9)),0)+IF(AND(L1651="Blaze Shield II",M1651="Software Idiem",C1651="IN",G1651=3),((('BLAZE SHIELD II'!$H$14*('CALCULO MORTERO'!I1651^2)+'BLAZE SHIELD II'!$H$15*'CALCULO MORTERO'!I1651+'BLAZE SHIELD II'!$H$16)*LN(J1651))+('BLAZE SHIELD II'!$H$17*('CALCULO MORTERO'!I1651^2)+'BLAZE SHIELD II'!$H$18*'CALCULO MORTERO'!I1651+'BLAZE SHIELD II'!$H$19)),0),0)+ROUND(IF(AND(L1651="Cafco 400",M1651="Software Idiem",C1651="IN",G1651=4),((('CAFCO 400 '!$H$7*(J1651^4)+'CAFCO 400 '!$H$8*(J1651^3)+'CAFCO 400 '!$H$9*(J1651^2)+'CAFCO 400 '!$H$10*J1651+'CAFCO 400 '!$H$11)*U1651^2)+(('CAFCO 400 '!$H$12*(J1651^3)+'CAFCO 400 '!$H$13*(J1651^2)+'CAFCO 400 '!$H$14*J1651+'CAFCO 400 '!$H$15)*U1651)+('CAFCO 400 '!$H$16*(J1651^2)+'CAFCO 400 '!$H$17*J1651+'CAFCO 400 '!$H$18)),0)+IF(AND(L1651="Cafco 400",M1651="Software Idiem",C1651="Cj"),(((('CAFCO 400 '!$D$7*LN(J1651)+'CAFCO 400 '!$D$8)*U1651^2)+(('CAFCO 400 '!$D$9*LN(J1651)+'CAFCO 400 '!$D$10)*U1651)+('CAFCO 400 '!$D$11*LN(J1651)+'CAFCO 400 '!$D$12))),0)+IF(AND(L1651="Cafco 400",M1651="Software Idiem",C1651="C"),((('CAFCO 400 '!$L$7*(J1651^3)+'CAFCO 400 '!$L$8*(J1651^2)+'CAFCO 400 '!$L$9*J1651+'CAFCO 400 '!$L$10)*U1651^2)+(('CAFCO 400 '!$L$11*(J1651^3)+'CAFCO 400 '!$L$12*(J1651^2)+'CAFCO 400 '!$L$13*J1651+'CAFCO 400 '!$L$14)*U1651)+('CAFCO 400 '!$L$15*LN(J1651)+'CAFCO 400 '!$L$16)),0)+IF(AND(L1651="Cafco 400",M1651="Software Idiem",C1651="L"),((('CAFCO 400 '!$L$7*(J1651^3)+'CAFCO 400 '!$L$8*(J1651^2)+'CAFCO 400 '!$L$9*J1651+'CAFCO 400 '!$L$10)*U1651^2)+(('CAFCO 400 '!$L$11*(J1651^3)+'CAFCO 400 '!$L$12*(J1651^2)+'CAFCO 400 '!$L$13*J1651+'CAFCO 400 '!$L$14)*U1651)+('CAFCO 400 '!$L$15*LN(J1651)+'CAFCO 400 '!$L$16)),0)+IF(AND(L1651="Cafco 400",M1651="Software Idiem",C1651="IN",G1651=3),((('CAFCO 400 '!$D$23*(J1651^2)+'CAFCO 400 '!$D$24*(J1651)+'CAFCO 400 '!$D$25)*U1651^2)+(('CAFCO 400 '!$D$26*(J1651^2)+'CAFCO 400 '!$D$27*J1651+'CAFCO 400 '!$D$28)*U1651)+('CAFCO 400 '!$D$29*(J1651^2)+'CAFCO 400 '!$D$30*J1651+'CAFCO 400 '!$D$31)),0),0)+IF(AND(L1651="Cafco 300",J1651&gt;=95,J1651&lt;=240,C1651="Cj",I1651=90),VLOOKUP(T1651,'CAFCO 300 IDIEM TABLAS'!$B$4:$D$23,2,FALSE),0)+IF(AND(L1651="Cafco 300",J1651&gt;=95,J1651&lt;=240,C1651="Cj",I1651=120),VLOOKUP(T1651,'CAFCO 300 IDIEM TABLAS'!$B$4:$D$23,3,FALSE),0)+IF(AND(L1651="Cafco 300",J1651&gt;=95,J1651&lt;=400,G1651=3,C1651="IN",I1651=90),VLOOKUP(T1651,'CAFCO 300 IDIEM TABLAS'!$F$4:$H$35,2,FALSE),0)+IF(AND(L1651="Cafco 300",J1651&gt;=95,J1651&lt;=400,G1651=3,C1651="IN",I1651=120),VLOOKUP(T1651,'CAFCO 300 IDIEM TABLAS'!$F$4:$H$35,3,FALSE),0)+IF(AND(L1651="Cafco 300",J1651&gt;=95,J1651&lt;=450,G1651=4,C1651="IN",I1651=90),VLOOKUP(T1651,'CAFCO 300 IDIEM TABLAS'!$J$4:$L$40,2,FALSE),0)+IF(AND(L1651="Cafco 300",J1651&gt;=95,J1651&lt;=450,G1651=4,C1651="IN",I1651=120),VLOOKUP(T1651,'CAFCO 300 IDIEM TABLAS'!$J$4:$L$40,3,FALSE),0)+IF(AND(M1651="Ensayo Idiem",L1651="Cafco 400",C1651="IN",G1651=4,I1651=90),VLOOKUP(T1651,'CAFCO 400 ENSAYO'!$B$7:$D$43,2,FALSE),0)+IF(AND(M1651="Ensayo Idiem",L1651="Cafco 400",C1651="IN",G1651=4,I1651=120),VLOOKUP(T1651,'CAFCO 400 ENSAYO'!$B$7:$D$43,3,FALSE),0)</f>
        <v>0</v>
      </c>
      <c r="O1651" s="96">
        <f t="shared" si="162"/>
        <v>0</v>
      </c>
      <c r="P1651" s="132" t="str">
        <f t="shared" si="163"/>
        <v>N/A</v>
      </c>
      <c r="Q1651" s="132" t="str">
        <f t="shared" si="164"/>
        <v>N/A</v>
      </c>
      <c r="R1651" s="132" t="str">
        <f t="shared" si="165"/>
        <v>NO CERT.</v>
      </c>
      <c r="S1651" s="132" t="e">
        <f t="shared" si="166"/>
        <v>#N/A</v>
      </c>
      <c r="T1651" s="133" t="e">
        <f>+IF(J1651=LOOKUP(J1651,'CAFCO 300 IDIEM TABLAS'!$J$4:$J$40),'CALCULO MORTERO'!J1651,MROUND('CALCULO MORTERO'!J1651,10))</f>
        <v>#N/A</v>
      </c>
      <c r="U1651" s="134">
        <f t="shared" si="167"/>
        <v>0</v>
      </c>
    </row>
    <row r="1652" spans="1:21" x14ac:dyDescent="0.25">
      <c r="A1652" s="118">
        <f>+CUBICACION!D1646</f>
        <v>0</v>
      </c>
      <c r="B1652" s="819">
        <f>+CUBICACION!E1646</f>
        <v>0</v>
      </c>
      <c r="C1652" s="675">
        <f>+CUBICACION!F1646</f>
        <v>0</v>
      </c>
      <c r="D1652" s="118"/>
      <c r="E1652" s="118"/>
      <c r="F1652" s="820"/>
      <c r="G1652" s="675">
        <f>+CUBICACION!J1646</f>
        <v>0</v>
      </c>
      <c r="H1652" s="118"/>
      <c r="I1652" s="821">
        <f>+CUBICACION!L1646</f>
        <v>0</v>
      </c>
      <c r="J1652" s="64">
        <f>+CUBICACION!M1646</f>
        <v>0</v>
      </c>
      <c r="K1652" s="822">
        <f>+CUBICACION!N1646</f>
        <v>0</v>
      </c>
      <c r="L1652" s="118">
        <f>+CUBICACION!O1646</f>
        <v>0</v>
      </c>
      <c r="M1652" s="823">
        <f>+CUBICACION!P1646</f>
        <v>0</v>
      </c>
      <c r="N1652" s="902">
        <f>ROUND(IF(AND(L1652="Blaze Shield II",M1652="Software Idiem",C1652="IN",G1652=4),((('BLAZE SHIELD II'!$D$4*('CALCULO MORTERO'!I1652^2)+'BLAZE SHIELD II'!$D$5*'CALCULO MORTERO'!I1652+'BLAZE SHIELD II'!$D$6)*LN(J1652))+('BLAZE SHIELD II'!$D$7*('CALCULO MORTERO'!I1652^2)+'BLAZE SHIELD II'!$D$8*'CALCULO MORTERO'!I1652+'BLAZE SHIELD II'!$D$9)),0)+IF(AND(L1652="Blaze Shield II",M1652="Software Idiem",C1652="Cj"),((('BLAZE SHIELD II'!$H$4*('CALCULO MORTERO'!I1652^2)+'BLAZE SHIELD II'!$H$5*'CALCULO MORTERO'!I1652+'BLAZE SHIELD II'!$H$6)*LN(J1652))+('BLAZE SHIELD II'!$H$7*('CALCULO MORTERO'!I1652^2)+'BLAZE SHIELD II'!$H$8*'CALCULO MORTERO'!I1652+'BLAZE SHIELD II'!$H$9)),0)+IF(AND(L1652="Blaze Shield II",M1652="Software Idiem",C1652="C"),((('BLAZE SHIELD II'!$L$4*('CALCULO MORTERO'!I1652^2)+'BLAZE SHIELD II'!$L$5*'CALCULO MORTERO'!I1652+'BLAZE SHIELD II'!$L$6)*LN(J1652))+('BLAZE SHIELD II'!$L$7*('CALCULO MORTERO'!I1652^2)+'BLAZE SHIELD II'!$L$8*'CALCULO MORTERO'!I1652+'BLAZE SHIELD II'!$L$9)),0)+IF(AND(L1652="Blaze Shield II",M1652="Software Idiem",C1652="L"),((('BLAZE SHIELD II'!$L$4*('CALCULO MORTERO'!I1652^2)+'BLAZE SHIELD II'!$L$5*'CALCULO MORTERO'!I1652+'BLAZE SHIELD II'!$L$6)*LN(J1652))+('BLAZE SHIELD II'!$L$7*('CALCULO MORTERO'!I1652^2)+'BLAZE SHIELD II'!$L$8*'CALCULO MORTERO'!I1652+'BLAZE SHIELD II'!$L$9)),0)+IF(AND(L1652="Blaze Shield II",M1652="Software Idiem",C1652="IN",G1652=3),((('BLAZE SHIELD II'!$H$14*('CALCULO MORTERO'!I1652^2)+'BLAZE SHIELD II'!$H$15*'CALCULO MORTERO'!I1652+'BLAZE SHIELD II'!$H$16)*LN(J1652))+('BLAZE SHIELD II'!$H$17*('CALCULO MORTERO'!I1652^2)+'BLAZE SHIELD II'!$H$18*'CALCULO MORTERO'!I1652+'BLAZE SHIELD II'!$H$19)),0),0)+ROUND(IF(AND(L1652="Cafco 400",M1652="Software Idiem",C1652="IN",G1652=4),((('CAFCO 400 '!$H$7*(J1652^4)+'CAFCO 400 '!$H$8*(J1652^3)+'CAFCO 400 '!$H$9*(J1652^2)+'CAFCO 400 '!$H$10*J1652+'CAFCO 400 '!$H$11)*U1652^2)+(('CAFCO 400 '!$H$12*(J1652^3)+'CAFCO 400 '!$H$13*(J1652^2)+'CAFCO 400 '!$H$14*J1652+'CAFCO 400 '!$H$15)*U1652)+('CAFCO 400 '!$H$16*(J1652^2)+'CAFCO 400 '!$H$17*J1652+'CAFCO 400 '!$H$18)),0)+IF(AND(L1652="Cafco 400",M1652="Software Idiem",C1652="Cj"),(((('CAFCO 400 '!$D$7*LN(J1652)+'CAFCO 400 '!$D$8)*U1652^2)+(('CAFCO 400 '!$D$9*LN(J1652)+'CAFCO 400 '!$D$10)*U1652)+('CAFCO 400 '!$D$11*LN(J1652)+'CAFCO 400 '!$D$12))),0)+IF(AND(L1652="Cafco 400",M1652="Software Idiem",C1652="C"),((('CAFCO 400 '!$L$7*(J1652^3)+'CAFCO 400 '!$L$8*(J1652^2)+'CAFCO 400 '!$L$9*J1652+'CAFCO 400 '!$L$10)*U1652^2)+(('CAFCO 400 '!$L$11*(J1652^3)+'CAFCO 400 '!$L$12*(J1652^2)+'CAFCO 400 '!$L$13*J1652+'CAFCO 400 '!$L$14)*U1652)+('CAFCO 400 '!$L$15*LN(J1652)+'CAFCO 400 '!$L$16)),0)+IF(AND(L1652="Cafco 400",M1652="Software Idiem",C1652="L"),((('CAFCO 400 '!$L$7*(J1652^3)+'CAFCO 400 '!$L$8*(J1652^2)+'CAFCO 400 '!$L$9*J1652+'CAFCO 400 '!$L$10)*U1652^2)+(('CAFCO 400 '!$L$11*(J1652^3)+'CAFCO 400 '!$L$12*(J1652^2)+'CAFCO 400 '!$L$13*J1652+'CAFCO 400 '!$L$14)*U1652)+('CAFCO 400 '!$L$15*LN(J1652)+'CAFCO 400 '!$L$16)),0)+IF(AND(L1652="Cafco 400",M1652="Software Idiem",C1652="IN",G1652=3),((('CAFCO 400 '!$D$23*(J1652^2)+'CAFCO 400 '!$D$24*(J1652)+'CAFCO 400 '!$D$25)*U1652^2)+(('CAFCO 400 '!$D$26*(J1652^2)+'CAFCO 400 '!$D$27*J1652+'CAFCO 400 '!$D$28)*U1652)+('CAFCO 400 '!$D$29*(J1652^2)+'CAFCO 400 '!$D$30*J1652+'CAFCO 400 '!$D$31)),0),0)+IF(AND(L1652="Cafco 300",J1652&gt;=95,J1652&lt;=240,C1652="Cj",I1652=90),VLOOKUP(T1652,'CAFCO 300 IDIEM TABLAS'!$B$4:$D$23,2,FALSE),0)+IF(AND(L1652="Cafco 300",J1652&gt;=95,J1652&lt;=240,C1652="Cj",I1652=120),VLOOKUP(T1652,'CAFCO 300 IDIEM TABLAS'!$B$4:$D$23,3,FALSE),0)+IF(AND(L1652="Cafco 300",J1652&gt;=95,J1652&lt;=400,G1652=3,C1652="IN",I1652=90),VLOOKUP(T1652,'CAFCO 300 IDIEM TABLAS'!$F$4:$H$35,2,FALSE),0)+IF(AND(L1652="Cafco 300",J1652&gt;=95,J1652&lt;=400,G1652=3,C1652="IN",I1652=120),VLOOKUP(T1652,'CAFCO 300 IDIEM TABLAS'!$F$4:$H$35,3,FALSE),0)+IF(AND(L1652="Cafco 300",J1652&gt;=95,J1652&lt;=450,G1652=4,C1652="IN",I1652=90),VLOOKUP(T1652,'CAFCO 300 IDIEM TABLAS'!$J$4:$L$40,2,FALSE),0)+IF(AND(L1652="Cafco 300",J1652&gt;=95,J1652&lt;=450,G1652=4,C1652="IN",I1652=120),VLOOKUP(T1652,'CAFCO 300 IDIEM TABLAS'!$J$4:$L$40,3,FALSE),0)+IF(AND(M1652="Ensayo Idiem",L1652="Cafco 400",C1652="IN",G1652=4,I1652=90),VLOOKUP(T1652,'CAFCO 400 ENSAYO'!$B$7:$D$43,2,FALSE),0)+IF(AND(M1652="Ensayo Idiem",L1652="Cafco 400",C1652="IN",G1652=4,I1652=120),VLOOKUP(T1652,'CAFCO 400 ENSAYO'!$B$7:$D$43,3,FALSE),0)</f>
        <v>0</v>
      </c>
      <c r="O1652" s="96">
        <f t="shared" si="162"/>
        <v>0</v>
      </c>
      <c r="P1652" s="95" t="str">
        <f t="shared" si="163"/>
        <v>N/A</v>
      </c>
      <c r="Q1652" s="95" t="str">
        <f t="shared" si="164"/>
        <v>N/A</v>
      </c>
      <c r="R1652" s="95" t="str">
        <f t="shared" si="165"/>
        <v>NO CERT.</v>
      </c>
      <c r="S1652" s="95" t="e">
        <f t="shared" si="166"/>
        <v>#N/A</v>
      </c>
      <c r="T1652" s="119" t="e">
        <f>+IF(J1652=LOOKUP(J1652,'CAFCO 300 IDIEM TABLAS'!$J$4:$J$40),'CALCULO MORTERO'!J1652,MROUND('CALCULO MORTERO'!J1652,10))</f>
        <v>#N/A</v>
      </c>
      <c r="U1652" s="118">
        <f t="shared" si="167"/>
        <v>0</v>
      </c>
    </row>
    <row r="1653" spans="1:21" x14ac:dyDescent="0.25">
      <c r="A1653" s="118">
        <f>+CUBICACION!D1647</f>
        <v>0</v>
      </c>
      <c r="B1653" s="819">
        <f>+CUBICACION!E1647</f>
        <v>0</v>
      </c>
      <c r="C1653" s="675">
        <f>+CUBICACION!F1647</f>
        <v>0</v>
      </c>
      <c r="D1653" s="118"/>
      <c r="E1653" s="118"/>
      <c r="F1653" s="820"/>
      <c r="G1653" s="675">
        <f>+CUBICACION!J1647</f>
        <v>0</v>
      </c>
      <c r="H1653" s="118"/>
      <c r="I1653" s="821">
        <f>+CUBICACION!L1647</f>
        <v>0</v>
      </c>
      <c r="J1653" s="64">
        <f>+CUBICACION!M1647</f>
        <v>0</v>
      </c>
      <c r="K1653" s="822">
        <f>+CUBICACION!N1647</f>
        <v>0</v>
      </c>
      <c r="L1653" s="118">
        <f>+CUBICACION!O1647</f>
        <v>0</v>
      </c>
      <c r="M1653" s="823">
        <f>+CUBICACION!P1647</f>
        <v>0</v>
      </c>
      <c r="N1653" s="902">
        <f>ROUND(IF(AND(L1653="Blaze Shield II",M1653="Software Idiem",C1653="IN",G1653=4),((('BLAZE SHIELD II'!$D$4*('CALCULO MORTERO'!I1653^2)+'BLAZE SHIELD II'!$D$5*'CALCULO MORTERO'!I1653+'BLAZE SHIELD II'!$D$6)*LN(J1653))+('BLAZE SHIELD II'!$D$7*('CALCULO MORTERO'!I1653^2)+'BLAZE SHIELD II'!$D$8*'CALCULO MORTERO'!I1653+'BLAZE SHIELD II'!$D$9)),0)+IF(AND(L1653="Blaze Shield II",M1653="Software Idiem",C1653="Cj"),((('BLAZE SHIELD II'!$H$4*('CALCULO MORTERO'!I1653^2)+'BLAZE SHIELD II'!$H$5*'CALCULO MORTERO'!I1653+'BLAZE SHIELD II'!$H$6)*LN(J1653))+('BLAZE SHIELD II'!$H$7*('CALCULO MORTERO'!I1653^2)+'BLAZE SHIELD II'!$H$8*'CALCULO MORTERO'!I1653+'BLAZE SHIELD II'!$H$9)),0)+IF(AND(L1653="Blaze Shield II",M1653="Software Idiem",C1653="C"),((('BLAZE SHIELD II'!$L$4*('CALCULO MORTERO'!I1653^2)+'BLAZE SHIELD II'!$L$5*'CALCULO MORTERO'!I1653+'BLAZE SHIELD II'!$L$6)*LN(J1653))+('BLAZE SHIELD II'!$L$7*('CALCULO MORTERO'!I1653^2)+'BLAZE SHIELD II'!$L$8*'CALCULO MORTERO'!I1653+'BLAZE SHIELD II'!$L$9)),0)+IF(AND(L1653="Blaze Shield II",M1653="Software Idiem",C1653="L"),((('BLAZE SHIELD II'!$L$4*('CALCULO MORTERO'!I1653^2)+'BLAZE SHIELD II'!$L$5*'CALCULO MORTERO'!I1653+'BLAZE SHIELD II'!$L$6)*LN(J1653))+('BLAZE SHIELD II'!$L$7*('CALCULO MORTERO'!I1653^2)+'BLAZE SHIELD II'!$L$8*'CALCULO MORTERO'!I1653+'BLAZE SHIELD II'!$L$9)),0)+IF(AND(L1653="Blaze Shield II",M1653="Software Idiem",C1653="IN",G1653=3),((('BLAZE SHIELD II'!$H$14*('CALCULO MORTERO'!I1653^2)+'BLAZE SHIELD II'!$H$15*'CALCULO MORTERO'!I1653+'BLAZE SHIELD II'!$H$16)*LN(J1653))+('BLAZE SHIELD II'!$H$17*('CALCULO MORTERO'!I1653^2)+'BLAZE SHIELD II'!$H$18*'CALCULO MORTERO'!I1653+'BLAZE SHIELD II'!$H$19)),0),0)+ROUND(IF(AND(L1653="Cafco 400",M1653="Software Idiem",C1653="IN",G1653=4),((('CAFCO 400 '!$H$7*(J1653^4)+'CAFCO 400 '!$H$8*(J1653^3)+'CAFCO 400 '!$H$9*(J1653^2)+'CAFCO 400 '!$H$10*J1653+'CAFCO 400 '!$H$11)*U1653^2)+(('CAFCO 400 '!$H$12*(J1653^3)+'CAFCO 400 '!$H$13*(J1653^2)+'CAFCO 400 '!$H$14*J1653+'CAFCO 400 '!$H$15)*U1653)+('CAFCO 400 '!$H$16*(J1653^2)+'CAFCO 400 '!$H$17*J1653+'CAFCO 400 '!$H$18)),0)+IF(AND(L1653="Cafco 400",M1653="Software Idiem",C1653="Cj"),(((('CAFCO 400 '!$D$7*LN(J1653)+'CAFCO 400 '!$D$8)*U1653^2)+(('CAFCO 400 '!$D$9*LN(J1653)+'CAFCO 400 '!$D$10)*U1653)+('CAFCO 400 '!$D$11*LN(J1653)+'CAFCO 400 '!$D$12))),0)+IF(AND(L1653="Cafco 400",M1653="Software Idiem",C1653="C"),((('CAFCO 400 '!$L$7*(J1653^3)+'CAFCO 400 '!$L$8*(J1653^2)+'CAFCO 400 '!$L$9*J1653+'CAFCO 400 '!$L$10)*U1653^2)+(('CAFCO 400 '!$L$11*(J1653^3)+'CAFCO 400 '!$L$12*(J1653^2)+'CAFCO 400 '!$L$13*J1653+'CAFCO 400 '!$L$14)*U1653)+('CAFCO 400 '!$L$15*LN(J1653)+'CAFCO 400 '!$L$16)),0)+IF(AND(L1653="Cafco 400",M1653="Software Idiem",C1653="L"),((('CAFCO 400 '!$L$7*(J1653^3)+'CAFCO 400 '!$L$8*(J1653^2)+'CAFCO 400 '!$L$9*J1653+'CAFCO 400 '!$L$10)*U1653^2)+(('CAFCO 400 '!$L$11*(J1653^3)+'CAFCO 400 '!$L$12*(J1653^2)+'CAFCO 400 '!$L$13*J1653+'CAFCO 400 '!$L$14)*U1653)+('CAFCO 400 '!$L$15*LN(J1653)+'CAFCO 400 '!$L$16)),0)+IF(AND(L1653="Cafco 400",M1653="Software Idiem",C1653="IN",G1653=3),((('CAFCO 400 '!$D$23*(J1653^2)+'CAFCO 400 '!$D$24*(J1653)+'CAFCO 400 '!$D$25)*U1653^2)+(('CAFCO 400 '!$D$26*(J1653^2)+'CAFCO 400 '!$D$27*J1653+'CAFCO 400 '!$D$28)*U1653)+('CAFCO 400 '!$D$29*(J1653^2)+'CAFCO 400 '!$D$30*J1653+'CAFCO 400 '!$D$31)),0),0)+IF(AND(L1653="Cafco 300",J1653&gt;=95,J1653&lt;=240,C1653="Cj",I1653=90),VLOOKUP(T1653,'CAFCO 300 IDIEM TABLAS'!$B$4:$D$23,2,FALSE),0)+IF(AND(L1653="Cafco 300",J1653&gt;=95,J1653&lt;=240,C1653="Cj",I1653=120),VLOOKUP(T1653,'CAFCO 300 IDIEM TABLAS'!$B$4:$D$23,3,FALSE),0)+IF(AND(L1653="Cafco 300",J1653&gt;=95,J1653&lt;=400,G1653=3,C1653="IN",I1653=90),VLOOKUP(T1653,'CAFCO 300 IDIEM TABLAS'!$F$4:$H$35,2,FALSE),0)+IF(AND(L1653="Cafco 300",J1653&gt;=95,J1653&lt;=400,G1653=3,C1653="IN",I1653=120),VLOOKUP(T1653,'CAFCO 300 IDIEM TABLAS'!$F$4:$H$35,3,FALSE),0)+IF(AND(L1653="Cafco 300",J1653&gt;=95,J1653&lt;=450,G1653=4,C1653="IN",I1653=90),VLOOKUP(T1653,'CAFCO 300 IDIEM TABLAS'!$J$4:$L$40,2,FALSE),0)+IF(AND(L1653="Cafco 300",J1653&gt;=95,J1653&lt;=450,G1653=4,C1653="IN",I1653=120),VLOOKUP(T1653,'CAFCO 300 IDIEM TABLAS'!$J$4:$L$40,3,FALSE),0)+IF(AND(M1653="Ensayo Idiem",L1653="Cafco 400",C1653="IN",G1653=4,I1653=90),VLOOKUP(T1653,'CAFCO 400 ENSAYO'!$B$7:$D$43,2,FALSE),0)+IF(AND(M1653="Ensayo Idiem",L1653="Cafco 400",C1653="IN",G1653=4,I1653=120),VLOOKUP(T1653,'CAFCO 400 ENSAYO'!$B$7:$D$43,3,FALSE),0)</f>
        <v>0</v>
      </c>
      <c r="O1653" s="96">
        <f t="shared" si="162"/>
        <v>0</v>
      </c>
      <c r="P1653" s="132" t="str">
        <f t="shared" si="163"/>
        <v>N/A</v>
      </c>
      <c r="Q1653" s="132" t="str">
        <f t="shared" si="164"/>
        <v>N/A</v>
      </c>
      <c r="R1653" s="132" t="str">
        <f t="shared" si="165"/>
        <v>NO CERT.</v>
      </c>
      <c r="S1653" s="132" t="e">
        <f t="shared" si="166"/>
        <v>#N/A</v>
      </c>
      <c r="T1653" s="133" t="e">
        <f>+IF(J1653=LOOKUP(J1653,'CAFCO 300 IDIEM TABLAS'!$J$4:$J$40),'CALCULO MORTERO'!J1653,MROUND('CALCULO MORTERO'!J1653,10))</f>
        <v>#N/A</v>
      </c>
      <c r="U1653" s="134">
        <f t="shared" si="167"/>
        <v>0</v>
      </c>
    </row>
    <row r="1654" spans="1:21" x14ac:dyDescent="0.25">
      <c r="A1654" s="118">
        <f>+CUBICACION!D1648</f>
        <v>0</v>
      </c>
      <c r="B1654" s="819">
        <f>+CUBICACION!E1648</f>
        <v>0</v>
      </c>
      <c r="C1654" s="675">
        <f>+CUBICACION!F1648</f>
        <v>0</v>
      </c>
      <c r="D1654" s="118"/>
      <c r="E1654" s="118"/>
      <c r="F1654" s="820"/>
      <c r="G1654" s="675">
        <f>+CUBICACION!J1648</f>
        <v>0</v>
      </c>
      <c r="H1654" s="118"/>
      <c r="I1654" s="821">
        <f>+CUBICACION!L1648</f>
        <v>0</v>
      </c>
      <c r="J1654" s="64">
        <f>+CUBICACION!M1648</f>
        <v>0</v>
      </c>
      <c r="K1654" s="822">
        <f>+CUBICACION!N1648</f>
        <v>0</v>
      </c>
      <c r="L1654" s="118">
        <f>+CUBICACION!O1648</f>
        <v>0</v>
      </c>
      <c r="M1654" s="823">
        <f>+CUBICACION!P1648</f>
        <v>0</v>
      </c>
      <c r="N1654" s="902">
        <f>ROUND(IF(AND(L1654="Blaze Shield II",M1654="Software Idiem",C1654="IN",G1654=4),((('BLAZE SHIELD II'!$D$4*('CALCULO MORTERO'!I1654^2)+'BLAZE SHIELD II'!$D$5*'CALCULO MORTERO'!I1654+'BLAZE SHIELD II'!$D$6)*LN(J1654))+('BLAZE SHIELD II'!$D$7*('CALCULO MORTERO'!I1654^2)+'BLAZE SHIELD II'!$D$8*'CALCULO MORTERO'!I1654+'BLAZE SHIELD II'!$D$9)),0)+IF(AND(L1654="Blaze Shield II",M1654="Software Idiem",C1654="Cj"),((('BLAZE SHIELD II'!$H$4*('CALCULO MORTERO'!I1654^2)+'BLAZE SHIELD II'!$H$5*'CALCULO MORTERO'!I1654+'BLAZE SHIELD II'!$H$6)*LN(J1654))+('BLAZE SHIELD II'!$H$7*('CALCULO MORTERO'!I1654^2)+'BLAZE SHIELD II'!$H$8*'CALCULO MORTERO'!I1654+'BLAZE SHIELD II'!$H$9)),0)+IF(AND(L1654="Blaze Shield II",M1654="Software Idiem",C1654="C"),((('BLAZE SHIELD II'!$L$4*('CALCULO MORTERO'!I1654^2)+'BLAZE SHIELD II'!$L$5*'CALCULO MORTERO'!I1654+'BLAZE SHIELD II'!$L$6)*LN(J1654))+('BLAZE SHIELD II'!$L$7*('CALCULO MORTERO'!I1654^2)+'BLAZE SHIELD II'!$L$8*'CALCULO MORTERO'!I1654+'BLAZE SHIELD II'!$L$9)),0)+IF(AND(L1654="Blaze Shield II",M1654="Software Idiem",C1654="L"),((('BLAZE SHIELD II'!$L$4*('CALCULO MORTERO'!I1654^2)+'BLAZE SHIELD II'!$L$5*'CALCULO MORTERO'!I1654+'BLAZE SHIELD II'!$L$6)*LN(J1654))+('BLAZE SHIELD II'!$L$7*('CALCULO MORTERO'!I1654^2)+'BLAZE SHIELD II'!$L$8*'CALCULO MORTERO'!I1654+'BLAZE SHIELD II'!$L$9)),0)+IF(AND(L1654="Blaze Shield II",M1654="Software Idiem",C1654="IN",G1654=3),((('BLAZE SHIELD II'!$H$14*('CALCULO MORTERO'!I1654^2)+'BLAZE SHIELD II'!$H$15*'CALCULO MORTERO'!I1654+'BLAZE SHIELD II'!$H$16)*LN(J1654))+('BLAZE SHIELD II'!$H$17*('CALCULO MORTERO'!I1654^2)+'BLAZE SHIELD II'!$H$18*'CALCULO MORTERO'!I1654+'BLAZE SHIELD II'!$H$19)),0),0)+ROUND(IF(AND(L1654="Cafco 400",M1654="Software Idiem",C1654="IN",G1654=4),((('CAFCO 400 '!$H$7*(J1654^4)+'CAFCO 400 '!$H$8*(J1654^3)+'CAFCO 400 '!$H$9*(J1654^2)+'CAFCO 400 '!$H$10*J1654+'CAFCO 400 '!$H$11)*U1654^2)+(('CAFCO 400 '!$H$12*(J1654^3)+'CAFCO 400 '!$H$13*(J1654^2)+'CAFCO 400 '!$H$14*J1654+'CAFCO 400 '!$H$15)*U1654)+('CAFCO 400 '!$H$16*(J1654^2)+'CAFCO 400 '!$H$17*J1654+'CAFCO 400 '!$H$18)),0)+IF(AND(L1654="Cafco 400",M1654="Software Idiem",C1654="Cj"),(((('CAFCO 400 '!$D$7*LN(J1654)+'CAFCO 400 '!$D$8)*U1654^2)+(('CAFCO 400 '!$D$9*LN(J1654)+'CAFCO 400 '!$D$10)*U1654)+('CAFCO 400 '!$D$11*LN(J1654)+'CAFCO 400 '!$D$12))),0)+IF(AND(L1654="Cafco 400",M1654="Software Idiem",C1654="C"),((('CAFCO 400 '!$L$7*(J1654^3)+'CAFCO 400 '!$L$8*(J1654^2)+'CAFCO 400 '!$L$9*J1654+'CAFCO 400 '!$L$10)*U1654^2)+(('CAFCO 400 '!$L$11*(J1654^3)+'CAFCO 400 '!$L$12*(J1654^2)+'CAFCO 400 '!$L$13*J1654+'CAFCO 400 '!$L$14)*U1654)+('CAFCO 400 '!$L$15*LN(J1654)+'CAFCO 400 '!$L$16)),0)+IF(AND(L1654="Cafco 400",M1654="Software Idiem",C1654="L"),((('CAFCO 400 '!$L$7*(J1654^3)+'CAFCO 400 '!$L$8*(J1654^2)+'CAFCO 400 '!$L$9*J1654+'CAFCO 400 '!$L$10)*U1654^2)+(('CAFCO 400 '!$L$11*(J1654^3)+'CAFCO 400 '!$L$12*(J1654^2)+'CAFCO 400 '!$L$13*J1654+'CAFCO 400 '!$L$14)*U1654)+('CAFCO 400 '!$L$15*LN(J1654)+'CAFCO 400 '!$L$16)),0)+IF(AND(L1654="Cafco 400",M1654="Software Idiem",C1654="IN",G1654=3),((('CAFCO 400 '!$D$23*(J1654^2)+'CAFCO 400 '!$D$24*(J1654)+'CAFCO 400 '!$D$25)*U1654^2)+(('CAFCO 400 '!$D$26*(J1654^2)+'CAFCO 400 '!$D$27*J1654+'CAFCO 400 '!$D$28)*U1654)+('CAFCO 400 '!$D$29*(J1654^2)+'CAFCO 400 '!$D$30*J1654+'CAFCO 400 '!$D$31)),0),0)+IF(AND(L1654="Cafco 300",J1654&gt;=95,J1654&lt;=240,C1654="Cj",I1654=90),VLOOKUP(T1654,'CAFCO 300 IDIEM TABLAS'!$B$4:$D$23,2,FALSE),0)+IF(AND(L1654="Cafco 300",J1654&gt;=95,J1654&lt;=240,C1654="Cj",I1654=120),VLOOKUP(T1654,'CAFCO 300 IDIEM TABLAS'!$B$4:$D$23,3,FALSE),0)+IF(AND(L1654="Cafco 300",J1654&gt;=95,J1654&lt;=400,G1654=3,C1654="IN",I1654=90),VLOOKUP(T1654,'CAFCO 300 IDIEM TABLAS'!$F$4:$H$35,2,FALSE),0)+IF(AND(L1654="Cafco 300",J1654&gt;=95,J1654&lt;=400,G1654=3,C1654="IN",I1654=120),VLOOKUP(T1654,'CAFCO 300 IDIEM TABLAS'!$F$4:$H$35,3,FALSE),0)+IF(AND(L1654="Cafco 300",J1654&gt;=95,J1654&lt;=450,G1654=4,C1654="IN",I1654=90),VLOOKUP(T1654,'CAFCO 300 IDIEM TABLAS'!$J$4:$L$40,2,FALSE),0)+IF(AND(L1654="Cafco 300",J1654&gt;=95,J1654&lt;=450,G1654=4,C1654="IN",I1654=120),VLOOKUP(T1654,'CAFCO 300 IDIEM TABLAS'!$J$4:$L$40,3,FALSE),0)+IF(AND(M1654="Ensayo Idiem",L1654="Cafco 400",C1654="IN",G1654=4,I1654=90),VLOOKUP(T1654,'CAFCO 400 ENSAYO'!$B$7:$D$43,2,FALSE),0)+IF(AND(M1654="Ensayo Idiem",L1654="Cafco 400",C1654="IN",G1654=4,I1654=120),VLOOKUP(T1654,'CAFCO 400 ENSAYO'!$B$7:$D$43,3,FALSE),0)</f>
        <v>0</v>
      </c>
      <c r="O1654" s="96">
        <f t="shared" si="162"/>
        <v>0</v>
      </c>
      <c r="P1654" s="95" t="str">
        <f t="shared" si="163"/>
        <v>N/A</v>
      </c>
      <c r="Q1654" s="95" t="str">
        <f t="shared" si="164"/>
        <v>N/A</v>
      </c>
      <c r="R1654" s="95" t="str">
        <f t="shared" si="165"/>
        <v>NO CERT.</v>
      </c>
      <c r="S1654" s="95" t="e">
        <f t="shared" si="166"/>
        <v>#N/A</v>
      </c>
      <c r="T1654" s="119" t="e">
        <f>+IF(J1654=LOOKUP(J1654,'CAFCO 300 IDIEM TABLAS'!$J$4:$J$40),'CALCULO MORTERO'!J1654,MROUND('CALCULO MORTERO'!J1654,10))</f>
        <v>#N/A</v>
      </c>
      <c r="U1654" s="118">
        <f t="shared" si="167"/>
        <v>0</v>
      </c>
    </row>
    <row r="1655" spans="1:21" x14ac:dyDescent="0.25">
      <c r="A1655" s="118">
        <f>+CUBICACION!D1649</f>
        <v>0</v>
      </c>
      <c r="B1655" s="819">
        <f>+CUBICACION!E1649</f>
        <v>0</v>
      </c>
      <c r="C1655" s="675">
        <f>+CUBICACION!F1649</f>
        <v>0</v>
      </c>
      <c r="D1655" s="118"/>
      <c r="E1655" s="118"/>
      <c r="F1655" s="820"/>
      <c r="G1655" s="675">
        <f>+CUBICACION!J1649</f>
        <v>0</v>
      </c>
      <c r="H1655" s="118"/>
      <c r="I1655" s="821">
        <f>+CUBICACION!L1649</f>
        <v>0</v>
      </c>
      <c r="J1655" s="64">
        <f>+CUBICACION!M1649</f>
        <v>0</v>
      </c>
      <c r="K1655" s="822">
        <f>+CUBICACION!N1649</f>
        <v>0</v>
      </c>
      <c r="L1655" s="118">
        <f>+CUBICACION!O1649</f>
        <v>0</v>
      </c>
      <c r="M1655" s="823">
        <f>+CUBICACION!P1649</f>
        <v>0</v>
      </c>
      <c r="N1655" s="902">
        <f>ROUND(IF(AND(L1655="Blaze Shield II",M1655="Software Idiem",C1655="IN",G1655=4),((('BLAZE SHIELD II'!$D$4*('CALCULO MORTERO'!I1655^2)+'BLAZE SHIELD II'!$D$5*'CALCULO MORTERO'!I1655+'BLAZE SHIELD II'!$D$6)*LN(J1655))+('BLAZE SHIELD II'!$D$7*('CALCULO MORTERO'!I1655^2)+'BLAZE SHIELD II'!$D$8*'CALCULO MORTERO'!I1655+'BLAZE SHIELD II'!$D$9)),0)+IF(AND(L1655="Blaze Shield II",M1655="Software Idiem",C1655="Cj"),((('BLAZE SHIELD II'!$H$4*('CALCULO MORTERO'!I1655^2)+'BLAZE SHIELD II'!$H$5*'CALCULO MORTERO'!I1655+'BLAZE SHIELD II'!$H$6)*LN(J1655))+('BLAZE SHIELD II'!$H$7*('CALCULO MORTERO'!I1655^2)+'BLAZE SHIELD II'!$H$8*'CALCULO MORTERO'!I1655+'BLAZE SHIELD II'!$H$9)),0)+IF(AND(L1655="Blaze Shield II",M1655="Software Idiem",C1655="C"),((('BLAZE SHIELD II'!$L$4*('CALCULO MORTERO'!I1655^2)+'BLAZE SHIELD II'!$L$5*'CALCULO MORTERO'!I1655+'BLAZE SHIELD II'!$L$6)*LN(J1655))+('BLAZE SHIELD II'!$L$7*('CALCULO MORTERO'!I1655^2)+'BLAZE SHIELD II'!$L$8*'CALCULO MORTERO'!I1655+'BLAZE SHIELD II'!$L$9)),0)+IF(AND(L1655="Blaze Shield II",M1655="Software Idiem",C1655="L"),((('BLAZE SHIELD II'!$L$4*('CALCULO MORTERO'!I1655^2)+'BLAZE SHIELD II'!$L$5*'CALCULO MORTERO'!I1655+'BLAZE SHIELD II'!$L$6)*LN(J1655))+('BLAZE SHIELD II'!$L$7*('CALCULO MORTERO'!I1655^2)+'BLAZE SHIELD II'!$L$8*'CALCULO MORTERO'!I1655+'BLAZE SHIELD II'!$L$9)),0)+IF(AND(L1655="Blaze Shield II",M1655="Software Idiem",C1655="IN",G1655=3),((('BLAZE SHIELD II'!$H$14*('CALCULO MORTERO'!I1655^2)+'BLAZE SHIELD II'!$H$15*'CALCULO MORTERO'!I1655+'BLAZE SHIELD II'!$H$16)*LN(J1655))+('BLAZE SHIELD II'!$H$17*('CALCULO MORTERO'!I1655^2)+'BLAZE SHIELD II'!$H$18*'CALCULO MORTERO'!I1655+'BLAZE SHIELD II'!$H$19)),0),0)+ROUND(IF(AND(L1655="Cafco 400",M1655="Software Idiem",C1655="IN",G1655=4),((('CAFCO 400 '!$H$7*(J1655^4)+'CAFCO 400 '!$H$8*(J1655^3)+'CAFCO 400 '!$H$9*(J1655^2)+'CAFCO 400 '!$H$10*J1655+'CAFCO 400 '!$H$11)*U1655^2)+(('CAFCO 400 '!$H$12*(J1655^3)+'CAFCO 400 '!$H$13*(J1655^2)+'CAFCO 400 '!$H$14*J1655+'CAFCO 400 '!$H$15)*U1655)+('CAFCO 400 '!$H$16*(J1655^2)+'CAFCO 400 '!$H$17*J1655+'CAFCO 400 '!$H$18)),0)+IF(AND(L1655="Cafco 400",M1655="Software Idiem",C1655="Cj"),(((('CAFCO 400 '!$D$7*LN(J1655)+'CAFCO 400 '!$D$8)*U1655^2)+(('CAFCO 400 '!$D$9*LN(J1655)+'CAFCO 400 '!$D$10)*U1655)+('CAFCO 400 '!$D$11*LN(J1655)+'CAFCO 400 '!$D$12))),0)+IF(AND(L1655="Cafco 400",M1655="Software Idiem",C1655="C"),((('CAFCO 400 '!$L$7*(J1655^3)+'CAFCO 400 '!$L$8*(J1655^2)+'CAFCO 400 '!$L$9*J1655+'CAFCO 400 '!$L$10)*U1655^2)+(('CAFCO 400 '!$L$11*(J1655^3)+'CAFCO 400 '!$L$12*(J1655^2)+'CAFCO 400 '!$L$13*J1655+'CAFCO 400 '!$L$14)*U1655)+('CAFCO 400 '!$L$15*LN(J1655)+'CAFCO 400 '!$L$16)),0)+IF(AND(L1655="Cafco 400",M1655="Software Idiem",C1655="L"),((('CAFCO 400 '!$L$7*(J1655^3)+'CAFCO 400 '!$L$8*(J1655^2)+'CAFCO 400 '!$L$9*J1655+'CAFCO 400 '!$L$10)*U1655^2)+(('CAFCO 400 '!$L$11*(J1655^3)+'CAFCO 400 '!$L$12*(J1655^2)+'CAFCO 400 '!$L$13*J1655+'CAFCO 400 '!$L$14)*U1655)+('CAFCO 400 '!$L$15*LN(J1655)+'CAFCO 400 '!$L$16)),0)+IF(AND(L1655="Cafco 400",M1655="Software Idiem",C1655="IN",G1655=3),((('CAFCO 400 '!$D$23*(J1655^2)+'CAFCO 400 '!$D$24*(J1655)+'CAFCO 400 '!$D$25)*U1655^2)+(('CAFCO 400 '!$D$26*(J1655^2)+'CAFCO 400 '!$D$27*J1655+'CAFCO 400 '!$D$28)*U1655)+('CAFCO 400 '!$D$29*(J1655^2)+'CAFCO 400 '!$D$30*J1655+'CAFCO 400 '!$D$31)),0),0)+IF(AND(L1655="Cafco 300",J1655&gt;=95,J1655&lt;=240,C1655="Cj",I1655=90),VLOOKUP(T1655,'CAFCO 300 IDIEM TABLAS'!$B$4:$D$23,2,FALSE),0)+IF(AND(L1655="Cafco 300",J1655&gt;=95,J1655&lt;=240,C1655="Cj",I1655=120),VLOOKUP(T1655,'CAFCO 300 IDIEM TABLAS'!$B$4:$D$23,3,FALSE),0)+IF(AND(L1655="Cafco 300",J1655&gt;=95,J1655&lt;=400,G1655=3,C1655="IN",I1655=90),VLOOKUP(T1655,'CAFCO 300 IDIEM TABLAS'!$F$4:$H$35,2,FALSE),0)+IF(AND(L1655="Cafco 300",J1655&gt;=95,J1655&lt;=400,G1655=3,C1655="IN",I1655=120),VLOOKUP(T1655,'CAFCO 300 IDIEM TABLAS'!$F$4:$H$35,3,FALSE),0)+IF(AND(L1655="Cafco 300",J1655&gt;=95,J1655&lt;=450,G1655=4,C1655="IN",I1655=90),VLOOKUP(T1655,'CAFCO 300 IDIEM TABLAS'!$J$4:$L$40,2,FALSE),0)+IF(AND(L1655="Cafco 300",J1655&gt;=95,J1655&lt;=450,G1655=4,C1655="IN",I1655=120),VLOOKUP(T1655,'CAFCO 300 IDIEM TABLAS'!$J$4:$L$40,3,FALSE),0)+IF(AND(M1655="Ensayo Idiem",L1655="Cafco 400",C1655="IN",G1655=4,I1655=90),VLOOKUP(T1655,'CAFCO 400 ENSAYO'!$B$7:$D$43,2,FALSE),0)+IF(AND(M1655="Ensayo Idiem",L1655="Cafco 400",C1655="IN",G1655=4,I1655=120),VLOOKUP(T1655,'CAFCO 400 ENSAYO'!$B$7:$D$43,3,FALSE),0)</f>
        <v>0</v>
      </c>
      <c r="O1655" s="96">
        <f t="shared" si="162"/>
        <v>0</v>
      </c>
      <c r="P1655" s="132" t="str">
        <f t="shared" si="163"/>
        <v>N/A</v>
      </c>
      <c r="Q1655" s="132" t="str">
        <f t="shared" si="164"/>
        <v>N/A</v>
      </c>
      <c r="R1655" s="132" t="str">
        <f t="shared" si="165"/>
        <v>NO CERT.</v>
      </c>
      <c r="S1655" s="132" t="e">
        <f t="shared" si="166"/>
        <v>#N/A</v>
      </c>
      <c r="T1655" s="133" t="e">
        <f>+IF(J1655=LOOKUP(J1655,'CAFCO 300 IDIEM TABLAS'!$J$4:$J$40),'CALCULO MORTERO'!J1655,MROUND('CALCULO MORTERO'!J1655,10))</f>
        <v>#N/A</v>
      </c>
      <c r="U1655" s="134">
        <f t="shared" si="167"/>
        <v>0</v>
      </c>
    </row>
    <row r="1656" spans="1:21" x14ac:dyDescent="0.25">
      <c r="A1656" s="118">
        <f>+CUBICACION!D1650</f>
        <v>0</v>
      </c>
      <c r="B1656" s="819">
        <f>+CUBICACION!E1650</f>
        <v>0</v>
      </c>
      <c r="C1656" s="675">
        <f>+CUBICACION!F1650</f>
        <v>0</v>
      </c>
      <c r="D1656" s="118"/>
      <c r="E1656" s="118"/>
      <c r="F1656" s="820"/>
      <c r="G1656" s="675">
        <f>+CUBICACION!J1650</f>
        <v>0</v>
      </c>
      <c r="H1656" s="118"/>
      <c r="I1656" s="821">
        <f>+CUBICACION!L1650</f>
        <v>0</v>
      </c>
      <c r="J1656" s="64">
        <f>+CUBICACION!M1650</f>
        <v>0</v>
      </c>
      <c r="K1656" s="822">
        <f>+CUBICACION!N1650</f>
        <v>0</v>
      </c>
      <c r="L1656" s="118">
        <f>+CUBICACION!O1650</f>
        <v>0</v>
      </c>
      <c r="M1656" s="823">
        <f>+CUBICACION!P1650</f>
        <v>0</v>
      </c>
      <c r="N1656" s="902">
        <f>ROUND(IF(AND(L1656="Blaze Shield II",M1656="Software Idiem",C1656="IN",G1656=4),((('BLAZE SHIELD II'!$D$4*('CALCULO MORTERO'!I1656^2)+'BLAZE SHIELD II'!$D$5*'CALCULO MORTERO'!I1656+'BLAZE SHIELD II'!$D$6)*LN(J1656))+('BLAZE SHIELD II'!$D$7*('CALCULO MORTERO'!I1656^2)+'BLAZE SHIELD II'!$D$8*'CALCULO MORTERO'!I1656+'BLAZE SHIELD II'!$D$9)),0)+IF(AND(L1656="Blaze Shield II",M1656="Software Idiem",C1656="Cj"),((('BLAZE SHIELD II'!$H$4*('CALCULO MORTERO'!I1656^2)+'BLAZE SHIELD II'!$H$5*'CALCULO MORTERO'!I1656+'BLAZE SHIELD II'!$H$6)*LN(J1656))+('BLAZE SHIELD II'!$H$7*('CALCULO MORTERO'!I1656^2)+'BLAZE SHIELD II'!$H$8*'CALCULO MORTERO'!I1656+'BLAZE SHIELD II'!$H$9)),0)+IF(AND(L1656="Blaze Shield II",M1656="Software Idiem",C1656="C"),((('BLAZE SHIELD II'!$L$4*('CALCULO MORTERO'!I1656^2)+'BLAZE SHIELD II'!$L$5*'CALCULO MORTERO'!I1656+'BLAZE SHIELD II'!$L$6)*LN(J1656))+('BLAZE SHIELD II'!$L$7*('CALCULO MORTERO'!I1656^2)+'BLAZE SHIELD II'!$L$8*'CALCULO MORTERO'!I1656+'BLAZE SHIELD II'!$L$9)),0)+IF(AND(L1656="Blaze Shield II",M1656="Software Idiem",C1656="L"),((('BLAZE SHIELD II'!$L$4*('CALCULO MORTERO'!I1656^2)+'BLAZE SHIELD II'!$L$5*'CALCULO MORTERO'!I1656+'BLAZE SHIELD II'!$L$6)*LN(J1656))+('BLAZE SHIELD II'!$L$7*('CALCULO MORTERO'!I1656^2)+'BLAZE SHIELD II'!$L$8*'CALCULO MORTERO'!I1656+'BLAZE SHIELD II'!$L$9)),0)+IF(AND(L1656="Blaze Shield II",M1656="Software Idiem",C1656="IN",G1656=3),((('BLAZE SHIELD II'!$H$14*('CALCULO MORTERO'!I1656^2)+'BLAZE SHIELD II'!$H$15*'CALCULO MORTERO'!I1656+'BLAZE SHIELD II'!$H$16)*LN(J1656))+('BLAZE SHIELD II'!$H$17*('CALCULO MORTERO'!I1656^2)+'BLAZE SHIELD II'!$H$18*'CALCULO MORTERO'!I1656+'BLAZE SHIELD II'!$H$19)),0),0)+ROUND(IF(AND(L1656="Cafco 400",M1656="Software Idiem",C1656="IN",G1656=4),((('CAFCO 400 '!$H$7*(J1656^4)+'CAFCO 400 '!$H$8*(J1656^3)+'CAFCO 400 '!$H$9*(J1656^2)+'CAFCO 400 '!$H$10*J1656+'CAFCO 400 '!$H$11)*U1656^2)+(('CAFCO 400 '!$H$12*(J1656^3)+'CAFCO 400 '!$H$13*(J1656^2)+'CAFCO 400 '!$H$14*J1656+'CAFCO 400 '!$H$15)*U1656)+('CAFCO 400 '!$H$16*(J1656^2)+'CAFCO 400 '!$H$17*J1656+'CAFCO 400 '!$H$18)),0)+IF(AND(L1656="Cafco 400",M1656="Software Idiem",C1656="Cj"),(((('CAFCO 400 '!$D$7*LN(J1656)+'CAFCO 400 '!$D$8)*U1656^2)+(('CAFCO 400 '!$D$9*LN(J1656)+'CAFCO 400 '!$D$10)*U1656)+('CAFCO 400 '!$D$11*LN(J1656)+'CAFCO 400 '!$D$12))),0)+IF(AND(L1656="Cafco 400",M1656="Software Idiem",C1656="C"),((('CAFCO 400 '!$L$7*(J1656^3)+'CAFCO 400 '!$L$8*(J1656^2)+'CAFCO 400 '!$L$9*J1656+'CAFCO 400 '!$L$10)*U1656^2)+(('CAFCO 400 '!$L$11*(J1656^3)+'CAFCO 400 '!$L$12*(J1656^2)+'CAFCO 400 '!$L$13*J1656+'CAFCO 400 '!$L$14)*U1656)+('CAFCO 400 '!$L$15*LN(J1656)+'CAFCO 400 '!$L$16)),0)+IF(AND(L1656="Cafco 400",M1656="Software Idiem",C1656="L"),((('CAFCO 400 '!$L$7*(J1656^3)+'CAFCO 400 '!$L$8*(J1656^2)+'CAFCO 400 '!$L$9*J1656+'CAFCO 400 '!$L$10)*U1656^2)+(('CAFCO 400 '!$L$11*(J1656^3)+'CAFCO 400 '!$L$12*(J1656^2)+'CAFCO 400 '!$L$13*J1656+'CAFCO 400 '!$L$14)*U1656)+('CAFCO 400 '!$L$15*LN(J1656)+'CAFCO 400 '!$L$16)),0)+IF(AND(L1656="Cafco 400",M1656="Software Idiem",C1656="IN",G1656=3),((('CAFCO 400 '!$D$23*(J1656^2)+'CAFCO 400 '!$D$24*(J1656)+'CAFCO 400 '!$D$25)*U1656^2)+(('CAFCO 400 '!$D$26*(J1656^2)+'CAFCO 400 '!$D$27*J1656+'CAFCO 400 '!$D$28)*U1656)+('CAFCO 400 '!$D$29*(J1656^2)+'CAFCO 400 '!$D$30*J1656+'CAFCO 400 '!$D$31)),0),0)+IF(AND(L1656="Cafco 300",J1656&gt;=95,J1656&lt;=240,C1656="Cj",I1656=90),VLOOKUP(T1656,'CAFCO 300 IDIEM TABLAS'!$B$4:$D$23,2,FALSE),0)+IF(AND(L1656="Cafco 300",J1656&gt;=95,J1656&lt;=240,C1656="Cj",I1656=120),VLOOKUP(T1656,'CAFCO 300 IDIEM TABLAS'!$B$4:$D$23,3,FALSE),0)+IF(AND(L1656="Cafco 300",J1656&gt;=95,J1656&lt;=400,G1656=3,C1656="IN",I1656=90),VLOOKUP(T1656,'CAFCO 300 IDIEM TABLAS'!$F$4:$H$35,2,FALSE),0)+IF(AND(L1656="Cafco 300",J1656&gt;=95,J1656&lt;=400,G1656=3,C1656="IN",I1656=120),VLOOKUP(T1656,'CAFCO 300 IDIEM TABLAS'!$F$4:$H$35,3,FALSE),0)+IF(AND(L1656="Cafco 300",J1656&gt;=95,J1656&lt;=450,G1656=4,C1656="IN",I1656=90),VLOOKUP(T1656,'CAFCO 300 IDIEM TABLAS'!$J$4:$L$40,2,FALSE),0)+IF(AND(L1656="Cafco 300",J1656&gt;=95,J1656&lt;=450,G1656=4,C1656="IN",I1656=120),VLOOKUP(T1656,'CAFCO 300 IDIEM TABLAS'!$J$4:$L$40,3,FALSE),0)+IF(AND(M1656="Ensayo Idiem",L1656="Cafco 400",C1656="IN",G1656=4,I1656=90),VLOOKUP(T1656,'CAFCO 400 ENSAYO'!$B$7:$D$43,2,FALSE),0)+IF(AND(M1656="Ensayo Idiem",L1656="Cafco 400",C1656="IN",G1656=4,I1656=120),VLOOKUP(T1656,'CAFCO 400 ENSAYO'!$B$7:$D$43,3,FALSE),0)</f>
        <v>0</v>
      </c>
      <c r="O1656" s="96">
        <f t="shared" si="162"/>
        <v>0</v>
      </c>
      <c r="P1656" s="95" t="str">
        <f t="shared" si="163"/>
        <v>N/A</v>
      </c>
      <c r="Q1656" s="95" t="str">
        <f t="shared" si="164"/>
        <v>N/A</v>
      </c>
      <c r="R1656" s="95" t="str">
        <f t="shared" si="165"/>
        <v>NO CERT.</v>
      </c>
      <c r="S1656" s="95" t="e">
        <f t="shared" si="166"/>
        <v>#N/A</v>
      </c>
      <c r="T1656" s="119" t="e">
        <f>+IF(J1656=LOOKUP(J1656,'CAFCO 300 IDIEM TABLAS'!$J$4:$J$40),'CALCULO MORTERO'!J1656,MROUND('CALCULO MORTERO'!J1656,10))</f>
        <v>#N/A</v>
      </c>
      <c r="U1656" s="118">
        <f t="shared" si="167"/>
        <v>0</v>
      </c>
    </row>
    <row r="1657" spans="1:21" x14ac:dyDescent="0.25">
      <c r="A1657" s="118">
        <f>+CUBICACION!D1651</f>
        <v>0</v>
      </c>
      <c r="B1657" s="819">
        <f>+CUBICACION!E1651</f>
        <v>0</v>
      </c>
      <c r="C1657" s="675">
        <f>+CUBICACION!F1651</f>
        <v>0</v>
      </c>
      <c r="D1657" s="118"/>
      <c r="E1657" s="118"/>
      <c r="F1657" s="820"/>
      <c r="G1657" s="675">
        <f>+CUBICACION!J1651</f>
        <v>0</v>
      </c>
      <c r="H1657" s="118"/>
      <c r="I1657" s="821">
        <f>+CUBICACION!L1651</f>
        <v>0</v>
      </c>
      <c r="J1657" s="64">
        <f>+CUBICACION!M1651</f>
        <v>0</v>
      </c>
      <c r="K1657" s="822">
        <f>+CUBICACION!N1651</f>
        <v>0</v>
      </c>
      <c r="L1657" s="118">
        <f>+CUBICACION!O1651</f>
        <v>0</v>
      </c>
      <c r="M1657" s="823">
        <f>+CUBICACION!P1651</f>
        <v>0</v>
      </c>
      <c r="N1657" s="902">
        <f>ROUND(IF(AND(L1657="Blaze Shield II",M1657="Software Idiem",C1657="IN",G1657=4),((('BLAZE SHIELD II'!$D$4*('CALCULO MORTERO'!I1657^2)+'BLAZE SHIELD II'!$D$5*'CALCULO MORTERO'!I1657+'BLAZE SHIELD II'!$D$6)*LN(J1657))+('BLAZE SHIELD II'!$D$7*('CALCULO MORTERO'!I1657^2)+'BLAZE SHIELD II'!$D$8*'CALCULO MORTERO'!I1657+'BLAZE SHIELD II'!$D$9)),0)+IF(AND(L1657="Blaze Shield II",M1657="Software Idiem",C1657="Cj"),((('BLAZE SHIELD II'!$H$4*('CALCULO MORTERO'!I1657^2)+'BLAZE SHIELD II'!$H$5*'CALCULO MORTERO'!I1657+'BLAZE SHIELD II'!$H$6)*LN(J1657))+('BLAZE SHIELD II'!$H$7*('CALCULO MORTERO'!I1657^2)+'BLAZE SHIELD II'!$H$8*'CALCULO MORTERO'!I1657+'BLAZE SHIELD II'!$H$9)),0)+IF(AND(L1657="Blaze Shield II",M1657="Software Idiem",C1657="C"),((('BLAZE SHIELD II'!$L$4*('CALCULO MORTERO'!I1657^2)+'BLAZE SHIELD II'!$L$5*'CALCULO MORTERO'!I1657+'BLAZE SHIELD II'!$L$6)*LN(J1657))+('BLAZE SHIELD II'!$L$7*('CALCULO MORTERO'!I1657^2)+'BLAZE SHIELD II'!$L$8*'CALCULO MORTERO'!I1657+'BLAZE SHIELD II'!$L$9)),0)+IF(AND(L1657="Blaze Shield II",M1657="Software Idiem",C1657="L"),((('BLAZE SHIELD II'!$L$4*('CALCULO MORTERO'!I1657^2)+'BLAZE SHIELD II'!$L$5*'CALCULO MORTERO'!I1657+'BLAZE SHIELD II'!$L$6)*LN(J1657))+('BLAZE SHIELD II'!$L$7*('CALCULO MORTERO'!I1657^2)+'BLAZE SHIELD II'!$L$8*'CALCULO MORTERO'!I1657+'BLAZE SHIELD II'!$L$9)),0)+IF(AND(L1657="Blaze Shield II",M1657="Software Idiem",C1657="IN",G1657=3),((('BLAZE SHIELD II'!$H$14*('CALCULO MORTERO'!I1657^2)+'BLAZE SHIELD II'!$H$15*'CALCULO MORTERO'!I1657+'BLAZE SHIELD II'!$H$16)*LN(J1657))+('BLAZE SHIELD II'!$H$17*('CALCULO MORTERO'!I1657^2)+'BLAZE SHIELD II'!$H$18*'CALCULO MORTERO'!I1657+'BLAZE SHIELD II'!$H$19)),0),0)+ROUND(IF(AND(L1657="Cafco 400",M1657="Software Idiem",C1657="IN",G1657=4),((('CAFCO 400 '!$H$7*(J1657^4)+'CAFCO 400 '!$H$8*(J1657^3)+'CAFCO 400 '!$H$9*(J1657^2)+'CAFCO 400 '!$H$10*J1657+'CAFCO 400 '!$H$11)*U1657^2)+(('CAFCO 400 '!$H$12*(J1657^3)+'CAFCO 400 '!$H$13*(J1657^2)+'CAFCO 400 '!$H$14*J1657+'CAFCO 400 '!$H$15)*U1657)+('CAFCO 400 '!$H$16*(J1657^2)+'CAFCO 400 '!$H$17*J1657+'CAFCO 400 '!$H$18)),0)+IF(AND(L1657="Cafco 400",M1657="Software Idiem",C1657="Cj"),(((('CAFCO 400 '!$D$7*LN(J1657)+'CAFCO 400 '!$D$8)*U1657^2)+(('CAFCO 400 '!$D$9*LN(J1657)+'CAFCO 400 '!$D$10)*U1657)+('CAFCO 400 '!$D$11*LN(J1657)+'CAFCO 400 '!$D$12))),0)+IF(AND(L1657="Cafco 400",M1657="Software Idiem",C1657="C"),((('CAFCO 400 '!$L$7*(J1657^3)+'CAFCO 400 '!$L$8*(J1657^2)+'CAFCO 400 '!$L$9*J1657+'CAFCO 400 '!$L$10)*U1657^2)+(('CAFCO 400 '!$L$11*(J1657^3)+'CAFCO 400 '!$L$12*(J1657^2)+'CAFCO 400 '!$L$13*J1657+'CAFCO 400 '!$L$14)*U1657)+('CAFCO 400 '!$L$15*LN(J1657)+'CAFCO 400 '!$L$16)),0)+IF(AND(L1657="Cafco 400",M1657="Software Idiem",C1657="L"),((('CAFCO 400 '!$L$7*(J1657^3)+'CAFCO 400 '!$L$8*(J1657^2)+'CAFCO 400 '!$L$9*J1657+'CAFCO 400 '!$L$10)*U1657^2)+(('CAFCO 400 '!$L$11*(J1657^3)+'CAFCO 400 '!$L$12*(J1657^2)+'CAFCO 400 '!$L$13*J1657+'CAFCO 400 '!$L$14)*U1657)+('CAFCO 400 '!$L$15*LN(J1657)+'CAFCO 400 '!$L$16)),0)+IF(AND(L1657="Cafco 400",M1657="Software Idiem",C1657="IN",G1657=3),((('CAFCO 400 '!$D$23*(J1657^2)+'CAFCO 400 '!$D$24*(J1657)+'CAFCO 400 '!$D$25)*U1657^2)+(('CAFCO 400 '!$D$26*(J1657^2)+'CAFCO 400 '!$D$27*J1657+'CAFCO 400 '!$D$28)*U1657)+('CAFCO 400 '!$D$29*(J1657^2)+'CAFCO 400 '!$D$30*J1657+'CAFCO 400 '!$D$31)),0),0)+IF(AND(L1657="Cafco 300",J1657&gt;=95,J1657&lt;=240,C1657="Cj",I1657=90),VLOOKUP(T1657,'CAFCO 300 IDIEM TABLAS'!$B$4:$D$23,2,FALSE),0)+IF(AND(L1657="Cafco 300",J1657&gt;=95,J1657&lt;=240,C1657="Cj",I1657=120),VLOOKUP(T1657,'CAFCO 300 IDIEM TABLAS'!$B$4:$D$23,3,FALSE),0)+IF(AND(L1657="Cafco 300",J1657&gt;=95,J1657&lt;=400,G1657=3,C1657="IN",I1657=90),VLOOKUP(T1657,'CAFCO 300 IDIEM TABLAS'!$F$4:$H$35,2,FALSE),0)+IF(AND(L1657="Cafco 300",J1657&gt;=95,J1657&lt;=400,G1657=3,C1657="IN",I1657=120),VLOOKUP(T1657,'CAFCO 300 IDIEM TABLAS'!$F$4:$H$35,3,FALSE),0)+IF(AND(L1657="Cafco 300",J1657&gt;=95,J1657&lt;=450,G1657=4,C1657="IN",I1657=90),VLOOKUP(T1657,'CAFCO 300 IDIEM TABLAS'!$J$4:$L$40,2,FALSE),0)+IF(AND(L1657="Cafco 300",J1657&gt;=95,J1657&lt;=450,G1657=4,C1657="IN",I1657=120),VLOOKUP(T1657,'CAFCO 300 IDIEM TABLAS'!$J$4:$L$40,3,FALSE),0)+IF(AND(M1657="Ensayo Idiem",L1657="Cafco 400",C1657="IN",G1657=4,I1657=90),VLOOKUP(T1657,'CAFCO 400 ENSAYO'!$B$7:$D$43,2,FALSE),0)+IF(AND(M1657="Ensayo Idiem",L1657="Cafco 400",C1657="IN",G1657=4,I1657=120),VLOOKUP(T1657,'CAFCO 400 ENSAYO'!$B$7:$D$43,3,FALSE),0)</f>
        <v>0</v>
      </c>
      <c r="O1657" s="96">
        <f t="shared" si="162"/>
        <v>0</v>
      </c>
      <c r="P1657" s="132" t="str">
        <f t="shared" si="163"/>
        <v>N/A</v>
      </c>
      <c r="Q1657" s="132" t="str">
        <f t="shared" si="164"/>
        <v>N/A</v>
      </c>
      <c r="R1657" s="132" t="str">
        <f t="shared" si="165"/>
        <v>NO CERT.</v>
      </c>
      <c r="S1657" s="132" t="e">
        <f t="shared" si="166"/>
        <v>#N/A</v>
      </c>
      <c r="T1657" s="133" t="e">
        <f>+IF(J1657=LOOKUP(J1657,'CAFCO 300 IDIEM TABLAS'!$J$4:$J$40),'CALCULO MORTERO'!J1657,MROUND('CALCULO MORTERO'!J1657,10))</f>
        <v>#N/A</v>
      </c>
      <c r="U1657" s="134">
        <f t="shared" si="167"/>
        <v>0</v>
      </c>
    </row>
    <row r="1658" spans="1:21" x14ac:dyDescent="0.25">
      <c r="A1658" s="118">
        <f>+CUBICACION!D1652</f>
        <v>0</v>
      </c>
      <c r="B1658" s="819">
        <f>+CUBICACION!E1652</f>
        <v>0</v>
      </c>
      <c r="C1658" s="675">
        <f>+CUBICACION!F1652</f>
        <v>0</v>
      </c>
      <c r="D1658" s="118"/>
      <c r="E1658" s="118"/>
      <c r="F1658" s="820"/>
      <c r="G1658" s="675">
        <f>+CUBICACION!J1652</f>
        <v>0</v>
      </c>
      <c r="H1658" s="118"/>
      <c r="I1658" s="821">
        <f>+CUBICACION!L1652</f>
        <v>0</v>
      </c>
      <c r="J1658" s="64">
        <f>+CUBICACION!M1652</f>
        <v>0</v>
      </c>
      <c r="K1658" s="822">
        <f>+CUBICACION!N1652</f>
        <v>0</v>
      </c>
      <c r="L1658" s="118">
        <f>+CUBICACION!O1652</f>
        <v>0</v>
      </c>
      <c r="M1658" s="823">
        <f>+CUBICACION!P1652</f>
        <v>0</v>
      </c>
      <c r="N1658" s="902">
        <f>ROUND(IF(AND(L1658="Blaze Shield II",M1658="Software Idiem",C1658="IN",G1658=4),((('BLAZE SHIELD II'!$D$4*('CALCULO MORTERO'!I1658^2)+'BLAZE SHIELD II'!$D$5*'CALCULO MORTERO'!I1658+'BLAZE SHIELD II'!$D$6)*LN(J1658))+('BLAZE SHIELD II'!$D$7*('CALCULO MORTERO'!I1658^2)+'BLAZE SHIELD II'!$D$8*'CALCULO MORTERO'!I1658+'BLAZE SHIELD II'!$D$9)),0)+IF(AND(L1658="Blaze Shield II",M1658="Software Idiem",C1658="Cj"),((('BLAZE SHIELD II'!$H$4*('CALCULO MORTERO'!I1658^2)+'BLAZE SHIELD II'!$H$5*'CALCULO MORTERO'!I1658+'BLAZE SHIELD II'!$H$6)*LN(J1658))+('BLAZE SHIELD II'!$H$7*('CALCULO MORTERO'!I1658^2)+'BLAZE SHIELD II'!$H$8*'CALCULO MORTERO'!I1658+'BLAZE SHIELD II'!$H$9)),0)+IF(AND(L1658="Blaze Shield II",M1658="Software Idiem",C1658="C"),((('BLAZE SHIELD II'!$L$4*('CALCULO MORTERO'!I1658^2)+'BLAZE SHIELD II'!$L$5*'CALCULO MORTERO'!I1658+'BLAZE SHIELD II'!$L$6)*LN(J1658))+('BLAZE SHIELD II'!$L$7*('CALCULO MORTERO'!I1658^2)+'BLAZE SHIELD II'!$L$8*'CALCULO MORTERO'!I1658+'BLAZE SHIELD II'!$L$9)),0)+IF(AND(L1658="Blaze Shield II",M1658="Software Idiem",C1658="L"),((('BLAZE SHIELD II'!$L$4*('CALCULO MORTERO'!I1658^2)+'BLAZE SHIELD II'!$L$5*'CALCULO MORTERO'!I1658+'BLAZE SHIELD II'!$L$6)*LN(J1658))+('BLAZE SHIELD II'!$L$7*('CALCULO MORTERO'!I1658^2)+'BLAZE SHIELD II'!$L$8*'CALCULO MORTERO'!I1658+'BLAZE SHIELD II'!$L$9)),0)+IF(AND(L1658="Blaze Shield II",M1658="Software Idiem",C1658="IN",G1658=3),((('BLAZE SHIELD II'!$H$14*('CALCULO MORTERO'!I1658^2)+'BLAZE SHIELD II'!$H$15*'CALCULO MORTERO'!I1658+'BLAZE SHIELD II'!$H$16)*LN(J1658))+('BLAZE SHIELD II'!$H$17*('CALCULO MORTERO'!I1658^2)+'BLAZE SHIELD II'!$H$18*'CALCULO MORTERO'!I1658+'BLAZE SHIELD II'!$H$19)),0),0)+ROUND(IF(AND(L1658="Cafco 400",M1658="Software Idiem",C1658="IN",G1658=4),((('CAFCO 400 '!$H$7*(J1658^4)+'CAFCO 400 '!$H$8*(J1658^3)+'CAFCO 400 '!$H$9*(J1658^2)+'CAFCO 400 '!$H$10*J1658+'CAFCO 400 '!$H$11)*U1658^2)+(('CAFCO 400 '!$H$12*(J1658^3)+'CAFCO 400 '!$H$13*(J1658^2)+'CAFCO 400 '!$H$14*J1658+'CAFCO 400 '!$H$15)*U1658)+('CAFCO 400 '!$H$16*(J1658^2)+'CAFCO 400 '!$H$17*J1658+'CAFCO 400 '!$H$18)),0)+IF(AND(L1658="Cafco 400",M1658="Software Idiem",C1658="Cj"),(((('CAFCO 400 '!$D$7*LN(J1658)+'CAFCO 400 '!$D$8)*U1658^2)+(('CAFCO 400 '!$D$9*LN(J1658)+'CAFCO 400 '!$D$10)*U1658)+('CAFCO 400 '!$D$11*LN(J1658)+'CAFCO 400 '!$D$12))),0)+IF(AND(L1658="Cafco 400",M1658="Software Idiem",C1658="C"),((('CAFCO 400 '!$L$7*(J1658^3)+'CAFCO 400 '!$L$8*(J1658^2)+'CAFCO 400 '!$L$9*J1658+'CAFCO 400 '!$L$10)*U1658^2)+(('CAFCO 400 '!$L$11*(J1658^3)+'CAFCO 400 '!$L$12*(J1658^2)+'CAFCO 400 '!$L$13*J1658+'CAFCO 400 '!$L$14)*U1658)+('CAFCO 400 '!$L$15*LN(J1658)+'CAFCO 400 '!$L$16)),0)+IF(AND(L1658="Cafco 400",M1658="Software Idiem",C1658="L"),((('CAFCO 400 '!$L$7*(J1658^3)+'CAFCO 400 '!$L$8*(J1658^2)+'CAFCO 400 '!$L$9*J1658+'CAFCO 400 '!$L$10)*U1658^2)+(('CAFCO 400 '!$L$11*(J1658^3)+'CAFCO 400 '!$L$12*(J1658^2)+'CAFCO 400 '!$L$13*J1658+'CAFCO 400 '!$L$14)*U1658)+('CAFCO 400 '!$L$15*LN(J1658)+'CAFCO 400 '!$L$16)),0)+IF(AND(L1658="Cafco 400",M1658="Software Idiem",C1658="IN",G1658=3),((('CAFCO 400 '!$D$23*(J1658^2)+'CAFCO 400 '!$D$24*(J1658)+'CAFCO 400 '!$D$25)*U1658^2)+(('CAFCO 400 '!$D$26*(J1658^2)+'CAFCO 400 '!$D$27*J1658+'CAFCO 400 '!$D$28)*U1658)+('CAFCO 400 '!$D$29*(J1658^2)+'CAFCO 400 '!$D$30*J1658+'CAFCO 400 '!$D$31)),0),0)+IF(AND(L1658="Cafco 300",J1658&gt;=95,J1658&lt;=240,C1658="Cj",I1658=90),VLOOKUP(T1658,'CAFCO 300 IDIEM TABLAS'!$B$4:$D$23,2,FALSE),0)+IF(AND(L1658="Cafco 300",J1658&gt;=95,J1658&lt;=240,C1658="Cj",I1658=120),VLOOKUP(T1658,'CAFCO 300 IDIEM TABLAS'!$B$4:$D$23,3,FALSE),0)+IF(AND(L1658="Cafco 300",J1658&gt;=95,J1658&lt;=400,G1658=3,C1658="IN",I1658=90),VLOOKUP(T1658,'CAFCO 300 IDIEM TABLAS'!$F$4:$H$35,2,FALSE),0)+IF(AND(L1658="Cafco 300",J1658&gt;=95,J1658&lt;=400,G1658=3,C1658="IN",I1658=120),VLOOKUP(T1658,'CAFCO 300 IDIEM TABLAS'!$F$4:$H$35,3,FALSE),0)+IF(AND(L1658="Cafco 300",J1658&gt;=95,J1658&lt;=450,G1658=4,C1658="IN",I1658=90),VLOOKUP(T1658,'CAFCO 300 IDIEM TABLAS'!$J$4:$L$40,2,FALSE),0)+IF(AND(L1658="Cafco 300",J1658&gt;=95,J1658&lt;=450,G1658=4,C1658="IN",I1658=120),VLOOKUP(T1658,'CAFCO 300 IDIEM TABLAS'!$J$4:$L$40,3,FALSE),0)+IF(AND(M1658="Ensayo Idiem",L1658="Cafco 400",C1658="IN",G1658=4,I1658=90),VLOOKUP(T1658,'CAFCO 400 ENSAYO'!$B$7:$D$43,2,FALSE),0)+IF(AND(M1658="Ensayo Idiem",L1658="Cafco 400",C1658="IN",G1658=4,I1658=120),VLOOKUP(T1658,'CAFCO 400 ENSAYO'!$B$7:$D$43,3,FALSE),0)</f>
        <v>0</v>
      </c>
      <c r="O1658" s="96">
        <f t="shared" si="162"/>
        <v>0</v>
      </c>
      <c r="P1658" s="95" t="str">
        <f t="shared" si="163"/>
        <v>N/A</v>
      </c>
      <c r="Q1658" s="95" t="str">
        <f t="shared" si="164"/>
        <v>N/A</v>
      </c>
      <c r="R1658" s="95" t="str">
        <f t="shared" si="165"/>
        <v>NO CERT.</v>
      </c>
      <c r="S1658" s="95" t="e">
        <f t="shared" si="166"/>
        <v>#N/A</v>
      </c>
      <c r="T1658" s="119" t="e">
        <f>+IF(J1658=LOOKUP(J1658,'CAFCO 300 IDIEM TABLAS'!$J$4:$J$40),'CALCULO MORTERO'!J1658,MROUND('CALCULO MORTERO'!J1658,10))</f>
        <v>#N/A</v>
      </c>
      <c r="U1658" s="118">
        <f t="shared" si="167"/>
        <v>0</v>
      </c>
    </row>
    <row r="1659" spans="1:21" x14ac:dyDescent="0.25">
      <c r="A1659" s="118">
        <f>+CUBICACION!D1653</f>
        <v>0</v>
      </c>
      <c r="B1659" s="819">
        <f>+CUBICACION!E1653</f>
        <v>0</v>
      </c>
      <c r="C1659" s="675">
        <f>+CUBICACION!F1653</f>
        <v>0</v>
      </c>
      <c r="D1659" s="118"/>
      <c r="E1659" s="118"/>
      <c r="F1659" s="820"/>
      <c r="G1659" s="675">
        <f>+CUBICACION!J1653</f>
        <v>0</v>
      </c>
      <c r="H1659" s="118"/>
      <c r="I1659" s="821">
        <f>+CUBICACION!L1653</f>
        <v>0</v>
      </c>
      <c r="J1659" s="64">
        <f>+CUBICACION!M1653</f>
        <v>0</v>
      </c>
      <c r="K1659" s="822">
        <f>+CUBICACION!N1653</f>
        <v>0</v>
      </c>
      <c r="L1659" s="118">
        <f>+CUBICACION!O1653</f>
        <v>0</v>
      </c>
      <c r="M1659" s="823">
        <f>+CUBICACION!P1653</f>
        <v>0</v>
      </c>
      <c r="N1659" s="902">
        <f>ROUND(IF(AND(L1659="Blaze Shield II",M1659="Software Idiem",C1659="IN",G1659=4),((('BLAZE SHIELD II'!$D$4*('CALCULO MORTERO'!I1659^2)+'BLAZE SHIELD II'!$D$5*'CALCULO MORTERO'!I1659+'BLAZE SHIELD II'!$D$6)*LN(J1659))+('BLAZE SHIELD II'!$D$7*('CALCULO MORTERO'!I1659^2)+'BLAZE SHIELD II'!$D$8*'CALCULO MORTERO'!I1659+'BLAZE SHIELD II'!$D$9)),0)+IF(AND(L1659="Blaze Shield II",M1659="Software Idiem",C1659="Cj"),((('BLAZE SHIELD II'!$H$4*('CALCULO MORTERO'!I1659^2)+'BLAZE SHIELD II'!$H$5*'CALCULO MORTERO'!I1659+'BLAZE SHIELD II'!$H$6)*LN(J1659))+('BLAZE SHIELD II'!$H$7*('CALCULO MORTERO'!I1659^2)+'BLAZE SHIELD II'!$H$8*'CALCULO MORTERO'!I1659+'BLAZE SHIELD II'!$H$9)),0)+IF(AND(L1659="Blaze Shield II",M1659="Software Idiem",C1659="C"),((('BLAZE SHIELD II'!$L$4*('CALCULO MORTERO'!I1659^2)+'BLAZE SHIELD II'!$L$5*'CALCULO MORTERO'!I1659+'BLAZE SHIELD II'!$L$6)*LN(J1659))+('BLAZE SHIELD II'!$L$7*('CALCULO MORTERO'!I1659^2)+'BLAZE SHIELD II'!$L$8*'CALCULO MORTERO'!I1659+'BLAZE SHIELD II'!$L$9)),0)+IF(AND(L1659="Blaze Shield II",M1659="Software Idiem",C1659="L"),((('BLAZE SHIELD II'!$L$4*('CALCULO MORTERO'!I1659^2)+'BLAZE SHIELD II'!$L$5*'CALCULO MORTERO'!I1659+'BLAZE SHIELD II'!$L$6)*LN(J1659))+('BLAZE SHIELD II'!$L$7*('CALCULO MORTERO'!I1659^2)+'BLAZE SHIELD II'!$L$8*'CALCULO MORTERO'!I1659+'BLAZE SHIELD II'!$L$9)),0)+IF(AND(L1659="Blaze Shield II",M1659="Software Idiem",C1659="IN",G1659=3),((('BLAZE SHIELD II'!$H$14*('CALCULO MORTERO'!I1659^2)+'BLAZE SHIELD II'!$H$15*'CALCULO MORTERO'!I1659+'BLAZE SHIELD II'!$H$16)*LN(J1659))+('BLAZE SHIELD II'!$H$17*('CALCULO MORTERO'!I1659^2)+'BLAZE SHIELD II'!$H$18*'CALCULO MORTERO'!I1659+'BLAZE SHIELD II'!$H$19)),0),0)+ROUND(IF(AND(L1659="Cafco 400",M1659="Software Idiem",C1659="IN",G1659=4),((('CAFCO 400 '!$H$7*(J1659^4)+'CAFCO 400 '!$H$8*(J1659^3)+'CAFCO 400 '!$H$9*(J1659^2)+'CAFCO 400 '!$H$10*J1659+'CAFCO 400 '!$H$11)*U1659^2)+(('CAFCO 400 '!$H$12*(J1659^3)+'CAFCO 400 '!$H$13*(J1659^2)+'CAFCO 400 '!$H$14*J1659+'CAFCO 400 '!$H$15)*U1659)+('CAFCO 400 '!$H$16*(J1659^2)+'CAFCO 400 '!$H$17*J1659+'CAFCO 400 '!$H$18)),0)+IF(AND(L1659="Cafco 400",M1659="Software Idiem",C1659="Cj"),(((('CAFCO 400 '!$D$7*LN(J1659)+'CAFCO 400 '!$D$8)*U1659^2)+(('CAFCO 400 '!$D$9*LN(J1659)+'CAFCO 400 '!$D$10)*U1659)+('CAFCO 400 '!$D$11*LN(J1659)+'CAFCO 400 '!$D$12))),0)+IF(AND(L1659="Cafco 400",M1659="Software Idiem",C1659="C"),((('CAFCO 400 '!$L$7*(J1659^3)+'CAFCO 400 '!$L$8*(J1659^2)+'CAFCO 400 '!$L$9*J1659+'CAFCO 400 '!$L$10)*U1659^2)+(('CAFCO 400 '!$L$11*(J1659^3)+'CAFCO 400 '!$L$12*(J1659^2)+'CAFCO 400 '!$L$13*J1659+'CAFCO 400 '!$L$14)*U1659)+('CAFCO 400 '!$L$15*LN(J1659)+'CAFCO 400 '!$L$16)),0)+IF(AND(L1659="Cafco 400",M1659="Software Idiem",C1659="L"),((('CAFCO 400 '!$L$7*(J1659^3)+'CAFCO 400 '!$L$8*(J1659^2)+'CAFCO 400 '!$L$9*J1659+'CAFCO 400 '!$L$10)*U1659^2)+(('CAFCO 400 '!$L$11*(J1659^3)+'CAFCO 400 '!$L$12*(J1659^2)+'CAFCO 400 '!$L$13*J1659+'CAFCO 400 '!$L$14)*U1659)+('CAFCO 400 '!$L$15*LN(J1659)+'CAFCO 400 '!$L$16)),0)+IF(AND(L1659="Cafco 400",M1659="Software Idiem",C1659="IN",G1659=3),((('CAFCO 400 '!$D$23*(J1659^2)+'CAFCO 400 '!$D$24*(J1659)+'CAFCO 400 '!$D$25)*U1659^2)+(('CAFCO 400 '!$D$26*(J1659^2)+'CAFCO 400 '!$D$27*J1659+'CAFCO 400 '!$D$28)*U1659)+('CAFCO 400 '!$D$29*(J1659^2)+'CAFCO 400 '!$D$30*J1659+'CAFCO 400 '!$D$31)),0),0)+IF(AND(L1659="Cafco 300",J1659&gt;=95,J1659&lt;=240,C1659="Cj",I1659=90),VLOOKUP(T1659,'CAFCO 300 IDIEM TABLAS'!$B$4:$D$23,2,FALSE),0)+IF(AND(L1659="Cafco 300",J1659&gt;=95,J1659&lt;=240,C1659="Cj",I1659=120),VLOOKUP(T1659,'CAFCO 300 IDIEM TABLAS'!$B$4:$D$23,3,FALSE),0)+IF(AND(L1659="Cafco 300",J1659&gt;=95,J1659&lt;=400,G1659=3,C1659="IN",I1659=90),VLOOKUP(T1659,'CAFCO 300 IDIEM TABLAS'!$F$4:$H$35,2,FALSE),0)+IF(AND(L1659="Cafco 300",J1659&gt;=95,J1659&lt;=400,G1659=3,C1659="IN",I1659=120),VLOOKUP(T1659,'CAFCO 300 IDIEM TABLAS'!$F$4:$H$35,3,FALSE),0)+IF(AND(L1659="Cafco 300",J1659&gt;=95,J1659&lt;=450,G1659=4,C1659="IN",I1659=90),VLOOKUP(T1659,'CAFCO 300 IDIEM TABLAS'!$J$4:$L$40,2,FALSE),0)+IF(AND(L1659="Cafco 300",J1659&gt;=95,J1659&lt;=450,G1659=4,C1659="IN",I1659=120),VLOOKUP(T1659,'CAFCO 300 IDIEM TABLAS'!$J$4:$L$40,3,FALSE),0)+IF(AND(M1659="Ensayo Idiem",L1659="Cafco 400",C1659="IN",G1659=4,I1659=90),VLOOKUP(T1659,'CAFCO 400 ENSAYO'!$B$7:$D$43,2,FALSE),0)+IF(AND(M1659="Ensayo Idiem",L1659="Cafco 400",C1659="IN",G1659=4,I1659=120),VLOOKUP(T1659,'CAFCO 400 ENSAYO'!$B$7:$D$43,3,FALSE),0)</f>
        <v>0</v>
      </c>
      <c r="O1659" s="96">
        <f t="shared" si="162"/>
        <v>0</v>
      </c>
      <c r="P1659" s="132" t="str">
        <f t="shared" si="163"/>
        <v>N/A</v>
      </c>
      <c r="Q1659" s="132" t="str">
        <f t="shared" si="164"/>
        <v>N/A</v>
      </c>
      <c r="R1659" s="132" t="str">
        <f t="shared" si="165"/>
        <v>NO CERT.</v>
      </c>
      <c r="S1659" s="132" t="e">
        <f t="shared" si="166"/>
        <v>#N/A</v>
      </c>
      <c r="T1659" s="133" t="e">
        <f>+IF(J1659=LOOKUP(J1659,'CAFCO 300 IDIEM TABLAS'!$J$4:$J$40),'CALCULO MORTERO'!J1659,MROUND('CALCULO MORTERO'!J1659,10))</f>
        <v>#N/A</v>
      </c>
      <c r="U1659" s="134">
        <f t="shared" si="167"/>
        <v>0</v>
      </c>
    </row>
    <row r="1660" spans="1:21" x14ac:dyDescent="0.25">
      <c r="A1660" s="118">
        <f>+CUBICACION!D1654</f>
        <v>0</v>
      </c>
      <c r="B1660" s="819">
        <f>+CUBICACION!E1654</f>
        <v>0</v>
      </c>
      <c r="C1660" s="675">
        <f>+CUBICACION!F1654</f>
        <v>0</v>
      </c>
      <c r="D1660" s="118"/>
      <c r="E1660" s="118"/>
      <c r="F1660" s="820"/>
      <c r="G1660" s="675">
        <f>+CUBICACION!J1654</f>
        <v>0</v>
      </c>
      <c r="H1660" s="118"/>
      <c r="I1660" s="821">
        <f>+CUBICACION!L1654</f>
        <v>0</v>
      </c>
      <c r="J1660" s="64">
        <f>+CUBICACION!M1654</f>
        <v>0</v>
      </c>
      <c r="K1660" s="822">
        <f>+CUBICACION!N1654</f>
        <v>0</v>
      </c>
      <c r="L1660" s="118">
        <f>+CUBICACION!O1654</f>
        <v>0</v>
      </c>
      <c r="M1660" s="823">
        <f>+CUBICACION!P1654</f>
        <v>0</v>
      </c>
      <c r="N1660" s="902">
        <f>ROUND(IF(AND(L1660="Blaze Shield II",M1660="Software Idiem",C1660="IN",G1660=4),((('BLAZE SHIELD II'!$D$4*('CALCULO MORTERO'!I1660^2)+'BLAZE SHIELD II'!$D$5*'CALCULO MORTERO'!I1660+'BLAZE SHIELD II'!$D$6)*LN(J1660))+('BLAZE SHIELD II'!$D$7*('CALCULO MORTERO'!I1660^2)+'BLAZE SHIELD II'!$D$8*'CALCULO MORTERO'!I1660+'BLAZE SHIELD II'!$D$9)),0)+IF(AND(L1660="Blaze Shield II",M1660="Software Idiem",C1660="Cj"),((('BLAZE SHIELD II'!$H$4*('CALCULO MORTERO'!I1660^2)+'BLAZE SHIELD II'!$H$5*'CALCULO MORTERO'!I1660+'BLAZE SHIELD II'!$H$6)*LN(J1660))+('BLAZE SHIELD II'!$H$7*('CALCULO MORTERO'!I1660^2)+'BLAZE SHIELD II'!$H$8*'CALCULO MORTERO'!I1660+'BLAZE SHIELD II'!$H$9)),0)+IF(AND(L1660="Blaze Shield II",M1660="Software Idiem",C1660="C"),((('BLAZE SHIELD II'!$L$4*('CALCULO MORTERO'!I1660^2)+'BLAZE SHIELD II'!$L$5*'CALCULO MORTERO'!I1660+'BLAZE SHIELD II'!$L$6)*LN(J1660))+('BLAZE SHIELD II'!$L$7*('CALCULO MORTERO'!I1660^2)+'BLAZE SHIELD II'!$L$8*'CALCULO MORTERO'!I1660+'BLAZE SHIELD II'!$L$9)),0)+IF(AND(L1660="Blaze Shield II",M1660="Software Idiem",C1660="L"),((('BLAZE SHIELD II'!$L$4*('CALCULO MORTERO'!I1660^2)+'BLAZE SHIELD II'!$L$5*'CALCULO MORTERO'!I1660+'BLAZE SHIELD II'!$L$6)*LN(J1660))+('BLAZE SHIELD II'!$L$7*('CALCULO MORTERO'!I1660^2)+'BLAZE SHIELD II'!$L$8*'CALCULO MORTERO'!I1660+'BLAZE SHIELD II'!$L$9)),0)+IF(AND(L1660="Blaze Shield II",M1660="Software Idiem",C1660="IN",G1660=3),((('BLAZE SHIELD II'!$H$14*('CALCULO MORTERO'!I1660^2)+'BLAZE SHIELD II'!$H$15*'CALCULO MORTERO'!I1660+'BLAZE SHIELD II'!$H$16)*LN(J1660))+('BLAZE SHIELD II'!$H$17*('CALCULO MORTERO'!I1660^2)+'BLAZE SHIELD II'!$H$18*'CALCULO MORTERO'!I1660+'BLAZE SHIELD II'!$H$19)),0),0)+ROUND(IF(AND(L1660="Cafco 400",M1660="Software Idiem",C1660="IN",G1660=4),((('CAFCO 400 '!$H$7*(J1660^4)+'CAFCO 400 '!$H$8*(J1660^3)+'CAFCO 400 '!$H$9*(J1660^2)+'CAFCO 400 '!$H$10*J1660+'CAFCO 400 '!$H$11)*U1660^2)+(('CAFCO 400 '!$H$12*(J1660^3)+'CAFCO 400 '!$H$13*(J1660^2)+'CAFCO 400 '!$H$14*J1660+'CAFCO 400 '!$H$15)*U1660)+('CAFCO 400 '!$H$16*(J1660^2)+'CAFCO 400 '!$H$17*J1660+'CAFCO 400 '!$H$18)),0)+IF(AND(L1660="Cafco 400",M1660="Software Idiem",C1660="Cj"),(((('CAFCO 400 '!$D$7*LN(J1660)+'CAFCO 400 '!$D$8)*U1660^2)+(('CAFCO 400 '!$D$9*LN(J1660)+'CAFCO 400 '!$D$10)*U1660)+('CAFCO 400 '!$D$11*LN(J1660)+'CAFCO 400 '!$D$12))),0)+IF(AND(L1660="Cafco 400",M1660="Software Idiem",C1660="C"),((('CAFCO 400 '!$L$7*(J1660^3)+'CAFCO 400 '!$L$8*(J1660^2)+'CAFCO 400 '!$L$9*J1660+'CAFCO 400 '!$L$10)*U1660^2)+(('CAFCO 400 '!$L$11*(J1660^3)+'CAFCO 400 '!$L$12*(J1660^2)+'CAFCO 400 '!$L$13*J1660+'CAFCO 400 '!$L$14)*U1660)+('CAFCO 400 '!$L$15*LN(J1660)+'CAFCO 400 '!$L$16)),0)+IF(AND(L1660="Cafco 400",M1660="Software Idiem",C1660="L"),((('CAFCO 400 '!$L$7*(J1660^3)+'CAFCO 400 '!$L$8*(J1660^2)+'CAFCO 400 '!$L$9*J1660+'CAFCO 400 '!$L$10)*U1660^2)+(('CAFCO 400 '!$L$11*(J1660^3)+'CAFCO 400 '!$L$12*(J1660^2)+'CAFCO 400 '!$L$13*J1660+'CAFCO 400 '!$L$14)*U1660)+('CAFCO 400 '!$L$15*LN(J1660)+'CAFCO 400 '!$L$16)),0)+IF(AND(L1660="Cafco 400",M1660="Software Idiem",C1660="IN",G1660=3),((('CAFCO 400 '!$D$23*(J1660^2)+'CAFCO 400 '!$D$24*(J1660)+'CAFCO 400 '!$D$25)*U1660^2)+(('CAFCO 400 '!$D$26*(J1660^2)+'CAFCO 400 '!$D$27*J1660+'CAFCO 400 '!$D$28)*U1660)+('CAFCO 400 '!$D$29*(J1660^2)+'CAFCO 400 '!$D$30*J1660+'CAFCO 400 '!$D$31)),0),0)+IF(AND(L1660="Cafco 300",J1660&gt;=95,J1660&lt;=240,C1660="Cj",I1660=90),VLOOKUP(T1660,'CAFCO 300 IDIEM TABLAS'!$B$4:$D$23,2,FALSE),0)+IF(AND(L1660="Cafco 300",J1660&gt;=95,J1660&lt;=240,C1660="Cj",I1660=120),VLOOKUP(T1660,'CAFCO 300 IDIEM TABLAS'!$B$4:$D$23,3,FALSE),0)+IF(AND(L1660="Cafco 300",J1660&gt;=95,J1660&lt;=400,G1660=3,C1660="IN",I1660=90),VLOOKUP(T1660,'CAFCO 300 IDIEM TABLAS'!$F$4:$H$35,2,FALSE),0)+IF(AND(L1660="Cafco 300",J1660&gt;=95,J1660&lt;=400,G1660=3,C1660="IN",I1660=120),VLOOKUP(T1660,'CAFCO 300 IDIEM TABLAS'!$F$4:$H$35,3,FALSE),0)+IF(AND(L1660="Cafco 300",J1660&gt;=95,J1660&lt;=450,G1660=4,C1660="IN",I1660=90),VLOOKUP(T1660,'CAFCO 300 IDIEM TABLAS'!$J$4:$L$40,2,FALSE),0)+IF(AND(L1660="Cafco 300",J1660&gt;=95,J1660&lt;=450,G1660=4,C1660="IN",I1660=120),VLOOKUP(T1660,'CAFCO 300 IDIEM TABLAS'!$J$4:$L$40,3,FALSE),0)+IF(AND(M1660="Ensayo Idiem",L1660="Cafco 400",C1660="IN",G1660=4,I1660=90),VLOOKUP(T1660,'CAFCO 400 ENSAYO'!$B$7:$D$43,2,FALSE),0)+IF(AND(M1660="Ensayo Idiem",L1660="Cafco 400",C1660="IN",G1660=4,I1660=120),VLOOKUP(T1660,'CAFCO 400 ENSAYO'!$B$7:$D$43,3,FALSE),0)</f>
        <v>0</v>
      </c>
      <c r="O1660" s="96">
        <f t="shared" si="162"/>
        <v>0</v>
      </c>
      <c r="P1660" s="95" t="str">
        <f t="shared" si="163"/>
        <v>N/A</v>
      </c>
      <c r="Q1660" s="95" t="str">
        <f t="shared" si="164"/>
        <v>N/A</v>
      </c>
      <c r="R1660" s="95" t="str">
        <f t="shared" si="165"/>
        <v>NO CERT.</v>
      </c>
      <c r="S1660" s="95" t="e">
        <f t="shared" si="166"/>
        <v>#N/A</v>
      </c>
      <c r="T1660" s="119" t="e">
        <f>+IF(J1660=LOOKUP(J1660,'CAFCO 300 IDIEM TABLAS'!$J$4:$J$40),'CALCULO MORTERO'!J1660,MROUND('CALCULO MORTERO'!J1660,10))</f>
        <v>#N/A</v>
      </c>
      <c r="U1660" s="118">
        <f t="shared" si="167"/>
        <v>0</v>
      </c>
    </row>
    <row r="1661" spans="1:21" x14ac:dyDescent="0.25">
      <c r="A1661" s="118">
        <f>+CUBICACION!D1655</f>
        <v>0</v>
      </c>
      <c r="B1661" s="819">
        <f>+CUBICACION!E1655</f>
        <v>0</v>
      </c>
      <c r="C1661" s="675">
        <f>+CUBICACION!F1655</f>
        <v>0</v>
      </c>
      <c r="D1661" s="118"/>
      <c r="E1661" s="118"/>
      <c r="F1661" s="820"/>
      <c r="G1661" s="675">
        <f>+CUBICACION!J1655</f>
        <v>0</v>
      </c>
      <c r="H1661" s="118"/>
      <c r="I1661" s="821">
        <f>+CUBICACION!L1655</f>
        <v>0</v>
      </c>
      <c r="J1661" s="64">
        <f>+CUBICACION!M1655</f>
        <v>0</v>
      </c>
      <c r="K1661" s="822">
        <f>+CUBICACION!N1655</f>
        <v>0</v>
      </c>
      <c r="L1661" s="118">
        <f>+CUBICACION!O1655</f>
        <v>0</v>
      </c>
      <c r="M1661" s="823">
        <f>+CUBICACION!P1655</f>
        <v>0</v>
      </c>
      <c r="N1661" s="902">
        <f>ROUND(IF(AND(L1661="Blaze Shield II",M1661="Software Idiem",C1661="IN",G1661=4),((('BLAZE SHIELD II'!$D$4*('CALCULO MORTERO'!I1661^2)+'BLAZE SHIELD II'!$D$5*'CALCULO MORTERO'!I1661+'BLAZE SHIELD II'!$D$6)*LN(J1661))+('BLAZE SHIELD II'!$D$7*('CALCULO MORTERO'!I1661^2)+'BLAZE SHIELD II'!$D$8*'CALCULO MORTERO'!I1661+'BLAZE SHIELD II'!$D$9)),0)+IF(AND(L1661="Blaze Shield II",M1661="Software Idiem",C1661="Cj"),((('BLAZE SHIELD II'!$H$4*('CALCULO MORTERO'!I1661^2)+'BLAZE SHIELD II'!$H$5*'CALCULO MORTERO'!I1661+'BLAZE SHIELD II'!$H$6)*LN(J1661))+('BLAZE SHIELD II'!$H$7*('CALCULO MORTERO'!I1661^2)+'BLAZE SHIELD II'!$H$8*'CALCULO MORTERO'!I1661+'BLAZE SHIELD II'!$H$9)),0)+IF(AND(L1661="Blaze Shield II",M1661="Software Idiem",C1661="C"),((('BLAZE SHIELD II'!$L$4*('CALCULO MORTERO'!I1661^2)+'BLAZE SHIELD II'!$L$5*'CALCULO MORTERO'!I1661+'BLAZE SHIELD II'!$L$6)*LN(J1661))+('BLAZE SHIELD II'!$L$7*('CALCULO MORTERO'!I1661^2)+'BLAZE SHIELD II'!$L$8*'CALCULO MORTERO'!I1661+'BLAZE SHIELD II'!$L$9)),0)+IF(AND(L1661="Blaze Shield II",M1661="Software Idiem",C1661="L"),((('BLAZE SHIELD II'!$L$4*('CALCULO MORTERO'!I1661^2)+'BLAZE SHIELD II'!$L$5*'CALCULO MORTERO'!I1661+'BLAZE SHIELD II'!$L$6)*LN(J1661))+('BLAZE SHIELD II'!$L$7*('CALCULO MORTERO'!I1661^2)+'BLAZE SHIELD II'!$L$8*'CALCULO MORTERO'!I1661+'BLAZE SHIELD II'!$L$9)),0)+IF(AND(L1661="Blaze Shield II",M1661="Software Idiem",C1661="IN",G1661=3),((('BLAZE SHIELD II'!$H$14*('CALCULO MORTERO'!I1661^2)+'BLAZE SHIELD II'!$H$15*'CALCULO MORTERO'!I1661+'BLAZE SHIELD II'!$H$16)*LN(J1661))+('BLAZE SHIELD II'!$H$17*('CALCULO MORTERO'!I1661^2)+'BLAZE SHIELD II'!$H$18*'CALCULO MORTERO'!I1661+'BLAZE SHIELD II'!$H$19)),0),0)+ROUND(IF(AND(L1661="Cafco 400",M1661="Software Idiem",C1661="IN",G1661=4),((('CAFCO 400 '!$H$7*(J1661^4)+'CAFCO 400 '!$H$8*(J1661^3)+'CAFCO 400 '!$H$9*(J1661^2)+'CAFCO 400 '!$H$10*J1661+'CAFCO 400 '!$H$11)*U1661^2)+(('CAFCO 400 '!$H$12*(J1661^3)+'CAFCO 400 '!$H$13*(J1661^2)+'CAFCO 400 '!$H$14*J1661+'CAFCO 400 '!$H$15)*U1661)+('CAFCO 400 '!$H$16*(J1661^2)+'CAFCO 400 '!$H$17*J1661+'CAFCO 400 '!$H$18)),0)+IF(AND(L1661="Cafco 400",M1661="Software Idiem",C1661="Cj"),(((('CAFCO 400 '!$D$7*LN(J1661)+'CAFCO 400 '!$D$8)*U1661^2)+(('CAFCO 400 '!$D$9*LN(J1661)+'CAFCO 400 '!$D$10)*U1661)+('CAFCO 400 '!$D$11*LN(J1661)+'CAFCO 400 '!$D$12))),0)+IF(AND(L1661="Cafco 400",M1661="Software Idiem",C1661="C"),((('CAFCO 400 '!$L$7*(J1661^3)+'CAFCO 400 '!$L$8*(J1661^2)+'CAFCO 400 '!$L$9*J1661+'CAFCO 400 '!$L$10)*U1661^2)+(('CAFCO 400 '!$L$11*(J1661^3)+'CAFCO 400 '!$L$12*(J1661^2)+'CAFCO 400 '!$L$13*J1661+'CAFCO 400 '!$L$14)*U1661)+('CAFCO 400 '!$L$15*LN(J1661)+'CAFCO 400 '!$L$16)),0)+IF(AND(L1661="Cafco 400",M1661="Software Idiem",C1661="L"),((('CAFCO 400 '!$L$7*(J1661^3)+'CAFCO 400 '!$L$8*(J1661^2)+'CAFCO 400 '!$L$9*J1661+'CAFCO 400 '!$L$10)*U1661^2)+(('CAFCO 400 '!$L$11*(J1661^3)+'CAFCO 400 '!$L$12*(J1661^2)+'CAFCO 400 '!$L$13*J1661+'CAFCO 400 '!$L$14)*U1661)+('CAFCO 400 '!$L$15*LN(J1661)+'CAFCO 400 '!$L$16)),0)+IF(AND(L1661="Cafco 400",M1661="Software Idiem",C1661="IN",G1661=3),((('CAFCO 400 '!$D$23*(J1661^2)+'CAFCO 400 '!$D$24*(J1661)+'CAFCO 400 '!$D$25)*U1661^2)+(('CAFCO 400 '!$D$26*(J1661^2)+'CAFCO 400 '!$D$27*J1661+'CAFCO 400 '!$D$28)*U1661)+('CAFCO 400 '!$D$29*(J1661^2)+'CAFCO 400 '!$D$30*J1661+'CAFCO 400 '!$D$31)),0),0)+IF(AND(L1661="Cafco 300",J1661&gt;=95,J1661&lt;=240,C1661="Cj",I1661=90),VLOOKUP(T1661,'CAFCO 300 IDIEM TABLAS'!$B$4:$D$23,2,FALSE),0)+IF(AND(L1661="Cafco 300",J1661&gt;=95,J1661&lt;=240,C1661="Cj",I1661=120),VLOOKUP(T1661,'CAFCO 300 IDIEM TABLAS'!$B$4:$D$23,3,FALSE),0)+IF(AND(L1661="Cafco 300",J1661&gt;=95,J1661&lt;=400,G1661=3,C1661="IN",I1661=90),VLOOKUP(T1661,'CAFCO 300 IDIEM TABLAS'!$F$4:$H$35,2,FALSE),0)+IF(AND(L1661="Cafco 300",J1661&gt;=95,J1661&lt;=400,G1661=3,C1661="IN",I1661=120),VLOOKUP(T1661,'CAFCO 300 IDIEM TABLAS'!$F$4:$H$35,3,FALSE),0)+IF(AND(L1661="Cafco 300",J1661&gt;=95,J1661&lt;=450,G1661=4,C1661="IN",I1661=90),VLOOKUP(T1661,'CAFCO 300 IDIEM TABLAS'!$J$4:$L$40,2,FALSE),0)+IF(AND(L1661="Cafco 300",J1661&gt;=95,J1661&lt;=450,G1661=4,C1661="IN",I1661=120),VLOOKUP(T1661,'CAFCO 300 IDIEM TABLAS'!$J$4:$L$40,3,FALSE),0)+IF(AND(M1661="Ensayo Idiem",L1661="Cafco 400",C1661="IN",G1661=4,I1661=90),VLOOKUP(T1661,'CAFCO 400 ENSAYO'!$B$7:$D$43,2,FALSE),0)+IF(AND(M1661="Ensayo Idiem",L1661="Cafco 400",C1661="IN",G1661=4,I1661=120),VLOOKUP(T1661,'CAFCO 400 ENSAYO'!$B$7:$D$43,3,FALSE),0)</f>
        <v>0</v>
      </c>
      <c r="O1661" s="96">
        <f t="shared" si="162"/>
        <v>0</v>
      </c>
      <c r="P1661" s="132" t="str">
        <f t="shared" si="163"/>
        <v>N/A</v>
      </c>
      <c r="Q1661" s="132" t="str">
        <f t="shared" si="164"/>
        <v>N/A</v>
      </c>
      <c r="R1661" s="132" t="str">
        <f t="shared" si="165"/>
        <v>NO CERT.</v>
      </c>
      <c r="S1661" s="132" t="e">
        <f t="shared" si="166"/>
        <v>#N/A</v>
      </c>
      <c r="T1661" s="133" t="e">
        <f>+IF(J1661=LOOKUP(J1661,'CAFCO 300 IDIEM TABLAS'!$J$4:$J$40),'CALCULO MORTERO'!J1661,MROUND('CALCULO MORTERO'!J1661,10))</f>
        <v>#N/A</v>
      </c>
      <c r="U1661" s="134">
        <f t="shared" si="167"/>
        <v>0</v>
      </c>
    </row>
    <row r="1662" spans="1:21" x14ac:dyDescent="0.25">
      <c r="A1662" s="118">
        <f>+CUBICACION!D1656</f>
        <v>0</v>
      </c>
      <c r="B1662" s="819">
        <f>+CUBICACION!E1656</f>
        <v>0</v>
      </c>
      <c r="C1662" s="675">
        <f>+CUBICACION!F1656</f>
        <v>0</v>
      </c>
      <c r="D1662" s="118"/>
      <c r="E1662" s="118"/>
      <c r="F1662" s="820"/>
      <c r="G1662" s="675">
        <f>+CUBICACION!J1656</f>
        <v>0</v>
      </c>
      <c r="H1662" s="118"/>
      <c r="I1662" s="821">
        <f>+CUBICACION!L1656</f>
        <v>0</v>
      </c>
      <c r="J1662" s="64">
        <f>+CUBICACION!M1656</f>
        <v>0</v>
      </c>
      <c r="K1662" s="822">
        <f>+CUBICACION!N1656</f>
        <v>0</v>
      </c>
      <c r="L1662" s="118">
        <f>+CUBICACION!O1656</f>
        <v>0</v>
      </c>
      <c r="M1662" s="823">
        <f>+CUBICACION!P1656</f>
        <v>0</v>
      </c>
      <c r="N1662" s="902">
        <f>ROUND(IF(AND(L1662="Blaze Shield II",M1662="Software Idiem",C1662="IN",G1662=4),((('BLAZE SHIELD II'!$D$4*('CALCULO MORTERO'!I1662^2)+'BLAZE SHIELD II'!$D$5*'CALCULO MORTERO'!I1662+'BLAZE SHIELD II'!$D$6)*LN(J1662))+('BLAZE SHIELD II'!$D$7*('CALCULO MORTERO'!I1662^2)+'BLAZE SHIELD II'!$D$8*'CALCULO MORTERO'!I1662+'BLAZE SHIELD II'!$D$9)),0)+IF(AND(L1662="Blaze Shield II",M1662="Software Idiem",C1662="Cj"),((('BLAZE SHIELD II'!$H$4*('CALCULO MORTERO'!I1662^2)+'BLAZE SHIELD II'!$H$5*'CALCULO MORTERO'!I1662+'BLAZE SHIELD II'!$H$6)*LN(J1662))+('BLAZE SHIELD II'!$H$7*('CALCULO MORTERO'!I1662^2)+'BLAZE SHIELD II'!$H$8*'CALCULO MORTERO'!I1662+'BLAZE SHIELD II'!$H$9)),0)+IF(AND(L1662="Blaze Shield II",M1662="Software Idiem",C1662="C"),((('BLAZE SHIELD II'!$L$4*('CALCULO MORTERO'!I1662^2)+'BLAZE SHIELD II'!$L$5*'CALCULO MORTERO'!I1662+'BLAZE SHIELD II'!$L$6)*LN(J1662))+('BLAZE SHIELD II'!$L$7*('CALCULO MORTERO'!I1662^2)+'BLAZE SHIELD II'!$L$8*'CALCULO MORTERO'!I1662+'BLAZE SHIELD II'!$L$9)),0)+IF(AND(L1662="Blaze Shield II",M1662="Software Idiem",C1662="L"),((('BLAZE SHIELD II'!$L$4*('CALCULO MORTERO'!I1662^2)+'BLAZE SHIELD II'!$L$5*'CALCULO MORTERO'!I1662+'BLAZE SHIELD II'!$L$6)*LN(J1662))+('BLAZE SHIELD II'!$L$7*('CALCULO MORTERO'!I1662^2)+'BLAZE SHIELD II'!$L$8*'CALCULO MORTERO'!I1662+'BLAZE SHIELD II'!$L$9)),0)+IF(AND(L1662="Blaze Shield II",M1662="Software Idiem",C1662="IN",G1662=3),((('BLAZE SHIELD II'!$H$14*('CALCULO MORTERO'!I1662^2)+'BLAZE SHIELD II'!$H$15*'CALCULO MORTERO'!I1662+'BLAZE SHIELD II'!$H$16)*LN(J1662))+('BLAZE SHIELD II'!$H$17*('CALCULO MORTERO'!I1662^2)+'BLAZE SHIELD II'!$H$18*'CALCULO MORTERO'!I1662+'BLAZE SHIELD II'!$H$19)),0),0)+ROUND(IF(AND(L1662="Cafco 400",M1662="Software Idiem",C1662="IN",G1662=4),((('CAFCO 400 '!$H$7*(J1662^4)+'CAFCO 400 '!$H$8*(J1662^3)+'CAFCO 400 '!$H$9*(J1662^2)+'CAFCO 400 '!$H$10*J1662+'CAFCO 400 '!$H$11)*U1662^2)+(('CAFCO 400 '!$H$12*(J1662^3)+'CAFCO 400 '!$H$13*(J1662^2)+'CAFCO 400 '!$H$14*J1662+'CAFCO 400 '!$H$15)*U1662)+('CAFCO 400 '!$H$16*(J1662^2)+'CAFCO 400 '!$H$17*J1662+'CAFCO 400 '!$H$18)),0)+IF(AND(L1662="Cafco 400",M1662="Software Idiem",C1662="Cj"),(((('CAFCO 400 '!$D$7*LN(J1662)+'CAFCO 400 '!$D$8)*U1662^2)+(('CAFCO 400 '!$D$9*LN(J1662)+'CAFCO 400 '!$D$10)*U1662)+('CAFCO 400 '!$D$11*LN(J1662)+'CAFCO 400 '!$D$12))),0)+IF(AND(L1662="Cafco 400",M1662="Software Idiem",C1662="C"),((('CAFCO 400 '!$L$7*(J1662^3)+'CAFCO 400 '!$L$8*(J1662^2)+'CAFCO 400 '!$L$9*J1662+'CAFCO 400 '!$L$10)*U1662^2)+(('CAFCO 400 '!$L$11*(J1662^3)+'CAFCO 400 '!$L$12*(J1662^2)+'CAFCO 400 '!$L$13*J1662+'CAFCO 400 '!$L$14)*U1662)+('CAFCO 400 '!$L$15*LN(J1662)+'CAFCO 400 '!$L$16)),0)+IF(AND(L1662="Cafco 400",M1662="Software Idiem",C1662="L"),((('CAFCO 400 '!$L$7*(J1662^3)+'CAFCO 400 '!$L$8*(J1662^2)+'CAFCO 400 '!$L$9*J1662+'CAFCO 400 '!$L$10)*U1662^2)+(('CAFCO 400 '!$L$11*(J1662^3)+'CAFCO 400 '!$L$12*(J1662^2)+'CAFCO 400 '!$L$13*J1662+'CAFCO 400 '!$L$14)*U1662)+('CAFCO 400 '!$L$15*LN(J1662)+'CAFCO 400 '!$L$16)),0)+IF(AND(L1662="Cafco 400",M1662="Software Idiem",C1662="IN",G1662=3),((('CAFCO 400 '!$D$23*(J1662^2)+'CAFCO 400 '!$D$24*(J1662)+'CAFCO 400 '!$D$25)*U1662^2)+(('CAFCO 400 '!$D$26*(J1662^2)+'CAFCO 400 '!$D$27*J1662+'CAFCO 400 '!$D$28)*U1662)+('CAFCO 400 '!$D$29*(J1662^2)+'CAFCO 400 '!$D$30*J1662+'CAFCO 400 '!$D$31)),0),0)+IF(AND(L1662="Cafco 300",J1662&gt;=95,J1662&lt;=240,C1662="Cj",I1662=90),VLOOKUP(T1662,'CAFCO 300 IDIEM TABLAS'!$B$4:$D$23,2,FALSE),0)+IF(AND(L1662="Cafco 300",J1662&gt;=95,J1662&lt;=240,C1662="Cj",I1662=120),VLOOKUP(T1662,'CAFCO 300 IDIEM TABLAS'!$B$4:$D$23,3,FALSE),0)+IF(AND(L1662="Cafco 300",J1662&gt;=95,J1662&lt;=400,G1662=3,C1662="IN",I1662=90),VLOOKUP(T1662,'CAFCO 300 IDIEM TABLAS'!$F$4:$H$35,2,FALSE),0)+IF(AND(L1662="Cafco 300",J1662&gt;=95,J1662&lt;=400,G1662=3,C1662="IN",I1662=120),VLOOKUP(T1662,'CAFCO 300 IDIEM TABLAS'!$F$4:$H$35,3,FALSE),0)+IF(AND(L1662="Cafco 300",J1662&gt;=95,J1662&lt;=450,G1662=4,C1662="IN",I1662=90),VLOOKUP(T1662,'CAFCO 300 IDIEM TABLAS'!$J$4:$L$40,2,FALSE),0)+IF(AND(L1662="Cafco 300",J1662&gt;=95,J1662&lt;=450,G1662=4,C1662="IN",I1662=120),VLOOKUP(T1662,'CAFCO 300 IDIEM TABLAS'!$J$4:$L$40,3,FALSE),0)+IF(AND(M1662="Ensayo Idiem",L1662="Cafco 400",C1662="IN",G1662=4,I1662=90),VLOOKUP(T1662,'CAFCO 400 ENSAYO'!$B$7:$D$43,2,FALSE),0)+IF(AND(M1662="Ensayo Idiem",L1662="Cafco 400",C1662="IN",G1662=4,I1662=120),VLOOKUP(T1662,'CAFCO 400 ENSAYO'!$B$7:$D$43,3,FALSE),0)</f>
        <v>0</v>
      </c>
      <c r="O1662" s="96">
        <f t="shared" si="162"/>
        <v>0</v>
      </c>
      <c r="P1662" s="95" t="str">
        <f t="shared" si="163"/>
        <v>N/A</v>
      </c>
      <c r="Q1662" s="95" t="str">
        <f t="shared" si="164"/>
        <v>N/A</v>
      </c>
      <c r="R1662" s="95" t="str">
        <f t="shared" si="165"/>
        <v>NO CERT.</v>
      </c>
      <c r="S1662" s="95" t="e">
        <f t="shared" si="166"/>
        <v>#N/A</v>
      </c>
      <c r="T1662" s="119" t="e">
        <f>+IF(J1662=LOOKUP(J1662,'CAFCO 300 IDIEM TABLAS'!$J$4:$J$40),'CALCULO MORTERO'!J1662,MROUND('CALCULO MORTERO'!J1662,10))</f>
        <v>#N/A</v>
      </c>
      <c r="U1662" s="118">
        <f t="shared" si="167"/>
        <v>0</v>
      </c>
    </row>
    <row r="1663" spans="1:21" x14ac:dyDescent="0.25">
      <c r="A1663" s="118">
        <f>+CUBICACION!D1657</f>
        <v>0</v>
      </c>
      <c r="B1663" s="819">
        <f>+CUBICACION!E1657</f>
        <v>0</v>
      </c>
      <c r="C1663" s="675">
        <f>+CUBICACION!F1657</f>
        <v>0</v>
      </c>
      <c r="D1663" s="118"/>
      <c r="E1663" s="118"/>
      <c r="F1663" s="820"/>
      <c r="G1663" s="675">
        <f>+CUBICACION!J1657</f>
        <v>0</v>
      </c>
      <c r="H1663" s="118"/>
      <c r="I1663" s="821">
        <f>+CUBICACION!L1657</f>
        <v>0</v>
      </c>
      <c r="J1663" s="64">
        <f>+CUBICACION!M1657</f>
        <v>0</v>
      </c>
      <c r="K1663" s="822">
        <f>+CUBICACION!N1657</f>
        <v>0</v>
      </c>
      <c r="L1663" s="118">
        <f>+CUBICACION!O1657</f>
        <v>0</v>
      </c>
      <c r="M1663" s="823">
        <f>+CUBICACION!P1657</f>
        <v>0</v>
      </c>
      <c r="N1663" s="902">
        <f>ROUND(IF(AND(L1663="Blaze Shield II",M1663="Software Idiem",C1663="IN",G1663=4),((('BLAZE SHIELD II'!$D$4*('CALCULO MORTERO'!I1663^2)+'BLAZE SHIELD II'!$D$5*'CALCULO MORTERO'!I1663+'BLAZE SHIELD II'!$D$6)*LN(J1663))+('BLAZE SHIELD II'!$D$7*('CALCULO MORTERO'!I1663^2)+'BLAZE SHIELD II'!$D$8*'CALCULO MORTERO'!I1663+'BLAZE SHIELD II'!$D$9)),0)+IF(AND(L1663="Blaze Shield II",M1663="Software Idiem",C1663="Cj"),((('BLAZE SHIELD II'!$H$4*('CALCULO MORTERO'!I1663^2)+'BLAZE SHIELD II'!$H$5*'CALCULO MORTERO'!I1663+'BLAZE SHIELD II'!$H$6)*LN(J1663))+('BLAZE SHIELD II'!$H$7*('CALCULO MORTERO'!I1663^2)+'BLAZE SHIELD II'!$H$8*'CALCULO MORTERO'!I1663+'BLAZE SHIELD II'!$H$9)),0)+IF(AND(L1663="Blaze Shield II",M1663="Software Idiem",C1663="C"),((('BLAZE SHIELD II'!$L$4*('CALCULO MORTERO'!I1663^2)+'BLAZE SHIELD II'!$L$5*'CALCULO MORTERO'!I1663+'BLAZE SHIELD II'!$L$6)*LN(J1663))+('BLAZE SHIELD II'!$L$7*('CALCULO MORTERO'!I1663^2)+'BLAZE SHIELD II'!$L$8*'CALCULO MORTERO'!I1663+'BLAZE SHIELD II'!$L$9)),0)+IF(AND(L1663="Blaze Shield II",M1663="Software Idiem",C1663="L"),((('BLAZE SHIELD II'!$L$4*('CALCULO MORTERO'!I1663^2)+'BLAZE SHIELD II'!$L$5*'CALCULO MORTERO'!I1663+'BLAZE SHIELD II'!$L$6)*LN(J1663))+('BLAZE SHIELD II'!$L$7*('CALCULO MORTERO'!I1663^2)+'BLAZE SHIELD II'!$L$8*'CALCULO MORTERO'!I1663+'BLAZE SHIELD II'!$L$9)),0)+IF(AND(L1663="Blaze Shield II",M1663="Software Idiem",C1663="IN",G1663=3),((('BLAZE SHIELD II'!$H$14*('CALCULO MORTERO'!I1663^2)+'BLAZE SHIELD II'!$H$15*'CALCULO MORTERO'!I1663+'BLAZE SHIELD II'!$H$16)*LN(J1663))+('BLAZE SHIELD II'!$H$17*('CALCULO MORTERO'!I1663^2)+'BLAZE SHIELD II'!$H$18*'CALCULO MORTERO'!I1663+'BLAZE SHIELD II'!$H$19)),0),0)+ROUND(IF(AND(L1663="Cafco 400",M1663="Software Idiem",C1663="IN",G1663=4),((('CAFCO 400 '!$H$7*(J1663^4)+'CAFCO 400 '!$H$8*(J1663^3)+'CAFCO 400 '!$H$9*(J1663^2)+'CAFCO 400 '!$H$10*J1663+'CAFCO 400 '!$H$11)*U1663^2)+(('CAFCO 400 '!$H$12*(J1663^3)+'CAFCO 400 '!$H$13*(J1663^2)+'CAFCO 400 '!$H$14*J1663+'CAFCO 400 '!$H$15)*U1663)+('CAFCO 400 '!$H$16*(J1663^2)+'CAFCO 400 '!$H$17*J1663+'CAFCO 400 '!$H$18)),0)+IF(AND(L1663="Cafco 400",M1663="Software Idiem",C1663="Cj"),(((('CAFCO 400 '!$D$7*LN(J1663)+'CAFCO 400 '!$D$8)*U1663^2)+(('CAFCO 400 '!$D$9*LN(J1663)+'CAFCO 400 '!$D$10)*U1663)+('CAFCO 400 '!$D$11*LN(J1663)+'CAFCO 400 '!$D$12))),0)+IF(AND(L1663="Cafco 400",M1663="Software Idiem",C1663="C"),((('CAFCO 400 '!$L$7*(J1663^3)+'CAFCO 400 '!$L$8*(J1663^2)+'CAFCO 400 '!$L$9*J1663+'CAFCO 400 '!$L$10)*U1663^2)+(('CAFCO 400 '!$L$11*(J1663^3)+'CAFCO 400 '!$L$12*(J1663^2)+'CAFCO 400 '!$L$13*J1663+'CAFCO 400 '!$L$14)*U1663)+('CAFCO 400 '!$L$15*LN(J1663)+'CAFCO 400 '!$L$16)),0)+IF(AND(L1663="Cafco 400",M1663="Software Idiem",C1663="L"),((('CAFCO 400 '!$L$7*(J1663^3)+'CAFCO 400 '!$L$8*(J1663^2)+'CAFCO 400 '!$L$9*J1663+'CAFCO 400 '!$L$10)*U1663^2)+(('CAFCO 400 '!$L$11*(J1663^3)+'CAFCO 400 '!$L$12*(J1663^2)+'CAFCO 400 '!$L$13*J1663+'CAFCO 400 '!$L$14)*U1663)+('CAFCO 400 '!$L$15*LN(J1663)+'CAFCO 400 '!$L$16)),0)+IF(AND(L1663="Cafco 400",M1663="Software Idiem",C1663="IN",G1663=3),((('CAFCO 400 '!$D$23*(J1663^2)+'CAFCO 400 '!$D$24*(J1663)+'CAFCO 400 '!$D$25)*U1663^2)+(('CAFCO 400 '!$D$26*(J1663^2)+'CAFCO 400 '!$D$27*J1663+'CAFCO 400 '!$D$28)*U1663)+('CAFCO 400 '!$D$29*(J1663^2)+'CAFCO 400 '!$D$30*J1663+'CAFCO 400 '!$D$31)),0),0)+IF(AND(L1663="Cafco 300",J1663&gt;=95,J1663&lt;=240,C1663="Cj",I1663=90),VLOOKUP(T1663,'CAFCO 300 IDIEM TABLAS'!$B$4:$D$23,2,FALSE),0)+IF(AND(L1663="Cafco 300",J1663&gt;=95,J1663&lt;=240,C1663="Cj",I1663=120),VLOOKUP(T1663,'CAFCO 300 IDIEM TABLAS'!$B$4:$D$23,3,FALSE),0)+IF(AND(L1663="Cafco 300",J1663&gt;=95,J1663&lt;=400,G1663=3,C1663="IN",I1663=90),VLOOKUP(T1663,'CAFCO 300 IDIEM TABLAS'!$F$4:$H$35,2,FALSE),0)+IF(AND(L1663="Cafco 300",J1663&gt;=95,J1663&lt;=400,G1663=3,C1663="IN",I1663=120),VLOOKUP(T1663,'CAFCO 300 IDIEM TABLAS'!$F$4:$H$35,3,FALSE),0)+IF(AND(L1663="Cafco 300",J1663&gt;=95,J1663&lt;=450,G1663=4,C1663="IN",I1663=90),VLOOKUP(T1663,'CAFCO 300 IDIEM TABLAS'!$J$4:$L$40,2,FALSE),0)+IF(AND(L1663="Cafco 300",J1663&gt;=95,J1663&lt;=450,G1663=4,C1663="IN",I1663=120),VLOOKUP(T1663,'CAFCO 300 IDIEM TABLAS'!$J$4:$L$40,3,FALSE),0)+IF(AND(M1663="Ensayo Idiem",L1663="Cafco 400",C1663="IN",G1663=4,I1663=90),VLOOKUP(T1663,'CAFCO 400 ENSAYO'!$B$7:$D$43,2,FALSE),0)+IF(AND(M1663="Ensayo Idiem",L1663="Cafco 400",C1663="IN",G1663=4,I1663=120),VLOOKUP(T1663,'CAFCO 400 ENSAYO'!$B$7:$D$43,3,FALSE),0)</f>
        <v>0</v>
      </c>
      <c r="O1663" s="96">
        <f t="shared" si="162"/>
        <v>0</v>
      </c>
      <c r="P1663" s="132" t="str">
        <f t="shared" si="163"/>
        <v>N/A</v>
      </c>
      <c r="Q1663" s="132" t="str">
        <f t="shared" si="164"/>
        <v>N/A</v>
      </c>
      <c r="R1663" s="132" t="str">
        <f t="shared" si="165"/>
        <v>NO CERT.</v>
      </c>
      <c r="S1663" s="132" t="e">
        <f t="shared" si="166"/>
        <v>#N/A</v>
      </c>
      <c r="T1663" s="133" t="e">
        <f>+IF(J1663=LOOKUP(J1663,'CAFCO 300 IDIEM TABLAS'!$J$4:$J$40),'CALCULO MORTERO'!J1663,MROUND('CALCULO MORTERO'!J1663,10))</f>
        <v>#N/A</v>
      </c>
      <c r="U1663" s="134">
        <f t="shared" si="167"/>
        <v>0</v>
      </c>
    </row>
    <row r="1664" spans="1:21" x14ac:dyDescent="0.25">
      <c r="A1664" s="118">
        <f>+CUBICACION!D1658</f>
        <v>0</v>
      </c>
      <c r="B1664" s="819">
        <f>+CUBICACION!E1658</f>
        <v>0</v>
      </c>
      <c r="C1664" s="675">
        <f>+CUBICACION!F1658</f>
        <v>0</v>
      </c>
      <c r="D1664" s="118"/>
      <c r="E1664" s="118"/>
      <c r="F1664" s="820"/>
      <c r="G1664" s="675">
        <f>+CUBICACION!J1658</f>
        <v>0</v>
      </c>
      <c r="H1664" s="118"/>
      <c r="I1664" s="821">
        <f>+CUBICACION!L1658</f>
        <v>0</v>
      </c>
      <c r="J1664" s="64">
        <f>+CUBICACION!M1658</f>
        <v>0</v>
      </c>
      <c r="K1664" s="822">
        <f>+CUBICACION!N1658</f>
        <v>0</v>
      </c>
      <c r="L1664" s="118">
        <f>+CUBICACION!O1658</f>
        <v>0</v>
      </c>
      <c r="M1664" s="823">
        <f>+CUBICACION!P1658</f>
        <v>0</v>
      </c>
      <c r="N1664" s="902">
        <f>ROUND(IF(AND(L1664="Blaze Shield II",M1664="Software Idiem",C1664="IN",G1664=4),((('BLAZE SHIELD II'!$D$4*('CALCULO MORTERO'!I1664^2)+'BLAZE SHIELD II'!$D$5*'CALCULO MORTERO'!I1664+'BLAZE SHIELD II'!$D$6)*LN(J1664))+('BLAZE SHIELD II'!$D$7*('CALCULO MORTERO'!I1664^2)+'BLAZE SHIELD II'!$D$8*'CALCULO MORTERO'!I1664+'BLAZE SHIELD II'!$D$9)),0)+IF(AND(L1664="Blaze Shield II",M1664="Software Idiem",C1664="Cj"),((('BLAZE SHIELD II'!$H$4*('CALCULO MORTERO'!I1664^2)+'BLAZE SHIELD II'!$H$5*'CALCULO MORTERO'!I1664+'BLAZE SHIELD II'!$H$6)*LN(J1664))+('BLAZE SHIELD II'!$H$7*('CALCULO MORTERO'!I1664^2)+'BLAZE SHIELD II'!$H$8*'CALCULO MORTERO'!I1664+'BLAZE SHIELD II'!$H$9)),0)+IF(AND(L1664="Blaze Shield II",M1664="Software Idiem",C1664="C"),((('BLAZE SHIELD II'!$L$4*('CALCULO MORTERO'!I1664^2)+'BLAZE SHIELD II'!$L$5*'CALCULO MORTERO'!I1664+'BLAZE SHIELD II'!$L$6)*LN(J1664))+('BLAZE SHIELD II'!$L$7*('CALCULO MORTERO'!I1664^2)+'BLAZE SHIELD II'!$L$8*'CALCULO MORTERO'!I1664+'BLAZE SHIELD II'!$L$9)),0)+IF(AND(L1664="Blaze Shield II",M1664="Software Idiem",C1664="L"),((('BLAZE SHIELD II'!$L$4*('CALCULO MORTERO'!I1664^2)+'BLAZE SHIELD II'!$L$5*'CALCULO MORTERO'!I1664+'BLAZE SHIELD II'!$L$6)*LN(J1664))+('BLAZE SHIELD II'!$L$7*('CALCULO MORTERO'!I1664^2)+'BLAZE SHIELD II'!$L$8*'CALCULO MORTERO'!I1664+'BLAZE SHIELD II'!$L$9)),0)+IF(AND(L1664="Blaze Shield II",M1664="Software Idiem",C1664="IN",G1664=3),((('BLAZE SHIELD II'!$H$14*('CALCULO MORTERO'!I1664^2)+'BLAZE SHIELD II'!$H$15*'CALCULO MORTERO'!I1664+'BLAZE SHIELD II'!$H$16)*LN(J1664))+('BLAZE SHIELD II'!$H$17*('CALCULO MORTERO'!I1664^2)+'BLAZE SHIELD II'!$H$18*'CALCULO MORTERO'!I1664+'BLAZE SHIELD II'!$H$19)),0),0)+ROUND(IF(AND(L1664="Cafco 400",M1664="Software Idiem",C1664="IN",G1664=4),((('CAFCO 400 '!$H$7*(J1664^4)+'CAFCO 400 '!$H$8*(J1664^3)+'CAFCO 400 '!$H$9*(J1664^2)+'CAFCO 400 '!$H$10*J1664+'CAFCO 400 '!$H$11)*U1664^2)+(('CAFCO 400 '!$H$12*(J1664^3)+'CAFCO 400 '!$H$13*(J1664^2)+'CAFCO 400 '!$H$14*J1664+'CAFCO 400 '!$H$15)*U1664)+('CAFCO 400 '!$H$16*(J1664^2)+'CAFCO 400 '!$H$17*J1664+'CAFCO 400 '!$H$18)),0)+IF(AND(L1664="Cafco 400",M1664="Software Idiem",C1664="Cj"),(((('CAFCO 400 '!$D$7*LN(J1664)+'CAFCO 400 '!$D$8)*U1664^2)+(('CAFCO 400 '!$D$9*LN(J1664)+'CAFCO 400 '!$D$10)*U1664)+('CAFCO 400 '!$D$11*LN(J1664)+'CAFCO 400 '!$D$12))),0)+IF(AND(L1664="Cafco 400",M1664="Software Idiem",C1664="C"),((('CAFCO 400 '!$L$7*(J1664^3)+'CAFCO 400 '!$L$8*(J1664^2)+'CAFCO 400 '!$L$9*J1664+'CAFCO 400 '!$L$10)*U1664^2)+(('CAFCO 400 '!$L$11*(J1664^3)+'CAFCO 400 '!$L$12*(J1664^2)+'CAFCO 400 '!$L$13*J1664+'CAFCO 400 '!$L$14)*U1664)+('CAFCO 400 '!$L$15*LN(J1664)+'CAFCO 400 '!$L$16)),0)+IF(AND(L1664="Cafco 400",M1664="Software Idiem",C1664="L"),((('CAFCO 400 '!$L$7*(J1664^3)+'CAFCO 400 '!$L$8*(J1664^2)+'CAFCO 400 '!$L$9*J1664+'CAFCO 400 '!$L$10)*U1664^2)+(('CAFCO 400 '!$L$11*(J1664^3)+'CAFCO 400 '!$L$12*(J1664^2)+'CAFCO 400 '!$L$13*J1664+'CAFCO 400 '!$L$14)*U1664)+('CAFCO 400 '!$L$15*LN(J1664)+'CAFCO 400 '!$L$16)),0)+IF(AND(L1664="Cafco 400",M1664="Software Idiem",C1664="IN",G1664=3),((('CAFCO 400 '!$D$23*(J1664^2)+'CAFCO 400 '!$D$24*(J1664)+'CAFCO 400 '!$D$25)*U1664^2)+(('CAFCO 400 '!$D$26*(J1664^2)+'CAFCO 400 '!$D$27*J1664+'CAFCO 400 '!$D$28)*U1664)+('CAFCO 400 '!$D$29*(J1664^2)+'CAFCO 400 '!$D$30*J1664+'CAFCO 400 '!$D$31)),0),0)+IF(AND(L1664="Cafco 300",J1664&gt;=95,J1664&lt;=240,C1664="Cj",I1664=90),VLOOKUP(T1664,'CAFCO 300 IDIEM TABLAS'!$B$4:$D$23,2,FALSE),0)+IF(AND(L1664="Cafco 300",J1664&gt;=95,J1664&lt;=240,C1664="Cj",I1664=120),VLOOKUP(T1664,'CAFCO 300 IDIEM TABLAS'!$B$4:$D$23,3,FALSE),0)+IF(AND(L1664="Cafco 300",J1664&gt;=95,J1664&lt;=400,G1664=3,C1664="IN",I1664=90),VLOOKUP(T1664,'CAFCO 300 IDIEM TABLAS'!$F$4:$H$35,2,FALSE),0)+IF(AND(L1664="Cafco 300",J1664&gt;=95,J1664&lt;=400,G1664=3,C1664="IN",I1664=120),VLOOKUP(T1664,'CAFCO 300 IDIEM TABLAS'!$F$4:$H$35,3,FALSE),0)+IF(AND(L1664="Cafco 300",J1664&gt;=95,J1664&lt;=450,G1664=4,C1664="IN",I1664=90),VLOOKUP(T1664,'CAFCO 300 IDIEM TABLAS'!$J$4:$L$40,2,FALSE),0)+IF(AND(L1664="Cafco 300",J1664&gt;=95,J1664&lt;=450,G1664=4,C1664="IN",I1664=120),VLOOKUP(T1664,'CAFCO 300 IDIEM TABLAS'!$J$4:$L$40,3,FALSE),0)+IF(AND(M1664="Ensayo Idiem",L1664="Cafco 400",C1664="IN",G1664=4,I1664=90),VLOOKUP(T1664,'CAFCO 400 ENSAYO'!$B$7:$D$43,2,FALSE),0)+IF(AND(M1664="Ensayo Idiem",L1664="Cafco 400",C1664="IN",G1664=4,I1664=120),VLOOKUP(T1664,'CAFCO 400 ENSAYO'!$B$7:$D$43,3,FALSE),0)</f>
        <v>0</v>
      </c>
      <c r="O1664" s="96">
        <f t="shared" si="162"/>
        <v>0</v>
      </c>
      <c r="P1664" s="95" t="str">
        <f t="shared" si="163"/>
        <v>N/A</v>
      </c>
      <c r="Q1664" s="95" t="str">
        <f t="shared" si="164"/>
        <v>N/A</v>
      </c>
      <c r="R1664" s="95" t="str">
        <f t="shared" si="165"/>
        <v>NO CERT.</v>
      </c>
      <c r="S1664" s="95" t="e">
        <f t="shared" si="166"/>
        <v>#N/A</v>
      </c>
      <c r="T1664" s="119" t="e">
        <f>+IF(J1664=LOOKUP(J1664,'CAFCO 300 IDIEM TABLAS'!$J$4:$J$40),'CALCULO MORTERO'!J1664,MROUND('CALCULO MORTERO'!J1664,10))</f>
        <v>#N/A</v>
      </c>
      <c r="U1664" s="118">
        <f t="shared" si="167"/>
        <v>0</v>
      </c>
    </row>
    <row r="1665" spans="1:21" x14ac:dyDescent="0.25">
      <c r="A1665" s="118">
        <f>+CUBICACION!D1659</f>
        <v>0</v>
      </c>
      <c r="B1665" s="819">
        <f>+CUBICACION!E1659</f>
        <v>0</v>
      </c>
      <c r="C1665" s="675">
        <f>+CUBICACION!F1659</f>
        <v>0</v>
      </c>
      <c r="D1665" s="118"/>
      <c r="E1665" s="118"/>
      <c r="F1665" s="820"/>
      <c r="G1665" s="675">
        <f>+CUBICACION!J1659</f>
        <v>0</v>
      </c>
      <c r="H1665" s="118"/>
      <c r="I1665" s="821">
        <f>+CUBICACION!L1659</f>
        <v>0</v>
      </c>
      <c r="J1665" s="64">
        <f>+CUBICACION!M1659</f>
        <v>0</v>
      </c>
      <c r="K1665" s="822">
        <f>+CUBICACION!N1659</f>
        <v>0</v>
      </c>
      <c r="L1665" s="118">
        <f>+CUBICACION!O1659</f>
        <v>0</v>
      </c>
      <c r="M1665" s="823">
        <f>+CUBICACION!P1659</f>
        <v>0</v>
      </c>
      <c r="N1665" s="902">
        <f>ROUND(IF(AND(L1665="Blaze Shield II",M1665="Software Idiem",C1665="IN",G1665=4),((('BLAZE SHIELD II'!$D$4*('CALCULO MORTERO'!I1665^2)+'BLAZE SHIELD II'!$D$5*'CALCULO MORTERO'!I1665+'BLAZE SHIELD II'!$D$6)*LN(J1665))+('BLAZE SHIELD II'!$D$7*('CALCULO MORTERO'!I1665^2)+'BLAZE SHIELD II'!$D$8*'CALCULO MORTERO'!I1665+'BLAZE SHIELD II'!$D$9)),0)+IF(AND(L1665="Blaze Shield II",M1665="Software Idiem",C1665="Cj"),((('BLAZE SHIELD II'!$H$4*('CALCULO MORTERO'!I1665^2)+'BLAZE SHIELD II'!$H$5*'CALCULO MORTERO'!I1665+'BLAZE SHIELD II'!$H$6)*LN(J1665))+('BLAZE SHIELD II'!$H$7*('CALCULO MORTERO'!I1665^2)+'BLAZE SHIELD II'!$H$8*'CALCULO MORTERO'!I1665+'BLAZE SHIELD II'!$H$9)),0)+IF(AND(L1665="Blaze Shield II",M1665="Software Idiem",C1665="C"),((('BLAZE SHIELD II'!$L$4*('CALCULO MORTERO'!I1665^2)+'BLAZE SHIELD II'!$L$5*'CALCULO MORTERO'!I1665+'BLAZE SHIELD II'!$L$6)*LN(J1665))+('BLAZE SHIELD II'!$L$7*('CALCULO MORTERO'!I1665^2)+'BLAZE SHIELD II'!$L$8*'CALCULO MORTERO'!I1665+'BLAZE SHIELD II'!$L$9)),0)+IF(AND(L1665="Blaze Shield II",M1665="Software Idiem",C1665="L"),((('BLAZE SHIELD II'!$L$4*('CALCULO MORTERO'!I1665^2)+'BLAZE SHIELD II'!$L$5*'CALCULO MORTERO'!I1665+'BLAZE SHIELD II'!$L$6)*LN(J1665))+('BLAZE SHIELD II'!$L$7*('CALCULO MORTERO'!I1665^2)+'BLAZE SHIELD II'!$L$8*'CALCULO MORTERO'!I1665+'BLAZE SHIELD II'!$L$9)),0)+IF(AND(L1665="Blaze Shield II",M1665="Software Idiem",C1665="IN",G1665=3),((('BLAZE SHIELD II'!$H$14*('CALCULO MORTERO'!I1665^2)+'BLAZE SHIELD II'!$H$15*'CALCULO MORTERO'!I1665+'BLAZE SHIELD II'!$H$16)*LN(J1665))+('BLAZE SHIELD II'!$H$17*('CALCULO MORTERO'!I1665^2)+'BLAZE SHIELD II'!$H$18*'CALCULO MORTERO'!I1665+'BLAZE SHIELD II'!$H$19)),0),0)+ROUND(IF(AND(L1665="Cafco 400",M1665="Software Idiem",C1665="IN",G1665=4),((('CAFCO 400 '!$H$7*(J1665^4)+'CAFCO 400 '!$H$8*(J1665^3)+'CAFCO 400 '!$H$9*(J1665^2)+'CAFCO 400 '!$H$10*J1665+'CAFCO 400 '!$H$11)*U1665^2)+(('CAFCO 400 '!$H$12*(J1665^3)+'CAFCO 400 '!$H$13*(J1665^2)+'CAFCO 400 '!$H$14*J1665+'CAFCO 400 '!$H$15)*U1665)+('CAFCO 400 '!$H$16*(J1665^2)+'CAFCO 400 '!$H$17*J1665+'CAFCO 400 '!$H$18)),0)+IF(AND(L1665="Cafco 400",M1665="Software Idiem",C1665="Cj"),(((('CAFCO 400 '!$D$7*LN(J1665)+'CAFCO 400 '!$D$8)*U1665^2)+(('CAFCO 400 '!$D$9*LN(J1665)+'CAFCO 400 '!$D$10)*U1665)+('CAFCO 400 '!$D$11*LN(J1665)+'CAFCO 400 '!$D$12))),0)+IF(AND(L1665="Cafco 400",M1665="Software Idiem",C1665="C"),((('CAFCO 400 '!$L$7*(J1665^3)+'CAFCO 400 '!$L$8*(J1665^2)+'CAFCO 400 '!$L$9*J1665+'CAFCO 400 '!$L$10)*U1665^2)+(('CAFCO 400 '!$L$11*(J1665^3)+'CAFCO 400 '!$L$12*(J1665^2)+'CAFCO 400 '!$L$13*J1665+'CAFCO 400 '!$L$14)*U1665)+('CAFCO 400 '!$L$15*LN(J1665)+'CAFCO 400 '!$L$16)),0)+IF(AND(L1665="Cafco 400",M1665="Software Idiem",C1665="L"),((('CAFCO 400 '!$L$7*(J1665^3)+'CAFCO 400 '!$L$8*(J1665^2)+'CAFCO 400 '!$L$9*J1665+'CAFCO 400 '!$L$10)*U1665^2)+(('CAFCO 400 '!$L$11*(J1665^3)+'CAFCO 400 '!$L$12*(J1665^2)+'CAFCO 400 '!$L$13*J1665+'CAFCO 400 '!$L$14)*U1665)+('CAFCO 400 '!$L$15*LN(J1665)+'CAFCO 400 '!$L$16)),0)+IF(AND(L1665="Cafco 400",M1665="Software Idiem",C1665="IN",G1665=3),((('CAFCO 400 '!$D$23*(J1665^2)+'CAFCO 400 '!$D$24*(J1665)+'CAFCO 400 '!$D$25)*U1665^2)+(('CAFCO 400 '!$D$26*(J1665^2)+'CAFCO 400 '!$D$27*J1665+'CAFCO 400 '!$D$28)*U1665)+('CAFCO 400 '!$D$29*(J1665^2)+'CAFCO 400 '!$D$30*J1665+'CAFCO 400 '!$D$31)),0),0)+IF(AND(L1665="Cafco 300",J1665&gt;=95,J1665&lt;=240,C1665="Cj",I1665=90),VLOOKUP(T1665,'CAFCO 300 IDIEM TABLAS'!$B$4:$D$23,2,FALSE),0)+IF(AND(L1665="Cafco 300",J1665&gt;=95,J1665&lt;=240,C1665="Cj",I1665=120),VLOOKUP(T1665,'CAFCO 300 IDIEM TABLAS'!$B$4:$D$23,3,FALSE),0)+IF(AND(L1665="Cafco 300",J1665&gt;=95,J1665&lt;=400,G1665=3,C1665="IN",I1665=90),VLOOKUP(T1665,'CAFCO 300 IDIEM TABLAS'!$F$4:$H$35,2,FALSE),0)+IF(AND(L1665="Cafco 300",J1665&gt;=95,J1665&lt;=400,G1665=3,C1665="IN",I1665=120),VLOOKUP(T1665,'CAFCO 300 IDIEM TABLAS'!$F$4:$H$35,3,FALSE),0)+IF(AND(L1665="Cafco 300",J1665&gt;=95,J1665&lt;=450,G1665=4,C1665="IN",I1665=90),VLOOKUP(T1665,'CAFCO 300 IDIEM TABLAS'!$J$4:$L$40,2,FALSE),0)+IF(AND(L1665="Cafco 300",J1665&gt;=95,J1665&lt;=450,G1665=4,C1665="IN",I1665=120),VLOOKUP(T1665,'CAFCO 300 IDIEM TABLAS'!$J$4:$L$40,3,FALSE),0)+IF(AND(M1665="Ensayo Idiem",L1665="Cafco 400",C1665="IN",G1665=4,I1665=90),VLOOKUP(T1665,'CAFCO 400 ENSAYO'!$B$7:$D$43,2,FALSE),0)+IF(AND(M1665="Ensayo Idiem",L1665="Cafco 400",C1665="IN",G1665=4,I1665=120),VLOOKUP(T1665,'CAFCO 400 ENSAYO'!$B$7:$D$43,3,FALSE),0)</f>
        <v>0</v>
      </c>
      <c r="O1665" s="96">
        <f t="shared" si="162"/>
        <v>0</v>
      </c>
      <c r="P1665" s="132" t="str">
        <f t="shared" si="163"/>
        <v>N/A</v>
      </c>
      <c r="Q1665" s="132" t="str">
        <f t="shared" si="164"/>
        <v>N/A</v>
      </c>
      <c r="R1665" s="132" t="str">
        <f t="shared" si="165"/>
        <v>NO CERT.</v>
      </c>
      <c r="S1665" s="132" t="e">
        <f t="shared" si="166"/>
        <v>#N/A</v>
      </c>
      <c r="T1665" s="133" t="e">
        <f>+IF(J1665=LOOKUP(J1665,'CAFCO 300 IDIEM TABLAS'!$J$4:$J$40),'CALCULO MORTERO'!J1665,MROUND('CALCULO MORTERO'!J1665,10))</f>
        <v>#N/A</v>
      </c>
      <c r="U1665" s="134">
        <f t="shared" si="167"/>
        <v>0</v>
      </c>
    </row>
    <row r="1666" spans="1:21" x14ac:dyDescent="0.25">
      <c r="A1666" s="118">
        <f>+CUBICACION!D1660</f>
        <v>0</v>
      </c>
      <c r="B1666" s="819">
        <f>+CUBICACION!E1660</f>
        <v>0</v>
      </c>
      <c r="C1666" s="675">
        <f>+CUBICACION!F1660</f>
        <v>0</v>
      </c>
      <c r="D1666" s="118"/>
      <c r="E1666" s="118"/>
      <c r="F1666" s="820"/>
      <c r="G1666" s="675">
        <f>+CUBICACION!J1660</f>
        <v>0</v>
      </c>
      <c r="H1666" s="118"/>
      <c r="I1666" s="821">
        <f>+CUBICACION!L1660</f>
        <v>0</v>
      </c>
      <c r="J1666" s="64">
        <f>+CUBICACION!M1660</f>
        <v>0</v>
      </c>
      <c r="K1666" s="822">
        <f>+CUBICACION!N1660</f>
        <v>0</v>
      </c>
      <c r="L1666" s="118">
        <f>+CUBICACION!O1660</f>
        <v>0</v>
      </c>
      <c r="M1666" s="823">
        <f>+CUBICACION!P1660</f>
        <v>0</v>
      </c>
      <c r="N1666" s="902">
        <f>ROUND(IF(AND(L1666="Blaze Shield II",M1666="Software Idiem",C1666="IN",G1666=4),((('BLAZE SHIELD II'!$D$4*('CALCULO MORTERO'!I1666^2)+'BLAZE SHIELD II'!$D$5*'CALCULO MORTERO'!I1666+'BLAZE SHIELD II'!$D$6)*LN(J1666))+('BLAZE SHIELD II'!$D$7*('CALCULO MORTERO'!I1666^2)+'BLAZE SHIELD II'!$D$8*'CALCULO MORTERO'!I1666+'BLAZE SHIELD II'!$D$9)),0)+IF(AND(L1666="Blaze Shield II",M1666="Software Idiem",C1666="Cj"),((('BLAZE SHIELD II'!$H$4*('CALCULO MORTERO'!I1666^2)+'BLAZE SHIELD II'!$H$5*'CALCULO MORTERO'!I1666+'BLAZE SHIELD II'!$H$6)*LN(J1666))+('BLAZE SHIELD II'!$H$7*('CALCULO MORTERO'!I1666^2)+'BLAZE SHIELD II'!$H$8*'CALCULO MORTERO'!I1666+'BLAZE SHIELD II'!$H$9)),0)+IF(AND(L1666="Blaze Shield II",M1666="Software Idiem",C1666="C"),((('BLAZE SHIELD II'!$L$4*('CALCULO MORTERO'!I1666^2)+'BLAZE SHIELD II'!$L$5*'CALCULO MORTERO'!I1666+'BLAZE SHIELD II'!$L$6)*LN(J1666))+('BLAZE SHIELD II'!$L$7*('CALCULO MORTERO'!I1666^2)+'BLAZE SHIELD II'!$L$8*'CALCULO MORTERO'!I1666+'BLAZE SHIELD II'!$L$9)),0)+IF(AND(L1666="Blaze Shield II",M1666="Software Idiem",C1666="L"),((('BLAZE SHIELD II'!$L$4*('CALCULO MORTERO'!I1666^2)+'BLAZE SHIELD II'!$L$5*'CALCULO MORTERO'!I1666+'BLAZE SHIELD II'!$L$6)*LN(J1666))+('BLAZE SHIELD II'!$L$7*('CALCULO MORTERO'!I1666^2)+'BLAZE SHIELD II'!$L$8*'CALCULO MORTERO'!I1666+'BLAZE SHIELD II'!$L$9)),0)+IF(AND(L1666="Blaze Shield II",M1666="Software Idiem",C1666="IN",G1666=3),((('BLAZE SHIELD II'!$H$14*('CALCULO MORTERO'!I1666^2)+'BLAZE SHIELD II'!$H$15*'CALCULO MORTERO'!I1666+'BLAZE SHIELD II'!$H$16)*LN(J1666))+('BLAZE SHIELD II'!$H$17*('CALCULO MORTERO'!I1666^2)+'BLAZE SHIELD II'!$H$18*'CALCULO MORTERO'!I1666+'BLAZE SHIELD II'!$H$19)),0),0)+ROUND(IF(AND(L1666="Cafco 400",M1666="Software Idiem",C1666="IN",G1666=4),((('CAFCO 400 '!$H$7*(J1666^4)+'CAFCO 400 '!$H$8*(J1666^3)+'CAFCO 400 '!$H$9*(J1666^2)+'CAFCO 400 '!$H$10*J1666+'CAFCO 400 '!$H$11)*U1666^2)+(('CAFCO 400 '!$H$12*(J1666^3)+'CAFCO 400 '!$H$13*(J1666^2)+'CAFCO 400 '!$H$14*J1666+'CAFCO 400 '!$H$15)*U1666)+('CAFCO 400 '!$H$16*(J1666^2)+'CAFCO 400 '!$H$17*J1666+'CAFCO 400 '!$H$18)),0)+IF(AND(L1666="Cafco 400",M1666="Software Idiem",C1666="Cj"),(((('CAFCO 400 '!$D$7*LN(J1666)+'CAFCO 400 '!$D$8)*U1666^2)+(('CAFCO 400 '!$D$9*LN(J1666)+'CAFCO 400 '!$D$10)*U1666)+('CAFCO 400 '!$D$11*LN(J1666)+'CAFCO 400 '!$D$12))),0)+IF(AND(L1666="Cafco 400",M1666="Software Idiem",C1666="C"),((('CAFCO 400 '!$L$7*(J1666^3)+'CAFCO 400 '!$L$8*(J1666^2)+'CAFCO 400 '!$L$9*J1666+'CAFCO 400 '!$L$10)*U1666^2)+(('CAFCO 400 '!$L$11*(J1666^3)+'CAFCO 400 '!$L$12*(J1666^2)+'CAFCO 400 '!$L$13*J1666+'CAFCO 400 '!$L$14)*U1666)+('CAFCO 400 '!$L$15*LN(J1666)+'CAFCO 400 '!$L$16)),0)+IF(AND(L1666="Cafco 400",M1666="Software Idiem",C1666="L"),((('CAFCO 400 '!$L$7*(J1666^3)+'CAFCO 400 '!$L$8*(J1666^2)+'CAFCO 400 '!$L$9*J1666+'CAFCO 400 '!$L$10)*U1666^2)+(('CAFCO 400 '!$L$11*(J1666^3)+'CAFCO 400 '!$L$12*(J1666^2)+'CAFCO 400 '!$L$13*J1666+'CAFCO 400 '!$L$14)*U1666)+('CAFCO 400 '!$L$15*LN(J1666)+'CAFCO 400 '!$L$16)),0)+IF(AND(L1666="Cafco 400",M1666="Software Idiem",C1666="IN",G1666=3),((('CAFCO 400 '!$D$23*(J1666^2)+'CAFCO 400 '!$D$24*(J1666)+'CAFCO 400 '!$D$25)*U1666^2)+(('CAFCO 400 '!$D$26*(J1666^2)+'CAFCO 400 '!$D$27*J1666+'CAFCO 400 '!$D$28)*U1666)+('CAFCO 400 '!$D$29*(J1666^2)+'CAFCO 400 '!$D$30*J1666+'CAFCO 400 '!$D$31)),0),0)+IF(AND(L1666="Cafco 300",J1666&gt;=95,J1666&lt;=240,C1666="Cj",I1666=90),VLOOKUP(T1666,'CAFCO 300 IDIEM TABLAS'!$B$4:$D$23,2,FALSE),0)+IF(AND(L1666="Cafco 300",J1666&gt;=95,J1666&lt;=240,C1666="Cj",I1666=120),VLOOKUP(T1666,'CAFCO 300 IDIEM TABLAS'!$B$4:$D$23,3,FALSE),0)+IF(AND(L1666="Cafco 300",J1666&gt;=95,J1666&lt;=400,G1666=3,C1666="IN",I1666=90),VLOOKUP(T1666,'CAFCO 300 IDIEM TABLAS'!$F$4:$H$35,2,FALSE),0)+IF(AND(L1666="Cafco 300",J1666&gt;=95,J1666&lt;=400,G1666=3,C1666="IN",I1666=120),VLOOKUP(T1666,'CAFCO 300 IDIEM TABLAS'!$F$4:$H$35,3,FALSE),0)+IF(AND(L1666="Cafco 300",J1666&gt;=95,J1666&lt;=450,G1666=4,C1666="IN",I1666=90),VLOOKUP(T1666,'CAFCO 300 IDIEM TABLAS'!$J$4:$L$40,2,FALSE),0)+IF(AND(L1666="Cafco 300",J1666&gt;=95,J1666&lt;=450,G1666=4,C1666="IN",I1666=120),VLOOKUP(T1666,'CAFCO 300 IDIEM TABLAS'!$J$4:$L$40,3,FALSE),0)+IF(AND(M1666="Ensayo Idiem",L1666="Cafco 400",C1666="IN",G1666=4,I1666=90),VLOOKUP(T1666,'CAFCO 400 ENSAYO'!$B$7:$D$43,2,FALSE),0)+IF(AND(M1666="Ensayo Idiem",L1666="Cafco 400",C1666="IN",G1666=4,I1666=120),VLOOKUP(T1666,'CAFCO 400 ENSAYO'!$B$7:$D$43,3,FALSE),0)</f>
        <v>0</v>
      </c>
      <c r="O1666" s="96">
        <f t="shared" si="162"/>
        <v>0</v>
      </c>
      <c r="P1666" s="95" t="str">
        <f t="shared" si="163"/>
        <v>N/A</v>
      </c>
      <c r="Q1666" s="95" t="str">
        <f t="shared" si="164"/>
        <v>N/A</v>
      </c>
      <c r="R1666" s="95" t="str">
        <f t="shared" si="165"/>
        <v>NO CERT.</v>
      </c>
      <c r="S1666" s="95" t="e">
        <f t="shared" si="166"/>
        <v>#N/A</v>
      </c>
      <c r="T1666" s="119" t="e">
        <f>+IF(J1666=LOOKUP(J1666,'CAFCO 300 IDIEM TABLAS'!$J$4:$J$40),'CALCULO MORTERO'!J1666,MROUND('CALCULO MORTERO'!J1666,10))</f>
        <v>#N/A</v>
      </c>
      <c r="U1666" s="118">
        <f t="shared" si="167"/>
        <v>0</v>
      </c>
    </row>
    <row r="1667" spans="1:21" x14ac:dyDescent="0.25">
      <c r="A1667" s="118">
        <f>+CUBICACION!D1661</f>
        <v>0</v>
      </c>
      <c r="B1667" s="819">
        <f>+CUBICACION!E1661</f>
        <v>0</v>
      </c>
      <c r="C1667" s="675">
        <f>+CUBICACION!F1661</f>
        <v>0</v>
      </c>
      <c r="D1667" s="118"/>
      <c r="E1667" s="118"/>
      <c r="F1667" s="820"/>
      <c r="G1667" s="675">
        <f>+CUBICACION!J1661</f>
        <v>0</v>
      </c>
      <c r="H1667" s="118"/>
      <c r="I1667" s="821">
        <f>+CUBICACION!L1661</f>
        <v>0</v>
      </c>
      <c r="J1667" s="64">
        <f>+CUBICACION!M1661</f>
        <v>0</v>
      </c>
      <c r="K1667" s="822">
        <f>+CUBICACION!N1661</f>
        <v>0</v>
      </c>
      <c r="L1667" s="118">
        <f>+CUBICACION!O1661</f>
        <v>0</v>
      </c>
      <c r="M1667" s="823">
        <f>+CUBICACION!P1661</f>
        <v>0</v>
      </c>
      <c r="N1667" s="902">
        <f>ROUND(IF(AND(L1667="Blaze Shield II",M1667="Software Idiem",C1667="IN",G1667=4),((('BLAZE SHIELD II'!$D$4*('CALCULO MORTERO'!I1667^2)+'BLAZE SHIELD II'!$D$5*'CALCULO MORTERO'!I1667+'BLAZE SHIELD II'!$D$6)*LN(J1667))+('BLAZE SHIELD II'!$D$7*('CALCULO MORTERO'!I1667^2)+'BLAZE SHIELD II'!$D$8*'CALCULO MORTERO'!I1667+'BLAZE SHIELD II'!$D$9)),0)+IF(AND(L1667="Blaze Shield II",M1667="Software Idiem",C1667="Cj"),((('BLAZE SHIELD II'!$H$4*('CALCULO MORTERO'!I1667^2)+'BLAZE SHIELD II'!$H$5*'CALCULO MORTERO'!I1667+'BLAZE SHIELD II'!$H$6)*LN(J1667))+('BLAZE SHIELD II'!$H$7*('CALCULO MORTERO'!I1667^2)+'BLAZE SHIELD II'!$H$8*'CALCULO MORTERO'!I1667+'BLAZE SHIELD II'!$H$9)),0)+IF(AND(L1667="Blaze Shield II",M1667="Software Idiem",C1667="C"),((('BLAZE SHIELD II'!$L$4*('CALCULO MORTERO'!I1667^2)+'BLAZE SHIELD II'!$L$5*'CALCULO MORTERO'!I1667+'BLAZE SHIELD II'!$L$6)*LN(J1667))+('BLAZE SHIELD II'!$L$7*('CALCULO MORTERO'!I1667^2)+'BLAZE SHIELD II'!$L$8*'CALCULO MORTERO'!I1667+'BLAZE SHIELD II'!$L$9)),0)+IF(AND(L1667="Blaze Shield II",M1667="Software Idiem",C1667="L"),((('BLAZE SHIELD II'!$L$4*('CALCULO MORTERO'!I1667^2)+'BLAZE SHIELD II'!$L$5*'CALCULO MORTERO'!I1667+'BLAZE SHIELD II'!$L$6)*LN(J1667))+('BLAZE SHIELD II'!$L$7*('CALCULO MORTERO'!I1667^2)+'BLAZE SHIELD II'!$L$8*'CALCULO MORTERO'!I1667+'BLAZE SHIELD II'!$L$9)),0)+IF(AND(L1667="Blaze Shield II",M1667="Software Idiem",C1667="IN",G1667=3),((('BLAZE SHIELD II'!$H$14*('CALCULO MORTERO'!I1667^2)+'BLAZE SHIELD II'!$H$15*'CALCULO MORTERO'!I1667+'BLAZE SHIELD II'!$H$16)*LN(J1667))+('BLAZE SHIELD II'!$H$17*('CALCULO MORTERO'!I1667^2)+'BLAZE SHIELD II'!$H$18*'CALCULO MORTERO'!I1667+'BLAZE SHIELD II'!$H$19)),0),0)+ROUND(IF(AND(L1667="Cafco 400",M1667="Software Idiem",C1667="IN",G1667=4),((('CAFCO 400 '!$H$7*(J1667^4)+'CAFCO 400 '!$H$8*(J1667^3)+'CAFCO 400 '!$H$9*(J1667^2)+'CAFCO 400 '!$H$10*J1667+'CAFCO 400 '!$H$11)*U1667^2)+(('CAFCO 400 '!$H$12*(J1667^3)+'CAFCO 400 '!$H$13*(J1667^2)+'CAFCO 400 '!$H$14*J1667+'CAFCO 400 '!$H$15)*U1667)+('CAFCO 400 '!$H$16*(J1667^2)+'CAFCO 400 '!$H$17*J1667+'CAFCO 400 '!$H$18)),0)+IF(AND(L1667="Cafco 400",M1667="Software Idiem",C1667="Cj"),(((('CAFCO 400 '!$D$7*LN(J1667)+'CAFCO 400 '!$D$8)*U1667^2)+(('CAFCO 400 '!$D$9*LN(J1667)+'CAFCO 400 '!$D$10)*U1667)+('CAFCO 400 '!$D$11*LN(J1667)+'CAFCO 400 '!$D$12))),0)+IF(AND(L1667="Cafco 400",M1667="Software Idiem",C1667="C"),((('CAFCO 400 '!$L$7*(J1667^3)+'CAFCO 400 '!$L$8*(J1667^2)+'CAFCO 400 '!$L$9*J1667+'CAFCO 400 '!$L$10)*U1667^2)+(('CAFCO 400 '!$L$11*(J1667^3)+'CAFCO 400 '!$L$12*(J1667^2)+'CAFCO 400 '!$L$13*J1667+'CAFCO 400 '!$L$14)*U1667)+('CAFCO 400 '!$L$15*LN(J1667)+'CAFCO 400 '!$L$16)),0)+IF(AND(L1667="Cafco 400",M1667="Software Idiem",C1667="L"),((('CAFCO 400 '!$L$7*(J1667^3)+'CAFCO 400 '!$L$8*(J1667^2)+'CAFCO 400 '!$L$9*J1667+'CAFCO 400 '!$L$10)*U1667^2)+(('CAFCO 400 '!$L$11*(J1667^3)+'CAFCO 400 '!$L$12*(J1667^2)+'CAFCO 400 '!$L$13*J1667+'CAFCO 400 '!$L$14)*U1667)+('CAFCO 400 '!$L$15*LN(J1667)+'CAFCO 400 '!$L$16)),0)+IF(AND(L1667="Cafco 400",M1667="Software Idiem",C1667="IN",G1667=3),((('CAFCO 400 '!$D$23*(J1667^2)+'CAFCO 400 '!$D$24*(J1667)+'CAFCO 400 '!$D$25)*U1667^2)+(('CAFCO 400 '!$D$26*(J1667^2)+'CAFCO 400 '!$D$27*J1667+'CAFCO 400 '!$D$28)*U1667)+('CAFCO 400 '!$D$29*(J1667^2)+'CAFCO 400 '!$D$30*J1667+'CAFCO 400 '!$D$31)),0),0)+IF(AND(L1667="Cafco 300",J1667&gt;=95,J1667&lt;=240,C1667="Cj",I1667=90),VLOOKUP(T1667,'CAFCO 300 IDIEM TABLAS'!$B$4:$D$23,2,FALSE),0)+IF(AND(L1667="Cafco 300",J1667&gt;=95,J1667&lt;=240,C1667="Cj",I1667=120),VLOOKUP(T1667,'CAFCO 300 IDIEM TABLAS'!$B$4:$D$23,3,FALSE),0)+IF(AND(L1667="Cafco 300",J1667&gt;=95,J1667&lt;=400,G1667=3,C1667="IN",I1667=90),VLOOKUP(T1667,'CAFCO 300 IDIEM TABLAS'!$F$4:$H$35,2,FALSE),0)+IF(AND(L1667="Cafco 300",J1667&gt;=95,J1667&lt;=400,G1667=3,C1667="IN",I1667=120),VLOOKUP(T1667,'CAFCO 300 IDIEM TABLAS'!$F$4:$H$35,3,FALSE),0)+IF(AND(L1667="Cafco 300",J1667&gt;=95,J1667&lt;=450,G1667=4,C1667="IN",I1667=90),VLOOKUP(T1667,'CAFCO 300 IDIEM TABLAS'!$J$4:$L$40,2,FALSE),0)+IF(AND(L1667="Cafco 300",J1667&gt;=95,J1667&lt;=450,G1667=4,C1667="IN",I1667=120),VLOOKUP(T1667,'CAFCO 300 IDIEM TABLAS'!$J$4:$L$40,3,FALSE),0)+IF(AND(M1667="Ensayo Idiem",L1667="Cafco 400",C1667="IN",G1667=4,I1667=90),VLOOKUP(T1667,'CAFCO 400 ENSAYO'!$B$7:$D$43,2,FALSE),0)+IF(AND(M1667="Ensayo Idiem",L1667="Cafco 400",C1667="IN",G1667=4,I1667=120),VLOOKUP(T1667,'CAFCO 400 ENSAYO'!$B$7:$D$43,3,FALSE),0)</f>
        <v>0</v>
      </c>
      <c r="O1667" s="96">
        <f t="shared" si="162"/>
        <v>0</v>
      </c>
      <c r="P1667" s="132" t="str">
        <f t="shared" si="163"/>
        <v>N/A</v>
      </c>
      <c r="Q1667" s="132" t="str">
        <f t="shared" si="164"/>
        <v>N/A</v>
      </c>
      <c r="R1667" s="132" t="str">
        <f t="shared" si="165"/>
        <v>NO CERT.</v>
      </c>
      <c r="S1667" s="132" t="e">
        <f t="shared" si="166"/>
        <v>#N/A</v>
      </c>
      <c r="T1667" s="133" t="e">
        <f>+IF(J1667=LOOKUP(J1667,'CAFCO 300 IDIEM TABLAS'!$J$4:$J$40),'CALCULO MORTERO'!J1667,MROUND('CALCULO MORTERO'!J1667,10))</f>
        <v>#N/A</v>
      </c>
      <c r="U1667" s="134">
        <f t="shared" si="167"/>
        <v>0</v>
      </c>
    </row>
    <row r="1668" spans="1:21" x14ac:dyDescent="0.25">
      <c r="A1668" s="118">
        <f>+CUBICACION!D1662</f>
        <v>0</v>
      </c>
      <c r="B1668" s="819">
        <f>+CUBICACION!E1662</f>
        <v>0</v>
      </c>
      <c r="C1668" s="675">
        <f>+CUBICACION!F1662</f>
        <v>0</v>
      </c>
      <c r="D1668" s="118"/>
      <c r="E1668" s="118"/>
      <c r="F1668" s="820"/>
      <c r="G1668" s="675">
        <f>+CUBICACION!J1662</f>
        <v>0</v>
      </c>
      <c r="H1668" s="118"/>
      <c r="I1668" s="821">
        <f>+CUBICACION!L1662</f>
        <v>0</v>
      </c>
      <c r="J1668" s="64">
        <f>+CUBICACION!M1662</f>
        <v>0</v>
      </c>
      <c r="K1668" s="822">
        <f>+CUBICACION!N1662</f>
        <v>0</v>
      </c>
      <c r="L1668" s="118">
        <f>+CUBICACION!O1662</f>
        <v>0</v>
      </c>
      <c r="M1668" s="823">
        <f>+CUBICACION!P1662</f>
        <v>0</v>
      </c>
      <c r="N1668" s="902">
        <f>ROUND(IF(AND(L1668="Blaze Shield II",M1668="Software Idiem",C1668="IN",G1668=4),((('BLAZE SHIELD II'!$D$4*('CALCULO MORTERO'!I1668^2)+'BLAZE SHIELD II'!$D$5*'CALCULO MORTERO'!I1668+'BLAZE SHIELD II'!$D$6)*LN(J1668))+('BLAZE SHIELD II'!$D$7*('CALCULO MORTERO'!I1668^2)+'BLAZE SHIELD II'!$D$8*'CALCULO MORTERO'!I1668+'BLAZE SHIELD II'!$D$9)),0)+IF(AND(L1668="Blaze Shield II",M1668="Software Idiem",C1668="Cj"),((('BLAZE SHIELD II'!$H$4*('CALCULO MORTERO'!I1668^2)+'BLAZE SHIELD II'!$H$5*'CALCULO MORTERO'!I1668+'BLAZE SHIELD II'!$H$6)*LN(J1668))+('BLAZE SHIELD II'!$H$7*('CALCULO MORTERO'!I1668^2)+'BLAZE SHIELD II'!$H$8*'CALCULO MORTERO'!I1668+'BLAZE SHIELD II'!$H$9)),0)+IF(AND(L1668="Blaze Shield II",M1668="Software Idiem",C1668="C"),((('BLAZE SHIELD II'!$L$4*('CALCULO MORTERO'!I1668^2)+'BLAZE SHIELD II'!$L$5*'CALCULO MORTERO'!I1668+'BLAZE SHIELD II'!$L$6)*LN(J1668))+('BLAZE SHIELD II'!$L$7*('CALCULO MORTERO'!I1668^2)+'BLAZE SHIELD II'!$L$8*'CALCULO MORTERO'!I1668+'BLAZE SHIELD II'!$L$9)),0)+IF(AND(L1668="Blaze Shield II",M1668="Software Idiem",C1668="L"),((('BLAZE SHIELD II'!$L$4*('CALCULO MORTERO'!I1668^2)+'BLAZE SHIELD II'!$L$5*'CALCULO MORTERO'!I1668+'BLAZE SHIELD II'!$L$6)*LN(J1668))+('BLAZE SHIELD II'!$L$7*('CALCULO MORTERO'!I1668^2)+'BLAZE SHIELD II'!$L$8*'CALCULO MORTERO'!I1668+'BLAZE SHIELD II'!$L$9)),0)+IF(AND(L1668="Blaze Shield II",M1668="Software Idiem",C1668="IN",G1668=3),((('BLAZE SHIELD II'!$H$14*('CALCULO MORTERO'!I1668^2)+'BLAZE SHIELD II'!$H$15*'CALCULO MORTERO'!I1668+'BLAZE SHIELD II'!$H$16)*LN(J1668))+('BLAZE SHIELD II'!$H$17*('CALCULO MORTERO'!I1668^2)+'BLAZE SHIELD II'!$H$18*'CALCULO MORTERO'!I1668+'BLAZE SHIELD II'!$H$19)),0),0)+ROUND(IF(AND(L1668="Cafco 400",M1668="Software Idiem",C1668="IN",G1668=4),((('CAFCO 400 '!$H$7*(J1668^4)+'CAFCO 400 '!$H$8*(J1668^3)+'CAFCO 400 '!$H$9*(J1668^2)+'CAFCO 400 '!$H$10*J1668+'CAFCO 400 '!$H$11)*U1668^2)+(('CAFCO 400 '!$H$12*(J1668^3)+'CAFCO 400 '!$H$13*(J1668^2)+'CAFCO 400 '!$H$14*J1668+'CAFCO 400 '!$H$15)*U1668)+('CAFCO 400 '!$H$16*(J1668^2)+'CAFCO 400 '!$H$17*J1668+'CAFCO 400 '!$H$18)),0)+IF(AND(L1668="Cafco 400",M1668="Software Idiem",C1668="Cj"),(((('CAFCO 400 '!$D$7*LN(J1668)+'CAFCO 400 '!$D$8)*U1668^2)+(('CAFCO 400 '!$D$9*LN(J1668)+'CAFCO 400 '!$D$10)*U1668)+('CAFCO 400 '!$D$11*LN(J1668)+'CAFCO 400 '!$D$12))),0)+IF(AND(L1668="Cafco 400",M1668="Software Idiem",C1668="C"),((('CAFCO 400 '!$L$7*(J1668^3)+'CAFCO 400 '!$L$8*(J1668^2)+'CAFCO 400 '!$L$9*J1668+'CAFCO 400 '!$L$10)*U1668^2)+(('CAFCO 400 '!$L$11*(J1668^3)+'CAFCO 400 '!$L$12*(J1668^2)+'CAFCO 400 '!$L$13*J1668+'CAFCO 400 '!$L$14)*U1668)+('CAFCO 400 '!$L$15*LN(J1668)+'CAFCO 400 '!$L$16)),0)+IF(AND(L1668="Cafco 400",M1668="Software Idiem",C1668="L"),((('CAFCO 400 '!$L$7*(J1668^3)+'CAFCO 400 '!$L$8*(J1668^2)+'CAFCO 400 '!$L$9*J1668+'CAFCO 400 '!$L$10)*U1668^2)+(('CAFCO 400 '!$L$11*(J1668^3)+'CAFCO 400 '!$L$12*(J1668^2)+'CAFCO 400 '!$L$13*J1668+'CAFCO 400 '!$L$14)*U1668)+('CAFCO 400 '!$L$15*LN(J1668)+'CAFCO 400 '!$L$16)),0)+IF(AND(L1668="Cafco 400",M1668="Software Idiem",C1668="IN",G1668=3),((('CAFCO 400 '!$D$23*(J1668^2)+'CAFCO 400 '!$D$24*(J1668)+'CAFCO 400 '!$D$25)*U1668^2)+(('CAFCO 400 '!$D$26*(J1668^2)+'CAFCO 400 '!$D$27*J1668+'CAFCO 400 '!$D$28)*U1668)+('CAFCO 400 '!$D$29*(J1668^2)+'CAFCO 400 '!$D$30*J1668+'CAFCO 400 '!$D$31)),0),0)+IF(AND(L1668="Cafco 300",J1668&gt;=95,J1668&lt;=240,C1668="Cj",I1668=90),VLOOKUP(T1668,'CAFCO 300 IDIEM TABLAS'!$B$4:$D$23,2,FALSE),0)+IF(AND(L1668="Cafco 300",J1668&gt;=95,J1668&lt;=240,C1668="Cj",I1668=120),VLOOKUP(T1668,'CAFCO 300 IDIEM TABLAS'!$B$4:$D$23,3,FALSE),0)+IF(AND(L1668="Cafco 300",J1668&gt;=95,J1668&lt;=400,G1668=3,C1668="IN",I1668=90),VLOOKUP(T1668,'CAFCO 300 IDIEM TABLAS'!$F$4:$H$35,2,FALSE),0)+IF(AND(L1668="Cafco 300",J1668&gt;=95,J1668&lt;=400,G1668=3,C1668="IN",I1668=120),VLOOKUP(T1668,'CAFCO 300 IDIEM TABLAS'!$F$4:$H$35,3,FALSE),0)+IF(AND(L1668="Cafco 300",J1668&gt;=95,J1668&lt;=450,G1668=4,C1668="IN",I1668=90),VLOOKUP(T1668,'CAFCO 300 IDIEM TABLAS'!$J$4:$L$40,2,FALSE),0)+IF(AND(L1668="Cafco 300",J1668&gt;=95,J1668&lt;=450,G1668=4,C1668="IN",I1668=120),VLOOKUP(T1668,'CAFCO 300 IDIEM TABLAS'!$J$4:$L$40,3,FALSE),0)+IF(AND(M1668="Ensayo Idiem",L1668="Cafco 400",C1668="IN",G1668=4,I1668=90),VLOOKUP(T1668,'CAFCO 400 ENSAYO'!$B$7:$D$43,2,FALSE),0)+IF(AND(M1668="Ensayo Idiem",L1668="Cafco 400",C1668="IN",G1668=4,I1668=120),VLOOKUP(T1668,'CAFCO 400 ENSAYO'!$B$7:$D$43,3,FALSE),0)</f>
        <v>0</v>
      </c>
      <c r="O1668" s="96">
        <f t="shared" si="162"/>
        <v>0</v>
      </c>
      <c r="P1668" s="95" t="str">
        <f t="shared" si="163"/>
        <v>N/A</v>
      </c>
      <c r="Q1668" s="95" t="str">
        <f t="shared" si="164"/>
        <v>N/A</v>
      </c>
      <c r="R1668" s="95" t="str">
        <f t="shared" si="165"/>
        <v>NO CERT.</v>
      </c>
      <c r="S1668" s="95" t="e">
        <f t="shared" si="166"/>
        <v>#N/A</v>
      </c>
      <c r="T1668" s="119" t="e">
        <f>+IF(J1668=LOOKUP(J1668,'CAFCO 300 IDIEM TABLAS'!$J$4:$J$40),'CALCULO MORTERO'!J1668,MROUND('CALCULO MORTERO'!J1668,10))</f>
        <v>#N/A</v>
      </c>
      <c r="U1668" s="118">
        <f t="shared" si="167"/>
        <v>0</v>
      </c>
    </row>
    <row r="1669" spans="1:21" x14ac:dyDescent="0.25">
      <c r="A1669" s="118">
        <f>+CUBICACION!D1663</f>
        <v>0</v>
      </c>
      <c r="B1669" s="819">
        <f>+CUBICACION!E1663</f>
        <v>0</v>
      </c>
      <c r="C1669" s="675">
        <f>+CUBICACION!F1663</f>
        <v>0</v>
      </c>
      <c r="D1669" s="118"/>
      <c r="E1669" s="118"/>
      <c r="F1669" s="820"/>
      <c r="G1669" s="675">
        <f>+CUBICACION!J1663</f>
        <v>0</v>
      </c>
      <c r="H1669" s="118"/>
      <c r="I1669" s="821">
        <f>+CUBICACION!L1663</f>
        <v>0</v>
      </c>
      <c r="J1669" s="64">
        <f>+CUBICACION!M1663</f>
        <v>0</v>
      </c>
      <c r="K1669" s="822">
        <f>+CUBICACION!N1663</f>
        <v>0</v>
      </c>
      <c r="L1669" s="118">
        <f>+CUBICACION!O1663</f>
        <v>0</v>
      </c>
      <c r="M1669" s="823">
        <f>+CUBICACION!P1663</f>
        <v>0</v>
      </c>
      <c r="N1669" s="902">
        <f>ROUND(IF(AND(L1669="Blaze Shield II",M1669="Software Idiem",C1669="IN",G1669=4),((('BLAZE SHIELD II'!$D$4*('CALCULO MORTERO'!I1669^2)+'BLAZE SHIELD II'!$D$5*'CALCULO MORTERO'!I1669+'BLAZE SHIELD II'!$D$6)*LN(J1669))+('BLAZE SHIELD II'!$D$7*('CALCULO MORTERO'!I1669^2)+'BLAZE SHIELD II'!$D$8*'CALCULO MORTERO'!I1669+'BLAZE SHIELD II'!$D$9)),0)+IF(AND(L1669="Blaze Shield II",M1669="Software Idiem",C1669="Cj"),((('BLAZE SHIELD II'!$H$4*('CALCULO MORTERO'!I1669^2)+'BLAZE SHIELD II'!$H$5*'CALCULO MORTERO'!I1669+'BLAZE SHIELD II'!$H$6)*LN(J1669))+('BLAZE SHIELD II'!$H$7*('CALCULO MORTERO'!I1669^2)+'BLAZE SHIELD II'!$H$8*'CALCULO MORTERO'!I1669+'BLAZE SHIELD II'!$H$9)),0)+IF(AND(L1669="Blaze Shield II",M1669="Software Idiem",C1669="C"),((('BLAZE SHIELD II'!$L$4*('CALCULO MORTERO'!I1669^2)+'BLAZE SHIELD II'!$L$5*'CALCULO MORTERO'!I1669+'BLAZE SHIELD II'!$L$6)*LN(J1669))+('BLAZE SHIELD II'!$L$7*('CALCULO MORTERO'!I1669^2)+'BLAZE SHIELD II'!$L$8*'CALCULO MORTERO'!I1669+'BLAZE SHIELD II'!$L$9)),0)+IF(AND(L1669="Blaze Shield II",M1669="Software Idiem",C1669="L"),((('BLAZE SHIELD II'!$L$4*('CALCULO MORTERO'!I1669^2)+'BLAZE SHIELD II'!$L$5*'CALCULO MORTERO'!I1669+'BLAZE SHIELD II'!$L$6)*LN(J1669))+('BLAZE SHIELD II'!$L$7*('CALCULO MORTERO'!I1669^2)+'BLAZE SHIELD II'!$L$8*'CALCULO MORTERO'!I1669+'BLAZE SHIELD II'!$L$9)),0)+IF(AND(L1669="Blaze Shield II",M1669="Software Idiem",C1669="IN",G1669=3),((('BLAZE SHIELD II'!$H$14*('CALCULO MORTERO'!I1669^2)+'BLAZE SHIELD II'!$H$15*'CALCULO MORTERO'!I1669+'BLAZE SHIELD II'!$H$16)*LN(J1669))+('BLAZE SHIELD II'!$H$17*('CALCULO MORTERO'!I1669^2)+'BLAZE SHIELD II'!$H$18*'CALCULO MORTERO'!I1669+'BLAZE SHIELD II'!$H$19)),0),0)+ROUND(IF(AND(L1669="Cafco 400",M1669="Software Idiem",C1669="IN",G1669=4),((('CAFCO 400 '!$H$7*(J1669^4)+'CAFCO 400 '!$H$8*(J1669^3)+'CAFCO 400 '!$H$9*(J1669^2)+'CAFCO 400 '!$H$10*J1669+'CAFCO 400 '!$H$11)*U1669^2)+(('CAFCO 400 '!$H$12*(J1669^3)+'CAFCO 400 '!$H$13*(J1669^2)+'CAFCO 400 '!$H$14*J1669+'CAFCO 400 '!$H$15)*U1669)+('CAFCO 400 '!$H$16*(J1669^2)+'CAFCO 400 '!$H$17*J1669+'CAFCO 400 '!$H$18)),0)+IF(AND(L1669="Cafco 400",M1669="Software Idiem",C1669="Cj"),(((('CAFCO 400 '!$D$7*LN(J1669)+'CAFCO 400 '!$D$8)*U1669^2)+(('CAFCO 400 '!$D$9*LN(J1669)+'CAFCO 400 '!$D$10)*U1669)+('CAFCO 400 '!$D$11*LN(J1669)+'CAFCO 400 '!$D$12))),0)+IF(AND(L1669="Cafco 400",M1669="Software Idiem",C1669="C"),((('CAFCO 400 '!$L$7*(J1669^3)+'CAFCO 400 '!$L$8*(J1669^2)+'CAFCO 400 '!$L$9*J1669+'CAFCO 400 '!$L$10)*U1669^2)+(('CAFCO 400 '!$L$11*(J1669^3)+'CAFCO 400 '!$L$12*(J1669^2)+'CAFCO 400 '!$L$13*J1669+'CAFCO 400 '!$L$14)*U1669)+('CAFCO 400 '!$L$15*LN(J1669)+'CAFCO 400 '!$L$16)),0)+IF(AND(L1669="Cafco 400",M1669="Software Idiem",C1669="L"),((('CAFCO 400 '!$L$7*(J1669^3)+'CAFCO 400 '!$L$8*(J1669^2)+'CAFCO 400 '!$L$9*J1669+'CAFCO 400 '!$L$10)*U1669^2)+(('CAFCO 400 '!$L$11*(J1669^3)+'CAFCO 400 '!$L$12*(J1669^2)+'CAFCO 400 '!$L$13*J1669+'CAFCO 400 '!$L$14)*U1669)+('CAFCO 400 '!$L$15*LN(J1669)+'CAFCO 400 '!$L$16)),0)+IF(AND(L1669="Cafco 400",M1669="Software Idiem",C1669="IN",G1669=3),((('CAFCO 400 '!$D$23*(J1669^2)+'CAFCO 400 '!$D$24*(J1669)+'CAFCO 400 '!$D$25)*U1669^2)+(('CAFCO 400 '!$D$26*(J1669^2)+'CAFCO 400 '!$D$27*J1669+'CAFCO 400 '!$D$28)*U1669)+('CAFCO 400 '!$D$29*(J1669^2)+'CAFCO 400 '!$D$30*J1669+'CAFCO 400 '!$D$31)),0),0)+IF(AND(L1669="Cafco 300",J1669&gt;=95,J1669&lt;=240,C1669="Cj",I1669=90),VLOOKUP(T1669,'CAFCO 300 IDIEM TABLAS'!$B$4:$D$23,2,FALSE),0)+IF(AND(L1669="Cafco 300",J1669&gt;=95,J1669&lt;=240,C1669="Cj",I1669=120),VLOOKUP(T1669,'CAFCO 300 IDIEM TABLAS'!$B$4:$D$23,3,FALSE),0)+IF(AND(L1669="Cafco 300",J1669&gt;=95,J1669&lt;=400,G1669=3,C1669="IN",I1669=90),VLOOKUP(T1669,'CAFCO 300 IDIEM TABLAS'!$F$4:$H$35,2,FALSE),0)+IF(AND(L1669="Cafco 300",J1669&gt;=95,J1669&lt;=400,G1669=3,C1669="IN",I1669=120),VLOOKUP(T1669,'CAFCO 300 IDIEM TABLAS'!$F$4:$H$35,3,FALSE),0)+IF(AND(L1669="Cafco 300",J1669&gt;=95,J1669&lt;=450,G1669=4,C1669="IN",I1669=90),VLOOKUP(T1669,'CAFCO 300 IDIEM TABLAS'!$J$4:$L$40,2,FALSE),0)+IF(AND(L1669="Cafco 300",J1669&gt;=95,J1669&lt;=450,G1669=4,C1669="IN",I1669=120),VLOOKUP(T1669,'CAFCO 300 IDIEM TABLAS'!$J$4:$L$40,3,FALSE),0)+IF(AND(M1669="Ensayo Idiem",L1669="Cafco 400",C1669="IN",G1669=4,I1669=90),VLOOKUP(T1669,'CAFCO 400 ENSAYO'!$B$7:$D$43,2,FALSE),0)+IF(AND(M1669="Ensayo Idiem",L1669="Cafco 400",C1669="IN",G1669=4,I1669=120),VLOOKUP(T1669,'CAFCO 400 ENSAYO'!$B$7:$D$43,3,FALSE),0)</f>
        <v>0</v>
      </c>
      <c r="O1669" s="96">
        <f t="shared" si="162"/>
        <v>0</v>
      </c>
      <c r="P1669" s="132" t="str">
        <f t="shared" si="163"/>
        <v>N/A</v>
      </c>
      <c r="Q1669" s="132" t="str">
        <f t="shared" si="164"/>
        <v>N/A</v>
      </c>
      <c r="R1669" s="132" t="str">
        <f t="shared" si="165"/>
        <v>NO CERT.</v>
      </c>
      <c r="S1669" s="132" t="e">
        <f t="shared" si="166"/>
        <v>#N/A</v>
      </c>
      <c r="T1669" s="133" t="e">
        <f>+IF(J1669=LOOKUP(J1669,'CAFCO 300 IDIEM TABLAS'!$J$4:$J$40),'CALCULO MORTERO'!J1669,MROUND('CALCULO MORTERO'!J1669,10))</f>
        <v>#N/A</v>
      </c>
      <c r="U1669" s="134">
        <f t="shared" si="167"/>
        <v>0</v>
      </c>
    </row>
    <row r="1670" spans="1:21" x14ac:dyDescent="0.25">
      <c r="A1670" s="118">
        <f>+CUBICACION!D1664</f>
        <v>0</v>
      </c>
      <c r="B1670" s="819">
        <f>+CUBICACION!E1664</f>
        <v>0</v>
      </c>
      <c r="C1670" s="675">
        <f>+CUBICACION!F1664</f>
        <v>0</v>
      </c>
      <c r="D1670" s="118"/>
      <c r="E1670" s="118"/>
      <c r="F1670" s="820"/>
      <c r="G1670" s="675">
        <f>+CUBICACION!J1664</f>
        <v>0</v>
      </c>
      <c r="H1670" s="118"/>
      <c r="I1670" s="821">
        <f>+CUBICACION!L1664</f>
        <v>0</v>
      </c>
      <c r="J1670" s="64">
        <f>+CUBICACION!M1664</f>
        <v>0</v>
      </c>
      <c r="K1670" s="822">
        <f>+CUBICACION!N1664</f>
        <v>0</v>
      </c>
      <c r="L1670" s="118">
        <f>+CUBICACION!O1664</f>
        <v>0</v>
      </c>
      <c r="M1670" s="823">
        <f>+CUBICACION!P1664</f>
        <v>0</v>
      </c>
      <c r="N1670" s="902">
        <f>ROUND(IF(AND(L1670="Blaze Shield II",M1670="Software Idiem",C1670="IN",G1670=4),((('BLAZE SHIELD II'!$D$4*('CALCULO MORTERO'!I1670^2)+'BLAZE SHIELD II'!$D$5*'CALCULO MORTERO'!I1670+'BLAZE SHIELD II'!$D$6)*LN(J1670))+('BLAZE SHIELD II'!$D$7*('CALCULO MORTERO'!I1670^2)+'BLAZE SHIELD II'!$D$8*'CALCULO MORTERO'!I1670+'BLAZE SHIELD II'!$D$9)),0)+IF(AND(L1670="Blaze Shield II",M1670="Software Idiem",C1670="Cj"),((('BLAZE SHIELD II'!$H$4*('CALCULO MORTERO'!I1670^2)+'BLAZE SHIELD II'!$H$5*'CALCULO MORTERO'!I1670+'BLAZE SHIELD II'!$H$6)*LN(J1670))+('BLAZE SHIELD II'!$H$7*('CALCULO MORTERO'!I1670^2)+'BLAZE SHIELD II'!$H$8*'CALCULO MORTERO'!I1670+'BLAZE SHIELD II'!$H$9)),0)+IF(AND(L1670="Blaze Shield II",M1670="Software Idiem",C1670="C"),((('BLAZE SHIELD II'!$L$4*('CALCULO MORTERO'!I1670^2)+'BLAZE SHIELD II'!$L$5*'CALCULO MORTERO'!I1670+'BLAZE SHIELD II'!$L$6)*LN(J1670))+('BLAZE SHIELD II'!$L$7*('CALCULO MORTERO'!I1670^2)+'BLAZE SHIELD II'!$L$8*'CALCULO MORTERO'!I1670+'BLAZE SHIELD II'!$L$9)),0)+IF(AND(L1670="Blaze Shield II",M1670="Software Idiem",C1670="L"),((('BLAZE SHIELD II'!$L$4*('CALCULO MORTERO'!I1670^2)+'BLAZE SHIELD II'!$L$5*'CALCULO MORTERO'!I1670+'BLAZE SHIELD II'!$L$6)*LN(J1670))+('BLAZE SHIELD II'!$L$7*('CALCULO MORTERO'!I1670^2)+'BLAZE SHIELD II'!$L$8*'CALCULO MORTERO'!I1670+'BLAZE SHIELD II'!$L$9)),0)+IF(AND(L1670="Blaze Shield II",M1670="Software Idiem",C1670="IN",G1670=3),((('BLAZE SHIELD II'!$H$14*('CALCULO MORTERO'!I1670^2)+'BLAZE SHIELD II'!$H$15*'CALCULO MORTERO'!I1670+'BLAZE SHIELD II'!$H$16)*LN(J1670))+('BLAZE SHIELD II'!$H$17*('CALCULO MORTERO'!I1670^2)+'BLAZE SHIELD II'!$H$18*'CALCULO MORTERO'!I1670+'BLAZE SHIELD II'!$H$19)),0),0)+ROUND(IF(AND(L1670="Cafco 400",M1670="Software Idiem",C1670="IN",G1670=4),((('CAFCO 400 '!$H$7*(J1670^4)+'CAFCO 400 '!$H$8*(J1670^3)+'CAFCO 400 '!$H$9*(J1670^2)+'CAFCO 400 '!$H$10*J1670+'CAFCO 400 '!$H$11)*U1670^2)+(('CAFCO 400 '!$H$12*(J1670^3)+'CAFCO 400 '!$H$13*(J1670^2)+'CAFCO 400 '!$H$14*J1670+'CAFCO 400 '!$H$15)*U1670)+('CAFCO 400 '!$H$16*(J1670^2)+'CAFCO 400 '!$H$17*J1670+'CAFCO 400 '!$H$18)),0)+IF(AND(L1670="Cafco 400",M1670="Software Idiem",C1670="Cj"),(((('CAFCO 400 '!$D$7*LN(J1670)+'CAFCO 400 '!$D$8)*U1670^2)+(('CAFCO 400 '!$D$9*LN(J1670)+'CAFCO 400 '!$D$10)*U1670)+('CAFCO 400 '!$D$11*LN(J1670)+'CAFCO 400 '!$D$12))),0)+IF(AND(L1670="Cafco 400",M1670="Software Idiem",C1670="C"),((('CAFCO 400 '!$L$7*(J1670^3)+'CAFCO 400 '!$L$8*(J1670^2)+'CAFCO 400 '!$L$9*J1670+'CAFCO 400 '!$L$10)*U1670^2)+(('CAFCO 400 '!$L$11*(J1670^3)+'CAFCO 400 '!$L$12*(J1670^2)+'CAFCO 400 '!$L$13*J1670+'CAFCO 400 '!$L$14)*U1670)+('CAFCO 400 '!$L$15*LN(J1670)+'CAFCO 400 '!$L$16)),0)+IF(AND(L1670="Cafco 400",M1670="Software Idiem",C1670="L"),((('CAFCO 400 '!$L$7*(J1670^3)+'CAFCO 400 '!$L$8*(J1670^2)+'CAFCO 400 '!$L$9*J1670+'CAFCO 400 '!$L$10)*U1670^2)+(('CAFCO 400 '!$L$11*(J1670^3)+'CAFCO 400 '!$L$12*(J1670^2)+'CAFCO 400 '!$L$13*J1670+'CAFCO 400 '!$L$14)*U1670)+('CAFCO 400 '!$L$15*LN(J1670)+'CAFCO 400 '!$L$16)),0)+IF(AND(L1670="Cafco 400",M1670="Software Idiem",C1670="IN",G1670=3),((('CAFCO 400 '!$D$23*(J1670^2)+'CAFCO 400 '!$D$24*(J1670)+'CAFCO 400 '!$D$25)*U1670^2)+(('CAFCO 400 '!$D$26*(J1670^2)+'CAFCO 400 '!$D$27*J1670+'CAFCO 400 '!$D$28)*U1670)+('CAFCO 400 '!$D$29*(J1670^2)+'CAFCO 400 '!$D$30*J1670+'CAFCO 400 '!$D$31)),0),0)+IF(AND(L1670="Cafco 300",J1670&gt;=95,J1670&lt;=240,C1670="Cj",I1670=90),VLOOKUP(T1670,'CAFCO 300 IDIEM TABLAS'!$B$4:$D$23,2,FALSE),0)+IF(AND(L1670="Cafco 300",J1670&gt;=95,J1670&lt;=240,C1670="Cj",I1670=120),VLOOKUP(T1670,'CAFCO 300 IDIEM TABLAS'!$B$4:$D$23,3,FALSE),0)+IF(AND(L1670="Cafco 300",J1670&gt;=95,J1670&lt;=400,G1670=3,C1670="IN",I1670=90),VLOOKUP(T1670,'CAFCO 300 IDIEM TABLAS'!$F$4:$H$35,2,FALSE),0)+IF(AND(L1670="Cafco 300",J1670&gt;=95,J1670&lt;=400,G1670=3,C1670="IN",I1670=120),VLOOKUP(T1670,'CAFCO 300 IDIEM TABLAS'!$F$4:$H$35,3,FALSE),0)+IF(AND(L1670="Cafco 300",J1670&gt;=95,J1670&lt;=450,G1670=4,C1670="IN",I1670=90),VLOOKUP(T1670,'CAFCO 300 IDIEM TABLAS'!$J$4:$L$40,2,FALSE),0)+IF(AND(L1670="Cafco 300",J1670&gt;=95,J1670&lt;=450,G1670=4,C1670="IN",I1670=120),VLOOKUP(T1670,'CAFCO 300 IDIEM TABLAS'!$J$4:$L$40,3,FALSE),0)+IF(AND(M1670="Ensayo Idiem",L1670="Cafco 400",C1670="IN",G1670=4,I1670=90),VLOOKUP(T1670,'CAFCO 400 ENSAYO'!$B$7:$D$43,2,FALSE),0)+IF(AND(M1670="Ensayo Idiem",L1670="Cafco 400",C1670="IN",G1670=4,I1670=120),VLOOKUP(T1670,'CAFCO 400 ENSAYO'!$B$7:$D$43,3,FALSE),0)</f>
        <v>0</v>
      </c>
      <c r="O1670" s="96">
        <f t="shared" si="162"/>
        <v>0</v>
      </c>
      <c r="P1670" s="95" t="str">
        <f t="shared" si="163"/>
        <v>N/A</v>
      </c>
      <c r="Q1670" s="95" t="str">
        <f t="shared" si="164"/>
        <v>N/A</v>
      </c>
      <c r="R1670" s="95" t="str">
        <f t="shared" si="165"/>
        <v>NO CERT.</v>
      </c>
      <c r="S1670" s="95" t="e">
        <f t="shared" si="166"/>
        <v>#N/A</v>
      </c>
      <c r="T1670" s="119" t="e">
        <f>+IF(J1670=LOOKUP(J1670,'CAFCO 300 IDIEM TABLAS'!$J$4:$J$40),'CALCULO MORTERO'!J1670,MROUND('CALCULO MORTERO'!J1670,10))</f>
        <v>#N/A</v>
      </c>
      <c r="U1670" s="118">
        <f t="shared" si="167"/>
        <v>0</v>
      </c>
    </row>
    <row r="1671" spans="1:21" x14ac:dyDescent="0.25">
      <c r="A1671" s="118">
        <f>+CUBICACION!D1665</f>
        <v>0</v>
      </c>
      <c r="B1671" s="819">
        <f>+CUBICACION!E1665</f>
        <v>0</v>
      </c>
      <c r="C1671" s="675">
        <f>+CUBICACION!F1665</f>
        <v>0</v>
      </c>
      <c r="D1671" s="118"/>
      <c r="E1671" s="118"/>
      <c r="F1671" s="820"/>
      <c r="G1671" s="675">
        <f>+CUBICACION!J1665</f>
        <v>0</v>
      </c>
      <c r="H1671" s="118"/>
      <c r="I1671" s="821">
        <f>+CUBICACION!L1665</f>
        <v>0</v>
      </c>
      <c r="J1671" s="64">
        <f>+CUBICACION!M1665</f>
        <v>0</v>
      </c>
      <c r="K1671" s="822">
        <f>+CUBICACION!N1665</f>
        <v>0</v>
      </c>
      <c r="L1671" s="118">
        <f>+CUBICACION!O1665</f>
        <v>0</v>
      </c>
      <c r="M1671" s="823">
        <f>+CUBICACION!P1665</f>
        <v>0</v>
      </c>
      <c r="N1671" s="902">
        <f>ROUND(IF(AND(L1671="Blaze Shield II",M1671="Software Idiem",C1671="IN",G1671=4),((('BLAZE SHIELD II'!$D$4*('CALCULO MORTERO'!I1671^2)+'BLAZE SHIELD II'!$D$5*'CALCULO MORTERO'!I1671+'BLAZE SHIELD II'!$D$6)*LN(J1671))+('BLAZE SHIELD II'!$D$7*('CALCULO MORTERO'!I1671^2)+'BLAZE SHIELD II'!$D$8*'CALCULO MORTERO'!I1671+'BLAZE SHIELD II'!$D$9)),0)+IF(AND(L1671="Blaze Shield II",M1671="Software Idiem",C1671="Cj"),((('BLAZE SHIELD II'!$H$4*('CALCULO MORTERO'!I1671^2)+'BLAZE SHIELD II'!$H$5*'CALCULO MORTERO'!I1671+'BLAZE SHIELD II'!$H$6)*LN(J1671))+('BLAZE SHIELD II'!$H$7*('CALCULO MORTERO'!I1671^2)+'BLAZE SHIELD II'!$H$8*'CALCULO MORTERO'!I1671+'BLAZE SHIELD II'!$H$9)),0)+IF(AND(L1671="Blaze Shield II",M1671="Software Idiem",C1671="C"),((('BLAZE SHIELD II'!$L$4*('CALCULO MORTERO'!I1671^2)+'BLAZE SHIELD II'!$L$5*'CALCULO MORTERO'!I1671+'BLAZE SHIELD II'!$L$6)*LN(J1671))+('BLAZE SHIELD II'!$L$7*('CALCULO MORTERO'!I1671^2)+'BLAZE SHIELD II'!$L$8*'CALCULO MORTERO'!I1671+'BLAZE SHIELD II'!$L$9)),0)+IF(AND(L1671="Blaze Shield II",M1671="Software Idiem",C1671="L"),((('BLAZE SHIELD II'!$L$4*('CALCULO MORTERO'!I1671^2)+'BLAZE SHIELD II'!$L$5*'CALCULO MORTERO'!I1671+'BLAZE SHIELD II'!$L$6)*LN(J1671))+('BLAZE SHIELD II'!$L$7*('CALCULO MORTERO'!I1671^2)+'BLAZE SHIELD II'!$L$8*'CALCULO MORTERO'!I1671+'BLAZE SHIELD II'!$L$9)),0)+IF(AND(L1671="Blaze Shield II",M1671="Software Idiem",C1671="IN",G1671=3),((('BLAZE SHIELD II'!$H$14*('CALCULO MORTERO'!I1671^2)+'BLAZE SHIELD II'!$H$15*'CALCULO MORTERO'!I1671+'BLAZE SHIELD II'!$H$16)*LN(J1671))+('BLAZE SHIELD II'!$H$17*('CALCULO MORTERO'!I1671^2)+'BLAZE SHIELD II'!$H$18*'CALCULO MORTERO'!I1671+'BLAZE SHIELD II'!$H$19)),0),0)+ROUND(IF(AND(L1671="Cafco 400",M1671="Software Idiem",C1671="IN",G1671=4),((('CAFCO 400 '!$H$7*(J1671^4)+'CAFCO 400 '!$H$8*(J1671^3)+'CAFCO 400 '!$H$9*(J1671^2)+'CAFCO 400 '!$H$10*J1671+'CAFCO 400 '!$H$11)*U1671^2)+(('CAFCO 400 '!$H$12*(J1671^3)+'CAFCO 400 '!$H$13*(J1671^2)+'CAFCO 400 '!$H$14*J1671+'CAFCO 400 '!$H$15)*U1671)+('CAFCO 400 '!$H$16*(J1671^2)+'CAFCO 400 '!$H$17*J1671+'CAFCO 400 '!$H$18)),0)+IF(AND(L1671="Cafco 400",M1671="Software Idiem",C1671="Cj"),(((('CAFCO 400 '!$D$7*LN(J1671)+'CAFCO 400 '!$D$8)*U1671^2)+(('CAFCO 400 '!$D$9*LN(J1671)+'CAFCO 400 '!$D$10)*U1671)+('CAFCO 400 '!$D$11*LN(J1671)+'CAFCO 400 '!$D$12))),0)+IF(AND(L1671="Cafco 400",M1671="Software Idiem",C1671="C"),((('CAFCO 400 '!$L$7*(J1671^3)+'CAFCO 400 '!$L$8*(J1671^2)+'CAFCO 400 '!$L$9*J1671+'CAFCO 400 '!$L$10)*U1671^2)+(('CAFCO 400 '!$L$11*(J1671^3)+'CAFCO 400 '!$L$12*(J1671^2)+'CAFCO 400 '!$L$13*J1671+'CAFCO 400 '!$L$14)*U1671)+('CAFCO 400 '!$L$15*LN(J1671)+'CAFCO 400 '!$L$16)),0)+IF(AND(L1671="Cafco 400",M1671="Software Idiem",C1671="L"),((('CAFCO 400 '!$L$7*(J1671^3)+'CAFCO 400 '!$L$8*(J1671^2)+'CAFCO 400 '!$L$9*J1671+'CAFCO 400 '!$L$10)*U1671^2)+(('CAFCO 400 '!$L$11*(J1671^3)+'CAFCO 400 '!$L$12*(J1671^2)+'CAFCO 400 '!$L$13*J1671+'CAFCO 400 '!$L$14)*U1671)+('CAFCO 400 '!$L$15*LN(J1671)+'CAFCO 400 '!$L$16)),0)+IF(AND(L1671="Cafco 400",M1671="Software Idiem",C1671="IN",G1671=3),((('CAFCO 400 '!$D$23*(J1671^2)+'CAFCO 400 '!$D$24*(J1671)+'CAFCO 400 '!$D$25)*U1671^2)+(('CAFCO 400 '!$D$26*(J1671^2)+'CAFCO 400 '!$D$27*J1671+'CAFCO 400 '!$D$28)*U1671)+('CAFCO 400 '!$D$29*(J1671^2)+'CAFCO 400 '!$D$30*J1671+'CAFCO 400 '!$D$31)),0),0)+IF(AND(L1671="Cafco 300",J1671&gt;=95,J1671&lt;=240,C1671="Cj",I1671=90),VLOOKUP(T1671,'CAFCO 300 IDIEM TABLAS'!$B$4:$D$23,2,FALSE),0)+IF(AND(L1671="Cafco 300",J1671&gt;=95,J1671&lt;=240,C1671="Cj",I1671=120),VLOOKUP(T1671,'CAFCO 300 IDIEM TABLAS'!$B$4:$D$23,3,FALSE),0)+IF(AND(L1671="Cafco 300",J1671&gt;=95,J1671&lt;=400,G1671=3,C1671="IN",I1671=90),VLOOKUP(T1671,'CAFCO 300 IDIEM TABLAS'!$F$4:$H$35,2,FALSE),0)+IF(AND(L1671="Cafco 300",J1671&gt;=95,J1671&lt;=400,G1671=3,C1671="IN",I1671=120),VLOOKUP(T1671,'CAFCO 300 IDIEM TABLAS'!$F$4:$H$35,3,FALSE),0)+IF(AND(L1671="Cafco 300",J1671&gt;=95,J1671&lt;=450,G1671=4,C1671="IN",I1671=90),VLOOKUP(T1671,'CAFCO 300 IDIEM TABLAS'!$J$4:$L$40,2,FALSE),0)+IF(AND(L1671="Cafco 300",J1671&gt;=95,J1671&lt;=450,G1671=4,C1671="IN",I1671=120),VLOOKUP(T1671,'CAFCO 300 IDIEM TABLAS'!$J$4:$L$40,3,FALSE),0)+IF(AND(M1671="Ensayo Idiem",L1671="Cafco 400",C1671="IN",G1671=4,I1671=90),VLOOKUP(T1671,'CAFCO 400 ENSAYO'!$B$7:$D$43,2,FALSE),0)+IF(AND(M1671="Ensayo Idiem",L1671="Cafco 400",C1671="IN",G1671=4,I1671=120),VLOOKUP(T1671,'CAFCO 400 ENSAYO'!$B$7:$D$43,3,FALSE),0)</f>
        <v>0</v>
      </c>
      <c r="O1671" s="96">
        <f t="shared" si="162"/>
        <v>0</v>
      </c>
      <c r="P1671" s="132" t="str">
        <f t="shared" si="163"/>
        <v>N/A</v>
      </c>
      <c r="Q1671" s="132" t="str">
        <f t="shared" si="164"/>
        <v>N/A</v>
      </c>
      <c r="R1671" s="132" t="str">
        <f t="shared" si="165"/>
        <v>NO CERT.</v>
      </c>
      <c r="S1671" s="132" t="e">
        <f t="shared" si="166"/>
        <v>#N/A</v>
      </c>
      <c r="T1671" s="133" t="e">
        <f>+IF(J1671=LOOKUP(J1671,'CAFCO 300 IDIEM TABLAS'!$J$4:$J$40),'CALCULO MORTERO'!J1671,MROUND('CALCULO MORTERO'!J1671,10))</f>
        <v>#N/A</v>
      </c>
      <c r="U1671" s="134">
        <f t="shared" si="167"/>
        <v>0</v>
      </c>
    </row>
    <row r="1672" spans="1:21" x14ac:dyDescent="0.25">
      <c r="A1672" s="118">
        <f>+CUBICACION!D1666</f>
        <v>0</v>
      </c>
      <c r="B1672" s="819">
        <f>+CUBICACION!E1666</f>
        <v>0</v>
      </c>
      <c r="C1672" s="675">
        <f>+CUBICACION!F1666</f>
        <v>0</v>
      </c>
      <c r="D1672" s="118"/>
      <c r="E1672" s="118"/>
      <c r="F1672" s="820"/>
      <c r="G1672" s="675">
        <f>+CUBICACION!J1666</f>
        <v>0</v>
      </c>
      <c r="H1672" s="118"/>
      <c r="I1672" s="821">
        <f>+CUBICACION!L1666</f>
        <v>0</v>
      </c>
      <c r="J1672" s="64">
        <f>+CUBICACION!M1666</f>
        <v>0</v>
      </c>
      <c r="K1672" s="822">
        <f>+CUBICACION!N1666</f>
        <v>0</v>
      </c>
      <c r="L1672" s="118">
        <f>+CUBICACION!O1666</f>
        <v>0</v>
      </c>
      <c r="M1672" s="823">
        <f>+CUBICACION!P1666</f>
        <v>0</v>
      </c>
      <c r="N1672" s="902">
        <f>ROUND(IF(AND(L1672="Blaze Shield II",M1672="Software Idiem",C1672="IN",G1672=4),((('BLAZE SHIELD II'!$D$4*('CALCULO MORTERO'!I1672^2)+'BLAZE SHIELD II'!$D$5*'CALCULO MORTERO'!I1672+'BLAZE SHIELD II'!$D$6)*LN(J1672))+('BLAZE SHIELD II'!$D$7*('CALCULO MORTERO'!I1672^2)+'BLAZE SHIELD II'!$D$8*'CALCULO MORTERO'!I1672+'BLAZE SHIELD II'!$D$9)),0)+IF(AND(L1672="Blaze Shield II",M1672="Software Idiem",C1672="Cj"),((('BLAZE SHIELD II'!$H$4*('CALCULO MORTERO'!I1672^2)+'BLAZE SHIELD II'!$H$5*'CALCULO MORTERO'!I1672+'BLAZE SHIELD II'!$H$6)*LN(J1672))+('BLAZE SHIELD II'!$H$7*('CALCULO MORTERO'!I1672^2)+'BLAZE SHIELD II'!$H$8*'CALCULO MORTERO'!I1672+'BLAZE SHIELD II'!$H$9)),0)+IF(AND(L1672="Blaze Shield II",M1672="Software Idiem",C1672="C"),((('BLAZE SHIELD II'!$L$4*('CALCULO MORTERO'!I1672^2)+'BLAZE SHIELD II'!$L$5*'CALCULO MORTERO'!I1672+'BLAZE SHIELD II'!$L$6)*LN(J1672))+('BLAZE SHIELD II'!$L$7*('CALCULO MORTERO'!I1672^2)+'BLAZE SHIELD II'!$L$8*'CALCULO MORTERO'!I1672+'BLAZE SHIELD II'!$L$9)),0)+IF(AND(L1672="Blaze Shield II",M1672="Software Idiem",C1672="L"),((('BLAZE SHIELD II'!$L$4*('CALCULO MORTERO'!I1672^2)+'BLAZE SHIELD II'!$L$5*'CALCULO MORTERO'!I1672+'BLAZE SHIELD II'!$L$6)*LN(J1672))+('BLAZE SHIELD II'!$L$7*('CALCULO MORTERO'!I1672^2)+'BLAZE SHIELD II'!$L$8*'CALCULO MORTERO'!I1672+'BLAZE SHIELD II'!$L$9)),0)+IF(AND(L1672="Blaze Shield II",M1672="Software Idiem",C1672="IN",G1672=3),((('BLAZE SHIELD II'!$H$14*('CALCULO MORTERO'!I1672^2)+'BLAZE SHIELD II'!$H$15*'CALCULO MORTERO'!I1672+'BLAZE SHIELD II'!$H$16)*LN(J1672))+('BLAZE SHIELD II'!$H$17*('CALCULO MORTERO'!I1672^2)+'BLAZE SHIELD II'!$H$18*'CALCULO MORTERO'!I1672+'BLAZE SHIELD II'!$H$19)),0),0)+ROUND(IF(AND(L1672="Cafco 400",M1672="Software Idiem",C1672="IN",G1672=4),((('CAFCO 400 '!$H$7*(J1672^4)+'CAFCO 400 '!$H$8*(J1672^3)+'CAFCO 400 '!$H$9*(J1672^2)+'CAFCO 400 '!$H$10*J1672+'CAFCO 400 '!$H$11)*U1672^2)+(('CAFCO 400 '!$H$12*(J1672^3)+'CAFCO 400 '!$H$13*(J1672^2)+'CAFCO 400 '!$H$14*J1672+'CAFCO 400 '!$H$15)*U1672)+('CAFCO 400 '!$H$16*(J1672^2)+'CAFCO 400 '!$H$17*J1672+'CAFCO 400 '!$H$18)),0)+IF(AND(L1672="Cafco 400",M1672="Software Idiem",C1672="Cj"),(((('CAFCO 400 '!$D$7*LN(J1672)+'CAFCO 400 '!$D$8)*U1672^2)+(('CAFCO 400 '!$D$9*LN(J1672)+'CAFCO 400 '!$D$10)*U1672)+('CAFCO 400 '!$D$11*LN(J1672)+'CAFCO 400 '!$D$12))),0)+IF(AND(L1672="Cafco 400",M1672="Software Idiem",C1672="C"),((('CAFCO 400 '!$L$7*(J1672^3)+'CAFCO 400 '!$L$8*(J1672^2)+'CAFCO 400 '!$L$9*J1672+'CAFCO 400 '!$L$10)*U1672^2)+(('CAFCO 400 '!$L$11*(J1672^3)+'CAFCO 400 '!$L$12*(J1672^2)+'CAFCO 400 '!$L$13*J1672+'CAFCO 400 '!$L$14)*U1672)+('CAFCO 400 '!$L$15*LN(J1672)+'CAFCO 400 '!$L$16)),0)+IF(AND(L1672="Cafco 400",M1672="Software Idiem",C1672="L"),((('CAFCO 400 '!$L$7*(J1672^3)+'CAFCO 400 '!$L$8*(J1672^2)+'CAFCO 400 '!$L$9*J1672+'CAFCO 400 '!$L$10)*U1672^2)+(('CAFCO 400 '!$L$11*(J1672^3)+'CAFCO 400 '!$L$12*(J1672^2)+'CAFCO 400 '!$L$13*J1672+'CAFCO 400 '!$L$14)*U1672)+('CAFCO 400 '!$L$15*LN(J1672)+'CAFCO 400 '!$L$16)),0)+IF(AND(L1672="Cafco 400",M1672="Software Idiem",C1672="IN",G1672=3),((('CAFCO 400 '!$D$23*(J1672^2)+'CAFCO 400 '!$D$24*(J1672)+'CAFCO 400 '!$D$25)*U1672^2)+(('CAFCO 400 '!$D$26*(J1672^2)+'CAFCO 400 '!$D$27*J1672+'CAFCO 400 '!$D$28)*U1672)+('CAFCO 400 '!$D$29*(J1672^2)+'CAFCO 400 '!$D$30*J1672+'CAFCO 400 '!$D$31)),0),0)+IF(AND(L1672="Cafco 300",J1672&gt;=95,J1672&lt;=240,C1672="Cj",I1672=90),VLOOKUP(T1672,'CAFCO 300 IDIEM TABLAS'!$B$4:$D$23,2,FALSE),0)+IF(AND(L1672="Cafco 300",J1672&gt;=95,J1672&lt;=240,C1672="Cj",I1672=120),VLOOKUP(T1672,'CAFCO 300 IDIEM TABLAS'!$B$4:$D$23,3,FALSE),0)+IF(AND(L1672="Cafco 300",J1672&gt;=95,J1672&lt;=400,G1672=3,C1672="IN",I1672=90),VLOOKUP(T1672,'CAFCO 300 IDIEM TABLAS'!$F$4:$H$35,2,FALSE),0)+IF(AND(L1672="Cafco 300",J1672&gt;=95,J1672&lt;=400,G1672=3,C1672="IN",I1672=120),VLOOKUP(T1672,'CAFCO 300 IDIEM TABLAS'!$F$4:$H$35,3,FALSE),0)+IF(AND(L1672="Cafco 300",J1672&gt;=95,J1672&lt;=450,G1672=4,C1672="IN",I1672=90),VLOOKUP(T1672,'CAFCO 300 IDIEM TABLAS'!$J$4:$L$40,2,FALSE),0)+IF(AND(L1672="Cafco 300",J1672&gt;=95,J1672&lt;=450,G1672=4,C1672="IN",I1672=120),VLOOKUP(T1672,'CAFCO 300 IDIEM TABLAS'!$J$4:$L$40,3,FALSE),0)+IF(AND(M1672="Ensayo Idiem",L1672="Cafco 400",C1672="IN",G1672=4,I1672=90),VLOOKUP(T1672,'CAFCO 400 ENSAYO'!$B$7:$D$43,2,FALSE),0)+IF(AND(M1672="Ensayo Idiem",L1672="Cafco 400",C1672="IN",G1672=4,I1672=120),VLOOKUP(T1672,'CAFCO 400 ENSAYO'!$B$7:$D$43,3,FALSE),0)</f>
        <v>0</v>
      </c>
      <c r="O1672" s="96">
        <f t="shared" si="162"/>
        <v>0</v>
      </c>
      <c r="P1672" s="95" t="str">
        <f t="shared" si="163"/>
        <v>N/A</v>
      </c>
      <c r="Q1672" s="95" t="str">
        <f t="shared" si="164"/>
        <v>N/A</v>
      </c>
      <c r="R1672" s="95" t="str">
        <f t="shared" si="165"/>
        <v>NO CERT.</v>
      </c>
      <c r="S1672" s="95" t="e">
        <f t="shared" si="166"/>
        <v>#N/A</v>
      </c>
      <c r="T1672" s="119" t="e">
        <f>+IF(J1672=LOOKUP(J1672,'CAFCO 300 IDIEM TABLAS'!$J$4:$J$40),'CALCULO MORTERO'!J1672,MROUND('CALCULO MORTERO'!J1672,10))</f>
        <v>#N/A</v>
      </c>
      <c r="U1672" s="118">
        <f t="shared" si="167"/>
        <v>0</v>
      </c>
    </row>
    <row r="1673" spans="1:21" x14ac:dyDescent="0.25">
      <c r="A1673" s="118">
        <f>+CUBICACION!D1667</f>
        <v>0</v>
      </c>
      <c r="B1673" s="819">
        <f>+CUBICACION!E1667</f>
        <v>0</v>
      </c>
      <c r="C1673" s="675">
        <f>+CUBICACION!F1667</f>
        <v>0</v>
      </c>
      <c r="D1673" s="118"/>
      <c r="E1673" s="118"/>
      <c r="F1673" s="820"/>
      <c r="G1673" s="675">
        <f>+CUBICACION!J1667</f>
        <v>0</v>
      </c>
      <c r="H1673" s="118"/>
      <c r="I1673" s="821">
        <f>+CUBICACION!L1667</f>
        <v>0</v>
      </c>
      <c r="J1673" s="64">
        <f>+CUBICACION!M1667</f>
        <v>0</v>
      </c>
      <c r="K1673" s="822">
        <f>+CUBICACION!N1667</f>
        <v>0</v>
      </c>
      <c r="L1673" s="118">
        <f>+CUBICACION!O1667</f>
        <v>0</v>
      </c>
      <c r="M1673" s="823">
        <f>+CUBICACION!P1667</f>
        <v>0</v>
      </c>
      <c r="N1673" s="902">
        <f>ROUND(IF(AND(L1673="Blaze Shield II",M1673="Software Idiem",C1673="IN",G1673=4),((('BLAZE SHIELD II'!$D$4*('CALCULO MORTERO'!I1673^2)+'BLAZE SHIELD II'!$D$5*'CALCULO MORTERO'!I1673+'BLAZE SHIELD II'!$D$6)*LN(J1673))+('BLAZE SHIELD II'!$D$7*('CALCULO MORTERO'!I1673^2)+'BLAZE SHIELD II'!$D$8*'CALCULO MORTERO'!I1673+'BLAZE SHIELD II'!$D$9)),0)+IF(AND(L1673="Blaze Shield II",M1673="Software Idiem",C1673="Cj"),((('BLAZE SHIELD II'!$H$4*('CALCULO MORTERO'!I1673^2)+'BLAZE SHIELD II'!$H$5*'CALCULO MORTERO'!I1673+'BLAZE SHIELD II'!$H$6)*LN(J1673))+('BLAZE SHIELD II'!$H$7*('CALCULO MORTERO'!I1673^2)+'BLAZE SHIELD II'!$H$8*'CALCULO MORTERO'!I1673+'BLAZE SHIELD II'!$H$9)),0)+IF(AND(L1673="Blaze Shield II",M1673="Software Idiem",C1673="C"),((('BLAZE SHIELD II'!$L$4*('CALCULO MORTERO'!I1673^2)+'BLAZE SHIELD II'!$L$5*'CALCULO MORTERO'!I1673+'BLAZE SHIELD II'!$L$6)*LN(J1673))+('BLAZE SHIELD II'!$L$7*('CALCULO MORTERO'!I1673^2)+'BLAZE SHIELD II'!$L$8*'CALCULO MORTERO'!I1673+'BLAZE SHIELD II'!$L$9)),0)+IF(AND(L1673="Blaze Shield II",M1673="Software Idiem",C1673="L"),((('BLAZE SHIELD II'!$L$4*('CALCULO MORTERO'!I1673^2)+'BLAZE SHIELD II'!$L$5*'CALCULO MORTERO'!I1673+'BLAZE SHIELD II'!$L$6)*LN(J1673))+('BLAZE SHIELD II'!$L$7*('CALCULO MORTERO'!I1673^2)+'BLAZE SHIELD II'!$L$8*'CALCULO MORTERO'!I1673+'BLAZE SHIELD II'!$L$9)),0)+IF(AND(L1673="Blaze Shield II",M1673="Software Idiem",C1673="IN",G1673=3),((('BLAZE SHIELD II'!$H$14*('CALCULO MORTERO'!I1673^2)+'BLAZE SHIELD II'!$H$15*'CALCULO MORTERO'!I1673+'BLAZE SHIELD II'!$H$16)*LN(J1673))+('BLAZE SHIELD II'!$H$17*('CALCULO MORTERO'!I1673^2)+'BLAZE SHIELD II'!$H$18*'CALCULO MORTERO'!I1673+'BLAZE SHIELD II'!$H$19)),0),0)+ROUND(IF(AND(L1673="Cafco 400",M1673="Software Idiem",C1673="IN",G1673=4),((('CAFCO 400 '!$H$7*(J1673^4)+'CAFCO 400 '!$H$8*(J1673^3)+'CAFCO 400 '!$H$9*(J1673^2)+'CAFCO 400 '!$H$10*J1673+'CAFCO 400 '!$H$11)*U1673^2)+(('CAFCO 400 '!$H$12*(J1673^3)+'CAFCO 400 '!$H$13*(J1673^2)+'CAFCO 400 '!$H$14*J1673+'CAFCO 400 '!$H$15)*U1673)+('CAFCO 400 '!$H$16*(J1673^2)+'CAFCO 400 '!$H$17*J1673+'CAFCO 400 '!$H$18)),0)+IF(AND(L1673="Cafco 400",M1673="Software Idiem",C1673="Cj"),(((('CAFCO 400 '!$D$7*LN(J1673)+'CAFCO 400 '!$D$8)*U1673^2)+(('CAFCO 400 '!$D$9*LN(J1673)+'CAFCO 400 '!$D$10)*U1673)+('CAFCO 400 '!$D$11*LN(J1673)+'CAFCO 400 '!$D$12))),0)+IF(AND(L1673="Cafco 400",M1673="Software Idiem",C1673="C"),((('CAFCO 400 '!$L$7*(J1673^3)+'CAFCO 400 '!$L$8*(J1673^2)+'CAFCO 400 '!$L$9*J1673+'CAFCO 400 '!$L$10)*U1673^2)+(('CAFCO 400 '!$L$11*(J1673^3)+'CAFCO 400 '!$L$12*(J1673^2)+'CAFCO 400 '!$L$13*J1673+'CAFCO 400 '!$L$14)*U1673)+('CAFCO 400 '!$L$15*LN(J1673)+'CAFCO 400 '!$L$16)),0)+IF(AND(L1673="Cafco 400",M1673="Software Idiem",C1673="L"),((('CAFCO 400 '!$L$7*(J1673^3)+'CAFCO 400 '!$L$8*(J1673^2)+'CAFCO 400 '!$L$9*J1673+'CAFCO 400 '!$L$10)*U1673^2)+(('CAFCO 400 '!$L$11*(J1673^3)+'CAFCO 400 '!$L$12*(J1673^2)+'CAFCO 400 '!$L$13*J1673+'CAFCO 400 '!$L$14)*U1673)+('CAFCO 400 '!$L$15*LN(J1673)+'CAFCO 400 '!$L$16)),0)+IF(AND(L1673="Cafco 400",M1673="Software Idiem",C1673="IN",G1673=3),((('CAFCO 400 '!$D$23*(J1673^2)+'CAFCO 400 '!$D$24*(J1673)+'CAFCO 400 '!$D$25)*U1673^2)+(('CAFCO 400 '!$D$26*(J1673^2)+'CAFCO 400 '!$D$27*J1673+'CAFCO 400 '!$D$28)*U1673)+('CAFCO 400 '!$D$29*(J1673^2)+'CAFCO 400 '!$D$30*J1673+'CAFCO 400 '!$D$31)),0),0)+IF(AND(L1673="Cafco 300",J1673&gt;=95,J1673&lt;=240,C1673="Cj",I1673=90),VLOOKUP(T1673,'CAFCO 300 IDIEM TABLAS'!$B$4:$D$23,2,FALSE),0)+IF(AND(L1673="Cafco 300",J1673&gt;=95,J1673&lt;=240,C1673="Cj",I1673=120),VLOOKUP(T1673,'CAFCO 300 IDIEM TABLAS'!$B$4:$D$23,3,FALSE),0)+IF(AND(L1673="Cafco 300",J1673&gt;=95,J1673&lt;=400,G1673=3,C1673="IN",I1673=90),VLOOKUP(T1673,'CAFCO 300 IDIEM TABLAS'!$F$4:$H$35,2,FALSE),0)+IF(AND(L1673="Cafco 300",J1673&gt;=95,J1673&lt;=400,G1673=3,C1673="IN",I1673=120),VLOOKUP(T1673,'CAFCO 300 IDIEM TABLAS'!$F$4:$H$35,3,FALSE),0)+IF(AND(L1673="Cafco 300",J1673&gt;=95,J1673&lt;=450,G1673=4,C1673="IN",I1673=90),VLOOKUP(T1673,'CAFCO 300 IDIEM TABLAS'!$J$4:$L$40,2,FALSE),0)+IF(AND(L1673="Cafco 300",J1673&gt;=95,J1673&lt;=450,G1673=4,C1673="IN",I1673=120),VLOOKUP(T1673,'CAFCO 300 IDIEM TABLAS'!$J$4:$L$40,3,FALSE),0)+IF(AND(M1673="Ensayo Idiem",L1673="Cafco 400",C1673="IN",G1673=4,I1673=90),VLOOKUP(T1673,'CAFCO 400 ENSAYO'!$B$7:$D$43,2,FALSE),0)+IF(AND(M1673="Ensayo Idiem",L1673="Cafco 400",C1673="IN",G1673=4,I1673=120),VLOOKUP(T1673,'CAFCO 400 ENSAYO'!$B$7:$D$43,3,FALSE),0)</f>
        <v>0</v>
      </c>
      <c r="O1673" s="96">
        <f t="shared" si="162"/>
        <v>0</v>
      </c>
      <c r="P1673" s="132" t="str">
        <f t="shared" si="163"/>
        <v>N/A</v>
      </c>
      <c r="Q1673" s="132" t="str">
        <f t="shared" si="164"/>
        <v>N/A</v>
      </c>
      <c r="R1673" s="132" t="str">
        <f t="shared" si="165"/>
        <v>NO CERT.</v>
      </c>
      <c r="S1673" s="132" t="e">
        <f t="shared" si="166"/>
        <v>#N/A</v>
      </c>
      <c r="T1673" s="133" t="e">
        <f>+IF(J1673=LOOKUP(J1673,'CAFCO 300 IDIEM TABLAS'!$J$4:$J$40),'CALCULO MORTERO'!J1673,MROUND('CALCULO MORTERO'!J1673,10))</f>
        <v>#N/A</v>
      </c>
      <c r="U1673" s="134">
        <f t="shared" si="167"/>
        <v>0</v>
      </c>
    </row>
    <row r="1674" spans="1:21" x14ac:dyDescent="0.25">
      <c r="A1674" s="118">
        <f>+CUBICACION!D1668</f>
        <v>0</v>
      </c>
      <c r="B1674" s="819">
        <f>+CUBICACION!E1668</f>
        <v>0</v>
      </c>
      <c r="C1674" s="675">
        <f>+CUBICACION!F1668</f>
        <v>0</v>
      </c>
      <c r="D1674" s="118"/>
      <c r="E1674" s="118"/>
      <c r="F1674" s="820"/>
      <c r="G1674" s="675">
        <f>+CUBICACION!J1668</f>
        <v>0</v>
      </c>
      <c r="H1674" s="118"/>
      <c r="I1674" s="821">
        <f>+CUBICACION!L1668</f>
        <v>0</v>
      </c>
      <c r="J1674" s="64">
        <f>+CUBICACION!M1668</f>
        <v>0</v>
      </c>
      <c r="K1674" s="822">
        <f>+CUBICACION!N1668</f>
        <v>0</v>
      </c>
      <c r="L1674" s="118">
        <f>+CUBICACION!O1668</f>
        <v>0</v>
      </c>
      <c r="M1674" s="823">
        <f>+CUBICACION!P1668</f>
        <v>0</v>
      </c>
      <c r="N1674" s="902">
        <f>ROUND(IF(AND(L1674="Blaze Shield II",M1674="Software Idiem",C1674="IN",G1674=4),((('BLAZE SHIELD II'!$D$4*('CALCULO MORTERO'!I1674^2)+'BLAZE SHIELD II'!$D$5*'CALCULO MORTERO'!I1674+'BLAZE SHIELD II'!$D$6)*LN(J1674))+('BLAZE SHIELD II'!$D$7*('CALCULO MORTERO'!I1674^2)+'BLAZE SHIELD II'!$D$8*'CALCULO MORTERO'!I1674+'BLAZE SHIELD II'!$D$9)),0)+IF(AND(L1674="Blaze Shield II",M1674="Software Idiem",C1674="Cj"),((('BLAZE SHIELD II'!$H$4*('CALCULO MORTERO'!I1674^2)+'BLAZE SHIELD II'!$H$5*'CALCULO MORTERO'!I1674+'BLAZE SHIELD II'!$H$6)*LN(J1674))+('BLAZE SHIELD II'!$H$7*('CALCULO MORTERO'!I1674^2)+'BLAZE SHIELD II'!$H$8*'CALCULO MORTERO'!I1674+'BLAZE SHIELD II'!$H$9)),0)+IF(AND(L1674="Blaze Shield II",M1674="Software Idiem",C1674="C"),((('BLAZE SHIELD II'!$L$4*('CALCULO MORTERO'!I1674^2)+'BLAZE SHIELD II'!$L$5*'CALCULO MORTERO'!I1674+'BLAZE SHIELD II'!$L$6)*LN(J1674))+('BLAZE SHIELD II'!$L$7*('CALCULO MORTERO'!I1674^2)+'BLAZE SHIELD II'!$L$8*'CALCULO MORTERO'!I1674+'BLAZE SHIELD II'!$L$9)),0)+IF(AND(L1674="Blaze Shield II",M1674="Software Idiem",C1674="L"),((('BLAZE SHIELD II'!$L$4*('CALCULO MORTERO'!I1674^2)+'BLAZE SHIELD II'!$L$5*'CALCULO MORTERO'!I1674+'BLAZE SHIELD II'!$L$6)*LN(J1674))+('BLAZE SHIELD II'!$L$7*('CALCULO MORTERO'!I1674^2)+'BLAZE SHIELD II'!$L$8*'CALCULO MORTERO'!I1674+'BLAZE SHIELD II'!$L$9)),0)+IF(AND(L1674="Blaze Shield II",M1674="Software Idiem",C1674="IN",G1674=3),((('BLAZE SHIELD II'!$H$14*('CALCULO MORTERO'!I1674^2)+'BLAZE SHIELD II'!$H$15*'CALCULO MORTERO'!I1674+'BLAZE SHIELD II'!$H$16)*LN(J1674))+('BLAZE SHIELD II'!$H$17*('CALCULO MORTERO'!I1674^2)+'BLAZE SHIELD II'!$H$18*'CALCULO MORTERO'!I1674+'BLAZE SHIELD II'!$H$19)),0),0)+ROUND(IF(AND(L1674="Cafco 400",M1674="Software Idiem",C1674="IN",G1674=4),((('CAFCO 400 '!$H$7*(J1674^4)+'CAFCO 400 '!$H$8*(J1674^3)+'CAFCO 400 '!$H$9*(J1674^2)+'CAFCO 400 '!$H$10*J1674+'CAFCO 400 '!$H$11)*U1674^2)+(('CAFCO 400 '!$H$12*(J1674^3)+'CAFCO 400 '!$H$13*(J1674^2)+'CAFCO 400 '!$H$14*J1674+'CAFCO 400 '!$H$15)*U1674)+('CAFCO 400 '!$H$16*(J1674^2)+'CAFCO 400 '!$H$17*J1674+'CAFCO 400 '!$H$18)),0)+IF(AND(L1674="Cafco 400",M1674="Software Idiem",C1674="Cj"),(((('CAFCO 400 '!$D$7*LN(J1674)+'CAFCO 400 '!$D$8)*U1674^2)+(('CAFCO 400 '!$D$9*LN(J1674)+'CAFCO 400 '!$D$10)*U1674)+('CAFCO 400 '!$D$11*LN(J1674)+'CAFCO 400 '!$D$12))),0)+IF(AND(L1674="Cafco 400",M1674="Software Idiem",C1674="C"),((('CAFCO 400 '!$L$7*(J1674^3)+'CAFCO 400 '!$L$8*(J1674^2)+'CAFCO 400 '!$L$9*J1674+'CAFCO 400 '!$L$10)*U1674^2)+(('CAFCO 400 '!$L$11*(J1674^3)+'CAFCO 400 '!$L$12*(J1674^2)+'CAFCO 400 '!$L$13*J1674+'CAFCO 400 '!$L$14)*U1674)+('CAFCO 400 '!$L$15*LN(J1674)+'CAFCO 400 '!$L$16)),0)+IF(AND(L1674="Cafco 400",M1674="Software Idiem",C1674="L"),((('CAFCO 400 '!$L$7*(J1674^3)+'CAFCO 400 '!$L$8*(J1674^2)+'CAFCO 400 '!$L$9*J1674+'CAFCO 400 '!$L$10)*U1674^2)+(('CAFCO 400 '!$L$11*(J1674^3)+'CAFCO 400 '!$L$12*(J1674^2)+'CAFCO 400 '!$L$13*J1674+'CAFCO 400 '!$L$14)*U1674)+('CAFCO 400 '!$L$15*LN(J1674)+'CAFCO 400 '!$L$16)),0)+IF(AND(L1674="Cafco 400",M1674="Software Idiem",C1674="IN",G1674=3),((('CAFCO 400 '!$D$23*(J1674^2)+'CAFCO 400 '!$D$24*(J1674)+'CAFCO 400 '!$D$25)*U1674^2)+(('CAFCO 400 '!$D$26*(J1674^2)+'CAFCO 400 '!$D$27*J1674+'CAFCO 400 '!$D$28)*U1674)+('CAFCO 400 '!$D$29*(J1674^2)+'CAFCO 400 '!$D$30*J1674+'CAFCO 400 '!$D$31)),0),0)+IF(AND(L1674="Cafco 300",J1674&gt;=95,J1674&lt;=240,C1674="Cj",I1674=90),VLOOKUP(T1674,'CAFCO 300 IDIEM TABLAS'!$B$4:$D$23,2,FALSE),0)+IF(AND(L1674="Cafco 300",J1674&gt;=95,J1674&lt;=240,C1674="Cj",I1674=120),VLOOKUP(T1674,'CAFCO 300 IDIEM TABLAS'!$B$4:$D$23,3,FALSE),0)+IF(AND(L1674="Cafco 300",J1674&gt;=95,J1674&lt;=400,G1674=3,C1674="IN",I1674=90),VLOOKUP(T1674,'CAFCO 300 IDIEM TABLAS'!$F$4:$H$35,2,FALSE),0)+IF(AND(L1674="Cafco 300",J1674&gt;=95,J1674&lt;=400,G1674=3,C1674="IN",I1674=120),VLOOKUP(T1674,'CAFCO 300 IDIEM TABLAS'!$F$4:$H$35,3,FALSE),0)+IF(AND(L1674="Cafco 300",J1674&gt;=95,J1674&lt;=450,G1674=4,C1674="IN",I1674=90),VLOOKUP(T1674,'CAFCO 300 IDIEM TABLAS'!$J$4:$L$40,2,FALSE),0)+IF(AND(L1674="Cafco 300",J1674&gt;=95,J1674&lt;=450,G1674=4,C1674="IN",I1674=120),VLOOKUP(T1674,'CAFCO 300 IDIEM TABLAS'!$J$4:$L$40,3,FALSE),0)+IF(AND(M1674="Ensayo Idiem",L1674="Cafco 400",C1674="IN",G1674=4,I1674=90),VLOOKUP(T1674,'CAFCO 400 ENSAYO'!$B$7:$D$43,2,FALSE),0)+IF(AND(M1674="Ensayo Idiem",L1674="Cafco 400",C1674="IN",G1674=4,I1674=120),VLOOKUP(T1674,'CAFCO 400 ENSAYO'!$B$7:$D$43,3,FALSE),0)</f>
        <v>0</v>
      </c>
      <c r="O1674" s="96">
        <f t="shared" si="162"/>
        <v>0</v>
      </c>
      <c r="P1674" s="95" t="str">
        <f t="shared" si="163"/>
        <v>N/A</v>
      </c>
      <c r="Q1674" s="95" t="str">
        <f t="shared" si="164"/>
        <v>N/A</v>
      </c>
      <c r="R1674" s="95" t="str">
        <f t="shared" si="165"/>
        <v>NO CERT.</v>
      </c>
      <c r="S1674" s="95" t="e">
        <f t="shared" si="166"/>
        <v>#N/A</v>
      </c>
      <c r="T1674" s="119" t="e">
        <f>+IF(J1674=LOOKUP(J1674,'CAFCO 300 IDIEM TABLAS'!$J$4:$J$40),'CALCULO MORTERO'!J1674,MROUND('CALCULO MORTERO'!J1674,10))</f>
        <v>#N/A</v>
      </c>
      <c r="U1674" s="118">
        <f t="shared" si="167"/>
        <v>0</v>
      </c>
    </row>
    <row r="1675" spans="1:21" x14ac:dyDescent="0.25">
      <c r="A1675" s="118">
        <f>+CUBICACION!D1669</f>
        <v>0</v>
      </c>
      <c r="B1675" s="819">
        <f>+CUBICACION!E1669</f>
        <v>0</v>
      </c>
      <c r="C1675" s="675">
        <f>+CUBICACION!F1669</f>
        <v>0</v>
      </c>
      <c r="D1675" s="118"/>
      <c r="E1675" s="118"/>
      <c r="F1675" s="820"/>
      <c r="G1675" s="675">
        <f>+CUBICACION!J1669</f>
        <v>0</v>
      </c>
      <c r="H1675" s="118"/>
      <c r="I1675" s="821">
        <f>+CUBICACION!L1669</f>
        <v>0</v>
      </c>
      <c r="J1675" s="64">
        <f>+CUBICACION!M1669</f>
        <v>0</v>
      </c>
      <c r="K1675" s="822">
        <f>+CUBICACION!N1669</f>
        <v>0</v>
      </c>
      <c r="L1675" s="118">
        <f>+CUBICACION!O1669</f>
        <v>0</v>
      </c>
      <c r="M1675" s="823">
        <f>+CUBICACION!P1669</f>
        <v>0</v>
      </c>
      <c r="N1675" s="902">
        <f>ROUND(IF(AND(L1675="Blaze Shield II",M1675="Software Idiem",C1675="IN",G1675=4),((('BLAZE SHIELD II'!$D$4*('CALCULO MORTERO'!I1675^2)+'BLAZE SHIELD II'!$D$5*'CALCULO MORTERO'!I1675+'BLAZE SHIELD II'!$D$6)*LN(J1675))+('BLAZE SHIELD II'!$D$7*('CALCULO MORTERO'!I1675^2)+'BLAZE SHIELD II'!$D$8*'CALCULO MORTERO'!I1675+'BLAZE SHIELD II'!$D$9)),0)+IF(AND(L1675="Blaze Shield II",M1675="Software Idiem",C1675="Cj"),((('BLAZE SHIELD II'!$H$4*('CALCULO MORTERO'!I1675^2)+'BLAZE SHIELD II'!$H$5*'CALCULO MORTERO'!I1675+'BLAZE SHIELD II'!$H$6)*LN(J1675))+('BLAZE SHIELD II'!$H$7*('CALCULO MORTERO'!I1675^2)+'BLAZE SHIELD II'!$H$8*'CALCULO MORTERO'!I1675+'BLAZE SHIELD II'!$H$9)),0)+IF(AND(L1675="Blaze Shield II",M1675="Software Idiem",C1675="C"),((('BLAZE SHIELD II'!$L$4*('CALCULO MORTERO'!I1675^2)+'BLAZE SHIELD II'!$L$5*'CALCULO MORTERO'!I1675+'BLAZE SHIELD II'!$L$6)*LN(J1675))+('BLAZE SHIELD II'!$L$7*('CALCULO MORTERO'!I1675^2)+'BLAZE SHIELD II'!$L$8*'CALCULO MORTERO'!I1675+'BLAZE SHIELD II'!$L$9)),0)+IF(AND(L1675="Blaze Shield II",M1675="Software Idiem",C1675="L"),((('BLAZE SHIELD II'!$L$4*('CALCULO MORTERO'!I1675^2)+'BLAZE SHIELD II'!$L$5*'CALCULO MORTERO'!I1675+'BLAZE SHIELD II'!$L$6)*LN(J1675))+('BLAZE SHIELD II'!$L$7*('CALCULO MORTERO'!I1675^2)+'BLAZE SHIELD II'!$L$8*'CALCULO MORTERO'!I1675+'BLAZE SHIELD II'!$L$9)),0)+IF(AND(L1675="Blaze Shield II",M1675="Software Idiem",C1675="IN",G1675=3),((('BLAZE SHIELD II'!$H$14*('CALCULO MORTERO'!I1675^2)+'BLAZE SHIELD II'!$H$15*'CALCULO MORTERO'!I1675+'BLAZE SHIELD II'!$H$16)*LN(J1675))+('BLAZE SHIELD II'!$H$17*('CALCULO MORTERO'!I1675^2)+'BLAZE SHIELD II'!$H$18*'CALCULO MORTERO'!I1675+'BLAZE SHIELD II'!$H$19)),0),0)+ROUND(IF(AND(L1675="Cafco 400",M1675="Software Idiem",C1675="IN",G1675=4),((('CAFCO 400 '!$H$7*(J1675^4)+'CAFCO 400 '!$H$8*(J1675^3)+'CAFCO 400 '!$H$9*(J1675^2)+'CAFCO 400 '!$H$10*J1675+'CAFCO 400 '!$H$11)*U1675^2)+(('CAFCO 400 '!$H$12*(J1675^3)+'CAFCO 400 '!$H$13*(J1675^2)+'CAFCO 400 '!$H$14*J1675+'CAFCO 400 '!$H$15)*U1675)+('CAFCO 400 '!$H$16*(J1675^2)+'CAFCO 400 '!$H$17*J1675+'CAFCO 400 '!$H$18)),0)+IF(AND(L1675="Cafco 400",M1675="Software Idiem",C1675="Cj"),(((('CAFCO 400 '!$D$7*LN(J1675)+'CAFCO 400 '!$D$8)*U1675^2)+(('CAFCO 400 '!$D$9*LN(J1675)+'CAFCO 400 '!$D$10)*U1675)+('CAFCO 400 '!$D$11*LN(J1675)+'CAFCO 400 '!$D$12))),0)+IF(AND(L1675="Cafco 400",M1675="Software Idiem",C1675="C"),((('CAFCO 400 '!$L$7*(J1675^3)+'CAFCO 400 '!$L$8*(J1675^2)+'CAFCO 400 '!$L$9*J1675+'CAFCO 400 '!$L$10)*U1675^2)+(('CAFCO 400 '!$L$11*(J1675^3)+'CAFCO 400 '!$L$12*(J1675^2)+'CAFCO 400 '!$L$13*J1675+'CAFCO 400 '!$L$14)*U1675)+('CAFCO 400 '!$L$15*LN(J1675)+'CAFCO 400 '!$L$16)),0)+IF(AND(L1675="Cafco 400",M1675="Software Idiem",C1675="L"),((('CAFCO 400 '!$L$7*(J1675^3)+'CAFCO 400 '!$L$8*(J1675^2)+'CAFCO 400 '!$L$9*J1675+'CAFCO 400 '!$L$10)*U1675^2)+(('CAFCO 400 '!$L$11*(J1675^3)+'CAFCO 400 '!$L$12*(J1675^2)+'CAFCO 400 '!$L$13*J1675+'CAFCO 400 '!$L$14)*U1675)+('CAFCO 400 '!$L$15*LN(J1675)+'CAFCO 400 '!$L$16)),0)+IF(AND(L1675="Cafco 400",M1675="Software Idiem",C1675="IN",G1675=3),((('CAFCO 400 '!$D$23*(J1675^2)+'CAFCO 400 '!$D$24*(J1675)+'CAFCO 400 '!$D$25)*U1675^2)+(('CAFCO 400 '!$D$26*(J1675^2)+'CAFCO 400 '!$D$27*J1675+'CAFCO 400 '!$D$28)*U1675)+('CAFCO 400 '!$D$29*(J1675^2)+'CAFCO 400 '!$D$30*J1675+'CAFCO 400 '!$D$31)),0),0)+IF(AND(L1675="Cafco 300",J1675&gt;=95,J1675&lt;=240,C1675="Cj",I1675=90),VLOOKUP(T1675,'CAFCO 300 IDIEM TABLAS'!$B$4:$D$23,2,FALSE),0)+IF(AND(L1675="Cafco 300",J1675&gt;=95,J1675&lt;=240,C1675="Cj",I1675=120),VLOOKUP(T1675,'CAFCO 300 IDIEM TABLAS'!$B$4:$D$23,3,FALSE),0)+IF(AND(L1675="Cafco 300",J1675&gt;=95,J1675&lt;=400,G1675=3,C1675="IN",I1675=90),VLOOKUP(T1675,'CAFCO 300 IDIEM TABLAS'!$F$4:$H$35,2,FALSE),0)+IF(AND(L1675="Cafco 300",J1675&gt;=95,J1675&lt;=400,G1675=3,C1675="IN",I1675=120),VLOOKUP(T1675,'CAFCO 300 IDIEM TABLAS'!$F$4:$H$35,3,FALSE),0)+IF(AND(L1675="Cafco 300",J1675&gt;=95,J1675&lt;=450,G1675=4,C1675="IN",I1675=90),VLOOKUP(T1675,'CAFCO 300 IDIEM TABLAS'!$J$4:$L$40,2,FALSE),0)+IF(AND(L1675="Cafco 300",J1675&gt;=95,J1675&lt;=450,G1675=4,C1675="IN",I1675=120),VLOOKUP(T1675,'CAFCO 300 IDIEM TABLAS'!$J$4:$L$40,3,FALSE),0)+IF(AND(M1675="Ensayo Idiem",L1675="Cafco 400",C1675="IN",G1675=4,I1675=90),VLOOKUP(T1675,'CAFCO 400 ENSAYO'!$B$7:$D$43,2,FALSE),0)+IF(AND(M1675="Ensayo Idiem",L1675="Cafco 400",C1675="IN",G1675=4,I1675=120),VLOOKUP(T1675,'CAFCO 400 ENSAYO'!$B$7:$D$43,3,FALSE),0)</f>
        <v>0</v>
      </c>
      <c r="O1675" s="96">
        <f t="shared" ref="O1675:O1700" si="168">((IF(L1675="Blaze Shield II",((K1675*N1675*0.43)/38),IF(L1675="Cafco 400",((K1675*N1675*0.43)/23),IF(L1675="Cafco 300",((K1675*N1675*0.43)/31.16),0)))))</f>
        <v>0</v>
      </c>
      <c r="P1675" s="132" t="str">
        <f t="shared" si="163"/>
        <v>N/A</v>
      </c>
      <c r="Q1675" s="132" t="str">
        <f t="shared" si="164"/>
        <v>N/A</v>
      </c>
      <c r="R1675" s="132" t="str">
        <f t="shared" si="165"/>
        <v>NO CERT.</v>
      </c>
      <c r="S1675" s="132" t="e">
        <f t="shared" si="166"/>
        <v>#N/A</v>
      </c>
      <c r="T1675" s="133" t="e">
        <f>+IF(J1675=LOOKUP(J1675,'CAFCO 300 IDIEM TABLAS'!$J$4:$J$40),'CALCULO MORTERO'!J1675,MROUND('CALCULO MORTERO'!J1675,10))</f>
        <v>#N/A</v>
      </c>
      <c r="U1675" s="134">
        <f t="shared" si="167"/>
        <v>0</v>
      </c>
    </row>
    <row r="1676" spans="1:21" x14ac:dyDescent="0.25">
      <c r="A1676" s="118">
        <f>+CUBICACION!D1670</f>
        <v>0</v>
      </c>
      <c r="B1676" s="819">
        <f>+CUBICACION!E1670</f>
        <v>0</v>
      </c>
      <c r="C1676" s="675">
        <f>+CUBICACION!F1670</f>
        <v>0</v>
      </c>
      <c r="D1676" s="118"/>
      <c r="E1676" s="118"/>
      <c r="F1676" s="820"/>
      <c r="G1676" s="675">
        <f>+CUBICACION!J1670</f>
        <v>0</v>
      </c>
      <c r="H1676" s="118"/>
      <c r="I1676" s="821">
        <f>+CUBICACION!L1670</f>
        <v>0</v>
      </c>
      <c r="J1676" s="64">
        <f>+CUBICACION!M1670</f>
        <v>0</v>
      </c>
      <c r="K1676" s="822">
        <f>+CUBICACION!N1670</f>
        <v>0</v>
      </c>
      <c r="L1676" s="118">
        <f>+CUBICACION!O1670</f>
        <v>0</v>
      </c>
      <c r="M1676" s="823">
        <f>+CUBICACION!P1670</f>
        <v>0</v>
      </c>
      <c r="N1676" s="902">
        <f>ROUND(IF(AND(L1676="Blaze Shield II",M1676="Software Idiem",C1676="IN",G1676=4),((('BLAZE SHIELD II'!$D$4*('CALCULO MORTERO'!I1676^2)+'BLAZE SHIELD II'!$D$5*'CALCULO MORTERO'!I1676+'BLAZE SHIELD II'!$D$6)*LN(J1676))+('BLAZE SHIELD II'!$D$7*('CALCULO MORTERO'!I1676^2)+'BLAZE SHIELD II'!$D$8*'CALCULO MORTERO'!I1676+'BLAZE SHIELD II'!$D$9)),0)+IF(AND(L1676="Blaze Shield II",M1676="Software Idiem",C1676="Cj"),((('BLAZE SHIELD II'!$H$4*('CALCULO MORTERO'!I1676^2)+'BLAZE SHIELD II'!$H$5*'CALCULO MORTERO'!I1676+'BLAZE SHIELD II'!$H$6)*LN(J1676))+('BLAZE SHIELD II'!$H$7*('CALCULO MORTERO'!I1676^2)+'BLAZE SHIELD II'!$H$8*'CALCULO MORTERO'!I1676+'BLAZE SHIELD II'!$H$9)),0)+IF(AND(L1676="Blaze Shield II",M1676="Software Idiem",C1676="C"),((('BLAZE SHIELD II'!$L$4*('CALCULO MORTERO'!I1676^2)+'BLAZE SHIELD II'!$L$5*'CALCULO MORTERO'!I1676+'BLAZE SHIELD II'!$L$6)*LN(J1676))+('BLAZE SHIELD II'!$L$7*('CALCULO MORTERO'!I1676^2)+'BLAZE SHIELD II'!$L$8*'CALCULO MORTERO'!I1676+'BLAZE SHIELD II'!$L$9)),0)+IF(AND(L1676="Blaze Shield II",M1676="Software Idiem",C1676="L"),((('BLAZE SHIELD II'!$L$4*('CALCULO MORTERO'!I1676^2)+'BLAZE SHIELD II'!$L$5*'CALCULO MORTERO'!I1676+'BLAZE SHIELD II'!$L$6)*LN(J1676))+('BLAZE SHIELD II'!$L$7*('CALCULO MORTERO'!I1676^2)+'BLAZE SHIELD II'!$L$8*'CALCULO MORTERO'!I1676+'BLAZE SHIELD II'!$L$9)),0)+IF(AND(L1676="Blaze Shield II",M1676="Software Idiem",C1676="IN",G1676=3),((('BLAZE SHIELD II'!$H$14*('CALCULO MORTERO'!I1676^2)+'BLAZE SHIELD II'!$H$15*'CALCULO MORTERO'!I1676+'BLAZE SHIELD II'!$H$16)*LN(J1676))+('BLAZE SHIELD II'!$H$17*('CALCULO MORTERO'!I1676^2)+'BLAZE SHIELD II'!$H$18*'CALCULO MORTERO'!I1676+'BLAZE SHIELD II'!$H$19)),0),0)+ROUND(IF(AND(L1676="Cafco 400",M1676="Software Idiem",C1676="IN",G1676=4),((('CAFCO 400 '!$H$7*(J1676^4)+'CAFCO 400 '!$H$8*(J1676^3)+'CAFCO 400 '!$H$9*(J1676^2)+'CAFCO 400 '!$H$10*J1676+'CAFCO 400 '!$H$11)*U1676^2)+(('CAFCO 400 '!$H$12*(J1676^3)+'CAFCO 400 '!$H$13*(J1676^2)+'CAFCO 400 '!$H$14*J1676+'CAFCO 400 '!$H$15)*U1676)+('CAFCO 400 '!$H$16*(J1676^2)+'CAFCO 400 '!$H$17*J1676+'CAFCO 400 '!$H$18)),0)+IF(AND(L1676="Cafco 400",M1676="Software Idiem",C1676="Cj"),(((('CAFCO 400 '!$D$7*LN(J1676)+'CAFCO 400 '!$D$8)*U1676^2)+(('CAFCO 400 '!$D$9*LN(J1676)+'CAFCO 400 '!$D$10)*U1676)+('CAFCO 400 '!$D$11*LN(J1676)+'CAFCO 400 '!$D$12))),0)+IF(AND(L1676="Cafco 400",M1676="Software Idiem",C1676="C"),((('CAFCO 400 '!$L$7*(J1676^3)+'CAFCO 400 '!$L$8*(J1676^2)+'CAFCO 400 '!$L$9*J1676+'CAFCO 400 '!$L$10)*U1676^2)+(('CAFCO 400 '!$L$11*(J1676^3)+'CAFCO 400 '!$L$12*(J1676^2)+'CAFCO 400 '!$L$13*J1676+'CAFCO 400 '!$L$14)*U1676)+('CAFCO 400 '!$L$15*LN(J1676)+'CAFCO 400 '!$L$16)),0)+IF(AND(L1676="Cafco 400",M1676="Software Idiem",C1676="L"),((('CAFCO 400 '!$L$7*(J1676^3)+'CAFCO 400 '!$L$8*(J1676^2)+'CAFCO 400 '!$L$9*J1676+'CAFCO 400 '!$L$10)*U1676^2)+(('CAFCO 400 '!$L$11*(J1676^3)+'CAFCO 400 '!$L$12*(J1676^2)+'CAFCO 400 '!$L$13*J1676+'CAFCO 400 '!$L$14)*U1676)+('CAFCO 400 '!$L$15*LN(J1676)+'CAFCO 400 '!$L$16)),0)+IF(AND(L1676="Cafco 400",M1676="Software Idiem",C1676="IN",G1676=3),((('CAFCO 400 '!$D$23*(J1676^2)+'CAFCO 400 '!$D$24*(J1676)+'CAFCO 400 '!$D$25)*U1676^2)+(('CAFCO 400 '!$D$26*(J1676^2)+'CAFCO 400 '!$D$27*J1676+'CAFCO 400 '!$D$28)*U1676)+('CAFCO 400 '!$D$29*(J1676^2)+'CAFCO 400 '!$D$30*J1676+'CAFCO 400 '!$D$31)),0),0)+IF(AND(L1676="Cafco 300",J1676&gt;=95,J1676&lt;=240,C1676="Cj",I1676=90),VLOOKUP(T1676,'CAFCO 300 IDIEM TABLAS'!$B$4:$D$23,2,FALSE),0)+IF(AND(L1676="Cafco 300",J1676&gt;=95,J1676&lt;=240,C1676="Cj",I1676=120),VLOOKUP(T1676,'CAFCO 300 IDIEM TABLAS'!$B$4:$D$23,3,FALSE),0)+IF(AND(L1676="Cafco 300",J1676&gt;=95,J1676&lt;=400,G1676=3,C1676="IN",I1676=90),VLOOKUP(T1676,'CAFCO 300 IDIEM TABLAS'!$F$4:$H$35,2,FALSE),0)+IF(AND(L1676="Cafco 300",J1676&gt;=95,J1676&lt;=400,G1676=3,C1676="IN",I1676=120),VLOOKUP(T1676,'CAFCO 300 IDIEM TABLAS'!$F$4:$H$35,3,FALSE),0)+IF(AND(L1676="Cafco 300",J1676&gt;=95,J1676&lt;=450,G1676=4,C1676="IN",I1676=90),VLOOKUP(T1676,'CAFCO 300 IDIEM TABLAS'!$J$4:$L$40,2,FALSE),0)+IF(AND(L1676="Cafco 300",J1676&gt;=95,J1676&lt;=450,G1676=4,C1676="IN",I1676=120),VLOOKUP(T1676,'CAFCO 300 IDIEM TABLAS'!$J$4:$L$40,3,FALSE),0)+IF(AND(M1676="Ensayo Idiem",L1676="Cafco 400",C1676="IN",G1676=4,I1676=90),VLOOKUP(T1676,'CAFCO 400 ENSAYO'!$B$7:$D$43,2,FALSE),0)+IF(AND(M1676="Ensayo Idiem",L1676="Cafco 400",C1676="IN",G1676=4,I1676=120),VLOOKUP(T1676,'CAFCO 400 ENSAYO'!$B$7:$D$43,3,FALSE),0)</f>
        <v>0</v>
      </c>
      <c r="O1676" s="96">
        <f t="shared" si="168"/>
        <v>0</v>
      </c>
      <c r="P1676" s="95" t="str">
        <f t="shared" si="163"/>
        <v>N/A</v>
      </c>
      <c r="Q1676" s="95" t="str">
        <f t="shared" si="164"/>
        <v>N/A</v>
      </c>
      <c r="R1676" s="95" t="str">
        <f t="shared" si="165"/>
        <v>NO CERT.</v>
      </c>
      <c r="S1676" s="95" t="e">
        <f t="shared" si="166"/>
        <v>#N/A</v>
      </c>
      <c r="T1676" s="119" t="e">
        <f>+IF(J1676=LOOKUP(J1676,'CAFCO 300 IDIEM TABLAS'!$J$4:$J$40),'CALCULO MORTERO'!J1676,MROUND('CALCULO MORTERO'!J1676,10))</f>
        <v>#N/A</v>
      </c>
      <c r="U1676" s="118">
        <f t="shared" si="167"/>
        <v>0</v>
      </c>
    </row>
    <row r="1677" spans="1:21" x14ac:dyDescent="0.25">
      <c r="A1677" s="118">
        <f>+CUBICACION!D1671</f>
        <v>0</v>
      </c>
      <c r="B1677" s="819">
        <f>+CUBICACION!E1671</f>
        <v>0</v>
      </c>
      <c r="C1677" s="675">
        <f>+CUBICACION!F1671</f>
        <v>0</v>
      </c>
      <c r="D1677" s="118"/>
      <c r="E1677" s="118"/>
      <c r="F1677" s="820"/>
      <c r="G1677" s="675">
        <f>+CUBICACION!J1671</f>
        <v>0</v>
      </c>
      <c r="H1677" s="118"/>
      <c r="I1677" s="821">
        <f>+CUBICACION!L1671</f>
        <v>0</v>
      </c>
      <c r="J1677" s="64">
        <f>+CUBICACION!M1671</f>
        <v>0</v>
      </c>
      <c r="K1677" s="822">
        <f>+CUBICACION!N1671</f>
        <v>0</v>
      </c>
      <c r="L1677" s="118">
        <f>+CUBICACION!O1671</f>
        <v>0</v>
      </c>
      <c r="M1677" s="823">
        <f>+CUBICACION!P1671</f>
        <v>0</v>
      </c>
      <c r="N1677" s="902">
        <f>ROUND(IF(AND(L1677="Blaze Shield II",M1677="Software Idiem",C1677="IN",G1677=4),((('BLAZE SHIELD II'!$D$4*('CALCULO MORTERO'!I1677^2)+'BLAZE SHIELD II'!$D$5*'CALCULO MORTERO'!I1677+'BLAZE SHIELD II'!$D$6)*LN(J1677))+('BLAZE SHIELD II'!$D$7*('CALCULO MORTERO'!I1677^2)+'BLAZE SHIELD II'!$D$8*'CALCULO MORTERO'!I1677+'BLAZE SHIELD II'!$D$9)),0)+IF(AND(L1677="Blaze Shield II",M1677="Software Idiem",C1677="Cj"),((('BLAZE SHIELD II'!$H$4*('CALCULO MORTERO'!I1677^2)+'BLAZE SHIELD II'!$H$5*'CALCULO MORTERO'!I1677+'BLAZE SHIELD II'!$H$6)*LN(J1677))+('BLAZE SHIELD II'!$H$7*('CALCULO MORTERO'!I1677^2)+'BLAZE SHIELD II'!$H$8*'CALCULO MORTERO'!I1677+'BLAZE SHIELD II'!$H$9)),0)+IF(AND(L1677="Blaze Shield II",M1677="Software Idiem",C1677="C"),((('BLAZE SHIELD II'!$L$4*('CALCULO MORTERO'!I1677^2)+'BLAZE SHIELD II'!$L$5*'CALCULO MORTERO'!I1677+'BLAZE SHIELD II'!$L$6)*LN(J1677))+('BLAZE SHIELD II'!$L$7*('CALCULO MORTERO'!I1677^2)+'BLAZE SHIELD II'!$L$8*'CALCULO MORTERO'!I1677+'BLAZE SHIELD II'!$L$9)),0)+IF(AND(L1677="Blaze Shield II",M1677="Software Idiem",C1677="L"),((('BLAZE SHIELD II'!$L$4*('CALCULO MORTERO'!I1677^2)+'BLAZE SHIELD II'!$L$5*'CALCULO MORTERO'!I1677+'BLAZE SHIELD II'!$L$6)*LN(J1677))+('BLAZE SHIELD II'!$L$7*('CALCULO MORTERO'!I1677^2)+'BLAZE SHIELD II'!$L$8*'CALCULO MORTERO'!I1677+'BLAZE SHIELD II'!$L$9)),0)+IF(AND(L1677="Blaze Shield II",M1677="Software Idiem",C1677="IN",G1677=3),((('BLAZE SHIELD II'!$H$14*('CALCULO MORTERO'!I1677^2)+'BLAZE SHIELD II'!$H$15*'CALCULO MORTERO'!I1677+'BLAZE SHIELD II'!$H$16)*LN(J1677))+('BLAZE SHIELD II'!$H$17*('CALCULO MORTERO'!I1677^2)+'BLAZE SHIELD II'!$H$18*'CALCULO MORTERO'!I1677+'BLAZE SHIELD II'!$H$19)),0),0)+ROUND(IF(AND(L1677="Cafco 400",M1677="Software Idiem",C1677="IN",G1677=4),((('CAFCO 400 '!$H$7*(J1677^4)+'CAFCO 400 '!$H$8*(J1677^3)+'CAFCO 400 '!$H$9*(J1677^2)+'CAFCO 400 '!$H$10*J1677+'CAFCO 400 '!$H$11)*U1677^2)+(('CAFCO 400 '!$H$12*(J1677^3)+'CAFCO 400 '!$H$13*(J1677^2)+'CAFCO 400 '!$H$14*J1677+'CAFCO 400 '!$H$15)*U1677)+('CAFCO 400 '!$H$16*(J1677^2)+'CAFCO 400 '!$H$17*J1677+'CAFCO 400 '!$H$18)),0)+IF(AND(L1677="Cafco 400",M1677="Software Idiem",C1677="Cj"),(((('CAFCO 400 '!$D$7*LN(J1677)+'CAFCO 400 '!$D$8)*U1677^2)+(('CAFCO 400 '!$D$9*LN(J1677)+'CAFCO 400 '!$D$10)*U1677)+('CAFCO 400 '!$D$11*LN(J1677)+'CAFCO 400 '!$D$12))),0)+IF(AND(L1677="Cafco 400",M1677="Software Idiem",C1677="C"),((('CAFCO 400 '!$L$7*(J1677^3)+'CAFCO 400 '!$L$8*(J1677^2)+'CAFCO 400 '!$L$9*J1677+'CAFCO 400 '!$L$10)*U1677^2)+(('CAFCO 400 '!$L$11*(J1677^3)+'CAFCO 400 '!$L$12*(J1677^2)+'CAFCO 400 '!$L$13*J1677+'CAFCO 400 '!$L$14)*U1677)+('CAFCO 400 '!$L$15*LN(J1677)+'CAFCO 400 '!$L$16)),0)+IF(AND(L1677="Cafco 400",M1677="Software Idiem",C1677="L"),((('CAFCO 400 '!$L$7*(J1677^3)+'CAFCO 400 '!$L$8*(J1677^2)+'CAFCO 400 '!$L$9*J1677+'CAFCO 400 '!$L$10)*U1677^2)+(('CAFCO 400 '!$L$11*(J1677^3)+'CAFCO 400 '!$L$12*(J1677^2)+'CAFCO 400 '!$L$13*J1677+'CAFCO 400 '!$L$14)*U1677)+('CAFCO 400 '!$L$15*LN(J1677)+'CAFCO 400 '!$L$16)),0)+IF(AND(L1677="Cafco 400",M1677="Software Idiem",C1677="IN",G1677=3),((('CAFCO 400 '!$D$23*(J1677^2)+'CAFCO 400 '!$D$24*(J1677)+'CAFCO 400 '!$D$25)*U1677^2)+(('CAFCO 400 '!$D$26*(J1677^2)+'CAFCO 400 '!$D$27*J1677+'CAFCO 400 '!$D$28)*U1677)+('CAFCO 400 '!$D$29*(J1677^2)+'CAFCO 400 '!$D$30*J1677+'CAFCO 400 '!$D$31)),0),0)+IF(AND(L1677="Cafco 300",J1677&gt;=95,J1677&lt;=240,C1677="Cj",I1677=90),VLOOKUP(T1677,'CAFCO 300 IDIEM TABLAS'!$B$4:$D$23,2,FALSE),0)+IF(AND(L1677="Cafco 300",J1677&gt;=95,J1677&lt;=240,C1677="Cj",I1677=120),VLOOKUP(T1677,'CAFCO 300 IDIEM TABLAS'!$B$4:$D$23,3,FALSE),0)+IF(AND(L1677="Cafco 300",J1677&gt;=95,J1677&lt;=400,G1677=3,C1677="IN",I1677=90),VLOOKUP(T1677,'CAFCO 300 IDIEM TABLAS'!$F$4:$H$35,2,FALSE),0)+IF(AND(L1677="Cafco 300",J1677&gt;=95,J1677&lt;=400,G1677=3,C1677="IN",I1677=120),VLOOKUP(T1677,'CAFCO 300 IDIEM TABLAS'!$F$4:$H$35,3,FALSE),0)+IF(AND(L1677="Cafco 300",J1677&gt;=95,J1677&lt;=450,G1677=4,C1677="IN",I1677=90),VLOOKUP(T1677,'CAFCO 300 IDIEM TABLAS'!$J$4:$L$40,2,FALSE),0)+IF(AND(L1677="Cafco 300",J1677&gt;=95,J1677&lt;=450,G1677=4,C1677="IN",I1677=120),VLOOKUP(T1677,'CAFCO 300 IDIEM TABLAS'!$J$4:$L$40,3,FALSE),0)+IF(AND(M1677="Ensayo Idiem",L1677="Cafco 400",C1677="IN",G1677=4,I1677=90),VLOOKUP(T1677,'CAFCO 400 ENSAYO'!$B$7:$D$43,2,FALSE),0)+IF(AND(M1677="Ensayo Idiem",L1677="Cafco 400",C1677="IN",G1677=4,I1677=120),VLOOKUP(T1677,'CAFCO 400 ENSAYO'!$B$7:$D$43,3,FALSE),0)</f>
        <v>0</v>
      </c>
      <c r="O1677" s="96">
        <f t="shared" si="168"/>
        <v>0</v>
      </c>
      <c r="P1677" s="132" t="str">
        <f t="shared" si="163"/>
        <v>N/A</v>
      </c>
      <c r="Q1677" s="132" t="str">
        <f t="shared" si="164"/>
        <v>N/A</v>
      </c>
      <c r="R1677" s="132" t="str">
        <f t="shared" si="165"/>
        <v>NO CERT.</v>
      </c>
      <c r="S1677" s="132" t="e">
        <f t="shared" si="166"/>
        <v>#N/A</v>
      </c>
      <c r="T1677" s="133" t="e">
        <f>+IF(J1677=LOOKUP(J1677,'CAFCO 300 IDIEM TABLAS'!$J$4:$J$40),'CALCULO MORTERO'!J1677,MROUND('CALCULO MORTERO'!J1677,10))</f>
        <v>#N/A</v>
      </c>
      <c r="U1677" s="134">
        <f t="shared" si="167"/>
        <v>0</v>
      </c>
    </row>
    <row r="1678" spans="1:21" x14ac:dyDescent="0.25">
      <c r="A1678" s="118">
        <f>+CUBICACION!D1672</f>
        <v>0</v>
      </c>
      <c r="B1678" s="819">
        <f>+CUBICACION!E1672</f>
        <v>0</v>
      </c>
      <c r="C1678" s="675">
        <f>+CUBICACION!F1672</f>
        <v>0</v>
      </c>
      <c r="D1678" s="118"/>
      <c r="E1678" s="118"/>
      <c r="F1678" s="820"/>
      <c r="G1678" s="675">
        <f>+CUBICACION!J1672</f>
        <v>0</v>
      </c>
      <c r="H1678" s="118"/>
      <c r="I1678" s="821">
        <f>+CUBICACION!L1672</f>
        <v>0</v>
      </c>
      <c r="J1678" s="64">
        <f>+CUBICACION!M1672</f>
        <v>0</v>
      </c>
      <c r="K1678" s="822">
        <f>+CUBICACION!N1672</f>
        <v>0</v>
      </c>
      <c r="L1678" s="118">
        <f>+CUBICACION!O1672</f>
        <v>0</v>
      </c>
      <c r="M1678" s="823">
        <f>+CUBICACION!P1672</f>
        <v>0</v>
      </c>
      <c r="N1678" s="902">
        <f>ROUND(IF(AND(L1678="Blaze Shield II",M1678="Software Idiem",C1678="IN",G1678=4),((('BLAZE SHIELD II'!$D$4*('CALCULO MORTERO'!I1678^2)+'BLAZE SHIELD II'!$D$5*'CALCULO MORTERO'!I1678+'BLAZE SHIELD II'!$D$6)*LN(J1678))+('BLAZE SHIELD II'!$D$7*('CALCULO MORTERO'!I1678^2)+'BLAZE SHIELD II'!$D$8*'CALCULO MORTERO'!I1678+'BLAZE SHIELD II'!$D$9)),0)+IF(AND(L1678="Blaze Shield II",M1678="Software Idiem",C1678="Cj"),((('BLAZE SHIELD II'!$H$4*('CALCULO MORTERO'!I1678^2)+'BLAZE SHIELD II'!$H$5*'CALCULO MORTERO'!I1678+'BLAZE SHIELD II'!$H$6)*LN(J1678))+('BLAZE SHIELD II'!$H$7*('CALCULO MORTERO'!I1678^2)+'BLAZE SHIELD II'!$H$8*'CALCULO MORTERO'!I1678+'BLAZE SHIELD II'!$H$9)),0)+IF(AND(L1678="Blaze Shield II",M1678="Software Idiem",C1678="C"),((('BLAZE SHIELD II'!$L$4*('CALCULO MORTERO'!I1678^2)+'BLAZE SHIELD II'!$L$5*'CALCULO MORTERO'!I1678+'BLAZE SHIELD II'!$L$6)*LN(J1678))+('BLAZE SHIELD II'!$L$7*('CALCULO MORTERO'!I1678^2)+'BLAZE SHIELD II'!$L$8*'CALCULO MORTERO'!I1678+'BLAZE SHIELD II'!$L$9)),0)+IF(AND(L1678="Blaze Shield II",M1678="Software Idiem",C1678="L"),((('BLAZE SHIELD II'!$L$4*('CALCULO MORTERO'!I1678^2)+'BLAZE SHIELD II'!$L$5*'CALCULO MORTERO'!I1678+'BLAZE SHIELD II'!$L$6)*LN(J1678))+('BLAZE SHIELD II'!$L$7*('CALCULO MORTERO'!I1678^2)+'BLAZE SHIELD II'!$L$8*'CALCULO MORTERO'!I1678+'BLAZE SHIELD II'!$L$9)),0)+IF(AND(L1678="Blaze Shield II",M1678="Software Idiem",C1678="IN",G1678=3),((('BLAZE SHIELD II'!$H$14*('CALCULO MORTERO'!I1678^2)+'BLAZE SHIELD II'!$H$15*'CALCULO MORTERO'!I1678+'BLAZE SHIELD II'!$H$16)*LN(J1678))+('BLAZE SHIELD II'!$H$17*('CALCULO MORTERO'!I1678^2)+'BLAZE SHIELD II'!$H$18*'CALCULO MORTERO'!I1678+'BLAZE SHIELD II'!$H$19)),0),0)+ROUND(IF(AND(L1678="Cafco 400",M1678="Software Idiem",C1678="IN",G1678=4),((('CAFCO 400 '!$H$7*(J1678^4)+'CAFCO 400 '!$H$8*(J1678^3)+'CAFCO 400 '!$H$9*(J1678^2)+'CAFCO 400 '!$H$10*J1678+'CAFCO 400 '!$H$11)*U1678^2)+(('CAFCO 400 '!$H$12*(J1678^3)+'CAFCO 400 '!$H$13*(J1678^2)+'CAFCO 400 '!$H$14*J1678+'CAFCO 400 '!$H$15)*U1678)+('CAFCO 400 '!$H$16*(J1678^2)+'CAFCO 400 '!$H$17*J1678+'CAFCO 400 '!$H$18)),0)+IF(AND(L1678="Cafco 400",M1678="Software Idiem",C1678="Cj"),(((('CAFCO 400 '!$D$7*LN(J1678)+'CAFCO 400 '!$D$8)*U1678^2)+(('CAFCO 400 '!$D$9*LN(J1678)+'CAFCO 400 '!$D$10)*U1678)+('CAFCO 400 '!$D$11*LN(J1678)+'CAFCO 400 '!$D$12))),0)+IF(AND(L1678="Cafco 400",M1678="Software Idiem",C1678="C"),((('CAFCO 400 '!$L$7*(J1678^3)+'CAFCO 400 '!$L$8*(J1678^2)+'CAFCO 400 '!$L$9*J1678+'CAFCO 400 '!$L$10)*U1678^2)+(('CAFCO 400 '!$L$11*(J1678^3)+'CAFCO 400 '!$L$12*(J1678^2)+'CAFCO 400 '!$L$13*J1678+'CAFCO 400 '!$L$14)*U1678)+('CAFCO 400 '!$L$15*LN(J1678)+'CAFCO 400 '!$L$16)),0)+IF(AND(L1678="Cafco 400",M1678="Software Idiem",C1678="L"),((('CAFCO 400 '!$L$7*(J1678^3)+'CAFCO 400 '!$L$8*(J1678^2)+'CAFCO 400 '!$L$9*J1678+'CAFCO 400 '!$L$10)*U1678^2)+(('CAFCO 400 '!$L$11*(J1678^3)+'CAFCO 400 '!$L$12*(J1678^2)+'CAFCO 400 '!$L$13*J1678+'CAFCO 400 '!$L$14)*U1678)+('CAFCO 400 '!$L$15*LN(J1678)+'CAFCO 400 '!$L$16)),0)+IF(AND(L1678="Cafco 400",M1678="Software Idiem",C1678="IN",G1678=3),((('CAFCO 400 '!$D$23*(J1678^2)+'CAFCO 400 '!$D$24*(J1678)+'CAFCO 400 '!$D$25)*U1678^2)+(('CAFCO 400 '!$D$26*(J1678^2)+'CAFCO 400 '!$D$27*J1678+'CAFCO 400 '!$D$28)*U1678)+('CAFCO 400 '!$D$29*(J1678^2)+'CAFCO 400 '!$D$30*J1678+'CAFCO 400 '!$D$31)),0),0)+IF(AND(L1678="Cafco 300",J1678&gt;=95,J1678&lt;=240,C1678="Cj",I1678=90),VLOOKUP(T1678,'CAFCO 300 IDIEM TABLAS'!$B$4:$D$23,2,FALSE),0)+IF(AND(L1678="Cafco 300",J1678&gt;=95,J1678&lt;=240,C1678="Cj",I1678=120),VLOOKUP(T1678,'CAFCO 300 IDIEM TABLAS'!$B$4:$D$23,3,FALSE),0)+IF(AND(L1678="Cafco 300",J1678&gt;=95,J1678&lt;=400,G1678=3,C1678="IN",I1678=90),VLOOKUP(T1678,'CAFCO 300 IDIEM TABLAS'!$F$4:$H$35,2,FALSE),0)+IF(AND(L1678="Cafco 300",J1678&gt;=95,J1678&lt;=400,G1678=3,C1678="IN",I1678=120),VLOOKUP(T1678,'CAFCO 300 IDIEM TABLAS'!$F$4:$H$35,3,FALSE),0)+IF(AND(L1678="Cafco 300",J1678&gt;=95,J1678&lt;=450,G1678=4,C1678="IN",I1678=90),VLOOKUP(T1678,'CAFCO 300 IDIEM TABLAS'!$J$4:$L$40,2,FALSE),0)+IF(AND(L1678="Cafco 300",J1678&gt;=95,J1678&lt;=450,G1678=4,C1678="IN",I1678=120),VLOOKUP(T1678,'CAFCO 300 IDIEM TABLAS'!$J$4:$L$40,3,FALSE),0)+IF(AND(M1678="Ensayo Idiem",L1678="Cafco 400",C1678="IN",G1678=4,I1678=90),VLOOKUP(T1678,'CAFCO 400 ENSAYO'!$B$7:$D$43,2,FALSE),0)+IF(AND(M1678="Ensayo Idiem",L1678="Cafco 400",C1678="IN",G1678=4,I1678=120),VLOOKUP(T1678,'CAFCO 400 ENSAYO'!$B$7:$D$43,3,FALSE),0)</f>
        <v>0</v>
      </c>
      <c r="O1678" s="96">
        <f t="shared" si="168"/>
        <v>0</v>
      </c>
      <c r="P1678" s="95" t="str">
        <f t="shared" si="163"/>
        <v>N/A</v>
      </c>
      <c r="Q1678" s="95" t="str">
        <f t="shared" si="164"/>
        <v>N/A</v>
      </c>
      <c r="R1678" s="95" t="str">
        <f t="shared" si="165"/>
        <v>NO CERT.</v>
      </c>
      <c r="S1678" s="95" t="e">
        <f t="shared" si="166"/>
        <v>#N/A</v>
      </c>
      <c r="T1678" s="119" t="e">
        <f>+IF(J1678=LOOKUP(J1678,'CAFCO 300 IDIEM TABLAS'!$J$4:$J$40),'CALCULO MORTERO'!J1678,MROUND('CALCULO MORTERO'!J1678,10))</f>
        <v>#N/A</v>
      </c>
      <c r="U1678" s="118">
        <f t="shared" si="167"/>
        <v>0</v>
      </c>
    </row>
    <row r="1679" spans="1:21" x14ac:dyDescent="0.25">
      <c r="A1679" s="118">
        <f>+CUBICACION!D1673</f>
        <v>0</v>
      </c>
      <c r="B1679" s="819">
        <f>+CUBICACION!E1673</f>
        <v>0</v>
      </c>
      <c r="C1679" s="675">
        <f>+CUBICACION!F1673</f>
        <v>0</v>
      </c>
      <c r="D1679" s="118"/>
      <c r="E1679" s="118"/>
      <c r="F1679" s="820"/>
      <c r="G1679" s="675">
        <f>+CUBICACION!J1673</f>
        <v>0</v>
      </c>
      <c r="H1679" s="118"/>
      <c r="I1679" s="821">
        <f>+CUBICACION!L1673</f>
        <v>0</v>
      </c>
      <c r="J1679" s="64">
        <f>+CUBICACION!M1673</f>
        <v>0</v>
      </c>
      <c r="K1679" s="822">
        <f>+CUBICACION!N1673</f>
        <v>0</v>
      </c>
      <c r="L1679" s="118">
        <f>+CUBICACION!O1673</f>
        <v>0</v>
      </c>
      <c r="M1679" s="823">
        <f>+CUBICACION!P1673</f>
        <v>0</v>
      </c>
      <c r="N1679" s="902">
        <f>ROUND(IF(AND(L1679="Blaze Shield II",M1679="Software Idiem",C1679="IN",G1679=4),((('BLAZE SHIELD II'!$D$4*('CALCULO MORTERO'!I1679^2)+'BLAZE SHIELD II'!$D$5*'CALCULO MORTERO'!I1679+'BLAZE SHIELD II'!$D$6)*LN(J1679))+('BLAZE SHIELD II'!$D$7*('CALCULO MORTERO'!I1679^2)+'BLAZE SHIELD II'!$D$8*'CALCULO MORTERO'!I1679+'BLAZE SHIELD II'!$D$9)),0)+IF(AND(L1679="Blaze Shield II",M1679="Software Idiem",C1679="Cj"),((('BLAZE SHIELD II'!$H$4*('CALCULO MORTERO'!I1679^2)+'BLAZE SHIELD II'!$H$5*'CALCULO MORTERO'!I1679+'BLAZE SHIELD II'!$H$6)*LN(J1679))+('BLAZE SHIELD II'!$H$7*('CALCULO MORTERO'!I1679^2)+'BLAZE SHIELD II'!$H$8*'CALCULO MORTERO'!I1679+'BLAZE SHIELD II'!$H$9)),0)+IF(AND(L1679="Blaze Shield II",M1679="Software Idiem",C1679="C"),((('BLAZE SHIELD II'!$L$4*('CALCULO MORTERO'!I1679^2)+'BLAZE SHIELD II'!$L$5*'CALCULO MORTERO'!I1679+'BLAZE SHIELD II'!$L$6)*LN(J1679))+('BLAZE SHIELD II'!$L$7*('CALCULO MORTERO'!I1679^2)+'BLAZE SHIELD II'!$L$8*'CALCULO MORTERO'!I1679+'BLAZE SHIELD II'!$L$9)),0)+IF(AND(L1679="Blaze Shield II",M1679="Software Idiem",C1679="L"),((('BLAZE SHIELD II'!$L$4*('CALCULO MORTERO'!I1679^2)+'BLAZE SHIELD II'!$L$5*'CALCULO MORTERO'!I1679+'BLAZE SHIELD II'!$L$6)*LN(J1679))+('BLAZE SHIELD II'!$L$7*('CALCULO MORTERO'!I1679^2)+'BLAZE SHIELD II'!$L$8*'CALCULO MORTERO'!I1679+'BLAZE SHIELD II'!$L$9)),0)+IF(AND(L1679="Blaze Shield II",M1679="Software Idiem",C1679="IN",G1679=3),((('BLAZE SHIELD II'!$H$14*('CALCULO MORTERO'!I1679^2)+'BLAZE SHIELD II'!$H$15*'CALCULO MORTERO'!I1679+'BLAZE SHIELD II'!$H$16)*LN(J1679))+('BLAZE SHIELD II'!$H$17*('CALCULO MORTERO'!I1679^2)+'BLAZE SHIELD II'!$H$18*'CALCULO MORTERO'!I1679+'BLAZE SHIELD II'!$H$19)),0),0)+ROUND(IF(AND(L1679="Cafco 400",M1679="Software Idiem",C1679="IN",G1679=4),((('CAFCO 400 '!$H$7*(J1679^4)+'CAFCO 400 '!$H$8*(J1679^3)+'CAFCO 400 '!$H$9*(J1679^2)+'CAFCO 400 '!$H$10*J1679+'CAFCO 400 '!$H$11)*U1679^2)+(('CAFCO 400 '!$H$12*(J1679^3)+'CAFCO 400 '!$H$13*(J1679^2)+'CAFCO 400 '!$H$14*J1679+'CAFCO 400 '!$H$15)*U1679)+('CAFCO 400 '!$H$16*(J1679^2)+'CAFCO 400 '!$H$17*J1679+'CAFCO 400 '!$H$18)),0)+IF(AND(L1679="Cafco 400",M1679="Software Idiem",C1679="Cj"),(((('CAFCO 400 '!$D$7*LN(J1679)+'CAFCO 400 '!$D$8)*U1679^2)+(('CAFCO 400 '!$D$9*LN(J1679)+'CAFCO 400 '!$D$10)*U1679)+('CAFCO 400 '!$D$11*LN(J1679)+'CAFCO 400 '!$D$12))),0)+IF(AND(L1679="Cafco 400",M1679="Software Idiem",C1679="C"),((('CAFCO 400 '!$L$7*(J1679^3)+'CAFCO 400 '!$L$8*(J1679^2)+'CAFCO 400 '!$L$9*J1679+'CAFCO 400 '!$L$10)*U1679^2)+(('CAFCO 400 '!$L$11*(J1679^3)+'CAFCO 400 '!$L$12*(J1679^2)+'CAFCO 400 '!$L$13*J1679+'CAFCO 400 '!$L$14)*U1679)+('CAFCO 400 '!$L$15*LN(J1679)+'CAFCO 400 '!$L$16)),0)+IF(AND(L1679="Cafco 400",M1679="Software Idiem",C1679="L"),((('CAFCO 400 '!$L$7*(J1679^3)+'CAFCO 400 '!$L$8*(J1679^2)+'CAFCO 400 '!$L$9*J1679+'CAFCO 400 '!$L$10)*U1679^2)+(('CAFCO 400 '!$L$11*(J1679^3)+'CAFCO 400 '!$L$12*(J1679^2)+'CAFCO 400 '!$L$13*J1679+'CAFCO 400 '!$L$14)*U1679)+('CAFCO 400 '!$L$15*LN(J1679)+'CAFCO 400 '!$L$16)),0)+IF(AND(L1679="Cafco 400",M1679="Software Idiem",C1679="IN",G1679=3),((('CAFCO 400 '!$D$23*(J1679^2)+'CAFCO 400 '!$D$24*(J1679)+'CAFCO 400 '!$D$25)*U1679^2)+(('CAFCO 400 '!$D$26*(J1679^2)+'CAFCO 400 '!$D$27*J1679+'CAFCO 400 '!$D$28)*U1679)+('CAFCO 400 '!$D$29*(J1679^2)+'CAFCO 400 '!$D$30*J1679+'CAFCO 400 '!$D$31)),0),0)+IF(AND(L1679="Cafco 300",J1679&gt;=95,J1679&lt;=240,C1679="Cj",I1679=90),VLOOKUP(T1679,'CAFCO 300 IDIEM TABLAS'!$B$4:$D$23,2,FALSE),0)+IF(AND(L1679="Cafco 300",J1679&gt;=95,J1679&lt;=240,C1679="Cj",I1679=120),VLOOKUP(T1679,'CAFCO 300 IDIEM TABLAS'!$B$4:$D$23,3,FALSE),0)+IF(AND(L1679="Cafco 300",J1679&gt;=95,J1679&lt;=400,G1679=3,C1679="IN",I1679=90),VLOOKUP(T1679,'CAFCO 300 IDIEM TABLAS'!$F$4:$H$35,2,FALSE),0)+IF(AND(L1679="Cafco 300",J1679&gt;=95,J1679&lt;=400,G1679=3,C1679="IN",I1679=120),VLOOKUP(T1679,'CAFCO 300 IDIEM TABLAS'!$F$4:$H$35,3,FALSE),0)+IF(AND(L1679="Cafco 300",J1679&gt;=95,J1679&lt;=450,G1679=4,C1679="IN",I1679=90),VLOOKUP(T1679,'CAFCO 300 IDIEM TABLAS'!$J$4:$L$40,2,FALSE),0)+IF(AND(L1679="Cafco 300",J1679&gt;=95,J1679&lt;=450,G1679=4,C1679="IN",I1679=120),VLOOKUP(T1679,'CAFCO 300 IDIEM TABLAS'!$J$4:$L$40,3,FALSE),0)+IF(AND(M1679="Ensayo Idiem",L1679="Cafco 400",C1679="IN",G1679=4,I1679=90),VLOOKUP(T1679,'CAFCO 400 ENSAYO'!$B$7:$D$43,2,FALSE),0)+IF(AND(M1679="Ensayo Idiem",L1679="Cafco 400",C1679="IN",G1679=4,I1679=120),VLOOKUP(T1679,'CAFCO 400 ENSAYO'!$B$7:$D$43,3,FALSE),0)</f>
        <v>0</v>
      </c>
      <c r="O1679" s="96">
        <f t="shared" si="168"/>
        <v>0</v>
      </c>
      <c r="P1679" s="132" t="str">
        <f t="shared" si="163"/>
        <v>N/A</v>
      </c>
      <c r="Q1679" s="132" t="str">
        <f t="shared" si="164"/>
        <v>N/A</v>
      </c>
      <c r="R1679" s="132" t="str">
        <f t="shared" si="165"/>
        <v>NO CERT.</v>
      </c>
      <c r="S1679" s="132" t="e">
        <f t="shared" si="166"/>
        <v>#N/A</v>
      </c>
      <c r="T1679" s="133" t="e">
        <f>+IF(J1679=LOOKUP(J1679,'CAFCO 300 IDIEM TABLAS'!$J$4:$J$40),'CALCULO MORTERO'!J1679,MROUND('CALCULO MORTERO'!J1679,10))</f>
        <v>#N/A</v>
      </c>
      <c r="U1679" s="134">
        <f t="shared" si="167"/>
        <v>0</v>
      </c>
    </row>
    <row r="1680" spans="1:21" x14ac:dyDescent="0.25">
      <c r="A1680" s="118">
        <f>+CUBICACION!D1674</f>
        <v>0</v>
      </c>
      <c r="B1680" s="819">
        <f>+CUBICACION!E1674</f>
        <v>0</v>
      </c>
      <c r="C1680" s="675">
        <f>+CUBICACION!F1674</f>
        <v>0</v>
      </c>
      <c r="D1680" s="118"/>
      <c r="E1680" s="118"/>
      <c r="F1680" s="820"/>
      <c r="G1680" s="675">
        <f>+CUBICACION!J1674</f>
        <v>0</v>
      </c>
      <c r="H1680" s="118"/>
      <c r="I1680" s="821">
        <f>+CUBICACION!L1674</f>
        <v>0</v>
      </c>
      <c r="J1680" s="64">
        <f>+CUBICACION!M1674</f>
        <v>0</v>
      </c>
      <c r="K1680" s="822">
        <f>+CUBICACION!N1674</f>
        <v>0</v>
      </c>
      <c r="L1680" s="118">
        <f>+CUBICACION!O1674</f>
        <v>0</v>
      </c>
      <c r="M1680" s="823">
        <f>+CUBICACION!P1674</f>
        <v>0</v>
      </c>
      <c r="N1680" s="902">
        <f>ROUND(IF(AND(L1680="Blaze Shield II",M1680="Software Idiem",C1680="IN",G1680=4),((('BLAZE SHIELD II'!$D$4*('CALCULO MORTERO'!I1680^2)+'BLAZE SHIELD II'!$D$5*'CALCULO MORTERO'!I1680+'BLAZE SHIELD II'!$D$6)*LN(J1680))+('BLAZE SHIELD II'!$D$7*('CALCULO MORTERO'!I1680^2)+'BLAZE SHIELD II'!$D$8*'CALCULO MORTERO'!I1680+'BLAZE SHIELD II'!$D$9)),0)+IF(AND(L1680="Blaze Shield II",M1680="Software Idiem",C1680="Cj"),((('BLAZE SHIELD II'!$H$4*('CALCULO MORTERO'!I1680^2)+'BLAZE SHIELD II'!$H$5*'CALCULO MORTERO'!I1680+'BLAZE SHIELD II'!$H$6)*LN(J1680))+('BLAZE SHIELD II'!$H$7*('CALCULO MORTERO'!I1680^2)+'BLAZE SHIELD II'!$H$8*'CALCULO MORTERO'!I1680+'BLAZE SHIELD II'!$H$9)),0)+IF(AND(L1680="Blaze Shield II",M1680="Software Idiem",C1680="C"),((('BLAZE SHIELD II'!$L$4*('CALCULO MORTERO'!I1680^2)+'BLAZE SHIELD II'!$L$5*'CALCULO MORTERO'!I1680+'BLAZE SHIELD II'!$L$6)*LN(J1680))+('BLAZE SHIELD II'!$L$7*('CALCULO MORTERO'!I1680^2)+'BLAZE SHIELD II'!$L$8*'CALCULO MORTERO'!I1680+'BLAZE SHIELD II'!$L$9)),0)+IF(AND(L1680="Blaze Shield II",M1680="Software Idiem",C1680="L"),((('BLAZE SHIELD II'!$L$4*('CALCULO MORTERO'!I1680^2)+'BLAZE SHIELD II'!$L$5*'CALCULO MORTERO'!I1680+'BLAZE SHIELD II'!$L$6)*LN(J1680))+('BLAZE SHIELD II'!$L$7*('CALCULO MORTERO'!I1680^2)+'BLAZE SHIELD II'!$L$8*'CALCULO MORTERO'!I1680+'BLAZE SHIELD II'!$L$9)),0)+IF(AND(L1680="Blaze Shield II",M1680="Software Idiem",C1680="IN",G1680=3),((('BLAZE SHIELD II'!$H$14*('CALCULO MORTERO'!I1680^2)+'BLAZE SHIELD II'!$H$15*'CALCULO MORTERO'!I1680+'BLAZE SHIELD II'!$H$16)*LN(J1680))+('BLAZE SHIELD II'!$H$17*('CALCULO MORTERO'!I1680^2)+'BLAZE SHIELD II'!$H$18*'CALCULO MORTERO'!I1680+'BLAZE SHIELD II'!$H$19)),0),0)+ROUND(IF(AND(L1680="Cafco 400",M1680="Software Idiem",C1680="IN",G1680=4),((('CAFCO 400 '!$H$7*(J1680^4)+'CAFCO 400 '!$H$8*(J1680^3)+'CAFCO 400 '!$H$9*(J1680^2)+'CAFCO 400 '!$H$10*J1680+'CAFCO 400 '!$H$11)*U1680^2)+(('CAFCO 400 '!$H$12*(J1680^3)+'CAFCO 400 '!$H$13*(J1680^2)+'CAFCO 400 '!$H$14*J1680+'CAFCO 400 '!$H$15)*U1680)+('CAFCO 400 '!$H$16*(J1680^2)+'CAFCO 400 '!$H$17*J1680+'CAFCO 400 '!$H$18)),0)+IF(AND(L1680="Cafco 400",M1680="Software Idiem",C1680="Cj"),(((('CAFCO 400 '!$D$7*LN(J1680)+'CAFCO 400 '!$D$8)*U1680^2)+(('CAFCO 400 '!$D$9*LN(J1680)+'CAFCO 400 '!$D$10)*U1680)+('CAFCO 400 '!$D$11*LN(J1680)+'CAFCO 400 '!$D$12))),0)+IF(AND(L1680="Cafco 400",M1680="Software Idiem",C1680="C"),((('CAFCO 400 '!$L$7*(J1680^3)+'CAFCO 400 '!$L$8*(J1680^2)+'CAFCO 400 '!$L$9*J1680+'CAFCO 400 '!$L$10)*U1680^2)+(('CAFCO 400 '!$L$11*(J1680^3)+'CAFCO 400 '!$L$12*(J1680^2)+'CAFCO 400 '!$L$13*J1680+'CAFCO 400 '!$L$14)*U1680)+('CAFCO 400 '!$L$15*LN(J1680)+'CAFCO 400 '!$L$16)),0)+IF(AND(L1680="Cafco 400",M1680="Software Idiem",C1680="L"),((('CAFCO 400 '!$L$7*(J1680^3)+'CAFCO 400 '!$L$8*(J1680^2)+'CAFCO 400 '!$L$9*J1680+'CAFCO 400 '!$L$10)*U1680^2)+(('CAFCO 400 '!$L$11*(J1680^3)+'CAFCO 400 '!$L$12*(J1680^2)+'CAFCO 400 '!$L$13*J1680+'CAFCO 400 '!$L$14)*U1680)+('CAFCO 400 '!$L$15*LN(J1680)+'CAFCO 400 '!$L$16)),0)+IF(AND(L1680="Cafco 400",M1680="Software Idiem",C1680="IN",G1680=3),((('CAFCO 400 '!$D$23*(J1680^2)+'CAFCO 400 '!$D$24*(J1680)+'CAFCO 400 '!$D$25)*U1680^2)+(('CAFCO 400 '!$D$26*(J1680^2)+'CAFCO 400 '!$D$27*J1680+'CAFCO 400 '!$D$28)*U1680)+('CAFCO 400 '!$D$29*(J1680^2)+'CAFCO 400 '!$D$30*J1680+'CAFCO 400 '!$D$31)),0),0)+IF(AND(L1680="Cafco 300",J1680&gt;=95,J1680&lt;=240,C1680="Cj",I1680=90),VLOOKUP(T1680,'CAFCO 300 IDIEM TABLAS'!$B$4:$D$23,2,FALSE),0)+IF(AND(L1680="Cafco 300",J1680&gt;=95,J1680&lt;=240,C1680="Cj",I1680=120),VLOOKUP(T1680,'CAFCO 300 IDIEM TABLAS'!$B$4:$D$23,3,FALSE),0)+IF(AND(L1680="Cafco 300",J1680&gt;=95,J1680&lt;=400,G1680=3,C1680="IN",I1680=90),VLOOKUP(T1680,'CAFCO 300 IDIEM TABLAS'!$F$4:$H$35,2,FALSE),0)+IF(AND(L1680="Cafco 300",J1680&gt;=95,J1680&lt;=400,G1680=3,C1680="IN",I1680=120),VLOOKUP(T1680,'CAFCO 300 IDIEM TABLAS'!$F$4:$H$35,3,FALSE),0)+IF(AND(L1680="Cafco 300",J1680&gt;=95,J1680&lt;=450,G1680=4,C1680="IN",I1680=90),VLOOKUP(T1680,'CAFCO 300 IDIEM TABLAS'!$J$4:$L$40,2,FALSE),0)+IF(AND(L1680="Cafco 300",J1680&gt;=95,J1680&lt;=450,G1680=4,C1680="IN",I1680=120),VLOOKUP(T1680,'CAFCO 300 IDIEM TABLAS'!$J$4:$L$40,3,FALSE),0)+IF(AND(M1680="Ensayo Idiem",L1680="Cafco 400",C1680="IN",G1680=4,I1680=90),VLOOKUP(T1680,'CAFCO 400 ENSAYO'!$B$7:$D$43,2,FALSE),0)+IF(AND(M1680="Ensayo Idiem",L1680="Cafco 400",C1680="IN",G1680=4,I1680=120),VLOOKUP(T1680,'CAFCO 400 ENSAYO'!$B$7:$D$43,3,FALSE),0)</f>
        <v>0</v>
      </c>
      <c r="O1680" s="96">
        <f t="shared" si="168"/>
        <v>0</v>
      </c>
      <c r="P1680" s="95" t="str">
        <f t="shared" si="163"/>
        <v>N/A</v>
      </c>
      <c r="Q1680" s="95" t="str">
        <f t="shared" si="164"/>
        <v>N/A</v>
      </c>
      <c r="R1680" s="95" t="str">
        <f t="shared" si="165"/>
        <v>NO CERT.</v>
      </c>
      <c r="S1680" s="95" t="e">
        <f t="shared" si="166"/>
        <v>#N/A</v>
      </c>
      <c r="T1680" s="119" t="e">
        <f>+IF(J1680=LOOKUP(J1680,'CAFCO 300 IDIEM TABLAS'!$J$4:$J$40),'CALCULO MORTERO'!J1680,MROUND('CALCULO MORTERO'!J1680,10))</f>
        <v>#N/A</v>
      </c>
      <c r="U1680" s="118">
        <f t="shared" si="167"/>
        <v>0</v>
      </c>
    </row>
    <row r="1681" spans="1:21" x14ac:dyDescent="0.25">
      <c r="A1681" s="118">
        <f>+CUBICACION!D1675</f>
        <v>0</v>
      </c>
      <c r="B1681" s="819">
        <f>+CUBICACION!E1675</f>
        <v>0</v>
      </c>
      <c r="C1681" s="675">
        <f>+CUBICACION!F1675</f>
        <v>0</v>
      </c>
      <c r="D1681" s="118"/>
      <c r="E1681" s="118"/>
      <c r="F1681" s="820"/>
      <c r="G1681" s="675">
        <f>+CUBICACION!J1675</f>
        <v>0</v>
      </c>
      <c r="H1681" s="118"/>
      <c r="I1681" s="821">
        <f>+CUBICACION!L1675</f>
        <v>0</v>
      </c>
      <c r="J1681" s="64">
        <f>+CUBICACION!M1675</f>
        <v>0</v>
      </c>
      <c r="K1681" s="822">
        <f>+CUBICACION!N1675</f>
        <v>0</v>
      </c>
      <c r="L1681" s="118">
        <f>+CUBICACION!O1675</f>
        <v>0</v>
      </c>
      <c r="M1681" s="823">
        <f>+CUBICACION!P1675</f>
        <v>0</v>
      </c>
      <c r="N1681" s="902">
        <f>ROUND(IF(AND(L1681="Blaze Shield II",M1681="Software Idiem",C1681="IN",G1681=4),((('BLAZE SHIELD II'!$D$4*('CALCULO MORTERO'!I1681^2)+'BLAZE SHIELD II'!$D$5*'CALCULO MORTERO'!I1681+'BLAZE SHIELD II'!$D$6)*LN(J1681))+('BLAZE SHIELD II'!$D$7*('CALCULO MORTERO'!I1681^2)+'BLAZE SHIELD II'!$D$8*'CALCULO MORTERO'!I1681+'BLAZE SHIELD II'!$D$9)),0)+IF(AND(L1681="Blaze Shield II",M1681="Software Idiem",C1681="Cj"),((('BLAZE SHIELD II'!$H$4*('CALCULO MORTERO'!I1681^2)+'BLAZE SHIELD II'!$H$5*'CALCULO MORTERO'!I1681+'BLAZE SHIELD II'!$H$6)*LN(J1681))+('BLAZE SHIELD II'!$H$7*('CALCULO MORTERO'!I1681^2)+'BLAZE SHIELD II'!$H$8*'CALCULO MORTERO'!I1681+'BLAZE SHIELD II'!$H$9)),0)+IF(AND(L1681="Blaze Shield II",M1681="Software Idiem",C1681="C"),((('BLAZE SHIELD II'!$L$4*('CALCULO MORTERO'!I1681^2)+'BLAZE SHIELD II'!$L$5*'CALCULO MORTERO'!I1681+'BLAZE SHIELD II'!$L$6)*LN(J1681))+('BLAZE SHIELD II'!$L$7*('CALCULO MORTERO'!I1681^2)+'BLAZE SHIELD II'!$L$8*'CALCULO MORTERO'!I1681+'BLAZE SHIELD II'!$L$9)),0)+IF(AND(L1681="Blaze Shield II",M1681="Software Idiem",C1681="L"),((('BLAZE SHIELD II'!$L$4*('CALCULO MORTERO'!I1681^2)+'BLAZE SHIELD II'!$L$5*'CALCULO MORTERO'!I1681+'BLAZE SHIELD II'!$L$6)*LN(J1681))+('BLAZE SHIELD II'!$L$7*('CALCULO MORTERO'!I1681^2)+'BLAZE SHIELD II'!$L$8*'CALCULO MORTERO'!I1681+'BLAZE SHIELD II'!$L$9)),0)+IF(AND(L1681="Blaze Shield II",M1681="Software Idiem",C1681="IN",G1681=3),((('BLAZE SHIELD II'!$H$14*('CALCULO MORTERO'!I1681^2)+'BLAZE SHIELD II'!$H$15*'CALCULO MORTERO'!I1681+'BLAZE SHIELD II'!$H$16)*LN(J1681))+('BLAZE SHIELD II'!$H$17*('CALCULO MORTERO'!I1681^2)+'BLAZE SHIELD II'!$H$18*'CALCULO MORTERO'!I1681+'BLAZE SHIELD II'!$H$19)),0),0)+ROUND(IF(AND(L1681="Cafco 400",M1681="Software Idiem",C1681="IN",G1681=4),((('CAFCO 400 '!$H$7*(J1681^4)+'CAFCO 400 '!$H$8*(J1681^3)+'CAFCO 400 '!$H$9*(J1681^2)+'CAFCO 400 '!$H$10*J1681+'CAFCO 400 '!$H$11)*U1681^2)+(('CAFCO 400 '!$H$12*(J1681^3)+'CAFCO 400 '!$H$13*(J1681^2)+'CAFCO 400 '!$H$14*J1681+'CAFCO 400 '!$H$15)*U1681)+('CAFCO 400 '!$H$16*(J1681^2)+'CAFCO 400 '!$H$17*J1681+'CAFCO 400 '!$H$18)),0)+IF(AND(L1681="Cafco 400",M1681="Software Idiem",C1681="Cj"),(((('CAFCO 400 '!$D$7*LN(J1681)+'CAFCO 400 '!$D$8)*U1681^2)+(('CAFCO 400 '!$D$9*LN(J1681)+'CAFCO 400 '!$D$10)*U1681)+('CAFCO 400 '!$D$11*LN(J1681)+'CAFCO 400 '!$D$12))),0)+IF(AND(L1681="Cafco 400",M1681="Software Idiem",C1681="C"),((('CAFCO 400 '!$L$7*(J1681^3)+'CAFCO 400 '!$L$8*(J1681^2)+'CAFCO 400 '!$L$9*J1681+'CAFCO 400 '!$L$10)*U1681^2)+(('CAFCO 400 '!$L$11*(J1681^3)+'CAFCO 400 '!$L$12*(J1681^2)+'CAFCO 400 '!$L$13*J1681+'CAFCO 400 '!$L$14)*U1681)+('CAFCO 400 '!$L$15*LN(J1681)+'CAFCO 400 '!$L$16)),0)+IF(AND(L1681="Cafco 400",M1681="Software Idiem",C1681="L"),((('CAFCO 400 '!$L$7*(J1681^3)+'CAFCO 400 '!$L$8*(J1681^2)+'CAFCO 400 '!$L$9*J1681+'CAFCO 400 '!$L$10)*U1681^2)+(('CAFCO 400 '!$L$11*(J1681^3)+'CAFCO 400 '!$L$12*(J1681^2)+'CAFCO 400 '!$L$13*J1681+'CAFCO 400 '!$L$14)*U1681)+('CAFCO 400 '!$L$15*LN(J1681)+'CAFCO 400 '!$L$16)),0)+IF(AND(L1681="Cafco 400",M1681="Software Idiem",C1681="IN",G1681=3),((('CAFCO 400 '!$D$23*(J1681^2)+'CAFCO 400 '!$D$24*(J1681)+'CAFCO 400 '!$D$25)*U1681^2)+(('CAFCO 400 '!$D$26*(J1681^2)+'CAFCO 400 '!$D$27*J1681+'CAFCO 400 '!$D$28)*U1681)+('CAFCO 400 '!$D$29*(J1681^2)+'CAFCO 400 '!$D$30*J1681+'CAFCO 400 '!$D$31)),0),0)+IF(AND(L1681="Cafco 300",J1681&gt;=95,J1681&lt;=240,C1681="Cj",I1681=90),VLOOKUP(T1681,'CAFCO 300 IDIEM TABLAS'!$B$4:$D$23,2,FALSE),0)+IF(AND(L1681="Cafco 300",J1681&gt;=95,J1681&lt;=240,C1681="Cj",I1681=120),VLOOKUP(T1681,'CAFCO 300 IDIEM TABLAS'!$B$4:$D$23,3,FALSE),0)+IF(AND(L1681="Cafco 300",J1681&gt;=95,J1681&lt;=400,G1681=3,C1681="IN",I1681=90),VLOOKUP(T1681,'CAFCO 300 IDIEM TABLAS'!$F$4:$H$35,2,FALSE),0)+IF(AND(L1681="Cafco 300",J1681&gt;=95,J1681&lt;=400,G1681=3,C1681="IN",I1681=120),VLOOKUP(T1681,'CAFCO 300 IDIEM TABLAS'!$F$4:$H$35,3,FALSE),0)+IF(AND(L1681="Cafco 300",J1681&gt;=95,J1681&lt;=450,G1681=4,C1681="IN",I1681=90),VLOOKUP(T1681,'CAFCO 300 IDIEM TABLAS'!$J$4:$L$40,2,FALSE),0)+IF(AND(L1681="Cafco 300",J1681&gt;=95,J1681&lt;=450,G1681=4,C1681="IN",I1681=120),VLOOKUP(T1681,'CAFCO 300 IDIEM TABLAS'!$J$4:$L$40,3,FALSE),0)+IF(AND(M1681="Ensayo Idiem",L1681="Cafco 400",C1681="IN",G1681=4,I1681=90),VLOOKUP(T1681,'CAFCO 400 ENSAYO'!$B$7:$D$43,2,FALSE),0)+IF(AND(M1681="Ensayo Idiem",L1681="Cafco 400",C1681="IN",G1681=4,I1681=120),VLOOKUP(T1681,'CAFCO 400 ENSAYO'!$B$7:$D$43,3,FALSE),0)</f>
        <v>0</v>
      </c>
      <c r="O1681" s="96">
        <f t="shared" si="168"/>
        <v>0</v>
      </c>
      <c r="P1681" s="132" t="str">
        <f t="shared" si="163"/>
        <v>N/A</v>
      </c>
      <c r="Q1681" s="132" t="str">
        <f t="shared" si="164"/>
        <v>N/A</v>
      </c>
      <c r="R1681" s="132" t="str">
        <f t="shared" si="165"/>
        <v>NO CERT.</v>
      </c>
      <c r="S1681" s="132" t="e">
        <f t="shared" si="166"/>
        <v>#N/A</v>
      </c>
      <c r="T1681" s="133" t="e">
        <f>+IF(J1681=LOOKUP(J1681,'CAFCO 300 IDIEM TABLAS'!$J$4:$J$40),'CALCULO MORTERO'!J1681,MROUND('CALCULO MORTERO'!J1681,10))</f>
        <v>#N/A</v>
      </c>
      <c r="U1681" s="134">
        <f t="shared" si="167"/>
        <v>0</v>
      </c>
    </row>
    <row r="1682" spans="1:21" x14ac:dyDescent="0.25">
      <c r="A1682" s="118">
        <f>+CUBICACION!D1676</f>
        <v>0</v>
      </c>
      <c r="B1682" s="819">
        <f>+CUBICACION!E1676</f>
        <v>0</v>
      </c>
      <c r="C1682" s="675">
        <f>+CUBICACION!F1676</f>
        <v>0</v>
      </c>
      <c r="D1682" s="118"/>
      <c r="E1682" s="118"/>
      <c r="F1682" s="820"/>
      <c r="G1682" s="675">
        <f>+CUBICACION!J1676</f>
        <v>0</v>
      </c>
      <c r="H1682" s="118"/>
      <c r="I1682" s="821">
        <f>+CUBICACION!L1676</f>
        <v>0</v>
      </c>
      <c r="J1682" s="64">
        <f>+CUBICACION!M1676</f>
        <v>0</v>
      </c>
      <c r="K1682" s="822">
        <f>+CUBICACION!N1676</f>
        <v>0</v>
      </c>
      <c r="L1682" s="118">
        <f>+CUBICACION!O1676</f>
        <v>0</v>
      </c>
      <c r="M1682" s="823">
        <f>+CUBICACION!P1676</f>
        <v>0</v>
      </c>
      <c r="N1682" s="902">
        <f>ROUND(IF(AND(L1682="Blaze Shield II",M1682="Software Idiem",C1682="IN",G1682=4),((('BLAZE SHIELD II'!$D$4*('CALCULO MORTERO'!I1682^2)+'BLAZE SHIELD II'!$D$5*'CALCULO MORTERO'!I1682+'BLAZE SHIELD II'!$D$6)*LN(J1682))+('BLAZE SHIELD II'!$D$7*('CALCULO MORTERO'!I1682^2)+'BLAZE SHIELD II'!$D$8*'CALCULO MORTERO'!I1682+'BLAZE SHIELD II'!$D$9)),0)+IF(AND(L1682="Blaze Shield II",M1682="Software Idiem",C1682="Cj"),((('BLAZE SHIELD II'!$H$4*('CALCULO MORTERO'!I1682^2)+'BLAZE SHIELD II'!$H$5*'CALCULO MORTERO'!I1682+'BLAZE SHIELD II'!$H$6)*LN(J1682))+('BLAZE SHIELD II'!$H$7*('CALCULO MORTERO'!I1682^2)+'BLAZE SHIELD II'!$H$8*'CALCULO MORTERO'!I1682+'BLAZE SHIELD II'!$H$9)),0)+IF(AND(L1682="Blaze Shield II",M1682="Software Idiem",C1682="C"),((('BLAZE SHIELD II'!$L$4*('CALCULO MORTERO'!I1682^2)+'BLAZE SHIELD II'!$L$5*'CALCULO MORTERO'!I1682+'BLAZE SHIELD II'!$L$6)*LN(J1682))+('BLAZE SHIELD II'!$L$7*('CALCULO MORTERO'!I1682^2)+'BLAZE SHIELD II'!$L$8*'CALCULO MORTERO'!I1682+'BLAZE SHIELD II'!$L$9)),0)+IF(AND(L1682="Blaze Shield II",M1682="Software Idiem",C1682="L"),((('BLAZE SHIELD II'!$L$4*('CALCULO MORTERO'!I1682^2)+'BLAZE SHIELD II'!$L$5*'CALCULO MORTERO'!I1682+'BLAZE SHIELD II'!$L$6)*LN(J1682))+('BLAZE SHIELD II'!$L$7*('CALCULO MORTERO'!I1682^2)+'BLAZE SHIELD II'!$L$8*'CALCULO MORTERO'!I1682+'BLAZE SHIELD II'!$L$9)),0)+IF(AND(L1682="Blaze Shield II",M1682="Software Idiem",C1682="IN",G1682=3),((('BLAZE SHIELD II'!$H$14*('CALCULO MORTERO'!I1682^2)+'BLAZE SHIELD II'!$H$15*'CALCULO MORTERO'!I1682+'BLAZE SHIELD II'!$H$16)*LN(J1682))+('BLAZE SHIELD II'!$H$17*('CALCULO MORTERO'!I1682^2)+'BLAZE SHIELD II'!$H$18*'CALCULO MORTERO'!I1682+'BLAZE SHIELD II'!$H$19)),0),0)+ROUND(IF(AND(L1682="Cafco 400",M1682="Software Idiem",C1682="IN",G1682=4),((('CAFCO 400 '!$H$7*(J1682^4)+'CAFCO 400 '!$H$8*(J1682^3)+'CAFCO 400 '!$H$9*(J1682^2)+'CAFCO 400 '!$H$10*J1682+'CAFCO 400 '!$H$11)*U1682^2)+(('CAFCO 400 '!$H$12*(J1682^3)+'CAFCO 400 '!$H$13*(J1682^2)+'CAFCO 400 '!$H$14*J1682+'CAFCO 400 '!$H$15)*U1682)+('CAFCO 400 '!$H$16*(J1682^2)+'CAFCO 400 '!$H$17*J1682+'CAFCO 400 '!$H$18)),0)+IF(AND(L1682="Cafco 400",M1682="Software Idiem",C1682="Cj"),(((('CAFCO 400 '!$D$7*LN(J1682)+'CAFCO 400 '!$D$8)*U1682^2)+(('CAFCO 400 '!$D$9*LN(J1682)+'CAFCO 400 '!$D$10)*U1682)+('CAFCO 400 '!$D$11*LN(J1682)+'CAFCO 400 '!$D$12))),0)+IF(AND(L1682="Cafco 400",M1682="Software Idiem",C1682="C"),((('CAFCO 400 '!$L$7*(J1682^3)+'CAFCO 400 '!$L$8*(J1682^2)+'CAFCO 400 '!$L$9*J1682+'CAFCO 400 '!$L$10)*U1682^2)+(('CAFCO 400 '!$L$11*(J1682^3)+'CAFCO 400 '!$L$12*(J1682^2)+'CAFCO 400 '!$L$13*J1682+'CAFCO 400 '!$L$14)*U1682)+('CAFCO 400 '!$L$15*LN(J1682)+'CAFCO 400 '!$L$16)),0)+IF(AND(L1682="Cafco 400",M1682="Software Idiem",C1682="L"),((('CAFCO 400 '!$L$7*(J1682^3)+'CAFCO 400 '!$L$8*(J1682^2)+'CAFCO 400 '!$L$9*J1682+'CAFCO 400 '!$L$10)*U1682^2)+(('CAFCO 400 '!$L$11*(J1682^3)+'CAFCO 400 '!$L$12*(J1682^2)+'CAFCO 400 '!$L$13*J1682+'CAFCO 400 '!$L$14)*U1682)+('CAFCO 400 '!$L$15*LN(J1682)+'CAFCO 400 '!$L$16)),0)+IF(AND(L1682="Cafco 400",M1682="Software Idiem",C1682="IN",G1682=3),((('CAFCO 400 '!$D$23*(J1682^2)+'CAFCO 400 '!$D$24*(J1682)+'CAFCO 400 '!$D$25)*U1682^2)+(('CAFCO 400 '!$D$26*(J1682^2)+'CAFCO 400 '!$D$27*J1682+'CAFCO 400 '!$D$28)*U1682)+('CAFCO 400 '!$D$29*(J1682^2)+'CAFCO 400 '!$D$30*J1682+'CAFCO 400 '!$D$31)),0),0)+IF(AND(L1682="Cafco 300",J1682&gt;=95,J1682&lt;=240,C1682="Cj",I1682=90),VLOOKUP(T1682,'CAFCO 300 IDIEM TABLAS'!$B$4:$D$23,2,FALSE),0)+IF(AND(L1682="Cafco 300",J1682&gt;=95,J1682&lt;=240,C1682="Cj",I1682=120),VLOOKUP(T1682,'CAFCO 300 IDIEM TABLAS'!$B$4:$D$23,3,FALSE),0)+IF(AND(L1682="Cafco 300",J1682&gt;=95,J1682&lt;=400,G1682=3,C1682="IN",I1682=90),VLOOKUP(T1682,'CAFCO 300 IDIEM TABLAS'!$F$4:$H$35,2,FALSE),0)+IF(AND(L1682="Cafco 300",J1682&gt;=95,J1682&lt;=400,G1682=3,C1682="IN",I1682=120),VLOOKUP(T1682,'CAFCO 300 IDIEM TABLAS'!$F$4:$H$35,3,FALSE),0)+IF(AND(L1682="Cafco 300",J1682&gt;=95,J1682&lt;=450,G1682=4,C1682="IN",I1682=90),VLOOKUP(T1682,'CAFCO 300 IDIEM TABLAS'!$J$4:$L$40,2,FALSE),0)+IF(AND(L1682="Cafco 300",J1682&gt;=95,J1682&lt;=450,G1682=4,C1682="IN",I1682=120),VLOOKUP(T1682,'CAFCO 300 IDIEM TABLAS'!$J$4:$L$40,3,FALSE),0)+IF(AND(M1682="Ensayo Idiem",L1682="Cafco 400",C1682="IN",G1682=4,I1682=90),VLOOKUP(T1682,'CAFCO 400 ENSAYO'!$B$7:$D$43,2,FALSE),0)+IF(AND(M1682="Ensayo Idiem",L1682="Cafco 400",C1682="IN",G1682=4,I1682=120),VLOOKUP(T1682,'CAFCO 400 ENSAYO'!$B$7:$D$43,3,FALSE),0)</f>
        <v>0</v>
      </c>
      <c r="O1682" s="96">
        <f t="shared" si="168"/>
        <v>0</v>
      </c>
      <c r="P1682" s="95" t="str">
        <f t="shared" si="163"/>
        <v>N/A</v>
      </c>
      <c r="Q1682" s="95" t="str">
        <f t="shared" si="164"/>
        <v>N/A</v>
      </c>
      <c r="R1682" s="95" t="str">
        <f t="shared" si="165"/>
        <v>NO CERT.</v>
      </c>
      <c r="S1682" s="95" t="e">
        <f t="shared" si="166"/>
        <v>#N/A</v>
      </c>
      <c r="T1682" s="119" t="e">
        <f>+IF(J1682=LOOKUP(J1682,'CAFCO 300 IDIEM TABLAS'!$J$4:$J$40),'CALCULO MORTERO'!J1682,MROUND('CALCULO MORTERO'!J1682,10))</f>
        <v>#N/A</v>
      </c>
      <c r="U1682" s="118">
        <f t="shared" si="167"/>
        <v>0</v>
      </c>
    </row>
    <row r="1683" spans="1:21" x14ac:dyDescent="0.25">
      <c r="A1683" s="118">
        <f>+CUBICACION!D1677</f>
        <v>0</v>
      </c>
      <c r="B1683" s="819">
        <f>+CUBICACION!E1677</f>
        <v>0</v>
      </c>
      <c r="C1683" s="675">
        <f>+CUBICACION!F1677</f>
        <v>0</v>
      </c>
      <c r="D1683" s="118"/>
      <c r="E1683" s="118"/>
      <c r="F1683" s="820"/>
      <c r="G1683" s="675">
        <f>+CUBICACION!J1677</f>
        <v>0</v>
      </c>
      <c r="H1683" s="118"/>
      <c r="I1683" s="821">
        <f>+CUBICACION!L1677</f>
        <v>0</v>
      </c>
      <c r="J1683" s="64">
        <f>+CUBICACION!M1677</f>
        <v>0</v>
      </c>
      <c r="K1683" s="822">
        <f>+CUBICACION!N1677</f>
        <v>0</v>
      </c>
      <c r="L1683" s="118">
        <f>+CUBICACION!O1677</f>
        <v>0</v>
      </c>
      <c r="M1683" s="823">
        <f>+CUBICACION!P1677</f>
        <v>0</v>
      </c>
      <c r="N1683" s="902">
        <f>ROUND(IF(AND(L1683="Blaze Shield II",M1683="Software Idiem",C1683="IN",G1683=4),((('BLAZE SHIELD II'!$D$4*('CALCULO MORTERO'!I1683^2)+'BLAZE SHIELD II'!$D$5*'CALCULO MORTERO'!I1683+'BLAZE SHIELD II'!$D$6)*LN(J1683))+('BLAZE SHIELD II'!$D$7*('CALCULO MORTERO'!I1683^2)+'BLAZE SHIELD II'!$D$8*'CALCULO MORTERO'!I1683+'BLAZE SHIELD II'!$D$9)),0)+IF(AND(L1683="Blaze Shield II",M1683="Software Idiem",C1683="Cj"),((('BLAZE SHIELD II'!$H$4*('CALCULO MORTERO'!I1683^2)+'BLAZE SHIELD II'!$H$5*'CALCULO MORTERO'!I1683+'BLAZE SHIELD II'!$H$6)*LN(J1683))+('BLAZE SHIELD II'!$H$7*('CALCULO MORTERO'!I1683^2)+'BLAZE SHIELD II'!$H$8*'CALCULO MORTERO'!I1683+'BLAZE SHIELD II'!$H$9)),0)+IF(AND(L1683="Blaze Shield II",M1683="Software Idiem",C1683="C"),((('BLAZE SHIELD II'!$L$4*('CALCULO MORTERO'!I1683^2)+'BLAZE SHIELD II'!$L$5*'CALCULO MORTERO'!I1683+'BLAZE SHIELD II'!$L$6)*LN(J1683))+('BLAZE SHIELD II'!$L$7*('CALCULO MORTERO'!I1683^2)+'BLAZE SHIELD II'!$L$8*'CALCULO MORTERO'!I1683+'BLAZE SHIELD II'!$L$9)),0)+IF(AND(L1683="Blaze Shield II",M1683="Software Idiem",C1683="L"),((('BLAZE SHIELD II'!$L$4*('CALCULO MORTERO'!I1683^2)+'BLAZE SHIELD II'!$L$5*'CALCULO MORTERO'!I1683+'BLAZE SHIELD II'!$L$6)*LN(J1683))+('BLAZE SHIELD II'!$L$7*('CALCULO MORTERO'!I1683^2)+'BLAZE SHIELD II'!$L$8*'CALCULO MORTERO'!I1683+'BLAZE SHIELD II'!$L$9)),0)+IF(AND(L1683="Blaze Shield II",M1683="Software Idiem",C1683="IN",G1683=3),((('BLAZE SHIELD II'!$H$14*('CALCULO MORTERO'!I1683^2)+'BLAZE SHIELD II'!$H$15*'CALCULO MORTERO'!I1683+'BLAZE SHIELD II'!$H$16)*LN(J1683))+('BLAZE SHIELD II'!$H$17*('CALCULO MORTERO'!I1683^2)+'BLAZE SHIELD II'!$H$18*'CALCULO MORTERO'!I1683+'BLAZE SHIELD II'!$H$19)),0),0)+ROUND(IF(AND(L1683="Cafco 400",M1683="Software Idiem",C1683="IN",G1683=4),((('CAFCO 400 '!$H$7*(J1683^4)+'CAFCO 400 '!$H$8*(J1683^3)+'CAFCO 400 '!$H$9*(J1683^2)+'CAFCO 400 '!$H$10*J1683+'CAFCO 400 '!$H$11)*U1683^2)+(('CAFCO 400 '!$H$12*(J1683^3)+'CAFCO 400 '!$H$13*(J1683^2)+'CAFCO 400 '!$H$14*J1683+'CAFCO 400 '!$H$15)*U1683)+('CAFCO 400 '!$H$16*(J1683^2)+'CAFCO 400 '!$H$17*J1683+'CAFCO 400 '!$H$18)),0)+IF(AND(L1683="Cafco 400",M1683="Software Idiem",C1683="Cj"),(((('CAFCO 400 '!$D$7*LN(J1683)+'CAFCO 400 '!$D$8)*U1683^2)+(('CAFCO 400 '!$D$9*LN(J1683)+'CAFCO 400 '!$D$10)*U1683)+('CAFCO 400 '!$D$11*LN(J1683)+'CAFCO 400 '!$D$12))),0)+IF(AND(L1683="Cafco 400",M1683="Software Idiem",C1683="C"),((('CAFCO 400 '!$L$7*(J1683^3)+'CAFCO 400 '!$L$8*(J1683^2)+'CAFCO 400 '!$L$9*J1683+'CAFCO 400 '!$L$10)*U1683^2)+(('CAFCO 400 '!$L$11*(J1683^3)+'CAFCO 400 '!$L$12*(J1683^2)+'CAFCO 400 '!$L$13*J1683+'CAFCO 400 '!$L$14)*U1683)+('CAFCO 400 '!$L$15*LN(J1683)+'CAFCO 400 '!$L$16)),0)+IF(AND(L1683="Cafco 400",M1683="Software Idiem",C1683="L"),((('CAFCO 400 '!$L$7*(J1683^3)+'CAFCO 400 '!$L$8*(J1683^2)+'CAFCO 400 '!$L$9*J1683+'CAFCO 400 '!$L$10)*U1683^2)+(('CAFCO 400 '!$L$11*(J1683^3)+'CAFCO 400 '!$L$12*(J1683^2)+'CAFCO 400 '!$L$13*J1683+'CAFCO 400 '!$L$14)*U1683)+('CAFCO 400 '!$L$15*LN(J1683)+'CAFCO 400 '!$L$16)),0)+IF(AND(L1683="Cafco 400",M1683="Software Idiem",C1683="IN",G1683=3),((('CAFCO 400 '!$D$23*(J1683^2)+'CAFCO 400 '!$D$24*(J1683)+'CAFCO 400 '!$D$25)*U1683^2)+(('CAFCO 400 '!$D$26*(J1683^2)+'CAFCO 400 '!$D$27*J1683+'CAFCO 400 '!$D$28)*U1683)+('CAFCO 400 '!$D$29*(J1683^2)+'CAFCO 400 '!$D$30*J1683+'CAFCO 400 '!$D$31)),0),0)+IF(AND(L1683="Cafco 300",J1683&gt;=95,J1683&lt;=240,C1683="Cj",I1683=90),VLOOKUP(T1683,'CAFCO 300 IDIEM TABLAS'!$B$4:$D$23,2,FALSE),0)+IF(AND(L1683="Cafco 300",J1683&gt;=95,J1683&lt;=240,C1683="Cj",I1683=120),VLOOKUP(T1683,'CAFCO 300 IDIEM TABLAS'!$B$4:$D$23,3,FALSE),0)+IF(AND(L1683="Cafco 300",J1683&gt;=95,J1683&lt;=400,G1683=3,C1683="IN",I1683=90),VLOOKUP(T1683,'CAFCO 300 IDIEM TABLAS'!$F$4:$H$35,2,FALSE),0)+IF(AND(L1683="Cafco 300",J1683&gt;=95,J1683&lt;=400,G1683=3,C1683="IN",I1683=120),VLOOKUP(T1683,'CAFCO 300 IDIEM TABLAS'!$F$4:$H$35,3,FALSE),0)+IF(AND(L1683="Cafco 300",J1683&gt;=95,J1683&lt;=450,G1683=4,C1683="IN",I1683=90),VLOOKUP(T1683,'CAFCO 300 IDIEM TABLAS'!$J$4:$L$40,2,FALSE),0)+IF(AND(L1683="Cafco 300",J1683&gt;=95,J1683&lt;=450,G1683=4,C1683="IN",I1683=120),VLOOKUP(T1683,'CAFCO 300 IDIEM TABLAS'!$J$4:$L$40,3,FALSE),0)+IF(AND(M1683="Ensayo Idiem",L1683="Cafco 400",C1683="IN",G1683=4,I1683=90),VLOOKUP(T1683,'CAFCO 400 ENSAYO'!$B$7:$D$43,2,FALSE),0)+IF(AND(M1683="Ensayo Idiem",L1683="Cafco 400",C1683="IN",G1683=4,I1683=120),VLOOKUP(T1683,'CAFCO 400 ENSAYO'!$B$7:$D$43,3,FALSE),0)</f>
        <v>0</v>
      </c>
      <c r="O1683" s="96">
        <f t="shared" si="168"/>
        <v>0</v>
      </c>
      <c r="P1683" s="132" t="str">
        <f t="shared" si="163"/>
        <v>N/A</v>
      </c>
      <c r="Q1683" s="132" t="str">
        <f t="shared" si="164"/>
        <v>N/A</v>
      </c>
      <c r="R1683" s="132" t="str">
        <f t="shared" si="165"/>
        <v>NO CERT.</v>
      </c>
      <c r="S1683" s="132" t="e">
        <f t="shared" si="166"/>
        <v>#N/A</v>
      </c>
      <c r="T1683" s="133" t="e">
        <f>+IF(J1683=LOOKUP(J1683,'CAFCO 300 IDIEM TABLAS'!$J$4:$J$40),'CALCULO MORTERO'!J1683,MROUND('CALCULO MORTERO'!J1683,10))</f>
        <v>#N/A</v>
      </c>
      <c r="U1683" s="134">
        <f t="shared" si="167"/>
        <v>0</v>
      </c>
    </row>
    <row r="1684" spans="1:21" x14ac:dyDescent="0.25">
      <c r="A1684" s="118">
        <f>+CUBICACION!D1678</f>
        <v>0</v>
      </c>
      <c r="B1684" s="819">
        <f>+CUBICACION!E1678</f>
        <v>0</v>
      </c>
      <c r="C1684" s="675">
        <f>+CUBICACION!F1678</f>
        <v>0</v>
      </c>
      <c r="D1684" s="118"/>
      <c r="E1684" s="118"/>
      <c r="F1684" s="820"/>
      <c r="G1684" s="675">
        <f>+CUBICACION!J1678</f>
        <v>0</v>
      </c>
      <c r="H1684" s="118"/>
      <c r="I1684" s="821">
        <f>+CUBICACION!L1678</f>
        <v>0</v>
      </c>
      <c r="J1684" s="64">
        <f>+CUBICACION!M1678</f>
        <v>0</v>
      </c>
      <c r="K1684" s="822">
        <f>+CUBICACION!N1678</f>
        <v>0</v>
      </c>
      <c r="L1684" s="118">
        <f>+CUBICACION!O1678</f>
        <v>0</v>
      </c>
      <c r="M1684" s="823">
        <f>+CUBICACION!P1678</f>
        <v>0</v>
      </c>
      <c r="N1684" s="902">
        <f>ROUND(IF(AND(L1684="Blaze Shield II",M1684="Software Idiem",C1684="IN",G1684=4),((('BLAZE SHIELD II'!$D$4*('CALCULO MORTERO'!I1684^2)+'BLAZE SHIELD II'!$D$5*'CALCULO MORTERO'!I1684+'BLAZE SHIELD II'!$D$6)*LN(J1684))+('BLAZE SHIELD II'!$D$7*('CALCULO MORTERO'!I1684^2)+'BLAZE SHIELD II'!$D$8*'CALCULO MORTERO'!I1684+'BLAZE SHIELD II'!$D$9)),0)+IF(AND(L1684="Blaze Shield II",M1684="Software Idiem",C1684="Cj"),((('BLAZE SHIELD II'!$H$4*('CALCULO MORTERO'!I1684^2)+'BLAZE SHIELD II'!$H$5*'CALCULO MORTERO'!I1684+'BLAZE SHIELD II'!$H$6)*LN(J1684))+('BLAZE SHIELD II'!$H$7*('CALCULO MORTERO'!I1684^2)+'BLAZE SHIELD II'!$H$8*'CALCULO MORTERO'!I1684+'BLAZE SHIELD II'!$H$9)),0)+IF(AND(L1684="Blaze Shield II",M1684="Software Idiem",C1684="C"),((('BLAZE SHIELD II'!$L$4*('CALCULO MORTERO'!I1684^2)+'BLAZE SHIELD II'!$L$5*'CALCULO MORTERO'!I1684+'BLAZE SHIELD II'!$L$6)*LN(J1684))+('BLAZE SHIELD II'!$L$7*('CALCULO MORTERO'!I1684^2)+'BLAZE SHIELD II'!$L$8*'CALCULO MORTERO'!I1684+'BLAZE SHIELD II'!$L$9)),0)+IF(AND(L1684="Blaze Shield II",M1684="Software Idiem",C1684="L"),((('BLAZE SHIELD II'!$L$4*('CALCULO MORTERO'!I1684^2)+'BLAZE SHIELD II'!$L$5*'CALCULO MORTERO'!I1684+'BLAZE SHIELD II'!$L$6)*LN(J1684))+('BLAZE SHIELD II'!$L$7*('CALCULO MORTERO'!I1684^2)+'BLAZE SHIELD II'!$L$8*'CALCULO MORTERO'!I1684+'BLAZE SHIELD II'!$L$9)),0)+IF(AND(L1684="Blaze Shield II",M1684="Software Idiem",C1684="IN",G1684=3),((('BLAZE SHIELD II'!$H$14*('CALCULO MORTERO'!I1684^2)+'BLAZE SHIELD II'!$H$15*'CALCULO MORTERO'!I1684+'BLAZE SHIELD II'!$H$16)*LN(J1684))+('BLAZE SHIELD II'!$H$17*('CALCULO MORTERO'!I1684^2)+'BLAZE SHIELD II'!$H$18*'CALCULO MORTERO'!I1684+'BLAZE SHIELD II'!$H$19)),0),0)+ROUND(IF(AND(L1684="Cafco 400",M1684="Software Idiem",C1684="IN",G1684=4),((('CAFCO 400 '!$H$7*(J1684^4)+'CAFCO 400 '!$H$8*(J1684^3)+'CAFCO 400 '!$H$9*(J1684^2)+'CAFCO 400 '!$H$10*J1684+'CAFCO 400 '!$H$11)*U1684^2)+(('CAFCO 400 '!$H$12*(J1684^3)+'CAFCO 400 '!$H$13*(J1684^2)+'CAFCO 400 '!$H$14*J1684+'CAFCO 400 '!$H$15)*U1684)+('CAFCO 400 '!$H$16*(J1684^2)+'CAFCO 400 '!$H$17*J1684+'CAFCO 400 '!$H$18)),0)+IF(AND(L1684="Cafco 400",M1684="Software Idiem",C1684="Cj"),(((('CAFCO 400 '!$D$7*LN(J1684)+'CAFCO 400 '!$D$8)*U1684^2)+(('CAFCO 400 '!$D$9*LN(J1684)+'CAFCO 400 '!$D$10)*U1684)+('CAFCO 400 '!$D$11*LN(J1684)+'CAFCO 400 '!$D$12))),0)+IF(AND(L1684="Cafco 400",M1684="Software Idiem",C1684="C"),((('CAFCO 400 '!$L$7*(J1684^3)+'CAFCO 400 '!$L$8*(J1684^2)+'CAFCO 400 '!$L$9*J1684+'CAFCO 400 '!$L$10)*U1684^2)+(('CAFCO 400 '!$L$11*(J1684^3)+'CAFCO 400 '!$L$12*(J1684^2)+'CAFCO 400 '!$L$13*J1684+'CAFCO 400 '!$L$14)*U1684)+('CAFCO 400 '!$L$15*LN(J1684)+'CAFCO 400 '!$L$16)),0)+IF(AND(L1684="Cafco 400",M1684="Software Idiem",C1684="L"),((('CAFCO 400 '!$L$7*(J1684^3)+'CAFCO 400 '!$L$8*(J1684^2)+'CAFCO 400 '!$L$9*J1684+'CAFCO 400 '!$L$10)*U1684^2)+(('CAFCO 400 '!$L$11*(J1684^3)+'CAFCO 400 '!$L$12*(J1684^2)+'CAFCO 400 '!$L$13*J1684+'CAFCO 400 '!$L$14)*U1684)+('CAFCO 400 '!$L$15*LN(J1684)+'CAFCO 400 '!$L$16)),0)+IF(AND(L1684="Cafco 400",M1684="Software Idiem",C1684="IN",G1684=3),((('CAFCO 400 '!$D$23*(J1684^2)+'CAFCO 400 '!$D$24*(J1684)+'CAFCO 400 '!$D$25)*U1684^2)+(('CAFCO 400 '!$D$26*(J1684^2)+'CAFCO 400 '!$D$27*J1684+'CAFCO 400 '!$D$28)*U1684)+('CAFCO 400 '!$D$29*(J1684^2)+'CAFCO 400 '!$D$30*J1684+'CAFCO 400 '!$D$31)),0),0)+IF(AND(L1684="Cafco 300",J1684&gt;=95,J1684&lt;=240,C1684="Cj",I1684=90),VLOOKUP(T1684,'CAFCO 300 IDIEM TABLAS'!$B$4:$D$23,2,FALSE),0)+IF(AND(L1684="Cafco 300",J1684&gt;=95,J1684&lt;=240,C1684="Cj",I1684=120),VLOOKUP(T1684,'CAFCO 300 IDIEM TABLAS'!$B$4:$D$23,3,FALSE),0)+IF(AND(L1684="Cafco 300",J1684&gt;=95,J1684&lt;=400,G1684=3,C1684="IN",I1684=90),VLOOKUP(T1684,'CAFCO 300 IDIEM TABLAS'!$F$4:$H$35,2,FALSE),0)+IF(AND(L1684="Cafco 300",J1684&gt;=95,J1684&lt;=400,G1684=3,C1684="IN",I1684=120),VLOOKUP(T1684,'CAFCO 300 IDIEM TABLAS'!$F$4:$H$35,3,FALSE),0)+IF(AND(L1684="Cafco 300",J1684&gt;=95,J1684&lt;=450,G1684=4,C1684="IN",I1684=90),VLOOKUP(T1684,'CAFCO 300 IDIEM TABLAS'!$J$4:$L$40,2,FALSE),0)+IF(AND(L1684="Cafco 300",J1684&gt;=95,J1684&lt;=450,G1684=4,C1684="IN",I1684=120),VLOOKUP(T1684,'CAFCO 300 IDIEM TABLAS'!$J$4:$L$40,3,FALSE),0)+IF(AND(M1684="Ensayo Idiem",L1684="Cafco 400",C1684="IN",G1684=4,I1684=90),VLOOKUP(T1684,'CAFCO 400 ENSAYO'!$B$7:$D$43,2,FALSE),0)+IF(AND(M1684="Ensayo Idiem",L1684="Cafco 400",C1684="IN",G1684=4,I1684=120),VLOOKUP(T1684,'CAFCO 400 ENSAYO'!$B$7:$D$43,3,FALSE),0)</f>
        <v>0</v>
      </c>
      <c r="O1684" s="96">
        <f t="shared" si="168"/>
        <v>0</v>
      </c>
      <c r="P1684" s="95" t="str">
        <f t="shared" si="163"/>
        <v>N/A</v>
      </c>
      <c r="Q1684" s="95" t="str">
        <f t="shared" si="164"/>
        <v>N/A</v>
      </c>
      <c r="R1684" s="95" t="str">
        <f t="shared" si="165"/>
        <v>NO CERT.</v>
      </c>
      <c r="S1684" s="95" t="e">
        <f t="shared" si="166"/>
        <v>#N/A</v>
      </c>
      <c r="T1684" s="119" t="e">
        <f>+IF(J1684=LOOKUP(J1684,'CAFCO 300 IDIEM TABLAS'!$J$4:$J$40),'CALCULO MORTERO'!J1684,MROUND('CALCULO MORTERO'!J1684,10))</f>
        <v>#N/A</v>
      </c>
      <c r="U1684" s="118">
        <f t="shared" si="167"/>
        <v>0</v>
      </c>
    </row>
    <row r="1685" spans="1:21" x14ac:dyDescent="0.25">
      <c r="A1685" s="118">
        <f>+CUBICACION!D1679</f>
        <v>0</v>
      </c>
      <c r="B1685" s="819">
        <f>+CUBICACION!E1679</f>
        <v>0</v>
      </c>
      <c r="C1685" s="675">
        <f>+CUBICACION!F1679</f>
        <v>0</v>
      </c>
      <c r="D1685" s="118"/>
      <c r="E1685" s="118"/>
      <c r="F1685" s="820"/>
      <c r="G1685" s="675">
        <f>+CUBICACION!J1679</f>
        <v>0</v>
      </c>
      <c r="H1685" s="118"/>
      <c r="I1685" s="821">
        <f>+CUBICACION!L1679</f>
        <v>0</v>
      </c>
      <c r="J1685" s="64">
        <f>+CUBICACION!M1679</f>
        <v>0</v>
      </c>
      <c r="K1685" s="822">
        <f>+CUBICACION!N1679</f>
        <v>0</v>
      </c>
      <c r="L1685" s="118">
        <f>+CUBICACION!O1679</f>
        <v>0</v>
      </c>
      <c r="M1685" s="823">
        <f>+CUBICACION!P1679</f>
        <v>0</v>
      </c>
      <c r="N1685" s="902">
        <f>ROUND(IF(AND(L1685="Blaze Shield II",M1685="Software Idiem",C1685="IN",G1685=4),((('BLAZE SHIELD II'!$D$4*('CALCULO MORTERO'!I1685^2)+'BLAZE SHIELD II'!$D$5*'CALCULO MORTERO'!I1685+'BLAZE SHIELD II'!$D$6)*LN(J1685))+('BLAZE SHIELD II'!$D$7*('CALCULO MORTERO'!I1685^2)+'BLAZE SHIELD II'!$D$8*'CALCULO MORTERO'!I1685+'BLAZE SHIELD II'!$D$9)),0)+IF(AND(L1685="Blaze Shield II",M1685="Software Idiem",C1685="Cj"),((('BLAZE SHIELD II'!$H$4*('CALCULO MORTERO'!I1685^2)+'BLAZE SHIELD II'!$H$5*'CALCULO MORTERO'!I1685+'BLAZE SHIELD II'!$H$6)*LN(J1685))+('BLAZE SHIELD II'!$H$7*('CALCULO MORTERO'!I1685^2)+'BLAZE SHIELD II'!$H$8*'CALCULO MORTERO'!I1685+'BLAZE SHIELD II'!$H$9)),0)+IF(AND(L1685="Blaze Shield II",M1685="Software Idiem",C1685="C"),((('BLAZE SHIELD II'!$L$4*('CALCULO MORTERO'!I1685^2)+'BLAZE SHIELD II'!$L$5*'CALCULO MORTERO'!I1685+'BLAZE SHIELD II'!$L$6)*LN(J1685))+('BLAZE SHIELD II'!$L$7*('CALCULO MORTERO'!I1685^2)+'BLAZE SHIELD II'!$L$8*'CALCULO MORTERO'!I1685+'BLAZE SHIELD II'!$L$9)),0)+IF(AND(L1685="Blaze Shield II",M1685="Software Idiem",C1685="L"),((('BLAZE SHIELD II'!$L$4*('CALCULO MORTERO'!I1685^2)+'BLAZE SHIELD II'!$L$5*'CALCULO MORTERO'!I1685+'BLAZE SHIELD II'!$L$6)*LN(J1685))+('BLAZE SHIELD II'!$L$7*('CALCULO MORTERO'!I1685^2)+'BLAZE SHIELD II'!$L$8*'CALCULO MORTERO'!I1685+'BLAZE SHIELD II'!$L$9)),0)+IF(AND(L1685="Blaze Shield II",M1685="Software Idiem",C1685="IN",G1685=3),((('BLAZE SHIELD II'!$H$14*('CALCULO MORTERO'!I1685^2)+'BLAZE SHIELD II'!$H$15*'CALCULO MORTERO'!I1685+'BLAZE SHIELD II'!$H$16)*LN(J1685))+('BLAZE SHIELD II'!$H$17*('CALCULO MORTERO'!I1685^2)+'BLAZE SHIELD II'!$H$18*'CALCULO MORTERO'!I1685+'BLAZE SHIELD II'!$H$19)),0),0)+ROUND(IF(AND(L1685="Cafco 400",M1685="Software Idiem",C1685="IN",G1685=4),((('CAFCO 400 '!$H$7*(J1685^4)+'CAFCO 400 '!$H$8*(J1685^3)+'CAFCO 400 '!$H$9*(J1685^2)+'CAFCO 400 '!$H$10*J1685+'CAFCO 400 '!$H$11)*U1685^2)+(('CAFCO 400 '!$H$12*(J1685^3)+'CAFCO 400 '!$H$13*(J1685^2)+'CAFCO 400 '!$H$14*J1685+'CAFCO 400 '!$H$15)*U1685)+('CAFCO 400 '!$H$16*(J1685^2)+'CAFCO 400 '!$H$17*J1685+'CAFCO 400 '!$H$18)),0)+IF(AND(L1685="Cafco 400",M1685="Software Idiem",C1685="Cj"),(((('CAFCO 400 '!$D$7*LN(J1685)+'CAFCO 400 '!$D$8)*U1685^2)+(('CAFCO 400 '!$D$9*LN(J1685)+'CAFCO 400 '!$D$10)*U1685)+('CAFCO 400 '!$D$11*LN(J1685)+'CAFCO 400 '!$D$12))),0)+IF(AND(L1685="Cafco 400",M1685="Software Idiem",C1685="C"),((('CAFCO 400 '!$L$7*(J1685^3)+'CAFCO 400 '!$L$8*(J1685^2)+'CAFCO 400 '!$L$9*J1685+'CAFCO 400 '!$L$10)*U1685^2)+(('CAFCO 400 '!$L$11*(J1685^3)+'CAFCO 400 '!$L$12*(J1685^2)+'CAFCO 400 '!$L$13*J1685+'CAFCO 400 '!$L$14)*U1685)+('CAFCO 400 '!$L$15*LN(J1685)+'CAFCO 400 '!$L$16)),0)+IF(AND(L1685="Cafco 400",M1685="Software Idiem",C1685="L"),((('CAFCO 400 '!$L$7*(J1685^3)+'CAFCO 400 '!$L$8*(J1685^2)+'CAFCO 400 '!$L$9*J1685+'CAFCO 400 '!$L$10)*U1685^2)+(('CAFCO 400 '!$L$11*(J1685^3)+'CAFCO 400 '!$L$12*(J1685^2)+'CAFCO 400 '!$L$13*J1685+'CAFCO 400 '!$L$14)*U1685)+('CAFCO 400 '!$L$15*LN(J1685)+'CAFCO 400 '!$L$16)),0)+IF(AND(L1685="Cafco 400",M1685="Software Idiem",C1685="IN",G1685=3),((('CAFCO 400 '!$D$23*(J1685^2)+'CAFCO 400 '!$D$24*(J1685)+'CAFCO 400 '!$D$25)*U1685^2)+(('CAFCO 400 '!$D$26*(J1685^2)+'CAFCO 400 '!$D$27*J1685+'CAFCO 400 '!$D$28)*U1685)+('CAFCO 400 '!$D$29*(J1685^2)+'CAFCO 400 '!$D$30*J1685+'CAFCO 400 '!$D$31)),0),0)+IF(AND(L1685="Cafco 300",J1685&gt;=95,J1685&lt;=240,C1685="Cj",I1685=90),VLOOKUP(T1685,'CAFCO 300 IDIEM TABLAS'!$B$4:$D$23,2,FALSE),0)+IF(AND(L1685="Cafco 300",J1685&gt;=95,J1685&lt;=240,C1685="Cj",I1685=120),VLOOKUP(T1685,'CAFCO 300 IDIEM TABLAS'!$B$4:$D$23,3,FALSE),0)+IF(AND(L1685="Cafco 300",J1685&gt;=95,J1685&lt;=400,G1685=3,C1685="IN",I1685=90),VLOOKUP(T1685,'CAFCO 300 IDIEM TABLAS'!$F$4:$H$35,2,FALSE),0)+IF(AND(L1685="Cafco 300",J1685&gt;=95,J1685&lt;=400,G1685=3,C1685="IN",I1685=120),VLOOKUP(T1685,'CAFCO 300 IDIEM TABLAS'!$F$4:$H$35,3,FALSE),0)+IF(AND(L1685="Cafco 300",J1685&gt;=95,J1685&lt;=450,G1685=4,C1685="IN",I1685=90),VLOOKUP(T1685,'CAFCO 300 IDIEM TABLAS'!$J$4:$L$40,2,FALSE),0)+IF(AND(L1685="Cafco 300",J1685&gt;=95,J1685&lt;=450,G1685=4,C1685="IN",I1685=120),VLOOKUP(T1685,'CAFCO 300 IDIEM TABLAS'!$J$4:$L$40,3,FALSE),0)+IF(AND(M1685="Ensayo Idiem",L1685="Cafco 400",C1685="IN",G1685=4,I1685=90),VLOOKUP(T1685,'CAFCO 400 ENSAYO'!$B$7:$D$43,2,FALSE),0)+IF(AND(M1685="Ensayo Idiem",L1685="Cafco 400",C1685="IN",G1685=4,I1685=120),VLOOKUP(T1685,'CAFCO 400 ENSAYO'!$B$7:$D$43,3,FALSE),0)</f>
        <v>0</v>
      </c>
      <c r="O1685" s="96">
        <f t="shared" si="168"/>
        <v>0</v>
      </c>
      <c r="P1685" s="132" t="str">
        <f t="shared" si="163"/>
        <v>N/A</v>
      </c>
      <c r="Q1685" s="132" t="str">
        <f t="shared" si="164"/>
        <v>N/A</v>
      </c>
      <c r="R1685" s="132" t="str">
        <f t="shared" si="165"/>
        <v>NO CERT.</v>
      </c>
      <c r="S1685" s="132" t="e">
        <f t="shared" si="166"/>
        <v>#N/A</v>
      </c>
      <c r="T1685" s="133" t="e">
        <f>+IF(J1685=LOOKUP(J1685,'CAFCO 300 IDIEM TABLAS'!$J$4:$J$40),'CALCULO MORTERO'!J1685,MROUND('CALCULO MORTERO'!J1685,10))</f>
        <v>#N/A</v>
      </c>
      <c r="U1685" s="134">
        <f t="shared" si="167"/>
        <v>0</v>
      </c>
    </row>
    <row r="1686" spans="1:21" x14ac:dyDescent="0.25">
      <c r="A1686" s="118">
        <f>+CUBICACION!D1680</f>
        <v>0</v>
      </c>
      <c r="B1686" s="819">
        <f>+CUBICACION!E1680</f>
        <v>0</v>
      </c>
      <c r="C1686" s="675">
        <f>+CUBICACION!F1680</f>
        <v>0</v>
      </c>
      <c r="D1686" s="118"/>
      <c r="E1686" s="118"/>
      <c r="F1686" s="820"/>
      <c r="G1686" s="675">
        <f>+CUBICACION!J1680</f>
        <v>0</v>
      </c>
      <c r="H1686" s="118"/>
      <c r="I1686" s="821">
        <f>+CUBICACION!L1680</f>
        <v>0</v>
      </c>
      <c r="J1686" s="64">
        <f>+CUBICACION!M1680</f>
        <v>0</v>
      </c>
      <c r="K1686" s="822">
        <f>+CUBICACION!N1680</f>
        <v>0</v>
      </c>
      <c r="L1686" s="118">
        <f>+CUBICACION!O1680</f>
        <v>0</v>
      </c>
      <c r="M1686" s="823">
        <f>+CUBICACION!P1680</f>
        <v>0</v>
      </c>
      <c r="N1686" s="902">
        <f>ROUND(IF(AND(L1686="Blaze Shield II",M1686="Software Idiem",C1686="IN",G1686=4),((('BLAZE SHIELD II'!$D$4*('CALCULO MORTERO'!I1686^2)+'BLAZE SHIELD II'!$D$5*'CALCULO MORTERO'!I1686+'BLAZE SHIELD II'!$D$6)*LN(J1686))+('BLAZE SHIELD II'!$D$7*('CALCULO MORTERO'!I1686^2)+'BLAZE SHIELD II'!$D$8*'CALCULO MORTERO'!I1686+'BLAZE SHIELD II'!$D$9)),0)+IF(AND(L1686="Blaze Shield II",M1686="Software Idiem",C1686="Cj"),((('BLAZE SHIELD II'!$H$4*('CALCULO MORTERO'!I1686^2)+'BLAZE SHIELD II'!$H$5*'CALCULO MORTERO'!I1686+'BLAZE SHIELD II'!$H$6)*LN(J1686))+('BLAZE SHIELD II'!$H$7*('CALCULO MORTERO'!I1686^2)+'BLAZE SHIELD II'!$H$8*'CALCULO MORTERO'!I1686+'BLAZE SHIELD II'!$H$9)),0)+IF(AND(L1686="Blaze Shield II",M1686="Software Idiem",C1686="C"),((('BLAZE SHIELD II'!$L$4*('CALCULO MORTERO'!I1686^2)+'BLAZE SHIELD II'!$L$5*'CALCULO MORTERO'!I1686+'BLAZE SHIELD II'!$L$6)*LN(J1686))+('BLAZE SHIELD II'!$L$7*('CALCULO MORTERO'!I1686^2)+'BLAZE SHIELD II'!$L$8*'CALCULO MORTERO'!I1686+'BLAZE SHIELD II'!$L$9)),0)+IF(AND(L1686="Blaze Shield II",M1686="Software Idiem",C1686="L"),((('BLAZE SHIELD II'!$L$4*('CALCULO MORTERO'!I1686^2)+'BLAZE SHIELD II'!$L$5*'CALCULO MORTERO'!I1686+'BLAZE SHIELD II'!$L$6)*LN(J1686))+('BLAZE SHIELD II'!$L$7*('CALCULO MORTERO'!I1686^2)+'BLAZE SHIELD II'!$L$8*'CALCULO MORTERO'!I1686+'BLAZE SHIELD II'!$L$9)),0)+IF(AND(L1686="Blaze Shield II",M1686="Software Idiem",C1686="IN",G1686=3),((('BLAZE SHIELD II'!$H$14*('CALCULO MORTERO'!I1686^2)+'BLAZE SHIELD II'!$H$15*'CALCULO MORTERO'!I1686+'BLAZE SHIELD II'!$H$16)*LN(J1686))+('BLAZE SHIELD II'!$H$17*('CALCULO MORTERO'!I1686^2)+'BLAZE SHIELD II'!$H$18*'CALCULO MORTERO'!I1686+'BLAZE SHIELD II'!$H$19)),0),0)+ROUND(IF(AND(L1686="Cafco 400",M1686="Software Idiem",C1686="IN",G1686=4),((('CAFCO 400 '!$H$7*(J1686^4)+'CAFCO 400 '!$H$8*(J1686^3)+'CAFCO 400 '!$H$9*(J1686^2)+'CAFCO 400 '!$H$10*J1686+'CAFCO 400 '!$H$11)*U1686^2)+(('CAFCO 400 '!$H$12*(J1686^3)+'CAFCO 400 '!$H$13*(J1686^2)+'CAFCO 400 '!$H$14*J1686+'CAFCO 400 '!$H$15)*U1686)+('CAFCO 400 '!$H$16*(J1686^2)+'CAFCO 400 '!$H$17*J1686+'CAFCO 400 '!$H$18)),0)+IF(AND(L1686="Cafco 400",M1686="Software Idiem",C1686="Cj"),(((('CAFCO 400 '!$D$7*LN(J1686)+'CAFCO 400 '!$D$8)*U1686^2)+(('CAFCO 400 '!$D$9*LN(J1686)+'CAFCO 400 '!$D$10)*U1686)+('CAFCO 400 '!$D$11*LN(J1686)+'CAFCO 400 '!$D$12))),0)+IF(AND(L1686="Cafco 400",M1686="Software Idiem",C1686="C"),((('CAFCO 400 '!$L$7*(J1686^3)+'CAFCO 400 '!$L$8*(J1686^2)+'CAFCO 400 '!$L$9*J1686+'CAFCO 400 '!$L$10)*U1686^2)+(('CAFCO 400 '!$L$11*(J1686^3)+'CAFCO 400 '!$L$12*(J1686^2)+'CAFCO 400 '!$L$13*J1686+'CAFCO 400 '!$L$14)*U1686)+('CAFCO 400 '!$L$15*LN(J1686)+'CAFCO 400 '!$L$16)),0)+IF(AND(L1686="Cafco 400",M1686="Software Idiem",C1686="L"),((('CAFCO 400 '!$L$7*(J1686^3)+'CAFCO 400 '!$L$8*(J1686^2)+'CAFCO 400 '!$L$9*J1686+'CAFCO 400 '!$L$10)*U1686^2)+(('CAFCO 400 '!$L$11*(J1686^3)+'CAFCO 400 '!$L$12*(J1686^2)+'CAFCO 400 '!$L$13*J1686+'CAFCO 400 '!$L$14)*U1686)+('CAFCO 400 '!$L$15*LN(J1686)+'CAFCO 400 '!$L$16)),0)+IF(AND(L1686="Cafco 400",M1686="Software Idiem",C1686="IN",G1686=3),((('CAFCO 400 '!$D$23*(J1686^2)+'CAFCO 400 '!$D$24*(J1686)+'CAFCO 400 '!$D$25)*U1686^2)+(('CAFCO 400 '!$D$26*(J1686^2)+'CAFCO 400 '!$D$27*J1686+'CAFCO 400 '!$D$28)*U1686)+('CAFCO 400 '!$D$29*(J1686^2)+'CAFCO 400 '!$D$30*J1686+'CAFCO 400 '!$D$31)),0),0)+IF(AND(L1686="Cafco 300",J1686&gt;=95,J1686&lt;=240,C1686="Cj",I1686=90),VLOOKUP(T1686,'CAFCO 300 IDIEM TABLAS'!$B$4:$D$23,2,FALSE),0)+IF(AND(L1686="Cafco 300",J1686&gt;=95,J1686&lt;=240,C1686="Cj",I1686=120),VLOOKUP(T1686,'CAFCO 300 IDIEM TABLAS'!$B$4:$D$23,3,FALSE),0)+IF(AND(L1686="Cafco 300",J1686&gt;=95,J1686&lt;=400,G1686=3,C1686="IN",I1686=90),VLOOKUP(T1686,'CAFCO 300 IDIEM TABLAS'!$F$4:$H$35,2,FALSE),0)+IF(AND(L1686="Cafco 300",J1686&gt;=95,J1686&lt;=400,G1686=3,C1686="IN",I1686=120),VLOOKUP(T1686,'CAFCO 300 IDIEM TABLAS'!$F$4:$H$35,3,FALSE),0)+IF(AND(L1686="Cafco 300",J1686&gt;=95,J1686&lt;=450,G1686=4,C1686="IN",I1686=90),VLOOKUP(T1686,'CAFCO 300 IDIEM TABLAS'!$J$4:$L$40,2,FALSE),0)+IF(AND(L1686="Cafco 300",J1686&gt;=95,J1686&lt;=450,G1686=4,C1686="IN",I1686=120),VLOOKUP(T1686,'CAFCO 300 IDIEM TABLAS'!$J$4:$L$40,3,FALSE),0)+IF(AND(M1686="Ensayo Idiem",L1686="Cafco 400",C1686="IN",G1686=4,I1686=90),VLOOKUP(T1686,'CAFCO 400 ENSAYO'!$B$7:$D$43,2,FALSE),0)+IF(AND(M1686="Ensayo Idiem",L1686="Cafco 400",C1686="IN",G1686=4,I1686=120),VLOOKUP(T1686,'CAFCO 400 ENSAYO'!$B$7:$D$43,3,FALSE),0)</f>
        <v>0</v>
      </c>
      <c r="O1686" s="96">
        <f t="shared" si="168"/>
        <v>0</v>
      </c>
      <c r="P1686" s="95" t="str">
        <f t="shared" si="163"/>
        <v>N/A</v>
      </c>
      <c r="Q1686" s="95" t="str">
        <f t="shared" si="164"/>
        <v>N/A</v>
      </c>
      <c r="R1686" s="95" t="str">
        <f t="shared" si="165"/>
        <v>NO CERT.</v>
      </c>
      <c r="S1686" s="95" t="e">
        <f t="shared" si="166"/>
        <v>#N/A</v>
      </c>
      <c r="T1686" s="119" t="e">
        <f>+IF(J1686=LOOKUP(J1686,'CAFCO 300 IDIEM TABLAS'!$J$4:$J$40),'CALCULO MORTERO'!J1686,MROUND('CALCULO MORTERO'!J1686,10))</f>
        <v>#N/A</v>
      </c>
      <c r="U1686" s="118">
        <f t="shared" si="167"/>
        <v>0</v>
      </c>
    </row>
    <row r="1687" spans="1:21" x14ac:dyDescent="0.25">
      <c r="A1687" s="118">
        <f>+CUBICACION!D1681</f>
        <v>0</v>
      </c>
      <c r="B1687" s="819">
        <f>+CUBICACION!E1681</f>
        <v>0</v>
      </c>
      <c r="C1687" s="675">
        <f>+CUBICACION!F1681</f>
        <v>0</v>
      </c>
      <c r="D1687" s="118"/>
      <c r="E1687" s="118"/>
      <c r="F1687" s="820"/>
      <c r="G1687" s="675">
        <f>+CUBICACION!J1681</f>
        <v>0</v>
      </c>
      <c r="H1687" s="118"/>
      <c r="I1687" s="821">
        <f>+CUBICACION!L1681</f>
        <v>0</v>
      </c>
      <c r="J1687" s="64">
        <f>+CUBICACION!M1681</f>
        <v>0</v>
      </c>
      <c r="K1687" s="822">
        <f>+CUBICACION!N1681</f>
        <v>0</v>
      </c>
      <c r="L1687" s="118">
        <f>+CUBICACION!O1681</f>
        <v>0</v>
      </c>
      <c r="M1687" s="823">
        <f>+CUBICACION!P1681</f>
        <v>0</v>
      </c>
      <c r="N1687" s="902">
        <f>ROUND(IF(AND(L1687="Blaze Shield II",M1687="Software Idiem",C1687="IN",G1687=4),((('BLAZE SHIELD II'!$D$4*('CALCULO MORTERO'!I1687^2)+'BLAZE SHIELD II'!$D$5*'CALCULO MORTERO'!I1687+'BLAZE SHIELD II'!$D$6)*LN(J1687))+('BLAZE SHIELD II'!$D$7*('CALCULO MORTERO'!I1687^2)+'BLAZE SHIELD II'!$D$8*'CALCULO MORTERO'!I1687+'BLAZE SHIELD II'!$D$9)),0)+IF(AND(L1687="Blaze Shield II",M1687="Software Idiem",C1687="Cj"),((('BLAZE SHIELD II'!$H$4*('CALCULO MORTERO'!I1687^2)+'BLAZE SHIELD II'!$H$5*'CALCULO MORTERO'!I1687+'BLAZE SHIELD II'!$H$6)*LN(J1687))+('BLAZE SHIELD II'!$H$7*('CALCULO MORTERO'!I1687^2)+'BLAZE SHIELD II'!$H$8*'CALCULO MORTERO'!I1687+'BLAZE SHIELD II'!$H$9)),0)+IF(AND(L1687="Blaze Shield II",M1687="Software Idiem",C1687="C"),((('BLAZE SHIELD II'!$L$4*('CALCULO MORTERO'!I1687^2)+'BLAZE SHIELD II'!$L$5*'CALCULO MORTERO'!I1687+'BLAZE SHIELD II'!$L$6)*LN(J1687))+('BLAZE SHIELD II'!$L$7*('CALCULO MORTERO'!I1687^2)+'BLAZE SHIELD II'!$L$8*'CALCULO MORTERO'!I1687+'BLAZE SHIELD II'!$L$9)),0)+IF(AND(L1687="Blaze Shield II",M1687="Software Idiem",C1687="L"),((('BLAZE SHIELD II'!$L$4*('CALCULO MORTERO'!I1687^2)+'BLAZE SHIELD II'!$L$5*'CALCULO MORTERO'!I1687+'BLAZE SHIELD II'!$L$6)*LN(J1687))+('BLAZE SHIELD II'!$L$7*('CALCULO MORTERO'!I1687^2)+'BLAZE SHIELD II'!$L$8*'CALCULO MORTERO'!I1687+'BLAZE SHIELD II'!$L$9)),0)+IF(AND(L1687="Blaze Shield II",M1687="Software Idiem",C1687="IN",G1687=3),((('BLAZE SHIELD II'!$H$14*('CALCULO MORTERO'!I1687^2)+'BLAZE SHIELD II'!$H$15*'CALCULO MORTERO'!I1687+'BLAZE SHIELD II'!$H$16)*LN(J1687))+('BLAZE SHIELD II'!$H$17*('CALCULO MORTERO'!I1687^2)+'BLAZE SHIELD II'!$H$18*'CALCULO MORTERO'!I1687+'BLAZE SHIELD II'!$H$19)),0),0)+ROUND(IF(AND(L1687="Cafco 400",M1687="Software Idiem",C1687="IN",G1687=4),((('CAFCO 400 '!$H$7*(J1687^4)+'CAFCO 400 '!$H$8*(J1687^3)+'CAFCO 400 '!$H$9*(J1687^2)+'CAFCO 400 '!$H$10*J1687+'CAFCO 400 '!$H$11)*U1687^2)+(('CAFCO 400 '!$H$12*(J1687^3)+'CAFCO 400 '!$H$13*(J1687^2)+'CAFCO 400 '!$H$14*J1687+'CAFCO 400 '!$H$15)*U1687)+('CAFCO 400 '!$H$16*(J1687^2)+'CAFCO 400 '!$H$17*J1687+'CAFCO 400 '!$H$18)),0)+IF(AND(L1687="Cafco 400",M1687="Software Idiem",C1687="Cj"),(((('CAFCO 400 '!$D$7*LN(J1687)+'CAFCO 400 '!$D$8)*U1687^2)+(('CAFCO 400 '!$D$9*LN(J1687)+'CAFCO 400 '!$D$10)*U1687)+('CAFCO 400 '!$D$11*LN(J1687)+'CAFCO 400 '!$D$12))),0)+IF(AND(L1687="Cafco 400",M1687="Software Idiem",C1687="C"),((('CAFCO 400 '!$L$7*(J1687^3)+'CAFCO 400 '!$L$8*(J1687^2)+'CAFCO 400 '!$L$9*J1687+'CAFCO 400 '!$L$10)*U1687^2)+(('CAFCO 400 '!$L$11*(J1687^3)+'CAFCO 400 '!$L$12*(J1687^2)+'CAFCO 400 '!$L$13*J1687+'CAFCO 400 '!$L$14)*U1687)+('CAFCO 400 '!$L$15*LN(J1687)+'CAFCO 400 '!$L$16)),0)+IF(AND(L1687="Cafco 400",M1687="Software Idiem",C1687="L"),((('CAFCO 400 '!$L$7*(J1687^3)+'CAFCO 400 '!$L$8*(J1687^2)+'CAFCO 400 '!$L$9*J1687+'CAFCO 400 '!$L$10)*U1687^2)+(('CAFCO 400 '!$L$11*(J1687^3)+'CAFCO 400 '!$L$12*(J1687^2)+'CAFCO 400 '!$L$13*J1687+'CAFCO 400 '!$L$14)*U1687)+('CAFCO 400 '!$L$15*LN(J1687)+'CAFCO 400 '!$L$16)),0)+IF(AND(L1687="Cafco 400",M1687="Software Idiem",C1687="IN",G1687=3),((('CAFCO 400 '!$D$23*(J1687^2)+'CAFCO 400 '!$D$24*(J1687)+'CAFCO 400 '!$D$25)*U1687^2)+(('CAFCO 400 '!$D$26*(J1687^2)+'CAFCO 400 '!$D$27*J1687+'CAFCO 400 '!$D$28)*U1687)+('CAFCO 400 '!$D$29*(J1687^2)+'CAFCO 400 '!$D$30*J1687+'CAFCO 400 '!$D$31)),0),0)+IF(AND(L1687="Cafco 300",J1687&gt;=95,J1687&lt;=240,C1687="Cj",I1687=90),VLOOKUP(T1687,'CAFCO 300 IDIEM TABLAS'!$B$4:$D$23,2,FALSE),0)+IF(AND(L1687="Cafco 300",J1687&gt;=95,J1687&lt;=240,C1687="Cj",I1687=120),VLOOKUP(T1687,'CAFCO 300 IDIEM TABLAS'!$B$4:$D$23,3,FALSE),0)+IF(AND(L1687="Cafco 300",J1687&gt;=95,J1687&lt;=400,G1687=3,C1687="IN",I1687=90),VLOOKUP(T1687,'CAFCO 300 IDIEM TABLAS'!$F$4:$H$35,2,FALSE),0)+IF(AND(L1687="Cafco 300",J1687&gt;=95,J1687&lt;=400,G1687=3,C1687="IN",I1687=120),VLOOKUP(T1687,'CAFCO 300 IDIEM TABLAS'!$F$4:$H$35,3,FALSE),0)+IF(AND(L1687="Cafco 300",J1687&gt;=95,J1687&lt;=450,G1687=4,C1687="IN",I1687=90),VLOOKUP(T1687,'CAFCO 300 IDIEM TABLAS'!$J$4:$L$40,2,FALSE),0)+IF(AND(L1687="Cafco 300",J1687&gt;=95,J1687&lt;=450,G1687=4,C1687="IN",I1687=120),VLOOKUP(T1687,'CAFCO 300 IDIEM TABLAS'!$J$4:$L$40,3,FALSE),0)+IF(AND(M1687="Ensayo Idiem",L1687="Cafco 400",C1687="IN",G1687=4,I1687=90),VLOOKUP(T1687,'CAFCO 400 ENSAYO'!$B$7:$D$43,2,FALSE),0)+IF(AND(M1687="Ensayo Idiem",L1687="Cafco 400",C1687="IN",G1687=4,I1687=120),VLOOKUP(T1687,'CAFCO 400 ENSAYO'!$B$7:$D$43,3,FALSE),0)</f>
        <v>0</v>
      </c>
      <c r="O1687" s="96">
        <f t="shared" si="168"/>
        <v>0</v>
      </c>
      <c r="P1687" s="132" t="str">
        <f t="shared" si="163"/>
        <v>N/A</v>
      </c>
      <c r="Q1687" s="132" t="str">
        <f t="shared" si="164"/>
        <v>N/A</v>
      </c>
      <c r="R1687" s="132" t="str">
        <f t="shared" si="165"/>
        <v>NO CERT.</v>
      </c>
      <c r="S1687" s="132" t="e">
        <f t="shared" si="166"/>
        <v>#N/A</v>
      </c>
      <c r="T1687" s="133" t="e">
        <f>+IF(J1687=LOOKUP(J1687,'CAFCO 300 IDIEM TABLAS'!$J$4:$J$40),'CALCULO MORTERO'!J1687,MROUND('CALCULO MORTERO'!J1687,10))</f>
        <v>#N/A</v>
      </c>
      <c r="U1687" s="134">
        <f t="shared" si="167"/>
        <v>0</v>
      </c>
    </row>
    <row r="1688" spans="1:21" x14ac:dyDescent="0.25">
      <c r="A1688" s="118">
        <f>+CUBICACION!D1682</f>
        <v>0</v>
      </c>
      <c r="B1688" s="819">
        <f>+CUBICACION!E1682</f>
        <v>0</v>
      </c>
      <c r="C1688" s="675">
        <f>+CUBICACION!F1682</f>
        <v>0</v>
      </c>
      <c r="D1688" s="118"/>
      <c r="E1688" s="118"/>
      <c r="F1688" s="820"/>
      <c r="G1688" s="675">
        <f>+CUBICACION!J1682</f>
        <v>0</v>
      </c>
      <c r="H1688" s="118"/>
      <c r="I1688" s="821">
        <f>+CUBICACION!L1682</f>
        <v>0</v>
      </c>
      <c r="J1688" s="64">
        <f>+CUBICACION!M1682</f>
        <v>0</v>
      </c>
      <c r="K1688" s="822">
        <f>+CUBICACION!N1682</f>
        <v>0</v>
      </c>
      <c r="L1688" s="118">
        <f>+CUBICACION!O1682</f>
        <v>0</v>
      </c>
      <c r="M1688" s="823">
        <f>+CUBICACION!P1682</f>
        <v>0</v>
      </c>
      <c r="N1688" s="902">
        <f>ROUND(IF(AND(L1688="Blaze Shield II",M1688="Software Idiem",C1688="IN",G1688=4),((('BLAZE SHIELD II'!$D$4*('CALCULO MORTERO'!I1688^2)+'BLAZE SHIELD II'!$D$5*'CALCULO MORTERO'!I1688+'BLAZE SHIELD II'!$D$6)*LN(J1688))+('BLAZE SHIELD II'!$D$7*('CALCULO MORTERO'!I1688^2)+'BLAZE SHIELD II'!$D$8*'CALCULO MORTERO'!I1688+'BLAZE SHIELD II'!$D$9)),0)+IF(AND(L1688="Blaze Shield II",M1688="Software Idiem",C1688="Cj"),((('BLAZE SHIELD II'!$H$4*('CALCULO MORTERO'!I1688^2)+'BLAZE SHIELD II'!$H$5*'CALCULO MORTERO'!I1688+'BLAZE SHIELD II'!$H$6)*LN(J1688))+('BLAZE SHIELD II'!$H$7*('CALCULO MORTERO'!I1688^2)+'BLAZE SHIELD II'!$H$8*'CALCULO MORTERO'!I1688+'BLAZE SHIELD II'!$H$9)),0)+IF(AND(L1688="Blaze Shield II",M1688="Software Idiem",C1688="C"),((('BLAZE SHIELD II'!$L$4*('CALCULO MORTERO'!I1688^2)+'BLAZE SHIELD II'!$L$5*'CALCULO MORTERO'!I1688+'BLAZE SHIELD II'!$L$6)*LN(J1688))+('BLAZE SHIELD II'!$L$7*('CALCULO MORTERO'!I1688^2)+'BLAZE SHIELD II'!$L$8*'CALCULO MORTERO'!I1688+'BLAZE SHIELD II'!$L$9)),0)+IF(AND(L1688="Blaze Shield II",M1688="Software Idiem",C1688="L"),((('BLAZE SHIELD II'!$L$4*('CALCULO MORTERO'!I1688^2)+'BLAZE SHIELD II'!$L$5*'CALCULO MORTERO'!I1688+'BLAZE SHIELD II'!$L$6)*LN(J1688))+('BLAZE SHIELD II'!$L$7*('CALCULO MORTERO'!I1688^2)+'BLAZE SHIELD II'!$L$8*'CALCULO MORTERO'!I1688+'BLAZE SHIELD II'!$L$9)),0)+IF(AND(L1688="Blaze Shield II",M1688="Software Idiem",C1688="IN",G1688=3),((('BLAZE SHIELD II'!$H$14*('CALCULO MORTERO'!I1688^2)+'BLAZE SHIELD II'!$H$15*'CALCULO MORTERO'!I1688+'BLAZE SHIELD II'!$H$16)*LN(J1688))+('BLAZE SHIELD II'!$H$17*('CALCULO MORTERO'!I1688^2)+'BLAZE SHIELD II'!$H$18*'CALCULO MORTERO'!I1688+'BLAZE SHIELD II'!$H$19)),0),0)+ROUND(IF(AND(L1688="Cafco 400",M1688="Software Idiem",C1688="IN",G1688=4),((('CAFCO 400 '!$H$7*(J1688^4)+'CAFCO 400 '!$H$8*(J1688^3)+'CAFCO 400 '!$H$9*(J1688^2)+'CAFCO 400 '!$H$10*J1688+'CAFCO 400 '!$H$11)*U1688^2)+(('CAFCO 400 '!$H$12*(J1688^3)+'CAFCO 400 '!$H$13*(J1688^2)+'CAFCO 400 '!$H$14*J1688+'CAFCO 400 '!$H$15)*U1688)+('CAFCO 400 '!$H$16*(J1688^2)+'CAFCO 400 '!$H$17*J1688+'CAFCO 400 '!$H$18)),0)+IF(AND(L1688="Cafco 400",M1688="Software Idiem",C1688="Cj"),(((('CAFCO 400 '!$D$7*LN(J1688)+'CAFCO 400 '!$D$8)*U1688^2)+(('CAFCO 400 '!$D$9*LN(J1688)+'CAFCO 400 '!$D$10)*U1688)+('CAFCO 400 '!$D$11*LN(J1688)+'CAFCO 400 '!$D$12))),0)+IF(AND(L1688="Cafco 400",M1688="Software Idiem",C1688="C"),((('CAFCO 400 '!$L$7*(J1688^3)+'CAFCO 400 '!$L$8*(J1688^2)+'CAFCO 400 '!$L$9*J1688+'CAFCO 400 '!$L$10)*U1688^2)+(('CAFCO 400 '!$L$11*(J1688^3)+'CAFCO 400 '!$L$12*(J1688^2)+'CAFCO 400 '!$L$13*J1688+'CAFCO 400 '!$L$14)*U1688)+('CAFCO 400 '!$L$15*LN(J1688)+'CAFCO 400 '!$L$16)),0)+IF(AND(L1688="Cafco 400",M1688="Software Idiem",C1688="L"),((('CAFCO 400 '!$L$7*(J1688^3)+'CAFCO 400 '!$L$8*(J1688^2)+'CAFCO 400 '!$L$9*J1688+'CAFCO 400 '!$L$10)*U1688^2)+(('CAFCO 400 '!$L$11*(J1688^3)+'CAFCO 400 '!$L$12*(J1688^2)+'CAFCO 400 '!$L$13*J1688+'CAFCO 400 '!$L$14)*U1688)+('CAFCO 400 '!$L$15*LN(J1688)+'CAFCO 400 '!$L$16)),0)+IF(AND(L1688="Cafco 400",M1688="Software Idiem",C1688="IN",G1688=3),((('CAFCO 400 '!$D$23*(J1688^2)+'CAFCO 400 '!$D$24*(J1688)+'CAFCO 400 '!$D$25)*U1688^2)+(('CAFCO 400 '!$D$26*(J1688^2)+'CAFCO 400 '!$D$27*J1688+'CAFCO 400 '!$D$28)*U1688)+('CAFCO 400 '!$D$29*(J1688^2)+'CAFCO 400 '!$D$30*J1688+'CAFCO 400 '!$D$31)),0),0)+IF(AND(L1688="Cafco 300",J1688&gt;=95,J1688&lt;=240,C1688="Cj",I1688=90),VLOOKUP(T1688,'CAFCO 300 IDIEM TABLAS'!$B$4:$D$23,2,FALSE),0)+IF(AND(L1688="Cafco 300",J1688&gt;=95,J1688&lt;=240,C1688="Cj",I1688=120),VLOOKUP(T1688,'CAFCO 300 IDIEM TABLAS'!$B$4:$D$23,3,FALSE),0)+IF(AND(L1688="Cafco 300",J1688&gt;=95,J1688&lt;=400,G1688=3,C1688="IN",I1688=90),VLOOKUP(T1688,'CAFCO 300 IDIEM TABLAS'!$F$4:$H$35,2,FALSE),0)+IF(AND(L1688="Cafco 300",J1688&gt;=95,J1688&lt;=400,G1688=3,C1688="IN",I1688=120),VLOOKUP(T1688,'CAFCO 300 IDIEM TABLAS'!$F$4:$H$35,3,FALSE),0)+IF(AND(L1688="Cafco 300",J1688&gt;=95,J1688&lt;=450,G1688=4,C1688="IN",I1688=90),VLOOKUP(T1688,'CAFCO 300 IDIEM TABLAS'!$J$4:$L$40,2,FALSE),0)+IF(AND(L1688="Cafco 300",J1688&gt;=95,J1688&lt;=450,G1688=4,C1688="IN",I1688=120),VLOOKUP(T1688,'CAFCO 300 IDIEM TABLAS'!$J$4:$L$40,3,FALSE),0)+IF(AND(M1688="Ensayo Idiem",L1688="Cafco 400",C1688="IN",G1688=4,I1688=90),VLOOKUP(T1688,'CAFCO 400 ENSAYO'!$B$7:$D$43,2,FALSE),0)+IF(AND(M1688="Ensayo Idiem",L1688="Cafco 400",C1688="IN",G1688=4,I1688=120),VLOOKUP(T1688,'CAFCO 400 ENSAYO'!$B$7:$D$43,3,FALSE),0)</f>
        <v>0</v>
      </c>
      <c r="O1688" s="96">
        <f t="shared" si="168"/>
        <v>0</v>
      </c>
      <c r="P1688" s="95" t="str">
        <f t="shared" si="163"/>
        <v>N/A</v>
      </c>
      <c r="Q1688" s="95" t="str">
        <f t="shared" si="164"/>
        <v>N/A</v>
      </c>
      <c r="R1688" s="95" t="str">
        <f t="shared" si="165"/>
        <v>NO CERT.</v>
      </c>
      <c r="S1688" s="95" t="e">
        <f t="shared" si="166"/>
        <v>#N/A</v>
      </c>
      <c r="T1688" s="119" t="e">
        <f>+IF(J1688=LOOKUP(J1688,'CAFCO 300 IDIEM TABLAS'!$J$4:$J$40),'CALCULO MORTERO'!J1688,MROUND('CALCULO MORTERO'!J1688,10))</f>
        <v>#N/A</v>
      </c>
      <c r="U1688" s="118">
        <f t="shared" si="167"/>
        <v>0</v>
      </c>
    </row>
    <row r="1689" spans="1:21" x14ac:dyDescent="0.25">
      <c r="A1689" s="118">
        <f>+CUBICACION!D1683</f>
        <v>0</v>
      </c>
      <c r="B1689" s="819">
        <f>+CUBICACION!E1683</f>
        <v>0</v>
      </c>
      <c r="C1689" s="675">
        <f>+CUBICACION!F1683</f>
        <v>0</v>
      </c>
      <c r="D1689" s="118"/>
      <c r="E1689" s="118"/>
      <c r="F1689" s="820"/>
      <c r="G1689" s="675">
        <f>+CUBICACION!J1683</f>
        <v>0</v>
      </c>
      <c r="H1689" s="118"/>
      <c r="I1689" s="821">
        <f>+CUBICACION!L1683</f>
        <v>0</v>
      </c>
      <c r="J1689" s="64">
        <f>+CUBICACION!M1683</f>
        <v>0</v>
      </c>
      <c r="K1689" s="822">
        <f>+CUBICACION!N1683</f>
        <v>0</v>
      </c>
      <c r="L1689" s="118">
        <f>+CUBICACION!O1683</f>
        <v>0</v>
      </c>
      <c r="M1689" s="823">
        <f>+CUBICACION!P1683</f>
        <v>0</v>
      </c>
      <c r="N1689" s="902">
        <f>ROUND(IF(AND(L1689="Blaze Shield II",M1689="Software Idiem",C1689="IN",G1689=4),((('BLAZE SHIELD II'!$D$4*('CALCULO MORTERO'!I1689^2)+'BLAZE SHIELD II'!$D$5*'CALCULO MORTERO'!I1689+'BLAZE SHIELD II'!$D$6)*LN(J1689))+('BLAZE SHIELD II'!$D$7*('CALCULO MORTERO'!I1689^2)+'BLAZE SHIELD II'!$D$8*'CALCULO MORTERO'!I1689+'BLAZE SHIELD II'!$D$9)),0)+IF(AND(L1689="Blaze Shield II",M1689="Software Idiem",C1689="Cj"),((('BLAZE SHIELD II'!$H$4*('CALCULO MORTERO'!I1689^2)+'BLAZE SHIELD II'!$H$5*'CALCULO MORTERO'!I1689+'BLAZE SHIELD II'!$H$6)*LN(J1689))+('BLAZE SHIELD II'!$H$7*('CALCULO MORTERO'!I1689^2)+'BLAZE SHIELD II'!$H$8*'CALCULO MORTERO'!I1689+'BLAZE SHIELD II'!$H$9)),0)+IF(AND(L1689="Blaze Shield II",M1689="Software Idiem",C1689="C"),((('BLAZE SHIELD II'!$L$4*('CALCULO MORTERO'!I1689^2)+'BLAZE SHIELD II'!$L$5*'CALCULO MORTERO'!I1689+'BLAZE SHIELD II'!$L$6)*LN(J1689))+('BLAZE SHIELD II'!$L$7*('CALCULO MORTERO'!I1689^2)+'BLAZE SHIELD II'!$L$8*'CALCULO MORTERO'!I1689+'BLAZE SHIELD II'!$L$9)),0)+IF(AND(L1689="Blaze Shield II",M1689="Software Idiem",C1689="L"),((('BLAZE SHIELD II'!$L$4*('CALCULO MORTERO'!I1689^2)+'BLAZE SHIELD II'!$L$5*'CALCULO MORTERO'!I1689+'BLAZE SHIELD II'!$L$6)*LN(J1689))+('BLAZE SHIELD II'!$L$7*('CALCULO MORTERO'!I1689^2)+'BLAZE SHIELD II'!$L$8*'CALCULO MORTERO'!I1689+'BLAZE SHIELD II'!$L$9)),0)+IF(AND(L1689="Blaze Shield II",M1689="Software Idiem",C1689="IN",G1689=3),((('BLAZE SHIELD II'!$H$14*('CALCULO MORTERO'!I1689^2)+'BLAZE SHIELD II'!$H$15*'CALCULO MORTERO'!I1689+'BLAZE SHIELD II'!$H$16)*LN(J1689))+('BLAZE SHIELD II'!$H$17*('CALCULO MORTERO'!I1689^2)+'BLAZE SHIELD II'!$H$18*'CALCULO MORTERO'!I1689+'BLAZE SHIELD II'!$H$19)),0),0)+ROUND(IF(AND(L1689="Cafco 400",M1689="Software Idiem",C1689="IN",G1689=4),((('CAFCO 400 '!$H$7*(J1689^4)+'CAFCO 400 '!$H$8*(J1689^3)+'CAFCO 400 '!$H$9*(J1689^2)+'CAFCO 400 '!$H$10*J1689+'CAFCO 400 '!$H$11)*U1689^2)+(('CAFCO 400 '!$H$12*(J1689^3)+'CAFCO 400 '!$H$13*(J1689^2)+'CAFCO 400 '!$H$14*J1689+'CAFCO 400 '!$H$15)*U1689)+('CAFCO 400 '!$H$16*(J1689^2)+'CAFCO 400 '!$H$17*J1689+'CAFCO 400 '!$H$18)),0)+IF(AND(L1689="Cafco 400",M1689="Software Idiem",C1689="Cj"),(((('CAFCO 400 '!$D$7*LN(J1689)+'CAFCO 400 '!$D$8)*U1689^2)+(('CAFCO 400 '!$D$9*LN(J1689)+'CAFCO 400 '!$D$10)*U1689)+('CAFCO 400 '!$D$11*LN(J1689)+'CAFCO 400 '!$D$12))),0)+IF(AND(L1689="Cafco 400",M1689="Software Idiem",C1689="C"),((('CAFCO 400 '!$L$7*(J1689^3)+'CAFCO 400 '!$L$8*(J1689^2)+'CAFCO 400 '!$L$9*J1689+'CAFCO 400 '!$L$10)*U1689^2)+(('CAFCO 400 '!$L$11*(J1689^3)+'CAFCO 400 '!$L$12*(J1689^2)+'CAFCO 400 '!$L$13*J1689+'CAFCO 400 '!$L$14)*U1689)+('CAFCO 400 '!$L$15*LN(J1689)+'CAFCO 400 '!$L$16)),0)+IF(AND(L1689="Cafco 400",M1689="Software Idiem",C1689="L"),((('CAFCO 400 '!$L$7*(J1689^3)+'CAFCO 400 '!$L$8*(J1689^2)+'CAFCO 400 '!$L$9*J1689+'CAFCO 400 '!$L$10)*U1689^2)+(('CAFCO 400 '!$L$11*(J1689^3)+'CAFCO 400 '!$L$12*(J1689^2)+'CAFCO 400 '!$L$13*J1689+'CAFCO 400 '!$L$14)*U1689)+('CAFCO 400 '!$L$15*LN(J1689)+'CAFCO 400 '!$L$16)),0)+IF(AND(L1689="Cafco 400",M1689="Software Idiem",C1689="IN",G1689=3),((('CAFCO 400 '!$D$23*(J1689^2)+'CAFCO 400 '!$D$24*(J1689)+'CAFCO 400 '!$D$25)*U1689^2)+(('CAFCO 400 '!$D$26*(J1689^2)+'CAFCO 400 '!$D$27*J1689+'CAFCO 400 '!$D$28)*U1689)+('CAFCO 400 '!$D$29*(J1689^2)+'CAFCO 400 '!$D$30*J1689+'CAFCO 400 '!$D$31)),0),0)+IF(AND(L1689="Cafco 300",J1689&gt;=95,J1689&lt;=240,C1689="Cj",I1689=90),VLOOKUP(T1689,'CAFCO 300 IDIEM TABLAS'!$B$4:$D$23,2,FALSE),0)+IF(AND(L1689="Cafco 300",J1689&gt;=95,J1689&lt;=240,C1689="Cj",I1689=120),VLOOKUP(T1689,'CAFCO 300 IDIEM TABLAS'!$B$4:$D$23,3,FALSE),0)+IF(AND(L1689="Cafco 300",J1689&gt;=95,J1689&lt;=400,G1689=3,C1689="IN",I1689=90),VLOOKUP(T1689,'CAFCO 300 IDIEM TABLAS'!$F$4:$H$35,2,FALSE),0)+IF(AND(L1689="Cafco 300",J1689&gt;=95,J1689&lt;=400,G1689=3,C1689="IN",I1689=120),VLOOKUP(T1689,'CAFCO 300 IDIEM TABLAS'!$F$4:$H$35,3,FALSE),0)+IF(AND(L1689="Cafco 300",J1689&gt;=95,J1689&lt;=450,G1689=4,C1689="IN",I1689=90),VLOOKUP(T1689,'CAFCO 300 IDIEM TABLAS'!$J$4:$L$40,2,FALSE),0)+IF(AND(L1689="Cafco 300",J1689&gt;=95,J1689&lt;=450,G1689=4,C1689="IN",I1689=120),VLOOKUP(T1689,'CAFCO 300 IDIEM TABLAS'!$J$4:$L$40,3,FALSE),0)+IF(AND(M1689="Ensayo Idiem",L1689="Cafco 400",C1689="IN",G1689=4,I1689=90),VLOOKUP(T1689,'CAFCO 400 ENSAYO'!$B$7:$D$43,2,FALSE),0)+IF(AND(M1689="Ensayo Idiem",L1689="Cafco 400",C1689="IN",G1689=4,I1689=120),VLOOKUP(T1689,'CAFCO 400 ENSAYO'!$B$7:$D$43,3,FALSE),0)</f>
        <v>0</v>
      </c>
      <c r="O1689" s="96">
        <f t="shared" si="168"/>
        <v>0</v>
      </c>
      <c r="P1689" s="132" t="str">
        <f t="shared" si="163"/>
        <v>N/A</v>
      </c>
      <c r="Q1689" s="132" t="str">
        <f t="shared" si="164"/>
        <v>N/A</v>
      </c>
      <c r="R1689" s="132" t="str">
        <f t="shared" si="165"/>
        <v>NO CERT.</v>
      </c>
      <c r="S1689" s="132" t="e">
        <f t="shared" si="166"/>
        <v>#N/A</v>
      </c>
      <c r="T1689" s="133" t="e">
        <f>+IF(J1689=LOOKUP(J1689,'CAFCO 300 IDIEM TABLAS'!$J$4:$J$40),'CALCULO MORTERO'!J1689,MROUND('CALCULO MORTERO'!J1689,10))</f>
        <v>#N/A</v>
      </c>
      <c r="U1689" s="134">
        <f t="shared" si="167"/>
        <v>0</v>
      </c>
    </row>
    <row r="1690" spans="1:21" x14ac:dyDescent="0.25">
      <c r="A1690" s="118">
        <f>+CUBICACION!D1684</f>
        <v>0</v>
      </c>
      <c r="B1690" s="819">
        <f>+CUBICACION!E1684</f>
        <v>0</v>
      </c>
      <c r="C1690" s="675">
        <f>+CUBICACION!F1684</f>
        <v>0</v>
      </c>
      <c r="D1690" s="118"/>
      <c r="E1690" s="118"/>
      <c r="F1690" s="820"/>
      <c r="G1690" s="675">
        <f>+CUBICACION!J1684</f>
        <v>0</v>
      </c>
      <c r="H1690" s="118"/>
      <c r="I1690" s="821">
        <f>+CUBICACION!L1684</f>
        <v>0</v>
      </c>
      <c r="J1690" s="64">
        <f>+CUBICACION!M1684</f>
        <v>0</v>
      </c>
      <c r="K1690" s="822">
        <f>+CUBICACION!N1684</f>
        <v>0</v>
      </c>
      <c r="L1690" s="118">
        <f>+CUBICACION!O1684</f>
        <v>0</v>
      </c>
      <c r="M1690" s="823">
        <f>+CUBICACION!P1684</f>
        <v>0</v>
      </c>
      <c r="N1690" s="902">
        <f>ROUND(IF(AND(L1690="Blaze Shield II",M1690="Software Idiem",C1690="IN",G1690=4),((('BLAZE SHIELD II'!$D$4*('CALCULO MORTERO'!I1690^2)+'BLAZE SHIELD II'!$D$5*'CALCULO MORTERO'!I1690+'BLAZE SHIELD II'!$D$6)*LN(J1690))+('BLAZE SHIELD II'!$D$7*('CALCULO MORTERO'!I1690^2)+'BLAZE SHIELD II'!$D$8*'CALCULO MORTERO'!I1690+'BLAZE SHIELD II'!$D$9)),0)+IF(AND(L1690="Blaze Shield II",M1690="Software Idiem",C1690="Cj"),((('BLAZE SHIELD II'!$H$4*('CALCULO MORTERO'!I1690^2)+'BLAZE SHIELD II'!$H$5*'CALCULO MORTERO'!I1690+'BLAZE SHIELD II'!$H$6)*LN(J1690))+('BLAZE SHIELD II'!$H$7*('CALCULO MORTERO'!I1690^2)+'BLAZE SHIELD II'!$H$8*'CALCULO MORTERO'!I1690+'BLAZE SHIELD II'!$H$9)),0)+IF(AND(L1690="Blaze Shield II",M1690="Software Idiem",C1690="C"),((('BLAZE SHIELD II'!$L$4*('CALCULO MORTERO'!I1690^2)+'BLAZE SHIELD II'!$L$5*'CALCULO MORTERO'!I1690+'BLAZE SHIELD II'!$L$6)*LN(J1690))+('BLAZE SHIELD II'!$L$7*('CALCULO MORTERO'!I1690^2)+'BLAZE SHIELD II'!$L$8*'CALCULO MORTERO'!I1690+'BLAZE SHIELD II'!$L$9)),0)+IF(AND(L1690="Blaze Shield II",M1690="Software Idiem",C1690="L"),((('BLAZE SHIELD II'!$L$4*('CALCULO MORTERO'!I1690^2)+'BLAZE SHIELD II'!$L$5*'CALCULO MORTERO'!I1690+'BLAZE SHIELD II'!$L$6)*LN(J1690))+('BLAZE SHIELD II'!$L$7*('CALCULO MORTERO'!I1690^2)+'BLAZE SHIELD II'!$L$8*'CALCULO MORTERO'!I1690+'BLAZE SHIELD II'!$L$9)),0)+IF(AND(L1690="Blaze Shield II",M1690="Software Idiem",C1690="IN",G1690=3),((('BLAZE SHIELD II'!$H$14*('CALCULO MORTERO'!I1690^2)+'BLAZE SHIELD II'!$H$15*'CALCULO MORTERO'!I1690+'BLAZE SHIELD II'!$H$16)*LN(J1690))+('BLAZE SHIELD II'!$H$17*('CALCULO MORTERO'!I1690^2)+'BLAZE SHIELD II'!$H$18*'CALCULO MORTERO'!I1690+'BLAZE SHIELD II'!$H$19)),0),0)+ROUND(IF(AND(L1690="Cafco 400",M1690="Software Idiem",C1690="IN",G1690=4),((('CAFCO 400 '!$H$7*(J1690^4)+'CAFCO 400 '!$H$8*(J1690^3)+'CAFCO 400 '!$H$9*(J1690^2)+'CAFCO 400 '!$H$10*J1690+'CAFCO 400 '!$H$11)*U1690^2)+(('CAFCO 400 '!$H$12*(J1690^3)+'CAFCO 400 '!$H$13*(J1690^2)+'CAFCO 400 '!$H$14*J1690+'CAFCO 400 '!$H$15)*U1690)+('CAFCO 400 '!$H$16*(J1690^2)+'CAFCO 400 '!$H$17*J1690+'CAFCO 400 '!$H$18)),0)+IF(AND(L1690="Cafco 400",M1690="Software Idiem",C1690="Cj"),(((('CAFCO 400 '!$D$7*LN(J1690)+'CAFCO 400 '!$D$8)*U1690^2)+(('CAFCO 400 '!$D$9*LN(J1690)+'CAFCO 400 '!$D$10)*U1690)+('CAFCO 400 '!$D$11*LN(J1690)+'CAFCO 400 '!$D$12))),0)+IF(AND(L1690="Cafco 400",M1690="Software Idiem",C1690="C"),((('CAFCO 400 '!$L$7*(J1690^3)+'CAFCO 400 '!$L$8*(J1690^2)+'CAFCO 400 '!$L$9*J1690+'CAFCO 400 '!$L$10)*U1690^2)+(('CAFCO 400 '!$L$11*(J1690^3)+'CAFCO 400 '!$L$12*(J1690^2)+'CAFCO 400 '!$L$13*J1690+'CAFCO 400 '!$L$14)*U1690)+('CAFCO 400 '!$L$15*LN(J1690)+'CAFCO 400 '!$L$16)),0)+IF(AND(L1690="Cafco 400",M1690="Software Idiem",C1690="L"),((('CAFCO 400 '!$L$7*(J1690^3)+'CAFCO 400 '!$L$8*(J1690^2)+'CAFCO 400 '!$L$9*J1690+'CAFCO 400 '!$L$10)*U1690^2)+(('CAFCO 400 '!$L$11*(J1690^3)+'CAFCO 400 '!$L$12*(J1690^2)+'CAFCO 400 '!$L$13*J1690+'CAFCO 400 '!$L$14)*U1690)+('CAFCO 400 '!$L$15*LN(J1690)+'CAFCO 400 '!$L$16)),0)+IF(AND(L1690="Cafco 400",M1690="Software Idiem",C1690="IN",G1690=3),((('CAFCO 400 '!$D$23*(J1690^2)+'CAFCO 400 '!$D$24*(J1690)+'CAFCO 400 '!$D$25)*U1690^2)+(('CAFCO 400 '!$D$26*(J1690^2)+'CAFCO 400 '!$D$27*J1690+'CAFCO 400 '!$D$28)*U1690)+('CAFCO 400 '!$D$29*(J1690^2)+'CAFCO 400 '!$D$30*J1690+'CAFCO 400 '!$D$31)),0),0)+IF(AND(L1690="Cafco 300",J1690&gt;=95,J1690&lt;=240,C1690="Cj",I1690=90),VLOOKUP(T1690,'CAFCO 300 IDIEM TABLAS'!$B$4:$D$23,2,FALSE),0)+IF(AND(L1690="Cafco 300",J1690&gt;=95,J1690&lt;=240,C1690="Cj",I1690=120),VLOOKUP(T1690,'CAFCO 300 IDIEM TABLAS'!$B$4:$D$23,3,FALSE),0)+IF(AND(L1690="Cafco 300",J1690&gt;=95,J1690&lt;=400,G1690=3,C1690="IN",I1690=90),VLOOKUP(T1690,'CAFCO 300 IDIEM TABLAS'!$F$4:$H$35,2,FALSE),0)+IF(AND(L1690="Cafco 300",J1690&gt;=95,J1690&lt;=400,G1690=3,C1690="IN",I1690=120),VLOOKUP(T1690,'CAFCO 300 IDIEM TABLAS'!$F$4:$H$35,3,FALSE),0)+IF(AND(L1690="Cafco 300",J1690&gt;=95,J1690&lt;=450,G1690=4,C1690="IN",I1690=90),VLOOKUP(T1690,'CAFCO 300 IDIEM TABLAS'!$J$4:$L$40,2,FALSE),0)+IF(AND(L1690="Cafco 300",J1690&gt;=95,J1690&lt;=450,G1690=4,C1690="IN",I1690=120),VLOOKUP(T1690,'CAFCO 300 IDIEM TABLAS'!$J$4:$L$40,3,FALSE),0)+IF(AND(M1690="Ensayo Idiem",L1690="Cafco 400",C1690="IN",G1690=4,I1690=90),VLOOKUP(T1690,'CAFCO 400 ENSAYO'!$B$7:$D$43,2,FALSE),0)+IF(AND(M1690="Ensayo Idiem",L1690="Cafco 400",C1690="IN",G1690=4,I1690=120),VLOOKUP(T1690,'CAFCO 400 ENSAYO'!$B$7:$D$43,3,FALSE),0)</f>
        <v>0</v>
      </c>
      <c r="O1690" s="96">
        <f t="shared" si="168"/>
        <v>0</v>
      </c>
      <c r="P1690" s="95" t="str">
        <f t="shared" si="163"/>
        <v>N/A</v>
      </c>
      <c r="Q1690" s="95" t="str">
        <f t="shared" si="164"/>
        <v>N/A</v>
      </c>
      <c r="R1690" s="95" t="str">
        <f t="shared" si="165"/>
        <v>NO CERT.</v>
      </c>
      <c r="S1690" s="95" t="e">
        <f t="shared" si="166"/>
        <v>#N/A</v>
      </c>
      <c r="T1690" s="119" t="e">
        <f>+IF(J1690=LOOKUP(J1690,'CAFCO 300 IDIEM TABLAS'!$J$4:$J$40),'CALCULO MORTERO'!J1690,MROUND('CALCULO MORTERO'!J1690,10))</f>
        <v>#N/A</v>
      </c>
      <c r="U1690" s="118">
        <f t="shared" si="167"/>
        <v>0</v>
      </c>
    </row>
    <row r="1691" spans="1:21" x14ac:dyDescent="0.25">
      <c r="A1691" s="118">
        <f>+CUBICACION!D1685</f>
        <v>0</v>
      </c>
      <c r="B1691" s="819">
        <f>+CUBICACION!E1685</f>
        <v>0</v>
      </c>
      <c r="C1691" s="675">
        <f>+CUBICACION!F1685</f>
        <v>0</v>
      </c>
      <c r="D1691" s="118"/>
      <c r="E1691" s="118"/>
      <c r="F1691" s="820"/>
      <c r="G1691" s="675">
        <f>+CUBICACION!J1685</f>
        <v>0</v>
      </c>
      <c r="H1691" s="118"/>
      <c r="I1691" s="821">
        <f>+CUBICACION!L1685</f>
        <v>0</v>
      </c>
      <c r="J1691" s="64">
        <f>+CUBICACION!M1685</f>
        <v>0</v>
      </c>
      <c r="K1691" s="822">
        <f>+CUBICACION!N1685</f>
        <v>0</v>
      </c>
      <c r="L1691" s="118">
        <f>+CUBICACION!O1685</f>
        <v>0</v>
      </c>
      <c r="M1691" s="823">
        <f>+CUBICACION!P1685</f>
        <v>0</v>
      </c>
      <c r="N1691" s="902">
        <f>ROUND(IF(AND(L1691="Blaze Shield II",M1691="Software Idiem",C1691="IN",G1691=4),((('BLAZE SHIELD II'!$D$4*('CALCULO MORTERO'!I1691^2)+'BLAZE SHIELD II'!$D$5*'CALCULO MORTERO'!I1691+'BLAZE SHIELD II'!$D$6)*LN(J1691))+('BLAZE SHIELD II'!$D$7*('CALCULO MORTERO'!I1691^2)+'BLAZE SHIELD II'!$D$8*'CALCULO MORTERO'!I1691+'BLAZE SHIELD II'!$D$9)),0)+IF(AND(L1691="Blaze Shield II",M1691="Software Idiem",C1691="Cj"),((('BLAZE SHIELD II'!$H$4*('CALCULO MORTERO'!I1691^2)+'BLAZE SHIELD II'!$H$5*'CALCULO MORTERO'!I1691+'BLAZE SHIELD II'!$H$6)*LN(J1691))+('BLAZE SHIELD II'!$H$7*('CALCULO MORTERO'!I1691^2)+'BLAZE SHIELD II'!$H$8*'CALCULO MORTERO'!I1691+'BLAZE SHIELD II'!$H$9)),0)+IF(AND(L1691="Blaze Shield II",M1691="Software Idiem",C1691="C"),((('BLAZE SHIELD II'!$L$4*('CALCULO MORTERO'!I1691^2)+'BLAZE SHIELD II'!$L$5*'CALCULO MORTERO'!I1691+'BLAZE SHIELD II'!$L$6)*LN(J1691))+('BLAZE SHIELD II'!$L$7*('CALCULO MORTERO'!I1691^2)+'BLAZE SHIELD II'!$L$8*'CALCULO MORTERO'!I1691+'BLAZE SHIELD II'!$L$9)),0)+IF(AND(L1691="Blaze Shield II",M1691="Software Idiem",C1691="L"),((('BLAZE SHIELD II'!$L$4*('CALCULO MORTERO'!I1691^2)+'BLAZE SHIELD II'!$L$5*'CALCULO MORTERO'!I1691+'BLAZE SHIELD II'!$L$6)*LN(J1691))+('BLAZE SHIELD II'!$L$7*('CALCULO MORTERO'!I1691^2)+'BLAZE SHIELD II'!$L$8*'CALCULO MORTERO'!I1691+'BLAZE SHIELD II'!$L$9)),0)+IF(AND(L1691="Blaze Shield II",M1691="Software Idiem",C1691="IN",G1691=3),((('BLAZE SHIELD II'!$H$14*('CALCULO MORTERO'!I1691^2)+'BLAZE SHIELD II'!$H$15*'CALCULO MORTERO'!I1691+'BLAZE SHIELD II'!$H$16)*LN(J1691))+('BLAZE SHIELD II'!$H$17*('CALCULO MORTERO'!I1691^2)+'BLAZE SHIELD II'!$H$18*'CALCULO MORTERO'!I1691+'BLAZE SHIELD II'!$H$19)),0),0)+ROUND(IF(AND(L1691="Cafco 400",M1691="Software Idiem",C1691="IN",G1691=4),((('CAFCO 400 '!$H$7*(J1691^4)+'CAFCO 400 '!$H$8*(J1691^3)+'CAFCO 400 '!$H$9*(J1691^2)+'CAFCO 400 '!$H$10*J1691+'CAFCO 400 '!$H$11)*U1691^2)+(('CAFCO 400 '!$H$12*(J1691^3)+'CAFCO 400 '!$H$13*(J1691^2)+'CAFCO 400 '!$H$14*J1691+'CAFCO 400 '!$H$15)*U1691)+('CAFCO 400 '!$H$16*(J1691^2)+'CAFCO 400 '!$H$17*J1691+'CAFCO 400 '!$H$18)),0)+IF(AND(L1691="Cafco 400",M1691="Software Idiem",C1691="Cj"),(((('CAFCO 400 '!$D$7*LN(J1691)+'CAFCO 400 '!$D$8)*U1691^2)+(('CAFCO 400 '!$D$9*LN(J1691)+'CAFCO 400 '!$D$10)*U1691)+('CAFCO 400 '!$D$11*LN(J1691)+'CAFCO 400 '!$D$12))),0)+IF(AND(L1691="Cafco 400",M1691="Software Idiem",C1691="C"),((('CAFCO 400 '!$L$7*(J1691^3)+'CAFCO 400 '!$L$8*(J1691^2)+'CAFCO 400 '!$L$9*J1691+'CAFCO 400 '!$L$10)*U1691^2)+(('CAFCO 400 '!$L$11*(J1691^3)+'CAFCO 400 '!$L$12*(J1691^2)+'CAFCO 400 '!$L$13*J1691+'CAFCO 400 '!$L$14)*U1691)+('CAFCO 400 '!$L$15*LN(J1691)+'CAFCO 400 '!$L$16)),0)+IF(AND(L1691="Cafco 400",M1691="Software Idiem",C1691="L"),((('CAFCO 400 '!$L$7*(J1691^3)+'CAFCO 400 '!$L$8*(J1691^2)+'CAFCO 400 '!$L$9*J1691+'CAFCO 400 '!$L$10)*U1691^2)+(('CAFCO 400 '!$L$11*(J1691^3)+'CAFCO 400 '!$L$12*(J1691^2)+'CAFCO 400 '!$L$13*J1691+'CAFCO 400 '!$L$14)*U1691)+('CAFCO 400 '!$L$15*LN(J1691)+'CAFCO 400 '!$L$16)),0)+IF(AND(L1691="Cafco 400",M1691="Software Idiem",C1691="IN",G1691=3),((('CAFCO 400 '!$D$23*(J1691^2)+'CAFCO 400 '!$D$24*(J1691)+'CAFCO 400 '!$D$25)*U1691^2)+(('CAFCO 400 '!$D$26*(J1691^2)+'CAFCO 400 '!$D$27*J1691+'CAFCO 400 '!$D$28)*U1691)+('CAFCO 400 '!$D$29*(J1691^2)+'CAFCO 400 '!$D$30*J1691+'CAFCO 400 '!$D$31)),0),0)+IF(AND(L1691="Cafco 300",J1691&gt;=95,J1691&lt;=240,C1691="Cj",I1691=90),VLOOKUP(T1691,'CAFCO 300 IDIEM TABLAS'!$B$4:$D$23,2,FALSE),0)+IF(AND(L1691="Cafco 300",J1691&gt;=95,J1691&lt;=240,C1691="Cj",I1691=120),VLOOKUP(T1691,'CAFCO 300 IDIEM TABLAS'!$B$4:$D$23,3,FALSE),0)+IF(AND(L1691="Cafco 300",J1691&gt;=95,J1691&lt;=400,G1691=3,C1691="IN",I1691=90),VLOOKUP(T1691,'CAFCO 300 IDIEM TABLAS'!$F$4:$H$35,2,FALSE),0)+IF(AND(L1691="Cafco 300",J1691&gt;=95,J1691&lt;=400,G1691=3,C1691="IN",I1691=120),VLOOKUP(T1691,'CAFCO 300 IDIEM TABLAS'!$F$4:$H$35,3,FALSE),0)+IF(AND(L1691="Cafco 300",J1691&gt;=95,J1691&lt;=450,G1691=4,C1691="IN",I1691=90),VLOOKUP(T1691,'CAFCO 300 IDIEM TABLAS'!$J$4:$L$40,2,FALSE),0)+IF(AND(L1691="Cafco 300",J1691&gt;=95,J1691&lt;=450,G1691=4,C1691="IN",I1691=120),VLOOKUP(T1691,'CAFCO 300 IDIEM TABLAS'!$J$4:$L$40,3,FALSE),0)+IF(AND(M1691="Ensayo Idiem",L1691="Cafco 400",C1691="IN",G1691=4,I1691=90),VLOOKUP(T1691,'CAFCO 400 ENSAYO'!$B$7:$D$43,2,FALSE),0)+IF(AND(M1691="Ensayo Idiem",L1691="Cafco 400",C1691="IN",G1691=4,I1691=120),VLOOKUP(T1691,'CAFCO 400 ENSAYO'!$B$7:$D$43,3,FALSE),0)</f>
        <v>0</v>
      </c>
      <c r="O1691" s="96">
        <f t="shared" si="168"/>
        <v>0</v>
      </c>
      <c r="P1691" s="132" t="str">
        <f t="shared" si="163"/>
        <v>N/A</v>
      </c>
      <c r="Q1691" s="132" t="str">
        <f t="shared" si="164"/>
        <v>N/A</v>
      </c>
      <c r="R1691" s="132" t="str">
        <f t="shared" si="165"/>
        <v>NO CERT.</v>
      </c>
      <c r="S1691" s="132" t="e">
        <f t="shared" si="166"/>
        <v>#N/A</v>
      </c>
      <c r="T1691" s="133" t="e">
        <f>+IF(J1691=LOOKUP(J1691,'CAFCO 300 IDIEM TABLAS'!$J$4:$J$40),'CALCULO MORTERO'!J1691,MROUND('CALCULO MORTERO'!J1691,10))</f>
        <v>#N/A</v>
      </c>
      <c r="U1691" s="134">
        <f t="shared" si="167"/>
        <v>0</v>
      </c>
    </row>
    <row r="1692" spans="1:21" x14ac:dyDescent="0.25">
      <c r="A1692" s="118">
        <f>+CUBICACION!D1686</f>
        <v>0</v>
      </c>
      <c r="B1692" s="819">
        <f>+CUBICACION!E1686</f>
        <v>0</v>
      </c>
      <c r="C1692" s="675">
        <f>+CUBICACION!F1686</f>
        <v>0</v>
      </c>
      <c r="D1692" s="118"/>
      <c r="E1692" s="118"/>
      <c r="F1692" s="820"/>
      <c r="G1692" s="675">
        <f>+CUBICACION!J1686</f>
        <v>0</v>
      </c>
      <c r="H1692" s="118"/>
      <c r="I1692" s="821">
        <f>+CUBICACION!L1686</f>
        <v>0</v>
      </c>
      <c r="J1692" s="64">
        <f>+CUBICACION!M1686</f>
        <v>0</v>
      </c>
      <c r="K1692" s="822">
        <f>+CUBICACION!N1686</f>
        <v>0</v>
      </c>
      <c r="L1692" s="118">
        <f>+CUBICACION!O1686</f>
        <v>0</v>
      </c>
      <c r="M1692" s="823">
        <f>+CUBICACION!P1686</f>
        <v>0</v>
      </c>
      <c r="N1692" s="902">
        <f>ROUND(IF(AND(L1692="Blaze Shield II",M1692="Software Idiem",C1692="IN",G1692=4),((('BLAZE SHIELD II'!$D$4*('CALCULO MORTERO'!I1692^2)+'BLAZE SHIELD II'!$D$5*'CALCULO MORTERO'!I1692+'BLAZE SHIELD II'!$D$6)*LN(J1692))+('BLAZE SHIELD II'!$D$7*('CALCULO MORTERO'!I1692^2)+'BLAZE SHIELD II'!$D$8*'CALCULO MORTERO'!I1692+'BLAZE SHIELD II'!$D$9)),0)+IF(AND(L1692="Blaze Shield II",M1692="Software Idiem",C1692="Cj"),((('BLAZE SHIELD II'!$H$4*('CALCULO MORTERO'!I1692^2)+'BLAZE SHIELD II'!$H$5*'CALCULO MORTERO'!I1692+'BLAZE SHIELD II'!$H$6)*LN(J1692))+('BLAZE SHIELD II'!$H$7*('CALCULO MORTERO'!I1692^2)+'BLAZE SHIELD II'!$H$8*'CALCULO MORTERO'!I1692+'BLAZE SHIELD II'!$H$9)),0)+IF(AND(L1692="Blaze Shield II",M1692="Software Idiem",C1692="C"),((('BLAZE SHIELD II'!$L$4*('CALCULO MORTERO'!I1692^2)+'BLAZE SHIELD II'!$L$5*'CALCULO MORTERO'!I1692+'BLAZE SHIELD II'!$L$6)*LN(J1692))+('BLAZE SHIELD II'!$L$7*('CALCULO MORTERO'!I1692^2)+'BLAZE SHIELD II'!$L$8*'CALCULO MORTERO'!I1692+'BLAZE SHIELD II'!$L$9)),0)+IF(AND(L1692="Blaze Shield II",M1692="Software Idiem",C1692="L"),((('BLAZE SHIELD II'!$L$4*('CALCULO MORTERO'!I1692^2)+'BLAZE SHIELD II'!$L$5*'CALCULO MORTERO'!I1692+'BLAZE SHIELD II'!$L$6)*LN(J1692))+('BLAZE SHIELD II'!$L$7*('CALCULO MORTERO'!I1692^2)+'BLAZE SHIELD II'!$L$8*'CALCULO MORTERO'!I1692+'BLAZE SHIELD II'!$L$9)),0)+IF(AND(L1692="Blaze Shield II",M1692="Software Idiem",C1692="IN",G1692=3),((('BLAZE SHIELD II'!$H$14*('CALCULO MORTERO'!I1692^2)+'BLAZE SHIELD II'!$H$15*'CALCULO MORTERO'!I1692+'BLAZE SHIELD II'!$H$16)*LN(J1692))+('BLAZE SHIELD II'!$H$17*('CALCULO MORTERO'!I1692^2)+'BLAZE SHIELD II'!$H$18*'CALCULO MORTERO'!I1692+'BLAZE SHIELD II'!$H$19)),0),0)+ROUND(IF(AND(L1692="Cafco 400",M1692="Software Idiem",C1692="IN",G1692=4),((('CAFCO 400 '!$H$7*(J1692^4)+'CAFCO 400 '!$H$8*(J1692^3)+'CAFCO 400 '!$H$9*(J1692^2)+'CAFCO 400 '!$H$10*J1692+'CAFCO 400 '!$H$11)*U1692^2)+(('CAFCO 400 '!$H$12*(J1692^3)+'CAFCO 400 '!$H$13*(J1692^2)+'CAFCO 400 '!$H$14*J1692+'CAFCO 400 '!$H$15)*U1692)+('CAFCO 400 '!$H$16*(J1692^2)+'CAFCO 400 '!$H$17*J1692+'CAFCO 400 '!$H$18)),0)+IF(AND(L1692="Cafco 400",M1692="Software Idiem",C1692="Cj"),(((('CAFCO 400 '!$D$7*LN(J1692)+'CAFCO 400 '!$D$8)*U1692^2)+(('CAFCO 400 '!$D$9*LN(J1692)+'CAFCO 400 '!$D$10)*U1692)+('CAFCO 400 '!$D$11*LN(J1692)+'CAFCO 400 '!$D$12))),0)+IF(AND(L1692="Cafco 400",M1692="Software Idiem",C1692="C"),((('CAFCO 400 '!$L$7*(J1692^3)+'CAFCO 400 '!$L$8*(J1692^2)+'CAFCO 400 '!$L$9*J1692+'CAFCO 400 '!$L$10)*U1692^2)+(('CAFCO 400 '!$L$11*(J1692^3)+'CAFCO 400 '!$L$12*(J1692^2)+'CAFCO 400 '!$L$13*J1692+'CAFCO 400 '!$L$14)*U1692)+('CAFCO 400 '!$L$15*LN(J1692)+'CAFCO 400 '!$L$16)),0)+IF(AND(L1692="Cafco 400",M1692="Software Idiem",C1692="L"),((('CAFCO 400 '!$L$7*(J1692^3)+'CAFCO 400 '!$L$8*(J1692^2)+'CAFCO 400 '!$L$9*J1692+'CAFCO 400 '!$L$10)*U1692^2)+(('CAFCO 400 '!$L$11*(J1692^3)+'CAFCO 400 '!$L$12*(J1692^2)+'CAFCO 400 '!$L$13*J1692+'CAFCO 400 '!$L$14)*U1692)+('CAFCO 400 '!$L$15*LN(J1692)+'CAFCO 400 '!$L$16)),0)+IF(AND(L1692="Cafco 400",M1692="Software Idiem",C1692="IN",G1692=3),((('CAFCO 400 '!$D$23*(J1692^2)+'CAFCO 400 '!$D$24*(J1692)+'CAFCO 400 '!$D$25)*U1692^2)+(('CAFCO 400 '!$D$26*(J1692^2)+'CAFCO 400 '!$D$27*J1692+'CAFCO 400 '!$D$28)*U1692)+('CAFCO 400 '!$D$29*(J1692^2)+'CAFCO 400 '!$D$30*J1692+'CAFCO 400 '!$D$31)),0),0)+IF(AND(L1692="Cafco 300",J1692&gt;=95,J1692&lt;=240,C1692="Cj",I1692=90),VLOOKUP(T1692,'CAFCO 300 IDIEM TABLAS'!$B$4:$D$23,2,FALSE),0)+IF(AND(L1692="Cafco 300",J1692&gt;=95,J1692&lt;=240,C1692="Cj",I1692=120),VLOOKUP(T1692,'CAFCO 300 IDIEM TABLAS'!$B$4:$D$23,3,FALSE),0)+IF(AND(L1692="Cafco 300",J1692&gt;=95,J1692&lt;=400,G1692=3,C1692="IN",I1692=90),VLOOKUP(T1692,'CAFCO 300 IDIEM TABLAS'!$F$4:$H$35,2,FALSE),0)+IF(AND(L1692="Cafco 300",J1692&gt;=95,J1692&lt;=400,G1692=3,C1692="IN",I1692=120),VLOOKUP(T1692,'CAFCO 300 IDIEM TABLAS'!$F$4:$H$35,3,FALSE),0)+IF(AND(L1692="Cafco 300",J1692&gt;=95,J1692&lt;=450,G1692=4,C1692="IN",I1692=90),VLOOKUP(T1692,'CAFCO 300 IDIEM TABLAS'!$J$4:$L$40,2,FALSE),0)+IF(AND(L1692="Cafco 300",J1692&gt;=95,J1692&lt;=450,G1692=4,C1692="IN",I1692=120),VLOOKUP(T1692,'CAFCO 300 IDIEM TABLAS'!$J$4:$L$40,3,FALSE),0)+IF(AND(M1692="Ensayo Idiem",L1692="Cafco 400",C1692="IN",G1692=4,I1692=90),VLOOKUP(T1692,'CAFCO 400 ENSAYO'!$B$7:$D$43,2,FALSE),0)+IF(AND(M1692="Ensayo Idiem",L1692="Cafco 400",C1692="IN",G1692=4,I1692=120),VLOOKUP(T1692,'CAFCO 400 ENSAYO'!$B$7:$D$43,3,FALSE),0)</f>
        <v>0</v>
      </c>
      <c r="O1692" s="96">
        <f t="shared" si="168"/>
        <v>0</v>
      </c>
      <c r="P1692" s="95" t="str">
        <f t="shared" si="163"/>
        <v>N/A</v>
      </c>
      <c r="Q1692" s="95" t="str">
        <f t="shared" si="164"/>
        <v>N/A</v>
      </c>
      <c r="R1692" s="95" t="str">
        <f t="shared" si="165"/>
        <v>NO CERT.</v>
      </c>
      <c r="S1692" s="95" t="e">
        <f t="shared" si="166"/>
        <v>#N/A</v>
      </c>
      <c r="T1692" s="119" t="e">
        <f>+IF(J1692=LOOKUP(J1692,'CAFCO 300 IDIEM TABLAS'!$J$4:$J$40),'CALCULO MORTERO'!J1692,MROUND('CALCULO MORTERO'!J1692,10))</f>
        <v>#N/A</v>
      </c>
      <c r="U1692" s="118">
        <f t="shared" si="167"/>
        <v>0</v>
      </c>
    </row>
    <row r="1693" spans="1:21" x14ac:dyDescent="0.25">
      <c r="A1693" s="118">
        <f>+CUBICACION!D1687</f>
        <v>0</v>
      </c>
      <c r="B1693" s="819">
        <f>+CUBICACION!E1687</f>
        <v>0</v>
      </c>
      <c r="C1693" s="675">
        <f>+CUBICACION!F1687</f>
        <v>0</v>
      </c>
      <c r="D1693" s="118"/>
      <c r="E1693" s="118"/>
      <c r="F1693" s="820"/>
      <c r="G1693" s="675">
        <f>+CUBICACION!J1687</f>
        <v>0</v>
      </c>
      <c r="H1693" s="118"/>
      <c r="I1693" s="821">
        <f>+CUBICACION!L1687</f>
        <v>0</v>
      </c>
      <c r="J1693" s="64">
        <f>+CUBICACION!M1687</f>
        <v>0</v>
      </c>
      <c r="K1693" s="822">
        <f>+CUBICACION!N1687</f>
        <v>0</v>
      </c>
      <c r="L1693" s="118">
        <f>+CUBICACION!O1687</f>
        <v>0</v>
      </c>
      <c r="M1693" s="823">
        <f>+CUBICACION!P1687</f>
        <v>0</v>
      </c>
      <c r="N1693" s="902">
        <f>ROUND(IF(AND(L1693="Blaze Shield II",M1693="Software Idiem",C1693="IN",G1693=4),((('BLAZE SHIELD II'!$D$4*('CALCULO MORTERO'!I1693^2)+'BLAZE SHIELD II'!$D$5*'CALCULO MORTERO'!I1693+'BLAZE SHIELD II'!$D$6)*LN(J1693))+('BLAZE SHIELD II'!$D$7*('CALCULO MORTERO'!I1693^2)+'BLAZE SHIELD II'!$D$8*'CALCULO MORTERO'!I1693+'BLAZE SHIELD II'!$D$9)),0)+IF(AND(L1693="Blaze Shield II",M1693="Software Idiem",C1693="Cj"),((('BLAZE SHIELD II'!$H$4*('CALCULO MORTERO'!I1693^2)+'BLAZE SHIELD II'!$H$5*'CALCULO MORTERO'!I1693+'BLAZE SHIELD II'!$H$6)*LN(J1693))+('BLAZE SHIELD II'!$H$7*('CALCULO MORTERO'!I1693^2)+'BLAZE SHIELD II'!$H$8*'CALCULO MORTERO'!I1693+'BLAZE SHIELD II'!$H$9)),0)+IF(AND(L1693="Blaze Shield II",M1693="Software Idiem",C1693="C"),((('BLAZE SHIELD II'!$L$4*('CALCULO MORTERO'!I1693^2)+'BLAZE SHIELD II'!$L$5*'CALCULO MORTERO'!I1693+'BLAZE SHIELD II'!$L$6)*LN(J1693))+('BLAZE SHIELD II'!$L$7*('CALCULO MORTERO'!I1693^2)+'BLAZE SHIELD II'!$L$8*'CALCULO MORTERO'!I1693+'BLAZE SHIELD II'!$L$9)),0)+IF(AND(L1693="Blaze Shield II",M1693="Software Idiem",C1693="L"),((('BLAZE SHIELD II'!$L$4*('CALCULO MORTERO'!I1693^2)+'BLAZE SHIELD II'!$L$5*'CALCULO MORTERO'!I1693+'BLAZE SHIELD II'!$L$6)*LN(J1693))+('BLAZE SHIELD II'!$L$7*('CALCULO MORTERO'!I1693^2)+'BLAZE SHIELD II'!$L$8*'CALCULO MORTERO'!I1693+'BLAZE SHIELD II'!$L$9)),0)+IF(AND(L1693="Blaze Shield II",M1693="Software Idiem",C1693="IN",G1693=3),((('BLAZE SHIELD II'!$H$14*('CALCULO MORTERO'!I1693^2)+'BLAZE SHIELD II'!$H$15*'CALCULO MORTERO'!I1693+'BLAZE SHIELD II'!$H$16)*LN(J1693))+('BLAZE SHIELD II'!$H$17*('CALCULO MORTERO'!I1693^2)+'BLAZE SHIELD II'!$H$18*'CALCULO MORTERO'!I1693+'BLAZE SHIELD II'!$H$19)),0),0)+ROUND(IF(AND(L1693="Cafco 400",M1693="Software Idiem",C1693="IN",G1693=4),((('CAFCO 400 '!$H$7*(J1693^4)+'CAFCO 400 '!$H$8*(J1693^3)+'CAFCO 400 '!$H$9*(J1693^2)+'CAFCO 400 '!$H$10*J1693+'CAFCO 400 '!$H$11)*U1693^2)+(('CAFCO 400 '!$H$12*(J1693^3)+'CAFCO 400 '!$H$13*(J1693^2)+'CAFCO 400 '!$H$14*J1693+'CAFCO 400 '!$H$15)*U1693)+('CAFCO 400 '!$H$16*(J1693^2)+'CAFCO 400 '!$H$17*J1693+'CAFCO 400 '!$H$18)),0)+IF(AND(L1693="Cafco 400",M1693="Software Idiem",C1693="Cj"),(((('CAFCO 400 '!$D$7*LN(J1693)+'CAFCO 400 '!$D$8)*U1693^2)+(('CAFCO 400 '!$D$9*LN(J1693)+'CAFCO 400 '!$D$10)*U1693)+('CAFCO 400 '!$D$11*LN(J1693)+'CAFCO 400 '!$D$12))),0)+IF(AND(L1693="Cafco 400",M1693="Software Idiem",C1693="C"),((('CAFCO 400 '!$L$7*(J1693^3)+'CAFCO 400 '!$L$8*(J1693^2)+'CAFCO 400 '!$L$9*J1693+'CAFCO 400 '!$L$10)*U1693^2)+(('CAFCO 400 '!$L$11*(J1693^3)+'CAFCO 400 '!$L$12*(J1693^2)+'CAFCO 400 '!$L$13*J1693+'CAFCO 400 '!$L$14)*U1693)+('CAFCO 400 '!$L$15*LN(J1693)+'CAFCO 400 '!$L$16)),0)+IF(AND(L1693="Cafco 400",M1693="Software Idiem",C1693="L"),((('CAFCO 400 '!$L$7*(J1693^3)+'CAFCO 400 '!$L$8*(J1693^2)+'CAFCO 400 '!$L$9*J1693+'CAFCO 400 '!$L$10)*U1693^2)+(('CAFCO 400 '!$L$11*(J1693^3)+'CAFCO 400 '!$L$12*(J1693^2)+'CAFCO 400 '!$L$13*J1693+'CAFCO 400 '!$L$14)*U1693)+('CAFCO 400 '!$L$15*LN(J1693)+'CAFCO 400 '!$L$16)),0)+IF(AND(L1693="Cafco 400",M1693="Software Idiem",C1693="IN",G1693=3),((('CAFCO 400 '!$D$23*(J1693^2)+'CAFCO 400 '!$D$24*(J1693)+'CAFCO 400 '!$D$25)*U1693^2)+(('CAFCO 400 '!$D$26*(J1693^2)+'CAFCO 400 '!$D$27*J1693+'CAFCO 400 '!$D$28)*U1693)+('CAFCO 400 '!$D$29*(J1693^2)+'CAFCO 400 '!$D$30*J1693+'CAFCO 400 '!$D$31)),0),0)+IF(AND(L1693="Cafco 300",J1693&gt;=95,J1693&lt;=240,C1693="Cj",I1693=90),VLOOKUP(T1693,'CAFCO 300 IDIEM TABLAS'!$B$4:$D$23,2,FALSE),0)+IF(AND(L1693="Cafco 300",J1693&gt;=95,J1693&lt;=240,C1693="Cj",I1693=120),VLOOKUP(T1693,'CAFCO 300 IDIEM TABLAS'!$B$4:$D$23,3,FALSE),0)+IF(AND(L1693="Cafco 300",J1693&gt;=95,J1693&lt;=400,G1693=3,C1693="IN",I1693=90),VLOOKUP(T1693,'CAFCO 300 IDIEM TABLAS'!$F$4:$H$35,2,FALSE),0)+IF(AND(L1693="Cafco 300",J1693&gt;=95,J1693&lt;=400,G1693=3,C1693="IN",I1693=120),VLOOKUP(T1693,'CAFCO 300 IDIEM TABLAS'!$F$4:$H$35,3,FALSE),0)+IF(AND(L1693="Cafco 300",J1693&gt;=95,J1693&lt;=450,G1693=4,C1693="IN",I1693=90),VLOOKUP(T1693,'CAFCO 300 IDIEM TABLAS'!$J$4:$L$40,2,FALSE),0)+IF(AND(L1693="Cafco 300",J1693&gt;=95,J1693&lt;=450,G1693=4,C1693="IN",I1693=120),VLOOKUP(T1693,'CAFCO 300 IDIEM TABLAS'!$J$4:$L$40,3,FALSE),0)+IF(AND(M1693="Ensayo Idiem",L1693="Cafco 400",C1693="IN",G1693=4,I1693=90),VLOOKUP(T1693,'CAFCO 400 ENSAYO'!$B$7:$D$43,2,FALSE),0)+IF(AND(M1693="Ensayo Idiem",L1693="Cafco 400",C1693="IN",G1693=4,I1693=120),VLOOKUP(T1693,'CAFCO 400 ENSAYO'!$B$7:$D$43,3,FALSE),0)</f>
        <v>0</v>
      </c>
      <c r="O1693" s="96">
        <f t="shared" si="168"/>
        <v>0</v>
      </c>
      <c r="P1693" s="132" t="str">
        <f t="shared" si="163"/>
        <v>N/A</v>
      </c>
      <c r="Q1693" s="132" t="str">
        <f t="shared" si="164"/>
        <v>N/A</v>
      </c>
      <c r="R1693" s="132" t="str">
        <f t="shared" si="165"/>
        <v>NO CERT.</v>
      </c>
      <c r="S1693" s="132" t="e">
        <f t="shared" si="166"/>
        <v>#N/A</v>
      </c>
      <c r="T1693" s="133" t="e">
        <f>+IF(J1693=LOOKUP(J1693,'CAFCO 300 IDIEM TABLAS'!$J$4:$J$40),'CALCULO MORTERO'!J1693,MROUND('CALCULO MORTERO'!J1693,10))</f>
        <v>#N/A</v>
      </c>
      <c r="U1693" s="134">
        <f t="shared" si="167"/>
        <v>0</v>
      </c>
    </row>
    <row r="1694" spans="1:21" x14ac:dyDescent="0.25">
      <c r="A1694" s="118">
        <f>+CUBICACION!D1688</f>
        <v>0</v>
      </c>
      <c r="B1694" s="819">
        <f>+CUBICACION!E1688</f>
        <v>0</v>
      </c>
      <c r="C1694" s="675">
        <f>+CUBICACION!F1688</f>
        <v>0</v>
      </c>
      <c r="D1694" s="118"/>
      <c r="E1694" s="118"/>
      <c r="F1694" s="820"/>
      <c r="G1694" s="675">
        <f>+CUBICACION!J1688</f>
        <v>0</v>
      </c>
      <c r="H1694" s="118"/>
      <c r="I1694" s="821">
        <f>+CUBICACION!L1688</f>
        <v>0</v>
      </c>
      <c r="J1694" s="64">
        <f>+CUBICACION!M1688</f>
        <v>0</v>
      </c>
      <c r="K1694" s="822">
        <f>+CUBICACION!N1688</f>
        <v>0</v>
      </c>
      <c r="L1694" s="118">
        <f>+CUBICACION!O1688</f>
        <v>0</v>
      </c>
      <c r="M1694" s="823">
        <f>+CUBICACION!P1688</f>
        <v>0</v>
      </c>
      <c r="N1694" s="902">
        <f>ROUND(IF(AND(L1694="Blaze Shield II",M1694="Software Idiem",C1694="IN",G1694=4),((('BLAZE SHIELD II'!$D$4*('CALCULO MORTERO'!I1694^2)+'BLAZE SHIELD II'!$D$5*'CALCULO MORTERO'!I1694+'BLAZE SHIELD II'!$D$6)*LN(J1694))+('BLAZE SHIELD II'!$D$7*('CALCULO MORTERO'!I1694^2)+'BLAZE SHIELD II'!$D$8*'CALCULO MORTERO'!I1694+'BLAZE SHIELD II'!$D$9)),0)+IF(AND(L1694="Blaze Shield II",M1694="Software Idiem",C1694="Cj"),((('BLAZE SHIELD II'!$H$4*('CALCULO MORTERO'!I1694^2)+'BLAZE SHIELD II'!$H$5*'CALCULO MORTERO'!I1694+'BLAZE SHIELD II'!$H$6)*LN(J1694))+('BLAZE SHIELD II'!$H$7*('CALCULO MORTERO'!I1694^2)+'BLAZE SHIELD II'!$H$8*'CALCULO MORTERO'!I1694+'BLAZE SHIELD II'!$H$9)),0)+IF(AND(L1694="Blaze Shield II",M1694="Software Idiem",C1694="C"),((('BLAZE SHIELD II'!$L$4*('CALCULO MORTERO'!I1694^2)+'BLAZE SHIELD II'!$L$5*'CALCULO MORTERO'!I1694+'BLAZE SHIELD II'!$L$6)*LN(J1694))+('BLAZE SHIELD II'!$L$7*('CALCULO MORTERO'!I1694^2)+'BLAZE SHIELD II'!$L$8*'CALCULO MORTERO'!I1694+'BLAZE SHIELD II'!$L$9)),0)+IF(AND(L1694="Blaze Shield II",M1694="Software Idiem",C1694="L"),((('BLAZE SHIELD II'!$L$4*('CALCULO MORTERO'!I1694^2)+'BLAZE SHIELD II'!$L$5*'CALCULO MORTERO'!I1694+'BLAZE SHIELD II'!$L$6)*LN(J1694))+('BLAZE SHIELD II'!$L$7*('CALCULO MORTERO'!I1694^2)+'BLAZE SHIELD II'!$L$8*'CALCULO MORTERO'!I1694+'BLAZE SHIELD II'!$L$9)),0)+IF(AND(L1694="Blaze Shield II",M1694="Software Idiem",C1694="IN",G1694=3),((('BLAZE SHIELD II'!$H$14*('CALCULO MORTERO'!I1694^2)+'BLAZE SHIELD II'!$H$15*'CALCULO MORTERO'!I1694+'BLAZE SHIELD II'!$H$16)*LN(J1694))+('BLAZE SHIELD II'!$H$17*('CALCULO MORTERO'!I1694^2)+'BLAZE SHIELD II'!$H$18*'CALCULO MORTERO'!I1694+'BLAZE SHIELD II'!$H$19)),0),0)+ROUND(IF(AND(L1694="Cafco 400",M1694="Software Idiem",C1694="IN",G1694=4),((('CAFCO 400 '!$H$7*(J1694^4)+'CAFCO 400 '!$H$8*(J1694^3)+'CAFCO 400 '!$H$9*(J1694^2)+'CAFCO 400 '!$H$10*J1694+'CAFCO 400 '!$H$11)*U1694^2)+(('CAFCO 400 '!$H$12*(J1694^3)+'CAFCO 400 '!$H$13*(J1694^2)+'CAFCO 400 '!$H$14*J1694+'CAFCO 400 '!$H$15)*U1694)+('CAFCO 400 '!$H$16*(J1694^2)+'CAFCO 400 '!$H$17*J1694+'CAFCO 400 '!$H$18)),0)+IF(AND(L1694="Cafco 400",M1694="Software Idiem",C1694="Cj"),(((('CAFCO 400 '!$D$7*LN(J1694)+'CAFCO 400 '!$D$8)*U1694^2)+(('CAFCO 400 '!$D$9*LN(J1694)+'CAFCO 400 '!$D$10)*U1694)+('CAFCO 400 '!$D$11*LN(J1694)+'CAFCO 400 '!$D$12))),0)+IF(AND(L1694="Cafco 400",M1694="Software Idiem",C1694="C"),((('CAFCO 400 '!$L$7*(J1694^3)+'CAFCO 400 '!$L$8*(J1694^2)+'CAFCO 400 '!$L$9*J1694+'CAFCO 400 '!$L$10)*U1694^2)+(('CAFCO 400 '!$L$11*(J1694^3)+'CAFCO 400 '!$L$12*(J1694^2)+'CAFCO 400 '!$L$13*J1694+'CAFCO 400 '!$L$14)*U1694)+('CAFCO 400 '!$L$15*LN(J1694)+'CAFCO 400 '!$L$16)),0)+IF(AND(L1694="Cafco 400",M1694="Software Idiem",C1694="L"),((('CAFCO 400 '!$L$7*(J1694^3)+'CAFCO 400 '!$L$8*(J1694^2)+'CAFCO 400 '!$L$9*J1694+'CAFCO 400 '!$L$10)*U1694^2)+(('CAFCO 400 '!$L$11*(J1694^3)+'CAFCO 400 '!$L$12*(J1694^2)+'CAFCO 400 '!$L$13*J1694+'CAFCO 400 '!$L$14)*U1694)+('CAFCO 400 '!$L$15*LN(J1694)+'CAFCO 400 '!$L$16)),0)+IF(AND(L1694="Cafco 400",M1694="Software Idiem",C1694="IN",G1694=3),((('CAFCO 400 '!$D$23*(J1694^2)+'CAFCO 400 '!$D$24*(J1694)+'CAFCO 400 '!$D$25)*U1694^2)+(('CAFCO 400 '!$D$26*(J1694^2)+'CAFCO 400 '!$D$27*J1694+'CAFCO 400 '!$D$28)*U1694)+('CAFCO 400 '!$D$29*(J1694^2)+'CAFCO 400 '!$D$30*J1694+'CAFCO 400 '!$D$31)),0),0)+IF(AND(L1694="Cafco 300",J1694&gt;=95,J1694&lt;=240,C1694="Cj",I1694=90),VLOOKUP(T1694,'CAFCO 300 IDIEM TABLAS'!$B$4:$D$23,2,FALSE),0)+IF(AND(L1694="Cafco 300",J1694&gt;=95,J1694&lt;=240,C1694="Cj",I1694=120),VLOOKUP(T1694,'CAFCO 300 IDIEM TABLAS'!$B$4:$D$23,3,FALSE),0)+IF(AND(L1694="Cafco 300",J1694&gt;=95,J1694&lt;=400,G1694=3,C1694="IN",I1694=90),VLOOKUP(T1694,'CAFCO 300 IDIEM TABLAS'!$F$4:$H$35,2,FALSE),0)+IF(AND(L1694="Cafco 300",J1694&gt;=95,J1694&lt;=400,G1694=3,C1694="IN",I1694=120),VLOOKUP(T1694,'CAFCO 300 IDIEM TABLAS'!$F$4:$H$35,3,FALSE),0)+IF(AND(L1694="Cafco 300",J1694&gt;=95,J1694&lt;=450,G1694=4,C1694="IN",I1694=90),VLOOKUP(T1694,'CAFCO 300 IDIEM TABLAS'!$J$4:$L$40,2,FALSE),0)+IF(AND(L1694="Cafco 300",J1694&gt;=95,J1694&lt;=450,G1694=4,C1694="IN",I1694=120),VLOOKUP(T1694,'CAFCO 300 IDIEM TABLAS'!$J$4:$L$40,3,FALSE),0)+IF(AND(M1694="Ensayo Idiem",L1694="Cafco 400",C1694="IN",G1694=4,I1694=90),VLOOKUP(T1694,'CAFCO 400 ENSAYO'!$B$7:$D$43,2,FALSE),0)+IF(AND(M1694="Ensayo Idiem",L1694="Cafco 400",C1694="IN",G1694=4,I1694=120),VLOOKUP(T1694,'CAFCO 400 ENSAYO'!$B$7:$D$43,3,FALSE),0)</f>
        <v>0</v>
      </c>
      <c r="O1694" s="96">
        <f t="shared" si="168"/>
        <v>0</v>
      </c>
      <c r="P1694" s="95" t="str">
        <f t="shared" si="163"/>
        <v>N/A</v>
      </c>
      <c r="Q1694" s="95" t="str">
        <f t="shared" si="164"/>
        <v>N/A</v>
      </c>
      <c r="R1694" s="95" t="str">
        <f t="shared" si="165"/>
        <v>NO CERT.</v>
      </c>
      <c r="S1694" s="95" t="e">
        <f t="shared" si="166"/>
        <v>#N/A</v>
      </c>
      <c r="T1694" s="119" t="e">
        <f>+IF(J1694=LOOKUP(J1694,'CAFCO 300 IDIEM TABLAS'!$J$4:$J$40),'CALCULO MORTERO'!J1694,MROUND('CALCULO MORTERO'!J1694,10))</f>
        <v>#N/A</v>
      </c>
      <c r="U1694" s="118">
        <f t="shared" si="167"/>
        <v>0</v>
      </c>
    </row>
    <row r="1695" spans="1:21" x14ac:dyDescent="0.25">
      <c r="A1695" s="118">
        <f>+CUBICACION!D1689</f>
        <v>0</v>
      </c>
      <c r="B1695" s="819">
        <f>+CUBICACION!E1689</f>
        <v>0</v>
      </c>
      <c r="C1695" s="675">
        <f>+CUBICACION!F1689</f>
        <v>0</v>
      </c>
      <c r="D1695" s="118"/>
      <c r="E1695" s="118"/>
      <c r="F1695" s="820"/>
      <c r="G1695" s="675">
        <f>+CUBICACION!J1689</f>
        <v>0</v>
      </c>
      <c r="H1695" s="118"/>
      <c r="I1695" s="821">
        <f>+CUBICACION!L1689</f>
        <v>0</v>
      </c>
      <c r="J1695" s="64">
        <f>+CUBICACION!M1689</f>
        <v>0</v>
      </c>
      <c r="K1695" s="822">
        <f>+CUBICACION!N1689</f>
        <v>0</v>
      </c>
      <c r="L1695" s="118">
        <f>+CUBICACION!O1689</f>
        <v>0</v>
      </c>
      <c r="M1695" s="823">
        <f>+CUBICACION!P1689</f>
        <v>0</v>
      </c>
      <c r="N1695" s="902">
        <f>ROUND(IF(AND(L1695="Blaze Shield II",M1695="Software Idiem",C1695="IN",G1695=4),((('BLAZE SHIELD II'!$D$4*('CALCULO MORTERO'!I1695^2)+'BLAZE SHIELD II'!$D$5*'CALCULO MORTERO'!I1695+'BLAZE SHIELD II'!$D$6)*LN(J1695))+('BLAZE SHIELD II'!$D$7*('CALCULO MORTERO'!I1695^2)+'BLAZE SHIELD II'!$D$8*'CALCULO MORTERO'!I1695+'BLAZE SHIELD II'!$D$9)),0)+IF(AND(L1695="Blaze Shield II",M1695="Software Idiem",C1695="Cj"),((('BLAZE SHIELD II'!$H$4*('CALCULO MORTERO'!I1695^2)+'BLAZE SHIELD II'!$H$5*'CALCULO MORTERO'!I1695+'BLAZE SHIELD II'!$H$6)*LN(J1695))+('BLAZE SHIELD II'!$H$7*('CALCULO MORTERO'!I1695^2)+'BLAZE SHIELD II'!$H$8*'CALCULO MORTERO'!I1695+'BLAZE SHIELD II'!$H$9)),0)+IF(AND(L1695="Blaze Shield II",M1695="Software Idiem",C1695="C"),((('BLAZE SHIELD II'!$L$4*('CALCULO MORTERO'!I1695^2)+'BLAZE SHIELD II'!$L$5*'CALCULO MORTERO'!I1695+'BLAZE SHIELD II'!$L$6)*LN(J1695))+('BLAZE SHIELD II'!$L$7*('CALCULO MORTERO'!I1695^2)+'BLAZE SHIELD II'!$L$8*'CALCULO MORTERO'!I1695+'BLAZE SHIELD II'!$L$9)),0)+IF(AND(L1695="Blaze Shield II",M1695="Software Idiem",C1695="L"),((('BLAZE SHIELD II'!$L$4*('CALCULO MORTERO'!I1695^2)+'BLAZE SHIELD II'!$L$5*'CALCULO MORTERO'!I1695+'BLAZE SHIELD II'!$L$6)*LN(J1695))+('BLAZE SHIELD II'!$L$7*('CALCULO MORTERO'!I1695^2)+'BLAZE SHIELD II'!$L$8*'CALCULO MORTERO'!I1695+'BLAZE SHIELD II'!$L$9)),0)+IF(AND(L1695="Blaze Shield II",M1695="Software Idiem",C1695="IN",G1695=3),((('BLAZE SHIELD II'!$H$14*('CALCULO MORTERO'!I1695^2)+'BLAZE SHIELD II'!$H$15*'CALCULO MORTERO'!I1695+'BLAZE SHIELD II'!$H$16)*LN(J1695))+('BLAZE SHIELD II'!$H$17*('CALCULO MORTERO'!I1695^2)+'BLAZE SHIELD II'!$H$18*'CALCULO MORTERO'!I1695+'BLAZE SHIELD II'!$H$19)),0),0)+ROUND(IF(AND(L1695="Cafco 400",M1695="Software Idiem",C1695="IN",G1695=4),((('CAFCO 400 '!$H$7*(J1695^4)+'CAFCO 400 '!$H$8*(J1695^3)+'CAFCO 400 '!$H$9*(J1695^2)+'CAFCO 400 '!$H$10*J1695+'CAFCO 400 '!$H$11)*U1695^2)+(('CAFCO 400 '!$H$12*(J1695^3)+'CAFCO 400 '!$H$13*(J1695^2)+'CAFCO 400 '!$H$14*J1695+'CAFCO 400 '!$H$15)*U1695)+('CAFCO 400 '!$H$16*(J1695^2)+'CAFCO 400 '!$H$17*J1695+'CAFCO 400 '!$H$18)),0)+IF(AND(L1695="Cafco 400",M1695="Software Idiem",C1695="Cj"),(((('CAFCO 400 '!$D$7*LN(J1695)+'CAFCO 400 '!$D$8)*U1695^2)+(('CAFCO 400 '!$D$9*LN(J1695)+'CAFCO 400 '!$D$10)*U1695)+('CAFCO 400 '!$D$11*LN(J1695)+'CAFCO 400 '!$D$12))),0)+IF(AND(L1695="Cafco 400",M1695="Software Idiem",C1695="C"),((('CAFCO 400 '!$L$7*(J1695^3)+'CAFCO 400 '!$L$8*(J1695^2)+'CAFCO 400 '!$L$9*J1695+'CAFCO 400 '!$L$10)*U1695^2)+(('CAFCO 400 '!$L$11*(J1695^3)+'CAFCO 400 '!$L$12*(J1695^2)+'CAFCO 400 '!$L$13*J1695+'CAFCO 400 '!$L$14)*U1695)+('CAFCO 400 '!$L$15*LN(J1695)+'CAFCO 400 '!$L$16)),0)+IF(AND(L1695="Cafco 400",M1695="Software Idiem",C1695="L"),((('CAFCO 400 '!$L$7*(J1695^3)+'CAFCO 400 '!$L$8*(J1695^2)+'CAFCO 400 '!$L$9*J1695+'CAFCO 400 '!$L$10)*U1695^2)+(('CAFCO 400 '!$L$11*(J1695^3)+'CAFCO 400 '!$L$12*(J1695^2)+'CAFCO 400 '!$L$13*J1695+'CAFCO 400 '!$L$14)*U1695)+('CAFCO 400 '!$L$15*LN(J1695)+'CAFCO 400 '!$L$16)),0)+IF(AND(L1695="Cafco 400",M1695="Software Idiem",C1695="IN",G1695=3),((('CAFCO 400 '!$D$23*(J1695^2)+'CAFCO 400 '!$D$24*(J1695)+'CAFCO 400 '!$D$25)*U1695^2)+(('CAFCO 400 '!$D$26*(J1695^2)+'CAFCO 400 '!$D$27*J1695+'CAFCO 400 '!$D$28)*U1695)+('CAFCO 400 '!$D$29*(J1695^2)+'CAFCO 400 '!$D$30*J1695+'CAFCO 400 '!$D$31)),0),0)+IF(AND(L1695="Cafco 300",J1695&gt;=95,J1695&lt;=240,C1695="Cj",I1695=90),VLOOKUP(T1695,'CAFCO 300 IDIEM TABLAS'!$B$4:$D$23,2,FALSE),0)+IF(AND(L1695="Cafco 300",J1695&gt;=95,J1695&lt;=240,C1695="Cj",I1695=120),VLOOKUP(T1695,'CAFCO 300 IDIEM TABLAS'!$B$4:$D$23,3,FALSE),0)+IF(AND(L1695="Cafco 300",J1695&gt;=95,J1695&lt;=400,G1695=3,C1695="IN",I1695=90),VLOOKUP(T1695,'CAFCO 300 IDIEM TABLAS'!$F$4:$H$35,2,FALSE),0)+IF(AND(L1695="Cafco 300",J1695&gt;=95,J1695&lt;=400,G1695=3,C1695="IN",I1695=120),VLOOKUP(T1695,'CAFCO 300 IDIEM TABLAS'!$F$4:$H$35,3,FALSE),0)+IF(AND(L1695="Cafco 300",J1695&gt;=95,J1695&lt;=450,G1695=4,C1695="IN",I1695=90),VLOOKUP(T1695,'CAFCO 300 IDIEM TABLAS'!$J$4:$L$40,2,FALSE),0)+IF(AND(L1695="Cafco 300",J1695&gt;=95,J1695&lt;=450,G1695=4,C1695="IN",I1695=120),VLOOKUP(T1695,'CAFCO 300 IDIEM TABLAS'!$J$4:$L$40,3,FALSE),0)+IF(AND(M1695="Ensayo Idiem",L1695="Cafco 400",C1695="IN",G1695=4,I1695=90),VLOOKUP(T1695,'CAFCO 400 ENSAYO'!$B$7:$D$43,2,FALSE),0)+IF(AND(M1695="Ensayo Idiem",L1695="Cafco 400",C1695="IN",G1695=4,I1695=120),VLOOKUP(T1695,'CAFCO 400 ENSAYO'!$B$7:$D$43,3,FALSE),0)</f>
        <v>0</v>
      </c>
      <c r="O1695" s="96">
        <f t="shared" si="168"/>
        <v>0</v>
      </c>
      <c r="P1695" s="132" t="str">
        <f t="shared" si="163"/>
        <v>N/A</v>
      </c>
      <c r="Q1695" s="132" t="str">
        <f t="shared" si="164"/>
        <v>N/A</v>
      </c>
      <c r="R1695" s="132" t="str">
        <f t="shared" si="165"/>
        <v>NO CERT.</v>
      </c>
      <c r="S1695" s="132" t="e">
        <f t="shared" si="166"/>
        <v>#N/A</v>
      </c>
      <c r="T1695" s="133" t="e">
        <f>+IF(J1695=LOOKUP(J1695,'CAFCO 300 IDIEM TABLAS'!$J$4:$J$40),'CALCULO MORTERO'!J1695,MROUND('CALCULO MORTERO'!J1695,10))</f>
        <v>#N/A</v>
      </c>
      <c r="U1695" s="134">
        <f t="shared" si="167"/>
        <v>0</v>
      </c>
    </row>
    <row r="1696" spans="1:21" x14ac:dyDescent="0.25">
      <c r="A1696" s="118">
        <f>+CUBICACION!D1690</f>
        <v>0</v>
      </c>
      <c r="B1696" s="819">
        <f>+CUBICACION!E1690</f>
        <v>0</v>
      </c>
      <c r="C1696" s="675">
        <f>+CUBICACION!F1690</f>
        <v>0</v>
      </c>
      <c r="D1696" s="118"/>
      <c r="E1696" s="118"/>
      <c r="F1696" s="820"/>
      <c r="G1696" s="675">
        <f>+CUBICACION!J1690</f>
        <v>0</v>
      </c>
      <c r="H1696" s="118"/>
      <c r="I1696" s="821">
        <f>+CUBICACION!L1690</f>
        <v>0</v>
      </c>
      <c r="J1696" s="64">
        <f>+CUBICACION!M1690</f>
        <v>0</v>
      </c>
      <c r="K1696" s="822">
        <f>+CUBICACION!N1690</f>
        <v>0</v>
      </c>
      <c r="L1696" s="118">
        <f>+CUBICACION!O1690</f>
        <v>0</v>
      </c>
      <c r="M1696" s="823">
        <f>+CUBICACION!P1690</f>
        <v>0</v>
      </c>
      <c r="N1696" s="902">
        <f>ROUND(IF(AND(L1696="Blaze Shield II",M1696="Software Idiem",C1696="IN",G1696=4),((('BLAZE SHIELD II'!$D$4*('CALCULO MORTERO'!I1696^2)+'BLAZE SHIELD II'!$D$5*'CALCULO MORTERO'!I1696+'BLAZE SHIELD II'!$D$6)*LN(J1696))+('BLAZE SHIELD II'!$D$7*('CALCULO MORTERO'!I1696^2)+'BLAZE SHIELD II'!$D$8*'CALCULO MORTERO'!I1696+'BLAZE SHIELD II'!$D$9)),0)+IF(AND(L1696="Blaze Shield II",M1696="Software Idiem",C1696="Cj"),((('BLAZE SHIELD II'!$H$4*('CALCULO MORTERO'!I1696^2)+'BLAZE SHIELD II'!$H$5*'CALCULO MORTERO'!I1696+'BLAZE SHIELD II'!$H$6)*LN(J1696))+('BLAZE SHIELD II'!$H$7*('CALCULO MORTERO'!I1696^2)+'BLAZE SHIELD II'!$H$8*'CALCULO MORTERO'!I1696+'BLAZE SHIELD II'!$H$9)),0)+IF(AND(L1696="Blaze Shield II",M1696="Software Idiem",C1696="C"),((('BLAZE SHIELD II'!$L$4*('CALCULO MORTERO'!I1696^2)+'BLAZE SHIELD II'!$L$5*'CALCULO MORTERO'!I1696+'BLAZE SHIELD II'!$L$6)*LN(J1696))+('BLAZE SHIELD II'!$L$7*('CALCULO MORTERO'!I1696^2)+'BLAZE SHIELD II'!$L$8*'CALCULO MORTERO'!I1696+'BLAZE SHIELD II'!$L$9)),0)+IF(AND(L1696="Blaze Shield II",M1696="Software Idiem",C1696="L"),((('BLAZE SHIELD II'!$L$4*('CALCULO MORTERO'!I1696^2)+'BLAZE SHIELD II'!$L$5*'CALCULO MORTERO'!I1696+'BLAZE SHIELD II'!$L$6)*LN(J1696))+('BLAZE SHIELD II'!$L$7*('CALCULO MORTERO'!I1696^2)+'BLAZE SHIELD II'!$L$8*'CALCULO MORTERO'!I1696+'BLAZE SHIELD II'!$L$9)),0)+IF(AND(L1696="Blaze Shield II",M1696="Software Idiem",C1696="IN",G1696=3),((('BLAZE SHIELD II'!$H$14*('CALCULO MORTERO'!I1696^2)+'BLAZE SHIELD II'!$H$15*'CALCULO MORTERO'!I1696+'BLAZE SHIELD II'!$H$16)*LN(J1696))+('BLAZE SHIELD II'!$H$17*('CALCULO MORTERO'!I1696^2)+'BLAZE SHIELD II'!$H$18*'CALCULO MORTERO'!I1696+'BLAZE SHIELD II'!$H$19)),0),0)+ROUND(IF(AND(L1696="Cafco 400",M1696="Software Idiem",C1696="IN",G1696=4),((('CAFCO 400 '!$H$7*(J1696^4)+'CAFCO 400 '!$H$8*(J1696^3)+'CAFCO 400 '!$H$9*(J1696^2)+'CAFCO 400 '!$H$10*J1696+'CAFCO 400 '!$H$11)*U1696^2)+(('CAFCO 400 '!$H$12*(J1696^3)+'CAFCO 400 '!$H$13*(J1696^2)+'CAFCO 400 '!$H$14*J1696+'CAFCO 400 '!$H$15)*U1696)+('CAFCO 400 '!$H$16*(J1696^2)+'CAFCO 400 '!$H$17*J1696+'CAFCO 400 '!$H$18)),0)+IF(AND(L1696="Cafco 400",M1696="Software Idiem",C1696="Cj"),(((('CAFCO 400 '!$D$7*LN(J1696)+'CAFCO 400 '!$D$8)*U1696^2)+(('CAFCO 400 '!$D$9*LN(J1696)+'CAFCO 400 '!$D$10)*U1696)+('CAFCO 400 '!$D$11*LN(J1696)+'CAFCO 400 '!$D$12))),0)+IF(AND(L1696="Cafco 400",M1696="Software Idiem",C1696="C"),((('CAFCO 400 '!$L$7*(J1696^3)+'CAFCO 400 '!$L$8*(J1696^2)+'CAFCO 400 '!$L$9*J1696+'CAFCO 400 '!$L$10)*U1696^2)+(('CAFCO 400 '!$L$11*(J1696^3)+'CAFCO 400 '!$L$12*(J1696^2)+'CAFCO 400 '!$L$13*J1696+'CAFCO 400 '!$L$14)*U1696)+('CAFCO 400 '!$L$15*LN(J1696)+'CAFCO 400 '!$L$16)),0)+IF(AND(L1696="Cafco 400",M1696="Software Idiem",C1696="L"),((('CAFCO 400 '!$L$7*(J1696^3)+'CAFCO 400 '!$L$8*(J1696^2)+'CAFCO 400 '!$L$9*J1696+'CAFCO 400 '!$L$10)*U1696^2)+(('CAFCO 400 '!$L$11*(J1696^3)+'CAFCO 400 '!$L$12*(J1696^2)+'CAFCO 400 '!$L$13*J1696+'CAFCO 400 '!$L$14)*U1696)+('CAFCO 400 '!$L$15*LN(J1696)+'CAFCO 400 '!$L$16)),0)+IF(AND(L1696="Cafco 400",M1696="Software Idiem",C1696="IN",G1696=3),((('CAFCO 400 '!$D$23*(J1696^2)+'CAFCO 400 '!$D$24*(J1696)+'CAFCO 400 '!$D$25)*U1696^2)+(('CAFCO 400 '!$D$26*(J1696^2)+'CAFCO 400 '!$D$27*J1696+'CAFCO 400 '!$D$28)*U1696)+('CAFCO 400 '!$D$29*(J1696^2)+'CAFCO 400 '!$D$30*J1696+'CAFCO 400 '!$D$31)),0),0)+IF(AND(L1696="Cafco 300",J1696&gt;=95,J1696&lt;=240,C1696="Cj",I1696=90),VLOOKUP(T1696,'CAFCO 300 IDIEM TABLAS'!$B$4:$D$23,2,FALSE),0)+IF(AND(L1696="Cafco 300",J1696&gt;=95,J1696&lt;=240,C1696="Cj",I1696=120),VLOOKUP(T1696,'CAFCO 300 IDIEM TABLAS'!$B$4:$D$23,3,FALSE),0)+IF(AND(L1696="Cafco 300",J1696&gt;=95,J1696&lt;=400,G1696=3,C1696="IN",I1696=90),VLOOKUP(T1696,'CAFCO 300 IDIEM TABLAS'!$F$4:$H$35,2,FALSE),0)+IF(AND(L1696="Cafco 300",J1696&gt;=95,J1696&lt;=400,G1696=3,C1696="IN",I1696=120),VLOOKUP(T1696,'CAFCO 300 IDIEM TABLAS'!$F$4:$H$35,3,FALSE),0)+IF(AND(L1696="Cafco 300",J1696&gt;=95,J1696&lt;=450,G1696=4,C1696="IN",I1696=90),VLOOKUP(T1696,'CAFCO 300 IDIEM TABLAS'!$J$4:$L$40,2,FALSE),0)+IF(AND(L1696="Cafco 300",J1696&gt;=95,J1696&lt;=450,G1696=4,C1696="IN",I1696=120),VLOOKUP(T1696,'CAFCO 300 IDIEM TABLAS'!$J$4:$L$40,3,FALSE),0)+IF(AND(M1696="Ensayo Idiem",L1696="Cafco 400",C1696="IN",G1696=4,I1696=90),VLOOKUP(T1696,'CAFCO 400 ENSAYO'!$B$7:$D$43,2,FALSE),0)+IF(AND(M1696="Ensayo Idiem",L1696="Cafco 400",C1696="IN",G1696=4,I1696=120),VLOOKUP(T1696,'CAFCO 400 ENSAYO'!$B$7:$D$43,3,FALSE),0)</f>
        <v>0</v>
      </c>
      <c r="O1696" s="96">
        <f t="shared" si="168"/>
        <v>0</v>
      </c>
      <c r="P1696" s="95" t="str">
        <f t="shared" si="163"/>
        <v>N/A</v>
      </c>
      <c r="Q1696" s="95" t="str">
        <f t="shared" si="164"/>
        <v>N/A</v>
      </c>
      <c r="R1696" s="95" t="str">
        <f t="shared" si="165"/>
        <v>NO CERT.</v>
      </c>
      <c r="S1696" s="95" t="e">
        <f t="shared" si="166"/>
        <v>#N/A</v>
      </c>
      <c r="T1696" s="119" t="e">
        <f>+IF(J1696=LOOKUP(J1696,'CAFCO 300 IDIEM TABLAS'!$J$4:$J$40),'CALCULO MORTERO'!J1696,MROUND('CALCULO MORTERO'!J1696,10))</f>
        <v>#N/A</v>
      </c>
      <c r="U1696" s="118">
        <f t="shared" si="167"/>
        <v>0</v>
      </c>
    </row>
    <row r="1697" spans="1:21" x14ac:dyDescent="0.25">
      <c r="A1697" s="118">
        <f>+CUBICACION!D1691</f>
        <v>0</v>
      </c>
      <c r="B1697" s="819">
        <f>+CUBICACION!E1691</f>
        <v>0</v>
      </c>
      <c r="C1697" s="675">
        <f>+CUBICACION!F1691</f>
        <v>0</v>
      </c>
      <c r="D1697" s="118"/>
      <c r="E1697" s="118"/>
      <c r="F1697" s="820"/>
      <c r="G1697" s="675">
        <f>+CUBICACION!J1691</f>
        <v>0</v>
      </c>
      <c r="H1697" s="118"/>
      <c r="I1697" s="821">
        <f>+CUBICACION!L1691</f>
        <v>0</v>
      </c>
      <c r="J1697" s="64">
        <f>+CUBICACION!M1691</f>
        <v>0</v>
      </c>
      <c r="K1697" s="822">
        <f>+CUBICACION!N1691</f>
        <v>0</v>
      </c>
      <c r="L1697" s="118">
        <f>+CUBICACION!O1691</f>
        <v>0</v>
      </c>
      <c r="M1697" s="823">
        <f>+CUBICACION!P1691</f>
        <v>0</v>
      </c>
      <c r="N1697" s="902">
        <f>ROUND(IF(AND(L1697="Blaze Shield II",M1697="Software Idiem",C1697="IN",G1697=4),((('BLAZE SHIELD II'!$D$4*('CALCULO MORTERO'!I1697^2)+'BLAZE SHIELD II'!$D$5*'CALCULO MORTERO'!I1697+'BLAZE SHIELD II'!$D$6)*LN(J1697))+('BLAZE SHIELD II'!$D$7*('CALCULO MORTERO'!I1697^2)+'BLAZE SHIELD II'!$D$8*'CALCULO MORTERO'!I1697+'BLAZE SHIELD II'!$D$9)),0)+IF(AND(L1697="Blaze Shield II",M1697="Software Idiem",C1697="Cj"),((('BLAZE SHIELD II'!$H$4*('CALCULO MORTERO'!I1697^2)+'BLAZE SHIELD II'!$H$5*'CALCULO MORTERO'!I1697+'BLAZE SHIELD II'!$H$6)*LN(J1697))+('BLAZE SHIELD II'!$H$7*('CALCULO MORTERO'!I1697^2)+'BLAZE SHIELD II'!$H$8*'CALCULO MORTERO'!I1697+'BLAZE SHIELD II'!$H$9)),0)+IF(AND(L1697="Blaze Shield II",M1697="Software Idiem",C1697="C"),((('BLAZE SHIELD II'!$L$4*('CALCULO MORTERO'!I1697^2)+'BLAZE SHIELD II'!$L$5*'CALCULO MORTERO'!I1697+'BLAZE SHIELD II'!$L$6)*LN(J1697))+('BLAZE SHIELD II'!$L$7*('CALCULO MORTERO'!I1697^2)+'BLAZE SHIELD II'!$L$8*'CALCULO MORTERO'!I1697+'BLAZE SHIELD II'!$L$9)),0)+IF(AND(L1697="Blaze Shield II",M1697="Software Idiem",C1697="L"),((('BLAZE SHIELD II'!$L$4*('CALCULO MORTERO'!I1697^2)+'BLAZE SHIELD II'!$L$5*'CALCULO MORTERO'!I1697+'BLAZE SHIELD II'!$L$6)*LN(J1697))+('BLAZE SHIELD II'!$L$7*('CALCULO MORTERO'!I1697^2)+'BLAZE SHIELD II'!$L$8*'CALCULO MORTERO'!I1697+'BLAZE SHIELD II'!$L$9)),0)+IF(AND(L1697="Blaze Shield II",M1697="Software Idiem",C1697="IN",G1697=3),((('BLAZE SHIELD II'!$H$14*('CALCULO MORTERO'!I1697^2)+'BLAZE SHIELD II'!$H$15*'CALCULO MORTERO'!I1697+'BLAZE SHIELD II'!$H$16)*LN(J1697))+('BLAZE SHIELD II'!$H$17*('CALCULO MORTERO'!I1697^2)+'BLAZE SHIELD II'!$H$18*'CALCULO MORTERO'!I1697+'BLAZE SHIELD II'!$H$19)),0),0)+ROUND(IF(AND(L1697="Cafco 400",M1697="Software Idiem",C1697="IN",G1697=4),((('CAFCO 400 '!$H$7*(J1697^4)+'CAFCO 400 '!$H$8*(J1697^3)+'CAFCO 400 '!$H$9*(J1697^2)+'CAFCO 400 '!$H$10*J1697+'CAFCO 400 '!$H$11)*U1697^2)+(('CAFCO 400 '!$H$12*(J1697^3)+'CAFCO 400 '!$H$13*(J1697^2)+'CAFCO 400 '!$H$14*J1697+'CAFCO 400 '!$H$15)*U1697)+('CAFCO 400 '!$H$16*(J1697^2)+'CAFCO 400 '!$H$17*J1697+'CAFCO 400 '!$H$18)),0)+IF(AND(L1697="Cafco 400",M1697="Software Idiem",C1697="Cj"),(((('CAFCO 400 '!$D$7*LN(J1697)+'CAFCO 400 '!$D$8)*U1697^2)+(('CAFCO 400 '!$D$9*LN(J1697)+'CAFCO 400 '!$D$10)*U1697)+('CAFCO 400 '!$D$11*LN(J1697)+'CAFCO 400 '!$D$12))),0)+IF(AND(L1697="Cafco 400",M1697="Software Idiem",C1697="C"),((('CAFCO 400 '!$L$7*(J1697^3)+'CAFCO 400 '!$L$8*(J1697^2)+'CAFCO 400 '!$L$9*J1697+'CAFCO 400 '!$L$10)*U1697^2)+(('CAFCO 400 '!$L$11*(J1697^3)+'CAFCO 400 '!$L$12*(J1697^2)+'CAFCO 400 '!$L$13*J1697+'CAFCO 400 '!$L$14)*U1697)+('CAFCO 400 '!$L$15*LN(J1697)+'CAFCO 400 '!$L$16)),0)+IF(AND(L1697="Cafco 400",M1697="Software Idiem",C1697="L"),((('CAFCO 400 '!$L$7*(J1697^3)+'CAFCO 400 '!$L$8*(J1697^2)+'CAFCO 400 '!$L$9*J1697+'CAFCO 400 '!$L$10)*U1697^2)+(('CAFCO 400 '!$L$11*(J1697^3)+'CAFCO 400 '!$L$12*(J1697^2)+'CAFCO 400 '!$L$13*J1697+'CAFCO 400 '!$L$14)*U1697)+('CAFCO 400 '!$L$15*LN(J1697)+'CAFCO 400 '!$L$16)),0)+IF(AND(L1697="Cafco 400",M1697="Software Idiem",C1697="IN",G1697=3),((('CAFCO 400 '!$D$23*(J1697^2)+'CAFCO 400 '!$D$24*(J1697)+'CAFCO 400 '!$D$25)*U1697^2)+(('CAFCO 400 '!$D$26*(J1697^2)+'CAFCO 400 '!$D$27*J1697+'CAFCO 400 '!$D$28)*U1697)+('CAFCO 400 '!$D$29*(J1697^2)+'CAFCO 400 '!$D$30*J1697+'CAFCO 400 '!$D$31)),0),0)+IF(AND(L1697="Cafco 300",J1697&gt;=95,J1697&lt;=240,C1697="Cj",I1697=90),VLOOKUP(T1697,'CAFCO 300 IDIEM TABLAS'!$B$4:$D$23,2,FALSE),0)+IF(AND(L1697="Cafco 300",J1697&gt;=95,J1697&lt;=240,C1697="Cj",I1697=120),VLOOKUP(T1697,'CAFCO 300 IDIEM TABLAS'!$B$4:$D$23,3,FALSE),0)+IF(AND(L1697="Cafco 300",J1697&gt;=95,J1697&lt;=400,G1697=3,C1697="IN",I1697=90),VLOOKUP(T1697,'CAFCO 300 IDIEM TABLAS'!$F$4:$H$35,2,FALSE),0)+IF(AND(L1697="Cafco 300",J1697&gt;=95,J1697&lt;=400,G1697=3,C1697="IN",I1697=120),VLOOKUP(T1697,'CAFCO 300 IDIEM TABLAS'!$F$4:$H$35,3,FALSE),0)+IF(AND(L1697="Cafco 300",J1697&gt;=95,J1697&lt;=450,G1697=4,C1697="IN",I1697=90),VLOOKUP(T1697,'CAFCO 300 IDIEM TABLAS'!$J$4:$L$40,2,FALSE),0)+IF(AND(L1697="Cafco 300",J1697&gt;=95,J1697&lt;=450,G1697=4,C1697="IN",I1697=120),VLOOKUP(T1697,'CAFCO 300 IDIEM TABLAS'!$J$4:$L$40,3,FALSE),0)+IF(AND(M1697="Ensayo Idiem",L1697="Cafco 400",C1697="IN",G1697=4,I1697=90),VLOOKUP(T1697,'CAFCO 400 ENSAYO'!$B$7:$D$43,2,FALSE),0)+IF(AND(M1697="Ensayo Idiem",L1697="Cafco 400",C1697="IN",G1697=4,I1697=120),VLOOKUP(T1697,'CAFCO 400 ENSAYO'!$B$7:$D$43,3,FALSE),0)</f>
        <v>0</v>
      </c>
      <c r="O1697" s="96">
        <f t="shared" si="168"/>
        <v>0</v>
      </c>
      <c r="P1697" s="132" t="str">
        <f t="shared" si="163"/>
        <v>N/A</v>
      </c>
      <c r="Q1697" s="132" t="str">
        <f t="shared" si="164"/>
        <v>N/A</v>
      </c>
      <c r="R1697" s="132" t="str">
        <f t="shared" si="165"/>
        <v>NO CERT.</v>
      </c>
      <c r="S1697" s="132" t="e">
        <f t="shared" si="166"/>
        <v>#N/A</v>
      </c>
      <c r="T1697" s="133" t="e">
        <f>+IF(J1697=LOOKUP(J1697,'CAFCO 300 IDIEM TABLAS'!$J$4:$J$40),'CALCULO MORTERO'!J1697,MROUND('CALCULO MORTERO'!J1697,10))</f>
        <v>#N/A</v>
      </c>
      <c r="U1697" s="134">
        <f t="shared" si="167"/>
        <v>0</v>
      </c>
    </row>
    <row r="1698" spans="1:21" x14ac:dyDescent="0.25">
      <c r="A1698" s="118">
        <f>+CUBICACION!D1692</f>
        <v>0</v>
      </c>
      <c r="B1698" s="819">
        <f>+CUBICACION!E1692</f>
        <v>0</v>
      </c>
      <c r="C1698" s="675">
        <f>+CUBICACION!F1692</f>
        <v>0</v>
      </c>
      <c r="D1698" s="118"/>
      <c r="E1698" s="118"/>
      <c r="F1698" s="820"/>
      <c r="G1698" s="675">
        <f>+CUBICACION!J1692</f>
        <v>0</v>
      </c>
      <c r="H1698" s="118"/>
      <c r="I1698" s="821">
        <f>+CUBICACION!L1692</f>
        <v>0</v>
      </c>
      <c r="J1698" s="64">
        <f>+CUBICACION!M1692</f>
        <v>0</v>
      </c>
      <c r="K1698" s="822">
        <f>+CUBICACION!N1692</f>
        <v>0</v>
      </c>
      <c r="L1698" s="118">
        <f>+CUBICACION!O1692</f>
        <v>0</v>
      </c>
      <c r="M1698" s="823">
        <f>+CUBICACION!P1692</f>
        <v>0</v>
      </c>
      <c r="N1698" s="902">
        <f>ROUND(IF(AND(L1698="Blaze Shield II",M1698="Software Idiem",C1698="IN",G1698=4),((('BLAZE SHIELD II'!$D$4*('CALCULO MORTERO'!I1698^2)+'BLAZE SHIELD II'!$D$5*'CALCULO MORTERO'!I1698+'BLAZE SHIELD II'!$D$6)*LN(J1698))+('BLAZE SHIELD II'!$D$7*('CALCULO MORTERO'!I1698^2)+'BLAZE SHIELD II'!$D$8*'CALCULO MORTERO'!I1698+'BLAZE SHIELD II'!$D$9)),0)+IF(AND(L1698="Blaze Shield II",M1698="Software Idiem",C1698="Cj"),((('BLAZE SHIELD II'!$H$4*('CALCULO MORTERO'!I1698^2)+'BLAZE SHIELD II'!$H$5*'CALCULO MORTERO'!I1698+'BLAZE SHIELD II'!$H$6)*LN(J1698))+('BLAZE SHIELD II'!$H$7*('CALCULO MORTERO'!I1698^2)+'BLAZE SHIELD II'!$H$8*'CALCULO MORTERO'!I1698+'BLAZE SHIELD II'!$H$9)),0)+IF(AND(L1698="Blaze Shield II",M1698="Software Idiem",C1698="C"),((('BLAZE SHIELD II'!$L$4*('CALCULO MORTERO'!I1698^2)+'BLAZE SHIELD II'!$L$5*'CALCULO MORTERO'!I1698+'BLAZE SHIELD II'!$L$6)*LN(J1698))+('BLAZE SHIELD II'!$L$7*('CALCULO MORTERO'!I1698^2)+'BLAZE SHIELD II'!$L$8*'CALCULO MORTERO'!I1698+'BLAZE SHIELD II'!$L$9)),0)+IF(AND(L1698="Blaze Shield II",M1698="Software Idiem",C1698="L"),((('BLAZE SHIELD II'!$L$4*('CALCULO MORTERO'!I1698^2)+'BLAZE SHIELD II'!$L$5*'CALCULO MORTERO'!I1698+'BLAZE SHIELD II'!$L$6)*LN(J1698))+('BLAZE SHIELD II'!$L$7*('CALCULO MORTERO'!I1698^2)+'BLAZE SHIELD II'!$L$8*'CALCULO MORTERO'!I1698+'BLAZE SHIELD II'!$L$9)),0)+IF(AND(L1698="Blaze Shield II",M1698="Software Idiem",C1698="IN",G1698=3),((('BLAZE SHIELD II'!$H$14*('CALCULO MORTERO'!I1698^2)+'BLAZE SHIELD II'!$H$15*'CALCULO MORTERO'!I1698+'BLAZE SHIELD II'!$H$16)*LN(J1698))+('BLAZE SHIELD II'!$H$17*('CALCULO MORTERO'!I1698^2)+'BLAZE SHIELD II'!$H$18*'CALCULO MORTERO'!I1698+'BLAZE SHIELD II'!$H$19)),0),0)+ROUND(IF(AND(L1698="Cafco 400",M1698="Software Idiem",C1698="IN",G1698=4),((('CAFCO 400 '!$H$7*(J1698^4)+'CAFCO 400 '!$H$8*(J1698^3)+'CAFCO 400 '!$H$9*(J1698^2)+'CAFCO 400 '!$H$10*J1698+'CAFCO 400 '!$H$11)*U1698^2)+(('CAFCO 400 '!$H$12*(J1698^3)+'CAFCO 400 '!$H$13*(J1698^2)+'CAFCO 400 '!$H$14*J1698+'CAFCO 400 '!$H$15)*U1698)+('CAFCO 400 '!$H$16*(J1698^2)+'CAFCO 400 '!$H$17*J1698+'CAFCO 400 '!$H$18)),0)+IF(AND(L1698="Cafco 400",M1698="Software Idiem",C1698="Cj"),(((('CAFCO 400 '!$D$7*LN(J1698)+'CAFCO 400 '!$D$8)*U1698^2)+(('CAFCO 400 '!$D$9*LN(J1698)+'CAFCO 400 '!$D$10)*U1698)+('CAFCO 400 '!$D$11*LN(J1698)+'CAFCO 400 '!$D$12))),0)+IF(AND(L1698="Cafco 400",M1698="Software Idiem",C1698="C"),((('CAFCO 400 '!$L$7*(J1698^3)+'CAFCO 400 '!$L$8*(J1698^2)+'CAFCO 400 '!$L$9*J1698+'CAFCO 400 '!$L$10)*U1698^2)+(('CAFCO 400 '!$L$11*(J1698^3)+'CAFCO 400 '!$L$12*(J1698^2)+'CAFCO 400 '!$L$13*J1698+'CAFCO 400 '!$L$14)*U1698)+('CAFCO 400 '!$L$15*LN(J1698)+'CAFCO 400 '!$L$16)),0)+IF(AND(L1698="Cafco 400",M1698="Software Idiem",C1698="L"),((('CAFCO 400 '!$L$7*(J1698^3)+'CAFCO 400 '!$L$8*(J1698^2)+'CAFCO 400 '!$L$9*J1698+'CAFCO 400 '!$L$10)*U1698^2)+(('CAFCO 400 '!$L$11*(J1698^3)+'CAFCO 400 '!$L$12*(J1698^2)+'CAFCO 400 '!$L$13*J1698+'CAFCO 400 '!$L$14)*U1698)+('CAFCO 400 '!$L$15*LN(J1698)+'CAFCO 400 '!$L$16)),0)+IF(AND(L1698="Cafco 400",M1698="Software Idiem",C1698="IN",G1698=3),((('CAFCO 400 '!$D$23*(J1698^2)+'CAFCO 400 '!$D$24*(J1698)+'CAFCO 400 '!$D$25)*U1698^2)+(('CAFCO 400 '!$D$26*(J1698^2)+'CAFCO 400 '!$D$27*J1698+'CAFCO 400 '!$D$28)*U1698)+('CAFCO 400 '!$D$29*(J1698^2)+'CAFCO 400 '!$D$30*J1698+'CAFCO 400 '!$D$31)),0),0)+IF(AND(L1698="Cafco 300",J1698&gt;=95,J1698&lt;=240,C1698="Cj",I1698=90),VLOOKUP(T1698,'CAFCO 300 IDIEM TABLAS'!$B$4:$D$23,2,FALSE),0)+IF(AND(L1698="Cafco 300",J1698&gt;=95,J1698&lt;=240,C1698="Cj",I1698=120),VLOOKUP(T1698,'CAFCO 300 IDIEM TABLAS'!$B$4:$D$23,3,FALSE),0)+IF(AND(L1698="Cafco 300",J1698&gt;=95,J1698&lt;=400,G1698=3,C1698="IN",I1698=90),VLOOKUP(T1698,'CAFCO 300 IDIEM TABLAS'!$F$4:$H$35,2,FALSE),0)+IF(AND(L1698="Cafco 300",J1698&gt;=95,J1698&lt;=400,G1698=3,C1698="IN",I1698=120),VLOOKUP(T1698,'CAFCO 300 IDIEM TABLAS'!$F$4:$H$35,3,FALSE),0)+IF(AND(L1698="Cafco 300",J1698&gt;=95,J1698&lt;=450,G1698=4,C1698="IN",I1698=90),VLOOKUP(T1698,'CAFCO 300 IDIEM TABLAS'!$J$4:$L$40,2,FALSE),0)+IF(AND(L1698="Cafco 300",J1698&gt;=95,J1698&lt;=450,G1698=4,C1698="IN",I1698=120),VLOOKUP(T1698,'CAFCO 300 IDIEM TABLAS'!$J$4:$L$40,3,FALSE),0)+IF(AND(M1698="Ensayo Idiem",L1698="Cafco 400",C1698="IN",G1698=4,I1698=90),VLOOKUP(T1698,'CAFCO 400 ENSAYO'!$B$7:$D$43,2,FALSE),0)+IF(AND(M1698="Ensayo Idiem",L1698="Cafco 400",C1698="IN",G1698=4,I1698=120),VLOOKUP(T1698,'CAFCO 400 ENSAYO'!$B$7:$D$43,3,FALSE),0)</f>
        <v>0</v>
      </c>
      <c r="O1698" s="96">
        <f t="shared" si="168"/>
        <v>0</v>
      </c>
      <c r="P1698" s="95" t="str">
        <f t="shared" si="163"/>
        <v>N/A</v>
      </c>
      <c r="Q1698" s="95" t="str">
        <f t="shared" si="164"/>
        <v>N/A</v>
      </c>
      <c r="R1698" s="95" t="str">
        <f t="shared" si="165"/>
        <v>NO CERT.</v>
      </c>
      <c r="S1698" s="95" t="e">
        <f t="shared" si="166"/>
        <v>#N/A</v>
      </c>
      <c r="T1698" s="119" t="e">
        <f>+IF(J1698=LOOKUP(J1698,'CAFCO 300 IDIEM TABLAS'!$J$4:$J$40),'CALCULO MORTERO'!J1698,MROUND('CALCULO MORTERO'!J1698,10))</f>
        <v>#N/A</v>
      </c>
      <c r="U1698" s="118">
        <f t="shared" si="167"/>
        <v>0</v>
      </c>
    </row>
    <row r="1699" spans="1:21" x14ac:dyDescent="0.25">
      <c r="A1699" s="118">
        <f>+CUBICACION!D1693</f>
        <v>0</v>
      </c>
      <c r="B1699" s="819">
        <f>+CUBICACION!E1693</f>
        <v>0</v>
      </c>
      <c r="C1699" s="675">
        <f>+CUBICACION!F1693</f>
        <v>0</v>
      </c>
      <c r="D1699" s="118"/>
      <c r="E1699" s="118"/>
      <c r="F1699" s="820"/>
      <c r="G1699" s="675">
        <f>+CUBICACION!J1693</f>
        <v>0</v>
      </c>
      <c r="H1699" s="118"/>
      <c r="I1699" s="821">
        <f>+CUBICACION!L1693</f>
        <v>0</v>
      </c>
      <c r="J1699" s="64">
        <f>+CUBICACION!M1693</f>
        <v>0</v>
      </c>
      <c r="K1699" s="822">
        <f>+CUBICACION!N1693</f>
        <v>0</v>
      </c>
      <c r="L1699" s="118">
        <f>+CUBICACION!O1693</f>
        <v>0</v>
      </c>
      <c r="M1699" s="823">
        <f>+CUBICACION!P1693</f>
        <v>0</v>
      </c>
      <c r="N1699" s="902">
        <f>ROUND(IF(AND(L1699="Blaze Shield II",M1699="Software Idiem",C1699="IN",G1699=4),((('BLAZE SHIELD II'!$D$4*('CALCULO MORTERO'!I1699^2)+'BLAZE SHIELD II'!$D$5*'CALCULO MORTERO'!I1699+'BLAZE SHIELD II'!$D$6)*LN(J1699))+('BLAZE SHIELD II'!$D$7*('CALCULO MORTERO'!I1699^2)+'BLAZE SHIELD II'!$D$8*'CALCULO MORTERO'!I1699+'BLAZE SHIELD II'!$D$9)),0)+IF(AND(L1699="Blaze Shield II",M1699="Software Idiem",C1699="Cj"),((('BLAZE SHIELD II'!$H$4*('CALCULO MORTERO'!I1699^2)+'BLAZE SHIELD II'!$H$5*'CALCULO MORTERO'!I1699+'BLAZE SHIELD II'!$H$6)*LN(J1699))+('BLAZE SHIELD II'!$H$7*('CALCULO MORTERO'!I1699^2)+'BLAZE SHIELD II'!$H$8*'CALCULO MORTERO'!I1699+'BLAZE SHIELD II'!$H$9)),0)+IF(AND(L1699="Blaze Shield II",M1699="Software Idiem",C1699="C"),((('BLAZE SHIELD II'!$L$4*('CALCULO MORTERO'!I1699^2)+'BLAZE SHIELD II'!$L$5*'CALCULO MORTERO'!I1699+'BLAZE SHIELD II'!$L$6)*LN(J1699))+('BLAZE SHIELD II'!$L$7*('CALCULO MORTERO'!I1699^2)+'BLAZE SHIELD II'!$L$8*'CALCULO MORTERO'!I1699+'BLAZE SHIELD II'!$L$9)),0)+IF(AND(L1699="Blaze Shield II",M1699="Software Idiem",C1699="L"),((('BLAZE SHIELD II'!$L$4*('CALCULO MORTERO'!I1699^2)+'BLAZE SHIELD II'!$L$5*'CALCULO MORTERO'!I1699+'BLAZE SHIELD II'!$L$6)*LN(J1699))+('BLAZE SHIELD II'!$L$7*('CALCULO MORTERO'!I1699^2)+'BLAZE SHIELD II'!$L$8*'CALCULO MORTERO'!I1699+'BLAZE SHIELD II'!$L$9)),0)+IF(AND(L1699="Blaze Shield II",M1699="Software Idiem",C1699="IN",G1699=3),((('BLAZE SHIELD II'!$H$14*('CALCULO MORTERO'!I1699^2)+'BLAZE SHIELD II'!$H$15*'CALCULO MORTERO'!I1699+'BLAZE SHIELD II'!$H$16)*LN(J1699))+('BLAZE SHIELD II'!$H$17*('CALCULO MORTERO'!I1699^2)+'BLAZE SHIELD II'!$H$18*'CALCULO MORTERO'!I1699+'BLAZE SHIELD II'!$H$19)),0),0)+ROUND(IF(AND(L1699="Cafco 400",M1699="Software Idiem",C1699="IN",G1699=4),((('CAFCO 400 '!$H$7*(J1699^4)+'CAFCO 400 '!$H$8*(J1699^3)+'CAFCO 400 '!$H$9*(J1699^2)+'CAFCO 400 '!$H$10*J1699+'CAFCO 400 '!$H$11)*U1699^2)+(('CAFCO 400 '!$H$12*(J1699^3)+'CAFCO 400 '!$H$13*(J1699^2)+'CAFCO 400 '!$H$14*J1699+'CAFCO 400 '!$H$15)*U1699)+('CAFCO 400 '!$H$16*(J1699^2)+'CAFCO 400 '!$H$17*J1699+'CAFCO 400 '!$H$18)),0)+IF(AND(L1699="Cafco 400",M1699="Software Idiem",C1699="Cj"),(((('CAFCO 400 '!$D$7*LN(J1699)+'CAFCO 400 '!$D$8)*U1699^2)+(('CAFCO 400 '!$D$9*LN(J1699)+'CAFCO 400 '!$D$10)*U1699)+('CAFCO 400 '!$D$11*LN(J1699)+'CAFCO 400 '!$D$12))),0)+IF(AND(L1699="Cafco 400",M1699="Software Idiem",C1699="C"),((('CAFCO 400 '!$L$7*(J1699^3)+'CAFCO 400 '!$L$8*(J1699^2)+'CAFCO 400 '!$L$9*J1699+'CAFCO 400 '!$L$10)*U1699^2)+(('CAFCO 400 '!$L$11*(J1699^3)+'CAFCO 400 '!$L$12*(J1699^2)+'CAFCO 400 '!$L$13*J1699+'CAFCO 400 '!$L$14)*U1699)+('CAFCO 400 '!$L$15*LN(J1699)+'CAFCO 400 '!$L$16)),0)+IF(AND(L1699="Cafco 400",M1699="Software Idiem",C1699="L"),((('CAFCO 400 '!$L$7*(J1699^3)+'CAFCO 400 '!$L$8*(J1699^2)+'CAFCO 400 '!$L$9*J1699+'CAFCO 400 '!$L$10)*U1699^2)+(('CAFCO 400 '!$L$11*(J1699^3)+'CAFCO 400 '!$L$12*(J1699^2)+'CAFCO 400 '!$L$13*J1699+'CAFCO 400 '!$L$14)*U1699)+('CAFCO 400 '!$L$15*LN(J1699)+'CAFCO 400 '!$L$16)),0)+IF(AND(L1699="Cafco 400",M1699="Software Idiem",C1699="IN",G1699=3),((('CAFCO 400 '!$D$23*(J1699^2)+'CAFCO 400 '!$D$24*(J1699)+'CAFCO 400 '!$D$25)*U1699^2)+(('CAFCO 400 '!$D$26*(J1699^2)+'CAFCO 400 '!$D$27*J1699+'CAFCO 400 '!$D$28)*U1699)+('CAFCO 400 '!$D$29*(J1699^2)+'CAFCO 400 '!$D$30*J1699+'CAFCO 400 '!$D$31)),0),0)+IF(AND(L1699="Cafco 300",J1699&gt;=95,J1699&lt;=240,C1699="Cj",I1699=90),VLOOKUP(T1699,'CAFCO 300 IDIEM TABLAS'!$B$4:$D$23,2,FALSE),0)+IF(AND(L1699="Cafco 300",J1699&gt;=95,J1699&lt;=240,C1699="Cj",I1699=120),VLOOKUP(T1699,'CAFCO 300 IDIEM TABLAS'!$B$4:$D$23,3,FALSE),0)+IF(AND(L1699="Cafco 300",J1699&gt;=95,J1699&lt;=400,G1699=3,C1699="IN",I1699=90),VLOOKUP(T1699,'CAFCO 300 IDIEM TABLAS'!$F$4:$H$35,2,FALSE),0)+IF(AND(L1699="Cafco 300",J1699&gt;=95,J1699&lt;=400,G1699=3,C1699="IN",I1699=120),VLOOKUP(T1699,'CAFCO 300 IDIEM TABLAS'!$F$4:$H$35,3,FALSE),0)+IF(AND(L1699="Cafco 300",J1699&gt;=95,J1699&lt;=450,G1699=4,C1699="IN",I1699=90),VLOOKUP(T1699,'CAFCO 300 IDIEM TABLAS'!$J$4:$L$40,2,FALSE),0)+IF(AND(L1699="Cafco 300",J1699&gt;=95,J1699&lt;=450,G1699=4,C1699="IN",I1699=120),VLOOKUP(T1699,'CAFCO 300 IDIEM TABLAS'!$J$4:$L$40,3,FALSE),0)+IF(AND(M1699="Ensayo Idiem",L1699="Cafco 400",C1699="IN",G1699=4,I1699=90),VLOOKUP(T1699,'CAFCO 400 ENSAYO'!$B$7:$D$43,2,FALSE),0)+IF(AND(M1699="Ensayo Idiem",L1699="Cafco 400",C1699="IN",G1699=4,I1699=120),VLOOKUP(T1699,'CAFCO 400 ENSAYO'!$B$7:$D$43,3,FALSE),0)</f>
        <v>0</v>
      </c>
      <c r="O1699" s="96">
        <f t="shared" si="168"/>
        <v>0</v>
      </c>
      <c r="P1699" s="132" t="str">
        <f t="shared" si="163"/>
        <v>N/A</v>
      </c>
      <c r="Q1699" s="132" t="str">
        <f t="shared" si="164"/>
        <v>N/A</v>
      </c>
      <c r="R1699" s="132" t="str">
        <f t="shared" si="165"/>
        <v>NO CERT.</v>
      </c>
      <c r="S1699" s="132" t="e">
        <f t="shared" si="166"/>
        <v>#N/A</v>
      </c>
      <c r="T1699" s="133" t="e">
        <f>+IF(J1699=LOOKUP(J1699,'CAFCO 300 IDIEM TABLAS'!$J$4:$J$40),'CALCULO MORTERO'!J1699,MROUND('CALCULO MORTERO'!J1699,10))</f>
        <v>#N/A</v>
      </c>
      <c r="U1699" s="134">
        <f t="shared" si="167"/>
        <v>0</v>
      </c>
    </row>
    <row r="1700" spans="1:21" x14ac:dyDescent="0.25">
      <c r="A1700" s="118">
        <f>+CUBICACION!D1694</f>
        <v>0</v>
      </c>
      <c r="B1700" s="819">
        <f>+CUBICACION!E1694</f>
        <v>0</v>
      </c>
      <c r="C1700" s="675">
        <f>+CUBICACION!F1694</f>
        <v>0</v>
      </c>
      <c r="D1700" s="118"/>
      <c r="E1700" s="118"/>
      <c r="F1700" s="820"/>
      <c r="G1700" s="675">
        <f>+CUBICACION!J1694</f>
        <v>0</v>
      </c>
      <c r="H1700" s="118"/>
      <c r="I1700" s="821">
        <f>+CUBICACION!L1694</f>
        <v>0</v>
      </c>
      <c r="J1700" s="64">
        <f>+CUBICACION!M1694</f>
        <v>0</v>
      </c>
      <c r="K1700" s="822">
        <f>+CUBICACION!N1694</f>
        <v>0</v>
      </c>
      <c r="L1700" s="118">
        <f>+CUBICACION!O1694</f>
        <v>0</v>
      </c>
      <c r="M1700" s="823">
        <f>+CUBICACION!P1694</f>
        <v>0</v>
      </c>
      <c r="N1700" s="902">
        <f>ROUND(IF(AND(L1700="Blaze Shield II",M1700="Software Idiem",C1700="IN",G1700=4),((('BLAZE SHIELD II'!$D$4*('CALCULO MORTERO'!I1700^2)+'BLAZE SHIELD II'!$D$5*'CALCULO MORTERO'!I1700+'BLAZE SHIELD II'!$D$6)*LN(J1700))+('BLAZE SHIELD II'!$D$7*('CALCULO MORTERO'!I1700^2)+'BLAZE SHIELD II'!$D$8*'CALCULO MORTERO'!I1700+'BLAZE SHIELD II'!$D$9)),0)+IF(AND(L1700="Blaze Shield II",M1700="Software Idiem",C1700="Cj"),((('BLAZE SHIELD II'!$H$4*('CALCULO MORTERO'!I1700^2)+'BLAZE SHIELD II'!$H$5*'CALCULO MORTERO'!I1700+'BLAZE SHIELD II'!$H$6)*LN(J1700))+('BLAZE SHIELD II'!$H$7*('CALCULO MORTERO'!I1700^2)+'BLAZE SHIELD II'!$H$8*'CALCULO MORTERO'!I1700+'BLAZE SHIELD II'!$H$9)),0)+IF(AND(L1700="Blaze Shield II",M1700="Software Idiem",C1700="C"),((('BLAZE SHIELD II'!$L$4*('CALCULO MORTERO'!I1700^2)+'BLAZE SHIELD II'!$L$5*'CALCULO MORTERO'!I1700+'BLAZE SHIELD II'!$L$6)*LN(J1700))+('BLAZE SHIELD II'!$L$7*('CALCULO MORTERO'!I1700^2)+'BLAZE SHIELD II'!$L$8*'CALCULO MORTERO'!I1700+'BLAZE SHIELD II'!$L$9)),0)+IF(AND(L1700="Blaze Shield II",M1700="Software Idiem",C1700="L"),((('BLAZE SHIELD II'!$L$4*('CALCULO MORTERO'!I1700^2)+'BLAZE SHIELD II'!$L$5*'CALCULO MORTERO'!I1700+'BLAZE SHIELD II'!$L$6)*LN(J1700))+('BLAZE SHIELD II'!$L$7*('CALCULO MORTERO'!I1700^2)+'BLAZE SHIELD II'!$L$8*'CALCULO MORTERO'!I1700+'BLAZE SHIELD II'!$L$9)),0)+IF(AND(L1700="Blaze Shield II",M1700="Software Idiem",C1700="IN",G1700=3),((('BLAZE SHIELD II'!$H$14*('CALCULO MORTERO'!I1700^2)+'BLAZE SHIELD II'!$H$15*'CALCULO MORTERO'!I1700+'BLAZE SHIELD II'!$H$16)*LN(J1700))+('BLAZE SHIELD II'!$H$17*('CALCULO MORTERO'!I1700^2)+'BLAZE SHIELD II'!$H$18*'CALCULO MORTERO'!I1700+'BLAZE SHIELD II'!$H$19)),0),0)+ROUND(IF(AND(L1700="Cafco 400",M1700="Software Idiem",C1700="IN",G1700=4),((('CAFCO 400 '!$H$7*(J1700^4)+'CAFCO 400 '!$H$8*(J1700^3)+'CAFCO 400 '!$H$9*(J1700^2)+'CAFCO 400 '!$H$10*J1700+'CAFCO 400 '!$H$11)*U1700^2)+(('CAFCO 400 '!$H$12*(J1700^3)+'CAFCO 400 '!$H$13*(J1700^2)+'CAFCO 400 '!$H$14*J1700+'CAFCO 400 '!$H$15)*U1700)+('CAFCO 400 '!$H$16*(J1700^2)+'CAFCO 400 '!$H$17*J1700+'CAFCO 400 '!$H$18)),0)+IF(AND(L1700="Cafco 400",M1700="Software Idiem",C1700="Cj"),(((('CAFCO 400 '!$D$7*LN(J1700)+'CAFCO 400 '!$D$8)*U1700^2)+(('CAFCO 400 '!$D$9*LN(J1700)+'CAFCO 400 '!$D$10)*U1700)+('CAFCO 400 '!$D$11*LN(J1700)+'CAFCO 400 '!$D$12))),0)+IF(AND(L1700="Cafco 400",M1700="Software Idiem",C1700="C"),((('CAFCO 400 '!$L$7*(J1700^3)+'CAFCO 400 '!$L$8*(J1700^2)+'CAFCO 400 '!$L$9*J1700+'CAFCO 400 '!$L$10)*U1700^2)+(('CAFCO 400 '!$L$11*(J1700^3)+'CAFCO 400 '!$L$12*(J1700^2)+'CAFCO 400 '!$L$13*J1700+'CAFCO 400 '!$L$14)*U1700)+('CAFCO 400 '!$L$15*LN(J1700)+'CAFCO 400 '!$L$16)),0)+IF(AND(L1700="Cafco 400",M1700="Software Idiem",C1700="L"),((('CAFCO 400 '!$L$7*(J1700^3)+'CAFCO 400 '!$L$8*(J1700^2)+'CAFCO 400 '!$L$9*J1700+'CAFCO 400 '!$L$10)*U1700^2)+(('CAFCO 400 '!$L$11*(J1700^3)+'CAFCO 400 '!$L$12*(J1700^2)+'CAFCO 400 '!$L$13*J1700+'CAFCO 400 '!$L$14)*U1700)+('CAFCO 400 '!$L$15*LN(J1700)+'CAFCO 400 '!$L$16)),0)+IF(AND(L1700="Cafco 400",M1700="Software Idiem",C1700="IN",G1700=3),((('CAFCO 400 '!$D$23*(J1700^2)+'CAFCO 400 '!$D$24*(J1700)+'CAFCO 400 '!$D$25)*U1700^2)+(('CAFCO 400 '!$D$26*(J1700^2)+'CAFCO 400 '!$D$27*J1700+'CAFCO 400 '!$D$28)*U1700)+('CAFCO 400 '!$D$29*(J1700^2)+'CAFCO 400 '!$D$30*J1700+'CAFCO 400 '!$D$31)),0),0)+IF(AND(L1700="Cafco 300",J1700&gt;=95,J1700&lt;=240,C1700="Cj",I1700=90),VLOOKUP(T1700,'CAFCO 300 IDIEM TABLAS'!$B$4:$D$23,2,FALSE),0)+IF(AND(L1700="Cafco 300",J1700&gt;=95,J1700&lt;=240,C1700="Cj",I1700=120),VLOOKUP(T1700,'CAFCO 300 IDIEM TABLAS'!$B$4:$D$23,3,FALSE),0)+IF(AND(L1700="Cafco 300",J1700&gt;=95,J1700&lt;=400,G1700=3,C1700="IN",I1700=90),VLOOKUP(T1700,'CAFCO 300 IDIEM TABLAS'!$F$4:$H$35,2,FALSE),0)+IF(AND(L1700="Cafco 300",J1700&gt;=95,J1700&lt;=400,G1700=3,C1700="IN",I1700=120),VLOOKUP(T1700,'CAFCO 300 IDIEM TABLAS'!$F$4:$H$35,3,FALSE),0)+IF(AND(L1700="Cafco 300",J1700&gt;=95,J1700&lt;=450,G1700=4,C1700="IN",I1700=90),VLOOKUP(T1700,'CAFCO 300 IDIEM TABLAS'!$J$4:$L$40,2,FALSE),0)+IF(AND(L1700="Cafco 300",J1700&gt;=95,J1700&lt;=450,G1700=4,C1700="IN",I1700=120),VLOOKUP(T1700,'CAFCO 300 IDIEM TABLAS'!$J$4:$L$40,3,FALSE),0)+IF(AND(M1700="Ensayo Idiem",L1700="Cafco 400",C1700="IN",G1700=4,I1700=90),VLOOKUP(T1700,'CAFCO 400 ENSAYO'!$B$7:$D$43,2,FALSE),0)+IF(AND(M1700="Ensayo Idiem",L1700="Cafco 400",C1700="IN",G1700=4,I1700=120),VLOOKUP(T1700,'CAFCO 400 ENSAYO'!$B$7:$D$43,3,FALSE),0)</f>
        <v>0</v>
      </c>
      <c r="O1700" s="96">
        <f t="shared" si="168"/>
        <v>0</v>
      </c>
      <c r="P1700" s="95" t="str">
        <f t="shared" si="163"/>
        <v>N/A</v>
      </c>
      <c r="Q1700" s="95" t="str">
        <f t="shared" si="164"/>
        <v>N/A</v>
      </c>
      <c r="R1700" s="95" t="str">
        <f t="shared" si="165"/>
        <v>NO CERT.</v>
      </c>
      <c r="S1700" s="95" t="e">
        <f t="shared" si="166"/>
        <v>#N/A</v>
      </c>
      <c r="T1700" s="119" t="e">
        <f>+IF(J1700=LOOKUP(J1700,'CAFCO 300 IDIEM TABLAS'!$J$4:$J$40),'CALCULO MORTERO'!J1700,MROUND('CALCULO MORTERO'!J1700,10))</f>
        <v>#N/A</v>
      </c>
      <c r="U1700" s="118">
        <f t="shared" si="167"/>
        <v>0</v>
      </c>
    </row>
  </sheetData>
  <autoFilter ref="A8:U1700" xr:uid="{00000000-0001-0000-0300-000000000000}">
    <filterColumn colId="16" showButton="0"/>
  </autoFilter>
  <mergeCells count="27">
    <mergeCell ref="J8:J9"/>
    <mergeCell ref="I8:I9"/>
    <mergeCell ref="H8:H9"/>
    <mergeCell ref="L8:L9"/>
    <mergeCell ref="K8:K9"/>
    <mergeCell ref="I1:K1"/>
    <mergeCell ref="J2:K2"/>
    <mergeCell ref="J3:K3"/>
    <mergeCell ref="J4:K4"/>
    <mergeCell ref="J5:K5"/>
    <mergeCell ref="A2:B2"/>
    <mergeCell ref="G8:G9"/>
    <mergeCell ref="F8:F9"/>
    <mergeCell ref="E8:E9"/>
    <mergeCell ref="D8:D9"/>
    <mergeCell ref="B8:B9"/>
    <mergeCell ref="A8:A9"/>
    <mergeCell ref="C8:C9"/>
    <mergeCell ref="U8:U9"/>
    <mergeCell ref="Q8:R8"/>
    <mergeCell ref="T8:T9"/>
    <mergeCell ref="S8:S9"/>
    <mergeCell ref="K7:L7"/>
    <mergeCell ref="N7:O7"/>
    <mergeCell ref="M8:M9"/>
    <mergeCell ref="N8:N9"/>
    <mergeCell ref="O8:O9"/>
  </mergeCells>
  <phoneticPr fontId="10" type="noConversion"/>
  <conditionalFormatting sqref="A10:A1700">
    <cfRule type="cellIs" dxfId="94" priority="133" operator="equal">
      <formula>"Viga bajo losa"</formula>
    </cfRule>
  </conditionalFormatting>
  <conditionalFormatting sqref="G10:G1700">
    <cfRule type="cellIs" dxfId="93" priority="172" operator="equal">
      <formula>4</formula>
    </cfRule>
    <cfRule type="cellIs" dxfId="92" priority="173" operator="equal">
      <formula>3</formula>
    </cfRule>
  </conditionalFormatting>
  <conditionalFormatting sqref="O1 O5 S1 S5 W1 L1:N4 Z1:Z5 W5">
    <cfRule type="cellIs" dxfId="91" priority="1114" operator="equal">
      <formula>"CERT."</formula>
    </cfRule>
    <cfRule type="cellIs" dxfId="90" priority="1115" operator="equal">
      <formula>"NO CERT."</formula>
    </cfRule>
  </conditionalFormatting>
  <conditionalFormatting sqref="O1 S1 W1 N1:N4">
    <cfRule type="cellIs" dxfId="89" priority="1117" operator="equal">
      <formula>"No cert."</formula>
    </cfRule>
  </conditionalFormatting>
  <conditionalFormatting sqref="O1:O5 K5 S6 R7:S7 P7:P8 S8:S9 P10:P1048576 R10:S1048576">
    <cfRule type="containsText" dxfId="88" priority="13" operator="containsText" text="CERTIFICABLE">
      <formula>NOT(ISERROR(SEARCH("CERTIFICABLE",K1)))</formula>
    </cfRule>
    <cfRule type="containsText" dxfId="87" priority="14" operator="containsText" text="NO CERTIFICABLE">
      <formula>NOT(ISERROR(SEARCH("NO CERTIFICABLE",K1)))</formula>
    </cfRule>
  </conditionalFormatting>
  <conditionalFormatting sqref="P1 I1:I5 P7:P1048576">
    <cfRule type="containsText" dxfId="86" priority="10" operator="containsText" text="NO CERT.">
      <formula>NOT(ISERROR(SEARCH("NO CERT.",I1)))</formula>
    </cfRule>
    <cfRule type="containsText" dxfId="85" priority="11" operator="containsText" text="CERT.">
      <formula>NOT(ISERROR(SEARCH("CERT.",I1)))</formula>
    </cfRule>
  </conditionalFormatting>
  <conditionalFormatting sqref="P7 R7:T7">
    <cfRule type="cellIs" dxfId="84" priority="1153" operator="equal">
      <formula>"No es certificable por WB7"</formula>
    </cfRule>
    <cfRule type="cellIs" dxfId="83" priority="1154" operator="equal">
      <formula>"No es certificable por Fire Tex"</formula>
    </cfRule>
    <cfRule type="cellIs" dxfId="82" priority="1155" operator="equal">
      <formula>"No es certificable por Fire Control"</formula>
    </cfRule>
    <cfRule type="cellIs" dxfId="81" priority="1156" operator="equal">
      <formula>"Certificable"</formula>
    </cfRule>
  </conditionalFormatting>
  <conditionalFormatting sqref="P7:P8 P10:P1048576 S6 R7:S7 S8:S9 R10:S1048576 O1:O5 K5">
    <cfRule type="cellIs" dxfId="80" priority="12" operator="equal">
      <formula>"NO CERTIFICABLE"</formula>
    </cfRule>
  </conditionalFormatting>
  <conditionalFormatting sqref="R1 Q7:Q1048576">
    <cfRule type="cellIs" dxfId="79" priority="5" operator="equal">
      <formula>"NO CERT."</formula>
    </cfRule>
    <cfRule type="containsText" dxfId="78" priority="6" operator="containsText" text="CERT.">
      <formula>NOT(ISERROR(SEARCH("CERT.",Q1)))</formula>
    </cfRule>
  </conditionalFormatting>
  <conditionalFormatting sqref="R7 R9:R1048576">
    <cfRule type="containsText" dxfId="77" priority="3" operator="containsText" text="NO CERT.">
      <formula>NOT(ISERROR(SEARCH("NO CERT.",R7)))</formula>
    </cfRule>
    <cfRule type="cellIs" dxfId="76" priority="4" operator="equal">
      <formula>"CERT."</formula>
    </cfRule>
  </conditionalFormatting>
  <conditionalFormatting sqref="S1:S1048576">
    <cfRule type="containsText" dxfId="75" priority="1" operator="containsText" text="NO CERT.">
      <formula>NOT(ISERROR(SEARCH("NO CERT.",S1)))</formula>
    </cfRule>
    <cfRule type="containsText" dxfId="74" priority="2" operator="containsText" text="CERT.">
      <formula>NOT(ISERROR(SEARCH("CERT.",S1)))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/>
  </sheetPr>
  <dimension ref="A1:Z1921"/>
  <sheetViews>
    <sheetView showGridLines="0" topLeftCell="D1" zoomScale="55" zoomScaleNormal="55" workbookViewId="0">
      <pane ySplit="9" topLeftCell="A69" activePane="bottomLeft" state="frozen"/>
      <selection activeCell="H1" sqref="H1"/>
      <selection pane="bottomLeft" activeCell="P107" sqref="P107"/>
    </sheetView>
  </sheetViews>
  <sheetFormatPr baseColWidth="10" defaultColWidth="9.140625" defaultRowHeight="15.75" x14ac:dyDescent="0.25"/>
  <cols>
    <col min="1" max="1" width="23.28515625" style="645" hidden="1" customWidth="1"/>
    <col min="2" max="2" width="12.42578125" style="645" hidden="1" customWidth="1"/>
    <col min="3" max="3" width="15.85546875" style="4" hidden="1" customWidth="1"/>
    <col min="4" max="4" width="23" style="4" bestFit="1" customWidth="1"/>
    <col min="5" max="5" width="10.5703125" style="4" customWidth="1"/>
    <col min="6" max="6" width="26.42578125" style="4" bestFit="1" customWidth="1"/>
    <col min="7" max="7" width="12.42578125" style="4" hidden="1" customWidth="1"/>
    <col min="8" max="8" width="16.5703125" style="4" hidden="1" customWidth="1"/>
    <col min="9" max="9" width="9.140625" style="7" hidden="1" customWidth="1"/>
    <col min="10" max="10" width="11.85546875" style="4" customWidth="1"/>
    <col min="11" max="11" width="14" style="4" hidden="1" customWidth="1"/>
    <col min="12" max="12" width="11" style="4" customWidth="1"/>
    <col min="13" max="13" width="10.28515625" style="5" customWidth="1"/>
    <col min="14" max="14" width="11.85546875" style="5" bestFit="1" customWidth="1"/>
    <col min="15" max="15" width="16.42578125" style="4" customWidth="1"/>
    <col min="16" max="16" width="14.140625" style="4" customWidth="1"/>
    <col min="17" max="17" width="12" style="4" customWidth="1"/>
    <col min="18" max="18" width="13.5703125" style="4" customWidth="1"/>
    <col min="19" max="19" width="12.7109375" style="4" customWidth="1"/>
    <col min="20" max="20" width="13.5703125" style="4" customWidth="1"/>
    <col min="21" max="21" width="16.140625" style="4" customWidth="1"/>
    <col min="22" max="22" width="16.28515625" style="16" customWidth="1"/>
    <col min="23" max="23" width="9.140625" style="25"/>
    <col min="24" max="24" width="17" style="4" customWidth="1"/>
    <col min="25" max="25" width="10" style="4" customWidth="1"/>
    <col min="26" max="26" width="14" style="4" customWidth="1"/>
    <col min="27" max="16384" width="9.140625" style="4"/>
  </cols>
  <sheetData>
    <row r="1" spans="1:26" ht="16.5" customHeight="1" thickBot="1" x14ac:dyDescent="0.3">
      <c r="A1" s="21"/>
      <c r="B1" s="662"/>
      <c r="I1" s="4"/>
      <c r="L1" s="855"/>
      <c r="M1" s="854"/>
      <c r="N1" s="1068"/>
      <c r="O1" s="1068"/>
      <c r="P1" s="21"/>
      <c r="R1" s="22" t="s">
        <v>26</v>
      </c>
      <c r="S1" s="29" t="s">
        <v>11</v>
      </c>
      <c r="T1" s="29" t="s">
        <v>152</v>
      </c>
      <c r="U1" s="23" t="s">
        <v>57</v>
      </c>
      <c r="V1" s="4"/>
      <c r="W1" s="4"/>
    </row>
    <row r="2" spans="1:26" ht="15.75" customHeight="1" x14ac:dyDescent="0.25">
      <c r="A2" s="21"/>
      <c r="B2" s="662"/>
      <c r="E2" s="1066" t="s">
        <v>23</v>
      </c>
      <c r="F2" s="1067"/>
      <c r="I2" s="4"/>
      <c r="L2" s="1068"/>
      <c r="M2" s="1068"/>
      <c r="N2" s="1069"/>
      <c r="O2" s="1069"/>
      <c r="P2"/>
      <c r="Q2"/>
      <c r="R2" s="852" t="s">
        <v>138</v>
      </c>
      <c r="S2" s="851">
        <f>SUMIF($O$10:$O$1621,R2,$N$10:$N$1621)</f>
        <v>0</v>
      </c>
      <c r="T2" s="851">
        <f>ROUNDUP(SUMIF($O$10:$O$365,R2,$S$10:$S$1621),0)</f>
        <v>0</v>
      </c>
      <c r="U2" s="853">
        <f>+'COT. F.CONTROL'!F25</f>
        <v>115000</v>
      </c>
      <c r="V2" s="4"/>
      <c r="W2" s="4"/>
    </row>
    <row r="3" spans="1:26" ht="16.5" thickBot="1" x14ac:dyDescent="0.3">
      <c r="A3" s="21"/>
      <c r="B3" s="662"/>
      <c r="E3" s="69" t="s">
        <v>27</v>
      </c>
      <c r="F3" s="70" t="s">
        <v>24</v>
      </c>
      <c r="I3" s="4"/>
      <c r="L3" s="1069"/>
      <c r="M3" s="1069"/>
      <c r="N3" s="1070"/>
      <c r="O3" s="1070"/>
      <c r="P3"/>
      <c r="Q3"/>
      <c r="R3" s="852" t="s">
        <v>530</v>
      </c>
      <c r="S3" s="851">
        <f>SUMIF($O$10:$O$1621,R3,$N$10:$N$1621)</f>
        <v>0</v>
      </c>
      <c r="T3" s="851">
        <f>ROUNDUP(SUMIF($O$10:$O$365,R3,$S$10:$S$1621),0)</f>
        <v>0</v>
      </c>
      <c r="U3" s="853">
        <v>110000</v>
      </c>
      <c r="V3" s="4"/>
      <c r="W3" s="4"/>
    </row>
    <row r="4" spans="1:26" x14ac:dyDescent="0.25">
      <c r="A4" s="21"/>
      <c r="B4" s="662"/>
      <c r="E4" s="841" t="s">
        <v>19</v>
      </c>
      <c r="F4" s="842" t="s">
        <v>536</v>
      </c>
      <c r="I4" s="4"/>
      <c r="L4" s="855"/>
      <c r="M4" s="855"/>
      <c r="N4" s="1071"/>
      <c r="O4" s="1071"/>
      <c r="P4"/>
      <c r="Q4"/>
      <c r="R4" s="852" t="s">
        <v>529</v>
      </c>
      <c r="S4" s="851">
        <f>SUMIF($O$10:$O$1621,R4,$N$10:$N$1621)</f>
        <v>1877.384</v>
      </c>
      <c r="T4" s="851">
        <f>ROUNDUP(SUMIF($O$10:$O$365,R4,$S$10:$S$1621),0)</f>
        <v>496</v>
      </c>
      <c r="U4" s="650"/>
      <c r="V4" s="4"/>
      <c r="W4" s="4"/>
    </row>
    <row r="5" spans="1:26" ht="16.5" thickBot="1" x14ac:dyDescent="0.3">
      <c r="B5" s="4"/>
      <c r="E5" s="73" t="s">
        <v>100</v>
      </c>
      <c r="F5" s="74" t="s">
        <v>537</v>
      </c>
      <c r="I5" s="4"/>
      <c r="L5" s="855"/>
      <c r="M5" s="855"/>
      <c r="N5" s="1071"/>
      <c r="O5" s="1071"/>
      <c r="R5" s="852" t="s">
        <v>528</v>
      </c>
      <c r="S5" s="851">
        <f>SUMIF($O$10:$O$1621,R5,$N$10:$N$1621)</f>
        <v>0</v>
      </c>
      <c r="T5" s="851">
        <f>ROUNDUP(SUMIF($O$10:$O$365,R5,$S$10:$S$1621),0)</f>
        <v>0</v>
      </c>
      <c r="U5" s="853">
        <v>110000</v>
      </c>
      <c r="V5" s="4"/>
      <c r="W5" s="4"/>
    </row>
    <row r="6" spans="1:26" ht="18.75" customHeight="1" thickBot="1" x14ac:dyDescent="0.3">
      <c r="B6" s="4"/>
      <c r="I6" s="4"/>
      <c r="L6" s="855"/>
      <c r="M6" s="855"/>
      <c r="N6" s="1071"/>
      <c r="O6" s="1071"/>
      <c r="P6"/>
      <c r="R6" s="848" t="s">
        <v>31</v>
      </c>
      <c r="S6" s="849" t="e">
        <f ca="1">SUM(S2:S6)</f>
        <v>#VALUE!</v>
      </c>
      <c r="T6" s="849" t="e">
        <f ca="1">SUM(T2:T6)</f>
        <v>#N/A</v>
      </c>
      <c r="U6" s="850"/>
      <c r="V6" s="4"/>
      <c r="W6" s="4"/>
    </row>
    <row r="7" spans="1:26" ht="16.5" customHeight="1" x14ac:dyDescent="0.25">
      <c r="M7" s="21"/>
      <c r="N7" s="1038"/>
      <c r="O7" s="1038"/>
      <c r="P7"/>
      <c r="Q7" s="35"/>
      <c r="W7" s="4"/>
    </row>
    <row r="8" spans="1:26" ht="18.75" customHeight="1" x14ac:dyDescent="0.25">
      <c r="A8" s="1072" t="s">
        <v>144</v>
      </c>
      <c r="B8" s="1072" t="s">
        <v>145</v>
      </c>
      <c r="C8" s="1074" t="s">
        <v>146</v>
      </c>
      <c r="D8" s="1072" t="s">
        <v>4</v>
      </c>
      <c r="E8" s="1074" t="s">
        <v>18</v>
      </c>
      <c r="F8" s="1072" t="s">
        <v>5</v>
      </c>
      <c r="G8" s="1072" t="s">
        <v>6</v>
      </c>
      <c r="H8" s="1074" t="s">
        <v>7</v>
      </c>
      <c r="I8" s="1076" t="s">
        <v>8</v>
      </c>
      <c r="J8" s="1074" t="s">
        <v>148</v>
      </c>
      <c r="K8" s="1074" t="s">
        <v>9</v>
      </c>
      <c r="L8" s="1074" t="s">
        <v>0</v>
      </c>
      <c r="M8" s="1080" t="s">
        <v>1</v>
      </c>
      <c r="N8" s="1080" t="s">
        <v>2</v>
      </c>
      <c r="O8" s="1074" t="s">
        <v>3</v>
      </c>
      <c r="P8" s="1072" t="s">
        <v>149</v>
      </c>
      <c r="Q8" s="1072" t="s">
        <v>150</v>
      </c>
      <c r="R8" s="1072" t="s">
        <v>151</v>
      </c>
      <c r="S8" s="1074" t="s">
        <v>152</v>
      </c>
      <c r="T8" s="1074" t="s">
        <v>469</v>
      </c>
      <c r="U8" s="1074" t="s">
        <v>30</v>
      </c>
      <c r="V8" s="1078" t="s">
        <v>535</v>
      </c>
      <c r="W8" s="4"/>
    </row>
    <row r="9" spans="1:26" ht="54" customHeight="1" thickBot="1" x14ac:dyDescent="0.3">
      <c r="A9" s="1073"/>
      <c r="B9" s="1073"/>
      <c r="C9" s="1075"/>
      <c r="D9" s="1073"/>
      <c r="E9" s="1075"/>
      <c r="F9" s="1073"/>
      <c r="G9" s="1073"/>
      <c r="H9" s="1075"/>
      <c r="I9" s="1077"/>
      <c r="J9" s="1075"/>
      <c r="K9" s="1075"/>
      <c r="L9" s="1075"/>
      <c r="M9" s="1081"/>
      <c r="N9" s="1081"/>
      <c r="O9" s="1075"/>
      <c r="P9" s="1073"/>
      <c r="Q9" s="1073"/>
      <c r="R9" s="1073"/>
      <c r="S9" s="1075"/>
      <c r="T9" s="1075"/>
      <c r="U9" s="1075"/>
      <c r="V9" s="1079"/>
      <c r="W9" s="4"/>
    </row>
    <row r="10" spans="1:26" x14ac:dyDescent="0.25">
      <c r="A10" s="646" t="s">
        <v>406</v>
      </c>
      <c r="B10" s="647" t="s">
        <v>407</v>
      </c>
      <c r="C10" s="9" t="s">
        <v>408</v>
      </c>
      <c r="D10" s="118" t="str">
        <f>+CUBICACION!D9</f>
        <v>PILAR</v>
      </c>
      <c r="E10" s="118" t="str">
        <f>+CUBICACION!F9</f>
        <v>CJ</v>
      </c>
      <c r="F10" s="118" t="str">
        <f>+CUBICACION!E9</f>
        <v>MM 400X200X4</v>
      </c>
      <c r="G10" s="118">
        <v>12</v>
      </c>
      <c r="H10" s="118">
        <v>2</v>
      </c>
      <c r="I10" s="820">
        <v>26385</v>
      </c>
      <c r="J10" s="118">
        <f>+CUBICACION!J9</f>
        <v>4</v>
      </c>
      <c r="K10" s="118">
        <v>2784</v>
      </c>
      <c r="L10" s="118" t="str">
        <f>+CUBICACION!L9</f>
        <v>F-60</v>
      </c>
      <c r="M10" s="64">
        <f>+CUBICACION!M9</f>
        <v>236</v>
      </c>
      <c r="N10" s="824">
        <f>+CUBICACION!N9</f>
        <v>12</v>
      </c>
      <c r="O10" s="675" t="str">
        <f>+CUBICACION!O9</f>
        <v>Fire Tex 5090</v>
      </c>
      <c r="P10" s="15">
        <f>IF(O10="Fire Control",VLOOKUP(_xlfn.MINIFS('FIRE CONTROL'!$C$4:$C$37,'FIRE CONTROL'!$C$4:$C$37,"&gt;="&amp;M10),'FIRE CONTROL'!$C$4:$G$37,IF(L10="F-15",2,IF(L10="F-30",3,IF(L10="F-60",4,IF(L10="F-90",5,0)))),0),0)+IF(AND(O10="FIRE TEX 5062",OR(E10="IN",E10="C",E10="Z",E10="L"),J10=3),VLOOKUP(_xlfn.MINIFS('FIRE TEX 5062'!$B$4:$B$34,'FIRE TEX 5062'!$B$4:$B$34,"&gt;="&amp;M10),'FIRE TEX 5062'!$B$4:$F$34,IF(L10="F-15",2,IF(L10="F-30",3,IF(L10="F-60",4,IF(L10="F-90",5,0)))),0),0)+IF(AND(O10="FIRE TEX 5062",OR(E10="IN",E10="C",E10="Z",E10="L"),J10=4),VLOOKUP(_xlfn.MINIFS('FIRE TEX 5062'!$G$4:$G$34,'FIRE TEX 5062'!$G$4:$G$34,"&gt;="&amp;M10),'FIRE TEX 5062'!$G$4:$K$34,IF(L10="F-15",2,IF(L10="F-30",3,IF(L10="F-60",4,IF(L10="F-90",5,0)))),0),0)+IF(AND(O10="FIRE TEX 5062",E10="CJ",J10=3),VLOOKUP(_xlfn.MINIFS('FIRE TEX 5062'!$L$4:$L$34,'FIRE TEX 5062'!$L$4:$L$34,"&gt;="&amp;M10),'FIRE TEX 5062'!$L$4:$P$34,IF(L10="F-15",2,IF(L10="F-30",3,IF(L10="F-60",4,IF(L10="F-90",5,0)))),0),0)+IF(AND(O10="FIRE TEX 5062",E10="CJ",J10=4),VLOOKUP(_xlfn.MINIFS('FIRE TEX 5062'!$Q$3:$Q$34,'FIRE TEX 5062'!$Q$3:$Q$34,"&gt;="&amp;M10),'FIRE TEX 5062'!$Q$3:$U$34,IF(L10="F-15",2,IF(L10="F-30",3,IF(L10="F-60",4,IF(L10="F-90",5,0)))),0),0)+IF(AND(O10="FIRE TEX 5090",OR(E10="IN",E10="C",E10="Z",E10="L"),J10=3),VLOOKUP(_xlfn.MINIFS('FIRE TEX 5090'!$B$5:$B$43,'FIRE TEX 5090'!$B$5:$B$43,"&gt;="&amp;M10),'FIRE TEX 5090'!$B$5:$H$43,IF(L10="F-15",2,IF(L10="F-30",3,IF(L10="F-60",4,IF(L10="F-90",5,IF(L10="F-120",6,IF(L10="F-150",7,0)))))),0),0)+IF(AND(O10="FIRE TEX 5090",OR(E10="IN",E10="C",E10="Z",E10="L"),J10=4),VLOOKUP(_xlfn.MINIFS('FIRE TEX 5090'!$J$5:$J$43,'FIRE TEX 5090'!$J$5:$J$43,"&gt;="&amp;M10),'FIRE TEX 5090'!$J$5:$P$43,IF(L10="F-15",2,IF(L10="F-30",3,IF(L10="F-60",4,IF(L10="F-90",5,IF(L10="F-120",6,IF(L10="F-150",7,0)))))),0),0)+IF(AND(O10="FIRE TEX 5090",E10="CJ",J10=3),VLOOKUP(_xlfn.MINIFS('FIRE TEX 5090'!$R$5:$R$30,'FIRE TEX 5090'!$R$5:$R$30,"&gt;="&amp;M10),'FIRE TEX 5090'!$R$5:$W$30,IF(L10="F-15",2,IF(L10="F-30",3,IF(L10="F-60",4,IF(L10="F-90",5,IF(L10="F-120",6,IF(L10="F-150",7,0)))))),0),0)+IF(AND(O10="FIRE TEX 5090",E10="CJ",J10=4),VLOOKUP(_xlfn.MINIFS('FIRE TEX 5090'!$Y$5:$Y$39,'FIRE TEX 5090'!$Y$5:$Y$39,"&gt;="&amp;M10),'FIRE TEX 5090'!$Y$5:$AD$39,IF(L10="F-15",2,IF(L10="F-30",3,IF(L10="F-60",4,IF(L10="F-90",5,IF(L10="F-120",6,IF(L10="F-150",7,0)))))),0),0)+IF(AND(O10="FIRE TEX 5120",OR(E10="IN",E10="C",E10="Z",E10="L"),J10=3),VLOOKUP(_xlfn.MINIFS('FIRE TEX 5120'!$B$5:$B$40,'FIRE TEX 5120'!$B$5:$B$40,"&gt;="&amp;M10),'FIRE TEX 5120'!$B$5:$G$40,IF(L10="F-15",2,IF(L10="F-30",3,IF(L10="F-60",4,IF(L10="F-90",5,IF(L10="F-120",6,0))))),0),0)+IF(AND(O10="FIRE TEX 5120",OR(E10="IN",E10="C",E10="Z",E10="L"),J10=4),VLOOKUP(_xlfn.MINIFS('FIRE TEX 5120'!$H$4:$H$40,'FIRE TEX 5120'!$H$4:$H$40,"&gt;="&amp;M10),'FIRE TEX 5120'!$H$4:$M$40,IF(L10="F-15",2,IF(L10="F-30",3,IF(L10="F-60",4,IF(L10="F-90",5,IF(L10="F-120",6,0))))),0),0)+IF(AND(O10="FIRE TEX 5120",E10="CJ"),VLOOKUP(_xlfn.MINIFS('FIRE TEX 5120'!$O$5:$O$40,'FIRE TEX 5120'!$O$5:$O$40,"&gt;="&amp;M10),'FIRE TEX 5120'!$O$5:$T$40,IF(L10="F-15",2,IF(L10="F-30",3,IF(L10="F-60",4,IF(L10="F-90",5,IF(L10="F-120",6,0))))),0),0)</f>
        <v>2196</v>
      </c>
      <c r="Q10" s="648">
        <f>IF(P10="","",IF(P10="dar valor","",0.03937*P10))</f>
        <v>86.456520000000012</v>
      </c>
      <c r="R10" s="46">
        <f>+(IF(O10="Fire Control",((65*1.5/Q10)*0.75*4),0))+(IF(OR(O10="Fire Tex 5062",O10="Fire Tex 5090",O10="Fire Tex 5120"),((66*1.5/Q10)*0.7*5),0))</f>
        <v>4.0077949008357026</v>
      </c>
      <c r="S10" s="648">
        <f>IF(R10="","",+N10/R10)</f>
        <v>2.9941651948051953</v>
      </c>
      <c r="T10" s="677">
        <f>(IF(O10="Stofire",(S10/(7*1)),0))+(IF(O10="Fire Control",(S10/(7*1)),0))+(IF(O10="Fire Tex",(S10/(7*1)),0))+(IF(O10="WB7",(S10/(7*1)),0))+(IF(O10="FX 2003",(S10/(7*1)),0))</f>
        <v>0</v>
      </c>
      <c r="U10" s="80">
        <f>(IF(O10="Stofire",(S10*#REF!),0))+(IF(O10="Fire Control",(S10*$U$2),0))+(IF(O10="Fire Tex",(S10*$U$3),0))+(IF(O10="WB7",(S10*#REF!),0)+(IF(O10="FX 2003",(S10*$U$5),0)))</f>
        <v>0</v>
      </c>
      <c r="V10" s="649">
        <f>_xlfn.CEILING.MATH(M10,10)</f>
        <v>240</v>
      </c>
      <c r="W10" s="4"/>
    </row>
    <row r="11" spans="1:26" ht="16.5" thickBot="1" x14ac:dyDescent="0.3">
      <c r="A11" s="652" t="s">
        <v>406</v>
      </c>
      <c r="B11" s="653" t="s">
        <v>407</v>
      </c>
      <c r="C11" s="1" t="s">
        <v>408</v>
      </c>
      <c r="D11" s="118" t="str">
        <f>+CUBICACION!D10</f>
        <v>PILAR</v>
      </c>
      <c r="E11" s="118" t="str">
        <f>+CUBICACION!F10</f>
        <v>CJ</v>
      </c>
      <c r="F11" s="118" t="str">
        <f>+CUBICACION!E10</f>
        <v>MM 400X200X4</v>
      </c>
      <c r="G11" s="118">
        <v>12</v>
      </c>
      <c r="H11" s="118">
        <v>2</v>
      </c>
      <c r="I11" s="820">
        <v>26385</v>
      </c>
      <c r="J11" s="118">
        <f>+CUBICACION!J10</f>
        <v>4</v>
      </c>
      <c r="K11" s="118">
        <v>2785</v>
      </c>
      <c r="L11" s="118" t="str">
        <f>+CUBICACION!L10</f>
        <v>F-60</v>
      </c>
      <c r="M11" s="64">
        <f>+CUBICACION!M10</f>
        <v>236</v>
      </c>
      <c r="N11" s="824">
        <f>+CUBICACION!N10</f>
        <v>72</v>
      </c>
      <c r="O11" s="675" t="str">
        <f>+CUBICACION!O10</f>
        <v>Fire Tex 5090</v>
      </c>
      <c r="P11" s="15">
        <f>IF(O11="Fire Control",VLOOKUP(_xlfn.MINIFS('FIRE CONTROL'!$C$4:$C$37,'FIRE CONTROL'!$C$4:$C$37,"&gt;="&amp;M11),'FIRE CONTROL'!$C$4:$G$37,IF(L11="F-15",2,IF(L11="F-30",3,IF(L11="F-60",4,IF(L11="F-90",5,0)))),0),0)+IF(AND(O11="FIRE TEX 5062",OR(E11="IN",E11="C",E11="Z",E11="L"),J11=3),VLOOKUP(_xlfn.MINIFS('FIRE TEX 5062'!$B$4:$B$34,'FIRE TEX 5062'!$B$4:$B$34,"&gt;="&amp;M11),'FIRE TEX 5062'!$B$4:$F$34,IF(L11="F-15",2,IF(L11="F-30",3,IF(L11="F-60",4,IF(L11="F-90",5,0)))),0),0)+IF(AND(O11="FIRE TEX 5062",OR(E11="IN",E11="C",E11="Z",E11="L"),J11=4),VLOOKUP(_xlfn.MINIFS('FIRE TEX 5062'!$G$4:$G$34,'FIRE TEX 5062'!$G$4:$G$34,"&gt;="&amp;M11),'FIRE TEX 5062'!$G$4:$K$34,IF(L11="F-15",2,IF(L11="F-30",3,IF(L11="F-60",4,IF(L11="F-90",5,0)))),0),0)+IF(AND(O11="FIRE TEX 5062",E11="CJ",J11=3),VLOOKUP(_xlfn.MINIFS('FIRE TEX 5062'!$L$4:$L$34,'FIRE TEX 5062'!$L$4:$L$34,"&gt;="&amp;M11),'FIRE TEX 5062'!$L$4:$P$34,IF(L11="F-15",2,IF(L11="F-30",3,IF(L11="F-60",4,IF(L11="F-90",5,0)))),0),0)+IF(AND(O11="FIRE TEX 5062",E11="CJ",J11=4),VLOOKUP(_xlfn.MINIFS('FIRE TEX 5062'!$Q$3:$Q$34,'FIRE TEX 5062'!$Q$3:$Q$34,"&gt;="&amp;M11),'FIRE TEX 5062'!$Q$3:$U$34,IF(L11="F-15",2,IF(L11="F-30",3,IF(L11="F-60",4,IF(L11="F-90",5,0)))),0),0)+IF(AND(O11="FIRE TEX 5090",OR(E11="IN",E11="C",E11="Z",E11="L"),J11=3),VLOOKUP(_xlfn.MINIFS('FIRE TEX 5090'!$B$5:$B$43,'FIRE TEX 5090'!$B$5:$B$43,"&gt;="&amp;M11),'FIRE TEX 5090'!$B$5:$H$43,IF(L11="F-15",2,IF(L11="F-30",3,IF(L11="F-60",4,IF(L11="F-90",5,IF(L11="F-120",6,IF(L11="F-150",7,0)))))),0),0)+IF(AND(O11="FIRE TEX 5090",OR(E11="IN",E11="C",E11="Z",E11="L"),J11=4),VLOOKUP(_xlfn.MINIFS('FIRE TEX 5090'!$J$5:$J$43,'FIRE TEX 5090'!$J$5:$J$43,"&gt;="&amp;M11),'FIRE TEX 5090'!$J$5:$P$43,IF(L11="F-15",2,IF(L11="F-30",3,IF(L11="F-60",4,IF(L11="F-90",5,IF(L11="F-120",6,IF(L11="F-150",7,0)))))),0),0)+IF(AND(O11="FIRE TEX 5090",E11="CJ",J11=3),VLOOKUP(_xlfn.MINIFS('FIRE TEX 5090'!$R$5:$R$30,'FIRE TEX 5090'!$R$5:$R$30,"&gt;="&amp;M11),'FIRE TEX 5090'!$R$5:$W$30,IF(L11="F-15",2,IF(L11="F-30",3,IF(L11="F-60",4,IF(L11="F-90",5,IF(L11="F-120",6,IF(L11="F-150",7,0)))))),0),0)+IF(AND(O11="FIRE TEX 5090",E11="CJ",J11=4),VLOOKUP(_xlfn.MINIFS('FIRE TEX 5090'!$Y$5:$Y$39,'FIRE TEX 5090'!$Y$5:$Y$39,"&gt;="&amp;M11),'FIRE TEX 5090'!$Y$5:$AD$39,IF(L11="F-15",2,IF(L11="F-30",3,IF(L11="F-60",4,IF(L11="F-90",5,IF(L11="F-120",6,IF(L11="F-150",7,0)))))),0),0)+IF(AND(O11="FIRE TEX 5120",OR(E11="IN",E11="C",E11="Z",E11="L"),J11=3),VLOOKUP(_xlfn.MINIFS('FIRE TEX 5120'!$B$5:$B$40,'FIRE TEX 5120'!$B$5:$B$40,"&gt;="&amp;M11),'FIRE TEX 5120'!$B$5:$G$40,IF(L11="F-15",2,IF(L11="F-30",3,IF(L11="F-60",4,IF(L11="F-90",5,IF(L11="F-120",6,0))))),0),0)+IF(AND(O11="FIRE TEX 5120",OR(E11="IN",E11="C",E11="Z",E11="L"),J11=4),VLOOKUP(_xlfn.MINIFS('FIRE TEX 5120'!$H$4:$H$40,'FIRE TEX 5120'!$H$4:$H$40,"&gt;="&amp;M11),'FIRE TEX 5120'!$H$4:$M$40,IF(L11="F-15",2,IF(L11="F-30",3,IF(L11="F-60",4,IF(L11="F-90",5,IF(L11="F-120",6,0))))),0),0)+IF(AND(O11="FIRE TEX 5120",E11="CJ"),VLOOKUP(_xlfn.MINIFS('FIRE TEX 5120'!$O$5:$O$40,'FIRE TEX 5120'!$O$5:$O$40,"&gt;="&amp;M11),'FIRE TEX 5120'!$O$5:$T$40,IF(L11="F-15",2,IF(L11="F-30",3,IF(L11="F-60",4,IF(L11="F-90",5,IF(L11="F-120",6,0))))),0),0)</f>
        <v>2196</v>
      </c>
      <c r="Q11" s="46">
        <f t="shared" ref="Q11:Q73" si="0">IF(P11="","",IF(P11="dar valor","",0.03937*P11))</f>
        <v>86.456520000000012</v>
      </c>
      <c r="R11" s="46">
        <f t="shared" ref="R11:R26" si="1">+(IF(O11="Fire Control",((65*1.5/Q11)*0.75*4),0))+(IF(OR(O11="Fire Tex 5062",O11="Fire Tex 5090",O11="Fire Tex 5120"),((66*1.5/Q11)*0.7*5),0))</f>
        <v>4.0077949008357026</v>
      </c>
      <c r="S11" s="46">
        <f t="shared" ref="S11:S73" si="2">IF(R11="","",+N11/R11)</f>
        <v>17.964991168831173</v>
      </c>
      <c r="T11" s="677">
        <f t="shared" ref="T11:T74" si="3">(IF(O11="Stofire",(S11/(7*1)),0))+(IF(O11="Fire Control",(S11/(7*1)),0))+(IF(O11="Fire Tex",(S11/(7*1)),0))+(IF(O11="WB7",(S11/(7*1)),0))+(IF(O11="FX 2003",(S11/(7*1)),0))</f>
        <v>0</v>
      </c>
      <c r="U11" s="80">
        <f>(IF(O11="Stofire",(S11*#REF!),0))+(IF(O11="Fire Control",(S11*$U$2),0))+(IF(O11="Fire Tex",(S11*$U$3),0))+(IF(O11="WB7",(S11*#REF!),0)+(IF(O11="FX 2003",(S11*$U$5),0)))</f>
        <v>0</v>
      </c>
      <c r="V11" s="651">
        <f>_xlfn.CEILING.MATH(M11,10)</f>
        <v>240</v>
      </c>
      <c r="W11" s="4"/>
    </row>
    <row r="12" spans="1:26" ht="18.75" thickBot="1" x14ac:dyDescent="0.3">
      <c r="A12" s="652" t="s">
        <v>409</v>
      </c>
      <c r="B12" s="653" t="s">
        <v>410</v>
      </c>
      <c r="C12" s="1" t="s">
        <v>408</v>
      </c>
      <c r="D12" s="118" t="str">
        <f>+CUBICACION!D11</f>
        <v>PILAR</v>
      </c>
      <c r="E12" s="118" t="str">
        <f>+CUBICACION!F11</f>
        <v>CJ</v>
      </c>
      <c r="F12" s="118" t="str">
        <f>+CUBICACION!E11</f>
        <v>150X150X5</v>
      </c>
      <c r="G12" s="118">
        <v>12</v>
      </c>
      <c r="H12" s="118">
        <v>2</v>
      </c>
      <c r="I12" s="820">
        <v>26385</v>
      </c>
      <c r="J12" s="118">
        <f>+CUBICACION!J11</f>
        <v>4</v>
      </c>
      <c r="K12" s="118">
        <v>2786</v>
      </c>
      <c r="L12" s="118" t="str">
        <f>+CUBICACION!L11</f>
        <v>F-60</v>
      </c>
      <c r="M12" s="64">
        <f>+CUBICACION!M11</f>
        <v>200</v>
      </c>
      <c r="N12" s="824">
        <f>+CUBICACION!N11</f>
        <v>9.6</v>
      </c>
      <c r="O12" s="675" t="str">
        <f>+CUBICACION!O11</f>
        <v>Fire Tex 5090</v>
      </c>
      <c r="P12" s="15">
        <f>IF(O12="Fire Control",VLOOKUP(_xlfn.MINIFS('FIRE CONTROL'!$C$4:$C$37,'FIRE CONTROL'!$C$4:$C$37,"&gt;="&amp;M12),'FIRE CONTROL'!$C$4:$G$37,IF(L12="F-15",2,IF(L12="F-30",3,IF(L12="F-60",4,IF(L12="F-90",5,0)))),0),0)+IF(AND(O12="FIRE TEX 5062",OR(E12="IN",E12="C",E12="Z",E12="L"),J12=3),VLOOKUP(_xlfn.MINIFS('FIRE TEX 5062'!$B$4:$B$34,'FIRE TEX 5062'!$B$4:$B$34,"&gt;="&amp;M12),'FIRE TEX 5062'!$B$4:$F$34,IF(L12="F-15",2,IF(L12="F-30",3,IF(L12="F-60",4,IF(L12="F-90",5,0)))),0),0)+IF(AND(O12="FIRE TEX 5062",OR(E12="IN",E12="C",E12="Z",E12="L"),J12=4),VLOOKUP(_xlfn.MINIFS('FIRE TEX 5062'!$G$4:$G$34,'FIRE TEX 5062'!$G$4:$G$34,"&gt;="&amp;M12),'FIRE TEX 5062'!$G$4:$K$34,IF(L12="F-15",2,IF(L12="F-30",3,IF(L12="F-60",4,IF(L12="F-90",5,0)))),0),0)+IF(AND(O12="FIRE TEX 5062",E12="CJ",J12=3),VLOOKUP(_xlfn.MINIFS('FIRE TEX 5062'!$L$4:$L$34,'FIRE TEX 5062'!$L$4:$L$34,"&gt;="&amp;M12),'FIRE TEX 5062'!$L$4:$P$34,IF(L12="F-15",2,IF(L12="F-30",3,IF(L12="F-60",4,IF(L12="F-90",5,0)))),0),0)+IF(AND(O12="FIRE TEX 5062",E12="CJ",J12=4),VLOOKUP(_xlfn.MINIFS('FIRE TEX 5062'!$Q$3:$Q$34,'FIRE TEX 5062'!$Q$3:$Q$34,"&gt;="&amp;M12),'FIRE TEX 5062'!$Q$3:$U$34,IF(L12="F-15",2,IF(L12="F-30",3,IF(L12="F-60",4,IF(L12="F-90",5,0)))),0),0)+IF(AND(O12="FIRE TEX 5090",OR(E12="IN",E12="C",E12="Z",E12="L"),J12=3),VLOOKUP(_xlfn.MINIFS('FIRE TEX 5090'!$B$5:$B$43,'FIRE TEX 5090'!$B$5:$B$43,"&gt;="&amp;M12),'FIRE TEX 5090'!$B$5:$H$43,IF(L12="F-15",2,IF(L12="F-30",3,IF(L12="F-60",4,IF(L12="F-90",5,IF(L12="F-120",6,IF(L12="F-150",7,0)))))),0),0)+IF(AND(O12="FIRE TEX 5090",OR(E12="IN",E12="C",E12="Z",E12="L"),J12=4),VLOOKUP(_xlfn.MINIFS('FIRE TEX 5090'!$J$5:$J$43,'FIRE TEX 5090'!$J$5:$J$43,"&gt;="&amp;M12),'FIRE TEX 5090'!$J$5:$P$43,IF(L12="F-15",2,IF(L12="F-30",3,IF(L12="F-60",4,IF(L12="F-90",5,IF(L12="F-120",6,IF(L12="F-150",7,0)))))),0),0)+IF(AND(O12="FIRE TEX 5090",E12="CJ",J12=3),VLOOKUP(_xlfn.MINIFS('FIRE TEX 5090'!$R$5:$R$30,'FIRE TEX 5090'!$R$5:$R$30,"&gt;="&amp;M12),'FIRE TEX 5090'!$R$5:$W$30,IF(L12="F-15",2,IF(L12="F-30",3,IF(L12="F-60",4,IF(L12="F-90",5,IF(L12="F-120",6,IF(L12="F-150",7,0)))))),0),0)+IF(AND(O12="FIRE TEX 5090",E12="CJ",J12=4),VLOOKUP(_xlfn.MINIFS('FIRE TEX 5090'!$Y$5:$Y$39,'FIRE TEX 5090'!$Y$5:$Y$39,"&gt;="&amp;M12),'FIRE TEX 5090'!$Y$5:$AD$39,IF(L12="F-15",2,IF(L12="F-30",3,IF(L12="F-60",4,IF(L12="F-90",5,IF(L12="F-120",6,IF(L12="F-150",7,0)))))),0),0)+IF(AND(O12="FIRE TEX 5120",OR(E12="IN",E12="C",E12="Z",E12="L"),J12=3),VLOOKUP(_xlfn.MINIFS('FIRE TEX 5120'!$B$5:$B$40,'FIRE TEX 5120'!$B$5:$B$40,"&gt;="&amp;M12),'FIRE TEX 5120'!$B$5:$G$40,IF(L12="F-15",2,IF(L12="F-30",3,IF(L12="F-60",4,IF(L12="F-90",5,IF(L12="F-120",6,0))))),0),0)+IF(AND(O12="FIRE TEX 5120",OR(E12="IN",E12="C",E12="Z",E12="L"),J12=4),VLOOKUP(_xlfn.MINIFS('FIRE TEX 5120'!$H$4:$H$40,'FIRE TEX 5120'!$H$4:$H$40,"&gt;="&amp;M12),'FIRE TEX 5120'!$H$4:$M$40,IF(L12="F-15",2,IF(L12="F-30",3,IF(L12="F-60",4,IF(L12="F-90",5,IF(L12="F-120",6,0))))),0),0)+IF(AND(O12="FIRE TEX 5120",E12="CJ"),VLOOKUP(_xlfn.MINIFS('FIRE TEX 5120'!$O$5:$O$40,'FIRE TEX 5120'!$O$5:$O$40,"&gt;="&amp;M12),'FIRE TEX 5120'!$O$5:$T$40,IF(L12="F-15",2,IF(L12="F-30",3,IF(L12="F-60",4,IF(L12="F-90",5,IF(L12="F-120",6,0))))),0),0)</f>
        <v>1930</v>
      </c>
      <c r="Q12" s="46">
        <f t="shared" si="0"/>
        <v>75.984099999999998</v>
      </c>
      <c r="R12" s="46">
        <f t="shared" si="1"/>
        <v>4.5601645607436296</v>
      </c>
      <c r="S12" s="46">
        <f t="shared" si="2"/>
        <v>2.105187186147186</v>
      </c>
      <c r="T12" s="677">
        <f t="shared" si="3"/>
        <v>0</v>
      </c>
      <c r="U12" s="80">
        <f>(IF(O12="Stofire",(S12*#REF!),0))+(IF(O12="Fire Control",(S12*$U$2),0))+(IF(O12="Fire Tex",(S12*$U$3),0))+(IF(O12="WB7",(S12*#REF!),0)+(IF(O12="FX 2003",(S12*$U$5),0)))</f>
        <v>0</v>
      </c>
      <c r="V12" s="651">
        <f t="shared" ref="V12:V24" si="4">_xlfn.CEILING.MATH(M12,10)</f>
        <v>200</v>
      </c>
      <c r="W12" s="4"/>
      <c r="X12" s="12" t="s">
        <v>411</v>
      </c>
      <c r="Y12" s="654" t="s">
        <v>412</v>
      </c>
      <c r="Z12" s="39" t="s">
        <v>413</v>
      </c>
    </row>
    <row r="13" spans="1:26" x14ac:dyDescent="0.25">
      <c r="A13" s="652" t="s">
        <v>414</v>
      </c>
      <c r="B13" s="653" t="s">
        <v>415</v>
      </c>
      <c r="C13" s="1" t="s">
        <v>408</v>
      </c>
      <c r="D13" s="118" t="str">
        <f>+CUBICACION!D12</f>
        <v>PILAR</v>
      </c>
      <c r="E13" s="118" t="str">
        <f>+CUBICACION!F12</f>
        <v>CJ</v>
      </c>
      <c r="F13" s="118" t="str">
        <f>+CUBICACION!E12</f>
        <v>200X100X3</v>
      </c>
      <c r="G13" s="118">
        <v>12</v>
      </c>
      <c r="H13" s="118">
        <v>2</v>
      </c>
      <c r="I13" s="820">
        <v>26385</v>
      </c>
      <c r="J13" s="118">
        <f>+CUBICACION!J12</f>
        <v>4</v>
      </c>
      <c r="K13" s="118">
        <v>2787</v>
      </c>
      <c r="L13" s="118" t="str">
        <f>+CUBICACION!L12</f>
        <v>F-60</v>
      </c>
      <c r="M13" s="64">
        <f>+CUBICACION!M12</f>
        <v>333</v>
      </c>
      <c r="N13" s="824">
        <f>+CUBICACION!N12</f>
        <v>7.44</v>
      </c>
      <c r="O13" s="675" t="str">
        <f>+CUBICACION!O12</f>
        <v>Fire Tex 5090</v>
      </c>
      <c r="P13" s="15">
        <f>IF(O13="Fire Control",VLOOKUP(_xlfn.MINIFS('FIRE CONTROL'!$C$4:$C$37,'FIRE CONTROL'!$C$4:$C$37,"&gt;="&amp;M13),'FIRE CONTROL'!$C$4:$G$37,IF(L13="F-15",2,IF(L13="F-30",3,IF(L13="F-60",4,IF(L13="F-90",5,0)))),0),0)+IF(AND(O13="FIRE TEX 5062",OR(E13="IN",E13="C",E13="Z",E13="L"),J13=3),VLOOKUP(_xlfn.MINIFS('FIRE TEX 5062'!$B$4:$B$34,'FIRE TEX 5062'!$B$4:$B$34,"&gt;="&amp;M13),'FIRE TEX 5062'!$B$4:$F$34,IF(L13="F-15",2,IF(L13="F-30",3,IF(L13="F-60",4,IF(L13="F-90",5,0)))),0),0)+IF(AND(O13="FIRE TEX 5062",OR(E13="IN",E13="C",E13="Z",E13="L"),J13=4),VLOOKUP(_xlfn.MINIFS('FIRE TEX 5062'!$G$4:$G$34,'FIRE TEX 5062'!$G$4:$G$34,"&gt;="&amp;M13),'FIRE TEX 5062'!$G$4:$K$34,IF(L13="F-15",2,IF(L13="F-30",3,IF(L13="F-60",4,IF(L13="F-90",5,0)))),0),0)+IF(AND(O13="FIRE TEX 5062",E13="CJ",J13=3),VLOOKUP(_xlfn.MINIFS('FIRE TEX 5062'!$L$4:$L$34,'FIRE TEX 5062'!$L$4:$L$34,"&gt;="&amp;M13),'FIRE TEX 5062'!$L$4:$P$34,IF(L13="F-15",2,IF(L13="F-30",3,IF(L13="F-60",4,IF(L13="F-90",5,0)))),0),0)+IF(AND(O13="FIRE TEX 5062",E13="CJ",J13=4),VLOOKUP(_xlfn.MINIFS('FIRE TEX 5062'!$Q$3:$Q$34,'FIRE TEX 5062'!$Q$3:$Q$34,"&gt;="&amp;M13),'FIRE TEX 5062'!$Q$3:$U$34,IF(L13="F-15",2,IF(L13="F-30",3,IF(L13="F-60",4,IF(L13="F-90",5,0)))),0),0)+IF(AND(O13="FIRE TEX 5090",OR(E13="IN",E13="C",E13="Z",E13="L"),J13=3),VLOOKUP(_xlfn.MINIFS('FIRE TEX 5090'!$B$5:$B$43,'FIRE TEX 5090'!$B$5:$B$43,"&gt;="&amp;M13),'FIRE TEX 5090'!$B$5:$H$43,IF(L13="F-15",2,IF(L13="F-30",3,IF(L13="F-60",4,IF(L13="F-90",5,IF(L13="F-120",6,IF(L13="F-150",7,0)))))),0),0)+IF(AND(O13="FIRE TEX 5090",OR(E13="IN",E13="C",E13="Z",E13="L"),J13=4),VLOOKUP(_xlfn.MINIFS('FIRE TEX 5090'!$J$5:$J$43,'FIRE TEX 5090'!$J$5:$J$43,"&gt;="&amp;M13),'FIRE TEX 5090'!$J$5:$P$43,IF(L13="F-15",2,IF(L13="F-30",3,IF(L13="F-60",4,IF(L13="F-90",5,IF(L13="F-120",6,IF(L13="F-150",7,0)))))),0),0)+IF(AND(O13="FIRE TEX 5090",E13="CJ",J13=3),VLOOKUP(_xlfn.MINIFS('FIRE TEX 5090'!$R$5:$R$30,'FIRE TEX 5090'!$R$5:$R$30,"&gt;="&amp;M13),'FIRE TEX 5090'!$R$5:$W$30,IF(L13="F-15",2,IF(L13="F-30",3,IF(L13="F-60",4,IF(L13="F-90",5,IF(L13="F-120",6,IF(L13="F-150",7,0)))))),0),0)+IF(AND(O13="FIRE TEX 5090",E13="CJ",J13=4),VLOOKUP(_xlfn.MINIFS('FIRE TEX 5090'!$Y$5:$Y$39,'FIRE TEX 5090'!$Y$5:$Y$39,"&gt;="&amp;M13),'FIRE TEX 5090'!$Y$5:$AD$39,IF(L13="F-15",2,IF(L13="F-30",3,IF(L13="F-60",4,IF(L13="F-90",5,IF(L13="F-120",6,IF(L13="F-150",7,0)))))),0),0)+IF(AND(O13="FIRE TEX 5120",OR(E13="IN",E13="C",E13="Z",E13="L"),J13=3),VLOOKUP(_xlfn.MINIFS('FIRE TEX 5120'!$B$5:$B$40,'FIRE TEX 5120'!$B$5:$B$40,"&gt;="&amp;M13),'FIRE TEX 5120'!$B$5:$G$40,IF(L13="F-15",2,IF(L13="F-30",3,IF(L13="F-60",4,IF(L13="F-90",5,IF(L13="F-120",6,0))))),0),0)+IF(AND(O13="FIRE TEX 5120",OR(E13="IN",E13="C",E13="Z",E13="L"),J13=4),VLOOKUP(_xlfn.MINIFS('FIRE TEX 5120'!$H$4:$H$40,'FIRE TEX 5120'!$H$4:$H$40,"&gt;="&amp;M13),'FIRE TEX 5120'!$H$4:$M$40,IF(L13="F-15",2,IF(L13="F-30",3,IF(L13="F-60",4,IF(L13="F-90",5,IF(L13="F-120",6,0))))),0),0)+IF(AND(O13="FIRE TEX 5120",E13="CJ"),VLOOKUP(_xlfn.MINIFS('FIRE TEX 5120'!$O$5:$O$40,'FIRE TEX 5120'!$O$5:$O$40,"&gt;="&amp;M13),'FIRE TEX 5120'!$O$5:$T$40,IF(L13="F-15",2,IF(L13="F-30",3,IF(L13="F-60",4,IF(L13="F-90",5,IF(L13="F-120",6,0))))),0),0)</f>
        <v>2828</v>
      </c>
      <c r="Q13" s="46">
        <f t="shared" si="0"/>
        <v>111.33836000000001</v>
      </c>
      <c r="R13" s="46">
        <f t="shared" si="1"/>
        <v>3.1121349371411613</v>
      </c>
      <c r="S13" s="46">
        <f t="shared" si="2"/>
        <v>2.3906418424242428</v>
      </c>
      <c r="T13" s="677">
        <f t="shared" si="3"/>
        <v>0</v>
      </c>
      <c r="U13" s="80">
        <f>(IF(O13="Stofire",(S13*#REF!),0))+(IF(O13="Fire Control",(S13*$U$2),0))+(IF(O13="Fire Tex",(S13*$U$3),0))+(IF(O13="WB7",(S13*#REF!),0)+(IF(O13="FX 2003",(S13*$U$5),0)))</f>
        <v>0</v>
      </c>
      <c r="V13" s="651">
        <f t="shared" si="4"/>
        <v>340</v>
      </c>
      <c r="W13" s="4"/>
      <c r="X13" s="71" t="s">
        <v>416</v>
      </c>
      <c r="Y13" s="655">
        <f>ROUND((SUMIF($P$10:$P$365,"&lt;500",$N$10:$N$365)),2)</f>
        <v>1696.01</v>
      </c>
      <c r="Z13" s="656">
        <v>2200</v>
      </c>
    </row>
    <row r="14" spans="1:26" x14ac:dyDescent="0.25">
      <c r="A14" s="652" t="s">
        <v>417</v>
      </c>
      <c r="B14" s="653" t="s">
        <v>415</v>
      </c>
      <c r="C14" s="1" t="s">
        <v>408</v>
      </c>
      <c r="D14" s="118" t="str">
        <f>+CUBICACION!D13</f>
        <v>PUNTAL</v>
      </c>
      <c r="E14" s="118" t="str">
        <f>+CUBICACION!F13</f>
        <v>CJ</v>
      </c>
      <c r="F14" s="118" t="str">
        <f>+CUBICACION!E13</f>
        <v>100X100X3</v>
      </c>
      <c r="G14" s="118">
        <v>12</v>
      </c>
      <c r="H14" s="118">
        <v>2</v>
      </c>
      <c r="I14" s="820">
        <v>26385</v>
      </c>
      <c r="J14" s="118">
        <f>+CUBICACION!J13</f>
        <v>4</v>
      </c>
      <c r="K14" s="118">
        <v>2788</v>
      </c>
      <c r="L14" s="118" t="str">
        <f>+CUBICACION!L13</f>
        <v>F-60</v>
      </c>
      <c r="M14" s="64">
        <f>+CUBICACION!M13</f>
        <v>333</v>
      </c>
      <c r="N14" s="824">
        <f>+CUBICACION!N13</f>
        <v>27.28</v>
      </c>
      <c r="O14" s="675" t="str">
        <f>+CUBICACION!O13</f>
        <v>Fire Tex 5090</v>
      </c>
      <c r="P14" s="15">
        <f>IF(O14="Fire Control",VLOOKUP(_xlfn.MINIFS('FIRE CONTROL'!$C$4:$C$37,'FIRE CONTROL'!$C$4:$C$37,"&gt;="&amp;M14),'FIRE CONTROL'!$C$4:$G$37,IF(L14="F-15",2,IF(L14="F-30",3,IF(L14="F-60",4,IF(L14="F-90",5,0)))),0),0)+IF(AND(O14="FIRE TEX 5062",OR(E14="IN",E14="C",E14="Z",E14="L"),J14=3),VLOOKUP(_xlfn.MINIFS('FIRE TEX 5062'!$B$4:$B$34,'FIRE TEX 5062'!$B$4:$B$34,"&gt;="&amp;M14),'FIRE TEX 5062'!$B$4:$F$34,IF(L14="F-15",2,IF(L14="F-30",3,IF(L14="F-60",4,IF(L14="F-90",5,0)))),0),0)+IF(AND(O14="FIRE TEX 5062",OR(E14="IN",E14="C",E14="Z",E14="L"),J14=4),VLOOKUP(_xlfn.MINIFS('FIRE TEX 5062'!$G$4:$G$34,'FIRE TEX 5062'!$G$4:$G$34,"&gt;="&amp;M14),'FIRE TEX 5062'!$G$4:$K$34,IF(L14="F-15",2,IF(L14="F-30",3,IF(L14="F-60",4,IF(L14="F-90",5,0)))),0),0)+IF(AND(O14="FIRE TEX 5062",E14="CJ",J14=3),VLOOKUP(_xlfn.MINIFS('FIRE TEX 5062'!$L$4:$L$34,'FIRE TEX 5062'!$L$4:$L$34,"&gt;="&amp;M14),'FIRE TEX 5062'!$L$4:$P$34,IF(L14="F-15",2,IF(L14="F-30",3,IF(L14="F-60",4,IF(L14="F-90",5,0)))),0),0)+IF(AND(O14="FIRE TEX 5062",E14="CJ",J14=4),VLOOKUP(_xlfn.MINIFS('FIRE TEX 5062'!$Q$3:$Q$34,'FIRE TEX 5062'!$Q$3:$Q$34,"&gt;="&amp;M14),'FIRE TEX 5062'!$Q$3:$U$34,IF(L14="F-15",2,IF(L14="F-30",3,IF(L14="F-60",4,IF(L14="F-90",5,0)))),0),0)+IF(AND(O14="FIRE TEX 5090",OR(E14="IN",E14="C",E14="Z",E14="L"),J14=3),VLOOKUP(_xlfn.MINIFS('FIRE TEX 5090'!$B$5:$B$43,'FIRE TEX 5090'!$B$5:$B$43,"&gt;="&amp;M14),'FIRE TEX 5090'!$B$5:$H$43,IF(L14="F-15",2,IF(L14="F-30",3,IF(L14="F-60",4,IF(L14="F-90",5,IF(L14="F-120",6,IF(L14="F-150",7,0)))))),0),0)+IF(AND(O14="FIRE TEX 5090",OR(E14="IN",E14="C",E14="Z",E14="L"),J14=4),VLOOKUP(_xlfn.MINIFS('FIRE TEX 5090'!$J$5:$J$43,'FIRE TEX 5090'!$J$5:$J$43,"&gt;="&amp;M14),'FIRE TEX 5090'!$J$5:$P$43,IF(L14="F-15",2,IF(L14="F-30",3,IF(L14="F-60",4,IF(L14="F-90",5,IF(L14="F-120",6,IF(L14="F-150",7,0)))))),0),0)+IF(AND(O14="FIRE TEX 5090",E14="CJ",J14=3),VLOOKUP(_xlfn.MINIFS('FIRE TEX 5090'!$R$5:$R$30,'FIRE TEX 5090'!$R$5:$R$30,"&gt;="&amp;M14),'FIRE TEX 5090'!$R$5:$W$30,IF(L14="F-15",2,IF(L14="F-30",3,IF(L14="F-60",4,IF(L14="F-90",5,IF(L14="F-120",6,IF(L14="F-150",7,0)))))),0),0)+IF(AND(O14="FIRE TEX 5090",E14="CJ",J14=4),VLOOKUP(_xlfn.MINIFS('FIRE TEX 5090'!$Y$5:$Y$39,'FIRE TEX 5090'!$Y$5:$Y$39,"&gt;="&amp;M14),'FIRE TEX 5090'!$Y$5:$AD$39,IF(L14="F-15",2,IF(L14="F-30",3,IF(L14="F-60",4,IF(L14="F-90",5,IF(L14="F-120",6,IF(L14="F-150",7,0)))))),0),0)+IF(AND(O14="FIRE TEX 5120",OR(E14="IN",E14="C",E14="Z",E14="L"),J14=3),VLOOKUP(_xlfn.MINIFS('FIRE TEX 5120'!$B$5:$B$40,'FIRE TEX 5120'!$B$5:$B$40,"&gt;="&amp;M14),'FIRE TEX 5120'!$B$5:$G$40,IF(L14="F-15",2,IF(L14="F-30",3,IF(L14="F-60",4,IF(L14="F-90",5,IF(L14="F-120",6,0))))),0),0)+IF(AND(O14="FIRE TEX 5120",OR(E14="IN",E14="C",E14="Z",E14="L"),J14=4),VLOOKUP(_xlfn.MINIFS('FIRE TEX 5120'!$H$4:$H$40,'FIRE TEX 5120'!$H$4:$H$40,"&gt;="&amp;M14),'FIRE TEX 5120'!$H$4:$M$40,IF(L14="F-15",2,IF(L14="F-30",3,IF(L14="F-60",4,IF(L14="F-90",5,IF(L14="F-120",6,0))))),0),0)+IF(AND(O14="FIRE TEX 5120",E14="CJ"),VLOOKUP(_xlfn.MINIFS('FIRE TEX 5120'!$O$5:$O$40,'FIRE TEX 5120'!$O$5:$O$40,"&gt;="&amp;M14),'FIRE TEX 5120'!$O$5:$T$40,IF(L14="F-15",2,IF(L14="F-30",3,IF(L14="F-60",4,IF(L14="F-90",5,IF(L14="F-120",6,0))))),0),0)</f>
        <v>2828</v>
      </c>
      <c r="Q14" s="46">
        <f t="shared" si="0"/>
        <v>111.33836000000001</v>
      </c>
      <c r="R14" s="46">
        <f t="shared" si="1"/>
        <v>3.1121349371411613</v>
      </c>
      <c r="S14" s="46">
        <f t="shared" si="2"/>
        <v>8.7656867555555564</v>
      </c>
      <c r="T14" s="677">
        <f t="shared" si="3"/>
        <v>0</v>
      </c>
      <c r="U14" s="80">
        <f>(IF(O14="Stofire",(S14*#REF!),0))+(IF(O14="Fire Control",(S14*$U$2),0))+(IF(O14="Fire Tex",(S14*$U$3),0))+(IF(O14="WB7",(S14*#REF!),0)+(IF(O14="FX 2003",(S14*$U$5),0)))</f>
        <v>0</v>
      </c>
      <c r="V14" s="651">
        <f t="shared" si="4"/>
        <v>340</v>
      </c>
      <c r="W14" s="4"/>
      <c r="X14" s="71" t="s">
        <v>418</v>
      </c>
      <c r="Y14" s="655">
        <f>ROUND(((SUMIF($P$10:$P$365,"&gt;=600",$N$10:$N$365))-(SUMIF($P$10:$P$365,"&gt;750",$N$10:$N$365))),2)</f>
        <v>0</v>
      </c>
      <c r="Z14" s="657">
        <v>2450</v>
      </c>
    </row>
    <row r="15" spans="1:26" x14ac:dyDescent="0.25">
      <c r="A15" s="652" t="s">
        <v>419</v>
      </c>
      <c r="B15" s="653" t="s">
        <v>415</v>
      </c>
      <c r="C15" s="1" t="s">
        <v>408</v>
      </c>
      <c r="D15" s="118" t="str">
        <f>+CUBICACION!D14</f>
        <v>ARRIOSTRAMINETO VERTICAL</v>
      </c>
      <c r="E15" s="118" t="str">
        <f>+CUBICACION!F14</f>
        <v>CJ</v>
      </c>
      <c r="F15" s="118" t="str">
        <f>+CUBICACION!E14</f>
        <v>100X100X3</v>
      </c>
      <c r="G15" s="118">
        <v>12</v>
      </c>
      <c r="H15" s="118">
        <v>2</v>
      </c>
      <c r="I15" s="820">
        <v>26385</v>
      </c>
      <c r="J15" s="118">
        <f>+CUBICACION!J14</f>
        <v>4</v>
      </c>
      <c r="K15" s="118">
        <v>2789</v>
      </c>
      <c r="L15" s="118" t="str">
        <f>+CUBICACION!L14</f>
        <v>F-60</v>
      </c>
      <c r="M15" s="64">
        <f>+CUBICACION!M14</f>
        <v>333</v>
      </c>
      <c r="N15" s="824">
        <f>+CUBICACION!N14</f>
        <v>24</v>
      </c>
      <c r="O15" s="675" t="str">
        <f>+CUBICACION!O14</f>
        <v>Fire Tex 5090</v>
      </c>
      <c r="P15" s="15">
        <f>IF(O15="Fire Control",VLOOKUP(_xlfn.MINIFS('FIRE CONTROL'!$C$4:$C$37,'FIRE CONTROL'!$C$4:$C$37,"&gt;="&amp;M15),'FIRE CONTROL'!$C$4:$G$37,IF(L15="F-15",2,IF(L15="F-30",3,IF(L15="F-60",4,IF(L15="F-90",5,0)))),0),0)+IF(AND(O15="FIRE TEX 5062",OR(E15="IN",E15="C",E15="Z",E15="L"),J15=3),VLOOKUP(_xlfn.MINIFS('FIRE TEX 5062'!$B$4:$B$34,'FIRE TEX 5062'!$B$4:$B$34,"&gt;="&amp;M15),'FIRE TEX 5062'!$B$4:$F$34,IF(L15="F-15",2,IF(L15="F-30",3,IF(L15="F-60",4,IF(L15="F-90",5,0)))),0),0)+IF(AND(O15="FIRE TEX 5062",OR(E15="IN",E15="C",E15="Z",E15="L"),J15=4),VLOOKUP(_xlfn.MINIFS('FIRE TEX 5062'!$G$4:$G$34,'FIRE TEX 5062'!$G$4:$G$34,"&gt;="&amp;M15),'FIRE TEX 5062'!$G$4:$K$34,IF(L15="F-15",2,IF(L15="F-30",3,IF(L15="F-60",4,IF(L15="F-90",5,0)))),0),0)+IF(AND(O15="FIRE TEX 5062",E15="CJ",J15=3),VLOOKUP(_xlfn.MINIFS('FIRE TEX 5062'!$L$4:$L$34,'FIRE TEX 5062'!$L$4:$L$34,"&gt;="&amp;M15),'FIRE TEX 5062'!$L$4:$P$34,IF(L15="F-15",2,IF(L15="F-30",3,IF(L15="F-60",4,IF(L15="F-90",5,0)))),0),0)+IF(AND(O15="FIRE TEX 5062",E15="CJ",J15=4),VLOOKUP(_xlfn.MINIFS('FIRE TEX 5062'!$Q$3:$Q$34,'FIRE TEX 5062'!$Q$3:$Q$34,"&gt;="&amp;M15),'FIRE TEX 5062'!$Q$3:$U$34,IF(L15="F-15",2,IF(L15="F-30",3,IF(L15="F-60",4,IF(L15="F-90",5,0)))),0),0)+IF(AND(O15="FIRE TEX 5090",OR(E15="IN",E15="C",E15="Z",E15="L"),J15=3),VLOOKUP(_xlfn.MINIFS('FIRE TEX 5090'!$B$5:$B$43,'FIRE TEX 5090'!$B$5:$B$43,"&gt;="&amp;M15),'FIRE TEX 5090'!$B$5:$H$43,IF(L15="F-15",2,IF(L15="F-30",3,IF(L15="F-60",4,IF(L15="F-90",5,IF(L15="F-120",6,IF(L15="F-150",7,0)))))),0),0)+IF(AND(O15="FIRE TEX 5090",OR(E15="IN",E15="C",E15="Z",E15="L"),J15=4),VLOOKUP(_xlfn.MINIFS('FIRE TEX 5090'!$J$5:$J$43,'FIRE TEX 5090'!$J$5:$J$43,"&gt;="&amp;M15),'FIRE TEX 5090'!$J$5:$P$43,IF(L15="F-15",2,IF(L15="F-30",3,IF(L15="F-60",4,IF(L15="F-90",5,IF(L15="F-120",6,IF(L15="F-150",7,0)))))),0),0)+IF(AND(O15="FIRE TEX 5090",E15="CJ",J15=3),VLOOKUP(_xlfn.MINIFS('FIRE TEX 5090'!$R$5:$R$30,'FIRE TEX 5090'!$R$5:$R$30,"&gt;="&amp;M15),'FIRE TEX 5090'!$R$5:$W$30,IF(L15="F-15",2,IF(L15="F-30",3,IF(L15="F-60",4,IF(L15="F-90",5,IF(L15="F-120",6,IF(L15="F-150",7,0)))))),0),0)+IF(AND(O15="FIRE TEX 5090",E15="CJ",J15=4),VLOOKUP(_xlfn.MINIFS('FIRE TEX 5090'!$Y$5:$Y$39,'FIRE TEX 5090'!$Y$5:$Y$39,"&gt;="&amp;M15),'FIRE TEX 5090'!$Y$5:$AD$39,IF(L15="F-15",2,IF(L15="F-30",3,IF(L15="F-60",4,IF(L15="F-90",5,IF(L15="F-120",6,IF(L15="F-150",7,0)))))),0),0)+IF(AND(O15="FIRE TEX 5120",OR(E15="IN",E15="C",E15="Z",E15="L"),J15=3),VLOOKUP(_xlfn.MINIFS('FIRE TEX 5120'!$B$5:$B$40,'FIRE TEX 5120'!$B$5:$B$40,"&gt;="&amp;M15),'FIRE TEX 5120'!$B$5:$G$40,IF(L15="F-15",2,IF(L15="F-30",3,IF(L15="F-60",4,IF(L15="F-90",5,IF(L15="F-120",6,0))))),0),0)+IF(AND(O15="FIRE TEX 5120",OR(E15="IN",E15="C",E15="Z",E15="L"),J15=4),VLOOKUP(_xlfn.MINIFS('FIRE TEX 5120'!$H$4:$H$40,'FIRE TEX 5120'!$H$4:$H$40,"&gt;="&amp;M15),'FIRE TEX 5120'!$H$4:$M$40,IF(L15="F-15",2,IF(L15="F-30",3,IF(L15="F-60",4,IF(L15="F-90",5,IF(L15="F-120",6,0))))),0),0)+IF(AND(O15="FIRE TEX 5120",E15="CJ"),VLOOKUP(_xlfn.MINIFS('FIRE TEX 5120'!$O$5:$O$40,'FIRE TEX 5120'!$O$5:$O$40,"&gt;="&amp;M15),'FIRE TEX 5120'!$O$5:$T$40,IF(L15="F-15",2,IF(L15="F-30",3,IF(L15="F-60",4,IF(L15="F-90",5,IF(L15="F-120",6,0))))),0),0)</f>
        <v>2828</v>
      </c>
      <c r="Q15" s="648">
        <f t="shared" si="0"/>
        <v>111.33836000000001</v>
      </c>
      <c r="R15" s="46">
        <f t="shared" si="1"/>
        <v>3.1121349371411613</v>
      </c>
      <c r="S15" s="648">
        <f t="shared" si="2"/>
        <v>7.7117478787878788</v>
      </c>
      <c r="T15" s="677">
        <f t="shared" si="3"/>
        <v>0</v>
      </c>
      <c r="U15" s="80">
        <f>(IF(O15="Stofire",(S15*#REF!),0))+(IF(O15="Fire Control",(S15*$U$2),0))+(IF(O15="Fire Tex",(S15*$U$3),0))+(IF(O15="WB7",(S15*#REF!),0)+(IF(O15="FX 2003",(S15*$U$5),0)))</f>
        <v>0</v>
      </c>
      <c r="V15" s="651">
        <f t="shared" si="4"/>
        <v>340</v>
      </c>
      <c r="W15" s="4"/>
      <c r="X15" s="71" t="s">
        <v>420</v>
      </c>
      <c r="Y15" s="655">
        <f>ROUND(((SUMIF($P$10:$P$365,"&gt;=800",$N$10:$N$365))-(SUMIF($P$10:$P$365,"&gt;1000",$N$10:$N$365))),2)</f>
        <v>0</v>
      </c>
      <c r="Z15" s="657">
        <v>2850</v>
      </c>
    </row>
    <row r="16" spans="1:26" ht="15.75" customHeight="1" x14ac:dyDescent="0.25">
      <c r="A16" s="652" t="s">
        <v>421</v>
      </c>
      <c r="B16" s="653" t="s">
        <v>422</v>
      </c>
      <c r="C16" s="1" t="s">
        <v>423</v>
      </c>
      <c r="D16" s="118" t="str">
        <f>+CUBICACION!D15</f>
        <v>PILAR</v>
      </c>
      <c r="E16" s="118" t="str">
        <f>+CUBICACION!F15</f>
        <v>CJ</v>
      </c>
      <c r="F16" s="118" t="str">
        <f>+CUBICACION!E15</f>
        <v>MM 400X200X4</v>
      </c>
      <c r="G16" s="118">
        <v>12</v>
      </c>
      <c r="H16" s="118">
        <v>2</v>
      </c>
      <c r="I16" s="820">
        <v>26385</v>
      </c>
      <c r="J16" s="118">
        <f>+CUBICACION!J15</f>
        <v>4</v>
      </c>
      <c r="K16" s="118">
        <v>2790</v>
      </c>
      <c r="L16" s="118" t="str">
        <f>+CUBICACION!L15</f>
        <v>F-60</v>
      </c>
      <c r="M16" s="64">
        <f>+CUBICACION!M15</f>
        <v>236</v>
      </c>
      <c r="N16" s="824">
        <f>+CUBICACION!N15</f>
        <v>12</v>
      </c>
      <c r="O16" s="675" t="str">
        <f>+CUBICACION!O15</f>
        <v>Fire Tex 5090</v>
      </c>
      <c r="P16" s="15">
        <f>IF(O16="Fire Control",VLOOKUP(_xlfn.MINIFS('FIRE CONTROL'!$C$4:$C$37,'FIRE CONTROL'!$C$4:$C$37,"&gt;="&amp;M16),'FIRE CONTROL'!$C$4:$G$37,IF(L16="F-15",2,IF(L16="F-30",3,IF(L16="F-60",4,IF(L16="F-90",5,0)))),0),0)+IF(AND(O16="FIRE TEX 5062",OR(E16="IN",E16="C",E16="Z",E16="L"),J16=3),VLOOKUP(_xlfn.MINIFS('FIRE TEX 5062'!$B$4:$B$34,'FIRE TEX 5062'!$B$4:$B$34,"&gt;="&amp;M16),'FIRE TEX 5062'!$B$4:$F$34,IF(L16="F-15",2,IF(L16="F-30",3,IF(L16="F-60",4,IF(L16="F-90",5,0)))),0),0)+IF(AND(O16="FIRE TEX 5062",OR(E16="IN",E16="C",E16="Z",E16="L"),J16=4),VLOOKUP(_xlfn.MINIFS('FIRE TEX 5062'!$G$4:$G$34,'FIRE TEX 5062'!$G$4:$G$34,"&gt;="&amp;M16),'FIRE TEX 5062'!$G$4:$K$34,IF(L16="F-15",2,IF(L16="F-30",3,IF(L16="F-60",4,IF(L16="F-90",5,0)))),0),0)+IF(AND(O16="FIRE TEX 5062",E16="CJ",J16=3),VLOOKUP(_xlfn.MINIFS('FIRE TEX 5062'!$L$4:$L$34,'FIRE TEX 5062'!$L$4:$L$34,"&gt;="&amp;M16),'FIRE TEX 5062'!$L$4:$P$34,IF(L16="F-15",2,IF(L16="F-30",3,IF(L16="F-60",4,IF(L16="F-90",5,0)))),0),0)+IF(AND(O16="FIRE TEX 5062",E16="CJ",J16=4),VLOOKUP(_xlfn.MINIFS('FIRE TEX 5062'!$Q$3:$Q$34,'FIRE TEX 5062'!$Q$3:$Q$34,"&gt;="&amp;M16),'FIRE TEX 5062'!$Q$3:$U$34,IF(L16="F-15",2,IF(L16="F-30",3,IF(L16="F-60",4,IF(L16="F-90",5,0)))),0),0)+IF(AND(O16="FIRE TEX 5090",OR(E16="IN",E16="C",E16="Z",E16="L"),J16=3),VLOOKUP(_xlfn.MINIFS('FIRE TEX 5090'!$B$5:$B$43,'FIRE TEX 5090'!$B$5:$B$43,"&gt;="&amp;M16),'FIRE TEX 5090'!$B$5:$H$43,IF(L16="F-15",2,IF(L16="F-30",3,IF(L16="F-60",4,IF(L16="F-90",5,IF(L16="F-120",6,IF(L16="F-150",7,0)))))),0),0)+IF(AND(O16="FIRE TEX 5090",OR(E16="IN",E16="C",E16="Z",E16="L"),J16=4),VLOOKUP(_xlfn.MINIFS('FIRE TEX 5090'!$J$5:$J$43,'FIRE TEX 5090'!$J$5:$J$43,"&gt;="&amp;M16),'FIRE TEX 5090'!$J$5:$P$43,IF(L16="F-15",2,IF(L16="F-30",3,IF(L16="F-60",4,IF(L16="F-90",5,IF(L16="F-120",6,IF(L16="F-150",7,0)))))),0),0)+IF(AND(O16="FIRE TEX 5090",E16="CJ",J16=3),VLOOKUP(_xlfn.MINIFS('FIRE TEX 5090'!$R$5:$R$30,'FIRE TEX 5090'!$R$5:$R$30,"&gt;="&amp;M16),'FIRE TEX 5090'!$R$5:$W$30,IF(L16="F-15",2,IF(L16="F-30",3,IF(L16="F-60",4,IF(L16="F-90",5,IF(L16="F-120",6,IF(L16="F-150",7,0)))))),0),0)+IF(AND(O16="FIRE TEX 5090",E16="CJ",J16=4),VLOOKUP(_xlfn.MINIFS('FIRE TEX 5090'!$Y$5:$Y$39,'FIRE TEX 5090'!$Y$5:$Y$39,"&gt;="&amp;M16),'FIRE TEX 5090'!$Y$5:$AD$39,IF(L16="F-15",2,IF(L16="F-30",3,IF(L16="F-60",4,IF(L16="F-90",5,IF(L16="F-120",6,IF(L16="F-150",7,0)))))),0),0)+IF(AND(O16="FIRE TEX 5120",OR(E16="IN",E16="C",E16="Z",E16="L"),J16=3),VLOOKUP(_xlfn.MINIFS('FIRE TEX 5120'!$B$5:$B$40,'FIRE TEX 5120'!$B$5:$B$40,"&gt;="&amp;M16),'FIRE TEX 5120'!$B$5:$G$40,IF(L16="F-15",2,IF(L16="F-30",3,IF(L16="F-60",4,IF(L16="F-90",5,IF(L16="F-120",6,0))))),0),0)+IF(AND(O16="FIRE TEX 5120",OR(E16="IN",E16="C",E16="Z",E16="L"),J16=4),VLOOKUP(_xlfn.MINIFS('FIRE TEX 5120'!$H$4:$H$40,'FIRE TEX 5120'!$H$4:$H$40,"&gt;="&amp;M16),'FIRE TEX 5120'!$H$4:$M$40,IF(L16="F-15",2,IF(L16="F-30",3,IF(L16="F-60",4,IF(L16="F-90",5,IF(L16="F-120",6,0))))),0),0)+IF(AND(O16="FIRE TEX 5120",E16="CJ"),VLOOKUP(_xlfn.MINIFS('FIRE TEX 5120'!$O$5:$O$40,'FIRE TEX 5120'!$O$5:$O$40,"&gt;="&amp;M16),'FIRE TEX 5120'!$O$5:$T$40,IF(L16="F-15",2,IF(L16="F-30",3,IF(L16="F-60",4,IF(L16="F-90",5,IF(L16="F-120",6,0))))),0),0)</f>
        <v>2196</v>
      </c>
      <c r="Q16" s="46">
        <f t="shared" si="0"/>
        <v>86.456520000000012</v>
      </c>
      <c r="R16" s="46">
        <f t="shared" si="1"/>
        <v>4.0077949008357026</v>
      </c>
      <c r="S16" s="46">
        <f t="shared" si="2"/>
        <v>2.9941651948051953</v>
      </c>
      <c r="T16" s="677">
        <f t="shared" si="3"/>
        <v>0</v>
      </c>
      <c r="U16" s="80">
        <f>(IF(O16="Stofire",(S16*#REF!),0))+(IF(O16="Fire Control",(S16*$U$2),0))+(IF(O16="Fire Tex",(S16*$U$3),0))+(IF(O16="WB7",(S16*#REF!),0)+(IF(O16="FX 2003",(S16*$U$5),0)))</f>
        <v>0</v>
      </c>
      <c r="V16" s="651">
        <f t="shared" si="4"/>
        <v>240</v>
      </c>
      <c r="W16" s="4"/>
      <c r="X16" s="71" t="s">
        <v>424</v>
      </c>
      <c r="Y16" s="655">
        <f>ROUND(((SUMIF($P$10:$P$365,"&gt;=1100",$N$10:$N$365))-(SUMIF($P$10:$P$365,"&gt;1300",$N$10:$N$365))),2)</f>
        <v>0</v>
      </c>
      <c r="Z16" s="657">
        <v>3400</v>
      </c>
    </row>
    <row r="17" spans="1:26" x14ac:dyDescent="0.25">
      <c r="A17" s="652" t="s">
        <v>425</v>
      </c>
      <c r="B17" s="653" t="s">
        <v>426</v>
      </c>
      <c r="C17" s="1" t="s">
        <v>427</v>
      </c>
      <c r="D17" s="118" t="str">
        <f>+CUBICACION!D16</f>
        <v>PILAR</v>
      </c>
      <c r="E17" s="118" t="str">
        <f>+CUBICACION!F16</f>
        <v>CJ</v>
      </c>
      <c r="F17" s="118" t="str">
        <f>+CUBICACION!E16</f>
        <v>MM 400X200X4</v>
      </c>
      <c r="G17" s="118">
        <v>12</v>
      </c>
      <c r="H17" s="118">
        <v>2</v>
      </c>
      <c r="I17" s="820">
        <v>26385</v>
      </c>
      <c r="J17" s="118">
        <f>+CUBICACION!J16</f>
        <v>4</v>
      </c>
      <c r="K17" s="118">
        <v>2791</v>
      </c>
      <c r="L17" s="118" t="str">
        <f>+CUBICACION!L16</f>
        <v>F-60</v>
      </c>
      <c r="M17" s="64">
        <f>+CUBICACION!M16</f>
        <v>236</v>
      </c>
      <c r="N17" s="824">
        <f>+CUBICACION!N16</f>
        <v>72</v>
      </c>
      <c r="O17" s="675" t="str">
        <f>+CUBICACION!O16</f>
        <v>Fire Tex 5090</v>
      </c>
      <c r="P17" s="15">
        <f>IF(O17="Fire Control",VLOOKUP(_xlfn.MINIFS('FIRE CONTROL'!$C$4:$C$37,'FIRE CONTROL'!$C$4:$C$37,"&gt;="&amp;M17),'FIRE CONTROL'!$C$4:$G$37,IF(L17="F-15",2,IF(L17="F-30",3,IF(L17="F-60",4,IF(L17="F-90",5,0)))),0),0)+IF(AND(O17="FIRE TEX 5062",OR(E17="IN",E17="C",E17="Z",E17="L"),J17=3),VLOOKUP(_xlfn.MINIFS('FIRE TEX 5062'!$B$4:$B$34,'FIRE TEX 5062'!$B$4:$B$34,"&gt;="&amp;M17),'FIRE TEX 5062'!$B$4:$F$34,IF(L17="F-15",2,IF(L17="F-30",3,IF(L17="F-60",4,IF(L17="F-90",5,0)))),0),0)+IF(AND(O17="FIRE TEX 5062",OR(E17="IN",E17="C",E17="Z",E17="L"),J17=4),VLOOKUP(_xlfn.MINIFS('FIRE TEX 5062'!$G$4:$G$34,'FIRE TEX 5062'!$G$4:$G$34,"&gt;="&amp;M17),'FIRE TEX 5062'!$G$4:$K$34,IF(L17="F-15",2,IF(L17="F-30",3,IF(L17="F-60",4,IF(L17="F-90",5,0)))),0),0)+IF(AND(O17="FIRE TEX 5062",E17="CJ",J17=3),VLOOKUP(_xlfn.MINIFS('FIRE TEX 5062'!$L$4:$L$34,'FIRE TEX 5062'!$L$4:$L$34,"&gt;="&amp;M17),'FIRE TEX 5062'!$L$4:$P$34,IF(L17="F-15",2,IF(L17="F-30",3,IF(L17="F-60",4,IF(L17="F-90",5,0)))),0),0)+IF(AND(O17="FIRE TEX 5062",E17="CJ",J17=4),VLOOKUP(_xlfn.MINIFS('FIRE TEX 5062'!$Q$3:$Q$34,'FIRE TEX 5062'!$Q$3:$Q$34,"&gt;="&amp;M17),'FIRE TEX 5062'!$Q$3:$U$34,IF(L17="F-15",2,IF(L17="F-30",3,IF(L17="F-60",4,IF(L17="F-90",5,0)))),0),0)+IF(AND(O17="FIRE TEX 5090",OR(E17="IN",E17="C",E17="Z",E17="L"),J17=3),VLOOKUP(_xlfn.MINIFS('FIRE TEX 5090'!$B$5:$B$43,'FIRE TEX 5090'!$B$5:$B$43,"&gt;="&amp;M17),'FIRE TEX 5090'!$B$5:$H$43,IF(L17="F-15",2,IF(L17="F-30",3,IF(L17="F-60",4,IF(L17="F-90",5,IF(L17="F-120",6,IF(L17="F-150",7,0)))))),0),0)+IF(AND(O17="FIRE TEX 5090",OR(E17="IN",E17="C",E17="Z",E17="L"),J17=4),VLOOKUP(_xlfn.MINIFS('FIRE TEX 5090'!$J$5:$J$43,'FIRE TEX 5090'!$J$5:$J$43,"&gt;="&amp;M17),'FIRE TEX 5090'!$J$5:$P$43,IF(L17="F-15",2,IF(L17="F-30",3,IF(L17="F-60",4,IF(L17="F-90",5,IF(L17="F-120",6,IF(L17="F-150",7,0)))))),0),0)+IF(AND(O17="FIRE TEX 5090",E17="CJ",J17=3),VLOOKUP(_xlfn.MINIFS('FIRE TEX 5090'!$R$5:$R$30,'FIRE TEX 5090'!$R$5:$R$30,"&gt;="&amp;M17),'FIRE TEX 5090'!$R$5:$W$30,IF(L17="F-15",2,IF(L17="F-30",3,IF(L17="F-60",4,IF(L17="F-90",5,IF(L17="F-120",6,IF(L17="F-150",7,0)))))),0),0)+IF(AND(O17="FIRE TEX 5090",E17="CJ",J17=4),VLOOKUP(_xlfn.MINIFS('FIRE TEX 5090'!$Y$5:$Y$39,'FIRE TEX 5090'!$Y$5:$Y$39,"&gt;="&amp;M17),'FIRE TEX 5090'!$Y$5:$AD$39,IF(L17="F-15",2,IF(L17="F-30",3,IF(L17="F-60",4,IF(L17="F-90",5,IF(L17="F-120",6,IF(L17="F-150",7,0)))))),0),0)+IF(AND(O17="FIRE TEX 5120",OR(E17="IN",E17="C",E17="Z",E17="L"),J17=3),VLOOKUP(_xlfn.MINIFS('FIRE TEX 5120'!$B$5:$B$40,'FIRE TEX 5120'!$B$5:$B$40,"&gt;="&amp;M17),'FIRE TEX 5120'!$B$5:$G$40,IF(L17="F-15",2,IF(L17="F-30",3,IF(L17="F-60",4,IF(L17="F-90",5,IF(L17="F-120",6,0))))),0),0)+IF(AND(O17="FIRE TEX 5120",OR(E17="IN",E17="C",E17="Z",E17="L"),J17=4),VLOOKUP(_xlfn.MINIFS('FIRE TEX 5120'!$H$4:$H$40,'FIRE TEX 5120'!$H$4:$H$40,"&gt;="&amp;M17),'FIRE TEX 5120'!$H$4:$M$40,IF(L17="F-15",2,IF(L17="F-30",3,IF(L17="F-60",4,IF(L17="F-90",5,IF(L17="F-120",6,0))))),0),0)+IF(AND(O17="FIRE TEX 5120",E17="CJ"),VLOOKUP(_xlfn.MINIFS('FIRE TEX 5120'!$O$5:$O$40,'FIRE TEX 5120'!$O$5:$O$40,"&gt;="&amp;M17),'FIRE TEX 5120'!$O$5:$T$40,IF(L17="F-15",2,IF(L17="F-30",3,IF(L17="F-60",4,IF(L17="F-90",5,IF(L17="F-120",6,0))))),0),0)</f>
        <v>2196</v>
      </c>
      <c r="Q17" s="46">
        <f>IF(P17="","",IF(P17="dar valor","",0.03937*P17))</f>
        <v>86.456520000000012</v>
      </c>
      <c r="R17" s="46">
        <f>+(IF(O17="Fire Control",((65*1.5/Q17)*0.75*4),0))+(IF(OR(O17="Fire Tex 5062",O17="Fire Tex 5090",O17="Fire Tex 5120"),((66*1.5/Q17)*0.7*5),0))</f>
        <v>4.0077949008357026</v>
      </c>
      <c r="S17" s="46">
        <f t="shared" si="2"/>
        <v>17.964991168831173</v>
      </c>
      <c r="T17" s="677">
        <f t="shared" si="3"/>
        <v>0</v>
      </c>
      <c r="U17" s="80">
        <f>(IF(O17="Stofire",(S17*#REF!),0))+(IF(O17="Fire Control",(S17*$U$2),0))+(IF(O17="Fire Tex",(S17*$U$3),0))+(IF(O17="WB7",(S17*#REF!),0)+(IF(O17="FX 2003",(S17*$U$5),0)))</f>
        <v>0</v>
      </c>
      <c r="V17" s="651">
        <f t="shared" si="4"/>
        <v>240</v>
      </c>
      <c r="W17" s="4"/>
      <c r="X17" s="71" t="s">
        <v>428</v>
      </c>
      <c r="Y17" s="655">
        <f>ROUND(((SUMIF($P$10:$P$365,"&gt;=1400",$N$10:$N$365))-(SUMIF($P$10:$P$365,"&gt;1600",$N$10:$N$365))),2)</f>
        <v>0</v>
      </c>
      <c r="Z17" s="657">
        <v>3700</v>
      </c>
    </row>
    <row r="18" spans="1:26" x14ac:dyDescent="0.25">
      <c r="A18" s="652" t="s">
        <v>429</v>
      </c>
      <c r="B18" s="653" t="s">
        <v>430</v>
      </c>
      <c r="C18" s="1" t="s">
        <v>431</v>
      </c>
      <c r="D18" s="118" t="str">
        <f>+CUBICACION!D17</f>
        <v>PILAR</v>
      </c>
      <c r="E18" s="118" t="str">
        <f>+CUBICACION!F17</f>
        <v>CJ</v>
      </c>
      <c r="F18" s="118" t="str">
        <f>+CUBICACION!E17</f>
        <v>150X150X5</v>
      </c>
      <c r="G18" s="118">
        <v>12</v>
      </c>
      <c r="H18" s="118">
        <v>2</v>
      </c>
      <c r="I18" s="820">
        <v>26385</v>
      </c>
      <c r="J18" s="118">
        <f>+CUBICACION!J17</f>
        <v>4</v>
      </c>
      <c r="K18" s="118">
        <v>2792</v>
      </c>
      <c r="L18" s="118" t="str">
        <f>+CUBICACION!L17</f>
        <v>F-60</v>
      </c>
      <c r="M18" s="64">
        <f>+CUBICACION!M17</f>
        <v>200</v>
      </c>
      <c r="N18" s="824">
        <f>+CUBICACION!N17</f>
        <v>4.8</v>
      </c>
      <c r="O18" s="675" t="str">
        <f>+CUBICACION!O17</f>
        <v>Fire Tex 5090</v>
      </c>
      <c r="P18" s="15">
        <f>IF(O18="Fire Control",VLOOKUP(_xlfn.MINIFS('FIRE CONTROL'!$C$4:$C$37,'FIRE CONTROL'!$C$4:$C$37,"&gt;="&amp;M18),'FIRE CONTROL'!$C$4:$G$37,IF(L18="F-15",2,IF(L18="F-30",3,IF(L18="F-60",4,IF(L18="F-90",5,0)))),0),0)+IF(AND(O18="FIRE TEX 5062",OR(E18="IN",E18="C",E18="Z",E18="L"),J18=3),VLOOKUP(_xlfn.MINIFS('FIRE TEX 5062'!$B$4:$B$34,'FIRE TEX 5062'!$B$4:$B$34,"&gt;="&amp;M18),'FIRE TEX 5062'!$B$4:$F$34,IF(L18="F-15",2,IF(L18="F-30",3,IF(L18="F-60",4,IF(L18="F-90",5,0)))),0),0)+IF(AND(O18="FIRE TEX 5062",OR(E18="IN",E18="C",E18="Z",E18="L"),J18=4),VLOOKUP(_xlfn.MINIFS('FIRE TEX 5062'!$G$4:$G$34,'FIRE TEX 5062'!$G$4:$G$34,"&gt;="&amp;M18),'FIRE TEX 5062'!$G$4:$K$34,IF(L18="F-15",2,IF(L18="F-30",3,IF(L18="F-60",4,IF(L18="F-90",5,0)))),0),0)+IF(AND(O18="FIRE TEX 5062",E18="CJ",J18=3),VLOOKUP(_xlfn.MINIFS('FIRE TEX 5062'!$L$4:$L$34,'FIRE TEX 5062'!$L$4:$L$34,"&gt;="&amp;M18),'FIRE TEX 5062'!$L$4:$P$34,IF(L18="F-15",2,IF(L18="F-30",3,IF(L18="F-60",4,IF(L18="F-90",5,0)))),0),0)+IF(AND(O18="FIRE TEX 5062",E18="CJ",J18=4),VLOOKUP(_xlfn.MINIFS('FIRE TEX 5062'!$Q$3:$Q$34,'FIRE TEX 5062'!$Q$3:$Q$34,"&gt;="&amp;M18),'FIRE TEX 5062'!$Q$3:$U$34,IF(L18="F-15",2,IF(L18="F-30",3,IF(L18="F-60",4,IF(L18="F-90",5,0)))),0),0)+IF(AND(O18="FIRE TEX 5090",OR(E18="IN",E18="C",E18="Z",E18="L"),J18=3),VLOOKUP(_xlfn.MINIFS('FIRE TEX 5090'!$B$5:$B$43,'FIRE TEX 5090'!$B$5:$B$43,"&gt;="&amp;M18),'FIRE TEX 5090'!$B$5:$H$43,IF(L18="F-15",2,IF(L18="F-30",3,IF(L18="F-60",4,IF(L18="F-90",5,IF(L18="F-120",6,IF(L18="F-150",7,0)))))),0),0)+IF(AND(O18="FIRE TEX 5090",OR(E18="IN",E18="C",E18="Z",E18="L"),J18=4),VLOOKUP(_xlfn.MINIFS('FIRE TEX 5090'!$J$5:$J$43,'FIRE TEX 5090'!$J$5:$J$43,"&gt;="&amp;M18),'FIRE TEX 5090'!$J$5:$P$43,IF(L18="F-15",2,IF(L18="F-30",3,IF(L18="F-60",4,IF(L18="F-90",5,IF(L18="F-120",6,IF(L18="F-150",7,0)))))),0),0)+IF(AND(O18="FIRE TEX 5090",E18="CJ",J18=3),VLOOKUP(_xlfn.MINIFS('FIRE TEX 5090'!$R$5:$R$30,'FIRE TEX 5090'!$R$5:$R$30,"&gt;="&amp;M18),'FIRE TEX 5090'!$R$5:$W$30,IF(L18="F-15",2,IF(L18="F-30",3,IF(L18="F-60",4,IF(L18="F-90",5,IF(L18="F-120",6,IF(L18="F-150",7,0)))))),0),0)+IF(AND(O18="FIRE TEX 5090",E18="CJ",J18=4),VLOOKUP(_xlfn.MINIFS('FIRE TEX 5090'!$Y$5:$Y$39,'FIRE TEX 5090'!$Y$5:$Y$39,"&gt;="&amp;M18),'FIRE TEX 5090'!$Y$5:$AD$39,IF(L18="F-15",2,IF(L18="F-30",3,IF(L18="F-60",4,IF(L18="F-90",5,IF(L18="F-120",6,IF(L18="F-150",7,0)))))),0),0)+IF(AND(O18="FIRE TEX 5120",OR(E18="IN",E18="C",E18="Z",E18="L"),J18=3),VLOOKUP(_xlfn.MINIFS('FIRE TEX 5120'!$B$5:$B$40,'FIRE TEX 5120'!$B$5:$B$40,"&gt;="&amp;M18),'FIRE TEX 5120'!$B$5:$G$40,IF(L18="F-15",2,IF(L18="F-30",3,IF(L18="F-60",4,IF(L18="F-90",5,IF(L18="F-120",6,0))))),0),0)+IF(AND(O18="FIRE TEX 5120",OR(E18="IN",E18="C",E18="Z",E18="L"),J18=4),VLOOKUP(_xlfn.MINIFS('FIRE TEX 5120'!$H$4:$H$40,'FIRE TEX 5120'!$H$4:$H$40,"&gt;="&amp;M18),'FIRE TEX 5120'!$H$4:$M$40,IF(L18="F-15",2,IF(L18="F-30",3,IF(L18="F-60",4,IF(L18="F-90",5,IF(L18="F-120",6,0))))),0),0)+IF(AND(O18="FIRE TEX 5120",E18="CJ"),VLOOKUP(_xlfn.MINIFS('FIRE TEX 5120'!$O$5:$O$40,'FIRE TEX 5120'!$O$5:$O$40,"&gt;="&amp;M18),'FIRE TEX 5120'!$O$5:$T$40,IF(L18="F-15",2,IF(L18="F-30",3,IF(L18="F-60",4,IF(L18="F-90",5,IF(L18="F-120",6,0))))),0),0)</f>
        <v>1930</v>
      </c>
      <c r="Q18" s="46">
        <f t="shared" si="0"/>
        <v>75.984099999999998</v>
      </c>
      <c r="R18" s="46">
        <f t="shared" si="1"/>
        <v>4.5601645607436296</v>
      </c>
      <c r="S18" s="46">
        <f t="shared" si="2"/>
        <v>1.052593593073593</v>
      </c>
      <c r="T18" s="677">
        <f t="shared" si="3"/>
        <v>0</v>
      </c>
      <c r="U18" s="80">
        <f>(IF(O18="Stofire",(S18*#REF!),0))+(IF(O18="Fire Control",(S18*$U$2),0))+(IF(O18="Fire Tex",(S18*$U$3),0))+(IF(O18="WB7",(S18*#REF!),0)+(IF(O18="FX 2003",(S18*$U$5),0)))</f>
        <v>0</v>
      </c>
      <c r="V18" s="651">
        <f t="shared" si="4"/>
        <v>200</v>
      </c>
      <c r="W18" s="4"/>
      <c r="X18" s="71" t="s">
        <v>432</v>
      </c>
      <c r="Y18" s="655">
        <f>ROUND(((SUMIF($P$10:$P$365,"&gt;=1700",$N$10:$N$365))-(SUMIF($P$10:$P$365,"&gt;1800",$N$10:$N$365))),2)</f>
        <v>0</v>
      </c>
      <c r="Z18" s="657">
        <v>4100</v>
      </c>
    </row>
    <row r="19" spans="1:26" x14ac:dyDescent="0.25">
      <c r="A19" s="652" t="s">
        <v>429</v>
      </c>
      <c r="B19" s="653" t="s">
        <v>430</v>
      </c>
      <c r="C19" s="1" t="s">
        <v>433</v>
      </c>
      <c r="D19" s="118" t="str">
        <f>+CUBICACION!D18</f>
        <v>PILAR</v>
      </c>
      <c r="E19" s="118" t="str">
        <f>+CUBICACION!F18</f>
        <v>CJ</v>
      </c>
      <c r="F19" s="118" t="str">
        <f>+CUBICACION!E18</f>
        <v>200X100X3</v>
      </c>
      <c r="G19" s="118">
        <v>12</v>
      </c>
      <c r="H19" s="118">
        <v>2</v>
      </c>
      <c r="I19" s="820">
        <v>26385</v>
      </c>
      <c r="J19" s="118">
        <f>+CUBICACION!J18</f>
        <v>4</v>
      </c>
      <c r="K19" s="118">
        <v>2793</v>
      </c>
      <c r="L19" s="118" t="str">
        <f>+CUBICACION!L18</f>
        <v>F-60</v>
      </c>
      <c r="M19" s="64">
        <f>+CUBICACION!M18</f>
        <v>333</v>
      </c>
      <c r="N19" s="824">
        <f>+CUBICACION!N18</f>
        <v>3.72</v>
      </c>
      <c r="O19" s="675" t="str">
        <f>+CUBICACION!O18</f>
        <v>Fire Tex 5090</v>
      </c>
      <c r="P19" s="15">
        <f>IF(O19="Fire Control",VLOOKUP(_xlfn.MINIFS('FIRE CONTROL'!$C$4:$C$37,'FIRE CONTROL'!$C$4:$C$37,"&gt;="&amp;M19),'FIRE CONTROL'!$C$4:$G$37,IF(L19="F-15",2,IF(L19="F-30",3,IF(L19="F-60",4,IF(L19="F-90",5,0)))),0),0)+IF(AND(O19="FIRE TEX 5062",OR(E19="IN",E19="C",E19="Z",E19="L"),J19=3),VLOOKUP(_xlfn.MINIFS('FIRE TEX 5062'!$B$4:$B$34,'FIRE TEX 5062'!$B$4:$B$34,"&gt;="&amp;M19),'FIRE TEX 5062'!$B$4:$F$34,IF(L19="F-15",2,IF(L19="F-30",3,IF(L19="F-60",4,IF(L19="F-90",5,0)))),0),0)+IF(AND(O19="FIRE TEX 5062",OR(E19="IN",E19="C",E19="Z",E19="L"),J19=4),VLOOKUP(_xlfn.MINIFS('FIRE TEX 5062'!$G$4:$G$34,'FIRE TEX 5062'!$G$4:$G$34,"&gt;="&amp;M19),'FIRE TEX 5062'!$G$4:$K$34,IF(L19="F-15",2,IF(L19="F-30",3,IF(L19="F-60",4,IF(L19="F-90",5,0)))),0),0)+IF(AND(O19="FIRE TEX 5062",E19="CJ",J19=3),VLOOKUP(_xlfn.MINIFS('FIRE TEX 5062'!$L$4:$L$34,'FIRE TEX 5062'!$L$4:$L$34,"&gt;="&amp;M19),'FIRE TEX 5062'!$L$4:$P$34,IF(L19="F-15",2,IF(L19="F-30",3,IF(L19="F-60",4,IF(L19="F-90",5,0)))),0),0)+IF(AND(O19="FIRE TEX 5062",E19="CJ",J19=4),VLOOKUP(_xlfn.MINIFS('FIRE TEX 5062'!$Q$3:$Q$34,'FIRE TEX 5062'!$Q$3:$Q$34,"&gt;="&amp;M19),'FIRE TEX 5062'!$Q$3:$U$34,IF(L19="F-15",2,IF(L19="F-30",3,IF(L19="F-60",4,IF(L19="F-90",5,0)))),0),0)+IF(AND(O19="FIRE TEX 5090",OR(E19="IN",E19="C",E19="Z",E19="L"),J19=3),VLOOKUP(_xlfn.MINIFS('FIRE TEX 5090'!$B$5:$B$43,'FIRE TEX 5090'!$B$5:$B$43,"&gt;="&amp;M19),'FIRE TEX 5090'!$B$5:$H$43,IF(L19="F-15",2,IF(L19="F-30",3,IF(L19="F-60",4,IF(L19="F-90",5,IF(L19="F-120",6,IF(L19="F-150",7,0)))))),0),0)+IF(AND(O19="FIRE TEX 5090",OR(E19="IN",E19="C",E19="Z",E19="L"),J19=4),VLOOKUP(_xlfn.MINIFS('FIRE TEX 5090'!$J$5:$J$43,'FIRE TEX 5090'!$J$5:$J$43,"&gt;="&amp;M19),'FIRE TEX 5090'!$J$5:$P$43,IF(L19="F-15",2,IF(L19="F-30",3,IF(L19="F-60",4,IF(L19="F-90",5,IF(L19="F-120",6,IF(L19="F-150",7,0)))))),0),0)+IF(AND(O19="FIRE TEX 5090",E19="CJ",J19=3),VLOOKUP(_xlfn.MINIFS('FIRE TEX 5090'!$R$5:$R$30,'FIRE TEX 5090'!$R$5:$R$30,"&gt;="&amp;M19),'FIRE TEX 5090'!$R$5:$W$30,IF(L19="F-15",2,IF(L19="F-30",3,IF(L19="F-60",4,IF(L19="F-90",5,IF(L19="F-120",6,IF(L19="F-150",7,0)))))),0),0)+IF(AND(O19="FIRE TEX 5090",E19="CJ",J19=4),VLOOKUP(_xlfn.MINIFS('FIRE TEX 5090'!$Y$5:$Y$39,'FIRE TEX 5090'!$Y$5:$Y$39,"&gt;="&amp;M19),'FIRE TEX 5090'!$Y$5:$AD$39,IF(L19="F-15",2,IF(L19="F-30",3,IF(L19="F-60",4,IF(L19="F-90",5,IF(L19="F-120",6,IF(L19="F-150",7,0)))))),0),0)+IF(AND(O19="FIRE TEX 5120",OR(E19="IN",E19="C",E19="Z",E19="L"),J19=3),VLOOKUP(_xlfn.MINIFS('FIRE TEX 5120'!$B$5:$B$40,'FIRE TEX 5120'!$B$5:$B$40,"&gt;="&amp;M19),'FIRE TEX 5120'!$B$5:$G$40,IF(L19="F-15",2,IF(L19="F-30",3,IF(L19="F-60",4,IF(L19="F-90",5,IF(L19="F-120",6,0))))),0),0)+IF(AND(O19="FIRE TEX 5120",OR(E19="IN",E19="C",E19="Z",E19="L"),J19=4),VLOOKUP(_xlfn.MINIFS('FIRE TEX 5120'!$H$4:$H$40,'FIRE TEX 5120'!$H$4:$H$40,"&gt;="&amp;M19),'FIRE TEX 5120'!$H$4:$M$40,IF(L19="F-15",2,IF(L19="F-30",3,IF(L19="F-60",4,IF(L19="F-90",5,IF(L19="F-120",6,0))))),0),0)+IF(AND(O19="FIRE TEX 5120",E19="CJ"),VLOOKUP(_xlfn.MINIFS('FIRE TEX 5120'!$O$5:$O$40,'FIRE TEX 5120'!$O$5:$O$40,"&gt;="&amp;M19),'FIRE TEX 5120'!$O$5:$T$40,IF(L19="F-15",2,IF(L19="F-30",3,IF(L19="F-60",4,IF(L19="F-90",5,IF(L19="F-120",6,0))))),0),0)</f>
        <v>2828</v>
      </c>
      <c r="Q19" s="46">
        <f t="shared" si="0"/>
        <v>111.33836000000001</v>
      </c>
      <c r="R19" s="46">
        <f t="shared" si="1"/>
        <v>3.1121349371411613</v>
      </c>
      <c r="S19" s="46">
        <f t="shared" si="2"/>
        <v>1.1953209212121214</v>
      </c>
      <c r="T19" s="677">
        <f t="shared" si="3"/>
        <v>0</v>
      </c>
      <c r="U19" s="80">
        <f>(IF(O19="Stofire",(S19*#REF!),0))+(IF(O19="Fire Control",(S19*$U$2),0))+(IF(O19="Fire Tex",(S19*$U$3),0))+(IF(O19="WB7",(S19*#REF!),0)+(IF(O19="FX 2003",(S19*$U$5),0)))</f>
        <v>0</v>
      </c>
      <c r="V19" s="651">
        <f t="shared" si="4"/>
        <v>340</v>
      </c>
      <c r="W19" s="4"/>
      <c r="X19" s="71" t="s">
        <v>434</v>
      </c>
      <c r="Y19" s="655">
        <f>ROUND(((SUMIF($P$10:$P$365,"&gt;=1900",$N$10:$N$365))-(SUMIF($P$10:$P$365,"&gt;2100",$N$10:$N$365))),2)</f>
        <v>114.96</v>
      </c>
      <c r="Z19" s="657">
        <v>7950</v>
      </c>
    </row>
    <row r="20" spans="1:26" x14ac:dyDescent="0.25">
      <c r="A20" s="652" t="s">
        <v>429</v>
      </c>
      <c r="B20" s="653" t="s">
        <v>430</v>
      </c>
      <c r="C20" s="1" t="s">
        <v>435</v>
      </c>
      <c r="D20" s="118" t="str">
        <f>+CUBICACION!D19</f>
        <v>PUNTAL</v>
      </c>
      <c r="E20" s="118" t="str">
        <f>+CUBICACION!F19</f>
        <v>CJ</v>
      </c>
      <c r="F20" s="118" t="str">
        <f>+CUBICACION!E19</f>
        <v>100X100X3</v>
      </c>
      <c r="G20" s="118">
        <v>12</v>
      </c>
      <c r="H20" s="118">
        <v>2</v>
      </c>
      <c r="I20" s="820">
        <v>26385</v>
      </c>
      <c r="J20" s="118">
        <f>+CUBICACION!J19</f>
        <v>4</v>
      </c>
      <c r="K20" s="118">
        <v>2794</v>
      </c>
      <c r="L20" s="118" t="str">
        <f>+CUBICACION!L19</f>
        <v>F-60</v>
      </c>
      <c r="M20" s="64">
        <f>+CUBICACION!M19</f>
        <v>333</v>
      </c>
      <c r="N20" s="824">
        <f>+CUBICACION!N19</f>
        <v>27.28</v>
      </c>
      <c r="O20" s="675" t="str">
        <f>+CUBICACION!O19</f>
        <v>Fire Tex 5090</v>
      </c>
      <c r="P20" s="15">
        <f>IF(O20="Fire Control",VLOOKUP(_xlfn.MINIFS('FIRE CONTROL'!$C$4:$C$37,'FIRE CONTROL'!$C$4:$C$37,"&gt;="&amp;M20),'FIRE CONTROL'!$C$4:$G$37,IF(L20="F-15",2,IF(L20="F-30",3,IF(L20="F-60",4,IF(L20="F-90",5,0)))),0),0)+IF(AND(O20="FIRE TEX 5062",OR(E20="IN",E20="C",E20="Z",E20="L"),J20=3),VLOOKUP(_xlfn.MINIFS('FIRE TEX 5062'!$B$4:$B$34,'FIRE TEX 5062'!$B$4:$B$34,"&gt;="&amp;M20),'FIRE TEX 5062'!$B$4:$F$34,IF(L20="F-15",2,IF(L20="F-30",3,IF(L20="F-60",4,IF(L20="F-90",5,0)))),0),0)+IF(AND(O20="FIRE TEX 5062",OR(E20="IN",E20="C",E20="Z",E20="L"),J20=4),VLOOKUP(_xlfn.MINIFS('FIRE TEX 5062'!$G$4:$G$34,'FIRE TEX 5062'!$G$4:$G$34,"&gt;="&amp;M20),'FIRE TEX 5062'!$G$4:$K$34,IF(L20="F-15",2,IF(L20="F-30",3,IF(L20="F-60",4,IF(L20="F-90",5,0)))),0),0)+IF(AND(O20="FIRE TEX 5062",E20="CJ",J20=3),VLOOKUP(_xlfn.MINIFS('FIRE TEX 5062'!$L$4:$L$34,'FIRE TEX 5062'!$L$4:$L$34,"&gt;="&amp;M20),'FIRE TEX 5062'!$L$4:$P$34,IF(L20="F-15",2,IF(L20="F-30",3,IF(L20="F-60",4,IF(L20="F-90",5,0)))),0),0)+IF(AND(O20="FIRE TEX 5062",E20="CJ",J20=4),VLOOKUP(_xlfn.MINIFS('FIRE TEX 5062'!$Q$3:$Q$34,'FIRE TEX 5062'!$Q$3:$Q$34,"&gt;="&amp;M20),'FIRE TEX 5062'!$Q$3:$U$34,IF(L20="F-15",2,IF(L20="F-30",3,IF(L20="F-60",4,IF(L20="F-90",5,0)))),0),0)+IF(AND(O20="FIRE TEX 5090",OR(E20="IN",E20="C",E20="Z",E20="L"),J20=3),VLOOKUP(_xlfn.MINIFS('FIRE TEX 5090'!$B$5:$B$43,'FIRE TEX 5090'!$B$5:$B$43,"&gt;="&amp;M20),'FIRE TEX 5090'!$B$5:$H$43,IF(L20="F-15",2,IF(L20="F-30",3,IF(L20="F-60",4,IF(L20="F-90",5,IF(L20="F-120",6,IF(L20="F-150",7,0)))))),0),0)+IF(AND(O20="FIRE TEX 5090",OR(E20="IN",E20="C",E20="Z",E20="L"),J20=4),VLOOKUP(_xlfn.MINIFS('FIRE TEX 5090'!$J$5:$J$43,'FIRE TEX 5090'!$J$5:$J$43,"&gt;="&amp;M20),'FIRE TEX 5090'!$J$5:$P$43,IF(L20="F-15",2,IF(L20="F-30",3,IF(L20="F-60",4,IF(L20="F-90",5,IF(L20="F-120",6,IF(L20="F-150",7,0)))))),0),0)+IF(AND(O20="FIRE TEX 5090",E20="CJ",J20=3),VLOOKUP(_xlfn.MINIFS('FIRE TEX 5090'!$R$5:$R$30,'FIRE TEX 5090'!$R$5:$R$30,"&gt;="&amp;M20),'FIRE TEX 5090'!$R$5:$W$30,IF(L20="F-15",2,IF(L20="F-30",3,IF(L20="F-60",4,IF(L20="F-90",5,IF(L20="F-120",6,IF(L20="F-150",7,0)))))),0),0)+IF(AND(O20="FIRE TEX 5090",E20="CJ",J20=4),VLOOKUP(_xlfn.MINIFS('FIRE TEX 5090'!$Y$5:$Y$39,'FIRE TEX 5090'!$Y$5:$Y$39,"&gt;="&amp;M20),'FIRE TEX 5090'!$Y$5:$AD$39,IF(L20="F-15",2,IF(L20="F-30",3,IF(L20="F-60",4,IF(L20="F-90",5,IF(L20="F-120",6,IF(L20="F-150",7,0)))))),0),0)+IF(AND(O20="FIRE TEX 5120",OR(E20="IN",E20="C",E20="Z",E20="L"),J20=3),VLOOKUP(_xlfn.MINIFS('FIRE TEX 5120'!$B$5:$B$40,'FIRE TEX 5120'!$B$5:$B$40,"&gt;="&amp;M20),'FIRE TEX 5120'!$B$5:$G$40,IF(L20="F-15",2,IF(L20="F-30",3,IF(L20="F-60",4,IF(L20="F-90",5,IF(L20="F-120",6,0))))),0),0)+IF(AND(O20="FIRE TEX 5120",OR(E20="IN",E20="C",E20="Z",E20="L"),J20=4),VLOOKUP(_xlfn.MINIFS('FIRE TEX 5120'!$H$4:$H$40,'FIRE TEX 5120'!$H$4:$H$40,"&gt;="&amp;M20),'FIRE TEX 5120'!$H$4:$M$40,IF(L20="F-15",2,IF(L20="F-30",3,IF(L20="F-60",4,IF(L20="F-90",5,IF(L20="F-120",6,0))))),0),0)+IF(AND(O20="FIRE TEX 5120",E20="CJ"),VLOOKUP(_xlfn.MINIFS('FIRE TEX 5120'!$O$5:$O$40,'FIRE TEX 5120'!$O$5:$O$40,"&gt;="&amp;M20),'FIRE TEX 5120'!$O$5:$T$40,IF(L20="F-15",2,IF(L20="F-30",3,IF(L20="F-60",4,IF(L20="F-90",5,IF(L20="F-120",6,0))))),0),0)</f>
        <v>2828</v>
      </c>
      <c r="Q20" s="46">
        <f t="shared" si="0"/>
        <v>111.33836000000001</v>
      </c>
      <c r="R20" s="46">
        <f t="shared" si="1"/>
        <v>3.1121349371411613</v>
      </c>
      <c r="S20" s="46">
        <f t="shared" si="2"/>
        <v>8.7656867555555564</v>
      </c>
      <c r="T20" s="677">
        <f t="shared" si="3"/>
        <v>0</v>
      </c>
      <c r="U20" s="80">
        <f>(IF(O20="Stofire",(S20*#REF!),0))+(IF(O20="Fire Control",(S20*$U$2),0))+(IF(O20="Fire Tex",(S20*$U$3),0))+(IF(O20="WB7",(S20*#REF!),0)+(IF(O20="FX 2003",(S20*$U$5),0)))</f>
        <v>0</v>
      </c>
      <c r="V20" s="651">
        <f t="shared" si="4"/>
        <v>340</v>
      </c>
      <c r="W20" s="4"/>
      <c r="X20" s="71" t="s">
        <v>436</v>
      </c>
      <c r="Y20" s="655">
        <f>ROUND(((SUMIF($P$10:$P$365,"&gt;=2150",$N$10:$N$365))-(SUMIF($P$10:$P$365,"&gt;2500",$N$10:$N$365))),2)</f>
        <v>1439.46</v>
      </c>
      <c r="Z20" s="657">
        <v>8550</v>
      </c>
    </row>
    <row r="21" spans="1:26" x14ac:dyDescent="0.25">
      <c r="A21" s="652" t="s">
        <v>429</v>
      </c>
      <c r="B21" s="653" t="s">
        <v>430</v>
      </c>
      <c r="C21" s="1" t="s">
        <v>437</v>
      </c>
      <c r="D21" s="118" t="str">
        <f>+CUBICACION!D20</f>
        <v>ARRIOSTRAMINETO VERTICAL</v>
      </c>
      <c r="E21" s="118" t="str">
        <f>+CUBICACION!F20</f>
        <v>CJ</v>
      </c>
      <c r="F21" s="118" t="str">
        <f>+CUBICACION!E20</f>
        <v>100X100X3</v>
      </c>
      <c r="G21" s="118">
        <v>12</v>
      </c>
      <c r="H21" s="118">
        <v>2</v>
      </c>
      <c r="I21" s="820">
        <v>26385</v>
      </c>
      <c r="J21" s="118">
        <f>+CUBICACION!J20</f>
        <v>4</v>
      </c>
      <c r="K21" s="118">
        <v>2795</v>
      </c>
      <c r="L21" s="118" t="str">
        <f>+CUBICACION!L20</f>
        <v>F-60</v>
      </c>
      <c r="M21" s="64">
        <f>+CUBICACION!M20</f>
        <v>333</v>
      </c>
      <c r="N21" s="824">
        <f>+CUBICACION!N20</f>
        <v>24</v>
      </c>
      <c r="O21" s="675" t="str">
        <f>+CUBICACION!O20</f>
        <v>Fire Tex 5090</v>
      </c>
      <c r="P21" s="15">
        <f>IF(O21="Fire Control",VLOOKUP(_xlfn.MINIFS('FIRE CONTROL'!$C$4:$C$37,'FIRE CONTROL'!$C$4:$C$37,"&gt;="&amp;M21),'FIRE CONTROL'!$C$4:$G$37,IF(L21="F-15",2,IF(L21="F-30",3,IF(L21="F-60",4,IF(L21="F-90",5,0)))),0),0)+IF(AND(O21="FIRE TEX 5062",OR(E21="IN",E21="C",E21="Z",E21="L"),J21=3),VLOOKUP(_xlfn.MINIFS('FIRE TEX 5062'!$B$4:$B$34,'FIRE TEX 5062'!$B$4:$B$34,"&gt;="&amp;M21),'FIRE TEX 5062'!$B$4:$F$34,IF(L21="F-15",2,IF(L21="F-30",3,IF(L21="F-60",4,IF(L21="F-90",5,0)))),0),0)+IF(AND(O21="FIRE TEX 5062",OR(E21="IN",E21="C",E21="Z",E21="L"),J21=4),VLOOKUP(_xlfn.MINIFS('FIRE TEX 5062'!$G$4:$G$34,'FIRE TEX 5062'!$G$4:$G$34,"&gt;="&amp;M21),'FIRE TEX 5062'!$G$4:$K$34,IF(L21="F-15",2,IF(L21="F-30",3,IF(L21="F-60",4,IF(L21="F-90",5,0)))),0),0)+IF(AND(O21="FIRE TEX 5062",E21="CJ",J21=3),VLOOKUP(_xlfn.MINIFS('FIRE TEX 5062'!$L$4:$L$34,'FIRE TEX 5062'!$L$4:$L$34,"&gt;="&amp;M21),'FIRE TEX 5062'!$L$4:$P$34,IF(L21="F-15",2,IF(L21="F-30",3,IF(L21="F-60",4,IF(L21="F-90",5,0)))),0),0)+IF(AND(O21="FIRE TEX 5062",E21="CJ",J21=4),VLOOKUP(_xlfn.MINIFS('FIRE TEX 5062'!$Q$3:$Q$34,'FIRE TEX 5062'!$Q$3:$Q$34,"&gt;="&amp;M21),'FIRE TEX 5062'!$Q$3:$U$34,IF(L21="F-15",2,IF(L21="F-30",3,IF(L21="F-60",4,IF(L21="F-90",5,0)))),0),0)+IF(AND(O21="FIRE TEX 5090",OR(E21="IN",E21="C",E21="Z",E21="L"),J21=3),VLOOKUP(_xlfn.MINIFS('FIRE TEX 5090'!$B$5:$B$43,'FIRE TEX 5090'!$B$5:$B$43,"&gt;="&amp;M21),'FIRE TEX 5090'!$B$5:$H$43,IF(L21="F-15",2,IF(L21="F-30",3,IF(L21="F-60",4,IF(L21="F-90",5,IF(L21="F-120",6,IF(L21="F-150",7,0)))))),0),0)+IF(AND(O21="FIRE TEX 5090",OR(E21="IN",E21="C",E21="Z",E21="L"),J21=4),VLOOKUP(_xlfn.MINIFS('FIRE TEX 5090'!$J$5:$J$43,'FIRE TEX 5090'!$J$5:$J$43,"&gt;="&amp;M21),'FIRE TEX 5090'!$J$5:$P$43,IF(L21="F-15",2,IF(L21="F-30",3,IF(L21="F-60",4,IF(L21="F-90",5,IF(L21="F-120",6,IF(L21="F-150",7,0)))))),0),0)+IF(AND(O21="FIRE TEX 5090",E21="CJ",J21=3),VLOOKUP(_xlfn.MINIFS('FIRE TEX 5090'!$R$5:$R$30,'FIRE TEX 5090'!$R$5:$R$30,"&gt;="&amp;M21),'FIRE TEX 5090'!$R$5:$W$30,IF(L21="F-15",2,IF(L21="F-30",3,IF(L21="F-60",4,IF(L21="F-90",5,IF(L21="F-120",6,IF(L21="F-150",7,0)))))),0),0)+IF(AND(O21="FIRE TEX 5090",E21="CJ",J21=4),VLOOKUP(_xlfn.MINIFS('FIRE TEX 5090'!$Y$5:$Y$39,'FIRE TEX 5090'!$Y$5:$Y$39,"&gt;="&amp;M21),'FIRE TEX 5090'!$Y$5:$AD$39,IF(L21="F-15",2,IF(L21="F-30",3,IF(L21="F-60",4,IF(L21="F-90",5,IF(L21="F-120",6,IF(L21="F-150",7,0)))))),0),0)+IF(AND(O21="FIRE TEX 5120",OR(E21="IN",E21="C",E21="Z",E21="L"),J21=3),VLOOKUP(_xlfn.MINIFS('FIRE TEX 5120'!$B$5:$B$40,'FIRE TEX 5120'!$B$5:$B$40,"&gt;="&amp;M21),'FIRE TEX 5120'!$B$5:$G$40,IF(L21="F-15",2,IF(L21="F-30",3,IF(L21="F-60",4,IF(L21="F-90",5,IF(L21="F-120",6,0))))),0),0)+IF(AND(O21="FIRE TEX 5120",OR(E21="IN",E21="C",E21="Z",E21="L"),J21=4),VLOOKUP(_xlfn.MINIFS('FIRE TEX 5120'!$H$4:$H$40,'FIRE TEX 5120'!$H$4:$H$40,"&gt;="&amp;M21),'FIRE TEX 5120'!$H$4:$M$40,IF(L21="F-15",2,IF(L21="F-30",3,IF(L21="F-60",4,IF(L21="F-90",5,IF(L21="F-120",6,0))))),0),0)+IF(AND(O21="FIRE TEX 5120",E21="CJ"),VLOOKUP(_xlfn.MINIFS('FIRE TEX 5120'!$O$5:$O$40,'FIRE TEX 5120'!$O$5:$O$40,"&gt;="&amp;M21),'FIRE TEX 5120'!$O$5:$T$40,IF(L21="F-15",2,IF(L21="F-30",3,IF(L21="F-60",4,IF(L21="F-90",5,IF(L21="F-120",6,0))))),0),0)</f>
        <v>2828</v>
      </c>
      <c r="Q21" s="46">
        <f t="shared" si="0"/>
        <v>111.33836000000001</v>
      </c>
      <c r="R21" s="46">
        <f t="shared" si="1"/>
        <v>3.1121349371411613</v>
      </c>
      <c r="S21" s="46">
        <f t="shared" si="2"/>
        <v>7.7117478787878788</v>
      </c>
      <c r="T21" s="677">
        <f t="shared" si="3"/>
        <v>0</v>
      </c>
      <c r="U21" s="80">
        <f>(IF(O21="Stofire",(S21*#REF!),0))+(IF(O21="Fire Control",(S21*$U$2),0))+(IF(O21="Fire Tex",(S21*$U$3),0))+(IF(O21="WB7",(S21*#REF!),0)+(IF(O21="FX 2003",(S21*$U$5),0)))</f>
        <v>0</v>
      </c>
      <c r="V21" s="651">
        <f t="shared" si="4"/>
        <v>340</v>
      </c>
      <c r="W21" s="4"/>
      <c r="X21" s="71" t="s">
        <v>438</v>
      </c>
      <c r="Y21" s="655">
        <f>ROUND(((SUMIF($P$10:$P$365,"&gt;=2550",$N$10:$N$365))-(SUMIF($P$10:$P$365,"&gt;3000",$N$10:$N$365))),2)</f>
        <v>322.95999999999998</v>
      </c>
      <c r="Z21" s="657">
        <v>8950</v>
      </c>
    </row>
    <row r="22" spans="1:26" x14ac:dyDescent="0.25">
      <c r="A22" s="652" t="s">
        <v>439</v>
      </c>
      <c r="B22" s="653" t="s">
        <v>430</v>
      </c>
      <c r="C22" s="1" t="s">
        <v>431</v>
      </c>
      <c r="D22" s="118" t="str">
        <f>+CUBICACION!D21</f>
        <v>PILAR</v>
      </c>
      <c r="E22" s="118" t="str">
        <f>+CUBICACION!F21</f>
        <v>CJ</v>
      </c>
      <c r="F22" s="118" t="str">
        <f>+CUBICACION!E21</f>
        <v>200X100X4</v>
      </c>
      <c r="G22" s="118">
        <v>12</v>
      </c>
      <c r="H22" s="118">
        <v>2</v>
      </c>
      <c r="I22" s="820">
        <v>26385</v>
      </c>
      <c r="J22" s="118">
        <f>+CUBICACION!J21</f>
        <v>4</v>
      </c>
      <c r="K22" s="118">
        <v>2796</v>
      </c>
      <c r="L22" s="118" t="str">
        <f>+CUBICACION!L21</f>
        <v>F-60</v>
      </c>
      <c r="M22" s="64">
        <f>+CUBICACION!M21</f>
        <v>250</v>
      </c>
      <c r="N22" s="824">
        <f>+CUBICACION!N21</f>
        <v>9</v>
      </c>
      <c r="O22" s="675" t="str">
        <f>+CUBICACION!O21</f>
        <v>Fire Tex 5090</v>
      </c>
      <c r="P22" s="15">
        <f>IF(O22="Fire Control",VLOOKUP(_xlfn.MINIFS('FIRE CONTROL'!$C$4:$C$37,'FIRE CONTROL'!$C$4:$C$37,"&gt;="&amp;M22),'FIRE CONTROL'!$C$4:$G$37,IF(L22="F-15",2,IF(L22="F-30",3,IF(L22="F-60",4,IF(L22="F-90",5,0)))),0),0)+IF(AND(O22="FIRE TEX 5062",OR(E22="IN",E22="C",E22="Z",E22="L"),J22=3),VLOOKUP(_xlfn.MINIFS('FIRE TEX 5062'!$B$4:$B$34,'FIRE TEX 5062'!$B$4:$B$34,"&gt;="&amp;M22),'FIRE TEX 5062'!$B$4:$F$34,IF(L22="F-15",2,IF(L22="F-30",3,IF(L22="F-60",4,IF(L22="F-90",5,0)))),0),0)+IF(AND(O22="FIRE TEX 5062",OR(E22="IN",E22="C",E22="Z",E22="L"),J22=4),VLOOKUP(_xlfn.MINIFS('FIRE TEX 5062'!$G$4:$G$34,'FIRE TEX 5062'!$G$4:$G$34,"&gt;="&amp;M22),'FIRE TEX 5062'!$G$4:$K$34,IF(L22="F-15",2,IF(L22="F-30",3,IF(L22="F-60",4,IF(L22="F-90",5,0)))),0),0)+IF(AND(O22="FIRE TEX 5062",E22="CJ",J22=3),VLOOKUP(_xlfn.MINIFS('FIRE TEX 5062'!$L$4:$L$34,'FIRE TEX 5062'!$L$4:$L$34,"&gt;="&amp;M22),'FIRE TEX 5062'!$L$4:$P$34,IF(L22="F-15",2,IF(L22="F-30",3,IF(L22="F-60",4,IF(L22="F-90",5,0)))),0),0)+IF(AND(O22="FIRE TEX 5062",E22="CJ",J22=4),VLOOKUP(_xlfn.MINIFS('FIRE TEX 5062'!$Q$3:$Q$34,'FIRE TEX 5062'!$Q$3:$Q$34,"&gt;="&amp;M22),'FIRE TEX 5062'!$Q$3:$U$34,IF(L22="F-15",2,IF(L22="F-30",3,IF(L22="F-60",4,IF(L22="F-90",5,0)))),0),0)+IF(AND(O22="FIRE TEX 5090",OR(E22="IN",E22="C",E22="Z",E22="L"),J22=3),VLOOKUP(_xlfn.MINIFS('FIRE TEX 5090'!$B$5:$B$43,'FIRE TEX 5090'!$B$5:$B$43,"&gt;="&amp;M22),'FIRE TEX 5090'!$B$5:$H$43,IF(L22="F-15",2,IF(L22="F-30",3,IF(L22="F-60",4,IF(L22="F-90",5,IF(L22="F-120",6,IF(L22="F-150",7,0)))))),0),0)+IF(AND(O22="FIRE TEX 5090",OR(E22="IN",E22="C",E22="Z",E22="L"),J22=4),VLOOKUP(_xlfn.MINIFS('FIRE TEX 5090'!$J$5:$J$43,'FIRE TEX 5090'!$J$5:$J$43,"&gt;="&amp;M22),'FIRE TEX 5090'!$J$5:$P$43,IF(L22="F-15",2,IF(L22="F-30",3,IF(L22="F-60",4,IF(L22="F-90",5,IF(L22="F-120",6,IF(L22="F-150",7,0)))))),0),0)+IF(AND(O22="FIRE TEX 5090",E22="CJ",J22=3),VLOOKUP(_xlfn.MINIFS('FIRE TEX 5090'!$R$5:$R$30,'FIRE TEX 5090'!$R$5:$R$30,"&gt;="&amp;M22),'FIRE TEX 5090'!$R$5:$W$30,IF(L22="F-15",2,IF(L22="F-30",3,IF(L22="F-60",4,IF(L22="F-90",5,IF(L22="F-120",6,IF(L22="F-150",7,0)))))),0),0)+IF(AND(O22="FIRE TEX 5090",E22="CJ",J22=4),VLOOKUP(_xlfn.MINIFS('FIRE TEX 5090'!$Y$5:$Y$39,'FIRE TEX 5090'!$Y$5:$Y$39,"&gt;="&amp;M22),'FIRE TEX 5090'!$Y$5:$AD$39,IF(L22="F-15",2,IF(L22="F-30",3,IF(L22="F-60",4,IF(L22="F-90",5,IF(L22="F-120",6,IF(L22="F-150",7,0)))))),0),0)+IF(AND(O22="FIRE TEX 5120",OR(E22="IN",E22="C",E22="Z",E22="L"),J22=3),VLOOKUP(_xlfn.MINIFS('FIRE TEX 5120'!$B$5:$B$40,'FIRE TEX 5120'!$B$5:$B$40,"&gt;="&amp;M22),'FIRE TEX 5120'!$B$5:$G$40,IF(L22="F-15",2,IF(L22="F-30",3,IF(L22="F-60",4,IF(L22="F-90",5,IF(L22="F-120",6,0))))),0),0)+IF(AND(O22="FIRE TEX 5120",OR(E22="IN",E22="C",E22="Z",E22="L"),J22=4),VLOOKUP(_xlfn.MINIFS('FIRE TEX 5120'!$H$4:$H$40,'FIRE TEX 5120'!$H$4:$H$40,"&gt;="&amp;M22),'FIRE TEX 5120'!$H$4:$M$40,IF(L22="F-15",2,IF(L22="F-30",3,IF(L22="F-60",4,IF(L22="F-90",5,IF(L22="F-120",6,0))))),0),0)+IF(AND(O22="FIRE TEX 5120",E22="CJ"),VLOOKUP(_xlfn.MINIFS('FIRE TEX 5120'!$O$5:$O$40,'FIRE TEX 5120'!$O$5:$O$40,"&gt;="&amp;M22),'FIRE TEX 5120'!$O$5:$T$40,IF(L22="F-15",2,IF(L22="F-30",3,IF(L22="F-60",4,IF(L22="F-90",5,IF(L22="F-120",6,0))))),0),0)</f>
        <v>2262</v>
      </c>
      <c r="Q22" s="46">
        <f t="shared" si="0"/>
        <v>89.054940000000002</v>
      </c>
      <c r="R22" s="46">
        <f t="shared" si="1"/>
        <v>3.8908565880792239</v>
      </c>
      <c r="S22" s="46">
        <f t="shared" si="2"/>
        <v>2.3131153246753247</v>
      </c>
      <c r="T22" s="677">
        <f t="shared" si="3"/>
        <v>0</v>
      </c>
      <c r="U22" s="80">
        <f>(IF(O22="Stofire",(S22*#REF!),0))+(IF(O22="Fire Control",(S22*$U$2),0))+(IF(O22="Fire Tex",(S22*$U$3),0))+(IF(O22="WB7",(S22*#REF!),0)+(IF(O22="FX 2003",(S22*$U$5),0)))</f>
        <v>0</v>
      </c>
      <c r="V22" s="651">
        <f t="shared" si="4"/>
        <v>250</v>
      </c>
      <c r="W22" s="4"/>
      <c r="X22" s="71" t="s">
        <v>440</v>
      </c>
      <c r="Y22" s="655">
        <f>ROUND(((SUMIF($P$10:$P$365,"&gt;=3050",$N$10:$N$365))-(SUMIF($P$10:$P$365,"&gt;3500",$N$10:$N$365))),2)</f>
        <v>0</v>
      </c>
      <c r="Z22" s="657">
        <v>9500</v>
      </c>
    </row>
    <row r="23" spans="1:26" x14ac:dyDescent="0.25">
      <c r="A23" s="652" t="s">
        <v>439</v>
      </c>
      <c r="B23" s="653" t="s">
        <v>430</v>
      </c>
      <c r="C23" s="1" t="s">
        <v>435</v>
      </c>
      <c r="D23" s="118" t="str">
        <f>+CUBICACION!D22</f>
        <v>PILAR</v>
      </c>
      <c r="E23" s="118" t="str">
        <f>+CUBICACION!F22</f>
        <v>CJ</v>
      </c>
      <c r="F23" s="118" t="str">
        <f>+CUBICACION!E22</f>
        <v>150X150X5</v>
      </c>
      <c r="G23" s="118">
        <v>12</v>
      </c>
      <c r="H23" s="118">
        <v>2</v>
      </c>
      <c r="I23" s="820">
        <v>26385</v>
      </c>
      <c r="J23" s="118">
        <f>+CUBICACION!J22</f>
        <v>4</v>
      </c>
      <c r="K23" s="118">
        <v>2797</v>
      </c>
      <c r="L23" s="118" t="str">
        <f>+CUBICACION!L22</f>
        <v>F-60</v>
      </c>
      <c r="M23" s="64">
        <f>+CUBICACION!M22</f>
        <v>200</v>
      </c>
      <c r="N23" s="824">
        <f>+CUBICACION!N22</f>
        <v>34.56</v>
      </c>
      <c r="O23" s="675" t="str">
        <f>+CUBICACION!O22</f>
        <v>Fire Tex 5090</v>
      </c>
      <c r="P23" s="15">
        <f>IF(O23="Fire Control",VLOOKUP(_xlfn.MINIFS('FIRE CONTROL'!$C$4:$C$37,'FIRE CONTROL'!$C$4:$C$37,"&gt;="&amp;M23),'FIRE CONTROL'!$C$4:$G$37,IF(L23="F-15",2,IF(L23="F-30",3,IF(L23="F-60",4,IF(L23="F-90",5,0)))),0),0)+IF(AND(O23="FIRE TEX 5062",OR(E23="IN",E23="C",E23="Z",E23="L"),J23=3),VLOOKUP(_xlfn.MINIFS('FIRE TEX 5062'!$B$4:$B$34,'FIRE TEX 5062'!$B$4:$B$34,"&gt;="&amp;M23),'FIRE TEX 5062'!$B$4:$F$34,IF(L23="F-15",2,IF(L23="F-30",3,IF(L23="F-60",4,IF(L23="F-90",5,0)))),0),0)+IF(AND(O23="FIRE TEX 5062",OR(E23="IN",E23="C",E23="Z",E23="L"),J23=4),VLOOKUP(_xlfn.MINIFS('FIRE TEX 5062'!$G$4:$G$34,'FIRE TEX 5062'!$G$4:$G$34,"&gt;="&amp;M23),'FIRE TEX 5062'!$G$4:$K$34,IF(L23="F-15",2,IF(L23="F-30",3,IF(L23="F-60",4,IF(L23="F-90",5,0)))),0),0)+IF(AND(O23="FIRE TEX 5062",E23="CJ",J23=3),VLOOKUP(_xlfn.MINIFS('FIRE TEX 5062'!$L$4:$L$34,'FIRE TEX 5062'!$L$4:$L$34,"&gt;="&amp;M23),'FIRE TEX 5062'!$L$4:$P$34,IF(L23="F-15",2,IF(L23="F-30",3,IF(L23="F-60",4,IF(L23="F-90",5,0)))),0),0)+IF(AND(O23="FIRE TEX 5062",E23="CJ",J23=4),VLOOKUP(_xlfn.MINIFS('FIRE TEX 5062'!$Q$3:$Q$34,'FIRE TEX 5062'!$Q$3:$Q$34,"&gt;="&amp;M23),'FIRE TEX 5062'!$Q$3:$U$34,IF(L23="F-15",2,IF(L23="F-30",3,IF(L23="F-60",4,IF(L23="F-90",5,0)))),0),0)+IF(AND(O23="FIRE TEX 5090",OR(E23="IN",E23="C",E23="Z",E23="L"),J23=3),VLOOKUP(_xlfn.MINIFS('FIRE TEX 5090'!$B$5:$B$43,'FIRE TEX 5090'!$B$5:$B$43,"&gt;="&amp;M23),'FIRE TEX 5090'!$B$5:$H$43,IF(L23="F-15",2,IF(L23="F-30",3,IF(L23="F-60",4,IF(L23="F-90",5,IF(L23="F-120",6,IF(L23="F-150",7,0)))))),0),0)+IF(AND(O23="FIRE TEX 5090",OR(E23="IN",E23="C",E23="Z",E23="L"),J23=4),VLOOKUP(_xlfn.MINIFS('FIRE TEX 5090'!$J$5:$J$43,'FIRE TEX 5090'!$J$5:$J$43,"&gt;="&amp;M23),'FIRE TEX 5090'!$J$5:$P$43,IF(L23="F-15",2,IF(L23="F-30",3,IF(L23="F-60",4,IF(L23="F-90",5,IF(L23="F-120",6,IF(L23="F-150",7,0)))))),0),0)+IF(AND(O23="FIRE TEX 5090",E23="CJ",J23=3),VLOOKUP(_xlfn.MINIFS('FIRE TEX 5090'!$R$5:$R$30,'FIRE TEX 5090'!$R$5:$R$30,"&gt;="&amp;M23),'FIRE TEX 5090'!$R$5:$W$30,IF(L23="F-15",2,IF(L23="F-30",3,IF(L23="F-60",4,IF(L23="F-90",5,IF(L23="F-120",6,IF(L23="F-150",7,0)))))),0),0)+IF(AND(O23="FIRE TEX 5090",E23="CJ",J23=4),VLOOKUP(_xlfn.MINIFS('FIRE TEX 5090'!$Y$5:$Y$39,'FIRE TEX 5090'!$Y$5:$Y$39,"&gt;="&amp;M23),'FIRE TEX 5090'!$Y$5:$AD$39,IF(L23="F-15",2,IF(L23="F-30",3,IF(L23="F-60",4,IF(L23="F-90",5,IF(L23="F-120",6,IF(L23="F-150",7,0)))))),0),0)+IF(AND(O23="FIRE TEX 5120",OR(E23="IN",E23="C",E23="Z",E23="L"),J23=3),VLOOKUP(_xlfn.MINIFS('FIRE TEX 5120'!$B$5:$B$40,'FIRE TEX 5120'!$B$5:$B$40,"&gt;="&amp;M23),'FIRE TEX 5120'!$B$5:$G$40,IF(L23="F-15",2,IF(L23="F-30",3,IF(L23="F-60",4,IF(L23="F-90",5,IF(L23="F-120",6,0))))),0),0)+IF(AND(O23="FIRE TEX 5120",OR(E23="IN",E23="C",E23="Z",E23="L"),J23=4),VLOOKUP(_xlfn.MINIFS('FIRE TEX 5120'!$H$4:$H$40,'FIRE TEX 5120'!$H$4:$H$40,"&gt;="&amp;M23),'FIRE TEX 5120'!$H$4:$M$40,IF(L23="F-15",2,IF(L23="F-30",3,IF(L23="F-60",4,IF(L23="F-90",5,IF(L23="F-120",6,0))))),0),0)+IF(AND(O23="FIRE TEX 5120",E23="CJ"),VLOOKUP(_xlfn.MINIFS('FIRE TEX 5120'!$O$5:$O$40,'FIRE TEX 5120'!$O$5:$O$40,"&gt;="&amp;M23),'FIRE TEX 5120'!$O$5:$T$40,IF(L23="F-15",2,IF(L23="F-30",3,IF(L23="F-60",4,IF(L23="F-90",5,IF(L23="F-120",6,0))))),0),0)</f>
        <v>1930</v>
      </c>
      <c r="Q23" s="46">
        <f t="shared" si="0"/>
        <v>75.984099999999998</v>
      </c>
      <c r="R23" s="46">
        <f t="shared" si="1"/>
        <v>4.5601645607436296</v>
      </c>
      <c r="S23" s="46">
        <f t="shared" si="2"/>
        <v>7.5786738701298697</v>
      </c>
      <c r="T23" s="677">
        <f t="shared" si="3"/>
        <v>0</v>
      </c>
      <c r="U23" s="80">
        <f>(IF(O23="Stofire",(S23*#REF!),0))+(IF(O23="Fire Control",(S23*$U$2),0))+(IF(O23="Fire Tex",(S23*$U$3),0))+(IF(O23="WB7",(S23*#REF!),0)+(IF(O23="FX 2003",(S23*$U$5),0)))</f>
        <v>0</v>
      </c>
      <c r="V23" s="651">
        <f t="shared" si="4"/>
        <v>200</v>
      </c>
      <c r="W23" s="4"/>
      <c r="X23" s="71" t="s">
        <v>441</v>
      </c>
      <c r="Y23" s="655">
        <f>ROUND(((SUMIF($P$10:$P$365,"&gt;=4050",$N$10:$N$365))-(SUMIF($P$10:$P$365,"&gt;4500",$N$10:$N$365))),2)</f>
        <v>0</v>
      </c>
      <c r="Z23" s="657">
        <v>10400</v>
      </c>
    </row>
    <row r="24" spans="1:26" x14ac:dyDescent="0.25">
      <c r="A24" s="652" t="s">
        <v>442</v>
      </c>
      <c r="B24" s="653" t="s">
        <v>443</v>
      </c>
      <c r="C24" s="1" t="s">
        <v>444</v>
      </c>
      <c r="D24" s="118" t="str">
        <f>+CUBICACION!D23</f>
        <v>PILAR</v>
      </c>
      <c r="E24" s="118" t="str">
        <f>+CUBICACION!F23</f>
        <v>CJ</v>
      </c>
      <c r="F24" s="118" t="str">
        <f>+CUBICACION!E23</f>
        <v>150X150X5</v>
      </c>
      <c r="G24" s="118">
        <v>12</v>
      </c>
      <c r="H24" s="118">
        <v>2</v>
      </c>
      <c r="I24" s="820">
        <v>26385</v>
      </c>
      <c r="J24" s="118">
        <f>+CUBICACION!J23</f>
        <v>4</v>
      </c>
      <c r="K24" s="118">
        <v>2798</v>
      </c>
      <c r="L24" s="118" t="str">
        <f>+CUBICACION!L23</f>
        <v>F-60</v>
      </c>
      <c r="M24" s="64">
        <f>+CUBICACION!M23</f>
        <v>200</v>
      </c>
      <c r="N24" s="824">
        <f>+CUBICACION!N23</f>
        <v>13.5</v>
      </c>
      <c r="O24" s="675" t="str">
        <f>+CUBICACION!O23</f>
        <v>Fire Tex 5090</v>
      </c>
      <c r="P24" s="15">
        <f>IF(O24="Fire Control",VLOOKUP(_xlfn.MINIFS('FIRE CONTROL'!$C$4:$C$37,'FIRE CONTROL'!$C$4:$C$37,"&gt;="&amp;M24),'FIRE CONTROL'!$C$4:$G$37,IF(L24="F-15",2,IF(L24="F-30",3,IF(L24="F-60",4,IF(L24="F-90",5,0)))),0),0)+IF(AND(O24="FIRE TEX 5062",OR(E24="IN",E24="C",E24="Z",E24="L"),J24=3),VLOOKUP(_xlfn.MINIFS('FIRE TEX 5062'!$B$4:$B$34,'FIRE TEX 5062'!$B$4:$B$34,"&gt;="&amp;M24),'FIRE TEX 5062'!$B$4:$F$34,IF(L24="F-15",2,IF(L24="F-30",3,IF(L24="F-60",4,IF(L24="F-90",5,0)))),0),0)+IF(AND(O24="FIRE TEX 5062",OR(E24="IN",E24="C",E24="Z",E24="L"),J24=4),VLOOKUP(_xlfn.MINIFS('FIRE TEX 5062'!$G$4:$G$34,'FIRE TEX 5062'!$G$4:$G$34,"&gt;="&amp;M24),'FIRE TEX 5062'!$G$4:$K$34,IF(L24="F-15",2,IF(L24="F-30",3,IF(L24="F-60",4,IF(L24="F-90",5,0)))),0),0)+IF(AND(O24="FIRE TEX 5062",E24="CJ",J24=3),VLOOKUP(_xlfn.MINIFS('FIRE TEX 5062'!$L$4:$L$34,'FIRE TEX 5062'!$L$4:$L$34,"&gt;="&amp;M24),'FIRE TEX 5062'!$L$4:$P$34,IF(L24="F-15",2,IF(L24="F-30",3,IF(L24="F-60",4,IF(L24="F-90",5,0)))),0),0)+IF(AND(O24="FIRE TEX 5062",E24="CJ",J24=4),VLOOKUP(_xlfn.MINIFS('FIRE TEX 5062'!$Q$3:$Q$34,'FIRE TEX 5062'!$Q$3:$Q$34,"&gt;="&amp;M24),'FIRE TEX 5062'!$Q$3:$U$34,IF(L24="F-15",2,IF(L24="F-30",3,IF(L24="F-60",4,IF(L24="F-90",5,0)))),0),0)+IF(AND(O24="FIRE TEX 5090",OR(E24="IN",E24="C",E24="Z",E24="L"),J24=3),VLOOKUP(_xlfn.MINIFS('FIRE TEX 5090'!$B$5:$B$43,'FIRE TEX 5090'!$B$5:$B$43,"&gt;="&amp;M24),'FIRE TEX 5090'!$B$5:$H$43,IF(L24="F-15",2,IF(L24="F-30",3,IF(L24="F-60",4,IF(L24="F-90",5,IF(L24="F-120",6,IF(L24="F-150",7,0)))))),0),0)+IF(AND(O24="FIRE TEX 5090",OR(E24="IN",E24="C",E24="Z",E24="L"),J24=4),VLOOKUP(_xlfn.MINIFS('FIRE TEX 5090'!$J$5:$J$43,'FIRE TEX 5090'!$J$5:$J$43,"&gt;="&amp;M24),'FIRE TEX 5090'!$J$5:$P$43,IF(L24="F-15",2,IF(L24="F-30",3,IF(L24="F-60",4,IF(L24="F-90",5,IF(L24="F-120",6,IF(L24="F-150",7,0)))))),0),0)+IF(AND(O24="FIRE TEX 5090",E24="CJ",J24=3),VLOOKUP(_xlfn.MINIFS('FIRE TEX 5090'!$R$5:$R$30,'FIRE TEX 5090'!$R$5:$R$30,"&gt;="&amp;M24),'FIRE TEX 5090'!$R$5:$W$30,IF(L24="F-15",2,IF(L24="F-30",3,IF(L24="F-60",4,IF(L24="F-90",5,IF(L24="F-120",6,IF(L24="F-150",7,0)))))),0),0)+IF(AND(O24="FIRE TEX 5090",E24="CJ",J24=4),VLOOKUP(_xlfn.MINIFS('FIRE TEX 5090'!$Y$5:$Y$39,'FIRE TEX 5090'!$Y$5:$Y$39,"&gt;="&amp;M24),'FIRE TEX 5090'!$Y$5:$AD$39,IF(L24="F-15",2,IF(L24="F-30",3,IF(L24="F-60",4,IF(L24="F-90",5,IF(L24="F-120",6,IF(L24="F-150",7,0)))))),0),0)+IF(AND(O24="FIRE TEX 5120",OR(E24="IN",E24="C",E24="Z",E24="L"),J24=3),VLOOKUP(_xlfn.MINIFS('FIRE TEX 5120'!$B$5:$B$40,'FIRE TEX 5120'!$B$5:$B$40,"&gt;="&amp;M24),'FIRE TEX 5120'!$B$5:$G$40,IF(L24="F-15",2,IF(L24="F-30",3,IF(L24="F-60",4,IF(L24="F-90",5,IF(L24="F-120",6,0))))),0),0)+IF(AND(O24="FIRE TEX 5120",OR(E24="IN",E24="C",E24="Z",E24="L"),J24=4),VLOOKUP(_xlfn.MINIFS('FIRE TEX 5120'!$H$4:$H$40,'FIRE TEX 5120'!$H$4:$H$40,"&gt;="&amp;M24),'FIRE TEX 5120'!$H$4:$M$40,IF(L24="F-15",2,IF(L24="F-30",3,IF(L24="F-60",4,IF(L24="F-90",5,IF(L24="F-120",6,0))))),0),0)+IF(AND(O24="FIRE TEX 5120",E24="CJ"),VLOOKUP(_xlfn.MINIFS('FIRE TEX 5120'!$O$5:$O$40,'FIRE TEX 5120'!$O$5:$O$40,"&gt;="&amp;M24),'FIRE TEX 5120'!$O$5:$T$40,IF(L24="F-15",2,IF(L24="F-30",3,IF(L24="F-60",4,IF(L24="F-90",5,IF(L24="F-120",6,0))))),0),0)</f>
        <v>1930</v>
      </c>
      <c r="Q24" s="46">
        <f t="shared" si="0"/>
        <v>75.984099999999998</v>
      </c>
      <c r="R24" s="46">
        <f t="shared" si="1"/>
        <v>4.5601645607436296</v>
      </c>
      <c r="S24" s="46">
        <f t="shared" si="2"/>
        <v>2.9604194805194801</v>
      </c>
      <c r="T24" s="677">
        <f t="shared" si="3"/>
        <v>0</v>
      </c>
      <c r="U24" s="80">
        <f>(IF(O24="Stofire",(S24*#REF!),0))+(IF(O24="Fire Control",(S24*$U$2),0))+(IF(O24="Fire Tex",(S24*$U$3),0))+(IF(O24="WB7",(S24*#REF!),0)+(IF(O24="FX 2003",(S24*$U$5),0)))</f>
        <v>0</v>
      </c>
      <c r="V24" s="651">
        <f t="shared" si="4"/>
        <v>200</v>
      </c>
      <c r="W24" s="4"/>
      <c r="X24" s="71" t="s">
        <v>445</v>
      </c>
      <c r="Y24" s="655">
        <f>ROUND(((SUMIF($P$10:$P$365,"&gt;=5050",$N$10:$N$365))-(SUMIF($P$10:$P$365,"&gt;5500",$N$10:$N$365))),2)</f>
        <v>0</v>
      </c>
      <c r="Z24" s="657">
        <v>11600</v>
      </c>
    </row>
    <row r="25" spans="1:26" x14ac:dyDescent="0.25">
      <c r="A25" s="652" t="s">
        <v>442</v>
      </c>
      <c r="B25" s="653" t="s">
        <v>443</v>
      </c>
      <c r="C25" s="1" t="s">
        <v>446</v>
      </c>
      <c r="D25" s="118">
        <f>+CUBICACION!D24</f>
        <v>0</v>
      </c>
      <c r="E25" s="118">
        <f>+CUBICACION!F24</f>
        <v>0</v>
      </c>
      <c r="F25" s="118">
        <f>+CUBICACION!E24</f>
        <v>0</v>
      </c>
      <c r="G25" s="118">
        <v>12</v>
      </c>
      <c r="H25" s="118">
        <v>2</v>
      </c>
      <c r="I25" s="820">
        <v>26385</v>
      </c>
      <c r="J25" s="118">
        <f>+CUBICACION!J24</f>
        <v>4</v>
      </c>
      <c r="K25" s="118">
        <v>2799</v>
      </c>
      <c r="L25" s="118">
        <f>+CUBICACION!L24</f>
        <v>0</v>
      </c>
      <c r="M25" s="64">
        <f>+CUBICACION!M24</f>
        <v>0</v>
      </c>
      <c r="N25" s="824">
        <f>+CUBICACION!N24</f>
        <v>0</v>
      </c>
      <c r="O25" s="675">
        <f>+CUBICACION!O24</f>
        <v>0</v>
      </c>
      <c r="P25" s="15">
        <f>IF(O25="Fire Control",VLOOKUP(_xlfn.MINIFS('FIRE CONTROL'!$C$4:$C$37,'FIRE CONTROL'!$C$4:$C$37,"&gt;="&amp;M25),'FIRE CONTROL'!$C$4:$G$37,IF(L25="F-15",2,IF(L25="F-30",3,IF(L25="F-60",4,IF(L25="F-90",5,0)))),0),0)+IF(AND(O25="FIRE TEX 5062",OR(E25="IN",E25="C",E25="Z",E25="L"),J25=3),VLOOKUP(_xlfn.MINIFS('FIRE TEX 5062'!$B$4:$B$34,'FIRE TEX 5062'!$B$4:$B$34,"&gt;="&amp;M25),'FIRE TEX 5062'!$B$4:$F$34,IF(L25="F-15",2,IF(L25="F-30",3,IF(L25="F-60",4,IF(L25="F-90",5,0)))),0),0)+IF(AND(O25="FIRE TEX 5062",OR(E25="IN",E25="C",E25="Z",E25="L"),J25=4),VLOOKUP(_xlfn.MINIFS('FIRE TEX 5062'!$G$4:$G$34,'FIRE TEX 5062'!$G$4:$G$34,"&gt;="&amp;M25),'FIRE TEX 5062'!$G$4:$K$34,IF(L25="F-15",2,IF(L25="F-30",3,IF(L25="F-60",4,IF(L25="F-90",5,0)))),0),0)+IF(AND(O25="FIRE TEX 5062",E25="CJ",J25=3),VLOOKUP(_xlfn.MINIFS('FIRE TEX 5062'!$L$4:$L$34,'FIRE TEX 5062'!$L$4:$L$34,"&gt;="&amp;M25),'FIRE TEX 5062'!$L$4:$P$34,IF(L25="F-15",2,IF(L25="F-30",3,IF(L25="F-60",4,IF(L25="F-90",5,0)))),0),0)+IF(AND(O25="FIRE TEX 5062",E25="CJ",J25=4),VLOOKUP(_xlfn.MINIFS('FIRE TEX 5062'!$Q$3:$Q$34,'FIRE TEX 5062'!$Q$3:$Q$34,"&gt;="&amp;M25),'FIRE TEX 5062'!$Q$3:$U$34,IF(L25="F-15",2,IF(L25="F-30",3,IF(L25="F-60",4,IF(L25="F-90",5,0)))),0),0)+IF(AND(O25="FIRE TEX 5090",OR(E25="IN",E25="C",E25="Z",E25="L"),J25=3),VLOOKUP(_xlfn.MINIFS('FIRE TEX 5090'!$B$5:$B$43,'FIRE TEX 5090'!$B$5:$B$43,"&gt;="&amp;M25),'FIRE TEX 5090'!$B$5:$H$43,IF(L25="F-15",2,IF(L25="F-30",3,IF(L25="F-60",4,IF(L25="F-90",5,IF(L25="F-120",6,IF(L25="F-150",7,0)))))),0),0)+IF(AND(O25="FIRE TEX 5090",OR(E25="IN",E25="C",E25="Z",E25="L"),J25=4),VLOOKUP(_xlfn.MINIFS('FIRE TEX 5090'!$J$5:$J$43,'FIRE TEX 5090'!$J$5:$J$43,"&gt;="&amp;M25),'FIRE TEX 5090'!$J$5:$P$43,IF(L25="F-15",2,IF(L25="F-30",3,IF(L25="F-60",4,IF(L25="F-90",5,IF(L25="F-120",6,IF(L25="F-150",7,0)))))),0),0)+IF(AND(O25="FIRE TEX 5090",E25="CJ",J25=3),VLOOKUP(_xlfn.MINIFS('FIRE TEX 5090'!$R$5:$R$30,'FIRE TEX 5090'!$R$5:$R$30,"&gt;="&amp;M25),'FIRE TEX 5090'!$R$5:$W$30,IF(L25="F-15",2,IF(L25="F-30",3,IF(L25="F-60",4,IF(L25="F-90",5,IF(L25="F-120",6,IF(L25="F-150",7,0)))))),0),0)+IF(AND(O25="FIRE TEX 5090",E25="CJ",J25=4),VLOOKUP(_xlfn.MINIFS('FIRE TEX 5090'!$Y$5:$Y$39,'FIRE TEX 5090'!$Y$5:$Y$39,"&gt;="&amp;M25),'FIRE TEX 5090'!$Y$5:$AD$39,IF(L25="F-15",2,IF(L25="F-30",3,IF(L25="F-60",4,IF(L25="F-90",5,IF(L25="F-120",6,IF(L25="F-150",7,0)))))),0),0)+IF(AND(O25="FIRE TEX 5120",OR(E25="IN",E25="C",E25="Z",E25="L"),J25=3),VLOOKUP(_xlfn.MINIFS('FIRE TEX 5120'!$B$5:$B$40,'FIRE TEX 5120'!$B$5:$B$40,"&gt;="&amp;M25),'FIRE TEX 5120'!$B$5:$G$40,IF(L25="F-15",2,IF(L25="F-30",3,IF(L25="F-60",4,IF(L25="F-90",5,IF(L25="F-120",6,0))))),0),0)+IF(AND(O25="FIRE TEX 5120",OR(E25="IN",E25="C",E25="Z",E25="L"),J25=4),VLOOKUP(_xlfn.MINIFS('FIRE TEX 5120'!$H$4:$H$40,'FIRE TEX 5120'!$H$4:$H$40,"&gt;="&amp;M25),'FIRE TEX 5120'!$H$4:$M$40,IF(L25="F-15",2,IF(L25="F-30",3,IF(L25="F-60",4,IF(L25="F-90",5,IF(L25="F-120",6,0))))),0),0)+IF(AND(O25="FIRE TEX 5120",E25="CJ"),VLOOKUP(_xlfn.MINIFS('FIRE TEX 5120'!$O$5:$O$40,'FIRE TEX 5120'!$O$5:$O$40,"&gt;="&amp;M25),'FIRE TEX 5120'!$O$5:$T$40,IF(L25="F-15",2,IF(L25="F-30",3,IF(L25="F-60",4,IF(L25="F-90",5,IF(L25="F-120",6,0))))),0),0)</f>
        <v>0</v>
      </c>
      <c r="Q25" s="46">
        <f t="shared" si="0"/>
        <v>0</v>
      </c>
      <c r="R25" s="46">
        <f t="shared" si="1"/>
        <v>0</v>
      </c>
      <c r="S25" s="46" t="e">
        <f t="shared" si="2"/>
        <v>#DIV/0!</v>
      </c>
      <c r="T25" s="677">
        <f t="shared" si="3"/>
        <v>0</v>
      </c>
      <c r="U25" s="80">
        <f>(IF(O25="Stofire",(S25*#REF!),0))+(IF(O25="Fire Control",(S25*$U$2),0))+(IF(O25="Fire Tex",(S25*$U$3),0))+(IF(O25="WB7",(S25*#REF!),0)+(IF(O25="FX 2003",(S25*$U$5),0)))</f>
        <v>0</v>
      </c>
      <c r="V25" s="651">
        <f>_xlfn.CEILING.MATH(M25,10)</f>
        <v>0</v>
      </c>
      <c r="W25" s="4"/>
      <c r="X25" s="71" t="s">
        <v>447</v>
      </c>
      <c r="Y25" s="655">
        <f>ROUND(((SUMIF($P$10:$P$365,"&gt;=6050",$N$10:$N$365))-(SUMIF($P$10:$P$365,"&gt;6500",$N$10:$N$365))),2)</f>
        <v>0</v>
      </c>
      <c r="Z25" s="657">
        <v>12900</v>
      </c>
    </row>
    <row r="26" spans="1:26" x14ac:dyDescent="0.25">
      <c r="A26" s="652" t="s">
        <v>448</v>
      </c>
      <c r="B26" s="653" t="s">
        <v>443</v>
      </c>
      <c r="C26" s="1" t="s">
        <v>444</v>
      </c>
      <c r="D26" s="118">
        <f>+CUBICACION!D25</f>
        <v>0</v>
      </c>
      <c r="E26" s="118">
        <f>+CUBICACION!F25</f>
        <v>0</v>
      </c>
      <c r="F26" s="118">
        <f>+CUBICACION!E25</f>
        <v>0</v>
      </c>
      <c r="G26" s="118">
        <v>12</v>
      </c>
      <c r="H26" s="118">
        <v>2</v>
      </c>
      <c r="I26" s="820">
        <v>26385</v>
      </c>
      <c r="J26" s="118">
        <f>+CUBICACION!J25</f>
        <v>4</v>
      </c>
      <c r="K26" s="118">
        <v>2800</v>
      </c>
      <c r="L26" s="118">
        <f>+CUBICACION!L25</f>
        <v>0</v>
      </c>
      <c r="M26" s="64">
        <f>+CUBICACION!M25</f>
        <v>0</v>
      </c>
      <c r="N26" s="824">
        <f>+CUBICACION!N25</f>
        <v>0</v>
      </c>
      <c r="O26" s="675">
        <f>+CUBICACION!O25</f>
        <v>0</v>
      </c>
      <c r="P26" s="15">
        <f>IF(O26="Fire Control",VLOOKUP(_xlfn.MINIFS('FIRE CONTROL'!$C$4:$C$37,'FIRE CONTROL'!$C$4:$C$37,"&gt;="&amp;M26),'FIRE CONTROL'!$C$4:$G$37,IF(L26="F-15",2,IF(L26="F-30",3,IF(L26="F-60",4,IF(L26="F-90",5,0)))),0),0)+IF(AND(O26="FIRE TEX 5062",OR(E26="IN",E26="C",E26="Z",E26="L"),J26=3),VLOOKUP(_xlfn.MINIFS('FIRE TEX 5062'!$B$4:$B$34,'FIRE TEX 5062'!$B$4:$B$34,"&gt;="&amp;M26),'FIRE TEX 5062'!$B$4:$F$34,IF(L26="F-15",2,IF(L26="F-30",3,IF(L26="F-60",4,IF(L26="F-90",5,0)))),0),0)+IF(AND(O26="FIRE TEX 5062",OR(E26="IN",E26="C",E26="Z",E26="L"),J26=4),VLOOKUP(_xlfn.MINIFS('FIRE TEX 5062'!$G$4:$G$34,'FIRE TEX 5062'!$G$4:$G$34,"&gt;="&amp;M26),'FIRE TEX 5062'!$G$4:$K$34,IF(L26="F-15",2,IF(L26="F-30",3,IF(L26="F-60",4,IF(L26="F-90",5,0)))),0),0)+IF(AND(O26="FIRE TEX 5062",E26="CJ",J26=3),VLOOKUP(_xlfn.MINIFS('FIRE TEX 5062'!$L$4:$L$34,'FIRE TEX 5062'!$L$4:$L$34,"&gt;="&amp;M26),'FIRE TEX 5062'!$L$4:$P$34,IF(L26="F-15",2,IF(L26="F-30",3,IF(L26="F-60",4,IF(L26="F-90",5,0)))),0),0)+IF(AND(O26="FIRE TEX 5062",E26="CJ",J26=4),VLOOKUP(_xlfn.MINIFS('FIRE TEX 5062'!$Q$3:$Q$34,'FIRE TEX 5062'!$Q$3:$Q$34,"&gt;="&amp;M26),'FIRE TEX 5062'!$Q$3:$U$34,IF(L26="F-15",2,IF(L26="F-30",3,IF(L26="F-60",4,IF(L26="F-90",5,0)))),0),0)+IF(AND(O26="FIRE TEX 5090",OR(E26="IN",E26="C",E26="Z",E26="L"),J26=3),VLOOKUP(_xlfn.MINIFS('FIRE TEX 5090'!$B$5:$B$43,'FIRE TEX 5090'!$B$5:$B$43,"&gt;="&amp;M26),'FIRE TEX 5090'!$B$5:$H$43,IF(L26="F-15",2,IF(L26="F-30",3,IF(L26="F-60",4,IF(L26="F-90",5,IF(L26="F-120",6,IF(L26="F-150",7,0)))))),0),0)+IF(AND(O26="FIRE TEX 5090",OR(E26="IN",E26="C",E26="Z",E26="L"),J26=4),VLOOKUP(_xlfn.MINIFS('FIRE TEX 5090'!$J$5:$J$43,'FIRE TEX 5090'!$J$5:$J$43,"&gt;="&amp;M26),'FIRE TEX 5090'!$J$5:$P$43,IF(L26="F-15",2,IF(L26="F-30",3,IF(L26="F-60",4,IF(L26="F-90",5,IF(L26="F-120",6,IF(L26="F-150",7,0)))))),0),0)+IF(AND(O26="FIRE TEX 5090",E26="CJ",J26=3),VLOOKUP(_xlfn.MINIFS('FIRE TEX 5090'!$R$5:$R$30,'FIRE TEX 5090'!$R$5:$R$30,"&gt;="&amp;M26),'FIRE TEX 5090'!$R$5:$W$30,IF(L26="F-15",2,IF(L26="F-30",3,IF(L26="F-60",4,IF(L26="F-90",5,IF(L26="F-120",6,IF(L26="F-150",7,0)))))),0),0)+IF(AND(O26="FIRE TEX 5090",E26="CJ",J26=4),VLOOKUP(_xlfn.MINIFS('FIRE TEX 5090'!$Y$5:$Y$39,'FIRE TEX 5090'!$Y$5:$Y$39,"&gt;="&amp;M26),'FIRE TEX 5090'!$Y$5:$AD$39,IF(L26="F-15",2,IF(L26="F-30",3,IF(L26="F-60",4,IF(L26="F-90",5,IF(L26="F-120",6,IF(L26="F-150",7,0)))))),0),0)+IF(AND(O26="FIRE TEX 5120",OR(E26="IN",E26="C",E26="Z",E26="L"),J26=3),VLOOKUP(_xlfn.MINIFS('FIRE TEX 5120'!$B$5:$B$40,'FIRE TEX 5120'!$B$5:$B$40,"&gt;="&amp;M26),'FIRE TEX 5120'!$B$5:$G$40,IF(L26="F-15",2,IF(L26="F-30",3,IF(L26="F-60",4,IF(L26="F-90",5,IF(L26="F-120",6,0))))),0),0)+IF(AND(O26="FIRE TEX 5120",OR(E26="IN",E26="C",E26="Z",E26="L"),J26=4),VLOOKUP(_xlfn.MINIFS('FIRE TEX 5120'!$H$4:$H$40,'FIRE TEX 5120'!$H$4:$H$40,"&gt;="&amp;M26),'FIRE TEX 5120'!$H$4:$M$40,IF(L26="F-15",2,IF(L26="F-30",3,IF(L26="F-60",4,IF(L26="F-90",5,IF(L26="F-120",6,0))))),0),0)+IF(AND(O26="FIRE TEX 5120",E26="CJ"),VLOOKUP(_xlfn.MINIFS('FIRE TEX 5120'!$O$5:$O$40,'FIRE TEX 5120'!$O$5:$O$40,"&gt;="&amp;M26),'FIRE TEX 5120'!$O$5:$T$40,IF(L26="F-15",2,IF(L26="F-30",3,IF(L26="F-60",4,IF(L26="F-90",5,IF(L26="F-120",6,0))))),0),0)</f>
        <v>0</v>
      </c>
      <c r="Q26" s="46">
        <f t="shared" si="0"/>
        <v>0</v>
      </c>
      <c r="R26" s="46">
        <f t="shared" si="1"/>
        <v>0</v>
      </c>
      <c r="S26" s="46" t="e">
        <f t="shared" si="2"/>
        <v>#DIV/0!</v>
      </c>
      <c r="T26" s="677">
        <f t="shared" si="3"/>
        <v>0</v>
      </c>
      <c r="U26" s="80">
        <f>(IF(O26="Stofire",(S26*#REF!),0))+(IF(O26="Fire Control",(S26*$U$2),0))+(IF(O26="Fire Tex",(S26*$U$3),0))+(IF(O26="WB7",(S26*#REF!),0)+(IF(O26="FX 2003",(S26*$U$5),0)))</f>
        <v>0</v>
      </c>
      <c r="V26" s="651">
        <f>_xlfn.CEILING.MATH(M26,10)</f>
        <v>0</v>
      </c>
      <c r="W26" s="4"/>
      <c r="X26" s="71" t="s">
        <v>449</v>
      </c>
      <c r="Y26" s="655">
        <f>ROUND(((SUMIF($P$10:$P$365,"&gt;=7050",$N$10:$N$365))-(SUMIF($P$10:$P$365,"&gt;7500",$N$10:$N$365))),2)</f>
        <v>0</v>
      </c>
      <c r="Z26" s="657">
        <v>14000</v>
      </c>
    </row>
    <row r="27" spans="1:26" ht="16.5" thickBot="1" x14ac:dyDescent="0.3">
      <c r="A27" s="652" t="s">
        <v>448</v>
      </c>
      <c r="B27" s="653" t="s">
        <v>443</v>
      </c>
      <c r="C27" s="1" t="s">
        <v>446</v>
      </c>
      <c r="D27" s="118" t="str">
        <f>+CUBICACION!D26</f>
        <v>VIGA</v>
      </c>
      <c r="E27" s="118" t="str">
        <f>+CUBICACION!F26</f>
        <v>CJ</v>
      </c>
      <c r="F27" s="118" t="str">
        <f>+CUBICACION!E26</f>
        <v xml:space="preserve"> M1 MM600X225X4</v>
      </c>
      <c r="G27" s="118">
        <v>12</v>
      </c>
      <c r="H27" s="118">
        <v>2</v>
      </c>
      <c r="I27" s="820">
        <v>26385</v>
      </c>
      <c r="J27" s="118">
        <f>+CUBICACION!J26</f>
        <v>4</v>
      </c>
      <c r="K27" s="118">
        <v>2801</v>
      </c>
      <c r="L27" s="118" t="str">
        <f>+CUBICACION!L26</f>
        <v>F-60</v>
      </c>
      <c r="M27" s="64">
        <f>+CUBICACION!M26</f>
        <v>250</v>
      </c>
      <c r="N27" s="824">
        <f>+CUBICACION!N26</f>
        <v>49.5</v>
      </c>
      <c r="O27" s="675" t="str">
        <f>+CUBICACION!O26</f>
        <v>Fire Tex 5090</v>
      </c>
      <c r="P27" s="15">
        <f>IF(O27="Fire Control",VLOOKUP(_xlfn.MINIFS('FIRE CONTROL'!$C$4:$C$37,'FIRE CONTROL'!$C$4:$C$37,"&gt;="&amp;M27),'FIRE CONTROL'!$C$4:$G$37,IF(L27="F-15",2,IF(L27="F-30",3,IF(L27="F-60",4,IF(L27="F-90",5,0)))),0),0)+IF(AND(O27="FIRE TEX 5062",OR(E27="IN",E27="C",E27="Z",E27="L"),J27=3),VLOOKUP(_xlfn.MINIFS('FIRE TEX 5062'!$B$4:$B$34,'FIRE TEX 5062'!$B$4:$B$34,"&gt;="&amp;M27),'FIRE TEX 5062'!$B$4:$F$34,IF(L27="F-15",2,IF(L27="F-30",3,IF(L27="F-60",4,IF(L27="F-90",5,0)))),0),0)+IF(AND(O27="FIRE TEX 5062",OR(E27="IN",E27="C",E27="Z",E27="L"),J27=4),VLOOKUP(_xlfn.MINIFS('FIRE TEX 5062'!$G$4:$G$34,'FIRE TEX 5062'!$G$4:$G$34,"&gt;="&amp;M27),'FIRE TEX 5062'!$G$4:$K$34,IF(L27="F-15",2,IF(L27="F-30",3,IF(L27="F-60",4,IF(L27="F-90",5,0)))),0),0)+IF(AND(O27="FIRE TEX 5062",E27="CJ",J27=3),VLOOKUP(_xlfn.MINIFS('FIRE TEX 5062'!$L$4:$L$34,'FIRE TEX 5062'!$L$4:$L$34,"&gt;="&amp;M27),'FIRE TEX 5062'!$L$4:$P$34,IF(L27="F-15",2,IF(L27="F-30",3,IF(L27="F-60",4,IF(L27="F-90",5,0)))),0),0)+IF(AND(O27="FIRE TEX 5062",E27="CJ",J27=4),VLOOKUP(_xlfn.MINIFS('FIRE TEX 5062'!$Q$3:$Q$34,'FIRE TEX 5062'!$Q$3:$Q$34,"&gt;="&amp;M27),'FIRE TEX 5062'!$Q$3:$U$34,IF(L27="F-15",2,IF(L27="F-30",3,IF(L27="F-60",4,IF(L27="F-90",5,0)))),0),0)+IF(AND(O27="FIRE TEX 5090",OR(E27="IN",E27="C",E27="Z",E27="L"),J27=3),VLOOKUP(_xlfn.MINIFS('FIRE TEX 5090'!$B$5:$B$43,'FIRE TEX 5090'!$B$5:$B$43,"&gt;="&amp;M27),'FIRE TEX 5090'!$B$5:$H$43,IF(L27="F-15",2,IF(L27="F-30",3,IF(L27="F-60",4,IF(L27="F-90",5,IF(L27="F-120",6,IF(L27="F-150",7,0)))))),0),0)+IF(AND(O27="FIRE TEX 5090",OR(E27="IN",E27="C",E27="Z",E27="L"),J27=4),VLOOKUP(_xlfn.MINIFS('FIRE TEX 5090'!$J$5:$J$43,'FIRE TEX 5090'!$J$5:$J$43,"&gt;="&amp;M27),'FIRE TEX 5090'!$J$5:$P$43,IF(L27="F-15",2,IF(L27="F-30",3,IF(L27="F-60",4,IF(L27="F-90",5,IF(L27="F-120",6,IF(L27="F-150",7,0)))))),0),0)+IF(AND(O27="FIRE TEX 5090",E27="CJ",J27=3),VLOOKUP(_xlfn.MINIFS('FIRE TEX 5090'!$R$5:$R$30,'FIRE TEX 5090'!$R$5:$R$30,"&gt;="&amp;M27),'FIRE TEX 5090'!$R$5:$W$30,IF(L27="F-15",2,IF(L27="F-30",3,IF(L27="F-60",4,IF(L27="F-90",5,IF(L27="F-120",6,IF(L27="F-150",7,0)))))),0),0)+IF(AND(O27="FIRE TEX 5090",E27="CJ",J27=4),VLOOKUP(_xlfn.MINIFS('FIRE TEX 5090'!$Y$5:$Y$39,'FIRE TEX 5090'!$Y$5:$Y$39,"&gt;="&amp;M27),'FIRE TEX 5090'!$Y$5:$AD$39,IF(L27="F-15",2,IF(L27="F-30",3,IF(L27="F-60",4,IF(L27="F-90",5,IF(L27="F-120",6,IF(L27="F-150",7,0)))))),0),0)+IF(AND(O27="FIRE TEX 5120",OR(E27="IN",E27="C",E27="Z",E27="L"),J27=3),VLOOKUP(_xlfn.MINIFS('FIRE TEX 5120'!$B$5:$B$40,'FIRE TEX 5120'!$B$5:$B$40,"&gt;="&amp;M27),'FIRE TEX 5120'!$B$5:$G$40,IF(L27="F-15",2,IF(L27="F-30",3,IF(L27="F-60",4,IF(L27="F-90",5,IF(L27="F-120",6,0))))),0),0)+IF(AND(O27="FIRE TEX 5120",OR(E27="IN",E27="C",E27="Z",E27="L"),J27=4),VLOOKUP(_xlfn.MINIFS('FIRE TEX 5120'!$H$4:$H$40,'FIRE TEX 5120'!$H$4:$H$40,"&gt;="&amp;M27),'FIRE TEX 5120'!$H$4:$M$40,IF(L27="F-15",2,IF(L27="F-30",3,IF(L27="F-60",4,IF(L27="F-90",5,IF(L27="F-120",6,0))))),0),0)+IF(AND(O27="FIRE TEX 5120",E27="CJ"),VLOOKUP(_xlfn.MINIFS('FIRE TEX 5120'!$O$5:$O$40,'FIRE TEX 5120'!$O$5:$O$40,"&gt;="&amp;M27),'FIRE TEX 5120'!$O$5:$T$40,IF(L27="F-15",2,IF(L27="F-30",3,IF(L27="F-60",4,IF(L27="F-90",5,IF(L27="F-120",6,0))))),0),0)</f>
        <v>2262</v>
      </c>
      <c r="Q27" s="46">
        <f t="shared" si="0"/>
        <v>89.054940000000002</v>
      </c>
      <c r="R27" s="46">
        <f t="shared" ref="R27:R74" si="5">+(IF(O27="Fire Control",((65*1.5/Q27)*0.75*4),0))+(IF(OR(O27="Fire Tex 5062",O27="Fire Tex 5090",O27="Fire Tex 5120"),((66*1.5/Q27)*0.7*5),0))</f>
        <v>3.8908565880792239</v>
      </c>
      <c r="S27" s="46">
        <f t="shared" si="2"/>
        <v>12.722134285714287</v>
      </c>
      <c r="T27" s="677">
        <f t="shared" si="3"/>
        <v>0</v>
      </c>
      <c r="U27" s="80">
        <f>(IF(O27="Stofire",(S27*#REF!),0))+(IF(O27="Fire Control",(S27*$U$2),0))+(IF(O27="Fire Tex",(S27*$U$3),0))+(IF(O27="WB7",(S27*#REF!),0)+(IF(O27="FX 2003",(S27*$U$5),0)))</f>
        <v>0</v>
      </c>
      <c r="V27" s="651">
        <f t="shared" ref="V27:V39" si="6">_xlfn.CEILING.MATH(M27,10)</f>
        <v>250</v>
      </c>
      <c r="W27" s="4"/>
      <c r="X27" s="683" t="s">
        <v>450</v>
      </c>
      <c r="Y27" s="658">
        <f>ROUND(((SUMIF($P$10:$P$365,"&gt;=7550",$N$10:$N$365))-(SUMIF($P$10:$P$365,"&gt;8000",$N$10:$N$365))),2)</f>
        <v>0</v>
      </c>
      <c r="Z27" s="684">
        <v>14900</v>
      </c>
    </row>
    <row r="28" spans="1:26" ht="17.25" thickTop="1" thickBot="1" x14ac:dyDescent="0.3">
      <c r="A28" s="652" t="s">
        <v>448</v>
      </c>
      <c r="B28" s="653" t="s">
        <v>451</v>
      </c>
      <c r="C28" s="1" t="s">
        <v>446</v>
      </c>
      <c r="D28" s="118" t="str">
        <f>+CUBICACION!D27</f>
        <v>VIGA</v>
      </c>
      <c r="E28" s="118" t="str">
        <f>+CUBICACION!F27</f>
        <v>CJ</v>
      </c>
      <c r="F28" s="118" t="str">
        <f>+CUBICACION!E27</f>
        <v xml:space="preserve"> M1 MM600X225X4</v>
      </c>
      <c r="G28" s="118">
        <v>12</v>
      </c>
      <c r="H28" s="118">
        <v>2</v>
      </c>
      <c r="I28" s="820">
        <v>26385</v>
      </c>
      <c r="J28" s="118">
        <f>+CUBICACION!J27</f>
        <v>4</v>
      </c>
      <c r="K28" s="118">
        <v>2802</v>
      </c>
      <c r="L28" s="118" t="str">
        <f>+CUBICACION!L27</f>
        <v>F-60</v>
      </c>
      <c r="M28" s="64">
        <f>+CUBICACION!M27</f>
        <v>250</v>
      </c>
      <c r="N28" s="824">
        <f>+CUBICACION!N27</f>
        <v>49.5</v>
      </c>
      <c r="O28" s="675" t="str">
        <f>+CUBICACION!O27</f>
        <v>Fire Tex 5090</v>
      </c>
      <c r="P28" s="15">
        <f>IF(O28="Fire Control",VLOOKUP(_xlfn.MINIFS('FIRE CONTROL'!$C$4:$C$37,'FIRE CONTROL'!$C$4:$C$37,"&gt;="&amp;M28),'FIRE CONTROL'!$C$4:$G$37,IF(L28="F-15",2,IF(L28="F-30",3,IF(L28="F-60",4,IF(L28="F-90",5,0)))),0),0)+IF(AND(O28="FIRE TEX 5062",OR(E28="IN",E28="C",E28="Z",E28="L"),J28=3),VLOOKUP(_xlfn.MINIFS('FIRE TEX 5062'!$B$4:$B$34,'FIRE TEX 5062'!$B$4:$B$34,"&gt;="&amp;M28),'FIRE TEX 5062'!$B$4:$F$34,IF(L28="F-15",2,IF(L28="F-30",3,IF(L28="F-60",4,IF(L28="F-90",5,0)))),0),0)+IF(AND(O28="FIRE TEX 5062",OR(E28="IN",E28="C",E28="Z",E28="L"),J28=4),VLOOKUP(_xlfn.MINIFS('FIRE TEX 5062'!$G$4:$G$34,'FIRE TEX 5062'!$G$4:$G$34,"&gt;="&amp;M28),'FIRE TEX 5062'!$G$4:$K$34,IF(L28="F-15",2,IF(L28="F-30",3,IF(L28="F-60",4,IF(L28="F-90",5,0)))),0),0)+IF(AND(O28="FIRE TEX 5062",E28="CJ",J28=3),VLOOKUP(_xlfn.MINIFS('FIRE TEX 5062'!$L$4:$L$34,'FIRE TEX 5062'!$L$4:$L$34,"&gt;="&amp;M28),'FIRE TEX 5062'!$L$4:$P$34,IF(L28="F-15",2,IF(L28="F-30",3,IF(L28="F-60",4,IF(L28="F-90",5,0)))),0),0)+IF(AND(O28="FIRE TEX 5062",E28="CJ",J28=4),VLOOKUP(_xlfn.MINIFS('FIRE TEX 5062'!$Q$3:$Q$34,'FIRE TEX 5062'!$Q$3:$Q$34,"&gt;="&amp;M28),'FIRE TEX 5062'!$Q$3:$U$34,IF(L28="F-15",2,IF(L28="F-30",3,IF(L28="F-60",4,IF(L28="F-90",5,0)))),0),0)+IF(AND(O28="FIRE TEX 5090",OR(E28="IN",E28="C",E28="Z",E28="L"),J28=3),VLOOKUP(_xlfn.MINIFS('FIRE TEX 5090'!$B$5:$B$43,'FIRE TEX 5090'!$B$5:$B$43,"&gt;="&amp;M28),'FIRE TEX 5090'!$B$5:$H$43,IF(L28="F-15",2,IF(L28="F-30",3,IF(L28="F-60",4,IF(L28="F-90",5,IF(L28="F-120",6,IF(L28="F-150",7,0)))))),0),0)+IF(AND(O28="FIRE TEX 5090",OR(E28="IN",E28="C",E28="Z",E28="L"),J28=4),VLOOKUP(_xlfn.MINIFS('FIRE TEX 5090'!$J$5:$J$43,'FIRE TEX 5090'!$J$5:$J$43,"&gt;="&amp;M28),'FIRE TEX 5090'!$J$5:$P$43,IF(L28="F-15",2,IF(L28="F-30",3,IF(L28="F-60",4,IF(L28="F-90",5,IF(L28="F-120",6,IF(L28="F-150",7,0)))))),0),0)+IF(AND(O28="FIRE TEX 5090",E28="CJ",J28=3),VLOOKUP(_xlfn.MINIFS('FIRE TEX 5090'!$R$5:$R$30,'FIRE TEX 5090'!$R$5:$R$30,"&gt;="&amp;M28),'FIRE TEX 5090'!$R$5:$W$30,IF(L28="F-15",2,IF(L28="F-30",3,IF(L28="F-60",4,IF(L28="F-90",5,IF(L28="F-120",6,IF(L28="F-150",7,0)))))),0),0)+IF(AND(O28="FIRE TEX 5090",E28="CJ",J28=4),VLOOKUP(_xlfn.MINIFS('FIRE TEX 5090'!$Y$5:$Y$39,'FIRE TEX 5090'!$Y$5:$Y$39,"&gt;="&amp;M28),'FIRE TEX 5090'!$Y$5:$AD$39,IF(L28="F-15",2,IF(L28="F-30",3,IF(L28="F-60",4,IF(L28="F-90",5,IF(L28="F-120",6,IF(L28="F-150",7,0)))))),0),0)+IF(AND(O28="FIRE TEX 5120",OR(E28="IN",E28="C",E28="Z",E28="L"),J28=3),VLOOKUP(_xlfn.MINIFS('FIRE TEX 5120'!$B$5:$B$40,'FIRE TEX 5120'!$B$5:$B$40,"&gt;="&amp;M28),'FIRE TEX 5120'!$B$5:$G$40,IF(L28="F-15",2,IF(L28="F-30",3,IF(L28="F-60",4,IF(L28="F-90",5,IF(L28="F-120",6,0))))),0),0)+IF(AND(O28="FIRE TEX 5120",OR(E28="IN",E28="C",E28="Z",E28="L"),J28=4),VLOOKUP(_xlfn.MINIFS('FIRE TEX 5120'!$H$4:$H$40,'FIRE TEX 5120'!$H$4:$H$40,"&gt;="&amp;M28),'FIRE TEX 5120'!$H$4:$M$40,IF(L28="F-15",2,IF(L28="F-30",3,IF(L28="F-60",4,IF(L28="F-90",5,IF(L28="F-120",6,0))))),0),0)+IF(AND(O28="FIRE TEX 5120",E28="CJ"),VLOOKUP(_xlfn.MINIFS('FIRE TEX 5120'!$O$5:$O$40,'FIRE TEX 5120'!$O$5:$O$40,"&gt;="&amp;M28),'FIRE TEX 5120'!$O$5:$T$40,IF(L28="F-15",2,IF(L28="F-30",3,IF(L28="F-60",4,IF(L28="F-90",5,IF(L28="F-120",6,0))))),0),0)</f>
        <v>2262</v>
      </c>
      <c r="Q28" s="46">
        <f t="shared" si="0"/>
        <v>89.054940000000002</v>
      </c>
      <c r="R28" s="46">
        <f t="shared" si="5"/>
        <v>3.8908565880792239</v>
      </c>
      <c r="S28" s="46">
        <f t="shared" si="2"/>
        <v>12.722134285714287</v>
      </c>
      <c r="T28" s="677">
        <f t="shared" si="3"/>
        <v>0</v>
      </c>
      <c r="U28" s="80">
        <f>(IF(O28="Stofire",(S28*#REF!),0))+(IF(O28="Fire Control",(S28*$U$2),0))+(IF(O28="Fire Tex",(S28*$U$3),0))+(IF(O28="WB7",(S28*#REF!),0)+(IF(O28="FX 2003",(S28*$U$5),0)))</f>
        <v>0</v>
      </c>
      <c r="V28" s="651">
        <f t="shared" si="6"/>
        <v>250</v>
      </c>
      <c r="W28" s="4"/>
      <c r="X28" s="659" t="s">
        <v>142</v>
      </c>
      <c r="Y28" s="660">
        <f>SUM(Y13:Y27)</f>
        <v>3573.3900000000003</v>
      </c>
      <c r="Z28" s="685"/>
    </row>
    <row r="29" spans="1:26" x14ac:dyDescent="0.25">
      <c r="A29" s="652" t="s">
        <v>452</v>
      </c>
      <c r="B29" s="653" t="s">
        <v>453</v>
      </c>
      <c r="C29" s="1" t="s">
        <v>454</v>
      </c>
      <c r="D29" s="118" t="str">
        <f>+CUBICACION!D28</f>
        <v>VIGA</v>
      </c>
      <c r="E29" s="118" t="str">
        <f>+CUBICACION!F28</f>
        <v>CJ</v>
      </c>
      <c r="F29" s="118" t="str">
        <f>+CUBICACION!E28</f>
        <v xml:space="preserve"> M1 MM600X225X4</v>
      </c>
      <c r="G29" s="118">
        <v>12</v>
      </c>
      <c r="H29" s="118">
        <v>2</v>
      </c>
      <c r="I29" s="820">
        <v>26385</v>
      </c>
      <c r="J29" s="118">
        <f>+CUBICACION!J28</f>
        <v>4</v>
      </c>
      <c r="K29" s="118">
        <v>2803</v>
      </c>
      <c r="L29" s="118" t="str">
        <f>+CUBICACION!L28</f>
        <v>F-60</v>
      </c>
      <c r="M29" s="64">
        <f>+CUBICACION!M28</f>
        <v>250</v>
      </c>
      <c r="N29" s="824">
        <f>+CUBICACION!N28</f>
        <v>49.5</v>
      </c>
      <c r="O29" s="675" t="str">
        <f>+CUBICACION!O28</f>
        <v>Fire Tex 5090</v>
      </c>
      <c r="P29" s="15">
        <f>IF(O29="Fire Control",VLOOKUP(_xlfn.MINIFS('FIRE CONTROL'!$C$4:$C$37,'FIRE CONTROL'!$C$4:$C$37,"&gt;="&amp;M29),'FIRE CONTROL'!$C$4:$G$37,IF(L29="F-15",2,IF(L29="F-30",3,IF(L29="F-60",4,IF(L29="F-90",5,0)))),0),0)+IF(AND(O29="FIRE TEX 5062",OR(E29="IN",E29="C",E29="Z",E29="L"),J29=3),VLOOKUP(_xlfn.MINIFS('FIRE TEX 5062'!$B$4:$B$34,'FIRE TEX 5062'!$B$4:$B$34,"&gt;="&amp;M29),'FIRE TEX 5062'!$B$4:$F$34,IF(L29="F-15",2,IF(L29="F-30",3,IF(L29="F-60",4,IF(L29="F-90",5,0)))),0),0)+IF(AND(O29="FIRE TEX 5062",OR(E29="IN",E29="C",E29="Z",E29="L"),J29=4),VLOOKUP(_xlfn.MINIFS('FIRE TEX 5062'!$G$4:$G$34,'FIRE TEX 5062'!$G$4:$G$34,"&gt;="&amp;M29),'FIRE TEX 5062'!$G$4:$K$34,IF(L29="F-15",2,IF(L29="F-30",3,IF(L29="F-60",4,IF(L29="F-90",5,0)))),0),0)+IF(AND(O29="FIRE TEX 5062",E29="CJ",J29=3),VLOOKUP(_xlfn.MINIFS('FIRE TEX 5062'!$L$4:$L$34,'FIRE TEX 5062'!$L$4:$L$34,"&gt;="&amp;M29),'FIRE TEX 5062'!$L$4:$P$34,IF(L29="F-15",2,IF(L29="F-30",3,IF(L29="F-60",4,IF(L29="F-90",5,0)))),0),0)+IF(AND(O29="FIRE TEX 5062",E29="CJ",J29=4),VLOOKUP(_xlfn.MINIFS('FIRE TEX 5062'!$Q$3:$Q$34,'FIRE TEX 5062'!$Q$3:$Q$34,"&gt;="&amp;M29),'FIRE TEX 5062'!$Q$3:$U$34,IF(L29="F-15",2,IF(L29="F-30",3,IF(L29="F-60",4,IF(L29="F-90",5,0)))),0),0)+IF(AND(O29="FIRE TEX 5090",OR(E29="IN",E29="C",E29="Z",E29="L"),J29=3),VLOOKUP(_xlfn.MINIFS('FIRE TEX 5090'!$B$5:$B$43,'FIRE TEX 5090'!$B$5:$B$43,"&gt;="&amp;M29),'FIRE TEX 5090'!$B$5:$H$43,IF(L29="F-15",2,IF(L29="F-30",3,IF(L29="F-60",4,IF(L29="F-90",5,IF(L29="F-120",6,IF(L29="F-150",7,0)))))),0),0)+IF(AND(O29="FIRE TEX 5090",OR(E29="IN",E29="C",E29="Z",E29="L"),J29=4),VLOOKUP(_xlfn.MINIFS('FIRE TEX 5090'!$J$5:$J$43,'FIRE TEX 5090'!$J$5:$J$43,"&gt;="&amp;M29),'FIRE TEX 5090'!$J$5:$P$43,IF(L29="F-15",2,IF(L29="F-30",3,IF(L29="F-60",4,IF(L29="F-90",5,IF(L29="F-120",6,IF(L29="F-150",7,0)))))),0),0)+IF(AND(O29="FIRE TEX 5090",E29="CJ",J29=3),VLOOKUP(_xlfn.MINIFS('FIRE TEX 5090'!$R$5:$R$30,'FIRE TEX 5090'!$R$5:$R$30,"&gt;="&amp;M29),'FIRE TEX 5090'!$R$5:$W$30,IF(L29="F-15",2,IF(L29="F-30",3,IF(L29="F-60",4,IF(L29="F-90",5,IF(L29="F-120",6,IF(L29="F-150",7,0)))))),0),0)+IF(AND(O29="FIRE TEX 5090",E29="CJ",J29=4),VLOOKUP(_xlfn.MINIFS('FIRE TEX 5090'!$Y$5:$Y$39,'FIRE TEX 5090'!$Y$5:$Y$39,"&gt;="&amp;M29),'FIRE TEX 5090'!$Y$5:$AD$39,IF(L29="F-15",2,IF(L29="F-30",3,IF(L29="F-60",4,IF(L29="F-90",5,IF(L29="F-120",6,IF(L29="F-150",7,0)))))),0),0)+IF(AND(O29="FIRE TEX 5120",OR(E29="IN",E29="C",E29="Z",E29="L"),J29=3),VLOOKUP(_xlfn.MINIFS('FIRE TEX 5120'!$B$5:$B$40,'FIRE TEX 5120'!$B$5:$B$40,"&gt;="&amp;M29),'FIRE TEX 5120'!$B$5:$G$40,IF(L29="F-15",2,IF(L29="F-30",3,IF(L29="F-60",4,IF(L29="F-90",5,IF(L29="F-120",6,0))))),0),0)+IF(AND(O29="FIRE TEX 5120",OR(E29="IN",E29="C",E29="Z",E29="L"),J29=4),VLOOKUP(_xlfn.MINIFS('FIRE TEX 5120'!$H$4:$H$40,'FIRE TEX 5120'!$H$4:$H$40,"&gt;="&amp;M29),'FIRE TEX 5120'!$H$4:$M$40,IF(L29="F-15",2,IF(L29="F-30",3,IF(L29="F-60",4,IF(L29="F-90",5,IF(L29="F-120",6,0))))),0),0)+IF(AND(O29="FIRE TEX 5120",E29="CJ"),VLOOKUP(_xlfn.MINIFS('FIRE TEX 5120'!$O$5:$O$40,'FIRE TEX 5120'!$O$5:$O$40,"&gt;="&amp;M29),'FIRE TEX 5120'!$O$5:$T$40,IF(L29="F-15",2,IF(L29="F-30",3,IF(L29="F-60",4,IF(L29="F-90",5,IF(L29="F-120",6,0))))),0),0)</f>
        <v>2262</v>
      </c>
      <c r="Q29" s="46">
        <f t="shared" si="0"/>
        <v>89.054940000000002</v>
      </c>
      <c r="R29" s="46">
        <f t="shared" si="5"/>
        <v>3.8908565880792239</v>
      </c>
      <c r="S29" s="46">
        <f t="shared" si="2"/>
        <v>12.722134285714287</v>
      </c>
      <c r="T29" s="677">
        <f t="shared" si="3"/>
        <v>0</v>
      </c>
      <c r="U29" s="80">
        <f>(IF(O29="Stofire",(S29*#REF!),0))+(IF(O29="Fire Control",(S29*$U$2),0))+(IF(O29="Fire Tex",(S29*$U$3),0))+(IF(O29="WB7",(S29*#REF!),0)+(IF(O29="FX 2003",(S29*$U$5),0)))</f>
        <v>0</v>
      </c>
      <c r="V29" s="651">
        <f t="shared" si="6"/>
        <v>250</v>
      </c>
      <c r="W29" s="4"/>
    </row>
    <row r="30" spans="1:26" ht="16.5" thickBot="1" x14ac:dyDescent="0.3">
      <c r="A30" s="652" t="s">
        <v>452</v>
      </c>
      <c r="B30" s="653" t="s">
        <v>453</v>
      </c>
      <c r="C30" s="1" t="s">
        <v>408</v>
      </c>
      <c r="D30" s="118" t="str">
        <f>+CUBICACION!D29</f>
        <v>VIGA</v>
      </c>
      <c r="E30" s="118" t="str">
        <f>+CUBICACION!F29</f>
        <v>CJ</v>
      </c>
      <c r="F30" s="118" t="str">
        <f>+CUBICACION!E29</f>
        <v xml:space="preserve"> M1 MM600X225X4</v>
      </c>
      <c r="G30" s="118">
        <v>12</v>
      </c>
      <c r="H30" s="118">
        <v>2</v>
      </c>
      <c r="I30" s="820">
        <v>26385</v>
      </c>
      <c r="J30" s="118">
        <f>+CUBICACION!J29</f>
        <v>4</v>
      </c>
      <c r="K30" s="118">
        <v>2804</v>
      </c>
      <c r="L30" s="118" t="str">
        <f>+CUBICACION!L29</f>
        <v>F-60</v>
      </c>
      <c r="M30" s="64">
        <f>+CUBICACION!M29</f>
        <v>250</v>
      </c>
      <c r="N30" s="824">
        <f>+CUBICACION!N29</f>
        <v>346.5</v>
      </c>
      <c r="O30" s="675" t="str">
        <f>+CUBICACION!O29</f>
        <v>Fire Tex 5090</v>
      </c>
      <c r="P30" s="15">
        <f>IF(O30="Fire Control",VLOOKUP(_xlfn.MINIFS('FIRE CONTROL'!$C$4:$C$37,'FIRE CONTROL'!$C$4:$C$37,"&gt;="&amp;M30),'FIRE CONTROL'!$C$4:$G$37,IF(L30="F-15",2,IF(L30="F-30",3,IF(L30="F-60",4,IF(L30="F-90",5,0)))),0),0)+IF(AND(O30="FIRE TEX 5062",OR(E30="IN",E30="C",E30="Z",E30="L"),J30=3),VLOOKUP(_xlfn.MINIFS('FIRE TEX 5062'!$B$4:$B$34,'FIRE TEX 5062'!$B$4:$B$34,"&gt;="&amp;M30),'FIRE TEX 5062'!$B$4:$F$34,IF(L30="F-15",2,IF(L30="F-30",3,IF(L30="F-60",4,IF(L30="F-90",5,0)))),0),0)+IF(AND(O30="FIRE TEX 5062",OR(E30="IN",E30="C",E30="Z",E30="L"),J30=4),VLOOKUP(_xlfn.MINIFS('FIRE TEX 5062'!$G$4:$G$34,'FIRE TEX 5062'!$G$4:$G$34,"&gt;="&amp;M30),'FIRE TEX 5062'!$G$4:$K$34,IF(L30="F-15",2,IF(L30="F-30",3,IF(L30="F-60",4,IF(L30="F-90",5,0)))),0),0)+IF(AND(O30="FIRE TEX 5062",E30="CJ",J30=3),VLOOKUP(_xlfn.MINIFS('FIRE TEX 5062'!$L$4:$L$34,'FIRE TEX 5062'!$L$4:$L$34,"&gt;="&amp;M30),'FIRE TEX 5062'!$L$4:$P$34,IF(L30="F-15",2,IF(L30="F-30",3,IF(L30="F-60",4,IF(L30="F-90",5,0)))),0),0)+IF(AND(O30="FIRE TEX 5062",E30="CJ",J30=4),VLOOKUP(_xlfn.MINIFS('FIRE TEX 5062'!$Q$3:$Q$34,'FIRE TEX 5062'!$Q$3:$Q$34,"&gt;="&amp;M30),'FIRE TEX 5062'!$Q$3:$U$34,IF(L30="F-15",2,IF(L30="F-30",3,IF(L30="F-60",4,IF(L30="F-90",5,0)))),0),0)+IF(AND(O30="FIRE TEX 5090",OR(E30="IN",E30="C",E30="Z",E30="L"),J30=3),VLOOKUP(_xlfn.MINIFS('FIRE TEX 5090'!$B$5:$B$43,'FIRE TEX 5090'!$B$5:$B$43,"&gt;="&amp;M30),'FIRE TEX 5090'!$B$5:$H$43,IF(L30="F-15",2,IF(L30="F-30",3,IF(L30="F-60",4,IF(L30="F-90",5,IF(L30="F-120",6,IF(L30="F-150",7,0)))))),0),0)+IF(AND(O30="FIRE TEX 5090",OR(E30="IN",E30="C",E30="Z",E30="L"),J30=4),VLOOKUP(_xlfn.MINIFS('FIRE TEX 5090'!$J$5:$J$43,'FIRE TEX 5090'!$J$5:$J$43,"&gt;="&amp;M30),'FIRE TEX 5090'!$J$5:$P$43,IF(L30="F-15",2,IF(L30="F-30",3,IF(L30="F-60",4,IF(L30="F-90",5,IF(L30="F-120",6,IF(L30="F-150",7,0)))))),0),0)+IF(AND(O30="FIRE TEX 5090",E30="CJ",J30=3),VLOOKUP(_xlfn.MINIFS('FIRE TEX 5090'!$R$5:$R$30,'FIRE TEX 5090'!$R$5:$R$30,"&gt;="&amp;M30),'FIRE TEX 5090'!$R$5:$W$30,IF(L30="F-15",2,IF(L30="F-30",3,IF(L30="F-60",4,IF(L30="F-90",5,IF(L30="F-120",6,IF(L30="F-150",7,0)))))),0),0)+IF(AND(O30="FIRE TEX 5090",E30="CJ",J30=4),VLOOKUP(_xlfn.MINIFS('FIRE TEX 5090'!$Y$5:$Y$39,'FIRE TEX 5090'!$Y$5:$Y$39,"&gt;="&amp;M30),'FIRE TEX 5090'!$Y$5:$AD$39,IF(L30="F-15",2,IF(L30="F-30",3,IF(L30="F-60",4,IF(L30="F-90",5,IF(L30="F-120",6,IF(L30="F-150",7,0)))))),0),0)+IF(AND(O30="FIRE TEX 5120",OR(E30="IN",E30="C",E30="Z",E30="L"),J30=3),VLOOKUP(_xlfn.MINIFS('FIRE TEX 5120'!$B$5:$B$40,'FIRE TEX 5120'!$B$5:$B$40,"&gt;="&amp;M30),'FIRE TEX 5120'!$B$5:$G$40,IF(L30="F-15",2,IF(L30="F-30",3,IF(L30="F-60",4,IF(L30="F-90",5,IF(L30="F-120",6,0))))),0),0)+IF(AND(O30="FIRE TEX 5120",OR(E30="IN",E30="C",E30="Z",E30="L"),J30=4),VLOOKUP(_xlfn.MINIFS('FIRE TEX 5120'!$H$4:$H$40,'FIRE TEX 5120'!$H$4:$H$40,"&gt;="&amp;M30),'FIRE TEX 5120'!$H$4:$M$40,IF(L30="F-15",2,IF(L30="F-30",3,IF(L30="F-60",4,IF(L30="F-90",5,IF(L30="F-120",6,0))))),0),0)+IF(AND(O30="FIRE TEX 5120",E30="CJ"),VLOOKUP(_xlfn.MINIFS('FIRE TEX 5120'!$O$5:$O$40,'FIRE TEX 5120'!$O$5:$O$40,"&gt;="&amp;M30),'FIRE TEX 5120'!$O$5:$T$40,IF(L30="F-15",2,IF(L30="F-30",3,IF(L30="F-60",4,IF(L30="F-90",5,IF(L30="F-120",6,0))))),0),0)</f>
        <v>2262</v>
      </c>
      <c r="Q30" s="783">
        <f t="shared" si="0"/>
        <v>89.054940000000002</v>
      </c>
      <c r="R30" s="46">
        <f t="shared" si="5"/>
        <v>3.8908565880792239</v>
      </c>
      <c r="S30" s="783">
        <f t="shared" si="2"/>
        <v>89.054940000000002</v>
      </c>
      <c r="T30" s="784">
        <f t="shared" si="3"/>
        <v>0</v>
      </c>
      <c r="U30" s="785">
        <f>(IF(O30="Stofire",(S30*#REF!),0))+(IF(O30="Fire Control",(S30*$U$2),0))+(IF(O30="Fire Tex",(S30*$U$3),0))+(IF(O30="WB7",(S30*#REF!),0)+(IF(O30="FX 2003",(S30*$U$5),0)))</f>
        <v>0</v>
      </c>
      <c r="V30" s="651">
        <f t="shared" si="6"/>
        <v>250</v>
      </c>
      <c r="W30" s="4"/>
    </row>
    <row r="31" spans="1:26" ht="16.5" thickTop="1" x14ac:dyDescent="0.25">
      <c r="A31" s="652" t="s">
        <v>452</v>
      </c>
      <c r="B31" s="653" t="s">
        <v>453</v>
      </c>
      <c r="C31" s="1" t="s">
        <v>408</v>
      </c>
      <c r="D31" s="118" t="str">
        <f>+CUBICACION!D30</f>
        <v>VIGA</v>
      </c>
      <c r="E31" s="118" t="str">
        <f>+CUBICACION!F30</f>
        <v>CJ</v>
      </c>
      <c r="F31" s="118" t="str">
        <f>+CUBICACION!E30</f>
        <v xml:space="preserve"> M1 MM600X225X4</v>
      </c>
      <c r="G31" s="118">
        <v>12</v>
      </c>
      <c r="H31" s="118">
        <v>2</v>
      </c>
      <c r="I31" s="820">
        <v>26385</v>
      </c>
      <c r="J31" s="118">
        <f>+CUBICACION!J30</f>
        <v>4</v>
      </c>
      <c r="K31" s="118">
        <v>2805</v>
      </c>
      <c r="L31" s="118" t="str">
        <f>+CUBICACION!L30</f>
        <v>F-60</v>
      </c>
      <c r="M31" s="64">
        <f>+CUBICACION!M30</f>
        <v>250</v>
      </c>
      <c r="N31" s="824">
        <f>+CUBICACION!N30</f>
        <v>346.5</v>
      </c>
      <c r="O31" s="675" t="str">
        <f>+CUBICACION!O30</f>
        <v>Fire Tex 5090</v>
      </c>
      <c r="P31" s="15">
        <f>IF(O31="Fire Control",VLOOKUP(_xlfn.MINIFS('FIRE CONTROL'!$C$4:$C$37,'FIRE CONTROL'!$C$4:$C$37,"&gt;="&amp;M31),'FIRE CONTROL'!$C$4:$G$37,IF(L31="F-15",2,IF(L31="F-30",3,IF(L31="F-60",4,IF(L31="F-90",5,0)))),0),0)+IF(AND(O31="FIRE TEX 5062",OR(E31="IN",E31="C",E31="Z",E31="L"),J31=3),VLOOKUP(_xlfn.MINIFS('FIRE TEX 5062'!$B$4:$B$34,'FIRE TEX 5062'!$B$4:$B$34,"&gt;="&amp;M31),'FIRE TEX 5062'!$B$4:$F$34,IF(L31="F-15",2,IF(L31="F-30",3,IF(L31="F-60",4,IF(L31="F-90",5,0)))),0),0)+IF(AND(O31="FIRE TEX 5062",OR(E31="IN",E31="C",E31="Z",E31="L"),J31=4),VLOOKUP(_xlfn.MINIFS('FIRE TEX 5062'!$G$4:$G$34,'FIRE TEX 5062'!$G$4:$G$34,"&gt;="&amp;M31),'FIRE TEX 5062'!$G$4:$K$34,IF(L31="F-15",2,IF(L31="F-30",3,IF(L31="F-60",4,IF(L31="F-90",5,0)))),0),0)+IF(AND(O31="FIRE TEX 5062",E31="CJ",J31=3),VLOOKUP(_xlfn.MINIFS('FIRE TEX 5062'!$L$4:$L$34,'FIRE TEX 5062'!$L$4:$L$34,"&gt;="&amp;M31),'FIRE TEX 5062'!$L$4:$P$34,IF(L31="F-15",2,IF(L31="F-30",3,IF(L31="F-60",4,IF(L31="F-90",5,0)))),0),0)+IF(AND(O31="FIRE TEX 5062",E31="CJ",J31=4),VLOOKUP(_xlfn.MINIFS('FIRE TEX 5062'!$Q$3:$Q$34,'FIRE TEX 5062'!$Q$3:$Q$34,"&gt;="&amp;M31),'FIRE TEX 5062'!$Q$3:$U$34,IF(L31="F-15",2,IF(L31="F-30",3,IF(L31="F-60",4,IF(L31="F-90",5,0)))),0),0)+IF(AND(O31="FIRE TEX 5090",OR(E31="IN",E31="C",E31="Z",E31="L"),J31=3),VLOOKUP(_xlfn.MINIFS('FIRE TEX 5090'!$B$5:$B$43,'FIRE TEX 5090'!$B$5:$B$43,"&gt;="&amp;M31),'FIRE TEX 5090'!$B$5:$H$43,IF(L31="F-15",2,IF(L31="F-30",3,IF(L31="F-60",4,IF(L31="F-90",5,IF(L31="F-120",6,IF(L31="F-150",7,0)))))),0),0)+IF(AND(O31="FIRE TEX 5090",OR(E31="IN",E31="C",E31="Z",E31="L"),J31=4),VLOOKUP(_xlfn.MINIFS('FIRE TEX 5090'!$J$5:$J$43,'FIRE TEX 5090'!$J$5:$J$43,"&gt;="&amp;M31),'FIRE TEX 5090'!$J$5:$P$43,IF(L31="F-15",2,IF(L31="F-30",3,IF(L31="F-60",4,IF(L31="F-90",5,IF(L31="F-120",6,IF(L31="F-150",7,0)))))),0),0)+IF(AND(O31="FIRE TEX 5090",E31="CJ",J31=3),VLOOKUP(_xlfn.MINIFS('FIRE TEX 5090'!$R$5:$R$30,'FIRE TEX 5090'!$R$5:$R$30,"&gt;="&amp;M31),'FIRE TEX 5090'!$R$5:$W$30,IF(L31="F-15",2,IF(L31="F-30",3,IF(L31="F-60",4,IF(L31="F-90",5,IF(L31="F-120",6,IF(L31="F-150",7,0)))))),0),0)+IF(AND(O31="FIRE TEX 5090",E31="CJ",J31=4),VLOOKUP(_xlfn.MINIFS('FIRE TEX 5090'!$Y$5:$Y$39,'FIRE TEX 5090'!$Y$5:$Y$39,"&gt;="&amp;M31),'FIRE TEX 5090'!$Y$5:$AD$39,IF(L31="F-15",2,IF(L31="F-30",3,IF(L31="F-60",4,IF(L31="F-90",5,IF(L31="F-120",6,IF(L31="F-150",7,0)))))),0),0)+IF(AND(O31="FIRE TEX 5120",OR(E31="IN",E31="C",E31="Z",E31="L"),J31=3),VLOOKUP(_xlfn.MINIFS('FIRE TEX 5120'!$B$5:$B$40,'FIRE TEX 5120'!$B$5:$B$40,"&gt;="&amp;M31),'FIRE TEX 5120'!$B$5:$G$40,IF(L31="F-15",2,IF(L31="F-30",3,IF(L31="F-60",4,IF(L31="F-90",5,IF(L31="F-120",6,0))))),0),0)+IF(AND(O31="FIRE TEX 5120",OR(E31="IN",E31="C",E31="Z",E31="L"),J31=4),VLOOKUP(_xlfn.MINIFS('FIRE TEX 5120'!$H$4:$H$40,'FIRE TEX 5120'!$H$4:$H$40,"&gt;="&amp;M31),'FIRE TEX 5120'!$H$4:$M$40,IF(L31="F-15",2,IF(L31="F-30",3,IF(L31="F-60",4,IF(L31="F-90",5,IF(L31="F-120",6,0))))),0),0)+IF(AND(O31="FIRE TEX 5120",E31="CJ"),VLOOKUP(_xlfn.MINIFS('FIRE TEX 5120'!$O$5:$O$40,'FIRE TEX 5120'!$O$5:$O$40,"&gt;="&amp;M31),'FIRE TEX 5120'!$O$5:$T$40,IF(L31="F-15",2,IF(L31="F-30",3,IF(L31="F-60",4,IF(L31="F-90",5,IF(L31="F-120",6,0))))),0),0)</f>
        <v>2262</v>
      </c>
      <c r="Q31" s="648">
        <f t="shared" si="0"/>
        <v>89.054940000000002</v>
      </c>
      <c r="R31" s="46">
        <f t="shared" si="5"/>
        <v>3.8908565880792239</v>
      </c>
      <c r="S31" s="648">
        <f t="shared" si="2"/>
        <v>89.054940000000002</v>
      </c>
      <c r="T31" s="786">
        <f t="shared" si="3"/>
        <v>0</v>
      </c>
      <c r="U31" s="787">
        <f>(IF(O31="Stofire",(S31*#REF!),0))+(IF(O31="Fire Control",(S31*$U$2),0))+(IF(O31="Fire Tex",(S31*$U$3),0))+(IF(O31="WB7",(S31*#REF!),0)+(IF(O31="FX 2003",(S31*$U$5),0)))</f>
        <v>0</v>
      </c>
      <c r="V31" s="651">
        <f t="shared" si="6"/>
        <v>250</v>
      </c>
      <c r="W31" s="4"/>
    </row>
    <row r="32" spans="1:26" x14ac:dyDescent="0.25">
      <c r="A32" s="652" t="s">
        <v>456</v>
      </c>
      <c r="B32" s="653" t="s">
        <v>453</v>
      </c>
      <c r="C32" s="1" t="s">
        <v>457</v>
      </c>
      <c r="D32" s="118" t="str">
        <f>+CUBICACION!D31</f>
        <v>PILAR</v>
      </c>
      <c r="E32" s="118" t="str">
        <f>+CUBICACION!F31</f>
        <v>CJ</v>
      </c>
      <c r="F32" s="118" t="str">
        <f>+CUBICACION!E31</f>
        <v>200X100X4</v>
      </c>
      <c r="G32" s="118">
        <v>12</v>
      </c>
      <c r="H32" s="118">
        <v>2</v>
      </c>
      <c r="I32" s="820">
        <v>26385</v>
      </c>
      <c r="J32" s="118">
        <f>+CUBICACION!J31</f>
        <v>4</v>
      </c>
      <c r="K32" s="118">
        <v>2806</v>
      </c>
      <c r="L32" s="118" t="str">
        <f>+CUBICACION!L31</f>
        <v>F-60</v>
      </c>
      <c r="M32" s="64">
        <f>+CUBICACION!M31</f>
        <v>250</v>
      </c>
      <c r="N32" s="824">
        <f>+CUBICACION!N31</f>
        <v>7.44</v>
      </c>
      <c r="O32" s="675" t="str">
        <f>+CUBICACION!O31</f>
        <v>Fire Tex 5090</v>
      </c>
      <c r="P32" s="15">
        <f>IF(O32="Fire Control",VLOOKUP(_xlfn.MINIFS('FIRE CONTROL'!$C$4:$C$37,'FIRE CONTROL'!$C$4:$C$37,"&gt;="&amp;M32),'FIRE CONTROL'!$C$4:$G$37,IF(L32="F-15",2,IF(L32="F-30",3,IF(L32="F-60",4,IF(L32="F-90",5,0)))),0),0)+IF(AND(O32="FIRE TEX 5062",OR(E32="IN",E32="C",E32="Z",E32="L"),J32=3),VLOOKUP(_xlfn.MINIFS('FIRE TEX 5062'!$B$4:$B$34,'FIRE TEX 5062'!$B$4:$B$34,"&gt;="&amp;M32),'FIRE TEX 5062'!$B$4:$F$34,IF(L32="F-15",2,IF(L32="F-30",3,IF(L32="F-60",4,IF(L32="F-90",5,0)))),0),0)+IF(AND(O32="FIRE TEX 5062",OR(E32="IN",E32="C",E32="Z",E32="L"),J32=4),VLOOKUP(_xlfn.MINIFS('FIRE TEX 5062'!$G$4:$G$34,'FIRE TEX 5062'!$G$4:$G$34,"&gt;="&amp;M32),'FIRE TEX 5062'!$G$4:$K$34,IF(L32="F-15",2,IF(L32="F-30",3,IF(L32="F-60",4,IF(L32="F-90",5,0)))),0),0)+IF(AND(O32="FIRE TEX 5062",E32="CJ",J32=3),VLOOKUP(_xlfn.MINIFS('FIRE TEX 5062'!$L$4:$L$34,'FIRE TEX 5062'!$L$4:$L$34,"&gt;="&amp;M32),'FIRE TEX 5062'!$L$4:$P$34,IF(L32="F-15",2,IF(L32="F-30",3,IF(L32="F-60",4,IF(L32="F-90",5,0)))),0),0)+IF(AND(O32="FIRE TEX 5062",E32="CJ",J32=4),VLOOKUP(_xlfn.MINIFS('FIRE TEX 5062'!$Q$3:$Q$34,'FIRE TEX 5062'!$Q$3:$Q$34,"&gt;="&amp;M32),'FIRE TEX 5062'!$Q$3:$U$34,IF(L32="F-15",2,IF(L32="F-30",3,IF(L32="F-60",4,IF(L32="F-90",5,0)))),0),0)+IF(AND(O32="FIRE TEX 5090",OR(E32="IN",E32="C",E32="Z",E32="L"),J32=3),VLOOKUP(_xlfn.MINIFS('FIRE TEX 5090'!$B$5:$B$43,'FIRE TEX 5090'!$B$5:$B$43,"&gt;="&amp;M32),'FIRE TEX 5090'!$B$5:$H$43,IF(L32="F-15",2,IF(L32="F-30",3,IF(L32="F-60",4,IF(L32="F-90",5,IF(L32="F-120",6,IF(L32="F-150",7,0)))))),0),0)+IF(AND(O32="FIRE TEX 5090",OR(E32="IN",E32="C",E32="Z",E32="L"),J32=4),VLOOKUP(_xlfn.MINIFS('FIRE TEX 5090'!$J$5:$J$43,'FIRE TEX 5090'!$J$5:$J$43,"&gt;="&amp;M32),'FIRE TEX 5090'!$J$5:$P$43,IF(L32="F-15",2,IF(L32="F-30",3,IF(L32="F-60",4,IF(L32="F-90",5,IF(L32="F-120",6,IF(L32="F-150",7,0)))))),0),0)+IF(AND(O32="FIRE TEX 5090",E32="CJ",J32=3),VLOOKUP(_xlfn.MINIFS('FIRE TEX 5090'!$R$5:$R$30,'FIRE TEX 5090'!$R$5:$R$30,"&gt;="&amp;M32),'FIRE TEX 5090'!$R$5:$W$30,IF(L32="F-15",2,IF(L32="F-30",3,IF(L32="F-60",4,IF(L32="F-90",5,IF(L32="F-120",6,IF(L32="F-150",7,0)))))),0),0)+IF(AND(O32="FIRE TEX 5090",E32="CJ",J32=4),VLOOKUP(_xlfn.MINIFS('FIRE TEX 5090'!$Y$5:$Y$39,'FIRE TEX 5090'!$Y$5:$Y$39,"&gt;="&amp;M32),'FIRE TEX 5090'!$Y$5:$AD$39,IF(L32="F-15",2,IF(L32="F-30",3,IF(L32="F-60",4,IF(L32="F-90",5,IF(L32="F-120",6,IF(L32="F-150",7,0)))))),0),0)+IF(AND(O32="FIRE TEX 5120",OR(E32="IN",E32="C",E32="Z",E32="L"),J32=3),VLOOKUP(_xlfn.MINIFS('FIRE TEX 5120'!$B$5:$B$40,'FIRE TEX 5120'!$B$5:$B$40,"&gt;="&amp;M32),'FIRE TEX 5120'!$B$5:$G$40,IF(L32="F-15",2,IF(L32="F-30",3,IF(L32="F-60",4,IF(L32="F-90",5,IF(L32="F-120",6,0))))),0),0)+IF(AND(O32="FIRE TEX 5120",OR(E32="IN",E32="C",E32="Z",E32="L"),J32=4),VLOOKUP(_xlfn.MINIFS('FIRE TEX 5120'!$H$4:$H$40,'FIRE TEX 5120'!$H$4:$H$40,"&gt;="&amp;M32),'FIRE TEX 5120'!$H$4:$M$40,IF(L32="F-15",2,IF(L32="F-30",3,IF(L32="F-60",4,IF(L32="F-90",5,IF(L32="F-120",6,0))))),0),0)+IF(AND(O32="FIRE TEX 5120",E32="CJ"),VLOOKUP(_xlfn.MINIFS('FIRE TEX 5120'!$O$5:$O$40,'FIRE TEX 5120'!$O$5:$O$40,"&gt;="&amp;M32),'FIRE TEX 5120'!$O$5:$T$40,IF(L32="F-15",2,IF(L32="F-30",3,IF(L32="F-60",4,IF(L32="F-90",5,IF(L32="F-120",6,0))))),0),0)</f>
        <v>2262</v>
      </c>
      <c r="Q32" s="46">
        <f t="shared" si="0"/>
        <v>89.054940000000002</v>
      </c>
      <c r="R32" s="46">
        <f t="shared" si="5"/>
        <v>3.8908565880792239</v>
      </c>
      <c r="S32" s="46">
        <f t="shared" si="2"/>
        <v>1.9121753350649351</v>
      </c>
      <c r="T32" s="677">
        <f t="shared" si="3"/>
        <v>0</v>
      </c>
      <c r="U32" s="80">
        <f>(IF(O32="Stofire",(S32*#REF!),0))+(IF(O32="Fire Control",(S32*$U$2),0))+(IF(O32="Fire Tex",(S32*$U$3),0))+(IF(O32="WB7",(S32*#REF!),0)+(IF(O32="FX 2003",(S32*$U$5),0)))</f>
        <v>0</v>
      </c>
      <c r="V32" s="651">
        <f t="shared" si="6"/>
        <v>250</v>
      </c>
      <c r="W32" s="4"/>
    </row>
    <row r="33" spans="1:26" x14ac:dyDescent="0.25">
      <c r="A33" s="652" t="s">
        <v>456</v>
      </c>
      <c r="B33" s="653" t="s">
        <v>453</v>
      </c>
      <c r="C33" s="1" t="s">
        <v>408</v>
      </c>
      <c r="D33" s="118" t="str">
        <f>+CUBICACION!D32</f>
        <v>PILAR</v>
      </c>
      <c r="E33" s="118" t="str">
        <f>+CUBICACION!F32</f>
        <v>CJ</v>
      </c>
      <c r="F33" s="118" t="str">
        <f>+CUBICACION!E32</f>
        <v>200X100X4</v>
      </c>
      <c r="G33" s="118">
        <v>12</v>
      </c>
      <c r="H33" s="118">
        <v>2</v>
      </c>
      <c r="I33" s="820">
        <v>26385</v>
      </c>
      <c r="J33" s="118">
        <f>+CUBICACION!J32</f>
        <v>4</v>
      </c>
      <c r="K33" s="118">
        <v>2807</v>
      </c>
      <c r="L33" s="118" t="str">
        <f>+CUBICACION!L32</f>
        <v>F-60</v>
      </c>
      <c r="M33" s="64">
        <f>+CUBICACION!M32</f>
        <v>250</v>
      </c>
      <c r="N33" s="824">
        <f>+CUBICACION!N32</f>
        <v>4.5</v>
      </c>
      <c r="O33" s="675" t="str">
        <f>+CUBICACION!O32</f>
        <v>Fire Tex 5090</v>
      </c>
      <c r="P33" s="15">
        <f>IF(O33="Fire Control",VLOOKUP(_xlfn.MINIFS('FIRE CONTROL'!$C$4:$C$37,'FIRE CONTROL'!$C$4:$C$37,"&gt;="&amp;M33),'FIRE CONTROL'!$C$4:$G$37,IF(L33="F-15",2,IF(L33="F-30",3,IF(L33="F-60",4,IF(L33="F-90",5,0)))),0),0)+IF(AND(O33="FIRE TEX 5062",OR(E33="IN",E33="C",E33="Z",E33="L"),J33=3),VLOOKUP(_xlfn.MINIFS('FIRE TEX 5062'!$B$4:$B$34,'FIRE TEX 5062'!$B$4:$B$34,"&gt;="&amp;M33),'FIRE TEX 5062'!$B$4:$F$34,IF(L33="F-15",2,IF(L33="F-30",3,IF(L33="F-60",4,IF(L33="F-90",5,0)))),0),0)+IF(AND(O33="FIRE TEX 5062",OR(E33="IN",E33="C",E33="Z",E33="L"),J33=4),VLOOKUP(_xlfn.MINIFS('FIRE TEX 5062'!$G$4:$G$34,'FIRE TEX 5062'!$G$4:$G$34,"&gt;="&amp;M33),'FIRE TEX 5062'!$G$4:$K$34,IF(L33="F-15",2,IF(L33="F-30",3,IF(L33="F-60",4,IF(L33="F-90",5,0)))),0),0)+IF(AND(O33="FIRE TEX 5062",E33="CJ",J33=3),VLOOKUP(_xlfn.MINIFS('FIRE TEX 5062'!$L$4:$L$34,'FIRE TEX 5062'!$L$4:$L$34,"&gt;="&amp;M33),'FIRE TEX 5062'!$L$4:$P$34,IF(L33="F-15",2,IF(L33="F-30",3,IF(L33="F-60",4,IF(L33="F-90",5,0)))),0),0)+IF(AND(O33="FIRE TEX 5062",E33="CJ",J33=4),VLOOKUP(_xlfn.MINIFS('FIRE TEX 5062'!$Q$3:$Q$34,'FIRE TEX 5062'!$Q$3:$Q$34,"&gt;="&amp;M33),'FIRE TEX 5062'!$Q$3:$U$34,IF(L33="F-15",2,IF(L33="F-30",3,IF(L33="F-60",4,IF(L33="F-90",5,0)))),0),0)+IF(AND(O33="FIRE TEX 5090",OR(E33="IN",E33="C",E33="Z",E33="L"),J33=3),VLOOKUP(_xlfn.MINIFS('FIRE TEX 5090'!$B$5:$B$43,'FIRE TEX 5090'!$B$5:$B$43,"&gt;="&amp;M33),'FIRE TEX 5090'!$B$5:$H$43,IF(L33="F-15",2,IF(L33="F-30",3,IF(L33="F-60",4,IF(L33="F-90",5,IF(L33="F-120",6,IF(L33="F-150",7,0)))))),0),0)+IF(AND(O33="FIRE TEX 5090",OR(E33="IN",E33="C",E33="Z",E33="L"),J33=4),VLOOKUP(_xlfn.MINIFS('FIRE TEX 5090'!$J$5:$J$43,'FIRE TEX 5090'!$J$5:$J$43,"&gt;="&amp;M33),'FIRE TEX 5090'!$J$5:$P$43,IF(L33="F-15",2,IF(L33="F-30",3,IF(L33="F-60",4,IF(L33="F-90",5,IF(L33="F-120",6,IF(L33="F-150",7,0)))))),0),0)+IF(AND(O33="FIRE TEX 5090",E33="CJ",J33=3),VLOOKUP(_xlfn.MINIFS('FIRE TEX 5090'!$R$5:$R$30,'FIRE TEX 5090'!$R$5:$R$30,"&gt;="&amp;M33),'FIRE TEX 5090'!$R$5:$W$30,IF(L33="F-15",2,IF(L33="F-30",3,IF(L33="F-60",4,IF(L33="F-90",5,IF(L33="F-120",6,IF(L33="F-150",7,0)))))),0),0)+IF(AND(O33="FIRE TEX 5090",E33="CJ",J33=4),VLOOKUP(_xlfn.MINIFS('FIRE TEX 5090'!$Y$5:$Y$39,'FIRE TEX 5090'!$Y$5:$Y$39,"&gt;="&amp;M33),'FIRE TEX 5090'!$Y$5:$AD$39,IF(L33="F-15",2,IF(L33="F-30",3,IF(L33="F-60",4,IF(L33="F-90",5,IF(L33="F-120",6,IF(L33="F-150",7,0)))))),0),0)+IF(AND(O33="FIRE TEX 5120",OR(E33="IN",E33="C",E33="Z",E33="L"),J33=3),VLOOKUP(_xlfn.MINIFS('FIRE TEX 5120'!$B$5:$B$40,'FIRE TEX 5120'!$B$5:$B$40,"&gt;="&amp;M33),'FIRE TEX 5120'!$B$5:$G$40,IF(L33="F-15",2,IF(L33="F-30",3,IF(L33="F-60",4,IF(L33="F-90",5,IF(L33="F-120",6,0))))),0),0)+IF(AND(O33="FIRE TEX 5120",OR(E33="IN",E33="C",E33="Z",E33="L"),J33=4),VLOOKUP(_xlfn.MINIFS('FIRE TEX 5120'!$H$4:$H$40,'FIRE TEX 5120'!$H$4:$H$40,"&gt;="&amp;M33),'FIRE TEX 5120'!$H$4:$M$40,IF(L33="F-15",2,IF(L33="F-30",3,IF(L33="F-60",4,IF(L33="F-90",5,IF(L33="F-120",6,0))))),0),0)+IF(AND(O33="FIRE TEX 5120",E33="CJ"),VLOOKUP(_xlfn.MINIFS('FIRE TEX 5120'!$O$5:$O$40,'FIRE TEX 5120'!$O$5:$O$40,"&gt;="&amp;M33),'FIRE TEX 5120'!$O$5:$T$40,IF(L33="F-15",2,IF(L33="F-30",3,IF(L33="F-60",4,IF(L33="F-90",5,IF(L33="F-120",6,0))))),0),0)</f>
        <v>2262</v>
      </c>
      <c r="Q33" s="46">
        <f t="shared" si="0"/>
        <v>89.054940000000002</v>
      </c>
      <c r="R33" s="46">
        <f t="shared" si="5"/>
        <v>3.8908565880792239</v>
      </c>
      <c r="S33" s="46">
        <f t="shared" si="2"/>
        <v>1.1565576623376623</v>
      </c>
      <c r="T33" s="677">
        <f t="shared" si="3"/>
        <v>0</v>
      </c>
      <c r="U33" s="80">
        <f>(IF(O33="Stofire",(S33*#REF!),0))+(IF(O33="Fire Control",(S33*$U$2),0))+(IF(O33="Fire Tex",(S33*$U$3),0))+(IF(O33="WB7",(S33*#REF!),0)+(IF(O33="FX 2003",(S33*$U$5),0)))</f>
        <v>0</v>
      </c>
      <c r="V33" s="651">
        <f t="shared" si="6"/>
        <v>250</v>
      </c>
      <c r="W33" s="4"/>
    </row>
    <row r="34" spans="1:26" x14ac:dyDescent="0.25">
      <c r="A34" s="652" t="s">
        <v>456</v>
      </c>
      <c r="B34" s="653" t="s">
        <v>453</v>
      </c>
      <c r="C34" s="1" t="s">
        <v>408</v>
      </c>
      <c r="D34" s="118" t="str">
        <f>+CUBICACION!D33</f>
        <v>PILAR</v>
      </c>
      <c r="E34" s="118" t="str">
        <f>+CUBICACION!F33</f>
        <v>CJ</v>
      </c>
      <c r="F34" s="118" t="str">
        <f>+CUBICACION!E33</f>
        <v>200X100X3</v>
      </c>
      <c r="G34" s="118">
        <v>12</v>
      </c>
      <c r="H34" s="118">
        <v>2</v>
      </c>
      <c r="I34" s="820">
        <v>26385</v>
      </c>
      <c r="J34" s="118">
        <f>+CUBICACION!J33</f>
        <v>4</v>
      </c>
      <c r="K34" s="118">
        <v>2808</v>
      </c>
      <c r="L34" s="118" t="str">
        <f>+CUBICACION!L33</f>
        <v>F-60</v>
      </c>
      <c r="M34" s="64">
        <f>+CUBICACION!M33</f>
        <v>333</v>
      </c>
      <c r="N34" s="824">
        <f>+CUBICACION!N33</f>
        <v>9</v>
      </c>
      <c r="O34" s="675" t="str">
        <f>+CUBICACION!O33</f>
        <v>Fire Tex 5090</v>
      </c>
      <c r="P34" s="15">
        <f>IF(O34="Fire Control",VLOOKUP(_xlfn.MINIFS('FIRE CONTROL'!$C$4:$C$37,'FIRE CONTROL'!$C$4:$C$37,"&gt;="&amp;M34),'FIRE CONTROL'!$C$4:$G$37,IF(L34="F-15",2,IF(L34="F-30",3,IF(L34="F-60",4,IF(L34="F-90",5,0)))),0),0)+IF(AND(O34="FIRE TEX 5062",OR(E34="IN",E34="C",E34="Z",E34="L"),J34=3),VLOOKUP(_xlfn.MINIFS('FIRE TEX 5062'!$B$4:$B$34,'FIRE TEX 5062'!$B$4:$B$34,"&gt;="&amp;M34),'FIRE TEX 5062'!$B$4:$F$34,IF(L34="F-15",2,IF(L34="F-30",3,IF(L34="F-60",4,IF(L34="F-90",5,0)))),0),0)+IF(AND(O34="FIRE TEX 5062",OR(E34="IN",E34="C",E34="Z",E34="L"),J34=4),VLOOKUP(_xlfn.MINIFS('FIRE TEX 5062'!$G$4:$G$34,'FIRE TEX 5062'!$G$4:$G$34,"&gt;="&amp;M34),'FIRE TEX 5062'!$G$4:$K$34,IF(L34="F-15",2,IF(L34="F-30",3,IF(L34="F-60",4,IF(L34="F-90",5,0)))),0),0)+IF(AND(O34="FIRE TEX 5062",E34="CJ",J34=3),VLOOKUP(_xlfn.MINIFS('FIRE TEX 5062'!$L$4:$L$34,'FIRE TEX 5062'!$L$4:$L$34,"&gt;="&amp;M34),'FIRE TEX 5062'!$L$4:$P$34,IF(L34="F-15",2,IF(L34="F-30",3,IF(L34="F-60",4,IF(L34="F-90",5,0)))),0),0)+IF(AND(O34="FIRE TEX 5062",E34="CJ",J34=4),VLOOKUP(_xlfn.MINIFS('FIRE TEX 5062'!$Q$3:$Q$34,'FIRE TEX 5062'!$Q$3:$Q$34,"&gt;="&amp;M34),'FIRE TEX 5062'!$Q$3:$U$34,IF(L34="F-15",2,IF(L34="F-30",3,IF(L34="F-60",4,IF(L34="F-90",5,0)))),0),0)+IF(AND(O34="FIRE TEX 5090",OR(E34="IN",E34="C",E34="Z",E34="L"),J34=3),VLOOKUP(_xlfn.MINIFS('FIRE TEX 5090'!$B$5:$B$43,'FIRE TEX 5090'!$B$5:$B$43,"&gt;="&amp;M34),'FIRE TEX 5090'!$B$5:$H$43,IF(L34="F-15",2,IF(L34="F-30",3,IF(L34="F-60",4,IF(L34="F-90",5,IF(L34="F-120",6,IF(L34="F-150",7,0)))))),0),0)+IF(AND(O34="FIRE TEX 5090",OR(E34="IN",E34="C",E34="Z",E34="L"),J34=4),VLOOKUP(_xlfn.MINIFS('FIRE TEX 5090'!$J$5:$J$43,'FIRE TEX 5090'!$J$5:$J$43,"&gt;="&amp;M34),'FIRE TEX 5090'!$J$5:$P$43,IF(L34="F-15",2,IF(L34="F-30",3,IF(L34="F-60",4,IF(L34="F-90",5,IF(L34="F-120",6,IF(L34="F-150",7,0)))))),0),0)+IF(AND(O34="FIRE TEX 5090",E34="CJ",J34=3),VLOOKUP(_xlfn.MINIFS('FIRE TEX 5090'!$R$5:$R$30,'FIRE TEX 5090'!$R$5:$R$30,"&gt;="&amp;M34),'FIRE TEX 5090'!$R$5:$W$30,IF(L34="F-15",2,IF(L34="F-30",3,IF(L34="F-60",4,IF(L34="F-90",5,IF(L34="F-120",6,IF(L34="F-150",7,0)))))),0),0)+IF(AND(O34="FIRE TEX 5090",E34="CJ",J34=4),VLOOKUP(_xlfn.MINIFS('FIRE TEX 5090'!$Y$5:$Y$39,'FIRE TEX 5090'!$Y$5:$Y$39,"&gt;="&amp;M34),'FIRE TEX 5090'!$Y$5:$AD$39,IF(L34="F-15",2,IF(L34="F-30",3,IF(L34="F-60",4,IF(L34="F-90",5,IF(L34="F-120",6,IF(L34="F-150",7,0)))))),0),0)+IF(AND(O34="FIRE TEX 5120",OR(E34="IN",E34="C",E34="Z",E34="L"),J34=3),VLOOKUP(_xlfn.MINIFS('FIRE TEX 5120'!$B$5:$B$40,'FIRE TEX 5120'!$B$5:$B$40,"&gt;="&amp;M34),'FIRE TEX 5120'!$B$5:$G$40,IF(L34="F-15",2,IF(L34="F-30",3,IF(L34="F-60",4,IF(L34="F-90",5,IF(L34="F-120",6,0))))),0),0)+IF(AND(O34="FIRE TEX 5120",OR(E34="IN",E34="C",E34="Z",E34="L"),J34=4),VLOOKUP(_xlfn.MINIFS('FIRE TEX 5120'!$H$4:$H$40,'FIRE TEX 5120'!$H$4:$H$40,"&gt;="&amp;M34),'FIRE TEX 5120'!$H$4:$M$40,IF(L34="F-15",2,IF(L34="F-30",3,IF(L34="F-60",4,IF(L34="F-90",5,IF(L34="F-120",6,0))))),0),0)+IF(AND(O34="FIRE TEX 5120",E34="CJ"),VLOOKUP(_xlfn.MINIFS('FIRE TEX 5120'!$O$5:$O$40,'FIRE TEX 5120'!$O$5:$O$40,"&gt;="&amp;M34),'FIRE TEX 5120'!$O$5:$T$40,IF(L34="F-15",2,IF(L34="F-30",3,IF(L34="F-60",4,IF(L34="F-90",5,IF(L34="F-120",6,0))))),0),0)</f>
        <v>2828</v>
      </c>
      <c r="Q34" s="46">
        <f t="shared" si="0"/>
        <v>111.33836000000001</v>
      </c>
      <c r="R34" s="46">
        <f t="shared" si="5"/>
        <v>3.1121349371411613</v>
      </c>
      <c r="S34" s="46">
        <f t="shared" si="2"/>
        <v>2.8919054545454546</v>
      </c>
      <c r="T34" s="677">
        <f t="shared" si="3"/>
        <v>0</v>
      </c>
      <c r="U34" s="80">
        <f>(IF(O34="Stofire",(S34*#REF!),0))+(IF(O34="Fire Control",(S34*$U$2),0))+(IF(O34="Fire Tex",(S34*$U$3),0))+(IF(O34="WB7",(S34*#REF!),0)+(IF(O34="FX 2003",(S34*$U$5),0)))</f>
        <v>0</v>
      </c>
      <c r="V34" s="651">
        <f t="shared" si="6"/>
        <v>340</v>
      </c>
      <c r="W34" s="4"/>
    </row>
    <row r="35" spans="1:26" x14ac:dyDescent="0.25">
      <c r="A35" s="652" t="s">
        <v>458</v>
      </c>
      <c r="B35" s="653" t="s">
        <v>459</v>
      </c>
      <c r="C35" s="1" t="s">
        <v>460</v>
      </c>
      <c r="D35" s="118" t="str">
        <f>+CUBICACION!D34</f>
        <v>PILAR</v>
      </c>
      <c r="E35" s="118" t="str">
        <f>+CUBICACION!F34</f>
        <v>CJ</v>
      </c>
      <c r="F35" s="118" t="str">
        <f>+CUBICACION!E34</f>
        <v>150X150X5</v>
      </c>
      <c r="G35" s="118">
        <v>12</v>
      </c>
      <c r="H35" s="118">
        <v>2</v>
      </c>
      <c r="I35" s="820">
        <v>26385</v>
      </c>
      <c r="J35" s="118">
        <f>+CUBICACION!J34</f>
        <v>4</v>
      </c>
      <c r="K35" s="118">
        <v>2809</v>
      </c>
      <c r="L35" s="118" t="str">
        <f>+CUBICACION!L34</f>
        <v>F-60</v>
      </c>
      <c r="M35" s="64">
        <f>+CUBICACION!M34</f>
        <v>200</v>
      </c>
      <c r="N35" s="824">
        <f>+CUBICACION!N34</f>
        <v>9.6</v>
      </c>
      <c r="O35" s="675" t="str">
        <f>+CUBICACION!O34</f>
        <v>Fire Tex 5090</v>
      </c>
      <c r="P35" s="15">
        <f>IF(O35="Fire Control",VLOOKUP(_xlfn.MINIFS('FIRE CONTROL'!$C$4:$C$37,'FIRE CONTROL'!$C$4:$C$37,"&gt;="&amp;M35),'FIRE CONTROL'!$C$4:$G$37,IF(L35="F-15",2,IF(L35="F-30",3,IF(L35="F-60",4,IF(L35="F-90",5,0)))),0),0)+IF(AND(O35="FIRE TEX 5062",OR(E35="IN",E35="C",E35="Z",E35="L"),J35=3),VLOOKUP(_xlfn.MINIFS('FIRE TEX 5062'!$B$4:$B$34,'FIRE TEX 5062'!$B$4:$B$34,"&gt;="&amp;M35),'FIRE TEX 5062'!$B$4:$F$34,IF(L35="F-15",2,IF(L35="F-30",3,IF(L35="F-60",4,IF(L35="F-90",5,0)))),0),0)+IF(AND(O35="FIRE TEX 5062",OR(E35="IN",E35="C",E35="Z",E35="L"),J35=4),VLOOKUP(_xlfn.MINIFS('FIRE TEX 5062'!$G$4:$G$34,'FIRE TEX 5062'!$G$4:$G$34,"&gt;="&amp;M35),'FIRE TEX 5062'!$G$4:$K$34,IF(L35="F-15",2,IF(L35="F-30",3,IF(L35="F-60",4,IF(L35="F-90",5,0)))),0),0)+IF(AND(O35="FIRE TEX 5062",E35="CJ",J35=3),VLOOKUP(_xlfn.MINIFS('FIRE TEX 5062'!$L$4:$L$34,'FIRE TEX 5062'!$L$4:$L$34,"&gt;="&amp;M35),'FIRE TEX 5062'!$L$4:$P$34,IF(L35="F-15",2,IF(L35="F-30",3,IF(L35="F-60",4,IF(L35="F-90",5,0)))),0),0)+IF(AND(O35="FIRE TEX 5062",E35="CJ",J35=4),VLOOKUP(_xlfn.MINIFS('FIRE TEX 5062'!$Q$3:$Q$34,'FIRE TEX 5062'!$Q$3:$Q$34,"&gt;="&amp;M35),'FIRE TEX 5062'!$Q$3:$U$34,IF(L35="F-15",2,IF(L35="F-30",3,IF(L35="F-60",4,IF(L35="F-90",5,0)))),0),0)+IF(AND(O35="FIRE TEX 5090",OR(E35="IN",E35="C",E35="Z",E35="L"),J35=3),VLOOKUP(_xlfn.MINIFS('FIRE TEX 5090'!$B$5:$B$43,'FIRE TEX 5090'!$B$5:$B$43,"&gt;="&amp;M35),'FIRE TEX 5090'!$B$5:$H$43,IF(L35="F-15",2,IF(L35="F-30",3,IF(L35="F-60",4,IF(L35="F-90",5,IF(L35="F-120",6,IF(L35="F-150",7,0)))))),0),0)+IF(AND(O35="FIRE TEX 5090",OR(E35="IN",E35="C",E35="Z",E35="L"),J35=4),VLOOKUP(_xlfn.MINIFS('FIRE TEX 5090'!$J$5:$J$43,'FIRE TEX 5090'!$J$5:$J$43,"&gt;="&amp;M35),'FIRE TEX 5090'!$J$5:$P$43,IF(L35="F-15",2,IF(L35="F-30",3,IF(L35="F-60",4,IF(L35="F-90",5,IF(L35="F-120",6,IF(L35="F-150",7,0)))))),0),0)+IF(AND(O35="FIRE TEX 5090",E35="CJ",J35=3),VLOOKUP(_xlfn.MINIFS('FIRE TEX 5090'!$R$5:$R$30,'FIRE TEX 5090'!$R$5:$R$30,"&gt;="&amp;M35),'FIRE TEX 5090'!$R$5:$W$30,IF(L35="F-15",2,IF(L35="F-30",3,IF(L35="F-60",4,IF(L35="F-90",5,IF(L35="F-120",6,IF(L35="F-150",7,0)))))),0),0)+IF(AND(O35="FIRE TEX 5090",E35="CJ",J35=4),VLOOKUP(_xlfn.MINIFS('FIRE TEX 5090'!$Y$5:$Y$39,'FIRE TEX 5090'!$Y$5:$Y$39,"&gt;="&amp;M35),'FIRE TEX 5090'!$Y$5:$AD$39,IF(L35="F-15",2,IF(L35="F-30",3,IF(L35="F-60",4,IF(L35="F-90",5,IF(L35="F-120",6,IF(L35="F-150",7,0)))))),0),0)+IF(AND(O35="FIRE TEX 5120",OR(E35="IN",E35="C",E35="Z",E35="L"),J35=3),VLOOKUP(_xlfn.MINIFS('FIRE TEX 5120'!$B$5:$B$40,'FIRE TEX 5120'!$B$5:$B$40,"&gt;="&amp;M35),'FIRE TEX 5120'!$B$5:$G$40,IF(L35="F-15",2,IF(L35="F-30",3,IF(L35="F-60",4,IF(L35="F-90",5,IF(L35="F-120",6,0))))),0),0)+IF(AND(O35="FIRE TEX 5120",OR(E35="IN",E35="C",E35="Z",E35="L"),J35=4),VLOOKUP(_xlfn.MINIFS('FIRE TEX 5120'!$H$4:$H$40,'FIRE TEX 5120'!$H$4:$H$40,"&gt;="&amp;M35),'FIRE TEX 5120'!$H$4:$M$40,IF(L35="F-15",2,IF(L35="F-30",3,IF(L35="F-60",4,IF(L35="F-90",5,IF(L35="F-120",6,0))))),0),0)+IF(AND(O35="FIRE TEX 5120",E35="CJ"),VLOOKUP(_xlfn.MINIFS('FIRE TEX 5120'!$O$5:$O$40,'FIRE TEX 5120'!$O$5:$O$40,"&gt;="&amp;M35),'FIRE TEX 5120'!$O$5:$T$40,IF(L35="F-15",2,IF(L35="F-30",3,IF(L35="F-60",4,IF(L35="F-90",5,IF(L35="F-120",6,0))))),0),0)</f>
        <v>1930</v>
      </c>
      <c r="Q35" s="46">
        <f t="shared" si="0"/>
        <v>75.984099999999998</v>
      </c>
      <c r="R35" s="46">
        <f t="shared" si="5"/>
        <v>4.5601645607436296</v>
      </c>
      <c r="S35" s="46">
        <f t="shared" si="2"/>
        <v>2.105187186147186</v>
      </c>
      <c r="T35" s="677">
        <f t="shared" si="3"/>
        <v>0</v>
      </c>
      <c r="U35" s="80">
        <f>(IF(O35="Stofire",(S35*#REF!),0))+(IF(O35="Fire Control",(S35*$U$2),0))+(IF(O35="Fire Tex",(S35*$U$3),0))+(IF(O35="WB7",(S35*#REF!),0)+(IF(O35="FX 2003",(S35*$U$5),0)))</f>
        <v>0</v>
      </c>
      <c r="V35" s="651">
        <f t="shared" si="6"/>
        <v>200</v>
      </c>
      <c r="W35" s="4"/>
    </row>
    <row r="36" spans="1:26" x14ac:dyDescent="0.25">
      <c r="A36" s="652" t="s">
        <v>458</v>
      </c>
      <c r="B36" s="653" t="s">
        <v>459</v>
      </c>
      <c r="C36" s="1" t="s">
        <v>408</v>
      </c>
      <c r="D36" s="118" t="str">
        <f>+CUBICACION!D35</f>
        <v>PILAR</v>
      </c>
      <c r="E36" s="118" t="str">
        <f>+CUBICACION!F35</f>
        <v>CJ</v>
      </c>
      <c r="F36" s="118" t="str">
        <f>+CUBICACION!E35</f>
        <v>200X100X4</v>
      </c>
      <c r="G36" s="118">
        <v>12</v>
      </c>
      <c r="H36" s="118">
        <v>2</v>
      </c>
      <c r="I36" s="820">
        <v>26385</v>
      </c>
      <c r="J36" s="118">
        <f>+CUBICACION!J35</f>
        <v>4</v>
      </c>
      <c r="K36" s="118">
        <v>2810</v>
      </c>
      <c r="L36" s="118" t="str">
        <f>+CUBICACION!L35</f>
        <v>F-60</v>
      </c>
      <c r="M36" s="64">
        <f>+CUBICACION!M35</f>
        <v>250</v>
      </c>
      <c r="N36" s="824">
        <f>+CUBICACION!N35</f>
        <v>4.8</v>
      </c>
      <c r="O36" s="675" t="str">
        <f>+CUBICACION!O35</f>
        <v>Fire Tex 5090</v>
      </c>
      <c r="P36" s="15">
        <f>IF(O36="Fire Control",VLOOKUP(_xlfn.MINIFS('FIRE CONTROL'!$C$4:$C$37,'FIRE CONTROL'!$C$4:$C$37,"&gt;="&amp;M36),'FIRE CONTROL'!$C$4:$G$37,IF(L36="F-15",2,IF(L36="F-30",3,IF(L36="F-60",4,IF(L36="F-90",5,0)))),0),0)+IF(AND(O36="FIRE TEX 5062",OR(E36="IN",E36="C",E36="Z",E36="L"),J36=3),VLOOKUP(_xlfn.MINIFS('FIRE TEX 5062'!$B$4:$B$34,'FIRE TEX 5062'!$B$4:$B$34,"&gt;="&amp;M36),'FIRE TEX 5062'!$B$4:$F$34,IF(L36="F-15",2,IF(L36="F-30",3,IF(L36="F-60",4,IF(L36="F-90",5,0)))),0),0)+IF(AND(O36="FIRE TEX 5062",OR(E36="IN",E36="C",E36="Z",E36="L"),J36=4),VLOOKUP(_xlfn.MINIFS('FIRE TEX 5062'!$G$4:$G$34,'FIRE TEX 5062'!$G$4:$G$34,"&gt;="&amp;M36),'FIRE TEX 5062'!$G$4:$K$34,IF(L36="F-15",2,IF(L36="F-30",3,IF(L36="F-60",4,IF(L36="F-90",5,0)))),0),0)+IF(AND(O36="FIRE TEX 5062",E36="CJ",J36=3),VLOOKUP(_xlfn.MINIFS('FIRE TEX 5062'!$L$4:$L$34,'FIRE TEX 5062'!$L$4:$L$34,"&gt;="&amp;M36),'FIRE TEX 5062'!$L$4:$P$34,IF(L36="F-15",2,IF(L36="F-30",3,IF(L36="F-60",4,IF(L36="F-90",5,0)))),0),0)+IF(AND(O36="FIRE TEX 5062",E36="CJ",J36=4),VLOOKUP(_xlfn.MINIFS('FIRE TEX 5062'!$Q$3:$Q$34,'FIRE TEX 5062'!$Q$3:$Q$34,"&gt;="&amp;M36),'FIRE TEX 5062'!$Q$3:$U$34,IF(L36="F-15",2,IF(L36="F-30",3,IF(L36="F-60",4,IF(L36="F-90",5,0)))),0),0)+IF(AND(O36="FIRE TEX 5090",OR(E36="IN",E36="C",E36="Z",E36="L"),J36=3),VLOOKUP(_xlfn.MINIFS('FIRE TEX 5090'!$B$5:$B$43,'FIRE TEX 5090'!$B$5:$B$43,"&gt;="&amp;M36),'FIRE TEX 5090'!$B$5:$H$43,IF(L36="F-15",2,IF(L36="F-30",3,IF(L36="F-60",4,IF(L36="F-90",5,IF(L36="F-120",6,IF(L36="F-150",7,0)))))),0),0)+IF(AND(O36="FIRE TEX 5090",OR(E36="IN",E36="C",E36="Z",E36="L"),J36=4),VLOOKUP(_xlfn.MINIFS('FIRE TEX 5090'!$J$5:$J$43,'FIRE TEX 5090'!$J$5:$J$43,"&gt;="&amp;M36),'FIRE TEX 5090'!$J$5:$P$43,IF(L36="F-15",2,IF(L36="F-30",3,IF(L36="F-60",4,IF(L36="F-90",5,IF(L36="F-120",6,IF(L36="F-150",7,0)))))),0),0)+IF(AND(O36="FIRE TEX 5090",E36="CJ",J36=3),VLOOKUP(_xlfn.MINIFS('FIRE TEX 5090'!$R$5:$R$30,'FIRE TEX 5090'!$R$5:$R$30,"&gt;="&amp;M36),'FIRE TEX 5090'!$R$5:$W$30,IF(L36="F-15",2,IF(L36="F-30",3,IF(L36="F-60",4,IF(L36="F-90",5,IF(L36="F-120",6,IF(L36="F-150",7,0)))))),0),0)+IF(AND(O36="FIRE TEX 5090",E36="CJ",J36=4),VLOOKUP(_xlfn.MINIFS('FIRE TEX 5090'!$Y$5:$Y$39,'FIRE TEX 5090'!$Y$5:$Y$39,"&gt;="&amp;M36),'FIRE TEX 5090'!$Y$5:$AD$39,IF(L36="F-15",2,IF(L36="F-30",3,IF(L36="F-60",4,IF(L36="F-90",5,IF(L36="F-120",6,IF(L36="F-150",7,0)))))),0),0)+IF(AND(O36="FIRE TEX 5120",OR(E36="IN",E36="C",E36="Z",E36="L"),J36=3),VLOOKUP(_xlfn.MINIFS('FIRE TEX 5120'!$B$5:$B$40,'FIRE TEX 5120'!$B$5:$B$40,"&gt;="&amp;M36),'FIRE TEX 5120'!$B$5:$G$40,IF(L36="F-15",2,IF(L36="F-30",3,IF(L36="F-60",4,IF(L36="F-90",5,IF(L36="F-120",6,0))))),0),0)+IF(AND(O36="FIRE TEX 5120",OR(E36="IN",E36="C",E36="Z",E36="L"),J36=4),VLOOKUP(_xlfn.MINIFS('FIRE TEX 5120'!$H$4:$H$40,'FIRE TEX 5120'!$H$4:$H$40,"&gt;="&amp;M36),'FIRE TEX 5120'!$H$4:$M$40,IF(L36="F-15",2,IF(L36="F-30",3,IF(L36="F-60",4,IF(L36="F-90",5,IF(L36="F-120",6,0))))),0),0)+IF(AND(O36="FIRE TEX 5120",E36="CJ"),VLOOKUP(_xlfn.MINIFS('FIRE TEX 5120'!$O$5:$O$40,'FIRE TEX 5120'!$O$5:$O$40,"&gt;="&amp;M36),'FIRE TEX 5120'!$O$5:$T$40,IF(L36="F-15",2,IF(L36="F-30",3,IF(L36="F-60",4,IF(L36="F-90",5,IF(L36="F-120",6,0))))),0),0)</f>
        <v>2262</v>
      </c>
      <c r="Q36" s="46">
        <f t="shared" si="0"/>
        <v>89.054940000000002</v>
      </c>
      <c r="R36" s="46">
        <f t="shared" si="5"/>
        <v>3.8908565880792239</v>
      </c>
      <c r="S36" s="46">
        <f t="shared" si="2"/>
        <v>1.2336615064935064</v>
      </c>
      <c r="T36" s="677">
        <f t="shared" si="3"/>
        <v>0</v>
      </c>
      <c r="U36" s="80">
        <f>(IF(O36="Stofire",(S36*#REF!),0))+(IF(O36="Fire Control",(S36*$U$2),0))+(IF(O36="Fire Tex",(S36*$U$3),0))+(IF(O36="WB7",(S36*#REF!),0)+(IF(O36="FX 2003",(S36*$U$5),0)))</f>
        <v>0</v>
      </c>
      <c r="V36" s="651">
        <f t="shared" si="6"/>
        <v>250</v>
      </c>
      <c r="W36" s="4"/>
      <c r="X36" s="21"/>
      <c r="Y36" s="21"/>
      <c r="Z36" s="21"/>
    </row>
    <row r="37" spans="1:26" x14ac:dyDescent="0.25">
      <c r="A37" s="652" t="s">
        <v>461</v>
      </c>
      <c r="B37" s="653" t="s">
        <v>459</v>
      </c>
      <c r="C37" s="1" t="s">
        <v>462</v>
      </c>
      <c r="D37" s="118" t="str">
        <f>+CUBICACION!D36</f>
        <v>PILAR</v>
      </c>
      <c r="E37" s="118" t="str">
        <f>+CUBICACION!F36</f>
        <v>CJ</v>
      </c>
      <c r="F37" s="118" t="str">
        <f>+CUBICACION!E36</f>
        <v>200X100X4</v>
      </c>
      <c r="G37" s="118">
        <v>12</v>
      </c>
      <c r="H37" s="118">
        <v>2</v>
      </c>
      <c r="I37" s="820">
        <v>26385</v>
      </c>
      <c r="J37" s="118">
        <f>+CUBICACION!J36</f>
        <v>4</v>
      </c>
      <c r="K37" s="118">
        <v>2811</v>
      </c>
      <c r="L37" s="118" t="str">
        <f>+CUBICACION!L36</f>
        <v>F-60</v>
      </c>
      <c r="M37" s="64">
        <f>+CUBICACION!M36</f>
        <v>250</v>
      </c>
      <c r="N37" s="824">
        <f>+CUBICACION!N36</f>
        <v>4.5</v>
      </c>
      <c r="O37" s="675" t="str">
        <f>+CUBICACION!O36</f>
        <v>Fire Tex 5090</v>
      </c>
      <c r="P37" s="15">
        <f>IF(O37="Fire Control",VLOOKUP(_xlfn.MINIFS('FIRE CONTROL'!$C$4:$C$37,'FIRE CONTROL'!$C$4:$C$37,"&gt;="&amp;M37),'FIRE CONTROL'!$C$4:$G$37,IF(L37="F-15",2,IF(L37="F-30",3,IF(L37="F-60",4,IF(L37="F-90",5,0)))),0),0)+IF(AND(O37="FIRE TEX 5062",OR(E37="IN",E37="C",E37="Z",E37="L"),J37=3),VLOOKUP(_xlfn.MINIFS('FIRE TEX 5062'!$B$4:$B$34,'FIRE TEX 5062'!$B$4:$B$34,"&gt;="&amp;M37),'FIRE TEX 5062'!$B$4:$F$34,IF(L37="F-15",2,IF(L37="F-30",3,IF(L37="F-60",4,IF(L37="F-90",5,0)))),0),0)+IF(AND(O37="FIRE TEX 5062",OR(E37="IN",E37="C",E37="Z",E37="L"),J37=4),VLOOKUP(_xlfn.MINIFS('FIRE TEX 5062'!$G$4:$G$34,'FIRE TEX 5062'!$G$4:$G$34,"&gt;="&amp;M37),'FIRE TEX 5062'!$G$4:$K$34,IF(L37="F-15",2,IF(L37="F-30",3,IF(L37="F-60",4,IF(L37="F-90",5,0)))),0),0)+IF(AND(O37="FIRE TEX 5062",E37="CJ",J37=3),VLOOKUP(_xlfn.MINIFS('FIRE TEX 5062'!$L$4:$L$34,'FIRE TEX 5062'!$L$4:$L$34,"&gt;="&amp;M37),'FIRE TEX 5062'!$L$4:$P$34,IF(L37="F-15",2,IF(L37="F-30",3,IF(L37="F-60",4,IF(L37="F-90",5,0)))),0),0)+IF(AND(O37="FIRE TEX 5062",E37="CJ",J37=4),VLOOKUP(_xlfn.MINIFS('FIRE TEX 5062'!$Q$3:$Q$34,'FIRE TEX 5062'!$Q$3:$Q$34,"&gt;="&amp;M37),'FIRE TEX 5062'!$Q$3:$U$34,IF(L37="F-15",2,IF(L37="F-30",3,IF(L37="F-60",4,IF(L37="F-90",5,0)))),0),0)+IF(AND(O37="FIRE TEX 5090",OR(E37="IN",E37="C",E37="Z",E37="L"),J37=3),VLOOKUP(_xlfn.MINIFS('FIRE TEX 5090'!$B$5:$B$43,'FIRE TEX 5090'!$B$5:$B$43,"&gt;="&amp;M37),'FIRE TEX 5090'!$B$5:$H$43,IF(L37="F-15",2,IF(L37="F-30",3,IF(L37="F-60",4,IF(L37="F-90",5,IF(L37="F-120",6,IF(L37="F-150",7,0)))))),0),0)+IF(AND(O37="FIRE TEX 5090",OR(E37="IN",E37="C",E37="Z",E37="L"),J37=4),VLOOKUP(_xlfn.MINIFS('FIRE TEX 5090'!$J$5:$J$43,'FIRE TEX 5090'!$J$5:$J$43,"&gt;="&amp;M37),'FIRE TEX 5090'!$J$5:$P$43,IF(L37="F-15",2,IF(L37="F-30",3,IF(L37="F-60",4,IF(L37="F-90",5,IF(L37="F-120",6,IF(L37="F-150",7,0)))))),0),0)+IF(AND(O37="FIRE TEX 5090",E37="CJ",J37=3),VLOOKUP(_xlfn.MINIFS('FIRE TEX 5090'!$R$5:$R$30,'FIRE TEX 5090'!$R$5:$R$30,"&gt;="&amp;M37),'FIRE TEX 5090'!$R$5:$W$30,IF(L37="F-15",2,IF(L37="F-30",3,IF(L37="F-60",4,IF(L37="F-90",5,IF(L37="F-120",6,IF(L37="F-150",7,0)))))),0),0)+IF(AND(O37="FIRE TEX 5090",E37="CJ",J37=4),VLOOKUP(_xlfn.MINIFS('FIRE TEX 5090'!$Y$5:$Y$39,'FIRE TEX 5090'!$Y$5:$Y$39,"&gt;="&amp;M37),'FIRE TEX 5090'!$Y$5:$AD$39,IF(L37="F-15",2,IF(L37="F-30",3,IF(L37="F-60",4,IF(L37="F-90",5,IF(L37="F-120",6,IF(L37="F-150",7,0)))))),0),0)+IF(AND(O37="FIRE TEX 5120",OR(E37="IN",E37="C",E37="Z",E37="L"),J37=3),VLOOKUP(_xlfn.MINIFS('FIRE TEX 5120'!$B$5:$B$40,'FIRE TEX 5120'!$B$5:$B$40,"&gt;="&amp;M37),'FIRE TEX 5120'!$B$5:$G$40,IF(L37="F-15",2,IF(L37="F-30",3,IF(L37="F-60",4,IF(L37="F-90",5,IF(L37="F-120",6,0))))),0),0)+IF(AND(O37="FIRE TEX 5120",OR(E37="IN",E37="C",E37="Z",E37="L"),J37=4),VLOOKUP(_xlfn.MINIFS('FIRE TEX 5120'!$H$4:$H$40,'FIRE TEX 5120'!$H$4:$H$40,"&gt;="&amp;M37),'FIRE TEX 5120'!$H$4:$M$40,IF(L37="F-15",2,IF(L37="F-30",3,IF(L37="F-60",4,IF(L37="F-90",5,IF(L37="F-120",6,0))))),0),0)+IF(AND(O37="FIRE TEX 5120",E37="CJ"),VLOOKUP(_xlfn.MINIFS('FIRE TEX 5120'!$O$5:$O$40,'FIRE TEX 5120'!$O$5:$O$40,"&gt;="&amp;M37),'FIRE TEX 5120'!$O$5:$T$40,IF(L37="F-15",2,IF(L37="F-30",3,IF(L37="F-60",4,IF(L37="F-90",5,IF(L37="F-120",6,0))))),0),0)</f>
        <v>2262</v>
      </c>
      <c r="Q37" s="46">
        <f t="shared" si="0"/>
        <v>89.054940000000002</v>
      </c>
      <c r="R37" s="46">
        <f t="shared" si="5"/>
        <v>3.8908565880792239</v>
      </c>
      <c r="S37" s="46">
        <f t="shared" si="2"/>
        <v>1.1565576623376623</v>
      </c>
      <c r="T37" s="677">
        <f t="shared" si="3"/>
        <v>0</v>
      </c>
      <c r="U37" s="80">
        <f>(IF(O37="Stofire",(S37*#REF!),0))+(IF(O37="Fire Control",(S37*$U$2),0))+(IF(O37="Fire Tex",(S37*$U$3),0))+(IF(O37="WB7",(S37*#REF!),0)+(IF(O37="FX 2003",(S37*$U$5),0)))</f>
        <v>0</v>
      </c>
      <c r="V37" s="651">
        <f t="shared" si="6"/>
        <v>250</v>
      </c>
      <c r="W37" s="4"/>
      <c r="X37" s="21"/>
      <c r="Y37" s="21"/>
      <c r="Z37" s="21"/>
    </row>
    <row r="38" spans="1:26" x14ac:dyDescent="0.25">
      <c r="A38" s="652" t="s">
        <v>461</v>
      </c>
      <c r="B38" s="653" t="s">
        <v>459</v>
      </c>
      <c r="C38" s="1" t="s">
        <v>408</v>
      </c>
      <c r="D38" s="118" t="str">
        <f>+CUBICACION!D37</f>
        <v>PILAR</v>
      </c>
      <c r="E38" s="118" t="str">
        <f>+CUBICACION!F37</f>
        <v>CJ</v>
      </c>
      <c r="F38" s="118" t="str">
        <f>+CUBICACION!E37</f>
        <v>200X100X4</v>
      </c>
      <c r="G38" s="118">
        <v>12</v>
      </c>
      <c r="H38" s="118">
        <v>2</v>
      </c>
      <c r="I38" s="820">
        <v>26385</v>
      </c>
      <c r="J38" s="118">
        <f>+CUBICACION!J37</f>
        <v>4</v>
      </c>
      <c r="K38" s="118">
        <v>2812</v>
      </c>
      <c r="L38" s="118" t="str">
        <f>+CUBICACION!L37</f>
        <v>F-60</v>
      </c>
      <c r="M38" s="64">
        <f>+CUBICACION!M37</f>
        <v>250</v>
      </c>
      <c r="N38" s="824">
        <f>+CUBICACION!N37</f>
        <v>3.9</v>
      </c>
      <c r="O38" s="675" t="str">
        <f>+CUBICACION!O37</f>
        <v>Fire Tex 5090</v>
      </c>
      <c r="P38" s="15">
        <f>IF(O38="Fire Control",VLOOKUP(_xlfn.MINIFS('FIRE CONTROL'!$C$4:$C$37,'FIRE CONTROL'!$C$4:$C$37,"&gt;="&amp;M38),'FIRE CONTROL'!$C$4:$G$37,IF(L38="F-15",2,IF(L38="F-30",3,IF(L38="F-60",4,IF(L38="F-90",5,0)))),0),0)+IF(AND(O38="FIRE TEX 5062",OR(E38="IN",E38="C",E38="Z",E38="L"),J38=3),VLOOKUP(_xlfn.MINIFS('FIRE TEX 5062'!$B$4:$B$34,'FIRE TEX 5062'!$B$4:$B$34,"&gt;="&amp;M38),'FIRE TEX 5062'!$B$4:$F$34,IF(L38="F-15",2,IF(L38="F-30",3,IF(L38="F-60",4,IF(L38="F-90",5,0)))),0),0)+IF(AND(O38="FIRE TEX 5062",OR(E38="IN",E38="C",E38="Z",E38="L"),J38=4),VLOOKUP(_xlfn.MINIFS('FIRE TEX 5062'!$G$4:$G$34,'FIRE TEX 5062'!$G$4:$G$34,"&gt;="&amp;M38),'FIRE TEX 5062'!$G$4:$K$34,IF(L38="F-15",2,IF(L38="F-30",3,IF(L38="F-60",4,IF(L38="F-90",5,0)))),0),0)+IF(AND(O38="FIRE TEX 5062",E38="CJ",J38=3),VLOOKUP(_xlfn.MINIFS('FIRE TEX 5062'!$L$4:$L$34,'FIRE TEX 5062'!$L$4:$L$34,"&gt;="&amp;M38),'FIRE TEX 5062'!$L$4:$P$34,IF(L38="F-15",2,IF(L38="F-30",3,IF(L38="F-60",4,IF(L38="F-90",5,0)))),0),0)+IF(AND(O38="FIRE TEX 5062",E38="CJ",J38=4),VLOOKUP(_xlfn.MINIFS('FIRE TEX 5062'!$Q$3:$Q$34,'FIRE TEX 5062'!$Q$3:$Q$34,"&gt;="&amp;M38),'FIRE TEX 5062'!$Q$3:$U$34,IF(L38="F-15",2,IF(L38="F-30",3,IF(L38="F-60",4,IF(L38="F-90",5,0)))),0),0)+IF(AND(O38="FIRE TEX 5090",OR(E38="IN",E38="C",E38="Z",E38="L"),J38=3),VLOOKUP(_xlfn.MINIFS('FIRE TEX 5090'!$B$5:$B$43,'FIRE TEX 5090'!$B$5:$B$43,"&gt;="&amp;M38),'FIRE TEX 5090'!$B$5:$H$43,IF(L38="F-15",2,IF(L38="F-30",3,IF(L38="F-60",4,IF(L38="F-90",5,IF(L38="F-120",6,IF(L38="F-150",7,0)))))),0),0)+IF(AND(O38="FIRE TEX 5090",OR(E38="IN",E38="C",E38="Z",E38="L"),J38=4),VLOOKUP(_xlfn.MINIFS('FIRE TEX 5090'!$J$5:$J$43,'FIRE TEX 5090'!$J$5:$J$43,"&gt;="&amp;M38),'FIRE TEX 5090'!$J$5:$P$43,IF(L38="F-15",2,IF(L38="F-30",3,IF(L38="F-60",4,IF(L38="F-90",5,IF(L38="F-120",6,IF(L38="F-150",7,0)))))),0),0)+IF(AND(O38="FIRE TEX 5090",E38="CJ",J38=3),VLOOKUP(_xlfn.MINIFS('FIRE TEX 5090'!$R$5:$R$30,'FIRE TEX 5090'!$R$5:$R$30,"&gt;="&amp;M38),'FIRE TEX 5090'!$R$5:$W$30,IF(L38="F-15",2,IF(L38="F-30",3,IF(L38="F-60",4,IF(L38="F-90",5,IF(L38="F-120",6,IF(L38="F-150",7,0)))))),0),0)+IF(AND(O38="FIRE TEX 5090",E38="CJ",J38=4),VLOOKUP(_xlfn.MINIFS('FIRE TEX 5090'!$Y$5:$Y$39,'FIRE TEX 5090'!$Y$5:$Y$39,"&gt;="&amp;M38),'FIRE TEX 5090'!$Y$5:$AD$39,IF(L38="F-15",2,IF(L38="F-30",3,IF(L38="F-60",4,IF(L38="F-90",5,IF(L38="F-120",6,IF(L38="F-150",7,0)))))),0),0)+IF(AND(O38="FIRE TEX 5120",OR(E38="IN",E38="C",E38="Z",E38="L"),J38=3),VLOOKUP(_xlfn.MINIFS('FIRE TEX 5120'!$B$5:$B$40,'FIRE TEX 5120'!$B$5:$B$40,"&gt;="&amp;M38),'FIRE TEX 5120'!$B$5:$G$40,IF(L38="F-15",2,IF(L38="F-30",3,IF(L38="F-60",4,IF(L38="F-90",5,IF(L38="F-120",6,0))))),0),0)+IF(AND(O38="FIRE TEX 5120",OR(E38="IN",E38="C",E38="Z",E38="L"),J38=4),VLOOKUP(_xlfn.MINIFS('FIRE TEX 5120'!$H$4:$H$40,'FIRE TEX 5120'!$H$4:$H$40,"&gt;="&amp;M38),'FIRE TEX 5120'!$H$4:$M$40,IF(L38="F-15",2,IF(L38="F-30",3,IF(L38="F-60",4,IF(L38="F-90",5,IF(L38="F-120",6,0))))),0),0)+IF(AND(O38="FIRE TEX 5120",E38="CJ"),VLOOKUP(_xlfn.MINIFS('FIRE TEX 5120'!$O$5:$O$40,'FIRE TEX 5120'!$O$5:$O$40,"&gt;="&amp;M38),'FIRE TEX 5120'!$O$5:$T$40,IF(L38="F-15",2,IF(L38="F-30",3,IF(L38="F-60",4,IF(L38="F-90",5,IF(L38="F-120",6,0))))),0),0)</f>
        <v>2262</v>
      </c>
      <c r="Q38" s="46">
        <f t="shared" si="0"/>
        <v>89.054940000000002</v>
      </c>
      <c r="R38" s="46">
        <f t="shared" si="5"/>
        <v>3.8908565880792239</v>
      </c>
      <c r="S38" s="46">
        <f t="shared" si="2"/>
        <v>1.002349974025974</v>
      </c>
      <c r="T38" s="677">
        <f t="shared" si="3"/>
        <v>0</v>
      </c>
      <c r="U38" s="80">
        <f>(IF(O38="Stofire",(S38*#REF!),0))+(IF(O38="Fire Control",(S38*$U$2),0))+(IF(O38="Fire Tex",(S38*$U$3),0))+(IF(O38="WB7",(S38*#REF!),0)+(IF(O38="FX 2003",(S38*$U$5),0)))</f>
        <v>0</v>
      </c>
      <c r="V38" s="651">
        <f t="shared" si="6"/>
        <v>250</v>
      </c>
      <c r="W38" s="4"/>
      <c r="X38" s="21"/>
      <c r="Y38" s="21"/>
      <c r="Z38" s="21"/>
    </row>
    <row r="39" spans="1:26" x14ac:dyDescent="0.25">
      <c r="A39" s="652" t="s">
        <v>461</v>
      </c>
      <c r="B39" s="653" t="s">
        <v>459</v>
      </c>
      <c r="C39" s="1" t="s">
        <v>408</v>
      </c>
      <c r="D39" s="118" t="str">
        <f>+CUBICACION!D38</f>
        <v>PILAR</v>
      </c>
      <c r="E39" s="118" t="str">
        <f>+CUBICACION!F38</f>
        <v>CJ</v>
      </c>
      <c r="F39" s="118" t="str">
        <f>+CUBICACION!E38</f>
        <v>150X150X5</v>
      </c>
      <c r="G39" s="118">
        <v>12</v>
      </c>
      <c r="H39" s="118">
        <v>2</v>
      </c>
      <c r="I39" s="820">
        <v>26385</v>
      </c>
      <c r="J39" s="118">
        <f>+CUBICACION!J38</f>
        <v>4</v>
      </c>
      <c r="K39" s="118">
        <v>2813</v>
      </c>
      <c r="L39" s="118" t="str">
        <f>+CUBICACION!L38</f>
        <v>F-60</v>
      </c>
      <c r="M39" s="64">
        <f>+CUBICACION!M38</f>
        <v>200</v>
      </c>
      <c r="N39" s="824">
        <f>+CUBICACION!N38</f>
        <v>3.6</v>
      </c>
      <c r="O39" s="675" t="str">
        <f>+CUBICACION!O38</f>
        <v>Fire Tex 5090</v>
      </c>
      <c r="P39" s="15">
        <f>IF(O39="Fire Control",VLOOKUP(_xlfn.MINIFS('FIRE CONTROL'!$C$4:$C$37,'FIRE CONTROL'!$C$4:$C$37,"&gt;="&amp;M39),'FIRE CONTROL'!$C$4:$G$37,IF(L39="F-15",2,IF(L39="F-30",3,IF(L39="F-60",4,IF(L39="F-90",5,0)))),0),0)+IF(AND(O39="FIRE TEX 5062",OR(E39="IN",E39="C",E39="Z",E39="L"),J39=3),VLOOKUP(_xlfn.MINIFS('FIRE TEX 5062'!$B$4:$B$34,'FIRE TEX 5062'!$B$4:$B$34,"&gt;="&amp;M39),'FIRE TEX 5062'!$B$4:$F$34,IF(L39="F-15",2,IF(L39="F-30",3,IF(L39="F-60",4,IF(L39="F-90",5,0)))),0),0)+IF(AND(O39="FIRE TEX 5062",OR(E39="IN",E39="C",E39="Z",E39="L"),J39=4),VLOOKUP(_xlfn.MINIFS('FIRE TEX 5062'!$G$4:$G$34,'FIRE TEX 5062'!$G$4:$G$34,"&gt;="&amp;M39),'FIRE TEX 5062'!$G$4:$K$34,IF(L39="F-15",2,IF(L39="F-30",3,IF(L39="F-60",4,IF(L39="F-90",5,0)))),0),0)+IF(AND(O39="FIRE TEX 5062",E39="CJ",J39=3),VLOOKUP(_xlfn.MINIFS('FIRE TEX 5062'!$L$4:$L$34,'FIRE TEX 5062'!$L$4:$L$34,"&gt;="&amp;M39),'FIRE TEX 5062'!$L$4:$P$34,IF(L39="F-15",2,IF(L39="F-30",3,IF(L39="F-60",4,IF(L39="F-90",5,0)))),0),0)+IF(AND(O39="FIRE TEX 5062",E39="CJ",J39=4),VLOOKUP(_xlfn.MINIFS('FIRE TEX 5062'!$Q$3:$Q$34,'FIRE TEX 5062'!$Q$3:$Q$34,"&gt;="&amp;M39),'FIRE TEX 5062'!$Q$3:$U$34,IF(L39="F-15",2,IF(L39="F-30",3,IF(L39="F-60",4,IF(L39="F-90",5,0)))),0),0)+IF(AND(O39="FIRE TEX 5090",OR(E39="IN",E39="C",E39="Z",E39="L"),J39=3),VLOOKUP(_xlfn.MINIFS('FIRE TEX 5090'!$B$5:$B$43,'FIRE TEX 5090'!$B$5:$B$43,"&gt;="&amp;M39),'FIRE TEX 5090'!$B$5:$H$43,IF(L39="F-15",2,IF(L39="F-30",3,IF(L39="F-60",4,IF(L39="F-90",5,IF(L39="F-120",6,IF(L39="F-150",7,0)))))),0),0)+IF(AND(O39="FIRE TEX 5090",OR(E39="IN",E39="C",E39="Z",E39="L"),J39=4),VLOOKUP(_xlfn.MINIFS('FIRE TEX 5090'!$J$5:$J$43,'FIRE TEX 5090'!$J$5:$J$43,"&gt;="&amp;M39),'FIRE TEX 5090'!$J$5:$P$43,IF(L39="F-15",2,IF(L39="F-30",3,IF(L39="F-60",4,IF(L39="F-90",5,IF(L39="F-120",6,IF(L39="F-150",7,0)))))),0),0)+IF(AND(O39="FIRE TEX 5090",E39="CJ",J39=3),VLOOKUP(_xlfn.MINIFS('FIRE TEX 5090'!$R$5:$R$30,'FIRE TEX 5090'!$R$5:$R$30,"&gt;="&amp;M39),'FIRE TEX 5090'!$R$5:$W$30,IF(L39="F-15",2,IF(L39="F-30",3,IF(L39="F-60",4,IF(L39="F-90",5,IF(L39="F-120",6,IF(L39="F-150",7,0)))))),0),0)+IF(AND(O39="FIRE TEX 5090",E39="CJ",J39=4),VLOOKUP(_xlfn.MINIFS('FIRE TEX 5090'!$Y$5:$Y$39,'FIRE TEX 5090'!$Y$5:$Y$39,"&gt;="&amp;M39),'FIRE TEX 5090'!$Y$5:$AD$39,IF(L39="F-15",2,IF(L39="F-30",3,IF(L39="F-60",4,IF(L39="F-90",5,IF(L39="F-120",6,IF(L39="F-150",7,0)))))),0),0)+IF(AND(O39="FIRE TEX 5120",OR(E39="IN",E39="C",E39="Z",E39="L"),J39=3),VLOOKUP(_xlfn.MINIFS('FIRE TEX 5120'!$B$5:$B$40,'FIRE TEX 5120'!$B$5:$B$40,"&gt;="&amp;M39),'FIRE TEX 5120'!$B$5:$G$40,IF(L39="F-15",2,IF(L39="F-30",3,IF(L39="F-60",4,IF(L39="F-90",5,IF(L39="F-120",6,0))))),0),0)+IF(AND(O39="FIRE TEX 5120",OR(E39="IN",E39="C",E39="Z",E39="L"),J39=4),VLOOKUP(_xlfn.MINIFS('FIRE TEX 5120'!$H$4:$H$40,'FIRE TEX 5120'!$H$4:$H$40,"&gt;="&amp;M39),'FIRE TEX 5120'!$H$4:$M$40,IF(L39="F-15",2,IF(L39="F-30",3,IF(L39="F-60",4,IF(L39="F-90",5,IF(L39="F-120",6,0))))),0),0)+IF(AND(O39="FIRE TEX 5120",E39="CJ"),VLOOKUP(_xlfn.MINIFS('FIRE TEX 5120'!$O$5:$O$40,'FIRE TEX 5120'!$O$5:$O$40,"&gt;="&amp;M39),'FIRE TEX 5120'!$O$5:$T$40,IF(L39="F-15",2,IF(L39="F-30",3,IF(L39="F-60",4,IF(L39="F-90",5,IF(L39="F-120",6,0))))),0),0)</f>
        <v>1930</v>
      </c>
      <c r="Q39" s="46">
        <f t="shared" si="0"/>
        <v>75.984099999999998</v>
      </c>
      <c r="R39" s="46">
        <f t="shared" si="5"/>
        <v>4.5601645607436296</v>
      </c>
      <c r="S39" s="46">
        <f t="shared" si="2"/>
        <v>0.78944519480519471</v>
      </c>
      <c r="T39" s="677">
        <f t="shared" si="3"/>
        <v>0</v>
      </c>
      <c r="U39" s="80">
        <f>(IF(O39="Stofire",(S39*#REF!),0))+(IF(O39="Fire Control",(S39*$U$2),0))+(IF(O39="Fire Tex",(S39*$U$3),0))+(IF(O39="WB7",(S39*#REF!),0)+(IF(O39="FX 2003",(S39*$U$5),0)))</f>
        <v>0</v>
      </c>
      <c r="V39" s="651">
        <f t="shared" si="6"/>
        <v>200</v>
      </c>
      <c r="W39" s="4"/>
      <c r="X39" s="21"/>
      <c r="Y39" s="21"/>
      <c r="Z39" s="21"/>
    </row>
    <row r="40" spans="1:26" x14ac:dyDescent="0.25">
      <c r="A40" s="652" t="s">
        <v>406</v>
      </c>
      <c r="B40" s="653" t="s">
        <v>407</v>
      </c>
      <c r="C40" s="1" t="s">
        <v>408</v>
      </c>
      <c r="D40" s="118" t="str">
        <f>+CUBICACION!D39</f>
        <v>VIGA</v>
      </c>
      <c r="E40" s="118" t="str">
        <f>+CUBICACION!F39</f>
        <v>CJ</v>
      </c>
      <c r="F40" s="118" t="str">
        <f>+CUBICACION!E39</f>
        <v xml:space="preserve"> M1 MM600X225X4</v>
      </c>
      <c r="G40" s="118">
        <v>12</v>
      </c>
      <c r="H40" s="118">
        <v>2</v>
      </c>
      <c r="I40" s="820">
        <v>26385</v>
      </c>
      <c r="J40" s="118">
        <f>+CUBICACION!J39</f>
        <v>4</v>
      </c>
      <c r="K40" s="118">
        <v>2814</v>
      </c>
      <c r="L40" s="118" t="str">
        <f>+CUBICACION!L39</f>
        <v>F-60</v>
      </c>
      <c r="M40" s="64">
        <f>+CUBICACION!M39</f>
        <v>250</v>
      </c>
      <c r="N40" s="824">
        <f>+CUBICACION!N39</f>
        <v>49.5</v>
      </c>
      <c r="O40" s="675" t="str">
        <f>+CUBICACION!O39</f>
        <v>Fire Tex 5090</v>
      </c>
      <c r="P40" s="15">
        <f>IF(O40="Fire Control",VLOOKUP(_xlfn.MINIFS('FIRE CONTROL'!$C$4:$C$37,'FIRE CONTROL'!$C$4:$C$37,"&gt;="&amp;M40),'FIRE CONTROL'!$C$4:$G$37,IF(L40="F-15",2,IF(L40="F-30",3,IF(L40="F-60",4,IF(L40="F-90",5,0)))),0),0)+IF(AND(O40="FIRE TEX 5062",OR(E40="IN",E40="C",E40="Z",E40="L"),J40=3),VLOOKUP(_xlfn.MINIFS('FIRE TEX 5062'!$B$4:$B$34,'FIRE TEX 5062'!$B$4:$B$34,"&gt;="&amp;M40),'FIRE TEX 5062'!$B$4:$F$34,IF(L40="F-15",2,IF(L40="F-30",3,IF(L40="F-60",4,IF(L40="F-90",5,0)))),0),0)+IF(AND(O40="FIRE TEX 5062",OR(E40="IN",E40="C",E40="Z",E40="L"),J40=4),VLOOKUP(_xlfn.MINIFS('FIRE TEX 5062'!$G$4:$G$34,'FIRE TEX 5062'!$G$4:$G$34,"&gt;="&amp;M40),'FIRE TEX 5062'!$G$4:$K$34,IF(L40="F-15",2,IF(L40="F-30",3,IF(L40="F-60",4,IF(L40="F-90",5,0)))),0),0)+IF(AND(O40="FIRE TEX 5062",E40="CJ",J40=3),VLOOKUP(_xlfn.MINIFS('FIRE TEX 5062'!$L$4:$L$34,'FIRE TEX 5062'!$L$4:$L$34,"&gt;="&amp;M40),'FIRE TEX 5062'!$L$4:$P$34,IF(L40="F-15",2,IF(L40="F-30",3,IF(L40="F-60",4,IF(L40="F-90",5,0)))),0),0)+IF(AND(O40="FIRE TEX 5062",E40="CJ",J40=4),VLOOKUP(_xlfn.MINIFS('FIRE TEX 5062'!$Q$3:$Q$34,'FIRE TEX 5062'!$Q$3:$Q$34,"&gt;="&amp;M40),'FIRE TEX 5062'!$Q$3:$U$34,IF(L40="F-15",2,IF(L40="F-30",3,IF(L40="F-60",4,IF(L40="F-90",5,0)))),0),0)+IF(AND(O40="FIRE TEX 5090",OR(E40="IN",E40="C",E40="Z",E40="L"),J40=3),VLOOKUP(_xlfn.MINIFS('FIRE TEX 5090'!$B$5:$B$43,'FIRE TEX 5090'!$B$5:$B$43,"&gt;="&amp;M40),'FIRE TEX 5090'!$B$5:$H$43,IF(L40="F-15",2,IF(L40="F-30",3,IF(L40="F-60",4,IF(L40="F-90",5,IF(L40="F-120",6,IF(L40="F-150",7,0)))))),0),0)+IF(AND(O40="FIRE TEX 5090",OR(E40="IN",E40="C",E40="Z",E40="L"),J40=4),VLOOKUP(_xlfn.MINIFS('FIRE TEX 5090'!$J$5:$J$43,'FIRE TEX 5090'!$J$5:$J$43,"&gt;="&amp;M40),'FIRE TEX 5090'!$J$5:$P$43,IF(L40="F-15",2,IF(L40="F-30",3,IF(L40="F-60",4,IF(L40="F-90",5,IF(L40="F-120",6,IF(L40="F-150",7,0)))))),0),0)+IF(AND(O40="FIRE TEX 5090",E40="CJ",J40=3),VLOOKUP(_xlfn.MINIFS('FIRE TEX 5090'!$R$5:$R$30,'FIRE TEX 5090'!$R$5:$R$30,"&gt;="&amp;M40),'FIRE TEX 5090'!$R$5:$W$30,IF(L40="F-15",2,IF(L40="F-30",3,IF(L40="F-60",4,IF(L40="F-90",5,IF(L40="F-120",6,IF(L40="F-150",7,0)))))),0),0)+IF(AND(O40="FIRE TEX 5090",E40="CJ",J40=4),VLOOKUP(_xlfn.MINIFS('FIRE TEX 5090'!$Y$5:$Y$39,'FIRE TEX 5090'!$Y$5:$Y$39,"&gt;="&amp;M40),'FIRE TEX 5090'!$Y$5:$AD$39,IF(L40="F-15",2,IF(L40="F-30",3,IF(L40="F-60",4,IF(L40="F-90",5,IF(L40="F-120",6,IF(L40="F-150",7,0)))))),0),0)+IF(AND(O40="FIRE TEX 5120",OR(E40="IN",E40="C",E40="Z",E40="L"),J40=3),VLOOKUP(_xlfn.MINIFS('FIRE TEX 5120'!$B$5:$B$40,'FIRE TEX 5120'!$B$5:$B$40,"&gt;="&amp;M40),'FIRE TEX 5120'!$B$5:$G$40,IF(L40="F-15",2,IF(L40="F-30",3,IF(L40="F-60",4,IF(L40="F-90",5,IF(L40="F-120",6,0))))),0),0)+IF(AND(O40="FIRE TEX 5120",OR(E40="IN",E40="C",E40="Z",E40="L"),J40=4),VLOOKUP(_xlfn.MINIFS('FIRE TEX 5120'!$H$4:$H$40,'FIRE TEX 5120'!$H$4:$H$40,"&gt;="&amp;M40),'FIRE TEX 5120'!$H$4:$M$40,IF(L40="F-15",2,IF(L40="F-30",3,IF(L40="F-60",4,IF(L40="F-90",5,IF(L40="F-120",6,0))))),0),0)+IF(AND(O40="FIRE TEX 5120",E40="CJ"),VLOOKUP(_xlfn.MINIFS('FIRE TEX 5120'!$O$5:$O$40,'FIRE TEX 5120'!$O$5:$O$40,"&gt;="&amp;M40),'FIRE TEX 5120'!$O$5:$T$40,IF(L40="F-15",2,IF(L40="F-30",3,IF(L40="F-60",4,IF(L40="F-90",5,IF(L40="F-120",6,0))))),0),0)</f>
        <v>2262</v>
      </c>
      <c r="Q40" s="46">
        <f t="shared" si="0"/>
        <v>89.054940000000002</v>
      </c>
      <c r="R40" s="46">
        <f t="shared" si="5"/>
        <v>3.8908565880792239</v>
      </c>
      <c r="S40" s="46">
        <f t="shared" si="2"/>
        <v>12.722134285714287</v>
      </c>
      <c r="T40" s="677">
        <f t="shared" si="3"/>
        <v>0</v>
      </c>
      <c r="U40" s="80">
        <f>(IF(O40="Stofire",(S40*#REF!),0))+(IF(O40="Fire Control",(S40*$U$2),0))+(IF(O40="Fire Tex",(S40*$U$3),0))+(IF(O40="WB7",(S40*#REF!),0)+(IF(O40="FX 2003",(S40*$U$5),0)))</f>
        <v>0</v>
      </c>
      <c r="V40" s="649">
        <f>_xlfn.CEILING.MATH(M40,10)</f>
        <v>250</v>
      </c>
      <c r="W40" s="4"/>
      <c r="X40" s="21"/>
      <c r="Y40" s="21"/>
      <c r="Z40" s="21"/>
    </row>
    <row r="41" spans="1:26" x14ac:dyDescent="0.25">
      <c r="A41" s="652" t="s">
        <v>406</v>
      </c>
      <c r="B41" s="653" t="s">
        <v>407</v>
      </c>
      <c r="C41" s="1" t="s">
        <v>408</v>
      </c>
      <c r="D41" s="118" t="str">
        <f>+CUBICACION!D40</f>
        <v>VIGA</v>
      </c>
      <c r="E41" s="118" t="str">
        <f>+CUBICACION!F40</f>
        <v>CJ</v>
      </c>
      <c r="F41" s="118" t="str">
        <f>+CUBICACION!E40</f>
        <v>200X100X3</v>
      </c>
      <c r="G41" s="118">
        <v>12</v>
      </c>
      <c r="H41" s="118">
        <v>2</v>
      </c>
      <c r="I41" s="820">
        <v>26385</v>
      </c>
      <c r="J41" s="118">
        <f>+CUBICACION!J40</f>
        <v>4</v>
      </c>
      <c r="K41" s="118">
        <v>2815</v>
      </c>
      <c r="L41" s="118" t="str">
        <f>+CUBICACION!L40</f>
        <v>F-60</v>
      </c>
      <c r="M41" s="64">
        <f>+CUBICACION!M40</f>
        <v>333</v>
      </c>
      <c r="N41" s="824">
        <f>+CUBICACION!N40</f>
        <v>13.644</v>
      </c>
      <c r="O41" s="675" t="str">
        <f>+CUBICACION!O40</f>
        <v>Fire Tex 5090</v>
      </c>
      <c r="P41" s="15">
        <f>IF(O41="Fire Control",VLOOKUP(_xlfn.MINIFS('FIRE CONTROL'!$C$4:$C$37,'FIRE CONTROL'!$C$4:$C$37,"&gt;="&amp;M41),'FIRE CONTROL'!$C$4:$G$37,IF(L41="F-15",2,IF(L41="F-30",3,IF(L41="F-60",4,IF(L41="F-90",5,0)))),0),0)+IF(AND(O41="FIRE TEX 5062",OR(E41="IN",E41="C",E41="Z",E41="L"),J41=3),VLOOKUP(_xlfn.MINIFS('FIRE TEX 5062'!$B$4:$B$34,'FIRE TEX 5062'!$B$4:$B$34,"&gt;="&amp;M41),'FIRE TEX 5062'!$B$4:$F$34,IF(L41="F-15",2,IF(L41="F-30",3,IF(L41="F-60",4,IF(L41="F-90",5,0)))),0),0)+IF(AND(O41="FIRE TEX 5062",OR(E41="IN",E41="C",E41="Z",E41="L"),J41=4),VLOOKUP(_xlfn.MINIFS('FIRE TEX 5062'!$G$4:$G$34,'FIRE TEX 5062'!$G$4:$G$34,"&gt;="&amp;M41),'FIRE TEX 5062'!$G$4:$K$34,IF(L41="F-15",2,IF(L41="F-30",3,IF(L41="F-60",4,IF(L41="F-90",5,0)))),0),0)+IF(AND(O41="FIRE TEX 5062",E41="CJ",J41=3),VLOOKUP(_xlfn.MINIFS('FIRE TEX 5062'!$L$4:$L$34,'FIRE TEX 5062'!$L$4:$L$34,"&gt;="&amp;M41),'FIRE TEX 5062'!$L$4:$P$34,IF(L41="F-15",2,IF(L41="F-30",3,IF(L41="F-60",4,IF(L41="F-90",5,0)))),0),0)+IF(AND(O41="FIRE TEX 5062",E41="CJ",J41=4),VLOOKUP(_xlfn.MINIFS('FIRE TEX 5062'!$Q$3:$Q$34,'FIRE TEX 5062'!$Q$3:$Q$34,"&gt;="&amp;M41),'FIRE TEX 5062'!$Q$3:$U$34,IF(L41="F-15",2,IF(L41="F-30",3,IF(L41="F-60",4,IF(L41="F-90",5,0)))),0),0)+IF(AND(O41="FIRE TEX 5090",OR(E41="IN",E41="C",E41="Z",E41="L"),J41=3),VLOOKUP(_xlfn.MINIFS('FIRE TEX 5090'!$B$5:$B$43,'FIRE TEX 5090'!$B$5:$B$43,"&gt;="&amp;M41),'FIRE TEX 5090'!$B$5:$H$43,IF(L41="F-15",2,IF(L41="F-30",3,IF(L41="F-60",4,IF(L41="F-90",5,IF(L41="F-120",6,IF(L41="F-150",7,0)))))),0),0)+IF(AND(O41="FIRE TEX 5090",OR(E41="IN",E41="C",E41="Z",E41="L"),J41=4),VLOOKUP(_xlfn.MINIFS('FIRE TEX 5090'!$J$5:$J$43,'FIRE TEX 5090'!$J$5:$J$43,"&gt;="&amp;M41),'FIRE TEX 5090'!$J$5:$P$43,IF(L41="F-15",2,IF(L41="F-30",3,IF(L41="F-60",4,IF(L41="F-90",5,IF(L41="F-120",6,IF(L41="F-150",7,0)))))),0),0)+IF(AND(O41="FIRE TEX 5090",E41="CJ",J41=3),VLOOKUP(_xlfn.MINIFS('FIRE TEX 5090'!$R$5:$R$30,'FIRE TEX 5090'!$R$5:$R$30,"&gt;="&amp;M41),'FIRE TEX 5090'!$R$5:$W$30,IF(L41="F-15",2,IF(L41="F-30",3,IF(L41="F-60",4,IF(L41="F-90",5,IF(L41="F-120",6,IF(L41="F-150",7,0)))))),0),0)+IF(AND(O41="FIRE TEX 5090",E41="CJ",J41=4),VLOOKUP(_xlfn.MINIFS('FIRE TEX 5090'!$Y$5:$Y$39,'FIRE TEX 5090'!$Y$5:$Y$39,"&gt;="&amp;M41),'FIRE TEX 5090'!$Y$5:$AD$39,IF(L41="F-15",2,IF(L41="F-30",3,IF(L41="F-60",4,IF(L41="F-90",5,IF(L41="F-120",6,IF(L41="F-150",7,0)))))),0),0)+IF(AND(O41="FIRE TEX 5120",OR(E41="IN",E41="C",E41="Z",E41="L"),J41=3),VLOOKUP(_xlfn.MINIFS('FIRE TEX 5120'!$B$5:$B$40,'FIRE TEX 5120'!$B$5:$B$40,"&gt;="&amp;M41),'FIRE TEX 5120'!$B$5:$G$40,IF(L41="F-15",2,IF(L41="F-30",3,IF(L41="F-60",4,IF(L41="F-90",5,IF(L41="F-120",6,0))))),0),0)+IF(AND(O41="FIRE TEX 5120",OR(E41="IN",E41="C",E41="Z",E41="L"),J41=4),VLOOKUP(_xlfn.MINIFS('FIRE TEX 5120'!$H$4:$H$40,'FIRE TEX 5120'!$H$4:$H$40,"&gt;="&amp;M41),'FIRE TEX 5120'!$H$4:$M$40,IF(L41="F-15",2,IF(L41="F-30",3,IF(L41="F-60",4,IF(L41="F-90",5,IF(L41="F-120",6,0))))),0),0)+IF(AND(O41="FIRE TEX 5120",E41="CJ"),VLOOKUP(_xlfn.MINIFS('FIRE TEX 5120'!$O$5:$O$40,'FIRE TEX 5120'!$O$5:$O$40,"&gt;="&amp;M41),'FIRE TEX 5120'!$O$5:$T$40,IF(L41="F-15",2,IF(L41="F-30",3,IF(L41="F-60",4,IF(L41="F-90",5,IF(L41="F-120",6,0))))),0),0)</f>
        <v>2828</v>
      </c>
      <c r="Q41" s="46">
        <f t="shared" si="0"/>
        <v>111.33836000000001</v>
      </c>
      <c r="R41" s="46">
        <f t="shared" si="5"/>
        <v>3.1121349371411613</v>
      </c>
      <c r="S41" s="46">
        <f t="shared" si="2"/>
        <v>4.3841286690909094</v>
      </c>
      <c r="T41" s="677">
        <f t="shared" si="3"/>
        <v>0</v>
      </c>
      <c r="U41" s="80">
        <f>(IF(O41="Stofire",(S41*#REF!),0))+(IF(O41="Fire Control",(S41*$U$2),0))+(IF(O41="Fire Tex",(S41*$U$3),0))+(IF(O41="WB7",(S41*#REF!),0)+(IF(O41="FX 2003",(S41*$U$5),0)))</f>
        <v>0</v>
      </c>
      <c r="V41" s="651">
        <f>_xlfn.CEILING.MATH(M41,10)</f>
        <v>340</v>
      </c>
      <c r="W41" s="4"/>
      <c r="X41" s="21"/>
      <c r="Y41" s="21"/>
      <c r="Z41" s="21"/>
    </row>
    <row r="42" spans="1:26" x14ac:dyDescent="0.25">
      <c r="A42" s="652" t="s">
        <v>409</v>
      </c>
      <c r="B42" s="653" t="s">
        <v>410</v>
      </c>
      <c r="C42" s="1" t="s">
        <v>408</v>
      </c>
      <c r="D42" s="118" t="str">
        <f>+CUBICACION!D41</f>
        <v>PILAR</v>
      </c>
      <c r="E42" s="118" t="str">
        <f>+CUBICACION!F41</f>
        <v>CJ</v>
      </c>
      <c r="F42" s="118" t="str">
        <f>+CUBICACION!E41</f>
        <v>150X150X5</v>
      </c>
      <c r="G42" s="118">
        <v>12</v>
      </c>
      <c r="H42" s="118">
        <v>2</v>
      </c>
      <c r="I42" s="820">
        <v>26385</v>
      </c>
      <c r="J42" s="118">
        <f>+CUBICACION!J41</f>
        <v>4</v>
      </c>
      <c r="K42" s="118">
        <v>2816</v>
      </c>
      <c r="L42" s="118" t="str">
        <f>+CUBICACION!L41</f>
        <v>F-60</v>
      </c>
      <c r="M42" s="64">
        <f>+CUBICACION!M41</f>
        <v>200</v>
      </c>
      <c r="N42" s="824">
        <f>+CUBICACION!N41</f>
        <v>4.8</v>
      </c>
      <c r="O42" s="675" t="str">
        <f>+CUBICACION!O41</f>
        <v>Fire Tex 5090</v>
      </c>
      <c r="P42" s="15">
        <f>IF(O42="Fire Control",VLOOKUP(_xlfn.MINIFS('FIRE CONTROL'!$C$4:$C$37,'FIRE CONTROL'!$C$4:$C$37,"&gt;="&amp;M42),'FIRE CONTROL'!$C$4:$G$37,IF(L42="F-15",2,IF(L42="F-30",3,IF(L42="F-60",4,IF(L42="F-90",5,0)))),0),0)+IF(AND(O42="FIRE TEX 5062",OR(E42="IN",E42="C",E42="Z",E42="L"),J42=3),VLOOKUP(_xlfn.MINIFS('FIRE TEX 5062'!$B$4:$B$34,'FIRE TEX 5062'!$B$4:$B$34,"&gt;="&amp;M42),'FIRE TEX 5062'!$B$4:$F$34,IF(L42="F-15",2,IF(L42="F-30",3,IF(L42="F-60",4,IF(L42="F-90",5,0)))),0),0)+IF(AND(O42="FIRE TEX 5062",OR(E42="IN",E42="C",E42="Z",E42="L"),J42=4),VLOOKUP(_xlfn.MINIFS('FIRE TEX 5062'!$G$4:$G$34,'FIRE TEX 5062'!$G$4:$G$34,"&gt;="&amp;M42),'FIRE TEX 5062'!$G$4:$K$34,IF(L42="F-15",2,IF(L42="F-30",3,IF(L42="F-60",4,IF(L42="F-90",5,0)))),0),0)+IF(AND(O42="FIRE TEX 5062",E42="CJ",J42=3),VLOOKUP(_xlfn.MINIFS('FIRE TEX 5062'!$L$4:$L$34,'FIRE TEX 5062'!$L$4:$L$34,"&gt;="&amp;M42),'FIRE TEX 5062'!$L$4:$P$34,IF(L42="F-15",2,IF(L42="F-30",3,IF(L42="F-60",4,IF(L42="F-90",5,0)))),0),0)+IF(AND(O42="FIRE TEX 5062",E42="CJ",J42=4),VLOOKUP(_xlfn.MINIFS('FIRE TEX 5062'!$Q$3:$Q$34,'FIRE TEX 5062'!$Q$3:$Q$34,"&gt;="&amp;M42),'FIRE TEX 5062'!$Q$3:$U$34,IF(L42="F-15",2,IF(L42="F-30",3,IF(L42="F-60",4,IF(L42="F-90",5,0)))),0),0)+IF(AND(O42="FIRE TEX 5090",OR(E42="IN",E42="C",E42="Z",E42="L"),J42=3),VLOOKUP(_xlfn.MINIFS('FIRE TEX 5090'!$B$5:$B$43,'FIRE TEX 5090'!$B$5:$B$43,"&gt;="&amp;M42),'FIRE TEX 5090'!$B$5:$H$43,IF(L42="F-15",2,IF(L42="F-30",3,IF(L42="F-60",4,IF(L42="F-90",5,IF(L42="F-120",6,IF(L42="F-150",7,0)))))),0),0)+IF(AND(O42="FIRE TEX 5090",OR(E42="IN",E42="C",E42="Z",E42="L"),J42=4),VLOOKUP(_xlfn.MINIFS('FIRE TEX 5090'!$J$5:$J$43,'FIRE TEX 5090'!$J$5:$J$43,"&gt;="&amp;M42),'FIRE TEX 5090'!$J$5:$P$43,IF(L42="F-15",2,IF(L42="F-30",3,IF(L42="F-60",4,IF(L42="F-90",5,IF(L42="F-120",6,IF(L42="F-150",7,0)))))),0),0)+IF(AND(O42="FIRE TEX 5090",E42="CJ",J42=3),VLOOKUP(_xlfn.MINIFS('FIRE TEX 5090'!$R$5:$R$30,'FIRE TEX 5090'!$R$5:$R$30,"&gt;="&amp;M42),'FIRE TEX 5090'!$R$5:$W$30,IF(L42="F-15",2,IF(L42="F-30",3,IF(L42="F-60",4,IF(L42="F-90",5,IF(L42="F-120",6,IF(L42="F-150",7,0)))))),0),0)+IF(AND(O42="FIRE TEX 5090",E42="CJ",J42=4),VLOOKUP(_xlfn.MINIFS('FIRE TEX 5090'!$Y$5:$Y$39,'FIRE TEX 5090'!$Y$5:$Y$39,"&gt;="&amp;M42),'FIRE TEX 5090'!$Y$5:$AD$39,IF(L42="F-15",2,IF(L42="F-30",3,IF(L42="F-60",4,IF(L42="F-90",5,IF(L42="F-120",6,IF(L42="F-150",7,0)))))),0),0)+IF(AND(O42="FIRE TEX 5120",OR(E42="IN",E42="C",E42="Z",E42="L"),J42=3),VLOOKUP(_xlfn.MINIFS('FIRE TEX 5120'!$B$5:$B$40,'FIRE TEX 5120'!$B$5:$B$40,"&gt;="&amp;M42),'FIRE TEX 5120'!$B$5:$G$40,IF(L42="F-15",2,IF(L42="F-30",3,IF(L42="F-60",4,IF(L42="F-90",5,IF(L42="F-120",6,0))))),0),0)+IF(AND(O42="FIRE TEX 5120",OR(E42="IN",E42="C",E42="Z",E42="L"),J42=4),VLOOKUP(_xlfn.MINIFS('FIRE TEX 5120'!$H$4:$H$40,'FIRE TEX 5120'!$H$4:$H$40,"&gt;="&amp;M42),'FIRE TEX 5120'!$H$4:$M$40,IF(L42="F-15",2,IF(L42="F-30",3,IF(L42="F-60",4,IF(L42="F-90",5,IF(L42="F-120",6,0))))),0),0)+IF(AND(O42="FIRE TEX 5120",E42="CJ"),VLOOKUP(_xlfn.MINIFS('FIRE TEX 5120'!$O$5:$O$40,'FIRE TEX 5120'!$O$5:$O$40,"&gt;="&amp;M42),'FIRE TEX 5120'!$O$5:$T$40,IF(L42="F-15",2,IF(L42="F-30",3,IF(L42="F-60",4,IF(L42="F-90",5,IF(L42="F-120",6,0))))),0),0)</f>
        <v>1930</v>
      </c>
      <c r="Q42" s="46">
        <f t="shared" si="0"/>
        <v>75.984099999999998</v>
      </c>
      <c r="R42" s="46">
        <f t="shared" si="5"/>
        <v>4.5601645607436296</v>
      </c>
      <c r="S42" s="46">
        <f t="shared" si="2"/>
        <v>1.052593593073593</v>
      </c>
      <c r="T42" s="677">
        <f t="shared" si="3"/>
        <v>0</v>
      </c>
      <c r="U42" s="80">
        <f>(IF(O42="Stofire",(S42*#REF!),0))+(IF(O42="Fire Control",(S42*$U$2),0))+(IF(O42="Fire Tex",(S42*$U$3),0))+(IF(O42="WB7",(S42*#REF!),0)+(IF(O42="FX 2003",(S42*$U$5),0)))</f>
        <v>0</v>
      </c>
      <c r="V42" s="651">
        <f t="shared" ref="V42:V54" si="7">_xlfn.CEILING.MATH(M42,10)</f>
        <v>200</v>
      </c>
      <c r="W42" s="4"/>
      <c r="X42" s="21"/>
      <c r="Y42" s="21"/>
      <c r="Z42" s="21"/>
    </row>
    <row r="43" spans="1:26" x14ac:dyDescent="0.25">
      <c r="A43" s="652" t="s">
        <v>414</v>
      </c>
      <c r="B43" s="653" t="s">
        <v>415</v>
      </c>
      <c r="C43" s="1" t="s">
        <v>408</v>
      </c>
      <c r="D43" s="118" t="str">
        <f>+CUBICACION!D42</f>
        <v>PILAR</v>
      </c>
      <c r="E43" s="118" t="str">
        <f>+CUBICACION!F42</f>
        <v>CJ</v>
      </c>
      <c r="F43" s="118" t="str">
        <f>+CUBICACION!E42</f>
        <v>150X150X5</v>
      </c>
      <c r="G43" s="118">
        <v>12</v>
      </c>
      <c r="H43" s="118">
        <v>2</v>
      </c>
      <c r="I43" s="820">
        <v>26385</v>
      </c>
      <c r="J43" s="118">
        <f>+CUBICACION!J42</f>
        <v>4</v>
      </c>
      <c r="K43" s="118">
        <v>2817</v>
      </c>
      <c r="L43" s="118" t="str">
        <f>+CUBICACION!L42</f>
        <v>F-60</v>
      </c>
      <c r="M43" s="64">
        <f>+CUBICACION!M42</f>
        <v>200</v>
      </c>
      <c r="N43" s="824">
        <f>+CUBICACION!N42</f>
        <v>4.5</v>
      </c>
      <c r="O43" s="675" t="str">
        <f>+CUBICACION!O42</f>
        <v>Fire Tex 5090</v>
      </c>
      <c r="P43" s="15">
        <f>IF(O43="Fire Control",VLOOKUP(_xlfn.MINIFS('FIRE CONTROL'!$C$4:$C$37,'FIRE CONTROL'!$C$4:$C$37,"&gt;="&amp;M43),'FIRE CONTROL'!$C$4:$G$37,IF(L43="F-15",2,IF(L43="F-30",3,IF(L43="F-60",4,IF(L43="F-90",5,0)))),0),0)+IF(AND(O43="FIRE TEX 5062",OR(E43="IN",E43="C",E43="Z",E43="L"),J43=3),VLOOKUP(_xlfn.MINIFS('FIRE TEX 5062'!$B$4:$B$34,'FIRE TEX 5062'!$B$4:$B$34,"&gt;="&amp;M43),'FIRE TEX 5062'!$B$4:$F$34,IF(L43="F-15",2,IF(L43="F-30",3,IF(L43="F-60",4,IF(L43="F-90",5,0)))),0),0)+IF(AND(O43="FIRE TEX 5062",OR(E43="IN",E43="C",E43="Z",E43="L"),J43=4),VLOOKUP(_xlfn.MINIFS('FIRE TEX 5062'!$G$4:$G$34,'FIRE TEX 5062'!$G$4:$G$34,"&gt;="&amp;M43),'FIRE TEX 5062'!$G$4:$K$34,IF(L43="F-15",2,IF(L43="F-30",3,IF(L43="F-60",4,IF(L43="F-90",5,0)))),0),0)+IF(AND(O43="FIRE TEX 5062",E43="CJ",J43=3),VLOOKUP(_xlfn.MINIFS('FIRE TEX 5062'!$L$4:$L$34,'FIRE TEX 5062'!$L$4:$L$34,"&gt;="&amp;M43),'FIRE TEX 5062'!$L$4:$P$34,IF(L43="F-15",2,IF(L43="F-30",3,IF(L43="F-60",4,IF(L43="F-90",5,0)))),0),0)+IF(AND(O43="FIRE TEX 5062",E43="CJ",J43=4),VLOOKUP(_xlfn.MINIFS('FIRE TEX 5062'!$Q$3:$Q$34,'FIRE TEX 5062'!$Q$3:$Q$34,"&gt;="&amp;M43),'FIRE TEX 5062'!$Q$3:$U$34,IF(L43="F-15",2,IF(L43="F-30",3,IF(L43="F-60",4,IF(L43="F-90",5,0)))),0),0)+IF(AND(O43="FIRE TEX 5090",OR(E43="IN",E43="C",E43="Z",E43="L"),J43=3),VLOOKUP(_xlfn.MINIFS('FIRE TEX 5090'!$B$5:$B$43,'FIRE TEX 5090'!$B$5:$B$43,"&gt;="&amp;M43),'FIRE TEX 5090'!$B$5:$H$43,IF(L43="F-15",2,IF(L43="F-30",3,IF(L43="F-60",4,IF(L43="F-90",5,IF(L43="F-120",6,IF(L43="F-150",7,0)))))),0),0)+IF(AND(O43="FIRE TEX 5090",OR(E43="IN",E43="C",E43="Z",E43="L"),J43=4),VLOOKUP(_xlfn.MINIFS('FIRE TEX 5090'!$J$5:$J$43,'FIRE TEX 5090'!$J$5:$J$43,"&gt;="&amp;M43),'FIRE TEX 5090'!$J$5:$P$43,IF(L43="F-15",2,IF(L43="F-30",3,IF(L43="F-60",4,IF(L43="F-90",5,IF(L43="F-120",6,IF(L43="F-150",7,0)))))),0),0)+IF(AND(O43="FIRE TEX 5090",E43="CJ",J43=3),VLOOKUP(_xlfn.MINIFS('FIRE TEX 5090'!$R$5:$R$30,'FIRE TEX 5090'!$R$5:$R$30,"&gt;="&amp;M43),'FIRE TEX 5090'!$R$5:$W$30,IF(L43="F-15",2,IF(L43="F-30",3,IF(L43="F-60",4,IF(L43="F-90",5,IF(L43="F-120",6,IF(L43="F-150",7,0)))))),0),0)+IF(AND(O43="FIRE TEX 5090",E43="CJ",J43=4),VLOOKUP(_xlfn.MINIFS('FIRE TEX 5090'!$Y$5:$Y$39,'FIRE TEX 5090'!$Y$5:$Y$39,"&gt;="&amp;M43),'FIRE TEX 5090'!$Y$5:$AD$39,IF(L43="F-15",2,IF(L43="F-30",3,IF(L43="F-60",4,IF(L43="F-90",5,IF(L43="F-120",6,IF(L43="F-150",7,0)))))),0),0)+IF(AND(O43="FIRE TEX 5120",OR(E43="IN",E43="C",E43="Z",E43="L"),J43=3),VLOOKUP(_xlfn.MINIFS('FIRE TEX 5120'!$B$5:$B$40,'FIRE TEX 5120'!$B$5:$B$40,"&gt;="&amp;M43),'FIRE TEX 5120'!$B$5:$G$40,IF(L43="F-15",2,IF(L43="F-30",3,IF(L43="F-60",4,IF(L43="F-90",5,IF(L43="F-120",6,0))))),0),0)+IF(AND(O43="FIRE TEX 5120",OR(E43="IN",E43="C",E43="Z",E43="L"),J43=4),VLOOKUP(_xlfn.MINIFS('FIRE TEX 5120'!$H$4:$H$40,'FIRE TEX 5120'!$H$4:$H$40,"&gt;="&amp;M43),'FIRE TEX 5120'!$H$4:$M$40,IF(L43="F-15",2,IF(L43="F-30",3,IF(L43="F-60",4,IF(L43="F-90",5,IF(L43="F-120",6,0))))),0),0)+IF(AND(O43="FIRE TEX 5120",E43="CJ"),VLOOKUP(_xlfn.MINIFS('FIRE TEX 5120'!$O$5:$O$40,'FIRE TEX 5120'!$O$5:$O$40,"&gt;="&amp;M43),'FIRE TEX 5120'!$O$5:$T$40,IF(L43="F-15",2,IF(L43="F-30",3,IF(L43="F-60",4,IF(L43="F-90",5,IF(L43="F-120",6,0))))),0),0)</f>
        <v>1930</v>
      </c>
      <c r="Q43" s="46">
        <f t="shared" si="0"/>
        <v>75.984099999999998</v>
      </c>
      <c r="R43" s="46">
        <f t="shared" si="5"/>
        <v>4.5601645607436296</v>
      </c>
      <c r="S43" s="46">
        <f t="shared" si="2"/>
        <v>0.98680649350649341</v>
      </c>
      <c r="T43" s="677">
        <f t="shared" si="3"/>
        <v>0</v>
      </c>
      <c r="U43" s="80">
        <f>(IF(O43="Stofire",(S43*#REF!),0))+(IF(O43="Fire Control",(S43*$U$2),0))+(IF(O43="Fire Tex",(S43*$U$3),0))+(IF(O43="WB7",(S43*#REF!),0)+(IF(O43="FX 2003",(S43*$U$5),0)))</f>
        <v>0</v>
      </c>
      <c r="V43" s="651">
        <f t="shared" si="7"/>
        <v>200</v>
      </c>
      <c r="W43" s="4"/>
      <c r="X43" s="21"/>
      <c r="Y43" s="21"/>
      <c r="Z43" s="21"/>
    </row>
    <row r="44" spans="1:26" x14ac:dyDescent="0.25">
      <c r="A44" s="652" t="s">
        <v>417</v>
      </c>
      <c r="B44" s="653" t="s">
        <v>415</v>
      </c>
      <c r="C44" s="1" t="s">
        <v>408</v>
      </c>
      <c r="D44" s="118" t="str">
        <f>+CUBICACION!D43</f>
        <v>PILAR</v>
      </c>
      <c r="E44" s="118" t="str">
        <f>+CUBICACION!F43</f>
        <v>CJ</v>
      </c>
      <c r="F44" s="118" t="str">
        <f>+CUBICACION!E43</f>
        <v>150X150X5</v>
      </c>
      <c r="G44" s="118">
        <v>12</v>
      </c>
      <c r="H44" s="118">
        <v>2</v>
      </c>
      <c r="I44" s="820">
        <v>26385</v>
      </c>
      <c r="J44" s="118">
        <f>+CUBICACION!J43</f>
        <v>4</v>
      </c>
      <c r="K44" s="118">
        <v>2818</v>
      </c>
      <c r="L44" s="118" t="str">
        <f>+CUBICACION!L43</f>
        <v>F-60</v>
      </c>
      <c r="M44" s="64">
        <f>+CUBICACION!M43</f>
        <v>200</v>
      </c>
      <c r="N44" s="824">
        <f>+CUBICACION!N43</f>
        <v>3.9</v>
      </c>
      <c r="O44" s="675" t="str">
        <f>+CUBICACION!O43</f>
        <v>Fire Tex 5090</v>
      </c>
      <c r="P44" s="15">
        <f>IF(O44="Fire Control",VLOOKUP(_xlfn.MINIFS('FIRE CONTROL'!$C$4:$C$37,'FIRE CONTROL'!$C$4:$C$37,"&gt;="&amp;M44),'FIRE CONTROL'!$C$4:$G$37,IF(L44="F-15",2,IF(L44="F-30",3,IF(L44="F-60",4,IF(L44="F-90",5,0)))),0),0)+IF(AND(O44="FIRE TEX 5062",OR(E44="IN",E44="C",E44="Z",E44="L"),J44=3),VLOOKUP(_xlfn.MINIFS('FIRE TEX 5062'!$B$4:$B$34,'FIRE TEX 5062'!$B$4:$B$34,"&gt;="&amp;M44),'FIRE TEX 5062'!$B$4:$F$34,IF(L44="F-15",2,IF(L44="F-30",3,IF(L44="F-60",4,IF(L44="F-90",5,0)))),0),0)+IF(AND(O44="FIRE TEX 5062",OR(E44="IN",E44="C",E44="Z",E44="L"),J44=4),VLOOKUP(_xlfn.MINIFS('FIRE TEX 5062'!$G$4:$G$34,'FIRE TEX 5062'!$G$4:$G$34,"&gt;="&amp;M44),'FIRE TEX 5062'!$G$4:$K$34,IF(L44="F-15",2,IF(L44="F-30",3,IF(L44="F-60",4,IF(L44="F-90",5,0)))),0),0)+IF(AND(O44="FIRE TEX 5062",E44="CJ",J44=3),VLOOKUP(_xlfn.MINIFS('FIRE TEX 5062'!$L$4:$L$34,'FIRE TEX 5062'!$L$4:$L$34,"&gt;="&amp;M44),'FIRE TEX 5062'!$L$4:$P$34,IF(L44="F-15",2,IF(L44="F-30",3,IF(L44="F-60",4,IF(L44="F-90",5,0)))),0),0)+IF(AND(O44="FIRE TEX 5062",E44="CJ",J44=4),VLOOKUP(_xlfn.MINIFS('FIRE TEX 5062'!$Q$3:$Q$34,'FIRE TEX 5062'!$Q$3:$Q$34,"&gt;="&amp;M44),'FIRE TEX 5062'!$Q$3:$U$34,IF(L44="F-15",2,IF(L44="F-30",3,IF(L44="F-60",4,IF(L44="F-90",5,0)))),0),0)+IF(AND(O44="FIRE TEX 5090",OR(E44="IN",E44="C",E44="Z",E44="L"),J44=3),VLOOKUP(_xlfn.MINIFS('FIRE TEX 5090'!$B$5:$B$43,'FIRE TEX 5090'!$B$5:$B$43,"&gt;="&amp;M44),'FIRE TEX 5090'!$B$5:$H$43,IF(L44="F-15",2,IF(L44="F-30",3,IF(L44="F-60",4,IF(L44="F-90",5,IF(L44="F-120",6,IF(L44="F-150",7,0)))))),0),0)+IF(AND(O44="FIRE TEX 5090",OR(E44="IN",E44="C",E44="Z",E44="L"),J44=4),VLOOKUP(_xlfn.MINIFS('FIRE TEX 5090'!$J$5:$J$43,'FIRE TEX 5090'!$J$5:$J$43,"&gt;="&amp;M44),'FIRE TEX 5090'!$J$5:$P$43,IF(L44="F-15",2,IF(L44="F-30",3,IF(L44="F-60",4,IF(L44="F-90",5,IF(L44="F-120",6,IF(L44="F-150",7,0)))))),0),0)+IF(AND(O44="FIRE TEX 5090",E44="CJ",J44=3),VLOOKUP(_xlfn.MINIFS('FIRE TEX 5090'!$R$5:$R$30,'FIRE TEX 5090'!$R$5:$R$30,"&gt;="&amp;M44),'FIRE TEX 5090'!$R$5:$W$30,IF(L44="F-15",2,IF(L44="F-30",3,IF(L44="F-60",4,IF(L44="F-90",5,IF(L44="F-120",6,IF(L44="F-150",7,0)))))),0),0)+IF(AND(O44="FIRE TEX 5090",E44="CJ",J44=4),VLOOKUP(_xlfn.MINIFS('FIRE TEX 5090'!$Y$5:$Y$39,'FIRE TEX 5090'!$Y$5:$Y$39,"&gt;="&amp;M44),'FIRE TEX 5090'!$Y$5:$AD$39,IF(L44="F-15",2,IF(L44="F-30",3,IF(L44="F-60",4,IF(L44="F-90",5,IF(L44="F-120",6,IF(L44="F-150",7,0)))))),0),0)+IF(AND(O44="FIRE TEX 5120",OR(E44="IN",E44="C",E44="Z",E44="L"),J44=3),VLOOKUP(_xlfn.MINIFS('FIRE TEX 5120'!$B$5:$B$40,'FIRE TEX 5120'!$B$5:$B$40,"&gt;="&amp;M44),'FIRE TEX 5120'!$B$5:$G$40,IF(L44="F-15",2,IF(L44="F-30",3,IF(L44="F-60",4,IF(L44="F-90",5,IF(L44="F-120",6,0))))),0),0)+IF(AND(O44="FIRE TEX 5120",OR(E44="IN",E44="C",E44="Z",E44="L"),J44=4),VLOOKUP(_xlfn.MINIFS('FIRE TEX 5120'!$H$4:$H$40,'FIRE TEX 5120'!$H$4:$H$40,"&gt;="&amp;M44),'FIRE TEX 5120'!$H$4:$M$40,IF(L44="F-15",2,IF(L44="F-30",3,IF(L44="F-60",4,IF(L44="F-90",5,IF(L44="F-120",6,0))))),0),0)+IF(AND(O44="FIRE TEX 5120",E44="CJ"),VLOOKUP(_xlfn.MINIFS('FIRE TEX 5120'!$O$5:$O$40,'FIRE TEX 5120'!$O$5:$O$40,"&gt;="&amp;M44),'FIRE TEX 5120'!$O$5:$T$40,IF(L44="F-15",2,IF(L44="F-30",3,IF(L44="F-60",4,IF(L44="F-90",5,IF(L44="F-120",6,0))))),0),0)</f>
        <v>1930</v>
      </c>
      <c r="Q44" s="46">
        <f t="shared" si="0"/>
        <v>75.984099999999998</v>
      </c>
      <c r="R44" s="46">
        <f t="shared" si="5"/>
        <v>4.5601645607436296</v>
      </c>
      <c r="S44" s="46">
        <f t="shared" si="2"/>
        <v>0.85523229437229431</v>
      </c>
      <c r="T44" s="677">
        <f t="shared" si="3"/>
        <v>0</v>
      </c>
      <c r="U44" s="80">
        <f>(IF(O44="Stofire",(S44*#REF!),0))+(IF(O44="Fire Control",(S44*$U$2),0))+(IF(O44="Fire Tex",(S44*$U$3),0))+(IF(O44="WB7",(S44*#REF!),0)+(IF(O44="FX 2003",(S44*$U$5),0)))</f>
        <v>0</v>
      </c>
      <c r="V44" s="651">
        <f t="shared" si="7"/>
        <v>200</v>
      </c>
      <c r="W44" s="4"/>
      <c r="X44" s="21"/>
      <c r="Y44" s="21"/>
      <c r="Z44" s="21"/>
    </row>
    <row r="45" spans="1:26" x14ac:dyDescent="0.25">
      <c r="A45" s="652" t="s">
        <v>419</v>
      </c>
      <c r="B45" s="653" t="s">
        <v>415</v>
      </c>
      <c r="C45" s="1" t="s">
        <v>408</v>
      </c>
      <c r="D45" s="118">
        <f>+CUBICACION!D44</f>
        <v>0</v>
      </c>
      <c r="E45" s="118">
        <f>+CUBICACION!F44</f>
        <v>0</v>
      </c>
      <c r="F45" s="118">
        <f>+CUBICACION!E44</f>
        <v>0</v>
      </c>
      <c r="G45" s="118">
        <v>12</v>
      </c>
      <c r="H45" s="118">
        <v>2</v>
      </c>
      <c r="I45" s="820">
        <v>26385</v>
      </c>
      <c r="J45" s="118">
        <f>+CUBICACION!J44</f>
        <v>4</v>
      </c>
      <c r="K45" s="118">
        <v>2819</v>
      </c>
      <c r="L45" s="118">
        <f>+CUBICACION!L44</f>
        <v>0</v>
      </c>
      <c r="M45" s="64">
        <f>+CUBICACION!M44</f>
        <v>0</v>
      </c>
      <c r="N45" s="824">
        <f>+CUBICACION!N44</f>
        <v>0</v>
      </c>
      <c r="O45" s="675">
        <f>+CUBICACION!O44</f>
        <v>0</v>
      </c>
      <c r="P45" s="15">
        <f>IF(O45="Fire Control",VLOOKUP(_xlfn.MINIFS('FIRE CONTROL'!$C$4:$C$37,'FIRE CONTROL'!$C$4:$C$37,"&gt;="&amp;M45),'FIRE CONTROL'!$C$4:$G$37,IF(L45="F-15",2,IF(L45="F-30",3,IF(L45="F-60",4,IF(L45="F-90",5,0)))),0),0)+IF(AND(O45="FIRE TEX 5062",OR(E45="IN",E45="C",E45="Z",E45="L"),J45=3),VLOOKUP(_xlfn.MINIFS('FIRE TEX 5062'!$B$4:$B$34,'FIRE TEX 5062'!$B$4:$B$34,"&gt;="&amp;M45),'FIRE TEX 5062'!$B$4:$F$34,IF(L45="F-15",2,IF(L45="F-30",3,IF(L45="F-60",4,IF(L45="F-90",5,0)))),0),0)+IF(AND(O45="FIRE TEX 5062",OR(E45="IN",E45="C",E45="Z",E45="L"),J45=4),VLOOKUP(_xlfn.MINIFS('FIRE TEX 5062'!$G$4:$G$34,'FIRE TEX 5062'!$G$4:$G$34,"&gt;="&amp;M45),'FIRE TEX 5062'!$G$4:$K$34,IF(L45="F-15",2,IF(L45="F-30",3,IF(L45="F-60",4,IF(L45="F-90",5,0)))),0),0)+IF(AND(O45="FIRE TEX 5062",E45="CJ",J45=3),VLOOKUP(_xlfn.MINIFS('FIRE TEX 5062'!$L$4:$L$34,'FIRE TEX 5062'!$L$4:$L$34,"&gt;="&amp;M45),'FIRE TEX 5062'!$L$4:$P$34,IF(L45="F-15",2,IF(L45="F-30",3,IF(L45="F-60",4,IF(L45="F-90",5,0)))),0),0)+IF(AND(O45="FIRE TEX 5062",E45="CJ",J45=4),VLOOKUP(_xlfn.MINIFS('FIRE TEX 5062'!$Q$3:$Q$34,'FIRE TEX 5062'!$Q$3:$Q$34,"&gt;="&amp;M45),'FIRE TEX 5062'!$Q$3:$U$34,IF(L45="F-15",2,IF(L45="F-30",3,IF(L45="F-60",4,IF(L45="F-90",5,0)))),0),0)+IF(AND(O45="FIRE TEX 5090",OR(E45="IN",E45="C",E45="Z",E45="L"),J45=3),VLOOKUP(_xlfn.MINIFS('FIRE TEX 5090'!$B$5:$B$43,'FIRE TEX 5090'!$B$5:$B$43,"&gt;="&amp;M45),'FIRE TEX 5090'!$B$5:$H$43,IF(L45="F-15",2,IF(L45="F-30",3,IF(L45="F-60",4,IF(L45="F-90",5,IF(L45="F-120",6,IF(L45="F-150",7,0)))))),0),0)+IF(AND(O45="FIRE TEX 5090",OR(E45="IN",E45="C",E45="Z",E45="L"),J45=4),VLOOKUP(_xlfn.MINIFS('FIRE TEX 5090'!$J$5:$J$43,'FIRE TEX 5090'!$J$5:$J$43,"&gt;="&amp;M45),'FIRE TEX 5090'!$J$5:$P$43,IF(L45="F-15",2,IF(L45="F-30",3,IF(L45="F-60",4,IF(L45="F-90",5,IF(L45="F-120",6,IF(L45="F-150",7,0)))))),0),0)+IF(AND(O45="FIRE TEX 5090",E45="CJ",J45=3),VLOOKUP(_xlfn.MINIFS('FIRE TEX 5090'!$R$5:$R$30,'FIRE TEX 5090'!$R$5:$R$30,"&gt;="&amp;M45),'FIRE TEX 5090'!$R$5:$W$30,IF(L45="F-15",2,IF(L45="F-30",3,IF(L45="F-60",4,IF(L45="F-90",5,IF(L45="F-120",6,IF(L45="F-150",7,0)))))),0),0)+IF(AND(O45="FIRE TEX 5090",E45="CJ",J45=4),VLOOKUP(_xlfn.MINIFS('FIRE TEX 5090'!$Y$5:$Y$39,'FIRE TEX 5090'!$Y$5:$Y$39,"&gt;="&amp;M45),'FIRE TEX 5090'!$Y$5:$AD$39,IF(L45="F-15",2,IF(L45="F-30",3,IF(L45="F-60",4,IF(L45="F-90",5,IF(L45="F-120",6,IF(L45="F-150",7,0)))))),0),0)+IF(AND(O45="FIRE TEX 5120",OR(E45="IN",E45="C",E45="Z",E45="L"),J45=3),VLOOKUP(_xlfn.MINIFS('FIRE TEX 5120'!$B$5:$B$40,'FIRE TEX 5120'!$B$5:$B$40,"&gt;="&amp;M45),'FIRE TEX 5120'!$B$5:$G$40,IF(L45="F-15",2,IF(L45="F-30",3,IF(L45="F-60",4,IF(L45="F-90",5,IF(L45="F-120",6,0))))),0),0)+IF(AND(O45="FIRE TEX 5120",OR(E45="IN",E45="C",E45="Z",E45="L"),J45=4),VLOOKUP(_xlfn.MINIFS('FIRE TEX 5120'!$H$4:$H$40,'FIRE TEX 5120'!$H$4:$H$40,"&gt;="&amp;M45),'FIRE TEX 5120'!$H$4:$M$40,IF(L45="F-15",2,IF(L45="F-30",3,IF(L45="F-60",4,IF(L45="F-90",5,IF(L45="F-120",6,0))))),0),0)+IF(AND(O45="FIRE TEX 5120",E45="CJ"),VLOOKUP(_xlfn.MINIFS('FIRE TEX 5120'!$O$5:$O$40,'FIRE TEX 5120'!$O$5:$O$40,"&gt;="&amp;M45),'FIRE TEX 5120'!$O$5:$T$40,IF(L45="F-15",2,IF(L45="F-30",3,IF(L45="F-60",4,IF(L45="F-90",5,IF(L45="F-120",6,0))))),0),0)</f>
        <v>0</v>
      </c>
      <c r="Q45" s="46">
        <f t="shared" si="0"/>
        <v>0</v>
      </c>
      <c r="R45" s="46">
        <f t="shared" si="5"/>
        <v>0</v>
      </c>
      <c r="S45" s="46" t="e">
        <f t="shared" si="2"/>
        <v>#DIV/0!</v>
      </c>
      <c r="T45" s="677">
        <f t="shared" si="3"/>
        <v>0</v>
      </c>
      <c r="U45" s="80">
        <f>(IF(O45="Stofire",(S45*#REF!),0))+(IF(O45="Fire Control",(S45*$U$2),0))+(IF(O45="Fire Tex",(S45*$U$3),0))+(IF(O45="WB7",(S45*#REF!),0)+(IF(O45="FX 2003",(S45*$U$5),0)))</f>
        <v>0</v>
      </c>
      <c r="V45" s="651">
        <f t="shared" si="7"/>
        <v>0</v>
      </c>
      <c r="W45" s="4"/>
      <c r="X45" s="21"/>
      <c r="Y45" s="21"/>
      <c r="Z45" s="21"/>
    </row>
    <row r="46" spans="1:26" x14ac:dyDescent="0.25">
      <c r="A46" s="652" t="s">
        <v>421</v>
      </c>
      <c r="B46" s="653" t="s">
        <v>422</v>
      </c>
      <c r="C46" s="1" t="s">
        <v>423</v>
      </c>
      <c r="D46" s="118">
        <f>+CUBICACION!D45</f>
        <v>0</v>
      </c>
      <c r="E46" s="118">
        <f>+CUBICACION!F45</f>
        <v>0</v>
      </c>
      <c r="F46" s="118">
        <f>+CUBICACION!E45</f>
        <v>0</v>
      </c>
      <c r="G46" s="118">
        <v>12</v>
      </c>
      <c r="H46" s="118">
        <v>2</v>
      </c>
      <c r="I46" s="820">
        <v>26385</v>
      </c>
      <c r="J46" s="118">
        <f>+CUBICACION!J45</f>
        <v>4</v>
      </c>
      <c r="K46" s="118">
        <v>2820</v>
      </c>
      <c r="L46" s="118">
        <f>+CUBICACION!L45</f>
        <v>0</v>
      </c>
      <c r="M46" s="64">
        <f>+CUBICACION!M45</f>
        <v>0</v>
      </c>
      <c r="N46" s="824">
        <f>+CUBICACION!N45</f>
        <v>0</v>
      </c>
      <c r="O46" s="675">
        <f>+CUBICACION!O45</f>
        <v>0</v>
      </c>
      <c r="P46" s="15">
        <f>IF(O46="Fire Control",VLOOKUP(_xlfn.MINIFS('FIRE CONTROL'!$C$4:$C$37,'FIRE CONTROL'!$C$4:$C$37,"&gt;="&amp;M46),'FIRE CONTROL'!$C$4:$G$37,IF(L46="F-15",2,IF(L46="F-30",3,IF(L46="F-60",4,IF(L46="F-90",5,0)))),0),0)+IF(AND(O46="FIRE TEX 5062",OR(E46="IN",E46="C",E46="Z",E46="L"),J46=3),VLOOKUP(_xlfn.MINIFS('FIRE TEX 5062'!$B$4:$B$34,'FIRE TEX 5062'!$B$4:$B$34,"&gt;="&amp;M46),'FIRE TEX 5062'!$B$4:$F$34,IF(L46="F-15",2,IF(L46="F-30",3,IF(L46="F-60",4,IF(L46="F-90",5,0)))),0),0)+IF(AND(O46="FIRE TEX 5062",OR(E46="IN",E46="C",E46="Z",E46="L"),J46=4),VLOOKUP(_xlfn.MINIFS('FIRE TEX 5062'!$G$4:$G$34,'FIRE TEX 5062'!$G$4:$G$34,"&gt;="&amp;M46),'FIRE TEX 5062'!$G$4:$K$34,IF(L46="F-15",2,IF(L46="F-30",3,IF(L46="F-60",4,IF(L46="F-90",5,0)))),0),0)+IF(AND(O46="FIRE TEX 5062",E46="CJ",J46=3),VLOOKUP(_xlfn.MINIFS('FIRE TEX 5062'!$L$4:$L$34,'FIRE TEX 5062'!$L$4:$L$34,"&gt;="&amp;M46),'FIRE TEX 5062'!$L$4:$P$34,IF(L46="F-15",2,IF(L46="F-30",3,IF(L46="F-60",4,IF(L46="F-90",5,0)))),0),0)+IF(AND(O46="FIRE TEX 5062",E46="CJ",J46=4),VLOOKUP(_xlfn.MINIFS('FIRE TEX 5062'!$Q$3:$Q$34,'FIRE TEX 5062'!$Q$3:$Q$34,"&gt;="&amp;M46),'FIRE TEX 5062'!$Q$3:$U$34,IF(L46="F-15",2,IF(L46="F-30",3,IF(L46="F-60",4,IF(L46="F-90",5,0)))),0),0)+IF(AND(O46="FIRE TEX 5090",OR(E46="IN",E46="C",E46="Z",E46="L"),J46=3),VLOOKUP(_xlfn.MINIFS('FIRE TEX 5090'!$B$5:$B$43,'FIRE TEX 5090'!$B$5:$B$43,"&gt;="&amp;M46),'FIRE TEX 5090'!$B$5:$H$43,IF(L46="F-15",2,IF(L46="F-30",3,IF(L46="F-60",4,IF(L46="F-90",5,IF(L46="F-120",6,IF(L46="F-150",7,0)))))),0),0)+IF(AND(O46="FIRE TEX 5090",OR(E46="IN",E46="C",E46="Z",E46="L"),J46=4),VLOOKUP(_xlfn.MINIFS('FIRE TEX 5090'!$J$5:$J$43,'FIRE TEX 5090'!$J$5:$J$43,"&gt;="&amp;M46),'FIRE TEX 5090'!$J$5:$P$43,IF(L46="F-15",2,IF(L46="F-30",3,IF(L46="F-60",4,IF(L46="F-90",5,IF(L46="F-120",6,IF(L46="F-150",7,0)))))),0),0)+IF(AND(O46="FIRE TEX 5090",E46="CJ",J46=3),VLOOKUP(_xlfn.MINIFS('FIRE TEX 5090'!$R$5:$R$30,'FIRE TEX 5090'!$R$5:$R$30,"&gt;="&amp;M46),'FIRE TEX 5090'!$R$5:$W$30,IF(L46="F-15",2,IF(L46="F-30",3,IF(L46="F-60",4,IF(L46="F-90",5,IF(L46="F-120",6,IF(L46="F-150",7,0)))))),0),0)+IF(AND(O46="FIRE TEX 5090",E46="CJ",J46=4),VLOOKUP(_xlfn.MINIFS('FIRE TEX 5090'!$Y$5:$Y$39,'FIRE TEX 5090'!$Y$5:$Y$39,"&gt;="&amp;M46),'FIRE TEX 5090'!$Y$5:$AD$39,IF(L46="F-15",2,IF(L46="F-30",3,IF(L46="F-60",4,IF(L46="F-90",5,IF(L46="F-120",6,IF(L46="F-150",7,0)))))),0),0)+IF(AND(O46="FIRE TEX 5120",OR(E46="IN",E46="C",E46="Z",E46="L"),J46=3),VLOOKUP(_xlfn.MINIFS('FIRE TEX 5120'!$B$5:$B$40,'FIRE TEX 5120'!$B$5:$B$40,"&gt;="&amp;M46),'FIRE TEX 5120'!$B$5:$G$40,IF(L46="F-15",2,IF(L46="F-30",3,IF(L46="F-60",4,IF(L46="F-90",5,IF(L46="F-120",6,0))))),0),0)+IF(AND(O46="FIRE TEX 5120",OR(E46="IN",E46="C",E46="Z",E46="L"),J46=4),VLOOKUP(_xlfn.MINIFS('FIRE TEX 5120'!$H$4:$H$40,'FIRE TEX 5120'!$H$4:$H$40,"&gt;="&amp;M46),'FIRE TEX 5120'!$H$4:$M$40,IF(L46="F-15",2,IF(L46="F-30",3,IF(L46="F-60",4,IF(L46="F-90",5,IF(L46="F-120",6,0))))),0),0)+IF(AND(O46="FIRE TEX 5120",E46="CJ"),VLOOKUP(_xlfn.MINIFS('FIRE TEX 5120'!$O$5:$O$40,'FIRE TEX 5120'!$O$5:$O$40,"&gt;="&amp;M46),'FIRE TEX 5120'!$O$5:$T$40,IF(L46="F-15",2,IF(L46="F-30",3,IF(L46="F-60",4,IF(L46="F-90",5,IF(L46="F-120",6,0))))),0),0)</f>
        <v>0</v>
      </c>
      <c r="Q46" s="46">
        <f t="shared" si="0"/>
        <v>0</v>
      </c>
      <c r="R46" s="46">
        <f t="shared" si="5"/>
        <v>0</v>
      </c>
      <c r="S46" s="46" t="e">
        <f t="shared" si="2"/>
        <v>#DIV/0!</v>
      </c>
      <c r="T46" s="677">
        <f t="shared" si="3"/>
        <v>0</v>
      </c>
      <c r="U46" s="80">
        <f>(IF(O46="Stofire",(S46*#REF!),0))+(IF(O46="Fire Control",(S46*$U$2),0))+(IF(O46="Fire Tex",(S46*$U$3),0))+(IF(O46="WB7",(S46*#REF!),0)+(IF(O46="FX 2003",(S46*$U$5),0)))</f>
        <v>0</v>
      </c>
      <c r="V46" s="651">
        <f t="shared" si="7"/>
        <v>0</v>
      </c>
      <c r="W46" s="4"/>
      <c r="X46" s="21"/>
      <c r="Y46" s="21"/>
      <c r="Z46" s="21"/>
    </row>
    <row r="47" spans="1:26" x14ac:dyDescent="0.25">
      <c r="A47" s="652" t="s">
        <v>425</v>
      </c>
      <c r="B47" s="653" t="s">
        <v>426</v>
      </c>
      <c r="C47" s="1" t="s">
        <v>427</v>
      </c>
      <c r="D47" s="118" t="str">
        <f>+CUBICACION!D46</f>
        <v>COSTANERA</v>
      </c>
      <c r="E47" s="118" t="str">
        <f>+CUBICACION!F46</f>
        <v>C</v>
      </c>
      <c r="F47" s="118" t="str">
        <f>+CUBICACION!E46</f>
        <v>125X50X15X2</v>
      </c>
      <c r="G47" s="118">
        <v>12</v>
      </c>
      <c r="H47" s="118">
        <v>2</v>
      </c>
      <c r="I47" s="820">
        <v>26385</v>
      </c>
      <c r="J47" s="118">
        <f>+CUBICACION!J46</f>
        <v>3</v>
      </c>
      <c r="K47" s="118">
        <v>2821</v>
      </c>
      <c r="L47" s="118">
        <f>+CUBICACION!L46</f>
        <v>60</v>
      </c>
      <c r="M47" s="64">
        <f>+CUBICACION!M46</f>
        <v>1057</v>
      </c>
      <c r="N47" s="824">
        <f>+CUBICACION!N46</f>
        <v>849.77200000000005</v>
      </c>
      <c r="O47" s="675" t="str">
        <f>+CUBICACION!O46</f>
        <v>Blaze Shield II</v>
      </c>
      <c r="P47" s="15">
        <f>IF(O47="Fire Control",VLOOKUP(_xlfn.MINIFS('FIRE CONTROL'!$C$4:$C$37,'FIRE CONTROL'!$C$4:$C$37,"&gt;="&amp;M47),'FIRE CONTROL'!$C$4:$G$37,IF(L47="F-15",2,IF(L47="F-30",3,IF(L47="F-60",4,IF(L47="F-90",5,0)))),0),0)+IF(AND(O47="FIRE TEX 5062",OR(E47="IN",E47="C",E47="Z",E47="L"),J47=3),VLOOKUP(_xlfn.MINIFS('FIRE TEX 5062'!$B$4:$B$34,'FIRE TEX 5062'!$B$4:$B$34,"&gt;="&amp;M47),'FIRE TEX 5062'!$B$4:$F$34,IF(L47="F-15",2,IF(L47="F-30",3,IF(L47="F-60",4,IF(L47="F-90",5,0)))),0),0)+IF(AND(O47="FIRE TEX 5062",OR(E47="IN",E47="C",E47="Z",E47="L"),J47=4),VLOOKUP(_xlfn.MINIFS('FIRE TEX 5062'!$G$4:$G$34,'FIRE TEX 5062'!$G$4:$G$34,"&gt;="&amp;M47),'FIRE TEX 5062'!$G$4:$K$34,IF(L47="F-15",2,IF(L47="F-30",3,IF(L47="F-60",4,IF(L47="F-90",5,0)))),0),0)+IF(AND(O47="FIRE TEX 5062",E47="CJ",J47=3),VLOOKUP(_xlfn.MINIFS('FIRE TEX 5062'!$L$4:$L$34,'FIRE TEX 5062'!$L$4:$L$34,"&gt;="&amp;M47),'FIRE TEX 5062'!$L$4:$P$34,IF(L47="F-15",2,IF(L47="F-30",3,IF(L47="F-60",4,IF(L47="F-90",5,0)))),0),0)+IF(AND(O47="FIRE TEX 5062",E47="CJ",J47=4),VLOOKUP(_xlfn.MINIFS('FIRE TEX 5062'!$Q$3:$Q$34,'FIRE TEX 5062'!$Q$3:$Q$34,"&gt;="&amp;M47),'FIRE TEX 5062'!$Q$3:$U$34,IF(L47="F-15",2,IF(L47="F-30",3,IF(L47="F-60",4,IF(L47="F-90",5,0)))),0),0)+IF(AND(O47="FIRE TEX 5090",OR(E47="IN",E47="C",E47="Z",E47="L"),J47=3),VLOOKUP(_xlfn.MINIFS('FIRE TEX 5090'!$B$5:$B$43,'FIRE TEX 5090'!$B$5:$B$43,"&gt;="&amp;M47),'FIRE TEX 5090'!$B$5:$H$43,IF(L47="F-15",2,IF(L47="F-30",3,IF(L47="F-60",4,IF(L47="F-90",5,IF(L47="F-120",6,IF(L47="F-150",7,0)))))),0),0)+IF(AND(O47="FIRE TEX 5090",OR(E47="IN",E47="C",E47="Z",E47="L"),J47=4),VLOOKUP(_xlfn.MINIFS('FIRE TEX 5090'!$J$5:$J$43,'FIRE TEX 5090'!$J$5:$J$43,"&gt;="&amp;M47),'FIRE TEX 5090'!$J$5:$P$43,IF(L47="F-15",2,IF(L47="F-30",3,IF(L47="F-60",4,IF(L47="F-90",5,IF(L47="F-120",6,IF(L47="F-150",7,0)))))),0),0)+IF(AND(O47="FIRE TEX 5090",E47="CJ",J47=3),VLOOKUP(_xlfn.MINIFS('FIRE TEX 5090'!$R$5:$R$30,'FIRE TEX 5090'!$R$5:$R$30,"&gt;="&amp;M47),'FIRE TEX 5090'!$R$5:$W$30,IF(L47="F-15",2,IF(L47="F-30",3,IF(L47="F-60",4,IF(L47="F-90",5,IF(L47="F-120",6,IF(L47="F-150",7,0)))))),0),0)+IF(AND(O47="FIRE TEX 5090",E47="CJ",J47=4),VLOOKUP(_xlfn.MINIFS('FIRE TEX 5090'!$Y$5:$Y$39,'FIRE TEX 5090'!$Y$5:$Y$39,"&gt;="&amp;M47),'FIRE TEX 5090'!$Y$5:$AD$39,IF(L47="F-15",2,IF(L47="F-30",3,IF(L47="F-60",4,IF(L47="F-90",5,IF(L47="F-120",6,IF(L47="F-150",7,0)))))),0),0)+IF(AND(O47="FIRE TEX 5120",OR(E47="IN",E47="C",E47="Z",E47="L"),J47=3),VLOOKUP(_xlfn.MINIFS('FIRE TEX 5120'!$B$5:$B$40,'FIRE TEX 5120'!$B$5:$B$40,"&gt;="&amp;M47),'FIRE TEX 5120'!$B$5:$G$40,IF(L47="F-15",2,IF(L47="F-30",3,IF(L47="F-60",4,IF(L47="F-90",5,IF(L47="F-120",6,0))))),0),0)+IF(AND(O47="FIRE TEX 5120",OR(E47="IN",E47="C",E47="Z",E47="L"),J47=4),VLOOKUP(_xlfn.MINIFS('FIRE TEX 5120'!$H$4:$H$40,'FIRE TEX 5120'!$H$4:$H$40,"&gt;="&amp;M47),'FIRE TEX 5120'!$H$4:$M$40,IF(L47="F-15",2,IF(L47="F-30",3,IF(L47="F-60",4,IF(L47="F-90",5,IF(L47="F-120",6,0))))),0),0)+IF(AND(O47="FIRE TEX 5120",E47="CJ"),VLOOKUP(_xlfn.MINIFS('FIRE TEX 5120'!$O$5:$O$40,'FIRE TEX 5120'!$O$5:$O$40,"&gt;="&amp;M47),'FIRE TEX 5120'!$O$5:$T$40,IF(L47="F-15",2,IF(L47="F-30",3,IF(L47="F-60",4,IF(L47="F-90",5,IF(L47="F-120",6,0))))),0),0)</f>
        <v>0</v>
      </c>
      <c r="Q47" s="46">
        <f t="shared" si="0"/>
        <v>0</v>
      </c>
      <c r="R47" s="46">
        <f t="shared" si="5"/>
        <v>0</v>
      </c>
      <c r="S47" s="46" t="e">
        <f t="shared" si="2"/>
        <v>#DIV/0!</v>
      </c>
      <c r="T47" s="677">
        <f t="shared" si="3"/>
        <v>0</v>
      </c>
      <c r="U47" s="80">
        <f>(IF(O47="Stofire",(S47*#REF!),0))+(IF(O47="Fire Control",(S47*$U$2),0))+(IF(O47="Fire Tex",(S47*$U$3),0))+(IF(O47="WB7",(S47*#REF!),0)+(IF(O47="FX 2003",(S47*$U$5),0)))</f>
        <v>0</v>
      </c>
      <c r="V47" s="651">
        <f t="shared" si="7"/>
        <v>1060</v>
      </c>
      <c r="W47" s="4"/>
      <c r="X47" s="21"/>
      <c r="Y47" s="21"/>
      <c r="Z47" s="21"/>
    </row>
    <row r="48" spans="1:26" x14ac:dyDescent="0.25">
      <c r="A48" s="652" t="s">
        <v>429</v>
      </c>
      <c r="B48" s="653" t="s">
        <v>430</v>
      </c>
      <c r="C48" s="1" t="s">
        <v>431</v>
      </c>
      <c r="D48" s="118" t="str">
        <f>+CUBICACION!D47</f>
        <v>VIGA</v>
      </c>
      <c r="E48" s="118" t="str">
        <f>+CUBICACION!F47</f>
        <v>CJ</v>
      </c>
      <c r="F48" s="118" t="str">
        <f>+CUBICACION!E47</f>
        <v>100X100X3</v>
      </c>
      <c r="G48" s="118">
        <v>12</v>
      </c>
      <c r="H48" s="118">
        <v>2</v>
      </c>
      <c r="I48" s="820">
        <v>26385</v>
      </c>
      <c r="J48" s="118">
        <f>+CUBICACION!J47</f>
        <v>4</v>
      </c>
      <c r="K48" s="118">
        <v>2822</v>
      </c>
      <c r="L48" s="118" t="str">
        <f>+CUBICACION!L47</f>
        <v>F-60</v>
      </c>
      <c r="M48" s="64">
        <f>+CUBICACION!M47</f>
        <v>333</v>
      </c>
      <c r="N48" s="824">
        <f>+CUBICACION!N47</f>
        <v>11.683999999999999</v>
      </c>
      <c r="O48" s="675" t="str">
        <f>+CUBICACION!O47</f>
        <v>Fire Tex 5090</v>
      </c>
      <c r="P48" s="15">
        <f>IF(O48="Fire Control",VLOOKUP(_xlfn.MINIFS('FIRE CONTROL'!$C$4:$C$37,'FIRE CONTROL'!$C$4:$C$37,"&gt;="&amp;M48),'FIRE CONTROL'!$C$4:$G$37,IF(L48="F-15",2,IF(L48="F-30",3,IF(L48="F-60",4,IF(L48="F-90",5,0)))),0),0)+IF(AND(O48="FIRE TEX 5062",OR(E48="IN",E48="C",E48="Z",E48="L"),J48=3),VLOOKUP(_xlfn.MINIFS('FIRE TEX 5062'!$B$4:$B$34,'FIRE TEX 5062'!$B$4:$B$34,"&gt;="&amp;M48),'FIRE TEX 5062'!$B$4:$F$34,IF(L48="F-15",2,IF(L48="F-30",3,IF(L48="F-60",4,IF(L48="F-90",5,0)))),0),0)+IF(AND(O48="FIRE TEX 5062",OR(E48="IN",E48="C",E48="Z",E48="L"),J48=4),VLOOKUP(_xlfn.MINIFS('FIRE TEX 5062'!$G$4:$G$34,'FIRE TEX 5062'!$G$4:$G$34,"&gt;="&amp;M48),'FIRE TEX 5062'!$G$4:$K$34,IF(L48="F-15",2,IF(L48="F-30",3,IF(L48="F-60",4,IF(L48="F-90",5,0)))),0),0)+IF(AND(O48="FIRE TEX 5062",E48="CJ",J48=3),VLOOKUP(_xlfn.MINIFS('FIRE TEX 5062'!$L$4:$L$34,'FIRE TEX 5062'!$L$4:$L$34,"&gt;="&amp;M48),'FIRE TEX 5062'!$L$4:$P$34,IF(L48="F-15",2,IF(L48="F-30",3,IF(L48="F-60",4,IF(L48="F-90",5,0)))),0),0)+IF(AND(O48="FIRE TEX 5062",E48="CJ",J48=4),VLOOKUP(_xlfn.MINIFS('FIRE TEX 5062'!$Q$3:$Q$34,'FIRE TEX 5062'!$Q$3:$Q$34,"&gt;="&amp;M48),'FIRE TEX 5062'!$Q$3:$U$34,IF(L48="F-15",2,IF(L48="F-30",3,IF(L48="F-60",4,IF(L48="F-90",5,0)))),0),0)+IF(AND(O48="FIRE TEX 5090",OR(E48="IN",E48="C",E48="Z",E48="L"),J48=3),VLOOKUP(_xlfn.MINIFS('FIRE TEX 5090'!$B$5:$B$43,'FIRE TEX 5090'!$B$5:$B$43,"&gt;="&amp;M48),'FIRE TEX 5090'!$B$5:$H$43,IF(L48="F-15",2,IF(L48="F-30",3,IF(L48="F-60",4,IF(L48="F-90",5,IF(L48="F-120",6,IF(L48="F-150",7,0)))))),0),0)+IF(AND(O48="FIRE TEX 5090",OR(E48="IN",E48="C",E48="Z",E48="L"),J48=4),VLOOKUP(_xlfn.MINIFS('FIRE TEX 5090'!$J$5:$J$43,'FIRE TEX 5090'!$J$5:$J$43,"&gt;="&amp;M48),'FIRE TEX 5090'!$J$5:$P$43,IF(L48="F-15",2,IF(L48="F-30",3,IF(L48="F-60",4,IF(L48="F-90",5,IF(L48="F-120",6,IF(L48="F-150",7,0)))))),0),0)+IF(AND(O48="FIRE TEX 5090",E48="CJ",J48=3),VLOOKUP(_xlfn.MINIFS('FIRE TEX 5090'!$R$5:$R$30,'FIRE TEX 5090'!$R$5:$R$30,"&gt;="&amp;M48),'FIRE TEX 5090'!$R$5:$W$30,IF(L48="F-15",2,IF(L48="F-30",3,IF(L48="F-60",4,IF(L48="F-90",5,IF(L48="F-120",6,IF(L48="F-150",7,0)))))),0),0)+IF(AND(O48="FIRE TEX 5090",E48="CJ",J48=4),VLOOKUP(_xlfn.MINIFS('FIRE TEX 5090'!$Y$5:$Y$39,'FIRE TEX 5090'!$Y$5:$Y$39,"&gt;="&amp;M48),'FIRE TEX 5090'!$Y$5:$AD$39,IF(L48="F-15",2,IF(L48="F-30",3,IF(L48="F-60",4,IF(L48="F-90",5,IF(L48="F-120",6,IF(L48="F-150",7,0)))))),0),0)+IF(AND(O48="FIRE TEX 5120",OR(E48="IN",E48="C",E48="Z",E48="L"),J48=3),VLOOKUP(_xlfn.MINIFS('FIRE TEX 5120'!$B$5:$B$40,'FIRE TEX 5120'!$B$5:$B$40,"&gt;="&amp;M48),'FIRE TEX 5120'!$B$5:$G$40,IF(L48="F-15",2,IF(L48="F-30",3,IF(L48="F-60",4,IF(L48="F-90",5,IF(L48="F-120",6,0))))),0),0)+IF(AND(O48="FIRE TEX 5120",OR(E48="IN",E48="C",E48="Z",E48="L"),J48=4),VLOOKUP(_xlfn.MINIFS('FIRE TEX 5120'!$H$4:$H$40,'FIRE TEX 5120'!$H$4:$H$40,"&gt;="&amp;M48),'FIRE TEX 5120'!$H$4:$M$40,IF(L48="F-15",2,IF(L48="F-30",3,IF(L48="F-60",4,IF(L48="F-90",5,IF(L48="F-120",6,0))))),0),0)+IF(AND(O48="FIRE TEX 5120",E48="CJ"),VLOOKUP(_xlfn.MINIFS('FIRE TEX 5120'!$O$5:$O$40,'FIRE TEX 5120'!$O$5:$O$40,"&gt;="&amp;M48),'FIRE TEX 5120'!$O$5:$T$40,IF(L48="F-15",2,IF(L48="F-30",3,IF(L48="F-60",4,IF(L48="F-90",5,IF(L48="F-120",6,0))))),0),0)</f>
        <v>2828</v>
      </c>
      <c r="Q48" s="46">
        <f t="shared" si="0"/>
        <v>111.33836000000001</v>
      </c>
      <c r="R48" s="46">
        <f t="shared" si="5"/>
        <v>3.1121349371411613</v>
      </c>
      <c r="S48" s="46">
        <f t="shared" si="2"/>
        <v>3.7543359256565654</v>
      </c>
      <c r="T48" s="677">
        <f t="shared" si="3"/>
        <v>0</v>
      </c>
      <c r="U48" s="80">
        <f>(IF(O48="Stofire",(S48*#REF!),0))+(IF(O48="Fire Control",(S48*$U$2),0))+(IF(O48="Fire Tex",(S48*$U$3),0))+(IF(O48="WB7",(S48*#REF!),0)+(IF(O48="FX 2003",(S48*$U$5),0)))</f>
        <v>0</v>
      </c>
      <c r="V48" s="651">
        <f t="shared" si="7"/>
        <v>340</v>
      </c>
      <c r="W48" s="4"/>
      <c r="X48" s="21"/>
      <c r="Y48" s="21"/>
      <c r="Z48" s="21"/>
    </row>
    <row r="49" spans="1:26" x14ac:dyDescent="0.25">
      <c r="A49" s="652" t="s">
        <v>429</v>
      </c>
      <c r="B49" s="653" t="s">
        <v>430</v>
      </c>
      <c r="C49" s="1" t="s">
        <v>433</v>
      </c>
      <c r="D49" s="118" t="str">
        <f>+CUBICACION!D48</f>
        <v>PILAR</v>
      </c>
      <c r="E49" s="118" t="str">
        <f>+CUBICACION!F48</f>
        <v>CJ</v>
      </c>
      <c r="F49" s="118" t="str">
        <f>+CUBICACION!E48</f>
        <v>MM 400X200X4</v>
      </c>
      <c r="G49" s="118">
        <v>12</v>
      </c>
      <c r="H49" s="118">
        <v>2</v>
      </c>
      <c r="I49" s="820">
        <v>26385</v>
      </c>
      <c r="J49" s="118">
        <f>+CUBICACION!J48</f>
        <v>4</v>
      </c>
      <c r="K49" s="118">
        <v>2823</v>
      </c>
      <c r="L49" s="118" t="str">
        <f>+CUBICACION!L48</f>
        <v>F-60</v>
      </c>
      <c r="M49" s="64">
        <f>+CUBICACION!M48</f>
        <v>236</v>
      </c>
      <c r="N49" s="824">
        <f>+CUBICACION!N48</f>
        <v>50.4</v>
      </c>
      <c r="O49" s="675" t="str">
        <f>+CUBICACION!O48</f>
        <v>Fire Tex 5090</v>
      </c>
      <c r="P49" s="15">
        <f>IF(O49="Fire Control",VLOOKUP(_xlfn.MINIFS('FIRE CONTROL'!$C$4:$C$37,'FIRE CONTROL'!$C$4:$C$37,"&gt;="&amp;M49),'FIRE CONTROL'!$C$4:$G$37,IF(L49="F-15",2,IF(L49="F-30",3,IF(L49="F-60",4,IF(L49="F-90",5,0)))),0),0)+IF(AND(O49="FIRE TEX 5062",OR(E49="IN",E49="C",E49="Z",E49="L"),J49=3),VLOOKUP(_xlfn.MINIFS('FIRE TEX 5062'!$B$4:$B$34,'FIRE TEX 5062'!$B$4:$B$34,"&gt;="&amp;M49),'FIRE TEX 5062'!$B$4:$F$34,IF(L49="F-15",2,IF(L49="F-30",3,IF(L49="F-60",4,IF(L49="F-90",5,0)))),0),0)+IF(AND(O49="FIRE TEX 5062",OR(E49="IN",E49="C",E49="Z",E49="L"),J49=4),VLOOKUP(_xlfn.MINIFS('FIRE TEX 5062'!$G$4:$G$34,'FIRE TEX 5062'!$G$4:$G$34,"&gt;="&amp;M49),'FIRE TEX 5062'!$G$4:$K$34,IF(L49="F-15",2,IF(L49="F-30",3,IF(L49="F-60",4,IF(L49="F-90",5,0)))),0),0)+IF(AND(O49="FIRE TEX 5062",E49="CJ",J49=3),VLOOKUP(_xlfn.MINIFS('FIRE TEX 5062'!$L$4:$L$34,'FIRE TEX 5062'!$L$4:$L$34,"&gt;="&amp;M49),'FIRE TEX 5062'!$L$4:$P$34,IF(L49="F-15",2,IF(L49="F-30",3,IF(L49="F-60",4,IF(L49="F-90",5,0)))),0),0)+IF(AND(O49="FIRE TEX 5062",E49="CJ",J49=4),VLOOKUP(_xlfn.MINIFS('FIRE TEX 5062'!$Q$3:$Q$34,'FIRE TEX 5062'!$Q$3:$Q$34,"&gt;="&amp;M49),'FIRE TEX 5062'!$Q$3:$U$34,IF(L49="F-15",2,IF(L49="F-30",3,IF(L49="F-60",4,IF(L49="F-90",5,0)))),0),0)+IF(AND(O49="FIRE TEX 5090",OR(E49="IN",E49="C",E49="Z",E49="L"),J49=3),VLOOKUP(_xlfn.MINIFS('FIRE TEX 5090'!$B$5:$B$43,'FIRE TEX 5090'!$B$5:$B$43,"&gt;="&amp;M49),'FIRE TEX 5090'!$B$5:$H$43,IF(L49="F-15",2,IF(L49="F-30",3,IF(L49="F-60",4,IF(L49="F-90",5,IF(L49="F-120",6,IF(L49="F-150",7,0)))))),0),0)+IF(AND(O49="FIRE TEX 5090",OR(E49="IN",E49="C",E49="Z",E49="L"),J49=4),VLOOKUP(_xlfn.MINIFS('FIRE TEX 5090'!$J$5:$J$43,'FIRE TEX 5090'!$J$5:$J$43,"&gt;="&amp;M49),'FIRE TEX 5090'!$J$5:$P$43,IF(L49="F-15",2,IF(L49="F-30",3,IF(L49="F-60",4,IF(L49="F-90",5,IF(L49="F-120",6,IF(L49="F-150",7,0)))))),0),0)+IF(AND(O49="FIRE TEX 5090",E49="CJ",J49=3),VLOOKUP(_xlfn.MINIFS('FIRE TEX 5090'!$R$5:$R$30,'FIRE TEX 5090'!$R$5:$R$30,"&gt;="&amp;M49),'FIRE TEX 5090'!$R$5:$W$30,IF(L49="F-15",2,IF(L49="F-30",3,IF(L49="F-60",4,IF(L49="F-90",5,IF(L49="F-120",6,IF(L49="F-150",7,0)))))),0),0)+IF(AND(O49="FIRE TEX 5090",E49="CJ",J49=4),VLOOKUP(_xlfn.MINIFS('FIRE TEX 5090'!$Y$5:$Y$39,'FIRE TEX 5090'!$Y$5:$Y$39,"&gt;="&amp;M49),'FIRE TEX 5090'!$Y$5:$AD$39,IF(L49="F-15",2,IF(L49="F-30",3,IF(L49="F-60",4,IF(L49="F-90",5,IF(L49="F-120",6,IF(L49="F-150",7,0)))))),0),0)+IF(AND(O49="FIRE TEX 5120",OR(E49="IN",E49="C",E49="Z",E49="L"),J49=3),VLOOKUP(_xlfn.MINIFS('FIRE TEX 5120'!$B$5:$B$40,'FIRE TEX 5120'!$B$5:$B$40,"&gt;="&amp;M49),'FIRE TEX 5120'!$B$5:$G$40,IF(L49="F-15",2,IF(L49="F-30",3,IF(L49="F-60",4,IF(L49="F-90",5,IF(L49="F-120",6,0))))),0),0)+IF(AND(O49="FIRE TEX 5120",OR(E49="IN",E49="C",E49="Z",E49="L"),J49=4),VLOOKUP(_xlfn.MINIFS('FIRE TEX 5120'!$H$4:$H$40,'FIRE TEX 5120'!$H$4:$H$40,"&gt;="&amp;M49),'FIRE TEX 5120'!$H$4:$M$40,IF(L49="F-15",2,IF(L49="F-30",3,IF(L49="F-60",4,IF(L49="F-90",5,IF(L49="F-120",6,0))))),0),0)+IF(AND(O49="FIRE TEX 5120",E49="CJ"),VLOOKUP(_xlfn.MINIFS('FIRE TEX 5120'!$O$5:$O$40,'FIRE TEX 5120'!$O$5:$O$40,"&gt;="&amp;M49),'FIRE TEX 5120'!$O$5:$T$40,IF(L49="F-15",2,IF(L49="F-30",3,IF(L49="F-60",4,IF(L49="F-90",5,IF(L49="F-120",6,0))))),0),0)</f>
        <v>2196</v>
      </c>
      <c r="Q49" s="46">
        <f t="shared" si="0"/>
        <v>86.456520000000012</v>
      </c>
      <c r="R49" s="46">
        <f t="shared" si="5"/>
        <v>4.0077949008357026</v>
      </c>
      <c r="S49" s="46">
        <f t="shared" si="2"/>
        <v>12.575493818181821</v>
      </c>
      <c r="T49" s="677">
        <f t="shared" si="3"/>
        <v>0</v>
      </c>
      <c r="U49" s="80">
        <f>(IF(O49="Stofire",(S49*#REF!),0))+(IF(O49="Fire Control",(S49*$U$2),0))+(IF(O49="Fire Tex",(S49*$U$3),0))+(IF(O49="WB7",(S49*#REF!),0)+(IF(O49="FX 2003",(S49*$U$5),0)))</f>
        <v>0</v>
      </c>
      <c r="V49" s="651">
        <f t="shared" si="7"/>
        <v>240</v>
      </c>
      <c r="W49" s="4"/>
      <c r="X49" s="21"/>
      <c r="Y49" s="21"/>
      <c r="Z49" s="21"/>
    </row>
    <row r="50" spans="1:26" x14ac:dyDescent="0.25">
      <c r="A50" s="652" t="s">
        <v>429</v>
      </c>
      <c r="B50" s="653" t="s">
        <v>430</v>
      </c>
      <c r="C50" s="1" t="s">
        <v>435</v>
      </c>
      <c r="D50" s="118" t="str">
        <f>+CUBICACION!D49</f>
        <v>PILAR</v>
      </c>
      <c r="E50" s="118" t="str">
        <f>+CUBICACION!F49</f>
        <v>CJ</v>
      </c>
      <c r="F50" s="118" t="str">
        <f>+CUBICACION!E49</f>
        <v>150X150X5</v>
      </c>
      <c r="G50" s="118">
        <v>12</v>
      </c>
      <c r="H50" s="118">
        <v>2</v>
      </c>
      <c r="I50" s="820">
        <v>26385</v>
      </c>
      <c r="J50" s="118">
        <f>+CUBICACION!J49</f>
        <v>4</v>
      </c>
      <c r="K50" s="118">
        <v>2824</v>
      </c>
      <c r="L50" s="118" t="str">
        <f>+CUBICACION!L49</f>
        <v>F-60</v>
      </c>
      <c r="M50" s="64">
        <f>+CUBICACION!M49</f>
        <v>200</v>
      </c>
      <c r="N50" s="824">
        <f>+CUBICACION!N49</f>
        <v>4.8</v>
      </c>
      <c r="O50" s="675" t="str">
        <f>+CUBICACION!O49</f>
        <v>Fire Tex 5090</v>
      </c>
      <c r="P50" s="15">
        <f>IF(O50="Fire Control",VLOOKUP(_xlfn.MINIFS('FIRE CONTROL'!$C$4:$C$37,'FIRE CONTROL'!$C$4:$C$37,"&gt;="&amp;M50),'FIRE CONTROL'!$C$4:$G$37,IF(L50="F-15",2,IF(L50="F-30",3,IF(L50="F-60",4,IF(L50="F-90",5,0)))),0),0)+IF(AND(O50="FIRE TEX 5062",OR(E50="IN",E50="C",E50="Z",E50="L"),J50=3),VLOOKUP(_xlfn.MINIFS('FIRE TEX 5062'!$B$4:$B$34,'FIRE TEX 5062'!$B$4:$B$34,"&gt;="&amp;M50),'FIRE TEX 5062'!$B$4:$F$34,IF(L50="F-15",2,IF(L50="F-30",3,IF(L50="F-60",4,IF(L50="F-90",5,0)))),0),0)+IF(AND(O50="FIRE TEX 5062",OR(E50="IN",E50="C",E50="Z",E50="L"),J50=4),VLOOKUP(_xlfn.MINIFS('FIRE TEX 5062'!$G$4:$G$34,'FIRE TEX 5062'!$G$4:$G$34,"&gt;="&amp;M50),'FIRE TEX 5062'!$G$4:$K$34,IF(L50="F-15",2,IF(L50="F-30",3,IF(L50="F-60",4,IF(L50="F-90",5,0)))),0),0)+IF(AND(O50="FIRE TEX 5062",E50="CJ",J50=3),VLOOKUP(_xlfn.MINIFS('FIRE TEX 5062'!$L$4:$L$34,'FIRE TEX 5062'!$L$4:$L$34,"&gt;="&amp;M50),'FIRE TEX 5062'!$L$4:$P$34,IF(L50="F-15",2,IF(L50="F-30",3,IF(L50="F-60",4,IF(L50="F-90",5,0)))),0),0)+IF(AND(O50="FIRE TEX 5062",E50="CJ",J50=4),VLOOKUP(_xlfn.MINIFS('FIRE TEX 5062'!$Q$3:$Q$34,'FIRE TEX 5062'!$Q$3:$Q$34,"&gt;="&amp;M50),'FIRE TEX 5062'!$Q$3:$U$34,IF(L50="F-15",2,IF(L50="F-30",3,IF(L50="F-60",4,IF(L50="F-90",5,0)))),0),0)+IF(AND(O50="FIRE TEX 5090",OR(E50="IN",E50="C",E50="Z",E50="L"),J50=3),VLOOKUP(_xlfn.MINIFS('FIRE TEX 5090'!$B$5:$B$43,'FIRE TEX 5090'!$B$5:$B$43,"&gt;="&amp;M50),'FIRE TEX 5090'!$B$5:$H$43,IF(L50="F-15",2,IF(L50="F-30",3,IF(L50="F-60",4,IF(L50="F-90",5,IF(L50="F-120",6,IF(L50="F-150",7,0)))))),0),0)+IF(AND(O50="FIRE TEX 5090",OR(E50="IN",E50="C",E50="Z",E50="L"),J50=4),VLOOKUP(_xlfn.MINIFS('FIRE TEX 5090'!$J$5:$J$43,'FIRE TEX 5090'!$J$5:$J$43,"&gt;="&amp;M50),'FIRE TEX 5090'!$J$5:$P$43,IF(L50="F-15",2,IF(L50="F-30",3,IF(L50="F-60",4,IF(L50="F-90",5,IF(L50="F-120",6,IF(L50="F-150",7,0)))))),0),0)+IF(AND(O50="FIRE TEX 5090",E50="CJ",J50=3),VLOOKUP(_xlfn.MINIFS('FIRE TEX 5090'!$R$5:$R$30,'FIRE TEX 5090'!$R$5:$R$30,"&gt;="&amp;M50),'FIRE TEX 5090'!$R$5:$W$30,IF(L50="F-15",2,IF(L50="F-30",3,IF(L50="F-60",4,IF(L50="F-90",5,IF(L50="F-120",6,IF(L50="F-150",7,0)))))),0),0)+IF(AND(O50="FIRE TEX 5090",E50="CJ",J50=4),VLOOKUP(_xlfn.MINIFS('FIRE TEX 5090'!$Y$5:$Y$39,'FIRE TEX 5090'!$Y$5:$Y$39,"&gt;="&amp;M50),'FIRE TEX 5090'!$Y$5:$AD$39,IF(L50="F-15",2,IF(L50="F-30",3,IF(L50="F-60",4,IF(L50="F-90",5,IF(L50="F-120",6,IF(L50="F-150",7,0)))))),0),0)+IF(AND(O50="FIRE TEX 5120",OR(E50="IN",E50="C",E50="Z",E50="L"),J50=3),VLOOKUP(_xlfn.MINIFS('FIRE TEX 5120'!$B$5:$B$40,'FIRE TEX 5120'!$B$5:$B$40,"&gt;="&amp;M50),'FIRE TEX 5120'!$B$5:$G$40,IF(L50="F-15",2,IF(L50="F-30",3,IF(L50="F-60",4,IF(L50="F-90",5,IF(L50="F-120",6,0))))),0),0)+IF(AND(O50="FIRE TEX 5120",OR(E50="IN",E50="C",E50="Z",E50="L"),J50=4),VLOOKUP(_xlfn.MINIFS('FIRE TEX 5120'!$H$4:$H$40,'FIRE TEX 5120'!$H$4:$H$40,"&gt;="&amp;M50),'FIRE TEX 5120'!$H$4:$M$40,IF(L50="F-15",2,IF(L50="F-30",3,IF(L50="F-60",4,IF(L50="F-90",5,IF(L50="F-120",6,0))))),0),0)+IF(AND(O50="FIRE TEX 5120",E50="CJ"),VLOOKUP(_xlfn.MINIFS('FIRE TEX 5120'!$O$5:$O$40,'FIRE TEX 5120'!$O$5:$O$40,"&gt;="&amp;M50),'FIRE TEX 5120'!$O$5:$T$40,IF(L50="F-15",2,IF(L50="F-30",3,IF(L50="F-60",4,IF(L50="F-90",5,IF(L50="F-120",6,0))))),0),0)</f>
        <v>1930</v>
      </c>
      <c r="Q50" s="46">
        <f t="shared" si="0"/>
        <v>75.984099999999998</v>
      </c>
      <c r="R50" s="46">
        <f t="shared" si="5"/>
        <v>4.5601645607436296</v>
      </c>
      <c r="S50" s="46">
        <f t="shared" si="2"/>
        <v>1.052593593073593</v>
      </c>
      <c r="T50" s="677">
        <f t="shared" si="3"/>
        <v>0</v>
      </c>
      <c r="U50" s="80">
        <f>(IF(O50="Stofire",(S50*#REF!),0))+(IF(O50="Fire Control",(S50*$U$2),0))+(IF(O50="Fire Tex",(S50*$U$3),0))+(IF(O50="WB7",(S50*#REF!),0)+(IF(O50="FX 2003",(S50*$U$5),0)))</f>
        <v>0</v>
      </c>
      <c r="V50" s="651">
        <f t="shared" si="7"/>
        <v>200</v>
      </c>
      <c r="W50" s="4"/>
      <c r="X50" s="21"/>
      <c r="Y50" s="21"/>
      <c r="Z50" s="21"/>
    </row>
    <row r="51" spans="1:26" x14ac:dyDescent="0.25">
      <c r="A51" s="652" t="s">
        <v>429</v>
      </c>
      <c r="B51" s="653" t="s">
        <v>430</v>
      </c>
      <c r="C51" s="1" t="s">
        <v>437</v>
      </c>
      <c r="D51" s="118" t="str">
        <f>+CUBICACION!D50</f>
        <v>VIGA BAJO LOSA</v>
      </c>
      <c r="E51" s="118" t="str">
        <f>+CUBICACION!F50</f>
        <v>CJ</v>
      </c>
      <c r="F51" s="118" t="str">
        <f>+CUBICACION!E50</f>
        <v>200X100X8,5X5,6</v>
      </c>
      <c r="G51" s="118">
        <v>12</v>
      </c>
      <c r="H51" s="118">
        <v>2</v>
      </c>
      <c r="I51" s="820">
        <v>26385</v>
      </c>
      <c r="J51" s="118">
        <f>+CUBICACION!J50</f>
        <v>3</v>
      </c>
      <c r="K51" s="118">
        <v>2825</v>
      </c>
      <c r="L51" s="118">
        <f>+CUBICACION!L50</f>
        <v>60</v>
      </c>
      <c r="M51" s="64">
        <f>+CUBICACION!M50</f>
        <v>265</v>
      </c>
      <c r="N51" s="824">
        <f>+CUBICACION!N50</f>
        <v>21.118829999999999</v>
      </c>
      <c r="O51" s="675" t="str">
        <f>+CUBICACION!O50</f>
        <v>Blaze Shield II</v>
      </c>
      <c r="P51" s="15">
        <f>IF(O51="Fire Control",VLOOKUP(_xlfn.MINIFS('FIRE CONTROL'!$C$4:$C$37,'FIRE CONTROL'!$C$4:$C$37,"&gt;="&amp;M51),'FIRE CONTROL'!$C$4:$G$37,IF(L51="F-15",2,IF(L51="F-30",3,IF(L51="F-60",4,IF(L51="F-90",5,0)))),0),0)+IF(AND(O51="FIRE TEX 5062",OR(E51="IN",E51="C",E51="Z",E51="L"),J51=3),VLOOKUP(_xlfn.MINIFS('FIRE TEX 5062'!$B$4:$B$34,'FIRE TEX 5062'!$B$4:$B$34,"&gt;="&amp;M51),'FIRE TEX 5062'!$B$4:$F$34,IF(L51="F-15",2,IF(L51="F-30",3,IF(L51="F-60",4,IF(L51="F-90",5,0)))),0),0)+IF(AND(O51="FIRE TEX 5062",OR(E51="IN",E51="C",E51="Z",E51="L"),J51=4),VLOOKUP(_xlfn.MINIFS('FIRE TEX 5062'!$G$4:$G$34,'FIRE TEX 5062'!$G$4:$G$34,"&gt;="&amp;M51),'FIRE TEX 5062'!$G$4:$K$34,IF(L51="F-15",2,IF(L51="F-30",3,IF(L51="F-60",4,IF(L51="F-90",5,0)))),0),0)+IF(AND(O51="FIRE TEX 5062",E51="CJ",J51=3),VLOOKUP(_xlfn.MINIFS('FIRE TEX 5062'!$L$4:$L$34,'FIRE TEX 5062'!$L$4:$L$34,"&gt;="&amp;M51),'FIRE TEX 5062'!$L$4:$P$34,IF(L51="F-15",2,IF(L51="F-30",3,IF(L51="F-60",4,IF(L51="F-90",5,0)))),0),0)+IF(AND(O51="FIRE TEX 5062",E51="CJ",J51=4),VLOOKUP(_xlfn.MINIFS('FIRE TEX 5062'!$Q$3:$Q$34,'FIRE TEX 5062'!$Q$3:$Q$34,"&gt;="&amp;M51),'FIRE TEX 5062'!$Q$3:$U$34,IF(L51="F-15",2,IF(L51="F-30",3,IF(L51="F-60",4,IF(L51="F-90",5,0)))),0),0)+IF(AND(O51="FIRE TEX 5090",OR(E51="IN",E51="C",E51="Z",E51="L"),J51=3),VLOOKUP(_xlfn.MINIFS('FIRE TEX 5090'!$B$5:$B$43,'FIRE TEX 5090'!$B$5:$B$43,"&gt;="&amp;M51),'FIRE TEX 5090'!$B$5:$H$43,IF(L51="F-15",2,IF(L51="F-30",3,IF(L51="F-60",4,IF(L51="F-90",5,IF(L51="F-120",6,IF(L51="F-150",7,0)))))),0),0)+IF(AND(O51="FIRE TEX 5090",OR(E51="IN",E51="C",E51="Z",E51="L"),J51=4),VLOOKUP(_xlfn.MINIFS('FIRE TEX 5090'!$J$5:$J$43,'FIRE TEX 5090'!$J$5:$J$43,"&gt;="&amp;M51),'FIRE TEX 5090'!$J$5:$P$43,IF(L51="F-15",2,IF(L51="F-30",3,IF(L51="F-60",4,IF(L51="F-90",5,IF(L51="F-120",6,IF(L51="F-150",7,0)))))),0),0)+IF(AND(O51="FIRE TEX 5090",E51="CJ",J51=3),VLOOKUP(_xlfn.MINIFS('FIRE TEX 5090'!$R$5:$R$30,'FIRE TEX 5090'!$R$5:$R$30,"&gt;="&amp;M51),'FIRE TEX 5090'!$R$5:$W$30,IF(L51="F-15",2,IF(L51="F-30",3,IF(L51="F-60",4,IF(L51="F-90",5,IF(L51="F-120",6,IF(L51="F-150",7,0)))))),0),0)+IF(AND(O51="FIRE TEX 5090",E51="CJ",J51=4),VLOOKUP(_xlfn.MINIFS('FIRE TEX 5090'!$Y$5:$Y$39,'FIRE TEX 5090'!$Y$5:$Y$39,"&gt;="&amp;M51),'FIRE TEX 5090'!$Y$5:$AD$39,IF(L51="F-15",2,IF(L51="F-30",3,IF(L51="F-60",4,IF(L51="F-90",5,IF(L51="F-120",6,IF(L51="F-150",7,0)))))),0),0)+IF(AND(O51="FIRE TEX 5120",OR(E51="IN",E51="C",E51="Z",E51="L"),J51=3),VLOOKUP(_xlfn.MINIFS('FIRE TEX 5120'!$B$5:$B$40,'FIRE TEX 5120'!$B$5:$B$40,"&gt;="&amp;M51),'FIRE TEX 5120'!$B$5:$G$40,IF(L51="F-15",2,IF(L51="F-30",3,IF(L51="F-60",4,IF(L51="F-90",5,IF(L51="F-120",6,0))))),0),0)+IF(AND(O51="FIRE TEX 5120",OR(E51="IN",E51="C",E51="Z",E51="L"),J51=4),VLOOKUP(_xlfn.MINIFS('FIRE TEX 5120'!$H$4:$H$40,'FIRE TEX 5120'!$H$4:$H$40,"&gt;="&amp;M51),'FIRE TEX 5120'!$H$4:$M$40,IF(L51="F-15",2,IF(L51="F-30",3,IF(L51="F-60",4,IF(L51="F-90",5,IF(L51="F-120",6,0))))),0),0)+IF(AND(O51="FIRE TEX 5120",E51="CJ"),VLOOKUP(_xlfn.MINIFS('FIRE TEX 5120'!$O$5:$O$40,'FIRE TEX 5120'!$O$5:$O$40,"&gt;="&amp;M51),'FIRE TEX 5120'!$O$5:$T$40,IF(L51="F-15",2,IF(L51="F-30",3,IF(L51="F-60",4,IF(L51="F-90",5,IF(L51="F-120",6,0))))),0),0)</f>
        <v>0</v>
      </c>
      <c r="Q51" s="46">
        <f t="shared" si="0"/>
        <v>0</v>
      </c>
      <c r="R51" s="46">
        <f t="shared" si="5"/>
        <v>0</v>
      </c>
      <c r="S51" s="46" t="e">
        <f t="shared" si="2"/>
        <v>#DIV/0!</v>
      </c>
      <c r="T51" s="677">
        <f t="shared" si="3"/>
        <v>0</v>
      </c>
      <c r="U51" s="80">
        <f>(IF(O51="Stofire",(S51*#REF!),0))+(IF(O51="Fire Control",(S51*$U$2),0))+(IF(O51="Fire Tex",(S51*$U$3),0))+(IF(O51="WB7",(S51*#REF!),0)+(IF(O51="FX 2003",(S51*$U$5),0)))</f>
        <v>0</v>
      </c>
      <c r="V51" s="651">
        <f t="shared" si="7"/>
        <v>270</v>
      </c>
      <c r="W51" s="4"/>
      <c r="X51" s="21"/>
      <c r="Y51" s="21"/>
      <c r="Z51" s="21"/>
    </row>
    <row r="52" spans="1:26" x14ac:dyDescent="0.25">
      <c r="A52" s="652" t="s">
        <v>439</v>
      </c>
      <c r="B52" s="653" t="s">
        <v>430</v>
      </c>
      <c r="C52" s="1" t="s">
        <v>431</v>
      </c>
      <c r="D52" s="118" t="str">
        <f>+CUBICACION!D51</f>
        <v>ARRIOSTRAMINETO VERTICAL</v>
      </c>
      <c r="E52" s="118" t="str">
        <f>+CUBICACION!F51</f>
        <v>CJ</v>
      </c>
      <c r="F52" s="118" t="str">
        <f>+CUBICACION!E51</f>
        <v>100X100X3</v>
      </c>
      <c r="G52" s="118">
        <v>12</v>
      </c>
      <c r="H52" s="118">
        <v>2</v>
      </c>
      <c r="I52" s="820">
        <v>26385</v>
      </c>
      <c r="J52" s="118">
        <f>+CUBICACION!J51</f>
        <v>4</v>
      </c>
      <c r="K52" s="118">
        <v>2826</v>
      </c>
      <c r="L52" s="118" t="str">
        <f>+CUBICACION!L51</f>
        <v>F-60</v>
      </c>
      <c r="M52" s="64">
        <f>+CUBICACION!M51</f>
        <v>333</v>
      </c>
      <c r="N52" s="824">
        <f>+CUBICACION!N51</f>
        <v>10.72</v>
      </c>
      <c r="O52" s="675" t="str">
        <f>+CUBICACION!O51</f>
        <v>Fire Tex 5090</v>
      </c>
      <c r="P52" s="15">
        <f>IF(O52="Fire Control",VLOOKUP(_xlfn.MINIFS('FIRE CONTROL'!$C$4:$C$37,'FIRE CONTROL'!$C$4:$C$37,"&gt;="&amp;M52),'FIRE CONTROL'!$C$4:$G$37,IF(L52="F-15",2,IF(L52="F-30",3,IF(L52="F-60",4,IF(L52="F-90",5,0)))),0),0)+IF(AND(O52="FIRE TEX 5062",OR(E52="IN",E52="C",E52="Z",E52="L"),J52=3),VLOOKUP(_xlfn.MINIFS('FIRE TEX 5062'!$B$4:$B$34,'FIRE TEX 5062'!$B$4:$B$34,"&gt;="&amp;M52),'FIRE TEX 5062'!$B$4:$F$34,IF(L52="F-15",2,IF(L52="F-30",3,IF(L52="F-60",4,IF(L52="F-90",5,0)))),0),0)+IF(AND(O52="FIRE TEX 5062",OR(E52="IN",E52="C",E52="Z",E52="L"),J52=4),VLOOKUP(_xlfn.MINIFS('FIRE TEX 5062'!$G$4:$G$34,'FIRE TEX 5062'!$G$4:$G$34,"&gt;="&amp;M52),'FIRE TEX 5062'!$G$4:$K$34,IF(L52="F-15",2,IF(L52="F-30",3,IF(L52="F-60",4,IF(L52="F-90",5,0)))),0),0)+IF(AND(O52="FIRE TEX 5062",E52="CJ",J52=3),VLOOKUP(_xlfn.MINIFS('FIRE TEX 5062'!$L$4:$L$34,'FIRE TEX 5062'!$L$4:$L$34,"&gt;="&amp;M52),'FIRE TEX 5062'!$L$4:$P$34,IF(L52="F-15",2,IF(L52="F-30",3,IF(L52="F-60",4,IF(L52="F-90",5,0)))),0),0)+IF(AND(O52="FIRE TEX 5062",E52="CJ",J52=4),VLOOKUP(_xlfn.MINIFS('FIRE TEX 5062'!$Q$3:$Q$34,'FIRE TEX 5062'!$Q$3:$Q$34,"&gt;="&amp;M52),'FIRE TEX 5062'!$Q$3:$U$34,IF(L52="F-15",2,IF(L52="F-30",3,IF(L52="F-60",4,IF(L52="F-90",5,0)))),0),0)+IF(AND(O52="FIRE TEX 5090",OR(E52="IN",E52="C",E52="Z",E52="L"),J52=3),VLOOKUP(_xlfn.MINIFS('FIRE TEX 5090'!$B$5:$B$43,'FIRE TEX 5090'!$B$5:$B$43,"&gt;="&amp;M52),'FIRE TEX 5090'!$B$5:$H$43,IF(L52="F-15",2,IF(L52="F-30",3,IF(L52="F-60",4,IF(L52="F-90",5,IF(L52="F-120",6,IF(L52="F-150",7,0)))))),0),0)+IF(AND(O52="FIRE TEX 5090",OR(E52="IN",E52="C",E52="Z",E52="L"),J52=4),VLOOKUP(_xlfn.MINIFS('FIRE TEX 5090'!$J$5:$J$43,'FIRE TEX 5090'!$J$5:$J$43,"&gt;="&amp;M52),'FIRE TEX 5090'!$J$5:$P$43,IF(L52="F-15",2,IF(L52="F-30",3,IF(L52="F-60",4,IF(L52="F-90",5,IF(L52="F-120",6,IF(L52="F-150",7,0)))))),0),0)+IF(AND(O52="FIRE TEX 5090",E52="CJ",J52=3),VLOOKUP(_xlfn.MINIFS('FIRE TEX 5090'!$R$5:$R$30,'FIRE TEX 5090'!$R$5:$R$30,"&gt;="&amp;M52),'FIRE TEX 5090'!$R$5:$W$30,IF(L52="F-15",2,IF(L52="F-30",3,IF(L52="F-60",4,IF(L52="F-90",5,IF(L52="F-120",6,IF(L52="F-150",7,0)))))),0),0)+IF(AND(O52="FIRE TEX 5090",E52="CJ",J52=4),VLOOKUP(_xlfn.MINIFS('FIRE TEX 5090'!$Y$5:$Y$39,'FIRE TEX 5090'!$Y$5:$Y$39,"&gt;="&amp;M52),'FIRE TEX 5090'!$Y$5:$AD$39,IF(L52="F-15",2,IF(L52="F-30",3,IF(L52="F-60",4,IF(L52="F-90",5,IF(L52="F-120",6,IF(L52="F-150",7,0)))))),0),0)+IF(AND(O52="FIRE TEX 5120",OR(E52="IN",E52="C",E52="Z",E52="L"),J52=3),VLOOKUP(_xlfn.MINIFS('FIRE TEX 5120'!$B$5:$B$40,'FIRE TEX 5120'!$B$5:$B$40,"&gt;="&amp;M52),'FIRE TEX 5120'!$B$5:$G$40,IF(L52="F-15",2,IF(L52="F-30",3,IF(L52="F-60",4,IF(L52="F-90",5,IF(L52="F-120",6,0))))),0),0)+IF(AND(O52="FIRE TEX 5120",OR(E52="IN",E52="C",E52="Z",E52="L"),J52=4),VLOOKUP(_xlfn.MINIFS('FIRE TEX 5120'!$H$4:$H$40,'FIRE TEX 5120'!$H$4:$H$40,"&gt;="&amp;M52),'FIRE TEX 5120'!$H$4:$M$40,IF(L52="F-15",2,IF(L52="F-30",3,IF(L52="F-60",4,IF(L52="F-90",5,IF(L52="F-120",6,0))))),0),0)+IF(AND(O52="FIRE TEX 5120",E52="CJ"),VLOOKUP(_xlfn.MINIFS('FIRE TEX 5120'!$O$5:$O$40,'FIRE TEX 5120'!$O$5:$O$40,"&gt;="&amp;M52),'FIRE TEX 5120'!$O$5:$T$40,IF(L52="F-15",2,IF(L52="F-30",3,IF(L52="F-60",4,IF(L52="F-90",5,IF(L52="F-120",6,0))))),0),0)</f>
        <v>2828</v>
      </c>
      <c r="Q52" s="46">
        <f t="shared" si="0"/>
        <v>111.33836000000001</v>
      </c>
      <c r="R52" s="46">
        <f t="shared" si="5"/>
        <v>3.1121349371411613</v>
      </c>
      <c r="S52" s="46">
        <f t="shared" si="2"/>
        <v>3.4445807191919195</v>
      </c>
      <c r="T52" s="677">
        <f t="shared" si="3"/>
        <v>0</v>
      </c>
      <c r="U52" s="80">
        <f>(IF(O52="Stofire",(S52*#REF!),0))+(IF(O52="Fire Control",(S52*$U$2),0))+(IF(O52="Fire Tex",(S52*$U$3),0))+(IF(O52="WB7",(S52*#REF!),0)+(IF(O52="FX 2003",(S52*$U$5),0)))</f>
        <v>0</v>
      </c>
      <c r="V52" s="651">
        <f t="shared" si="7"/>
        <v>340</v>
      </c>
      <c r="W52" s="4"/>
    </row>
    <row r="53" spans="1:26" x14ac:dyDescent="0.25">
      <c r="A53" s="652" t="s">
        <v>439</v>
      </c>
      <c r="B53" s="653" t="s">
        <v>430</v>
      </c>
      <c r="C53" s="1" t="s">
        <v>435</v>
      </c>
      <c r="D53" s="118" t="str">
        <f>+CUBICACION!D52</f>
        <v>VIGA</v>
      </c>
      <c r="E53" s="118" t="str">
        <f>+CUBICACION!F52</f>
        <v>CJ</v>
      </c>
      <c r="F53" s="118" t="str">
        <f>+CUBICACION!E52</f>
        <v>200X100X4</v>
      </c>
      <c r="G53" s="118">
        <v>12</v>
      </c>
      <c r="H53" s="118">
        <v>2</v>
      </c>
      <c r="I53" s="820">
        <v>26385</v>
      </c>
      <c r="J53" s="118">
        <f>+CUBICACION!J52</f>
        <v>4</v>
      </c>
      <c r="K53" s="118">
        <v>2827</v>
      </c>
      <c r="L53" s="118" t="str">
        <f>+CUBICACION!L52</f>
        <v>F-60</v>
      </c>
      <c r="M53" s="64">
        <f>+CUBICACION!M52</f>
        <v>250</v>
      </c>
      <c r="N53" s="824">
        <f>+CUBICACION!N52</f>
        <v>1.2</v>
      </c>
      <c r="O53" s="675" t="str">
        <f>+CUBICACION!O52</f>
        <v>Fire Tex 5090</v>
      </c>
      <c r="P53" s="15">
        <f>IF(O53="Fire Control",VLOOKUP(_xlfn.MINIFS('FIRE CONTROL'!$C$4:$C$37,'FIRE CONTROL'!$C$4:$C$37,"&gt;="&amp;M53),'FIRE CONTROL'!$C$4:$G$37,IF(L53="F-15",2,IF(L53="F-30",3,IF(L53="F-60",4,IF(L53="F-90",5,0)))),0),0)+IF(AND(O53="FIRE TEX 5062",OR(E53="IN",E53="C",E53="Z",E53="L"),J53=3),VLOOKUP(_xlfn.MINIFS('FIRE TEX 5062'!$B$4:$B$34,'FIRE TEX 5062'!$B$4:$B$34,"&gt;="&amp;M53),'FIRE TEX 5062'!$B$4:$F$34,IF(L53="F-15",2,IF(L53="F-30",3,IF(L53="F-60",4,IF(L53="F-90",5,0)))),0),0)+IF(AND(O53="FIRE TEX 5062",OR(E53="IN",E53="C",E53="Z",E53="L"),J53=4),VLOOKUP(_xlfn.MINIFS('FIRE TEX 5062'!$G$4:$G$34,'FIRE TEX 5062'!$G$4:$G$34,"&gt;="&amp;M53),'FIRE TEX 5062'!$G$4:$K$34,IF(L53="F-15",2,IF(L53="F-30",3,IF(L53="F-60",4,IF(L53="F-90",5,0)))),0),0)+IF(AND(O53="FIRE TEX 5062",E53="CJ",J53=3),VLOOKUP(_xlfn.MINIFS('FIRE TEX 5062'!$L$4:$L$34,'FIRE TEX 5062'!$L$4:$L$34,"&gt;="&amp;M53),'FIRE TEX 5062'!$L$4:$P$34,IF(L53="F-15",2,IF(L53="F-30",3,IF(L53="F-60",4,IF(L53="F-90",5,0)))),0),0)+IF(AND(O53="FIRE TEX 5062",E53="CJ",J53=4),VLOOKUP(_xlfn.MINIFS('FIRE TEX 5062'!$Q$3:$Q$34,'FIRE TEX 5062'!$Q$3:$Q$34,"&gt;="&amp;M53),'FIRE TEX 5062'!$Q$3:$U$34,IF(L53="F-15",2,IF(L53="F-30",3,IF(L53="F-60",4,IF(L53="F-90",5,0)))),0),0)+IF(AND(O53="FIRE TEX 5090",OR(E53="IN",E53="C",E53="Z",E53="L"),J53=3),VLOOKUP(_xlfn.MINIFS('FIRE TEX 5090'!$B$5:$B$43,'FIRE TEX 5090'!$B$5:$B$43,"&gt;="&amp;M53),'FIRE TEX 5090'!$B$5:$H$43,IF(L53="F-15",2,IF(L53="F-30",3,IF(L53="F-60",4,IF(L53="F-90",5,IF(L53="F-120",6,IF(L53="F-150",7,0)))))),0),0)+IF(AND(O53="FIRE TEX 5090",OR(E53="IN",E53="C",E53="Z",E53="L"),J53=4),VLOOKUP(_xlfn.MINIFS('FIRE TEX 5090'!$J$5:$J$43,'FIRE TEX 5090'!$J$5:$J$43,"&gt;="&amp;M53),'FIRE TEX 5090'!$J$5:$P$43,IF(L53="F-15",2,IF(L53="F-30",3,IF(L53="F-60",4,IF(L53="F-90",5,IF(L53="F-120",6,IF(L53="F-150",7,0)))))),0),0)+IF(AND(O53="FIRE TEX 5090",E53="CJ",J53=3),VLOOKUP(_xlfn.MINIFS('FIRE TEX 5090'!$R$5:$R$30,'FIRE TEX 5090'!$R$5:$R$30,"&gt;="&amp;M53),'FIRE TEX 5090'!$R$5:$W$30,IF(L53="F-15",2,IF(L53="F-30",3,IF(L53="F-60",4,IF(L53="F-90",5,IF(L53="F-120",6,IF(L53="F-150",7,0)))))),0),0)+IF(AND(O53="FIRE TEX 5090",E53="CJ",J53=4),VLOOKUP(_xlfn.MINIFS('FIRE TEX 5090'!$Y$5:$Y$39,'FIRE TEX 5090'!$Y$5:$Y$39,"&gt;="&amp;M53),'FIRE TEX 5090'!$Y$5:$AD$39,IF(L53="F-15",2,IF(L53="F-30",3,IF(L53="F-60",4,IF(L53="F-90",5,IF(L53="F-120",6,IF(L53="F-150",7,0)))))),0),0)+IF(AND(O53="FIRE TEX 5120",OR(E53="IN",E53="C",E53="Z",E53="L"),J53=3),VLOOKUP(_xlfn.MINIFS('FIRE TEX 5120'!$B$5:$B$40,'FIRE TEX 5120'!$B$5:$B$40,"&gt;="&amp;M53),'FIRE TEX 5120'!$B$5:$G$40,IF(L53="F-15",2,IF(L53="F-30",3,IF(L53="F-60",4,IF(L53="F-90",5,IF(L53="F-120",6,0))))),0),0)+IF(AND(O53="FIRE TEX 5120",OR(E53="IN",E53="C",E53="Z",E53="L"),J53=4),VLOOKUP(_xlfn.MINIFS('FIRE TEX 5120'!$H$4:$H$40,'FIRE TEX 5120'!$H$4:$H$40,"&gt;="&amp;M53),'FIRE TEX 5120'!$H$4:$M$40,IF(L53="F-15",2,IF(L53="F-30",3,IF(L53="F-60",4,IF(L53="F-90",5,IF(L53="F-120",6,0))))),0),0)+IF(AND(O53="FIRE TEX 5120",E53="CJ"),VLOOKUP(_xlfn.MINIFS('FIRE TEX 5120'!$O$5:$O$40,'FIRE TEX 5120'!$O$5:$O$40,"&gt;="&amp;M53),'FIRE TEX 5120'!$O$5:$T$40,IF(L53="F-15",2,IF(L53="F-30",3,IF(L53="F-60",4,IF(L53="F-90",5,IF(L53="F-120",6,0))))),0),0)</f>
        <v>2262</v>
      </c>
      <c r="Q53" s="46">
        <f t="shared" si="0"/>
        <v>89.054940000000002</v>
      </c>
      <c r="R53" s="46">
        <f t="shared" si="5"/>
        <v>3.8908565880792239</v>
      </c>
      <c r="S53" s="46">
        <f t="shared" si="2"/>
        <v>0.30841537662337659</v>
      </c>
      <c r="T53" s="677">
        <f t="shared" si="3"/>
        <v>0</v>
      </c>
      <c r="U53" s="80">
        <f>(IF(O53="Stofire",(S53*#REF!),0))+(IF(O53="Fire Control",(S53*$U$2),0))+(IF(O53="Fire Tex",(S53*$U$3),0))+(IF(O53="WB7",(S53*#REF!),0)+(IF(O53="FX 2003",(S53*$U$5),0)))</f>
        <v>0</v>
      </c>
      <c r="V53" s="651">
        <f t="shared" si="7"/>
        <v>250</v>
      </c>
      <c r="W53" s="4"/>
    </row>
    <row r="54" spans="1:26" x14ac:dyDescent="0.25">
      <c r="A54" s="652" t="s">
        <v>442</v>
      </c>
      <c r="B54" s="653" t="s">
        <v>443</v>
      </c>
      <c r="C54" s="1" t="s">
        <v>444</v>
      </c>
      <c r="D54" s="118" t="str">
        <f>+CUBICACION!D53</f>
        <v>VIGA</v>
      </c>
      <c r="E54" s="118" t="str">
        <f>+CUBICACION!F53</f>
        <v>CJ</v>
      </c>
      <c r="F54" s="118">
        <f>+CUBICACION!I53</f>
        <v>3400</v>
      </c>
      <c r="G54" s="118">
        <v>12</v>
      </c>
      <c r="H54" s="118">
        <v>2</v>
      </c>
      <c r="I54" s="820">
        <v>26385</v>
      </c>
      <c r="J54" s="118">
        <f>+CUBICACION!J53</f>
        <v>4</v>
      </c>
      <c r="K54" s="118">
        <v>2828</v>
      </c>
      <c r="L54" s="118" t="str">
        <f>+CUBICACION!L53</f>
        <v>F-60</v>
      </c>
      <c r="M54" s="64">
        <f>+CUBICACION!M53</f>
        <v>333</v>
      </c>
      <c r="N54" s="824">
        <f>+CUBICACION!N53</f>
        <v>2.72</v>
      </c>
      <c r="O54" s="675" t="str">
        <f>+CUBICACION!O53</f>
        <v>Fire Tex 5090</v>
      </c>
      <c r="P54" s="15">
        <f>IF(O54="Fire Control",VLOOKUP(_xlfn.MINIFS('FIRE CONTROL'!$C$4:$C$37,'FIRE CONTROL'!$C$4:$C$37,"&gt;="&amp;M54),'FIRE CONTROL'!$C$4:$G$37,IF(L54="F-15",2,IF(L54="F-30",3,IF(L54="F-60",4,IF(L54="F-90",5,0)))),0),0)+IF(AND(O54="FIRE TEX 5062",OR(E54="IN",E54="C",E54="Z",E54="L"),J54=3),VLOOKUP(_xlfn.MINIFS('FIRE TEX 5062'!$B$4:$B$34,'FIRE TEX 5062'!$B$4:$B$34,"&gt;="&amp;M54),'FIRE TEX 5062'!$B$4:$F$34,IF(L54="F-15",2,IF(L54="F-30",3,IF(L54="F-60",4,IF(L54="F-90",5,0)))),0),0)+IF(AND(O54="FIRE TEX 5062",OR(E54="IN",E54="C",E54="Z",E54="L"),J54=4),VLOOKUP(_xlfn.MINIFS('FIRE TEX 5062'!$G$4:$G$34,'FIRE TEX 5062'!$G$4:$G$34,"&gt;="&amp;M54),'FIRE TEX 5062'!$G$4:$K$34,IF(L54="F-15",2,IF(L54="F-30",3,IF(L54="F-60",4,IF(L54="F-90",5,0)))),0),0)+IF(AND(O54="FIRE TEX 5062",E54="CJ",J54=3),VLOOKUP(_xlfn.MINIFS('FIRE TEX 5062'!$L$4:$L$34,'FIRE TEX 5062'!$L$4:$L$34,"&gt;="&amp;M54),'FIRE TEX 5062'!$L$4:$P$34,IF(L54="F-15",2,IF(L54="F-30",3,IF(L54="F-60",4,IF(L54="F-90",5,0)))),0),0)+IF(AND(O54="FIRE TEX 5062",E54="CJ",J54=4),VLOOKUP(_xlfn.MINIFS('FIRE TEX 5062'!$Q$3:$Q$34,'FIRE TEX 5062'!$Q$3:$Q$34,"&gt;="&amp;M54),'FIRE TEX 5062'!$Q$3:$U$34,IF(L54="F-15",2,IF(L54="F-30",3,IF(L54="F-60",4,IF(L54="F-90",5,0)))),0),0)+IF(AND(O54="FIRE TEX 5090",OR(E54="IN",E54="C",E54="Z",E54="L"),J54=3),VLOOKUP(_xlfn.MINIFS('FIRE TEX 5090'!$B$5:$B$43,'FIRE TEX 5090'!$B$5:$B$43,"&gt;="&amp;M54),'FIRE TEX 5090'!$B$5:$H$43,IF(L54="F-15",2,IF(L54="F-30",3,IF(L54="F-60",4,IF(L54="F-90",5,IF(L54="F-120",6,IF(L54="F-150",7,0)))))),0),0)+IF(AND(O54="FIRE TEX 5090",OR(E54="IN",E54="C",E54="Z",E54="L"),J54=4),VLOOKUP(_xlfn.MINIFS('FIRE TEX 5090'!$J$5:$J$43,'FIRE TEX 5090'!$J$5:$J$43,"&gt;="&amp;M54),'FIRE TEX 5090'!$J$5:$P$43,IF(L54="F-15",2,IF(L54="F-30",3,IF(L54="F-60",4,IF(L54="F-90",5,IF(L54="F-120",6,IF(L54="F-150",7,0)))))),0),0)+IF(AND(O54="FIRE TEX 5090",E54="CJ",J54=3),VLOOKUP(_xlfn.MINIFS('FIRE TEX 5090'!$R$5:$R$30,'FIRE TEX 5090'!$R$5:$R$30,"&gt;="&amp;M54),'FIRE TEX 5090'!$R$5:$W$30,IF(L54="F-15",2,IF(L54="F-30",3,IF(L54="F-60",4,IF(L54="F-90",5,IF(L54="F-120",6,IF(L54="F-150",7,0)))))),0),0)+IF(AND(O54="FIRE TEX 5090",E54="CJ",J54=4),VLOOKUP(_xlfn.MINIFS('FIRE TEX 5090'!$Y$5:$Y$39,'FIRE TEX 5090'!$Y$5:$Y$39,"&gt;="&amp;M54),'FIRE TEX 5090'!$Y$5:$AD$39,IF(L54="F-15",2,IF(L54="F-30",3,IF(L54="F-60",4,IF(L54="F-90",5,IF(L54="F-120",6,IF(L54="F-150",7,0)))))),0),0)+IF(AND(O54="FIRE TEX 5120",OR(E54="IN",E54="C",E54="Z",E54="L"),J54=3),VLOOKUP(_xlfn.MINIFS('FIRE TEX 5120'!$B$5:$B$40,'FIRE TEX 5120'!$B$5:$B$40,"&gt;="&amp;M54),'FIRE TEX 5120'!$B$5:$G$40,IF(L54="F-15",2,IF(L54="F-30",3,IF(L54="F-60",4,IF(L54="F-90",5,IF(L54="F-120",6,0))))),0),0)+IF(AND(O54="FIRE TEX 5120",OR(E54="IN",E54="C",E54="Z",E54="L"),J54=4),VLOOKUP(_xlfn.MINIFS('FIRE TEX 5120'!$H$4:$H$40,'FIRE TEX 5120'!$H$4:$H$40,"&gt;="&amp;M54),'FIRE TEX 5120'!$H$4:$M$40,IF(L54="F-15",2,IF(L54="F-30",3,IF(L54="F-60",4,IF(L54="F-90",5,IF(L54="F-120",6,0))))),0),0)+IF(AND(O54="FIRE TEX 5120",E54="CJ"),VLOOKUP(_xlfn.MINIFS('FIRE TEX 5120'!$O$5:$O$40,'FIRE TEX 5120'!$O$5:$O$40,"&gt;="&amp;M54),'FIRE TEX 5120'!$O$5:$T$40,IF(L54="F-15",2,IF(L54="F-30",3,IF(L54="F-60",4,IF(L54="F-90",5,IF(L54="F-120",6,0))))),0),0)</f>
        <v>2828</v>
      </c>
      <c r="Q54" s="46">
        <f t="shared" si="0"/>
        <v>111.33836000000001</v>
      </c>
      <c r="R54" s="46">
        <f t="shared" si="5"/>
        <v>3.1121349371411613</v>
      </c>
      <c r="S54" s="46">
        <f t="shared" si="2"/>
        <v>0.87399809292929298</v>
      </c>
      <c r="T54" s="677">
        <f t="shared" si="3"/>
        <v>0</v>
      </c>
      <c r="U54" s="80">
        <f>(IF(O54="Stofire",(S54*#REF!),0))+(IF(O54="Fire Control",(S54*$U$2),0))+(IF(O54="Fire Tex",(S54*$U$3),0))+(IF(O54="WB7",(S54*#REF!),0)+(IF(O54="FX 2003",(S54*$U$5),0)))</f>
        <v>0</v>
      </c>
      <c r="V54" s="651">
        <f t="shared" si="7"/>
        <v>340</v>
      </c>
      <c r="W54" s="4"/>
    </row>
    <row r="55" spans="1:26" x14ac:dyDescent="0.25">
      <c r="A55" s="652" t="s">
        <v>442</v>
      </c>
      <c r="B55" s="653" t="s">
        <v>443</v>
      </c>
      <c r="C55" s="1" t="s">
        <v>446</v>
      </c>
      <c r="D55" s="118" t="str">
        <f>+CUBICACION!D54</f>
        <v>PILAR</v>
      </c>
      <c r="E55" s="118" t="str">
        <f>+CUBICACION!F54</f>
        <v>CJ</v>
      </c>
      <c r="F55" s="118" t="str">
        <f>+CUBICACION!E54</f>
        <v>100X100X3</v>
      </c>
      <c r="G55" s="118">
        <v>12</v>
      </c>
      <c r="H55" s="118">
        <v>2</v>
      </c>
      <c r="I55" s="820">
        <v>26385</v>
      </c>
      <c r="J55" s="118">
        <f>+CUBICACION!J54</f>
        <v>4</v>
      </c>
      <c r="K55" s="118">
        <v>2829</v>
      </c>
      <c r="L55" s="118" t="str">
        <f>+CUBICACION!L54</f>
        <v>F-60</v>
      </c>
      <c r="M55" s="64">
        <f>+CUBICACION!M54</f>
        <v>333</v>
      </c>
      <c r="N55" s="824">
        <f>+CUBICACION!N54</f>
        <v>0.6</v>
      </c>
      <c r="O55" s="675" t="str">
        <f>+CUBICACION!O54</f>
        <v>Fire Tex 5090</v>
      </c>
      <c r="P55" s="15">
        <f>IF(O55="Fire Control",VLOOKUP(_xlfn.MINIFS('FIRE CONTROL'!$C$4:$C$37,'FIRE CONTROL'!$C$4:$C$37,"&gt;="&amp;M55),'FIRE CONTROL'!$C$4:$G$37,IF(L55="F-15",2,IF(L55="F-30",3,IF(L55="F-60",4,IF(L55="F-90",5,0)))),0),0)+IF(AND(O55="FIRE TEX 5062",OR(E55="IN",E55="C",E55="Z",E55="L"),J55=3),VLOOKUP(_xlfn.MINIFS('FIRE TEX 5062'!$B$4:$B$34,'FIRE TEX 5062'!$B$4:$B$34,"&gt;="&amp;M55),'FIRE TEX 5062'!$B$4:$F$34,IF(L55="F-15",2,IF(L55="F-30",3,IF(L55="F-60",4,IF(L55="F-90",5,0)))),0),0)+IF(AND(O55="FIRE TEX 5062",OR(E55="IN",E55="C",E55="Z",E55="L"),J55=4),VLOOKUP(_xlfn.MINIFS('FIRE TEX 5062'!$G$4:$G$34,'FIRE TEX 5062'!$G$4:$G$34,"&gt;="&amp;M55),'FIRE TEX 5062'!$G$4:$K$34,IF(L55="F-15",2,IF(L55="F-30",3,IF(L55="F-60",4,IF(L55="F-90",5,0)))),0),0)+IF(AND(O55="FIRE TEX 5062",E55="CJ",J55=3),VLOOKUP(_xlfn.MINIFS('FIRE TEX 5062'!$L$4:$L$34,'FIRE TEX 5062'!$L$4:$L$34,"&gt;="&amp;M55),'FIRE TEX 5062'!$L$4:$P$34,IF(L55="F-15",2,IF(L55="F-30",3,IF(L55="F-60",4,IF(L55="F-90",5,0)))),0),0)+IF(AND(O55="FIRE TEX 5062",E55="CJ",J55=4),VLOOKUP(_xlfn.MINIFS('FIRE TEX 5062'!$Q$3:$Q$34,'FIRE TEX 5062'!$Q$3:$Q$34,"&gt;="&amp;M55),'FIRE TEX 5062'!$Q$3:$U$34,IF(L55="F-15",2,IF(L55="F-30",3,IF(L55="F-60",4,IF(L55="F-90",5,0)))),0),0)+IF(AND(O55="FIRE TEX 5090",OR(E55="IN",E55="C",E55="Z",E55="L"),J55=3),VLOOKUP(_xlfn.MINIFS('FIRE TEX 5090'!$B$5:$B$43,'FIRE TEX 5090'!$B$5:$B$43,"&gt;="&amp;M55),'FIRE TEX 5090'!$B$5:$H$43,IF(L55="F-15",2,IF(L55="F-30",3,IF(L55="F-60",4,IF(L55="F-90",5,IF(L55="F-120",6,IF(L55="F-150",7,0)))))),0),0)+IF(AND(O55="FIRE TEX 5090",OR(E55="IN",E55="C",E55="Z",E55="L"),J55=4),VLOOKUP(_xlfn.MINIFS('FIRE TEX 5090'!$J$5:$J$43,'FIRE TEX 5090'!$J$5:$J$43,"&gt;="&amp;M55),'FIRE TEX 5090'!$J$5:$P$43,IF(L55="F-15",2,IF(L55="F-30",3,IF(L55="F-60",4,IF(L55="F-90",5,IF(L55="F-120",6,IF(L55="F-150",7,0)))))),0),0)+IF(AND(O55="FIRE TEX 5090",E55="CJ",J55=3),VLOOKUP(_xlfn.MINIFS('FIRE TEX 5090'!$R$5:$R$30,'FIRE TEX 5090'!$R$5:$R$30,"&gt;="&amp;M55),'FIRE TEX 5090'!$R$5:$W$30,IF(L55="F-15",2,IF(L55="F-30",3,IF(L55="F-60",4,IF(L55="F-90",5,IF(L55="F-120",6,IF(L55="F-150",7,0)))))),0),0)+IF(AND(O55="FIRE TEX 5090",E55="CJ",J55=4),VLOOKUP(_xlfn.MINIFS('FIRE TEX 5090'!$Y$5:$Y$39,'FIRE TEX 5090'!$Y$5:$Y$39,"&gt;="&amp;M55),'FIRE TEX 5090'!$Y$5:$AD$39,IF(L55="F-15",2,IF(L55="F-30",3,IF(L55="F-60",4,IF(L55="F-90",5,IF(L55="F-120",6,IF(L55="F-150",7,0)))))),0),0)+IF(AND(O55="FIRE TEX 5120",OR(E55="IN",E55="C",E55="Z",E55="L"),J55=3),VLOOKUP(_xlfn.MINIFS('FIRE TEX 5120'!$B$5:$B$40,'FIRE TEX 5120'!$B$5:$B$40,"&gt;="&amp;M55),'FIRE TEX 5120'!$B$5:$G$40,IF(L55="F-15",2,IF(L55="F-30",3,IF(L55="F-60",4,IF(L55="F-90",5,IF(L55="F-120",6,0))))),0),0)+IF(AND(O55="FIRE TEX 5120",OR(E55="IN",E55="C",E55="Z",E55="L"),J55=4),VLOOKUP(_xlfn.MINIFS('FIRE TEX 5120'!$H$4:$H$40,'FIRE TEX 5120'!$H$4:$H$40,"&gt;="&amp;M55),'FIRE TEX 5120'!$H$4:$M$40,IF(L55="F-15",2,IF(L55="F-30",3,IF(L55="F-60",4,IF(L55="F-90",5,IF(L55="F-120",6,0))))),0),0)+IF(AND(O55="FIRE TEX 5120",E55="CJ"),VLOOKUP(_xlfn.MINIFS('FIRE TEX 5120'!$O$5:$O$40,'FIRE TEX 5120'!$O$5:$O$40,"&gt;="&amp;M55),'FIRE TEX 5120'!$O$5:$T$40,IF(L55="F-15",2,IF(L55="F-30",3,IF(L55="F-60",4,IF(L55="F-90",5,IF(L55="F-120",6,0))))),0),0)</f>
        <v>2828</v>
      </c>
      <c r="Q55" s="46">
        <f t="shared" si="0"/>
        <v>111.33836000000001</v>
      </c>
      <c r="R55" s="46">
        <f t="shared" si="5"/>
        <v>3.1121349371411613</v>
      </c>
      <c r="S55" s="46">
        <f t="shared" si="2"/>
        <v>0.19279369696969698</v>
      </c>
      <c r="T55" s="677">
        <f t="shared" si="3"/>
        <v>0</v>
      </c>
      <c r="U55" s="80">
        <f>(IF(O55="Stofire",(S55*#REF!),0))+(IF(O55="Fire Control",(S55*$U$2),0))+(IF(O55="Fire Tex",(S55*$U$3),0))+(IF(O55="WB7",(S55*#REF!),0)+(IF(O55="FX 2003",(S55*$U$5),0)))</f>
        <v>0</v>
      </c>
      <c r="V55" s="651">
        <f>_xlfn.CEILING.MATH(M55,10)</f>
        <v>340</v>
      </c>
      <c r="W55" s="4"/>
    </row>
    <row r="56" spans="1:26" x14ac:dyDescent="0.25">
      <c r="A56" s="652" t="s">
        <v>448</v>
      </c>
      <c r="B56" s="653" t="s">
        <v>443</v>
      </c>
      <c r="C56" s="1" t="s">
        <v>444</v>
      </c>
      <c r="D56" s="118" t="str">
        <f>+CUBICACION!D55</f>
        <v>PILAR</v>
      </c>
      <c r="E56" s="118" t="str">
        <f>+CUBICACION!F55</f>
        <v>CJ</v>
      </c>
      <c r="F56" s="118" t="str">
        <f>+CUBICACION!E55</f>
        <v>100X100X3</v>
      </c>
      <c r="G56" s="118">
        <v>12</v>
      </c>
      <c r="H56" s="118">
        <v>2</v>
      </c>
      <c r="I56" s="820">
        <v>26385</v>
      </c>
      <c r="J56" s="118">
        <f>+CUBICACION!J55</f>
        <v>4</v>
      </c>
      <c r="K56" s="118">
        <v>2830</v>
      </c>
      <c r="L56" s="118" t="str">
        <f>+CUBICACION!L55</f>
        <v>F-60</v>
      </c>
      <c r="M56" s="64">
        <f>+CUBICACION!M55</f>
        <v>333</v>
      </c>
      <c r="N56" s="824">
        <f>+CUBICACION!N55</f>
        <v>1.6</v>
      </c>
      <c r="O56" s="675" t="str">
        <f>+CUBICACION!O55</f>
        <v>Fire Tex 5090</v>
      </c>
      <c r="P56" s="15">
        <f>IF(O56="Fire Control",VLOOKUP(_xlfn.MINIFS('FIRE CONTROL'!$C$4:$C$37,'FIRE CONTROL'!$C$4:$C$37,"&gt;="&amp;M56),'FIRE CONTROL'!$C$4:$G$37,IF(L56="F-15",2,IF(L56="F-30",3,IF(L56="F-60",4,IF(L56="F-90",5,0)))),0),0)+IF(AND(O56="FIRE TEX 5062",OR(E56="IN",E56="C",E56="Z",E56="L"),J56=3),VLOOKUP(_xlfn.MINIFS('FIRE TEX 5062'!$B$4:$B$34,'FIRE TEX 5062'!$B$4:$B$34,"&gt;="&amp;M56),'FIRE TEX 5062'!$B$4:$F$34,IF(L56="F-15",2,IF(L56="F-30",3,IF(L56="F-60",4,IF(L56="F-90",5,0)))),0),0)+IF(AND(O56="FIRE TEX 5062",OR(E56="IN",E56="C",E56="Z",E56="L"),J56=4),VLOOKUP(_xlfn.MINIFS('FIRE TEX 5062'!$G$4:$G$34,'FIRE TEX 5062'!$G$4:$G$34,"&gt;="&amp;M56),'FIRE TEX 5062'!$G$4:$K$34,IF(L56="F-15",2,IF(L56="F-30",3,IF(L56="F-60",4,IF(L56="F-90",5,0)))),0),0)+IF(AND(O56="FIRE TEX 5062",E56="CJ",J56=3),VLOOKUP(_xlfn.MINIFS('FIRE TEX 5062'!$L$4:$L$34,'FIRE TEX 5062'!$L$4:$L$34,"&gt;="&amp;M56),'FIRE TEX 5062'!$L$4:$P$34,IF(L56="F-15",2,IF(L56="F-30",3,IF(L56="F-60",4,IF(L56="F-90",5,0)))),0),0)+IF(AND(O56="FIRE TEX 5062",E56="CJ",J56=4),VLOOKUP(_xlfn.MINIFS('FIRE TEX 5062'!$Q$3:$Q$34,'FIRE TEX 5062'!$Q$3:$Q$34,"&gt;="&amp;M56),'FIRE TEX 5062'!$Q$3:$U$34,IF(L56="F-15",2,IF(L56="F-30",3,IF(L56="F-60",4,IF(L56="F-90",5,0)))),0),0)+IF(AND(O56="FIRE TEX 5090",OR(E56="IN",E56="C",E56="Z",E56="L"),J56=3),VLOOKUP(_xlfn.MINIFS('FIRE TEX 5090'!$B$5:$B$43,'FIRE TEX 5090'!$B$5:$B$43,"&gt;="&amp;M56),'FIRE TEX 5090'!$B$5:$H$43,IF(L56="F-15",2,IF(L56="F-30",3,IF(L56="F-60",4,IF(L56="F-90",5,IF(L56="F-120",6,IF(L56="F-150",7,0)))))),0),0)+IF(AND(O56="FIRE TEX 5090",OR(E56="IN",E56="C",E56="Z",E56="L"),J56=4),VLOOKUP(_xlfn.MINIFS('FIRE TEX 5090'!$J$5:$J$43,'FIRE TEX 5090'!$J$5:$J$43,"&gt;="&amp;M56),'FIRE TEX 5090'!$J$5:$P$43,IF(L56="F-15",2,IF(L56="F-30",3,IF(L56="F-60",4,IF(L56="F-90",5,IF(L56="F-120",6,IF(L56="F-150",7,0)))))),0),0)+IF(AND(O56="FIRE TEX 5090",E56="CJ",J56=3),VLOOKUP(_xlfn.MINIFS('FIRE TEX 5090'!$R$5:$R$30,'FIRE TEX 5090'!$R$5:$R$30,"&gt;="&amp;M56),'FIRE TEX 5090'!$R$5:$W$30,IF(L56="F-15",2,IF(L56="F-30",3,IF(L56="F-60",4,IF(L56="F-90",5,IF(L56="F-120",6,IF(L56="F-150",7,0)))))),0),0)+IF(AND(O56="FIRE TEX 5090",E56="CJ",J56=4),VLOOKUP(_xlfn.MINIFS('FIRE TEX 5090'!$Y$5:$Y$39,'FIRE TEX 5090'!$Y$5:$Y$39,"&gt;="&amp;M56),'FIRE TEX 5090'!$Y$5:$AD$39,IF(L56="F-15",2,IF(L56="F-30",3,IF(L56="F-60",4,IF(L56="F-90",5,IF(L56="F-120",6,IF(L56="F-150",7,0)))))),0),0)+IF(AND(O56="FIRE TEX 5120",OR(E56="IN",E56="C",E56="Z",E56="L"),J56=3),VLOOKUP(_xlfn.MINIFS('FIRE TEX 5120'!$B$5:$B$40,'FIRE TEX 5120'!$B$5:$B$40,"&gt;="&amp;M56),'FIRE TEX 5120'!$B$5:$G$40,IF(L56="F-15",2,IF(L56="F-30",3,IF(L56="F-60",4,IF(L56="F-90",5,IF(L56="F-120",6,0))))),0),0)+IF(AND(O56="FIRE TEX 5120",OR(E56="IN",E56="C",E56="Z",E56="L"),J56=4),VLOOKUP(_xlfn.MINIFS('FIRE TEX 5120'!$H$4:$H$40,'FIRE TEX 5120'!$H$4:$H$40,"&gt;="&amp;M56),'FIRE TEX 5120'!$H$4:$M$40,IF(L56="F-15",2,IF(L56="F-30",3,IF(L56="F-60",4,IF(L56="F-90",5,IF(L56="F-120",6,0))))),0),0)+IF(AND(O56="FIRE TEX 5120",E56="CJ"),VLOOKUP(_xlfn.MINIFS('FIRE TEX 5120'!$O$5:$O$40,'FIRE TEX 5120'!$O$5:$O$40,"&gt;="&amp;M56),'FIRE TEX 5120'!$O$5:$T$40,IF(L56="F-15",2,IF(L56="F-30",3,IF(L56="F-60",4,IF(L56="F-90",5,IF(L56="F-120",6,0))))),0),0)</f>
        <v>2828</v>
      </c>
      <c r="Q56" s="46">
        <f t="shared" si="0"/>
        <v>111.33836000000001</v>
      </c>
      <c r="R56" s="46">
        <f t="shared" si="5"/>
        <v>3.1121349371411613</v>
      </c>
      <c r="S56" s="46">
        <f t="shared" si="2"/>
        <v>0.51411652525252527</v>
      </c>
      <c r="T56" s="677">
        <f t="shared" si="3"/>
        <v>0</v>
      </c>
      <c r="U56" s="80">
        <f>(IF(O56="Stofire",(S56*#REF!),0))+(IF(O56="Fire Control",(S56*$U$2),0))+(IF(O56="Fire Tex",(S56*$U$3),0))+(IF(O56="WB7",(S56*#REF!),0)+(IF(O56="FX 2003",(S56*$U$5),0)))</f>
        <v>0</v>
      </c>
      <c r="V56" s="651">
        <f>_xlfn.CEILING.MATH(M56,10)</f>
        <v>340</v>
      </c>
      <c r="W56" s="4"/>
    </row>
    <row r="57" spans="1:26" x14ac:dyDescent="0.25">
      <c r="A57" s="652" t="s">
        <v>448</v>
      </c>
      <c r="B57" s="653" t="s">
        <v>443</v>
      </c>
      <c r="C57" s="1" t="s">
        <v>446</v>
      </c>
      <c r="D57" s="118" t="str">
        <f>+CUBICACION!D56</f>
        <v>ARRIOSTRAMINETO VERTICAL</v>
      </c>
      <c r="E57" s="118" t="str">
        <f>+CUBICACION!F56</f>
        <v>CJ</v>
      </c>
      <c r="F57" s="118" t="str">
        <f>+CUBICACION!E56</f>
        <v>100X100X3</v>
      </c>
      <c r="G57" s="118">
        <v>12</v>
      </c>
      <c r="H57" s="118">
        <v>2</v>
      </c>
      <c r="I57" s="820">
        <v>26385</v>
      </c>
      <c r="J57" s="118">
        <f>+CUBICACION!J56</f>
        <v>4</v>
      </c>
      <c r="K57" s="118">
        <v>2831</v>
      </c>
      <c r="L57" s="118" t="str">
        <f>+CUBICACION!L56</f>
        <v>F-60</v>
      </c>
      <c r="M57" s="64">
        <f>+CUBICACION!M56</f>
        <v>333</v>
      </c>
      <c r="N57" s="824">
        <f>+CUBICACION!N56</f>
        <v>11.52</v>
      </c>
      <c r="O57" s="675" t="str">
        <f>+CUBICACION!O56</f>
        <v>Fire Tex 5090</v>
      </c>
      <c r="P57" s="15">
        <f>IF(O57="Fire Control",VLOOKUP(_xlfn.MINIFS('FIRE CONTROL'!$C$4:$C$37,'FIRE CONTROL'!$C$4:$C$37,"&gt;="&amp;M57),'FIRE CONTROL'!$C$4:$G$37,IF(L57="F-15",2,IF(L57="F-30",3,IF(L57="F-60",4,IF(L57="F-90",5,0)))),0),0)+IF(AND(O57="FIRE TEX 5062",OR(E57="IN",E57="C",E57="Z",E57="L"),J57=3),VLOOKUP(_xlfn.MINIFS('FIRE TEX 5062'!$B$4:$B$34,'FIRE TEX 5062'!$B$4:$B$34,"&gt;="&amp;M57),'FIRE TEX 5062'!$B$4:$F$34,IF(L57="F-15",2,IF(L57="F-30",3,IF(L57="F-60",4,IF(L57="F-90",5,0)))),0),0)+IF(AND(O57="FIRE TEX 5062",OR(E57="IN",E57="C",E57="Z",E57="L"),J57=4),VLOOKUP(_xlfn.MINIFS('FIRE TEX 5062'!$G$4:$G$34,'FIRE TEX 5062'!$G$4:$G$34,"&gt;="&amp;M57),'FIRE TEX 5062'!$G$4:$K$34,IF(L57="F-15",2,IF(L57="F-30",3,IF(L57="F-60",4,IF(L57="F-90",5,0)))),0),0)+IF(AND(O57="FIRE TEX 5062",E57="CJ",J57=3),VLOOKUP(_xlfn.MINIFS('FIRE TEX 5062'!$L$4:$L$34,'FIRE TEX 5062'!$L$4:$L$34,"&gt;="&amp;M57),'FIRE TEX 5062'!$L$4:$P$34,IF(L57="F-15",2,IF(L57="F-30",3,IF(L57="F-60",4,IF(L57="F-90",5,0)))),0),0)+IF(AND(O57="FIRE TEX 5062",E57="CJ",J57=4),VLOOKUP(_xlfn.MINIFS('FIRE TEX 5062'!$Q$3:$Q$34,'FIRE TEX 5062'!$Q$3:$Q$34,"&gt;="&amp;M57),'FIRE TEX 5062'!$Q$3:$U$34,IF(L57="F-15",2,IF(L57="F-30",3,IF(L57="F-60",4,IF(L57="F-90",5,0)))),0),0)+IF(AND(O57="FIRE TEX 5090",OR(E57="IN",E57="C",E57="Z",E57="L"),J57=3),VLOOKUP(_xlfn.MINIFS('FIRE TEX 5090'!$B$5:$B$43,'FIRE TEX 5090'!$B$5:$B$43,"&gt;="&amp;M57),'FIRE TEX 5090'!$B$5:$H$43,IF(L57="F-15",2,IF(L57="F-30",3,IF(L57="F-60",4,IF(L57="F-90",5,IF(L57="F-120",6,IF(L57="F-150",7,0)))))),0),0)+IF(AND(O57="FIRE TEX 5090",OR(E57="IN",E57="C",E57="Z",E57="L"),J57=4),VLOOKUP(_xlfn.MINIFS('FIRE TEX 5090'!$J$5:$J$43,'FIRE TEX 5090'!$J$5:$J$43,"&gt;="&amp;M57),'FIRE TEX 5090'!$J$5:$P$43,IF(L57="F-15",2,IF(L57="F-30",3,IF(L57="F-60",4,IF(L57="F-90",5,IF(L57="F-120",6,IF(L57="F-150",7,0)))))),0),0)+IF(AND(O57="FIRE TEX 5090",E57="CJ",J57=3),VLOOKUP(_xlfn.MINIFS('FIRE TEX 5090'!$R$5:$R$30,'FIRE TEX 5090'!$R$5:$R$30,"&gt;="&amp;M57),'FIRE TEX 5090'!$R$5:$W$30,IF(L57="F-15",2,IF(L57="F-30",3,IF(L57="F-60",4,IF(L57="F-90",5,IF(L57="F-120",6,IF(L57="F-150",7,0)))))),0),0)+IF(AND(O57="FIRE TEX 5090",E57="CJ",J57=4),VLOOKUP(_xlfn.MINIFS('FIRE TEX 5090'!$Y$5:$Y$39,'FIRE TEX 5090'!$Y$5:$Y$39,"&gt;="&amp;M57),'FIRE TEX 5090'!$Y$5:$AD$39,IF(L57="F-15",2,IF(L57="F-30",3,IF(L57="F-60",4,IF(L57="F-90",5,IF(L57="F-120",6,IF(L57="F-150",7,0)))))),0),0)+IF(AND(O57="FIRE TEX 5120",OR(E57="IN",E57="C",E57="Z",E57="L"),J57=3),VLOOKUP(_xlfn.MINIFS('FIRE TEX 5120'!$B$5:$B$40,'FIRE TEX 5120'!$B$5:$B$40,"&gt;="&amp;M57),'FIRE TEX 5120'!$B$5:$G$40,IF(L57="F-15",2,IF(L57="F-30",3,IF(L57="F-60",4,IF(L57="F-90",5,IF(L57="F-120",6,0))))),0),0)+IF(AND(O57="FIRE TEX 5120",OR(E57="IN",E57="C",E57="Z",E57="L"),J57=4),VLOOKUP(_xlfn.MINIFS('FIRE TEX 5120'!$H$4:$H$40,'FIRE TEX 5120'!$H$4:$H$40,"&gt;="&amp;M57),'FIRE TEX 5120'!$H$4:$M$40,IF(L57="F-15",2,IF(L57="F-30",3,IF(L57="F-60",4,IF(L57="F-90",5,IF(L57="F-120",6,0))))),0),0)+IF(AND(O57="FIRE TEX 5120",E57="CJ"),VLOOKUP(_xlfn.MINIFS('FIRE TEX 5120'!$O$5:$O$40,'FIRE TEX 5120'!$O$5:$O$40,"&gt;="&amp;M57),'FIRE TEX 5120'!$O$5:$T$40,IF(L57="F-15",2,IF(L57="F-30",3,IF(L57="F-60",4,IF(L57="F-90",5,IF(L57="F-120",6,0))))),0),0)</f>
        <v>2828</v>
      </c>
      <c r="Q57" s="46">
        <f t="shared" si="0"/>
        <v>111.33836000000001</v>
      </c>
      <c r="R57" s="46">
        <f t="shared" si="5"/>
        <v>3.1121349371411613</v>
      </c>
      <c r="S57" s="46">
        <f t="shared" si="2"/>
        <v>3.7016389818181819</v>
      </c>
      <c r="T57" s="677">
        <f t="shared" si="3"/>
        <v>0</v>
      </c>
      <c r="U57" s="80">
        <f>(IF(O57="Stofire",(S57*#REF!),0))+(IF(O57="Fire Control",(S57*$U$2),0))+(IF(O57="Fire Tex",(S57*$U$3),0))+(IF(O57="WB7",(S57*#REF!),0)+(IF(O57="FX 2003",(S57*$U$5),0)))</f>
        <v>0</v>
      </c>
      <c r="V57" s="651">
        <f t="shared" ref="V57:V69" si="8">_xlfn.CEILING.MATH(M57,10)</f>
        <v>340</v>
      </c>
      <c r="W57" s="4"/>
    </row>
    <row r="58" spans="1:26" x14ac:dyDescent="0.25">
      <c r="A58" s="652" t="s">
        <v>448</v>
      </c>
      <c r="B58" s="653" t="s">
        <v>451</v>
      </c>
      <c r="C58" s="1" t="s">
        <v>446</v>
      </c>
      <c r="D58" s="118" t="str">
        <f>+CUBICACION!D57</f>
        <v>PILAR</v>
      </c>
      <c r="E58" s="118" t="str">
        <f>+CUBICACION!F57</f>
        <v>CJ</v>
      </c>
      <c r="F58" s="118" t="str">
        <f>+CUBICACION!E57</f>
        <v>100X100X3</v>
      </c>
      <c r="G58" s="118">
        <v>12</v>
      </c>
      <c r="H58" s="118">
        <v>2</v>
      </c>
      <c r="I58" s="820">
        <v>26385</v>
      </c>
      <c r="J58" s="118">
        <f>+CUBICACION!J57</f>
        <v>4</v>
      </c>
      <c r="K58" s="118">
        <v>2832</v>
      </c>
      <c r="L58" s="118" t="str">
        <f>+CUBICACION!L57</f>
        <v>F-60</v>
      </c>
      <c r="M58" s="64">
        <f>+CUBICACION!M57</f>
        <v>333</v>
      </c>
      <c r="N58" s="824">
        <f>+CUBICACION!N57</f>
        <v>1.2</v>
      </c>
      <c r="O58" s="675" t="str">
        <f>+CUBICACION!O57</f>
        <v>Fire Tex 5090</v>
      </c>
      <c r="P58" s="15">
        <f>IF(O58="Fire Control",VLOOKUP(_xlfn.MINIFS('FIRE CONTROL'!$C$4:$C$37,'FIRE CONTROL'!$C$4:$C$37,"&gt;="&amp;M58),'FIRE CONTROL'!$C$4:$G$37,IF(L58="F-15",2,IF(L58="F-30",3,IF(L58="F-60",4,IF(L58="F-90",5,0)))),0),0)+IF(AND(O58="FIRE TEX 5062",OR(E58="IN",E58="C",E58="Z",E58="L"),J58=3),VLOOKUP(_xlfn.MINIFS('FIRE TEX 5062'!$B$4:$B$34,'FIRE TEX 5062'!$B$4:$B$34,"&gt;="&amp;M58),'FIRE TEX 5062'!$B$4:$F$34,IF(L58="F-15",2,IF(L58="F-30",3,IF(L58="F-60",4,IF(L58="F-90",5,0)))),0),0)+IF(AND(O58="FIRE TEX 5062",OR(E58="IN",E58="C",E58="Z",E58="L"),J58=4),VLOOKUP(_xlfn.MINIFS('FIRE TEX 5062'!$G$4:$G$34,'FIRE TEX 5062'!$G$4:$G$34,"&gt;="&amp;M58),'FIRE TEX 5062'!$G$4:$K$34,IF(L58="F-15",2,IF(L58="F-30",3,IF(L58="F-60",4,IF(L58="F-90",5,0)))),0),0)+IF(AND(O58="FIRE TEX 5062",E58="CJ",J58=3),VLOOKUP(_xlfn.MINIFS('FIRE TEX 5062'!$L$4:$L$34,'FIRE TEX 5062'!$L$4:$L$34,"&gt;="&amp;M58),'FIRE TEX 5062'!$L$4:$P$34,IF(L58="F-15",2,IF(L58="F-30",3,IF(L58="F-60",4,IF(L58="F-90",5,0)))),0),0)+IF(AND(O58="FIRE TEX 5062",E58="CJ",J58=4),VLOOKUP(_xlfn.MINIFS('FIRE TEX 5062'!$Q$3:$Q$34,'FIRE TEX 5062'!$Q$3:$Q$34,"&gt;="&amp;M58),'FIRE TEX 5062'!$Q$3:$U$34,IF(L58="F-15",2,IF(L58="F-30",3,IF(L58="F-60",4,IF(L58="F-90",5,0)))),0),0)+IF(AND(O58="FIRE TEX 5090",OR(E58="IN",E58="C",E58="Z",E58="L"),J58=3),VLOOKUP(_xlfn.MINIFS('FIRE TEX 5090'!$B$5:$B$43,'FIRE TEX 5090'!$B$5:$B$43,"&gt;="&amp;M58),'FIRE TEX 5090'!$B$5:$H$43,IF(L58="F-15",2,IF(L58="F-30",3,IF(L58="F-60",4,IF(L58="F-90",5,IF(L58="F-120",6,IF(L58="F-150",7,0)))))),0),0)+IF(AND(O58="FIRE TEX 5090",OR(E58="IN",E58="C",E58="Z",E58="L"),J58=4),VLOOKUP(_xlfn.MINIFS('FIRE TEX 5090'!$J$5:$J$43,'FIRE TEX 5090'!$J$5:$J$43,"&gt;="&amp;M58),'FIRE TEX 5090'!$J$5:$P$43,IF(L58="F-15",2,IF(L58="F-30",3,IF(L58="F-60",4,IF(L58="F-90",5,IF(L58="F-120",6,IF(L58="F-150",7,0)))))),0),0)+IF(AND(O58="FIRE TEX 5090",E58="CJ",J58=3),VLOOKUP(_xlfn.MINIFS('FIRE TEX 5090'!$R$5:$R$30,'FIRE TEX 5090'!$R$5:$R$30,"&gt;="&amp;M58),'FIRE TEX 5090'!$R$5:$W$30,IF(L58="F-15",2,IF(L58="F-30",3,IF(L58="F-60",4,IF(L58="F-90",5,IF(L58="F-120",6,IF(L58="F-150",7,0)))))),0),0)+IF(AND(O58="FIRE TEX 5090",E58="CJ",J58=4),VLOOKUP(_xlfn.MINIFS('FIRE TEX 5090'!$Y$5:$Y$39,'FIRE TEX 5090'!$Y$5:$Y$39,"&gt;="&amp;M58),'FIRE TEX 5090'!$Y$5:$AD$39,IF(L58="F-15",2,IF(L58="F-30",3,IF(L58="F-60",4,IF(L58="F-90",5,IF(L58="F-120",6,IF(L58="F-150",7,0)))))),0),0)+IF(AND(O58="FIRE TEX 5120",OR(E58="IN",E58="C",E58="Z",E58="L"),J58=3),VLOOKUP(_xlfn.MINIFS('FIRE TEX 5120'!$B$5:$B$40,'FIRE TEX 5120'!$B$5:$B$40,"&gt;="&amp;M58),'FIRE TEX 5120'!$B$5:$G$40,IF(L58="F-15",2,IF(L58="F-30",3,IF(L58="F-60",4,IF(L58="F-90",5,IF(L58="F-120",6,0))))),0),0)+IF(AND(O58="FIRE TEX 5120",OR(E58="IN",E58="C",E58="Z",E58="L"),J58=4),VLOOKUP(_xlfn.MINIFS('FIRE TEX 5120'!$H$4:$H$40,'FIRE TEX 5120'!$H$4:$H$40,"&gt;="&amp;M58),'FIRE TEX 5120'!$H$4:$M$40,IF(L58="F-15",2,IF(L58="F-30",3,IF(L58="F-60",4,IF(L58="F-90",5,IF(L58="F-120",6,0))))),0),0)+IF(AND(O58="FIRE TEX 5120",E58="CJ"),VLOOKUP(_xlfn.MINIFS('FIRE TEX 5120'!$O$5:$O$40,'FIRE TEX 5120'!$O$5:$O$40,"&gt;="&amp;M58),'FIRE TEX 5120'!$O$5:$T$40,IF(L58="F-15",2,IF(L58="F-30",3,IF(L58="F-60",4,IF(L58="F-90",5,IF(L58="F-120",6,0))))),0),0)</f>
        <v>2828</v>
      </c>
      <c r="Q58" s="46">
        <f t="shared" si="0"/>
        <v>111.33836000000001</v>
      </c>
      <c r="R58" s="46">
        <f t="shared" si="5"/>
        <v>3.1121349371411613</v>
      </c>
      <c r="S58" s="46">
        <f t="shared" si="2"/>
        <v>0.38558739393939395</v>
      </c>
      <c r="T58" s="677">
        <f t="shared" si="3"/>
        <v>0</v>
      </c>
      <c r="U58" s="80">
        <f>(IF(O58="Stofire",(S58*#REF!),0))+(IF(O58="Fire Control",(S58*$U$2),0))+(IF(O58="Fire Tex",(S58*$U$3),0))+(IF(O58="WB7",(S58*#REF!),0)+(IF(O58="FX 2003",(S58*$U$5),0)))</f>
        <v>0</v>
      </c>
      <c r="V58" s="651">
        <f t="shared" si="8"/>
        <v>340</v>
      </c>
      <c r="W58" s="4"/>
    </row>
    <row r="59" spans="1:26" x14ac:dyDescent="0.25">
      <c r="A59" s="652" t="s">
        <v>452</v>
      </c>
      <c r="B59" s="653" t="s">
        <v>453</v>
      </c>
      <c r="C59" s="1" t="s">
        <v>454</v>
      </c>
      <c r="D59" s="118" t="str">
        <f>+CUBICACION!D58</f>
        <v>PILAR</v>
      </c>
      <c r="E59" s="118" t="str">
        <f>+CUBICACION!F58</f>
        <v>CJ</v>
      </c>
      <c r="F59" s="118" t="str">
        <f>+CUBICACION!E58</f>
        <v>MM 400X200X4</v>
      </c>
      <c r="G59" s="118">
        <v>12</v>
      </c>
      <c r="H59" s="118">
        <v>2</v>
      </c>
      <c r="I59" s="820">
        <v>26385</v>
      </c>
      <c r="J59" s="118">
        <f>+CUBICACION!J58</f>
        <v>4</v>
      </c>
      <c r="K59" s="118">
        <v>2833</v>
      </c>
      <c r="L59" s="118" t="str">
        <f>+CUBICACION!L58</f>
        <v>F-60</v>
      </c>
      <c r="M59" s="64">
        <f>+CUBICACION!M58</f>
        <v>236</v>
      </c>
      <c r="N59" s="824">
        <f>+CUBICACION!N58</f>
        <v>57.6</v>
      </c>
      <c r="O59" s="675" t="str">
        <f>+CUBICACION!O58</f>
        <v>Fire Tex 5090</v>
      </c>
      <c r="P59" s="15">
        <f>IF(O59="Fire Control",VLOOKUP(_xlfn.MINIFS('FIRE CONTROL'!$C$4:$C$37,'FIRE CONTROL'!$C$4:$C$37,"&gt;="&amp;M59),'FIRE CONTROL'!$C$4:$G$37,IF(L59="F-15",2,IF(L59="F-30",3,IF(L59="F-60",4,IF(L59="F-90",5,0)))),0),0)+IF(AND(O59="FIRE TEX 5062",OR(E59="IN",E59="C",E59="Z",E59="L"),J59=3),VLOOKUP(_xlfn.MINIFS('FIRE TEX 5062'!$B$4:$B$34,'FIRE TEX 5062'!$B$4:$B$34,"&gt;="&amp;M59),'FIRE TEX 5062'!$B$4:$F$34,IF(L59="F-15",2,IF(L59="F-30",3,IF(L59="F-60",4,IF(L59="F-90",5,0)))),0),0)+IF(AND(O59="FIRE TEX 5062",OR(E59="IN",E59="C",E59="Z",E59="L"),J59=4),VLOOKUP(_xlfn.MINIFS('FIRE TEX 5062'!$G$4:$G$34,'FIRE TEX 5062'!$G$4:$G$34,"&gt;="&amp;M59),'FIRE TEX 5062'!$G$4:$K$34,IF(L59="F-15",2,IF(L59="F-30",3,IF(L59="F-60",4,IF(L59="F-90",5,0)))),0),0)+IF(AND(O59="FIRE TEX 5062",E59="CJ",J59=3),VLOOKUP(_xlfn.MINIFS('FIRE TEX 5062'!$L$4:$L$34,'FIRE TEX 5062'!$L$4:$L$34,"&gt;="&amp;M59),'FIRE TEX 5062'!$L$4:$P$34,IF(L59="F-15",2,IF(L59="F-30",3,IF(L59="F-60",4,IF(L59="F-90",5,0)))),0),0)+IF(AND(O59="FIRE TEX 5062",E59="CJ",J59=4),VLOOKUP(_xlfn.MINIFS('FIRE TEX 5062'!$Q$3:$Q$34,'FIRE TEX 5062'!$Q$3:$Q$34,"&gt;="&amp;M59),'FIRE TEX 5062'!$Q$3:$U$34,IF(L59="F-15",2,IF(L59="F-30",3,IF(L59="F-60",4,IF(L59="F-90",5,0)))),0),0)+IF(AND(O59="FIRE TEX 5090",OR(E59="IN",E59="C",E59="Z",E59="L"),J59=3),VLOOKUP(_xlfn.MINIFS('FIRE TEX 5090'!$B$5:$B$43,'FIRE TEX 5090'!$B$5:$B$43,"&gt;="&amp;M59),'FIRE TEX 5090'!$B$5:$H$43,IF(L59="F-15",2,IF(L59="F-30",3,IF(L59="F-60",4,IF(L59="F-90",5,IF(L59="F-120",6,IF(L59="F-150",7,0)))))),0),0)+IF(AND(O59="FIRE TEX 5090",OR(E59="IN",E59="C",E59="Z",E59="L"),J59=4),VLOOKUP(_xlfn.MINIFS('FIRE TEX 5090'!$J$5:$J$43,'FIRE TEX 5090'!$J$5:$J$43,"&gt;="&amp;M59),'FIRE TEX 5090'!$J$5:$P$43,IF(L59="F-15",2,IF(L59="F-30",3,IF(L59="F-60",4,IF(L59="F-90",5,IF(L59="F-120",6,IF(L59="F-150",7,0)))))),0),0)+IF(AND(O59="FIRE TEX 5090",E59="CJ",J59=3),VLOOKUP(_xlfn.MINIFS('FIRE TEX 5090'!$R$5:$R$30,'FIRE TEX 5090'!$R$5:$R$30,"&gt;="&amp;M59),'FIRE TEX 5090'!$R$5:$W$30,IF(L59="F-15",2,IF(L59="F-30",3,IF(L59="F-60",4,IF(L59="F-90",5,IF(L59="F-120",6,IF(L59="F-150",7,0)))))),0),0)+IF(AND(O59="FIRE TEX 5090",E59="CJ",J59=4),VLOOKUP(_xlfn.MINIFS('FIRE TEX 5090'!$Y$5:$Y$39,'FIRE TEX 5090'!$Y$5:$Y$39,"&gt;="&amp;M59),'FIRE TEX 5090'!$Y$5:$AD$39,IF(L59="F-15",2,IF(L59="F-30",3,IF(L59="F-60",4,IF(L59="F-90",5,IF(L59="F-120",6,IF(L59="F-150",7,0)))))),0),0)+IF(AND(O59="FIRE TEX 5120",OR(E59="IN",E59="C",E59="Z",E59="L"),J59=3),VLOOKUP(_xlfn.MINIFS('FIRE TEX 5120'!$B$5:$B$40,'FIRE TEX 5120'!$B$5:$B$40,"&gt;="&amp;M59),'FIRE TEX 5120'!$B$5:$G$40,IF(L59="F-15",2,IF(L59="F-30",3,IF(L59="F-60",4,IF(L59="F-90",5,IF(L59="F-120",6,0))))),0),0)+IF(AND(O59="FIRE TEX 5120",OR(E59="IN",E59="C",E59="Z",E59="L"),J59=4),VLOOKUP(_xlfn.MINIFS('FIRE TEX 5120'!$H$4:$H$40,'FIRE TEX 5120'!$H$4:$H$40,"&gt;="&amp;M59),'FIRE TEX 5120'!$H$4:$M$40,IF(L59="F-15",2,IF(L59="F-30",3,IF(L59="F-60",4,IF(L59="F-90",5,IF(L59="F-120",6,0))))),0),0)+IF(AND(O59="FIRE TEX 5120",E59="CJ"),VLOOKUP(_xlfn.MINIFS('FIRE TEX 5120'!$O$5:$O$40,'FIRE TEX 5120'!$O$5:$O$40,"&gt;="&amp;M59),'FIRE TEX 5120'!$O$5:$T$40,IF(L59="F-15",2,IF(L59="F-30",3,IF(L59="F-60",4,IF(L59="F-90",5,IF(L59="F-120",6,0))))),0),0)</f>
        <v>2196</v>
      </c>
      <c r="Q59" s="46">
        <f t="shared" si="0"/>
        <v>86.456520000000012</v>
      </c>
      <c r="R59" s="46">
        <f t="shared" si="5"/>
        <v>4.0077949008357026</v>
      </c>
      <c r="S59" s="46">
        <f t="shared" si="2"/>
        <v>14.371992935064938</v>
      </c>
      <c r="T59" s="677">
        <f t="shared" si="3"/>
        <v>0</v>
      </c>
      <c r="U59" s="80">
        <f>(IF(O59="Stofire",(S59*#REF!),0))+(IF(O59="Fire Control",(S59*$U$2),0))+(IF(O59="Fire Tex",(S59*$U$3),0))+(IF(O59="WB7",(S59*#REF!),0)+(IF(O59="FX 2003",(S59*$U$5),0)))</f>
        <v>0</v>
      </c>
      <c r="V59" s="651">
        <f t="shared" si="8"/>
        <v>240</v>
      </c>
      <c r="W59" s="4"/>
    </row>
    <row r="60" spans="1:26" x14ac:dyDescent="0.25">
      <c r="A60" s="652" t="s">
        <v>452</v>
      </c>
      <c r="B60" s="653" t="s">
        <v>453</v>
      </c>
      <c r="C60" s="1" t="s">
        <v>408</v>
      </c>
      <c r="D60" s="118" t="str">
        <f>+CUBICACION!D59</f>
        <v>VIGA</v>
      </c>
      <c r="E60" s="118" t="str">
        <f>+CUBICACION!F59</f>
        <v>CJ</v>
      </c>
      <c r="F60" s="118" t="str">
        <f>+CUBICACION!E59</f>
        <v>100X100X3</v>
      </c>
      <c r="G60" s="118">
        <v>12</v>
      </c>
      <c r="H60" s="118">
        <v>2</v>
      </c>
      <c r="I60" s="820">
        <v>26385</v>
      </c>
      <c r="J60" s="118">
        <f>+CUBICACION!J59</f>
        <v>4</v>
      </c>
      <c r="K60" s="118">
        <v>2834</v>
      </c>
      <c r="L60" s="118" t="str">
        <f>+CUBICACION!L59</f>
        <v>F-60</v>
      </c>
      <c r="M60" s="64">
        <f>+CUBICACION!M59</f>
        <v>333</v>
      </c>
      <c r="N60" s="824">
        <f>+CUBICACION!N59</f>
        <v>11.683999999999999</v>
      </c>
      <c r="O60" s="675" t="str">
        <f>+CUBICACION!O59</f>
        <v>Fire Tex 5090</v>
      </c>
      <c r="P60" s="15">
        <f>IF(O60="Fire Control",VLOOKUP(_xlfn.MINIFS('FIRE CONTROL'!$C$4:$C$37,'FIRE CONTROL'!$C$4:$C$37,"&gt;="&amp;M60),'FIRE CONTROL'!$C$4:$G$37,IF(L60="F-15",2,IF(L60="F-30",3,IF(L60="F-60",4,IF(L60="F-90",5,0)))),0),0)+IF(AND(O60="FIRE TEX 5062",OR(E60="IN",E60="C",E60="Z",E60="L"),J60=3),VLOOKUP(_xlfn.MINIFS('FIRE TEX 5062'!$B$4:$B$34,'FIRE TEX 5062'!$B$4:$B$34,"&gt;="&amp;M60),'FIRE TEX 5062'!$B$4:$F$34,IF(L60="F-15",2,IF(L60="F-30",3,IF(L60="F-60",4,IF(L60="F-90",5,0)))),0),0)+IF(AND(O60="FIRE TEX 5062",OR(E60="IN",E60="C",E60="Z",E60="L"),J60=4),VLOOKUP(_xlfn.MINIFS('FIRE TEX 5062'!$G$4:$G$34,'FIRE TEX 5062'!$G$4:$G$34,"&gt;="&amp;M60),'FIRE TEX 5062'!$G$4:$K$34,IF(L60="F-15",2,IF(L60="F-30",3,IF(L60="F-60",4,IF(L60="F-90",5,0)))),0),0)+IF(AND(O60="FIRE TEX 5062",E60="CJ",J60=3),VLOOKUP(_xlfn.MINIFS('FIRE TEX 5062'!$L$4:$L$34,'FIRE TEX 5062'!$L$4:$L$34,"&gt;="&amp;M60),'FIRE TEX 5062'!$L$4:$P$34,IF(L60="F-15",2,IF(L60="F-30",3,IF(L60="F-60",4,IF(L60="F-90",5,0)))),0),0)+IF(AND(O60="FIRE TEX 5062",E60="CJ",J60=4),VLOOKUP(_xlfn.MINIFS('FIRE TEX 5062'!$Q$3:$Q$34,'FIRE TEX 5062'!$Q$3:$Q$34,"&gt;="&amp;M60),'FIRE TEX 5062'!$Q$3:$U$34,IF(L60="F-15",2,IF(L60="F-30",3,IF(L60="F-60",4,IF(L60="F-90",5,0)))),0),0)+IF(AND(O60="FIRE TEX 5090",OR(E60="IN",E60="C",E60="Z",E60="L"),J60=3),VLOOKUP(_xlfn.MINIFS('FIRE TEX 5090'!$B$5:$B$43,'FIRE TEX 5090'!$B$5:$B$43,"&gt;="&amp;M60),'FIRE TEX 5090'!$B$5:$H$43,IF(L60="F-15",2,IF(L60="F-30",3,IF(L60="F-60",4,IF(L60="F-90",5,IF(L60="F-120",6,IF(L60="F-150",7,0)))))),0),0)+IF(AND(O60="FIRE TEX 5090",OR(E60="IN",E60="C",E60="Z",E60="L"),J60=4),VLOOKUP(_xlfn.MINIFS('FIRE TEX 5090'!$J$5:$J$43,'FIRE TEX 5090'!$J$5:$J$43,"&gt;="&amp;M60),'FIRE TEX 5090'!$J$5:$P$43,IF(L60="F-15",2,IF(L60="F-30",3,IF(L60="F-60",4,IF(L60="F-90",5,IF(L60="F-120",6,IF(L60="F-150",7,0)))))),0),0)+IF(AND(O60="FIRE TEX 5090",E60="CJ",J60=3),VLOOKUP(_xlfn.MINIFS('FIRE TEX 5090'!$R$5:$R$30,'FIRE TEX 5090'!$R$5:$R$30,"&gt;="&amp;M60),'FIRE TEX 5090'!$R$5:$W$30,IF(L60="F-15",2,IF(L60="F-30",3,IF(L60="F-60",4,IF(L60="F-90",5,IF(L60="F-120",6,IF(L60="F-150",7,0)))))),0),0)+IF(AND(O60="FIRE TEX 5090",E60="CJ",J60=4),VLOOKUP(_xlfn.MINIFS('FIRE TEX 5090'!$Y$5:$Y$39,'FIRE TEX 5090'!$Y$5:$Y$39,"&gt;="&amp;M60),'FIRE TEX 5090'!$Y$5:$AD$39,IF(L60="F-15",2,IF(L60="F-30",3,IF(L60="F-60",4,IF(L60="F-90",5,IF(L60="F-120",6,IF(L60="F-150",7,0)))))),0),0)+IF(AND(O60="FIRE TEX 5120",OR(E60="IN",E60="C",E60="Z",E60="L"),J60=3),VLOOKUP(_xlfn.MINIFS('FIRE TEX 5120'!$B$5:$B$40,'FIRE TEX 5120'!$B$5:$B$40,"&gt;="&amp;M60),'FIRE TEX 5120'!$B$5:$G$40,IF(L60="F-15",2,IF(L60="F-30",3,IF(L60="F-60",4,IF(L60="F-90",5,IF(L60="F-120",6,0))))),0),0)+IF(AND(O60="FIRE TEX 5120",OR(E60="IN",E60="C",E60="Z",E60="L"),J60=4),VLOOKUP(_xlfn.MINIFS('FIRE TEX 5120'!$H$4:$H$40,'FIRE TEX 5120'!$H$4:$H$40,"&gt;="&amp;M60),'FIRE TEX 5120'!$H$4:$M$40,IF(L60="F-15",2,IF(L60="F-30",3,IF(L60="F-60",4,IF(L60="F-90",5,IF(L60="F-120",6,0))))),0),0)+IF(AND(O60="FIRE TEX 5120",E60="CJ"),VLOOKUP(_xlfn.MINIFS('FIRE TEX 5120'!$O$5:$O$40,'FIRE TEX 5120'!$O$5:$O$40,"&gt;="&amp;M60),'FIRE TEX 5120'!$O$5:$T$40,IF(L60="F-15",2,IF(L60="F-30",3,IF(L60="F-60",4,IF(L60="F-90",5,IF(L60="F-120",6,0))))),0),0)</f>
        <v>2828</v>
      </c>
      <c r="Q60" s="46">
        <f t="shared" si="0"/>
        <v>111.33836000000001</v>
      </c>
      <c r="R60" s="46">
        <f t="shared" si="5"/>
        <v>3.1121349371411613</v>
      </c>
      <c r="S60" s="46">
        <f t="shared" si="2"/>
        <v>3.7543359256565654</v>
      </c>
      <c r="T60" s="677">
        <f t="shared" si="3"/>
        <v>0</v>
      </c>
      <c r="U60" s="80">
        <f>(IF(O60="Stofire",(S60*#REF!),0))+(IF(O60="Fire Control",(S60*$U$2),0))+(IF(O60="Fire Tex",(S60*$U$3),0))+(IF(O60="WB7",(S60*#REF!),0)+(IF(O60="FX 2003",(S60*$U$5),0)))</f>
        <v>0</v>
      </c>
      <c r="V60" s="651">
        <f t="shared" si="8"/>
        <v>340</v>
      </c>
      <c r="W60" s="4"/>
    </row>
    <row r="61" spans="1:26" x14ac:dyDescent="0.25">
      <c r="A61" s="652" t="s">
        <v>452</v>
      </c>
      <c r="B61" s="653" t="s">
        <v>453</v>
      </c>
      <c r="C61" s="1" t="s">
        <v>408</v>
      </c>
      <c r="D61" s="118" t="str">
        <f>+CUBICACION!D60</f>
        <v>VIGA BAJO LOSA</v>
      </c>
      <c r="E61" s="118" t="str">
        <f>+CUBICACION!F60</f>
        <v>CJ</v>
      </c>
      <c r="F61" s="118" t="str">
        <f>+CUBICACION!E60</f>
        <v>200X100X8,5X5,6</v>
      </c>
      <c r="G61" s="118">
        <v>12</v>
      </c>
      <c r="H61" s="118">
        <v>2</v>
      </c>
      <c r="I61" s="820">
        <v>26385</v>
      </c>
      <c r="J61" s="118">
        <f>+CUBICACION!J60</f>
        <v>3</v>
      </c>
      <c r="K61" s="118">
        <v>2835</v>
      </c>
      <c r="L61" s="118">
        <f>+CUBICACION!L60</f>
        <v>60</v>
      </c>
      <c r="M61" s="64">
        <f>+CUBICACION!M60</f>
        <v>265</v>
      </c>
      <c r="N61" s="824">
        <f>+CUBICACION!N60</f>
        <v>21.118829999999999</v>
      </c>
      <c r="O61" s="675" t="str">
        <f>+CUBICACION!O60</f>
        <v>Blaze Shield II</v>
      </c>
      <c r="P61" s="15">
        <f>IF(O61="Fire Control",VLOOKUP(_xlfn.MINIFS('FIRE CONTROL'!$C$4:$C$37,'FIRE CONTROL'!$C$4:$C$37,"&gt;="&amp;M61),'FIRE CONTROL'!$C$4:$G$37,IF(L61="F-15",2,IF(L61="F-30",3,IF(L61="F-60",4,IF(L61="F-90",5,0)))),0),0)+IF(AND(O61="FIRE TEX 5062",OR(E61="IN",E61="C",E61="Z",E61="L"),J61=3),VLOOKUP(_xlfn.MINIFS('FIRE TEX 5062'!$B$4:$B$34,'FIRE TEX 5062'!$B$4:$B$34,"&gt;="&amp;M61),'FIRE TEX 5062'!$B$4:$F$34,IF(L61="F-15",2,IF(L61="F-30",3,IF(L61="F-60",4,IF(L61="F-90",5,0)))),0),0)+IF(AND(O61="FIRE TEX 5062",OR(E61="IN",E61="C",E61="Z",E61="L"),J61=4),VLOOKUP(_xlfn.MINIFS('FIRE TEX 5062'!$G$4:$G$34,'FIRE TEX 5062'!$G$4:$G$34,"&gt;="&amp;M61),'FIRE TEX 5062'!$G$4:$K$34,IF(L61="F-15",2,IF(L61="F-30",3,IF(L61="F-60",4,IF(L61="F-90",5,0)))),0),0)+IF(AND(O61="FIRE TEX 5062",E61="CJ",J61=3),VLOOKUP(_xlfn.MINIFS('FIRE TEX 5062'!$L$4:$L$34,'FIRE TEX 5062'!$L$4:$L$34,"&gt;="&amp;M61),'FIRE TEX 5062'!$L$4:$P$34,IF(L61="F-15",2,IF(L61="F-30",3,IF(L61="F-60",4,IF(L61="F-90",5,0)))),0),0)+IF(AND(O61="FIRE TEX 5062",E61="CJ",J61=4),VLOOKUP(_xlfn.MINIFS('FIRE TEX 5062'!$Q$3:$Q$34,'FIRE TEX 5062'!$Q$3:$Q$34,"&gt;="&amp;M61),'FIRE TEX 5062'!$Q$3:$U$34,IF(L61="F-15",2,IF(L61="F-30",3,IF(L61="F-60",4,IF(L61="F-90",5,0)))),0),0)+IF(AND(O61="FIRE TEX 5090",OR(E61="IN",E61="C",E61="Z",E61="L"),J61=3),VLOOKUP(_xlfn.MINIFS('FIRE TEX 5090'!$B$5:$B$43,'FIRE TEX 5090'!$B$5:$B$43,"&gt;="&amp;M61),'FIRE TEX 5090'!$B$5:$H$43,IF(L61="F-15",2,IF(L61="F-30",3,IF(L61="F-60",4,IF(L61="F-90",5,IF(L61="F-120",6,IF(L61="F-150",7,0)))))),0),0)+IF(AND(O61="FIRE TEX 5090",OR(E61="IN",E61="C",E61="Z",E61="L"),J61=4),VLOOKUP(_xlfn.MINIFS('FIRE TEX 5090'!$J$5:$J$43,'FIRE TEX 5090'!$J$5:$J$43,"&gt;="&amp;M61),'FIRE TEX 5090'!$J$5:$P$43,IF(L61="F-15",2,IF(L61="F-30",3,IF(L61="F-60",4,IF(L61="F-90",5,IF(L61="F-120",6,IF(L61="F-150",7,0)))))),0),0)+IF(AND(O61="FIRE TEX 5090",E61="CJ",J61=3),VLOOKUP(_xlfn.MINIFS('FIRE TEX 5090'!$R$5:$R$30,'FIRE TEX 5090'!$R$5:$R$30,"&gt;="&amp;M61),'FIRE TEX 5090'!$R$5:$W$30,IF(L61="F-15",2,IF(L61="F-30",3,IF(L61="F-60",4,IF(L61="F-90",5,IF(L61="F-120",6,IF(L61="F-150",7,0)))))),0),0)+IF(AND(O61="FIRE TEX 5090",E61="CJ",J61=4),VLOOKUP(_xlfn.MINIFS('FIRE TEX 5090'!$Y$5:$Y$39,'FIRE TEX 5090'!$Y$5:$Y$39,"&gt;="&amp;M61),'FIRE TEX 5090'!$Y$5:$AD$39,IF(L61="F-15",2,IF(L61="F-30",3,IF(L61="F-60",4,IF(L61="F-90",5,IF(L61="F-120",6,IF(L61="F-150",7,0)))))),0),0)+IF(AND(O61="FIRE TEX 5120",OR(E61="IN",E61="C",E61="Z",E61="L"),J61=3),VLOOKUP(_xlfn.MINIFS('FIRE TEX 5120'!$B$5:$B$40,'FIRE TEX 5120'!$B$5:$B$40,"&gt;="&amp;M61),'FIRE TEX 5120'!$B$5:$G$40,IF(L61="F-15",2,IF(L61="F-30",3,IF(L61="F-60",4,IF(L61="F-90",5,IF(L61="F-120",6,0))))),0),0)+IF(AND(O61="FIRE TEX 5120",OR(E61="IN",E61="C",E61="Z",E61="L"),J61=4),VLOOKUP(_xlfn.MINIFS('FIRE TEX 5120'!$H$4:$H$40,'FIRE TEX 5120'!$H$4:$H$40,"&gt;="&amp;M61),'FIRE TEX 5120'!$H$4:$M$40,IF(L61="F-15",2,IF(L61="F-30",3,IF(L61="F-60",4,IF(L61="F-90",5,IF(L61="F-120",6,0))))),0),0)+IF(AND(O61="FIRE TEX 5120",E61="CJ"),VLOOKUP(_xlfn.MINIFS('FIRE TEX 5120'!$O$5:$O$40,'FIRE TEX 5120'!$O$5:$O$40,"&gt;="&amp;M61),'FIRE TEX 5120'!$O$5:$T$40,IF(L61="F-15",2,IF(L61="F-30",3,IF(L61="F-60",4,IF(L61="F-90",5,IF(L61="F-120",6,0))))),0),0)</f>
        <v>0</v>
      </c>
      <c r="Q61" s="46">
        <f t="shared" si="0"/>
        <v>0</v>
      </c>
      <c r="R61" s="46">
        <f t="shared" si="5"/>
        <v>0</v>
      </c>
      <c r="S61" s="46" t="e">
        <f t="shared" si="2"/>
        <v>#DIV/0!</v>
      </c>
      <c r="T61" s="677">
        <f t="shared" si="3"/>
        <v>0</v>
      </c>
      <c r="U61" s="80">
        <f>(IF(O61="Stofire",(S61*#REF!),0))+(IF(O61="Fire Control",(S61*$U$2),0))+(IF(O61="Fire Tex",(S61*$U$3),0))+(IF(O61="WB7",(S61*#REF!),0)+(IF(O61="FX 2003",(S61*$U$5),0)))</f>
        <v>0</v>
      </c>
      <c r="V61" s="651">
        <f t="shared" si="8"/>
        <v>270</v>
      </c>
      <c r="W61" s="4"/>
    </row>
    <row r="62" spans="1:26" x14ac:dyDescent="0.25">
      <c r="A62" s="652" t="s">
        <v>456</v>
      </c>
      <c r="B62" s="653" t="s">
        <v>453</v>
      </c>
      <c r="C62" s="1" t="s">
        <v>457</v>
      </c>
      <c r="D62" s="118" t="str">
        <f>+CUBICACION!D61</f>
        <v>PILAR</v>
      </c>
      <c r="E62" s="118" t="str">
        <f>+CUBICACION!F61</f>
        <v>CJ</v>
      </c>
      <c r="F62" s="118" t="str">
        <f>+CUBICACION!E61</f>
        <v>150X150X5</v>
      </c>
      <c r="G62" s="118">
        <v>12</v>
      </c>
      <c r="H62" s="118">
        <v>2</v>
      </c>
      <c r="I62" s="820">
        <v>26385</v>
      </c>
      <c r="J62" s="118">
        <f>+CUBICACION!J61</f>
        <v>4</v>
      </c>
      <c r="K62" s="118">
        <v>2836</v>
      </c>
      <c r="L62" s="118" t="str">
        <f>+CUBICACION!L61</f>
        <v>F-60</v>
      </c>
      <c r="M62" s="64">
        <f>+CUBICACION!M61</f>
        <v>200</v>
      </c>
      <c r="N62" s="824">
        <f>+CUBICACION!N61</f>
        <v>4.8</v>
      </c>
      <c r="O62" s="675" t="str">
        <f>+CUBICACION!O61</f>
        <v>Fire Tex 5090</v>
      </c>
      <c r="P62" s="15">
        <f>IF(O62="Fire Control",VLOOKUP(_xlfn.MINIFS('FIRE CONTROL'!$C$4:$C$37,'FIRE CONTROL'!$C$4:$C$37,"&gt;="&amp;M62),'FIRE CONTROL'!$C$4:$G$37,IF(L62="F-15",2,IF(L62="F-30",3,IF(L62="F-60",4,IF(L62="F-90",5,0)))),0),0)+IF(AND(O62="FIRE TEX 5062",OR(E62="IN",E62="C",E62="Z",E62="L"),J62=3),VLOOKUP(_xlfn.MINIFS('FIRE TEX 5062'!$B$4:$B$34,'FIRE TEX 5062'!$B$4:$B$34,"&gt;="&amp;M62),'FIRE TEX 5062'!$B$4:$F$34,IF(L62="F-15",2,IF(L62="F-30",3,IF(L62="F-60",4,IF(L62="F-90",5,0)))),0),0)+IF(AND(O62="FIRE TEX 5062",OR(E62="IN",E62="C",E62="Z",E62="L"),J62=4),VLOOKUP(_xlfn.MINIFS('FIRE TEX 5062'!$G$4:$G$34,'FIRE TEX 5062'!$G$4:$G$34,"&gt;="&amp;M62),'FIRE TEX 5062'!$G$4:$K$34,IF(L62="F-15",2,IF(L62="F-30",3,IF(L62="F-60",4,IF(L62="F-90",5,0)))),0),0)+IF(AND(O62="FIRE TEX 5062",E62="CJ",J62=3),VLOOKUP(_xlfn.MINIFS('FIRE TEX 5062'!$L$4:$L$34,'FIRE TEX 5062'!$L$4:$L$34,"&gt;="&amp;M62),'FIRE TEX 5062'!$L$4:$P$34,IF(L62="F-15",2,IF(L62="F-30",3,IF(L62="F-60",4,IF(L62="F-90",5,0)))),0),0)+IF(AND(O62="FIRE TEX 5062",E62="CJ",J62=4),VLOOKUP(_xlfn.MINIFS('FIRE TEX 5062'!$Q$3:$Q$34,'FIRE TEX 5062'!$Q$3:$Q$34,"&gt;="&amp;M62),'FIRE TEX 5062'!$Q$3:$U$34,IF(L62="F-15",2,IF(L62="F-30",3,IF(L62="F-60",4,IF(L62="F-90",5,0)))),0),0)+IF(AND(O62="FIRE TEX 5090",OR(E62="IN",E62="C",E62="Z",E62="L"),J62=3),VLOOKUP(_xlfn.MINIFS('FIRE TEX 5090'!$B$5:$B$43,'FIRE TEX 5090'!$B$5:$B$43,"&gt;="&amp;M62),'FIRE TEX 5090'!$B$5:$H$43,IF(L62="F-15",2,IF(L62="F-30",3,IF(L62="F-60",4,IF(L62="F-90",5,IF(L62="F-120",6,IF(L62="F-150",7,0)))))),0),0)+IF(AND(O62="FIRE TEX 5090",OR(E62="IN",E62="C",E62="Z",E62="L"),J62=4),VLOOKUP(_xlfn.MINIFS('FIRE TEX 5090'!$J$5:$J$43,'FIRE TEX 5090'!$J$5:$J$43,"&gt;="&amp;M62),'FIRE TEX 5090'!$J$5:$P$43,IF(L62="F-15",2,IF(L62="F-30",3,IF(L62="F-60",4,IF(L62="F-90",5,IF(L62="F-120",6,IF(L62="F-150",7,0)))))),0),0)+IF(AND(O62="FIRE TEX 5090",E62="CJ",J62=3),VLOOKUP(_xlfn.MINIFS('FIRE TEX 5090'!$R$5:$R$30,'FIRE TEX 5090'!$R$5:$R$30,"&gt;="&amp;M62),'FIRE TEX 5090'!$R$5:$W$30,IF(L62="F-15",2,IF(L62="F-30",3,IF(L62="F-60",4,IF(L62="F-90",5,IF(L62="F-120",6,IF(L62="F-150",7,0)))))),0),0)+IF(AND(O62="FIRE TEX 5090",E62="CJ",J62=4),VLOOKUP(_xlfn.MINIFS('FIRE TEX 5090'!$Y$5:$Y$39,'FIRE TEX 5090'!$Y$5:$Y$39,"&gt;="&amp;M62),'FIRE TEX 5090'!$Y$5:$AD$39,IF(L62="F-15",2,IF(L62="F-30",3,IF(L62="F-60",4,IF(L62="F-90",5,IF(L62="F-120",6,IF(L62="F-150",7,0)))))),0),0)+IF(AND(O62="FIRE TEX 5120",OR(E62="IN",E62="C",E62="Z",E62="L"),J62=3),VLOOKUP(_xlfn.MINIFS('FIRE TEX 5120'!$B$5:$B$40,'FIRE TEX 5120'!$B$5:$B$40,"&gt;="&amp;M62),'FIRE TEX 5120'!$B$5:$G$40,IF(L62="F-15",2,IF(L62="F-30",3,IF(L62="F-60",4,IF(L62="F-90",5,IF(L62="F-120",6,0))))),0),0)+IF(AND(O62="FIRE TEX 5120",OR(E62="IN",E62="C",E62="Z",E62="L"),J62=4),VLOOKUP(_xlfn.MINIFS('FIRE TEX 5120'!$H$4:$H$40,'FIRE TEX 5120'!$H$4:$H$40,"&gt;="&amp;M62),'FIRE TEX 5120'!$H$4:$M$40,IF(L62="F-15",2,IF(L62="F-30",3,IF(L62="F-60",4,IF(L62="F-90",5,IF(L62="F-120",6,0))))),0),0)+IF(AND(O62="FIRE TEX 5120",E62="CJ"),VLOOKUP(_xlfn.MINIFS('FIRE TEX 5120'!$O$5:$O$40,'FIRE TEX 5120'!$O$5:$O$40,"&gt;="&amp;M62),'FIRE TEX 5120'!$O$5:$T$40,IF(L62="F-15",2,IF(L62="F-30",3,IF(L62="F-60",4,IF(L62="F-90",5,IF(L62="F-120",6,0))))),0),0)</f>
        <v>1930</v>
      </c>
      <c r="Q62" s="46">
        <f t="shared" si="0"/>
        <v>75.984099999999998</v>
      </c>
      <c r="R62" s="46">
        <f t="shared" si="5"/>
        <v>4.5601645607436296</v>
      </c>
      <c r="S62" s="46">
        <f t="shared" si="2"/>
        <v>1.052593593073593</v>
      </c>
      <c r="T62" s="677">
        <f t="shared" si="3"/>
        <v>0</v>
      </c>
      <c r="U62" s="80">
        <f>(IF(O62="Stofire",(S62*#REF!),0))+(IF(O62="Fire Control",(S62*$U$2),0))+(IF(O62="Fire Tex",(S62*$U$3),0))+(IF(O62="WB7",(S62*#REF!),0)+(IF(O62="FX 2003",(S62*$U$5),0)))</f>
        <v>0</v>
      </c>
      <c r="V62" s="651">
        <f t="shared" si="8"/>
        <v>200</v>
      </c>
      <c r="W62" s="4"/>
    </row>
    <row r="63" spans="1:26" x14ac:dyDescent="0.25">
      <c r="A63" s="652" t="s">
        <v>456</v>
      </c>
      <c r="B63" s="653" t="s">
        <v>453</v>
      </c>
      <c r="C63" s="1" t="s">
        <v>408</v>
      </c>
      <c r="D63" s="118" t="str">
        <f>+CUBICACION!D62</f>
        <v>ARRIOSTRAMINETO VERTICAL</v>
      </c>
      <c r="E63" s="118" t="str">
        <f>+CUBICACION!F62</f>
        <v>CJ</v>
      </c>
      <c r="F63" s="118" t="str">
        <f>+CUBICACION!E62</f>
        <v>100X100X3</v>
      </c>
      <c r="G63" s="118">
        <v>12</v>
      </c>
      <c r="H63" s="118">
        <v>2</v>
      </c>
      <c r="I63" s="820">
        <v>26385</v>
      </c>
      <c r="J63" s="118">
        <f>+CUBICACION!J62</f>
        <v>4</v>
      </c>
      <c r="K63" s="118">
        <v>2837</v>
      </c>
      <c r="L63" s="118" t="str">
        <f>+CUBICACION!L62</f>
        <v>F-60</v>
      </c>
      <c r="M63" s="64">
        <f>+CUBICACION!M62</f>
        <v>333</v>
      </c>
      <c r="N63" s="824">
        <f>+CUBICACION!N62</f>
        <v>11.52</v>
      </c>
      <c r="O63" s="675" t="str">
        <f>+CUBICACION!O62</f>
        <v>Fire Tex 5090</v>
      </c>
      <c r="P63" s="15">
        <f>IF(O63="Fire Control",VLOOKUP(_xlfn.MINIFS('FIRE CONTROL'!$C$4:$C$37,'FIRE CONTROL'!$C$4:$C$37,"&gt;="&amp;M63),'FIRE CONTROL'!$C$4:$G$37,IF(L63="F-15",2,IF(L63="F-30",3,IF(L63="F-60",4,IF(L63="F-90",5,0)))),0),0)+IF(AND(O63="FIRE TEX 5062",OR(E63="IN",E63="C",E63="Z",E63="L"),J63=3),VLOOKUP(_xlfn.MINIFS('FIRE TEX 5062'!$B$4:$B$34,'FIRE TEX 5062'!$B$4:$B$34,"&gt;="&amp;M63),'FIRE TEX 5062'!$B$4:$F$34,IF(L63="F-15",2,IF(L63="F-30",3,IF(L63="F-60",4,IF(L63="F-90",5,0)))),0),0)+IF(AND(O63="FIRE TEX 5062",OR(E63="IN",E63="C",E63="Z",E63="L"),J63=4),VLOOKUP(_xlfn.MINIFS('FIRE TEX 5062'!$G$4:$G$34,'FIRE TEX 5062'!$G$4:$G$34,"&gt;="&amp;M63),'FIRE TEX 5062'!$G$4:$K$34,IF(L63="F-15",2,IF(L63="F-30",3,IF(L63="F-60",4,IF(L63="F-90",5,0)))),0),0)+IF(AND(O63="FIRE TEX 5062",E63="CJ",J63=3),VLOOKUP(_xlfn.MINIFS('FIRE TEX 5062'!$L$4:$L$34,'FIRE TEX 5062'!$L$4:$L$34,"&gt;="&amp;M63),'FIRE TEX 5062'!$L$4:$P$34,IF(L63="F-15",2,IF(L63="F-30",3,IF(L63="F-60",4,IF(L63="F-90",5,0)))),0),0)+IF(AND(O63="FIRE TEX 5062",E63="CJ",J63=4),VLOOKUP(_xlfn.MINIFS('FIRE TEX 5062'!$Q$3:$Q$34,'FIRE TEX 5062'!$Q$3:$Q$34,"&gt;="&amp;M63),'FIRE TEX 5062'!$Q$3:$U$34,IF(L63="F-15",2,IF(L63="F-30",3,IF(L63="F-60",4,IF(L63="F-90",5,0)))),0),0)+IF(AND(O63="FIRE TEX 5090",OR(E63="IN",E63="C",E63="Z",E63="L"),J63=3),VLOOKUP(_xlfn.MINIFS('FIRE TEX 5090'!$B$5:$B$43,'FIRE TEX 5090'!$B$5:$B$43,"&gt;="&amp;M63),'FIRE TEX 5090'!$B$5:$H$43,IF(L63="F-15",2,IF(L63="F-30",3,IF(L63="F-60",4,IF(L63="F-90",5,IF(L63="F-120",6,IF(L63="F-150",7,0)))))),0),0)+IF(AND(O63="FIRE TEX 5090",OR(E63="IN",E63="C",E63="Z",E63="L"),J63=4),VLOOKUP(_xlfn.MINIFS('FIRE TEX 5090'!$J$5:$J$43,'FIRE TEX 5090'!$J$5:$J$43,"&gt;="&amp;M63),'FIRE TEX 5090'!$J$5:$P$43,IF(L63="F-15",2,IF(L63="F-30",3,IF(L63="F-60",4,IF(L63="F-90",5,IF(L63="F-120",6,IF(L63="F-150",7,0)))))),0),0)+IF(AND(O63="FIRE TEX 5090",E63="CJ",J63=3),VLOOKUP(_xlfn.MINIFS('FIRE TEX 5090'!$R$5:$R$30,'FIRE TEX 5090'!$R$5:$R$30,"&gt;="&amp;M63),'FIRE TEX 5090'!$R$5:$W$30,IF(L63="F-15",2,IF(L63="F-30",3,IF(L63="F-60",4,IF(L63="F-90",5,IF(L63="F-120",6,IF(L63="F-150",7,0)))))),0),0)+IF(AND(O63="FIRE TEX 5090",E63="CJ",J63=4),VLOOKUP(_xlfn.MINIFS('FIRE TEX 5090'!$Y$5:$Y$39,'FIRE TEX 5090'!$Y$5:$Y$39,"&gt;="&amp;M63),'FIRE TEX 5090'!$Y$5:$AD$39,IF(L63="F-15",2,IF(L63="F-30",3,IF(L63="F-60",4,IF(L63="F-90",5,IF(L63="F-120",6,IF(L63="F-150",7,0)))))),0),0)+IF(AND(O63="FIRE TEX 5120",OR(E63="IN",E63="C",E63="Z",E63="L"),J63=3),VLOOKUP(_xlfn.MINIFS('FIRE TEX 5120'!$B$5:$B$40,'FIRE TEX 5120'!$B$5:$B$40,"&gt;="&amp;M63),'FIRE TEX 5120'!$B$5:$G$40,IF(L63="F-15",2,IF(L63="F-30",3,IF(L63="F-60",4,IF(L63="F-90",5,IF(L63="F-120",6,0))))),0),0)+IF(AND(O63="FIRE TEX 5120",OR(E63="IN",E63="C",E63="Z",E63="L"),J63=4),VLOOKUP(_xlfn.MINIFS('FIRE TEX 5120'!$H$4:$H$40,'FIRE TEX 5120'!$H$4:$H$40,"&gt;="&amp;M63),'FIRE TEX 5120'!$H$4:$M$40,IF(L63="F-15",2,IF(L63="F-30",3,IF(L63="F-60",4,IF(L63="F-90",5,IF(L63="F-120",6,0))))),0),0)+IF(AND(O63="FIRE TEX 5120",E63="CJ"),VLOOKUP(_xlfn.MINIFS('FIRE TEX 5120'!$O$5:$O$40,'FIRE TEX 5120'!$O$5:$O$40,"&gt;="&amp;M63),'FIRE TEX 5120'!$O$5:$T$40,IF(L63="F-15",2,IF(L63="F-30",3,IF(L63="F-60",4,IF(L63="F-90",5,IF(L63="F-120",6,0))))),0),0)</f>
        <v>2828</v>
      </c>
      <c r="Q63" s="46">
        <f t="shared" si="0"/>
        <v>111.33836000000001</v>
      </c>
      <c r="R63" s="46">
        <f t="shared" si="5"/>
        <v>3.1121349371411613</v>
      </c>
      <c r="S63" s="46">
        <f t="shared" si="2"/>
        <v>3.7016389818181819</v>
      </c>
      <c r="T63" s="677">
        <f t="shared" si="3"/>
        <v>0</v>
      </c>
      <c r="U63" s="80">
        <f>(IF(O63="Stofire",(S63*#REF!),0))+(IF(O63="Fire Control",(S63*$U$2),0))+(IF(O63="Fire Tex",(S63*$U$3),0))+(IF(O63="WB7",(S63*#REF!),0)+(IF(O63="FX 2003",(S63*$U$5),0)))</f>
        <v>0</v>
      </c>
      <c r="V63" s="651">
        <f t="shared" si="8"/>
        <v>340</v>
      </c>
      <c r="W63" s="4"/>
    </row>
    <row r="64" spans="1:26" x14ac:dyDescent="0.25">
      <c r="A64" s="652" t="s">
        <v>456</v>
      </c>
      <c r="B64" s="653" t="s">
        <v>453</v>
      </c>
      <c r="C64" s="1" t="s">
        <v>408</v>
      </c>
      <c r="D64" s="118" t="str">
        <f>+CUBICACION!D63</f>
        <v>ARRIOSTRAMINETO VERTICAL</v>
      </c>
      <c r="E64" s="118" t="str">
        <f>+CUBICACION!F63</f>
        <v>CJ</v>
      </c>
      <c r="F64" s="118" t="str">
        <f>+CUBICACION!E63</f>
        <v>100X100X3</v>
      </c>
      <c r="G64" s="118">
        <v>12</v>
      </c>
      <c r="H64" s="118">
        <v>2</v>
      </c>
      <c r="I64" s="820">
        <v>26385</v>
      </c>
      <c r="J64" s="118">
        <f>+CUBICACION!J63</f>
        <v>4</v>
      </c>
      <c r="K64" s="118">
        <v>2838</v>
      </c>
      <c r="L64" s="118" t="str">
        <f>+CUBICACION!L63</f>
        <v>F-60</v>
      </c>
      <c r="M64" s="64">
        <f>+CUBICACION!M63</f>
        <v>333</v>
      </c>
      <c r="N64" s="824">
        <f>+CUBICACION!N63</f>
        <v>10.72</v>
      </c>
      <c r="O64" s="675" t="str">
        <f>+CUBICACION!O63</f>
        <v>Fire Tex 5090</v>
      </c>
      <c r="P64" s="15">
        <f>IF(O64="Fire Control",VLOOKUP(_xlfn.MINIFS('FIRE CONTROL'!$C$4:$C$37,'FIRE CONTROL'!$C$4:$C$37,"&gt;="&amp;M64),'FIRE CONTROL'!$C$4:$G$37,IF(L64="F-15",2,IF(L64="F-30",3,IF(L64="F-60",4,IF(L64="F-90",5,0)))),0),0)+IF(AND(O64="FIRE TEX 5062",OR(E64="IN",E64="C",E64="Z",E64="L"),J64=3),VLOOKUP(_xlfn.MINIFS('FIRE TEX 5062'!$B$4:$B$34,'FIRE TEX 5062'!$B$4:$B$34,"&gt;="&amp;M64),'FIRE TEX 5062'!$B$4:$F$34,IF(L64="F-15",2,IF(L64="F-30",3,IF(L64="F-60",4,IF(L64="F-90",5,0)))),0),0)+IF(AND(O64="FIRE TEX 5062",OR(E64="IN",E64="C",E64="Z",E64="L"),J64=4),VLOOKUP(_xlfn.MINIFS('FIRE TEX 5062'!$G$4:$G$34,'FIRE TEX 5062'!$G$4:$G$34,"&gt;="&amp;M64),'FIRE TEX 5062'!$G$4:$K$34,IF(L64="F-15",2,IF(L64="F-30",3,IF(L64="F-60",4,IF(L64="F-90",5,0)))),0),0)+IF(AND(O64="FIRE TEX 5062",E64="CJ",J64=3),VLOOKUP(_xlfn.MINIFS('FIRE TEX 5062'!$L$4:$L$34,'FIRE TEX 5062'!$L$4:$L$34,"&gt;="&amp;M64),'FIRE TEX 5062'!$L$4:$P$34,IF(L64="F-15",2,IF(L64="F-30",3,IF(L64="F-60",4,IF(L64="F-90",5,0)))),0),0)+IF(AND(O64="FIRE TEX 5062",E64="CJ",J64=4),VLOOKUP(_xlfn.MINIFS('FIRE TEX 5062'!$Q$3:$Q$34,'FIRE TEX 5062'!$Q$3:$Q$34,"&gt;="&amp;M64),'FIRE TEX 5062'!$Q$3:$U$34,IF(L64="F-15",2,IF(L64="F-30",3,IF(L64="F-60",4,IF(L64="F-90",5,0)))),0),0)+IF(AND(O64="FIRE TEX 5090",OR(E64="IN",E64="C",E64="Z",E64="L"),J64=3),VLOOKUP(_xlfn.MINIFS('FIRE TEX 5090'!$B$5:$B$43,'FIRE TEX 5090'!$B$5:$B$43,"&gt;="&amp;M64),'FIRE TEX 5090'!$B$5:$H$43,IF(L64="F-15",2,IF(L64="F-30",3,IF(L64="F-60",4,IF(L64="F-90",5,IF(L64="F-120",6,IF(L64="F-150",7,0)))))),0),0)+IF(AND(O64="FIRE TEX 5090",OR(E64="IN",E64="C",E64="Z",E64="L"),J64=4),VLOOKUP(_xlfn.MINIFS('FIRE TEX 5090'!$J$5:$J$43,'FIRE TEX 5090'!$J$5:$J$43,"&gt;="&amp;M64),'FIRE TEX 5090'!$J$5:$P$43,IF(L64="F-15",2,IF(L64="F-30",3,IF(L64="F-60",4,IF(L64="F-90",5,IF(L64="F-120",6,IF(L64="F-150",7,0)))))),0),0)+IF(AND(O64="FIRE TEX 5090",E64="CJ",J64=3),VLOOKUP(_xlfn.MINIFS('FIRE TEX 5090'!$R$5:$R$30,'FIRE TEX 5090'!$R$5:$R$30,"&gt;="&amp;M64),'FIRE TEX 5090'!$R$5:$W$30,IF(L64="F-15",2,IF(L64="F-30",3,IF(L64="F-60",4,IF(L64="F-90",5,IF(L64="F-120",6,IF(L64="F-150",7,0)))))),0),0)+IF(AND(O64="FIRE TEX 5090",E64="CJ",J64=4),VLOOKUP(_xlfn.MINIFS('FIRE TEX 5090'!$Y$5:$Y$39,'FIRE TEX 5090'!$Y$5:$Y$39,"&gt;="&amp;M64),'FIRE TEX 5090'!$Y$5:$AD$39,IF(L64="F-15",2,IF(L64="F-30",3,IF(L64="F-60",4,IF(L64="F-90",5,IF(L64="F-120",6,IF(L64="F-150",7,0)))))),0),0)+IF(AND(O64="FIRE TEX 5120",OR(E64="IN",E64="C",E64="Z",E64="L"),J64=3),VLOOKUP(_xlfn.MINIFS('FIRE TEX 5120'!$B$5:$B$40,'FIRE TEX 5120'!$B$5:$B$40,"&gt;="&amp;M64),'FIRE TEX 5120'!$B$5:$G$40,IF(L64="F-15",2,IF(L64="F-30",3,IF(L64="F-60",4,IF(L64="F-90",5,IF(L64="F-120",6,0))))),0),0)+IF(AND(O64="FIRE TEX 5120",OR(E64="IN",E64="C",E64="Z",E64="L"),J64=4),VLOOKUP(_xlfn.MINIFS('FIRE TEX 5120'!$H$4:$H$40,'FIRE TEX 5120'!$H$4:$H$40,"&gt;="&amp;M64),'FIRE TEX 5120'!$H$4:$M$40,IF(L64="F-15",2,IF(L64="F-30",3,IF(L64="F-60",4,IF(L64="F-90",5,IF(L64="F-120",6,0))))),0),0)+IF(AND(O64="FIRE TEX 5120",E64="CJ"),VLOOKUP(_xlfn.MINIFS('FIRE TEX 5120'!$O$5:$O$40,'FIRE TEX 5120'!$O$5:$O$40,"&gt;="&amp;M64),'FIRE TEX 5120'!$O$5:$T$40,IF(L64="F-15",2,IF(L64="F-30",3,IF(L64="F-60",4,IF(L64="F-90",5,IF(L64="F-120",6,0))))),0),0)</f>
        <v>2828</v>
      </c>
      <c r="Q64" s="46">
        <f t="shared" si="0"/>
        <v>111.33836000000001</v>
      </c>
      <c r="R64" s="46">
        <f t="shared" si="5"/>
        <v>3.1121349371411613</v>
      </c>
      <c r="S64" s="46">
        <f t="shared" si="2"/>
        <v>3.4445807191919195</v>
      </c>
      <c r="T64" s="677">
        <f t="shared" si="3"/>
        <v>0</v>
      </c>
      <c r="U64" s="80">
        <f>(IF(O64="Stofire",(S64*#REF!),0))+(IF(O64="Fire Control",(S64*$U$2),0))+(IF(O64="Fire Tex",(S64*$U$3),0))+(IF(O64="WB7",(S64*#REF!),0)+(IF(O64="FX 2003",(S64*$U$5),0)))</f>
        <v>0</v>
      </c>
      <c r="V64" s="651">
        <f t="shared" si="8"/>
        <v>340</v>
      </c>
      <c r="W64" s="4"/>
    </row>
    <row r="65" spans="1:23" x14ac:dyDescent="0.25">
      <c r="A65" s="652" t="s">
        <v>458</v>
      </c>
      <c r="B65" s="653" t="s">
        <v>459</v>
      </c>
      <c r="C65" s="1" t="s">
        <v>460</v>
      </c>
      <c r="D65" s="118" t="str">
        <f>+CUBICACION!D64</f>
        <v>ARRIOSTRAMINETO VERTICAL</v>
      </c>
      <c r="E65" s="118" t="str">
        <f>+CUBICACION!F64</f>
        <v>CJ</v>
      </c>
      <c r="F65" s="118" t="str">
        <f>+CUBICACION!E64</f>
        <v>100X100X3</v>
      </c>
      <c r="G65" s="118">
        <v>12</v>
      </c>
      <c r="H65" s="118">
        <v>2</v>
      </c>
      <c r="I65" s="820">
        <v>26385</v>
      </c>
      <c r="J65" s="118">
        <f>+CUBICACION!J64</f>
        <v>4</v>
      </c>
      <c r="K65" s="118">
        <v>2839</v>
      </c>
      <c r="L65" s="118" t="str">
        <f>+CUBICACION!L64</f>
        <v>F-60</v>
      </c>
      <c r="M65" s="64">
        <f>+CUBICACION!M64</f>
        <v>333</v>
      </c>
      <c r="N65" s="824">
        <f>+CUBICACION!N64</f>
        <v>4.6399999999999997</v>
      </c>
      <c r="O65" s="675" t="str">
        <f>+CUBICACION!O64</f>
        <v>Fire Tex 5090</v>
      </c>
      <c r="P65" s="15">
        <f>IF(O65="Fire Control",VLOOKUP(_xlfn.MINIFS('FIRE CONTROL'!$C$4:$C$37,'FIRE CONTROL'!$C$4:$C$37,"&gt;="&amp;M65),'FIRE CONTROL'!$C$4:$G$37,IF(L65="F-15",2,IF(L65="F-30",3,IF(L65="F-60",4,IF(L65="F-90",5,0)))),0),0)+IF(AND(O65="FIRE TEX 5062",OR(E65="IN",E65="C",E65="Z",E65="L"),J65=3),VLOOKUP(_xlfn.MINIFS('FIRE TEX 5062'!$B$4:$B$34,'FIRE TEX 5062'!$B$4:$B$34,"&gt;="&amp;M65),'FIRE TEX 5062'!$B$4:$F$34,IF(L65="F-15",2,IF(L65="F-30",3,IF(L65="F-60",4,IF(L65="F-90",5,0)))),0),0)+IF(AND(O65="FIRE TEX 5062",OR(E65="IN",E65="C",E65="Z",E65="L"),J65=4),VLOOKUP(_xlfn.MINIFS('FIRE TEX 5062'!$G$4:$G$34,'FIRE TEX 5062'!$G$4:$G$34,"&gt;="&amp;M65),'FIRE TEX 5062'!$G$4:$K$34,IF(L65="F-15",2,IF(L65="F-30",3,IF(L65="F-60",4,IF(L65="F-90",5,0)))),0),0)+IF(AND(O65="FIRE TEX 5062",E65="CJ",J65=3),VLOOKUP(_xlfn.MINIFS('FIRE TEX 5062'!$L$4:$L$34,'FIRE TEX 5062'!$L$4:$L$34,"&gt;="&amp;M65),'FIRE TEX 5062'!$L$4:$P$34,IF(L65="F-15",2,IF(L65="F-30",3,IF(L65="F-60",4,IF(L65="F-90",5,0)))),0),0)+IF(AND(O65="FIRE TEX 5062",E65="CJ",J65=4),VLOOKUP(_xlfn.MINIFS('FIRE TEX 5062'!$Q$3:$Q$34,'FIRE TEX 5062'!$Q$3:$Q$34,"&gt;="&amp;M65),'FIRE TEX 5062'!$Q$3:$U$34,IF(L65="F-15",2,IF(L65="F-30",3,IF(L65="F-60",4,IF(L65="F-90",5,0)))),0),0)+IF(AND(O65="FIRE TEX 5090",OR(E65="IN",E65="C",E65="Z",E65="L"),J65=3),VLOOKUP(_xlfn.MINIFS('FIRE TEX 5090'!$B$5:$B$43,'FIRE TEX 5090'!$B$5:$B$43,"&gt;="&amp;M65),'FIRE TEX 5090'!$B$5:$H$43,IF(L65="F-15",2,IF(L65="F-30",3,IF(L65="F-60",4,IF(L65="F-90",5,IF(L65="F-120",6,IF(L65="F-150",7,0)))))),0),0)+IF(AND(O65="FIRE TEX 5090",OR(E65="IN",E65="C",E65="Z",E65="L"),J65=4),VLOOKUP(_xlfn.MINIFS('FIRE TEX 5090'!$J$5:$J$43,'FIRE TEX 5090'!$J$5:$J$43,"&gt;="&amp;M65),'FIRE TEX 5090'!$J$5:$P$43,IF(L65="F-15",2,IF(L65="F-30",3,IF(L65="F-60",4,IF(L65="F-90",5,IF(L65="F-120",6,IF(L65="F-150",7,0)))))),0),0)+IF(AND(O65="FIRE TEX 5090",E65="CJ",J65=3),VLOOKUP(_xlfn.MINIFS('FIRE TEX 5090'!$R$5:$R$30,'FIRE TEX 5090'!$R$5:$R$30,"&gt;="&amp;M65),'FIRE TEX 5090'!$R$5:$W$30,IF(L65="F-15",2,IF(L65="F-30",3,IF(L65="F-60",4,IF(L65="F-90",5,IF(L65="F-120",6,IF(L65="F-150",7,0)))))),0),0)+IF(AND(O65="FIRE TEX 5090",E65="CJ",J65=4),VLOOKUP(_xlfn.MINIFS('FIRE TEX 5090'!$Y$5:$Y$39,'FIRE TEX 5090'!$Y$5:$Y$39,"&gt;="&amp;M65),'FIRE TEX 5090'!$Y$5:$AD$39,IF(L65="F-15",2,IF(L65="F-30",3,IF(L65="F-60",4,IF(L65="F-90",5,IF(L65="F-120",6,IF(L65="F-150",7,0)))))),0),0)+IF(AND(O65="FIRE TEX 5120",OR(E65="IN",E65="C",E65="Z",E65="L"),J65=3),VLOOKUP(_xlfn.MINIFS('FIRE TEX 5120'!$B$5:$B$40,'FIRE TEX 5120'!$B$5:$B$40,"&gt;="&amp;M65),'FIRE TEX 5120'!$B$5:$G$40,IF(L65="F-15",2,IF(L65="F-30",3,IF(L65="F-60",4,IF(L65="F-90",5,IF(L65="F-120",6,0))))),0),0)+IF(AND(O65="FIRE TEX 5120",OR(E65="IN",E65="C",E65="Z",E65="L"),J65=4),VLOOKUP(_xlfn.MINIFS('FIRE TEX 5120'!$H$4:$H$40,'FIRE TEX 5120'!$H$4:$H$40,"&gt;="&amp;M65),'FIRE TEX 5120'!$H$4:$M$40,IF(L65="F-15",2,IF(L65="F-30",3,IF(L65="F-60",4,IF(L65="F-90",5,IF(L65="F-120",6,0))))),0),0)+IF(AND(O65="FIRE TEX 5120",E65="CJ"),VLOOKUP(_xlfn.MINIFS('FIRE TEX 5120'!$O$5:$O$40,'FIRE TEX 5120'!$O$5:$O$40,"&gt;="&amp;M65),'FIRE TEX 5120'!$O$5:$T$40,IF(L65="F-15",2,IF(L65="F-30",3,IF(L65="F-60",4,IF(L65="F-90",5,IF(L65="F-120",6,0))))),0),0)</f>
        <v>2828</v>
      </c>
      <c r="Q65" s="46">
        <f t="shared" si="0"/>
        <v>111.33836000000001</v>
      </c>
      <c r="R65" s="46">
        <f t="shared" si="5"/>
        <v>3.1121349371411613</v>
      </c>
      <c r="S65" s="46">
        <f t="shared" si="2"/>
        <v>1.4909379232323232</v>
      </c>
      <c r="T65" s="677">
        <f t="shared" si="3"/>
        <v>0</v>
      </c>
      <c r="U65" s="80">
        <f>(IF(O65="Stofire",(S65*#REF!),0))+(IF(O65="Fire Control",(S65*$U$2),0))+(IF(O65="Fire Tex",(S65*$U$3),0))+(IF(O65="WB7",(S65*#REF!),0)+(IF(O65="FX 2003",(S65*$U$5),0)))</f>
        <v>0</v>
      </c>
      <c r="V65" s="651">
        <f t="shared" si="8"/>
        <v>340</v>
      </c>
      <c r="W65" s="4"/>
    </row>
    <row r="66" spans="1:23" x14ac:dyDescent="0.25">
      <c r="A66" s="652" t="s">
        <v>458</v>
      </c>
      <c r="B66" s="653" t="s">
        <v>459</v>
      </c>
      <c r="C66" s="1" t="s">
        <v>408</v>
      </c>
      <c r="D66" s="118" t="str">
        <f>+CUBICACION!D65</f>
        <v>ARRIOSTRAMINETO VERTICAL</v>
      </c>
      <c r="E66" s="118" t="str">
        <f>+CUBICACION!F65</f>
        <v>CJ</v>
      </c>
      <c r="F66" s="118" t="str">
        <f>+CUBICACION!E65</f>
        <v>100X100X3</v>
      </c>
      <c r="G66" s="118">
        <v>12</v>
      </c>
      <c r="H66" s="118">
        <v>2</v>
      </c>
      <c r="I66" s="820">
        <v>26385</v>
      </c>
      <c r="J66" s="118">
        <f>+CUBICACION!J65</f>
        <v>4</v>
      </c>
      <c r="K66" s="118">
        <v>2840</v>
      </c>
      <c r="L66" s="118" t="str">
        <f>+CUBICACION!L65</f>
        <v>F-60</v>
      </c>
      <c r="M66" s="64">
        <f>+CUBICACION!M65</f>
        <v>333</v>
      </c>
      <c r="N66" s="824">
        <f>+CUBICACION!N65</f>
        <v>4.2</v>
      </c>
      <c r="O66" s="675" t="str">
        <f>+CUBICACION!O65</f>
        <v>Fire Tex 5090</v>
      </c>
      <c r="P66" s="15">
        <f>IF(O66="Fire Control",VLOOKUP(_xlfn.MINIFS('FIRE CONTROL'!$C$4:$C$37,'FIRE CONTROL'!$C$4:$C$37,"&gt;="&amp;M66),'FIRE CONTROL'!$C$4:$G$37,IF(L66="F-15",2,IF(L66="F-30",3,IF(L66="F-60",4,IF(L66="F-90",5,0)))),0),0)+IF(AND(O66="FIRE TEX 5062",OR(E66="IN",E66="C",E66="Z",E66="L"),J66=3),VLOOKUP(_xlfn.MINIFS('FIRE TEX 5062'!$B$4:$B$34,'FIRE TEX 5062'!$B$4:$B$34,"&gt;="&amp;M66),'FIRE TEX 5062'!$B$4:$F$34,IF(L66="F-15",2,IF(L66="F-30",3,IF(L66="F-60",4,IF(L66="F-90",5,0)))),0),0)+IF(AND(O66="FIRE TEX 5062",OR(E66="IN",E66="C",E66="Z",E66="L"),J66=4),VLOOKUP(_xlfn.MINIFS('FIRE TEX 5062'!$G$4:$G$34,'FIRE TEX 5062'!$G$4:$G$34,"&gt;="&amp;M66),'FIRE TEX 5062'!$G$4:$K$34,IF(L66="F-15",2,IF(L66="F-30",3,IF(L66="F-60",4,IF(L66="F-90",5,0)))),0),0)+IF(AND(O66="FIRE TEX 5062",E66="CJ",J66=3),VLOOKUP(_xlfn.MINIFS('FIRE TEX 5062'!$L$4:$L$34,'FIRE TEX 5062'!$L$4:$L$34,"&gt;="&amp;M66),'FIRE TEX 5062'!$L$4:$P$34,IF(L66="F-15",2,IF(L66="F-30",3,IF(L66="F-60",4,IF(L66="F-90",5,0)))),0),0)+IF(AND(O66="FIRE TEX 5062",E66="CJ",J66=4),VLOOKUP(_xlfn.MINIFS('FIRE TEX 5062'!$Q$3:$Q$34,'FIRE TEX 5062'!$Q$3:$Q$34,"&gt;="&amp;M66),'FIRE TEX 5062'!$Q$3:$U$34,IF(L66="F-15",2,IF(L66="F-30",3,IF(L66="F-60",4,IF(L66="F-90",5,0)))),0),0)+IF(AND(O66="FIRE TEX 5090",OR(E66="IN",E66="C",E66="Z",E66="L"),J66=3),VLOOKUP(_xlfn.MINIFS('FIRE TEX 5090'!$B$5:$B$43,'FIRE TEX 5090'!$B$5:$B$43,"&gt;="&amp;M66),'FIRE TEX 5090'!$B$5:$H$43,IF(L66="F-15",2,IF(L66="F-30",3,IF(L66="F-60",4,IF(L66="F-90",5,IF(L66="F-120",6,IF(L66="F-150",7,0)))))),0),0)+IF(AND(O66="FIRE TEX 5090",OR(E66="IN",E66="C",E66="Z",E66="L"),J66=4),VLOOKUP(_xlfn.MINIFS('FIRE TEX 5090'!$J$5:$J$43,'FIRE TEX 5090'!$J$5:$J$43,"&gt;="&amp;M66),'FIRE TEX 5090'!$J$5:$P$43,IF(L66="F-15",2,IF(L66="F-30",3,IF(L66="F-60",4,IF(L66="F-90",5,IF(L66="F-120",6,IF(L66="F-150",7,0)))))),0),0)+IF(AND(O66="FIRE TEX 5090",E66="CJ",J66=3),VLOOKUP(_xlfn.MINIFS('FIRE TEX 5090'!$R$5:$R$30,'FIRE TEX 5090'!$R$5:$R$30,"&gt;="&amp;M66),'FIRE TEX 5090'!$R$5:$W$30,IF(L66="F-15",2,IF(L66="F-30",3,IF(L66="F-60",4,IF(L66="F-90",5,IF(L66="F-120",6,IF(L66="F-150",7,0)))))),0),0)+IF(AND(O66="FIRE TEX 5090",E66="CJ",J66=4),VLOOKUP(_xlfn.MINIFS('FIRE TEX 5090'!$Y$5:$Y$39,'FIRE TEX 5090'!$Y$5:$Y$39,"&gt;="&amp;M66),'FIRE TEX 5090'!$Y$5:$AD$39,IF(L66="F-15",2,IF(L66="F-30",3,IF(L66="F-60",4,IF(L66="F-90",5,IF(L66="F-120",6,IF(L66="F-150",7,0)))))),0),0)+IF(AND(O66="FIRE TEX 5120",OR(E66="IN",E66="C",E66="Z",E66="L"),J66=3),VLOOKUP(_xlfn.MINIFS('FIRE TEX 5120'!$B$5:$B$40,'FIRE TEX 5120'!$B$5:$B$40,"&gt;="&amp;M66),'FIRE TEX 5120'!$B$5:$G$40,IF(L66="F-15",2,IF(L66="F-30",3,IF(L66="F-60",4,IF(L66="F-90",5,IF(L66="F-120",6,0))))),0),0)+IF(AND(O66="FIRE TEX 5120",OR(E66="IN",E66="C",E66="Z",E66="L"),J66=4),VLOOKUP(_xlfn.MINIFS('FIRE TEX 5120'!$H$4:$H$40,'FIRE TEX 5120'!$H$4:$H$40,"&gt;="&amp;M66),'FIRE TEX 5120'!$H$4:$M$40,IF(L66="F-15",2,IF(L66="F-30",3,IF(L66="F-60",4,IF(L66="F-90",5,IF(L66="F-120",6,0))))),0),0)+IF(AND(O66="FIRE TEX 5120",E66="CJ"),VLOOKUP(_xlfn.MINIFS('FIRE TEX 5120'!$O$5:$O$40,'FIRE TEX 5120'!$O$5:$O$40,"&gt;="&amp;M66),'FIRE TEX 5120'!$O$5:$T$40,IF(L66="F-15",2,IF(L66="F-30",3,IF(L66="F-60",4,IF(L66="F-90",5,IF(L66="F-120",6,0))))),0),0)</f>
        <v>2828</v>
      </c>
      <c r="Q66" s="46">
        <f t="shared" si="0"/>
        <v>111.33836000000001</v>
      </c>
      <c r="R66" s="46">
        <f t="shared" si="5"/>
        <v>3.1121349371411613</v>
      </c>
      <c r="S66" s="46">
        <f t="shared" si="2"/>
        <v>1.349555878787879</v>
      </c>
      <c r="T66" s="677">
        <f t="shared" si="3"/>
        <v>0</v>
      </c>
      <c r="U66" s="80">
        <f>(IF(O66="Stofire",(S66*#REF!),0))+(IF(O66="Fire Control",(S66*$U$2),0))+(IF(O66="Fire Tex",(S66*$U$3),0))+(IF(O66="WB7",(S66*#REF!),0)+(IF(O66="FX 2003",(S66*$U$5),0)))</f>
        <v>0</v>
      </c>
      <c r="V66" s="651">
        <f t="shared" si="8"/>
        <v>340</v>
      </c>
      <c r="W66" s="4"/>
    </row>
    <row r="67" spans="1:23" x14ac:dyDescent="0.25">
      <c r="A67" s="652" t="s">
        <v>461</v>
      </c>
      <c r="B67" s="653" t="s">
        <v>459</v>
      </c>
      <c r="C67" s="1" t="s">
        <v>462</v>
      </c>
      <c r="D67" s="118" t="str">
        <f>+CUBICACION!D66</f>
        <v>PILAR</v>
      </c>
      <c r="E67" s="118" t="str">
        <f>+CUBICACION!F66</f>
        <v>CJ</v>
      </c>
      <c r="F67" s="118" t="str">
        <f>+CUBICACION!E66</f>
        <v>MM 400X200X4</v>
      </c>
      <c r="G67" s="118">
        <v>12</v>
      </c>
      <c r="H67" s="118">
        <v>2</v>
      </c>
      <c r="I67" s="820">
        <v>26385</v>
      </c>
      <c r="J67" s="118">
        <f>+CUBICACION!J66</f>
        <v>4</v>
      </c>
      <c r="K67" s="118">
        <v>2841</v>
      </c>
      <c r="L67" s="118" t="str">
        <f>+CUBICACION!L66</f>
        <v>F-60</v>
      </c>
      <c r="M67" s="64">
        <f>+CUBICACION!M66</f>
        <v>236</v>
      </c>
      <c r="N67" s="824">
        <f>+CUBICACION!N66</f>
        <v>50.4</v>
      </c>
      <c r="O67" s="675" t="str">
        <f>+CUBICACION!O66</f>
        <v>Fire Tex 5090</v>
      </c>
      <c r="P67" s="15">
        <f>IF(O67="Fire Control",VLOOKUP(_xlfn.MINIFS('FIRE CONTROL'!$C$4:$C$37,'FIRE CONTROL'!$C$4:$C$37,"&gt;="&amp;M67),'FIRE CONTROL'!$C$4:$G$37,IF(L67="F-15",2,IF(L67="F-30",3,IF(L67="F-60",4,IF(L67="F-90",5,0)))),0),0)+IF(AND(O67="FIRE TEX 5062",OR(E67="IN",E67="C",E67="Z",E67="L"),J67=3),VLOOKUP(_xlfn.MINIFS('FIRE TEX 5062'!$B$4:$B$34,'FIRE TEX 5062'!$B$4:$B$34,"&gt;="&amp;M67),'FIRE TEX 5062'!$B$4:$F$34,IF(L67="F-15",2,IF(L67="F-30",3,IF(L67="F-60",4,IF(L67="F-90",5,0)))),0),0)+IF(AND(O67="FIRE TEX 5062",OR(E67="IN",E67="C",E67="Z",E67="L"),J67=4),VLOOKUP(_xlfn.MINIFS('FIRE TEX 5062'!$G$4:$G$34,'FIRE TEX 5062'!$G$4:$G$34,"&gt;="&amp;M67),'FIRE TEX 5062'!$G$4:$K$34,IF(L67="F-15",2,IF(L67="F-30",3,IF(L67="F-60",4,IF(L67="F-90",5,0)))),0),0)+IF(AND(O67="FIRE TEX 5062",E67="CJ",J67=3),VLOOKUP(_xlfn.MINIFS('FIRE TEX 5062'!$L$4:$L$34,'FIRE TEX 5062'!$L$4:$L$34,"&gt;="&amp;M67),'FIRE TEX 5062'!$L$4:$P$34,IF(L67="F-15",2,IF(L67="F-30",3,IF(L67="F-60",4,IF(L67="F-90",5,0)))),0),0)+IF(AND(O67="FIRE TEX 5062",E67="CJ",J67=4),VLOOKUP(_xlfn.MINIFS('FIRE TEX 5062'!$Q$3:$Q$34,'FIRE TEX 5062'!$Q$3:$Q$34,"&gt;="&amp;M67),'FIRE TEX 5062'!$Q$3:$U$34,IF(L67="F-15",2,IF(L67="F-30",3,IF(L67="F-60",4,IF(L67="F-90",5,0)))),0),0)+IF(AND(O67="FIRE TEX 5090",OR(E67="IN",E67="C",E67="Z",E67="L"),J67=3),VLOOKUP(_xlfn.MINIFS('FIRE TEX 5090'!$B$5:$B$43,'FIRE TEX 5090'!$B$5:$B$43,"&gt;="&amp;M67),'FIRE TEX 5090'!$B$5:$H$43,IF(L67="F-15",2,IF(L67="F-30",3,IF(L67="F-60",4,IF(L67="F-90",5,IF(L67="F-120",6,IF(L67="F-150",7,0)))))),0),0)+IF(AND(O67="FIRE TEX 5090",OR(E67="IN",E67="C",E67="Z",E67="L"),J67=4),VLOOKUP(_xlfn.MINIFS('FIRE TEX 5090'!$J$5:$J$43,'FIRE TEX 5090'!$J$5:$J$43,"&gt;="&amp;M67),'FIRE TEX 5090'!$J$5:$P$43,IF(L67="F-15",2,IF(L67="F-30",3,IF(L67="F-60",4,IF(L67="F-90",5,IF(L67="F-120",6,IF(L67="F-150",7,0)))))),0),0)+IF(AND(O67="FIRE TEX 5090",E67="CJ",J67=3),VLOOKUP(_xlfn.MINIFS('FIRE TEX 5090'!$R$5:$R$30,'FIRE TEX 5090'!$R$5:$R$30,"&gt;="&amp;M67),'FIRE TEX 5090'!$R$5:$W$30,IF(L67="F-15",2,IF(L67="F-30",3,IF(L67="F-60",4,IF(L67="F-90",5,IF(L67="F-120",6,IF(L67="F-150",7,0)))))),0),0)+IF(AND(O67="FIRE TEX 5090",E67="CJ",J67=4),VLOOKUP(_xlfn.MINIFS('FIRE TEX 5090'!$Y$5:$Y$39,'FIRE TEX 5090'!$Y$5:$Y$39,"&gt;="&amp;M67),'FIRE TEX 5090'!$Y$5:$AD$39,IF(L67="F-15",2,IF(L67="F-30",3,IF(L67="F-60",4,IF(L67="F-90",5,IF(L67="F-120",6,IF(L67="F-150",7,0)))))),0),0)+IF(AND(O67="FIRE TEX 5120",OR(E67="IN",E67="C",E67="Z",E67="L"),J67=3),VLOOKUP(_xlfn.MINIFS('FIRE TEX 5120'!$B$5:$B$40,'FIRE TEX 5120'!$B$5:$B$40,"&gt;="&amp;M67),'FIRE TEX 5120'!$B$5:$G$40,IF(L67="F-15",2,IF(L67="F-30",3,IF(L67="F-60",4,IF(L67="F-90",5,IF(L67="F-120",6,0))))),0),0)+IF(AND(O67="FIRE TEX 5120",OR(E67="IN",E67="C",E67="Z",E67="L"),J67=4),VLOOKUP(_xlfn.MINIFS('FIRE TEX 5120'!$H$4:$H$40,'FIRE TEX 5120'!$H$4:$H$40,"&gt;="&amp;M67),'FIRE TEX 5120'!$H$4:$M$40,IF(L67="F-15",2,IF(L67="F-30",3,IF(L67="F-60",4,IF(L67="F-90",5,IF(L67="F-120",6,0))))),0),0)+IF(AND(O67="FIRE TEX 5120",E67="CJ"),VLOOKUP(_xlfn.MINIFS('FIRE TEX 5120'!$O$5:$O$40,'FIRE TEX 5120'!$O$5:$O$40,"&gt;="&amp;M67),'FIRE TEX 5120'!$O$5:$T$40,IF(L67="F-15",2,IF(L67="F-30",3,IF(L67="F-60",4,IF(L67="F-90",5,IF(L67="F-120",6,0))))),0),0)</f>
        <v>2196</v>
      </c>
      <c r="Q67" s="46">
        <f t="shared" si="0"/>
        <v>86.456520000000012</v>
      </c>
      <c r="R67" s="46">
        <f t="shared" si="5"/>
        <v>4.0077949008357026</v>
      </c>
      <c r="S67" s="46">
        <f t="shared" si="2"/>
        <v>12.575493818181821</v>
      </c>
      <c r="T67" s="677">
        <f t="shared" si="3"/>
        <v>0</v>
      </c>
      <c r="U67" s="80">
        <f>(IF(O67="Stofire",(S67*#REF!),0))+(IF(O67="Fire Control",(S67*$U$2),0))+(IF(O67="Fire Tex",(S67*$U$3),0))+(IF(O67="WB7",(S67*#REF!),0)+(IF(O67="FX 2003",(S67*$U$5),0)))</f>
        <v>0</v>
      </c>
      <c r="V67" s="651">
        <f t="shared" si="8"/>
        <v>240</v>
      </c>
      <c r="W67" s="4"/>
    </row>
    <row r="68" spans="1:23" x14ac:dyDescent="0.25">
      <c r="A68" s="652" t="s">
        <v>461</v>
      </c>
      <c r="B68" s="653" t="s">
        <v>459</v>
      </c>
      <c r="C68" s="1" t="s">
        <v>408</v>
      </c>
      <c r="D68" s="118" t="str">
        <f>+CUBICACION!D67</f>
        <v>VIGA</v>
      </c>
      <c r="E68" s="118" t="str">
        <f>+CUBICACION!F67</f>
        <v>CJ</v>
      </c>
      <c r="F68" s="118" t="str">
        <f>+CUBICACION!E67</f>
        <v>100X100X3</v>
      </c>
      <c r="G68" s="118">
        <v>12</v>
      </c>
      <c r="H68" s="118">
        <v>2</v>
      </c>
      <c r="I68" s="820">
        <v>26385</v>
      </c>
      <c r="J68" s="118">
        <f>+CUBICACION!J67</f>
        <v>4</v>
      </c>
      <c r="K68" s="118">
        <v>2842</v>
      </c>
      <c r="L68" s="118" t="str">
        <f>+CUBICACION!L67</f>
        <v>F-60</v>
      </c>
      <c r="M68" s="64">
        <f>+CUBICACION!M67</f>
        <v>333</v>
      </c>
      <c r="N68" s="824">
        <f>+CUBICACION!N67</f>
        <v>23.367999999999999</v>
      </c>
      <c r="O68" s="675" t="str">
        <f>+CUBICACION!O67</f>
        <v>Fire Tex 5090</v>
      </c>
      <c r="P68" s="15">
        <f>IF(O68="Fire Control",VLOOKUP(_xlfn.MINIFS('FIRE CONTROL'!$C$4:$C$37,'FIRE CONTROL'!$C$4:$C$37,"&gt;="&amp;M68),'FIRE CONTROL'!$C$4:$G$37,IF(L68="F-15",2,IF(L68="F-30",3,IF(L68="F-60",4,IF(L68="F-90",5,0)))),0),0)+IF(AND(O68="FIRE TEX 5062",OR(E68="IN",E68="C",E68="Z",E68="L"),J68=3),VLOOKUP(_xlfn.MINIFS('FIRE TEX 5062'!$B$4:$B$34,'FIRE TEX 5062'!$B$4:$B$34,"&gt;="&amp;M68),'FIRE TEX 5062'!$B$4:$F$34,IF(L68="F-15",2,IF(L68="F-30",3,IF(L68="F-60",4,IF(L68="F-90",5,0)))),0),0)+IF(AND(O68="FIRE TEX 5062",OR(E68="IN",E68="C",E68="Z",E68="L"),J68=4),VLOOKUP(_xlfn.MINIFS('FIRE TEX 5062'!$G$4:$G$34,'FIRE TEX 5062'!$G$4:$G$34,"&gt;="&amp;M68),'FIRE TEX 5062'!$G$4:$K$34,IF(L68="F-15",2,IF(L68="F-30",3,IF(L68="F-60",4,IF(L68="F-90",5,0)))),0),0)+IF(AND(O68="FIRE TEX 5062",E68="CJ",J68=3),VLOOKUP(_xlfn.MINIFS('FIRE TEX 5062'!$L$4:$L$34,'FIRE TEX 5062'!$L$4:$L$34,"&gt;="&amp;M68),'FIRE TEX 5062'!$L$4:$P$34,IF(L68="F-15",2,IF(L68="F-30",3,IF(L68="F-60",4,IF(L68="F-90",5,0)))),0),0)+IF(AND(O68="FIRE TEX 5062",E68="CJ",J68=4),VLOOKUP(_xlfn.MINIFS('FIRE TEX 5062'!$Q$3:$Q$34,'FIRE TEX 5062'!$Q$3:$Q$34,"&gt;="&amp;M68),'FIRE TEX 5062'!$Q$3:$U$34,IF(L68="F-15",2,IF(L68="F-30",3,IF(L68="F-60",4,IF(L68="F-90",5,0)))),0),0)+IF(AND(O68="FIRE TEX 5090",OR(E68="IN",E68="C",E68="Z",E68="L"),J68=3),VLOOKUP(_xlfn.MINIFS('FIRE TEX 5090'!$B$5:$B$43,'FIRE TEX 5090'!$B$5:$B$43,"&gt;="&amp;M68),'FIRE TEX 5090'!$B$5:$H$43,IF(L68="F-15",2,IF(L68="F-30",3,IF(L68="F-60",4,IF(L68="F-90",5,IF(L68="F-120",6,IF(L68="F-150",7,0)))))),0),0)+IF(AND(O68="FIRE TEX 5090",OR(E68="IN",E68="C",E68="Z",E68="L"),J68=4),VLOOKUP(_xlfn.MINIFS('FIRE TEX 5090'!$J$5:$J$43,'FIRE TEX 5090'!$J$5:$J$43,"&gt;="&amp;M68),'FIRE TEX 5090'!$J$5:$P$43,IF(L68="F-15",2,IF(L68="F-30",3,IF(L68="F-60",4,IF(L68="F-90",5,IF(L68="F-120",6,IF(L68="F-150",7,0)))))),0),0)+IF(AND(O68="FIRE TEX 5090",E68="CJ",J68=3),VLOOKUP(_xlfn.MINIFS('FIRE TEX 5090'!$R$5:$R$30,'FIRE TEX 5090'!$R$5:$R$30,"&gt;="&amp;M68),'FIRE TEX 5090'!$R$5:$W$30,IF(L68="F-15",2,IF(L68="F-30",3,IF(L68="F-60",4,IF(L68="F-90",5,IF(L68="F-120",6,IF(L68="F-150",7,0)))))),0),0)+IF(AND(O68="FIRE TEX 5090",E68="CJ",J68=4),VLOOKUP(_xlfn.MINIFS('FIRE TEX 5090'!$Y$5:$Y$39,'FIRE TEX 5090'!$Y$5:$Y$39,"&gt;="&amp;M68),'FIRE TEX 5090'!$Y$5:$AD$39,IF(L68="F-15",2,IF(L68="F-30",3,IF(L68="F-60",4,IF(L68="F-90",5,IF(L68="F-120",6,IF(L68="F-150",7,0)))))),0),0)+IF(AND(O68="FIRE TEX 5120",OR(E68="IN",E68="C",E68="Z",E68="L"),J68=3),VLOOKUP(_xlfn.MINIFS('FIRE TEX 5120'!$B$5:$B$40,'FIRE TEX 5120'!$B$5:$B$40,"&gt;="&amp;M68),'FIRE TEX 5120'!$B$5:$G$40,IF(L68="F-15",2,IF(L68="F-30",3,IF(L68="F-60",4,IF(L68="F-90",5,IF(L68="F-120",6,0))))),0),0)+IF(AND(O68="FIRE TEX 5120",OR(E68="IN",E68="C",E68="Z",E68="L"),J68=4),VLOOKUP(_xlfn.MINIFS('FIRE TEX 5120'!$H$4:$H$40,'FIRE TEX 5120'!$H$4:$H$40,"&gt;="&amp;M68),'FIRE TEX 5120'!$H$4:$M$40,IF(L68="F-15",2,IF(L68="F-30",3,IF(L68="F-60",4,IF(L68="F-90",5,IF(L68="F-120",6,0))))),0),0)+IF(AND(O68="FIRE TEX 5120",E68="CJ"),VLOOKUP(_xlfn.MINIFS('FIRE TEX 5120'!$O$5:$O$40,'FIRE TEX 5120'!$O$5:$O$40,"&gt;="&amp;M68),'FIRE TEX 5120'!$O$5:$T$40,IF(L68="F-15",2,IF(L68="F-30",3,IF(L68="F-60",4,IF(L68="F-90",5,IF(L68="F-120",6,0))))),0),0)</f>
        <v>2828</v>
      </c>
      <c r="Q68" s="46">
        <f t="shared" si="0"/>
        <v>111.33836000000001</v>
      </c>
      <c r="R68" s="46">
        <f t="shared" si="5"/>
        <v>3.1121349371411613</v>
      </c>
      <c r="S68" s="46">
        <f t="shared" si="2"/>
        <v>7.5086718513131308</v>
      </c>
      <c r="T68" s="677">
        <f t="shared" si="3"/>
        <v>0</v>
      </c>
      <c r="U68" s="80">
        <f>(IF(O68="Stofire",(S68*#REF!),0))+(IF(O68="Fire Control",(S68*$U$2),0))+(IF(O68="Fire Tex",(S68*$U$3),0))+(IF(O68="WB7",(S68*#REF!),0)+(IF(O68="FX 2003",(S68*$U$5),0)))</f>
        <v>0</v>
      </c>
      <c r="V68" s="651">
        <f t="shared" si="8"/>
        <v>340</v>
      </c>
      <c r="W68" s="4"/>
    </row>
    <row r="69" spans="1:23" x14ac:dyDescent="0.25">
      <c r="A69" s="652" t="s">
        <v>461</v>
      </c>
      <c r="B69" s="653" t="s">
        <v>459</v>
      </c>
      <c r="C69" s="1" t="s">
        <v>408</v>
      </c>
      <c r="D69" s="118" t="str">
        <f>+CUBICACION!D68</f>
        <v>VIGA</v>
      </c>
      <c r="E69" s="118" t="str">
        <f>+CUBICACION!F68</f>
        <v>CJ</v>
      </c>
      <c r="F69" s="118" t="str">
        <f>+CUBICACION!E68</f>
        <v>200X100X4</v>
      </c>
      <c r="G69" s="118">
        <v>12</v>
      </c>
      <c r="H69" s="118">
        <v>2</v>
      </c>
      <c r="I69" s="820">
        <v>26385</v>
      </c>
      <c r="J69" s="118">
        <f>+CUBICACION!J68</f>
        <v>4</v>
      </c>
      <c r="K69" s="118">
        <v>2843</v>
      </c>
      <c r="L69" s="118" t="str">
        <f>+CUBICACION!L68</f>
        <v>F-60</v>
      </c>
      <c r="M69" s="64">
        <f>+CUBICACION!M68</f>
        <v>250</v>
      </c>
      <c r="N69" s="824">
        <f>+CUBICACION!N68</f>
        <v>1.2</v>
      </c>
      <c r="O69" s="675" t="str">
        <f>+CUBICACION!O68</f>
        <v>Fire Tex 5090</v>
      </c>
      <c r="P69" s="15">
        <f>IF(O69="Fire Control",VLOOKUP(_xlfn.MINIFS('FIRE CONTROL'!$C$4:$C$37,'FIRE CONTROL'!$C$4:$C$37,"&gt;="&amp;M69),'FIRE CONTROL'!$C$4:$G$37,IF(L69="F-15",2,IF(L69="F-30",3,IF(L69="F-60",4,IF(L69="F-90",5,0)))),0),0)+IF(AND(O69="FIRE TEX 5062",OR(E69="IN",E69="C",E69="Z",E69="L"),J69=3),VLOOKUP(_xlfn.MINIFS('FIRE TEX 5062'!$B$4:$B$34,'FIRE TEX 5062'!$B$4:$B$34,"&gt;="&amp;M69),'FIRE TEX 5062'!$B$4:$F$34,IF(L69="F-15",2,IF(L69="F-30",3,IF(L69="F-60",4,IF(L69="F-90",5,0)))),0),0)+IF(AND(O69="FIRE TEX 5062",OR(E69="IN",E69="C",E69="Z",E69="L"),J69=4),VLOOKUP(_xlfn.MINIFS('FIRE TEX 5062'!$G$4:$G$34,'FIRE TEX 5062'!$G$4:$G$34,"&gt;="&amp;M69),'FIRE TEX 5062'!$G$4:$K$34,IF(L69="F-15",2,IF(L69="F-30",3,IF(L69="F-60",4,IF(L69="F-90",5,0)))),0),0)+IF(AND(O69="FIRE TEX 5062",E69="CJ",J69=3),VLOOKUP(_xlfn.MINIFS('FIRE TEX 5062'!$L$4:$L$34,'FIRE TEX 5062'!$L$4:$L$34,"&gt;="&amp;M69),'FIRE TEX 5062'!$L$4:$P$34,IF(L69="F-15",2,IF(L69="F-30",3,IF(L69="F-60",4,IF(L69="F-90",5,0)))),0),0)+IF(AND(O69="FIRE TEX 5062",E69="CJ",J69=4),VLOOKUP(_xlfn.MINIFS('FIRE TEX 5062'!$Q$3:$Q$34,'FIRE TEX 5062'!$Q$3:$Q$34,"&gt;="&amp;M69),'FIRE TEX 5062'!$Q$3:$U$34,IF(L69="F-15",2,IF(L69="F-30",3,IF(L69="F-60",4,IF(L69="F-90",5,0)))),0),0)+IF(AND(O69="FIRE TEX 5090",OR(E69="IN",E69="C",E69="Z",E69="L"),J69=3),VLOOKUP(_xlfn.MINIFS('FIRE TEX 5090'!$B$5:$B$43,'FIRE TEX 5090'!$B$5:$B$43,"&gt;="&amp;M69),'FIRE TEX 5090'!$B$5:$H$43,IF(L69="F-15",2,IF(L69="F-30",3,IF(L69="F-60",4,IF(L69="F-90",5,IF(L69="F-120",6,IF(L69="F-150",7,0)))))),0),0)+IF(AND(O69="FIRE TEX 5090",OR(E69="IN",E69="C",E69="Z",E69="L"),J69=4),VLOOKUP(_xlfn.MINIFS('FIRE TEX 5090'!$J$5:$J$43,'FIRE TEX 5090'!$J$5:$J$43,"&gt;="&amp;M69),'FIRE TEX 5090'!$J$5:$P$43,IF(L69="F-15",2,IF(L69="F-30",3,IF(L69="F-60",4,IF(L69="F-90",5,IF(L69="F-120",6,IF(L69="F-150",7,0)))))),0),0)+IF(AND(O69="FIRE TEX 5090",E69="CJ",J69=3),VLOOKUP(_xlfn.MINIFS('FIRE TEX 5090'!$R$5:$R$30,'FIRE TEX 5090'!$R$5:$R$30,"&gt;="&amp;M69),'FIRE TEX 5090'!$R$5:$W$30,IF(L69="F-15",2,IF(L69="F-30",3,IF(L69="F-60",4,IF(L69="F-90",5,IF(L69="F-120",6,IF(L69="F-150",7,0)))))),0),0)+IF(AND(O69="FIRE TEX 5090",E69="CJ",J69=4),VLOOKUP(_xlfn.MINIFS('FIRE TEX 5090'!$Y$5:$Y$39,'FIRE TEX 5090'!$Y$5:$Y$39,"&gt;="&amp;M69),'FIRE TEX 5090'!$Y$5:$AD$39,IF(L69="F-15",2,IF(L69="F-30",3,IF(L69="F-60",4,IF(L69="F-90",5,IF(L69="F-120",6,IF(L69="F-150",7,0)))))),0),0)+IF(AND(O69="FIRE TEX 5120",OR(E69="IN",E69="C",E69="Z",E69="L"),J69=3),VLOOKUP(_xlfn.MINIFS('FIRE TEX 5120'!$B$5:$B$40,'FIRE TEX 5120'!$B$5:$B$40,"&gt;="&amp;M69),'FIRE TEX 5120'!$B$5:$G$40,IF(L69="F-15",2,IF(L69="F-30",3,IF(L69="F-60",4,IF(L69="F-90",5,IF(L69="F-120",6,0))))),0),0)+IF(AND(O69="FIRE TEX 5120",OR(E69="IN",E69="C",E69="Z",E69="L"),J69=4),VLOOKUP(_xlfn.MINIFS('FIRE TEX 5120'!$H$4:$H$40,'FIRE TEX 5120'!$H$4:$H$40,"&gt;="&amp;M69),'FIRE TEX 5120'!$H$4:$M$40,IF(L69="F-15",2,IF(L69="F-30",3,IF(L69="F-60",4,IF(L69="F-90",5,IF(L69="F-120",6,0))))),0),0)+IF(AND(O69="FIRE TEX 5120",E69="CJ"),VLOOKUP(_xlfn.MINIFS('FIRE TEX 5120'!$O$5:$O$40,'FIRE TEX 5120'!$O$5:$O$40,"&gt;="&amp;M69),'FIRE TEX 5120'!$O$5:$T$40,IF(L69="F-15",2,IF(L69="F-30",3,IF(L69="F-60",4,IF(L69="F-90",5,IF(L69="F-120",6,0))))),0),0)</f>
        <v>2262</v>
      </c>
      <c r="Q69" s="46">
        <f t="shared" si="0"/>
        <v>89.054940000000002</v>
      </c>
      <c r="R69" s="46">
        <f t="shared" si="5"/>
        <v>3.8908565880792239</v>
      </c>
      <c r="S69" s="46">
        <f t="shared" si="2"/>
        <v>0.30841537662337659</v>
      </c>
      <c r="T69" s="677">
        <f t="shared" si="3"/>
        <v>0</v>
      </c>
      <c r="U69" s="80">
        <f>(IF(O69="Stofire",(S69*#REF!),0))+(IF(O69="Fire Control",(S69*$U$2),0))+(IF(O69="Fire Tex",(S69*$U$3),0))+(IF(O69="WB7",(S69*#REF!),0)+(IF(O69="FX 2003",(S69*$U$5),0)))</f>
        <v>0</v>
      </c>
      <c r="V69" s="651">
        <f t="shared" si="8"/>
        <v>250</v>
      </c>
      <c r="W69" s="4"/>
    </row>
    <row r="70" spans="1:23" x14ac:dyDescent="0.25">
      <c r="A70" s="652" t="s">
        <v>406</v>
      </c>
      <c r="B70" s="653" t="s">
        <v>407</v>
      </c>
      <c r="C70" s="1" t="s">
        <v>408</v>
      </c>
      <c r="D70" s="118" t="str">
        <f>+CUBICACION!D69</f>
        <v>ARRIOSTRAMINETO VERTICAL</v>
      </c>
      <c r="E70" s="118" t="str">
        <f>+CUBICACION!F69</f>
        <v>CJ</v>
      </c>
      <c r="F70" s="118" t="str">
        <f>+CUBICACION!E69</f>
        <v>100X100X3</v>
      </c>
      <c r="G70" s="118">
        <v>12</v>
      </c>
      <c r="H70" s="118">
        <v>2</v>
      </c>
      <c r="I70" s="820">
        <v>26385</v>
      </c>
      <c r="J70" s="118">
        <f>+CUBICACION!J69</f>
        <v>4</v>
      </c>
      <c r="K70" s="118">
        <v>2844</v>
      </c>
      <c r="L70" s="118" t="str">
        <f>+CUBICACION!L69</f>
        <v>F-60</v>
      </c>
      <c r="M70" s="64">
        <f>+CUBICACION!M69</f>
        <v>333</v>
      </c>
      <c r="N70" s="824">
        <f>+CUBICACION!N69</f>
        <v>22.08</v>
      </c>
      <c r="O70" s="675" t="str">
        <f>+CUBICACION!O69</f>
        <v>Fire Tex 5090</v>
      </c>
      <c r="P70" s="15">
        <f>IF(O70="Fire Control",VLOOKUP(_xlfn.MINIFS('FIRE CONTROL'!$C$4:$C$37,'FIRE CONTROL'!$C$4:$C$37,"&gt;="&amp;M70),'FIRE CONTROL'!$C$4:$G$37,IF(L70="F-15",2,IF(L70="F-30",3,IF(L70="F-60",4,IF(L70="F-90",5,0)))),0),0)+IF(AND(O70="FIRE TEX 5062",OR(E70="IN",E70="C",E70="Z",E70="L"),J70=3),VLOOKUP(_xlfn.MINIFS('FIRE TEX 5062'!$B$4:$B$34,'FIRE TEX 5062'!$B$4:$B$34,"&gt;="&amp;M70),'FIRE TEX 5062'!$B$4:$F$34,IF(L70="F-15",2,IF(L70="F-30",3,IF(L70="F-60",4,IF(L70="F-90",5,0)))),0),0)+IF(AND(O70="FIRE TEX 5062",OR(E70="IN",E70="C",E70="Z",E70="L"),J70=4),VLOOKUP(_xlfn.MINIFS('FIRE TEX 5062'!$G$4:$G$34,'FIRE TEX 5062'!$G$4:$G$34,"&gt;="&amp;M70),'FIRE TEX 5062'!$G$4:$K$34,IF(L70="F-15",2,IF(L70="F-30",3,IF(L70="F-60",4,IF(L70="F-90",5,0)))),0),0)+IF(AND(O70="FIRE TEX 5062",E70="CJ",J70=3),VLOOKUP(_xlfn.MINIFS('FIRE TEX 5062'!$L$4:$L$34,'FIRE TEX 5062'!$L$4:$L$34,"&gt;="&amp;M70),'FIRE TEX 5062'!$L$4:$P$34,IF(L70="F-15",2,IF(L70="F-30",3,IF(L70="F-60",4,IF(L70="F-90",5,0)))),0),0)+IF(AND(O70="FIRE TEX 5062",E70="CJ",J70=4),VLOOKUP(_xlfn.MINIFS('FIRE TEX 5062'!$Q$3:$Q$34,'FIRE TEX 5062'!$Q$3:$Q$34,"&gt;="&amp;M70),'FIRE TEX 5062'!$Q$3:$U$34,IF(L70="F-15",2,IF(L70="F-30",3,IF(L70="F-60",4,IF(L70="F-90",5,0)))),0),0)+IF(AND(O70="FIRE TEX 5090",OR(E70="IN",E70="C",E70="Z",E70="L"),J70=3),VLOOKUP(_xlfn.MINIFS('FIRE TEX 5090'!$B$5:$B$43,'FIRE TEX 5090'!$B$5:$B$43,"&gt;="&amp;M70),'FIRE TEX 5090'!$B$5:$H$43,IF(L70="F-15",2,IF(L70="F-30",3,IF(L70="F-60",4,IF(L70="F-90",5,IF(L70="F-120",6,IF(L70="F-150",7,0)))))),0),0)+IF(AND(O70="FIRE TEX 5090",OR(E70="IN",E70="C",E70="Z",E70="L"),J70=4),VLOOKUP(_xlfn.MINIFS('FIRE TEX 5090'!$J$5:$J$43,'FIRE TEX 5090'!$J$5:$J$43,"&gt;="&amp;M70),'FIRE TEX 5090'!$J$5:$P$43,IF(L70="F-15",2,IF(L70="F-30",3,IF(L70="F-60",4,IF(L70="F-90",5,IF(L70="F-120",6,IF(L70="F-150",7,0)))))),0),0)+IF(AND(O70="FIRE TEX 5090",E70="CJ",J70=3),VLOOKUP(_xlfn.MINIFS('FIRE TEX 5090'!$R$5:$R$30,'FIRE TEX 5090'!$R$5:$R$30,"&gt;="&amp;M70),'FIRE TEX 5090'!$R$5:$W$30,IF(L70="F-15",2,IF(L70="F-30",3,IF(L70="F-60",4,IF(L70="F-90",5,IF(L70="F-120",6,IF(L70="F-150",7,0)))))),0),0)+IF(AND(O70="FIRE TEX 5090",E70="CJ",J70=4),VLOOKUP(_xlfn.MINIFS('FIRE TEX 5090'!$Y$5:$Y$39,'FIRE TEX 5090'!$Y$5:$Y$39,"&gt;="&amp;M70),'FIRE TEX 5090'!$Y$5:$AD$39,IF(L70="F-15",2,IF(L70="F-30",3,IF(L70="F-60",4,IF(L70="F-90",5,IF(L70="F-120",6,IF(L70="F-150",7,0)))))),0),0)+IF(AND(O70="FIRE TEX 5120",OR(E70="IN",E70="C",E70="Z",E70="L"),J70=3),VLOOKUP(_xlfn.MINIFS('FIRE TEX 5120'!$B$5:$B$40,'FIRE TEX 5120'!$B$5:$B$40,"&gt;="&amp;M70),'FIRE TEX 5120'!$B$5:$G$40,IF(L70="F-15",2,IF(L70="F-30",3,IF(L70="F-60",4,IF(L70="F-90",5,IF(L70="F-120",6,0))))),0),0)+IF(AND(O70="FIRE TEX 5120",OR(E70="IN",E70="C",E70="Z",E70="L"),J70=4),VLOOKUP(_xlfn.MINIFS('FIRE TEX 5120'!$H$4:$H$40,'FIRE TEX 5120'!$H$4:$H$40,"&gt;="&amp;M70),'FIRE TEX 5120'!$H$4:$M$40,IF(L70="F-15",2,IF(L70="F-30",3,IF(L70="F-60",4,IF(L70="F-90",5,IF(L70="F-120",6,0))))),0),0)+IF(AND(O70="FIRE TEX 5120",E70="CJ"),VLOOKUP(_xlfn.MINIFS('FIRE TEX 5120'!$O$5:$O$40,'FIRE TEX 5120'!$O$5:$O$40,"&gt;="&amp;M70),'FIRE TEX 5120'!$O$5:$T$40,IF(L70="F-15",2,IF(L70="F-30",3,IF(L70="F-60",4,IF(L70="F-90",5,IF(L70="F-120",6,0))))),0),0)</f>
        <v>2828</v>
      </c>
      <c r="Q70" s="46">
        <f t="shared" si="0"/>
        <v>111.33836000000001</v>
      </c>
      <c r="R70" s="46">
        <f t="shared" si="5"/>
        <v>3.1121349371411613</v>
      </c>
      <c r="S70" s="46">
        <f t="shared" si="2"/>
        <v>7.0948080484848486</v>
      </c>
      <c r="T70" s="677">
        <f t="shared" si="3"/>
        <v>0</v>
      </c>
      <c r="U70" s="80">
        <f>(IF(O70="Stofire",(S70*#REF!),0))+(IF(O70="Fire Control",(S70*$U$2),0))+(IF(O70="Fire Tex",(S70*$U$3),0))+(IF(O70="WB7",(S70*#REF!),0)+(IF(O70="FX 2003",(S70*$U$5),0)))</f>
        <v>0</v>
      </c>
      <c r="V70" s="649">
        <f>_xlfn.CEILING.MATH(M70,10)</f>
        <v>340</v>
      </c>
      <c r="W70" s="4"/>
    </row>
    <row r="71" spans="1:23" x14ac:dyDescent="0.25">
      <c r="A71" s="652" t="s">
        <v>406</v>
      </c>
      <c r="B71" s="653" t="s">
        <v>407</v>
      </c>
      <c r="C71" s="1" t="s">
        <v>408</v>
      </c>
      <c r="D71" s="118" t="str">
        <f>+CUBICACION!D70</f>
        <v>ARRIOSTRAMINETO VERTICAL</v>
      </c>
      <c r="E71" s="118" t="str">
        <f>+CUBICACION!F70</f>
        <v>CJ</v>
      </c>
      <c r="F71" s="118" t="str">
        <f>+CUBICACION!E70</f>
        <v>100X100X3</v>
      </c>
      <c r="G71" s="118">
        <v>12</v>
      </c>
      <c r="H71" s="118">
        <v>2</v>
      </c>
      <c r="I71" s="820">
        <v>26385</v>
      </c>
      <c r="J71" s="118">
        <f>+CUBICACION!J70</f>
        <v>4</v>
      </c>
      <c r="K71" s="118">
        <v>2845</v>
      </c>
      <c r="L71" s="118" t="str">
        <f>+CUBICACION!L70</f>
        <v>F-60</v>
      </c>
      <c r="M71" s="64">
        <f>+CUBICACION!M70</f>
        <v>333</v>
      </c>
      <c r="N71" s="824">
        <f>+CUBICACION!N70</f>
        <v>9.2799999999999994</v>
      </c>
      <c r="O71" s="675" t="str">
        <f>+CUBICACION!O70</f>
        <v>Fire Tex 5090</v>
      </c>
      <c r="P71" s="15">
        <f>IF(O71="Fire Control",VLOOKUP(_xlfn.MINIFS('FIRE CONTROL'!$C$4:$C$37,'FIRE CONTROL'!$C$4:$C$37,"&gt;="&amp;M71),'FIRE CONTROL'!$C$4:$G$37,IF(L71="F-15",2,IF(L71="F-30",3,IF(L71="F-60",4,IF(L71="F-90",5,0)))),0),0)+IF(AND(O71="FIRE TEX 5062",OR(E71="IN",E71="C",E71="Z",E71="L"),J71=3),VLOOKUP(_xlfn.MINIFS('FIRE TEX 5062'!$B$4:$B$34,'FIRE TEX 5062'!$B$4:$B$34,"&gt;="&amp;M71),'FIRE TEX 5062'!$B$4:$F$34,IF(L71="F-15",2,IF(L71="F-30",3,IF(L71="F-60",4,IF(L71="F-90",5,0)))),0),0)+IF(AND(O71="FIRE TEX 5062",OR(E71="IN",E71="C",E71="Z",E71="L"),J71=4),VLOOKUP(_xlfn.MINIFS('FIRE TEX 5062'!$G$4:$G$34,'FIRE TEX 5062'!$G$4:$G$34,"&gt;="&amp;M71),'FIRE TEX 5062'!$G$4:$K$34,IF(L71="F-15",2,IF(L71="F-30",3,IF(L71="F-60",4,IF(L71="F-90",5,0)))),0),0)+IF(AND(O71="FIRE TEX 5062",E71="CJ",J71=3),VLOOKUP(_xlfn.MINIFS('FIRE TEX 5062'!$L$4:$L$34,'FIRE TEX 5062'!$L$4:$L$34,"&gt;="&amp;M71),'FIRE TEX 5062'!$L$4:$P$34,IF(L71="F-15",2,IF(L71="F-30",3,IF(L71="F-60",4,IF(L71="F-90",5,0)))),0),0)+IF(AND(O71="FIRE TEX 5062",E71="CJ",J71=4),VLOOKUP(_xlfn.MINIFS('FIRE TEX 5062'!$Q$3:$Q$34,'FIRE TEX 5062'!$Q$3:$Q$34,"&gt;="&amp;M71),'FIRE TEX 5062'!$Q$3:$U$34,IF(L71="F-15",2,IF(L71="F-30",3,IF(L71="F-60",4,IF(L71="F-90",5,0)))),0),0)+IF(AND(O71="FIRE TEX 5090",OR(E71="IN",E71="C",E71="Z",E71="L"),J71=3),VLOOKUP(_xlfn.MINIFS('FIRE TEX 5090'!$B$5:$B$43,'FIRE TEX 5090'!$B$5:$B$43,"&gt;="&amp;M71),'FIRE TEX 5090'!$B$5:$H$43,IF(L71="F-15",2,IF(L71="F-30",3,IF(L71="F-60",4,IF(L71="F-90",5,IF(L71="F-120",6,IF(L71="F-150",7,0)))))),0),0)+IF(AND(O71="FIRE TEX 5090",OR(E71="IN",E71="C",E71="Z",E71="L"),J71=4),VLOOKUP(_xlfn.MINIFS('FIRE TEX 5090'!$J$5:$J$43,'FIRE TEX 5090'!$J$5:$J$43,"&gt;="&amp;M71),'FIRE TEX 5090'!$J$5:$P$43,IF(L71="F-15",2,IF(L71="F-30",3,IF(L71="F-60",4,IF(L71="F-90",5,IF(L71="F-120",6,IF(L71="F-150",7,0)))))),0),0)+IF(AND(O71="FIRE TEX 5090",E71="CJ",J71=3),VLOOKUP(_xlfn.MINIFS('FIRE TEX 5090'!$R$5:$R$30,'FIRE TEX 5090'!$R$5:$R$30,"&gt;="&amp;M71),'FIRE TEX 5090'!$R$5:$W$30,IF(L71="F-15",2,IF(L71="F-30",3,IF(L71="F-60",4,IF(L71="F-90",5,IF(L71="F-120",6,IF(L71="F-150",7,0)))))),0),0)+IF(AND(O71="FIRE TEX 5090",E71="CJ",J71=4),VLOOKUP(_xlfn.MINIFS('FIRE TEX 5090'!$Y$5:$Y$39,'FIRE TEX 5090'!$Y$5:$Y$39,"&gt;="&amp;M71),'FIRE TEX 5090'!$Y$5:$AD$39,IF(L71="F-15",2,IF(L71="F-30",3,IF(L71="F-60",4,IF(L71="F-90",5,IF(L71="F-120",6,IF(L71="F-150",7,0)))))),0),0)+IF(AND(O71="FIRE TEX 5120",OR(E71="IN",E71="C",E71="Z",E71="L"),J71=3),VLOOKUP(_xlfn.MINIFS('FIRE TEX 5120'!$B$5:$B$40,'FIRE TEX 5120'!$B$5:$B$40,"&gt;="&amp;M71),'FIRE TEX 5120'!$B$5:$G$40,IF(L71="F-15",2,IF(L71="F-30",3,IF(L71="F-60",4,IF(L71="F-90",5,IF(L71="F-120",6,0))))),0),0)+IF(AND(O71="FIRE TEX 5120",OR(E71="IN",E71="C",E71="Z",E71="L"),J71=4),VLOOKUP(_xlfn.MINIFS('FIRE TEX 5120'!$H$4:$H$40,'FIRE TEX 5120'!$H$4:$H$40,"&gt;="&amp;M71),'FIRE TEX 5120'!$H$4:$M$40,IF(L71="F-15",2,IF(L71="F-30",3,IF(L71="F-60",4,IF(L71="F-90",5,IF(L71="F-120",6,0))))),0),0)+IF(AND(O71="FIRE TEX 5120",E71="CJ"),VLOOKUP(_xlfn.MINIFS('FIRE TEX 5120'!$O$5:$O$40,'FIRE TEX 5120'!$O$5:$O$40,"&gt;="&amp;M71),'FIRE TEX 5120'!$O$5:$T$40,IF(L71="F-15",2,IF(L71="F-30",3,IF(L71="F-60",4,IF(L71="F-90",5,IF(L71="F-120",6,0))))),0),0)</f>
        <v>2828</v>
      </c>
      <c r="Q71" s="46">
        <f t="shared" si="0"/>
        <v>111.33836000000001</v>
      </c>
      <c r="R71" s="46">
        <f t="shared" si="5"/>
        <v>3.1121349371411613</v>
      </c>
      <c r="S71" s="46">
        <f t="shared" si="2"/>
        <v>2.9818758464646464</v>
      </c>
      <c r="T71" s="677">
        <f t="shared" si="3"/>
        <v>0</v>
      </c>
      <c r="U71" s="80">
        <f>(IF(O71="Stofire",(S71*#REF!),0))+(IF(O71="Fire Control",(S71*$U$2),0))+(IF(O71="Fire Tex",(S71*$U$3),0))+(IF(O71="WB7",(S71*#REF!),0)+(IF(O71="FX 2003",(S71*$U$5),0)))</f>
        <v>0</v>
      </c>
      <c r="V71" s="651">
        <f>_xlfn.CEILING.MATH(M71,10)</f>
        <v>340</v>
      </c>
      <c r="W71" s="4"/>
    </row>
    <row r="72" spans="1:23" x14ac:dyDescent="0.25">
      <c r="A72" s="652" t="s">
        <v>409</v>
      </c>
      <c r="B72" s="653" t="s">
        <v>410</v>
      </c>
      <c r="C72" s="1" t="s">
        <v>408</v>
      </c>
      <c r="D72" s="118" t="str">
        <f>+CUBICACION!D71</f>
        <v>VIGA</v>
      </c>
      <c r="E72" s="118" t="str">
        <f>+CUBICACION!F71</f>
        <v>CJ</v>
      </c>
      <c r="F72" s="118" t="str">
        <f>+CUBICACION!E71</f>
        <v>M1 MM400X200X4</v>
      </c>
      <c r="G72" s="118">
        <v>12</v>
      </c>
      <c r="H72" s="118">
        <v>2</v>
      </c>
      <c r="I72" s="820">
        <v>26385</v>
      </c>
      <c r="J72" s="118">
        <f>+CUBICACION!J71</f>
        <v>4</v>
      </c>
      <c r="K72" s="118">
        <v>2846</v>
      </c>
      <c r="L72" s="118" t="str">
        <f>+CUBICACION!L71</f>
        <v>F-60</v>
      </c>
      <c r="M72" s="64">
        <f>+CUBICACION!M71</f>
        <v>236</v>
      </c>
      <c r="N72" s="824">
        <f>+CUBICACION!N71</f>
        <v>168.48</v>
      </c>
      <c r="O72" s="675" t="str">
        <f>+CUBICACION!O71</f>
        <v>Fire Tex 5090</v>
      </c>
      <c r="P72" s="15">
        <f>IF(O72="Fire Control",VLOOKUP(_xlfn.MINIFS('FIRE CONTROL'!$C$4:$C$37,'FIRE CONTROL'!$C$4:$C$37,"&gt;="&amp;M72),'FIRE CONTROL'!$C$4:$G$37,IF(L72="F-15",2,IF(L72="F-30",3,IF(L72="F-60",4,IF(L72="F-90",5,0)))),0),0)+IF(AND(O72="FIRE TEX 5062",OR(E72="IN",E72="C",E72="Z",E72="L"),J72=3),VLOOKUP(_xlfn.MINIFS('FIRE TEX 5062'!$B$4:$B$34,'FIRE TEX 5062'!$B$4:$B$34,"&gt;="&amp;M72),'FIRE TEX 5062'!$B$4:$F$34,IF(L72="F-15",2,IF(L72="F-30",3,IF(L72="F-60",4,IF(L72="F-90",5,0)))),0),0)+IF(AND(O72="FIRE TEX 5062",OR(E72="IN",E72="C",E72="Z",E72="L"),J72=4),VLOOKUP(_xlfn.MINIFS('FIRE TEX 5062'!$G$4:$G$34,'FIRE TEX 5062'!$G$4:$G$34,"&gt;="&amp;M72),'FIRE TEX 5062'!$G$4:$K$34,IF(L72="F-15",2,IF(L72="F-30",3,IF(L72="F-60",4,IF(L72="F-90",5,0)))),0),0)+IF(AND(O72="FIRE TEX 5062",E72="CJ",J72=3),VLOOKUP(_xlfn.MINIFS('FIRE TEX 5062'!$L$4:$L$34,'FIRE TEX 5062'!$L$4:$L$34,"&gt;="&amp;M72),'FIRE TEX 5062'!$L$4:$P$34,IF(L72="F-15",2,IF(L72="F-30",3,IF(L72="F-60",4,IF(L72="F-90",5,0)))),0),0)+IF(AND(O72="FIRE TEX 5062",E72="CJ",J72=4),VLOOKUP(_xlfn.MINIFS('FIRE TEX 5062'!$Q$3:$Q$34,'FIRE TEX 5062'!$Q$3:$Q$34,"&gt;="&amp;M72),'FIRE TEX 5062'!$Q$3:$U$34,IF(L72="F-15",2,IF(L72="F-30",3,IF(L72="F-60",4,IF(L72="F-90",5,0)))),0),0)+IF(AND(O72="FIRE TEX 5090",OR(E72="IN",E72="C",E72="Z",E72="L"),J72=3),VLOOKUP(_xlfn.MINIFS('FIRE TEX 5090'!$B$5:$B$43,'FIRE TEX 5090'!$B$5:$B$43,"&gt;="&amp;M72),'FIRE TEX 5090'!$B$5:$H$43,IF(L72="F-15",2,IF(L72="F-30",3,IF(L72="F-60",4,IF(L72="F-90",5,IF(L72="F-120",6,IF(L72="F-150",7,0)))))),0),0)+IF(AND(O72="FIRE TEX 5090",OR(E72="IN",E72="C",E72="Z",E72="L"),J72=4),VLOOKUP(_xlfn.MINIFS('FIRE TEX 5090'!$J$5:$J$43,'FIRE TEX 5090'!$J$5:$J$43,"&gt;="&amp;M72),'FIRE TEX 5090'!$J$5:$P$43,IF(L72="F-15",2,IF(L72="F-30",3,IF(L72="F-60",4,IF(L72="F-90",5,IF(L72="F-120",6,IF(L72="F-150",7,0)))))),0),0)+IF(AND(O72="FIRE TEX 5090",E72="CJ",J72=3),VLOOKUP(_xlfn.MINIFS('FIRE TEX 5090'!$R$5:$R$30,'FIRE TEX 5090'!$R$5:$R$30,"&gt;="&amp;M72),'FIRE TEX 5090'!$R$5:$W$30,IF(L72="F-15",2,IF(L72="F-30",3,IF(L72="F-60",4,IF(L72="F-90",5,IF(L72="F-120",6,IF(L72="F-150",7,0)))))),0),0)+IF(AND(O72="FIRE TEX 5090",E72="CJ",J72=4),VLOOKUP(_xlfn.MINIFS('FIRE TEX 5090'!$Y$5:$Y$39,'FIRE TEX 5090'!$Y$5:$Y$39,"&gt;="&amp;M72),'FIRE TEX 5090'!$Y$5:$AD$39,IF(L72="F-15",2,IF(L72="F-30",3,IF(L72="F-60",4,IF(L72="F-90",5,IF(L72="F-120",6,IF(L72="F-150",7,0)))))),0),0)+IF(AND(O72="FIRE TEX 5120",OR(E72="IN",E72="C",E72="Z",E72="L"),J72=3),VLOOKUP(_xlfn.MINIFS('FIRE TEX 5120'!$B$5:$B$40,'FIRE TEX 5120'!$B$5:$B$40,"&gt;="&amp;M72),'FIRE TEX 5120'!$B$5:$G$40,IF(L72="F-15",2,IF(L72="F-30",3,IF(L72="F-60",4,IF(L72="F-90",5,IF(L72="F-120",6,0))))),0),0)+IF(AND(O72="FIRE TEX 5120",OR(E72="IN",E72="C",E72="Z",E72="L"),J72=4),VLOOKUP(_xlfn.MINIFS('FIRE TEX 5120'!$H$4:$H$40,'FIRE TEX 5120'!$H$4:$H$40,"&gt;="&amp;M72),'FIRE TEX 5120'!$H$4:$M$40,IF(L72="F-15",2,IF(L72="F-30",3,IF(L72="F-60",4,IF(L72="F-90",5,IF(L72="F-120",6,0))))),0),0)+IF(AND(O72="FIRE TEX 5120",E72="CJ"),VLOOKUP(_xlfn.MINIFS('FIRE TEX 5120'!$O$5:$O$40,'FIRE TEX 5120'!$O$5:$O$40,"&gt;="&amp;M72),'FIRE TEX 5120'!$O$5:$T$40,IF(L72="F-15",2,IF(L72="F-30",3,IF(L72="F-60",4,IF(L72="F-90",5,IF(L72="F-120",6,0))))),0),0)</f>
        <v>2196</v>
      </c>
      <c r="Q72" s="46">
        <f t="shared" si="0"/>
        <v>86.456520000000012</v>
      </c>
      <c r="R72" s="46">
        <f t="shared" si="5"/>
        <v>4.0077949008357026</v>
      </c>
      <c r="S72" s="46">
        <f t="shared" si="2"/>
        <v>42.038079335064943</v>
      </c>
      <c r="T72" s="677">
        <f t="shared" si="3"/>
        <v>0</v>
      </c>
      <c r="U72" s="80">
        <f>(IF(O72="Stofire",(S72*#REF!),0))+(IF(O72="Fire Control",(S72*$U$2),0))+(IF(O72="Fire Tex",(S72*$U$3),0))+(IF(O72="WB7",(S72*#REF!),0)+(IF(O72="FX 2003",(S72*$U$5),0)))</f>
        <v>0</v>
      </c>
      <c r="V72" s="651">
        <f t="shared" ref="V72:V84" si="9">_xlfn.CEILING.MATH(M72,10)</f>
        <v>240</v>
      </c>
      <c r="W72" s="4"/>
    </row>
    <row r="73" spans="1:23" x14ac:dyDescent="0.25">
      <c r="A73" s="652" t="s">
        <v>414</v>
      </c>
      <c r="B73" s="653" t="s">
        <v>415</v>
      </c>
      <c r="C73" s="1" t="s">
        <v>408</v>
      </c>
      <c r="D73" s="118" t="str">
        <f>+CUBICACION!D72</f>
        <v>PILAR</v>
      </c>
      <c r="E73" s="118" t="str">
        <f>+CUBICACION!F72</f>
        <v>CJ</v>
      </c>
      <c r="F73" s="118" t="str">
        <f>+CUBICACION!E72</f>
        <v>200X100X4</v>
      </c>
      <c r="G73" s="118">
        <v>12</v>
      </c>
      <c r="H73" s="118">
        <v>2</v>
      </c>
      <c r="I73" s="820">
        <v>26385</v>
      </c>
      <c r="J73" s="118">
        <f>+CUBICACION!J72</f>
        <v>4</v>
      </c>
      <c r="K73" s="118">
        <v>2847</v>
      </c>
      <c r="L73" s="118" t="str">
        <f>+CUBICACION!L72</f>
        <v>F-60</v>
      </c>
      <c r="M73" s="64">
        <f>+CUBICACION!M72</f>
        <v>250</v>
      </c>
      <c r="N73" s="824">
        <f>+CUBICACION!N72</f>
        <v>12.78</v>
      </c>
      <c r="O73" s="675" t="str">
        <f>+CUBICACION!O72</f>
        <v>Fire Tex 5090</v>
      </c>
      <c r="P73" s="15">
        <f>IF(O73="Fire Control",VLOOKUP(_xlfn.MINIFS('FIRE CONTROL'!$C$4:$C$37,'FIRE CONTROL'!$C$4:$C$37,"&gt;="&amp;M73),'FIRE CONTROL'!$C$4:$G$37,IF(L73="F-15",2,IF(L73="F-30",3,IF(L73="F-60",4,IF(L73="F-90",5,0)))),0),0)+IF(AND(O73="FIRE TEX 5062",OR(E73="IN",E73="C",E73="Z",E73="L"),J73=3),VLOOKUP(_xlfn.MINIFS('FIRE TEX 5062'!$B$4:$B$34,'FIRE TEX 5062'!$B$4:$B$34,"&gt;="&amp;M73),'FIRE TEX 5062'!$B$4:$F$34,IF(L73="F-15",2,IF(L73="F-30",3,IF(L73="F-60",4,IF(L73="F-90",5,0)))),0),0)+IF(AND(O73="FIRE TEX 5062",OR(E73="IN",E73="C",E73="Z",E73="L"),J73=4),VLOOKUP(_xlfn.MINIFS('FIRE TEX 5062'!$G$4:$G$34,'FIRE TEX 5062'!$G$4:$G$34,"&gt;="&amp;M73),'FIRE TEX 5062'!$G$4:$K$34,IF(L73="F-15",2,IF(L73="F-30",3,IF(L73="F-60",4,IF(L73="F-90",5,0)))),0),0)+IF(AND(O73="FIRE TEX 5062",E73="CJ",J73=3),VLOOKUP(_xlfn.MINIFS('FIRE TEX 5062'!$L$4:$L$34,'FIRE TEX 5062'!$L$4:$L$34,"&gt;="&amp;M73),'FIRE TEX 5062'!$L$4:$P$34,IF(L73="F-15",2,IF(L73="F-30",3,IF(L73="F-60",4,IF(L73="F-90",5,0)))),0),0)+IF(AND(O73="FIRE TEX 5062",E73="CJ",J73=4),VLOOKUP(_xlfn.MINIFS('FIRE TEX 5062'!$Q$3:$Q$34,'FIRE TEX 5062'!$Q$3:$Q$34,"&gt;="&amp;M73),'FIRE TEX 5062'!$Q$3:$U$34,IF(L73="F-15",2,IF(L73="F-30",3,IF(L73="F-60",4,IF(L73="F-90",5,0)))),0),0)+IF(AND(O73="FIRE TEX 5090",OR(E73="IN",E73="C",E73="Z",E73="L"),J73=3),VLOOKUP(_xlfn.MINIFS('FIRE TEX 5090'!$B$5:$B$43,'FIRE TEX 5090'!$B$5:$B$43,"&gt;="&amp;M73),'FIRE TEX 5090'!$B$5:$H$43,IF(L73="F-15",2,IF(L73="F-30",3,IF(L73="F-60",4,IF(L73="F-90",5,IF(L73="F-120",6,IF(L73="F-150",7,0)))))),0),0)+IF(AND(O73="FIRE TEX 5090",OR(E73="IN",E73="C",E73="Z",E73="L"),J73=4),VLOOKUP(_xlfn.MINIFS('FIRE TEX 5090'!$J$5:$J$43,'FIRE TEX 5090'!$J$5:$J$43,"&gt;="&amp;M73),'FIRE TEX 5090'!$J$5:$P$43,IF(L73="F-15",2,IF(L73="F-30",3,IF(L73="F-60",4,IF(L73="F-90",5,IF(L73="F-120",6,IF(L73="F-150",7,0)))))),0),0)+IF(AND(O73="FIRE TEX 5090",E73="CJ",J73=3),VLOOKUP(_xlfn.MINIFS('FIRE TEX 5090'!$R$5:$R$30,'FIRE TEX 5090'!$R$5:$R$30,"&gt;="&amp;M73),'FIRE TEX 5090'!$R$5:$W$30,IF(L73="F-15",2,IF(L73="F-30",3,IF(L73="F-60",4,IF(L73="F-90",5,IF(L73="F-120",6,IF(L73="F-150",7,0)))))),0),0)+IF(AND(O73="FIRE TEX 5090",E73="CJ",J73=4),VLOOKUP(_xlfn.MINIFS('FIRE TEX 5090'!$Y$5:$Y$39,'FIRE TEX 5090'!$Y$5:$Y$39,"&gt;="&amp;M73),'FIRE TEX 5090'!$Y$5:$AD$39,IF(L73="F-15",2,IF(L73="F-30",3,IF(L73="F-60",4,IF(L73="F-90",5,IF(L73="F-120",6,IF(L73="F-150",7,0)))))),0),0)+IF(AND(O73="FIRE TEX 5120",OR(E73="IN",E73="C",E73="Z",E73="L"),J73=3),VLOOKUP(_xlfn.MINIFS('FIRE TEX 5120'!$B$5:$B$40,'FIRE TEX 5120'!$B$5:$B$40,"&gt;="&amp;M73),'FIRE TEX 5120'!$B$5:$G$40,IF(L73="F-15",2,IF(L73="F-30",3,IF(L73="F-60",4,IF(L73="F-90",5,IF(L73="F-120",6,0))))),0),0)+IF(AND(O73="FIRE TEX 5120",OR(E73="IN",E73="C",E73="Z",E73="L"),J73=4),VLOOKUP(_xlfn.MINIFS('FIRE TEX 5120'!$H$4:$H$40,'FIRE TEX 5120'!$H$4:$H$40,"&gt;="&amp;M73),'FIRE TEX 5120'!$H$4:$M$40,IF(L73="F-15",2,IF(L73="F-30",3,IF(L73="F-60",4,IF(L73="F-90",5,IF(L73="F-120",6,0))))),0),0)+IF(AND(O73="FIRE TEX 5120",E73="CJ"),VLOOKUP(_xlfn.MINIFS('FIRE TEX 5120'!$O$5:$O$40,'FIRE TEX 5120'!$O$5:$O$40,"&gt;="&amp;M73),'FIRE TEX 5120'!$O$5:$T$40,IF(L73="F-15",2,IF(L73="F-30",3,IF(L73="F-60",4,IF(L73="F-90",5,IF(L73="F-120",6,0))))),0),0)</f>
        <v>2262</v>
      </c>
      <c r="Q73" s="46">
        <f t="shared" si="0"/>
        <v>89.054940000000002</v>
      </c>
      <c r="R73" s="46">
        <f t="shared" si="5"/>
        <v>3.8908565880792239</v>
      </c>
      <c r="S73" s="46">
        <f t="shared" si="2"/>
        <v>3.284623761038961</v>
      </c>
      <c r="T73" s="677">
        <f t="shared" si="3"/>
        <v>0</v>
      </c>
      <c r="U73" s="80">
        <f>(IF(O73="Stofire",(S73*#REF!),0))+(IF(O73="Fire Control",(S73*$U$2),0))+(IF(O73="Fire Tex",(S73*$U$3),0))+(IF(O73="WB7",(S73*#REF!),0)+(IF(O73="FX 2003",(S73*$U$5),0)))</f>
        <v>0</v>
      </c>
      <c r="V73" s="651">
        <f t="shared" si="9"/>
        <v>250</v>
      </c>
      <c r="W73" s="4"/>
    </row>
    <row r="74" spans="1:23" x14ac:dyDescent="0.25">
      <c r="A74" s="652" t="s">
        <v>417</v>
      </c>
      <c r="B74" s="653" t="s">
        <v>415</v>
      </c>
      <c r="C74" s="1" t="s">
        <v>408</v>
      </c>
      <c r="D74" s="118" t="str">
        <f>+CUBICACION!D73</f>
        <v>PILAR</v>
      </c>
      <c r="E74" s="118" t="str">
        <f>+CUBICACION!F73</f>
        <v>CJ</v>
      </c>
      <c r="F74" s="118" t="str">
        <f>+CUBICACION!E73</f>
        <v>150X150X5</v>
      </c>
      <c r="G74" s="118">
        <v>12</v>
      </c>
      <c r="H74" s="118">
        <v>2</v>
      </c>
      <c r="I74" s="820">
        <v>26385</v>
      </c>
      <c r="J74" s="118">
        <f>+CUBICACION!J73</f>
        <v>4</v>
      </c>
      <c r="K74" s="118">
        <v>2848</v>
      </c>
      <c r="L74" s="118" t="str">
        <f>+CUBICACION!L73</f>
        <v>F-60</v>
      </c>
      <c r="M74" s="64">
        <f>+CUBICACION!M73</f>
        <v>200</v>
      </c>
      <c r="N74" s="824">
        <f>+CUBICACION!N73</f>
        <v>4.5</v>
      </c>
      <c r="O74" s="675" t="str">
        <f>+CUBICACION!O73</f>
        <v>Fire Tex 5090</v>
      </c>
      <c r="P74" s="15">
        <f>IF(O74="Fire Control",VLOOKUP(_xlfn.MINIFS('FIRE CONTROL'!$C$4:$C$37,'FIRE CONTROL'!$C$4:$C$37,"&gt;="&amp;M74),'FIRE CONTROL'!$C$4:$G$37,IF(L74="F-15",2,IF(L74="F-30",3,IF(L74="F-60",4,IF(L74="F-90",5,0)))),0),0)+IF(AND(O74="FIRE TEX 5062",OR(E74="IN",E74="C",E74="Z",E74="L"),J74=3),VLOOKUP(_xlfn.MINIFS('FIRE TEX 5062'!$B$4:$B$34,'FIRE TEX 5062'!$B$4:$B$34,"&gt;="&amp;M74),'FIRE TEX 5062'!$B$4:$F$34,IF(L74="F-15",2,IF(L74="F-30",3,IF(L74="F-60",4,IF(L74="F-90",5,0)))),0),0)+IF(AND(O74="FIRE TEX 5062",OR(E74="IN",E74="C",E74="Z",E74="L"),J74=4),VLOOKUP(_xlfn.MINIFS('FIRE TEX 5062'!$G$4:$G$34,'FIRE TEX 5062'!$G$4:$G$34,"&gt;="&amp;M74),'FIRE TEX 5062'!$G$4:$K$34,IF(L74="F-15",2,IF(L74="F-30",3,IF(L74="F-60",4,IF(L74="F-90",5,0)))),0),0)+IF(AND(O74="FIRE TEX 5062",E74="CJ",J74=3),VLOOKUP(_xlfn.MINIFS('FIRE TEX 5062'!$L$4:$L$34,'FIRE TEX 5062'!$L$4:$L$34,"&gt;="&amp;M74),'FIRE TEX 5062'!$L$4:$P$34,IF(L74="F-15",2,IF(L74="F-30",3,IF(L74="F-60",4,IF(L74="F-90",5,0)))),0),0)+IF(AND(O74="FIRE TEX 5062",E74="CJ",J74=4),VLOOKUP(_xlfn.MINIFS('FIRE TEX 5062'!$Q$3:$Q$34,'FIRE TEX 5062'!$Q$3:$Q$34,"&gt;="&amp;M74),'FIRE TEX 5062'!$Q$3:$U$34,IF(L74="F-15",2,IF(L74="F-30",3,IF(L74="F-60",4,IF(L74="F-90",5,0)))),0),0)+IF(AND(O74="FIRE TEX 5090",OR(E74="IN",E74="C",E74="Z",E74="L"),J74=3),VLOOKUP(_xlfn.MINIFS('FIRE TEX 5090'!$B$5:$B$43,'FIRE TEX 5090'!$B$5:$B$43,"&gt;="&amp;M74),'FIRE TEX 5090'!$B$5:$H$43,IF(L74="F-15",2,IF(L74="F-30",3,IF(L74="F-60",4,IF(L74="F-90",5,IF(L74="F-120",6,IF(L74="F-150",7,0)))))),0),0)+IF(AND(O74="FIRE TEX 5090",OR(E74="IN",E74="C",E74="Z",E74="L"),J74=4),VLOOKUP(_xlfn.MINIFS('FIRE TEX 5090'!$J$5:$J$43,'FIRE TEX 5090'!$J$5:$J$43,"&gt;="&amp;M74),'FIRE TEX 5090'!$J$5:$P$43,IF(L74="F-15",2,IF(L74="F-30",3,IF(L74="F-60",4,IF(L74="F-90",5,IF(L74="F-120",6,IF(L74="F-150",7,0)))))),0),0)+IF(AND(O74="FIRE TEX 5090",E74="CJ",J74=3),VLOOKUP(_xlfn.MINIFS('FIRE TEX 5090'!$R$5:$R$30,'FIRE TEX 5090'!$R$5:$R$30,"&gt;="&amp;M74),'FIRE TEX 5090'!$R$5:$W$30,IF(L74="F-15",2,IF(L74="F-30",3,IF(L74="F-60",4,IF(L74="F-90",5,IF(L74="F-120",6,IF(L74="F-150",7,0)))))),0),0)+IF(AND(O74="FIRE TEX 5090",E74="CJ",J74=4),VLOOKUP(_xlfn.MINIFS('FIRE TEX 5090'!$Y$5:$Y$39,'FIRE TEX 5090'!$Y$5:$Y$39,"&gt;="&amp;M74),'FIRE TEX 5090'!$Y$5:$AD$39,IF(L74="F-15",2,IF(L74="F-30",3,IF(L74="F-60",4,IF(L74="F-90",5,IF(L74="F-120",6,IF(L74="F-150",7,0)))))),0),0)+IF(AND(O74="FIRE TEX 5120",OR(E74="IN",E74="C",E74="Z",E74="L"),J74=3),VLOOKUP(_xlfn.MINIFS('FIRE TEX 5120'!$B$5:$B$40,'FIRE TEX 5120'!$B$5:$B$40,"&gt;="&amp;M74),'FIRE TEX 5120'!$B$5:$G$40,IF(L74="F-15",2,IF(L74="F-30",3,IF(L74="F-60",4,IF(L74="F-90",5,IF(L74="F-120",6,0))))),0),0)+IF(AND(O74="FIRE TEX 5120",OR(E74="IN",E74="C",E74="Z",E74="L"),J74=4),VLOOKUP(_xlfn.MINIFS('FIRE TEX 5120'!$H$4:$H$40,'FIRE TEX 5120'!$H$4:$H$40,"&gt;="&amp;M74),'FIRE TEX 5120'!$H$4:$M$40,IF(L74="F-15",2,IF(L74="F-30",3,IF(L74="F-60",4,IF(L74="F-90",5,IF(L74="F-120",6,0))))),0),0)+IF(AND(O74="FIRE TEX 5120",E74="CJ"),VLOOKUP(_xlfn.MINIFS('FIRE TEX 5120'!$O$5:$O$40,'FIRE TEX 5120'!$O$5:$O$40,"&gt;="&amp;M74),'FIRE TEX 5120'!$O$5:$T$40,IF(L74="F-15",2,IF(L74="F-30",3,IF(L74="F-60",4,IF(L74="F-90",5,IF(L74="F-120",6,0))))),0),0)</f>
        <v>1930</v>
      </c>
      <c r="Q74" s="46">
        <f t="shared" ref="Q74:Q132" si="10">IF(P74="","",IF(P74="dar valor","",0.03937*P74))</f>
        <v>75.984099999999998</v>
      </c>
      <c r="R74" s="46">
        <f t="shared" si="5"/>
        <v>4.5601645607436296</v>
      </c>
      <c r="S74" s="46">
        <f t="shared" ref="S74:S132" si="11">IF(R74="","",+N74/R74)</f>
        <v>0.98680649350649341</v>
      </c>
      <c r="T74" s="677">
        <f t="shared" si="3"/>
        <v>0</v>
      </c>
      <c r="U74" s="80">
        <f>(IF(O74="Stofire",(S74*#REF!),0))+(IF(O74="Fire Control",(S74*$U$2),0))+(IF(O74="Fire Tex",(S74*$U$3),0))+(IF(O74="WB7",(S74*#REF!),0)+(IF(O74="FX 2003",(S74*$U$5),0)))</f>
        <v>0</v>
      </c>
      <c r="V74" s="651">
        <f t="shared" si="9"/>
        <v>200</v>
      </c>
      <c r="W74" s="4"/>
    </row>
    <row r="75" spans="1:23" x14ac:dyDescent="0.25">
      <c r="A75" s="652" t="s">
        <v>419</v>
      </c>
      <c r="B75" s="653" t="s">
        <v>415</v>
      </c>
      <c r="C75" s="1" t="s">
        <v>408</v>
      </c>
      <c r="D75" s="118" t="str">
        <f>+CUBICACION!D74</f>
        <v>VIGA</v>
      </c>
      <c r="E75" s="118" t="str">
        <f>+CUBICACION!F74</f>
        <v>CJ</v>
      </c>
      <c r="F75" s="118" t="str">
        <f>+CUBICACION!E74</f>
        <v>100X100X3</v>
      </c>
      <c r="G75" s="118">
        <v>12</v>
      </c>
      <c r="H75" s="118">
        <v>2</v>
      </c>
      <c r="I75" s="820">
        <v>26385</v>
      </c>
      <c r="J75" s="118">
        <f>+CUBICACION!J74</f>
        <v>4</v>
      </c>
      <c r="K75" s="118">
        <v>2849</v>
      </c>
      <c r="L75" s="118" t="str">
        <f>+CUBICACION!L74</f>
        <v>F-60</v>
      </c>
      <c r="M75" s="64">
        <f>+CUBICACION!M74</f>
        <v>333</v>
      </c>
      <c r="N75" s="824">
        <f>+CUBICACION!N74</f>
        <v>1.6559999999999999</v>
      </c>
      <c r="O75" s="675" t="str">
        <f>+CUBICACION!O74</f>
        <v>Fire Tex 5090</v>
      </c>
      <c r="P75" s="15">
        <f>IF(O75="Fire Control",VLOOKUP(_xlfn.MINIFS('FIRE CONTROL'!$C$4:$C$37,'FIRE CONTROL'!$C$4:$C$37,"&gt;="&amp;M75),'FIRE CONTROL'!$C$4:$G$37,IF(L75="F-15",2,IF(L75="F-30",3,IF(L75="F-60",4,IF(L75="F-90",5,0)))),0),0)+IF(AND(O75="FIRE TEX 5062",OR(E75="IN",E75="C",E75="Z",E75="L"),J75=3),VLOOKUP(_xlfn.MINIFS('FIRE TEX 5062'!$B$4:$B$34,'FIRE TEX 5062'!$B$4:$B$34,"&gt;="&amp;M75),'FIRE TEX 5062'!$B$4:$F$34,IF(L75="F-15",2,IF(L75="F-30",3,IF(L75="F-60",4,IF(L75="F-90",5,0)))),0),0)+IF(AND(O75="FIRE TEX 5062",OR(E75="IN",E75="C",E75="Z",E75="L"),J75=4),VLOOKUP(_xlfn.MINIFS('FIRE TEX 5062'!$G$4:$G$34,'FIRE TEX 5062'!$G$4:$G$34,"&gt;="&amp;M75),'FIRE TEX 5062'!$G$4:$K$34,IF(L75="F-15",2,IF(L75="F-30",3,IF(L75="F-60",4,IF(L75="F-90",5,0)))),0),0)+IF(AND(O75="FIRE TEX 5062",E75="CJ",J75=3),VLOOKUP(_xlfn.MINIFS('FIRE TEX 5062'!$L$4:$L$34,'FIRE TEX 5062'!$L$4:$L$34,"&gt;="&amp;M75),'FIRE TEX 5062'!$L$4:$P$34,IF(L75="F-15",2,IF(L75="F-30",3,IF(L75="F-60",4,IF(L75="F-90",5,0)))),0),0)+IF(AND(O75="FIRE TEX 5062",E75="CJ",J75=4),VLOOKUP(_xlfn.MINIFS('FIRE TEX 5062'!$Q$3:$Q$34,'FIRE TEX 5062'!$Q$3:$Q$34,"&gt;="&amp;M75),'FIRE TEX 5062'!$Q$3:$U$34,IF(L75="F-15",2,IF(L75="F-30",3,IF(L75="F-60",4,IF(L75="F-90",5,0)))),0),0)+IF(AND(O75="FIRE TEX 5090",OR(E75="IN",E75="C",E75="Z",E75="L"),J75=3),VLOOKUP(_xlfn.MINIFS('FIRE TEX 5090'!$B$5:$B$43,'FIRE TEX 5090'!$B$5:$B$43,"&gt;="&amp;M75),'FIRE TEX 5090'!$B$5:$H$43,IF(L75="F-15",2,IF(L75="F-30",3,IF(L75="F-60",4,IF(L75="F-90",5,IF(L75="F-120",6,IF(L75="F-150",7,0)))))),0),0)+IF(AND(O75="FIRE TEX 5090",OR(E75="IN",E75="C",E75="Z",E75="L"),J75=4),VLOOKUP(_xlfn.MINIFS('FIRE TEX 5090'!$J$5:$J$43,'FIRE TEX 5090'!$J$5:$J$43,"&gt;="&amp;M75),'FIRE TEX 5090'!$J$5:$P$43,IF(L75="F-15",2,IF(L75="F-30",3,IF(L75="F-60",4,IF(L75="F-90",5,IF(L75="F-120",6,IF(L75="F-150",7,0)))))),0),0)+IF(AND(O75="FIRE TEX 5090",E75="CJ",J75=3),VLOOKUP(_xlfn.MINIFS('FIRE TEX 5090'!$R$5:$R$30,'FIRE TEX 5090'!$R$5:$R$30,"&gt;="&amp;M75),'FIRE TEX 5090'!$R$5:$W$30,IF(L75="F-15",2,IF(L75="F-30",3,IF(L75="F-60",4,IF(L75="F-90",5,IF(L75="F-120",6,IF(L75="F-150",7,0)))))),0),0)+IF(AND(O75="FIRE TEX 5090",E75="CJ",J75=4),VLOOKUP(_xlfn.MINIFS('FIRE TEX 5090'!$Y$5:$Y$39,'FIRE TEX 5090'!$Y$5:$Y$39,"&gt;="&amp;M75),'FIRE TEX 5090'!$Y$5:$AD$39,IF(L75="F-15",2,IF(L75="F-30",3,IF(L75="F-60",4,IF(L75="F-90",5,IF(L75="F-120",6,IF(L75="F-150",7,0)))))),0),0)+IF(AND(O75="FIRE TEX 5120",OR(E75="IN",E75="C",E75="Z",E75="L"),J75=3),VLOOKUP(_xlfn.MINIFS('FIRE TEX 5120'!$B$5:$B$40,'FIRE TEX 5120'!$B$5:$B$40,"&gt;="&amp;M75),'FIRE TEX 5120'!$B$5:$G$40,IF(L75="F-15",2,IF(L75="F-30",3,IF(L75="F-60",4,IF(L75="F-90",5,IF(L75="F-120",6,0))))),0),0)+IF(AND(O75="FIRE TEX 5120",OR(E75="IN",E75="C",E75="Z",E75="L"),J75=4),VLOOKUP(_xlfn.MINIFS('FIRE TEX 5120'!$H$4:$H$40,'FIRE TEX 5120'!$H$4:$H$40,"&gt;="&amp;M75),'FIRE TEX 5120'!$H$4:$M$40,IF(L75="F-15",2,IF(L75="F-30",3,IF(L75="F-60",4,IF(L75="F-90",5,IF(L75="F-120",6,0))))),0),0)+IF(AND(O75="FIRE TEX 5120",E75="CJ"),VLOOKUP(_xlfn.MINIFS('FIRE TEX 5120'!$O$5:$O$40,'FIRE TEX 5120'!$O$5:$O$40,"&gt;="&amp;M75),'FIRE TEX 5120'!$O$5:$T$40,IF(L75="F-15",2,IF(L75="F-30",3,IF(L75="F-60",4,IF(L75="F-90",5,IF(L75="F-120",6,0))))),0),0)</f>
        <v>2828</v>
      </c>
      <c r="Q75" s="46">
        <f t="shared" si="10"/>
        <v>111.33836000000001</v>
      </c>
      <c r="R75" s="46">
        <f t="shared" ref="R75:R133" si="12">+(IF(O75="Fire Control",((65*1.5/Q75)*0.75*4),0))+(IF(OR(O75="Fire Tex 5062",O75="Fire Tex 5090",O75="Fire Tex 5120"),((66*1.5/Q75)*0.7*5),0))</f>
        <v>3.1121349371411613</v>
      </c>
      <c r="S75" s="46">
        <f t="shared" si="11"/>
        <v>0.53211060363636364</v>
      </c>
      <c r="T75" s="677">
        <f t="shared" ref="T75:T133" si="13">(IF(O75="Stofire",(S75/(7*1)),0))+(IF(O75="Fire Control",(S75/(7*1)),0))+(IF(O75="Fire Tex",(S75/(7*1)),0))+(IF(O75="WB7",(S75/(7*1)),0))+(IF(O75="FX 2003",(S75/(7*1)),0))</f>
        <v>0</v>
      </c>
      <c r="U75" s="80">
        <f>(IF(O75="Stofire",(S75*#REF!),0))+(IF(O75="Fire Control",(S75*$U$2),0))+(IF(O75="Fire Tex",(S75*$U$3),0))+(IF(O75="WB7",(S75*#REF!),0)+(IF(O75="FX 2003",(S75*$U$5),0)))</f>
        <v>0</v>
      </c>
      <c r="V75" s="651">
        <f t="shared" si="9"/>
        <v>340</v>
      </c>
      <c r="W75" s="4"/>
    </row>
    <row r="76" spans="1:23" x14ac:dyDescent="0.25">
      <c r="A76" s="652" t="s">
        <v>421</v>
      </c>
      <c r="B76" s="653" t="s">
        <v>422</v>
      </c>
      <c r="C76" s="1" t="s">
        <v>423</v>
      </c>
      <c r="D76" s="118" t="str">
        <f>+CUBICACION!D75</f>
        <v>VIGA</v>
      </c>
      <c r="E76" s="118" t="str">
        <f>+CUBICACION!F75</f>
        <v>CJ</v>
      </c>
      <c r="F76" s="118" t="str">
        <f>+CUBICACION!E75</f>
        <v>100X100X3</v>
      </c>
      <c r="G76" s="118">
        <v>12</v>
      </c>
      <c r="H76" s="118">
        <v>2</v>
      </c>
      <c r="I76" s="820">
        <v>26385</v>
      </c>
      <c r="J76" s="118">
        <f>+CUBICACION!J75</f>
        <v>4</v>
      </c>
      <c r="K76" s="118">
        <v>2850</v>
      </c>
      <c r="L76" s="118" t="str">
        <f>+CUBICACION!L75</f>
        <v>F-60</v>
      </c>
      <c r="M76" s="64">
        <f>+CUBICACION!M75</f>
        <v>333</v>
      </c>
      <c r="N76" s="824">
        <f>+CUBICACION!N75</f>
        <v>0.8</v>
      </c>
      <c r="O76" s="675" t="str">
        <f>+CUBICACION!O75</f>
        <v>Fire Tex 5090</v>
      </c>
      <c r="P76" s="15">
        <f>IF(O76="Fire Control",VLOOKUP(_xlfn.MINIFS('FIRE CONTROL'!$C$4:$C$37,'FIRE CONTROL'!$C$4:$C$37,"&gt;="&amp;M76),'FIRE CONTROL'!$C$4:$G$37,IF(L76="F-15",2,IF(L76="F-30",3,IF(L76="F-60",4,IF(L76="F-90",5,0)))),0),0)+IF(AND(O76="FIRE TEX 5062",OR(E76="IN",E76="C",E76="Z",E76="L"),J76=3),VLOOKUP(_xlfn.MINIFS('FIRE TEX 5062'!$B$4:$B$34,'FIRE TEX 5062'!$B$4:$B$34,"&gt;="&amp;M76),'FIRE TEX 5062'!$B$4:$F$34,IF(L76="F-15",2,IF(L76="F-30",3,IF(L76="F-60",4,IF(L76="F-90",5,0)))),0),0)+IF(AND(O76="FIRE TEX 5062",OR(E76="IN",E76="C",E76="Z",E76="L"),J76=4),VLOOKUP(_xlfn.MINIFS('FIRE TEX 5062'!$G$4:$G$34,'FIRE TEX 5062'!$G$4:$G$34,"&gt;="&amp;M76),'FIRE TEX 5062'!$G$4:$K$34,IF(L76="F-15",2,IF(L76="F-30",3,IF(L76="F-60",4,IF(L76="F-90",5,0)))),0),0)+IF(AND(O76="FIRE TEX 5062",E76="CJ",J76=3),VLOOKUP(_xlfn.MINIFS('FIRE TEX 5062'!$L$4:$L$34,'FIRE TEX 5062'!$L$4:$L$34,"&gt;="&amp;M76),'FIRE TEX 5062'!$L$4:$P$34,IF(L76="F-15",2,IF(L76="F-30",3,IF(L76="F-60",4,IF(L76="F-90",5,0)))),0),0)+IF(AND(O76="FIRE TEX 5062",E76="CJ",J76=4),VLOOKUP(_xlfn.MINIFS('FIRE TEX 5062'!$Q$3:$Q$34,'FIRE TEX 5062'!$Q$3:$Q$34,"&gt;="&amp;M76),'FIRE TEX 5062'!$Q$3:$U$34,IF(L76="F-15",2,IF(L76="F-30",3,IF(L76="F-60",4,IF(L76="F-90",5,0)))),0),0)+IF(AND(O76="FIRE TEX 5090",OR(E76="IN",E76="C",E76="Z",E76="L"),J76=3),VLOOKUP(_xlfn.MINIFS('FIRE TEX 5090'!$B$5:$B$43,'FIRE TEX 5090'!$B$5:$B$43,"&gt;="&amp;M76),'FIRE TEX 5090'!$B$5:$H$43,IF(L76="F-15",2,IF(L76="F-30",3,IF(L76="F-60",4,IF(L76="F-90",5,IF(L76="F-120",6,IF(L76="F-150",7,0)))))),0),0)+IF(AND(O76="FIRE TEX 5090",OR(E76="IN",E76="C",E76="Z",E76="L"),J76=4),VLOOKUP(_xlfn.MINIFS('FIRE TEX 5090'!$J$5:$J$43,'FIRE TEX 5090'!$J$5:$J$43,"&gt;="&amp;M76),'FIRE TEX 5090'!$J$5:$P$43,IF(L76="F-15",2,IF(L76="F-30",3,IF(L76="F-60",4,IF(L76="F-90",5,IF(L76="F-120",6,IF(L76="F-150",7,0)))))),0),0)+IF(AND(O76="FIRE TEX 5090",E76="CJ",J76=3),VLOOKUP(_xlfn.MINIFS('FIRE TEX 5090'!$R$5:$R$30,'FIRE TEX 5090'!$R$5:$R$30,"&gt;="&amp;M76),'FIRE TEX 5090'!$R$5:$W$30,IF(L76="F-15",2,IF(L76="F-30",3,IF(L76="F-60",4,IF(L76="F-90",5,IF(L76="F-120",6,IF(L76="F-150",7,0)))))),0),0)+IF(AND(O76="FIRE TEX 5090",E76="CJ",J76=4),VLOOKUP(_xlfn.MINIFS('FIRE TEX 5090'!$Y$5:$Y$39,'FIRE TEX 5090'!$Y$5:$Y$39,"&gt;="&amp;M76),'FIRE TEX 5090'!$Y$5:$AD$39,IF(L76="F-15",2,IF(L76="F-30",3,IF(L76="F-60",4,IF(L76="F-90",5,IF(L76="F-120",6,IF(L76="F-150",7,0)))))),0),0)+IF(AND(O76="FIRE TEX 5120",OR(E76="IN",E76="C",E76="Z",E76="L"),J76=3),VLOOKUP(_xlfn.MINIFS('FIRE TEX 5120'!$B$5:$B$40,'FIRE TEX 5120'!$B$5:$B$40,"&gt;="&amp;M76),'FIRE TEX 5120'!$B$5:$G$40,IF(L76="F-15",2,IF(L76="F-30",3,IF(L76="F-60",4,IF(L76="F-90",5,IF(L76="F-120",6,0))))),0),0)+IF(AND(O76="FIRE TEX 5120",OR(E76="IN",E76="C",E76="Z",E76="L"),J76=4),VLOOKUP(_xlfn.MINIFS('FIRE TEX 5120'!$H$4:$H$40,'FIRE TEX 5120'!$H$4:$H$40,"&gt;="&amp;M76),'FIRE TEX 5120'!$H$4:$M$40,IF(L76="F-15",2,IF(L76="F-30",3,IF(L76="F-60",4,IF(L76="F-90",5,IF(L76="F-120",6,0))))),0),0)+IF(AND(O76="FIRE TEX 5120",E76="CJ"),VLOOKUP(_xlfn.MINIFS('FIRE TEX 5120'!$O$5:$O$40,'FIRE TEX 5120'!$O$5:$O$40,"&gt;="&amp;M76),'FIRE TEX 5120'!$O$5:$T$40,IF(L76="F-15",2,IF(L76="F-30",3,IF(L76="F-60",4,IF(L76="F-90",5,IF(L76="F-120",6,0))))),0),0)</f>
        <v>2828</v>
      </c>
      <c r="Q76" s="46">
        <f t="shared" si="10"/>
        <v>111.33836000000001</v>
      </c>
      <c r="R76" s="46">
        <f t="shared" si="12"/>
        <v>3.1121349371411613</v>
      </c>
      <c r="S76" s="46">
        <f t="shared" si="11"/>
        <v>0.25705826262626263</v>
      </c>
      <c r="T76" s="677">
        <f t="shared" si="13"/>
        <v>0</v>
      </c>
      <c r="U76" s="80">
        <f>(IF(O76="Stofire",(S76*#REF!),0))+(IF(O76="Fire Control",(S76*$U$2),0))+(IF(O76="Fire Tex",(S76*$U$3),0))+(IF(O76="WB7",(S76*#REF!),0)+(IF(O76="FX 2003",(S76*$U$5),0)))</f>
        <v>0</v>
      </c>
      <c r="V76" s="651">
        <f t="shared" si="9"/>
        <v>340</v>
      </c>
      <c r="W76" s="4"/>
    </row>
    <row r="77" spans="1:23" x14ac:dyDescent="0.25">
      <c r="A77" s="652" t="s">
        <v>425</v>
      </c>
      <c r="B77" s="653" t="s">
        <v>426</v>
      </c>
      <c r="C77" s="1" t="s">
        <v>427</v>
      </c>
      <c r="D77" s="118" t="str">
        <f>+CUBICACION!D76</f>
        <v>PILAR</v>
      </c>
      <c r="E77" s="118" t="str">
        <f>+CUBICACION!F76</f>
        <v>CJ</v>
      </c>
      <c r="F77" s="118" t="str">
        <f>+CUBICACION!E76</f>
        <v>100X100X3</v>
      </c>
      <c r="G77" s="118">
        <v>12</v>
      </c>
      <c r="H77" s="118">
        <v>2</v>
      </c>
      <c r="I77" s="820">
        <v>26385</v>
      </c>
      <c r="J77" s="118">
        <f>+CUBICACION!J76</f>
        <v>4</v>
      </c>
      <c r="K77" s="118">
        <v>2851</v>
      </c>
      <c r="L77" s="118" t="str">
        <f>+CUBICACION!L76</f>
        <v>F-60</v>
      </c>
      <c r="M77" s="64">
        <f>+CUBICACION!M76</f>
        <v>333</v>
      </c>
      <c r="N77" s="824">
        <f>+CUBICACION!N76</f>
        <v>1.6</v>
      </c>
      <c r="O77" s="675" t="str">
        <f>+CUBICACION!O76</f>
        <v>Fire Tex 5090</v>
      </c>
      <c r="P77" s="15">
        <f>IF(O77="Fire Control",VLOOKUP(_xlfn.MINIFS('FIRE CONTROL'!$C$4:$C$37,'FIRE CONTROL'!$C$4:$C$37,"&gt;="&amp;M77),'FIRE CONTROL'!$C$4:$G$37,IF(L77="F-15",2,IF(L77="F-30",3,IF(L77="F-60",4,IF(L77="F-90",5,0)))),0),0)+IF(AND(O77="FIRE TEX 5062",OR(E77="IN",E77="C",E77="Z",E77="L"),J77=3),VLOOKUP(_xlfn.MINIFS('FIRE TEX 5062'!$B$4:$B$34,'FIRE TEX 5062'!$B$4:$B$34,"&gt;="&amp;M77),'FIRE TEX 5062'!$B$4:$F$34,IF(L77="F-15",2,IF(L77="F-30",3,IF(L77="F-60",4,IF(L77="F-90",5,0)))),0),0)+IF(AND(O77="FIRE TEX 5062",OR(E77="IN",E77="C",E77="Z",E77="L"),J77=4),VLOOKUP(_xlfn.MINIFS('FIRE TEX 5062'!$G$4:$G$34,'FIRE TEX 5062'!$G$4:$G$34,"&gt;="&amp;M77),'FIRE TEX 5062'!$G$4:$K$34,IF(L77="F-15",2,IF(L77="F-30",3,IF(L77="F-60",4,IF(L77="F-90",5,0)))),0),0)+IF(AND(O77="FIRE TEX 5062",E77="CJ",J77=3),VLOOKUP(_xlfn.MINIFS('FIRE TEX 5062'!$L$4:$L$34,'FIRE TEX 5062'!$L$4:$L$34,"&gt;="&amp;M77),'FIRE TEX 5062'!$L$4:$P$34,IF(L77="F-15",2,IF(L77="F-30",3,IF(L77="F-60",4,IF(L77="F-90",5,0)))),0),0)+IF(AND(O77="FIRE TEX 5062",E77="CJ",J77=4),VLOOKUP(_xlfn.MINIFS('FIRE TEX 5062'!$Q$3:$Q$34,'FIRE TEX 5062'!$Q$3:$Q$34,"&gt;="&amp;M77),'FIRE TEX 5062'!$Q$3:$U$34,IF(L77="F-15",2,IF(L77="F-30",3,IF(L77="F-60",4,IF(L77="F-90",5,0)))),0),0)+IF(AND(O77="FIRE TEX 5090",OR(E77="IN",E77="C",E77="Z",E77="L"),J77=3),VLOOKUP(_xlfn.MINIFS('FIRE TEX 5090'!$B$5:$B$43,'FIRE TEX 5090'!$B$5:$B$43,"&gt;="&amp;M77),'FIRE TEX 5090'!$B$5:$H$43,IF(L77="F-15",2,IF(L77="F-30",3,IF(L77="F-60",4,IF(L77="F-90",5,IF(L77="F-120",6,IF(L77="F-150",7,0)))))),0),0)+IF(AND(O77="FIRE TEX 5090",OR(E77="IN",E77="C",E77="Z",E77="L"),J77=4),VLOOKUP(_xlfn.MINIFS('FIRE TEX 5090'!$J$5:$J$43,'FIRE TEX 5090'!$J$5:$J$43,"&gt;="&amp;M77),'FIRE TEX 5090'!$J$5:$P$43,IF(L77="F-15",2,IF(L77="F-30",3,IF(L77="F-60",4,IF(L77="F-90",5,IF(L77="F-120",6,IF(L77="F-150",7,0)))))),0),0)+IF(AND(O77="FIRE TEX 5090",E77="CJ",J77=3),VLOOKUP(_xlfn.MINIFS('FIRE TEX 5090'!$R$5:$R$30,'FIRE TEX 5090'!$R$5:$R$30,"&gt;="&amp;M77),'FIRE TEX 5090'!$R$5:$W$30,IF(L77="F-15",2,IF(L77="F-30",3,IF(L77="F-60",4,IF(L77="F-90",5,IF(L77="F-120",6,IF(L77="F-150",7,0)))))),0),0)+IF(AND(O77="FIRE TEX 5090",E77="CJ",J77=4),VLOOKUP(_xlfn.MINIFS('FIRE TEX 5090'!$Y$5:$Y$39,'FIRE TEX 5090'!$Y$5:$Y$39,"&gt;="&amp;M77),'FIRE TEX 5090'!$Y$5:$AD$39,IF(L77="F-15",2,IF(L77="F-30",3,IF(L77="F-60",4,IF(L77="F-90",5,IF(L77="F-120",6,IF(L77="F-150",7,0)))))),0),0)+IF(AND(O77="FIRE TEX 5120",OR(E77="IN",E77="C",E77="Z",E77="L"),J77=3),VLOOKUP(_xlfn.MINIFS('FIRE TEX 5120'!$B$5:$B$40,'FIRE TEX 5120'!$B$5:$B$40,"&gt;="&amp;M77),'FIRE TEX 5120'!$B$5:$G$40,IF(L77="F-15",2,IF(L77="F-30",3,IF(L77="F-60",4,IF(L77="F-90",5,IF(L77="F-120",6,0))))),0),0)+IF(AND(O77="FIRE TEX 5120",OR(E77="IN",E77="C",E77="Z",E77="L"),J77=4),VLOOKUP(_xlfn.MINIFS('FIRE TEX 5120'!$H$4:$H$40,'FIRE TEX 5120'!$H$4:$H$40,"&gt;="&amp;M77),'FIRE TEX 5120'!$H$4:$M$40,IF(L77="F-15",2,IF(L77="F-30",3,IF(L77="F-60",4,IF(L77="F-90",5,IF(L77="F-120",6,0))))),0),0)+IF(AND(O77="FIRE TEX 5120",E77="CJ"),VLOOKUP(_xlfn.MINIFS('FIRE TEX 5120'!$O$5:$O$40,'FIRE TEX 5120'!$O$5:$O$40,"&gt;="&amp;M77),'FIRE TEX 5120'!$O$5:$T$40,IF(L77="F-15",2,IF(L77="F-30",3,IF(L77="F-60",4,IF(L77="F-90",5,IF(L77="F-120",6,0))))),0),0)</f>
        <v>2828</v>
      </c>
      <c r="Q77" s="46">
        <f t="shared" si="10"/>
        <v>111.33836000000001</v>
      </c>
      <c r="R77" s="46">
        <f t="shared" si="12"/>
        <v>3.1121349371411613</v>
      </c>
      <c r="S77" s="46">
        <f t="shared" si="11"/>
        <v>0.51411652525252527</v>
      </c>
      <c r="T77" s="677">
        <f t="shared" si="13"/>
        <v>0</v>
      </c>
      <c r="U77" s="80">
        <f>(IF(O77="Stofire",(S77*#REF!),0))+(IF(O77="Fire Control",(S77*$U$2),0))+(IF(O77="Fire Tex",(S77*$U$3),0))+(IF(O77="WB7",(S77*#REF!),0)+(IF(O77="FX 2003",(S77*$U$5),0)))</f>
        <v>0</v>
      </c>
      <c r="V77" s="651">
        <f t="shared" si="9"/>
        <v>340</v>
      </c>
      <c r="W77" s="4"/>
    </row>
    <row r="78" spans="1:23" x14ac:dyDescent="0.25">
      <c r="A78" s="652" t="s">
        <v>429</v>
      </c>
      <c r="B78" s="653" t="s">
        <v>430</v>
      </c>
      <c r="C78" s="1" t="s">
        <v>431</v>
      </c>
      <c r="D78" s="118" t="str">
        <f>+CUBICACION!D77</f>
        <v>VIGA</v>
      </c>
      <c r="E78" s="118" t="str">
        <f>+CUBICACION!F77</f>
        <v>CJ</v>
      </c>
      <c r="F78" s="118" t="str">
        <f>+CUBICACION!E77</f>
        <v>100X100X3</v>
      </c>
      <c r="G78" s="118">
        <v>12</v>
      </c>
      <c r="H78" s="118">
        <v>2</v>
      </c>
      <c r="I78" s="820">
        <v>26385</v>
      </c>
      <c r="J78" s="118">
        <f>+CUBICACION!J77</f>
        <v>4</v>
      </c>
      <c r="K78" s="118">
        <v>2852</v>
      </c>
      <c r="L78" s="118" t="str">
        <f>+CUBICACION!L77</f>
        <v>F-60</v>
      </c>
      <c r="M78" s="64">
        <f>+CUBICACION!M77</f>
        <v>333</v>
      </c>
      <c r="N78" s="824">
        <f>+CUBICACION!N77</f>
        <v>2.8</v>
      </c>
      <c r="O78" s="675" t="str">
        <f>+CUBICACION!O77</f>
        <v>Fire Tex 5090</v>
      </c>
      <c r="P78" s="15">
        <f>IF(O78="Fire Control",VLOOKUP(_xlfn.MINIFS('FIRE CONTROL'!$C$4:$C$37,'FIRE CONTROL'!$C$4:$C$37,"&gt;="&amp;M78),'FIRE CONTROL'!$C$4:$G$37,IF(L78="F-15",2,IF(L78="F-30",3,IF(L78="F-60",4,IF(L78="F-90",5,0)))),0),0)+IF(AND(O78="FIRE TEX 5062",OR(E78="IN",E78="C",E78="Z",E78="L"),J78=3),VLOOKUP(_xlfn.MINIFS('FIRE TEX 5062'!$B$4:$B$34,'FIRE TEX 5062'!$B$4:$B$34,"&gt;="&amp;M78),'FIRE TEX 5062'!$B$4:$F$34,IF(L78="F-15",2,IF(L78="F-30",3,IF(L78="F-60",4,IF(L78="F-90",5,0)))),0),0)+IF(AND(O78="FIRE TEX 5062",OR(E78="IN",E78="C",E78="Z",E78="L"),J78=4),VLOOKUP(_xlfn.MINIFS('FIRE TEX 5062'!$G$4:$G$34,'FIRE TEX 5062'!$G$4:$G$34,"&gt;="&amp;M78),'FIRE TEX 5062'!$G$4:$K$34,IF(L78="F-15",2,IF(L78="F-30",3,IF(L78="F-60",4,IF(L78="F-90",5,0)))),0),0)+IF(AND(O78="FIRE TEX 5062",E78="CJ",J78=3),VLOOKUP(_xlfn.MINIFS('FIRE TEX 5062'!$L$4:$L$34,'FIRE TEX 5062'!$L$4:$L$34,"&gt;="&amp;M78),'FIRE TEX 5062'!$L$4:$P$34,IF(L78="F-15",2,IF(L78="F-30",3,IF(L78="F-60",4,IF(L78="F-90",5,0)))),0),0)+IF(AND(O78="FIRE TEX 5062",E78="CJ",J78=4),VLOOKUP(_xlfn.MINIFS('FIRE TEX 5062'!$Q$3:$Q$34,'FIRE TEX 5062'!$Q$3:$Q$34,"&gt;="&amp;M78),'FIRE TEX 5062'!$Q$3:$U$34,IF(L78="F-15",2,IF(L78="F-30",3,IF(L78="F-60",4,IF(L78="F-90",5,0)))),0),0)+IF(AND(O78="FIRE TEX 5090",OR(E78="IN",E78="C",E78="Z",E78="L"),J78=3),VLOOKUP(_xlfn.MINIFS('FIRE TEX 5090'!$B$5:$B$43,'FIRE TEX 5090'!$B$5:$B$43,"&gt;="&amp;M78),'FIRE TEX 5090'!$B$5:$H$43,IF(L78="F-15",2,IF(L78="F-30",3,IF(L78="F-60",4,IF(L78="F-90",5,IF(L78="F-120",6,IF(L78="F-150",7,0)))))),0),0)+IF(AND(O78="FIRE TEX 5090",OR(E78="IN",E78="C",E78="Z",E78="L"),J78=4),VLOOKUP(_xlfn.MINIFS('FIRE TEX 5090'!$J$5:$J$43,'FIRE TEX 5090'!$J$5:$J$43,"&gt;="&amp;M78),'FIRE TEX 5090'!$J$5:$P$43,IF(L78="F-15",2,IF(L78="F-30",3,IF(L78="F-60",4,IF(L78="F-90",5,IF(L78="F-120",6,IF(L78="F-150",7,0)))))),0),0)+IF(AND(O78="FIRE TEX 5090",E78="CJ",J78=3),VLOOKUP(_xlfn.MINIFS('FIRE TEX 5090'!$R$5:$R$30,'FIRE TEX 5090'!$R$5:$R$30,"&gt;="&amp;M78),'FIRE TEX 5090'!$R$5:$W$30,IF(L78="F-15",2,IF(L78="F-30",3,IF(L78="F-60",4,IF(L78="F-90",5,IF(L78="F-120",6,IF(L78="F-150",7,0)))))),0),0)+IF(AND(O78="FIRE TEX 5090",E78="CJ",J78=4),VLOOKUP(_xlfn.MINIFS('FIRE TEX 5090'!$Y$5:$Y$39,'FIRE TEX 5090'!$Y$5:$Y$39,"&gt;="&amp;M78),'FIRE TEX 5090'!$Y$5:$AD$39,IF(L78="F-15",2,IF(L78="F-30",3,IF(L78="F-60",4,IF(L78="F-90",5,IF(L78="F-120",6,IF(L78="F-150",7,0)))))),0),0)+IF(AND(O78="FIRE TEX 5120",OR(E78="IN",E78="C",E78="Z",E78="L"),J78=3),VLOOKUP(_xlfn.MINIFS('FIRE TEX 5120'!$B$5:$B$40,'FIRE TEX 5120'!$B$5:$B$40,"&gt;="&amp;M78),'FIRE TEX 5120'!$B$5:$G$40,IF(L78="F-15",2,IF(L78="F-30",3,IF(L78="F-60",4,IF(L78="F-90",5,IF(L78="F-120",6,0))))),0),0)+IF(AND(O78="FIRE TEX 5120",OR(E78="IN",E78="C",E78="Z",E78="L"),J78=4),VLOOKUP(_xlfn.MINIFS('FIRE TEX 5120'!$H$4:$H$40,'FIRE TEX 5120'!$H$4:$H$40,"&gt;="&amp;M78),'FIRE TEX 5120'!$H$4:$M$40,IF(L78="F-15",2,IF(L78="F-30",3,IF(L78="F-60",4,IF(L78="F-90",5,IF(L78="F-120",6,0))))),0),0)+IF(AND(O78="FIRE TEX 5120",E78="CJ"),VLOOKUP(_xlfn.MINIFS('FIRE TEX 5120'!$O$5:$O$40,'FIRE TEX 5120'!$O$5:$O$40,"&gt;="&amp;M78),'FIRE TEX 5120'!$O$5:$T$40,IF(L78="F-15",2,IF(L78="F-30",3,IF(L78="F-60",4,IF(L78="F-90",5,IF(L78="F-120",6,0))))),0),0)</f>
        <v>2828</v>
      </c>
      <c r="Q78" s="46">
        <f t="shared" si="10"/>
        <v>111.33836000000001</v>
      </c>
      <c r="R78" s="46">
        <f t="shared" si="12"/>
        <v>3.1121349371411613</v>
      </c>
      <c r="S78" s="46">
        <f t="shared" si="11"/>
        <v>0.89970391919191917</v>
      </c>
      <c r="T78" s="677">
        <f t="shared" si="13"/>
        <v>0</v>
      </c>
      <c r="U78" s="80">
        <f>(IF(O78="Stofire",(S78*#REF!),0))+(IF(O78="Fire Control",(S78*$U$2),0))+(IF(O78="Fire Tex",(S78*$U$3),0))+(IF(O78="WB7",(S78*#REF!),0)+(IF(O78="FX 2003",(S78*$U$5),0)))</f>
        <v>0</v>
      </c>
      <c r="V78" s="651">
        <f t="shared" si="9"/>
        <v>340</v>
      </c>
      <c r="W78" s="4"/>
    </row>
    <row r="79" spans="1:23" x14ac:dyDescent="0.25">
      <c r="A79" s="652" t="s">
        <v>429</v>
      </c>
      <c r="B79" s="653" t="s">
        <v>430</v>
      </c>
      <c r="C79" s="1" t="s">
        <v>433</v>
      </c>
      <c r="D79" s="118" t="str">
        <f>+CUBICACION!D78</f>
        <v>PILAR</v>
      </c>
      <c r="E79" s="118" t="str">
        <f>+CUBICACION!F78</f>
        <v>CJ</v>
      </c>
      <c r="F79" s="118" t="str">
        <f>+CUBICACION!E78</f>
        <v>150X150X5</v>
      </c>
      <c r="G79" s="118">
        <v>12</v>
      </c>
      <c r="H79" s="118">
        <v>2</v>
      </c>
      <c r="I79" s="820">
        <v>26385</v>
      </c>
      <c r="J79" s="118">
        <f>+CUBICACION!J78</f>
        <v>4</v>
      </c>
      <c r="K79" s="118">
        <v>2853</v>
      </c>
      <c r="L79" s="118" t="str">
        <f>+CUBICACION!L78</f>
        <v>F-60</v>
      </c>
      <c r="M79" s="64">
        <f>+CUBICACION!M78</f>
        <v>200</v>
      </c>
      <c r="N79" s="824">
        <f>+CUBICACION!N78</f>
        <v>2.4</v>
      </c>
      <c r="O79" s="675" t="str">
        <f>+CUBICACION!O78</f>
        <v>Fire Tex 5090</v>
      </c>
      <c r="P79" s="15">
        <f>IF(O79="Fire Control",VLOOKUP(_xlfn.MINIFS('FIRE CONTROL'!$C$4:$C$37,'FIRE CONTROL'!$C$4:$C$37,"&gt;="&amp;M79),'FIRE CONTROL'!$C$4:$G$37,IF(L79="F-15",2,IF(L79="F-30",3,IF(L79="F-60",4,IF(L79="F-90",5,0)))),0),0)+IF(AND(O79="FIRE TEX 5062",OR(E79="IN",E79="C",E79="Z",E79="L"),J79=3),VLOOKUP(_xlfn.MINIFS('FIRE TEX 5062'!$B$4:$B$34,'FIRE TEX 5062'!$B$4:$B$34,"&gt;="&amp;M79),'FIRE TEX 5062'!$B$4:$F$34,IF(L79="F-15",2,IF(L79="F-30",3,IF(L79="F-60",4,IF(L79="F-90",5,0)))),0),0)+IF(AND(O79="FIRE TEX 5062",OR(E79="IN",E79="C",E79="Z",E79="L"),J79=4),VLOOKUP(_xlfn.MINIFS('FIRE TEX 5062'!$G$4:$G$34,'FIRE TEX 5062'!$G$4:$G$34,"&gt;="&amp;M79),'FIRE TEX 5062'!$G$4:$K$34,IF(L79="F-15",2,IF(L79="F-30",3,IF(L79="F-60",4,IF(L79="F-90",5,0)))),0),0)+IF(AND(O79="FIRE TEX 5062",E79="CJ",J79=3),VLOOKUP(_xlfn.MINIFS('FIRE TEX 5062'!$L$4:$L$34,'FIRE TEX 5062'!$L$4:$L$34,"&gt;="&amp;M79),'FIRE TEX 5062'!$L$4:$P$34,IF(L79="F-15",2,IF(L79="F-30",3,IF(L79="F-60",4,IF(L79="F-90",5,0)))),0),0)+IF(AND(O79="FIRE TEX 5062",E79="CJ",J79=4),VLOOKUP(_xlfn.MINIFS('FIRE TEX 5062'!$Q$3:$Q$34,'FIRE TEX 5062'!$Q$3:$Q$34,"&gt;="&amp;M79),'FIRE TEX 5062'!$Q$3:$U$34,IF(L79="F-15",2,IF(L79="F-30",3,IF(L79="F-60",4,IF(L79="F-90",5,0)))),0),0)+IF(AND(O79="FIRE TEX 5090",OR(E79="IN",E79="C",E79="Z",E79="L"),J79=3),VLOOKUP(_xlfn.MINIFS('FIRE TEX 5090'!$B$5:$B$43,'FIRE TEX 5090'!$B$5:$B$43,"&gt;="&amp;M79),'FIRE TEX 5090'!$B$5:$H$43,IF(L79="F-15",2,IF(L79="F-30",3,IF(L79="F-60",4,IF(L79="F-90",5,IF(L79="F-120",6,IF(L79="F-150",7,0)))))),0),0)+IF(AND(O79="FIRE TEX 5090",OR(E79="IN",E79="C",E79="Z",E79="L"),J79=4),VLOOKUP(_xlfn.MINIFS('FIRE TEX 5090'!$J$5:$J$43,'FIRE TEX 5090'!$J$5:$J$43,"&gt;="&amp;M79),'FIRE TEX 5090'!$J$5:$P$43,IF(L79="F-15",2,IF(L79="F-30",3,IF(L79="F-60",4,IF(L79="F-90",5,IF(L79="F-120",6,IF(L79="F-150",7,0)))))),0),0)+IF(AND(O79="FIRE TEX 5090",E79="CJ",J79=3),VLOOKUP(_xlfn.MINIFS('FIRE TEX 5090'!$R$5:$R$30,'FIRE TEX 5090'!$R$5:$R$30,"&gt;="&amp;M79),'FIRE TEX 5090'!$R$5:$W$30,IF(L79="F-15",2,IF(L79="F-30",3,IF(L79="F-60",4,IF(L79="F-90",5,IF(L79="F-120",6,IF(L79="F-150",7,0)))))),0),0)+IF(AND(O79="FIRE TEX 5090",E79="CJ",J79=4),VLOOKUP(_xlfn.MINIFS('FIRE TEX 5090'!$Y$5:$Y$39,'FIRE TEX 5090'!$Y$5:$Y$39,"&gt;="&amp;M79),'FIRE TEX 5090'!$Y$5:$AD$39,IF(L79="F-15",2,IF(L79="F-30",3,IF(L79="F-60",4,IF(L79="F-90",5,IF(L79="F-120",6,IF(L79="F-150",7,0)))))),0),0)+IF(AND(O79="FIRE TEX 5120",OR(E79="IN",E79="C",E79="Z",E79="L"),J79=3),VLOOKUP(_xlfn.MINIFS('FIRE TEX 5120'!$B$5:$B$40,'FIRE TEX 5120'!$B$5:$B$40,"&gt;="&amp;M79),'FIRE TEX 5120'!$B$5:$G$40,IF(L79="F-15",2,IF(L79="F-30",3,IF(L79="F-60",4,IF(L79="F-90",5,IF(L79="F-120",6,0))))),0),0)+IF(AND(O79="FIRE TEX 5120",OR(E79="IN",E79="C",E79="Z",E79="L"),J79=4),VLOOKUP(_xlfn.MINIFS('FIRE TEX 5120'!$H$4:$H$40,'FIRE TEX 5120'!$H$4:$H$40,"&gt;="&amp;M79),'FIRE TEX 5120'!$H$4:$M$40,IF(L79="F-15",2,IF(L79="F-30",3,IF(L79="F-60",4,IF(L79="F-90",5,IF(L79="F-120",6,0))))),0),0)+IF(AND(O79="FIRE TEX 5120",E79="CJ"),VLOOKUP(_xlfn.MINIFS('FIRE TEX 5120'!$O$5:$O$40,'FIRE TEX 5120'!$O$5:$O$40,"&gt;="&amp;M79),'FIRE TEX 5120'!$O$5:$T$40,IF(L79="F-15",2,IF(L79="F-30",3,IF(L79="F-60",4,IF(L79="F-90",5,IF(L79="F-120",6,0))))),0),0)</f>
        <v>1930</v>
      </c>
      <c r="Q79" s="46">
        <f t="shared" si="10"/>
        <v>75.984099999999998</v>
      </c>
      <c r="R79" s="46">
        <f t="shared" si="12"/>
        <v>4.5601645607436296</v>
      </c>
      <c r="S79" s="46">
        <f t="shared" si="11"/>
        <v>0.52629679653679651</v>
      </c>
      <c r="T79" s="677">
        <f t="shared" si="13"/>
        <v>0</v>
      </c>
      <c r="U79" s="80">
        <f>(IF(O79="Stofire",(S79*#REF!),0))+(IF(O79="Fire Control",(S79*$U$2),0))+(IF(O79="Fire Tex",(S79*$U$3),0))+(IF(O79="WB7",(S79*#REF!),0)+(IF(O79="FX 2003",(S79*$U$5),0)))</f>
        <v>0</v>
      </c>
      <c r="V79" s="651">
        <f t="shared" si="9"/>
        <v>200</v>
      </c>
      <c r="W79" s="4"/>
    </row>
    <row r="80" spans="1:23" x14ac:dyDescent="0.25">
      <c r="A80" s="652" t="s">
        <v>429</v>
      </c>
      <c r="B80" s="653" t="s">
        <v>430</v>
      </c>
      <c r="C80" s="1" t="s">
        <v>435</v>
      </c>
      <c r="D80" s="118" t="str">
        <f>+CUBICACION!D79</f>
        <v>PILAR</v>
      </c>
      <c r="E80" s="118" t="str">
        <f>+CUBICACION!F79</f>
        <v>CJ</v>
      </c>
      <c r="F80" s="118" t="str">
        <f>+CUBICACION!E79</f>
        <v>150X150X5</v>
      </c>
      <c r="G80" s="118">
        <v>12</v>
      </c>
      <c r="H80" s="118">
        <v>2</v>
      </c>
      <c r="I80" s="820">
        <v>26385</v>
      </c>
      <c r="J80" s="118">
        <f>+CUBICACION!J79</f>
        <v>4</v>
      </c>
      <c r="K80" s="118">
        <v>2854</v>
      </c>
      <c r="L80" s="118" t="str">
        <f>+CUBICACION!L79</f>
        <v>F-60</v>
      </c>
      <c r="M80" s="64">
        <f>+CUBICACION!M79</f>
        <v>200</v>
      </c>
      <c r="N80" s="824">
        <f>+CUBICACION!N79</f>
        <v>2.4</v>
      </c>
      <c r="O80" s="675" t="str">
        <f>+CUBICACION!O79</f>
        <v>Fire Tex 5090</v>
      </c>
      <c r="P80" s="15">
        <f>IF(O80="Fire Control",VLOOKUP(_xlfn.MINIFS('FIRE CONTROL'!$C$4:$C$37,'FIRE CONTROL'!$C$4:$C$37,"&gt;="&amp;M80),'FIRE CONTROL'!$C$4:$G$37,IF(L80="F-15",2,IF(L80="F-30",3,IF(L80="F-60",4,IF(L80="F-90",5,0)))),0),0)+IF(AND(O80="FIRE TEX 5062",OR(E80="IN",E80="C",E80="Z",E80="L"),J80=3),VLOOKUP(_xlfn.MINIFS('FIRE TEX 5062'!$B$4:$B$34,'FIRE TEX 5062'!$B$4:$B$34,"&gt;="&amp;M80),'FIRE TEX 5062'!$B$4:$F$34,IF(L80="F-15",2,IF(L80="F-30",3,IF(L80="F-60",4,IF(L80="F-90",5,0)))),0),0)+IF(AND(O80="FIRE TEX 5062",OR(E80="IN",E80="C",E80="Z",E80="L"),J80=4),VLOOKUP(_xlfn.MINIFS('FIRE TEX 5062'!$G$4:$G$34,'FIRE TEX 5062'!$G$4:$G$34,"&gt;="&amp;M80),'FIRE TEX 5062'!$G$4:$K$34,IF(L80="F-15",2,IF(L80="F-30",3,IF(L80="F-60",4,IF(L80="F-90",5,0)))),0),0)+IF(AND(O80="FIRE TEX 5062",E80="CJ",J80=3),VLOOKUP(_xlfn.MINIFS('FIRE TEX 5062'!$L$4:$L$34,'FIRE TEX 5062'!$L$4:$L$34,"&gt;="&amp;M80),'FIRE TEX 5062'!$L$4:$P$34,IF(L80="F-15",2,IF(L80="F-30",3,IF(L80="F-60",4,IF(L80="F-90",5,0)))),0),0)+IF(AND(O80="FIRE TEX 5062",E80="CJ",J80=4),VLOOKUP(_xlfn.MINIFS('FIRE TEX 5062'!$Q$3:$Q$34,'FIRE TEX 5062'!$Q$3:$Q$34,"&gt;="&amp;M80),'FIRE TEX 5062'!$Q$3:$U$34,IF(L80="F-15",2,IF(L80="F-30",3,IF(L80="F-60",4,IF(L80="F-90",5,0)))),0),0)+IF(AND(O80="FIRE TEX 5090",OR(E80="IN",E80="C",E80="Z",E80="L"),J80=3),VLOOKUP(_xlfn.MINIFS('FIRE TEX 5090'!$B$5:$B$43,'FIRE TEX 5090'!$B$5:$B$43,"&gt;="&amp;M80),'FIRE TEX 5090'!$B$5:$H$43,IF(L80="F-15",2,IF(L80="F-30",3,IF(L80="F-60",4,IF(L80="F-90",5,IF(L80="F-120",6,IF(L80="F-150",7,0)))))),0),0)+IF(AND(O80="FIRE TEX 5090",OR(E80="IN",E80="C",E80="Z",E80="L"),J80=4),VLOOKUP(_xlfn.MINIFS('FIRE TEX 5090'!$J$5:$J$43,'FIRE TEX 5090'!$J$5:$J$43,"&gt;="&amp;M80),'FIRE TEX 5090'!$J$5:$P$43,IF(L80="F-15",2,IF(L80="F-30",3,IF(L80="F-60",4,IF(L80="F-90",5,IF(L80="F-120",6,IF(L80="F-150",7,0)))))),0),0)+IF(AND(O80="FIRE TEX 5090",E80="CJ",J80=3),VLOOKUP(_xlfn.MINIFS('FIRE TEX 5090'!$R$5:$R$30,'FIRE TEX 5090'!$R$5:$R$30,"&gt;="&amp;M80),'FIRE TEX 5090'!$R$5:$W$30,IF(L80="F-15",2,IF(L80="F-30",3,IF(L80="F-60",4,IF(L80="F-90",5,IF(L80="F-120",6,IF(L80="F-150",7,0)))))),0),0)+IF(AND(O80="FIRE TEX 5090",E80="CJ",J80=4),VLOOKUP(_xlfn.MINIFS('FIRE TEX 5090'!$Y$5:$Y$39,'FIRE TEX 5090'!$Y$5:$Y$39,"&gt;="&amp;M80),'FIRE TEX 5090'!$Y$5:$AD$39,IF(L80="F-15",2,IF(L80="F-30",3,IF(L80="F-60",4,IF(L80="F-90",5,IF(L80="F-120",6,IF(L80="F-150",7,0)))))),0),0)+IF(AND(O80="FIRE TEX 5120",OR(E80="IN",E80="C",E80="Z",E80="L"),J80=3),VLOOKUP(_xlfn.MINIFS('FIRE TEX 5120'!$B$5:$B$40,'FIRE TEX 5120'!$B$5:$B$40,"&gt;="&amp;M80),'FIRE TEX 5120'!$B$5:$G$40,IF(L80="F-15",2,IF(L80="F-30",3,IF(L80="F-60",4,IF(L80="F-90",5,IF(L80="F-120",6,0))))),0),0)+IF(AND(O80="FIRE TEX 5120",OR(E80="IN",E80="C",E80="Z",E80="L"),J80=4),VLOOKUP(_xlfn.MINIFS('FIRE TEX 5120'!$H$4:$H$40,'FIRE TEX 5120'!$H$4:$H$40,"&gt;="&amp;M80),'FIRE TEX 5120'!$H$4:$M$40,IF(L80="F-15",2,IF(L80="F-30",3,IF(L80="F-60",4,IF(L80="F-90",5,IF(L80="F-120",6,0))))),0),0)+IF(AND(O80="FIRE TEX 5120",E80="CJ"),VLOOKUP(_xlfn.MINIFS('FIRE TEX 5120'!$O$5:$O$40,'FIRE TEX 5120'!$O$5:$O$40,"&gt;="&amp;M80),'FIRE TEX 5120'!$O$5:$T$40,IF(L80="F-15",2,IF(L80="F-30",3,IF(L80="F-60",4,IF(L80="F-90",5,IF(L80="F-120",6,0))))),0),0)</f>
        <v>1930</v>
      </c>
      <c r="Q80" s="46">
        <f t="shared" si="10"/>
        <v>75.984099999999998</v>
      </c>
      <c r="R80" s="46">
        <f t="shared" si="12"/>
        <v>4.5601645607436296</v>
      </c>
      <c r="S80" s="46">
        <f t="shared" si="11"/>
        <v>0.52629679653679651</v>
      </c>
      <c r="T80" s="677">
        <f t="shared" si="13"/>
        <v>0</v>
      </c>
      <c r="U80" s="80">
        <f>(IF(O80="Stofire",(S80*#REF!),0))+(IF(O80="Fire Control",(S80*$U$2),0))+(IF(O80="Fire Tex",(S80*$U$3),0))+(IF(O80="WB7",(S80*#REF!),0)+(IF(O80="FX 2003",(S80*$U$5),0)))</f>
        <v>0</v>
      </c>
      <c r="V80" s="651">
        <f t="shared" si="9"/>
        <v>200</v>
      </c>
      <c r="W80" s="4"/>
    </row>
    <row r="81" spans="1:23" x14ac:dyDescent="0.25">
      <c r="A81" s="652" t="s">
        <v>429</v>
      </c>
      <c r="B81" s="653" t="s">
        <v>430</v>
      </c>
      <c r="C81" s="1" t="s">
        <v>437</v>
      </c>
      <c r="D81" s="118" t="str">
        <f>+CUBICACION!D80</f>
        <v>VIGA BAJO LOSA</v>
      </c>
      <c r="E81" s="118" t="str">
        <f>+CUBICACION!F80</f>
        <v>IN</v>
      </c>
      <c r="F81" s="118" t="str">
        <f>+CUBICACION!E80</f>
        <v>240X120X9,8X6,2</v>
      </c>
      <c r="G81" s="118">
        <v>12</v>
      </c>
      <c r="H81" s="118">
        <v>2</v>
      </c>
      <c r="I81" s="820">
        <v>26385</v>
      </c>
      <c r="J81" s="118">
        <f>+CUBICACION!J80</f>
        <v>3</v>
      </c>
      <c r="K81" s="118">
        <v>2855</v>
      </c>
      <c r="L81" s="118">
        <f>+CUBICACION!L80</f>
        <v>60</v>
      </c>
      <c r="M81" s="64">
        <f>+CUBICACION!M80</f>
        <v>233</v>
      </c>
      <c r="N81" s="824">
        <f>+CUBICACION!N80</f>
        <v>10.10055</v>
      </c>
      <c r="O81" s="675" t="str">
        <f>+CUBICACION!O80</f>
        <v>Blaze Shield II</v>
      </c>
      <c r="P81" s="15">
        <f>IF(O81="Fire Control",VLOOKUP(_xlfn.MINIFS('FIRE CONTROL'!$C$4:$C$37,'FIRE CONTROL'!$C$4:$C$37,"&gt;="&amp;M81),'FIRE CONTROL'!$C$4:$G$37,IF(L81="F-15",2,IF(L81="F-30",3,IF(L81="F-60",4,IF(L81="F-90",5,0)))),0),0)+IF(AND(O81="FIRE TEX 5062",OR(E81="IN",E81="C",E81="Z",E81="L"),J81=3),VLOOKUP(_xlfn.MINIFS('FIRE TEX 5062'!$B$4:$B$34,'FIRE TEX 5062'!$B$4:$B$34,"&gt;="&amp;M81),'FIRE TEX 5062'!$B$4:$F$34,IF(L81="F-15",2,IF(L81="F-30",3,IF(L81="F-60",4,IF(L81="F-90",5,0)))),0),0)+IF(AND(O81="FIRE TEX 5062",OR(E81="IN",E81="C",E81="Z",E81="L"),J81=4),VLOOKUP(_xlfn.MINIFS('FIRE TEX 5062'!$G$4:$G$34,'FIRE TEX 5062'!$G$4:$G$34,"&gt;="&amp;M81),'FIRE TEX 5062'!$G$4:$K$34,IF(L81="F-15",2,IF(L81="F-30",3,IF(L81="F-60",4,IF(L81="F-90",5,0)))),0),0)+IF(AND(O81="FIRE TEX 5062",E81="CJ",J81=3),VLOOKUP(_xlfn.MINIFS('FIRE TEX 5062'!$L$4:$L$34,'FIRE TEX 5062'!$L$4:$L$34,"&gt;="&amp;M81),'FIRE TEX 5062'!$L$4:$P$34,IF(L81="F-15",2,IF(L81="F-30",3,IF(L81="F-60",4,IF(L81="F-90",5,0)))),0),0)+IF(AND(O81="FIRE TEX 5062",E81="CJ",J81=4),VLOOKUP(_xlfn.MINIFS('FIRE TEX 5062'!$Q$3:$Q$34,'FIRE TEX 5062'!$Q$3:$Q$34,"&gt;="&amp;M81),'FIRE TEX 5062'!$Q$3:$U$34,IF(L81="F-15",2,IF(L81="F-30",3,IF(L81="F-60",4,IF(L81="F-90",5,0)))),0),0)+IF(AND(O81="FIRE TEX 5090",OR(E81="IN",E81="C",E81="Z",E81="L"),J81=3),VLOOKUP(_xlfn.MINIFS('FIRE TEX 5090'!$B$5:$B$43,'FIRE TEX 5090'!$B$5:$B$43,"&gt;="&amp;M81),'FIRE TEX 5090'!$B$5:$H$43,IF(L81="F-15",2,IF(L81="F-30",3,IF(L81="F-60",4,IF(L81="F-90",5,IF(L81="F-120",6,IF(L81="F-150",7,0)))))),0),0)+IF(AND(O81="FIRE TEX 5090",OR(E81="IN",E81="C",E81="Z",E81="L"),J81=4),VLOOKUP(_xlfn.MINIFS('FIRE TEX 5090'!$J$5:$J$43,'FIRE TEX 5090'!$J$5:$J$43,"&gt;="&amp;M81),'FIRE TEX 5090'!$J$5:$P$43,IF(L81="F-15",2,IF(L81="F-30",3,IF(L81="F-60",4,IF(L81="F-90",5,IF(L81="F-120",6,IF(L81="F-150",7,0)))))),0),0)+IF(AND(O81="FIRE TEX 5090",E81="CJ",J81=3),VLOOKUP(_xlfn.MINIFS('FIRE TEX 5090'!$R$5:$R$30,'FIRE TEX 5090'!$R$5:$R$30,"&gt;="&amp;M81),'FIRE TEX 5090'!$R$5:$W$30,IF(L81="F-15",2,IF(L81="F-30",3,IF(L81="F-60",4,IF(L81="F-90",5,IF(L81="F-120",6,IF(L81="F-150",7,0)))))),0),0)+IF(AND(O81="FIRE TEX 5090",E81="CJ",J81=4),VLOOKUP(_xlfn.MINIFS('FIRE TEX 5090'!$Y$5:$Y$39,'FIRE TEX 5090'!$Y$5:$Y$39,"&gt;="&amp;M81),'FIRE TEX 5090'!$Y$5:$AD$39,IF(L81="F-15",2,IF(L81="F-30",3,IF(L81="F-60",4,IF(L81="F-90",5,IF(L81="F-120",6,IF(L81="F-150",7,0)))))),0),0)+IF(AND(O81="FIRE TEX 5120",OR(E81="IN",E81="C",E81="Z",E81="L"),J81=3),VLOOKUP(_xlfn.MINIFS('FIRE TEX 5120'!$B$5:$B$40,'FIRE TEX 5120'!$B$5:$B$40,"&gt;="&amp;M81),'FIRE TEX 5120'!$B$5:$G$40,IF(L81="F-15",2,IF(L81="F-30",3,IF(L81="F-60",4,IF(L81="F-90",5,IF(L81="F-120",6,0))))),0),0)+IF(AND(O81="FIRE TEX 5120",OR(E81="IN",E81="C",E81="Z",E81="L"),J81=4),VLOOKUP(_xlfn.MINIFS('FIRE TEX 5120'!$H$4:$H$40,'FIRE TEX 5120'!$H$4:$H$40,"&gt;="&amp;M81),'FIRE TEX 5120'!$H$4:$M$40,IF(L81="F-15",2,IF(L81="F-30",3,IF(L81="F-60",4,IF(L81="F-90",5,IF(L81="F-120",6,0))))),0),0)+IF(AND(O81="FIRE TEX 5120",E81="CJ"),VLOOKUP(_xlfn.MINIFS('FIRE TEX 5120'!$O$5:$O$40,'FIRE TEX 5120'!$O$5:$O$40,"&gt;="&amp;M81),'FIRE TEX 5120'!$O$5:$T$40,IF(L81="F-15",2,IF(L81="F-30",3,IF(L81="F-60",4,IF(L81="F-90",5,IF(L81="F-120",6,0))))),0),0)</f>
        <v>0</v>
      </c>
      <c r="Q81" s="46">
        <f t="shared" si="10"/>
        <v>0</v>
      </c>
      <c r="R81" s="46">
        <f t="shared" si="12"/>
        <v>0</v>
      </c>
      <c r="S81" s="46" t="e">
        <f t="shared" si="11"/>
        <v>#DIV/0!</v>
      </c>
      <c r="T81" s="677">
        <f t="shared" si="13"/>
        <v>0</v>
      </c>
      <c r="U81" s="80">
        <f>(IF(O81="Stofire",(S81*#REF!),0))+(IF(O81="Fire Control",(S81*$U$2),0))+(IF(O81="Fire Tex",(S81*$U$3),0))+(IF(O81="WB7",(S81*#REF!),0)+(IF(O81="FX 2003",(S81*$U$5),0)))</f>
        <v>0</v>
      </c>
      <c r="V81" s="651">
        <f t="shared" si="9"/>
        <v>240</v>
      </c>
      <c r="W81" s="4"/>
    </row>
    <row r="82" spans="1:23" x14ac:dyDescent="0.25">
      <c r="A82" s="652" t="s">
        <v>439</v>
      </c>
      <c r="B82" s="653" t="s">
        <v>430</v>
      </c>
      <c r="C82" s="1" t="s">
        <v>431</v>
      </c>
      <c r="D82" s="118" t="str">
        <f>+CUBICACION!D81</f>
        <v>PILAR</v>
      </c>
      <c r="E82" s="118" t="str">
        <f>+CUBICACION!F81</f>
        <v>CJ</v>
      </c>
      <c r="F82" s="118" t="str">
        <f>+CUBICACION!E81</f>
        <v>150X150X5</v>
      </c>
      <c r="G82" s="118">
        <v>12</v>
      </c>
      <c r="H82" s="118">
        <v>2</v>
      </c>
      <c r="I82" s="820">
        <v>26385</v>
      </c>
      <c r="J82" s="118">
        <f>+CUBICACION!J81</f>
        <v>4</v>
      </c>
      <c r="K82" s="118">
        <v>2856</v>
      </c>
      <c r="L82" s="118" t="str">
        <f>+CUBICACION!L81</f>
        <v>F-60</v>
      </c>
      <c r="M82" s="64">
        <f>+CUBICACION!M81</f>
        <v>200</v>
      </c>
      <c r="N82" s="824">
        <f>+CUBICACION!N81</f>
        <v>2.4</v>
      </c>
      <c r="O82" s="675" t="str">
        <f>+CUBICACION!O81</f>
        <v>Fire Tex 5090</v>
      </c>
      <c r="P82" s="15">
        <f>IF(O82="Fire Control",VLOOKUP(_xlfn.MINIFS('FIRE CONTROL'!$C$4:$C$37,'FIRE CONTROL'!$C$4:$C$37,"&gt;="&amp;M82),'FIRE CONTROL'!$C$4:$G$37,IF(L82="F-15",2,IF(L82="F-30",3,IF(L82="F-60",4,IF(L82="F-90",5,0)))),0),0)+IF(AND(O82="FIRE TEX 5062",OR(E82="IN",E82="C",E82="Z",E82="L"),J82=3),VLOOKUP(_xlfn.MINIFS('FIRE TEX 5062'!$B$4:$B$34,'FIRE TEX 5062'!$B$4:$B$34,"&gt;="&amp;M82),'FIRE TEX 5062'!$B$4:$F$34,IF(L82="F-15",2,IF(L82="F-30",3,IF(L82="F-60",4,IF(L82="F-90",5,0)))),0),0)+IF(AND(O82="FIRE TEX 5062",OR(E82="IN",E82="C",E82="Z",E82="L"),J82=4),VLOOKUP(_xlfn.MINIFS('FIRE TEX 5062'!$G$4:$G$34,'FIRE TEX 5062'!$G$4:$G$34,"&gt;="&amp;M82),'FIRE TEX 5062'!$G$4:$K$34,IF(L82="F-15",2,IF(L82="F-30",3,IF(L82="F-60",4,IF(L82="F-90",5,0)))),0),0)+IF(AND(O82="FIRE TEX 5062",E82="CJ",J82=3),VLOOKUP(_xlfn.MINIFS('FIRE TEX 5062'!$L$4:$L$34,'FIRE TEX 5062'!$L$4:$L$34,"&gt;="&amp;M82),'FIRE TEX 5062'!$L$4:$P$34,IF(L82="F-15",2,IF(L82="F-30",3,IF(L82="F-60",4,IF(L82="F-90",5,0)))),0),0)+IF(AND(O82="FIRE TEX 5062",E82="CJ",J82=4),VLOOKUP(_xlfn.MINIFS('FIRE TEX 5062'!$Q$3:$Q$34,'FIRE TEX 5062'!$Q$3:$Q$34,"&gt;="&amp;M82),'FIRE TEX 5062'!$Q$3:$U$34,IF(L82="F-15",2,IF(L82="F-30",3,IF(L82="F-60",4,IF(L82="F-90",5,0)))),0),0)+IF(AND(O82="FIRE TEX 5090",OR(E82="IN",E82="C",E82="Z",E82="L"),J82=3),VLOOKUP(_xlfn.MINIFS('FIRE TEX 5090'!$B$5:$B$43,'FIRE TEX 5090'!$B$5:$B$43,"&gt;="&amp;M82),'FIRE TEX 5090'!$B$5:$H$43,IF(L82="F-15",2,IF(L82="F-30",3,IF(L82="F-60",4,IF(L82="F-90",5,IF(L82="F-120",6,IF(L82="F-150",7,0)))))),0),0)+IF(AND(O82="FIRE TEX 5090",OR(E82="IN",E82="C",E82="Z",E82="L"),J82=4),VLOOKUP(_xlfn.MINIFS('FIRE TEX 5090'!$J$5:$J$43,'FIRE TEX 5090'!$J$5:$J$43,"&gt;="&amp;M82),'FIRE TEX 5090'!$J$5:$P$43,IF(L82="F-15",2,IF(L82="F-30",3,IF(L82="F-60",4,IF(L82="F-90",5,IF(L82="F-120",6,IF(L82="F-150",7,0)))))),0),0)+IF(AND(O82="FIRE TEX 5090",E82="CJ",J82=3),VLOOKUP(_xlfn.MINIFS('FIRE TEX 5090'!$R$5:$R$30,'FIRE TEX 5090'!$R$5:$R$30,"&gt;="&amp;M82),'FIRE TEX 5090'!$R$5:$W$30,IF(L82="F-15",2,IF(L82="F-30",3,IF(L82="F-60",4,IF(L82="F-90",5,IF(L82="F-120",6,IF(L82="F-150",7,0)))))),0),0)+IF(AND(O82="FIRE TEX 5090",E82="CJ",J82=4),VLOOKUP(_xlfn.MINIFS('FIRE TEX 5090'!$Y$5:$Y$39,'FIRE TEX 5090'!$Y$5:$Y$39,"&gt;="&amp;M82),'FIRE TEX 5090'!$Y$5:$AD$39,IF(L82="F-15",2,IF(L82="F-30",3,IF(L82="F-60",4,IF(L82="F-90",5,IF(L82="F-120",6,IF(L82="F-150",7,0)))))),0),0)+IF(AND(O82="FIRE TEX 5120",OR(E82="IN",E82="C",E82="Z",E82="L"),J82=3),VLOOKUP(_xlfn.MINIFS('FIRE TEX 5120'!$B$5:$B$40,'FIRE TEX 5120'!$B$5:$B$40,"&gt;="&amp;M82),'FIRE TEX 5120'!$B$5:$G$40,IF(L82="F-15",2,IF(L82="F-30",3,IF(L82="F-60",4,IF(L82="F-90",5,IF(L82="F-120",6,0))))),0),0)+IF(AND(O82="FIRE TEX 5120",OR(E82="IN",E82="C",E82="Z",E82="L"),J82=4),VLOOKUP(_xlfn.MINIFS('FIRE TEX 5120'!$H$4:$H$40,'FIRE TEX 5120'!$H$4:$H$40,"&gt;="&amp;M82),'FIRE TEX 5120'!$H$4:$M$40,IF(L82="F-15",2,IF(L82="F-30",3,IF(L82="F-60",4,IF(L82="F-90",5,IF(L82="F-120",6,0))))),0),0)+IF(AND(O82="FIRE TEX 5120",E82="CJ"),VLOOKUP(_xlfn.MINIFS('FIRE TEX 5120'!$O$5:$O$40,'FIRE TEX 5120'!$O$5:$O$40,"&gt;="&amp;M82),'FIRE TEX 5120'!$O$5:$T$40,IF(L82="F-15",2,IF(L82="F-30",3,IF(L82="F-60",4,IF(L82="F-90",5,IF(L82="F-120",6,0))))),0),0)</f>
        <v>1930</v>
      </c>
      <c r="Q82" s="46">
        <f t="shared" si="10"/>
        <v>75.984099999999998</v>
      </c>
      <c r="R82" s="46">
        <f t="shared" si="12"/>
        <v>4.5601645607436296</v>
      </c>
      <c r="S82" s="46">
        <f t="shared" si="11"/>
        <v>0.52629679653679651</v>
      </c>
      <c r="T82" s="677">
        <f t="shared" si="13"/>
        <v>0</v>
      </c>
      <c r="U82" s="80">
        <f>(IF(O82="Stofire",(S82*#REF!),0))+(IF(O82="Fire Control",(S82*$U$2),0))+(IF(O82="Fire Tex",(S82*$U$3),0))+(IF(O82="WB7",(S82*#REF!),0)+(IF(O82="FX 2003",(S82*$U$5),0)))</f>
        <v>0</v>
      </c>
      <c r="V82" s="651">
        <f t="shared" si="9"/>
        <v>200</v>
      </c>
      <c r="W82" s="4"/>
    </row>
    <row r="83" spans="1:23" x14ac:dyDescent="0.25">
      <c r="A83" s="652" t="s">
        <v>439</v>
      </c>
      <c r="B83" s="653" t="s">
        <v>430</v>
      </c>
      <c r="C83" s="1" t="s">
        <v>435</v>
      </c>
      <c r="D83" s="118" t="str">
        <f>+CUBICACION!D82</f>
        <v>VIGA BAJO LOSA</v>
      </c>
      <c r="E83" s="118" t="str">
        <f>+CUBICACION!F82</f>
        <v>IN</v>
      </c>
      <c r="F83" s="118" t="str">
        <f>+CUBICACION!E82</f>
        <v>240X120X9,8X6,2</v>
      </c>
      <c r="G83" s="118">
        <v>12</v>
      </c>
      <c r="H83" s="118">
        <v>2</v>
      </c>
      <c r="I83" s="820">
        <v>26385</v>
      </c>
      <c r="J83" s="118">
        <f>+CUBICACION!J82</f>
        <v>3</v>
      </c>
      <c r="K83" s="118">
        <v>2857</v>
      </c>
      <c r="L83" s="118">
        <f>+CUBICACION!L82</f>
        <v>60</v>
      </c>
      <c r="M83" s="64">
        <f>+CUBICACION!M82</f>
        <v>233</v>
      </c>
      <c r="N83" s="824">
        <f>+CUBICACION!N82</f>
        <v>10.10055</v>
      </c>
      <c r="O83" s="675" t="str">
        <f>+CUBICACION!O82</f>
        <v>Blaze Shield II</v>
      </c>
      <c r="P83" s="15">
        <f>IF(O83="Fire Control",VLOOKUP(_xlfn.MINIFS('FIRE CONTROL'!$C$4:$C$37,'FIRE CONTROL'!$C$4:$C$37,"&gt;="&amp;M83),'FIRE CONTROL'!$C$4:$G$37,IF(L83="F-15",2,IF(L83="F-30",3,IF(L83="F-60",4,IF(L83="F-90",5,0)))),0),0)+IF(AND(O83="FIRE TEX 5062",OR(E83="IN",E83="C",E83="Z",E83="L"),J83=3),VLOOKUP(_xlfn.MINIFS('FIRE TEX 5062'!$B$4:$B$34,'FIRE TEX 5062'!$B$4:$B$34,"&gt;="&amp;M83),'FIRE TEX 5062'!$B$4:$F$34,IF(L83="F-15",2,IF(L83="F-30",3,IF(L83="F-60",4,IF(L83="F-90",5,0)))),0),0)+IF(AND(O83="FIRE TEX 5062",OR(E83="IN",E83="C",E83="Z",E83="L"),J83=4),VLOOKUP(_xlfn.MINIFS('FIRE TEX 5062'!$G$4:$G$34,'FIRE TEX 5062'!$G$4:$G$34,"&gt;="&amp;M83),'FIRE TEX 5062'!$G$4:$K$34,IF(L83="F-15",2,IF(L83="F-30",3,IF(L83="F-60",4,IF(L83="F-90",5,0)))),0),0)+IF(AND(O83="FIRE TEX 5062",E83="CJ",J83=3),VLOOKUP(_xlfn.MINIFS('FIRE TEX 5062'!$L$4:$L$34,'FIRE TEX 5062'!$L$4:$L$34,"&gt;="&amp;M83),'FIRE TEX 5062'!$L$4:$P$34,IF(L83="F-15",2,IF(L83="F-30",3,IF(L83="F-60",4,IF(L83="F-90",5,0)))),0),0)+IF(AND(O83="FIRE TEX 5062",E83="CJ",J83=4),VLOOKUP(_xlfn.MINIFS('FIRE TEX 5062'!$Q$3:$Q$34,'FIRE TEX 5062'!$Q$3:$Q$34,"&gt;="&amp;M83),'FIRE TEX 5062'!$Q$3:$U$34,IF(L83="F-15",2,IF(L83="F-30",3,IF(L83="F-60",4,IF(L83="F-90",5,0)))),0),0)+IF(AND(O83="FIRE TEX 5090",OR(E83="IN",E83="C",E83="Z",E83="L"),J83=3),VLOOKUP(_xlfn.MINIFS('FIRE TEX 5090'!$B$5:$B$43,'FIRE TEX 5090'!$B$5:$B$43,"&gt;="&amp;M83),'FIRE TEX 5090'!$B$5:$H$43,IF(L83="F-15",2,IF(L83="F-30",3,IF(L83="F-60",4,IF(L83="F-90",5,IF(L83="F-120",6,IF(L83="F-150",7,0)))))),0),0)+IF(AND(O83="FIRE TEX 5090",OR(E83="IN",E83="C",E83="Z",E83="L"),J83=4),VLOOKUP(_xlfn.MINIFS('FIRE TEX 5090'!$J$5:$J$43,'FIRE TEX 5090'!$J$5:$J$43,"&gt;="&amp;M83),'FIRE TEX 5090'!$J$5:$P$43,IF(L83="F-15",2,IF(L83="F-30",3,IF(L83="F-60",4,IF(L83="F-90",5,IF(L83="F-120",6,IF(L83="F-150",7,0)))))),0),0)+IF(AND(O83="FIRE TEX 5090",E83="CJ",J83=3),VLOOKUP(_xlfn.MINIFS('FIRE TEX 5090'!$R$5:$R$30,'FIRE TEX 5090'!$R$5:$R$30,"&gt;="&amp;M83),'FIRE TEX 5090'!$R$5:$W$30,IF(L83="F-15",2,IF(L83="F-30",3,IF(L83="F-60",4,IF(L83="F-90",5,IF(L83="F-120",6,IF(L83="F-150",7,0)))))),0),0)+IF(AND(O83="FIRE TEX 5090",E83="CJ",J83=4),VLOOKUP(_xlfn.MINIFS('FIRE TEX 5090'!$Y$5:$Y$39,'FIRE TEX 5090'!$Y$5:$Y$39,"&gt;="&amp;M83),'FIRE TEX 5090'!$Y$5:$AD$39,IF(L83="F-15",2,IF(L83="F-30",3,IF(L83="F-60",4,IF(L83="F-90",5,IF(L83="F-120",6,IF(L83="F-150",7,0)))))),0),0)+IF(AND(O83="FIRE TEX 5120",OR(E83="IN",E83="C",E83="Z",E83="L"),J83=3),VLOOKUP(_xlfn.MINIFS('FIRE TEX 5120'!$B$5:$B$40,'FIRE TEX 5120'!$B$5:$B$40,"&gt;="&amp;M83),'FIRE TEX 5120'!$B$5:$G$40,IF(L83="F-15",2,IF(L83="F-30",3,IF(L83="F-60",4,IF(L83="F-90",5,IF(L83="F-120",6,0))))),0),0)+IF(AND(O83="FIRE TEX 5120",OR(E83="IN",E83="C",E83="Z",E83="L"),J83=4),VLOOKUP(_xlfn.MINIFS('FIRE TEX 5120'!$H$4:$H$40,'FIRE TEX 5120'!$H$4:$H$40,"&gt;="&amp;M83),'FIRE TEX 5120'!$H$4:$M$40,IF(L83="F-15",2,IF(L83="F-30",3,IF(L83="F-60",4,IF(L83="F-90",5,IF(L83="F-120",6,0))))),0),0)+IF(AND(O83="FIRE TEX 5120",E83="CJ"),VLOOKUP(_xlfn.MINIFS('FIRE TEX 5120'!$O$5:$O$40,'FIRE TEX 5120'!$O$5:$O$40,"&gt;="&amp;M83),'FIRE TEX 5120'!$O$5:$T$40,IF(L83="F-15",2,IF(L83="F-30",3,IF(L83="F-60",4,IF(L83="F-90",5,IF(L83="F-120",6,0))))),0),0)</f>
        <v>0</v>
      </c>
      <c r="Q83" s="46">
        <f t="shared" si="10"/>
        <v>0</v>
      </c>
      <c r="R83" s="46">
        <f t="shared" si="12"/>
        <v>0</v>
      </c>
      <c r="S83" s="46" t="e">
        <f t="shared" si="11"/>
        <v>#DIV/0!</v>
      </c>
      <c r="T83" s="677">
        <f t="shared" si="13"/>
        <v>0</v>
      </c>
      <c r="U83" s="80">
        <f>(IF(O83="Stofire",(S83*#REF!),0))+(IF(O83="Fire Control",(S83*$U$2),0))+(IF(O83="Fire Tex",(S83*$U$3),0))+(IF(O83="WB7",(S83*#REF!),0)+(IF(O83="FX 2003",(S83*$U$5),0)))</f>
        <v>0</v>
      </c>
      <c r="V83" s="651">
        <f t="shared" si="9"/>
        <v>240</v>
      </c>
      <c r="W83" s="4"/>
    </row>
    <row r="84" spans="1:23" x14ac:dyDescent="0.25">
      <c r="A84" s="652" t="s">
        <v>442</v>
      </c>
      <c r="B84" s="653" t="s">
        <v>443</v>
      </c>
      <c r="C84" s="1" t="s">
        <v>444</v>
      </c>
      <c r="D84" s="118" t="str">
        <f>+CUBICACION!D83</f>
        <v>ARRIOSTRAMINETO VERTICAL</v>
      </c>
      <c r="E84" s="118" t="str">
        <f>+CUBICACION!F83</f>
        <v>CJ</v>
      </c>
      <c r="F84" s="118" t="str">
        <f>+CUBICACION!E83</f>
        <v>100X100X3</v>
      </c>
      <c r="G84" s="118">
        <v>12</v>
      </c>
      <c r="H84" s="118">
        <v>2</v>
      </c>
      <c r="I84" s="820">
        <v>26385</v>
      </c>
      <c r="J84" s="118">
        <f>+CUBICACION!J83</f>
        <v>4</v>
      </c>
      <c r="K84" s="118">
        <v>2858</v>
      </c>
      <c r="L84" s="118" t="str">
        <f>+CUBICACION!L83</f>
        <v>F-60</v>
      </c>
      <c r="M84" s="64">
        <f>+CUBICACION!M83</f>
        <v>333</v>
      </c>
      <c r="N84" s="824">
        <f>+CUBICACION!N83</f>
        <v>6.32</v>
      </c>
      <c r="O84" s="675" t="str">
        <f>+CUBICACION!O83</f>
        <v>Fire Tex 5090</v>
      </c>
      <c r="P84" s="15">
        <f>IF(O84="Fire Control",VLOOKUP(_xlfn.MINIFS('FIRE CONTROL'!$C$4:$C$37,'FIRE CONTROL'!$C$4:$C$37,"&gt;="&amp;M84),'FIRE CONTROL'!$C$4:$G$37,IF(L84="F-15",2,IF(L84="F-30",3,IF(L84="F-60",4,IF(L84="F-90",5,0)))),0),0)+IF(AND(O84="FIRE TEX 5062",OR(E84="IN",E84="C",E84="Z",E84="L"),J84=3),VLOOKUP(_xlfn.MINIFS('FIRE TEX 5062'!$B$4:$B$34,'FIRE TEX 5062'!$B$4:$B$34,"&gt;="&amp;M84),'FIRE TEX 5062'!$B$4:$F$34,IF(L84="F-15",2,IF(L84="F-30",3,IF(L84="F-60",4,IF(L84="F-90",5,0)))),0),0)+IF(AND(O84="FIRE TEX 5062",OR(E84="IN",E84="C",E84="Z",E84="L"),J84=4),VLOOKUP(_xlfn.MINIFS('FIRE TEX 5062'!$G$4:$G$34,'FIRE TEX 5062'!$G$4:$G$34,"&gt;="&amp;M84),'FIRE TEX 5062'!$G$4:$K$34,IF(L84="F-15",2,IF(L84="F-30",3,IF(L84="F-60",4,IF(L84="F-90",5,0)))),0),0)+IF(AND(O84="FIRE TEX 5062",E84="CJ",J84=3),VLOOKUP(_xlfn.MINIFS('FIRE TEX 5062'!$L$4:$L$34,'FIRE TEX 5062'!$L$4:$L$34,"&gt;="&amp;M84),'FIRE TEX 5062'!$L$4:$P$34,IF(L84="F-15",2,IF(L84="F-30",3,IF(L84="F-60",4,IF(L84="F-90",5,0)))),0),0)+IF(AND(O84="FIRE TEX 5062",E84="CJ",J84=4),VLOOKUP(_xlfn.MINIFS('FIRE TEX 5062'!$Q$3:$Q$34,'FIRE TEX 5062'!$Q$3:$Q$34,"&gt;="&amp;M84),'FIRE TEX 5062'!$Q$3:$U$34,IF(L84="F-15",2,IF(L84="F-30",3,IF(L84="F-60",4,IF(L84="F-90",5,0)))),0),0)+IF(AND(O84="FIRE TEX 5090",OR(E84="IN",E84="C",E84="Z",E84="L"),J84=3),VLOOKUP(_xlfn.MINIFS('FIRE TEX 5090'!$B$5:$B$43,'FIRE TEX 5090'!$B$5:$B$43,"&gt;="&amp;M84),'FIRE TEX 5090'!$B$5:$H$43,IF(L84="F-15",2,IF(L84="F-30",3,IF(L84="F-60",4,IF(L84="F-90",5,IF(L84="F-120",6,IF(L84="F-150",7,0)))))),0),0)+IF(AND(O84="FIRE TEX 5090",OR(E84="IN",E84="C",E84="Z",E84="L"),J84=4),VLOOKUP(_xlfn.MINIFS('FIRE TEX 5090'!$J$5:$J$43,'FIRE TEX 5090'!$J$5:$J$43,"&gt;="&amp;M84),'FIRE TEX 5090'!$J$5:$P$43,IF(L84="F-15",2,IF(L84="F-30",3,IF(L84="F-60",4,IF(L84="F-90",5,IF(L84="F-120",6,IF(L84="F-150",7,0)))))),0),0)+IF(AND(O84="FIRE TEX 5090",E84="CJ",J84=3),VLOOKUP(_xlfn.MINIFS('FIRE TEX 5090'!$R$5:$R$30,'FIRE TEX 5090'!$R$5:$R$30,"&gt;="&amp;M84),'FIRE TEX 5090'!$R$5:$W$30,IF(L84="F-15",2,IF(L84="F-30",3,IF(L84="F-60",4,IF(L84="F-90",5,IF(L84="F-120",6,IF(L84="F-150",7,0)))))),0),0)+IF(AND(O84="FIRE TEX 5090",E84="CJ",J84=4),VLOOKUP(_xlfn.MINIFS('FIRE TEX 5090'!$Y$5:$Y$39,'FIRE TEX 5090'!$Y$5:$Y$39,"&gt;="&amp;M84),'FIRE TEX 5090'!$Y$5:$AD$39,IF(L84="F-15",2,IF(L84="F-30",3,IF(L84="F-60",4,IF(L84="F-90",5,IF(L84="F-120",6,IF(L84="F-150",7,0)))))),0),0)+IF(AND(O84="FIRE TEX 5120",OR(E84="IN",E84="C",E84="Z",E84="L"),J84=3),VLOOKUP(_xlfn.MINIFS('FIRE TEX 5120'!$B$5:$B$40,'FIRE TEX 5120'!$B$5:$B$40,"&gt;="&amp;M84),'FIRE TEX 5120'!$B$5:$G$40,IF(L84="F-15",2,IF(L84="F-30",3,IF(L84="F-60",4,IF(L84="F-90",5,IF(L84="F-120",6,0))))),0),0)+IF(AND(O84="FIRE TEX 5120",OR(E84="IN",E84="C",E84="Z",E84="L"),J84=4),VLOOKUP(_xlfn.MINIFS('FIRE TEX 5120'!$H$4:$H$40,'FIRE TEX 5120'!$H$4:$H$40,"&gt;="&amp;M84),'FIRE TEX 5120'!$H$4:$M$40,IF(L84="F-15",2,IF(L84="F-30",3,IF(L84="F-60",4,IF(L84="F-90",5,IF(L84="F-120",6,0))))),0),0)+IF(AND(O84="FIRE TEX 5120",E84="CJ"),VLOOKUP(_xlfn.MINIFS('FIRE TEX 5120'!$O$5:$O$40,'FIRE TEX 5120'!$O$5:$O$40,"&gt;="&amp;M84),'FIRE TEX 5120'!$O$5:$T$40,IF(L84="F-15",2,IF(L84="F-30",3,IF(L84="F-60",4,IF(L84="F-90",5,IF(L84="F-120",6,0))))),0),0)</f>
        <v>2828</v>
      </c>
      <c r="Q84" s="46">
        <f t="shared" si="10"/>
        <v>111.33836000000001</v>
      </c>
      <c r="R84" s="46">
        <f t="shared" si="12"/>
        <v>3.1121349371411613</v>
      </c>
      <c r="S84" s="46">
        <f t="shared" si="11"/>
        <v>2.0307602747474749</v>
      </c>
      <c r="T84" s="677">
        <f t="shared" si="13"/>
        <v>0</v>
      </c>
      <c r="U84" s="80">
        <f>(IF(O84="Stofire",(S84*#REF!),0))+(IF(O84="Fire Control",(S84*$U$2),0))+(IF(O84="Fire Tex",(S84*$U$3),0))+(IF(O84="WB7",(S84*#REF!),0)+(IF(O84="FX 2003",(S84*$U$5),0)))</f>
        <v>0</v>
      </c>
      <c r="V84" s="651">
        <f t="shared" si="9"/>
        <v>340</v>
      </c>
      <c r="W84" s="4"/>
    </row>
    <row r="85" spans="1:23" x14ac:dyDescent="0.25">
      <c r="A85" s="652" t="s">
        <v>442</v>
      </c>
      <c r="B85" s="653" t="s">
        <v>443</v>
      </c>
      <c r="C85" s="1" t="s">
        <v>446</v>
      </c>
      <c r="D85" s="118" t="str">
        <f>+CUBICACION!D84</f>
        <v>PILAR</v>
      </c>
      <c r="E85" s="118" t="str">
        <f>+CUBICACION!F84</f>
        <v>CJ</v>
      </c>
      <c r="F85" s="118" t="str">
        <f>+CUBICACION!E84</f>
        <v>150X150X5</v>
      </c>
      <c r="G85" s="118">
        <v>12</v>
      </c>
      <c r="H85" s="118">
        <v>2</v>
      </c>
      <c r="I85" s="820">
        <v>26385</v>
      </c>
      <c r="J85" s="118">
        <f>+CUBICACION!J84</f>
        <v>4</v>
      </c>
      <c r="K85" s="118">
        <v>2859</v>
      </c>
      <c r="L85" s="118" t="str">
        <f>+CUBICACION!L84</f>
        <v>F-60</v>
      </c>
      <c r="M85" s="64">
        <f>+CUBICACION!M84</f>
        <v>200</v>
      </c>
      <c r="N85" s="824">
        <f>+CUBICACION!N84</f>
        <v>2.4</v>
      </c>
      <c r="O85" s="675" t="str">
        <f>+CUBICACION!O84</f>
        <v>Fire Tex 5090</v>
      </c>
      <c r="P85" s="15">
        <f>IF(O85="Fire Control",VLOOKUP(_xlfn.MINIFS('FIRE CONTROL'!$C$4:$C$37,'FIRE CONTROL'!$C$4:$C$37,"&gt;="&amp;M85),'FIRE CONTROL'!$C$4:$G$37,IF(L85="F-15",2,IF(L85="F-30",3,IF(L85="F-60",4,IF(L85="F-90",5,0)))),0),0)+IF(AND(O85="FIRE TEX 5062",OR(E85="IN",E85="C",E85="Z",E85="L"),J85=3),VLOOKUP(_xlfn.MINIFS('FIRE TEX 5062'!$B$4:$B$34,'FIRE TEX 5062'!$B$4:$B$34,"&gt;="&amp;M85),'FIRE TEX 5062'!$B$4:$F$34,IF(L85="F-15",2,IF(L85="F-30",3,IF(L85="F-60",4,IF(L85="F-90",5,0)))),0),0)+IF(AND(O85="FIRE TEX 5062",OR(E85="IN",E85="C",E85="Z",E85="L"),J85=4),VLOOKUP(_xlfn.MINIFS('FIRE TEX 5062'!$G$4:$G$34,'FIRE TEX 5062'!$G$4:$G$34,"&gt;="&amp;M85),'FIRE TEX 5062'!$G$4:$K$34,IF(L85="F-15",2,IF(L85="F-30",3,IF(L85="F-60",4,IF(L85="F-90",5,0)))),0),0)+IF(AND(O85="FIRE TEX 5062",E85="CJ",J85=3),VLOOKUP(_xlfn.MINIFS('FIRE TEX 5062'!$L$4:$L$34,'FIRE TEX 5062'!$L$4:$L$34,"&gt;="&amp;M85),'FIRE TEX 5062'!$L$4:$P$34,IF(L85="F-15",2,IF(L85="F-30",3,IF(L85="F-60",4,IF(L85="F-90",5,0)))),0),0)+IF(AND(O85="FIRE TEX 5062",E85="CJ",J85=4),VLOOKUP(_xlfn.MINIFS('FIRE TEX 5062'!$Q$3:$Q$34,'FIRE TEX 5062'!$Q$3:$Q$34,"&gt;="&amp;M85),'FIRE TEX 5062'!$Q$3:$U$34,IF(L85="F-15",2,IF(L85="F-30",3,IF(L85="F-60",4,IF(L85="F-90",5,0)))),0),0)+IF(AND(O85="FIRE TEX 5090",OR(E85="IN",E85="C",E85="Z",E85="L"),J85=3),VLOOKUP(_xlfn.MINIFS('FIRE TEX 5090'!$B$5:$B$43,'FIRE TEX 5090'!$B$5:$B$43,"&gt;="&amp;M85),'FIRE TEX 5090'!$B$5:$H$43,IF(L85="F-15",2,IF(L85="F-30",3,IF(L85="F-60",4,IF(L85="F-90",5,IF(L85="F-120",6,IF(L85="F-150",7,0)))))),0),0)+IF(AND(O85="FIRE TEX 5090",OR(E85="IN",E85="C",E85="Z",E85="L"),J85=4),VLOOKUP(_xlfn.MINIFS('FIRE TEX 5090'!$J$5:$J$43,'FIRE TEX 5090'!$J$5:$J$43,"&gt;="&amp;M85),'FIRE TEX 5090'!$J$5:$P$43,IF(L85="F-15",2,IF(L85="F-30",3,IF(L85="F-60",4,IF(L85="F-90",5,IF(L85="F-120",6,IF(L85="F-150",7,0)))))),0),0)+IF(AND(O85="FIRE TEX 5090",E85="CJ",J85=3),VLOOKUP(_xlfn.MINIFS('FIRE TEX 5090'!$R$5:$R$30,'FIRE TEX 5090'!$R$5:$R$30,"&gt;="&amp;M85),'FIRE TEX 5090'!$R$5:$W$30,IF(L85="F-15",2,IF(L85="F-30",3,IF(L85="F-60",4,IF(L85="F-90",5,IF(L85="F-120",6,IF(L85="F-150",7,0)))))),0),0)+IF(AND(O85="FIRE TEX 5090",E85="CJ",J85=4),VLOOKUP(_xlfn.MINIFS('FIRE TEX 5090'!$Y$5:$Y$39,'FIRE TEX 5090'!$Y$5:$Y$39,"&gt;="&amp;M85),'FIRE TEX 5090'!$Y$5:$AD$39,IF(L85="F-15",2,IF(L85="F-30",3,IF(L85="F-60",4,IF(L85="F-90",5,IF(L85="F-120",6,IF(L85="F-150",7,0)))))),0),0)+IF(AND(O85="FIRE TEX 5120",OR(E85="IN",E85="C",E85="Z",E85="L"),J85=3),VLOOKUP(_xlfn.MINIFS('FIRE TEX 5120'!$B$5:$B$40,'FIRE TEX 5120'!$B$5:$B$40,"&gt;="&amp;M85),'FIRE TEX 5120'!$B$5:$G$40,IF(L85="F-15",2,IF(L85="F-30",3,IF(L85="F-60",4,IF(L85="F-90",5,IF(L85="F-120",6,0))))),0),0)+IF(AND(O85="FIRE TEX 5120",OR(E85="IN",E85="C",E85="Z",E85="L"),J85=4),VLOOKUP(_xlfn.MINIFS('FIRE TEX 5120'!$H$4:$H$40,'FIRE TEX 5120'!$H$4:$H$40,"&gt;="&amp;M85),'FIRE TEX 5120'!$H$4:$M$40,IF(L85="F-15",2,IF(L85="F-30",3,IF(L85="F-60",4,IF(L85="F-90",5,IF(L85="F-120",6,0))))),0),0)+IF(AND(O85="FIRE TEX 5120",E85="CJ"),VLOOKUP(_xlfn.MINIFS('FIRE TEX 5120'!$O$5:$O$40,'FIRE TEX 5120'!$O$5:$O$40,"&gt;="&amp;M85),'FIRE TEX 5120'!$O$5:$T$40,IF(L85="F-15",2,IF(L85="F-30",3,IF(L85="F-60",4,IF(L85="F-90",5,IF(L85="F-120",6,0))))),0),0)</f>
        <v>1930</v>
      </c>
      <c r="Q85" s="46">
        <f t="shared" si="10"/>
        <v>75.984099999999998</v>
      </c>
      <c r="R85" s="46">
        <f t="shared" si="12"/>
        <v>4.5601645607436296</v>
      </c>
      <c r="S85" s="46">
        <f t="shared" si="11"/>
        <v>0.52629679653679651</v>
      </c>
      <c r="T85" s="677">
        <f t="shared" si="13"/>
        <v>0</v>
      </c>
      <c r="U85" s="80">
        <f>(IF(O85="Stofire",(S85*#REF!),0))+(IF(O85="Fire Control",(S85*$U$2),0))+(IF(O85="Fire Tex",(S85*$U$3),0))+(IF(O85="WB7",(S85*#REF!),0)+(IF(O85="FX 2003",(S85*$U$5),0)))</f>
        <v>0</v>
      </c>
      <c r="V85" s="651">
        <f>_xlfn.CEILING.MATH(M85,10)</f>
        <v>200</v>
      </c>
      <c r="W85" s="4"/>
    </row>
    <row r="86" spans="1:23" x14ac:dyDescent="0.25">
      <c r="A86" s="652" t="s">
        <v>448</v>
      </c>
      <c r="B86" s="653" t="s">
        <v>443</v>
      </c>
      <c r="C86" s="1" t="s">
        <v>444</v>
      </c>
      <c r="D86" s="118" t="str">
        <f>+CUBICACION!D85</f>
        <v>VIGA BAJO LOSA</v>
      </c>
      <c r="E86" s="118" t="str">
        <f>+CUBICACION!F85</f>
        <v>IN</v>
      </c>
      <c r="F86" s="118" t="str">
        <f>+CUBICACION!E85</f>
        <v>240X120X9,8X6,2</v>
      </c>
      <c r="G86" s="118">
        <v>12</v>
      </c>
      <c r="H86" s="118">
        <v>2</v>
      </c>
      <c r="I86" s="820">
        <v>26385</v>
      </c>
      <c r="J86" s="118">
        <f>+CUBICACION!J85</f>
        <v>3</v>
      </c>
      <c r="K86" s="118">
        <v>2860</v>
      </c>
      <c r="L86" s="118">
        <f>+CUBICACION!L85</f>
        <v>60</v>
      </c>
      <c r="M86" s="64">
        <f>+CUBICACION!M85</f>
        <v>233</v>
      </c>
      <c r="N86" s="824">
        <f>+CUBICACION!N85</f>
        <v>10.10055</v>
      </c>
      <c r="O86" s="675" t="str">
        <f>+CUBICACION!O85</f>
        <v>Blaze Shield II</v>
      </c>
      <c r="P86" s="15">
        <f>IF(O86="Fire Control",VLOOKUP(_xlfn.MINIFS('FIRE CONTROL'!$C$4:$C$37,'FIRE CONTROL'!$C$4:$C$37,"&gt;="&amp;M86),'FIRE CONTROL'!$C$4:$G$37,IF(L86="F-15",2,IF(L86="F-30",3,IF(L86="F-60",4,IF(L86="F-90",5,0)))),0),0)+IF(AND(O86="FIRE TEX 5062",OR(E86="IN",E86="C",E86="Z",E86="L"),J86=3),VLOOKUP(_xlfn.MINIFS('FIRE TEX 5062'!$B$4:$B$34,'FIRE TEX 5062'!$B$4:$B$34,"&gt;="&amp;M86),'FIRE TEX 5062'!$B$4:$F$34,IF(L86="F-15",2,IF(L86="F-30",3,IF(L86="F-60",4,IF(L86="F-90",5,0)))),0),0)+IF(AND(O86="FIRE TEX 5062",OR(E86="IN",E86="C",E86="Z",E86="L"),J86=4),VLOOKUP(_xlfn.MINIFS('FIRE TEX 5062'!$G$4:$G$34,'FIRE TEX 5062'!$G$4:$G$34,"&gt;="&amp;M86),'FIRE TEX 5062'!$G$4:$K$34,IF(L86="F-15",2,IF(L86="F-30",3,IF(L86="F-60",4,IF(L86="F-90",5,0)))),0),0)+IF(AND(O86="FIRE TEX 5062",E86="CJ",J86=3),VLOOKUP(_xlfn.MINIFS('FIRE TEX 5062'!$L$4:$L$34,'FIRE TEX 5062'!$L$4:$L$34,"&gt;="&amp;M86),'FIRE TEX 5062'!$L$4:$P$34,IF(L86="F-15",2,IF(L86="F-30",3,IF(L86="F-60",4,IF(L86="F-90",5,0)))),0),0)+IF(AND(O86="FIRE TEX 5062",E86="CJ",J86=4),VLOOKUP(_xlfn.MINIFS('FIRE TEX 5062'!$Q$3:$Q$34,'FIRE TEX 5062'!$Q$3:$Q$34,"&gt;="&amp;M86),'FIRE TEX 5062'!$Q$3:$U$34,IF(L86="F-15",2,IF(L86="F-30",3,IF(L86="F-60",4,IF(L86="F-90",5,0)))),0),0)+IF(AND(O86="FIRE TEX 5090",OR(E86="IN",E86="C",E86="Z",E86="L"),J86=3),VLOOKUP(_xlfn.MINIFS('FIRE TEX 5090'!$B$5:$B$43,'FIRE TEX 5090'!$B$5:$B$43,"&gt;="&amp;M86),'FIRE TEX 5090'!$B$5:$H$43,IF(L86="F-15",2,IF(L86="F-30",3,IF(L86="F-60",4,IF(L86="F-90",5,IF(L86="F-120",6,IF(L86="F-150",7,0)))))),0),0)+IF(AND(O86="FIRE TEX 5090",OR(E86="IN",E86="C",E86="Z",E86="L"),J86=4),VLOOKUP(_xlfn.MINIFS('FIRE TEX 5090'!$J$5:$J$43,'FIRE TEX 5090'!$J$5:$J$43,"&gt;="&amp;M86),'FIRE TEX 5090'!$J$5:$P$43,IF(L86="F-15",2,IF(L86="F-30",3,IF(L86="F-60",4,IF(L86="F-90",5,IF(L86="F-120",6,IF(L86="F-150",7,0)))))),0),0)+IF(AND(O86="FIRE TEX 5090",E86="CJ",J86=3),VLOOKUP(_xlfn.MINIFS('FIRE TEX 5090'!$R$5:$R$30,'FIRE TEX 5090'!$R$5:$R$30,"&gt;="&amp;M86),'FIRE TEX 5090'!$R$5:$W$30,IF(L86="F-15",2,IF(L86="F-30",3,IF(L86="F-60",4,IF(L86="F-90",5,IF(L86="F-120",6,IF(L86="F-150",7,0)))))),0),0)+IF(AND(O86="FIRE TEX 5090",E86="CJ",J86=4),VLOOKUP(_xlfn.MINIFS('FIRE TEX 5090'!$Y$5:$Y$39,'FIRE TEX 5090'!$Y$5:$Y$39,"&gt;="&amp;M86),'FIRE TEX 5090'!$Y$5:$AD$39,IF(L86="F-15",2,IF(L86="F-30",3,IF(L86="F-60",4,IF(L86="F-90",5,IF(L86="F-120",6,IF(L86="F-150",7,0)))))),0),0)+IF(AND(O86="FIRE TEX 5120",OR(E86="IN",E86="C",E86="Z",E86="L"),J86=3),VLOOKUP(_xlfn.MINIFS('FIRE TEX 5120'!$B$5:$B$40,'FIRE TEX 5120'!$B$5:$B$40,"&gt;="&amp;M86),'FIRE TEX 5120'!$B$5:$G$40,IF(L86="F-15",2,IF(L86="F-30",3,IF(L86="F-60",4,IF(L86="F-90",5,IF(L86="F-120",6,0))))),0),0)+IF(AND(O86="FIRE TEX 5120",OR(E86="IN",E86="C",E86="Z",E86="L"),J86=4),VLOOKUP(_xlfn.MINIFS('FIRE TEX 5120'!$H$4:$H$40,'FIRE TEX 5120'!$H$4:$H$40,"&gt;="&amp;M86),'FIRE TEX 5120'!$H$4:$M$40,IF(L86="F-15",2,IF(L86="F-30",3,IF(L86="F-60",4,IF(L86="F-90",5,IF(L86="F-120",6,0))))),0),0)+IF(AND(O86="FIRE TEX 5120",E86="CJ"),VLOOKUP(_xlfn.MINIFS('FIRE TEX 5120'!$O$5:$O$40,'FIRE TEX 5120'!$O$5:$O$40,"&gt;="&amp;M86),'FIRE TEX 5120'!$O$5:$T$40,IF(L86="F-15",2,IF(L86="F-30",3,IF(L86="F-60",4,IF(L86="F-90",5,IF(L86="F-120",6,0))))),0),0)</f>
        <v>0</v>
      </c>
      <c r="Q86" s="46">
        <f t="shared" si="10"/>
        <v>0</v>
      </c>
      <c r="R86" s="46">
        <f t="shared" si="12"/>
        <v>0</v>
      </c>
      <c r="S86" s="46" t="e">
        <f t="shared" si="11"/>
        <v>#DIV/0!</v>
      </c>
      <c r="T86" s="677">
        <f t="shared" si="13"/>
        <v>0</v>
      </c>
      <c r="U86" s="80">
        <f>(IF(O86="Stofire",(S86*#REF!),0))+(IF(O86="Fire Control",(S86*$U$2),0))+(IF(O86="Fire Tex",(S86*$U$3),0))+(IF(O86="WB7",(S86*#REF!),0)+(IF(O86="FX 2003",(S86*$U$5),0)))</f>
        <v>0</v>
      </c>
      <c r="V86" s="651">
        <f>_xlfn.CEILING.MATH(M86,10)</f>
        <v>240</v>
      </c>
      <c r="W86" s="4"/>
    </row>
    <row r="87" spans="1:23" x14ac:dyDescent="0.25">
      <c r="A87" s="652" t="s">
        <v>448</v>
      </c>
      <c r="B87" s="653" t="s">
        <v>443</v>
      </c>
      <c r="C87" s="1" t="s">
        <v>446</v>
      </c>
      <c r="D87" s="118" t="str">
        <f>+CUBICACION!D86</f>
        <v>PILAR</v>
      </c>
      <c r="E87" s="118" t="str">
        <f>+CUBICACION!F86</f>
        <v>CJ</v>
      </c>
      <c r="F87" s="118" t="str">
        <f>+CUBICACION!E86</f>
        <v>150X150X5</v>
      </c>
      <c r="G87" s="118">
        <v>12</v>
      </c>
      <c r="H87" s="118">
        <v>2</v>
      </c>
      <c r="I87" s="820">
        <v>26385</v>
      </c>
      <c r="J87" s="118">
        <f>+CUBICACION!J86</f>
        <v>4</v>
      </c>
      <c r="K87" s="118">
        <v>2861</v>
      </c>
      <c r="L87" s="118" t="str">
        <f>+CUBICACION!L86</f>
        <v>F-60</v>
      </c>
      <c r="M87" s="64">
        <f>+CUBICACION!M86</f>
        <v>200</v>
      </c>
      <c r="N87" s="824">
        <f>+CUBICACION!N86</f>
        <v>2.4</v>
      </c>
      <c r="O87" s="675" t="str">
        <f>+CUBICACION!O86</f>
        <v>Fire Tex 5090</v>
      </c>
      <c r="P87" s="15">
        <f>IF(O87="Fire Control",VLOOKUP(_xlfn.MINIFS('FIRE CONTROL'!$C$4:$C$37,'FIRE CONTROL'!$C$4:$C$37,"&gt;="&amp;M87),'FIRE CONTROL'!$C$4:$G$37,IF(L87="F-15",2,IF(L87="F-30",3,IF(L87="F-60",4,IF(L87="F-90",5,0)))),0),0)+IF(AND(O87="FIRE TEX 5062",OR(E87="IN",E87="C",E87="Z",E87="L"),J87=3),VLOOKUP(_xlfn.MINIFS('FIRE TEX 5062'!$B$4:$B$34,'FIRE TEX 5062'!$B$4:$B$34,"&gt;="&amp;M87),'FIRE TEX 5062'!$B$4:$F$34,IF(L87="F-15",2,IF(L87="F-30",3,IF(L87="F-60",4,IF(L87="F-90",5,0)))),0),0)+IF(AND(O87="FIRE TEX 5062",OR(E87="IN",E87="C",E87="Z",E87="L"),J87=4),VLOOKUP(_xlfn.MINIFS('FIRE TEX 5062'!$G$4:$G$34,'FIRE TEX 5062'!$G$4:$G$34,"&gt;="&amp;M87),'FIRE TEX 5062'!$G$4:$K$34,IF(L87="F-15",2,IF(L87="F-30",3,IF(L87="F-60",4,IF(L87="F-90",5,0)))),0),0)+IF(AND(O87="FIRE TEX 5062",E87="CJ",J87=3),VLOOKUP(_xlfn.MINIFS('FIRE TEX 5062'!$L$4:$L$34,'FIRE TEX 5062'!$L$4:$L$34,"&gt;="&amp;M87),'FIRE TEX 5062'!$L$4:$P$34,IF(L87="F-15",2,IF(L87="F-30",3,IF(L87="F-60",4,IF(L87="F-90",5,0)))),0),0)+IF(AND(O87="FIRE TEX 5062",E87="CJ",J87=4),VLOOKUP(_xlfn.MINIFS('FIRE TEX 5062'!$Q$3:$Q$34,'FIRE TEX 5062'!$Q$3:$Q$34,"&gt;="&amp;M87),'FIRE TEX 5062'!$Q$3:$U$34,IF(L87="F-15",2,IF(L87="F-30",3,IF(L87="F-60",4,IF(L87="F-90",5,0)))),0),0)+IF(AND(O87="FIRE TEX 5090",OR(E87="IN",E87="C",E87="Z",E87="L"),J87=3),VLOOKUP(_xlfn.MINIFS('FIRE TEX 5090'!$B$5:$B$43,'FIRE TEX 5090'!$B$5:$B$43,"&gt;="&amp;M87),'FIRE TEX 5090'!$B$5:$H$43,IF(L87="F-15",2,IF(L87="F-30",3,IF(L87="F-60",4,IF(L87="F-90",5,IF(L87="F-120",6,IF(L87="F-150",7,0)))))),0),0)+IF(AND(O87="FIRE TEX 5090",OR(E87="IN",E87="C",E87="Z",E87="L"),J87=4),VLOOKUP(_xlfn.MINIFS('FIRE TEX 5090'!$J$5:$J$43,'FIRE TEX 5090'!$J$5:$J$43,"&gt;="&amp;M87),'FIRE TEX 5090'!$J$5:$P$43,IF(L87="F-15",2,IF(L87="F-30",3,IF(L87="F-60",4,IF(L87="F-90",5,IF(L87="F-120",6,IF(L87="F-150",7,0)))))),0),0)+IF(AND(O87="FIRE TEX 5090",E87="CJ",J87=3),VLOOKUP(_xlfn.MINIFS('FIRE TEX 5090'!$R$5:$R$30,'FIRE TEX 5090'!$R$5:$R$30,"&gt;="&amp;M87),'FIRE TEX 5090'!$R$5:$W$30,IF(L87="F-15",2,IF(L87="F-30",3,IF(L87="F-60",4,IF(L87="F-90",5,IF(L87="F-120",6,IF(L87="F-150",7,0)))))),0),0)+IF(AND(O87="FIRE TEX 5090",E87="CJ",J87=4),VLOOKUP(_xlfn.MINIFS('FIRE TEX 5090'!$Y$5:$Y$39,'FIRE TEX 5090'!$Y$5:$Y$39,"&gt;="&amp;M87),'FIRE TEX 5090'!$Y$5:$AD$39,IF(L87="F-15",2,IF(L87="F-30",3,IF(L87="F-60",4,IF(L87="F-90",5,IF(L87="F-120",6,IF(L87="F-150",7,0)))))),0),0)+IF(AND(O87="FIRE TEX 5120",OR(E87="IN",E87="C",E87="Z",E87="L"),J87=3),VLOOKUP(_xlfn.MINIFS('FIRE TEX 5120'!$B$5:$B$40,'FIRE TEX 5120'!$B$5:$B$40,"&gt;="&amp;M87),'FIRE TEX 5120'!$B$5:$G$40,IF(L87="F-15",2,IF(L87="F-30",3,IF(L87="F-60",4,IF(L87="F-90",5,IF(L87="F-120",6,0))))),0),0)+IF(AND(O87="FIRE TEX 5120",OR(E87="IN",E87="C",E87="Z",E87="L"),J87=4),VLOOKUP(_xlfn.MINIFS('FIRE TEX 5120'!$H$4:$H$40,'FIRE TEX 5120'!$H$4:$H$40,"&gt;="&amp;M87),'FIRE TEX 5120'!$H$4:$M$40,IF(L87="F-15",2,IF(L87="F-30",3,IF(L87="F-60",4,IF(L87="F-90",5,IF(L87="F-120",6,0))))),0),0)+IF(AND(O87="FIRE TEX 5120",E87="CJ"),VLOOKUP(_xlfn.MINIFS('FIRE TEX 5120'!$O$5:$O$40,'FIRE TEX 5120'!$O$5:$O$40,"&gt;="&amp;M87),'FIRE TEX 5120'!$O$5:$T$40,IF(L87="F-15",2,IF(L87="F-30",3,IF(L87="F-60",4,IF(L87="F-90",5,IF(L87="F-120",6,0))))),0),0)</f>
        <v>1930</v>
      </c>
      <c r="Q87" s="46">
        <f t="shared" si="10"/>
        <v>75.984099999999998</v>
      </c>
      <c r="R87" s="46">
        <f t="shared" si="12"/>
        <v>4.5601645607436296</v>
      </c>
      <c r="S87" s="46">
        <f t="shared" si="11"/>
        <v>0.52629679653679651</v>
      </c>
      <c r="T87" s="677">
        <f t="shared" si="13"/>
        <v>0</v>
      </c>
      <c r="U87" s="80">
        <f>(IF(O87="Stofire",(S87*#REF!),0))+(IF(O87="Fire Control",(S87*$U$2),0))+(IF(O87="Fire Tex",(S87*$U$3),0))+(IF(O87="WB7",(S87*#REF!),0)+(IF(O87="FX 2003",(S87*$U$5),0)))</f>
        <v>0</v>
      </c>
      <c r="V87" s="651">
        <f t="shared" ref="V87:V99" si="14">_xlfn.CEILING.MATH(M87,10)</f>
        <v>200</v>
      </c>
      <c r="W87" s="4"/>
    </row>
    <row r="88" spans="1:23" x14ac:dyDescent="0.25">
      <c r="A88" s="652" t="s">
        <v>448</v>
      </c>
      <c r="B88" s="653" t="s">
        <v>451</v>
      </c>
      <c r="C88" s="1" t="s">
        <v>446</v>
      </c>
      <c r="D88" s="118" t="str">
        <f>+CUBICACION!D87</f>
        <v>VIGA BAJO LOSA</v>
      </c>
      <c r="E88" s="118" t="str">
        <f>+CUBICACION!F87</f>
        <v>IN</v>
      </c>
      <c r="F88" s="118" t="str">
        <f>+CUBICACION!E87</f>
        <v>240X120X9,8X6,2</v>
      </c>
      <c r="G88" s="118">
        <v>12</v>
      </c>
      <c r="H88" s="118">
        <v>2</v>
      </c>
      <c r="I88" s="820">
        <v>26385</v>
      </c>
      <c r="J88" s="118">
        <f>+CUBICACION!J87</f>
        <v>3</v>
      </c>
      <c r="K88" s="118">
        <v>2862</v>
      </c>
      <c r="L88" s="118">
        <f>+CUBICACION!L87</f>
        <v>60</v>
      </c>
      <c r="M88" s="64">
        <f>+CUBICACION!M87</f>
        <v>233</v>
      </c>
      <c r="N88" s="824">
        <f>+CUBICACION!N87</f>
        <v>10.10055</v>
      </c>
      <c r="O88" s="675" t="str">
        <f>+CUBICACION!O87</f>
        <v>Blaze Shield II</v>
      </c>
      <c r="P88" s="15">
        <f>IF(O88="Fire Control",VLOOKUP(_xlfn.MINIFS('FIRE CONTROL'!$C$4:$C$37,'FIRE CONTROL'!$C$4:$C$37,"&gt;="&amp;M88),'FIRE CONTROL'!$C$4:$G$37,IF(L88="F-15",2,IF(L88="F-30",3,IF(L88="F-60",4,IF(L88="F-90",5,0)))),0),0)+IF(AND(O88="FIRE TEX 5062",OR(E88="IN",E88="C",E88="Z",E88="L"),J88=3),VLOOKUP(_xlfn.MINIFS('FIRE TEX 5062'!$B$4:$B$34,'FIRE TEX 5062'!$B$4:$B$34,"&gt;="&amp;M88),'FIRE TEX 5062'!$B$4:$F$34,IF(L88="F-15",2,IF(L88="F-30",3,IF(L88="F-60",4,IF(L88="F-90",5,0)))),0),0)+IF(AND(O88="FIRE TEX 5062",OR(E88="IN",E88="C",E88="Z",E88="L"),J88=4),VLOOKUP(_xlfn.MINIFS('FIRE TEX 5062'!$G$4:$G$34,'FIRE TEX 5062'!$G$4:$G$34,"&gt;="&amp;M88),'FIRE TEX 5062'!$G$4:$K$34,IF(L88="F-15",2,IF(L88="F-30",3,IF(L88="F-60",4,IF(L88="F-90",5,0)))),0),0)+IF(AND(O88="FIRE TEX 5062",E88="CJ",J88=3),VLOOKUP(_xlfn.MINIFS('FIRE TEX 5062'!$L$4:$L$34,'FIRE TEX 5062'!$L$4:$L$34,"&gt;="&amp;M88),'FIRE TEX 5062'!$L$4:$P$34,IF(L88="F-15",2,IF(L88="F-30",3,IF(L88="F-60",4,IF(L88="F-90",5,0)))),0),0)+IF(AND(O88="FIRE TEX 5062",E88="CJ",J88=4),VLOOKUP(_xlfn.MINIFS('FIRE TEX 5062'!$Q$3:$Q$34,'FIRE TEX 5062'!$Q$3:$Q$34,"&gt;="&amp;M88),'FIRE TEX 5062'!$Q$3:$U$34,IF(L88="F-15",2,IF(L88="F-30",3,IF(L88="F-60",4,IF(L88="F-90",5,0)))),0),0)+IF(AND(O88="FIRE TEX 5090",OR(E88="IN",E88="C",E88="Z",E88="L"),J88=3),VLOOKUP(_xlfn.MINIFS('FIRE TEX 5090'!$B$5:$B$43,'FIRE TEX 5090'!$B$5:$B$43,"&gt;="&amp;M88),'FIRE TEX 5090'!$B$5:$H$43,IF(L88="F-15",2,IF(L88="F-30",3,IF(L88="F-60",4,IF(L88="F-90",5,IF(L88="F-120",6,IF(L88="F-150",7,0)))))),0),0)+IF(AND(O88="FIRE TEX 5090",OR(E88="IN",E88="C",E88="Z",E88="L"),J88=4),VLOOKUP(_xlfn.MINIFS('FIRE TEX 5090'!$J$5:$J$43,'FIRE TEX 5090'!$J$5:$J$43,"&gt;="&amp;M88),'FIRE TEX 5090'!$J$5:$P$43,IF(L88="F-15",2,IF(L88="F-30",3,IF(L88="F-60",4,IF(L88="F-90",5,IF(L88="F-120",6,IF(L88="F-150",7,0)))))),0),0)+IF(AND(O88="FIRE TEX 5090",E88="CJ",J88=3),VLOOKUP(_xlfn.MINIFS('FIRE TEX 5090'!$R$5:$R$30,'FIRE TEX 5090'!$R$5:$R$30,"&gt;="&amp;M88),'FIRE TEX 5090'!$R$5:$W$30,IF(L88="F-15",2,IF(L88="F-30",3,IF(L88="F-60",4,IF(L88="F-90",5,IF(L88="F-120",6,IF(L88="F-150",7,0)))))),0),0)+IF(AND(O88="FIRE TEX 5090",E88="CJ",J88=4),VLOOKUP(_xlfn.MINIFS('FIRE TEX 5090'!$Y$5:$Y$39,'FIRE TEX 5090'!$Y$5:$Y$39,"&gt;="&amp;M88),'FIRE TEX 5090'!$Y$5:$AD$39,IF(L88="F-15",2,IF(L88="F-30",3,IF(L88="F-60",4,IF(L88="F-90",5,IF(L88="F-120",6,IF(L88="F-150",7,0)))))),0),0)+IF(AND(O88="FIRE TEX 5120",OR(E88="IN",E88="C",E88="Z",E88="L"),J88=3),VLOOKUP(_xlfn.MINIFS('FIRE TEX 5120'!$B$5:$B$40,'FIRE TEX 5120'!$B$5:$B$40,"&gt;="&amp;M88),'FIRE TEX 5120'!$B$5:$G$40,IF(L88="F-15",2,IF(L88="F-30",3,IF(L88="F-60",4,IF(L88="F-90",5,IF(L88="F-120",6,0))))),0),0)+IF(AND(O88="FIRE TEX 5120",OR(E88="IN",E88="C",E88="Z",E88="L"),J88=4),VLOOKUP(_xlfn.MINIFS('FIRE TEX 5120'!$H$4:$H$40,'FIRE TEX 5120'!$H$4:$H$40,"&gt;="&amp;M88),'FIRE TEX 5120'!$H$4:$M$40,IF(L88="F-15",2,IF(L88="F-30",3,IF(L88="F-60",4,IF(L88="F-90",5,IF(L88="F-120",6,0))))),0),0)+IF(AND(O88="FIRE TEX 5120",E88="CJ"),VLOOKUP(_xlfn.MINIFS('FIRE TEX 5120'!$O$5:$O$40,'FIRE TEX 5120'!$O$5:$O$40,"&gt;="&amp;M88),'FIRE TEX 5120'!$O$5:$T$40,IF(L88="F-15",2,IF(L88="F-30",3,IF(L88="F-60",4,IF(L88="F-90",5,IF(L88="F-120",6,0))))),0),0)</f>
        <v>0</v>
      </c>
      <c r="Q88" s="46">
        <f t="shared" si="10"/>
        <v>0</v>
      </c>
      <c r="R88" s="46">
        <f t="shared" si="12"/>
        <v>0</v>
      </c>
      <c r="S88" s="46" t="e">
        <f t="shared" si="11"/>
        <v>#DIV/0!</v>
      </c>
      <c r="T88" s="677">
        <f t="shared" si="13"/>
        <v>0</v>
      </c>
      <c r="U88" s="80">
        <f>(IF(O88="Stofire",(S88*#REF!),0))+(IF(O88="Fire Control",(S88*$U$2),0))+(IF(O88="Fire Tex",(S88*$U$3),0))+(IF(O88="WB7",(S88*#REF!),0)+(IF(O88="FX 2003",(S88*$U$5),0)))</f>
        <v>0</v>
      </c>
      <c r="V88" s="651">
        <f t="shared" si="14"/>
        <v>240</v>
      </c>
      <c r="W88" s="4"/>
    </row>
    <row r="89" spans="1:23" x14ac:dyDescent="0.25">
      <c r="A89" s="652" t="s">
        <v>452</v>
      </c>
      <c r="B89" s="653" t="s">
        <v>453</v>
      </c>
      <c r="C89" s="1" t="s">
        <v>454</v>
      </c>
      <c r="D89" s="118" t="str">
        <f>+CUBICACION!D88</f>
        <v>ARRIOSTRAMINETO VERTICAL</v>
      </c>
      <c r="E89" s="118" t="str">
        <f>+CUBICACION!F88</f>
        <v>CJ</v>
      </c>
      <c r="F89" s="118" t="str">
        <f>+CUBICACION!E88</f>
        <v>100X100X3</v>
      </c>
      <c r="G89" s="118">
        <v>12</v>
      </c>
      <c r="H89" s="118">
        <v>2</v>
      </c>
      <c r="I89" s="820">
        <v>26385</v>
      </c>
      <c r="J89" s="118">
        <f>+CUBICACION!J88</f>
        <v>4</v>
      </c>
      <c r="K89" s="118">
        <v>2863</v>
      </c>
      <c r="L89" s="118" t="str">
        <f>+CUBICACION!L88</f>
        <v>F-60</v>
      </c>
      <c r="M89" s="64">
        <f>+CUBICACION!M88</f>
        <v>333</v>
      </c>
      <c r="N89" s="824">
        <f>+CUBICACION!N88</f>
        <v>6.32</v>
      </c>
      <c r="O89" s="675" t="str">
        <f>+CUBICACION!O88</f>
        <v>Fire Tex 5090</v>
      </c>
      <c r="P89" s="15">
        <f>IF(O89="Fire Control",VLOOKUP(_xlfn.MINIFS('FIRE CONTROL'!$C$4:$C$37,'FIRE CONTROL'!$C$4:$C$37,"&gt;="&amp;M89),'FIRE CONTROL'!$C$4:$G$37,IF(L89="F-15",2,IF(L89="F-30",3,IF(L89="F-60",4,IF(L89="F-90",5,0)))),0),0)+IF(AND(O89="FIRE TEX 5062",OR(E89="IN",E89="C",E89="Z",E89="L"),J89=3),VLOOKUP(_xlfn.MINIFS('FIRE TEX 5062'!$B$4:$B$34,'FIRE TEX 5062'!$B$4:$B$34,"&gt;="&amp;M89),'FIRE TEX 5062'!$B$4:$F$34,IF(L89="F-15",2,IF(L89="F-30",3,IF(L89="F-60",4,IF(L89="F-90",5,0)))),0),0)+IF(AND(O89="FIRE TEX 5062",OR(E89="IN",E89="C",E89="Z",E89="L"),J89=4),VLOOKUP(_xlfn.MINIFS('FIRE TEX 5062'!$G$4:$G$34,'FIRE TEX 5062'!$G$4:$G$34,"&gt;="&amp;M89),'FIRE TEX 5062'!$G$4:$K$34,IF(L89="F-15",2,IF(L89="F-30",3,IF(L89="F-60",4,IF(L89="F-90",5,0)))),0),0)+IF(AND(O89="FIRE TEX 5062",E89="CJ",J89=3),VLOOKUP(_xlfn.MINIFS('FIRE TEX 5062'!$L$4:$L$34,'FIRE TEX 5062'!$L$4:$L$34,"&gt;="&amp;M89),'FIRE TEX 5062'!$L$4:$P$34,IF(L89="F-15",2,IF(L89="F-30",3,IF(L89="F-60",4,IF(L89="F-90",5,0)))),0),0)+IF(AND(O89="FIRE TEX 5062",E89="CJ",J89=4),VLOOKUP(_xlfn.MINIFS('FIRE TEX 5062'!$Q$3:$Q$34,'FIRE TEX 5062'!$Q$3:$Q$34,"&gt;="&amp;M89),'FIRE TEX 5062'!$Q$3:$U$34,IF(L89="F-15",2,IF(L89="F-30",3,IF(L89="F-60",4,IF(L89="F-90",5,0)))),0),0)+IF(AND(O89="FIRE TEX 5090",OR(E89="IN",E89="C",E89="Z",E89="L"),J89=3),VLOOKUP(_xlfn.MINIFS('FIRE TEX 5090'!$B$5:$B$43,'FIRE TEX 5090'!$B$5:$B$43,"&gt;="&amp;M89),'FIRE TEX 5090'!$B$5:$H$43,IF(L89="F-15",2,IF(L89="F-30",3,IF(L89="F-60",4,IF(L89="F-90",5,IF(L89="F-120",6,IF(L89="F-150",7,0)))))),0),0)+IF(AND(O89="FIRE TEX 5090",OR(E89="IN",E89="C",E89="Z",E89="L"),J89=4),VLOOKUP(_xlfn.MINIFS('FIRE TEX 5090'!$J$5:$J$43,'FIRE TEX 5090'!$J$5:$J$43,"&gt;="&amp;M89),'FIRE TEX 5090'!$J$5:$P$43,IF(L89="F-15",2,IF(L89="F-30",3,IF(L89="F-60",4,IF(L89="F-90",5,IF(L89="F-120",6,IF(L89="F-150",7,0)))))),0),0)+IF(AND(O89="FIRE TEX 5090",E89="CJ",J89=3),VLOOKUP(_xlfn.MINIFS('FIRE TEX 5090'!$R$5:$R$30,'FIRE TEX 5090'!$R$5:$R$30,"&gt;="&amp;M89),'FIRE TEX 5090'!$R$5:$W$30,IF(L89="F-15",2,IF(L89="F-30",3,IF(L89="F-60",4,IF(L89="F-90",5,IF(L89="F-120",6,IF(L89="F-150",7,0)))))),0),0)+IF(AND(O89="FIRE TEX 5090",E89="CJ",J89=4),VLOOKUP(_xlfn.MINIFS('FIRE TEX 5090'!$Y$5:$Y$39,'FIRE TEX 5090'!$Y$5:$Y$39,"&gt;="&amp;M89),'FIRE TEX 5090'!$Y$5:$AD$39,IF(L89="F-15",2,IF(L89="F-30",3,IF(L89="F-60",4,IF(L89="F-90",5,IF(L89="F-120",6,IF(L89="F-150",7,0)))))),0),0)+IF(AND(O89="FIRE TEX 5120",OR(E89="IN",E89="C",E89="Z",E89="L"),J89=3),VLOOKUP(_xlfn.MINIFS('FIRE TEX 5120'!$B$5:$B$40,'FIRE TEX 5120'!$B$5:$B$40,"&gt;="&amp;M89),'FIRE TEX 5120'!$B$5:$G$40,IF(L89="F-15",2,IF(L89="F-30",3,IF(L89="F-60",4,IF(L89="F-90",5,IF(L89="F-120",6,0))))),0),0)+IF(AND(O89="FIRE TEX 5120",OR(E89="IN",E89="C",E89="Z",E89="L"),J89=4),VLOOKUP(_xlfn.MINIFS('FIRE TEX 5120'!$H$4:$H$40,'FIRE TEX 5120'!$H$4:$H$40,"&gt;="&amp;M89),'FIRE TEX 5120'!$H$4:$M$40,IF(L89="F-15",2,IF(L89="F-30",3,IF(L89="F-60",4,IF(L89="F-90",5,IF(L89="F-120",6,0))))),0),0)+IF(AND(O89="FIRE TEX 5120",E89="CJ"),VLOOKUP(_xlfn.MINIFS('FIRE TEX 5120'!$O$5:$O$40,'FIRE TEX 5120'!$O$5:$O$40,"&gt;="&amp;M89),'FIRE TEX 5120'!$O$5:$T$40,IF(L89="F-15",2,IF(L89="F-30",3,IF(L89="F-60",4,IF(L89="F-90",5,IF(L89="F-120",6,0))))),0),0)</f>
        <v>2828</v>
      </c>
      <c r="Q89" s="46">
        <f t="shared" si="10"/>
        <v>111.33836000000001</v>
      </c>
      <c r="R89" s="46">
        <f t="shared" si="12"/>
        <v>3.1121349371411613</v>
      </c>
      <c r="S89" s="46">
        <f t="shared" si="11"/>
        <v>2.0307602747474749</v>
      </c>
      <c r="T89" s="677">
        <f t="shared" si="13"/>
        <v>0</v>
      </c>
      <c r="U89" s="80">
        <f>(IF(O89="Stofire",(S89*#REF!),0))+(IF(O89="Fire Control",(S89*$U$2),0))+(IF(O89="Fire Tex",(S89*$U$3),0))+(IF(O89="WB7",(S89*#REF!),0)+(IF(O89="FX 2003",(S89*$U$5),0)))</f>
        <v>0</v>
      </c>
      <c r="V89" s="651">
        <f t="shared" si="14"/>
        <v>340</v>
      </c>
      <c r="W89" s="4"/>
    </row>
    <row r="90" spans="1:23" x14ac:dyDescent="0.25">
      <c r="A90" s="652" t="s">
        <v>452</v>
      </c>
      <c r="B90" s="653" t="s">
        <v>453</v>
      </c>
      <c r="C90" s="1" t="s">
        <v>408</v>
      </c>
      <c r="D90" s="118" t="str">
        <f>+CUBICACION!D89</f>
        <v>ARRIOSTRAMINETO VERTICAL</v>
      </c>
      <c r="E90" s="118" t="str">
        <f>+CUBICACION!F89</f>
        <v>CJ</v>
      </c>
      <c r="F90" s="118" t="str">
        <f>+CUBICACION!E89</f>
        <v>100X100X3</v>
      </c>
      <c r="G90" s="118">
        <v>12</v>
      </c>
      <c r="H90" s="118">
        <v>2</v>
      </c>
      <c r="I90" s="820">
        <v>26385</v>
      </c>
      <c r="J90" s="118">
        <f>+CUBICACION!J89</f>
        <v>4</v>
      </c>
      <c r="K90" s="118">
        <v>2864</v>
      </c>
      <c r="L90" s="118" t="str">
        <f>+CUBICACION!L89</f>
        <v>F-60</v>
      </c>
      <c r="M90" s="64">
        <f>+CUBICACION!M89</f>
        <v>333</v>
      </c>
      <c r="N90" s="824">
        <f>+CUBICACION!N89</f>
        <v>5</v>
      </c>
      <c r="O90" s="675" t="str">
        <f>+CUBICACION!O89</f>
        <v>Fire Tex 5090</v>
      </c>
      <c r="P90" s="15">
        <f>IF(O90="Fire Control",VLOOKUP(_xlfn.MINIFS('FIRE CONTROL'!$C$4:$C$37,'FIRE CONTROL'!$C$4:$C$37,"&gt;="&amp;M90),'FIRE CONTROL'!$C$4:$G$37,IF(L90="F-15",2,IF(L90="F-30",3,IF(L90="F-60",4,IF(L90="F-90",5,0)))),0),0)+IF(AND(O90="FIRE TEX 5062",OR(E90="IN",E90="C",E90="Z",E90="L"),J90=3),VLOOKUP(_xlfn.MINIFS('FIRE TEX 5062'!$B$4:$B$34,'FIRE TEX 5062'!$B$4:$B$34,"&gt;="&amp;M90),'FIRE TEX 5062'!$B$4:$F$34,IF(L90="F-15",2,IF(L90="F-30",3,IF(L90="F-60",4,IF(L90="F-90",5,0)))),0),0)+IF(AND(O90="FIRE TEX 5062",OR(E90="IN",E90="C",E90="Z",E90="L"),J90=4),VLOOKUP(_xlfn.MINIFS('FIRE TEX 5062'!$G$4:$G$34,'FIRE TEX 5062'!$G$4:$G$34,"&gt;="&amp;M90),'FIRE TEX 5062'!$G$4:$K$34,IF(L90="F-15",2,IF(L90="F-30",3,IF(L90="F-60",4,IF(L90="F-90",5,0)))),0),0)+IF(AND(O90="FIRE TEX 5062",E90="CJ",J90=3),VLOOKUP(_xlfn.MINIFS('FIRE TEX 5062'!$L$4:$L$34,'FIRE TEX 5062'!$L$4:$L$34,"&gt;="&amp;M90),'FIRE TEX 5062'!$L$4:$P$34,IF(L90="F-15",2,IF(L90="F-30",3,IF(L90="F-60",4,IF(L90="F-90",5,0)))),0),0)+IF(AND(O90="FIRE TEX 5062",E90="CJ",J90=4),VLOOKUP(_xlfn.MINIFS('FIRE TEX 5062'!$Q$3:$Q$34,'FIRE TEX 5062'!$Q$3:$Q$34,"&gt;="&amp;M90),'FIRE TEX 5062'!$Q$3:$U$34,IF(L90="F-15",2,IF(L90="F-30",3,IF(L90="F-60",4,IF(L90="F-90",5,0)))),0),0)+IF(AND(O90="FIRE TEX 5090",OR(E90="IN",E90="C",E90="Z",E90="L"),J90=3),VLOOKUP(_xlfn.MINIFS('FIRE TEX 5090'!$B$5:$B$43,'FIRE TEX 5090'!$B$5:$B$43,"&gt;="&amp;M90),'FIRE TEX 5090'!$B$5:$H$43,IF(L90="F-15",2,IF(L90="F-30",3,IF(L90="F-60",4,IF(L90="F-90",5,IF(L90="F-120",6,IF(L90="F-150",7,0)))))),0),0)+IF(AND(O90="FIRE TEX 5090",OR(E90="IN",E90="C",E90="Z",E90="L"),J90=4),VLOOKUP(_xlfn.MINIFS('FIRE TEX 5090'!$J$5:$J$43,'FIRE TEX 5090'!$J$5:$J$43,"&gt;="&amp;M90),'FIRE TEX 5090'!$J$5:$P$43,IF(L90="F-15",2,IF(L90="F-30",3,IF(L90="F-60",4,IF(L90="F-90",5,IF(L90="F-120",6,IF(L90="F-150",7,0)))))),0),0)+IF(AND(O90="FIRE TEX 5090",E90="CJ",J90=3),VLOOKUP(_xlfn.MINIFS('FIRE TEX 5090'!$R$5:$R$30,'FIRE TEX 5090'!$R$5:$R$30,"&gt;="&amp;M90),'FIRE TEX 5090'!$R$5:$W$30,IF(L90="F-15",2,IF(L90="F-30",3,IF(L90="F-60",4,IF(L90="F-90",5,IF(L90="F-120",6,IF(L90="F-150",7,0)))))),0),0)+IF(AND(O90="FIRE TEX 5090",E90="CJ",J90=4),VLOOKUP(_xlfn.MINIFS('FIRE TEX 5090'!$Y$5:$Y$39,'FIRE TEX 5090'!$Y$5:$Y$39,"&gt;="&amp;M90),'FIRE TEX 5090'!$Y$5:$AD$39,IF(L90="F-15",2,IF(L90="F-30",3,IF(L90="F-60",4,IF(L90="F-90",5,IF(L90="F-120",6,IF(L90="F-150",7,0)))))),0),0)+IF(AND(O90="FIRE TEX 5120",OR(E90="IN",E90="C",E90="Z",E90="L"),J90=3),VLOOKUP(_xlfn.MINIFS('FIRE TEX 5120'!$B$5:$B$40,'FIRE TEX 5120'!$B$5:$B$40,"&gt;="&amp;M90),'FIRE TEX 5120'!$B$5:$G$40,IF(L90="F-15",2,IF(L90="F-30",3,IF(L90="F-60",4,IF(L90="F-90",5,IF(L90="F-120",6,0))))),0),0)+IF(AND(O90="FIRE TEX 5120",OR(E90="IN",E90="C",E90="Z",E90="L"),J90=4),VLOOKUP(_xlfn.MINIFS('FIRE TEX 5120'!$H$4:$H$40,'FIRE TEX 5120'!$H$4:$H$40,"&gt;="&amp;M90),'FIRE TEX 5120'!$H$4:$M$40,IF(L90="F-15",2,IF(L90="F-30",3,IF(L90="F-60",4,IF(L90="F-90",5,IF(L90="F-120",6,0))))),0),0)+IF(AND(O90="FIRE TEX 5120",E90="CJ"),VLOOKUP(_xlfn.MINIFS('FIRE TEX 5120'!$O$5:$O$40,'FIRE TEX 5120'!$O$5:$O$40,"&gt;="&amp;M90),'FIRE TEX 5120'!$O$5:$T$40,IF(L90="F-15",2,IF(L90="F-30",3,IF(L90="F-60",4,IF(L90="F-90",5,IF(L90="F-120",6,0))))),0),0)</f>
        <v>2828</v>
      </c>
      <c r="Q90" s="46">
        <f t="shared" si="10"/>
        <v>111.33836000000001</v>
      </c>
      <c r="R90" s="46">
        <f t="shared" si="12"/>
        <v>3.1121349371411613</v>
      </c>
      <c r="S90" s="46">
        <f t="shared" si="11"/>
        <v>1.6066141414141415</v>
      </c>
      <c r="T90" s="677">
        <f t="shared" si="13"/>
        <v>0</v>
      </c>
      <c r="U90" s="80">
        <f>(IF(O90="Stofire",(S90*#REF!),0))+(IF(O90="Fire Control",(S90*$U$2),0))+(IF(O90="Fire Tex",(S90*$U$3),0))+(IF(O90="WB7",(S90*#REF!),0)+(IF(O90="FX 2003",(S90*$U$5),0)))</f>
        <v>0</v>
      </c>
      <c r="V90" s="651">
        <f t="shared" si="14"/>
        <v>340</v>
      </c>
      <c r="W90" s="4"/>
    </row>
    <row r="91" spans="1:23" x14ac:dyDescent="0.25">
      <c r="A91" s="652" t="s">
        <v>452</v>
      </c>
      <c r="B91" s="653" t="s">
        <v>453</v>
      </c>
      <c r="C91" s="1" t="s">
        <v>408</v>
      </c>
      <c r="D91" s="118" t="str">
        <f>+CUBICACION!D90</f>
        <v>PILAR</v>
      </c>
      <c r="E91" s="118" t="str">
        <f>+CUBICACION!F90</f>
        <v>CJ</v>
      </c>
      <c r="F91" s="118" t="str">
        <f>+CUBICACION!E90</f>
        <v>100X100X3</v>
      </c>
      <c r="G91" s="118">
        <v>12</v>
      </c>
      <c r="H91" s="118">
        <v>2</v>
      </c>
      <c r="I91" s="820">
        <v>26385</v>
      </c>
      <c r="J91" s="118">
        <f>+CUBICACION!J90</f>
        <v>4</v>
      </c>
      <c r="K91" s="118">
        <v>2865</v>
      </c>
      <c r="L91" s="118" t="str">
        <f>+CUBICACION!L90</f>
        <v>F-60</v>
      </c>
      <c r="M91" s="64">
        <f>+CUBICACION!M90</f>
        <v>333</v>
      </c>
      <c r="N91" s="824">
        <f>+CUBICACION!N90</f>
        <v>1.2</v>
      </c>
      <c r="O91" s="675" t="str">
        <f>+CUBICACION!O90</f>
        <v>Fire Tex 5090</v>
      </c>
      <c r="P91" s="15">
        <f>IF(O91="Fire Control",VLOOKUP(_xlfn.MINIFS('FIRE CONTROL'!$C$4:$C$37,'FIRE CONTROL'!$C$4:$C$37,"&gt;="&amp;M91),'FIRE CONTROL'!$C$4:$G$37,IF(L91="F-15",2,IF(L91="F-30",3,IF(L91="F-60",4,IF(L91="F-90",5,0)))),0),0)+IF(AND(O91="FIRE TEX 5062",OR(E91="IN",E91="C",E91="Z",E91="L"),J91=3),VLOOKUP(_xlfn.MINIFS('FIRE TEX 5062'!$B$4:$B$34,'FIRE TEX 5062'!$B$4:$B$34,"&gt;="&amp;M91),'FIRE TEX 5062'!$B$4:$F$34,IF(L91="F-15",2,IF(L91="F-30",3,IF(L91="F-60",4,IF(L91="F-90",5,0)))),0),0)+IF(AND(O91="FIRE TEX 5062",OR(E91="IN",E91="C",E91="Z",E91="L"),J91=4),VLOOKUP(_xlfn.MINIFS('FIRE TEX 5062'!$G$4:$G$34,'FIRE TEX 5062'!$G$4:$G$34,"&gt;="&amp;M91),'FIRE TEX 5062'!$G$4:$K$34,IF(L91="F-15",2,IF(L91="F-30",3,IF(L91="F-60",4,IF(L91="F-90",5,0)))),0),0)+IF(AND(O91="FIRE TEX 5062",E91="CJ",J91=3),VLOOKUP(_xlfn.MINIFS('FIRE TEX 5062'!$L$4:$L$34,'FIRE TEX 5062'!$L$4:$L$34,"&gt;="&amp;M91),'FIRE TEX 5062'!$L$4:$P$34,IF(L91="F-15",2,IF(L91="F-30",3,IF(L91="F-60",4,IF(L91="F-90",5,0)))),0),0)+IF(AND(O91="FIRE TEX 5062",E91="CJ",J91=4),VLOOKUP(_xlfn.MINIFS('FIRE TEX 5062'!$Q$3:$Q$34,'FIRE TEX 5062'!$Q$3:$Q$34,"&gt;="&amp;M91),'FIRE TEX 5062'!$Q$3:$U$34,IF(L91="F-15",2,IF(L91="F-30",3,IF(L91="F-60",4,IF(L91="F-90",5,0)))),0),0)+IF(AND(O91="FIRE TEX 5090",OR(E91="IN",E91="C",E91="Z",E91="L"),J91=3),VLOOKUP(_xlfn.MINIFS('FIRE TEX 5090'!$B$5:$B$43,'FIRE TEX 5090'!$B$5:$B$43,"&gt;="&amp;M91),'FIRE TEX 5090'!$B$5:$H$43,IF(L91="F-15",2,IF(L91="F-30",3,IF(L91="F-60",4,IF(L91="F-90",5,IF(L91="F-120",6,IF(L91="F-150",7,0)))))),0),0)+IF(AND(O91="FIRE TEX 5090",OR(E91="IN",E91="C",E91="Z",E91="L"),J91=4),VLOOKUP(_xlfn.MINIFS('FIRE TEX 5090'!$J$5:$J$43,'FIRE TEX 5090'!$J$5:$J$43,"&gt;="&amp;M91),'FIRE TEX 5090'!$J$5:$P$43,IF(L91="F-15",2,IF(L91="F-30",3,IF(L91="F-60",4,IF(L91="F-90",5,IF(L91="F-120",6,IF(L91="F-150",7,0)))))),0),0)+IF(AND(O91="FIRE TEX 5090",E91="CJ",J91=3),VLOOKUP(_xlfn.MINIFS('FIRE TEX 5090'!$R$5:$R$30,'FIRE TEX 5090'!$R$5:$R$30,"&gt;="&amp;M91),'FIRE TEX 5090'!$R$5:$W$30,IF(L91="F-15",2,IF(L91="F-30",3,IF(L91="F-60",4,IF(L91="F-90",5,IF(L91="F-120",6,IF(L91="F-150",7,0)))))),0),0)+IF(AND(O91="FIRE TEX 5090",E91="CJ",J91=4),VLOOKUP(_xlfn.MINIFS('FIRE TEX 5090'!$Y$5:$Y$39,'FIRE TEX 5090'!$Y$5:$Y$39,"&gt;="&amp;M91),'FIRE TEX 5090'!$Y$5:$AD$39,IF(L91="F-15",2,IF(L91="F-30",3,IF(L91="F-60",4,IF(L91="F-90",5,IF(L91="F-120",6,IF(L91="F-150",7,0)))))),0),0)+IF(AND(O91="FIRE TEX 5120",OR(E91="IN",E91="C",E91="Z",E91="L"),J91=3),VLOOKUP(_xlfn.MINIFS('FIRE TEX 5120'!$B$5:$B$40,'FIRE TEX 5120'!$B$5:$B$40,"&gt;="&amp;M91),'FIRE TEX 5120'!$B$5:$G$40,IF(L91="F-15",2,IF(L91="F-30",3,IF(L91="F-60",4,IF(L91="F-90",5,IF(L91="F-120",6,0))))),0),0)+IF(AND(O91="FIRE TEX 5120",OR(E91="IN",E91="C",E91="Z",E91="L"),J91=4),VLOOKUP(_xlfn.MINIFS('FIRE TEX 5120'!$H$4:$H$40,'FIRE TEX 5120'!$H$4:$H$40,"&gt;="&amp;M91),'FIRE TEX 5120'!$H$4:$M$40,IF(L91="F-15",2,IF(L91="F-30",3,IF(L91="F-60",4,IF(L91="F-90",5,IF(L91="F-120",6,0))))),0),0)+IF(AND(O91="FIRE TEX 5120",E91="CJ"),VLOOKUP(_xlfn.MINIFS('FIRE TEX 5120'!$O$5:$O$40,'FIRE TEX 5120'!$O$5:$O$40,"&gt;="&amp;M91),'FIRE TEX 5120'!$O$5:$T$40,IF(L91="F-15",2,IF(L91="F-30",3,IF(L91="F-60",4,IF(L91="F-90",5,IF(L91="F-120",6,0))))),0),0)</f>
        <v>2828</v>
      </c>
      <c r="Q91" s="46">
        <f t="shared" si="10"/>
        <v>111.33836000000001</v>
      </c>
      <c r="R91" s="46">
        <f t="shared" si="12"/>
        <v>3.1121349371411613</v>
      </c>
      <c r="S91" s="46">
        <f t="shared" si="11"/>
        <v>0.38558739393939395</v>
      </c>
      <c r="T91" s="677">
        <f t="shared" si="13"/>
        <v>0</v>
      </c>
      <c r="U91" s="80">
        <f>(IF(O91="Stofire",(S91*#REF!),0))+(IF(O91="Fire Control",(S91*$U$2),0))+(IF(O91="Fire Tex",(S91*$U$3),0))+(IF(O91="WB7",(S91*#REF!),0)+(IF(O91="FX 2003",(S91*$U$5),0)))</f>
        <v>0</v>
      </c>
      <c r="V91" s="651">
        <f t="shared" si="14"/>
        <v>340</v>
      </c>
      <c r="W91" s="4"/>
    </row>
    <row r="92" spans="1:23" x14ac:dyDescent="0.25">
      <c r="A92" s="652" t="s">
        <v>456</v>
      </c>
      <c r="B92" s="653" t="s">
        <v>453</v>
      </c>
      <c r="C92" s="1" t="s">
        <v>457</v>
      </c>
      <c r="D92" s="118" t="str">
        <f>+CUBICACION!D91</f>
        <v>PILAR</v>
      </c>
      <c r="E92" s="118" t="str">
        <f>+CUBICACION!F91</f>
        <v>CJ</v>
      </c>
      <c r="F92" s="118" t="str">
        <f>+CUBICACION!E91</f>
        <v>200X100X4</v>
      </c>
      <c r="G92" s="118">
        <v>12</v>
      </c>
      <c r="H92" s="118">
        <v>2</v>
      </c>
      <c r="I92" s="820">
        <v>26385</v>
      </c>
      <c r="J92" s="118">
        <f>+CUBICACION!J91</f>
        <v>4</v>
      </c>
      <c r="K92" s="118">
        <v>2866</v>
      </c>
      <c r="L92" s="118" t="str">
        <f>+CUBICACION!L91</f>
        <v>F-60</v>
      </c>
      <c r="M92" s="64">
        <f>+CUBICACION!M91</f>
        <v>250</v>
      </c>
      <c r="N92" s="824">
        <f>+CUBICACION!N91</f>
        <v>4.26</v>
      </c>
      <c r="O92" s="675" t="str">
        <f>+CUBICACION!O91</f>
        <v>Fire Tex 5090</v>
      </c>
      <c r="P92" s="15">
        <f>IF(O92="Fire Control",VLOOKUP(_xlfn.MINIFS('FIRE CONTROL'!$C$4:$C$37,'FIRE CONTROL'!$C$4:$C$37,"&gt;="&amp;M92),'FIRE CONTROL'!$C$4:$G$37,IF(L92="F-15",2,IF(L92="F-30",3,IF(L92="F-60",4,IF(L92="F-90",5,0)))),0),0)+IF(AND(O92="FIRE TEX 5062",OR(E92="IN",E92="C",E92="Z",E92="L"),J92=3),VLOOKUP(_xlfn.MINIFS('FIRE TEX 5062'!$B$4:$B$34,'FIRE TEX 5062'!$B$4:$B$34,"&gt;="&amp;M92),'FIRE TEX 5062'!$B$4:$F$34,IF(L92="F-15",2,IF(L92="F-30",3,IF(L92="F-60",4,IF(L92="F-90",5,0)))),0),0)+IF(AND(O92="FIRE TEX 5062",OR(E92="IN",E92="C",E92="Z",E92="L"),J92=4),VLOOKUP(_xlfn.MINIFS('FIRE TEX 5062'!$G$4:$G$34,'FIRE TEX 5062'!$G$4:$G$34,"&gt;="&amp;M92),'FIRE TEX 5062'!$G$4:$K$34,IF(L92="F-15",2,IF(L92="F-30",3,IF(L92="F-60",4,IF(L92="F-90",5,0)))),0),0)+IF(AND(O92="FIRE TEX 5062",E92="CJ",J92=3),VLOOKUP(_xlfn.MINIFS('FIRE TEX 5062'!$L$4:$L$34,'FIRE TEX 5062'!$L$4:$L$34,"&gt;="&amp;M92),'FIRE TEX 5062'!$L$4:$P$34,IF(L92="F-15",2,IF(L92="F-30",3,IF(L92="F-60",4,IF(L92="F-90",5,0)))),0),0)+IF(AND(O92="FIRE TEX 5062",E92="CJ",J92=4),VLOOKUP(_xlfn.MINIFS('FIRE TEX 5062'!$Q$3:$Q$34,'FIRE TEX 5062'!$Q$3:$Q$34,"&gt;="&amp;M92),'FIRE TEX 5062'!$Q$3:$U$34,IF(L92="F-15",2,IF(L92="F-30",3,IF(L92="F-60",4,IF(L92="F-90",5,0)))),0),0)+IF(AND(O92="FIRE TEX 5090",OR(E92="IN",E92="C",E92="Z",E92="L"),J92=3),VLOOKUP(_xlfn.MINIFS('FIRE TEX 5090'!$B$5:$B$43,'FIRE TEX 5090'!$B$5:$B$43,"&gt;="&amp;M92),'FIRE TEX 5090'!$B$5:$H$43,IF(L92="F-15",2,IF(L92="F-30",3,IF(L92="F-60",4,IF(L92="F-90",5,IF(L92="F-120",6,IF(L92="F-150",7,0)))))),0),0)+IF(AND(O92="FIRE TEX 5090",OR(E92="IN",E92="C",E92="Z",E92="L"),J92=4),VLOOKUP(_xlfn.MINIFS('FIRE TEX 5090'!$J$5:$J$43,'FIRE TEX 5090'!$J$5:$J$43,"&gt;="&amp;M92),'FIRE TEX 5090'!$J$5:$P$43,IF(L92="F-15",2,IF(L92="F-30",3,IF(L92="F-60",4,IF(L92="F-90",5,IF(L92="F-120",6,IF(L92="F-150",7,0)))))),0),0)+IF(AND(O92="FIRE TEX 5090",E92="CJ",J92=3),VLOOKUP(_xlfn.MINIFS('FIRE TEX 5090'!$R$5:$R$30,'FIRE TEX 5090'!$R$5:$R$30,"&gt;="&amp;M92),'FIRE TEX 5090'!$R$5:$W$30,IF(L92="F-15",2,IF(L92="F-30",3,IF(L92="F-60",4,IF(L92="F-90",5,IF(L92="F-120",6,IF(L92="F-150",7,0)))))),0),0)+IF(AND(O92="FIRE TEX 5090",E92="CJ",J92=4),VLOOKUP(_xlfn.MINIFS('FIRE TEX 5090'!$Y$5:$Y$39,'FIRE TEX 5090'!$Y$5:$Y$39,"&gt;="&amp;M92),'FIRE TEX 5090'!$Y$5:$AD$39,IF(L92="F-15",2,IF(L92="F-30",3,IF(L92="F-60",4,IF(L92="F-90",5,IF(L92="F-120",6,IF(L92="F-150",7,0)))))),0),0)+IF(AND(O92="FIRE TEX 5120",OR(E92="IN",E92="C",E92="Z",E92="L"),J92=3),VLOOKUP(_xlfn.MINIFS('FIRE TEX 5120'!$B$5:$B$40,'FIRE TEX 5120'!$B$5:$B$40,"&gt;="&amp;M92),'FIRE TEX 5120'!$B$5:$G$40,IF(L92="F-15",2,IF(L92="F-30",3,IF(L92="F-60",4,IF(L92="F-90",5,IF(L92="F-120",6,0))))),0),0)+IF(AND(O92="FIRE TEX 5120",OR(E92="IN",E92="C",E92="Z",E92="L"),J92=4),VLOOKUP(_xlfn.MINIFS('FIRE TEX 5120'!$H$4:$H$40,'FIRE TEX 5120'!$H$4:$H$40,"&gt;="&amp;M92),'FIRE TEX 5120'!$H$4:$M$40,IF(L92="F-15",2,IF(L92="F-30",3,IF(L92="F-60",4,IF(L92="F-90",5,IF(L92="F-120",6,0))))),0),0)+IF(AND(O92="FIRE TEX 5120",E92="CJ"),VLOOKUP(_xlfn.MINIFS('FIRE TEX 5120'!$O$5:$O$40,'FIRE TEX 5120'!$O$5:$O$40,"&gt;="&amp;M92),'FIRE TEX 5120'!$O$5:$T$40,IF(L92="F-15",2,IF(L92="F-30",3,IF(L92="F-60",4,IF(L92="F-90",5,IF(L92="F-120",6,0))))),0),0)</f>
        <v>2262</v>
      </c>
      <c r="Q92" s="46">
        <f t="shared" si="10"/>
        <v>89.054940000000002</v>
      </c>
      <c r="R92" s="46">
        <f t="shared" si="12"/>
        <v>3.8908565880792239</v>
      </c>
      <c r="S92" s="46">
        <f t="shared" si="11"/>
        <v>1.094874587012987</v>
      </c>
      <c r="T92" s="677">
        <f t="shared" si="13"/>
        <v>0</v>
      </c>
      <c r="U92" s="80">
        <f>(IF(O92="Stofire",(S92*#REF!),0))+(IF(O92="Fire Control",(S92*$U$2),0))+(IF(O92="Fire Tex",(S92*$U$3),0))+(IF(O92="WB7",(S92*#REF!),0)+(IF(O92="FX 2003",(S92*$U$5),0)))</f>
        <v>0</v>
      </c>
      <c r="V92" s="651">
        <f t="shared" si="14"/>
        <v>250</v>
      </c>
      <c r="W92" s="4"/>
    </row>
    <row r="93" spans="1:23" x14ac:dyDescent="0.25">
      <c r="A93" s="652" t="s">
        <v>456</v>
      </c>
      <c r="B93" s="653" t="s">
        <v>453</v>
      </c>
      <c r="C93" s="1" t="s">
        <v>408</v>
      </c>
      <c r="D93" s="118" t="str">
        <f>+CUBICACION!D92</f>
        <v>COSTANERA</v>
      </c>
      <c r="E93" s="118" t="str">
        <f>+CUBICACION!F92</f>
        <v>C</v>
      </c>
      <c r="F93" s="118" t="str">
        <f>+CUBICACION!E92</f>
        <v>125X50X15X2</v>
      </c>
      <c r="G93" s="118">
        <v>12</v>
      </c>
      <c r="H93" s="118">
        <v>2</v>
      </c>
      <c r="I93" s="820">
        <v>26385</v>
      </c>
      <c r="J93" s="118">
        <f>+CUBICACION!J92</f>
        <v>3</v>
      </c>
      <c r="K93" s="118">
        <v>2867</v>
      </c>
      <c r="L93" s="118">
        <f>+CUBICACION!L92</f>
        <v>60</v>
      </c>
      <c r="M93" s="64">
        <f>+CUBICACION!M92</f>
        <v>1057</v>
      </c>
      <c r="N93" s="824">
        <f>+CUBICACION!N92</f>
        <v>311.96280000000002</v>
      </c>
      <c r="O93" s="675" t="str">
        <f>+CUBICACION!O92</f>
        <v>Blaze Shield II</v>
      </c>
      <c r="P93" s="15">
        <f>IF(O93="Fire Control",VLOOKUP(_xlfn.MINIFS('FIRE CONTROL'!$C$4:$C$37,'FIRE CONTROL'!$C$4:$C$37,"&gt;="&amp;M93),'FIRE CONTROL'!$C$4:$G$37,IF(L93="F-15",2,IF(L93="F-30",3,IF(L93="F-60",4,IF(L93="F-90",5,0)))),0),0)+IF(AND(O93="FIRE TEX 5062",OR(E93="IN",E93="C",E93="Z",E93="L"),J93=3),VLOOKUP(_xlfn.MINIFS('FIRE TEX 5062'!$B$4:$B$34,'FIRE TEX 5062'!$B$4:$B$34,"&gt;="&amp;M93),'FIRE TEX 5062'!$B$4:$F$34,IF(L93="F-15",2,IF(L93="F-30",3,IF(L93="F-60",4,IF(L93="F-90",5,0)))),0),0)+IF(AND(O93="FIRE TEX 5062",OR(E93="IN",E93="C",E93="Z",E93="L"),J93=4),VLOOKUP(_xlfn.MINIFS('FIRE TEX 5062'!$G$4:$G$34,'FIRE TEX 5062'!$G$4:$G$34,"&gt;="&amp;M93),'FIRE TEX 5062'!$G$4:$K$34,IF(L93="F-15",2,IF(L93="F-30",3,IF(L93="F-60",4,IF(L93="F-90",5,0)))),0),0)+IF(AND(O93="FIRE TEX 5062",E93="CJ",J93=3),VLOOKUP(_xlfn.MINIFS('FIRE TEX 5062'!$L$4:$L$34,'FIRE TEX 5062'!$L$4:$L$34,"&gt;="&amp;M93),'FIRE TEX 5062'!$L$4:$P$34,IF(L93="F-15",2,IF(L93="F-30",3,IF(L93="F-60",4,IF(L93="F-90",5,0)))),0),0)+IF(AND(O93="FIRE TEX 5062",E93="CJ",J93=4),VLOOKUP(_xlfn.MINIFS('FIRE TEX 5062'!$Q$3:$Q$34,'FIRE TEX 5062'!$Q$3:$Q$34,"&gt;="&amp;M93),'FIRE TEX 5062'!$Q$3:$U$34,IF(L93="F-15",2,IF(L93="F-30",3,IF(L93="F-60",4,IF(L93="F-90",5,0)))),0),0)+IF(AND(O93="FIRE TEX 5090",OR(E93="IN",E93="C",E93="Z",E93="L"),J93=3),VLOOKUP(_xlfn.MINIFS('FIRE TEX 5090'!$B$5:$B$43,'FIRE TEX 5090'!$B$5:$B$43,"&gt;="&amp;M93),'FIRE TEX 5090'!$B$5:$H$43,IF(L93="F-15",2,IF(L93="F-30",3,IF(L93="F-60",4,IF(L93="F-90",5,IF(L93="F-120",6,IF(L93="F-150",7,0)))))),0),0)+IF(AND(O93="FIRE TEX 5090",OR(E93="IN",E93="C",E93="Z",E93="L"),J93=4),VLOOKUP(_xlfn.MINIFS('FIRE TEX 5090'!$J$5:$J$43,'FIRE TEX 5090'!$J$5:$J$43,"&gt;="&amp;M93),'FIRE TEX 5090'!$J$5:$P$43,IF(L93="F-15",2,IF(L93="F-30",3,IF(L93="F-60",4,IF(L93="F-90",5,IF(L93="F-120",6,IF(L93="F-150",7,0)))))),0),0)+IF(AND(O93="FIRE TEX 5090",E93="CJ",J93=3),VLOOKUP(_xlfn.MINIFS('FIRE TEX 5090'!$R$5:$R$30,'FIRE TEX 5090'!$R$5:$R$30,"&gt;="&amp;M93),'FIRE TEX 5090'!$R$5:$W$30,IF(L93="F-15",2,IF(L93="F-30",3,IF(L93="F-60",4,IF(L93="F-90",5,IF(L93="F-120",6,IF(L93="F-150",7,0)))))),0),0)+IF(AND(O93="FIRE TEX 5090",E93="CJ",J93=4),VLOOKUP(_xlfn.MINIFS('FIRE TEX 5090'!$Y$5:$Y$39,'FIRE TEX 5090'!$Y$5:$Y$39,"&gt;="&amp;M93),'FIRE TEX 5090'!$Y$5:$AD$39,IF(L93="F-15",2,IF(L93="F-30",3,IF(L93="F-60",4,IF(L93="F-90",5,IF(L93="F-120",6,IF(L93="F-150",7,0)))))),0),0)+IF(AND(O93="FIRE TEX 5120",OR(E93="IN",E93="C",E93="Z",E93="L"),J93=3),VLOOKUP(_xlfn.MINIFS('FIRE TEX 5120'!$B$5:$B$40,'FIRE TEX 5120'!$B$5:$B$40,"&gt;="&amp;M93),'FIRE TEX 5120'!$B$5:$G$40,IF(L93="F-15",2,IF(L93="F-30",3,IF(L93="F-60",4,IF(L93="F-90",5,IF(L93="F-120",6,0))))),0),0)+IF(AND(O93="FIRE TEX 5120",OR(E93="IN",E93="C",E93="Z",E93="L"),J93=4),VLOOKUP(_xlfn.MINIFS('FIRE TEX 5120'!$H$4:$H$40,'FIRE TEX 5120'!$H$4:$H$40,"&gt;="&amp;M93),'FIRE TEX 5120'!$H$4:$M$40,IF(L93="F-15",2,IF(L93="F-30",3,IF(L93="F-60",4,IF(L93="F-90",5,IF(L93="F-120",6,0))))),0),0)+IF(AND(O93="FIRE TEX 5120",E93="CJ"),VLOOKUP(_xlfn.MINIFS('FIRE TEX 5120'!$O$5:$O$40,'FIRE TEX 5120'!$O$5:$O$40,"&gt;="&amp;M93),'FIRE TEX 5120'!$O$5:$T$40,IF(L93="F-15",2,IF(L93="F-30",3,IF(L93="F-60",4,IF(L93="F-90",5,IF(L93="F-120",6,0))))),0),0)</f>
        <v>0</v>
      </c>
      <c r="Q93" s="46">
        <f t="shared" si="10"/>
        <v>0</v>
      </c>
      <c r="R93" s="46">
        <f t="shared" si="12"/>
        <v>0</v>
      </c>
      <c r="S93" s="46" t="e">
        <f t="shared" si="11"/>
        <v>#DIV/0!</v>
      </c>
      <c r="T93" s="677">
        <f t="shared" si="13"/>
        <v>0</v>
      </c>
      <c r="U93" s="80">
        <f>(IF(O93="Stofire",(S93*#REF!),0))+(IF(O93="Fire Control",(S93*$U$2),0))+(IF(O93="Fire Tex",(S93*$U$3),0))+(IF(O93="WB7",(S93*#REF!),0)+(IF(O93="FX 2003",(S93*$U$5),0)))</f>
        <v>0</v>
      </c>
      <c r="V93" s="651">
        <f t="shared" si="14"/>
        <v>1060</v>
      </c>
      <c r="W93" s="4"/>
    </row>
    <row r="94" spans="1:23" x14ac:dyDescent="0.25">
      <c r="A94" s="652" t="s">
        <v>456</v>
      </c>
      <c r="B94" s="653" t="s">
        <v>453</v>
      </c>
      <c r="C94" s="1" t="s">
        <v>408</v>
      </c>
      <c r="D94" s="118" t="str">
        <f>+CUBICACION!D93</f>
        <v>PUNTAL</v>
      </c>
      <c r="E94" s="118" t="str">
        <f>+CUBICACION!F93</f>
        <v>CJ</v>
      </c>
      <c r="F94" s="118" t="str">
        <f>+CUBICACION!E93</f>
        <v>100X100X3</v>
      </c>
      <c r="G94" s="118">
        <v>12</v>
      </c>
      <c r="H94" s="118">
        <v>2</v>
      </c>
      <c r="I94" s="820">
        <v>26385</v>
      </c>
      <c r="J94" s="118">
        <f>+CUBICACION!J93</f>
        <v>4</v>
      </c>
      <c r="K94" s="118">
        <v>2868</v>
      </c>
      <c r="L94" s="118" t="str">
        <f>+CUBICACION!L93</f>
        <v>F-60</v>
      </c>
      <c r="M94" s="64">
        <f>+CUBICACION!M93</f>
        <v>333</v>
      </c>
      <c r="N94" s="824">
        <f>+CUBICACION!N93</f>
        <v>23.367999999999999</v>
      </c>
      <c r="O94" s="675" t="str">
        <f>+CUBICACION!O93</f>
        <v>Fire Tex 5090</v>
      </c>
      <c r="P94" s="15">
        <f>IF(O94="Fire Control",VLOOKUP(_xlfn.MINIFS('FIRE CONTROL'!$C$4:$C$37,'FIRE CONTROL'!$C$4:$C$37,"&gt;="&amp;M94),'FIRE CONTROL'!$C$4:$G$37,IF(L94="F-15",2,IF(L94="F-30",3,IF(L94="F-60",4,IF(L94="F-90",5,0)))),0),0)+IF(AND(O94="FIRE TEX 5062",OR(E94="IN",E94="C",E94="Z",E94="L"),J94=3),VLOOKUP(_xlfn.MINIFS('FIRE TEX 5062'!$B$4:$B$34,'FIRE TEX 5062'!$B$4:$B$34,"&gt;="&amp;M94),'FIRE TEX 5062'!$B$4:$F$34,IF(L94="F-15",2,IF(L94="F-30",3,IF(L94="F-60",4,IF(L94="F-90",5,0)))),0),0)+IF(AND(O94="FIRE TEX 5062",OR(E94="IN",E94="C",E94="Z",E94="L"),J94=4),VLOOKUP(_xlfn.MINIFS('FIRE TEX 5062'!$G$4:$G$34,'FIRE TEX 5062'!$G$4:$G$34,"&gt;="&amp;M94),'FIRE TEX 5062'!$G$4:$K$34,IF(L94="F-15",2,IF(L94="F-30",3,IF(L94="F-60",4,IF(L94="F-90",5,0)))),0),0)+IF(AND(O94="FIRE TEX 5062",E94="CJ",J94=3),VLOOKUP(_xlfn.MINIFS('FIRE TEX 5062'!$L$4:$L$34,'FIRE TEX 5062'!$L$4:$L$34,"&gt;="&amp;M94),'FIRE TEX 5062'!$L$4:$P$34,IF(L94="F-15",2,IF(L94="F-30",3,IF(L94="F-60",4,IF(L94="F-90",5,0)))),0),0)+IF(AND(O94="FIRE TEX 5062",E94="CJ",J94=4),VLOOKUP(_xlfn.MINIFS('FIRE TEX 5062'!$Q$3:$Q$34,'FIRE TEX 5062'!$Q$3:$Q$34,"&gt;="&amp;M94),'FIRE TEX 5062'!$Q$3:$U$34,IF(L94="F-15",2,IF(L94="F-30",3,IF(L94="F-60",4,IF(L94="F-90",5,0)))),0),0)+IF(AND(O94="FIRE TEX 5090",OR(E94="IN",E94="C",E94="Z",E94="L"),J94=3),VLOOKUP(_xlfn.MINIFS('FIRE TEX 5090'!$B$5:$B$43,'FIRE TEX 5090'!$B$5:$B$43,"&gt;="&amp;M94),'FIRE TEX 5090'!$B$5:$H$43,IF(L94="F-15",2,IF(L94="F-30",3,IF(L94="F-60",4,IF(L94="F-90",5,IF(L94="F-120",6,IF(L94="F-150",7,0)))))),0),0)+IF(AND(O94="FIRE TEX 5090",OR(E94="IN",E94="C",E94="Z",E94="L"),J94=4),VLOOKUP(_xlfn.MINIFS('FIRE TEX 5090'!$J$5:$J$43,'FIRE TEX 5090'!$J$5:$J$43,"&gt;="&amp;M94),'FIRE TEX 5090'!$J$5:$P$43,IF(L94="F-15",2,IF(L94="F-30",3,IF(L94="F-60",4,IF(L94="F-90",5,IF(L94="F-120",6,IF(L94="F-150",7,0)))))),0),0)+IF(AND(O94="FIRE TEX 5090",E94="CJ",J94=3),VLOOKUP(_xlfn.MINIFS('FIRE TEX 5090'!$R$5:$R$30,'FIRE TEX 5090'!$R$5:$R$30,"&gt;="&amp;M94),'FIRE TEX 5090'!$R$5:$W$30,IF(L94="F-15",2,IF(L94="F-30",3,IF(L94="F-60",4,IF(L94="F-90",5,IF(L94="F-120",6,IF(L94="F-150",7,0)))))),0),0)+IF(AND(O94="FIRE TEX 5090",E94="CJ",J94=4),VLOOKUP(_xlfn.MINIFS('FIRE TEX 5090'!$Y$5:$Y$39,'FIRE TEX 5090'!$Y$5:$Y$39,"&gt;="&amp;M94),'FIRE TEX 5090'!$Y$5:$AD$39,IF(L94="F-15",2,IF(L94="F-30",3,IF(L94="F-60",4,IF(L94="F-90",5,IF(L94="F-120",6,IF(L94="F-150",7,0)))))),0),0)+IF(AND(O94="FIRE TEX 5120",OR(E94="IN",E94="C",E94="Z",E94="L"),J94=3),VLOOKUP(_xlfn.MINIFS('FIRE TEX 5120'!$B$5:$B$40,'FIRE TEX 5120'!$B$5:$B$40,"&gt;="&amp;M94),'FIRE TEX 5120'!$B$5:$G$40,IF(L94="F-15",2,IF(L94="F-30",3,IF(L94="F-60",4,IF(L94="F-90",5,IF(L94="F-120",6,0))))),0),0)+IF(AND(O94="FIRE TEX 5120",OR(E94="IN",E94="C",E94="Z",E94="L"),J94=4),VLOOKUP(_xlfn.MINIFS('FIRE TEX 5120'!$H$4:$H$40,'FIRE TEX 5120'!$H$4:$H$40,"&gt;="&amp;M94),'FIRE TEX 5120'!$H$4:$M$40,IF(L94="F-15",2,IF(L94="F-30",3,IF(L94="F-60",4,IF(L94="F-90",5,IF(L94="F-120",6,0))))),0),0)+IF(AND(O94="FIRE TEX 5120",E94="CJ"),VLOOKUP(_xlfn.MINIFS('FIRE TEX 5120'!$O$5:$O$40,'FIRE TEX 5120'!$O$5:$O$40,"&gt;="&amp;M94),'FIRE TEX 5120'!$O$5:$T$40,IF(L94="F-15",2,IF(L94="F-30",3,IF(L94="F-60",4,IF(L94="F-90",5,IF(L94="F-120",6,0))))),0),0)</f>
        <v>2828</v>
      </c>
      <c r="Q94" s="46">
        <f t="shared" si="10"/>
        <v>111.33836000000001</v>
      </c>
      <c r="R94" s="46">
        <f t="shared" si="12"/>
        <v>3.1121349371411613</v>
      </c>
      <c r="S94" s="46">
        <f t="shared" si="11"/>
        <v>7.5086718513131308</v>
      </c>
      <c r="T94" s="677">
        <f t="shared" si="13"/>
        <v>0</v>
      </c>
      <c r="U94" s="80">
        <f>(IF(O94="Stofire",(S94*#REF!),0))+(IF(O94="Fire Control",(S94*$U$2),0))+(IF(O94="Fire Tex",(S94*$U$3),0))+(IF(O94="WB7",(S94*#REF!),0)+(IF(O94="FX 2003",(S94*$U$5),0)))</f>
        <v>0</v>
      </c>
      <c r="V94" s="651">
        <f t="shared" si="14"/>
        <v>340</v>
      </c>
      <c r="W94" s="4"/>
    </row>
    <row r="95" spans="1:23" x14ac:dyDescent="0.25">
      <c r="A95" s="652" t="s">
        <v>458</v>
      </c>
      <c r="B95" s="653" t="s">
        <v>459</v>
      </c>
      <c r="C95" s="1" t="s">
        <v>460</v>
      </c>
      <c r="D95" s="118" t="str">
        <f>+CUBICACION!D94</f>
        <v>LOSA</v>
      </c>
      <c r="E95" s="118" t="str">
        <f>+CUBICACION!F94</f>
        <v>-</v>
      </c>
      <c r="F95" s="118" t="str">
        <f>+CUBICACION!E94</f>
        <v>-</v>
      </c>
      <c r="G95" s="118">
        <v>12</v>
      </c>
      <c r="H95" s="118">
        <v>2</v>
      </c>
      <c r="I95" s="820">
        <v>26385</v>
      </c>
      <c r="J95" s="118">
        <f>+CUBICACION!J94</f>
        <v>1</v>
      </c>
      <c r="K95" s="118">
        <v>2869</v>
      </c>
      <c r="L95" s="118">
        <f>+CUBICACION!L94</f>
        <v>60</v>
      </c>
      <c r="M95" s="64" t="str">
        <f>+CUBICACION!M94</f>
        <v>-</v>
      </c>
      <c r="N95" s="824">
        <f>+CUBICACION!N94</f>
        <v>324.75599999999997</v>
      </c>
      <c r="O95" s="675" t="str">
        <f>+CUBICACION!O94</f>
        <v>Blaze Shield II</v>
      </c>
      <c r="P95" s="15">
        <f>IF(O95="Fire Control",VLOOKUP(_xlfn.MINIFS('FIRE CONTROL'!$C$4:$C$37,'FIRE CONTROL'!$C$4:$C$37,"&gt;="&amp;M95),'FIRE CONTROL'!$C$4:$G$37,IF(L95="F-15",2,IF(L95="F-30",3,IF(L95="F-60",4,IF(L95="F-90",5,0)))),0),0)+IF(AND(O95="FIRE TEX 5062",OR(E95="IN",E95="C",E95="Z",E95="L"),J95=3),VLOOKUP(_xlfn.MINIFS('FIRE TEX 5062'!$B$4:$B$34,'FIRE TEX 5062'!$B$4:$B$34,"&gt;="&amp;M95),'FIRE TEX 5062'!$B$4:$F$34,IF(L95="F-15",2,IF(L95="F-30",3,IF(L95="F-60",4,IF(L95="F-90",5,0)))),0),0)+IF(AND(O95="FIRE TEX 5062",OR(E95="IN",E95="C",E95="Z",E95="L"),J95=4),VLOOKUP(_xlfn.MINIFS('FIRE TEX 5062'!$G$4:$G$34,'FIRE TEX 5062'!$G$4:$G$34,"&gt;="&amp;M95),'FIRE TEX 5062'!$G$4:$K$34,IF(L95="F-15",2,IF(L95="F-30",3,IF(L95="F-60",4,IF(L95="F-90",5,0)))),0),0)+IF(AND(O95="FIRE TEX 5062",E95="CJ",J95=3),VLOOKUP(_xlfn.MINIFS('FIRE TEX 5062'!$L$4:$L$34,'FIRE TEX 5062'!$L$4:$L$34,"&gt;="&amp;M95),'FIRE TEX 5062'!$L$4:$P$34,IF(L95="F-15",2,IF(L95="F-30",3,IF(L95="F-60",4,IF(L95="F-90",5,0)))),0),0)+IF(AND(O95="FIRE TEX 5062",E95="CJ",J95=4),VLOOKUP(_xlfn.MINIFS('FIRE TEX 5062'!$Q$3:$Q$34,'FIRE TEX 5062'!$Q$3:$Q$34,"&gt;="&amp;M95),'FIRE TEX 5062'!$Q$3:$U$34,IF(L95="F-15",2,IF(L95="F-30",3,IF(L95="F-60",4,IF(L95="F-90",5,0)))),0),0)+IF(AND(O95="FIRE TEX 5090",OR(E95="IN",E95="C",E95="Z",E95="L"),J95=3),VLOOKUP(_xlfn.MINIFS('FIRE TEX 5090'!$B$5:$B$43,'FIRE TEX 5090'!$B$5:$B$43,"&gt;="&amp;M95),'FIRE TEX 5090'!$B$5:$H$43,IF(L95="F-15",2,IF(L95="F-30",3,IF(L95="F-60",4,IF(L95="F-90",5,IF(L95="F-120",6,IF(L95="F-150",7,0)))))),0),0)+IF(AND(O95="FIRE TEX 5090",OR(E95="IN",E95="C",E95="Z",E95="L"),J95=4),VLOOKUP(_xlfn.MINIFS('FIRE TEX 5090'!$J$5:$J$43,'FIRE TEX 5090'!$J$5:$J$43,"&gt;="&amp;M95),'FIRE TEX 5090'!$J$5:$P$43,IF(L95="F-15",2,IF(L95="F-30",3,IF(L95="F-60",4,IF(L95="F-90",5,IF(L95="F-120",6,IF(L95="F-150",7,0)))))),0),0)+IF(AND(O95="FIRE TEX 5090",E95="CJ",J95=3),VLOOKUP(_xlfn.MINIFS('FIRE TEX 5090'!$R$5:$R$30,'FIRE TEX 5090'!$R$5:$R$30,"&gt;="&amp;M95),'FIRE TEX 5090'!$R$5:$W$30,IF(L95="F-15",2,IF(L95="F-30",3,IF(L95="F-60",4,IF(L95="F-90",5,IF(L95="F-120",6,IF(L95="F-150",7,0)))))),0),0)+IF(AND(O95="FIRE TEX 5090",E95="CJ",J95=4),VLOOKUP(_xlfn.MINIFS('FIRE TEX 5090'!$Y$5:$Y$39,'FIRE TEX 5090'!$Y$5:$Y$39,"&gt;="&amp;M95),'FIRE TEX 5090'!$Y$5:$AD$39,IF(L95="F-15",2,IF(L95="F-30",3,IF(L95="F-60",4,IF(L95="F-90",5,IF(L95="F-120",6,IF(L95="F-150",7,0)))))),0),0)+IF(AND(O95="FIRE TEX 5120",OR(E95="IN",E95="C",E95="Z",E95="L"),J95=3),VLOOKUP(_xlfn.MINIFS('FIRE TEX 5120'!$B$5:$B$40,'FIRE TEX 5120'!$B$5:$B$40,"&gt;="&amp;M95),'FIRE TEX 5120'!$B$5:$G$40,IF(L95="F-15",2,IF(L95="F-30",3,IF(L95="F-60",4,IF(L95="F-90",5,IF(L95="F-120",6,0))))),0),0)+IF(AND(O95="FIRE TEX 5120",OR(E95="IN",E95="C",E95="Z",E95="L"),J95=4),VLOOKUP(_xlfn.MINIFS('FIRE TEX 5120'!$H$4:$H$40,'FIRE TEX 5120'!$H$4:$H$40,"&gt;="&amp;M95),'FIRE TEX 5120'!$H$4:$M$40,IF(L95="F-15",2,IF(L95="F-30",3,IF(L95="F-60",4,IF(L95="F-90",5,IF(L95="F-120",6,0))))),0),0)+IF(AND(O95="FIRE TEX 5120",E95="CJ"),VLOOKUP(_xlfn.MINIFS('FIRE TEX 5120'!$O$5:$O$40,'FIRE TEX 5120'!$O$5:$O$40,"&gt;="&amp;M95),'FIRE TEX 5120'!$O$5:$T$40,IF(L95="F-15",2,IF(L95="F-30",3,IF(L95="F-60",4,IF(L95="F-90",5,IF(L95="F-120",6,0))))),0),0)</f>
        <v>0</v>
      </c>
      <c r="Q95" s="46">
        <f t="shared" si="10"/>
        <v>0</v>
      </c>
      <c r="R95" s="46">
        <f t="shared" si="12"/>
        <v>0</v>
      </c>
      <c r="S95" s="46" t="e">
        <f t="shared" si="11"/>
        <v>#DIV/0!</v>
      </c>
      <c r="T95" s="677">
        <f t="shared" si="13"/>
        <v>0</v>
      </c>
      <c r="U95" s="80">
        <f>(IF(O95="Stofire",(S95*#REF!),0))+(IF(O95="Fire Control",(S95*$U$2),0))+(IF(O95="Fire Tex",(S95*$U$3),0))+(IF(O95="WB7",(S95*#REF!),0)+(IF(O95="FX 2003",(S95*$U$5),0)))</f>
        <v>0</v>
      </c>
      <c r="V95" s="651" t="e">
        <f t="shared" si="14"/>
        <v>#VALUE!</v>
      </c>
      <c r="W95" s="4"/>
    </row>
    <row r="96" spans="1:23" x14ac:dyDescent="0.25">
      <c r="A96" s="652" t="s">
        <v>458</v>
      </c>
      <c r="B96" s="653" t="s">
        <v>459</v>
      </c>
      <c r="C96" s="1" t="s">
        <v>408</v>
      </c>
      <c r="D96" s="118" t="str">
        <f>+CUBICACION!D95</f>
        <v>LOSA</v>
      </c>
      <c r="E96" s="118" t="str">
        <f>+CUBICACION!F95</f>
        <v>-</v>
      </c>
      <c r="F96" s="118" t="str">
        <f>+CUBICACION!E95</f>
        <v>-</v>
      </c>
      <c r="G96" s="118">
        <v>12</v>
      </c>
      <c r="H96" s="118">
        <v>2</v>
      </c>
      <c r="I96" s="820">
        <v>26385</v>
      </c>
      <c r="J96" s="118">
        <f>+CUBICACION!J95</f>
        <v>1</v>
      </c>
      <c r="K96" s="118">
        <v>2870</v>
      </c>
      <c r="L96" s="118">
        <f>+CUBICACION!L95</f>
        <v>60</v>
      </c>
      <c r="M96" s="64" t="str">
        <f>+CUBICACION!M95</f>
        <v>-</v>
      </c>
      <c r="N96" s="824">
        <f>+CUBICACION!N95</f>
        <v>3.8250000000000002</v>
      </c>
      <c r="O96" s="675" t="str">
        <f>+CUBICACION!O95</f>
        <v>Blaze Shield II</v>
      </c>
      <c r="P96" s="15">
        <f>IF(O96="Fire Control",VLOOKUP(_xlfn.MINIFS('FIRE CONTROL'!$C$4:$C$37,'FIRE CONTROL'!$C$4:$C$37,"&gt;="&amp;M96),'FIRE CONTROL'!$C$4:$G$37,IF(L96="F-15",2,IF(L96="F-30",3,IF(L96="F-60",4,IF(L96="F-90",5,0)))),0),0)+IF(AND(O96="FIRE TEX 5062",OR(E96="IN",E96="C",E96="Z",E96="L"),J96=3),VLOOKUP(_xlfn.MINIFS('FIRE TEX 5062'!$B$4:$B$34,'FIRE TEX 5062'!$B$4:$B$34,"&gt;="&amp;M96),'FIRE TEX 5062'!$B$4:$F$34,IF(L96="F-15",2,IF(L96="F-30",3,IF(L96="F-60",4,IF(L96="F-90",5,0)))),0),0)+IF(AND(O96="FIRE TEX 5062",OR(E96="IN",E96="C",E96="Z",E96="L"),J96=4),VLOOKUP(_xlfn.MINIFS('FIRE TEX 5062'!$G$4:$G$34,'FIRE TEX 5062'!$G$4:$G$34,"&gt;="&amp;M96),'FIRE TEX 5062'!$G$4:$K$34,IF(L96="F-15",2,IF(L96="F-30",3,IF(L96="F-60",4,IF(L96="F-90",5,0)))),0),0)+IF(AND(O96="FIRE TEX 5062",E96="CJ",J96=3),VLOOKUP(_xlfn.MINIFS('FIRE TEX 5062'!$L$4:$L$34,'FIRE TEX 5062'!$L$4:$L$34,"&gt;="&amp;M96),'FIRE TEX 5062'!$L$4:$P$34,IF(L96="F-15",2,IF(L96="F-30",3,IF(L96="F-60",4,IF(L96="F-90",5,0)))),0),0)+IF(AND(O96="FIRE TEX 5062",E96="CJ",J96=4),VLOOKUP(_xlfn.MINIFS('FIRE TEX 5062'!$Q$3:$Q$34,'FIRE TEX 5062'!$Q$3:$Q$34,"&gt;="&amp;M96),'FIRE TEX 5062'!$Q$3:$U$34,IF(L96="F-15",2,IF(L96="F-30",3,IF(L96="F-60",4,IF(L96="F-90",5,0)))),0),0)+IF(AND(O96="FIRE TEX 5090",OR(E96="IN",E96="C",E96="Z",E96="L"),J96=3),VLOOKUP(_xlfn.MINIFS('FIRE TEX 5090'!$B$5:$B$43,'FIRE TEX 5090'!$B$5:$B$43,"&gt;="&amp;M96),'FIRE TEX 5090'!$B$5:$H$43,IF(L96="F-15",2,IF(L96="F-30",3,IF(L96="F-60",4,IF(L96="F-90",5,IF(L96="F-120",6,IF(L96="F-150",7,0)))))),0),0)+IF(AND(O96="FIRE TEX 5090",OR(E96="IN",E96="C",E96="Z",E96="L"),J96=4),VLOOKUP(_xlfn.MINIFS('FIRE TEX 5090'!$J$5:$J$43,'FIRE TEX 5090'!$J$5:$J$43,"&gt;="&amp;M96),'FIRE TEX 5090'!$J$5:$P$43,IF(L96="F-15",2,IF(L96="F-30",3,IF(L96="F-60",4,IF(L96="F-90",5,IF(L96="F-120",6,IF(L96="F-150",7,0)))))),0),0)+IF(AND(O96="FIRE TEX 5090",E96="CJ",J96=3),VLOOKUP(_xlfn.MINIFS('FIRE TEX 5090'!$R$5:$R$30,'FIRE TEX 5090'!$R$5:$R$30,"&gt;="&amp;M96),'FIRE TEX 5090'!$R$5:$W$30,IF(L96="F-15",2,IF(L96="F-30",3,IF(L96="F-60",4,IF(L96="F-90",5,IF(L96="F-120",6,IF(L96="F-150",7,0)))))),0),0)+IF(AND(O96="FIRE TEX 5090",E96="CJ",J96=4),VLOOKUP(_xlfn.MINIFS('FIRE TEX 5090'!$Y$5:$Y$39,'FIRE TEX 5090'!$Y$5:$Y$39,"&gt;="&amp;M96),'FIRE TEX 5090'!$Y$5:$AD$39,IF(L96="F-15",2,IF(L96="F-30",3,IF(L96="F-60",4,IF(L96="F-90",5,IF(L96="F-120",6,IF(L96="F-150",7,0)))))),0),0)+IF(AND(O96="FIRE TEX 5120",OR(E96="IN",E96="C",E96="Z",E96="L"),J96=3),VLOOKUP(_xlfn.MINIFS('FIRE TEX 5120'!$B$5:$B$40,'FIRE TEX 5120'!$B$5:$B$40,"&gt;="&amp;M96),'FIRE TEX 5120'!$B$5:$G$40,IF(L96="F-15",2,IF(L96="F-30",3,IF(L96="F-60",4,IF(L96="F-90",5,IF(L96="F-120",6,0))))),0),0)+IF(AND(O96="FIRE TEX 5120",OR(E96="IN",E96="C",E96="Z",E96="L"),J96=4),VLOOKUP(_xlfn.MINIFS('FIRE TEX 5120'!$H$4:$H$40,'FIRE TEX 5120'!$H$4:$H$40,"&gt;="&amp;M96),'FIRE TEX 5120'!$H$4:$M$40,IF(L96="F-15",2,IF(L96="F-30",3,IF(L96="F-60",4,IF(L96="F-90",5,IF(L96="F-120",6,0))))),0),0)+IF(AND(O96="FIRE TEX 5120",E96="CJ"),VLOOKUP(_xlfn.MINIFS('FIRE TEX 5120'!$O$5:$O$40,'FIRE TEX 5120'!$O$5:$O$40,"&gt;="&amp;M96),'FIRE TEX 5120'!$O$5:$T$40,IF(L96="F-15",2,IF(L96="F-30",3,IF(L96="F-60",4,IF(L96="F-90",5,IF(L96="F-120",6,0))))),0),0)</f>
        <v>0</v>
      </c>
      <c r="Q96" s="46">
        <f t="shared" si="10"/>
        <v>0</v>
      </c>
      <c r="R96" s="46">
        <f t="shared" si="12"/>
        <v>0</v>
      </c>
      <c r="S96" s="46" t="e">
        <f t="shared" si="11"/>
        <v>#DIV/0!</v>
      </c>
      <c r="T96" s="677">
        <f t="shared" si="13"/>
        <v>0</v>
      </c>
      <c r="U96" s="80">
        <f>(IF(O96="Stofire",(S96*#REF!),0))+(IF(O96="Fire Control",(S96*$U$2),0))+(IF(O96="Fire Tex",(S96*$U$3),0))+(IF(O96="WB7",(S96*#REF!),0)+(IF(O96="FX 2003",(S96*$U$5),0)))</f>
        <v>0</v>
      </c>
      <c r="V96" s="651" t="e">
        <f t="shared" si="14"/>
        <v>#VALUE!</v>
      </c>
      <c r="W96" s="4"/>
    </row>
    <row r="97" spans="1:23" x14ac:dyDescent="0.25">
      <c r="A97" s="652" t="s">
        <v>461</v>
      </c>
      <c r="B97" s="653" t="s">
        <v>459</v>
      </c>
      <c r="C97" s="1" t="s">
        <v>462</v>
      </c>
      <c r="D97" s="118" t="str">
        <f>+CUBICACION!D96</f>
        <v>VIGA BAJO LOSA</v>
      </c>
      <c r="E97" s="118" t="str">
        <f>+CUBICACION!F96</f>
        <v>IN</v>
      </c>
      <c r="F97" s="118" t="str">
        <f>+CUBICACION!E96</f>
        <v>200X100X8,5X5,6</v>
      </c>
      <c r="G97" s="118">
        <v>12</v>
      </c>
      <c r="H97" s="118">
        <v>2</v>
      </c>
      <c r="I97" s="820">
        <v>26385</v>
      </c>
      <c r="J97" s="118">
        <f>+CUBICACION!J96</f>
        <v>3</v>
      </c>
      <c r="K97" s="118">
        <v>2871</v>
      </c>
      <c r="L97" s="118">
        <f>+CUBICACION!L96</f>
        <v>60</v>
      </c>
      <c r="M97" s="64">
        <f>+CUBICACION!M96</f>
        <v>265</v>
      </c>
      <c r="N97" s="824">
        <f>+CUBICACION!N96</f>
        <v>100.85850000000001</v>
      </c>
      <c r="O97" s="675" t="str">
        <f>+CUBICACION!O96</f>
        <v>Blaze Shield II</v>
      </c>
      <c r="P97" s="15">
        <f>IF(O97="Fire Control",VLOOKUP(_xlfn.MINIFS('FIRE CONTROL'!$C$4:$C$37,'FIRE CONTROL'!$C$4:$C$37,"&gt;="&amp;M97),'FIRE CONTROL'!$C$4:$G$37,IF(L97="F-15",2,IF(L97="F-30",3,IF(L97="F-60",4,IF(L97="F-90",5,0)))),0),0)+IF(AND(O97="FIRE TEX 5062",OR(E97="IN",E97="C",E97="Z",E97="L"),J97=3),VLOOKUP(_xlfn.MINIFS('FIRE TEX 5062'!$B$4:$B$34,'FIRE TEX 5062'!$B$4:$B$34,"&gt;="&amp;M97),'FIRE TEX 5062'!$B$4:$F$34,IF(L97="F-15",2,IF(L97="F-30",3,IF(L97="F-60",4,IF(L97="F-90",5,0)))),0),0)+IF(AND(O97="FIRE TEX 5062",OR(E97="IN",E97="C",E97="Z",E97="L"),J97=4),VLOOKUP(_xlfn.MINIFS('FIRE TEX 5062'!$G$4:$G$34,'FIRE TEX 5062'!$G$4:$G$34,"&gt;="&amp;M97),'FIRE TEX 5062'!$G$4:$K$34,IF(L97="F-15",2,IF(L97="F-30",3,IF(L97="F-60",4,IF(L97="F-90",5,0)))),0),0)+IF(AND(O97="FIRE TEX 5062",E97="CJ",J97=3),VLOOKUP(_xlfn.MINIFS('FIRE TEX 5062'!$L$4:$L$34,'FIRE TEX 5062'!$L$4:$L$34,"&gt;="&amp;M97),'FIRE TEX 5062'!$L$4:$P$34,IF(L97="F-15",2,IF(L97="F-30",3,IF(L97="F-60",4,IF(L97="F-90",5,0)))),0),0)+IF(AND(O97="FIRE TEX 5062",E97="CJ",J97=4),VLOOKUP(_xlfn.MINIFS('FIRE TEX 5062'!$Q$3:$Q$34,'FIRE TEX 5062'!$Q$3:$Q$34,"&gt;="&amp;M97),'FIRE TEX 5062'!$Q$3:$U$34,IF(L97="F-15",2,IF(L97="F-30",3,IF(L97="F-60",4,IF(L97="F-90",5,0)))),0),0)+IF(AND(O97="FIRE TEX 5090",OR(E97="IN",E97="C",E97="Z",E97="L"),J97=3),VLOOKUP(_xlfn.MINIFS('FIRE TEX 5090'!$B$5:$B$43,'FIRE TEX 5090'!$B$5:$B$43,"&gt;="&amp;M97),'FIRE TEX 5090'!$B$5:$H$43,IF(L97="F-15",2,IF(L97="F-30",3,IF(L97="F-60",4,IF(L97="F-90",5,IF(L97="F-120",6,IF(L97="F-150",7,0)))))),0),0)+IF(AND(O97="FIRE TEX 5090",OR(E97="IN",E97="C",E97="Z",E97="L"),J97=4),VLOOKUP(_xlfn.MINIFS('FIRE TEX 5090'!$J$5:$J$43,'FIRE TEX 5090'!$J$5:$J$43,"&gt;="&amp;M97),'FIRE TEX 5090'!$J$5:$P$43,IF(L97="F-15",2,IF(L97="F-30",3,IF(L97="F-60",4,IF(L97="F-90",5,IF(L97="F-120",6,IF(L97="F-150",7,0)))))),0),0)+IF(AND(O97="FIRE TEX 5090",E97="CJ",J97=3),VLOOKUP(_xlfn.MINIFS('FIRE TEX 5090'!$R$5:$R$30,'FIRE TEX 5090'!$R$5:$R$30,"&gt;="&amp;M97),'FIRE TEX 5090'!$R$5:$W$30,IF(L97="F-15",2,IF(L97="F-30",3,IF(L97="F-60",4,IF(L97="F-90",5,IF(L97="F-120",6,IF(L97="F-150",7,0)))))),0),0)+IF(AND(O97="FIRE TEX 5090",E97="CJ",J97=4),VLOOKUP(_xlfn.MINIFS('FIRE TEX 5090'!$Y$5:$Y$39,'FIRE TEX 5090'!$Y$5:$Y$39,"&gt;="&amp;M97),'FIRE TEX 5090'!$Y$5:$AD$39,IF(L97="F-15",2,IF(L97="F-30",3,IF(L97="F-60",4,IF(L97="F-90",5,IF(L97="F-120",6,IF(L97="F-150",7,0)))))),0),0)+IF(AND(O97="FIRE TEX 5120",OR(E97="IN",E97="C",E97="Z",E97="L"),J97=3),VLOOKUP(_xlfn.MINIFS('FIRE TEX 5120'!$B$5:$B$40,'FIRE TEX 5120'!$B$5:$B$40,"&gt;="&amp;M97),'FIRE TEX 5120'!$B$5:$G$40,IF(L97="F-15",2,IF(L97="F-30",3,IF(L97="F-60",4,IF(L97="F-90",5,IF(L97="F-120",6,0))))),0),0)+IF(AND(O97="FIRE TEX 5120",OR(E97="IN",E97="C",E97="Z",E97="L"),J97=4),VLOOKUP(_xlfn.MINIFS('FIRE TEX 5120'!$H$4:$H$40,'FIRE TEX 5120'!$H$4:$H$40,"&gt;="&amp;M97),'FIRE TEX 5120'!$H$4:$M$40,IF(L97="F-15",2,IF(L97="F-30",3,IF(L97="F-60",4,IF(L97="F-90",5,IF(L97="F-120",6,0))))),0),0)+IF(AND(O97="FIRE TEX 5120",E97="CJ"),VLOOKUP(_xlfn.MINIFS('FIRE TEX 5120'!$O$5:$O$40,'FIRE TEX 5120'!$O$5:$O$40,"&gt;="&amp;M97),'FIRE TEX 5120'!$O$5:$T$40,IF(L97="F-15",2,IF(L97="F-30",3,IF(L97="F-60",4,IF(L97="F-90",5,IF(L97="F-120",6,0))))),0),0)</f>
        <v>0</v>
      </c>
      <c r="Q97" s="46">
        <f t="shared" si="10"/>
        <v>0</v>
      </c>
      <c r="R97" s="46">
        <f t="shared" si="12"/>
        <v>0</v>
      </c>
      <c r="S97" s="46" t="e">
        <f t="shared" si="11"/>
        <v>#DIV/0!</v>
      </c>
      <c r="T97" s="677">
        <f t="shared" si="13"/>
        <v>0</v>
      </c>
      <c r="U97" s="80">
        <f>(IF(O97="Stofire",(S97*#REF!),0))+(IF(O97="Fire Control",(S97*$U$2),0))+(IF(O97="Fire Tex",(S97*$U$3),0))+(IF(O97="WB7",(S97*#REF!),0)+(IF(O97="FX 2003",(S97*$U$5),0)))</f>
        <v>0</v>
      </c>
      <c r="V97" s="651">
        <f t="shared" si="14"/>
        <v>270</v>
      </c>
      <c r="W97" s="4"/>
    </row>
    <row r="98" spans="1:23" x14ac:dyDescent="0.25">
      <c r="A98" s="652" t="s">
        <v>461</v>
      </c>
      <c r="B98" s="653" t="s">
        <v>459</v>
      </c>
      <c r="C98" s="1" t="s">
        <v>408</v>
      </c>
      <c r="D98" s="118" t="str">
        <f>+CUBICACION!D97</f>
        <v>VIGA BAJO LOSA</v>
      </c>
      <c r="E98" s="118" t="str">
        <f>+CUBICACION!F97</f>
        <v>IN</v>
      </c>
      <c r="F98" s="118" t="str">
        <f>+CUBICACION!E97</f>
        <v>200X100X8,5X5,6</v>
      </c>
      <c r="G98" s="118">
        <v>12</v>
      </c>
      <c r="H98" s="118">
        <v>2</v>
      </c>
      <c r="I98" s="820">
        <v>26385</v>
      </c>
      <c r="J98" s="118">
        <f>+CUBICACION!J97</f>
        <v>3</v>
      </c>
      <c r="K98" s="118">
        <v>2872</v>
      </c>
      <c r="L98" s="118">
        <f>+CUBICACION!L97</f>
        <v>60</v>
      </c>
      <c r="M98" s="64">
        <f>+CUBICACION!M97</f>
        <v>265</v>
      </c>
      <c r="N98" s="824">
        <f>+CUBICACION!N97</f>
        <v>1.991142</v>
      </c>
      <c r="O98" s="675" t="str">
        <f>+CUBICACION!O97</f>
        <v>Blaze Shield II</v>
      </c>
      <c r="P98" s="15">
        <f>IF(O98="Fire Control",VLOOKUP(_xlfn.MINIFS('FIRE CONTROL'!$C$4:$C$37,'FIRE CONTROL'!$C$4:$C$37,"&gt;="&amp;M98),'FIRE CONTROL'!$C$4:$G$37,IF(L98="F-15",2,IF(L98="F-30",3,IF(L98="F-60",4,IF(L98="F-90",5,0)))),0),0)+IF(AND(O98="FIRE TEX 5062",OR(E98="IN",E98="C",E98="Z",E98="L"),J98=3),VLOOKUP(_xlfn.MINIFS('FIRE TEX 5062'!$B$4:$B$34,'FIRE TEX 5062'!$B$4:$B$34,"&gt;="&amp;M98),'FIRE TEX 5062'!$B$4:$F$34,IF(L98="F-15",2,IF(L98="F-30",3,IF(L98="F-60",4,IF(L98="F-90",5,0)))),0),0)+IF(AND(O98="FIRE TEX 5062",OR(E98="IN",E98="C",E98="Z",E98="L"),J98=4),VLOOKUP(_xlfn.MINIFS('FIRE TEX 5062'!$G$4:$G$34,'FIRE TEX 5062'!$G$4:$G$34,"&gt;="&amp;M98),'FIRE TEX 5062'!$G$4:$K$34,IF(L98="F-15",2,IF(L98="F-30",3,IF(L98="F-60",4,IF(L98="F-90",5,0)))),0),0)+IF(AND(O98="FIRE TEX 5062",E98="CJ",J98=3),VLOOKUP(_xlfn.MINIFS('FIRE TEX 5062'!$L$4:$L$34,'FIRE TEX 5062'!$L$4:$L$34,"&gt;="&amp;M98),'FIRE TEX 5062'!$L$4:$P$34,IF(L98="F-15",2,IF(L98="F-30",3,IF(L98="F-60",4,IF(L98="F-90",5,0)))),0),0)+IF(AND(O98="FIRE TEX 5062",E98="CJ",J98=4),VLOOKUP(_xlfn.MINIFS('FIRE TEX 5062'!$Q$3:$Q$34,'FIRE TEX 5062'!$Q$3:$Q$34,"&gt;="&amp;M98),'FIRE TEX 5062'!$Q$3:$U$34,IF(L98="F-15",2,IF(L98="F-30",3,IF(L98="F-60",4,IF(L98="F-90",5,0)))),0),0)+IF(AND(O98="FIRE TEX 5090",OR(E98="IN",E98="C",E98="Z",E98="L"),J98=3),VLOOKUP(_xlfn.MINIFS('FIRE TEX 5090'!$B$5:$B$43,'FIRE TEX 5090'!$B$5:$B$43,"&gt;="&amp;M98),'FIRE TEX 5090'!$B$5:$H$43,IF(L98="F-15",2,IF(L98="F-30",3,IF(L98="F-60",4,IF(L98="F-90",5,IF(L98="F-120",6,IF(L98="F-150",7,0)))))),0),0)+IF(AND(O98="FIRE TEX 5090",OR(E98="IN",E98="C",E98="Z",E98="L"),J98=4),VLOOKUP(_xlfn.MINIFS('FIRE TEX 5090'!$J$5:$J$43,'FIRE TEX 5090'!$J$5:$J$43,"&gt;="&amp;M98),'FIRE TEX 5090'!$J$5:$P$43,IF(L98="F-15",2,IF(L98="F-30",3,IF(L98="F-60",4,IF(L98="F-90",5,IF(L98="F-120",6,IF(L98="F-150",7,0)))))),0),0)+IF(AND(O98="FIRE TEX 5090",E98="CJ",J98=3),VLOOKUP(_xlfn.MINIFS('FIRE TEX 5090'!$R$5:$R$30,'FIRE TEX 5090'!$R$5:$R$30,"&gt;="&amp;M98),'FIRE TEX 5090'!$R$5:$W$30,IF(L98="F-15",2,IF(L98="F-30",3,IF(L98="F-60",4,IF(L98="F-90",5,IF(L98="F-120",6,IF(L98="F-150",7,0)))))),0),0)+IF(AND(O98="FIRE TEX 5090",E98="CJ",J98=4),VLOOKUP(_xlfn.MINIFS('FIRE TEX 5090'!$Y$5:$Y$39,'FIRE TEX 5090'!$Y$5:$Y$39,"&gt;="&amp;M98),'FIRE TEX 5090'!$Y$5:$AD$39,IF(L98="F-15",2,IF(L98="F-30",3,IF(L98="F-60",4,IF(L98="F-90",5,IF(L98="F-120",6,IF(L98="F-150",7,0)))))),0),0)+IF(AND(O98="FIRE TEX 5120",OR(E98="IN",E98="C",E98="Z",E98="L"),J98=3),VLOOKUP(_xlfn.MINIFS('FIRE TEX 5120'!$B$5:$B$40,'FIRE TEX 5120'!$B$5:$B$40,"&gt;="&amp;M98),'FIRE TEX 5120'!$B$5:$G$40,IF(L98="F-15",2,IF(L98="F-30",3,IF(L98="F-60",4,IF(L98="F-90",5,IF(L98="F-120",6,0))))),0),0)+IF(AND(O98="FIRE TEX 5120",OR(E98="IN",E98="C",E98="Z",E98="L"),J98=4),VLOOKUP(_xlfn.MINIFS('FIRE TEX 5120'!$H$4:$H$40,'FIRE TEX 5120'!$H$4:$H$40,"&gt;="&amp;M98),'FIRE TEX 5120'!$H$4:$M$40,IF(L98="F-15",2,IF(L98="F-30",3,IF(L98="F-60",4,IF(L98="F-90",5,IF(L98="F-120",6,0))))),0),0)+IF(AND(O98="FIRE TEX 5120",E98="CJ"),VLOOKUP(_xlfn.MINIFS('FIRE TEX 5120'!$O$5:$O$40,'FIRE TEX 5120'!$O$5:$O$40,"&gt;="&amp;M98),'FIRE TEX 5120'!$O$5:$T$40,IF(L98="F-15",2,IF(L98="F-30",3,IF(L98="F-60",4,IF(L98="F-90",5,IF(L98="F-120",6,0))))),0),0)</f>
        <v>0</v>
      </c>
      <c r="Q98" s="46">
        <f t="shared" si="10"/>
        <v>0</v>
      </c>
      <c r="R98" s="46">
        <f t="shared" si="12"/>
        <v>0</v>
      </c>
      <c r="S98" s="46" t="e">
        <f t="shared" si="11"/>
        <v>#DIV/0!</v>
      </c>
      <c r="T98" s="677">
        <f t="shared" si="13"/>
        <v>0</v>
      </c>
      <c r="U98" s="80">
        <f>(IF(O98="Stofire",(S98*#REF!),0))+(IF(O98="Fire Control",(S98*$U$2),0))+(IF(O98="Fire Tex",(S98*$U$3),0))+(IF(O98="WB7",(S98*#REF!),0)+(IF(O98="FX 2003",(S98*$U$5),0)))</f>
        <v>0</v>
      </c>
      <c r="V98" s="651">
        <f t="shared" si="14"/>
        <v>270</v>
      </c>
      <c r="W98" s="4"/>
    </row>
    <row r="99" spans="1:23" x14ac:dyDescent="0.25">
      <c r="A99" s="652" t="s">
        <v>461</v>
      </c>
      <c r="B99" s="653" t="s">
        <v>459</v>
      </c>
      <c r="C99" s="1" t="s">
        <v>408</v>
      </c>
      <c r="D99" s="118" t="str">
        <f>+CUBICACION!D98</f>
        <v>VIGA BAJO LOSA</v>
      </c>
      <c r="E99" s="118" t="str">
        <f>+CUBICACION!F98</f>
        <v>IN</v>
      </c>
      <c r="F99" s="118" t="str">
        <f>+CUBICACION!E98</f>
        <v>240X120X9,8X6,2</v>
      </c>
      <c r="G99" s="118">
        <v>12</v>
      </c>
      <c r="H99" s="118">
        <v>2</v>
      </c>
      <c r="I99" s="820">
        <v>26385</v>
      </c>
      <c r="J99" s="118">
        <f>+CUBICACION!J98</f>
        <v>3</v>
      </c>
      <c r="K99" s="118">
        <v>2873</v>
      </c>
      <c r="L99" s="118">
        <f>+CUBICACION!L98</f>
        <v>60</v>
      </c>
      <c r="M99" s="64">
        <f>+CUBICACION!M98</f>
        <v>233</v>
      </c>
      <c r="N99" s="824">
        <f>+CUBICACION!N98</f>
        <v>20.2011</v>
      </c>
      <c r="O99" s="675" t="str">
        <f>+CUBICACION!O98</f>
        <v>Blaze Shield II</v>
      </c>
      <c r="P99" s="15">
        <f>IF(O99="Fire Control",VLOOKUP(_xlfn.MINIFS('FIRE CONTROL'!$C$4:$C$37,'FIRE CONTROL'!$C$4:$C$37,"&gt;="&amp;M99),'FIRE CONTROL'!$C$4:$G$37,IF(L99="F-15",2,IF(L99="F-30",3,IF(L99="F-60",4,IF(L99="F-90",5,0)))),0),0)+IF(AND(O99="FIRE TEX 5062",OR(E99="IN",E99="C",E99="Z",E99="L"),J99=3),VLOOKUP(_xlfn.MINIFS('FIRE TEX 5062'!$B$4:$B$34,'FIRE TEX 5062'!$B$4:$B$34,"&gt;="&amp;M99),'FIRE TEX 5062'!$B$4:$F$34,IF(L99="F-15",2,IF(L99="F-30",3,IF(L99="F-60",4,IF(L99="F-90",5,0)))),0),0)+IF(AND(O99="FIRE TEX 5062",OR(E99="IN",E99="C",E99="Z",E99="L"),J99=4),VLOOKUP(_xlfn.MINIFS('FIRE TEX 5062'!$G$4:$G$34,'FIRE TEX 5062'!$G$4:$G$34,"&gt;="&amp;M99),'FIRE TEX 5062'!$G$4:$K$34,IF(L99="F-15",2,IF(L99="F-30",3,IF(L99="F-60",4,IF(L99="F-90",5,0)))),0),0)+IF(AND(O99="FIRE TEX 5062",E99="CJ",J99=3),VLOOKUP(_xlfn.MINIFS('FIRE TEX 5062'!$L$4:$L$34,'FIRE TEX 5062'!$L$4:$L$34,"&gt;="&amp;M99),'FIRE TEX 5062'!$L$4:$P$34,IF(L99="F-15",2,IF(L99="F-30",3,IF(L99="F-60",4,IF(L99="F-90",5,0)))),0),0)+IF(AND(O99="FIRE TEX 5062",E99="CJ",J99=4),VLOOKUP(_xlfn.MINIFS('FIRE TEX 5062'!$Q$3:$Q$34,'FIRE TEX 5062'!$Q$3:$Q$34,"&gt;="&amp;M99),'FIRE TEX 5062'!$Q$3:$U$34,IF(L99="F-15",2,IF(L99="F-30",3,IF(L99="F-60",4,IF(L99="F-90",5,0)))),0),0)+IF(AND(O99="FIRE TEX 5090",OR(E99="IN",E99="C",E99="Z",E99="L"),J99=3),VLOOKUP(_xlfn.MINIFS('FIRE TEX 5090'!$B$5:$B$43,'FIRE TEX 5090'!$B$5:$B$43,"&gt;="&amp;M99),'FIRE TEX 5090'!$B$5:$H$43,IF(L99="F-15",2,IF(L99="F-30",3,IF(L99="F-60",4,IF(L99="F-90",5,IF(L99="F-120",6,IF(L99="F-150",7,0)))))),0),0)+IF(AND(O99="FIRE TEX 5090",OR(E99="IN",E99="C",E99="Z",E99="L"),J99=4),VLOOKUP(_xlfn.MINIFS('FIRE TEX 5090'!$J$5:$J$43,'FIRE TEX 5090'!$J$5:$J$43,"&gt;="&amp;M99),'FIRE TEX 5090'!$J$5:$P$43,IF(L99="F-15",2,IF(L99="F-30",3,IF(L99="F-60",4,IF(L99="F-90",5,IF(L99="F-120",6,IF(L99="F-150",7,0)))))),0),0)+IF(AND(O99="FIRE TEX 5090",E99="CJ",J99=3),VLOOKUP(_xlfn.MINIFS('FIRE TEX 5090'!$R$5:$R$30,'FIRE TEX 5090'!$R$5:$R$30,"&gt;="&amp;M99),'FIRE TEX 5090'!$R$5:$W$30,IF(L99="F-15",2,IF(L99="F-30",3,IF(L99="F-60",4,IF(L99="F-90",5,IF(L99="F-120",6,IF(L99="F-150",7,0)))))),0),0)+IF(AND(O99="FIRE TEX 5090",E99="CJ",J99=4),VLOOKUP(_xlfn.MINIFS('FIRE TEX 5090'!$Y$5:$Y$39,'FIRE TEX 5090'!$Y$5:$Y$39,"&gt;="&amp;M99),'FIRE TEX 5090'!$Y$5:$AD$39,IF(L99="F-15",2,IF(L99="F-30",3,IF(L99="F-60",4,IF(L99="F-90",5,IF(L99="F-120",6,IF(L99="F-150",7,0)))))),0),0)+IF(AND(O99="FIRE TEX 5120",OR(E99="IN",E99="C",E99="Z",E99="L"),J99=3),VLOOKUP(_xlfn.MINIFS('FIRE TEX 5120'!$B$5:$B$40,'FIRE TEX 5120'!$B$5:$B$40,"&gt;="&amp;M99),'FIRE TEX 5120'!$B$5:$G$40,IF(L99="F-15",2,IF(L99="F-30",3,IF(L99="F-60",4,IF(L99="F-90",5,IF(L99="F-120",6,0))))),0),0)+IF(AND(O99="FIRE TEX 5120",OR(E99="IN",E99="C",E99="Z",E99="L"),J99=4),VLOOKUP(_xlfn.MINIFS('FIRE TEX 5120'!$H$4:$H$40,'FIRE TEX 5120'!$H$4:$H$40,"&gt;="&amp;M99),'FIRE TEX 5120'!$H$4:$M$40,IF(L99="F-15",2,IF(L99="F-30",3,IF(L99="F-60",4,IF(L99="F-90",5,IF(L99="F-120",6,0))))),0),0)+IF(AND(O99="FIRE TEX 5120",E99="CJ"),VLOOKUP(_xlfn.MINIFS('FIRE TEX 5120'!$O$5:$O$40,'FIRE TEX 5120'!$O$5:$O$40,"&gt;="&amp;M99),'FIRE TEX 5120'!$O$5:$T$40,IF(L99="F-15",2,IF(L99="F-30",3,IF(L99="F-60",4,IF(L99="F-90",5,IF(L99="F-120",6,0))))),0),0)</f>
        <v>0</v>
      </c>
      <c r="Q99" s="46">
        <f t="shared" si="10"/>
        <v>0</v>
      </c>
      <c r="R99" s="46">
        <f t="shared" si="12"/>
        <v>0</v>
      </c>
      <c r="S99" s="46" t="e">
        <f t="shared" si="11"/>
        <v>#DIV/0!</v>
      </c>
      <c r="T99" s="677">
        <f t="shared" si="13"/>
        <v>0</v>
      </c>
      <c r="U99" s="80">
        <f>(IF(O99="Stofire",(S99*#REF!),0))+(IF(O99="Fire Control",(S99*$U$2),0))+(IF(O99="Fire Tex",(S99*$U$3),0))+(IF(O99="WB7",(S99*#REF!),0)+(IF(O99="FX 2003",(S99*$U$5),0)))</f>
        <v>0</v>
      </c>
      <c r="V99" s="651">
        <f t="shared" si="14"/>
        <v>240</v>
      </c>
      <c r="W99" s="4"/>
    </row>
    <row r="100" spans="1:23" x14ac:dyDescent="0.25">
      <c r="A100" s="652" t="s">
        <v>406</v>
      </c>
      <c r="B100" s="653" t="s">
        <v>407</v>
      </c>
      <c r="C100" s="1" t="s">
        <v>408</v>
      </c>
      <c r="D100" s="118">
        <f>+CUBICACION!D99</f>
        <v>0</v>
      </c>
      <c r="E100" s="118">
        <f>+CUBICACION!F99</f>
        <v>0</v>
      </c>
      <c r="F100" s="118">
        <f>+CUBICACION!E99</f>
        <v>0</v>
      </c>
      <c r="G100" s="118">
        <v>12</v>
      </c>
      <c r="H100" s="118">
        <v>2</v>
      </c>
      <c r="I100" s="820">
        <v>26385</v>
      </c>
      <c r="J100" s="118">
        <f>+CUBICACION!J99</f>
        <v>3</v>
      </c>
      <c r="K100" s="118">
        <v>2874</v>
      </c>
      <c r="L100" s="118">
        <f>+CUBICACION!L99</f>
        <v>0</v>
      </c>
      <c r="M100" s="64">
        <f>+CUBICACION!M99</f>
        <v>0</v>
      </c>
      <c r="N100" s="824" t="str">
        <f>+CUBICACION!N99</f>
        <v/>
      </c>
      <c r="O100" s="675">
        <f>+CUBICACION!O99</f>
        <v>0</v>
      </c>
      <c r="P100" s="15">
        <f>IF(O100="Fire Control",VLOOKUP(_xlfn.MINIFS('FIRE CONTROL'!$C$4:$C$37,'FIRE CONTROL'!$C$4:$C$37,"&gt;="&amp;M100),'FIRE CONTROL'!$C$4:$G$37,IF(L100="F-15",2,IF(L100="F-30",3,IF(L100="F-60",4,IF(L100="F-90",5,0)))),0),0)+IF(AND(O100="FIRE TEX 5062",OR(E100="IN",E100="C",E100="Z",E100="L"),J100=3),VLOOKUP(_xlfn.MINIFS('FIRE TEX 5062'!$B$4:$B$34,'FIRE TEX 5062'!$B$4:$B$34,"&gt;="&amp;M100),'FIRE TEX 5062'!$B$4:$F$34,IF(L100="F-15",2,IF(L100="F-30",3,IF(L100="F-60",4,IF(L100="F-90",5,0)))),0),0)+IF(AND(O100="FIRE TEX 5062",OR(E100="IN",E100="C",E100="Z",E100="L"),J100=4),VLOOKUP(_xlfn.MINIFS('FIRE TEX 5062'!$G$4:$G$34,'FIRE TEX 5062'!$G$4:$G$34,"&gt;="&amp;M100),'FIRE TEX 5062'!$G$4:$K$34,IF(L100="F-15",2,IF(L100="F-30",3,IF(L100="F-60",4,IF(L100="F-90",5,0)))),0),0)+IF(AND(O100="FIRE TEX 5062",E100="CJ",J100=3),VLOOKUP(_xlfn.MINIFS('FIRE TEX 5062'!$L$4:$L$34,'FIRE TEX 5062'!$L$4:$L$34,"&gt;="&amp;M100),'FIRE TEX 5062'!$L$4:$P$34,IF(L100="F-15",2,IF(L100="F-30",3,IF(L100="F-60",4,IF(L100="F-90",5,0)))),0),0)+IF(AND(O100="FIRE TEX 5062",E100="CJ",J100=4),VLOOKUP(_xlfn.MINIFS('FIRE TEX 5062'!$Q$3:$Q$34,'FIRE TEX 5062'!$Q$3:$Q$34,"&gt;="&amp;M100),'FIRE TEX 5062'!$Q$3:$U$34,IF(L100="F-15",2,IF(L100="F-30",3,IF(L100="F-60",4,IF(L100="F-90",5,0)))),0),0)+IF(AND(O100="FIRE TEX 5090",OR(E100="IN",E100="C",E100="Z",E100="L"),J100=3),VLOOKUP(_xlfn.MINIFS('FIRE TEX 5090'!$B$5:$B$43,'FIRE TEX 5090'!$B$5:$B$43,"&gt;="&amp;M100),'FIRE TEX 5090'!$B$5:$H$43,IF(L100="F-15",2,IF(L100="F-30",3,IF(L100="F-60",4,IF(L100="F-90",5,IF(L100="F-120",6,IF(L100="F-150",7,0)))))),0),0)+IF(AND(O100="FIRE TEX 5090",OR(E100="IN",E100="C",E100="Z",E100="L"),J100=4),VLOOKUP(_xlfn.MINIFS('FIRE TEX 5090'!$J$5:$J$43,'FIRE TEX 5090'!$J$5:$J$43,"&gt;="&amp;M100),'FIRE TEX 5090'!$J$5:$P$43,IF(L100="F-15",2,IF(L100="F-30",3,IF(L100="F-60",4,IF(L100="F-90",5,IF(L100="F-120",6,IF(L100="F-150",7,0)))))),0),0)+IF(AND(O100="FIRE TEX 5090",E100="CJ",J100=3),VLOOKUP(_xlfn.MINIFS('FIRE TEX 5090'!$R$5:$R$30,'FIRE TEX 5090'!$R$5:$R$30,"&gt;="&amp;M100),'FIRE TEX 5090'!$R$5:$W$30,IF(L100="F-15",2,IF(L100="F-30",3,IF(L100="F-60",4,IF(L100="F-90",5,IF(L100="F-120",6,IF(L100="F-150",7,0)))))),0),0)+IF(AND(O100="FIRE TEX 5090",E100="CJ",J100=4),VLOOKUP(_xlfn.MINIFS('FIRE TEX 5090'!$Y$5:$Y$39,'FIRE TEX 5090'!$Y$5:$Y$39,"&gt;="&amp;M100),'FIRE TEX 5090'!$Y$5:$AD$39,IF(L100="F-15",2,IF(L100="F-30",3,IF(L100="F-60",4,IF(L100="F-90",5,IF(L100="F-120",6,IF(L100="F-150",7,0)))))),0),0)+IF(AND(O100="FIRE TEX 5120",OR(E100="IN",E100="C",E100="Z",E100="L"),J100=3),VLOOKUP(_xlfn.MINIFS('FIRE TEX 5120'!$B$5:$B$40,'FIRE TEX 5120'!$B$5:$B$40,"&gt;="&amp;M100),'FIRE TEX 5120'!$B$5:$G$40,IF(L100="F-15",2,IF(L100="F-30",3,IF(L100="F-60",4,IF(L100="F-90",5,IF(L100="F-120",6,0))))),0),0)+IF(AND(O100="FIRE TEX 5120",OR(E100="IN",E100="C",E100="Z",E100="L"),J100=4),VLOOKUP(_xlfn.MINIFS('FIRE TEX 5120'!$H$4:$H$40,'FIRE TEX 5120'!$H$4:$H$40,"&gt;="&amp;M100),'FIRE TEX 5120'!$H$4:$M$40,IF(L100="F-15",2,IF(L100="F-30",3,IF(L100="F-60",4,IF(L100="F-90",5,IF(L100="F-120",6,0))))),0),0)+IF(AND(O100="FIRE TEX 5120",E100="CJ"),VLOOKUP(_xlfn.MINIFS('FIRE TEX 5120'!$O$5:$O$40,'FIRE TEX 5120'!$O$5:$O$40,"&gt;="&amp;M100),'FIRE TEX 5120'!$O$5:$T$40,IF(L100="F-15",2,IF(L100="F-30",3,IF(L100="F-60",4,IF(L100="F-90",5,IF(L100="F-120",6,0))))),0),0)</f>
        <v>0</v>
      </c>
      <c r="Q100" s="46">
        <f t="shared" si="10"/>
        <v>0</v>
      </c>
      <c r="R100" s="46">
        <f t="shared" si="12"/>
        <v>0</v>
      </c>
      <c r="S100" s="46" t="e">
        <f t="shared" si="11"/>
        <v>#VALUE!</v>
      </c>
      <c r="T100" s="677">
        <f t="shared" si="13"/>
        <v>0</v>
      </c>
      <c r="U100" s="80">
        <f>(IF(O100="Stofire",(S100*#REF!),0))+(IF(O100="Fire Control",(S100*$U$2),0))+(IF(O100="Fire Tex",(S100*$U$3),0))+(IF(O100="WB7",(S100*#REF!),0)+(IF(O100="FX 2003",(S100*$U$5),0)))</f>
        <v>0</v>
      </c>
      <c r="V100" s="649">
        <f>_xlfn.CEILING.MATH(M100,10)</f>
        <v>0</v>
      </c>
      <c r="W100" s="4"/>
    </row>
    <row r="101" spans="1:23" x14ac:dyDescent="0.25">
      <c r="A101" s="652" t="s">
        <v>406</v>
      </c>
      <c r="B101" s="653" t="s">
        <v>407</v>
      </c>
      <c r="C101" s="1" t="s">
        <v>408</v>
      </c>
      <c r="D101" s="118">
        <f>+CUBICACION!D100</f>
        <v>0</v>
      </c>
      <c r="E101" s="118">
        <f>+CUBICACION!F100</f>
        <v>0</v>
      </c>
      <c r="F101" s="118">
        <f>+CUBICACION!E100</f>
        <v>0</v>
      </c>
      <c r="G101" s="118">
        <v>12</v>
      </c>
      <c r="H101" s="118">
        <v>2</v>
      </c>
      <c r="I101" s="820">
        <v>26385</v>
      </c>
      <c r="J101" s="118">
        <f>+CUBICACION!J100</f>
        <v>4</v>
      </c>
      <c r="K101" s="118">
        <v>2875</v>
      </c>
      <c r="L101" s="118">
        <f>+CUBICACION!L100</f>
        <v>0</v>
      </c>
      <c r="M101" s="64">
        <f>+CUBICACION!M100</f>
        <v>0</v>
      </c>
      <c r="N101" s="824" t="str">
        <f>+CUBICACION!N100</f>
        <v/>
      </c>
      <c r="O101" s="675">
        <f>+CUBICACION!O100</f>
        <v>0</v>
      </c>
      <c r="P101" s="15">
        <f>IF(O101="Fire Control",VLOOKUP(_xlfn.MINIFS('FIRE CONTROL'!$C$4:$C$37,'FIRE CONTROL'!$C$4:$C$37,"&gt;="&amp;M101),'FIRE CONTROL'!$C$4:$G$37,IF(L101="F-15",2,IF(L101="F-30",3,IF(L101="F-60",4,IF(L101="F-90",5,0)))),0),0)+IF(AND(O101="FIRE TEX 5062",OR(E101="IN",E101="C",E101="Z",E101="L"),J101=3),VLOOKUP(_xlfn.MINIFS('FIRE TEX 5062'!$B$4:$B$34,'FIRE TEX 5062'!$B$4:$B$34,"&gt;="&amp;M101),'FIRE TEX 5062'!$B$4:$F$34,IF(L101="F-15",2,IF(L101="F-30",3,IF(L101="F-60",4,IF(L101="F-90",5,0)))),0),0)+IF(AND(O101="FIRE TEX 5062",OR(E101="IN",E101="C",E101="Z",E101="L"),J101=4),VLOOKUP(_xlfn.MINIFS('FIRE TEX 5062'!$G$4:$G$34,'FIRE TEX 5062'!$G$4:$G$34,"&gt;="&amp;M101),'FIRE TEX 5062'!$G$4:$K$34,IF(L101="F-15",2,IF(L101="F-30",3,IF(L101="F-60",4,IF(L101="F-90",5,0)))),0),0)+IF(AND(O101="FIRE TEX 5062",E101="CJ",J101=3),VLOOKUP(_xlfn.MINIFS('FIRE TEX 5062'!$L$4:$L$34,'FIRE TEX 5062'!$L$4:$L$34,"&gt;="&amp;M101),'FIRE TEX 5062'!$L$4:$P$34,IF(L101="F-15",2,IF(L101="F-30",3,IF(L101="F-60",4,IF(L101="F-90",5,0)))),0),0)+IF(AND(O101="FIRE TEX 5062",E101="CJ",J101=4),VLOOKUP(_xlfn.MINIFS('FIRE TEX 5062'!$Q$3:$Q$34,'FIRE TEX 5062'!$Q$3:$Q$34,"&gt;="&amp;M101),'FIRE TEX 5062'!$Q$3:$U$34,IF(L101="F-15",2,IF(L101="F-30",3,IF(L101="F-60",4,IF(L101="F-90",5,0)))),0),0)+IF(AND(O101="FIRE TEX 5090",OR(E101="IN",E101="C",E101="Z",E101="L"),J101=3),VLOOKUP(_xlfn.MINIFS('FIRE TEX 5090'!$B$5:$B$43,'FIRE TEX 5090'!$B$5:$B$43,"&gt;="&amp;M101),'FIRE TEX 5090'!$B$5:$H$43,IF(L101="F-15",2,IF(L101="F-30",3,IF(L101="F-60",4,IF(L101="F-90",5,IF(L101="F-120",6,IF(L101="F-150",7,0)))))),0),0)+IF(AND(O101="FIRE TEX 5090",OR(E101="IN",E101="C",E101="Z",E101="L"),J101=4),VLOOKUP(_xlfn.MINIFS('FIRE TEX 5090'!$J$5:$J$43,'FIRE TEX 5090'!$J$5:$J$43,"&gt;="&amp;M101),'FIRE TEX 5090'!$J$5:$P$43,IF(L101="F-15",2,IF(L101="F-30",3,IF(L101="F-60",4,IF(L101="F-90",5,IF(L101="F-120",6,IF(L101="F-150",7,0)))))),0),0)+IF(AND(O101="FIRE TEX 5090",E101="CJ",J101=3),VLOOKUP(_xlfn.MINIFS('FIRE TEX 5090'!$R$5:$R$30,'FIRE TEX 5090'!$R$5:$R$30,"&gt;="&amp;M101),'FIRE TEX 5090'!$R$5:$W$30,IF(L101="F-15",2,IF(L101="F-30",3,IF(L101="F-60",4,IF(L101="F-90",5,IF(L101="F-120",6,IF(L101="F-150",7,0)))))),0),0)+IF(AND(O101="FIRE TEX 5090",E101="CJ",J101=4),VLOOKUP(_xlfn.MINIFS('FIRE TEX 5090'!$Y$5:$Y$39,'FIRE TEX 5090'!$Y$5:$Y$39,"&gt;="&amp;M101),'FIRE TEX 5090'!$Y$5:$AD$39,IF(L101="F-15",2,IF(L101="F-30",3,IF(L101="F-60",4,IF(L101="F-90",5,IF(L101="F-120",6,IF(L101="F-150",7,0)))))),0),0)+IF(AND(O101="FIRE TEX 5120",OR(E101="IN",E101="C",E101="Z",E101="L"),J101=3),VLOOKUP(_xlfn.MINIFS('FIRE TEX 5120'!$B$5:$B$40,'FIRE TEX 5120'!$B$5:$B$40,"&gt;="&amp;M101),'FIRE TEX 5120'!$B$5:$G$40,IF(L101="F-15",2,IF(L101="F-30",3,IF(L101="F-60",4,IF(L101="F-90",5,IF(L101="F-120",6,0))))),0),0)+IF(AND(O101="FIRE TEX 5120",OR(E101="IN",E101="C",E101="Z",E101="L"),J101=4),VLOOKUP(_xlfn.MINIFS('FIRE TEX 5120'!$H$4:$H$40,'FIRE TEX 5120'!$H$4:$H$40,"&gt;="&amp;M101),'FIRE TEX 5120'!$H$4:$M$40,IF(L101="F-15",2,IF(L101="F-30",3,IF(L101="F-60",4,IF(L101="F-90",5,IF(L101="F-120",6,0))))),0),0)+IF(AND(O101="FIRE TEX 5120",E101="CJ"),VLOOKUP(_xlfn.MINIFS('FIRE TEX 5120'!$O$5:$O$40,'FIRE TEX 5120'!$O$5:$O$40,"&gt;="&amp;M101),'FIRE TEX 5120'!$O$5:$T$40,IF(L101="F-15",2,IF(L101="F-30",3,IF(L101="F-60",4,IF(L101="F-90",5,IF(L101="F-120",6,0))))),0),0)</f>
        <v>0</v>
      </c>
      <c r="Q101" s="46">
        <f t="shared" si="10"/>
        <v>0</v>
      </c>
      <c r="R101" s="46">
        <f t="shared" si="12"/>
        <v>0</v>
      </c>
      <c r="S101" s="46" t="e">
        <f t="shared" si="11"/>
        <v>#VALUE!</v>
      </c>
      <c r="T101" s="677">
        <f t="shared" si="13"/>
        <v>0</v>
      </c>
      <c r="U101" s="80">
        <f>(IF(O101="Stofire",(S101*#REF!),0))+(IF(O101="Fire Control",(S101*$U$2),0))+(IF(O101="Fire Tex",(S101*$U$3),0))+(IF(O101="WB7",(S101*#REF!),0)+(IF(O101="FX 2003",(S101*$U$5),0)))</f>
        <v>0</v>
      </c>
      <c r="V101" s="651">
        <f>_xlfn.CEILING.MATH(M101,10)</f>
        <v>0</v>
      </c>
      <c r="W101" s="4"/>
    </row>
    <row r="102" spans="1:23" x14ac:dyDescent="0.25">
      <c r="A102" s="652" t="s">
        <v>409</v>
      </c>
      <c r="B102" s="653" t="s">
        <v>410</v>
      </c>
      <c r="C102" s="1" t="s">
        <v>408</v>
      </c>
      <c r="D102" s="118">
        <f>+CUBICACION!D101</f>
        <v>0</v>
      </c>
      <c r="E102" s="118">
        <f>+CUBICACION!F101</f>
        <v>0</v>
      </c>
      <c r="F102" s="118">
        <f>+CUBICACION!E101</f>
        <v>0</v>
      </c>
      <c r="G102" s="118">
        <v>12</v>
      </c>
      <c r="H102" s="118">
        <v>2</v>
      </c>
      <c r="I102" s="820">
        <v>26385</v>
      </c>
      <c r="J102" s="118">
        <f>+CUBICACION!J101</f>
        <v>4</v>
      </c>
      <c r="K102" s="118">
        <v>2876</v>
      </c>
      <c r="L102" s="118">
        <f>+CUBICACION!L101</f>
        <v>0</v>
      </c>
      <c r="M102" s="64">
        <f>+CUBICACION!M101</f>
        <v>0</v>
      </c>
      <c r="N102" s="824" t="str">
        <f>+CUBICACION!N101</f>
        <v/>
      </c>
      <c r="O102" s="675">
        <f>+CUBICACION!O101</f>
        <v>0</v>
      </c>
      <c r="P102" s="15">
        <f>IF(O102="Fire Control",VLOOKUP(_xlfn.MINIFS('FIRE CONTROL'!$C$4:$C$37,'FIRE CONTROL'!$C$4:$C$37,"&gt;="&amp;M102),'FIRE CONTROL'!$C$4:$G$37,IF(L102="F-15",2,IF(L102="F-30",3,IF(L102="F-60",4,IF(L102="F-90",5,0)))),0),0)+IF(AND(O102="FIRE TEX 5062",OR(E102="IN",E102="C",E102="Z",E102="L"),J102=3),VLOOKUP(_xlfn.MINIFS('FIRE TEX 5062'!$B$4:$B$34,'FIRE TEX 5062'!$B$4:$B$34,"&gt;="&amp;M102),'FIRE TEX 5062'!$B$4:$F$34,IF(L102="F-15",2,IF(L102="F-30",3,IF(L102="F-60",4,IF(L102="F-90",5,0)))),0),0)+IF(AND(O102="FIRE TEX 5062",OR(E102="IN",E102="C",E102="Z",E102="L"),J102=4),VLOOKUP(_xlfn.MINIFS('FIRE TEX 5062'!$G$4:$G$34,'FIRE TEX 5062'!$G$4:$G$34,"&gt;="&amp;M102),'FIRE TEX 5062'!$G$4:$K$34,IF(L102="F-15",2,IF(L102="F-30",3,IF(L102="F-60",4,IF(L102="F-90",5,0)))),0),0)+IF(AND(O102="FIRE TEX 5062",E102="CJ",J102=3),VLOOKUP(_xlfn.MINIFS('FIRE TEX 5062'!$L$4:$L$34,'FIRE TEX 5062'!$L$4:$L$34,"&gt;="&amp;M102),'FIRE TEX 5062'!$L$4:$P$34,IF(L102="F-15",2,IF(L102="F-30",3,IF(L102="F-60",4,IF(L102="F-90",5,0)))),0),0)+IF(AND(O102="FIRE TEX 5062",E102="CJ",J102=4),VLOOKUP(_xlfn.MINIFS('FIRE TEX 5062'!$Q$3:$Q$34,'FIRE TEX 5062'!$Q$3:$Q$34,"&gt;="&amp;M102),'FIRE TEX 5062'!$Q$3:$U$34,IF(L102="F-15",2,IF(L102="F-30",3,IF(L102="F-60",4,IF(L102="F-90",5,0)))),0),0)+IF(AND(O102="FIRE TEX 5090",OR(E102="IN",E102="C",E102="Z",E102="L"),J102=3),VLOOKUP(_xlfn.MINIFS('FIRE TEX 5090'!$B$5:$B$43,'FIRE TEX 5090'!$B$5:$B$43,"&gt;="&amp;M102),'FIRE TEX 5090'!$B$5:$H$43,IF(L102="F-15",2,IF(L102="F-30",3,IF(L102="F-60",4,IF(L102="F-90",5,IF(L102="F-120",6,IF(L102="F-150",7,0)))))),0),0)+IF(AND(O102="FIRE TEX 5090",OR(E102="IN",E102="C",E102="Z",E102="L"),J102=4),VLOOKUP(_xlfn.MINIFS('FIRE TEX 5090'!$J$5:$J$43,'FIRE TEX 5090'!$J$5:$J$43,"&gt;="&amp;M102),'FIRE TEX 5090'!$J$5:$P$43,IF(L102="F-15",2,IF(L102="F-30",3,IF(L102="F-60",4,IF(L102="F-90",5,IF(L102="F-120",6,IF(L102="F-150",7,0)))))),0),0)+IF(AND(O102="FIRE TEX 5090",E102="CJ",J102=3),VLOOKUP(_xlfn.MINIFS('FIRE TEX 5090'!$R$5:$R$30,'FIRE TEX 5090'!$R$5:$R$30,"&gt;="&amp;M102),'FIRE TEX 5090'!$R$5:$W$30,IF(L102="F-15",2,IF(L102="F-30",3,IF(L102="F-60",4,IF(L102="F-90",5,IF(L102="F-120",6,IF(L102="F-150",7,0)))))),0),0)+IF(AND(O102="FIRE TEX 5090",E102="CJ",J102=4),VLOOKUP(_xlfn.MINIFS('FIRE TEX 5090'!$Y$5:$Y$39,'FIRE TEX 5090'!$Y$5:$Y$39,"&gt;="&amp;M102),'FIRE TEX 5090'!$Y$5:$AD$39,IF(L102="F-15",2,IF(L102="F-30",3,IF(L102="F-60",4,IF(L102="F-90",5,IF(L102="F-120",6,IF(L102="F-150",7,0)))))),0),0)+IF(AND(O102="FIRE TEX 5120",OR(E102="IN",E102="C",E102="Z",E102="L"),J102=3),VLOOKUP(_xlfn.MINIFS('FIRE TEX 5120'!$B$5:$B$40,'FIRE TEX 5120'!$B$5:$B$40,"&gt;="&amp;M102),'FIRE TEX 5120'!$B$5:$G$40,IF(L102="F-15",2,IF(L102="F-30",3,IF(L102="F-60",4,IF(L102="F-90",5,IF(L102="F-120",6,0))))),0),0)+IF(AND(O102="FIRE TEX 5120",OR(E102="IN",E102="C",E102="Z",E102="L"),J102=4),VLOOKUP(_xlfn.MINIFS('FIRE TEX 5120'!$H$4:$H$40,'FIRE TEX 5120'!$H$4:$H$40,"&gt;="&amp;M102),'FIRE TEX 5120'!$H$4:$M$40,IF(L102="F-15",2,IF(L102="F-30",3,IF(L102="F-60",4,IF(L102="F-90",5,IF(L102="F-120",6,0))))),0),0)+IF(AND(O102="FIRE TEX 5120",E102="CJ"),VLOOKUP(_xlfn.MINIFS('FIRE TEX 5120'!$O$5:$O$40,'FIRE TEX 5120'!$O$5:$O$40,"&gt;="&amp;M102),'FIRE TEX 5120'!$O$5:$T$40,IF(L102="F-15",2,IF(L102="F-30",3,IF(L102="F-60",4,IF(L102="F-90",5,IF(L102="F-120",6,0))))),0),0)</f>
        <v>0</v>
      </c>
      <c r="Q102" s="46">
        <f t="shared" si="10"/>
        <v>0</v>
      </c>
      <c r="R102" s="46">
        <f t="shared" si="12"/>
        <v>0</v>
      </c>
      <c r="S102" s="46" t="e">
        <f t="shared" si="11"/>
        <v>#VALUE!</v>
      </c>
      <c r="T102" s="677">
        <f t="shared" si="13"/>
        <v>0</v>
      </c>
      <c r="U102" s="80">
        <f>(IF(O102="Stofire",(S102*#REF!),0))+(IF(O102="Fire Control",(S102*$U$2),0))+(IF(O102="Fire Tex",(S102*$U$3),0))+(IF(O102="WB7",(S102*#REF!),0)+(IF(O102="FX 2003",(S102*$U$5),0)))</f>
        <v>0</v>
      </c>
      <c r="V102" s="651">
        <f t="shared" ref="V102:V114" si="15">_xlfn.CEILING.MATH(M102,10)</f>
        <v>0</v>
      </c>
      <c r="W102" s="4"/>
    </row>
    <row r="103" spans="1:23" x14ac:dyDescent="0.25">
      <c r="A103" s="652" t="s">
        <v>414</v>
      </c>
      <c r="B103" s="653" t="s">
        <v>415</v>
      </c>
      <c r="C103" s="1" t="s">
        <v>408</v>
      </c>
      <c r="D103" s="118">
        <f>+CUBICACION!D102</f>
        <v>0</v>
      </c>
      <c r="E103" s="118">
        <f>+CUBICACION!F102</f>
        <v>0</v>
      </c>
      <c r="F103" s="118">
        <f>+CUBICACION!E102</f>
        <v>0</v>
      </c>
      <c r="G103" s="118">
        <v>12</v>
      </c>
      <c r="H103" s="118">
        <v>2</v>
      </c>
      <c r="I103" s="820">
        <v>26385</v>
      </c>
      <c r="J103" s="118">
        <f>+CUBICACION!J102</f>
        <v>4</v>
      </c>
      <c r="K103" s="118">
        <v>2877</v>
      </c>
      <c r="L103" s="118">
        <f>+CUBICACION!L102</f>
        <v>0</v>
      </c>
      <c r="M103" s="64">
        <f>+CUBICACION!M102</f>
        <v>0</v>
      </c>
      <c r="N103" s="824" t="str">
        <f>+CUBICACION!N102</f>
        <v/>
      </c>
      <c r="O103" s="675">
        <f>+CUBICACION!O102</f>
        <v>0</v>
      </c>
      <c r="P103" s="15">
        <f>IF(O103="Fire Control",VLOOKUP(_xlfn.MINIFS('FIRE CONTROL'!$C$4:$C$37,'FIRE CONTROL'!$C$4:$C$37,"&gt;="&amp;M103),'FIRE CONTROL'!$C$4:$G$37,IF(L103="F-15",2,IF(L103="F-30",3,IF(L103="F-60",4,IF(L103="F-90",5,0)))),0),0)+IF(AND(O103="FIRE TEX 5062",OR(E103="IN",E103="C",E103="Z",E103="L"),J103=3),VLOOKUP(_xlfn.MINIFS('FIRE TEX 5062'!$B$4:$B$34,'FIRE TEX 5062'!$B$4:$B$34,"&gt;="&amp;M103),'FIRE TEX 5062'!$B$4:$F$34,IF(L103="F-15",2,IF(L103="F-30",3,IF(L103="F-60",4,IF(L103="F-90",5,0)))),0),0)+IF(AND(O103="FIRE TEX 5062",OR(E103="IN",E103="C",E103="Z",E103="L"),J103=4),VLOOKUP(_xlfn.MINIFS('FIRE TEX 5062'!$G$4:$G$34,'FIRE TEX 5062'!$G$4:$G$34,"&gt;="&amp;M103),'FIRE TEX 5062'!$G$4:$K$34,IF(L103="F-15",2,IF(L103="F-30",3,IF(L103="F-60",4,IF(L103="F-90",5,0)))),0),0)+IF(AND(O103="FIRE TEX 5062",E103="CJ",J103=3),VLOOKUP(_xlfn.MINIFS('FIRE TEX 5062'!$L$4:$L$34,'FIRE TEX 5062'!$L$4:$L$34,"&gt;="&amp;M103),'FIRE TEX 5062'!$L$4:$P$34,IF(L103="F-15",2,IF(L103="F-30",3,IF(L103="F-60",4,IF(L103="F-90",5,0)))),0),0)+IF(AND(O103="FIRE TEX 5062",E103="CJ",J103=4),VLOOKUP(_xlfn.MINIFS('FIRE TEX 5062'!$Q$3:$Q$34,'FIRE TEX 5062'!$Q$3:$Q$34,"&gt;="&amp;M103),'FIRE TEX 5062'!$Q$3:$U$34,IF(L103="F-15",2,IF(L103="F-30",3,IF(L103="F-60",4,IF(L103="F-90",5,0)))),0),0)+IF(AND(O103="FIRE TEX 5090",OR(E103="IN",E103="C",E103="Z",E103="L"),J103=3),VLOOKUP(_xlfn.MINIFS('FIRE TEX 5090'!$B$5:$B$43,'FIRE TEX 5090'!$B$5:$B$43,"&gt;="&amp;M103),'FIRE TEX 5090'!$B$5:$H$43,IF(L103="F-15",2,IF(L103="F-30",3,IF(L103="F-60",4,IF(L103="F-90",5,IF(L103="F-120",6,IF(L103="F-150",7,0)))))),0),0)+IF(AND(O103="FIRE TEX 5090",OR(E103="IN",E103="C",E103="Z",E103="L"),J103=4),VLOOKUP(_xlfn.MINIFS('FIRE TEX 5090'!$J$5:$J$43,'FIRE TEX 5090'!$J$5:$J$43,"&gt;="&amp;M103),'FIRE TEX 5090'!$J$5:$P$43,IF(L103="F-15",2,IF(L103="F-30",3,IF(L103="F-60",4,IF(L103="F-90",5,IF(L103="F-120",6,IF(L103="F-150",7,0)))))),0),0)+IF(AND(O103="FIRE TEX 5090",E103="CJ",J103=3),VLOOKUP(_xlfn.MINIFS('FIRE TEX 5090'!$R$5:$R$30,'FIRE TEX 5090'!$R$5:$R$30,"&gt;="&amp;M103),'FIRE TEX 5090'!$R$5:$W$30,IF(L103="F-15",2,IF(L103="F-30",3,IF(L103="F-60",4,IF(L103="F-90",5,IF(L103="F-120",6,IF(L103="F-150",7,0)))))),0),0)+IF(AND(O103="FIRE TEX 5090",E103="CJ",J103=4),VLOOKUP(_xlfn.MINIFS('FIRE TEX 5090'!$Y$5:$Y$39,'FIRE TEX 5090'!$Y$5:$Y$39,"&gt;="&amp;M103),'FIRE TEX 5090'!$Y$5:$AD$39,IF(L103="F-15",2,IF(L103="F-30",3,IF(L103="F-60",4,IF(L103="F-90",5,IF(L103="F-120",6,IF(L103="F-150",7,0)))))),0),0)+IF(AND(O103="FIRE TEX 5120",OR(E103="IN",E103="C",E103="Z",E103="L"),J103=3),VLOOKUP(_xlfn.MINIFS('FIRE TEX 5120'!$B$5:$B$40,'FIRE TEX 5120'!$B$5:$B$40,"&gt;="&amp;M103),'FIRE TEX 5120'!$B$5:$G$40,IF(L103="F-15",2,IF(L103="F-30",3,IF(L103="F-60",4,IF(L103="F-90",5,IF(L103="F-120",6,0))))),0),0)+IF(AND(O103="FIRE TEX 5120",OR(E103="IN",E103="C",E103="Z",E103="L"),J103=4),VLOOKUP(_xlfn.MINIFS('FIRE TEX 5120'!$H$4:$H$40,'FIRE TEX 5120'!$H$4:$H$40,"&gt;="&amp;M103),'FIRE TEX 5120'!$H$4:$M$40,IF(L103="F-15",2,IF(L103="F-30",3,IF(L103="F-60",4,IF(L103="F-90",5,IF(L103="F-120",6,0))))),0),0)+IF(AND(O103="FIRE TEX 5120",E103="CJ"),VLOOKUP(_xlfn.MINIFS('FIRE TEX 5120'!$O$5:$O$40,'FIRE TEX 5120'!$O$5:$O$40,"&gt;="&amp;M103),'FIRE TEX 5120'!$O$5:$T$40,IF(L103="F-15",2,IF(L103="F-30",3,IF(L103="F-60",4,IF(L103="F-90",5,IF(L103="F-120",6,0))))),0),0)</f>
        <v>0</v>
      </c>
      <c r="Q103" s="46">
        <f t="shared" si="10"/>
        <v>0</v>
      </c>
      <c r="R103" s="46">
        <f t="shared" si="12"/>
        <v>0</v>
      </c>
      <c r="S103" s="46" t="e">
        <f t="shared" si="11"/>
        <v>#VALUE!</v>
      </c>
      <c r="T103" s="677">
        <f t="shared" si="13"/>
        <v>0</v>
      </c>
      <c r="U103" s="80">
        <f>(IF(O103="Stofire",(S103*#REF!),0))+(IF(O103="Fire Control",(S103*$U$2),0))+(IF(O103="Fire Tex",(S103*$U$3),0))+(IF(O103="WB7",(S103*#REF!),0)+(IF(O103="FX 2003",(S103*$U$5),0)))</f>
        <v>0</v>
      </c>
      <c r="V103" s="651">
        <f t="shared" si="15"/>
        <v>0</v>
      </c>
      <c r="W103" s="4"/>
    </row>
    <row r="104" spans="1:23" x14ac:dyDescent="0.25">
      <c r="A104" s="652" t="s">
        <v>417</v>
      </c>
      <c r="B104" s="653" t="s">
        <v>415</v>
      </c>
      <c r="C104" s="1" t="s">
        <v>408</v>
      </c>
      <c r="D104" s="118">
        <f>+CUBICACION!D103</f>
        <v>0</v>
      </c>
      <c r="E104" s="118">
        <f>+CUBICACION!F103</f>
        <v>0</v>
      </c>
      <c r="F104" s="118">
        <f>+CUBICACION!E103</f>
        <v>0</v>
      </c>
      <c r="G104" s="118">
        <v>12</v>
      </c>
      <c r="H104" s="118">
        <v>2</v>
      </c>
      <c r="I104" s="820">
        <v>26385</v>
      </c>
      <c r="J104" s="118">
        <f>+CUBICACION!J103</f>
        <v>4</v>
      </c>
      <c r="K104" s="118">
        <v>2878</v>
      </c>
      <c r="L104" s="118">
        <f>+CUBICACION!L103</f>
        <v>0</v>
      </c>
      <c r="M104" s="64">
        <f>+CUBICACION!M103</f>
        <v>0</v>
      </c>
      <c r="N104" s="824" t="str">
        <f>+CUBICACION!N103</f>
        <v/>
      </c>
      <c r="O104" s="675">
        <f>+CUBICACION!O103</f>
        <v>0</v>
      </c>
      <c r="P104" s="15">
        <f>IF(O104="Fire Control",VLOOKUP(_xlfn.MINIFS('FIRE CONTROL'!$C$4:$C$37,'FIRE CONTROL'!$C$4:$C$37,"&gt;="&amp;M104),'FIRE CONTROL'!$C$4:$G$37,IF(L104="F-15",2,IF(L104="F-30",3,IF(L104="F-60",4,IF(L104="F-90",5,0)))),0),0)+IF(AND(O104="FIRE TEX 5062",OR(E104="IN",E104="C",E104="Z",E104="L"),J104=3),VLOOKUP(_xlfn.MINIFS('FIRE TEX 5062'!$B$4:$B$34,'FIRE TEX 5062'!$B$4:$B$34,"&gt;="&amp;M104),'FIRE TEX 5062'!$B$4:$F$34,IF(L104="F-15",2,IF(L104="F-30",3,IF(L104="F-60",4,IF(L104="F-90",5,0)))),0),0)+IF(AND(O104="FIRE TEX 5062",OR(E104="IN",E104="C",E104="Z",E104="L"),J104=4),VLOOKUP(_xlfn.MINIFS('FIRE TEX 5062'!$G$4:$G$34,'FIRE TEX 5062'!$G$4:$G$34,"&gt;="&amp;M104),'FIRE TEX 5062'!$G$4:$K$34,IF(L104="F-15",2,IF(L104="F-30",3,IF(L104="F-60",4,IF(L104="F-90",5,0)))),0),0)+IF(AND(O104="FIRE TEX 5062",E104="CJ",J104=3),VLOOKUP(_xlfn.MINIFS('FIRE TEX 5062'!$L$4:$L$34,'FIRE TEX 5062'!$L$4:$L$34,"&gt;="&amp;M104),'FIRE TEX 5062'!$L$4:$P$34,IF(L104="F-15",2,IF(L104="F-30",3,IF(L104="F-60",4,IF(L104="F-90",5,0)))),0),0)+IF(AND(O104="FIRE TEX 5062",E104="CJ",J104=4),VLOOKUP(_xlfn.MINIFS('FIRE TEX 5062'!$Q$3:$Q$34,'FIRE TEX 5062'!$Q$3:$Q$34,"&gt;="&amp;M104),'FIRE TEX 5062'!$Q$3:$U$34,IF(L104="F-15",2,IF(L104="F-30",3,IF(L104="F-60",4,IF(L104="F-90",5,0)))),0),0)+IF(AND(O104="FIRE TEX 5090",OR(E104="IN",E104="C",E104="Z",E104="L"),J104=3),VLOOKUP(_xlfn.MINIFS('FIRE TEX 5090'!$B$5:$B$43,'FIRE TEX 5090'!$B$5:$B$43,"&gt;="&amp;M104),'FIRE TEX 5090'!$B$5:$H$43,IF(L104="F-15",2,IF(L104="F-30",3,IF(L104="F-60",4,IF(L104="F-90",5,IF(L104="F-120",6,IF(L104="F-150",7,0)))))),0),0)+IF(AND(O104="FIRE TEX 5090",OR(E104="IN",E104="C",E104="Z",E104="L"),J104=4),VLOOKUP(_xlfn.MINIFS('FIRE TEX 5090'!$J$5:$J$43,'FIRE TEX 5090'!$J$5:$J$43,"&gt;="&amp;M104),'FIRE TEX 5090'!$J$5:$P$43,IF(L104="F-15",2,IF(L104="F-30",3,IF(L104="F-60",4,IF(L104="F-90",5,IF(L104="F-120",6,IF(L104="F-150",7,0)))))),0),0)+IF(AND(O104="FIRE TEX 5090",E104="CJ",J104=3),VLOOKUP(_xlfn.MINIFS('FIRE TEX 5090'!$R$5:$R$30,'FIRE TEX 5090'!$R$5:$R$30,"&gt;="&amp;M104),'FIRE TEX 5090'!$R$5:$W$30,IF(L104="F-15",2,IF(L104="F-30",3,IF(L104="F-60",4,IF(L104="F-90",5,IF(L104="F-120",6,IF(L104="F-150",7,0)))))),0),0)+IF(AND(O104="FIRE TEX 5090",E104="CJ",J104=4),VLOOKUP(_xlfn.MINIFS('FIRE TEX 5090'!$Y$5:$Y$39,'FIRE TEX 5090'!$Y$5:$Y$39,"&gt;="&amp;M104),'FIRE TEX 5090'!$Y$5:$AD$39,IF(L104="F-15",2,IF(L104="F-30",3,IF(L104="F-60",4,IF(L104="F-90",5,IF(L104="F-120",6,IF(L104="F-150",7,0)))))),0),0)+IF(AND(O104="FIRE TEX 5120",OR(E104="IN",E104="C",E104="Z",E104="L"),J104=3),VLOOKUP(_xlfn.MINIFS('FIRE TEX 5120'!$B$5:$B$40,'FIRE TEX 5120'!$B$5:$B$40,"&gt;="&amp;M104),'FIRE TEX 5120'!$B$5:$G$40,IF(L104="F-15",2,IF(L104="F-30",3,IF(L104="F-60",4,IF(L104="F-90",5,IF(L104="F-120",6,0))))),0),0)+IF(AND(O104="FIRE TEX 5120",OR(E104="IN",E104="C",E104="Z",E104="L"),J104=4),VLOOKUP(_xlfn.MINIFS('FIRE TEX 5120'!$H$4:$H$40,'FIRE TEX 5120'!$H$4:$H$40,"&gt;="&amp;M104),'FIRE TEX 5120'!$H$4:$M$40,IF(L104="F-15",2,IF(L104="F-30",3,IF(L104="F-60",4,IF(L104="F-90",5,IF(L104="F-120",6,0))))),0),0)+IF(AND(O104="FIRE TEX 5120",E104="CJ"),VLOOKUP(_xlfn.MINIFS('FIRE TEX 5120'!$O$5:$O$40,'FIRE TEX 5120'!$O$5:$O$40,"&gt;="&amp;M104),'FIRE TEX 5120'!$O$5:$T$40,IF(L104="F-15",2,IF(L104="F-30",3,IF(L104="F-60",4,IF(L104="F-90",5,IF(L104="F-120",6,0))))),0),0)</f>
        <v>0</v>
      </c>
      <c r="Q104" s="46">
        <f t="shared" si="10"/>
        <v>0</v>
      </c>
      <c r="R104" s="46">
        <f t="shared" si="12"/>
        <v>0</v>
      </c>
      <c r="S104" s="46" t="e">
        <f t="shared" si="11"/>
        <v>#VALUE!</v>
      </c>
      <c r="T104" s="677">
        <f t="shared" si="13"/>
        <v>0</v>
      </c>
      <c r="U104" s="80">
        <f>(IF(O104="Stofire",(S104*#REF!),0))+(IF(O104="Fire Control",(S104*$U$2),0))+(IF(O104="Fire Tex",(S104*$U$3),0))+(IF(O104="WB7",(S104*#REF!),0)+(IF(O104="FX 2003",(S104*$U$5),0)))</f>
        <v>0</v>
      </c>
      <c r="V104" s="651">
        <f t="shared" si="15"/>
        <v>0</v>
      </c>
      <c r="W104" s="4"/>
    </row>
    <row r="105" spans="1:23" x14ac:dyDescent="0.25">
      <c r="A105" s="652" t="s">
        <v>419</v>
      </c>
      <c r="B105" s="653" t="s">
        <v>415</v>
      </c>
      <c r="C105" s="1" t="s">
        <v>408</v>
      </c>
      <c r="D105" s="118">
        <f>+CUBICACION!D104</f>
        <v>0</v>
      </c>
      <c r="E105" s="118">
        <f>+CUBICACION!F104</f>
        <v>0</v>
      </c>
      <c r="F105" s="118">
        <f>+CUBICACION!E104</f>
        <v>0</v>
      </c>
      <c r="G105" s="118">
        <v>12</v>
      </c>
      <c r="H105" s="118">
        <v>2</v>
      </c>
      <c r="I105" s="820">
        <v>26385</v>
      </c>
      <c r="J105" s="118">
        <f>+CUBICACION!J104</f>
        <v>4</v>
      </c>
      <c r="K105" s="118">
        <v>2879</v>
      </c>
      <c r="L105" s="118">
        <f>+CUBICACION!L104</f>
        <v>0</v>
      </c>
      <c r="M105" s="64">
        <f>+CUBICACION!M104</f>
        <v>0</v>
      </c>
      <c r="N105" s="824" t="str">
        <f>+CUBICACION!N104</f>
        <v/>
      </c>
      <c r="O105" s="675">
        <f>+CUBICACION!O104</f>
        <v>0</v>
      </c>
      <c r="P105" s="15">
        <f>IF(O105="Fire Control",VLOOKUP(_xlfn.MINIFS('FIRE CONTROL'!$C$4:$C$37,'FIRE CONTROL'!$C$4:$C$37,"&gt;="&amp;M105),'FIRE CONTROL'!$C$4:$G$37,IF(L105="F-15",2,IF(L105="F-30",3,IF(L105="F-60",4,IF(L105="F-90",5,0)))),0),0)+IF(AND(O105="FIRE TEX 5062",OR(E105="IN",E105="C",E105="Z",E105="L"),J105=3),VLOOKUP(_xlfn.MINIFS('FIRE TEX 5062'!$B$4:$B$34,'FIRE TEX 5062'!$B$4:$B$34,"&gt;="&amp;M105),'FIRE TEX 5062'!$B$4:$F$34,IF(L105="F-15",2,IF(L105="F-30",3,IF(L105="F-60",4,IF(L105="F-90",5,0)))),0),0)+IF(AND(O105="FIRE TEX 5062",OR(E105="IN",E105="C",E105="Z",E105="L"),J105=4),VLOOKUP(_xlfn.MINIFS('FIRE TEX 5062'!$G$4:$G$34,'FIRE TEX 5062'!$G$4:$G$34,"&gt;="&amp;M105),'FIRE TEX 5062'!$G$4:$K$34,IF(L105="F-15",2,IF(L105="F-30",3,IF(L105="F-60",4,IF(L105="F-90",5,0)))),0),0)+IF(AND(O105="FIRE TEX 5062",E105="CJ",J105=3),VLOOKUP(_xlfn.MINIFS('FIRE TEX 5062'!$L$4:$L$34,'FIRE TEX 5062'!$L$4:$L$34,"&gt;="&amp;M105),'FIRE TEX 5062'!$L$4:$P$34,IF(L105="F-15",2,IF(L105="F-30",3,IF(L105="F-60",4,IF(L105="F-90",5,0)))),0),0)+IF(AND(O105="FIRE TEX 5062",E105="CJ",J105=4),VLOOKUP(_xlfn.MINIFS('FIRE TEX 5062'!$Q$3:$Q$34,'FIRE TEX 5062'!$Q$3:$Q$34,"&gt;="&amp;M105),'FIRE TEX 5062'!$Q$3:$U$34,IF(L105="F-15",2,IF(L105="F-30",3,IF(L105="F-60",4,IF(L105="F-90",5,0)))),0),0)+IF(AND(O105="FIRE TEX 5090",OR(E105="IN",E105="C",E105="Z",E105="L"),J105=3),VLOOKUP(_xlfn.MINIFS('FIRE TEX 5090'!$B$5:$B$43,'FIRE TEX 5090'!$B$5:$B$43,"&gt;="&amp;M105),'FIRE TEX 5090'!$B$5:$H$43,IF(L105="F-15",2,IF(L105="F-30",3,IF(L105="F-60",4,IF(L105="F-90",5,IF(L105="F-120",6,IF(L105="F-150",7,0)))))),0),0)+IF(AND(O105="FIRE TEX 5090",OR(E105="IN",E105="C",E105="Z",E105="L"),J105=4),VLOOKUP(_xlfn.MINIFS('FIRE TEX 5090'!$J$5:$J$43,'FIRE TEX 5090'!$J$5:$J$43,"&gt;="&amp;M105),'FIRE TEX 5090'!$J$5:$P$43,IF(L105="F-15",2,IF(L105="F-30",3,IF(L105="F-60",4,IF(L105="F-90",5,IF(L105="F-120",6,IF(L105="F-150",7,0)))))),0),0)+IF(AND(O105="FIRE TEX 5090",E105="CJ",J105=3),VLOOKUP(_xlfn.MINIFS('FIRE TEX 5090'!$R$5:$R$30,'FIRE TEX 5090'!$R$5:$R$30,"&gt;="&amp;M105),'FIRE TEX 5090'!$R$5:$W$30,IF(L105="F-15",2,IF(L105="F-30",3,IF(L105="F-60",4,IF(L105="F-90",5,IF(L105="F-120",6,IF(L105="F-150",7,0)))))),0),0)+IF(AND(O105="FIRE TEX 5090",E105="CJ",J105=4),VLOOKUP(_xlfn.MINIFS('FIRE TEX 5090'!$Y$5:$Y$39,'FIRE TEX 5090'!$Y$5:$Y$39,"&gt;="&amp;M105),'FIRE TEX 5090'!$Y$5:$AD$39,IF(L105="F-15",2,IF(L105="F-30",3,IF(L105="F-60",4,IF(L105="F-90",5,IF(L105="F-120",6,IF(L105="F-150",7,0)))))),0),0)+IF(AND(O105="FIRE TEX 5120",OR(E105="IN",E105="C",E105="Z",E105="L"),J105=3),VLOOKUP(_xlfn.MINIFS('FIRE TEX 5120'!$B$5:$B$40,'FIRE TEX 5120'!$B$5:$B$40,"&gt;="&amp;M105),'FIRE TEX 5120'!$B$5:$G$40,IF(L105="F-15",2,IF(L105="F-30",3,IF(L105="F-60",4,IF(L105="F-90",5,IF(L105="F-120",6,0))))),0),0)+IF(AND(O105="FIRE TEX 5120",OR(E105="IN",E105="C",E105="Z",E105="L"),J105=4),VLOOKUP(_xlfn.MINIFS('FIRE TEX 5120'!$H$4:$H$40,'FIRE TEX 5120'!$H$4:$H$40,"&gt;="&amp;M105),'FIRE TEX 5120'!$H$4:$M$40,IF(L105="F-15",2,IF(L105="F-30",3,IF(L105="F-60",4,IF(L105="F-90",5,IF(L105="F-120",6,0))))),0),0)+IF(AND(O105="FIRE TEX 5120",E105="CJ"),VLOOKUP(_xlfn.MINIFS('FIRE TEX 5120'!$O$5:$O$40,'FIRE TEX 5120'!$O$5:$O$40,"&gt;="&amp;M105),'FIRE TEX 5120'!$O$5:$T$40,IF(L105="F-15",2,IF(L105="F-30",3,IF(L105="F-60",4,IF(L105="F-90",5,IF(L105="F-120",6,0))))),0),0)</f>
        <v>0</v>
      </c>
      <c r="Q105" s="46">
        <f t="shared" si="10"/>
        <v>0</v>
      </c>
      <c r="R105" s="46">
        <f t="shared" si="12"/>
        <v>0</v>
      </c>
      <c r="S105" s="46" t="e">
        <f t="shared" si="11"/>
        <v>#VALUE!</v>
      </c>
      <c r="T105" s="677">
        <f t="shared" si="13"/>
        <v>0</v>
      </c>
      <c r="U105" s="80">
        <f>(IF(O105="Stofire",(S105*#REF!),0))+(IF(O105="Fire Control",(S105*$U$2),0))+(IF(O105="Fire Tex",(S105*$U$3),0))+(IF(O105="WB7",(S105*#REF!),0)+(IF(O105="FX 2003",(S105*$U$5),0)))</f>
        <v>0</v>
      </c>
      <c r="V105" s="651">
        <f t="shared" si="15"/>
        <v>0</v>
      </c>
      <c r="W105" s="4"/>
    </row>
    <row r="106" spans="1:23" x14ac:dyDescent="0.25">
      <c r="A106" s="652" t="s">
        <v>421</v>
      </c>
      <c r="B106" s="653" t="s">
        <v>422</v>
      </c>
      <c r="C106" s="1" t="s">
        <v>423</v>
      </c>
      <c r="D106" s="118">
        <f>+CUBICACION!D105</f>
        <v>0</v>
      </c>
      <c r="E106" s="118">
        <f>+CUBICACION!F105</f>
        <v>0</v>
      </c>
      <c r="F106" s="118">
        <f>+CUBICACION!E105</f>
        <v>0</v>
      </c>
      <c r="G106" s="118">
        <v>12</v>
      </c>
      <c r="H106" s="118">
        <v>2</v>
      </c>
      <c r="I106" s="820">
        <v>26385</v>
      </c>
      <c r="J106" s="118">
        <f>+CUBICACION!J105</f>
        <v>4</v>
      </c>
      <c r="K106" s="118">
        <v>2880</v>
      </c>
      <c r="L106" s="118">
        <f>+CUBICACION!L105</f>
        <v>0</v>
      </c>
      <c r="M106" s="64">
        <f>+CUBICACION!M105</f>
        <v>0</v>
      </c>
      <c r="N106" s="824" t="str">
        <f>+CUBICACION!N105</f>
        <v/>
      </c>
      <c r="O106" s="675">
        <f>+CUBICACION!O105</f>
        <v>0</v>
      </c>
      <c r="P106" s="15">
        <v>7795</v>
      </c>
      <c r="Q106" s="46">
        <f t="shared" si="10"/>
        <v>306.88915000000003</v>
      </c>
      <c r="R106" s="46">
        <f t="shared" si="12"/>
        <v>0</v>
      </c>
      <c r="S106" s="46" t="e">
        <f t="shared" si="11"/>
        <v>#VALUE!</v>
      </c>
      <c r="T106" s="677">
        <f t="shared" si="13"/>
        <v>0</v>
      </c>
      <c r="U106" s="80">
        <f>(IF(O106="Stofire",(S106*#REF!),0))+(IF(O106="Fire Control",(S106*$U$2),0))+(IF(O106="Fire Tex",(S106*$U$3),0))+(IF(O106="WB7",(S106*#REF!),0)+(IF(O106="FX 2003",(S106*$U$5),0)))</f>
        <v>0</v>
      </c>
      <c r="V106" s="651">
        <f t="shared" si="15"/>
        <v>0</v>
      </c>
      <c r="W106" s="4"/>
    </row>
    <row r="107" spans="1:23" x14ac:dyDescent="0.25">
      <c r="A107" s="652" t="s">
        <v>425</v>
      </c>
      <c r="B107" s="653" t="s">
        <v>426</v>
      </c>
      <c r="C107" s="1" t="s">
        <v>427</v>
      </c>
      <c r="D107" s="118">
        <f>+CUBICACION!D106</f>
        <v>0</v>
      </c>
      <c r="E107" s="118">
        <f>+CUBICACION!F106</f>
        <v>0</v>
      </c>
      <c r="F107" s="118">
        <f>+CUBICACION!E106</f>
        <v>0</v>
      </c>
      <c r="G107" s="118">
        <v>12</v>
      </c>
      <c r="H107" s="118">
        <v>2</v>
      </c>
      <c r="I107" s="820">
        <v>26385</v>
      </c>
      <c r="J107" s="118">
        <f>+CUBICACION!J106</f>
        <v>4</v>
      </c>
      <c r="K107" s="118">
        <v>2881</v>
      </c>
      <c r="L107" s="118">
        <f>+CUBICACION!L106</f>
        <v>0</v>
      </c>
      <c r="M107" s="64">
        <f>+CUBICACION!M106</f>
        <v>0</v>
      </c>
      <c r="N107" s="824" t="str">
        <f>+CUBICACION!N106</f>
        <v/>
      </c>
      <c r="O107" s="675">
        <f>+CUBICACION!O106</f>
        <v>0</v>
      </c>
      <c r="P107" s="15">
        <v>7795</v>
      </c>
      <c r="Q107" s="46">
        <f t="shared" si="10"/>
        <v>306.88915000000003</v>
      </c>
      <c r="R107" s="46">
        <f t="shared" si="12"/>
        <v>0</v>
      </c>
      <c r="S107" s="46" t="e">
        <f t="shared" si="11"/>
        <v>#VALUE!</v>
      </c>
      <c r="T107" s="677">
        <f t="shared" si="13"/>
        <v>0</v>
      </c>
      <c r="U107" s="80">
        <f>(IF(O107="Stofire",(S107*#REF!),0))+(IF(O107="Fire Control",(S107*$U$2),0))+(IF(O107="Fire Tex",(S107*$U$3),0))+(IF(O107="WB7",(S107*#REF!),0)+(IF(O107="FX 2003",(S107*$U$5),0)))</f>
        <v>0</v>
      </c>
      <c r="V107" s="651">
        <f t="shared" si="15"/>
        <v>0</v>
      </c>
      <c r="W107" s="4"/>
    </row>
    <row r="108" spans="1:23" x14ac:dyDescent="0.25">
      <c r="A108" s="652" t="s">
        <v>429</v>
      </c>
      <c r="B108" s="653" t="s">
        <v>430</v>
      </c>
      <c r="C108" s="1" t="s">
        <v>431</v>
      </c>
      <c r="D108" s="118">
        <f>+CUBICACION!D107</f>
        <v>0</v>
      </c>
      <c r="E108" s="118">
        <f>+CUBICACION!F107</f>
        <v>0</v>
      </c>
      <c r="F108" s="118">
        <f>+CUBICACION!E107</f>
        <v>0</v>
      </c>
      <c r="G108" s="118">
        <v>12</v>
      </c>
      <c r="H108" s="118">
        <v>2</v>
      </c>
      <c r="I108" s="820">
        <v>26385</v>
      </c>
      <c r="J108" s="118">
        <f>+CUBICACION!J107</f>
        <v>4</v>
      </c>
      <c r="K108" s="118">
        <v>2882</v>
      </c>
      <c r="L108" s="118">
        <f>+CUBICACION!L107</f>
        <v>0</v>
      </c>
      <c r="M108" s="64">
        <f>+CUBICACION!M107</f>
        <v>0</v>
      </c>
      <c r="N108" s="824" t="str">
        <f>+CUBICACION!N107</f>
        <v/>
      </c>
      <c r="O108" s="675">
        <f>+CUBICACION!O107</f>
        <v>0</v>
      </c>
      <c r="P108" s="15">
        <f>IF(O108="Fire Control",VLOOKUP(_xlfn.MINIFS('FIRE CONTROL'!$C$4:$C$37,'FIRE CONTROL'!$C$4:$C$37,"&gt;="&amp;M108),'FIRE CONTROL'!$C$4:$G$37,IF(L108="F-15",2,IF(L108="F-30",3,IF(L108="F-60",4,IF(L108="F-90",5,0)))),0),0)+IF(AND(O108="FIRE TEX 5062",OR(E108="IN",E108="C",E108="Z",E108="L"),J108=3),VLOOKUP(_xlfn.MINIFS('FIRE TEX 5062'!$B$4:$B$34,'FIRE TEX 5062'!$B$4:$B$34,"&gt;="&amp;M108),'FIRE TEX 5062'!$B$4:$F$34,IF(L108="F-15",2,IF(L108="F-30",3,IF(L108="F-60",4,IF(L108="F-90",5,0)))),0),0)+IF(AND(O108="FIRE TEX 5062",OR(E108="IN",E108="C",E108="Z",E108="L"),J108=4),VLOOKUP(_xlfn.MINIFS('FIRE TEX 5062'!$G$4:$G$34,'FIRE TEX 5062'!$G$4:$G$34,"&gt;="&amp;M108),'FIRE TEX 5062'!$G$4:$K$34,IF(L108="F-15",2,IF(L108="F-30",3,IF(L108="F-60",4,IF(L108="F-90",5,0)))),0),0)+IF(AND(O108="FIRE TEX 5062",E108="CJ",J108=3),VLOOKUP(_xlfn.MINIFS('FIRE TEX 5062'!$L$4:$L$34,'FIRE TEX 5062'!$L$4:$L$34,"&gt;="&amp;M108),'FIRE TEX 5062'!$L$4:$P$34,IF(L108="F-15",2,IF(L108="F-30",3,IF(L108="F-60",4,IF(L108="F-90",5,0)))),0),0)+IF(AND(O108="FIRE TEX 5062",E108="CJ",J108=4),VLOOKUP(_xlfn.MINIFS('FIRE TEX 5062'!$Q$3:$Q$34,'FIRE TEX 5062'!$Q$3:$Q$34,"&gt;="&amp;M108),'FIRE TEX 5062'!$Q$3:$U$34,IF(L108="F-15",2,IF(L108="F-30",3,IF(L108="F-60",4,IF(L108="F-90",5,0)))),0),0)+IF(AND(O108="FIRE TEX 5090",OR(E108="IN",E108="C",E108="Z",E108="L"),J108=3),VLOOKUP(_xlfn.MINIFS('FIRE TEX 5090'!$B$5:$B$43,'FIRE TEX 5090'!$B$5:$B$43,"&gt;="&amp;M108),'FIRE TEX 5090'!$B$5:$H$43,IF(L108="F-15",2,IF(L108="F-30",3,IF(L108="F-60",4,IF(L108="F-90",5,IF(L108="F-120",6,IF(L108="F-150",7,0)))))),0),0)+IF(AND(O108="FIRE TEX 5090",OR(E108="IN",E108="C",E108="Z",E108="L"),J108=4),VLOOKUP(_xlfn.MINIFS('FIRE TEX 5090'!$J$5:$J$43,'FIRE TEX 5090'!$J$5:$J$43,"&gt;="&amp;M108),'FIRE TEX 5090'!$J$5:$P$43,IF(L108="F-15",2,IF(L108="F-30",3,IF(L108="F-60",4,IF(L108="F-90",5,IF(L108="F-120",6,IF(L108="F-150",7,0)))))),0),0)+IF(AND(O108="FIRE TEX 5090",E108="CJ",J108=3),VLOOKUP(_xlfn.MINIFS('FIRE TEX 5090'!$R$5:$R$30,'FIRE TEX 5090'!$R$5:$R$30,"&gt;="&amp;M108),'FIRE TEX 5090'!$R$5:$W$30,IF(L108="F-15",2,IF(L108="F-30",3,IF(L108="F-60",4,IF(L108="F-90",5,IF(L108="F-120",6,IF(L108="F-150",7,0)))))),0),0)+IF(AND(O108="FIRE TEX 5090",E108="CJ",J108=4),VLOOKUP(_xlfn.MINIFS('FIRE TEX 5090'!$Y$5:$Y$39,'FIRE TEX 5090'!$Y$5:$Y$39,"&gt;="&amp;M108),'FIRE TEX 5090'!$Y$5:$AD$39,IF(L108="F-15",2,IF(L108="F-30",3,IF(L108="F-60",4,IF(L108="F-90",5,IF(L108="F-120",6,IF(L108="F-150",7,0)))))),0),0)+IF(AND(O108="FIRE TEX 5120",OR(E108="IN",E108="C",E108="Z",E108="L"),J108=3),VLOOKUP(_xlfn.MINIFS('FIRE TEX 5120'!$B$5:$B$40,'FIRE TEX 5120'!$B$5:$B$40,"&gt;="&amp;M108),'FIRE TEX 5120'!$B$5:$G$40,IF(L108="F-15",2,IF(L108="F-30",3,IF(L108="F-60",4,IF(L108="F-90",5,IF(L108="F-120",6,0))))),0),0)+IF(AND(O108="FIRE TEX 5120",OR(E108="IN",E108="C",E108="Z",E108="L"),J108=4),VLOOKUP(_xlfn.MINIFS('FIRE TEX 5120'!$H$4:$H$40,'FIRE TEX 5120'!$H$4:$H$40,"&gt;="&amp;M108),'FIRE TEX 5120'!$H$4:$M$40,IF(L108="F-15",2,IF(L108="F-30",3,IF(L108="F-60",4,IF(L108="F-90",5,IF(L108="F-120",6,0))))),0),0)+IF(AND(O108="FIRE TEX 5120",E108="CJ"),VLOOKUP(_xlfn.MINIFS('FIRE TEX 5120'!$O$5:$O$40,'FIRE TEX 5120'!$O$5:$O$40,"&gt;="&amp;M108),'FIRE TEX 5120'!$O$5:$T$40,IF(L108="F-15",2,IF(L108="F-30",3,IF(L108="F-60",4,IF(L108="F-90",5,IF(L108="F-120",6,0))))),0),0)</f>
        <v>0</v>
      </c>
      <c r="Q108" s="46">
        <f t="shared" si="10"/>
        <v>0</v>
      </c>
      <c r="R108" s="46">
        <f t="shared" si="12"/>
        <v>0</v>
      </c>
      <c r="S108" s="46" t="e">
        <f t="shared" si="11"/>
        <v>#VALUE!</v>
      </c>
      <c r="T108" s="677">
        <f t="shared" si="13"/>
        <v>0</v>
      </c>
      <c r="U108" s="80">
        <f>(IF(O108="Stofire",(S108*#REF!),0))+(IF(O108="Fire Control",(S108*$U$2),0))+(IF(O108="Fire Tex",(S108*$U$3),0))+(IF(O108="WB7",(S108*#REF!),0)+(IF(O108="FX 2003",(S108*$U$5),0)))</f>
        <v>0</v>
      </c>
      <c r="V108" s="651">
        <f t="shared" si="15"/>
        <v>0</v>
      </c>
      <c r="W108" s="4"/>
    </row>
    <row r="109" spans="1:23" x14ac:dyDescent="0.25">
      <c r="A109" s="652" t="s">
        <v>429</v>
      </c>
      <c r="B109" s="653" t="s">
        <v>430</v>
      </c>
      <c r="C109" s="1" t="s">
        <v>433</v>
      </c>
      <c r="D109" s="118">
        <f>+CUBICACION!D108</f>
        <v>0</v>
      </c>
      <c r="E109" s="118">
        <f>+CUBICACION!F108</f>
        <v>0</v>
      </c>
      <c r="F109" s="118">
        <f>+CUBICACION!E108</f>
        <v>0</v>
      </c>
      <c r="G109" s="118">
        <v>12</v>
      </c>
      <c r="H109" s="118">
        <v>2</v>
      </c>
      <c r="I109" s="820">
        <v>26385</v>
      </c>
      <c r="J109" s="118">
        <f>+CUBICACION!J108</f>
        <v>4</v>
      </c>
      <c r="K109" s="118">
        <v>2883</v>
      </c>
      <c r="L109" s="118">
        <f>+CUBICACION!L108</f>
        <v>0</v>
      </c>
      <c r="M109" s="64">
        <f>+CUBICACION!M108</f>
        <v>0</v>
      </c>
      <c r="N109" s="824" t="str">
        <f>+CUBICACION!N108</f>
        <v/>
      </c>
      <c r="O109" s="675">
        <f>+CUBICACION!O108</f>
        <v>0</v>
      </c>
      <c r="P109" s="15">
        <f>IF(O109="Fire Control",VLOOKUP(_xlfn.MINIFS('FIRE CONTROL'!$C$4:$C$37,'FIRE CONTROL'!$C$4:$C$37,"&gt;="&amp;M109),'FIRE CONTROL'!$C$4:$G$37,IF(L109="F-15",2,IF(L109="F-30",3,IF(L109="F-60",4,IF(L109="F-90",5,0)))),0),0)+IF(AND(O109="FIRE TEX 5062",OR(E109="IN",E109="C",E109="Z",E109="L"),J109=3),VLOOKUP(_xlfn.MINIFS('FIRE TEX 5062'!$B$4:$B$34,'FIRE TEX 5062'!$B$4:$B$34,"&gt;="&amp;M109),'FIRE TEX 5062'!$B$4:$F$34,IF(L109="F-15",2,IF(L109="F-30",3,IF(L109="F-60",4,IF(L109="F-90",5,0)))),0),0)+IF(AND(O109="FIRE TEX 5062",OR(E109="IN",E109="C",E109="Z",E109="L"),J109=4),VLOOKUP(_xlfn.MINIFS('FIRE TEX 5062'!$G$4:$G$34,'FIRE TEX 5062'!$G$4:$G$34,"&gt;="&amp;M109),'FIRE TEX 5062'!$G$4:$K$34,IF(L109="F-15",2,IF(L109="F-30",3,IF(L109="F-60",4,IF(L109="F-90",5,0)))),0),0)+IF(AND(O109="FIRE TEX 5062",E109="CJ",J109=3),VLOOKUP(_xlfn.MINIFS('FIRE TEX 5062'!$L$4:$L$34,'FIRE TEX 5062'!$L$4:$L$34,"&gt;="&amp;M109),'FIRE TEX 5062'!$L$4:$P$34,IF(L109="F-15",2,IF(L109="F-30",3,IF(L109="F-60",4,IF(L109="F-90",5,0)))),0),0)+IF(AND(O109="FIRE TEX 5062",E109="CJ",J109=4),VLOOKUP(_xlfn.MINIFS('FIRE TEX 5062'!$Q$3:$Q$34,'FIRE TEX 5062'!$Q$3:$Q$34,"&gt;="&amp;M109),'FIRE TEX 5062'!$Q$3:$U$34,IF(L109="F-15",2,IF(L109="F-30",3,IF(L109="F-60",4,IF(L109="F-90",5,0)))),0),0)+IF(AND(O109="FIRE TEX 5090",OR(E109="IN",E109="C",E109="Z",E109="L"),J109=3),VLOOKUP(_xlfn.MINIFS('FIRE TEX 5090'!$B$5:$B$43,'FIRE TEX 5090'!$B$5:$B$43,"&gt;="&amp;M109),'FIRE TEX 5090'!$B$5:$H$43,IF(L109="F-15",2,IF(L109="F-30",3,IF(L109="F-60",4,IF(L109="F-90",5,IF(L109="F-120",6,IF(L109="F-150",7,0)))))),0),0)+IF(AND(O109="FIRE TEX 5090",OR(E109="IN",E109="C",E109="Z",E109="L"),J109=4),VLOOKUP(_xlfn.MINIFS('FIRE TEX 5090'!$J$5:$J$43,'FIRE TEX 5090'!$J$5:$J$43,"&gt;="&amp;M109),'FIRE TEX 5090'!$J$5:$P$43,IF(L109="F-15",2,IF(L109="F-30",3,IF(L109="F-60",4,IF(L109="F-90",5,IF(L109="F-120",6,IF(L109="F-150",7,0)))))),0),0)+IF(AND(O109="FIRE TEX 5090",E109="CJ",J109=3),VLOOKUP(_xlfn.MINIFS('FIRE TEX 5090'!$R$5:$R$30,'FIRE TEX 5090'!$R$5:$R$30,"&gt;="&amp;M109),'FIRE TEX 5090'!$R$5:$W$30,IF(L109="F-15",2,IF(L109="F-30",3,IF(L109="F-60",4,IF(L109="F-90",5,IF(L109="F-120",6,IF(L109="F-150",7,0)))))),0),0)+IF(AND(O109="FIRE TEX 5090",E109="CJ",J109=4),VLOOKUP(_xlfn.MINIFS('FIRE TEX 5090'!$Y$5:$Y$39,'FIRE TEX 5090'!$Y$5:$Y$39,"&gt;="&amp;M109),'FIRE TEX 5090'!$Y$5:$AD$39,IF(L109="F-15",2,IF(L109="F-30",3,IF(L109="F-60",4,IF(L109="F-90",5,IF(L109="F-120",6,IF(L109="F-150",7,0)))))),0),0)+IF(AND(O109="FIRE TEX 5120",OR(E109="IN",E109="C",E109="Z",E109="L"),J109=3),VLOOKUP(_xlfn.MINIFS('FIRE TEX 5120'!$B$5:$B$40,'FIRE TEX 5120'!$B$5:$B$40,"&gt;="&amp;M109),'FIRE TEX 5120'!$B$5:$G$40,IF(L109="F-15",2,IF(L109="F-30",3,IF(L109="F-60",4,IF(L109="F-90",5,IF(L109="F-120",6,0))))),0),0)+IF(AND(O109="FIRE TEX 5120",OR(E109="IN",E109="C",E109="Z",E109="L"),J109=4),VLOOKUP(_xlfn.MINIFS('FIRE TEX 5120'!$H$4:$H$40,'FIRE TEX 5120'!$H$4:$H$40,"&gt;="&amp;M109),'FIRE TEX 5120'!$H$4:$M$40,IF(L109="F-15",2,IF(L109="F-30",3,IF(L109="F-60",4,IF(L109="F-90",5,IF(L109="F-120",6,0))))),0),0)+IF(AND(O109="FIRE TEX 5120",E109="CJ"),VLOOKUP(_xlfn.MINIFS('FIRE TEX 5120'!$O$5:$O$40,'FIRE TEX 5120'!$O$5:$O$40,"&gt;="&amp;M109),'FIRE TEX 5120'!$O$5:$T$40,IF(L109="F-15",2,IF(L109="F-30",3,IF(L109="F-60",4,IF(L109="F-90",5,IF(L109="F-120",6,0))))),0),0)</f>
        <v>0</v>
      </c>
      <c r="Q109" s="46">
        <f t="shared" si="10"/>
        <v>0</v>
      </c>
      <c r="R109" s="46">
        <f t="shared" si="12"/>
        <v>0</v>
      </c>
      <c r="S109" s="46" t="e">
        <f t="shared" si="11"/>
        <v>#VALUE!</v>
      </c>
      <c r="T109" s="677">
        <f t="shared" si="13"/>
        <v>0</v>
      </c>
      <c r="U109" s="80">
        <f>(IF(O109="Stofire",(S109*#REF!),0))+(IF(O109="Fire Control",(S109*$U$2),0))+(IF(O109="Fire Tex",(S109*$U$3),0))+(IF(O109="WB7",(S109*#REF!),0)+(IF(O109="FX 2003",(S109*$U$5),0)))</f>
        <v>0</v>
      </c>
      <c r="V109" s="651">
        <f t="shared" si="15"/>
        <v>0</v>
      </c>
      <c r="W109" s="4"/>
    </row>
    <row r="110" spans="1:23" x14ac:dyDescent="0.25">
      <c r="A110" s="652" t="s">
        <v>429</v>
      </c>
      <c r="B110" s="653" t="s">
        <v>430</v>
      </c>
      <c r="C110" s="1" t="s">
        <v>435</v>
      </c>
      <c r="D110" s="118">
        <f>+CUBICACION!D109</f>
        <v>0</v>
      </c>
      <c r="E110" s="118">
        <f>+CUBICACION!F109</f>
        <v>0</v>
      </c>
      <c r="F110" s="118">
        <f>+CUBICACION!E109</f>
        <v>0</v>
      </c>
      <c r="G110" s="118">
        <v>12</v>
      </c>
      <c r="H110" s="118">
        <v>2</v>
      </c>
      <c r="I110" s="820">
        <v>26385</v>
      </c>
      <c r="J110" s="118">
        <f>+CUBICACION!J109</f>
        <v>4</v>
      </c>
      <c r="K110" s="118">
        <v>2884</v>
      </c>
      <c r="L110" s="118">
        <f>+CUBICACION!L109</f>
        <v>0</v>
      </c>
      <c r="M110" s="64">
        <f>+CUBICACION!M109</f>
        <v>0</v>
      </c>
      <c r="N110" s="824" t="str">
        <f>+CUBICACION!N109</f>
        <v/>
      </c>
      <c r="O110" s="675">
        <f>+CUBICACION!O109</f>
        <v>0</v>
      </c>
      <c r="P110" s="15">
        <f>IF(O110="Fire Control",VLOOKUP(_xlfn.MINIFS('FIRE CONTROL'!$C$4:$C$37,'FIRE CONTROL'!$C$4:$C$37,"&gt;="&amp;M110),'FIRE CONTROL'!$C$4:$G$37,IF(L110="F-15",2,IF(L110="F-30",3,IF(L110="F-60",4,IF(L110="F-90",5,0)))),0),0)+IF(AND(O110="FIRE TEX 5062",OR(E110="IN",E110="C",E110="Z",E110="L"),J110=3),VLOOKUP(_xlfn.MINIFS('FIRE TEX 5062'!$B$4:$B$34,'FIRE TEX 5062'!$B$4:$B$34,"&gt;="&amp;M110),'FIRE TEX 5062'!$B$4:$F$34,IF(L110="F-15",2,IF(L110="F-30",3,IF(L110="F-60",4,IF(L110="F-90",5,0)))),0),0)+IF(AND(O110="FIRE TEX 5062",OR(E110="IN",E110="C",E110="Z",E110="L"),J110=4),VLOOKUP(_xlfn.MINIFS('FIRE TEX 5062'!$G$4:$G$34,'FIRE TEX 5062'!$G$4:$G$34,"&gt;="&amp;M110),'FIRE TEX 5062'!$G$4:$K$34,IF(L110="F-15",2,IF(L110="F-30",3,IF(L110="F-60",4,IF(L110="F-90",5,0)))),0),0)+IF(AND(O110="FIRE TEX 5062",E110="CJ",J110=3),VLOOKUP(_xlfn.MINIFS('FIRE TEX 5062'!$L$4:$L$34,'FIRE TEX 5062'!$L$4:$L$34,"&gt;="&amp;M110),'FIRE TEX 5062'!$L$4:$P$34,IF(L110="F-15",2,IF(L110="F-30",3,IF(L110="F-60",4,IF(L110="F-90",5,0)))),0),0)+IF(AND(O110="FIRE TEX 5062",E110="CJ",J110=4),VLOOKUP(_xlfn.MINIFS('FIRE TEX 5062'!$Q$3:$Q$34,'FIRE TEX 5062'!$Q$3:$Q$34,"&gt;="&amp;M110),'FIRE TEX 5062'!$Q$3:$U$34,IF(L110="F-15",2,IF(L110="F-30",3,IF(L110="F-60",4,IF(L110="F-90",5,0)))),0),0)+IF(AND(O110="FIRE TEX 5090",OR(E110="IN",E110="C",E110="Z",E110="L"),J110=3),VLOOKUP(_xlfn.MINIFS('FIRE TEX 5090'!$B$5:$B$43,'FIRE TEX 5090'!$B$5:$B$43,"&gt;="&amp;M110),'FIRE TEX 5090'!$B$5:$H$43,IF(L110="F-15",2,IF(L110="F-30",3,IF(L110="F-60",4,IF(L110="F-90",5,IF(L110="F-120",6,IF(L110="F-150",7,0)))))),0),0)+IF(AND(O110="FIRE TEX 5090",OR(E110="IN",E110="C",E110="Z",E110="L"),J110=4),VLOOKUP(_xlfn.MINIFS('FIRE TEX 5090'!$J$5:$J$43,'FIRE TEX 5090'!$J$5:$J$43,"&gt;="&amp;M110),'FIRE TEX 5090'!$J$5:$P$43,IF(L110="F-15",2,IF(L110="F-30",3,IF(L110="F-60",4,IF(L110="F-90",5,IF(L110="F-120",6,IF(L110="F-150",7,0)))))),0),0)+IF(AND(O110="FIRE TEX 5090",E110="CJ",J110=3),VLOOKUP(_xlfn.MINIFS('FIRE TEX 5090'!$R$5:$R$30,'FIRE TEX 5090'!$R$5:$R$30,"&gt;="&amp;M110),'FIRE TEX 5090'!$R$5:$W$30,IF(L110="F-15",2,IF(L110="F-30",3,IF(L110="F-60",4,IF(L110="F-90",5,IF(L110="F-120",6,IF(L110="F-150",7,0)))))),0),0)+IF(AND(O110="FIRE TEX 5090",E110="CJ",J110=4),VLOOKUP(_xlfn.MINIFS('FIRE TEX 5090'!$Y$5:$Y$39,'FIRE TEX 5090'!$Y$5:$Y$39,"&gt;="&amp;M110),'FIRE TEX 5090'!$Y$5:$AD$39,IF(L110="F-15",2,IF(L110="F-30",3,IF(L110="F-60",4,IF(L110="F-90",5,IF(L110="F-120",6,IF(L110="F-150",7,0)))))),0),0)+IF(AND(O110="FIRE TEX 5120",OR(E110="IN",E110="C",E110="Z",E110="L"),J110=3),VLOOKUP(_xlfn.MINIFS('FIRE TEX 5120'!$B$5:$B$40,'FIRE TEX 5120'!$B$5:$B$40,"&gt;="&amp;M110),'FIRE TEX 5120'!$B$5:$G$40,IF(L110="F-15",2,IF(L110="F-30",3,IF(L110="F-60",4,IF(L110="F-90",5,IF(L110="F-120",6,0))))),0),0)+IF(AND(O110="FIRE TEX 5120",OR(E110="IN",E110="C",E110="Z",E110="L"),J110=4),VLOOKUP(_xlfn.MINIFS('FIRE TEX 5120'!$H$4:$H$40,'FIRE TEX 5120'!$H$4:$H$40,"&gt;="&amp;M110),'FIRE TEX 5120'!$H$4:$M$40,IF(L110="F-15",2,IF(L110="F-30",3,IF(L110="F-60",4,IF(L110="F-90",5,IF(L110="F-120",6,0))))),0),0)+IF(AND(O110="FIRE TEX 5120",E110="CJ"),VLOOKUP(_xlfn.MINIFS('FIRE TEX 5120'!$O$5:$O$40,'FIRE TEX 5120'!$O$5:$O$40,"&gt;="&amp;M110),'FIRE TEX 5120'!$O$5:$T$40,IF(L110="F-15",2,IF(L110="F-30",3,IF(L110="F-60",4,IF(L110="F-90",5,IF(L110="F-120",6,0))))),0),0)</f>
        <v>0</v>
      </c>
      <c r="Q110" s="46">
        <f t="shared" si="10"/>
        <v>0</v>
      </c>
      <c r="R110" s="46">
        <f t="shared" si="12"/>
        <v>0</v>
      </c>
      <c r="S110" s="46" t="e">
        <f t="shared" si="11"/>
        <v>#VALUE!</v>
      </c>
      <c r="T110" s="677">
        <f t="shared" si="13"/>
        <v>0</v>
      </c>
      <c r="U110" s="80">
        <f>(IF(O110="Stofire",(S110*#REF!),0))+(IF(O110="Fire Control",(S110*$U$2),0))+(IF(O110="Fire Tex",(S110*$U$3),0))+(IF(O110="WB7",(S110*#REF!),0)+(IF(O110="FX 2003",(S110*$U$5),0)))</f>
        <v>0</v>
      </c>
      <c r="V110" s="651">
        <f t="shared" si="15"/>
        <v>0</v>
      </c>
      <c r="W110" s="4"/>
    </row>
    <row r="111" spans="1:23" x14ac:dyDescent="0.25">
      <c r="A111" s="652" t="s">
        <v>429</v>
      </c>
      <c r="B111" s="653" t="s">
        <v>430</v>
      </c>
      <c r="C111" s="1" t="s">
        <v>437</v>
      </c>
      <c r="D111" s="118">
        <f>+CUBICACION!D110</f>
        <v>0</v>
      </c>
      <c r="E111" s="118">
        <f>+CUBICACION!F110</f>
        <v>0</v>
      </c>
      <c r="F111" s="118">
        <f>+CUBICACION!E110</f>
        <v>0</v>
      </c>
      <c r="G111" s="118">
        <v>12</v>
      </c>
      <c r="H111" s="118">
        <v>2</v>
      </c>
      <c r="I111" s="820">
        <v>26385</v>
      </c>
      <c r="J111" s="118">
        <f>+CUBICACION!J110</f>
        <v>4</v>
      </c>
      <c r="K111" s="118">
        <v>2885</v>
      </c>
      <c r="L111" s="118">
        <f>+CUBICACION!L110</f>
        <v>0</v>
      </c>
      <c r="M111" s="64">
        <f>+CUBICACION!M110</f>
        <v>0</v>
      </c>
      <c r="N111" s="824" t="str">
        <f>+CUBICACION!N110</f>
        <v/>
      </c>
      <c r="O111" s="675">
        <f>+CUBICACION!O110</f>
        <v>0</v>
      </c>
      <c r="P111" s="15">
        <f>IF(O111="Fire Control",VLOOKUP(_xlfn.MINIFS('FIRE CONTROL'!$C$4:$C$37,'FIRE CONTROL'!$C$4:$C$37,"&gt;="&amp;M111),'FIRE CONTROL'!$C$4:$G$37,IF(L111="F-15",2,IF(L111="F-30",3,IF(L111="F-60",4,IF(L111="F-90",5,0)))),0),0)+IF(AND(O111="FIRE TEX 5062",OR(E111="IN",E111="C",E111="Z",E111="L"),J111=3),VLOOKUP(_xlfn.MINIFS('FIRE TEX 5062'!$B$4:$B$34,'FIRE TEX 5062'!$B$4:$B$34,"&gt;="&amp;M111),'FIRE TEX 5062'!$B$4:$F$34,IF(L111="F-15",2,IF(L111="F-30",3,IF(L111="F-60",4,IF(L111="F-90",5,0)))),0),0)+IF(AND(O111="FIRE TEX 5062",OR(E111="IN",E111="C",E111="Z",E111="L"),J111=4),VLOOKUP(_xlfn.MINIFS('FIRE TEX 5062'!$G$4:$G$34,'FIRE TEX 5062'!$G$4:$G$34,"&gt;="&amp;M111),'FIRE TEX 5062'!$G$4:$K$34,IF(L111="F-15",2,IF(L111="F-30",3,IF(L111="F-60",4,IF(L111="F-90",5,0)))),0),0)+IF(AND(O111="FIRE TEX 5062",E111="CJ",J111=3),VLOOKUP(_xlfn.MINIFS('FIRE TEX 5062'!$L$4:$L$34,'FIRE TEX 5062'!$L$4:$L$34,"&gt;="&amp;M111),'FIRE TEX 5062'!$L$4:$P$34,IF(L111="F-15",2,IF(L111="F-30",3,IF(L111="F-60",4,IF(L111="F-90",5,0)))),0),0)+IF(AND(O111="FIRE TEX 5062",E111="CJ",J111=4),VLOOKUP(_xlfn.MINIFS('FIRE TEX 5062'!$Q$3:$Q$34,'FIRE TEX 5062'!$Q$3:$Q$34,"&gt;="&amp;M111),'FIRE TEX 5062'!$Q$3:$U$34,IF(L111="F-15",2,IF(L111="F-30",3,IF(L111="F-60",4,IF(L111="F-90",5,0)))),0),0)+IF(AND(O111="FIRE TEX 5090",OR(E111="IN",E111="C",E111="Z",E111="L"),J111=3),VLOOKUP(_xlfn.MINIFS('FIRE TEX 5090'!$B$5:$B$43,'FIRE TEX 5090'!$B$5:$B$43,"&gt;="&amp;M111),'FIRE TEX 5090'!$B$5:$H$43,IF(L111="F-15",2,IF(L111="F-30",3,IF(L111="F-60",4,IF(L111="F-90",5,IF(L111="F-120",6,IF(L111="F-150",7,0)))))),0),0)+IF(AND(O111="FIRE TEX 5090",OR(E111="IN",E111="C",E111="Z",E111="L"),J111=4),VLOOKUP(_xlfn.MINIFS('FIRE TEX 5090'!$J$5:$J$43,'FIRE TEX 5090'!$J$5:$J$43,"&gt;="&amp;M111),'FIRE TEX 5090'!$J$5:$P$43,IF(L111="F-15",2,IF(L111="F-30",3,IF(L111="F-60",4,IF(L111="F-90",5,IF(L111="F-120",6,IF(L111="F-150",7,0)))))),0),0)+IF(AND(O111="FIRE TEX 5090",E111="CJ",J111=3),VLOOKUP(_xlfn.MINIFS('FIRE TEX 5090'!$R$5:$R$30,'FIRE TEX 5090'!$R$5:$R$30,"&gt;="&amp;M111),'FIRE TEX 5090'!$R$5:$W$30,IF(L111="F-15",2,IF(L111="F-30",3,IF(L111="F-60",4,IF(L111="F-90",5,IF(L111="F-120",6,IF(L111="F-150",7,0)))))),0),0)+IF(AND(O111="FIRE TEX 5090",E111="CJ",J111=4),VLOOKUP(_xlfn.MINIFS('FIRE TEX 5090'!$Y$5:$Y$39,'FIRE TEX 5090'!$Y$5:$Y$39,"&gt;="&amp;M111),'FIRE TEX 5090'!$Y$5:$AD$39,IF(L111="F-15",2,IF(L111="F-30",3,IF(L111="F-60",4,IF(L111="F-90",5,IF(L111="F-120",6,IF(L111="F-150",7,0)))))),0),0)+IF(AND(O111="FIRE TEX 5120",OR(E111="IN",E111="C",E111="Z",E111="L"),J111=3),VLOOKUP(_xlfn.MINIFS('FIRE TEX 5120'!$B$5:$B$40,'FIRE TEX 5120'!$B$5:$B$40,"&gt;="&amp;M111),'FIRE TEX 5120'!$B$5:$G$40,IF(L111="F-15",2,IF(L111="F-30",3,IF(L111="F-60",4,IF(L111="F-90",5,IF(L111="F-120",6,0))))),0),0)+IF(AND(O111="FIRE TEX 5120",OR(E111="IN",E111="C",E111="Z",E111="L"),J111=4),VLOOKUP(_xlfn.MINIFS('FIRE TEX 5120'!$H$4:$H$40,'FIRE TEX 5120'!$H$4:$H$40,"&gt;="&amp;M111),'FIRE TEX 5120'!$H$4:$M$40,IF(L111="F-15",2,IF(L111="F-30",3,IF(L111="F-60",4,IF(L111="F-90",5,IF(L111="F-120",6,0))))),0),0)+IF(AND(O111="FIRE TEX 5120",E111="CJ"),VLOOKUP(_xlfn.MINIFS('FIRE TEX 5120'!$O$5:$O$40,'FIRE TEX 5120'!$O$5:$O$40,"&gt;="&amp;M111),'FIRE TEX 5120'!$O$5:$T$40,IF(L111="F-15",2,IF(L111="F-30",3,IF(L111="F-60",4,IF(L111="F-90",5,IF(L111="F-120",6,0))))),0),0)</f>
        <v>0</v>
      </c>
      <c r="Q111" s="46">
        <f t="shared" si="10"/>
        <v>0</v>
      </c>
      <c r="R111" s="46">
        <f t="shared" si="12"/>
        <v>0</v>
      </c>
      <c r="S111" s="46" t="e">
        <f t="shared" si="11"/>
        <v>#VALUE!</v>
      </c>
      <c r="T111" s="677">
        <f t="shared" si="13"/>
        <v>0</v>
      </c>
      <c r="U111" s="80">
        <f>(IF(O111="Stofire",(S111*#REF!),0))+(IF(O111="Fire Control",(S111*$U$2),0))+(IF(O111="Fire Tex",(S111*$U$3),0))+(IF(O111="WB7",(S111*#REF!),0)+(IF(O111="FX 2003",(S111*$U$5),0)))</f>
        <v>0</v>
      </c>
      <c r="V111" s="651">
        <f t="shared" si="15"/>
        <v>0</v>
      </c>
      <c r="W111" s="4"/>
    </row>
    <row r="112" spans="1:23" x14ac:dyDescent="0.25">
      <c r="A112" s="652" t="s">
        <v>439</v>
      </c>
      <c r="B112" s="653" t="s">
        <v>430</v>
      </c>
      <c r="C112" s="1" t="s">
        <v>431</v>
      </c>
      <c r="D112" s="118">
        <f>+CUBICACION!D111</f>
        <v>0</v>
      </c>
      <c r="E112" s="118">
        <f>+CUBICACION!F111</f>
        <v>0</v>
      </c>
      <c r="F112" s="118">
        <f>+CUBICACION!E111</f>
        <v>0</v>
      </c>
      <c r="G112" s="118">
        <v>12</v>
      </c>
      <c r="H112" s="118">
        <v>2</v>
      </c>
      <c r="I112" s="820">
        <v>26385</v>
      </c>
      <c r="J112" s="118">
        <f>+CUBICACION!J111</f>
        <v>4</v>
      </c>
      <c r="K112" s="118">
        <v>2886</v>
      </c>
      <c r="L112" s="118">
        <f>+CUBICACION!L111</f>
        <v>0</v>
      </c>
      <c r="M112" s="64">
        <f>+CUBICACION!M111</f>
        <v>0</v>
      </c>
      <c r="N112" s="824" t="str">
        <f>+CUBICACION!N111</f>
        <v/>
      </c>
      <c r="O112" s="675">
        <f>+CUBICACION!O111</f>
        <v>0</v>
      </c>
      <c r="P112" s="15">
        <f>IF(O112="Fire Control",VLOOKUP(_xlfn.MINIFS('FIRE CONTROL'!$C$4:$C$37,'FIRE CONTROL'!$C$4:$C$37,"&gt;="&amp;M112),'FIRE CONTROL'!$C$4:$G$37,IF(L112="F-15",2,IF(L112="F-30",3,IF(L112="F-60",4,IF(L112="F-90",5,0)))),0),0)+IF(AND(O112="FIRE TEX 5062",OR(E112="IN",E112="C",E112="Z",E112="L"),J112=3),VLOOKUP(_xlfn.MINIFS('FIRE TEX 5062'!$B$4:$B$34,'FIRE TEX 5062'!$B$4:$B$34,"&gt;="&amp;M112),'FIRE TEX 5062'!$B$4:$F$34,IF(L112="F-15",2,IF(L112="F-30",3,IF(L112="F-60",4,IF(L112="F-90",5,0)))),0),0)+IF(AND(O112="FIRE TEX 5062",OR(E112="IN",E112="C",E112="Z",E112="L"),J112=4),VLOOKUP(_xlfn.MINIFS('FIRE TEX 5062'!$G$4:$G$34,'FIRE TEX 5062'!$G$4:$G$34,"&gt;="&amp;M112),'FIRE TEX 5062'!$G$4:$K$34,IF(L112="F-15",2,IF(L112="F-30",3,IF(L112="F-60",4,IF(L112="F-90",5,0)))),0),0)+IF(AND(O112="FIRE TEX 5062",E112="CJ",J112=3),VLOOKUP(_xlfn.MINIFS('FIRE TEX 5062'!$L$4:$L$34,'FIRE TEX 5062'!$L$4:$L$34,"&gt;="&amp;M112),'FIRE TEX 5062'!$L$4:$P$34,IF(L112="F-15",2,IF(L112="F-30",3,IF(L112="F-60",4,IF(L112="F-90",5,0)))),0),0)+IF(AND(O112="FIRE TEX 5062",E112="CJ",J112=4),VLOOKUP(_xlfn.MINIFS('FIRE TEX 5062'!$Q$3:$Q$34,'FIRE TEX 5062'!$Q$3:$Q$34,"&gt;="&amp;M112),'FIRE TEX 5062'!$Q$3:$U$34,IF(L112="F-15",2,IF(L112="F-30",3,IF(L112="F-60",4,IF(L112="F-90",5,0)))),0),0)+IF(AND(O112="FIRE TEX 5090",OR(E112="IN",E112="C",E112="Z",E112="L"),J112=3),VLOOKUP(_xlfn.MINIFS('FIRE TEX 5090'!$B$5:$B$43,'FIRE TEX 5090'!$B$5:$B$43,"&gt;="&amp;M112),'FIRE TEX 5090'!$B$5:$H$43,IF(L112="F-15",2,IF(L112="F-30",3,IF(L112="F-60",4,IF(L112="F-90",5,IF(L112="F-120",6,IF(L112="F-150",7,0)))))),0),0)+IF(AND(O112="FIRE TEX 5090",OR(E112="IN",E112="C",E112="Z",E112="L"),J112=4),VLOOKUP(_xlfn.MINIFS('FIRE TEX 5090'!$J$5:$J$43,'FIRE TEX 5090'!$J$5:$J$43,"&gt;="&amp;M112),'FIRE TEX 5090'!$J$5:$P$43,IF(L112="F-15",2,IF(L112="F-30",3,IF(L112="F-60",4,IF(L112="F-90",5,IF(L112="F-120",6,IF(L112="F-150",7,0)))))),0),0)+IF(AND(O112="FIRE TEX 5090",E112="CJ",J112=3),VLOOKUP(_xlfn.MINIFS('FIRE TEX 5090'!$R$5:$R$30,'FIRE TEX 5090'!$R$5:$R$30,"&gt;="&amp;M112),'FIRE TEX 5090'!$R$5:$W$30,IF(L112="F-15",2,IF(L112="F-30",3,IF(L112="F-60",4,IF(L112="F-90",5,IF(L112="F-120",6,IF(L112="F-150",7,0)))))),0),0)+IF(AND(O112="FIRE TEX 5090",E112="CJ",J112=4),VLOOKUP(_xlfn.MINIFS('FIRE TEX 5090'!$Y$5:$Y$39,'FIRE TEX 5090'!$Y$5:$Y$39,"&gt;="&amp;M112),'FIRE TEX 5090'!$Y$5:$AD$39,IF(L112="F-15",2,IF(L112="F-30",3,IF(L112="F-60",4,IF(L112="F-90",5,IF(L112="F-120",6,IF(L112="F-150",7,0)))))),0),0)+IF(AND(O112="FIRE TEX 5120",OR(E112="IN",E112="C",E112="Z",E112="L"),J112=3),VLOOKUP(_xlfn.MINIFS('FIRE TEX 5120'!$B$5:$B$40,'FIRE TEX 5120'!$B$5:$B$40,"&gt;="&amp;M112),'FIRE TEX 5120'!$B$5:$G$40,IF(L112="F-15",2,IF(L112="F-30",3,IF(L112="F-60",4,IF(L112="F-90",5,IF(L112="F-120",6,0))))),0),0)+IF(AND(O112="FIRE TEX 5120",OR(E112="IN",E112="C",E112="Z",E112="L"),J112=4),VLOOKUP(_xlfn.MINIFS('FIRE TEX 5120'!$H$4:$H$40,'FIRE TEX 5120'!$H$4:$H$40,"&gt;="&amp;M112),'FIRE TEX 5120'!$H$4:$M$40,IF(L112="F-15",2,IF(L112="F-30",3,IF(L112="F-60",4,IF(L112="F-90",5,IF(L112="F-120",6,0))))),0),0)+IF(AND(O112="FIRE TEX 5120",E112="CJ"),VLOOKUP(_xlfn.MINIFS('FIRE TEX 5120'!$O$5:$O$40,'FIRE TEX 5120'!$O$5:$O$40,"&gt;="&amp;M112),'FIRE TEX 5120'!$O$5:$T$40,IF(L112="F-15",2,IF(L112="F-30",3,IF(L112="F-60",4,IF(L112="F-90",5,IF(L112="F-120",6,0))))),0),0)</f>
        <v>0</v>
      </c>
      <c r="Q112" s="46">
        <f t="shared" si="10"/>
        <v>0</v>
      </c>
      <c r="R112" s="46">
        <f t="shared" si="12"/>
        <v>0</v>
      </c>
      <c r="S112" s="46" t="e">
        <f t="shared" si="11"/>
        <v>#VALUE!</v>
      </c>
      <c r="T112" s="677">
        <f t="shared" si="13"/>
        <v>0</v>
      </c>
      <c r="U112" s="80">
        <f>(IF(O112="Stofire",(S112*#REF!),0))+(IF(O112="Fire Control",(S112*$U$2),0))+(IF(O112="Fire Tex",(S112*$U$3),0))+(IF(O112="WB7",(S112*#REF!),0)+(IF(O112="FX 2003",(S112*$U$5),0)))</f>
        <v>0</v>
      </c>
      <c r="V112" s="651">
        <f t="shared" si="15"/>
        <v>0</v>
      </c>
      <c r="W112" s="4"/>
    </row>
    <row r="113" spans="1:23" x14ac:dyDescent="0.25">
      <c r="A113" s="652" t="s">
        <v>439</v>
      </c>
      <c r="B113" s="653" t="s">
        <v>430</v>
      </c>
      <c r="C113" s="1" t="s">
        <v>435</v>
      </c>
      <c r="D113" s="118">
        <f>+CUBICACION!D112</f>
        <v>0</v>
      </c>
      <c r="E113" s="118">
        <f>+CUBICACION!F112</f>
        <v>0</v>
      </c>
      <c r="F113" s="118">
        <f>+CUBICACION!E112</f>
        <v>0</v>
      </c>
      <c r="G113" s="118">
        <v>12</v>
      </c>
      <c r="H113" s="118">
        <v>2</v>
      </c>
      <c r="I113" s="820">
        <v>26385</v>
      </c>
      <c r="J113" s="118">
        <f>+CUBICACION!J112</f>
        <v>4</v>
      </c>
      <c r="K113" s="118">
        <v>2887</v>
      </c>
      <c r="L113" s="118">
        <f>+CUBICACION!L112</f>
        <v>0</v>
      </c>
      <c r="M113" s="64">
        <f>+CUBICACION!M112</f>
        <v>0</v>
      </c>
      <c r="N113" s="824" t="str">
        <f>+CUBICACION!N112</f>
        <v/>
      </c>
      <c r="O113" s="675">
        <f>+CUBICACION!O112</f>
        <v>0</v>
      </c>
      <c r="P113" s="15">
        <f>IF(O113="Fire Control",VLOOKUP(_xlfn.MINIFS('FIRE CONTROL'!$C$4:$C$37,'FIRE CONTROL'!$C$4:$C$37,"&gt;="&amp;M113),'FIRE CONTROL'!$C$4:$G$37,IF(L113="F-15",2,IF(L113="F-30",3,IF(L113="F-60",4,IF(L113="F-90",5,0)))),0),0)+IF(AND(O113="FIRE TEX 5062",OR(E113="IN",E113="C",E113="Z",E113="L"),J113=3),VLOOKUP(_xlfn.MINIFS('FIRE TEX 5062'!$B$4:$B$34,'FIRE TEX 5062'!$B$4:$B$34,"&gt;="&amp;M113),'FIRE TEX 5062'!$B$4:$F$34,IF(L113="F-15",2,IF(L113="F-30",3,IF(L113="F-60",4,IF(L113="F-90",5,0)))),0),0)+IF(AND(O113="FIRE TEX 5062",OR(E113="IN",E113="C",E113="Z",E113="L"),J113=4),VLOOKUP(_xlfn.MINIFS('FIRE TEX 5062'!$G$4:$G$34,'FIRE TEX 5062'!$G$4:$G$34,"&gt;="&amp;M113),'FIRE TEX 5062'!$G$4:$K$34,IF(L113="F-15",2,IF(L113="F-30",3,IF(L113="F-60",4,IF(L113="F-90",5,0)))),0),0)+IF(AND(O113="FIRE TEX 5062",E113="CJ",J113=3),VLOOKUP(_xlfn.MINIFS('FIRE TEX 5062'!$L$4:$L$34,'FIRE TEX 5062'!$L$4:$L$34,"&gt;="&amp;M113),'FIRE TEX 5062'!$L$4:$P$34,IF(L113="F-15",2,IF(L113="F-30",3,IF(L113="F-60",4,IF(L113="F-90",5,0)))),0),0)+IF(AND(O113="FIRE TEX 5062",E113="CJ",J113=4),VLOOKUP(_xlfn.MINIFS('FIRE TEX 5062'!$Q$3:$Q$34,'FIRE TEX 5062'!$Q$3:$Q$34,"&gt;="&amp;M113),'FIRE TEX 5062'!$Q$3:$U$34,IF(L113="F-15",2,IF(L113="F-30",3,IF(L113="F-60",4,IF(L113="F-90",5,0)))),0),0)+IF(AND(O113="FIRE TEX 5090",OR(E113="IN",E113="C",E113="Z",E113="L"),J113=3),VLOOKUP(_xlfn.MINIFS('FIRE TEX 5090'!$B$5:$B$43,'FIRE TEX 5090'!$B$5:$B$43,"&gt;="&amp;M113),'FIRE TEX 5090'!$B$5:$H$43,IF(L113="F-15",2,IF(L113="F-30",3,IF(L113="F-60",4,IF(L113="F-90",5,IF(L113="F-120",6,IF(L113="F-150",7,0)))))),0),0)+IF(AND(O113="FIRE TEX 5090",OR(E113="IN",E113="C",E113="Z",E113="L"),J113=4),VLOOKUP(_xlfn.MINIFS('FIRE TEX 5090'!$J$5:$J$43,'FIRE TEX 5090'!$J$5:$J$43,"&gt;="&amp;M113),'FIRE TEX 5090'!$J$5:$P$43,IF(L113="F-15",2,IF(L113="F-30",3,IF(L113="F-60",4,IF(L113="F-90",5,IF(L113="F-120",6,IF(L113="F-150",7,0)))))),0),0)+IF(AND(O113="FIRE TEX 5090",E113="CJ",J113=3),VLOOKUP(_xlfn.MINIFS('FIRE TEX 5090'!$R$5:$R$30,'FIRE TEX 5090'!$R$5:$R$30,"&gt;="&amp;M113),'FIRE TEX 5090'!$R$5:$W$30,IF(L113="F-15",2,IF(L113="F-30",3,IF(L113="F-60",4,IF(L113="F-90",5,IF(L113="F-120",6,IF(L113="F-150",7,0)))))),0),0)+IF(AND(O113="FIRE TEX 5090",E113="CJ",J113=4),VLOOKUP(_xlfn.MINIFS('FIRE TEX 5090'!$Y$5:$Y$39,'FIRE TEX 5090'!$Y$5:$Y$39,"&gt;="&amp;M113),'FIRE TEX 5090'!$Y$5:$AD$39,IF(L113="F-15",2,IF(L113="F-30",3,IF(L113="F-60",4,IF(L113="F-90",5,IF(L113="F-120",6,IF(L113="F-150",7,0)))))),0),0)+IF(AND(O113="FIRE TEX 5120",OR(E113="IN",E113="C",E113="Z",E113="L"),J113=3),VLOOKUP(_xlfn.MINIFS('FIRE TEX 5120'!$B$5:$B$40,'FIRE TEX 5120'!$B$5:$B$40,"&gt;="&amp;M113),'FIRE TEX 5120'!$B$5:$G$40,IF(L113="F-15",2,IF(L113="F-30",3,IF(L113="F-60",4,IF(L113="F-90",5,IF(L113="F-120",6,0))))),0),0)+IF(AND(O113="FIRE TEX 5120",OR(E113="IN",E113="C",E113="Z",E113="L"),J113=4),VLOOKUP(_xlfn.MINIFS('FIRE TEX 5120'!$H$4:$H$40,'FIRE TEX 5120'!$H$4:$H$40,"&gt;="&amp;M113),'FIRE TEX 5120'!$H$4:$M$40,IF(L113="F-15",2,IF(L113="F-30",3,IF(L113="F-60",4,IF(L113="F-90",5,IF(L113="F-120",6,0))))),0),0)+IF(AND(O113="FIRE TEX 5120",E113="CJ"),VLOOKUP(_xlfn.MINIFS('FIRE TEX 5120'!$O$5:$O$40,'FIRE TEX 5120'!$O$5:$O$40,"&gt;="&amp;M113),'FIRE TEX 5120'!$O$5:$T$40,IF(L113="F-15",2,IF(L113="F-30",3,IF(L113="F-60",4,IF(L113="F-90",5,IF(L113="F-120",6,0))))),0),0)</f>
        <v>0</v>
      </c>
      <c r="Q113" s="46">
        <f t="shared" si="10"/>
        <v>0</v>
      </c>
      <c r="R113" s="46">
        <f t="shared" si="12"/>
        <v>0</v>
      </c>
      <c r="S113" s="46" t="e">
        <f t="shared" si="11"/>
        <v>#VALUE!</v>
      </c>
      <c r="T113" s="677">
        <f t="shared" si="13"/>
        <v>0</v>
      </c>
      <c r="U113" s="80">
        <f>(IF(O113="Stofire",(S113*#REF!),0))+(IF(O113="Fire Control",(S113*$U$2),0))+(IF(O113="Fire Tex",(S113*$U$3),0))+(IF(O113="WB7",(S113*#REF!),0)+(IF(O113="FX 2003",(S113*$U$5),0)))</f>
        <v>0</v>
      </c>
      <c r="V113" s="651">
        <f t="shared" si="15"/>
        <v>0</v>
      </c>
      <c r="W113" s="4"/>
    </row>
    <row r="114" spans="1:23" x14ac:dyDescent="0.25">
      <c r="A114" s="652" t="s">
        <v>442</v>
      </c>
      <c r="B114" s="653" t="s">
        <v>443</v>
      </c>
      <c r="C114" s="1" t="s">
        <v>444</v>
      </c>
      <c r="D114" s="118">
        <f>+CUBICACION!D113</f>
        <v>0</v>
      </c>
      <c r="E114" s="118">
        <f>+CUBICACION!F113</f>
        <v>0</v>
      </c>
      <c r="F114" s="118">
        <f>+CUBICACION!E113</f>
        <v>0</v>
      </c>
      <c r="G114" s="118">
        <v>12</v>
      </c>
      <c r="H114" s="118">
        <v>2</v>
      </c>
      <c r="I114" s="820">
        <v>26385</v>
      </c>
      <c r="J114" s="118">
        <f>+CUBICACION!J113</f>
        <v>4</v>
      </c>
      <c r="K114" s="118">
        <v>2888</v>
      </c>
      <c r="L114" s="118">
        <f>+CUBICACION!L113</f>
        <v>0</v>
      </c>
      <c r="M114" s="64">
        <f>+CUBICACION!M113</f>
        <v>0</v>
      </c>
      <c r="N114" s="824" t="str">
        <f>+CUBICACION!N113</f>
        <v/>
      </c>
      <c r="O114" s="675">
        <f>+CUBICACION!O113</f>
        <v>0</v>
      </c>
      <c r="P114" s="15">
        <f>IF(O114="Fire Control",VLOOKUP(_xlfn.MINIFS('FIRE CONTROL'!$C$4:$C$37,'FIRE CONTROL'!$C$4:$C$37,"&gt;="&amp;M114),'FIRE CONTROL'!$C$4:$G$37,IF(L114="F-15",2,IF(L114="F-30",3,IF(L114="F-60",4,IF(L114="F-90",5,0)))),0),0)+IF(AND(O114="FIRE TEX 5062",OR(E114="IN",E114="C",E114="Z",E114="L"),J114=3),VLOOKUP(_xlfn.MINIFS('FIRE TEX 5062'!$B$4:$B$34,'FIRE TEX 5062'!$B$4:$B$34,"&gt;="&amp;M114),'FIRE TEX 5062'!$B$4:$F$34,IF(L114="F-15",2,IF(L114="F-30",3,IF(L114="F-60",4,IF(L114="F-90",5,0)))),0),0)+IF(AND(O114="FIRE TEX 5062",OR(E114="IN",E114="C",E114="Z",E114="L"),J114=4),VLOOKUP(_xlfn.MINIFS('FIRE TEX 5062'!$G$4:$G$34,'FIRE TEX 5062'!$G$4:$G$34,"&gt;="&amp;M114),'FIRE TEX 5062'!$G$4:$K$34,IF(L114="F-15",2,IF(L114="F-30",3,IF(L114="F-60",4,IF(L114="F-90",5,0)))),0),0)+IF(AND(O114="FIRE TEX 5062",E114="CJ",J114=3),VLOOKUP(_xlfn.MINIFS('FIRE TEX 5062'!$L$4:$L$34,'FIRE TEX 5062'!$L$4:$L$34,"&gt;="&amp;M114),'FIRE TEX 5062'!$L$4:$P$34,IF(L114="F-15",2,IF(L114="F-30",3,IF(L114="F-60",4,IF(L114="F-90",5,0)))),0),0)+IF(AND(O114="FIRE TEX 5062",E114="CJ",J114=4),VLOOKUP(_xlfn.MINIFS('FIRE TEX 5062'!$Q$3:$Q$34,'FIRE TEX 5062'!$Q$3:$Q$34,"&gt;="&amp;M114),'FIRE TEX 5062'!$Q$3:$U$34,IF(L114="F-15",2,IF(L114="F-30",3,IF(L114="F-60",4,IF(L114="F-90",5,0)))),0),0)+IF(AND(O114="FIRE TEX 5090",OR(E114="IN",E114="C",E114="Z",E114="L"),J114=3),VLOOKUP(_xlfn.MINIFS('FIRE TEX 5090'!$B$5:$B$43,'FIRE TEX 5090'!$B$5:$B$43,"&gt;="&amp;M114),'FIRE TEX 5090'!$B$5:$H$43,IF(L114="F-15",2,IF(L114="F-30",3,IF(L114="F-60",4,IF(L114="F-90",5,IF(L114="F-120",6,IF(L114="F-150",7,0)))))),0),0)+IF(AND(O114="FIRE TEX 5090",OR(E114="IN",E114="C",E114="Z",E114="L"),J114=4),VLOOKUP(_xlfn.MINIFS('FIRE TEX 5090'!$J$5:$J$43,'FIRE TEX 5090'!$J$5:$J$43,"&gt;="&amp;M114),'FIRE TEX 5090'!$J$5:$P$43,IF(L114="F-15",2,IF(L114="F-30",3,IF(L114="F-60",4,IF(L114="F-90",5,IF(L114="F-120",6,IF(L114="F-150",7,0)))))),0),0)+IF(AND(O114="FIRE TEX 5090",E114="CJ",J114=3),VLOOKUP(_xlfn.MINIFS('FIRE TEX 5090'!$R$5:$R$30,'FIRE TEX 5090'!$R$5:$R$30,"&gt;="&amp;M114),'FIRE TEX 5090'!$R$5:$W$30,IF(L114="F-15",2,IF(L114="F-30",3,IF(L114="F-60",4,IF(L114="F-90",5,IF(L114="F-120",6,IF(L114="F-150",7,0)))))),0),0)+IF(AND(O114="FIRE TEX 5090",E114="CJ",J114=4),VLOOKUP(_xlfn.MINIFS('FIRE TEX 5090'!$Y$5:$Y$39,'FIRE TEX 5090'!$Y$5:$Y$39,"&gt;="&amp;M114),'FIRE TEX 5090'!$Y$5:$AD$39,IF(L114="F-15",2,IF(L114="F-30",3,IF(L114="F-60",4,IF(L114="F-90",5,IF(L114="F-120",6,IF(L114="F-150",7,0)))))),0),0)+IF(AND(O114="FIRE TEX 5120",OR(E114="IN",E114="C",E114="Z",E114="L"),J114=3),VLOOKUP(_xlfn.MINIFS('FIRE TEX 5120'!$B$5:$B$40,'FIRE TEX 5120'!$B$5:$B$40,"&gt;="&amp;M114),'FIRE TEX 5120'!$B$5:$G$40,IF(L114="F-15",2,IF(L114="F-30",3,IF(L114="F-60",4,IF(L114="F-90",5,IF(L114="F-120",6,0))))),0),0)+IF(AND(O114="FIRE TEX 5120",OR(E114="IN",E114="C",E114="Z",E114="L"),J114=4),VLOOKUP(_xlfn.MINIFS('FIRE TEX 5120'!$H$4:$H$40,'FIRE TEX 5120'!$H$4:$H$40,"&gt;="&amp;M114),'FIRE TEX 5120'!$H$4:$M$40,IF(L114="F-15",2,IF(L114="F-30",3,IF(L114="F-60",4,IF(L114="F-90",5,IF(L114="F-120",6,0))))),0),0)+IF(AND(O114="FIRE TEX 5120",E114="CJ"),VLOOKUP(_xlfn.MINIFS('FIRE TEX 5120'!$O$5:$O$40,'FIRE TEX 5120'!$O$5:$O$40,"&gt;="&amp;M114),'FIRE TEX 5120'!$O$5:$T$40,IF(L114="F-15",2,IF(L114="F-30",3,IF(L114="F-60",4,IF(L114="F-90",5,IF(L114="F-120",6,0))))),0),0)</f>
        <v>0</v>
      </c>
      <c r="Q114" s="46">
        <f t="shared" si="10"/>
        <v>0</v>
      </c>
      <c r="R114" s="46">
        <f t="shared" si="12"/>
        <v>0</v>
      </c>
      <c r="S114" s="46" t="e">
        <f t="shared" si="11"/>
        <v>#VALUE!</v>
      </c>
      <c r="T114" s="677">
        <f t="shared" si="13"/>
        <v>0</v>
      </c>
      <c r="U114" s="80">
        <f>(IF(O114="Stofire",(S114*#REF!),0))+(IF(O114="Fire Control",(S114*$U$2),0))+(IF(O114="Fire Tex",(S114*$U$3),0))+(IF(O114="WB7",(S114*#REF!),0)+(IF(O114="FX 2003",(S114*$U$5),0)))</f>
        <v>0</v>
      </c>
      <c r="V114" s="651">
        <f t="shared" si="15"/>
        <v>0</v>
      </c>
      <c r="W114" s="4"/>
    </row>
    <row r="115" spans="1:23" x14ac:dyDescent="0.25">
      <c r="A115" s="652" t="s">
        <v>442</v>
      </c>
      <c r="B115" s="653" t="s">
        <v>443</v>
      </c>
      <c r="C115" s="1" t="s">
        <v>446</v>
      </c>
      <c r="D115" s="118">
        <f>+CUBICACION!D114</f>
        <v>0</v>
      </c>
      <c r="E115" s="118">
        <f>+CUBICACION!F114</f>
        <v>0</v>
      </c>
      <c r="F115" s="118">
        <f>+CUBICACION!E114</f>
        <v>0</v>
      </c>
      <c r="G115" s="118">
        <v>12</v>
      </c>
      <c r="H115" s="118">
        <v>2</v>
      </c>
      <c r="I115" s="820">
        <v>26385</v>
      </c>
      <c r="J115" s="118">
        <f>+CUBICACION!J114</f>
        <v>4</v>
      </c>
      <c r="K115" s="118">
        <v>2889</v>
      </c>
      <c r="L115" s="118">
        <f>+CUBICACION!L114</f>
        <v>0</v>
      </c>
      <c r="M115" s="64">
        <f>+CUBICACION!M114</f>
        <v>0</v>
      </c>
      <c r="N115" s="824" t="str">
        <f>+CUBICACION!N114</f>
        <v/>
      </c>
      <c r="O115" s="675">
        <f>+CUBICACION!O114</f>
        <v>0</v>
      </c>
      <c r="P115" s="15">
        <f>IF(O115="Fire Control",VLOOKUP(_xlfn.MINIFS('FIRE CONTROL'!$C$4:$C$37,'FIRE CONTROL'!$C$4:$C$37,"&gt;="&amp;M115),'FIRE CONTROL'!$C$4:$G$37,IF(L115="F-15",2,IF(L115="F-30",3,IF(L115="F-60",4,IF(L115="F-90",5,0)))),0),0)+IF(AND(O115="FIRE TEX 5062",OR(E115="IN",E115="C",E115="Z",E115="L"),J115=3),VLOOKUP(_xlfn.MINIFS('FIRE TEX 5062'!$B$4:$B$34,'FIRE TEX 5062'!$B$4:$B$34,"&gt;="&amp;M115),'FIRE TEX 5062'!$B$4:$F$34,IF(L115="F-15",2,IF(L115="F-30",3,IF(L115="F-60",4,IF(L115="F-90",5,0)))),0),0)+IF(AND(O115="FIRE TEX 5062",OR(E115="IN",E115="C",E115="Z",E115="L"),J115=4),VLOOKUP(_xlfn.MINIFS('FIRE TEX 5062'!$G$4:$G$34,'FIRE TEX 5062'!$G$4:$G$34,"&gt;="&amp;M115),'FIRE TEX 5062'!$G$4:$K$34,IF(L115="F-15",2,IF(L115="F-30",3,IF(L115="F-60",4,IF(L115="F-90",5,0)))),0),0)+IF(AND(O115="FIRE TEX 5062",E115="CJ",J115=3),VLOOKUP(_xlfn.MINIFS('FIRE TEX 5062'!$L$4:$L$34,'FIRE TEX 5062'!$L$4:$L$34,"&gt;="&amp;M115),'FIRE TEX 5062'!$L$4:$P$34,IF(L115="F-15",2,IF(L115="F-30",3,IF(L115="F-60",4,IF(L115="F-90",5,0)))),0),0)+IF(AND(O115="FIRE TEX 5062",E115="CJ",J115=4),VLOOKUP(_xlfn.MINIFS('FIRE TEX 5062'!$Q$3:$Q$34,'FIRE TEX 5062'!$Q$3:$Q$34,"&gt;="&amp;M115),'FIRE TEX 5062'!$Q$3:$U$34,IF(L115="F-15",2,IF(L115="F-30",3,IF(L115="F-60",4,IF(L115="F-90",5,0)))),0),0)+IF(AND(O115="FIRE TEX 5090",OR(E115="IN",E115="C",E115="Z",E115="L"),J115=3),VLOOKUP(_xlfn.MINIFS('FIRE TEX 5090'!$B$5:$B$43,'FIRE TEX 5090'!$B$5:$B$43,"&gt;="&amp;M115),'FIRE TEX 5090'!$B$5:$H$43,IF(L115="F-15",2,IF(L115="F-30",3,IF(L115="F-60",4,IF(L115="F-90",5,IF(L115="F-120",6,IF(L115="F-150",7,0)))))),0),0)+IF(AND(O115="FIRE TEX 5090",OR(E115="IN",E115="C",E115="Z",E115="L"),J115=4),VLOOKUP(_xlfn.MINIFS('FIRE TEX 5090'!$J$5:$J$43,'FIRE TEX 5090'!$J$5:$J$43,"&gt;="&amp;M115),'FIRE TEX 5090'!$J$5:$P$43,IF(L115="F-15",2,IF(L115="F-30",3,IF(L115="F-60",4,IF(L115="F-90",5,IF(L115="F-120",6,IF(L115="F-150",7,0)))))),0),0)+IF(AND(O115="FIRE TEX 5090",E115="CJ",J115=3),VLOOKUP(_xlfn.MINIFS('FIRE TEX 5090'!$R$5:$R$30,'FIRE TEX 5090'!$R$5:$R$30,"&gt;="&amp;M115),'FIRE TEX 5090'!$R$5:$W$30,IF(L115="F-15",2,IF(L115="F-30",3,IF(L115="F-60",4,IF(L115="F-90",5,IF(L115="F-120",6,IF(L115="F-150",7,0)))))),0),0)+IF(AND(O115="FIRE TEX 5090",E115="CJ",J115=4),VLOOKUP(_xlfn.MINIFS('FIRE TEX 5090'!$Y$5:$Y$39,'FIRE TEX 5090'!$Y$5:$Y$39,"&gt;="&amp;M115),'FIRE TEX 5090'!$Y$5:$AD$39,IF(L115="F-15",2,IF(L115="F-30",3,IF(L115="F-60",4,IF(L115="F-90",5,IF(L115="F-120",6,IF(L115="F-150",7,0)))))),0),0)+IF(AND(O115="FIRE TEX 5120",OR(E115="IN",E115="C",E115="Z",E115="L"),J115=3),VLOOKUP(_xlfn.MINIFS('FIRE TEX 5120'!$B$5:$B$40,'FIRE TEX 5120'!$B$5:$B$40,"&gt;="&amp;M115),'FIRE TEX 5120'!$B$5:$G$40,IF(L115="F-15",2,IF(L115="F-30",3,IF(L115="F-60",4,IF(L115="F-90",5,IF(L115="F-120",6,0))))),0),0)+IF(AND(O115="FIRE TEX 5120",OR(E115="IN",E115="C",E115="Z",E115="L"),J115=4),VLOOKUP(_xlfn.MINIFS('FIRE TEX 5120'!$H$4:$H$40,'FIRE TEX 5120'!$H$4:$H$40,"&gt;="&amp;M115),'FIRE TEX 5120'!$H$4:$M$40,IF(L115="F-15",2,IF(L115="F-30",3,IF(L115="F-60",4,IF(L115="F-90",5,IF(L115="F-120",6,0))))),0),0)+IF(AND(O115="FIRE TEX 5120",E115="CJ"),VLOOKUP(_xlfn.MINIFS('FIRE TEX 5120'!$O$5:$O$40,'FIRE TEX 5120'!$O$5:$O$40,"&gt;="&amp;M115),'FIRE TEX 5120'!$O$5:$T$40,IF(L115="F-15",2,IF(L115="F-30",3,IF(L115="F-60",4,IF(L115="F-90",5,IF(L115="F-120",6,0))))),0),0)</f>
        <v>0</v>
      </c>
      <c r="Q115" s="46">
        <f t="shared" si="10"/>
        <v>0</v>
      </c>
      <c r="R115" s="46">
        <f t="shared" si="12"/>
        <v>0</v>
      </c>
      <c r="S115" s="46" t="e">
        <f t="shared" si="11"/>
        <v>#VALUE!</v>
      </c>
      <c r="T115" s="677">
        <f t="shared" si="13"/>
        <v>0</v>
      </c>
      <c r="U115" s="80">
        <f>(IF(O115="Stofire",(S115*#REF!),0))+(IF(O115="Fire Control",(S115*$U$2),0))+(IF(O115="Fire Tex",(S115*$U$3),0))+(IF(O115="WB7",(S115*#REF!),0)+(IF(O115="FX 2003",(S115*$U$5),0)))</f>
        <v>0</v>
      </c>
      <c r="V115" s="651">
        <f>_xlfn.CEILING.MATH(M115,10)</f>
        <v>0</v>
      </c>
      <c r="W115" s="4"/>
    </row>
    <row r="116" spans="1:23" x14ac:dyDescent="0.25">
      <c r="A116" s="652" t="s">
        <v>448</v>
      </c>
      <c r="B116" s="653" t="s">
        <v>443</v>
      </c>
      <c r="C116" s="1" t="s">
        <v>444</v>
      </c>
      <c r="D116" s="118">
        <f>+CUBICACION!D115</f>
        <v>0</v>
      </c>
      <c r="E116" s="118">
        <f>+CUBICACION!F115</f>
        <v>0</v>
      </c>
      <c r="F116" s="118">
        <f>+CUBICACION!E115</f>
        <v>0</v>
      </c>
      <c r="G116" s="118">
        <v>12</v>
      </c>
      <c r="H116" s="118">
        <v>2</v>
      </c>
      <c r="I116" s="820">
        <v>26385</v>
      </c>
      <c r="J116" s="118">
        <f>+CUBICACION!J115</f>
        <v>4</v>
      </c>
      <c r="K116" s="118">
        <v>2890</v>
      </c>
      <c r="L116" s="118">
        <f>+CUBICACION!L115</f>
        <v>0</v>
      </c>
      <c r="M116" s="64">
        <f>+CUBICACION!M115</f>
        <v>0</v>
      </c>
      <c r="N116" s="824" t="str">
        <f>+CUBICACION!N115</f>
        <v/>
      </c>
      <c r="O116" s="675">
        <f>+CUBICACION!O115</f>
        <v>0</v>
      </c>
      <c r="P116" s="15">
        <f>IF(O116="Fire Control",VLOOKUP(_xlfn.MINIFS('FIRE CONTROL'!$C$4:$C$37,'FIRE CONTROL'!$C$4:$C$37,"&gt;="&amp;M116),'FIRE CONTROL'!$C$4:$G$37,IF(L116="F-15",2,IF(L116="F-30",3,IF(L116="F-60",4,IF(L116="F-90",5,0)))),0),0)+IF(AND(O116="FIRE TEX 5062",OR(E116="IN",E116="C",E116="Z",E116="L"),J116=3),VLOOKUP(_xlfn.MINIFS('FIRE TEX 5062'!$B$4:$B$34,'FIRE TEX 5062'!$B$4:$B$34,"&gt;="&amp;M116),'FIRE TEX 5062'!$B$4:$F$34,IF(L116="F-15",2,IF(L116="F-30",3,IF(L116="F-60",4,IF(L116="F-90",5,0)))),0),0)+IF(AND(O116="FIRE TEX 5062",OR(E116="IN",E116="C",E116="Z",E116="L"),J116=4),VLOOKUP(_xlfn.MINIFS('FIRE TEX 5062'!$G$4:$G$34,'FIRE TEX 5062'!$G$4:$G$34,"&gt;="&amp;M116),'FIRE TEX 5062'!$G$4:$K$34,IF(L116="F-15",2,IF(L116="F-30",3,IF(L116="F-60",4,IF(L116="F-90",5,0)))),0),0)+IF(AND(O116="FIRE TEX 5062",E116="CJ",J116=3),VLOOKUP(_xlfn.MINIFS('FIRE TEX 5062'!$L$4:$L$34,'FIRE TEX 5062'!$L$4:$L$34,"&gt;="&amp;M116),'FIRE TEX 5062'!$L$4:$P$34,IF(L116="F-15",2,IF(L116="F-30",3,IF(L116="F-60",4,IF(L116="F-90",5,0)))),0),0)+IF(AND(O116="FIRE TEX 5062",E116="CJ",J116=4),VLOOKUP(_xlfn.MINIFS('FIRE TEX 5062'!$Q$3:$Q$34,'FIRE TEX 5062'!$Q$3:$Q$34,"&gt;="&amp;M116),'FIRE TEX 5062'!$Q$3:$U$34,IF(L116="F-15",2,IF(L116="F-30",3,IF(L116="F-60",4,IF(L116="F-90",5,0)))),0),0)+IF(AND(O116="FIRE TEX 5090",OR(E116="IN",E116="C",E116="Z",E116="L"),J116=3),VLOOKUP(_xlfn.MINIFS('FIRE TEX 5090'!$B$5:$B$43,'FIRE TEX 5090'!$B$5:$B$43,"&gt;="&amp;M116),'FIRE TEX 5090'!$B$5:$H$43,IF(L116="F-15",2,IF(L116="F-30",3,IF(L116="F-60",4,IF(L116="F-90",5,IF(L116="F-120",6,IF(L116="F-150",7,0)))))),0),0)+IF(AND(O116="FIRE TEX 5090",OR(E116="IN",E116="C",E116="Z",E116="L"),J116=4),VLOOKUP(_xlfn.MINIFS('FIRE TEX 5090'!$J$5:$J$43,'FIRE TEX 5090'!$J$5:$J$43,"&gt;="&amp;M116),'FIRE TEX 5090'!$J$5:$P$43,IF(L116="F-15",2,IF(L116="F-30",3,IF(L116="F-60",4,IF(L116="F-90",5,IF(L116="F-120",6,IF(L116="F-150",7,0)))))),0),0)+IF(AND(O116="FIRE TEX 5090",E116="CJ",J116=3),VLOOKUP(_xlfn.MINIFS('FIRE TEX 5090'!$R$5:$R$30,'FIRE TEX 5090'!$R$5:$R$30,"&gt;="&amp;M116),'FIRE TEX 5090'!$R$5:$W$30,IF(L116="F-15",2,IF(L116="F-30",3,IF(L116="F-60",4,IF(L116="F-90",5,IF(L116="F-120",6,IF(L116="F-150",7,0)))))),0),0)+IF(AND(O116="FIRE TEX 5090",E116="CJ",J116=4),VLOOKUP(_xlfn.MINIFS('FIRE TEX 5090'!$Y$5:$Y$39,'FIRE TEX 5090'!$Y$5:$Y$39,"&gt;="&amp;M116),'FIRE TEX 5090'!$Y$5:$AD$39,IF(L116="F-15",2,IF(L116="F-30",3,IF(L116="F-60",4,IF(L116="F-90",5,IF(L116="F-120",6,IF(L116="F-150",7,0)))))),0),0)+IF(AND(O116="FIRE TEX 5120",OR(E116="IN",E116="C",E116="Z",E116="L"),J116=3),VLOOKUP(_xlfn.MINIFS('FIRE TEX 5120'!$B$5:$B$40,'FIRE TEX 5120'!$B$5:$B$40,"&gt;="&amp;M116),'FIRE TEX 5120'!$B$5:$G$40,IF(L116="F-15",2,IF(L116="F-30",3,IF(L116="F-60",4,IF(L116="F-90",5,IF(L116="F-120",6,0))))),0),0)+IF(AND(O116="FIRE TEX 5120",OR(E116="IN",E116="C",E116="Z",E116="L"),J116=4),VLOOKUP(_xlfn.MINIFS('FIRE TEX 5120'!$H$4:$H$40,'FIRE TEX 5120'!$H$4:$H$40,"&gt;="&amp;M116),'FIRE TEX 5120'!$H$4:$M$40,IF(L116="F-15",2,IF(L116="F-30",3,IF(L116="F-60",4,IF(L116="F-90",5,IF(L116="F-120",6,0))))),0),0)+IF(AND(O116="FIRE TEX 5120",E116="CJ"),VLOOKUP(_xlfn.MINIFS('FIRE TEX 5120'!$O$5:$O$40,'FIRE TEX 5120'!$O$5:$O$40,"&gt;="&amp;M116),'FIRE TEX 5120'!$O$5:$T$40,IF(L116="F-15",2,IF(L116="F-30",3,IF(L116="F-60",4,IF(L116="F-90",5,IF(L116="F-120",6,0))))),0),0)</f>
        <v>0</v>
      </c>
      <c r="Q116" s="46">
        <f t="shared" si="10"/>
        <v>0</v>
      </c>
      <c r="R116" s="46">
        <f t="shared" si="12"/>
        <v>0</v>
      </c>
      <c r="S116" s="46" t="e">
        <f>IF(R116="","",+N116/R116)</f>
        <v>#VALUE!</v>
      </c>
      <c r="T116" s="677">
        <f t="shared" si="13"/>
        <v>0</v>
      </c>
      <c r="U116" s="80">
        <f>(IF(O116="Stofire",(S116*#REF!),0))+(IF(O116="Fire Control",(S116*$U$2),0))+(IF(O116="Fire Tex",(S116*$U$3),0))+(IF(O116="WB7",(S116*#REF!),0)+(IF(O116="FX 2003",(S116*$U$5),0)))</f>
        <v>0</v>
      </c>
      <c r="V116" s="651">
        <f>_xlfn.CEILING.MATH(M116,10)</f>
        <v>0</v>
      </c>
      <c r="W116" s="4"/>
    </row>
    <row r="117" spans="1:23" x14ac:dyDescent="0.25">
      <c r="A117" s="652" t="s">
        <v>448</v>
      </c>
      <c r="B117" s="653" t="s">
        <v>443</v>
      </c>
      <c r="C117" s="1" t="s">
        <v>446</v>
      </c>
      <c r="D117" s="118">
        <f>+CUBICACION!D116</f>
        <v>0</v>
      </c>
      <c r="E117" s="118">
        <f>+CUBICACION!F116</f>
        <v>0</v>
      </c>
      <c r="F117" s="118">
        <f>+CUBICACION!E116</f>
        <v>0</v>
      </c>
      <c r="G117" s="118">
        <v>12</v>
      </c>
      <c r="H117" s="118">
        <v>2</v>
      </c>
      <c r="I117" s="820">
        <v>26385</v>
      </c>
      <c r="J117" s="118">
        <f>+CUBICACION!J116</f>
        <v>4</v>
      </c>
      <c r="K117" s="118">
        <v>2891</v>
      </c>
      <c r="L117" s="118">
        <f>+CUBICACION!L116</f>
        <v>0</v>
      </c>
      <c r="M117" s="64">
        <f>+CUBICACION!M116</f>
        <v>0</v>
      </c>
      <c r="N117" s="824" t="str">
        <f>+CUBICACION!N116</f>
        <v/>
      </c>
      <c r="O117" s="675">
        <f>+CUBICACION!O116</f>
        <v>0</v>
      </c>
      <c r="P117" s="15">
        <f>IF(O117="Fire Control",VLOOKUP(_xlfn.MINIFS('FIRE CONTROL'!$C$4:$C$37,'FIRE CONTROL'!$C$4:$C$37,"&gt;="&amp;M117),'FIRE CONTROL'!$C$4:$G$37,IF(L117="F-15",2,IF(L117="F-30",3,IF(L117="F-60",4,IF(L117="F-90",5,0)))),0),0)+IF(AND(O117="FIRE TEX 5062",OR(E117="IN",E117="C",E117="Z",E117="L"),J117=3),VLOOKUP(_xlfn.MINIFS('FIRE TEX 5062'!$B$4:$B$34,'FIRE TEX 5062'!$B$4:$B$34,"&gt;="&amp;M117),'FIRE TEX 5062'!$B$4:$F$34,IF(L117="F-15",2,IF(L117="F-30",3,IF(L117="F-60",4,IF(L117="F-90",5,0)))),0),0)+IF(AND(O117="FIRE TEX 5062",OR(E117="IN",E117="C",E117="Z",E117="L"),J117=4),VLOOKUP(_xlfn.MINIFS('FIRE TEX 5062'!$G$4:$G$34,'FIRE TEX 5062'!$G$4:$G$34,"&gt;="&amp;M117),'FIRE TEX 5062'!$G$4:$K$34,IF(L117="F-15",2,IF(L117="F-30",3,IF(L117="F-60",4,IF(L117="F-90",5,0)))),0),0)+IF(AND(O117="FIRE TEX 5062",E117="CJ",J117=3),VLOOKUP(_xlfn.MINIFS('FIRE TEX 5062'!$L$4:$L$34,'FIRE TEX 5062'!$L$4:$L$34,"&gt;="&amp;M117),'FIRE TEX 5062'!$L$4:$P$34,IF(L117="F-15",2,IF(L117="F-30",3,IF(L117="F-60",4,IF(L117="F-90",5,0)))),0),0)+IF(AND(O117="FIRE TEX 5062",E117="CJ",J117=4),VLOOKUP(_xlfn.MINIFS('FIRE TEX 5062'!$Q$3:$Q$34,'FIRE TEX 5062'!$Q$3:$Q$34,"&gt;="&amp;M117),'FIRE TEX 5062'!$Q$3:$U$34,IF(L117="F-15",2,IF(L117="F-30",3,IF(L117="F-60",4,IF(L117="F-90",5,0)))),0),0)+IF(AND(O117="FIRE TEX 5090",OR(E117="IN",E117="C",E117="Z",E117="L"),J117=3),VLOOKUP(_xlfn.MINIFS('FIRE TEX 5090'!$B$5:$B$43,'FIRE TEX 5090'!$B$5:$B$43,"&gt;="&amp;M117),'FIRE TEX 5090'!$B$5:$H$43,IF(L117="F-15",2,IF(L117="F-30",3,IF(L117="F-60",4,IF(L117="F-90",5,IF(L117="F-120",6,IF(L117="F-150",7,0)))))),0),0)+IF(AND(O117="FIRE TEX 5090",OR(E117="IN",E117="C",E117="Z",E117="L"),J117=4),VLOOKUP(_xlfn.MINIFS('FIRE TEX 5090'!$J$5:$J$43,'FIRE TEX 5090'!$J$5:$J$43,"&gt;="&amp;M117),'FIRE TEX 5090'!$J$5:$P$43,IF(L117="F-15",2,IF(L117="F-30",3,IF(L117="F-60",4,IF(L117="F-90",5,IF(L117="F-120",6,IF(L117="F-150",7,0)))))),0),0)+IF(AND(O117="FIRE TEX 5090",E117="CJ",J117=3),VLOOKUP(_xlfn.MINIFS('FIRE TEX 5090'!$R$5:$R$30,'FIRE TEX 5090'!$R$5:$R$30,"&gt;="&amp;M117),'FIRE TEX 5090'!$R$5:$W$30,IF(L117="F-15",2,IF(L117="F-30",3,IF(L117="F-60",4,IF(L117="F-90",5,IF(L117="F-120",6,IF(L117="F-150",7,0)))))),0),0)+IF(AND(O117="FIRE TEX 5090",E117="CJ",J117=4),VLOOKUP(_xlfn.MINIFS('FIRE TEX 5090'!$Y$5:$Y$39,'FIRE TEX 5090'!$Y$5:$Y$39,"&gt;="&amp;M117),'FIRE TEX 5090'!$Y$5:$AD$39,IF(L117="F-15",2,IF(L117="F-30",3,IF(L117="F-60",4,IF(L117="F-90",5,IF(L117="F-120",6,IF(L117="F-150",7,0)))))),0),0)+IF(AND(O117="FIRE TEX 5120",OR(E117="IN",E117="C",E117="Z",E117="L"),J117=3),VLOOKUP(_xlfn.MINIFS('FIRE TEX 5120'!$B$5:$B$40,'FIRE TEX 5120'!$B$5:$B$40,"&gt;="&amp;M117),'FIRE TEX 5120'!$B$5:$G$40,IF(L117="F-15",2,IF(L117="F-30",3,IF(L117="F-60",4,IF(L117="F-90",5,IF(L117="F-120",6,0))))),0),0)+IF(AND(O117="FIRE TEX 5120",OR(E117="IN",E117="C",E117="Z",E117="L"),J117=4),VLOOKUP(_xlfn.MINIFS('FIRE TEX 5120'!$H$4:$H$40,'FIRE TEX 5120'!$H$4:$H$40,"&gt;="&amp;M117),'FIRE TEX 5120'!$H$4:$M$40,IF(L117="F-15",2,IF(L117="F-30",3,IF(L117="F-60",4,IF(L117="F-90",5,IF(L117="F-120",6,0))))),0),0)+IF(AND(O117="FIRE TEX 5120",E117="CJ"),VLOOKUP(_xlfn.MINIFS('FIRE TEX 5120'!$O$5:$O$40,'FIRE TEX 5120'!$O$5:$O$40,"&gt;="&amp;M117),'FIRE TEX 5120'!$O$5:$T$40,IF(L117="F-15",2,IF(L117="F-30",3,IF(L117="F-60",4,IF(L117="F-90",5,IF(L117="F-120",6,0))))),0),0)</f>
        <v>0</v>
      </c>
      <c r="Q117" s="46">
        <f t="shared" si="10"/>
        <v>0</v>
      </c>
      <c r="R117" s="46">
        <f t="shared" si="12"/>
        <v>0</v>
      </c>
      <c r="S117" s="46" t="e">
        <f t="shared" si="11"/>
        <v>#VALUE!</v>
      </c>
      <c r="T117" s="677">
        <f t="shared" si="13"/>
        <v>0</v>
      </c>
      <c r="U117" s="80">
        <f>(IF(O117="Stofire",(S117*#REF!),0))+(IF(O117="Fire Control",(S117*$U$2),0))+(IF(O117="Fire Tex",(S117*$U$3),0))+(IF(O117="WB7",(S117*#REF!),0)+(IF(O117="FX 2003",(S117*$U$5),0)))</f>
        <v>0</v>
      </c>
      <c r="V117" s="651">
        <f t="shared" ref="V117:V124" si="16">_xlfn.CEILING.MATH(M117,10)</f>
        <v>0</v>
      </c>
      <c r="W117" s="4"/>
    </row>
    <row r="118" spans="1:23" x14ac:dyDescent="0.25">
      <c r="A118" s="652" t="s">
        <v>448</v>
      </c>
      <c r="B118" s="653" t="s">
        <v>451</v>
      </c>
      <c r="C118" s="1" t="s">
        <v>446</v>
      </c>
      <c r="D118" s="118">
        <f>+CUBICACION!D117</f>
        <v>0</v>
      </c>
      <c r="E118" s="118">
        <f>+CUBICACION!F117</f>
        <v>0</v>
      </c>
      <c r="F118" s="118">
        <f>+CUBICACION!E117</f>
        <v>0</v>
      </c>
      <c r="G118" s="118">
        <v>12</v>
      </c>
      <c r="H118" s="118">
        <v>2</v>
      </c>
      <c r="I118" s="820">
        <v>26385</v>
      </c>
      <c r="J118" s="118">
        <f>+CUBICACION!J117</f>
        <v>4</v>
      </c>
      <c r="K118" s="118">
        <v>2892</v>
      </c>
      <c r="L118" s="118">
        <f>+CUBICACION!L117</f>
        <v>0</v>
      </c>
      <c r="M118" s="64">
        <f>+CUBICACION!M117</f>
        <v>0</v>
      </c>
      <c r="N118" s="824" t="str">
        <f>+CUBICACION!N117</f>
        <v/>
      </c>
      <c r="O118" s="675">
        <f>+CUBICACION!O117</f>
        <v>0</v>
      </c>
      <c r="P118" s="15">
        <f>IF(O118="Fire Control",VLOOKUP(_xlfn.MINIFS('FIRE CONTROL'!$C$4:$C$37,'FIRE CONTROL'!$C$4:$C$37,"&gt;="&amp;M118),'FIRE CONTROL'!$C$4:$G$37,IF(L118="F-15",2,IF(L118="F-30",3,IF(L118="F-60",4,IF(L118="F-90",5,0)))),0),0)+IF(AND(O118="FIRE TEX 5062",OR(E118="IN",E118="C",E118="Z",E118="L"),J118=3),VLOOKUP(_xlfn.MINIFS('FIRE TEX 5062'!$B$4:$B$34,'FIRE TEX 5062'!$B$4:$B$34,"&gt;="&amp;M118),'FIRE TEX 5062'!$B$4:$F$34,IF(L118="F-15",2,IF(L118="F-30",3,IF(L118="F-60",4,IF(L118="F-90",5,0)))),0),0)+IF(AND(O118="FIRE TEX 5062",OR(E118="IN",E118="C",E118="Z",E118="L"),J118=4),VLOOKUP(_xlfn.MINIFS('FIRE TEX 5062'!$G$4:$G$34,'FIRE TEX 5062'!$G$4:$G$34,"&gt;="&amp;M118),'FIRE TEX 5062'!$G$4:$K$34,IF(L118="F-15",2,IF(L118="F-30",3,IF(L118="F-60",4,IF(L118="F-90",5,0)))),0),0)+IF(AND(O118="FIRE TEX 5062",E118="CJ",J118=3),VLOOKUP(_xlfn.MINIFS('FIRE TEX 5062'!$L$4:$L$34,'FIRE TEX 5062'!$L$4:$L$34,"&gt;="&amp;M118),'FIRE TEX 5062'!$L$4:$P$34,IF(L118="F-15",2,IF(L118="F-30",3,IF(L118="F-60",4,IF(L118="F-90",5,0)))),0),0)+IF(AND(O118="FIRE TEX 5062",E118="CJ",J118=4),VLOOKUP(_xlfn.MINIFS('FIRE TEX 5062'!$Q$3:$Q$34,'FIRE TEX 5062'!$Q$3:$Q$34,"&gt;="&amp;M118),'FIRE TEX 5062'!$Q$3:$U$34,IF(L118="F-15",2,IF(L118="F-30",3,IF(L118="F-60",4,IF(L118="F-90",5,0)))),0),0)+IF(AND(O118="FIRE TEX 5090",OR(E118="IN",E118="C",E118="Z",E118="L"),J118=3),VLOOKUP(_xlfn.MINIFS('FIRE TEX 5090'!$B$5:$B$43,'FIRE TEX 5090'!$B$5:$B$43,"&gt;="&amp;M118),'FIRE TEX 5090'!$B$5:$H$43,IF(L118="F-15",2,IF(L118="F-30",3,IF(L118="F-60",4,IF(L118="F-90",5,IF(L118="F-120",6,IF(L118="F-150",7,0)))))),0),0)+IF(AND(O118="FIRE TEX 5090",OR(E118="IN",E118="C",E118="Z",E118="L"),J118=4),VLOOKUP(_xlfn.MINIFS('FIRE TEX 5090'!$J$5:$J$43,'FIRE TEX 5090'!$J$5:$J$43,"&gt;="&amp;M118),'FIRE TEX 5090'!$J$5:$P$43,IF(L118="F-15",2,IF(L118="F-30",3,IF(L118="F-60",4,IF(L118="F-90",5,IF(L118="F-120",6,IF(L118="F-150",7,0)))))),0),0)+IF(AND(O118="FIRE TEX 5090",E118="CJ",J118=3),VLOOKUP(_xlfn.MINIFS('FIRE TEX 5090'!$R$5:$R$30,'FIRE TEX 5090'!$R$5:$R$30,"&gt;="&amp;M118),'FIRE TEX 5090'!$R$5:$W$30,IF(L118="F-15",2,IF(L118="F-30",3,IF(L118="F-60",4,IF(L118="F-90",5,IF(L118="F-120",6,IF(L118="F-150",7,0)))))),0),0)+IF(AND(O118="FIRE TEX 5090",E118="CJ",J118=4),VLOOKUP(_xlfn.MINIFS('FIRE TEX 5090'!$Y$5:$Y$39,'FIRE TEX 5090'!$Y$5:$Y$39,"&gt;="&amp;M118),'FIRE TEX 5090'!$Y$5:$AD$39,IF(L118="F-15",2,IF(L118="F-30",3,IF(L118="F-60",4,IF(L118="F-90",5,IF(L118="F-120",6,IF(L118="F-150",7,0)))))),0),0)+IF(AND(O118="FIRE TEX 5120",OR(E118="IN",E118="C",E118="Z",E118="L"),J118=3),VLOOKUP(_xlfn.MINIFS('FIRE TEX 5120'!$B$5:$B$40,'FIRE TEX 5120'!$B$5:$B$40,"&gt;="&amp;M118),'FIRE TEX 5120'!$B$5:$G$40,IF(L118="F-15",2,IF(L118="F-30",3,IF(L118="F-60",4,IF(L118="F-90",5,IF(L118="F-120",6,0))))),0),0)+IF(AND(O118="FIRE TEX 5120",OR(E118="IN",E118="C",E118="Z",E118="L"),J118=4),VLOOKUP(_xlfn.MINIFS('FIRE TEX 5120'!$H$4:$H$40,'FIRE TEX 5120'!$H$4:$H$40,"&gt;="&amp;M118),'FIRE TEX 5120'!$H$4:$M$40,IF(L118="F-15",2,IF(L118="F-30",3,IF(L118="F-60",4,IF(L118="F-90",5,IF(L118="F-120",6,0))))),0),0)+IF(AND(O118="FIRE TEX 5120",E118="CJ"),VLOOKUP(_xlfn.MINIFS('FIRE TEX 5120'!$O$5:$O$40,'FIRE TEX 5120'!$O$5:$O$40,"&gt;="&amp;M118),'FIRE TEX 5120'!$O$5:$T$40,IF(L118="F-15",2,IF(L118="F-30",3,IF(L118="F-60",4,IF(L118="F-90",5,IF(L118="F-120",6,0))))),0),0)</f>
        <v>0</v>
      </c>
      <c r="Q118" s="46">
        <f t="shared" si="10"/>
        <v>0</v>
      </c>
      <c r="R118" s="46">
        <f t="shared" si="12"/>
        <v>0</v>
      </c>
      <c r="S118" s="46" t="e">
        <f t="shared" si="11"/>
        <v>#VALUE!</v>
      </c>
      <c r="T118" s="677">
        <f t="shared" si="13"/>
        <v>0</v>
      </c>
      <c r="U118" s="80">
        <f>(IF(O118="Stofire",(S118*#REF!),0))+(IF(O118="Fire Control",(S118*$U$2),0))+(IF(O118="Fire Tex",(S118*$U$3),0))+(IF(O118="WB7",(S118*#REF!),0)+(IF(O118="FX 2003",(S118*$U$5),0)))</f>
        <v>0</v>
      </c>
      <c r="V118" s="651">
        <f t="shared" si="16"/>
        <v>0</v>
      </c>
      <c r="W118" s="4"/>
    </row>
    <row r="119" spans="1:23" x14ac:dyDescent="0.25">
      <c r="A119" s="652" t="s">
        <v>452</v>
      </c>
      <c r="B119" s="653" t="s">
        <v>453</v>
      </c>
      <c r="C119" s="1" t="s">
        <v>454</v>
      </c>
      <c r="D119" s="118">
        <f>+CUBICACION!D118</f>
        <v>0</v>
      </c>
      <c r="E119" s="118">
        <f>+CUBICACION!F118</f>
        <v>0</v>
      </c>
      <c r="F119" s="118">
        <f>+CUBICACION!E118</f>
        <v>0</v>
      </c>
      <c r="G119" s="118">
        <v>12</v>
      </c>
      <c r="H119" s="118">
        <v>2</v>
      </c>
      <c r="I119" s="820">
        <v>26385</v>
      </c>
      <c r="J119" s="118">
        <f>+CUBICACION!J118</f>
        <v>4</v>
      </c>
      <c r="K119" s="118">
        <v>2893</v>
      </c>
      <c r="L119" s="118">
        <f>+CUBICACION!L118</f>
        <v>0</v>
      </c>
      <c r="M119" s="64">
        <f>+CUBICACION!M118</f>
        <v>0</v>
      </c>
      <c r="N119" s="824" t="str">
        <f>+CUBICACION!N118</f>
        <v/>
      </c>
      <c r="O119" s="675">
        <f>+CUBICACION!O118</f>
        <v>0</v>
      </c>
      <c r="P119" s="15">
        <f>IF(O119="Fire Control",VLOOKUP(_xlfn.MINIFS('FIRE CONTROL'!$C$4:$C$37,'FIRE CONTROL'!$C$4:$C$37,"&gt;="&amp;M119),'FIRE CONTROL'!$C$4:$G$37,IF(L119="F-15",2,IF(L119="F-30",3,IF(L119="F-60",4,IF(L119="F-90",5,0)))),0),0)+IF(AND(O119="FIRE TEX 5062",OR(E119="IN",E119="C",E119="Z",E119="L"),J119=3),VLOOKUP(_xlfn.MINIFS('FIRE TEX 5062'!$B$4:$B$34,'FIRE TEX 5062'!$B$4:$B$34,"&gt;="&amp;M119),'FIRE TEX 5062'!$B$4:$F$34,IF(L119="F-15",2,IF(L119="F-30",3,IF(L119="F-60",4,IF(L119="F-90",5,0)))),0),0)+IF(AND(O119="FIRE TEX 5062",OR(E119="IN",E119="C",E119="Z",E119="L"),J119=4),VLOOKUP(_xlfn.MINIFS('FIRE TEX 5062'!$G$4:$G$34,'FIRE TEX 5062'!$G$4:$G$34,"&gt;="&amp;M119),'FIRE TEX 5062'!$G$4:$K$34,IF(L119="F-15",2,IF(L119="F-30",3,IF(L119="F-60",4,IF(L119="F-90",5,0)))),0),0)+IF(AND(O119="FIRE TEX 5062",E119="CJ",J119=3),VLOOKUP(_xlfn.MINIFS('FIRE TEX 5062'!$L$4:$L$34,'FIRE TEX 5062'!$L$4:$L$34,"&gt;="&amp;M119),'FIRE TEX 5062'!$L$4:$P$34,IF(L119="F-15",2,IF(L119="F-30",3,IF(L119="F-60",4,IF(L119="F-90",5,0)))),0),0)+IF(AND(O119="FIRE TEX 5062",E119="CJ",J119=4),VLOOKUP(_xlfn.MINIFS('FIRE TEX 5062'!$Q$3:$Q$34,'FIRE TEX 5062'!$Q$3:$Q$34,"&gt;="&amp;M119),'FIRE TEX 5062'!$Q$3:$U$34,IF(L119="F-15",2,IF(L119="F-30",3,IF(L119="F-60",4,IF(L119="F-90",5,0)))),0),0)+IF(AND(O119="FIRE TEX 5090",OR(E119="IN",E119="C",E119="Z",E119="L"),J119=3),VLOOKUP(_xlfn.MINIFS('FIRE TEX 5090'!$B$5:$B$43,'FIRE TEX 5090'!$B$5:$B$43,"&gt;="&amp;M119),'FIRE TEX 5090'!$B$5:$H$43,IF(L119="F-15",2,IF(L119="F-30",3,IF(L119="F-60",4,IF(L119="F-90",5,IF(L119="F-120",6,IF(L119="F-150",7,0)))))),0),0)+IF(AND(O119="FIRE TEX 5090",OR(E119="IN",E119="C",E119="Z",E119="L"),J119=4),VLOOKUP(_xlfn.MINIFS('FIRE TEX 5090'!$J$5:$J$43,'FIRE TEX 5090'!$J$5:$J$43,"&gt;="&amp;M119),'FIRE TEX 5090'!$J$5:$P$43,IF(L119="F-15",2,IF(L119="F-30",3,IF(L119="F-60",4,IF(L119="F-90",5,IF(L119="F-120",6,IF(L119="F-150",7,0)))))),0),0)+IF(AND(O119="FIRE TEX 5090",E119="CJ",J119=3),VLOOKUP(_xlfn.MINIFS('FIRE TEX 5090'!$R$5:$R$30,'FIRE TEX 5090'!$R$5:$R$30,"&gt;="&amp;M119),'FIRE TEX 5090'!$R$5:$W$30,IF(L119="F-15",2,IF(L119="F-30",3,IF(L119="F-60",4,IF(L119="F-90",5,IF(L119="F-120",6,IF(L119="F-150",7,0)))))),0),0)+IF(AND(O119="FIRE TEX 5090",E119="CJ",J119=4),VLOOKUP(_xlfn.MINIFS('FIRE TEX 5090'!$Y$5:$Y$39,'FIRE TEX 5090'!$Y$5:$Y$39,"&gt;="&amp;M119),'FIRE TEX 5090'!$Y$5:$AD$39,IF(L119="F-15",2,IF(L119="F-30",3,IF(L119="F-60",4,IF(L119="F-90",5,IF(L119="F-120",6,IF(L119="F-150",7,0)))))),0),0)+IF(AND(O119="FIRE TEX 5120",OR(E119="IN",E119="C",E119="Z",E119="L"),J119=3),VLOOKUP(_xlfn.MINIFS('FIRE TEX 5120'!$B$5:$B$40,'FIRE TEX 5120'!$B$5:$B$40,"&gt;="&amp;M119),'FIRE TEX 5120'!$B$5:$G$40,IF(L119="F-15",2,IF(L119="F-30",3,IF(L119="F-60",4,IF(L119="F-90",5,IF(L119="F-120",6,0))))),0),0)+IF(AND(O119="FIRE TEX 5120",OR(E119="IN",E119="C",E119="Z",E119="L"),J119=4),VLOOKUP(_xlfn.MINIFS('FIRE TEX 5120'!$H$4:$H$40,'FIRE TEX 5120'!$H$4:$H$40,"&gt;="&amp;M119),'FIRE TEX 5120'!$H$4:$M$40,IF(L119="F-15",2,IF(L119="F-30",3,IF(L119="F-60",4,IF(L119="F-90",5,IF(L119="F-120",6,0))))),0),0)+IF(AND(O119="FIRE TEX 5120",E119="CJ"),VLOOKUP(_xlfn.MINIFS('FIRE TEX 5120'!$O$5:$O$40,'FIRE TEX 5120'!$O$5:$O$40,"&gt;="&amp;M119),'FIRE TEX 5120'!$O$5:$T$40,IF(L119="F-15",2,IF(L119="F-30",3,IF(L119="F-60",4,IF(L119="F-90",5,IF(L119="F-120",6,0))))),0),0)</f>
        <v>0</v>
      </c>
      <c r="Q119" s="46">
        <f t="shared" si="10"/>
        <v>0</v>
      </c>
      <c r="R119" s="46">
        <f t="shared" si="12"/>
        <v>0</v>
      </c>
      <c r="S119" s="46" t="e">
        <f t="shared" si="11"/>
        <v>#VALUE!</v>
      </c>
      <c r="T119" s="677">
        <f t="shared" si="13"/>
        <v>0</v>
      </c>
      <c r="U119" s="80">
        <f>(IF(O119="Stofire",(S119*#REF!),0))+(IF(O119="Fire Control",(S119*$U$2),0))+(IF(O119="Fire Tex",(S119*$U$3),0))+(IF(O119="WB7",(S119*#REF!),0)+(IF(O119="FX 2003",(S119*$U$5),0)))</f>
        <v>0</v>
      </c>
      <c r="V119" s="651">
        <f t="shared" si="16"/>
        <v>0</v>
      </c>
      <c r="W119" s="4"/>
    </row>
    <row r="120" spans="1:23" x14ac:dyDescent="0.25">
      <c r="A120" s="652" t="s">
        <v>458</v>
      </c>
      <c r="B120" s="653" t="s">
        <v>459</v>
      </c>
      <c r="C120" s="1" t="s">
        <v>460</v>
      </c>
      <c r="D120" s="118">
        <f>+CUBICACION!D119</f>
        <v>0</v>
      </c>
      <c r="E120" s="118">
        <f>+CUBICACION!F119</f>
        <v>0</v>
      </c>
      <c r="F120" s="118">
        <f>+CUBICACION!E119</f>
        <v>0</v>
      </c>
      <c r="G120" s="118">
        <v>12</v>
      </c>
      <c r="H120" s="118">
        <v>2</v>
      </c>
      <c r="I120" s="820">
        <v>26385</v>
      </c>
      <c r="J120" s="118">
        <f>+CUBICACION!J119</f>
        <v>4</v>
      </c>
      <c r="K120" s="118">
        <v>2899</v>
      </c>
      <c r="L120" s="118">
        <f>+CUBICACION!L119</f>
        <v>0</v>
      </c>
      <c r="M120" s="64">
        <f>+CUBICACION!M119</f>
        <v>0</v>
      </c>
      <c r="N120" s="824" t="str">
        <f>+CUBICACION!N119</f>
        <v/>
      </c>
      <c r="O120" s="675">
        <f>+CUBICACION!O119</f>
        <v>0</v>
      </c>
      <c r="P120" s="15">
        <f>IF(O120="Fire Control",VLOOKUP(_xlfn.MINIFS('FIRE CONTROL'!$C$4:$C$37,'FIRE CONTROL'!$C$4:$C$37,"&gt;="&amp;M120),'FIRE CONTROL'!$C$4:$G$37,IF(L120="F-15",2,IF(L120="F-30",3,IF(L120="F-60",4,IF(L120="F-90",5,0)))),0),0)+IF(AND(O120="FIRE TEX 5062",OR(E120="IN",E120="C",E120="Z",E120="L"),J120=3),VLOOKUP(_xlfn.MINIFS('FIRE TEX 5062'!$B$4:$B$34,'FIRE TEX 5062'!$B$4:$B$34,"&gt;="&amp;M120),'FIRE TEX 5062'!$B$4:$F$34,IF(L120="F-15",2,IF(L120="F-30",3,IF(L120="F-60",4,IF(L120="F-90",5,0)))),0),0)+IF(AND(O120="FIRE TEX 5062",OR(E120="IN",E120="C",E120="Z",E120="L"),J120=4),VLOOKUP(_xlfn.MINIFS('FIRE TEX 5062'!$G$4:$G$34,'FIRE TEX 5062'!$G$4:$G$34,"&gt;="&amp;M120),'FIRE TEX 5062'!$G$4:$K$34,IF(L120="F-15",2,IF(L120="F-30",3,IF(L120="F-60",4,IF(L120="F-90",5,0)))),0),0)+IF(AND(O120="FIRE TEX 5062",E120="CJ",J120=3),VLOOKUP(_xlfn.MINIFS('FIRE TEX 5062'!$L$4:$L$34,'FIRE TEX 5062'!$L$4:$L$34,"&gt;="&amp;M120),'FIRE TEX 5062'!$L$4:$P$34,IF(L120="F-15",2,IF(L120="F-30",3,IF(L120="F-60",4,IF(L120="F-90",5,0)))),0),0)+IF(AND(O120="FIRE TEX 5062",E120="CJ",J120=4),VLOOKUP(_xlfn.MINIFS('FIRE TEX 5062'!$Q$3:$Q$34,'FIRE TEX 5062'!$Q$3:$Q$34,"&gt;="&amp;M120),'FIRE TEX 5062'!$Q$3:$U$34,IF(L120="F-15",2,IF(L120="F-30",3,IF(L120="F-60",4,IF(L120="F-90",5,0)))),0),0)+IF(AND(O120="FIRE TEX 5090",OR(E120="IN",E120="C",E120="Z",E120="L"),J120=3),VLOOKUP(_xlfn.MINIFS('FIRE TEX 5090'!$B$5:$B$43,'FIRE TEX 5090'!$B$5:$B$43,"&gt;="&amp;M120),'FIRE TEX 5090'!$B$5:$H$43,IF(L120="F-15",2,IF(L120="F-30",3,IF(L120="F-60",4,IF(L120="F-90",5,IF(L120="F-120",6,IF(L120="F-150",7,0)))))),0),0)+IF(AND(O120="FIRE TEX 5090",OR(E120="IN",E120="C",E120="Z",E120="L"),J120=4),VLOOKUP(_xlfn.MINIFS('FIRE TEX 5090'!$J$5:$J$43,'FIRE TEX 5090'!$J$5:$J$43,"&gt;="&amp;M120),'FIRE TEX 5090'!$J$5:$P$43,IF(L120="F-15",2,IF(L120="F-30",3,IF(L120="F-60",4,IF(L120="F-90",5,IF(L120="F-120",6,IF(L120="F-150",7,0)))))),0),0)+IF(AND(O120="FIRE TEX 5090",E120="CJ",J120=3),VLOOKUP(_xlfn.MINIFS('FIRE TEX 5090'!$R$5:$R$30,'FIRE TEX 5090'!$R$5:$R$30,"&gt;="&amp;M120),'FIRE TEX 5090'!$R$5:$W$30,IF(L120="F-15",2,IF(L120="F-30",3,IF(L120="F-60",4,IF(L120="F-90",5,IF(L120="F-120",6,IF(L120="F-150",7,0)))))),0),0)+IF(AND(O120="FIRE TEX 5090",E120="CJ",J120=4),VLOOKUP(_xlfn.MINIFS('FIRE TEX 5090'!$Y$5:$Y$39,'FIRE TEX 5090'!$Y$5:$Y$39,"&gt;="&amp;M120),'FIRE TEX 5090'!$Y$5:$AD$39,IF(L120="F-15",2,IF(L120="F-30",3,IF(L120="F-60",4,IF(L120="F-90",5,IF(L120="F-120",6,IF(L120="F-150",7,0)))))),0),0)+IF(AND(O120="FIRE TEX 5120",OR(E120="IN",E120="C",E120="Z",E120="L"),J120=3),VLOOKUP(_xlfn.MINIFS('FIRE TEX 5120'!$B$5:$B$40,'FIRE TEX 5120'!$B$5:$B$40,"&gt;="&amp;M120),'FIRE TEX 5120'!$B$5:$G$40,IF(L120="F-15",2,IF(L120="F-30",3,IF(L120="F-60",4,IF(L120="F-90",5,IF(L120="F-120",6,0))))),0),0)+IF(AND(O120="FIRE TEX 5120",OR(E120="IN",E120="C",E120="Z",E120="L"),J120=4),VLOOKUP(_xlfn.MINIFS('FIRE TEX 5120'!$H$4:$H$40,'FIRE TEX 5120'!$H$4:$H$40,"&gt;="&amp;M120),'FIRE TEX 5120'!$H$4:$M$40,IF(L120="F-15",2,IF(L120="F-30",3,IF(L120="F-60",4,IF(L120="F-90",5,IF(L120="F-120",6,0))))),0),0)+IF(AND(O120="FIRE TEX 5120",E120="CJ"),VLOOKUP(_xlfn.MINIFS('FIRE TEX 5120'!$O$5:$O$40,'FIRE TEX 5120'!$O$5:$O$40,"&gt;="&amp;M120),'FIRE TEX 5120'!$O$5:$T$40,IF(L120="F-15",2,IF(L120="F-30",3,IF(L120="F-60",4,IF(L120="F-90",5,IF(L120="F-120",6,0))))),0),0)</f>
        <v>0</v>
      </c>
      <c r="Q120" s="46">
        <f t="shared" si="10"/>
        <v>0</v>
      </c>
      <c r="R120" s="46">
        <f t="shared" si="12"/>
        <v>0</v>
      </c>
      <c r="S120" s="46" t="e">
        <f t="shared" si="11"/>
        <v>#VALUE!</v>
      </c>
      <c r="T120" s="677">
        <f t="shared" si="13"/>
        <v>0</v>
      </c>
      <c r="U120" s="80">
        <f>(IF(O120="Stofire",(S120*#REF!),0))+(IF(O120="Fire Control",(S120*$U$2),0))+(IF(O120="Fire Tex",(S120*$U$3),0))+(IF(O120="WB7",(S120*#REF!),0)+(IF(O120="FX 2003",(S120*$U$5),0)))</f>
        <v>0</v>
      </c>
      <c r="V120" s="651">
        <f t="shared" si="16"/>
        <v>0</v>
      </c>
      <c r="W120" s="4"/>
    </row>
    <row r="121" spans="1:23" x14ac:dyDescent="0.25">
      <c r="A121" s="652" t="s">
        <v>458</v>
      </c>
      <c r="B121" s="653" t="s">
        <v>459</v>
      </c>
      <c r="C121" s="1" t="s">
        <v>408</v>
      </c>
      <c r="D121" s="118">
        <f>+CUBICACION!D120</f>
        <v>0</v>
      </c>
      <c r="E121" s="118">
        <f>+CUBICACION!F120</f>
        <v>0</v>
      </c>
      <c r="F121" s="118">
        <f>+CUBICACION!E120</f>
        <v>0</v>
      </c>
      <c r="G121" s="118">
        <v>12</v>
      </c>
      <c r="H121" s="118">
        <v>2</v>
      </c>
      <c r="I121" s="820">
        <v>26385</v>
      </c>
      <c r="J121" s="118">
        <f>+CUBICACION!J120</f>
        <v>4</v>
      </c>
      <c r="K121" s="118">
        <v>2900</v>
      </c>
      <c r="L121" s="118">
        <f>+CUBICACION!L120</f>
        <v>0</v>
      </c>
      <c r="M121" s="64">
        <f>+CUBICACION!M120</f>
        <v>0</v>
      </c>
      <c r="N121" s="824" t="str">
        <f>+CUBICACION!N120</f>
        <v/>
      </c>
      <c r="O121" s="675">
        <f>+CUBICACION!O120</f>
        <v>0</v>
      </c>
      <c r="P121" s="15">
        <f>IF(O121="Fire Control",VLOOKUP(_xlfn.MINIFS('FIRE CONTROL'!$C$4:$C$37,'FIRE CONTROL'!$C$4:$C$37,"&gt;="&amp;M121),'FIRE CONTROL'!$C$4:$G$37,IF(L121="F-15",2,IF(L121="F-30",3,IF(L121="F-60",4,IF(L121="F-90",5,0)))),0),0)+IF(AND(O121="FIRE TEX 5062",OR(E121="IN",E121="C",E121="Z",E121="L"),J121=3),VLOOKUP(_xlfn.MINIFS('FIRE TEX 5062'!$B$4:$B$34,'FIRE TEX 5062'!$B$4:$B$34,"&gt;="&amp;M121),'FIRE TEX 5062'!$B$4:$F$34,IF(L121="F-15",2,IF(L121="F-30",3,IF(L121="F-60",4,IF(L121="F-90",5,0)))),0),0)+IF(AND(O121="FIRE TEX 5062",OR(E121="IN",E121="C",E121="Z",E121="L"),J121=4),VLOOKUP(_xlfn.MINIFS('FIRE TEX 5062'!$G$4:$G$34,'FIRE TEX 5062'!$G$4:$G$34,"&gt;="&amp;M121),'FIRE TEX 5062'!$G$4:$K$34,IF(L121="F-15",2,IF(L121="F-30",3,IF(L121="F-60",4,IF(L121="F-90",5,0)))),0),0)+IF(AND(O121="FIRE TEX 5062",E121="CJ",J121=3),VLOOKUP(_xlfn.MINIFS('FIRE TEX 5062'!$L$4:$L$34,'FIRE TEX 5062'!$L$4:$L$34,"&gt;="&amp;M121),'FIRE TEX 5062'!$L$4:$P$34,IF(L121="F-15",2,IF(L121="F-30",3,IF(L121="F-60",4,IF(L121="F-90",5,0)))),0),0)+IF(AND(O121="FIRE TEX 5062",E121="CJ",J121=4),VLOOKUP(_xlfn.MINIFS('FIRE TEX 5062'!$Q$3:$Q$34,'FIRE TEX 5062'!$Q$3:$Q$34,"&gt;="&amp;M121),'FIRE TEX 5062'!$Q$3:$U$34,IF(L121="F-15",2,IF(L121="F-30",3,IF(L121="F-60",4,IF(L121="F-90",5,0)))),0),0)+IF(AND(O121="FIRE TEX 5090",OR(E121="IN",E121="C",E121="Z",E121="L"),J121=3),VLOOKUP(_xlfn.MINIFS('FIRE TEX 5090'!$B$5:$B$43,'FIRE TEX 5090'!$B$5:$B$43,"&gt;="&amp;M121),'FIRE TEX 5090'!$B$5:$H$43,IF(L121="F-15",2,IF(L121="F-30",3,IF(L121="F-60",4,IF(L121="F-90",5,IF(L121="F-120",6,IF(L121="F-150",7,0)))))),0),0)+IF(AND(O121="FIRE TEX 5090",OR(E121="IN",E121="C",E121="Z",E121="L"),J121=4),VLOOKUP(_xlfn.MINIFS('FIRE TEX 5090'!$J$5:$J$43,'FIRE TEX 5090'!$J$5:$J$43,"&gt;="&amp;M121),'FIRE TEX 5090'!$J$5:$P$43,IF(L121="F-15",2,IF(L121="F-30",3,IF(L121="F-60",4,IF(L121="F-90",5,IF(L121="F-120",6,IF(L121="F-150",7,0)))))),0),0)+IF(AND(O121="FIRE TEX 5090",E121="CJ",J121=3),VLOOKUP(_xlfn.MINIFS('FIRE TEX 5090'!$R$5:$R$30,'FIRE TEX 5090'!$R$5:$R$30,"&gt;="&amp;M121),'FIRE TEX 5090'!$R$5:$W$30,IF(L121="F-15",2,IF(L121="F-30",3,IF(L121="F-60",4,IF(L121="F-90",5,IF(L121="F-120",6,IF(L121="F-150",7,0)))))),0),0)+IF(AND(O121="FIRE TEX 5090",E121="CJ",J121=4),VLOOKUP(_xlfn.MINIFS('FIRE TEX 5090'!$Y$5:$Y$39,'FIRE TEX 5090'!$Y$5:$Y$39,"&gt;="&amp;M121),'FIRE TEX 5090'!$Y$5:$AD$39,IF(L121="F-15",2,IF(L121="F-30",3,IF(L121="F-60",4,IF(L121="F-90",5,IF(L121="F-120",6,IF(L121="F-150",7,0)))))),0),0)+IF(AND(O121="FIRE TEX 5120",OR(E121="IN",E121="C",E121="Z",E121="L"),J121=3),VLOOKUP(_xlfn.MINIFS('FIRE TEX 5120'!$B$5:$B$40,'FIRE TEX 5120'!$B$5:$B$40,"&gt;="&amp;M121),'FIRE TEX 5120'!$B$5:$G$40,IF(L121="F-15",2,IF(L121="F-30",3,IF(L121="F-60",4,IF(L121="F-90",5,IF(L121="F-120",6,0))))),0),0)+IF(AND(O121="FIRE TEX 5120",OR(E121="IN",E121="C",E121="Z",E121="L"),J121=4),VLOOKUP(_xlfn.MINIFS('FIRE TEX 5120'!$H$4:$H$40,'FIRE TEX 5120'!$H$4:$H$40,"&gt;="&amp;M121),'FIRE TEX 5120'!$H$4:$M$40,IF(L121="F-15",2,IF(L121="F-30",3,IF(L121="F-60",4,IF(L121="F-90",5,IF(L121="F-120",6,0))))),0),0)+IF(AND(O121="FIRE TEX 5120",E121="CJ"),VLOOKUP(_xlfn.MINIFS('FIRE TEX 5120'!$O$5:$O$40,'FIRE TEX 5120'!$O$5:$O$40,"&gt;="&amp;M121),'FIRE TEX 5120'!$O$5:$T$40,IF(L121="F-15",2,IF(L121="F-30",3,IF(L121="F-60",4,IF(L121="F-90",5,IF(L121="F-120",6,0))))),0),0)</f>
        <v>0</v>
      </c>
      <c r="Q121" s="46">
        <f t="shared" si="10"/>
        <v>0</v>
      </c>
      <c r="R121" s="46">
        <f t="shared" si="12"/>
        <v>0</v>
      </c>
      <c r="S121" s="46" t="e">
        <f t="shared" si="11"/>
        <v>#VALUE!</v>
      </c>
      <c r="T121" s="677">
        <f t="shared" si="13"/>
        <v>0</v>
      </c>
      <c r="U121" s="80">
        <f>(IF(O121="Stofire",(S121*#REF!),0))+(IF(O121="Fire Control",(S121*$U$2),0))+(IF(O121="Fire Tex",(S121*$U$3),0))+(IF(O121="WB7",(S121*#REF!),0)+(IF(O121="FX 2003",(S121*$U$5),0)))</f>
        <v>0</v>
      </c>
      <c r="V121" s="651">
        <f t="shared" si="16"/>
        <v>0</v>
      </c>
      <c r="W121" s="4"/>
    </row>
    <row r="122" spans="1:23" x14ac:dyDescent="0.25">
      <c r="A122" s="652" t="s">
        <v>461</v>
      </c>
      <c r="B122" s="653" t="s">
        <v>459</v>
      </c>
      <c r="C122" s="1" t="s">
        <v>462</v>
      </c>
      <c r="D122" s="118">
        <f>+CUBICACION!D121</f>
        <v>0</v>
      </c>
      <c r="E122" s="118">
        <f>+CUBICACION!F121</f>
        <v>0</v>
      </c>
      <c r="F122" s="118">
        <f>+CUBICACION!E121</f>
        <v>0</v>
      </c>
      <c r="G122" s="118">
        <v>12</v>
      </c>
      <c r="H122" s="118">
        <v>2</v>
      </c>
      <c r="I122" s="820">
        <v>26385</v>
      </c>
      <c r="J122" s="118">
        <f>+CUBICACION!J121</f>
        <v>4</v>
      </c>
      <c r="K122" s="118">
        <v>2901</v>
      </c>
      <c r="L122" s="118">
        <f>+CUBICACION!L121</f>
        <v>0</v>
      </c>
      <c r="M122" s="64">
        <f>+CUBICACION!M121</f>
        <v>0</v>
      </c>
      <c r="N122" s="824" t="str">
        <f>+CUBICACION!N121</f>
        <v/>
      </c>
      <c r="O122" s="675">
        <f>+CUBICACION!O121</f>
        <v>0</v>
      </c>
      <c r="P122" s="15">
        <f>IF(O122="Fire Control",VLOOKUP(_xlfn.MINIFS('FIRE CONTROL'!$C$4:$C$37,'FIRE CONTROL'!$C$4:$C$37,"&gt;="&amp;M122),'FIRE CONTROL'!$C$4:$G$37,IF(L122="F-15",2,IF(L122="F-30",3,IF(L122="F-60",4,IF(L122="F-90",5,0)))),0),0)+IF(AND(O122="FIRE TEX 5062",OR(E122="IN",E122="C",E122="Z",E122="L"),J122=3),VLOOKUP(_xlfn.MINIFS('FIRE TEX 5062'!$B$4:$B$34,'FIRE TEX 5062'!$B$4:$B$34,"&gt;="&amp;M122),'FIRE TEX 5062'!$B$4:$F$34,IF(L122="F-15",2,IF(L122="F-30",3,IF(L122="F-60",4,IF(L122="F-90",5,0)))),0),0)+IF(AND(O122="FIRE TEX 5062",OR(E122="IN",E122="C",E122="Z",E122="L"),J122=4),VLOOKUP(_xlfn.MINIFS('FIRE TEX 5062'!$G$4:$G$34,'FIRE TEX 5062'!$G$4:$G$34,"&gt;="&amp;M122),'FIRE TEX 5062'!$G$4:$K$34,IF(L122="F-15",2,IF(L122="F-30",3,IF(L122="F-60",4,IF(L122="F-90",5,0)))),0),0)+IF(AND(O122="FIRE TEX 5062",E122="CJ",J122=3),VLOOKUP(_xlfn.MINIFS('FIRE TEX 5062'!$L$4:$L$34,'FIRE TEX 5062'!$L$4:$L$34,"&gt;="&amp;M122),'FIRE TEX 5062'!$L$4:$P$34,IF(L122="F-15",2,IF(L122="F-30",3,IF(L122="F-60",4,IF(L122="F-90",5,0)))),0),0)+IF(AND(O122="FIRE TEX 5062",E122="CJ",J122=4),VLOOKUP(_xlfn.MINIFS('FIRE TEX 5062'!$Q$3:$Q$34,'FIRE TEX 5062'!$Q$3:$Q$34,"&gt;="&amp;M122),'FIRE TEX 5062'!$Q$3:$U$34,IF(L122="F-15",2,IF(L122="F-30",3,IF(L122="F-60",4,IF(L122="F-90",5,0)))),0),0)+IF(AND(O122="FIRE TEX 5090",OR(E122="IN",E122="C",E122="Z",E122="L"),J122=3),VLOOKUP(_xlfn.MINIFS('FIRE TEX 5090'!$B$5:$B$43,'FIRE TEX 5090'!$B$5:$B$43,"&gt;="&amp;M122),'FIRE TEX 5090'!$B$5:$H$43,IF(L122="F-15",2,IF(L122="F-30",3,IF(L122="F-60",4,IF(L122="F-90",5,IF(L122="F-120",6,IF(L122="F-150",7,0)))))),0),0)+IF(AND(O122="FIRE TEX 5090",OR(E122="IN",E122="C",E122="Z",E122="L"),J122=4),VLOOKUP(_xlfn.MINIFS('FIRE TEX 5090'!$J$5:$J$43,'FIRE TEX 5090'!$J$5:$J$43,"&gt;="&amp;M122),'FIRE TEX 5090'!$J$5:$P$43,IF(L122="F-15",2,IF(L122="F-30",3,IF(L122="F-60",4,IF(L122="F-90",5,IF(L122="F-120",6,IF(L122="F-150",7,0)))))),0),0)+IF(AND(O122="FIRE TEX 5090",E122="CJ",J122=3),VLOOKUP(_xlfn.MINIFS('FIRE TEX 5090'!$R$5:$R$30,'FIRE TEX 5090'!$R$5:$R$30,"&gt;="&amp;M122),'FIRE TEX 5090'!$R$5:$W$30,IF(L122="F-15",2,IF(L122="F-30",3,IF(L122="F-60",4,IF(L122="F-90",5,IF(L122="F-120",6,IF(L122="F-150",7,0)))))),0),0)+IF(AND(O122="FIRE TEX 5090",E122="CJ",J122=4),VLOOKUP(_xlfn.MINIFS('FIRE TEX 5090'!$Y$5:$Y$39,'FIRE TEX 5090'!$Y$5:$Y$39,"&gt;="&amp;M122),'FIRE TEX 5090'!$Y$5:$AD$39,IF(L122="F-15",2,IF(L122="F-30",3,IF(L122="F-60",4,IF(L122="F-90",5,IF(L122="F-120",6,IF(L122="F-150",7,0)))))),0),0)+IF(AND(O122="FIRE TEX 5120",OR(E122="IN",E122="C",E122="Z",E122="L"),J122=3),VLOOKUP(_xlfn.MINIFS('FIRE TEX 5120'!$B$5:$B$40,'FIRE TEX 5120'!$B$5:$B$40,"&gt;="&amp;M122),'FIRE TEX 5120'!$B$5:$G$40,IF(L122="F-15",2,IF(L122="F-30",3,IF(L122="F-60",4,IF(L122="F-90",5,IF(L122="F-120",6,0))))),0),0)+IF(AND(O122="FIRE TEX 5120",OR(E122="IN",E122="C",E122="Z",E122="L"),J122=4),VLOOKUP(_xlfn.MINIFS('FIRE TEX 5120'!$H$4:$H$40,'FIRE TEX 5120'!$H$4:$H$40,"&gt;="&amp;M122),'FIRE TEX 5120'!$H$4:$M$40,IF(L122="F-15",2,IF(L122="F-30",3,IF(L122="F-60",4,IF(L122="F-90",5,IF(L122="F-120",6,0))))),0),0)+IF(AND(O122="FIRE TEX 5120",E122="CJ"),VLOOKUP(_xlfn.MINIFS('FIRE TEX 5120'!$O$5:$O$40,'FIRE TEX 5120'!$O$5:$O$40,"&gt;="&amp;M122),'FIRE TEX 5120'!$O$5:$T$40,IF(L122="F-15",2,IF(L122="F-30",3,IF(L122="F-60",4,IF(L122="F-90",5,IF(L122="F-120",6,0))))),0),0)</f>
        <v>0</v>
      </c>
      <c r="Q122" s="46">
        <f t="shared" si="10"/>
        <v>0</v>
      </c>
      <c r="R122" s="46">
        <f t="shared" si="12"/>
        <v>0</v>
      </c>
      <c r="S122" s="46" t="e">
        <f t="shared" si="11"/>
        <v>#VALUE!</v>
      </c>
      <c r="T122" s="677">
        <f t="shared" si="13"/>
        <v>0</v>
      </c>
      <c r="U122" s="80">
        <f>(IF(O122="Stofire",(S122*#REF!),0))+(IF(O122="Fire Control",(S122*$U$2),0))+(IF(O122="Fire Tex",(S122*$U$3),0))+(IF(O122="WB7",(S122*#REF!),0)+(IF(O122="FX 2003",(S122*$U$5),0)))</f>
        <v>0</v>
      </c>
      <c r="V122" s="651">
        <f t="shared" si="16"/>
        <v>0</v>
      </c>
      <c r="W122" s="4"/>
    </row>
    <row r="123" spans="1:23" x14ac:dyDescent="0.25">
      <c r="A123" s="652" t="s">
        <v>461</v>
      </c>
      <c r="B123" s="653" t="s">
        <v>459</v>
      </c>
      <c r="C123" s="1" t="s">
        <v>408</v>
      </c>
      <c r="D123" s="118">
        <f>+CUBICACION!D122</f>
        <v>0</v>
      </c>
      <c r="E123" s="118">
        <f>+CUBICACION!F122</f>
        <v>0</v>
      </c>
      <c r="F123" s="118">
        <f>+CUBICACION!E122</f>
        <v>0</v>
      </c>
      <c r="G123" s="118">
        <v>12</v>
      </c>
      <c r="H123" s="118">
        <v>2</v>
      </c>
      <c r="I123" s="820">
        <v>26385</v>
      </c>
      <c r="J123" s="118">
        <f>+CUBICACION!J122</f>
        <v>4</v>
      </c>
      <c r="K123" s="118">
        <v>2902</v>
      </c>
      <c r="L123" s="118">
        <f>+CUBICACION!L122</f>
        <v>0</v>
      </c>
      <c r="M123" s="64">
        <f>+CUBICACION!M122</f>
        <v>0</v>
      </c>
      <c r="N123" s="824" t="str">
        <f>+CUBICACION!N122</f>
        <v/>
      </c>
      <c r="O123" s="675">
        <f>+CUBICACION!O122</f>
        <v>0</v>
      </c>
      <c r="P123" s="15">
        <f>IF(O123="Fire Control",VLOOKUP(_xlfn.MINIFS('FIRE CONTROL'!$C$4:$C$37,'FIRE CONTROL'!$C$4:$C$37,"&gt;="&amp;M123),'FIRE CONTROL'!$C$4:$G$37,IF(L123="F-15",2,IF(L123="F-30",3,IF(L123="F-60",4,IF(L123="F-90",5,0)))),0),0)+IF(AND(O123="FIRE TEX 5062",OR(E123="IN",E123="C",E123="Z",E123="L"),J123=3),VLOOKUP(_xlfn.MINIFS('FIRE TEX 5062'!$B$4:$B$34,'FIRE TEX 5062'!$B$4:$B$34,"&gt;="&amp;M123),'FIRE TEX 5062'!$B$4:$F$34,IF(L123="F-15",2,IF(L123="F-30",3,IF(L123="F-60",4,IF(L123="F-90",5,0)))),0),0)+IF(AND(O123="FIRE TEX 5062",OR(E123="IN",E123="C",E123="Z",E123="L"),J123=4),VLOOKUP(_xlfn.MINIFS('FIRE TEX 5062'!$G$4:$G$34,'FIRE TEX 5062'!$G$4:$G$34,"&gt;="&amp;M123),'FIRE TEX 5062'!$G$4:$K$34,IF(L123="F-15",2,IF(L123="F-30",3,IF(L123="F-60",4,IF(L123="F-90",5,0)))),0),0)+IF(AND(O123="FIRE TEX 5062",E123="CJ",J123=3),VLOOKUP(_xlfn.MINIFS('FIRE TEX 5062'!$L$4:$L$34,'FIRE TEX 5062'!$L$4:$L$34,"&gt;="&amp;M123),'FIRE TEX 5062'!$L$4:$P$34,IF(L123="F-15",2,IF(L123="F-30",3,IF(L123="F-60",4,IF(L123="F-90",5,0)))),0),0)+IF(AND(O123="FIRE TEX 5062",E123="CJ",J123=4),VLOOKUP(_xlfn.MINIFS('FIRE TEX 5062'!$Q$3:$Q$34,'FIRE TEX 5062'!$Q$3:$Q$34,"&gt;="&amp;M123),'FIRE TEX 5062'!$Q$3:$U$34,IF(L123="F-15",2,IF(L123="F-30",3,IF(L123="F-60",4,IF(L123="F-90",5,0)))),0),0)+IF(AND(O123="FIRE TEX 5090",OR(E123="IN",E123="C",E123="Z",E123="L"),J123=3),VLOOKUP(_xlfn.MINIFS('FIRE TEX 5090'!$B$5:$B$43,'FIRE TEX 5090'!$B$5:$B$43,"&gt;="&amp;M123),'FIRE TEX 5090'!$B$5:$H$43,IF(L123="F-15",2,IF(L123="F-30",3,IF(L123="F-60",4,IF(L123="F-90",5,IF(L123="F-120",6,IF(L123="F-150",7,0)))))),0),0)+IF(AND(O123="FIRE TEX 5090",OR(E123="IN",E123="C",E123="Z",E123="L"),J123=4),VLOOKUP(_xlfn.MINIFS('FIRE TEX 5090'!$J$5:$J$43,'FIRE TEX 5090'!$J$5:$J$43,"&gt;="&amp;M123),'FIRE TEX 5090'!$J$5:$P$43,IF(L123="F-15",2,IF(L123="F-30",3,IF(L123="F-60",4,IF(L123="F-90",5,IF(L123="F-120",6,IF(L123="F-150",7,0)))))),0),0)+IF(AND(O123="FIRE TEX 5090",E123="CJ",J123=3),VLOOKUP(_xlfn.MINIFS('FIRE TEX 5090'!$R$5:$R$30,'FIRE TEX 5090'!$R$5:$R$30,"&gt;="&amp;M123),'FIRE TEX 5090'!$R$5:$W$30,IF(L123="F-15",2,IF(L123="F-30",3,IF(L123="F-60",4,IF(L123="F-90",5,IF(L123="F-120",6,IF(L123="F-150",7,0)))))),0),0)+IF(AND(O123="FIRE TEX 5090",E123="CJ",J123=4),VLOOKUP(_xlfn.MINIFS('FIRE TEX 5090'!$Y$5:$Y$39,'FIRE TEX 5090'!$Y$5:$Y$39,"&gt;="&amp;M123),'FIRE TEX 5090'!$Y$5:$AD$39,IF(L123="F-15",2,IF(L123="F-30",3,IF(L123="F-60",4,IF(L123="F-90",5,IF(L123="F-120",6,IF(L123="F-150",7,0)))))),0),0)+IF(AND(O123="FIRE TEX 5120",OR(E123="IN",E123="C",E123="Z",E123="L"),J123=3),VLOOKUP(_xlfn.MINIFS('FIRE TEX 5120'!$B$5:$B$40,'FIRE TEX 5120'!$B$5:$B$40,"&gt;="&amp;M123),'FIRE TEX 5120'!$B$5:$G$40,IF(L123="F-15",2,IF(L123="F-30",3,IF(L123="F-60",4,IF(L123="F-90",5,IF(L123="F-120",6,0))))),0),0)+IF(AND(O123="FIRE TEX 5120",OR(E123="IN",E123="C",E123="Z",E123="L"),J123=4),VLOOKUP(_xlfn.MINIFS('FIRE TEX 5120'!$H$4:$H$40,'FIRE TEX 5120'!$H$4:$H$40,"&gt;="&amp;M123),'FIRE TEX 5120'!$H$4:$M$40,IF(L123="F-15",2,IF(L123="F-30",3,IF(L123="F-60",4,IF(L123="F-90",5,IF(L123="F-120",6,0))))),0),0)+IF(AND(O123="FIRE TEX 5120",E123="CJ"),VLOOKUP(_xlfn.MINIFS('FIRE TEX 5120'!$O$5:$O$40,'FIRE TEX 5120'!$O$5:$O$40,"&gt;="&amp;M123),'FIRE TEX 5120'!$O$5:$T$40,IF(L123="F-15",2,IF(L123="F-30",3,IF(L123="F-60",4,IF(L123="F-90",5,IF(L123="F-120",6,0))))),0),0)</f>
        <v>0</v>
      </c>
      <c r="Q123" s="46">
        <f t="shared" si="10"/>
        <v>0</v>
      </c>
      <c r="R123" s="46">
        <f t="shared" si="12"/>
        <v>0</v>
      </c>
      <c r="S123" s="46" t="e">
        <f t="shared" si="11"/>
        <v>#VALUE!</v>
      </c>
      <c r="T123" s="677">
        <f t="shared" si="13"/>
        <v>0</v>
      </c>
      <c r="U123" s="80">
        <f>(IF(O123="Stofire",(S123*#REF!),0))+(IF(O123="Fire Control",(S123*$U$2),0))+(IF(O123="Fire Tex",(S123*$U$3),0))+(IF(O123="WB7",(S123*#REF!),0)+(IF(O123="FX 2003",(S123*$U$5),0)))</f>
        <v>0</v>
      </c>
      <c r="V123" s="651">
        <f t="shared" si="16"/>
        <v>0</v>
      </c>
      <c r="W123" s="4"/>
    </row>
    <row r="124" spans="1:23" x14ac:dyDescent="0.25">
      <c r="A124" s="652" t="s">
        <v>461</v>
      </c>
      <c r="B124" s="653" t="s">
        <v>459</v>
      </c>
      <c r="C124" s="1" t="s">
        <v>408</v>
      </c>
      <c r="D124" s="118">
        <f>+CUBICACION!D123</f>
        <v>0</v>
      </c>
      <c r="E124" s="118">
        <f>+CUBICACION!F123</f>
        <v>0</v>
      </c>
      <c r="F124" s="118">
        <f>+CUBICACION!E123</f>
        <v>0</v>
      </c>
      <c r="G124" s="118">
        <v>12</v>
      </c>
      <c r="H124" s="118">
        <v>2</v>
      </c>
      <c r="I124" s="820">
        <v>26385</v>
      </c>
      <c r="J124" s="118">
        <f>+CUBICACION!J123</f>
        <v>4</v>
      </c>
      <c r="K124" s="118">
        <v>2903</v>
      </c>
      <c r="L124" s="118">
        <f>+CUBICACION!L123</f>
        <v>0</v>
      </c>
      <c r="M124" s="64">
        <f>+CUBICACION!M123</f>
        <v>0</v>
      </c>
      <c r="N124" s="824" t="str">
        <f>+CUBICACION!N123</f>
        <v/>
      </c>
      <c r="O124" s="675">
        <f>+CUBICACION!O123</f>
        <v>0</v>
      </c>
      <c r="P124" s="15">
        <f>IF(O124="Fire Control",VLOOKUP(_xlfn.MINIFS('FIRE CONTROL'!$C$4:$C$37,'FIRE CONTROL'!$C$4:$C$37,"&gt;="&amp;M124),'FIRE CONTROL'!$C$4:$G$37,IF(L124="F-15",2,IF(L124="F-30",3,IF(L124="F-60",4,IF(L124="F-90",5,0)))),0),0)+IF(AND(O124="FIRE TEX 5062",OR(E124="IN",E124="C",E124="Z",E124="L"),J124=3),VLOOKUP(_xlfn.MINIFS('FIRE TEX 5062'!$B$4:$B$34,'FIRE TEX 5062'!$B$4:$B$34,"&gt;="&amp;M124),'FIRE TEX 5062'!$B$4:$F$34,IF(L124="F-15",2,IF(L124="F-30",3,IF(L124="F-60",4,IF(L124="F-90",5,0)))),0),0)+IF(AND(O124="FIRE TEX 5062",OR(E124="IN",E124="C",E124="Z",E124="L"),J124=4),VLOOKUP(_xlfn.MINIFS('FIRE TEX 5062'!$G$4:$G$34,'FIRE TEX 5062'!$G$4:$G$34,"&gt;="&amp;M124),'FIRE TEX 5062'!$G$4:$K$34,IF(L124="F-15",2,IF(L124="F-30",3,IF(L124="F-60",4,IF(L124="F-90",5,0)))),0),0)+IF(AND(O124="FIRE TEX 5062",E124="CJ",J124=3),VLOOKUP(_xlfn.MINIFS('FIRE TEX 5062'!$L$4:$L$34,'FIRE TEX 5062'!$L$4:$L$34,"&gt;="&amp;M124),'FIRE TEX 5062'!$L$4:$P$34,IF(L124="F-15",2,IF(L124="F-30",3,IF(L124="F-60",4,IF(L124="F-90",5,0)))),0),0)+IF(AND(O124="FIRE TEX 5062",E124="CJ",J124=4),VLOOKUP(_xlfn.MINIFS('FIRE TEX 5062'!$Q$3:$Q$34,'FIRE TEX 5062'!$Q$3:$Q$34,"&gt;="&amp;M124),'FIRE TEX 5062'!$Q$3:$U$34,IF(L124="F-15",2,IF(L124="F-30",3,IF(L124="F-60",4,IF(L124="F-90",5,0)))),0),0)+IF(AND(O124="FIRE TEX 5090",OR(E124="IN",E124="C",E124="Z",E124="L"),J124=3),VLOOKUP(_xlfn.MINIFS('FIRE TEX 5090'!$B$5:$B$43,'FIRE TEX 5090'!$B$5:$B$43,"&gt;="&amp;M124),'FIRE TEX 5090'!$B$5:$H$43,IF(L124="F-15",2,IF(L124="F-30",3,IF(L124="F-60",4,IF(L124="F-90",5,IF(L124="F-120",6,IF(L124="F-150",7,0)))))),0),0)+IF(AND(O124="FIRE TEX 5090",OR(E124="IN",E124="C",E124="Z",E124="L"),J124=4),VLOOKUP(_xlfn.MINIFS('FIRE TEX 5090'!$J$5:$J$43,'FIRE TEX 5090'!$J$5:$J$43,"&gt;="&amp;M124),'FIRE TEX 5090'!$J$5:$P$43,IF(L124="F-15",2,IF(L124="F-30",3,IF(L124="F-60",4,IF(L124="F-90",5,IF(L124="F-120",6,IF(L124="F-150",7,0)))))),0),0)+IF(AND(O124="FIRE TEX 5090",E124="CJ",J124=3),VLOOKUP(_xlfn.MINIFS('FIRE TEX 5090'!$R$5:$R$30,'FIRE TEX 5090'!$R$5:$R$30,"&gt;="&amp;M124),'FIRE TEX 5090'!$R$5:$W$30,IF(L124="F-15",2,IF(L124="F-30",3,IF(L124="F-60",4,IF(L124="F-90",5,IF(L124="F-120",6,IF(L124="F-150",7,0)))))),0),0)+IF(AND(O124="FIRE TEX 5090",E124="CJ",J124=4),VLOOKUP(_xlfn.MINIFS('FIRE TEX 5090'!$Y$5:$Y$39,'FIRE TEX 5090'!$Y$5:$Y$39,"&gt;="&amp;M124),'FIRE TEX 5090'!$Y$5:$AD$39,IF(L124="F-15",2,IF(L124="F-30",3,IF(L124="F-60",4,IF(L124="F-90",5,IF(L124="F-120",6,IF(L124="F-150",7,0)))))),0),0)+IF(AND(O124="FIRE TEX 5120",OR(E124="IN",E124="C",E124="Z",E124="L"),J124=3),VLOOKUP(_xlfn.MINIFS('FIRE TEX 5120'!$B$5:$B$40,'FIRE TEX 5120'!$B$5:$B$40,"&gt;="&amp;M124),'FIRE TEX 5120'!$B$5:$G$40,IF(L124="F-15",2,IF(L124="F-30",3,IF(L124="F-60",4,IF(L124="F-90",5,IF(L124="F-120",6,0))))),0),0)+IF(AND(O124="FIRE TEX 5120",OR(E124="IN",E124="C",E124="Z",E124="L"),J124=4),VLOOKUP(_xlfn.MINIFS('FIRE TEX 5120'!$H$4:$H$40,'FIRE TEX 5120'!$H$4:$H$40,"&gt;="&amp;M124),'FIRE TEX 5120'!$H$4:$M$40,IF(L124="F-15",2,IF(L124="F-30",3,IF(L124="F-60",4,IF(L124="F-90",5,IF(L124="F-120",6,0))))),0),0)+IF(AND(O124="FIRE TEX 5120",E124="CJ"),VLOOKUP(_xlfn.MINIFS('FIRE TEX 5120'!$O$5:$O$40,'FIRE TEX 5120'!$O$5:$O$40,"&gt;="&amp;M124),'FIRE TEX 5120'!$O$5:$T$40,IF(L124="F-15",2,IF(L124="F-30",3,IF(L124="F-60",4,IF(L124="F-90",5,IF(L124="F-120",6,0))))),0),0)</f>
        <v>0</v>
      </c>
      <c r="Q124" s="46">
        <f t="shared" si="10"/>
        <v>0</v>
      </c>
      <c r="R124" s="46">
        <f t="shared" si="12"/>
        <v>0</v>
      </c>
      <c r="S124" s="46" t="e">
        <f t="shared" si="11"/>
        <v>#VALUE!</v>
      </c>
      <c r="T124" s="677">
        <f t="shared" si="13"/>
        <v>0</v>
      </c>
      <c r="U124" s="80">
        <f>(IF(O124="Stofire",(S124*#REF!),0))+(IF(O124="Fire Control",(S124*$U$2),0))+(IF(O124="Fire Tex",(S124*$U$3),0))+(IF(O124="WB7",(S124*#REF!),0)+(IF(O124="FX 2003",(S124*$U$5),0)))</f>
        <v>0</v>
      </c>
      <c r="V124" s="651">
        <f t="shared" si="16"/>
        <v>0</v>
      </c>
      <c r="W124" s="4"/>
    </row>
    <row r="125" spans="1:23" x14ac:dyDescent="0.25">
      <c r="A125" s="652" t="s">
        <v>406</v>
      </c>
      <c r="B125" s="653" t="s">
        <v>407</v>
      </c>
      <c r="C125" s="1" t="s">
        <v>408</v>
      </c>
      <c r="D125" s="118">
        <f>+CUBICACION!D124</f>
        <v>0</v>
      </c>
      <c r="E125" s="118">
        <f>+CUBICACION!F124</f>
        <v>0</v>
      </c>
      <c r="F125" s="118">
        <f>+CUBICACION!E124</f>
        <v>0</v>
      </c>
      <c r="G125" s="118">
        <v>12</v>
      </c>
      <c r="H125" s="118">
        <v>2</v>
      </c>
      <c r="I125" s="820">
        <v>26385</v>
      </c>
      <c r="J125" s="118">
        <f>+CUBICACION!J124</f>
        <v>4</v>
      </c>
      <c r="K125" s="118">
        <v>2904</v>
      </c>
      <c r="L125" s="118">
        <f>+CUBICACION!L124</f>
        <v>0</v>
      </c>
      <c r="M125" s="64">
        <f>+CUBICACION!M124</f>
        <v>0</v>
      </c>
      <c r="N125" s="824" t="str">
        <f>+CUBICACION!N124</f>
        <v/>
      </c>
      <c r="O125" s="675">
        <f>+CUBICACION!O124</f>
        <v>0</v>
      </c>
      <c r="P125" s="15">
        <f>IF(O125="Fire Control",VLOOKUP(_xlfn.MINIFS('FIRE CONTROL'!$C$4:$C$37,'FIRE CONTROL'!$C$4:$C$37,"&gt;="&amp;M125),'FIRE CONTROL'!$C$4:$G$37,IF(L125="F-15",2,IF(L125="F-30",3,IF(L125="F-60",4,IF(L125="F-90",5,0)))),0),0)+IF(AND(O125="FIRE TEX 5062",OR(E125="IN",E125="C",E125="Z",E125="L"),J125=3),VLOOKUP(_xlfn.MINIFS('FIRE TEX 5062'!$B$4:$B$34,'FIRE TEX 5062'!$B$4:$B$34,"&gt;="&amp;M125),'FIRE TEX 5062'!$B$4:$F$34,IF(L125="F-15",2,IF(L125="F-30",3,IF(L125="F-60",4,IF(L125="F-90",5,0)))),0),0)+IF(AND(O125="FIRE TEX 5062",OR(E125="IN",E125="C",E125="Z",E125="L"),J125=4),VLOOKUP(_xlfn.MINIFS('FIRE TEX 5062'!$G$4:$G$34,'FIRE TEX 5062'!$G$4:$G$34,"&gt;="&amp;M125),'FIRE TEX 5062'!$G$4:$K$34,IF(L125="F-15",2,IF(L125="F-30",3,IF(L125="F-60",4,IF(L125="F-90",5,0)))),0),0)+IF(AND(O125="FIRE TEX 5062",E125="CJ",J125=3),VLOOKUP(_xlfn.MINIFS('FIRE TEX 5062'!$L$4:$L$34,'FIRE TEX 5062'!$L$4:$L$34,"&gt;="&amp;M125),'FIRE TEX 5062'!$L$4:$P$34,IF(L125="F-15",2,IF(L125="F-30",3,IF(L125="F-60",4,IF(L125="F-90",5,0)))),0),0)+IF(AND(O125="FIRE TEX 5062",E125="CJ",J125=4),VLOOKUP(_xlfn.MINIFS('FIRE TEX 5062'!$Q$3:$Q$34,'FIRE TEX 5062'!$Q$3:$Q$34,"&gt;="&amp;M125),'FIRE TEX 5062'!$Q$3:$U$34,IF(L125="F-15",2,IF(L125="F-30",3,IF(L125="F-60",4,IF(L125="F-90",5,0)))),0),0)+IF(AND(O125="FIRE TEX 5090",OR(E125="IN",E125="C",E125="Z",E125="L"),J125=3),VLOOKUP(_xlfn.MINIFS('FIRE TEX 5090'!$B$5:$B$43,'FIRE TEX 5090'!$B$5:$B$43,"&gt;="&amp;M125),'FIRE TEX 5090'!$B$5:$H$43,IF(L125="F-15",2,IF(L125="F-30",3,IF(L125="F-60",4,IF(L125="F-90",5,IF(L125="F-120",6,IF(L125="F-150",7,0)))))),0),0)+IF(AND(O125="FIRE TEX 5090",OR(E125="IN",E125="C",E125="Z",E125="L"),J125=4),VLOOKUP(_xlfn.MINIFS('FIRE TEX 5090'!$J$5:$J$43,'FIRE TEX 5090'!$J$5:$J$43,"&gt;="&amp;M125),'FIRE TEX 5090'!$J$5:$P$43,IF(L125="F-15",2,IF(L125="F-30",3,IF(L125="F-60",4,IF(L125="F-90",5,IF(L125="F-120",6,IF(L125="F-150",7,0)))))),0),0)+IF(AND(O125="FIRE TEX 5090",E125="CJ",J125=3),VLOOKUP(_xlfn.MINIFS('FIRE TEX 5090'!$R$5:$R$30,'FIRE TEX 5090'!$R$5:$R$30,"&gt;="&amp;M125),'FIRE TEX 5090'!$R$5:$W$30,IF(L125="F-15",2,IF(L125="F-30",3,IF(L125="F-60",4,IF(L125="F-90",5,IF(L125="F-120",6,IF(L125="F-150",7,0)))))),0),0)+IF(AND(O125="FIRE TEX 5090",E125="CJ",J125=4),VLOOKUP(_xlfn.MINIFS('FIRE TEX 5090'!$Y$5:$Y$39,'FIRE TEX 5090'!$Y$5:$Y$39,"&gt;="&amp;M125),'FIRE TEX 5090'!$Y$5:$AD$39,IF(L125="F-15",2,IF(L125="F-30",3,IF(L125="F-60",4,IF(L125="F-90",5,IF(L125="F-120",6,IF(L125="F-150",7,0)))))),0),0)+IF(AND(O125="FIRE TEX 5120",OR(E125="IN",E125="C",E125="Z",E125="L"),J125=3),VLOOKUP(_xlfn.MINIFS('FIRE TEX 5120'!$B$5:$B$40,'FIRE TEX 5120'!$B$5:$B$40,"&gt;="&amp;M125),'FIRE TEX 5120'!$B$5:$G$40,IF(L125="F-15",2,IF(L125="F-30",3,IF(L125="F-60",4,IF(L125="F-90",5,IF(L125="F-120",6,0))))),0),0)+IF(AND(O125="FIRE TEX 5120",OR(E125="IN",E125="C",E125="Z",E125="L"),J125=4),VLOOKUP(_xlfn.MINIFS('FIRE TEX 5120'!$H$4:$H$40,'FIRE TEX 5120'!$H$4:$H$40,"&gt;="&amp;M125),'FIRE TEX 5120'!$H$4:$M$40,IF(L125="F-15",2,IF(L125="F-30",3,IF(L125="F-60",4,IF(L125="F-90",5,IF(L125="F-120",6,0))))),0),0)+IF(AND(O125="FIRE TEX 5120",E125="CJ"),VLOOKUP(_xlfn.MINIFS('FIRE TEX 5120'!$O$5:$O$40,'FIRE TEX 5120'!$O$5:$O$40,"&gt;="&amp;M125),'FIRE TEX 5120'!$O$5:$T$40,IF(L125="F-15",2,IF(L125="F-30",3,IF(L125="F-60",4,IF(L125="F-90",5,IF(L125="F-120",6,0))))),0),0)</f>
        <v>0</v>
      </c>
      <c r="Q125" s="46">
        <f t="shared" si="10"/>
        <v>0</v>
      </c>
      <c r="R125" s="46">
        <f t="shared" si="12"/>
        <v>0</v>
      </c>
      <c r="S125" s="46" t="e">
        <f t="shared" si="11"/>
        <v>#VALUE!</v>
      </c>
      <c r="T125" s="677">
        <f t="shared" si="13"/>
        <v>0</v>
      </c>
      <c r="U125" s="80">
        <f>(IF(O125="Stofire",(S125*#REF!),0))+(IF(O125="Fire Control",(S125*$U$2),0))+(IF(O125="Fire Tex",(S125*$U$3),0))+(IF(O125="WB7",(S125*#REF!),0)+(IF(O125="FX 2003",(S125*$U$5),0)))</f>
        <v>0</v>
      </c>
      <c r="V125" s="649">
        <f>_xlfn.CEILING.MATH(M125,10)</f>
        <v>0</v>
      </c>
      <c r="W125" s="4"/>
    </row>
    <row r="126" spans="1:23" x14ac:dyDescent="0.25">
      <c r="A126" s="652" t="s">
        <v>406</v>
      </c>
      <c r="B126" s="653" t="s">
        <v>407</v>
      </c>
      <c r="C126" s="1" t="s">
        <v>408</v>
      </c>
      <c r="D126" s="118">
        <f>+CUBICACION!D125</f>
        <v>0</v>
      </c>
      <c r="E126" s="118">
        <f>+CUBICACION!F125</f>
        <v>0</v>
      </c>
      <c r="F126" s="118">
        <f>+CUBICACION!E125</f>
        <v>0</v>
      </c>
      <c r="G126" s="118">
        <v>12</v>
      </c>
      <c r="H126" s="118">
        <v>2</v>
      </c>
      <c r="I126" s="820">
        <v>26385</v>
      </c>
      <c r="J126" s="118">
        <f>+CUBICACION!J125</f>
        <v>4</v>
      </c>
      <c r="K126" s="118">
        <v>2905</v>
      </c>
      <c r="L126" s="118">
        <f>+CUBICACION!L125</f>
        <v>0</v>
      </c>
      <c r="M126" s="64">
        <f>+CUBICACION!M125</f>
        <v>0</v>
      </c>
      <c r="N126" s="824" t="str">
        <f>+CUBICACION!N125</f>
        <v/>
      </c>
      <c r="O126" s="675">
        <f>+CUBICACION!O125</f>
        <v>0</v>
      </c>
      <c r="P126" s="15">
        <f>IF(O126="Fire Control",VLOOKUP(_xlfn.MINIFS('FIRE CONTROL'!$C$4:$C$37,'FIRE CONTROL'!$C$4:$C$37,"&gt;="&amp;M126),'FIRE CONTROL'!$C$4:$G$37,IF(L126="F-15",2,IF(L126="F-30",3,IF(L126="F-60",4,IF(L126="F-90",5,0)))),0),0)+IF(AND(O126="FIRE TEX 5062",OR(E126="IN",E126="C",E126="Z",E126="L"),J126=3),VLOOKUP(_xlfn.MINIFS('FIRE TEX 5062'!$B$4:$B$34,'FIRE TEX 5062'!$B$4:$B$34,"&gt;="&amp;M126),'FIRE TEX 5062'!$B$4:$F$34,IF(L126="F-15",2,IF(L126="F-30",3,IF(L126="F-60",4,IF(L126="F-90",5,0)))),0),0)+IF(AND(O126="FIRE TEX 5062",OR(E126="IN",E126="C",E126="Z",E126="L"),J126=4),VLOOKUP(_xlfn.MINIFS('FIRE TEX 5062'!$G$4:$G$34,'FIRE TEX 5062'!$G$4:$G$34,"&gt;="&amp;M126),'FIRE TEX 5062'!$G$4:$K$34,IF(L126="F-15",2,IF(L126="F-30",3,IF(L126="F-60",4,IF(L126="F-90",5,0)))),0),0)+IF(AND(O126="FIRE TEX 5062",E126="CJ",J126=3),VLOOKUP(_xlfn.MINIFS('FIRE TEX 5062'!$L$4:$L$34,'FIRE TEX 5062'!$L$4:$L$34,"&gt;="&amp;M126),'FIRE TEX 5062'!$L$4:$P$34,IF(L126="F-15",2,IF(L126="F-30",3,IF(L126="F-60",4,IF(L126="F-90",5,0)))),0),0)+IF(AND(O126="FIRE TEX 5062",E126="CJ",J126=4),VLOOKUP(_xlfn.MINIFS('FIRE TEX 5062'!$Q$3:$Q$34,'FIRE TEX 5062'!$Q$3:$Q$34,"&gt;="&amp;M126),'FIRE TEX 5062'!$Q$3:$U$34,IF(L126="F-15",2,IF(L126="F-30",3,IF(L126="F-60",4,IF(L126="F-90",5,0)))),0),0)+IF(AND(O126="FIRE TEX 5090",OR(E126="IN",E126="C",E126="Z",E126="L"),J126=3),VLOOKUP(_xlfn.MINIFS('FIRE TEX 5090'!$B$5:$B$43,'FIRE TEX 5090'!$B$5:$B$43,"&gt;="&amp;M126),'FIRE TEX 5090'!$B$5:$H$43,IF(L126="F-15",2,IF(L126="F-30",3,IF(L126="F-60",4,IF(L126="F-90",5,IF(L126="F-120",6,IF(L126="F-150",7,0)))))),0),0)+IF(AND(O126="FIRE TEX 5090",OR(E126="IN",E126="C",E126="Z",E126="L"),J126=4),VLOOKUP(_xlfn.MINIFS('FIRE TEX 5090'!$J$5:$J$43,'FIRE TEX 5090'!$J$5:$J$43,"&gt;="&amp;M126),'FIRE TEX 5090'!$J$5:$P$43,IF(L126="F-15",2,IF(L126="F-30",3,IF(L126="F-60",4,IF(L126="F-90",5,IF(L126="F-120",6,IF(L126="F-150",7,0)))))),0),0)+IF(AND(O126="FIRE TEX 5090",E126="CJ",J126=3),VLOOKUP(_xlfn.MINIFS('FIRE TEX 5090'!$R$5:$R$30,'FIRE TEX 5090'!$R$5:$R$30,"&gt;="&amp;M126),'FIRE TEX 5090'!$R$5:$W$30,IF(L126="F-15",2,IF(L126="F-30",3,IF(L126="F-60",4,IF(L126="F-90",5,IF(L126="F-120",6,IF(L126="F-150",7,0)))))),0),0)+IF(AND(O126="FIRE TEX 5090",E126="CJ",J126=4),VLOOKUP(_xlfn.MINIFS('FIRE TEX 5090'!$Y$5:$Y$39,'FIRE TEX 5090'!$Y$5:$Y$39,"&gt;="&amp;M126),'FIRE TEX 5090'!$Y$5:$AD$39,IF(L126="F-15",2,IF(L126="F-30",3,IF(L126="F-60",4,IF(L126="F-90",5,IF(L126="F-120",6,IF(L126="F-150",7,0)))))),0),0)+IF(AND(O126="FIRE TEX 5120",OR(E126="IN",E126="C",E126="Z",E126="L"),J126=3),VLOOKUP(_xlfn.MINIFS('FIRE TEX 5120'!$B$5:$B$40,'FIRE TEX 5120'!$B$5:$B$40,"&gt;="&amp;M126),'FIRE TEX 5120'!$B$5:$G$40,IF(L126="F-15",2,IF(L126="F-30",3,IF(L126="F-60",4,IF(L126="F-90",5,IF(L126="F-120",6,0))))),0),0)+IF(AND(O126="FIRE TEX 5120",OR(E126="IN",E126="C",E126="Z",E126="L"),J126=4),VLOOKUP(_xlfn.MINIFS('FIRE TEX 5120'!$H$4:$H$40,'FIRE TEX 5120'!$H$4:$H$40,"&gt;="&amp;M126),'FIRE TEX 5120'!$H$4:$M$40,IF(L126="F-15",2,IF(L126="F-30",3,IF(L126="F-60",4,IF(L126="F-90",5,IF(L126="F-120",6,0))))),0),0)+IF(AND(O126="FIRE TEX 5120",E126="CJ"),VLOOKUP(_xlfn.MINIFS('FIRE TEX 5120'!$O$5:$O$40,'FIRE TEX 5120'!$O$5:$O$40,"&gt;="&amp;M126),'FIRE TEX 5120'!$O$5:$T$40,IF(L126="F-15",2,IF(L126="F-30",3,IF(L126="F-60",4,IF(L126="F-90",5,IF(L126="F-120",6,0))))),0),0)</f>
        <v>0</v>
      </c>
      <c r="Q126" s="46">
        <f t="shared" si="10"/>
        <v>0</v>
      </c>
      <c r="R126" s="46">
        <f t="shared" si="12"/>
        <v>0</v>
      </c>
      <c r="S126" s="46" t="e">
        <f t="shared" si="11"/>
        <v>#VALUE!</v>
      </c>
      <c r="T126" s="677">
        <f t="shared" si="13"/>
        <v>0</v>
      </c>
      <c r="U126" s="80">
        <f>(IF(O126="Stofire",(S126*#REF!),0))+(IF(O126="Fire Control",(S126*$U$2),0))+(IF(O126="Fire Tex",(S126*$U$3),0))+(IF(O126="WB7",(S126*#REF!),0)+(IF(O126="FX 2003",(S126*$U$5),0)))</f>
        <v>0</v>
      </c>
      <c r="V126" s="651">
        <f>_xlfn.CEILING.MATH(M126,10)</f>
        <v>0</v>
      </c>
      <c r="W126" s="4"/>
    </row>
    <row r="127" spans="1:23" x14ac:dyDescent="0.25">
      <c r="A127" s="652" t="s">
        <v>409</v>
      </c>
      <c r="B127" s="653" t="s">
        <v>410</v>
      </c>
      <c r="C127" s="1" t="s">
        <v>408</v>
      </c>
      <c r="D127" s="118">
        <f>+CUBICACION!D126</f>
        <v>0</v>
      </c>
      <c r="E127" s="118">
        <f>+CUBICACION!F126</f>
        <v>0</v>
      </c>
      <c r="F127" s="118">
        <f>+CUBICACION!E126</f>
        <v>0</v>
      </c>
      <c r="G127" s="118">
        <v>12</v>
      </c>
      <c r="H127" s="118">
        <v>2</v>
      </c>
      <c r="I127" s="820">
        <v>26385</v>
      </c>
      <c r="J127" s="118">
        <f>+CUBICACION!J126</f>
        <v>4</v>
      </c>
      <c r="K127" s="118">
        <v>2906</v>
      </c>
      <c r="L127" s="118">
        <f>+CUBICACION!L126</f>
        <v>0</v>
      </c>
      <c r="M127" s="64">
        <f>+CUBICACION!M126</f>
        <v>0</v>
      </c>
      <c r="N127" s="824" t="str">
        <f>+CUBICACION!N126</f>
        <v/>
      </c>
      <c r="O127" s="675">
        <f>+CUBICACION!O126</f>
        <v>0</v>
      </c>
      <c r="P127" s="15">
        <f>IF(O127="Fire Control",VLOOKUP(_xlfn.MINIFS('FIRE CONTROL'!$C$4:$C$37,'FIRE CONTROL'!$C$4:$C$37,"&gt;="&amp;M127),'FIRE CONTROL'!$C$4:$G$37,IF(L127="F-15",2,IF(L127="F-30",3,IF(L127="F-60",4,IF(L127="F-90",5,0)))),0),0)+IF(AND(O127="FIRE TEX 5062",OR(E127="IN",E127="C",E127="Z",E127="L"),J127=3),VLOOKUP(_xlfn.MINIFS('FIRE TEX 5062'!$B$4:$B$34,'FIRE TEX 5062'!$B$4:$B$34,"&gt;="&amp;M127),'FIRE TEX 5062'!$B$4:$F$34,IF(L127="F-15",2,IF(L127="F-30",3,IF(L127="F-60",4,IF(L127="F-90",5,0)))),0),0)+IF(AND(O127="FIRE TEX 5062",OR(E127="IN",E127="C",E127="Z",E127="L"),J127=4),VLOOKUP(_xlfn.MINIFS('FIRE TEX 5062'!$G$4:$G$34,'FIRE TEX 5062'!$G$4:$G$34,"&gt;="&amp;M127),'FIRE TEX 5062'!$G$4:$K$34,IF(L127="F-15",2,IF(L127="F-30",3,IF(L127="F-60",4,IF(L127="F-90",5,0)))),0),0)+IF(AND(O127="FIRE TEX 5062",E127="CJ",J127=3),VLOOKUP(_xlfn.MINIFS('FIRE TEX 5062'!$L$4:$L$34,'FIRE TEX 5062'!$L$4:$L$34,"&gt;="&amp;M127),'FIRE TEX 5062'!$L$4:$P$34,IF(L127="F-15",2,IF(L127="F-30",3,IF(L127="F-60",4,IF(L127="F-90",5,0)))),0),0)+IF(AND(O127="FIRE TEX 5062",E127="CJ",J127=4),VLOOKUP(_xlfn.MINIFS('FIRE TEX 5062'!$Q$3:$Q$34,'FIRE TEX 5062'!$Q$3:$Q$34,"&gt;="&amp;M127),'FIRE TEX 5062'!$Q$3:$U$34,IF(L127="F-15",2,IF(L127="F-30",3,IF(L127="F-60",4,IF(L127="F-90",5,0)))),0),0)+IF(AND(O127="FIRE TEX 5090",OR(E127="IN",E127="C",E127="Z",E127="L"),J127=3),VLOOKUP(_xlfn.MINIFS('FIRE TEX 5090'!$B$5:$B$43,'FIRE TEX 5090'!$B$5:$B$43,"&gt;="&amp;M127),'FIRE TEX 5090'!$B$5:$H$43,IF(L127="F-15",2,IF(L127="F-30",3,IF(L127="F-60",4,IF(L127="F-90",5,IF(L127="F-120",6,IF(L127="F-150",7,0)))))),0),0)+IF(AND(O127="FIRE TEX 5090",OR(E127="IN",E127="C",E127="Z",E127="L"),J127=4),VLOOKUP(_xlfn.MINIFS('FIRE TEX 5090'!$J$5:$J$43,'FIRE TEX 5090'!$J$5:$J$43,"&gt;="&amp;M127),'FIRE TEX 5090'!$J$5:$P$43,IF(L127="F-15",2,IF(L127="F-30",3,IF(L127="F-60",4,IF(L127="F-90",5,IF(L127="F-120",6,IF(L127="F-150",7,0)))))),0),0)+IF(AND(O127="FIRE TEX 5090",E127="CJ",J127=3),VLOOKUP(_xlfn.MINIFS('FIRE TEX 5090'!$R$5:$R$30,'FIRE TEX 5090'!$R$5:$R$30,"&gt;="&amp;M127),'FIRE TEX 5090'!$R$5:$W$30,IF(L127="F-15",2,IF(L127="F-30",3,IF(L127="F-60",4,IF(L127="F-90",5,IF(L127="F-120",6,IF(L127="F-150",7,0)))))),0),0)+IF(AND(O127="FIRE TEX 5090",E127="CJ",J127=4),VLOOKUP(_xlfn.MINIFS('FIRE TEX 5090'!$Y$5:$Y$39,'FIRE TEX 5090'!$Y$5:$Y$39,"&gt;="&amp;M127),'FIRE TEX 5090'!$Y$5:$AD$39,IF(L127="F-15",2,IF(L127="F-30",3,IF(L127="F-60",4,IF(L127="F-90",5,IF(L127="F-120",6,IF(L127="F-150",7,0)))))),0),0)+IF(AND(O127="FIRE TEX 5120",OR(E127="IN",E127="C",E127="Z",E127="L"),J127=3),VLOOKUP(_xlfn.MINIFS('FIRE TEX 5120'!$B$5:$B$40,'FIRE TEX 5120'!$B$5:$B$40,"&gt;="&amp;M127),'FIRE TEX 5120'!$B$5:$G$40,IF(L127="F-15",2,IF(L127="F-30",3,IF(L127="F-60",4,IF(L127="F-90",5,IF(L127="F-120",6,0))))),0),0)+IF(AND(O127="FIRE TEX 5120",OR(E127="IN",E127="C",E127="Z",E127="L"),J127=4),VLOOKUP(_xlfn.MINIFS('FIRE TEX 5120'!$H$4:$H$40,'FIRE TEX 5120'!$H$4:$H$40,"&gt;="&amp;M127),'FIRE TEX 5120'!$H$4:$M$40,IF(L127="F-15",2,IF(L127="F-30",3,IF(L127="F-60",4,IF(L127="F-90",5,IF(L127="F-120",6,0))))),0),0)+IF(AND(O127="FIRE TEX 5120",E127="CJ"),VLOOKUP(_xlfn.MINIFS('FIRE TEX 5120'!$O$5:$O$40,'FIRE TEX 5120'!$O$5:$O$40,"&gt;="&amp;M127),'FIRE TEX 5120'!$O$5:$T$40,IF(L127="F-15",2,IF(L127="F-30",3,IF(L127="F-60",4,IF(L127="F-90",5,IF(L127="F-120",6,0))))),0),0)</f>
        <v>0</v>
      </c>
      <c r="Q127" s="46">
        <f t="shared" si="10"/>
        <v>0</v>
      </c>
      <c r="R127" s="46">
        <f t="shared" si="12"/>
        <v>0</v>
      </c>
      <c r="S127" s="46" t="e">
        <f t="shared" si="11"/>
        <v>#VALUE!</v>
      </c>
      <c r="T127" s="677">
        <f t="shared" si="13"/>
        <v>0</v>
      </c>
      <c r="U127" s="80">
        <f>(IF(O127="Stofire",(S127*#REF!),0))+(IF(O127="Fire Control",(S127*$U$2),0))+(IF(O127="Fire Tex",(S127*$U$3),0))+(IF(O127="WB7",(S127*#REF!),0)+(IF(O127="FX 2003",(S127*$U$5),0)))</f>
        <v>0</v>
      </c>
      <c r="V127" s="651">
        <f t="shared" ref="V127:V139" si="17">_xlfn.CEILING.MATH(M127,10)</f>
        <v>0</v>
      </c>
      <c r="W127" s="4"/>
    </row>
    <row r="128" spans="1:23" x14ac:dyDescent="0.25">
      <c r="A128" s="652" t="s">
        <v>414</v>
      </c>
      <c r="B128" s="653" t="s">
        <v>415</v>
      </c>
      <c r="C128" s="1" t="s">
        <v>408</v>
      </c>
      <c r="D128" s="118">
        <f>+CUBICACION!D127</f>
        <v>0</v>
      </c>
      <c r="E128" s="118">
        <f>+CUBICACION!F127</f>
        <v>0</v>
      </c>
      <c r="F128" s="118">
        <f>+CUBICACION!E127</f>
        <v>0</v>
      </c>
      <c r="G128" s="118">
        <v>12</v>
      </c>
      <c r="H128" s="118">
        <v>2</v>
      </c>
      <c r="I128" s="820">
        <v>26385</v>
      </c>
      <c r="J128" s="118">
        <f>+CUBICACION!J127</f>
        <v>4</v>
      </c>
      <c r="K128" s="118">
        <v>2907</v>
      </c>
      <c r="L128" s="118">
        <f>+CUBICACION!L127</f>
        <v>0</v>
      </c>
      <c r="M128" s="64">
        <f>+CUBICACION!M127</f>
        <v>0</v>
      </c>
      <c r="N128" s="824" t="str">
        <f>+CUBICACION!N127</f>
        <v/>
      </c>
      <c r="O128" s="675">
        <f>+CUBICACION!O127</f>
        <v>0</v>
      </c>
      <c r="P128" s="15">
        <f>IF(O128="Fire Control",VLOOKUP(_xlfn.MINIFS('FIRE CONTROL'!$C$4:$C$37,'FIRE CONTROL'!$C$4:$C$37,"&gt;="&amp;M128),'FIRE CONTROL'!$C$4:$G$37,IF(L128="F-15",2,IF(L128="F-30",3,IF(L128="F-60",4,IF(L128="F-90",5,0)))),0),0)+IF(AND(O128="FIRE TEX 5062",OR(E128="IN",E128="C",E128="Z",E128="L"),J128=3),VLOOKUP(_xlfn.MINIFS('FIRE TEX 5062'!$B$4:$B$34,'FIRE TEX 5062'!$B$4:$B$34,"&gt;="&amp;M128),'FIRE TEX 5062'!$B$4:$F$34,IF(L128="F-15",2,IF(L128="F-30",3,IF(L128="F-60",4,IF(L128="F-90",5,0)))),0),0)+IF(AND(O128="FIRE TEX 5062",OR(E128="IN",E128="C",E128="Z",E128="L"),J128=4),VLOOKUP(_xlfn.MINIFS('FIRE TEX 5062'!$G$4:$G$34,'FIRE TEX 5062'!$G$4:$G$34,"&gt;="&amp;M128),'FIRE TEX 5062'!$G$4:$K$34,IF(L128="F-15",2,IF(L128="F-30",3,IF(L128="F-60",4,IF(L128="F-90",5,0)))),0),0)+IF(AND(O128="FIRE TEX 5062",E128="CJ",J128=3),VLOOKUP(_xlfn.MINIFS('FIRE TEX 5062'!$L$4:$L$34,'FIRE TEX 5062'!$L$4:$L$34,"&gt;="&amp;M128),'FIRE TEX 5062'!$L$4:$P$34,IF(L128="F-15",2,IF(L128="F-30",3,IF(L128="F-60",4,IF(L128="F-90",5,0)))),0),0)+IF(AND(O128="FIRE TEX 5062",E128="CJ",J128=4),VLOOKUP(_xlfn.MINIFS('FIRE TEX 5062'!$Q$3:$Q$34,'FIRE TEX 5062'!$Q$3:$Q$34,"&gt;="&amp;M128),'FIRE TEX 5062'!$Q$3:$U$34,IF(L128="F-15",2,IF(L128="F-30",3,IF(L128="F-60",4,IF(L128="F-90",5,0)))),0),0)+IF(AND(O128="FIRE TEX 5090",OR(E128="IN",E128="C",E128="Z",E128="L"),J128=3),VLOOKUP(_xlfn.MINIFS('FIRE TEX 5090'!$B$5:$B$43,'FIRE TEX 5090'!$B$5:$B$43,"&gt;="&amp;M128),'FIRE TEX 5090'!$B$5:$H$43,IF(L128="F-15",2,IF(L128="F-30",3,IF(L128="F-60",4,IF(L128="F-90",5,IF(L128="F-120",6,IF(L128="F-150",7,0)))))),0),0)+IF(AND(O128="FIRE TEX 5090",OR(E128="IN",E128="C",E128="Z",E128="L"),J128=4),VLOOKUP(_xlfn.MINIFS('FIRE TEX 5090'!$J$5:$J$43,'FIRE TEX 5090'!$J$5:$J$43,"&gt;="&amp;M128),'FIRE TEX 5090'!$J$5:$P$43,IF(L128="F-15",2,IF(L128="F-30",3,IF(L128="F-60",4,IF(L128="F-90",5,IF(L128="F-120",6,IF(L128="F-150",7,0)))))),0),0)+IF(AND(O128="FIRE TEX 5090",E128="CJ",J128=3),VLOOKUP(_xlfn.MINIFS('FIRE TEX 5090'!$R$5:$R$30,'FIRE TEX 5090'!$R$5:$R$30,"&gt;="&amp;M128),'FIRE TEX 5090'!$R$5:$W$30,IF(L128="F-15",2,IF(L128="F-30",3,IF(L128="F-60",4,IF(L128="F-90",5,IF(L128="F-120",6,IF(L128="F-150",7,0)))))),0),0)+IF(AND(O128="FIRE TEX 5090",E128="CJ",J128=4),VLOOKUP(_xlfn.MINIFS('FIRE TEX 5090'!$Y$5:$Y$39,'FIRE TEX 5090'!$Y$5:$Y$39,"&gt;="&amp;M128),'FIRE TEX 5090'!$Y$5:$AD$39,IF(L128="F-15",2,IF(L128="F-30",3,IF(L128="F-60",4,IF(L128="F-90",5,IF(L128="F-120",6,IF(L128="F-150",7,0)))))),0),0)+IF(AND(O128="FIRE TEX 5120",OR(E128="IN",E128="C",E128="Z",E128="L"),J128=3),VLOOKUP(_xlfn.MINIFS('FIRE TEX 5120'!$B$5:$B$40,'FIRE TEX 5120'!$B$5:$B$40,"&gt;="&amp;M128),'FIRE TEX 5120'!$B$5:$G$40,IF(L128="F-15",2,IF(L128="F-30",3,IF(L128="F-60",4,IF(L128="F-90",5,IF(L128="F-120",6,0))))),0),0)+IF(AND(O128="FIRE TEX 5120",OR(E128="IN",E128="C",E128="Z",E128="L"),J128=4),VLOOKUP(_xlfn.MINIFS('FIRE TEX 5120'!$H$4:$H$40,'FIRE TEX 5120'!$H$4:$H$40,"&gt;="&amp;M128),'FIRE TEX 5120'!$H$4:$M$40,IF(L128="F-15",2,IF(L128="F-30",3,IF(L128="F-60",4,IF(L128="F-90",5,IF(L128="F-120",6,0))))),0),0)+IF(AND(O128="FIRE TEX 5120",E128="CJ"),VLOOKUP(_xlfn.MINIFS('FIRE TEX 5120'!$O$5:$O$40,'FIRE TEX 5120'!$O$5:$O$40,"&gt;="&amp;M128),'FIRE TEX 5120'!$O$5:$T$40,IF(L128="F-15",2,IF(L128="F-30",3,IF(L128="F-60",4,IF(L128="F-90",5,IF(L128="F-120",6,0))))),0),0)</f>
        <v>0</v>
      </c>
      <c r="Q128" s="46">
        <f t="shared" si="10"/>
        <v>0</v>
      </c>
      <c r="R128" s="46">
        <f t="shared" si="12"/>
        <v>0</v>
      </c>
      <c r="S128" s="46" t="e">
        <f t="shared" si="11"/>
        <v>#VALUE!</v>
      </c>
      <c r="T128" s="677">
        <f t="shared" si="13"/>
        <v>0</v>
      </c>
      <c r="U128" s="80">
        <f>(IF(O128="Stofire",(S128*#REF!),0))+(IF(O128="Fire Control",(S128*$U$2),0))+(IF(O128="Fire Tex",(S128*$U$3),0))+(IF(O128="WB7",(S128*#REF!),0)+(IF(O128="FX 2003",(S128*$U$5),0)))</f>
        <v>0</v>
      </c>
      <c r="V128" s="651">
        <f t="shared" si="17"/>
        <v>0</v>
      </c>
      <c r="W128" s="4"/>
    </row>
    <row r="129" spans="1:23" x14ac:dyDescent="0.25">
      <c r="A129" s="652" t="s">
        <v>417</v>
      </c>
      <c r="B129" s="653" t="s">
        <v>415</v>
      </c>
      <c r="C129" s="1" t="s">
        <v>408</v>
      </c>
      <c r="D129" s="118">
        <f>+CUBICACION!D128</f>
        <v>0</v>
      </c>
      <c r="E129" s="118">
        <f>+CUBICACION!F128</f>
        <v>0</v>
      </c>
      <c r="F129" s="118">
        <f>+CUBICACION!E128</f>
        <v>0</v>
      </c>
      <c r="G129" s="118">
        <v>12</v>
      </c>
      <c r="H129" s="118">
        <v>2</v>
      </c>
      <c r="I129" s="820">
        <v>26385</v>
      </c>
      <c r="J129" s="118">
        <f>+CUBICACION!J128</f>
        <v>4</v>
      </c>
      <c r="K129" s="118">
        <v>2908</v>
      </c>
      <c r="L129" s="118">
        <f>+CUBICACION!L128</f>
        <v>0</v>
      </c>
      <c r="M129" s="64">
        <f>+CUBICACION!M128</f>
        <v>0</v>
      </c>
      <c r="N129" s="824" t="str">
        <f>+CUBICACION!N128</f>
        <v/>
      </c>
      <c r="O129" s="675">
        <f>+CUBICACION!O128</f>
        <v>0</v>
      </c>
      <c r="P129" s="15">
        <f>IF(O129="Fire Control",VLOOKUP(_xlfn.MINIFS('FIRE CONTROL'!$C$4:$C$37,'FIRE CONTROL'!$C$4:$C$37,"&gt;="&amp;M129),'FIRE CONTROL'!$C$4:$G$37,IF(L129="F-15",2,IF(L129="F-30",3,IF(L129="F-60",4,IF(L129="F-90",5,0)))),0),0)+IF(AND(O129="FIRE TEX 5062",OR(E129="IN",E129="C",E129="Z",E129="L"),J129=3),VLOOKUP(_xlfn.MINIFS('FIRE TEX 5062'!$B$4:$B$34,'FIRE TEX 5062'!$B$4:$B$34,"&gt;="&amp;M129),'FIRE TEX 5062'!$B$4:$F$34,IF(L129="F-15",2,IF(L129="F-30",3,IF(L129="F-60",4,IF(L129="F-90",5,0)))),0),0)+IF(AND(O129="FIRE TEX 5062",OR(E129="IN",E129="C",E129="Z",E129="L"),J129=4),VLOOKUP(_xlfn.MINIFS('FIRE TEX 5062'!$G$4:$G$34,'FIRE TEX 5062'!$G$4:$G$34,"&gt;="&amp;M129),'FIRE TEX 5062'!$G$4:$K$34,IF(L129="F-15",2,IF(L129="F-30",3,IF(L129="F-60",4,IF(L129="F-90",5,0)))),0),0)+IF(AND(O129="FIRE TEX 5062",E129="CJ",J129=3),VLOOKUP(_xlfn.MINIFS('FIRE TEX 5062'!$L$4:$L$34,'FIRE TEX 5062'!$L$4:$L$34,"&gt;="&amp;M129),'FIRE TEX 5062'!$L$4:$P$34,IF(L129="F-15",2,IF(L129="F-30",3,IF(L129="F-60",4,IF(L129="F-90",5,0)))),0),0)+IF(AND(O129="FIRE TEX 5062",E129="CJ",J129=4),VLOOKUP(_xlfn.MINIFS('FIRE TEX 5062'!$Q$3:$Q$34,'FIRE TEX 5062'!$Q$3:$Q$34,"&gt;="&amp;M129),'FIRE TEX 5062'!$Q$3:$U$34,IF(L129="F-15",2,IF(L129="F-30",3,IF(L129="F-60",4,IF(L129="F-90",5,0)))),0),0)+IF(AND(O129="FIRE TEX 5090",OR(E129="IN",E129="C",E129="Z",E129="L"),J129=3),VLOOKUP(_xlfn.MINIFS('FIRE TEX 5090'!$B$5:$B$43,'FIRE TEX 5090'!$B$5:$B$43,"&gt;="&amp;M129),'FIRE TEX 5090'!$B$5:$H$43,IF(L129="F-15",2,IF(L129="F-30",3,IF(L129="F-60",4,IF(L129="F-90",5,IF(L129="F-120",6,IF(L129="F-150",7,0)))))),0),0)+IF(AND(O129="FIRE TEX 5090",OR(E129="IN",E129="C",E129="Z",E129="L"),J129=4),VLOOKUP(_xlfn.MINIFS('FIRE TEX 5090'!$J$5:$J$43,'FIRE TEX 5090'!$J$5:$J$43,"&gt;="&amp;M129),'FIRE TEX 5090'!$J$5:$P$43,IF(L129="F-15",2,IF(L129="F-30",3,IF(L129="F-60",4,IF(L129="F-90",5,IF(L129="F-120",6,IF(L129="F-150",7,0)))))),0),0)+IF(AND(O129="FIRE TEX 5090",E129="CJ",J129=3),VLOOKUP(_xlfn.MINIFS('FIRE TEX 5090'!$R$5:$R$30,'FIRE TEX 5090'!$R$5:$R$30,"&gt;="&amp;M129),'FIRE TEX 5090'!$R$5:$W$30,IF(L129="F-15",2,IF(L129="F-30",3,IF(L129="F-60",4,IF(L129="F-90",5,IF(L129="F-120",6,IF(L129="F-150",7,0)))))),0),0)+IF(AND(O129="FIRE TEX 5090",E129="CJ",J129=4),VLOOKUP(_xlfn.MINIFS('FIRE TEX 5090'!$Y$5:$Y$39,'FIRE TEX 5090'!$Y$5:$Y$39,"&gt;="&amp;M129),'FIRE TEX 5090'!$Y$5:$AD$39,IF(L129="F-15",2,IF(L129="F-30",3,IF(L129="F-60",4,IF(L129="F-90",5,IF(L129="F-120",6,IF(L129="F-150",7,0)))))),0),0)+IF(AND(O129="FIRE TEX 5120",OR(E129="IN",E129="C",E129="Z",E129="L"),J129=3),VLOOKUP(_xlfn.MINIFS('FIRE TEX 5120'!$B$5:$B$40,'FIRE TEX 5120'!$B$5:$B$40,"&gt;="&amp;M129),'FIRE TEX 5120'!$B$5:$G$40,IF(L129="F-15",2,IF(L129="F-30",3,IF(L129="F-60",4,IF(L129="F-90",5,IF(L129="F-120",6,0))))),0),0)+IF(AND(O129="FIRE TEX 5120",OR(E129="IN",E129="C",E129="Z",E129="L"),J129=4),VLOOKUP(_xlfn.MINIFS('FIRE TEX 5120'!$H$4:$H$40,'FIRE TEX 5120'!$H$4:$H$40,"&gt;="&amp;M129),'FIRE TEX 5120'!$H$4:$M$40,IF(L129="F-15",2,IF(L129="F-30",3,IF(L129="F-60",4,IF(L129="F-90",5,IF(L129="F-120",6,0))))),0),0)+IF(AND(O129="FIRE TEX 5120",E129="CJ"),VLOOKUP(_xlfn.MINIFS('FIRE TEX 5120'!$O$5:$O$40,'FIRE TEX 5120'!$O$5:$O$40,"&gt;="&amp;M129),'FIRE TEX 5120'!$O$5:$T$40,IF(L129="F-15",2,IF(L129="F-30",3,IF(L129="F-60",4,IF(L129="F-90",5,IF(L129="F-120",6,0))))),0),0)</f>
        <v>0</v>
      </c>
      <c r="Q129" s="46">
        <f t="shared" si="10"/>
        <v>0</v>
      </c>
      <c r="R129" s="46">
        <f t="shared" si="12"/>
        <v>0</v>
      </c>
      <c r="S129" s="46" t="e">
        <f t="shared" si="11"/>
        <v>#VALUE!</v>
      </c>
      <c r="T129" s="677">
        <f t="shared" si="13"/>
        <v>0</v>
      </c>
      <c r="U129" s="80">
        <f>(IF(O129="Stofire",(S129*#REF!),0))+(IF(O129="Fire Control",(S129*$U$2),0))+(IF(O129="Fire Tex",(S129*$U$3),0))+(IF(O129="WB7",(S129*#REF!),0)+(IF(O129="FX 2003",(S129*$U$5),0)))</f>
        <v>0</v>
      </c>
      <c r="V129" s="651">
        <f t="shared" si="17"/>
        <v>0</v>
      </c>
      <c r="W129" s="4"/>
    </row>
    <row r="130" spans="1:23" x14ac:dyDescent="0.25">
      <c r="A130" s="652" t="s">
        <v>419</v>
      </c>
      <c r="B130" s="653" t="s">
        <v>415</v>
      </c>
      <c r="C130" s="1" t="s">
        <v>408</v>
      </c>
      <c r="D130" s="118">
        <f>+CUBICACION!D129</f>
        <v>0</v>
      </c>
      <c r="E130" s="118">
        <f>+CUBICACION!F129</f>
        <v>0</v>
      </c>
      <c r="F130" s="118">
        <f>+CUBICACION!E129</f>
        <v>0</v>
      </c>
      <c r="G130" s="118">
        <v>12</v>
      </c>
      <c r="H130" s="118">
        <v>2</v>
      </c>
      <c r="I130" s="820">
        <v>26385</v>
      </c>
      <c r="J130" s="118">
        <f>+CUBICACION!J129</f>
        <v>4</v>
      </c>
      <c r="K130" s="118">
        <v>2909</v>
      </c>
      <c r="L130" s="118">
        <f>+CUBICACION!L129</f>
        <v>0</v>
      </c>
      <c r="M130" s="64">
        <f>+CUBICACION!M129</f>
        <v>0</v>
      </c>
      <c r="N130" s="824" t="str">
        <f>+CUBICACION!N129</f>
        <v/>
      </c>
      <c r="O130" s="675">
        <f>+CUBICACION!O129</f>
        <v>0</v>
      </c>
      <c r="P130" s="15">
        <f>IF(O130="Fire Control",VLOOKUP(_xlfn.MINIFS('FIRE CONTROL'!$C$4:$C$37,'FIRE CONTROL'!$C$4:$C$37,"&gt;="&amp;M130),'FIRE CONTROL'!$C$4:$G$37,IF(L130="F-15",2,IF(L130="F-30",3,IF(L130="F-60",4,IF(L130="F-90",5,0)))),0),0)+IF(AND(O130="FIRE TEX 5062",OR(E130="IN",E130="C",E130="Z",E130="L"),J130=3),VLOOKUP(_xlfn.MINIFS('FIRE TEX 5062'!$B$4:$B$34,'FIRE TEX 5062'!$B$4:$B$34,"&gt;="&amp;M130),'FIRE TEX 5062'!$B$4:$F$34,IF(L130="F-15",2,IF(L130="F-30",3,IF(L130="F-60",4,IF(L130="F-90",5,0)))),0),0)+IF(AND(O130="FIRE TEX 5062",OR(E130="IN",E130="C",E130="Z",E130="L"),J130=4),VLOOKUP(_xlfn.MINIFS('FIRE TEX 5062'!$G$4:$G$34,'FIRE TEX 5062'!$G$4:$G$34,"&gt;="&amp;M130),'FIRE TEX 5062'!$G$4:$K$34,IF(L130="F-15",2,IF(L130="F-30",3,IF(L130="F-60",4,IF(L130="F-90",5,0)))),0),0)+IF(AND(O130="FIRE TEX 5062",E130="CJ",J130=3),VLOOKUP(_xlfn.MINIFS('FIRE TEX 5062'!$L$4:$L$34,'FIRE TEX 5062'!$L$4:$L$34,"&gt;="&amp;M130),'FIRE TEX 5062'!$L$4:$P$34,IF(L130="F-15",2,IF(L130="F-30",3,IF(L130="F-60",4,IF(L130="F-90",5,0)))),0),0)+IF(AND(O130="FIRE TEX 5062",E130="CJ",J130=4),VLOOKUP(_xlfn.MINIFS('FIRE TEX 5062'!$Q$3:$Q$34,'FIRE TEX 5062'!$Q$3:$Q$34,"&gt;="&amp;M130),'FIRE TEX 5062'!$Q$3:$U$34,IF(L130="F-15",2,IF(L130="F-30",3,IF(L130="F-60",4,IF(L130="F-90",5,0)))),0),0)+IF(AND(O130="FIRE TEX 5090",OR(E130="IN",E130="C",E130="Z",E130="L"),J130=3),VLOOKUP(_xlfn.MINIFS('FIRE TEX 5090'!$B$5:$B$43,'FIRE TEX 5090'!$B$5:$B$43,"&gt;="&amp;M130),'FIRE TEX 5090'!$B$5:$H$43,IF(L130="F-15",2,IF(L130="F-30",3,IF(L130="F-60",4,IF(L130="F-90",5,IF(L130="F-120",6,IF(L130="F-150",7,0)))))),0),0)+IF(AND(O130="FIRE TEX 5090",OR(E130="IN",E130="C",E130="Z",E130="L"),J130=4),VLOOKUP(_xlfn.MINIFS('FIRE TEX 5090'!$J$5:$J$43,'FIRE TEX 5090'!$J$5:$J$43,"&gt;="&amp;M130),'FIRE TEX 5090'!$J$5:$P$43,IF(L130="F-15",2,IF(L130="F-30",3,IF(L130="F-60",4,IF(L130="F-90",5,IF(L130="F-120",6,IF(L130="F-150",7,0)))))),0),0)+IF(AND(O130="FIRE TEX 5090",E130="CJ",J130=3),VLOOKUP(_xlfn.MINIFS('FIRE TEX 5090'!$R$5:$R$30,'FIRE TEX 5090'!$R$5:$R$30,"&gt;="&amp;M130),'FIRE TEX 5090'!$R$5:$W$30,IF(L130="F-15",2,IF(L130="F-30",3,IF(L130="F-60",4,IF(L130="F-90",5,IF(L130="F-120",6,IF(L130="F-150",7,0)))))),0),0)+IF(AND(O130="FIRE TEX 5090",E130="CJ",J130=4),VLOOKUP(_xlfn.MINIFS('FIRE TEX 5090'!$Y$5:$Y$39,'FIRE TEX 5090'!$Y$5:$Y$39,"&gt;="&amp;M130),'FIRE TEX 5090'!$Y$5:$AD$39,IF(L130="F-15",2,IF(L130="F-30",3,IF(L130="F-60",4,IF(L130="F-90",5,IF(L130="F-120",6,IF(L130="F-150",7,0)))))),0),0)+IF(AND(O130="FIRE TEX 5120",OR(E130="IN",E130="C",E130="Z",E130="L"),J130=3),VLOOKUP(_xlfn.MINIFS('FIRE TEX 5120'!$B$5:$B$40,'FIRE TEX 5120'!$B$5:$B$40,"&gt;="&amp;M130),'FIRE TEX 5120'!$B$5:$G$40,IF(L130="F-15",2,IF(L130="F-30",3,IF(L130="F-60",4,IF(L130="F-90",5,IF(L130="F-120",6,0))))),0),0)+IF(AND(O130="FIRE TEX 5120",OR(E130="IN",E130="C",E130="Z",E130="L"),J130=4),VLOOKUP(_xlfn.MINIFS('FIRE TEX 5120'!$H$4:$H$40,'FIRE TEX 5120'!$H$4:$H$40,"&gt;="&amp;M130),'FIRE TEX 5120'!$H$4:$M$40,IF(L130="F-15",2,IF(L130="F-30",3,IF(L130="F-60",4,IF(L130="F-90",5,IF(L130="F-120",6,0))))),0),0)+IF(AND(O130="FIRE TEX 5120",E130="CJ"),VLOOKUP(_xlfn.MINIFS('FIRE TEX 5120'!$O$5:$O$40,'FIRE TEX 5120'!$O$5:$O$40,"&gt;="&amp;M130),'FIRE TEX 5120'!$O$5:$T$40,IF(L130="F-15",2,IF(L130="F-30",3,IF(L130="F-60",4,IF(L130="F-90",5,IF(L130="F-120",6,0))))),0),0)</f>
        <v>0</v>
      </c>
      <c r="Q130" s="46">
        <f t="shared" si="10"/>
        <v>0</v>
      </c>
      <c r="R130" s="46">
        <f t="shared" si="12"/>
        <v>0</v>
      </c>
      <c r="S130" s="46" t="e">
        <f t="shared" si="11"/>
        <v>#VALUE!</v>
      </c>
      <c r="T130" s="677">
        <f t="shared" si="13"/>
        <v>0</v>
      </c>
      <c r="U130" s="80">
        <f>(IF(O130="Stofire",(S130*#REF!),0))+(IF(O130="Fire Control",(S130*$U$2),0))+(IF(O130="Fire Tex",(S130*$U$3),0))+(IF(O130="WB7",(S130*#REF!),0)+(IF(O130="FX 2003",(S130*$U$5),0)))</f>
        <v>0</v>
      </c>
      <c r="V130" s="651">
        <f t="shared" si="17"/>
        <v>0</v>
      </c>
      <c r="W130" s="4"/>
    </row>
    <row r="131" spans="1:23" x14ac:dyDescent="0.25">
      <c r="A131" s="652" t="s">
        <v>421</v>
      </c>
      <c r="B131" s="653" t="s">
        <v>422</v>
      </c>
      <c r="C131" s="1" t="s">
        <v>423</v>
      </c>
      <c r="D131" s="118">
        <f>+CUBICACION!D130</f>
        <v>0</v>
      </c>
      <c r="E131" s="118">
        <f>+CUBICACION!F130</f>
        <v>0</v>
      </c>
      <c r="F131" s="118">
        <f>+CUBICACION!E130</f>
        <v>0</v>
      </c>
      <c r="G131" s="118">
        <v>12</v>
      </c>
      <c r="H131" s="118">
        <v>2</v>
      </c>
      <c r="I131" s="820">
        <v>26385</v>
      </c>
      <c r="J131" s="118">
        <f>+CUBICACION!J130</f>
        <v>4</v>
      </c>
      <c r="K131" s="118">
        <v>2910</v>
      </c>
      <c r="L131" s="118">
        <f>+CUBICACION!L130</f>
        <v>0</v>
      </c>
      <c r="M131" s="64">
        <f>+CUBICACION!M130</f>
        <v>0</v>
      </c>
      <c r="N131" s="824" t="str">
        <f>+CUBICACION!N130</f>
        <v/>
      </c>
      <c r="O131" s="675">
        <f>+CUBICACION!O130</f>
        <v>0</v>
      </c>
      <c r="P131" s="15">
        <f>IF(O131="Fire Control",VLOOKUP(_xlfn.MINIFS('FIRE CONTROL'!$C$4:$C$37,'FIRE CONTROL'!$C$4:$C$37,"&gt;="&amp;M131),'FIRE CONTROL'!$C$4:$G$37,IF(L131="F-15",2,IF(L131="F-30",3,IF(L131="F-60",4,IF(L131="F-90",5,0)))),0),0)+IF(AND(O131="FIRE TEX 5062",OR(E131="IN",E131="C",E131="Z",E131="L"),J131=3),VLOOKUP(_xlfn.MINIFS('FIRE TEX 5062'!$B$4:$B$34,'FIRE TEX 5062'!$B$4:$B$34,"&gt;="&amp;M131),'FIRE TEX 5062'!$B$4:$F$34,IF(L131="F-15",2,IF(L131="F-30",3,IF(L131="F-60",4,IF(L131="F-90",5,0)))),0),0)+IF(AND(O131="FIRE TEX 5062",OR(E131="IN",E131="C",E131="Z",E131="L"),J131=4),VLOOKUP(_xlfn.MINIFS('FIRE TEX 5062'!$G$4:$G$34,'FIRE TEX 5062'!$G$4:$G$34,"&gt;="&amp;M131),'FIRE TEX 5062'!$G$4:$K$34,IF(L131="F-15",2,IF(L131="F-30",3,IF(L131="F-60",4,IF(L131="F-90",5,0)))),0),0)+IF(AND(O131="FIRE TEX 5062",E131="CJ",J131=3),VLOOKUP(_xlfn.MINIFS('FIRE TEX 5062'!$L$4:$L$34,'FIRE TEX 5062'!$L$4:$L$34,"&gt;="&amp;M131),'FIRE TEX 5062'!$L$4:$P$34,IF(L131="F-15",2,IF(L131="F-30",3,IF(L131="F-60",4,IF(L131="F-90",5,0)))),0),0)+IF(AND(O131="FIRE TEX 5062",E131="CJ",J131=4),VLOOKUP(_xlfn.MINIFS('FIRE TEX 5062'!$Q$3:$Q$34,'FIRE TEX 5062'!$Q$3:$Q$34,"&gt;="&amp;M131),'FIRE TEX 5062'!$Q$3:$U$34,IF(L131="F-15",2,IF(L131="F-30",3,IF(L131="F-60",4,IF(L131="F-90",5,0)))),0),0)+IF(AND(O131="FIRE TEX 5090",OR(E131="IN",E131="C",E131="Z",E131="L"),J131=3),VLOOKUP(_xlfn.MINIFS('FIRE TEX 5090'!$B$5:$B$43,'FIRE TEX 5090'!$B$5:$B$43,"&gt;="&amp;M131),'FIRE TEX 5090'!$B$5:$H$43,IF(L131="F-15",2,IF(L131="F-30",3,IF(L131="F-60",4,IF(L131="F-90",5,IF(L131="F-120",6,IF(L131="F-150",7,0)))))),0),0)+IF(AND(O131="FIRE TEX 5090",OR(E131="IN",E131="C",E131="Z",E131="L"),J131=4),VLOOKUP(_xlfn.MINIFS('FIRE TEX 5090'!$J$5:$J$43,'FIRE TEX 5090'!$J$5:$J$43,"&gt;="&amp;M131),'FIRE TEX 5090'!$J$5:$P$43,IF(L131="F-15",2,IF(L131="F-30",3,IF(L131="F-60",4,IF(L131="F-90",5,IF(L131="F-120",6,IF(L131="F-150",7,0)))))),0),0)+IF(AND(O131="FIRE TEX 5090",E131="CJ",J131=3),VLOOKUP(_xlfn.MINIFS('FIRE TEX 5090'!$R$5:$R$30,'FIRE TEX 5090'!$R$5:$R$30,"&gt;="&amp;M131),'FIRE TEX 5090'!$R$5:$W$30,IF(L131="F-15",2,IF(L131="F-30",3,IF(L131="F-60",4,IF(L131="F-90",5,IF(L131="F-120",6,IF(L131="F-150",7,0)))))),0),0)+IF(AND(O131="FIRE TEX 5090",E131="CJ",J131=4),VLOOKUP(_xlfn.MINIFS('FIRE TEX 5090'!$Y$5:$Y$39,'FIRE TEX 5090'!$Y$5:$Y$39,"&gt;="&amp;M131),'FIRE TEX 5090'!$Y$5:$AD$39,IF(L131="F-15",2,IF(L131="F-30",3,IF(L131="F-60",4,IF(L131="F-90",5,IF(L131="F-120",6,IF(L131="F-150",7,0)))))),0),0)+IF(AND(O131="FIRE TEX 5120",OR(E131="IN",E131="C",E131="Z",E131="L"),J131=3),VLOOKUP(_xlfn.MINIFS('FIRE TEX 5120'!$B$5:$B$40,'FIRE TEX 5120'!$B$5:$B$40,"&gt;="&amp;M131),'FIRE TEX 5120'!$B$5:$G$40,IF(L131="F-15",2,IF(L131="F-30",3,IF(L131="F-60",4,IF(L131="F-90",5,IF(L131="F-120",6,0))))),0),0)+IF(AND(O131="FIRE TEX 5120",OR(E131="IN",E131="C",E131="Z",E131="L"),J131=4),VLOOKUP(_xlfn.MINIFS('FIRE TEX 5120'!$H$4:$H$40,'FIRE TEX 5120'!$H$4:$H$40,"&gt;="&amp;M131),'FIRE TEX 5120'!$H$4:$M$40,IF(L131="F-15",2,IF(L131="F-30",3,IF(L131="F-60",4,IF(L131="F-90",5,IF(L131="F-120",6,0))))),0),0)+IF(AND(O131="FIRE TEX 5120",E131="CJ"),VLOOKUP(_xlfn.MINIFS('FIRE TEX 5120'!$O$5:$O$40,'FIRE TEX 5120'!$O$5:$O$40,"&gt;="&amp;M131),'FIRE TEX 5120'!$O$5:$T$40,IF(L131="F-15",2,IF(L131="F-30",3,IF(L131="F-60",4,IF(L131="F-90",5,IF(L131="F-120",6,0))))),0),0)</f>
        <v>0</v>
      </c>
      <c r="Q131" s="46">
        <f t="shared" si="10"/>
        <v>0</v>
      </c>
      <c r="R131" s="46">
        <f t="shared" si="12"/>
        <v>0</v>
      </c>
      <c r="S131" s="46" t="e">
        <f t="shared" si="11"/>
        <v>#VALUE!</v>
      </c>
      <c r="T131" s="677">
        <f t="shared" si="13"/>
        <v>0</v>
      </c>
      <c r="U131" s="80">
        <f>(IF(O131="Stofire",(S131*#REF!),0))+(IF(O131="Fire Control",(S131*$U$2),0))+(IF(O131="Fire Tex",(S131*$U$3),0))+(IF(O131="WB7",(S131*#REF!),0)+(IF(O131="FX 2003",(S131*$U$5),0)))</f>
        <v>0</v>
      </c>
      <c r="V131" s="651">
        <f t="shared" si="17"/>
        <v>0</v>
      </c>
      <c r="W131" s="4"/>
    </row>
    <row r="132" spans="1:23" x14ac:dyDescent="0.25">
      <c r="A132" s="652" t="s">
        <v>425</v>
      </c>
      <c r="B132" s="653" t="s">
        <v>426</v>
      </c>
      <c r="C132" s="1" t="s">
        <v>427</v>
      </c>
      <c r="D132" s="118">
        <f>+CUBICACION!D131</f>
        <v>0</v>
      </c>
      <c r="E132" s="118">
        <f>+CUBICACION!F131</f>
        <v>0</v>
      </c>
      <c r="F132" s="118">
        <f>+CUBICACION!E131</f>
        <v>0</v>
      </c>
      <c r="G132" s="118">
        <v>12</v>
      </c>
      <c r="H132" s="118">
        <v>2</v>
      </c>
      <c r="I132" s="820">
        <v>26385</v>
      </c>
      <c r="J132" s="118">
        <f>+CUBICACION!J131</f>
        <v>4</v>
      </c>
      <c r="K132" s="118">
        <v>2911</v>
      </c>
      <c r="L132" s="118">
        <f>+CUBICACION!L131</f>
        <v>0</v>
      </c>
      <c r="M132" s="64">
        <f>+CUBICACION!M131</f>
        <v>0</v>
      </c>
      <c r="N132" s="824" t="str">
        <f>+CUBICACION!N131</f>
        <v/>
      </c>
      <c r="O132" s="675">
        <f>+CUBICACION!O131</f>
        <v>0</v>
      </c>
      <c r="P132" s="15">
        <f>IF(O132="Fire Control",VLOOKUP(_xlfn.MINIFS('FIRE CONTROL'!$C$4:$C$37,'FIRE CONTROL'!$C$4:$C$37,"&gt;="&amp;M132),'FIRE CONTROL'!$C$4:$G$37,IF(L132="F-15",2,IF(L132="F-30",3,IF(L132="F-60",4,IF(L132="F-90",5,0)))),0),0)+IF(AND(O132="FIRE TEX 5062",OR(E132="IN",E132="C",E132="Z",E132="L"),J132=3),VLOOKUP(_xlfn.MINIFS('FIRE TEX 5062'!$B$4:$B$34,'FIRE TEX 5062'!$B$4:$B$34,"&gt;="&amp;M132),'FIRE TEX 5062'!$B$4:$F$34,IF(L132="F-15",2,IF(L132="F-30",3,IF(L132="F-60",4,IF(L132="F-90",5,0)))),0),0)+IF(AND(O132="FIRE TEX 5062",OR(E132="IN",E132="C",E132="Z",E132="L"),J132=4),VLOOKUP(_xlfn.MINIFS('FIRE TEX 5062'!$G$4:$G$34,'FIRE TEX 5062'!$G$4:$G$34,"&gt;="&amp;M132),'FIRE TEX 5062'!$G$4:$K$34,IF(L132="F-15",2,IF(L132="F-30",3,IF(L132="F-60",4,IF(L132="F-90",5,0)))),0),0)+IF(AND(O132="FIRE TEX 5062",E132="CJ",J132=3),VLOOKUP(_xlfn.MINIFS('FIRE TEX 5062'!$L$4:$L$34,'FIRE TEX 5062'!$L$4:$L$34,"&gt;="&amp;M132),'FIRE TEX 5062'!$L$4:$P$34,IF(L132="F-15",2,IF(L132="F-30",3,IF(L132="F-60",4,IF(L132="F-90",5,0)))),0),0)+IF(AND(O132="FIRE TEX 5062",E132="CJ",J132=4),VLOOKUP(_xlfn.MINIFS('FIRE TEX 5062'!$Q$3:$Q$34,'FIRE TEX 5062'!$Q$3:$Q$34,"&gt;="&amp;M132),'FIRE TEX 5062'!$Q$3:$U$34,IF(L132="F-15",2,IF(L132="F-30",3,IF(L132="F-60",4,IF(L132="F-90",5,0)))),0),0)+IF(AND(O132="FIRE TEX 5090",OR(E132="IN",E132="C",E132="Z",E132="L"),J132=3),VLOOKUP(_xlfn.MINIFS('FIRE TEX 5090'!$B$5:$B$43,'FIRE TEX 5090'!$B$5:$B$43,"&gt;="&amp;M132),'FIRE TEX 5090'!$B$5:$H$43,IF(L132="F-15",2,IF(L132="F-30",3,IF(L132="F-60",4,IF(L132="F-90",5,IF(L132="F-120",6,IF(L132="F-150",7,0)))))),0),0)+IF(AND(O132="FIRE TEX 5090",OR(E132="IN",E132="C",E132="Z",E132="L"),J132=4),VLOOKUP(_xlfn.MINIFS('FIRE TEX 5090'!$J$5:$J$43,'FIRE TEX 5090'!$J$5:$J$43,"&gt;="&amp;M132),'FIRE TEX 5090'!$J$5:$P$43,IF(L132="F-15",2,IF(L132="F-30",3,IF(L132="F-60",4,IF(L132="F-90",5,IF(L132="F-120",6,IF(L132="F-150",7,0)))))),0),0)+IF(AND(O132="FIRE TEX 5090",E132="CJ",J132=3),VLOOKUP(_xlfn.MINIFS('FIRE TEX 5090'!$R$5:$R$30,'FIRE TEX 5090'!$R$5:$R$30,"&gt;="&amp;M132),'FIRE TEX 5090'!$R$5:$W$30,IF(L132="F-15",2,IF(L132="F-30",3,IF(L132="F-60",4,IF(L132="F-90",5,IF(L132="F-120",6,IF(L132="F-150",7,0)))))),0),0)+IF(AND(O132="FIRE TEX 5090",E132="CJ",J132=4),VLOOKUP(_xlfn.MINIFS('FIRE TEX 5090'!$Y$5:$Y$39,'FIRE TEX 5090'!$Y$5:$Y$39,"&gt;="&amp;M132),'FIRE TEX 5090'!$Y$5:$AD$39,IF(L132="F-15",2,IF(L132="F-30",3,IF(L132="F-60",4,IF(L132="F-90",5,IF(L132="F-120",6,IF(L132="F-150",7,0)))))),0),0)+IF(AND(O132="FIRE TEX 5120",OR(E132="IN",E132="C",E132="Z",E132="L"),J132=3),VLOOKUP(_xlfn.MINIFS('FIRE TEX 5120'!$B$5:$B$40,'FIRE TEX 5120'!$B$5:$B$40,"&gt;="&amp;M132),'FIRE TEX 5120'!$B$5:$G$40,IF(L132="F-15",2,IF(L132="F-30",3,IF(L132="F-60",4,IF(L132="F-90",5,IF(L132="F-120",6,0))))),0),0)+IF(AND(O132="FIRE TEX 5120",OR(E132="IN",E132="C",E132="Z",E132="L"),J132=4),VLOOKUP(_xlfn.MINIFS('FIRE TEX 5120'!$H$4:$H$40,'FIRE TEX 5120'!$H$4:$H$40,"&gt;="&amp;M132),'FIRE TEX 5120'!$H$4:$M$40,IF(L132="F-15",2,IF(L132="F-30",3,IF(L132="F-60",4,IF(L132="F-90",5,IF(L132="F-120",6,0))))),0),0)+IF(AND(O132="FIRE TEX 5120",E132="CJ"),VLOOKUP(_xlfn.MINIFS('FIRE TEX 5120'!$O$5:$O$40,'FIRE TEX 5120'!$O$5:$O$40,"&gt;="&amp;M132),'FIRE TEX 5120'!$O$5:$T$40,IF(L132="F-15",2,IF(L132="F-30",3,IF(L132="F-60",4,IF(L132="F-90",5,IF(L132="F-120",6,0))))),0),0)</f>
        <v>0</v>
      </c>
      <c r="Q132" s="46">
        <f t="shared" si="10"/>
        <v>0</v>
      </c>
      <c r="R132" s="46">
        <f t="shared" si="12"/>
        <v>0</v>
      </c>
      <c r="S132" s="46" t="e">
        <f t="shared" si="11"/>
        <v>#VALUE!</v>
      </c>
      <c r="T132" s="677">
        <f t="shared" si="13"/>
        <v>0</v>
      </c>
      <c r="U132" s="80">
        <f>(IF(O132="Stofire",(S132*#REF!),0))+(IF(O132="Fire Control",(S132*$U$2),0))+(IF(O132="Fire Tex",(S132*$U$3),0))+(IF(O132="WB7",(S132*#REF!),0)+(IF(O132="FX 2003",(S132*$U$5),0)))</f>
        <v>0</v>
      </c>
      <c r="V132" s="651">
        <f t="shared" si="17"/>
        <v>0</v>
      </c>
      <c r="W132" s="4"/>
    </row>
    <row r="133" spans="1:23" x14ac:dyDescent="0.25">
      <c r="A133" s="652" t="s">
        <v>429</v>
      </c>
      <c r="B133" s="653" t="s">
        <v>430</v>
      </c>
      <c r="C133" s="1" t="s">
        <v>431</v>
      </c>
      <c r="D133" s="118">
        <f>+CUBICACION!D132</f>
        <v>0</v>
      </c>
      <c r="E133" s="118">
        <f>+CUBICACION!F132</f>
        <v>0</v>
      </c>
      <c r="F133" s="118">
        <f>+CUBICACION!E132</f>
        <v>0</v>
      </c>
      <c r="G133" s="118">
        <v>12</v>
      </c>
      <c r="H133" s="118">
        <v>2</v>
      </c>
      <c r="I133" s="820">
        <v>26385</v>
      </c>
      <c r="J133" s="118">
        <f>+CUBICACION!J132</f>
        <v>0</v>
      </c>
      <c r="K133" s="118">
        <v>2912</v>
      </c>
      <c r="L133" s="118">
        <f>+CUBICACION!L132</f>
        <v>0</v>
      </c>
      <c r="M133" s="64">
        <f>+CUBICACION!M132</f>
        <v>0</v>
      </c>
      <c r="N133" s="824" t="str">
        <f>+CUBICACION!N132</f>
        <v/>
      </c>
      <c r="O133" s="675">
        <f>+CUBICACION!O132</f>
        <v>0</v>
      </c>
      <c r="P133" s="15">
        <f>IF(O133="Fire Control",VLOOKUP(_xlfn.MINIFS('FIRE CONTROL'!$C$4:$C$37,'FIRE CONTROL'!$C$4:$C$37,"&gt;="&amp;M133),'FIRE CONTROL'!$C$4:$G$37,IF(L133="F-15",2,IF(L133="F-30",3,IF(L133="F-60",4,IF(L133="F-90",5,0)))),0),0)+IF(AND(O133="FIRE TEX 5062",OR(E133="IN",E133="C",E133="Z",E133="L"),J133=3),VLOOKUP(_xlfn.MINIFS('FIRE TEX 5062'!$B$4:$B$34,'FIRE TEX 5062'!$B$4:$B$34,"&gt;="&amp;M133),'FIRE TEX 5062'!$B$4:$F$34,IF(L133="F-15",2,IF(L133="F-30",3,IF(L133="F-60",4,IF(L133="F-90",5,0)))),0),0)+IF(AND(O133="FIRE TEX 5062",OR(E133="IN",E133="C",E133="Z",E133="L"),J133=4),VLOOKUP(_xlfn.MINIFS('FIRE TEX 5062'!$G$4:$G$34,'FIRE TEX 5062'!$G$4:$G$34,"&gt;="&amp;M133),'FIRE TEX 5062'!$G$4:$K$34,IF(L133="F-15",2,IF(L133="F-30",3,IF(L133="F-60",4,IF(L133="F-90",5,0)))),0),0)+IF(AND(O133="FIRE TEX 5062",E133="CJ",J133=3),VLOOKUP(_xlfn.MINIFS('FIRE TEX 5062'!$L$4:$L$34,'FIRE TEX 5062'!$L$4:$L$34,"&gt;="&amp;M133),'FIRE TEX 5062'!$L$4:$P$34,IF(L133="F-15",2,IF(L133="F-30",3,IF(L133="F-60",4,IF(L133="F-90",5,0)))),0),0)+IF(AND(O133="FIRE TEX 5062",E133="CJ",J133=4),VLOOKUP(_xlfn.MINIFS('FIRE TEX 5062'!$Q$3:$Q$34,'FIRE TEX 5062'!$Q$3:$Q$34,"&gt;="&amp;M133),'FIRE TEX 5062'!$Q$3:$U$34,IF(L133="F-15",2,IF(L133="F-30",3,IF(L133="F-60",4,IF(L133="F-90",5,0)))),0),0)+IF(AND(O133="FIRE TEX 5090",OR(E133="IN",E133="C",E133="Z",E133="L"),J133=3),VLOOKUP(_xlfn.MINIFS('FIRE TEX 5090'!$B$5:$B$43,'FIRE TEX 5090'!$B$5:$B$43,"&gt;="&amp;M133),'FIRE TEX 5090'!$B$5:$H$43,IF(L133="F-15",2,IF(L133="F-30",3,IF(L133="F-60",4,IF(L133="F-90",5,IF(L133="F-120",6,IF(L133="F-150",7,0)))))),0),0)+IF(AND(O133="FIRE TEX 5090",OR(E133="IN",E133="C",E133="Z",E133="L"),J133=4),VLOOKUP(_xlfn.MINIFS('FIRE TEX 5090'!$J$5:$J$43,'FIRE TEX 5090'!$J$5:$J$43,"&gt;="&amp;M133),'FIRE TEX 5090'!$J$5:$P$43,IF(L133="F-15",2,IF(L133="F-30",3,IF(L133="F-60",4,IF(L133="F-90",5,IF(L133="F-120",6,IF(L133="F-150",7,0)))))),0),0)+IF(AND(O133="FIRE TEX 5090",E133="CJ",J133=3),VLOOKUP(_xlfn.MINIFS('FIRE TEX 5090'!$R$5:$R$30,'FIRE TEX 5090'!$R$5:$R$30,"&gt;="&amp;M133),'FIRE TEX 5090'!$R$5:$W$30,IF(L133="F-15",2,IF(L133="F-30",3,IF(L133="F-60",4,IF(L133="F-90",5,IF(L133="F-120",6,IF(L133="F-150",7,0)))))),0),0)+IF(AND(O133="FIRE TEX 5090",E133="CJ",J133=4),VLOOKUP(_xlfn.MINIFS('FIRE TEX 5090'!$Y$5:$Y$39,'FIRE TEX 5090'!$Y$5:$Y$39,"&gt;="&amp;M133),'FIRE TEX 5090'!$Y$5:$AD$39,IF(L133="F-15",2,IF(L133="F-30",3,IF(L133="F-60",4,IF(L133="F-90",5,IF(L133="F-120",6,IF(L133="F-150",7,0)))))),0),0)+IF(AND(O133="FIRE TEX 5120",OR(E133="IN",E133="C",E133="Z",E133="L"),J133=3),VLOOKUP(_xlfn.MINIFS('FIRE TEX 5120'!$B$5:$B$40,'FIRE TEX 5120'!$B$5:$B$40,"&gt;="&amp;M133),'FIRE TEX 5120'!$B$5:$G$40,IF(L133="F-15",2,IF(L133="F-30",3,IF(L133="F-60",4,IF(L133="F-90",5,IF(L133="F-120",6,0))))),0),0)+IF(AND(O133="FIRE TEX 5120",OR(E133="IN",E133="C",E133="Z",E133="L"),J133=4),VLOOKUP(_xlfn.MINIFS('FIRE TEX 5120'!$H$4:$H$40,'FIRE TEX 5120'!$H$4:$H$40,"&gt;="&amp;M133),'FIRE TEX 5120'!$H$4:$M$40,IF(L133="F-15",2,IF(L133="F-30",3,IF(L133="F-60",4,IF(L133="F-90",5,IF(L133="F-120",6,0))))),0),0)+IF(AND(O133="FIRE TEX 5120",E133="CJ"),VLOOKUP(_xlfn.MINIFS('FIRE TEX 5120'!$O$5:$O$40,'FIRE TEX 5120'!$O$5:$O$40,"&gt;="&amp;M133),'FIRE TEX 5120'!$O$5:$T$40,IF(L133="F-15",2,IF(L133="F-30",3,IF(L133="F-60",4,IF(L133="F-90",5,IF(L133="F-120",6,0))))),0),0)</f>
        <v>0</v>
      </c>
      <c r="Q133" s="46">
        <f t="shared" ref="Q133:Q196" si="18">IF(P133="","",IF(P133="dar valor","",0.03937*P133))</f>
        <v>0</v>
      </c>
      <c r="R133" s="46">
        <f t="shared" si="12"/>
        <v>0</v>
      </c>
      <c r="S133" s="46" t="e">
        <f t="shared" ref="S133:S196" si="19">IF(R133="","",+N133/R133)</f>
        <v>#VALUE!</v>
      </c>
      <c r="T133" s="677">
        <f t="shared" si="13"/>
        <v>0</v>
      </c>
      <c r="U133" s="80">
        <f>(IF(O133="Stofire",(S133*#REF!),0))+(IF(O133="Fire Control",(S133*$U$2),0))+(IF(O133="Fire Tex",(S133*$U$3),0))+(IF(O133="WB7",(S133*#REF!),0)+(IF(O133="FX 2003",(S133*$U$5),0)))</f>
        <v>0</v>
      </c>
      <c r="V133" s="651">
        <f t="shared" si="17"/>
        <v>0</v>
      </c>
      <c r="W133" s="4"/>
    </row>
    <row r="134" spans="1:23" x14ac:dyDescent="0.25">
      <c r="A134" s="652" t="s">
        <v>429</v>
      </c>
      <c r="B134" s="653" t="s">
        <v>430</v>
      </c>
      <c r="C134" s="1" t="s">
        <v>433</v>
      </c>
      <c r="D134" s="118">
        <f>+CUBICACION!D133</f>
        <v>0</v>
      </c>
      <c r="E134" s="118">
        <f>+CUBICACION!F133</f>
        <v>0</v>
      </c>
      <c r="F134" s="118">
        <f>+CUBICACION!E133</f>
        <v>0</v>
      </c>
      <c r="G134" s="118">
        <v>12</v>
      </c>
      <c r="H134" s="118">
        <v>2</v>
      </c>
      <c r="I134" s="820">
        <v>26385</v>
      </c>
      <c r="J134" s="118">
        <f>+CUBICACION!J133</f>
        <v>0</v>
      </c>
      <c r="K134" s="118">
        <v>2913</v>
      </c>
      <c r="L134" s="118">
        <f>+CUBICACION!L133</f>
        <v>0</v>
      </c>
      <c r="M134" s="64">
        <f>+CUBICACION!M133</f>
        <v>0</v>
      </c>
      <c r="N134" s="824" t="str">
        <f>+CUBICACION!N133</f>
        <v/>
      </c>
      <c r="O134" s="675">
        <f>+CUBICACION!O133</f>
        <v>0</v>
      </c>
      <c r="P134" s="15">
        <f>IF(O134="Fire Control",VLOOKUP(_xlfn.MINIFS('FIRE CONTROL'!$C$4:$C$37,'FIRE CONTROL'!$C$4:$C$37,"&gt;="&amp;M134),'FIRE CONTROL'!$C$4:$G$37,IF(L134="F-15",2,IF(L134="F-30",3,IF(L134="F-60",4,IF(L134="F-90",5,0)))),0),0)+IF(AND(O134="FIRE TEX 5062",OR(E134="IN",E134="C",E134="Z",E134="L"),J134=3),VLOOKUP(_xlfn.MINIFS('FIRE TEX 5062'!$B$4:$B$34,'FIRE TEX 5062'!$B$4:$B$34,"&gt;="&amp;M134),'FIRE TEX 5062'!$B$4:$F$34,IF(L134="F-15",2,IF(L134="F-30",3,IF(L134="F-60",4,IF(L134="F-90",5,0)))),0),0)+IF(AND(O134="FIRE TEX 5062",OR(E134="IN",E134="C",E134="Z",E134="L"),J134=4),VLOOKUP(_xlfn.MINIFS('FIRE TEX 5062'!$G$4:$G$34,'FIRE TEX 5062'!$G$4:$G$34,"&gt;="&amp;M134),'FIRE TEX 5062'!$G$4:$K$34,IF(L134="F-15",2,IF(L134="F-30",3,IF(L134="F-60",4,IF(L134="F-90",5,0)))),0),0)+IF(AND(O134="FIRE TEX 5062",E134="CJ",J134=3),VLOOKUP(_xlfn.MINIFS('FIRE TEX 5062'!$L$4:$L$34,'FIRE TEX 5062'!$L$4:$L$34,"&gt;="&amp;M134),'FIRE TEX 5062'!$L$4:$P$34,IF(L134="F-15",2,IF(L134="F-30",3,IF(L134="F-60",4,IF(L134="F-90",5,0)))),0),0)+IF(AND(O134="FIRE TEX 5062",E134="CJ",J134=4),VLOOKUP(_xlfn.MINIFS('FIRE TEX 5062'!$Q$3:$Q$34,'FIRE TEX 5062'!$Q$3:$Q$34,"&gt;="&amp;M134),'FIRE TEX 5062'!$Q$3:$U$34,IF(L134="F-15",2,IF(L134="F-30",3,IF(L134="F-60",4,IF(L134="F-90",5,0)))),0),0)+IF(AND(O134="FIRE TEX 5090",OR(E134="IN",E134="C",E134="Z",E134="L"),J134=3),VLOOKUP(_xlfn.MINIFS('FIRE TEX 5090'!$B$5:$B$43,'FIRE TEX 5090'!$B$5:$B$43,"&gt;="&amp;M134),'FIRE TEX 5090'!$B$5:$H$43,IF(L134="F-15",2,IF(L134="F-30",3,IF(L134="F-60",4,IF(L134="F-90",5,IF(L134="F-120",6,IF(L134="F-150",7,0)))))),0),0)+IF(AND(O134="FIRE TEX 5090",OR(E134="IN",E134="C",E134="Z",E134="L"),J134=4),VLOOKUP(_xlfn.MINIFS('FIRE TEX 5090'!$J$5:$J$43,'FIRE TEX 5090'!$J$5:$J$43,"&gt;="&amp;M134),'FIRE TEX 5090'!$J$5:$P$43,IF(L134="F-15",2,IF(L134="F-30",3,IF(L134="F-60",4,IF(L134="F-90",5,IF(L134="F-120",6,IF(L134="F-150",7,0)))))),0),0)+IF(AND(O134="FIRE TEX 5090",E134="CJ",J134=3),VLOOKUP(_xlfn.MINIFS('FIRE TEX 5090'!$R$5:$R$30,'FIRE TEX 5090'!$R$5:$R$30,"&gt;="&amp;M134),'FIRE TEX 5090'!$R$5:$W$30,IF(L134="F-15",2,IF(L134="F-30",3,IF(L134="F-60",4,IF(L134="F-90",5,IF(L134="F-120",6,IF(L134="F-150",7,0)))))),0),0)+IF(AND(O134="FIRE TEX 5090",E134="CJ",J134=4),VLOOKUP(_xlfn.MINIFS('FIRE TEX 5090'!$Y$5:$Y$39,'FIRE TEX 5090'!$Y$5:$Y$39,"&gt;="&amp;M134),'FIRE TEX 5090'!$Y$5:$AD$39,IF(L134="F-15",2,IF(L134="F-30",3,IF(L134="F-60",4,IF(L134="F-90",5,IF(L134="F-120",6,IF(L134="F-150",7,0)))))),0),0)+IF(AND(O134="FIRE TEX 5120",OR(E134="IN",E134="C",E134="Z",E134="L"),J134=3),VLOOKUP(_xlfn.MINIFS('FIRE TEX 5120'!$B$5:$B$40,'FIRE TEX 5120'!$B$5:$B$40,"&gt;="&amp;M134),'FIRE TEX 5120'!$B$5:$G$40,IF(L134="F-15",2,IF(L134="F-30",3,IF(L134="F-60",4,IF(L134="F-90",5,IF(L134="F-120",6,0))))),0),0)+IF(AND(O134="FIRE TEX 5120",OR(E134="IN",E134="C",E134="Z",E134="L"),J134=4),VLOOKUP(_xlfn.MINIFS('FIRE TEX 5120'!$H$4:$H$40,'FIRE TEX 5120'!$H$4:$H$40,"&gt;="&amp;M134),'FIRE TEX 5120'!$H$4:$M$40,IF(L134="F-15",2,IF(L134="F-30",3,IF(L134="F-60",4,IF(L134="F-90",5,IF(L134="F-120",6,0))))),0),0)+IF(AND(O134="FIRE TEX 5120",E134="CJ"),VLOOKUP(_xlfn.MINIFS('FIRE TEX 5120'!$O$5:$O$40,'FIRE TEX 5120'!$O$5:$O$40,"&gt;="&amp;M134),'FIRE TEX 5120'!$O$5:$T$40,IF(L134="F-15",2,IF(L134="F-30",3,IF(L134="F-60",4,IF(L134="F-90",5,IF(L134="F-120",6,0))))),0),0)</f>
        <v>0</v>
      </c>
      <c r="Q134" s="46">
        <f t="shared" si="18"/>
        <v>0</v>
      </c>
      <c r="R134" s="46">
        <f t="shared" ref="R134:R197" si="20">+(IF(O134="Fire Control",((65*1.5/Q134)*0.75*4),0))+(IF(OR(O134="Fire Tex 5062",O134="Fire Tex 5090",O134="Fire Tex 5120"),((66*1.5/Q134)*0.7*5),0))</f>
        <v>0</v>
      </c>
      <c r="S134" s="46" t="e">
        <f t="shared" si="19"/>
        <v>#VALUE!</v>
      </c>
      <c r="T134" s="677">
        <f t="shared" ref="T134:T197" si="21">(IF(O134="Stofire",(S134/(7*1)),0))+(IF(O134="Fire Control",(S134/(7*1)),0))+(IF(O134="Fire Tex",(S134/(7*1)),0))+(IF(O134="WB7",(S134/(7*1)),0))+(IF(O134="FX 2003",(S134/(7*1)),0))</f>
        <v>0</v>
      </c>
      <c r="U134" s="80">
        <f>(IF(O134="Stofire",(S134*#REF!),0))+(IF(O134="Fire Control",(S134*$U$2),0))+(IF(O134="Fire Tex",(S134*$U$3),0))+(IF(O134="WB7",(S134*#REF!),0)+(IF(O134="FX 2003",(S134*$U$5),0)))</f>
        <v>0</v>
      </c>
      <c r="V134" s="651">
        <f t="shared" si="17"/>
        <v>0</v>
      </c>
      <c r="W134" s="4"/>
    </row>
    <row r="135" spans="1:23" x14ac:dyDescent="0.25">
      <c r="A135" s="652" t="s">
        <v>429</v>
      </c>
      <c r="B135" s="653" t="s">
        <v>430</v>
      </c>
      <c r="C135" s="1" t="s">
        <v>435</v>
      </c>
      <c r="D135" s="118">
        <f>+CUBICACION!D134</f>
        <v>0</v>
      </c>
      <c r="E135" s="118">
        <f>+CUBICACION!F134</f>
        <v>0</v>
      </c>
      <c r="F135" s="118">
        <f>+CUBICACION!E134</f>
        <v>0</v>
      </c>
      <c r="G135" s="118">
        <v>12</v>
      </c>
      <c r="H135" s="118">
        <v>2</v>
      </c>
      <c r="I135" s="820">
        <v>26385</v>
      </c>
      <c r="J135" s="118">
        <f>+CUBICACION!J134</f>
        <v>0</v>
      </c>
      <c r="K135" s="118">
        <v>2914</v>
      </c>
      <c r="L135" s="118">
        <f>+CUBICACION!L134</f>
        <v>0</v>
      </c>
      <c r="M135" s="64">
        <f>+CUBICACION!M134</f>
        <v>0</v>
      </c>
      <c r="N135" s="824" t="str">
        <f>+CUBICACION!N134</f>
        <v/>
      </c>
      <c r="O135" s="675">
        <f>+CUBICACION!O134</f>
        <v>0</v>
      </c>
      <c r="P135" s="15">
        <f>IF(O135="Fire Control",VLOOKUP(_xlfn.MINIFS('FIRE CONTROL'!$C$4:$C$37,'FIRE CONTROL'!$C$4:$C$37,"&gt;="&amp;M135),'FIRE CONTROL'!$C$4:$G$37,IF(L135="F-15",2,IF(L135="F-30",3,IF(L135="F-60",4,IF(L135="F-90",5,0)))),0),0)+IF(AND(O135="FIRE TEX 5062",OR(E135="IN",E135="C",E135="Z",E135="L"),J135=3),VLOOKUP(_xlfn.MINIFS('FIRE TEX 5062'!$B$4:$B$34,'FIRE TEX 5062'!$B$4:$B$34,"&gt;="&amp;M135),'FIRE TEX 5062'!$B$4:$F$34,IF(L135="F-15",2,IF(L135="F-30",3,IF(L135="F-60",4,IF(L135="F-90",5,0)))),0),0)+IF(AND(O135="FIRE TEX 5062",OR(E135="IN",E135="C",E135="Z",E135="L"),J135=4),VLOOKUP(_xlfn.MINIFS('FIRE TEX 5062'!$G$4:$G$34,'FIRE TEX 5062'!$G$4:$G$34,"&gt;="&amp;M135),'FIRE TEX 5062'!$G$4:$K$34,IF(L135="F-15",2,IF(L135="F-30",3,IF(L135="F-60",4,IF(L135="F-90",5,0)))),0),0)+IF(AND(O135="FIRE TEX 5062",E135="CJ",J135=3),VLOOKUP(_xlfn.MINIFS('FIRE TEX 5062'!$L$4:$L$34,'FIRE TEX 5062'!$L$4:$L$34,"&gt;="&amp;M135),'FIRE TEX 5062'!$L$4:$P$34,IF(L135="F-15",2,IF(L135="F-30",3,IF(L135="F-60",4,IF(L135="F-90",5,0)))),0),0)+IF(AND(O135="FIRE TEX 5062",E135="CJ",J135=4),VLOOKUP(_xlfn.MINIFS('FIRE TEX 5062'!$Q$3:$Q$34,'FIRE TEX 5062'!$Q$3:$Q$34,"&gt;="&amp;M135),'FIRE TEX 5062'!$Q$3:$U$34,IF(L135="F-15",2,IF(L135="F-30",3,IF(L135="F-60",4,IF(L135="F-90",5,0)))),0),0)+IF(AND(O135="FIRE TEX 5090",OR(E135="IN",E135="C",E135="Z",E135="L"),J135=3),VLOOKUP(_xlfn.MINIFS('FIRE TEX 5090'!$B$5:$B$43,'FIRE TEX 5090'!$B$5:$B$43,"&gt;="&amp;M135),'FIRE TEX 5090'!$B$5:$H$43,IF(L135="F-15",2,IF(L135="F-30",3,IF(L135="F-60",4,IF(L135="F-90",5,IF(L135="F-120",6,IF(L135="F-150",7,0)))))),0),0)+IF(AND(O135="FIRE TEX 5090",OR(E135="IN",E135="C",E135="Z",E135="L"),J135=4),VLOOKUP(_xlfn.MINIFS('FIRE TEX 5090'!$J$5:$J$43,'FIRE TEX 5090'!$J$5:$J$43,"&gt;="&amp;M135),'FIRE TEX 5090'!$J$5:$P$43,IF(L135="F-15",2,IF(L135="F-30",3,IF(L135="F-60",4,IF(L135="F-90",5,IF(L135="F-120",6,IF(L135="F-150",7,0)))))),0),0)+IF(AND(O135="FIRE TEX 5090",E135="CJ",J135=3),VLOOKUP(_xlfn.MINIFS('FIRE TEX 5090'!$R$5:$R$30,'FIRE TEX 5090'!$R$5:$R$30,"&gt;="&amp;M135),'FIRE TEX 5090'!$R$5:$W$30,IF(L135="F-15",2,IF(L135="F-30",3,IF(L135="F-60",4,IF(L135="F-90",5,IF(L135="F-120",6,IF(L135="F-150",7,0)))))),0),0)+IF(AND(O135="FIRE TEX 5090",E135="CJ",J135=4),VLOOKUP(_xlfn.MINIFS('FIRE TEX 5090'!$Y$5:$Y$39,'FIRE TEX 5090'!$Y$5:$Y$39,"&gt;="&amp;M135),'FIRE TEX 5090'!$Y$5:$AD$39,IF(L135="F-15",2,IF(L135="F-30",3,IF(L135="F-60",4,IF(L135="F-90",5,IF(L135="F-120",6,IF(L135="F-150",7,0)))))),0),0)+IF(AND(O135="FIRE TEX 5120",OR(E135="IN",E135="C",E135="Z",E135="L"),J135=3),VLOOKUP(_xlfn.MINIFS('FIRE TEX 5120'!$B$5:$B$40,'FIRE TEX 5120'!$B$5:$B$40,"&gt;="&amp;M135),'FIRE TEX 5120'!$B$5:$G$40,IF(L135="F-15",2,IF(L135="F-30",3,IF(L135="F-60",4,IF(L135="F-90",5,IF(L135="F-120",6,0))))),0),0)+IF(AND(O135="FIRE TEX 5120",OR(E135="IN",E135="C",E135="Z",E135="L"),J135=4),VLOOKUP(_xlfn.MINIFS('FIRE TEX 5120'!$H$4:$H$40,'FIRE TEX 5120'!$H$4:$H$40,"&gt;="&amp;M135),'FIRE TEX 5120'!$H$4:$M$40,IF(L135="F-15",2,IF(L135="F-30",3,IF(L135="F-60",4,IF(L135="F-90",5,IF(L135="F-120",6,0))))),0),0)+IF(AND(O135="FIRE TEX 5120",E135="CJ"),VLOOKUP(_xlfn.MINIFS('FIRE TEX 5120'!$O$5:$O$40,'FIRE TEX 5120'!$O$5:$O$40,"&gt;="&amp;M135),'FIRE TEX 5120'!$O$5:$T$40,IF(L135="F-15",2,IF(L135="F-30",3,IF(L135="F-60",4,IF(L135="F-90",5,IF(L135="F-120",6,0))))),0),0)</f>
        <v>0</v>
      </c>
      <c r="Q135" s="46">
        <f t="shared" si="18"/>
        <v>0</v>
      </c>
      <c r="R135" s="46">
        <f t="shared" si="20"/>
        <v>0</v>
      </c>
      <c r="S135" s="46" t="e">
        <f t="shared" si="19"/>
        <v>#VALUE!</v>
      </c>
      <c r="T135" s="677">
        <f t="shared" si="21"/>
        <v>0</v>
      </c>
      <c r="U135" s="80">
        <f>(IF(O135="Stofire",(S135*#REF!),0))+(IF(O135="Fire Control",(S135*$U$2),0))+(IF(O135="Fire Tex",(S135*$U$3),0))+(IF(O135="WB7",(S135*#REF!),0)+(IF(O135="FX 2003",(S135*$U$5),0)))</f>
        <v>0</v>
      </c>
      <c r="V135" s="651">
        <f t="shared" si="17"/>
        <v>0</v>
      </c>
      <c r="W135" s="4"/>
    </row>
    <row r="136" spans="1:23" x14ac:dyDescent="0.25">
      <c r="A136" s="652" t="s">
        <v>429</v>
      </c>
      <c r="B136" s="653" t="s">
        <v>430</v>
      </c>
      <c r="C136" s="1" t="s">
        <v>437</v>
      </c>
      <c r="D136" s="118">
        <f>+CUBICACION!D135</f>
        <v>0</v>
      </c>
      <c r="E136" s="118">
        <f>+CUBICACION!F135</f>
        <v>0</v>
      </c>
      <c r="F136" s="118">
        <f>+CUBICACION!E135</f>
        <v>0</v>
      </c>
      <c r="G136" s="118">
        <v>12</v>
      </c>
      <c r="H136" s="118">
        <v>2</v>
      </c>
      <c r="I136" s="820">
        <v>26385</v>
      </c>
      <c r="J136" s="118">
        <f>+CUBICACION!J135</f>
        <v>0</v>
      </c>
      <c r="K136" s="118">
        <v>2915</v>
      </c>
      <c r="L136" s="118">
        <f>+CUBICACION!L135</f>
        <v>0</v>
      </c>
      <c r="M136" s="64">
        <f>+CUBICACION!M135</f>
        <v>0</v>
      </c>
      <c r="N136" s="824" t="str">
        <f>+CUBICACION!N135</f>
        <v/>
      </c>
      <c r="O136" s="675">
        <f>+CUBICACION!O135</f>
        <v>0</v>
      </c>
      <c r="P136" s="15">
        <f>IF(O136="Fire Control",VLOOKUP(_xlfn.MINIFS('FIRE CONTROL'!$C$4:$C$37,'FIRE CONTROL'!$C$4:$C$37,"&gt;="&amp;M136),'FIRE CONTROL'!$C$4:$G$37,IF(L136="F-15",2,IF(L136="F-30",3,IF(L136="F-60",4,IF(L136="F-90",5,0)))),0),0)+IF(AND(O136="FIRE TEX 5062",OR(E136="IN",E136="C",E136="Z",E136="L"),J136=3),VLOOKUP(_xlfn.MINIFS('FIRE TEX 5062'!$B$4:$B$34,'FIRE TEX 5062'!$B$4:$B$34,"&gt;="&amp;M136),'FIRE TEX 5062'!$B$4:$F$34,IF(L136="F-15",2,IF(L136="F-30",3,IF(L136="F-60",4,IF(L136="F-90",5,0)))),0),0)+IF(AND(O136="FIRE TEX 5062",OR(E136="IN",E136="C",E136="Z",E136="L"),J136=4),VLOOKUP(_xlfn.MINIFS('FIRE TEX 5062'!$G$4:$G$34,'FIRE TEX 5062'!$G$4:$G$34,"&gt;="&amp;M136),'FIRE TEX 5062'!$G$4:$K$34,IF(L136="F-15",2,IF(L136="F-30",3,IF(L136="F-60",4,IF(L136="F-90",5,0)))),0),0)+IF(AND(O136="FIRE TEX 5062",E136="CJ",J136=3),VLOOKUP(_xlfn.MINIFS('FIRE TEX 5062'!$L$4:$L$34,'FIRE TEX 5062'!$L$4:$L$34,"&gt;="&amp;M136),'FIRE TEX 5062'!$L$4:$P$34,IF(L136="F-15",2,IF(L136="F-30",3,IF(L136="F-60",4,IF(L136="F-90",5,0)))),0),0)+IF(AND(O136="FIRE TEX 5062",E136="CJ",J136=4),VLOOKUP(_xlfn.MINIFS('FIRE TEX 5062'!$Q$3:$Q$34,'FIRE TEX 5062'!$Q$3:$Q$34,"&gt;="&amp;M136),'FIRE TEX 5062'!$Q$3:$U$34,IF(L136="F-15",2,IF(L136="F-30",3,IF(L136="F-60",4,IF(L136="F-90",5,0)))),0),0)+IF(AND(O136="FIRE TEX 5090",OR(E136="IN",E136="C",E136="Z",E136="L"),J136=3),VLOOKUP(_xlfn.MINIFS('FIRE TEX 5090'!$B$5:$B$43,'FIRE TEX 5090'!$B$5:$B$43,"&gt;="&amp;M136),'FIRE TEX 5090'!$B$5:$H$43,IF(L136="F-15",2,IF(L136="F-30",3,IF(L136="F-60",4,IF(L136="F-90",5,IF(L136="F-120",6,IF(L136="F-150",7,0)))))),0),0)+IF(AND(O136="FIRE TEX 5090",OR(E136="IN",E136="C",E136="Z",E136="L"),J136=4),VLOOKUP(_xlfn.MINIFS('FIRE TEX 5090'!$J$5:$J$43,'FIRE TEX 5090'!$J$5:$J$43,"&gt;="&amp;M136),'FIRE TEX 5090'!$J$5:$P$43,IF(L136="F-15",2,IF(L136="F-30",3,IF(L136="F-60",4,IF(L136="F-90",5,IF(L136="F-120",6,IF(L136="F-150",7,0)))))),0),0)+IF(AND(O136="FIRE TEX 5090",E136="CJ",J136=3),VLOOKUP(_xlfn.MINIFS('FIRE TEX 5090'!$R$5:$R$30,'FIRE TEX 5090'!$R$5:$R$30,"&gt;="&amp;M136),'FIRE TEX 5090'!$R$5:$W$30,IF(L136="F-15",2,IF(L136="F-30",3,IF(L136="F-60",4,IF(L136="F-90",5,IF(L136="F-120",6,IF(L136="F-150",7,0)))))),0),0)+IF(AND(O136="FIRE TEX 5090",E136="CJ",J136=4),VLOOKUP(_xlfn.MINIFS('FIRE TEX 5090'!$Y$5:$Y$39,'FIRE TEX 5090'!$Y$5:$Y$39,"&gt;="&amp;M136),'FIRE TEX 5090'!$Y$5:$AD$39,IF(L136="F-15",2,IF(L136="F-30",3,IF(L136="F-60",4,IF(L136="F-90",5,IF(L136="F-120",6,IF(L136="F-150",7,0)))))),0),0)+IF(AND(O136="FIRE TEX 5120",OR(E136="IN",E136="C",E136="Z",E136="L"),J136=3),VLOOKUP(_xlfn.MINIFS('FIRE TEX 5120'!$B$5:$B$40,'FIRE TEX 5120'!$B$5:$B$40,"&gt;="&amp;M136),'FIRE TEX 5120'!$B$5:$G$40,IF(L136="F-15",2,IF(L136="F-30",3,IF(L136="F-60",4,IF(L136="F-90",5,IF(L136="F-120",6,0))))),0),0)+IF(AND(O136="FIRE TEX 5120",OR(E136="IN",E136="C",E136="Z",E136="L"),J136=4),VLOOKUP(_xlfn.MINIFS('FIRE TEX 5120'!$H$4:$H$40,'FIRE TEX 5120'!$H$4:$H$40,"&gt;="&amp;M136),'FIRE TEX 5120'!$H$4:$M$40,IF(L136="F-15",2,IF(L136="F-30",3,IF(L136="F-60",4,IF(L136="F-90",5,IF(L136="F-120",6,0))))),0),0)+IF(AND(O136="FIRE TEX 5120",E136="CJ"),VLOOKUP(_xlfn.MINIFS('FIRE TEX 5120'!$O$5:$O$40,'FIRE TEX 5120'!$O$5:$O$40,"&gt;="&amp;M136),'FIRE TEX 5120'!$O$5:$T$40,IF(L136="F-15",2,IF(L136="F-30",3,IF(L136="F-60",4,IF(L136="F-90",5,IF(L136="F-120",6,0))))),0),0)</f>
        <v>0</v>
      </c>
      <c r="Q136" s="46">
        <f t="shared" si="18"/>
        <v>0</v>
      </c>
      <c r="R136" s="46">
        <f t="shared" si="20"/>
        <v>0</v>
      </c>
      <c r="S136" s="46" t="e">
        <f t="shared" si="19"/>
        <v>#VALUE!</v>
      </c>
      <c r="T136" s="677">
        <f t="shared" si="21"/>
        <v>0</v>
      </c>
      <c r="U136" s="80">
        <f>(IF(O136="Stofire",(S136*#REF!),0))+(IF(O136="Fire Control",(S136*$U$2),0))+(IF(O136="Fire Tex",(S136*$U$3),0))+(IF(O136="WB7",(S136*#REF!),0)+(IF(O136="FX 2003",(S136*$U$5),0)))</f>
        <v>0</v>
      </c>
      <c r="V136" s="651">
        <f t="shared" si="17"/>
        <v>0</v>
      </c>
      <c r="W136" s="4"/>
    </row>
    <row r="137" spans="1:23" x14ac:dyDescent="0.25">
      <c r="A137" s="652" t="s">
        <v>439</v>
      </c>
      <c r="B137" s="653" t="s">
        <v>430</v>
      </c>
      <c r="C137" s="1" t="s">
        <v>431</v>
      </c>
      <c r="D137" s="118">
        <f>+CUBICACION!D136</f>
        <v>0</v>
      </c>
      <c r="E137" s="118">
        <f>+CUBICACION!F136</f>
        <v>0</v>
      </c>
      <c r="F137" s="118">
        <f>+CUBICACION!E136</f>
        <v>0</v>
      </c>
      <c r="G137" s="118">
        <v>12</v>
      </c>
      <c r="H137" s="118">
        <v>2</v>
      </c>
      <c r="I137" s="820">
        <v>26385</v>
      </c>
      <c r="J137" s="118">
        <f>+CUBICACION!J136</f>
        <v>0</v>
      </c>
      <c r="K137" s="118">
        <v>2916</v>
      </c>
      <c r="L137" s="118">
        <f>+CUBICACION!L136</f>
        <v>0</v>
      </c>
      <c r="M137" s="64">
        <f>+CUBICACION!M136</f>
        <v>0</v>
      </c>
      <c r="N137" s="824" t="str">
        <f>+CUBICACION!N136</f>
        <v/>
      </c>
      <c r="O137" s="675">
        <f>+CUBICACION!O136</f>
        <v>0</v>
      </c>
      <c r="P137" s="15">
        <f>IF(O137="Fire Control",VLOOKUP(_xlfn.MINIFS('FIRE CONTROL'!$C$4:$C$37,'FIRE CONTROL'!$C$4:$C$37,"&gt;="&amp;M137),'FIRE CONTROL'!$C$4:$G$37,IF(L137="F-15",2,IF(L137="F-30",3,IF(L137="F-60",4,IF(L137="F-90",5,0)))),0),0)+IF(AND(O137="FIRE TEX 5062",OR(E137="IN",E137="C",E137="Z",E137="L"),J137=3),VLOOKUP(_xlfn.MINIFS('FIRE TEX 5062'!$B$4:$B$34,'FIRE TEX 5062'!$B$4:$B$34,"&gt;="&amp;M137),'FIRE TEX 5062'!$B$4:$F$34,IF(L137="F-15",2,IF(L137="F-30",3,IF(L137="F-60",4,IF(L137="F-90",5,0)))),0),0)+IF(AND(O137="FIRE TEX 5062",OR(E137="IN",E137="C",E137="Z",E137="L"),J137=4),VLOOKUP(_xlfn.MINIFS('FIRE TEX 5062'!$G$4:$G$34,'FIRE TEX 5062'!$G$4:$G$34,"&gt;="&amp;M137),'FIRE TEX 5062'!$G$4:$K$34,IF(L137="F-15",2,IF(L137="F-30",3,IF(L137="F-60",4,IF(L137="F-90",5,0)))),0),0)+IF(AND(O137="FIRE TEX 5062",E137="CJ",J137=3),VLOOKUP(_xlfn.MINIFS('FIRE TEX 5062'!$L$4:$L$34,'FIRE TEX 5062'!$L$4:$L$34,"&gt;="&amp;M137),'FIRE TEX 5062'!$L$4:$P$34,IF(L137="F-15",2,IF(L137="F-30",3,IF(L137="F-60",4,IF(L137="F-90",5,0)))),0),0)+IF(AND(O137="FIRE TEX 5062",E137="CJ",J137=4),VLOOKUP(_xlfn.MINIFS('FIRE TEX 5062'!$Q$3:$Q$34,'FIRE TEX 5062'!$Q$3:$Q$34,"&gt;="&amp;M137),'FIRE TEX 5062'!$Q$3:$U$34,IF(L137="F-15",2,IF(L137="F-30",3,IF(L137="F-60",4,IF(L137="F-90",5,0)))),0),0)+IF(AND(O137="FIRE TEX 5090",OR(E137="IN",E137="C",E137="Z",E137="L"),J137=3),VLOOKUP(_xlfn.MINIFS('FIRE TEX 5090'!$B$5:$B$43,'FIRE TEX 5090'!$B$5:$B$43,"&gt;="&amp;M137),'FIRE TEX 5090'!$B$5:$H$43,IF(L137="F-15",2,IF(L137="F-30",3,IF(L137="F-60",4,IF(L137="F-90",5,IF(L137="F-120",6,IF(L137="F-150",7,0)))))),0),0)+IF(AND(O137="FIRE TEX 5090",OR(E137="IN",E137="C",E137="Z",E137="L"),J137=4),VLOOKUP(_xlfn.MINIFS('FIRE TEX 5090'!$J$5:$J$43,'FIRE TEX 5090'!$J$5:$J$43,"&gt;="&amp;M137),'FIRE TEX 5090'!$J$5:$P$43,IF(L137="F-15",2,IF(L137="F-30",3,IF(L137="F-60",4,IF(L137="F-90",5,IF(L137="F-120",6,IF(L137="F-150",7,0)))))),0),0)+IF(AND(O137="FIRE TEX 5090",E137="CJ",J137=3),VLOOKUP(_xlfn.MINIFS('FIRE TEX 5090'!$R$5:$R$30,'FIRE TEX 5090'!$R$5:$R$30,"&gt;="&amp;M137),'FIRE TEX 5090'!$R$5:$W$30,IF(L137="F-15",2,IF(L137="F-30",3,IF(L137="F-60",4,IF(L137="F-90",5,IF(L137="F-120",6,IF(L137="F-150",7,0)))))),0),0)+IF(AND(O137="FIRE TEX 5090",E137="CJ",J137=4),VLOOKUP(_xlfn.MINIFS('FIRE TEX 5090'!$Y$5:$Y$39,'FIRE TEX 5090'!$Y$5:$Y$39,"&gt;="&amp;M137),'FIRE TEX 5090'!$Y$5:$AD$39,IF(L137="F-15",2,IF(L137="F-30",3,IF(L137="F-60",4,IF(L137="F-90",5,IF(L137="F-120",6,IF(L137="F-150",7,0)))))),0),0)+IF(AND(O137="FIRE TEX 5120",OR(E137="IN",E137="C",E137="Z",E137="L"),J137=3),VLOOKUP(_xlfn.MINIFS('FIRE TEX 5120'!$B$5:$B$40,'FIRE TEX 5120'!$B$5:$B$40,"&gt;="&amp;M137),'FIRE TEX 5120'!$B$5:$G$40,IF(L137="F-15",2,IF(L137="F-30",3,IF(L137="F-60",4,IF(L137="F-90",5,IF(L137="F-120",6,0))))),0),0)+IF(AND(O137="FIRE TEX 5120",OR(E137="IN",E137="C",E137="Z",E137="L"),J137=4),VLOOKUP(_xlfn.MINIFS('FIRE TEX 5120'!$H$4:$H$40,'FIRE TEX 5120'!$H$4:$H$40,"&gt;="&amp;M137),'FIRE TEX 5120'!$H$4:$M$40,IF(L137="F-15",2,IF(L137="F-30",3,IF(L137="F-60",4,IF(L137="F-90",5,IF(L137="F-120",6,0))))),0),0)+IF(AND(O137="FIRE TEX 5120",E137="CJ"),VLOOKUP(_xlfn.MINIFS('FIRE TEX 5120'!$O$5:$O$40,'FIRE TEX 5120'!$O$5:$O$40,"&gt;="&amp;M137),'FIRE TEX 5120'!$O$5:$T$40,IF(L137="F-15",2,IF(L137="F-30",3,IF(L137="F-60",4,IF(L137="F-90",5,IF(L137="F-120",6,0))))),0),0)</f>
        <v>0</v>
      </c>
      <c r="Q137" s="46">
        <f t="shared" si="18"/>
        <v>0</v>
      </c>
      <c r="R137" s="46">
        <f t="shared" si="20"/>
        <v>0</v>
      </c>
      <c r="S137" s="46" t="e">
        <f t="shared" si="19"/>
        <v>#VALUE!</v>
      </c>
      <c r="T137" s="677">
        <f t="shared" si="21"/>
        <v>0</v>
      </c>
      <c r="U137" s="80">
        <f>(IF(O137="Stofire",(S137*#REF!),0))+(IF(O137="Fire Control",(S137*$U$2),0))+(IF(O137="Fire Tex",(S137*$U$3),0))+(IF(O137="WB7",(S137*#REF!),0)+(IF(O137="FX 2003",(S137*$U$5),0)))</f>
        <v>0</v>
      </c>
      <c r="V137" s="651">
        <f t="shared" si="17"/>
        <v>0</v>
      </c>
      <c r="W137" s="4"/>
    </row>
    <row r="138" spans="1:23" x14ac:dyDescent="0.25">
      <c r="A138" s="652" t="s">
        <v>439</v>
      </c>
      <c r="B138" s="653" t="s">
        <v>430</v>
      </c>
      <c r="C138" s="1" t="s">
        <v>435</v>
      </c>
      <c r="D138" s="118">
        <f>+CUBICACION!D137</f>
        <v>0</v>
      </c>
      <c r="E138" s="118">
        <f>+CUBICACION!F137</f>
        <v>0</v>
      </c>
      <c r="F138" s="118">
        <f>+CUBICACION!E137</f>
        <v>0</v>
      </c>
      <c r="G138" s="118">
        <v>12</v>
      </c>
      <c r="H138" s="118">
        <v>2</v>
      </c>
      <c r="I138" s="820">
        <v>26385</v>
      </c>
      <c r="J138" s="118">
        <f>+CUBICACION!J137</f>
        <v>0</v>
      </c>
      <c r="K138" s="118">
        <v>2917</v>
      </c>
      <c r="L138" s="118">
        <f>+CUBICACION!L137</f>
        <v>0</v>
      </c>
      <c r="M138" s="64">
        <f>+CUBICACION!M137</f>
        <v>0</v>
      </c>
      <c r="N138" s="824" t="str">
        <f>+CUBICACION!N137</f>
        <v/>
      </c>
      <c r="O138" s="675">
        <f>+CUBICACION!O137</f>
        <v>0</v>
      </c>
      <c r="P138" s="15">
        <f>IF(O138="Fire Control",VLOOKUP(_xlfn.MINIFS('FIRE CONTROL'!$C$4:$C$37,'FIRE CONTROL'!$C$4:$C$37,"&gt;="&amp;M138),'FIRE CONTROL'!$C$4:$G$37,IF(L138="F-15",2,IF(L138="F-30",3,IF(L138="F-60",4,IF(L138="F-90",5,0)))),0),0)+IF(AND(O138="FIRE TEX 5062",OR(E138="IN",E138="C",E138="Z",E138="L"),J138=3),VLOOKUP(_xlfn.MINIFS('FIRE TEX 5062'!$B$4:$B$34,'FIRE TEX 5062'!$B$4:$B$34,"&gt;="&amp;M138),'FIRE TEX 5062'!$B$4:$F$34,IF(L138="F-15",2,IF(L138="F-30",3,IF(L138="F-60",4,IF(L138="F-90",5,0)))),0),0)+IF(AND(O138="FIRE TEX 5062",OR(E138="IN",E138="C",E138="Z",E138="L"),J138=4),VLOOKUP(_xlfn.MINIFS('FIRE TEX 5062'!$G$4:$G$34,'FIRE TEX 5062'!$G$4:$G$34,"&gt;="&amp;M138),'FIRE TEX 5062'!$G$4:$K$34,IF(L138="F-15",2,IF(L138="F-30",3,IF(L138="F-60",4,IF(L138="F-90",5,0)))),0),0)+IF(AND(O138="FIRE TEX 5062",E138="CJ",J138=3),VLOOKUP(_xlfn.MINIFS('FIRE TEX 5062'!$L$4:$L$34,'FIRE TEX 5062'!$L$4:$L$34,"&gt;="&amp;M138),'FIRE TEX 5062'!$L$4:$P$34,IF(L138="F-15",2,IF(L138="F-30",3,IF(L138="F-60",4,IF(L138="F-90",5,0)))),0),0)+IF(AND(O138="FIRE TEX 5062",E138="CJ",J138=4),VLOOKUP(_xlfn.MINIFS('FIRE TEX 5062'!$Q$3:$Q$34,'FIRE TEX 5062'!$Q$3:$Q$34,"&gt;="&amp;M138),'FIRE TEX 5062'!$Q$3:$U$34,IF(L138="F-15",2,IF(L138="F-30",3,IF(L138="F-60",4,IF(L138="F-90",5,0)))),0),0)+IF(AND(O138="FIRE TEX 5090",OR(E138="IN",E138="C",E138="Z",E138="L"),J138=3),VLOOKUP(_xlfn.MINIFS('FIRE TEX 5090'!$B$5:$B$43,'FIRE TEX 5090'!$B$5:$B$43,"&gt;="&amp;M138),'FIRE TEX 5090'!$B$5:$H$43,IF(L138="F-15",2,IF(L138="F-30",3,IF(L138="F-60",4,IF(L138="F-90",5,IF(L138="F-120",6,IF(L138="F-150",7,0)))))),0),0)+IF(AND(O138="FIRE TEX 5090",OR(E138="IN",E138="C",E138="Z",E138="L"),J138=4),VLOOKUP(_xlfn.MINIFS('FIRE TEX 5090'!$J$5:$J$43,'FIRE TEX 5090'!$J$5:$J$43,"&gt;="&amp;M138),'FIRE TEX 5090'!$J$5:$P$43,IF(L138="F-15",2,IF(L138="F-30",3,IF(L138="F-60",4,IF(L138="F-90",5,IF(L138="F-120",6,IF(L138="F-150",7,0)))))),0),0)+IF(AND(O138="FIRE TEX 5090",E138="CJ",J138=3),VLOOKUP(_xlfn.MINIFS('FIRE TEX 5090'!$R$5:$R$30,'FIRE TEX 5090'!$R$5:$R$30,"&gt;="&amp;M138),'FIRE TEX 5090'!$R$5:$W$30,IF(L138="F-15",2,IF(L138="F-30",3,IF(L138="F-60",4,IF(L138="F-90",5,IF(L138="F-120",6,IF(L138="F-150",7,0)))))),0),0)+IF(AND(O138="FIRE TEX 5090",E138="CJ",J138=4),VLOOKUP(_xlfn.MINIFS('FIRE TEX 5090'!$Y$5:$Y$39,'FIRE TEX 5090'!$Y$5:$Y$39,"&gt;="&amp;M138),'FIRE TEX 5090'!$Y$5:$AD$39,IF(L138="F-15",2,IF(L138="F-30",3,IF(L138="F-60",4,IF(L138="F-90",5,IF(L138="F-120",6,IF(L138="F-150",7,0)))))),0),0)+IF(AND(O138="FIRE TEX 5120",OR(E138="IN",E138="C",E138="Z",E138="L"),J138=3),VLOOKUP(_xlfn.MINIFS('FIRE TEX 5120'!$B$5:$B$40,'FIRE TEX 5120'!$B$5:$B$40,"&gt;="&amp;M138),'FIRE TEX 5120'!$B$5:$G$40,IF(L138="F-15",2,IF(L138="F-30",3,IF(L138="F-60",4,IF(L138="F-90",5,IF(L138="F-120",6,0))))),0),0)+IF(AND(O138="FIRE TEX 5120",OR(E138="IN",E138="C",E138="Z",E138="L"),J138=4),VLOOKUP(_xlfn.MINIFS('FIRE TEX 5120'!$H$4:$H$40,'FIRE TEX 5120'!$H$4:$H$40,"&gt;="&amp;M138),'FIRE TEX 5120'!$H$4:$M$40,IF(L138="F-15",2,IF(L138="F-30",3,IF(L138="F-60",4,IF(L138="F-90",5,IF(L138="F-120",6,0))))),0),0)+IF(AND(O138="FIRE TEX 5120",E138="CJ"),VLOOKUP(_xlfn.MINIFS('FIRE TEX 5120'!$O$5:$O$40,'FIRE TEX 5120'!$O$5:$O$40,"&gt;="&amp;M138),'FIRE TEX 5120'!$O$5:$T$40,IF(L138="F-15",2,IF(L138="F-30",3,IF(L138="F-60",4,IF(L138="F-90",5,IF(L138="F-120",6,0))))),0),0)</f>
        <v>0</v>
      </c>
      <c r="Q138" s="46">
        <f t="shared" si="18"/>
        <v>0</v>
      </c>
      <c r="R138" s="46">
        <f t="shared" si="20"/>
        <v>0</v>
      </c>
      <c r="S138" s="46" t="e">
        <f t="shared" si="19"/>
        <v>#VALUE!</v>
      </c>
      <c r="T138" s="677">
        <f t="shared" si="21"/>
        <v>0</v>
      </c>
      <c r="U138" s="80">
        <f>(IF(O138="Stofire",(S138*#REF!),0))+(IF(O138="Fire Control",(S138*$U$2),0))+(IF(O138="Fire Tex",(S138*$U$3),0))+(IF(O138="WB7",(S138*#REF!),0)+(IF(O138="FX 2003",(S138*$U$5),0)))</f>
        <v>0</v>
      </c>
      <c r="V138" s="651">
        <f t="shared" si="17"/>
        <v>0</v>
      </c>
      <c r="W138" s="4"/>
    </row>
    <row r="139" spans="1:23" x14ac:dyDescent="0.25">
      <c r="A139" s="652" t="s">
        <v>442</v>
      </c>
      <c r="B139" s="653" t="s">
        <v>443</v>
      </c>
      <c r="C139" s="1" t="s">
        <v>444</v>
      </c>
      <c r="D139" s="118">
        <f>+CUBICACION!D138</f>
        <v>0</v>
      </c>
      <c r="E139" s="118">
        <f>+CUBICACION!F138</f>
        <v>0</v>
      </c>
      <c r="F139" s="118">
        <f>+CUBICACION!E138</f>
        <v>0</v>
      </c>
      <c r="G139" s="118">
        <v>12</v>
      </c>
      <c r="H139" s="118">
        <v>2</v>
      </c>
      <c r="I139" s="820">
        <v>26385</v>
      </c>
      <c r="J139" s="118">
        <f>+CUBICACION!J138</f>
        <v>0</v>
      </c>
      <c r="K139" s="118">
        <v>2918</v>
      </c>
      <c r="L139" s="118">
        <f>+CUBICACION!L138</f>
        <v>0</v>
      </c>
      <c r="M139" s="64">
        <f>+CUBICACION!M138</f>
        <v>0</v>
      </c>
      <c r="N139" s="824" t="str">
        <f>+CUBICACION!N138</f>
        <v/>
      </c>
      <c r="O139" s="675">
        <f>+CUBICACION!O138</f>
        <v>0</v>
      </c>
      <c r="P139" s="15">
        <f>IF(O139="Fire Control",VLOOKUP(_xlfn.MINIFS('FIRE CONTROL'!$C$4:$C$37,'FIRE CONTROL'!$C$4:$C$37,"&gt;="&amp;M139),'FIRE CONTROL'!$C$4:$G$37,IF(L139="F-15",2,IF(L139="F-30",3,IF(L139="F-60",4,IF(L139="F-90",5,0)))),0),0)+IF(AND(O139="FIRE TEX 5062",OR(E139="IN",E139="C",E139="Z",E139="L"),J139=3),VLOOKUP(_xlfn.MINIFS('FIRE TEX 5062'!$B$4:$B$34,'FIRE TEX 5062'!$B$4:$B$34,"&gt;="&amp;M139),'FIRE TEX 5062'!$B$4:$F$34,IF(L139="F-15",2,IF(L139="F-30",3,IF(L139="F-60",4,IF(L139="F-90",5,0)))),0),0)+IF(AND(O139="FIRE TEX 5062",OR(E139="IN",E139="C",E139="Z",E139="L"),J139=4),VLOOKUP(_xlfn.MINIFS('FIRE TEX 5062'!$G$4:$G$34,'FIRE TEX 5062'!$G$4:$G$34,"&gt;="&amp;M139),'FIRE TEX 5062'!$G$4:$K$34,IF(L139="F-15",2,IF(L139="F-30",3,IF(L139="F-60",4,IF(L139="F-90",5,0)))),0),0)+IF(AND(O139="FIRE TEX 5062",E139="CJ",J139=3),VLOOKUP(_xlfn.MINIFS('FIRE TEX 5062'!$L$4:$L$34,'FIRE TEX 5062'!$L$4:$L$34,"&gt;="&amp;M139),'FIRE TEX 5062'!$L$4:$P$34,IF(L139="F-15",2,IF(L139="F-30",3,IF(L139="F-60",4,IF(L139="F-90",5,0)))),0),0)+IF(AND(O139="FIRE TEX 5062",E139="CJ",J139=4),VLOOKUP(_xlfn.MINIFS('FIRE TEX 5062'!$Q$3:$Q$34,'FIRE TEX 5062'!$Q$3:$Q$34,"&gt;="&amp;M139),'FIRE TEX 5062'!$Q$3:$U$34,IF(L139="F-15",2,IF(L139="F-30",3,IF(L139="F-60",4,IF(L139="F-90",5,0)))),0),0)+IF(AND(O139="FIRE TEX 5090",OR(E139="IN",E139="C",E139="Z",E139="L"),J139=3),VLOOKUP(_xlfn.MINIFS('FIRE TEX 5090'!$B$5:$B$43,'FIRE TEX 5090'!$B$5:$B$43,"&gt;="&amp;M139),'FIRE TEX 5090'!$B$5:$H$43,IF(L139="F-15",2,IF(L139="F-30",3,IF(L139="F-60",4,IF(L139="F-90",5,IF(L139="F-120",6,IF(L139="F-150",7,0)))))),0),0)+IF(AND(O139="FIRE TEX 5090",OR(E139="IN",E139="C",E139="Z",E139="L"),J139=4),VLOOKUP(_xlfn.MINIFS('FIRE TEX 5090'!$J$5:$J$43,'FIRE TEX 5090'!$J$5:$J$43,"&gt;="&amp;M139),'FIRE TEX 5090'!$J$5:$P$43,IF(L139="F-15",2,IF(L139="F-30",3,IF(L139="F-60",4,IF(L139="F-90",5,IF(L139="F-120",6,IF(L139="F-150",7,0)))))),0),0)+IF(AND(O139="FIRE TEX 5090",E139="CJ",J139=3),VLOOKUP(_xlfn.MINIFS('FIRE TEX 5090'!$R$5:$R$30,'FIRE TEX 5090'!$R$5:$R$30,"&gt;="&amp;M139),'FIRE TEX 5090'!$R$5:$W$30,IF(L139="F-15",2,IF(L139="F-30",3,IF(L139="F-60",4,IF(L139="F-90",5,IF(L139="F-120",6,IF(L139="F-150",7,0)))))),0),0)+IF(AND(O139="FIRE TEX 5090",E139="CJ",J139=4),VLOOKUP(_xlfn.MINIFS('FIRE TEX 5090'!$Y$5:$Y$39,'FIRE TEX 5090'!$Y$5:$Y$39,"&gt;="&amp;M139),'FIRE TEX 5090'!$Y$5:$AD$39,IF(L139="F-15",2,IF(L139="F-30",3,IF(L139="F-60",4,IF(L139="F-90",5,IF(L139="F-120",6,IF(L139="F-150",7,0)))))),0),0)+IF(AND(O139="FIRE TEX 5120",OR(E139="IN",E139="C",E139="Z",E139="L"),J139=3),VLOOKUP(_xlfn.MINIFS('FIRE TEX 5120'!$B$5:$B$40,'FIRE TEX 5120'!$B$5:$B$40,"&gt;="&amp;M139),'FIRE TEX 5120'!$B$5:$G$40,IF(L139="F-15",2,IF(L139="F-30",3,IF(L139="F-60",4,IF(L139="F-90",5,IF(L139="F-120",6,0))))),0),0)+IF(AND(O139="FIRE TEX 5120",OR(E139="IN",E139="C",E139="Z",E139="L"),J139=4),VLOOKUP(_xlfn.MINIFS('FIRE TEX 5120'!$H$4:$H$40,'FIRE TEX 5120'!$H$4:$H$40,"&gt;="&amp;M139),'FIRE TEX 5120'!$H$4:$M$40,IF(L139="F-15",2,IF(L139="F-30",3,IF(L139="F-60",4,IF(L139="F-90",5,IF(L139="F-120",6,0))))),0),0)+IF(AND(O139="FIRE TEX 5120",E139="CJ"),VLOOKUP(_xlfn.MINIFS('FIRE TEX 5120'!$O$5:$O$40,'FIRE TEX 5120'!$O$5:$O$40,"&gt;="&amp;M139),'FIRE TEX 5120'!$O$5:$T$40,IF(L139="F-15",2,IF(L139="F-30",3,IF(L139="F-60",4,IF(L139="F-90",5,IF(L139="F-120",6,0))))),0),0)</f>
        <v>0</v>
      </c>
      <c r="Q139" s="46">
        <f t="shared" si="18"/>
        <v>0</v>
      </c>
      <c r="R139" s="46">
        <f t="shared" si="20"/>
        <v>0</v>
      </c>
      <c r="S139" s="46" t="e">
        <f t="shared" si="19"/>
        <v>#VALUE!</v>
      </c>
      <c r="T139" s="677">
        <f t="shared" si="21"/>
        <v>0</v>
      </c>
      <c r="U139" s="80">
        <f>(IF(O139="Stofire",(S139*#REF!),0))+(IF(O139="Fire Control",(S139*$U$2),0))+(IF(O139="Fire Tex",(S139*$U$3),0))+(IF(O139="WB7",(S139*#REF!),0)+(IF(O139="FX 2003",(S139*$U$5),0)))</f>
        <v>0</v>
      </c>
      <c r="V139" s="651">
        <f t="shared" si="17"/>
        <v>0</v>
      </c>
      <c r="W139" s="4"/>
    </row>
    <row r="140" spans="1:23" x14ac:dyDescent="0.25">
      <c r="A140" s="652" t="s">
        <v>442</v>
      </c>
      <c r="B140" s="653" t="s">
        <v>443</v>
      </c>
      <c r="C140" s="1" t="s">
        <v>446</v>
      </c>
      <c r="D140" s="118">
        <f>+CUBICACION!D139</f>
        <v>0</v>
      </c>
      <c r="E140" s="118">
        <f>+CUBICACION!F139</f>
        <v>0</v>
      </c>
      <c r="F140" s="118">
        <f>+CUBICACION!E139</f>
        <v>0</v>
      </c>
      <c r="G140" s="118">
        <v>12</v>
      </c>
      <c r="H140" s="118">
        <v>2</v>
      </c>
      <c r="I140" s="820">
        <v>26385</v>
      </c>
      <c r="J140" s="118">
        <f>+CUBICACION!J139</f>
        <v>0</v>
      </c>
      <c r="K140" s="118">
        <v>2919</v>
      </c>
      <c r="L140" s="118">
        <f>+CUBICACION!L139</f>
        <v>0</v>
      </c>
      <c r="M140" s="64">
        <f>+CUBICACION!M139</f>
        <v>0</v>
      </c>
      <c r="N140" s="824" t="str">
        <f>+CUBICACION!N139</f>
        <v/>
      </c>
      <c r="O140" s="675">
        <f>+CUBICACION!O139</f>
        <v>0</v>
      </c>
      <c r="P140" s="15">
        <f>IF(O140="Fire Control",VLOOKUP(_xlfn.MINIFS('FIRE CONTROL'!$C$4:$C$37,'FIRE CONTROL'!$C$4:$C$37,"&gt;="&amp;M140),'FIRE CONTROL'!$C$4:$G$37,IF(L140="F-15",2,IF(L140="F-30",3,IF(L140="F-60",4,IF(L140="F-90",5,0)))),0),0)+IF(AND(O140="FIRE TEX 5062",OR(E140="IN",E140="C",E140="Z",E140="L"),J140=3),VLOOKUP(_xlfn.MINIFS('FIRE TEX 5062'!$B$4:$B$34,'FIRE TEX 5062'!$B$4:$B$34,"&gt;="&amp;M140),'FIRE TEX 5062'!$B$4:$F$34,IF(L140="F-15",2,IF(L140="F-30",3,IF(L140="F-60",4,IF(L140="F-90",5,0)))),0),0)+IF(AND(O140="FIRE TEX 5062",OR(E140="IN",E140="C",E140="Z",E140="L"),J140=4),VLOOKUP(_xlfn.MINIFS('FIRE TEX 5062'!$G$4:$G$34,'FIRE TEX 5062'!$G$4:$G$34,"&gt;="&amp;M140),'FIRE TEX 5062'!$G$4:$K$34,IF(L140="F-15",2,IF(L140="F-30",3,IF(L140="F-60",4,IF(L140="F-90",5,0)))),0),0)+IF(AND(O140="FIRE TEX 5062",E140="CJ",J140=3),VLOOKUP(_xlfn.MINIFS('FIRE TEX 5062'!$L$4:$L$34,'FIRE TEX 5062'!$L$4:$L$34,"&gt;="&amp;M140),'FIRE TEX 5062'!$L$4:$P$34,IF(L140="F-15",2,IF(L140="F-30",3,IF(L140="F-60",4,IF(L140="F-90",5,0)))),0),0)+IF(AND(O140="FIRE TEX 5062",E140="CJ",J140=4),VLOOKUP(_xlfn.MINIFS('FIRE TEX 5062'!$Q$3:$Q$34,'FIRE TEX 5062'!$Q$3:$Q$34,"&gt;="&amp;M140),'FIRE TEX 5062'!$Q$3:$U$34,IF(L140="F-15",2,IF(L140="F-30",3,IF(L140="F-60",4,IF(L140="F-90",5,0)))),0),0)+IF(AND(O140="FIRE TEX 5090",OR(E140="IN",E140="C",E140="Z",E140="L"),J140=3),VLOOKUP(_xlfn.MINIFS('FIRE TEX 5090'!$B$5:$B$43,'FIRE TEX 5090'!$B$5:$B$43,"&gt;="&amp;M140),'FIRE TEX 5090'!$B$5:$H$43,IF(L140="F-15",2,IF(L140="F-30",3,IF(L140="F-60",4,IF(L140="F-90",5,IF(L140="F-120",6,IF(L140="F-150",7,0)))))),0),0)+IF(AND(O140="FIRE TEX 5090",OR(E140="IN",E140="C",E140="Z",E140="L"),J140=4),VLOOKUP(_xlfn.MINIFS('FIRE TEX 5090'!$J$5:$J$43,'FIRE TEX 5090'!$J$5:$J$43,"&gt;="&amp;M140),'FIRE TEX 5090'!$J$5:$P$43,IF(L140="F-15",2,IF(L140="F-30",3,IF(L140="F-60",4,IF(L140="F-90",5,IF(L140="F-120",6,IF(L140="F-150",7,0)))))),0),0)+IF(AND(O140="FIRE TEX 5090",E140="CJ",J140=3),VLOOKUP(_xlfn.MINIFS('FIRE TEX 5090'!$R$5:$R$30,'FIRE TEX 5090'!$R$5:$R$30,"&gt;="&amp;M140),'FIRE TEX 5090'!$R$5:$W$30,IF(L140="F-15",2,IF(L140="F-30",3,IF(L140="F-60",4,IF(L140="F-90",5,IF(L140="F-120",6,IF(L140="F-150",7,0)))))),0),0)+IF(AND(O140="FIRE TEX 5090",E140="CJ",J140=4),VLOOKUP(_xlfn.MINIFS('FIRE TEX 5090'!$Y$5:$Y$39,'FIRE TEX 5090'!$Y$5:$Y$39,"&gt;="&amp;M140),'FIRE TEX 5090'!$Y$5:$AD$39,IF(L140="F-15",2,IF(L140="F-30",3,IF(L140="F-60",4,IF(L140="F-90",5,IF(L140="F-120",6,IF(L140="F-150",7,0)))))),0),0)+IF(AND(O140="FIRE TEX 5120",OR(E140="IN",E140="C",E140="Z",E140="L"),J140=3),VLOOKUP(_xlfn.MINIFS('FIRE TEX 5120'!$B$5:$B$40,'FIRE TEX 5120'!$B$5:$B$40,"&gt;="&amp;M140),'FIRE TEX 5120'!$B$5:$G$40,IF(L140="F-15",2,IF(L140="F-30",3,IF(L140="F-60",4,IF(L140="F-90",5,IF(L140="F-120",6,0))))),0),0)+IF(AND(O140="FIRE TEX 5120",OR(E140="IN",E140="C",E140="Z",E140="L"),J140=4),VLOOKUP(_xlfn.MINIFS('FIRE TEX 5120'!$H$4:$H$40,'FIRE TEX 5120'!$H$4:$H$40,"&gt;="&amp;M140),'FIRE TEX 5120'!$H$4:$M$40,IF(L140="F-15",2,IF(L140="F-30",3,IF(L140="F-60",4,IF(L140="F-90",5,IF(L140="F-120",6,0))))),0),0)+IF(AND(O140="FIRE TEX 5120",E140="CJ"),VLOOKUP(_xlfn.MINIFS('FIRE TEX 5120'!$O$5:$O$40,'FIRE TEX 5120'!$O$5:$O$40,"&gt;="&amp;M140),'FIRE TEX 5120'!$O$5:$T$40,IF(L140="F-15",2,IF(L140="F-30",3,IF(L140="F-60",4,IF(L140="F-90",5,IF(L140="F-120",6,0))))),0),0)</f>
        <v>0</v>
      </c>
      <c r="Q140" s="46">
        <f t="shared" si="18"/>
        <v>0</v>
      </c>
      <c r="R140" s="46">
        <f t="shared" si="20"/>
        <v>0</v>
      </c>
      <c r="S140" s="46" t="e">
        <f t="shared" si="19"/>
        <v>#VALUE!</v>
      </c>
      <c r="T140" s="677">
        <f t="shared" si="21"/>
        <v>0</v>
      </c>
      <c r="U140" s="80">
        <f>(IF(O140="Stofire",(S140*#REF!),0))+(IF(O140="Fire Control",(S140*$U$2),0))+(IF(O140="Fire Tex",(S140*$U$3),0))+(IF(O140="WB7",(S140*#REF!),0)+(IF(O140="FX 2003",(S140*$U$5),0)))</f>
        <v>0</v>
      </c>
      <c r="V140" s="651">
        <f>_xlfn.CEILING.MATH(M140,10)</f>
        <v>0</v>
      </c>
      <c r="W140" s="4"/>
    </row>
    <row r="141" spans="1:23" x14ac:dyDescent="0.25">
      <c r="A141" s="652" t="s">
        <v>448</v>
      </c>
      <c r="B141" s="653" t="s">
        <v>443</v>
      </c>
      <c r="C141" s="1" t="s">
        <v>444</v>
      </c>
      <c r="D141" s="118">
        <f>+CUBICACION!D140</f>
        <v>0</v>
      </c>
      <c r="E141" s="118">
        <f>+CUBICACION!F140</f>
        <v>0</v>
      </c>
      <c r="F141" s="118">
        <f>+CUBICACION!E140</f>
        <v>0</v>
      </c>
      <c r="G141" s="118">
        <v>12</v>
      </c>
      <c r="H141" s="118">
        <v>2</v>
      </c>
      <c r="I141" s="820">
        <v>26385</v>
      </c>
      <c r="J141" s="118">
        <f>+CUBICACION!J140</f>
        <v>0</v>
      </c>
      <c r="K141" s="118">
        <v>2920</v>
      </c>
      <c r="L141" s="118">
        <f>+CUBICACION!L140</f>
        <v>0</v>
      </c>
      <c r="M141" s="64">
        <f>+CUBICACION!M140</f>
        <v>0</v>
      </c>
      <c r="N141" s="824" t="str">
        <f>+CUBICACION!N140</f>
        <v/>
      </c>
      <c r="O141" s="675">
        <f>+CUBICACION!O140</f>
        <v>0</v>
      </c>
      <c r="P141" s="15">
        <f>IF(O141="Fire Control",VLOOKUP(_xlfn.MINIFS('FIRE CONTROL'!$C$4:$C$37,'FIRE CONTROL'!$C$4:$C$37,"&gt;="&amp;M141),'FIRE CONTROL'!$C$4:$G$37,IF(L141="F-15",2,IF(L141="F-30",3,IF(L141="F-60",4,IF(L141="F-90",5,0)))),0),0)+IF(AND(O141="FIRE TEX 5062",OR(E141="IN",E141="C",E141="Z",E141="L"),J141=3),VLOOKUP(_xlfn.MINIFS('FIRE TEX 5062'!$B$4:$B$34,'FIRE TEX 5062'!$B$4:$B$34,"&gt;="&amp;M141),'FIRE TEX 5062'!$B$4:$F$34,IF(L141="F-15",2,IF(L141="F-30",3,IF(L141="F-60",4,IF(L141="F-90",5,0)))),0),0)+IF(AND(O141="FIRE TEX 5062",OR(E141="IN",E141="C",E141="Z",E141="L"),J141=4),VLOOKUP(_xlfn.MINIFS('FIRE TEX 5062'!$G$4:$G$34,'FIRE TEX 5062'!$G$4:$G$34,"&gt;="&amp;M141),'FIRE TEX 5062'!$G$4:$K$34,IF(L141="F-15",2,IF(L141="F-30",3,IF(L141="F-60",4,IF(L141="F-90",5,0)))),0),0)+IF(AND(O141="FIRE TEX 5062",E141="CJ",J141=3),VLOOKUP(_xlfn.MINIFS('FIRE TEX 5062'!$L$4:$L$34,'FIRE TEX 5062'!$L$4:$L$34,"&gt;="&amp;M141),'FIRE TEX 5062'!$L$4:$P$34,IF(L141="F-15",2,IF(L141="F-30",3,IF(L141="F-60",4,IF(L141="F-90",5,0)))),0),0)+IF(AND(O141="FIRE TEX 5062",E141="CJ",J141=4),VLOOKUP(_xlfn.MINIFS('FIRE TEX 5062'!$Q$3:$Q$34,'FIRE TEX 5062'!$Q$3:$Q$34,"&gt;="&amp;M141),'FIRE TEX 5062'!$Q$3:$U$34,IF(L141="F-15",2,IF(L141="F-30",3,IF(L141="F-60",4,IF(L141="F-90",5,0)))),0),0)+IF(AND(O141="FIRE TEX 5090",OR(E141="IN",E141="C",E141="Z",E141="L"),J141=3),VLOOKUP(_xlfn.MINIFS('FIRE TEX 5090'!$B$5:$B$43,'FIRE TEX 5090'!$B$5:$B$43,"&gt;="&amp;M141),'FIRE TEX 5090'!$B$5:$H$43,IF(L141="F-15",2,IF(L141="F-30",3,IF(L141="F-60",4,IF(L141="F-90",5,IF(L141="F-120",6,IF(L141="F-150",7,0)))))),0),0)+IF(AND(O141="FIRE TEX 5090",OR(E141="IN",E141="C",E141="Z",E141="L"),J141=4),VLOOKUP(_xlfn.MINIFS('FIRE TEX 5090'!$J$5:$J$43,'FIRE TEX 5090'!$J$5:$J$43,"&gt;="&amp;M141),'FIRE TEX 5090'!$J$5:$P$43,IF(L141="F-15",2,IF(L141="F-30",3,IF(L141="F-60",4,IF(L141="F-90",5,IF(L141="F-120",6,IF(L141="F-150",7,0)))))),0),0)+IF(AND(O141="FIRE TEX 5090",E141="CJ",J141=3),VLOOKUP(_xlfn.MINIFS('FIRE TEX 5090'!$R$5:$R$30,'FIRE TEX 5090'!$R$5:$R$30,"&gt;="&amp;M141),'FIRE TEX 5090'!$R$5:$W$30,IF(L141="F-15",2,IF(L141="F-30",3,IF(L141="F-60",4,IF(L141="F-90",5,IF(L141="F-120",6,IF(L141="F-150",7,0)))))),0),0)+IF(AND(O141="FIRE TEX 5090",E141="CJ",J141=4),VLOOKUP(_xlfn.MINIFS('FIRE TEX 5090'!$Y$5:$Y$39,'FIRE TEX 5090'!$Y$5:$Y$39,"&gt;="&amp;M141),'FIRE TEX 5090'!$Y$5:$AD$39,IF(L141="F-15",2,IF(L141="F-30",3,IF(L141="F-60",4,IF(L141="F-90",5,IF(L141="F-120",6,IF(L141="F-150",7,0)))))),0),0)+IF(AND(O141="FIRE TEX 5120",OR(E141="IN",E141="C",E141="Z",E141="L"),J141=3),VLOOKUP(_xlfn.MINIFS('FIRE TEX 5120'!$B$5:$B$40,'FIRE TEX 5120'!$B$5:$B$40,"&gt;="&amp;M141),'FIRE TEX 5120'!$B$5:$G$40,IF(L141="F-15",2,IF(L141="F-30",3,IF(L141="F-60",4,IF(L141="F-90",5,IF(L141="F-120",6,0))))),0),0)+IF(AND(O141="FIRE TEX 5120",OR(E141="IN",E141="C",E141="Z",E141="L"),J141=4),VLOOKUP(_xlfn.MINIFS('FIRE TEX 5120'!$H$4:$H$40,'FIRE TEX 5120'!$H$4:$H$40,"&gt;="&amp;M141),'FIRE TEX 5120'!$H$4:$M$40,IF(L141="F-15",2,IF(L141="F-30",3,IF(L141="F-60",4,IF(L141="F-90",5,IF(L141="F-120",6,0))))),0),0)+IF(AND(O141="FIRE TEX 5120",E141="CJ"),VLOOKUP(_xlfn.MINIFS('FIRE TEX 5120'!$O$5:$O$40,'FIRE TEX 5120'!$O$5:$O$40,"&gt;="&amp;M141),'FIRE TEX 5120'!$O$5:$T$40,IF(L141="F-15",2,IF(L141="F-30",3,IF(L141="F-60",4,IF(L141="F-90",5,IF(L141="F-120",6,0))))),0),0)</f>
        <v>0</v>
      </c>
      <c r="Q141" s="46">
        <f t="shared" si="18"/>
        <v>0</v>
      </c>
      <c r="R141" s="46">
        <f t="shared" si="20"/>
        <v>0</v>
      </c>
      <c r="S141" s="46" t="e">
        <f t="shared" si="19"/>
        <v>#VALUE!</v>
      </c>
      <c r="T141" s="677">
        <f t="shared" si="21"/>
        <v>0</v>
      </c>
      <c r="U141" s="80">
        <f>(IF(O141="Stofire",(S141*#REF!),0))+(IF(O141="Fire Control",(S141*$U$2),0))+(IF(O141="Fire Tex",(S141*$U$3),0))+(IF(O141="WB7",(S141*#REF!),0)+(IF(O141="FX 2003",(S141*$U$5),0)))</f>
        <v>0</v>
      </c>
      <c r="V141" s="651">
        <f>_xlfn.CEILING.MATH(M141,10)</f>
        <v>0</v>
      </c>
      <c r="W141" s="4"/>
    </row>
    <row r="142" spans="1:23" x14ac:dyDescent="0.25">
      <c r="A142" s="652" t="s">
        <v>448</v>
      </c>
      <c r="B142" s="653" t="s">
        <v>443</v>
      </c>
      <c r="C142" s="1" t="s">
        <v>446</v>
      </c>
      <c r="D142" s="118">
        <f>+CUBICACION!D141</f>
        <v>0</v>
      </c>
      <c r="E142" s="118">
        <f>+CUBICACION!F141</f>
        <v>0</v>
      </c>
      <c r="F142" s="118">
        <f>+CUBICACION!E141</f>
        <v>0</v>
      </c>
      <c r="G142" s="118">
        <v>12</v>
      </c>
      <c r="H142" s="118">
        <v>2</v>
      </c>
      <c r="I142" s="820">
        <v>26385</v>
      </c>
      <c r="J142" s="118">
        <f>+CUBICACION!J141</f>
        <v>0</v>
      </c>
      <c r="K142" s="118">
        <v>2921</v>
      </c>
      <c r="L142" s="118">
        <f>+CUBICACION!L141</f>
        <v>0</v>
      </c>
      <c r="M142" s="64">
        <f>+CUBICACION!M141</f>
        <v>0</v>
      </c>
      <c r="N142" s="824" t="str">
        <f>+CUBICACION!N141</f>
        <v/>
      </c>
      <c r="O142" s="675">
        <f>+CUBICACION!O141</f>
        <v>0</v>
      </c>
      <c r="P142" s="15">
        <f>IF(O142="Fire Control",VLOOKUP(_xlfn.MINIFS('FIRE CONTROL'!$C$4:$C$37,'FIRE CONTROL'!$C$4:$C$37,"&gt;="&amp;M142),'FIRE CONTROL'!$C$4:$G$37,IF(L142="F-15",2,IF(L142="F-30",3,IF(L142="F-60",4,IF(L142="F-90",5,0)))),0),0)+IF(AND(O142="FIRE TEX 5062",OR(E142="IN",E142="C",E142="Z",E142="L"),J142=3),VLOOKUP(_xlfn.MINIFS('FIRE TEX 5062'!$B$4:$B$34,'FIRE TEX 5062'!$B$4:$B$34,"&gt;="&amp;M142),'FIRE TEX 5062'!$B$4:$F$34,IF(L142="F-15",2,IF(L142="F-30",3,IF(L142="F-60",4,IF(L142="F-90",5,0)))),0),0)+IF(AND(O142="FIRE TEX 5062",OR(E142="IN",E142="C",E142="Z",E142="L"),J142=4),VLOOKUP(_xlfn.MINIFS('FIRE TEX 5062'!$G$4:$G$34,'FIRE TEX 5062'!$G$4:$G$34,"&gt;="&amp;M142),'FIRE TEX 5062'!$G$4:$K$34,IF(L142="F-15",2,IF(L142="F-30",3,IF(L142="F-60",4,IF(L142="F-90",5,0)))),0),0)+IF(AND(O142="FIRE TEX 5062",E142="CJ",J142=3),VLOOKUP(_xlfn.MINIFS('FIRE TEX 5062'!$L$4:$L$34,'FIRE TEX 5062'!$L$4:$L$34,"&gt;="&amp;M142),'FIRE TEX 5062'!$L$4:$P$34,IF(L142="F-15",2,IF(L142="F-30",3,IF(L142="F-60",4,IF(L142="F-90",5,0)))),0),0)+IF(AND(O142="FIRE TEX 5062",E142="CJ",J142=4),VLOOKUP(_xlfn.MINIFS('FIRE TEX 5062'!$Q$3:$Q$34,'FIRE TEX 5062'!$Q$3:$Q$34,"&gt;="&amp;M142),'FIRE TEX 5062'!$Q$3:$U$34,IF(L142="F-15",2,IF(L142="F-30",3,IF(L142="F-60",4,IF(L142="F-90",5,0)))),0),0)+IF(AND(O142="FIRE TEX 5090",OR(E142="IN",E142="C",E142="Z",E142="L"),J142=3),VLOOKUP(_xlfn.MINIFS('FIRE TEX 5090'!$B$5:$B$43,'FIRE TEX 5090'!$B$5:$B$43,"&gt;="&amp;M142),'FIRE TEX 5090'!$B$5:$H$43,IF(L142="F-15",2,IF(L142="F-30",3,IF(L142="F-60",4,IF(L142="F-90",5,IF(L142="F-120",6,IF(L142="F-150",7,0)))))),0),0)+IF(AND(O142="FIRE TEX 5090",OR(E142="IN",E142="C",E142="Z",E142="L"),J142=4),VLOOKUP(_xlfn.MINIFS('FIRE TEX 5090'!$J$5:$J$43,'FIRE TEX 5090'!$J$5:$J$43,"&gt;="&amp;M142),'FIRE TEX 5090'!$J$5:$P$43,IF(L142="F-15",2,IF(L142="F-30",3,IF(L142="F-60",4,IF(L142="F-90",5,IF(L142="F-120",6,IF(L142="F-150",7,0)))))),0),0)+IF(AND(O142="FIRE TEX 5090",E142="CJ",J142=3),VLOOKUP(_xlfn.MINIFS('FIRE TEX 5090'!$R$5:$R$30,'FIRE TEX 5090'!$R$5:$R$30,"&gt;="&amp;M142),'FIRE TEX 5090'!$R$5:$W$30,IF(L142="F-15",2,IF(L142="F-30",3,IF(L142="F-60",4,IF(L142="F-90",5,IF(L142="F-120",6,IF(L142="F-150",7,0)))))),0),0)+IF(AND(O142="FIRE TEX 5090",E142="CJ",J142=4),VLOOKUP(_xlfn.MINIFS('FIRE TEX 5090'!$Y$5:$Y$39,'FIRE TEX 5090'!$Y$5:$Y$39,"&gt;="&amp;M142),'FIRE TEX 5090'!$Y$5:$AD$39,IF(L142="F-15",2,IF(L142="F-30",3,IF(L142="F-60",4,IF(L142="F-90",5,IF(L142="F-120",6,IF(L142="F-150",7,0)))))),0),0)+IF(AND(O142="FIRE TEX 5120",OR(E142="IN",E142="C",E142="Z",E142="L"),J142=3),VLOOKUP(_xlfn.MINIFS('FIRE TEX 5120'!$B$5:$B$40,'FIRE TEX 5120'!$B$5:$B$40,"&gt;="&amp;M142),'FIRE TEX 5120'!$B$5:$G$40,IF(L142="F-15",2,IF(L142="F-30",3,IF(L142="F-60",4,IF(L142="F-90",5,IF(L142="F-120",6,0))))),0),0)+IF(AND(O142="FIRE TEX 5120",OR(E142="IN",E142="C",E142="Z",E142="L"),J142=4),VLOOKUP(_xlfn.MINIFS('FIRE TEX 5120'!$H$4:$H$40,'FIRE TEX 5120'!$H$4:$H$40,"&gt;="&amp;M142),'FIRE TEX 5120'!$H$4:$M$40,IF(L142="F-15",2,IF(L142="F-30",3,IF(L142="F-60",4,IF(L142="F-90",5,IF(L142="F-120",6,0))))),0),0)+IF(AND(O142="FIRE TEX 5120",E142="CJ"),VLOOKUP(_xlfn.MINIFS('FIRE TEX 5120'!$O$5:$O$40,'FIRE TEX 5120'!$O$5:$O$40,"&gt;="&amp;M142),'FIRE TEX 5120'!$O$5:$T$40,IF(L142="F-15",2,IF(L142="F-30",3,IF(L142="F-60",4,IF(L142="F-90",5,IF(L142="F-120",6,0))))),0),0)</f>
        <v>0</v>
      </c>
      <c r="Q142" s="46">
        <f t="shared" si="18"/>
        <v>0</v>
      </c>
      <c r="R142" s="46">
        <f t="shared" si="20"/>
        <v>0</v>
      </c>
      <c r="S142" s="46" t="e">
        <f t="shared" si="19"/>
        <v>#VALUE!</v>
      </c>
      <c r="T142" s="677">
        <f t="shared" si="21"/>
        <v>0</v>
      </c>
      <c r="U142" s="80">
        <f>(IF(O142="Stofire",(S142*#REF!),0))+(IF(O142="Fire Control",(S142*$U$2),0))+(IF(O142="Fire Tex",(S142*$U$3),0))+(IF(O142="WB7",(S142*#REF!),0)+(IF(O142="FX 2003",(S142*$U$5),0)))</f>
        <v>0</v>
      </c>
      <c r="V142" s="651">
        <f t="shared" ref="V142:V154" si="22">_xlfn.CEILING.MATH(M142,10)</f>
        <v>0</v>
      </c>
      <c r="W142" s="4"/>
    </row>
    <row r="143" spans="1:23" x14ac:dyDescent="0.25">
      <c r="A143" s="652" t="s">
        <v>448</v>
      </c>
      <c r="B143" s="653" t="s">
        <v>451</v>
      </c>
      <c r="C143" s="1" t="s">
        <v>446</v>
      </c>
      <c r="D143" s="118">
        <f>+CUBICACION!D142</f>
        <v>0</v>
      </c>
      <c r="E143" s="118">
        <f>+CUBICACION!F142</f>
        <v>0</v>
      </c>
      <c r="F143" s="118">
        <f>+CUBICACION!E142</f>
        <v>0</v>
      </c>
      <c r="G143" s="118">
        <v>12</v>
      </c>
      <c r="H143" s="118">
        <v>2</v>
      </c>
      <c r="I143" s="820">
        <v>26385</v>
      </c>
      <c r="J143" s="118">
        <f>+CUBICACION!J142</f>
        <v>0</v>
      </c>
      <c r="K143" s="118">
        <v>2922</v>
      </c>
      <c r="L143" s="118">
        <f>+CUBICACION!L142</f>
        <v>0</v>
      </c>
      <c r="M143" s="64">
        <f>+CUBICACION!M142</f>
        <v>0</v>
      </c>
      <c r="N143" s="824" t="str">
        <f>+CUBICACION!N142</f>
        <v/>
      </c>
      <c r="O143" s="675">
        <f>+CUBICACION!O142</f>
        <v>0</v>
      </c>
      <c r="P143" s="15">
        <f>IF(O143="Fire Control",VLOOKUP(_xlfn.MINIFS('FIRE CONTROL'!$C$4:$C$37,'FIRE CONTROL'!$C$4:$C$37,"&gt;="&amp;M143),'FIRE CONTROL'!$C$4:$G$37,IF(L143="F-15",2,IF(L143="F-30",3,IF(L143="F-60",4,IF(L143="F-90",5,0)))),0),0)+IF(AND(O143="FIRE TEX 5062",OR(E143="IN",E143="C",E143="Z",E143="L"),J143=3),VLOOKUP(_xlfn.MINIFS('FIRE TEX 5062'!$B$4:$B$34,'FIRE TEX 5062'!$B$4:$B$34,"&gt;="&amp;M143),'FIRE TEX 5062'!$B$4:$F$34,IF(L143="F-15",2,IF(L143="F-30",3,IF(L143="F-60",4,IF(L143="F-90",5,0)))),0),0)+IF(AND(O143="FIRE TEX 5062",OR(E143="IN",E143="C",E143="Z",E143="L"),J143=4),VLOOKUP(_xlfn.MINIFS('FIRE TEX 5062'!$G$4:$G$34,'FIRE TEX 5062'!$G$4:$G$34,"&gt;="&amp;M143),'FIRE TEX 5062'!$G$4:$K$34,IF(L143="F-15",2,IF(L143="F-30",3,IF(L143="F-60",4,IF(L143="F-90",5,0)))),0),0)+IF(AND(O143="FIRE TEX 5062",E143="CJ",J143=3),VLOOKUP(_xlfn.MINIFS('FIRE TEX 5062'!$L$4:$L$34,'FIRE TEX 5062'!$L$4:$L$34,"&gt;="&amp;M143),'FIRE TEX 5062'!$L$4:$P$34,IF(L143="F-15",2,IF(L143="F-30",3,IF(L143="F-60",4,IF(L143="F-90",5,0)))),0),0)+IF(AND(O143="FIRE TEX 5062",E143="CJ",J143=4),VLOOKUP(_xlfn.MINIFS('FIRE TEX 5062'!$Q$3:$Q$34,'FIRE TEX 5062'!$Q$3:$Q$34,"&gt;="&amp;M143),'FIRE TEX 5062'!$Q$3:$U$34,IF(L143="F-15",2,IF(L143="F-30",3,IF(L143="F-60",4,IF(L143="F-90",5,0)))),0),0)+IF(AND(O143="FIRE TEX 5090",OR(E143="IN",E143="C",E143="Z",E143="L"),J143=3),VLOOKUP(_xlfn.MINIFS('FIRE TEX 5090'!$B$5:$B$43,'FIRE TEX 5090'!$B$5:$B$43,"&gt;="&amp;M143),'FIRE TEX 5090'!$B$5:$H$43,IF(L143="F-15",2,IF(L143="F-30",3,IF(L143="F-60",4,IF(L143="F-90",5,IF(L143="F-120",6,IF(L143="F-150",7,0)))))),0),0)+IF(AND(O143="FIRE TEX 5090",OR(E143="IN",E143="C",E143="Z",E143="L"),J143=4),VLOOKUP(_xlfn.MINIFS('FIRE TEX 5090'!$J$5:$J$43,'FIRE TEX 5090'!$J$5:$J$43,"&gt;="&amp;M143),'FIRE TEX 5090'!$J$5:$P$43,IF(L143="F-15",2,IF(L143="F-30",3,IF(L143="F-60",4,IF(L143="F-90",5,IF(L143="F-120",6,IF(L143="F-150",7,0)))))),0),0)+IF(AND(O143="FIRE TEX 5090",E143="CJ",J143=3),VLOOKUP(_xlfn.MINIFS('FIRE TEX 5090'!$R$5:$R$30,'FIRE TEX 5090'!$R$5:$R$30,"&gt;="&amp;M143),'FIRE TEX 5090'!$R$5:$W$30,IF(L143="F-15",2,IF(L143="F-30",3,IF(L143="F-60",4,IF(L143="F-90",5,IF(L143="F-120",6,IF(L143="F-150",7,0)))))),0),0)+IF(AND(O143="FIRE TEX 5090",E143="CJ",J143=4),VLOOKUP(_xlfn.MINIFS('FIRE TEX 5090'!$Y$5:$Y$39,'FIRE TEX 5090'!$Y$5:$Y$39,"&gt;="&amp;M143),'FIRE TEX 5090'!$Y$5:$AD$39,IF(L143="F-15",2,IF(L143="F-30",3,IF(L143="F-60",4,IF(L143="F-90",5,IF(L143="F-120",6,IF(L143="F-150",7,0)))))),0),0)+IF(AND(O143="FIRE TEX 5120",OR(E143="IN",E143="C",E143="Z",E143="L"),J143=3),VLOOKUP(_xlfn.MINIFS('FIRE TEX 5120'!$B$5:$B$40,'FIRE TEX 5120'!$B$5:$B$40,"&gt;="&amp;M143),'FIRE TEX 5120'!$B$5:$G$40,IF(L143="F-15",2,IF(L143="F-30",3,IF(L143="F-60",4,IF(L143="F-90",5,IF(L143="F-120",6,0))))),0),0)+IF(AND(O143="FIRE TEX 5120",OR(E143="IN",E143="C",E143="Z",E143="L"),J143=4),VLOOKUP(_xlfn.MINIFS('FIRE TEX 5120'!$H$4:$H$40,'FIRE TEX 5120'!$H$4:$H$40,"&gt;="&amp;M143),'FIRE TEX 5120'!$H$4:$M$40,IF(L143="F-15",2,IF(L143="F-30",3,IF(L143="F-60",4,IF(L143="F-90",5,IF(L143="F-120",6,0))))),0),0)+IF(AND(O143="FIRE TEX 5120",E143="CJ"),VLOOKUP(_xlfn.MINIFS('FIRE TEX 5120'!$O$5:$O$40,'FIRE TEX 5120'!$O$5:$O$40,"&gt;="&amp;M143),'FIRE TEX 5120'!$O$5:$T$40,IF(L143="F-15",2,IF(L143="F-30",3,IF(L143="F-60",4,IF(L143="F-90",5,IF(L143="F-120",6,0))))),0),0)</f>
        <v>0</v>
      </c>
      <c r="Q143" s="46">
        <f t="shared" si="18"/>
        <v>0</v>
      </c>
      <c r="R143" s="46">
        <f t="shared" si="20"/>
        <v>0</v>
      </c>
      <c r="S143" s="46" t="e">
        <f t="shared" si="19"/>
        <v>#VALUE!</v>
      </c>
      <c r="T143" s="677">
        <f t="shared" si="21"/>
        <v>0</v>
      </c>
      <c r="U143" s="80">
        <f>(IF(O143="Stofire",(S143*#REF!),0))+(IF(O143="Fire Control",(S143*$U$2),0))+(IF(O143="Fire Tex",(S143*$U$3),0))+(IF(O143="WB7",(S143*#REF!),0)+(IF(O143="FX 2003",(S143*$U$5),0)))</f>
        <v>0</v>
      </c>
      <c r="V143" s="651">
        <f t="shared" si="22"/>
        <v>0</v>
      </c>
      <c r="W143" s="4"/>
    </row>
    <row r="144" spans="1:23" x14ac:dyDescent="0.25">
      <c r="A144" s="652" t="s">
        <v>452</v>
      </c>
      <c r="B144" s="653" t="s">
        <v>453</v>
      </c>
      <c r="C144" s="1" t="s">
        <v>454</v>
      </c>
      <c r="D144" s="118">
        <f>+CUBICACION!D143</f>
        <v>0</v>
      </c>
      <c r="E144" s="118">
        <f>+CUBICACION!F143</f>
        <v>0</v>
      </c>
      <c r="F144" s="118">
        <f>+CUBICACION!E143</f>
        <v>0</v>
      </c>
      <c r="G144" s="118">
        <v>12</v>
      </c>
      <c r="H144" s="118">
        <v>2</v>
      </c>
      <c r="I144" s="820">
        <v>26385</v>
      </c>
      <c r="J144" s="118">
        <f>+CUBICACION!J143</f>
        <v>0</v>
      </c>
      <c r="K144" s="118">
        <v>2923</v>
      </c>
      <c r="L144" s="118">
        <f>+CUBICACION!L143</f>
        <v>0</v>
      </c>
      <c r="M144" s="64">
        <f>+CUBICACION!M143</f>
        <v>0</v>
      </c>
      <c r="N144" s="824" t="str">
        <f>+CUBICACION!N143</f>
        <v/>
      </c>
      <c r="O144" s="675">
        <f>+CUBICACION!O143</f>
        <v>0</v>
      </c>
      <c r="P144" s="15">
        <f>IF(O144="Fire Control",VLOOKUP(_xlfn.MINIFS('FIRE CONTROL'!$C$4:$C$37,'FIRE CONTROL'!$C$4:$C$37,"&gt;="&amp;M144),'FIRE CONTROL'!$C$4:$G$37,IF(L144="F-15",2,IF(L144="F-30",3,IF(L144="F-60",4,IF(L144="F-90",5,0)))),0),0)+IF(AND(O144="FIRE TEX 5062",OR(E144="IN",E144="C",E144="Z",E144="L"),J144=3),VLOOKUP(_xlfn.MINIFS('FIRE TEX 5062'!$B$4:$B$34,'FIRE TEX 5062'!$B$4:$B$34,"&gt;="&amp;M144),'FIRE TEX 5062'!$B$4:$F$34,IF(L144="F-15",2,IF(L144="F-30",3,IF(L144="F-60",4,IF(L144="F-90",5,0)))),0),0)+IF(AND(O144="FIRE TEX 5062",OR(E144="IN",E144="C",E144="Z",E144="L"),J144=4),VLOOKUP(_xlfn.MINIFS('FIRE TEX 5062'!$G$4:$G$34,'FIRE TEX 5062'!$G$4:$G$34,"&gt;="&amp;M144),'FIRE TEX 5062'!$G$4:$K$34,IF(L144="F-15",2,IF(L144="F-30",3,IF(L144="F-60",4,IF(L144="F-90",5,0)))),0),0)+IF(AND(O144="FIRE TEX 5062",E144="CJ",J144=3),VLOOKUP(_xlfn.MINIFS('FIRE TEX 5062'!$L$4:$L$34,'FIRE TEX 5062'!$L$4:$L$34,"&gt;="&amp;M144),'FIRE TEX 5062'!$L$4:$P$34,IF(L144="F-15",2,IF(L144="F-30",3,IF(L144="F-60",4,IF(L144="F-90",5,0)))),0),0)+IF(AND(O144="FIRE TEX 5062",E144="CJ",J144=4),VLOOKUP(_xlfn.MINIFS('FIRE TEX 5062'!$Q$3:$Q$34,'FIRE TEX 5062'!$Q$3:$Q$34,"&gt;="&amp;M144),'FIRE TEX 5062'!$Q$3:$U$34,IF(L144="F-15",2,IF(L144="F-30",3,IF(L144="F-60",4,IF(L144="F-90",5,0)))),0),0)+IF(AND(O144="FIRE TEX 5090",OR(E144="IN",E144="C",E144="Z",E144="L"),J144=3),VLOOKUP(_xlfn.MINIFS('FIRE TEX 5090'!$B$5:$B$43,'FIRE TEX 5090'!$B$5:$B$43,"&gt;="&amp;M144),'FIRE TEX 5090'!$B$5:$H$43,IF(L144="F-15",2,IF(L144="F-30",3,IF(L144="F-60",4,IF(L144="F-90",5,IF(L144="F-120",6,IF(L144="F-150",7,0)))))),0),0)+IF(AND(O144="FIRE TEX 5090",OR(E144="IN",E144="C",E144="Z",E144="L"),J144=4),VLOOKUP(_xlfn.MINIFS('FIRE TEX 5090'!$J$5:$J$43,'FIRE TEX 5090'!$J$5:$J$43,"&gt;="&amp;M144),'FIRE TEX 5090'!$J$5:$P$43,IF(L144="F-15",2,IF(L144="F-30",3,IF(L144="F-60",4,IF(L144="F-90",5,IF(L144="F-120",6,IF(L144="F-150",7,0)))))),0),0)+IF(AND(O144="FIRE TEX 5090",E144="CJ",J144=3),VLOOKUP(_xlfn.MINIFS('FIRE TEX 5090'!$R$5:$R$30,'FIRE TEX 5090'!$R$5:$R$30,"&gt;="&amp;M144),'FIRE TEX 5090'!$R$5:$W$30,IF(L144="F-15",2,IF(L144="F-30",3,IF(L144="F-60",4,IF(L144="F-90",5,IF(L144="F-120",6,IF(L144="F-150",7,0)))))),0),0)+IF(AND(O144="FIRE TEX 5090",E144="CJ",J144=4),VLOOKUP(_xlfn.MINIFS('FIRE TEX 5090'!$Y$5:$Y$39,'FIRE TEX 5090'!$Y$5:$Y$39,"&gt;="&amp;M144),'FIRE TEX 5090'!$Y$5:$AD$39,IF(L144="F-15",2,IF(L144="F-30",3,IF(L144="F-60",4,IF(L144="F-90",5,IF(L144="F-120",6,IF(L144="F-150",7,0)))))),0),0)+IF(AND(O144="FIRE TEX 5120",OR(E144="IN",E144="C",E144="Z",E144="L"),J144=3),VLOOKUP(_xlfn.MINIFS('FIRE TEX 5120'!$B$5:$B$40,'FIRE TEX 5120'!$B$5:$B$40,"&gt;="&amp;M144),'FIRE TEX 5120'!$B$5:$G$40,IF(L144="F-15",2,IF(L144="F-30",3,IF(L144="F-60",4,IF(L144="F-90",5,IF(L144="F-120",6,0))))),0),0)+IF(AND(O144="FIRE TEX 5120",OR(E144="IN",E144="C",E144="Z",E144="L"),J144=4),VLOOKUP(_xlfn.MINIFS('FIRE TEX 5120'!$H$4:$H$40,'FIRE TEX 5120'!$H$4:$H$40,"&gt;="&amp;M144),'FIRE TEX 5120'!$H$4:$M$40,IF(L144="F-15",2,IF(L144="F-30",3,IF(L144="F-60",4,IF(L144="F-90",5,IF(L144="F-120",6,0))))),0),0)+IF(AND(O144="FIRE TEX 5120",E144="CJ"),VLOOKUP(_xlfn.MINIFS('FIRE TEX 5120'!$O$5:$O$40,'FIRE TEX 5120'!$O$5:$O$40,"&gt;="&amp;M144),'FIRE TEX 5120'!$O$5:$T$40,IF(L144="F-15",2,IF(L144="F-30",3,IF(L144="F-60",4,IF(L144="F-90",5,IF(L144="F-120",6,0))))),0),0)</f>
        <v>0</v>
      </c>
      <c r="Q144" s="46">
        <f t="shared" si="18"/>
        <v>0</v>
      </c>
      <c r="R144" s="46">
        <f t="shared" si="20"/>
        <v>0</v>
      </c>
      <c r="S144" s="46" t="e">
        <f t="shared" si="19"/>
        <v>#VALUE!</v>
      </c>
      <c r="T144" s="677">
        <f t="shared" si="21"/>
        <v>0</v>
      </c>
      <c r="U144" s="80">
        <f>(IF(O144="Stofire",(S144*#REF!),0))+(IF(O144="Fire Control",(S144*$U$2),0))+(IF(O144="Fire Tex",(S144*$U$3),0))+(IF(O144="WB7",(S144*#REF!),0)+(IF(O144="FX 2003",(S144*$U$5),0)))</f>
        <v>0</v>
      </c>
      <c r="V144" s="651">
        <f t="shared" si="22"/>
        <v>0</v>
      </c>
      <c r="W144" s="4"/>
    </row>
    <row r="145" spans="1:23" x14ac:dyDescent="0.25">
      <c r="A145" s="652" t="s">
        <v>452</v>
      </c>
      <c r="B145" s="653" t="s">
        <v>453</v>
      </c>
      <c r="C145" s="1" t="s">
        <v>408</v>
      </c>
      <c r="D145" s="118">
        <f>+CUBICACION!D144</f>
        <v>0</v>
      </c>
      <c r="E145" s="118">
        <f>+CUBICACION!F144</f>
        <v>0</v>
      </c>
      <c r="F145" s="118">
        <f>+CUBICACION!E144</f>
        <v>0</v>
      </c>
      <c r="G145" s="118">
        <v>12</v>
      </c>
      <c r="H145" s="118">
        <v>2</v>
      </c>
      <c r="I145" s="820">
        <v>26385</v>
      </c>
      <c r="J145" s="118">
        <f>+CUBICACION!J144</f>
        <v>0</v>
      </c>
      <c r="K145" s="118">
        <v>2924</v>
      </c>
      <c r="L145" s="118">
        <f>+CUBICACION!L144</f>
        <v>0</v>
      </c>
      <c r="M145" s="64">
        <f>+CUBICACION!M144</f>
        <v>0</v>
      </c>
      <c r="N145" s="824" t="str">
        <f>+CUBICACION!N144</f>
        <v/>
      </c>
      <c r="O145" s="675">
        <f>+CUBICACION!O144</f>
        <v>0</v>
      </c>
      <c r="P145" s="15">
        <f>IF(O145="Fire Control",VLOOKUP(_xlfn.MINIFS('FIRE CONTROL'!$C$4:$C$37,'FIRE CONTROL'!$C$4:$C$37,"&gt;="&amp;M145),'FIRE CONTROL'!$C$4:$G$37,IF(L145="F-15",2,IF(L145="F-30",3,IF(L145="F-60",4,IF(L145="F-90",5,0)))),0),0)+IF(AND(O145="FIRE TEX 5062",OR(E145="IN",E145="C",E145="Z",E145="L"),J145=3),VLOOKUP(_xlfn.MINIFS('FIRE TEX 5062'!$B$4:$B$34,'FIRE TEX 5062'!$B$4:$B$34,"&gt;="&amp;M145),'FIRE TEX 5062'!$B$4:$F$34,IF(L145="F-15",2,IF(L145="F-30",3,IF(L145="F-60",4,IF(L145="F-90",5,0)))),0),0)+IF(AND(O145="FIRE TEX 5062",OR(E145="IN",E145="C",E145="Z",E145="L"),J145=4),VLOOKUP(_xlfn.MINIFS('FIRE TEX 5062'!$G$4:$G$34,'FIRE TEX 5062'!$G$4:$G$34,"&gt;="&amp;M145),'FIRE TEX 5062'!$G$4:$K$34,IF(L145="F-15",2,IF(L145="F-30",3,IF(L145="F-60",4,IF(L145="F-90",5,0)))),0),0)+IF(AND(O145="FIRE TEX 5062",E145="CJ",J145=3),VLOOKUP(_xlfn.MINIFS('FIRE TEX 5062'!$L$4:$L$34,'FIRE TEX 5062'!$L$4:$L$34,"&gt;="&amp;M145),'FIRE TEX 5062'!$L$4:$P$34,IF(L145="F-15",2,IF(L145="F-30",3,IF(L145="F-60",4,IF(L145="F-90",5,0)))),0),0)+IF(AND(O145="FIRE TEX 5062",E145="CJ",J145=4),VLOOKUP(_xlfn.MINIFS('FIRE TEX 5062'!$Q$3:$Q$34,'FIRE TEX 5062'!$Q$3:$Q$34,"&gt;="&amp;M145),'FIRE TEX 5062'!$Q$3:$U$34,IF(L145="F-15",2,IF(L145="F-30",3,IF(L145="F-60",4,IF(L145="F-90",5,0)))),0),0)+IF(AND(O145="FIRE TEX 5090",OR(E145="IN",E145="C",E145="Z",E145="L"),J145=3),VLOOKUP(_xlfn.MINIFS('FIRE TEX 5090'!$B$5:$B$43,'FIRE TEX 5090'!$B$5:$B$43,"&gt;="&amp;M145),'FIRE TEX 5090'!$B$5:$H$43,IF(L145="F-15",2,IF(L145="F-30",3,IF(L145="F-60",4,IF(L145="F-90",5,IF(L145="F-120",6,IF(L145="F-150",7,0)))))),0),0)+IF(AND(O145="FIRE TEX 5090",OR(E145="IN",E145="C",E145="Z",E145="L"),J145=4),VLOOKUP(_xlfn.MINIFS('FIRE TEX 5090'!$J$5:$J$43,'FIRE TEX 5090'!$J$5:$J$43,"&gt;="&amp;M145),'FIRE TEX 5090'!$J$5:$P$43,IF(L145="F-15",2,IF(L145="F-30",3,IF(L145="F-60",4,IF(L145="F-90",5,IF(L145="F-120",6,IF(L145="F-150",7,0)))))),0),0)+IF(AND(O145="FIRE TEX 5090",E145="CJ",J145=3),VLOOKUP(_xlfn.MINIFS('FIRE TEX 5090'!$R$5:$R$30,'FIRE TEX 5090'!$R$5:$R$30,"&gt;="&amp;M145),'FIRE TEX 5090'!$R$5:$W$30,IF(L145="F-15",2,IF(L145="F-30",3,IF(L145="F-60",4,IF(L145="F-90",5,IF(L145="F-120",6,IF(L145="F-150",7,0)))))),0),0)+IF(AND(O145="FIRE TEX 5090",E145="CJ",J145=4),VLOOKUP(_xlfn.MINIFS('FIRE TEX 5090'!$Y$5:$Y$39,'FIRE TEX 5090'!$Y$5:$Y$39,"&gt;="&amp;M145),'FIRE TEX 5090'!$Y$5:$AD$39,IF(L145="F-15",2,IF(L145="F-30",3,IF(L145="F-60",4,IF(L145="F-90",5,IF(L145="F-120",6,IF(L145="F-150",7,0)))))),0),0)+IF(AND(O145="FIRE TEX 5120",OR(E145="IN",E145="C",E145="Z",E145="L"),J145=3),VLOOKUP(_xlfn.MINIFS('FIRE TEX 5120'!$B$5:$B$40,'FIRE TEX 5120'!$B$5:$B$40,"&gt;="&amp;M145),'FIRE TEX 5120'!$B$5:$G$40,IF(L145="F-15",2,IF(L145="F-30",3,IF(L145="F-60",4,IF(L145="F-90",5,IF(L145="F-120",6,0))))),0),0)+IF(AND(O145="FIRE TEX 5120",OR(E145="IN",E145="C",E145="Z",E145="L"),J145=4),VLOOKUP(_xlfn.MINIFS('FIRE TEX 5120'!$H$4:$H$40,'FIRE TEX 5120'!$H$4:$H$40,"&gt;="&amp;M145),'FIRE TEX 5120'!$H$4:$M$40,IF(L145="F-15",2,IF(L145="F-30",3,IF(L145="F-60",4,IF(L145="F-90",5,IF(L145="F-120",6,0))))),0),0)+IF(AND(O145="FIRE TEX 5120",E145="CJ"),VLOOKUP(_xlfn.MINIFS('FIRE TEX 5120'!$O$5:$O$40,'FIRE TEX 5120'!$O$5:$O$40,"&gt;="&amp;M145),'FIRE TEX 5120'!$O$5:$T$40,IF(L145="F-15",2,IF(L145="F-30",3,IF(L145="F-60",4,IF(L145="F-90",5,IF(L145="F-120",6,0))))),0),0)</f>
        <v>0</v>
      </c>
      <c r="Q145" s="46">
        <f t="shared" si="18"/>
        <v>0</v>
      </c>
      <c r="R145" s="46">
        <f t="shared" si="20"/>
        <v>0</v>
      </c>
      <c r="S145" s="46" t="e">
        <f t="shared" si="19"/>
        <v>#VALUE!</v>
      </c>
      <c r="T145" s="677">
        <f t="shared" si="21"/>
        <v>0</v>
      </c>
      <c r="U145" s="80">
        <f>(IF(O145="Stofire",(S145*#REF!),0))+(IF(O145="Fire Control",(S145*$U$2),0))+(IF(O145="Fire Tex",(S145*$U$3),0))+(IF(O145="WB7",(S145*#REF!),0)+(IF(O145="FX 2003",(S145*$U$5),0)))</f>
        <v>0</v>
      </c>
      <c r="V145" s="651">
        <f t="shared" si="22"/>
        <v>0</v>
      </c>
      <c r="W145" s="4"/>
    </row>
    <row r="146" spans="1:23" x14ac:dyDescent="0.25">
      <c r="A146" s="652" t="s">
        <v>452</v>
      </c>
      <c r="B146" s="653" t="s">
        <v>453</v>
      </c>
      <c r="C146" s="1" t="s">
        <v>408</v>
      </c>
      <c r="D146" s="118">
        <f>+CUBICACION!D145</f>
        <v>0</v>
      </c>
      <c r="E146" s="118">
        <f>+CUBICACION!F145</f>
        <v>0</v>
      </c>
      <c r="F146" s="118">
        <f>+CUBICACION!E145</f>
        <v>0</v>
      </c>
      <c r="G146" s="118">
        <v>12</v>
      </c>
      <c r="H146" s="118">
        <v>2</v>
      </c>
      <c r="I146" s="820">
        <v>26385</v>
      </c>
      <c r="J146" s="118">
        <f>+CUBICACION!J145</f>
        <v>0</v>
      </c>
      <c r="K146" s="118">
        <v>2925</v>
      </c>
      <c r="L146" s="118">
        <f>+CUBICACION!L145</f>
        <v>0</v>
      </c>
      <c r="M146" s="64">
        <f>+CUBICACION!M145</f>
        <v>0</v>
      </c>
      <c r="N146" s="824" t="str">
        <f>+CUBICACION!N145</f>
        <v/>
      </c>
      <c r="O146" s="675">
        <f>+CUBICACION!O145</f>
        <v>0</v>
      </c>
      <c r="P146" s="15">
        <f>IF(O146="Fire Control",VLOOKUP(_xlfn.MINIFS('FIRE CONTROL'!$C$4:$C$37,'FIRE CONTROL'!$C$4:$C$37,"&gt;="&amp;M146),'FIRE CONTROL'!$C$4:$G$37,IF(L146="F-15",2,IF(L146="F-30",3,IF(L146="F-60",4,IF(L146="F-90",5,0)))),0),0)+IF(AND(O146="FIRE TEX 5062",OR(E146="IN",E146="C",E146="Z",E146="L"),J146=3),VLOOKUP(_xlfn.MINIFS('FIRE TEX 5062'!$B$4:$B$34,'FIRE TEX 5062'!$B$4:$B$34,"&gt;="&amp;M146),'FIRE TEX 5062'!$B$4:$F$34,IF(L146="F-15",2,IF(L146="F-30",3,IF(L146="F-60",4,IF(L146="F-90",5,0)))),0),0)+IF(AND(O146="FIRE TEX 5062",OR(E146="IN",E146="C",E146="Z",E146="L"),J146=4),VLOOKUP(_xlfn.MINIFS('FIRE TEX 5062'!$G$4:$G$34,'FIRE TEX 5062'!$G$4:$G$34,"&gt;="&amp;M146),'FIRE TEX 5062'!$G$4:$K$34,IF(L146="F-15",2,IF(L146="F-30",3,IF(L146="F-60",4,IF(L146="F-90",5,0)))),0),0)+IF(AND(O146="FIRE TEX 5062",E146="CJ",J146=3),VLOOKUP(_xlfn.MINIFS('FIRE TEX 5062'!$L$4:$L$34,'FIRE TEX 5062'!$L$4:$L$34,"&gt;="&amp;M146),'FIRE TEX 5062'!$L$4:$P$34,IF(L146="F-15",2,IF(L146="F-30",3,IF(L146="F-60",4,IF(L146="F-90",5,0)))),0),0)+IF(AND(O146="FIRE TEX 5062",E146="CJ",J146=4),VLOOKUP(_xlfn.MINIFS('FIRE TEX 5062'!$Q$3:$Q$34,'FIRE TEX 5062'!$Q$3:$Q$34,"&gt;="&amp;M146),'FIRE TEX 5062'!$Q$3:$U$34,IF(L146="F-15",2,IF(L146="F-30",3,IF(L146="F-60",4,IF(L146="F-90",5,0)))),0),0)+IF(AND(O146="FIRE TEX 5090",OR(E146="IN",E146="C",E146="Z",E146="L"),J146=3),VLOOKUP(_xlfn.MINIFS('FIRE TEX 5090'!$B$5:$B$43,'FIRE TEX 5090'!$B$5:$B$43,"&gt;="&amp;M146),'FIRE TEX 5090'!$B$5:$H$43,IF(L146="F-15",2,IF(L146="F-30",3,IF(L146="F-60",4,IF(L146="F-90",5,IF(L146="F-120",6,IF(L146="F-150",7,0)))))),0),0)+IF(AND(O146="FIRE TEX 5090",OR(E146="IN",E146="C",E146="Z",E146="L"),J146=4),VLOOKUP(_xlfn.MINIFS('FIRE TEX 5090'!$J$5:$J$43,'FIRE TEX 5090'!$J$5:$J$43,"&gt;="&amp;M146),'FIRE TEX 5090'!$J$5:$P$43,IF(L146="F-15",2,IF(L146="F-30",3,IF(L146="F-60",4,IF(L146="F-90",5,IF(L146="F-120",6,IF(L146="F-150",7,0)))))),0),0)+IF(AND(O146="FIRE TEX 5090",E146="CJ",J146=3),VLOOKUP(_xlfn.MINIFS('FIRE TEX 5090'!$R$5:$R$30,'FIRE TEX 5090'!$R$5:$R$30,"&gt;="&amp;M146),'FIRE TEX 5090'!$R$5:$W$30,IF(L146="F-15",2,IF(L146="F-30",3,IF(L146="F-60",4,IF(L146="F-90",5,IF(L146="F-120",6,IF(L146="F-150",7,0)))))),0),0)+IF(AND(O146="FIRE TEX 5090",E146="CJ",J146=4),VLOOKUP(_xlfn.MINIFS('FIRE TEX 5090'!$Y$5:$Y$39,'FIRE TEX 5090'!$Y$5:$Y$39,"&gt;="&amp;M146),'FIRE TEX 5090'!$Y$5:$AD$39,IF(L146="F-15",2,IF(L146="F-30",3,IF(L146="F-60",4,IF(L146="F-90",5,IF(L146="F-120",6,IF(L146="F-150",7,0)))))),0),0)+IF(AND(O146="FIRE TEX 5120",OR(E146="IN",E146="C",E146="Z",E146="L"),J146=3),VLOOKUP(_xlfn.MINIFS('FIRE TEX 5120'!$B$5:$B$40,'FIRE TEX 5120'!$B$5:$B$40,"&gt;="&amp;M146),'FIRE TEX 5120'!$B$5:$G$40,IF(L146="F-15",2,IF(L146="F-30",3,IF(L146="F-60",4,IF(L146="F-90",5,IF(L146="F-120",6,0))))),0),0)+IF(AND(O146="FIRE TEX 5120",OR(E146="IN",E146="C",E146="Z",E146="L"),J146=4),VLOOKUP(_xlfn.MINIFS('FIRE TEX 5120'!$H$4:$H$40,'FIRE TEX 5120'!$H$4:$H$40,"&gt;="&amp;M146),'FIRE TEX 5120'!$H$4:$M$40,IF(L146="F-15",2,IF(L146="F-30",3,IF(L146="F-60",4,IF(L146="F-90",5,IF(L146="F-120",6,0))))),0),0)+IF(AND(O146="FIRE TEX 5120",E146="CJ"),VLOOKUP(_xlfn.MINIFS('FIRE TEX 5120'!$O$5:$O$40,'FIRE TEX 5120'!$O$5:$O$40,"&gt;="&amp;M146),'FIRE TEX 5120'!$O$5:$T$40,IF(L146="F-15",2,IF(L146="F-30",3,IF(L146="F-60",4,IF(L146="F-90",5,IF(L146="F-120",6,0))))),0),0)</f>
        <v>0</v>
      </c>
      <c r="Q146" s="46">
        <f t="shared" si="18"/>
        <v>0</v>
      </c>
      <c r="R146" s="46">
        <f t="shared" si="20"/>
        <v>0</v>
      </c>
      <c r="S146" s="46" t="e">
        <f t="shared" si="19"/>
        <v>#VALUE!</v>
      </c>
      <c r="T146" s="677">
        <f t="shared" si="21"/>
        <v>0</v>
      </c>
      <c r="U146" s="80">
        <f>(IF(O146="Stofire",(S146*#REF!),0))+(IF(O146="Fire Control",(S146*$U$2),0))+(IF(O146="Fire Tex",(S146*$U$3),0))+(IF(O146="WB7",(S146*#REF!),0)+(IF(O146="FX 2003",(S146*$U$5),0)))</f>
        <v>0</v>
      </c>
      <c r="V146" s="651">
        <f t="shared" si="22"/>
        <v>0</v>
      </c>
      <c r="W146" s="4"/>
    </row>
    <row r="147" spans="1:23" x14ac:dyDescent="0.25">
      <c r="A147" s="652" t="s">
        <v>456</v>
      </c>
      <c r="B147" s="653" t="s">
        <v>453</v>
      </c>
      <c r="C147" s="1" t="s">
        <v>457</v>
      </c>
      <c r="D147" s="118">
        <f>+CUBICACION!D146</f>
        <v>0</v>
      </c>
      <c r="E147" s="118">
        <f>+CUBICACION!F146</f>
        <v>0</v>
      </c>
      <c r="F147" s="118">
        <f>+CUBICACION!E146</f>
        <v>0</v>
      </c>
      <c r="G147" s="118">
        <v>12</v>
      </c>
      <c r="H147" s="118">
        <v>2</v>
      </c>
      <c r="I147" s="820">
        <v>26385</v>
      </c>
      <c r="J147" s="118">
        <f>+CUBICACION!J146</f>
        <v>0</v>
      </c>
      <c r="K147" s="118">
        <v>2926</v>
      </c>
      <c r="L147" s="118">
        <f>+CUBICACION!L146</f>
        <v>0</v>
      </c>
      <c r="M147" s="64">
        <f>+CUBICACION!M146</f>
        <v>0</v>
      </c>
      <c r="N147" s="824" t="str">
        <f>+CUBICACION!N146</f>
        <v/>
      </c>
      <c r="O147" s="675">
        <f>+CUBICACION!O146</f>
        <v>0</v>
      </c>
      <c r="P147" s="15">
        <f>IF(O147="Fire Control",VLOOKUP(_xlfn.MINIFS('FIRE CONTROL'!$C$4:$C$37,'FIRE CONTROL'!$C$4:$C$37,"&gt;="&amp;M147),'FIRE CONTROL'!$C$4:$G$37,IF(L147="F-15",2,IF(L147="F-30",3,IF(L147="F-60",4,IF(L147="F-90",5,0)))),0),0)+IF(AND(O147="FIRE TEX 5062",OR(E147="IN",E147="C",E147="Z",E147="L"),J147=3),VLOOKUP(_xlfn.MINIFS('FIRE TEX 5062'!$B$4:$B$34,'FIRE TEX 5062'!$B$4:$B$34,"&gt;="&amp;M147),'FIRE TEX 5062'!$B$4:$F$34,IF(L147="F-15",2,IF(L147="F-30",3,IF(L147="F-60",4,IF(L147="F-90",5,0)))),0),0)+IF(AND(O147="FIRE TEX 5062",OR(E147="IN",E147="C",E147="Z",E147="L"),J147=4),VLOOKUP(_xlfn.MINIFS('FIRE TEX 5062'!$G$4:$G$34,'FIRE TEX 5062'!$G$4:$G$34,"&gt;="&amp;M147),'FIRE TEX 5062'!$G$4:$K$34,IF(L147="F-15",2,IF(L147="F-30",3,IF(L147="F-60",4,IF(L147="F-90",5,0)))),0),0)+IF(AND(O147="FIRE TEX 5062",E147="CJ",J147=3),VLOOKUP(_xlfn.MINIFS('FIRE TEX 5062'!$L$4:$L$34,'FIRE TEX 5062'!$L$4:$L$34,"&gt;="&amp;M147),'FIRE TEX 5062'!$L$4:$P$34,IF(L147="F-15",2,IF(L147="F-30",3,IF(L147="F-60",4,IF(L147="F-90",5,0)))),0),0)+IF(AND(O147="FIRE TEX 5062",E147="CJ",J147=4),VLOOKUP(_xlfn.MINIFS('FIRE TEX 5062'!$Q$3:$Q$34,'FIRE TEX 5062'!$Q$3:$Q$34,"&gt;="&amp;M147),'FIRE TEX 5062'!$Q$3:$U$34,IF(L147="F-15",2,IF(L147="F-30",3,IF(L147="F-60",4,IF(L147="F-90",5,0)))),0),0)+IF(AND(O147="FIRE TEX 5090",OR(E147="IN",E147="C",E147="Z",E147="L"),J147=3),VLOOKUP(_xlfn.MINIFS('FIRE TEX 5090'!$B$5:$B$43,'FIRE TEX 5090'!$B$5:$B$43,"&gt;="&amp;M147),'FIRE TEX 5090'!$B$5:$H$43,IF(L147="F-15",2,IF(L147="F-30",3,IF(L147="F-60",4,IF(L147="F-90",5,IF(L147="F-120",6,IF(L147="F-150",7,0)))))),0),0)+IF(AND(O147="FIRE TEX 5090",OR(E147="IN",E147="C",E147="Z",E147="L"),J147=4),VLOOKUP(_xlfn.MINIFS('FIRE TEX 5090'!$J$5:$J$43,'FIRE TEX 5090'!$J$5:$J$43,"&gt;="&amp;M147),'FIRE TEX 5090'!$J$5:$P$43,IF(L147="F-15",2,IF(L147="F-30",3,IF(L147="F-60",4,IF(L147="F-90",5,IF(L147="F-120",6,IF(L147="F-150",7,0)))))),0),0)+IF(AND(O147="FIRE TEX 5090",E147="CJ",J147=3),VLOOKUP(_xlfn.MINIFS('FIRE TEX 5090'!$R$5:$R$30,'FIRE TEX 5090'!$R$5:$R$30,"&gt;="&amp;M147),'FIRE TEX 5090'!$R$5:$W$30,IF(L147="F-15",2,IF(L147="F-30",3,IF(L147="F-60",4,IF(L147="F-90",5,IF(L147="F-120",6,IF(L147="F-150",7,0)))))),0),0)+IF(AND(O147="FIRE TEX 5090",E147="CJ",J147=4),VLOOKUP(_xlfn.MINIFS('FIRE TEX 5090'!$Y$5:$Y$39,'FIRE TEX 5090'!$Y$5:$Y$39,"&gt;="&amp;M147),'FIRE TEX 5090'!$Y$5:$AD$39,IF(L147="F-15",2,IF(L147="F-30",3,IF(L147="F-60",4,IF(L147="F-90",5,IF(L147="F-120",6,IF(L147="F-150",7,0)))))),0),0)+IF(AND(O147="FIRE TEX 5120",OR(E147="IN",E147="C",E147="Z",E147="L"),J147=3),VLOOKUP(_xlfn.MINIFS('FIRE TEX 5120'!$B$5:$B$40,'FIRE TEX 5120'!$B$5:$B$40,"&gt;="&amp;M147),'FIRE TEX 5120'!$B$5:$G$40,IF(L147="F-15",2,IF(L147="F-30",3,IF(L147="F-60",4,IF(L147="F-90",5,IF(L147="F-120",6,0))))),0),0)+IF(AND(O147="FIRE TEX 5120",OR(E147="IN",E147="C",E147="Z",E147="L"),J147=4),VLOOKUP(_xlfn.MINIFS('FIRE TEX 5120'!$H$4:$H$40,'FIRE TEX 5120'!$H$4:$H$40,"&gt;="&amp;M147),'FIRE TEX 5120'!$H$4:$M$40,IF(L147="F-15",2,IF(L147="F-30",3,IF(L147="F-60",4,IF(L147="F-90",5,IF(L147="F-120",6,0))))),0),0)+IF(AND(O147="FIRE TEX 5120",E147="CJ"),VLOOKUP(_xlfn.MINIFS('FIRE TEX 5120'!$O$5:$O$40,'FIRE TEX 5120'!$O$5:$O$40,"&gt;="&amp;M147),'FIRE TEX 5120'!$O$5:$T$40,IF(L147="F-15",2,IF(L147="F-30",3,IF(L147="F-60",4,IF(L147="F-90",5,IF(L147="F-120",6,0))))),0),0)</f>
        <v>0</v>
      </c>
      <c r="Q147" s="46">
        <f t="shared" si="18"/>
        <v>0</v>
      </c>
      <c r="R147" s="46">
        <f t="shared" si="20"/>
        <v>0</v>
      </c>
      <c r="S147" s="46" t="e">
        <f t="shared" si="19"/>
        <v>#VALUE!</v>
      </c>
      <c r="T147" s="677">
        <f t="shared" si="21"/>
        <v>0</v>
      </c>
      <c r="U147" s="80">
        <f>(IF(O147="Stofire",(S147*#REF!),0))+(IF(O147="Fire Control",(S147*$U$2),0))+(IF(O147="Fire Tex",(S147*$U$3),0))+(IF(O147="WB7",(S147*#REF!),0)+(IF(O147="FX 2003",(S147*$U$5),0)))</f>
        <v>0</v>
      </c>
      <c r="V147" s="651">
        <f t="shared" si="22"/>
        <v>0</v>
      </c>
      <c r="W147" s="4"/>
    </row>
    <row r="148" spans="1:23" x14ac:dyDescent="0.25">
      <c r="A148" s="652" t="s">
        <v>456</v>
      </c>
      <c r="B148" s="653" t="s">
        <v>453</v>
      </c>
      <c r="C148" s="1" t="s">
        <v>408</v>
      </c>
      <c r="D148" s="118">
        <f>+CUBICACION!D147</f>
        <v>0</v>
      </c>
      <c r="E148" s="118">
        <f>+CUBICACION!F147</f>
        <v>0</v>
      </c>
      <c r="F148" s="118">
        <f>+CUBICACION!E147</f>
        <v>0</v>
      </c>
      <c r="G148" s="118">
        <v>12</v>
      </c>
      <c r="H148" s="118">
        <v>2</v>
      </c>
      <c r="I148" s="820">
        <v>26385</v>
      </c>
      <c r="J148" s="118">
        <f>+CUBICACION!J147</f>
        <v>0</v>
      </c>
      <c r="K148" s="118">
        <v>2927</v>
      </c>
      <c r="L148" s="118">
        <f>+CUBICACION!L147</f>
        <v>0</v>
      </c>
      <c r="M148" s="64">
        <f>+CUBICACION!M147</f>
        <v>0</v>
      </c>
      <c r="N148" s="824" t="str">
        <f>+CUBICACION!N147</f>
        <v/>
      </c>
      <c r="O148" s="675">
        <f>+CUBICACION!O147</f>
        <v>0</v>
      </c>
      <c r="P148" s="15">
        <f>IF(O148="Fire Control",VLOOKUP(_xlfn.MINIFS('FIRE CONTROL'!$C$4:$C$37,'FIRE CONTROL'!$C$4:$C$37,"&gt;="&amp;M148),'FIRE CONTROL'!$C$4:$G$37,IF(L148="F-15",2,IF(L148="F-30",3,IF(L148="F-60",4,IF(L148="F-90",5,0)))),0),0)+IF(AND(O148="FIRE TEX 5062",OR(E148="IN",E148="C",E148="Z",E148="L"),J148=3),VLOOKUP(_xlfn.MINIFS('FIRE TEX 5062'!$B$4:$B$34,'FIRE TEX 5062'!$B$4:$B$34,"&gt;="&amp;M148),'FIRE TEX 5062'!$B$4:$F$34,IF(L148="F-15",2,IF(L148="F-30",3,IF(L148="F-60",4,IF(L148="F-90",5,0)))),0),0)+IF(AND(O148="FIRE TEX 5062",OR(E148="IN",E148="C",E148="Z",E148="L"),J148=4),VLOOKUP(_xlfn.MINIFS('FIRE TEX 5062'!$G$4:$G$34,'FIRE TEX 5062'!$G$4:$G$34,"&gt;="&amp;M148),'FIRE TEX 5062'!$G$4:$K$34,IF(L148="F-15",2,IF(L148="F-30",3,IF(L148="F-60",4,IF(L148="F-90",5,0)))),0),0)+IF(AND(O148="FIRE TEX 5062",E148="CJ",J148=3),VLOOKUP(_xlfn.MINIFS('FIRE TEX 5062'!$L$4:$L$34,'FIRE TEX 5062'!$L$4:$L$34,"&gt;="&amp;M148),'FIRE TEX 5062'!$L$4:$P$34,IF(L148="F-15",2,IF(L148="F-30",3,IF(L148="F-60",4,IF(L148="F-90",5,0)))),0),0)+IF(AND(O148="FIRE TEX 5062",E148="CJ",J148=4),VLOOKUP(_xlfn.MINIFS('FIRE TEX 5062'!$Q$3:$Q$34,'FIRE TEX 5062'!$Q$3:$Q$34,"&gt;="&amp;M148),'FIRE TEX 5062'!$Q$3:$U$34,IF(L148="F-15",2,IF(L148="F-30",3,IF(L148="F-60",4,IF(L148="F-90",5,0)))),0),0)+IF(AND(O148="FIRE TEX 5090",OR(E148="IN",E148="C",E148="Z",E148="L"),J148=3),VLOOKUP(_xlfn.MINIFS('FIRE TEX 5090'!$B$5:$B$43,'FIRE TEX 5090'!$B$5:$B$43,"&gt;="&amp;M148),'FIRE TEX 5090'!$B$5:$H$43,IF(L148="F-15",2,IF(L148="F-30",3,IF(L148="F-60",4,IF(L148="F-90",5,IF(L148="F-120",6,IF(L148="F-150",7,0)))))),0),0)+IF(AND(O148="FIRE TEX 5090",OR(E148="IN",E148="C",E148="Z",E148="L"),J148=4),VLOOKUP(_xlfn.MINIFS('FIRE TEX 5090'!$J$5:$J$43,'FIRE TEX 5090'!$J$5:$J$43,"&gt;="&amp;M148),'FIRE TEX 5090'!$J$5:$P$43,IF(L148="F-15",2,IF(L148="F-30",3,IF(L148="F-60",4,IF(L148="F-90",5,IF(L148="F-120",6,IF(L148="F-150",7,0)))))),0),0)+IF(AND(O148="FIRE TEX 5090",E148="CJ",J148=3),VLOOKUP(_xlfn.MINIFS('FIRE TEX 5090'!$R$5:$R$30,'FIRE TEX 5090'!$R$5:$R$30,"&gt;="&amp;M148),'FIRE TEX 5090'!$R$5:$W$30,IF(L148="F-15",2,IF(L148="F-30",3,IF(L148="F-60",4,IF(L148="F-90",5,IF(L148="F-120",6,IF(L148="F-150",7,0)))))),0),0)+IF(AND(O148="FIRE TEX 5090",E148="CJ",J148=4),VLOOKUP(_xlfn.MINIFS('FIRE TEX 5090'!$Y$5:$Y$39,'FIRE TEX 5090'!$Y$5:$Y$39,"&gt;="&amp;M148),'FIRE TEX 5090'!$Y$5:$AD$39,IF(L148="F-15",2,IF(L148="F-30",3,IF(L148="F-60",4,IF(L148="F-90",5,IF(L148="F-120",6,IF(L148="F-150",7,0)))))),0),0)+IF(AND(O148="FIRE TEX 5120",OR(E148="IN",E148="C",E148="Z",E148="L"),J148=3),VLOOKUP(_xlfn.MINIFS('FIRE TEX 5120'!$B$5:$B$40,'FIRE TEX 5120'!$B$5:$B$40,"&gt;="&amp;M148),'FIRE TEX 5120'!$B$5:$G$40,IF(L148="F-15",2,IF(L148="F-30",3,IF(L148="F-60",4,IF(L148="F-90",5,IF(L148="F-120",6,0))))),0),0)+IF(AND(O148="FIRE TEX 5120",OR(E148="IN",E148="C",E148="Z",E148="L"),J148=4),VLOOKUP(_xlfn.MINIFS('FIRE TEX 5120'!$H$4:$H$40,'FIRE TEX 5120'!$H$4:$H$40,"&gt;="&amp;M148),'FIRE TEX 5120'!$H$4:$M$40,IF(L148="F-15",2,IF(L148="F-30",3,IF(L148="F-60",4,IF(L148="F-90",5,IF(L148="F-120",6,0))))),0),0)+IF(AND(O148="FIRE TEX 5120",E148="CJ"),VLOOKUP(_xlfn.MINIFS('FIRE TEX 5120'!$O$5:$O$40,'FIRE TEX 5120'!$O$5:$O$40,"&gt;="&amp;M148),'FIRE TEX 5120'!$O$5:$T$40,IF(L148="F-15",2,IF(L148="F-30",3,IF(L148="F-60",4,IF(L148="F-90",5,IF(L148="F-120",6,0))))),0),0)</f>
        <v>0</v>
      </c>
      <c r="Q148" s="46">
        <f t="shared" si="18"/>
        <v>0</v>
      </c>
      <c r="R148" s="46">
        <f t="shared" si="20"/>
        <v>0</v>
      </c>
      <c r="S148" s="46" t="e">
        <f t="shared" si="19"/>
        <v>#VALUE!</v>
      </c>
      <c r="T148" s="677">
        <f t="shared" si="21"/>
        <v>0</v>
      </c>
      <c r="U148" s="80">
        <f>(IF(O148="Stofire",(S148*#REF!),0))+(IF(O148="Fire Control",(S148*$U$2),0))+(IF(O148="Fire Tex",(S148*$U$3),0))+(IF(O148="WB7",(S148*#REF!),0)+(IF(O148="FX 2003",(S148*$U$5),0)))</f>
        <v>0</v>
      </c>
      <c r="V148" s="651">
        <f t="shared" si="22"/>
        <v>0</v>
      </c>
      <c r="W148" s="4"/>
    </row>
    <row r="149" spans="1:23" x14ac:dyDescent="0.25">
      <c r="A149" s="652" t="s">
        <v>456</v>
      </c>
      <c r="B149" s="653" t="s">
        <v>453</v>
      </c>
      <c r="C149" s="1" t="s">
        <v>408</v>
      </c>
      <c r="D149" s="118">
        <f>+CUBICACION!D148</f>
        <v>0</v>
      </c>
      <c r="E149" s="118">
        <f>+CUBICACION!F148</f>
        <v>0</v>
      </c>
      <c r="F149" s="118">
        <f>+CUBICACION!E148</f>
        <v>0</v>
      </c>
      <c r="G149" s="118">
        <v>12</v>
      </c>
      <c r="H149" s="118">
        <v>2</v>
      </c>
      <c r="I149" s="820">
        <v>26385</v>
      </c>
      <c r="J149" s="118">
        <f>+CUBICACION!J148</f>
        <v>0</v>
      </c>
      <c r="K149" s="118">
        <v>2928</v>
      </c>
      <c r="L149" s="118">
        <f>+CUBICACION!L148</f>
        <v>0</v>
      </c>
      <c r="M149" s="64">
        <f>+CUBICACION!M148</f>
        <v>0</v>
      </c>
      <c r="N149" s="824" t="str">
        <f>+CUBICACION!N148</f>
        <v/>
      </c>
      <c r="O149" s="675">
        <f>+CUBICACION!O148</f>
        <v>0</v>
      </c>
      <c r="P149" s="15">
        <f>IF(O149="Fire Control",VLOOKUP(_xlfn.MINIFS('FIRE CONTROL'!$C$4:$C$37,'FIRE CONTROL'!$C$4:$C$37,"&gt;="&amp;M149),'FIRE CONTROL'!$C$4:$G$37,IF(L149="F-15",2,IF(L149="F-30",3,IF(L149="F-60",4,IF(L149="F-90",5,0)))),0),0)+IF(AND(O149="FIRE TEX 5062",OR(E149="IN",E149="C",E149="Z",E149="L"),J149=3),VLOOKUP(_xlfn.MINIFS('FIRE TEX 5062'!$B$4:$B$34,'FIRE TEX 5062'!$B$4:$B$34,"&gt;="&amp;M149),'FIRE TEX 5062'!$B$4:$F$34,IF(L149="F-15",2,IF(L149="F-30",3,IF(L149="F-60",4,IF(L149="F-90",5,0)))),0),0)+IF(AND(O149="FIRE TEX 5062",OR(E149="IN",E149="C",E149="Z",E149="L"),J149=4),VLOOKUP(_xlfn.MINIFS('FIRE TEX 5062'!$G$4:$G$34,'FIRE TEX 5062'!$G$4:$G$34,"&gt;="&amp;M149),'FIRE TEX 5062'!$G$4:$K$34,IF(L149="F-15",2,IF(L149="F-30",3,IF(L149="F-60",4,IF(L149="F-90",5,0)))),0),0)+IF(AND(O149="FIRE TEX 5062",E149="CJ",J149=3),VLOOKUP(_xlfn.MINIFS('FIRE TEX 5062'!$L$4:$L$34,'FIRE TEX 5062'!$L$4:$L$34,"&gt;="&amp;M149),'FIRE TEX 5062'!$L$4:$P$34,IF(L149="F-15",2,IF(L149="F-30",3,IF(L149="F-60",4,IF(L149="F-90",5,0)))),0),0)+IF(AND(O149="FIRE TEX 5062",E149="CJ",J149=4),VLOOKUP(_xlfn.MINIFS('FIRE TEX 5062'!$Q$3:$Q$34,'FIRE TEX 5062'!$Q$3:$Q$34,"&gt;="&amp;M149),'FIRE TEX 5062'!$Q$3:$U$34,IF(L149="F-15",2,IF(L149="F-30",3,IF(L149="F-60",4,IF(L149="F-90",5,0)))),0),0)+IF(AND(O149="FIRE TEX 5090",OR(E149="IN",E149="C",E149="Z",E149="L"),J149=3),VLOOKUP(_xlfn.MINIFS('FIRE TEX 5090'!$B$5:$B$43,'FIRE TEX 5090'!$B$5:$B$43,"&gt;="&amp;M149),'FIRE TEX 5090'!$B$5:$H$43,IF(L149="F-15",2,IF(L149="F-30",3,IF(L149="F-60",4,IF(L149="F-90",5,IF(L149="F-120",6,IF(L149="F-150",7,0)))))),0),0)+IF(AND(O149="FIRE TEX 5090",OR(E149="IN",E149="C",E149="Z",E149="L"),J149=4),VLOOKUP(_xlfn.MINIFS('FIRE TEX 5090'!$J$5:$J$43,'FIRE TEX 5090'!$J$5:$J$43,"&gt;="&amp;M149),'FIRE TEX 5090'!$J$5:$P$43,IF(L149="F-15",2,IF(L149="F-30",3,IF(L149="F-60",4,IF(L149="F-90",5,IF(L149="F-120",6,IF(L149="F-150",7,0)))))),0),0)+IF(AND(O149="FIRE TEX 5090",E149="CJ",J149=3),VLOOKUP(_xlfn.MINIFS('FIRE TEX 5090'!$R$5:$R$30,'FIRE TEX 5090'!$R$5:$R$30,"&gt;="&amp;M149),'FIRE TEX 5090'!$R$5:$W$30,IF(L149="F-15",2,IF(L149="F-30",3,IF(L149="F-60",4,IF(L149="F-90",5,IF(L149="F-120",6,IF(L149="F-150",7,0)))))),0),0)+IF(AND(O149="FIRE TEX 5090",E149="CJ",J149=4),VLOOKUP(_xlfn.MINIFS('FIRE TEX 5090'!$Y$5:$Y$39,'FIRE TEX 5090'!$Y$5:$Y$39,"&gt;="&amp;M149),'FIRE TEX 5090'!$Y$5:$AD$39,IF(L149="F-15",2,IF(L149="F-30",3,IF(L149="F-60",4,IF(L149="F-90",5,IF(L149="F-120",6,IF(L149="F-150",7,0)))))),0),0)+IF(AND(O149="FIRE TEX 5120",OR(E149="IN",E149="C",E149="Z",E149="L"),J149=3),VLOOKUP(_xlfn.MINIFS('FIRE TEX 5120'!$B$5:$B$40,'FIRE TEX 5120'!$B$5:$B$40,"&gt;="&amp;M149),'FIRE TEX 5120'!$B$5:$G$40,IF(L149="F-15",2,IF(L149="F-30",3,IF(L149="F-60",4,IF(L149="F-90",5,IF(L149="F-120",6,0))))),0),0)+IF(AND(O149="FIRE TEX 5120",OR(E149="IN",E149="C",E149="Z",E149="L"),J149=4),VLOOKUP(_xlfn.MINIFS('FIRE TEX 5120'!$H$4:$H$40,'FIRE TEX 5120'!$H$4:$H$40,"&gt;="&amp;M149),'FIRE TEX 5120'!$H$4:$M$40,IF(L149="F-15",2,IF(L149="F-30",3,IF(L149="F-60",4,IF(L149="F-90",5,IF(L149="F-120",6,0))))),0),0)+IF(AND(O149="FIRE TEX 5120",E149="CJ"),VLOOKUP(_xlfn.MINIFS('FIRE TEX 5120'!$O$5:$O$40,'FIRE TEX 5120'!$O$5:$O$40,"&gt;="&amp;M149),'FIRE TEX 5120'!$O$5:$T$40,IF(L149="F-15",2,IF(L149="F-30",3,IF(L149="F-60",4,IF(L149="F-90",5,IF(L149="F-120",6,0))))),0),0)</f>
        <v>0</v>
      </c>
      <c r="Q149" s="46">
        <f t="shared" si="18"/>
        <v>0</v>
      </c>
      <c r="R149" s="46">
        <f t="shared" si="20"/>
        <v>0</v>
      </c>
      <c r="S149" s="46" t="e">
        <f t="shared" si="19"/>
        <v>#VALUE!</v>
      </c>
      <c r="T149" s="677">
        <f t="shared" si="21"/>
        <v>0</v>
      </c>
      <c r="U149" s="80">
        <f>(IF(O149="Stofire",(S149*#REF!),0))+(IF(O149="Fire Control",(S149*$U$2),0))+(IF(O149="Fire Tex",(S149*$U$3),0))+(IF(O149="WB7",(S149*#REF!),0)+(IF(O149="FX 2003",(S149*$U$5),0)))</f>
        <v>0</v>
      </c>
      <c r="V149" s="651">
        <f t="shared" si="22"/>
        <v>0</v>
      </c>
      <c r="W149" s="4"/>
    </row>
    <row r="150" spans="1:23" x14ac:dyDescent="0.25">
      <c r="A150" s="652" t="s">
        <v>458</v>
      </c>
      <c r="B150" s="653" t="s">
        <v>459</v>
      </c>
      <c r="C150" s="1" t="s">
        <v>460</v>
      </c>
      <c r="D150" s="118">
        <f>+CUBICACION!D149</f>
        <v>0</v>
      </c>
      <c r="E150" s="118">
        <f>+CUBICACION!F149</f>
        <v>0</v>
      </c>
      <c r="F150" s="118">
        <f>+CUBICACION!E149</f>
        <v>0</v>
      </c>
      <c r="G150" s="118">
        <v>12</v>
      </c>
      <c r="H150" s="118">
        <v>2</v>
      </c>
      <c r="I150" s="820">
        <v>26385</v>
      </c>
      <c r="J150" s="118">
        <f>+CUBICACION!J149</f>
        <v>0</v>
      </c>
      <c r="K150" s="118">
        <v>2929</v>
      </c>
      <c r="L150" s="118">
        <f>+CUBICACION!L149</f>
        <v>0</v>
      </c>
      <c r="M150" s="64">
        <f>+CUBICACION!M149</f>
        <v>0</v>
      </c>
      <c r="N150" s="824" t="str">
        <f>+CUBICACION!N149</f>
        <v/>
      </c>
      <c r="O150" s="675">
        <f>+CUBICACION!O149</f>
        <v>0</v>
      </c>
      <c r="P150" s="15">
        <f>IF(O150="Fire Control",VLOOKUP(_xlfn.MINIFS('FIRE CONTROL'!$C$4:$C$37,'FIRE CONTROL'!$C$4:$C$37,"&gt;="&amp;M150),'FIRE CONTROL'!$C$4:$G$37,IF(L150="F-15",2,IF(L150="F-30",3,IF(L150="F-60",4,IF(L150="F-90",5,0)))),0),0)+IF(AND(O150="FIRE TEX 5062",OR(E150="IN",E150="C",E150="Z",E150="L"),J150=3),VLOOKUP(_xlfn.MINIFS('FIRE TEX 5062'!$B$4:$B$34,'FIRE TEX 5062'!$B$4:$B$34,"&gt;="&amp;M150),'FIRE TEX 5062'!$B$4:$F$34,IF(L150="F-15",2,IF(L150="F-30",3,IF(L150="F-60",4,IF(L150="F-90",5,0)))),0),0)+IF(AND(O150="FIRE TEX 5062",OR(E150="IN",E150="C",E150="Z",E150="L"),J150=4),VLOOKUP(_xlfn.MINIFS('FIRE TEX 5062'!$G$4:$G$34,'FIRE TEX 5062'!$G$4:$G$34,"&gt;="&amp;M150),'FIRE TEX 5062'!$G$4:$K$34,IF(L150="F-15",2,IF(L150="F-30",3,IF(L150="F-60",4,IF(L150="F-90",5,0)))),0),0)+IF(AND(O150="FIRE TEX 5062",E150="CJ",J150=3),VLOOKUP(_xlfn.MINIFS('FIRE TEX 5062'!$L$4:$L$34,'FIRE TEX 5062'!$L$4:$L$34,"&gt;="&amp;M150),'FIRE TEX 5062'!$L$4:$P$34,IF(L150="F-15",2,IF(L150="F-30",3,IF(L150="F-60",4,IF(L150="F-90",5,0)))),0),0)+IF(AND(O150="FIRE TEX 5062",E150="CJ",J150=4),VLOOKUP(_xlfn.MINIFS('FIRE TEX 5062'!$Q$3:$Q$34,'FIRE TEX 5062'!$Q$3:$Q$34,"&gt;="&amp;M150),'FIRE TEX 5062'!$Q$3:$U$34,IF(L150="F-15",2,IF(L150="F-30",3,IF(L150="F-60",4,IF(L150="F-90",5,0)))),0),0)+IF(AND(O150="FIRE TEX 5090",OR(E150="IN",E150="C",E150="Z",E150="L"),J150=3),VLOOKUP(_xlfn.MINIFS('FIRE TEX 5090'!$B$5:$B$43,'FIRE TEX 5090'!$B$5:$B$43,"&gt;="&amp;M150),'FIRE TEX 5090'!$B$5:$H$43,IF(L150="F-15",2,IF(L150="F-30",3,IF(L150="F-60",4,IF(L150="F-90",5,IF(L150="F-120",6,IF(L150="F-150",7,0)))))),0),0)+IF(AND(O150="FIRE TEX 5090",OR(E150="IN",E150="C",E150="Z",E150="L"),J150=4),VLOOKUP(_xlfn.MINIFS('FIRE TEX 5090'!$J$5:$J$43,'FIRE TEX 5090'!$J$5:$J$43,"&gt;="&amp;M150),'FIRE TEX 5090'!$J$5:$P$43,IF(L150="F-15",2,IF(L150="F-30",3,IF(L150="F-60",4,IF(L150="F-90",5,IF(L150="F-120",6,IF(L150="F-150",7,0)))))),0),0)+IF(AND(O150="FIRE TEX 5090",E150="CJ",J150=3),VLOOKUP(_xlfn.MINIFS('FIRE TEX 5090'!$R$5:$R$30,'FIRE TEX 5090'!$R$5:$R$30,"&gt;="&amp;M150),'FIRE TEX 5090'!$R$5:$W$30,IF(L150="F-15",2,IF(L150="F-30",3,IF(L150="F-60",4,IF(L150="F-90",5,IF(L150="F-120",6,IF(L150="F-150",7,0)))))),0),0)+IF(AND(O150="FIRE TEX 5090",E150="CJ",J150=4),VLOOKUP(_xlfn.MINIFS('FIRE TEX 5090'!$Y$5:$Y$39,'FIRE TEX 5090'!$Y$5:$Y$39,"&gt;="&amp;M150),'FIRE TEX 5090'!$Y$5:$AD$39,IF(L150="F-15",2,IF(L150="F-30",3,IF(L150="F-60",4,IF(L150="F-90",5,IF(L150="F-120",6,IF(L150="F-150",7,0)))))),0),0)+IF(AND(O150="FIRE TEX 5120",OR(E150="IN",E150="C",E150="Z",E150="L"),J150=3),VLOOKUP(_xlfn.MINIFS('FIRE TEX 5120'!$B$5:$B$40,'FIRE TEX 5120'!$B$5:$B$40,"&gt;="&amp;M150),'FIRE TEX 5120'!$B$5:$G$40,IF(L150="F-15",2,IF(L150="F-30",3,IF(L150="F-60",4,IF(L150="F-90",5,IF(L150="F-120",6,0))))),0),0)+IF(AND(O150="FIRE TEX 5120",OR(E150="IN",E150="C",E150="Z",E150="L"),J150=4),VLOOKUP(_xlfn.MINIFS('FIRE TEX 5120'!$H$4:$H$40,'FIRE TEX 5120'!$H$4:$H$40,"&gt;="&amp;M150),'FIRE TEX 5120'!$H$4:$M$40,IF(L150="F-15",2,IF(L150="F-30",3,IF(L150="F-60",4,IF(L150="F-90",5,IF(L150="F-120",6,0))))),0),0)+IF(AND(O150="FIRE TEX 5120",E150="CJ"),VLOOKUP(_xlfn.MINIFS('FIRE TEX 5120'!$O$5:$O$40,'FIRE TEX 5120'!$O$5:$O$40,"&gt;="&amp;M150),'FIRE TEX 5120'!$O$5:$T$40,IF(L150="F-15",2,IF(L150="F-30",3,IF(L150="F-60",4,IF(L150="F-90",5,IF(L150="F-120",6,0))))),0),0)</f>
        <v>0</v>
      </c>
      <c r="Q150" s="46">
        <f t="shared" si="18"/>
        <v>0</v>
      </c>
      <c r="R150" s="46">
        <f t="shared" si="20"/>
        <v>0</v>
      </c>
      <c r="S150" s="46" t="e">
        <f t="shared" si="19"/>
        <v>#VALUE!</v>
      </c>
      <c r="T150" s="677">
        <f t="shared" si="21"/>
        <v>0</v>
      </c>
      <c r="U150" s="80">
        <f>(IF(O150="Stofire",(S150*#REF!),0))+(IF(O150="Fire Control",(S150*$U$2),0))+(IF(O150="Fire Tex",(S150*$U$3),0))+(IF(O150="WB7",(S150*#REF!),0)+(IF(O150="FX 2003",(S150*$U$5),0)))</f>
        <v>0</v>
      </c>
      <c r="V150" s="651">
        <f t="shared" si="22"/>
        <v>0</v>
      </c>
      <c r="W150" s="4"/>
    </row>
    <row r="151" spans="1:23" x14ac:dyDescent="0.25">
      <c r="A151" s="652" t="s">
        <v>458</v>
      </c>
      <c r="B151" s="653" t="s">
        <v>459</v>
      </c>
      <c r="C151" s="1" t="s">
        <v>408</v>
      </c>
      <c r="D151" s="118">
        <f>+CUBICACION!D150</f>
        <v>0</v>
      </c>
      <c r="E151" s="118">
        <f>+CUBICACION!F150</f>
        <v>0</v>
      </c>
      <c r="F151" s="118">
        <f>+CUBICACION!E150</f>
        <v>0</v>
      </c>
      <c r="G151" s="118">
        <v>12</v>
      </c>
      <c r="H151" s="118">
        <v>2</v>
      </c>
      <c r="I151" s="820">
        <v>26385</v>
      </c>
      <c r="J151" s="118">
        <f>+CUBICACION!J150</f>
        <v>0</v>
      </c>
      <c r="K151" s="118">
        <v>2930</v>
      </c>
      <c r="L151" s="118">
        <f>+CUBICACION!L150</f>
        <v>0</v>
      </c>
      <c r="M151" s="64">
        <f>+CUBICACION!M150</f>
        <v>0</v>
      </c>
      <c r="N151" s="824" t="str">
        <f>+CUBICACION!N150</f>
        <v/>
      </c>
      <c r="O151" s="675">
        <f>+CUBICACION!O150</f>
        <v>0</v>
      </c>
      <c r="P151" s="15">
        <f>IF(O151="Fire Control",VLOOKUP(_xlfn.MINIFS('FIRE CONTROL'!$C$4:$C$37,'FIRE CONTROL'!$C$4:$C$37,"&gt;="&amp;M151),'FIRE CONTROL'!$C$4:$G$37,IF(L151="F-15",2,IF(L151="F-30",3,IF(L151="F-60",4,IF(L151="F-90",5,0)))),0),0)+IF(AND(O151="FIRE TEX 5062",OR(E151="IN",E151="C",E151="Z",E151="L"),J151=3),VLOOKUP(_xlfn.MINIFS('FIRE TEX 5062'!$B$4:$B$34,'FIRE TEX 5062'!$B$4:$B$34,"&gt;="&amp;M151),'FIRE TEX 5062'!$B$4:$F$34,IF(L151="F-15",2,IF(L151="F-30",3,IF(L151="F-60",4,IF(L151="F-90",5,0)))),0),0)+IF(AND(O151="FIRE TEX 5062",OR(E151="IN",E151="C",E151="Z",E151="L"),J151=4),VLOOKUP(_xlfn.MINIFS('FIRE TEX 5062'!$G$4:$G$34,'FIRE TEX 5062'!$G$4:$G$34,"&gt;="&amp;M151),'FIRE TEX 5062'!$G$4:$K$34,IF(L151="F-15",2,IF(L151="F-30",3,IF(L151="F-60",4,IF(L151="F-90",5,0)))),0),0)+IF(AND(O151="FIRE TEX 5062",E151="CJ",J151=3),VLOOKUP(_xlfn.MINIFS('FIRE TEX 5062'!$L$4:$L$34,'FIRE TEX 5062'!$L$4:$L$34,"&gt;="&amp;M151),'FIRE TEX 5062'!$L$4:$P$34,IF(L151="F-15",2,IF(L151="F-30",3,IF(L151="F-60",4,IF(L151="F-90",5,0)))),0),0)+IF(AND(O151="FIRE TEX 5062",E151="CJ",J151=4),VLOOKUP(_xlfn.MINIFS('FIRE TEX 5062'!$Q$3:$Q$34,'FIRE TEX 5062'!$Q$3:$Q$34,"&gt;="&amp;M151),'FIRE TEX 5062'!$Q$3:$U$34,IF(L151="F-15",2,IF(L151="F-30",3,IF(L151="F-60",4,IF(L151="F-90",5,0)))),0),0)+IF(AND(O151="FIRE TEX 5090",OR(E151="IN",E151="C",E151="Z",E151="L"),J151=3),VLOOKUP(_xlfn.MINIFS('FIRE TEX 5090'!$B$5:$B$43,'FIRE TEX 5090'!$B$5:$B$43,"&gt;="&amp;M151),'FIRE TEX 5090'!$B$5:$H$43,IF(L151="F-15",2,IF(L151="F-30",3,IF(L151="F-60",4,IF(L151="F-90",5,IF(L151="F-120",6,IF(L151="F-150",7,0)))))),0),0)+IF(AND(O151="FIRE TEX 5090",OR(E151="IN",E151="C",E151="Z",E151="L"),J151=4),VLOOKUP(_xlfn.MINIFS('FIRE TEX 5090'!$J$5:$J$43,'FIRE TEX 5090'!$J$5:$J$43,"&gt;="&amp;M151),'FIRE TEX 5090'!$J$5:$P$43,IF(L151="F-15",2,IF(L151="F-30",3,IF(L151="F-60",4,IF(L151="F-90",5,IF(L151="F-120",6,IF(L151="F-150",7,0)))))),0),0)+IF(AND(O151="FIRE TEX 5090",E151="CJ",J151=3),VLOOKUP(_xlfn.MINIFS('FIRE TEX 5090'!$R$5:$R$30,'FIRE TEX 5090'!$R$5:$R$30,"&gt;="&amp;M151),'FIRE TEX 5090'!$R$5:$W$30,IF(L151="F-15",2,IF(L151="F-30",3,IF(L151="F-60",4,IF(L151="F-90",5,IF(L151="F-120",6,IF(L151="F-150",7,0)))))),0),0)+IF(AND(O151="FIRE TEX 5090",E151="CJ",J151=4),VLOOKUP(_xlfn.MINIFS('FIRE TEX 5090'!$Y$5:$Y$39,'FIRE TEX 5090'!$Y$5:$Y$39,"&gt;="&amp;M151),'FIRE TEX 5090'!$Y$5:$AD$39,IF(L151="F-15",2,IF(L151="F-30",3,IF(L151="F-60",4,IF(L151="F-90",5,IF(L151="F-120",6,IF(L151="F-150",7,0)))))),0),0)+IF(AND(O151="FIRE TEX 5120",OR(E151="IN",E151="C",E151="Z",E151="L"),J151=3),VLOOKUP(_xlfn.MINIFS('FIRE TEX 5120'!$B$5:$B$40,'FIRE TEX 5120'!$B$5:$B$40,"&gt;="&amp;M151),'FIRE TEX 5120'!$B$5:$G$40,IF(L151="F-15",2,IF(L151="F-30",3,IF(L151="F-60",4,IF(L151="F-90",5,IF(L151="F-120",6,0))))),0),0)+IF(AND(O151="FIRE TEX 5120",OR(E151="IN",E151="C",E151="Z",E151="L"),J151=4),VLOOKUP(_xlfn.MINIFS('FIRE TEX 5120'!$H$4:$H$40,'FIRE TEX 5120'!$H$4:$H$40,"&gt;="&amp;M151),'FIRE TEX 5120'!$H$4:$M$40,IF(L151="F-15",2,IF(L151="F-30",3,IF(L151="F-60",4,IF(L151="F-90",5,IF(L151="F-120",6,0))))),0),0)+IF(AND(O151="FIRE TEX 5120",E151="CJ"),VLOOKUP(_xlfn.MINIFS('FIRE TEX 5120'!$O$5:$O$40,'FIRE TEX 5120'!$O$5:$O$40,"&gt;="&amp;M151),'FIRE TEX 5120'!$O$5:$T$40,IF(L151="F-15",2,IF(L151="F-30",3,IF(L151="F-60",4,IF(L151="F-90",5,IF(L151="F-120",6,0))))),0),0)</f>
        <v>0</v>
      </c>
      <c r="Q151" s="46">
        <f t="shared" si="18"/>
        <v>0</v>
      </c>
      <c r="R151" s="46">
        <f t="shared" si="20"/>
        <v>0</v>
      </c>
      <c r="S151" s="46" t="e">
        <f t="shared" si="19"/>
        <v>#VALUE!</v>
      </c>
      <c r="T151" s="677">
        <f t="shared" si="21"/>
        <v>0</v>
      </c>
      <c r="U151" s="80">
        <f>(IF(O151="Stofire",(S151*#REF!),0))+(IF(O151="Fire Control",(S151*$U$2),0))+(IF(O151="Fire Tex",(S151*$U$3),0))+(IF(O151="WB7",(S151*#REF!),0)+(IF(O151="FX 2003",(S151*$U$5),0)))</f>
        <v>0</v>
      </c>
      <c r="V151" s="651">
        <f t="shared" si="22"/>
        <v>0</v>
      </c>
      <c r="W151" s="4"/>
    </row>
    <row r="152" spans="1:23" x14ac:dyDescent="0.25">
      <c r="A152" s="652" t="s">
        <v>461</v>
      </c>
      <c r="B152" s="653" t="s">
        <v>459</v>
      </c>
      <c r="C152" s="1" t="s">
        <v>462</v>
      </c>
      <c r="D152" s="118">
        <f>+CUBICACION!D151</f>
        <v>0</v>
      </c>
      <c r="E152" s="118">
        <f>+CUBICACION!F151</f>
        <v>0</v>
      </c>
      <c r="F152" s="118">
        <f>+CUBICACION!E151</f>
        <v>0</v>
      </c>
      <c r="G152" s="118">
        <v>12</v>
      </c>
      <c r="H152" s="118">
        <v>2</v>
      </c>
      <c r="I152" s="820">
        <v>26385</v>
      </c>
      <c r="J152" s="118">
        <f>+CUBICACION!J151</f>
        <v>0</v>
      </c>
      <c r="K152" s="118">
        <v>2931</v>
      </c>
      <c r="L152" s="118">
        <f>+CUBICACION!L151</f>
        <v>0</v>
      </c>
      <c r="M152" s="64">
        <f>+CUBICACION!M151</f>
        <v>0</v>
      </c>
      <c r="N152" s="824" t="str">
        <f>+CUBICACION!N151</f>
        <v/>
      </c>
      <c r="O152" s="675">
        <f>+CUBICACION!O151</f>
        <v>0</v>
      </c>
      <c r="P152" s="15">
        <f>IF(O152="Fire Control",VLOOKUP(_xlfn.MINIFS('FIRE CONTROL'!$C$4:$C$37,'FIRE CONTROL'!$C$4:$C$37,"&gt;="&amp;M152),'FIRE CONTROL'!$C$4:$G$37,IF(L152="F-15",2,IF(L152="F-30",3,IF(L152="F-60",4,IF(L152="F-90",5,0)))),0),0)+IF(AND(O152="FIRE TEX 5062",OR(E152="IN",E152="C",E152="Z",E152="L"),J152=3),VLOOKUP(_xlfn.MINIFS('FIRE TEX 5062'!$B$4:$B$34,'FIRE TEX 5062'!$B$4:$B$34,"&gt;="&amp;M152),'FIRE TEX 5062'!$B$4:$F$34,IF(L152="F-15",2,IF(L152="F-30",3,IF(L152="F-60",4,IF(L152="F-90",5,0)))),0),0)+IF(AND(O152="FIRE TEX 5062",OR(E152="IN",E152="C",E152="Z",E152="L"),J152=4),VLOOKUP(_xlfn.MINIFS('FIRE TEX 5062'!$G$4:$G$34,'FIRE TEX 5062'!$G$4:$G$34,"&gt;="&amp;M152),'FIRE TEX 5062'!$G$4:$K$34,IF(L152="F-15",2,IF(L152="F-30",3,IF(L152="F-60",4,IF(L152="F-90",5,0)))),0),0)+IF(AND(O152="FIRE TEX 5062",E152="CJ",J152=3),VLOOKUP(_xlfn.MINIFS('FIRE TEX 5062'!$L$4:$L$34,'FIRE TEX 5062'!$L$4:$L$34,"&gt;="&amp;M152),'FIRE TEX 5062'!$L$4:$P$34,IF(L152="F-15",2,IF(L152="F-30",3,IF(L152="F-60",4,IF(L152="F-90",5,0)))),0),0)+IF(AND(O152="FIRE TEX 5062",E152="CJ",J152=4),VLOOKUP(_xlfn.MINIFS('FIRE TEX 5062'!$Q$3:$Q$34,'FIRE TEX 5062'!$Q$3:$Q$34,"&gt;="&amp;M152),'FIRE TEX 5062'!$Q$3:$U$34,IF(L152="F-15",2,IF(L152="F-30",3,IF(L152="F-60",4,IF(L152="F-90",5,0)))),0),0)+IF(AND(O152="FIRE TEX 5090",OR(E152="IN",E152="C",E152="Z",E152="L"),J152=3),VLOOKUP(_xlfn.MINIFS('FIRE TEX 5090'!$B$5:$B$43,'FIRE TEX 5090'!$B$5:$B$43,"&gt;="&amp;M152),'FIRE TEX 5090'!$B$5:$H$43,IF(L152="F-15",2,IF(L152="F-30",3,IF(L152="F-60",4,IF(L152="F-90",5,IF(L152="F-120",6,IF(L152="F-150",7,0)))))),0),0)+IF(AND(O152="FIRE TEX 5090",OR(E152="IN",E152="C",E152="Z",E152="L"),J152=4),VLOOKUP(_xlfn.MINIFS('FIRE TEX 5090'!$J$5:$J$43,'FIRE TEX 5090'!$J$5:$J$43,"&gt;="&amp;M152),'FIRE TEX 5090'!$J$5:$P$43,IF(L152="F-15",2,IF(L152="F-30",3,IF(L152="F-60",4,IF(L152="F-90",5,IF(L152="F-120",6,IF(L152="F-150",7,0)))))),0),0)+IF(AND(O152="FIRE TEX 5090",E152="CJ",J152=3),VLOOKUP(_xlfn.MINIFS('FIRE TEX 5090'!$R$5:$R$30,'FIRE TEX 5090'!$R$5:$R$30,"&gt;="&amp;M152),'FIRE TEX 5090'!$R$5:$W$30,IF(L152="F-15",2,IF(L152="F-30",3,IF(L152="F-60",4,IF(L152="F-90",5,IF(L152="F-120",6,IF(L152="F-150",7,0)))))),0),0)+IF(AND(O152="FIRE TEX 5090",E152="CJ",J152=4),VLOOKUP(_xlfn.MINIFS('FIRE TEX 5090'!$Y$5:$Y$39,'FIRE TEX 5090'!$Y$5:$Y$39,"&gt;="&amp;M152),'FIRE TEX 5090'!$Y$5:$AD$39,IF(L152="F-15",2,IF(L152="F-30",3,IF(L152="F-60",4,IF(L152="F-90",5,IF(L152="F-120",6,IF(L152="F-150",7,0)))))),0),0)+IF(AND(O152="FIRE TEX 5120",OR(E152="IN",E152="C",E152="Z",E152="L"),J152=3),VLOOKUP(_xlfn.MINIFS('FIRE TEX 5120'!$B$5:$B$40,'FIRE TEX 5120'!$B$5:$B$40,"&gt;="&amp;M152),'FIRE TEX 5120'!$B$5:$G$40,IF(L152="F-15",2,IF(L152="F-30",3,IF(L152="F-60",4,IF(L152="F-90",5,IF(L152="F-120",6,0))))),0),0)+IF(AND(O152="FIRE TEX 5120",OR(E152="IN",E152="C",E152="Z",E152="L"),J152=4),VLOOKUP(_xlfn.MINIFS('FIRE TEX 5120'!$H$4:$H$40,'FIRE TEX 5120'!$H$4:$H$40,"&gt;="&amp;M152),'FIRE TEX 5120'!$H$4:$M$40,IF(L152="F-15",2,IF(L152="F-30",3,IF(L152="F-60",4,IF(L152="F-90",5,IF(L152="F-120",6,0))))),0),0)+IF(AND(O152="FIRE TEX 5120",E152="CJ"),VLOOKUP(_xlfn.MINIFS('FIRE TEX 5120'!$O$5:$O$40,'FIRE TEX 5120'!$O$5:$O$40,"&gt;="&amp;M152),'FIRE TEX 5120'!$O$5:$T$40,IF(L152="F-15",2,IF(L152="F-30",3,IF(L152="F-60",4,IF(L152="F-90",5,IF(L152="F-120",6,0))))),0),0)</f>
        <v>0</v>
      </c>
      <c r="Q152" s="46">
        <f t="shared" si="18"/>
        <v>0</v>
      </c>
      <c r="R152" s="46">
        <f t="shared" si="20"/>
        <v>0</v>
      </c>
      <c r="S152" s="46" t="e">
        <f t="shared" si="19"/>
        <v>#VALUE!</v>
      </c>
      <c r="T152" s="677">
        <f t="shared" si="21"/>
        <v>0</v>
      </c>
      <c r="U152" s="80">
        <f>(IF(O152="Stofire",(S152*#REF!),0))+(IF(O152="Fire Control",(S152*$U$2),0))+(IF(O152="Fire Tex",(S152*$U$3),0))+(IF(O152="WB7",(S152*#REF!),0)+(IF(O152="FX 2003",(S152*$U$5),0)))</f>
        <v>0</v>
      </c>
      <c r="V152" s="651">
        <f t="shared" si="22"/>
        <v>0</v>
      </c>
      <c r="W152" s="4"/>
    </row>
    <row r="153" spans="1:23" x14ac:dyDescent="0.25">
      <c r="A153" s="652" t="s">
        <v>461</v>
      </c>
      <c r="B153" s="653" t="s">
        <v>459</v>
      </c>
      <c r="C153" s="1" t="s">
        <v>408</v>
      </c>
      <c r="D153" s="118">
        <f>+CUBICACION!D152</f>
        <v>0</v>
      </c>
      <c r="E153" s="118">
        <f>+CUBICACION!F152</f>
        <v>0</v>
      </c>
      <c r="F153" s="118">
        <f>+CUBICACION!E152</f>
        <v>0</v>
      </c>
      <c r="G153" s="118">
        <v>12</v>
      </c>
      <c r="H153" s="118">
        <v>2</v>
      </c>
      <c r="I153" s="820">
        <v>26385</v>
      </c>
      <c r="J153" s="118">
        <f>+CUBICACION!J152</f>
        <v>0</v>
      </c>
      <c r="K153" s="118">
        <v>2932</v>
      </c>
      <c r="L153" s="118">
        <f>+CUBICACION!L152</f>
        <v>0</v>
      </c>
      <c r="M153" s="64">
        <f>+CUBICACION!M152</f>
        <v>0</v>
      </c>
      <c r="N153" s="824" t="str">
        <f>+CUBICACION!N152</f>
        <v/>
      </c>
      <c r="O153" s="675">
        <f>+CUBICACION!O152</f>
        <v>0</v>
      </c>
      <c r="P153" s="15">
        <f>IF(O153="Fire Control",VLOOKUP(_xlfn.MINIFS('FIRE CONTROL'!$C$4:$C$37,'FIRE CONTROL'!$C$4:$C$37,"&gt;="&amp;M153),'FIRE CONTROL'!$C$4:$G$37,IF(L153="F-15",2,IF(L153="F-30",3,IF(L153="F-60",4,IF(L153="F-90",5,0)))),0),0)+IF(AND(O153="FIRE TEX 5062",OR(E153="IN",E153="C",E153="Z",E153="L"),J153=3),VLOOKUP(_xlfn.MINIFS('FIRE TEX 5062'!$B$4:$B$34,'FIRE TEX 5062'!$B$4:$B$34,"&gt;="&amp;M153),'FIRE TEX 5062'!$B$4:$F$34,IF(L153="F-15",2,IF(L153="F-30",3,IF(L153="F-60",4,IF(L153="F-90",5,0)))),0),0)+IF(AND(O153="FIRE TEX 5062",OR(E153="IN",E153="C",E153="Z",E153="L"),J153=4),VLOOKUP(_xlfn.MINIFS('FIRE TEX 5062'!$G$4:$G$34,'FIRE TEX 5062'!$G$4:$G$34,"&gt;="&amp;M153),'FIRE TEX 5062'!$G$4:$K$34,IF(L153="F-15",2,IF(L153="F-30",3,IF(L153="F-60",4,IF(L153="F-90",5,0)))),0),0)+IF(AND(O153="FIRE TEX 5062",E153="CJ",J153=3),VLOOKUP(_xlfn.MINIFS('FIRE TEX 5062'!$L$4:$L$34,'FIRE TEX 5062'!$L$4:$L$34,"&gt;="&amp;M153),'FIRE TEX 5062'!$L$4:$P$34,IF(L153="F-15",2,IF(L153="F-30",3,IF(L153="F-60",4,IF(L153="F-90",5,0)))),0),0)+IF(AND(O153="FIRE TEX 5062",E153="CJ",J153=4),VLOOKUP(_xlfn.MINIFS('FIRE TEX 5062'!$Q$3:$Q$34,'FIRE TEX 5062'!$Q$3:$Q$34,"&gt;="&amp;M153),'FIRE TEX 5062'!$Q$3:$U$34,IF(L153="F-15",2,IF(L153="F-30",3,IF(L153="F-60",4,IF(L153="F-90",5,0)))),0),0)+IF(AND(O153="FIRE TEX 5090",OR(E153="IN",E153="C",E153="Z",E153="L"),J153=3),VLOOKUP(_xlfn.MINIFS('FIRE TEX 5090'!$B$5:$B$43,'FIRE TEX 5090'!$B$5:$B$43,"&gt;="&amp;M153),'FIRE TEX 5090'!$B$5:$H$43,IF(L153="F-15",2,IF(L153="F-30",3,IF(L153="F-60",4,IF(L153="F-90",5,IF(L153="F-120",6,IF(L153="F-150",7,0)))))),0),0)+IF(AND(O153="FIRE TEX 5090",OR(E153="IN",E153="C",E153="Z",E153="L"),J153=4),VLOOKUP(_xlfn.MINIFS('FIRE TEX 5090'!$J$5:$J$43,'FIRE TEX 5090'!$J$5:$J$43,"&gt;="&amp;M153),'FIRE TEX 5090'!$J$5:$P$43,IF(L153="F-15",2,IF(L153="F-30",3,IF(L153="F-60",4,IF(L153="F-90",5,IF(L153="F-120",6,IF(L153="F-150",7,0)))))),0),0)+IF(AND(O153="FIRE TEX 5090",E153="CJ",J153=3),VLOOKUP(_xlfn.MINIFS('FIRE TEX 5090'!$R$5:$R$30,'FIRE TEX 5090'!$R$5:$R$30,"&gt;="&amp;M153),'FIRE TEX 5090'!$R$5:$W$30,IF(L153="F-15",2,IF(L153="F-30",3,IF(L153="F-60",4,IF(L153="F-90",5,IF(L153="F-120",6,IF(L153="F-150",7,0)))))),0),0)+IF(AND(O153="FIRE TEX 5090",E153="CJ",J153=4),VLOOKUP(_xlfn.MINIFS('FIRE TEX 5090'!$Y$5:$Y$39,'FIRE TEX 5090'!$Y$5:$Y$39,"&gt;="&amp;M153),'FIRE TEX 5090'!$Y$5:$AD$39,IF(L153="F-15",2,IF(L153="F-30",3,IF(L153="F-60",4,IF(L153="F-90",5,IF(L153="F-120",6,IF(L153="F-150",7,0)))))),0),0)+IF(AND(O153="FIRE TEX 5120",OR(E153="IN",E153="C",E153="Z",E153="L"),J153=3),VLOOKUP(_xlfn.MINIFS('FIRE TEX 5120'!$B$5:$B$40,'FIRE TEX 5120'!$B$5:$B$40,"&gt;="&amp;M153),'FIRE TEX 5120'!$B$5:$G$40,IF(L153="F-15",2,IF(L153="F-30",3,IF(L153="F-60",4,IF(L153="F-90",5,IF(L153="F-120",6,0))))),0),0)+IF(AND(O153="FIRE TEX 5120",OR(E153="IN",E153="C",E153="Z",E153="L"),J153=4),VLOOKUP(_xlfn.MINIFS('FIRE TEX 5120'!$H$4:$H$40,'FIRE TEX 5120'!$H$4:$H$40,"&gt;="&amp;M153),'FIRE TEX 5120'!$H$4:$M$40,IF(L153="F-15",2,IF(L153="F-30",3,IF(L153="F-60",4,IF(L153="F-90",5,IF(L153="F-120",6,0))))),0),0)+IF(AND(O153="FIRE TEX 5120",E153="CJ"),VLOOKUP(_xlfn.MINIFS('FIRE TEX 5120'!$O$5:$O$40,'FIRE TEX 5120'!$O$5:$O$40,"&gt;="&amp;M153),'FIRE TEX 5120'!$O$5:$T$40,IF(L153="F-15",2,IF(L153="F-30",3,IF(L153="F-60",4,IF(L153="F-90",5,IF(L153="F-120",6,0))))),0),0)</f>
        <v>0</v>
      </c>
      <c r="Q153" s="46">
        <f t="shared" si="18"/>
        <v>0</v>
      </c>
      <c r="R153" s="46">
        <f t="shared" si="20"/>
        <v>0</v>
      </c>
      <c r="S153" s="46" t="e">
        <f t="shared" si="19"/>
        <v>#VALUE!</v>
      </c>
      <c r="T153" s="677">
        <f t="shared" si="21"/>
        <v>0</v>
      </c>
      <c r="U153" s="80">
        <f>(IF(O153="Stofire",(S153*#REF!),0))+(IF(O153="Fire Control",(S153*$U$2),0))+(IF(O153="Fire Tex",(S153*$U$3),0))+(IF(O153="WB7",(S153*#REF!),0)+(IF(O153="FX 2003",(S153*$U$5),0)))</f>
        <v>0</v>
      </c>
      <c r="V153" s="651">
        <f t="shared" si="22"/>
        <v>0</v>
      </c>
      <c r="W153" s="4"/>
    </row>
    <row r="154" spans="1:23" x14ac:dyDescent="0.25">
      <c r="A154" s="652" t="s">
        <v>461</v>
      </c>
      <c r="B154" s="653" t="s">
        <v>459</v>
      </c>
      <c r="C154" s="1" t="s">
        <v>408</v>
      </c>
      <c r="D154" s="118">
        <f>+CUBICACION!D153</f>
        <v>0</v>
      </c>
      <c r="E154" s="118">
        <f>+CUBICACION!F153</f>
        <v>0</v>
      </c>
      <c r="F154" s="118">
        <f>+CUBICACION!E153</f>
        <v>0</v>
      </c>
      <c r="G154" s="118">
        <v>12</v>
      </c>
      <c r="H154" s="118">
        <v>2</v>
      </c>
      <c r="I154" s="820">
        <v>26385</v>
      </c>
      <c r="J154" s="118">
        <f>+CUBICACION!J153</f>
        <v>0</v>
      </c>
      <c r="K154" s="118">
        <v>2933</v>
      </c>
      <c r="L154" s="118">
        <f>+CUBICACION!L153</f>
        <v>0</v>
      </c>
      <c r="M154" s="64">
        <f>+CUBICACION!M153</f>
        <v>0</v>
      </c>
      <c r="N154" s="824" t="str">
        <f>+CUBICACION!N153</f>
        <v/>
      </c>
      <c r="O154" s="675">
        <f>+CUBICACION!O153</f>
        <v>0</v>
      </c>
      <c r="P154" s="15">
        <f>IF(O154="Fire Control",VLOOKUP(_xlfn.MINIFS('FIRE CONTROL'!$C$4:$C$37,'FIRE CONTROL'!$C$4:$C$37,"&gt;="&amp;M154),'FIRE CONTROL'!$C$4:$G$37,IF(L154="F-15",2,IF(L154="F-30",3,IF(L154="F-60",4,IF(L154="F-90",5,0)))),0),0)+IF(AND(O154="FIRE TEX 5062",OR(E154="IN",E154="C",E154="Z",E154="L"),J154=3),VLOOKUP(_xlfn.MINIFS('FIRE TEX 5062'!$B$4:$B$34,'FIRE TEX 5062'!$B$4:$B$34,"&gt;="&amp;M154),'FIRE TEX 5062'!$B$4:$F$34,IF(L154="F-15",2,IF(L154="F-30",3,IF(L154="F-60",4,IF(L154="F-90",5,0)))),0),0)+IF(AND(O154="FIRE TEX 5062",OR(E154="IN",E154="C",E154="Z",E154="L"),J154=4),VLOOKUP(_xlfn.MINIFS('FIRE TEX 5062'!$G$4:$G$34,'FIRE TEX 5062'!$G$4:$G$34,"&gt;="&amp;M154),'FIRE TEX 5062'!$G$4:$K$34,IF(L154="F-15",2,IF(L154="F-30",3,IF(L154="F-60",4,IF(L154="F-90",5,0)))),0),0)+IF(AND(O154="FIRE TEX 5062",E154="CJ",J154=3),VLOOKUP(_xlfn.MINIFS('FIRE TEX 5062'!$L$4:$L$34,'FIRE TEX 5062'!$L$4:$L$34,"&gt;="&amp;M154),'FIRE TEX 5062'!$L$4:$P$34,IF(L154="F-15",2,IF(L154="F-30",3,IF(L154="F-60",4,IF(L154="F-90",5,0)))),0),0)+IF(AND(O154="FIRE TEX 5062",E154="CJ",J154=4),VLOOKUP(_xlfn.MINIFS('FIRE TEX 5062'!$Q$3:$Q$34,'FIRE TEX 5062'!$Q$3:$Q$34,"&gt;="&amp;M154),'FIRE TEX 5062'!$Q$3:$U$34,IF(L154="F-15",2,IF(L154="F-30",3,IF(L154="F-60",4,IF(L154="F-90",5,0)))),0),0)+IF(AND(O154="FIRE TEX 5090",OR(E154="IN",E154="C",E154="Z",E154="L"),J154=3),VLOOKUP(_xlfn.MINIFS('FIRE TEX 5090'!$B$5:$B$43,'FIRE TEX 5090'!$B$5:$B$43,"&gt;="&amp;M154),'FIRE TEX 5090'!$B$5:$H$43,IF(L154="F-15",2,IF(L154="F-30",3,IF(L154="F-60",4,IF(L154="F-90",5,IF(L154="F-120",6,IF(L154="F-150",7,0)))))),0),0)+IF(AND(O154="FIRE TEX 5090",OR(E154="IN",E154="C",E154="Z",E154="L"),J154=4),VLOOKUP(_xlfn.MINIFS('FIRE TEX 5090'!$J$5:$J$43,'FIRE TEX 5090'!$J$5:$J$43,"&gt;="&amp;M154),'FIRE TEX 5090'!$J$5:$P$43,IF(L154="F-15",2,IF(L154="F-30",3,IF(L154="F-60",4,IF(L154="F-90",5,IF(L154="F-120",6,IF(L154="F-150",7,0)))))),0),0)+IF(AND(O154="FIRE TEX 5090",E154="CJ",J154=3),VLOOKUP(_xlfn.MINIFS('FIRE TEX 5090'!$R$5:$R$30,'FIRE TEX 5090'!$R$5:$R$30,"&gt;="&amp;M154),'FIRE TEX 5090'!$R$5:$W$30,IF(L154="F-15",2,IF(L154="F-30",3,IF(L154="F-60",4,IF(L154="F-90",5,IF(L154="F-120",6,IF(L154="F-150",7,0)))))),0),0)+IF(AND(O154="FIRE TEX 5090",E154="CJ",J154=4),VLOOKUP(_xlfn.MINIFS('FIRE TEX 5090'!$Y$5:$Y$39,'FIRE TEX 5090'!$Y$5:$Y$39,"&gt;="&amp;M154),'FIRE TEX 5090'!$Y$5:$AD$39,IF(L154="F-15",2,IF(L154="F-30",3,IF(L154="F-60",4,IF(L154="F-90",5,IF(L154="F-120",6,IF(L154="F-150",7,0)))))),0),0)+IF(AND(O154="FIRE TEX 5120",OR(E154="IN",E154="C",E154="Z",E154="L"),J154=3),VLOOKUP(_xlfn.MINIFS('FIRE TEX 5120'!$B$5:$B$40,'FIRE TEX 5120'!$B$5:$B$40,"&gt;="&amp;M154),'FIRE TEX 5120'!$B$5:$G$40,IF(L154="F-15",2,IF(L154="F-30",3,IF(L154="F-60",4,IF(L154="F-90",5,IF(L154="F-120",6,0))))),0),0)+IF(AND(O154="FIRE TEX 5120",OR(E154="IN",E154="C",E154="Z",E154="L"),J154=4),VLOOKUP(_xlfn.MINIFS('FIRE TEX 5120'!$H$4:$H$40,'FIRE TEX 5120'!$H$4:$H$40,"&gt;="&amp;M154),'FIRE TEX 5120'!$H$4:$M$40,IF(L154="F-15",2,IF(L154="F-30",3,IF(L154="F-60",4,IF(L154="F-90",5,IF(L154="F-120",6,0))))),0),0)+IF(AND(O154="FIRE TEX 5120",E154="CJ"),VLOOKUP(_xlfn.MINIFS('FIRE TEX 5120'!$O$5:$O$40,'FIRE TEX 5120'!$O$5:$O$40,"&gt;="&amp;M154),'FIRE TEX 5120'!$O$5:$T$40,IF(L154="F-15",2,IF(L154="F-30",3,IF(L154="F-60",4,IF(L154="F-90",5,IF(L154="F-120",6,0))))),0),0)</f>
        <v>0</v>
      </c>
      <c r="Q154" s="46">
        <f t="shared" si="18"/>
        <v>0</v>
      </c>
      <c r="R154" s="46">
        <f t="shared" si="20"/>
        <v>0</v>
      </c>
      <c r="S154" s="46" t="e">
        <f t="shared" si="19"/>
        <v>#VALUE!</v>
      </c>
      <c r="T154" s="677">
        <f t="shared" si="21"/>
        <v>0</v>
      </c>
      <c r="U154" s="80">
        <f>(IF(O154="Stofire",(S154*#REF!),0))+(IF(O154="Fire Control",(S154*$U$2),0))+(IF(O154="Fire Tex",(S154*$U$3),0))+(IF(O154="WB7",(S154*#REF!),0)+(IF(O154="FX 2003",(S154*$U$5),0)))</f>
        <v>0</v>
      </c>
      <c r="V154" s="651">
        <f t="shared" si="22"/>
        <v>0</v>
      </c>
      <c r="W154" s="4"/>
    </row>
    <row r="155" spans="1:23" x14ac:dyDescent="0.25">
      <c r="A155" s="652" t="s">
        <v>406</v>
      </c>
      <c r="B155" s="653" t="s">
        <v>407</v>
      </c>
      <c r="C155" s="1" t="s">
        <v>408</v>
      </c>
      <c r="D155" s="118">
        <f>+CUBICACION!D154</f>
        <v>0</v>
      </c>
      <c r="E155" s="118">
        <f>+CUBICACION!F154</f>
        <v>0</v>
      </c>
      <c r="F155" s="118">
        <f>+CUBICACION!E154</f>
        <v>0</v>
      </c>
      <c r="G155" s="118">
        <v>12</v>
      </c>
      <c r="H155" s="118">
        <v>2</v>
      </c>
      <c r="I155" s="820">
        <v>26385</v>
      </c>
      <c r="J155" s="118">
        <f>+CUBICACION!J154</f>
        <v>0</v>
      </c>
      <c r="K155" s="118">
        <v>2934</v>
      </c>
      <c r="L155" s="118">
        <f>+CUBICACION!L154</f>
        <v>0</v>
      </c>
      <c r="M155" s="64">
        <f>+CUBICACION!M154</f>
        <v>0</v>
      </c>
      <c r="N155" s="824" t="str">
        <f>+CUBICACION!N154</f>
        <v/>
      </c>
      <c r="O155" s="675">
        <f>+CUBICACION!O154</f>
        <v>0</v>
      </c>
      <c r="P155" s="15">
        <f>IF(O155="Fire Control",VLOOKUP(_xlfn.MINIFS('FIRE CONTROL'!$C$4:$C$37,'FIRE CONTROL'!$C$4:$C$37,"&gt;="&amp;M155),'FIRE CONTROL'!$C$4:$G$37,IF(L155="F-15",2,IF(L155="F-30",3,IF(L155="F-60",4,IF(L155="F-90",5,0)))),0),0)+IF(AND(O155="FIRE TEX 5062",OR(E155="IN",E155="C",E155="Z",E155="L"),J155=3),VLOOKUP(_xlfn.MINIFS('FIRE TEX 5062'!$B$4:$B$34,'FIRE TEX 5062'!$B$4:$B$34,"&gt;="&amp;M155),'FIRE TEX 5062'!$B$4:$F$34,IF(L155="F-15",2,IF(L155="F-30",3,IF(L155="F-60",4,IF(L155="F-90",5,0)))),0),0)+IF(AND(O155="FIRE TEX 5062",OR(E155="IN",E155="C",E155="Z",E155="L"),J155=4),VLOOKUP(_xlfn.MINIFS('FIRE TEX 5062'!$G$4:$G$34,'FIRE TEX 5062'!$G$4:$G$34,"&gt;="&amp;M155),'FIRE TEX 5062'!$G$4:$K$34,IF(L155="F-15",2,IF(L155="F-30",3,IF(L155="F-60",4,IF(L155="F-90",5,0)))),0),0)+IF(AND(O155="FIRE TEX 5062",E155="CJ",J155=3),VLOOKUP(_xlfn.MINIFS('FIRE TEX 5062'!$L$4:$L$34,'FIRE TEX 5062'!$L$4:$L$34,"&gt;="&amp;M155),'FIRE TEX 5062'!$L$4:$P$34,IF(L155="F-15",2,IF(L155="F-30",3,IF(L155="F-60",4,IF(L155="F-90",5,0)))),0),0)+IF(AND(O155="FIRE TEX 5062",E155="CJ",J155=4),VLOOKUP(_xlfn.MINIFS('FIRE TEX 5062'!$Q$3:$Q$34,'FIRE TEX 5062'!$Q$3:$Q$34,"&gt;="&amp;M155),'FIRE TEX 5062'!$Q$3:$U$34,IF(L155="F-15",2,IF(L155="F-30",3,IF(L155="F-60",4,IF(L155="F-90",5,0)))),0),0)+IF(AND(O155="FIRE TEX 5090",OR(E155="IN",E155="C",E155="Z",E155="L"),J155=3),VLOOKUP(_xlfn.MINIFS('FIRE TEX 5090'!$B$5:$B$43,'FIRE TEX 5090'!$B$5:$B$43,"&gt;="&amp;M155),'FIRE TEX 5090'!$B$5:$H$43,IF(L155="F-15",2,IF(L155="F-30",3,IF(L155="F-60",4,IF(L155="F-90",5,IF(L155="F-120",6,IF(L155="F-150",7,0)))))),0),0)+IF(AND(O155="FIRE TEX 5090",OR(E155="IN",E155="C",E155="Z",E155="L"),J155=4),VLOOKUP(_xlfn.MINIFS('FIRE TEX 5090'!$J$5:$J$43,'FIRE TEX 5090'!$J$5:$J$43,"&gt;="&amp;M155),'FIRE TEX 5090'!$J$5:$P$43,IF(L155="F-15",2,IF(L155="F-30",3,IF(L155="F-60",4,IF(L155="F-90",5,IF(L155="F-120",6,IF(L155="F-150",7,0)))))),0),0)+IF(AND(O155="FIRE TEX 5090",E155="CJ",J155=3),VLOOKUP(_xlfn.MINIFS('FIRE TEX 5090'!$R$5:$R$30,'FIRE TEX 5090'!$R$5:$R$30,"&gt;="&amp;M155),'FIRE TEX 5090'!$R$5:$W$30,IF(L155="F-15",2,IF(L155="F-30",3,IF(L155="F-60",4,IF(L155="F-90",5,IF(L155="F-120",6,IF(L155="F-150",7,0)))))),0),0)+IF(AND(O155="FIRE TEX 5090",E155="CJ",J155=4),VLOOKUP(_xlfn.MINIFS('FIRE TEX 5090'!$Y$5:$Y$39,'FIRE TEX 5090'!$Y$5:$Y$39,"&gt;="&amp;M155),'FIRE TEX 5090'!$Y$5:$AD$39,IF(L155="F-15",2,IF(L155="F-30",3,IF(L155="F-60",4,IF(L155="F-90",5,IF(L155="F-120",6,IF(L155="F-150",7,0)))))),0),0)+IF(AND(O155="FIRE TEX 5120",OR(E155="IN",E155="C",E155="Z",E155="L"),J155=3),VLOOKUP(_xlfn.MINIFS('FIRE TEX 5120'!$B$5:$B$40,'FIRE TEX 5120'!$B$5:$B$40,"&gt;="&amp;M155),'FIRE TEX 5120'!$B$5:$G$40,IF(L155="F-15",2,IF(L155="F-30",3,IF(L155="F-60",4,IF(L155="F-90",5,IF(L155="F-120",6,0))))),0),0)+IF(AND(O155="FIRE TEX 5120",OR(E155="IN",E155="C",E155="Z",E155="L"),J155=4),VLOOKUP(_xlfn.MINIFS('FIRE TEX 5120'!$H$4:$H$40,'FIRE TEX 5120'!$H$4:$H$40,"&gt;="&amp;M155),'FIRE TEX 5120'!$H$4:$M$40,IF(L155="F-15",2,IF(L155="F-30",3,IF(L155="F-60",4,IF(L155="F-90",5,IF(L155="F-120",6,0))))),0),0)+IF(AND(O155="FIRE TEX 5120",E155="CJ"),VLOOKUP(_xlfn.MINIFS('FIRE TEX 5120'!$O$5:$O$40,'FIRE TEX 5120'!$O$5:$O$40,"&gt;="&amp;M155),'FIRE TEX 5120'!$O$5:$T$40,IF(L155="F-15",2,IF(L155="F-30",3,IF(L155="F-60",4,IF(L155="F-90",5,IF(L155="F-120",6,0))))),0),0)</f>
        <v>0</v>
      </c>
      <c r="Q155" s="46">
        <f t="shared" si="18"/>
        <v>0</v>
      </c>
      <c r="R155" s="46">
        <f t="shared" si="20"/>
        <v>0</v>
      </c>
      <c r="S155" s="46" t="e">
        <f t="shared" si="19"/>
        <v>#VALUE!</v>
      </c>
      <c r="T155" s="677">
        <f t="shared" si="21"/>
        <v>0</v>
      </c>
      <c r="U155" s="80">
        <f>(IF(O155="Stofire",(S155*#REF!),0))+(IF(O155="Fire Control",(S155*$U$2),0))+(IF(O155="Fire Tex",(S155*$U$3),0))+(IF(O155="WB7",(S155*#REF!),0)+(IF(O155="FX 2003",(S155*$U$5),0)))</f>
        <v>0</v>
      </c>
      <c r="V155" s="649">
        <f>_xlfn.CEILING.MATH(M155,10)</f>
        <v>0</v>
      </c>
      <c r="W155" s="4"/>
    </row>
    <row r="156" spans="1:23" x14ac:dyDescent="0.25">
      <c r="A156" s="652" t="s">
        <v>406</v>
      </c>
      <c r="B156" s="653" t="s">
        <v>407</v>
      </c>
      <c r="C156" s="1" t="s">
        <v>408</v>
      </c>
      <c r="D156" s="118">
        <f>+CUBICACION!D155</f>
        <v>0</v>
      </c>
      <c r="E156" s="118">
        <f>+CUBICACION!F155</f>
        <v>0</v>
      </c>
      <c r="F156" s="118">
        <f>+CUBICACION!E155</f>
        <v>0</v>
      </c>
      <c r="G156" s="118">
        <v>12</v>
      </c>
      <c r="H156" s="118">
        <v>2</v>
      </c>
      <c r="I156" s="820">
        <v>26385</v>
      </c>
      <c r="J156" s="118">
        <f>+CUBICACION!J155</f>
        <v>0</v>
      </c>
      <c r="K156" s="118">
        <v>2935</v>
      </c>
      <c r="L156" s="118">
        <f>+CUBICACION!L155</f>
        <v>0</v>
      </c>
      <c r="M156" s="64">
        <f>+CUBICACION!M155</f>
        <v>0</v>
      </c>
      <c r="N156" s="824" t="str">
        <f>+CUBICACION!N155</f>
        <v/>
      </c>
      <c r="O156" s="675">
        <f>+CUBICACION!O155</f>
        <v>0</v>
      </c>
      <c r="P156" s="15">
        <f>IF(O156="Fire Control",VLOOKUP(_xlfn.MINIFS('FIRE CONTROL'!$C$4:$C$37,'FIRE CONTROL'!$C$4:$C$37,"&gt;="&amp;M156),'FIRE CONTROL'!$C$4:$G$37,IF(L156="F-15",2,IF(L156="F-30",3,IF(L156="F-60",4,IF(L156="F-90",5,0)))),0),0)+IF(AND(O156="FIRE TEX 5062",OR(E156="IN",E156="C",E156="Z",E156="L"),J156=3),VLOOKUP(_xlfn.MINIFS('FIRE TEX 5062'!$B$4:$B$34,'FIRE TEX 5062'!$B$4:$B$34,"&gt;="&amp;M156),'FIRE TEX 5062'!$B$4:$F$34,IF(L156="F-15",2,IF(L156="F-30",3,IF(L156="F-60",4,IF(L156="F-90",5,0)))),0),0)+IF(AND(O156="FIRE TEX 5062",OR(E156="IN",E156="C",E156="Z",E156="L"),J156=4),VLOOKUP(_xlfn.MINIFS('FIRE TEX 5062'!$G$4:$G$34,'FIRE TEX 5062'!$G$4:$G$34,"&gt;="&amp;M156),'FIRE TEX 5062'!$G$4:$K$34,IF(L156="F-15",2,IF(L156="F-30",3,IF(L156="F-60",4,IF(L156="F-90",5,0)))),0),0)+IF(AND(O156="FIRE TEX 5062",E156="CJ",J156=3),VLOOKUP(_xlfn.MINIFS('FIRE TEX 5062'!$L$4:$L$34,'FIRE TEX 5062'!$L$4:$L$34,"&gt;="&amp;M156),'FIRE TEX 5062'!$L$4:$P$34,IF(L156="F-15",2,IF(L156="F-30",3,IF(L156="F-60",4,IF(L156="F-90",5,0)))),0),0)+IF(AND(O156="FIRE TEX 5062",E156="CJ",J156=4),VLOOKUP(_xlfn.MINIFS('FIRE TEX 5062'!$Q$3:$Q$34,'FIRE TEX 5062'!$Q$3:$Q$34,"&gt;="&amp;M156),'FIRE TEX 5062'!$Q$3:$U$34,IF(L156="F-15",2,IF(L156="F-30",3,IF(L156="F-60",4,IF(L156="F-90",5,0)))),0),0)+IF(AND(O156="FIRE TEX 5090",OR(E156="IN",E156="C",E156="Z",E156="L"),J156=3),VLOOKUP(_xlfn.MINIFS('FIRE TEX 5090'!$B$5:$B$43,'FIRE TEX 5090'!$B$5:$B$43,"&gt;="&amp;M156),'FIRE TEX 5090'!$B$5:$H$43,IF(L156="F-15",2,IF(L156="F-30",3,IF(L156="F-60",4,IF(L156="F-90",5,IF(L156="F-120",6,IF(L156="F-150",7,0)))))),0),0)+IF(AND(O156="FIRE TEX 5090",OR(E156="IN",E156="C",E156="Z",E156="L"),J156=4),VLOOKUP(_xlfn.MINIFS('FIRE TEX 5090'!$J$5:$J$43,'FIRE TEX 5090'!$J$5:$J$43,"&gt;="&amp;M156),'FIRE TEX 5090'!$J$5:$P$43,IF(L156="F-15",2,IF(L156="F-30",3,IF(L156="F-60",4,IF(L156="F-90",5,IF(L156="F-120",6,IF(L156="F-150",7,0)))))),0),0)+IF(AND(O156="FIRE TEX 5090",E156="CJ",J156=3),VLOOKUP(_xlfn.MINIFS('FIRE TEX 5090'!$R$5:$R$30,'FIRE TEX 5090'!$R$5:$R$30,"&gt;="&amp;M156),'FIRE TEX 5090'!$R$5:$W$30,IF(L156="F-15",2,IF(L156="F-30",3,IF(L156="F-60",4,IF(L156="F-90",5,IF(L156="F-120",6,IF(L156="F-150",7,0)))))),0),0)+IF(AND(O156="FIRE TEX 5090",E156="CJ",J156=4),VLOOKUP(_xlfn.MINIFS('FIRE TEX 5090'!$Y$5:$Y$39,'FIRE TEX 5090'!$Y$5:$Y$39,"&gt;="&amp;M156),'FIRE TEX 5090'!$Y$5:$AD$39,IF(L156="F-15",2,IF(L156="F-30",3,IF(L156="F-60",4,IF(L156="F-90",5,IF(L156="F-120",6,IF(L156="F-150",7,0)))))),0),0)+IF(AND(O156="FIRE TEX 5120",OR(E156="IN",E156="C",E156="Z",E156="L"),J156=3),VLOOKUP(_xlfn.MINIFS('FIRE TEX 5120'!$B$5:$B$40,'FIRE TEX 5120'!$B$5:$B$40,"&gt;="&amp;M156),'FIRE TEX 5120'!$B$5:$G$40,IF(L156="F-15",2,IF(L156="F-30",3,IF(L156="F-60",4,IF(L156="F-90",5,IF(L156="F-120",6,0))))),0),0)+IF(AND(O156="FIRE TEX 5120",OR(E156="IN",E156="C",E156="Z",E156="L"),J156=4),VLOOKUP(_xlfn.MINIFS('FIRE TEX 5120'!$H$4:$H$40,'FIRE TEX 5120'!$H$4:$H$40,"&gt;="&amp;M156),'FIRE TEX 5120'!$H$4:$M$40,IF(L156="F-15",2,IF(L156="F-30",3,IF(L156="F-60",4,IF(L156="F-90",5,IF(L156="F-120",6,0))))),0),0)+IF(AND(O156="FIRE TEX 5120",E156="CJ"),VLOOKUP(_xlfn.MINIFS('FIRE TEX 5120'!$O$5:$O$40,'FIRE TEX 5120'!$O$5:$O$40,"&gt;="&amp;M156),'FIRE TEX 5120'!$O$5:$T$40,IF(L156="F-15",2,IF(L156="F-30",3,IF(L156="F-60",4,IF(L156="F-90",5,IF(L156="F-120",6,0))))),0),0)</f>
        <v>0</v>
      </c>
      <c r="Q156" s="46">
        <f t="shared" si="18"/>
        <v>0</v>
      </c>
      <c r="R156" s="46">
        <f t="shared" si="20"/>
        <v>0</v>
      </c>
      <c r="S156" s="46" t="e">
        <f t="shared" si="19"/>
        <v>#VALUE!</v>
      </c>
      <c r="T156" s="677">
        <f t="shared" si="21"/>
        <v>0</v>
      </c>
      <c r="U156" s="80">
        <f>(IF(O156="Stofire",(S156*#REF!),0))+(IF(O156="Fire Control",(S156*$U$2),0))+(IF(O156="Fire Tex",(S156*$U$3),0))+(IF(O156="WB7",(S156*#REF!),0)+(IF(O156="FX 2003",(S156*$U$5),0)))</f>
        <v>0</v>
      </c>
      <c r="V156" s="651">
        <f>_xlfn.CEILING.MATH(M156,10)</f>
        <v>0</v>
      </c>
      <c r="W156" s="4"/>
    </row>
    <row r="157" spans="1:23" x14ac:dyDescent="0.25">
      <c r="A157" s="652" t="s">
        <v>409</v>
      </c>
      <c r="B157" s="653" t="s">
        <v>410</v>
      </c>
      <c r="C157" s="1" t="s">
        <v>408</v>
      </c>
      <c r="D157" s="118">
        <f>+CUBICACION!D156</f>
        <v>0</v>
      </c>
      <c r="E157" s="118">
        <f>+CUBICACION!F156</f>
        <v>0</v>
      </c>
      <c r="F157" s="118">
        <f>+CUBICACION!E156</f>
        <v>0</v>
      </c>
      <c r="G157" s="118">
        <v>12</v>
      </c>
      <c r="H157" s="118">
        <v>2</v>
      </c>
      <c r="I157" s="820">
        <v>26385</v>
      </c>
      <c r="J157" s="118">
        <f>+CUBICACION!J156</f>
        <v>0</v>
      </c>
      <c r="K157" s="118">
        <v>2936</v>
      </c>
      <c r="L157" s="118">
        <f>+CUBICACION!L156</f>
        <v>0</v>
      </c>
      <c r="M157" s="64">
        <f>+CUBICACION!M156</f>
        <v>0</v>
      </c>
      <c r="N157" s="824" t="str">
        <f>+CUBICACION!N156</f>
        <v/>
      </c>
      <c r="O157" s="675">
        <f>+CUBICACION!O156</f>
        <v>0</v>
      </c>
      <c r="P157" s="15">
        <f>IF(O157="Fire Control",VLOOKUP(_xlfn.MINIFS('FIRE CONTROL'!$C$4:$C$37,'FIRE CONTROL'!$C$4:$C$37,"&gt;="&amp;M157),'FIRE CONTROL'!$C$4:$G$37,IF(L157="F-15",2,IF(L157="F-30",3,IF(L157="F-60",4,IF(L157="F-90",5,0)))),0),0)+IF(AND(O157="FIRE TEX 5062",OR(E157="IN",E157="C",E157="Z",E157="L"),J157=3),VLOOKUP(_xlfn.MINIFS('FIRE TEX 5062'!$B$4:$B$34,'FIRE TEX 5062'!$B$4:$B$34,"&gt;="&amp;M157),'FIRE TEX 5062'!$B$4:$F$34,IF(L157="F-15",2,IF(L157="F-30",3,IF(L157="F-60",4,IF(L157="F-90",5,0)))),0),0)+IF(AND(O157="FIRE TEX 5062",OR(E157="IN",E157="C",E157="Z",E157="L"),J157=4),VLOOKUP(_xlfn.MINIFS('FIRE TEX 5062'!$G$4:$G$34,'FIRE TEX 5062'!$G$4:$G$34,"&gt;="&amp;M157),'FIRE TEX 5062'!$G$4:$K$34,IF(L157="F-15",2,IF(L157="F-30",3,IF(L157="F-60",4,IF(L157="F-90",5,0)))),0),0)+IF(AND(O157="FIRE TEX 5062",E157="CJ",J157=3),VLOOKUP(_xlfn.MINIFS('FIRE TEX 5062'!$L$4:$L$34,'FIRE TEX 5062'!$L$4:$L$34,"&gt;="&amp;M157),'FIRE TEX 5062'!$L$4:$P$34,IF(L157="F-15",2,IF(L157="F-30",3,IF(L157="F-60",4,IF(L157="F-90",5,0)))),0),0)+IF(AND(O157="FIRE TEX 5062",E157="CJ",J157=4),VLOOKUP(_xlfn.MINIFS('FIRE TEX 5062'!$Q$3:$Q$34,'FIRE TEX 5062'!$Q$3:$Q$34,"&gt;="&amp;M157),'FIRE TEX 5062'!$Q$3:$U$34,IF(L157="F-15",2,IF(L157="F-30",3,IF(L157="F-60",4,IF(L157="F-90",5,0)))),0),0)+IF(AND(O157="FIRE TEX 5090",OR(E157="IN",E157="C",E157="Z",E157="L"),J157=3),VLOOKUP(_xlfn.MINIFS('FIRE TEX 5090'!$B$5:$B$43,'FIRE TEX 5090'!$B$5:$B$43,"&gt;="&amp;M157),'FIRE TEX 5090'!$B$5:$H$43,IF(L157="F-15",2,IF(L157="F-30",3,IF(L157="F-60",4,IF(L157="F-90",5,IF(L157="F-120",6,IF(L157="F-150",7,0)))))),0),0)+IF(AND(O157="FIRE TEX 5090",OR(E157="IN",E157="C",E157="Z",E157="L"),J157=4),VLOOKUP(_xlfn.MINIFS('FIRE TEX 5090'!$J$5:$J$43,'FIRE TEX 5090'!$J$5:$J$43,"&gt;="&amp;M157),'FIRE TEX 5090'!$J$5:$P$43,IF(L157="F-15",2,IF(L157="F-30",3,IF(L157="F-60",4,IF(L157="F-90",5,IF(L157="F-120",6,IF(L157="F-150",7,0)))))),0),0)+IF(AND(O157="FIRE TEX 5090",E157="CJ",J157=3),VLOOKUP(_xlfn.MINIFS('FIRE TEX 5090'!$R$5:$R$30,'FIRE TEX 5090'!$R$5:$R$30,"&gt;="&amp;M157),'FIRE TEX 5090'!$R$5:$W$30,IF(L157="F-15",2,IF(L157="F-30",3,IF(L157="F-60",4,IF(L157="F-90",5,IF(L157="F-120",6,IF(L157="F-150",7,0)))))),0),0)+IF(AND(O157="FIRE TEX 5090",E157="CJ",J157=4),VLOOKUP(_xlfn.MINIFS('FIRE TEX 5090'!$Y$5:$Y$39,'FIRE TEX 5090'!$Y$5:$Y$39,"&gt;="&amp;M157),'FIRE TEX 5090'!$Y$5:$AD$39,IF(L157="F-15",2,IF(L157="F-30",3,IF(L157="F-60",4,IF(L157="F-90",5,IF(L157="F-120",6,IF(L157="F-150",7,0)))))),0),0)+IF(AND(O157="FIRE TEX 5120",OR(E157="IN",E157="C",E157="Z",E157="L"),J157=3),VLOOKUP(_xlfn.MINIFS('FIRE TEX 5120'!$B$5:$B$40,'FIRE TEX 5120'!$B$5:$B$40,"&gt;="&amp;M157),'FIRE TEX 5120'!$B$5:$G$40,IF(L157="F-15",2,IF(L157="F-30",3,IF(L157="F-60",4,IF(L157="F-90",5,IF(L157="F-120",6,0))))),0),0)+IF(AND(O157="FIRE TEX 5120",OR(E157="IN",E157="C",E157="Z",E157="L"),J157=4),VLOOKUP(_xlfn.MINIFS('FIRE TEX 5120'!$H$4:$H$40,'FIRE TEX 5120'!$H$4:$H$40,"&gt;="&amp;M157),'FIRE TEX 5120'!$H$4:$M$40,IF(L157="F-15",2,IF(L157="F-30",3,IF(L157="F-60",4,IF(L157="F-90",5,IF(L157="F-120",6,0))))),0),0)+IF(AND(O157="FIRE TEX 5120",E157="CJ"),VLOOKUP(_xlfn.MINIFS('FIRE TEX 5120'!$O$5:$O$40,'FIRE TEX 5120'!$O$5:$O$40,"&gt;="&amp;M157),'FIRE TEX 5120'!$O$5:$T$40,IF(L157="F-15",2,IF(L157="F-30",3,IF(L157="F-60",4,IF(L157="F-90",5,IF(L157="F-120",6,0))))),0),0)</f>
        <v>0</v>
      </c>
      <c r="Q157" s="46">
        <f t="shared" si="18"/>
        <v>0</v>
      </c>
      <c r="R157" s="46">
        <f t="shared" si="20"/>
        <v>0</v>
      </c>
      <c r="S157" s="46" t="e">
        <f t="shared" si="19"/>
        <v>#VALUE!</v>
      </c>
      <c r="T157" s="677">
        <f t="shared" si="21"/>
        <v>0</v>
      </c>
      <c r="U157" s="80">
        <f>(IF(O157="Stofire",(S157*#REF!),0))+(IF(O157="Fire Control",(S157*$U$2),0))+(IF(O157="Fire Tex",(S157*$U$3),0))+(IF(O157="WB7",(S157*#REF!),0)+(IF(O157="FX 2003",(S157*$U$5),0)))</f>
        <v>0</v>
      </c>
      <c r="V157" s="651">
        <f t="shared" ref="V157:V169" si="23">_xlfn.CEILING.MATH(M157,10)</f>
        <v>0</v>
      </c>
      <c r="W157" s="4"/>
    </row>
    <row r="158" spans="1:23" x14ac:dyDescent="0.25">
      <c r="A158" s="652" t="s">
        <v>414</v>
      </c>
      <c r="B158" s="653" t="s">
        <v>415</v>
      </c>
      <c r="C158" s="1" t="s">
        <v>408</v>
      </c>
      <c r="D158" s="118">
        <f>+CUBICACION!D157</f>
        <v>0</v>
      </c>
      <c r="E158" s="118">
        <f>+CUBICACION!F157</f>
        <v>0</v>
      </c>
      <c r="F158" s="118">
        <f>+CUBICACION!E157</f>
        <v>0</v>
      </c>
      <c r="G158" s="118">
        <v>12</v>
      </c>
      <c r="H158" s="118">
        <v>2</v>
      </c>
      <c r="I158" s="820">
        <v>26385</v>
      </c>
      <c r="J158" s="118">
        <f>+CUBICACION!J157</f>
        <v>0</v>
      </c>
      <c r="K158" s="118">
        <v>2937</v>
      </c>
      <c r="L158" s="118">
        <f>+CUBICACION!L157</f>
        <v>0</v>
      </c>
      <c r="M158" s="64">
        <f>+CUBICACION!M157</f>
        <v>0</v>
      </c>
      <c r="N158" s="824" t="str">
        <f>+CUBICACION!N157</f>
        <v/>
      </c>
      <c r="O158" s="675">
        <f>+CUBICACION!O157</f>
        <v>0</v>
      </c>
      <c r="P158" s="15">
        <f>IF(O158="Fire Control",VLOOKUP(_xlfn.MINIFS('FIRE CONTROL'!$C$4:$C$37,'FIRE CONTROL'!$C$4:$C$37,"&gt;="&amp;M158),'FIRE CONTROL'!$C$4:$G$37,IF(L158="F-15",2,IF(L158="F-30",3,IF(L158="F-60",4,IF(L158="F-90",5,0)))),0),0)+IF(AND(O158="FIRE TEX 5062",OR(E158="IN",E158="C",E158="Z",E158="L"),J158=3),VLOOKUP(_xlfn.MINIFS('FIRE TEX 5062'!$B$4:$B$34,'FIRE TEX 5062'!$B$4:$B$34,"&gt;="&amp;M158),'FIRE TEX 5062'!$B$4:$F$34,IF(L158="F-15",2,IF(L158="F-30",3,IF(L158="F-60",4,IF(L158="F-90",5,0)))),0),0)+IF(AND(O158="FIRE TEX 5062",OR(E158="IN",E158="C",E158="Z",E158="L"),J158=4),VLOOKUP(_xlfn.MINIFS('FIRE TEX 5062'!$G$4:$G$34,'FIRE TEX 5062'!$G$4:$G$34,"&gt;="&amp;M158),'FIRE TEX 5062'!$G$4:$K$34,IF(L158="F-15",2,IF(L158="F-30",3,IF(L158="F-60",4,IF(L158="F-90",5,0)))),0),0)+IF(AND(O158="FIRE TEX 5062",E158="CJ",J158=3),VLOOKUP(_xlfn.MINIFS('FIRE TEX 5062'!$L$4:$L$34,'FIRE TEX 5062'!$L$4:$L$34,"&gt;="&amp;M158),'FIRE TEX 5062'!$L$4:$P$34,IF(L158="F-15",2,IF(L158="F-30",3,IF(L158="F-60",4,IF(L158="F-90",5,0)))),0),0)+IF(AND(O158="FIRE TEX 5062",E158="CJ",J158=4),VLOOKUP(_xlfn.MINIFS('FIRE TEX 5062'!$Q$3:$Q$34,'FIRE TEX 5062'!$Q$3:$Q$34,"&gt;="&amp;M158),'FIRE TEX 5062'!$Q$3:$U$34,IF(L158="F-15",2,IF(L158="F-30",3,IF(L158="F-60",4,IF(L158="F-90",5,0)))),0),0)+IF(AND(O158="FIRE TEX 5090",OR(E158="IN",E158="C",E158="Z",E158="L"),J158=3),VLOOKUP(_xlfn.MINIFS('FIRE TEX 5090'!$B$5:$B$43,'FIRE TEX 5090'!$B$5:$B$43,"&gt;="&amp;M158),'FIRE TEX 5090'!$B$5:$H$43,IF(L158="F-15",2,IF(L158="F-30",3,IF(L158="F-60",4,IF(L158="F-90",5,IF(L158="F-120",6,IF(L158="F-150",7,0)))))),0),0)+IF(AND(O158="FIRE TEX 5090",OR(E158="IN",E158="C",E158="Z",E158="L"),J158=4),VLOOKUP(_xlfn.MINIFS('FIRE TEX 5090'!$J$5:$J$43,'FIRE TEX 5090'!$J$5:$J$43,"&gt;="&amp;M158),'FIRE TEX 5090'!$J$5:$P$43,IF(L158="F-15",2,IF(L158="F-30",3,IF(L158="F-60",4,IF(L158="F-90",5,IF(L158="F-120",6,IF(L158="F-150",7,0)))))),0),0)+IF(AND(O158="FIRE TEX 5090",E158="CJ",J158=3),VLOOKUP(_xlfn.MINIFS('FIRE TEX 5090'!$R$5:$R$30,'FIRE TEX 5090'!$R$5:$R$30,"&gt;="&amp;M158),'FIRE TEX 5090'!$R$5:$W$30,IF(L158="F-15",2,IF(L158="F-30",3,IF(L158="F-60",4,IF(L158="F-90",5,IF(L158="F-120",6,IF(L158="F-150",7,0)))))),0),0)+IF(AND(O158="FIRE TEX 5090",E158="CJ",J158=4),VLOOKUP(_xlfn.MINIFS('FIRE TEX 5090'!$Y$5:$Y$39,'FIRE TEX 5090'!$Y$5:$Y$39,"&gt;="&amp;M158),'FIRE TEX 5090'!$Y$5:$AD$39,IF(L158="F-15",2,IF(L158="F-30",3,IF(L158="F-60",4,IF(L158="F-90",5,IF(L158="F-120",6,IF(L158="F-150",7,0)))))),0),0)+IF(AND(O158="FIRE TEX 5120",OR(E158="IN",E158="C",E158="Z",E158="L"),J158=3),VLOOKUP(_xlfn.MINIFS('FIRE TEX 5120'!$B$5:$B$40,'FIRE TEX 5120'!$B$5:$B$40,"&gt;="&amp;M158),'FIRE TEX 5120'!$B$5:$G$40,IF(L158="F-15",2,IF(L158="F-30",3,IF(L158="F-60",4,IF(L158="F-90",5,IF(L158="F-120",6,0))))),0),0)+IF(AND(O158="FIRE TEX 5120",OR(E158="IN",E158="C",E158="Z",E158="L"),J158=4),VLOOKUP(_xlfn.MINIFS('FIRE TEX 5120'!$H$4:$H$40,'FIRE TEX 5120'!$H$4:$H$40,"&gt;="&amp;M158),'FIRE TEX 5120'!$H$4:$M$40,IF(L158="F-15",2,IF(L158="F-30",3,IF(L158="F-60",4,IF(L158="F-90",5,IF(L158="F-120",6,0))))),0),0)+IF(AND(O158="FIRE TEX 5120",E158="CJ"),VLOOKUP(_xlfn.MINIFS('FIRE TEX 5120'!$O$5:$O$40,'FIRE TEX 5120'!$O$5:$O$40,"&gt;="&amp;M158),'FIRE TEX 5120'!$O$5:$T$40,IF(L158="F-15",2,IF(L158="F-30",3,IF(L158="F-60",4,IF(L158="F-90",5,IF(L158="F-120",6,0))))),0),0)</f>
        <v>0</v>
      </c>
      <c r="Q158" s="46">
        <f t="shared" si="18"/>
        <v>0</v>
      </c>
      <c r="R158" s="46">
        <f t="shared" si="20"/>
        <v>0</v>
      </c>
      <c r="S158" s="46" t="e">
        <f t="shared" si="19"/>
        <v>#VALUE!</v>
      </c>
      <c r="T158" s="677">
        <f t="shared" si="21"/>
        <v>0</v>
      </c>
      <c r="U158" s="80">
        <f>(IF(O158="Stofire",(S158*#REF!),0))+(IF(O158="Fire Control",(S158*$U$2),0))+(IF(O158="Fire Tex",(S158*$U$3),0))+(IF(O158="WB7",(S158*#REF!),0)+(IF(O158="FX 2003",(S158*$U$5),0)))</f>
        <v>0</v>
      </c>
      <c r="V158" s="651">
        <f t="shared" si="23"/>
        <v>0</v>
      </c>
      <c r="W158" s="4"/>
    </row>
    <row r="159" spans="1:23" x14ac:dyDescent="0.25">
      <c r="A159" s="652" t="s">
        <v>417</v>
      </c>
      <c r="B159" s="653" t="s">
        <v>415</v>
      </c>
      <c r="C159" s="1" t="s">
        <v>408</v>
      </c>
      <c r="D159" s="118">
        <f>+CUBICACION!D158</f>
        <v>0</v>
      </c>
      <c r="E159" s="118">
        <f>+CUBICACION!F158</f>
        <v>0</v>
      </c>
      <c r="F159" s="118">
        <f>+CUBICACION!E158</f>
        <v>0</v>
      </c>
      <c r="G159" s="118">
        <v>12</v>
      </c>
      <c r="H159" s="118">
        <v>2</v>
      </c>
      <c r="I159" s="820">
        <v>26385</v>
      </c>
      <c r="J159" s="118">
        <f>+CUBICACION!J158</f>
        <v>0</v>
      </c>
      <c r="K159" s="118">
        <v>2938</v>
      </c>
      <c r="L159" s="118">
        <f>+CUBICACION!L158</f>
        <v>0</v>
      </c>
      <c r="M159" s="64">
        <f>+CUBICACION!M158</f>
        <v>0</v>
      </c>
      <c r="N159" s="824" t="str">
        <f>+CUBICACION!N158</f>
        <v/>
      </c>
      <c r="O159" s="675">
        <f>+CUBICACION!O158</f>
        <v>0</v>
      </c>
      <c r="P159" s="15">
        <f>IF(O159="Fire Control",VLOOKUP(_xlfn.MINIFS('FIRE CONTROL'!$C$4:$C$37,'FIRE CONTROL'!$C$4:$C$37,"&gt;="&amp;M159),'FIRE CONTROL'!$C$4:$G$37,IF(L159="F-15",2,IF(L159="F-30",3,IF(L159="F-60",4,IF(L159="F-90",5,0)))),0),0)+IF(AND(O159="FIRE TEX 5062",OR(E159="IN",E159="C",E159="Z",E159="L"),J159=3),VLOOKUP(_xlfn.MINIFS('FIRE TEX 5062'!$B$4:$B$34,'FIRE TEX 5062'!$B$4:$B$34,"&gt;="&amp;M159),'FIRE TEX 5062'!$B$4:$F$34,IF(L159="F-15",2,IF(L159="F-30",3,IF(L159="F-60",4,IF(L159="F-90",5,0)))),0),0)+IF(AND(O159="FIRE TEX 5062",OR(E159="IN",E159="C",E159="Z",E159="L"),J159=4),VLOOKUP(_xlfn.MINIFS('FIRE TEX 5062'!$G$4:$G$34,'FIRE TEX 5062'!$G$4:$G$34,"&gt;="&amp;M159),'FIRE TEX 5062'!$G$4:$K$34,IF(L159="F-15",2,IF(L159="F-30",3,IF(L159="F-60",4,IF(L159="F-90",5,0)))),0),0)+IF(AND(O159="FIRE TEX 5062",E159="CJ",J159=3),VLOOKUP(_xlfn.MINIFS('FIRE TEX 5062'!$L$4:$L$34,'FIRE TEX 5062'!$L$4:$L$34,"&gt;="&amp;M159),'FIRE TEX 5062'!$L$4:$P$34,IF(L159="F-15",2,IF(L159="F-30",3,IF(L159="F-60",4,IF(L159="F-90",5,0)))),0),0)+IF(AND(O159="FIRE TEX 5062",E159="CJ",J159=4),VLOOKUP(_xlfn.MINIFS('FIRE TEX 5062'!$Q$3:$Q$34,'FIRE TEX 5062'!$Q$3:$Q$34,"&gt;="&amp;M159),'FIRE TEX 5062'!$Q$3:$U$34,IF(L159="F-15",2,IF(L159="F-30",3,IF(L159="F-60",4,IF(L159="F-90",5,0)))),0),0)+IF(AND(O159="FIRE TEX 5090",OR(E159="IN",E159="C",E159="Z",E159="L"),J159=3),VLOOKUP(_xlfn.MINIFS('FIRE TEX 5090'!$B$5:$B$43,'FIRE TEX 5090'!$B$5:$B$43,"&gt;="&amp;M159),'FIRE TEX 5090'!$B$5:$H$43,IF(L159="F-15",2,IF(L159="F-30",3,IF(L159="F-60",4,IF(L159="F-90",5,IF(L159="F-120",6,IF(L159="F-150",7,0)))))),0),0)+IF(AND(O159="FIRE TEX 5090",OR(E159="IN",E159="C",E159="Z",E159="L"),J159=4),VLOOKUP(_xlfn.MINIFS('FIRE TEX 5090'!$J$5:$J$43,'FIRE TEX 5090'!$J$5:$J$43,"&gt;="&amp;M159),'FIRE TEX 5090'!$J$5:$P$43,IF(L159="F-15",2,IF(L159="F-30",3,IF(L159="F-60",4,IF(L159="F-90",5,IF(L159="F-120",6,IF(L159="F-150",7,0)))))),0),0)+IF(AND(O159="FIRE TEX 5090",E159="CJ",J159=3),VLOOKUP(_xlfn.MINIFS('FIRE TEX 5090'!$R$5:$R$30,'FIRE TEX 5090'!$R$5:$R$30,"&gt;="&amp;M159),'FIRE TEX 5090'!$R$5:$W$30,IF(L159="F-15",2,IF(L159="F-30",3,IF(L159="F-60",4,IF(L159="F-90",5,IF(L159="F-120",6,IF(L159="F-150",7,0)))))),0),0)+IF(AND(O159="FIRE TEX 5090",E159="CJ",J159=4),VLOOKUP(_xlfn.MINIFS('FIRE TEX 5090'!$Y$5:$Y$39,'FIRE TEX 5090'!$Y$5:$Y$39,"&gt;="&amp;M159),'FIRE TEX 5090'!$Y$5:$AD$39,IF(L159="F-15",2,IF(L159="F-30",3,IF(L159="F-60",4,IF(L159="F-90",5,IF(L159="F-120",6,IF(L159="F-150",7,0)))))),0),0)+IF(AND(O159="FIRE TEX 5120",OR(E159="IN",E159="C",E159="Z",E159="L"),J159=3),VLOOKUP(_xlfn.MINIFS('FIRE TEX 5120'!$B$5:$B$40,'FIRE TEX 5120'!$B$5:$B$40,"&gt;="&amp;M159),'FIRE TEX 5120'!$B$5:$G$40,IF(L159="F-15",2,IF(L159="F-30",3,IF(L159="F-60",4,IF(L159="F-90",5,IF(L159="F-120",6,0))))),0),0)+IF(AND(O159="FIRE TEX 5120",OR(E159="IN",E159="C",E159="Z",E159="L"),J159=4),VLOOKUP(_xlfn.MINIFS('FIRE TEX 5120'!$H$4:$H$40,'FIRE TEX 5120'!$H$4:$H$40,"&gt;="&amp;M159),'FIRE TEX 5120'!$H$4:$M$40,IF(L159="F-15",2,IF(L159="F-30",3,IF(L159="F-60",4,IF(L159="F-90",5,IF(L159="F-120",6,0))))),0),0)+IF(AND(O159="FIRE TEX 5120",E159="CJ"),VLOOKUP(_xlfn.MINIFS('FIRE TEX 5120'!$O$5:$O$40,'FIRE TEX 5120'!$O$5:$O$40,"&gt;="&amp;M159),'FIRE TEX 5120'!$O$5:$T$40,IF(L159="F-15",2,IF(L159="F-30",3,IF(L159="F-60",4,IF(L159="F-90",5,IF(L159="F-120",6,0))))),0),0)</f>
        <v>0</v>
      </c>
      <c r="Q159" s="46">
        <f t="shared" si="18"/>
        <v>0</v>
      </c>
      <c r="R159" s="46">
        <f t="shared" si="20"/>
        <v>0</v>
      </c>
      <c r="S159" s="46" t="e">
        <f t="shared" si="19"/>
        <v>#VALUE!</v>
      </c>
      <c r="T159" s="677">
        <f t="shared" si="21"/>
        <v>0</v>
      </c>
      <c r="U159" s="80">
        <f>(IF(O159="Stofire",(S159*#REF!),0))+(IF(O159="Fire Control",(S159*$U$2),0))+(IF(O159="Fire Tex",(S159*$U$3),0))+(IF(O159="WB7",(S159*#REF!),0)+(IF(O159="FX 2003",(S159*$U$5),0)))</f>
        <v>0</v>
      </c>
      <c r="V159" s="651">
        <f t="shared" si="23"/>
        <v>0</v>
      </c>
      <c r="W159" s="4"/>
    </row>
    <row r="160" spans="1:23" x14ac:dyDescent="0.25">
      <c r="A160" s="652" t="s">
        <v>419</v>
      </c>
      <c r="B160" s="653" t="s">
        <v>415</v>
      </c>
      <c r="C160" s="1" t="s">
        <v>408</v>
      </c>
      <c r="D160" s="118">
        <f>+CUBICACION!D159</f>
        <v>0</v>
      </c>
      <c r="E160" s="118">
        <f>+CUBICACION!F159</f>
        <v>0</v>
      </c>
      <c r="F160" s="118">
        <f>+CUBICACION!E159</f>
        <v>0</v>
      </c>
      <c r="G160" s="118">
        <v>12</v>
      </c>
      <c r="H160" s="118">
        <v>2</v>
      </c>
      <c r="I160" s="820">
        <v>26385</v>
      </c>
      <c r="J160" s="118">
        <f>+CUBICACION!J159</f>
        <v>0</v>
      </c>
      <c r="K160" s="118">
        <v>2939</v>
      </c>
      <c r="L160" s="118">
        <f>+CUBICACION!L159</f>
        <v>0</v>
      </c>
      <c r="M160" s="64">
        <f>+CUBICACION!M159</f>
        <v>0</v>
      </c>
      <c r="N160" s="824" t="str">
        <f>+CUBICACION!N159</f>
        <v/>
      </c>
      <c r="O160" s="675">
        <f>+CUBICACION!O159</f>
        <v>0</v>
      </c>
      <c r="P160" s="15">
        <f>IF(O160="Fire Control",VLOOKUP(_xlfn.MINIFS('FIRE CONTROL'!$C$4:$C$37,'FIRE CONTROL'!$C$4:$C$37,"&gt;="&amp;M160),'FIRE CONTROL'!$C$4:$G$37,IF(L160="F-15",2,IF(L160="F-30",3,IF(L160="F-60",4,IF(L160="F-90",5,0)))),0),0)+IF(AND(O160="FIRE TEX 5062",OR(E160="IN",E160="C",E160="Z",E160="L"),J160=3),VLOOKUP(_xlfn.MINIFS('FIRE TEX 5062'!$B$4:$B$34,'FIRE TEX 5062'!$B$4:$B$34,"&gt;="&amp;M160),'FIRE TEX 5062'!$B$4:$F$34,IF(L160="F-15",2,IF(L160="F-30",3,IF(L160="F-60",4,IF(L160="F-90",5,0)))),0),0)+IF(AND(O160="FIRE TEX 5062",OR(E160="IN",E160="C",E160="Z",E160="L"),J160=4),VLOOKUP(_xlfn.MINIFS('FIRE TEX 5062'!$G$4:$G$34,'FIRE TEX 5062'!$G$4:$G$34,"&gt;="&amp;M160),'FIRE TEX 5062'!$G$4:$K$34,IF(L160="F-15",2,IF(L160="F-30",3,IF(L160="F-60",4,IF(L160="F-90",5,0)))),0),0)+IF(AND(O160="FIRE TEX 5062",E160="CJ",J160=3),VLOOKUP(_xlfn.MINIFS('FIRE TEX 5062'!$L$4:$L$34,'FIRE TEX 5062'!$L$4:$L$34,"&gt;="&amp;M160),'FIRE TEX 5062'!$L$4:$P$34,IF(L160="F-15",2,IF(L160="F-30",3,IF(L160="F-60",4,IF(L160="F-90",5,0)))),0),0)+IF(AND(O160="FIRE TEX 5062",E160="CJ",J160=4),VLOOKUP(_xlfn.MINIFS('FIRE TEX 5062'!$Q$3:$Q$34,'FIRE TEX 5062'!$Q$3:$Q$34,"&gt;="&amp;M160),'FIRE TEX 5062'!$Q$3:$U$34,IF(L160="F-15",2,IF(L160="F-30",3,IF(L160="F-60",4,IF(L160="F-90",5,0)))),0),0)+IF(AND(O160="FIRE TEX 5090",OR(E160="IN",E160="C",E160="Z",E160="L"),J160=3),VLOOKUP(_xlfn.MINIFS('FIRE TEX 5090'!$B$5:$B$43,'FIRE TEX 5090'!$B$5:$B$43,"&gt;="&amp;M160),'FIRE TEX 5090'!$B$5:$H$43,IF(L160="F-15",2,IF(L160="F-30",3,IF(L160="F-60",4,IF(L160="F-90",5,IF(L160="F-120",6,IF(L160="F-150",7,0)))))),0),0)+IF(AND(O160="FIRE TEX 5090",OR(E160="IN",E160="C",E160="Z",E160="L"),J160=4),VLOOKUP(_xlfn.MINIFS('FIRE TEX 5090'!$J$5:$J$43,'FIRE TEX 5090'!$J$5:$J$43,"&gt;="&amp;M160),'FIRE TEX 5090'!$J$5:$P$43,IF(L160="F-15",2,IF(L160="F-30",3,IF(L160="F-60",4,IF(L160="F-90",5,IF(L160="F-120",6,IF(L160="F-150",7,0)))))),0),0)+IF(AND(O160="FIRE TEX 5090",E160="CJ",J160=3),VLOOKUP(_xlfn.MINIFS('FIRE TEX 5090'!$R$5:$R$30,'FIRE TEX 5090'!$R$5:$R$30,"&gt;="&amp;M160),'FIRE TEX 5090'!$R$5:$W$30,IF(L160="F-15",2,IF(L160="F-30",3,IF(L160="F-60",4,IF(L160="F-90",5,IF(L160="F-120",6,IF(L160="F-150",7,0)))))),0),0)+IF(AND(O160="FIRE TEX 5090",E160="CJ",J160=4),VLOOKUP(_xlfn.MINIFS('FIRE TEX 5090'!$Y$5:$Y$39,'FIRE TEX 5090'!$Y$5:$Y$39,"&gt;="&amp;M160),'FIRE TEX 5090'!$Y$5:$AD$39,IF(L160="F-15",2,IF(L160="F-30",3,IF(L160="F-60",4,IF(L160="F-90",5,IF(L160="F-120",6,IF(L160="F-150",7,0)))))),0),0)+IF(AND(O160="FIRE TEX 5120",OR(E160="IN",E160="C",E160="Z",E160="L"),J160=3),VLOOKUP(_xlfn.MINIFS('FIRE TEX 5120'!$B$5:$B$40,'FIRE TEX 5120'!$B$5:$B$40,"&gt;="&amp;M160),'FIRE TEX 5120'!$B$5:$G$40,IF(L160="F-15",2,IF(L160="F-30",3,IF(L160="F-60",4,IF(L160="F-90",5,IF(L160="F-120",6,0))))),0),0)+IF(AND(O160="FIRE TEX 5120",OR(E160="IN",E160="C",E160="Z",E160="L"),J160=4),VLOOKUP(_xlfn.MINIFS('FIRE TEX 5120'!$H$4:$H$40,'FIRE TEX 5120'!$H$4:$H$40,"&gt;="&amp;M160),'FIRE TEX 5120'!$H$4:$M$40,IF(L160="F-15",2,IF(L160="F-30",3,IF(L160="F-60",4,IF(L160="F-90",5,IF(L160="F-120",6,0))))),0),0)+IF(AND(O160="FIRE TEX 5120",E160="CJ"),VLOOKUP(_xlfn.MINIFS('FIRE TEX 5120'!$O$5:$O$40,'FIRE TEX 5120'!$O$5:$O$40,"&gt;="&amp;M160),'FIRE TEX 5120'!$O$5:$T$40,IF(L160="F-15",2,IF(L160="F-30",3,IF(L160="F-60",4,IF(L160="F-90",5,IF(L160="F-120",6,0))))),0),0)</f>
        <v>0</v>
      </c>
      <c r="Q160" s="46">
        <f t="shared" si="18"/>
        <v>0</v>
      </c>
      <c r="R160" s="46">
        <f t="shared" si="20"/>
        <v>0</v>
      </c>
      <c r="S160" s="46" t="e">
        <f t="shared" si="19"/>
        <v>#VALUE!</v>
      </c>
      <c r="T160" s="677">
        <f t="shared" si="21"/>
        <v>0</v>
      </c>
      <c r="U160" s="80">
        <f>(IF(O160="Stofire",(S160*#REF!),0))+(IF(O160="Fire Control",(S160*$U$2),0))+(IF(O160="Fire Tex",(S160*$U$3),0))+(IF(O160="WB7",(S160*#REF!),0)+(IF(O160="FX 2003",(S160*$U$5),0)))</f>
        <v>0</v>
      </c>
      <c r="V160" s="651">
        <f t="shared" si="23"/>
        <v>0</v>
      </c>
      <c r="W160" s="4"/>
    </row>
    <row r="161" spans="1:23" x14ac:dyDescent="0.25">
      <c r="A161" s="652" t="s">
        <v>421</v>
      </c>
      <c r="B161" s="653" t="s">
        <v>422</v>
      </c>
      <c r="C161" s="1" t="s">
        <v>423</v>
      </c>
      <c r="D161" s="118">
        <f>+CUBICACION!D160</f>
        <v>0</v>
      </c>
      <c r="E161" s="118">
        <f>+CUBICACION!F160</f>
        <v>0</v>
      </c>
      <c r="F161" s="118">
        <f>+CUBICACION!E160</f>
        <v>0</v>
      </c>
      <c r="G161" s="118">
        <v>12</v>
      </c>
      <c r="H161" s="118">
        <v>2</v>
      </c>
      <c r="I161" s="820">
        <v>26385</v>
      </c>
      <c r="J161" s="118">
        <f>+CUBICACION!J160</f>
        <v>0</v>
      </c>
      <c r="K161" s="118">
        <v>2940</v>
      </c>
      <c r="L161" s="118">
        <f>+CUBICACION!L160</f>
        <v>0</v>
      </c>
      <c r="M161" s="64">
        <f>+CUBICACION!M160</f>
        <v>0</v>
      </c>
      <c r="N161" s="824" t="str">
        <f>+CUBICACION!N160</f>
        <v/>
      </c>
      <c r="O161" s="675">
        <f>+CUBICACION!O160</f>
        <v>0</v>
      </c>
      <c r="P161" s="15">
        <f>IF(O161="Fire Control",VLOOKUP(_xlfn.MINIFS('FIRE CONTROL'!$C$4:$C$37,'FIRE CONTROL'!$C$4:$C$37,"&gt;="&amp;M161),'FIRE CONTROL'!$C$4:$G$37,IF(L161="F-15",2,IF(L161="F-30",3,IF(L161="F-60",4,IF(L161="F-90",5,0)))),0),0)+IF(AND(O161="FIRE TEX 5062",OR(E161="IN",E161="C",E161="Z",E161="L"),J161=3),VLOOKUP(_xlfn.MINIFS('FIRE TEX 5062'!$B$4:$B$34,'FIRE TEX 5062'!$B$4:$B$34,"&gt;="&amp;M161),'FIRE TEX 5062'!$B$4:$F$34,IF(L161="F-15",2,IF(L161="F-30",3,IF(L161="F-60",4,IF(L161="F-90",5,0)))),0),0)+IF(AND(O161="FIRE TEX 5062",OR(E161="IN",E161="C",E161="Z",E161="L"),J161=4),VLOOKUP(_xlfn.MINIFS('FIRE TEX 5062'!$G$4:$G$34,'FIRE TEX 5062'!$G$4:$G$34,"&gt;="&amp;M161),'FIRE TEX 5062'!$G$4:$K$34,IF(L161="F-15",2,IF(L161="F-30",3,IF(L161="F-60",4,IF(L161="F-90",5,0)))),0),0)+IF(AND(O161="FIRE TEX 5062",E161="CJ",J161=3),VLOOKUP(_xlfn.MINIFS('FIRE TEX 5062'!$L$4:$L$34,'FIRE TEX 5062'!$L$4:$L$34,"&gt;="&amp;M161),'FIRE TEX 5062'!$L$4:$P$34,IF(L161="F-15",2,IF(L161="F-30",3,IF(L161="F-60",4,IF(L161="F-90",5,0)))),0),0)+IF(AND(O161="FIRE TEX 5062",E161="CJ",J161=4),VLOOKUP(_xlfn.MINIFS('FIRE TEX 5062'!$Q$3:$Q$34,'FIRE TEX 5062'!$Q$3:$Q$34,"&gt;="&amp;M161),'FIRE TEX 5062'!$Q$3:$U$34,IF(L161="F-15",2,IF(L161="F-30",3,IF(L161="F-60",4,IF(L161="F-90",5,0)))),0),0)+IF(AND(O161="FIRE TEX 5090",OR(E161="IN",E161="C",E161="Z",E161="L"),J161=3),VLOOKUP(_xlfn.MINIFS('FIRE TEX 5090'!$B$5:$B$43,'FIRE TEX 5090'!$B$5:$B$43,"&gt;="&amp;M161),'FIRE TEX 5090'!$B$5:$H$43,IF(L161="F-15",2,IF(L161="F-30",3,IF(L161="F-60",4,IF(L161="F-90",5,IF(L161="F-120",6,IF(L161="F-150",7,0)))))),0),0)+IF(AND(O161="FIRE TEX 5090",OR(E161="IN",E161="C",E161="Z",E161="L"),J161=4),VLOOKUP(_xlfn.MINIFS('FIRE TEX 5090'!$J$5:$J$43,'FIRE TEX 5090'!$J$5:$J$43,"&gt;="&amp;M161),'FIRE TEX 5090'!$J$5:$P$43,IF(L161="F-15",2,IF(L161="F-30",3,IF(L161="F-60",4,IF(L161="F-90",5,IF(L161="F-120",6,IF(L161="F-150",7,0)))))),0),0)+IF(AND(O161="FIRE TEX 5090",E161="CJ",J161=3),VLOOKUP(_xlfn.MINIFS('FIRE TEX 5090'!$R$5:$R$30,'FIRE TEX 5090'!$R$5:$R$30,"&gt;="&amp;M161),'FIRE TEX 5090'!$R$5:$W$30,IF(L161="F-15",2,IF(L161="F-30",3,IF(L161="F-60",4,IF(L161="F-90",5,IF(L161="F-120",6,IF(L161="F-150",7,0)))))),0),0)+IF(AND(O161="FIRE TEX 5090",E161="CJ",J161=4),VLOOKUP(_xlfn.MINIFS('FIRE TEX 5090'!$Y$5:$Y$39,'FIRE TEX 5090'!$Y$5:$Y$39,"&gt;="&amp;M161),'FIRE TEX 5090'!$Y$5:$AD$39,IF(L161="F-15",2,IF(L161="F-30",3,IF(L161="F-60",4,IF(L161="F-90",5,IF(L161="F-120",6,IF(L161="F-150",7,0)))))),0),0)+IF(AND(O161="FIRE TEX 5120",OR(E161="IN",E161="C",E161="Z",E161="L"),J161=3),VLOOKUP(_xlfn.MINIFS('FIRE TEX 5120'!$B$5:$B$40,'FIRE TEX 5120'!$B$5:$B$40,"&gt;="&amp;M161),'FIRE TEX 5120'!$B$5:$G$40,IF(L161="F-15",2,IF(L161="F-30",3,IF(L161="F-60",4,IF(L161="F-90",5,IF(L161="F-120",6,0))))),0),0)+IF(AND(O161="FIRE TEX 5120",OR(E161="IN",E161="C",E161="Z",E161="L"),J161=4),VLOOKUP(_xlfn.MINIFS('FIRE TEX 5120'!$H$4:$H$40,'FIRE TEX 5120'!$H$4:$H$40,"&gt;="&amp;M161),'FIRE TEX 5120'!$H$4:$M$40,IF(L161="F-15",2,IF(L161="F-30",3,IF(L161="F-60",4,IF(L161="F-90",5,IF(L161="F-120",6,0))))),0),0)+IF(AND(O161="FIRE TEX 5120",E161="CJ"),VLOOKUP(_xlfn.MINIFS('FIRE TEX 5120'!$O$5:$O$40,'FIRE TEX 5120'!$O$5:$O$40,"&gt;="&amp;M161),'FIRE TEX 5120'!$O$5:$T$40,IF(L161="F-15",2,IF(L161="F-30",3,IF(L161="F-60",4,IF(L161="F-90",5,IF(L161="F-120",6,0))))),0),0)</f>
        <v>0</v>
      </c>
      <c r="Q161" s="46">
        <f t="shared" si="18"/>
        <v>0</v>
      </c>
      <c r="R161" s="46">
        <f t="shared" si="20"/>
        <v>0</v>
      </c>
      <c r="S161" s="46" t="e">
        <f t="shared" si="19"/>
        <v>#VALUE!</v>
      </c>
      <c r="T161" s="677">
        <f t="shared" si="21"/>
        <v>0</v>
      </c>
      <c r="U161" s="80">
        <f>(IF(O161="Stofire",(S161*#REF!),0))+(IF(O161="Fire Control",(S161*$U$2),0))+(IF(O161="Fire Tex",(S161*$U$3),0))+(IF(O161="WB7",(S161*#REF!),0)+(IF(O161="FX 2003",(S161*$U$5),0)))</f>
        <v>0</v>
      </c>
      <c r="V161" s="651">
        <f t="shared" si="23"/>
        <v>0</v>
      </c>
      <c r="W161" s="4"/>
    </row>
    <row r="162" spans="1:23" x14ac:dyDescent="0.25">
      <c r="A162" s="652" t="s">
        <v>425</v>
      </c>
      <c r="B162" s="653" t="s">
        <v>426</v>
      </c>
      <c r="C162" s="1" t="s">
        <v>427</v>
      </c>
      <c r="D162" s="118">
        <f>+CUBICACION!D161</f>
        <v>0</v>
      </c>
      <c r="E162" s="118">
        <f>+CUBICACION!F161</f>
        <v>0</v>
      </c>
      <c r="F162" s="118">
        <f>+CUBICACION!E161</f>
        <v>0</v>
      </c>
      <c r="G162" s="118">
        <v>12</v>
      </c>
      <c r="H162" s="118">
        <v>2</v>
      </c>
      <c r="I162" s="820">
        <v>26385</v>
      </c>
      <c r="J162" s="118">
        <f>+CUBICACION!J161</f>
        <v>0</v>
      </c>
      <c r="K162" s="118">
        <v>2941</v>
      </c>
      <c r="L162" s="118">
        <f>+CUBICACION!L161</f>
        <v>0</v>
      </c>
      <c r="M162" s="64">
        <f>+CUBICACION!M161</f>
        <v>0</v>
      </c>
      <c r="N162" s="824" t="str">
        <f>+CUBICACION!N161</f>
        <v/>
      </c>
      <c r="O162" s="675">
        <f>+CUBICACION!O161</f>
        <v>0</v>
      </c>
      <c r="P162" s="15">
        <f>IF(O162="Fire Control",VLOOKUP(_xlfn.MINIFS('FIRE CONTROL'!$C$4:$C$37,'FIRE CONTROL'!$C$4:$C$37,"&gt;="&amp;M162),'FIRE CONTROL'!$C$4:$G$37,IF(L162="F-15",2,IF(L162="F-30",3,IF(L162="F-60",4,IF(L162="F-90",5,0)))),0),0)+IF(AND(O162="FIRE TEX 5062",OR(E162="IN",E162="C",E162="Z",E162="L"),J162=3),VLOOKUP(_xlfn.MINIFS('FIRE TEX 5062'!$B$4:$B$34,'FIRE TEX 5062'!$B$4:$B$34,"&gt;="&amp;M162),'FIRE TEX 5062'!$B$4:$F$34,IF(L162="F-15",2,IF(L162="F-30",3,IF(L162="F-60",4,IF(L162="F-90",5,0)))),0),0)+IF(AND(O162="FIRE TEX 5062",OR(E162="IN",E162="C",E162="Z",E162="L"),J162=4),VLOOKUP(_xlfn.MINIFS('FIRE TEX 5062'!$G$4:$G$34,'FIRE TEX 5062'!$G$4:$G$34,"&gt;="&amp;M162),'FIRE TEX 5062'!$G$4:$K$34,IF(L162="F-15",2,IF(L162="F-30",3,IF(L162="F-60",4,IF(L162="F-90",5,0)))),0),0)+IF(AND(O162="FIRE TEX 5062",E162="CJ",J162=3),VLOOKUP(_xlfn.MINIFS('FIRE TEX 5062'!$L$4:$L$34,'FIRE TEX 5062'!$L$4:$L$34,"&gt;="&amp;M162),'FIRE TEX 5062'!$L$4:$P$34,IF(L162="F-15",2,IF(L162="F-30",3,IF(L162="F-60",4,IF(L162="F-90",5,0)))),0),0)+IF(AND(O162="FIRE TEX 5062",E162="CJ",J162=4),VLOOKUP(_xlfn.MINIFS('FIRE TEX 5062'!$Q$3:$Q$34,'FIRE TEX 5062'!$Q$3:$Q$34,"&gt;="&amp;M162),'FIRE TEX 5062'!$Q$3:$U$34,IF(L162="F-15",2,IF(L162="F-30",3,IF(L162="F-60",4,IF(L162="F-90",5,0)))),0),0)+IF(AND(O162="FIRE TEX 5090",OR(E162="IN",E162="C",E162="Z",E162="L"),J162=3),VLOOKUP(_xlfn.MINIFS('FIRE TEX 5090'!$B$5:$B$43,'FIRE TEX 5090'!$B$5:$B$43,"&gt;="&amp;M162),'FIRE TEX 5090'!$B$5:$H$43,IF(L162="F-15",2,IF(L162="F-30",3,IF(L162="F-60",4,IF(L162="F-90",5,IF(L162="F-120",6,IF(L162="F-150",7,0)))))),0),0)+IF(AND(O162="FIRE TEX 5090",OR(E162="IN",E162="C",E162="Z",E162="L"),J162=4),VLOOKUP(_xlfn.MINIFS('FIRE TEX 5090'!$J$5:$J$43,'FIRE TEX 5090'!$J$5:$J$43,"&gt;="&amp;M162),'FIRE TEX 5090'!$J$5:$P$43,IF(L162="F-15",2,IF(L162="F-30",3,IF(L162="F-60",4,IF(L162="F-90",5,IF(L162="F-120",6,IF(L162="F-150",7,0)))))),0),0)+IF(AND(O162="FIRE TEX 5090",E162="CJ",J162=3),VLOOKUP(_xlfn.MINIFS('FIRE TEX 5090'!$R$5:$R$30,'FIRE TEX 5090'!$R$5:$R$30,"&gt;="&amp;M162),'FIRE TEX 5090'!$R$5:$W$30,IF(L162="F-15",2,IF(L162="F-30",3,IF(L162="F-60",4,IF(L162="F-90",5,IF(L162="F-120",6,IF(L162="F-150",7,0)))))),0),0)+IF(AND(O162="FIRE TEX 5090",E162="CJ",J162=4),VLOOKUP(_xlfn.MINIFS('FIRE TEX 5090'!$Y$5:$Y$39,'FIRE TEX 5090'!$Y$5:$Y$39,"&gt;="&amp;M162),'FIRE TEX 5090'!$Y$5:$AD$39,IF(L162="F-15",2,IF(L162="F-30",3,IF(L162="F-60",4,IF(L162="F-90",5,IF(L162="F-120",6,IF(L162="F-150",7,0)))))),0),0)+IF(AND(O162="FIRE TEX 5120",OR(E162="IN",E162="C",E162="Z",E162="L"),J162=3),VLOOKUP(_xlfn.MINIFS('FIRE TEX 5120'!$B$5:$B$40,'FIRE TEX 5120'!$B$5:$B$40,"&gt;="&amp;M162),'FIRE TEX 5120'!$B$5:$G$40,IF(L162="F-15",2,IF(L162="F-30",3,IF(L162="F-60",4,IF(L162="F-90",5,IF(L162="F-120",6,0))))),0),0)+IF(AND(O162="FIRE TEX 5120",OR(E162="IN",E162="C",E162="Z",E162="L"),J162=4),VLOOKUP(_xlfn.MINIFS('FIRE TEX 5120'!$H$4:$H$40,'FIRE TEX 5120'!$H$4:$H$40,"&gt;="&amp;M162),'FIRE TEX 5120'!$H$4:$M$40,IF(L162="F-15",2,IF(L162="F-30",3,IF(L162="F-60",4,IF(L162="F-90",5,IF(L162="F-120",6,0))))),0),0)+IF(AND(O162="FIRE TEX 5120",E162="CJ"),VLOOKUP(_xlfn.MINIFS('FIRE TEX 5120'!$O$5:$O$40,'FIRE TEX 5120'!$O$5:$O$40,"&gt;="&amp;M162),'FIRE TEX 5120'!$O$5:$T$40,IF(L162="F-15",2,IF(L162="F-30",3,IF(L162="F-60",4,IF(L162="F-90",5,IF(L162="F-120",6,0))))),0),0)</f>
        <v>0</v>
      </c>
      <c r="Q162" s="46">
        <f t="shared" si="18"/>
        <v>0</v>
      </c>
      <c r="R162" s="46">
        <f t="shared" si="20"/>
        <v>0</v>
      </c>
      <c r="S162" s="46" t="e">
        <f t="shared" si="19"/>
        <v>#VALUE!</v>
      </c>
      <c r="T162" s="677">
        <f t="shared" si="21"/>
        <v>0</v>
      </c>
      <c r="U162" s="80">
        <f>(IF(O162="Stofire",(S162*#REF!),0))+(IF(O162="Fire Control",(S162*$U$2),0))+(IF(O162="Fire Tex",(S162*$U$3),0))+(IF(O162="WB7",(S162*#REF!),0)+(IF(O162="FX 2003",(S162*$U$5),0)))</f>
        <v>0</v>
      </c>
      <c r="V162" s="651">
        <f t="shared" si="23"/>
        <v>0</v>
      </c>
      <c r="W162" s="4"/>
    </row>
    <row r="163" spans="1:23" x14ac:dyDescent="0.25">
      <c r="A163" s="652" t="s">
        <v>429</v>
      </c>
      <c r="B163" s="653" t="s">
        <v>430</v>
      </c>
      <c r="C163" s="1" t="s">
        <v>431</v>
      </c>
      <c r="D163" s="118">
        <f>+CUBICACION!D162</f>
        <v>0</v>
      </c>
      <c r="E163" s="118">
        <f>+CUBICACION!F162</f>
        <v>0</v>
      </c>
      <c r="F163" s="118">
        <f>+CUBICACION!E162</f>
        <v>0</v>
      </c>
      <c r="G163" s="118">
        <v>12</v>
      </c>
      <c r="H163" s="118">
        <v>2</v>
      </c>
      <c r="I163" s="820">
        <v>26385</v>
      </c>
      <c r="J163" s="118">
        <f>+CUBICACION!J162</f>
        <v>0</v>
      </c>
      <c r="K163" s="118">
        <v>2942</v>
      </c>
      <c r="L163" s="118">
        <f>+CUBICACION!L162</f>
        <v>0</v>
      </c>
      <c r="M163" s="64">
        <f>+CUBICACION!M162</f>
        <v>0</v>
      </c>
      <c r="N163" s="824" t="str">
        <f>+CUBICACION!N162</f>
        <v/>
      </c>
      <c r="O163" s="675">
        <f>+CUBICACION!O162</f>
        <v>0</v>
      </c>
      <c r="P163" s="15">
        <f>IF(O163="Fire Control",VLOOKUP(_xlfn.MINIFS('FIRE CONTROL'!$C$4:$C$37,'FIRE CONTROL'!$C$4:$C$37,"&gt;="&amp;M163),'FIRE CONTROL'!$C$4:$G$37,IF(L163="F-15",2,IF(L163="F-30",3,IF(L163="F-60",4,IF(L163="F-90",5,0)))),0),0)+IF(AND(O163="FIRE TEX 5062",OR(E163="IN",E163="C",E163="Z",E163="L"),J163=3),VLOOKUP(_xlfn.MINIFS('FIRE TEX 5062'!$B$4:$B$34,'FIRE TEX 5062'!$B$4:$B$34,"&gt;="&amp;M163),'FIRE TEX 5062'!$B$4:$F$34,IF(L163="F-15",2,IF(L163="F-30",3,IF(L163="F-60",4,IF(L163="F-90",5,0)))),0),0)+IF(AND(O163="FIRE TEX 5062",OR(E163="IN",E163="C",E163="Z",E163="L"),J163=4),VLOOKUP(_xlfn.MINIFS('FIRE TEX 5062'!$G$4:$G$34,'FIRE TEX 5062'!$G$4:$G$34,"&gt;="&amp;M163),'FIRE TEX 5062'!$G$4:$K$34,IF(L163="F-15",2,IF(L163="F-30",3,IF(L163="F-60",4,IF(L163="F-90",5,0)))),0),0)+IF(AND(O163="FIRE TEX 5062",E163="CJ",J163=3),VLOOKUP(_xlfn.MINIFS('FIRE TEX 5062'!$L$4:$L$34,'FIRE TEX 5062'!$L$4:$L$34,"&gt;="&amp;M163),'FIRE TEX 5062'!$L$4:$P$34,IF(L163="F-15",2,IF(L163="F-30",3,IF(L163="F-60",4,IF(L163="F-90",5,0)))),0),0)+IF(AND(O163="FIRE TEX 5062",E163="CJ",J163=4),VLOOKUP(_xlfn.MINIFS('FIRE TEX 5062'!$Q$3:$Q$34,'FIRE TEX 5062'!$Q$3:$Q$34,"&gt;="&amp;M163),'FIRE TEX 5062'!$Q$3:$U$34,IF(L163="F-15",2,IF(L163="F-30",3,IF(L163="F-60",4,IF(L163="F-90",5,0)))),0),0)+IF(AND(O163="FIRE TEX 5090",OR(E163="IN",E163="C",E163="Z",E163="L"),J163=3),VLOOKUP(_xlfn.MINIFS('FIRE TEX 5090'!$B$5:$B$43,'FIRE TEX 5090'!$B$5:$B$43,"&gt;="&amp;M163),'FIRE TEX 5090'!$B$5:$H$43,IF(L163="F-15",2,IF(L163="F-30",3,IF(L163="F-60",4,IF(L163="F-90",5,IF(L163="F-120",6,IF(L163="F-150",7,0)))))),0),0)+IF(AND(O163="FIRE TEX 5090",OR(E163="IN",E163="C",E163="Z",E163="L"),J163=4),VLOOKUP(_xlfn.MINIFS('FIRE TEX 5090'!$J$5:$J$43,'FIRE TEX 5090'!$J$5:$J$43,"&gt;="&amp;M163),'FIRE TEX 5090'!$J$5:$P$43,IF(L163="F-15",2,IF(L163="F-30",3,IF(L163="F-60",4,IF(L163="F-90",5,IF(L163="F-120",6,IF(L163="F-150",7,0)))))),0),0)+IF(AND(O163="FIRE TEX 5090",E163="CJ",J163=3),VLOOKUP(_xlfn.MINIFS('FIRE TEX 5090'!$R$5:$R$30,'FIRE TEX 5090'!$R$5:$R$30,"&gt;="&amp;M163),'FIRE TEX 5090'!$R$5:$W$30,IF(L163="F-15",2,IF(L163="F-30",3,IF(L163="F-60",4,IF(L163="F-90",5,IF(L163="F-120",6,IF(L163="F-150",7,0)))))),0),0)+IF(AND(O163="FIRE TEX 5090",E163="CJ",J163=4),VLOOKUP(_xlfn.MINIFS('FIRE TEX 5090'!$Y$5:$Y$39,'FIRE TEX 5090'!$Y$5:$Y$39,"&gt;="&amp;M163),'FIRE TEX 5090'!$Y$5:$AD$39,IF(L163="F-15",2,IF(L163="F-30",3,IF(L163="F-60",4,IF(L163="F-90",5,IF(L163="F-120",6,IF(L163="F-150",7,0)))))),0),0)+IF(AND(O163="FIRE TEX 5120",OR(E163="IN",E163="C",E163="Z",E163="L"),J163=3),VLOOKUP(_xlfn.MINIFS('FIRE TEX 5120'!$B$5:$B$40,'FIRE TEX 5120'!$B$5:$B$40,"&gt;="&amp;M163),'FIRE TEX 5120'!$B$5:$G$40,IF(L163="F-15",2,IF(L163="F-30",3,IF(L163="F-60",4,IF(L163="F-90",5,IF(L163="F-120",6,0))))),0),0)+IF(AND(O163="FIRE TEX 5120",OR(E163="IN",E163="C",E163="Z",E163="L"),J163=4),VLOOKUP(_xlfn.MINIFS('FIRE TEX 5120'!$H$4:$H$40,'FIRE TEX 5120'!$H$4:$H$40,"&gt;="&amp;M163),'FIRE TEX 5120'!$H$4:$M$40,IF(L163="F-15",2,IF(L163="F-30",3,IF(L163="F-60",4,IF(L163="F-90",5,IF(L163="F-120",6,0))))),0),0)+IF(AND(O163="FIRE TEX 5120",E163="CJ"),VLOOKUP(_xlfn.MINIFS('FIRE TEX 5120'!$O$5:$O$40,'FIRE TEX 5120'!$O$5:$O$40,"&gt;="&amp;M163),'FIRE TEX 5120'!$O$5:$T$40,IF(L163="F-15",2,IF(L163="F-30",3,IF(L163="F-60",4,IF(L163="F-90",5,IF(L163="F-120",6,0))))),0),0)</f>
        <v>0</v>
      </c>
      <c r="Q163" s="46">
        <f t="shared" si="18"/>
        <v>0</v>
      </c>
      <c r="R163" s="46">
        <f t="shared" si="20"/>
        <v>0</v>
      </c>
      <c r="S163" s="46" t="e">
        <f t="shared" si="19"/>
        <v>#VALUE!</v>
      </c>
      <c r="T163" s="677">
        <f t="shared" si="21"/>
        <v>0</v>
      </c>
      <c r="U163" s="80">
        <f>(IF(O163="Stofire",(S163*#REF!),0))+(IF(O163="Fire Control",(S163*$U$2),0))+(IF(O163="Fire Tex",(S163*$U$3),0))+(IF(O163="WB7",(S163*#REF!),0)+(IF(O163="FX 2003",(S163*$U$5),0)))</f>
        <v>0</v>
      </c>
      <c r="V163" s="651">
        <f t="shared" si="23"/>
        <v>0</v>
      </c>
      <c r="W163" s="4"/>
    </row>
    <row r="164" spans="1:23" x14ac:dyDescent="0.25">
      <c r="A164" s="652" t="s">
        <v>429</v>
      </c>
      <c r="B164" s="653" t="s">
        <v>430</v>
      </c>
      <c r="C164" s="1" t="s">
        <v>433</v>
      </c>
      <c r="D164" s="118">
        <f>+CUBICACION!D163</f>
        <v>0</v>
      </c>
      <c r="E164" s="118">
        <f>+CUBICACION!F163</f>
        <v>0</v>
      </c>
      <c r="F164" s="118">
        <f>+CUBICACION!E163</f>
        <v>0</v>
      </c>
      <c r="G164" s="118">
        <v>12</v>
      </c>
      <c r="H164" s="118">
        <v>2</v>
      </c>
      <c r="I164" s="820">
        <v>26385</v>
      </c>
      <c r="J164" s="118">
        <f>+CUBICACION!J163</f>
        <v>0</v>
      </c>
      <c r="K164" s="118">
        <v>2943</v>
      </c>
      <c r="L164" s="118">
        <f>+CUBICACION!L163</f>
        <v>0</v>
      </c>
      <c r="M164" s="64">
        <f>+CUBICACION!M163</f>
        <v>0</v>
      </c>
      <c r="N164" s="824" t="str">
        <f>+CUBICACION!N163</f>
        <v/>
      </c>
      <c r="O164" s="675">
        <f>+CUBICACION!O163</f>
        <v>0</v>
      </c>
      <c r="P164" s="15">
        <f>IF(O164="Fire Control",VLOOKUP(_xlfn.MINIFS('FIRE CONTROL'!$C$4:$C$37,'FIRE CONTROL'!$C$4:$C$37,"&gt;="&amp;M164),'FIRE CONTROL'!$C$4:$G$37,IF(L164="F-15",2,IF(L164="F-30",3,IF(L164="F-60",4,IF(L164="F-90",5,0)))),0),0)+IF(AND(O164="FIRE TEX 5062",OR(E164="IN",E164="C",E164="Z",E164="L"),J164=3),VLOOKUP(_xlfn.MINIFS('FIRE TEX 5062'!$B$4:$B$34,'FIRE TEX 5062'!$B$4:$B$34,"&gt;="&amp;M164),'FIRE TEX 5062'!$B$4:$F$34,IF(L164="F-15",2,IF(L164="F-30",3,IF(L164="F-60",4,IF(L164="F-90",5,0)))),0),0)+IF(AND(O164="FIRE TEX 5062",OR(E164="IN",E164="C",E164="Z",E164="L"),J164=4),VLOOKUP(_xlfn.MINIFS('FIRE TEX 5062'!$G$4:$G$34,'FIRE TEX 5062'!$G$4:$G$34,"&gt;="&amp;M164),'FIRE TEX 5062'!$G$4:$K$34,IF(L164="F-15",2,IF(L164="F-30",3,IF(L164="F-60",4,IF(L164="F-90",5,0)))),0),0)+IF(AND(O164="FIRE TEX 5062",E164="CJ",J164=3),VLOOKUP(_xlfn.MINIFS('FIRE TEX 5062'!$L$4:$L$34,'FIRE TEX 5062'!$L$4:$L$34,"&gt;="&amp;M164),'FIRE TEX 5062'!$L$4:$P$34,IF(L164="F-15",2,IF(L164="F-30",3,IF(L164="F-60",4,IF(L164="F-90",5,0)))),0),0)+IF(AND(O164="FIRE TEX 5062",E164="CJ",J164=4),VLOOKUP(_xlfn.MINIFS('FIRE TEX 5062'!$Q$3:$Q$34,'FIRE TEX 5062'!$Q$3:$Q$34,"&gt;="&amp;M164),'FIRE TEX 5062'!$Q$3:$U$34,IF(L164="F-15",2,IF(L164="F-30",3,IF(L164="F-60",4,IF(L164="F-90",5,0)))),0),0)+IF(AND(O164="FIRE TEX 5090",OR(E164="IN",E164="C",E164="Z",E164="L"),J164=3),VLOOKUP(_xlfn.MINIFS('FIRE TEX 5090'!$B$5:$B$43,'FIRE TEX 5090'!$B$5:$B$43,"&gt;="&amp;M164),'FIRE TEX 5090'!$B$5:$H$43,IF(L164="F-15",2,IF(L164="F-30",3,IF(L164="F-60",4,IF(L164="F-90",5,IF(L164="F-120",6,IF(L164="F-150",7,0)))))),0),0)+IF(AND(O164="FIRE TEX 5090",OR(E164="IN",E164="C",E164="Z",E164="L"),J164=4),VLOOKUP(_xlfn.MINIFS('FIRE TEX 5090'!$J$5:$J$43,'FIRE TEX 5090'!$J$5:$J$43,"&gt;="&amp;M164),'FIRE TEX 5090'!$J$5:$P$43,IF(L164="F-15",2,IF(L164="F-30",3,IF(L164="F-60",4,IF(L164="F-90",5,IF(L164="F-120",6,IF(L164="F-150",7,0)))))),0),0)+IF(AND(O164="FIRE TEX 5090",E164="CJ",J164=3),VLOOKUP(_xlfn.MINIFS('FIRE TEX 5090'!$R$5:$R$30,'FIRE TEX 5090'!$R$5:$R$30,"&gt;="&amp;M164),'FIRE TEX 5090'!$R$5:$W$30,IF(L164="F-15",2,IF(L164="F-30",3,IF(L164="F-60",4,IF(L164="F-90",5,IF(L164="F-120",6,IF(L164="F-150",7,0)))))),0),0)+IF(AND(O164="FIRE TEX 5090",E164="CJ",J164=4),VLOOKUP(_xlfn.MINIFS('FIRE TEX 5090'!$Y$5:$Y$39,'FIRE TEX 5090'!$Y$5:$Y$39,"&gt;="&amp;M164),'FIRE TEX 5090'!$Y$5:$AD$39,IF(L164="F-15",2,IF(L164="F-30",3,IF(L164="F-60",4,IF(L164="F-90",5,IF(L164="F-120",6,IF(L164="F-150",7,0)))))),0),0)+IF(AND(O164="FIRE TEX 5120",OR(E164="IN",E164="C",E164="Z",E164="L"),J164=3),VLOOKUP(_xlfn.MINIFS('FIRE TEX 5120'!$B$5:$B$40,'FIRE TEX 5120'!$B$5:$B$40,"&gt;="&amp;M164),'FIRE TEX 5120'!$B$5:$G$40,IF(L164="F-15",2,IF(L164="F-30",3,IF(L164="F-60",4,IF(L164="F-90",5,IF(L164="F-120",6,0))))),0),0)+IF(AND(O164="FIRE TEX 5120",OR(E164="IN",E164="C",E164="Z",E164="L"),J164=4),VLOOKUP(_xlfn.MINIFS('FIRE TEX 5120'!$H$4:$H$40,'FIRE TEX 5120'!$H$4:$H$40,"&gt;="&amp;M164),'FIRE TEX 5120'!$H$4:$M$40,IF(L164="F-15",2,IF(L164="F-30",3,IF(L164="F-60",4,IF(L164="F-90",5,IF(L164="F-120",6,0))))),0),0)+IF(AND(O164="FIRE TEX 5120",E164="CJ"),VLOOKUP(_xlfn.MINIFS('FIRE TEX 5120'!$O$5:$O$40,'FIRE TEX 5120'!$O$5:$O$40,"&gt;="&amp;M164),'FIRE TEX 5120'!$O$5:$T$40,IF(L164="F-15",2,IF(L164="F-30",3,IF(L164="F-60",4,IF(L164="F-90",5,IF(L164="F-120",6,0))))),0),0)</f>
        <v>0</v>
      </c>
      <c r="Q164" s="46">
        <f t="shared" si="18"/>
        <v>0</v>
      </c>
      <c r="R164" s="46">
        <f t="shared" si="20"/>
        <v>0</v>
      </c>
      <c r="S164" s="46" t="e">
        <f t="shared" si="19"/>
        <v>#VALUE!</v>
      </c>
      <c r="T164" s="677">
        <f t="shared" si="21"/>
        <v>0</v>
      </c>
      <c r="U164" s="80">
        <f>(IF(O164="Stofire",(S164*#REF!),0))+(IF(O164="Fire Control",(S164*$U$2),0))+(IF(O164="Fire Tex",(S164*$U$3),0))+(IF(O164="WB7",(S164*#REF!),0)+(IF(O164="FX 2003",(S164*$U$5),0)))</f>
        <v>0</v>
      </c>
      <c r="V164" s="651">
        <f t="shared" si="23"/>
        <v>0</v>
      </c>
      <c r="W164" s="4"/>
    </row>
    <row r="165" spans="1:23" x14ac:dyDescent="0.25">
      <c r="A165" s="652" t="s">
        <v>429</v>
      </c>
      <c r="B165" s="653" t="s">
        <v>430</v>
      </c>
      <c r="C165" s="1" t="s">
        <v>435</v>
      </c>
      <c r="D165" s="118">
        <f>+CUBICACION!D164</f>
        <v>0</v>
      </c>
      <c r="E165" s="118">
        <f>+CUBICACION!F164</f>
        <v>0</v>
      </c>
      <c r="F165" s="118">
        <f>+CUBICACION!E164</f>
        <v>0</v>
      </c>
      <c r="G165" s="118">
        <v>12</v>
      </c>
      <c r="H165" s="118">
        <v>2</v>
      </c>
      <c r="I165" s="820">
        <v>26385</v>
      </c>
      <c r="J165" s="118">
        <f>+CUBICACION!J164</f>
        <v>0</v>
      </c>
      <c r="K165" s="118">
        <v>2944</v>
      </c>
      <c r="L165" s="118">
        <f>+CUBICACION!L164</f>
        <v>0</v>
      </c>
      <c r="M165" s="64">
        <f>+CUBICACION!M164</f>
        <v>0</v>
      </c>
      <c r="N165" s="824" t="str">
        <f>+CUBICACION!N164</f>
        <v/>
      </c>
      <c r="O165" s="675">
        <f>+CUBICACION!O164</f>
        <v>0</v>
      </c>
      <c r="P165" s="15">
        <f>IF(O165="Fire Control",VLOOKUP(_xlfn.MINIFS('FIRE CONTROL'!$C$4:$C$37,'FIRE CONTROL'!$C$4:$C$37,"&gt;="&amp;M165),'FIRE CONTROL'!$C$4:$G$37,IF(L165="F-15",2,IF(L165="F-30",3,IF(L165="F-60",4,IF(L165="F-90",5,0)))),0),0)+IF(AND(O165="FIRE TEX 5062",OR(E165="IN",E165="C",E165="Z",E165="L"),J165=3),VLOOKUP(_xlfn.MINIFS('FIRE TEX 5062'!$B$4:$B$34,'FIRE TEX 5062'!$B$4:$B$34,"&gt;="&amp;M165),'FIRE TEX 5062'!$B$4:$F$34,IF(L165="F-15",2,IF(L165="F-30",3,IF(L165="F-60",4,IF(L165="F-90",5,0)))),0),0)+IF(AND(O165="FIRE TEX 5062",OR(E165="IN",E165="C",E165="Z",E165="L"),J165=4),VLOOKUP(_xlfn.MINIFS('FIRE TEX 5062'!$G$4:$G$34,'FIRE TEX 5062'!$G$4:$G$34,"&gt;="&amp;M165),'FIRE TEX 5062'!$G$4:$K$34,IF(L165="F-15",2,IF(L165="F-30",3,IF(L165="F-60",4,IF(L165="F-90",5,0)))),0),0)+IF(AND(O165="FIRE TEX 5062",E165="CJ",J165=3),VLOOKUP(_xlfn.MINIFS('FIRE TEX 5062'!$L$4:$L$34,'FIRE TEX 5062'!$L$4:$L$34,"&gt;="&amp;M165),'FIRE TEX 5062'!$L$4:$P$34,IF(L165="F-15",2,IF(L165="F-30",3,IF(L165="F-60",4,IF(L165="F-90",5,0)))),0),0)+IF(AND(O165="FIRE TEX 5062",E165="CJ",J165=4),VLOOKUP(_xlfn.MINIFS('FIRE TEX 5062'!$Q$3:$Q$34,'FIRE TEX 5062'!$Q$3:$Q$34,"&gt;="&amp;M165),'FIRE TEX 5062'!$Q$3:$U$34,IF(L165="F-15",2,IF(L165="F-30",3,IF(L165="F-60",4,IF(L165="F-90",5,0)))),0),0)+IF(AND(O165="FIRE TEX 5090",OR(E165="IN",E165="C",E165="Z",E165="L"),J165=3),VLOOKUP(_xlfn.MINIFS('FIRE TEX 5090'!$B$5:$B$43,'FIRE TEX 5090'!$B$5:$B$43,"&gt;="&amp;M165),'FIRE TEX 5090'!$B$5:$H$43,IF(L165="F-15",2,IF(L165="F-30",3,IF(L165="F-60",4,IF(L165="F-90",5,IF(L165="F-120",6,IF(L165="F-150",7,0)))))),0),0)+IF(AND(O165="FIRE TEX 5090",OR(E165="IN",E165="C",E165="Z",E165="L"),J165=4),VLOOKUP(_xlfn.MINIFS('FIRE TEX 5090'!$J$5:$J$43,'FIRE TEX 5090'!$J$5:$J$43,"&gt;="&amp;M165),'FIRE TEX 5090'!$J$5:$P$43,IF(L165="F-15",2,IF(L165="F-30",3,IF(L165="F-60",4,IF(L165="F-90",5,IF(L165="F-120",6,IF(L165="F-150",7,0)))))),0),0)+IF(AND(O165="FIRE TEX 5090",E165="CJ",J165=3),VLOOKUP(_xlfn.MINIFS('FIRE TEX 5090'!$R$5:$R$30,'FIRE TEX 5090'!$R$5:$R$30,"&gt;="&amp;M165),'FIRE TEX 5090'!$R$5:$W$30,IF(L165="F-15",2,IF(L165="F-30",3,IF(L165="F-60",4,IF(L165="F-90",5,IF(L165="F-120",6,IF(L165="F-150",7,0)))))),0),0)+IF(AND(O165="FIRE TEX 5090",E165="CJ",J165=4),VLOOKUP(_xlfn.MINIFS('FIRE TEX 5090'!$Y$5:$Y$39,'FIRE TEX 5090'!$Y$5:$Y$39,"&gt;="&amp;M165),'FIRE TEX 5090'!$Y$5:$AD$39,IF(L165="F-15",2,IF(L165="F-30",3,IF(L165="F-60",4,IF(L165="F-90",5,IF(L165="F-120",6,IF(L165="F-150",7,0)))))),0),0)+IF(AND(O165="FIRE TEX 5120",OR(E165="IN",E165="C",E165="Z",E165="L"),J165=3),VLOOKUP(_xlfn.MINIFS('FIRE TEX 5120'!$B$5:$B$40,'FIRE TEX 5120'!$B$5:$B$40,"&gt;="&amp;M165),'FIRE TEX 5120'!$B$5:$G$40,IF(L165="F-15",2,IF(L165="F-30",3,IF(L165="F-60",4,IF(L165="F-90",5,IF(L165="F-120",6,0))))),0),0)+IF(AND(O165="FIRE TEX 5120",OR(E165="IN",E165="C",E165="Z",E165="L"),J165=4),VLOOKUP(_xlfn.MINIFS('FIRE TEX 5120'!$H$4:$H$40,'FIRE TEX 5120'!$H$4:$H$40,"&gt;="&amp;M165),'FIRE TEX 5120'!$H$4:$M$40,IF(L165="F-15",2,IF(L165="F-30",3,IF(L165="F-60",4,IF(L165="F-90",5,IF(L165="F-120",6,0))))),0),0)+IF(AND(O165="FIRE TEX 5120",E165="CJ"),VLOOKUP(_xlfn.MINIFS('FIRE TEX 5120'!$O$5:$O$40,'FIRE TEX 5120'!$O$5:$O$40,"&gt;="&amp;M165),'FIRE TEX 5120'!$O$5:$T$40,IF(L165="F-15",2,IF(L165="F-30",3,IF(L165="F-60",4,IF(L165="F-90",5,IF(L165="F-120",6,0))))),0),0)</f>
        <v>0</v>
      </c>
      <c r="Q165" s="46">
        <f t="shared" si="18"/>
        <v>0</v>
      </c>
      <c r="R165" s="46">
        <f t="shared" si="20"/>
        <v>0</v>
      </c>
      <c r="S165" s="46" t="e">
        <f t="shared" si="19"/>
        <v>#VALUE!</v>
      </c>
      <c r="T165" s="677">
        <f t="shared" si="21"/>
        <v>0</v>
      </c>
      <c r="U165" s="80">
        <f>(IF(O165="Stofire",(S165*#REF!),0))+(IF(O165="Fire Control",(S165*$U$2),0))+(IF(O165="Fire Tex",(S165*$U$3),0))+(IF(O165="WB7",(S165*#REF!),0)+(IF(O165="FX 2003",(S165*$U$5),0)))</f>
        <v>0</v>
      </c>
      <c r="V165" s="651">
        <f t="shared" si="23"/>
        <v>0</v>
      </c>
      <c r="W165" s="4"/>
    </row>
    <row r="166" spans="1:23" x14ac:dyDescent="0.25">
      <c r="A166" s="652" t="s">
        <v>429</v>
      </c>
      <c r="B166" s="653" t="s">
        <v>430</v>
      </c>
      <c r="C166" s="1" t="s">
        <v>437</v>
      </c>
      <c r="D166" s="118">
        <f>+CUBICACION!D165</f>
        <v>0</v>
      </c>
      <c r="E166" s="118">
        <f>+CUBICACION!F165</f>
        <v>0</v>
      </c>
      <c r="F166" s="118">
        <f>+CUBICACION!E165</f>
        <v>0</v>
      </c>
      <c r="G166" s="118">
        <v>12</v>
      </c>
      <c r="H166" s="118">
        <v>2</v>
      </c>
      <c r="I166" s="820">
        <v>26385</v>
      </c>
      <c r="J166" s="118">
        <f>+CUBICACION!J165</f>
        <v>0</v>
      </c>
      <c r="K166" s="118">
        <v>2945</v>
      </c>
      <c r="L166" s="118">
        <f>+CUBICACION!L165</f>
        <v>0</v>
      </c>
      <c r="M166" s="64">
        <f>+CUBICACION!M165</f>
        <v>0</v>
      </c>
      <c r="N166" s="824" t="str">
        <f>+CUBICACION!N165</f>
        <v/>
      </c>
      <c r="O166" s="675">
        <f>+CUBICACION!O165</f>
        <v>0</v>
      </c>
      <c r="P166" s="15">
        <f>IF(O166="Fire Control",VLOOKUP(_xlfn.MINIFS('FIRE CONTROL'!$C$4:$C$37,'FIRE CONTROL'!$C$4:$C$37,"&gt;="&amp;M166),'FIRE CONTROL'!$C$4:$G$37,IF(L166="F-15",2,IF(L166="F-30",3,IF(L166="F-60",4,IF(L166="F-90",5,0)))),0),0)+IF(AND(O166="FIRE TEX 5062",OR(E166="IN",E166="C",E166="Z",E166="L"),J166=3),VLOOKUP(_xlfn.MINIFS('FIRE TEX 5062'!$B$4:$B$34,'FIRE TEX 5062'!$B$4:$B$34,"&gt;="&amp;M166),'FIRE TEX 5062'!$B$4:$F$34,IF(L166="F-15",2,IF(L166="F-30",3,IF(L166="F-60",4,IF(L166="F-90",5,0)))),0),0)+IF(AND(O166="FIRE TEX 5062",OR(E166="IN",E166="C",E166="Z",E166="L"),J166=4),VLOOKUP(_xlfn.MINIFS('FIRE TEX 5062'!$G$4:$G$34,'FIRE TEX 5062'!$G$4:$G$34,"&gt;="&amp;M166),'FIRE TEX 5062'!$G$4:$K$34,IF(L166="F-15",2,IF(L166="F-30",3,IF(L166="F-60",4,IF(L166="F-90",5,0)))),0),0)+IF(AND(O166="FIRE TEX 5062",E166="CJ",J166=3),VLOOKUP(_xlfn.MINIFS('FIRE TEX 5062'!$L$4:$L$34,'FIRE TEX 5062'!$L$4:$L$34,"&gt;="&amp;M166),'FIRE TEX 5062'!$L$4:$P$34,IF(L166="F-15",2,IF(L166="F-30",3,IF(L166="F-60",4,IF(L166="F-90",5,0)))),0),0)+IF(AND(O166="FIRE TEX 5062",E166="CJ",J166=4),VLOOKUP(_xlfn.MINIFS('FIRE TEX 5062'!$Q$3:$Q$34,'FIRE TEX 5062'!$Q$3:$Q$34,"&gt;="&amp;M166),'FIRE TEX 5062'!$Q$3:$U$34,IF(L166="F-15",2,IF(L166="F-30",3,IF(L166="F-60",4,IF(L166="F-90",5,0)))),0),0)+IF(AND(O166="FIRE TEX 5090",OR(E166="IN",E166="C",E166="Z",E166="L"),J166=3),VLOOKUP(_xlfn.MINIFS('FIRE TEX 5090'!$B$5:$B$43,'FIRE TEX 5090'!$B$5:$B$43,"&gt;="&amp;M166),'FIRE TEX 5090'!$B$5:$H$43,IF(L166="F-15",2,IF(L166="F-30",3,IF(L166="F-60",4,IF(L166="F-90",5,IF(L166="F-120",6,IF(L166="F-150",7,0)))))),0),0)+IF(AND(O166="FIRE TEX 5090",OR(E166="IN",E166="C",E166="Z",E166="L"),J166=4),VLOOKUP(_xlfn.MINIFS('FIRE TEX 5090'!$J$5:$J$43,'FIRE TEX 5090'!$J$5:$J$43,"&gt;="&amp;M166),'FIRE TEX 5090'!$J$5:$P$43,IF(L166="F-15",2,IF(L166="F-30",3,IF(L166="F-60",4,IF(L166="F-90",5,IF(L166="F-120",6,IF(L166="F-150",7,0)))))),0),0)+IF(AND(O166="FIRE TEX 5090",E166="CJ",J166=3),VLOOKUP(_xlfn.MINIFS('FIRE TEX 5090'!$R$5:$R$30,'FIRE TEX 5090'!$R$5:$R$30,"&gt;="&amp;M166),'FIRE TEX 5090'!$R$5:$W$30,IF(L166="F-15",2,IF(L166="F-30",3,IF(L166="F-60",4,IF(L166="F-90",5,IF(L166="F-120",6,IF(L166="F-150",7,0)))))),0),0)+IF(AND(O166="FIRE TEX 5090",E166="CJ",J166=4),VLOOKUP(_xlfn.MINIFS('FIRE TEX 5090'!$Y$5:$Y$39,'FIRE TEX 5090'!$Y$5:$Y$39,"&gt;="&amp;M166),'FIRE TEX 5090'!$Y$5:$AD$39,IF(L166="F-15",2,IF(L166="F-30",3,IF(L166="F-60",4,IF(L166="F-90",5,IF(L166="F-120",6,IF(L166="F-150",7,0)))))),0),0)+IF(AND(O166="FIRE TEX 5120",OR(E166="IN",E166="C",E166="Z",E166="L"),J166=3),VLOOKUP(_xlfn.MINIFS('FIRE TEX 5120'!$B$5:$B$40,'FIRE TEX 5120'!$B$5:$B$40,"&gt;="&amp;M166),'FIRE TEX 5120'!$B$5:$G$40,IF(L166="F-15",2,IF(L166="F-30",3,IF(L166="F-60",4,IF(L166="F-90",5,IF(L166="F-120",6,0))))),0),0)+IF(AND(O166="FIRE TEX 5120",OR(E166="IN",E166="C",E166="Z",E166="L"),J166=4),VLOOKUP(_xlfn.MINIFS('FIRE TEX 5120'!$H$4:$H$40,'FIRE TEX 5120'!$H$4:$H$40,"&gt;="&amp;M166),'FIRE TEX 5120'!$H$4:$M$40,IF(L166="F-15",2,IF(L166="F-30",3,IF(L166="F-60",4,IF(L166="F-90",5,IF(L166="F-120",6,0))))),0),0)+IF(AND(O166="FIRE TEX 5120",E166="CJ"),VLOOKUP(_xlfn.MINIFS('FIRE TEX 5120'!$O$5:$O$40,'FIRE TEX 5120'!$O$5:$O$40,"&gt;="&amp;M166),'FIRE TEX 5120'!$O$5:$T$40,IF(L166="F-15",2,IF(L166="F-30",3,IF(L166="F-60",4,IF(L166="F-90",5,IF(L166="F-120",6,0))))),0),0)</f>
        <v>0</v>
      </c>
      <c r="Q166" s="46">
        <f t="shared" si="18"/>
        <v>0</v>
      </c>
      <c r="R166" s="46">
        <f t="shared" si="20"/>
        <v>0</v>
      </c>
      <c r="S166" s="46" t="e">
        <f t="shared" si="19"/>
        <v>#VALUE!</v>
      </c>
      <c r="T166" s="677">
        <f t="shared" si="21"/>
        <v>0</v>
      </c>
      <c r="U166" s="80">
        <f>(IF(O166="Stofire",(S166*#REF!),0))+(IF(O166="Fire Control",(S166*$U$2),0))+(IF(O166="Fire Tex",(S166*$U$3),0))+(IF(O166="WB7",(S166*#REF!),0)+(IF(O166="FX 2003",(S166*$U$5),0)))</f>
        <v>0</v>
      </c>
      <c r="V166" s="651">
        <f t="shared" si="23"/>
        <v>0</v>
      </c>
      <c r="W166" s="4"/>
    </row>
    <row r="167" spans="1:23" x14ac:dyDescent="0.25">
      <c r="A167" s="652" t="s">
        <v>439</v>
      </c>
      <c r="B167" s="653" t="s">
        <v>430</v>
      </c>
      <c r="C167" s="1" t="s">
        <v>431</v>
      </c>
      <c r="D167" s="118">
        <f>+CUBICACION!D166</f>
        <v>0</v>
      </c>
      <c r="E167" s="118">
        <f>+CUBICACION!F166</f>
        <v>0</v>
      </c>
      <c r="F167" s="118">
        <f>+CUBICACION!E166</f>
        <v>0</v>
      </c>
      <c r="G167" s="118">
        <v>12</v>
      </c>
      <c r="H167" s="118">
        <v>2</v>
      </c>
      <c r="I167" s="820">
        <v>26385</v>
      </c>
      <c r="J167" s="118">
        <f>+CUBICACION!J166</f>
        <v>0</v>
      </c>
      <c r="K167" s="118">
        <v>2946</v>
      </c>
      <c r="L167" s="118">
        <f>+CUBICACION!L166</f>
        <v>0</v>
      </c>
      <c r="M167" s="64">
        <f>+CUBICACION!M166</f>
        <v>0</v>
      </c>
      <c r="N167" s="824" t="str">
        <f>+CUBICACION!N166</f>
        <v/>
      </c>
      <c r="O167" s="675">
        <f>+CUBICACION!O166</f>
        <v>0</v>
      </c>
      <c r="P167" s="15">
        <f>IF(O167="Fire Control",VLOOKUP(_xlfn.MINIFS('FIRE CONTROL'!$C$4:$C$37,'FIRE CONTROL'!$C$4:$C$37,"&gt;="&amp;M167),'FIRE CONTROL'!$C$4:$G$37,IF(L167="F-15",2,IF(L167="F-30",3,IF(L167="F-60",4,IF(L167="F-90",5,0)))),0),0)+IF(AND(O167="FIRE TEX 5062",OR(E167="IN",E167="C",E167="Z",E167="L"),J167=3),VLOOKUP(_xlfn.MINIFS('FIRE TEX 5062'!$B$4:$B$34,'FIRE TEX 5062'!$B$4:$B$34,"&gt;="&amp;M167),'FIRE TEX 5062'!$B$4:$F$34,IF(L167="F-15",2,IF(L167="F-30",3,IF(L167="F-60",4,IF(L167="F-90",5,0)))),0),0)+IF(AND(O167="FIRE TEX 5062",OR(E167="IN",E167="C",E167="Z",E167="L"),J167=4),VLOOKUP(_xlfn.MINIFS('FIRE TEX 5062'!$G$4:$G$34,'FIRE TEX 5062'!$G$4:$G$34,"&gt;="&amp;M167),'FIRE TEX 5062'!$G$4:$K$34,IF(L167="F-15",2,IF(L167="F-30",3,IF(L167="F-60",4,IF(L167="F-90",5,0)))),0),0)+IF(AND(O167="FIRE TEX 5062",E167="CJ",J167=3),VLOOKUP(_xlfn.MINIFS('FIRE TEX 5062'!$L$4:$L$34,'FIRE TEX 5062'!$L$4:$L$34,"&gt;="&amp;M167),'FIRE TEX 5062'!$L$4:$P$34,IF(L167="F-15",2,IF(L167="F-30",3,IF(L167="F-60",4,IF(L167="F-90",5,0)))),0),0)+IF(AND(O167="FIRE TEX 5062",E167="CJ",J167=4),VLOOKUP(_xlfn.MINIFS('FIRE TEX 5062'!$Q$3:$Q$34,'FIRE TEX 5062'!$Q$3:$Q$34,"&gt;="&amp;M167),'FIRE TEX 5062'!$Q$3:$U$34,IF(L167="F-15",2,IF(L167="F-30",3,IF(L167="F-60",4,IF(L167="F-90",5,0)))),0),0)+IF(AND(O167="FIRE TEX 5090",OR(E167="IN",E167="C",E167="Z",E167="L"),J167=3),VLOOKUP(_xlfn.MINIFS('FIRE TEX 5090'!$B$5:$B$43,'FIRE TEX 5090'!$B$5:$B$43,"&gt;="&amp;M167),'FIRE TEX 5090'!$B$5:$H$43,IF(L167="F-15",2,IF(L167="F-30",3,IF(L167="F-60",4,IF(L167="F-90",5,IF(L167="F-120",6,IF(L167="F-150",7,0)))))),0),0)+IF(AND(O167="FIRE TEX 5090",OR(E167="IN",E167="C",E167="Z",E167="L"),J167=4),VLOOKUP(_xlfn.MINIFS('FIRE TEX 5090'!$J$5:$J$43,'FIRE TEX 5090'!$J$5:$J$43,"&gt;="&amp;M167),'FIRE TEX 5090'!$J$5:$P$43,IF(L167="F-15",2,IF(L167="F-30",3,IF(L167="F-60",4,IF(L167="F-90",5,IF(L167="F-120",6,IF(L167="F-150",7,0)))))),0),0)+IF(AND(O167="FIRE TEX 5090",E167="CJ",J167=3),VLOOKUP(_xlfn.MINIFS('FIRE TEX 5090'!$R$5:$R$30,'FIRE TEX 5090'!$R$5:$R$30,"&gt;="&amp;M167),'FIRE TEX 5090'!$R$5:$W$30,IF(L167="F-15",2,IF(L167="F-30",3,IF(L167="F-60",4,IF(L167="F-90",5,IF(L167="F-120",6,IF(L167="F-150",7,0)))))),0),0)+IF(AND(O167="FIRE TEX 5090",E167="CJ",J167=4),VLOOKUP(_xlfn.MINIFS('FIRE TEX 5090'!$Y$5:$Y$39,'FIRE TEX 5090'!$Y$5:$Y$39,"&gt;="&amp;M167),'FIRE TEX 5090'!$Y$5:$AD$39,IF(L167="F-15",2,IF(L167="F-30",3,IF(L167="F-60",4,IF(L167="F-90",5,IF(L167="F-120",6,IF(L167="F-150",7,0)))))),0),0)+IF(AND(O167="FIRE TEX 5120",OR(E167="IN",E167="C",E167="Z",E167="L"),J167=3),VLOOKUP(_xlfn.MINIFS('FIRE TEX 5120'!$B$5:$B$40,'FIRE TEX 5120'!$B$5:$B$40,"&gt;="&amp;M167),'FIRE TEX 5120'!$B$5:$G$40,IF(L167="F-15",2,IF(L167="F-30",3,IF(L167="F-60",4,IF(L167="F-90",5,IF(L167="F-120",6,0))))),0),0)+IF(AND(O167="FIRE TEX 5120",OR(E167="IN",E167="C",E167="Z",E167="L"),J167=4),VLOOKUP(_xlfn.MINIFS('FIRE TEX 5120'!$H$4:$H$40,'FIRE TEX 5120'!$H$4:$H$40,"&gt;="&amp;M167),'FIRE TEX 5120'!$H$4:$M$40,IF(L167="F-15",2,IF(L167="F-30",3,IF(L167="F-60",4,IF(L167="F-90",5,IF(L167="F-120",6,0))))),0),0)+IF(AND(O167="FIRE TEX 5120",E167="CJ"),VLOOKUP(_xlfn.MINIFS('FIRE TEX 5120'!$O$5:$O$40,'FIRE TEX 5120'!$O$5:$O$40,"&gt;="&amp;M167),'FIRE TEX 5120'!$O$5:$T$40,IF(L167="F-15",2,IF(L167="F-30",3,IF(L167="F-60",4,IF(L167="F-90",5,IF(L167="F-120",6,0))))),0),0)</f>
        <v>0</v>
      </c>
      <c r="Q167" s="46">
        <f t="shared" si="18"/>
        <v>0</v>
      </c>
      <c r="R167" s="46">
        <f t="shared" si="20"/>
        <v>0</v>
      </c>
      <c r="S167" s="46" t="e">
        <f t="shared" si="19"/>
        <v>#VALUE!</v>
      </c>
      <c r="T167" s="677">
        <f t="shared" si="21"/>
        <v>0</v>
      </c>
      <c r="U167" s="80">
        <f>(IF(O167="Stofire",(S167*#REF!),0))+(IF(O167="Fire Control",(S167*$U$2),0))+(IF(O167="Fire Tex",(S167*$U$3),0))+(IF(O167="WB7",(S167*#REF!),0)+(IF(O167="FX 2003",(S167*$U$5),0)))</f>
        <v>0</v>
      </c>
      <c r="V167" s="651">
        <f t="shared" si="23"/>
        <v>0</v>
      </c>
      <c r="W167" s="4"/>
    </row>
    <row r="168" spans="1:23" x14ac:dyDescent="0.25">
      <c r="A168" s="652" t="s">
        <v>439</v>
      </c>
      <c r="B168" s="653" t="s">
        <v>430</v>
      </c>
      <c r="C168" s="1" t="s">
        <v>435</v>
      </c>
      <c r="D168" s="118">
        <f>+CUBICACION!D167</f>
        <v>0</v>
      </c>
      <c r="E168" s="118">
        <f>+CUBICACION!F167</f>
        <v>0</v>
      </c>
      <c r="F168" s="118">
        <f>+CUBICACION!E167</f>
        <v>0</v>
      </c>
      <c r="G168" s="118">
        <v>12</v>
      </c>
      <c r="H168" s="118">
        <v>2</v>
      </c>
      <c r="I168" s="820">
        <v>26385</v>
      </c>
      <c r="J168" s="118">
        <f>+CUBICACION!J167</f>
        <v>0</v>
      </c>
      <c r="K168" s="118">
        <v>2947</v>
      </c>
      <c r="L168" s="118">
        <f>+CUBICACION!L167</f>
        <v>0</v>
      </c>
      <c r="M168" s="64">
        <f>+CUBICACION!M167</f>
        <v>0</v>
      </c>
      <c r="N168" s="824" t="str">
        <f>+CUBICACION!N167</f>
        <v/>
      </c>
      <c r="O168" s="675">
        <f>+CUBICACION!O167</f>
        <v>0</v>
      </c>
      <c r="P168" s="15">
        <f>IF(O168="Fire Control",VLOOKUP(_xlfn.MINIFS('FIRE CONTROL'!$C$4:$C$37,'FIRE CONTROL'!$C$4:$C$37,"&gt;="&amp;M168),'FIRE CONTROL'!$C$4:$G$37,IF(L168="F-15",2,IF(L168="F-30",3,IF(L168="F-60",4,IF(L168="F-90",5,0)))),0),0)+IF(AND(O168="FIRE TEX 5062",OR(E168="IN",E168="C",E168="Z",E168="L"),J168=3),VLOOKUP(_xlfn.MINIFS('FIRE TEX 5062'!$B$4:$B$34,'FIRE TEX 5062'!$B$4:$B$34,"&gt;="&amp;M168),'FIRE TEX 5062'!$B$4:$F$34,IF(L168="F-15",2,IF(L168="F-30",3,IF(L168="F-60",4,IF(L168="F-90",5,0)))),0),0)+IF(AND(O168="FIRE TEX 5062",OR(E168="IN",E168="C",E168="Z",E168="L"),J168=4),VLOOKUP(_xlfn.MINIFS('FIRE TEX 5062'!$G$4:$G$34,'FIRE TEX 5062'!$G$4:$G$34,"&gt;="&amp;M168),'FIRE TEX 5062'!$G$4:$K$34,IF(L168="F-15",2,IF(L168="F-30",3,IF(L168="F-60",4,IF(L168="F-90",5,0)))),0),0)+IF(AND(O168="FIRE TEX 5062",E168="CJ",J168=3),VLOOKUP(_xlfn.MINIFS('FIRE TEX 5062'!$L$4:$L$34,'FIRE TEX 5062'!$L$4:$L$34,"&gt;="&amp;M168),'FIRE TEX 5062'!$L$4:$P$34,IF(L168="F-15",2,IF(L168="F-30",3,IF(L168="F-60",4,IF(L168="F-90",5,0)))),0),0)+IF(AND(O168="FIRE TEX 5062",E168="CJ",J168=4),VLOOKUP(_xlfn.MINIFS('FIRE TEX 5062'!$Q$3:$Q$34,'FIRE TEX 5062'!$Q$3:$Q$34,"&gt;="&amp;M168),'FIRE TEX 5062'!$Q$3:$U$34,IF(L168="F-15",2,IF(L168="F-30",3,IF(L168="F-60",4,IF(L168="F-90",5,0)))),0),0)+IF(AND(O168="FIRE TEX 5090",OR(E168="IN",E168="C",E168="Z",E168="L"),J168=3),VLOOKUP(_xlfn.MINIFS('FIRE TEX 5090'!$B$5:$B$43,'FIRE TEX 5090'!$B$5:$B$43,"&gt;="&amp;M168),'FIRE TEX 5090'!$B$5:$H$43,IF(L168="F-15",2,IF(L168="F-30",3,IF(L168="F-60",4,IF(L168="F-90",5,IF(L168="F-120",6,IF(L168="F-150",7,0)))))),0),0)+IF(AND(O168="FIRE TEX 5090",OR(E168="IN",E168="C",E168="Z",E168="L"),J168=4),VLOOKUP(_xlfn.MINIFS('FIRE TEX 5090'!$J$5:$J$43,'FIRE TEX 5090'!$J$5:$J$43,"&gt;="&amp;M168),'FIRE TEX 5090'!$J$5:$P$43,IF(L168="F-15",2,IF(L168="F-30",3,IF(L168="F-60",4,IF(L168="F-90",5,IF(L168="F-120",6,IF(L168="F-150",7,0)))))),0),0)+IF(AND(O168="FIRE TEX 5090",E168="CJ",J168=3),VLOOKUP(_xlfn.MINIFS('FIRE TEX 5090'!$R$5:$R$30,'FIRE TEX 5090'!$R$5:$R$30,"&gt;="&amp;M168),'FIRE TEX 5090'!$R$5:$W$30,IF(L168="F-15",2,IF(L168="F-30",3,IF(L168="F-60",4,IF(L168="F-90",5,IF(L168="F-120",6,IF(L168="F-150",7,0)))))),0),0)+IF(AND(O168="FIRE TEX 5090",E168="CJ",J168=4),VLOOKUP(_xlfn.MINIFS('FIRE TEX 5090'!$Y$5:$Y$39,'FIRE TEX 5090'!$Y$5:$Y$39,"&gt;="&amp;M168),'FIRE TEX 5090'!$Y$5:$AD$39,IF(L168="F-15",2,IF(L168="F-30",3,IF(L168="F-60",4,IF(L168="F-90",5,IF(L168="F-120",6,IF(L168="F-150",7,0)))))),0),0)+IF(AND(O168="FIRE TEX 5120",OR(E168="IN",E168="C",E168="Z",E168="L"),J168=3),VLOOKUP(_xlfn.MINIFS('FIRE TEX 5120'!$B$5:$B$40,'FIRE TEX 5120'!$B$5:$B$40,"&gt;="&amp;M168),'FIRE TEX 5120'!$B$5:$G$40,IF(L168="F-15",2,IF(L168="F-30",3,IF(L168="F-60",4,IF(L168="F-90",5,IF(L168="F-120",6,0))))),0),0)+IF(AND(O168="FIRE TEX 5120",OR(E168="IN",E168="C",E168="Z",E168="L"),J168=4),VLOOKUP(_xlfn.MINIFS('FIRE TEX 5120'!$H$4:$H$40,'FIRE TEX 5120'!$H$4:$H$40,"&gt;="&amp;M168),'FIRE TEX 5120'!$H$4:$M$40,IF(L168="F-15",2,IF(L168="F-30",3,IF(L168="F-60",4,IF(L168="F-90",5,IF(L168="F-120",6,0))))),0),0)+IF(AND(O168="FIRE TEX 5120",E168="CJ"),VLOOKUP(_xlfn.MINIFS('FIRE TEX 5120'!$O$5:$O$40,'FIRE TEX 5120'!$O$5:$O$40,"&gt;="&amp;M168),'FIRE TEX 5120'!$O$5:$T$40,IF(L168="F-15",2,IF(L168="F-30",3,IF(L168="F-60",4,IF(L168="F-90",5,IF(L168="F-120",6,0))))),0),0)</f>
        <v>0</v>
      </c>
      <c r="Q168" s="46">
        <f t="shared" si="18"/>
        <v>0</v>
      </c>
      <c r="R168" s="46">
        <f t="shared" si="20"/>
        <v>0</v>
      </c>
      <c r="S168" s="46" t="e">
        <f t="shared" si="19"/>
        <v>#VALUE!</v>
      </c>
      <c r="T168" s="677">
        <f t="shared" si="21"/>
        <v>0</v>
      </c>
      <c r="U168" s="80">
        <f>(IF(O168="Stofire",(S168*#REF!),0))+(IF(O168="Fire Control",(S168*$U$2),0))+(IF(O168="Fire Tex",(S168*$U$3),0))+(IF(O168="WB7",(S168*#REF!),0)+(IF(O168="FX 2003",(S168*$U$5),0)))</f>
        <v>0</v>
      </c>
      <c r="V168" s="651">
        <f t="shared" si="23"/>
        <v>0</v>
      </c>
      <c r="W168" s="4"/>
    </row>
    <row r="169" spans="1:23" x14ac:dyDescent="0.25">
      <c r="A169" s="652" t="s">
        <v>442</v>
      </c>
      <c r="B169" s="653" t="s">
        <v>443</v>
      </c>
      <c r="C169" s="1" t="s">
        <v>444</v>
      </c>
      <c r="D169" s="118">
        <f>+CUBICACION!D168</f>
        <v>0</v>
      </c>
      <c r="E169" s="118">
        <f>+CUBICACION!F168</f>
        <v>0</v>
      </c>
      <c r="F169" s="118">
        <f>+CUBICACION!E168</f>
        <v>0</v>
      </c>
      <c r="G169" s="118">
        <v>12</v>
      </c>
      <c r="H169" s="118">
        <v>2</v>
      </c>
      <c r="I169" s="820">
        <v>26385</v>
      </c>
      <c r="J169" s="118">
        <f>+CUBICACION!J168</f>
        <v>0</v>
      </c>
      <c r="K169" s="118">
        <v>2948</v>
      </c>
      <c r="L169" s="118">
        <f>+CUBICACION!L168</f>
        <v>0</v>
      </c>
      <c r="M169" s="64">
        <f>+CUBICACION!M168</f>
        <v>0</v>
      </c>
      <c r="N169" s="824" t="str">
        <f>+CUBICACION!N168</f>
        <v/>
      </c>
      <c r="O169" s="675">
        <f>+CUBICACION!O168</f>
        <v>0</v>
      </c>
      <c r="P169" s="15">
        <f>IF(O169="Fire Control",VLOOKUP(_xlfn.MINIFS('FIRE CONTROL'!$C$4:$C$37,'FIRE CONTROL'!$C$4:$C$37,"&gt;="&amp;M169),'FIRE CONTROL'!$C$4:$G$37,IF(L169="F-15",2,IF(L169="F-30",3,IF(L169="F-60",4,IF(L169="F-90",5,0)))),0),0)+IF(AND(O169="FIRE TEX 5062",OR(E169="IN",E169="C",E169="Z",E169="L"),J169=3),VLOOKUP(_xlfn.MINIFS('FIRE TEX 5062'!$B$4:$B$34,'FIRE TEX 5062'!$B$4:$B$34,"&gt;="&amp;M169),'FIRE TEX 5062'!$B$4:$F$34,IF(L169="F-15",2,IF(L169="F-30",3,IF(L169="F-60",4,IF(L169="F-90",5,0)))),0),0)+IF(AND(O169="FIRE TEX 5062",OR(E169="IN",E169="C",E169="Z",E169="L"),J169=4),VLOOKUP(_xlfn.MINIFS('FIRE TEX 5062'!$G$4:$G$34,'FIRE TEX 5062'!$G$4:$G$34,"&gt;="&amp;M169),'FIRE TEX 5062'!$G$4:$K$34,IF(L169="F-15",2,IF(L169="F-30",3,IF(L169="F-60",4,IF(L169="F-90",5,0)))),0),0)+IF(AND(O169="FIRE TEX 5062",E169="CJ",J169=3),VLOOKUP(_xlfn.MINIFS('FIRE TEX 5062'!$L$4:$L$34,'FIRE TEX 5062'!$L$4:$L$34,"&gt;="&amp;M169),'FIRE TEX 5062'!$L$4:$P$34,IF(L169="F-15",2,IF(L169="F-30",3,IF(L169="F-60",4,IF(L169="F-90",5,0)))),0),0)+IF(AND(O169="FIRE TEX 5062",E169="CJ",J169=4),VLOOKUP(_xlfn.MINIFS('FIRE TEX 5062'!$Q$3:$Q$34,'FIRE TEX 5062'!$Q$3:$Q$34,"&gt;="&amp;M169),'FIRE TEX 5062'!$Q$3:$U$34,IF(L169="F-15",2,IF(L169="F-30",3,IF(L169="F-60",4,IF(L169="F-90",5,0)))),0),0)+IF(AND(O169="FIRE TEX 5090",OR(E169="IN",E169="C",E169="Z",E169="L"),J169=3),VLOOKUP(_xlfn.MINIFS('FIRE TEX 5090'!$B$5:$B$43,'FIRE TEX 5090'!$B$5:$B$43,"&gt;="&amp;M169),'FIRE TEX 5090'!$B$5:$H$43,IF(L169="F-15",2,IF(L169="F-30",3,IF(L169="F-60",4,IF(L169="F-90",5,IF(L169="F-120",6,IF(L169="F-150",7,0)))))),0),0)+IF(AND(O169="FIRE TEX 5090",OR(E169="IN",E169="C",E169="Z",E169="L"),J169=4),VLOOKUP(_xlfn.MINIFS('FIRE TEX 5090'!$J$5:$J$43,'FIRE TEX 5090'!$J$5:$J$43,"&gt;="&amp;M169),'FIRE TEX 5090'!$J$5:$P$43,IF(L169="F-15",2,IF(L169="F-30",3,IF(L169="F-60",4,IF(L169="F-90",5,IF(L169="F-120",6,IF(L169="F-150",7,0)))))),0),0)+IF(AND(O169="FIRE TEX 5090",E169="CJ",J169=3),VLOOKUP(_xlfn.MINIFS('FIRE TEX 5090'!$R$5:$R$30,'FIRE TEX 5090'!$R$5:$R$30,"&gt;="&amp;M169),'FIRE TEX 5090'!$R$5:$W$30,IF(L169="F-15",2,IF(L169="F-30",3,IF(L169="F-60",4,IF(L169="F-90",5,IF(L169="F-120",6,IF(L169="F-150",7,0)))))),0),0)+IF(AND(O169="FIRE TEX 5090",E169="CJ",J169=4),VLOOKUP(_xlfn.MINIFS('FIRE TEX 5090'!$Y$5:$Y$39,'FIRE TEX 5090'!$Y$5:$Y$39,"&gt;="&amp;M169),'FIRE TEX 5090'!$Y$5:$AD$39,IF(L169="F-15",2,IF(L169="F-30",3,IF(L169="F-60",4,IF(L169="F-90",5,IF(L169="F-120",6,IF(L169="F-150",7,0)))))),0),0)+IF(AND(O169="FIRE TEX 5120",OR(E169="IN",E169="C",E169="Z",E169="L"),J169=3),VLOOKUP(_xlfn.MINIFS('FIRE TEX 5120'!$B$5:$B$40,'FIRE TEX 5120'!$B$5:$B$40,"&gt;="&amp;M169),'FIRE TEX 5120'!$B$5:$G$40,IF(L169="F-15",2,IF(L169="F-30",3,IF(L169="F-60",4,IF(L169="F-90",5,IF(L169="F-120",6,0))))),0),0)+IF(AND(O169="FIRE TEX 5120",OR(E169="IN",E169="C",E169="Z",E169="L"),J169=4),VLOOKUP(_xlfn.MINIFS('FIRE TEX 5120'!$H$4:$H$40,'FIRE TEX 5120'!$H$4:$H$40,"&gt;="&amp;M169),'FIRE TEX 5120'!$H$4:$M$40,IF(L169="F-15",2,IF(L169="F-30",3,IF(L169="F-60",4,IF(L169="F-90",5,IF(L169="F-120",6,0))))),0),0)+IF(AND(O169="FIRE TEX 5120",E169="CJ"),VLOOKUP(_xlfn.MINIFS('FIRE TEX 5120'!$O$5:$O$40,'FIRE TEX 5120'!$O$5:$O$40,"&gt;="&amp;M169),'FIRE TEX 5120'!$O$5:$T$40,IF(L169="F-15",2,IF(L169="F-30",3,IF(L169="F-60",4,IF(L169="F-90",5,IF(L169="F-120",6,0))))),0),0)</f>
        <v>0</v>
      </c>
      <c r="Q169" s="46">
        <f t="shared" si="18"/>
        <v>0</v>
      </c>
      <c r="R169" s="46">
        <f t="shared" si="20"/>
        <v>0</v>
      </c>
      <c r="S169" s="46" t="e">
        <f t="shared" si="19"/>
        <v>#VALUE!</v>
      </c>
      <c r="T169" s="677">
        <f t="shared" si="21"/>
        <v>0</v>
      </c>
      <c r="U169" s="80">
        <f>(IF(O169="Stofire",(S169*#REF!),0))+(IF(O169="Fire Control",(S169*$U$2),0))+(IF(O169="Fire Tex",(S169*$U$3),0))+(IF(O169="WB7",(S169*#REF!),0)+(IF(O169="FX 2003",(S169*$U$5),0)))</f>
        <v>0</v>
      </c>
      <c r="V169" s="651">
        <f t="shared" si="23"/>
        <v>0</v>
      </c>
      <c r="W169" s="4"/>
    </row>
    <row r="170" spans="1:23" x14ac:dyDescent="0.25">
      <c r="A170" s="652" t="s">
        <v>442</v>
      </c>
      <c r="B170" s="653" t="s">
        <v>443</v>
      </c>
      <c r="C170" s="1" t="s">
        <v>446</v>
      </c>
      <c r="D170" s="118">
        <f>+CUBICACION!D169</f>
        <v>0</v>
      </c>
      <c r="E170" s="118">
        <f>+CUBICACION!F169</f>
        <v>0</v>
      </c>
      <c r="F170" s="118">
        <f>+CUBICACION!E169</f>
        <v>0</v>
      </c>
      <c r="G170" s="118">
        <v>12</v>
      </c>
      <c r="H170" s="118">
        <v>2</v>
      </c>
      <c r="I170" s="820">
        <v>26385</v>
      </c>
      <c r="J170" s="118">
        <f>+CUBICACION!J169</f>
        <v>0</v>
      </c>
      <c r="K170" s="118">
        <v>2949</v>
      </c>
      <c r="L170" s="118">
        <f>+CUBICACION!L169</f>
        <v>0</v>
      </c>
      <c r="M170" s="64">
        <f>+CUBICACION!M169</f>
        <v>0</v>
      </c>
      <c r="N170" s="824" t="str">
        <f>+CUBICACION!N169</f>
        <v/>
      </c>
      <c r="O170" s="675">
        <f>+CUBICACION!O169</f>
        <v>0</v>
      </c>
      <c r="P170" s="15">
        <f>IF(O170="Fire Control",VLOOKUP(_xlfn.MINIFS('FIRE CONTROL'!$C$4:$C$37,'FIRE CONTROL'!$C$4:$C$37,"&gt;="&amp;M170),'FIRE CONTROL'!$C$4:$G$37,IF(L170="F-15",2,IF(L170="F-30",3,IF(L170="F-60",4,IF(L170="F-90",5,0)))),0),0)+IF(AND(O170="FIRE TEX 5062",OR(E170="IN",E170="C",E170="Z",E170="L"),J170=3),VLOOKUP(_xlfn.MINIFS('FIRE TEX 5062'!$B$4:$B$34,'FIRE TEX 5062'!$B$4:$B$34,"&gt;="&amp;M170),'FIRE TEX 5062'!$B$4:$F$34,IF(L170="F-15",2,IF(L170="F-30",3,IF(L170="F-60",4,IF(L170="F-90",5,0)))),0),0)+IF(AND(O170="FIRE TEX 5062",OR(E170="IN",E170="C",E170="Z",E170="L"),J170=4),VLOOKUP(_xlfn.MINIFS('FIRE TEX 5062'!$G$4:$G$34,'FIRE TEX 5062'!$G$4:$G$34,"&gt;="&amp;M170),'FIRE TEX 5062'!$G$4:$K$34,IF(L170="F-15",2,IF(L170="F-30",3,IF(L170="F-60",4,IF(L170="F-90",5,0)))),0),0)+IF(AND(O170="FIRE TEX 5062",E170="CJ",J170=3),VLOOKUP(_xlfn.MINIFS('FIRE TEX 5062'!$L$4:$L$34,'FIRE TEX 5062'!$L$4:$L$34,"&gt;="&amp;M170),'FIRE TEX 5062'!$L$4:$P$34,IF(L170="F-15",2,IF(L170="F-30",3,IF(L170="F-60",4,IF(L170="F-90",5,0)))),0),0)+IF(AND(O170="FIRE TEX 5062",E170="CJ",J170=4),VLOOKUP(_xlfn.MINIFS('FIRE TEX 5062'!$Q$3:$Q$34,'FIRE TEX 5062'!$Q$3:$Q$34,"&gt;="&amp;M170),'FIRE TEX 5062'!$Q$3:$U$34,IF(L170="F-15",2,IF(L170="F-30",3,IF(L170="F-60",4,IF(L170="F-90",5,0)))),0),0)+IF(AND(O170="FIRE TEX 5090",OR(E170="IN",E170="C",E170="Z",E170="L"),J170=3),VLOOKUP(_xlfn.MINIFS('FIRE TEX 5090'!$B$5:$B$43,'FIRE TEX 5090'!$B$5:$B$43,"&gt;="&amp;M170),'FIRE TEX 5090'!$B$5:$H$43,IF(L170="F-15",2,IF(L170="F-30",3,IF(L170="F-60",4,IF(L170="F-90",5,IF(L170="F-120",6,IF(L170="F-150",7,0)))))),0),0)+IF(AND(O170="FIRE TEX 5090",OR(E170="IN",E170="C",E170="Z",E170="L"),J170=4),VLOOKUP(_xlfn.MINIFS('FIRE TEX 5090'!$J$5:$J$43,'FIRE TEX 5090'!$J$5:$J$43,"&gt;="&amp;M170),'FIRE TEX 5090'!$J$5:$P$43,IF(L170="F-15",2,IF(L170="F-30",3,IF(L170="F-60",4,IF(L170="F-90",5,IF(L170="F-120",6,IF(L170="F-150",7,0)))))),0),0)+IF(AND(O170="FIRE TEX 5090",E170="CJ",J170=3),VLOOKUP(_xlfn.MINIFS('FIRE TEX 5090'!$R$5:$R$30,'FIRE TEX 5090'!$R$5:$R$30,"&gt;="&amp;M170),'FIRE TEX 5090'!$R$5:$W$30,IF(L170="F-15",2,IF(L170="F-30",3,IF(L170="F-60",4,IF(L170="F-90",5,IF(L170="F-120",6,IF(L170="F-150",7,0)))))),0),0)+IF(AND(O170="FIRE TEX 5090",E170="CJ",J170=4),VLOOKUP(_xlfn.MINIFS('FIRE TEX 5090'!$Y$5:$Y$39,'FIRE TEX 5090'!$Y$5:$Y$39,"&gt;="&amp;M170),'FIRE TEX 5090'!$Y$5:$AD$39,IF(L170="F-15",2,IF(L170="F-30",3,IF(L170="F-60",4,IF(L170="F-90",5,IF(L170="F-120",6,IF(L170="F-150",7,0)))))),0),0)+IF(AND(O170="FIRE TEX 5120",OR(E170="IN",E170="C",E170="Z",E170="L"),J170=3),VLOOKUP(_xlfn.MINIFS('FIRE TEX 5120'!$B$5:$B$40,'FIRE TEX 5120'!$B$5:$B$40,"&gt;="&amp;M170),'FIRE TEX 5120'!$B$5:$G$40,IF(L170="F-15",2,IF(L170="F-30",3,IF(L170="F-60",4,IF(L170="F-90",5,IF(L170="F-120",6,0))))),0),0)+IF(AND(O170="FIRE TEX 5120",OR(E170="IN",E170="C",E170="Z",E170="L"),J170=4),VLOOKUP(_xlfn.MINIFS('FIRE TEX 5120'!$H$4:$H$40,'FIRE TEX 5120'!$H$4:$H$40,"&gt;="&amp;M170),'FIRE TEX 5120'!$H$4:$M$40,IF(L170="F-15",2,IF(L170="F-30",3,IF(L170="F-60",4,IF(L170="F-90",5,IF(L170="F-120",6,0))))),0),0)+IF(AND(O170="FIRE TEX 5120",E170="CJ"),VLOOKUP(_xlfn.MINIFS('FIRE TEX 5120'!$O$5:$O$40,'FIRE TEX 5120'!$O$5:$O$40,"&gt;="&amp;M170),'FIRE TEX 5120'!$O$5:$T$40,IF(L170="F-15",2,IF(L170="F-30",3,IF(L170="F-60",4,IF(L170="F-90",5,IF(L170="F-120",6,0))))),0),0)</f>
        <v>0</v>
      </c>
      <c r="Q170" s="46">
        <f t="shared" si="18"/>
        <v>0</v>
      </c>
      <c r="R170" s="46">
        <f t="shared" si="20"/>
        <v>0</v>
      </c>
      <c r="S170" s="46" t="e">
        <f t="shared" si="19"/>
        <v>#VALUE!</v>
      </c>
      <c r="T170" s="677">
        <f t="shared" si="21"/>
        <v>0</v>
      </c>
      <c r="U170" s="80">
        <f>(IF(O170="Stofire",(S170*#REF!),0))+(IF(O170="Fire Control",(S170*$U$2),0))+(IF(O170="Fire Tex",(S170*$U$3),0))+(IF(O170="WB7",(S170*#REF!),0)+(IF(O170="FX 2003",(S170*$U$5),0)))</f>
        <v>0</v>
      </c>
      <c r="V170" s="651">
        <f>_xlfn.CEILING.MATH(M170,10)</f>
        <v>0</v>
      </c>
      <c r="W170" s="4"/>
    </row>
    <row r="171" spans="1:23" x14ac:dyDescent="0.25">
      <c r="A171" s="652" t="s">
        <v>448</v>
      </c>
      <c r="B171" s="653" t="s">
        <v>443</v>
      </c>
      <c r="C171" s="1" t="s">
        <v>444</v>
      </c>
      <c r="D171" s="118">
        <f>+CUBICACION!D170</f>
        <v>0</v>
      </c>
      <c r="E171" s="118">
        <f>+CUBICACION!F170</f>
        <v>0</v>
      </c>
      <c r="F171" s="118">
        <f>+CUBICACION!E170</f>
        <v>0</v>
      </c>
      <c r="G171" s="118">
        <v>12</v>
      </c>
      <c r="H171" s="118">
        <v>2</v>
      </c>
      <c r="I171" s="820">
        <v>26385</v>
      </c>
      <c r="J171" s="118">
        <f>+CUBICACION!J170</f>
        <v>0</v>
      </c>
      <c r="K171" s="118">
        <v>2950</v>
      </c>
      <c r="L171" s="118">
        <f>+CUBICACION!L170</f>
        <v>0</v>
      </c>
      <c r="M171" s="64">
        <f>+CUBICACION!M170</f>
        <v>0</v>
      </c>
      <c r="N171" s="824" t="str">
        <f>+CUBICACION!N170</f>
        <v/>
      </c>
      <c r="O171" s="675">
        <f>+CUBICACION!O170</f>
        <v>0</v>
      </c>
      <c r="P171" s="15">
        <f>IF(O171="Fire Control",VLOOKUP(_xlfn.MINIFS('FIRE CONTROL'!$C$4:$C$37,'FIRE CONTROL'!$C$4:$C$37,"&gt;="&amp;M171),'FIRE CONTROL'!$C$4:$G$37,IF(L171="F-15",2,IF(L171="F-30",3,IF(L171="F-60",4,IF(L171="F-90",5,0)))),0),0)+IF(AND(O171="FIRE TEX 5062",OR(E171="IN",E171="C",E171="Z",E171="L"),J171=3),VLOOKUP(_xlfn.MINIFS('FIRE TEX 5062'!$B$4:$B$34,'FIRE TEX 5062'!$B$4:$B$34,"&gt;="&amp;M171),'FIRE TEX 5062'!$B$4:$F$34,IF(L171="F-15",2,IF(L171="F-30",3,IF(L171="F-60",4,IF(L171="F-90",5,0)))),0),0)+IF(AND(O171="FIRE TEX 5062",OR(E171="IN",E171="C",E171="Z",E171="L"),J171=4),VLOOKUP(_xlfn.MINIFS('FIRE TEX 5062'!$G$4:$G$34,'FIRE TEX 5062'!$G$4:$G$34,"&gt;="&amp;M171),'FIRE TEX 5062'!$G$4:$K$34,IF(L171="F-15",2,IF(L171="F-30",3,IF(L171="F-60",4,IF(L171="F-90",5,0)))),0),0)+IF(AND(O171="FIRE TEX 5062",E171="CJ",J171=3),VLOOKUP(_xlfn.MINIFS('FIRE TEX 5062'!$L$4:$L$34,'FIRE TEX 5062'!$L$4:$L$34,"&gt;="&amp;M171),'FIRE TEX 5062'!$L$4:$P$34,IF(L171="F-15",2,IF(L171="F-30",3,IF(L171="F-60",4,IF(L171="F-90",5,0)))),0),0)+IF(AND(O171="FIRE TEX 5062",E171="CJ",J171=4),VLOOKUP(_xlfn.MINIFS('FIRE TEX 5062'!$Q$3:$Q$34,'FIRE TEX 5062'!$Q$3:$Q$34,"&gt;="&amp;M171),'FIRE TEX 5062'!$Q$3:$U$34,IF(L171="F-15",2,IF(L171="F-30",3,IF(L171="F-60",4,IF(L171="F-90",5,0)))),0),0)+IF(AND(O171="FIRE TEX 5090",OR(E171="IN",E171="C",E171="Z",E171="L"),J171=3),VLOOKUP(_xlfn.MINIFS('FIRE TEX 5090'!$B$5:$B$43,'FIRE TEX 5090'!$B$5:$B$43,"&gt;="&amp;M171),'FIRE TEX 5090'!$B$5:$H$43,IF(L171="F-15",2,IF(L171="F-30",3,IF(L171="F-60",4,IF(L171="F-90",5,IF(L171="F-120",6,IF(L171="F-150",7,0)))))),0),0)+IF(AND(O171="FIRE TEX 5090",OR(E171="IN",E171="C",E171="Z",E171="L"),J171=4),VLOOKUP(_xlfn.MINIFS('FIRE TEX 5090'!$J$5:$J$43,'FIRE TEX 5090'!$J$5:$J$43,"&gt;="&amp;M171),'FIRE TEX 5090'!$J$5:$P$43,IF(L171="F-15",2,IF(L171="F-30",3,IF(L171="F-60",4,IF(L171="F-90",5,IF(L171="F-120",6,IF(L171="F-150",7,0)))))),0),0)+IF(AND(O171="FIRE TEX 5090",E171="CJ",J171=3),VLOOKUP(_xlfn.MINIFS('FIRE TEX 5090'!$R$5:$R$30,'FIRE TEX 5090'!$R$5:$R$30,"&gt;="&amp;M171),'FIRE TEX 5090'!$R$5:$W$30,IF(L171="F-15",2,IF(L171="F-30",3,IF(L171="F-60",4,IF(L171="F-90",5,IF(L171="F-120",6,IF(L171="F-150",7,0)))))),0),0)+IF(AND(O171="FIRE TEX 5090",E171="CJ",J171=4),VLOOKUP(_xlfn.MINIFS('FIRE TEX 5090'!$Y$5:$Y$39,'FIRE TEX 5090'!$Y$5:$Y$39,"&gt;="&amp;M171),'FIRE TEX 5090'!$Y$5:$AD$39,IF(L171="F-15",2,IF(L171="F-30",3,IF(L171="F-60",4,IF(L171="F-90",5,IF(L171="F-120",6,IF(L171="F-150",7,0)))))),0),0)+IF(AND(O171="FIRE TEX 5120",OR(E171="IN",E171="C",E171="Z",E171="L"),J171=3),VLOOKUP(_xlfn.MINIFS('FIRE TEX 5120'!$B$5:$B$40,'FIRE TEX 5120'!$B$5:$B$40,"&gt;="&amp;M171),'FIRE TEX 5120'!$B$5:$G$40,IF(L171="F-15",2,IF(L171="F-30",3,IF(L171="F-60",4,IF(L171="F-90",5,IF(L171="F-120",6,0))))),0),0)+IF(AND(O171="FIRE TEX 5120",OR(E171="IN",E171="C",E171="Z",E171="L"),J171=4),VLOOKUP(_xlfn.MINIFS('FIRE TEX 5120'!$H$4:$H$40,'FIRE TEX 5120'!$H$4:$H$40,"&gt;="&amp;M171),'FIRE TEX 5120'!$H$4:$M$40,IF(L171="F-15",2,IF(L171="F-30",3,IF(L171="F-60",4,IF(L171="F-90",5,IF(L171="F-120",6,0))))),0),0)+IF(AND(O171="FIRE TEX 5120",E171="CJ"),VLOOKUP(_xlfn.MINIFS('FIRE TEX 5120'!$O$5:$O$40,'FIRE TEX 5120'!$O$5:$O$40,"&gt;="&amp;M171),'FIRE TEX 5120'!$O$5:$T$40,IF(L171="F-15",2,IF(L171="F-30",3,IF(L171="F-60",4,IF(L171="F-90",5,IF(L171="F-120",6,0))))),0),0)</f>
        <v>0</v>
      </c>
      <c r="Q171" s="46">
        <f t="shared" si="18"/>
        <v>0</v>
      </c>
      <c r="R171" s="46">
        <f t="shared" si="20"/>
        <v>0</v>
      </c>
      <c r="S171" s="46" t="e">
        <f t="shared" si="19"/>
        <v>#VALUE!</v>
      </c>
      <c r="T171" s="677">
        <f t="shared" si="21"/>
        <v>0</v>
      </c>
      <c r="U171" s="80">
        <f>(IF(O171="Stofire",(S171*#REF!),0))+(IF(O171="Fire Control",(S171*$U$2),0))+(IF(O171="Fire Tex",(S171*$U$3),0))+(IF(O171="WB7",(S171*#REF!),0)+(IF(O171="FX 2003",(S171*$U$5),0)))</f>
        <v>0</v>
      </c>
      <c r="V171" s="651">
        <f>_xlfn.CEILING.MATH(M171,10)</f>
        <v>0</v>
      </c>
      <c r="W171" s="4"/>
    </row>
    <row r="172" spans="1:23" x14ac:dyDescent="0.25">
      <c r="A172" s="652" t="s">
        <v>448</v>
      </c>
      <c r="B172" s="653" t="s">
        <v>443</v>
      </c>
      <c r="C172" s="1" t="s">
        <v>446</v>
      </c>
      <c r="D172" s="118">
        <f>+CUBICACION!D171</f>
        <v>0</v>
      </c>
      <c r="E172" s="118">
        <f>+CUBICACION!F171</f>
        <v>0</v>
      </c>
      <c r="F172" s="118">
        <f>+CUBICACION!E171</f>
        <v>0</v>
      </c>
      <c r="G172" s="118">
        <v>12</v>
      </c>
      <c r="H172" s="118">
        <v>2</v>
      </c>
      <c r="I172" s="820">
        <v>26385</v>
      </c>
      <c r="J172" s="118">
        <f>+CUBICACION!J171</f>
        <v>0</v>
      </c>
      <c r="K172" s="118">
        <v>2951</v>
      </c>
      <c r="L172" s="118">
        <f>+CUBICACION!L171</f>
        <v>0</v>
      </c>
      <c r="M172" s="64">
        <f>+CUBICACION!M171</f>
        <v>0</v>
      </c>
      <c r="N172" s="824" t="str">
        <f>+CUBICACION!N171</f>
        <v/>
      </c>
      <c r="O172" s="675">
        <f>+CUBICACION!O171</f>
        <v>0</v>
      </c>
      <c r="P172" s="15">
        <f>IF(O172="Fire Control",VLOOKUP(_xlfn.MINIFS('FIRE CONTROL'!$C$4:$C$37,'FIRE CONTROL'!$C$4:$C$37,"&gt;="&amp;M172),'FIRE CONTROL'!$C$4:$G$37,IF(L172="F-15",2,IF(L172="F-30",3,IF(L172="F-60",4,IF(L172="F-90",5,0)))),0),0)+IF(AND(O172="FIRE TEX 5062",OR(E172="IN",E172="C",E172="Z",E172="L"),J172=3),VLOOKUP(_xlfn.MINIFS('FIRE TEX 5062'!$B$4:$B$34,'FIRE TEX 5062'!$B$4:$B$34,"&gt;="&amp;M172),'FIRE TEX 5062'!$B$4:$F$34,IF(L172="F-15",2,IF(L172="F-30",3,IF(L172="F-60",4,IF(L172="F-90",5,0)))),0),0)+IF(AND(O172="FIRE TEX 5062",OR(E172="IN",E172="C",E172="Z",E172="L"),J172=4),VLOOKUP(_xlfn.MINIFS('FIRE TEX 5062'!$G$4:$G$34,'FIRE TEX 5062'!$G$4:$G$34,"&gt;="&amp;M172),'FIRE TEX 5062'!$G$4:$K$34,IF(L172="F-15",2,IF(L172="F-30",3,IF(L172="F-60",4,IF(L172="F-90",5,0)))),0),0)+IF(AND(O172="FIRE TEX 5062",E172="CJ",J172=3),VLOOKUP(_xlfn.MINIFS('FIRE TEX 5062'!$L$4:$L$34,'FIRE TEX 5062'!$L$4:$L$34,"&gt;="&amp;M172),'FIRE TEX 5062'!$L$4:$P$34,IF(L172="F-15",2,IF(L172="F-30",3,IF(L172="F-60",4,IF(L172="F-90",5,0)))),0),0)+IF(AND(O172="FIRE TEX 5062",E172="CJ",J172=4),VLOOKUP(_xlfn.MINIFS('FIRE TEX 5062'!$Q$3:$Q$34,'FIRE TEX 5062'!$Q$3:$Q$34,"&gt;="&amp;M172),'FIRE TEX 5062'!$Q$3:$U$34,IF(L172="F-15",2,IF(L172="F-30",3,IF(L172="F-60",4,IF(L172="F-90",5,0)))),0),0)+IF(AND(O172="FIRE TEX 5090",OR(E172="IN",E172="C",E172="Z",E172="L"),J172=3),VLOOKUP(_xlfn.MINIFS('FIRE TEX 5090'!$B$5:$B$43,'FIRE TEX 5090'!$B$5:$B$43,"&gt;="&amp;M172),'FIRE TEX 5090'!$B$5:$H$43,IF(L172="F-15",2,IF(L172="F-30",3,IF(L172="F-60",4,IF(L172="F-90",5,IF(L172="F-120",6,IF(L172="F-150",7,0)))))),0),0)+IF(AND(O172="FIRE TEX 5090",OR(E172="IN",E172="C",E172="Z",E172="L"),J172=4),VLOOKUP(_xlfn.MINIFS('FIRE TEX 5090'!$J$5:$J$43,'FIRE TEX 5090'!$J$5:$J$43,"&gt;="&amp;M172),'FIRE TEX 5090'!$J$5:$P$43,IF(L172="F-15",2,IF(L172="F-30",3,IF(L172="F-60",4,IF(L172="F-90",5,IF(L172="F-120",6,IF(L172="F-150",7,0)))))),0),0)+IF(AND(O172="FIRE TEX 5090",E172="CJ",J172=3),VLOOKUP(_xlfn.MINIFS('FIRE TEX 5090'!$R$5:$R$30,'FIRE TEX 5090'!$R$5:$R$30,"&gt;="&amp;M172),'FIRE TEX 5090'!$R$5:$W$30,IF(L172="F-15",2,IF(L172="F-30",3,IF(L172="F-60",4,IF(L172="F-90",5,IF(L172="F-120",6,IF(L172="F-150",7,0)))))),0),0)+IF(AND(O172="FIRE TEX 5090",E172="CJ",J172=4),VLOOKUP(_xlfn.MINIFS('FIRE TEX 5090'!$Y$5:$Y$39,'FIRE TEX 5090'!$Y$5:$Y$39,"&gt;="&amp;M172),'FIRE TEX 5090'!$Y$5:$AD$39,IF(L172="F-15",2,IF(L172="F-30",3,IF(L172="F-60",4,IF(L172="F-90",5,IF(L172="F-120",6,IF(L172="F-150",7,0)))))),0),0)+IF(AND(O172="FIRE TEX 5120",OR(E172="IN",E172="C",E172="Z",E172="L"),J172=3),VLOOKUP(_xlfn.MINIFS('FIRE TEX 5120'!$B$5:$B$40,'FIRE TEX 5120'!$B$5:$B$40,"&gt;="&amp;M172),'FIRE TEX 5120'!$B$5:$G$40,IF(L172="F-15",2,IF(L172="F-30",3,IF(L172="F-60",4,IF(L172="F-90",5,IF(L172="F-120",6,0))))),0),0)+IF(AND(O172="FIRE TEX 5120",OR(E172="IN",E172="C",E172="Z",E172="L"),J172=4),VLOOKUP(_xlfn.MINIFS('FIRE TEX 5120'!$H$4:$H$40,'FIRE TEX 5120'!$H$4:$H$40,"&gt;="&amp;M172),'FIRE TEX 5120'!$H$4:$M$40,IF(L172="F-15",2,IF(L172="F-30",3,IF(L172="F-60",4,IF(L172="F-90",5,IF(L172="F-120",6,0))))),0),0)+IF(AND(O172="FIRE TEX 5120",E172="CJ"),VLOOKUP(_xlfn.MINIFS('FIRE TEX 5120'!$O$5:$O$40,'FIRE TEX 5120'!$O$5:$O$40,"&gt;="&amp;M172),'FIRE TEX 5120'!$O$5:$T$40,IF(L172="F-15",2,IF(L172="F-30",3,IF(L172="F-60",4,IF(L172="F-90",5,IF(L172="F-120",6,0))))),0),0)</f>
        <v>0</v>
      </c>
      <c r="Q172" s="46">
        <f t="shared" si="18"/>
        <v>0</v>
      </c>
      <c r="R172" s="46">
        <f t="shared" si="20"/>
        <v>0</v>
      </c>
      <c r="S172" s="46" t="e">
        <f t="shared" si="19"/>
        <v>#VALUE!</v>
      </c>
      <c r="T172" s="677">
        <f t="shared" si="21"/>
        <v>0</v>
      </c>
      <c r="U172" s="80">
        <f>(IF(O172="Stofire",(S172*#REF!),0))+(IF(O172="Fire Control",(S172*$U$2),0))+(IF(O172="Fire Tex",(S172*$U$3),0))+(IF(O172="WB7",(S172*#REF!),0)+(IF(O172="FX 2003",(S172*$U$5),0)))</f>
        <v>0</v>
      </c>
      <c r="V172" s="651">
        <f t="shared" ref="V172:V184" si="24">_xlfn.CEILING.MATH(M172,10)</f>
        <v>0</v>
      </c>
      <c r="W172" s="4"/>
    </row>
    <row r="173" spans="1:23" x14ac:dyDescent="0.25">
      <c r="A173" s="652" t="s">
        <v>448</v>
      </c>
      <c r="B173" s="653" t="s">
        <v>451</v>
      </c>
      <c r="C173" s="1" t="s">
        <v>446</v>
      </c>
      <c r="D173" s="118">
        <f>+CUBICACION!D172</f>
        <v>0</v>
      </c>
      <c r="E173" s="118">
        <f>+CUBICACION!F172</f>
        <v>0</v>
      </c>
      <c r="F173" s="118">
        <f>+CUBICACION!E172</f>
        <v>0</v>
      </c>
      <c r="G173" s="118">
        <v>12</v>
      </c>
      <c r="H173" s="118">
        <v>2</v>
      </c>
      <c r="I173" s="820">
        <v>26385</v>
      </c>
      <c r="J173" s="118">
        <f>+CUBICACION!J172</f>
        <v>0</v>
      </c>
      <c r="K173" s="118">
        <v>2952</v>
      </c>
      <c r="L173" s="118">
        <f>+CUBICACION!L172</f>
        <v>0</v>
      </c>
      <c r="M173" s="64">
        <f>+CUBICACION!M172</f>
        <v>0</v>
      </c>
      <c r="N173" s="824" t="str">
        <f>+CUBICACION!N172</f>
        <v/>
      </c>
      <c r="O173" s="675">
        <f>+CUBICACION!O172</f>
        <v>0</v>
      </c>
      <c r="P173" s="15">
        <f>IF(O173="Fire Control",VLOOKUP(_xlfn.MINIFS('FIRE CONTROL'!$C$4:$C$37,'FIRE CONTROL'!$C$4:$C$37,"&gt;="&amp;M173),'FIRE CONTROL'!$C$4:$G$37,IF(L173="F-15",2,IF(L173="F-30",3,IF(L173="F-60",4,IF(L173="F-90",5,0)))),0),0)+IF(AND(O173="FIRE TEX 5062",OR(E173="IN",E173="C",E173="Z",E173="L"),J173=3),VLOOKUP(_xlfn.MINIFS('FIRE TEX 5062'!$B$4:$B$34,'FIRE TEX 5062'!$B$4:$B$34,"&gt;="&amp;M173),'FIRE TEX 5062'!$B$4:$F$34,IF(L173="F-15",2,IF(L173="F-30",3,IF(L173="F-60",4,IF(L173="F-90",5,0)))),0),0)+IF(AND(O173="FIRE TEX 5062",OR(E173="IN",E173="C",E173="Z",E173="L"),J173=4),VLOOKUP(_xlfn.MINIFS('FIRE TEX 5062'!$G$4:$G$34,'FIRE TEX 5062'!$G$4:$G$34,"&gt;="&amp;M173),'FIRE TEX 5062'!$G$4:$K$34,IF(L173="F-15",2,IF(L173="F-30",3,IF(L173="F-60",4,IF(L173="F-90",5,0)))),0),0)+IF(AND(O173="FIRE TEX 5062",E173="CJ",J173=3),VLOOKUP(_xlfn.MINIFS('FIRE TEX 5062'!$L$4:$L$34,'FIRE TEX 5062'!$L$4:$L$34,"&gt;="&amp;M173),'FIRE TEX 5062'!$L$4:$P$34,IF(L173="F-15",2,IF(L173="F-30",3,IF(L173="F-60",4,IF(L173="F-90",5,0)))),0),0)+IF(AND(O173="FIRE TEX 5062",E173="CJ",J173=4),VLOOKUP(_xlfn.MINIFS('FIRE TEX 5062'!$Q$3:$Q$34,'FIRE TEX 5062'!$Q$3:$Q$34,"&gt;="&amp;M173),'FIRE TEX 5062'!$Q$3:$U$34,IF(L173="F-15",2,IF(L173="F-30",3,IF(L173="F-60",4,IF(L173="F-90",5,0)))),0),0)+IF(AND(O173="FIRE TEX 5090",OR(E173="IN",E173="C",E173="Z",E173="L"),J173=3),VLOOKUP(_xlfn.MINIFS('FIRE TEX 5090'!$B$5:$B$43,'FIRE TEX 5090'!$B$5:$B$43,"&gt;="&amp;M173),'FIRE TEX 5090'!$B$5:$H$43,IF(L173="F-15",2,IF(L173="F-30",3,IF(L173="F-60",4,IF(L173="F-90",5,IF(L173="F-120",6,IF(L173="F-150",7,0)))))),0),0)+IF(AND(O173="FIRE TEX 5090",OR(E173="IN",E173="C",E173="Z",E173="L"),J173=4),VLOOKUP(_xlfn.MINIFS('FIRE TEX 5090'!$J$5:$J$43,'FIRE TEX 5090'!$J$5:$J$43,"&gt;="&amp;M173),'FIRE TEX 5090'!$J$5:$P$43,IF(L173="F-15",2,IF(L173="F-30",3,IF(L173="F-60",4,IF(L173="F-90",5,IF(L173="F-120",6,IF(L173="F-150",7,0)))))),0),0)+IF(AND(O173="FIRE TEX 5090",E173="CJ",J173=3),VLOOKUP(_xlfn.MINIFS('FIRE TEX 5090'!$R$5:$R$30,'FIRE TEX 5090'!$R$5:$R$30,"&gt;="&amp;M173),'FIRE TEX 5090'!$R$5:$W$30,IF(L173="F-15",2,IF(L173="F-30",3,IF(L173="F-60",4,IF(L173="F-90",5,IF(L173="F-120",6,IF(L173="F-150",7,0)))))),0),0)+IF(AND(O173="FIRE TEX 5090",E173="CJ",J173=4),VLOOKUP(_xlfn.MINIFS('FIRE TEX 5090'!$Y$5:$Y$39,'FIRE TEX 5090'!$Y$5:$Y$39,"&gt;="&amp;M173),'FIRE TEX 5090'!$Y$5:$AD$39,IF(L173="F-15",2,IF(L173="F-30",3,IF(L173="F-60",4,IF(L173="F-90",5,IF(L173="F-120",6,IF(L173="F-150",7,0)))))),0),0)+IF(AND(O173="FIRE TEX 5120",OR(E173="IN",E173="C",E173="Z",E173="L"),J173=3),VLOOKUP(_xlfn.MINIFS('FIRE TEX 5120'!$B$5:$B$40,'FIRE TEX 5120'!$B$5:$B$40,"&gt;="&amp;M173),'FIRE TEX 5120'!$B$5:$G$40,IF(L173="F-15",2,IF(L173="F-30",3,IF(L173="F-60",4,IF(L173="F-90",5,IF(L173="F-120",6,0))))),0),0)+IF(AND(O173="FIRE TEX 5120",OR(E173="IN",E173="C",E173="Z",E173="L"),J173=4),VLOOKUP(_xlfn.MINIFS('FIRE TEX 5120'!$H$4:$H$40,'FIRE TEX 5120'!$H$4:$H$40,"&gt;="&amp;M173),'FIRE TEX 5120'!$H$4:$M$40,IF(L173="F-15",2,IF(L173="F-30",3,IF(L173="F-60",4,IF(L173="F-90",5,IF(L173="F-120",6,0))))),0),0)+IF(AND(O173="FIRE TEX 5120",E173="CJ"),VLOOKUP(_xlfn.MINIFS('FIRE TEX 5120'!$O$5:$O$40,'FIRE TEX 5120'!$O$5:$O$40,"&gt;="&amp;M173),'FIRE TEX 5120'!$O$5:$T$40,IF(L173="F-15",2,IF(L173="F-30",3,IF(L173="F-60",4,IF(L173="F-90",5,IF(L173="F-120",6,0))))),0),0)</f>
        <v>0</v>
      </c>
      <c r="Q173" s="46">
        <f t="shared" si="18"/>
        <v>0</v>
      </c>
      <c r="R173" s="46">
        <f t="shared" si="20"/>
        <v>0</v>
      </c>
      <c r="S173" s="46" t="e">
        <f t="shared" si="19"/>
        <v>#VALUE!</v>
      </c>
      <c r="T173" s="677">
        <f t="shared" si="21"/>
        <v>0</v>
      </c>
      <c r="U173" s="80">
        <f>(IF(O173="Stofire",(S173*#REF!),0))+(IF(O173="Fire Control",(S173*$U$2),0))+(IF(O173="Fire Tex",(S173*$U$3),0))+(IF(O173="WB7",(S173*#REF!),0)+(IF(O173="FX 2003",(S173*$U$5),0)))</f>
        <v>0</v>
      </c>
      <c r="V173" s="651">
        <f t="shared" si="24"/>
        <v>0</v>
      </c>
      <c r="W173" s="4"/>
    </row>
    <row r="174" spans="1:23" x14ac:dyDescent="0.25">
      <c r="A174" s="652" t="s">
        <v>452</v>
      </c>
      <c r="B174" s="653" t="s">
        <v>453</v>
      </c>
      <c r="C174" s="1" t="s">
        <v>454</v>
      </c>
      <c r="D174" s="118">
        <f>+CUBICACION!D173</f>
        <v>0</v>
      </c>
      <c r="E174" s="118">
        <f>+CUBICACION!F173</f>
        <v>0</v>
      </c>
      <c r="F174" s="118">
        <f>+CUBICACION!E173</f>
        <v>0</v>
      </c>
      <c r="G174" s="118">
        <v>12</v>
      </c>
      <c r="H174" s="118">
        <v>2</v>
      </c>
      <c r="I174" s="820">
        <v>26385</v>
      </c>
      <c r="J174" s="118">
        <f>+CUBICACION!J173</f>
        <v>0</v>
      </c>
      <c r="K174" s="118">
        <v>2953</v>
      </c>
      <c r="L174" s="118">
        <f>+CUBICACION!L173</f>
        <v>0</v>
      </c>
      <c r="M174" s="64">
        <f>+CUBICACION!M173</f>
        <v>0</v>
      </c>
      <c r="N174" s="824" t="str">
        <f>+CUBICACION!N173</f>
        <v/>
      </c>
      <c r="O174" s="675">
        <f>+CUBICACION!O173</f>
        <v>0</v>
      </c>
      <c r="P174" s="15">
        <f>IF(O174="Fire Control",VLOOKUP(_xlfn.MINIFS('FIRE CONTROL'!$C$4:$C$37,'FIRE CONTROL'!$C$4:$C$37,"&gt;="&amp;M174),'FIRE CONTROL'!$C$4:$G$37,IF(L174="F-15",2,IF(L174="F-30",3,IF(L174="F-60",4,IF(L174="F-90",5,0)))),0),0)+IF(AND(O174="FIRE TEX 5062",OR(E174="IN",E174="C",E174="Z",E174="L"),J174=3),VLOOKUP(_xlfn.MINIFS('FIRE TEX 5062'!$B$4:$B$34,'FIRE TEX 5062'!$B$4:$B$34,"&gt;="&amp;M174),'FIRE TEX 5062'!$B$4:$F$34,IF(L174="F-15",2,IF(L174="F-30",3,IF(L174="F-60",4,IF(L174="F-90",5,0)))),0),0)+IF(AND(O174="FIRE TEX 5062",OR(E174="IN",E174="C",E174="Z",E174="L"),J174=4),VLOOKUP(_xlfn.MINIFS('FIRE TEX 5062'!$G$4:$G$34,'FIRE TEX 5062'!$G$4:$G$34,"&gt;="&amp;M174),'FIRE TEX 5062'!$G$4:$K$34,IF(L174="F-15",2,IF(L174="F-30",3,IF(L174="F-60",4,IF(L174="F-90",5,0)))),0),0)+IF(AND(O174="FIRE TEX 5062",E174="CJ",J174=3),VLOOKUP(_xlfn.MINIFS('FIRE TEX 5062'!$L$4:$L$34,'FIRE TEX 5062'!$L$4:$L$34,"&gt;="&amp;M174),'FIRE TEX 5062'!$L$4:$P$34,IF(L174="F-15",2,IF(L174="F-30",3,IF(L174="F-60",4,IF(L174="F-90",5,0)))),0),0)+IF(AND(O174="FIRE TEX 5062",E174="CJ",J174=4),VLOOKUP(_xlfn.MINIFS('FIRE TEX 5062'!$Q$3:$Q$34,'FIRE TEX 5062'!$Q$3:$Q$34,"&gt;="&amp;M174),'FIRE TEX 5062'!$Q$3:$U$34,IF(L174="F-15",2,IF(L174="F-30",3,IF(L174="F-60",4,IF(L174="F-90",5,0)))),0),0)+IF(AND(O174="FIRE TEX 5090",OR(E174="IN",E174="C",E174="Z",E174="L"),J174=3),VLOOKUP(_xlfn.MINIFS('FIRE TEX 5090'!$B$5:$B$43,'FIRE TEX 5090'!$B$5:$B$43,"&gt;="&amp;M174),'FIRE TEX 5090'!$B$5:$H$43,IF(L174="F-15",2,IF(L174="F-30",3,IF(L174="F-60",4,IF(L174="F-90",5,IF(L174="F-120",6,IF(L174="F-150",7,0)))))),0),0)+IF(AND(O174="FIRE TEX 5090",OR(E174="IN",E174="C",E174="Z",E174="L"),J174=4),VLOOKUP(_xlfn.MINIFS('FIRE TEX 5090'!$J$5:$J$43,'FIRE TEX 5090'!$J$5:$J$43,"&gt;="&amp;M174),'FIRE TEX 5090'!$J$5:$P$43,IF(L174="F-15",2,IF(L174="F-30",3,IF(L174="F-60",4,IF(L174="F-90",5,IF(L174="F-120",6,IF(L174="F-150",7,0)))))),0),0)+IF(AND(O174="FIRE TEX 5090",E174="CJ",J174=3),VLOOKUP(_xlfn.MINIFS('FIRE TEX 5090'!$R$5:$R$30,'FIRE TEX 5090'!$R$5:$R$30,"&gt;="&amp;M174),'FIRE TEX 5090'!$R$5:$W$30,IF(L174="F-15",2,IF(L174="F-30",3,IF(L174="F-60",4,IF(L174="F-90",5,IF(L174="F-120",6,IF(L174="F-150",7,0)))))),0),0)+IF(AND(O174="FIRE TEX 5090",E174="CJ",J174=4),VLOOKUP(_xlfn.MINIFS('FIRE TEX 5090'!$Y$5:$Y$39,'FIRE TEX 5090'!$Y$5:$Y$39,"&gt;="&amp;M174),'FIRE TEX 5090'!$Y$5:$AD$39,IF(L174="F-15",2,IF(L174="F-30",3,IF(L174="F-60",4,IF(L174="F-90",5,IF(L174="F-120",6,IF(L174="F-150",7,0)))))),0),0)+IF(AND(O174="FIRE TEX 5120",OR(E174="IN",E174="C",E174="Z",E174="L"),J174=3),VLOOKUP(_xlfn.MINIFS('FIRE TEX 5120'!$B$5:$B$40,'FIRE TEX 5120'!$B$5:$B$40,"&gt;="&amp;M174),'FIRE TEX 5120'!$B$5:$G$40,IF(L174="F-15",2,IF(L174="F-30",3,IF(L174="F-60",4,IF(L174="F-90",5,IF(L174="F-120",6,0))))),0),0)+IF(AND(O174="FIRE TEX 5120",OR(E174="IN",E174="C",E174="Z",E174="L"),J174=4),VLOOKUP(_xlfn.MINIFS('FIRE TEX 5120'!$H$4:$H$40,'FIRE TEX 5120'!$H$4:$H$40,"&gt;="&amp;M174),'FIRE TEX 5120'!$H$4:$M$40,IF(L174="F-15",2,IF(L174="F-30",3,IF(L174="F-60",4,IF(L174="F-90",5,IF(L174="F-120",6,0))))),0),0)+IF(AND(O174="FIRE TEX 5120",E174="CJ"),VLOOKUP(_xlfn.MINIFS('FIRE TEX 5120'!$O$5:$O$40,'FIRE TEX 5120'!$O$5:$O$40,"&gt;="&amp;M174),'FIRE TEX 5120'!$O$5:$T$40,IF(L174="F-15",2,IF(L174="F-30",3,IF(L174="F-60",4,IF(L174="F-90",5,IF(L174="F-120",6,0))))),0),0)</f>
        <v>0</v>
      </c>
      <c r="Q174" s="46">
        <f t="shared" si="18"/>
        <v>0</v>
      </c>
      <c r="R174" s="46">
        <f t="shared" si="20"/>
        <v>0</v>
      </c>
      <c r="S174" s="46" t="e">
        <f t="shared" si="19"/>
        <v>#VALUE!</v>
      </c>
      <c r="T174" s="677">
        <f t="shared" si="21"/>
        <v>0</v>
      </c>
      <c r="U174" s="80">
        <f>(IF(O174="Stofire",(S174*#REF!),0))+(IF(O174="Fire Control",(S174*$U$2),0))+(IF(O174="Fire Tex",(S174*$U$3),0))+(IF(O174="WB7",(S174*#REF!),0)+(IF(O174="FX 2003",(S174*$U$5),0)))</f>
        <v>0</v>
      </c>
      <c r="V174" s="651">
        <f t="shared" si="24"/>
        <v>0</v>
      </c>
      <c r="W174" s="4"/>
    </row>
    <row r="175" spans="1:23" x14ac:dyDescent="0.25">
      <c r="A175" s="652" t="s">
        <v>452</v>
      </c>
      <c r="B175" s="653" t="s">
        <v>453</v>
      </c>
      <c r="C175" s="1" t="s">
        <v>408</v>
      </c>
      <c r="D175" s="118">
        <f>+CUBICACION!D174</f>
        <v>0</v>
      </c>
      <c r="E175" s="118">
        <f>+CUBICACION!F174</f>
        <v>0</v>
      </c>
      <c r="F175" s="118">
        <f>+CUBICACION!E174</f>
        <v>0</v>
      </c>
      <c r="G175" s="118">
        <v>12</v>
      </c>
      <c r="H175" s="118">
        <v>2</v>
      </c>
      <c r="I175" s="820">
        <v>26385</v>
      </c>
      <c r="J175" s="118">
        <f>+CUBICACION!J174</f>
        <v>0</v>
      </c>
      <c r="K175" s="118">
        <v>2954</v>
      </c>
      <c r="L175" s="118">
        <f>+CUBICACION!L174</f>
        <v>0</v>
      </c>
      <c r="M175" s="64">
        <f>+CUBICACION!M174</f>
        <v>0</v>
      </c>
      <c r="N175" s="824" t="str">
        <f>+CUBICACION!N174</f>
        <v/>
      </c>
      <c r="O175" s="675">
        <f>+CUBICACION!O174</f>
        <v>0</v>
      </c>
      <c r="P175" s="15">
        <f>IF(O175="Fire Control",VLOOKUP(_xlfn.MINIFS('FIRE CONTROL'!$C$4:$C$37,'FIRE CONTROL'!$C$4:$C$37,"&gt;="&amp;M175),'FIRE CONTROL'!$C$4:$G$37,IF(L175="F-15",2,IF(L175="F-30",3,IF(L175="F-60",4,IF(L175="F-90",5,0)))),0),0)+IF(AND(O175="FIRE TEX 5062",OR(E175="IN",E175="C",E175="Z",E175="L"),J175=3),VLOOKUP(_xlfn.MINIFS('FIRE TEX 5062'!$B$4:$B$34,'FIRE TEX 5062'!$B$4:$B$34,"&gt;="&amp;M175),'FIRE TEX 5062'!$B$4:$F$34,IF(L175="F-15",2,IF(L175="F-30",3,IF(L175="F-60",4,IF(L175="F-90",5,0)))),0),0)+IF(AND(O175="FIRE TEX 5062",OR(E175="IN",E175="C",E175="Z",E175="L"),J175=4),VLOOKUP(_xlfn.MINIFS('FIRE TEX 5062'!$G$4:$G$34,'FIRE TEX 5062'!$G$4:$G$34,"&gt;="&amp;M175),'FIRE TEX 5062'!$G$4:$K$34,IF(L175="F-15",2,IF(L175="F-30",3,IF(L175="F-60",4,IF(L175="F-90",5,0)))),0),0)+IF(AND(O175="FIRE TEX 5062",E175="CJ",J175=3),VLOOKUP(_xlfn.MINIFS('FIRE TEX 5062'!$L$4:$L$34,'FIRE TEX 5062'!$L$4:$L$34,"&gt;="&amp;M175),'FIRE TEX 5062'!$L$4:$P$34,IF(L175="F-15",2,IF(L175="F-30",3,IF(L175="F-60",4,IF(L175="F-90",5,0)))),0),0)+IF(AND(O175="FIRE TEX 5062",E175="CJ",J175=4),VLOOKUP(_xlfn.MINIFS('FIRE TEX 5062'!$Q$3:$Q$34,'FIRE TEX 5062'!$Q$3:$Q$34,"&gt;="&amp;M175),'FIRE TEX 5062'!$Q$3:$U$34,IF(L175="F-15",2,IF(L175="F-30",3,IF(L175="F-60",4,IF(L175="F-90",5,0)))),0),0)+IF(AND(O175="FIRE TEX 5090",OR(E175="IN",E175="C",E175="Z",E175="L"),J175=3),VLOOKUP(_xlfn.MINIFS('FIRE TEX 5090'!$B$5:$B$43,'FIRE TEX 5090'!$B$5:$B$43,"&gt;="&amp;M175),'FIRE TEX 5090'!$B$5:$H$43,IF(L175="F-15",2,IF(L175="F-30",3,IF(L175="F-60",4,IF(L175="F-90",5,IF(L175="F-120",6,IF(L175="F-150",7,0)))))),0),0)+IF(AND(O175="FIRE TEX 5090",OR(E175="IN",E175="C",E175="Z",E175="L"),J175=4),VLOOKUP(_xlfn.MINIFS('FIRE TEX 5090'!$J$5:$J$43,'FIRE TEX 5090'!$J$5:$J$43,"&gt;="&amp;M175),'FIRE TEX 5090'!$J$5:$P$43,IF(L175="F-15",2,IF(L175="F-30",3,IF(L175="F-60",4,IF(L175="F-90",5,IF(L175="F-120",6,IF(L175="F-150",7,0)))))),0),0)+IF(AND(O175="FIRE TEX 5090",E175="CJ",J175=3),VLOOKUP(_xlfn.MINIFS('FIRE TEX 5090'!$R$5:$R$30,'FIRE TEX 5090'!$R$5:$R$30,"&gt;="&amp;M175),'FIRE TEX 5090'!$R$5:$W$30,IF(L175="F-15",2,IF(L175="F-30",3,IF(L175="F-60",4,IF(L175="F-90",5,IF(L175="F-120",6,IF(L175="F-150",7,0)))))),0),0)+IF(AND(O175="FIRE TEX 5090",E175="CJ",J175=4),VLOOKUP(_xlfn.MINIFS('FIRE TEX 5090'!$Y$5:$Y$39,'FIRE TEX 5090'!$Y$5:$Y$39,"&gt;="&amp;M175),'FIRE TEX 5090'!$Y$5:$AD$39,IF(L175="F-15",2,IF(L175="F-30",3,IF(L175="F-60",4,IF(L175="F-90",5,IF(L175="F-120",6,IF(L175="F-150",7,0)))))),0),0)+IF(AND(O175="FIRE TEX 5120",OR(E175="IN",E175="C",E175="Z",E175="L"),J175=3),VLOOKUP(_xlfn.MINIFS('FIRE TEX 5120'!$B$5:$B$40,'FIRE TEX 5120'!$B$5:$B$40,"&gt;="&amp;M175),'FIRE TEX 5120'!$B$5:$G$40,IF(L175="F-15",2,IF(L175="F-30",3,IF(L175="F-60",4,IF(L175="F-90",5,IF(L175="F-120",6,0))))),0),0)+IF(AND(O175="FIRE TEX 5120",OR(E175="IN",E175="C",E175="Z",E175="L"),J175=4),VLOOKUP(_xlfn.MINIFS('FIRE TEX 5120'!$H$4:$H$40,'FIRE TEX 5120'!$H$4:$H$40,"&gt;="&amp;M175),'FIRE TEX 5120'!$H$4:$M$40,IF(L175="F-15",2,IF(L175="F-30",3,IF(L175="F-60",4,IF(L175="F-90",5,IF(L175="F-120",6,0))))),0),0)+IF(AND(O175="FIRE TEX 5120",E175="CJ"),VLOOKUP(_xlfn.MINIFS('FIRE TEX 5120'!$O$5:$O$40,'FIRE TEX 5120'!$O$5:$O$40,"&gt;="&amp;M175),'FIRE TEX 5120'!$O$5:$T$40,IF(L175="F-15",2,IF(L175="F-30",3,IF(L175="F-60",4,IF(L175="F-90",5,IF(L175="F-120",6,0))))),0),0)</f>
        <v>0</v>
      </c>
      <c r="Q175" s="46">
        <f t="shared" si="18"/>
        <v>0</v>
      </c>
      <c r="R175" s="46">
        <f t="shared" si="20"/>
        <v>0</v>
      </c>
      <c r="S175" s="46" t="e">
        <f t="shared" si="19"/>
        <v>#VALUE!</v>
      </c>
      <c r="T175" s="677">
        <f t="shared" si="21"/>
        <v>0</v>
      </c>
      <c r="U175" s="80">
        <f>(IF(O175="Stofire",(S175*#REF!),0))+(IF(O175="Fire Control",(S175*$U$2),0))+(IF(O175="Fire Tex",(S175*$U$3),0))+(IF(O175="WB7",(S175*#REF!),0)+(IF(O175="FX 2003",(S175*$U$5),0)))</f>
        <v>0</v>
      </c>
      <c r="V175" s="651">
        <f t="shared" si="24"/>
        <v>0</v>
      </c>
      <c r="W175" s="4"/>
    </row>
    <row r="176" spans="1:23" x14ac:dyDescent="0.25">
      <c r="A176" s="652" t="s">
        <v>452</v>
      </c>
      <c r="B176" s="653" t="s">
        <v>453</v>
      </c>
      <c r="C176" s="1" t="s">
        <v>408</v>
      </c>
      <c r="D176" s="118">
        <f>+CUBICACION!D175</f>
        <v>0</v>
      </c>
      <c r="E176" s="118">
        <f>+CUBICACION!F175</f>
        <v>0</v>
      </c>
      <c r="F176" s="118">
        <f>+CUBICACION!E175</f>
        <v>0</v>
      </c>
      <c r="G176" s="118">
        <v>12</v>
      </c>
      <c r="H176" s="118">
        <v>2</v>
      </c>
      <c r="I176" s="820">
        <v>26385</v>
      </c>
      <c r="J176" s="118">
        <f>+CUBICACION!J175</f>
        <v>0</v>
      </c>
      <c r="K176" s="118">
        <v>2955</v>
      </c>
      <c r="L176" s="118">
        <f>+CUBICACION!L175</f>
        <v>0</v>
      </c>
      <c r="M176" s="64">
        <f>+CUBICACION!M175</f>
        <v>0</v>
      </c>
      <c r="N176" s="824" t="str">
        <f>+CUBICACION!N175</f>
        <v/>
      </c>
      <c r="O176" s="675">
        <f>+CUBICACION!O175</f>
        <v>0</v>
      </c>
      <c r="P176" s="15">
        <f>IF(O176="Fire Control",VLOOKUP(_xlfn.MINIFS('FIRE CONTROL'!$C$4:$C$37,'FIRE CONTROL'!$C$4:$C$37,"&gt;="&amp;M176),'FIRE CONTROL'!$C$4:$G$37,IF(L176="F-15",2,IF(L176="F-30",3,IF(L176="F-60",4,IF(L176="F-90",5,0)))),0),0)+IF(AND(O176="FIRE TEX 5062",OR(E176="IN",E176="C",E176="Z",E176="L"),J176=3),VLOOKUP(_xlfn.MINIFS('FIRE TEX 5062'!$B$4:$B$34,'FIRE TEX 5062'!$B$4:$B$34,"&gt;="&amp;M176),'FIRE TEX 5062'!$B$4:$F$34,IF(L176="F-15",2,IF(L176="F-30",3,IF(L176="F-60",4,IF(L176="F-90",5,0)))),0),0)+IF(AND(O176="FIRE TEX 5062",OR(E176="IN",E176="C",E176="Z",E176="L"),J176=4),VLOOKUP(_xlfn.MINIFS('FIRE TEX 5062'!$G$4:$G$34,'FIRE TEX 5062'!$G$4:$G$34,"&gt;="&amp;M176),'FIRE TEX 5062'!$G$4:$K$34,IF(L176="F-15",2,IF(L176="F-30",3,IF(L176="F-60",4,IF(L176="F-90",5,0)))),0),0)+IF(AND(O176="FIRE TEX 5062",E176="CJ",J176=3),VLOOKUP(_xlfn.MINIFS('FIRE TEX 5062'!$L$4:$L$34,'FIRE TEX 5062'!$L$4:$L$34,"&gt;="&amp;M176),'FIRE TEX 5062'!$L$4:$P$34,IF(L176="F-15",2,IF(L176="F-30",3,IF(L176="F-60",4,IF(L176="F-90",5,0)))),0),0)+IF(AND(O176="FIRE TEX 5062",E176="CJ",J176=4),VLOOKUP(_xlfn.MINIFS('FIRE TEX 5062'!$Q$3:$Q$34,'FIRE TEX 5062'!$Q$3:$Q$34,"&gt;="&amp;M176),'FIRE TEX 5062'!$Q$3:$U$34,IF(L176="F-15",2,IF(L176="F-30",3,IF(L176="F-60",4,IF(L176="F-90",5,0)))),0),0)+IF(AND(O176="FIRE TEX 5090",OR(E176="IN",E176="C",E176="Z",E176="L"),J176=3),VLOOKUP(_xlfn.MINIFS('FIRE TEX 5090'!$B$5:$B$43,'FIRE TEX 5090'!$B$5:$B$43,"&gt;="&amp;M176),'FIRE TEX 5090'!$B$5:$H$43,IF(L176="F-15",2,IF(L176="F-30",3,IF(L176="F-60",4,IF(L176="F-90",5,IF(L176="F-120",6,IF(L176="F-150",7,0)))))),0),0)+IF(AND(O176="FIRE TEX 5090",OR(E176="IN",E176="C",E176="Z",E176="L"),J176=4),VLOOKUP(_xlfn.MINIFS('FIRE TEX 5090'!$J$5:$J$43,'FIRE TEX 5090'!$J$5:$J$43,"&gt;="&amp;M176),'FIRE TEX 5090'!$J$5:$P$43,IF(L176="F-15",2,IF(L176="F-30",3,IF(L176="F-60",4,IF(L176="F-90",5,IF(L176="F-120",6,IF(L176="F-150",7,0)))))),0),0)+IF(AND(O176="FIRE TEX 5090",E176="CJ",J176=3),VLOOKUP(_xlfn.MINIFS('FIRE TEX 5090'!$R$5:$R$30,'FIRE TEX 5090'!$R$5:$R$30,"&gt;="&amp;M176),'FIRE TEX 5090'!$R$5:$W$30,IF(L176="F-15",2,IF(L176="F-30",3,IF(L176="F-60",4,IF(L176="F-90",5,IF(L176="F-120",6,IF(L176="F-150",7,0)))))),0),0)+IF(AND(O176="FIRE TEX 5090",E176="CJ",J176=4),VLOOKUP(_xlfn.MINIFS('FIRE TEX 5090'!$Y$5:$Y$39,'FIRE TEX 5090'!$Y$5:$Y$39,"&gt;="&amp;M176),'FIRE TEX 5090'!$Y$5:$AD$39,IF(L176="F-15",2,IF(L176="F-30",3,IF(L176="F-60",4,IF(L176="F-90",5,IF(L176="F-120",6,IF(L176="F-150",7,0)))))),0),0)+IF(AND(O176="FIRE TEX 5120",OR(E176="IN",E176="C",E176="Z",E176="L"),J176=3),VLOOKUP(_xlfn.MINIFS('FIRE TEX 5120'!$B$5:$B$40,'FIRE TEX 5120'!$B$5:$B$40,"&gt;="&amp;M176),'FIRE TEX 5120'!$B$5:$G$40,IF(L176="F-15",2,IF(L176="F-30",3,IF(L176="F-60",4,IF(L176="F-90",5,IF(L176="F-120",6,0))))),0),0)+IF(AND(O176="FIRE TEX 5120",OR(E176="IN",E176="C",E176="Z",E176="L"),J176=4),VLOOKUP(_xlfn.MINIFS('FIRE TEX 5120'!$H$4:$H$40,'FIRE TEX 5120'!$H$4:$H$40,"&gt;="&amp;M176),'FIRE TEX 5120'!$H$4:$M$40,IF(L176="F-15",2,IF(L176="F-30",3,IF(L176="F-60",4,IF(L176="F-90",5,IF(L176="F-120",6,0))))),0),0)+IF(AND(O176="FIRE TEX 5120",E176="CJ"),VLOOKUP(_xlfn.MINIFS('FIRE TEX 5120'!$O$5:$O$40,'FIRE TEX 5120'!$O$5:$O$40,"&gt;="&amp;M176),'FIRE TEX 5120'!$O$5:$T$40,IF(L176="F-15",2,IF(L176="F-30",3,IF(L176="F-60",4,IF(L176="F-90",5,IF(L176="F-120",6,0))))),0),0)</f>
        <v>0</v>
      </c>
      <c r="Q176" s="46">
        <f t="shared" si="18"/>
        <v>0</v>
      </c>
      <c r="R176" s="46">
        <f t="shared" si="20"/>
        <v>0</v>
      </c>
      <c r="S176" s="46" t="e">
        <f t="shared" si="19"/>
        <v>#VALUE!</v>
      </c>
      <c r="T176" s="677">
        <f t="shared" si="21"/>
        <v>0</v>
      </c>
      <c r="U176" s="80">
        <f>(IF(O176="Stofire",(S176*#REF!),0))+(IF(O176="Fire Control",(S176*$U$2),0))+(IF(O176="Fire Tex",(S176*$U$3),0))+(IF(O176="WB7",(S176*#REF!),0)+(IF(O176="FX 2003",(S176*$U$5),0)))</f>
        <v>0</v>
      </c>
      <c r="V176" s="651">
        <f t="shared" si="24"/>
        <v>0</v>
      </c>
      <c r="W176" s="4"/>
    </row>
    <row r="177" spans="1:23" x14ac:dyDescent="0.25">
      <c r="A177" s="652" t="s">
        <v>456</v>
      </c>
      <c r="B177" s="653" t="s">
        <v>453</v>
      </c>
      <c r="C177" s="1" t="s">
        <v>457</v>
      </c>
      <c r="D177" s="118">
        <f>+CUBICACION!D176</f>
        <v>0</v>
      </c>
      <c r="E177" s="118">
        <f>+CUBICACION!F176</f>
        <v>0</v>
      </c>
      <c r="F177" s="118">
        <f>+CUBICACION!E176</f>
        <v>0</v>
      </c>
      <c r="G177" s="118">
        <v>12</v>
      </c>
      <c r="H177" s="118">
        <v>2</v>
      </c>
      <c r="I177" s="820">
        <v>26385</v>
      </c>
      <c r="J177" s="118">
        <f>+CUBICACION!J176</f>
        <v>0</v>
      </c>
      <c r="K177" s="118">
        <v>2956</v>
      </c>
      <c r="L177" s="118">
        <f>+CUBICACION!L176</f>
        <v>0</v>
      </c>
      <c r="M177" s="64">
        <f>+CUBICACION!M176</f>
        <v>0</v>
      </c>
      <c r="N177" s="824" t="str">
        <f>+CUBICACION!N176</f>
        <v/>
      </c>
      <c r="O177" s="675">
        <f>+CUBICACION!O176</f>
        <v>0</v>
      </c>
      <c r="P177" s="15">
        <f>IF(O177="Fire Control",VLOOKUP(_xlfn.MINIFS('FIRE CONTROL'!$C$4:$C$37,'FIRE CONTROL'!$C$4:$C$37,"&gt;="&amp;M177),'FIRE CONTROL'!$C$4:$G$37,IF(L177="F-15",2,IF(L177="F-30",3,IF(L177="F-60",4,IF(L177="F-90",5,0)))),0),0)+IF(AND(O177="FIRE TEX 5062",OR(E177="IN",E177="C",E177="Z",E177="L"),J177=3),VLOOKUP(_xlfn.MINIFS('FIRE TEX 5062'!$B$4:$B$34,'FIRE TEX 5062'!$B$4:$B$34,"&gt;="&amp;M177),'FIRE TEX 5062'!$B$4:$F$34,IF(L177="F-15",2,IF(L177="F-30",3,IF(L177="F-60",4,IF(L177="F-90",5,0)))),0),0)+IF(AND(O177="FIRE TEX 5062",OR(E177="IN",E177="C",E177="Z",E177="L"),J177=4),VLOOKUP(_xlfn.MINIFS('FIRE TEX 5062'!$G$4:$G$34,'FIRE TEX 5062'!$G$4:$G$34,"&gt;="&amp;M177),'FIRE TEX 5062'!$G$4:$K$34,IF(L177="F-15",2,IF(L177="F-30",3,IF(L177="F-60",4,IF(L177="F-90",5,0)))),0),0)+IF(AND(O177="FIRE TEX 5062",E177="CJ",J177=3),VLOOKUP(_xlfn.MINIFS('FIRE TEX 5062'!$L$4:$L$34,'FIRE TEX 5062'!$L$4:$L$34,"&gt;="&amp;M177),'FIRE TEX 5062'!$L$4:$P$34,IF(L177="F-15",2,IF(L177="F-30",3,IF(L177="F-60",4,IF(L177="F-90",5,0)))),0),0)+IF(AND(O177="FIRE TEX 5062",E177="CJ",J177=4),VLOOKUP(_xlfn.MINIFS('FIRE TEX 5062'!$Q$3:$Q$34,'FIRE TEX 5062'!$Q$3:$Q$34,"&gt;="&amp;M177),'FIRE TEX 5062'!$Q$3:$U$34,IF(L177="F-15",2,IF(L177="F-30",3,IF(L177="F-60",4,IF(L177="F-90",5,0)))),0),0)+IF(AND(O177="FIRE TEX 5090",OR(E177="IN",E177="C",E177="Z",E177="L"),J177=3),VLOOKUP(_xlfn.MINIFS('FIRE TEX 5090'!$B$5:$B$43,'FIRE TEX 5090'!$B$5:$B$43,"&gt;="&amp;M177),'FIRE TEX 5090'!$B$5:$H$43,IF(L177="F-15",2,IF(L177="F-30",3,IF(L177="F-60",4,IF(L177="F-90",5,IF(L177="F-120",6,IF(L177="F-150",7,0)))))),0),0)+IF(AND(O177="FIRE TEX 5090",OR(E177="IN",E177="C",E177="Z",E177="L"),J177=4),VLOOKUP(_xlfn.MINIFS('FIRE TEX 5090'!$J$5:$J$43,'FIRE TEX 5090'!$J$5:$J$43,"&gt;="&amp;M177),'FIRE TEX 5090'!$J$5:$P$43,IF(L177="F-15",2,IF(L177="F-30",3,IF(L177="F-60",4,IF(L177="F-90",5,IF(L177="F-120",6,IF(L177="F-150",7,0)))))),0),0)+IF(AND(O177="FIRE TEX 5090",E177="CJ",J177=3),VLOOKUP(_xlfn.MINIFS('FIRE TEX 5090'!$R$5:$R$30,'FIRE TEX 5090'!$R$5:$R$30,"&gt;="&amp;M177),'FIRE TEX 5090'!$R$5:$W$30,IF(L177="F-15",2,IF(L177="F-30",3,IF(L177="F-60",4,IF(L177="F-90",5,IF(L177="F-120",6,IF(L177="F-150",7,0)))))),0),0)+IF(AND(O177="FIRE TEX 5090",E177="CJ",J177=4),VLOOKUP(_xlfn.MINIFS('FIRE TEX 5090'!$Y$5:$Y$39,'FIRE TEX 5090'!$Y$5:$Y$39,"&gt;="&amp;M177),'FIRE TEX 5090'!$Y$5:$AD$39,IF(L177="F-15",2,IF(L177="F-30",3,IF(L177="F-60",4,IF(L177="F-90",5,IF(L177="F-120",6,IF(L177="F-150",7,0)))))),0),0)+IF(AND(O177="FIRE TEX 5120",OR(E177="IN",E177="C",E177="Z",E177="L"),J177=3),VLOOKUP(_xlfn.MINIFS('FIRE TEX 5120'!$B$5:$B$40,'FIRE TEX 5120'!$B$5:$B$40,"&gt;="&amp;M177),'FIRE TEX 5120'!$B$5:$G$40,IF(L177="F-15",2,IF(L177="F-30",3,IF(L177="F-60",4,IF(L177="F-90",5,IF(L177="F-120",6,0))))),0),0)+IF(AND(O177="FIRE TEX 5120",OR(E177="IN",E177="C",E177="Z",E177="L"),J177=4),VLOOKUP(_xlfn.MINIFS('FIRE TEX 5120'!$H$4:$H$40,'FIRE TEX 5120'!$H$4:$H$40,"&gt;="&amp;M177),'FIRE TEX 5120'!$H$4:$M$40,IF(L177="F-15",2,IF(L177="F-30",3,IF(L177="F-60",4,IF(L177="F-90",5,IF(L177="F-120",6,0))))),0),0)+IF(AND(O177="FIRE TEX 5120",E177="CJ"),VLOOKUP(_xlfn.MINIFS('FIRE TEX 5120'!$O$5:$O$40,'FIRE TEX 5120'!$O$5:$O$40,"&gt;="&amp;M177),'FIRE TEX 5120'!$O$5:$T$40,IF(L177="F-15",2,IF(L177="F-30",3,IF(L177="F-60",4,IF(L177="F-90",5,IF(L177="F-120",6,0))))),0),0)</f>
        <v>0</v>
      </c>
      <c r="Q177" s="46">
        <f t="shared" si="18"/>
        <v>0</v>
      </c>
      <c r="R177" s="46">
        <f t="shared" si="20"/>
        <v>0</v>
      </c>
      <c r="S177" s="46" t="e">
        <f t="shared" si="19"/>
        <v>#VALUE!</v>
      </c>
      <c r="T177" s="677">
        <f t="shared" si="21"/>
        <v>0</v>
      </c>
      <c r="U177" s="80">
        <f>(IF(O177="Stofire",(S177*#REF!),0))+(IF(O177="Fire Control",(S177*$U$2),0))+(IF(O177="Fire Tex",(S177*$U$3),0))+(IF(O177="WB7",(S177*#REF!),0)+(IF(O177="FX 2003",(S177*$U$5),0)))</f>
        <v>0</v>
      </c>
      <c r="V177" s="651">
        <f t="shared" si="24"/>
        <v>0</v>
      </c>
      <c r="W177" s="4"/>
    </row>
    <row r="178" spans="1:23" x14ac:dyDescent="0.25">
      <c r="A178" s="652" t="s">
        <v>456</v>
      </c>
      <c r="B178" s="653" t="s">
        <v>453</v>
      </c>
      <c r="C178" s="1" t="s">
        <v>408</v>
      </c>
      <c r="D178" s="118">
        <f>+CUBICACION!D177</f>
        <v>0</v>
      </c>
      <c r="E178" s="118">
        <f>+CUBICACION!F177</f>
        <v>0</v>
      </c>
      <c r="F178" s="118">
        <f>+CUBICACION!E177</f>
        <v>0</v>
      </c>
      <c r="G178" s="118">
        <v>12</v>
      </c>
      <c r="H178" s="118">
        <v>2</v>
      </c>
      <c r="I178" s="820">
        <v>26385</v>
      </c>
      <c r="J178" s="118">
        <f>+CUBICACION!J177</f>
        <v>0</v>
      </c>
      <c r="K178" s="118">
        <v>2957</v>
      </c>
      <c r="L178" s="118">
        <f>+CUBICACION!L177</f>
        <v>0</v>
      </c>
      <c r="M178" s="64">
        <f>+CUBICACION!M177</f>
        <v>0</v>
      </c>
      <c r="N178" s="824" t="str">
        <f>+CUBICACION!N177</f>
        <v/>
      </c>
      <c r="O178" s="675">
        <f>+CUBICACION!O177</f>
        <v>0</v>
      </c>
      <c r="P178" s="15">
        <f>IF(O178="Fire Control",VLOOKUP(_xlfn.MINIFS('FIRE CONTROL'!$C$4:$C$37,'FIRE CONTROL'!$C$4:$C$37,"&gt;="&amp;M178),'FIRE CONTROL'!$C$4:$G$37,IF(L178="F-15",2,IF(L178="F-30",3,IF(L178="F-60",4,IF(L178="F-90",5,0)))),0),0)+IF(AND(O178="FIRE TEX 5062",OR(E178="IN",E178="C",E178="Z",E178="L"),J178=3),VLOOKUP(_xlfn.MINIFS('FIRE TEX 5062'!$B$4:$B$34,'FIRE TEX 5062'!$B$4:$B$34,"&gt;="&amp;M178),'FIRE TEX 5062'!$B$4:$F$34,IF(L178="F-15",2,IF(L178="F-30",3,IF(L178="F-60",4,IF(L178="F-90",5,0)))),0),0)+IF(AND(O178="FIRE TEX 5062",OR(E178="IN",E178="C",E178="Z",E178="L"),J178=4),VLOOKUP(_xlfn.MINIFS('FIRE TEX 5062'!$G$4:$G$34,'FIRE TEX 5062'!$G$4:$G$34,"&gt;="&amp;M178),'FIRE TEX 5062'!$G$4:$K$34,IF(L178="F-15",2,IF(L178="F-30",3,IF(L178="F-60",4,IF(L178="F-90",5,0)))),0),0)+IF(AND(O178="FIRE TEX 5062",E178="CJ",J178=3),VLOOKUP(_xlfn.MINIFS('FIRE TEX 5062'!$L$4:$L$34,'FIRE TEX 5062'!$L$4:$L$34,"&gt;="&amp;M178),'FIRE TEX 5062'!$L$4:$P$34,IF(L178="F-15",2,IF(L178="F-30",3,IF(L178="F-60",4,IF(L178="F-90",5,0)))),0),0)+IF(AND(O178="FIRE TEX 5062",E178="CJ",J178=4),VLOOKUP(_xlfn.MINIFS('FIRE TEX 5062'!$Q$3:$Q$34,'FIRE TEX 5062'!$Q$3:$Q$34,"&gt;="&amp;M178),'FIRE TEX 5062'!$Q$3:$U$34,IF(L178="F-15",2,IF(L178="F-30",3,IF(L178="F-60",4,IF(L178="F-90",5,0)))),0),0)+IF(AND(O178="FIRE TEX 5090",OR(E178="IN",E178="C",E178="Z",E178="L"),J178=3),VLOOKUP(_xlfn.MINIFS('FIRE TEX 5090'!$B$5:$B$43,'FIRE TEX 5090'!$B$5:$B$43,"&gt;="&amp;M178),'FIRE TEX 5090'!$B$5:$H$43,IF(L178="F-15",2,IF(L178="F-30",3,IF(L178="F-60",4,IF(L178="F-90",5,IF(L178="F-120",6,IF(L178="F-150",7,0)))))),0),0)+IF(AND(O178="FIRE TEX 5090",OR(E178="IN",E178="C",E178="Z",E178="L"),J178=4),VLOOKUP(_xlfn.MINIFS('FIRE TEX 5090'!$J$5:$J$43,'FIRE TEX 5090'!$J$5:$J$43,"&gt;="&amp;M178),'FIRE TEX 5090'!$J$5:$P$43,IF(L178="F-15",2,IF(L178="F-30",3,IF(L178="F-60",4,IF(L178="F-90",5,IF(L178="F-120",6,IF(L178="F-150",7,0)))))),0),0)+IF(AND(O178="FIRE TEX 5090",E178="CJ",J178=3),VLOOKUP(_xlfn.MINIFS('FIRE TEX 5090'!$R$5:$R$30,'FIRE TEX 5090'!$R$5:$R$30,"&gt;="&amp;M178),'FIRE TEX 5090'!$R$5:$W$30,IF(L178="F-15",2,IF(L178="F-30",3,IF(L178="F-60",4,IF(L178="F-90",5,IF(L178="F-120",6,IF(L178="F-150",7,0)))))),0),0)+IF(AND(O178="FIRE TEX 5090",E178="CJ",J178=4),VLOOKUP(_xlfn.MINIFS('FIRE TEX 5090'!$Y$5:$Y$39,'FIRE TEX 5090'!$Y$5:$Y$39,"&gt;="&amp;M178),'FIRE TEX 5090'!$Y$5:$AD$39,IF(L178="F-15",2,IF(L178="F-30",3,IF(L178="F-60",4,IF(L178="F-90",5,IF(L178="F-120",6,IF(L178="F-150",7,0)))))),0),0)+IF(AND(O178="FIRE TEX 5120",OR(E178="IN",E178="C",E178="Z",E178="L"),J178=3),VLOOKUP(_xlfn.MINIFS('FIRE TEX 5120'!$B$5:$B$40,'FIRE TEX 5120'!$B$5:$B$40,"&gt;="&amp;M178),'FIRE TEX 5120'!$B$5:$G$40,IF(L178="F-15",2,IF(L178="F-30",3,IF(L178="F-60",4,IF(L178="F-90",5,IF(L178="F-120",6,0))))),0),0)+IF(AND(O178="FIRE TEX 5120",OR(E178="IN",E178="C",E178="Z",E178="L"),J178=4),VLOOKUP(_xlfn.MINIFS('FIRE TEX 5120'!$H$4:$H$40,'FIRE TEX 5120'!$H$4:$H$40,"&gt;="&amp;M178),'FIRE TEX 5120'!$H$4:$M$40,IF(L178="F-15",2,IF(L178="F-30",3,IF(L178="F-60",4,IF(L178="F-90",5,IF(L178="F-120",6,0))))),0),0)+IF(AND(O178="FIRE TEX 5120",E178="CJ"),VLOOKUP(_xlfn.MINIFS('FIRE TEX 5120'!$O$5:$O$40,'FIRE TEX 5120'!$O$5:$O$40,"&gt;="&amp;M178),'FIRE TEX 5120'!$O$5:$T$40,IF(L178="F-15",2,IF(L178="F-30",3,IF(L178="F-60",4,IF(L178="F-90",5,IF(L178="F-120",6,0))))),0),0)</f>
        <v>0</v>
      </c>
      <c r="Q178" s="46">
        <f t="shared" si="18"/>
        <v>0</v>
      </c>
      <c r="R178" s="46">
        <f t="shared" si="20"/>
        <v>0</v>
      </c>
      <c r="S178" s="46" t="e">
        <f t="shared" si="19"/>
        <v>#VALUE!</v>
      </c>
      <c r="T178" s="677">
        <f t="shared" si="21"/>
        <v>0</v>
      </c>
      <c r="U178" s="80">
        <f>(IF(O178="Stofire",(S178*#REF!),0))+(IF(O178="Fire Control",(S178*$U$2),0))+(IF(O178="Fire Tex",(S178*$U$3),0))+(IF(O178="WB7",(S178*#REF!),0)+(IF(O178="FX 2003",(S178*$U$5),0)))</f>
        <v>0</v>
      </c>
      <c r="V178" s="651">
        <f t="shared" si="24"/>
        <v>0</v>
      </c>
      <c r="W178" s="4"/>
    </row>
    <row r="179" spans="1:23" x14ac:dyDescent="0.25">
      <c r="A179" s="652" t="s">
        <v>456</v>
      </c>
      <c r="B179" s="653" t="s">
        <v>453</v>
      </c>
      <c r="C179" s="1" t="s">
        <v>408</v>
      </c>
      <c r="D179" s="118">
        <f>+CUBICACION!D178</f>
        <v>0</v>
      </c>
      <c r="E179" s="118">
        <f>+CUBICACION!F178</f>
        <v>0</v>
      </c>
      <c r="F179" s="118">
        <f>+CUBICACION!E178</f>
        <v>0</v>
      </c>
      <c r="G179" s="118">
        <v>12</v>
      </c>
      <c r="H179" s="118">
        <v>2</v>
      </c>
      <c r="I179" s="820">
        <v>26385</v>
      </c>
      <c r="J179" s="118">
        <f>+CUBICACION!J178</f>
        <v>0</v>
      </c>
      <c r="K179" s="118">
        <v>2958</v>
      </c>
      <c r="L179" s="118">
        <f>+CUBICACION!L178</f>
        <v>0</v>
      </c>
      <c r="M179" s="64">
        <f>+CUBICACION!M178</f>
        <v>0</v>
      </c>
      <c r="N179" s="824" t="str">
        <f>+CUBICACION!N178</f>
        <v/>
      </c>
      <c r="O179" s="675">
        <f>+CUBICACION!O178</f>
        <v>0</v>
      </c>
      <c r="P179" s="15">
        <f>IF(O179="Fire Control",VLOOKUP(_xlfn.MINIFS('FIRE CONTROL'!$C$4:$C$37,'FIRE CONTROL'!$C$4:$C$37,"&gt;="&amp;M179),'FIRE CONTROL'!$C$4:$G$37,IF(L179="F-15",2,IF(L179="F-30",3,IF(L179="F-60",4,IF(L179="F-90",5,0)))),0),0)+IF(AND(O179="FIRE TEX 5062",OR(E179="IN",E179="C",E179="Z",E179="L"),J179=3),VLOOKUP(_xlfn.MINIFS('FIRE TEX 5062'!$B$4:$B$34,'FIRE TEX 5062'!$B$4:$B$34,"&gt;="&amp;M179),'FIRE TEX 5062'!$B$4:$F$34,IF(L179="F-15",2,IF(L179="F-30",3,IF(L179="F-60",4,IF(L179="F-90",5,0)))),0),0)+IF(AND(O179="FIRE TEX 5062",OR(E179="IN",E179="C",E179="Z",E179="L"),J179=4),VLOOKUP(_xlfn.MINIFS('FIRE TEX 5062'!$G$4:$G$34,'FIRE TEX 5062'!$G$4:$G$34,"&gt;="&amp;M179),'FIRE TEX 5062'!$G$4:$K$34,IF(L179="F-15",2,IF(L179="F-30",3,IF(L179="F-60",4,IF(L179="F-90",5,0)))),0),0)+IF(AND(O179="FIRE TEX 5062",E179="CJ",J179=3),VLOOKUP(_xlfn.MINIFS('FIRE TEX 5062'!$L$4:$L$34,'FIRE TEX 5062'!$L$4:$L$34,"&gt;="&amp;M179),'FIRE TEX 5062'!$L$4:$P$34,IF(L179="F-15",2,IF(L179="F-30",3,IF(L179="F-60",4,IF(L179="F-90",5,0)))),0),0)+IF(AND(O179="FIRE TEX 5062",E179="CJ",J179=4),VLOOKUP(_xlfn.MINIFS('FIRE TEX 5062'!$Q$3:$Q$34,'FIRE TEX 5062'!$Q$3:$Q$34,"&gt;="&amp;M179),'FIRE TEX 5062'!$Q$3:$U$34,IF(L179="F-15",2,IF(L179="F-30",3,IF(L179="F-60",4,IF(L179="F-90",5,0)))),0),0)+IF(AND(O179="FIRE TEX 5090",OR(E179="IN",E179="C",E179="Z",E179="L"),J179=3),VLOOKUP(_xlfn.MINIFS('FIRE TEX 5090'!$B$5:$B$43,'FIRE TEX 5090'!$B$5:$B$43,"&gt;="&amp;M179),'FIRE TEX 5090'!$B$5:$H$43,IF(L179="F-15",2,IF(L179="F-30",3,IF(L179="F-60",4,IF(L179="F-90",5,IF(L179="F-120",6,IF(L179="F-150",7,0)))))),0),0)+IF(AND(O179="FIRE TEX 5090",OR(E179="IN",E179="C",E179="Z",E179="L"),J179=4),VLOOKUP(_xlfn.MINIFS('FIRE TEX 5090'!$J$5:$J$43,'FIRE TEX 5090'!$J$5:$J$43,"&gt;="&amp;M179),'FIRE TEX 5090'!$J$5:$P$43,IF(L179="F-15",2,IF(L179="F-30",3,IF(L179="F-60",4,IF(L179="F-90",5,IF(L179="F-120",6,IF(L179="F-150",7,0)))))),0),0)+IF(AND(O179="FIRE TEX 5090",E179="CJ",J179=3),VLOOKUP(_xlfn.MINIFS('FIRE TEX 5090'!$R$5:$R$30,'FIRE TEX 5090'!$R$5:$R$30,"&gt;="&amp;M179),'FIRE TEX 5090'!$R$5:$W$30,IF(L179="F-15",2,IF(L179="F-30",3,IF(L179="F-60",4,IF(L179="F-90",5,IF(L179="F-120",6,IF(L179="F-150",7,0)))))),0),0)+IF(AND(O179="FIRE TEX 5090",E179="CJ",J179=4),VLOOKUP(_xlfn.MINIFS('FIRE TEX 5090'!$Y$5:$Y$39,'FIRE TEX 5090'!$Y$5:$Y$39,"&gt;="&amp;M179),'FIRE TEX 5090'!$Y$5:$AD$39,IF(L179="F-15",2,IF(L179="F-30",3,IF(L179="F-60",4,IF(L179="F-90",5,IF(L179="F-120",6,IF(L179="F-150",7,0)))))),0),0)+IF(AND(O179="FIRE TEX 5120",OR(E179="IN",E179="C",E179="Z",E179="L"),J179=3),VLOOKUP(_xlfn.MINIFS('FIRE TEX 5120'!$B$5:$B$40,'FIRE TEX 5120'!$B$5:$B$40,"&gt;="&amp;M179),'FIRE TEX 5120'!$B$5:$G$40,IF(L179="F-15",2,IF(L179="F-30",3,IF(L179="F-60",4,IF(L179="F-90",5,IF(L179="F-120",6,0))))),0),0)+IF(AND(O179="FIRE TEX 5120",OR(E179="IN",E179="C",E179="Z",E179="L"),J179=4),VLOOKUP(_xlfn.MINIFS('FIRE TEX 5120'!$H$4:$H$40,'FIRE TEX 5120'!$H$4:$H$40,"&gt;="&amp;M179),'FIRE TEX 5120'!$H$4:$M$40,IF(L179="F-15",2,IF(L179="F-30",3,IF(L179="F-60",4,IF(L179="F-90",5,IF(L179="F-120",6,0))))),0),0)+IF(AND(O179="FIRE TEX 5120",E179="CJ"),VLOOKUP(_xlfn.MINIFS('FIRE TEX 5120'!$O$5:$O$40,'FIRE TEX 5120'!$O$5:$O$40,"&gt;="&amp;M179),'FIRE TEX 5120'!$O$5:$T$40,IF(L179="F-15",2,IF(L179="F-30",3,IF(L179="F-60",4,IF(L179="F-90",5,IF(L179="F-120",6,0))))),0),0)</f>
        <v>0</v>
      </c>
      <c r="Q179" s="46">
        <f t="shared" si="18"/>
        <v>0</v>
      </c>
      <c r="R179" s="46">
        <f t="shared" si="20"/>
        <v>0</v>
      </c>
      <c r="S179" s="46" t="e">
        <f t="shared" si="19"/>
        <v>#VALUE!</v>
      </c>
      <c r="T179" s="677">
        <f t="shared" si="21"/>
        <v>0</v>
      </c>
      <c r="U179" s="80">
        <f>(IF(O179="Stofire",(S179*#REF!),0))+(IF(O179="Fire Control",(S179*$U$2),0))+(IF(O179="Fire Tex",(S179*$U$3),0))+(IF(O179="WB7",(S179*#REF!),0)+(IF(O179="FX 2003",(S179*$U$5),0)))</f>
        <v>0</v>
      </c>
      <c r="V179" s="651">
        <f t="shared" si="24"/>
        <v>0</v>
      </c>
      <c r="W179" s="4"/>
    </row>
    <row r="180" spans="1:23" x14ac:dyDescent="0.25">
      <c r="A180" s="652" t="s">
        <v>458</v>
      </c>
      <c r="B180" s="653" t="s">
        <v>459</v>
      </c>
      <c r="C180" s="1" t="s">
        <v>460</v>
      </c>
      <c r="D180" s="118">
        <f>+CUBICACION!D179</f>
        <v>0</v>
      </c>
      <c r="E180" s="118">
        <f>+CUBICACION!F179</f>
        <v>0</v>
      </c>
      <c r="F180" s="118">
        <f>+CUBICACION!E179</f>
        <v>0</v>
      </c>
      <c r="G180" s="118">
        <v>12</v>
      </c>
      <c r="H180" s="118">
        <v>2</v>
      </c>
      <c r="I180" s="820">
        <v>26385</v>
      </c>
      <c r="J180" s="118">
        <f>+CUBICACION!J179</f>
        <v>0</v>
      </c>
      <c r="K180" s="118">
        <v>2959</v>
      </c>
      <c r="L180" s="118">
        <f>+CUBICACION!L179</f>
        <v>0</v>
      </c>
      <c r="M180" s="64">
        <f>+CUBICACION!M179</f>
        <v>0</v>
      </c>
      <c r="N180" s="824" t="str">
        <f>+CUBICACION!N179</f>
        <v/>
      </c>
      <c r="O180" s="675">
        <f>+CUBICACION!O179</f>
        <v>0</v>
      </c>
      <c r="P180" s="15">
        <f>IF(O180="Fire Control",VLOOKUP(_xlfn.MINIFS('FIRE CONTROL'!$C$4:$C$37,'FIRE CONTROL'!$C$4:$C$37,"&gt;="&amp;M180),'FIRE CONTROL'!$C$4:$G$37,IF(L180="F-15",2,IF(L180="F-30",3,IF(L180="F-60",4,IF(L180="F-90",5,0)))),0),0)+IF(AND(O180="FIRE TEX 5062",OR(E180="IN",E180="C",E180="Z",E180="L"),J180=3),VLOOKUP(_xlfn.MINIFS('FIRE TEX 5062'!$B$4:$B$34,'FIRE TEX 5062'!$B$4:$B$34,"&gt;="&amp;M180),'FIRE TEX 5062'!$B$4:$F$34,IF(L180="F-15",2,IF(L180="F-30",3,IF(L180="F-60",4,IF(L180="F-90",5,0)))),0),0)+IF(AND(O180="FIRE TEX 5062",OR(E180="IN",E180="C",E180="Z",E180="L"),J180=4),VLOOKUP(_xlfn.MINIFS('FIRE TEX 5062'!$G$4:$G$34,'FIRE TEX 5062'!$G$4:$G$34,"&gt;="&amp;M180),'FIRE TEX 5062'!$G$4:$K$34,IF(L180="F-15",2,IF(L180="F-30",3,IF(L180="F-60",4,IF(L180="F-90",5,0)))),0),0)+IF(AND(O180="FIRE TEX 5062",E180="CJ",J180=3),VLOOKUP(_xlfn.MINIFS('FIRE TEX 5062'!$L$4:$L$34,'FIRE TEX 5062'!$L$4:$L$34,"&gt;="&amp;M180),'FIRE TEX 5062'!$L$4:$P$34,IF(L180="F-15",2,IF(L180="F-30",3,IF(L180="F-60",4,IF(L180="F-90",5,0)))),0),0)+IF(AND(O180="FIRE TEX 5062",E180="CJ",J180=4),VLOOKUP(_xlfn.MINIFS('FIRE TEX 5062'!$Q$3:$Q$34,'FIRE TEX 5062'!$Q$3:$Q$34,"&gt;="&amp;M180),'FIRE TEX 5062'!$Q$3:$U$34,IF(L180="F-15",2,IF(L180="F-30",3,IF(L180="F-60",4,IF(L180="F-90",5,0)))),0),0)+IF(AND(O180="FIRE TEX 5090",OR(E180="IN",E180="C",E180="Z",E180="L"),J180=3),VLOOKUP(_xlfn.MINIFS('FIRE TEX 5090'!$B$5:$B$43,'FIRE TEX 5090'!$B$5:$B$43,"&gt;="&amp;M180),'FIRE TEX 5090'!$B$5:$H$43,IF(L180="F-15",2,IF(L180="F-30",3,IF(L180="F-60",4,IF(L180="F-90",5,IF(L180="F-120",6,IF(L180="F-150",7,0)))))),0),0)+IF(AND(O180="FIRE TEX 5090",OR(E180="IN",E180="C",E180="Z",E180="L"),J180=4),VLOOKUP(_xlfn.MINIFS('FIRE TEX 5090'!$J$5:$J$43,'FIRE TEX 5090'!$J$5:$J$43,"&gt;="&amp;M180),'FIRE TEX 5090'!$J$5:$P$43,IF(L180="F-15",2,IF(L180="F-30",3,IF(L180="F-60",4,IF(L180="F-90",5,IF(L180="F-120",6,IF(L180="F-150",7,0)))))),0),0)+IF(AND(O180="FIRE TEX 5090",E180="CJ",J180=3),VLOOKUP(_xlfn.MINIFS('FIRE TEX 5090'!$R$5:$R$30,'FIRE TEX 5090'!$R$5:$R$30,"&gt;="&amp;M180),'FIRE TEX 5090'!$R$5:$W$30,IF(L180="F-15",2,IF(L180="F-30",3,IF(L180="F-60",4,IF(L180="F-90",5,IF(L180="F-120",6,IF(L180="F-150",7,0)))))),0),0)+IF(AND(O180="FIRE TEX 5090",E180="CJ",J180=4),VLOOKUP(_xlfn.MINIFS('FIRE TEX 5090'!$Y$5:$Y$39,'FIRE TEX 5090'!$Y$5:$Y$39,"&gt;="&amp;M180),'FIRE TEX 5090'!$Y$5:$AD$39,IF(L180="F-15",2,IF(L180="F-30",3,IF(L180="F-60",4,IF(L180="F-90",5,IF(L180="F-120",6,IF(L180="F-150",7,0)))))),0),0)+IF(AND(O180="FIRE TEX 5120",OR(E180="IN",E180="C",E180="Z",E180="L"),J180=3),VLOOKUP(_xlfn.MINIFS('FIRE TEX 5120'!$B$5:$B$40,'FIRE TEX 5120'!$B$5:$B$40,"&gt;="&amp;M180),'FIRE TEX 5120'!$B$5:$G$40,IF(L180="F-15",2,IF(L180="F-30",3,IF(L180="F-60",4,IF(L180="F-90",5,IF(L180="F-120",6,0))))),0),0)+IF(AND(O180="FIRE TEX 5120",OR(E180="IN",E180="C",E180="Z",E180="L"),J180=4),VLOOKUP(_xlfn.MINIFS('FIRE TEX 5120'!$H$4:$H$40,'FIRE TEX 5120'!$H$4:$H$40,"&gt;="&amp;M180),'FIRE TEX 5120'!$H$4:$M$40,IF(L180="F-15",2,IF(L180="F-30",3,IF(L180="F-60",4,IF(L180="F-90",5,IF(L180="F-120",6,0))))),0),0)+IF(AND(O180="FIRE TEX 5120",E180="CJ"),VLOOKUP(_xlfn.MINIFS('FIRE TEX 5120'!$O$5:$O$40,'FIRE TEX 5120'!$O$5:$O$40,"&gt;="&amp;M180),'FIRE TEX 5120'!$O$5:$T$40,IF(L180="F-15",2,IF(L180="F-30",3,IF(L180="F-60",4,IF(L180="F-90",5,IF(L180="F-120",6,0))))),0),0)</f>
        <v>0</v>
      </c>
      <c r="Q180" s="46">
        <f t="shared" si="18"/>
        <v>0</v>
      </c>
      <c r="R180" s="46">
        <f t="shared" si="20"/>
        <v>0</v>
      </c>
      <c r="S180" s="46" t="e">
        <f t="shared" si="19"/>
        <v>#VALUE!</v>
      </c>
      <c r="T180" s="677">
        <f t="shared" si="21"/>
        <v>0</v>
      </c>
      <c r="U180" s="80">
        <f>(IF(O180="Stofire",(S180*#REF!),0))+(IF(O180="Fire Control",(S180*$U$2),0))+(IF(O180="Fire Tex",(S180*$U$3),0))+(IF(O180="WB7",(S180*#REF!),0)+(IF(O180="FX 2003",(S180*$U$5),0)))</f>
        <v>0</v>
      </c>
      <c r="V180" s="651">
        <f t="shared" si="24"/>
        <v>0</v>
      </c>
      <c r="W180" s="4"/>
    </row>
    <row r="181" spans="1:23" x14ac:dyDescent="0.25">
      <c r="A181" s="652" t="s">
        <v>458</v>
      </c>
      <c r="B181" s="653" t="s">
        <v>459</v>
      </c>
      <c r="C181" s="1" t="s">
        <v>408</v>
      </c>
      <c r="D181" s="118">
        <f>+CUBICACION!D180</f>
        <v>0</v>
      </c>
      <c r="E181" s="118">
        <f>+CUBICACION!F180</f>
        <v>0</v>
      </c>
      <c r="F181" s="118">
        <f>+CUBICACION!E180</f>
        <v>0</v>
      </c>
      <c r="G181" s="118">
        <v>12</v>
      </c>
      <c r="H181" s="118">
        <v>2</v>
      </c>
      <c r="I181" s="820">
        <v>26385</v>
      </c>
      <c r="J181" s="118">
        <f>+CUBICACION!J180</f>
        <v>0</v>
      </c>
      <c r="K181" s="118">
        <v>2960</v>
      </c>
      <c r="L181" s="118">
        <f>+CUBICACION!L180</f>
        <v>0</v>
      </c>
      <c r="M181" s="64">
        <f>+CUBICACION!M180</f>
        <v>0</v>
      </c>
      <c r="N181" s="824" t="str">
        <f>+CUBICACION!N180</f>
        <v/>
      </c>
      <c r="O181" s="675">
        <f>+CUBICACION!O180</f>
        <v>0</v>
      </c>
      <c r="P181" s="15">
        <f>IF(O181="Fire Control",VLOOKUP(_xlfn.MINIFS('FIRE CONTROL'!$C$4:$C$37,'FIRE CONTROL'!$C$4:$C$37,"&gt;="&amp;M181),'FIRE CONTROL'!$C$4:$G$37,IF(L181="F-15",2,IF(L181="F-30",3,IF(L181="F-60",4,IF(L181="F-90",5,0)))),0),0)+IF(AND(O181="FIRE TEX 5062",OR(E181="IN",E181="C",E181="Z",E181="L"),J181=3),VLOOKUP(_xlfn.MINIFS('FIRE TEX 5062'!$B$4:$B$34,'FIRE TEX 5062'!$B$4:$B$34,"&gt;="&amp;M181),'FIRE TEX 5062'!$B$4:$F$34,IF(L181="F-15",2,IF(L181="F-30",3,IF(L181="F-60",4,IF(L181="F-90",5,0)))),0),0)+IF(AND(O181="FIRE TEX 5062",OR(E181="IN",E181="C",E181="Z",E181="L"),J181=4),VLOOKUP(_xlfn.MINIFS('FIRE TEX 5062'!$G$4:$G$34,'FIRE TEX 5062'!$G$4:$G$34,"&gt;="&amp;M181),'FIRE TEX 5062'!$G$4:$K$34,IF(L181="F-15",2,IF(L181="F-30",3,IF(L181="F-60",4,IF(L181="F-90",5,0)))),0),0)+IF(AND(O181="FIRE TEX 5062",E181="CJ",J181=3),VLOOKUP(_xlfn.MINIFS('FIRE TEX 5062'!$L$4:$L$34,'FIRE TEX 5062'!$L$4:$L$34,"&gt;="&amp;M181),'FIRE TEX 5062'!$L$4:$P$34,IF(L181="F-15",2,IF(L181="F-30",3,IF(L181="F-60",4,IF(L181="F-90",5,0)))),0),0)+IF(AND(O181="FIRE TEX 5062",E181="CJ",J181=4),VLOOKUP(_xlfn.MINIFS('FIRE TEX 5062'!$Q$3:$Q$34,'FIRE TEX 5062'!$Q$3:$Q$34,"&gt;="&amp;M181),'FIRE TEX 5062'!$Q$3:$U$34,IF(L181="F-15",2,IF(L181="F-30",3,IF(L181="F-60",4,IF(L181="F-90",5,0)))),0),0)+IF(AND(O181="FIRE TEX 5090",OR(E181="IN",E181="C",E181="Z",E181="L"),J181=3),VLOOKUP(_xlfn.MINIFS('FIRE TEX 5090'!$B$5:$B$43,'FIRE TEX 5090'!$B$5:$B$43,"&gt;="&amp;M181),'FIRE TEX 5090'!$B$5:$H$43,IF(L181="F-15",2,IF(L181="F-30",3,IF(L181="F-60",4,IF(L181="F-90",5,IF(L181="F-120",6,IF(L181="F-150",7,0)))))),0),0)+IF(AND(O181="FIRE TEX 5090",OR(E181="IN",E181="C",E181="Z",E181="L"),J181=4),VLOOKUP(_xlfn.MINIFS('FIRE TEX 5090'!$J$5:$J$43,'FIRE TEX 5090'!$J$5:$J$43,"&gt;="&amp;M181),'FIRE TEX 5090'!$J$5:$P$43,IF(L181="F-15",2,IF(L181="F-30",3,IF(L181="F-60",4,IF(L181="F-90",5,IF(L181="F-120",6,IF(L181="F-150",7,0)))))),0),0)+IF(AND(O181="FIRE TEX 5090",E181="CJ",J181=3),VLOOKUP(_xlfn.MINIFS('FIRE TEX 5090'!$R$5:$R$30,'FIRE TEX 5090'!$R$5:$R$30,"&gt;="&amp;M181),'FIRE TEX 5090'!$R$5:$W$30,IF(L181="F-15",2,IF(L181="F-30",3,IF(L181="F-60",4,IF(L181="F-90",5,IF(L181="F-120",6,IF(L181="F-150",7,0)))))),0),0)+IF(AND(O181="FIRE TEX 5090",E181="CJ",J181=4),VLOOKUP(_xlfn.MINIFS('FIRE TEX 5090'!$Y$5:$Y$39,'FIRE TEX 5090'!$Y$5:$Y$39,"&gt;="&amp;M181),'FIRE TEX 5090'!$Y$5:$AD$39,IF(L181="F-15",2,IF(L181="F-30",3,IF(L181="F-60",4,IF(L181="F-90",5,IF(L181="F-120",6,IF(L181="F-150",7,0)))))),0),0)+IF(AND(O181="FIRE TEX 5120",OR(E181="IN",E181="C",E181="Z",E181="L"),J181=3),VLOOKUP(_xlfn.MINIFS('FIRE TEX 5120'!$B$5:$B$40,'FIRE TEX 5120'!$B$5:$B$40,"&gt;="&amp;M181),'FIRE TEX 5120'!$B$5:$G$40,IF(L181="F-15",2,IF(L181="F-30",3,IF(L181="F-60",4,IF(L181="F-90",5,IF(L181="F-120",6,0))))),0),0)+IF(AND(O181="FIRE TEX 5120",OR(E181="IN",E181="C",E181="Z",E181="L"),J181=4),VLOOKUP(_xlfn.MINIFS('FIRE TEX 5120'!$H$4:$H$40,'FIRE TEX 5120'!$H$4:$H$40,"&gt;="&amp;M181),'FIRE TEX 5120'!$H$4:$M$40,IF(L181="F-15",2,IF(L181="F-30",3,IF(L181="F-60",4,IF(L181="F-90",5,IF(L181="F-120",6,0))))),0),0)+IF(AND(O181="FIRE TEX 5120",E181="CJ"),VLOOKUP(_xlfn.MINIFS('FIRE TEX 5120'!$O$5:$O$40,'FIRE TEX 5120'!$O$5:$O$40,"&gt;="&amp;M181),'FIRE TEX 5120'!$O$5:$T$40,IF(L181="F-15",2,IF(L181="F-30",3,IF(L181="F-60",4,IF(L181="F-90",5,IF(L181="F-120",6,0))))),0),0)</f>
        <v>0</v>
      </c>
      <c r="Q181" s="46">
        <f t="shared" si="18"/>
        <v>0</v>
      </c>
      <c r="R181" s="46">
        <f t="shared" si="20"/>
        <v>0</v>
      </c>
      <c r="S181" s="46" t="e">
        <f t="shared" si="19"/>
        <v>#VALUE!</v>
      </c>
      <c r="T181" s="677">
        <f t="shared" si="21"/>
        <v>0</v>
      </c>
      <c r="U181" s="80">
        <f>(IF(O181="Stofire",(S181*#REF!),0))+(IF(O181="Fire Control",(S181*$U$2),0))+(IF(O181="Fire Tex",(S181*$U$3),0))+(IF(O181="WB7",(S181*#REF!),0)+(IF(O181="FX 2003",(S181*$U$5),0)))</f>
        <v>0</v>
      </c>
      <c r="V181" s="651">
        <f t="shared" si="24"/>
        <v>0</v>
      </c>
      <c r="W181" s="4"/>
    </row>
    <row r="182" spans="1:23" x14ac:dyDescent="0.25">
      <c r="A182" s="652" t="s">
        <v>461</v>
      </c>
      <c r="B182" s="653" t="s">
        <v>459</v>
      </c>
      <c r="C182" s="1" t="s">
        <v>462</v>
      </c>
      <c r="D182" s="118">
        <f>+CUBICACION!D181</f>
        <v>0</v>
      </c>
      <c r="E182" s="118">
        <f>+CUBICACION!F181</f>
        <v>0</v>
      </c>
      <c r="F182" s="118">
        <f>+CUBICACION!E181</f>
        <v>0</v>
      </c>
      <c r="G182" s="118">
        <v>12</v>
      </c>
      <c r="H182" s="118">
        <v>2</v>
      </c>
      <c r="I182" s="820">
        <v>26385</v>
      </c>
      <c r="J182" s="118">
        <f>+CUBICACION!J181</f>
        <v>0</v>
      </c>
      <c r="K182" s="118">
        <v>2961</v>
      </c>
      <c r="L182" s="118">
        <f>+CUBICACION!L181</f>
        <v>0</v>
      </c>
      <c r="M182" s="64">
        <f>+CUBICACION!M181</f>
        <v>0</v>
      </c>
      <c r="N182" s="824" t="str">
        <f>+CUBICACION!N181</f>
        <v/>
      </c>
      <c r="O182" s="675">
        <f>+CUBICACION!O181</f>
        <v>0</v>
      </c>
      <c r="P182" s="15">
        <f>IF(O182="Fire Control",VLOOKUP(_xlfn.MINIFS('FIRE CONTROL'!$C$4:$C$37,'FIRE CONTROL'!$C$4:$C$37,"&gt;="&amp;M182),'FIRE CONTROL'!$C$4:$G$37,IF(L182="F-15",2,IF(L182="F-30",3,IF(L182="F-60",4,IF(L182="F-90",5,0)))),0),0)+IF(AND(O182="FIRE TEX 5062",OR(E182="IN",E182="C",E182="Z",E182="L"),J182=3),VLOOKUP(_xlfn.MINIFS('FIRE TEX 5062'!$B$4:$B$34,'FIRE TEX 5062'!$B$4:$B$34,"&gt;="&amp;M182),'FIRE TEX 5062'!$B$4:$F$34,IF(L182="F-15",2,IF(L182="F-30",3,IF(L182="F-60",4,IF(L182="F-90",5,0)))),0),0)+IF(AND(O182="FIRE TEX 5062",OR(E182="IN",E182="C",E182="Z",E182="L"),J182=4),VLOOKUP(_xlfn.MINIFS('FIRE TEX 5062'!$G$4:$G$34,'FIRE TEX 5062'!$G$4:$G$34,"&gt;="&amp;M182),'FIRE TEX 5062'!$G$4:$K$34,IF(L182="F-15",2,IF(L182="F-30",3,IF(L182="F-60",4,IF(L182="F-90",5,0)))),0),0)+IF(AND(O182="FIRE TEX 5062",E182="CJ",J182=3),VLOOKUP(_xlfn.MINIFS('FIRE TEX 5062'!$L$4:$L$34,'FIRE TEX 5062'!$L$4:$L$34,"&gt;="&amp;M182),'FIRE TEX 5062'!$L$4:$P$34,IF(L182="F-15",2,IF(L182="F-30",3,IF(L182="F-60",4,IF(L182="F-90",5,0)))),0),0)+IF(AND(O182="FIRE TEX 5062",E182="CJ",J182=4),VLOOKUP(_xlfn.MINIFS('FIRE TEX 5062'!$Q$3:$Q$34,'FIRE TEX 5062'!$Q$3:$Q$34,"&gt;="&amp;M182),'FIRE TEX 5062'!$Q$3:$U$34,IF(L182="F-15",2,IF(L182="F-30",3,IF(L182="F-60",4,IF(L182="F-90",5,0)))),0),0)+IF(AND(O182="FIRE TEX 5090",OR(E182="IN",E182="C",E182="Z",E182="L"),J182=3),VLOOKUP(_xlfn.MINIFS('FIRE TEX 5090'!$B$5:$B$43,'FIRE TEX 5090'!$B$5:$B$43,"&gt;="&amp;M182),'FIRE TEX 5090'!$B$5:$H$43,IF(L182="F-15",2,IF(L182="F-30",3,IF(L182="F-60",4,IF(L182="F-90",5,IF(L182="F-120",6,IF(L182="F-150",7,0)))))),0),0)+IF(AND(O182="FIRE TEX 5090",OR(E182="IN",E182="C",E182="Z",E182="L"),J182=4),VLOOKUP(_xlfn.MINIFS('FIRE TEX 5090'!$J$5:$J$43,'FIRE TEX 5090'!$J$5:$J$43,"&gt;="&amp;M182),'FIRE TEX 5090'!$J$5:$P$43,IF(L182="F-15",2,IF(L182="F-30",3,IF(L182="F-60",4,IF(L182="F-90",5,IF(L182="F-120",6,IF(L182="F-150",7,0)))))),0),0)+IF(AND(O182="FIRE TEX 5090",E182="CJ",J182=3),VLOOKUP(_xlfn.MINIFS('FIRE TEX 5090'!$R$5:$R$30,'FIRE TEX 5090'!$R$5:$R$30,"&gt;="&amp;M182),'FIRE TEX 5090'!$R$5:$W$30,IF(L182="F-15",2,IF(L182="F-30",3,IF(L182="F-60",4,IF(L182="F-90",5,IF(L182="F-120",6,IF(L182="F-150",7,0)))))),0),0)+IF(AND(O182="FIRE TEX 5090",E182="CJ",J182=4),VLOOKUP(_xlfn.MINIFS('FIRE TEX 5090'!$Y$5:$Y$39,'FIRE TEX 5090'!$Y$5:$Y$39,"&gt;="&amp;M182),'FIRE TEX 5090'!$Y$5:$AD$39,IF(L182="F-15",2,IF(L182="F-30",3,IF(L182="F-60",4,IF(L182="F-90",5,IF(L182="F-120",6,IF(L182="F-150",7,0)))))),0),0)+IF(AND(O182="FIRE TEX 5120",OR(E182="IN",E182="C",E182="Z",E182="L"),J182=3),VLOOKUP(_xlfn.MINIFS('FIRE TEX 5120'!$B$5:$B$40,'FIRE TEX 5120'!$B$5:$B$40,"&gt;="&amp;M182),'FIRE TEX 5120'!$B$5:$G$40,IF(L182="F-15",2,IF(L182="F-30",3,IF(L182="F-60",4,IF(L182="F-90",5,IF(L182="F-120",6,0))))),0),0)+IF(AND(O182="FIRE TEX 5120",OR(E182="IN",E182="C",E182="Z",E182="L"),J182=4),VLOOKUP(_xlfn.MINIFS('FIRE TEX 5120'!$H$4:$H$40,'FIRE TEX 5120'!$H$4:$H$40,"&gt;="&amp;M182),'FIRE TEX 5120'!$H$4:$M$40,IF(L182="F-15",2,IF(L182="F-30",3,IF(L182="F-60",4,IF(L182="F-90",5,IF(L182="F-120",6,0))))),0),0)+IF(AND(O182="FIRE TEX 5120",E182="CJ"),VLOOKUP(_xlfn.MINIFS('FIRE TEX 5120'!$O$5:$O$40,'FIRE TEX 5120'!$O$5:$O$40,"&gt;="&amp;M182),'FIRE TEX 5120'!$O$5:$T$40,IF(L182="F-15",2,IF(L182="F-30",3,IF(L182="F-60",4,IF(L182="F-90",5,IF(L182="F-120",6,0))))),0),0)</f>
        <v>0</v>
      </c>
      <c r="Q182" s="46">
        <f t="shared" si="18"/>
        <v>0</v>
      </c>
      <c r="R182" s="46">
        <f t="shared" si="20"/>
        <v>0</v>
      </c>
      <c r="S182" s="46" t="e">
        <f t="shared" si="19"/>
        <v>#VALUE!</v>
      </c>
      <c r="T182" s="677">
        <f t="shared" si="21"/>
        <v>0</v>
      </c>
      <c r="U182" s="80">
        <f>(IF(O182="Stofire",(S182*#REF!),0))+(IF(O182="Fire Control",(S182*$U$2),0))+(IF(O182="Fire Tex",(S182*$U$3),0))+(IF(O182="WB7",(S182*#REF!),0)+(IF(O182="FX 2003",(S182*$U$5),0)))</f>
        <v>0</v>
      </c>
      <c r="V182" s="651">
        <f t="shared" si="24"/>
        <v>0</v>
      </c>
      <c r="W182" s="4"/>
    </row>
    <row r="183" spans="1:23" x14ac:dyDescent="0.25">
      <c r="A183" s="652" t="s">
        <v>461</v>
      </c>
      <c r="B183" s="653" t="s">
        <v>459</v>
      </c>
      <c r="C183" s="1" t="s">
        <v>408</v>
      </c>
      <c r="D183" s="118">
        <f>+CUBICACION!D182</f>
        <v>0</v>
      </c>
      <c r="E183" s="118">
        <f>+CUBICACION!F182</f>
        <v>0</v>
      </c>
      <c r="F183" s="118">
        <f>+CUBICACION!E182</f>
        <v>0</v>
      </c>
      <c r="G183" s="118">
        <v>12</v>
      </c>
      <c r="H183" s="118">
        <v>2</v>
      </c>
      <c r="I183" s="820">
        <v>26385</v>
      </c>
      <c r="J183" s="118">
        <f>+CUBICACION!J182</f>
        <v>0</v>
      </c>
      <c r="K183" s="118">
        <v>2962</v>
      </c>
      <c r="L183" s="118">
        <f>+CUBICACION!L182</f>
        <v>0</v>
      </c>
      <c r="M183" s="64">
        <f>+CUBICACION!M182</f>
        <v>0</v>
      </c>
      <c r="N183" s="824" t="str">
        <f>+CUBICACION!N182</f>
        <v/>
      </c>
      <c r="O183" s="675">
        <f>+CUBICACION!O182</f>
        <v>0</v>
      </c>
      <c r="P183" s="15">
        <f>IF(O183="Fire Control",VLOOKUP(_xlfn.MINIFS('FIRE CONTROL'!$C$4:$C$37,'FIRE CONTROL'!$C$4:$C$37,"&gt;="&amp;M183),'FIRE CONTROL'!$C$4:$G$37,IF(L183="F-15",2,IF(L183="F-30",3,IF(L183="F-60",4,IF(L183="F-90",5,0)))),0),0)+IF(AND(O183="FIRE TEX 5062",OR(E183="IN",E183="C",E183="Z",E183="L"),J183=3),VLOOKUP(_xlfn.MINIFS('FIRE TEX 5062'!$B$4:$B$34,'FIRE TEX 5062'!$B$4:$B$34,"&gt;="&amp;M183),'FIRE TEX 5062'!$B$4:$F$34,IF(L183="F-15",2,IF(L183="F-30",3,IF(L183="F-60",4,IF(L183="F-90",5,0)))),0),0)+IF(AND(O183="FIRE TEX 5062",OR(E183="IN",E183="C",E183="Z",E183="L"),J183=4),VLOOKUP(_xlfn.MINIFS('FIRE TEX 5062'!$G$4:$G$34,'FIRE TEX 5062'!$G$4:$G$34,"&gt;="&amp;M183),'FIRE TEX 5062'!$G$4:$K$34,IF(L183="F-15",2,IF(L183="F-30",3,IF(L183="F-60",4,IF(L183="F-90",5,0)))),0),0)+IF(AND(O183="FIRE TEX 5062",E183="CJ",J183=3),VLOOKUP(_xlfn.MINIFS('FIRE TEX 5062'!$L$4:$L$34,'FIRE TEX 5062'!$L$4:$L$34,"&gt;="&amp;M183),'FIRE TEX 5062'!$L$4:$P$34,IF(L183="F-15",2,IF(L183="F-30",3,IF(L183="F-60",4,IF(L183="F-90",5,0)))),0),0)+IF(AND(O183="FIRE TEX 5062",E183="CJ",J183=4),VLOOKUP(_xlfn.MINIFS('FIRE TEX 5062'!$Q$3:$Q$34,'FIRE TEX 5062'!$Q$3:$Q$34,"&gt;="&amp;M183),'FIRE TEX 5062'!$Q$3:$U$34,IF(L183="F-15",2,IF(L183="F-30",3,IF(L183="F-60",4,IF(L183="F-90",5,0)))),0),0)+IF(AND(O183="FIRE TEX 5090",OR(E183="IN",E183="C",E183="Z",E183="L"),J183=3),VLOOKUP(_xlfn.MINIFS('FIRE TEX 5090'!$B$5:$B$43,'FIRE TEX 5090'!$B$5:$B$43,"&gt;="&amp;M183),'FIRE TEX 5090'!$B$5:$H$43,IF(L183="F-15",2,IF(L183="F-30",3,IF(L183="F-60",4,IF(L183="F-90",5,IF(L183="F-120",6,IF(L183="F-150",7,0)))))),0),0)+IF(AND(O183="FIRE TEX 5090",OR(E183="IN",E183="C",E183="Z",E183="L"),J183=4),VLOOKUP(_xlfn.MINIFS('FIRE TEX 5090'!$J$5:$J$43,'FIRE TEX 5090'!$J$5:$J$43,"&gt;="&amp;M183),'FIRE TEX 5090'!$J$5:$P$43,IF(L183="F-15",2,IF(L183="F-30",3,IF(L183="F-60",4,IF(L183="F-90",5,IF(L183="F-120",6,IF(L183="F-150",7,0)))))),0),0)+IF(AND(O183="FIRE TEX 5090",E183="CJ",J183=3),VLOOKUP(_xlfn.MINIFS('FIRE TEX 5090'!$R$5:$R$30,'FIRE TEX 5090'!$R$5:$R$30,"&gt;="&amp;M183),'FIRE TEX 5090'!$R$5:$W$30,IF(L183="F-15",2,IF(L183="F-30",3,IF(L183="F-60",4,IF(L183="F-90",5,IF(L183="F-120",6,IF(L183="F-150",7,0)))))),0),0)+IF(AND(O183="FIRE TEX 5090",E183="CJ",J183=4),VLOOKUP(_xlfn.MINIFS('FIRE TEX 5090'!$Y$5:$Y$39,'FIRE TEX 5090'!$Y$5:$Y$39,"&gt;="&amp;M183),'FIRE TEX 5090'!$Y$5:$AD$39,IF(L183="F-15",2,IF(L183="F-30",3,IF(L183="F-60",4,IF(L183="F-90",5,IF(L183="F-120",6,IF(L183="F-150",7,0)))))),0),0)+IF(AND(O183="FIRE TEX 5120",OR(E183="IN",E183="C",E183="Z",E183="L"),J183=3),VLOOKUP(_xlfn.MINIFS('FIRE TEX 5120'!$B$5:$B$40,'FIRE TEX 5120'!$B$5:$B$40,"&gt;="&amp;M183),'FIRE TEX 5120'!$B$5:$G$40,IF(L183="F-15",2,IF(L183="F-30",3,IF(L183="F-60",4,IF(L183="F-90",5,IF(L183="F-120",6,0))))),0),0)+IF(AND(O183="FIRE TEX 5120",OR(E183="IN",E183="C",E183="Z",E183="L"),J183=4),VLOOKUP(_xlfn.MINIFS('FIRE TEX 5120'!$H$4:$H$40,'FIRE TEX 5120'!$H$4:$H$40,"&gt;="&amp;M183),'FIRE TEX 5120'!$H$4:$M$40,IF(L183="F-15",2,IF(L183="F-30",3,IF(L183="F-60",4,IF(L183="F-90",5,IF(L183="F-120",6,0))))),0),0)+IF(AND(O183="FIRE TEX 5120",E183="CJ"),VLOOKUP(_xlfn.MINIFS('FIRE TEX 5120'!$O$5:$O$40,'FIRE TEX 5120'!$O$5:$O$40,"&gt;="&amp;M183),'FIRE TEX 5120'!$O$5:$T$40,IF(L183="F-15",2,IF(L183="F-30",3,IF(L183="F-60",4,IF(L183="F-90",5,IF(L183="F-120",6,0))))),0),0)</f>
        <v>0</v>
      </c>
      <c r="Q183" s="46">
        <f t="shared" si="18"/>
        <v>0</v>
      </c>
      <c r="R183" s="46">
        <f t="shared" si="20"/>
        <v>0</v>
      </c>
      <c r="S183" s="46" t="e">
        <f t="shared" si="19"/>
        <v>#VALUE!</v>
      </c>
      <c r="T183" s="677">
        <f t="shared" si="21"/>
        <v>0</v>
      </c>
      <c r="U183" s="80">
        <f>(IF(O183="Stofire",(S183*#REF!),0))+(IF(O183="Fire Control",(S183*$U$2),0))+(IF(O183="Fire Tex",(S183*$U$3),0))+(IF(O183="WB7",(S183*#REF!),0)+(IF(O183="FX 2003",(S183*$U$5),0)))</f>
        <v>0</v>
      </c>
      <c r="V183" s="651">
        <f t="shared" si="24"/>
        <v>0</v>
      </c>
      <c r="W183" s="4"/>
    </row>
    <row r="184" spans="1:23" x14ac:dyDescent="0.25">
      <c r="A184" s="652" t="s">
        <v>461</v>
      </c>
      <c r="B184" s="653" t="s">
        <v>459</v>
      </c>
      <c r="C184" s="1" t="s">
        <v>408</v>
      </c>
      <c r="D184" s="118">
        <f>+CUBICACION!D183</f>
        <v>0</v>
      </c>
      <c r="E184" s="118">
        <f>+CUBICACION!F183</f>
        <v>0</v>
      </c>
      <c r="F184" s="118">
        <f>+CUBICACION!E183</f>
        <v>0</v>
      </c>
      <c r="G184" s="118">
        <v>12</v>
      </c>
      <c r="H184" s="118">
        <v>2</v>
      </c>
      <c r="I184" s="820">
        <v>26385</v>
      </c>
      <c r="J184" s="118">
        <f>+CUBICACION!J183</f>
        <v>0</v>
      </c>
      <c r="K184" s="118">
        <v>2963</v>
      </c>
      <c r="L184" s="118">
        <f>+CUBICACION!L183</f>
        <v>0</v>
      </c>
      <c r="M184" s="64">
        <f>+CUBICACION!M183</f>
        <v>0</v>
      </c>
      <c r="N184" s="824" t="str">
        <f>+CUBICACION!N183</f>
        <v/>
      </c>
      <c r="O184" s="675">
        <f>+CUBICACION!O183</f>
        <v>0</v>
      </c>
      <c r="P184" s="15">
        <f>IF(O184="Fire Control",VLOOKUP(_xlfn.MINIFS('FIRE CONTROL'!$C$4:$C$37,'FIRE CONTROL'!$C$4:$C$37,"&gt;="&amp;M184),'FIRE CONTROL'!$C$4:$G$37,IF(L184="F-15",2,IF(L184="F-30",3,IF(L184="F-60",4,IF(L184="F-90",5,0)))),0),0)+IF(AND(O184="FIRE TEX 5062",OR(E184="IN",E184="C",E184="Z",E184="L"),J184=3),VLOOKUP(_xlfn.MINIFS('FIRE TEX 5062'!$B$4:$B$34,'FIRE TEX 5062'!$B$4:$B$34,"&gt;="&amp;M184),'FIRE TEX 5062'!$B$4:$F$34,IF(L184="F-15",2,IF(L184="F-30",3,IF(L184="F-60",4,IF(L184="F-90",5,0)))),0),0)+IF(AND(O184="FIRE TEX 5062",OR(E184="IN",E184="C",E184="Z",E184="L"),J184=4),VLOOKUP(_xlfn.MINIFS('FIRE TEX 5062'!$G$4:$G$34,'FIRE TEX 5062'!$G$4:$G$34,"&gt;="&amp;M184),'FIRE TEX 5062'!$G$4:$K$34,IF(L184="F-15",2,IF(L184="F-30",3,IF(L184="F-60",4,IF(L184="F-90",5,0)))),0),0)+IF(AND(O184="FIRE TEX 5062",E184="CJ",J184=3),VLOOKUP(_xlfn.MINIFS('FIRE TEX 5062'!$L$4:$L$34,'FIRE TEX 5062'!$L$4:$L$34,"&gt;="&amp;M184),'FIRE TEX 5062'!$L$4:$P$34,IF(L184="F-15",2,IF(L184="F-30",3,IF(L184="F-60",4,IF(L184="F-90",5,0)))),0),0)+IF(AND(O184="FIRE TEX 5062",E184="CJ",J184=4),VLOOKUP(_xlfn.MINIFS('FIRE TEX 5062'!$Q$3:$Q$34,'FIRE TEX 5062'!$Q$3:$Q$34,"&gt;="&amp;M184),'FIRE TEX 5062'!$Q$3:$U$34,IF(L184="F-15",2,IF(L184="F-30",3,IF(L184="F-60",4,IF(L184="F-90",5,0)))),0),0)+IF(AND(O184="FIRE TEX 5090",OR(E184="IN",E184="C",E184="Z",E184="L"),J184=3),VLOOKUP(_xlfn.MINIFS('FIRE TEX 5090'!$B$5:$B$43,'FIRE TEX 5090'!$B$5:$B$43,"&gt;="&amp;M184),'FIRE TEX 5090'!$B$5:$H$43,IF(L184="F-15",2,IF(L184="F-30",3,IF(L184="F-60",4,IF(L184="F-90",5,IF(L184="F-120",6,IF(L184="F-150",7,0)))))),0),0)+IF(AND(O184="FIRE TEX 5090",OR(E184="IN",E184="C",E184="Z",E184="L"),J184=4),VLOOKUP(_xlfn.MINIFS('FIRE TEX 5090'!$J$5:$J$43,'FIRE TEX 5090'!$J$5:$J$43,"&gt;="&amp;M184),'FIRE TEX 5090'!$J$5:$P$43,IF(L184="F-15",2,IF(L184="F-30",3,IF(L184="F-60",4,IF(L184="F-90",5,IF(L184="F-120",6,IF(L184="F-150",7,0)))))),0),0)+IF(AND(O184="FIRE TEX 5090",E184="CJ",J184=3),VLOOKUP(_xlfn.MINIFS('FIRE TEX 5090'!$R$5:$R$30,'FIRE TEX 5090'!$R$5:$R$30,"&gt;="&amp;M184),'FIRE TEX 5090'!$R$5:$W$30,IF(L184="F-15",2,IF(L184="F-30",3,IF(L184="F-60",4,IF(L184="F-90",5,IF(L184="F-120",6,IF(L184="F-150",7,0)))))),0),0)+IF(AND(O184="FIRE TEX 5090",E184="CJ",J184=4),VLOOKUP(_xlfn.MINIFS('FIRE TEX 5090'!$Y$5:$Y$39,'FIRE TEX 5090'!$Y$5:$Y$39,"&gt;="&amp;M184),'FIRE TEX 5090'!$Y$5:$AD$39,IF(L184="F-15",2,IF(L184="F-30",3,IF(L184="F-60",4,IF(L184="F-90",5,IF(L184="F-120",6,IF(L184="F-150",7,0)))))),0),0)+IF(AND(O184="FIRE TEX 5120",OR(E184="IN",E184="C",E184="Z",E184="L"),J184=3),VLOOKUP(_xlfn.MINIFS('FIRE TEX 5120'!$B$5:$B$40,'FIRE TEX 5120'!$B$5:$B$40,"&gt;="&amp;M184),'FIRE TEX 5120'!$B$5:$G$40,IF(L184="F-15",2,IF(L184="F-30",3,IF(L184="F-60",4,IF(L184="F-90",5,IF(L184="F-120",6,0))))),0),0)+IF(AND(O184="FIRE TEX 5120",OR(E184="IN",E184="C",E184="Z",E184="L"),J184=4),VLOOKUP(_xlfn.MINIFS('FIRE TEX 5120'!$H$4:$H$40,'FIRE TEX 5120'!$H$4:$H$40,"&gt;="&amp;M184),'FIRE TEX 5120'!$H$4:$M$40,IF(L184="F-15",2,IF(L184="F-30",3,IF(L184="F-60",4,IF(L184="F-90",5,IF(L184="F-120",6,0))))),0),0)+IF(AND(O184="FIRE TEX 5120",E184="CJ"),VLOOKUP(_xlfn.MINIFS('FIRE TEX 5120'!$O$5:$O$40,'FIRE TEX 5120'!$O$5:$O$40,"&gt;="&amp;M184),'FIRE TEX 5120'!$O$5:$T$40,IF(L184="F-15",2,IF(L184="F-30",3,IF(L184="F-60",4,IF(L184="F-90",5,IF(L184="F-120",6,0))))),0),0)</f>
        <v>0</v>
      </c>
      <c r="Q184" s="46">
        <f t="shared" si="18"/>
        <v>0</v>
      </c>
      <c r="R184" s="46">
        <f t="shared" si="20"/>
        <v>0</v>
      </c>
      <c r="S184" s="46" t="e">
        <f t="shared" si="19"/>
        <v>#VALUE!</v>
      </c>
      <c r="T184" s="677">
        <f t="shared" si="21"/>
        <v>0</v>
      </c>
      <c r="U184" s="80">
        <f>(IF(O184="Stofire",(S184*#REF!),0))+(IF(O184="Fire Control",(S184*$U$2),0))+(IF(O184="Fire Tex",(S184*$U$3),0))+(IF(O184="WB7",(S184*#REF!),0)+(IF(O184="FX 2003",(S184*$U$5),0)))</f>
        <v>0</v>
      </c>
      <c r="V184" s="651">
        <f t="shared" si="24"/>
        <v>0</v>
      </c>
      <c r="W184" s="4"/>
    </row>
    <row r="185" spans="1:23" x14ac:dyDescent="0.25">
      <c r="A185" s="652" t="s">
        <v>406</v>
      </c>
      <c r="B185" s="653" t="s">
        <v>407</v>
      </c>
      <c r="C185" s="1" t="s">
        <v>408</v>
      </c>
      <c r="D185" s="118">
        <f>+CUBICACION!D184</f>
        <v>0</v>
      </c>
      <c r="E185" s="118">
        <f>+CUBICACION!F184</f>
        <v>0</v>
      </c>
      <c r="F185" s="118">
        <f>+CUBICACION!E184</f>
        <v>0</v>
      </c>
      <c r="G185" s="118">
        <v>12</v>
      </c>
      <c r="H185" s="118">
        <v>2</v>
      </c>
      <c r="I185" s="820">
        <v>26385</v>
      </c>
      <c r="J185" s="118">
        <f>+CUBICACION!J184</f>
        <v>0</v>
      </c>
      <c r="K185" s="118">
        <v>2964</v>
      </c>
      <c r="L185" s="118">
        <f>+CUBICACION!L184</f>
        <v>0</v>
      </c>
      <c r="M185" s="64">
        <f>+CUBICACION!M184</f>
        <v>0</v>
      </c>
      <c r="N185" s="824" t="str">
        <f>+CUBICACION!N184</f>
        <v/>
      </c>
      <c r="O185" s="675">
        <f>+CUBICACION!O184</f>
        <v>0</v>
      </c>
      <c r="P185" s="15">
        <f>IF(O185="Fire Control",VLOOKUP(_xlfn.MINIFS('FIRE CONTROL'!$C$4:$C$37,'FIRE CONTROL'!$C$4:$C$37,"&gt;="&amp;M185),'FIRE CONTROL'!$C$4:$G$37,IF(L185="F-15",2,IF(L185="F-30",3,IF(L185="F-60",4,IF(L185="F-90",5,0)))),0),0)+IF(AND(O185="FIRE TEX 5062",OR(E185="IN",E185="C",E185="Z",E185="L"),J185=3),VLOOKUP(_xlfn.MINIFS('FIRE TEX 5062'!$B$4:$B$34,'FIRE TEX 5062'!$B$4:$B$34,"&gt;="&amp;M185),'FIRE TEX 5062'!$B$4:$F$34,IF(L185="F-15",2,IF(L185="F-30",3,IF(L185="F-60",4,IF(L185="F-90",5,0)))),0),0)+IF(AND(O185="FIRE TEX 5062",OR(E185="IN",E185="C",E185="Z",E185="L"),J185=4),VLOOKUP(_xlfn.MINIFS('FIRE TEX 5062'!$G$4:$G$34,'FIRE TEX 5062'!$G$4:$G$34,"&gt;="&amp;M185),'FIRE TEX 5062'!$G$4:$K$34,IF(L185="F-15",2,IF(L185="F-30",3,IF(L185="F-60",4,IF(L185="F-90",5,0)))),0),0)+IF(AND(O185="FIRE TEX 5062",E185="CJ",J185=3),VLOOKUP(_xlfn.MINIFS('FIRE TEX 5062'!$L$4:$L$34,'FIRE TEX 5062'!$L$4:$L$34,"&gt;="&amp;M185),'FIRE TEX 5062'!$L$4:$P$34,IF(L185="F-15",2,IF(L185="F-30",3,IF(L185="F-60",4,IF(L185="F-90",5,0)))),0),0)+IF(AND(O185="FIRE TEX 5062",E185="CJ",J185=4),VLOOKUP(_xlfn.MINIFS('FIRE TEX 5062'!$Q$3:$Q$34,'FIRE TEX 5062'!$Q$3:$Q$34,"&gt;="&amp;M185),'FIRE TEX 5062'!$Q$3:$U$34,IF(L185="F-15",2,IF(L185="F-30",3,IF(L185="F-60",4,IF(L185="F-90",5,0)))),0),0)+IF(AND(O185="FIRE TEX 5090",OR(E185="IN",E185="C",E185="Z",E185="L"),J185=3),VLOOKUP(_xlfn.MINIFS('FIRE TEX 5090'!$B$5:$B$43,'FIRE TEX 5090'!$B$5:$B$43,"&gt;="&amp;M185),'FIRE TEX 5090'!$B$5:$H$43,IF(L185="F-15",2,IF(L185="F-30",3,IF(L185="F-60",4,IF(L185="F-90",5,IF(L185="F-120",6,IF(L185="F-150",7,0)))))),0),0)+IF(AND(O185="FIRE TEX 5090",OR(E185="IN",E185="C",E185="Z",E185="L"),J185=4),VLOOKUP(_xlfn.MINIFS('FIRE TEX 5090'!$J$5:$J$43,'FIRE TEX 5090'!$J$5:$J$43,"&gt;="&amp;M185),'FIRE TEX 5090'!$J$5:$P$43,IF(L185="F-15",2,IF(L185="F-30",3,IF(L185="F-60",4,IF(L185="F-90",5,IF(L185="F-120",6,IF(L185="F-150",7,0)))))),0),0)+IF(AND(O185="FIRE TEX 5090",E185="CJ",J185=3),VLOOKUP(_xlfn.MINIFS('FIRE TEX 5090'!$R$5:$R$30,'FIRE TEX 5090'!$R$5:$R$30,"&gt;="&amp;M185),'FIRE TEX 5090'!$R$5:$W$30,IF(L185="F-15",2,IF(L185="F-30",3,IF(L185="F-60",4,IF(L185="F-90",5,IF(L185="F-120",6,IF(L185="F-150",7,0)))))),0),0)+IF(AND(O185="FIRE TEX 5090",E185="CJ",J185=4),VLOOKUP(_xlfn.MINIFS('FIRE TEX 5090'!$Y$5:$Y$39,'FIRE TEX 5090'!$Y$5:$Y$39,"&gt;="&amp;M185),'FIRE TEX 5090'!$Y$5:$AD$39,IF(L185="F-15",2,IF(L185="F-30",3,IF(L185="F-60",4,IF(L185="F-90",5,IF(L185="F-120",6,IF(L185="F-150",7,0)))))),0),0)+IF(AND(O185="FIRE TEX 5120",OR(E185="IN",E185="C",E185="Z",E185="L"),J185=3),VLOOKUP(_xlfn.MINIFS('FIRE TEX 5120'!$B$5:$B$40,'FIRE TEX 5120'!$B$5:$B$40,"&gt;="&amp;M185),'FIRE TEX 5120'!$B$5:$G$40,IF(L185="F-15",2,IF(L185="F-30",3,IF(L185="F-60",4,IF(L185="F-90",5,IF(L185="F-120",6,0))))),0),0)+IF(AND(O185="FIRE TEX 5120",OR(E185="IN",E185="C",E185="Z",E185="L"),J185=4),VLOOKUP(_xlfn.MINIFS('FIRE TEX 5120'!$H$4:$H$40,'FIRE TEX 5120'!$H$4:$H$40,"&gt;="&amp;M185),'FIRE TEX 5120'!$H$4:$M$40,IF(L185="F-15",2,IF(L185="F-30",3,IF(L185="F-60",4,IF(L185="F-90",5,IF(L185="F-120",6,0))))),0),0)+IF(AND(O185="FIRE TEX 5120",E185="CJ"),VLOOKUP(_xlfn.MINIFS('FIRE TEX 5120'!$O$5:$O$40,'FIRE TEX 5120'!$O$5:$O$40,"&gt;="&amp;M185),'FIRE TEX 5120'!$O$5:$T$40,IF(L185="F-15",2,IF(L185="F-30",3,IF(L185="F-60",4,IF(L185="F-90",5,IF(L185="F-120",6,0))))),0),0)</f>
        <v>0</v>
      </c>
      <c r="Q185" s="46">
        <f t="shared" si="18"/>
        <v>0</v>
      </c>
      <c r="R185" s="46">
        <f t="shared" si="20"/>
        <v>0</v>
      </c>
      <c r="S185" s="46" t="e">
        <f t="shared" si="19"/>
        <v>#VALUE!</v>
      </c>
      <c r="T185" s="677">
        <f t="shared" si="21"/>
        <v>0</v>
      </c>
      <c r="U185" s="80">
        <f>(IF(O185="Stofire",(S185*#REF!),0))+(IF(O185="Fire Control",(S185*$U$2),0))+(IF(O185="Fire Tex",(S185*$U$3),0))+(IF(O185="WB7",(S185*#REF!),0)+(IF(O185="FX 2003",(S185*$U$5),0)))</f>
        <v>0</v>
      </c>
      <c r="V185" s="649">
        <f>_xlfn.CEILING.MATH(M185,10)</f>
        <v>0</v>
      </c>
      <c r="W185" s="4"/>
    </row>
    <row r="186" spans="1:23" x14ac:dyDescent="0.25">
      <c r="A186" s="652" t="s">
        <v>406</v>
      </c>
      <c r="B186" s="653" t="s">
        <v>407</v>
      </c>
      <c r="C186" s="1" t="s">
        <v>408</v>
      </c>
      <c r="D186" s="118">
        <f>+CUBICACION!D185</f>
        <v>0</v>
      </c>
      <c r="E186" s="118">
        <f>+CUBICACION!F185</f>
        <v>0</v>
      </c>
      <c r="F186" s="118">
        <f>+CUBICACION!E185</f>
        <v>0</v>
      </c>
      <c r="G186" s="118">
        <v>12</v>
      </c>
      <c r="H186" s="118">
        <v>2</v>
      </c>
      <c r="I186" s="820">
        <v>26385</v>
      </c>
      <c r="J186" s="118">
        <f>+CUBICACION!J185</f>
        <v>0</v>
      </c>
      <c r="K186" s="118">
        <v>2965</v>
      </c>
      <c r="L186" s="118">
        <f>+CUBICACION!L185</f>
        <v>0</v>
      </c>
      <c r="M186" s="64">
        <f>+CUBICACION!M185</f>
        <v>0</v>
      </c>
      <c r="N186" s="824" t="str">
        <f>+CUBICACION!N185</f>
        <v/>
      </c>
      <c r="O186" s="675">
        <f>+CUBICACION!O185</f>
        <v>0</v>
      </c>
      <c r="P186" s="15">
        <f>IF(O186="Fire Control",VLOOKUP(_xlfn.MINIFS('FIRE CONTROL'!$C$4:$C$37,'FIRE CONTROL'!$C$4:$C$37,"&gt;="&amp;M186),'FIRE CONTROL'!$C$4:$G$37,IF(L186="F-15",2,IF(L186="F-30",3,IF(L186="F-60",4,IF(L186="F-90",5,0)))),0),0)+IF(AND(O186="FIRE TEX 5062",OR(E186="IN",E186="C",E186="Z",E186="L"),J186=3),VLOOKUP(_xlfn.MINIFS('FIRE TEX 5062'!$B$4:$B$34,'FIRE TEX 5062'!$B$4:$B$34,"&gt;="&amp;M186),'FIRE TEX 5062'!$B$4:$F$34,IF(L186="F-15",2,IF(L186="F-30",3,IF(L186="F-60",4,IF(L186="F-90",5,0)))),0),0)+IF(AND(O186="FIRE TEX 5062",OR(E186="IN",E186="C",E186="Z",E186="L"),J186=4),VLOOKUP(_xlfn.MINIFS('FIRE TEX 5062'!$G$4:$G$34,'FIRE TEX 5062'!$G$4:$G$34,"&gt;="&amp;M186),'FIRE TEX 5062'!$G$4:$K$34,IF(L186="F-15",2,IF(L186="F-30",3,IF(L186="F-60",4,IF(L186="F-90",5,0)))),0),0)+IF(AND(O186="FIRE TEX 5062",E186="CJ",J186=3),VLOOKUP(_xlfn.MINIFS('FIRE TEX 5062'!$L$4:$L$34,'FIRE TEX 5062'!$L$4:$L$34,"&gt;="&amp;M186),'FIRE TEX 5062'!$L$4:$P$34,IF(L186="F-15",2,IF(L186="F-30",3,IF(L186="F-60",4,IF(L186="F-90",5,0)))),0),0)+IF(AND(O186="FIRE TEX 5062",E186="CJ",J186=4),VLOOKUP(_xlfn.MINIFS('FIRE TEX 5062'!$Q$3:$Q$34,'FIRE TEX 5062'!$Q$3:$Q$34,"&gt;="&amp;M186),'FIRE TEX 5062'!$Q$3:$U$34,IF(L186="F-15",2,IF(L186="F-30",3,IF(L186="F-60",4,IF(L186="F-90",5,0)))),0),0)+IF(AND(O186="FIRE TEX 5090",OR(E186="IN",E186="C",E186="Z",E186="L"),J186=3),VLOOKUP(_xlfn.MINIFS('FIRE TEX 5090'!$B$5:$B$43,'FIRE TEX 5090'!$B$5:$B$43,"&gt;="&amp;M186),'FIRE TEX 5090'!$B$5:$H$43,IF(L186="F-15",2,IF(L186="F-30",3,IF(L186="F-60",4,IF(L186="F-90",5,IF(L186="F-120",6,IF(L186="F-150",7,0)))))),0),0)+IF(AND(O186="FIRE TEX 5090",OR(E186="IN",E186="C",E186="Z",E186="L"),J186=4),VLOOKUP(_xlfn.MINIFS('FIRE TEX 5090'!$J$5:$J$43,'FIRE TEX 5090'!$J$5:$J$43,"&gt;="&amp;M186),'FIRE TEX 5090'!$J$5:$P$43,IF(L186="F-15",2,IF(L186="F-30",3,IF(L186="F-60",4,IF(L186="F-90",5,IF(L186="F-120",6,IF(L186="F-150",7,0)))))),0),0)+IF(AND(O186="FIRE TEX 5090",E186="CJ",J186=3),VLOOKUP(_xlfn.MINIFS('FIRE TEX 5090'!$R$5:$R$30,'FIRE TEX 5090'!$R$5:$R$30,"&gt;="&amp;M186),'FIRE TEX 5090'!$R$5:$W$30,IF(L186="F-15",2,IF(L186="F-30",3,IF(L186="F-60",4,IF(L186="F-90",5,IF(L186="F-120",6,IF(L186="F-150",7,0)))))),0),0)+IF(AND(O186="FIRE TEX 5090",E186="CJ",J186=4),VLOOKUP(_xlfn.MINIFS('FIRE TEX 5090'!$Y$5:$Y$39,'FIRE TEX 5090'!$Y$5:$Y$39,"&gt;="&amp;M186),'FIRE TEX 5090'!$Y$5:$AD$39,IF(L186="F-15",2,IF(L186="F-30",3,IF(L186="F-60",4,IF(L186="F-90",5,IF(L186="F-120",6,IF(L186="F-150",7,0)))))),0),0)+IF(AND(O186="FIRE TEX 5120",OR(E186="IN",E186="C",E186="Z",E186="L"),J186=3),VLOOKUP(_xlfn.MINIFS('FIRE TEX 5120'!$B$5:$B$40,'FIRE TEX 5120'!$B$5:$B$40,"&gt;="&amp;M186),'FIRE TEX 5120'!$B$5:$G$40,IF(L186="F-15",2,IF(L186="F-30",3,IF(L186="F-60",4,IF(L186="F-90",5,IF(L186="F-120",6,0))))),0),0)+IF(AND(O186="FIRE TEX 5120",OR(E186="IN",E186="C",E186="Z",E186="L"),J186=4),VLOOKUP(_xlfn.MINIFS('FIRE TEX 5120'!$H$4:$H$40,'FIRE TEX 5120'!$H$4:$H$40,"&gt;="&amp;M186),'FIRE TEX 5120'!$H$4:$M$40,IF(L186="F-15",2,IF(L186="F-30",3,IF(L186="F-60",4,IF(L186="F-90",5,IF(L186="F-120",6,0))))),0),0)+IF(AND(O186="FIRE TEX 5120",E186="CJ"),VLOOKUP(_xlfn.MINIFS('FIRE TEX 5120'!$O$5:$O$40,'FIRE TEX 5120'!$O$5:$O$40,"&gt;="&amp;M186),'FIRE TEX 5120'!$O$5:$T$40,IF(L186="F-15",2,IF(L186="F-30",3,IF(L186="F-60",4,IF(L186="F-90",5,IF(L186="F-120",6,0))))),0),0)</f>
        <v>0</v>
      </c>
      <c r="Q186" s="46">
        <f t="shared" si="18"/>
        <v>0</v>
      </c>
      <c r="R186" s="46">
        <f t="shared" si="20"/>
        <v>0</v>
      </c>
      <c r="S186" s="46" t="e">
        <f t="shared" si="19"/>
        <v>#VALUE!</v>
      </c>
      <c r="T186" s="677">
        <f t="shared" si="21"/>
        <v>0</v>
      </c>
      <c r="U186" s="80">
        <f>(IF(O186="Stofire",(S186*#REF!),0))+(IF(O186="Fire Control",(S186*$U$2),0))+(IF(O186="Fire Tex",(S186*$U$3),0))+(IF(O186="WB7",(S186*#REF!),0)+(IF(O186="FX 2003",(S186*$U$5),0)))</f>
        <v>0</v>
      </c>
      <c r="V186" s="651">
        <f>_xlfn.CEILING.MATH(M186,10)</f>
        <v>0</v>
      </c>
      <c r="W186" s="4"/>
    </row>
    <row r="187" spans="1:23" x14ac:dyDescent="0.25">
      <c r="A187" s="652" t="s">
        <v>409</v>
      </c>
      <c r="B187" s="653" t="s">
        <v>410</v>
      </c>
      <c r="C187" s="1" t="s">
        <v>408</v>
      </c>
      <c r="D187" s="118">
        <f>+CUBICACION!D186</f>
        <v>0</v>
      </c>
      <c r="E187" s="118">
        <f>+CUBICACION!F186</f>
        <v>0</v>
      </c>
      <c r="F187" s="118">
        <f>+CUBICACION!E186</f>
        <v>0</v>
      </c>
      <c r="G187" s="118">
        <v>12</v>
      </c>
      <c r="H187" s="118">
        <v>2</v>
      </c>
      <c r="I187" s="820">
        <v>26385</v>
      </c>
      <c r="J187" s="118">
        <f>+CUBICACION!J186</f>
        <v>0</v>
      </c>
      <c r="K187" s="118">
        <v>2966</v>
      </c>
      <c r="L187" s="118">
        <f>+CUBICACION!L186</f>
        <v>0</v>
      </c>
      <c r="M187" s="64">
        <f>+CUBICACION!M186</f>
        <v>0</v>
      </c>
      <c r="N187" s="824" t="str">
        <f>+CUBICACION!N186</f>
        <v/>
      </c>
      <c r="O187" s="675">
        <f>+CUBICACION!O186</f>
        <v>0</v>
      </c>
      <c r="P187" s="15">
        <f>IF(O187="Fire Control",VLOOKUP(_xlfn.MINIFS('FIRE CONTROL'!$C$4:$C$37,'FIRE CONTROL'!$C$4:$C$37,"&gt;="&amp;M187),'FIRE CONTROL'!$C$4:$G$37,IF(L187="F-15",2,IF(L187="F-30",3,IF(L187="F-60",4,IF(L187="F-90",5,0)))),0),0)+IF(AND(O187="FIRE TEX 5062",OR(E187="IN",E187="C",E187="Z",E187="L"),J187=3),VLOOKUP(_xlfn.MINIFS('FIRE TEX 5062'!$B$4:$B$34,'FIRE TEX 5062'!$B$4:$B$34,"&gt;="&amp;M187),'FIRE TEX 5062'!$B$4:$F$34,IF(L187="F-15",2,IF(L187="F-30",3,IF(L187="F-60",4,IF(L187="F-90",5,0)))),0),0)+IF(AND(O187="FIRE TEX 5062",OR(E187="IN",E187="C",E187="Z",E187="L"),J187=4),VLOOKUP(_xlfn.MINIFS('FIRE TEX 5062'!$G$4:$G$34,'FIRE TEX 5062'!$G$4:$G$34,"&gt;="&amp;M187),'FIRE TEX 5062'!$G$4:$K$34,IF(L187="F-15",2,IF(L187="F-30",3,IF(L187="F-60",4,IF(L187="F-90",5,0)))),0),0)+IF(AND(O187="FIRE TEX 5062",E187="CJ",J187=3),VLOOKUP(_xlfn.MINIFS('FIRE TEX 5062'!$L$4:$L$34,'FIRE TEX 5062'!$L$4:$L$34,"&gt;="&amp;M187),'FIRE TEX 5062'!$L$4:$P$34,IF(L187="F-15",2,IF(L187="F-30",3,IF(L187="F-60",4,IF(L187="F-90",5,0)))),0),0)+IF(AND(O187="FIRE TEX 5062",E187="CJ",J187=4),VLOOKUP(_xlfn.MINIFS('FIRE TEX 5062'!$Q$3:$Q$34,'FIRE TEX 5062'!$Q$3:$Q$34,"&gt;="&amp;M187),'FIRE TEX 5062'!$Q$3:$U$34,IF(L187="F-15",2,IF(L187="F-30",3,IF(L187="F-60",4,IF(L187="F-90",5,0)))),0),0)+IF(AND(O187="FIRE TEX 5090",OR(E187="IN",E187="C",E187="Z",E187="L"),J187=3),VLOOKUP(_xlfn.MINIFS('FIRE TEX 5090'!$B$5:$B$43,'FIRE TEX 5090'!$B$5:$B$43,"&gt;="&amp;M187),'FIRE TEX 5090'!$B$5:$H$43,IF(L187="F-15",2,IF(L187="F-30",3,IF(L187="F-60",4,IF(L187="F-90",5,IF(L187="F-120",6,IF(L187="F-150",7,0)))))),0),0)+IF(AND(O187="FIRE TEX 5090",OR(E187="IN",E187="C",E187="Z",E187="L"),J187=4),VLOOKUP(_xlfn.MINIFS('FIRE TEX 5090'!$J$5:$J$43,'FIRE TEX 5090'!$J$5:$J$43,"&gt;="&amp;M187),'FIRE TEX 5090'!$J$5:$P$43,IF(L187="F-15",2,IF(L187="F-30",3,IF(L187="F-60",4,IF(L187="F-90",5,IF(L187="F-120",6,IF(L187="F-150",7,0)))))),0),0)+IF(AND(O187="FIRE TEX 5090",E187="CJ",J187=3),VLOOKUP(_xlfn.MINIFS('FIRE TEX 5090'!$R$5:$R$30,'FIRE TEX 5090'!$R$5:$R$30,"&gt;="&amp;M187),'FIRE TEX 5090'!$R$5:$W$30,IF(L187="F-15",2,IF(L187="F-30",3,IF(L187="F-60",4,IF(L187="F-90",5,IF(L187="F-120",6,IF(L187="F-150",7,0)))))),0),0)+IF(AND(O187="FIRE TEX 5090",E187="CJ",J187=4),VLOOKUP(_xlfn.MINIFS('FIRE TEX 5090'!$Y$5:$Y$39,'FIRE TEX 5090'!$Y$5:$Y$39,"&gt;="&amp;M187),'FIRE TEX 5090'!$Y$5:$AD$39,IF(L187="F-15",2,IF(L187="F-30",3,IF(L187="F-60",4,IF(L187="F-90",5,IF(L187="F-120",6,IF(L187="F-150",7,0)))))),0),0)+IF(AND(O187="FIRE TEX 5120",OR(E187="IN",E187="C",E187="Z",E187="L"),J187=3),VLOOKUP(_xlfn.MINIFS('FIRE TEX 5120'!$B$5:$B$40,'FIRE TEX 5120'!$B$5:$B$40,"&gt;="&amp;M187),'FIRE TEX 5120'!$B$5:$G$40,IF(L187="F-15",2,IF(L187="F-30",3,IF(L187="F-60",4,IF(L187="F-90",5,IF(L187="F-120",6,0))))),0),0)+IF(AND(O187="FIRE TEX 5120",OR(E187="IN",E187="C",E187="Z",E187="L"),J187=4),VLOOKUP(_xlfn.MINIFS('FIRE TEX 5120'!$H$4:$H$40,'FIRE TEX 5120'!$H$4:$H$40,"&gt;="&amp;M187),'FIRE TEX 5120'!$H$4:$M$40,IF(L187="F-15",2,IF(L187="F-30",3,IF(L187="F-60",4,IF(L187="F-90",5,IF(L187="F-120",6,0))))),0),0)+IF(AND(O187="FIRE TEX 5120",E187="CJ"),VLOOKUP(_xlfn.MINIFS('FIRE TEX 5120'!$O$5:$O$40,'FIRE TEX 5120'!$O$5:$O$40,"&gt;="&amp;M187),'FIRE TEX 5120'!$O$5:$T$40,IF(L187="F-15",2,IF(L187="F-30",3,IF(L187="F-60",4,IF(L187="F-90",5,IF(L187="F-120",6,0))))),0),0)</f>
        <v>0</v>
      </c>
      <c r="Q187" s="46">
        <f t="shared" si="18"/>
        <v>0</v>
      </c>
      <c r="R187" s="46">
        <f t="shared" si="20"/>
        <v>0</v>
      </c>
      <c r="S187" s="46" t="e">
        <f t="shared" si="19"/>
        <v>#VALUE!</v>
      </c>
      <c r="T187" s="677">
        <f t="shared" si="21"/>
        <v>0</v>
      </c>
      <c r="U187" s="80">
        <f>(IF(O187="Stofire",(S187*#REF!),0))+(IF(O187="Fire Control",(S187*$U$2),0))+(IF(O187="Fire Tex",(S187*$U$3),0))+(IF(O187="WB7",(S187*#REF!),0)+(IF(O187="FX 2003",(S187*$U$5),0)))</f>
        <v>0</v>
      </c>
      <c r="V187" s="651">
        <f t="shared" ref="V187:V199" si="25">_xlfn.CEILING.MATH(M187,10)</f>
        <v>0</v>
      </c>
      <c r="W187" s="4"/>
    </row>
    <row r="188" spans="1:23" x14ac:dyDescent="0.25">
      <c r="A188" s="652" t="s">
        <v>414</v>
      </c>
      <c r="B188" s="653" t="s">
        <v>415</v>
      </c>
      <c r="C188" s="1" t="s">
        <v>408</v>
      </c>
      <c r="D188" s="118">
        <f>+CUBICACION!D187</f>
        <v>0</v>
      </c>
      <c r="E188" s="118">
        <f>+CUBICACION!F187</f>
        <v>0</v>
      </c>
      <c r="F188" s="118">
        <f>+CUBICACION!E187</f>
        <v>0</v>
      </c>
      <c r="G188" s="118">
        <v>12</v>
      </c>
      <c r="H188" s="118">
        <v>2</v>
      </c>
      <c r="I188" s="820">
        <v>26385</v>
      </c>
      <c r="J188" s="118">
        <f>+CUBICACION!J187</f>
        <v>0</v>
      </c>
      <c r="K188" s="118">
        <v>2967</v>
      </c>
      <c r="L188" s="118">
        <f>+CUBICACION!L187</f>
        <v>0</v>
      </c>
      <c r="M188" s="64">
        <f>+CUBICACION!M187</f>
        <v>0</v>
      </c>
      <c r="N188" s="824" t="str">
        <f>+CUBICACION!N187</f>
        <v/>
      </c>
      <c r="O188" s="675">
        <f>+CUBICACION!O187</f>
        <v>0</v>
      </c>
      <c r="P188" s="15">
        <f>IF(O188="Fire Control",VLOOKUP(_xlfn.MINIFS('FIRE CONTROL'!$C$4:$C$37,'FIRE CONTROL'!$C$4:$C$37,"&gt;="&amp;M188),'FIRE CONTROL'!$C$4:$G$37,IF(L188="F-15",2,IF(L188="F-30",3,IF(L188="F-60",4,IF(L188="F-90",5,0)))),0),0)+IF(AND(O188="FIRE TEX 5062",OR(E188="IN",E188="C",E188="Z",E188="L"),J188=3),VLOOKUP(_xlfn.MINIFS('FIRE TEX 5062'!$B$4:$B$34,'FIRE TEX 5062'!$B$4:$B$34,"&gt;="&amp;M188),'FIRE TEX 5062'!$B$4:$F$34,IF(L188="F-15",2,IF(L188="F-30",3,IF(L188="F-60",4,IF(L188="F-90",5,0)))),0),0)+IF(AND(O188="FIRE TEX 5062",OR(E188="IN",E188="C",E188="Z",E188="L"),J188=4),VLOOKUP(_xlfn.MINIFS('FIRE TEX 5062'!$G$4:$G$34,'FIRE TEX 5062'!$G$4:$G$34,"&gt;="&amp;M188),'FIRE TEX 5062'!$G$4:$K$34,IF(L188="F-15",2,IF(L188="F-30",3,IF(L188="F-60",4,IF(L188="F-90",5,0)))),0),0)+IF(AND(O188="FIRE TEX 5062",E188="CJ",J188=3),VLOOKUP(_xlfn.MINIFS('FIRE TEX 5062'!$L$4:$L$34,'FIRE TEX 5062'!$L$4:$L$34,"&gt;="&amp;M188),'FIRE TEX 5062'!$L$4:$P$34,IF(L188="F-15",2,IF(L188="F-30",3,IF(L188="F-60",4,IF(L188="F-90",5,0)))),0),0)+IF(AND(O188="FIRE TEX 5062",E188="CJ",J188=4),VLOOKUP(_xlfn.MINIFS('FIRE TEX 5062'!$Q$3:$Q$34,'FIRE TEX 5062'!$Q$3:$Q$34,"&gt;="&amp;M188),'FIRE TEX 5062'!$Q$3:$U$34,IF(L188="F-15",2,IF(L188="F-30",3,IF(L188="F-60",4,IF(L188="F-90",5,0)))),0),0)+IF(AND(O188="FIRE TEX 5090",OR(E188="IN",E188="C",E188="Z",E188="L"),J188=3),VLOOKUP(_xlfn.MINIFS('FIRE TEX 5090'!$B$5:$B$43,'FIRE TEX 5090'!$B$5:$B$43,"&gt;="&amp;M188),'FIRE TEX 5090'!$B$5:$H$43,IF(L188="F-15",2,IF(L188="F-30",3,IF(L188="F-60",4,IF(L188="F-90",5,IF(L188="F-120",6,IF(L188="F-150",7,0)))))),0),0)+IF(AND(O188="FIRE TEX 5090",OR(E188="IN",E188="C",E188="Z",E188="L"),J188=4),VLOOKUP(_xlfn.MINIFS('FIRE TEX 5090'!$J$5:$J$43,'FIRE TEX 5090'!$J$5:$J$43,"&gt;="&amp;M188),'FIRE TEX 5090'!$J$5:$P$43,IF(L188="F-15",2,IF(L188="F-30",3,IF(L188="F-60",4,IF(L188="F-90",5,IF(L188="F-120",6,IF(L188="F-150",7,0)))))),0),0)+IF(AND(O188="FIRE TEX 5090",E188="CJ",J188=3),VLOOKUP(_xlfn.MINIFS('FIRE TEX 5090'!$R$5:$R$30,'FIRE TEX 5090'!$R$5:$R$30,"&gt;="&amp;M188),'FIRE TEX 5090'!$R$5:$W$30,IF(L188="F-15",2,IF(L188="F-30",3,IF(L188="F-60",4,IF(L188="F-90",5,IF(L188="F-120",6,IF(L188="F-150",7,0)))))),0),0)+IF(AND(O188="FIRE TEX 5090",E188="CJ",J188=4),VLOOKUP(_xlfn.MINIFS('FIRE TEX 5090'!$Y$5:$Y$39,'FIRE TEX 5090'!$Y$5:$Y$39,"&gt;="&amp;M188),'FIRE TEX 5090'!$Y$5:$AD$39,IF(L188="F-15",2,IF(L188="F-30",3,IF(L188="F-60",4,IF(L188="F-90",5,IF(L188="F-120",6,IF(L188="F-150",7,0)))))),0),0)+IF(AND(O188="FIRE TEX 5120",OR(E188="IN",E188="C",E188="Z",E188="L"),J188=3),VLOOKUP(_xlfn.MINIFS('FIRE TEX 5120'!$B$5:$B$40,'FIRE TEX 5120'!$B$5:$B$40,"&gt;="&amp;M188),'FIRE TEX 5120'!$B$5:$G$40,IF(L188="F-15",2,IF(L188="F-30",3,IF(L188="F-60",4,IF(L188="F-90",5,IF(L188="F-120",6,0))))),0),0)+IF(AND(O188="FIRE TEX 5120",OR(E188="IN",E188="C",E188="Z",E188="L"),J188=4),VLOOKUP(_xlfn.MINIFS('FIRE TEX 5120'!$H$4:$H$40,'FIRE TEX 5120'!$H$4:$H$40,"&gt;="&amp;M188),'FIRE TEX 5120'!$H$4:$M$40,IF(L188="F-15",2,IF(L188="F-30",3,IF(L188="F-60",4,IF(L188="F-90",5,IF(L188="F-120",6,0))))),0),0)+IF(AND(O188="FIRE TEX 5120",E188="CJ"),VLOOKUP(_xlfn.MINIFS('FIRE TEX 5120'!$O$5:$O$40,'FIRE TEX 5120'!$O$5:$O$40,"&gt;="&amp;M188),'FIRE TEX 5120'!$O$5:$T$40,IF(L188="F-15",2,IF(L188="F-30",3,IF(L188="F-60",4,IF(L188="F-90",5,IF(L188="F-120",6,0))))),0),0)</f>
        <v>0</v>
      </c>
      <c r="Q188" s="46">
        <f t="shared" si="18"/>
        <v>0</v>
      </c>
      <c r="R188" s="46">
        <f t="shared" si="20"/>
        <v>0</v>
      </c>
      <c r="S188" s="46" t="e">
        <f t="shared" si="19"/>
        <v>#VALUE!</v>
      </c>
      <c r="T188" s="677">
        <f t="shared" si="21"/>
        <v>0</v>
      </c>
      <c r="U188" s="80">
        <f>(IF(O188="Stofire",(S188*#REF!),0))+(IF(O188="Fire Control",(S188*$U$2),0))+(IF(O188="Fire Tex",(S188*$U$3),0))+(IF(O188="WB7",(S188*#REF!),0)+(IF(O188="FX 2003",(S188*$U$5),0)))</f>
        <v>0</v>
      </c>
      <c r="V188" s="651">
        <f t="shared" si="25"/>
        <v>0</v>
      </c>
      <c r="W188" s="4"/>
    </row>
    <row r="189" spans="1:23" x14ac:dyDescent="0.25">
      <c r="A189" s="652" t="s">
        <v>417</v>
      </c>
      <c r="B189" s="653" t="s">
        <v>415</v>
      </c>
      <c r="C189" s="1" t="s">
        <v>408</v>
      </c>
      <c r="D189" s="118">
        <f>+CUBICACION!D188</f>
        <v>0</v>
      </c>
      <c r="E189" s="118">
        <f>+CUBICACION!F188</f>
        <v>0</v>
      </c>
      <c r="F189" s="118">
        <f>+CUBICACION!E188</f>
        <v>0</v>
      </c>
      <c r="G189" s="118">
        <v>12</v>
      </c>
      <c r="H189" s="118">
        <v>2</v>
      </c>
      <c r="I189" s="820">
        <v>26385</v>
      </c>
      <c r="J189" s="118">
        <f>+CUBICACION!J188</f>
        <v>0</v>
      </c>
      <c r="K189" s="118">
        <v>2968</v>
      </c>
      <c r="L189" s="118">
        <f>+CUBICACION!L188</f>
        <v>0</v>
      </c>
      <c r="M189" s="64">
        <f>+CUBICACION!M188</f>
        <v>0</v>
      </c>
      <c r="N189" s="824" t="str">
        <f>+CUBICACION!N188</f>
        <v/>
      </c>
      <c r="O189" s="675">
        <f>+CUBICACION!O188</f>
        <v>0</v>
      </c>
      <c r="P189" s="15">
        <f>IF(O189="Fire Control",VLOOKUP(_xlfn.MINIFS('FIRE CONTROL'!$C$4:$C$37,'FIRE CONTROL'!$C$4:$C$37,"&gt;="&amp;M189),'FIRE CONTROL'!$C$4:$G$37,IF(L189="F-15",2,IF(L189="F-30",3,IF(L189="F-60",4,IF(L189="F-90",5,0)))),0),0)+IF(AND(O189="FIRE TEX 5062",OR(E189="IN",E189="C",E189="Z",E189="L"),J189=3),VLOOKUP(_xlfn.MINIFS('FIRE TEX 5062'!$B$4:$B$34,'FIRE TEX 5062'!$B$4:$B$34,"&gt;="&amp;M189),'FIRE TEX 5062'!$B$4:$F$34,IF(L189="F-15",2,IF(L189="F-30",3,IF(L189="F-60",4,IF(L189="F-90",5,0)))),0),0)+IF(AND(O189="FIRE TEX 5062",OR(E189="IN",E189="C",E189="Z",E189="L"),J189=4),VLOOKUP(_xlfn.MINIFS('FIRE TEX 5062'!$G$4:$G$34,'FIRE TEX 5062'!$G$4:$G$34,"&gt;="&amp;M189),'FIRE TEX 5062'!$G$4:$K$34,IF(L189="F-15",2,IF(L189="F-30",3,IF(L189="F-60",4,IF(L189="F-90",5,0)))),0),0)+IF(AND(O189="FIRE TEX 5062",E189="CJ",J189=3),VLOOKUP(_xlfn.MINIFS('FIRE TEX 5062'!$L$4:$L$34,'FIRE TEX 5062'!$L$4:$L$34,"&gt;="&amp;M189),'FIRE TEX 5062'!$L$4:$P$34,IF(L189="F-15",2,IF(L189="F-30",3,IF(L189="F-60",4,IF(L189="F-90",5,0)))),0),0)+IF(AND(O189="FIRE TEX 5062",E189="CJ",J189=4),VLOOKUP(_xlfn.MINIFS('FIRE TEX 5062'!$Q$3:$Q$34,'FIRE TEX 5062'!$Q$3:$Q$34,"&gt;="&amp;M189),'FIRE TEX 5062'!$Q$3:$U$34,IF(L189="F-15",2,IF(L189="F-30",3,IF(L189="F-60",4,IF(L189="F-90",5,0)))),0),0)+IF(AND(O189="FIRE TEX 5090",OR(E189="IN",E189="C",E189="Z",E189="L"),J189=3),VLOOKUP(_xlfn.MINIFS('FIRE TEX 5090'!$B$5:$B$43,'FIRE TEX 5090'!$B$5:$B$43,"&gt;="&amp;M189),'FIRE TEX 5090'!$B$5:$H$43,IF(L189="F-15",2,IF(L189="F-30",3,IF(L189="F-60",4,IF(L189="F-90",5,IF(L189="F-120",6,IF(L189="F-150",7,0)))))),0),0)+IF(AND(O189="FIRE TEX 5090",OR(E189="IN",E189="C",E189="Z",E189="L"),J189=4),VLOOKUP(_xlfn.MINIFS('FIRE TEX 5090'!$J$5:$J$43,'FIRE TEX 5090'!$J$5:$J$43,"&gt;="&amp;M189),'FIRE TEX 5090'!$J$5:$P$43,IF(L189="F-15",2,IF(L189="F-30",3,IF(L189="F-60",4,IF(L189="F-90",5,IF(L189="F-120",6,IF(L189="F-150",7,0)))))),0),0)+IF(AND(O189="FIRE TEX 5090",E189="CJ",J189=3),VLOOKUP(_xlfn.MINIFS('FIRE TEX 5090'!$R$5:$R$30,'FIRE TEX 5090'!$R$5:$R$30,"&gt;="&amp;M189),'FIRE TEX 5090'!$R$5:$W$30,IF(L189="F-15",2,IF(L189="F-30",3,IF(L189="F-60",4,IF(L189="F-90",5,IF(L189="F-120",6,IF(L189="F-150",7,0)))))),0),0)+IF(AND(O189="FIRE TEX 5090",E189="CJ",J189=4),VLOOKUP(_xlfn.MINIFS('FIRE TEX 5090'!$Y$5:$Y$39,'FIRE TEX 5090'!$Y$5:$Y$39,"&gt;="&amp;M189),'FIRE TEX 5090'!$Y$5:$AD$39,IF(L189="F-15",2,IF(L189="F-30",3,IF(L189="F-60",4,IF(L189="F-90",5,IF(L189="F-120",6,IF(L189="F-150",7,0)))))),0),0)+IF(AND(O189="FIRE TEX 5120",OR(E189="IN",E189="C",E189="Z",E189="L"),J189=3),VLOOKUP(_xlfn.MINIFS('FIRE TEX 5120'!$B$5:$B$40,'FIRE TEX 5120'!$B$5:$B$40,"&gt;="&amp;M189),'FIRE TEX 5120'!$B$5:$G$40,IF(L189="F-15",2,IF(L189="F-30",3,IF(L189="F-60",4,IF(L189="F-90",5,IF(L189="F-120",6,0))))),0),0)+IF(AND(O189="FIRE TEX 5120",OR(E189="IN",E189="C",E189="Z",E189="L"),J189=4),VLOOKUP(_xlfn.MINIFS('FIRE TEX 5120'!$H$4:$H$40,'FIRE TEX 5120'!$H$4:$H$40,"&gt;="&amp;M189),'FIRE TEX 5120'!$H$4:$M$40,IF(L189="F-15",2,IF(L189="F-30",3,IF(L189="F-60",4,IF(L189="F-90",5,IF(L189="F-120",6,0))))),0),0)+IF(AND(O189="FIRE TEX 5120",E189="CJ"),VLOOKUP(_xlfn.MINIFS('FIRE TEX 5120'!$O$5:$O$40,'FIRE TEX 5120'!$O$5:$O$40,"&gt;="&amp;M189),'FIRE TEX 5120'!$O$5:$T$40,IF(L189="F-15",2,IF(L189="F-30",3,IF(L189="F-60",4,IF(L189="F-90",5,IF(L189="F-120",6,0))))),0),0)</f>
        <v>0</v>
      </c>
      <c r="Q189" s="46">
        <f t="shared" si="18"/>
        <v>0</v>
      </c>
      <c r="R189" s="46">
        <f t="shared" si="20"/>
        <v>0</v>
      </c>
      <c r="S189" s="46" t="e">
        <f t="shared" si="19"/>
        <v>#VALUE!</v>
      </c>
      <c r="T189" s="677">
        <f t="shared" si="21"/>
        <v>0</v>
      </c>
      <c r="U189" s="80">
        <f>(IF(O189="Stofire",(S189*#REF!),0))+(IF(O189="Fire Control",(S189*$U$2),0))+(IF(O189="Fire Tex",(S189*$U$3),0))+(IF(O189="WB7",(S189*#REF!),0)+(IF(O189="FX 2003",(S189*$U$5),0)))</f>
        <v>0</v>
      </c>
      <c r="V189" s="651">
        <f t="shared" si="25"/>
        <v>0</v>
      </c>
      <c r="W189" s="4"/>
    </row>
    <row r="190" spans="1:23" x14ac:dyDescent="0.25">
      <c r="A190" s="652" t="s">
        <v>419</v>
      </c>
      <c r="B190" s="653" t="s">
        <v>415</v>
      </c>
      <c r="C190" s="1" t="s">
        <v>408</v>
      </c>
      <c r="D190" s="118">
        <f>+CUBICACION!D189</f>
        <v>0</v>
      </c>
      <c r="E190" s="118">
        <f>+CUBICACION!F189</f>
        <v>0</v>
      </c>
      <c r="F190" s="118">
        <f>+CUBICACION!E189</f>
        <v>0</v>
      </c>
      <c r="G190" s="118">
        <v>12</v>
      </c>
      <c r="H190" s="118">
        <v>2</v>
      </c>
      <c r="I190" s="820">
        <v>26385</v>
      </c>
      <c r="J190" s="118">
        <f>+CUBICACION!J189</f>
        <v>0</v>
      </c>
      <c r="K190" s="118">
        <v>2969</v>
      </c>
      <c r="L190" s="118">
        <f>+CUBICACION!L189</f>
        <v>0</v>
      </c>
      <c r="M190" s="64">
        <f>+CUBICACION!M189</f>
        <v>0</v>
      </c>
      <c r="N190" s="824" t="str">
        <f>+CUBICACION!N189</f>
        <v/>
      </c>
      <c r="O190" s="675">
        <f>+CUBICACION!O189</f>
        <v>0</v>
      </c>
      <c r="P190" s="15">
        <f>IF(O190="Fire Control",VLOOKUP(_xlfn.MINIFS('FIRE CONTROL'!$C$4:$C$37,'FIRE CONTROL'!$C$4:$C$37,"&gt;="&amp;M190),'FIRE CONTROL'!$C$4:$G$37,IF(L190="F-15",2,IF(L190="F-30",3,IF(L190="F-60",4,IF(L190="F-90",5,0)))),0),0)+IF(AND(O190="FIRE TEX 5062",OR(E190="IN",E190="C",E190="Z",E190="L"),J190=3),VLOOKUP(_xlfn.MINIFS('FIRE TEX 5062'!$B$4:$B$34,'FIRE TEX 5062'!$B$4:$B$34,"&gt;="&amp;M190),'FIRE TEX 5062'!$B$4:$F$34,IF(L190="F-15",2,IF(L190="F-30",3,IF(L190="F-60",4,IF(L190="F-90",5,0)))),0),0)+IF(AND(O190="FIRE TEX 5062",OR(E190="IN",E190="C",E190="Z",E190="L"),J190=4),VLOOKUP(_xlfn.MINIFS('FIRE TEX 5062'!$G$4:$G$34,'FIRE TEX 5062'!$G$4:$G$34,"&gt;="&amp;M190),'FIRE TEX 5062'!$G$4:$K$34,IF(L190="F-15",2,IF(L190="F-30",3,IF(L190="F-60",4,IF(L190="F-90",5,0)))),0),0)+IF(AND(O190="FIRE TEX 5062",E190="CJ",J190=3),VLOOKUP(_xlfn.MINIFS('FIRE TEX 5062'!$L$4:$L$34,'FIRE TEX 5062'!$L$4:$L$34,"&gt;="&amp;M190),'FIRE TEX 5062'!$L$4:$P$34,IF(L190="F-15",2,IF(L190="F-30",3,IF(L190="F-60",4,IF(L190="F-90",5,0)))),0),0)+IF(AND(O190="FIRE TEX 5062",E190="CJ",J190=4),VLOOKUP(_xlfn.MINIFS('FIRE TEX 5062'!$Q$3:$Q$34,'FIRE TEX 5062'!$Q$3:$Q$34,"&gt;="&amp;M190),'FIRE TEX 5062'!$Q$3:$U$34,IF(L190="F-15",2,IF(L190="F-30",3,IF(L190="F-60",4,IF(L190="F-90",5,0)))),0),0)+IF(AND(O190="FIRE TEX 5090",OR(E190="IN",E190="C",E190="Z",E190="L"),J190=3),VLOOKUP(_xlfn.MINIFS('FIRE TEX 5090'!$B$5:$B$43,'FIRE TEX 5090'!$B$5:$B$43,"&gt;="&amp;M190),'FIRE TEX 5090'!$B$5:$H$43,IF(L190="F-15",2,IF(L190="F-30",3,IF(L190="F-60",4,IF(L190="F-90",5,IF(L190="F-120",6,IF(L190="F-150",7,0)))))),0),0)+IF(AND(O190="FIRE TEX 5090",OR(E190="IN",E190="C",E190="Z",E190="L"),J190=4),VLOOKUP(_xlfn.MINIFS('FIRE TEX 5090'!$J$5:$J$43,'FIRE TEX 5090'!$J$5:$J$43,"&gt;="&amp;M190),'FIRE TEX 5090'!$J$5:$P$43,IF(L190="F-15",2,IF(L190="F-30",3,IF(L190="F-60",4,IF(L190="F-90",5,IF(L190="F-120",6,IF(L190="F-150",7,0)))))),0),0)+IF(AND(O190="FIRE TEX 5090",E190="CJ",J190=3),VLOOKUP(_xlfn.MINIFS('FIRE TEX 5090'!$R$5:$R$30,'FIRE TEX 5090'!$R$5:$R$30,"&gt;="&amp;M190),'FIRE TEX 5090'!$R$5:$W$30,IF(L190="F-15",2,IF(L190="F-30",3,IF(L190="F-60",4,IF(L190="F-90",5,IF(L190="F-120",6,IF(L190="F-150",7,0)))))),0),0)+IF(AND(O190="FIRE TEX 5090",E190="CJ",J190=4),VLOOKUP(_xlfn.MINIFS('FIRE TEX 5090'!$Y$5:$Y$39,'FIRE TEX 5090'!$Y$5:$Y$39,"&gt;="&amp;M190),'FIRE TEX 5090'!$Y$5:$AD$39,IF(L190="F-15",2,IF(L190="F-30",3,IF(L190="F-60",4,IF(L190="F-90",5,IF(L190="F-120",6,IF(L190="F-150",7,0)))))),0),0)+IF(AND(O190="FIRE TEX 5120",OR(E190="IN",E190="C",E190="Z",E190="L"),J190=3),VLOOKUP(_xlfn.MINIFS('FIRE TEX 5120'!$B$5:$B$40,'FIRE TEX 5120'!$B$5:$B$40,"&gt;="&amp;M190),'FIRE TEX 5120'!$B$5:$G$40,IF(L190="F-15",2,IF(L190="F-30",3,IF(L190="F-60",4,IF(L190="F-90",5,IF(L190="F-120",6,0))))),0),0)+IF(AND(O190="FIRE TEX 5120",OR(E190="IN",E190="C",E190="Z",E190="L"),J190=4),VLOOKUP(_xlfn.MINIFS('FIRE TEX 5120'!$H$4:$H$40,'FIRE TEX 5120'!$H$4:$H$40,"&gt;="&amp;M190),'FIRE TEX 5120'!$H$4:$M$40,IF(L190="F-15",2,IF(L190="F-30",3,IF(L190="F-60",4,IF(L190="F-90",5,IF(L190="F-120",6,0))))),0),0)+IF(AND(O190="FIRE TEX 5120",E190="CJ"),VLOOKUP(_xlfn.MINIFS('FIRE TEX 5120'!$O$5:$O$40,'FIRE TEX 5120'!$O$5:$O$40,"&gt;="&amp;M190),'FIRE TEX 5120'!$O$5:$T$40,IF(L190="F-15",2,IF(L190="F-30",3,IF(L190="F-60",4,IF(L190="F-90",5,IF(L190="F-120",6,0))))),0),0)</f>
        <v>0</v>
      </c>
      <c r="Q190" s="46">
        <f t="shared" si="18"/>
        <v>0</v>
      </c>
      <c r="R190" s="46">
        <f t="shared" si="20"/>
        <v>0</v>
      </c>
      <c r="S190" s="46" t="e">
        <f t="shared" si="19"/>
        <v>#VALUE!</v>
      </c>
      <c r="T190" s="677">
        <f t="shared" si="21"/>
        <v>0</v>
      </c>
      <c r="U190" s="80">
        <f>(IF(O190="Stofire",(S190*#REF!),0))+(IF(O190="Fire Control",(S190*$U$2),0))+(IF(O190="Fire Tex",(S190*$U$3),0))+(IF(O190="WB7",(S190*#REF!),0)+(IF(O190="FX 2003",(S190*$U$5),0)))</f>
        <v>0</v>
      </c>
      <c r="V190" s="651">
        <f t="shared" si="25"/>
        <v>0</v>
      </c>
      <c r="W190" s="4"/>
    </row>
    <row r="191" spans="1:23" x14ac:dyDescent="0.25">
      <c r="A191" s="652" t="s">
        <v>421</v>
      </c>
      <c r="B191" s="653" t="s">
        <v>422</v>
      </c>
      <c r="C191" s="1" t="s">
        <v>423</v>
      </c>
      <c r="D191" s="118">
        <f>+CUBICACION!D190</f>
        <v>0</v>
      </c>
      <c r="E191" s="118">
        <f>+CUBICACION!F190</f>
        <v>0</v>
      </c>
      <c r="F191" s="118">
        <f>+CUBICACION!E190</f>
        <v>0</v>
      </c>
      <c r="G191" s="118">
        <v>12</v>
      </c>
      <c r="H191" s="118">
        <v>2</v>
      </c>
      <c r="I191" s="820">
        <v>26385</v>
      </c>
      <c r="J191" s="118">
        <f>+CUBICACION!J190</f>
        <v>0</v>
      </c>
      <c r="K191" s="118">
        <v>2970</v>
      </c>
      <c r="L191" s="118">
        <f>+CUBICACION!L190</f>
        <v>0</v>
      </c>
      <c r="M191" s="64">
        <f>+CUBICACION!M190</f>
        <v>0</v>
      </c>
      <c r="N191" s="824" t="str">
        <f>+CUBICACION!N190</f>
        <v/>
      </c>
      <c r="O191" s="675">
        <f>+CUBICACION!O190</f>
        <v>0</v>
      </c>
      <c r="P191" s="15">
        <f>IF(O191="Fire Control",VLOOKUP(_xlfn.MINIFS('FIRE CONTROL'!$C$4:$C$37,'FIRE CONTROL'!$C$4:$C$37,"&gt;="&amp;M191),'FIRE CONTROL'!$C$4:$G$37,IF(L191="F-15",2,IF(L191="F-30",3,IF(L191="F-60",4,IF(L191="F-90",5,0)))),0),0)+IF(AND(O191="FIRE TEX 5062",OR(E191="IN",E191="C",E191="Z",E191="L"),J191=3),VLOOKUP(_xlfn.MINIFS('FIRE TEX 5062'!$B$4:$B$34,'FIRE TEX 5062'!$B$4:$B$34,"&gt;="&amp;M191),'FIRE TEX 5062'!$B$4:$F$34,IF(L191="F-15",2,IF(L191="F-30",3,IF(L191="F-60",4,IF(L191="F-90",5,0)))),0),0)+IF(AND(O191="FIRE TEX 5062",OR(E191="IN",E191="C",E191="Z",E191="L"),J191=4),VLOOKUP(_xlfn.MINIFS('FIRE TEX 5062'!$G$4:$G$34,'FIRE TEX 5062'!$G$4:$G$34,"&gt;="&amp;M191),'FIRE TEX 5062'!$G$4:$K$34,IF(L191="F-15",2,IF(L191="F-30",3,IF(L191="F-60",4,IF(L191="F-90",5,0)))),0),0)+IF(AND(O191="FIRE TEX 5062",E191="CJ",J191=3),VLOOKUP(_xlfn.MINIFS('FIRE TEX 5062'!$L$4:$L$34,'FIRE TEX 5062'!$L$4:$L$34,"&gt;="&amp;M191),'FIRE TEX 5062'!$L$4:$P$34,IF(L191="F-15",2,IF(L191="F-30",3,IF(L191="F-60",4,IF(L191="F-90",5,0)))),0),0)+IF(AND(O191="FIRE TEX 5062",E191="CJ",J191=4),VLOOKUP(_xlfn.MINIFS('FIRE TEX 5062'!$Q$3:$Q$34,'FIRE TEX 5062'!$Q$3:$Q$34,"&gt;="&amp;M191),'FIRE TEX 5062'!$Q$3:$U$34,IF(L191="F-15",2,IF(L191="F-30",3,IF(L191="F-60",4,IF(L191="F-90",5,0)))),0),0)+IF(AND(O191="FIRE TEX 5090",OR(E191="IN",E191="C",E191="Z",E191="L"),J191=3),VLOOKUP(_xlfn.MINIFS('FIRE TEX 5090'!$B$5:$B$43,'FIRE TEX 5090'!$B$5:$B$43,"&gt;="&amp;M191),'FIRE TEX 5090'!$B$5:$H$43,IF(L191="F-15",2,IF(L191="F-30",3,IF(L191="F-60",4,IF(L191="F-90",5,IF(L191="F-120",6,IF(L191="F-150",7,0)))))),0),0)+IF(AND(O191="FIRE TEX 5090",OR(E191="IN",E191="C",E191="Z",E191="L"),J191=4),VLOOKUP(_xlfn.MINIFS('FIRE TEX 5090'!$J$5:$J$43,'FIRE TEX 5090'!$J$5:$J$43,"&gt;="&amp;M191),'FIRE TEX 5090'!$J$5:$P$43,IF(L191="F-15",2,IF(L191="F-30",3,IF(L191="F-60",4,IF(L191="F-90",5,IF(L191="F-120",6,IF(L191="F-150",7,0)))))),0),0)+IF(AND(O191="FIRE TEX 5090",E191="CJ",J191=3),VLOOKUP(_xlfn.MINIFS('FIRE TEX 5090'!$R$5:$R$30,'FIRE TEX 5090'!$R$5:$R$30,"&gt;="&amp;M191),'FIRE TEX 5090'!$R$5:$W$30,IF(L191="F-15",2,IF(L191="F-30",3,IF(L191="F-60",4,IF(L191="F-90",5,IF(L191="F-120",6,IF(L191="F-150",7,0)))))),0),0)+IF(AND(O191="FIRE TEX 5090",E191="CJ",J191=4),VLOOKUP(_xlfn.MINIFS('FIRE TEX 5090'!$Y$5:$Y$39,'FIRE TEX 5090'!$Y$5:$Y$39,"&gt;="&amp;M191),'FIRE TEX 5090'!$Y$5:$AD$39,IF(L191="F-15",2,IF(L191="F-30",3,IF(L191="F-60",4,IF(L191="F-90",5,IF(L191="F-120",6,IF(L191="F-150",7,0)))))),0),0)+IF(AND(O191="FIRE TEX 5120",OR(E191="IN",E191="C",E191="Z",E191="L"),J191=3),VLOOKUP(_xlfn.MINIFS('FIRE TEX 5120'!$B$5:$B$40,'FIRE TEX 5120'!$B$5:$B$40,"&gt;="&amp;M191),'FIRE TEX 5120'!$B$5:$G$40,IF(L191="F-15",2,IF(L191="F-30",3,IF(L191="F-60",4,IF(L191="F-90",5,IF(L191="F-120",6,0))))),0),0)+IF(AND(O191="FIRE TEX 5120",OR(E191="IN",E191="C",E191="Z",E191="L"),J191=4),VLOOKUP(_xlfn.MINIFS('FIRE TEX 5120'!$H$4:$H$40,'FIRE TEX 5120'!$H$4:$H$40,"&gt;="&amp;M191),'FIRE TEX 5120'!$H$4:$M$40,IF(L191="F-15",2,IF(L191="F-30",3,IF(L191="F-60",4,IF(L191="F-90",5,IF(L191="F-120",6,0))))),0),0)+IF(AND(O191="FIRE TEX 5120",E191="CJ"),VLOOKUP(_xlfn.MINIFS('FIRE TEX 5120'!$O$5:$O$40,'FIRE TEX 5120'!$O$5:$O$40,"&gt;="&amp;M191),'FIRE TEX 5120'!$O$5:$T$40,IF(L191="F-15",2,IF(L191="F-30",3,IF(L191="F-60",4,IF(L191="F-90",5,IF(L191="F-120",6,0))))),0),0)</f>
        <v>0</v>
      </c>
      <c r="Q191" s="46">
        <f t="shared" si="18"/>
        <v>0</v>
      </c>
      <c r="R191" s="46">
        <f t="shared" si="20"/>
        <v>0</v>
      </c>
      <c r="S191" s="46" t="e">
        <f t="shared" si="19"/>
        <v>#VALUE!</v>
      </c>
      <c r="T191" s="677">
        <f t="shared" si="21"/>
        <v>0</v>
      </c>
      <c r="U191" s="80">
        <f>(IF(O191="Stofire",(S191*#REF!),0))+(IF(O191="Fire Control",(S191*$U$2),0))+(IF(O191="Fire Tex",(S191*$U$3),0))+(IF(O191="WB7",(S191*#REF!),0)+(IF(O191="FX 2003",(S191*$U$5),0)))</f>
        <v>0</v>
      </c>
      <c r="V191" s="651">
        <f t="shared" si="25"/>
        <v>0</v>
      </c>
      <c r="W191" s="4"/>
    </row>
    <row r="192" spans="1:23" x14ac:dyDescent="0.25">
      <c r="A192" s="652" t="s">
        <v>425</v>
      </c>
      <c r="B192" s="653" t="s">
        <v>426</v>
      </c>
      <c r="C192" s="1" t="s">
        <v>427</v>
      </c>
      <c r="D192" s="118">
        <f>+CUBICACION!D191</f>
        <v>0</v>
      </c>
      <c r="E192" s="118">
        <f>+CUBICACION!F191</f>
        <v>0</v>
      </c>
      <c r="F192" s="118">
        <f>+CUBICACION!E191</f>
        <v>0</v>
      </c>
      <c r="G192" s="118">
        <v>12</v>
      </c>
      <c r="H192" s="118">
        <v>2</v>
      </c>
      <c r="I192" s="820">
        <v>26385</v>
      </c>
      <c r="J192" s="118">
        <f>+CUBICACION!J191</f>
        <v>0</v>
      </c>
      <c r="K192" s="118">
        <v>2971</v>
      </c>
      <c r="L192" s="118">
        <f>+CUBICACION!L191</f>
        <v>0</v>
      </c>
      <c r="M192" s="64">
        <f>+CUBICACION!M191</f>
        <v>0</v>
      </c>
      <c r="N192" s="824" t="str">
        <f>+CUBICACION!N191</f>
        <v/>
      </c>
      <c r="O192" s="675">
        <f>+CUBICACION!O191</f>
        <v>0</v>
      </c>
      <c r="P192" s="15">
        <f>IF(O192="Fire Control",VLOOKUP(_xlfn.MINIFS('FIRE CONTROL'!$C$4:$C$37,'FIRE CONTROL'!$C$4:$C$37,"&gt;="&amp;M192),'FIRE CONTROL'!$C$4:$G$37,IF(L192="F-15",2,IF(L192="F-30",3,IF(L192="F-60",4,IF(L192="F-90",5,0)))),0),0)+IF(AND(O192="FIRE TEX 5062",OR(E192="IN",E192="C",E192="Z",E192="L"),J192=3),VLOOKUP(_xlfn.MINIFS('FIRE TEX 5062'!$B$4:$B$34,'FIRE TEX 5062'!$B$4:$B$34,"&gt;="&amp;M192),'FIRE TEX 5062'!$B$4:$F$34,IF(L192="F-15",2,IF(L192="F-30",3,IF(L192="F-60",4,IF(L192="F-90",5,0)))),0),0)+IF(AND(O192="FIRE TEX 5062",OR(E192="IN",E192="C",E192="Z",E192="L"),J192=4),VLOOKUP(_xlfn.MINIFS('FIRE TEX 5062'!$G$4:$G$34,'FIRE TEX 5062'!$G$4:$G$34,"&gt;="&amp;M192),'FIRE TEX 5062'!$G$4:$K$34,IF(L192="F-15",2,IF(L192="F-30",3,IF(L192="F-60",4,IF(L192="F-90",5,0)))),0),0)+IF(AND(O192="FIRE TEX 5062",E192="CJ",J192=3),VLOOKUP(_xlfn.MINIFS('FIRE TEX 5062'!$L$4:$L$34,'FIRE TEX 5062'!$L$4:$L$34,"&gt;="&amp;M192),'FIRE TEX 5062'!$L$4:$P$34,IF(L192="F-15",2,IF(L192="F-30",3,IF(L192="F-60",4,IF(L192="F-90",5,0)))),0),0)+IF(AND(O192="FIRE TEX 5062",E192="CJ",J192=4),VLOOKUP(_xlfn.MINIFS('FIRE TEX 5062'!$Q$3:$Q$34,'FIRE TEX 5062'!$Q$3:$Q$34,"&gt;="&amp;M192),'FIRE TEX 5062'!$Q$3:$U$34,IF(L192="F-15",2,IF(L192="F-30",3,IF(L192="F-60",4,IF(L192="F-90",5,0)))),0),0)+IF(AND(O192="FIRE TEX 5090",OR(E192="IN",E192="C",E192="Z",E192="L"),J192=3),VLOOKUP(_xlfn.MINIFS('FIRE TEX 5090'!$B$5:$B$43,'FIRE TEX 5090'!$B$5:$B$43,"&gt;="&amp;M192),'FIRE TEX 5090'!$B$5:$H$43,IF(L192="F-15",2,IF(L192="F-30",3,IF(L192="F-60",4,IF(L192="F-90",5,IF(L192="F-120",6,IF(L192="F-150",7,0)))))),0),0)+IF(AND(O192="FIRE TEX 5090",OR(E192="IN",E192="C",E192="Z",E192="L"),J192=4),VLOOKUP(_xlfn.MINIFS('FIRE TEX 5090'!$J$5:$J$43,'FIRE TEX 5090'!$J$5:$J$43,"&gt;="&amp;M192),'FIRE TEX 5090'!$J$5:$P$43,IF(L192="F-15",2,IF(L192="F-30",3,IF(L192="F-60",4,IF(L192="F-90",5,IF(L192="F-120",6,IF(L192="F-150",7,0)))))),0),0)+IF(AND(O192="FIRE TEX 5090",E192="CJ",J192=3),VLOOKUP(_xlfn.MINIFS('FIRE TEX 5090'!$R$5:$R$30,'FIRE TEX 5090'!$R$5:$R$30,"&gt;="&amp;M192),'FIRE TEX 5090'!$R$5:$W$30,IF(L192="F-15",2,IF(L192="F-30",3,IF(L192="F-60",4,IF(L192="F-90",5,IF(L192="F-120",6,IF(L192="F-150",7,0)))))),0),0)+IF(AND(O192="FIRE TEX 5090",E192="CJ",J192=4),VLOOKUP(_xlfn.MINIFS('FIRE TEX 5090'!$Y$5:$Y$39,'FIRE TEX 5090'!$Y$5:$Y$39,"&gt;="&amp;M192),'FIRE TEX 5090'!$Y$5:$AD$39,IF(L192="F-15",2,IF(L192="F-30",3,IF(L192="F-60",4,IF(L192="F-90",5,IF(L192="F-120",6,IF(L192="F-150",7,0)))))),0),0)+IF(AND(O192="FIRE TEX 5120",OR(E192="IN",E192="C",E192="Z",E192="L"),J192=3),VLOOKUP(_xlfn.MINIFS('FIRE TEX 5120'!$B$5:$B$40,'FIRE TEX 5120'!$B$5:$B$40,"&gt;="&amp;M192),'FIRE TEX 5120'!$B$5:$G$40,IF(L192="F-15",2,IF(L192="F-30",3,IF(L192="F-60",4,IF(L192="F-90",5,IF(L192="F-120",6,0))))),0),0)+IF(AND(O192="FIRE TEX 5120",OR(E192="IN",E192="C",E192="Z",E192="L"),J192=4),VLOOKUP(_xlfn.MINIFS('FIRE TEX 5120'!$H$4:$H$40,'FIRE TEX 5120'!$H$4:$H$40,"&gt;="&amp;M192),'FIRE TEX 5120'!$H$4:$M$40,IF(L192="F-15",2,IF(L192="F-30",3,IF(L192="F-60",4,IF(L192="F-90",5,IF(L192="F-120",6,0))))),0),0)+IF(AND(O192="FIRE TEX 5120",E192="CJ"),VLOOKUP(_xlfn.MINIFS('FIRE TEX 5120'!$O$5:$O$40,'FIRE TEX 5120'!$O$5:$O$40,"&gt;="&amp;M192),'FIRE TEX 5120'!$O$5:$T$40,IF(L192="F-15",2,IF(L192="F-30",3,IF(L192="F-60",4,IF(L192="F-90",5,IF(L192="F-120",6,0))))),0),0)</f>
        <v>0</v>
      </c>
      <c r="Q192" s="46">
        <f t="shared" si="18"/>
        <v>0</v>
      </c>
      <c r="R192" s="46">
        <f t="shared" si="20"/>
        <v>0</v>
      </c>
      <c r="S192" s="46" t="e">
        <f t="shared" si="19"/>
        <v>#VALUE!</v>
      </c>
      <c r="T192" s="677">
        <f t="shared" si="21"/>
        <v>0</v>
      </c>
      <c r="U192" s="80">
        <f>(IF(O192="Stofire",(S192*#REF!),0))+(IF(O192="Fire Control",(S192*$U$2),0))+(IF(O192="Fire Tex",(S192*$U$3),0))+(IF(O192="WB7",(S192*#REF!),0)+(IF(O192="FX 2003",(S192*$U$5),0)))</f>
        <v>0</v>
      </c>
      <c r="V192" s="651">
        <f t="shared" si="25"/>
        <v>0</v>
      </c>
      <c r="W192" s="4"/>
    </row>
    <row r="193" spans="1:23" x14ac:dyDescent="0.25">
      <c r="A193" s="652" t="s">
        <v>429</v>
      </c>
      <c r="B193" s="653" t="s">
        <v>430</v>
      </c>
      <c r="C193" s="1" t="s">
        <v>431</v>
      </c>
      <c r="D193" s="118">
        <f>+CUBICACION!D192</f>
        <v>0</v>
      </c>
      <c r="E193" s="118">
        <f>+CUBICACION!F192</f>
        <v>0</v>
      </c>
      <c r="F193" s="118">
        <f>+CUBICACION!E192</f>
        <v>0</v>
      </c>
      <c r="G193" s="118">
        <v>12</v>
      </c>
      <c r="H193" s="118">
        <v>2</v>
      </c>
      <c r="I193" s="820">
        <v>26385</v>
      </c>
      <c r="J193" s="118">
        <f>+CUBICACION!J192</f>
        <v>0</v>
      </c>
      <c r="K193" s="118">
        <v>2972</v>
      </c>
      <c r="L193" s="118">
        <f>+CUBICACION!L192</f>
        <v>0</v>
      </c>
      <c r="M193" s="64">
        <f>+CUBICACION!M192</f>
        <v>0</v>
      </c>
      <c r="N193" s="824" t="str">
        <f>+CUBICACION!N192</f>
        <v/>
      </c>
      <c r="O193" s="675">
        <f>+CUBICACION!O192</f>
        <v>0</v>
      </c>
      <c r="P193" s="15">
        <f>IF(O193="Fire Control",VLOOKUP(_xlfn.MINIFS('FIRE CONTROL'!$C$4:$C$37,'FIRE CONTROL'!$C$4:$C$37,"&gt;="&amp;M193),'FIRE CONTROL'!$C$4:$G$37,IF(L193="F-15",2,IF(L193="F-30",3,IF(L193="F-60",4,IF(L193="F-90",5,0)))),0),0)+IF(AND(O193="FIRE TEX 5062",OR(E193="IN",E193="C",E193="Z",E193="L"),J193=3),VLOOKUP(_xlfn.MINIFS('FIRE TEX 5062'!$B$4:$B$34,'FIRE TEX 5062'!$B$4:$B$34,"&gt;="&amp;M193),'FIRE TEX 5062'!$B$4:$F$34,IF(L193="F-15",2,IF(L193="F-30",3,IF(L193="F-60",4,IF(L193="F-90",5,0)))),0),0)+IF(AND(O193="FIRE TEX 5062",OR(E193="IN",E193="C",E193="Z",E193="L"),J193=4),VLOOKUP(_xlfn.MINIFS('FIRE TEX 5062'!$G$4:$G$34,'FIRE TEX 5062'!$G$4:$G$34,"&gt;="&amp;M193),'FIRE TEX 5062'!$G$4:$K$34,IF(L193="F-15",2,IF(L193="F-30",3,IF(L193="F-60",4,IF(L193="F-90",5,0)))),0),0)+IF(AND(O193="FIRE TEX 5062",E193="CJ",J193=3),VLOOKUP(_xlfn.MINIFS('FIRE TEX 5062'!$L$4:$L$34,'FIRE TEX 5062'!$L$4:$L$34,"&gt;="&amp;M193),'FIRE TEX 5062'!$L$4:$P$34,IF(L193="F-15",2,IF(L193="F-30",3,IF(L193="F-60",4,IF(L193="F-90",5,0)))),0),0)+IF(AND(O193="FIRE TEX 5062",E193="CJ",J193=4),VLOOKUP(_xlfn.MINIFS('FIRE TEX 5062'!$Q$3:$Q$34,'FIRE TEX 5062'!$Q$3:$Q$34,"&gt;="&amp;M193),'FIRE TEX 5062'!$Q$3:$U$34,IF(L193="F-15",2,IF(L193="F-30",3,IF(L193="F-60",4,IF(L193="F-90",5,0)))),0),0)+IF(AND(O193="FIRE TEX 5090",OR(E193="IN",E193="C",E193="Z",E193="L"),J193=3),VLOOKUP(_xlfn.MINIFS('FIRE TEX 5090'!$B$5:$B$43,'FIRE TEX 5090'!$B$5:$B$43,"&gt;="&amp;M193),'FIRE TEX 5090'!$B$5:$H$43,IF(L193="F-15",2,IF(L193="F-30",3,IF(L193="F-60",4,IF(L193="F-90",5,IF(L193="F-120",6,IF(L193="F-150",7,0)))))),0),0)+IF(AND(O193="FIRE TEX 5090",OR(E193="IN",E193="C",E193="Z",E193="L"),J193=4),VLOOKUP(_xlfn.MINIFS('FIRE TEX 5090'!$J$5:$J$43,'FIRE TEX 5090'!$J$5:$J$43,"&gt;="&amp;M193),'FIRE TEX 5090'!$J$5:$P$43,IF(L193="F-15",2,IF(L193="F-30",3,IF(L193="F-60",4,IF(L193="F-90",5,IF(L193="F-120",6,IF(L193="F-150",7,0)))))),0),0)+IF(AND(O193="FIRE TEX 5090",E193="CJ",J193=3),VLOOKUP(_xlfn.MINIFS('FIRE TEX 5090'!$R$5:$R$30,'FIRE TEX 5090'!$R$5:$R$30,"&gt;="&amp;M193),'FIRE TEX 5090'!$R$5:$W$30,IF(L193="F-15",2,IF(L193="F-30",3,IF(L193="F-60",4,IF(L193="F-90",5,IF(L193="F-120",6,IF(L193="F-150",7,0)))))),0),0)+IF(AND(O193="FIRE TEX 5090",E193="CJ",J193=4),VLOOKUP(_xlfn.MINIFS('FIRE TEX 5090'!$Y$5:$Y$39,'FIRE TEX 5090'!$Y$5:$Y$39,"&gt;="&amp;M193),'FIRE TEX 5090'!$Y$5:$AD$39,IF(L193="F-15",2,IF(L193="F-30",3,IF(L193="F-60",4,IF(L193="F-90",5,IF(L193="F-120",6,IF(L193="F-150",7,0)))))),0),0)+IF(AND(O193="FIRE TEX 5120",OR(E193="IN",E193="C",E193="Z",E193="L"),J193=3),VLOOKUP(_xlfn.MINIFS('FIRE TEX 5120'!$B$5:$B$40,'FIRE TEX 5120'!$B$5:$B$40,"&gt;="&amp;M193),'FIRE TEX 5120'!$B$5:$G$40,IF(L193="F-15",2,IF(L193="F-30",3,IF(L193="F-60",4,IF(L193="F-90",5,IF(L193="F-120",6,0))))),0),0)+IF(AND(O193="FIRE TEX 5120",OR(E193="IN",E193="C",E193="Z",E193="L"),J193=4),VLOOKUP(_xlfn.MINIFS('FIRE TEX 5120'!$H$4:$H$40,'FIRE TEX 5120'!$H$4:$H$40,"&gt;="&amp;M193),'FIRE TEX 5120'!$H$4:$M$40,IF(L193="F-15",2,IF(L193="F-30",3,IF(L193="F-60",4,IF(L193="F-90",5,IF(L193="F-120",6,0))))),0),0)+IF(AND(O193="FIRE TEX 5120",E193="CJ"),VLOOKUP(_xlfn.MINIFS('FIRE TEX 5120'!$O$5:$O$40,'FIRE TEX 5120'!$O$5:$O$40,"&gt;="&amp;M193),'FIRE TEX 5120'!$O$5:$T$40,IF(L193="F-15",2,IF(L193="F-30",3,IF(L193="F-60",4,IF(L193="F-90",5,IF(L193="F-120",6,0))))),0),0)</f>
        <v>0</v>
      </c>
      <c r="Q193" s="46">
        <f t="shared" si="18"/>
        <v>0</v>
      </c>
      <c r="R193" s="46">
        <f t="shared" si="20"/>
        <v>0</v>
      </c>
      <c r="S193" s="46" t="e">
        <f t="shared" si="19"/>
        <v>#VALUE!</v>
      </c>
      <c r="T193" s="677">
        <f t="shared" si="21"/>
        <v>0</v>
      </c>
      <c r="U193" s="80">
        <f>(IF(O193="Stofire",(S193*#REF!),0))+(IF(O193="Fire Control",(S193*$U$2),0))+(IF(O193="Fire Tex",(S193*$U$3),0))+(IF(O193="WB7",(S193*#REF!),0)+(IF(O193="FX 2003",(S193*$U$5),0)))</f>
        <v>0</v>
      </c>
      <c r="V193" s="651">
        <f t="shared" si="25"/>
        <v>0</v>
      </c>
      <c r="W193" s="4"/>
    </row>
    <row r="194" spans="1:23" x14ac:dyDescent="0.25">
      <c r="A194" s="652" t="s">
        <v>429</v>
      </c>
      <c r="B194" s="653" t="s">
        <v>430</v>
      </c>
      <c r="C194" s="1" t="s">
        <v>433</v>
      </c>
      <c r="D194" s="118">
        <f>+CUBICACION!D193</f>
        <v>0</v>
      </c>
      <c r="E194" s="118">
        <f>+CUBICACION!F193</f>
        <v>0</v>
      </c>
      <c r="F194" s="118">
        <f>+CUBICACION!E193</f>
        <v>0</v>
      </c>
      <c r="G194" s="118">
        <v>12</v>
      </c>
      <c r="H194" s="118">
        <v>2</v>
      </c>
      <c r="I194" s="820">
        <v>26385</v>
      </c>
      <c r="J194" s="118">
        <f>+CUBICACION!J193</f>
        <v>0</v>
      </c>
      <c r="K194" s="118">
        <v>2973</v>
      </c>
      <c r="L194" s="118">
        <f>+CUBICACION!L193</f>
        <v>0</v>
      </c>
      <c r="M194" s="64">
        <f>+CUBICACION!M193</f>
        <v>0</v>
      </c>
      <c r="N194" s="824" t="str">
        <f>+CUBICACION!N193</f>
        <v/>
      </c>
      <c r="O194" s="675">
        <f>+CUBICACION!O193</f>
        <v>0</v>
      </c>
      <c r="P194" s="15">
        <f>IF(O194="Fire Control",VLOOKUP(_xlfn.MINIFS('FIRE CONTROL'!$C$4:$C$37,'FIRE CONTROL'!$C$4:$C$37,"&gt;="&amp;M194),'FIRE CONTROL'!$C$4:$G$37,IF(L194="F-15",2,IF(L194="F-30",3,IF(L194="F-60",4,IF(L194="F-90",5,0)))),0),0)+IF(AND(O194="FIRE TEX 5062",OR(E194="IN",E194="C",E194="Z",E194="L"),J194=3),VLOOKUP(_xlfn.MINIFS('FIRE TEX 5062'!$B$4:$B$34,'FIRE TEX 5062'!$B$4:$B$34,"&gt;="&amp;M194),'FIRE TEX 5062'!$B$4:$F$34,IF(L194="F-15",2,IF(L194="F-30",3,IF(L194="F-60",4,IF(L194="F-90",5,0)))),0),0)+IF(AND(O194="FIRE TEX 5062",OR(E194="IN",E194="C",E194="Z",E194="L"),J194=4),VLOOKUP(_xlfn.MINIFS('FIRE TEX 5062'!$G$4:$G$34,'FIRE TEX 5062'!$G$4:$G$34,"&gt;="&amp;M194),'FIRE TEX 5062'!$G$4:$K$34,IF(L194="F-15",2,IF(L194="F-30",3,IF(L194="F-60",4,IF(L194="F-90",5,0)))),0),0)+IF(AND(O194="FIRE TEX 5062",E194="CJ",J194=3),VLOOKUP(_xlfn.MINIFS('FIRE TEX 5062'!$L$4:$L$34,'FIRE TEX 5062'!$L$4:$L$34,"&gt;="&amp;M194),'FIRE TEX 5062'!$L$4:$P$34,IF(L194="F-15",2,IF(L194="F-30",3,IF(L194="F-60",4,IF(L194="F-90",5,0)))),0),0)+IF(AND(O194="FIRE TEX 5062",E194="CJ",J194=4),VLOOKUP(_xlfn.MINIFS('FIRE TEX 5062'!$Q$3:$Q$34,'FIRE TEX 5062'!$Q$3:$Q$34,"&gt;="&amp;M194),'FIRE TEX 5062'!$Q$3:$U$34,IF(L194="F-15",2,IF(L194="F-30",3,IF(L194="F-60",4,IF(L194="F-90",5,0)))),0),0)+IF(AND(O194="FIRE TEX 5090",OR(E194="IN",E194="C",E194="Z",E194="L"),J194=3),VLOOKUP(_xlfn.MINIFS('FIRE TEX 5090'!$B$5:$B$43,'FIRE TEX 5090'!$B$5:$B$43,"&gt;="&amp;M194),'FIRE TEX 5090'!$B$5:$H$43,IF(L194="F-15",2,IF(L194="F-30",3,IF(L194="F-60",4,IF(L194="F-90",5,IF(L194="F-120",6,IF(L194="F-150",7,0)))))),0),0)+IF(AND(O194="FIRE TEX 5090",OR(E194="IN",E194="C",E194="Z",E194="L"),J194=4),VLOOKUP(_xlfn.MINIFS('FIRE TEX 5090'!$J$5:$J$43,'FIRE TEX 5090'!$J$5:$J$43,"&gt;="&amp;M194),'FIRE TEX 5090'!$J$5:$P$43,IF(L194="F-15",2,IF(L194="F-30",3,IF(L194="F-60",4,IF(L194="F-90",5,IF(L194="F-120",6,IF(L194="F-150",7,0)))))),0),0)+IF(AND(O194="FIRE TEX 5090",E194="CJ",J194=3),VLOOKUP(_xlfn.MINIFS('FIRE TEX 5090'!$R$5:$R$30,'FIRE TEX 5090'!$R$5:$R$30,"&gt;="&amp;M194),'FIRE TEX 5090'!$R$5:$W$30,IF(L194="F-15",2,IF(L194="F-30",3,IF(L194="F-60",4,IF(L194="F-90",5,IF(L194="F-120",6,IF(L194="F-150",7,0)))))),0),0)+IF(AND(O194="FIRE TEX 5090",E194="CJ",J194=4),VLOOKUP(_xlfn.MINIFS('FIRE TEX 5090'!$Y$5:$Y$39,'FIRE TEX 5090'!$Y$5:$Y$39,"&gt;="&amp;M194),'FIRE TEX 5090'!$Y$5:$AD$39,IF(L194="F-15",2,IF(L194="F-30",3,IF(L194="F-60",4,IF(L194="F-90",5,IF(L194="F-120",6,IF(L194="F-150",7,0)))))),0),0)+IF(AND(O194="FIRE TEX 5120",OR(E194="IN",E194="C",E194="Z",E194="L"),J194=3),VLOOKUP(_xlfn.MINIFS('FIRE TEX 5120'!$B$5:$B$40,'FIRE TEX 5120'!$B$5:$B$40,"&gt;="&amp;M194),'FIRE TEX 5120'!$B$5:$G$40,IF(L194="F-15",2,IF(L194="F-30",3,IF(L194="F-60",4,IF(L194="F-90",5,IF(L194="F-120",6,0))))),0),0)+IF(AND(O194="FIRE TEX 5120",OR(E194="IN",E194="C",E194="Z",E194="L"),J194=4),VLOOKUP(_xlfn.MINIFS('FIRE TEX 5120'!$H$4:$H$40,'FIRE TEX 5120'!$H$4:$H$40,"&gt;="&amp;M194),'FIRE TEX 5120'!$H$4:$M$40,IF(L194="F-15",2,IF(L194="F-30",3,IF(L194="F-60",4,IF(L194="F-90",5,IF(L194="F-120",6,0))))),0),0)+IF(AND(O194="FIRE TEX 5120",E194="CJ"),VLOOKUP(_xlfn.MINIFS('FIRE TEX 5120'!$O$5:$O$40,'FIRE TEX 5120'!$O$5:$O$40,"&gt;="&amp;M194),'FIRE TEX 5120'!$O$5:$T$40,IF(L194="F-15",2,IF(L194="F-30",3,IF(L194="F-60",4,IF(L194="F-90",5,IF(L194="F-120",6,0))))),0),0)</f>
        <v>0</v>
      </c>
      <c r="Q194" s="46">
        <f t="shared" si="18"/>
        <v>0</v>
      </c>
      <c r="R194" s="46">
        <f t="shared" si="20"/>
        <v>0</v>
      </c>
      <c r="S194" s="46" t="e">
        <f t="shared" si="19"/>
        <v>#VALUE!</v>
      </c>
      <c r="T194" s="677">
        <f t="shared" si="21"/>
        <v>0</v>
      </c>
      <c r="U194" s="80">
        <f>(IF(O194="Stofire",(S194*#REF!),0))+(IF(O194="Fire Control",(S194*$U$2),0))+(IF(O194="Fire Tex",(S194*$U$3),0))+(IF(O194="WB7",(S194*#REF!),0)+(IF(O194="FX 2003",(S194*$U$5),0)))</f>
        <v>0</v>
      </c>
      <c r="V194" s="651">
        <f t="shared" si="25"/>
        <v>0</v>
      </c>
      <c r="W194" s="4"/>
    </row>
    <row r="195" spans="1:23" x14ac:dyDescent="0.25">
      <c r="A195" s="652" t="s">
        <v>429</v>
      </c>
      <c r="B195" s="653" t="s">
        <v>430</v>
      </c>
      <c r="C195" s="1" t="s">
        <v>435</v>
      </c>
      <c r="D195" s="118">
        <f>+CUBICACION!D194</f>
        <v>0</v>
      </c>
      <c r="E195" s="118">
        <f>+CUBICACION!F194</f>
        <v>0</v>
      </c>
      <c r="F195" s="118">
        <f>+CUBICACION!E194</f>
        <v>0</v>
      </c>
      <c r="G195" s="118">
        <v>12</v>
      </c>
      <c r="H195" s="118">
        <v>2</v>
      </c>
      <c r="I195" s="820">
        <v>26385</v>
      </c>
      <c r="J195" s="118">
        <f>+CUBICACION!J194</f>
        <v>0</v>
      </c>
      <c r="K195" s="118">
        <v>2974</v>
      </c>
      <c r="L195" s="118">
        <f>+CUBICACION!L194</f>
        <v>0</v>
      </c>
      <c r="M195" s="64">
        <f>+CUBICACION!M194</f>
        <v>0</v>
      </c>
      <c r="N195" s="824" t="str">
        <f>+CUBICACION!N194</f>
        <v/>
      </c>
      <c r="O195" s="675">
        <f>+CUBICACION!O194</f>
        <v>0</v>
      </c>
      <c r="P195" s="15">
        <f>IF(O195="Fire Control",VLOOKUP(_xlfn.MINIFS('FIRE CONTROL'!$C$4:$C$37,'FIRE CONTROL'!$C$4:$C$37,"&gt;="&amp;M195),'FIRE CONTROL'!$C$4:$G$37,IF(L195="F-15",2,IF(L195="F-30",3,IF(L195="F-60",4,IF(L195="F-90",5,0)))),0),0)+IF(AND(O195="FIRE TEX 5062",OR(E195="IN",E195="C",E195="Z",E195="L"),J195=3),VLOOKUP(_xlfn.MINIFS('FIRE TEX 5062'!$B$4:$B$34,'FIRE TEX 5062'!$B$4:$B$34,"&gt;="&amp;M195),'FIRE TEX 5062'!$B$4:$F$34,IF(L195="F-15",2,IF(L195="F-30",3,IF(L195="F-60",4,IF(L195="F-90",5,0)))),0),0)+IF(AND(O195="FIRE TEX 5062",OR(E195="IN",E195="C",E195="Z",E195="L"),J195=4),VLOOKUP(_xlfn.MINIFS('FIRE TEX 5062'!$G$4:$G$34,'FIRE TEX 5062'!$G$4:$G$34,"&gt;="&amp;M195),'FIRE TEX 5062'!$G$4:$K$34,IF(L195="F-15",2,IF(L195="F-30",3,IF(L195="F-60",4,IF(L195="F-90",5,0)))),0),0)+IF(AND(O195="FIRE TEX 5062",E195="CJ",J195=3),VLOOKUP(_xlfn.MINIFS('FIRE TEX 5062'!$L$4:$L$34,'FIRE TEX 5062'!$L$4:$L$34,"&gt;="&amp;M195),'FIRE TEX 5062'!$L$4:$P$34,IF(L195="F-15",2,IF(L195="F-30",3,IF(L195="F-60",4,IF(L195="F-90",5,0)))),0),0)+IF(AND(O195="FIRE TEX 5062",E195="CJ",J195=4),VLOOKUP(_xlfn.MINIFS('FIRE TEX 5062'!$Q$3:$Q$34,'FIRE TEX 5062'!$Q$3:$Q$34,"&gt;="&amp;M195),'FIRE TEX 5062'!$Q$3:$U$34,IF(L195="F-15",2,IF(L195="F-30",3,IF(L195="F-60",4,IF(L195="F-90",5,0)))),0),0)+IF(AND(O195="FIRE TEX 5090",OR(E195="IN",E195="C",E195="Z",E195="L"),J195=3),VLOOKUP(_xlfn.MINIFS('FIRE TEX 5090'!$B$5:$B$43,'FIRE TEX 5090'!$B$5:$B$43,"&gt;="&amp;M195),'FIRE TEX 5090'!$B$5:$H$43,IF(L195="F-15",2,IF(L195="F-30",3,IF(L195="F-60",4,IF(L195="F-90",5,IF(L195="F-120",6,IF(L195="F-150",7,0)))))),0),0)+IF(AND(O195="FIRE TEX 5090",OR(E195="IN",E195="C",E195="Z",E195="L"),J195=4),VLOOKUP(_xlfn.MINIFS('FIRE TEX 5090'!$J$5:$J$43,'FIRE TEX 5090'!$J$5:$J$43,"&gt;="&amp;M195),'FIRE TEX 5090'!$J$5:$P$43,IF(L195="F-15",2,IF(L195="F-30",3,IF(L195="F-60",4,IF(L195="F-90",5,IF(L195="F-120",6,IF(L195="F-150",7,0)))))),0),0)+IF(AND(O195="FIRE TEX 5090",E195="CJ",J195=3),VLOOKUP(_xlfn.MINIFS('FIRE TEX 5090'!$R$5:$R$30,'FIRE TEX 5090'!$R$5:$R$30,"&gt;="&amp;M195),'FIRE TEX 5090'!$R$5:$W$30,IF(L195="F-15",2,IF(L195="F-30",3,IF(L195="F-60",4,IF(L195="F-90",5,IF(L195="F-120",6,IF(L195="F-150",7,0)))))),0),0)+IF(AND(O195="FIRE TEX 5090",E195="CJ",J195=4),VLOOKUP(_xlfn.MINIFS('FIRE TEX 5090'!$Y$5:$Y$39,'FIRE TEX 5090'!$Y$5:$Y$39,"&gt;="&amp;M195),'FIRE TEX 5090'!$Y$5:$AD$39,IF(L195="F-15",2,IF(L195="F-30",3,IF(L195="F-60",4,IF(L195="F-90",5,IF(L195="F-120",6,IF(L195="F-150",7,0)))))),0),0)+IF(AND(O195="FIRE TEX 5120",OR(E195="IN",E195="C",E195="Z",E195="L"),J195=3),VLOOKUP(_xlfn.MINIFS('FIRE TEX 5120'!$B$5:$B$40,'FIRE TEX 5120'!$B$5:$B$40,"&gt;="&amp;M195),'FIRE TEX 5120'!$B$5:$G$40,IF(L195="F-15",2,IF(L195="F-30",3,IF(L195="F-60",4,IF(L195="F-90",5,IF(L195="F-120",6,0))))),0),0)+IF(AND(O195="FIRE TEX 5120",OR(E195="IN",E195="C",E195="Z",E195="L"),J195=4),VLOOKUP(_xlfn.MINIFS('FIRE TEX 5120'!$H$4:$H$40,'FIRE TEX 5120'!$H$4:$H$40,"&gt;="&amp;M195),'FIRE TEX 5120'!$H$4:$M$40,IF(L195="F-15",2,IF(L195="F-30",3,IF(L195="F-60",4,IF(L195="F-90",5,IF(L195="F-120",6,0))))),0),0)+IF(AND(O195="FIRE TEX 5120",E195="CJ"),VLOOKUP(_xlfn.MINIFS('FIRE TEX 5120'!$O$5:$O$40,'FIRE TEX 5120'!$O$5:$O$40,"&gt;="&amp;M195),'FIRE TEX 5120'!$O$5:$T$40,IF(L195="F-15",2,IF(L195="F-30",3,IF(L195="F-60",4,IF(L195="F-90",5,IF(L195="F-120",6,0))))),0),0)</f>
        <v>0</v>
      </c>
      <c r="Q195" s="46">
        <f t="shared" si="18"/>
        <v>0</v>
      </c>
      <c r="R195" s="46">
        <f t="shared" si="20"/>
        <v>0</v>
      </c>
      <c r="S195" s="46" t="e">
        <f t="shared" si="19"/>
        <v>#VALUE!</v>
      </c>
      <c r="T195" s="677">
        <f t="shared" si="21"/>
        <v>0</v>
      </c>
      <c r="U195" s="80">
        <f>(IF(O195="Stofire",(S195*#REF!),0))+(IF(O195="Fire Control",(S195*$U$2),0))+(IF(O195="Fire Tex",(S195*$U$3),0))+(IF(O195="WB7",(S195*#REF!),0)+(IF(O195="FX 2003",(S195*$U$5),0)))</f>
        <v>0</v>
      </c>
      <c r="V195" s="651">
        <f t="shared" si="25"/>
        <v>0</v>
      </c>
      <c r="W195" s="4"/>
    </row>
    <row r="196" spans="1:23" x14ac:dyDescent="0.25">
      <c r="A196" s="652" t="s">
        <v>429</v>
      </c>
      <c r="B196" s="653" t="s">
        <v>430</v>
      </c>
      <c r="C196" s="1" t="s">
        <v>437</v>
      </c>
      <c r="D196" s="118">
        <f>+CUBICACION!D195</f>
        <v>0</v>
      </c>
      <c r="E196" s="118">
        <f>+CUBICACION!F195</f>
        <v>0</v>
      </c>
      <c r="F196" s="118">
        <f>+CUBICACION!E195</f>
        <v>0</v>
      </c>
      <c r="G196" s="118">
        <v>12</v>
      </c>
      <c r="H196" s="118">
        <v>2</v>
      </c>
      <c r="I196" s="820">
        <v>26385</v>
      </c>
      <c r="J196" s="118">
        <f>+CUBICACION!J195</f>
        <v>0</v>
      </c>
      <c r="K196" s="118">
        <v>2975</v>
      </c>
      <c r="L196" s="118">
        <f>+CUBICACION!L195</f>
        <v>0</v>
      </c>
      <c r="M196" s="64">
        <f>+CUBICACION!M195</f>
        <v>0</v>
      </c>
      <c r="N196" s="824" t="str">
        <f>+CUBICACION!N195</f>
        <v/>
      </c>
      <c r="O196" s="675">
        <f>+CUBICACION!O195</f>
        <v>0</v>
      </c>
      <c r="P196" s="15">
        <f>IF(O196="Fire Control",VLOOKUP(_xlfn.MINIFS('FIRE CONTROL'!$C$4:$C$37,'FIRE CONTROL'!$C$4:$C$37,"&gt;="&amp;M196),'FIRE CONTROL'!$C$4:$G$37,IF(L196="F-15",2,IF(L196="F-30",3,IF(L196="F-60",4,IF(L196="F-90",5,0)))),0),0)+IF(AND(O196="FIRE TEX 5062",OR(E196="IN",E196="C",E196="Z",E196="L"),J196=3),VLOOKUP(_xlfn.MINIFS('FIRE TEX 5062'!$B$4:$B$34,'FIRE TEX 5062'!$B$4:$B$34,"&gt;="&amp;M196),'FIRE TEX 5062'!$B$4:$F$34,IF(L196="F-15",2,IF(L196="F-30",3,IF(L196="F-60",4,IF(L196="F-90",5,0)))),0),0)+IF(AND(O196="FIRE TEX 5062",OR(E196="IN",E196="C",E196="Z",E196="L"),J196=4),VLOOKUP(_xlfn.MINIFS('FIRE TEX 5062'!$G$4:$G$34,'FIRE TEX 5062'!$G$4:$G$34,"&gt;="&amp;M196),'FIRE TEX 5062'!$G$4:$K$34,IF(L196="F-15",2,IF(L196="F-30",3,IF(L196="F-60",4,IF(L196="F-90",5,0)))),0),0)+IF(AND(O196="FIRE TEX 5062",E196="CJ",J196=3),VLOOKUP(_xlfn.MINIFS('FIRE TEX 5062'!$L$4:$L$34,'FIRE TEX 5062'!$L$4:$L$34,"&gt;="&amp;M196),'FIRE TEX 5062'!$L$4:$P$34,IF(L196="F-15",2,IF(L196="F-30",3,IF(L196="F-60",4,IF(L196="F-90",5,0)))),0),0)+IF(AND(O196="FIRE TEX 5062",E196="CJ",J196=4),VLOOKUP(_xlfn.MINIFS('FIRE TEX 5062'!$Q$3:$Q$34,'FIRE TEX 5062'!$Q$3:$Q$34,"&gt;="&amp;M196),'FIRE TEX 5062'!$Q$3:$U$34,IF(L196="F-15",2,IF(L196="F-30",3,IF(L196="F-60",4,IF(L196="F-90",5,0)))),0),0)+IF(AND(O196="FIRE TEX 5090",OR(E196="IN",E196="C",E196="Z",E196="L"),J196=3),VLOOKUP(_xlfn.MINIFS('FIRE TEX 5090'!$B$5:$B$43,'FIRE TEX 5090'!$B$5:$B$43,"&gt;="&amp;M196),'FIRE TEX 5090'!$B$5:$H$43,IF(L196="F-15",2,IF(L196="F-30",3,IF(L196="F-60",4,IF(L196="F-90",5,IF(L196="F-120",6,IF(L196="F-150",7,0)))))),0),0)+IF(AND(O196="FIRE TEX 5090",OR(E196="IN",E196="C",E196="Z",E196="L"),J196=4),VLOOKUP(_xlfn.MINIFS('FIRE TEX 5090'!$J$5:$J$43,'FIRE TEX 5090'!$J$5:$J$43,"&gt;="&amp;M196),'FIRE TEX 5090'!$J$5:$P$43,IF(L196="F-15",2,IF(L196="F-30",3,IF(L196="F-60",4,IF(L196="F-90",5,IF(L196="F-120",6,IF(L196="F-150",7,0)))))),0),0)+IF(AND(O196="FIRE TEX 5090",E196="CJ",J196=3),VLOOKUP(_xlfn.MINIFS('FIRE TEX 5090'!$R$5:$R$30,'FIRE TEX 5090'!$R$5:$R$30,"&gt;="&amp;M196),'FIRE TEX 5090'!$R$5:$W$30,IF(L196="F-15",2,IF(L196="F-30",3,IF(L196="F-60",4,IF(L196="F-90",5,IF(L196="F-120",6,IF(L196="F-150",7,0)))))),0),0)+IF(AND(O196="FIRE TEX 5090",E196="CJ",J196=4),VLOOKUP(_xlfn.MINIFS('FIRE TEX 5090'!$Y$5:$Y$39,'FIRE TEX 5090'!$Y$5:$Y$39,"&gt;="&amp;M196),'FIRE TEX 5090'!$Y$5:$AD$39,IF(L196="F-15",2,IF(L196="F-30",3,IF(L196="F-60",4,IF(L196="F-90",5,IF(L196="F-120",6,IF(L196="F-150",7,0)))))),0),0)+IF(AND(O196="FIRE TEX 5120",OR(E196="IN",E196="C",E196="Z",E196="L"),J196=3),VLOOKUP(_xlfn.MINIFS('FIRE TEX 5120'!$B$5:$B$40,'FIRE TEX 5120'!$B$5:$B$40,"&gt;="&amp;M196),'FIRE TEX 5120'!$B$5:$G$40,IF(L196="F-15",2,IF(L196="F-30",3,IF(L196="F-60",4,IF(L196="F-90",5,IF(L196="F-120",6,0))))),0),0)+IF(AND(O196="FIRE TEX 5120",OR(E196="IN",E196="C",E196="Z",E196="L"),J196=4),VLOOKUP(_xlfn.MINIFS('FIRE TEX 5120'!$H$4:$H$40,'FIRE TEX 5120'!$H$4:$H$40,"&gt;="&amp;M196),'FIRE TEX 5120'!$H$4:$M$40,IF(L196="F-15",2,IF(L196="F-30",3,IF(L196="F-60",4,IF(L196="F-90",5,IF(L196="F-120",6,0))))),0),0)+IF(AND(O196="FIRE TEX 5120",E196="CJ"),VLOOKUP(_xlfn.MINIFS('FIRE TEX 5120'!$O$5:$O$40,'FIRE TEX 5120'!$O$5:$O$40,"&gt;="&amp;M196),'FIRE TEX 5120'!$O$5:$T$40,IF(L196="F-15",2,IF(L196="F-30",3,IF(L196="F-60",4,IF(L196="F-90",5,IF(L196="F-120",6,0))))),0),0)</f>
        <v>0</v>
      </c>
      <c r="Q196" s="46">
        <f t="shared" si="18"/>
        <v>0</v>
      </c>
      <c r="R196" s="46">
        <f t="shared" si="20"/>
        <v>0</v>
      </c>
      <c r="S196" s="46" t="e">
        <f t="shared" si="19"/>
        <v>#VALUE!</v>
      </c>
      <c r="T196" s="677">
        <f t="shared" si="21"/>
        <v>0</v>
      </c>
      <c r="U196" s="80">
        <f>(IF(O196="Stofire",(S196*#REF!),0))+(IF(O196="Fire Control",(S196*$U$2),0))+(IF(O196="Fire Tex",(S196*$U$3),0))+(IF(O196="WB7",(S196*#REF!),0)+(IF(O196="FX 2003",(S196*$U$5),0)))</f>
        <v>0</v>
      </c>
      <c r="V196" s="651">
        <f t="shared" si="25"/>
        <v>0</v>
      </c>
      <c r="W196" s="4"/>
    </row>
    <row r="197" spans="1:23" x14ac:dyDescent="0.25">
      <c r="A197" s="652" t="s">
        <v>439</v>
      </c>
      <c r="B197" s="653" t="s">
        <v>430</v>
      </c>
      <c r="C197" s="1" t="s">
        <v>431</v>
      </c>
      <c r="D197" s="118">
        <f>+CUBICACION!D196</f>
        <v>0</v>
      </c>
      <c r="E197" s="118">
        <f>+CUBICACION!F196</f>
        <v>0</v>
      </c>
      <c r="F197" s="118">
        <f>+CUBICACION!E196</f>
        <v>0</v>
      </c>
      <c r="G197" s="118">
        <v>12</v>
      </c>
      <c r="H197" s="118">
        <v>2</v>
      </c>
      <c r="I197" s="820">
        <v>26385</v>
      </c>
      <c r="J197" s="118">
        <f>+CUBICACION!J196</f>
        <v>0</v>
      </c>
      <c r="K197" s="118">
        <v>2976</v>
      </c>
      <c r="L197" s="118">
        <f>+CUBICACION!L196</f>
        <v>0</v>
      </c>
      <c r="M197" s="64">
        <f>+CUBICACION!M196</f>
        <v>0</v>
      </c>
      <c r="N197" s="824" t="str">
        <f>+CUBICACION!N196</f>
        <v/>
      </c>
      <c r="O197" s="675">
        <f>+CUBICACION!O196</f>
        <v>0</v>
      </c>
      <c r="P197" s="15">
        <f>IF(O197="Fire Control",VLOOKUP(_xlfn.MINIFS('FIRE CONTROL'!$C$4:$C$37,'FIRE CONTROL'!$C$4:$C$37,"&gt;="&amp;M197),'FIRE CONTROL'!$C$4:$G$37,IF(L197="F-15",2,IF(L197="F-30",3,IF(L197="F-60",4,IF(L197="F-90",5,0)))),0),0)+IF(AND(O197="FIRE TEX 5062",OR(E197="IN",E197="C",E197="Z",E197="L"),J197=3),VLOOKUP(_xlfn.MINIFS('FIRE TEX 5062'!$B$4:$B$34,'FIRE TEX 5062'!$B$4:$B$34,"&gt;="&amp;M197),'FIRE TEX 5062'!$B$4:$F$34,IF(L197="F-15",2,IF(L197="F-30",3,IF(L197="F-60",4,IF(L197="F-90",5,0)))),0),0)+IF(AND(O197="FIRE TEX 5062",OR(E197="IN",E197="C",E197="Z",E197="L"),J197=4),VLOOKUP(_xlfn.MINIFS('FIRE TEX 5062'!$G$4:$G$34,'FIRE TEX 5062'!$G$4:$G$34,"&gt;="&amp;M197),'FIRE TEX 5062'!$G$4:$K$34,IF(L197="F-15",2,IF(L197="F-30",3,IF(L197="F-60",4,IF(L197="F-90",5,0)))),0),0)+IF(AND(O197="FIRE TEX 5062",E197="CJ",J197=3),VLOOKUP(_xlfn.MINIFS('FIRE TEX 5062'!$L$4:$L$34,'FIRE TEX 5062'!$L$4:$L$34,"&gt;="&amp;M197),'FIRE TEX 5062'!$L$4:$P$34,IF(L197="F-15",2,IF(L197="F-30",3,IF(L197="F-60",4,IF(L197="F-90",5,0)))),0),0)+IF(AND(O197="FIRE TEX 5062",E197="CJ",J197=4),VLOOKUP(_xlfn.MINIFS('FIRE TEX 5062'!$Q$3:$Q$34,'FIRE TEX 5062'!$Q$3:$Q$34,"&gt;="&amp;M197),'FIRE TEX 5062'!$Q$3:$U$34,IF(L197="F-15",2,IF(L197="F-30",3,IF(L197="F-60",4,IF(L197="F-90",5,0)))),0),0)+IF(AND(O197="FIRE TEX 5090",OR(E197="IN",E197="C",E197="Z",E197="L"),J197=3),VLOOKUP(_xlfn.MINIFS('FIRE TEX 5090'!$B$5:$B$43,'FIRE TEX 5090'!$B$5:$B$43,"&gt;="&amp;M197),'FIRE TEX 5090'!$B$5:$H$43,IF(L197="F-15",2,IF(L197="F-30",3,IF(L197="F-60",4,IF(L197="F-90",5,IF(L197="F-120",6,IF(L197="F-150",7,0)))))),0),0)+IF(AND(O197="FIRE TEX 5090",OR(E197="IN",E197="C",E197="Z",E197="L"),J197=4),VLOOKUP(_xlfn.MINIFS('FIRE TEX 5090'!$J$5:$J$43,'FIRE TEX 5090'!$J$5:$J$43,"&gt;="&amp;M197),'FIRE TEX 5090'!$J$5:$P$43,IF(L197="F-15",2,IF(L197="F-30",3,IF(L197="F-60",4,IF(L197="F-90",5,IF(L197="F-120",6,IF(L197="F-150",7,0)))))),0),0)+IF(AND(O197="FIRE TEX 5090",E197="CJ",J197=3),VLOOKUP(_xlfn.MINIFS('FIRE TEX 5090'!$R$5:$R$30,'FIRE TEX 5090'!$R$5:$R$30,"&gt;="&amp;M197),'FIRE TEX 5090'!$R$5:$W$30,IF(L197="F-15",2,IF(L197="F-30",3,IF(L197="F-60",4,IF(L197="F-90",5,IF(L197="F-120",6,IF(L197="F-150",7,0)))))),0),0)+IF(AND(O197="FIRE TEX 5090",E197="CJ",J197=4),VLOOKUP(_xlfn.MINIFS('FIRE TEX 5090'!$Y$5:$Y$39,'FIRE TEX 5090'!$Y$5:$Y$39,"&gt;="&amp;M197),'FIRE TEX 5090'!$Y$5:$AD$39,IF(L197="F-15",2,IF(L197="F-30",3,IF(L197="F-60",4,IF(L197="F-90",5,IF(L197="F-120",6,IF(L197="F-150",7,0)))))),0),0)+IF(AND(O197="FIRE TEX 5120",OR(E197="IN",E197="C",E197="Z",E197="L"),J197=3),VLOOKUP(_xlfn.MINIFS('FIRE TEX 5120'!$B$5:$B$40,'FIRE TEX 5120'!$B$5:$B$40,"&gt;="&amp;M197),'FIRE TEX 5120'!$B$5:$G$40,IF(L197="F-15",2,IF(L197="F-30",3,IF(L197="F-60",4,IF(L197="F-90",5,IF(L197="F-120",6,0))))),0),0)+IF(AND(O197="FIRE TEX 5120",OR(E197="IN",E197="C",E197="Z",E197="L"),J197=4),VLOOKUP(_xlfn.MINIFS('FIRE TEX 5120'!$H$4:$H$40,'FIRE TEX 5120'!$H$4:$H$40,"&gt;="&amp;M197),'FIRE TEX 5120'!$H$4:$M$40,IF(L197="F-15",2,IF(L197="F-30",3,IF(L197="F-60",4,IF(L197="F-90",5,IF(L197="F-120",6,0))))),0),0)+IF(AND(O197="FIRE TEX 5120",E197="CJ"),VLOOKUP(_xlfn.MINIFS('FIRE TEX 5120'!$O$5:$O$40,'FIRE TEX 5120'!$O$5:$O$40,"&gt;="&amp;M197),'FIRE TEX 5120'!$O$5:$T$40,IF(L197="F-15",2,IF(L197="F-30",3,IF(L197="F-60",4,IF(L197="F-90",5,IF(L197="F-120",6,0))))),0),0)</f>
        <v>0</v>
      </c>
      <c r="Q197" s="46">
        <f t="shared" ref="Q197:Q260" si="26">IF(P197="","",IF(P197="dar valor","",0.03937*P197))</f>
        <v>0</v>
      </c>
      <c r="R197" s="46">
        <f t="shared" si="20"/>
        <v>0</v>
      </c>
      <c r="S197" s="46" t="e">
        <f t="shared" ref="S197:S260" si="27">IF(R197="","",+N197/R197)</f>
        <v>#VALUE!</v>
      </c>
      <c r="T197" s="677">
        <f t="shared" si="21"/>
        <v>0</v>
      </c>
      <c r="U197" s="80">
        <f>(IF(O197="Stofire",(S197*#REF!),0))+(IF(O197="Fire Control",(S197*$U$2),0))+(IF(O197="Fire Tex",(S197*$U$3),0))+(IF(O197="WB7",(S197*#REF!),0)+(IF(O197="FX 2003",(S197*$U$5),0)))</f>
        <v>0</v>
      </c>
      <c r="V197" s="651">
        <f t="shared" si="25"/>
        <v>0</v>
      </c>
      <c r="W197" s="4"/>
    </row>
    <row r="198" spans="1:23" x14ac:dyDescent="0.25">
      <c r="A198" s="652" t="s">
        <v>439</v>
      </c>
      <c r="B198" s="653" t="s">
        <v>430</v>
      </c>
      <c r="C198" s="1" t="s">
        <v>435</v>
      </c>
      <c r="D198" s="118">
        <f>+CUBICACION!D197</f>
        <v>0</v>
      </c>
      <c r="E198" s="118">
        <f>+CUBICACION!F197</f>
        <v>0</v>
      </c>
      <c r="F198" s="118">
        <f>+CUBICACION!E197</f>
        <v>0</v>
      </c>
      <c r="G198" s="118">
        <v>12</v>
      </c>
      <c r="H198" s="118">
        <v>2</v>
      </c>
      <c r="I198" s="820">
        <v>26385</v>
      </c>
      <c r="J198" s="118">
        <f>+CUBICACION!J197</f>
        <v>0</v>
      </c>
      <c r="K198" s="118">
        <v>2977</v>
      </c>
      <c r="L198" s="118">
        <f>+CUBICACION!L197</f>
        <v>0</v>
      </c>
      <c r="M198" s="64">
        <f>+CUBICACION!M197</f>
        <v>0</v>
      </c>
      <c r="N198" s="824" t="str">
        <f>+CUBICACION!N197</f>
        <v/>
      </c>
      <c r="O198" s="675">
        <f>+CUBICACION!O197</f>
        <v>0</v>
      </c>
      <c r="P198" s="15">
        <f>IF(O198="Fire Control",VLOOKUP(_xlfn.MINIFS('FIRE CONTROL'!$C$4:$C$37,'FIRE CONTROL'!$C$4:$C$37,"&gt;="&amp;M198),'FIRE CONTROL'!$C$4:$G$37,IF(L198="F-15",2,IF(L198="F-30",3,IF(L198="F-60",4,IF(L198="F-90",5,0)))),0),0)+IF(AND(O198="FIRE TEX 5062",OR(E198="IN",E198="C",E198="Z",E198="L"),J198=3),VLOOKUP(_xlfn.MINIFS('FIRE TEX 5062'!$B$4:$B$34,'FIRE TEX 5062'!$B$4:$B$34,"&gt;="&amp;M198),'FIRE TEX 5062'!$B$4:$F$34,IF(L198="F-15",2,IF(L198="F-30",3,IF(L198="F-60",4,IF(L198="F-90",5,0)))),0),0)+IF(AND(O198="FIRE TEX 5062",OR(E198="IN",E198="C",E198="Z",E198="L"),J198=4),VLOOKUP(_xlfn.MINIFS('FIRE TEX 5062'!$G$4:$G$34,'FIRE TEX 5062'!$G$4:$G$34,"&gt;="&amp;M198),'FIRE TEX 5062'!$G$4:$K$34,IF(L198="F-15",2,IF(L198="F-30",3,IF(L198="F-60",4,IF(L198="F-90",5,0)))),0),0)+IF(AND(O198="FIRE TEX 5062",E198="CJ",J198=3),VLOOKUP(_xlfn.MINIFS('FIRE TEX 5062'!$L$4:$L$34,'FIRE TEX 5062'!$L$4:$L$34,"&gt;="&amp;M198),'FIRE TEX 5062'!$L$4:$P$34,IF(L198="F-15",2,IF(L198="F-30",3,IF(L198="F-60",4,IF(L198="F-90",5,0)))),0),0)+IF(AND(O198="FIRE TEX 5062",E198="CJ",J198=4),VLOOKUP(_xlfn.MINIFS('FIRE TEX 5062'!$Q$3:$Q$34,'FIRE TEX 5062'!$Q$3:$Q$34,"&gt;="&amp;M198),'FIRE TEX 5062'!$Q$3:$U$34,IF(L198="F-15",2,IF(L198="F-30",3,IF(L198="F-60",4,IF(L198="F-90",5,0)))),0),0)+IF(AND(O198="FIRE TEX 5090",OR(E198="IN",E198="C",E198="Z",E198="L"),J198=3),VLOOKUP(_xlfn.MINIFS('FIRE TEX 5090'!$B$5:$B$43,'FIRE TEX 5090'!$B$5:$B$43,"&gt;="&amp;M198),'FIRE TEX 5090'!$B$5:$H$43,IF(L198="F-15",2,IF(L198="F-30",3,IF(L198="F-60",4,IF(L198="F-90",5,IF(L198="F-120",6,IF(L198="F-150",7,0)))))),0),0)+IF(AND(O198="FIRE TEX 5090",OR(E198="IN",E198="C",E198="Z",E198="L"),J198=4),VLOOKUP(_xlfn.MINIFS('FIRE TEX 5090'!$J$5:$J$43,'FIRE TEX 5090'!$J$5:$J$43,"&gt;="&amp;M198),'FIRE TEX 5090'!$J$5:$P$43,IF(L198="F-15",2,IF(L198="F-30",3,IF(L198="F-60",4,IF(L198="F-90",5,IF(L198="F-120",6,IF(L198="F-150",7,0)))))),0),0)+IF(AND(O198="FIRE TEX 5090",E198="CJ",J198=3),VLOOKUP(_xlfn.MINIFS('FIRE TEX 5090'!$R$5:$R$30,'FIRE TEX 5090'!$R$5:$R$30,"&gt;="&amp;M198),'FIRE TEX 5090'!$R$5:$W$30,IF(L198="F-15",2,IF(L198="F-30",3,IF(L198="F-60",4,IF(L198="F-90",5,IF(L198="F-120",6,IF(L198="F-150",7,0)))))),0),0)+IF(AND(O198="FIRE TEX 5090",E198="CJ",J198=4),VLOOKUP(_xlfn.MINIFS('FIRE TEX 5090'!$Y$5:$Y$39,'FIRE TEX 5090'!$Y$5:$Y$39,"&gt;="&amp;M198),'FIRE TEX 5090'!$Y$5:$AD$39,IF(L198="F-15",2,IF(L198="F-30",3,IF(L198="F-60",4,IF(L198="F-90",5,IF(L198="F-120",6,IF(L198="F-150",7,0)))))),0),0)+IF(AND(O198="FIRE TEX 5120",OR(E198="IN",E198="C",E198="Z",E198="L"),J198=3),VLOOKUP(_xlfn.MINIFS('FIRE TEX 5120'!$B$5:$B$40,'FIRE TEX 5120'!$B$5:$B$40,"&gt;="&amp;M198),'FIRE TEX 5120'!$B$5:$G$40,IF(L198="F-15",2,IF(L198="F-30",3,IF(L198="F-60",4,IF(L198="F-90",5,IF(L198="F-120",6,0))))),0),0)+IF(AND(O198="FIRE TEX 5120",OR(E198="IN",E198="C",E198="Z",E198="L"),J198=4),VLOOKUP(_xlfn.MINIFS('FIRE TEX 5120'!$H$4:$H$40,'FIRE TEX 5120'!$H$4:$H$40,"&gt;="&amp;M198),'FIRE TEX 5120'!$H$4:$M$40,IF(L198="F-15",2,IF(L198="F-30",3,IF(L198="F-60",4,IF(L198="F-90",5,IF(L198="F-120",6,0))))),0),0)+IF(AND(O198="FIRE TEX 5120",E198="CJ"),VLOOKUP(_xlfn.MINIFS('FIRE TEX 5120'!$O$5:$O$40,'FIRE TEX 5120'!$O$5:$O$40,"&gt;="&amp;M198),'FIRE TEX 5120'!$O$5:$T$40,IF(L198="F-15",2,IF(L198="F-30",3,IF(L198="F-60",4,IF(L198="F-90",5,IF(L198="F-120",6,0))))),0),0)</f>
        <v>0</v>
      </c>
      <c r="Q198" s="46">
        <f t="shared" si="26"/>
        <v>0</v>
      </c>
      <c r="R198" s="46">
        <f t="shared" ref="R198:R261" si="28">+(IF(O198="Fire Control",((65*1.5/Q198)*0.75*4),0))+(IF(OR(O198="Fire Tex 5062",O198="Fire Tex 5090",O198="Fire Tex 5120"),((66*1.5/Q198)*0.7*5),0))</f>
        <v>0</v>
      </c>
      <c r="S198" s="46" t="e">
        <f t="shared" si="27"/>
        <v>#VALUE!</v>
      </c>
      <c r="T198" s="677">
        <f t="shared" ref="T198:T261" si="29">(IF(O198="Stofire",(S198/(7*1)),0))+(IF(O198="Fire Control",(S198/(7*1)),0))+(IF(O198="Fire Tex",(S198/(7*1)),0))+(IF(O198="WB7",(S198/(7*1)),0))+(IF(O198="FX 2003",(S198/(7*1)),0))</f>
        <v>0</v>
      </c>
      <c r="U198" s="80">
        <f>(IF(O198="Stofire",(S198*#REF!),0))+(IF(O198="Fire Control",(S198*$U$2),0))+(IF(O198="Fire Tex",(S198*$U$3),0))+(IF(O198="WB7",(S198*#REF!),0)+(IF(O198="FX 2003",(S198*$U$5),0)))</f>
        <v>0</v>
      </c>
      <c r="V198" s="651">
        <f t="shared" si="25"/>
        <v>0</v>
      </c>
      <c r="W198" s="4"/>
    </row>
    <row r="199" spans="1:23" x14ac:dyDescent="0.25">
      <c r="A199" s="652" t="s">
        <v>442</v>
      </c>
      <c r="B199" s="653" t="s">
        <v>443</v>
      </c>
      <c r="C199" s="1" t="s">
        <v>444</v>
      </c>
      <c r="D199" s="118">
        <f>+CUBICACION!D198</f>
        <v>0</v>
      </c>
      <c r="E199" s="118">
        <f>+CUBICACION!F198</f>
        <v>0</v>
      </c>
      <c r="F199" s="118">
        <f>+CUBICACION!E198</f>
        <v>0</v>
      </c>
      <c r="G199" s="118">
        <v>12</v>
      </c>
      <c r="H199" s="118">
        <v>2</v>
      </c>
      <c r="I199" s="820">
        <v>26385</v>
      </c>
      <c r="J199" s="118">
        <f>+CUBICACION!J198</f>
        <v>0</v>
      </c>
      <c r="K199" s="118">
        <v>2978</v>
      </c>
      <c r="L199" s="118">
        <f>+CUBICACION!L198</f>
        <v>0</v>
      </c>
      <c r="M199" s="64">
        <f>+CUBICACION!M198</f>
        <v>0</v>
      </c>
      <c r="N199" s="824" t="str">
        <f>+CUBICACION!N198</f>
        <v/>
      </c>
      <c r="O199" s="675">
        <f>+CUBICACION!O198</f>
        <v>0</v>
      </c>
      <c r="P199" s="15">
        <f>IF(O199="Fire Control",VLOOKUP(_xlfn.MINIFS('FIRE CONTROL'!$C$4:$C$37,'FIRE CONTROL'!$C$4:$C$37,"&gt;="&amp;M199),'FIRE CONTROL'!$C$4:$G$37,IF(L199="F-15",2,IF(L199="F-30",3,IF(L199="F-60",4,IF(L199="F-90",5,0)))),0),0)+IF(AND(O199="FIRE TEX 5062",OR(E199="IN",E199="C",E199="Z",E199="L"),J199=3),VLOOKUP(_xlfn.MINIFS('FIRE TEX 5062'!$B$4:$B$34,'FIRE TEX 5062'!$B$4:$B$34,"&gt;="&amp;M199),'FIRE TEX 5062'!$B$4:$F$34,IF(L199="F-15",2,IF(L199="F-30",3,IF(L199="F-60",4,IF(L199="F-90",5,0)))),0),0)+IF(AND(O199="FIRE TEX 5062",OR(E199="IN",E199="C",E199="Z",E199="L"),J199=4),VLOOKUP(_xlfn.MINIFS('FIRE TEX 5062'!$G$4:$G$34,'FIRE TEX 5062'!$G$4:$G$34,"&gt;="&amp;M199),'FIRE TEX 5062'!$G$4:$K$34,IF(L199="F-15",2,IF(L199="F-30",3,IF(L199="F-60",4,IF(L199="F-90",5,0)))),0),0)+IF(AND(O199="FIRE TEX 5062",E199="CJ",J199=3),VLOOKUP(_xlfn.MINIFS('FIRE TEX 5062'!$L$4:$L$34,'FIRE TEX 5062'!$L$4:$L$34,"&gt;="&amp;M199),'FIRE TEX 5062'!$L$4:$P$34,IF(L199="F-15",2,IF(L199="F-30",3,IF(L199="F-60",4,IF(L199="F-90",5,0)))),0),0)+IF(AND(O199="FIRE TEX 5062",E199="CJ",J199=4),VLOOKUP(_xlfn.MINIFS('FIRE TEX 5062'!$Q$3:$Q$34,'FIRE TEX 5062'!$Q$3:$Q$34,"&gt;="&amp;M199),'FIRE TEX 5062'!$Q$3:$U$34,IF(L199="F-15",2,IF(L199="F-30",3,IF(L199="F-60",4,IF(L199="F-90",5,0)))),0),0)+IF(AND(O199="FIRE TEX 5090",OR(E199="IN",E199="C",E199="Z",E199="L"),J199=3),VLOOKUP(_xlfn.MINIFS('FIRE TEX 5090'!$B$5:$B$43,'FIRE TEX 5090'!$B$5:$B$43,"&gt;="&amp;M199),'FIRE TEX 5090'!$B$5:$H$43,IF(L199="F-15",2,IF(L199="F-30",3,IF(L199="F-60",4,IF(L199="F-90",5,IF(L199="F-120",6,IF(L199="F-150",7,0)))))),0),0)+IF(AND(O199="FIRE TEX 5090",OR(E199="IN",E199="C",E199="Z",E199="L"),J199=4),VLOOKUP(_xlfn.MINIFS('FIRE TEX 5090'!$J$5:$J$43,'FIRE TEX 5090'!$J$5:$J$43,"&gt;="&amp;M199),'FIRE TEX 5090'!$J$5:$P$43,IF(L199="F-15",2,IF(L199="F-30",3,IF(L199="F-60",4,IF(L199="F-90",5,IF(L199="F-120",6,IF(L199="F-150",7,0)))))),0),0)+IF(AND(O199="FIRE TEX 5090",E199="CJ",J199=3),VLOOKUP(_xlfn.MINIFS('FIRE TEX 5090'!$R$5:$R$30,'FIRE TEX 5090'!$R$5:$R$30,"&gt;="&amp;M199),'FIRE TEX 5090'!$R$5:$W$30,IF(L199="F-15",2,IF(L199="F-30",3,IF(L199="F-60",4,IF(L199="F-90",5,IF(L199="F-120",6,IF(L199="F-150",7,0)))))),0),0)+IF(AND(O199="FIRE TEX 5090",E199="CJ",J199=4),VLOOKUP(_xlfn.MINIFS('FIRE TEX 5090'!$Y$5:$Y$39,'FIRE TEX 5090'!$Y$5:$Y$39,"&gt;="&amp;M199),'FIRE TEX 5090'!$Y$5:$AD$39,IF(L199="F-15",2,IF(L199="F-30",3,IF(L199="F-60",4,IF(L199="F-90",5,IF(L199="F-120",6,IF(L199="F-150",7,0)))))),0),0)+IF(AND(O199="FIRE TEX 5120",OR(E199="IN",E199="C",E199="Z",E199="L"),J199=3),VLOOKUP(_xlfn.MINIFS('FIRE TEX 5120'!$B$5:$B$40,'FIRE TEX 5120'!$B$5:$B$40,"&gt;="&amp;M199),'FIRE TEX 5120'!$B$5:$G$40,IF(L199="F-15",2,IF(L199="F-30",3,IF(L199="F-60",4,IF(L199="F-90",5,IF(L199="F-120",6,0))))),0),0)+IF(AND(O199="FIRE TEX 5120",OR(E199="IN",E199="C",E199="Z",E199="L"),J199=4),VLOOKUP(_xlfn.MINIFS('FIRE TEX 5120'!$H$4:$H$40,'FIRE TEX 5120'!$H$4:$H$40,"&gt;="&amp;M199),'FIRE TEX 5120'!$H$4:$M$40,IF(L199="F-15",2,IF(L199="F-30",3,IF(L199="F-60",4,IF(L199="F-90",5,IF(L199="F-120",6,0))))),0),0)+IF(AND(O199="FIRE TEX 5120",E199="CJ"),VLOOKUP(_xlfn.MINIFS('FIRE TEX 5120'!$O$5:$O$40,'FIRE TEX 5120'!$O$5:$O$40,"&gt;="&amp;M199),'FIRE TEX 5120'!$O$5:$T$40,IF(L199="F-15",2,IF(L199="F-30",3,IF(L199="F-60",4,IF(L199="F-90",5,IF(L199="F-120",6,0))))),0),0)</f>
        <v>0</v>
      </c>
      <c r="Q199" s="46">
        <f t="shared" si="26"/>
        <v>0</v>
      </c>
      <c r="R199" s="46">
        <f t="shared" si="28"/>
        <v>0</v>
      </c>
      <c r="S199" s="46" t="e">
        <f t="shared" si="27"/>
        <v>#VALUE!</v>
      </c>
      <c r="T199" s="677">
        <f t="shared" si="29"/>
        <v>0</v>
      </c>
      <c r="U199" s="80">
        <f>(IF(O199="Stofire",(S199*#REF!),0))+(IF(O199="Fire Control",(S199*$U$2),0))+(IF(O199="Fire Tex",(S199*$U$3),0))+(IF(O199="WB7",(S199*#REF!),0)+(IF(O199="FX 2003",(S199*$U$5),0)))</f>
        <v>0</v>
      </c>
      <c r="V199" s="651">
        <f t="shared" si="25"/>
        <v>0</v>
      </c>
      <c r="W199" s="4"/>
    </row>
    <row r="200" spans="1:23" x14ac:dyDescent="0.25">
      <c r="A200" s="652" t="s">
        <v>442</v>
      </c>
      <c r="B200" s="653" t="s">
        <v>443</v>
      </c>
      <c r="C200" s="1" t="s">
        <v>446</v>
      </c>
      <c r="D200" s="118">
        <f>+CUBICACION!D199</f>
        <v>0</v>
      </c>
      <c r="E200" s="118">
        <f>+CUBICACION!F199</f>
        <v>0</v>
      </c>
      <c r="F200" s="118">
        <f>+CUBICACION!E199</f>
        <v>0</v>
      </c>
      <c r="G200" s="118">
        <v>12</v>
      </c>
      <c r="H200" s="118">
        <v>2</v>
      </c>
      <c r="I200" s="820">
        <v>26385</v>
      </c>
      <c r="J200" s="118">
        <f>+CUBICACION!J199</f>
        <v>0</v>
      </c>
      <c r="K200" s="118">
        <v>2979</v>
      </c>
      <c r="L200" s="118">
        <f>+CUBICACION!L199</f>
        <v>0</v>
      </c>
      <c r="M200" s="64">
        <f>+CUBICACION!M199</f>
        <v>0</v>
      </c>
      <c r="N200" s="824" t="str">
        <f>+CUBICACION!N199</f>
        <v/>
      </c>
      <c r="O200" s="675">
        <f>+CUBICACION!O199</f>
        <v>0</v>
      </c>
      <c r="P200" s="15">
        <f>IF(O200="Fire Control",VLOOKUP(_xlfn.MINIFS('FIRE CONTROL'!$C$4:$C$37,'FIRE CONTROL'!$C$4:$C$37,"&gt;="&amp;M200),'FIRE CONTROL'!$C$4:$G$37,IF(L200="F-15",2,IF(L200="F-30",3,IF(L200="F-60",4,IF(L200="F-90",5,0)))),0),0)+IF(AND(O200="FIRE TEX 5062",OR(E200="IN",E200="C",E200="Z",E200="L"),J200=3),VLOOKUP(_xlfn.MINIFS('FIRE TEX 5062'!$B$4:$B$34,'FIRE TEX 5062'!$B$4:$B$34,"&gt;="&amp;M200),'FIRE TEX 5062'!$B$4:$F$34,IF(L200="F-15",2,IF(L200="F-30",3,IF(L200="F-60",4,IF(L200="F-90",5,0)))),0),0)+IF(AND(O200="FIRE TEX 5062",OR(E200="IN",E200="C",E200="Z",E200="L"),J200=4),VLOOKUP(_xlfn.MINIFS('FIRE TEX 5062'!$G$4:$G$34,'FIRE TEX 5062'!$G$4:$G$34,"&gt;="&amp;M200),'FIRE TEX 5062'!$G$4:$K$34,IF(L200="F-15",2,IF(L200="F-30",3,IF(L200="F-60",4,IF(L200="F-90",5,0)))),0),0)+IF(AND(O200="FIRE TEX 5062",E200="CJ",J200=3),VLOOKUP(_xlfn.MINIFS('FIRE TEX 5062'!$L$4:$L$34,'FIRE TEX 5062'!$L$4:$L$34,"&gt;="&amp;M200),'FIRE TEX 5062'!$L$4:$P$34,IF(L200="F-15",2,IF(L200="F-30",3,IF(L200="F-60",4,IF(L200="F-90",5,0)))),0),0)+IF(AND(O200="FIRE TEX 5062",E200="CJ",J200=4),VLOOKUP(_xlfn.MINIFS('FIRE TEX 5062'!$Q$3:$Q$34,'FIRE TEX 5062'!$Q$3:$Q$34,"&gt;="&amp;M200),'FIRE TEX 5062'!$Q$3:$U$34,IF(L200="F-15",2,IF(L200="F-30",3,IF(L200="F-60",4,IF(L200="F-90",5,0)))),0),0)+IF(AND(O200="FIRE TEX 5090",OR(E200="IN",E200="C",E200="Z",E200="L"),J200=3),VLOOKUP(_xlfn.MINIFS('FIRE TEX 5090'!$B$5:$B$43,'FIRE TEX 5090'!$B$5:$B$43,"&gt;="&amp;M200),'FIRE TEX 5090'!$B$5:$H$43,IF(L200="F-15",2,IF(L200="F-30",3,IF(L200="F-60",4,IF(L200="F-90",5,IF(L200="F-120",6,IF(L200="F-150",7,0)))))),0),0)+IF(AND(O200="FIRE TEX 5090",OR(E200="IN",E200="C",E200="Z",E200="L"),J200=4),VLOOKUP(_xlfn.MINIFS('FIRE TEX 5090'!$J$5:$J$43,'FIRE TEX 5090'!$J$5:$J$43,"&gt;="&amp;M200),'FIRE TEX 5090'!$J$5:$P$43,IF(L200="F-15",2,IF(L200="F-30",3,IF(L200="F-60",4,IF(L200="F-90",5,IF(L200="F-120",6,IF(L200="F-150",7,0)))))),0),0)+IF(AND(O200="FIRE TEX 5090",E200="CJ",J200=3),VLOOKUP(_xlfn.MINIFS('FIRE TEX 5090'!$R$5:$R$30,'FIRE TEX 5090'!$R$5:$R$30,"&gt;="&amp;M200),'FIRE TEX 5090'!$R$5:$W$30,IF(L200="F-15",2,IF(L200="F-30",3,IF(L200="F-60",4,IF(L200="F-90",5,IF(L200="F-120",6,IF(L200="F-150",7,0)))))),0),0)+IF(AND(O200="FIRE TEX 5090",E200="CJ",J200=4),VLOOKUP(_xlfn.MINIFS('FIRE TEX 5090'!$Y$5:$Y$39,'FIRE TEX 5090'!$Y$5:$Y$39,"&gt;="&amp;M200),'FIRE TEX 5090'!$Y$5:$AD$39,IF(L200="F-15",2,IF(L200="F-30",3,IF(L200="F-60",4,IF(L200="F-90",5,IF(L200="F-120",6,IF(L200="F-150",7,0)))))),0),0)+IF(AND(O200="FIRE TEX 5120",OR(E200="IN",E200="C",E200="Z",E200="L"),J200=3),VLOOKUP(_xlfn.MINIFS('FIRE TEX 5120'!$B$5:$B$40,'FIRE TEX 5120'!$B$5:$B$40,"&gt;="&amp;M200),'FIRE TEX 5120'!$B$5:$G$40,IF(L200="F-15",2,IF(L200="F-30",3,IF(L200="F-60",4,IF(L200="F-90",5,IF(L200="F-120",6,0))))),0),0)+IF(AND(O200="FIRE TEX 5120",OR(E200="IN",E200="C",E200="Z",E200="L"),J200=4),VLOOKUP(_xlfn.MINIFS('FIRE TEX 5120'!$H$4:$H$40,'FIRE TEX 5120'!$H$4:$H$40,"&gt;="&amp;M200),'FIRE TEX 5120'!$H$4:$M$40,IF(L200="F-15",2,IF(L200="F-30",3,IF(L200="F-60",4,IF(L200="F-90",5,IF(L200="F-120",6,0))))),0),0)+IF(AND(O200="FIRE TEX 5120",E200="CJ"),VLOOKUP(_xlfn.MINIFS('FIRE TEX 5120'!$O$5:$O$40,'FIRE TEX 5120'!$O$5:$O$40,"&gt;="&amp;M200),'FIRE TEX 5120'!$O$5:$T$40,IF(L200="F-15",2,IF(L200="F-30",3,IF(L200="F-60",4,IF(L200="F-90",5,IF(L200="F-120",6,0))))),0),0)</f>
        <v>0</v>
      </c>
      <c r="Q200" s="46">
        <f t="shared" si="26"/>
        <v>0</v>
      </c>
      <c r="R200" s="46">
        <f t="shared" si="28"/>
        <v>0</v>
      </c>
      <c r="S200" s="46" t="e">
        <f t="shared" si="27"/>
        <v>#VALUE!</v>
      </c>
      <c r="T200" s="677">
        <f t="shared" si="29"/>
        <v>0</v>
      </c>
      <c r="U200" s="80">
        <f>(IF(O200="Stofire",(S200*#REF!),0))+(IF(O200="Fire Control",(S200*$U$2),0))+(IF(O200="Fire Tex",(S200*$U$3),0))+(IF(O200="WB7",(S200*#REF!),0)+(IF(O200="FX 2003",(S200*$U$5),0)))</f>
        <v>0</v>
      </c>
      <c r="V200" s="651">
        <f>_xlfn.CEILING.MATH(M200,10)</f>
        <v>0</v>
      </c>
      <c r="W200" s="4"/>
    </row>
    <row r="201" spans="1:23" x14ac:dyDescent="0.25">
      <c r="A201" s="652" t="s">
        <v>448</v>
      </c>
      <c r="B201" s="653" t="s">
        <v>443</v>
      </c>
      <c r="C201" s="1" t="s">
        <v>444</v>
      </c>
      <c r="D201" s="118">
        <f>+CUBICACION!D200</f>
        <v>0</v>
      </c>
      <c r="E201" s="118">
        <f>+CUBICACION!F200</f>
        <v>0</v>
      </c>
      <c r="F201" s="118">
        <f>+CUBICACION!E200</f>
        <v>0</v>
      </c>
      <c r="G201" s="118">
        <v>12</v>
      </c>
      <c r="H201" s="118">
        <v>2</v>
      </c>
      <c r="I201" s="820">
        <v>26385</v>
      </c>
      <c r="J201" s="118">
        <f>+CUBICACION!J200</f>
        <v>0</v>
      </c>
      <c r="K201" s="118">
        <v>2980</v>
      </c>
      <c r="L201" s="118">
        <f>+CUBICACION!L200</f>
        <v>0</v>
      </c>
      <c r="M201" s="64">
        <f>+CUBICACION!M200</f>
        <v>0</v>
      </c>
      <c r="N201" s="824" t="str">
        <f>+CUBICACION!N200</f>
        <v/>
      </c>
      <c r="O201" s="675">
        <f>+CUBICACION!O200</f>
        <v>0</v>
      </c>
      <c r="P201" s="15">
        <f>IF(O201="Fire Control",VLOOKUP(_xlfn.MINIFS('FIRE CONTROL'!$C$4:$C$37,'FIRE CONTROL'!$C$4:$C$37,"&gt;="&amp;M201),'FIRE CONTROL'!$C$4:$G$37,IF(L201="F-15",2,IF(L201="F-30",3,IF(L201="F-60",4,IF(L201="F-90",5,0)))),0),0)+IF(AND(O201="FIRE TEX 5062",OR(E201="IN",E201="C",E201="Z",E201="L"),J201=3),VLOOKUP(_xlfn.MINIFS('FIRE TEX 5062'!$B$4:$B$34,'FIRE TEX 5062'!$B$4:$B$34,"&gt;="&amp;M201),'FIRE TEX 5062'!$B$4:$F$34,IF(L201="F-15",2,IF(L201="F-30",3,IF(L201="F-60",4,IF(L201="F-90",5,0)))),0),0)+IF(AND(O201="FIRE TEX 5062",OR(E201="IN",E201="C",E201="Z",E201="L"),J201=4),VLOOKUP(_xlfn.MINIFS('FIRE TEX 5062'!$G$4:$G$34,'FIRE TEX 5062'!$G$4:$G$34,"&gt;="&amp;M201),'FIRE TEX 5062'!$G$4:$K$34,IF(L201="F-15",2,IF(L201="F-30",3,IF(L201="F-60",4,IF(L201="F-90",5,0)))),0),0)+IF(AND(O201="FIRE TEX 5062",E201="CJ",J201=3),VLOOKUP(_xlfn.MINIFS('FIRE TEX 5062'!$L$4:$L$34,'FIRE TEX 5062'!$L$4:$L$34,"&gt;="&amp;M201),'FIRE TEX 5062'!$L$4:$P$34,IF(L201="F-15",2,IF(L201="F-30",3,IF(L201="F-60",4,IF(L201="F-90",5,0)))),0),0)+IF(AND(O201="FIRE TEX 5062",E201="CJ",J201=4),VLOOKUP(_xlfn.MINIFS('FIRE TEX 5062'!$Q$3:$Q$34,'FIRE TEX 5062'!$Q$3:$Q$34,"&gt;="&amp;M201),'FIRE TEX 5062'!$Q$3:$U$34,IF(L201="F-15",2,IF(L201="F-30",3,IF(L201="F-60",4,IF(L201="F-90",5,0)))),0),0)+IF(AND(O201="FIRE TEX 5090",OR(E201="IN",E201="C",E201="Z",E201="L"),J201=3),VLOOKUP(_xlfn.MINIFS('FIRE TEX 5090'!$B$5:$B$43,'FIRE TEX 5090'!$B$5:$B$43,"&gt;="&amp;M201),'FIRE TEX 5090'!$B$5:$H$43,IF(L201="F-15",2,IF(L201="F-30",3,IF(L201="F-60",4,IF(L201="F-90",5,IF(L201="F-120",6,IF(L201="F-150",7,0)))))),0),0)+IF(AND(O201="FIRE TEX 5090",OR(E201="IN",E201="C",E201="Z",E201="L"),J201=4),VLOOKUP(_xlfn.MINIFS('FIRE TEX 5090'!$J$5:$J$43,'FIRE TEX 5090'!$J$5:$J$43,"&gt;="&amp;M201),'FIRE TEX 5090'!$J$5:$P$43,IF(L201="F-15",2,IF(L201="F-30",3,IF(L201="F-60",4,IF(L201="F-90",5,IF(L201="F-120",6,IF(L201="F-150",7,0)))))),0),0)+IF(AND(O201="FIRE TEX 5090",E201="CJ",J201=3),VLOOKUP(_xlfn.MINIFS('FIRE TEX 5090'!$R$5:$R$30,'FIRE TEX 5090'!$R$5:$R$30,"&gt;="&amp;M201),'FIRE TEX 5090'!$R$5:$W$30,IF(L201="F-15",2,IF(L201="F-30",3,IF(L201="F-60",4,IF(L201="F-90",5,IF(L201="F-120",6,IF(L201="F-150",7,0)))))),0),0)+IF(AND(O201="FIRE TEX 5090",E201="CJ",J201=4),VLOOKUP(_xlfn.MINIFS('FIRE TEX 5090'!$Y$5:$Y$39,'FIRE TEX 5090'!$Y$5:$Y$39,"&gt;="&amp;M201),'FIRE TEX 5090'!$Y$5:$AD$39,IF(L201="F-15",2,IF(L201="F-30",3,IF(L201="F-60",4,IF(L201="F-90",5,IF(L201="F-120",6,IF(L201="F-150",7,0)))))),0),0)+IF(AND(O201="FIRE TEX 5120",OR(E201="IN",E201="C",E201="Z",E201="L"),J201=3),VLOOKUP(_xlfn.MINIFS('FIRE TEX 5120'!$B$5:$B$40,'FIRE TEX 5120'!$B$5:$B$40,"&gt;="&amp;M201),'FIRE TEX 5120'!$B$5:$G$40,IF(L201="F-15",2,IF(L201="F-30",3,IF(L201="F-60",4,IF(L201="F-90",5,IF(L201="F-120",6,0))))),0),0)+IF(AND(O201="FIRE TEX 5120",OR(E201="IN",E201="C",E201="Z",E201="L"),J201=4),VLOOKUP(_xlfn.MINIFS('FIRE TEX 5120'!$H$4:$H$40,'FIRE TEX 5120'!$H$4:$H$40,"&gt;="&amp;M201),'FIRE TEX 5120'!$H$4:$M$40,IF(L201="F-15",2,IF(L201="F-30",3,IF(L201="F-60",4,IF(L201="F-90",5,IF(L201="F-120",6,0))))),0),0)+IF(AND(O201="FIRE TEX 5120",E201="CJ"),VLOOKUP(_xlfn.MINIFS('FIRE TEX 5120'!$O$5:$O$40,'FIRE TEX 5120'!$O$5:$O$40,"&gt;="&amp;M201),'FIRE TEX 5120'!$O$5:$T$40,IF(L201="F-15",2,IF(L201="F-30",3,IF(L201="F-60",4,IF(L201="F-90",5,IF(L201="F-120",6,0))))),0),0)</f>
        <v>0</v>
      </c>
      <c r="Q201" s="46">
        <f t="shared" si="26"/>
        <v>0</v>
      </c>
      <c r="R201" s="46">
        <f t="shared" si="28"/>
        <v>0</v>
      </c>
      <c r="S201" s="46" t="e">
        <f t="shared" si="27"/>
        <v>#VALUE!</v>
      </c>
      <c r="T201" s="677">
        <f t="shared" si="29"/>
        <v>0</v>
      </c>
      <c r="U201" s="80">
        <f>(IF(O201="Stofire",(S201*#REF!),0))+(IF(O201="Fire Control",(S201*$U$2),0))+(IF(O201="Fire Tex",(S201*$U$3),0))+(IF(O201="WB7",(S201*#REF!),0)+(IF(O201="FX 2003",(S201*$U$5),0)))</f>
        <v>0</v>
      </c>
      <c r="V201" s="651">
        <f>_xlfn.CEILING.MATH(M201,10)</f>
        <v>0</v>
      </c>
      <c r="W201" s="4"/>
    </row>
    <row r="202" spans="1:23" x14ac:dyDescent="0.25">
      <c r="A202" s="652" t="s">
        <v>448</v>
      </c>
      <c r="B202" s="653" t="s">
        <v>443</v>
      </c>
      <c r="C202" s="1" t="s">
        <v>446</v>
      </c>
      <c r="D202" s="118">
        <f>+CUBICACION!D201</f>
        <v>0</v>
      </c>
      <c r="E202" s="118">
        <f>+CUBICACION!F201</f>
        <v>0</v>
      </c>
      <c r="F202" s="118">
        <f>+CUBICACION!E201</f>
        <v>0</v>
      </c>
      <c r="G202" s="118">
        <v>12</v>
      </c>
      <c r="H202" s="118">
        <v>2</v>
      </c>
      <c r="I202" s="820">
        <v>26385</v>
      </c>
      <c r="J202" s="118">
        <f>+CUBICACION!J201</f>
        <v>0</v>
      </c>
      <c r="K202" s="118">
        <v>2981</v>
      </c>
      <c r="L202" s="118">
        <f>+CUBICACION!L201</f>
        <v>0</v>
      </c>
      <c r="M202" s="64">
        <f>+CUBICACION!M201</f>
        <v>0</v>
      </c>
      <c r="N202" s="824" t="str">
        <f>+CUBICACION!N201</f>
        <v/>
      </c>
      <c r="O202" s="675">
        <f>+CUBICACION!O201</f>
        <v>0</v>
      </c>
      <c r="P202" s="15">
        <f>IF(O202="Fire Control",VLOOKUP(_xlfn.MINIFS('FIRE CONTROL'!$C$4:$C$37,'FIRE CONTROL'!$C$4:$C$37,"&gt;="&amp;M202),'FIRE CONTROL'!$C$4:$G$37,IF(L202="F-15",2,IF(L202="F-30",3,IF(L202="F-60",4,IF(L202="F-90",5,0)))),0),0)+IF(AND(O202="FIRE TEX 5062",OR(E202="IN",E202="C",E202="Z",E202="L"),J202=3),VLOOKUP(_xlfn.MINIFS('FIRE TEX 5062'!$B$4:$B$34,'FIRE TEX 5062'!$B$4:$B$34,"&gt;="&amp;M202),'FIRE TEX 5062'!$B$4:$F$34,IF(L202="F-15",2,IF(L202="F-30",3,IF(L202="F-60",4,IF(L202="F-90",5,0)))),0),0)+IF(AND(O202="FIRE TEX 5062",OR(E202="IN",E202="C",E202="Z",E202="L"),J202=4),VLOOKUP(_xlfn.MINIFS('FIRE TEX 5062'!$G$4:$G$34,'FIRE TEX 5062'!$G$4:$G$34,"&gt;="&amp;M202),'FIRE TEX 5062'!$G$4:$K$34,IF(L202="F-15",2,IF(L202="F-30",3,IF(L202="F-60",4,IF(L202="F-90",5,0)))),0),0)+IF(AND(O202="FIRE TEX 5062",E202="CJ",J202=3),VLOOKUP(_xlfn.MINIFS('FIRE TEX 5062'!$L$4:$L$34,'FIRE TEX 5062'!$L$4:$L$34,"&gt;="&amp;M202),'FIRE TEX 5062'!$L$4:$P$34,IF(L202="F-15",2,IF(L202="F-30",3,IF(L202="F-60",4,IF(L202="F-90",5,0)))),0),0)+IF(AND(O202="FIRE TEX 5062",E202="CJ",J202=4),VLOOKUP(_xlfn.MINIFS('FIRE TEX 5062'!$Q$3:$Q$34,'FIRE TEX 5062'!$Q$3:$Q$34,"&gt;="&amp;M202),'FIRE TEX 5062'!$Q$3:$U$34,IF(L202="F-15",2,IF(L202="F-30",3,IF(L202="F-60",4,IF(L202="F-90",5,0)))),0),0)+IF(AND(O202="FIRE TEX 5090",OR(E202="IN",E202="C",E202="Z",E202="L"),J202=3),VLOOKUP(_xlfn.MINIFS('FIRE TEX 5090'!$B$5:$B$43,'FIRE TEX 5090'!$B$5:$B$43,"&gt;="&amp;M202),'FIRE TEX 5090'!$B$5:$H$43,IF(L202="F-15",2,IF(L202="F-30",3,IF(L202="F-60",4,IF(L202="F-90",5,IF(L202="F-120",6,IF(L202="F-150",7,0)))))),0),0)+IF(AND(O202="FIRE TEX 5090",OR(E202="IN",E202="C",E202="Z",E202="L"),J202=4),VLOOKUP(_xlfn.MINIFS('FIRE TEX 5090'!$J$5:$J$43,'FIRE TEX 5090'!$J$5:$J$43,"&gt;="&amp;M202),'FIRE TEX 5090'!$J$5:$P$43,IF(L202="F-15",2,IF(L202="F-30",3,IF(L202="F-60",4,IF(L202="F-90",5,IF(L202="F-120",6,IF(L202="F-150",7,0)))))),0),0)+IF(AND(O202="FIRE TEX 5090",E202="CJ",J202=3),VLOOKUP(_xlfn.MINIFS('FIRE TEX 5090'!$R$5:$R$30,'FIRE TEX 5090'!$R$5:$R$30,"&gt;="&amp;M202),'FIRE TEX 5090'!$R$5:$W$30,IF(L202="F-15",2,IF(L202="F-30",3,IF(L202="F-60",4,IF(L202="F-90",5,IF(L202="F-120",6,IF(L202="F-150",7,0)))))),0),0)+IF(AND(O202="FIRE TEX 5090",E202="CJ",J202=4),VLOOKUP(_xlfn.MINIFS('FIRE TEX 5090'!$Y$5:$Y$39,'FIRE TEX 5090'!$Y$5:$Y$39,"&gt;="&amp;M202),'FIRE TEX 5090'!$Y$5:$AD$39,IF(L202="F-15",2,IF(L202="F-30",3,IF(L202="F-60",4,IF(L202="F-90",5,IF(L202="F-120",6,IF(L202="F-150",7,0)))))),0),0)+IF(AND(O202="FIRE TEX 5120",OR(E202="IN",E202="C",E202="Z",E202="L"),J202=3),VLOOKUP(_xlfn.MINIFS('FIRE TEX 5120'!$B$5:$B$40,'FIRE TEX 5120'!$B$5:$B$40,"&gt;="&amp;M202),'FIRE TEX 5120'!$B$5:$G$40,IF(L202="F-15",2,IF(L202="F-30",3,IF(L202="F-60",4,IF(L202="F-90",5,IF(L202="F-120",6,0))))),0),0)+IF(AND(O202="FIRE TEX 5120",OR(E202="IN",E202="C",E202="Z",E202="L"),J202=4),VLOOKUP(_xlfn.MINIFS('FIRE TEX 5120'!$H$4:$H$40,'FIRE TEX 5120'!$H$4:$H$40,"&gt;="&amp;M202),'FIRE TEX 5120'!$H$4:$M$40,IF(L202="F-15",2,IF(L202="F-30",3,IF(L202="F-60",4,IF(L202="F-90",5,IF(L202="F-120",6,0))))),0),0)+IF(AND(O202="FIRE TEX 5120",E202="CJ"),VLOOKUP(_xlfn.MINIFS('FIRE TEX 5120'!$O$5:$O$40,'FIRE TEX 5120'!$O$5:$O$40,"&gt;="&amp;M202),'FIRE TEX 5120'!$O$5:$T$40,IF(L202="F-15",2,IF(L202="F-30",3,IF(L202="F-60",4,IF(L202="F-90",5,IF(L202="F-120",6,0))))),0),0)</f>
        <v>0</v>
      </c>
      <c r="Q202" s="46">
        <f t="shared" si="26"/>
        <v>0</v>
      </c>
      <c r="R202" s="46">
        <f t="shared" si="28"/>
        <v>0</v>
      </c>
      <c r="S202" s="46" t="e">
        <f t="shared" si="27"/>
        <v>#VALUE!</v>
      </c>
      <c r="T202" s="677">
        <f t="shared" si="29"/>
        <v>0</v>
      </c>
      <c r="U202" s="80">
        <f>(IF(O202="Stofire",(S202*#REF!),0))+(IF(O202="Fire Control",(S202*$U$2),0))+(IF(O202="Fire Tex",(S202*$U$3),0))+(IF(O202="WB7",(S202*#REF!),0)+(IF(O202="FX 2003",(S202*$U$5),0)))</f>
        <v>0</v>
      </c>
      <c r="V202" s="651">
        <f t="shared" ref="V202:V214" si="30">_xlfn.CEILING.MATH(M202,10)</f>
        <v>0</v>
      </c>
      <c r="W202" s="4"/>
    </row>
    <row r="203" spans="1:23" x14ac:dyDescent="0.25">
      <c r="A203" s="652" t="s">
        <v>448</v>
      </c>
      <c r="B203" s="653" t="s">
        <v>451</v>
      </c>
      <c r="C203" s="1" t="s">
        <v>446</v>
      </c>
      <c r="D203" s="118">
        <f>+CUBICACION!D202</f>
        <v>0</v>
      </c>
      <c r="E203" s="118">
        <f>+CUBICACION!F202</f>
        <v>0</v>
      </c>
      <c r="F203" s="118">
        <f>+CUBICACION!E202</f>
        <v>0</v>
      </c>
      <c r="G203" s="118">
        <v>12</v>
      </c>
      <c r="H203" s="118">
        <v>2</v>
      </c>
      <c r="I203" s="820">
        <v>26385</v>
      </c>
      <c r="J203" s="118">
        <f>+CUBICACION!J202</f>
        <v>0</v>
      </c>
      <c r="K203" s="118">
        <v>2982</v>
      </c>
      <c r="L203" s="118">
        <f>+CUBICACION!L202</f>
        <v>0</v>
      </c>
      <c r="M203" s="64">
        <f>+CUBICACION!M202</f>
        <v>0</v>
      </c>
      <c r="N203" s="824" t="str">
        <f>+CUBICACION!N202</f>
        <v/>
      </c>
      <c r="O203" s="675">
        <f>+CUBICACION!O202</f>
        <v>0</v>
      </c>
      <c r="P203" s="15">
        <f>IF(O203="Fire Control",VLOOKUP(_xlfn.MINIFS('FIRE CONTROL'!$C$4:$C$37,'FIRE CONTROL'!$C$4:$C$37,"&gt;="&amp;M203),'FIRE CONTROL'!$C$4:$G$37,IF(L203="F-15",2,IF(L203="F-30",3,IF(L203="F-60",4,IF(L203="F-90",5,0)))),0),0)+IF(AND(O203="FIRE TEX 5062",OR(E203="IN",E203="C",E203="Z",E203="L"),J203=3),VLOOKUP(_xlfn.MINIFS('FIRE TEX 5062'!$B$4:$B$34,'FIRE TEX 5062'!$B$4:$B$34,"&gt;="&amp;M203),'FIRE TEX 5062'!$B$4:$F$34,IF(L203="F-15",2,IF(L203="F-30",3,IF(L203="F-60",4,IF(L203="F-90",5,0)))),0),0)+IF(AND(O203="FIRE TEX 5062",OR(E203="IN",E203="C",E203="Z",E203="L"),J203=4),VLOOKUP(_xlfn.MINIFS('FIRE TEX 5062'!$G$4:$G$34,'FIRE TEX 5062'!$G$4:$G$34,"&gt;="&amp;M203),'FIRE TEX 5062'!$G$4:$K$34,IF(L203="F-15",2,IF(L203="F-30",3,IF(L203="F-60",4,IF(L203="F-90",5,0)))),0),0)+IF(AND(O203="FIRE TEX 5062",E203="CJ",J203=3),VLOOKUP(_xlfn.MINIFS('FIRE TEX 5062'!$L$4:$L$34,'FIRE TEX 5062'!$L$4:$L$34,"&gt;="&amp;M203),'FIRE TEX 5062'!$L$4:$P$34,IF(L203="F-15",2,IF(L203="F-30",3,IF(L203="F-60",4,IF(L203="F-90",5,0)))),0),0)+IF(AND(O203="FIRE TEX 5062",E203="CJ",J203=4),VLOOKUP(_xlfn.MINIFS('FIRE TEX 5062'!$Q$3:$Q$34,'FIRE TEX 5062'!$Q$3:$Q$34,"&gt;="&amp;M203),'FIRE TEX 5062'!$Q$3:$U$34,IF(L203="F-15",2,IF(L203="F-30",3,IF(L203="F-60",4,IF(L203="F-90",5,0)))),0),0)+IF(AND(O203="FIRE TEX 5090",OR(E203="IN",E203="C",E203="Z",E203="L"),J203=3),VLOOKUP(_xlfn.MINIFS('FIRE TEX 5090'!$B$5:$B$43,'FIRE TEX 5090'!$B$5:$B$43,"&gt;="&amp;M203),'FIRE TEX 5090'!$B$5:$H$43,IF(L203="F-15",2,IF(L203="F-30",3,IF(L203="F-60",4,IF(L203="F-90",5,IF(L203="F-120",6,IF(L203="F-150",7,0)))))),0),0)+IF(AND(O203="FIRE TEX 5090",OR(E203="IN",E203="C",E203="Z",E203="L"),J203=4),VLOOKUP(_xlfn.MINIFS('FIRE TEX 5090'!$J$5:$J$43,'FIRE TEX 5090'!$J$5:$J$43,"&gt;="&amp;M203),'FIRE TEX 5090'!$J$5:$P$43,IF(L203="F-15",2,IF(L203="F-30",3,IF(L203="F-60",4,IF(L203="F-90",5,IF(L203="F-120",6,IF(L203="F-150",7,0)))))),0),0)+IF(AND(O203="FIRE TEX 5090",E203="CJ",J203=3),VLOOKUP(_xlfn.MINIFS('FIRE TEX 5090'!$R$5:$R$30,'FIRE TEX 5090'!$R$5:$R$30,"&gt;="&amp;M203),'FIRE TEX 5090'!$R$5:$W$30,IF(L203="F-15",2,IF(L203="F-30",3,IF(L203="F-60",4,IF(L203="F-90",5,IF(L203="F-120",6,IF(L203="F-150",7,0)))))),0),0)+IF(AND(O203="FIRE TEX 5090",E203="CJ",J203=4),VLOOKUP(_xlfn.MINIFS('FIRE TEX 5090'!$Y$5:$Y$39,'FIRE TEX 5090'!$Y$5:$Y$39,"&gt;="&amp;M203),'FIRE TEX 5090'!$Y$5:$AD$39,IF(L203="F-15",2,IF(L203="F-30",3,IF(L203="F-60",4,IF(L203="F-90",5,IF(L203="F-120",6,IF(L203="F-150",7,0)))))),0),0)+IF(AND(O203="FIRE TEX 5120",OR(E203="IN",E203="C",E203="Z",E203="L"),J203=3),VLOOKUP(_xlfn.MINIFS('FIRE TEX 5120'!$B$5:$B$40,'FIRE TEX 5120'!$B$5:$B$40,"&gt;="&amp;M203),'FIRE TEX 5120'!$B$5:$G$40,IF(L203="F-15",2,IF(L203="F-30",3,IF(L203="F-60",4,IF(L203="F-90",5,IF(L203="F-120",6,0))))),0),0)+IF(AND(O203="FIRE TEX 5120",OR(E203="IN",E203="C",E203="Z",E203="L"),J203=4),VLOOKUP(_xlfn.MINIFS('FIRE TEX 5120'!$H$4:$H$40,'FIRE TEX 5120'!$H$4:$H$40,"&gt;="&amp;M203),'FIRE TEX 5120'!$H$4:$M$40,IF(L203="F-15",2,IF(L203="F-30",3,IF(L203="F-60",4,IF(L203="F-90",5,IF(L203="F-120",6,0))))),0),0)+IF(AND(O203="FIRE TEX 5120",E203="CJ"),VLOOKUP(_xlfn.MINIFS('FIRE TEX 5120'!$O$5:$O$40,'FIRE TEX 5120'!$O$5:$O$40,"&gt;="&amp;M203),'FIRE TEX 5120'!$O$5:$T$40,IF(L203="F-15",2,IF(L203="F-30",3,IF(L203="F-60",4,IF(L203="F-90",5,IF(L203="F-120",6,0))))),0),0)</f>
        <v>0</v>
      </c>
      <c r="Q203" s="46">
        <f t="shared" si="26"/>
        <v>0</v>
      </c>
      <c r="R203" s="46">
        <f t="shared" si="28"/>
        <v>0</v>
      </c>
      <c r="S203" s="46" t="e">
        <f t="shared" si="27"/>
        <v>#VALUE!</v>
      </c>
      <c r="T203" s="677">
        <f t="shared" si="29"/>
        <v>0</v>
      </c>
      <c r="U203" s="80">
        <f>(IF(O203="Stofire",(S203*#REF!),0))+(IF(O203="Fire Control",(S203*$U$2),0))+(IF(O203="Fire Tex",(S203*$U$3),0))+(IF(O203="WB7",(S203*#REF!),0)+(IF(O203="FX 2003",(S203*$U$5),0)))</f>
        <v>0</v>
      </c>
      <c r="V203" s="651">
        <f t="shared" si="30"/>
        <v>0</v>
      </c>
      <c r="W203" s="4"/>
    </row>
    <row r="204" spans="1:23" x14ac:dyDescent="0.25">
      <c r="A204" s="652" t="s">
        <v>452</v>
      </c>
      <c r="B204" s="653" t="s">
        <v>453</v>
      </c>
      <c r="C204" s="1" t="s">
        <v>454</v>
      </c>
      <c r="D204" s="118">
        <f>+CUBICACION!D203</f>
        <v>0</v>
      </c>
      <c r="E204" s="118">
        <f>+CUBICACION!F203</f>
        <v>0</v>
      </c>
      <c r="F204" s="118">
        <f>+CUBICACION!E203</f>
        <v>0</v>
      </c>
      <c r="G204" s="118">
        <v>12</v>
      </c>
      <c r="H204" s="118">
        <v>2</v>
      </c>
      <c r="I204" s="820">
        <v>26385</v>
      </c>
      <c r="J204" s="118">
        <f>+CUBICACION!J203</f>
        <v>0</v>
      </c>
      <c r="K204" s="118">
        <v>2983</v>
      </c>
      <c r="L204" s="118">
        <f>+CUBICACION!L203</f>
        <v>0</v>
      </c>
      <c r="M204" s="64">
        <f>+CUBICACION!M203</f>
        <v>0</v>
      </c>
      <c r="N204" s="824" t="str">
        <f>+CUBICACION!N203</f>
        <v/>
      </c>
      <c r="O204" s="675">
        <f>+CUBICACION!O203</f>
        <v>0</v>
      </c>
      <c r="P204" s="15">
        <f>IF(O204="Fire Control",VLOOKUP(_xlfn.MINIFS('FIRE CONTROL'!$C$4:$C$37,'FIRE CONTROL'!$C$4:$C$37,"&gt;="&amp;M204),'FIRE CONTROL'!$C$4:$G$37,IF(L204="F-15",2,IF(L204="F-30",3,IF(L204="F-60",4,IF(L204="F-90",5,0)))),0),0)+IF(AND(O204="FIRE TEX 5062",OR(E204="IN",E204="C",E204="Z",E204="L"),J204=3),VLOOKUP(_xlfn.MINIFS('FIRE TEX 5062'!$B$4:$B$34,'FIRE TEX 5062'!$B$4:$B$34,"&gt;="&amp;M204),'FIRE TEX 5062'!$B$4:$F$34,IF(L204="F-15",2,IF(L204="F-30",3,IF(L204="F-60",4,IF(L204="F-90",5,0)))),0),0)+IF(AND(O204="FIRE TEX 5062",OR(E204="IN",E204="C",E204="Z",E204="L"),J204=4),VLOOKUP(_xlfn.MINIFS('FIRE TEX 5062'!$G$4:$G$34,'FIRE TEX 5062'!$G$4:$G$34,"&gt;="&amp;M204),'FIRE TEX 5062'!$G$4:$K$34,IF(L204="F-15",2,IF(L204="F-30",3,IF(L204="F-60",4,IF(L204="F-90",5,0)))),0),0)+IF(AND(O204="FIRE TEX 5062",E204="CJ",J204=3),VLOOKUP(_xlfn.MINIFS('FIRE TEX 5062'!$L$4:$L$34,'FIRE TEX 5062'!$L$4:$L$34,"&gt;="&amp;M204),'FIRE TEX 5062'!$L$4:$P$34,IF(L204="F-15",2,IF(L204="F-30",3,IF(L204="F-60",4,IF(L204="F-90",5,0)))),0),0)+IF(AND(O204="FIRE TEX 5062",E204="CJ",J204=4),VLOOKUP(_xlfn.MINIFS('FIRE TEX 5062'!$Q$3:$Q$34,'FIRE TEX 5062'!$Q$3:$Q$34,"&gt;="&amp;M204),'FIRE TEX 5062'!$Q$3:$U$34,IF(L204="F-15",2,IF(L204="F-30",3,IF(L204="F-60",4,IF(L204="F-90",5,0)))),0),0)+IF(AND(O204="FIRE TEX 5090",OR(E204="IN",E204="C",E204="Z",E204="L"),J204=3),VLOOKUP(_xlfn.MINIFS('FIRE TEX 5090'!$B$5:$B$43,'FIRE TEX 5090'!$B$5:$B$43,"&gt;="&amp;M204),'FIRE TEX 5090'!$B$5:$H$43,IF(L204="F-15",2,IF(L204="F-30",3,IF(L204="F-60",4,IF(L204="F-90",5,IF(L204="F-120",6,IF(L204="F-150",7,0)))))),0),0)+IF(AND(O204="FIRE TEX 5090",OR(E204="IN",E204="C",E204="Z",E204="L"),J204=4),VLOOKUP(_xlfn.MINIFS('FIRE TEX 5090'!$J$5:$J$43,'FIRE TEX 5090'!$J$5:$J$43,"&gt;="&amp;M204),'FIRE TEX 5090'!$J$5:$P$43,IF(L204="F-15",2,IF(L204="F-30",3,IF(L204="F-60",4,IF(L204="F-90",5,IF(L204="F-120",6,IF(L204="F-150",7,0)))))),0),0)+IF(AND(O204="FIRE TEX 5090",E204="CJ",J204=3),VLOOKUP(_xlfn.MINIFS('FIRE TEX 5090'!$R$5:$R$30,'FIRE TEX 5090'!$R$5:$R$30,"&gt;="&amp;M204),'FIRE TEX 5090'!$R$5:$W$30,IF(L204="F-15",2,IF(L204="F-30",3,IF(L204="F-60",4,IF(L204="F-90",5,IF(L204="F-120",6,IF(L204="F-150",7,0)))))),0),0)+IF(AND(O204="FIRE TEX 5090",E204="CJ",J204=4),VLOOKUP(_xlfn.MINIFS('FIRE TEX 5090'!$Y$5:$Y$39,'FIRE TEX 5090'!$Y$5:$Y$39,"&gt;="&amp;M204),'FIRE TEX 5090'!$Y$5:$AD$39,IF(L204="F-15",2,IF(L204="F-30",3,IF(L204="F-60",4,IF(L204="F-90",5,IF(L204="F-120",6,IF(L204="F-150",7,0)))))),0),0)+IF(AND(O204="FIRE TEX 5120",OR(E204="IN",E204="C",E204="Z",E204="L"),J204=3),VLOOKUP(_xlfn.MINIFS('FIRE TEX 5120'!$B$5:$B$40,'FIRE TEX 5120'!$B$5:$B$40,"&gt;="&amp;M204),'FIRE TEX 5120'!$B$5:$G$40,IF(L204="F-15",2,IF(L204="F-30",3,IF(L204="F-60",4,IF(L204="F-90",5,IF(L204="F-120",6,0))))),0),0)+IF(AND(O204="FIRE TEX 5120",OR(E204="IN",E204="C",E204="Z",E204="L"),J204=4),VLOOKUP(_xlfn.MINIFS('FIRE TEX 5120'!$H$4:$H$40,'FIRE TEX 5120'!$H$4:$H$40,"&gt;="&amp;M204),'FIRE TEX 5120'!$H$4:$M$40,IF(L204="F-15",2,IF(L204="F-30",3,IF(L204="F-60",4,IF(L204="F-90",5,IF(L204="F-120",6,0))))),0),0)+IF(AND(O204="FIRE TEX 5120",E204="CJ"),VLOOKUP(_xlfn.MINIFS('FIRE TEX 5120'!$O$5:$O$40,'FIRE TEX 5120'!$O$5:$O$40,"&gt;="&amp;M204),'FIRE TEX 5120'!$O$5:$T$40,IF(L204="F-15",2,IF(L204="F-30",3,IF(L204="F-60",4,IF(L204="F-90",5,IF(L204="F-120",6,0))))),0),0)</f>
        <v>0</v>
      </c>
      <c r="Q204" s="46">
        <f t="shared" si="26"/>
        <v>0</v>
      </c>
      <c r="R204" s="46">
        <f t="shared" si="28"/>
        <v>0</v>
      </c>
      <c r="S204" s="46" t="e">
        <f t="shared" si="27"/>
        <v>#VALUE!</v>
      </c>
      <c r="T204" s="677">
        <f t="shared" si="29"/>
        <v>0</v>
      </c>
      <c r="U204" s="80">
        <f>(IF(O204="Stofire",(S204*#REF!),0))+(IF(O204="Fire Control",(S204*$U$2),0))+(IF(O204="Fire Tex",(S204*$U$3),0))+(IF(O204="WB7",(S204*#REF!),0)+(IF(O204="FX 2003",(S204*$U$5),0)))</f>
        <v>0</v>
      </c>
      <c r="V204" s="651">
        <f t="shared" si="30"/>
        <v>0</v>
      </c>
      <c r="W204" s="4"/>
    </row>
    <row r="205" spans="1:23" x14ac:dyDescent="0.25">
      <c r="A205" s="652" t="s">
        <v>452</v>
      </c>
      <c r="B205" s="653" t="s">
        <v>453</v>
      </c>
      <c r="C205" s="1" t="s">
        <v>408</v>
      </c>
      <c r="D205" s="118">
        <f>+CUBICACION!D204</f>
        <v>0</v>
      </c>
      <c r="E205" s="118">
        <f>+CUBICACION!F204</f>
        <v>0</v>
      </c>
      <c r="F205" s="118">
        <f>+CUBICACION!E204</f>
        <v>0</v>
      </c>
      <c r="G205" s="118">
        <v>12</v>
      </c>
      <c r="H205" s="118">
        <v>2</v>
      </c>
      <c r="I205" s="820">
        <v>26385</v>
      </c>
      <c r="J205" s="118">
        <f>+CUBICACION!J204</f>
        <v>0</v>
      </c>
      <c r="K205" s="118">
        <v>2984</v>
      </c>
      <c r="L205" s="118">
        <f>+CUBICACION!L204</f>
        <v>0</v>
      </c>
      <c r="M205" s="64">
        <f>+CUBICACION!M204</f>
        <v>0</v>
      </c>
      <c r="N205" s="824" t="str">
        <f>+CUBICACION!N204</f>
        <v/>
      </c>
      <c r="O205" s="675">
        <f>+CUBICACION!O204</f>
        <v>0</v>
      </c>
      <c r="P205" s="15">
        <f>IF(O205="Fire Control",VLOOKUP(_xlfn.MINIFS('FIRE CONTROL'!$C$4:$C$37,'FIRE CONTROL'!$C$4:$C$37,"&gt;="&amp;M205),'FIRE CONTROL'!$C$4:$G$37,IF(L205="F-15",2,IF(L205="F-30",3,IF(L205="F-60",4,IF(L205="F-90",5,0)))),0),0)+IF(AND(O205="FIRE TEX 5062",OR(E205="IN",E205="C",E205="Z",E205="L"),J205=3),VLOOKUP(_xlfn.MINIFS('FIRE TEX 5062'!$B$4:$B$34,'FIRE TEX 5062'!$B$4:$B$34,"&gt;="&amp;M205),'FIRE TEX 5062'!$B$4:$F$34,IF(L205="F-15",2,IF(L205="F-30",3,IF(L205="F-60",4,IF(L205="F-90",5,0)))),0),0)+IF(AND(O205="FIRE TEX 5062",OR(E205="IN",E205="C",E205="Z",E205="L"),J205=4),VLOOKUP(_xlfn.MINIFS('FIRE TEX 5062'!$G$4:$G$34,'FIRE TEX 5062'!$G$4:$G$34,"&gt;="&amp;M205),'FIRE TEX 5062'!$G$4:$K$34,IF(L205="F-15",2,IF(L205="F-30",3,IF(L205="F-60",4,IF(L205="F-90",5,0)))),0),0)+IF(AND(O205="FIRE TEX 5062",E205="CJ",J205=3),VLOOKUP(_xlfn.MINIFS('FIRE TEX 5062'!$L$4:$L$34,'FIRE TEX 5062'!$L$4:$L$34,"&gt;="&amp;M205),'FIRE TEX 5062'!$L$4:$P$34,IF(L205="F-15",2,IF(L205="F-30",3,IF(L205="F-60",4,IF(L205="F-90",5,0)))),0),0)+IF(AND(O205="FIRE TEX 5062",E205="CJ",J205=4),VLOOKUP(_xlfn.MINIFS('FIRE TEX 5062'!$Q$3:$Q$34,'FIRE TEX 5062'!$Q$3:$Q$34,"&gt;="&amp;M205),'FIRE TEX 5062'!$Q$3:$U$34,IF(L205="F-15",2,IF(L205="F-30",3,IF(L205="F-60",4,IF(L205="F-90",5,0)))),0),0)+IF(AND(O205="FIRE TEX 5090",OR(E205="IN",E205="C",E205="Z",E205="L"),J205=3),VLOOKUP(_xlfn.MINIFS('FIRE TEX 5090'!$B$5:$B$43,'FIRE TEX 5090'!$B$5:$B$43,"&gt;="&amp;M205),'FIRE TEX 5090'!$B$5:$H$43,IF(L205="F-15",2,IF(L205="F-30",3,IF(L205="F-60",4,IF(L205="F-90",5,IF(L205="F-120",6,IF(L205="F-150",7,0)))))),0),0)+IF(AND(O205="FIRE TEX 5090",OR(E205="IN",E205="C",E205="Z",E205="L"),J205=4),VLOOKUP(_xlfn.MINIFS('FIRE TEX 5090'!$J$5:$J$43,'FIRE TEX 5090'!$J$5:$J$43,"&gt;="&amp;M205),'FIRE TEX 5090'!$J$5:$P$43,IF(L205="F-15",2,IF(L205="F-30",3,IF(L205="F-60",4,IF(L205="F-90",5,IF(L205="F-120",6,IF(L205="F-150",7,0)))))),0),0)+IF(AND(O205="FIRE TEX 5090",E205="CJ",J205=3),VLOOKUP(_xlfn.MINIFS('FIRE TEX 5090'!$R$5:$R$30,'FIRE TEX 5090'!$R$5:$R$30,"&gt;="&amp;M205),'FIRE TEX 5090'!$R$5:$W$30,IF(L205="F-15",2,IF(L205="F-30",3,IF(L205="F-60",4,IF(L205="F-90",5,IF(L205="F-120",6,IF(L205="F-150",7,0)))))),0),0)+IF(AND(O205="FIRE TEX 5090",E205="CJ",J205=4),VLOOKUP(_xlfn.MINIFS('FIRE TEX 5090'!$Y$5:$Y$39,'FIRE TEX 5090'!$Y$5:$Y$39,"&gt;="&amp;M205),'FIRE TEX 5090'!$Y$5:$AD$39,IF(L205="F-15",2,IF(L205="F-30",3,IF(L205="F-60",4,IF(L205="F-90",5,IF(L205="F-120",6,IF(L205="F-150",7,0)))))),0),0)+IF(AND(O205="FIRE TEX 5120",OR(E205="IN",E205="C",E205="Z",E205="L"),J205=3),VLOOKUP(_xlfn.MINIFS('FIRE TEX 5120'!$B$5:$B$40,'FIRE TEX 5120'!$B$5:$B$40,"&gt;="&amp;M205),'FIRE TEX 5120'!$B$5:$G$40,IF(L205="F-15",2,IF(L205="F-30",3,IF(L205="F-60",4,IF(L205="F-90",5,IF(L205="F-120",6,0))))),0),0)+IF(AND(O205="FIRE TEX 5120",OR(E205="IN",E205="C",E205="Z",E205="L"),J205=4),VLOOKUP(_xlfn.MINIFS('FIRE TEX 5120'!$H$4:$H$40,'FIRE TEX 5120'!$H$4:$H$40,"&gt;="&amp;M205),'FIRE TEX 5120'!$H$4:$M$40,IF(L205="F-15",2,IF(L205="F-30",3,IF(L205="F-60",4,IF(L205="F-90",5,IF(L205="F-120",6,0))))),0),0)+IF(AND(O205="FIRE TEX 5120",E205="CJ"),VLOOKUP(_xlfn.MINIFS('FIRE TEX 5120'!$O$5:$O$40,'FIRE TEX 5120'!$O$5:$O$40,"&gt;="&amp;M205),'FIRE TEX 5120'!$O$5:$T$40,IF(L205="F-15",2,IF(L205="F-30",3,IF(L205="F-60",4,IF(L205="F-90",5,IF(L205="F-120",6,0))))),0),0)</f>
        <v>0</v>
      </c>
      <c r="Q205" s="46">
        <f t="shared" si="26"/>
        <v>0</v>
      </c>
      <c r="R205" s="46">
        <f t="shared" si="28"/>
        <v>0</v>
      </c>
      <c r="S205" s="46" t="e">
        <f t="shared" si="27"/>
        <v>#VALUE!</v>
      </c>
      <c r="T205" s="677">
        <f t="shared" si="29"/>
        <v>0</v>
      </c>
      <c r="U205" s="80">
        <f>(IF(O205="Stofire",(S205*#REF!),0))+(IF(O205="Fire Control",(S205*$U$2),0))+(IF(O205="Fire Tex",(S205*$U$3),0))+(IF(O205="WB7",(S205*#REF!),0)+(IF(O205="FX 2003",(S205*$U$5),0)))</f>
        <v>0</v>
      </c>
      <c r="V205" s="651">
        <f t="shared" si="30"/>
        <v>0</v>
      </c>
      <c r="W205" s="4"/>
    </row>
    <row r="206" spans="1:23" x14ac:dyDescent="0.25">
      <c r="A206" s="652" t="s">
        <v>452</v>
      </c>
      <c r="B206" s="653" t="s">
        <v>453</v>
      </c>
      <c r="C206" s="1" t="s">
        <v>408</v>
      </c>
      <c r="D206" s="118">
        <f>+CUBICACION!D205</f>
        <v>0</v>
      </c>
      <c r="E206" s="118">
        <f>+CUBICACION!F205</f>
        <v>0</v>
      </c>
      <c r="F206" s="118">
        <f>+CUBICACION!E205</f>
        <v>0</v>
      </c>
      <c r="G206" s="118">
        <v>12</v>
      </c>
      <c r="H206" s="118">
        <v>2</v>
      </c>
      <c r="I206" s="820">
        <v>26385</v>
      </c>
      <c r="J206" s="118">
        <f>+CUBICACION!J205</f>
        <v>0</v>
      </c>
      <c r="K206" s="118">
        <v>2985</v>
      </c>
      <c r="L206" s="118">
        <f>+CUBICACION!L205</f>
        <v>0</v>
      </c>
      <c r="M206" s="64">
        <f>+CUBICACION!M205</f>
        <v>0</v>
      </c>
      <c r="N206" s="824" t="str">
        <f>+CUBICACION!N205</f>
        <v/>
      </c>
      <c r="O206" s="675">
        <f>+CUBICACION!O205</f>
        <v>0</v>
      </c>
      <c r="P206" s="15">
        <f>IF(O206="Fire Control",VLOOKUP(_xlfn.MINIFS('FIRE CONTROL'!$C$4:$C$37,'FIRE CONTROL'!$C$4:$C$37,"&gt;="&amp;M206),'FIRE CONTROL'!$C$4:$G$37,IF(L206="F-15",2,IF(L206="F-30",3,IF(L206="F-60",4,IF(L206="F-90",5,0)))),0),0)+IF(AND(O206="FIRE TEX 5062",OR(E206="IN",E206="C",E206="Z",E206="L"),J206=3),VLOOKUP(_xlfn.MINIFS('FIRE TEX 5062'!$B$4:$B$34,'FIRE TEX 5062'!$B$4:$B$34,"&gt;="&amp;M206),'FIRE TEX 5062'!$B$4:$F$34,IF(L206="F-15",2,IF(L206="F-30",3,IF(L206="F-60",4,IF(L206="F-90",5,0)))),0),0)+IF(AND(O206="FIRE TEX 5062",OR(E206="IN",E206="C",E206="Z",E206="L"),J206=4),VLOOKUP(_xlfn.MINIFS('FIRE TEX 5062'!$G$4:$G$34,'FIRE TEX 5062'!$G$4:$G$34,"&gt;="&amp;M206),'FIRE TEX 5062'!$G$4:$K$34,IF(L206="F-15",2,IF(L206="F-30",3,IF(L206="F-60",4,IF(L206="F-90",5,0)))),0),0)+IF(AND(O206="FIRE TEX 5062",E206="CJ",J206=3),VLOOKUP(_xlfn.MINIFS('FIRE TEX 5062'!$L$4:$L$34,'FIRE TEX 5062'!$L$4:$L$34,"&gt;="&amp;M206),'FIRE TEX 5062'!$L$4:$P$34,IF(L206="F-15",2,IF(L206="F-30",3,IF(L206="F-60",4,IF(L206="F-90",5,0)))),0),0)+IF(AND(O206="FIRE TEX 5062",E206="CJ",J206=4),VLOOKUP(_xlfn.MINIFS('FIRE TEX 5062'!$Q$3:$Q$34,'FIRE TEX 5062'!$Q$3:$Q$34,"&gt;="&amp;M206),'FIRE TEX 5062'!$Q$3:$U$34,IF(L206="F-15",2,IF(L206="F-30",3,IF(L206="F-60",4,IF(L206="F-90",5,0)))),0),0)+IF(AND(O206="FIRE TEX 5090",OR(E206="IN",E206="C",E206="Z",E206="L"),J206=3),VLOOKUP(_xlfn.MINIFS('FIRE TEX 5090'!$B$5:$B$43,'FIRE TEX 5090'!$B$5:$B$43,"&gt;="&amp;M206),'FIRE TEX 5090'!$B$5:$H$43,IF(L206="F-15",2,IF(L206="F-30",3,IF(L206="F-60",4,IF(L206="F-90",5,IF(L206="F-120",6,IF(L206="F-150",7,0)))))),0),0)+IF(AND(O206="FIRE TEX 5090",OR(E206="IN",E206="C",E206="Z",E206="L"),J206=4),VLOOKUP(_xlfn.MINIFS('FIRE TEX 5090'!$J$5:$J$43,'FIRE TEX 5090'!$J$5:$J$43,"&gt;="&amp;M206),'FIRE TEX 5090'!$J$5:$P$43,IF(L206="F-15",2,IF(L206="F-30",3,IF(L206="F-60",4,IF(L206="F-90",5,IF(L206="F-120",6,IF(L206="F-150",7,0)))))),0),0)+IF(AND(O206="FIRE TEX 5090",E206="CJ",J206=3),VLOOKUP(_xlfn.MINIFS('FIRE TEX 5090'!$R$5:$R$30,'FIRE TEX 5090'!$R$5:$R$30,"&gt;="&amp;M206),'FIRE TEX 5090'!$R$5:$W$30,IF(L206="F-15",2,IF(L206="F-30",3,IF(L206="F-60",4,IF(L206="F-90",5,IF(L206="F-120",6,IF(L206="F-150",7,0)))))),0),0)+IF(AND(O206="FIRE TEX 5090",E206="CJ",J206=4),VLOOKUP(_xlfn.MINIFS('FIRE TEX 5090'!$Y$5:$Y$39,'FIRE TEX 5090'!$Y$5:$Y$39,"&gt;="&amp;M206),'FIRE TEX 5090'!$Y$5:$AD$39,IF(L206="F-15",2,IF(L206="F-30",3,IF(L206="F-60",4,IF(L206="F-90",5,IF(L206="F-120",6,IF(L206="F-150",7,0)))))),0),0)+IF(AND(O206="FIRE TEX 5120",OR(E206="IN",E206="C",E206="Z",E206="L"),J206=3),VLOOKUP(_xlfn.MINIFS('FIRE TEX 5120'!$B$5:$B$40,'FIRE TEX 5120'!$B$5:$B$40,"&gt;="&amp;M206),'FIRE TEX 5120'!$B$5:$G$40,IF(L206="F-15",2,IF(L206="F-30",3,IF(L206="F-60",4,IF(L206="F-90",5,IF(L206="F-120",6,0))))),0),0)+IF(AND(O206="FIRE TEX 5120",OR(E206="IN",E206="C",E206="Z",E206="L"),J206=4),VLOOKUP(_xlfn.MINIFS('FIRE TEX 5120'!$H$4:$H$40,'FIRE TEX 5120'!$H$4:$H$40,"&gt;="&amp;M206),'FIRE TEX 5120'!$H$4:$M$40,IF(L206="F-15",2,IF(L206="F-30",3,IF(L206="F-60",4,IF(L206="F-90",5,IF(L206="F-120",6,0))))),0),0)+IF(AND(O206="FIRE TEX 5120",E206="CJ"),VLOOKUP(_xlfn.MINIFS('FIRE TEX 5120'!$O$5:$O$40,'FIRE TEX 5120'!$O$5:$O$40,"&gt;="&amp;M206),'FIRE TEX 5120'!$O$5:$T$40,IF(L206="F-15",2,IF(L206="F-30",3,IF(L206="F-60",4,IF(L206="F-90",5,IF(L206="F-120",6,0))))),0),0)</f>
        <v>0</v>
      </c>
      <c r="Q206" s="46">
        <f t="shared" si="26"/>
        <v>0</v>
      </c>
      <c r="R206" s="46">
        <f t="shared" si="28"/>
        <v>0</v>
      </c>
      <c r="S206" s="46" t="e">
        <f t="shared" si="27"/>
        <v>#VALUE!</v>
      </c>
      <c r="T206" s="677">
        <f t="shared" si="29"/>
        <v>0</v>
      </c>
      <c r="U206" s="80">
        <f>(IF(O206="Stofire",(S206*#REF!),0))+(IF(O206="Fire Control",(S206*$U$2),0))+(IF(O206="Fire Tex",(S206*$U$3),0))+(IF(O206="WB7",(S206*#REF!),0)+(IF(O206="FX 2003",(S206*$U$5),0)))</f>
        <v>0</v>
      </c>
      <c r="V206" s="651">
        <f t="shared" si="30"/>
        <v>0</v>
      </c>
      <c r="W206" s="4"/>
    </row>
    <row r="207" spans="1:23" x14ac:dyDescent="0.25">
      <c r="A207" s="652" t="s">
        <v>456</v>
      </c>
      <c r="B207" s="653" t="s">
        <v>453</v>
      </c>
      <c r="C207" s="1" t="s">
        <v>457</v>
      </c>
      <c r="D207" s="118">
        <f>+CUBICACION!D206</f>
        <v>0</v>
      </c>
      <c r="E207" s="118">
        <f>+CUBICACION!F206</f>
        <v>0</v>
      </c>
      <c r="F207" s="118">
        <f>+CUBICACION!E206</f>
        <v>0</v>
      </c>
      <c r="G207" s="118">
        <v>12</v>
      </c>
      <c r="H207" s="118">
        <v>2</v>
      </c>
      <c r="I207" s="820">
        <v>26385</v>
      </c>
      <c r="J207" s="118">
        <f>+CUBICACION!J206</f>
        <v>0</v>
      </c>
      <c r="K207" s="118">
        <v>2986</v>
      </c>
      <c r="L207" s="118">
        <f>+CUBICACION!L206</f>
        <v>0</v>
      </c>
      <c r="M207" s="64">
        <f>+CUBICACION!M206</f>
        <v>0</v>
      </c>
      <c r="N207" s="824" t="str">
        <f>+CUBICACION!N206</f>
        <v/>
      </c>
      <c r="O207" s="675">
        <f>+CUBICACION!O206</f>
        <v>0</v>
      </c>
      <c r="P207" s="15">
        <f>IF(O207="Fire Control",VLOOKUP(_xlfn.MINIFS('FIRE CONTROL'!$C$4:$C$37,'FIRE CONTROL'!$C$4:$C$37,"&gt;="&amp;M207),'FIRE CONTROL'!$C$4:$G$37,IF(L207="F-15",2,IF(L207="F-30",3,IF(L207="F-60",4,IF(L207="F-90",5,0)))),0),0)+IF(AND(O207="FIRE TEX 5062",OR(E207="IN",E207="C",E207="Z",E207="L"),J207=3),VLOOKUP(_xlfn.MINIFS('FIRE TEX 5062'!$B$4:$B$34,'FIRE TEX 5062'!$B$4:$B$34,"&gt;="&amp;M207),'FIRE TEX 5062'!$B$4:$F$34,IF(L207="F-15",2,IF(L207="F-30",3,IF(L207="F-60",4,IF(L207="F-90",5,0)))),0),0)+IF(AND(O207="FIRE TEX 5062",OR(E207="IN",E207="C",E207="Z",E207="L"),J207=4),VLOOKUP(_xlfn.MINIFS('FIRE TEX 5062'!$G$4:$G$34,'FIRE TEX 5062'!$G$4:$G$34,"&gt;="&amp;M207),'FIRE TEX 5062'!$G$4:$K$34,IF(L207="F-15",2,IF(L207="F-30",3,IF(L207="F-60",4,IF(L207="F-90",5,0)))),0),0)+IF(AND(O207="FIRE TEX 5062",E207="CJ",J207=3),VLOOKUP(_xlfn.MINIFS('FIRE TEX 5062'!$L$4:$L$34,'FIRE TEX 5062'!$L$4:$L$34,"&gt;="&amp;M207),'FIRE TEX 5062'!$L$4:$P$34,IF(L207="F-15",2,IF(L207="F-30",3,IF(L207="F-60",4,IF(L207="F-90",5,0)))),0),0)+IF(AND(O207="FIRE TEX 5062",E207="CJ",J207=4),VLOOKUP(_xlfn.MINIFS('FIRE TEX 5062'!$Q$3:$Q$34,'FIRE TEX 5062'!$Q$3:$Q$34,"&gt;="&amp;M207),'FIRE TEX 5062'!$Q$3:$U$34,IF(L207="F-15",2,IF(L207="F-30",3,IF(L207="F-60",4,IF(L207="F-90",5,0)))),0),0)+IF(AND(O207="FIRE TEX 5090",OR(E207="IN",E207="C",E207="Z",E207="L"),J207=3),VLOOKUP(_xlfn.MINIFS('FIRE TEX 5090'!$B$5:$B$43,'FIRE TEX 5090'!$B$5:$B$43,"&gt;="&amp;M207),'FIRE TEX 5090'!$B$5:$H$43,IF(L207="F-15",2,IF(L207="F-30",3,IF(L207="F-60",4,IF(L207="F-90",5,IF(L207="F-120",6,IF(L207="F-150",7,0)))))),0),0)+IF(AND(O207="FIRE TEX 5090",OR(E207="IN",E207="C",E207="Z",E207="L"),J207=4),VLOOKUP(_xlfn.MINIFS('FIRE TEX 5090'!$J$5:$J$43,'FIRE TEX 5090'!$J$5:$J$43,"&gt;="&amp;M207),'FIRE TEX 5090'!$J$5:$P$43,IF(L207="F-15",2,IF(L207="F-30",3,IF(L207="F-60",4,IF(L207="F-90",5,IF(L207="F-120",6,IF(L207="F-150",7,0)))))),0),0)+IF(AND(O207="FIRE TEX 5090",E207="CJ",J207=3),VLOOKUP(_xlfn.MINIFS('FIRE TEX 5090'!$R$5:$R$30,'FIRE TEX 5090'!$R$5:$R$30,"&gt;="&amp;M207),'FIRE TEX 5090'!$R$5:$W$30,IF(L207="F-15",2,IF(L207="F-30",3,IF(L207="F-60",4,IF(L207="F-90",5,IF(L207="F-120",6,IF(L207="F-150",7,0)))))),0),0)+IF(AND(O207="FIRE TEX 5090",E207="CJ",J207=4),VLOOKUP(_xlfn.MINIFS('FIRE TEX 5090'!$Y$5:$Y$39,'FIRE TEX 5090'!$Y$5:$Y$39,"&gt;="&amp;M207),'FIRE TEX 5090'!$Y$5:$AD$39,IF(L207="F-15",2,IF(L207="F-30",3,IF(L207="F-60",4,IF(L207="F-90",5,IF(L207="F-120",6,IF(L207="F-150",7,0)))))),0),0)+IF(AND(O207="FIRE TEX 5120",OR(E207="IN",E207="C",E207="Z",E207="L"),J207=3),VLOOKUP(_xlfn.MINIFS('FIRE TEX 5120'!$B$5:$B$40,'FIRE TEX 5120'!$B$5:$B$40,"&gt;="&amp;M207),'FIRE TEX 5120'!$B$5:$G$40,IF(L207="F-15",2,IF(L207="F-30",3,IF(L207="F-60",4,IF(L207="F-90",5,IF(L207="F-120",6,0))))),0),0)+IF(AND(O207="FIRE TEX 5120",OR(E207="IN",E207="C",E207="Z",E207="L"),J207=4),VLOOKUP(_xlfn.MINIFS('FIRE TEX 5120'!$H$4:$H$40,'FIRE TEX 5120'!$H$4:$H$40,"&gt;="&amp;M207),'FIRE TEX 5120'!$H$4:$M$40,IF(L207="F-15",2,IF(L207="F-30",3,IF(L207="F-60",4,IF(L207="F-90",5,IF(L207="F-120",6,0))))),0),0)+IF(AND(O207="FIRE TEX 5120",E207="CJ"),VLOOKUP(_xlfn.MINIFS('FIRE TEX 5120'!$O$5:$O$40,'FIRE TEX 5120'!$O$5:$O$40,"&gt;="&amp;M207),'FIRE TEX 5120'!$O$5:$T$40,IF(L207="F-15",2,IF(L207="F-30",3,IF(L207="F-60",4,IF(L207="F-90",5,IF(L207="F-120",6,0))))),0),0)</f>
        <v>0</v>
      </c>
      <c r="Q207" s="46">
        <f t="shared" si="26"/>
        <v>0</v>
      </c>
      <c r="R207" s="46">
        <f t="shared" si="28"/>
        <v>0</v>
      </c>
      <c r="S207" s="46" t="e">
        <f t="shared" si="27"/>
        <v>#VALUE!</v>
      </c>
      <c r="T207" s="677">
        <f t="shared" si="29"/>
        <v>0</v>
      </c>
      <c r="U207" s="80">
        <f>(IF(O207="Stofire",(S207*#REF!),0))+(IF(O207="Fire Control",(S207*$U$2),0))+(IF(O207="Fire Tex",(S207*$U$3),0))+(IF(O207="WB7",(S207*#REF!),0)+(IF(O207="FX 2003",(S207*$U$5),0)))</f>
        <v>0</v>
      </c>
      <c r="V207" s="651">
        <f t="shared" si="30"/>
        <v>0</v>
      </c>
      <c r="W207" s="4"/>
    </row>
    <row r="208" spans="1:23" x14ac:dyDescent="0.25">
      <c r="A208" s="652" t="s">
        <v>456</v>
      </c>
      <c r="B208" s="653" t="s">
        <v>453</v>
      </c>
      <c r="C208" s="1" t="s">
        <v>408</v>
      </c>
      <c r="D208" s="118">
        <f>+CUBICACION!D207</f>
        <v>0</v>
      </c>
      <c r="E208" s="118">
        <f>+CUBICACION!F207</f>
        <v>0</v>
      </c>
      <c r="F208" s="118">
        <f>+CUBICACION!E207</f>
        <v>0</v>
      </c>
      <c r="G208" s="118">
        <v>12</v>
      </c>
      <c r="H208" s="118">
        <v>2</v>
      </c>
      <c r="I208" s="820">
        <v>26385</v>
      </c>
      <c r="J208" s="118">
        <f>+CUBICACION!J207</f>
        <v>0</v>
      </c>
      <c r="K208" s="118">
        <v>2987</v>
      </c>
      <c r="L208" s="118">
        <f>+CUBICACION!L207</f>
        <v>0</v>
      </c>
      <c r="M208" s="64">
        <f>+CUBICACION!M207</f>
        <v>0</v>
      </c>
      <c r="N208" s="824" t="str">
        <f>+CUBICACION!N207</f>
        <v/>
      </c>
      <c r="O208" s="675">
        <f>+CUBICACION!O207</f>
        <v>0</v>
      </c>
      <c r="P208" s="15">
        <f>IF(O208="Fire Control",VLOOKUP(_xlfn.MINIFS('FIRE CONTROL'!$C$4:$C$37,'FIRE CONTROL'!$C$4:$C$37,"&gt;="&amp;M208),'FIRE CONTROL'!$C$4:$G$37,IF(L208="F-15",2,IF(L208="F-30",3,IF(L208="F-60",4,IF(L208="F-90",5,0)))),0),0)+IF(AND(O208="FIRE TEX 5062",OR(E208="IN",E208="C",E208="Z",E208="L"),J208=3),VLOOKUP(_xlfn.MINIFS('FIRE TEX 5062'!$B$4:$B$34,'FIRE TEX 5062'!$B$4:$B$34,"&gt;="&amp;M208),'FIRE TEX 5062'!$B$4:$F$34,IF(L208="F-15",2,IF(L208="F-30",3,IF(L208="F-60",4,IF(L208="F-90",5,0)))),0),0)+IF(AND(O208="FIRE TEX 5062",OR(E208="IN",E208="C",E208="Z",E208="L"),J208=4),VLOOKUP(_xlfn.MINIFS('FIRE TEX 5062'!$G$4:$G$34,'FIRE TEX 5062'!$G$4:$G$34,"&gt;="&amp;M208),'FIRE TEX 5062'!$G$4:$K$34,IF(L208="F-15",2,IF(L208="F-30",3,IF(L208="F-60",4,IF(L208="F-90",5,0)))),0),0)+IF(AND(O208="FIRE TEX 5062",E208="CJ",J208=3),VLOOKUP(_xlfn.MINIFS('FIRE TEX 5062'!$L$4:$L$34,'FIRE TEX 5062'!$L$4:$L$34,"&gt;="&amp;M208),'FIRE TEX 5062'!$L$4:$P$34,IF(L208="F-15",2,IF(L208="F-30",3,IF(L208="F-60",4,IF(L208="F-90",5,0)))),0),0)+IF(AND(O208="FIRE TEX 5062",E208="CJ",J208=4),VLOOKUP(_xlfn.MINIFS('FIRE TEX 5062'!$Q$3:$Q$34,'FIRE TEX 5062'!$Q$3:$Q$34,"&gt;="&amp;M208),'FIRE TEX 5062'!$Q$3:$U$34,IF(L208="F-15",2,IF(L208="F-30",3,IF(L208="F-60",4,IF(L208="F-90",5,0)))),0),0)+IF(AND(O208="FIRE TEX 5090",OR(E208="IN",E208="C",E208="Z",E208="L"),J208=3),VLOOKUP(_xlfn.MINIFS('FIRE TEX 5090'!$B$5:$B$43,'FIRE TEX 5090'!$B$5:$B$43,"&gt;="&amp;M208),'FIRE TEX 5090'!$B$5:$H$43,IF(L208="F-15",2,IF(L208="F-30",3,IF(L208="F-60",4,IF(L208="F-90",5,IF(L208="F-120",6,IF(L208="F-150",7,0)))))),0),0)+IF(AND(O208="FIRE TEX 5090",OR(E208="IN",E208="C",E208="Z",E208="L"),J208=4),VLOOKUP(_xlfn.MINIFS('FIRE TEX 5090'!$J$5:$J$43,'FIRE TEX 5090'!$J$5:$J$43,"&gt;="&amp;M208),'FIRE TEX 5090'!$J$5:$P$43,IF(L208="F-15",2,IF(L208="F-30",3,IF(L208="F-60",4,IF(L208="F-90",5,IF(L208="F-120",6,IF(L208="F-150",7,0)))))),0),0)+IF(AND(O208="FIRE TEX 5090",E208="CJ",J208=3),VLOOKUP(_xlfn.MINIFS('FIRE TEX 5090'!$R$5:$R$30,'FIRE TEX 5090'!$R$5:$R$30,"&gt;="&amp;M208),'FIRE TEX 5090'!$R$5:$W$30,IF(L208="F-15",2,IF(L208="F-30",3,IF(L208="F-60",4,IF(L208="F-90",5,IF(L208="F-120",6,IF(L208="F-150",7,0)))))),0),0)+IF(AND(O208="FIRE TEX 5090",E208="CJ",J208=4),VLOOKUP(_xlfn.MINIFS('FIRE TEX 5090'!$Y$5:$Y$39,'FIRE TEX 5090'!$Y$5:$Y$39,"&gt;="&amp;M208),'FIRE TEX 5090'!$Y$5:$AD$39,IF(L208="F-15",2,IF(L208="F-30",3,IF(L208="F-60",4,IF(L208="F-90",5,IF(L208="F-120",6,IF(L208="F-150",7,0)))))),0),0)+IF(AND(O208="FIRE TEX 5120",OR(E208="IN",E208="C",E208="Z",E208="L"),J208=3),VLOOKUP(_xlfn.MINIFS('FIRE TEX 5120'!$B$5:$B$40,'FIRE TEX 5120'!$B$5:$B$40,"&gt;="&amp;M208),'FIRE TEX 5120'!$B$5:$G$40,IF(L208="F-15",2,IF(L208="F-30",3,IF(L208="F-60",4,IF(L208="F-90",5,IF(L208="F-120",6,0))))),0),0)+IF(AND(O208="FIRE TEX 5120",OR(E208="IN",E208="C",E208="Z",E208="L"),J208=4),VLOOKUP(_xlfn.MINIFS('FIRE TEX 5120'!$H$4:$H$40,'FIRE TEX 5120'!$H$4:$H$40,"&gt;="&amp;M208),'FIRE TEX 5120'!$H$4:$M$40,IF(L208="F-15",2,IF(L208="F-30",3,IF(L208="F-60",4,IF(L208="F-90",5,IF(L208="F-120",6,0))))),0),0)+IF(AND(O208="FIRE TEX 5120",E208="CJ"),VLOOKUP(_xlfn.MINIFS('FIRE TEX 5120'!$O$5:$O$40,'FIRE TEX 5120'!$O$5:$O$40,"&gt;="&amp;M208),'FIRE TEX 5120'!$O$5:$T$40,IF(L208="F-15",2,IF(L208="F-30",3,IF(L208="F-60",4,IF(L208="F-90",5,IF(L208="F-120",6,0))))),0),0)</f>
        <v>0</v>
      </c>
      <c r="Q208" s="46">
        <f t="shared" si="26"/>
        <v>0</v>
      </c>
      <c r="R208" s="46">
        <f t="shared" si="28"/>
        <v>0</v>
      </c>
      <c r="S208" s="46" t="e">
        <f t="shared" si="27"/>
        <v>#VALUE!</v>
      </c>
      <c r="T208" s="677">
        <f t="shared" si="29"/>
        <v>0</v>
      </c>
      <c r="U208" s="80">
        <f>(IF(O208="Stofire",(S208*#REF!),0))+(IF(O208="Fire Control",(S208*$U$2),0))+(IF(O208="Fire Tex",(S208*$U$3),0))+(IF(O208="WB7",(S208*#REF!),0)+(IF(O208="FX 2003",(S208*$U$5),0)))</f>
        <v>0</v>
      </c>
      <c r="V208" s="651">
        <f t="shared" si="30"/>
        <v>0</v>
      </c>
      <c r="W208" s="4"/>
    </row>
    <row r="209" spans="1:23" x14ac:dyDescent="0.25">
      <c r="A209" s="652" t="s">
        <v>456</v>
      </c>
      <c r="B209" s="653" t="s">
        <v>453</v>
      </c>
      <c r="C209" s="1" t="s">
        <v>408</v>
      </c>
      <c r="D209" s="118">
        <f>+CUBICACION!D208</f>
        <v>0</v>
      </c>
      <c r="E209" s="118">
        <f>+CUBICACION!F208</f>
        <v>0</v>
      </c>
      <c r="F209" s="118">
        <f>+CUBICACION!E208</f>
        <v>0</v>
      </c>
      <c r="G209" s="118">
        <v>12</v>
      </c>
      <c r="H209" s="118">
        <v>2</v>
      </c>
      <c r="I209" s="820">
        <v>26385</v>
      </c>
      <c r="J209" s="118">
        <f>+CUBICACION!J208</f>
        <v>0</v>
      </c>
      <c r="K209" s="118">
        <v>2988</v>
      </c>
      <c r="L209" s="118">
        <f>+CUBICACION!L208</f>
        <v>0</v>
      </c>
      <c r="M209" s="64">
        <f>+CUBICACION!M208</f>
        <v>0</v>
      </c>
      <c r="N209" s="824" t="str">
        <f>+CUBICACION!N208</f>
        <v/>
      </c>
      <c r="O209" s="675">
        <f>+CUBICACION!O208</f>
        <v>0</v>
      </c>
      <c r="P209" s="15">
        <f>IF(O209="Fire Control",VLOOKUP(_xlfn.MINIFS('FIRE CONTROL'!$C$4:$C$37,'FIRE CONTROL'!$C$4:$C$37,"&gt;="&amp;M209),'FIRE CONTROL'!$C$4:$G$37,IF(L209="F-15",2,IF(L209="F-30",3,IF(L209="F-60",4,IF(L209="F-90",5,0)))),0),0)+IF(AND(O209="FIRE TEX 5062",OR(E209="IN",E209="C",E209="Z",E209="L"),J209=3),VLOOKUP(_xlfn.MINIFS('FIRE TEX 5062'!$B$4:$B$34,'FIRE TEX 5062'!$B$4:$B$34,"&gt;="&amp;M209),'FIRE TEX 5062'!$B$4:$F$34,IF(L209="F-15",2,IF(L209="F-30",3,IF(L209="F-60",4,IF(L209="F-90",5,0)))),0),0)+IF(AND(O209="FIRE TEX 5062",OR(E209="IN",E209="C",E209="Z",E209="L"),J209=4),VLOOKUP(_xlfn.MINIFS('FIRE TEX 5062'!$G$4:$G$34,'FIRE TEX 5062'!$G$4:$G$34,"&gt;="&amp;M209),'FIRE TEX 5062'!$G$4:$K$34,IF(L209="F-15",2,IF(L209="F-30",3,IF(L209="F-60",4,IF(L209="F-90",5,0)))),0),0)+IF(AND(O209="FIRE TEX 5062",E209="CJ",J209=3),VLOOKUP(_xlfn.MINIFS('FIRE TEX 5062'!$L$4:$L$34,'FIRE TEX 5062'!$L$4:$L$34,"&gt;="&amp;M209),'FIRE TEX 5062'!$L$4:$P$34,IF(L209="F-15",2,IF(L209="F-30",3,IF(L209="F-60",4,IF(L209="F-90",5,0)))),0),0)+IF(AND(O209="FIRE TEX 5062",E209="CJ",J209=4),VLOOKUP(_xlfn.MINIFS('FIRE TEX 5062'!$Q$3:$Q$34,'FIRE TEX 5062'!$Q$3:$Q$34,"&gt;="&amp;M209),'FIRE TEX 5062'!$Q$3:$U$34,IF(L209="F-15",2,IF(L209="F-30",3,IF(L209="F-60",4,IF(L209="F-90",5,0)))),0),0)+IF(AND(O209="FIRE TEX 5090",OR(E209="IN",E209="C",E209="Z",E209="L"),J209=3),VLOOKUP(_xlfn.MINIFS('FIRE TEX 5090'!$B$5:$B$43,'FIRE TEX 5090'!$B$5:$B$43,"&gt;="&amp;M209),'FIRE TEX 5090'!$B$5:$H$43,IF(L209="F-15",2,IF(L209="F-30",3,IF(L209="F-60",4,IF(L209="F-90",5,IF(L209="F-120",6,IF(L209="F-150",7,0)))))),0),0)+IF(AND(O209="FIRE TEX 5090",OR(E209="IN",E209="C",E209="Z",E209="L"),J209=4),VLOOKUP(_xlfn.MINIFS('FIRE TEX 5090'!$J$5:$J$43,'FIRE TEX 5090'!$J$5:$J$43,"&gt;="&amp;M209),'FIRE TEX 5090'!$J$5:$P$43,IF(L209="F-15",2,IF(L209="F-30",3,IF(L209="F-60",4,IF(L209="F-90",5,IF(L209="F-120",6,IF(L209="F-150",7,0)))))),0),0)+IF(AND(O209="FIRE TEX 5090",E209="CJ",J209=3),VLOOKUP(_xlfn.MINIFS('FIRE TEX 5090'!$R$5:$R$30,'FIRE TEX 5090'!$R$5:$R$30,"&gt;="&amp;M209),'FIRE TEX 5090'!$R$5:$W$30,IF(L209="F-15",2,IF(L209="F-30",3,IF(L209="F-60",4,IF(L209="F-90",5,IF(L209="F-120",6,IF(L209="F-150",7,0)))))),0),0)+IF(AND(O209="FIRE TEX 5090",E209="CJ",J209=4),VLOOKUP(_xlfn.MINIFS('FIRE TEX 5090'!$Y$5:$Y$39,'FIRE TEX 5090'!$Y$5:$Y$39,"&gt;="&amp;M209),'FIRE TEX 5090'!$Y$5:$AD$39,IF(L209="F-15",2,IF(L209="F-30",3,IF(L209="F-60",4,IF(L209="F-90",5,IF(L209="F-120",6,IF(L209="F-150",7,0)))))),0),0)+IF(AND(O209="FIRE TEX 5120",OR(E209="IN",E209="C",E209="Z",E209="L"),J209=3),VLOOKUP(_xlfn.MINIFS('FIRE TEX 5120'!$B$5:$B$40,'FIRE TEX 5120'!$B$5:$B$40,"&gt;="&amp;M209),'FIRE TEX 5120'!$B$5:$G$40,IF(L209="F-15",2,IF(L209="F-30",3,IF(L209="F-60",4,IF(L209="F-90",5,IF(L209="F-120",6,0))))),0),0)+IF(AND(O209="FIRE TEX 5120",OR(E209="IN",E209="C",E209="Z",E209="L"),J209=4),VLOOKUP(_xlfn.MINIFS('FIRE TEX 5120'!$H$4:$H$40,'FIRE TEX 5120'!$H$4:$H$40,"&gt;="&amp;M209),'FIRE TEX 5120'!$H$4:$M$40,IF(L209="F-15",2,IF(L209="F-30",3,IF(L209="F-60",4,IF(L209="F-90",5,IF(L209="F-120",6,0))))),0),0)+IF(AND(O209="FIRE TEX 5120",E209="CJ"),VLOOKUP(_xlfn.MINIFS('FIRE TEX 5120'!$O$5:$O$40,'FIRE TEX 5120'!$O$5:$O$40,"&gt;="&amp;M209),'FIRE TEX 5120'!$O$5:$T$40,IF(L209="F-15",2,IF(L209="F-30",3,IF(L209="F-60",4,IF(L209="F-90",5,IF(L209="F-120",6,0))))),0),0)</f>
        <v>0</v>
      </c>
      <c r="Q209" s="46">
        <f t="shared" si="26"/>
        <v>0</v>
      </c>
      <c r="R209" s="46">
        <f t="shared" si="28"/>
        <v>0</v>
      </c>
      <c r="S209" s="46" t="e">
        <f t="shared" si="27"/>
        <v>#VALUE!</v>
      </c>
      <c r="T209" s="677">
        <f t="shared" si="29"/>
        <v>0</v>
      </c>
      <c r="U209" s="80">
        <f>(IF(O209="Stofire",(S209*#REF!),0))+(IF(O209="Fire Control",(S209*$U$2),0))+(IF(O209="Fire Tex",(S209*$U$3),0))+(IF(O209="WB7",(S209*#REF!),0)+(IF(O209="FX 2003",(S209*$U$5),0)))</f>
        <v>0</v>
      </c>
      <c r="V209" s="651">
        <f t="shared" si="30"/>
        <v>0</v>
      </c>
      <c r="W209" s="4"/>
    </row>
    <row r="210" spans="1:23" x14ac:dyDescent="0.25">
      <c r="A210" s="652" t="s">
        <v>458</v>
      </c>
      <c r="B210" s="653" t="s">
        <v>459</v>
      </c>
      <c r="C210" s="1" t="s">
        <v>460</v>
      </c>
      <c r="D210" s="118">
        <f>+CUBICACION!D209</f>
        <v>0</v>
      </c>
      <c r="E210" s="118">
        <f>+CUBICACION!F209</f>
        <v>0</v>
      </c>
      <c r="F210" s="118">
        <f>+CUBICACION!E209</f>
        <v>0</v>
      </c>
      <c r="G210" s="118">
        <v>12</v>
      </c>
      <c r="H210" s="118">
        <v>2</v>
      </c>
      <c r="I210" s="820">
        <v>26385</v>
      </c>
      <c r="J210" s="118">
        <f>+CUBICACION!J209</f>
        <v>0</v>
      </c>
      <c r="K210" s="118">
        <v>2989</v>
      </c>
      <c r="L210" s="118">
        <f>+CUBICACION!L209</f>
        <v>0</v>
      </c>
      <c r="M210" s="64">
        <f>+CUBICACION!M209</f>
        <v>0</v>
      </c>
      <c r="N210" s="824" t="str">
        <f>+CUBICACION!N209</f>
        <v/>
      </c>
      <c r="O210" s="675">
        <f>+CUBICACION!O209</f>
        <v>0</v>
      </c>
      <c r="P210" s="15">
        <f>IF(O210="Fire Control",VLOOKUP(_xlfn.MINIFS('FIRE CONTROL'!$C$4:$C$37,'FIRE CONTROL'!$C$4:$C$37,"&gt;="&amp;M210),'FIRE CONTROL'!$C$4:$G$37,IF(L210="F-15",2,IF(L210="F-30",3,IF(L210="F-60",4,IF(L210="F-90",5,0)))),0),0)+IF(AND(O210="FIRE TEX 5062",OR(E210="IN",E210="C",E210="Z",E210="L"),J210=3),VLOOKUP(_xlfn.MINIFS('FIRE TEX 5062'!$B$4:$B$34,'FIRE TEX 5062'!$B$4:$B$34,"&gt;="&amp;M210),'FIRE TEX 5062'!$B$4:$F$34,IF(L210="F-15",2,IF(L210="F-30",3,IF(L210="F-60",4,IF(L210="F-90",5,0)))),0),0)+IF(AND(O210="FIRE TEX 5062",OR(E210="IN",E210="C",E210="Z",E210="L"),J210=4),VLOOKUP(_xlfn.MINIFS('FIRE TEX 5062'!$G$4:$G$34,'FIRE TEX 5062'!$G$4:$G$34,"&gt;="&amp;M210),'FIRE TEX 5062'!$G$4:$K$34,IF(L210="F-15",2,IF(L210="F-30",3,IF(L210="F-60",4,IF(L210="F-90",5,0)))),0),0)+IF(AND(O210="FIRE TEX 5062",E210="CJ",J210=3),VLOOKUP(_xlfn.MINIFS('FIRE TEX 5062'!$L$4:$L$34,'FIRE TEX 5062'!$L$4:$L$34,"&gt;="&amp;M210),'FIRE TEX 5062'!$L$4:$P$34,IF(L210="F-15",2,IF(L210="F-30",3,IF(L210="F-60",4,IF(L210="F-90",5,0)))),0),0)+IF(AND(O210="FIRE TEX 5062",E210="CJ",J210=4),VLOOKUP(_xlfn.MINIFS('FIRE TEX 5062'!$Q$3:$Q$34,'FIRE TEX 5062'!$Q$3:$Q$34,"&gt;="&amp;M210),'FIRE TEX 5062'!$Q$3:$U$34,IF(L210="F-15",2,IF(L210="F-30",3,IF(L210="F-60",4,IF(L210="F-90",5,0)))),0),0)+IF(AND(O210="FIRE TEX 5090",OR(E210="IN",E210="C",E210="Z",E210="L"),J210=3),VLOOKUP(_xlfn.MINIFS('FIRE TEX 5090'!$B$5:$B$43,'FIRE TEX 5090'!$B$5:$B$43,"&gt;="&amp;M210),'FIRE TEX 5090'!$B$5:$H$43,IF(L210="F-15",2,IF(L210="F-30",3,IF(L210="F-60",4,IF(L210="F-90",5,IF(L210="F-120",6,IF(L210="F-150",7,0)))))),0),0)+IF(AND(O210="FIRE TEX 5090",OR(E210="IN",E210="C",E210="Z",E210="L"),J210=4),VLOOKUP(_xlfn.MINIFS('FIRE TEX 5090'!$J$5:$J$43,'FIRE TEX 5090'!$J$5:$J$43,"&gt;="&amp;M210),'FIRE TEX 5090'!$J$5:$P$43,IF(L210="F-15",2,IF(L210="F-30",3,IF(L210="F-60",4,IF(L210="F-90",5,IF(L210="F-120",6,IF(L210="F-150",7,0)))))),0),0)+IF(AND(O210="FIRE TEX 5090",E210="CJ",J210=3),VLOOKUP(_xlfn.MINIFS('FIRE TEX 5090'!$R$5:$R$30,'FIRE TEX 5090'!$R$5:$R$30,"&gt;="&amp;M210),'FIRE TEX 5090'!$R$5:$W$30,IF(L210="F-15",2,IF(L210="F-30",3,IF(L210="F-60",4,IF(L210="F-90",5,IF(L210="F-120",6,IF(L210="F-150",7,0)))))),0),0)+IF(AND(O210="FIRE TEX 5090",E210="CJ",J210=4),VLOOKUP(_xlfn.MINIFS('FIRE TEX 5090'!$Y$5:$Y$39,'FIRE TEX 5090'!$Y$5:$Y$39,"&gt;="&amp;M210),'FIRE TEX 5090'!$Y$5:$AD$39,IF(L210="F-15",2,IF(L210="F-30",3,IF(L210="F-60",4,IF(L210="F-90",5,IF(L210="F-120",6,IF(L210="F-150",7,0)))))),0),0)+IF(AND(O210="FIRE TEX 5120",OR(E210="IN",E210="C",E210="Z",E210="L"),J210=3),VLOOKUP(_xlfn.MINIFS('FIRE TEX 5120'!$B$5:$B$40,'FIRE TEX 5120'!$B$5:$B$40,"&gt;="&amp;M210),'FIRE TEX 5120'!$B$5:$G$40,IF(L210="F-15",2,IF(L210="F-30",3,IF(L210="F-60",4,IF(L210="F-90",5,IF(L210="F-120",6,0))))),0),0)+IF(AND(O210="FIRE TEX 5120",OR(E210="IN",E210="C",E210="Z",E210="L"),J210=4),VLOOKUP(_xlfn.MINIFS('FIRE TEX 5120'!$H$4:$H$40,'FIRE TEX 5120'!$H$4:$H$40,"&gt;="&amp;M210),'FIRE TEX 5120'!$H$4:$M$40,IF(L210="F-15",2,IF(L210="F-30",3,IF(L210="F-60",4,IF(L210="F-90",5,IF(L210="F-120",6,0))))),0),0)+IF(AND(O210="FIRE TEX 5120",E210="CJ"),VLOOKUP(_xlfn.MINIFS('FIRE TEX 5120'!$O$5:$O$40,'FIRE TEX 5120'!$O$5:$O$40,"&gt;="&amp;M210),'FIRE TEX 5120'!$O$5:$T$40,IF(L210="F-15",2,IF(L210="F-30",3,IF(L210="F-60",4,IF(L210="F-90",5,IF(L210="F-120",6,0))))),0),0)</f>
        <v>0</v>
      </c>
      <c r="Q210" s="46">
        <f t="shared" si="26"/>
        <v>0</v>
      </c>
      <c r="R210" s="46">
        <f t="shared" si="28"/>
        <v>0</v>
      </c>
      <c r="S210" s="46" t="e">
        <f t="shared" si="27"/>
        <v>#VALUE!</v>
      </c>
      <c r="T210" s="677">
        <f t="shared" si="29"/>
        <v>0</v>
      </c>
      <c r="U210" s="80">
        <f>(IF(O210="Stofire",(S210*#REF!),0))+(IF(O210="Fire Control",(S210*$U$2),0))+(IF(O210="Fire Tex",(S210*$U$3),0))+(IF(O210="WB7",(S210*#REF!),0)+(IF(O210="FX 2003",(S210*$U$5),0)))</f>
        <v>0</v>
      </c>
      <c r="V210" s="651">
        <f t="shared" si="30"/>
        <v>0</v>
      </c>
      <c r="W210" s="4"/>
    </row>
    <row r="211" spans="1:23" x14ac:dyDescent="0.25">
      <c r="A211" s="652" t="s">
        <v>458</v>
      </c>
      <c r="B211" s="653" t="s">
        <v>459</v>
      </c>
      <c r="C211" s="1" t="s">
        <v>408</v>
      </c>
      <c r="D211" s="118">
        <f>+CUBICACION!D210</f>
        <v>0</v>
      </c>
      <c r="E211" s="118">
        <f>+CUBICACION!F210</f>
        <v>0</v>
      </c>
      <c r="F211" s="118">
        <f>+CUBICACION!E210</f>
        <v>0</v>
      </c>
      <c r="G211" s="118">
        <v>12</v>
      </c>
      <c r="H211" s="118">
        <v>2</v>
      </c>
      <c r="I211" s="820">
        <v>26385</v>
      </c>
      <c r="J211" s="118">
        <f>+CUBICACION!J210</f>
        <v>0</v>
      </c>
      <c r="K211" s="118">
        <v>2990</v>
      </c>
      <c r="L211" s="118">
        <f>+CUBICACION!L210</f>
        <v>0</v>
      </c>
      <c r="M211" s="64">
        <f>+CUBICACION!M210</f>
        <v>0</v>
      </c>
      <c r="N211" s="824" t="str">
        <f>+CUBICACION!N210</f>
        <v/>
      </c>
      <c r="O211" s="675">
        <f>+CUBICACION!O210</f>
        <v>0</v>
      </c>
      <c r="P211" s="15">
        <f>IF(O211="Fire Control",VLOOKUP(_xlfn.MINIFS('FIRE CONTROL'!$C$4:$C$37,'FIRE CONTROL'!$C$4:$C$37,"&gt;="&amp;M211),'FIRE CONTROL'!$C$4:$G$37,IF(L211="F-15",2,IF(L211="F-30",3,IF(L211="F-60",4,IF(L211="F-90",5,0)))),0),0)+IF(AND(O211="FIRE TEX 5062",OR(E211="IN",E211="C",E211="Z",E211="L"),J211=3),VLOOKUP(_xlfn.MINIFS('FIRE TEX 5062'!$B$4:$B$34,'FIRE TEX 5062'!$B$4:$B$34,"&gt;="&amp;M211),'FIRE TEX 5062'!$B$4:$F$34,IF(L211="F-15",2,IF(L211="F-30",3,IF(L211="F-60",4,IF(L211="F-90",5,0)))),0),0)+IF(AND(O211="FIRE TEX 5062",OR(E211="IN",E211="C",E211="Z",E211="L"),J211=4),VLOOKUP(_xlfn.MINIFS('FIRE TEX 5062'!$G$4:$G$34,'FIRE TEX 5062'!$G$4:$G$34,"&gt;="&amp;M211),'FIRE TEX 5062'!$G$4:$K$34,IF(L211="F-15",2,IF(L211="F-30",3,IF(L211="F-60",4,IF(L211="F-90",5,0)))),0),0)+IF(AND(O211="FIRE TEX 5062",E211="CJ",J211=3),VLOOKUP(_xlfn.MINIFS('FIRE TEX 5062'!$L$4:$L$34,'FIRE TEX 5062'!$L$4:$L$34,"&gt;="&amp;M211),'FIRE TEX 5062'!$L$4:$P$34,IF(L211="F-15",2,IF(L211="F-30",3,IF(L211="F-60",4,IF(L211="F-90",5,0)))),0),0)+IF(AND(O211="FIRE TEX 5062",E211="CJ",J211=4),VLOOKUP(_xlfn.MINIFS('FIRE TEX 5062'!$Q$3:$Q$34,'FIRE TEX 5062'!$Q$3:$Q$34,"&gt;="&amp;M211),'FIRE TEX 5062'!$Q$3:$U$34,IF(L211="F-15",2,IF(L211="F-30",3,IF(L211="F-60",4,IF(L211="F-90",5,0)))),0),0)+IF(AND(O211="FIRE TEX 5090",OR(E211="IN",E211="C",E211="Z",E211="L"),J211=3),VLOOKUP(_xlfn.MINIFS('FIRE TEX 5090'!$B$5:$B$43,'FIRE TEX 5090'!$B$5:$B$43,"&gt;="&amp;M211),'FIRE TEX 5090'!$B$5:$H$43,IF(L211="F-15",2,IF(L211="F-30",3,IF(L211="F-60",4,IF(L211="F-90",5,IF(L211="F-120",6,IF(L211="F-150",7,0)))))),0),0)+IF(AND(O211="FIRE TEX 5090",OR(E211="IN",E211="C",E211="Z",E211="L"),J211=4),VLOOKUP(_xlfn.MINIFS('FIRE TEX 5090'!$J$5:$J$43,'FIRE TEX 5090'!$J$5:$J$43,"&gt;="&amp;M211),'FIRE TEX 5090'!$J$5:$P$43,IF(L211="F-15",2,IF(L211="F-30",3,IF(L211="F-60",4,IF(L211="F-90",5,IF(L211="F-120",6,IF(L211="F-150",7,0)))))),0),0)+IF(AND(O211="FIRE TEX 5090",E211="CJ",J211=3),VLOOKUP(_xlfn.MINIFS('FIRE TEX 5090'!$R$5:$R$30,'FIRE TEX 5090'!$R$5:$R$30,"&gt;="&amp;M211),'FIRE TEX 5090'!$R$5:$W$30,IF(L211="F-15",2,IF(L211="F-30",3,IF(L211="F-60",4,IF(L211="F-90",5,IF(L211="F-120",6,IF(L211="F-150",7,0)))))),0),0)+IF(AND(O211="FIRE TEX 5090",E211="CJ",J211=4),VLOOKUP(_xlfn.MINIFS('FIRE TEX 5090'!$Y$5:$Y$39,'FIRE TEX 5090'!$Y$5:$Y$39,"&gt;="&amp;M211),'FIRE TEX 5090'!$Y$5:$AD$39,IF(L211="F-15",2,IF(L211="F-30",3,IF(L211="F-60",4,IF(L211="F-90",5,IF(L211="F-120",6,IF(L211="F-150",7,0)))))),0),0)+IF(AND(O211="FIRE TEX 5120",OR(E211="IN",E211="C",E211="Z",E211="L"),J211=3),VLOOKUP(_xlfn.MINIFS('FIRE TEX 5120'!$B$5:$B$40,'FIRE TEX 5120'!$B$5:$B$40,"&gt;="&amp;M211),'FIRE TEX 5120'!$B$5:$G$40,IF(L211="F-15",2,IF(L211="F-30",3,IF(L211="F-60",4,IF(L211="F-90",5,IF(L211="F-120",6,0))))),0),0)+IF(AND(O211="FIRE TEX 5120",OR(E211="IN",E211="C",E211="Z",E211="L"),J211=4),VLOOKUP(_xlfn.MINIFS('FIRE TEX 5120'!$H$4:$H$40,'FIRE TEX 5120'!$H$4:$H$40,"&gt;="&amp;M211),'FIRE TEX 5120'!$H$4:$M$40,IF(L211="F-15",2,IF(L211="F-30",3,IF(L211="F-60",4,IF(L211="F-90",5,IF(L211="F-120",6,0))))),0),0)+IF(AND(O211="FIRE TEX 5120",E211="CJ"),VLOOKUP(_xlfn.MINIFS('FIRE TEX 5120'!$O$5:$O$40,'FIRE TEX 5120'!$O$5:$O$40,"&gt;="&amp;M211),'FIRE TEX 5120'!$O$5:$T$40,IF(L211="F-15",2,IF(L211="F-30",3,IF(L211="F-60",4,IF(L211="F-90",5,IF(L211="F-120",6,0))))),0),0)</f>
        <v>0</v>
      </c>
      <c r="Q211" s="46">
        <f t="shared" si="26"/>
        <v>0</v>
      </c>
      <c r="R211" s="46">
        <f t="shared" si="28"/>
        <v>0</v>
      </c>
      <c r="S211" s="46" t="e">
        <f t="shared" si="27"/>
        <v>#VALUE!</v>
      </c>
      <c r="T211" s="677">
        <f t="shared" si="29"/>
        <v>0</v>
      </c>
      <c r="U211" s="80">
        <f>(IF(O211="Stofire",(S211*#REF!),0))+(IF(O211="Fire Control",(S211*$U$2),0))+(IF(O211="Fire Tex",(S211*$U$3),0))+(IF(O211="WB7",(S211*#REF!),0)+(IF(O211="FX 2003",(S211*$U$5),0)))</f>
        <v>0</v>
      </c>
      <c r="V211" s="651">
        <f t="shared" si="30"/>
        <v>0</v>
      </c>
      <c r="W211" s="4"/>
    </row>
    <row r="212" spans="1:23" x14ac:dyDescent="0.25">
      <c r="A212" s="652" t="s">
        <v>461</v>
      </c>
      <c r="B212" s="653" t="s">
        <v>459</v>
      </c>
      <c r="C212" s="1" t="s">
        <v>462</v>
      </c>
      <c r="D212" s="118">
        <f>+CUBICACION!D211</f>
        <v>0</v>
      </c>
      <c r="E212" s="118">
        <f>+CUBICACION!F211</f>
        <v>0</v>
      </c>
      <c r="F212" s="118">
        <f>+CUBICACION!E211</f>
        <v>0</v>
      </c>
      <c r="G212" s="118">
        <v>12</v>
      </c>
      <c r="H212" s="118">
        <v>2</v>
      </c>
      <c r="I212" s="820">
        <v>26385</v>
      </c>
      <c r="J212" s="118">
        <f>+CUBICACION!J211</f>
        <v>0</v>
      </c>
      <c r="K212" s="118">
        <v>2991</v>
      </c>
      <c r="L212" s="118">
        <f>+CUBICACION!L211</f>
        <v>0</v>
      </c>
      <c r="M212" s="64">
        <f>+CUBICACION!M211</f>
        <v>0</v>
      </c>
      <c r="N212" s="824" t="str">
        <f>+CUBICACION!N211</f>
        <v/>
      </c>
      <c r="O212" s="675">
        <f>+CUBICACION!O211</f>
        <v>0</v>
      </c>
      <c r="P212" s="15">
        <f>IF(O212="Fire Control",VLOOKUP(_xlfn.MINIFS('FIRE CONTROL'!$C$4:$C$37,'FIRE CONTROL'!$C$4:$C$37,"&gt;="&amp;M212),'FIRE CONTROL'!$C$4:$G$37,IF(L212="F-15",2,IF(L212="F-30",3,IF(L212="F-60",4,IF(L212="F-90",5,0)))),0),0)+IF(AND(O212="FIRE TEX 5062",OR(E212="IN",E212="C",E212="Z",E212="L"),J212=3),VLOOKUP(_xlfn.MINIFS('FIRE TEX 5062'!$B$4:$B$34,'FIRE TEX 5062'!$B$4:$B$34,"&gt;="&amp;M212),'FIRE TEX 5062'!$B$4:$F$34,IF(L212="F-15",2,IF(L212="F-30",3,IF(L212="F-60",4,IF(L212="F-90",5,0)))),0),0)+IF(AND(O212="FIRE TEX 5062",OR(E212="IN",E212="C",E212="Z",E212="L"),J212=4),VLOOKUP(_xlfn.MINIFS('FIRE TEX 5062'!$G$4:$G$34,'FIRE TEX 5062'!$G$4:$G$34,"&gt;="&amp;M212),'FIRE TEX 5062'!$G$4:$K$34,IF(L212="F-15",2,IF(L212="F-30",3,IF(L212="F-60",4,IF(L212="F-90",5,0)))),0),0)+IF(AND(O212="FIRE TEX 5062",E212="CJ",J212=3),VLOOKUP(_xlfn.MINIFS('FIRE TEX 5062'!$L$4:$L$34,'FIRE TEX 5062'!$L$4:$L$34,"&gt;="&amp;M212),'FIRE TEX 5062'!$L$4:$P$34,IF(L212="F-15",2,IF(L212="F-30",3,IF(L212="F-60",4,IF(L212="F-90",5,0)))),0),0)+IF(AND(O212="FIRE TEX 5062",E212="CJ",J212=4),VLOOKUP(_xlfn.MINIFS('FIRE TEX 5062'!$Q$3:$Q$34,'FIRE TEX 5062'!$Q$3:$Q$34,"&gt;="&amp;M212),'FIRE TEX 5062'!$Q$3:$U$34,IF(L212="F-15",2,IF(L212="F-30",3,IF(L212="F-60",4,IF(L212="F-90",5,0)))),0),0)+IF(AND(O212="FIRE TEX 5090",OR(E212="IN",E212="C",E212="Z",E212="L"),J212=3),VLOOKUP(_xlfn.MINIFS('FIRE TEX 5090'!$B$5:$B$43,'FIRE TEX 5090'!$B$5:$B$43,"&gt;="&amp;M212),'FIRE TEX 5090'!$B$5:$H$43,IF(L212="F-15",2,IF(L212="F-30",3,IF(L212="F-60",4,IF(L212="F-90",5,IF(L212="F-120",6,IF(L212="F-150",7,0)))))),0),0)+IF(AND(O212="FIRE TEX 5090",OR(E212="IN",E212="C",E212="Z",E212="L"),J212=4),VLOOKUP(_xlfn.MINIFS('FIRE TEX 5090'!$J$5:$J$43,'FIRE TEX 5090'!$J$5:$J$43,"&gt;="&amp;M212),'FIRE TEX 5090'!$J$5:$P$43,IF(L212="F-15",2,IF(L212="F-30",3,IF(L212="F-60",4,IF(L212="F-90",5,IF(L212="F-120",6,IF(L212="F-150",7,0)))))),0),0)+IF(AND(O212="FIRE TEX 5090",E212="CJ",J212=3),VLOOKUP(_xlfn.MINIFS('FIRE TEX 5090'!$R$5:$R$30,'FIRE TEX 5090'!$R$5:$R$30,"&gt;="&amp;M212),'FIRE TEX 5090'!$R$5:$W$30,IF(L212="F-15",2,IF(L212="F-30",3,IF(L212="F-60",4,IF(L212="F-90",5,IF(L212="F-120",6,IF(L212="F-150",7,0)))))),0),0)+IF(AND(O212="FIRE TEX 5090",E212="CJ",J212=4),VLOOKUP(_xlfn.MINIFS('FIRE TEX 5090'!$Y$5:$Y$39,'FIRE TEX 5090'!$Y$5:$Y$39,"&gt;="&amp;M212),'FIRE TEX 5090'!$Y$5:$AD$39,IF(L212="F-15",2,IF(L212="F-30",3,IF(L212="F-60",4,IF(L212="F-90",5,IF(L212="F-120",6,IF(L212="F-150",7,0)))))),0),0)+IF(AND(O212="FIRE TEX 5120",OR(E212="IN",E212="C",E212="Z",E212="L"),J212=3),VLOOKUP(_xlfn.MINIFS('FIRE TEX 5120'!$B$5:$B$40,'FIRE TEX 5120'!$B$5:$B$40,"&gt;="&amp;M212),'FIRE TEX 5120'!$B$5:$G$40,IF(L212="F-15",2,IF(L212="F-30",3,IF(L212="F-60",4,IF(L212="F-90",5,IF(L212="F-120",6,0))))),0),0)+IF(AND(O212="FIRE TEX 5120",OR(E212="IN",E212="C",E212="Z",E212="L"),J212=4),VLOOKUP(_xlfn.MINIFS('FIRE TEX 5120'!$H$4:$H$40,'FIRE TEX 5120'!$H$4:$H$40,"&gt;="&amp;M212),'FIRE TEX 5120'!$H$4:$M$40,IF(L212="F-15",2,IF(L212="F-30",3,IF(L212="F-60",4,IF(L212="F-90",5,IF(L212="F-120",6,0))))),0),0)+IF(AND(O212="FIRE TEX 5120",E212="CJ"),VLOOKUP(_xlfn.MINIFS('FIRE TEX 5120'!$O$5:$O$40,'FIRE TEX 5120'!$O$5:$O$40,"&gt;="&amp;M212),'FIRE TEX 5120'!$O$5:$T$40,IF(L212="F-15",2,IF(L212="F-30",3,IF(L212="F-60",4,IF(L212="F-90",5,IF(L212="F-120",6,0))))),0),0)</f>
        <v>0</v>
      </c>
      <c r="Q212" s="46">
        <f t="shared" si="26"/>
        <v>0</v>
      </c>
      <c r="R212" s="46">
        <f t="shared" si="28"/>
        <v>0</v>
      </c>
      <c r="S212" s="46" t="e">
        <f t="shared" si="27"/>
        <v>#VALUE!</v>
      </c>
      <c r="T212" s="677">
        <f t="shared" si="29"/>
        <v>0</v>
      </c>
      <c r="U212" s="80">
        <f>(IF(O212="Stofire",(S212*#REF!),0))+(IF(O212="Fire Control",(S212*$U$2),0))+(IF(O212="Fire Tex",(S212*$U$3),0))+(IF(O212="WB7",(S212*#REF!),0)+(IF(O212="FX 2003",(S212*$U$5),0)))</f>
        <v>0</v>
      </c>
      <c r="V212" s="651">
        <f t="shared" si="30"/>
        <v>0</v>
      </c>
      <c r="W212" s="4"/>
    </row>
    <row r="213" spans="1:23" x14ac:dyDescent="0.25">
      <c r="A213" s="652" t="s">
        <v>461</v>
      </c>
      <c r="B213" s="653" t="s">
        <v>459</v>
      </c>
      <c r="C213" s="1" t="s">
        <v>408</v>
      </c>
      <c r="D213" s="118">
        <f>+CUBICACION!D212</f>
        <v>0</v>
      </c>
      <c r="E213" s="118">
        <f>+CUBICACION!F212</f>
        <v>0</v>
      </c>
      <c r="F213" s="118">
        <f>+CUBICACION!E212</f>
        <v>0</v>
      </c>
      <c r="G213" s="118">
        <v>12</v>
      </c>
      <c r="H213" s="118">
        <v>2</v>
      </c>
      <c r="I213" s="820">
        <v>26385</v>
      </c>
      <c r="J213" s="118">
        <f>+CUBICACION!J212</f>
        <v>0</v>
      </c>
      <c r="K213" s="118">
        <v>2992</v>
      </c>
      <c r="L213" s="118">
        <f>+CUBICACION!L212</f>
        <v>0</v>
      </c>
      <c r="M213" s="64">
        <f>+CUBICACION!M212</f>
        <v>0</v>
      </c>
      <c r="N213" s="824" t="str">
        <f>+CUBICACION!N212</f>
        <v/>
      </c>
      <c r="O213" s="675">
        <f>+CUBICACION!O212</f>
        <v>0</v>
      </c>
      <c r="P213" s="15">
        <f>IF(O213="Fire Control",VLOOKUP(_xlfn.MINIFS('FIRE CONTROL'!$C$4:$C$37,'FIRE CONTROL'!$C$4:$C$37,"&gt;="&amp;M213),'FIRE CONTROL'!$C$4:$G$37,IF(L213="F-15",2,IF(L213="F-30",3,IF(L213="F-60",4,IF(L213="F-90",5,0)))),0),0)+IF(AND(O213="FIRE TEX 5062",OR(E213="IN",E213="C",E213="Z",E213="L"),J213=3),VLOOKUP(_xlfn.MINIFS('FIRE TEX 5062'!$B$4:$B$34,'FIRE TEX 5062'!$B$4:$B$34,"&gt;="&amp;M213),'FIRE TEX 5062'!$B$4:$F$34,IF(L213="F-15",2,IF(L213="F-30",3,IF(L213="F-60",4,IF(L213="F-90",5,0)))),0),0)+IF(AND(O213="FIRE TEX 5062",OR(E213="IN",E213="C",E213="Z",E213="L"),J213=4),VLOOKUP(_xlfn.MINIFS('FIRE TEX 5062'!$G$4:$G$34,'FIRE TEX 5062'!$G$4:$G$34,"&gt;="&amp;M213),'FIRE TEX 5062'!$G$4:$K$34,IF(L213="F-15",2,IF(L213="F-30",3,IF(L213="F-60",4,IF(L213="F-90",5,0)))),0),0)+IF(AND(O213="FIRE TEX 5062",E213="CJ",J213=3),VLOOKUP(_xlfn.MINIFS('FIRE TEX 5062'!$L$4:$L$34,'FIRE TEX 5062'!$L$4:$L$34,"&gt;="&amp;M213),'FIRE TEX 5062'!$L$4:$P$34,IF(L213="F-15",2,IF(L213="F-30",3,IF(L213="F-60",4,IF(L213="F-90",5,0)))),0),0)+IF(AND(O213="FIRE TEX 5062",E213="CJ",J213=4),VLOOKUP(_xlfn.MINIFS('FIRE TEX 5062'!$Q$3:$Q$34,'FIRE TEX 5062'!$Q$3:$Q$34,"&gt;="&amp;M213),'FIRE TEX 5062'!$Q$3:$U$34,IF(L213="F-15",2,IF(L213="F-30",3,IF(L213="F-60",4,IF(L213="F-90",5,0)))),0),0)+IF(AND(O213="FIRE TEX 5090",OR(E213="IN",E213="C",E213="Z",E213="L"),J213=3),VLOOKUP(_xlfn.MINIFS('FIRE TEX 5090'!$B$5:$B$43,'FIRE TEX 5090'!$B$5:$B$43,"&gt;="&amp;M213),'FIRE TEX 5090'!$B$5:$H$43,IF(L213="F-15",2,IF(L213="F-30",3,IF(L213="F-60",4,IF(L213="F-90",5,IF(L213="F-120",6,IF(L213="F-150",7,0)))))),0),0)+IF(AND(O213="FIRE TEX 5090",OR(E213="IN",E213="C",E213="Z",E213="L"),J213=4),VLOOKUP(_xlfn.MINIFS('FIRE TEX 5090'!$J$5:$J$43,'FIRE TEX 5090'!$J$5:$J$43,"&gt;="&amp;M213),'FIRE TEX 5090'!$J$5:$P$43,IF(L213="F-15",2,IF(L213="F-30",3,IF(L213="F-60",4,IF(L213="F-90",5,IF(L213="F-120",6,IF(L213="F-150",7,0)))))),0),0)+IF(AND(O213="FIRE TEX 5090",E213="CJ",J213=3),VLOOKUP(_xlfn.MINIFS('FIRE TEX 5090'!$R$5:$R$30,'FIRE TEX 5090'!$R$5:$R$30,"&gt;="&amp;M213),'FIRE TEX 5090'!$R$5:$W$30,IF(L213="F-15",2,IF(L213="F-30",3,IF(L213="F-60",4,IF(L213="F-90",5,IF(L213="F-120",6,IF(L213="F-150",7,0)))))),0),0)+IF(AND(O213="FIRE TEX 5090",E213="CJ",J213=4),VLOOKUP(_xlfn.MINIFS('FIRE TEX 5090'!$Y$5:$Y$39,'FIRE TEX 5090'!$Y$5:$Y$39,"&gt;="&amp;M213),'FIRE TEX 5090'!$Y$5:$AD$39,IF(L213="F-15",2,IF(L213="F-30",3,IF(L213="F-60",4,IF(L213="F-90",5,IF(L213="F-120",6,IF(L213="F-150",7,0)))))),0),0)+IF(AND(O213="FIRE TEX 5120",OR(E213="IN",E213="C",E213="Z",E213="L"),J213=3),VLOOKUP(_xlfn.MINIFS('FIRE TEX 5120'!$B$5:$B$40,'FIRE TEX 5120'!$B$5:$B$40,"&gt;="&amp;M213),'FIRE TEX 5120'!$B$5:$G$40,IF(L213="F-15",2,IF(L213="F-30",3,IF(L213="F-60",4,IF(L213="F-90",5,IF(L213="F-120",6,0))))),0),0)+IF(AND(O213="FIRE TEX 5120",OR(E213="IN",E213="C",E213="Z",E213="L"),J213=4),VLOOKUP(_xlfn.MINIFS('FIRE TEX 5120'!$H$4:$H$40,'FIRE TEX 5120'!$H$4:$H$40,"&gt;="&amp;M213),'FIRE TEX 5120'!$H$4:$M$40,IF(L213="F-15",2,IF(L213="F-30",3,IF(L213="F-60",4,IF(L213="F-90",5,IF(L213="F-120",6,0))))),0),0)+IF(AND(O213="FIRE TEX 5120",E213="CJ"),VLOOKUP(_xlfn.MINIFS('FIRE TEX 5120'!$O$5:$O$40,'FIRE TEX 5120'!$O$5:$O$40,"&gt;="&amp;M213),'FIRE TEX 5120'!$O$5:$T$40,IF(L213="F-15",2,IF(L213="F-30",3,IF(L213="F-60",4,IF(L213="F-90",5,IF(L213="F-120",6,0))))),0),0)</f>
        <v>0</v>
      </c>
      <c r="Q213" s="46">
        <f t="shared" si="26"/>
        <v>0</v>
      </c>
      <c r="R213" s="46">
        <f t="shared" si="28"/>
        <v>0</v>
      </c>
      <c r="S213" s="46" t="e">
        <f t="shared" si="27"/>
        <v>#VALUE!</v>
      </c>
      <c r="T213" s="677">
        <f t="shared" si="29"/>
        <v>0</v>
      </c>
      <c r="U213" s="80">
        <f>(IF(O213="Stofire",(S213*#REF!),0))+(IF(O213="Fire Control",(S213*$U$2),0))+(IF(O213="Fire Tex",(S213*$U$3),0))+(IF(O213="WB7",(S213*#REF!),0)+(IF(O213="FX 2003",(S213*$U$5),0)))</f>
        <v>0</v>
      </c>
      <c r="V213" s="651">
        <f t="shared" si="30"/>
        <v>0</v>
      </c>
      <c r="W213" s="4"/>
    </row>
    <row r="214" spans="1:23" x14ac:dyDescent="0.25">
      <c r="A214" s="652" t="s">
        <v>461</v>
      </c>
      <c r="B214" s="653" t="s">
        <v>459</v>
      </c>
      <c r="C214" s="1" t="s">
        <v>408</v>
      </c>
      <c r="D214" s="118">
        <f>+CUBICACION!D213</f>
        <v>0</v>
      </c>
      <c r="E214" s="118">
        <f>+CUBICACION!F213</f>
        <v>0</v>
      </c>
      <c r="F214" s="118">
        <f>+CUBICACION!E213</f>
        <v>0</v>
      </c>
      <c r="G214" s="118">
        <v>12</v>
      </c>
      <c r="H214" s="118">
        <v>2</v>
      </c>
      <c r="I214" s="820">
        <v>26385</v>
      </c>
      <c r="J214" s="118">
        <f>+CUBICACION!J213</f>
        <v>0</v>
      </c>
      <c r="K214" s="118">
        <v>2993</v>
      </c>
      <c r="L214" s="118">
        <f>+CUBICACION!L213</f>
        <v>0</v>
      </c>
      <c r="M214" s="64">
        <f>+CUBICACION!M213</f>
        <v>0</v>
      </c>
      <c r="N214" s="824" t="str">
        <f>+CUBICACION!N213</f>
        <v/>
      </c>
      <c r="O214" s="675">
        <f>+CUBICACION!O213</f>
        <v>0</v>
      </c>
      <c r="P214" s="15">
        <f>IF(O214="Fire Control",VLOOKUP(_xlfn.MINIFS('FIRE CONTROL'!$C$4:$C$37,'FIRE CONTROL'!$C$4:$C$37,"&gt;="&amp;M214),'FIRE CONTROL'!$C$4:$G$37,IF(L214="F-15",2,IF(L214="F-30",3,IF(L214="F-60",4,IF(L214="F-90",5,0)))),0),0)+IF(AND(O214="FIRE TEX 5062",OR(E214="IN",E214="C",E214="Z",E214="L"),J214=3),VLOOKUP(_xlfn.MINIFS('FIRE TEX 5062'!$B$4:$B$34,'FIRE TEX 5062'!$B$4:$B$34,"&gt;="&amp;M214),'FIRE TEX 5062'!$B$4:$F$34,IF(L214="F-15",2,IF(L214="F-30",3,IF(L214="F-60",4,IF(L214="F-90",5,0)))),0),0)+IF(AND(O214="FIRE TEX 5062",OR(E214="IN",E214="C",E214="Z",E214="L"),J214=4),VLOOKUP(_xlfn.MINIFS('FIRE TEX 5062'!$G$4:$G$34,'FIRE TEX 5062'!$G$4:$G$34,"&gt;="&amp;M214),'FIRE TEX 5062'!$G$4:$K$34,IF(L214="F-15",2,IF(L214="F-30",3,IF(L214="F-60",4,IF(L214="F-90",5,0)))),0),0)+IF(AND(O214="FIRE TEX 5062",E214="CJ",J214=3),VLOOKUP(_xlfn.MINIFS('FIRE TEX 5062'!$L$4:$L$34,'FIRE TEX 5062'!$L$4:$L$34,"&gt;="&amp;M214),'FIRE TEX 5062'!$L$4:$P$34,IF(L214="F-15",2,IF(L214="F-30",3,IF(L214="F-60",4,IF(L214="F-90",5,0)))),0),0)+IF(AND(O214="FIRE TEX 5062",E214="CJ",J214=4),VLOOKUP(_xlfn.MINIFS('FIRE TEX 5062'!$Q$3:$Q$34,'FIRE TEX 5062'!$Q$3:$Q$34,"&gt;="&amp;M214),'FIRE TEX 5062'!$Q$3:$U$34,IF(L214="F-15",2,IF(L214="F-30",3,IF(L214="F-60",4,IF(L214="F-90",5,0)))),0),0)+IF(AND(O214="FIRE TEX 5090",OR(E214="IN",E214="C",E214="Z",E214="L"),J214=3),VLOOKUP(_xlfn.MINIFS('FIRE TEX 5090'!$B$5:$B$43,'FIRE TEX 5090'!$B$5:$B$43,"&gt;="&amp;M214),'FIRE TEX 5090'!$B$5:$H$43,IF(L214="F-15",2,IF(L214="F-30",3,IF(L214="F-60",4,IF(L214="F-90",5,IF(L214="F-120",6,IF(L214="F-150",7,0)))))),0),0)+IF(AND(O214="FIRE TEX 5090",OR(E214="IN",E214="C",E214="Z",E214="L"),J214=4),VLOOKUP(_xlfn.MINIFS('FIRE TEX 5090'!$J$5:$J$43,'FIRE TEX 5090'!$J$5:$J$43,"&gt;="&amp;M214),'FIRE TEX 5090'!$J$5:$P$43,IF(L214="F-15",2,IF(L214="F-30",3,IF(L214="F-60",4,IF(L214="F-90",5,IF(L214="F-120",6,IF(L214="F-150",7,0)))))),0),0)+IF(AND(O214="FIRE TEX 5090",E214="CJ",J214=3),VLOOKUP(_xlfn.MINIFS('FIRE TEX 5090'!$R$5:$R$30,'FIRE TEX 5090'!$R$5:$R$30,"&gt;="&amp;M214),'FIRE TEX 5090'!$R$5:$W$30,IF(L214="F-15",2,IF(L214="F-30",3,IF(L214="F-60",4,IF(L214="F-90",5,IF(L214="F-120",6,IF(L214="F-150",7,0)))))),0),0)+IF(AND(O214="FIRE TEX 5090",E214="CJ",J214=4),VLOOKUP(_xlfn.MINIFS('FIRE TEX 5090'!$Y$5:$Y$39,'FIRE TEX 5090'!$Y$5:$Y$39,"&gt;="&amp;M214),'FIRE TEX 5090'!$Y$5:$AD$39,IF(L214="F-15",2,IF(L214="F-30",3,IF(L214="F-60",4,IF(L214="F-90",5,IF(L214="F-120",6,IF(L214="F-150",7,0)))))),0),0)+IF(AND(O214="FIRE TEX 5120",OR(E214="IN",E214="C",E214="Z",E214="L"),J214=3),VLOOKUP(_xlfn.MINIFS('FIRE TEX 5120'!$B$5:$B$40,'FIRE TEX 5120'!$B$5:$B$40,"&gt;="&amp;M214),'FIRE TEX 5120'!$B$5:$G$40,IF(L214="F-15",2,IF(L214="F-30",3,IF(L214="F-60",4,IF(L214="F-90",5,IF(L214="F-120",6,0))))),0),0)+IF(AND(O214="FIRE TEX 5120",OR(E214="IN",E214="C",E214="Z",E214="L"),J214=4),VLOOKUP(_xlfn.MINIFS('FIRE TEX 5120'!$H$4:$H$40,'FIRE TEX 5120'!$H$4:$H$40,"&gt;="&amp;M214),'FIRE TEX 5120'!$H$4:$M$40,IF(L214="F-15",2,IF(L214="F-30",3,IF(L214="F-60",4,IF(L214="F-90",5,IF(L214="F-120",6,0))))),0),0)+IF(AND(O214="FIRE TEX 5120",E214="CJ"),VLOOKUP(_xlfn.MINIFS('FIRE TEX 5120'!$O$5:$O$40,'FIRE TEX 5120'!$O$5:$O$40,"&gt;="&amp;M214),'FIRE TEX 5120'!$O$5:$T$40,IF(L214="F-15",2,IF(L214="F-30",3,IF(L214="F-60",4,IF(L214="F-90",5,IF(L214="F-120",6,0))))),0),0)</f>
        <v>0</v>
      </c>
      <c r="Q214" s="46">
        <f t="shared" si="26"/>
        <v>0</v>
      </c>
      <c r="R214" s="46">
        <f t="shared" si="28"/>
        <v>0</v>
      </c>
      <c r="S214" s="46" t="e">
        <f t="shared" si="27"/>
        <v>#VALUE!</v>
      </c>
      <c r="T214" s="677">
        <f t="shared" si="29"/>
        <v>0</v>
      </c>
      <c r="U214" s="80">
        <f>(IF(O214="Stofire",(S214*#REF!),0))+(IF(O214="Fire Control",(S214*$U$2),0))+(IF(O214="Fire Tex",(S214*$U$3),0))+(IF(O214="WB7",(S214*#REF!),0)+(IF(O214="FX 2003",(S214*$U$5),0)))</f>
        <v>0</v>
      </c>
      <c r="V214" s="651">
        <f t="shared" si="30"/>
        <v>0</v>
      </c>
      <c r="W214" s="4"/>
    </row>
    <row r="215" spans="1:23" x14ac:dyDescent="0.25">
      <c r="A215" s="652" t="s">
        <v>406</v>
      </c>
      <c r="B215" s="653" t="s">
        <v>407</v>
      </c>
      <c r="C215" s="1" t="s">
        <v>408</v>
      </c>
      <c r="D215" s="118">
        <f>+CUBICACION!D214</f>
        <v>0</v>
      </c>
      <c r="E215" s="118">
        <f>+CUBICACION!F214</f>
        <v>0</v>
      </c>
      <c r="F215" s="118">
        <f>+CUBICACION!E214</f>
        <v>0</v>
      </c>
      <c r="G215" s="118">
        <v>12</v>
      </c>
      <c r="H215" s="118">
        <v>2</v>
      </c>
      <c r="I215" s="820">
        <v>26385</v>
      </c>
      <c r="J215" s="118">
        <f>+CUBICACION!J214</f>
        <v>0</v>
      </c>
      <c r="K215" s="118">
        <v>2994</v>
      </c>
      <c r="L215" s="118">
        <f>+CUBICACION!L214</f>
        <v>0</v>
      </c>
      <c r="M215" s="64">
        <f>+CUBICACION!M214</f>
        <v>0</v>
      </c>
      <c r="N215" s="824" t="str">
        <f>+CUBICACION!N214</f>
        <v/>
      </c>
      <c r="O215" s="675">
        <f>+CUBICACION!O214</f>
        <v>0</v>
      </c>
      <c r="P215" s="15">
        <f>IF(O215="Fire Control",VLOOKUP(_xlfn.MINIFS('FIRE CONTROL'!$C$4:$C$37,'FIRE CONTROL'!$C$4:$C$37,"&gt;="&amp;M215),'FIRE CONTROL'!$C$4:$G$37,IF(L215="F-15",2,IF(L215="F-30",3,IF(L215="F-60",4,IF(L215="F-90",5,0)))),0),0)+IF(AND(O215="FIRE TEX 5062",OR(E215="IN",E215="C",E215="Z",E215="L"),J215=3),VLOOKUP(_xlfn.MINIFS('FIRE TEX 5062'!$B$4:$B$34,'FIRE TEX 5062'!$B$4:$B$34,"&gt;="&amp;M215),'FIRE TEX 5062'!$B$4:$F$34,IF(L215="F-15",2,IF(L215="F-30",3,IF(L215="F-60",4,IF(L215="F-90",5,0)))),0),0)+IF(AND(O215="FIRE TEX 5062",OR(E215="IN",E215="C",E215="Z",E215="L"),J215=4),VLOOKUP(_xlfn.MINIFS('FIRE TEX 5062'!$G$4:$G$34,'FIRE TEX 5062'!$G$4:$G$34,"&gt;="&amp;M215),'FIRE TEX 5062'!$G$4:$K$34,IF(L215="F-15",2,IF(L215="F-30",3,IF(L215="F-60",4,IF(L215="F-90",5,0)))),0),0)+IF(AND(O215="FIRE TEX 5062",E215="CJ",J215=3),VLOOKUP(_xlfn.MINIFS('FIRE TEX 5062'!$L$4:$L$34,'FIRE TEX 5062'!$L$4:$L$34,"&gt;="&amp;M215),'FIRE TEX 5062'!$L$4:$P$34,IF(L215="F-15",2,IF(L215="F-30",3,IF(L215="F-60",4,IF(L215="F-90",5,0)))),0),0)+IF(AND(O215="FIRE TEX 5062",E215="CJ",J215=4),VLOOKUP(_xlfn.MINIFS('FIRE TEX 5062'!$Q$3:$Q$34,'FIRE TEX 5062'!$Q$3:$Q$34,"&gt;="&amp;M215),'FIRE TEX 5062'!$Q$3:$U$34,IF(L215="F-15",2,IF(L215="F-30",3,IF(L215="F-60",4,IF(L215="F-90",5,0)))),0),0)+IF(AND(O215="FIRE TEX 5090",OR(E215="IN",E215="C",E215="Z",E215="L"),J215=3),VLOOKUP(_xlfn.MINIFS('FIRE TEX 5090'!$B$5:$B$43,'FIRE TEX 5090'!$B$5:$B$43,"&gt;="&amp;M215),'FIRE TEX 5090'!$B$5:$H$43,IF(L215="F-15",2,IF(L215="F-30",3,IF(L215="F-60",4,IF(L215="F-90",5,IF(L215="F-120",6,IF(L215="F-150",7,0)))))),0),0)+IF(AND(O215="FIRE TEX 5090",OR(E215="IN",E215="C",E215="Z",E215="L"),J215=4),VLOOKUP(_xlfn.MINIFS('FIRE TEX 5090'!$J$5:$J$43,'FIRE TEX 5090'!$J$5:$J$43,"&gt;="&amp;M215),'FIRE TEX 5090'!$J$5:$P$43,IF(L215="F-15",2,IF(L215="F-30",3,IF(L215="F-60",4,IF(L215="F-90",5,IF(L215="F-120",6,IF(L215="F-150",7,0)))))),0),0)+IF(AND(O215="FIRE TEX 5090",E215="CJ",J215=3),VLOOKUP(_xlfn.MINIFS('FIRE TEX 5090'!$R$5:$R$30,'FIRE TEX 5090'!$R$5:$R$30,"&gt;="&amp;M215),'FIRE TEX 5090'!$R$5:$W$30,IF(L215="F-15",2,IF(L215="F-30",3,IF(L215="F-60",4,IF(L215="F-90",5,IF(L215="F-120",6,IF(L215="F-150",7,0)))))),0),0)+IF(AND(O215="FIRE TEX 5090",E215="CJ",J215=4),VLOOKUP(_xlfn.MINIFS('FIRE TEX 5090'!$Y$5:$Y$39,'FIRE TEX 5090'!$Y$5:$Y$39,"&gt;="&amp;M215),'FIRE TEX 5090'!$Y$5:$AD$39,IF(L215="F-15",2,IF(L215="F-30",3,IF(L215="F-60",4,IF(L215="F-90",5,IF(L215="F-120",6,IF(L215="F-150",7,0)))))),0),0)+IF(AND(O215="FIRE TEX 5120",OR(E215="IN",E215="C",E215="Z",E215="L"),J215=3),VLOOKUP(_xlfn.MINIFS('FIRE TEX 5120'!$B$5:$B$40,'FIRE TEX 5120'!$B$5:$B$40,"&gt;="&amp;M215),'FIRE TEX 5120'!$B$5:$G$40,IF(L215="F-15",2,IF(L215="F-30",3,IF(L215="F-60",4,IF(L215="F-90",5,IF(L215="F-120",6,0))))),0),0)+IF(AND(O215="FIRE TEX 5120",OR(E215="IN",E215="C",E215="Z",E215="L"),J215=4),VLOOKUP(_xlfn.MINIFS('FIRE TEX 5120'!$H$4:$H$40,'FIRE TEX 5120'!$H$4:$H$40,"&gt;="&amp;M215),'FIRE TEX 5120'!$H$4:$M$40,IF(L215="F-15",2,IF(L215="F-30",3,IF(L215="F-60",4,IF(L215="F-90",5,IF(L215="F-120",6,0))))),0),0)+IF(AND(O215="FIRE TEX 5120",E215="CJ"),VLOOKUP(_xlfn.MINIFS('FIRE TEX 5120'!$O$5:$O$40,'FIRE TEX 5120'!$O$5:$O$40,"&gt;="&amp;M215),'FIRE TEX 5120'!$O$5:$T$40,IF(L215="F-15",2,IF(L215="F-30",3,IF(L215="F-60",4,IF(L215="F-90",5,IF(L215="F-120",6,0))))),0),0)</f>
        <v>0</v>
      </c>
      <c r="Q215" s="46">
        <f t="shared" si="26"/>
        <v>0</v>
      </c>
      <c r="R215" s="46">
        <f t="shared" si="28"/>
        <v>0</v>
      </c>
      <c r="S215" s="46" t="e">
        <f t="shared" si="27"/>
        <v>#VALUE!</v>
      </c>
      <c r="T215" s="677">
        <f t="shared" si="29"/>
        <v>0</v>
      </c>
      <c r="U215" s="80">
        <f>(IF(O215="Stofire",(S215*#REF!),0))+(IF(O215="Fire Control",(S215*$U$2),0))+(IF(O215="Fire Tex",(S215*$U$3),0))+(IF(O215="WB7",(S215*#REF!),0)+(IF(O215="FX 2003",(S215*$U$5),0)))</f>
        <v>0</v>
      </c>
      <c r="V215" s="649">
        <f>_xlfn.CEILING.MATH(M215,10)</f>
        <v>0</v>
      </c>
      <c r="W215" s="4"/>
    </row>
    <row r="216" spans="1:23" x14ac:dyDescent="0.25">
      <c r="A216" s="652" t="s">
        <v>406</v>
      </c>
      <c r="B216" s="653" t="s">
        <v>407</v>
      </c>
      <c r="C216" s="1" t="s">
        <v>408</v>
      </c>
      <c r="D216" s="118">
        <f>+CUBICACION!D215</f>
        <v>0</v>
      </c>
      <c r="E216" s="118">
        <f>+CUBICACION!F215</f>
        <v>0</v>
      </c>
      <c r="F216" s="118">
        <f>+CUBICACION!E215</f>
        <v>0</v>
      </c>
      <c r="G216" s="118">
        <v>12</v>
      </c>
      <c r="H216" s="118">
        <v>2</v>
      </c>
      <c r="I216" s="820">
        <v>26385</v>
      </c>
      <c r="J216" s="118">
        <f>+CUBICACION!J215</f>
        <v>0</v>
      </c>
      <c r="K216" s="118">
        <v>2995</v>
      </c>
      <c r="L216" s="118">
        <f>+CUBICACION!L215</f>
        <v>0</v>
      </c>
      <c r="M216" s="64">
        <f>+CUBICACION!M215</f>
        <v>0</v>
      </c>
      <c r="N216" s="824" t="str">
        <f>+CUBICACION!N215</f>
        <v/>
      </c>
      <c r="O216" s="675">
        <f>+CUBICACION!O215</f>
        <v>0</v>
      </c>
      <c r="P216" s="15">
        <f>IF(O216="Fire Control",VLOOKUP(_xlfn.MINIFS('FIRE CONTROL'!$C$4:$C$37,'FIRE CONTROL'!$C$4:$C$37,"&gt;="&amp;M216),'FIRE CONTROL'!$C$4:$G$37,IF(L216="F-15",2,IF(L216="F-30",3,IF(L216="F-60",4,IF(L216="F-90",5,0)))),0),0)+IF(AND(O216="FIRE TEX 5062",OR(E216="IN",E216="C",E216="Z",E216="L"),J216=3),VLOOKUP(_xlfn.MINIFS('FIRE TEX 5062'!$B$4:$B$34,'FIRE TEX 5062'!$B$4:$B$34,"&gt;="&amp;M216),'FIRE TEX 5062'!$B$4:$F$34,IF(L216="F-15",2,IF(L216="F-30",3,IF(L216="F-60",4,IF(L216="F-90",5,0)))),0),0)+IF(AND(O216="FIRE TEX 5062",OR(E216="IN",E216="C",E216="Z",E216="L"),J216=4),VLOOKUP(_xlfn.MINIFS('FIRE TEX 5062'!$G$4:$G$34,'FIRE TEX 5062'!$G$4:$G$34,"&gt;="&amp;M216),'FIRE TEX 5062'!$G$4:$K$34,IF(L216="F-15",2,IF(L216="F-30",3,IF(L216="F-60",4,IF(L216="F-90",5,0)))),0),0)+IF(AND(O216="FIRE TEX 5062",E216="CJ",J216=3),VLOOKUP(_xlfn.MINIFS('FIRE TEX 5062'!$L$4:$L$34,'FIRE TEX 5062'!$L$4:$L$34,"&gt;="&amp;M216),'FIRE TEX 5062'!$L$4:$P$34,IF(L216="F-15",2,IF(L216="F-30",3,IF(L216="F-60",4,IF(L216="F-90",5,0)))),0),0)+IF(AND(O216="FIRE TEX 5062",E216="CJ",J216=4),VLOOKUP(_xlfn.MINIFS('FIRE TEX 5062'!$Q$3:$Q$34,'FIRE TEX 5062'!$Q$3:$Q$34,"&gt;="&amp;M216),'FIRE TEX 5062'!$Q$3:$U$34,IF(L216="F-15",2,IF(L216="F-30",3,IF(L216="F-60",4,IF(L216="F-90",5,0)))),0),0)+IF(AND(O216="FIRE TEX 5090",OR(E216="IN",E216="C",E216="Z",E216="L"),J216=3),VLOOKUP(_xlfn.MINIFS('FIRE TEX 5090'!$B$5:$B$43,'FIRE TEX 5090'!$B$5:$B$43,"&gt;="&amp;M216),'FIRE TEX 5090'!$B$5:$H$43,IF(L216="F-15",2,IF(L216="F-30",3,IF(L216="F-60",4,IF(L216="F-90",5,IF(L216="F-120",6,IF(L216="F-150",7,0)))))),0),0)+IF(AND(O216="FIRE TEX 5090",OR(E216="IN",E216="C",E216="Z",E216="L"),J216=4),VLOOKUP(_xlfn.MINIFS('FIRE TEX 5090'!$J$5:$J$43,'FIRE TEX 5090'!$J$5:$J$43,"&gt;="&amp;M216),'FIRE TEX 5090'!$J$5:$P$43,IF(L216="F-15",2,IF(L216="F-30",3,IF(L216="F-60",4,IF(L216="F-90",5,IF(L216="F-120",6,IF(L216="F-150",7,0)))))),0),0)+IF(AND(O216="FIRE TEX 5090",E216="CJ",J216=3),VLOOKUP(_xlfn.MINIFS('FIRE TEX 5090'!$R$5:$R$30,'FIRE TEX 5090'!$R$5:$R$30,"&gt;="&amp;M216),'FIRE TEX 5090'!$R$5:$W$30,IF(L216="F-15",2,IF(L216="F-30",3,IF(L216="F-60",4,IF(L216="F-90",5,IF(L216="F-120",6,IF(L216="F-150",7,0)))))),0),0)+IF(AND(O216="FIRE TEX 5090",E216="CJ",J216=4),VLOOKUP(_xlfn.MINIFS('FIRE TEX 5090'!$Y$5:$Y$39,'FIRE TEX 5090'!$Y$5:$Y$39,"&gt;="&amp;M216),'FIRE TEX 5090'!$Y$5:$AD$39,IF(L216="F-15",2,IF(L216="F-30",3,IF(L216="F-60",4,IF(L216="F-90",5,IF(L216="F-120",6,IF(L216="F-150",7,0)))))),0),0)+IF(AND(O216="FIRE TEX 5120",OR(E216="IN",E216="C",E216="Z",E216="L"),J216=3),VLOOKUP(_xlfn.MINIFS('FIRE TEX 5120'!$B$5:$B$40,'FIRE TEX 5120'!$B$5:$B$40,"&gt;="&amp;M216),'FIRE TEX 5120'!$B$5:$G$40,IF(L216="F-15",2,IF(L216="F-30",3,IF(L216="F-60",4,IF(L216="F-90",5,IF(L216="F-120",6,0))))),0),0)+IF(AND(O216="FIRE TEX 5120",OR(E216="IN",E216="C",E216="Z",E216="L"),J216=4),VLOOKUP(_xlfn.MINIFS('FIRE TEX 5120'!$H$4:$H$40,'FIRE TEX 5120'!$H$4:$H$40,"&gt;="&amp;M216),'FIRE TEX 5120'!$H$4:$M$40,IF(L216="F-15",2,IF(L216="F-30",3,IF(L216="F-60",4,IF(L216="F-90",5,IF(L216="F-120",6,0))))),0),0)+IF(AND(O216="FIRE TEX 5120",E216="CJ"),VLOOKUP(_xlfn.MINIFS('FIRE TEX 5120'!$O$5:$O$40,'FIRE TEX 5120'!$O$5:$O$40,"&gt;="&amp;M216),'FIRE TEX 5120'!$O$5:$T$40,IF(L216="F-15",2,IF(L216="F-30",3,IF(L216="F-60",4,IF(L216="F-90",5,IF(L216="F-120",6,0))))),0),0)</f>
        <v>0</v>
      </c>
      <c r="Q216" s="46">
        <f t="shared" si="26"/>
        <v>0</v>
      </c>
      <c r="R216" s="46">
        <f t="shared" si="28"/>
        <v>0</v>
      </c>
      <c r="S216" s="46" t="e">
        <f t="shared" si="27"/>
        <v>#VALUE!</v>
      </c>
      <c r="T216" s="677">
        <f t="shared" si="29"/>
        <v>0</v>
      </c>
      <c r="U216" s="80">
        <f>(IF(O216="Stofire",(S216*#REF!),0))+(IF(O216="Fire Control",(S216*$U$2),0))+(IF(O216="Fire Tex",(S216*$U$3),0))+(IF(O216="WB7",(S216*#REF!),0)+(IF(O216="FX 2003",(S216*$U$5),0)))</f>
        <v>0</v>
      </c>
      <c r="V216" s="651">
        <f>_xlfn.CEILING.MATH(M216,10)</f>
        <v>0</v>
      </c>
      <c r="W216" s="4"/>
    </row>
    <row r="217" spans="1:23" x14ac:dyDescent="0.25">
      <c r="A217" s="652" t="s">
        <v>409</v>
      </c>
      <c r="B217" s="653" t="s">
        <v>410</v>
      </c>
      <c r="C217" s="1" t="s">
        <v>408</v>
      </c>
      <c r="D217" s="118">
        <f>+CUBICACION!D216</f>
        <v>0</v>
      </c>
      <c r="E217" s="118">
        <f>+CUBICACION!F216</f>
        <v>0</v>
      </c>
      <c r="F217" s="118">
        <f>+CUBICACION!E216</f>
        <v>0</v>
      </c>
      <c r="G217" s="118">
        <v>12</v>
      </c>
      <c r="H217" s="118">
        <v>2</v>
      </c>
      <c r="I217" s="820">
        <v>26385</v>
      </c>
      <c r="J217" s="118">
        <f>+CUBICACION!J216</f>
        <v>0</v>
      </c>
      <c r="K217" s="118">
        <v>2996</v>
      </c>
      <c r="L217" s="118">
        <f>+CUBICACION!L216</f>
        <v>0</v>
      </c>
      <c r="M217" s="64">
        <f>+CUBICACION!M216</f>
        <v>0</v>
      </c>
      <c r="N217" s="824" t="str">
        <f>+CUBICACION!N216</f>
        <v/>
      </c>
      <c r="O217" s="675">
        <f>+CUBICACION!O216</f>
        <v>0</v>
      </c>
      <c r="P217" s="15">
        <f>IF(O217="Fire Control",VLOOKUP(_xlfn.MINIFS('FIRE CONTROL'!$C$4:$C$37,'FIRE CONTROL'!$C$4:$C$37,"&gt;="&amp;M217),'FIRE CONTROL'!$C$4:$G$37,IF(L217="F-15",2,IF(L217="F-30",3,IF(L217="F-60",4,IF(L217="F-90",5,0)))),0),0)+IF(AND(O217="FIRE TEX 5062",OR(E217="IN",E217="C",E217="Z",E217="L"),J217=3),VLOOKUP(_xlfn.MINIFS('FIRE TEX 5062'!$B$4:$B$34,'FIRE TEX 5062'!$B$4:$B$34,"&gt;="&amp;M217),'FIRE TEX 5062'!$B$4:$F$34,IF(L217="F-15",2,IF(L217="F-30",3,IF(L217="F-60",4,IF(L217="F-90",5,0)))),0),0)+IF(AND(O217="FIRE TEX 5062",OR(E217="IN",E217="C",E217="Z",E217="L"),J217=4),VLOOKUP(_xlfn.MINIFS('FIRE TEX 5062'!$G$4:$G$34,'FIRE TEX 5062'!$G$4:$G$34,"&gt;="&amp;M217),'FIRE TEX 5062'!$G$4:$K$34,IF(L217="F-15",2,IF(L217="F-30",3,IF(L217="F-60",4,IF(L217="F-90",5,0)))),0),0)+IF(AND(O217="FIRE TEX 5062",E217="CJ",J217=3),VLOOKUP(_xlfn.MINIFS('FIRE TEX 5062'!$L$4:$L$34,'FIRE TEX 5062'!$L$4:$L$34,"&gt;="&amp;M217),'FIRE TEX 5062'!$L$4:$P$34,IF(L217="F-15",2,IF(L217="F-30",3,IF(L217="F-60",4,IF(L217="F-90",5,0)))),0),0)+IF(AND(O217="FIRE TEX 5062",E217="CJ",J217=4),VLOOKUP(_xlfn.MINIFS('FIRE TEX 5062'!$Q$3:$Q$34,'FIRE TEX 5062'!$Q$3:$Q$34,"&gt;="&amp;M217),'FIRE TEX 5062'!$Q$3:$U$34,IF(L217="F-15",2,IF(L217="F-30",3,IF(L217="F-60",4,IF(L217="F-90",5,0)))),0),0)+IF(AND(O217="FIRE TEX 5090",OR(E217="IN",E217="C",E217="Z",E217="L"),J217=3),VLOOKUP(_xlfn.MINIFS('FIRE TEX 5090'!$B$5:$B$43,'FIRE TEX 5090'!$B$5:$B$43,"&gt;="&amp;M217),'FIRE TEX 5090'!$B$5:$H$43,IF(L217="F-15",2,IF(L217="F-30",3,IF(L217="F-60",4,IF(L217="F-90",5,IF(L217="F-120",6,IF(L217="F-150",7,0)))))),0),0)+IF(AND(O217="FIRE TEX 5090",OR(E217="IN",E217="C",E217="Z",E217="L"),J217=4),VLOOKUP(_xlfn.MINIFS('FIRE TEX 5090'!$J$5:$J$43,'FIRE TEX 5090'!$J$5:$J$43,"&gt;="&amp;M217),'FIRE TEX 5090'!$J$5:$P$43,IF(L217="F-15",2,IF(L217="F-30",3,IF(L217="F-60",4,IF(L217="F-90",5,IF(L217="F-120",6,IF(L217="F-150",7,0)))))),0),0)+IF(AND(O217="FIRE TEX 5090",E217="CJ",J217=3),VLOOKUP(_xlfn.MINIFS('FIRE TEX 5090'!$R$5:$R$30,'FIRE TEX 5090'!$R$5:$R$30,"&gt;="&amp;M217),'FIRE TEX 5090'!$R$5:$W$30,IF(L217="F-15",2,IF(L217="F-30",3,IF(L217="F-60",4,IF(L217="F-90",5,IF(L217="F-120",6,IF(L217="F-150",7,0)))))),0),0)+IF(AND(O217="FIRE TEX 5090",E217="CJ",J217=4),VLOOKUP(_xlfn.MINIFS('FIRE TEX 5090'!$Y$5:$Y$39,'FIRE TEX 5090'!$Y$5:$Y$39,"&gt;="&amp;M217),'FIRE TEX 5090'!$Y$5:$AD$39,IF(L217="F-15",2,IF(L217="F-30",3,IF(L217="F-60",4,IF(L217="F-90",5,IF(L217="F-120",6,IF(L217="F-150",7,0)))))),0),0)+IF(AND(O217="FIRE TEX 5120",OR(E217="IN",E217="C",E217="Z",E217="L"),J217=3),VLOOKUP(_xlfn.MINIFS('FIRE TEX 5120'!$B$5:$B$40,'FIRE TEX 5120'!$B$5:$B$40,"&gt;="&amp;M217),'FIRE TEX 5120'!$B$5:$G$40,IF(L217="F-15",2,IF(L217="F-30",3,IF(L217="F-60",4,IF(L217="F-90",5,IF(L217="F-120",6,0))))),0),0)+IF(AND(O217="FIRE TEX 5120",OR(E217="IN",E217="C",E217="Z",E217="L"),J217=4),VLOOKUP(_xlfn.MINIFS('FIRE TEX 5120'!$H$4:$H$40,'FIRE TEX 5120'!$H$4:$H$40,"&gt;="&amp;M217),'FIRE TEX 5120'!$H$4:$M$40,IF(L217="F-15",2,IF(L217="F-30",3,IF(L217="F-60",4,IF(L217="F-90",5,IF(L217="F-120",6,0))))),0),0)+IF(AND(O217="FIRE TEX 5120",E217="CJ"),VLOOKUP(_xlfn.MINIFS('FIRE TEX 5120'!$O$5:$O$40,'FIRE TEX 5120'!$O$5:$O$40,"&gt;="&amp;M217),'FIRE TEX 5120'!$O$5:$T$40,IF(L217="F-15",2,IF(L217="F-30",3,IF(L217="F-60",4,IF(L217="F-90",5,IF(L217="F-120",6,0))))),0),0)</f>
        <v>0</v>
      </c>
      <c r="Q217" s="46">
        <f t="shared" si="26"/>
        <v>0</v>
      </c>
      <c r="R217" s="46">
        <f t="shared" si="28"/>
        <v>0</v>
      </c>
      <c r="S217" s="46" t="e">
        <f t="shared" si="27"/>
        <v>#VALUE!</v>
      </c>
      <c r="T217" s="677">
        <f t="shared" si="29"/>
        <v>0</v>
      </c>
      <c r="U217" s="80">
        <f>(IF(O217="Stofire",(S217*#REF!),0))+(IF(O217="Fire Control",(S217*$U$2),0))+(IF(O217="Fire Tex",(S217*$U$3),0))+(IF(O217="WB7",(S217*#REF!),0)+(IF(O217="FX 2003",(S217*$U$5),0)))</f>
        <v>0</v>
      </c>
      <c r="V217" s="651">
        <f t="shared" ref="V217:V229" si="31">_xlfn.CEILING.MATH(M217,10)</f>
        <v>0</v>
      </c>
      <c r="W217" s="4"/>
    </row>
    <row r="218" spans="1:23" x14ac:dyDescent="0.25">
      <c r="A218" s="652" t="s">
        <v>414</v>
      </c>
      <c r="B218" s="653" t="s">
        <v>415</v>
      </c>
      <c r="C218" s="1" t="s">
        <v>408</v>
      </c>
      <c r="D218" s="118">
        <f>+CUBICACION!D217</f>
        <v>0</v>
      </c>
      <c r="E218" s="118">
        <f>+CUBICACION!F217</f>
        <v>0</v>
      </c>
      <c r="F218" s="118">
        <f>+CUBICACION!E217</f>
        <v>0</v>
      </c>
      <c r="G218" s="118">
        <v>12</v>
      </c>
      <c r="H218" s="118">
        <v>2</v>
      </c>
      <c r="I218" s="820">
        <v>26385</v>
      </c>
      <c r="J218" s="118">
        <f>+CUBICACION!J217</f>
        <v>0</v>
      </c>
      <c r="K218" s="118">
        <v>2997</v>
      </c>
      <c r="L218" s="118">
        <f>+CUBICACION!L217</f>
        <v>0</v>
      </c>
      <c r="M218" s="64">
        <f>+CUBICACION!M217</f>
        <v>0</v>
      </c>
      <c r="N218" s="824" t="str">
        <f>+CUBICACION!N217</f>
        <v/>
      </c>
      <c r="O218" s="675">
        <f>+CUBICACION!O217</f>
        <v>0</v>
      </c>
      <c r="P218" s="15">
        <f>IF(O218="Fire Control",VLOOKUP(_xlfn.MINIFS('FIRE CONTROL'!$C$4:$C$37,'FIRE CONTROL'!$C$4:$C$37,"&gt;="&amp;M218),'FIRE CONTROL'!$C$4:$G$37,IF(L218="F-15",2,IF(L218="F-30",3,IF(L218="F-60",4,IF(L218="F-90",5,0)))),0),0)+IF(AND(O218="FIRE TEX 5062",OR(E218="IN",E218="C",E218="Z",E218="L"),J218=3),VLOOKUP(_xlfn.MINIFS('FIRE TEX 5062'!$B$4:$B$34,'FIRE TEX 5062'!$B$4:$B$34,"&gt;="&amp;M218),'FIRE TEX 5062'!$B$4:$F$34,IF(L218="F-15",2,IF(L218="F-30",3,IF(L218="F-60",4,IF(L218="F-90",5,0)))),0),0)+IF(AND(O218="FIRE TEX 5062",OR(E218="IN",E218="C",E218="Z",E218="L"),J218=4),VLOOKUP(_xlfn.MINIFS('FIRE TEX 5062'!$G$4:$G$34,'FIRE TEX 5062'!$G$4:$G$34,"&gt;="&amp;M218),'FIRE TEX 5062'!$G$4:$K$34,IF(L218="F-15",2,IF(L218="F-30",3,IF(L218="F-60",4,IF(L218="F-90",5,0)))),0),0)+IF(AND(O218="FIRE TEX 5062",E218="CJ",J218=3),VLOOKUP(_xlfn.MINIFS('FIRE TEX 5062'!$L$4:$L$34,'FIRE TEX 5062'!$L$4:$L$34,"&gt;="&amp;M218),'FIRE TEX 5062'!$L$4:$P$34,IF(L218="F-15",2,IF(L218="F-30",3,IF(L218="F-60",4,IF(L218="F-90",5,0)))),0),0)+IF(AND(O218="FIRE TEX 5062",E218="CJ",J218=4),VLOOKUP(_xlfn.MINIFS('FIRE TEX 5062'!$Q$3:$Q$34,'FIRE TEX 5062'!$Q$3:$Q$34,"&gt;="&amp;M218),'FIRE TEX 5062'!$Q$3:$U$34,IF(L218="F-15",2,IF(L218="F-30",3,IF(L218="F-60",4,IF(L218="F-90",5,0)))),0),0)+IF(AND(O218="FIRE TEX 5090",OR(E218="IN",E218="C",E218="Z",E218="L"),J218=3),VLOOKUP(_xlfn.MINIFS('FIRE TEX 5090'!$B$5:$B$43,'FIRE TEX 5090'!$B$5:$B$43,"&gt;="&amp;M218),'FIRE TEX 5090'!$B$5:$H$43,IF(L218="F-15",2,IF(L218="F-30",3,IF(L218="F-60",4,IF(L218="F-90",5,IF(L218="F-120",6,IF(L218="F-150",7,0)))))),0),0)+IF(AND(O218="FIRE TEX 5090",OR(E218="IN",E218="C",E218="Z",E218="L"),J218=4),VLOOKUP(_xlfn.MINIFS('FIRE TEX 5090'!$J$5:$J$43,'FIRE TEX 5090'!$J$5:$J$43,"&gt;="&amp;M218),'FIRE TEX 5090'!$J$5:$P$43,IF(L218="F-15",2,IF(L218="F-30",3,IF(L218="F-60",4,IF(L218="F-90",5,IF(L218="F-120",6,IF(L218="F-150",7,0)))))),0),0)+IF(AND(O218="FIRE TEX 5090",E218="CJ",J218=3),VLOOKUP(_xlfn.MINIFS('FIRE TEX 5090'!$R$5:$R$30,'FIRE TEX 5090'!$R$5:$R$30,"&gt;="&amp;M218),'FIRE TEX 5090'!$R$5:$W$30,IF(L218="F-15",2,IF(L218="F-30",3,IF(L218="F-60",4,IF(L218="F-90",5,IF(L218="F-120",6,IF(L218="F-150",7,0)))))),0),0)+IF(AND(O218="FIRE TEX 5090",E218="CJ",J218=4),VLOOKUP(_xlfn.MINIFS('FIRE TEX 5090'!$Y$5:$Y$39,'FIRE TEX 5090'!$Y$5:$Y$39,"&gt;="&amp;M218),'FIRE TEX 5090'!$Y$5:$AD$39,IF(L218="F-15",2,IF(L218="F-30",3,IF(L218="F-60",4,IF(L218="F-90",5,IF(L218="F-120",6,IF(L218="F-150",7,0)))))),0),0)+IF(AND(O218="FIRE TEX 5120",OR(E218="IN",E218="C",E218="Z",E218="L"),J218=3),VLOOKUP(_xlfn.MINIFS('FIRE TEX 5120'!$B$5:$B$40,'FIRE TEX 5120'!$B$5:$B$40,"&gt;="&amp;M218),'FIRE TEX 5120'!$B$5:$G$40,IF(L218="F-15",2,IF(L218="F-30",3,IF(L218="F-60",4,IF(L218="F-90",5,IF(L218="F-120",6,0))))),0),0)+IF(AND(O218="FIRE TEX 5120",OR(E218="IN",E218="C",E218="Z",E218="L"),J218=4),VLOOKUP(_xlfn.MINIFS('FIRE TEX 5120'!$H$4:$H$40,'FIRE TEX 5120'!$H$4:$H$40,"&gt;="&amp;M218),'FIRE TEX 5120'!$H$4:$M$40,IF(L218="F-15",2,IF(L218="F-30",3,IF(L218="F-60",4,IF(L218="F-90",5,IF(L218="F-120",6,0))))),0),0)+IF(AND(O218="FIRE TEX 5120",E218="CJ"),VLOOKUP(_xlfn.MINIFS('FIRE TEX 5120'!$O$5:$O$40,'FIRE TEX 5120'!$O$5:$O$40,"&gt;="&amp;M218),'FIRE TEX 5120'!$O$5:$T$40,IF(L218="F-15",2,IF(L218="F-30",3,IF(L218="F-60",4,IF(L218="F-90",5,IF(L218="F-120",6,0))))),0),0)</f>
        <v>0</v>
      </c>
      <c r="Q218" s="46">
        <f t="shared" si="26"/>
        <v>0</v>
      </c>
      <c r="R218" s="46">
        <f t="shared" si="28"/>
        <v>0</v>
      </c>
      <c r="S218" s="46" t="e">
        <f t="shared" si="27"/>
        <v>#VALUE!</v>
      </c>
      <c r="T218" s="677">
        <f t="shared" si="29"/>
        <v>0</v>
      </c>
      <c r="U218" s="80">
        <f>(IF(O218="Stofire",(S218*#REF!),0))+(IF(O218="Fire Control",(S218*$U$2),0))+(IF(O218="Fire Tex",(S218*$U$3),0))+(IF(O218="WB7",(S218*#REF!),0)+(IF(O218="FX 2003",(S218*$U$5),0)))</f>
        <v>0</v>
      </c>
      <c r="V218" s="651">
        <f t="shared" si="31"/>
        <v>0</v>
      </c>
      <c r="W218" s="4"/>
    </row>
    <row r="219" spans="1:23" x14ac:dyDescent="0.25">
      <c r="A219" s="652" t="s">
        <v>417</v>
      </c>
      <c r="B219" s="653" t="s">
        <v>415</v>
      </c>
      <c r="C219" s="1" t="s">
        <v>408</v>
      </c>
      <c r="D219" s="118">
        <f>+CUBICACION!D218</f>
        <v>0</v>
      </c>
      <c r="E219" s="118">
        <f>+CUBICACION!F218</f>
        <v>0</v>
      </c>
      <c r="F219" s="118">
        <f>+CUBICACION!E218</f>
        <v>0</v>
      </c>
      <c r="G219" s="118">
        <v>12</v>
      </c>
      <c r="H219" s="118">
        <v>2</v>
      </c>
      <c r="I219" s="820">
        <v>26385</v>
      </c>
      <c r="J219" s="118">
        <f>+CUBICACION!J218</f>
        <v>0</v>
      </c>
      <c r="K219" s="118">
        <v>2998</v>
      </c>
      <c r="L219" s="118">
        <f>+CUBICACION!L218</f>
        <v>0</v>
      </c>
      <c r="M219" s="64">
        <f>+CUBICACION!M218</f>
        <v>0</v>
      </c>
      <c r="N219" s="824" t="str">
        <f>+CUBICACION!N218</f>
        <v/>
      </c>
      <c r="O219" s="675">
        <f>+CUBICACION!O218</f>
        <v>0</v>
      </c>
      <c r="P219" s="15">
        <f>IF(O219="Fire Control",VLOOKUP(_xlfn.MINIFS('FIRE CONTROL'!$C$4:$C$37,'FIRE CONTROL'!$C$4:$C$37,"&gt;="&amp;M219),'FIRE CONTROL'!$C$4:$G$37,IF(L219="F-15",2,IF(L219="F-30",3,IF(L219="F-60",4,IF(L219="F-90",5,0)))),0),0)+IF(AND(O219="FIRE TEX 5062",OR(E219="IN",E219="C",E219="Z",E219="L"),J219=3),VLOOKUP(_xlfn.MINIFS('FIRE TEX 5062'!$B$4:$B$34,'FIRE TEX 5062'!$B$4:$B$34,"&gt;="&amp;M219),'FIRE TEX 5062'!$B$4:$F$34,IF(L219="F-15",2,IF(L219="F-30",3,IF(L219="F-60",4,IF(L219="F-90",5,0)))),0),0)+IF(AND(O219="FIRE TEX 5062",OR(E219="IN",E219="C",E219="Z",E219="L"),J219=4),VLOOKUP(_xlfn.MINIFS('FIRE TEX 5062'!$G$4:$G$34,'FIRE TEX 5062'!$G$4:$G$34,"&gt;="&amp;M219),'FIRE TEX 5062'!$G$4:$K$34,IF(L219="F-15",2,IF(L219="F-30",3,IF(L219="F-60",4,IF(L219="F-90",5,0)))),0),0)+IF(AND(O219="FIRE TEX 5062",E219="CJ",J219=3),VLOOKUP(_xlfn.MINIFS('FIRE TEX 5062'!$L$4:$L$34,'FIRE TEX 5062'!$L$4:$L$34,"&gt;="&amp;M219),'FIRE TEX 5062'!$L$4:$P$34,IF(L219="F-15",2,IF(L219="F-30",3,IF(L219="F-60",4,IF(L219="F-90",5,0)))),0),0)+IF(AND(O219="FIRE TEX 5062",E219="CJ",J219=4),VLOOKUP(_xlfn.MINIFS('FIRE TEX 5062'!$Q$3:$Q$34,'FIRE TEX 5062'!$Q$3:$Q$34,"&gt;="&amp;M219),'FIRE TEX 5062'!$Q$3:$U$34,IF(L219="F-15",2,IF(L219="F-30",3,IF(L219="F-60",4,IF(L219="F-90",5,0)))),0),0)+IF(AND(O219="FIRE TEX 5090",OR(E219="IN",E219="C",E219="Z",E219="L"),J219=3),VLOOKUP(_xlfn.MINIFS('FIRE TEX 5090'!$B$5:$B$43,'FIRE TEX 5090'!$B$5:$B$43,"&gt;="&amp;M219),'FIRE TEX 5090'!$B$5:$H$43,IF(L219="F-15",2,IF(L219="F-30",3,IF(L219="F-60",4,IF(L219="F-90",5,IF(L219="F-120",6,IF(L219="F-150",7,0)))))),0),0)+IF(AND(O219="FIRE TEX 5090",OR(E219="IN",E219="C",E219="Z",E219="L"),J219=4),VLOOKUP(_xlfn.MINIFS('FIRE TEX 5090'!$J$5:$J$43,'FIRE TEX 5090'!$J$5:$J$43,"&gt;="&amp;M219),'FIRE TEX 5090'!$J$5:$P$43,IF(L219="F-15",2,IF(L219="F-30",3,IF(L219="F-60",4,IF(L219="F-90",5,IF(L219="F-120",6,IF(L219="F-150",7,0)))))),0),0)+IF(AND(O219="FIRE TEX 5090",E219="CJ",J219=3),VLOOKUP(_xlfn.MINIFS('FIRE TEX 5090'!$R$5:$R$30,'FIRE TEX 5090'!$R$5:$R$30,"&gt;="&amp;M219),'FIRE TEX 5090'!$R$5:$W$30,IF(L219="F-15",2,IF(L219="F-30",3,IF(L219="F-60",4,IF(L219="F-90",5,IF(L219="F-120",6,IF(L219="F-150",7,0)))))),0),0)+IF(AND(O219="FIRE TEX 5090",E219="CJ",J219=4),VLOOKUP(_xlfn.MINIFS('FIRE TEX 5090'!$Y$5:$Y$39,'FIRE TEX 5090'!$Y$5:$Y$39,"&gt;="&amp;M219),'FIRE TEX 5090'!$Y$5:$AD$39,IF(L219="F-15",2,IF(L219="F-30",3,IF(L219="F-60",4,IF(L219="F-90",5,IF(L219="F-120",6,IF(L219="F-150",7,0)))))),0),0)+IF(AND(O219="FIRE TEX 5120",OR(E219="IN",E219="C",E219="Z",E219="L"),J219=3),VLOOKUP(_xlfn.MINIFS('FIRE TEX 5120'!$B$5:$B$40,'FIRE TEX 5120'!$B$5:$B$40,"&gt;="&amp;M219),'FIRE TEX 5120'!$B$5:$G$40,IF(L219="F-15",2,IF(L219="F-30",3,IF(L219="F-60",4,IF(L219="F-90",5,IF(L219="F-120",6,0))))),0),0)+IF(AND(O219="FIRE TEX 5120",OR(E219="IN",E219="C",E219="Z",E219="L"),J219=4),VLOOKUP(_xlfn.MINIFS('FIRE TEX 5120'!$H$4:$H$40,'FIRE TEX 5120'!$H$4:$H$40,"&gt;="&amp;M219),'FIRE TEX 5120'!$H$4:$M$40,IF(L219="F-15",2,IF(L219="F-30",3,IF(L219="F-60",4,IF(L219="F-90",5,IF(L219="F-120",6,0))))),0),0)+IF(AND(O219="FIRE TEX 5120",E219="CJ"),VLOOKUP(_xlfn.MINIFS('FIRE TEX 5120'!$O$5:$O$40,'FIRE TEX 5120'!$O$5:$O$40,"&gt;="&amp;M219),'FIRE TEX 5120'!$O$5:$T$40,IF(L219="F-15",2,IF(L219="F-30",3,IF(L219="F-60",4,IF(L219="F-90",5,IF(L219="F-120",6,0))))),0),0)</f>
        <v>0</v>
      </c>
      <c r="Q219" s="46">
        <f t="shared" si="26"/>
        <v>0</v>
      </c>
      <c r="R219" s="46">
        <f t="shared" si="28"/>
        <v>0</v>
      </c>
      <c r="S219" s="46" t="e">
        <f t="shared" si="27"/>
        <v>#VALUE!</v>
      </c>
      <c r="T219" s="677">
        <f t="shared" si="29"/>
        <v>0</v>
      </c>
      <c r="U219" s="80">
        <f>(IF(O219="Stofire",(S219*#REF!),0))+(IF(O219="Fire Control",(S219*$U$2),0))+(IF(O219="Fire Tex",(S219*$U$3),0))+(IF(O219="WB7",(S219*#REF!),0)+(IF(O219="FX 2003",(S219*$U$5),0)))</f>
        <v>0</v>
      </c>
      <c r="V219" s="651">
        <f t="shared" si="31"/>
        <v>0</v>
      </c>
      <c r="W219" s="4"/>
    </row>
    <row r="220" spans="1:23" x14ac:dyDescent="0.25">
      <c r="A220" s="652" t="s">
        <v>419</v>
      </c>
      <c r="B220" s="653" t="s">
        <v>415</v>
      </c>
      <c r="C220" s="1" t="s">
        <v>408</v>
      </c>
      <c r="D220" s="118">
        <f>+CUBICACION!D219</f>
        <v>0</v>
      </c>
      <c r="E220" s="118">
        <f>+CUBICACION!F219</f>
        <v>0</v>
      </c>
      <c r="F220" s="118">
        <f>+CUBICACION!E219</f>
        <v>0</v>
      </c>
      <c r="G220" s="118">
        <v>12</v>
      </c>
      <c r="H220" s="118">
        <v>2</v>
      </c>
      <c r="I220" s="820">
        <v>26385</v>
      </c>
      <c r="J220" s="118">
        <f>+CUBICACION!J219</f>
        <v>0</v>
      </c>
      <c r="K220" s="118">
        <v>2999</v>
      </c>
      <c r="L220" s="118">
        <f>+CUBICACION!L219</f>
        <v>0</v>
      </c>
      <c r="M220" s="64">
        <f>+CUBICACION!M219</f>
        <v>0</v>
      </c>
      <c r="N220" s="824" t="str">
        <f>+CUBICACION!N219</f>
        <v/>
      </c>
      <c r="O220" s="675">
        <f>+CUBICACION!O219</f>
        <v>0</v>
      </c>
      <c r="P220" s="15">
        <f>IF(O220="Fire Control",VLOOKUP(_xlfn.MINIFS('FIRE CONTROL'!$C$4:$C$37,'FIRE CONTROL'!$C$4:$C$37,"&gt;="&amp;M220),'FIRE CONTROL'!$C$4:$G$37,IF(L220="F-15",2,IF(L220="F-30",3,IF(L220="F-60",4,IF(L220="F-90",5,0)))),0),0)+IF(AND(O220="FIRE TEX 5062",OR(E220="IN",E220="C",E220="Z",E220="L"),J220=3),VLOOKUP(_xlfn.MINIFS('FIRE TEX 5062'!$B$4:$B$34,'FIRE TEX 5062'!$B$4:$B$34,"&gt;="&amp;M220),'FIRE TEX 5062'!$B$4:$F$34,IF(L220="F-15",2,IF(L220="F-30",3,IF(L220="F-60",4,IF(L220="F-90",5,0)))),0),0)+IF(AND(O220="FIRE TEX 5062",OR(E220="IN",E220="C",E220="Z",E220="L"),J220=4),VLOOKUP(_xlfn.MINIFS('FIRE TEX 5062'!$G$4:$G$34,'FIRE TEX 5062'!$G$4:$G$34,"&gt;="&amp;M220),'FIRE TEX 5062'!$G$4:$K$34,IF(L220="F-15",2,IF(L220="F-30",3,IF(L220="F-60",4,IF(L220="F-90",5,0)))),0),0)+IF(AND(O220="FIRE TEX 5062",E220="CJ",J220=3),VLOOKUP(_xlfn.MINIFS('FIRE TEX 5062'!$L$4:$L$34,'FIRE TEX 5062'!$L$4:$L$34,"&gt;="&amp;M220),'FIRE TEX 5062'!$L$4:$P$34,IF(L220="F-15",2,IF(L220="F-30",3,IF(L220="F-60",4,IF(L220="F-90",5,0)))),0),0)+IF(AND(O220="FIRE TEX 5062",E220="CJ",J220=4),VLOOKUP(_xlfn.MINIFS('FIRE TEX 5062'!$Q$3:$Q$34,'FIRE TEX 5062'!$Q$3:$Q$34,"&gt;="&amp;M220),'FIRE TEX 5062'!$Q$3:$U$34,IF(L220="F-15",2,IF(L220="F-30",3,IF(L220="F-60",4,IF(L220="F-90",5,0)))),0),0)+IF(AND(O220="FIRE TEX 5090",OR(E220="IN",E220="C",E220="Z",E220="L"),J220=3),VLOOKUP(_xlfn.MINIFS('FIRE TEX 5090'!$B$5:$B$43,'FIRE TEX 5090'!$B$5:$B$43,"&gt;="&amp;M220),'FIRE TEX 5090'!$B$5:$H$43,IF(L220="F-15",2,IF(L220="F-30",3,IF(L220="F-60",4,IF(L220="F-90",5,IF(L220="F-120",6,IF(L220="F-150",7,0)))))),0),0)+IF(AND(O220="FIRE TEX 5090",OR(E220="IN",E220="C",E220="Z",E220="L"),J220=4),VLOOKUP(_xlfn.MINIFS('FIRE TEX 5090'!$J$5:$J$43,'FIRE TEX 5090'!$J$5:$J$43,"&gt;="&amp;M220),'FIRE TEX 5090'!$J$5:$P$43,IF(L220="F-15",2,IF(L220="F-30",3,IF(L220="F-60",4,IF(L220="F-90",5,IF(L220="F-120",6,IF(L220="F-150",7,0)))))),0),0)+IF(AND(O220="FIRE TEX 5090",E220="CJ",J220=3),VLOOKUP(_xlfn.MINIFS('FIRE TEX 5090'!$R$5:$R$30,'FIRE TEX 5090'!$R$5:$R$30,"&gt;="&amp;M220),'FIRE TEX 5090'!$R$5:$W$30,IF(L220="F-15",2,IF(L220="F-30",3,IF(L220="F-60",4,IF(L220="F-90",5,IF(L220="F-120",6,IF(L220="F-150",7,0)))))),0),0)+IF(AND(O220="FIRE TEX 5090",E220="CJ",J220=4),VLOOKUP(_xlfn.MINIFS('FIRE TEX 5090'!$Y$5:$Y$39,'FIRE TEX 5090'!$Y$5:$Y$39,"&gt;="&amp;M220),'FIRE TEX 5090'!$Y$5:$AD$39,IF(L220="F-15",2,IF(L220="F-30",3,IF(L220="F-60",4,IF(L220="F-90",5,IF(L220="F-120",6,IF(L220="F-150",7,0)))))),0),0)+IF(AND(O220="FIRE TEX 5120",OR(E220="IN",E220="C",E220="Z",E220="L"),J220=3),VLOOKUP(_xlfn.MINIFS('FIRE TEX 5120'!$B$5:$B$40,'FIRE TEX 5120'!$B$5:$B$40,"&gt;="&amp;M220),'FIRE TEX 5120'!$B$5:$G$40,IF(L220="F-15",2,IF(L220="F-30",3,IF(L220="F-60",4,IF(L220="F-90",5,IF(L220="F-120",6,0))))),0),0)+IF(AND(O220="FIRE TEX 5120",OR(E220="IN",E220="C",E220="Z",E220="L"),J220=4),VLOOKUP(_xlfn.MINIFS('FIRE TEX 5120'!$H$4:$H$40,'FIRE TEX 5120'!$H$4:$H$40,"&gt;="&amp;M220),'FIRE TEX 5120'!$H$4:$M$40,IF(L220="F-15",2,IF(L220="F-30",3,IF(L220="F-60",4,IF(L220="F-90",5,IF(L220="F-120",6,0))))),0),0)+IF(AND(O220="FIRE TEX 5120",E220="CJ"),VLOOKUP(_xlfn.MINIFS('FIRE TEX 5120'!$O$5:$O$40,'FIRE TEX 5120'!$O$5:$O$40,"&gt;="&amp;M220),'FIRE TEX 5120'!$O$5:$T$40,IF(L220="F-15",2,IF(L220="F-30",3,IF(L220="F-60",4,IF(L220="F-90",5,IF(L220="F-120",6,0))))),0),0)</f>
        <v>0</v>
      </c>
      <c r="Q220" s="46">
        <f t="shared" si="26"/>
        <v>0</v>
      </c>
      <c r="R220" s="46">
        <f t="shared" si="28"/>
        <v>0</v>
      </c>
      <c r="S220" s="46" t="e">
        <f t="shared" si="27"/>
        <v>#VALUE!</v>
      </c>
      <c r="T220" s="677">
        <f t="shared" si="29"/>
        <v>0</v>
      </c>
      <c r="U220" s="80">
        <f>(IF(O220="Stofire",(S220*#REF!),0))+(IF(O220="Fire Control",(S220*$U$2),0))+(IF(O220="Fire Tex",(S220*$U$3),0))+(IF(O220="WB7",(S220*#REF!),0)+(IF(O220="FX 2003",(S220*$U$5),0)))</f>
        <v>0</v>
      </c>
      <c r="V220" s="651">
        <f t="shared" si="31"/>
        <v>0</v>
      </c>
      <c r="W220" s="4"/>
    </row>
    <row r="221" spans="1:23" x14ac:dyDescent="0.25">
      <c r="A221" s="652" t="s">
        <v>421</v>
      </c>
      <c r="B221" s="653" t="s">
        <v>422</v>
      </c>
      <c r="C221" s="1" t="s">
        <v>423</v>
      </c>
      <c r="D221" s="118">
        <f>+CUBICACION!D220</f>
        <v>0</v>
      </c>
      <c r="E221" s="118">
        <f>+CUBICACION!F220</f>
        <v>0</v>
      </c>
      <c r="F221" s="118">
        <f>+CUBICACION!E220</f>
        <v>0</v>
      </c>
      <c r="G221" s="118">
        <v>12</v>
      </c>
      <c r="H221" s="118">
        <v>2</v>
      </c>
      <c r="I221" s="820">
        <v>26385</v>
      </c>
      <c r="J221" s="118">
        <f>+CUBICACION!J220</f>
        <v>0</v>
      </c>
      <c r="K221" s="118">
        <v>3000</v>
      </c>
      <c r="L221" s="118">
        <f>+CUBICACION!L220</f>
        <v>0</v>
      </c>
      <c r="M221" s="64">
        <f>+CUBICACION!M220</f>
        <v>0</v>
      </c>
      <c r="N221" s="824" t="str">
        <f>+CUBICACION!N220</f>
        <v/>
      </c>
      <c r="O221" s="675">
        <f>+CUBICACION!O220</f>
        <v>0</v>
      </c>
      <c r="P221" s="15">
        <f>IF(O221="Fire Control",VLOOKUP(_xlfn.MINIFS('FIRE CONTROL'!$C$4:$C$37,'FIRE CONTROL'!$C$4:$C$37,"&gt;="&amp;M221),'FIRE CONTROL'!$C$4:$G$37,IF(L221="F-15",2,IF(L221="F-30",3,IF(L221="F-60",4,IF(L221="F-90",5,0)))),0),0)+IF(AND(O221="FIRE TEX 5062",OR(E221="IN",E221="C",E221="Z",E221="L"),J221=3),VLOOKUP(_xlfn.MINIFS('FIRE TEX 5062'!$B$4:$B$34,'FIRE TEX 5062'!$B$4:$B$34,"&gt;="&amp;M221),'FIRE TEX 5062'!$B$4:$F$34,IF(L221="F-15",2,IF(L221="F-30",3,IF(L221="F-60",4,IF(L221="F-90",5,0)))),0),0)+IF(AND(O221="FIRE TEX 5062",OR(E221="IN",E221="C",E221="Z",E221="L"),J221=4),VLOOKUP(_xlfn.MINIFS('FIRE TEX 5062'!$G$4:$G$34,'FIRE TEX 5062'!$G$4:$G$34,"&gt;="&amp;M221),'FIRE TEX 5062'!$G$4:$K$34,IF(L221="F-15",2,IF(L221="F-30",3,IF(L221="F-60",4,IF(L221="F-90",5,0)))),0),0)+IF(AND(O221="FIRE TEX 5062",E221="CJ",J221=3),VLOOKUP(_xlfn.MINIFS('FIRE TEX 5062'!$L$4:$L$34,'FIRE TEX 5062'!$L$4:$L$34,"&gt;="&amp;M221),'FIRE TEX 5062'!$L$4:$P$34,IF(L221="F-15",2,IF(L221="F-30",3,IF(L221="F-60",4,IF(L221="F-90",5,0)))),0),0)+IF(AND(O221="FIRE TEX 5062",E221="CJ",J221=4),VLOOKUP(_xlfn.MINIFS('FIRE TEX 5062'!$Q$3:$Q$34,'FIRE TEX 5062'!$Q$3:$Q$34,"&gt;="&amp;M221),'FIRE TEX 5062'!$Q$3:$U$34,IF(L221="F-15",2,IF(L221="F-30",3,IF(L221="F-60",4,IF(L221="F-90",5,0)))),0),0)+IF(AND(O221="FIRE TEX 5090",OR(E221="IN",E221="C",E221="Z",E221="L"),J221=3),VLOOKUP(_xlfn.MINIFS('FIRE TEX 5090'!$B$5:$B$43,'FIRE TEX 5090'!$B$5:$B$43,"&gt;="&amp;M221),'FIRE TEX 5090'!$B$5:$H$43,IF(L221="F-15",2,IF(L221="F-30",3,IF(L221="F-60",4,IF(L221="F-90",5,IF(L221="F-120",6,IF(L221="F-150",7,0)))))),0),0)+IF(AND(O221="FIRE TEX 5090",OR(E221="IN",E221="C",E221="Z",E221="L"),J221=4),VLOOKUP(_xlfn.MINIFS('FIRE TEX 5090'!$J$5:$J$43,'FIRE TEX 5090'!$J$5:$J$43,"&gt;="&amp;M221),'FIRE TEX 5090'!$J$5:$P$43,IF(L221="F-15",2,IF(L221="F-30",3,IF(L221="F-60",4,IF(L221="F-90",5,IF(L221="F-120",6,IF(L221="F-150",7,0)))))),0),0)+IF(AND(O221="FIRE TEX 5090",E221="CJ",J221=3),VLOOKUP(_xlfn.MINIFS('FIRE TEX 5090'!$R$5:$R$30,'FIRE TEX 5090'!$R$5:$R$30,"&gt;="&amp;M221),'FIRE TEX 5090'!$R$5:$W$30,IF(L221="F-15",2,IF(L221="F-30",3,IF(L221="F-60",4,IF(L221="F-90",5,IF(L221="F-120",6,IF(L221="F-150",7,0)))))),0),0)+IF(AND(O221="FIRE TEX 5090",E221="CJ",J221=4),VLOOKUP(_xlfn.MINIFS('FIRE TEX 5090'!$Y$5:$Y$39,'FIRE TEX 5090'!$Y$5:$Y$39,"&gt;="&amp;M221),'FIRE TEX 5090'!$Y$5:$AD$39,IF(L221="F-15",2,IF(L221="F-30",3,IF(L221="F-60",4,IF(L221="F-90",5,IF(L221="F-120",6,IF(L221="F-150",7,0)))))),0),0)+IF(AND(O221="FIRE TEX 5120",OR(E221="IN",E221="C",E221="Z",E221="L"),J221=3),VLOOKUP(_xlfn.MINIFS('FIRE TEX 5120'!$B$5:$B$40,'FIRE TEX 5120'!$B$5:$B$40,"&gt;="&amp;M221),'FIRE TEX 5120'!$B$5:$G$40,IF(L221="F-15",2,IF(L221="F-30",3,IF(L221="F-60",4,IF(L221="F-90",5,IF(L221="F-120",6,0))))),0),0)+IF(AND(O221="FIRE TEX 5120",OR(E221="IN",E221="C",E221="Z",E221="L"),J221=4),VLOOKUP(_xlfn.MINIFS('FIRE TEX 5120'!$H$4:$H$40,'FIRE TEX 5120'!$H$4:$H$40,"&gt;="&amp;M221),'FIRE TEX 5120'!$H$4:$M$40,IF(L221="F-15",2,IF(L221="F-30",3,IF(L221="F-60",4,IF(L221="F-90",5,IF(L221="F-120",6,0))))),0),0)+IF(AND(O221="FIRE TEX 5120",E221="CJ"),VLOOKUP(_xlfn.MINIFS('FIRE TEX 5120'!$O$5:$O$40,'FIRE TEX 5120'!$O$5:$O$40,"&gt;="&amp;M221),'FIRE TEX 5120'!$O$5:$T$40,IF(L221="F-15",2,IF(L221="F-30",3,IF(L221="F-60",4,IF(L221="F-90",5,IF(L221="F-120",6,0))))),0),0)</f>
        <v>0</v>
      </c>
      <c r="Q221" s="46">
        <f t="shared" si="26"/>
        <v>0</v>
      </c>
      <c r="R221" s="46">
        <f t="shared" si="28"/>
        <v>0</v>
      </c>
      <c r="S221" s="46" t="e">
        <f t="shared" si="27"/>
        <v>#VALUE!</v>
      </c>
      <c r="T221" s="677">
        <f t="shared" si="29"/>
        <v>0</v>
      </c>
      <c r="U221" s="80">
        <f>(IF(O221="Stofire",(S221*#REF!),0))+(IF(O221="Fire Control",(S221*$U$2),0))+(IF(O221="Fire Tex",(S221*$U$3),0))+(IF(O221="WB7",(S221*#REF!),0)+(IF(O221="FX 2003",(S221*$U$5),0)))</f>
        <v>0</v>
      </c>
      <c r="V221" s="651">
        <f t="shared" si="31"/>
        <v>0</v>
      </c>
      <c r="W221" s="4"/>
    </row>
    <row r="222" spans="1:23" x14ac:dyDescent="0.25">
      <c r="A222" s="652" t="s">
        <v>425</v>
      </c>
      <c r="B222" s="653" t="s">
        <v>426</v>
      </c>
      <c r="C222" s="1" t="s">
        <v>427</v>
      </c>
      <c r="D222" s="118">
        <f>+CUBICACION!D221</f>
        <v>0</v>
      </c>
      <c r="E222" s="118">
        <f>+CUBICACION!F221</f>
        <v>0</v>
      </c>
      <c r="F222" s="118">
        <f>+CUBICACION!E221</f>
        <v>0</v>
      </c>
      <c r="G222" s="118">
        <v>12</v>
      </c>
      <c r="H222" s="118">
        <v>2</v>
      </c>
      <c r="I222" s="820">
        <v>26385</v>
      </c>
      <c r="J222" s="118">
        <f>+CUBICACION!J221</f>
        <v>0</v>
      </c>
      <c r="K222" s="118">
        <v>3001</v>
      </c>
      <c r="L222" s="118">
        <f>+CUBICACION!L221</f>
        <v>0</v>
      </c>
      <c r="M222" s="64">
        <f>+CUBICACION!M221</f>
        <v>0</v>
      </c>
      <c r="N222" s="824" t="str">
        <f>+CUBICACION!N221</f>
        <v/>
      </c>
      <c r="O222" s="675">
        <f>+CUBICACION!O221</f>
        <v>0</v>
      </c>
      <c r="P222" s="15">
        <f>IF(O222="Fire Control",VLOOKUP(_xlfn.MINIFS('FIRE CONTROL'!$C$4:$C$37,'FIRE CONTROL'!$C$4:$C$37,"&gt;="&amp;M222),'FIRE CONTROL'!$C$4:$G$37,IF(L222="F-15",2,IF(L222="F-30",3,IF(L222="F-60",4,IF(L222="F-90",5,0)))),0),0)+IF(AND(O222="FIRE TEX 5062",OR(E222="IN",E222="C",E222="Z",E222="L"),J222=3),VLOOKUP(_xlfn.MINIFS('FIRE TEX 5062'!$B$4:$B$34,'FIRE TEX 5062'!$B$4:$B$34,"&gt;="&amp;M222),'FIRE TEX 5062'!$B$4:$F$34,IF(L222="F-15",2,IF(L222="F-30",3,IF(L222="F-60",4,IF(L222="F-90",5,0)))),0),0)+IF(AND(O222="FIRE TEX 5062",OR(E222="IN",E222="C",E222="Z",E222="L"),J222=4),VLOOKUP(_xlfn.MINIFS('FIRE TEX 5062'!$G$4:$G$34,'FIRE TEX 5062'!$G$4:$G$34,"&gt;="&amp;M222),'FIRE TEX 5062'!$G$4:$K$34,IF(L222="F-15",2,IF(L222="F-30",3,IF(L222="F-60",4,IF(L222="F-90",5,0)))),0),0)+IF(AND(O222="FIRE TEX 5062",E222="CJ",J222=3),VLOOKUP(_xlfn.MINIFS('FIRE TEX 5062'!$L$4:$L$34,'FIRE TEX 5062'!$L$4:$L$34,"&gt;="&amp;M222),'FIRE TEX 5062'!$L$4:$P$34,IF(L222="F-15",2,IF(L222="F-30",3,IF(L222="F-60",4,IF(L222="F-90",5,0)))),0),0)+IF(AND(O222="FIRE TEX 5062",E222="CJ",J222=4),VLOOKUP(_xlfn.MINIFS('FIRE TEX 5062'!$Q$3:$Q$34,'FIRE TEX 5062'!$Q$3:$Q$34,"&gt;="&amp;M222),'FIRE TEX 5062'!$Q$3:$U$34,IF(L222="F-15",2,IF(L222="F-30",3,IF(L222="F-60",4,IF(L222="F-90",5,0)))),0),0)+IF(AND(O222="FIRE TEX 5090",OR(E222="IN",E222="C",E222="Z",E222="L"),J222=3),VLOOKUP(_xlfn.MINIFS('FIRE TEX 5090'!$B$5:$B$43,'FIRE TEX 5090'!$B$5:$B$43,"&gt;="&amp;M222),'FIRE TEX 5090'!$B$5:$H$43,IF(L222="F-15",2,IF(L222="F-30",3,IF(L222="F-60",4,IF(L222="F-90",5,IF(L222="F-120",6,IF(L222="F-150",7,0)))))),0),0)+IF(AND(O222="FIRE TEX 5090",OR(E222="IN",E222="C",E222="Z",E222="L"),J222=4),VLOOKUP(_xlfn.MINIFS('FIRE TEX 5090'!$J$5:$J$43,'FIRE TEX 5090'!$J$5:$J$43,"&gt;="&amp;M222),'FIRE TEX 5090'!$J$5:$P$43,IF(L222="F-15",2,IF(L222="F-30",3,IF(L222="F-60",4,IF(L222="F-90",5,IF(L222="F-120",6,IF(L222="F-150",7,0)))))),0),0)+IF(AND(O222="FIRE TEX 5090",E222="CJ",J222=3),VLOOKUP(_xlfn.MINIFS('FIRE TEX 5090'!$R$5:$R$30,'FIRE TEX 5090'!$R$5:$R$30,"&gt;="&amp;M222),'FIRE TEX 5090'!$R$5:$W$30,IF(L222="F-15",2,IF(L222="F-30",3,IF(L222="F-60",4,IF(L222="F-90",5,IF(L222="F-120",6,IF(L222="F-150",7,0)))))),0),0)+IF(AND(O222="FIRE TEX 5090",E222="CJ",J222=4),VLOOKUP(_xlfn.MINIFS('FIRE TEX 5090'!$Y$5:$Y$39,'FIRE TEX 5090'!$Y$5:$Y$39,"&gt;="&amp;M222),'FIRE TEX 5090'!$Y$5:$AD$39,IF(L222="F-15",2,IF(L222="F-30",3,IF(L222="F-60",4,IF(L222="F-90",5,IF(L222="F-120",6,IF(L222="F-150",7,0)))))),0),0)+IF(AND(O222="FIRE TEX 5120",OR(E222="IN",E222="C",E222="Z",E222="L"),J222=3),VLOOKUP(_xlfn.MINIFS('FIRE TEX 5120'!$B$5:$B$40,'FIRE TEX 5120'!$B$5:$B$40,"&gt;="&amp;M222),'FIRE TEX 5120'!$B$5:$G$40,IF(L222="F-15",2,IF(L222="F-30",3,IF(L222="F-60",4,IF(L222="F-90",5,IF(L222="F-120",6,0))))),0),0)+IF(AND(O222="FIRE TEX 5120",OR(E222="IN",E222="C",E222="Z",E222="L"),J222=4),VLOOKUP(_xlfn.MINIFS('FIRE TEX 5120'!$H$4:$H$40,'FIRE TEX 5120'!$H$4:$H$40,"&gt;="&amp;M222),'FIRE TEX 5120'!$H$4:$M$40,IF(L222="F-15",2,IF(L222="F-30",3,IF(L222="F-60",4,IF(L222="F-90",5,IF(L222="F-120",6,0))))),0),0)+IF(AND(O222="FIRE TEX 5120",E222="CJ"),VLOOKUP(_xlfn.MINIFS('FIRE TEX 5120'!$O$5:$O$40,'FIRE TEX 5120'!$O$5:$O$40,"&gt;="&amp;M222),'FIRE TEX 5120'!$O$5:$T$40,IF(L222="F-15",2,IF(L222="F-30",3,IF(L222="F-60",4,IF(L222="F-90",5,IF(L222="F-120",6,0))))),0),0)</f>
        <v>0</v>
      </c>
      <c r="Q222" s="46">
        <f t="shared" si="26"/>
        <v>0</v>
      </c>
      <c r="R222" s="46">
        <f t="shared" si="28"/>
        <v>0</v>
      </c>
      <c r="S222" s="46" t="e">
        <f t="shared" si="27"/>
        <v>#VALUE!</v>
      </c>
      <c r="T222" s="677">
        <f t="shared" si="29"/>
        <v>0</v>
      </c>
      <c r="U222" s="80">
        <f>(IF(O222="Stofire",(S222*#REF!),0))+(IF(O222="Fire Control",(S222*$U$2),0))+(IF(O222="Fire Tex",(S222*$U$3),0))+(IF(O222="WB7",(S222*#REF!),0)+(IF(O222="FX 2003",(S222*$U$5),0)))</f>
        <v>0</v>
      </c>
      <c r="V222" s="651">
        <f t="shared" si="31"/>
        <v>0</v>
      </c>
      <c r="W222" s="4"/>
    </row>
    <row r="223" spans="1:23" x14ac:dyDescent="0.25">
      <c r="A223" s="652" t="s">
        <v>429</v>
      </c>
      <c r="B223" s="653" t="s">
        <v>430</v>
      </c>
      <c r="C223" s="1" t="s">
        <v>431</v>
      </c>
      <c r="D223" s="118">
        <f>+CUBICACION!D222</f>
        <v>0</v>
      </c>
      <c r="E223" s="118">
        <f>+CUBICACION!F222</f>
        <v>0</v>
      </c>
      <c r="F223" s="118">
        <f>+CUBICACION!E222</f>
        <v>0</v>
      </c>
      <c r="G223" s="118">
        <v>12</v>
      </c>
      <c r="H223" s="118">
        <v>2</v>
      </c>
      <c r="I223" s="820">
        <v>26385</v>
      </c>
      <c r="J223" s="118">
        <f>+CUBICACION!J222</f>
        <v>0</v>
      </c>
      <c r="K223" s="118">
        <v>3002</v>
      </c>
      <c r="L223" s="118">
        <f>+CUBICACION!L222</f>
        <v>0</v>
      </c>
      <c r="M223" s="64">
        <f>+CUBICACION!M222</f>
        <v>0</v>
      </c>
      <c r="N223" s="824" t="str">
        <f>+CUBICACION!N222</f>
        <v/>
      </c>
      <c r="O223" s="675">
        <f>+CUBICACION!O222</f>
        <v>0</v>
      </c>
      <c r="P223" s="15">
        <f>IF(O223="Fire Control",VLOOKUP(_xlfn.MINIFS('FIRE CONTROL'!$C$4:$C$37,'FIRE CONTROL'!$C$4:$C$37,"&gt;="&amp;M223),'FIRE CONTROL'!$C$4:$G$37,IF(L223="F-15",2,IF(L223="F-30",3,IF(L223="F-60",4,IF(L223="F-90",5,0)))),0),0)+IF(AND(O223="FIRE TEX 5062",OR(E223="IN",E223="C",E223="Z",E223="L"),J223=3),VLOOKUP(_xlfn.MINIFS('FIRE TEX 5062'!$B$4:$B$34,'FIRE TEX 5062'!$B$4:$B$34,"&gt;="&amp;M223),'FIRE TEX 5062'!$B$4:$F$34,IF(L223="F-15",2,IF(L223="F-30",3,IF(L223="F-60",4,IF(L223="F-90",5,0)))),0),0)+IF(AND(O223="FIRE TEX 5062",OR(E223="IN",E223="C",E223="Z",E223="L"),J223=4),VLOOKUP(_xlfn.MINIFS('FIRE TEX 5062'!$G$4:$G$34,'FIRE TEX 5062'!$G$4:$G$34,"&gt;="&amp;M223),'FIRE TEX 5062'!$G$4:$K$34,IF(L223="F-15",2,IF(L223="F-30",3,IF(L223="F-60",4,IF(L223="F-90",5,0)))),0),0)+IF(AND(O223="FIRE TEX 5062",E223="CJ",J223=3),VLOOKUP(_xlfn.MINIFS('FIRE TEX 5062'!$L$4:$L$34,'FIRE TEX 5062'!$L$4:$L$34,"&gt;="&amp;M223),'FIRE TEX 5062'!$L$4:$P$34,IF(L223="F-15",2,IF(L223="F-30",3,IF(L223="F-60",4,IF(L223="F-90",5,0)))),0),0)+IF(AND(O223="FIRE TEX 5062",E223="CJ",J223=4),VLOOKUP(_xlfn.MINIFS('FIRE TEX 5062'!$Q$3:$Q$34,'FIRE TEX 5062'!$Q$3:$Q$34,"&gt;="&amp;M223),'FIRE TEX 5062'!$Q$3:$U$34,IF(L223="F-15",2,IF(L223="F-30",3,IF(L223="F-60",4,IF(L223="F-90",5,0)))),0),0)+IF(AND(O223="FIRE TEX 5090",OR(E223="IN",E223="C",E223="Z",E223="L"),J223=3),VLOOKUP(_xlfn.MINIFS('FIRE TEX 5090'!$B$5:$B$43,'FIRE TEX 5090'!$B$5:$B$43,"&gt;="&amp;M223),'FIRE TEX 5090'!$B$5:$H$43,IF(L223="F-15",2,IF(L223="F-30",3,IF(L223="F-60",4,IF(L223="F-90",5,IF(L223="F-120",6,IF(L223="F-150",7,0)))))),0),0)+IF(AND(O223="FIRE TEX 5090",OR(E223="IN",E223="C",E223="Z",E223="L"),J223=4),VLOOKUP(_xlfn.MINIFS('FIRE TEX 5090'!$J$5:$J$43,'FIRE TEX 5090'!$J$5:$J$43,"&gt;="&amp;M223),'FIRE TEX 5090'!$J$5:$P$43,IF(L223="F-15",2,IF(L223="F-30",3,IF(L223="F-60",4,IF(L223="F-90",5,IF(L223="F-120",6,IF(L223="F-150",7,0)))))),0),0)+IF(AND(O223="FIRE TEX 5090",E223="CJ",J223=3),VLOOKUP(_xlfn.MINIFS('FIRE TEX 5090'!$R$5:$R$30,'FIRE TEX 5090'!$R$5:$R$30,"&gt;="&amp;M223),'FIRE TEX 5090'!$R$5:$W$30,IF(L223="F-15",2,IF(L223="F-30",3,IF(L223="F-60",4,IF(L223="F-90",5,IF(L223="F-120",6,IF(L223="F-150",7,0)))))),0),0)+IF(AND(O223="FIRE TEX 5090",E223="CJ",J223=4),VLOOKUP(_xlfn.MINIFS('FIRE TEX 5090'!$Y$5:$Y$39,'FIRE TEX 5090'!$Y$5:$Y$39,"&gt;="&amp;M223),'FIRE TEX 5090'!$Y$5:$AD$39,IF(L223="F-15",2,IF(L223="F-30",3,IF(L223="F-60",4,IF(L223="F-90",5,IF(L223="F-120",6,IF(L223="F-150",7,0)))))),0),0)+IF(AND(O223="FIRE TEX 5120",OR(E223="IN",E223="C",E223="Z",E223="L"),J223=3),VLOOKUP(_xlfn.MINIFS('FIRE TEX 5120'!$B$5:$B$40,'FIRE TEX 5120'!$B$5:$B$40,"&gt;="&amp;M223),'FIRE TEX 5120'!$B$5:$G$40,IF(L223="F-15",2,IF(L223="F-30",3,IF(L223="F-60",4,IF(L223="F-90",5,IF(L223="F-120",6,0))))),0),0)+IF(AND(O223="FIRE TEX 5120",OR(E223="IN",E223="C",E223="Z",E223="L"),J223=4),VLOOKUP(_xlfn.MINIFS('FIRE TEX 5120'!$H$4:$H$40,'FIRE TEX 5120'!$H$4:$H$40,"&gt;="&amp;M223),'FIRE TEX 5120'!$H$4:$M$40,IF(L223="F-15",2,IF(L223="F-30",3,IF(L223="F-60",4,IF(L223="F-90",5,IF(L223="F-120",6,0))))),0),0)+IF(AND(O223="FIRE TEX 5120",E223="CJ"),VLOOKUP(_xlfn.MINIFS('FIRE TEX 5120'!$O$5:$O$40,'FIRE TEX 5120'!$O$5:$O$40,"&gt;="&amp;M223),'FIRE TEX 5120'!$O$5:$T$40,IF(L223="F-15",2,IF(L223="F-30",3,IF(L223="F-60",4,IF(L223="F-90",5,IF(L223="F-120",6,0))))),0),0)</f>
        <v>0</v>
      </c>
      <c r="Q223" s="46">
        <f t="shared" si="26"/>
        <v>0</v>
      </c>
      <c r="R223" s="46">
        <f t="shared" si="28"/>
        <v>0</v>
      </c>
      <c r="S223" s="46" t="e">
        <f t="shared" si="27"/>
        <v>#VALUE!</v>
      </c>
      <c r="T223" s="677">
        <f t="shared" si="29"/>
        <v>0</v>
      </c>
      <c r="U223" s="80">
        <f>(IF(O223="Stofire",(S223*#REF!),0))+(IF(O223="Fire Control",(S223*$U$2),0))+(IF(O223="Fire Tex",(S223*$U$3),0))+(IF(O223="WB7",(S223*#REF!),0)+(IF(O223="FX 2003",(S223*$U$5),0)))</f>
        <v>0</v>
      </c>
      <c r="V223" s="651">
        <f t="shared" si="31"/>
        <v>0</v>
      </c>
      <c r="W223" s="4"/>
    </row>
    <row r="224" spans="1:23" x14ac:dyDescent="0.25">
      <c r="A224" s="652" t="s">
        <v>429</v>
      </c>
      <c r="B224" s="653" t="s">
        <v>430</v>
      </c>
      <c r="C224" s="1" t="s">
        <v>433</v>
      </c>
      <c r="D224" s="118">
        <f>+CUBICACION!D223</f>
        <v>0</v>
      </c>
      <c r="E224" s="118">
        <f>+CUBICACION!F223</f>
        <v>0</v>
      </c>
      <c r="F224" s="118">
        <f>+CUBICACION!E223</f>
        <v>0</v>
      </c>
      <c r="G224" s="118">
        <v>12</v>
      </c>
      <c r="H224" s="118">
        <v>2</v>
      </c>
      <c r="I224" s="820">
        <v>26385</v>
      </c>
      <c r="J224" s="118">
        <f>+CUBICACION!J223</f>
        <v>0</v>
      </c>
      <c r="K224" s="118">
        <v>3003</v>
      </c>
      <c r="L224" s="118">
        <f>+CUBICACION!L223</f>
        <v>0</v>
      </c>
      <c r="M224" s="64">
        <f>+CUBICACION!M223</f>
        <v>0</v>
      </c>
      <c r="N224" s="824" t="str">
        <f>+CUBICACION!N223</f>
        <v/>
      </c>
      <c r="O224" s="675">
        <f>+CUBICACION!O223</f>
        <v>0</v>
      </c>
      <c r="P224" s="15">
        <f>IF(O224="Fire Control",VLOOKUP(_xlfn.MINIFS('FIRE CONTROL'!$C$4:$C$37,'FIRE CONTROL'!$C$4:$C$37,"&gt;="&amp;M224),'FIRE CONTROL'!$C$4:$G$37,IF(L224="F-15",2,IF(L224="F-30",3,IF(L224="F-60",4,IF(L224="F-90",5,0)))),0),0)+IF(AND(O224="FIRE TEX 5062",OR(E224="IN",E224="C",E224="Z",E224="L"),J224=3),VLOOKUP(_xlfn.MINIFS('FIRE TEX 5062'!$B$4:$B$34,'FIRE TEX 5062'!$B$4:$B$34,"&gt;="&amp;M224),'FIRE TEX 5062'!$B$4:$F$34,IF(L224="F-15",2,IF(L224="F-30",3,IF(L224="F-60",4,IF(L224="F-90",5,0)))),0),0)+IF(AND(O224="FIRE TEX 5062",OR(E224="IN",E224="C",E224="Z",E224="L"),J224=4),VLOOKUP(_xlfn.MINIFS('FIRE TEX 5062'!$G$4:$G$34,'FIRE TEX 5062'!$G$4:$G$34,"&gt;="&amp;M224),'FIRE TEX 5062'!$G$4:$K$34,IF(L224="F-15",2,IF(L224="F-30",3,IF(L224="F-60",4,IF(L224="F-90",5,0)))),0),0)+IF(AND(O224="FIRE TEX 5062",E224="CJ",J224=3),VLOOKUP(_xlfn.MINIFS('FIRE TEX 5062'!$L$4:$L$34,'FIRE TEX 5062'!$L$4:$L$34,"&gt;="&amp;M224),'FIRE TEX 5062'!$L$4:$P$34,IF(L224="F-15",2,IF(L224="F-30",3,IF(L224="F-60",4,IF(L224="F-90",5,0)))),0),0)+IF(AND(O224="FIRE TEX 5062",E224="CJ",J224=4),VLOOKUP(_xlfn.MINIFS('FIRE TEX 5062'!$Q$3:$Q$34,'FIRE TEX 5062'!$Q$3:$Q$34,"&gt;="&amp;M224),'FIRE TEX 5062'!$Q$3:$U$34,IF(L224="F-15",2,IF(L224="F-30",3,IF(L224="F-60",4,IF(L224="F-90",5,0)))),0),0)+IF(AND(O224="FIRE TEX 5090",OR(E224="IN",E224="C",E224="Z",E224="L"),J224=3),VLOOKUP(_xlfn.MINIFS('FIRE TEX 5090'!$B$5:$B$43,'FIRE TEX 5090'!$B$5:$B$43,"&gt;="&amp;M224),'FIRE TEX 5090'!$B$5:$H$43,IF(L224="F-15",2,IF(L224="F-30",3,IF(L224="F-60",4,IF(L224="F-90",5,IF(L224="F-120",6,IF(L224="F-150",7,0)))))),0),0)+IF(AND(O224="FIRE TEX 5090",OR(E224="IN",E224="C",E224="Z",E224="L"),J224=4),VLOOKUP(_xlfn.MINIFS('FIRE TEX 5090'!$J$5:$J$43,'FIRE TEX 5090'!$J$5:$J$43,"&gt;="&amp;M224),'FIRE TEX 5090'!$J$5:$P$43,IF(L224="F-15",2,IF(L224="F-30",3,IF(L224="F-60",4,IF(L224="F-90",5,IF(L224="F-120",6,IF(L224="F-150",7,0)))))),0),0)+IF(AND(O224="FIRE TEX 5090",E224="CJ",J224=3),VLOOKUP(_xlfn.MINIFS('FIRE TEX 5090'!$R$5:$R$30,'FIRE TEX 5090'!$R$5:$R$30,"&gt;="&amp;M224),'FIRE TEX 5090'!$R$5:$W$30,IF(L224="F-15",2,IF(L224="F-30",3,IF(L224="F-60",4,IF(L224="F-90",5,IF(L224="F-120",6,IF(L224="F-150",7,0)))))),0),0)+IF(AND(O224="FIRE TEX 5090",E224="CJ",J224=4),VLOOKUP(_xlfn.MINIFS('FIRE TEX 5090'!$Y$5:$Y$39,'FIRE TEX 5090'!$Y$5:$Y$39,"&gt;="&amp;M224),'FIRE TEX 5090'!$Y$5:$AD$39,IF(L224="F-15",2,IF(L224="F-30",3,IF(L224="F-60",4,IF(L224="F-90",5,IF(L224="F-120",6,IF(L224="F-150",7,0)))))),0),0)+IF(AND(O224="FIRE TEX 5120",OR(E224="IN",E224="C",E224="Z",E224="L"),J224=3),VLOOKUP(_xlfn.MINIFS('FIRE TEX 5120'!$B$5:$B$40,'FIRE TEX 5120'!$B$5:$B$40,"&gt;="&amp;M224),'FIRE TEX 5120'!$B$5:$G$40,IF(L224="F-15",2,IF(L224="F-30",3,IF(L224="F-60",4,IF(L224="F-90",5,IF(L224="F-120",6,0))))),0),0)+IF(AND(O224="FIRE TEX 5120",OR(E224="IN",E224="C",E224="Z",E224="L"),J224=4),VLOOKUP(_xlfn.MINIFS('FIRE TEX 5120'!$H$4:$H$40,'FIRE TEX 5120'!$H$4:$H$40,"&gt;="&amp;M224),'FIRE TEX 5120'!$H$4:$M$40,IF(L224="F-15",2,IF(L224="F-30",3,IF(L224="F-60",4,IF(L224="F-90",5,IF(L224="F-120",6,0))))),0),0)+IF(AND(O224="FIRE TEX 5120",E224="CJ"),VLOOKUP(_xlfn.MINIFS('FIRE TEX 5120'!$O$5:$O$40,'FIRE TEX 5120'!$O$5:$O$40,"&gt;="&amp;M224),'FIRE TEX 5120'!$O$5:$T$40,IF(L224="F-15",2,IF(L224="F-30",3,IF(L224="F-60",4,IF(L224="F-90",5,IF(L224="F-120",6,0))))),0),0)</f>
        <v>0</v>
      </c>
      <c r="Q224" s="46">
        <f t="shared" si="26"/>
        <v>0</v>
      </c>
      <c r="R224" s="46">
        <f t="shared" si="28"/>
        <v>0</v>
      </c>
      <c r="S224" s="46" t="e">
        <f t="shared" si="27"/>
        <v>#VALUE!</v>
      </c>
      <c r="T224" s="677">
        <f t="shared" si="29"/>
        <v>0</v>
      </c>
      <c r="U224" s="80">
        <f>(IF(O224="Stofire",(S224*#REF!),0))+(IF(O224="Fire Control",(S224*$U$2),0))+(IF(O224="Fire Tex",(S224*$U$3),0))+(IF(O224="WB7",(S224*#REF!),0)+(IF(O224="FX 2003",(S224*$U$5),0)))</f>
        <v>0</v>
      </c>
      <c r="V224" s="651">
        <f t="shared" si="31"/>
        <v>0</v>
      </c>
      <c r="W224" s="4"/>
    </row>
    <row r="225" spans="1:23" x14ac:dyDescent="0.25">
      <c r="A225" s="652" t="s">
        <v>429</v>
      </c>
      <c r="B225" s="653" t="s">
        <v>430</v>
      </c>
      <c r="C225" s="1" t="s">
        <v>435</v>
      </c>
      <c r="D225" s="118">
        <f>+CUBICACION!D224</f>
        <v>0</v>
      </c>
      <c r="E225" s="118">
        <f>+CUBICACION!F224</f>
        <v>0</v>
      </c>
      <c r="F225" s="118">
        <f>+CUBICACION!E224</f>
        <v>0</v>
      </c>
      <c r="G225" s="118">
        <v>12</v>
      </c>
      <c r="H225" s="118">
        <v>2</v>
      </c>
      <c r="I225" s="820">
        <v>26385</v>
      </c>
      <c r="J225" s="118">
        <f>+CUBICACION!J224</f>
        <v>0</v>
      </c>
      <c r="K225" s="118">
        <v>3004</v>
      </c>
      <c r="L225" s="118">
        <f>+CUBICACION!L224</f>
        <v>0</v>
      </c>
      <c r="M225" s="64">
        <f>+CUBICACION!M224</f>
        <v>0</v>
      </c>
      <c r="N225" s="824" t="str">
        <f>+CUBICACION!N224</f>
        <v/>
      </c>
      <c r="O225" s="675">
        <f>+CUBICACION!O224</f>
        <v>0</v>
      </c>
      <c r="P225" s="15">
        <f>IF(O225="Fire Control",VLOOKUP(_xlfn.MINIFS('FIRE CONTROL'!$C$4:$C$37,'FIRE CONTROL'!$C$4:$C$37,"&gt;="&amp;M225),'FIRE CONTROL'!$C$4:$G$37,IF(L225="F-15",2,IF(L225="F-30",3,IF(L225="F-60",4,IF(L225="F-90",5,0)))),0),0)+IF(AND(O225="FIRE TEX 5062",OR(E225="IN",E225="C",E225="Z",E225="L"),J225=3),VLOOKUP(_xlfn.MINIFS('FIRE TEX 5062'!$B$4:$B$34,'FIRE TEX 5062'!$B$4:$B$34,"&gt;="&amp;M225),'FIRE TEX 5062'!$B$4:$F$34,IF(L225="F-15",2,IF(L225="F-30",3,IF(L225="F-60",4,IF(L225="F-90",5,0)))),0),0)+IF(AND(O225="FIRE TEX 5062",OR(E225="IN",E225="C",E225="Z",E225="L"),J225=4),VLOOKUP(_xlfn.MINIFS('FIRE TEX 5062'!$G$4:$G$34,'FIRE TEX 5062'!$G$4:$G$34,"&gt;="&amp;M225),'FIRE TEX 5062'!$G$4:$K$34,IF(L225="F-15",2,IF(L225="F-30",3,IF(L225="F-60",4,IF(L225="F-90",5,0)))),0),0)+IF(AND(O225="FIRE TEX 5062",E225="CJ",J225=3),VLOOKUP(_xlfn.MINIFS('FIRE TEX 5062'!$L$4:$L$34,'FIRE TEX 5062'!$L$4:$L$34,"&gt;="&amp;M225),'FIRE TEX 5062'!$L$4:$P$34,IF(L225="F-15",2,IF(L225="F-30",3,IF(L225="F-60",4,IF(L225="F-90",5,0)))),0),0)+IF(AND(O225="FIRE TEX 5062",E225="CJ",J225=4),VLOOKUP(_xlfn.MINIFS('FIRE TEX 5062'!$Q$3:$Q$34,'FIRE TEX 5062'!$Q$3:$Q$34,"&gt;="&amp;M225),'FIRE TEX 5062'!$Q$3:$U$34,IF(L225="F-15",2,IF(L225="F-30",3,IF(L225="F-60",4,IF(L225="F-90",5,0)))),0),0)+IF(AND(O225="FIRE TEX 5090",OR(E225="IN",E225="C",E225="Z",E225="L"),J225=3),VLOOKUP(_xlfn.MINIFS('FIRE TEX 5090'!$B$5:$B$43,'FIRE TEX 5090'!$B$5:$B$43,"&gt;="&amp;M225),'FIRE TEX 5090'!$B$5:$H$43,IF(L225="F-15",2,IF(L225="F-30",3,IF(L225="F-60",4,IF(L225="F-90",5,IF(L225="F-120",6,IF(L225="F-150",7,0)))))),0),0)+IF(AND(O225="FIRE TEX 5090",OR(E225="IN",E225="C",E225="Z",E225="L"),J225=4),VLOOKUP(_xlfn.MINIFS('FIRE TEX 5090'!$J$5:$J$43,'FIRE TEX 5090'!$J$5:$J$43,"&gt;="&amp;M225),'FIRE TEX 5090'!$J$5:$P$43,IF(L225="F-15",2,IF(L225="F-30",3,IF(L225="F-60",4,IF(L225="F-90",5,IF(L225="F-120",6,IF(L225="F-150",7,0)))))),0),0)+IF(AND(O225="FIRE TEX 5090",E225="CJ",J225=3),VLOOKUP(_xlfn.MINIFS('FIRE TEX 5090'!$R$5:$R$30,'FIRE TEX 5090'!$R$5:$R$30,"&gt;="&amp;M225),'FIRE TEX 5090'!$R$5:$W$30,IF(L225="F-15",2,IF(L225="F-30",3,IF(L225="F-60",4,IF(L225="F-90",5,IF(L225="F-120",6,IF(L225="F-150",7,0)))))),0),0)+IF(AND(O225="FIRE TEX 5090",E225="CJ",J225=4),VLOOKUP(_xlfn.MINIFS('FIRE TEX 5090'!$Y$5:$Y$39,'FIRE TEX 5090'!$Y$5:$Y$39,"&gt;="&amp;M225),'FIRE TEX 5090'!$Y$5:$AD$39,IF(L225="F-15",2,IF(L225="F-30",3,IF(L225="F-60",4,IF(L225="F-90",5,IF(L225="F-120",6,IF(L225="F-150",7,0)))))),0),0)+IF(AND(O225="FIRE TEX 5120",OR(E225="IN",E225="C",E225="Z",E225="L"),J225=3),VLOOKUP(_xlfn.MINIFS('FIRE TEX 5120'!$B$5:$B$40,'FIRE TEX 5120'!$B$5:$B$40,"&gt;="&amp;M225),'FIRE TEX 5120'!$B$5:$G$40,IF(L225="F-15",2,IF(L225="F-30",3,IF(L225="F-60",4,IF(L225="F-90",5,IF(L225="F-120",6,0))))),0),0)+IF(AND(O225="FIRE TEX 5120",OR(E225="IN",E225="C",E225="Z",E225="L"),J225=4),VLOOKUP(_xlfn.MINIFS('FIRE TEX 5120'!$H$4:$H$40,'FIRE TEX 5120'!$H$4:$H$40,"&gt;="&amp;M225),'FIRE TEX 5120'!$H$4:$M$40,IF(L225="F-15",2,IF(L225="F-30",3,IF(L225="F-60",4,IF(L225="F-90",5,IF(L225="F-120",6,0))))),0),0)+IF(AND(O225="FIRE TEX 5120",E225="CJ"),VLOOKUP(_xlfn.MINIFS('FIRE TEX 5120'!$O$5:$O$40,'FIRE TEX 5120'!$O$5:$O$40,"&gt;="&amp;M225),'FIRE TEX 5120'!$O$5:$T$40,IF(L225="F-15",2,IF(L225="F-30",3,IF(L225="F-60",4,IF(L225="F-90",5,IF(L225="F-120",6,0))))),0),0)</f>
        <v>0</v>
      </c>
      <c r="Q225" s="46">
        <f t="shared" si="26"/>
        <v>0</v>
      </c>
      <c r="R225" s="46">
        <f t="shared" si="28"/>
        <v>0</v>
      </c>
      <c r="S225" s="46" t="e">
        <f t="shared" si="27"/>
        <v>#VALUE!</v>
      </c>
      <c r="T225" s="677">
        <f t="shared" si="29"/>
        <v>0</v>
      </c>
      <c r="U225" s="80">
        <f>(IF(O225="Stofire",(S225*#REF!),0))+(IF(O225="Fire Control",(S225*$U$2),0))+(IF(O225="Fire Tex",(S225*$U$3),0))+(IF(O225="WB7",(S225*#REF!),0)+(IF(O225="FX 2003",(S225*$U$5),0)))</f>
        <v>0</v>
      </c>
      <c r="V225" s="651">
        <f t="shared" si="31"/>
        <v>0</v>
      </c>
      <c r="W225" s="4"/>
    </row>
    <row r="226" spans="1:23" x14ac:dyDescent="0.25">
      <c r="A226" s="652" t="s">
        <v>429</v>
      </c>
      <c r="B226" s="653" t="s">
        <v>430</v>
      </c>
      <c r="C226" s="1" t="s">
        <v>437</v>
      </c>
      <c r="D226" s="118">
        <f>+CUBICACION!D225</f>
        <v>0</v>
      </c>
      <c r="E226" s="118">
        <f>+CUBICACION!F225</f>
        <v>0</v>
      </c>
      <c r="F226" s="118">
        <f>+CUBICACION!E225</f>
        <v>0</v>
      </c>
      <c r="G226" s="118">
        <v>12</v>
      </c>
      <c r="H226" s="118">
        <v>2</v>
      </c>
      <c r="I226" s="820">
        <v>26385</v>
      </c>
      <c r="J226" s="118">
        <f>+CUBICACION!J225</f>
        <v>0</v>
      </c>
      <c r="K226" s="118">
        <v>3005</v>
      </c>
      <c r="L226" s="118">
        <f>+CUBICACION!L225</f>
        <v>0</v>
      </c>
      <c r="M226" s="64">
        <f>+CUBICACION!M225</f>
        <v>0</v>
      </c>
      <c r="N226" s="824" t="str">
        <f>+CUBICACION!N225</f>
        <v/>
      </c>
      <c r="O226" s="675">
        <f>+CUBICACION!O225</f>
        <v>0</v>
      </c>
      <c r="P226" s="15">
        <f>IF(O226="Fire Control",VLOOKUP(_xlfn.MINIFS('FIRE CONTROL'!$C$4:$C$37,'FIRE CONTROL'!$C$4:$C$37,"&gt;="&amp;M226),'FIRE CONTROL'!$C$4:$G$37,IF(L226="F-15",2,IF(L226="F-30",3,IF(L226="F-60",4,IF(L226="F-90",5,0)))),0),0)+IF(AND(O226="FIRE TEX 5062",OR(E226="IN",E226="C",E226="Z",E226="L"),J226=3),VLOOKUP(_xlfn.MINIFS('FIRE TEX 5062'!$B$4:$B$34,'FIRE TEX 5062'!$B$4:$B$34,"&gt;="&amp;M226),'FIRE TEX 5062'!$B$4:$F$34,IF(L226="F-15",2,IF(L226="F-30",3,IF(L226="F-60",4,IF(L226="F-90",5,0)))),0),0)+IF(AND(O226="FIRE TEX 5062",OR(E226="IN",E226="C",E226="Z",E226="L"),J226=4),VLOOKUP(_xlfn.MINIFS('FIRE TEX 5062'!$G$4:$G$34,'FIRE TEX 5062'!$G$4:$G$34,"&gt;="&amp;M226),'FIRE TEX 5062'!$G$4:$K$34,IF(L226="F-15",2,IF(L226="F-30",3,IF(L226="F-60",4,IF(L226="F-90",5,0)))),0),0)+IF(AND(O226="FIRE TEX 5062",E226="CJ",J226=3),VLOOKUP(_xlfn.MINIFS('FIRE TEX 5062'!$L$4:$L$34,'FIRE TEX 5062'!$L$4:$L$34,"&gt;="&amp;M226),'FIRE TEX 5062'!$L$4:$P$34,IF(L226="F-15",2,IF(L226="F-30",3,IF(L226="F-60",4,IF(L226="F-90",5,0)))),0),0)+IF(AND(O226="FIRE TEX 5062",E226="CJ",J226=4),VLOOKUP(_xlfn.MINIFS('FIRE TEX 5062'!$Q$3:$Q$34,'FIRE TEX 5062'!$Q$3:$Q$34,"&gt;="&amp;M226),'FIRE TEX 5062'!$Q$3:$U$34,IF(L226="F-15",2,IF(L226="F-30",3,IF(L226="F-60",4,IF(L226="F-90",5,0)))),0),0)+IF(AND(O226="FIRE TEX 5090",OR(E226="IN",E226="C",E226="Z",E226="L"),J226=3),VLOOKUP(_xlfn.MINIFS('FIRE TEX 5090'!$B$5:$B$43,'FIRE TEX 5090'!$B$5:$B$43,"&gt;="&amp;M226),'FIRE TEX 5090'!$B$5:$H$43,IF(L226="F-15",2,IF(L226="F-30",3,IF(L226="F-60",4,IF(L226="F-90",5,IF(L226="F-120",6,IF(L226="F-150",7,0)))))),0),0)+IF(AND(O226="FIRE TEX 5090",OR(E226="IN",E226="C",E226="Z",E226="L"),J226=4),VLOOKUP(_xlfn.MINIFS('FIRE TEX 5090'!$J$5:$J$43,'FIRE TEX 5090'!$J$5:$J$43,"&gt;="&amp;M226),'FIRE TEX 5090'!$J$5:$P$43,IF(L226="F-15",2,IF(L226="F-30",3,IF(L226="F-60",4,IF(L226="F-90",5,IF(L226="F-120",6,IF(L226="F-150",7,0)))))),0),0)+IF(AND(O226="FIRE TEX 5090",E226="CJ",J226=3),VLOOKUP(_xlfn.MINIFS('FIRE TEX 5090'!$R$5:$R$30,'FIRE TEX 5090'!$R$5:$R$30,"&gt;="&amp;M226),'FIRE TEX 5090'!$R$5:$W$30,IF(L226="F-15",2,IF(L226="F-30",3,IF(L226="F-60",4,IF(L226="F-90",5,IF(L226="F-120",6,IF(L226="F-150",7,0)))))),0),0)+IF(AND(O226="FIRE TEX 5090",E226="CJ",J226=4),VLOOKUP(_xlfn.MINIFS('FIRE TEX 5090'!$Y$5:$Y$39,'FIRE TEX 5090'!$Y$5:$Y$39,"&gt;="&amp;M226),'FIRE TEX 5090'!$Y$5:$AD$39,IF(L226="F-15",2,IF(L226="F-30",3,IF(L226="F-60",4,IF(L226="F-90",5,IF(L226="F-120",6,IF(L226="F-150",7,0)))))),0),0)+IF(AND(O226="FIRE TEX 5120",OR(E226="IN",E226="C",E226="Z",E226="L"),J226=3),VLOOKUP(_xlfn.MINIFS('FIRE TEX 5120'!$B$5:$B$40,'FIRE TEX 5120'!$B$5:$B$40,"&gt;="&amp;M226),'FIRE TEX 5120'!$B$5:$G$40,IF(L226="F-15",2,IF(L226="F-30",3,IF(L226="F-60",4,IF(L226="F-90",5,IF(L226="F-120",6,0))))),0),0)+IF(AND(O226="FIRE TEX 5120",OR(E226="IN",E226="C",E226="Z",E226="L"),J226=4),VLOOKUP(_xlfn.MINIFS('FIRE TEX 5120'!$H$4:$H$40,'FIRE TEX 5120'!$H$4:$H$40,"&gt;="&amp;M226),'FIRE TEX 5120'!$H$4:$M$40,IF(L226="F-15",2,IF(L226="F-30",3,IF(L226="F-60",4,IF(L226="F-90",5,IF(L226="F-120",6,0))))),0),0)+IF(AND(O226="FIRE TEX 5120",E226="CJ"),VLOOKUP(_xlfn.MINIFS('FIRE TEX 5120'!$O$5:$O$40,'FIRE TEX 5120'!$O$5:$O$40,"&gt;="&amp;M226),'FIRE TEX 5120'!$O$5:$T$40,IF(L226="F-15",2,IF(L226="F-30",3,IF(L226="F-60",4,IF(L226="F-90",5,IF(L226="F-120",6,0))))),0),0)</f>
        <v>0</v>
      </c>
      <c r="Q226" s="46">
        <f t="shared" si="26"/>
        <v>0</v>
      </c>
      <c r="R226" s="46">
        <f t="shared" si="28"/>
        <v>0</v>
      </c>
      <c r="S226" s="46" t="e">
        <f t="shared" si="27"/>
        <v>#VALUE!</v>
      </c>
      <c r="T226" s="677">
        <f t="shared" si="29"/>
        <v>0</v>
      </c>
      <c r="U226" s="80">
        <f>(IF(O226="Stofire",(S226*#REF!),0))+(IF(O226="Fire Control",(S226*$U$2),0))+(IF(O226="Fire Tex",(S226*$U$3),0))+(IF(O226="WB7",(S226*#REF!),0)+(IF(O226="FX 2003",(S226*$U$5),0)))</f>
        <v>0</v>
      </c>
      <c r="V226" s="651">
        <f t="shared" si="31"/>
        <v>0</v>
      </c>
      <c r="W226" s="4"/>
    </row>
    <row r="227" spans="1:23" x14ac:dyDescent="0.25">
      <c r="A227" s="652" t="s">
        <v>439</v>
      </c>
      <c r="B227" s="653" t="s">
        <v>430</v>
      </c>
      <c r="C227" s="1" t="s">
        <v>431</v>
      </c>
      <c r="D227" s="118">
        <f>+CUBICACION!D226</f>
        <v>0</v>
      </c>
      <c r="E227" s="118">
        <f>+CUBICACION!F226</f>
        <v>0</v>
      </c>
      <c r="F227" s="118">
        <f>+CUBICACION!E226</f>
        <v>0</v>
      </c>
      <c r="G227" s="118">
        <v>12</v>
      </c>
      <c r="H227" s="118">
        <v>2</v>
      </c>
      <c r="I227" s="820">
        <v>26385</v>
      </c>
      <c r="J227" s="118">
        <f>+CUBICACION!J226</f>
        <v>0</v>
      </c>
      <c r="K227" s="118">
        <v>3006</v>
      </c>
      <c r="L227" s="118">
        <f>+CUBICACION!L226</f>
        <v>0</v>
      </c>
      <c r="M227" s="64">
        <f>+CUBICACION!M226</f>
        <v>0</v>
      </c>
      <c r="N227" s="824" t="str">
        <f>+CUBICACION!N226</f>
        <v/>
      </c>
      <c r="O227" s="675">
        <f>+CUBICACION!O226</f>
        <v>0</v>
      </c>
      <c r="P227" s="15">
        <f>IF(O227="Fire Control",VLOOKUP(_xlfn.MINIFS('FIRE CONTROL'!$C$4:$C$37,'FIRE CONTROL'!$C$4:$C$37,"&gt;="&amp;M227),'FIRE CONTROL'!$C$4:$G$37,IF(L227="F-15",2,IF(L227="F-30",3,IF(L227="F-60",4,IF(L227="F-90",5,0)))),0),0)+IF(AND(O227="FIRE TEX 5062",OR(E227="IN",E227="C",E227="Z",E227="L"),J227=3),VLOOKUP(_xlfn.MINIFS('FIRE TEX 5062'!$B$4:$B$34,'FIRE TEX 5062'!$B$4:$B$34,"&gt;="&amp;M227),'FIRE TEX 5062'!$B$4:$F$34,IF(L227="F-15",2,IF(L227="F-30",3,IF(L227="F-60",4,IF(L227="F-90",5,0)))),0),0)+IF(AND(O227="FIRE TEX 5062",OR(E227="IN",E227="C",E227="Z",E227="L"),J227=4),VLOOKUP(_xlfn.MINIFS('FIRE TEX 5062'!$G$4:$G$34,'FIRE TEX 5062'!$G$4:$G$34,"&gt;="&amp;M227),'FIRE TEX 5062'!$G$4:$K$34,IF(L227="F-15",2,IF(L227="F-30",3,IF(L227="F-60",4,IF(L227="F-90",5,0)))),0),0)+IF(AND(O227="FIRE TEX 5062",E227="CJ",J227=3),VLOOKUP(_xlfn.MINIFS('FIRE TEX 5062'!$L$4:$L$34,'FIRE TEX 5062'!$L$4:$L$34,"&gt;="&amp;M227),'FIRE TEX 5062'!$L$4:$P$34,IF(L227="F-15",2,IF(L227="F-30",3,IF(L227="F-60",4,IF(L227="F-90",5,0)))),0),0)+IF(AND(O227="FIRE TEX 5062",E227="CJ",J227=4),VLOOKUP(_xlfn.MINIFS('FIRE TEX 5062'!$Q$3:$Q$34,'FIRE TEX 5062'!$Q$3:$Q$34,"&gt;="&amp;M227),'FIRE TEX 5062'!$Q$3:$U$34,IF(L227="F-15",2,IF(L227="F-30",3,IF(L227="F-60",4,IF(L227="F-90",5,0)))),0),0)+IF(AND(O227="FIRE TEX 5090",OR(E227="IN",E227="C",E227="Z",E227="L"),J227=3),VLOOKUP(_xlfn.MINIFS('FIRE TEX 5090'!$B$5:$B$43,'FIRE TEX 5090'!$B$5:$B$43,"&gt;="&amp;M227),'FIRE TEX 5090'!$B$5:$H$43,IF(L227="F-15",2,IF(L227="F-30",3,IF(L227="F-60",4,IF(L227="F-90",5,IF(L227="F-120",6,IF(L227="F-150",7,0)))))),0),0)+IF(AND(O227="FIRE TEX 5090",OR(E227="IN",E227="C",E227="Z",E227="L"),J227=4),VLOOKUP(_xlfn.MINIFS('FIRE TEX 5090'!$J$5:$J$43,'FIRE TEX 5090'!$J$5:$J$43,"&gt;="&amp;M227),'FIRE TEX 5090'!$J$5:$P$43,IF(L227="F-15",2,IF(L227="F-30",3,IF(L227="F-60",4,IF(L227="F-90",5,IF(L227="F-120",6,IF(L227="F-150",7,0)))))),0),0)+IF(AND(O227="FIRE TEX 5090",E227="CJ",J227=3),VLOOKUP(_xlfn.MINIFS('FIRE TEX 5090'!$R$5:$R$30,'FIRE TEX 5090'!$R$5:$R$30,"&gt;="&amp;M227),'FIRE TEX 5090'!$R$5:$W$30,IF(L227="F-15",2,IF(L227="F-30",3,IF(L227="F-60",4,IF(L227="F-90",5,IF(L227="F-120",6,IF(L227="F-150",7,0)))))),0),0)+IF(AND(O227="FIRE TEX 5090",E227="CJ",J227=4),VLOOKUP(_xlfn.MINIFS('FIRE TEX 5090'!$Y$5:$Y$39,'FIRE TEX 5090'!$Y$5:$Y$39,"&gt;="&amp;M227),'FIRE TEX 5090'!$Y$5:$AD$39,IF(L227="F-15",2,IF(L227="F-30",3,IF(L227="F-60",4,IF(L227="F-90",5,IF(L227="F-120",6,IF(L227="F-150",7,0)))))),0),0)+IF(AND(O227="FIRE TEX 5120",OR(E227="IN",E227="C",E227="Z",E227="L"),J227=3),VLOOKUP(_xlfn.MINIFS('FIRE TEX 5120'!$B$5:$B$40,'FIRE TEX 5120'!$B$5:$B$40,"&gt;="&amp;M227),'FIRE TEX 5120'!$B$5:$G$40,IF(L227="F-15",2,IF(L227="F-30",3,IF(L227="F-60",4,IF(L227="F-90",5,IF(L227="F-120",6,0))))),0),0)+IF(AND(O227="FIRE TEX 5120",OR(E227="IN",E227="C",E227="Z",E227="L"),J227=4),VLOOKUP(_xlfn.MINIFS('FIRE TEX 5120'!$H$4:$H$40,'FIRE TEX 5120'!$H$4:$H$40,"&gt;="&amp;M227),'FIRE TEX 5120'!$H$4:$M$40,IF(L227="F-15",2,IF(L227="F-30",3,IF(L227="F-60",4,IF(L227="F-90",5,IF(L227="F-120",6,0))))),0),0)+IF(AND(O227="FIRE TEX 5120",E227="CJ"),VLOOKUP(_xlfn.MINIFS('FIRE TEX 5120'!$O$5:$O$40,'FIRE TEX 5120'!$O$5:$O$40,"&gt;="&amp;M227),'FIRE TEX 5120'!$O$5:$T$40,IF(L227="F-15",2,IF(L227="F-30",3,IF(L227="F-60",4,IF(L227="F-90",5,IF(L227="F-120",6,0))))),0),0)</f>
        <v>0</v>
      </c>
      <c r="Q227" s="46">
        <f t="shared" si="26"/>
        <v>0</v>
      </c>
      <c r="R227" s="46">
        <f t="shared" si="28"/>
        <v>0</v>
      </c>
      <c r="S227" s="46" t="e">
        <f t="shared" si="27"/>
        <v>#VALUE!</v>
      </c>
      <c r="T227" s="677">
        <f t="shared" si="29"/>
        <v>0</v>
      </c>
      <c r="U227" s="80">
        <f>(IF(O227="Stofire",(S227*#REF!),0))+(IF(O227="Fire Control",(S227*$U$2),0))+(IF(O227="Fire Tex",(S227*$U$3),0))+(IF(O227="WB7",(S227*#REF!),0)+(IF(O227="FX 2003",(S227*$U$5),0)))</f>
        <v>0</v>
      </c>
      <c r="V227" s="651">
        <f t="shared" si="31"/>
        <v>0</v>
      </c>
      <c r="W227" s="4"/>
    </row>
    <row r="228" spans="1:23" x14ac:dyDescent="0.25">
      <c r="A228" s="652" t="s">
        <v>439</v>
      </c>
      <c r="B228" s="653" t="s">
        <v>430</v>
      </c>
      <c r="C228" s="1" t="s">
        <v>435</v>
      </c>
      <c r="D228" s="118">
        <f>+CUBICACION!D227</f>
        <v>0</v>
      </c>
      <c r="E228" s="118">
        <f>+CUBICACION!F227</f>
        <v>0</v>
      </c>
      <c r="F228" s="118">
        <f>+CUBICACION!E227</f>
        <v>0</v>
      </c>
      <c r="G228" s="118">
        <v>12</v>
      </c>
      <c r="H228" s="118">
        <v>2</v>
      </c>
      <c r="I228" s="820">
        <v>26385</v>
      </c>
      <c r="J228" s="118">
        <f>+CUBICACION!J227</f>
        <v>0</v>
      </c>
      <c r="K228" s="118">
        <v>3007</v>
      </c>
      <c r="L228" s="118">
        <f>+CUBICACION!L227</f>
        <v>0</v>
      </c>
      <c r="M228" s="64">
        <f>+CUBICACION!M227</f>
        <v>0</v>
      </c>
      <c r="N228" s="824" t="str">
        <f>+CUBICACION!N227</f>
        <v/>
      </c>
      <c r="O228" s="675">
        <f>+CUBICACION!O227</f>
        <v>0</v>
      </c>
      <c r="P228" s="15">
        <f>IF(O228="Fire Control",VLOOKUP(_xlfn.MINIFS('FIRE CONTROL'!$C$4:$C$37,'FIRE CONTROL'!$C$4:$C$37,"&gt;="&amp;M228),'FIRE CONTROL'!$C$4:$G$37,IF(L228="F-15",2,IF(L228="F-30",3,IF(L228="F-60",4,IF(L228="F-90",5,0)))),0),0)+IF(AND(O228="FIRE TEX 5062",OR(E228="IN",E228="C",E228="Z",E228="L"),J228=3),VLOOKUP(_xlfn.MINIFS('FIRE TEX 5062'!$B$4:$B$34,'FIRE TEX 5062'!$B$4:$B$34,"&gt;="&amp;M228),'FIRE TEX 5062'!$B$4:$F$34,IF(L228="F-15",2,IF(L228="F-30",3,IF(L228="F-60",4,IF(L228="F-90",5,0)))),0),0)+IF(AND(O228="FIRE TEX 5062",OR(E228="IN",E228="C",E228="Z",E228="L"),J228=4),VLOOKUP(_xlfn.MINIFS('FIRE TEX 5062'!$G$4:$G$34,'FIRE TEX 5062'!$G$4:$G$34,"&gt;="&amp;M228),'FIRE TEX 5062'!$G$4:$K$34,IF(L228="F-15",2,IF(L228="F-30",3,IF(L228="F-60",4,IF(L228="F-90",5,0)))),0),0)+IF(AND(O228="FIRE TEX 5062",E228="CJ",J228=3),VLOOKUP(_xlfn.MINIFS('FIRE TEX 5062'!$L$4:$L$34,'FIRE TEX 5062'!$L$4:$L$34,"&gt;="&amp;M228),'FIRE TEX 5062'!$L$4:$P$34,IF(L228="F-15",2,IF(L228="F-30",3,IF(L228="F-60",4,IF(L228="F-90",5,0)))),0),0)+IF(AND(O228="FIRE TEX 5062",E228="CJ",J228=4),VLOOKUP(_xlfn.MINIFS('FIRE TEX 5062'!$Q$3:$Q$34,'FIRE TEX 5062'!$Q$3:$Q$34,"&gt;="&amp;M228),'FIRE TEX 5062'!$Q$3:$U$34,IF(L228="F-15",2,IF(L228="F-30",3,IF(L228="F-60",4,IF(L228="F-90",5,0)))),0),0)+IF(AND(O228="FIRE TEX 5090",OR(E228="IN",E228="C",E228="Z",E228="L"),J228=3),VLOOKUP(_xlfn.MINIFS('FIRE TEX 5090'!$B$5:$B$43,'FIRE TEX 5090'!$B$5:$B$43,"&gt;="&amp;M228),'FIRE TEX 5090'!$B$5:$H$43,IF(L228="F-15",2,IF(L228="F-30",3,IF(L228="F-60",4,IF(L228="F-90",5,IF(L228="F-120",6,IF(L228="F-150",7,0)))))),0),0)+IF(AND(O228="FIRE TEX 5090",OR(E228="IN",E228="C",E228="Z",E228="L"),J228=4),VLOOKUP(_xlfn.MINIFS('FIRE TEX 5090'!$J$5:$J$43,'FIRE TEX 5090'!$J$5:$J$43,"&gt;="&amp;M228),'FIRE TEX 5090'!$J$5:$P$43,IF(L228="F-15",2,IF(L228="F-30",3,IF(L228="F-60",4,IF(L228="F-90",5,IF(L228="F-120",6,IF(L228="F-150",7,0)))))),0),0)+IF(AND(O228="FIRE TEX 5090",E228="CJ",J228=3),VLOOKUP(_xlfn.MINIFS('FIRE TEX 5090'!$R$5:$R$30,'FIRE TEX 5090'!$R$5:$R$30,"&gt;="&amp;M228),'FIRE TEX 5090'!$R$5:$W$30,IF(L228="F-15",2,IF(L228="F-30",3,IF(L228="F-60",4,IF(L228="F-90",5,IF(L228="F-120",6,IF(L228="F-150",7,0)))))),0),0)+IF(AND(O228="FIRE TEX 5090",E228="CJ",J228=4),VLOOKUP(_xlfn.MINIFS('FIRE TEX 5090'!$Y$5:$Y$39,'FIRE TEX 5090'!$Y$5:$Y$39,"&gt;="&amp;M228),'FIRE TEX 5090'!$Y$5:$AD$39,IF(L228="F-15",2,IF(L228="F-30",3,IF(L228="F-60",4,IF(L228="F-90",5,IF(L228="F-120",6,IF(L228="F-150",7,0)))))),0),0)+IF(AND(O228="FIRE TEX 5120",OR(E228="IN",E228="C",E228="Z",E228="L"),J228=3),VLOOKUP(_xlfn.MINIFS('FIRE TEX 5120'!$B$5:$B$40,'FIRE TEX 5120'!$B$5:$B$40,"&gt;="&amp;M228),'FIRE TEX 5120'!$B$5:$G$40,IF(L228="F-15",2,IF(L228="F-30",3,IF(L228="F-60",4,IF(L228="F-90",5,IF(L228="F-120",6,0))))),0),0)+IF(AND(O228="FIRE TEX 5120",OR(E228="IN",E228="C",E228="Z",E228="L"),J228=4),VLOOKUP(_xlfn.MINIFS('FIRE TEX 5120'!$H$4:$H$40,'FIRE TEX 5120'!$H$4:$H$40,"&gt;="&amp;M228),'FIRE TEX 5120'!$H$4:$M$40,IF(L228="F-15",2,IF(L228="F-30",3,IF(L228="F-60",4,IF(L228="F-90",5,IF(L228="F-120",6,0))))),0),0)+IF(AND(O228="FIRE TEX 5120",E228="CJ"),VLOOKUP(_xlfn.MINIFS('FIRE TEX 5120'!$O$5:$O$40,'FIRE TEX 5120'!$O$5:$O$40,"&gt;="&amp;M228),'FIRE TEX 5120'!$O$5:$T$40,IF(L228="F-15",2,IF(L228="F-30",3,IF(L228="F-60",4,IF(L228="F-90",5,IF(L228="F-120",6,0))))),0),0)</f>
        <v>0</v>
      </c>
      <c r="Q228" s="46">
        <f t="shared" si="26"/>
        <v>0</v>
      </c>
      <c r="R228" s="46">
        <f t="shared" si="28"/>
        <v>0</v>
      </c>
      <c r="S228" s="46" t="e">
        <f t="shared" si="27"/>
        <v>#VALUE!</v>
      </c>
      <c r="T228" s="677">
        <f t="shared" si="29"/>
        <v>0</v>
      </c>
      <c r="U228" s="80">
        <f>(IF(O228="Stofire",(S228*#REF!),0))+(IF(O228="Fire Control",(S228*$U$2),0))+(IF(O228="Fire Tex",(S228*$U$3),0))+(IF(O228="WB7",(S228*#REF!),0)+(IF(O228="FX 2003",(S228*$U$5),0)))</f>
        <v>0</v>
      </c>
      <c r="V228" s="651">
        <f t="shared" si="31"/>
        <v>0</v>
      </c>
      <c r="W228" s="4"/>
    </row>
    <row r="229" spans="1:23" x14ac:dyDescent="0.25">
      <c r="A229" s="652" t="s">
        <v>442</v>
      </c>
      <c r="B229" s="653" t="s">
        <v>443</v>
      </c>
      <c r="C229" s="1" t="s">
        <v>444</v>
      </c>
      <c r="D229" s="118">
        <f>+CUBICACION!D228</f>
        <v>0</v>
      </c>
      <c r="E229" s="118">
        <f>+CUBICACION!F228</f>
        <v>0</v>
      </c>
      <c r="F229" s="118">
        <f>+CUBICACION!E228</f>
        <v>0</v>
      </c>
      <c r="G229" s="118">
        <v>12</v>
      </c>
      <c r="H229" s="118">
        <v>2</v>
      </c>
      <c r="I229" s="820">
        <v>26385</v>
      </c>
      <c r="J229" s="118">
        <f>+CUBICACION!J228</f>
        <v>0</v>
      </c>
      <c r="K229" s="118">
        <v>3008</v>
      </c>
      <c r="L229" s="118">
        <f>+CUBICACION!L228</f>
        <v>0</v>
      </c>
      <c r="M229" s="64">
        <f>+CUBICACION!M228</f>
        <v>0</v>
      </c>
      <c r="N229" s="824" t="str">
        <f>+CUBICACION!N228</f>
        <v/>
      </c>
      <c r="O229" s="675">
        <f>+CUBICACION!O228</f>
        <v>0</v>
      </c>
      <c r="P229" s="15">
        <f>IF(O229="Fire Control",VLOOKUP(_xlfn.MINIFS('FIRE CONTROL'!$C$4:$C$37,'FIRE CONTROL'!$C$4:$C$37,"&gt;="&amp;M229),'FIRE CONTROL'!$C$4:$G$37,IF(L229="F-15",2,IF(L229="F-30",3,IF(L229="F-60",4,IF(L229="F-90",5,0)))),0),0)+IF(AND(O229="FIRE TEX 5062",OR(E229="IN",E229="C",E229="Z",E229="L"),J229=3),VLOOKUP(_xlfn.MINIFS('FIRE TEX 5062'!$B$4:$B$34,'FIRE TEX 5062'!$B$4:$B$34,"&gt;="&amp;M229),'FIRE TEX 5062'!$B$4:$F$34,IF(L229="F-15",2,IF(L229="F-30",3,IF(L229="F-60",4,IF(L229="F-90",5,0)))),0),0)+IF(AND(O229="FIRE TEX 5062",OR(E229="IN",E229="C",E229="Z",E229="L"),J229=4),VLOOKUP(_xlfn.MINIFS('FIRE TEX 5062'!$G$4:$G$34,'FIRE TEX 5062'!$G$4:$G$34,"&gt;="&amp;M229),'FIRE TEX 5062'!$G$4:$K$34,IF(L229="F-15",2,IF(L229="F-30",3,IF(L229="F-60",4,IF(L229="F-90",5,0)))),0),0)+IF(AND(O229="FIRE TEX 5062",E229="CJ",J229=3),VLOOKUP(_xlfn.MINIFS('FIRE TEX 5062'!$L$4:$L$34,'FIRE TEX 5062'!$L$4:$L$34,"&gt;="&amp;M229),'FIRE TEX 5062'!$L$4:$P$34,IF(L229="F-15",2,IF(L229="F-30",3,IF(L229="F-60",4,IF(L229="F-90",5,0)))),0),0)+IF(AND(O229="FIRE TEX 5062",E229="CJ",J229=4),VLOOKUP(_xlfn.MINIFS('FIRE TEX 5062'!$Q$3:$Q$34,'FIRE TEX 5062'!$Q$3:$Q$34,"&gt;="&amp;M229),'FIRE TEX 5062'!$Q$3:$U$34,IF(L229="F-15",2,IF(L229="F-30",3,IF(L229="F-60",4,IF(L229="F-90",5,0)))),0),0)+IF(AND(O229="FIRE TEX 5090",OR(E229="IN",E229="C",E229="Z",E229="L"),J229=3),VLOOKUP(_xlfn.MINIFS('FIRE TEX 5090'!$B$5:$B$43,'FIRE TEX 5090'!$B$5:$B$43,"&gt;="&amp;M229),'FIRE TEX 5090'!$B$5:$H$43,IF(L229="F-15",2,IF(L229="F-30",3,IF(L229="F-60",4,IF(L229="F-90",5,IF(L229="F-120",6,IF(L229="F-150",7,0)))))),0),0)+IF(AND(O229="FIRE TEX 5090",OR(E229="IN",E229="C",E229="Z",E229="L"),J229=4),VLOOKUP(_xlfn.MINIFS('FIRE TEX 5090'!$J$5:$J$43,'FIRE TEX 5090'!$J$5:$J$43,"&gt;="&amp;M229),'FIRE TEX 5090'!$J$5:$P$43,IF(L229="F-15",2,IF(L229="F-30",3,IF(L229="F-60",4,IF(L229="F-90",5,IF(L229="F-120",6,IF(L229="F-150",7,0)))))),0),0)+IF(AND(O229="FIRE TEX 5090",E229="CJ",J229=3),VLOOKUP(_xlfn.MINIFS('FIRE TEX 5090'!$R$5:$R$30,'FIRE TEX 5090'!$R$5:$R$30,"&gt;="&amp;M229),'FIRE TEX 5090'!$R$5:$W$30,IF(L229="F-15",2,IF(L229="F-30",3,IF(L229="F-60",4,IF(L229="F-90",5,IF(L229="F-120",6,IF(L229="F-150",7,0)))))),0),0)+IF(AND(O229="FIRE TEX 5090",E229="CJ",J229=4),VLOOKUP(_xlfn.MINIFS('FIRE TEX 5090'!$Y$5:$Y$39,'FIRE TEX 5090'!$Y$5:$Y$39,"&gt;="&amp;M229),'FIRE TEX 5090'!$Y$5:$AD$39,IF(L229="F-15",2,IF(L229="F-30",3,IF(L229="F-60",4,IF(L229="F-90",5,IF(L229="F-120",6,IF(L229="F-150",7,0)))))),0),0)+IF(AND(O229="FIRE TEX 5120",OR(E229="IN",E229="C",E229="Z",E229="L"),J229=3),VLOOKUP(_xlfn.MINIFS('FIRE TEX 5120'!$B$5:$B$40,'FIRE TEX 5120'!$B$5:$B$40,"&gt;="&amp;M229),'FIRE TEX 5120'!$B$5:$G$40,IF(L229="F-15",2,IF(L229="F-30",3,IF(L229="F-60",4,IF(L229="F-90",5,IF(L229="F-120",6,0))))),0),0)+IF(AND(O229="FIRE TEX 5120",OR(E229="IN",E229="C",E229="Z",E229="L"),J229=4),VLOOKUP(_xlfn.MINIFS('FIRE TEX 5120'!$H$4:$H$40,'FIRE TEX 5120'!$H$4:$H$40,"&gt;="&amp;M229),'FIRE TEX 5120'!$H$4:$M$40,IF(L229="F-15",2,IF(L229="F-30",3,IF(L229="F-60",4,IF(L229="F-90",5,IF(L229="F-120",6,0))))),0),0)+IF(AND(O229="FIRE TEX 5120",E229="CJ"),VLOOKUP(_xlfn.MINIFS('FIRE TEX 5120'!$O$5:$O$40,'FIRE TEX 5120'!$O$5:$O$40,"&gt;="&amp;M229),'FIRE TEX 5120'!$O$5:$T$40,IF(L229="F-15",2,IF(L229="F-30",3,IF(L229="F-60",4,IF(L229="F-90",5,IF(L229="F-120",6,0))))),0),0)</f>
        <v>0</v>
      </c>
      <c r="Q229" s="46">
        <f t="shared" si="26"/>
        <v>0</v>
      </c>
      <c r="R229" s="46">
        <f t="shared" si="28"/>
        <v>0</v>
      </c>
      <c r="S229" s="46" t="e">
        <f t="shared" si="27"/>
        <v>#VALUE!</v>
      </c>
      <c r="T229" s="677">
        <f t="shared" si="29"/>
        <v>0</v>
      </c>
      <c r="U229" s="80">
        <f>(IF(O229="Stofire",(S229*#REF!),0))+(IF(O229="Fire Control",(S229*$U$2),0))+(IF(O229="Fire Tex",(S229*$U$3),0))+(IF(O229="WB7",(S229*#REF!),0)+(IF(O229="FX 2003",(S229*$U$5),0)))</f>
        <v>0</v>
      </c>
      <c r="V229" s="651">
        <f t="shared" si="31"/>
        <v>0</v>
      </c>
      <c r="W229" s="4"/>
    </row>
    <row r="230" spans="1:23" x14ac:dyDescent="0.25">
      <c r="A230" s="652" t="s">
        <v>442</v>
      </c>
      <c r="B230" s="653" t="s">
        <v>443</v>
      </c>
      <c r="C230" s="1" t="s">
        <v>446</v>
      </c>
      <c r="D230" s="118">
        <f>+CUBICACION!D229</f>
        <v>0</v>
      </c>
      <c r="E230" s="118">
        <f>+CUBICACION!F229</f>
        <v>0</v>
      </c>
      <c r="F230" s="118">
        <f>+CUBICACION!E229</f>
        <v>0</v>
      </c>
      <c r="G230" s="118">
        <v>12</v>
      </c>
      <c r="H230" s="118">
        <v>2</v>
      </c>
      <c r="I230" s="820">
        <v>26385</v>
      </c>
      <c r="J230" s="118">
        <f>+CUBICACION!J229</f>
        <v>0</v>
      </c>
      <c r="K230" s="118">
        <v>3009</v>
      </c>
      <c r="L230" s="118">
        <f>+CUBICACION!L229</f>
        <v>0</v>
      </c>
      <c r="M230" s="64">
        <f>+CUBICACION!M229</f>
        <v>0</v>
      </c>
      <c r="N230" s="824" t="str">
        <f>+CUBICACION!N229</f>
        <v/>
      </c>
      <c r="O230" s="675">
        <f>+CUBICACION!O229</f>
        <v>0</v>
      </c>
      <c r="P230" s="15">
        <f>IF(O230="Fire Control",VLOOKUP(_xlfn.MINIFS('FIRE CONTROL'!$C$4:$C$37,'FIRE CONTROL'!$C$4:$C$37,"&gt;="&amp;M230),'FIRE CONTROL'!$C$4:$G$37,IF(L230="F-15",2,IF(L230="F-30",3,IF(L230="F-60",4,IF(L230="F-90",5,0)))),0),0)+IF(AND(O230="FIRE TEX 5062",OR(E230="IN",E230="C",E230="Z",E230="L"),J230=3),VLOOKUP(_xlfn.MINIFS('FIRE TEX 5062'!$B$4:$B$34,'FIRE TEX 5062'!$B$4:$B$34,"&gt;="&amp;M230),'FIRE TEX 5062'!$B$4:$F$34,IF(L230="F-15",2,IF(L230="F-30",3,IF(L230="F-60",4,IF(L230="F-90",5,0)))),0),0)+IF(AND(O230="FIRE TEX 5062",OR(E230="IN",E230="C",E230="Z",E230="L"),J230=4),VLOOKUP(_xlfn.MINIFS('FIRE TEX 5062'!$G$4:$G$34,'FIRE TEX 5062'!$G$4:$G$34,"&gt;="&amp;M230),'FIRE TEX 5062'!$G$4:$K$34,IF(L230="F-15",2,IF(L230="F-30",3,IF(L230="F-60",4,IF(L230="F-90",5,0)))),0),0)+IF(AND(O230="FIRE TEX 5062",E230="CJ",J230=3),VLOOKUP(_xlfn.MINIFS('FIRE TEX 5062'!$L$4:$L$34,'FIRE TEX 5062'!$L$4:$L$34,"&gt;="&amp;M230),'FIRE TEX 5062'!$L$4:$P$34,IF(L230="F-15",2,IF(L230="F-30",3,IF(L230="F-60",4,IF(L230="F-90",5,0)))),0),0)+IF(AND(O230="FIRE TEX 5062",E230="CJ",J230=4),VLOOKUP(_xlfn.MINIFS('FIRE TEX 5062'!$Q$3:$Q$34,'FIRE TEX 5062'!$Q$3:$Q$34,"&gt;="&amp;M230),'FIRE TEX 5062'!$Q$3:$U$34,IF(L230="F-15",2,IF(L230="F-30",3,IF(L230="F-60",4,IF(L230="F-90",5,0)))),0),0)+IF(AND(O230="FIRE TEX 5090",OR(E230="IN",E230="C",E230="Z",E230="L"),J230=3),VLOOKUP(_xlfn.MINIFS('FIRE TEX 5090'!$B$5:$B$43,'FIRE TEX 5090'!$B$5:$B$43,"&gt;="&amp;M230),'FIRE TEX 5090'!$B$5:$H$43,IF(L230="F-15",2,IF(L230="F-30",3,IF(L230="F-60",4,IF(L230="F-90",5,IF(L230="F-120",6,IF(L230="F-150",7,0)))))),0),0)+IF(AND(O230="FIRE TEX 5090",OR(E230="IN",E230="C",E230="Z",E230="L"),J230=4),VLOOKUP(_xlfn.MINIFS('FIRE TEX 5090'!$J$5:$J$43,'FIRE TEX 5090'!$J$5:$J$43,"&gt;="&amp;M230),'FIRE TEX 5090'!$J$5:$P$43,IF(L230="F-15",2,IF(L230="F-30",3,IF(L230="F-60",4,IF(L230="F-90",5,IF(L230="F-120",6,IF(L230="F-150",7,0)))))),0),0)+IF(AND(O230="FIRE TEX 5090",E230="CJ",J230=3),VLOOKUP(_xlfn.MINIFS('FIRE TEX 5090'!$R$5:$R$30,'FIRE TEX 5090'!$R$5:$R$30,"&gt;="&amp;M230),'FIRE TEX 5090'!$R$5:$W$30,IF(L230="F-15",2,IF(L230="F-30",3,IF(L230="F-60",4,IF(L230="F-90",5,IF(L230="F-120",6,IF(L230="F-150",7,0)))))),0),0)+IF(AND(O230="FIRE TEX 5090",E230="CJ",J230=4),VLOOKUP(_xlfn.MINIFS('FIRE TEX 5090'!$Y$5:$Y$39,'FIRE TEX 5090'!$Y$5:$Y$39,"&gt;="&amp;M230),'FIRE TEX 5090'!$Y$5:$AD$39,IF(L230="F-15",2,IF(L230="F-30",3,IF(L230="F-60",4,IF(L230="F-90",5,IF(L230="F-120",6,IF(L230="F-150",7,0)))))),0),0)+IF(AND(O230="FIRE TEX 5120",OR(E230="IN",E230="C",E230="Z",E230="L"),J230=3),VLOOKUP(_xlfn.MINIFS('FIRE TEX 5120'!$B$5:$B$40,'FIRE TEX 5120'!$B$5:$B$40,"&gt;="&amp;M230),'FIRE TEX 5120'!$B$5:$G$40,IF(L230="F-15",2,IF(L230="F-30",3,IF(L230="F-60",4,IF(L230="F-90",5,IF(L230="F-120",6,0))))),0),0)+IF(AND(O230="FIRE TEX 5120",OR(E230="IN",E230="C",E230="Z",E230="L"),J230=4),VLOOKUP(_xlfn.MINIFS('FIRE TEX 5120'!$H$4:$H$40,'FIRE TEX 5120'!$H$4:$H$40,"&gt;="&amp;M230),'FIRE TEX 5120'!$H$4:$M$40,IF(L230="F-15",2,IF(L230="F-30",3,IF(L230="F-60",4,IF(L230="F-90",5,IF(L230="F-120",6,0))))),0),0)+IF(AND(O230="FIRE TEX 5120",E230="CJ"),VLOOKUP(_xlfn.MINIFS('FIRE TEX 5120'!$O$5:$O$40,'FIRE TEX 5120'!$O$5:$O$40,"&gt;="&amp;M230),'FIRE TEX 5120'!$O$5:$T$40,IF(L230="F-15",2,IF(L230="F-30",3,IF(L230="F-60",4,IF(L230="F-90",5,IF(L230="F-120",6,0))))),0),0)</f>
        <v>0</v>
      </c>
      <c r="Q230" s="46">
        <f t="shared" si="26"/>
        <v>0</v>
      </c>
      <c r="R230" s="46">
        <f t="shared" si="28"/>
        <v>0</v>
      </c>
      <c r="S230" s="46" t="e">
        <f t="shared" si="27"/>
        <v>#VALUE!</v>
      </c>
      <c r="T230" s="677">
        <f t="shared" si="29"/>
        <v>0</v>
      </c>
      <c r="U230" s="80">
        <f>(IF(O230="Stofire",(S230*#REF!),0))+(IF(O230="Fire Control",(S230*$U$2),0))+(IF(O230="Fire Tex",(S230*$U$3),0))+(IF(O230="WB7",(S230*#REF!),0)+(IF(O230="FX 2003",(S230*$U$5),0)))</f>
        <v>0</v>
      </c>
      <c r="V230" s="651">
        <f>_xlfn.CEILING.MATH(M230,10)</f>
        <v>0</v>
      </c>
      <c r="W230" s="4"/>
    </row>
    <row r="231" spans="1:23" x14ac:dyDescent="0.25">
      <c r="A231" s="652" t="s">
        <v>448</v>
      </c>
      <c r="B231" s="653" t="s">
        <v>443</v>
      </c>
      <c r="C231" s="1" t="s">
        <v>444</v>
      </c>
      <c r="D231" s="118">
        <f>+CUBICACION!D230</f>
        <v>0</v>
      </c>
      <c r="E231" s="118">
        <f>+CUBICACION!F230</f>
        <v>0</v>
      </c>
      <c r="F231" s="118">
        <f>+CUBICACION!E230</f>
        <v>0</v>
      </c>
      <c r="G231" s="118">
        <v>12</v>
      </c>
      <c r="H231" s="118">
        <v>2</v>
      </c>
      <c r="I231" s="820">
        <v>26385</v>
      </c>
      <c r="J231" s="118">
        <f>+CUBICACION!J230</f>
        <v>0</v>
      </c>
      <c r="K231" s="118">
        <v>3010</v>
      </c>
      <c r="L231" s="118">
        <f>+CUBICACION!L230</f>
        <v>0</v>
      </c>
      <c r="M231" s="64">
        <f>+CUBICACION!M230</f>
        <v>0</v>
      </c>
      <c r="N231" s="824" t="str">
        <f>+CUBICACION!N230</f>
        <v/>
      </c>
      <c r="O231" s="675">
        <f>+CUBICACION!O230</f>
        <v>0</v>
      </c>
      <c r="P231" s="15">
        <f>IF(O231="Fire Control",VLOOKUP(_xlfn.MINIFS('FIRE CONTROL'!$C$4:$C$37,'FIRE CONTROL'!$C$4:$C$37,"&gt;="&amp;M231),'FIRE CONTROL'!$C$4:$G$37,IF(L231="F-15",2,IF(L231="F-30",3,IF(L231="F-60",4,IF(L231="F-90",5,0)))),0),0)+IF(AND(O231="FIRE TEX 5062",OR(E231="IN",E231="C",E231="Z",E231="L"),J231=3),VLOOKUP(_xlfn.MINIFS('FIRE TEX 5062'!$B$4:$B$34,'FIRE TEX 5062'!$B$4:$B$34,"&gt;="&amp;M231),'FIRE TEX 5062'!$B$4:$F$34,IF(L231="F-15",2,IF(L231="F-30",3,IF(L231="F-60",4,IF(L231="F-90",5,0)))),0),0)+IF(AND(O231="FIRE TEX 5062",OR(E231="IN",E231="C",E231="Z",E231="L"),J231=4),VLOOKUP(_xlfn.MINIFS('FIRE TEX 5062'!$G$4:$G$34,'FIRE TEX 5062'!$G$4:$G$34,"&gt;="&amp;M231),'FIRE TEX 5062'!$G$4:$K$34,IF(L231="F-15",2,IF(L231="F-30",3,IF(L231="F-60",4,IF(L231="F-90",5,0)))),0),0)+IF(AND(O231="FIRE TEX 5062",E231="CJ",J231=3),VLOOKUP(_xlfn.MINIFS('FIRE TEX 5062'!$L$4:$L$34,'FIRE TEX 5062'!$L$4:$L$34,"&gt;="&amp;M231),'FIRE TEX 5062'!$L$4:$P$34,IF(L231="F-15",2,IF(L231="F-30",3,IF(L231="F-60",4,IF(L231="F-90",5,0)))),0),0)+IF(AND(O231="FIRE TEX 5062",E231="CJ",J231=4),VLOOKUP(_xlfn.MINIFS('FIRE TEX 5062'!$Q$3:$Q$34,'FIRE TEX 5062'!$Q$3:$Q$34,"&gt;="&amp;M231),'FIRE TEX 5062'!$Q$3:$U$34,IF(L231="F-15",2,IF(L231="F-30",3,IF(L231="F-60",4,IF(L231="F-90",5,0)))),0),0)+IF(AND(O231="FIRE TEX 5090",OR(E231="IN",E231="C",E231="Z",E231="L"),J231=3),VLOOKUP(_xlfn.MINIFS('FIRE TEX 5090'!$B$5:$B$43,'FIRE TEX 5090'!$B$5:$B$43,"&gt;="&amp;M231),'FIRE TEX 5090'!$B$5:$H$43,IF(L231="F-15",2,IF(L231="F-30",3,IF(L231="F-60",4,IF(L231="F-90",5,IF(L231="F-120",6,IF(L231="F-150",7,0)))))),0),0)+IF(AND(O231="FIRE TEX 5090",OR(E231="IN",E231="C",E231="Z",E231="L"),J231=4),VLOOKUP(_xlfn.MINIFS('FIRE TEX 5090'!$J$5:$J$43,'FIRE TEX 5090'!$J$5:$J$43,"&gt;="&amp;M231),'FIRE TEX 5090'!$J$5:$P$43,IF(L231="F-15",2,IF(L231="F-30",3,IF(L231="F-60",4,IF(L231="F-90",5,IF(L231="F-120",6,IF(L231="F-150",7,0)))))),0),0)+IF(AND(O231="FIRE TEX 5090",E231="CJ",J231=3),VLOOKUP(_xlfn.MINIFS('FIRE TEX 5090'!$R$5:$R$30,'FIRE TEX 5090'!$R$5:$R$30,"&gt;="&amp;M231),'FIRE TEX 5090'!$R$5:$W$30,IF(L231="F-15",2,IF(L231="F-30",3,IF(L231="F-60",4,IF(L231="F-90",5,IF(L231="F-120",6,IF(L231="F-150",7,0)))))),0),0)+IF(AND(O231="FIRE TEX 5090",E231="CJ",J231=4),VLOOKUP(_xlfn.MINIFS('FIRE TEX 5090'!$Y$5:$Y$39,'FIRE TEX 5090'!$Y$5:$Y$39,"&gt;="&amp;M231),'FIRE TEX 5090'!$Y$5:$AD$39,IF(L231="F-15",2,IF(L231="F-30",3,IF(L231="F-60",4,IF(L231="F-90",5,IF(L231="F-120",6,IF(L231="F-150",7,0)))))),0),0)+IF(AND(O231="FIRE TEX 5120",OR(E231="IN",E231="C",E231="Z",E231="L"),J231=3),VLOOKUP(_xlfn.MINIFS('FIRE TEX 5120'!$B$5:$B$40,'FIRE TEX 5120'!$B$5:$B$40,"&gt;="&amp;M231),'FIRE TEX 5120'!$B$5:$G$40,IF(L231="F-15",2,IF(L231="F-30",3,IF(L231="F-60",4,IF(L231="F-90",5,IF(L231="F-120",6,0))))),0),0)+IF(AND(O231="FIRE TEX 5120",OR(E231="IN",E231="C",E231="Z",E231="L"),J231=4),VLOOKUP(_xlfn.MINIFS('FIRE TEX 5120'!$H$4:$H$40,'FIRE TEX 5120'!$H$4:$H$40,"&gt;="&amp;M231),'FIRE TEX 5120'!$H$4:$M$40,IF(L231="F-15",2,IF(L231="F-30",3,IF(L231="F-60",4,IF(L231="F-90",5,IF(L231="F-120",6,0))))),0),0)+IF(AND(O231="FIRE TEX 5120",E231="CJ"),VLOOKUP(_xlfn.MINIFS('FIRE TEX 5120'!$O$5:$O$40,'FIRE TEX 5120'!$O$5:$O$40,"&gt;="&amp;M231),'FIRE TEX 5120'!$O$5:$T$40,IF(L231="F-15",2,IF(L231="F-30",3,IF(L231="F-60",4,IF(L231="F-90",5,IF(L231="F-120",6,0))))),0),0)</f>
        <v>0</v>
      </c>
      <c r="Q231" s="46">
        <f t="shared" si="26"/>
        <v>0</v>
      </c>
      <c r="R231" s="46">
        <f t="shared" si="28"/>
        <v>0</v>
      </c>
      <c r="S231" s="46" t="e">
        <f t="shared" si="27"/>
        <v>#VALUE!</v>
      </c>
      <c r="T231" s="677">
        <f t="shared" si="29"/>
        <v>0</v>
      </c>
      <c r="U231" s="80">
        <f>(IF(O231="Stofire",(S231*#REF!),0))+(IF(O231="Fire Control",(S231*$U$2),0))+(IF(O231="Fire Tex",(S231*$U$3),0))+(IF(O231="WB7",(S231*#REF!),0)+(IF(O231="FX 2003",(S231*$U$5),0)))</f>
        <v>0</v>
      </c>
      <c r="V231" s="651">
        <f>_xlfn.CEILING.MATH(M231,10)</f>
        <v>0</v>
      </c>
      <c r="W231" s="4"/>
    </row>
    <row r="232" spans="1:23" x14ac:dyDescent="0.25">
      <c r="A232" s="652" t="s">
        <v>448</v>
      </c>
      <c r="B232" s="653" t="s">
        <v>443</v>
      </c>
      <c r="C232" s="1" t="s">
        <v>446</v>
      </c>
      <c r="D232" s="118">
        <f>+CUBICACION!D231</f>
        <v>0</v>
      </c>
      <c r="E232" s="118">
        <f>+CUBICACION!F231</f>
        <v>0</v>
      </c>
      <c r="F232" s="118">
        <f>+CUBICACION!E231</f>
        <v>0</v>
      </c>
      <c r="G232" s="118">
        <v>12</v>
      </c>
      <c r="H232" s="118">
        <v>2</v>
      </c>
      <c r="I232" s="820">
        <v>26385</v>
      </c>
      <c r="J232" s="118">
        <f>+CUBICACION!J231</f>
        <v>0</v>
      </c>
      <c r="K232" s="118">
        <v>3011</v>
      </c>
      <c r="L232" s="118">
        <f>+CUBICACION!L231</f>
        <v>0</v>
      </c>
      <c r="M232" s="64">
        <f>+CUBICACION!M231</f>
        <v>0</v>
      </c>
      <c r="N232" s="824" t="str">
        <f>+CUBICACION!N231</f>
        <v/>
      </c>
      <c r="O232" s="675">
        <f>+CUBICACION!O231</f>
        <v>0</v>
      </c>
      <c r="P232" s="15">
        <f>IF(O232="Fire Control",VLOOKUP(_xlfn.MINIFS('FIRE CONTROL'!$C$4:$C$37,'FIRE CONTROL'!$C$4:$C$37,"&gt;="&amp;M232),'FIRE CONTROL'!$C$4:$G$37,IF(L232="F-15",2,IF(L232="F-30",3,IF(L232="F-60",4,IF(L232="F-90",5,0)))),0),0)+IF(AND(O232="FIRE TEX 5062",OR(E232="IN",E232="C",E232="Z",E232="L"),J232=3),VLOOKUP(_xlfn.MINIFS('FIRE TEX 5062'!$B$4:$B$34,'FIRE TEX 5062'!$B$4:$B$34,"&gt;="&amp;M232),'FIRE TEX 5062'!$B$4:$F$34,IF(L232="F-15",2,IF(L232="F-30",3,IF(L232="F-60",4,IF(L232="F-90",5,0)))),0),0)+IF(AND(O232="FIRE TEX 5062",OR(E232="IN",E232="C",E232="Z",E232="L"),J232=4),VLOOKUP(_xlfn.MINIFS('FIRE TEX 5062'!$G$4:$G$34,'FIRE TEX 5062'!$G$4:$G$34,"&gt;="&amp;M232),'FIRE TEX 5062'!$G$4:$K$34,IF(L232="F-15",2,IF(L232="F-30",3,IF(L232="F-60",4,IF(L232="F-90",5,0)))),0),0)+IF(AND(O232="FIRE TEX 5062",E232="CJ",J232=3),VLOOKUP(_xlfn.MINIFS('FIRE TEX 5062'!$L$4:$L$34,'FIRE TEX 5062'!$L$4:$L$34,"&gt;="&amp;M232),'FIRE TEX 5062'!$L$4:$P$34,IF(L232="F-15",2,IF(L232="F-30",3,IF(L232="F-60",4,IF(L232="F-90",5,0)))),0),0)+IF(AND(O232="FIRE TEX 5062",E232="CJ",J232=4),VLOOKUP(_xlfn.MINIFS('FIRE TEX 5062'!$Q$3:$Q$34,'FIRE TEX 5062'!$Q$3:$Q$34,"&gt;="&amp;M232),'FIRE TEX 5062'!$Q$3:$U$34,IF(L232="F-15",2,IF(L232="F-30",3,IF(L232="F-60",4,IF(L232="F-90",5,0)))),0),0)+IF(AND(O232="FIRE TEX 5090",OR(E232="IN",E232="C",E232="Z",E232="L"),J232=3),VLOOKUP(_xlfn.MINIFS('FIRE TEX 5090'!$B$5:$B$43,'FIRE TEX 5090'!$B$5:$B$43,"&gt;="&amp;M232),'FIRE TEX 5090'!$B$5:$H$43,IF(L232="F-15",2,IF(L232="F-30",3,IF(L232="F-60",4,IF(L232="F-90",5,IF(L232="F-120",6,IF(L232="F-150",7,0)))))),0),0)+IF(AND(O232="FIRE TEX 5090",OR(E232="IN",E232="C",E232="Z",E232="L"),J232=4),VLOOKUP(_xlfn.MINIFS('FIRE TEX 5090'!$J$5:$J$43,'FIRE TEX 5090'!$J$5:$J$43,"&gt;="&amp;M232),'FIRE TEX 5090'!$J$5:$P$43,IF(L232="F-15",2,IF(L232="F-30",3,IF(L232="F-60",4,IF(L232="F-90",5,IF(L232="F-120",6,IF(L232="F-150",7,0)))))),0),0)+IF(AND(O232="FIRE TEX 5090",E232="CJ",J232=3),VLOOKUP(_xlfn.MINIFS('FIRE TEX 5090'!$R$5:$R$30,'FIRE TEX 5090'!$R$5:$R$30,"&gt;="&amp;M232),'FIRE TEX 5090'!$R$5:$W$30,IF(L232="F-15",2,IF(L232="F-30",3,IF(L232="F-60",4,IF(L232="F-90",5,IF(L232="F-120",6,IF(L232="F-150",7,0)))))),0),0)+IF(AND(O232="FIRE TEX 5090",E232="CJ",J232=4),VLOOKUP(_xlfn.MINIFS('FIRE TEX 5090'!$Y$5:$Y$39,'FIRE TEX 5090'!$Y$5:$Y$39,"&gt;="&amp;M232),'FIRE TEX 5090'!$Y$5:$AD$39,IF(L232="F-15",2,IF(L232="F-30",3,IF(L232="F-60",4,IF(L232="F-90",5,IF(L232="F-120",6,IF(L232="F-150",7,0)))))),0),0)+IF(AND(O232="FIRE TEX 5120",OR(E232="IN",E232="C",E232="Z",E232="L"),J232=3),VLOOKUP(_xlfn.MINIFS('FIRE TEX 5120'!$B$5:$B$40,'FIRE TEX 5120'!$B$5:$B$40,"&gt;="&amp;M232),'FIRE TEX 5120'!$B$5:$G$40,IF(L232="F-15",2,IF(L232="F-30",3,IF(L232="F-60",4,IF(L232="F-90",5,IF(L232="F-120",6,0))))),0),0)+IF(AND(O232="FIRE TEX 5120",OR(E232="IN",E232="C",E232="Z",E232="L"),J232=4),VLOOKUP(_xlfn.MINIFS('FIRE TEX 5120'!$H$4:$H$40,'FIRE TEX 5120'!$H$4:$H$40,"&gt;="&amp;M232),'FIRE TEX 5120'!$H$4:$M$40,IF(L232="F-15",2,IF(L232="F-30",3,IF(L232="F-60",4,IF(L232="F-90",5,IF(L232="F-120",6,0))))),0),0)+IF(AND(O232="FIRE TEX 5120",E232="CJ"),VLOOKUP(_xlfn.MINIFS('FIRE TEX 5120'!$O$5:$O$40,'FIRE TEX 5120'!$O$5:$O$40,"&gt;="&amp;M232),'FIRE TEX 5120'!$O$5:$T$40,IF(L232="F-15",2,IF(L232="F-30",3,IF(L232="F-60",4,IF(L232="F-90",5,IF(L232="F-120",6,0))))),0),0)</f>
        <v>0</v>
      </c>
      <c r="Q232" s="46">
        <f t="shared" si="26"/>
        <v>0</v>
      </c>
      <c r="R232" s="46">
        <f t="shared" si="28"/>
        <v>0</v>
      </c>
      <c r="S232" s="46" t="e">
        <f t="shared" si="27"/>
        <v>#VALUE!</v>
      </c>
      <c r="T232" s="677">
        <f t="shared" si="29"/>
        <v>0</v>
      </c>
      <c r="U232" s="80">
        <f>(IF(O232="Stofire",(S232*#REF!),0))+(IF(O232="Fire Control",(S232*$U$2),0))+(IF(O232="Fire Tex",(S232*$U$3),0))+(IF(O232="WB7",(S232*#REF!),0)+(IF(O232="FX 2003",(S232*$U$5),0)))</f>
        <v>0</v>
      </c>
      <c r="V232" s="651">
        <f t="shared" ref="V232:V244" si="32">_xlfn.CEILING.MATH(M232,10)</f>
        <v>0</v>
      </c>
      <c r="W232" s="4"/>
    </row>
    <row r="233" spans="1:23" x14ac:dyDescent="0.25">
      <c r="A233" s="652" t="s">
        <v>448</v>
      </c>
      <c r="B233" s="653" t="s">
        <v>451</v>
      </c>
      <c r="C233" s="1" t="s">
        <v>446</v>
      </c>
      <c r="D233" s="118">
        <f>+CUBICACION!D232</f>
        <v>0</v>
      </c>
      <c r="E233" s="118">
        <f>+CUBICACION!F232</f>
        <v>0</v>
      </c>
      <c r="F233" s="118">
        <f>+CUBICACION!E232</f>
        <v>0</v>
      </c>
      <c r="G233" s="118">
        <v>12</v>
      </c>
      <c r="H233" s="118">
        <v>2</v>
      </c>
      <c r="I233" s="820">
        <v>26385</v>
      </c>
      <c r="J233" s="118">
        <f>+CUBICACION!J232</f>
        <v>0</v>
      </c>
      <c r="K233" s="118">
        <v>3012</v>
      </c>
      <c r="L233" s="118">
        <f>+CUBICACION!L232</f>
        <v>0</v>
      </c>
      <c r="M233" s="64">
        <f>+CUBICACION!M232</f>
        <v>0</v>
      </c>
      <c r="N233" s="824" t="str">
        <f>+CUBICACION!N232</f>
        <v/>
      </c>
      <c r="O233" s="675">
        <f>+CUBICACION!O232</f>
        <v>0</v>
      </c>
      <c r="P233" s="15">
        <f>IF(O233="Fire Control",VLOOKUP(_xlfn.MINIFS('FIRE CONTROL'!$C$4:$C$37,'FIRE CONTROL'!$C$4:$C$37,"&gt;="&amp;M233),'FIRE CONTROL'!$C$4:$G$37,IF(L233="F-15",2,IF(L233="F-30",3,IF(L233="F-60",4,IF(L233="F-90",5,0)))),0),0)+IF(AND(O233="FIRE TEX 5062",OR(E233="IN",E233="C",E233="Z",E233="L"),J233=3),VLOOKUP(_xlfn.MINIFS('FIRE TEX 5062'!$B$4:$B$34,'FIRE TEX 5062'!$B$4:$B$34,"&gt;="&amp;M233),'FIRE TEX 5062'!$B$4:$F$34,IF(L233="F-15",2,IF(L233="F-30",3,IF(L233="F-60",4,IF(L233="F-90",5,0)))),0),0)+IF(AND(O233="FIRE TEX 5062",OR(E233="IN",E233="C",E233="Z",E233="L"),J233=4),VLOOKUP(_xlfn.MINIFS('FIRE TEX 5062'!$G$4:$G$34,'FIRE TEX 5062'!$G$4:$G$34,"&gt;="&amp;M233),'FIRE TEX 5062'!$G$4:$K$34,IF(L233="F-15",2,IF(L233="F-30",3,IF(L233="F-60",4,IF(L233="F-90",5,0)))),0),0)+IF(AND(O233="FIRE TEX 5062",E233="CJ",J233=3),VLOOKUP(_xlfn.MINIFS('FIRE TEX 5062'!$L$4:$L$34,'FIRE TEX 5062'!$L$4:$L$34,"&gt;="&amp;M233),'FIRE TEX 5062'!$L$4:$P$34,IF(L233="F-15",2,IF(L233="F-30",3,IF(L233="F-60",4,IF(L233="F-90",5,0)))),0),0)+IF(AND(O233="FIRE TEX 5062",E233="CJ",J233=4),VLOOKUP(_xlfn.MINIFS('FIRE TEX 5062'!$Q$3:$Q$34,'FIRE TEX 5062'!$Q$3:$Q$34,"&gt;="&amp;M233),'FIRE TEX 5062'!$Q$3:$U$34,IF(L233="F-15",2,IF(L233="F-30",3,IF(L233="F-60",4,IF(L233="F-90",5,0)))),0),0)+IF(AND(O233="FIRE TEX 5090",OR(E233="IN",E233="C",E233="Z",E233="L"),J233=3),VLOOKUP(_xlfn.MINIFS('FIRE TEX 5090'!$B$5:$B$43,'FIRE TEX 5090'!$B$5:$B$43,"&gt;="&amp;M233),'FIRE TEX 5090'!$B$5:$H$43,IF(L233="F-15",2,IF(L233="F-30",3,IF(L233="F-60",4,IF(L233="F-90",5,IF(L233="F-120",6,IF(L233="F-150",7,0)))))),0),0)+IF(AND(O233="FIRE TEX 5090",OR(E233="IN",E233="C",E233="Z",E233="L"),J233=4),VLOOKUP(_xlfn.MINIFS('FIRE TEX 5090'!$J$5:$J$43,'FIRE TEX 5090'!$J$5:$J$43,"&gt;="&amp;M233),'FIRE TEX 5090'!$J$5:$P$43,IF(L233="F-15",2,IF(L233="F-30",3,IF(L233="F-60",4,IF(L233="F-90",5,IF(L233="F-120",6,IF(L233="F-150",7,0)))))),0),0)+IF(AND(O233="FIRE TEX 5090",E233="CJ",J233=3),VLOOKUP(_xlfn.MINIFS('FIRE TEX 5090'!$R$5:$R$30,'FIRE TEX 5090'!$R$5:$R$30,"&gt;="&amp;M233),'FIRE TEX 5090'!$R$5:$W$30,IF(L233="F-15",2,IF(L233="F-30",3,IF(L233="F-60",4,IF(L233="F-90",5,IF(L233="F-120",6,IF(L233="F-150",7,0)))))),0),0)+IF(AND(O233="FIRE TEX 5090",E233="CJ",J233=4),VLOOKUP(_xlfn.MINIFS('FIRE TEX 5090'!$Y$5:$Y$39,'FIRE TEX 5090'!$Y$5:$Y$39,"&gt;="&amp;M233),'FIRE TEX 5090'!$Y$5:$AD$39,IF(L233="F-15",2,IF(L233="F-30",3,IF(L233="F-60",4,IF(L233="F-90",5,IF(L233="F-120",6,IF(L233="F-150",7,0)))))),0),0)+IF(AND(O233="FIRE TEX 5120",OR(E233="IN",E233="C",E233="Z",E233="L"),J233=3),VLOOKUP(_xlfn.MINIFS('FIRE TEX 5120'!$B$5:$B$40,'FIRE TEX 5120'!$B$5:$B$40,"&gt;="&amp;M233),'FIRE TEX 5120'!$B$5:$G$40,IF(L233="F-15",2,IF(L233="F-30",3,IF(L233="F-60",4,IF(L233="F-90",5,IF(L233="F-120",6,0))))),0),0)+IF(AND(O233="FIRE TEX 5120",OR(E233="IN",E233="C",E233="Z",E233="L"),J233=4),VLOOKUP(_xlfn.MINIFS('FIRE TEX 5120'!$H$4:$H$40,'FIRE TEX 5120'!$H$4:$H$40,"&gt;="&amp;M233),'FIRE TEX 5120'!$H$4:$M$40,IF(L233="F-15",2,IF(L233="F-30",3,IF(L233="F-60",4,IF(L233="F-90",5,IF(L233="F-120",6,0))))),0),0)+IF(AND(O233="FIRE TEX 5120",E233="CJ"),VLOOKUP(_xlfn.MINIFS('FIRE TEX 5120'!$O$5:$O$40,'FIRE TEX 5120'!$O$5:$O$40,"&gt;="&amp;M233),'FIRE TEX 5120'!$O$5:$T$40,IF(L233="F-15",2,IF(L233="F-30",3,IF(L233="F-60",4,IF(L233="F-90",5,IF(L233="F-120",6,0))))),0),0)</f>
        <v>0</v>
      </c>
      <c r="Q233" s="46">
        <f t="shared" si="26"/>
        <v>0</v>
      </c>
      <c r="R233" s="46">
        <f t="shared" si="28"/>
        <v>0</v>
      </c>
      <c r="S233" s="46" t="e">
        <f t="shared" si="27"/>
        <v>#VALUE!</v>
      </c>
      <c r="T233" s="677">
        <f t="shared" si="29"/>
        <v>0</v>
      </c>
      <c r="U233" s="80">
        <f>(IF(O233="Stofire",(S233*#REF!),0))+(IF(O233="Fire Control",(S233*$U$2),0))+(IF(O233="Fire Tex",(S233*$U$3),0))+(IF(O233="WB7",(S233*#REF!),0)+(IF(O233="FX 2003",(S233*$U$5),0)))</f>
        <v>0</v>
      </c>
      <c r="V233" s="651">
        <f t="shared" si="32"/>
        <v>0</v>
      </c>
      <c r="W233" s="4"/>
    </row>
    <row r="234" spans="1:23" x14ac:dyDescent="0.25">
      <c r="A234" s="652" t="s">
        <v>452</v>
      </c>
      <c r="B234" s="653" t="s">
        <v>453</v>
      </c>
      <c r="C234" s="1" t="s">
        <v>454</v>
      </c>
      <c r="D234" s="118">
        <f>+CUBICACION!D233</f>
        <v>0</v>
      </c>
      <c r="E234" s="118">
        <f>+CUBICACION!F233</f>
        <v>0</v>
      </c>
      <c r="F234" s="118">
        <f>+CUBICACION!E233</f>
        <v>0</v>
      </c>
      <c r="G234" s="118">
        <v>12</v>
      </c>
      <c r="H234" s="118">
        <v>2</v>
      </c>
      <c r="I234" s="820">
        <v>26385</v>
      </c>
      <c r="J234" s="118">
        <f>+CUBICACION!J233</f>
        <v>0</v>
      </c>
      <c r="K234" s="118">
        <v>3013</v>
      </c>
      <c r="L234" s="118">
        <f>+CUBICACION!L233</f>
        <v>0</v>
      </c>
      <c r="M234" s="64">
        <f>+CUBICACION!M233</f>
        <v>0</v>
      </c>
      <c r="N234" s="824" t="str">
        <f>+CUBICACION!N233</f>
        <v/>
      </c>
      <c r="O234" s="675">
        <f>+CUBICACION!O233</f>
        <v>0</v>
      </c>
      <c r="P234" s="15">
        <f>IF(O234="Fire Control",VLOOKUP(_xlfn.MINIFS('FIRE CONTROL'!$C$4:$C$37,'FIRE CONTROL'!$C$4:$C$37,"&gt;="&amp;M234),'FIRE CONTROL'!$C$4:$G$37,IF(L234="F-15",2,IF(L234="F-30",3,IF(L234="F-60",4,IF(L234="F-90",5,0)))),0),0)+IF(AND(O234="FIRE TEX 5062",OR(E234="IN",E234="C",E234="Z",E234="L"),J234=3),VLOOKUP(_xlfn.MINIFS('FIRE TEX 5062'!$B$4:$B$34,'FIRE TEX 5062'!$B$4:$B$34,"&gt;="&amp;M234),'FIRE TEX 5062'!$B$4:$F$34,IF(L234="F-15",2,IF(L234="F-30",3,IF(L234="F-60",4,IF(L234="F-90",5,0)))),0),0)+IF(AND(O234="FIRE TEX 5062",OR(E234="IN",E234="C",E234="Z",E234="L"),J234=4),VLOOKUP(_xlfn.MINIFS('FIRE TEX 5062'!$G$4:$G$34,'FIRE TEX 5062'!$G$4:$G$34,"&gt;="&amp;M234),'FIRE TEX 5062'!$G$4:$K$34,IF(L234="F-15",2,IF(L234="F-30",3,IF(L234="F-60",4,IF(L234="F-90",5,0)))),0),0)+IF(AND(O234="FIRE TEX 5062",E234="CJ",J234=3),VLOOKUP(_xlfn.MINIFS('FIRE TEX 5062'!$L$4:$L$34,'FIRE TEX 5062'!$L$4:$L$34,"&gt;="&amp;M234),'FIRE TEX 5062'!$L$4:$P$34,IF(L234="F-15",2,IF(L234="F-30",3,IF(L234="F-60",4,IF(L234="F-90",5,0)))),0),0)+IF(AND(O234="FIRE TEX 5062",E234="CJ",J234=4),VLOOKUP(_xlfn.MINIFS('FIRE TEX 5062'!$Q$3:$Q$34,'FIRE TEX 5062'!$Q$3:$Q$34,"&gt;="&amp;M234),'FIRE TEX 5062'!$Q$3:$U$34,IF(L234="F-15",2,IF(L234="F-30",3,IF(L234="F-60",4,IF(L234="F-90",5,0)))),0),0)+IF(AND(O234="FIRE TEX 5090",OR(E234="IN",E234="C",E234="Z",E234="L"),J234=3),VLOOKUP(_xlfn.MINIFS('FIRE TEX 5090'!$B$5:$B$43,'FIRE TEX 5090'!$B$5:$B$43,"&gt;="&amp;M234),'FIRE TEX 5090'!$B$5:$H$43,IF(L234="F-15",2,IF(L234="F-30",3,IF(L234="F-60",4,IF(L234="F-90",5,IF(L234="F-120",6,IF(L234="F-150",7,0)))))),0),0)+IF(AND(O234="FIRE TEX 5090",OR(E234="IN",E234="C",E234="Z",E234="L"),J234=4),VLOOKUP(_xlfn.MINIFS('FIRE TEX 5090'!$J$5:$J$43,'FIRE TEX 5090'!$J$5:$J$43,"&gt;="&amp;M234),'FIRE TEX 5090'!$J$5:$P$43,IF(L234="F-15",2,IF(L234="F-30",3,IF(L234="F-60",4,IF(L234="F-90",5,IF(L234="F-120",6,IF(L234="F-150",7,0)))))),0),0)+IF(AND(O234="FIRE TEX 5090",E234="CJ",J234=3),VLOOKUP(_xlfn.MINIFS('FIRE TEX 5090'!$R$5:$R$30,'FIRE TEX 5090'!$R$5:$R$30,"&gt;="&amp;M234),'FIRE TEX 5090'!$R$5:$W$30,IF(L234="F-15",2,IF(L234="F-30",3,IF(L234="F-60",4,IF(L234="F-90",5,IF(L234="F-120",6,IF(L234="F-150",7,0)))))),0),0)+IF(AND(O234="FIRE TEX 5090",E234="CJ",J234=4),VLOOKUP(_xlfn.MINIFS('FIRE TEX 5090'!$Y$5:$Y$39,'FIRE TEX 5090'!$Y$5:$Y$39,"&gt;="&amp;M234),'FIRE TEX 5090'!$Y$5:$AD$39,IF(L234="F-15",2,IF(L234="F-30",3,IF(L234="F-60",4,IF(L234="F-90",5,IF(L234="F-120",6,IF(L234="F-150",7,0)))))),0),0)+IF(AND(O234="FIRE TEX 5120",OR(E234="IN",E234="C",E234="Z",E234="L"),J234=3),VLOOKUP(_xlfn.MINIFS('FIRE TEX 5120'!$B$5:$B$40,'FIRE TEX 5120'!$B$5:$B$40,"&gt;="&amp;M234),'FIRE TEX 5120'!$B$5:$G$40,IF(L234="F-15",2,IF(L234="F-30",3,IF(L234="F-60",4,IF(L234="F-90",5,IF(L234="F-120",6,0))))),0),0)+IF(AND(O234="FIRE TEX 5120",OR(E234="IN",E234="C",E234="Z",E234="L"),J234=4),VLOOKUP(_xlfn.MINIFS('FIRE TEX 5120'!$H$4:$H$40,'FIRE TEX 5120'!$H$4:$H$40,"&gt;="&amp;M234),'FIRE TEX 5120'!$H$4:$M$40,IF(L234="F-15",2,IF(L234="F-30",3,IF(L234="F-60",4,IF(L234="F-90",5,IF(L234="F-120",6,0))))),0),0)+IF(AND(O234="FIRE TEX 5120",E234="CJ"),VLOOKUP(_xlfn.MINIFS('FIRE TEX 5120'!$O$5:$O$40,'FIRE TEX 5120'!$O$5:$O$40,"&gt;="&amp;M234),'FIRE TEX 5120'!$O$5:$T$40,IF(L234="F-15",2,IF(L234="F-30",3,IF(L234="F-60",4,IF(L234="F-90",5,IF(L234="F-120",6,0))))),0),0)</f>
        <v>0</v>
      </c>
      <c r="Q234" s="46">
        <f t="shared" si="26"/>
        <v>0</v>
      </c>
      <c r="R234" s="46">
        <f t="shared" si="28"/>
        <v>0</v>
      </c>
      <c r="S234" s="46" t="e">
        <f t="shared" si="27"/>
        <v>#VALUE!</v>
      </c>
      <c r="T234" s="677">
        <f t="shared" si="29"/>
        <v>0</v>
      </c>
      <c r="U234" s="80">
        <f>(IF(O234="Stofire",(S234*#REF!),0))+(IF(O234="Fire Control",(S234*$U$2),0))+(IF(O234="Fire Tex",(S234*$U$3),0))+(IF(O234="WB7",(S234*#REF!),0)+(IF(O234="FX 2003",(S234*$U$5),0)))</f>
        <v>0</v>
      </c>
      <c r="V234" s="651">
        <f t="shared" si="32"/>
        <v>0</v>
      </c>
      <c r="W234" s="4"/>
    </row>
    <row r="235" spans="1:23" x14ac:dyDescent="0.25">
      <c r="A235" s="652" t="s">
        <v>452</v>
      </c>
      <c r="B235" s="653" t="s">
        <v>453</v>
      </c>
      <c r="C235" s="1" t="s">
        <v>408</v>
      </c>
      <c r="D235" s="118">
        <f>+CUBICACION!D234</f>
        <v>0</v>
      </c>
      <c r="E235" s="118">
        <f>+CUBICACION!F234</f>
        <v>0</v>
      </c>
      <c r="F235" s="118">
        <f>+CUBICACION!E234</f>
        <v>0</v>
      </c>
      <c r="G235" s="118">
        <v>12</v>
      </c>
      <c r="H235" s="118">
        <v>2</v>
      </c>
      <c r="I235" s="820">
        <v>26385</v>
      </c>
      <c r="J235" s="118">
        <f>+CUBICACION!J234</f>
        <v>0</v>
      </c>
      <c r="K235" s="118">
        <v>3014</v>
      </c>
      <c r="L235" s="118">
        <f>+CUBICACION!L234</f>
        <v>0</v>
      </c>
      <c r="M235" s="64">
        <f>+CUBICACION!M234</f>
        <v>0</v>
      </c>
      <c r="N235" s="824" t="str">
        <f>+CUBICACION!N234</f>
        <v/>
      </c>
      <c r="O235" s="675">
        <f>+CUBICACION!O234</f>
        <v>0</v>
      </c>
      <c r="P235" s="15">
        <f>IF(O235="Fire Control",VLOOKUP(_xlfn.MINIFS('FIRE CONTROL'!$C$4:$C$37,'FIRE CONTROL'!$C$4:$C$37,"&gt;="&amp;M235),'FIRE CONTROL'!$C$4:$G$37,IF(L235="F-15",2,IF(L235="F-30",3,IF(L235="F-60",4,IF(L235="F-90",5,0)))),0),0)+IF(AND(O235="FIRE TEX 5062",OR(E235="IN",E235="C",E235="Z",E235="L"),J235=3),VLOOKUP(_xlfn.MINIFS('FIRE TEX 5062'!$B$4:$B$34,'FIRE TEX 5062'!$B$4:$B$34,"&gt;="&amp;M235),'FIRE TEX 5062'!$B$4:$F$34,IF(L235="F-15",2,IF(L235="F-30",3,IF(L235="F-60",4,IF(L235="F-90",5,0)))),0),0)+IF(AND(O235="FIRE TEX 5062",OR(E235="IN",E235="C",E235="Z",E235="L"),J235=4),VLOOKUP(_xlfn.MINIFS('FIRE TEX 5062'!$G$4:$G$34,'FIRE TEX 5062'!$G$4:$G$34,"&gt;="&amp;M235),'FIRE TEX 5062'!$G$4:$K$34,IF(L235="F-15",2,IF(L235="F-30",3,IF(L235="F-60",4,IF(L235="F-90",5,0)))),0),0)+IF(AND(O235="FIRE TEX 5062",E235="CJ",J235=3),VLOOKUP(_xlfn.MINIFS('FIRE TEX 5062'!$L$4:$L$34,'FIRE TEX 5062'!$L$4:$L$34,"&gt;="&amp;M235),'FIRE TEX 5062'!$L$4:$P$34,IF(L235="F-15",2,IF(L235="F-30",3,IF(L235="F-60",4,IF(L235="F-90",5,0)))),0),0)+IF(AND(O235="FIRE TEX 5062",E235="CJ",J235=4),VLOOKUP(_xlfn.MINIFS('FIRE TEX 5062'!$Q$3:$Q$34,'FIRE TEX 5062'!$Q$3:$Q$34,"&gt;="&amp;M235),'FIRE TEX 5062'!$Q$3:$U$34,IF(L235="F-15",2,IF(L235="F-30",3,IF(L235="F-60",4,IF(L235="F-90",5,0)))),0),0)+IF(AND(O235="FIRE TEX 5090",OR(E235="IN",E235="C",E235="Z",E235="L"),J235=3),VLOOKUP(_xlfn.MINIFS('FIRE TEX 5090'!$B$5:$B$43,'FIRE TEX 5090'!$B$5:$B$43,"&gt;="&amp;M235),'FIRE TEX 5090'!$B$5:$H$43,IF(L235="F-15",2,IF(L235="F-30",3,IF(L235="F-60",4,IF(L235="F-90",5,IF(L235="F-120",6,IF(L235="F-150",7,0)))))),0),0)+IF(AND(O235="FIRE TEX 5090",OR(E235="IN",E235="C",E235="Z",E235="L"),J235=4),VLOOKUP(_xlfn.MINIFS('FIRE TEX 5090'!$J$5:$J$43,'FIRE TEX 5090'!$J$5:$J$43,"&gt;="&amp;M235),'FIRE TEX 5090'!$J$5:$P$43,IF(L235="F-15",2,IF(L235="F-30",3,IF(L235="F-60",4,IF(L235="F-90",5,IF(L235="F-120",6,IF(L235="F-150",7,0)))))),0),0)+IF(AND(O235="FIRE TEX 5090",E235="CJ",J235=3),VLOOKUP(_xlfn.MINIFS('FIRE TEX 5090'!$R$5:$R$30,'FIRE TEX 5090'!$R$5:$R$30,"&gt;="&amp;M235),'FIRE TEX 5090'!$R$5:$W$30,IF(L235="F-15",2,IF(L235="F-30",3,IF(L235="F-60",4,IF(L235="F-90",5,IF(L235="F-120",6,IF(L235="F-150",7,0)))))),0),0)+IF(AND(O235="FIRE TEX 5090",E235="CJ",J235=4),VLOOKUP(_xlfn.MINIFS('FIRE TEX 5090'!$Y$5:$Y$39,'FIRE TEX 5090'!$Y$5:$Y$39,"&gt;="&amp;M235),'FIRE TEX 5090'!$Y$5:$AD$39,IF(L235="F-15",2,IF(L235="F-30",3,IF(L235="F-60",4,IF(L235="F-90",5,IF(L235="F-120",6,IF(L235="F-150",7,0)))))),0),0)+IF(AND(O235="FIRE TEX 5120",OR(E235="IN",E235="C",E235="Z",E235="L"),J235=3),VLOOKUP(_xlfn.MINIFS('FIRE TEX 5120'!$B$5:$B$40,'FIRE TEX 5120'!$B$5:$B$40,"&gt;="&amp;M235),'FIRE TEX 5120'!$B$5:$G$40,IF(L235="F-15",2,IF(L235="F-30",3,IF(L235="F-60",4,IF(L235="F-90",5,IF(L235="F-120",6,0))))),0),0)+IF(AND(O235="FIRE TEX 5120",OR(E235="IN",E235="C",E235="Z",E235="L"),J235=4),VLOOKUP(_xlfn.MINIFS('FIRE TEX 5120'!$H$4:$H$40,'FIRE TEX 5120'!$H$4:$H$40,"&gt;="&amp;M235),'FIRE TEX 5120'!$H$4:$M$40,IF(L235="F-15",2,IF(L235="F-30",3,IF(L235="F-60",4,IF(L235="F-90",5,IF(L235="F-120",6,0))))),0),0)+IF(AND(O235="FIRE TEX 5120",E235="CJ"),VLOOKUP(_xlfn.MINIFS('FIRE TEX 5120'!$O$5:$O$40,'FIRE TEX 5120'!$O$5:$O$40,"&gt;="&amp;M235),'FIRE TEX 5120'!$O$5:$T$40,IF(L235="F-15",2,IF(L235="F-30",3,IF(L235="F-60",4,IF(L235="F-90",5,IF(L235="F-120",6,0))))),0),0)</f>
        <v>0</v>
      </c>
      <c r="Q235" s="46">
        <f t="shared" si="26"/>
        <v>0</v>
      </c>
      <c r="R235" s="46">
        <f t="shared" si="28"/>
        <v>0</v>
      </c>
      <c r="S235" s="46" t="e">
        <f t="shared" si="27"/>
        <v>#VALUE!</v>
      </c>
      <c r="T235" s="677">
        <f t="shared" si="29"/>
        <v>0</v>
      </c>
      <c r="U235" s="80">
        <f>(IF(O235="Stofire",(S235*#REF!),0))+(IF(O235="Fire Control",(S235*$U$2),0))+(IF(O235="Fire Tex",(S235*$U$3),0))+(IF(O235="WB7",(S235*#REF!),0)+(IF(O235="FX 2003",(S235*$U$5),0)))</f>
        <v>0</v>
      </c>
      <c r="V235" s="651">
        <f t="shared" si="32"/>
        <v>0</v>
      </c>
      <c r="W235" s="4"/>
    </row>
    <row r="236" spans="1:23" x14ac:dyDescent="0.25">
      <c r="A236" s="652" t="s">
        <v>452</v>
      </c>
      <c r="B236" s="653" t="s">
        <v>453</v>
      </c>
      <c r="C236" s="1" t="s">
        <v>408</v>
      </c>
      <c r="D236" s="118">
        <f>+CUBICACION!D235</f>
        <v>0</v>
      </c>
      <c r="E236" s="118">
        <f>+CUBICACION!F235</f>
        <v>0</v>
      </c>
      <c r="F236" s="118">
        <f>+CUBICACION!E235</f>
        <v>0</v>
      </c>
      <c r="G236" s="118">
        <v>12</v>
      </c>
      <c r="H236" s="118">
        <v>2</v>
      </c>
      <c r="I236" s="820">
        <v>26385</v>
      </c>
      <c r="J236" s="118">
        <f>+CUBICACION!J235</f>
        <v>0</v>
      </c>
      <c r="K236" s="118">
        <v>3015</v>
      </c>
      <c r="L236" s="118">
        <f>+CUBICACION!L235</f>
        <v>0</v>
      </c>
      <c r="M236" s="64">
        <f>+CUBICACION!M235</f>
        <v>0</v>
      </c>
      <c r="N236" s="824" t="str">
        <f>+CUBICACION!N235</f>
        <v/>
      </c>
      <c r="O236" s="675">
        <f>+CUBICACION!O235</f>
        <v>0</v>
      </c>
      <c r="P236" s="15">
        <f>IF(O236="Fire Control",VLOOKUP(_xlfn.MINIFS('FIRE CONTROL'!$C$4:$C$37,'FIRE CONTROL'!$C$4:$C$37,"&gt;="&amp;M236),'FIRE CONTROL'!$C$4:$G$37,IF(L236="F-15",2,IF(L236="F-30",3,IF(L236="F-60",4,IF(L236="F-90",5,0)))),0),0)+IF(AND(O236="FIRE TEX 5062",OR(E236="IN",E236="C",E236="Z",E236="L"),J236=3),VLOOKUP(_xlfn.MINIFS('FIRE TEX 5062'!$B$4:$B$34,'FIRE TEX 5062'!$B$4:$B$34,"&gt;="&amp;M236),'FIRE TEX 5062'!$B$4:$F$34,IF(L236="F-15",2,IF(L236="F-30",3,IF(L236="F-60",4,IF(L236="F-90",5,0)))),0),0)+IF(AND(O236="FIRE TEX 5062",OR(E236="IN",E236="C",E236="Z",E236="L"),J236=4),VLOOKUP(_xlfn.MINIFS('FIRE TEX 5062'!$G$4:$G$34,'FIRE TEX 5062'!$G$4:$G$34,"&gt;="&amp;M236),'FIRE TEX 5062'!$G$4:$K$34,IF(L236="F-15",2,IF(L236="F-30",3,IF(L236="F-60",4,IF(L236="F-90",5,0)))),0),0)+IF(AND(O236="FIRE TEX 5062",E236="CJ",J236=3),VLOOKUP(_xlfn.MINIFS('FIRE TEX 5062'!$L$4:$L$34,'FIRE TEX 5062'!$L$4:$L$34,"&gt;="&amp;M236),'FIRE TEX 5062'!$L$4:$P$34,IF(L236="F-15",2,IF(L236="F-30",3,IF(L236="F-60",4,IF(L236="F-90",5,0)))),0),0)+IF(AND(O236="FIRE TEX 5062",E236="CJ",J236=4),VLOOKUP(_xlfn.MINIFS('FIRE TEX 5062'!$Q$3:$Q$34,'FIRE TEX 5062'!$Q$3:$Q$34,"&gt;="&amp;M236),'FIRE TEX 5062'!$Q$3:$U$34,IF(L236="F-15",2,IF(L236="F-30",3,IF(L236="F-60",4,IF(L236="F-90",5,0)))),0),0)+IF(AND(O236="FIRE TEX 5090",OR(E236="IN",E236="C",E236="Z",E236="L"),J236=3),VLOOKUP(_xlfn.MINIFS('FIRE TEX 5090'!$B$5:$B$43,'FIRE TEX 5090'!$B$5:$B$43,"&gt;="&amp;M236),'FIRE TEX 5090'!$B$5:$H$43,IF(L236="F-15",2,IF(L236="F-30",3,IF(L236="F-60",4,IF(L236="F-90",5,IF(L236="F-120",6,IF(L236="F-150",7,0)))))),0),0)+IF(AND(O236="FIRE TEX 5090",OR(E236="IN",E236="C",E236="Z",E236="L"),J236=4),VLOOKUP(_xlfn.MINIFS('FIRE TEX 5090'!$J$5:$J$43,'FIRE TEX 5090'!$J$5:$J$43,"&gt;="&amp;M236),'FIRE TEX 5090'!$J$5:$P$43,IF(L236="F-15",2,IF(L236="F-30",3,IF(L236="F-60",4,IF(L236="F-90",5,IF(L236="F-120",6,IF(L236="F-150",7,0)))))),0),0)+IF(AND(O236="FIRE TEX 5090",E236="CJ",J236=3),VLOOKUP(_xlfn.MINIFS('FIRE TEX 5090'!$R$5:$R$30,'FIRE TEX 5090'!$R$5:$R$30,"&gt;="&amp;M236),'FIRE TEX 5090'!$R$5:$W$30,IF(L236="F-15",2,IF(L236="F-30",3,IF(L236="F-60",4,IF(L236="F-90",5,IF(L236="F-120",6,IF(L236="F-150",7,0)))))),0),0)+IF(AND(O236="FIRE TEX 5090",E236="CJ",J236=4),VLOOKUP(_xlfn.MINIFS('FIRE TEX 5090'!$Y$5:$Y$39,'FIRE TEX 5090'!$Y$5:$Y$39,"&gt;="&amp;M236),'FIRE TEX 5090'!$Y$5:$AD$39,IF(L236="F-15",2,IF(L236="F-30",3,IF(L236="F-60",4,IF(L236="F-90",5,IF(L236="F-120",6,IF(L236="F-150",7,0)))))),0),0)+IF(AND(O236="FIRE TEX 5120",OR(E236="IN",E236="C",E236="Z",E236="L"),J236=3),VLOOKUP(_xlfn.MINIFS('FIRE TEX 5120'!$B$5:$B$40,'FIRE TEX 5120'!$B$5:$B$40,"&gt;="&amp;M236),'FIRE TEX 5120'!$B$5:$G$40,IF(L236="F-15",2,IF(L236="F-30",3,IF(L236="F-60",4,IF(L236="F-90",5,IF(L236="F-120",6,0))))),0),0)+IF(AND(O236="FIRE TEX 5120",OR(E236="IN",E236="C",E236="Z",E236="L"),J236=4),VLOOKUP(_xlfn.MINIFS('FIRE TEX 5120'!$H$4:$H$40,'FIRE TEX 5120'!$H$4:$H$40,"&gt;="&amp;M236),'FIRE TEX 5120'!$H$4:$M$40,IF(L236="F-15",2,IF(L236="F-30",3,IF(L236="F-60",4,IF(L236="F-90",5,IF(L236="F-120",6,0))))),0),0)+IF(AND(O236="FIRE TEX 5120",E236="CJ"),VLOOKUP(_xlfn.MINIFS('FIRE TEX 5120'!$O$5:$O$40,'FIRE TEX 5120'!$O$5:$O$40,"&gt;="&amp;M236),'FIRE TEX 5120'!$O$5:$T$40,IF(L236="F-15",2,IF(L236="F-30",3,IF(L236="F-60",4,IF(L236="F-90",5,IF(L236="F-120",6,0))))),0),0)</f>
        <v>0</v>
      </c>
      <c r="Q236" s="46">
        <f t="shared" si="26"/>
        <v>0</v>
      </c>
      <c r="R236" s="46">
        <f t="shared" si="28"/>
        <v>0</v>
      </c>
      <c r="S236" s="46" t="e">
        <f t="shared" si="27"/>
        <v>#VALUE!</v>
      </c>
      <c r="T236" s="677">
        <f t="shared" si="29"/>
        <v>0</v>
      </c>
      <c r="U236" s="80">
        <f>(IF(O236="Stofire",(S236*#REF!),0))+(IF(O236="Fire Control",(S236*$U$2),0))+(IF(O236="Fire Tex",(S236*$U$3),0))+(IF(O236="WB7",(S236*#REF!),0)+(IF(O236="FX 2003",(S236*$U$5),0)))</f>
        <v>0</v>
      </c>
      <c r="V236" s="651">
        <f t="shared" si="32"/>
        <v>0</v>
      </c>
      <c r="W236" s="4"/>
    </row>
    <row r="237" spans="1:23" x14ac:dyDescent="0.25">
      <c r="A237" s="652" t="s">
        <v>456</v>
      </c>
      <c r="B237" s="653" t="s">
        <v>453</v>
      </c>
      <c r="C237" s="1" t="s">
        <v>457</v>
      </c>
      <c r="D237" s="118">
        <f>+CUBICACION!D236</f>
        <v>0</v>
      </c>
      <c r="E237" s="118">
        <f>+CUBICACION!F236</f>
        <v>0</v>
      </c>
      <c r="F237" s="118">
        <f>+CUBICACION!E236</f>
        <v>0</v>
      </c>
      <c r="G237" s="118">
        <v>12</v>
      </c>
      <c r="H237" s="118">
        <v>2</v>
      </c>
      <c r="I237" s="820">
        <v>26385</v>
      </c>
      <c r="J237" s="118">
        <f>+CUBICACION!J236</f>
        <v>0</v>
      </c>
      <c r="K237" s="118">
        <v>3016</v>
      </c>
      <c r="L237" s="118">
        <f>+CUBICACION!L236</f>
        <v>0</v>
      </c>
      <c r="M237" s="64">
        <f>+CUBICACION!M236</f>
        <v>0</v>
      </c>
      <c r="N237" s="824" t="str">
        <f>+CUBICACION!N236</f>
        <v/>
      </c>
      <c r="O237" s="675">
        <f>+CUBICACION!O236</f>
        <v>0</v>
      </c>
      <c r="P237" s="15">
        <f>IF(O237="Fire Control",VLOOKUP(_xlfn.MINIFS('FIRE CONTROL'!$C$4:$C$37,'FIRE CONTROL'!$C$4:$C$37,"&gt;="&amp;M237),'FIRE CONTROL'!$C$4:$G$37,IF(L237="F-15",2,IF(L237="F-30",3,IF(L237="F-60",4,IF(L237="F-90",5,0)))),0),0)+IF(AND(O237="FIRE TEX 5062",OR(E237="IN",E237="C",E237="Z",E237="L"),J237=3),VLOOKUP(_xlfn.MINIFS('FIRE TEX 5062'!$B$4:$B$34,'FIRE TEX 5062'!$B$4:$B$34,"&gt;="&amp;M237),'FIRE TEX 5062'!$B$4:$F$34,IF(L237="F-15",2,IF(L237="F-30",3,IF(L237="F-60",4,IF(L237="F-90",5,0)))),0),0)+IF(AND(O237="FIRE TEX 5062",OR(E237="IN",E237="C",E237="Z",E237="L"),J237=4),VLOOKUP(_xlfn.MINIFS('FIRE TEX 5062'!$G$4:$G$34,'FIRE TEX 5062'!$G$4:$G$34,"&gt;="&amp;M237),'FIRE TEX 5062'!$G$4:$K$34,IF(L237="F-15",2,IF(L237="F-30",3,IF(L237="F-60",4,IF(L237="F-90",5,0)))),0),0)+IF(AND(O237="FIRE TEX 5062",E237="CJ",J237=3),VLOOKUP(_xlfn.MINIFS('FIRE TEX 5062'!$L$4:$L$34,'FIRE TEX 5062'!$L$4:$L$34,"&gt;="&amp;M237),'FIRE TEX 5062'!$L$4:$P$34,IF(L237="F-15",2,IF(L237="F-30",3,IF(L237="F-60",4,IF(L237="F-90",5,0)))),0),0)+IF(AND(O237="FIRE TEX 5062",E237="CJ",J237=4),VLOOKUP(_xlfn.MINIFS('FIRE TEX 5062'!$Q$3:$Q$34,'FIRE TEX 5062'!$Q$3:$Q$34,"&gt;="&amp;M237),'FIRE TEX 5062'!$Q$3:$U$34,IF(L237="F-15",2,IF(L237="F-30",3,IF(L237="F-60",4,IF(L237="F-90",5,0)))),0),0)+IF(AND(O237="FIRE TEX 5090",OR(E237="IN",E237="C",E237="Z",E237="L"),J237=3),VLOOKUP(_xlfn.MINIFS('FIRE TEX 5090'!$B$5:$B$43,'FIRE TEX 5090'!$B$5:$B$43,"&gt;="&amp;M237),'FIRE TEX 5090'!$B$5:$H$43,IF(L237="F-15",2,IF(L237="F-30",3,IF(L237="F-60",4,IF(L237="F-90",5,IF(L237="F-120",6,IF(L237="F-150",7,0)))))),0),0)+IF(AND(O237="FIRE TEX 5090",OR(E237="IN",E237="C",E237="Z",E237="L"),J237=4),VLOOKUP(_xlfn.MINIFS('FIRE TEX 5090'!$J$5:$J$43,'FIRE TEX 5090'!$J$5:$J$43,"&gt;="&amp;M237),'FIRE TEX 5090'!$J$5:$P$43,IF(L237="F-15",2,IF(L237="F-30",3,IF(L237="F-60",4,IF(L237="F-90",5,IF(L237="F-120",6,IF(L237="F-150",7,0)))))),0),0)+IF(AND(O237="FIRE TEX 5090",E237="CJ",J237=3),VLOOKUP(_xlfn.MINIFS('FIRE TEX 5090'!$R$5:$R$30,'FIRE TEX 5090'!$R$5:$R$30,"&gt;="&amp;M237),'FIRE TEX 5090'!$R$5:$W$30,IF(L237="F-15",2,IF(L237="F-30",3,IF(L237="F-60",4,IF(L237="F-90",5,IF(L237="F-120",6,IF(L237="F-150",7,0)))))),0),0)+IF(AND(O237="FIRE TEX 5090",E237="CJ",J237=4),VLOOKUP(_xlfn.MINIFS('FIRE TEX 5090'!$Y$5:$Y$39,'FIRE TEX 5090'!$Y$5:$Y$39,"&gt;="&amp;M237),'FIRE TEX 5090'!$Y$5:$AD$39,IF(L237="F-15",2,IF(L237="F-30",3,IF(L237="F-60",4,IF(L237="F-90",5,IF(L237="F-120",6,IF(L237="F-150",7,0)))))),0),0)+IF(AND(O237="FIRE TEX 5120",OR(E237="IN",E237="C",E237="Z",E237="L"),J237=3),VLOOKUP(_xlfn.MINIFS('FIRE TEX 5120'!$B$5:$B$40,'FIRE TEX 5120'!$B$5:$B$40,"&gt;="&amp;M237),'FIRE TEX 5120'!$B$5:$G$40,IF(L237="F-15",2,IF(L237="F-30",3,IF(L237="F-60",4,IF(L237="F-90",5,IF(L237="F-120",6,0))))),0),0)+IF(AND(O237="FIRE TEX 5120",OR(E237="IN",E237="C",E237="Z",E237="L"),J237=4),VLOOKUP(_xlfn.MINIFS('FIRE TEX 5120'!$H$4:$H$40,'FIRE TEX 5120'!$H$4:$H$40,"&gt;="&amp;M237),'FIRE TEX 5120'!$H$4:$M$40,IF(L237="F-15",2,IF(L237="F-30",3,IF(L237="F-60",4,IF(L237="F-90",5,IF(L237="F-120",6,0))))),0),0)+IF(AND(O237="FIRE TEX 5120",E237="CJ"),VLOOKUP(_xlfn.MINIFS('FIRE TEX 5120'!$O$5:$O$40,'FIRE TEX 5120'!$O$5:$O$40,"&gt;="&amp;M237),'FIRE TEX 5120'!$O$5:$T$40,IF(L237="F-15",2,IF(L237="F-30",3,IF(L237="F-60",4,IF(L237="F-90",5,IF(L237="F-120",6,0))))),0),0)</f>
        <v>0</v>
      </c>
      <c r="Q237" s="46">
        <f t="shared" si="26"/>
        <v>0</v>
      </c>
      <c r="R237" s="46">
        <f t="shared" si="28"/>
        <v>0</v>
      </c>
      <c r="S237" s="46" t="e">
        <f t="shared" si="27"/>
        <v>#VALUE!</v>
      </c>
      <c r="T237" s="677">
        <f t="shared" si="29"/>
        <v>0</v>
      </c>
      <c r="U237" s="80">
        <f>(IF(O237="Stofire",(S237*#REF!),0))+(IF(O237="Fire Control",(S237*$U$2),0))+(IF(O237="Fire Tex",(S237*$U$3),0))+(IF(O237="WB7",(S237*#REF!),0)+(IF(O237="FX 2003",(S237*$U$5),0)))</f>
        <v>0</v>
      </c>
      <c r="V237" s="651">
        <f t="shared" si="32"/>
        <v>0</v>
      </c>
      <c r="W237" s="4"/>
    </row>
    <row r="238" spans="1:23" x14ac:dyDescent="0.25">
      <c r="A238" s="652" t="s">
        <v>456</v>
      </c>
      <c r="B238" s="653" t="s">
        <v>453</v>
      </c>
      <c r="C238" s="1" t="s">
        <v>408</v>
      </c>
      <c r="D238" s="118">
        <f>+CUBICACION!D237</f>
        <v>0</v>
      </c>
      <c r="E238" s="118">
        <f>+CUBICACION!F237</f>
        <v>0</v>
      </c>
      <c r="F238" s="118">
        <f>+CUBICACION!E237</f>
        <v>0</v>
      </c>
      <c r="G238" s="118">
        <v>12</v>
      </c>
      <c r="H238" s="118">
        <v>2</v>
      </c>
      <c r="I238" s="820">
        <v>26385</v>
      </c>
      <c r="J238" s="118">
        <f>+CUBICACION!J237</f>
        <v>0</v>
      </c>
      <c r="K238" s="118">
        <v>3017</v>
      </c>
      <c r="L238" s="118">
        <f>+CUBICACION!L237</f>
        <v>0</v>
      </c>
      <c r="M238" s="64">
        <f>+CUBICACION!M237</f>
        <v>0</v>
      </c>
      <c r="N238" s="824" t="str">
        <f>+CUBICACION!N237</f>
        <v/>
      </c>
      <c r="O238" s="675">
        <f>+CUBICACION!O237</f>
        <v>0</v>
      </c>
      <c r="P238" s="15">
        <f>IF(O238="Fire Control",VLOOKUP(_xlfn.MINIFS('FIRE CONTROL'!$C$4:$C$37,'FIRE CONTROL'!$C$4:$C$37,"&gt;="&amp;M238),'FIRE CONTROL'!$C$4:$G$37,IF(L238="F-15",2,IF(L238="F-30",3,IF(L238="F-60",4,IF(L238="F-90",5,0)))),0),0)+IF(AND(O238="FIRE TEX 5062",OR(E238="IN",E238="C",E238="Z",E238="L"),J238=3),VLOOKUP(_xlfn.MINIFS('FIRE TEX 5062'!$B$4:$B$34,'FIRE TEX 5062'!$B$4:$B$34,"&gt;="&amp;M238),'FIRE TEX 5062'!$B$4:$F$34,IF(L238="F-15",2,IF(L238="F-30",3,IF(L238="F-60",4,IF(L238="F-90",5,0)))),0),0)+IF(AND(O238="FIRE TEX 5062",OR(E238="IN",E238="C",E238="Z",E238="L"),J238=4),VLOOKUP(_xlfn.MINIFS('FIRE TEX 5062'!$G$4:$G$34,'FIRE TEX 5062'!$G$4:$G$34,"&gt;="&amp;M238),'FIRE TEX 5062'!$G$4:$K$34,IF(L238="F-15",2,IF(L238="F-30",3,IF(L238="F-60",4,IF(L238="F-90",5,0)))),0),0)+IF(AND(O238="FIRE TEX 5062",E238="CJ",J238=3),VLOOKUP(_xlfn.MINIFS('FIRE TEX 5062'!$L$4:$L$34,'FIRE TEX 5062'!$L$4:$L$34,"&gt;="&amp;M238),'FIRE TEX 5062'!$L$4:$P$34,IF(L238="F-15",2,IF(L238="F-30",3,IF(L238="F-60",4,IF(L238="F-90",5,0)))),0),0)+IF(AND(O238="FIRE TEX 5062",E238="CJ",J238=4),VLOOKUP(_xlfn.MINIFS('FIRE TEX 5062'!$Q$3:$Q$34,'FIRE TEX 5062'!$Q$3:$Q$34,"&gt;="&amp;M238),'FIRE TEX 5062'!$Q$3:$U$34,IF(L238="F-15",2,IF(L238="F-30",3,IF(L238="F-60",4,IF(L238="F-90",5,0)))),0),0)+IF(AND(O238="FIRE TEX 5090",OR(E238="IN",E238="C",E238="Z",E238="L"),J238=3),VLOOKUP(_xlfn.MINIFS('FIRE TEX 5090'!$B$5:$B$43,'FIRE TEX 5090'!$B$5:$B$43,"&gt;="&amp;M238),'FIRE TEX 5090'!$B$5:$H$43,IF(L238="F-15",2,IF(L238="F-30",3,IF(L238="F-60",4,IF(L238="F-90",5,IF(L238="F-120",6,IF(L238="F-150",7,0)))))),0),0)+IF(AND(O238="FIRE TEX 5090",OR(E238="IN",E238="C",E238="Z",E238="L"),J238=4),VLOOKUP(_xlfn.MINIFS('FIRE TEX 5090'!$J$5:$J$43,'FIRE TEX 5090'!$J$5:$J$43,"&gt;="&amp;M238),'FIRE TEX 5090'!$J$5:$P$43,IF(L238="F-15",2,IF(L238="F-30",3,IF(L238="F-60",4,IF(L238="F-90",5,IF(L238="F-120",6,IF(L238="F-150",7,0)))))),0),0)+IF(AND(O238="FIRE TEX 5090",E238="CJ",J238=3),VLOOKUP(_xlfn.MINIFS('FIRE TEX 5090'!$R$5:$R$30,'FIRE TEX 5090'!$R$5:$R$30,"&gt;="&amp;M238),'FIRE TEX 5090'!$R$5:$W$30,IF(L238="F-15",2,IF(L238="F-30",3,IF(L238="F-60",4,IF(L238="F-90",5,IF(L238="F-120",6,IF(L238="F-150",7,0)))))),0),0)+IF(AND(O238="FIRE TEX 5090",E238="CJ",J238=4),VLOOKUP(_xlfn.MINIFS('FIRE TEX 5090'!$Y$5:$Y$39,'FIRE TEX 5090'!$Y$5:$Y$39,"&gt;="&amp;M238),'FIRE TEX 5090'!$Y$5:$AD$39,IF(L238="F-15",2,IF(L238="F-30",3,IF(L238="F-60",4,IF(L238="F-90",5,IF(L238="F-120",6,IF(L238="F-150",7,0)))))),0),0)+IF(AND(O238="FIRE TEX 5120",OR(E238="IN",E238="C",E238="Z",E238="L"),J238=3),VLOOKUP(_xlfn.MINIFS('FIRE TEX 5120'!$B$5:$B$40,'FIRE TEX 5120'!$B$5:$B$40,"&gt;="&amp;M238),'FIRE TEX 5120'!$B$5:$G$40,IF(L238="F-15",2,IF(L238="F-30",3,IF(L238="F-60",4,IF(L238="F-90",5,IF(L238="F-120",6,0))))),0),0)+IF(AND(O238="FIRE TEX 5120",OR(E238="IN",E238="C",E238="Z",E238="L"),J238=4),VLOOKUP(_xlfn.MINIFS('FIRE TEX 5120'!$H$4:$H$40,'FIRE TEX 5120'!$H$4:$H$40,"&gt;="&amp;M238),'FIRE TEX 5120'!$H$4:$M$40,IF(L238="F-15",2,IF(L238="F-30",3,IF(L238="F-60",4,IF(L238="F-90",5,IF(L238="F-120",6,0))))),0),0)+IF(AND(O238="FIRE TEX 5120",E238="CJ"),VLOOKUP(_xlfn.MINIFS('FIRE TEX 5120'!$O$5:$O$40,'FIRE TEX 5120'!$O$5:$O$40,"&gt;="&amp;M238),'FIRE TEX 5120'!$O$5:$T$40,IF(L238="F-15",2,IF(L238="F-30",3,IF(L238="F-60",4,IF(L238="F-90",5,IF(L238="F-120",6,0))))),0),0)</f>
        <v>0</v>
      </c>
      <c r="Q238" s="46">
        <f t="shared" si="26"/>
        <v>0</v>
      </c>
      <c r="R238" s="46">
        <f t="shared" si="28"/>
        <v>0</v>
      </c>
      <c r="S238" s="46" t="e">
        <f t="shared" si="27"/>
        <v>#VALUE!</v>
      </c>
      <c r="T238" s="677">
        <f t="shared" si="29"/>
        <v>0</v>
      </c>
      <c r="U238" s="80">
        <f>(IF(O238="Stofire",(S238*#REF!),0))+(IF(O238="Fire Control",(S238*$U$2),0))+(IF(O238="Fire Tex",(S238*$U$3),0))+(IF(O238="WB7",(S238*#REF!),0)+(IF(O238="FX 2003",(S238*$U$5),0)))</f>
        <v>0</v>
      </c>
      <c r="V238" s="651">
        <f t="shared" si="32"/>
        <v>0</v>
      </c>
      <c r="W238" s="4"/>
    </row>
    <row r="239" spans="1:23" x14ac:dyDescent="0.25">
      <c r="A239" s="652" t="s">
        <v>456</v>
      </c>
      <c r="B239" s="653" t="s">
        <v>453</v>
      </c>
      <c r="C239" s="1" t="s">
        <v>408</v>
      </c>
      <c r="D239" s="118">
        <f>+CUBICACION!D238</f>
        <v>0</v>
      </c>
      <c r="E239" s="118">
        <f>+CUBICACION!F238</f>
        <v>0</v>
      </c>
      <c r="F239" s="118">
        <f>+CUBICACION!E238</f>
        <v>0</v>
      </c>
      <c r="G239" s="118">
        <v>12</v>
      </c>
      <c r="H239" s="118">
        <v>2</v>
      </c>
      <c r="I239" s="820">
        <v>26385</v>
      </c>
      <c r="J239" s="118">
        <f>+CUBICACION!J238</f>
        <v>0</v>
      </c>
      <c r="K239" s="118">
        <v>3018</v>
      </c>
      <c r="L239" s="118">
        <f>+CUBICACION!L238</f>
        <v>0</v>
      </c>
      <c r="M239" s="64">
        <f>+CUBICACION!M238</f>
        <v>0</v>
      </c>
      <c r="N239" s="824" t="str">
        <f>+CUBICACION!N238</f>
        <v/>
      </c>
      <c r="O239" s="675">
        <f>+CUBICACION!O238</f>
        <v>0</v>
      </c>
      <c r="P239" s="15">
        <f>IF(O239="Fire Control",VLOOKUP(_xlfn.MINIFS('FIRE CONTROL'!$C$4:$C$37,'FIRE CONTROL'!$C$4:$C$37,"&gt;="&amp;M239),'FIRE CONTROL'!$C$4:$G$37,IF(L239="F-15",2,IF(L239="F-30",3,IF(L239="F-60",4,IF(L239="F-90",5,0)))),0),0)+IF(AND(O239="FIRE TEX 5062",OR(E239="IN",E239="C",E239="Z",E239="L"),J239=3),VLOOKUP(_xlfn.MINIFS('FIRE TEX 5062'!$B$4:$B$34,'FIRE TEX 5062'!$B$4:$B$34,"&gt;="&amp;M239),'FIRE TEX 5062'!$B$4:$F$34,IF(L239="F-15",2,IF(L239="F-30",3,IF(L239="F-60",4,IF(L239="F-90",5,0)))),0),0)+IF(AND(O239="FIRE TEX 5062",OR(E239="IN",E239="C",E239="Z",E239="L"),J239=4),VLOOKUP(_xlfn.MINIFS('FIRE TEX 5062'!$G$4:$G$34,'FIRE TEX 5062'!$G$4:$G$34,"&gt;="&amp;M239),'FIRE TEX 5062'!$G$4:$K$34,IF(L239="F-15",2,IF(L239="F-30",3,IF(L239="F-60",4,IF(L239="F-90",5,0)))),0),0)+IF(AND(O239="FIRE TEX 5062",E239="CJ",J239=3),VLOOKUP(_xlfn.MINIFS('FIRE TEX 5062'!$L$4:$L$34,'FIRE TEX 5062'!$L$4:$L$34,"&gt;="&amp;M239),'FIRE TEX 5062'!$L$4:$P$34,IF(L239="F-15",2,IF(L239="F-30",3,IF(L239="F-60",4,IF(L239="F-90",5,0)))),0),0)+IF(AND(O239="FIRE TEX 5062",E239="CJ",J239=4),VLOOKUP(_xlfn.MINIFS('FIRE TEX 5062'!$Q$3:$Q$34,'FIRE TEX 5062'!$Q$3:$Q$34,"&gt;="&amp;M239),'FIRE TEX 5062'!$Q$3:$U$34,IF(L239="F-15",2,IF(L239="F-30",3,IF(L239="F-60",4,IF(L239="F-90",5,0)))),0),0)+IF(AND(O239="FIRE TEX 5090",OR(E239="IN",E239="C",E239="Z",E239="L"),J239=3),VLOOKUP(_xlfn.MINIFS('FIRE TEX 5090'!$B$5:$B$43,'FIRE TEX 5090'!$B$5:$B$43,"&gt;="&amp;M239),'FIRE TEX 5090'!$B$5:$H$43,IF(L239="F-15",2,IF(L239="F-30",3,IF(L239="F-60",4,IF(L239="F-90",5,IF(L239="F-120",6,IF(L239="F-150",7,0)))))),0),0)+IF(AND(O239="FIRE TEX 5090",OR(E239="IN",E239="C",E239="Z",E239="L"),J239=4),VLOOKUP(_xlfn.MINIFS('FIRE TEX 5090'!$J$5:$J$43,'FIRE TEX 5090'!$J$5:$J$43,"&gt;="&amp;M239),'FIRE TEX 5090'!$J$5:$P$43,IF(L239="F-15",2,IF(L239="F-30",3,IF(L239="F-60",4,IF(L239="F-90",5,IF(L239="F-120",6,IF(L239="F-150",7,0)))))),0),0)+IF(AND(O239="FIRE TEX 5090",E239="CJ",J239=3),VLOOKUP(_xlfn.MINIFS('FIRE TEX 5090'!$R$5:$R$30,'FIRE TEX 5090'!$R$5:$R$30,"&gt;="&amp;M239),'FIRE TEX 5090'!$R$5:$W$30,IF(L239="F-15",2,IF(L239="F-30",3,IF(L239="F-60",4,IF(L239="F-90",5,IF(L239="F-120",6,IF(L239="F-150",7,0)))))),0),0)+IF(AND(O239="FIRE TEX 5090",E239="CJ",J239=4),VLOOKUP(_xlfn.MINIFS('FIRE TEX 5090'!$Y$5:$Y$39,'FIRE TEX 5090'!$Y$5:$Y$39,"&gt;="&amp;M239),'FIRE TEX 5090'!$Y$5:$AD$39,IF(L239="F-15",2,IF(L239="F-30",3,IF(L239="F-60",4,IF(L239="F-90",5,IF(L239="F-120",6,IF(L239="F-150",7,0)))))),0),0)+IF(AND(O239="FIRE TEX 5120",OR(E239="IN",E239="C",E239="Z",E239="L"),J239=3),VLOOKUP(_xlfn.MINIFS('FIRE TEX 5120'!$B$5:$B$40,'FIRE TEX 5120'!$B$5:$B$40,"&gt;="&amp;M239),'FIRE TEX 5120'!$B$5:$G$40,IF(L239="F-15",2,IF(L239="F-30",3,IF(L239="F-60",4,IF(L239="F-90",5,IF(L239="F-120",6,0))))),0),0)+IF(AND(O239="FIRE TEX 5120",OR(E239="IN",E239="C",E239="Z",E239="L"),J239=4),VLOOKUP(_xlfn.MINIFS('FIRE TEX 5120'!$H$4:$H$40,'FIRE TEX 5120'!$H$4:$H$40,"&gt;="&amp;M239),'FIRE TEX 5120'!$H$4:$M$40,IF(L239="F-15",2,IF(L239="F-30",3,IF(L239="F-60",4,IF(L239="F-90",5,IF(L239="F-120",6,0))))),0),0)+IF(AND(O239="FIRE TEX 5120",E239="CJ"),VLOOKUP(_xlfn.MINIFS('FIRE TEX 5120'!$O$5:$O$40,'FIRE TEX 5120'!$O$5:$O$40,"&gt;="&amp;M239),'FIRE TEX 5120'!$O$5:$T$40,IF(L239="F-15",2,IF(L239="F-30",3,IF(L239="F-60",4,IF(L239="F-90",5,IF(L239="F-120",6,0))))),0),0)</f>
        <v>0</v>
      </c>
      <c r="Q239" s="46">
        <f t="shared" si="26"/>
        <v>0</v>
      </c>
      <c r="R239" s="46">
        <f t="shared" si="28"/>
        <v>0</v>
      </c>
      <c r="S239" s="46" t="e">
        <f t="shared" si="27"/>
        <v>#VALUE!</v>
      </c>
      <c r="T239" s="677">
        <f t="shared" si="29"/>
        <v>0</v>
      </c>
      <c r="U239" s="80">
        <f>(IF(O239="Stofire",(S239*#REF!),0))+(IF(O239="Fire Control",(S239*$U$2),0))+(IF(O239="Fire Tex",(S239*$U$3),0))+(IF(O239="WB7",(S239*#REF!),0)+(IF(O239="FX 2003",(S239*$U$5),0)))</f>
        <v>0</v>
      </c>
      <c r="V239" s="651">
        <f t="shared" si="32"/>
        <v>0</v>
      </c>
      <c r="W239" s="4"/>
    </row>
    <row r="240" spans="1:23" x14ac:dyDescent="0.25">
      <c r="A240" s="652" t="s">
        <v>458</v>
      </c>
      <c r="B240" s="653" t="s">
        <v>459</v>
      </c>
      <c r="C240" s="1" t="s">
        <v>460</v>
      </c>
      <c r="D240" s="118">
        <f>+CUBICACION!D239</f>
        <v>0</v>
      </c>
      <c r="E240" s="118">
        <f>+CUBICACION!F239</f>
        <v>0</v>
      </c>
      <c r="F240" s="118">
        <f>+CUBICACION!E239</f>
        <v>0</v>
      </c>
      <c r="G240" s="118">
        <v>12</v>
      </c>
      <c r="H240" s="118">
        <v>2</v>
      </c>
      <c r="I240" s="820">
        <v>26385</v>
      </c>
      <c r="J240" s="118">
        <f>+CUBICACION!J239</f>
        <v>0</v>
      </c>
      <c r="K240" s="118">
        <v>3019</v>
      </c>
      <c r="L240" s="118">
        <f>+CUBICACION!L239</f>
        <v>0</v>
      </c>
      <c r="M240" s="64">
        <f>+CUBICACION!M239</f>
        <v>0</v>
      </c>
      <c r="N240" s="824" t="str">
        <f>+CUBICACION!N239</f>
        <v/>
      </c>
      <c r="O240" s="675">
        <f>+CUBICACION!O239</f>
        <v>0</v>
      </c>
      <c r="P240" s="15">
        <f>IF(O240="Fire Control",VLOOKUP(_xlfn.MINIFS('FIRE CONTROL'!$C$4:$C$37,'FIRE CONTROL'!$C$4:$C$37,"&gt;="&amp;M240),'FIRE CONTROL'!$C$4:$G$37,IF(L240="F-15",2,IF(L240="F-30",3,IF(L240="F-60",4,IF(L240="F-90",5,0)))),0),0)+IF(AND(O240="FIRE TEX 5062",OR(E240="IN",E240="C",E240="Z",E240="L"),J240=3),VLOOKUP(_xlfn.MINIFS('FIRE TEX 5062'!$B$4:$B$34,'FIRE TEX 5062'!$B$4:$B$34,"&gt;="&amp;M240),'FIRE TEX 5062'!$B$4:$F$34,IF(L240="F-15",2,IF(L240="F-30",3,IF(L240="F-60",4,IF(L240="F-90",5,0)))),0),0)+IF(AND(O240="FIRE TEX 5062",OR(E240="IN",E240="C",E240="Z",E240="L"),J240=4),VLOOKUP(_xlfn.MINIFS('FIRE TEX 5062'!$G$4:$G$34,'FIRE TEX 5062'!$G$4:$G$34,"&gt;="&amp;M240),'FIRE TEX 5062'!$G$4:$K$34,IF(L240="F-15",2,IF(L240="F-30",3,IF(L240="F-60",4,IF(L240="F-90",5,0)))),0),0)+IF(AND(O240="FIRE TEX 5062",E240="CJ",J240=3),VLOOKUP(_xlfn.MINIFS('FIRE TEX 5062'!$L$4:$L$34,'FIRE TEX 5062'!$L$4:$L$34,"&gt;="&amp;M240),'FIRE TEX 5062'!$L$4:$P$34,IF(L240="F-15",2,IF(L240="F-30",3,IF(L240="F-60",4,IF(L240="F-90",5,0)))),0),0)+IF(AND(O240="FIRE TEX 5062",E240="CJ",J240=4),VLOOKUP(_xlfn.MINIFS('FIRE TEX 5062'!$Q$3:$Q$34,'FIRE TEX 5062'!$Q$3:$Q$34,"&gt;="&amp;M240),'FIRE TEX 5062'!$Q$3:$U$34,IF(L240="F-15",2,IF(L240="F-30",3,IF(L240="F-60",4,IF(L240="F-90",5,0)))),0),0)+IF(AND(O240="FIRE TEX 5090",OR(E240="IN",E240="C",E240="Z",E240="L"),J240=3),VLOOKUP(_xlfn.MINIFS('FIRE TEX 5090'!$B$5:$B$43,'FIRE TEX 5090'!$B$5:$B$43,"&gt;="&amp;M240),'FIRE TEX 5090'!$B$5:$H$43,IF(L240="F-15",2,IF(L240="F-30",3,IF(L240="F-60",4,IF(L240="F-90",5,IF(L240="F-120",6,IF(L240="F-150",7,0)))))),0),0)+IF(AND(O240="FIRE TEX 5090",OR(E240="IN",E240="C",E240="Z",E240="L"),J240=4),VLOOKUP(_xlfn.MINIFS('FIRE TEX 5090'!$J$5:$J$43,'FIRE TEX 5090'!$J$5:$J$43,"&gt;="&amp;M240),'FIRE TEX 5090'!$J$5:$P$43,IF(L240="F-15",2,IF(L240="F-30",3,IF(L240="F-60",4,IF(L240="F-90",5,IF(L240="F-120",6,IF(L240="F-150",7,0)))))),0),0)+IF(AND(O240="FIRE TEX 5090",E240="CJ",J240=3),VLOOKUP(_xlfn.MINIFS('FIRE TEX 5090'!$R$5:$R$30,'FIRE TEX 5090'!$R$5:$R$30,"&gt;="&amp;M240),'FIRE TEX 5090'!$R$5:$W$30,IF(L240="F-15",2,IF(L240="F-30",3,IF(L240="F-60",4,IF(L240="F-90",5,IF(L240="F-120",6,IF(L240="F-150",7,0)))))),0),0)+IF(AND(O240="FIRE TEX 5090",E240="CJ",J240=4),VLOOKUP(_xlfn.MINIFS('FIRE TEX 5090'!$Y$5:$Y$39,'FIRE TEX 5090'!$Y$5:$Y$39,"&gt;="&amp;M240),'FIRE TEX 5090'!$Y$5:$AD$39,IF(L240="F-15",2,IF(L240="F-30",3,IF(L240="F-60",4,IF(L240="F-90",5,IF(L240="F-120",6,IF(L240="F-150",7,0)))))),0),0)+IF(AND(O240="FIRE TEX 5120",OR(E240="IN",E240="C",E240="Z",E240="L"),J240=3),VLOOKUP(_xlfn.MINIFS('FIRE TEX 5120'!$B$5:$B$40,'FIRE TEX 5120'!$B$5:$B$40,"&gt;="&amp;M240),'FIRE TEX 5120'!$B$5:$G$40,IF(L240="F-15",2,IF(L240="F-30",3,IF(L240="F-60",4,IF(L240="F-90",5,IF(L240="F-120",6,0))))),0),0)+IF(AND(O240="FIRE TEX 5120",OR(E240="IN",E240="C",E240="Z",E240="L"),J240=4),VLOOKUP(_xlfn.MINIFS('FIRE TEX 5120'!$H$4:$H$40,'FIRE TEX 5120'!$H$4:$H$40,"&gt;="&amp;M240),'FIRE TEX 5120'!$H$4:$M$40,IF(L240="F-15",2,IF(L240="F-30",3,IF(L240="F-60",4,IF(L240="F-90",5,IF(L240="F-120",6,0))))),0),0)+IF(AND(O240="FIRE TEX 5120",E240="CJ"),VLOOKUP(_xlfn.MINIFS('FIRE TEX 5120'!$O$5:$O$40,'FIRE TEX 5120'!$O$5:$O$40,"&gt;="&amp;M240),'FIRE TEX 5120'!$O$5:$T$40,IF(L240="F-15",2,IF(L240="F-30",3,IF(L240="F-60",4,IF(L240="F-90",5,IF(L240="F-120",6,0))))),0),0)</f>
        <v>0</v>
      </c>
      <c r="Q240" s="46">
        <f t="shared" si="26"/>
        <v>0</v>
      </c>
      <c r="R240" s="46">
        <f t="shared" si="28"/>
        <v>0</v>
      </c>
      <c r="S240" s="46" t="e">
        <f t="shared" si="27"/>
        <v>#VALUE!</v>
      </c>
      <c r="T240" s="677">
        <f t="shared" si="29"/>
        <v>0</v>
      </c>
      <c r="U240" s="80">
        <f>(IF(O240="Stofire",(S240*#REF!),0))+(IF(O240="Fire Control",(S240*$U$2),0))+(IF(O240="Fire Tex",(S240*$U$3),0))+(IF(O240="WB7",(S240*#REF!),0)+(IF(O240="FX 2003",(S240*$U$5),0)))</f>
        <v>0</v>
      </c>
      <c r="V240" s="651">
        <f t="shared" si="32"/>
        <v>0</v>
      </c>
      <c r="W240" s="4"/>
    </row>
    <row r="241" spans="1:23" x14ac:dyDescent="0.25">
      <c r="A241" s="652" t="s">
        <v>458</v>
      </c>
      <c r="B241" s="653" t="s">
        <v>459</v>
      </c>
      <c r="C241" s="1" t="s">
        <v>408</v>
      </c>
      <c r="D241" s="118">
        <f>+CUBICACION!D240</f>
        <v>0</v>
      </c>
      <c r="E241" s="118">
        <f>+CUBICACION!F240</f>
        <v>0</v>
      </c>
      <c r="F241" s="118">
        <f>+CUBICACION!E240</f>
        <v>0</v>
      </c>
      <c r="G241" s="118">
        <v>12</v>
      </c>
      <c r="H241" s="118">
        <v>2</v>
      </c>
      <c r="I241" s="820">
        <v>26385</v>
      </c>
      <c r="J241" s="118">
        <f>+CUBICACION!J240</f>
        <v>0</v>
      </c>
      <c r="K241" s="118">
        <v>3020</v>
      </c>
      <c r="L241" s="118">
        <f>+CUBICACION!L240</f>
        <v>0</v>
      </c>
      <c r="M241" s="64">
        <f>+CUBICACION!M240</f>
        <v>0</v>
      </c>
      <c r="N241" s="824" t="str">
        <f>+CUBICACION!N240</f>
        <v/>
      </c>
      <c r="O241" s="675">
        <f>+CUBICACION!O240</f>
        <v>0</v>
      </c>
      <c r="P241" s="15">
        <f>IF(O241="Fire Control",VLOOKUP(_xlfn.MINIFS('FIRE CONTROL'!$C$4:$C$37,'FIRE CONTROL'!$C$4:$C$37,"&gt;="&amp;M241),'FIRE CONTROL'!$C$4:$G$37,IF(L241="F-15",2,IF(L241="F-30",3,IF(L241="F-60",4,IF(L241="F-90",5,0)))),0),0)+IF(AND(O241="FIRE TEX 5062",OR(E241="IN",E241="C",E241="Z",E241="L"),J241=3),VLOOKUP(_xlfn.MINIFS('FIRE TEX 5062'!$B$4:$B$34,'FIRE TEX 5062'!$B$4:$B$34,"&gt;="&amp;M241),'FIRE TEX 5062'!$B$4:$F$34,IF(L241="F-15",2,IF(L241="F-30",3,IF(L241="F-60",4,IF(L241="F-90",5,0)))),0),0)+IF(AND(O241="FIRE TEX 5062",OR(E241="IN",E241="C",E241="Z",E241="L"),J241=4),VLOOKUP(_xlfn.MINIFS('FIRE TEX 5062'!$G$4:$G$34,'FIRE TEX 5062'!$G$4:$G$34,"&gt;="&amp;M241),'FIRE TEX 5062'!$G$4:$K$34,IF(L241="F-15",2,IF(L241="F-30",3,IF(L241="F-60",4,IF(L241="F-90",5,0)))),0),0)+IF(AND(O241="FIRE TEX 5062",E241="CJ",J241=3),VLOOKUP(_xlfn.MINIFS('FIRE TEX 5062'!$L$4:$L$34,'FIRE TEX 5062'!$L$4:$L$34,"&gt;="&amp;M241),'FIRE TEX 5062'!$L$4:$P$34,IF(L241="F-15",2,IF(L241="F-30",3,IF(L241="F-60",4,IF(L241="F-90",5,0)))),0),0)+IF(AND(O241="FIRE TEX 5062",E241="CJ",J241=4),VLOOKUP(_xlfn.MINIFS('FIRE TEX 5062'!$Q$3:$Q$34,'FIRE TEX 5062'!$Q$3:$Q$34,"&gt;="&amp;M241),'FIRE TEX 5062'!$Q$3:$U$34,IF(L241="F-15",2,IF(L241="F-30",3,IF(L241="F-60",4,IF(L241="F-90",5,0)))),0),0)+IF(AND(O241="FIRE TEX 5090",OR(E241="IN",E241="C",E241="Z",E241="L"),J241=3),VLOOKUP(_xlfn.MINIFS('FIRE TEX 5090'!$B$5:$B$43,'FIRE TEX 5090'!$B$5:$B$43,"&gt;="&amp;M241),'FIRE TEX 5090'!$B$5:$H$43,IF(L241="F-15",2,IF(L241="F-30",3,IF(L241="F-60",4,IF(L241="F-90",5,IF(L241="F-120",6,IF(L241="F-150",7,0)))))),0),0)+IF(AND(O241="FIRE TEX 5090",OR(E241="IN",E241="C",E241="Z",E241="L"),J241=4),VLOOKUP(_xlfn.MINIFS('FIRE TEX 5090'!$J$5:$J$43,'FIRE TEX 5090'!$J$5:$J$43,"&gt;="&amp;M241),'FIRE TEX 5090'!$J$5:$P$43,IF(L241="F-15",2,IF(L241="F-30",3,IF(L241="F-60",4,IF(L241="F-90",5,IF(L241="F-120",6,IF(L241="F-150",7,0)))))),0),0)+IF(AND(O241="FIRE TEX 5090",E241="CJ",J241=3),VLOOKUP(_xlfn.MINIFS('FIRE TEX 5090'!$R$5:$R$30,'FIRE TEX 5090'!$R$5:$R$30,"&gt;="&amp;M241),'FIRE TEX 5090'!$R$5:$W$30,IF(L241="F-15",2,IF(L241="F-30",3,IF(L241="F-60",4,IF(L241="F-90",5,IF(L241="F-120",6,IF(L241="F-150",7,0)))))),0),0)+IF(AND(O241="FIRE TEX 5090",E241="CJ",J241=4),VLOOKUP(_xlfn.MINIFS('FIRE TEX 5090'!$Y$5:$Y$39,'FIRE TEX 5090'!$Y$5:$Y$39,"&gt;="&amp;M241),'FIRE TEX 5090'!$Y$5:$AD$39,IF(L241="F-15",2,IF(L241="F-30",3,IF(L241="F-60",4,IF(L241="F-90",5,IF(L241="F-120",6,IF(L241="F-150",7,0)))))),0),0)+IF(AND(O241="FIRE TEX 5120",OR(E241="IN",E241="C",E241="Z",E241="L"),J241=3),VLOOKUP(_xlfn.MINIFS('FIRE TEX 5120'!$B$5:$B$40,'FIRE TEX 5120'!$B$5:$B$40,"&gt;="&amp;M241),'FIRE TEX 5120'!$B$5:$G$40,IF(L241="F-15",2,IF(L241="F-30",3,IF(L241="F-60",4,IF(L241="F-90",5,IF(L241="F-120",6,0))))),0),0)+IF(AND(O241="FIRE TEX 5120",OR(E241="IN",E241="C",E241="Z",E241="L"),J241=4),VLOOKUP(_xlfn.MINIFS('FIRE TEX 5120'!$H$4:$H$40,'FIRE TEX 5120'!$H$4:$H$40,"&gt;="&amp;M241),'FIRE TEX 5120'!$H$4:$M$40,IF(L241="F-15",2,IF(L241="F-30",3,IF(L241="F-60",4,IF(L241="F-90",5,IF(L241="F-120",6,0))))),0),0)+IF(AND(O241="FIRE TEX 5120",E241="CJ"),VLOOKUP(_xlfn.MINIFS('FIRE TEX 5120'!$O$5:$O$40,'FIRE TEX 5120'!$O$5:$O$40,"&gt;="&amp;M241),'FIRE TEX 5120'!$O$5:$T$40,IF(L241="F-15",2,IF(L241="F-30",3,IF(L241="F-60",4,IF(L241="F-90",5,IF(L241="F-120",6,0))))),0),0)</f>
        <v>0</v>
      </c>
      <c r="Q241" s="46">
        <f t="shared" si="26"/>
        <v>0</v>
      </c>
      <c r="R241" s="46">
        <f t="shared" si="28"/>
        <v>0</v>
      </c>
      <c r="S241" s="46" t="e">
        <f t="shared" si="27"/>
        <v>#VALUE!</v>
      </c>
      <c r="T241" s="677">
        <f t="shared" si="29"/>
        <v>0</v>
      </c>
      <c r="U241" s="80">
        <f>(IF(O241="Stofire",(S241*#REF!),0))+(IF(O241="Fire Control",(S241*$U$2),0))+(IF(O241="Fire Tex",(S241*$U$3),0))+(IF(O241="WB7",(S241*#REF!),0)+(IF(O241="FX 2003",(S241*$U$5),0)))</f>
        <v>0</v>
      </c>
      <c r="V241" s="651">
        <f t="shared" si="32"/>
        <v>0</v>
      </c>
      <c r="W241" s="4"/>
    </row>
    <row r="242" spans="1:23" x14ac:dyDescent="0.25">
      <c r="A242" s="652" t="s">
        <v>461</v>
      </c>
      <c r="B242" s="653" t="s">
        <v>459</v>
      </c>
      <c r="C242" s="1" t="s">
        <v>462</v>
      </c>
      <c r="D242" s="118">
        <f>+CUBICACION!D241</f>
        <v>0</v>
      </c>
      <c r="E242" s="118">
        <f>+CUBICACION!F241</f>
        <v>0</v>
      </c>
      <c r="F242" s="118">
        <f>+CUBICACION!E241</f>
        <v>0</v>
      </c>
      <c r="G242" s="118">
        <v>12</v>
      </c>
      <c r="H242" s="118">
        <v>2</v>
      </c>
      <c r="I242" s="820">
        <v>26385</v>
      </c>
      <c r="J242" s="118">
        <f>+CUBICACION!J241</f>
        <v>0</v>
      </c>
      <c r="K242" s="118">
        <v>3021</v>
      </c>
      <c r="L242" s="118">
        <f>+CUBICACION!L241</f>
        <v>0</v>
      </c>
      <c r="M242" s="64">
        <f>+CUBICACION!M241</f>
        <v>0</v>
      </c>
      <c r="N242" s="824" t="str">
        <f>+CUBICACION!N241</f>
        <v/>
      </c>
      <c r="O242" s="675">
        <f>+CUBICACION!O241</f>
        <v>0</v>
      </c>
      <c r="P242" s="15">
        <f>IF(O242="Fire Control",VLOOKUP(_xlfn.MINIFS('FIRE CONTROL'!$C$4:$C$37,'FIRE CONTROL'!$C$4:$C$37,"&gt;="&amp;M242),'FIRE CONTROL'!$C$4:$G$37,IF(L242="F-15",2,IF(L242="F-30",3,IF(L242="F-60",4,IF(L242="F-90",5,0)))),0),0)+IF(AND(O242="FIRE TEX 5062",OR(E242="IN",E242="C",E242="Z",E242="L"),J242=3),VLOOKUP(_xlfn.MINIFS('FIRE TEX 5062'!$B$4:$B$34,'FIRE TEX 5062'!$B$4:$B$34,"&gt;="&amp;M242),'FIRE TEX 5062'!$B$4:$F$34,IF(L242="F-15",2,IF(L242="F-30",3,IF(L242="F-60",4,IF(L242="F-90",5,0)))),0),0)+IF(AND(O242="FIRE TEX 5062",OR(E242="IN",E242="C",E242="Z",E242="L"),J242=4),VLOOKUP(_xlfn.MINIFS('FIRE TEX 5062'!$G$4:$G$34,'FIRE TEX 5062'!$G$4:$G$34,"&gt;="&amp;M242),'FIRE TEX 5062'!$G$4:$K$34,IF(L242="F-15",2,IF(L242="F-30",3,IF(L242="F-60",4,IF(L242="F-90",5,0)))),0),0)+IF(AND(O242="FIRE TEX 5062",E242="CJ",J242=3),VLOOKUP(_xlfn.MINIFS('FIRE TEX 5062'!$L$4:$L$34,'FIRE TEX 5062'!$L$4:$L$34,"&gt;="&amp;M242),'FIRE TEX 5062'!$L$4:$P$34,IF(L242="F-15",2,IF(L242="F-30",3,IF(L242="F-60",4,IF(L242="F-90",5,0)))),0),0)+IF(AND(O242="FIRE TEX 5062",E242="CJ",J242=4),VLOOKUP(_xlfn.MINIFS('FIRE TEX 5062'!$Q$3:$Q$34,'FIRE TEX 5062'!$Q$3:$Q$34,"&gt;="&amp;M242),'FIRE TEX 5062'!$Q$3:$U$34,IF(L242="F-15",2,IF(L242="F-30",3,IF(L242="F-60",4,IF(L242="F-90",5,0)))),0),0)+IF(AND(O242="FIRE TEX 5090",OR(E242="IN",E242="C",E242="Z",E242="L"),J242=3),VLOOKUP(_xlfn.MINIFS('FIRE TEX 5090'!$B$5:$B$43,'FIRE TEX 5090'!$B$5:$B$43,"&gt;="&amp;M242),'FIRE TEX 5090'!$B$5:$H$43,IF(L242="F-15",2,IF(L242="F-30",3,IF(L242="F-60",4,IF(L242="F-90",5,IF(L242="F-120",6,IF(L242="F-150",7,0)))))),0),0)+IF(AND(O242="FIRE TEX 5090",OR(E242="IN",E242="C",E242="Z",E242="L"),J242=4),VLOOKUP(_xlfn.MINIFS('FIRE TEX 5090'!$J$5:$J$43,'FIRE TEX 5090'!$J$5:$J$43,"&gt;="&amp;M242),'FIRE TEX 5090'!$J$5:$P$43,IF(L242="F-15",2,IF(L242="F-30",3,IF(L242="F-60",4,IF(L242="F-90",5,IF(L242="F-120",6,IF(L242="F-150",7,0)))))),0),0)+IF(AND(O242="FIRE TEX 5090",E242="CJ",J242=3),VLOOKUP(_xlfn.MINIFS('FIRE TEX 5090'!$R$5:$R$30,'FIRE TEX 5090'!$R$5:$R$30,"&gt;="&amp;M242),'FIRE TEX 5090'!$R$5:$W$30,IF(L242="F-15",2,IF(L242="F-30",3,IF(L242="F-60",4,IF(L242="F-90",5,IF(L242="F-120",6,IF(L242="F-150",7,0)))))),0),0)+IF(AND(O242="FIRE TEX 5090",E242="CJ",J242=4),VLOOKUP(_xlfn.MINIFS('FIRE TEX 5090'!$Y$5:$Y$39,'FIRE TEX 5090'!$Y$5:$Y$39,"&gt;="&amp;M242),'FIRE TEX 5090'!$Y$5:$AD$39,IF(L242="F-15",2,IF(L242="F-30",3,IF(L242="F-60",4,IF(L242="F-90",5,IF(L242="F-120",6,IF(L242="F-150",7,0)))))),0),0)+IF(AND(O242="FIRE TEX 5120",OR(E242="IN",E242="C",E242="Z",E242="L"),J242=3),VLOOKUP(_xlfn.MINIFS('FIRE TEX 5120'!$B$5:$B$40,'FIRE TEX 5120'!$B$5:$B$40,"&gt;="&amp;M242),'FIRE TEX 5120'!$B$5:$G$40,IF(L242="F-15",2,IF(L242="F-30",3,IF(L242="F-60",4,IF(L242="F-90",5,IF(L242="F-120",6,0))))),0),0)+IF(AND(O242="FIRE TEX 5120",OR(E242="IN",E242="C",E242="Z",E242="L"),J242=4),VLOOKUP(_xlfn.MINIFS('FIRE TEX 5120'!$H$4:$H$40,'FIRE TEX 5120'!$H$4:$H$40,"&gt;="&amp;M242),'FIRE TEX 5120'!$H$4:$M$40,IF(L242="F-15",2,IF(L242="F-30",3,IF(L242="F-60",4,IF(L242="F-90",5,IF(L242="F-120",6,0))))),0),0)+IF(AND(O242="FIRE TEX 5120",E242="CJ"),VLOOKUP(_xlfn.MINIFS('FIRE TEX 5120'!$O$5:$O$40,'FIRE TEX 5120'!$O$5:$O$40,"&gt;="&amp;M242),'FIRE TEX 5120'!$O$5:$T$40,IF(L242="F-15",2,IF(L242="F-30",3,IF(L242="F-60",4,IF(L242="F-90",5,IF(L242="F-120",6,0))))),0),0)</f>
        <v>0</v>
      </c>
      <c r="Q242" s="46">
        <f t="shared" si="26"/>
        <v>0</v>
      </c>
      <c r="R242" s="46">
        <f t="shared" si="28"/>
        <v>0</v>
      </c>
      <c r="S242" s="46" t="e">
        <f t="shared" si="27"/>
        <v>#VALUE!</v>
      </c>
      <c r="T242" s="677">
        <f t="shared" si="29"/>
        <v>0</v>
      </c>
      <c r="U242" s="80">
        <f>(IF(O242="Stofire",(S242*#REF!),0))+(IF(O242="Fire Control",(S242*$U$2),0))+(IF(O242="Fire Tex",(S242*$U$3),0))+(IF(O242="WB7",(S242*#REF!),0)+(IF(O242="FX 2003",(S242*$U$5),0)))</f>
        <v>0</v>
      </c>
      <c r="V242" s="651">
        <f t="shared" si="32"/>
        <v>0</v>
      </c>
      <c r="W242" s="4"/>
    </row>
    <row r="243" spans="1:23" x14ac:dyDescent="0.25">
      <c r="A243" s="652" t="s">
        <v>461</v>
      </c>
      <c r="B243" s="653" t="s">
        <v>459</v>
      </c>
      <c r="C243" s="1" t="s">
        <v>408</v>
      </c>
      <c r="D243" s="118">
        <f>+CUBICACION!D242</f>
        <v>0</v>
      </c>
      <c r="E243" s="118">
        <f>+CUBICACION!F242</f>
        <v>0</v>
      </c>
      <c r="F243" s="118">
        <f>+CUBICACION!E242</f>
        <v>0</v>
      </c>
      <c r="G243" s="118">
        <v>12</v>
      </c>
      <c r="H243" s="118">
        <v>2</v>
      </c>
      <c r="I243" s="820">
        <v>26385</v>
      </c>
      <c r="J243" s="118">
        <f>+CUBICACION!J242</f>
        <v>0</v>
      </c>
      <c r="K243" s="118">
        <v>3022</v>
      </c>
      <c r="L243" s="118">
        <f>+CUBICACION!L242</f>
        <v>0</v>
      </c>
      <c r="M243" s="64">
        <f>+CUBICACION!M242</f>
        <v>0</v>
      </c>
      <c r="N243" s="824" t="str">
        <f>+CUBICACION!N242</f>
        <v/>
      </c>
      <c r="O243" s="675">
        <f>+CUBICACION!O242</f>
        <v>0</v>
      </c>
      <c r="P243" s="15">
        <f>IF(O243="Fire Control",VLOOKUP(_xlfn.MINIFS('FIRE CONTROL'!$C$4:$C$37,'FIRE CONTROL'!$C$4:$C$37,"&gt;="&amp;M243),'FIRE CONTROL'!$C$4:$G$37,IF(L243="F-15",2,IF(L243="F-30",3,IF(L243="F-60",4,IF(L243="F-90",5,0)))),0),0)+IF(AND(O243="FIRE TEX 5062",OR(E243="IN",E243="C",E243="Z",E243="L"),J243=3),VLOOKUP(_xlfn.MINIFS('FIRE TEX 5062'!$B$4:$B$34,'FIRE TEX 5062'!$B$4:$B$34,"&gt;="&amp;M243),'FIRE TEX 5062'!$B$4:$F$34,IF(L243="F-15",2,IF(L243="F-30",3,IF(L243="F-60",4,IF(L243="F-90",5,0)))),0),0)+IF(AND(O243="FIRE TEX 5062",OR(E243="IN",E243="C",E243="Z",E243="L"),J243=4),VLOOKUP(_xlfn.MINIFS('FIRE TEX 5062'!$G$4:$G$34,'FIRE TEX 5062'!$G$4:$G$34,"&gt;="&amp;M243),'FIRE TEX 5062'!$G$4:$K$34,IF(L243="F-15",2,IF(L243="F-30",3,IF(L243="F-60",4,IF(L243="F-90",5,0)))),0),0)+IF(AND(O243="FIRE TEX 5062",E243="CJ",J243=3),VLOOKUP(_xlfn.MINIFS('FIRE TEX 5062'!$L$4:$L$34,'FIRE TEX 5062'!$L$4:$L$34,"&gt;="&amp;M243),'FIRE TEX 5062'!$L$4:$P$34,IF(L243="F-15",2,IF(L243="F-30",3,IF(L243="F-60",4,IF(L243="F-90",5,0)))),0),0)+IF(AND(O243="FIRE TEX 5062",E243="CJ",J243=4),VLOOKUP(_xlfn.MINIFS('FIRE TEX 5062'!$Q$3:$Q$34,'FIRE TEX 5062'!$Q$3:$Q$34,"&gt;="&amp;M243),'FIRE TEX 5062'!$Q$3:$U$34,IF(L243="F-15",2,IF(L243="F-30",3,IF(L243="F-60",4,IF(L243="F-90",5,0)))),0),0)+IF(AND(O243="FIRE TEX 5090",OR(E243="IN",E243="C",E243="Z",E243="L"),J243=3),VLOOKUP(_xlfn.MINIFS('FIRE TEX 5090'!$B$5:$B$43,'FIRE TEX 5090'!$B$5:$B$43,"&gt;="&amp;M243),'FIRE TEX 5090'!$B$5:$H$43,IF(L243="F-15",2,IF(L243="F-30",3,IF(L243="F-60",4,IF(L243="F-90",5,IF(L243="F-120",6,IF(L243="F-150",7,0)))))),0),0)+IF(AND(O243="FIRE TEX 5090",OR(E243="IN",E243="C",E243="Z",E243="L"),J243=4),VLOOKUP(_xlfn.MINIFS('FIRE TEX 5090'!$J$5:$J$43,'FIRE TEX 5090'!$J$5:$J$43,"&gt;="&amp;M243),'FIRE TEX 5090'!$J$5:$P$43,IF(L243="F-15",2,IF(L243="F-30",3,IF(L243="F-60",4,IF(L243="F-90",5,IF(L243="F-120",6,IF(L243="F-150",7,0)))))),0),0)+IF(AND(O243="FIRE TEX 5090",E243="CJ",J243=3),VLOOKUP(_xlfn.MINIFS('FIRE TEX 5090'!$R$5:$R$30,'FIRE TEX 5090'!$R$5:$R$30,"&gt;="&amp;M243),'FIRE TEX 5090'!$R$5:$W$30,IF(L243="F-15",2,IF(L243="F-30",3,IF(L243="F-60",4,IF(L243="F-90",5,IF(L243="F-120",6,IF(L243="F-150",7,0)))))),0),0)+IF(AND(O243="FIRE TEX 5090",E243="CJ",J243=4),VLOOKUP(_xlfn.MINIFS('FIRE TEX 5090'!$Y$5:$Y$39,'FIRE TEX 5090'!$Y$5:$Y$39,"&gt;="&amp;M243),'FIRE TEX 5090'!$Y$5:$AD$39,IF(L243="F-15",2,IF(L243="F-30",3,IF(L243="F-60",4,IF(L243="F-90",5,IF(L243="F-120",6,IF(L243="F-150",7,0)))))),0),0)+IF(AND(O243="FIRE TEX 5120",OR(E243="IN",E243="C",E243="Z",E243="L"),J243=3),VLOOKUP(_xlfn.MINIFS('FIRE TEX 5120'!$B$5:$B$40,'FIRE TEX 5120'!$B$5:$B$40,"&gt;="&amp;M243),'FIRE TEX 5120'!$B$5:$G$40,IF(L243="F-15",2,IF(L243="F-30",3,IF(L243="F-60",4,IF(L243="F-90",5,IF(L243="F-120",6,0))))),0),0)+IF(AND(O243="FIRE TEX 5120",OR(E243="IN",E243="C",E243="Z",E243="L"),J243=4),VLOOKUP(_xlfn.MINIFS('FIRE TEX 5120'!$H$4:$H$40,'FIRE TEX 5120'!$H$4:$H$40,"&gt;="&amp;M243),'FIRE TEX 5120'!$H$4:$M$40,IF(L243="F-15",2,IF(L243="F-30",3,IF(L243="F-60",4,IF(L243="F-90",5,IF(L243="F-120",6,0))))),0),0)+IF(AND(O243="FIRE TEX 5120",E243="CJ"),VLOOKUP(_xlfn.MINIFS('FIRE TEX 5120'!$O$5:$O$40,'FIRE TEX 5120'!$O$5:$O$40,"&gt;="&amp;M243),'FIRE TEX 5120'!$O$5:$T$40,IF(L243="F-15",2,IF(L243="F-30",3,IF(L243="F-60",4,IF(L243="F-90",5,IF(L243="F-120",6,0))))),0),0)</f>
        <v>0</v>
      </c>
      <c r="Q243" s="46">
        <f t="shared" si="26"/>
        <v>0</v>
      </c>
      <c r="R243" s="46">
        <f t="shared" si="28"/>
        <v>0</v>
      </c>
      <c r="S243" s="46" t="e">
        <f t="shared" si="27"/>
        <v>#VALUE!</v>
      </c>
      <c r="T243" s="677">
        <f t="shared" si="29"/>
        <v>0</v>
      </c>
      <c r="U243" s="80">
        <f>(IF(O243="Stofire",(S243*#REF!),0))+(IF(O243="Fire Control",(S243*$U$2),0))+(IF(O243="Fire Tex",(S243*$U$3),0))+(IF(O243="WB7",(S243*#REF!),0)+(IF(O243="FX 2003",(S243*$U$5),0)))</f>
        <v>0</v>
      </c>
      <c r="V243" s="651">
        <f t="shared" si="32"/>
        <v>0</v>
      </c>
      <c r="W243" s="4"/>
    </row>
    <row r="244" spans="1:23" x14ac:dyDescent="0.25">
      <c r="A244" s="652" t="s">
        <v>461</v>
      </c>
      <c r="B244" s="653" t="s">
        <v>459</v>
      </c>
      <c r="C244" s="1" t="s">
        <v>408</v>
      </c>
      <c r="D244" s="118">
        <f>+CUBICACION!D243</f>
        <v>0</v>
      </c>
      <c r="E244" s="118">
        <f>+CUBICACION!F243</f>
        <v>0</v>
      </c>
      <c r="F244" s="118">
        <f>+CUBICACION!E243</f>
        <v>0</v>
      </c>
      <c r="G244" s="118">
        <v>12</v>
      </c>
      <c r="H244" s="118">
        <v>2</v>
      </c>
      <c r="I244" s="820">
        <v>26385</v>
      </c>
      <c r="J244" s="118">
        <f>+CUBICACION!J243</f>
        <v>0</v>
      </c>
      <c r="K244" s="118">
        <v>3023</v>
      </c>
      <c r="L244" s="118">
        <f>+CUBICACION!L243</f>
        <v>0</v>
      </c>
      <c r="M244" s="64">
        <f>+CUBICACION!M243</f>
        <v>0</v>
      </c>
      <c r="N244" s="824" t="str">
        <f>+CUBICACION!N243</f>
        <v/>
      </c>
      <c r="O244" s="675">
        <f>+CUBICACION!O243</f>
        <v>0</v>
      </c>
      <c r="P244" s="15">
        <f>IF(O244="Fire Control",VLOOKUP(_xlfn.MINIFS('FIRE CONTROL'!$C$4:$C$37,'FIRE CONTROL'!$C$4:$C$37,"&gt;="&amp;M244),'FIRE CONTROL'!$C$4:$G$37,IF(L244="F-15",2,IF(L244="F-30",3,IF(L244="F-60",4,IF(L244="F-90",5,0)))),0),0)+IF(AND(O244="FIRE TEX 5062",OR(E244="IN",E244="C",E244="Z",E244="L"),J244=3),VLOOKUP(_xlfn.MINIFS('FIRE TEX 5062'!$B$4:$B$34,'FIRE TEX 5062'!$B$4:$B$34,"&gt;="&amp;M244),'FIRE TEX 5062'!$B$4:$F$34,IF(L244="F-15",2,IF(L244="F-30",3,IF(L244="F-60",4,IF(L244="F-90",5,0)))),0),0)+IF(AND(O244="FIRE TEX 5062",OR(E244="IN",E244="C",E244="Z",E244="L"),J244=4),VLOOKUP(_xlfn.MINIFS('FIRE TEX 5062'!$G$4:$G$34,'FIRE TEX 5062'!$G$4:$G$34,"&gt;="&amp;M244),'FIRE TEX 5062'!$G$4:$K$34,IF(L244="F-15",2,IF(L244="F-30",3,IF(L244="F-60",4,IF(L244="F-90",5,0)))),0),0)+IF(AND(O244="FIRE TEX 5062",E244="CJ",J244=3),VLOOKUP(_xlfn.MINIFS('FIRE TEX 5062'!$L$4:$L$34,'FIRE TEX 5062'!$L$4:$L$34,"&gt;="&amp;M244),'FIRE TEX 5062'!$L$4:$P$34,IF(L244="F-15",2,IF(L244="F-30",3,IF(L244="F-60",4,IF(L244="F-90",5,0)))),0),0)+IF(AND(O244="FIRE TEX 5062",E244="CJ",J244=4),VLOOKUP(_xlfn.MINIFS('FIRE TEX 5062'!$Q$3:$Q$34,'FIRE TEX 5062'!$Q$3:$Q$34,"&gt;="&amp;M244),'FIRE TEX 5062'!$Q$3:$U$34,IF(L244="F-15",2,IF(L244="F-30",3,IF(L244="F-60",4,IF(L244="F-90",5,0)))),0),0)+IF(AND(O244="FIRE TEX 5090",OR(E244="IN",E244="C",E244="Z",E244="L"),J244=3),VLOOKUP(_xlfn.MINIFS('FIRE TEX 5090'!$B$5:$B$43,'FIRE TEX 5090'!$B$5:$B$43,"&gt;="&amp;M244),'FIRE TEX 5090'!$B$5:$H$43,IF(L244="F-15",2,IF(L244="F-30",3,IF(L244="F-60",4,IF(L244="F-90",5,IF(L244="F-120",6,IF(L244="F-150",7,0)))))),0),0)+IF(AND(O244="FIRE TEX 5090",OR(E244="IN",E244="C",E244="Z",E244="L"),J244=4),VLOOKUP(_xlfn.MINIFS('FIRE TEX 5090'!$J$5:$J$43,'FIRE TEX 5090'!$J$5:$J$43,"&gt;="&amp;M244),'FIRE TEX 5090'!$J$5:$P$43,IF(L244="F-15",2,IF(L244="F-30",3,IF(L244="F-60",4,IF(L244="F-90",5,IF(L244="F-120",6,IF(L244="F-150",7,0)))))),0),0)+IF(AND(O244="FIRE TEX 5090",E244="CJ",J244=3),VLOOKUP(_xlfn.MINIFS('FIRE TEX 5090'!$R$5:$R$30,'FIRE TEX 5090'!$R$5:$R$30,"&gt;="&amp;M244),'FIRE TEX 5090'!$R$5:$W$30,IF(L244="F-15",2,IF(L244="F-30",3,IF(L244="F-60",4,IF(L244="F-90",5,IF(L244="F-120",6,IF(L244="F-150",7,0)))))),0),0)+IF(AND(O244="FIRE TEX 5090",E244="CJ",J244=4),VLOOKUP(_xlfn.MINIFS('FIRE TEX 5090'!$Y$5:$Y$39,'FIRE TEX 5090'!$Y$5:$Y$39,"&gt;="&amp;M244),'FIRE TEX 5090'!$Y$5:$AD$39,IF(L244="F-15",2,IF(L244="F-30",3,IF(L244="F-60",4,IF(L244="F-90",5,IF(L244="F-120",6,IF(L244="F-150",7,0)))))),0),0)+IF(AND(O244="FIRE TEX 5120",OR(E244="IN",E244="C",E244="Z",E244="L"),J244=3),VLOOKUP(_xlfn.MINIFS('FIRE TEX 5120'!$B$5:$B$40,'FIRE TEX 5120'!$B$5:$B$40,"&gt;="&amp;M244),'FIRE TEX 5120'!$B$5:$G$40,IF(L244="F-15",2,IF(L244="F-30",3,IF(L244="F-60",4,IF(L244="F-90",5,IF(L244="F-120",6,0))))),0),0)+IF(AND(O244="FIRE TEX 5120",OR(E244="IN",E244="C",E244="Z",E244="L"),J244=4),VLOOKUP(_xlfn.MINIFS('FIRE TEX 5120'!$H$4:$H$40,'FIRE TEX 5120'!$H$4:$H$40,"&gt;="&amp;M244),'FIRE TEX 5120'!$H$4:$M$40,IF(L244="F-15",2,IF(L244="F-30",3,IF(L244="F-60",4,IF(L244="F-90",5,IF(L244="F-120",6,0))))),0),0)+IF(AND(O244="FIRE TEX 5120",E244="CJ"),VLOOKUP(_xlfn.MINIFS('FIRE TEX 5120'!$O$5:$O$40,'FIRE TEX 5120'!$O$5:$O$40,"&gt;="&amp;M244),'FIRE TEX 5120'!$O$5:$T$40,IF(L244="F-15",2,IF(L244="F-30",3,IF(L244="F-60",4,IF(L244="F-90",5,IF(L244="F-120",6,0))))),0),0)</f>
        <v>0</v>
      </c>
      <c r="Q244" s="46">
        <f t="shared" si="26"/>
        <v>0</v>
      </c>
      <c r="R244" s="46">
        <f t="shared" si="28"/>
        <v>0</v>
      </c>
      <c r="S244" s="46" t="e">
        <f t="shared" si="27"/>
        <v>#VALUE!</v>
      </c>
      <c r="T244" s="677">
        <f t="shared" si="29"/>
        <v>0</v>
      </c>
      <c r="U244" s="80">
        <f>(IF(O244="Stofire",(S244*#REF!),0))+(IF(O244="Fire Control",(S244*$U$2),0))+(IF(O244="Fire Tex",(S244*$U$3),0))+(IF(O244="WB7",(S244*#REF!),0)+(IF(O244="FX 2003",(S244*$U$5),0)))</f>
        <v>0</v>
      </c>
      <c r="V244" s="651">
        <f t="shared" si="32"/>
        <v>0</v>
      </c>
      <c r="W244" s="4"/>
    </row>
    <row r="245" spans="1:23" x14ac:dyDescent="0.25">
      <c r="A245" s="652" t="s">
        <v>406</v>
      </c>
      <c r="B245" s="653" t="s">
        <v>407</v>
      </c>
      <c r="C245" s="1" t="s">
        <v>408</v>
      </c>
      <c r="D245" s="118">
        <f>+CUBICACION!D244</f>
        <v>0</v>
      </c>
      <c r="E245" s="118">
        <f>+CUBICACION!F244</f>
        <v>0</v>
      </c>
      <c r="F245" s="118">
        <f>+CUBICACION!E244</f>
        <v>0</v>
      </c>
      <c r="G245" s="118">
        <v>12</v>
      </c>
      <c r="H245" s="118">
        <v>2</v>
      </c>
      <c r="I245" s="820">
        <v>26385</v>
      </c>
      <c r="J245" s="118">
        <f>+CUBICACION!J244</f>
        <v>0</v>
      </c>
      <c r="K245" s="118">
        <v>3024</v>
      </c>
      <c r="L245" s="118">
        <f>+CUBICACION!L244</f>
        <v>0</v>
      </c>
      <c r="M245" s="64">
        <f>+CUBICACION!M244</f>
        <v>0</v>
      </c>
      <c r="N245" s="824" t="str">
        <f>+CUBICACION!N244</f>
        <v/>
      </c>
      <c r="O245" s="675">
        <f>+CUBICACION!O244</f>
        <v>0</v>
      </c>
      <c r="P245" s="15">
        <f>IF(O245="Fire Control",VLOOKUP(_xlfn.MINIFS('FIRE CONTROL'!$C$4:$C$37,'FIRE CONTROL'!$C$4:$C$37,"&gt;="&amp;M245),'FIRE CONTROL'!$C$4:$G$37,IF(L245="F-15",2,IF(L245="F-30",3,IF(L245="F-60",4,IF(L245="F-90",5,0)))),0),0)+IF(AND(O245="FIRE TEX 5062",OR(E245="IN",E245="C",E245="Z",E245="L"),J245=3),VLOOKUP(_xlfn.MINIFS('FIRE TEX 5062'!$B$4:$B$34,'FIRE TEX 5062'!$B$4:$B$34,"&gt;="&amp;M245),'FIRE TEX 5062'!$B$4:$F$34,IF(L245="F-15",2,IF(L245="F-30",3,IF(L245="F-60",4,IF(L245="F-90",5,0)))),0),0)+IF(AND(O245="FIRE TEX 5062",OR(E245="IN",E245="C",E245="Z",E245="L"),J245=4),VLOOKUP(_xlfn.MINIFS('FIRE TEX 5062'!$G$4:$G$34,'FIRE TEX 5062'!$G$4:$G$34,"&gt;="&amp;M245),'FIRE TEX 5062'!$G$4:$K$34,IF(L245="F-15",2,IF(L245="F-30",3,IF(L245="F-60",4,IF(L245="F-90",5,0)))),0),0)+IF(AND(O245="FIRE TEX 5062",E245="CJ",J245=3),VLOOKUP(_xlfn.MINIFS('FIRE TEX 5062'!$L$4:$L$34,'FIRE TEX 5062'!$L$4:$L$34,"&gt;="&amp;M245),'FIRE TEX 5062'!$L$4:$P$34,IF(L245="F-15",2,IF(L245="F-30",3,IF(L245="F-60",4,IF(L245="F-90",5,0)))),0),0)+IF(AND(O245="FIRE TEX 5062",E245="CJ",J245=4),VLOOKUP(_xlfn.MINIFS('FIRE TEX 5062'!$Q$3:$Q$34,'FIRE TEX 5062'!$Q$3:$Q$34,"&gt;="&amp;M245),'FIRE TEX 5062'!$Q$3:$U$34,IF(L245="F-15",2,IF(L245="F-30",3,IF(L245="F-60",4,IF(L245="F-90",5,0)))),0),0)+IF(AND(O245="FIRE TEX 5090",OR(E245="IN",E245="C",E245="Z",E245="L"),J245=3),VLOOKUP(_xlfn.MINIFS('FIRE TEX 5090'!$B$5:$B$43,'FIRE TEX 5090'!$B$5:$B$43,"&gt;="&amp;M245),'FIRE TEX 5090'!$B$5:$H$43,IF(L245="F-15",2,IF(L245="F-30",3,IF(L245="F-60",4,IF(L245="F-90",5,IF(L245="F-120",6,IF(L245="F-150",7,0)))))),0),0)+IF(AND(O245="FIRE TEX 5090",OR(E245="IN",E245="C",E245="Z",E245="L"),J245=4),VLOOKUP(_xlfn.MINIFS('FIRE TEX 5090'!$J$5:$J$43,'FIRE TEX 5090'!$J$5:$J$43,"&gt;="&amp;M245),'FIRE TEX 5090'!$J$5:$P$43,IF(L245="F-15",2,IF(L245="F-30",3,IF(L245="F-60",4,IF(L245="F-90",5,IF(L245="F-120",6,IF(L245="F-150",7,0)))))),0),0)+IF(AND(O245="FIRE TEX 5090",E245="CJ",J245=3),VLOOKUP(_xlfn.MINIFS('FIRE TEX 5090'!$R$5:$R$30,'FIRE TEX 5090'!$R$5:$R$30,"&gt;="&amp;M245),'FIRE TEX 5090'!$R$5:$W$30,IF(L245="F-15",2,IF(L245="F-30",3,IF(L245="F-60",4,IF(L245="F-90",5,IF(L245="F-120",6,IF(L245="F-150",7,0)))))),0),0)+IF(AND(O245="FIRE TEX 5090",E245="CJ",J245=4),VLOOKUP(_xlfn.MINIFS('FIRE TEX 5090'!$Y$5:$Y$39,'FIRE TEX 5090'!$Y$5:$Y$39,"&gt;="&amp;M245),'FIRE TEX 5090'!$Y$5:$AD$39,IF(L245="F-15",2,IF(L245="F-30",3,IF(L245="F-60",4,IF(L245="F-90",5,IF(L245="F-120",6,IF(L245="F-150",7,0)))))),0),0)+IF(AND(O245="FIRE TEX 5120",OR(E245="IN",E245="C",E245="Z",E245="L"),J245=3),VLOOKUP(_xlfn.MINIFS('FIRE TEX 5120'!$B$5:$B$40,'FIRE TEX 5120'!$B$5:$B$40,"&gt;="&amp;M245),'FIRE TEX 5120'!$B$5:$G$40,IF(L245="F-15",2,IF(L245="F-30",3,IF(L245="F-60",4,IF(L245="F-90",5,IF(L245="F-120",6,0))))),0),0)+IF(AND(O245="FIRE TEX 5120",OR(E245="IN",E245="C",E245="Z",E245="L"),J245=4),VLOOKUP(_xlfn.MINIFS('FIRE TEX 5120'!$H$4:$H$40,'FIRE TEX 5120'!$H$4:$H$40,"&gt;="&amp;M245),'FIRE TEX 5120'!$H$4:$M$40,IF(L245="F-15",2,IF(L245="F-30",3,IF(L245="F-60",4,IF(L245="F-90",5,IF(L245="F-120",6,0))))),0),0)+IF(AND(O245="FIRE TEX 5120",E245="CJ"),VLOOKUP(_xlfn.MINIFS('FIRE TEX 5120'!$O$5:$O$40,'FIRE TEX 5120'!$O$5:$O$40,"&gt;="&amp;M245),'FIRE TEX 5120'!$O$5:$T$40,IF(L245="F-15",2,IF(L245="F-30",3,IF(L245="F-60",4,IF(L245="F-90",5,IF(L245="F-120",6,0))))),0),0)</f>
        <v>0</v>
      </c>
      <c r="Q245" s="46">
        <f t="shared" si="26"/>
        <v>0</v>
      </c>
      <c r="R245" s="46">
        <f t="shared" si="28"/>
        <v>0</v>
      </c>
      <c r="S245" s="46" t="e">
        <f t="shared" si="27"/>
        <v>#VALUE!</v>
      </c>
      <c r="T245" s="677">
        <f t="shared" si="29"/>
        <v>0</v>
      </c>
      <c r="U245" s="80">
        <f>(IF(O245="Stofire",(S245*#REF!),0))+(IF(O245="Fire Control",(S245*$U$2),0))+(IF(O245="Fire Tex",(S245*$U$3),0))+(IF(O245="WB7",(S245*#REF!),0)+(IF(O245="FX 2003",(S245*$U$5),0)))</f>
        <v>0</v>
      </c>
      <c r="V245" s="649">
        <f>_xlfn.CEILING.MATH(M245,10)</f>
        <v>0</v>
      </c>
      <c r="W245" s="4"/>
    </row>
    <row r="246" spans="1:23" x14ac:dyDescent="0.25">
      <c r="A246" s="652" t="s">
        <v>406</v>
      </c>
      <c r="B246" s="653" t="s">
        <v>407</v>
      </c>
      <c r="C246" s="1" t="s">
        <v>408</v>
      </c>
      <c r="D246" s="118">
        <f>+CUBICACION!D245</f>
        <v>0</v>
      </c>
      <c r="E246" s="118">
        <f>+CUBICACION!F245</f>
        <v>0</v>
      </c>
      <c r="F246" s="118">
        <f>+CUBICACION!E245</f>
        <v>0</v>
      </c>
      <c r="G246" s="118">
        <v>12</v>
      </c>
      <c r="H246" s="118">
        <v>2</v>
      </c>
      <c r="I246" s="820">
        <v>26385</v>
      </c>
      <c r="J246" s="118">
        <f>+CUBICACION!J245</f>
        <v>0</v>
      </c>
      <c r="K246" s="118">
        <v>3025</v>
      </c>
      <c r="L246" s="118">
        <f>+CUBICACION!L245</f>
        <v>0</v>
      </c>
      <c r="M246" s="64">
        <f>+CUBICACION!M245</f>
        <v>0</v>
      </c>
      <c r="N246" s="824" t="str">
        <f>+CUBICACION!N245</f>
        <v/>
      </c>
      <c r="O246" s="675">
        <f>+CUBICACION!O245</f>
        <v>0</v>
      </c>
      <c r="P246" s="15">
        <f>IF(O246="Fire Control",VLOOKUP(_xlfn.MINIFS('FIRE CONTROL'!$C$4:$C$37,'FIRE CONTROL'!$C$4:$C$37,"&gt;="&amp;M246),'FIRE CONTROL'!$C$4:$G$37,IF(L246="F-15",2,IF(L246="F-30",3,IF(L246="F-60",4,IF(L246="F-90",5,0)))),0),0)+IF(AND(O246="FIRE TEX 5062",OR(E246="IN",E246="C",E246="Z",E246="L"),J246=3),VLOOKUP(_xlfn.MINIFS('FIRE TEX 5062'!$B$4:$B$34,'FIRE TEX 5062'!$B$4:$B$34,"&gt;="&amp;M246),'FIRE TEX 5062'!$B$4:$F$34,IF(L246="F-15",2,IF(L246="F-30",3,IF(L246="F-60",4,IF(L246="F-90",5,0)))),0),0)+IF(AND(O246="FIRE TEX 5062",OR(E246="IN",E246="C",E246="Z",E246="L"),J246=4),VLOOKUP(_xlfn.MINIFS('FIRE TEX 5062'!$G$4:$G$34,'FIRE TEX 5062'!$G$4:$G$34,"&gt;="&amp;M246),'FIRE TEX 5062'!$G$4:$K$34,IF(L246="F-15",2,IF(L246="F-30",3,IF(L246="F-60",4,IF(L246="F-90",5,0)))),0),0)+IF(AND(O246="FIRE TEX 5062",E246="CJ",J246=3),VLOOKUP(_xlfn.MINIFS('FIRE TEX 5062'!$L$4:$L$34,'FIRE TEX 5062'!$L$4:$L$34,"&gt;="&amp;M246),'FIRE TEX 5062'!$L$4:$P$34,IF(L246="F-15",2,IF(L246="F-30",3,IF(L246="F-60",4,IF(L246="F-90",5,0)))),0),0)+IF(AND(O246="FIRE TEX 5062",E246="CJ",J246=4),VLOOKUP(_xlfn.MINIFS('FIRE TEX 5062'!$Q$3:$Q$34,'FIRE TEX 5062'!$Q$3:$Q$34,"&gt;="&amp;M246),'FIRE TEX 5062'!$Q$3:$U$34,IF(L246="F-15",2,IF(L246="F-30",3,IF(L246="F-60",4,IF(L246="F-90",5,0)))),0),0)+IF(AND(O246="FIRE TEX 5090",OR(E246="IN",E246="C",E246="Z",E246="L"),J246=3),VLOOKUP(_xlfn.MINIFS('FIRE TEX 5090'!$B$5:$B$43,'FIRE TEX 5090'!$B$5:$B$43,"&gt;="&amp;M246),'FIRE TEX 5090'!$B$5:$H$43,IF(L246="F-15",2,IF(L246="F-30",3,IF(L246="F-60",4,IF(L246="F-90",5,IF(L246="F-120",6,IF(L246="F-150",7,0)))))),0),0)+IF(AND(O246="FIRE TEX 5090",OR(E246="IN",E246="C",E246="Z",E246="L"),J246=4),VLOOKUP(_xlfn.MINIFS('FIRE TEX 5090'!$J$5:$J$43,'FIRE TEX 5090'!$J$5:$J$43,"&gt;="&amp;M246),'FIRE TEX 5090'!$J$5:$P$43,IF(L246="F-15",2,IF(L246="F-30",3,IF(L246="F-60",4,IF(L246="F-90",5,IF(L246="F-120",6,IF(L246="F-150",7,0)))))),0),0)+IF(AND(O246="FIRE TEX 5090",E246="CJ",J246=3),VLOOKUP(_xlfn.MINIFS('FIRE TEX 5090'!$R$5:$R$30,'FIRE TEX 5090'!$R$5:$R$30,"&gt;="&amp;M246),'FIRE TEX 5090'!$R$5:$W$30,IF(L246="F-15",2,IF(L246="F-30",3,IF(L246="F-60",4,IF(L246="F-90",5,IF(L246="F-120",6,IF(L246="F-150",7,0)))))),0),0)+IF(AND(O246="FIRE TEX 5090",E246="CJ",J246=4),VLOOKUP(_xlfn.MINIFS('FIRE TEX 5090'!$Y$5:$Y$39,'FIRE TEX 5090'!$Y$5:$Y$39,"&gt;="&amp;M246),'FIRE TEX 5090'!$Y$5:$AD$39,IF(L246="F-15",2,IF(L246="F-30",3,IF(L246="F-60",4,IF(L246="F-90",5,IF(L246="F-120",6,IF(L246="F-150",7,0)))))),0),0)+IF(AND(O246="FIRE TEX 5120",OR(E246="IN",E246="C",E246="Z",E246="L"),J246=3),VLOOKUP(_xlfn.MINIFS('FIRE TEX 5120'!$B$5:$B$40,'FIRE TEX 5120'!$B$5:$B$40,"&gt;="&amp;M246),'FIRE TEX 5120'!$B$5:$G$40,IF(L246="F-15",2,IF(L246="F-30",3,IF(L246="F-60",4,IF(L246="F-90",5,IF(L246="F-120",6,0))))),0),0)+IF(AND(O246="FIRE TEX 5120",OR(E246="IN",E246="C",E246="Z",E246="L"),J246=4),VLOOKUP(_xlfn.MINIFS('FIRE TEX 5120'!$H$4:$H$40,'FIRE TEX 5120'!$H$4:$H$40,"&gt;="&amp;M246),'FIRE TEX 5120'!$H$4:$M$40,IF(L246="F-15",2,IF(L246="F-30",3,IF(L246="F-60",4,IF(L246="F-90",5,IF(L246="F-120",6,0))))),0),0)+IF(AND(O246="FIRE TEX 5120",E246="CJ"),VLOOKUP(_xlfn.MINIFS('FIRE TEX 5120'!$O$5:$O$40,'FIRE TEX 5120'!$O$5:$O$40,"&gt;="&amp;M246),'FIRE TEX 5120'!$O$5:$T$40,IF(L246="F-15",2,IF(L246="F-30",3,IF(L246="F-60",4,IF(L246="F-90",5,IF(L246="F-120",6,0))))),0),0)</f>
        <v>0</v>
      </c>
      <c r="Q246" s="46">
        <f t="shared" si="26"/>
        <v>0</v>
      </c>
      <c r="R246" s="46">
        <f t="shared" si="28"/>
        <v>0</v>
      </c>
      <c r="S246" s="46" t="e">
        <f t="shared" si="27"/>
        <v>#VALUE!</v>
      </c>
      <c r="T246" s="677">
        <f t="shared" si="29"/>
        <v>0</v>
      </c>
      <c r="U246" s="80">
        <f>(IF(O246="Stofire",(S246*#REF!),0))+(IF(O246="Fire Control",(S246*$U$2),0))+(IF(O246="Fire Tex",(S246*$U$3),0))+(IF(O246="WB7",(S246*#REF!),0)+(IF(O246="FX 2003",(S246*$U$5),0)))</f>
        <v>0</v>
      </c>
      <c r="V246" s="651">
        <f>_xlfn.CEILING.MATH(M246,10)</f>
        <v>0</v>
      </c>
      <c r="W246" s="4"/>
    </row>
    <row r="247" spans="1:23" x14ac:dyDescent="0.25">
      <c r="A247" s="652" t="s">
        <v>409</v>
      </c>
      <c r="B247" s="653" t="s">
        <v>410</v>
      </c>
      <c r="C247" s="1" t="s">
        <v>408</v>
      </c>
      <c r="D247" s="118">
        <f>+CUBICACION!D246</f>
        <v>0</v>
      </c>
      <c r="E247" s="118">
        <f>+CUBICACION!F246</f>
        <v>0</v>
      </c>
      <c r="F247" s="118">
        <f>+CUBICACION!E246</f>
        <v>0</v>
      </c>
      <c r="G247" s="118">
        <v>12</v>
      </c>
      <c r="H247" s="118">
        <v>2</v>
      </c>
      <c r="I247" s="820">
        <v>26385</v>
      </c>
      <c r="J247" s="118">
        <f>+CUBICACION!J246</f>
        <v>0</v>
      </c>
      <c r="K247" s="118">
        <v>3026</v>
      </c>
      <c r="L247" s="118">
        <f>+CUBICACION!L246</f>
        <v>0</v>
      </c>
      <c r="M247" s="64">
        <f>+CUBICACION!M246</f>
        <v>0</v>
      </c>
      <c r="N247" s="824" t="str">
        <f>+CUBICACION!N246</f>
        <v/>
      </c>
      <c r="O247" s="675">
        <f>+CUBICACION!O246</f>
        <v>0</v>
      </c>
      <c r="P247" s="15">
        <f>IF(O247="Fire Control",VLOOKUP(_xlfn.MINIFS('FIRE CONTROL'!$C$4:$C$37,'FIRE CONTROL'!$C$4:$C$37,"&gt;="&amp;M247),'FIRE CONTROL'!$C$4:$G$37,IF(L247="F-15",2,IF(L247="F-30",3,IF(L247="F-60",4,IF(L247="F-90",5,0)))),0),0)+IF(AND(O247="FIRE TEX 5062",OR(E247="IN",E247="C",E247="Z",E247="L"),J247=3),VLOOKUP(_xlfn.MINIFS('FIRE TEX 5062'!$B$4:$B$34,'FIRE TEX 5062'!$B$4:$B$34,"&gt;="&amp;M247),'FIRE TEX 5062'!$B$4:$F$34,IF(L247="F-15",2,IF(L247="F-30",3,IF(L247="F-60",4,IF(L247="F-90",5,0)))),0),0)+IF(AND(O247="FIRE TEX 5062",OR(E247="IN",E247="C",E247="Z",E247="L"),J247=4),VLOOKUP(_xlfn.MINIFS('FIRE TEX 5062'!$G$4:$G$34,'FIRE TEX 5062'!$G$4:$G$34,"&gt;="&amp;M247),'FIRE TEX 5062'!$G$4:$K$34,IF(L247="F-15",2,IF(L247="F-30",3,IF(L247="F-60",4,IF(L247="F-90",5,0)))),0),0)+IF(AND(O247="FIRE TEX 5062",E247="CJ",J247=3),VLOOKUP(_xlfn.MINIFS('FIRE TEX 5062'!$L$4:$L$34,'FIRE TEX 5062'!$L$4:$L$34,"&gt;="&amp;M247),'FIRE TEX 5062'!$L$4:$P$34,IF(L247="F-15",2,IF(L247="F-30",3,IF(L247="F-60",4,IF(L247="F-90",5,0)))),0),0)+IF(AND(O247="FIRE TEX 5062",E247="CJ",J247=4),VLOOKUP(_xlfn.MINIFS('FIRE TEX 5062'!$Q$3:$Q$34,'FIRE TEX 5062'!$Q$3:$Q$34,"&gt;="&amp;M247),'FIRE TEX 5062'!$Q$3:$U$34,IF(L247="F-15",2,IF(L247="F-30",3,IF(L247="F-60",4,IF(L247="F-90",5,0)))),0),0)+IF(AND(O247="FIRE TEX 5090",OR(E247="IN",E247="C",E247="Z",E247="L"),J247=3),VLOOKUP(_xlfn.MINIFS('FIRE TEX 5090'!$B$5:$B$43,'FIRE TEX 5090'!$B$5:$B$43,"&gt;="&amp;M247),'FIRE TEX 5090'!$B$5:$H$43,IF(L247="F-15",2,IF(L247="F-30",3,IF(L247="F-60",4,IF(L247="F-90",5,IF(L247="F-120",6,IF(L247="F-150",7,0)))))),0),0)+IF(AND(O247="FIRE TEX 5090",OR(E247="IN",E247="C",E247="Z",E247="L"),J247=4),VLOOKUP(_xlfn.MINIFS('FIRE TEX 5090'!$J$5:$J$43,'FIRE TEX 5090'!$J$5:$J$43,"&gt;="&amp;M247),'FIRE TEX 5090'!$J$5:$P$43,IF(L247="F-15",2,IF(L247="F-30",3,IF(L247="F-60",4,IF(L247="F-90",5,IF(L247="F-120",6,IF(L247="F-150",7,0)))))),0),0)+IF(AND(O247="FIRE TEX 5090",E247="CJ",J247=3),VLOOKUP(_xlfn.MINIFS('FIRE TEX 5090'!$R$5:$R$30,'FIRE TEX 5090'!$R$5:$R$30,"&gt;="&amp;M247),'FIRE TEX 5090'!$R$5:$W$30,IF(L247="F-15",2,IF(L247="F-30",3,IF(L247="F-60",4,IF(L247="F-90",5,IF(L247="F-120",6,IF(L247="F-150",7,0)))))),0),0)+IF(AND(O247="FIRE TEX 5090",E247="CJ",J247=4),VLOOKUP(_xlfn.MINIFS('FIRE TEX 5090'!$Y$5:$Y$39,'FIRE TEX 5090'!$Y$5:$Y$39,"&gt;="&amp;M247),'FIRE TEX 5090'!$Y$5:$AD$39,IF(L247="F-15",2,IF(L247="F-30",3,IF(L247="F-60",4,IF(L247="F-90",5,IF(L247="F-120",6,IF(L247="F-150",7,0)))))),0),0)+IF(AND(O247="FIRE TEX 5120",OR(E247="IN",E247="C",E247="Z",E247="L"),J247=3),VLOOKUP(_xlfn.MINIFS('FIRE TEX 5120'!$B$5:$B$40,'FIRE TEX 5120'!$B$5:$B$40,"&gt;="&amp;M247),'FIRE TEX 5120'!$B$5:$G$40,IF(L247="F-15",2,IF(L247="F-30",3,IF(L247="F-60",4,IF(L247="F-90",5,IF(L247="F-120",6,0))))),0),0)+IF(AND(O247="FIRE TEX 5120",OR(E247="IN",E247="C",E247="Z",E247="L"),J247=4),VLOOKUP(_xlfn.MINIFS('FIRE TEX 5120'!$H$4:$H$40,'FIRE TEX 5120'!$H$4:$H$40,"&gt;="&amp;M247),'FIRE TEX 5120'!$H$4:$M$40,IF(L247="F-15",2,IF(L247="F-30",3,IF(L247="F-60",4,IF(L247="F-90",5,IF(L247="F-120",6,0))))),0),0)+IF(AND(O247="FIRE TEX 5120",E247="CJ"),VLOOKUP(_xlfn.MINIFS('FIRE TEX 5120'!$O$5:$O$40,'FIRE TEX 5120'!$O$5:$O$40,"&gt;="&amp;M247),'FIRE TEX 5120'!$O$5:$T$40,IF(L247="F-15",2,IF(L247="F-30",3,IF(L247="F-60",4,IF(L247="F-90",5,IF(L247="F-120",6,0))))),0),0)</f>
        <v>0</v>
      </c>
      <c r="Q247" s="46">
        <f t="shared" si="26"/>
        <v>0</v>
      </c>
      <c r="R247" s="46">
        <f t="shared" si="28"/>
        <v>0</v>
      </c>
      <c r="S247" s="46" t="e">
        <f t="shared" si="27"/>
        <v>#VALUE!</v>
      </c>
      <c r="T247" s="677">
        <f t="shared" si="29"/>
        <v>0</v>
      </c>
      <c r="U247" s="80">
        <f>(IF(O247="Stofire",(S247*#REF!),0))+(IF(O247="Fire Control",(S247*$U$2),0))+(IF(O247="Fire Tex",(S247*$U$3),0))+(IF(O247="WB7",(S247*#REF!),0)+(IF(O247="FX 2003",(S247*$U$5),0)))</f>
        <v>0</v>
      </c>
      <c r="V247" s="651">
        <f t="shared" ref="V247:V259" si="33">_xlfn.CEILING.MATH(M247,10)</f>
        <v>0</v>
      </c>
      <c r="W247" s="4"/>
    </row>
    <row r="248" spans="1:23" x14ac:dyDescent="0.25">
      <c r="A248" s="652" t="s">
        <v>414</v>
      </c>
      <c r="B248" s="653" t="s">
        <v>415</v>
      </c>
      <c r="C248" s="1" t="s">
        <v>408</v>
      </c>
      <c r="D248" s="118">
        <f>+CUBICACION!D247</f>
        <v>0</v>
      </c>
      <c r="E248" s="118">
        <f>+CUBICACION!F247</f>
        <v>0</v>
      </c>
      <c r="F248" s="118">
        <f>+CUBICACION!E247</f>
        <v>0</v>
      </c>
      <c r="G248" s="118">
        <v>12</v>
      </c>
      <c r="H248" s="118">
        <v>2</v>
      </c>
      <c r="I248" s="820">
        <v>26385</v>
      </c>
      <c r="J248" s="118">
        <f>+CUBICACION!J247</f>
        <v>0</v>
      </c>
      <c r="K248" s="118">
        <v>3027</v>
      </c>
      <c r="L248" s="118">
        <f>+CUBICACION!L247</f>
        <v>0</v>
      </c>
      <c r="M248" s="64">
        <f>+CUBICACION!M247</f>
        <v>0</v>
      </c>
      <c r="N248" s="824" t="str">
        <f>+CUBICACION!N247</f>
        <v/>
      </c>
      <c r="O248" s="675">
        <f>+CUBICACION!O247</f>
        <v>0</v>
      </c>
      <c r="P248" s="15">
        <f>IF(O248="Fire Control",VLOOKUP(_xlfn.MINIFS('FIRE CONTROL'!$C$4:$C$37,'FIRE CONTROL'!$C$4:$C$37,"&gt;="&amp;M248),'FIRE CONTROL'!$C$4:$G$37,IF(L248="F-15",2,IF(L248="F-30",3,IF(L248="F-60",4,IF(L248="F-90",5,0)))),0),0)+IF(AND(O248="FIRE TEX 5062",OR(E248="IN",E248="C",E248="Z",E248="L"),J248=3),VLOOKUP(_xlfn.MINIFS('FIRE TEX 5062'!$B$4:$B$34,'FIRE TEX 5062'!$B$4:$B$34,"&gt;="&amp;M248),'FIRE TEX 5062'!$B$4:$F$34,IF(L248="F-15",2,IF(L248="F-30",3,IF(L248="F-60",4,IF(L248="F-90",5,0)))),0),0)+IF(AND(O248="FIRE TEX 5062",OR(E248="IN",E248="C",E248="Z",E248="L"),J248=4),VLOOKUP(_xlfn.MINIFS('FIRE TEX 5062'!$G$4:$G$34,'FIRE TEX 5062'!$G$4:$G$34,"&gt;="&amp;M248),'FIRE TEX 5062'!$G$4:$K$34,IF(L248="F-15",2,IF(L248="F-30",3,IF(L248="F-60",4,IF(L248="F-90",5,0)))),0),0)+IF(AND(O248="FIRE TEX 5062",E248="CJ",J248=3),VLOOKUP(_xlfn.MINIFS('FIRE TEX 5062'!$L$4:$L$34,'FIRE TEX 5062'!$L$4:$L$34,"&gt;="&amp;M248),'FIRE TEX 5062'!$L$4:$P$34,IF(L248="F-15",2,IF(L248="F-30",3,IF(L248="F-60",4,IF(L248="F-90",5,0)))),0),0)+IF(AND(O248="FIRE TEX 5062",E248="CJ",J248=4),VLOOKUP(_xlfn.MINIFS('FIRE TEX 5062'!$Q$3:$Q$34,'FIRE TEX 5062'!$Q$3:$Q$34,"&gt;="&amp;M248),'FIRE TEX 5062'!$Q$3:$U$34,IF(L248="F-15",2,IF(L248="F-30",3,IF(L248="F-60",4,IF(L248="F-90",5,0)))),0),0)+IF(AND(O248="FIRE TEX 5090",OR(E248="IN",E248="C",E248="Z",E248="L"),J248=3),VLOOKUP(_xlfn.MINIFS('FIRE TEX 5090'!$B$5:$B$43,'FIRE TEX 5090'!$B$5:$B$43,"&gt;="&amp;M248),'FIRE TEX 5090'!$B$5:$H$43,IF(L248="F-15",2,IF(L248="F-30",3,IF(L248="F-60",4,IF(L248="F-90",5,IF(L248="F-120",6,IF(L248="F-150",7,0)))))),0),0)+IF(AND(O248="FIRE TEX 5090",OR(E248="IN",E248="C",E248="Z",E248="L"),J248=4),VLOOKUP(_xlfn.MINIFS('FIRE TEX 5090'!$J$5:$J$43,'FIRE TEX 5090'!$J$5:$J$43,"&gt;="&amp;M248),'FIRE TEX 5090'!$J$5:$P$43,IF(L248="F-15",2,IF(L248="F-30",3,IF(L248="F-60",4,IF(L248="F-90",5,IF(L248="F-120",6,IF(L248="F-150",7,0)))))),0),0)+IF(AND(O248="FIRE TEX 5090",E248="CJ",J248=3),VLOOKUP(_xlfn.MINIFS('FIRE TEX 5090'!$R$5:$R$30,'FIRE TEX 5090'!$R$5:$R$30,"&gt;="&amp;M248),'FIRE TEX 5090'!$R$5:$W$30,IF(L248="F-15",2,IF(L248="F-30",3,IF(L248="F-60",4,IF(L248="F-90",5,IF(L248="F-120",6,IF(L248="F-150",7,0)))))),0),0)+IF(AND(O248="FIRE TEX 5090",E248="CJ",J248=4),VLOOKUP(_xlfn.MINIFS('FIRE TEX 5090'!$Y$5:$Y$39,'FIRE TEX 5090'!$Y$5:$Y$39,"&gt;="&amp;M248),'FIRE TEX 5090'!$Y$5:$AD$39,IF(L248="F-15",2,IF(L248="F-30",3,IF(L248="F-60",4,IF(L248="F-90",5,IF(L248="F-120",6,IF(L248="F-150",7,0)))))),0),0)+IF(AND(O248="FIRE TEX 5120",OR(E248="IN",E248="C",E248="Z",E248="L"),J248=3),VLOOKUP(_xlfn.MINIFS('FIRE TEX 5120'!$B$5:$B$40,'FIRE TEX 5120'!$B$5:$B$40,"&gt;="&amp;M248),'FIRE TEX 5120'!$B$5:$G$40,IF(L248="F-15",2,IF(L248="F-30",3,IF(L248="F-60",4,IF(L248="F-90",5,IF(L248="F-120",6,0))))),0),0)+IF(AND(O248="FIRE TEX 5120",OR(E248="IN",E248="C",E248="Z",E248="L"),J248=4),VLOOKUP(_xlfn.MINIFS('FIRE TEX 5120'!$H$4:$H$40,'FIRE TEX 5120'!$H$4:$H$40,"&gt;="&amp;M248),'FIRE TEX 5120'!$H$4:$M$40,IF(L248="F-15",2,IF(L248="F-30",3,IF(L248="F-60",4,IF(L248="F-90",5,IF(L248="F-120",6,0))))),0),0)+IF(AND(O248="FIRE TEX 5120",E248="CJ"),VLOOKUP(_xlfn.MINIFS('FIRE TEX 5120'!$O$5:$O$40,'FIRE TEX 5120'!$O$5:$O$40,"&gt;="&amp;M248),'FIRE TEX 5120'!$O$5:$T$40,IF(L248="F-15",2,IF(L248="F-30",3,IF(L248="F-60",4,IF(L248="F-90",5,IF(L248="F-120",6,0))))),0),0)</f>
        <v>0</v>
      </c>
      <c r="Q248" s="46">
        <f t="shared" si="26"/>
        <v>0</v>
      </c>
      <c r="R248" s="46">
        <f t="shared" si="28"/>
        <v>0</v>
      </c>
      <c r="S248" s="46" t="e">
        <f t="shared" si="27"/>
        <v>#VALUE!</v>
      </c>
      <c r="T248" s="677">
        <f t="shared" si="29"/>
        <v>0</v>
      </c>
      <c r="U248" s="80">
        <f>(IF(O248="Stofire",(S248*#REF!),0))+(IF(O248="Fire Control",(S248*$U$2),0))+(IF(O248="Fire Tex",(S248*$U$3),0))+(IF(O248="WB7",(S248*#REF!),0)+(IF(O248="FX 2003",(S248*$U$5),0)))</f>
        <v>0</v>
      </c>
      <c r="V248" s="651">
        <f t="shared" si="33"/>
        <v>0</v>
      </c>
      <c r="W248" s="4"/>
    </row>
    <row r="249" spans="1:23" x14ac:dyDescent="0.25">
      <c r="A249" s="652" t="s">
        <v>417</v>
      </c>
      <c r="B249" s="653" t="s">
        <v>415</v>
      </c>
      <c r="C249" s="1" t="s">
        <v>408</v>
      </c>
      <c r="D249" s="118">
        <f>+CUBICACION!D248</f>
        <v>0</v>
      </c>
      <c r="E249" s="118">
        <f>+CUBICACION!F248</f>
        <v>0</v>
      </c>
      <c r="F249" s="118">
        <f>+CUBICACION!E248</f>
        <v>0</v>
      </c>
      <c r="G249" s="118">
        <v>12</v>
      </c>
      <c r="H249" s="118">
        <v>2</v>
      </c>
      <c r="I249" s="820">
        <v>26385</v>
      </c>
      <c r="J249" s="118">
        <f>+CUBICACION!J248</f>
        <v>0</v>
      </c>
      <c r="K249" s="118">
        <v>3028</v>
      </c>
      <c r="L249" s="118">
        <f>+CUBICACION!L248</f>
        <v>0</v>
      </c>
      <c r="M249" s="64">
        <f>+CUBICACION!M248</f>
        <v>0</v>
      </c>
      <c r="N249" s="824" t="str">
        <f>+CUBICACION!N248</f>
        <v/>
      </c>
      <c r="O249" s="675">
        <f>+CUBICACION!O248</f>
        <v>0</v>
      </c>
      <c r="P249" s="15">
        <f>IF(O249="Fire Control",VLOOKUP(_xlfn.MINIFS('FIRE CONTROL'!$C$4:$C$37,'FIRE CONTROL'!$C$4:$C$37,"&gt;="&amp;M249),'FIRE CONTROL'!$C$4:$G$37,IF(L249="F-15",2,IF(L249="F-30",3,IF(L249="F-60",4,IF(L249="F-90",5,0)))),0),0)+IF(AND(O249="FIRE TEX 5062",OR(E249="IN",E249="C",E249="Z",E249="L"),J249=3),VLOOKUP(_xlfn.MINIFS('FIRE TEX 5062'!$B$4:$B$34,'FIRE TEX 5062'!$B$4:$B$34,"&gt;="&amp;M249),'FIRE TEX 5062'!$B$4:$F$34,IF(L249="F-15",2,IF(L249="F-30",3,IF(L249="F-60",4,IF(L249="F-90",5,0)))),0),0)+IF(AND(O249="FIRE TEX 5062",OR(E249="IN",E249="C",E249="Z",E249="L"),J249=4),VLOOKUP(_xlfn.MINIFS('FIRE TEX 5062'!$G$4:$G$34,'FIRE TEX 5062'!$G$4:$G$34,"&gt;="&amp;M249),'FIRE TEX 5062'!$G$4:$K$34,IF(L249="F-15",2,IF(L249="F-30",3,IF(L249="F-60",4,IF(L249="F-90",5,0)))),0),0)+IF(AND(O249="FIRE TEX 5062",E249="CJ",J249=3),VLOOKUP(_xlfn.MINIFS('FIRE TEX 5062'!$L$4:$L$34,'FIRE TEX 5062'!$L$4:$L$34,"&gt;="&amp;M249),'FIRE TEX 5062'!$L$4:$P$34,IF(L249="F-15",2,IF(L249="F-30",3,IF(L249="F-60",4,IF(L249="F-90",5,0)))),0),0)+IF(AND(O249="FIRE TEX 5062",E249="CJ",J249=4),VLOOKUP(_xlfn.MINIFS('FIRE TEX 5062'!$Q$3:$Q$34,'FIRE TEX 5062'!$Q$3:$Q$34,"&gt;="&amp;M249),'FIRE TEX 5062'!$Q$3:$U$34,IF(L249="F-15",2,IF(L249="F-30",3,IF(L249="F-60",4,IF(L249="F-90",5,0)))),0),0)+IF(AND(O249="FIRE TEX 5090",OR(E249="IN",E249="C",E249="Z",E249="L"),J249=3),VLOOKUP(_xlfn.MINIFS('FIRE TEX 5090'!$B$5:$B$43,'FIRE TEX 5090'!$B$5:$B$43,"&gt;="&amp;M249),'FIRE TEX 5090'!$B$5:$H$43,IF(L249="F-15",2,IF(L249="F-30",3,IF(L249="F-60",4,IF(L249="F-90",5,IF(L249="F-120",6,IF(L249="F-150",7,0)))))),0),0)+IF(AND(O249="FIRE TEX 5090",OR(E249="IN",E249="C",E249="Z",E249="L"),J249=4),VLOOKUP(_xlfn.MINIFS('FIRE TEX 5090'!$J$5:$J$43,'FIRE TEX 5090'!$J$5:$J$43,"&gt;="&amp;M249),'FIRE TEX 5090'!$J$5:$P$43,IF(L249="F-15",2,IF(L249="F-30",3,IF(L249="F-60",4,IF(L249="F-90",5,IF(L249="F-120",6,IF(L249="F-150",7,0)))))),0),0)+IF(AND(O249="FIRE TEX 5090",E249="CJ",J249=3),VLOOKUP(_xlfn.MINIFS('FIRE TEX 5090'!$R$5:$R$30,'FIRE TEX 5090'!$R$5:$R$30,"&gt;="&amp;M249),'FIRE TEX 5090'!$R$5:$W$30,IF(L249="F-15",2,IF(L249="F-30",3,IF(L249="F-60",4,IF(L249="F-90",5,IF(L249="F-120",6,IF(L249="F-150",7,0)))))),0),0)+IF(AND(O249="FIRE TEX 5090",E249="CJ",J249=4),VLOOKUP(_xlfn.MINIFS('FIRE TEX 5090'!$Y$5:$Y$39,'FIRE TEX 5090'!$Y$5:$Y$39,"&gt;="&amp;M249),'FIRE TEX 5090'!$Y$5:$AD$39,IF(L249="F-15",2,IF(L249="F-30",3,IF(L249="F-60",4,IF(L249="F-90",5,IF(L249="F-120",6,IF(L249="F-150",7,0)))))),0),0)+IF(AND(O249="FIRE TEX 5120",OR(E249="IN",E249="C",E249="Z",E249="L"),J249=3),VLOOKUP(_xlfn.MINIFS('FIRE TEX 5120'!$B$5:$B$40,'FIRE TEX 5120'!$B$5:$B$40,"&gt;="&amp;M249),'FIRE TEX 5120'!$B$5:$G$40,IF(L249="F-15",2,IF(L249="F-30",3,IF(L249="F-60",4,IF(L249="F-90",5,IF(L249="F-120",6,0))))),0),0)+IF(AND(O249="FIRE TEX 5120",OR(E249="IN",E249="C",E249="Z",E249="L"),J249=4),VLOOKUP(_xlfn.MINIFS('FIRE TEX 5120'!$H$4:$H$40,'FIRE TEX 5120'!$H$4:$H$40,"&gt;="&amp;M249),'FIRE TEX 5120'!$H$4:$M$40,IF(L249="F-15",2,IF(L249="F-30",3,IF(L249="F-60",4,IF(L249="F-90",5,IF(L249="F-120",6,0))))),0),0)+IF(AND(O249="FIRE TEX 5120",E249="CJ"),VLOOKUP(_xlfn.MINIFS('FIRE TEX 5120'!$O$5:$O$40,'FIRE TEX 5120'!$O$5:$O$40,"&gt;="&amp;M249),'FIRE TEX 5120'!$O$5:$T$40,IF(L249="F-15",2,IF(L249="F-30",3,IF(L249="F-60",4,IF(L249="F-90",5,IF(L249="F-120",6,0))))),0),0)</f>
        <v>0</v>
      </c>
      <c r="Q249" s="46">
        <f t="shared" si="26"/>
        <v>0</v>
      </c>
      <c r="R249" s="46">
        <f t="shared" si="28"/>
        <v>0</v>
      </c>
      <c r="S249" s="46" t="e">
        <f t="shared" si="27"/>
        <v>#VALUE!</v>
      </c>
      <c r="T249" s="677">
        <f t="shared" si="29"/>
        <v>0</v>
      </c>
      <c r="U249" s="80">
        <f>(IF(O249="Stofire",(S249*#REF!),0))+(IF(O249="Fire Control",(S249*$U$2),0))+(IF(O249="Fire Tex",(S249*$U$3),0))+(IF(O249="WB7",(S249*#REF!),0)+(IF(O249="FX 2003",(S249*$U$5),0)))</f>
        <v>0</v>
      </c>
      <c r="V249" s="651">
        <f t="shared" si="33"/>
        <v>0</v>
      </c>
      <c r="W249" s="4"/>
    </row>
    <row r="250" spans="1:23" x14ac:dyDescent="0.25">
      <c r="A250" s="652" t="s">
        <v>419</v>
      </c>
      <c r="B250" s="653" t="s">
        <v>415</v>
      </c>
      <c r="C250" s="1" t="s">
        <v>408</v>
      </c>
      <c r="D250" s="118">
        <f>+CUBICACION!D249</f>
        <v>0</v>
      </c>
      <c r="E250" s="118">
        <f>+CUBICACION!F249</f>
        <v>0</v>
      </c>
      <c r="F250" s="118">
        <f>+CUBICACION!E249</f>
        <v>0</v>
      </c>
      <c r="G250" s="118">
        <v>12</v>
      </c>
      <c r="H250" s="118">
        <v>2</v>
      </c>
      <c r="I250" s="820">
        <v>26385</v>
      </c>
      <c r="J250" s="118">
        <f>+CUBICACION!J249</f>
        <v>0</v>
      </c>
      <c r="K250" s="118">
        <v>3029</v>
      </c>
      <c r="L250" s="118">
        <f>+CUBICACION!L249</f>
        <v>0</v>
      </c>
      <c r="M250" s="64">
        <f>+CUBICACION!M249</f>
        <v>0</v>
      </c>
      <c r="N250" s="824" t="str">
        <f>+CUBICACION!N249</f>
        <v/>
      </c>
      <c r="O250" s="675">
        <f>+CUBICACION!O249</f>
        <v>0</v>
      </c>
      <c r="P250" s="15">
        <f>IF(O250="Fire Control",VLOOKUP(_xlfn.MINIFS('FIRE CONTROL'!$C$4:$C$37,'FIRE CONTROL'!$C$4:$C$37,"&gt;="&amp;M250),'FIRE CONTROL'!$C$4:$G$37,IF(L250="F-15",2,IF(L250="F-30",3,IF(L250="F-60",4,IF(L250="F-90",5,0)))),0),0)+IF(AND(O250="FIRE TEX 5062",OR(E250="IN",E250="C",E250="Z",E250="L"),J250=3),VLOOKUP(_xlfn.MINIFS('FIRE TEX 5062'!$B$4:$B$34,'FIRE TEX 5062'!$B$4:$B$34,"&gt;="&amp;M250),'FIRE TEX 5062'!$B$4:$F$34,IF(L250="F-15",2,IF(L250="F-30",3,IF(L250="F-60",4,IF(L250="F-90",5,0)))),0),0)+IF(AND(O250="FIRE TEX 5062",OR(E250="IN",E250="C",E250="Z",E250="L"),J250=4),VLOOKUP(_xlfn.MINIFS('FIRE TEX 5062'!$G$4:$G$34,'FIRE TEX 5062'!$G$4:$G$34,"&gt;="&amp;M250),'FIRE TEX 5062'!$G$4:$K$34,IF(L250="F-15",2,IF(L250="F-30",3,IF(L250="F-60",4,IF(L250="F-90",5,0)))),0),0)+IF(AND(O250="FIRE TEX 5062",E250="CJ",J250=3),VLOOKUP(_xlfn.MINIFS('FIRE TEX 5062'!$L$4:$L$34,'FIRE TEX 5062'!$L$4:$L$34,"&gt;="&amp;M250),'FIRE TEX 5062'!$L$4:$P$34,IF(L250="F-15",2,IF(L250="F-30",3,IF(L250="F-60",4,IF(L250="F-90",5,0)))),0),0)+IF(AND(O250="FIRE TEX 5062",E250="CJ",J250=4),VLOOKUP(_xlfn.MINIFS('FIRE TEX 5062'!$Q$3:$Q$34,'FIRE TEX 5062'!$Q$3:$Q$34,"&gt;="&amp;M250),'FIRE TEX 5062'!$Q$3:$U$34,IF(L250="F-15",2,IF(L250="F-30",3,IF(L250="F-60",4,IF(L250="F-90",5,0)))),0),0)+IF(AND(O250="FIRE TEX 5090",OR(E250="IN",E250="C",E250="Z",E250="L"),J250=3),VLOOKUP(_xlfn.MINIFS('FIRE TEX 5090'!$B$5:$B$43,'FIRE TEX 5090'!$B$5:$B$43,"&gt;="&amp;M250),'FIRE TEX 5090'!$B$5:$H$43,IF(L250="F-15",2,IF(L250="F-30",3,IF(L250="F-60",4,IF(L250="F-90",5,IF(L250="F-120",6,IF(L250="F-150",7,0)))))),0),0)+IF(AND(O250="FIRE TEX 5090",OR(E250="IN",E250="C",E250="Z",E250="L"),J250=4),VLOOKUP(_xlfn.MINIFS('FIRE TEX 5090'!$J$5:$J$43,'FIRE TEX 5090'!$J$5:$J$43,"&gt;="&amp;M250),'FIRE TEX 5090'!$J$5:$P$43,IF(L250="F-15",2,IF(L250="F-30",3,IF(L250="F-60",4,IF(L250="F-90",5,IF(L250="F-120",6,IF(L250="F-150",7,0)))))),0),0)+IF(AND(O250="FIRE TEX 5090",E250="CJ",J250=3),VLOOKUP(_xlfn.MINIFS('FIRE TEX 5090'!$R$5:$R$30,'FIRE TEX 5090'!$R$5:$R$30,"&gt;="&amp;M250),'FIRE TEX 5090'!$R$5:$W$30,IF(L250="F-15",2,IF(L250="F-30",3,IF(L250="F-60",4,IF(L250="F-90",5,IF(L250="F-120",6,IF(L250="F-150",7,0)))))),0),0)+IF(AND(O250="FIRE TEX 5090",E250="CJ",J250=4),VLOOKUP(_xlfn.MINIFS('FIRE TEX 5090'!$Y$5:$Y$39,'FIRE TEX 5090'!$Y$5:$Y$39,"&gt;="&amp;M250),'FIRE TEX 5090'!$Y$5:$AD$39,IF(L250="F-15",2,IF(L250="F-30",3,IF(L250="F-60",4,IF(L250="F-90",5,IF(L250="F-120",6,IF(L250="F-150",7,0)))))),0),0)+IF(AND(O250="FIRE TEX 5120",OR(E250="IN",E250="C",E250="Z",E250="L"),J250=3),VLOOKUP(_xlfn.MINIFS('FIRE TEX 5120'!$B$5:$B$40,'FIRE TEX 5120'!$B$5:$B$40,"&gt;="&amp;M250),'FIRE TEX 5120'!$B$5:$G$40,IF(L250="F-15",2,IF(L250="F-30",3,IF(L250="F-60",4,IF(L250="F-90",5,IF(L250="F-120",6,0))))),0),0)+IF(AND(O250="FIRE TEX 5120",OR(E250="IN",E250="C",E250="Z",E250="L"),J250=4),VLOOKUP(_xlfn.MINIFS('FIRE TEX 5120'!$H$4:$H$40,'FIRE TEX 5120'!$H$4:$H$40,"&gt;="&amp;M250),'FIRE TEX 5120'!$H$4:$M$40,IF(L250="F-15",2,IF(L250="F-30",3,IF(L250="F-60",4,IF(L250="F-90",5,IF(L250="F-120",6,0))))),0),0)+IF(AND(O250="FIRE TEX 5120",E250="CJ"),VLOOKUP(_xlfn.MINIFS('FIRE TEX 5120'!$O$5:$O$40,'FIRE TEX 5120'!$O$5:$O$40,"&gt;="&amp;M250),'FIRE TEX 5120'!$O$5:$T$40,IF(L250="F-15",2,IF(L250="F-30",3,IF(L250="F-60",4,IF(L250="F-90",5,IF(L250="F-120",6,0))))),0),0)</f>
        <v>0</v>
      </c>
      <c r="Q250" s="46">
        <f t="shared" si="26"/>
        <v>0</v>
      </c>
      <c r="R250" s="46">
        <f t="shared" si="28"/>
        <v>0</v>
      </c>
      <c r="S250" s="46" t="e">
        <f t="shared" si="27"/>
        <v>#VALUE!</v>
      </c>
      <c r="T250" s="677">
        <f t="shared" si="29"/>
        <v>0</v>
      </c>
      <c r="U250" s="80">
        <f>(IF(O250="Stofire",(S250*#REF!),0))+(IF(O250="Fire Control",(S250*$U$2),0))+(IF(O250="Fire Tex",(S250*$U$3),0))+(IF(O250="WB7",(S250*#REF!),0)+(IF(O250="FX 2003",(S250*$U$5),0)))</f>
        <v>0</v>
      </c>
      <c r="V250" s="651">
        <f t="shared" si="33"/>
        <v>0</v>
      </c>
      <c r="W250" s="4"/>
    </row>
    <row r="251" spans="1:23" x14ac:dyDescent="0.25">
      <c r="A251" s="652" t="s">
        <v>421</v>
      </c>
      <c r="B251" s="653" t="s">
        <v>422</v>
      </c>
      <c r="C251" s="1" t="s">
        <v>423</v>
      </c>
      <c r="D251" s="118">
        <f>+CUBICACION!D250</f>
        <v>0</v>
      </c>
      <c r="E251" s="118">
        <f>+CUBICACION!F250</f>
        <v>0</v>
      </c>
      <c r="F251" s="118">
        <f>+CUBICACION!E250</f>
        <v>0</v>
      </c>
      <c r="G251" s="118">
        <v>12</v>
      </c>
      <c r="H251" s="118">
        <v>2</v>
      </c>
      <c r="I251" s="820">
        <v>26385</v>
      </c>
      <c r="J251" s="118">
        <f>+CUBICACION!J250</f>
        <v>0</v>
      </c>
      <c r="K251" s="118">
        <v>3030</v>
      </c>
      <c r="L251" s="118">
        <f>+CUBICACION!L250</f>
        <v>0</v>
      </c>
      <c r="M251" s="64">
        <f>+CUBICACION!M250</f>
        <v>0</v>
      </c>
      <c r="N251" s="824" t="str">
        <f>+CUBICACION!N250</f>
        <v/>
      </c>
      <c r="O251" s="675">
        <f>+CUBICACION!O250</f>
        <v>0</v>
      </c>
      <c r="P251" s="15">
        <f>IF(O251="Fire Control",VLOOKUP(_xlfn.MINIFS('FIRE CONTROL'!$C$4:$C$37,'FIRE CONTROL'!$C$4:$C$37,"&gt;="&amp;M251),'FIRE CONTROL'!$C$4:$G$37,IF(L251="F-15",2,IF(L251="F-30",3,IF(L251="F-60",4,IF(L251="F-90",5,0)))),0),0)+IF(AND(O251="FIRE TEX 5062",OR(E251="IN",E251="C",E251="Z",E251="L"),J251=3),VLOOKUP(_xlfn.MINIFS('FIRE TEX 5062'!$B$4:$B$34,'FIRE TEX 5062'!$B$4:$B$34,"&gt;="&amp;M251),'FIRE TEX 5062'!$B$4:$F$34,IF(L251="F-15",2,IF(L251="F-30",3,IF(L251="F-60",4,IF(L251="F-90",5,0)))),0),0)+IF(AND(O251="FIRE TEX 5062",OR(E251="IN",E251="C",E251="Z",E251="L"),J251=4),VLOOKUP(_xlfn.MINIFS('FIRE TEX 5062'!$G$4:$G$34,'FIRE TEX 5062'!$G$4:$G$34,"&gt;="&amp;M251),'FIRE TEX 5062'!$G$4:$K$34,IF(L251="F-15",2,IF(L251="F-30",3,IF(L251="F-60",4,IF(L251="F-90",5,0)))),0),0)+IF(AND(O251="FIRE TEX 5062",E251="CJ",J251=3),VLOOKUP(_xlfn.MINIFS('FIRE TEX 5062'!$L$4:$L$34,'FIRE TEX 5062'!$L$4:$L$34,"&gt;="&amp;M251),'FIRE TEX 5062'!$L$4:$P$34,IF(L251="F-15",2,IF(L251="F-30",3,IF(L251="F-60",4,IF(L251="F-90",5,0)))),0),0)+IF(AND(O251="FIRE TEX 5062",E251="CJ",J251=4),VLOOKUP(_xlfn.MINIFS('FIRE TEX 5062'!$Q$3:$Q$34,'FIRE TEX 5062'!$Q$3:$Q$34,"&gt;="&amp;M251),'FIRE TEX 5062'!$Q$3:$U$34,IF(L251="F-15",2,IF(L251="F-30",3,IF(L251="F-60",4,IF(L251="F-90",5,0)))),0),0)+IF(AND(O251="FIRE TEX 5090",OR(E251="IN",E251="C",E251="Z",E251="L"),J251=3),VLOOKUP(_xlfn.MINIFS('FIRE TEX 5090'!$B$5:$B$43,'FIRE TEX 5090'!$B$5:$B$43,"&gt;="&amp;M251),'FIRE TEX 5090'!$B$5:$H$43,IF(L251="F-15",2,IF(L251="F-30",3,IF(L251="F-60",4,IF(L251="F-90",5,IF(L251="F-120",6,IF(L251="F-150",7,0)))))),0),0)+IF(AND(O251="FIRE TEX 5090",OR(E251="IN",E251="C",E251="Z",E251="L"),J251=4),VLOOKUP(_xlfn.MINIFS('FIRE TEX 5090'!$J$5:$J$43,'FIRE TEX 5090'!$J$5:$J$43,"&gt;="&amp;M251),'FIRE TEX 5090'!$J$5:$P$43,IF(L251="F-15",2,IF(L251="F-30",3,IF(L251="F-60",4,IF(L251="F-90",5,IF(L251="F-120",6,IF(L251="F-150",7,0)))))),0),0)+IF(AND(O251="FIRE TEX 5090",E251="CJ",J251=3),VLOOKUP(_xlfn.MINIFS('FIRE TEX 5090'!$R$5:$R$30,'FIRE TEX 5090'!$R$5:$R$30,"&gt;="&amp;M251),'FIRE TEX 5090'!$R$5:$W$30,IF(L251="F-15",2,IF(L251="F-30",3,IF(L251="F-60",4,IF(L251="F-90",5,IF(L251="F-120",6,IF(L251="F-150",7,0)))))),0),0)+IF(AND(O251="FIRE TEX 5090",E251="CJ",J251=4),VLOOKUP(_xlfn.MINIFS('FIRE TEX 5090'!$Y$5:$Y$39,'FIRE TEX 5090'!$Y$5:$Y$39,"&gt;="&amp;M251),'FIRE TEX 5090'!$Y$5:$AD$39,IF(L251="F-15",2,IF(L251="F-30",3,IF(L251="F-60",4,IF(L251="F-90",5,IF(L251="F-120",6,IF(L251="F-150",7,0)))))),0),0)+IF(AND(O251="FIRE TEX 5120",OR(E251="IN",E251="C",E251="Z",E251="L"),J251=3),VLOOKUP(_xlfn.MINIFS('FIRE TEX 5120'!$B$5:$B$40,'FIRE TEX 5120'!$B$5:$B$40,"&gt;="&amp;M251),'FIRE TEX 5120'!$B$5:$G$40,IF(L251="F-15",2,IF(L251="F-30",3,IF(L251="F-60",4,IF(L251="F-90",5,IF(L251="F-120",6,0))))),0),0)+IF(AND(O251="FIRE TEX 5120",OR(E251="IN",E251="C",E251="Z",E251="L"),J251=4),VLOOKUP(_xlfn.MINIFS('FIRE TEX 5120'!$H$4:$H$40,'FIRE TEX 5120'!$H$4:$H$40,"&gt;="&amp;M251),'FIRE TEX 5120'!$H$4:$M$40,IF(L251="F-15",2,IF(L251="F-30",3,IF(L251="F-60",4,IF(L251="F-90",5,IF(L251="F-120",6,0))))),0),0)+IF(AND(O251="FIRE TEX 5120",E251="CJ"),VLOOKUP(_xlfn.MINIFS('FIRE TEX 5120'!$O$5:$O$40,'FIRE TEX 5120'!$O$5:$O$40,"&gt;="&amp;M251),'FIRE TEX 5120'!$O$5:$T$40,IF(L251="F-15",2,IF(L251="F-30",3,IF(L251="F-60",4,IF(L251="F-90",5,IF(L251="F-120",6,0))))),0),0)</f>
        <v>0</v>
      </c>
      <c r="Q251" s="46">
        <f t="shared" si="26"/>
        <v>0</v>
      </c>
      <c r="R251" s="46">
        <f t="shared" si="28"/>
        <v>0</v>
      </c>
      <c r="S251" s="46" t="e">
        <f t="shared" si="27"/>
        <v>#VALUE!</v>
      </c>
      <c r="T251" s="677">
        <f t="shared" si="29"/>
        <v>0</v>
      </c>
      <c r="U251" s="80">
        <f>(IF(O251="Stofire",(S251*#REF!),0))+(IF(O251="Fire Control",(S251*$U$2),0))+(IF(O251="Fire Tex",(S251*$U$3),0))+(IF(O251="WB7",(S251*#REF!),0)+(IF(O251="FX 2003",(S251*$U$5),0)))</f>
        <v>0</v>
      </c>
      <c r="V251" s="651">
        <f t="shared" si="33"/>
        <v>0</v>
      </c>
      <c r="W251" s="4"/>
    </row>
    <row r="252" spans="1:23" x14ac:dyDescent="0.25">
      <c r="A252" s="652" t="s">
        <v>425</v>
      </c>
      <c r="B252" s="653" t="s">
        <v>426</v>
      </c>
      <c r="C252" s="1" t="s">
        <v>427</v>
      </c>
      <c r="D252" s="118">
        <f>+CUBICACION!D251</f>
        <v>0</v>
      </c>
      <c r="E252" s="118">
        <f>+CUBICACION!F251</f>
        <v>0</v>
      </c>
      <c r="F252" s="118">
        <f>+CUBICACION!E251</f>
        <v>0</v>
      </c>
      <c r="G252" s="118">
        <v>12</v>
      </c>
      <c r="H252" s="118">
        <v>2</v>
      </c>
      <c r="I252" s="820">
        <v>26385</v>
      </c>
      <c r="J252" s="118">
        <f>+CUBICACION!J251</f>
        <v>0</v>
      </c>
      <c r="K252" s="118">
        <v>3031</v>
      </c>
      <c r="L252" s="118">
        <f>+CUBICACION!L251</f>
        <v>0</v>
      </c>
      <c r="M252" s="64">
        <f>+CUBICACION!M251</f>
        <v>0</v>
      </c>
      <c r="N252" s="824" t="str">
        <f>+CUBICACION!N251</f>
        <v/>
      </c>
      <c r="O252" s="675">
        <f>+CUBICACION!O251</f>
        <v>0</v>
      </c>
      <c r="P252" s="15">
        <f>IF(O252="Fire Control",VLOOKUP(_xlfn.MINIFS('FIRE CONTROL'!$C$4:$C$37,'FIRE CONTROL'!$C$4:$C$37,"&gt;="&amp;M252),'FIRE CONTROL'!$C$4:$G$37,IF(L252="F-15",2,IF(L252="F-30",3,IF(L252="F-60",4,IF(L252="F-90",5,0)))),0),0)+IF(AND(O252="FIRE TEX 5062",OR(E252="IN",E252="C",E252="Z",E252="L"),J252=3),VLOOKUP(_xlfn.MINIFS('FIRE TEX 5062'!$B$4:$B$34,'FIRE TEX 5062'!$B$4:$B$34,"&gt;="&amp;M252),'FIRE TEX 5062'!$B$4:$F$34,IF(L252="F-15",2,IF(L252="F-30",3,IF(L252="F-60",4,IF(L252="F-90",5,0)))),0),0)+IF(AND(O252="FIRE TEX 5062",OR(E252="IN",E252="C",E252="Z",E252="L"),J252=4),VLOOKUP(_xlfn.MINIFS('FIRE TEX 5062'!$G$4:$G$34,'FIRE TEX 5062'!$G$4:$G$34,"&gt;="&amp;M252),'FIRE TEX 5062'!$G$4:$K$34,IF(L252="F-15",2,IF(L252="F-30",3,IF(L252="F-60",4,IF(L252="F-90",5,0)))),0),0)+IF(AND(O252="FIRE TEX 5062",E252="CJ",J252=3),VLOOKUP(_xlfn.MINIFS('FIRE TEX 5062'!$L$4:$L$34,'FIRE TEX 5062'!$L$4:$L$34,"&gt;="&amp;M252),'FIRE TEX 5062'!$L$4:$P$34,IF(L252="F-15",2,IF(L252="F-30",3,IF(L252="F-60",4,IF(L252="F-90",5,0)))),0),0)+IF(AND(O252="FIRE TEX 5062",E252="CJ",J252=4),VLOOKUP(_xlfn.MINIFS('FIRE TEX 5062'!$Q$3:$Q$34,'FIRE TEX 5062'!$Q$3:$Q$34,"&gt;="&amp;M252),'FIRE TEX 5062'!$Q$3:$U$34,IF(L252="F-15",2,IF(L252="F-30",3,IF(L252="F-60",4,IF(L252="F-90",5,0)))),0),0)+IF(AND(O252="FIRE TEX 5090",OR(E252="IN",E252="C",E252="Z",E252="L"),J252=3),VLOOKUP(_xlfn.MINIFS('FIRE TEX 5090'!$B$5:$B$43,'FIRE TEX 5090'!$B$5:$B$43,"&gt;="&amp;M252),'FIRE TEX 5090'!$B$5:$H$43,IF(L252="F-15",2,IF(L252="F-30",3,IF(L252="F-60",4,IF(L252="F-90",5,IF(L252="F-120",6,IF(L252="F-150",7,0)))))),0),0)+IF(AND(O252="FIRE TEX 5090",OR(E252="IN",E252="C",E252="Z",E252="L"),J252=4),VLOOKUP(_xlfn.MINIFS('FIRE TEX 5090'!$J$5:$J$43,'FIRE TEX 5090'!$J$5:$J$43,"&gt;="&amp;M252),'FIRE TEX 5090'!$J$5:$P$43,IF(L252="F-15",2,IF(L252="F-30",3,IF(L252="F-60",4,IF(L252="F-90",5,IF(L252="F-120",6,IF(L252="F-150",7,0)))))),0),0)+IF(AND(O252="FIRE TEX 5090",E252="CJ",J252=3),VLOOKUP(_xlfn.MINIFS('FIRE TEX 5090'!$R$5:$R$30,'FIRE TEX 5090'!$R$5:$R$30,"&gt;="&amp;M252),'FIRE TEX 5090'!$R$5:$W$30,IF(L252="F-15",2,IF(L252="F-30",3,IF(L252="F-60",4,IF(L252="F-90",5,IF(L252="F-120",6,IF(L252="F-150",7,0)))))),0),0)+IF(AND(O252="FIRE TEX 5090",E252="CJ",J252=4),VLOOKUP(_xlfn.MINIFS('FIRE TEX 5090'!$Y$5:$Y$39,'FIRE TEX 5090'!$Y$5:$Y$39,"&gt;="&amp;M252),'FIRE TEX 5090'!$Y$5:$AD$39,IF(L252="F-15",2,IF(L252="F-30",3,IF(L252="F-60",4,IF(L252="F-90",5,IF(L252="F-120",6,IF(L252="F-150",7,0)))))),0),0)+IF(AND(O252="FIRE TEX 5120",OR(E252="IN",E252="C",E252="Z",E252="L"),J252=3),VLOOKUP(_xlfn.MINIFS('FIRE TEX 5120'!$B$5:$B$40,'FIRE TEX 5120'!$B$5:$B$40,"&gt;="&amp;M252),'FIRE TEX 5120'!$B$5:$G$40,IF(L252="F-15",2,IF(L252="F-30",3,IF(L252="F-60",4,IF(L252="F-90",5,IF(L252="F-120",6,0))))),0),0)+IF(AND(O252="FIRE TEX 5120",OR(E252="IN",E252="C",E252="Z",E252="L"),J252=4),VLOOKUP(_xlfn.MINIFS('FIRE TEX 5120'!$H$4:$H$40,'FIRE TEX 5120'!$H$4:$H$40,"&gt;="&amp;M252),'FIRE TEX 5120'!$H$4:$M$40,IF(L252="F-15",2,IF(L252="F-30",3,IF(L252="F-60",4,IF(L252="F-90",5,IF(L252="F-120",6,0))))),0),0)+IF(AND(O252="FIRE TEX 5120",E252="CJ"),VLOOKUP(_xlfn.MINIFS('FIRE TEX 5120'!$O$5:$O$40,'FIRE TEX 5120'!$O$5:$O$40,"&gt;="&amp;M252),'FIRE TEX 5120'!$O$5:$T$40,IF(L252="F-15",2,IF(L252="F-30",3,IF(L252="F-60",4,IF(L252="F-90",5,IF(L252="F-120",6,0))))),0),0)</f>
        <v>0</v>
      </c>
      <c r="Q252" s="46">
        <f t="shared" si="26"/>
        <v>0</v>
      </c>
      <c r="R252" s="46">
        <f t="shared" si="28"/>
        <v>0</v>
      </c>
      <c r="S252" s="46" t="e">
        <f t="shared" si="27"/>
        <v>#VALUE!</v>
      </c>
      <c r="T252" s="677">
        <f t="shared" si="29"/>
        <v>0</v>
      </c>
      <c r="U252" s="80">
        <f>(IF(O252="Stofire",(S252*#REF!),0))+(IF(O252="Fire Control",(S252*$U$2),0))+(IF(O252="Fire Tex",(S252*$U$3),0))+(IF(O252="WB7",(S252*#REF!),0)+(IF(O252="FX 2003",(S252*$U$5),0)))</f>
        <v>0</v>
      </c>
      <c r="V252" s="651">
        <f t="shared" si="33"/>
        <v>0</v>
      </c>
      <c r="W252" s="4"/>
    </row>
    <row r="253" spans="1:23" x14ac:dyDescent="0.25">
      <c r="A253" s="652" t="s">
        <v>429</v>
      </c>
      <c r="B253" s="653" t="s">
        <v>430</v>
      </c>
      <c r="C253" s="1" t="s">
        <v>431</v>
      </c>
      <c r="D253" s="118">
        <f>+CUBICACION!D252</f>
        <v>0</v>
      </c>
      <c r="E253" s="118">
        <f>+CUBICACION!F252</f>
        <v>0</v>
      </c>
      <c r="F253" s="118">
        <f>+CUBICACION!E252</f>
        <v>0</v>
      </c>
      <c r="G253" s="118">
        <v>12</v>
      </c>
      <c r="H253" s="118">
        <v>2</v>
      </c>
      <c r="I253" s="820">
        <v>26385</v>
      </c>
      <c r="J253" s="118">
        <f>+CUBICACION!J252</f>
        <v>0</v>
      </c>
      <c r="K253" s="118">
        <v>3032</v>
      </c>
      <c r="L253" s="118">
        <f>+CUBICACION!L252</f>
        <v>0</v>
      </c>
      <c r="M253" s="64">
        <f>+CUBICACION!M252</f>
        <v>0</v>
      </c>
      <c r="N253" s="824" t="str">
        <f>+CUBICACION!N252</f>
        <v/>
      </c>
      <c r="O253" s="675">
        <f>+CUBICACION!O252</f>
        <v>0</v>
      </c>
      <c r="P253" s="15">
        <f>IF(O253="Fire Control",VLOOKUP(_xlfn.MINIFS('FIRE CONTROL'!$C$4:$C$37,'FIRE CONTROL'!$C$4:$C$37,"&gt;="&amp;M253),'FIRE CONTROL'!$C$4:$G$37,IF(L253="F-15",2,IF(L253="F-30",3,IF(L253="F-60",4,IF(L253="F-90",5,0)))),0),0)+IF(AND(O253="FIRE TEX 5062",OR(E253="IN",E253="C",E253="Z",E253="L"),J253=3),VLOOKUP(_xlfn.MINIFS('FIRE TEX 5062'!$B$4:$B$34,'FIRE TEX 5062'!$B$4:$B$34,"&gt;="&amp;M253),'FIRE TEX 5062'!$B$4:$F$34,IF(L253="F-15",2,IF(L253="F-30",3,IF(L253="F-60",4,IF(L253="F-90",5,0)))),0),0)+IF(AND(O253="FIRE TEX 5062",OR(E253="IN",E253="C",E253="Z",E253="L"),J253=4),VLOOKUP(_xlfn.MINIFS('FIRE TEX 5062'!$G$4:$G$34,'FIRE TEX 5062'!$G$4:$G$34,"&gt;="&amp;M253),'FIRE TEX 5062'!$G$4:$K$34,IF(L253="F-15",2,IF(L253="F-30",3,IF(L253="F-60",4,IF(L253="F-90",5,0)))),0),0)+IF(AND(O253="FIRE TEX 5062",E253="CJ",J253=3),VLOOKUP(_xlfn.MINIFS('FIRE TEX 5062'!$L$4:$L$34,'FIRE TEX 5062'!$L$4:$L$34,"&gt;="&amp;M253),'FIRE TEX 5062'!$L$4:$P$34,IF(L253="F-15",2,IF(L253="F-30",3,IF(L253="F-60",4,IF(L253="F-90",5,0)))),0),0)+IF(AND(O253="FIRE TEX 5062",E253="CJ",J253=4),VLOOKUP(_xlfn.MINIFS('FIRE TEX 5062'!$Q$3:$Q$34,'FIRE TEX 5062'!$Q$3:$Q$34,"&gt;="&amp;M253),'FIRE TEX 5062'!$Q$3:$U$34,IF(L253="F-15",2,IF(L253="F-30",3,IF(L253="F-60",4,IF(L253="F-90",5,0)))),0),0)+IF(AND(O253="FIRE TEX 5090",OR(E253="IN",E253="C",E253="Z",E253="L"),J253=3),VLOOKUP(_xlfn.MINIFS('FIRE TEX 5090'!$B$5:$B$43,'FIRE TEX 5090'!$B$5:$B$43,"&gt;="&amp;M253),'FIRE TEX 5090'!$B$5:$H$43,IF(L253="F-15",2,IF(L253="F-30",3,IF(L253="F-60",4,IF(L253="F-90",5,IF(L253="F-120",6,IF(L253="F-150",7,0)))))),0),0)+IF(AND(O253="FIRE TEX 5090",OR(E253="IN",E253="C",E253="Z",E253="L"),J253=4),VLOOKUP(_xlfn.MINIFS('FIRE TEX 5090'!$J$5:$J$43,'FIRE TEX 5090'!$J$5:$J$43,"&gt;="&amp;M253),'FIRE TEX 5090'!$J$5:$P$43,IF(L253="F-15",2,IF(L253="F-30",3,IF(L253="F-60",4,IF(L253="F-90",5,IF(L253="F-120",6,IF(L253="F-150",7,0)))))),0),0)+IF(AND(O253="FIRE TEX 5090",E253="CJ",J253=3),VLOOKUP(_xlfn.MINIFS('FIRE TEX 5090'!$R$5:$R$30,'FIRE TEX 5090'!$R$5:$R$30,"&gt;="&amp;M253),'FIRE TEX 5090'!$R$5:$W$30,IF(L253="F-15",2,IF(L253="F-30",3,IF(L253="F-60",4,IF(L253="F-90",5,IF(L253="F-120",6,IF(L253="F-150",7,0)))))),0),0)+IF(AND(O253="FIRE TEX 5090",E253="CJ",J253=4),VLOOKUP(_xlfn.MINIFS('FIRE TEX 5090'!$Y$5:$Y$39,'FIRE TEX 5090'!$Y$5:$Y$39,"&gt;="&amp;M253),'FIRE TEX 5090'!$Y$5:$AD$39,IF(L253="F-15",2,IF(L253="F-30",3,IF(L253="F-60",4,IF(L253="F-90",5,IF(L253="F-120",6,IF(L253="F-150",7,0)))))),0),0)+IF(AND(O253="FIRE TEX 5120",OR(E253="IN",E253="C",E253="Z",E253="L"),J253=3),VLOOKUP(_xlfn.MINIFS('FIRE TEX 5120'!$B$5:$B$40,'FIRE TEX 5120'!$B$5:$B$40,"&gt;="&amp;M253),'FIRE TEX 5120'!$B$5:$G$40,IF(L253="F-15",2,IF(L253="F-30",3,IF(L253="F-60",4,IF(L253="F-90",5,IF(L253="F-120",6,0))))),0),0)+IF(AND(O253="FIRE TEX 5120",OR(E253="IN",E253="C",E253="Z",E253="L"),J253=4),VLOOKUP(_xlfn.MINIFS('FIRE TEX 5120'!$H$4:$H$40,'FIRE TEX 5120'!$H$4:$H$40,"&gt;="&amp;M253),'FIRE TEX 5120'!$H$4:$M$40,IF(L253="F-15",2,IF(L253="F-30",3,IF(L253="F-60",4,IF(L253="F-90",5,IF(L253="F-120",6,0))))),0),0)+IF(AND(O253="FIRE TEX 5120",E253="CJ"),VLOOKUP(_xlfn.MINIFS('FIRE TEX 5120'!$O$5:$O$40,'FIRE TEX 5120'!$O$5:$O$40,"&gt;="&amp;M253),'FIRE TEX 5120'!$O$5:$T$40,IF(L253="F-15",2,IF(L253="F-30",3,IF(L253="F-60",4,IF(L253="F-90",5,IF(L253="F-120",6,0))))),0),0)</f>
        <v>0</v>
      </c>
      <c r="Q253" s="46">
        <f t="shared" si="26"/>
        <v>0</v>
      </c>
      <c r="R253" s="46">
        <f t="shared" si="28"/>
        <v>0</v>
      </c>
      <c r="S253" s="46" t="e">
        <f t="shared" si="27"/>
        <v>#VALUE!</v>
      </c>
      <c r="T253" s="677">
        <f t="shared" si="29"/>
        <v>0</v>
      </c>
      <c r="U253" s="80">
        <f>(IF(O253="Stofire",(S253*#REF!),0))+(IF(O253="Fire Control",(S253*$U$2),0))+(IF(O253="Fire Tex",(S253*$U$3),0))+(IF(O253="WB7",(S253*#REF!),0)+(IF(O253="FX 2003",(S253*$U$5),0)))</f>
        <v>0</v>
      </c>
      <c r="V253" s="651">
        <f t="shared" si="33"/>
        <v>0</v>
      </c>
      <c r="W253" s="4"/>
    </row>
    <row r="254" spans="1:23" x14ac:dyDescent="0.25">
      <c r="A254" s="652" t="s">
        <v>429</v>
      </c>
      <c r="B254" s="653" t="s">
        <v>430</v>
      </c>
      <c r="C254" s="1" t="s">
        <v>433</v>
      </c>
      <c r="D254" s="118">
        <f>+CUBICACION!D253</f>
        <v>0</v>
      </c>
      <c r="E254" s="118">
        <f>+CUBICACION!F253</f>
        <v>0</v>
      </c>
      <c r="F254" s="118">
        <f>+CUBICACION!E253</f>
        <v>0</v>
      </c>
      <c r="G254" s="118">
        <v>12</v>
      </c>
      <c r="H254" s="118">
        <v>2</v>
      </c>
      <c r="I254" s="820">
        <v>26385</v>
      </c>
      <c r="J254" s="118">
        <f>+CUBICACION!J253</f>
        <v>0</v>
      </c>
      <c r="K254" s="118">
        <v>3033</v>
      </c>
      <c r="L254" s="118">
        <f>+CUBICACION!L253</f>
        <v>0</v>
      </c>
      <c r="M254" s="64">
        <f>+CUBICACION!M253</f>
        <v>0</v>
      </c>
      <c r="N254" s="824" t="str">
        <f>+CUBICACION!N253</f>
        <v/>
      </c>
      <c r="O254" s="675">
        <f>+CUBICACION!O253</f>
        <v>0</v>
      </c>
      <c r="P254" s="15">
        <f>IF(O254="Fire Control",VLOOKUP(_xlfn.MINIFS('FIRE CONTROL'!$C$4:$C$37,'FIRE CONTROL'!$C$4:$C$37,"&gt;="&amp;M254),'FIRE CONTROL'!$C$4:$G$37,IF(L254="F-15",2,IF(L254="F-30",3,IF(L254="F-60",4,IF(L254="F-90",5,0)))),0),0)+IF(AND(O254="FIRE TEX 5062",OR(E254="IN",E254="C",E254="Z",E254="L"),J254=3),VLOOKUP(_xlfn.MINIFS('FIRE TEX 5062'!$B$4:$B$34,'FIRE TEX 5062'!$B$4:$B$34,"&gt;="&amp;M254),'FIRE TEX 5062'!$B$4:$F$34,IF(L254="F-15",2,IF(L254="F-30",3,IF(L254="F-60",4,IF(L254="F-90",5,0)))),0),0)+IF(AND(O254="FIRE TEX 5062",OR(E254="IN",E254="C",E254="Z",E254="L"),J254=4),VLOOKUP(_xlfn.MINIFS('FIRE TEX 5062'!$G$4:$G$34,'FIRE TEX 5062'!$G$4:$G$34,"&gt;="&amp;M254),'FIRE TEX 5062'!$G$4:$K$34,IF(L254="F-15",2,IF(L254="F-30",3,IF(L254="F-60",4,IF(L254="F-90",5,0)))),0),0)+IF(AND(O254="FIRE TEX 5062",E254="CJ",J254=3),VLOOKUP(_xlfn.MINIFS('FIRE TEX 5062'!$L$4:$L$34,'FIRE TEX 5062'!$L$4:$L$34,"&gt;="&amp;M254),'FIRE TEX 5062'!$L$4:$P$34,IF(L254="F-15",2,IF(L254="F-30",3,IF(L254="F-60",4,IF(L254="F-90",5,0)))),0),0)+IF(AND(O254="FIRE TEX 5062",E254="CJ",J254=4),VLOOKUP(_xlfn.MINIFS('FIRE TEX 5062'!$Q$3:$Q$34,'FIRE TEX 5062'!$Q$3:$Q$34,"&gt;="&amp;M254),'FIRE TEX 5062'!$Q$3:$U$34,IF(L254="F-15",2,IF(L254="F-30",3,IF(L254="F-60",4,IF(L254="F-90",5,0)))),0),0)+IF(AND(O254="FIRE TEX 5090",OR(E254="IN",E254="C",E254="Z",E254="L"),J254=3),VLOOKUP(_xlfn.MINIFS('FIRE TEX 5090'!$B$5:$B$43,'FIRE TEX 5090'!$B$5:$B$43,"&gt;="&amp;M254),'FIRE TEX 5090'!$B$5:$H$43,IF(L254="F-15",2,IF(L254="F-30",3,IF(L254="F-60",4,IF(L254="F-90",5,IF(L254="F-120",6,IF(L254="F-150",7,0)))))),0),0)+IF(AND(O254="FIRE TEX 5090",OR(E254="IN",E254="C",E254="Z",E254="L"),J254=4),VLOOKUP(_xlfn.MINIFS('FIRE TEX 5090'!$J$5:$J$43,'FIRE TEX 5090'!$J$5:$J$43,"&gt;="&amp;M254),'FIRE TEX 5090'!$J$5:$P$43,IF(L254="F-15",2,IF(L254="F-30",3,IF(L254="F-60",4,IF(L254="F-90",5,IF(L254="F-120",6,IF(L254="F-150",7,0)))))),0),0)+IF(AND(O254="FIRE TEX 5090",E254="CJ",J254=3),VLOOKUP(_xlfn.MINIFS('FIRE TEX 5090'!$R$5:$R$30,'FIRE TEX 5090'!$R$5:$R$30,"&gt;="&amp;M254),'FIRE TEX 5090'!$R$5:$W$30,IF(L254="F-15",2,IF(L254="F-30",3,IF(L254="F-60",4,IF(L254="F-90",5,IF(L254="F-120",6,IF(L254="F-150",7,0)))))),0),0)+IF(AND(O254="FIRE TEX 5090",E254="CJ",J254=4),VLOOKUP(_xlfn.MINIFS('FIRE TEX 5090'!$Y$5:$Y$39,'FIRE TEX 5090'!$Y$5:$Y$39,"&gt;="&amp;M254),'FIRE TEX 5090'!$Y$5:$AD$39,IF(L254="F-15",2,IF(L254="F-30",3,IF(L254="F-60",4,IF(L254="F-90",5,IF(L254="F-120",6,IF(L254="F-150",7,0)))))),0),0)+IF(AND(O254="FIRE TEX 5120",OR(E254="IN",E254="C",E254="Z",E254="L"),J254=3),VLOOKUP(_xlfn.MINIFS('FIRE TEX 5120'!$B$5:$B$40,'FIRE TEX 5120'!$B$5:$B$40,"&gt;="&amp;M254),'FIRE TEX 5120'!$B$5:$G$40,IF(L254="F-15",2,IF(L254="F-30",3,IF(L254="F-60",4,IF(L254="F-90",5,IF(L254="F-120",6,0))))),0),0)+IF(AND(O254="FIRE TEX 5120",OR(E254="IN",E254="C",E254="Z",E254="L"),J254=4),VLOOKUP(_xlfn.MINIFS('FIRE TEX 5120'!$H$4:$H$40,'FIRE TEX 5120'!$H$4:$H$40,"&gt;="&amp;M254),'FIRE TEX 5120'!$H$4:$M$40,IF(L254="F-15",2,IF(L254="F-30",3,IF(L254="F-60",4,IF(L254="F-90",5,IF(L254="F-120",6,0))))),0),0)+IF(AND(O254="FIRE TEX 5120",E254="CJ"),VLOOKUP(_xlfn.MINIFS('FIRE TEX 5120'!$O$5:$O$40,'FIRE TEX 5120'!$O$5:$O$40,"&gt;="&amp;M254),'FIRE TEX 5120'!$O$5:$T$40,IF(L254="F-15",2,IF(L254="F-30",3,IF(L254="F-60",4,IF(L254="F-90",5,IF(L254="F-120",6,0))))),0),0)</f>
        <v>0</v>
      </c>
      <c r="Q254" s="46">
        <f t="shared" si="26"/>
        <v>0</v>
      </c>
      <c r="R254" s="46">
        <f t="shared" si="28"/>
        <v>0</v>
      </c>
      <c r="S254" s="46" t="e">
        <f t="shared" si="27"/>
        <v>#VALUE!</v>
      </c>
      <c r="T254" s="677">
        <f t="shared" si="29"/>
        <v>0</v>
      </c>
      <c r="U254" s="80">
        <f>(IF(O254="Stofire",(S254*#REF!),0))+(IF(O254="Fire Control",(S254*$U$2),0))+(IF(O254="Fire Tex",(S254*$U$3),0))+(IF(O254="WB7",(S254*#REF!),0)+(IF(O254="FX 2003",(S254*$U$5),0)))</f>
        <v>0</v>
      </c>
      <c r="V254" s="651">
        <f t="shared" si="33"/>
        <v>0</v>
      </c>
      <c r="W254" s="4"/>
    </row>
    <row r="255" spans="1:23" x14ac:dyDescent="0.25">
      <c r="A255" s="652" t="s">
        <v>429</v>
      </c>
      <c r="B255" s="653" t="s">
        <v>430</v>
      </c>
      <c r="C255" s="1" t="s">
        <v>435</v>
      </c>
      <c r="D255" s="118">
        <f>+CUBICACION!D254</f>
        <v>0</v>
      </c>
      <c r="E255" s="118">
        <f>+CUBICACION!F254</f>
        <v>0</v>
      </c>
      <c r="F255" s="118">
        <f>+CUBICACION!E254</f>
        <v>0</v>
      </c>
      <c r="G255" s="118">
        <v>12</v>
      </c>
      <c r="H255" s="118">
        <v>2</v>
      </c>
      <c r="I255" s="820">
        <v>26385</v>
      </c>
      <c r="J255" s="118">
        <f>+CUBICACION!J254</f>
        <v>0</v>
      </c>
      <c r="K255" s="118">
        <v>3034</v>
      </c>
      <c r="L255" s="118">
        <f>+CUBICACION!L254</f>
        <v>0</v>
      </c>
      <c r="M255" s="64">
        <f>+CUBICACION!M254</f>
        <v>0</v>
      </c>
      <c r="N255" s="824" t="str">
        <f>+CUBICACION!N254</f>
        <v/>
      </c>
      <c r="O255" s="675">
        <f>+CUBICACION!O254</f>
        <v>0</v>
      </c>
      <c r="P255" s="15">
        <f>IF(O255="Fire Control",VLOOKUP(_xlfn.MINIFS('FIRE CONTROL'!$C$4:$C$37,'FIRE CONTROL'!$C$4:$C$37,"&gt;="&amp;M255),'FIRE CONTROL'!$C$4:$G$37,IF(L255="F-15",2,IF(L255="F-30",3,IF(L255="F-60",4,IF(L255="F-90",5,0)))),0),0)+IF(AND(O255="FIRE TEX 5062",OR(E255="IN",E255="C",E255="Z",E255="L"),J255=3),VLOOKUP(_xlfn.MINIFS('FIRE TEX 5062'!$B$4:$B$34,'FIRE TEX 5062'!$B$4:$B$34,"&gt;="&amp;M255),'FIRE TEX 5062'!$B$4:$F$34,IF(L255="F-15",2,IF(L255="F-30",3,IF(L255="F-60",4,IF(L255="F-90",5,0)))),0),0)+IF(AND(O255="FIRE TEX 5062",OR(E255="IN",E255="C",E255="Z",E255="L"),J255=4),VLOOKUP(_xlfn.MINIFS('FIRE TEX 5062'!$G$4:$G$34,'FIRE TEX 5062'!$G$4:$G$34,"&gt;="&amp;M255),'FIRE TEX 5062'!$G$4:$K$34,IF(L255="F-15",2,IF(L255="F-30",3,IF(L255="F-60",4,IF(L255="F-90",5,0)))),0),0)+IF(AND(O255="FIRE TEX 5062",E255="CJ",J255=3),VLOOKUP(_xlfn.MINIFS('FIRE TEX 5062'!$L$4:$L$34,'FIRE TEX 5062'!$L$4:$L$34,"&gt;="&amp;M255),'FIRE TEX 5062'!$L$4:$P$34,IF(L255="F-15",2,IF(L255="F-30",3,IF(L255="F-60",4,IF(L255="F-90",5,0)))),0),0)+IF(AND(O255="FIRE TEX 5062",E255="CJ",J255=4),VLOOKUP(_xlfn.MINIFS('FIRE TEX 5062'!$Q$3:$Q$34,'FIRE TEX 5062'!$Q$3:$Q$34,"&gt;="&amp;M255),'FIRE TEX 5062'!$Q$3:$U$34,IF(L255="F-15",2,IF(L255="F-30",3,IF(L255="F-60",4,IF(L255="F-90",5,0)))),0),0)+IF(AND(O255="FIRE TEX 5090",OR(E255="IN",E255="C",E255="Z",E255="L"),J255=3),VLOOKUP(_xlfn.MINIFS('FIRE TEX 5090'!$B$5:$B$43,'FIRE TEX 5090'!$B$5:$B$43,"&gt;="&amp;M255),'FIRE TEX 5090'!$B$5:$H$43,IF(L255="F-15",2,IF(L255="F-30",3,IF(L255="F-60",4,IF(L255="F-90",5,IF(L255="F-120",6,IF(L255="F-150",7,0)))))),0),0)+IF(AND(O255="FIRE TEX 5090",OR(E255="IN",E255="C",E255="Z",E255="L"),J255=4),VLOOKUP(_xlfn.MINIFS('FIRE TEX 5090'!$J$5:$J$43,'FIRE TEX 5090'!$J$5:$J$43,"&gt;="&amp;M255),'FIRE TEX 5090'!$J$5:$P$43,IF(L255="F-15",2,IF(L255="F-30",3,IF(L255="F-60",4,IF(L255="F-90",5,IF(L255="F-120",6,IF(L255="F-150",7,0)))))),0),0)+IF(AND(O255="FIRE TEX 5090",E255="CJ",J255=3),VLOOKUP(_xlfn.MINIFS('FIRE TEX 5090'!$R$5:$R$30,'FIRE TEX 5090'!$R$5:$R$30,"&gt;="&amp;M255),'FIRE TEX 5090'!$R$5:$W$30,IF(L255="F-15",2,IF(L255="F-30",3,IF(L255="F-60",4,IF(L255="F-90",5,IF(L255="F-120",6,IF(L255="F-150",7,0)))))),0),0)+IF(AND(O255="FIRE TEX 5090",E255="CJ",J255=4),VLOOKUP(_xlfn.MINIFS('FIRE TEX 5090'!$Y$5:$Y$39,'FIRE TEX 5090'!$Y$5:$Y$39,"&gt;="&amp;M255),'FIRE TEX 5090'!$Y$5:$AD$39,IF(L255="F-15",2,IF(L255="F-30",3,IF(L255="F-60",4,IF(L255="F-90",5,IF(L255="F-120",6,IF(L255="F-150",7,0)))))),0),0)+IF(AND(O255="FIRE TEX 5120",OR(E255="IN",E255="C",E255="Z",E255="L"),J255=3),VLOOKUP(_xlfn.MINIFS('FIRE TEX 5120'!$B$5:$B$40,'FIRE TEX 5120'!$B$5:$B$40,"&gt;="&amp;M255),'FIRE TEX 5120'!$B$5:$G$40,IF(L255="F-15",2,IF(L255="F-30",3,IF(L255="F-60",4,IF(L255="F-90",5,IF(L255="F-120",6,0))))),0),0)+IF(AND(O255="FIRE TEX 5120",OR(E255="IN",E255="C",E255="Z",E255="L"),J255=4),VLOOKUP(_xlfn.MINIFS('FIRE TEX 5120'!$H$4:$H$40,'FIRE TEX 5120'!$H$4:$H$40,"&gt;="&amp;M255),'FIRE TEX 5120'!$H$4:$M$40,IF(L255="F-15",2,IF(L255="F-30",3,IF(L255="F-60",4,IF(L255="F-90",5,IF(L255="F-120",6,0))))),0),0)+IF(AND(O255="FIRE TEX 5120",E255="CJ"),VLOOKUP(_xlfn.MINIFS('FIRE TEX 5120'!$O$5:$O$40,'FIRE TEX 5120'!$O$5:$O$40,"&gt;="&amp;M255),'FIRE TEX 5120'!$O$5:$T$40,IF(L255="F-15",2,IF(L255="F-30",3,IF(L255="F-60",4,IF(L255="F-90",5,IF(L255="F-120",6,0))))),0),0)</f>
        <v>0</v>
      </c>
      <c r="Q255" s="46">
        <f t="shared" si="26"/>
        <v>0</v>
      </c>
      <c r="R255" s="46">
        <f t="shared" si="28"/>
        <v>0</v>
      </c>
      <c r="S255" s="46" t="e">
        <f t="shared" si="27"/>
        <v>#VALUE!</v>
      </c>
      <c r="T255" s="677">
        <f t="shared" si="29"/>
        <v>0</v>
      </c>
      <c r="U255" s="80">
        <f>(IF(O255="Stofire",(S255*#REF!),0))+(IF(O255="Fire Control",(S255*$U$2),0))+(IF(O255="Fire Tex",(S255*$U$3),0))+(IF(O255="WB7",(S255*#REF!),0)+(IF(O255="FX 2003",(S255*$U$5),0)))</f>
        <v>0</v>
      </c>
      <c r="V255" s="651">
        <f t="shared" si="33"/>
        <v>0</v>
      </c>
      <c r="W255" s="4"/>
    </row>
    <row r="256" spans="1:23" x14ac:dyDescent="0.25">
      <c r="A256" s="652" t="s">
        <v>429</v>
      </c>
      <c r="B256" s="653" t="s">
        <v>430</v>
      </c>
      <c r="C256" s="1" t="s">
        <v>437</v>
      </c>
      <c r="D256" s="118">
        <f>+CUBICACION!D255</f>
        <v>0</v>
      </c>
      <c r="E256" s="118">
        <f>+CUBICACION!F255</f>
        <v>0</v>
      </c>
      <c r="F256" s="118">
        <f>+CUBICACION!E255</f>
        <v>0</v>
      </c>
      <c r="G256" s="118">
        <v>12</v>
      </c>
      <c r="H256" s="118">
        <v>2</v>
      </c>
      <c r="I256" s="820">
        <v>26385</v>
      </c>
      <c r="J256" s="118">
        <f>+CUBICACION!J255</f>
        <v>0</v>
      </c>
      <c r="K256" s="118">
        <v>3035</v>
      </c>
      <c r="L256" s="118">
        <f>+CUBICACION!L255</f>
        <v>0</v>
      </c>
      <c r="M256" s="64">
        <f>+CUBICACION!M255</f>
        <v>0</v>
      </c>
      <c r="N256" s="824" t="str">
        <f>+CUBICACION!N255</f>
        <v/>
      </c>
      <c r="O256" s="675">
        <f>+CUBICACION!O255</f>
        <v>0</v>
      </c>
      <c r="P256" s="15">
        <f>IF(O256="Fire Control",VLOOKUP(_xlfn.MINIFS('FIRE CONTROL'!$C$4:$C$37,'FIRE CONTROL'!$C$4:$C$37,"&gt;="&amp;M256),'FIRE CONTROL'!$C$4:$G$37,IF(L256="F-15",2,IF(L256="F-30",3,IF(L256="F-60",4,IF(L256="F-90",5,0)))),0),0)+IF(AND(O256="FIRE TEX 5062",OR(E256="IN",E256="C",E256="Z",E256="L"),J256=3),VLOOKUP(_xlfn.MINIFS('FIRE TEX 5062'!$B$4:$B$34,'FIRE TEX 5062'!$B$4:$B$34,"&gt;="&amp;M256),'FIRE TEX 5062'!$B$4:$F$34,IF(L256="F-15",2,IF(L256="F-30",3,IF(L256="F-60",4,IF(L256="F-90",5,0)))),0),0)+IF(AND(O256="FIRE TEX 5062",OR(E256="IN",E256="C",E256="Z",E256="L"),J256=4),VLOOKUP(_xlfn.MINIFS('FIRE TEX 5062'!$G$4:$G$34,'FIRE TEX 5062'!$G$4:$G$34,"&gt;="&amp;M256),'FIRE TEX 5062'!$G$4:$K$34,IF(L256="F-15",2,IF(L256="F-30",3,IF(L256="F-60",4,IF(L256="F-90",5,0)))),0),0)+IF(AND(O256="FIRE TEX 5062",E256="CJ",J256=3),VLOOKUP(_xlfn.MINIFS('FIRE TEX 5062'!$L$4:$L$34,'FIRE TEX 5062'!$L$4:$L$34,"&gt;="&amp;M256),'FIRE TEX 5062'!$L$4:$P$34,IF(L256="F-15",2,IF(L256="F-30",3,IF(L256="F-60",4,IF(L256="F-90",5,0)))),0),0)+IF(AND(O256="FIRE TEX 5062",E256="CJ",J256=4),VLOOKUP(_xlfn.MINIFS('FIRE TEX 5062'!$Q$3:$Q$34,'FIRE TEX 5062'!$Q$3:$Q$34,"&gt;="&amp;M256),'FIRE TEX 5062'!$Q$3:$U$34,IF(L256="F-15",2,IF(L256="F-30",3,IF(L256="F-60",4,IF(L256="F-90",5,0)))),0),0)+IF(AND(O256="FIRE TEX 5090",OR(E256="IN",E256="C",E256="Z",E256="L"),J256=3),VLOOKUP(_xlfn.MINIFS('FIRE TEX 5090'!$B$5:$B$43,'FIRE TEX 5090'!$B$5:$B$43,"&gt;="&amp;M256),'FIRE TEX 5090'!$B$5:$H$43,IF(L256="F-15",2,IF(L256="F-30",3,IF(L256="F-60",4,IF(L256="F-90",5,IF(L256="F-120",6,IF(L256="F-150",7,0)))))),0),0)+IF(AND(O256="FIRE TEX 5090",OR(E256="IN",E256="C",E256="Z",E256="L"),J256=4),VLOOKUP(_xlfn.MINIFS('FIRE TEX 5090'!$J$5:$J$43,'FIRE TEX 5090'!$J$5:$J$43,"&gt;="&amp;M256),'FIRE TEX 5090'!$J$5:$P$43,IF(L256="F-15",2,IF(L256="F-30",3,IF(L256="F-60",4,IF(L256="F-90",5,IF(L256="F-120",6,IF(L256="F-150",7,0)))))),0),0)+IF(AND(O256="FIRE TEX 5090",E256="CJ",J256=3),VLOOKUP(_xlfn.MINIFS('FIRE TEX 5090'!$R$5:$R$30,'FIRE TEX 5090'!$R$5:$R$30,"&gt;="&amp;M256),'FIRE TEX 5090'!$R$5:$W$30,IF(L256="F-15",2,IF(L256="F-30",3,IF(L256="F-60",4,IF(L256="F-90",5,IF(L256="F-120",6,IF(L256="F-150",7,0)))))),0),0)+IF(AND(O256="FIRE TEX 5090",E256="CJ",J256=4),VLOOKUP(_xlfn.MINIFS('FIRE TEX 5090'!$Y$5:$Y$39,'FIRE TEX 5090'!$Y$5:$Y$39,"&gt;="&amp;M256),'FIRE TEX 5090'!$Y$5:$AD$39,IF(L256="F-15",2,IF(L256="F-30",3,IF(L256="F-60",4,IF(L256="F-90",5,IF(L256="F-120",6,IF(L256="F-150",7,0)))))),0),0)+IF(AND(O256="FIRE TEX 5120",OR(E256="IN",E256="C",E256="Z",E256="L"),J256=3),VLOOKUP(_xlfn.MINIFS('FIRE TEX 5120'!$B$5:$B$40,'FIRE TEX 5120'!$B$5:$B$40,"&gt;="&amp;M256),'FIRE TEX 5120'!$B$5:$G$40,IF(L256="F-15",2,IF(L256="F-30",3,IF(L256="F-60",4,IF(L256="F-90",5,IF(L256="F-120",6,0))))),0),0)+IF(AND(O256="FIRE TEX 5120",OR(E256="IN",E256="C",E256="Z",E256="L"),J256=4),VLOOKUP(_xlfn.MINIFS('FIRE TEX 5120'!$H$4:$H$40,'FIRE TEX 5120'!$H$4:$H$40,"&gt;="&amp;M256),'FIRE TEX 5120'!$H$4:$M$40,IF(L256="F-15",2,IF(L256="F-30",3,IF(L256="F-60",4,IF(L256="F-90",5,IF(L256="F-120",6,0))))),0),0)+IF(AND(O256="FIRE TEX 5120",E256="CJ"),VLOOKUP(_xlfn.MINIFS('FIRE TEX 5120'!$O$5:$O$40,'FIRE TEX 5120'!$O$5:$O$40,"&gt;="&amp;M256),'FIRE TEX 5120'!$O$5:$T$40,IF(L256="F-15",2,IF(L256="F-30",3,IF(L256="F-60",4,IF(L256="F-90",5,IF(L256="F-120",6,0))))),0),0)</f>
        <v>0</v>
      </c>
      <c r="Q256" s="46">
        <f t="shared" si="26"/>
        <v>0</v>
      </c>
      <c r="R256" s="46">
        <f t="shared" si="28"/>
        <v>0</v>
      </c>
      <c r="S256" s="46" t="e">
        <f t="shared" si="27"/>
        <v>#VALUE!</v>
      </c>
      <c r="T256" s="677">
        <f t="shared" si="29"/>
        <v>0</v>
      </c>
      <c r="U256" s="80">
        <f>(IF(O256="Stofire",(S256*#REF!),0))+(IF(O256="Fire Control",(S256*$U$2),0))+(IF(O256="Fire Tex",(S256*$U$3),0))+(IF(O256="WB7",(S256*#REF!),0)+(IF(O256="FX 2003",(S256*$U$5),0)))</f>
        <v>0</v>
      </c>
      <c r="V256" s="651">
        <f t="shared" si="33"/>
        <v>0</v>
      </c>
      <c r="W256" s="4"/>
    </row>
    <row r="257" spans="1:23" x14ac:dyDescent="0.25">
      <c r="A257" s="652" t="s">
        <v>439</v>
      </c>
      <c r="B257" s="653" t="s">
        <v>430</v>
      </c>
      <c r="C257" s="1" t="s">
        <v>431</v>
      </c>
      <c r="D257" s="118">
        <f>+CUBICACION!D256</f>
        <v>0</v>
      </c>
      <c r="E257" s="118">
        <f>+CUBICACION!F256</f>
        <v>0</v>
      </c>
      <c r="F257" s="118">
        <f>+CUBICACION!E256</f>
        <v>0</v>
      </c>
      <c r="G257" s="118">
        <v>12</v>
      </c>
      <c r="H257" s="118">
        <v>2</v>
      </c>
      <c r="I257" s="820">
        <v>26385</v>
      </c>
      <c r="J257" s="118">
        <f>+CUBICACION!J256</f>
        <v>0</v>
      </c>
      <c r="K257" s="118">
        <v>3036</v>
      </c>
      <c r="L257" s="118">
        <f>+CUBICACION!L256</f>
        <v>0</v>
      </c>
      <c r="M257" s="64">
        <f>+CUBICACION!M256</f>
        <v>0</v>
      </c>
      <c r="N257" s="824" t="str">
        <f>+CUBICACION!N256</f>
        <v/>
      </c>
      <c r="O257" s="675">
        <f>+CUBICACION!O256</f>
        <v>0</v>
      </c>
      <c r="P257" s="15">
        <f>IF(O257="Fire Control",VLOOKUP(_xlfn.MINIFS('FIRE CONTROL'!$C$4:$C$37,'FIRE CONTROL'!$C$4:$C$37,"&gt;="&amp;M257),'FIRE CONTROL'!$C$4:$G$37,IF(L257="F-15",2,IF(L257="F-30",3,IF(L257="F-60",4,IF(L257="F-90",5,0)))),0),0)+IF(AND(O257="FIRE TEX 5062",OR(E257="IN",E257="C",E257="Z",E257="L"),J257=3),VLOOKUP(_xlfn.MINIFS('FIRE TEX 5062'!$B$4:$B$34,'FIRE TEX 5062'!$B$4:$B$34,"&gt;="&amp;M257),'FIRE TEX 5062'!$B$4:$F$34,IF(L257="F-15",2,IF(L257="F-30",3,IF(L257="F-60",4,IF(L257="F-90",5,0)))),0),0)+IF(AND(O257="FIRE TEX 5062",OR(E257="IN",E257="C",E257="Z",E257="L"),J257=4),VLOOKUP(_xlfn.MINIFS('FIRE TEX 5062'!$G$4:$G$34,'FIRE TEX 5062'!$G$4:$G$34,"&gt;="&amp;M257),'FIRE TEX 5062'!$G$4:$K$34,IF(L257="F-15",2,IF(L257="F-30",3,IF(L257="F-60",4,IF(L257="F-90",5,0)))),0),0)+IF(AND(O257="FIRE TEX 5062",E257="CJ",J257=3),VLOOKUP(_xlfn.MINIFS('FIRE TEX 5062'!$L$4:$L$34,'FIRE TEX 5062'!$L$4:$L$34,"&gt;="&amp;M257),'FIRE TEX 5062'!$L$4:$P$34,IF(L257="F-15",2,IF(L257="F-30",3,IF(L257="F-60",4,IF(L257="F-90",5,0)))),0),0)+IF(AND(O257="FIRE TEX 5062",E257="CJ",J257=4),VLOOKUP(_xlfn.MINIFS('FIRE TEX 5062'!$Q$3:$Q$34,'FIRE TEX 5062'!$Q$3:$Q$34,"&gt;="&amp;M257),'FIRE TEX 5062'!$Q$3:$U$34,IF(L257="F-15",2,IF(L257="F-30",3,IF(L257="F-60",4,IF(L257="F-90",5,0)))),0),0)+IF(AND(O257="FIRE TEX 5090",OR(E257="IN",E257="C",E257="Z",E257="L"),J257=3),VLOOKUP(_xlfn.MINIFS('FIRE TEX 5090'!$B$5:$B$43,'FIRE TEX 5090'!$B$5:$B$43,"&gt;="&amp;M257),'FIRE TEX 5090'!$B$5:$H$43,IF(L257="F-15",2,IF(L257="F-30",3,IF(L257="F-60",4,IF(L257="F-90",5,IF(L257="F-120",6,IF(L257="F-150",7,0)))))),0),0)+IF(AND(O257="FIRE TEX 5090",OR(E257="IN",E257="C",E257="Z",E257="L"),J257=4),VLOOKUP(_xlfn.MINIFS('FIRE TEX 5090'!$J$5:$J$43,'FIRE TEX 5090'!$J$5:$J$43,"&gt;="&amp;M257),'FIRE TEX 5090'!$J$5:$P$43,IF(L257="F-15",2,IF(L257="F-30",3,IF(L257="F-60",4,IF(L257="F-90",5,IF(L257="F-120",6,IF(L257="F-150",7,0)))))),0),0)+IF(AND(O257="FIRE TEX 5090",E257="CJ",J257=3),VLOOKUP(_xlfn.MINIFS('FIRE TEX 5090'!$R$5:$R$30,'FIRE TEX 5090'!$R$5:$R$30,"&gt;="&amp;M257),'FIRE TEX 5090'!$R$5:$W$30,IF(L257="F-15",2,IF(L257="F-30",3,IF(L257="F-60",4,IF(L257="F-90",5,IF(L257="F-120",6,IF(L257="F-150",7,0)))))),0),0)+IF(AND(O257="FIRE TEX 5090",E257="CJ",J257=4),VLOOKUP(_xlfn.MINIFS('FIRE TEX 5090'!$Y$5:$Y$39,'FIRE TEX 5090'!$Y$5:$Y$39,"&gt;="&amp;M257),'FIRE TEX 5090'!$Y$5:$AD$39,IF(L257="F-15",2,IF(L257="F-30",3,IF(L257="F-60",4,IF(L257="F-90",5,IF(L257="F-120",6,IF(L257="F-150",7,0)))))),0),0)+IF(AND(O257="FIRE TEX 5120",OR(E257="IN",E257="C",E257="Z",E257="L"),J257=3),VLOOKUP(_xlfn.MINIFS('FIRE TEX 5120'!$B$5:$B$40,'FIRE TEX 5120'!$B$5:$B$40,"&gt;="&amp;M257),'FIRE TEX 5120'!$B$5:$G$40,IF(L257="F-15",2,IF(L257="F-30",3,IF(L257="F-60",4,IF(L257="F-90",5,IF(L257="F-120",6,0))))),0),0)+IF(AND(O257="FIRE TEX 5120",OR(E257="IN",E257="C",E257="Z",E257="L"),J257=4),VLOOKUP(_xlfn.MINIFS('FIRE TEX 5120'!$H$4:$H$40,'FIRE TEX 5120'!$H$4:$H$40,"&gt;="&amp;M257),'FIRE TEX 5120'!$H$4:$M$40,IF(L257="F-15",2,IF(L257="F-30",3,IF(L257="F-60",4,IF(L257="F-90",5,IF(L257="F-120",6,0))))),0),0)+IF(AND(O257="FIRE TEX 5120",E257="CJ"),VLOOKUP(_xlfn.MINIFS('FIRE TEX 5120'!$O$5:$O$40,'FIRE TEX 5120'!$O$5:$O$40,"&gt;="&amp;M257),'FIRE TEX 5120'!$O$5:$T$40,IF(L257="F-15",2,IF(L257="F-30",3,IF(L257="F-60",4,IF(L257="F-90",5,IF(L257="F-120",6,0))))),0),0)</f>
        <v>0</v>
      </c>
      <c r="Q257" s="46">
        <f t="shared" si="26"/>
        <v>0</v>
      </c>
      <c r="R257" s="46">
        <f t="shared" si="28"/>
        <v>0</v>
      </c>
      <c r="S257" s="46" t="e">
        <f t="shared" si="27"/>
        <v>#VALUE!</v>
      </c>
      <c r="T257" s="677">
        <f t="shared" si="29"/>
        <v>0</v>
      </c>
      <c r="U257" s="80">
        <f>(IF(O257="Stofire",(S257*#REF!),0))+(IF(O257="Fire Control",(S257*$U$2),0))+(IF(O257="Fire Tex",(S257*$U$3),0))+(IF(O257="WB7",(S257*#REF!),0)+(IF(O257="FX 2003",(S257*$U$5),0)))</f>
        <v>0</v>
      </c>
      <c r="V257" s="651">
        <f t="shared" si="33"/>
        <v>0</v>
      </c>
      <c r="W257" s="4"/>
    </row>
    <row r="258" spans="1:23" x14ac:dyDescent="0.25">
      <c r="A258" s="652" t="s">
        <v>439</v>
      </c>
      <c r="B258" s="653" t="s">
        <v>430</v>
      </c>
      <c r="C258" s="1" t="s">
        <v>435</v>
      </c>
      <c r="D258" s="118">
        <f>+CUBICACION!D257</f>
        <v>0</v>
      </c>
      <c r="E258" s="118">
        <f>+CUBICACION!F257</f>
        <v>0</v>
      </c>
      <c r="F258" s="118">
        <f>+CUBICACION!E257</f>
        <v>0</v>
      </c>
      <c r="G258" s="118">
        <v>12</v>
      </c>
      <c r="H258" s="118">
        <v>2</v>
      </c>
      <c r="I258" s="820">
        <v>26385</v>
      </c>
      <c r="J258" s="118">
        <f>+CUBICACION!J257</f>
        <v>0</v>
      </c>
      <c r="K258" s="118">
        <v>3037</v>
      </c>
      <c r="L258" s="118">
        <f>+CUBICACION!L257</f>
        <v>0</v>
      </c>
      <c r="M258" s="64">
        <f>+CUBICACION!M257</f>
        <v>0</v>
      </c>
      <c r="N258" s="824" t="str">
        <f>+CUBICACION!N257</f>
        <v/>
      </c>
      <c r="O258" s="675">
        <f>+CUBICACION!O257</f>
        <v>0</v>
      </c>
      <c r="P258" s="15">
        <f>IF(O258="Fire Control",VLOOKUP(_xlfn.MINIFS('FIRE CONTROL'!$C$4:$C$37,'FIRE CONTROL'!$C$4:$C$37,"&gt;="&amp;M258),'FIRE CONTROL'!$C$4:$G$37,IF(L258="F-15",2,IF(L258="F-30",3,IF(L258="F-60",4,IF(L258="F-90",5,0)))),0),0)+IF(AND(O258="FIRE TEX 5062",OR(E258="IN",E258="C",E258="Z",E258="L"),J258=3),VLOOKUP(_xlfn.MINIFS('FIRE TEX 5062'!$B$4:$B$34,'FIRE TEX 5062'!$B$4:$B$34,"&gt;="&amp;M258),'FIRE TEX 5062'!$B$4:$F$34,IF(L258="F-15",2,IF(L258="F-30",3,IF(L258="F-60",4,IF(L258="F-90",5,0)))),0),0)+IF(AND(O258="FIRE TEX 5062",OR(E258="IN",E258="C",E258="Z",E258="L"),J258=4),VLOOKUP(_xlfn.MINIFS('FIRE TEX 5062'!$G$4:$G$34,'FIRE TEX 5062'!$G$4:$G$34,"&gt;="&amp;M258),'FIRE TEX 5062'!$G$4:$K$34,IF(L258="F-15",2,IF(L258="F-30",3,IF(L258="F-60",4,IF(L258="F-90",5,0)))),0),0)+IF(AND(O258="FIRE TEX 5062",E258="CJ",J258=3),VLOOKUP(_xlfn.MINIFS('FIRE TEX 5062'!$L$4:$L$34,'FIRE TEX 5062'!$L$4:$L$34,"&gt;="&amp;M258),'FIRE TEX 5062'!$L$4:$P$34,IF(L258="F-15",2,IF(L258="F-30",3,IF(L258="F-60",4,IF(L258="F-90",5,0)))),0),0)+IF(AND(O258="FIRE TEX 5062",E258="CJ",J258=4),VLOOKUP(_xlfn.MINIFS('FIRE TEX 5062'!$Q$3:$Q$34,'FIRE TEX 5062'!$Q$3:$Q$34,"&gt;="&amp;M258),'FIRE TEX 5062'!$Q$3:$U$34,IF(L258="F-15",2,IF(L258="F-30",3,IF(L258="F-60",4,IF(L258="F-90",5,0)))),0),0)+IF(AND(O258="FIRE TEX 5090",OR(E258="IN",E258="C",E258="Z",E258="L"),J258=3),VLOOKUP(_xlfn.MINIFS('FIRE TEX 5090'!$B$5:$B$43,'FIRE TEX 5090'!$B$5:$B$43,"&gt;="&amp;M258),'FIRE TEX 5090'!$B$5:$H$43,IF(L258="F-15",2,IF(L258="F-30",3,IF(L258="F-60",4,IF(L258="F-90",5,IF(L258="F-120",6,IF(L258="F-150",7,0)))))),0),0)+IF(AND(O258="FIRE TEX 5090",OR(E258="IN",E258="C",E258="Z",E258="L"),J258=4),VLOOKUP(_xlfn.MINIFS('FIRE TEX 5090'!$J$5:$J$43,'FIRE TEX 5090'!$J$5:$J$43,"&gt;="&amp;M258),'FIRE TEX 5090'!$J$5:$P$43,IF(L258="F-15",2,IF(L258="F-30",3,IF(L258="F-60",4,IF(L258="F-90",5,IF(L258="F-120",6,IF(L258="F-150",7,0)))))),0),0)+IF(AND(O258="FIRE TEX 5090",E258="CJ",J258=3),VLOOKUP(_xlfn.MINIFS('FIRE TEX 5090'!$R$5:$R$30,'FIRE TEX 5090'!$R$5:$R$30,"&gt;="&amp;M258),'FIRE TEX 5090'!$R$5:$W$30,IF(L258="F-15",2,IF(L258="F-30",3,IF(L258="F-60",4,IF(L258="F-90",5,IF(L258="F-120",6,IF(L258="F-150",7,0)))))),0),0)+IF(AND(O258="FIRE TEX 5090",E258="CJ",J258=4),VLOOKUP(_xlfn.MINIFS('FIRE TEX 5090'!$Y$5:$Y$39,'FIRE TEX 5090'!$Y$5:$Y$39,"&gt;="&amp;M258),'FIRE TEX 5090'!$Y$5:$AD$39,IF(L258="F-15",2,IF(L258="F-30",3,IF(L258="F-60",4,IF(L258="F-90",5,IF(L258="F-120",6,IF(L258="F-150",7,0)))))),0),0)+IF(AND(O258="FIRE TEX 5120",OR(E258="IN",E258="C",E258="Z",E258="L"),J258=3),VLOOKUP(_xlfn.MINIFS('FIRE TEX 5120'!$B$5:$B$40,'FIRE TEX 5120'!$B$5:$B$40,"&gt;="&amp;M258),'FIRE TEX 5120'!$B$5:$G$40,IF(L258="F-15",2,IF(L258="F-30",3,IF(L258="F-60",4,IF(L258="F-90",5,IF(L258="F-120",6,0))))),0),0)+IF(AND(O258="FIRE TEX 5120",OR(E258="IN",E258="C",E258="Z",E258="L"),J258=4),VLOOKUP(_xlfn.MINIFS('FIRE TEX 5120'!$H$4:$H$40,'FIRE TEX 5120'!$H$4:$H$40,"&gt;="&amp;M258),'FIRE TEX 5120'!$H$4:$M$40,IF(L258="F-15",2,IF(L258="F-30",3,IF(L258="F-60",4,IF(L258="F-90",5,IF(L258="F-120",6,0))))),0),0)+IF(AND(O258="FIRE TEX 5120",E258="CJ"),VLOOKUP(_xlfn.MINIFS('FIRE TEX 5120'!$O$5:$O$40,'FIRE TEX 5120'!$O$5:$O$40,"&gt;="&amp;M258),'FIRE TEX 5120'!$O$5:$T$40,IF(L258="F-15",2,IF(L258="F-30",3,IF(L258="F-60",4,IF(L258="F-90",5,IF(L258="F-120",6,0))))),0),0)</f>
        <v>0</v>
      </c>
      <c r="Q258" s="46">
        <f t="shared" si="26"/>
        <v>0</v>
      </c>
      <c r="R258" s="46">
        <f t="shared" si="28"/>
        <v>0</v>
      </c>
      <c r="S258" s="46" t="e">
        <f t="shared" si="27"/>
        <v>#VALUE!</v>
      </c>
      <c r="T258" s="677">
        <f t="shared" si="29"/>
        <v>0</v>
      </c>
      <c r="U258" s="80">
        <f>(IF(O258="Stofire",(S258*#REF!),0))+(IF(O258="Fire Control",(S258*$U$2),0))+(IF(O258="Fire Tex",(S258*$U$3),0))+(IF(O258="WB7",(S258*#REF!),0)+(IF(O258="FX 2003",(S258*$U$5),0)))</f>
        <v>0</v>
      </c>
      <c r="V258" s="651">
        <f t="shared" si="33"/>
        <v>0</v>
      </c>
      <c r="W258" s="4"/>
    </row>
    <row r="259" spans="1:23" x14ac:dyDescent="0.25">
      <c r="A259" s="652" t="s">
        <v>442</v>
      </c>
      <c r="B259" s="653" t="s">
        <v>443</v>
      </c>
      <c r="C259" s="1" t="s">
        <v>444</v>
      </c>
      <c r="D259" s="118">
        <f>+CUBICACION!D258</f>
        <v>0</v>
      </c>
      <c r="E259" s="118">
        <f>+CUBICACION!F258</f>
        <v>0</v>
      </c>
      <c r="F259" s="118">
        <f>+CUBICACION!E258</f>
        <v>0</v>
      </c>
      <c r="G259" s="118">
        <v>12</v>
      </c>
      <c r="H259" s="118">
        <v>2</v>
      </c>
      <c r="I259" s="820">
        <v>26385</v>
      </c>
      <c r="J259" s="118">
        <f>+CUBICACION!J258</f>
        <v>0</v>
      </c>
      <c r="K259" s="118">
        <v>3038</v>
      </c>
      <c r="L259" s="118">
        <f>+CUBICACION!L258</f>
        <v>0</v>
      </c>
      <c r="M259" s="64">
        <f>+CUBICACION!M258</f>
        <v>0</v>
      </c>
      <c r="N259" s="824" t="str">
        <f>+CUBICACION!N258</f>
        <v/>
      </c>
      <c r="O259" s="675">
        <f>+CUBICACION!O258</f>
        <v>0</v>
      </c>
      <c r="P259" s="15">
        <f>IF(O259="Fire Control",VLOOKUP(_xlfn.MINIFS('FIRE CONTROL'!$C$4:$C$37,'FIRE CONTROL'!$C$4:$C$37,"&gt;="&amp;M259),'FIRE CONTROL'!$C$4:$G$37,IF(L259="F-15",2,IF(L259="F-30",3,IF(L259="F-60",4,IF(L259="F-90",5,0)))),0),0)+IF(AND(O259="FIRE TEX 5062",OR(E259="IN",E259="C",E259="Z",E259="L"),J259=3),VLOOKUP(_xlfn.MINIFS('FIRE TEX 5062'!$B$4:$B$34,'FIRE TEX 5062'!$B$4:$B$34,"&gt;="&amp;M259),'FIRE TEX 5062'!$B$4:$F$34,IF(L259="F-15",2,IF(L259="F-30",3,IF(L259="F-60",4,IF(L259="F-90",5,0)))),0),0)+IF(AND(O259="FIRE TEX 5062",OR(E259="IN",E259="C",E259="Z",E259="L"),J259=4),VLOOKUP(_xlfn.MINIFS('FIRE TEX 5062'!$G$4:$G$34,'FIRE TEX 5062'!$G$4:$G$34,"&gt;="&amp;M259),'FIRE TEX 5062'!$G$4:$K$34,IF(L259="F-15",2,IF(L259="F-30",3,IF(L259="F-60",4,IF(L259="F-90",5,0)))),0),0)+IF(AND(O259="FIRE TEX 5062",E259="CJ",J259=3),VLOOKUP(_xlfn.MINIFS('FIRE TEX 5062'!$L$4:$L$34,'FIRE TEX 5062'!$L$4:$L$34,"&gt;="&amp;M259),'FIRE TEX 5062'!$L$4:$P$34,IF(L259="F-15",2,IF(L259="F-30",3,IF(L259="F-60",4,IF(L259="F-90",5,0)))),0),0)+IF(AND(O259="FIRE TEX 5062",E259="CJ",J259=4),VLOOKUP(_xlfn.MINIFS('FIRE TEX 5062'!$Q$3:$Q$34,'FIRE TEX 5062'!$Q$3:$Q$34,"&gt;="&amp;M259),'FIRE TEX 5062'!$Q$3:$U$34,IF(L259="F-15",2,IF(L259="F-30",3,IF(L259="F-60",4,IF(L259="F-90",5,0)))),0),0)+IF(AND(O259="FIRE TEX 5090",OR(E259="IN",E259="C",E259="Z",E259="L"),J259=3),VLOOKUP(_xlfn.MINIFS('FIRE TEX 5090'!$B$5:$B$43,'FIRE TEX 5090'!$B$5:$B$43,"&gt;="&amp;M259),'FIRE TEX 5090'!$B$5:$H$43,IF(L259="F-15",2,IF(L259="F-30",3,IF(L259="F-60",4,IF(L259="F-90",5,IF(L259="F-120",6,IF(L259="F-150",7,0)))))),0),0)+IF(AND(O259="FIRE TEX 5090",OR(E259="IN",E259="C",E259="Z",E259="L"),J259=4),VLOOKUP(_xlfn.MINIFS('FIRE TEX 5090'!$J$5:$J$43,'FIRE TEX 5090'!$J$5:$J$43,"&gt;="&amp;M259),'FIRE TEX 5090'!$J$5:$P$43,IF(L259="F-15",2,IF(L259="F-30",3,IF(L259="F-60",4,IF(L259="F-90",5,IF(L259="F-120",6,IF(L259="F-150",7,0)))))),0),0)+IF(AND(O259="FIRE TEX 5090",E259="CJ",J259=3),VLOOKUP(_xlfn.MINIFS('FIRE TEX 5090'!$R$5:$R$30,'FIRE TEX 5090'!$R$5:$R$30,"&gt;="&amp;M259),'FIRE TEX 5090'!$R$5:$W$30,IF(L259="F-15",2,IF(L259="F-30",3,IF(L259="F-60",4,IF(L259="F-90",5,IF(L259="F-120",6,IF(L259="F-150",7,0)))))),0),0)+IF(AND(O259="FIRE TEX 5090",E259="CJ",J259=4),VLOOKUP(_xlfn.MINIFS('FIRE TEX 5090'!$Y$5:$Y$39,'FIRE TEX 5090'!$Y$5:$Y$39,"&gt;="&amp;M259),'FIRE TEX 5090'!$Y$5:$AD$39,IF(L259="F-15",2,IF(L259="F-30",3,IF(L259="F-60",4,IF(L259="F-90",5,IF(L259="F-120",6,IF(L259="F-150",7,0)))))),0),0)+IF(AND(O259="FIRE TEX 5120",OR(E259="IN",E259="C",E259="Z",E259="L"),J259=3),VLOOKUP(_xlfn.MINIFS('FIRE TEX 5120'!$B$5:$B$40,'FIRE TEX 5120'!$B$5:$B$40,"&gt;="&amp;M259),'FIRE TEX 5120'!$B$5:$G$40,IF(L259="F-15",2,IF(L259="F-30",3,IF(L259="F-60",4,IF(L259="F-90",5,IF(L259="F-120",6,0))))),0),0)+IF(AND(O259="FIRE TEX 5120",OR(E259="IN",E259="C",E259="Z",E259="L"),J259=4),VLOOKUP(_xlfn.MINIFS('FIRE TEX 5120'!$H$4:$H$40,'FIRE TEX 5120'!$H$4:$H$40,"&gt;="&amp;M259),'FIRE TEX 5120'!$H$4:$M$40,IF(L259="F-15",2,IF(L259="F-30",3,IF(L259="F-60",4,IF(L259="F-90",5,IF(L259="F-120",6,0))))),0),0)+IF(AND(O259="FIRE TEX 5120",E259="CJ"),VLOOKUP(_xlfn.MINIFS('FIRE TEX 5120'!$O$5:$O$40,'FIRE TEX 5120'!$O$5:$O$40,"&gt;="&amp;M259),'FIRE TEX 5120'!$O$5:$T$40,IF(L259="F-15",2,IF(L259="F-30",3,IF(L259="F-60",4,IF(L259="F-90",5,IF(L259="F-120",6,0))))),0),0)</f>
        <v>0</v>
      </c>
      <c r="Q259" s="46">
        <f t="shared" si="26"/>
        <v>0</v>
      </c>
      <c r="R259" s="46">
        <f t="shared" si="28"/>
        <v>0</v>
      </c>
      <c r="S259" s="46" t="e">
        <f t="shared" si="27"/>
        <v>#VALUE!</v>
      </c>
      <c r="T259" s="677">
        <f t="shared" si="29"/>
        <v>0</v>
      </c>
      <c r="U259" s="80">
        <f>(IF(O259="Stofire",(S259*#REF!),0))+(IF(O259="Fire Control",(S259*$U$2),0))+(IF(O259="Fire Tex",(S259*$U$3),0))+(IF(O259="WB7",(S259*#REF!),0)+(IF(O259="FX 2003",(S259*$U$5),0)))</f>
        <v>0</v>
      </c>
      <c r="V259" s="651">
        <f t="shared" si="33"/>
        <v>0</v>
      </c>
      <c r="W259" s="4"/>
    </row>
    <row r="260" spans="1:23" x14ac:dyDescent="0.25">
      <c r="A260" s="652" t="s">
        <v>442</v>
      </c>
      <c r="B260" s="653" t="s">
        <v>443</v>
      </c>
      <c r="C260" s="1" t="s">
        <v>446</v>
      </c>
      <c r="D260" s="118">
        <f>+CUBICACION!D259</f>
        <v>0</v>
      </c>
      <c r="E260" s="118">
        <f>+CUBICACION!F259</f>
        <v>0</v>
      </c>
      <c r="F260" s="118">
        <f>+CUBICACION!E259</f>
        <v>0</v>
      </c>
      <c r="G260" s="118">
        <v>12</v>
      </c>
      <c r="H260" s="118">
        <v>2</v>
      </c>
      <c r="I260" s="820">
        <v>26385</v>
      </c>
      <c r="J260" s="118">
        <f>+CUBICACION!J259</f>
        <v>0</v>
      </c>
      <c r="K260" s="118">
        <v>3039</v>
      </c>
      <c r="L260" s="118">
        <f>+CUBICACION!L259</f>
        <v>0</v>
      </c>
      <c r="M260" s="64">
        <f>+CUBICACION!M259</f>
        <v>0</v>
      </c>
      <c r="N260" s="824" t="str">
        <f>+CUBICACION!N259</f>
        <v/>
      </c>
      <c r="O260" s="675">
        <f>+CUBICACION!O259</f>
        <v>0</v>
      </c>
      <c r="P260" s="15">
        <f>IF(O260="Fire Control",VLOOKUP(_xlfn.MINIFS('FIRE CONTROL'!$C$4:$C$37,'FIRE CONTROL'!$C$4:$C$37,"&gt;="&amp;M260),'FIRE CONTROL'!$C$4:$G$37,IF(L260="F-15",2,IF(L260="F-30",3,IF(L260="F-60",4,IF(L260="F-90",5,0)))),0),0)+IF(AND(O260="FIRE TEX 5062",OR(E260="IN",E260="C",E260="Z",E260="L"),J260=3),VLOOKUP(_xlfn.MINIFS('FIRE TEX 5062'!$B$4:$B$34,'FIRE TEX 5062'!$B$4:$B$34,"&gt;="&amp;M260),'FIRE TEX 5062'!$B$4:$F$34,IF(L260="F-15",2,IF(L260="F-30",3,IF(L260="F-60",4,IF(L260="F-90",5,0)))),0),0)+IF(AND(O260="FIRE TEX 5062",OR(E260="IN",E260="C",E260="Z",E260="L"),J260=4),VLOOKUP(_xlfn.MINIFS('FIRE TEX 5062'!$G$4:$G$34,'FIRE TEX 5062'!$G$4:$G$34,"&gt;="&amp;M260),'FIRE TEX 5062'!$G$4:$K$34,IF(L260="F-15",2,IF(L260="F-30",3,IF(L260="F-60",4,IF(L260="F-90",5,0)))),0),0)+IF(AND(O260="FIRE TEX 5062",E260="CJ",J260=3),VLOOKUP(_xlfn.MINIFS('FIRE TEX 5062'!$L$4:$L$34,'FIRE TEX 5062'!$L$4:$L$34,"&gt;="&amp;M260),'FIRE TEX 5062'!$L$4:$P$34,IF(L260="F-15",2,IF(L260="F-30",3,IF(L260="F-60",4,IF(L260="F-90",5,0)))),0),0)+IF(AND(O260="FIRE TEX 5062",E260="CJ",J260=4),VLOOKUP(_xlfn.MINIFS('FIRE TEX 5062'!$Q$3:$Q$34,'FIRE TEX 5062'!$Q$3:$Q$34,"&gt;="&amp;M260),'FIRE TEX 5062'!$Q$3:$U$34,IF(L260="F-15",2,IF(L260="F-30",3,IF(L260="F-60",4,IF(L260="F-90",5,0)))),0),0)+IF(AND(O260="FIRE TEX 5090",OR(E260="IN",E260="C",E260="Z",E260="L"),J260=3),VLOOKUP(_xlfn.MINIFS('FIRE TEX 5090'!$B$5:$B$43,'FIRE TEX 5090'!$B$5:$B$43,"&gt;="&amp;M260),'FIRE TEX 5090'!$B$5:$H$43,IF(L260="F-15",2,IF(L260="F-30",3,IF(L260="F-60",4,IF(L260="F-90",5,IF(L260="F-120",6,IF(L260="F-150",7,0)))))),0),0)+IF(AND(O260="FIRE TEX 5090",OR(E260="IN",E260="C",E260="Z",E260="L"),J260=4),VLOOKUP(_xlfn.MINIFS('FIRE TEX 5090'!$J$5:$J$43,'FIRE TEX 5090'!$J$5:$J$43,"&gt;="&amp;M260),'FIRE TEX 5090'!$J$5:$P$43,IF(L260="F-15",2,IF(L260="F-30",3,IF(L260="F-60",4,IF(L260="F-90",5,IF(L260="F-120",6,IF(L260="F-150",7,0)))))),0),0)+IF(AND(O260="FIRE TEX 5090",E260="CJ",J260=3),VLOOKUP(_xlfn.MINIFS('FIRE TEX 5090'!$R$5:$R$30,'FIRE TEX 5090'!$R$5:$R$30,"&gt;="&amp;M260),'FIRE TEX 5090'!$R$5:$W$30,IF(L260="F-15",2,IF(L260="F-30",3,IF(L260="F-60",4,IF(L260="F-90",5,IF(L260="F-120",6,IF(L260="F-150",7,0)))))),0),0)+IF(AND(O260="FIRE TEX 5090",E260="CJ",J260=4),VLOOKUP(_xlfn.MINIFS('FIRE TEX 5090'!$Y$5:$Y$39,'FIRE TEX 5090'!$Y$5:$Y$39,"&gt;="&amp;M260),'FIRE TEX 5090'!$Y$5:$AD$39,IF(L260="F-15",2,IF(L260="F-30",3,IF(L260="F-60",4,IF(L260="F-90",5,IF(L260="F-120",6,IF(L260="F-150",7,0)))))),0),0)+IF(AND(O260="FIRE TEX 5120",OR(E260="IN",E260="C",E260="Z",E260="L"),J260=3),VLOOKUP(_xlfn.MINIFS('FIRE TEX 5120'!$B$5:$B$40,'FIRE TEX 5120'!$B$5:$B$40,"&gt;="&amp;M260),'FIRE TEX 5120'!$B$5:$G$40,IF(L260="F-15",2,IF(L260="F-30",3,IF(L260="F-60",4,IF(L260="F-90",5,IF(L260="F-120",6,0))))),0),0)+IF(AND(O260="FIRE TEX 5120",OR(E260="IN",E260="C",E260="Z",E260="L"),J260=4),VLOOKUP(_xlfn.MINIFS('FIRE TEX 5120'!$H$4:$H$40,'FIRE TEX 5120'!$H$4:$H$40,"&gt;="&amp;M260),'FIRE TEX 5120'!$H$4:$M$40,IF(L260="F-15",2,IF(L260="F-30",3,IF(L260="F-60",4,IF(L260="F-90",5,IF(L260="F-120",6,0))))),0),0)+IF(AND(O260="FIRE TEX 5120",E260="CJ"),VLOOKUP(_xlfn.MINIFS('FIRE TEX 5120'!$O$5:$O$40,'FIRE TEX 5120'!$O$5:$O$40,"&gt;="&amp;M260),'FIRE TEX 5120'!$O$5:$T$40,IF(L260="F-15",2,IF(L260="F-30",3,IF(L260="F-60",4,IF(L260="F-90",5,IF(L260="F-120",6,0))))),0),0)</f>
        <v>0</v>
      </c>
      <c r="Q260" s="46">
        <f t="shared" si="26"/>
        <v>0</v>
      </c>
      <c r="R260" s="46">
        <f t="shared" si="28"/>
        <v>0</v>
      </c>
      <c r="S260" s="46" t="e">
        <f t="shared" si="27"/>
        <v>#VALUE!</v>
      </c>
      <c r="T260" s="677">
        <f t="shared" si="29"/>
        <v>0</v>
      </c>
      <c r="U260" s="80">
        <f>(IF(O260="Stofire",(S260*#REF!),0))+(IF(O260="Fire Control",(S260*$U$2),0))+(IF(O260="Fire Tex",(S260*$U$3),0))+(IF(O260="WB7",(S260*#REF!),0)+(IF(O260="FX 2003",(S260*$U$5),0)))</f>
        <v>0</v>
      </c>
      <c r="V260" s="651">
        <f>_xlfn.CEILING.MATH(M260,10)</f>
        <v>0</v>
      </c>
      <c r="W260" s="4"/>
    </row>
    <row r="261" spans="1:23" x14ac:dyDescent="0.25">
      <c r="A261" s="652" t="s">
        <v>448</v>
      </c>
      <c r="B261" s="653" t="s">
        <v>443</v>
      </c>
      <c r="C261" s="1" t="s">
        <v>444</v>
      </c>
      <c r="D261" s="118">
        <f>+CUBICACION!D260</f>
        <v>0</v>
      </c>
      <c r="E261" s="118">
        <f>+CUBICACION!F260</f>
        <v>0</v>
      </c>
      <c r="F261" s="118">
        <f>+CUBICACION!E260</f>
        <v>0</v>
      </c>
      <c r="G261" s="118">
        <v>12</v>
      </c>
      <c r="H261" s="118">
        <v>2</v>
      </c>
      <c r="I261" s="820">
        <v>26385</v>
      </c>
      <c r="J261" s="118">
        <f>+CUBICACION!J260</f>
        <v>0</v>
      </c>
      <c r="K261" s="118">
        <v>3040</v>
      </c>
      <c r="L261" s="118">
        <f>+CUBICACION!L260</f>
        <v>0</v>
      </c>
      <c r="M261" s="64">
        <f>+CUBICACION!M260</f>
        <v>0</v>
      </c>
      <c r="N261" s="824" t="str">
        <f>+CUBICACION!N260</f>
        <v/>
      </c>
      <c r="O261" s="675">
        <f>+CUBICACION!O260</f>
        <v>0</v>
      </c>
      <c r="P261" s="15">
        <f>IF(O261="Fire Control",VLOOKUP(_xlfn.MINIFS('FIRE CONTROL'!$C$4:$C$37,'FIRE CONTROL'!$C$4:$C$37,"&gt;="&amp;M261),'FIRE CONTROL'!$C$4:$G$37,IF(L261="F-15",2,IF(L261="F-30",3,IF(L261="F-60",4,IF(L261="F-90",5,0)))),0),0)+IF(AND(O261="FIRE TEX 5062",OR(E261="IN",E261="C",E261="Z",E261="L"),J261=3),VLOOKUP(_xlfn.MINIFS('FIRE TEX 5062'!$B$4:$B$34,'FIRE TEX 5062'!$B$4:$B$34,"&gt;="&amp;M261),'FIRE TEX 5062'!$B$4:$F$34,IF(L261="F-15",2,IF(L261="F-30",3,IF(L261="F-60",4,IF(L261="F-90",5,0)))),0),0)+IF(AND(O261="FIRE TEX 5062",OR(E261="IN",E261="C",E261="Z",E261="L"),J261=4),VLOOKUP(_xlfn.MINIFS('FIRE TEX 5062'!$G$4:$G$34,'FIRE TEX 5062'!$G$4:$G$34,"&gt;="&amp;M261),'FIRE TEX 5062'!$G$4:$K$34,IF(L261="F-15",2,IF(L261="F-30",3,IF(L261="F-60",4,IF(L261="F-90",5,0)))),0),0)+IF(AND(O261="FIRE TEX 5062",E261="CJ",J261=3),VLOOKUP(_xlfn.MINIFS('FIRE TEX 5062'!$L$4:$L$34,'FIRE TEX 5062'!$L$4:$L$34,"&gt;="&amp;M261),'FIRE TEX 5062'!$L$4:$P$34,IF(L261="F-15",2,IF(L261="F-30",3,IF(L261="F-60",4,IF(L261="F-90",5,0)))),0),0)+IF(AND(O261="FIRE TEX 5062",E261="CJ",J261=4),VLOOKUP(_xlfn.MINIFS('FIRE TEX 5062'!$Q$3:$Q$34,'FIRE TEX 5062'!$Q$3:$Q$34,"&gt;="&amp;M261),'FIRE TEX 5062'!$Q$3:$U$34,IF(L261="F-15",2,IF(L261="F-30",3,IF(L261="F-60",4,IF(L261="F-90",5,0)))),0),0)+IF(AND(O261="FIRE TEX 5090",OR(E261="IN",E261="C",E261="Z",E261="L"),J261=3),VLOOKUP(_xlfn.MINIFS('FIRE TEX 5090'!$B$5:$B$43,'FIRE TEX 5090'!$B$5:$B$43,"&gt;="&amp;M261),'FIRE TEX 5090'!$B$5:$H$43,IF(L261="F-15",2,IF(L261="F-30",3,IF(L261="F-60",4,IF(L261="F-90",5,IF(L261="F-120",6,IF(L261="F-150",7,0)))))),0),0)+IF(AND(O261="FIRE TEX 5090",OR(E261="IN",E261="C",E261="Z",E261="L"),J261=4),VLOOKUP(_xlfn.MINIFS('FIRE TEX 5090'!$J$5:$J$43,'FIRE TEX 5090'!$J$5:$J$43,"&gt;="&amp;M261),'FIRE TEX 5090'!$J$5:$P$43,IF(L261="F-15",2,IF(L261="F-30",3,IF(L261="F-60",4,IF(L261="F-90",5,IF(L261="F-120",6,IF(L261="F-150",7,0)))))),0),0)+IF(AND(O261="FIRE TEX 5090",E261="CJ",J261=3),VLOOKUP(_xlfn.MINIFS('FIRE TEX 5090'!$R$5:$R$30,'FIRE TEX 5090'!$R$5:$R$30,"&gt;="&amp;M261),'FIRE TEX 5090'!$R$5:$W$30,IF(L261="F-15",2,IF(L261="F-30",3,IF(L261="F-60",4,IF(L261="F-90",5,IF(L261="F-120",6,IF(L261="F-150",7,0)))))),0),0)+IF(AND(O261="FIRE TEX 5090",E261="CJ",J261=4),VLOOKUP(_xlfn.MINIFS('FIRE TEX 5090'!$Y$5:$Y$39,'FIRE TEX 5090'!$Y$5:$Y$39,"&gt;="&amp;M261),'FIRE TEX 5090'!$Y$5:$AD$39,IF(L261="F-15",2,IF(L261="F-30",3,IF(L261="F-60",4,IF(L261="F-90",5,IF(L261="F-120",6,IF(L261="F-150",7,0)))))),0),0)+IF(AND(O261="FIRE TEX 5120",OR(E261="IN",E261="C",E261="Z",E261="L"),J261=3),VLOOKUP(_xlfn.MINIFS('FIRE TEX 5120'!$B$5:$B$40,'FIRE TEX 5120'!$B$5:$B$40,"&gt;="&amp;M261),'FIRE TEX 5120'!$B$5:$G$40,IF(L261="F-15",2,IF(L261="F-30",3,IF(L261="F-60",4,IF(L261="F-90",5,IF(L261="F-120",6,0))))),0),0)+IF(AND(O261="FIRE TEX 5120",OR(E261="IN",E261="C",E261="Z",E261="L"),J261=4),VLOOKUP(_xlfn.MINIFS('FIRE TEX 5120'!$H$4:$H$40,'FIRE TEX 5120'!$H$4:$H$40,"&gt;="&amp;M261),'FIRE TEX 5120'!$H$4:$M$40,IF(L261="F-15",2,IF(L261="F-30",3,IF(L261="F-60",4,IF(L261="F-90",5,IF(L261="F-120",6,0))))),0),0)+IF(AND(O261="FIRE TEX 5120",E261="CJ"),VLOOKUP(_xlfn.MINIFS('FIRE TEX 5120'!$O$5:$O$40,'FIRE TEX 5120'!$O$5:$O$40,"&gt;="&amp;M261),'FIRE TEX 5120'!$O$5:$T$40,IF(L261="F-15",2,IF(L261="F-30",3,IF(L261="F-60",4,IF(L261="F-90",5,IF(L261="F-120",6,0))))),0),0)</f>
        <v>0</v>
      </c>
      <c r="Q261" s="46">
        <f t="shared" ref="Q261:Q324" si="34">IF(P261="","",IF(P261="dar valor","",0.03937*P261))</f>
        <v>0</v>
      </c>
      <c r="R261" s="46">
        <f t="shared" si="28"/>
        <v>0</v>
      </c>
      <c r="S261" s="46" t="e">
        <f t="shared" ref="S261:S324" si="35">IF(R261="","",+N261/R261)</f>
        <v>#VALUE!</v>
      </c>
      <c r="T261" s="677">
        <f t="shared" si="29"/>
        <v>0</v>
      </c>
      <c r="U261" s="80">
        <f>(IF(O261="Stofire",(S261*#REF!),0))+(IF(O261="Fire Control",(S261*$U$2),0))+(IF(O261="Fire Tex",(S261*$U$3),0))+(IF(O261="WB7",(S261*#REF!),0)+(IF(O261="FX 2003",(S261*$U$5),0)))</f>
        <v>0</v>
      </c>
      <c r="V261" s="651">
        <f>_xlfn.CEILING.MATH(M261,10)</f>
        <v>0</v>
      </c>
      <c r="W261" s="4"/>
    </row>
    <row r="262" spans="1:23" x14ac:dyDescent="0.25">
      <c r="A262" s="652" t="s">
        <v>448</v>
      </c>
      <c r="B262" s="653" t="s">
        <v>443</v>
      </c>
      <c r="C262" s="1" t="s">
        <v>446</v>
      </c>
      <c r="D262" s="118">
        <f>+CUBICACION!D261</f>
        <v>0</v>
      </c>
      <c r="E262" s="118">
        <f>+CUBICACION!F261</f>
        <v>0</v>
      </c>
      <c r="F262" s="118">
        <f>+CUBICACION!E261</f>
        <v>0</v>
      </c>
      <c r="G262" s="118">
        <v>12</v>
      </c>
      <c r="H262" s="118">
        <v>2</v>
      </c>
      <c r="I262" s="820">
        <v>26385</v>
      </c>
      <c r="J262" s="118">
        <f>+CUBICACION!J261</f>
        <v>0</v>
      </c>
      <c r="K262" s="118">
        <v>3041</v>
      </c>
      <c r="L262" s="118">
        <f>+CUBICACION!L261</f>
        <v>0</v>
      </c>
      <c r="M262" s="64">
        <f>+CUBICACION!M261</f>
        <v>0</v>
      </c>
      <c r="N262" s="824" t="str">
        <f>+CUBICACION!N261</f>
        <v/>
      </c>
      <c r="O262" s="675">
        <f>+CUBICACION!O261</f>
        <v>0</v>
      </c>
      <c r="P262" s="15">
        <f>IF(O262="Fire Control",VLOOKUP(_xlfn.MINIFS('FIRE CONTROL'!$C$4:$C$37,'FIRE CONTROL'!$C$4:$C$37,"&gt;="&amp;M262),'FIRE CONTROL'!$C$4:$G$37,IF(L262="F-15",2,IF(L262="F-30",3,IF(L262="F-60",4,IF(L262="F-90",5,0)))),0),0)+IF(AND(O262="FIRE TEX 5062",OR(E262="IN",E262="C",E262="Z",E262="L"),J262=3),VLOOKUP(_xlfn.MINIFS('FIRE TEX 5062'!$B$4:$B$34,'FIRE TEX 5062'!$B$4:$B$34,"&gt;="&amp;M262),'FIRE TEX 5062'!$B$4:$F$34,IF(L262="F-15",2,IF(L262="F-30",3,IF(L262="F-60",4,IF(L262="F-90",5,0)))),0),0)+IF(AND(O262="FIRE TEX 5062",OR(E262="IN",E262="C",E262="Z",E262="L"),J262=4),VLOOKUP(_xlfn.MINIFS('FIRE TEX 5062'!$G$4:$G$34,'FIRE TEX 5062'!$G$4:$G$34,"&gt;="&amp;M262),'FIRE TEX 5062'!$G$4:$K$34,IF(L262="F-15",2,IF(L262="F-30",3,IF(L262="F-60",4,IF(L262="F-90",5,0)))),0),0)+IF(AND(O262="FIRE TEX 5062",E262="CJ",J262=3),VLOOKUP(_xlfn.MINIFS('FIRE TEX 5062'!$L$4:$L$34,'FIRE TEX 5062'!$L$4:$L$34,"&gt;="&amp;M262),'FIRE TEX 5062'!$L$4:$P$34,IF(L262="F-15",2,IF(L262="F-30",3,IF(L262="F-60",4,IF(L262="F-90",5,0)))),0),0)+IF(AND(O262="FIRE TEX 5062",E262="CJ",J262=4),VLOOKUP(_xlfn.MINIFS('FIRE TEX 5062'!$Q$3:$Q$34,'FIRE TEX 5062'!$Q$3:$Q$34,"&gt;="&amp;M262),'FIRE TEX 5062'!$Q$3:$U$34,IF(L262="F-15",2,IF(L262="F-30",3,IF(L262="F-60",4,IF(L262="F-90",5,0)))),0),0)+IF(AND(O262="FIRE TEX 5090",OR(E262="IN",E262="C",E262="Z",E262="L"),J262=3),VLOOKUP(_xlfn.MINIFS('FIRE TEX 5090'!$B$5:$B$43,'FIRE TEX 5090'!$B$5:$B$43,"&gt;="&amp;M262),'FIRE TEX 5090'!$B$5:$H$43,IF(L262="F-15",2,IF(L262="F-30",3,IF(L262="F-60",4,IF(L262="F-90",5,IF(L262="F-120",6,IF(L262="F-150",7,0)))))),0),0)+IF(AND(O262="FIRE TEX 5090",OR(E262="IN",E262="C",E262="Z",E262="L"),J262=4),VLOOKUP(_xlfn.MINIFS('FIRE TEX 5090'!$J$5:$J$43,'FIRE TEX 5090'!$J$5:$J$43,"&gt;="&amp;M262),'FIRE TEX 5090'!$J$5:$P$43,IF(L262="F-15",2,IF(L262="F-30",3,IF(L262="F-60",4,IF(L262="F-90",5,IF(L262="F-120",6,IF(L262="F-150",7,0)))))),0),0)+IF(AND(O262="FIRE TEX 5090",E262="CJ",J262=3),VLOOKUP(_xlfn.MINIFS('FIRE TEX 5090'!$R$5:$R$30,'FIRE TEX 5090'!$R$5:$R$30,"&gt;="&amp;M262),'FIRE TEX 5090'!$R$5:$W$30,IF(L262="F-15",2,IF(L262="F-30",3,IF(L262="F-60",4,IF(L262="F-90",5,IF(L262="F-120",6,IF(L262="F-150",7,0)))))),0),0)+IF(AND(O262="FIRE TEX 5090",E262="CJ",J262=4),VLOOKUP(_xlfn.MINIFS('FIRE TEX 5090'!$Y$5:$Y$39,'FIRE TEX 5090'!$Y$5:$Y$39,"&gt;="&amp;M262),'FIRE TEX 5090'!$Y$5:$AD$39,IF(L262="F-15",2,IF(L262="F-30",3,IF(L262="F-60",4,IF(L262="F-90",5,IF(L262="F-120",6,IF(L262="F-150",7,0)))))),0),0)+IF(AND(O262="FIRE TEX 5120",OR(E262="IN",E262="C",E262="Z",E262="L"),J262=3),VLOOKUP(_xlfn.MINIFS('FIRE TEX 5120'!$B$5:$B$40,'FIRE TEX 5120'!$B$5:$B$40,"&gt;="&amp;M262),'FIRE TEX 5120'!$B$5:$G$40,IF(L262="F-15",2,IF(L262="F-30",3,IF(L262="F-60",4,IF(L262="F-90",5,IF(L262="F-120",6,0))))),0),0)+IF(AND(O262="FIRE TEX 5120",OR(E262="IN",E262="C",E262="Z",E262="L"),J262=4),VLOOKUP(_xlfn.MINIFS('FIRE TEX 5120'!$H$4:$H$40,'FIRE TEX 5120'!$H$4:$H$40,"&gt;="&amp;M262),'FIRE TEX 5120'!$H$4:$M$40,IF(L262="F-15",2,IF(L262="F-30",3,IF(L262="F-60",4,IF(L262="F-90",5,IF(L262="F-120",6,0))))),0),0)+IF(AND(O262="FIRE TEX 5120",E262="CJ"),VLOOKUP(_xlfn.MINIFS('FIRE TEX 5120'!$O$5:$O$40,'FIRE TEX 5120'!$O$5:$O$40,"&gt;="&amp;M262),'FIRE TEX 5120'!$O$5:$T$40,IF(L262="F-15",2,IF(L262="F-30",3,IF(L262="F-60",4,IF(L262="F-90",5,IF(L262="F-120",6,0))))),0),0)</f>
        <v>0</v>
      </c>
      <c r="Q262" s="46">
        <f t="shared" si="34"/>
        <v>0</v>
      </c>
      <c r="R262" s="46">
        <f t="shared" ref="R262:R325" si="36">+(IF(O262="Fire Control",((65*1.5/Q262)*0.75*4),0))+(IF(OR(O262="Fire Tex 5062",O262="Fire Tex 5090",O262="Fire Tex 5120"),((66*1.5/Q262)*0.7*5),0))</f>
        <v>0</v>
      </c>
      <c r="S262" s="46" t="e">
        <f t="shared" si="35"/>
        <v>#VALUE!</v>
      </c>
      <c r="T262" s="677">
        <f t="shared" ref="T262:T325" si="37">(IF(O262="Stofire",(S262/(7*1)),0))+(IF(O262="Fire Control",(S262/(7*1)),0))+(IF(O262="Fire Tex",(S262/(7*1)),0))+(IF(O262="WB7",(S262/(7*1)),0))+(IF(O262="FX 2003",(S262/(7*1)),0))</f>
        <v>0</v>
      </c>
      <c r="U262" s="80">
        <f>(IF(O262="Stofire",(S262*#REF!),0))+(IF(O262="Fire Control",(S262*$U$2),0))+(IF(O262="Fire Tex",(S262*$U$3),0))+(IF(O262="WB7",(S262*#REF!),0)+(IF(O262="FX 2003",(S262*$U$5),0)))</f>
        <v>0</v>
      </c>
      <c r="V262" s="651">
        <f t="shared" ref="V262:V274" si="38">_xlfn.CEILING.MATH(M262,10)</f>
        <v>0</v>
      </c>
      <c r="W262" s="4"/>
    </row>
    <row r="263" spans="1:23" x14ac:dyDescent="0.25">
      <c r="A263" s="652" t="s">
        <v>448</v>
      </c>
      <c r="B263" s="653" t="s">
        <v>451</v>
      </c>
      <c r="C263" s="1" t="s">
        <v>446</v>
      </c>
      <c r="D263" s="118">
        <f>+CUBICACION!D262</f>
        <v>0</v>
      </c>
      <c r="E263" s="118">
        <f>+CUBICACION!F262</f>
        <v>0</v>
      </c>
      <c r="F263" s="118">
        <f>+CUBICACION!E262</f>
        <v>0</v>
      </c>
      <c r="G263" s="118">
        <v>12</v>
      </c>
      <c r="H263" s="118">
        <v>2</v>
      </c>
      <c r="I263" s="820">
        <v>26385</v>
      </c>
      <c r="J263" s="118">
        <f>+CUBICACION!J262</f>
        <v>0</v>
      </c>
      <c r="K263" s="118">
        <v>3042</v>
      </c>
      <c r="L263" s="118">
        <f>+CUBICACION!L262</f>
        <v>0</v>
      </c>
      <c r="M263" s="64">
        <f>+CUBICACION!M262</f>
        <v>0</v>
      </c>
      <c r="N263" s="824" t="str">
        <f>+CUBICACION!N262</f>
        <v/>
      </c>
      <c r="O263" s="675">
        <f>+CUBICACION!O262</f>
        <v>0</v>
      </c>
      <c r="P263" s="15">
        <f>IF(O263="Fire Control",VLOOKUP(_xlfn.MINIFS('FIRE CONTROL'!$C$4:$C$37,'FIRE CONTROL'!$C$4:$C$37,"&gt;="&amp;M263),'FIRE CONTROL'!$C$4:$G$37,IF(L263="F-15",2,IF(L263="F-30",3,IF(L263="F-60",4,IF(L263="F-90",5,0)))),0),0)+IF(AND(O263="FIRE TEX 5062",OR(E263="IN",E263="C",E263="Z",E263="L"),J263=3),VLOOKUP(_xlfn.MINIFS('FIRE TEX 5062'!$B$4:$B$34,'FIRE TEX 5062'!$B$4:$B$34,"&gt;="&amp;M263),'FIRE TEX 5062'!$B$4:$F$34,IF(L263="F-15",2,IF(L263="F-30",3,IF(L263="F-60",4,IF(L263="F-90",5,0)))),0),0)+IF(AND(O263="FIRE TEX 5062",OR(E263="IN",E263="C",E263="Z",E263="L"),J263=4),VLOOKUP(_xlfn.MINIFS('FIRE TEX 5062'!$G$4:$G$34,'FIRE TEX 5062'!$G$4:$G$34,"&gt;="&amp;M263),'FIRE TEX 5062'!$G$4:$K$34,IF(L263="F-15",2,IF(L263="F-30",3,IF(L263="F-60",4,IF(L263="F-90",5,0)))),0),0)+IF(AND(O263="FIRE TEX 5062",E263="CJ",J263=3),VLOOKUP(_xlfn.MINIFS('FIRE TEX 5062'!$L$4:$L$34,'FIRE TEX 5062'!$L$4:$L$34,"&gt;="&amp;M263),'FIRE TEX 5062'!$L$4:$P$34,IF(L263="F-15",2,IF(L263="F-30",3,IF(L263="F-60",4,IF(L263="F-90",5,0)))),0),0)+IF(AND(O263="FIRE TEX 5062",E263="CJ",J263=4),VLOOKUP(_xlfn.MINIFS('FIRE TEX 5062'!$Q$3:$Q$34,'FIRE TEX 5062'!$Q$3:$Q$34,"&gt;="&amp;M263),'FIRE TEX 5062'!$Q$3:$U$34,IF(L263="F-15",2,IF(L263="F-30",3,IF(L263="F-60",4,IF(L263="F-90",5,0)))),0),0)+IF(AND(O263="FIRE TEX 5090",OR(E263="IN",E263="C",E263="Z",E263="L"),J263=3),VLOOKUP(_xlfn.MINIFS('FIRE TEX 5090'!$B$5:$B$43,'FIRE TEX 5090'!$B$5:$B$43,"&gt;="&amp;M263),'FIRE TEX 5090'!$B$5:$H$43,IF(L263="F-15",2,IF(L263="F-30",3,IF(L263="F-60",4,IF(L263="F-90",5,IF(L263="F-120",6,IF(L263="F-150",7,0)))))),0),0)+IF(AND(O263="FIRE TEX 5090",OR(E263="IN",E263="C",E263="Z",E263="L"),J263=4),VLOOKUP(_xlfn.MINIFS('FIRE TEX 5090'!$J$5:$J$43,'FIRE TEX 5090'!$J$5:$J$43,"&gt;="&amp;M263),'FIRE TEX 5090'!$J$5:$P$43,IF(L263="F-15",2,IF(L263="F-30",3,IF(L263="F-60",4,IF(L263="F-90",5,IF(L263="F-120",6,IF(L263="F-150",7,0)))))),0),0)+IF(AND(O263="FIRE TEX 5090",E263="CJ",J263=3),VLOOKUP(_xlfn.MINIFS('FIRE TEX 5090'!$R$5:$R$30,'FIRE TEX 5090'!$R$5:$R$30,"&gt;="&amp;M263),'FIRE TEX 5090'!$R$5:$W$30,IF(L263="F-15",2,IF(L263="F-30",3,IF(L263="F-60",4,IF(L263="F-90",5,IF(L263="F-120",6,IF(L263="F-150",7,0)))))),0),0)+IF(AND(O263="FIRE TEX 5090",E263="CJ",J263=4),VLOOKUP(_xlfn.MINIFS('FIRE TEX 5090'!$Y$5:$Y$39,'FIRE TEX 5090'!$Y$5:$Y$39,"&gt;="&amp;M263),'FIRE TEX 5090'!$Y$5:$AD$39,IF(L263="F-15",2,IF(L263="F-30",3,IF(L263="F-60",4,IF(L263="F-90",5,IF(L263="F-120",6,IF(L263="F-150",7,0)))))),0),0)+IF(AND(O263="FIRE TEX 5120",OR(E263="IN",E263="C",E263="Z",E263="L"),J263=3),VLOOKUP(_xlfn.MINIFS('FIRE TEX 5120'!$B$5:$B$40,'FIRE TEX 5120'!$B$5:$B$40,"&gt;="&amp;M263),'FIRE TEX 5120'!$B$5:$G$40,IF(L263="F-15",2,IF(L263="F-30",3,IF(L263="F-60",4,IF(L263="F-90",5,IF(L263="F-120",6,0))))),0),0)+IF(AND(O263="FIRE TEX 5120",OR(E263="IN",E263="C",E263="Z",E263="L"),J263=4),VLOOKUP(_xlfn.MINIFS('FIRE TEX 5120'!$H$4:$H$40,'FIRE TEX 5120'!$H$4:$H$40,"&gt;="&amp;M263),'FIRE TEX 5120'!$H$4:$M$40,IF(L263="F-15",2,IF(L263="F-30",3,IF(L263="F-60",4,IF(L263="F-90",5,IF(L263="F-120",6,0))))),0),0)+IF(AND(O263="FIRE TEX 5120",E263="CJ"),VLOOKUP(_xlfn.MINIFS('FIRE TEX 5120'!$O$5:$O$40,'FIRE TEX 5120'!$O$5:$O$40,"&gt;="&amp;M263),'FIRE TEX 5120'!$O$5:$T$40,IF(L263="F-15",2,IF(L263="F-30",3,IF(L263="F-60",4,IF(L263="F-90",5,IF(L263="F-120",6,0))))),0),0)</f>
        <v>0</v>
      </c>
      <c r="Q263" s="46">
        <f t="shared" si="34"/>
        <v>0</v>
      </c>
      <c r="R263" s="46">
        <f t="shared" si="36"/>
        <v>0</v>
      </c>
      <c r="S263" s="46" t="e">
        <f t="shared" si="35"/>
        <v>#VALUE!</v>
      </c>
      <c r="T263" s="677">
        <f t="shared" si="37"/>
        <v>0</v>
      </c>
      <c r="U263" s="80">
        <f>(IF(O263="Stofire",(S263*#REF!),0))+(IF(O263="Fire Control",(S263*$U$2),0))+(IF(O263="Fire Tex",(S263*$U$3),0))+(IF(O263="WB7",(S263*#REF!),0)+(IF(O263="FX 2003",(S263*$U$5),0)))</f>
        <v>0</v>
      </c>
      <c r="V263" s="651">
        <f t="shared" si="38"/>
        <v>0</v>
      </c>
      <c r="W263" s="4"/>
    </row>
    <row r="264" spans="1:23" x14ac:dyDescent="0.25">
      <c r="A264" s="652" t="s">
        <v>452</v>
      </c>
      <c r="B264" s="653" t="s">
        <v>453</v>
      </c>
      <c r="C264" s="1" t="s">
        <v>454</v>
      </c>
      <c r="D264" s="118">
        <f>+CUBICACION!D263</f>
        <v>0</v>
      </c>
      <c r="E264" s="118">
        <f>+CUBICACION!F263</f>
        <v>0</v>
      </c>
      <c r="F264" s="118">
        <f>+CUBICACION!E263</f>
        <v>0</v>
      </c>
      <c r="G264" s="118">
        <v>12</v>
      </c>
      <c r="H264" s="118">
        <v>2</v>
      </c>
      <c r="I264" s="820">
        <v>26385</v>
      </c>
      <c r="J264" s="118">
        <f>+CUBICACION!J263</f>
        <v>0</v>
      </c>
      <c r="K264" s="118">
        <v>3043</v>
      </c>
      <c r="L264" s="118">
        <f>+CUBICACION!L263</f>
        <v>0</v>
      </c>
      <c r="M264" s="64">
        <f>+CUBICACION!M263</f>
        <v>0</v>
      </c>
      <c r="N264" s="824" t="str">
        <f>+CUBICACION!N263</f>
        <v/>
      </c>
      <c r="O264" s="675">
        <f>+CUBICACION!O263</f>
        <v>0</v>
      </c>
      <c r="P264" s="15">
        <f>IF(O264="Fire Control",VLOOKUP(_xlfn.MINIFS('FIRE CONTROL'!$C$4:$C$37,'FIRE CONTROL'!$C$4:$C$37,"&gt;="&amp;M264),'FIRE CONTROL'!$C$4:$G$37,IF(L264="F-15",2,IF(L264="F-30",3,IF(L264="F-60",4,IF(L264="F-90",5,0)))),0),0)+IF(AND(O264="FIRE TEX 5062",OR(E264="IN",E264="C",E264="Z",E264="L"),J264=3),VLOOKUP(_xlfn.MINIFS('FIRE TEX 5062'!$B$4:$B$34,'FIRE TEX 5062'!$B$4:$B$34,"&gt;="&amp;M264),'FIRE TEX 5062'!$B$4:$F$34,IF(L264="F-15",2,IF(L264="F-30",3,IF(L264="F-60",4,IF(L264="F-90",5,0)))),0),0)+IF(AND(O264="FIRE TEX 5062",OR(E264="IN",E264="C",E264="Z",E264="L"),J264=4),VLOOKUP(_xlfn.MINIFS('FIRE TEX 5062'!$G$4:$G$34,'FIRE TEX 5062'!$G$4:$G$34,"&gt;="&amp;M264),'FIRE TEX 5062'!$G$4:$K$34,IF(L264="F-15",2,IF(L264="F-30",3,IF(L264="F-60",4,IF(L264="F-90",5,0)))),0),0)+IF(AND(O264="FIRE TEX 5062",E264="CJ",J264=3),VLOOKUP(_xlfn.MINIFS('FIRE TEX 5062'!$L$4:$L$34,'FIRE TEX 5062'!$L$4:$L$34,"&gt;="&amp;M264),'FIRE TEX 5062'!$L$4:$P$34,IF(L264="F-15",2,IF(L264="F-30",3,IF(L264="F-60",4,IF(L264="F-90",5,0)))),0),0)+IF(AND(O264="FIRE TEX 5062",E264="CJ",J264=4),VLOOKUP(_xlfn.MINIFS('FIRE TEX 5062'!$Q$3:$Q$34,'FIRE TEX 5062'!$Q$3:$Q$34,"&gt;="&amp;M264),'FIRE TEX 5062'!$Q$3:$U$34,IF(L264="F-15",2,IF(L264="F-30",3,IF(L264="F-60",4,IF(L264="F-90",5,0)))),0),0)+IF(AND(O264="FIRE TEX 5090",OR(E264="IN",E264="C",E264="Z",E264="L"),J264=3),VLOOKUP(_xlfn.MINIFS('FIRE TEX 5090'!$B$5:$B$43,'FIRE TEX 5090'!$B$5:$B$43,"&gt;="&amp;M264),'FIRE TEX 5090'!$B$5:$H$43,IF(L264="F-15",2,IF(L264="F-30",3,IF(L264="F-60",4,IF(L264="F-90",5,IF(L264="F-120",6,IF(L264="F-150",7,0)))))),0),0)+IF(AND(O264="FIRE TEX 5090",OR(E264="IN",E264="C",E264="Z",E264="L"),J264=4),VLOOKUP(_xlfn.MINIFS('FIRE TEX 5090'!$J$5:$J$43,'FIRE TEX 5090'!$J$5:$J$43,"&gt;="&amp;M264),'FIRE TEX 5090'!$J$5:$P$43,IF(L264="F-15",2,IF(L264="F-30",3,IF(L264="F-60",4,IF(L264="F-90",5,IF(L264="F-120",6,IF(L264="F-150",7,0)))))),0),0)+IF(AND(O264="FIRE TEX 5090",E264="CJ",J264=3),VLOOKUP(_xlfn.MINIFS('FIRE TEX 5090'!$R$5:$R$30,'FIRE TEX 5090'!$R$5:$R$30,"&gt;="&amp;M264),'FIRE TEX 5090'!$R$5:$W$30,IF(L264="F-15",2,IF(L264="F-30",3,IF(L264="F-60",4,IF(L264="F-90",5,IF(L264="F-120",6,IF(L264="F-150",7,0)))))),0),0)+IF(AND(O264="FIRE TEX 5090",E264="CJ",J264=4),VLOOKUP(_xlfn.MINIFS('FIRE TEX 5090'!$Y$5:$Y$39,'FIRE TEX 5090'!$Y$5:$Y$39,"&gt;="&amp;M264),'FIRE TEX 5090'!$Y$5:$AD$39,IF(L264="F-15",2,IF(L264="F-30",3,IF(L264="F-60",4,IF(L264="F-90",5,IF(L264="F-120",6,IF(L264="F-150",7,0)))))),0),0)+IF(AND(O264="FIRE TEX 5120",OR(E264="IN",E264="C",E264="Z",E264="L"),J264=3),VLOOKUP(_xlfn.MINIFS('FIRE TEX 5120'!$B$5:$B$40,'FIRE TEX 5120'!$B$5:$B$40,"&gt;="&amp;M264),'FIRE TEX 5120'!$B$5:$G$40,IF(L264="F-15",2,IF(L264="F-30",3,IF(L264="F-60",4,IF(L264="F-90",5,IF(L264="F-120",6,0))))),0),0)+IF(AND(O264="FIRE TEX 5120",OR(E264="IN",E264="C",E264="Z",E264="L"),J264=4),VLOOKUP(_xlfn.MINIFS('FIRE TEX 5120'!$H$4:$H$40,'FIRE TEX 5120'!$H$4:$H$40,"&gt;="&amp;M264),'FIRE TEX 5120'!$H$4:$M$40,IF(L264="F-15",2,IF(L264="F-30",3,IF(L264="F-60",4,IF(L264="F-90",5,IF(L264="F-120",6,0))))),0),0)+IF(AND(O264="FIRE TEX 5120",E264="CJ"),VLOOKUP(_xlfn.MINIFS('FIRE TEX 5120'!$O$5:$O$40,'FIRE TEX 5120'!$O$5:$O$40,"&gt;="&amp;M264),'FIRE TEX 5120'!$O$5:$T$40,IF(L264="F-15",2,IF(L264="F-30",3,IF(L264="F-60",4,IF(L264="F-90",5,IF(L264="F-120",6,0))))),0),0)</f>
        <v>0</v>
      </c>
      <c r="Q264" s="46">
        <f t="shared" si="34"/>
        <v>0</v>
      </c>
      <c r="R264" s="46">
        <f t="shared" si="36"/>
        <v>0</v>
      </c>
      <c r="S264" s="46" t="e">
        <f t="shared" si="35"/>
        <v>#VALUE!</v>
      </c>
      <c r="T264" s="677">
        <f t="shared" si="37"/>
        <v>0</v>
      </c>
      <c r="U264" s="80">
        <f>(IF(O264="Stofire",(S264*#REF!),0))+(IF(O264="Fire Control",(S264*$U$2),0))+(IF(O264="Fire Tex",(S264*$U$3),0))+(IF(O264="WB7",(S264*#REF!),0)+(IF(O264="FX 2003",(S264*$U$5),0)))</f>
        <v>0</v>
      </c>
      <c r="V264" s="651">
        <f t="shared" si="38"/>
        <v>0</v>
      </c>
      <c r="W264" s="4"/>
    </row>
    <row r="265" spans="1:23" x14ac:dyDescent="0.25">
      <c r="A265" s="652" t="s">
        <v>452</v>
      </c>
      <c r="B265" s="653" t="s">
        <v>453</v>
      </c>
      <c r="C265" s="1" t="s">
        <v>408</v>
      </c>
      <c r="D265" s="118">
        <f>+CUBICACION!D264</f>
        <v>0</v>
      </c>
      <c r="E265" s="118">
        <f>+CUBICACION!F264</f>
        <v>0</v>
      </c>
      <c r="F265" s="118">
        <f>+CUBICACION!E264</f>
        <v>0</v>
      </c>
      <c r="G265" s="118">
        <v>12</v>
      </c>
      <c r="H265" s="118">
        <v>2</v>
      </c>
      <c r="I265" s="820">
        <v>26385</v>
      </c>
      <c r="J265" s="118">
        <f>+CUBICACION!J264</f>
        <v>0</v>
      </c>
      <c r="K265" s="118">
        <v>3044</v>
      </c>
      <c r="L265" s="118">
        <f>+CUBICACION!L264</f>
        <v>0</v>
      </c>
      <c r="M265" s="64">
        <f>+CUBICACION!M264</f>
        <v>0</v>
      </c>
      <c r="N265" s="824" t="str">
        <f>+CUBICACION!N264</f>
        <v/>
      </c>
      <c r="O265" s="675">
        <f>+CUBICACION!O264</f>
        <v>0</v>
      </c>
      <c r="P265" s="15">
        <f>IF(O265="Fire Control",VLOOKUP(_xlfn.MINIFS('FIRE CONTROL'!$C$4:$C$37,'FIRE CONTROL'!$C$4:$C$37,"&gt;="&amp;M265),'FIRE CONTROL'!$C$4:$G$37,IF(L265="F-15",2,IF(L265="F-30",3,IF(L265="F-60",4,IF(L265="F-90",5,0)))),0),0)+IF(AND(O265="FIRE TEX 5062",OR(E265="IN",E265="C",E265="Z",E265="L"),J265=3),VLOOKUP(_xlfn.MINIFS('FIRE TEX 5062'!$B$4:$B$34,'FIRE TEX 5062'!$B$4:$B$34,"&gt;="&amp;M265),'FIRE TEX 5062'!$B$4:$F$34,IF(L265="F-15",2,IF(L265="F-30",3,IF(L265="F-60",4,IF(L265="F-90",5,0)))),0),0)+IF(AND(O265="FIRE TEX 5062",OR(E265="IN",E265="C",E265="Z",E265="L"),J265=4),VLOOKUP(_xlfn.MINIFS('FIRE TEX 5062'!$G$4:$G$34,'FIRE TEX 5062'!$G$4:$G$34,"&gt;="&amp;M265),'FIRE TEX 5062'!$G$4:$K$34,IF(L265="F-15",2,IF(L265="F-30",3,IF(L265="F-60",4,IF(L265="F-90",5,0)))),0),0)+IF(AND(O265="FIRE TEX 5062",E265="CJ",J265=3),VLOOKUP(_xlfn.MINIFS('FIRE TEX 5062'!$L$4:$L$34,'FIRE TEX 5062'!$L$4:$L$34,"&gt;="&amp;M265),'FIRE TEX 5062'!$L$4:$P$34,IF(L265="F-15",2,IF(L265="F-30",3,IF(L265="F-60",4,IF(L265="F-90",5,0)))),0),0)+IF(AND(O265="FIRE TEX 5062",E265="CJ",J265=4),VLOOKUP(_xlfn.MINIFS('FIRE TEX 5062'!$Q$3:$Q$34,'FIRE TEX 5062'!$Q$3:$Q$34,"&gt;="&amp;M265),'FIRE TEX 5062'!$Q$3:$U$34,IF(L265="F-15",2,IF(L265="F-30",3,IF(L265="F-60",4,IF(L265="F-90",5,0)))),0),0)+IF(AND(O265="FIRE TEX 5090",OR(E265="IN",E265="C",E265="Z",E265="L"),J265=3),VLOOKUP(_xlfn.MINIFS('FIRE TEX 5090'!$B$5:$B$43,'FIRE TEX 5090'!$B$5:$B$43,"&gt;="&amp;M265),'FIRE TEX 5090'!$B$5:$H$43,IF(L265="F-15",2,IF(L265="F-30",3,IF(L265="F-60",4,IF(L265="F-90",5,IF(L265="F-120",6,IF(L265="F-150",7,0)))))),0),0)+IF(AND(O265="FIRE TEX 5090",OR(E265="IN",E265="C",E265="Z",E265="L"),J265=4),VLOOKUP(_xlfn.MINIFS('FIRE TEX 5090'!$J$5:$J$43,'FIRE TEX 5090'!$J$5:$J$43,"&gt;="&amp;M265),'FIRE TEX 5090'!$J$5:$P$43,IF(L265="F-15",2,IF(L265="F-30",3,IF(L265="F-60",4,IF(L265="F-90",5,IF(L265="F-120",6,IF(L265="F-150",7,0)))))),0),0)+IF(AND(O265="FIRE TEX 5090",E265="CJ",J265=3),VLOOKUP(_xlfn.MINIFS('FIRE TEX 5090'!$R$5:$R$30,'FIRE TEX 5090'!$R$5:$R$30,"&gt;="&amp;M265),'FIRE TEX 5090'!$R$5:$W$30,IF(L265="F-15",2,IF(L265="F-30",3,IF(L265="F-60",4,IF(L265="F-90",5,IF(L265="F-120",6,IF(L265="F-150",7,0)))))),0),0)+IF(AND(O265="FIRE TEX 5090",E265="CJ",J265=4),VLOOKUP(_xlfn.MINIFS('FIRE TEX 5090'!$Y$5:$Y$39,'FIRE TEX 5090'!$Y$5:$Y$39,"&gt;="&amp;M265),'FIRE TEX 5090'!$Y$5:$AD$39,IF(L265="F-15",2,IF(L265="F-30",3,IF(L265="F-60",4,IF(L265="F-90",5,IF(L265="F-120",6,IF(L265="F-150",7,0)))))),0),0)+IF(AND(O265="FIRE TEX 5120",OR(E265="IN",E265="C",E265="Z",E265="L"),J265=3),VLOOKUP(_xlfn.MINIFS('FIRE TEX 5120'!$B$5:$B$40,'FIRE TEX 5120'!$B$5:$B$40,"&gt;="&amp;M265),'FIRE TEX 5120'!$B$5:$G$40,IF(L265="F-15",2,IF(L265="F-30",3,IF(L265="F-60",4,IF(L265="F-90",5,IF(L265="F-120",6,0))))),0),0)+IF(AND(O265="FIRE TEX 5120",OR(E265="IN",E265="C",E265="Z",E265="L"),J265=4),VLOOKUP(_xlfn.MINIFS('FIRE TEX 5120'!$H$4:$H$40,'FIRE TEX 5120'!$H$4:$H$40,"&gt;="&amp;M265),'FIRE TEX 5120'!$H$4:$M$40,IF(L265="F-15",2,IF(L265="F-30",3,IF(L265="F-60",4,IF(L265="F-90",5,IF(L265="F-120",6,0))))),0),0)+IF(AND(O265="FIRE TEX 5120",E265="CJ"),VLOOKUP(_xlfn.MINIFS('FIRE TEX 5120'!$O$5:$O$40,'FIRE TEX 5120'!$O$5:$O$40,"&gt;="&amp;M265),'FIRE TEX 5120'!$O$5:$T$40,IF(L265="F-15",2,IF(L265="F-30",3,IF(L265="F-60",4,IF(L265="F-90",5,IF(L265="F-120",6,0))))),0),0)</f>
        <v>0</v>
      </c>
      <c r="Q265" s="46">
        <f t="shared" si="34"/>
        <v>0</v>
      </c>
      <c r="R265" s="46">
        <f t="shared" si="36"/>
        <v>0</v>
      </c>
      <c r="S265" s="46" t="e">
        <f t="shared" si="35"/>
        <v>#VALUE!</v>
      </c>
      <c r="T265" s="677">
        <f t="shared" si="37"/>
        <v>0</v>
      </c>
      <c r="U265" s="80">
        <f>(IF(O265="Stofire",(S265*#REF!),0))+(IF(O265="Fire Control",(S265*$U$2),0))+(IF(O265="Fire Tex",(S265*$U$3),0))+(IF(O265="WB7",(S265*#REF!),0)+(IF(O265="FX 2003",(S265*$U$5),0)))</f>
        <v>0</v>
      </c>
      <c r="V265" s="651">
        <f t="shared" si="38"/>
        <v>0</v>
      </c>
      <c r="W265" s="4"/>
    </row>
    <row r="266" spans="1:23" x14ac:dyDescent="0.25">
      <c r="A266" s="652" t="s">
        <v>452</v>
      </c>
      <c r="B266" s="653" t="s">
        <v>453</v>
      </c>
      <c r="C266" s="1" t="s">
        <v>408</v>
      </c>
      <c r="D266" s="118">
        <f>+CUBICACION!D265</f>
        <v>0</v>
      </c>
      <c r="E266" s="118">
        <f>+CUBICACION!F265</f>
        <v>0</v>
      </c>
      <c r="F266" s="118">
        <f>+CUBICACION!E265</f>
        <v>0</v>
      </c>
      <c r="G266" s="118">
        <v>12</v>
      </c>
      <c r="H266" s="118">
        <v>2</v>
      </c>
      <c r="I266" s="820">
        <v>26385</v>
      </c>
      <c r="J266" s="118">
        <f>+CUBICACION!J265</f>
        <v>0</v>
      </c>
      <c r="K266" s="118">
        <v>3045</v>
      </c>
      <c r="L266" s="118">
        <f>+CUBICACION!L265</f>
        <v>0</v>
      </c>
      <c r="M266" s="64">
        <f>+CUBICACION!M265</f>
        <v>0</v>
      </c>
      <c r="N266" s="824" t="str">
        <f>+CUBICACION!N265</f>
        <v/>
      </c>
      <c r="O266" s="675">
        <f>+CUBICACION!O265</f>
        <v>0</v>
      </c>
      <c r="P266" s="15">
        <f>IF(O266="Fire Control",VLOOKUP(_xlfn.MINIFS('FIRE CONTROL'!$C$4:$C$37,'FIRE CONTROL'!$C$4:$C$37,"&gt;="&amp;M266),'FIRE CONTROL'!$C$4:$G$37,IF(L266="F-15",2,IF(L266="F-30",3,IF(L266="F-60",4,IF(L266="F-90",5,0)))),0),0)+IF(AND(O266="FIRE TEX 5062",OR(E266="IN",E266="C",E266="Z",E266="L"),J266=3),VLOOKUP(_xlfn.MINIFS('FIRE TEX 5062'!$B$4:$B$34,'FIRE TEX 5062'!$B$4:$B$34,"&gt;="&amp;M266),'FIRE TEX 5062'!$B$4:$F$34,IF(L266="F-15",2,IF(L266="F-30",3,IF(L266="F-60",4,IF(L266="F-90",5,0)))),0),0)+IF(AND(O266="FIRE TEX 5062",OR(E266="IN",E266="C",E266="Z",E266="L"),J266=4),VLOOKUP(_xlfn.MINIFS('FIRE TEX 5062'!$G$4:$G$34,'FIRE TEX 5062'!$G$4:$G$34,"&gt;="&amp;M266),'FIRE TEX 5062'!$G$4:$K$34,IF(L266="F-15",2,IF(L266="F-30",3,IF(L266="F-60",4,IF(L266="F-90",5,0)))),0),0)+IF(AND(O266="FIRE TEX 5062",E266="CJ",J266=3),VLOOKUP(_xlfn.MINIFS('FIRE TEX 5062'!$L$4:$L$34,'FIRE TEX 5062'!$L$4:$L$34,"&gt;="&amp;M266),'FIRE TEX 5062'!$L$4:$P$34,IF(L266="F-15",2,IF(L266="F-30",3,IF(L266="F-60",4,IF(L266="F-90",5,0)))),0),0)+IF(AND(O266="FIRE TEX 5062",E266="CJ",J266=4),VLOOKUP(_xlfn.MINIFS('FIRE TEX 5062'!$Q$3:$Q$34,'FIRE TEX 5062'!$Q$3:$Q$34,"&gt;="&amp;M266),'FIRE TEX 5062'!$Q$3:$U$34,IF(L266="F-15",2,IF(L266="F-30",3,IF(L266="F-60",4,IF(L266="F-90",5,0)))),0),0)+IF(AND(O266="FIRE TEX 5090",OR(E266="IN",E266="C",E266="Z",E266="L"),J266=3),VLOOKUP(_xlfn.MINIFS('FIRE TEX 5090'!$B$5:$B$43,'FIRE TEX 5090'!$B$5:$B$43,"&gt;="&amp;M266),'FIRE TEX 5090'!$B$5:$H$43,IF(L266="F-15",2,IF(L266="F-30",3,IF(L266="F-60",4,IF(L266="F-90",5,IF(L266="F-120",6,IF(L266="F-150",7,0)))))),0),0)+IF(AND(O266="FIRE TEX 5090",OR(E266="IN",E266="C",E266="Z",E266="L"),J266=4),VLOOKUP(_xlfn.MINIFS('FIRE TEX 5090'!$J$5:$J$43,'FIRE TEX 5090'!$J$5:$J$43,"&gt;="&amp;M266),'FIRE TEX 5090'!$J$5:$P$43,IF(L266="F-15",2,IF(L266="F-30",3,IF(L266="F-60",4,IF(L266="F-90",5,IF(L266="F-120",6,IF(L266="F-150",7,0)))))),0),0)+IF(AND(O266="FIRE TEX 5090",E266="CJ",J266=3),VLOOKUP(_xlfn.MINIFS('FIRE TEX 5090'!$R$5:$R$30,'FIRE TEX 5090'!$R$5:$R$30,"&gt;="&amp;M266),'FIRE TEX 5090'!$R$5:$W$30,IF(L266="F-15",2,IF(L266="F-30",3,IF(L266="F-60",4,IF(L266="F-90",5,IF(L266="F-120",6,IF(L266="F-150",7,0)))))),0),0)+IF(AND(O266="FIRE TEX 5090",E266="CJ",J266=4),VLOOKUP(_xlfn.MINIFS('FIRE TEX 5090'!$Y$5:$Y$39,'FIRE TEX 5090'!$Y$5:$Y$39,"&gt;="&amp;M266),'FIRE TEX 5090'!$Y$5:$AD$39,IF(L266="F-15",2,IF(L266="F-30",3,IF(L266="F-60",4,IF(L266="F-90",5,IF(L266="F-120",6,IF(L266="F-150",7,0)))))),0),0)+IF(AND(O266="FIRE TEX 5120",OR(E266="IN",E266="C",E266="Z",E266="L"),J266=3),VLOOKUP(_xlfn.MINIFS('FIRE TEX 5120'!$B$5:$B$40,'FIRE TEX 5120'!$B$5:$B$40,"&gt;="&amp;M266),'FIRE TEX 5120'!$B$5:$G$40,IF(L266="F-15",2,IF(L266="F-30",3,IF(L266="F-60",4,IF(L266="F-90",5,IF(L266="F-120",6,0))))),0),0)+IF(AND(O266="FIRE TEX 5120",OR(E266="IN",E266="C",E266="Z",E266="L"),J266=4),VLOOKUP(_xlfn.MINIFS('FIRE TEX 5120'!$H$4:$H$40,'FIRE TEX 5120'!$H$4:$H$40,"&gt;="&amp;M266),'FIRE TEX 5120'!$H$4:$M$40,IF(L266="F-15",2,IF(L266="F-30",3,IF(L266="F-60",4,IF(L266="F-90",5,IF(L266="F-120",6,0))))),0),0)+IF(AND(O266="FIRE TEX 5120",E266="CJ"),VLOOKUP(_xlfn.MINIFS('FIRE TEX 5120'!$O$5:$O$40,'FIRE TEX 5120'!$O$5:$O$40,"&gt;="&amp;M266),'FIRE TEX 5120'!$O$5:$T$40,IF(L266="F-15",2,IF(L266="F-30",3,IF(L266="F-60",4,IF(L266="F-90",5,IF(L266="F-120",6,0))))),0),0)</f>
        <v>0</v>
      </c>
      <c r="Q266" s="46">
        <f t="shared" si="34"/>
        <v>0</v>
      </c>
      <c r="R266" s="46">
        <f t="shared" si="36"/>
        <v>0</v>
      </c>
      <c r="S266" s="46" t="e">
        <f t="shared" si="35"/>
        <v>#VALUE!</v>
      </c>
      <c r="T266" s="677">
        <f t="shared" si="37"/>
        <v>0</v>
      </c>
      <c r="U266" s="80">
        <f>(IF(O266="Stofire",(S266*#REF!),0))+(IF(O266="Fire Control",(S266*$U$2),0))+(IF(O266="Fire Tex",(S266*$U$3),0))+(IF(O266="WB7",(S266*#REF!),0)+(IF(O266="FX 2003",(S266*$U$5),0)))</f>
        <v>0</v>
      </c>
      <c r="V266" s="651">
        <f t="shared" si="38"/>
        <v>0</v>
      </c>
      <c r="W266" s="4"/>
    </row>
    <row r="267" spans="1:23" x14ac:dyDescent="0.25">
      <c r="A267" s="652" t="s">
        <v>456</v>
      </c>
      <c r="B267" s="653" t="s">
        <v>453</v>
      </c>
      <c r="C267" s="1" t="s">
        <v>457</v>
      </c>
      <c r="D267" s="118">
        <f>+CUBICACION!D266</f>
        <v>0</v>
      </c>
      <c r="E267" s="118">
        <f>+CUBICACION!F266</f>
        <v>0</v>
      </c>
      <c r="F267" s="118">
        <f>+CUBICACION!E266</f>
        <v>0</v>
      </c>
      <c r="G267" s="118">
        <v>12</v>
      </c>
      <c r="H267" s="118">
        <v>2</v>
      </c>
      <c r="I267" s="820">
        <v>26385</v>
      </c>
      <c r="J267" s="118">
        <f>+CUBICACION!J266</f>
        <v>0</v>
      </c>
      <c r="K267" s="118">
        <v>3046</v>
      </c>
      <c r="L267" s="118">
        <f>+CUBICACION!L266</f>
        <v>0</v>
      </c>
      <c r="M267" s="64">
        <f>+CUBICACION!M266</f>
        <v>0</v>
      </c>
      <c r="N267" s="824" t="str">
        <f>+CUBICACION!N266</f>
        <v/>
      </c>
      <c r="O267" s="675">
        <f>+CUBICACION!O266</f>
        <v>0</v>
      </c>
      <c r="P267" s="15">
        <f>IF(O267="Fire Control",VLOOKUP(_xlfn.MINIFS('FIRE CONTROL'!$C$4:$C$37,'FIRE CONTROL'!$C$4:$C$37,"&gt;="&amp;M267),'FIRE CONTROL'!$C$4:$G$37,IF(L267="F-15",2,IF(L267="F-30",3,IF(L267="F-60",4,IF(L267="F-90",5,0)))),0),0)+IF(AND(O267="FIRE TEX 5062",OR(E267="IN",E267="C",E267="Z",E267="L"),J267=3),VLOOKUP(_xlfn.MINIFS('FIRE TEX 5062'!$B$4:$B$34,'FIRE TEX 5062'!$B$4:$B$34,"&gt;="&amp;M267),'FIRE TEX 5062'!$B$4:$F$34,IF(L267="F-15",2,IF(L267="F-30",3,IF(L267="F-60",4,IF(L267="F-90",5,0)))),0),0)+IF(AND(O267="FIRE TEX 5062",OR(E267="IN",E267="C",E267="Z",E267="L"),J267=4),VLOOKUP(_xlfn.MINIFS('FIRE TEX 5062'!$G$4:$G$34,'FIRE TEX 5062'!$G$4:$G$34,"&gt;="&amp;M267),'FIRE TEX 5062'!$G$4:$K$34,IF(L267="F-15",2,IF(L267="F-30",3,IF(L267="F-60",4,IF(L267="F-90",5,0)))),0),0)+IF(AND(O267="FIRE TEX 5062",E267="CJ",J267=3),VLOOKUP(_xlfn.MINIFS('FIRE TEX 5062'!$L$4:$L$34,'FIRE TEX 5062'!$L$4:$L$34,"&gt;="&amp;M267),'FIRE TEX 5062'!$L$4:$P$34,IF(L267="F-15",2,IF(L267="F-30",3,IF(L267="F-60",4,IF(L267="F-90",5,0)))),0),0)+IF(AND(O267="FIRE TEX 5062",E267="CJ",J267=4),VLOOKUP(_xlfn.MINIFS('FIRE TEX 5062'!$Q$3:$Q$34,'FIRE TEX 5062'!$Q$3:$Q$34,"&gt;="&amp;M267),'FIRE TEX 5062'!$Q$3:$U$34,IF(L267="F-15",2,IF(L267="F-30",3,IF(L267="F-60",4,IF(L267="F-90",5,0)))),0),0)+IF(AND(O267="FIRE TEX 5090",OR(E267="IN",E267="C",E267="Z",E267="L"),J267=3),VLOOKUP(_xlfn.MINIFS('FIRE TEX 5090'!$B$5:$B$43,'FIRE TEX 5090'!$B$5:$B$43,"&gt;="&amp;M267),'FIRE TEX 5090'!$B$5:$H$43,IF(L267="F-15",2,IF(L267="F-30",3,IF(L267="F-60",4,IF(L267="F-90",5,IF(L267="F-120",6,IF(L267="F-150",7,0)))))),0),0)+IF(AND(O267="FIRE TEX 5090",OR(E267="IN",E267="C",E267="Z",E267="L"),J267=4),VLOOKUP(_xlfn.MINIFS('FIRE TEX 5090'!$J$5:$J$43,'FIRE TEX 5090'!$J$5:$J$43,"&gt;="&amp;M267),'FIRE TEX 5090'!$J$5:$P$43,IF(L267="F-15",2,IF(L267="F-30",3,IF(L267="F-60",4,IF(L267="F-90",5,IF(L267="F-120",6,IF(L267="F-150",7,0)))))),0),0)+IF(AND(O267="FIRE TEX 5090",E267="CJ",J267=3),VLOOKUP(_xlfn.MINIFS('FIRE TEX 5090'!$R$5:$R$30,'FIRE TEX 5090'!$R$5:$R$30,"&gt;="&amp;M267),'FIRE TEX 5090'!$R$5:$W$30,IF(L267="F-15",2,IF(L267="F-30",3,IF(L267="F-60",4,IF(L267="F-90",5,IF(L267="F-120",6,IF(L267="F-150",7,0)))))),0),0)+IF(AND(O267="FIRE TEX 5090",E267="CJ",J267=4),VLOOKUP(_xlfn.MINIFS('FIRE TEX 5090'!$Y$5:$Y$39,'FIRE TEX 5090'!$Y$5:$Y$39,"&gt;="&amp;M267),'FIRE TEX 5090'!$Y$5:$AD$39,IF(L267="F-15",2,IF(L267="F-30",3,IF(L267="F-60",4,IF(L267="F-90",5,IF(L267="F-120",6,IF(L267="F-150",7,0)))))),0),0)+IF(AND(O267="FIRE TEX 5120",OR(E267="IN",E267="C",E267="Z",E267="L"),J267=3),VLOOKUP(_xlfn.MINIFS('FIRE TEX 5120'!$B$5:$B$40,'FIRE TEX 5120'!$B$5:$B$40,"&gt;="&amp;M267),'FIRE TEX 5120'!$B$5:$G$40,IF(L267="F-15",2,IF(L267="F-30",3,IF(L267="F-60",4,IF(L267="F-90",5,IF(L267="F-120",6,0))))),0),0)+IF(AND(O267="FIRE TEX 5120",OR(E267="IN",E267="C",E267="Z",E267="L"),J267=4),VLOOKUP(_xlfn.MINIFS('FIRE TEX 5120'!$H$4:$H$40,'FIRE TEX 5120'!$H$4:$H$40,"&gt;="&amp;M267),'FIRE TEX 5120'!$H$4:$M$40,IF(L267="F-15",2,IF(L267="F-30",3,IF(L267="F-60",4,IF(L267="F-90",5,IF(L267="F-120",6,0))))),0),0)+IF(AND(O267="FIRE TEX 5120",E267="CJ"),VLOOKUP(_xlfn.MINIFS('FIRE TEX 5120'!$O$5:$O$40,'FIRE TEX 5120'!$O$5:$O$40,"&gt;="&amp;M267),'FIRE TEX 5120'!$O$5:$T$40,IF(L267="F-15",2,IF(L267="F-30",3,IF(L267="F-60",4,IF(L267="F-90",5,IF(L267="F-120",6,0))))),0),0)</f>
        <v>0</v>
      </c>
      <c r="Q267" s="46">
        <f t="shared" si="34"/>
        <v>0</v>
      </c>
      <c r="R267" s="46">
        <f t="shared" si="36"/>
        <v>0</v>
      </c>
      <c r="S267" s="46" t="e">
        <f t="shared" si="35"/>
        <v>#VALUE!</v>
      </c>
      <c r="T267" s="677">
        <f t="shared" si="37"/>
        <v>0</v>
      </c>
      <c r="U267" s="80">
        <f>(IF(O267="Stofire",(S267*#REF!),0))+(IF(O267="Fire Control",(S267*$U$2),0))+(IF(O267="Fire Tex",(S267*$U$3),0))+(IF(O267="WB7",(S267*#REF!),0)+(IF(O267="FX 2003",(S267*$U$5),0)))</f>
        <v>0</v>
      </c>
      <c r="V267" s="651">
        <f t="shared" si="38"/>
        <v>0</v>
      </c>
      <c r="W267" s="4"/>
    </row>
    <row r="268" spans="1:23" x14ac:dyDescent="0.25">
      <c r="A268" s="652" t="s">
        <v>456</v>
      </c>
      <c r="B268" s="653" t="s">
        <v>453</v>
      </c>
      <c r="C268" s="1" t="s">
        <v>408</v>
      </c>
      <c r="D268" s="118">
        <f>+CUBICACION!D267</f>
        <v>0</v>
      </c>
      <c r="E268" s="118">
        <f>+CUBICACION!F267</f>
        <v>0</v>
      </c>
      <c r="F268" s="118">
        <f>+CUBICACION!E267</f>
        <v>0</v>
      </c>
      <c r="G268" s="118">
        <v>12</v>
      </c>
      <c r="H268" s="118">
        <v>2</v>
      </c>
      <c r="I268" s="820">
        <v>26385</v>
      </c>
      <c r="J268" s="118">
        <f>+CUBICACION!J267</f>
        <v>0</v>
      </c>
      <c r="K268" s="118">
        <v>3047</v>
      </c>
      <c r="L268" s="118">
        <f>+CUBICACION!L267</f>
        <v>0</v>
      </c>
      <c r="M268" s="64">
        <f>+CUBICACION!M267</f>
        <v>0</v>
      </c>
      <c r="N268" s="824" t="str">
        <f>+CUBICACION!N267</f>
        <v/>
      </c>
      <c r="O268" s="675">
        <f>+CUBICACION!O267</f>
        <v>0</v>
      </c>
      <c r="P268" s="15">
        <f>IF(O268="Fire Control",VLOOKUP(_xlfn.MINIFS('FIRE CONTROL'!$C$4:$C$37,'FIRE CONTROL'!$C$4:$C$37,"&gt;="&amp;M268),'FIRE CONTROL'!$C$4:$G$37,IF(L268="F-15",2,IF(L268="F-30",3,IF(L268="F-60",4,IF(L268="F-90",5,0)))),0),0)+IF(AND(O268="FIRE TEX 5062",OR(E268="IN",E268="C",E268="Z",E268="L"),J268=3),VLOOKUP(_xlfn.MINIFS('FIRE TEX 5062'!$B$4:$B$34,'FIRE TEX 5062'!$B$4:$B$34,"&gt;="&amp;M268),'FIRE TEX 5062'!$B$4:$F$34,IF(L268="F-15",2,IF(L268="F-30",3,IF(L268="F-60",4,IF(L268="F-90",5,0)))),0),0)+IF(AND(O268="FIRE TEX 5062",OR(E268="IN",E268="C",E268="Z",E268="L"),J268=4),VLOOKUP(_xlfn.MINIFS('FIRE TEX 5062'!$G$4:$G$34,'FIRE TEX 5062'!$G$4:$G$34,"&gt;="&amp;M268),'FIRE TEX 5062'!$G$4:$K$34,IF(L268="F-15",2,IF(L268="F-30",3,IF(L268="F-60",4,IF(L268="F-90",5,0)))),0),0)+IF(AND(O268="FIRE TEX 5062",E268="CJ",J268=3),VLOOKUP(_xlfn.MINIFS('FIRE TEX 5062'!$L$4:$L$34,'FIRE TEX 5062'!$L$4:$L$34,"&gt;="&amp;M268),'FIRE TEX 5062'!$L$4:$P$34,IF(L268="F-15",2,IF(L268="F-30",3,IF(L268="F-60",4,IF(L268="F-90",5,0)))),0),0)+IF(AND(O268="FIRE TEX 5062",E268="CJ",J268=4),VLOOKUP(_xlfn.MINIFS('FIRE TEX 5062'!$Q$3:$Q$34,'FIRE TEX 5062'!$Q$3:$Q$34,"&gt;="&amp;M268),'FIRE TEX 5062'!$Q$3:$U$34,IF(L268="F-15",2,IF(L268="F-30",3,IF(L268="F-60",4,IF(L268="F-90",5,0)))),0),0)+IF(AND(O268="FIRE TEX 5090",OR(E268="IN",E268="C",E268="Z",E268="L"),J268=3),VLOOKUP(_xlfn.MINIFS('FIRE TEX 5090'!$B$5:$B$43,'FIRE TEX 5090'!$B$5:$B$43,"&gt;="&amp;M268),'FIRE TEX 5090'!$B$5:$H$43,IF(L268="F-15",2,IF(L268="F-30",3,IF(L268="F-60",4,IF(L268="F-90",5,IF(L268="F-120",6,IF(L268="F-150",7,0)))))),0),0)+IF(AND(O268="FIRE TEX 5090",OR(E268="IN",E268="C",E268="Z",E268="L"),J268=4),VLOOKUP(_xlfn.MINIFS('FIRE TEX 5090'!$J$5:$J$43,'FIRE TEX 5090'!$J$5:$J$43,"&gt;="&amp;M268),'FIRE TEX 5090'!$J$5:$P$43,IF(L268="F-15",2,IF(L268="F-30",3,IF(L268="F-60",4,IF(L268="F-90",5,IF(L268="F-120",6,IF(L268="F-150",7,0)))))),0),0)+IF(AND(O268="FIRE TEX 5090",E268="CJ",J268=3),VLOOKUP(_xlfn.MINIFS('FIRE TEX 5090'!$R$5:$R$30,'FIRE TEX 5090'!$R$5:$R$30,"&gt;="&amp;M268),'FIRE TEX 5090'!$R$5:$W$30,IF(L268="F-15",2,IF(L268="F-30",3,IF(L268="F-60",4,IF(L268="F-90",5,IF(L268="F-120",6,IF(L268="F-150",7,0)))))),0),0)+IF(AND(O268="FIRE TEX 5090",E268="CJ",J268=4),VLOOKUP(_xlfn.MINIFS('FIRE TEX 5090'!$Y$5:$Y$39,'FIRE TEX 5090'!$Y$5:$Y$39,"&gt;="&amp;M268),'FIRE TEX 5090'!$Y$5:$AD$39,IF(L268="F-15",2,IF(L268="F-30",3,IF(L268="F-60",4,IF(L268="F-90",5,IF(L268="F-120",6,IF(L268="F-150",7,0)))))),0),0)+IF(AND(O268="FIRE TEX 5120",OR(E268="IN",E268="C",E268="Z",E268="L"),J268=3),VLOOKUP(_xlfn.MINIFS('FIRE TEX 5120'!$B$5:$B$40,'FIRE TEX 5120'!$B$5:$B$40,"&gt;="&amp;M268),'FIRE TEX 5120'!$B$5:$G$40,IF(L268="F-15",2,IF(L268="F-30",3,IF(L268="F-60",4,IF(L268="F-90",5,IF(L268="F-120",6,0))))),0),0)+IF(AND(O268="FIRE TEX 5120",OR(E268="IN",E268="C",E268="Z",E268="L"),J268=4),VLOOKUP(_xlfn.MINIFS('FIRE TEX 5120'!$H$4:$H$40,'FIRE TEX 5120'!$H$4:$H$40,"&gt;="&amp;M268),'FIRE TEX 5120'!$H$4:$M$40,IF(L268="F-15",2,IF(L268="F-30",3,IF(L268="F-60",4,IF(L268="F-90",5,IF(L268="F-120",6,0))))),0),0)+IF(AND(O268="FIRE TEX 5120",E268="CJ"),VLOOKUP(_xlfn.MINIFS('FIRE TEX 5120'!$O$5:$O$40,'FIRE TEX 5120'!$O$5:$O$40,"&gt;="&amp;M268),'FIRE TEX 5120'!$O$5:$T$40,IF(L268="F-15",2,IF(L268="F-30",3,IF(L268="F-60",4,IF(L268="F-90",5,IF(L268="F-120",6,0))))),0),0)</f>
        <v>0</v>
      </c>
      <c r="Q268" s="46">
        <f t="shared" si="34"/>
        <v>0</v>
      </c>
      <c r="R268" s="46">
        <f t="shared" si="36"/>
        <v>0</v>
      </c>
      <c r="S268" s="46" t="e">
        <f t="shared" si="35"/>
        <v>#VALUE!</v>
      </c>
      <c r="T268" s="677">
        <f t="shared" si="37"/>
        <v>0</v>
      </c>
      <c r="U268" s="80">
        <f>(IF(O268="Stofire",(S268*#REF!),0))+(IF(O268="Fire Control",(S268*$U$2),0))+(IF(O268="Fire Tex",(S268*$U$3),0))+(IF(O268="WB7",(S268*#REF!),0)+(IF(O268="FX 2003",(S268*$U$5),0)))</f>
        <v>0</v>
      </c>
      <c r="V268" s="651">
        <f t="shared" si="38"/>
        <v>0</v>
      </c>
      <c r="W268" s="4"/>
    </row>
    <row r="269" spans="1:23" x14ac:dyDescent="0.25">
      <c r="A269" s="652" t="s">
        <v>456</v>
      </c>
      <c r="B269" s="653" t="s">
        <v>453</v>
      </c>
      <c r="C269" s="1" t="s">
        <v>408</v>
      </c>
      <c r="D269" s="118">
        <f>+CUBICACION!D268</f>
        <v>0</v>
      </c>
      <c r="E269" s="118">
        <f>+CUBICACION!F268</f>
        <v>0</v>
      </c>
      <c r="F269" s="118">
        <f>+CUBICACION!E268</f>
        <v>0</v>
      </c>
      <c r="G269" s="118">
        <v>12</v>
      </c>
      <c r="H269" s="118">
        <v>2</v>
      </c>
      <c r="I269" s="820">
        <v>26385</v>
      </c>
      <c r="J269" s="118">
        <f>+CUBICACION!J268</f>
        <v>0</v>
      </c>
      <c r="K269" s="118">
        <v>3048</v>
      </c>
      <c r="L269" s="118">
        <f>+CUBICACION!L268</f>
        <v>0</v>
      </c>
      <c r="M269" s="64">
        <f>+CUBICACION!M268</f>
        <v>0</v>
      </c>
      <c r="N269" s="824" t="str">
        <f>+CUBICACION!N268</f>
        <v/>
      </c>
      <c r="O269" s="675">
        <f>+CUBICACION!O268</f>
        <v>0</v>
      </c>
      <c r="P269" s="15">
        <f>IF(O269="Fire Control",VLOOKUP(_xlfn.MINIFS('FIRE CONTROL'!$C$4:$C$37,'FIRE CONTROL'!$C$4:$C$37,"&gt;="&amp;M269),'FIRE CONTROL'!$C$4:$G$37,IF(L269="F-15",2,IF(L269="F-30",3,IF(L269="F-60",4,IF(L269="F-90",5,0)))),0),0)+IF(AND(O269="FIRE TEX 5062",OR(E269="IN",E269="C",E269="Z",E269="L"),J269=3),VLOOKUP(_xlfn.MINIFS('FIRE TEX 5062'!$B$4:$B$34,'FIRE TEX 5062'!$B$4:$B$34,"&gt;="&amp;M269),'FIRE TEX 5062'!$B$4:$F$34,IF(L269="F-15",2,IF(L269="F-30",3,IF(L269="F-60",4,IF(L269="F-90",5,0)))),0),0)+IF(AND(O269="FIRE TEX 5062",OR(E269="IN",E269="C",E269="Z",E269="L"),J269=4),VLOOKUP(_xlfn.MINIFS('FIRE TEX 5062'!$G$4:$G$34,'FIRE TEX 5062'!$G$4:$G$34,"&gt;="&amp;M269),'FIRE TEX 5062'!$G$4:$K$34,IF(L269="F-15",2,IF(L269="F-30",3,IF(L269="F-60",4,IF(L269="F-90",5,0)))),0),0)+IF(AND(O269="FIRE TEX 5062",E269="CJ",J269=3),VLOOKUP(_xlfn.MINIFS('FIRE TEX 5062'!$L$4:$L$34,'FIRE TEX 5062'!$L$4:$L$34,"&gt;="&amp;M269),'FIRE TEX 5062'!$L$4:$P$34,IF(L269="F-15",2,IF(L269="F-30",3,IF(L269="F-60",4,IF(L269="F-90",5,0)))),0),0)+IF(AND(O269="FIRE TEX 5062",E269="CJ",J269=4),VLOOKUP(_xlfn.MINIFS('FIRE TEX 5062'!$Q$3:$Q$34,'FIRE TEX 5062'!$Q$3:$Q$34,"&gt;="&amp;M269),'FIRE TEX 5062'!$Q$3:$U$34,IF(L269="F-15",2,IF(L269="F-30",3,IF(L269="F-60",4,IF(L269="F-90",5,0)))),0),0)+IF(AND(O269="FIRE TEX 5090",OR(E269="IN",E269="C",E269="Z",E269="L"),J269=3),VLOOKUP(_xlfn.MINIFS('FIRE TEX 5090'!$B$5:$B$43,'FIRE TEX 5090'!$B$5:$B$43,"&gt;="&amp;M269),'FIRE TEX 5090'!$B$5:$H$43,IF(L269="F-15",2,IF(L269="F-30",3,IF(L269="F-60",4,IF(L269="F-90",5,IF(L269="F-120",6,IF(L269="F-150",7,0)))))),0),0)+IF(AND(O269="FIRE TEX 5090",OR(E269="IN",E269="C",E269="Z",E269="L"),J269=4),VLOOKUP(_xlfn.MINIFS('FIRE TEX 5090'!$J$5:$J$43,'FIRE TEX 5090'!$J$5:$J$43,"&gt;="&amp;M269),'FIRE TEX 5090'!$J$5:$P$43,IF(L269="F-15",2,IF(L269="F-30",3,IF(L269="F-60",4,IF(L269="F-90",5,IF(L269="F-120",6,IF(L269="F-150",7,0)))))),0),0)+IF(AND(O269="FIRE TEX 5090",E269="CJ",J269=3),VLOOKUP(_xlfn.MINIFS('FIRE TEX 5090'!$R$5:$R$30,'FIRE TEX 5090'!$R$5:$R$30,"&gt;="&amp;M269),'FIRE TEX 5090'!$R$5:$W$30,IF(L269="F-15",2,IF(L269="F-30",3,IF(L269="F-60",4,IF(L269="F-90",5,IF(L269="F-120",6,IF(L269="F-150",7,0)))))),0),0)+IF(AND(O269="FIRE TEX 5090",E269="CJ",J269=4),VLOOKUP(_xlfn.MINIFS('FIRE TEX 5090'!$Y$5:$Y$39,'FIRE TEX 5090'!$Y$5:$Y$39,"&gt;="&amp;M269),'FIRE TEX 5090'!$Y$5:$AD$39,IF(L269="F-15",2,IF(L269="F-30",3,IF(L269="F-60",4,IF(L269="F-90",5,IF(L269="F-120",6,IF(L269="F-150",7,0)))))),0),0)+IF(AND(O269="FIRE TEX 5120",OR(E269="IN",E269="C",E269="Z",E269="L"),J269=3),VLOOKUP(_xlfn.MINIFS('FIRE TEX 5120'!$B$5:$B$40,'FIRE TEX 5120'!$B$5:$B$40,"&gt;="&amp;M269),'FIRE TEX 5120'!$B$5:$G$40,IF(L269="F-15",2,IF(L269="F-30",3,IF(L269="F-60",4,IF(L269="F-90",5,IF(L269="F-120",6,0))))),0),0)+IF(AND(O269="FIRE TEX 5120",OR(E269="IN",E269="C",E269="Z",E269="L"),J269=4),VLOOKUP(_xlfn.MINIFS('FIRE TEX 5120'!$H$4:$H$40,'FIRE TEX 5120'!$H$4:$H$40,"&gt;="&amp;M269),'FIRE TEX 5120'!$H$4:$M$40,IF(L269="F-15",2,IF(L269="F-30",3,IF(L269="F-60",4,IF(L269="F-90",5,IF(L269="F-120",6,0))))),0),0)+IF(AND(O269="FIRE TEX 5120",E269="CJ"),VLOOKUP(_xlfn.MINIFS('FIRE TEX 5120'!$O$5:$O$40,'FIRE TEX 5120'!$O$5:$O$40,"&gt;="&amp;M269),'FIRE TEX 5120'!$O$5:$T$40,IF(L269="F-15",2,IF(L269="F-30",3,IF(L269="F-60",4,IF(L269="F-90",5,IF(L269="F-120",6,0))))),0),0)</f>
        <v>0</v>
      </c>
      <c r="Q269" s="46">
        <f t="shared" si="34"/>
        <v>0</v>
      </c>
      <c r="R269" s="46">
        <f t="shared" si="36"/>
        <v>0</v>
      </c>
      <c r="S269" s="46" t="e">
        <f t="shared" si="35"/>
        <v>#VALUE!</v>
      </c>
      <c r="T269" s="677">
        <f t="shared" si="37"/>
        <v>0</v>
      </c>
      <c r="U269" s="80">
        <f>(IF(O269="Stofire",(S269*#REF!),0))+(IF(O269="Fire Control",(S269*$U$2),0))+(IF(O269="Fire Tex",(S269*$U$3),0))+(IF(O269="WB7",(S269*#REF!),0)+(IF(O269="FX 2003",(S269*$U$5),0)))</f>
        <v>0</v>
      </c>
      <c r="V269" s="651">
        <f t="shared" si="38"/>
        <v>0</v>
      </c>
      <c r="W269" s="4"/>
    </row>
    <row r="270" spans="1:23" x14ac:dyDescent="0.25">
      <c r="A270" s="652" t="s">
        <v>458</v>
      </c>
      <c r="B270" s="653" t="s">
        <v>459</v>
      </c>
      <c r="C270" s="1" t="s">
        <v>460</v>
      </c>
      <c r="D270" s="118">
        <f>+CUBICACION!D269</f>
        <v>0</v>
      </c>
      <c r="E270" s="118">
        <f>+CUBICACION!F269</f>
        <v>0</v>
      </c>
      <c r="F270" s="118">
        <f>+CUBICACION!E269</f>
        <v>0</v>
      </c>
      <c r="G270" s="118">
        <v>12</v>
      </c>
      <c r="H270" s="118">
        <v>2</v>
      </c>
      <c r="I270" s="820">
        <v>26385</v>
      </c>
      <c r="J270" s="118">
        <f>+CUBICACION!J269</f>
        <v>0</v>
      </c>
      <c r="K270" s="118">
        <v>3049</v>
      </c>
      <c r="L270" s="118">
        <f>+CUBICACION!L269</f>
        <v>0</v>
      </c>
      <c r="M270" s="64">
        <f>+CUBICACION!M269</f>
        <v>0</v>
      </c>
      <c r="N270" s="824" t="str">
        <f>+CUBICACION!N269</f>
        <v/>
      </c>
      <c r="O270" s="675">
        <f>+CUBICACION!O269</f>
        <v>0</v>
      </c>
      <c r="P270" s="15">
        <f>IF(O270="Fire Control",VLOOKUP(_xlfn.MINIFS('FIRE CONTROL'!$C$4:$C$37,'FIRE CONTROL'!$C$4:$C$37,"&gt;="&amp;M270),'FIRE CONTROL'!$C$4:$G$37,IF(L270="F-15",2,IF(L270="F-30",3,IF(L270="F-60",4,IF(L270="F-90",5,0)))),0),0)+IF(AND(O270="FIRE TEX 5062",OR(E270="IN",E270="C",E270="Z",E270="L"),J270=3),VLOOKUP(_xlfn.MINIFS('FIRE TEX 5062'!$B$4:$B$34,'FIRE TEX 5062'!$B$4:$B$34,"&gt;="&amp;M270),'FIRE TEX 5062'!$B$4:$F$34,IF(L270="F-15",2,IF(L270="F-30",3,IF(L270="F-60",4,IF(L270="F-90",5,0)))),0),0)+IF(AND(O270="FIRE TEX 5062",OR(E270="IN",E270="C",E270="Z",E270="L"),J270=4),VLOOKUP(_xlfn.MINIFS('FIRE TEX 5062'!$G$4:$G$34,'FIRE TEX 5062'!$G$4:$G$34,"&gt;="&amp;M270),'FIRE TEX 5062'!$G$4:$K$34,IF(L270="F-15",2,IF(L270="F-30",3,IF(L270="F-60",4,IF(L270="F-90",5,0)))),0),0)+IF(AND(O270="FIRE TEX 5062",E270="CJ",J270=3),VLOOKUP(_xlfn.MINIFS('FIRE TEX 5062'!$L$4:$L$34,'FIRE TEX 5062'!$L$4:$L$34,"&gt;="&amp;M270),'FIRE TEX 5062'!$L$4:$P$34,IF(L270="F-15",2,IF(L270="F-30",3,IF(L270="F-60",4,IF(L270="F-90",5,0)))),0),0)+IF(AND(O270="FIRE TEX 5062",E270="CJ",J270=4),VLOOKUP(_xlfn.MINIFS('FIRE TEX 5062'!$Q$3:$Q$34,'FIRE TEX 5062'!$Q$3:$Q$34,"&gt;="&amp;M270),'FIRE TEX 5062'!$Q$3:$U$34,IF(L270="F-15",2,IF(L270="F-30",3,IF(L270="F-60",4,IF(L270="F-90",5,0)))),0),0)+IF(AND(O270="FIRE TEX 5090",OR(E270="IN",E270="C",E270="Z",E270="L"),J270=3),VLOOKUP(_xlfn.MINIFS('FIRE TEX 5090'!$B$5:$B$43,'FIRE TEX 5090'!$B$5:$B$43,"&gt;="&amp;M270),'FIRE TEX 5090'!$B$5:$H$43,IF(L270="F-15",2,IF(L270="F-30",3,IF(L270="F-60",4,IF(L270="F-90",5,IF(L270="F-120",6,IF(L270="F-150",7,0)))))),0),0)+IF(AND(O270="FIRE TEX 5090",OR(E270="IN",E270="C",E270="Z",E270="L"),J270=4),VLOOKUP(_xlfn.MINIFS('FIRE TEX 5090'!$J$5:$J$43,'FIRE TEX 5090'!$J$5:$J$43,"&gt;="&amp;M270),'FIRE TEX 5090'!$J$5:$P$43,IF(L270="F-15",2,IF(L270="F-30",3,IF(L270="F-60",4,IF(L270="F-90",5,IF(L270="F-120",6,IF(L270="F-150",7,0)))))),0),0)+IF(AND(O270="FIRE TEX 5090",E270="CJ",J270=3),VLOOKUP(_xlfn.MINIFS('FIRE TEX 5090'!$R$5:$R$30,'FIRE TEX 5090'!$R$5:$R$30,"&gt;="&amp;M270),'FIRE TEX 5090'!$R$5:$W$30,IF(L270="F-15",2,IF(L270="F-30",3,IF(L270="F-60",4,IF(L270="F-90",5,IF(L270="F-120",6,IF(L270="F-150",7,0)))))),0),0)+IF(AND(O270="FIRE TEX 5090",E270="CJ",J270=4),VLOOKUP(_xlfn.MINIFS('FIRE TEX 5090'!$Y$5:$Y$39,'FIRE TEX 5090'!$Y$5:$Y$39,"&gt;="&amp;M270),'FIRE TEX 5090'!$Y$5:$AD$39,IF(L270="F-15",2,IF(L270="F-30",3,IF(L270="F-60",4,IF(L270="F-90",5,IF(L270="F-120",6,IF(L270="F-150",7,0)))))),0),0)+IF(AND(O270="FIRE TEX 5120",OR(E270="IN",E270="C",E270="Z",E270="L"),J270=3),VLOOKUP(_xlfn.MINIFS('FIRE TEX 5120'!$B$5:$B$40,'FIRE TEX 5120'!$B$5:$B$40,"&gt;="&amp;M270),'FIRE TEX 5120'!$B$5:$G$40,IF(L270="F-15",2,IF(L270="F-30",3,IF(L270="F-60",4,IF(L270="F-90",5,IF(L270="F-120",6,0))))),0),0)+IF(AND(O270="FIRE TEX 5120",OR(E270="IN",E270="C",E270="Z",E270="L"),J270=4),VLOOKUP(_xlfn.MINIFS('FIRE TEX 5120'!$H$4:$H$40,'FIRE TEX 5120'!$H$4:$H$40,"&gt;="&amp;M270),'FIRE TEX 5120'!$H$4:$M$40,IF(L270="F-15",2,IF(L270="F-30",3,IF(L270="F-60",4,IF(L270="F-90",5,IF(L270="F-120",6,0))))),0),0)+IF(AND(O270="FIRE TEX 5120",E270="CJ"),VLOOKUP(_xlfn.MINIFS('FIRE TEX 5120'!$O$5:$O$40,'FIRE TEX 5120'!$O$5:$O$40,"&gt;="&amp;M270),'FIRE TEX 5120'!$O$5:$T$40,IF(L270="F-15",2,IF(L270="F-30",3,IF(L270="F-60",4,IF(L270="F-90",5,IF(L270="F-120",6,0))))),0),0)</f>
        <v>0</v>
      </c>
      <c r="Q270" s="46">
        <f t="shared" si="34"/>
        <v>0</v>
      </c>
      <c r="R270" s="46">
        <f t="shared" si="36"/>
        <v>0</v>
      </c>
      <c r="S270" s="46" t="e">
        <f t="shared" si="35"/>
        <v>#VALUE!</v>
      </c>
      <c r="T270" s="677">
        <f t="shared" si="37"/>
        <v>0</v>
      </c>
      <c r="U270" s="80">
        <f>(IF(O270="Stofire",(S270*#REF!),0))+(IF(O270="Fire Control",(S270*$U$2),0))+(IF(O270="Fire Tex",(S270*$U$3),0))+(IF(O270="WB7",(S270*#REF!),0)+(IF(O270="FX 2003",(S270*$U$5),0)))</f>
        <v>0</v>
      </c>
      <c r="V270" s="651">
        <f t="shared" si="38"/>
        <v>0</v>
      </c>
      <c r="W270" s="4"/>
    </row>
    <row r="271" spans="1:23" x14ac:dyDescent="0.25">
      <c r="A271" s="652" t="s">
        <v>458</v>
      </c>
      <c r="B271" s="653" t="s">
        <v>459</v>
      </c>
      <c r="C271" s="1" t="s">
        <v>408</v>
      </c>
      <c r="D271" s="118">
        <f>+CUBICACION!D270</f>
        <v>0</v>
      </c>
      <c r="E271" s="118">
        <f>+CUBICACION!F270</f>
        <v>0</v>
      </c>
      <c r="F271" s="118">
        <f>+CUBICACION!E270</f>
        <v>0</v>
      </c>
      <c r="G271" s="118">
        <v>12</v>
      </c>
      <c r="H271" s="118">
        <v>2</v>
      </c>
      <c r="I271" s="820">
        <v>26385</v>
      </c>
      <c r="J271" s="118">
        <f>+CUBICACION!J270</f>
        <v>0</v>
      </c>
      <c r="K271" s="118">
        <v>3050</v>
      </c>
      <c r="L271" s="118">
        <f>+CUBICACION!L270</f>
        <v>0</v>
      </c>
      <c r="M271" s="64">
        <f>+CUBICACION!M270</f>
        <v>0</v>
      </c>
      <c r="N271" s="824" t="str">
        <f>+CUBICACION!N270</f>
        <v/>
      </c>
      <c r="O271" s="675">
        <f>+CUBICACION!O270</f>
        <v>0</v>
      </c>
      <c r="P271" s="15">
        <f>IF(O271="Fire Control",VLOOKUP(_xlfn.MINIFS('FIRE CONTROL'!$C$4:$C$37,'FIRE CONTROL'!$C$4:$C$37,"&gt;="&amp;M271),'FIRE CONTROL'!$C$4:$G$37,IF(L271="F-15",2,IF(L271="F-30",3,IF(L271="F-60",4,IF(L271="F-90",5,0)))),0),0)+IF(AND(O271="FIRE TEX 5062",OR(E271="IN",E271="C",E271="Z",E271="L"),J271=3),VLOOKUP(_xlfn.MINIFS('FIRE TEX 5062'!$B$4:$B$34,'FIRE TEX 5062'!$B$4:$B$34,"&gt;="&amp;M271),'FIRE TEX 5062'!$B$4:$F$34,IF(L271="F-15",2,IF(L271="F-30",3,IF(L271="F-60",4,IF(L271="F-90",5,0)))),0),0)+IF(AND(O271="FIRE TEX 5062",OR(E271="IN",E271="C",E271="Z",E271="L"),J271=4),VLOOKUP(_xlfn.MINIFS('FIRE TEX 5062'!$G$4:$G$34,'FIRE TEX 5062'!$G$4:$G$34,"&gt;="&amp;M271),'FIRE TEX 5062'!$G$4:$K$34,IF(L271="F-15",2,IF(L271="F-30",3,IF(L271="F-60",4,IF(L271="F-90",5,0)))),0),0)+IF(AND(O271="FIRE TEX 5062",E271="CJ",J271=3),VLOOKUP(_xlfn.MINIFS('FIRE TEX 5062'!$L$4:$L$34,'FIRE TEX 5062'!$L$4:$L$34,"&gt;="&amp;M271),'FIRE TEX 5062'!$L$4:$P$34,IF(L271="F-15",2,IF(L271="F-30",3,IF(L271="F-60",4,IF(L271="F-90",5,0)))),0),0)+IF(AND(O271="FIRE TEX 5062",E271="CJ",J271=4),VLOOKUP(_xlfn.MINIFS('FIRE TEX 5062'!$Q$3:$Q$34,'FIRE TEX 5062'!$Q$3:$Q$34,"&gt;="&amp;M271),'FIRE TEX 5062'!$Q$3:$U$34,IF(L271="F-15",2,IF(L271="F-30",3,IF(L271="F-60",4,IF(L271="F-90",5,0)))),0),0)+IF(AND(O271="FIRE TEX 5090",OR(E271="IN",E271="C",E271="Z",E271="L"),J271=3),VLOOKUP(_xlfn.MINIFS('FIRE TEX 5090'!$B$5:$B$43,'FIRE TEX 5090'!$B$5:$B$43,"&gt;="&amp;M271),'FIRE TEX 5090'!$B$5:$H$43,IF(L271="F-15",2,IF(L271="F-30",3,IF(L271="F-60",4,IF(L271="F-90",5,IF(L271="F-120",6,IF(L271="F-150",7,0)))))),0),0)+IF(AND(O271="FIRE TEX 5090",OR(E271="IN",E271="C",E271="Z",E271="L"),J271=4),VLOOKUP(_xlfn.MINIFS('FIRE TEX 5090'!$J$5:$J$43,'FIRE TEX 5090'!$J$5:$J$43,"&gt;="&amp;M271),'FIRE TEX 5090'!$J$5:$P$43,IF(L271="F-15",2,IF(L271="F-30",3,IF(L271="F-60",4,IF(L271="F-90",5,IF(L271="F-120",6,IF(L271="F-150",7,0)))))),0),0)+IF(AND(O271="FIRE TEX 5090",E271="CJ",J271=3),VLOOKUP(_xlfn.MINIFS('FIRE TEX 5090'!$R$5:$R$30,'FIRE TEX 5090'!$R$5:$R$30,"&gt;="&amp;M271),'FIRE TEX 5090'!$R$5:$W$30,IF(L271="F-15",2,IF(L271="F-30",3,IF(L271="F-60",4,IF(L271="F-90",5,IF(L271="F-120",6,IF(L271="F-150",7,0)))))),0),0)+IF(AND(O271="FIRE TEX 5090",E271="CJ",J271=4),VLOOKUP(_xlfn.MINIFS('FIRE TEX 5090'!$Y$5:$Y$39,'FIRE TEX 5090'!$Y$5:$Y$39,"&gt;="&amp;M271),'FIRE TEX 5090'!$Y$5:$AD$39,IF(L271="F-15",2,IF(L271="F-30",3,IF(L271="F-60",4,IF(L271="F-90",5,IF(L271="F-120",6,IF(L271="F-150",7,0)))))),0),0)+IF(AND(O271="FIRE TEX 5120",OR(E271="IN",E271="C",E271="Z",E271="L"),J271=3),VLOOKUP(_xlfn.MINIFS('FIRE TEX 5120'!$B$5:$B$40,'FIRE TEX 5120'!$B$5:$B$40,"&gt;="&amp;M271),'FIRE TEX 5120'!$B$5:$G$40,IF(L271="F-15",2,IF(L271="F-30",3,IF(L271="F-60",4,IF(L271="F-90",5,IF(L271="F-120",6,0))))),0),0)+IF(AND(O271="FIRE TEX 5120",OR(E271="IN",E271="C",E271="Z",E271="L"),J271=4),VLOOKUP(_xlfn.MINIFS('FIRE TEX 5120'!$H$4:$H$40,'FIRE TEX 5120'!$H$4:$H$40,"&gt;="&amp;M271),'FIRE TEX 5120'!$H$4:$M$40,IF(L271="F-15",2,IF(L271="F-30",3,IF(L271="F-60",4,IF(L271="F-90",5,IF(L271="F-120",6,0))))),0),0)+IF(AND(O271="FIRE TEX 5120",E271="CJ"),VLOOKUP(_xlfn.MINIFS('FIRE TEX 5120'!$O$5:$O$40,'FIRE TEX 5120'!$O$5:$O$40,"&gt;="&amp;M271),'FIRE TEX 5120'!$O$5:$T$40,IF(L271="F-15",2,IF(L271="F-30",3,IF(L271="F-60",4,IF(L271="F-90",5,IF(L271="F-120",6,0))))),0),0)</f>
        <v>0</v>
      </c>
      <c r="Q271" s="46">
        <f t="shared" si="34"/>
        <v>0</v>
      </c>
      <c r="R271" s="46">
        <f t="shared" si="36"/>
        <v>0</v>
      </c>
      <c r="S271" s="46" t="e">
        <f t="shared" si="35"/>
        <v>#VALUE!</v>
      </c>
      <c r="T271" s="677">
        <f t="shared" si="37"/>
        <v>0</v>
      </c>
      <c r="U271" s="80">
        <f>(IF(O271="Stofire",(S271*#REF!),0))+(IF(O271="Fire Control",(S271*$U$2),0))+(IF(O271="Fire Tex",(S271*$U$3),0))+(IF(O271="WB7",(S271*#REF!),0)+(IF(O271="FX 2003",(S271*$U$5),0)))</f>
        <v>0</v>
      </c>
      <c r="V271" s="651">
        <f t="shared" si="38"/>
        <v>0</v>
      </c>
      <c r="W271" s="4"/>
    </row>
    <row r="272" spans="1:23" x14ac:dyDescent="0.25">
      <c r="A272" s="652" t="s">
        <v>461</v>
      </c>
      <c r="B272" s="653" t="s">
        <v>459</v>
      </c>
      <c r="C272" s="1" t="s">
        <v>462</v>
      </c>
      <c r="D272" s="118">
        <f>+CUBICACION!D271</f>
        <v>0</v>
      </c>
      <c r="E272" s="118">
        <f>+CUBICACION!F271</f>
        <v>0</v>
      </c>
      <c r="F272" s="118">
        <f>+CUBICACION!E271</f>
        <v>0</v>
      </c>
      <c r="G272" s="118">
        <v>12</v>
      </c>
      <c r="H272" s="118">
        <v>2</v>
      </c>
      <c r="I272" s="820">
        <v>26385</v>
      </c>
      <c r="J272" s="118">
        <f>+CUBICACION!J271</f>
        <v>0</v>
      </c>
      <c r="K272" s="118">
        <v>3051</v>
      </c>
      <c r="L272" s="118">
        <f>+CUBICACION!L271</f>
        <v>0</v>
      </c>
      <c r="M272" s="64">
        <f>+CUBICACION!M271</f>
        <v>0</v>
      </c>
      <c r="N272" s="824" t="str">
        <f>+CUBICACION!N271</f>
        <v/>
      </c>
      <c r="O272" s="675">
        <f>+CUBICACION!O271</f>
        <v>0</v>
      </c>
      <c r="P272" s="15">
        <f>IF(O272="Fire Control",VLOOKUP(_xlfn.MINIFS('FIRE CONTROL'!$C$4:$C$37,'FIRE CONTROL'!$C$4:$C$37,"&gt;="&amp;M272),'FIRE CONTROL'!$C$4:$G$37,IF(L272="F-15",2,IF(L272="F-30",3,IF(L272="F-60",4,IF(L272="F-90",5,0)))),0),0)+IF(AND(O272="FIRE TEX 5062",OR(E272="IN",E272="C",E272="Z",E272="L"),J272=3),VLOOKUP(_xlfn.MINIFS('FIRE TEX 5062'!$B$4:$B$34,'FIRE TEX 5062'!$B$4:$B$34,"&gt;="&amp;M272),'FIRE TEX 5062'!$B$4:$F$34,IF(L272="F-15",2,IF(L272="F-30",3,IF(L272="F-60",4,IF(L272="F-90",5,0)))),0),0)+IF(AND(O272="FIRE TEX 5062",OR(E272="IN",E272="C",E272="Z",E272="L"),J272=4),VLOOKUP(_xlfn.MINIFS('FIRE TEX 5062'!$G$4:$G$34,'FIRE TEX 5062'!$G$4:$G$34,"&gt;="&amp;M272),'FIRE TEX 5062'!$G$4:$K$34,IF(L272="F-15",2,IF(L272="F-30",3,IF(L272="F-60",4,IF(L272="F-90",5,0)))),0),0)+IF(AND(O272="FIRE TEX 5062",E272="CJ",J272=3),VLOOKUP(_xlfn.MINIFS('FIRE TEX 5062'!$L$4:$L$34,'FIRE TEX 5062'!$L$4:$L$34,"&gt;="&amp;M272),'FIRE TEX 5062'!$L$4:$P$34,IF(L272="F-15",2,IF(L272="F-30",3,IF(L272="F-60",4,IF(L272="F-90",5,0)))),0),0)+IF(AND(O272="FIRE TEX 5062",E272="CJ",J272=4),VLOOKUP(_xlfn.MINIFS('FIRE TEX 5062'!$Q$3:$Q$34,'FIRE TEX 5062'!$Q$3:$Q$34,"&gt;="&amp;M272),'FIRE TEX 5062'!$Q$3:$U$34,IF(L272="F-15",2,IF(L272="F-30",3,IF(L272="F-60",4,IF(L272="F-90",5,0)))),0),0)+IF(AND(O272="FIRE TEX 5090",OR(E272="IN",E272="C",E272="Z",E272="L"),J272=3),VLOOKUP(_xlfn.MINIFS('FIRE TEX 5090'!$B$5:$B$43,'FIRE TEX 5090'!$B$5:$B$43,"&gt;="&amp;M272),'FIRE TEX 5090'!$B$5:$H$43,IF(L272="F-15",2,IF(L272="F-30",3,IF(L272="F-60",4,IF(L272="F-90",5,IF(L272="F-120",6,IF(L272="F-150",7,0)))))),0),0)+IF(AND(O272="FIRE TEX 5090",OR(E272="IN",E272="C",E272="Z",E272="L"),J272=4),VLOOKUP(_xlfn.MINIFS('FIRE TEX 5090'!$J$5:$J$43,'FIRE TEX 5090'!$J$5:$J$43,"&gt;="&amp;M272),'FIRE TEX 5090'!$J$5:$P$43,IF(L272="F-15",2,IF(L272="F-30",3,IF(L272="F-60",4,IF(L272="F-90",5,IF(L272="F-120",6,IF(L272="F-150",7,0)))))),0),0)+IF(AND(O272="FIRE TEX 5090",E272="CJ",J272=3),VLOOKUP(_xlfn.MINIFS('FIRE TEX 5090'!$R$5:$R$30,'FIRE TEX 5090'!$R$5:$R$30,"&gt;="&amp;M272),'FIRE TEX 5090'!$R$5:$W$30,IF(L272="F-15",2,IF(L272="F-30",3,IF(L272="F-60",4,IF(L272="F-90",5,IF(L272="F-120",6,IF(L272="F-150",7,0)))))),0),0)+IF(AND(O272="FIRE TEX 5090",E272="CJ",J272=4),VLOOKUP(_xlfn.MINIFS('FIRE TEX 5090'!$Y$5:$Y$39,'FIRE TEX 5090'!$Y$5:$Y$39,"&gt;="&amp;M272),'FIRE TEX 5090'!$Y$5:$AD$39,IF(L272="F-15",2,IF(L272="F-30",3,IF(L272="F-60",4,IF(L272="F-90",5,IF(L272="F-120",6,IF(L272="F-150",7,0)))))),0),0)+IF(AND(O272="FIRE TEX 5120",OR(E272="IN",E272="C",E272="Z",E272="L"),J272=3),VLOOKUP(_xlfn.MINIFS('FIRE TEX 5120'!$B$5:$B$40,'FIRE TEX 5120'!$B$5:$B$40,"&gt;="&amp;M272),'FIRE TEX 5120'!$B$5:$G$40,IF(L272="F-15",2,IF(L272="F-30",3,IF(L272="F-60",4,IF(L272="F-90",5,IF(L272="F-120",6,0))))),0),0)+IF(AND(O272="FIRE TEX 5120",OR(E272="IN",E272="C",E272="Z",E272="L"),J272=4),VLOOKUP(_xlfn.MINIFS('FIRE TEX 5120'!$H$4:$H$40,'FIRE TEX 5120'!$H$4:$H$40,"&gt;="&amp;M272),'FIRE TEX 5120'!$H$4:$M$40,IF(L272="F-15",2,IF(L272="F-30",3,IF(L272="F-60",4,IF(L272="F-90",5,IF(L272="F-120",6,0))))),0),0)+IF(AND(O272="FIRE TEX 5120",E272="CJ"),VLOOKUP(_xlfn.MINIFS('FIRE TEX 5120'!$O$5:$O$40,'FIRE TEX 5120'!$O$5:$O$40,"&gt;="&amp;M272),'FIRE TEX 5120'!$O$5:$T$40,IF(L272="F-15",2,IF(L272="F-30",3,IF(L272="F-60",4,IF(L272="F-90",5,IF(L272="F-120",6,0))))),0),0)</f>
        <v>0</v>
      </c>
      <c r="Q272" s="46">
        <f t="shared" si="34"/>
        <v>0</v>
      </c>
      <c r="R272" s="46">
        <f t="shared" si="36"/>
        <v>0</v>
      </c>
      <c r="S272" s="46" t="e">
        <f t="shared" si="35"/>
        <v>#VALUE!</v>
      </c>
      <c r="T272" s="677">
        <f t="shared" si="37"/>
        <v>0</v>
      </c>
      <c r="U272" s="80">
        <f>(IF(O272="Stofire",(S272*#REF!),0))+(IF(O272="Fire Control",(S272*$U$2),0))+(IF(O272="Fire Tex",(S272*$U$3),0))+(IF(O272="WB7",(S272*#REF!),0)+(IF(O272="FX 2003",(S272*$U$5),0)))</f>
        <v>0</v>
      </c>
      <c r="V272" s="651">
        <f t="shared" si="38"/>
        <v>0</v>
      </c>
      <c r="W272" s="4"/>
    </row>
    <row r="273" spans="1:23" x14ac:dyDescent="0.25">
      <c r="A273" s="652" t="s">
        <v>461</v>
      </c>
      <c r="B273" s="653" t="s">
        <v>459</v>
      </c>
      <c r="C273" s="1" t="s">
        <v>408</v>
      </c>
      <c r="D273" s="118">
        <f>+CUBICACION!D272</f>
        <v>0</v>
      </c>
      <c r="E273" s="118">
        <f>+CUBICACION!F272</f>
        <v>0</v>
      </c>
      <c r="F273" s="118">
        <f>+CUBICACION!E272</f>
        <v>0</v>
      </c>
      <c r="G273" s="118">
        <v>12</v>
      </c>
      <c r="H273" s="118">
        <v>2</v>
      </c>
      <c r="I273" s="820">
        <v>26385</v>
      </c>
      <c r="J273" s="118">
        <f>+CUBICACION!J272</f>
        <v>0</v>
      </c>
      <c r="K273" s="118">
        <v>3052</v>
      </c>
      <c r="L273" s="118">
        <f>+CUBICACION!L272</f>
        <v>0</v>
      </c>
      <c r="M273" s="64">
        <f>+CUBICACION!M272</f>
        <v>0</v>
      </c>
      <c r="N273" s="824" t="str">
        <f>+CUBICACION!N272</f>
        <v/>
      </c>
      <c r="O273" s="675">
        <f>+CUBICACION!O272</f>
        <v>0</v>
      </c>
      <c r="P273" s="15">
        <f>IF(O273="Fire Control",VLOOKUP(_xlfn.MINIFS('FIRE CONTROL'!$C$4:$C$37,'FIRE CONTROL'!$C$4:$C$37,"&gt;="&amp;M273),'FIRE CONTROL'!$C$4:$G$37,IF(L273="F-15",2,IF(L273="F-30",3,IF(L273="F-60",4,IF(L273="F-90",5,0)))),0),0)+IF(AND(O273="FIRE TEX 5062",OR(E273="IN",E273="C",E273="Z",E273="L"),J273=3),VLOOKUP(_xlfn.MINIFS('FIRE TEX 5062'!$B$4:$B$34,'FIRE TEX 5062'!$B$4:$B$34,"&gt;="&amp;M273),'FIRE TEX 5062'!$B$4:$F$34,IF(L273="F-15",2,IF(L273="F-30",3,IF(L273="F-60",4,IF(L273="F-90",5,0)))),0),0)+IF(AND(O273="FIRE TEX 5062",OR(E273="IN",E273="C",E273="Z",E273="L"),J273=4),VLOOKUP(_xlfn.MINIFS('FIRE TEX 5062'!$G$4:$G$34,'FIRE TEX 5062'!$G$4:$G$34,"&gt;="&amp;M273),'FIRE TEX 5062'!$G$4:$K$34,IF(L273="F-15",2,IF(L273="F-30",3,IF(L273="F-60",4,IF(L273="F-90",5,0)))),0),0)+IF(AND(O273="FIRE TEX 5062",E273="CJ",J273=3),VLOOKUP(_xlfn.MINIFS('FIRE TEX 5062'!$L$4:$L$34,'FIRE TEX 5062'!$L$4:$L$34,"&gt;="&amp;M273),'FIRE TEX 5062'!$L$4:$P$34,IF(L273="F-15",2,IF(L273="F-30",3,IF(L273="F-60",4,IF(L273="F-90",5,0)))),0),0)+IF(AND(O273="FIRE TEX 5062",E273="CJ",J273=4),VLOOKUP(_xlfn.MINIFS('FIRE TEX 5062'!$Q$3:$Q$34,'FIRE TEX 5062'!$Q$3:$Q$34,"&gt;="&amp;M273),'FIRE TEX 5062'!$Q$3:$U$34,IF(L273="F-15",2,IF(L273="F-30",3,IF(L273="F-60",4,IF(L273="F-90",5,0)))),0),0)+IF(AND(O273="FIRE TEX 5090",OR(E273="IN",E273="C",E273="Z",E273="L"),J273=3),VLOOKUP(_xlfn.MINIFS('FIRE TEX 5090'!$B$5:$B$43,'FIRE TEX 5090'!$B$5:$B$43,"&gt;="&amp;M273),'FIRE TEX 5090'!$B$5:$H$43,IF(L273="F-15",2,IF(L273="F-30",3,IF(L273="F-60",4,IF(L273="F-90",5,IF(L273="F-120",6,IF(L273="F-150",7,0)))))),0),0)+IF(AND(O273="FIRE TEX 5090",OR(E273="IN",E273="C",E273="Z",E273="L"),J273=4),VLOOKUP(_xlfn.MINIFS('FIRE TEX 5090'!$J$5:$J$43,'FIRE TEX 5090'!$J$5:$J$43,"&gt;="&amp;M273),'FIRE TEX 5090'!$J$5:$P$43,IF(L273="F-15",2,IF(L273="F-30",3,IF(L273="F-60",4,IF(L273="F-90",5,IF(L273="F-120",6,IF(L273="F-150",7,0)))))),0),0)+IF(AND(O273="FIRE TEX 5090",E273="CJ",J273=3),VLOOKUP(_xlfn.MINIFS('FIRE TEX 5090'!$R$5:$R$30,'FIRE TEX 5090'!$R$5:$R$30,"&gt;="&amp;M273),'FIRE TEX 5090'!$R$5:$W$30,IF(L273="F-15",2,IF(L273="F-30",3,IF(L273="F-60",4,IF(L273="F-90",5,IF(L273="F-120",6,IF(L273="F-150",7,0)))))),0),0)+IF(AND(O273="FIRE TEX 5090",E273="CJ",J273=4),VLOOKUP(_xlfn.MINIFS('FIRE TEX 5090'!$Y$5:$Y$39,'FIRE TEX 5090'!$Y$5:$Y$39,"&gt;="&amp;M273),'FIRE TEX 5090'!$Y$5:$AD$39,IF(L273="F-15",2,IF(L273="F-30",3,IF(L273="F-60",4,IF(L273="F-90",5,IF(L273="F-120",6,IF(L273="F-150",7,0)))))),0),0)+IF(AND(O273="FIRE TEX 5120",OR(E273="IN",E273="C",E273="Z",E273="L"),J273=3),VLOOKUP(_xlfn.MINIFS('FIRE TEX 5120'!$B$5:$B$40,'FIRE TEX 5120'!$B$5:$B$40,"&gt;="&amp;M273),'FIRE TEX 5120'!$B$5:$G$40,IF(L273="F-15",2,IF(L273="F-30",3,IF(L273="F-60",4,IF(L273="F-90",5,IF(L273="F-120",6,0))))),0),0)+IF(AND(O273="FIRE TEX 5120",OR(E273="IN",E273="C",E273="Z",E273="L"),J273=4),VLOOKUP(_xlfn.MINIFS('FIRE TEX 5120'!$H$4:$H$40,'FIRE TEX 5120'!$H$4:$H$40,"&gt;="&amp;M273),'FIRE TEX 5120'!$H$4:$M$40,IF(L273="F-15",2,IF(L273="F-30",3,IF(L273="F-60",4,IF(L273="F-90",5,IF(L273="F-120",6,0))))),0),0)+IF(AND(O273="FIRE TEX 5120",E273="CJ"),VLOOKUP(_xlfn.MINIFS('FIRE TEX 5120'!$O$5:$O$40,'FIRE TEX 5120'!$O$5:$O$40,"&gt;="&amp;M273),'FIRE TEX 5120'!$O$5:$T$40,IF(L273="F-15",2,IF(L273="F-30",3,IF(L273="F-60",4,IF(L273="F-90",5,IF(L273="F-120",6,0))))),0),0)</f>
        <v>0</v>
      </c>
      <c r="Q273" s="46">
        <f t="shared" si="34"/>
        <v>0</v>
      </c>
      <c r="R273" s="46">
        <f t="shared" si="36"/>
        <v>0</v>
      </c>
      <c r="S273" s="46" t="e">
        <f t="shared" si="35"/>
        <v>#VALUE!</v>
      </c>
      <c r="T273" s="677">
        <f t="shared" si="37"/>
        <v>0</v>
      </c>
      <c r="U273" s="80">
        <f>(IF(O273="Stofire",(S273*#REF!),0))+(IF(O273="Fire Control",(S273*$U$2),0))+(IF(O273="Fire Tex",(S273*$U$3),0))+(IF(O273="WB7",(S273*#REF!),0)+(IF(O273="FX 2003",(S273*$U$5),0)))</f>
        <v>0</v>
      </c>
      <c r="V273" s="651">
        <f t="shared" si="38"/>
        <v>0</v>
      </c>
      <c r="W273" s="4"/>
    </row>
    <row r="274" spans="1:23" x14ac:dyDescent="0.25">
      <c r="A274" s="652" t="s">
        <v>461</v>
      </c>
      <c r="B274" s="653" t="s">
        <v>459</v>
      </c>
      <c r="C274" s="1" t="s">
        <v>408</v>
      </c>
      <c r="D274" s="118">
        <f>+CUBICACION!D273</f>
        <v>0</v>
      </c>
      <c r="E274" s="118">
        <f>+CUBICACION!F273</f>
        <v>0</v>
      </c>
      <c r="F274" s="118">
        <f>+CUBICACION!E273</f>
        <v>0</v>
      </c>
      <c r="G274" s="118">
        <v>12</v>
      </c>
      <c r="H274" s="118">
        <v>2</v>
      </c>
      <c r="I274" s="820">
        <v>26385</v>
      </c>
      <c r="J274" s="118">
        <f>+CUBICACION!J273</f>
        <v>0</v>
      </c>
      <c r="K274" s="118">
        <v>3053</v>
      </c>
      <c r="L274" s="118">
        <f>+CUBICACION!L273</f>
        <v>0</v>
      </c>
      <c r="M274" s="64">
        <f>+CUBICACION!M273</f>
        <v>0</v>
      </c>
      <c r="N274" s="824" t="str">
        <f>+CUBICACION!N273</f>
        <v/>
      </c>
      <c r="O274" s="675">
        <f>+CUBICACION!O273</f>
        <v>0</v>
      </c>
      <c r="P274" s="15">
        <f>IF(O274="Fire Control",VLOOKUP(_xlfn.MINIFS('FIRE CONTROL'!$C$4:$C$37,'FIRE CONTROL'!$C$4:$C$37,"&gt;="&amp;M274),'FIRE CONTROL'!$C$4:$G$37,IF(L274="F-15",2,IF(L274="F-30",3,IF(L274="F-60",4,IF(L274="F-90",5,0)))),0),0)+IF(AND(O274="FIRE TEX 5062",OR(E274="IN",E274="C",E274="Z",E274="L"),J274=3),VLOOKUP(_xlfn.MINIFS('FIRE TEX 5062'!$B$4:$B$34,'FIRE TEX 5062'!$B$4:$B$34,"&gt;="&amp;M274),'FIRE TEX 5062'!$B$4:$F$34,IF(L274="F-15",2,IF(L274="F-30",3,IF(L274="F-60",4,IF(L274="F-90",5,0)))),0),0)+IF(AND(O274="FIRE TEX 5062",OR(E274="IN",E274="C",E274="Z",E274="L"),J274=4),VLOOKUP(_xlfn.MINIFS('FIRE TEX 5062'!$G$4:$G$34,'FIRE TEX 5062'!$G$4:$G$34,"&gt;="&amp;M274),'FIRE TEX 5062'!$G$4:$K$34,IF(L274="F-15",2,IF(L274="F-30",3,IF(L274="F-60",4,IF(L274="F-90",5,0)))),0),0)+IF(AND(O274="FIRE TEX 5062",E274="CJ",J274=3),VLOOKUP(_xlfn.MINIFS('FIRE TEX 5062'!$L$4:$L$34,'FIRE TEX 5062'!$L$4:$L$34,"&gt;="&amp;M274),'FIRE TEX 5062'!$L$4:$P$34,IF(L274="F-15",2,IF(L274="F-30",3,IF(L274="F-60",4,IF(L274="F-90",5,0)))),0),0)+IF(AND(O274="FIRE TEX 5062",E274="CJ",J274=4),VLOOKUP(_xlfn.MINIFS('FIRE TEX 5062'!$Q$3:$Q$34,'FIRE TEX 5062'!$Q$3:$Q$34,"&gt;="&amp;M274),'FIRE TEX 5062'!$Q$3:$U$34,IF(L274="F-15",2,IF(L274="F-30",3,IF(L274="F-60",4,IF(L274="F-90",5,0)))),0),0)+IF(AND(O274="FIRE TEX 5090",OR(E274="IN",E274="C",E274="Z",E274="L"),J274=3),VLOOKUP(_xlfn.MINIFS('FIRE TEX 5090'!$B$5:$B$43,'FIRE TEX 5090'!$B$5:$B$43,"&gt;="&amp;M274),'FIRE TEX 5090'!$B$5:$H$43,IF(L274="F-15",2,IF(L274="F-30",3,IF(L274="F-60",4,IF(L274="F-90",5,IF(L274="F-120",6,IF(L274="F-150",7,0)))))),0),0)+IF(AND(O274="FIRE TEX 5090",OR(E274="IN",E274="C",E274="Z",E274="L"),J274=4),VLOOKUP(_xlfn.MINIFS('FIRE TEX 5090'!$J$5:$J$43,'FIRE TEX 5090'!$J$5:$J$43,"&gt;="&amp;M274),'FIRE TEX 5090'!$J$5:$P$43,IF(L274="F-15",2,IF(L274="F-30",3,IF(L274="F-60",4,IF(L274="F-90",5,IF(L274="F-120",6,IF(L274="F-150",7,0)))))),0),0)+IF(AND(O274="FIRE TEX 5090",E274="CJ",J274=3),VLOOKUP(_xlfn.MINIFS('FIRE TEX 5090'!$R$5:$R$30,'FIRE TEX 5090'!$R$5:$R$30,"&gt;="&amp;M274),'FIRE TEX 5090'!$R$5:$W$30,IF(L274="F-15",2,IF(L274="F-30",3,IF(L274="F-60",4,IF(L274="F-90",5,IF(L274="F-120",6,IF(L274="F-150",7,0)))))),0),0)+IF(AND(O274="FIRE TEX 5090",E274="CJ",J274=4),VLOOKUP(_xlfn.MINIFS('FIRE TEX 5090'!$Y$5:$Y$39,'FIRE TEX 5090'!$Y$5:$Y$39,"&gt;="&amp;M274),'FIRE TEX 5090'!$Y$5:$AD$39,IF(L274="F-15",2,IF(L274="F-30",3,IF(L274="F-60",4,IF(L274="F-90",5,IF(L274="F-120",6,IF(L274="F-150",7,0)))))),0),0)+IF(AND(O274="FIRE TEX 5120",OR(E274="IN",E274="C",E274="Z",E274="L"),J274=3),VLOOKUP(_xlfn.MINIFS('FIRE TEX 5120'!$B$5:$B$40,'FIRE TEX 5120'!$B$5:$B$40,"&gt;="&amp;M274),'FIRE TEX 5120'!$B$5:$G$40,IF(L274="F-15",2,IF(L274="F-30",3,IF(L274="F-60",4,IF(L274="F-90",5,IF(L274="F-120",6,0))))),0),0)+IF(AND(O274="FIRE TEX 5120",OR(E274="IN",E274="C",E274="Z",E274="L"),J274=4),VLOOKUP(_xlfn.MINIFS('FIRE TEX 5120'!$H$4:$H$40,'FIRE TEX 5120'!$H$4:$H$40,"&gt;="&amp;M274),'FIRE TEX 5120'!$H$4:$M$40,IF(L274="F-15",2,IF(L274="F-30",3,IF(L274="F-60",4,IF(L274="F-90",5,IF(L274="F-120",6,0))))),0),0)+IF(AND(O274="FIRE TEX 5120",E274="CJ"),VLOOKUP(_xlfn.MINIFS('FIRE TEX 5120'!$O$5:$O$40,'FIRE TEX 5120'!$O$5:$O$40,"&gt;="&amp;M274),'FIRE TEX 5120'!$O$5:$T$40,IF(L274="F-15",2,IF(L274="F-30",3,IF(L274="F-60",4,IF(L274="F-90",5,IF(L274="F-120",6,0))))),0),0)</f>
        <v>0</v>
      </c>
      <c r="Q274" s="46">
        <f t="shared" si="34"/>
        <v>0</v>
      </c>
      <c r="R274" s="46">
        <f t="shared" si="36"/>
        <v>0</v>
      </c>
      <c r="S274" s="46" t="e">
        <f t="shared" si="35"/>
        <v>#VALUE!</v>
      </c>
      <c r="T274" s="677">
        <f t="shared" si="37"/>
        <v>0</v>
      </c>
      <c r="U274" s="80">
        <f>(IF(O274="Stofire",(S274*#REF!),0))+(IF(O274="Fire Control",(S274*$U$2),0))+(IF(O274="Fire Tex",(S274*$U$3),0))+(IF(O274="WB7",(S274*#REF!),0)+(IF(O274="FX 2003",(S274*$U$5),0)))</f>
        <v>0</v>
      </c>
      <c r="V274" s="651">
        <f t="shared" si="38"/>
        <v>0</v>
      </c>
      <c r="W274" s="4"/>
    </row>
    <row r="275" spans="1:23" x14ac:dyDescent="0.25">
      <c r="A275" s="652" t="s">
        <v>406</v>
      </c>
      <c r="B275" s="653" t="s">
        <v>407</v>
      </c>
      <c r="C275" s="1" t="s">
        <v>408</v>
      </c>
      <c r="D275" s="118">
        <f>+CUBICACION!D274</f>
        <v>0</v>
      </c>
      <c r="E275" s="118">
        <f>+CUBICACION!F274</f>
        <v>0</v>
      </c>
      <c r="F275" s="118">
        <f>+CUBICACION!E274</f>
        <v>0</v>
      </c>
      <c r="G275" s="118">
        <v>12</v>
      </c>
      <c r="H275" s="118">
        <v>2</v>
      </c>
      <c r="I275" s="820">
        <v>26385</v>
      </c>
      <c r="J275" s="118">
        <f>+CUBICACION!J274</f>
        <v>0</v>
      </c>
      <c r="K275" s="118">
        <v>3054</v>
      </c>
      <c r="L275" s="118">
        <f>+CUBICACION!L274</f>
        <v>0</v>
      </c>
      <c r="M275" s="64">
        <f>+CUBICACION!M274</f>
        <v>0</v>
      </c>
      <c r="N275" s="824" t="str">
        <f>+CUBICACION!N274</f>
        <v/>
      </c>
      <c r="O275" s="675">
        <f>+CUBICACION!O274</f>
        <v>0</v>
      </c>
      <c r="P275" s="15">
        <f>IF(O275="Fire Control",VLOOKUP(_xlfn.MINIFS('FIRE CONTROL'!$C$4:$C$37,'FIRE CONTROL'!$C$4:$C$37,"&gt;="&amp;M275),'FIRE CONTROL'!$C$4:$G$37,IF(L275="F-15",2,IF(L275="F-30",3,IF(L275="F-60",4,IF(L275="F-90",5,0)))),0),0)+IF(AND(O275="FIRE TEX 5062",OR(E275="IN",E275="C",E275="Z",E275="L"),J275=3),VLOOKUP(_xlfn.MINIFS('FIRE TEX 5062'!$B$4:$B$34,'FIRE TEX 5062'!$B$4:$B$34,"&gt;="&amp;M275),'FIRE TEX 5062'!$B$4:$F$34,IF(L275="F-15",2,IF(L275="F-30",3,IF(L275="F-60",4,IF(L275="F-90",5,0)))),0),0)+IF(AND(O275="FIRE TEX 5062",OR(E275="IN",E275="C",E275="Z",E275="L"),J275=4),VLOOKUP(_xlfn.MINIFS('FIRE TEX 5062'!$G$4:$G$34,'FIRE TEX 5062'!$G$4:$G$34,"&gt;="&amp;M275),'FIRE TEX 5062'!$G$4:$K$34,IF(L275="F-15",2,IF(L275="F-30",3,IF(L275="F-60",4,IF(L275="F-90",5,0)))),0),0)+IF(AND(O275="FIRE TEX 5062",E275="CJ",J275=3),VLOOKUP(_xlfn.MINIFS('FIRE TEX 5062'!$L$4:$L$34,'FIRE TEX 5062'!$L$4:$L$34,"&gt;="&amp;M275),'FIRE TEX 5062'!$L$4:$P$34,IF(L275="F-15",2,IF(L275="F-30",3,IF(L275="F-60",4,IF(L275="F-90",5,0)))),0),0)+IF(AND(O275="FIRE TEX 5062",E275="CJ",J275=4),VLOOKUP(_xlfn.MINIFS('FIRE TEX 5062'!$Q$3:$Q$34,'FIRE TEX 5062'!$Q$3:$Q$34,"&gt;="&amp;M275),'FIRE TEX 5062'!$Q$3:$U$34,IF(L275="F-15",2,IF(L275="F-30",3,IF(L275="F-60",4,IF(L275="F-90",5,0)))),0),0)+IF(AND(O275="FIRE TEX 5090",OR(E275="IN",E275="C",E275="Z",E275="L"),J275=3),VLOOKUP(_xlfn.MINIFS('FIRE TEX 5090'!$B$5:$B$43,'FIRE TEX 5090'!$B$5:$B$43,"&gt;="&amp;M275),'FIRE TEX 5090'!$B$5:$H$43,IF(L275="F-15",2,IF(L275="F-30",3,IF(L275="F-60",4,IF(L275="F-90",5,IF(L275="F-120",6,IF(L275="F-150",7,0)))))),0),0)+IF(AND(O275="FIRE TEX 5090",OR(E275="IN",E275="C",E275="Z",E275="L"),J275=4),VLOOKUP(_xlfn.MINIFS('FIRE TEX 5090'!$J$5:$J$43,'FIRE TEX 5090'!$J$5:$J$43,"&gt;="&amp;M275),'FIRE TEX 5090'!$J$5:$P$43,IF(L275="F-15",2,IF(L275="F-30",3,IF(L275="F-60",4,IF(L275="F-90",5,IF(L275="F-120",6,IF(L275="F-150",7,0)))))),0),0)+IF(AND(O275="FIRE TEX 5090",E275="CJ",J275=3),VLOOKUP(_xlfn.MINIFS('FIRE TEX 5090'!$R$5:$R$30,'FIRE TEX 5090'!$R$5:$R$30,"&gt;="&amp;M275),'FIRE TEX 5090'!$R$5:$W$30,IF(L275="F-15",2,IF(L275="F-30",3,IF(L275="F-60",4,IF(L275="F-90",5,IF(L275="F-120",6,IF(L275="F-150",7,0)))))),0),0)+IF(AND(O275="FIRE TEX 5090",E275="CJ",J275=4),VLOOKUP(_xlfn.MINIFS('FIRE TEX 5090'!$Y$5:$Y$39,'FIRE TEX 5090'!$Y$5:$Y$39,"&gt;="&amp;M275),'FIRE TEX 5090'!$Y$5:$AD$39,IF(L275="F-15",2,IF(L275="F-30",3,IF(L275="F-60",4,IF(L275="F-90",5,IF(L275="F-120",6,IF(L275="F-150",7,0)))))),0),0)+IF(AND(O275="FIRE TEX 5120",OR(E275="IN",E275="C",E275="Z",E275="L"),J275=3),VLOOKUP(_xlfn.MINIFS('FIRE TEX 5120'!$B$5:$B$40,'FIRE TEX 5120'!$B$5:$B$40,"&gt;="&amp;M275),'FIRE TEX 5120'!$B$5:$G$40,IF(L275="F-15",2,IF(L275="F-30",3,IF(L275="F-60",4,IF(L275="F-90",5,IF(L275="F-120",6,0))))),0),0)+IF(AND(O275="FIRE TEX 5120",OR(E275="IN",E275="C",E275="Z",E275="L"),J275=4),VLOOKUP(_xlfn.MINIFS('FIRE TEX 5120'!$H$4:$H$40,'FIRE TEX 5120'!$H$4:$H$40,"&gt;="&amp;M275),'FIRE TEX 5120'!$H$4:$M$40,IF(L275="F-15",2,IF(L275="F-30",3,IF(L275="F-60",4,IF(L275="F-90",5,IF(L275="F-120",6,0))))),0),0)+IF(AND(O275="FIRE TEX 5120",E275="CJ"),VLOOKUP(_xlfn.MINIFS('FIRE TEX 5120'!$O$5:$O$40,'FIRE TEX 5120'!$O$5:$O$40,"&gt;="&amp;M275),'FIRE TEX 5120'!$O$5:$T$40,IF(L275="F-15",2,IF(L275="F-30",3,IF(L275="F-60",4,IF(L275="F-90",5,IF(L275="F-120",6,0))))),0),0)</f>
        <v>0</v>
      </c>
      <c r="Q275" s="46">
        <f t="shared" si="34"/>
        <v>0</v>
      </c>
      <c r="R275" s="46">
        <f t="shared" si="36"/>
        <v>0</v>
      </c>
      <c r="S275" s="46" t="e">
        <f t="shared" si="35"/>
        <v>#VALUE!</v>
      </c>
      <c r="T275" s="677">
        <f t="shared" si="37"/>
        <v>0</v>
      </c>
      <c r="U275" s="80">
        <f>(IF(O275="Stofire",(S275*#REF!),0))+(IF(O275="Fire Control",(S275*$U$2),0))+(IF(O275="Fire Tex",(S275*$U$3),0))+(IF(O275="WB7",(S275*#REF!),0)+(IF(O275="FX 2003",(S275*$U$5),0)))</f>
        <v>0</v>
      </c>
      <c r="V275" s="649">
        <f>_xlfn.CEILING.MATH(M275,10)</f>
        <v>0</v>
      </c>
      <c r="W275" s="4"/>
    </row>
    <row r="276" spans="1:23" x14ac:dyDescent="0.25">
      <c r="A276" s="652" t="s">
        <v>406</v>
      </c>
      <c r="B276" s="653" t="s">
        <v>407</v>
      </c>
      <c r="C276" s="1" t="s">
        <v>408</v>
      </c>
      <c r="D276" s="118">
        <f>+CUBICACION!D275</f>
        <v>0</v>
      </c>
      <c r="E276" s="118">
        <f>+CUBICACION!F275</f>
        <v>0</v>
      </c>
      <c r="F276" s="118">
        <f>+CUBICACION!E275</f>
        <v>0</v>
      </c>
      <c r="G276" s="118">
        <v>12</v>
      </c>
      <c r="H276" s="118">
        <v>2</v>
      </c>
      <c r="I276" s="820">
        <v>26385</v>
      </c>
      <c r="J276" s="118">
        <f>+CUBICACION!J275</f>
        <v>0</v>
      </c>
      <c r="K276" s="118">
        <v>3055</v>
      </c>
      <c r="L276" s="118">
        <f>+CUBICACION!L275</f>
        <v>0</v>
      </c>
      <c r="M276" s="64">
        <f>+CUBICACION!M275</f>
        <v>0</v>
      </c>
      <c r="N276" s="824" t="str">
        <f>+CUBICACION!N275</f>
        <v/>
      </c>
      <c r="O276" s="675">
        <f>+CUBICACION!O275</f>
        <v>0</v>
      </c>
      <c r="P276" s="15">
        <f>IF(O276="Fire Control",VLOOKUP(_xlfn.MINIFS('FIRE CONTROL'!$C$4:$C$37,'FIRE CONTROL'!$C$4:$C$37,"&gt;="&amp;M276),'FIRE CONTROL'!$C$4:$G$37,IF(L276="F-15",2,IF(L276="F-30",3,IF(L276="F-60",4,IF(L276="F-90",5,0)))),0),0)+IF(AND(O276="FIRE TEX 5062",OR(E276="IN",E276="C",E276="Z",E276="L"),J276=3),VLOOKUP(_xlfn.MINIFS('FIRE TEX 5062'!$B$4:$B$34,'FIRE TEX 5062'!$B$4:$B$34,"&gt;="&amp;M276),'FIRE TEX 5062'!$B$4:$F$34,IF(L276="F-15",2,IF(L276="F-30",3,IF(L276="F-60",4,IF(L276="F-90",5,0)))),0),0)+IF(AND(O276="FIRE TEX 5062",OR(E276="IN",E276="C",E276="Z",E276="L"),J276=4),VLOOKUP(_xlfn.MINIFS('FIRE TEX 5062'!$G$4:$G$34,'FIRE TEX 5062'!$G$4:$G$34,"&gt;="&amp;M276),'FIRE TEX 5062'!$G$4:$K$34,IF(L276="F-15",2,IF(L276="F-30",3,IF(L276="F-60",4,IF(L276="F-90",5,0)))),0),0)+IF(AND(O276="FIRE TEX 5062",E276="CJ",J276=3),VLOOKUP(_xlfn.MINIFS('FIRE TEX 5062'!$L$4:$L$34,'FIRE TEX 5062'!$L$4:$L$34,"&gt;="&amp;M276),'FIRE TEX 5062'!$L$4:$P$34,IF(L276="F-15",2,IF(L276="F-30",3,IF(L276="F-60",4,IF(L276="F-90",5,0)))),0),0)+IF(AND(O276="FIRE TEX 5062",E276="CJ",J276=4),VLOOKUP(_xlfn.MINIFS('FIRE TEX 5062'!$Q$3:$Q$34,'FIRE TEX 5062'!$Q$3:$Q$34,"&gt;="&amp;M276),'FIRE TEX 5062'!$Q$3:$U$34,IF(L276="F-15",2,IF(L276="F-30",3,IF(L276="F-60",4,IF(L276="F-90",5,0)))),0),0)+IF(AND(O276="FIRE TEX 5090",OR(E276="IN",E276="C",E276="Z",E276="L"),J276=3),VLOOKUP(_xlfn.MINIFS('FIRE TEX 5090'!$B$5:$B$43,'FIRE TEX 5090'!$B$5:$B$43,"&gt;="&amp;M276),'FIRE TEX 5090'!$B$5:$H$43,IF(L276="F-15",2,IF(L276="F-30",3,IF(L276="F-60",4,IF(L276="F-90",5,IF(L276="F-120",6,IF(L276="F-150",7,0)))))),0),0)+IF(AND(O276="FIRE TEX 5090",OR(E276="IN",E276="C",E276="Z",E276="L"),J276=4),VLOOKUP(_xlfn.MINIFS('FIRE TEX 5090'!$J$5:$J$43,'FIRE TEX 5090'!$J$5:$J$43,"&gt;="&amp;M276),'FIRE TEX 5090'!$J$5:$P$43,IF(L276="F-15",2,IF(L276="F-30",3,IF(L276="F-60",4,IF(L276="F-90",5,IF(L276="F-120",6,IF(L276="F-150",7,0)))))),0),0)+IF(AND(O276="FIRE TEX 5090",E276="CJ",J276=3),VLOOKUP(_xlfn.MINIFS('FIRE TEX 5090'!$R$5:$R$30,'FIRE TEX 5090'!$R$5:$R$30,"&gt;="&amp;M276),'FIRE TEX 5090'!$R$5:$W$30,IF(L276="F-15",2,IF(L276="F-30",3,IF(L276="F-60",4,IF(L276="F-90",5,IF(L276="F-120",6,IF(L276="F-150",7,0)))))),0),0)+IF(AND(O276="FIRE TEX 5090",E276="CJ",J276=4),VLOOKUP(_xlfn.MINIFS('FIRE TEX 5090'!$Y$5:$Y$39,'FIRE TEX 5090'!$Y$5:$Y$39,"&gt;="&amp;M276),'FIRE TEX 5090'!$Y$5:$AD$39,IF(L276="F-15",2,IF(L276="F-30",3,IF(L276="F-60",4,IF(L276="F-90",5,IF(L276="F-120",6,IF(L276="F-150",7,0)))))),0),0)+IF(AND(O276="FIRE TEX 5120",OR(E276="IN",E276="C",E276="Z",E276="L"),J276=3),VLOOKUP(_xlfn.MINIFS('FIRE TEX 5120'!$B$5:$B$40,'FIRE TEX 5120'!$B$5:$B$40,"&gt;="&amp;M276),'FIRE TEX 5120'!$B$5:$G$40,IF(L276="F-15",2,IF(L276="F-30",3,IF(L276="F-60",4,IF(L276="F-90",5,IF(L276="F-120",6,0))))),0),0)+IF(AND(O276="FIRE TEX 5120",OR(E276="IN",E276="C",E276="Z",E276="L"),J276=4),VLOOKUP(_xlfn.MINIFS('FIRE TEX 5120'!$H$4:$H$40,'FIRE TEX 5120'!$H$4:$H$40,"&gt;="&amp;M276),'FIRE TEX 5120'!$H$4:$M$40,IF(L276="F-15",2,IF(L276="F-30",3,IF(L276="F-60",4,IF(L276="F-90",5,IF(L276="F-120",6,0))))),0),0)+IF(AND(O276="FIRE TEX 5120",E276="CJ"),VLOOKUP(_xlfn.MINIFS('FIRE TEX 5120'!$O$5:$O$40,'FIRE TEX 5120'!$O$5:$O$40,"&gt;="&amp;M276),'FIRE TEX 5120'!$O$5:$T$40,IF(L276="F-15",2,IF(L276="F-30",3,IF(L276="F-60",4,IF(L276="F-90",5,IF(L276="F-120",6,0))))),0),0)</f>
        <v>0</v>
      </c>
      <c r="Q276" s="46">
        <f t="shared" si="34"/>
        <v>0</v>
      </c>
      <c r="R276" s="46">
        <f t="shared" si="36"/>
        <v>0</v>
      </c>
      <c r="S276" s="46" t="e">
        <f t="shared" si="35"/>
        <v>#VALUE!</v>
      </c>
      <c r="T276" s="677">
        <f t="shared" si="37"/>
        <v>0</v>
      </c>
      <c r="U276" s="80">
        <f>(IF(O276="Stofire",(S276*#REF!),0))+(IF(O276="Fire Control",(S276*$U$2),0))+(IF(O276="Fire Tex",(S276*$U$3),0))+(IF(O276="WB7",(S276*#REF!),0)+(IF(O276="FX 2003",(S276*$U$5),0)))</f>
        <v>0</v>
      </c>
      <c r="V276" s="651">
        <f>_xlfn.CEILING.MATH(M276,10)</f>
        <v>0</v>
      </c>
      <c r="W276" s="4"/>
    </row>
    <row r="277" spans="1:23" x14ac:dyDescent="0.25">
      <c r="A277" s="652" t="s">
        <v>409</v>
      </c>
      <c r="B277" s="653" t="s">
        <v>410</v>
      </c>
      <c r="C277" s="1" t="s">
        <v>408</v>
      </c>
      <c r="D277" s="118">
        <f>+CUBICACION!D276</f>
        <v>0</v>
      </c>
      <c r="E277" s="118">
        <f>+CUBICACION!F276</f>
        <v>0</v>
      </c>
      <c r="F277" s="118">
        <f>+CUBICACION!E276</f>
        <v>0</v>
      </c>
      <c r="G277" s="118">
        <v>12</v>
      </c>
      <c r="H277" s="118">
        <v>2</v>
      </c>
      <c r="I277" s="820">
        <v>26385</v>
      </c>
      <c r="J277" s="118">
        <f>+CUBICACION!J276</f>
        <v>0</v>
      </c>
      <c r="K277" s="118">
        <v>3056</v>
      </c>
      <c r="L277" s="118">
        <f>+CUBICACION!L276</f>
        <v>0</v>
      </c>
      <c r="M277" s="64">
        <f>+CUBICACION!M276</f>
        <v>0</v>
      </c>
      <c r="N277" s="824" t="str">
        <f>+CUBICACION!N276</f>
        <v/>
      </c>
      <c r="O277" s="675">
        <f>+CUBICACION!O276</f>
        <v>0</v>
      </c>
      <c r="P277" s="15">
        <f>IF(O277="Fire Control",VLOOKUP(_xlfn.MINIFS('FIRE CONTROL'!$C$4:$C$37,'FIRE CONTROL'!$C$4:$C$37,"&gt;="&amp;M277),'FIRE CONTROL'!$C$4:$G$37,IF(L277="F-15",2,IF(L277="F-30",3,IF(L277="F-60",4,IF(L277="F-90",5,0)))),0),0)+IF(AND(O277="FIRE TEX 5062",OR(E277="IN",E277="C",E277="Z",E277="L"),J277=3),VLOOKUP(_xlfn.MINIFS('FIRE TEX 5062'!$B$4:$B$34,'FIRE TEX 5062'!$B$4:$B$34,"&gt;="&amp;M277),'FIRE TEX 5062'!$B$4:$F$34,IF(L277="F-15",2,IF(L277="F-30",3,IF(L277="F-60",4,IF(L277="F-90",5,0)))),0),0)+IF(AND(O277="FIRE TEX 5062",OR(E277="IN",E277="C",E277="Z",E277="L"),J277=4),VLOOKUP(_xlfn.MINIFS('FIRE TEX 5062'!$G$4:$G$34,'FIRE TEX 5062'!$G$4:$G$34,"&gt;="&amp;M277),'FIRE TEX 5062'!$G$4:$K$34,IF(L277="F-15",2,IF(L277="F-30",3,IF(L277="F-60",4,IF(L277="F-90",5,0)))),0),0)+IF(AND(O277="FIRE TEX 5062",E277="CJ",J277=3),VLOOKUP(_xlfn.MINIFS('FIRE TEX 5062'!$L$4:$L$34,'FIRE TEX 5062'!$L$4:$L$34,"&gt;="&amp;M277),'FIRE TEX 5062'!$L$4:$P$34,IF(L277="F-15",2,IF(L277="F-30",3,IF(L277="F-60",4,IF(L277="F-90",5,0)))),0),0)+IF(AND(O277="FIRE TEX 5062",E277="CJ",J277=4),VLOOKUP(_xlfn.MINIFS('FIRE TEX 5062'!$Q$3:$Q$34,'FIRE TEX 5062'!$Q$3:$Q$34,"&gt;="&amp;M277),'FIRE TEX 5062'!$Q$3:$U$34,IF(L277="F-15",2,IF(L277="F-30",3,IF(L277="F-60",4,IF(L277="F-90",5,0)))),0),0)+IF(AND(O277="FIRE TEX 5090",OR(E277="IN",E277="C",E277="Z",E277="L"),J277=3),VLOOKUP(_xlfn.MINIFS('FIRE TEX 5090'!$B$5:$B$43,'FIRE TEX 5090'!$B$5:$B$43,"&gt;="&amp;M277),'FIRE TEX 5090'!$B$5:$H$43,IF(L277="F-15",2,IF(L277="F-30",3,IF(L277="F-60",4,IF(L277="F-90",5,IF(L277="F-120",6,IF(L277="F-150",7,0)))))),0),0)+IF(AND(O277="FIRE TEX 5090",OR(E277="IN",E277="C",E277="Z",E277="L"),J277=4),VLOOKUP(_xlfn.MINIFS('FIRE TEX 5090'!$J$5:$J$43,'FIRE TEX 5090'!$J$5:$J$43,"&gt;="&amp;M277),'FIRE TEX 5090'!$J$5:$P$43,IF(L277="F-15",2,IF(L277="F-30",3,IF(L277="F-60",4,IF(L277="F-90",5,IF(L277="F-120",6,IF(L277="F-150",7,0)))))),0),0)+IF(AND(O277="FIRE TEX 5090",E277="CJ",J277=3),VLOOKUP(_xlfn.MINIFS('FIRE TEX 5090'!$R$5:$R$30,'FIRE TEX 5090'!$R$5:$R$30,"&gt;="&amp;M277),'FIRE TEX 5090'!$R$5:$W$30,IF(L277="F-15",2,IF(L277="F-30",3,IF(L277="F-60",4,IF(L277="F-90",5,IF(L277="F-120",6,IF(L277="F-150",7,0)))))),0),0)+IF(AND(O277="FIRE TEX 5090",E277="CJ",J277=4),VLOOKUP(_xlfn.MINIFS('FIRE TEX 5090'!$Y$5:$Y$39,'FIRE TEX 5090'!$Y$5:$Y$39,"&gt;="&amp;M277),'FIRE TEX 5090'!$Y$5:$AD$39,IF(L277="F-15",2,IF(L277="F-30",3,IF(L277="F-60",4,IF(L277="F-90",5,IF(L277="F-120",6,IF(L277="F-150",7,0)))))),0),0)+IF(AND(O277="FIRE TEX 5120",OR(E277="IN",E277="C",E277="Z",E277="L"),J277=3),VLOOKUP(_xlfn.MINIFS('FIRE TEX 5120'!$B$5:$B$40,'FIRE TEX 5120'!$B$5:$B$40,"&gt;="&amp;M277),'FIRE TEX 5120'!$B$5:$G$40,IF(L277="F-15",2,IF(L277="F-30",3,IF(L277="F-60",4,IF(L277="F-90",5,IF(L277="F-120",6,0))))),0),0)+IF(AND(O277="FIRE TEX 5120",OR(E277="IN",E277="C",E277="Z",E277="L"),J277=4),VLOOKUP(_xlfn.MINIFS('FIRE TEX 5120'!$H$4:$H$40,'FIRE TEX 5120'!$H$4:$H$40,"&gt;="&amp;M277),'FIRE TEX 5120'!$H$4:$M$40,IF(L277="F-15",2,IF(L277="F-30",3,IF(L277="F-60",4,IF(L277="F-90",5,IF(L277="F-120",6,0))))),0),0)+IF(AND(O277="FIRE TEX 5120",E277="CJ"),VLOOKUP(_xlfn.MINIFS('FIRE TEX 5120'!$O$5:$O$40,'FIRE TEX 5120'!$O$5:$O$40,"&gt;="&amp;M277),'FIRE TEX 5120'!$O$5:$T$40,IF(L277="F-15",2,IF(L277="F-30",3,IF(L277="F-60",4,IF(L277="F-90",5,IF(L277="F-120",6,0))))),0),0)</f>
        <v>0</v>
      </c>
      <c r="Q277" s="46">
        <f t="shared" si="34"/>
        <v>0</v>
      </c>
      <c r="R277" s="46">
        <f t="shared" si="36"/>
        <v>0</v>
      </c>
      <c r="S277" s="46" t="e">
        <f t="shared" si="35"/>
        <v>#VALUE!</v>
      </c>
      <c r="T277" s="677">
        <f t="shared" si="37"/>
        <v>0</v>
      </c>
      <c r="U277" s="80">
        <f>(IF(O277="Stofire",(S277*#REF!),0))+(IF(O277="Fire Control",(S277*$U$2),0))+(IF(O277="Fire Tex",(S277*$U$3),0))+(IF(O277="WB7",(S277*#REF!),0)+(IF(O277="FX 2003",(S277*$U$5),0)))</f>
        <v>0</v>
      </c>
      <c r="V277" s="651">
        <f t="shared" ref="V277:V289" si="39">_xlfn.CEILING.MATH(M277,10)</f>
        <v>0</v>
      </c>
      <c r="W277" s="4"/>
    </row>
    <row r="278" spans="1:23" x14ac:dyDescent="0.25">
      <c r="A278" s="652" t="s">
        <v>414</v>
      </c>
      <c r="B278" s="653" t="s">
        <v>415</v>
      </c>
      <c r="C278" s="1" t="s">
        <v>408</v>
      </c>
      <c r="D278" s="118">
        <f>+CUBICACION!D277</f>
        <v>0</v>
      </c>
      <c r="E278" s="118">
        <f>+CUBICACION!F277</f>
        <v>0</v>
      </c>
      <c r="F278" s="118">
        <f>+CUBICACION!E277</f>
        <v>0</v>
      </c>
      <c r="G278" s="118">
        <v>12</v>
      </c>
      <c r="H278" s="118">
        <v>2</v>
      </c>
      <c r="I278" s="820">
        <v>26385</v>
      </c>
      <c r="J278" s="118">
        <f>+CUBICACION!J277</f>
        <v>0</v>
      </c>
      <c r="K278" s="118">
        <v>3057</v>
      </c>
      <c r="L278" s="118">
        <f>+CUBICACION!L277</f>
        <v>0</v>
      </c>
      <c r="M278" s="64">
        <f>+CUBICACION!M277</f>
        <v>0</v>
      </c>
      <c r="N278" s="824" t="str">
        <f>+CUBICACION!N277</f>
        <v/>
      </c>
      <c r="O278" s="675">
        <f>+CUBICACION!O277</f>
        <v>0</v>
      </c>
      <c r="P278" s="15">
        <f>IF(O278="Fire Control",VLOOKUP(_xlfn.MINIFS('FIRE CONTROL'!$C$4:$C$37,'FIRE CONTROL'!$C$4:$C$37,"&gt;="&amp;M278),'FIRE CONTROL'!$C$4:$G$37,IF(L278="F-15",2,IF(L278="F-30",3,IF(L278="F-60",4,IF(L278="F-90",5,0)))),0),0)+IF(AND(O278="FIRE TEX 5062",OR(E278="IN",E278="C",E278="Z",E278="L"),J278=3),VLOOKUP(_xlfn.MINIFS('FIRE TEX 5062'!$B$4:$B$34,'FIRE TEX 5062'!$B$4:$B$34,"&gt;="&amp;M278),'FIRE TEX 5062'!$B$4:$F$34,IF(L278="F-15",2,IF(L278="F-30",3,IF(L278="F-60",4,IF(L278="F-90",5,0)))),0),0)+IF(AND(O278="FIRE TEX 5062",OR(E278="IN",E278="C",E278="Z",E278="L"),J278=4),VLOOKUP(_xlfn.MINIFS('FIRE TEX 5062'!$G$4:$G$34,'FIRE TEX 5062'!$G$4:$G$34,"&gt;="&amp;M278),'FIRE TEX 5062'!$G$4:$K$34,IF(L278="F-15",2,IF(L278="F-30",3,IF(L278="F-60",4,IF(L278="F-90",5,0)))),0),0)+IF(AND(O278="FIRE TEX 5062",E278="CJ",J278=3),VLOOKUP(_xlfn.MINIFS('FIRE TEX 5062'!$L$4:$L$34,'FIRE TEX 5062'!$L$4:$L$34,"&gt;="&amp;M278),'FIRE TEX 5062'!$L$4:$P$34,IF(L278="F-15",2,IF(L278="F-30",3,IF(L278="F-60",4,IF(L278="F-90",5,0)))),0),0)+IF(AND(O278="FIRE TEX 5062",E278="CJ",J278=4),VLOOKUP(_xlfn.MINIFS('FIRE TEX 5062'!$Q$3:$Q$34,'FIRE TEX 5062'!$Q$3:$Q$34,"&gt;="&amp;M278),'FIRE TEX 5062'!$Q$3:$U$34,IF(L278="F-15",2,IF(L278="F-30",3,IF(L278="F-60",4,IF(L278="F-90",5,0)))),0),0)+IF(AND(O278="FIRE TEX 5090",OR(E278="IN",E278="C",E278="Z",E278="L"),J278=3),VLOOKUP(_xlfn.MINIFS('FIRE TEX 5090'!$B$5:$B$43,'FIRE TEX 5090'!$B$5:$B$43,"&gt;="&amp;M278),'FIRE TEX 5090'!$B$5:$H$43,IF(L278="F-15",2,IF(L278="F-30",3,IF(L278="F-60",4,IF(L278="F-90",5,IF(L278="F-120",6,IF(L278="F-150",7,0)))))),0),0)+IF(AND(O278="FIRE TEX 5090",OR(E278="IN",E278="C",E278="Z",E278="L"),J278=4),VLOOKUP(_xlfn.MINIFS('FIRE TEX 5090'!$J$5:$J$43,'FIRE TEX 5090'!$J$5:$J$43,"&gt;="&amp;M278),'FIRE TEX 5090'!$J$5:$P$43,IF(L278="F-15",2,IF(L278="F-30",3,IF(L278="F-60",4,IF(L278="F-90",5,IF(L278="F-120",6,IF(L278="F-150",7,0)))))),0),0)+IF(AND(O278="FIRE TEX 5090",E278="CJ",J278=3),VLOOKUP(_xlfn.MINIFS('FIRE TEX 5090'!$R$5:$R$30,'FIRE TEX 5090'!$R$5:$R$30,"&gt;="&amp;M278),'FIRE TEX 5090'!$R$5:$W$30,IF(L278="F-15",2,IF(L278="F-30",3,IF(L278="F-60",4,IF(L278="F-90",5,IF(L278="F-120",6,IF(L278="F-150",7,0)))))),0),0)+IF(AND(O278="FIRE TEX 5090",E278="CJ",J278=4),VLOOKUP(_xlfn.MINIFS('FIRE TEX 5090'!$Y$5:$Y$39,'FIRE TEX 5090'!$Y$5:$Y$39,"&gt;="&amp;M278),'FIRE TEX 5090'!$Y$5:$AD$39,IF(L278="F-15",2,IF(L278="F-30",3,IF(L278="F-60",4,IF(L278="F-90",5,IF(L278="F-120",6,IF(L278="F-150",7,0)))))),0),0)+IF(AND(O278="FIRE TEX 5120",OR(E278="IN",E278="C",E278="Z",E278="L"),J278=3),VLOOKUP(_xlfn.MINIFS('FIRE TEX 5120'!$B$5:$B$40,'FIRE TEX 5120'!$B$5:$B$40,"&gt;="&amp;M278),'FIRE TEX 5120'!$B$5:$G$40,IF(L278="F-15",2,IF(L278="F-30",3,IF(L278="F-60",4,IF(L278="F-90",5,IF(L278="F-120",6,0))))),0),0)+IF(AND(O278="FIRE TEX 5120",OR(E278="IN",E278="C",E278="Z",E278="L"),J278=4),VLOOKUP(_xlfn.MINIFS('FIRE TEX 5120'!$H$4:$H$40,'FIRE TEX 5120'!$H$4:$H$40,"&gt;="&amp;M278),'FIRE TEX 5120'!$H$4:$M$40,IF(L278="F-15",2,IF(L278="F-30",3,IF(L278="F-60",4,IF(L278="F-90",5,IF(L278="F-120",6,0))))),0),0)+IF(AND(O278="FIRE TEX 5120",E278="CJ"),VLOOKUP(_xlfn.MINIFS('FIRE TEX 5120'!$O$5:$O$40,'FIRE TEX 5120'!$O$5:$O$40,"&gt;="&amp;M278),'FIRE TEX 5120'!$O$5:$T$40,IF(L278="F-15",2,IF(L278="F-30",3,IF(L278="F-60",4,IF(L278="F-90",5,IF(L278="F-120",6,0))))),0),0)</f>
        <v>0</v>
      </c>
      <c r="Q278" s="46">
        <f t="shared" si="34"/>
        <v>0</v>
      </c>
      <c r="R278" s="46">
        <f t="shared" si="36"/>
        <v>0</v>
      </c>
      <c r="S278" s="46" t="e">
        <f t="shared" si="35"/>
        <v>#VALUE!</v>
      </c>
      <c r="T278" s="677">
        <f t="shared" si="37"/>
        <v>0</v>
      </c>
      <c r="U278" s="80">
        <f>(IF(O278="Stofire",(S278*#REF!),0))+(IF(O278="Fire Control",(S278*$U$2),0))+(IF(O278="Fire Tex",(S278*$U$3),0))+(IF(O278="WB7",(S278*#REF!),0)+(IF(O278="FX 2003",(S278*$U$5),0)))</f>
        <v>0</v>
      </c>
      <c r="V278" s="651">
        <f t="shared" si="39"/>
        <v>0</v>
      </c>
      <c r="W278" s="4"/>
    </row>
    <row r="279" spans="1:23" x14ac:dyDescent="0.25">
      <c r="A279" s="652" t="s">
        <v>417</v>
      </c>
      <c r="B279" s="653" t="s">
        <v>415</v>
      </c>
      <c r="C279" s="1" t="s">
        <v>408</v>
      </c>
      <c r="D279" s="118">
        <f>+CUBICACION!D278</f>
        <v>0</v>
      </c>
      <c r="E279" s="118">
        <f>+CUBICACION!F278</f>
        <v>0</v>
      </c>
      <c r="F279" s="118">
        <f>+CUBICACION!E278</f>
        <v>0</v>
      </c>
      <c r="G279" s="118">
        <v>12</v>
      </c>
      <c r="H279" s="118">
        <v>2</v>
      </c>
      <c r="I279" s="820">
        <v>26385</v>
      </c>
      <c r="J279" s="118">
        <f>+CUBICACION!J278</f>
        <v>0</v>
      </c>
      <c r="K279" s="118">
        <v>3058</v>
      </c>
      <c r="L279" s="118">
        <f>+CUBICACION!L278</f>
        <v>0</v>
      </c>
      <c r="M279" s="64">
        <f>+CUBICACION!M278</f>
        <v>0</v>
      </c>
      <c r="N279" s="824" t="str">
        <f>+CUBICACION!N278</f>
        <v/>
      </c>
      <c r="O279" s="675">
        <f>+CUBICACION!O278</f>
        <v>0</v>
      </c>
      <c r="P279" s="15">
        <f>IF(O279="Fire Control",VLOOKUP(_xlfn.MINIFS('FIRE CONTROL'!$C$4:$C$37,'FIRE CONTROL'!$C$4:$C$37,"&gt;="&amp;M279),'FIRE CONTROL'!$C$4:$G$37,IF(L279="F-15",2,IF(L279="F-30",3,IF(L279="F-60",4,IF(L279="F-90",5,0)))),0),0)+IF(AND(O279="FIRE TEX 5062",OR(E279="IN",E279="C",E279="Z",E279="L"),J279=3),VLOOKUP(_xlfn.MINIFS('FIRE TEX 5062'!$B$4:$B$34,'FIRE TEX 5062'!$B$4:$B$34,"&gt;="&amp;M279),'FIRE TEX 5062'!$B$4:$F$34,IF(L279="F-15",2,IF(L279="F-30",3,IF(L279="F-60",4,IF(L279="F-90",5,0)))),0),0)+IF(AND(O279="FIRE TEX 5062",OR(E279="IN",E279="C",E279="Z",E279="L"),J279=4),VLOOKUP(_xlfn.MINIFS('FIRE TEX 5062'!$G$4:$G$34,'FIRE TEX 5062'!$G$4:$G$34,"&gt;="&amp;M279),'FIRE TEX 5062'!$G$4:$K$34,IF(L279="F-15",2,IF(L279="F-30",3,IF(L279="F-60",4,IF(L279="F-90",5,0)))),0),0)+IF(AND(O279="FIRE TEX 5062",E279="CJ",J279=3),VLOOKUP(_xlfn.MINIFS('FIRE TEX 5062'!$L$4:$L$34,'FIRE TEX 5062'!$L$4:$L$34,"&gt;="&amp;M279),'FIRE TEX 5062'!$L$4:$P$34,IF(L279="F-15",2,IF(L279="F-30",3,IF(L279="F-60",4,IF(L279="F-90",5,0)))),0),0)+IF(AND(O279="FIRE TEX 5062",E279="CJ",J279=4),VLOOKUP(_xlfn.MINIFS('FIRE TEX 5062'!$Q$3:$Q$34,'FIRE TEX 5062'!$Q$3:$Q$34,"&gt;="&amp;M279),'FIRE TEX 5062'!$Q$3:$U$34,IF(L279="F-15",2,IF(L279="F-30",3,IF(L279="F-60",4,IF(L279="F-90",5,0)))),0),0)+IF(AND(O279="FIRE TEX 5090",OR(E279="IN",E279="C",E279="Z",E279="L"),J279=3),VLOOKUP(_xlfn.MINIFS('FIRE TEX 5090'!$B$5:$B$43,'FIRE TEX 5090'!$B$5:$B$43,"&gt;="&amp;M279),'FIRE TEX 5090'!$B$5:$H$43,IF(L279="F-15",2,IF(L279="F-30",3,IF(L279="F-60",4,IF(L279="F-90",5,IF(L279="F-120",6,IF(L279="F-150",7,0)))))),0),0)+IF(AND(O279="FIRE TEX 5090",OR(E279="IN",E279="C",E279="Z",E279="L"),J279=4),VLOOKUP(_xlfn.MINIFS('FIRE TEX 5090'!$J$5:$J$43,'FIRE TEX 5090'!$J$5:$J$43,"&gt;="&amp;M279),'FIRE TEX 5090'!$J$5:$P$43,IF(L279="F-15",2,IF(L279="F-30",3,IF(L279="F-60",4,IF(L279="F-90",5,IF(L279="F-120",6,IF(L279="F-150",7,0)))))),0),0)+IF(AND(O279="FIRE TEX 5090",E279="CJ",J279=3),VLOOKUP(_xlfn.MINIFS('FIRE TEX 5090'!$R$5:$R$30,'FIRE TEX 5090'!$R$5:$R$30,"&gt;="&amp;M279),'FIRE TEX 5090'!$R$5:$W$30,IF(L279="F-15",2,IF(L279="F-30",3,IF(L279="F-60",4,IF(L279="F-90",5,IF(L279="F-120",6,IF(L279="F-150",7,0)))))),0),0)+IF(AND(O279="FIRE TEX 5090",E279="CJ",J279=4),VLOOKUP(_xlfn.MINIFS('FIRE TEX 5090'!$Y$5:$Y$39,'FIRE TEX 5090'!$Y$5:$Y$39,"&gt;="&amp;M279),'FIRE TEX 5090'!$Y$5:$AD$39,IF(L279="F-15",2,IF(L279="F-30",3,IF(L279="F-60",4,IF(L279="F-90",5,IF(L279="F-120",6,IF(L279="F-150",7,0)))))),0),0)+IF(AND(O279="FIRE TEX 5120",OR(E279="IN",E279="C",E279="Z",E279="L"),J279=3),VLOOKUP(_xlfn.MINIFS('FIRE TEX 5120'!$B$5:$B$40,'FIRE TEX 5120'!$B$5:$B$40,"&gt;="&amp;M279),'FIRE TEX 5120'!$B$5:$G$40,IF(L279="F-15",2,IF(L279="F-30",3,IF(L279="F-60",4,IF(L279="F-90",5,IF(L279="F-120",6,0))))),0),0)+IF(AND(O279="FIRE TEX 5120",OR(E279="IN",E279="C",E279="Z",E279="L"),J279=4),VLOOKUP(_xlfn.MINIFS('FIRE TEX 5120'!$H$4:$H$40,'FIRE TEX 5120'!$H$4:$H$40,"&gt;="&amp;M279),'FIRE TEX 5120'!$H$4:$M$40,IF(L279="F-15",2,IF(L279="F-30",3,IF(L279="F-60",4,IF(L279="F-90",5,IF(L279="F-120",6,0))))),0),0)+IF(AND(O279="FIRE TEX 5120",E279="CJ"),VLOOKUP(_xlfn.MINIFS('FIRE TEX 5120'!$O$5:$O$40,'FIRE TEX 5120'!$O$5:$O$40,"&gt;="&amp;M279),'FIRE TEX 5120'!$O$5:$T$40,IF(L279="F-15",2,IF(L279="F-30",3,IF(L279="F-60",4,IF(L279="F-90",5,IF(L279="F-120",6,0))))),0),0)</f>
        <v>0</v>
      </c>
      <c r="Q279" s="46">
        <f t="shared" si="34"/>
        <v>0</v>
      </c>
      <c r="R279" s="46">
        <f t="shared" si="36"/>
        <v>0</v>
      </c>
      <c r="S279" s="46" t="e">
        <f t="shared" si="35"/>
        <v>#VALUE!</v>
      </c>
      <c r="T279" s="677">
        <f t="shared" si="37"/>
        <v>0</v>
      </c>
      <c r="U279" s="80">
        <f>(IF(O279="Stofire",(S279*#REF!),0))+(IF(O279="Fire Control",(S279*$U$2),0))+(IF(O279="Fire Tex",(S279*$U$3),0))+(IF(O279="WB7",(S279*#REF!),0)+(IF(O279="FX 2003",(S279*$U$5),0)))</f>
        <v>0</v>
      </c>
      <c r="V279" s="651">
        <f t="shared" si="39"/>
        <v>0</v>
      </c>
      <c r="W279" s="4"/>
    </row>
    <row r="280" spans="1:23" x14ac:dyDescent="0.25">
      <c r="A280" s="652" t="s">
        <v>419</v>
      </c>
      <c r="B280" s="653" t="s">
        <v>415</v>
      </c>
      <c r="C280" s="1" t="s">
        <v>408</v>
      </c>
      <c r="D280" s="118">
        <f>+CUBICACION!D279</f>
        <v>0</v>
      </c>
      <c r="E280" s="118">
        <f>+CUBICACION!F279</f>
        <v>0</v>
      </c>
      <c r="F280" s="118">
        <f>+CUBICACION!E279</f>
        <v>0</v>
      </c>
      <c r="G280" s="118">
        <v>12</v>
      </c>
      <c r="H280" s="118">
        <v>2</v>
      </c>
      <c r="I280" s="820">
        <v>26385</v>
      </c>
      <c r="J280" s="118">
        <f>+CUBICACION!J279</f>
        <v>0</v>
      </c>
      <c r="K280" s="118">
        <v>3059</v>
      </c>
      <c r="L280" s="118">
        <f>+CUBICACION!L279</f>
        <v>0</v>
      </c>
      <c r="M280" s="64">
        <f>+CUBICACION!M279</f>
        <v>0</v>
      </c>
      <c r="N280" s="824" t="str">
        <f>+CUBICACION!N279</f>
        <v/>
      </c>
      <c r="O280" s="675">
        <f>+CUBICACION!O279</f>
        <v>0</v>
      </c>
      <c r="P280" s="15">
        <f>IF(O280="Fire Control",VLOOKUP(_xlfn.MINIFS('FIRE CONTROL'!$C$4:$C$37,'FIRE CONTROL'!$C$4:$C$37,"&gt;="&amp;M280),'FIRE CONTROL'!$C$4:$G$37,IF(L280="F-15",2,IF(L280="F-30",3,IF(L280="F-60",4,IF(L280="F-90",5,0)))),0),0)+IF(AND(O280="FIRE TEX 5062",OR(E280="IN",E280="C",E280="Z",E280="L"),J280=3),VLOOKUP(_xlfn.MINIFS('FIRE TEX 5062'!$B$4:$B$34,'FIRE TEX 5062'!$B$4:$B$34,"&gt;="&amp;M280),'FIRE TEX 5062'!$B$4:$F$34,IF(L280="F-15",2,IF(L280="F-30",3,IF(L280="F-60",4,IF(L280="F-90",5,0)))),0),0)+IF(AND(O280="FIRE TEX 5062",OR(E280="IN",E280="C",E280="Z",E280="L"),J280=4),VLOOKUP(_xlfn.MINIFS('FIRE TEX 5062'!$G$4:$G$34,'FIRE TEX 5062'!$G$4:$G$34,"&gt;="&amp;M280),'FIRE TEX 5062'!$G$4:$K$34,IF(L280="F-15",2,IF(L280="F-30",3,IF(L280="F-60",4,IF(L280="F-90",5,0)))),0),0)+IF(AND(O280="FIRE TEX 5062",E280="CJ",J280=3),VLOOKUP(_xlfn.MINIFS('FIRE TEX 5062'!$L$4:$L$34,'FIRE TEX 5062'!$L$4:$L$34,"&gt;="&amp;M280),'FIRE TEX 5062'!$L$4:$P$34,IF(L280="F-15",2,IF(L280="F-30",3,IF(L280="F-60",4,IF(L280="F-90",5,0)))),0),0)+IF(AND(O280="FIRE TEX 5062",E280="CJ",J280=4),VLOOKUP(_xlfn.MINIFS('FIRE TEX 5062'!$Q$3:$Q$34,'FIRE TEX 5062'!$Q$3:$Q$34,"&gt;="&amp;M280),'FIRE TEX 5062'!$Q$3:$U$34,IF(L280="F-15",2,IF(L280="F-30",3,IF(L280="F-60",4,IF(L280="F-90",5,0)))),0),0)+IF(AND(O280="FIRE TEX 5090",OR(E280="IN",E280="C",E280="Z",E280="L"),J280=3),VLOOKUP(_xlfn.MINIFS('FIRE TEX 5090'!$B$5:$B$43,'FIRE TEX 5090'!$B$5:$B$43,"&gt;="&amp;M280),'FIRE TEX 5090'!$B$5:$H$43,IF(L280="F-15",2,IF(L280="F-30",3,IF(L280="F-60",4,IF(L280="F-90",5,IF(L280="F-120",6,IF(L280="F-150",7,0)))))),0),0)+IF(AND(O280="FIRE TEX 5090",OR(E280="IN",E280="C",E280="Z",E280="L"),J280=4),VLOOKUP(_xlfn.MINIFS('FIRE TEX 5090'!$J$5:$J$43,'FIRE TEX 5090'!$J$5:$J$43,"&gt;="&amp;M280),'FIRE TEX 5090'!$J$5:$P$43,IF(L280="F-15",2,IF(L280="F-30",3,IF(L280="F-60",4,IF(L280="F-90",5,IF(L280="F-120",6,IF(L280="F-150",7,0)))))),0),0)+IF(AND(O280="FIRE TEX 5090",E280="CJ",J280=3),VLOOKUP(_xlfn.MINIFS('FIRE TEX 5090'!$R$5:$R$30,'FIRE TEX 5090'!$R$5:$R$30,"&gt;="&amp;M280),'FIRE TEX 5090'!$R$5:$W$30,IF(L280="F-15",2,IF(L280="F-30",3,IF(L280="F-60",4,IF(L280="F-90",5,IF(L280="F-120",6,IF(L280="F-150",7,0)))))),0),0)+IF(AND(O280="FIRE TEX 5090",E280="CJ",J280=4),VLOOKUP(_xlfn.MINIFS('FIRE TEX 5090'!$Y$5:$Y$39,'FIRE TEX 5090'!$Y$5:$Y$39,"&gt;="&amp;M280),'FIRE TEX 5090'!$Y$5:$AD$39,IF(L280="F-15",2,IF(L280="F-30",3,IF(L280="F-60",4,IF(L280="F-90",5,IF(L280="F-120",6,IF(L280="F-150",7,0)))))),0),0)+IF(AND(O280="FIRE TEX 5120",OR(E280="IN",E280="C",E280="Z",E280="L"),J280=3),VLOOKUP(_xlfn.MINIFS('FIRE TEX 5120'!$B$5:$B$40,'FIRE TEX 5120'!$B$5:$B$40,"&gt;="&amp;M280),'FIRE TEX 5120'!$B$5:$G$40,IF(L280="F-15",2,IF(L280="F-30",3,IF(L280="F-60",4,IF(L280="F-90",5,IF(L280="F-120",6,0))))),0),0)+IF(AND(O280="FIRE TEX 5120",OR(E280="IN",E280="C",E280="Z",E280="L"),J280=4),VLOOKUP(_xlfn.MINIFS('FIRE TEX 5120'!$H$4:$H$40,'FIRE TEX 5120'!$H$4:$H$40,"&gt;="&amp;M280),'FIRE TEX 5120'!$H$4:$M$40,IF(L280="F-15",2,IF(L280="F-30",3,IF(L280="F-60",4,IF(L280="F-90",5,IF(L280="F-120",6,0))))),0),0)+IF(AND(O280="FIRE TEX 5120",E280="CJ"),VLOOKUP(_xlfn.MINIFS('FIRE TEX 5120'!$O$5:$O$40,'FIRE TEX 5120'!$O$5:$O$40,"&gt;="&amp;M280),'FIRE TEX 5120'!$O$5:$T$40,IF(L280="F-15",2,IF(L280="F-30",3,IF(L280="F-60",4,IF(L280="F-90",5,IF(L280="F-120",6,0))))),0),0)</f>
        <v>0</v>
      </c>
      <c r="Q280" s="46">
        <f t="shared" si="34"/>
        <v>0</v>
      </c>
      <c r="R280" s="46">
        <f t="shared" si="36"/>
        <v>0</v>
      </c>
      <c r="S280" s="46" t="e">
        <f t="shared" si="35"/>
        <v>#VALUE!</v>
      </c>
      <c r="T280" s="677">
        <f t="shared" si="37"/>
        <v>0</v>
      </c>
      <c r="U280" s="80">
        <f>(IF(O280="Stofire",(S280*#REF!),0))+(IF(O280="Fire Control",(S280*$U$2),0))+(IF(O280="Fire Tex",(S280*$U$3),0))+(IF(O280="WB7",(S280*#REF!),0)+(IF(O280="FX 2003",(S280*$U$5),0)))</f>
        <v>0</v>
      </c>
      <c r="V280" s="651">
        <f t="shared" si="39"/>
        <v>0</v>
      </c>
      <c r="W280" s="4"/>
    </row>
    <row r="281" spans="1:23" x14ac:dyDescent="0.25">
      <c r="A281" s="652" t="s">
        <v>421</v>
      </c>
      <c r="B281" s="653" t="s">
        <v>422</v>
      </c>
      <c r="C281" s="1" t="s">
        <v>423</v>
      </c>
      <c r="D281" s="118">
        <f>+CUBICACION!D280</f>
        <v>0</v>
      </c>
      <c r="E281" s="118">
        <f>+CUBICACION!F280</f>
        <v>0</v>
      </c>
      <c r="F281" s="118">
        <f>+CUBICACION!E280</f>
        <v>0</v>
      </c>
      <c r="G281" s="118">
        <v>12</v>
      </c>
      <c r="H281" s="118">
        <v>2</v>
      </c>
      <c r="I281" s="820">
        <v>26385</v>
      </c>
      <c r="J281" s="118">
        <f>+CUBICACION!J280</f>
        <v>0</v>
      </c>
      <c r="K281" s="118">
        <v>3060</v>
      </c>
      <c r="L281" s="118">
        <f>+CUBICACION!L280</f>
        <v>0</v>
      </c>
      <c r="M281" s="64">
        <f>+CUBICACION!M280</f>
        <v>0</v>
      </c>
      <c r="N281" s="824" t="str">
        <f>+CUBICACION!N280</f>
        <v/>
      </c>
      <c r="O281" s="675">
        <f>+CUBICACION!O280</f>
        <v>0</v>
      </c>
      <c r="P281" s="15">
        <f>IF(O281="Fire Control",VLOOKUP(_xlfn.MINIFS('FIRE CONTROL'!$C$4:$C$37,'FIRE CONTROL'!$C$4:$C$37,"&gt;="&amp;M281),'FIRE CONTROL'!$C$4:$G$37,IF(L281="F-15",2,IF(L281="F-30",3,IF(L281="F-60",4,IF(L281="F-90",5,0)))),0),0)+IF(AND(O281="FIRE TEX 5062",OR(E281="IN",E281="C",E281="Z",E281="L"),J281=3),VLOOKUP(_xlfn.MINIFS('FIRE TEX 5062'!$B$4:$B$34,'FIRE TEX 5062'!$B$4:$B$34,"&gt;="&amp;M281),'FIRE TEX 5062'!$B$4:$F$34,IF(L281="F-15",2,IF(L281="F-30",3,IF(L281="F-60",4,IF(L281="F-90",5,0)))),0),0)+IF(AND(O281="FIRE TEX 5062",OR(E281="IN",E281="C",E281="Z",E281="L"),J281=4),VLOOKUP(_xlfn.MINIFS('FIRE TEX 5062'!$G$4:$G$34,'FIRE TEX 5062'!$G$4:$G$34,"&gt;="&amp;M281),'FIRE TEX 5062'!$G$4:$K$34,IF(L281="F-15",2,IF(L281="F-30",3,IF(L281="F-60",4,IF(L281="F-90",5,0)))),0),0)+IF(AND(O281="FIRE TEX 5062",E281="CJ",J281=3),VLOOKUP(_xlfn.MINIFS('FIRE TEX 5062'!$L$4:$L$34,'FIRE TEX 5062'!$L$4:$L$34,"&gt;="&amp;M281),'FIRE TEX 5062'!$L$4:$P$34,IF(L281="F-15",2,IF(L281="F-30",3,IF(L281="F-60",4,IF(L281="F-90",5,0)))),0),0)+IF(AND(O281="FIRE TEX 5062",E281="CJ",J281=4),VLOOKUP(_xlfn.MINIFS('FIRE TEX 5062'!$Q$3:$Q$34,'FIRE TEX 5062'!$Q$3:$Q$34,"&gt;="&amp;M281),'FIRE TEX 5062'!$Q$3:$U$34,IF(L281="F-15",2,IF(L281="F-30",3,IF(L281="F-60",4,IF(L281="F-90",5,0)))),0),0)+IF(AND(O281="FIRE TEX 5090",OR(E281="IN",E281="C",E281="Z",E281="L"),J281=3),VLOOKUP(_xlfn.MINIFS('FIRE TEX 5090'!$B$5:$B$43,'FIRE TEX 5090'!$B$5:$B$43,"&gt;="&amp;M281),'FIRE TEX 5090'!$B$5:$H$43,IF(L281="F-15",2,IF(L281="F-30",3,IF(L281="F-60",4,IF(L281="F-90",5,IF(L281="F-120",6,IF(L281="F-150",7,0)))))),0),0)+IF(AND(O281="FIRE TEX 5090",OR(E281="IN",E281="C",E281="Z",E281="L"),J281=4),VLOOKUP(_xlfn.MINIFS('FIRE TEX 5090'!$J$5:$J$43,'FIRE TEX 5090'!$J$5:$J$43,"&gt;="&amp;M281),'FIRE TEX 5090'!$J$5:$P$43,IF(L281="F-15",2,IF(L281="F-30",3,IF(L281="F-60",4,IF(L281="F-90",5,IF(L281="F-120",6,IF(L281="F-150",7,0)))))),0),0)+IF(AND(O281="FIRE TEX 5090",E281="CJ",J281=3),VLOOKUP(_xlfn.MINIFS('FIRE TEX 5090'!$R$5:$R$30,'FIRE TEX 5090'!$R$5:$R$30,"&gt;="&amp;M281),'FIRE TEX 5090'!$R$5:$W$30,IF(L281="F-15",2,IF(L281="F-30",3,IF(L281="F-60",4,IF(L281="F-90",5,IF(L281="F-120",6,IF(L281="F-150",7,0)))))),0),0)+IF(AND(O281="FIRE TEX 5090",E281="CJ",J281=4),VLOOKUP(_xlfn.MINIFS('FIRE TEX 5090'!$Y$5:$Y$39,'FIRE TEX 5090'!$Y$5:$Y$39,"&gt;="&amp;M281),'FIRE TEX 5090'!$Y$5:$AD$39,IF(L281="F-15",2,IF(L281="F-30",3,IF(L281="F-60",4,IF(L281="F-90",5,IF(L281="F-120",6,IF(L281="F-150",7,0)))))),0),0)+IF(AND(O281="FIRE TEX 5120",OR(E281="IN",E281="C",E281="Z",E281="L"),J281=3),VLOOKUP(_xlfn.MINIFS('FIRE TEX 5120'!$B$5:$B$40,'FIRE TEX 5120'!$B$5:$B$40,"&gt;="&amp;M281),'FIRE TEX 5120'!$B$5:$G$40,IF(L281="F-15",2,IF(L281="F-30",3,IF(L281="F-60",4,IF(L281="F-90",5,IF(L281="F-120",6,0))))),0),0)+IF(AND(O281="FIRE TEX 5120",OR(E281="IN",E281="C",E281="Z",E281="L"),J281=4),VLOOKUP(_xlfn.MINIFS('FIRE TEX 5120'!$H$4:$H$40,'FIRE TEX 5120'!$H$4:$H$40,"&gt;="&amp;M281),'FIRE TEX 5120'!$H$4:$M$40,IF(L281="F-15",2,IF(L281="F-30",3,IF(L281="F-60",4,IF(L281="F-90",5,IF(L281="F-120",6,0))))),0),0)+IF(AND(O281="FIRE TEX 5120",E281="CJ"),VLOOKUP(_xlfn.MINIFS('FIRE TEX 5120'!$O$5:$O$40,'FIRE TEX 5120'!$O$5:$O$40,"&gt;="&amp;M281),'FIRE TEX 5120'!$O$5:$T$40,IF(L281="F-15",2,IF(L281="F-30",3,IF(L281="F-60",4,IF(L281="F-90",5,IF(L281="F-120",6,0))))),0),0)</f>
        <v>0</v>
      </c>
      <c r="Q281" s="46">
        <f t="shared" si="34"/>
        <v>0</v>
      </c>
      <c r="R281" s="46">
        <f t="shared" si="36"/>
        <v>0</v>
      </c>
      <c r="S281" s="46" t="e">
        <f t="shared" si="35"/>
        <v>#VALUE!</v>
      </c>
      <c r="T281" s="677">
        <f t="shared" si="37"/>
        <v>0</v>
      </c>
      <c r="U281" s="80">
        <f>(IF(O281="Stofire",(S281*#REF!),0))+(IF(O281="Fire Control",(S281*$U$2),0))+(IF(O281="Fire Tex",(S281*$U$3),0))+(IF(O281="WB7",(S281*#REF!),0)+(IF(O281="FX 2003",(S281*$U$5),0)))</f>
        <v>0</v>
      </c>
      <c r="V281" s="651">
        <f t="shared" si="39"/>
        <v>0</v>
      </c>
      <c r="W281" s="4"/>
    </row>
    <row r="282" spans="1:23" x14ac:dyDescent="0.25">
      <c r="A282" s="652" t="s">
        <v>425</v>
      </c>
      <c r="B282" s="653" t="s">
        <v>426</v>
      </c>
      <c r="C282" s="1" t="s">
        <v>427</v>
      </c>
      <c r="D282" s="118">
        <f>+CUBICACION!D281</f>
        <v>0</v>
      </c>
      <c r="E282" s="118">
        <f>+CUBICACION!F281</f>
        <v>0</v>
      </c>
      <c r="F282" s="118">
        <f>+CUBICACION!E281</f>
        <v>0</v>
      </c>
      <c r="G282" s="118">
        <v>12</v>
      </c>
      <c r="H282" s="118">
        <v>2</v>
      </c>
      <c r="I282" s="820">
        <v>26385</v>
      </c>
      <c r="J282" s="118">
        <f>+CUBICACION!J281</f>
        <v>0</v>
      </c>
      <c r="K282" s="118">
        <v>3061</v>
      </c>
      <c r="L282" s="118">
        <f>+CUBICACION!L281</f>
        <v>0</v>
      </c>
      <c r="M282" s="64">
        <f>+CUBICACION!M281</f>
        <v>0</v>
      </c>
      <c r="N282" s="824" t="str">
        <f>+CUBICACION!N281</f>
        <v/>
      </c>
      <c r="O282" s="675">
        <f>+CUBICACION!O281</f>
        <v>0</v>
      </c>
      <c r="P282" s="15">
        <f>IF(O282="Fire Control",VLOOKUP(_xlfn.MINIFS('FIRE CONTROL'!$C$4:$C$37,'FIRE CONTROL'!$C$4:$C$37,"&gt;="&amp;M282),'FIRE CONTROL'!$C$4:$G$37,IF(L282="F-15",2,IF(L282="F-30",3,IF(L282="F-60",4,IF(L282="F-90",5,0)))),0),0)+IF(AND(O282="FIRE TEX 5062",OR(E282="IN",E282="C",E282="Z",E282="L"),J282=3),VLOOKUP(_xlfn.MINIFS('FIRE TEX 5062'!$B$4:$B$34,'FIRE TEX 5062'!$B$4:$B$34,"&gt;="&amp;M282),'FIRE TEX 5062'!$B$4:$F$34,IF(L282="F-15",2,IF(L282="F-30",3,IF(L282="F-60",4,IF(L282="F-90",5,0)))),0),0)+IF(AND(O282="FIRE TEX 5062",OR(E282="IN",E282="C",E282="Z",E282="L"),J282=4),VLOOKUP(_xlfn.MINIFS('FIRE TEX 5062'!$G$4:$G$34,'FIRE TEX 5062'!$G$4:$G$34,"&gt;="&amp;M282),'FIRE TEX 5062'!$G$4:$K$34,IF(L282="F-15",2,IF(L282="F-30",3,IF(L282="F-60",4,IF(L282="F-90",5,0)))),0),0)+IF(AND(O282="FIRE TEX 5062",E282="CJ",J282=3),VLOOKUP(_xlfn.MINIFS('FIRE TEX 5062'!$L$4:$L$34,'FIRE TEX 5062'!$L$4:$L$34,"&gt;="&amp;M282),'FIRE TEX 5062'!$L$4:$P$34,IF(L282="F-15",2,IF(L282="F-30",3,IF(L282="F-60",4,IF(L282="F-90",5,0)))),0),0)+IF(AND(O282="FIRE TEX 5062",E282="CJ",J282=4),VLOOKUP(_xlfn.MINIFS('FIRE TEX 5062'!$Q$3:$Q$34,'FIRE TEX 5062'!$Q$3:$Q$34,"&gt;="&amp;M282),'FIRE TEX 5062'!$Q$3:$U$34,IF(L282="F-15",2,IF(L282="F-30",3,IF(L282="F-60",4,IF(L282="F-90",5,0)))),0),0)+IF(AND(O282="FIRE TEX 5090",OR(E282="IN",E282="C",E282="Z",E282="L"),J282=3),VLOOKUP(_xlfn.MINIFS('FIRE TEX 5090'!$B$5:$B$43,'FIRE TEX 5090'!$B$5:$B$43,"&gt;="&amp;M282),'FIRE TEX 5090'!$B$5:$H$43,IF(L282="F-15",2,IF(L282="F-30",3,IF(L282="F-60",4,IF(L282="F-90",5,IF(L282="F-120",6,IF(L282="F-150",7,0)))))),0),0)+IF(AND(O282="FIRE TEX 5090",OR(E282="IN",E282="C",E282="Z",E282="L"),J282=4),VLOOKUP(_xlfn.MINIFS('FIRE TEX 5090'!$J$5:$J$43,'FIRE TEX 5090'!$J$5:$J$43,"&gt;="&amp;M282),'FIRE TEX 5090'!$J$5:$P$43,IF(L282="F-15",2,IF(L282="F-30",3,IF(L282="F-60",4,IF(L282="F-90",5,IF(L282="F-120",6,IF(L282="F-150",7,0)))))),0),0)+IF(AND(O282="FIRE TEX 5090",E282="CJ",J282=3),VLOOKUP(_xlfn.MINIFS('FIRE TEX 5090'!$R$5:$R$30,'FIRE TEX 5090'!$R$5:$R$30,"&gt;="&amp;M282),'FIRE TEX 5090'!$R$5:$W$30,IF(L282="F-15",2,IF(L282="F-30",3,IF(L282="F-60",4,IF(L282="F-90",5,IF(L282="F-120",6,IF(L282="F-150",7,0)))))),0),0)+IF(AND(O282="FIRE TEX 5090",E282="CJ",J282=4),VLOOKUP(_xlfn.MINIFS('FIRE TEX 5090'!$Y$5:$Y$39,'FIRE TEX 5090'!$Y$5:$Y$39,"&gt;="&amp;M282),'FIRE TEX 5090'!$Y$5:$AD$39,IF(L282="F-15",2,IF(L282="F-30",3,IF(L282="F-60",4,IF(L282="F-90",5,IF(L282="F-120",6,IF(L282="F-150",7,0)))))),0),0)+IF(AND(O282="FIRE TEX 5120",OR(E282="IN",E282="C",E282="Z",E282="L"),J282=3),VLOOKUP(_xlfn.MINIFS('FIRE TEX 5120'!$B$5:$B$40,'FIRE TEX 5120'!$B$5:$B$40,"&gt;="&amp;M282),'FIRE TEX 5120'!$B$5:$G$40,IF(L282="F-15",2,IF(L282="F-30",3,IF(L282="F-60",4,IF(L282="F-90",5,IF(L282="F-120",6,0))))),0),0)+IF(AND(O282="FIRE TEX 5120",OR(E282="IN",E282="C",E282="Z",E282="L"),J282=4),VLOOKUP(_xlfn.MINIFS('FIRE TEX 5120'!$H$4:$H$40,'FIRE TEX 5120'!$H$4:$H$40,"&gt;="&amp;M282),'FIRE TEX 5120'!$H$4:$M$40,IF(L282="F-15",2,IF(L282="F-30",3,IF(L282="F-60",4,IF(L282="F-90",5,IF(L282="F-120",6,0))))),0),0)+IF(AND(O282="FIRE TEX 5120",E282="CJ"),VLOOKUP(_xlfn.MINIFS('FIRE TEX 5120'!$O$5:$O$40,'FIRE TEX 5120'!$O$5:$O$40,"&gt;="&amp;M282),'FIRE TEX 5120'!$O$5:$T$40,IF(L282="F-15",2,IF(L282="F-30",3,IF(L282="F-60",4,IF(L282="F-90",5,IF(L282="F-120",6,0))))),0),0)</f>
        <v>0</v>
      </c>
      <c r="Q282" s="46">
        <f t="shared" si="34"/>
        <v>0</v>
      </c>
      <c r="R282" s="46">
        <f t="shared" si="36"/>
        <v>0</v>
      </c>
      <c r="S282" s="46" t="e">
        <f t="shared" si="35"/>
        <v>#VALUE!</v>
      </c>
      <c r="T282" s="677">
        <f t="shared" si="37"/>
        <v>0</v>
      </c>
      <c r="U282" s="80">
        <f>(IF(O282="Stofire",(S282*#REF!),0))+(IF(O282="Fire Control",(S282*$U$2),0))+(IF(O282="Fire Tex",(S282*$U$3),0))+(IF(O282="WB7",(S282*#REF!),0)+(IF(O282="FX 2003",(S282*$U$5),0)))</f>
        <v>0</v>
      </c>
      <c r="V282" s="651">
        <f t="shared" si="39"/>
        <v>0</v>
      </c>
      <c r="W282" s="4"/>
    </row>
    <row r="283" spans="1:23" x14ac:dyDescent="0.25">
      <c r="A283" s="652" t="s">
        <v>429</v>
      </c>
      <c r="B283" s="653" t="s">
        <v>430</v>
      </c>
      <c r="C283" s="1" t="s">
        <v>431</v>
      </c>
      <c r="D283" s="118">
        <f>+CUBICACION!D282</f>
        <v>0</v>
      </c>
      <c r="E283" s="118">
        <f>+CUBICACION!F282</f>
        <v>0</v>
      </c>
      <c r="F283" s="118">
        <f>+CUBICACION!E282</f>
        <v>0</v>
      </c>
      <c r="G283" s="118">
        <v>12</v>
      </c>
      <c r="H283" s="118">
        <v>2</v>
      </c>
      <c r="I283" s="820">
        <v>26385</v>
      </c>
      <c r="J283" s="118">
        <f>+CUBICACION!J282</f>
        <v>0</v>
      </c>
      <c r="K283" s="118">
        <v>3062</v>
      </c>
      <c r="L283" s="118">
        <f>+CUBICACION!L282</f>
        <v>0</v>
      </c>
      <c r="M283" s="64">
        <f>+CUBICACION!M282</f>
        <v>0</v>
      </c>
      <c r="N283" s="824" t="str">
        <f>+CUBICACION!N282</f>
        <v/>
      </c>
      <c r="O283" s="675">
        <f>+CUBICACION!O282</f>
        <v>0</v>
      </c>
      <c r="P283" s="15">
        <f>IF(O283="Fire Control",VLOOKUP(_xlfn.MINIFS('FIRE CONTROL'!$C$4:$C$37,'FIRE CONTROL'!$C$4:$C$37,"&gt;="&amp;M283),'FIRE CONTROL'!$C$4:$G$37,IF(L283="F-15",2,IF(L283="F-30",3,IF(L283="F-60",4,IF(L283="F-90",5,0)))),0),0)+IF(AND(O283="FIRE TEX 5062",OR(E283="IN",E283="C",E283="Z",E283="L"),J283=3),VLOOKUP(_xlfn.MINIFS('FIRE TEX 5062'!$B$4:$B$34,'FIRE TEX 5062'!$B$4:$B$34,"&gt;="&amp;M283),'FIRE TEX 5062'!$B$4:$F$34,IF(L283="F-15",2,IF(L283="F-30",3,IF(L283="F-60",4,IF(L283="F-90",5,0)))),0),0)+IF(AND(O283="FIRE TEX 5062",OR(E283="IN",E283="C",E283="Z",E283="L"),J283=4),VLOOKUP(_xlfn.MINIFS('FIRE TEX 5062'!$G$4:$G$34,'FIRE TEX 5062'!$G$4:$G$34,"&gt;="&amp;M283),'FIRE TEX 5062'!$G$4:$K$34,IF(L283="F-15",2,IF(L283="F-30",3,IF(L283="F-60",4,IF(L283="F-90",5,0)))),0),0)+IF(AND(O283="FIRE TEX 5062",E283="CJ",J283=3),VLOOKUP(_xlfn.MINIFS('FIRE TEX 5062'!$L$4:$L$34,'FIRE TEX 5062'!$L$4:$L$34,"&gt;="&amp;M283),'FIRE TEX 5062'!$L$4:$P$34,IF(L283="F-15",2,IF(L283="F-30",3,IF(L283="F-60",4,IF(L283="F-90",5,0)))),0),0)+IF(AND(O283="FIRE TEX 5062",E283="CJ",J283=4),VLOOKUP(_xlfn.MINIFS('FIRE TEX 5062'!$Q$3:$Q$34,'FIRE TEX 5062'!$Q$3:$Q$34,"&gt;="&amp;M283),'FIRE TEX 5062'!$Q$3:$U$34,IF(L283="F-15",2,IF(L283="F-30",3,IF(L283="F-60",4,IF(L283="F-90",5,0)))),0),0)+IF(AND(O283="FIRE TEX 5090",OR(E283="IN",E283="C",E283="Z",E283="L"),J283=3),VLOOKUP(_xlfn.MINIFS('FIRE TEX 5090'!$B$5:$B$43,'FIRE TEX 5090'!$B$5:$B$43,"&gt;="&amp;M283),'FIRE TEX 5090'!$B$5:$H$43,IF(L283="F-15",2,IF(L283="F-30",3,IF(L283="F-60",4,IF(L283="F-90",5,IF(L283="F-120",6,IF(L283="F-150",7,0)))))),0),0)+IF(AND(O283="FIRE TEX 5090",OR(E283="IN",E283="C",E283="Z",E283="L"),J283=4),VLOOKUP(_xlfn.MINIFS('FIRE TEX 5090'!$J$5:$J$43,'FIRE TEX 5090'!$J$5:$J$43,"&gt;="&amp;M283),'FIRE TEX 5090'!$J$5:$P$43,IF(L283="F-15",2,IF(L283="F-30",3,IF(L283="F-60",4,IF(L283="F-90",5,IF(L283="F-120",6,IF(L283="F-150",7,0)))))),0),0)+IF(AND(O283="FIRE TEX 5090",E283="CJ",J283=3),VLOOKUP(_xlfn.MINIFS('FIRE TEX 5090'!$R$5:$R$30,'FIRE TEX 5090'!$R$5:$R$30,"&gt;="&amp;M283),'FIRE TEX 5090'!$R$5:$W$30,IF(L283="F-15",2,IF(L283="F-30",3,IF(L283="F-60",4,IF(L283="F-90",5,IF(L283="F-120",6,IF(L283="F-150",7,0)))))),0),0)+IF(AND(O283="FIRE TEX 5090",E283="CJ",J283=4),VLOOKUP(_xlfn.MINIFS('FIRE TEX 5090'!$Y$5:$Y$39,'FIRE TEX 5090'!$Y$5:$Y$39,"&gt;="&amp;M283),'FIRE TEX 5090'!$Y$5:$AD$39,IF(L283="F-15",2,IF(L283="F-30",3,IF(L283="F-60",4,IF(L283="F-90",5,IF(L283="F-120",6,IF(L283="F-150",7,0)))))),0),0)+IF(AND(O283="FIRE TEX 5120",OR(E283="IN",E283="C",E283="Z",E283="L"),J283=3),VLOOKUP(_xlfn.MINIFS('FIRE TEX 5120'!$B$5:$B$40,'FIRE TEX 5120'!$B$5:$B$40,"&gt;="&amp;M283),'FIRE TEX 5120'!$B$5:$G$40,IF(L283="F-15",2,IF(L283="F-30",3,IF(L283="F-60",4,IF(L283="F-90",5,IF(L283="F-120",6,0))))),0),0)+IF(AND(O283="FIRE TEX 5120",OR(E283="IN",E283="C",E283="Z",E283="L"),J283=4),VLOOKUP(_xlfn.MINIFS('FIRE TEX 5120'!$H$4:$H$40,'FIRE TEX 5120'!$H$4:$H$40,"&gt;="&amp;M283),'FIRE TEX 5120'!$H$4:$M$40,IF(L283="F-15",2,IF(L283="F-30",3,IF(L283="F-60",4,IF(L283="F-90",5,IF(L283="F-120",6,0))))),0),0)+IF(AND(O283="FIRE TEX 5120",E283="CJ"),VLOOKUP(_xlfn.MINIFS('FIRE TEX 5120'!$O$5:$O$40,'FIRE TEX 5120'!$O$5:$O$40,"&gt;="&amp;M283),'FIRE TEX 5120'!$O$5:$T$40,IF(L283="F-15",2,IF(L283="F-30",3,IF(L283="F-60",4,IF(L283="F-90",5,IF(L283="F-120",6,0))))),0),0)</f>
        <v>0</v>
      </c>
      <c r="Q283" s="46">
        <f t="shared" si="34"/>
        <v>0</v>
      </c>
      <c r="R283" s="46">
        <f t="shared" si="36"/>
        <v>0</v>
      </c>
      <c r="S283" s="46" t="e">
        <f t="shared" si="35"/>
        <v>#VALUE!</v>
      </c>
      <c r="T283" s="677">
        <f t="shared" si="37"/>
        <v>0</v>
      </c>
      <c r="U283" s="80">
        <f>(IF(O283="Stofire",(S283*#REF!),0))+(IF(O283="Fire Control",(S283*$U$2),0))+(IF(O283="Fire Tex",(S283*$U$3),0))+(IF(O283="WB7",(S283*#REF!),0)+(IF(O283="FX 2003",(S283*$U$5),0)))</f>
        <v>0</v>
      </c>
      <c r="V283" s="651">
        <f t="shared" si="39"/>
        <v>0</v>
      </c>
      <c r="W283" s="4"/>
    </row>
    <row r="284" spans="1:23" x14ac:dyDescent="0.25">
      <c r="A284" s="652" t="s">
        <v>429</v>
      </c>
      <c r="B284" s="653" t="s">
        <v>430</v>
      </c>
      <c r="C284" s="1" t="s">
        <v>433</v>
      </c>
      <c r="D284" s="118">
        <f>+CUBICACION!D283</f>
        <v>0</v>
      </c>
      <c r="E284" s="118">
        <f>+CUBICACION!F283</f>
        <v>0</v>
      </c>
      <c r="F284" s="118">
        <f>+CUBICACION!E283</f>
        <v>0</v>
      </c>
      <c r="G284" s="118">
        <v>12</v>
      </c>
      <c r="H284" s="118">
        <v>2</v>
      </c>
      <c r="I284" s="820">
        <v>26385</v>
      </c>
      <c r="J284" s="118">
        <f>+CUBICACION!J283</f>
        <v>0</v>
      </c>
      <c r="K284" s="118">
        <v>3063</v>
      </c>
      <c r="L284" s="118">
        <f>+CUBICACION!L283</f>
        <v>0</v>
      </c>
      <c r="M284" s="64">
        <f>+CUBICACION!M283</f>
        <v>0</v>
      </c>
      <c r="N284" s="824" t="str">
        <f>+CUBICACION!N283</f>
        <v/>
      </c>
      <c r="O284" s="675">
        <f>+CUBICACION!O283</f>
        <v>0</v>
      </c>
      <c r="P284" s="15">
        <f>IF(O284="Fire Control",VLOOKUP(_xlfn.MINIFS('FIRE CONTROL'!$C$4:$C$37,'FIRE CONTROL'!$C$4:$C$37,"&gt;="&amp;M284),'FIRE CONTROL'!$C$4:$G$37,IF(L284="F-15",2,IF(L284="F-30",3,IF(L284="F-60",4,IF(L284="F-90",5,0)))),0),0)+IF(AND(O284="FIRE TEX 5062",OR(E284="IN",E284="C",E284="Z",E284="L"),J284=3),VLOOKUP(_xlfn.MINIFS('FIRE TEX 5062'!$B$4:$B$34,'FIRE TEX 5062'!$B$4:$B$34,"&gt;="&amp;M284),'FIRE TEX 5062'!$B$4:$F$34,IF(L284="F-15",2,IF(L284="F-30",3,IF(L284="F-60",4,IF(L284="F-90",5,0)))),0),0)+IF(AND(O284="FIRE TEX 5062",OR(E284="IN",E284="C",E284="Z",E284="L"),J284=4),VLOOKUP(_xlfn.MINIFS('FIRE TEX 5062'!$G$4:$G$34,'FIRE TEX 5062'!$G$4:$G$34,"&gt;="&amp;M284),'FIRE TEX 5062'!$G$4:$K$34,IF(L284="F-15",2,IF(L284="F-30",3,IF(L284="F-60",4,IF(L284="F-90",5,0)))),0),0)+IF(AND(O284="FIRE TEX 5062",E284="CJ",J284=3),VLOOKUP(_xlfn.MINIFS('FIRE TEX 5062'!$L$4:$L$34,'FIRE TEX 5062'!$L$4:$L$34,"&gt;="&amp;M284),'FIRE TEX 5062'!$L$4:$P$34,IF(L284="F-15",2,IF(L284="F-30",3,IF(L284="F-60",4,IF(L284="F-90",5,0)))),0),0)+IF(AND(O284="FIRE TEX 5062",E284="CJ",J284=4),VLOOKUP(_xlfn.MINIFS('FIRE TEX 5062'!$Q$3:$Q$34,'FIRE TEX 5062'!$Q$3:$Q$34,"&gt;="&amp;M284),'FIRE TEX 5062'!$Q$3:$U$34,IF(L284="F-15",2,IF(L284="F-30",3,IF(L284="F-60",4,IF(L284="F-90",5,0)))),0),0)+IF(AND(O284="FIRE TEX 5090",OR(E284="IN",E284="C",E284="Z",E284="L"),J284=3),VLOOKUP(_xlfn.MINIFS('FIRE TEX 5090'!$B$5:$B$43,'FIRE TEX 5090'!$B$5:$B$43,"&gt;="&amp;M284),'FIRE TEX 5090'!$B$5:$H$43,IF(L284="F-15",2,IF(L284="F-30",3,IF(L284="F-60",4,IF(L284="F-90",5,IF(L284="F-120",6,IF(L284="F-150",7,0)))))),0),0)+IF(AND(O284="FIRE TEX 5090",OR(E284="IN",E284="C",E284="Z",E284="L"),J284=4),VLOOKUP(_xlfn.MINIFS('FIRE TEX 5090'!$J$5:$J$43,'FIRE TEX 5090'!$J$5:$J$43,"&gt;="&amp;M284),'FIRE TEX 5090'!$J$5:$P$43,IF(L284="F-15",2,IF(L284="F-30",3,IF(L284="F-60",4,IF(L284="F-90",5,IF(L284="F-120",6,IF(L284="F-150",7,0)))))),0),0)+IF(AND(O284="FIRE TEX 5090",E284="CJ",J284=3),VLOOKUP(_xlfn.MINIFS('FIRE TEX 5090'!$R$5:$R$30,'FIRE TEX 5090'!$R$5:$R$30,"&gt;="&amp;M284),'FIRE TEX 5090'!$R$5:$W$30,IF(L284="F-15",2,IF(L284="F-30",3,IF(L284="F-60",4,IF(L284="F-90",5,IF(L284="F-120",6,IF(L284="F-150",7,0)))))),0),0)+IF(AND(O284="FIRE TEX 5090",E284="CJ",J284=4),VLOOKUP(_xlfn.MINIFS('FIRE TEX 5090'!$Y$5:$Y$39,'FIRE TEX 5090'!$Y$5:$Y$39,"&gt;="&amp;M284),'FIRE TEX 5090'!$Y$5:$AD$39,IF(L284="F-15",2,IF(L284="F-30",3,IF(L284="F-60",4,IF(L284="F-90",5,IF(L284="F-120",6,IF(L284="F-150",7,0)))))),0),0)+IF(AND(O284="FIRE TEX 5120",OR(E284="IN",E284="C",E284="Z",E284="L"),J284=3),VLOOKUP(_xlfn.MINIFS('FIRE TEX 5120'!$B$5:$B$40,'FIRE TEX 5120'!$B$5:$B$40,"&gt;="&amp;M284),'FIRE TEX 5120'!$B$5:$G$40,IF(L284="F-15",2,IF(L284="F-30",3,IF(L284="F-60",4,IF(L284="F-90",5,IF(L284="F-120",6,0))))),0),0)+IF(AND(O284="FIRE TEX 5120",OR(E284="IN",E284="C",E284="Z",E284="L"),J284=4),VLOOKUP(_xlfn.MINIFS('FIRE TEX 5120'!$H$4:$H$40,'FIRE TEX 5120'!$H$4:$H$40,"&gt;="&amp;M284),'FIRE TEX 5120'!$H$4:$M$40,IF(L284="F-15",2,IF(L284="F-30",3,IF(L284="F-60",4,IF(L284="F-90",5,IF(L284="F-120",6,0))))),0),0)+IF(AND(O284="FIRE TEX 5120",E284="CJ"),VLOOKUP(_xlfn.MINIFS('FIRE TEX 5120'!$O$5:$O$40,'FIRE TEX 5120'!$O$5:$O$40,"&gt;="&amp;M284),'FIRE TEX 5120'!$O$5:$T$40,IF(L284="F-15",2,IF(L284="F-30",3,IF(L284="F-60",4,IF(L284="F-90",5,IF(L284="F-120",6,0))))),0),0)</f>
        <v>0</v>
      </c>
      <c r="Q284" s="46">
        <f t="shared" si="34"/>
        <v>0</v>
      </c>
      <c r="R284" s="46">
        <f t="shared" si="36"/>
        <v>0</v>
      </c>
      <c r="S284" s="46" t="e">
        <f t="shared" si="35"/>
        <v>#VALUE!</v>
      </c>
      <c r="T284" s="677">
        <f t="shared" si="37"/>
        <v>0</v>
      </c>
      <c r="U284" s="80">
        <f>(IF(O284="Stofire",(S284*#REF!),0))+(IF(O284="Fire Control",(S284*$U$2),0))+(IF(O284="Fire Tex",(S284*$U$3),0))+(IF(O284="WB7",(S284*#REF!),0)+(IF(O284="FX 2003",(S284*$U$5),0)))</f>
        <v>0</v>
      </c>
      <c r="V284" s="651">
        <f t="shared" si="39"/>
        <v>0</v>
      </c>
      <c r="W284" s="4"/>
    </row>
    <row r="285" spans="1:23" x14ac:dyDescent="0.25">
      <c r="A285" s="652" t="s">
        <v>429</v>
      </c>
      <c r="B285" s="653" t="s">
        <v>430</v>
      </c>
      <c r="C285" s="1" t="s">
        <v>435</v>
      </c>
      <c r="D285" s="118">
        <f>+CUBICACION!D284</f>
        <v>0</v>
      </c>
      <c r="E285" s="118">
        <f>+CUBICACION!F284</f>
        <v>0</v>
      </c>
      <c r="F285" s="118">
        <f>+CUBICACION!E284</f>
        <v>0</v>
      </c>
      <c r="G285" s="118">
        <v>12</v>
      </c>
      <c r="H285" s="118">
        <v>2</v>
      </c>
      <c r="I285" s="820">
        <v>26385</v>
      </c>
      <c r="J285" s="118">
        <f>+CUBICACION!J284</f>
        <v>0</v>
      </c>
      <c r="K285" s="118">
        <v>3064</v>
      </c>
      <c r="L285" s="118">
        <f>+CUBICACION!L284</f>
        <v>0</v>
      </c>
      <c r="M285" s="64">
        <f>+CUBICACION!M284</f>
        <v>0</v>
      </c>
      <c r="N285" s="824" t="str">
        <f>+CUBICACION!N284</f>
        <v/>
      </c>
      <c r="O285" s="675">
        <f>+CUBICACION!O284</f>
        <v>0</v>
      </c>
      <c r="P285" s="15">
        <f>IF(O285="Fire Control",VLOOKUP(_xlfn.MINIFS('FIRE CONTROL'!$C$4:$C$37,'FIRE CONTROL'!$C$4:$C$37,"&gt;="&amp;M285),'FIRE CONTROL'!$C$4:$G$37,IF(L285="F-15",2,IF(L285="F-30",3,IF(L285="F-60",4,IF(L285="F-90",5,0)))),0),0)+IF(AND(O285="FIRE TEX 5062",OR(E285="IN",E285="C",E285="Z",E285="L"),J285=3),VLOOKUP(_xlfn.MINIFS('FIRE TEX 5062'!$B$4:$B$34,'FIRE TEX 5062'!$B$4:$B$34,"&gt;="&amp;M285),'FIRE TEX 5062'!$B$4:$F$34,IF(L285="F-15",2,IF(L285="F-30",3,IF(L285="F-60",4,IF(L285="F-90",5,0)))),0),0)+IF(AND(O285="FIRE TEX 5062",OR(E285="IN",E285="C",E285="Z",E285="L"),J285=4),VLOOKUP(_xlfn.MINIFS('FIRE TEX 5062'!$G$4:$G$34,'FIRE TEX 5062'!$G$4:$G$34,"&gt;="&amp;M285),'FIRE TEX 5062'!$G$4:$K$34,IF(L285="F-15",2,IF(L285="F-30",3,IF(L285="F-60",4,IF(L285="F-90",5,0)))),0),0)+IF(AND(O285="FIRE TEX 5062",E285="CJ",J285=3),VLOOKUP(_xlfn.MINIFS('FIRE TEX 5062'!$L$4:$L$34,'FIRE TEX 5062'!$L$4:$L$34,"&gt;="&amp;M285),'FIRE TEX 5062'!$L$4:$P$34,IF(L285="F-15",2,IF(L285="F-30",3,IF(L285="F-60",4,IF(L285="F-90",5,0)))),0),0)+IF(AND(O285="FIRE TEX 5062",E285="CJ",J285=4),VLOOKUP(_xlfn.MINIFS('FIRE TEX 5062'!$Q$3:$Q$34,'FIRE TEX 5062'!$Q$3:$Q$34,"&gt;="&amp;M285),'FIRE TEX 5062'!$Q$3:$U$34,IF(L285="F-15",2,IF(L285="F-30",3,IF(L285="F-60",4,IF(L285="F-90",5,0)))),0),0)+IF(AND(O285="FIRE TEX 5090",OR(E285="IN",E285="C",E285="Z",E285="L"),J285=3),VLOOKUP(_xlfn.MINIFS('FIRE TEX 5090'!$B$5:$B$43,'FIRE TEX 5090'!$B$5:$B$43,"&gt;="&amp;M285),'FIRE TEX 5090'!$B$5:$H$43,IF(L285="F-15",2,IF(L285="F-30",3,IF(L285="F-60",4,IF(L285="F-90",5,IF(L285="F-120",6,IF(L285="F-150",7,0)))))),0),0)+IF(AND(O285="FIRE TEX 5090",OR(E285="IN",E285="C",E285="Z",E285="L"),J285=4),VLOOKUP(_xlfn.MINIFS('FIRE TEX 5090'!$J$5:$J$43,'FIRE TEX 5090'!$J$5:$J$43,"&gt;="&amp;M285),'FIRE TEX 5090'!$J$5:$P$43,IF(L285="F-15",2,IF(L285="F-30",3,IF(L285="F-60",4,IF(L285="F-90",5,IF(L285="F-120",6,IF(L285="F-150",7,0)))))),0),0)+IF(AND(O285="FIRE TEX 5090",E285="CJ",J285=3),VLOOKUP(_xlfn.MINIFS('FIRE TEX 5090'!$R$5:$R$30,'FIRE TEX 5090'!$R$5:$R$30,"&gt;="&amp;M285),'FIRE TEX 5090'!$R$5:$W$30,IF(L285="F-15",2,IF(L285="F-30",3,IF(L285="F-60",4,IF(L285="F-90",5,IF(L285="F-120",6,IF(L285="F-150",7,0)))))),0),0)+IF(AND(O285="FIRE TEX 5090",E285="CJ",J285=4),VLOOKUP(_xlfn.MINIFS('FIRE TEX 5090'!$Y$5:$Y$39,'FIRE TEX 5090'!$Y$5:$Y$39,"&gt;="&amp;M285),'FIRE TEX 5090'!$Y$5:$AD$39,IF(L285="F-15",2,IF(L285="F-30",3,IF(L285="F-60",4,IF(L285="F-90",5,IF(L285="F-120",6,IF(L285="F-150",7,0)))))),0),0)+IF(AND(O285="FIRE TEX 5120",OR(E285="IN",E285="C",E285="Z",E285="L"),J285=3),VLOOKUP(_xlfn.MINIFS('FIRE TEX 5120'!$B$5:$B$40,'FIRE TEX 5120'!$B$5:$B$40,"&gt;="&amp;M285),'FIRE TEX 5120'!$B$5:$G$40,IF(L285="F-15",2,IF(L285="F-30",3,IF(L285="F-60",4,IF(L285="F-90",5,IF(L285="F-120",6,0))))),0),0)+IF(AND(O285="FIRE TEX 5120",OR(E285="IN",E285="C",E285="Z",E285="L"),J285=4),VLOOKUP(_xlfn.MINIFS('FIRE TEX 5120'!$H$4:$H$40,'FIRE TEX 5120'!$H$4:$H$40,"&gt;="&amp;M285),'FIRE TEX 5120'!$H$4:$M$40,IF(L285="F-15",2,IF(L285="F-30",3,IF(L285="F-60",4,IF(L285="F-90",5,IF(L285="F-120",6,0))))),0),0)+IF(AND(O285="FIRE TEX 5120",E285="CJ"),VLOOKUP(_xlfn.MINIFS('FIRE TEX 5120'!$O$5:$O$40,'FIRE TEX 5120'!$O$5:$O$40,"&gt;="&amp;M285),'FIRE TEX 5120'!$O$5:$T$40,IF(L285="F-15",2,IF(L285="F-30",3,IF(L285="F-60",4,IF(L285="F-90",5,IF(L285="F-120",6,0))))),0),0)</f>
        <v>0</v>
      </c>
      <c r="Q285" s="46">
        <f t="shared" si="34"/>
        <v>0</v>
      </c>
      <c r="R285" s="46">
        <f t="shared" si="36"/>
        <v>0</v>
      </c>
      <c r="S285" s="46" t="e">
        <f t="shared" si="35"/>
        <v>#VALUE!</v>
      </c>
      <c r="T285" s="677">
        <f t="shared" si="37"/>
        <v>0</v>
      </c>
      <c r="U285" s="80">
        <f>(IF(O285="Stofire",(S285*#REF!),0))+(IF(O285="Fire Control",(S285*$U$2),0))+(IF(O285="Fire Tex",(S285*$U$3),0))+(IF(O285="WB7",(S285*#REF!),0)+(IF(O285="FX 2003",(S285*$U$5),0)))</f>
        <v>0</v>
      </c>
      <c r="V285" s="651">
        <f t="shared" si="39"/>
        <v>0</v>
      </c>
      <c r="W285" s="4"/>
    </row>
    <row r="286" spans="1:23" x14ac:dyDescent="0.25">
      <c r="A286" s="652" t="s">
        <v>429</v>
      </c>
      <c r="B286" s="653" t="s">
        <v>430</v>
      </c>
      <c r="C286" s="1" t="s">
        <v>437</v>
      </c>
      <c r="D286" s="118">
        <f>+CUBICACION!D285</f>
        <v>0</v>
      </c>
      <c r="E286" s="118">
        <f>+CUBICACION!F285</f>
        <v>0</v>
      </c>
      <c r="F286" s="118">
        <f>+CUBICACION!E285</f>
        <v>0</v>
      </c>
      <c r="G286" s="118">
        <v>12</v>
      </c>
      <c r="H286" s="118">
        <v>2</v>
      </c>
      <c r="I286" s="820">
        <v>26385</v>
      </c>
      <c r="J286" s="118">
        <f>+CUBICACION!J285</f>
        <v>0</v>
      </c>
      <c r="K286" s="118">
        <v>3065</v>
      </c>
      <c r="L286" s="118">
        <f>+CUBICACION!L285</f>
        <v>0</v>
      </c>
      <c r="M286" s="64">
        <f>+CUBICACION!M285</f>
        <v>0</v>
      </c>
      <c r="N286" s="824" t="str">
        <f>+CUBICACION!N285</f>
        <v/>
      </c>
      <c r="O286" s="675">
        <f>+CUBICACION!O285</f>
        <v>0</v>
      </c>
      <c r="P286" s="15">
        <f>IF(O286="Fire Control",VLOOKUP(_xlfn.MINIFS('FIRE CONTROL'!$C$4:$C$37,'FIRE CONTROL'!$C$4:$C$37,"&gt;="&amp;M286),'FIRE CONTROL'!$C$4:$G$37,IF(L286="F-15",2,IF(L286="F-30",3,IF(L286="F-60",4,IF(L286="F-90",5,0)))),0),0)+IF(AND(O286="FIRE TEX 5062",OR(E286="IN",E286="C",E286="Z",E286="L"),J286=3),VLOOKUP(_xlfn.MINIFS('FIRE TEX 5062'!$B$4:$B$34,'FIRE TEX 5062'!$B$4:$B$34,"&gt;="&amp;M286),'FIRE TEX 5062'!$B$4:$F$34,IF(L286="F-15",2,IF(L286="F-30",3,IF(L286="F-60",4,IF(L286="F-90",5,0)))),0),0)+IF(AND(O286="FIRE TEX 5062",OR(E286="IN",E286="C",E286="Z",E286="L"),J286=4),VLOOKUP(_xlfn.MINIFS('FIRE TEX 5062'!$G$4:$G$34,'FIRE TEX 5062'!$G$4:$G$34,"&gt;="&amp;M286),'FIRE TEX 5062'!$G$4:$K$34,IF(L286="F-15",2,IF(L286="F-30",3,IF(L286="F-60",4,IF(L286="F-90",5,0)))),0),0)+IF(AND(O286="FIRE TEX 5062",E286="CJ",J286=3),VLOOKUP(_xlfn.MINIFS('FIRE TEX 5062'!$L$4:$L$34,'FIRE TEX 5062'!$L$4:$L$34,"&gt;="&amp;M286),'FIRE TEX 5062'!$L$4:$P$34,IF(L286="F-15",2,IF(L286="F-30",3,IF(L286="F-60",4,IF(L286="F-90",5,0)))),0),0)+IF(AND(O286="FIRE TEX 5062",E286="CJ",J286=4),VLOOKUP(_xlfn.MINIFS('FIRE TEX 5062'!$Q$3:$Q$34,'FIRE TEX 5062'!$Q$3:$Q$34,"&gt;="&amp;M286),'FIRE TEX 5062'!$Q$3:$U$34,IF(L286="F-15",2,IF(L286="F-30",3,IF(L286="F-60",4,IF(L286="F-90",5,0)))),0),0)+IF(AND(O286="FIRE TEX 5090",OR(E286="IN",E286="C",E286="Z",E286="L"),J286=3),VLOOKUP(_xlfn.MINIFS('FIRE TEX 5090'!$B$5:$B$43,'FIRE TEX 5090'!$B$5:$B$43,"&gt;="&amp;M286),'FIRE TEX 5090'!$B$5:$H$43,IF(L286="F-15",2,IF(L286="F-30",3,IF(L286="F-60",4,IF(L286="F-90",5,IF(L286="F-120",6,IF(L286="F-150",7,0)))))),0),0)+IF(AND(O286="FIRE TEX 5090",OR(E286="IN",E286="C",E286="Z",E286="L"),J286=4),VLOOKUP(_xlfn.MINIFS('FIRE TEX 5090'!$J$5:$J$43,'FIRE TEX 5090'!$J$5:$J$43,"&gt;="&amp;M286),'FIRE TEX 5090'!$J$5:$P$43,IF(L286="F-15",2,IF(L286="F-30",3,IF(L286="F-60",4,IF(L286="F-90",5,IF(L286="F-120",6,IF(L286="F-150",7,0)))))),0),0)+IF(AND(O286="FIRE TEX 5090",E286="CJ",J286=3),VLOOKUP(_xlfn.MINIFS('FIRE TEX 5090'!$R$5:$R$30,'FIRE TEX 5090'!$R$5:$R$30,"&gt;="&amp;M286),'FIRE TEX 5090'!$R$5:$W$30,IF(L286="F-15",2,IF(L286="F-30",3,IF(L286="F-60",4,IF(L286="F-90",5,IF(L286="F-120",6,IF(L286="F-150",7,0)))))),0),0)+IF(AND(O286="FIRE TEX 5090",E286="CJ",J286=4),VLOOKUP(_xlfn.MINIFS('FIRE TEX 5090'!$Y$5:$Y$39,'FIRE TEX 5090'!$Y$5:$Y$39,"&gt;="&amp;M286),'FIRE TEX 5090'!$Y$5:$AD$39,IF(L286="F-15",2,IF(L286="F-30",3,IF(L286="F-60",4,IF(L286="F-90",5,IF(L286="F-120",6,IF(L286="F-150",7,0)))))),0),0)+IF(AND(O286="FIRE TEX 5120",OR(E286="IN",E286="C",E286="Z",E286="L"),J286=3),VLOOKUP(_xlfn.MINIFS('FIRE TEX 5120'!$B$5:$B$40,'FIRE TEX 5120'!$B$5:$B$40,"&gt;="&amp;M286),'FIRE TEX 5120'!$B$5:$G$40,IF(L286="F-15",2,IF(L286="F-30",3,IF(L286="F-60",4,IF(L286="F-90",5,IF(L286="F-120",6,0))))),0),0)+IF(AND(O286="FIRE TEX 5120",OR(E286="IN",E286="C",E286="Z",E286="L"),J286=4),VLOOKUP(_xlfn.MINIFS('FIRE TEX 5120'!$H$4:$H$40,'FIRE TEX 5120'!$H$4:$H$40,"&gt;="&amp;M286),'FIRE TEX 5120'!$H$4:$M$40,IF(L286="F-15",2,IF(L286="F-30",3,IF(L286="F-60",4,IF(L286="F-90",5,IF(L286="F-120",6,0))))),0),0)+IF(AND(O286="FIRE TEX 5120",E286="CJ"),VLOOKUP(_xlfn.MINIFS('FIRE TEX 5120'!$O$5:$O$40,'FIRE TEX 5120'!$O$5:$O$40,"&gt;="&amp;M286),'FIRE TEX 5120'!$O$5:$T$40,IF(L286="F-15",2,IF(L286="F-30",3,IF(L286="F-60",4,IF(L286="F-90",5,IF(L286="F-120",6,0))))),0),0)</f>
        <v>0</v>
      </c>
      <c r="Q286" s="46">
        <f t="shared" si="34"/>
        <v>0</v>
      </c>
      <c r="R286" s="46">
        <f t="shared" si="36"/>
        <v>0</v>
      </c>
      <c r="S286" s="46" t="e">
        <f t="shared" si="35"/>
        <v>#VALUE!</v>
      </c>
      <c r="T286" s="677">
        <f t="shared" si="37"/>
        <v>0</v>
      </c>
      <c r="U286" s="80">
        <f>(IF(O286="Stofire",(S286*#REF!),0))+(IF(O286="Fire Control",(S286*$U$2),0))+(IF(O286="Fire Tex",(S286*$U$3),0))+(IF(O286="WB7",(S286*#REF!),0)+(IF(O286="FX 2003",(S286*$U$5),0)))</f>
        <v>0</v>
      </c>
      <c r="V286" s="651">
        <f t="shared" si="39"/>
        <v>0</v>
      </c>
      <c r="W286" s="4"/>
    </row>
    <row r="287" spans="1:23" x14ac:dyDescent="0.25">
      <c r="A287" s="652" t="s">
        <v>439</v>
      </c>
      <c r="B287" s="653" t="s">
        <v>430</v>
      </c>
      <c r="C287" s="1" t="s">
        <v>431</v>
      </c>
      <c r="D287" s="118">
        <f>+CUBICACION!D286</f>
        <v>0</v>
      </c>
      <c r="E287" s="118">
        <f>+CUBICACION!F286</f>
        <v>0</v>
      </c>
      <c r="F287" s="118">
        <f>+CUBICACION!E286</f>
        <v>0</v>
      </c>
      <c r="G287" s="118">
        <v>12</v>
      </c>
      <c r="H287" s="118">
        <v>2</v>
      </c>
      <c r="I287" s="820">
        <v>26385</v>
      </c>
      <c r="J287" s="118">
        <f>+CUBICACION!J286</f>
        <v>0</v>
      </c>
      <c r="K287" s="118">
        <v>3066</v>
      </c>
      <c r="L287" s="118">
        <f>+CUBICACION!L286</f>
        <v>0</v>
      </c>
      <c r="M287" s="64">
        <f>+CUBICACION!M286</f>
        <v>0</v>
      </c>
      <c r="N287" s="824" t="str">
        <f>+CUBICACION!N286</f>
        <v/>
      </c>
      <c r="O287" s="675">
        <f>+CUBICACION!O286</f>
        <v>0</v>
      </c>
      <c r="P287" s="15">
        <f>IF(O287="Fire Control",VLOOKUP(_xlfn.MINIFS('FIRE CONTROL'!$C$4:$C$37,'FIRE CONTROL'!$C$4:$C$37,"&gt;="&amp;M287),'FIRE CONTROL'!$C$4:$G$37,IF(L287="F-15",2,IF(L287="F-30",3,IF(L287="F-60",4,IF(L287="F-90",5,0)))),0),0)+IF(AND(O287="FIRE TEX 5062",OR(E287="IN",E287="C",E287="Z",E287="L"),J287=3),VLOOKUP(_xlfn.MINIFS('FIRE TEX 5062'!$B$4:$B$34,'FIRE TEX 5062'!$B$4:$B$34,"&gt;="&amp;M287),'FIRE TEX 5062'!$B$4:$F$34,IF(L287="F-15",2,IF(L287="F-30",3,IF(L287="F-60",4,IF(L287="F-90",5,0)))),0),0)+IF(AND(O287="FIRE TEX 5062",OR(E287="IN",E287="C",E287="Z",E287="L"),J287=4),VLOOKUP(_xlfn.MINIFS('FIRE TEX 5062'!$G$4:$G$34,'FIRE TEX 5062'!$G$4:$G$34,"&gt;="&amp;M287),'FIRE TEX 5062'!$G$4:$K$34,IF(L287="F-15",2,IF(L287="F-30",3,IF(L287="F-60",4,IF(L287="F-90",5,0)))),0),0)+IF(AND(O287="FIRE TEX 5062",E287="CJ",J287=3),VLOOKUP(_xlfn.MINIFS('FIRE TEX 5062'!$L$4:$L$34,'FIRE TEX 5062'!$L$4:$L$34,"&gt;="&amp;M287),'FIRE TEX 5062'!$L$4:$P$34,IF(L287="F-15",2,IF(L287="F-30",3,IF(L287="F-60",4,IF(L287="F-90",5,0)))),0),0)+IF(AND(O287="FIRE TEX 5062",E287="CJ",J287=4),VLOOKUP(_xlfn.MINIFS('FIRE TEX 5062'!$Q$3:$Q$34,'FIRE TEX 5062'!$Q$3:$Q$34,"&gt;="&amp;M287),'FIRE TEX 5062'!$Q$3:$U$34,IF(L287="F-15",2,IF(L287="F-30",3,IF(L287="F-60",4,IF(L287="F-90",5,0)))),0),0)+IF(AND(O287="FIRE TEX 5090",OR(E287="IN",E287="C",E287="Z",E287="L"),J287=3),VLOOKUP(_xlfn.MINIFS('FIRE TEX 5090'!$B$5:$B$43,'FIRE TEX 5090'!$B$5:$B$43,"&gt;="&amp;M287),'FIRE TEX 5090'!$B$5:$H$43,IF(L287="F-15",2,IF(L287="F-30",3,IF(L287="F-60",4,IF(L287="F-90",5,IF(L287="F-120",6,IF(L287="F-150",7,0)))))),0),0)+IF(AND(O287="FIRE TEX 5090",OR(E287="IN",E287="C",E287="Z",E287="L"),J287=4),VLOOKUP(_xlfn.MINIFS('FIRE TEX 5090'!$J$5:$J$43,'FIRE TEX 5090'!$J$5:$J$43,"&gt;="&amp;M287),'FIRE TEX 5090'!$J$5:$P$43,IF(L287="F-15",2,IF(L287="F-30",3,IF(L287="F-60",4,IF(L287="F-90",5,IF(L287="F-120",6,IF(L287="F-150",7,0)))))),0),0)+IF(AND(O287="FIRE TEX 5090",E287="CJ",J287=3),VLOOKUP(_xlfn.MINIFS('FIRE TEX 5090'!$R$5:$R$30,'FIRE TEX 5090'!$R$5:$R$30,"&gt;="&amp;M287),'FIRE TEX 5090'!$R$5:$W$30,IF(L287="F-15",2,IF(L287="F-30",3,IF(L287="F-60",4,IF(L287="F-90",5,IF(L287="F-120",6,IF(L287="F-150",7,0)))))),0),0)+IF(AND(O287="FIRE TEX 5090",E287="CJ",J287=4),VLOOKUP(_xlfn.MINIFS('FIRE TEX 5090'!$Y$5:$Y$39,'FIRE TEX 5090'!$Y$5:$Y$39,"&gt;="&amp;M287),'FIRE TEX 5090'!$Y$5:$AD$39,IF(L287="F-15",2,IF(L287="F-30",3,IF(L287="F-60",4,IF(L287="F-90",5,IF(L287="F-120",6,IF(L287="F-150",7,0)))))),0),0)+IF(AND(O287="FIRE TEX 5120",OR(E287="IN",E287="C",E287="Z",E287="L"),J287=3),VLOOKUP(_xlfn.MINIFS('FIRE TEX 5120'!$B$5:$B$40,'FIRE TEX 5120'!$B$5:$B$40,"&gt;="&amp;M287),'FIRE TEX 5120'!$B$5:$G$40,IF(L287="F-15",2,IF(L287="F-30",3,IF(L287="F-60",4,IF(L287="F-90",5,IF(L287="F-120",6,0))))),0),0)+IF(AND(O287="FIRE TEX 5120",OR(E287="IN",E287="C",E287="Z",E287="L"),J287=4),VLOOKUP(_xlfn.MINIFS('FIRE TEX 5120'!$H$4:$H$40,'FIRE TEX 5120'!$H$4:$H$40,"&gt;="&amp;M287),'FIRE TEX 5120'!$H$4:$M$40,IF(L287="F-15",2,IF(L287="F-30",3,IF(L287="F-60",4,IF(L287="F-90",5,IF(L287="F-120",6,0))))),0),0)+IF(AND(O287="FIRE TEX 5120",E287="CJ"),VLOOKUP(_xlfn.MINIFS('FIRE TEX 5120'!$O$5:$O$40,'FIRE TEX 5120'!$O$5:$O$40,"&gt;="&amp;M287),'FIRE TEX 5120'!$O$5:$T$40,IF(L287="F-15",2,IF(L287="F-30",3,IF(L287="F-60",4,IF(L287="F-90",5,IF(L287="F-120",6,0))))),0),0)</f>
        <v>0</v>
      </c>
      <c r="Q287" s="46">
        <f t="shared" si="34"/>
        <v>0</v>
      </c>
      <c r="R287" s="46">
        <f t="shared" si="36"/>
        <v>0</v>
      </c>
      <c r="S287" s="46" t="e">
        <f t="shared" si="35"/>
        <v>#VALUE!</v>
      </c>
      <c r="T287" s="677">
        <f t="shared" si="37"/>
        <v>0</v>
      </c>
      <c r="U287" s="80">
        <f>(IF(O287="Stofire",(S287*#REF!),0))+(IF(O287="Fire Control",(S287*$U$2),0))+(IF(O287="Fire Tex",(S287*$U$3),0))+(IF(O287="WB7",(S287*#REF!),0)+(IF(O287="FX 2003",(S287*$U$5),0)))</f>
        <v>0</v>
      </c>
      <c r="V287" s="651">
        <f t="shared" si="39"/>
        <v>0</v>
      </c>
      <c r="W287" s="4"/>
    </row>
    <row r="288" spans="1:23" x14ac:dyDescent="0.25">
      <c r="A288" s="652" t="s">
        <v>439</v>
      </c>
      <c r="B288" s="653" t="s">
        <v>430</v>
      </c>
      <c r="C288" s="1" t="s">
        <v>435</v>
      </c>
      <c r="D288" s="118">
        <f>+CUBICACION!D287</f>
        <v>0</v>
      </c>
      <c r="E288" s="118">
        <f>+CUBICACION!F287</f>
        <v>0</v>
      </c>
      <c r="F288" s="118">
        <f>+CUBICACION!E287</f>
        <v>0</v>
      </c>
      <c r="G288" s="118">
        <v>12</v>
      </c>
      <c r="H288" s="118">
        <v>2</v>
      </c>
      <c r="I288" s="820">
        <v>26385</v>
      </c>
      <c r="J288" s="118">
        <f>+CUBICACION!J287</f>
        <v>0</v>
      </c>
      <c r="K288" s="118">
        <v>3067</v>
      </c>
      <c r="L288" s="118">
        <f>+CUBICACION!L287</f>
        <v>0</v>
      </c>
      <c r="M288" s="64">
        <f>+CUBICACION!M287</f>
        <v>0</v>
      </c>
      <c r="N288" s="824" t="str">
        <f>+CUBICACION!N287</f>
        <v/>
      </c>
      <c r="O288" s="675">
        <f>+CUBICACION!O287</f>
        <v>0</v>
      </c>
      <c r="P288" s="15">
        <f>IF(O288="Fire Control",VLOOKUP(_xlfn.MINIFS('FIRE CONTROL'!$C$4:$C$37,'FIRE CONTROL'!$C$4:$C$37,"&gt;="&amp;M288),'FIRE CONTROL'!$C$4:$G$37,IF(L288="F-15",2,IF(L288="F-30",3,IF(L288="F-60",4,IF(L288="F-90",5,0)))),0),0)+IF(AND(O288="FIRE TEX 5062",OR(E288="IN",E288="C",E288="Z",E288="L"),J288=3),VLOOKUP(_xlfn.MINIFS('FIRE TEX 5062'!$B$4:$B$34,'FIRE TEX 5062'!$B$4:$B$34,"&gt;="&amp;M288),'FIRE TEX 5062'!$B$4:$F$34,IF(L288="F-15",2,IF(L288="F-30",3,IF(L288="F-60",4,IF(L288="F-90",5,0)))),0),0)+IF(AND(O288="FIRE TEX 5062",OR(E288="IN",E288="C",E288="Z",E288="L"),J288=4),VLOOKUP(_xlfn.MINIFS('FIRE TEX 5062'!$G$4:$G$34,'FIRE TEX 5062'!$G$4:$G$34,"&gt;="&amp;M288),'FIRE TEX 5062'!$G$4:$K$34,IF(L288="F-15",2,IF(L288="F-30",3,IF(L288="F-60",4,IF(L288="F-90",5,0)))),0),0)+IF(AND(O288="FIRE TEX 5062",E288="CJ",J288=3),VLOOKUP(_xlfn.MINIFS('FIRE TEX 5062'!$L$4:$L$34,'FIRE TEX 5062'!$L$4:$L$34,"&gt;="&amp;M288),'FIRE TEX 5062'!$L$4:$P$34,IF(L288="F-15",2,IF(L288="F-30",3,IF(L288="F-60",4,IF(L288="F-90",5,0)))),0),0)+IF(AND(O288="FIRE TEX 5062",E288="CJ",J288=4),VLOOKUP(_xlfn.MINIFS('FIRE TEX 5062'!$Q$3:$Q$34,'FIRE TEX 5062'!$Q$3:$Q$34,"&gt;="&amp;M288),'FIRE TEX 5062'!$Q$3:$U$34,IF(L288="F-15",2,IF(L288="F-30",3,IF(L288="F-60",4,IF(L288="F-90",5,0)))),0),0)+IF(AND(O288="FIRE TEX 5090",OR(E288="IN",E288="C",E288="Z",E288="L"),J288=3),VLOOKUP(_xlfn.MINIFS('FIRE TEX 5090'!$B$5:$B$43,'FIRE TEX 5090'!$B$5:$B$43,"&gt;="&amp;M288),'FIRE TEX 5090'!$B$5:$H$43,IF(L288="F-15",2,IF(L288="F-30",3,IF(L288="F-60",4,IF(L288="F-90",5,IF(L288="F-120",6,IF(L288="F-150",7,0)))))),0),0)+IF(AND(O288="FIRE TEX 5090",OR(E288="IN",E288="C",E288="Z",E288="L"),J288=4),VLOOKUP(_xlfn.MINIFS('FIRE TEX 5090'!$J$5:$J$43,'FIRE TEX 5090'!$J$5:$J$43,"&gt;="&amp;M288),'FIRE TEX 5090'!$J$5:$P$43,IF(L288="F-15",2,IF(L288="F-30",3,IF(L288="F-60",4,IF(L288="F-90",5,IF(L288="F-120",6,IF(L288="F-150",7,0)))))),0),0)+IF(AND(O288="FIRE TEX 5090",E288="CJ",J288=3),VLOOKUP(_xlfn.MINIFS('FIRE TEX 5090'!$R$5:$R$30,'FIRE TEX 5090'!$R$5:$R$30,"&gt;="&amp;M288),'FIRE TEX 5090'!$R$5:$W$30,IF(L288="F-15",2,IF(L288="F-30",3,IF(L288="F-60",4,IF(L288="F-90",5,IF(L288="F-120",6,IF(L288="F-150",7,0)))))),0),0)+IF(AND(O288="FIRE TEX 5090",E288="CJ",J288=4),VLOOKUP(_xlfn.MINIFS('FIRE TEX 5090'!$Y$5:$Y$39,'FIRE TEX 5090'!$Y$5:$Y$39,"&gt;="&amp;M288),'FIRE TEX 5090'!$Y$5:$AD$39,IF(L288="F-15",2,IF(L288="F-30",3,IF(L288="F-60",4,IF(L288="F-90",5,IF(L288="F-120",6,IF(L288="F-150",7,0)))))),0),0)+IF(AND(O288="FIRE TEX 5120",OR(E288="IN",E288="C",E288="Z",E288="L"),J288=3),VLOOKUP(_xlfn.MINIFS('FIRE TEX 5120'!$B$5:$B$40,'FIRE TEX 5120'!$B$5:$B$40,"&gt;="&amp;M288),'FIRE TEX 5120'!$B$5:$G$40,IF(L288="F-15",2,IF(L288="F-30",3,IF(L288="F-60",4,IF(L288="F-90",5,IF(L288="F-120",6,0))))),0),0)+IF(AND(O288="FIRE TEX 5120",OR(E288="IN",E288="C",E288="Z",E288="L"),J288=4),VLOOKUP(_xlfn.MINIFS('FIRE TEX 5120'!$H$4:$H$40,'FIRE TEX 5120'!$H$4:$H$40,"&gt;="&amp;M288),'FIRE TEX 5120'!$H$4:$M$40,IF(L288="F-15",2,IF(L288="F-30",3,IF(L288="F-60",4,IF(L288="F-90",5,IF(L288="F-120",6,0))))),0),0)+IF(AND(O288="FIRE TEX 5120",E288="CJ"),VLOOKUP(_xlfn.MINIFS('FIRE TEX 5120'!$O$5:$O$40,'FIRE TEX 5120'!$O$5:$O$40,"&gt;="&amp;M288),'FIRE TEX 5120'!$O$5:$T$40,IF(L288="F-15",2,IF(L288="F-30",3,IF(L288="F-60",4,IF(L288="F-90",5,IF(L288="F-120",6,0))))),0),0)</f>
        <v>0</v>
      </c>
      <c r="Q288" s="46">
        <f t="shared" si="34"/>
        <v>0</v>
      </c>
      <c r="R288" s="46">
        <f t="shared" si="36"/>
        <v>0</v>
      </c>
      <c r="S288" s="46" t="e">
        <f t="shared" si="35"/>
        <v>#VALUE!</v>
      </c>
      <c r="T288" s="677">
        <f t="shared" si="37"/>
        <v>0</v>
      </c>
      <c r="U288" s="80">
        <f>(IF(O288="Stofire",(S288*#REF!),0))+(IF(O288="Fire Control",(S288*$U$2),0))+(IF(O288="Fire Tex",(S288*$U$3),0))+(IF(O288="WB7",(S288*#REF!),0)+(IF(O288="FX 2003",(S288*$U$5),0)))</f>
        <v>0</v>
      </c>
      <c r="V288" s="651">
        <f t="shared" si="39"/>
        <v>0</v>
      </c>
      <c r="W288" s="4"/>
    </row>
    <row r="289" spans="1:23" x14ac:dyDescent="0.25">
      <c r="A289" s="652" t="s">
        <v>442</v>
      </c>
      <c r="B289" s="653" t="s">
        <v>443</v>
      </c>
      <c r="C289" s="1" t="s">
        <v>444</v>
      </c>
      <c r="D289" s="118">
        <f>+CUBICACION!D288</f>
        <v>0</v>
      </c>
      <c r="E289" s="118">
        <f>+CUBICACION!F288</f>
        <v>0</v>
      </c>
      <c r="F289" s="118">
        <f>+CUBICACION!E288</f>
        <v>0</v>
      </c>
      <c r="G289" s="118">
        <v>12</v>
      </c>
      <c r="H289" s="118">
        <v>2</v>
      </c>
      <c r="I289" s="820">
        <v>26385</v>
      </c>
      <c r="J289" s="118">
        <f>+CUBICACION!J288</f>
        <v>0</v>
      </c>
      <c r="K289" s="118">
        <v>3068</v>
      </c>
      <c r="L289" s="118">
        <f>+CUBICACION!L288</f>
        <v>0</v>
      </c>
      <c r="M289" s="64">
        <f>+CUBICACION!M288</f>
        <v>0</v>
      </c>
      <c r="N289" s="824" t="str">
        <f>+CUBICACION!N288</f>
        <v/>
      </c>
      <c r="O289" s="675">
        <f>+CUBICACION!O288</f>
        <v>0</v>
      </c>
      <c r="P289" s="15">
        <f>IF(O289="Fire Control",VLOOKUP(_xlfn.MINIFS('FIRE CONTROL'!$C$4:$C$37,'FIRE CONTROL'!$C$4:$C$37,"&gt;="&amp;M289),'FIRE CONTROL'!$C$4:$G$37,IF(L289="F-15",2,IF(L289="F-30",3,IF(L289="F-60",4,IF(L289="F-90",5,0)))),0),0)+IF(AND(O289="FIRE TEX 5062",OR(E289="IN",E289="C",E289="Z",E289="L"),J289=3),VLOOKUP(_xlfn.MINIFS('FIRE TEX 5062'!$B$4:$B$34,'FIRE TEX 5062'!$B$4:$B$34,"&gt;="&amp;M289),'FIRE TEX 5062'!$B$4:$F$34,IF(L289="F-15",2,IF(L289="F-30",3,IF(L289="F-60",4,IF(L289="F-90",5,0)))),0),0)+IF(AND(O289="FIRE TEX 5062",OR(E289="IN",E289="C",E289="Z",E289="L"),J289=4),VLOOKUP(_xlfn.MINIFS('FIRE TEX 5062'!$G$4:$G$34,'FIRE TEX 5062'!$G$4:$G$34,"&gt;="&amp;M289),'FIRE TEX 5062'!$G$4:$K$34,IF(L289="F-15",2,IF(L289="F-30",3,IF(L289="F-60",4,IF(L289="F-90",5,0)))),0),0)+IF(AND(O289="FIRE TEX 5062",E289="CJ",J289=3),VLOOKUP(_xlfn.MINIFS('FIRE TEX 5062'!$L$4:$L$34,'FIRE TEX 5062'!$L$4:$L$34,"&gt;="&amp;M289),'FIRE TEX 5062'!$L$4:$P$34,IF(L289="F-15",2,IF(L289="F-30",3,IF(L289="F-60",4,IF(L289="F-90",5,0)))),0),0)+IF(AND(O289="FIRE TEX 5062",E289="CJ",J289=4),VLOOKUP(_xlfn.MINIFS('FIRE TEX 5062'!$Q$3:$Q$34,'FIRE TEX 5062'!$Q$3:$Q$34,"&gt;="&amp;M289),'FIRE TEX 5062'!$Q$3:$U$34,IF(L289="F-15",2,IF(L289="F-30",3,IF(L289="F-60",4,IF(L289="F-90",5,0)))),0),0)+IF(AND(O289="FIRE TEX 5090",OR(E289="IN",E289="C",E289="Z",E289="L"),J289=3),VLOOKUP(_xlfn.MINIFS('FIRE TEX 5090'!$B$5:$B$43,'FIRE TEX 5090'!$B$5:$B$43,"&gt;="&amp;M289),'FIRE TEX 5090'!$B$5:$H$43,IF(L289="F-15",2,IF(L289="F-30",3,IF(L289="F-60",4,IF(L289="F-90",5,IF(L289="F-120",6,IF(L289="F-150",7,0)))))),0),0)+IF(AND(O289="FIRE TEX 5090",OR(E289="IN",E289="C",E289="Z",E289="L"),J289=4),VLOOKUP(_xlfn.MINIFS('FIRE TEX 5090'!$J$5:$J$43,'FIRE TEX 5090'!$J$5:$J$43,"&gt;="&amp;M289),'FIRE TEX 5090'!$J$5:$P$43,IF(L289="F-15",2,IF(L289="F-30",3,IF(L289="F-60",4,IF(L289="F-90",5,IF(L289="F-120",6,IF(L289="F-150",7,0)))))),0),0)+IF(AND(O289="FIRE TEX 5090",E289="CJ",J289=3),VLOOKUP(_xlfn.MINIFS('FIRE TEX 5090'!$R$5:$R$30,'FIRE TEX 5090'!$R$5:$R$30,"&gt;="&amp;M289),'FIRE TEX 5090'!$R$5:$W$30,IF(L289="F-15",2,IF(L289="F-30",3,IF(L289="F-60",4,IF(L289="F-90",5,IF(L289="F-120",6,IF(L289="F-150",7,0)))))),0),0)+IF(AND(O289="FIRE TEX 5090",E289="CJ",J289=4),VLOOKUP(_xlfn.MINIFS('FIRE TEX 5090'!$Y$5:$Y$39,'FIRE TEX 5090'!$Y$5:$Y$39,"&gt;="&amp;M289),'FIRE TEX 5090'!$Y$5:$AD$39,IF(L289="F-15",2,IF(L289="F-30",3,IF(L289="F-60",4,IF(L289="F-90",5,IF(L289="F-120",6,IF(L289="F-150",7,0)))))),0),0)+IF(AND(O289="FIRE TEX 5120",OR(E289="IN",E289="C",E289="Z",E289="L"),J289=3),VLOOKUP(_xlfn.MINIFS('FIRE TEX 5120'!$B$5:$B$40,'FIRE TEX 5120'!$B$5:$B$40,"&gt;="&amp;M289),'FIRE TEX 5120'!$B$5:$G$40,IF(L289="F-15",2,IF(L289="F-30",3,IF(L289="F-60",4,IF(L289="F-90",5,IF(L289="F-120",6,0))))),0),0)+IF(AND(O289="FIRE TEX 5120",OR(E289="IN",E289="C",E289="Z",E289="L"),J289=4),VLOOKUP(_xlfn.MINIFS('FIRE TEX 5120'!$H$4:$H$40,'FIRE TEX 5120'!$H$4:$H$40,"&gt;="&amp;M289),'FIRE TEX 5120'!$H$4:$M$40,IF(L289="F-15",2,IF(L289="F-30",3,IF(L289="F-60",4,IF(L289="F-90",5,IF(L289="F-120",6,0))))),0),0)+IF(AND(O289="FIRE TEX 5120",E289="CJ"),VLOOKUP(_xlfn.MINIFS('FIRE TEX 5120'!$O$5:$O$40,'FIRE TEX 5120'!$O$5:$O$40,"&gt;="&amp;M289),'FIRE TEX 5120'!$O$5:$T$40,IF(L289="F-15",2,IF(L289="F-30",3,IF(L289="F-60",4,IF(L289="F-90",5,IF(L289="F-120",6,0))))),0),0)</f>
        <v>0</v>
      </c>
      <c r="Q289" s="46">
        <f t="shared" si="34"/>
        <v>0</v>
      </c>
      <c r="R289" s="46">
        <f t="shared" si="36"/>
        <v>0</v>
      </c>
      <c r="S289" s="46" t="e">
        <f t="shared" si="35"/>
        <v>#VALUE!</v>
      </c>
      <c r="T289" s="677">
        <f t="shared" si="37"/>
        <v>0</v>
      </c>
      <c r="U289" s="80">
        <f>(IF(O289="Stofire",(S289*#REF!),0))+(IF(O289="Fire Control",(S289*$U$2),0))+(IF(O289="Fire Tex",(S289*$U$3),0))+(IF(O289="WB7",(S289*#REF!),0)+(IF(O289="FX 2003",(S289*$U$5),0)))</f>
        <v>0</v>
      </c>
      <c r="V289" s="651">
        <f t="shared" si="39"/>
        <v>0</v>
      </c>
      <c r="W289" s="4"/>
    </row>
    <row r="290" spans="1:23" x14ac:dyDescent="0.25">
      <c r="A290" s="652" t="s">
        <v>442</v>
      </c>
      <c r="B290" s="653" t="s">
        <v>443</v>
      </c>
      <c r="C290" s="1" t="s">
        <v>446</v>
      </c>
      <c r="D290" s="118">
        <f>+CUBICACION!D289</f>
        <v>0</v>
      </c>
      <c r="E290" s="118">
        <f>+CUBICACION!F289</f>
        <v>0</v>
      </c>
      <c r="F290" s="118">
        <f>+CUBICACION!E289</f>
        <v>0</v>
      </c>
      <c r="G290" s="118">
        <v>12</v>
      </c>
      <c r="H290" s="118">
        <v>2</v>
      </c>
      <c r="I290" s="820">
        <v>26385</v>
      </c>
      <c r="J290" s="118">
        <f>+CUBICACION!J289</f>
        <v>0</v>
      </c>
      <c r="K290" s="118">
        <v>3069</v>
      </c>
      <c r="L290" s="118">
        <f>+CUBICACION!L289</f>
        <v>0</v>
      </c>
      <c r="M290" s="64">
        <f>+CUBICACION!M289</f>
        <v>0</v>
      </c>
      <c r="N290" s="824" t="str">
        <f>+CUBICACION!N289</f>
        <v/>
      </c>
      <c r="O290" s="675">
        <f>+CUBICACION!O289</f>
        <v>0</v>
      </c>
      <c r="P290" s="15">
        <f>IF(O290="Fire Control",VLOOKUP(_xlfn.MINIFS('FIRE CONTROL'!$C$4:$C$37,'FIRE CONTROL'!$C$4:$C$37,"&gt;="&amp;M290),'FIRE CONTROL'!$C$4:$G$37,IF(L290="F-15",2,IF(L290="F-30",3,IF(L290="F-60",4,IF(L290="F-90",5,0)))),0),0)+IF(AND(O290="FIRE TEX 5062",OR(E290="IN",E290="C",E290="Z",E290="L"),J290=3),VLOOKUP(_xlfn.MINIFS('FIRE TEX 5062'!$B$4:$B$34,'FIRE TEX 5062'!$B$4:$B$34,"&gt;="&amp;M290),'FIRE TEX 5062'!$B$4:$F$34,IF(L290="F-15",2,IF(L290="F-30",3,IF(L290="F-60",4,IF(L290="F-90",5,0)))),0),0)+IF(AND(O290="FIRE TEX 5062",OR(E290="IN",E290="C",E290="Z",E290="L"),J290=4),VLOOKUP(_xlfn.MINIFS('FIRE TEX 5062'!$G$4:$G$34,'FIRE TEX 5062'!$G$4:$G$34,"&gt;="&amp;M290),'FIRE TEX 5062'!$G$4:$K$34,IF(L290="F-15",2,IF(L290="F-30",3,IF(L290="F-60",4,IF(L290="F-90",5,0)))),0),0)+IF(AND(O290="FIRE TEX 5062",E290="CJ",J290=3),VLOOKUP(_xlfn.MINIFS('FIRE TEX 5062'!$L$4:$L$34,'FIRE TEX 5062'!$L$4:$L$34,"&gt;="&amp;M290),'FIRE TEX 5062'!$L$4:$P$34,IF(L290="F-15",2,IF(L290="F-30",3,IF(L290="F-60",4,IF(L290="F-90",5,0)))),0),0)+IF(AND(O290="FIRE TEX 5062",E290="CJ",J290=4),VLOOKUP(_xlfn.MINIFS('FIRE TEX 5062'!$Q$3:$Q$34,'FIRE TEX 5062'!$Q$3:$Q$34,"&gt;="&amp;M290),'FIRE TEX 5062'!$Q$3:$U$34,IF(L290="F-15",2,IF(L290="F-30",3,IF(L290="F-60",4,IF(L290="F-90",5,0)))),0),0)+IF(AND(O290="FIRE TEX 5090",OR(E290="IN",E290="C",E290="Z",E290="L"),J290=3),VLOOKUP(_xlfn.MINIFS('FIRE TEX 5090'!$B$5:$B$43,'FIRE TEX 5090'!$B$5:$B$43,"&gt;="&amp;M290),'FIRE TEX 5090'!$B$5:$H$43,IF(L290="F-15",2,IF(L290="F-30",3,IF(L290="F-60",4,IF(L290="F-90",5,IF(L290="F-120",6,IF(L290="F-150",7,0)))))),0),0)+IF(AND(O290="FIRE TEX 5090",OR(E290="IN",E290="C",E290="Z",E290="L"),J290=4),VLOOKUP(_xlfn.MINIFS('FIRE TEX 5090'!$J$5:$J$43,'FIRE TEX 5090'!$J$5:$J$43,"&gt;="&amp;M290),'FIRE TEX 5090'!$J$5:$P$43,IF(L290="F-15",2,IF(L290="F-30",3,IF(L290="F-60",4,IF(L290="F-90",5,IF(L290="F-120",6,IF(L290="F-150",7,0)))))),0),0)+IF(AND(O290="FIRE TEX 5090",E290="CJ",J290=3),VLOOKUP(_xlfn.MINIFS('FIRE TEX 5090'!$R$5:$R$30,'FIRE TEX 5090'!$R$5:$R$30,"&gt;="&amp;M290),'FIRE TEX 5090'!$R$5:$W$30,IF(L290="F-15",2,IF(L290="F-30",3,IF(L290="F-60",4,IF(L290="F-90",5,IF(L290="F-120",6,IF(L290="F-150",7,0)))))),0),0)+IF(AND(O290="FIRE TEX 5090",E290="CJ",J290=4),VLOOKUP(_xlfn.MINIFS('FIRE TEX 5090'!$Y$5:$Y$39,'FIRE TEX 5090'!$Y$5:$Y$39,"&gt;="&amp;M290),'FIRE TEX 5090'!$Y$5:$AD$39,IF(L290="F-15",2,IF(L290="F-30",3,IF(L290="F-60",4,IF(L290="F-90",5,IF(L290="F-120",6,IF(L290="F-150",7,0)))))),0),0)+IF(AND(O290="FIRE TEX 5120",OR(E290="IN",E290="C",E290="Z",E290="L"),J290=3),VLOOKUP(_xlfn.MINIFS('FIRE TEX 5120'!$B$5:$B$40,'FIRE TEX 5120'!$B$5:$B$40,"&gt;="&amp;M290),'FIRE TEX 5120'!$B$5:$G$40,IF(L290="F-15",2,IF(L290="F-30",3,IF(L290="F-60",4,IF(L290="F-90",5,IF(L290="F-120",6,0))))),0),0)+IF(AND(O290="FIRE TEX 5120",OR(E290="IN",E290="C",E290="Z",E290="L"),J290=4),VLOOKUP(_xlfn.MINIFS('FIRE TEX 5120'!$H$4:$H$40,'FIRE TEX 5120'!$H$4:$H$40,"&gt;="&amp;M290),'FIRE TEX 5120'!$H$4:$M$40,IF(L290="F-15",2,IF(L290="F-30",3,IF(L290="F-60",4,IF(L290="F-90",5,IF(L290="F-120",6,0))))),0),0)+IF(AND(O290="FIRE TEX 5120",E290="CJ"),VLOOKUP(_xlfn.MINIFS('FIRE TEX 5120'!$O$5:$O$40,'FIRE TEX 5120'!$O$5:$O$40,"&gt;="&amp;M290),'FIRE TEX 5120'!$O$5:$T$40,IF(L290="F-15",2,IF(L290="F-30",3,IF(L290="F-60",4,IF(L290="F-90",5,IF(L290="F-120",6,0))))),0),0)</f>
        <v>0</v>
      </c>
      <c r="Q290" s="46">
        <f t="shared" si="34"/>
        <v>0</v>
      </c>
      <c r="R290" s="46">
        <f t="shared" si="36"/>
        <v>0</v>
      </c>
      <c r="S290" s="46" t="e">
        <f t="shared" si="35"/>
        <v>#VALUE!</v>
      </c>
      <c r="T290" s="677">
        <f t="shared" si="37"/>
        <v>0</v>
      </c>
      <c r="U290" s="80">
        <f>(IF(O290="Stofire",(S290*#REF!),0))+(IF(O290="Fire Control",(S290*$U$2),0))+(IF(O290="Fire Tex",(S290*$U$3),0))+(IF(O290="WB7",(S290*#REF!),0)+(IF(O290="FX 2003",(S290*$U$5),0)))</f>
        <v>0</v>
      </c>
      <c r="V290" s="651">
        <f>_xlfn.CEILING.MATH(M290,10)</f>
        <v>0</v>
      </c>
      <c r="W290" s="4"/>
    </row>
    <row r="291" spans="1:23" x14ac:dyDescent="0.25">
      <c r="A291" s="652" t="s">
        <v>448</v>
      </c>
      <c r="B291" s="653" t="s">
        <v>443</v>
      </c>
      <c r="C291" s="1" t="s">
        <v>444</v>
      </c>
      <c r="D291" s="118">
        <f>+CUBICACION!D290</f>
        <v>0</v>
      </c>
      <c r="E291" s="118">
        <f>+CUBICACION!F290</f>
        <v>0</v>
      </c>
      <c r="F291" s="118">
        <f>+CUBICACION!E290</f>
        <v>0</v>
      </c>
      <c r="G291" s="118">
        <v>12</v>
      </c>
      <c r="H291" s="118">
        <v>2</v>
      </c>
      <c r="I291" s="820">
        <v>26385</v>
      </c>
      <c r="J291" s="118">
        <f>+CUBICACION!J290</f>
        <v>0</v>
      </c>
      <c r="K291" s="118">
        <v>3070</v>
      </c>
      <c r="L291" s="118">
        <f>+CUBICACION!L290</f>
        <v>0</v>
      </c>
      <c r="M291" s="64">
        <f>+CUBICACION!M290</f>
        <v>0</v>
      </c>
      <c r="N291" s="824" t="str">
        <f>+CUBICACION!N290</f>
        <v/>
      </c>
      <c r="O291" s="675">
        <f>+CUBICACION!O290</f>
        <v>0</v>
      </c>
      <c r="P291" s="15">
        <f>IF(O291="Fire Control",VLOOKUP(_xlfn.MINIFS('FIRE CONTROL'!$C$4:$C$37,'FIRE CONTROL'!$C$4:$C$37,"&gt;="&amp;M291),'FIRE CONTROL'!$C$4:$G$37,IF(L291="F-15",2,IF(L291="F-30",3,IF(L291="F-60",4,IF(L291="F-90",5,0)))),0),0)+IF(AND(O291="FIRE TEX 5062",OR(E291="IN",E291="C",E291="Z",E291="L"),J291=3),VLOOKUP(_xlfn.MINIFS('FIRE TEX 5062'!$B$4:$B$34,'FIRE TEX 5062'!$B$4:$B$34,"&gt;="&amp;M291),'FIRE TEX 5062'!$B$4:$F$34,IF(L291="F-15",2,IF(L291="F-30",3,IF(L291="F-60",4,IF(L291="F-90",5,0)))),0),0)+IF(AND(O291="FIRE TEX 5062",OR(E291="IN",E291="C",E291="Z",E291="L"),J291=4),VLOOKUP(_xlfn.MINIFS('FIRE TEX 5062'!$G$4:$G$34,'FIRE TEX 5062'!$G$4:$G$34,"&gt;="&amp;M291),'FIRE TEX 5062'!$G$4:$K$34,IF(L291="F-15",2,IF(L291="F-30",3,IF(L291="F-60",4,IF(L291="F-90",5,0)))),0),0)+IF(AND(O291="FIRE TEX 5062",E291="CJ",J291=3),VLOOKUP(_xlfn.MINIFS('FIRE TEX 5062'!$L$4:$L$34,'FIRE TEX 5062'!$L$4:$L$34,"&gt;="&amp;M291),'FIRE TEX 5062'!$L$4:$P$34,IF(L291="F-15",2,IF(L291="F-30",3,IF(L291="F-60",4,IF(L291="F-90",5,0)))),0),0)+IF(AND(O291="FIRE TEX 5062",E291="CJ",J291=4),VLOOKUP(_xlfn.MINIFS('FIRE TEX 5062'!$Q$3:$Q$34,'FIRE TEX 5062'!$Q$3:$Q$34,"&gt;="&amp;M291),'FIRE TEX 5062'!$Q$3:$U$34,IF(L291="F-15",2,IF(L291="F-30",3,IF(L291="F-60",4,IF(L291="F-90",5,0)))),0),0)+IF(AND(O291="FIRE TEX 5090",OR(E291="IN",E291="C",E291="Z",E291="L"),J291=3),VLOOKUP(_xlfn.MINIFS('FIRE TEX 5090'!$B$5:$B$43,'FIRE TEX 5090'!$B$5:$B$43,"&gt;="&amp;M291),'FIRE TEX 5090'!$B$5:$H$43,IF(L291="F-15",2,IF(L291="F-30",3,IF(L291="F-60",4,IF(L291="F-90",5,IF(L291="F-120",6,IF(L291="F-150",7,0)))))),0),0)+IF(AND(O291="FIRE TEX 5090",OR(E291="IN",E291="C",E291="Z",E291="L"),J291=4),VLOOKUP(_xlfn.MINIFS('FIRE TEX 5090'!$J$5:$J$43,'FIRE TEX 5090'!$J$5:$J$43,"&gt;="&amp;M291),'FIRE TEX 5090'!$J$5:$P$43,IF(L291="F-15",2,IF(L291="F-30",3,IF(L291="F-60",4,IF(L291="F-90",5,IF(L291="F-120",6,IF(L291="F-150",7,0)))))),0),0)+IF(AND(O291="FIRE TEX 5090",E291="CJ",J291=3),VLOOKUP(_xlfn.MINIFS('FIRE TEX 5090'!$R$5:$R$30,'FIRE TEX 5090'!$R$5:$R$30,"&gt;="&amp;M291),'FIRE TEX 5090'!$R$5:$W$30,IF(L291="F-15",2,IF(L291="F-30",3,IF(L291="F-60",4,IF(L291="F-90",5,IF(L291="F-120",6,IF(L291="F-150",7,0)))))),0),0)+IF(AND(O291="FIRE TEX 5090",E291="CJ",J291=4),VLOOKUP(_xlfn.MINIFS('FIRE TEX 5090'!$Y$5:$Y$39,'FIRE TEX 5090'!$Y$5:$Y$39,"&gt;="&amp;M291),'FIRE TEX 5090'!$Y$5:$AD$39,IF(L291="F-15",2,IF(L291="F-30",3,IF(L291="F-60",4,IF(L291="F-90",5,IF(L291="F-120",6,IF(L291="F-150",7,0)))))),0),0)+IF(AND(O291="FIRE TEX 5120",OR(E291="IN",E291="C",E291="Z",E291="L"),J291=3),VLOOKUP(_xlfn.MINIFS('FIRE TEX 5120'!$B$5:$B$40,'FIRE TEX 5120'!$B$5:$B$40,"&gt;="&amp;M291),'FIRE TEX 5120'!$B$5:$G$40,IF(L291="F-15",2,IF(L291="F-30",3,IF(L291="F-60",4,IF(L291="F-90",5,IF(L291="F-120",6,0))))),0),0)+IF(AND(O291="FIRE TEX 5120",OR(E291="IN",E291="C",E291="Z",E291="L"),J291=4),VLOOKUP(_xlfn.MINIFS('FIRE TEX 5120'!$H$4:$H$40,'FIRE TEX 5120'!$H$4:$H$40,"&gt;="&amp;M291),'FIRE TEX 5120'!$H$4:$M$40,IF(L291="F-15",2,IF(L291="F-30",3,IF(L291="F-60",4,IF(L291="F-90",5,IF(L291="F-120",6,0))))),0),0)+IF(AND(O291="FIRE TEX 5120",E291="CJ"),VLOOKUP(_xlfn.MINIFS('FIRE TEX 5120'!$O$5:$O$40,'FIRE TEX 5120'!$O$5:$O$40,"&gt;="&amp;M291),'FIRE TEX 5120'!$O$5:$T$40,IF(L291="F-15",2,IF(L291="F-30",3,IF(L291="F-60",4,IF(L291="F-90",5,IF(L291="F-120",6,0))))),0),0)</f>
        <v>0</v>
      </c>
      <c r="Q291" s="46">
        <f t="shared" si="34"/>
        <v>0</v>
      </c>
      <c r="R291" s="46">
        <f t="shared" si="36"/>
        <v>0</v>
      </c>
      <c r="S291" s="46" t="e">
        <f t="shared" si="35"/>
        <v>#VALUE!</v>
      </c>
      <c r="T291" s="677">
        <f t="shared" si="37"/>
        <v>0</v>
      </c>
      <c r="U291" s="80">
        <f>(IF(O291="Stofire",(S291*#REF!),0))+(IF(O291="Fire Control",(S291*$U$2),0))+(IF(O291="Fire Tex",(S291*$U$3),0))+(IF(O291="WB7",(S291*#REF!),0)+(IF(O291="FX 2003",(S291*$U$5),0)))</f>
        <v>0</v>
      </c>
      <c r="V291" s="651">
        <f>_xlfn.CEILING.MATH(M291,10)</f>
        <v>0</v>
      </c>
      <c r="W291" s="4"/>
    </row>
    <row r="292" spans="1:23" x14ac:dyDescent="0.25">
      <c r="A292" s="652" t="s">
        <v>448</v>
      </c>
      <c r="B292" s="653" t="s">
        <v>443</v>
      </c>
      <c r="C292" s="1" t="s">
        <v>446</v>
      </c>
      <c r="D292" s="118">
        <f>+CUBICACION!D291</f>
        <v>0</v>
      </c>
      <c r="E292" s="118">
        <f>+CUBICACION!F291</f>
        <v>0</v>
      </c>
      <c r="F292" s="118">
        <f>+CUBICACION!E291</f>
        <v>0</v>
      </c>
      <c r="G292" s="118">
        <v>12</v>
      </c>
      <c r="H292" s="118">
        <v>2</v>
      </c>
      <c r="I292" s="820">
        <v>26385</v>
      </c>
      <c r="J292" s="118">
        <f>+CUBICACION!J291</f>
        <v>0</v>
      </c>
      <c r="K292" s="118">
        <v>3071</v>
      </c>
      <c r="L292" s="118">
        <f>+CUBICACION!L291</f>
        <v>0</v>
      </c>
      <c r="M292" s="64">
        <f>+CUBICACION!M291</f>
        <v>0</v>
      </c>
      <c r="N292" s="824" t="str">
        <f>+CUBICACION!N291</f>
        <v/>
      </c>
      <c r="O292" s="675">
        <f>+CUBICACION!O291</f>
        <v>0</v>
      </c>
      <c r="P292" s="15">
        <f>IF(O292="Fire Control",VLOOKUP(_xlfn.MINIFS('FIRE CONTROL'!$C$4:$C$37,'FIRE CONTROL'!$C$4:$C$37,"&gt;="&amp;M292),'FIRE CONTROL'!$C$4:$G$37,IF(L292="F-15",2,IF(L292="F-30",3,IF(L292="F-60",4,IF(L292="F-90",5,0)))),0),0)+IF(AND(O292="FIRE TEX 5062",OR(E292="IN",E292="C",E292="Z",E292="L"),J292=3),VLOOKUP(_xlfn.MINIFS('FIRE TEX 5062'!$B$4:$B$34,'FIRE TEX 5062'!$B$4:$B$34,"&gt;="&amp;M292),'FIRE TEX 5062'!$B$4:$F$34,IF(L292="F-15",2,IF(L292="F-30",3,IF(L292="F-60",4,IF(L292="F-90",5,0)))),0),0)+IF(AND(O292="FIRE TEX 5062",OR(E292="IN",E292="C",E292="Z",E292="L"),J292=4),VLOOKUP(_xlfn.MINIFS('FIRE TEX 5062'!$G$4:$G$34,'FIRE TEX 5062'!$G$4:$G$34,"&gt;="&amp;M292),'FIRE TEX 5062'!$G$4:$K$34,IF(L292="F-15",2,IF(L292="F-30",3,IF(L292="F-60",4,IF(L292="F-90",5,0)))),0),0)+IF(AND(O292="FIRE TEX 5062",E292="CJ",J292=3),VLOOKUP(_xlfn.MINIFS('FIRE TEX 5062'!$L$4:$L$34,'FIRE TEX 5062'!$L$4:$L$34,"&gt;="&amp;M292),'FIRE TEX 5062'!$L$4:$P$34,IF(L292="F-15",2,IF(L292="F-30",3,IF(L292="F-60",4,IF(L292="F-90",5,0)))),0),0)+IF(AND(O292="FIRE TEX 5062",E292="CJ",J292=4),VLOOKUP(_xlfn.MINIFS('FIRE TEX 5062'!$Q$3:$Q$34,'FIRE TEX 5062'!$Q$3:$Q$34,"&gt;="&amp;M292),'FIRE TEX 5062'!$Q$3:$U$34,IF(L292="F-15",2,IF(L292="F-30",3,IF(L292="F-60",4,IF(L292="F-90",5,0)))),0),0)+IF(AND(O292="FIRE TEX 5090",OR(E292="IN",E292="C",E292="Z",E292="L"),J292=3),VLOOKUP(_xlfn.MINIFS('FIRE TEX 5090'!$B$5:$B$43,'FIRE TEX 5090'!$B$5:$B$43,"&gt;="&amp;M292),'FIRE TEX 5090'!$B$5:$H$43,IF(L292="F-15",2,IF(L292="F-30",3,IF(L292="F-60",4,IF(L292="F-90",5,IF(L292="F-120",6,IF(L292="F-150",7,0)))))),0),0)+IF(AND(O292="FIRE TEX 5090",OR(E292="IN",E292="C",E292="Z",E292="L"),J292=4),VLOOKUP(_xlfn.MINIFS('FIRE TEX 5090'!$J$5:$J$43,'FIRE TEX 5090'!$J$5:$J$43,"&gt;="&amp;M292),'FIRE TEX 5090'!$J$5:$P$43,IF(L292="F-15",2,IF(L292="F-30",3,IF(L292="F-60",4,IF(L292="F-90",5,IF(L292="F-120",6,IF(L292="F-150",7,0)))))),0),0)+IF(AND(O292="FIRE TEX 5090",E292="CJ",J292=3),VLOOKUP(_xlfn.MINIFS('FIRE TEX 5090'!$R$5:$R$30,'FIRE TEX 5090'!$R$5:$R$30,"&gt;="&amp;M292),'FIRE TEX 5090'!$R$5:$W$30,IF(L292="F-15",2,IF(L292="F-30",3,IF(L292="F-60",4,IF(L292="F-90",5,IF(L292="F-120",6,IF(L292="F-150",7,0)))))),0),0)+IF(AND(O292="FIRE TEX 5090",E292="CJ",J292=4),VLOOKUP(_xlfn.MINIFS('FIRE TEX 5090'!$Y$5:$Y$39,'FIRE TEX 5090'!$Y$5:$Y$39,"&gt;="&amp;M292),'FIRE TEX 5090'!$Y$5:$AD$39,IF(L292="F-15",2,IF(L292="F-30",3,IF(L292="F-60",4,IF(L292="F-90",5,IF(L292="F-120",6,IF(L292="F-150",7,0)))))),0),0)+IF(AND(O292="FIRE TEX 5120",OR(E292="IN",E292="C",E292="Z",E292="L"),J292=3),VLOOKUP(_xlfn.MINIFS('FIRE TEX 5120'!$B$5:$B$40,'FIRE TEX 5120'!$B$5:$B$40,"&gt;="&amp;M292),'FIRE TEX 5120'!$B$5:$G$40,IF(L292="F-15",2,IF(L292="F-30",3,IF(L292="F-60",4,IF(L292="F-90",5,IF(L292="F-120",6,0))))),0),0)+IF(AND(O292="FIRE TEX 5120",OR(E292="IN",E292="C",E292="Z",E292="L"),J292=4),VLOOKUP(_xlfn.MINIFS('FIRE TEX 5120'!$H$4:$H$40,'FIRE TEX 5120'!$H$4:$H$40,"&gt;="&amp;M292),'FIRE TEX 5120'!$H$4:$M$40,IF(L292="F-15",2,IF(L292="F-30",3,IF(L292="F-60",4,IF(L292="F-90",5,IF(L292="F-120",6,0))))),0),0)+IF(AND(O292="FIRE TEX 5120",E292="CJ"),VLOOKUP(_xlfn.MINIFS('FIRE TEX 5120'!$O$5:$O$40,'FIRE TEX 5120'!$O$5:$O$40,"&gt;="&amp;M292),'FIRE TEX 5120'!$O$5:$T$40,IF(L292="F-15",2,IF(L292="F-30",3,IF(L292="F-60",4,IF(L292="F-90",5,IF(L292="F-120",6,0))))),0),0)</f>
        <v>0</v>
      </c>
      <c r="Q292" s="46">
        <f t="shared" si="34"/>
        <v>0</v>
      </c>
      <c r="R292" s="46">
        <f t="shared" si="36"/>
        <v>0</v>
      </c>
      <c r="S292" s="46" t="e">
        <f t="shared" si="35"/>
        <v>#VALUE!</v>
      </c>
      <c r="T292" s="677">
        <f t="shared" si="37"/>
        <v>0</v>
      </c>
      <c r="U292" s="80">
        <f>(IF(O292="Stofire",(S292*#REF!),0))+(IF(O292="Fire Control",(S292*$U$2),0))+(IF(O292="Fire Tex",(S292*$U$3),0))+(IF(O292="WB7",(S292*#REF!),0)+(IF(O292="FX 2003",(S292*$U$5),0)))</f>
        <v>0</v>
      </c>
      <c r="V292" s="651">
        <f t="shared" ref="V292:V304" si="40">_xlfn.CEILING.MATH(M292,10)</f>
        <v>0</v>
      </c>
      <c r="W292" s="4"/>
    </row>
    <row r="293" spans="1:23" x14ac:dyDescent="0.25">
      <c r="A293" s="652" t="s">
        <v>448</v>
      </c>
      <c r="B293" s="653" t="s">
        <v>451</v>
      </c>
      <c r="C293" s="1" t="s">
        <v>446</v>
      </c>
      <c r="D293" s="118">
        <f>+CUBICACION!D292</f>
        <v>0</v>
      </c>
      <c r="E293" s="118">
        <f>+CUBICACION!F292</f>
        <v>0</v>
      </c>
      <c r="F293" s="118">
        <f>+CUBICACION!E292</f>
        <v>0</v>
      </c>
      <c r="G293" s="118">
        <v>12</v>
      </c>
      <c r="H293" s="118">
        <v>2</v>
      </c>
      <c r="I293" s="820">
        <v>26385</v>
      </c>
      <c r="J293" s="118">
        <f>+CUBICACION!J292</f>
        <v>0</v>
      </c>
      <c r="K293" s="118">
        <v>3072</v>
      </c>
      <c r="L293" s="118">
        <f>+CUBICACION!L292</f>
        <v>0</v>
      </c>
      <c r="M293" s="64">
        <f>+CUBICACION!M292</f>
        <v>0</v>
      </c>
      <c r="N293" s="824" t="str">
        <f>+CUBICACION!N292</f>
        <v/>
      </c>
      <c r="O293" s="675">
        <f>+CUBICACION!O292</f>
        <v>0</v>
      </c>
      <c r="P293" s="15">
        <f>IF(O293="Fire Control",VLOOKUP(_xlfn.MINIFS('FIRE CONTROL'!$C$4:$C$37,'FIRE CONTROL'!$C$4:$C$37,"&gt;="&amp;M293),'FIRE CONTROL'!$C$4:$G$37,IF(L293="F-15",2,IF(L293="F-30",3,IF(L293="F-60",4,IF(L293="F-90",5,0)))),0),0)+IF(AND(O293="FIRE TEX 5062",OR(E293="IN",E293="C",E293="Z",E293="L"),J293=3),VLOOKUP(_xlfn.MINIFS('FIRE TEX 5062'!$B$4:$B$34,'FIRE TEX 5062'!$B$4:$B$34,"&gt;="&amp;M293),'FIRE TEX 5062'!$B$4:$F$34,IF(L293="F-15",2,IF(L293="F-30",3,IF(L293="F-60",4,IF(L293="F-90",5,0)))),0),0)+IF(AND(O293="FIRE TEX 5062",OR(E293="IN",E293="C",E293="Z",E293="L"),J293=4),VLOOKUP(_xlfn.MINIFS('FIRE TEX 5062'!$G$4:$G$34,'FIRE TEX 5062'!$G$4:$G$34,"&gt;="&amp;M293),'FIRE TEX 5062'!$G$4:$K$34,IF(L293="F-15",2,IF(L293="F-30",3,IF(L293="F-60",4,IF(L293="F-90",5,0)))),0),0)+IF(AND(O293="FIRE TEX 5062",E293="CJ",J293=3),VLOOKUP(_xlfn.MINIFS('FIRE TEX 5062'!$L$4:$L$34,'FIRE TEX 5062'!$L$4:$L$34,"&gt;="&amp;M293),'FIRE TEX 5062'!$L$4:$P$34,IF(L293="F-15",2,IF(L293="F-30",3,IF(L293="F-60",4,IF(L293="F-90",5,0)))),0),0)+IF(AND(O293="FIRE TEX 5062",E293="CJ",J293=4),VLOOKUP(_xlfn.MINIFS('FIRE TEX 5062'!$Q$3:$Q$34,'FIRE TEX 5062'!$Q$3:$Q$34,"&gt;="&amp;M293),'FIRE TEX 5062'!$Q$3:$U$34,IF(L293="F-15",2,IF(L293="F-30",3,IF(L293="F-60",4,IF(L293="F-90",5,0)))),0),0)+IF(AND(O293="FIRE TEX 5090",OR(E293="IN",E293="C",E293="Z",E293="L"),J293=3),VLOOKUP(_xlfn.MINIFS('FIRE TEX 5090'!$B$5:$B$43,'FIRE TEX 5090'!$B$5:$B$43,"&gt;="&amp;M293),'FIRE TEX 5090'!$B$5:$H$43,IF(L293="F-15",2,IF(L293="F-30",3,IF(L293="F-60",4,IF(L293="F-90",5,IF(L293="F-120",6,IF(L293="F-150",7,0)))))),0),0)+IF(AND(O293="FIRE TEX 5090",OR(E293="IN",E293="C",E293="Z",E293="L"),J293=4),VLOOKUP(_xlfn.MINIFS('FIRE TEX 5090'!$J$5:$J$43,'FIRE TEX 5090'!$J$5:$J$43,"&gt;="&amp;M293),'FIRE TEX 5090'!$J$5:$P$43,IF(L293="F-15",2,IF(L293="F-30",3,IF(L293="F-60",4,IF(L293="F-90",5,IF(L293="F-120",6,IF(L293="F-150",7,0)))))),0),0)+IF(AND(O293="FIRE TEX 5090",E293="CJ",J293=3),VLOOKUP(_xlfn.MINIFS('FIRE TEX 5090'!$R$5:$R$30,'FIRE TEX 5090'!$R$5:$R$30,"&gt;="&amp;M293),'FIRE TEX 5090'!$R$5:$W$30,IF(L293="F-15",2,IF(L293="F-30",3,IF(L293="F-60",4,IF(L293="F-90",5,IF(L293="F-120",6,IF(L293="F-150",7,0)))))),0),0)+IF(AND(O293="FIRE TEX 5090",E293="CJ",J293=4),VLOOKUP(_xlfn.MINIFS('FIRE TEX 5090'!$Y$5:$Y$39,'FIRE TEX 5090'!$Y$5:$Y$39,"&gt;="&amp;M293),'FIRE TEX 5090'!$Y$5:$AD$39,IF(L293="F-15",2,IF(L293="F-30",3,IF(L293="F-60",4,IF(L293="F-90",5,IF(L293="F-120",6,IF(L293="F-150",7,0)))))),0),0)+IF(AND(O293="FIRE TEX 5120",OR(E293="IN",E293="C",E293="Z",E293="L"),J293=3),VLOOKUP(_xlfn.MINIFS('FIRE TEX 5120'!$B$5:$B$40,'FIRE TEX 5120'!$B$5:$B$40,"&gt;="&amp;M293),'FIRE TEX 5120'!$B$5:$G$40,IF(L293="F-15",2,IF(L293="F-30",3,IF(L293="F-60",4,IF(L293="F-90",5,IF(L293="F-120",6,0))))),0),0)+IF(AND(O293="FIRE TEX 5120",OR(E293="IN",E293="C",E293="Z",E293="L"),J293=4),VLOOKUP(_xlfn.MINIFS('FIRE TEX 5120'!$H$4:$H$40,'FIRE TEX 5120'!$H$4:$H$40,"&gt;="&amp;M293),'FIRE TEX 5120'!$H$4:$M$40,IF(L293="F-15",2,IF(L293="F-30",3,IF(L293="F-60",4,IF(L293="F-90",5,IF(L293="F-120",6,0))))),0),0)+IF(AND(O293="FIRE TEX 5120",E293="CJ"),VLOOKUP(_xlfn.MINIFS('FIRE TEX 5120'!$O$5:$O$40,'FIRE TEX 5120'!$O$5:$O$40,"&gt;="&amp;M293),'FIRE TEX 5120'!$O$5:$T$40,IF(L293="F-15",2,IF(L293="F-30",3,IF(L293="F-60",4,IF(L293="F-90",5,IF(L293="F-120",6,0))))),0),0)</f>
        <v>0</v>
      </c>
      <c r="Q293" s="46">
        <f t="shared" si="34"/>
        <v>0</v>
      </c>
      <c r="R293" s="46">
        <f t="shared" si="36"/>
        <v>0</v>
      </c>
      <c r="S293" s="46" t="e">
        <f t="shared" si="35"/>
        <v>#VALUE!</v>
      </c>
      <c r="T293" s="677">
        <f t="shared" si="37"/>
        <v>0</v>
      </c>
      <c r="U293" s="80">
        <f>(IF(O293="Stofire",(S293*#REF!),0))+(IF(O293="Fire Control",(S293*$U$2),0))+(IF(O293="Fire Tex",(S293*$U$3),0))+(IF(O293="WB7",(S293*#REF!),0)+(IF(O293="FX 2003",(S293*$U$5),0)))</f>
        <v>0</v>
      </c>
      <c r="V293" s="651">
        <f t="shared" si="40"/>
        <v>0</v>
      </c>
      <c r="W293" s="4"/>
    </row>
    <row r="294" spans="1:23" x14ac:dyDescent="0.25">
      <c r="A294" s="652" t="s">
        <v>452</v>
      </c>
      <c r="B294" s="653" t="s">
        <v>453</v>
      </c>
      <c r="C294" s="1" t="s">
        <v>454</v>
      </c>
      <c r="D294" s="118">
        <f>+CUBICACION!D293</f>
        <v>0</v>
      </c>
      <c r="E294" s="118">
        <f>+CUBICACION!F293</f>
        <v>0</v>
      </c>
      <c r="F294" s="118">
        <f>+CUBICACION!E293</f>
        <v>0</v>
      </c>
      <c r="G294" s="118">
        <v>12</v>
      </c>
      <c r="H294" s="118">
        <v>2</v>
      </c>
      <c r="I294" s="820">
        <v>26385</v>
      </c>
      <c r="J294" s="118">
        <f>+CUBICACION!J293</f>
        <v>0</v>
      </c>
      <c r="K294" s="118">
        <v>3073</v>
      </c>
      <c r="L294" s="118">
        <f>+CUBICACION!L293</f>
        <v>0</v>
      </c>
      <c r="M294" s="64">
        <f>+CUBICACION!M293</f>
        <v>0</v>
      </c>
      <c r="N294" s="824" t="str">
        <f>+CUBICACION!N293</f>
        <v/>
      </c>
      <c r="O294" s="675">
        <f>+CUBICACION!O293</f>
        <v>0</v>
      </c>
      <c r="P294" s="15">
        <f>IF(O294="Fire Control",VLOOKUP(_xlfn.MINIFS('FIRE CONTROL'!$C$4:$C$37,'FIRE CONTROL'!$C$4:$C$37,"&gt;="&amp;M294),'FIRE CONTROL'!$C$4:$G$37,IF(L294="F-15",2,IF(L294="F-30",3,IF(L294="F-60",4,IF(L294="F-90",5,0)))),0),0)+IF(AND(O294="FIRE TEX 5062",OR(E294="IN",E294="C",E294="Z",E294="L"),J294=3),VLOOKUP(_xlfn.MINIFS('FIRE TEX 5062'!$B$4:$B$34,'FIRE TEX 5062'!$B$4:$B$34,"&gt;="&amp;M294),'FIRE TEX 5062'!$B$4:$F$34,IF(L294="F-15",2,IF(L294="F-30",3,IF(L294="F-60",4,IF(L294="F-90",5,0)))),0),0)+IF(AND(O294="FIRE TEX 5062",OR(E294="IN",E294="C",E294="Z",E294="L"),J294=4),VLOOKUP(_xlfn.MINIFS('FIRE TEX 5062'!$G$4:$G$34,'FIRE TEX 5062'!$G$4:$G$34,"&gt;="&amp;M294),'FIRE TEX 5062'!$G$4:$K$34,IF(L294="F-15",2,IF(L294="F-30",3,IF(L294="F-60",4,IF(L294="F-90",5,0)))),0),0)+IF(AND(O294="FIRE TEX 5062",E294="CJ",J294=3),VLOOKUP(_xlfn.MINIFS('FIRE TEX 5062'!$L$4:$L$34,'FIRE TEX 5062'!$L$4:$L$34,"&gt;="&amp;M294),'FIRE TEX 5062'!$L$4:$P$34,IF(L294="F-15",2,IF(L294="F-30",3,IF(L294="F-60",4,IF(L294="F-90",5,0)))),0),0)+IF(AND(O294="FIRE TEX 5062",E294="CJ",J294=4),VLOOKUP(_xlfn.MINIFS('FIRE TEX 5062'!$Q$3:$Q$34,'FIRE TEX 5062'!$Q$3:$Q$34,"&gt;="&amp;M294),'FIRE TEX 5062'!$Q$3:$U$34,IF(L294="F-15",2,IF(L294="F-30",3,IF(L294="F-60",4,IF(L294="F-90",5,0)))),0),0)+IF(AND(O294="FIRE TEX 5090",OR(E294="IN",E294="C",E294="Z",E294="L"),J294=3),VLOOKUP(_xlfn.MINIFS('FIRE TEX 5090'!$B$5:$B$43,'FIRE TEX 5090'!$B$5:$B$43,"&gt;="&amp;M294),'FIRE TEX 5090'!$B$5:$H$43,IF(L294="F-15",2,IF(L294="F-30",3,IF(L294="F-60",4,IF(L294="F-90",5,IF(L294="F-120",6,IF(L294="F-150",7,0)))))),0),0)+IF(AND(O294="FIRE TEX 5090",OR(E294="IN",E294="C",E294="Z",E294="L"),J294=4),VLOOKUP(_xlfn.MINIFS('FIRE TEX 5090'!$J$5:$J$43,'FIRE TEX 5090'!$J$5:$J$43,"&gt;="&amp;M294),'FIRE TEX 5090'!$J$5:$P$43,IF(L294="F-15",2,IF(L294="F-30",3,IF(L294="F-60",4,IF(L294="F-90",5,IF(L294="F-120",6,IF(L294="F-150",7,0)))))),0),0)+IF(AND(O294="FIRE TEX 5090",E294="CJ",J294=3),VLOOKUP(_xlfn.MINIFS('FIRE TEX 5090'!$R$5:$R$30,'FIRE TEX 5090'!$R$5:$R$30,"&gt;="&amp;M294),'FIRE TEX 5090'!$R$5:$W$30,IF(L294="F-15",2,IF(L294="F-30",3,IF(L294="F-60",4,IF(L294="F-90",5,IF(L294="F-120",6,IF(L294="F-150",7,0)))))),0),0)+IF(AND(O294="FIRE TEX 5090",E294="CJ",J294=4),VLOOKUP(_xlfn.MINIFS('FIRE TEX 5090'!$Y$5:$Y$39,'FIRE TEX 5090'!$Y$5:$Y$39,"&gt;="&amp;M294),'FIRE TEX 5090'!$Y$5:$AD$39,IF(L294="F-15",2,IF(L294="F-30",3,IF(L294="F-60",4,IF(L294="F-90",5,IF(L294="F-120",6,IF(L294="F-150",7,0)))))),0),0)+IF(AND(O294="FIRE TEX 5120",OR(E294="IN",E294="C",E294="Z",E294="L"),J294=3),VLOOKUP(_xlfn.MINIFS('FIRE TEX 5120'!$B$5:$B$40,'FIRE TEX 5120'!$B$5:$B$40,"&gt;="&amp;M294),'FIRE TEX 5120'!$B$5:$G$40,IF(L294="F-15",2,IF(L294="F-30",3,IF(L294="F-60",4,IF(L294="F-90",5,IF(L294="F-120",6,0))))),0),0)+IF(AND(O294="FIRE TEX 5120",OR(E294="IN",E294="C",E294="Z",E294="L"),J294=4),VLOOKUP(_xlfn.MINIFS('FIRE TEX 5120'!$H$4:$H$40,'FIRE TEX 5120'!$H$4:$H$40,"&gt;="&amp;M294),'FIRE TEX 5120'!$H$4:$M$40,IF(L294="F-15",2,IF(L294="F-30",3,IF(L294="F-60",4,IF(L294="F-90",5,IF(L294="F-120",6,0))))),0),0)+IF(AND(O294="FIRE TEX 5120",E294="CJ"),VLOOKUP(_xlfn.MINIFS('FIRE TEX 5120'!$O$5:$O$40,'FIRE TEX 5120'!$O$5:$O$40,"&gt;="&amp;M294),'FIRE TEX 5120'!$O$5:$T$40,IF(L294="F-15",2,IF(L294="F-30",3,IF(L294="F-60",4,IF(L294="F-90",5,IF(L294="F-120",6,0))))),0),0)</f>
        <v>0</v>
      </c>
      <c r="Q294" s="46">
        <f t="shared" si="34"/>
        <v>0</v>
      </c>
      <c r="R294" s="46">
        <f t="shared" si="36"/>
        <v>0</v>
      </c>
      <c r="S294" s="46" t="e">
        <f t="shared" si="35"/>
        <v>#VALUE!</v>
      </c>
      <c r="T294" s="677">
        <f t="shared" si="37"/>
        <v>0</v>
      </c>
      <c r="U294" s="80">
        <f>(IF(O294="Stofire",(S294*#REF!),0))+(IF(O294="Fire Control",(S294*$U$2),0))+(IF(O294="Fire Tex",(S294*$U$3),0))+(IF(O294="WB7",(S294*#REF!),0)+(IF(O294="FX 2003",(S294*$U$5),0)))</f>
        <v>0</v>
      </c>
      <c r="V294" s="651">
        <f t="shared" si="40"/>
        <v>0</v>
      </c>
      <c r="W294" s="4"/>
    </row>
    <row r="295" spans="1:23" x14ac:dyDescent="0.25">
      <c r="A295" s="652" t="s">
        <v>452</v>
      </c>
      <c r="B295" s="653" t="s">
        <v>453</v>
      </c>
      <c r="C295" s="1" t="s">
        <v>408</v>
      </c>
      <c r="D295" s="118">
        <f>+CUBICACION!D294</f>
        <v>0</v>
      </c>
      <c r="E295" s="118">
        <f>+CUBICACION!F294</f>
        <v>0</v>
      </c>
      <c r="F295" s="118">
        <f>+CUBICACION!E294</f>
        <v>0</v>
      </c>
      <c r="G295" s="118">
        <v>12</v>
      </c>
      <c r="H295" s="118">
        <v>2</v>
      </c>
      <c r="I295" s="820">
        <v>26385</v>
      </c>
      <c r="J295" s="118">
        <f>+CUBICACION!J294</f>
        <v>0</v>
      </c>
      <c r="K295" s="118">
        <v>3074</v>
      </c>
      <c r="L295" s="118">
        <f>+CUBICACION!L294</f>
        <v>0</v>
      </c>
      <c r="M295" s="64">
        <f>+CUBICACION!M294</f>
        <v>0</v>
      </c>
      <c r="N295" s="824" t="str">
        <f>+CUBICACION!N294</f>
        <v/>
      </c>
      <c r="O295" s="675">
        <f>+CUBICACION!O294</f>
        <v>0</v>
      </c>
      <c r="P295" s="15">
        <f>IF(O295="Fire Control",VLOOKUP(_xlfn.MINIFS('FIRE CONTROL'!$C$4:$C$37,'FIRE CONTROL'!$C$4:$C$37,"&gt;="&amp;M295),'FIRE CONTROL'!$C$4:$G$37,IF(L295="F-15",2,IF(L295="F-30",3,IF(L295="F-60",4,IF(L295="F-90",5,0)))),0),0)+IF(AND(O295="FIRE TEX 5062",OR(E295="IN",E295="C",E295="Z",E295="L"),J295=3),VLOOKUP(_xlfn.MINIFS('FIRE TEX 5062'!$B$4:$B$34,'FIRE TEX 5062'!$B$4:$B$34,"&gt;="&amp;M295),'FIRE TEX 5062'!$B$4:$F$34,IF(L295="F-15",2,IF(L295="F-30",3,IF(L295="F-60",4,IF(L295="F-90",5,0)))),0),0)+IF(AND(O295="FIRE TEX 5062",OR(E295="IN",E295="C",E295="Z",E295="L"),J295=4),VLOOKUP(_xlfn.MINIFS('FIRE TEX 5062'!$G$4:$G$34,'FIRE TEX 5062'!$G$4:$G$34,"&gt;="&amp;M295),'FIRE TEX 5062'!$G$4:$K$34,IF(L295="F-15",2,IF(L295="F-30",3,IF(L295="F-60",4,IF(L295="F-90",5,0)))),0),0)+IF(AND(O295="FIRE TEX 5062",E295="CJ",J295=3),VLOOKUP(_xlfn.MINIFS('FIRE TEX 5062'!$L$4:$L$34,'FIRE TEX 5062'!$L$4:$L$34,"&gt;="&amp;M295),'FIRE TEX 5062'!$L$4:$P$34,IF(L295="F-15",2,IF(L295="F-30",3,IF(L295="F-60",4,IF(L295="F-90",5,0)))),0),0)+IF(AND(O295="FIRE TEX 5062",E295="CJ",J295=4),VLOOKUP(_xlfn.MINIFS('FIRE TEX 5062'!$Q$3:$Q$34,'FIRE TEX 5062'!$Q$3:$Q$34,"&gt;="&amp;M295),'FIRE TEX 5062'!$Q$3:$U$34,IF(L295="F-15",2,IF(L295="F-30",3,IF(L295="F-60",4,IF(L295="F-90",5,0)))),0),0)+IF(AND(O295="FIRE TEX 5090",OR(E295="IN",E295="C",E295="Z",E295="L"),J295=3),VLOOKUP(_xlfn.MINIFS('FIRE TEX 5090'!$B$5:$B$43,'FIRE TEX 5090'!$B$5:$B$43,"&gt;="&amp;M295),'FIRE TEX 5090'!$B$5:$H$43,IF(L295="F-15",2,IF(L295="F-30",3,IF(L295="F-60",4,IF(L295="F-90",5,IF(L295="F-120",6,IF(L295="F-150",7,0)))))),0),0)+IF(AND(O295="FIRE TEX 5090",OR(E295="IN",E295="C",E295="Z",E295="L"),J295=4),VLOOKUP(_xlfn.MINIFS('FIRE TEX 5090'!$J$5:$J$43,'FIRE TEX 5090'!$J$5:$J$43,"&gt;="&amp;M295),'FIRE TEX 5090'!$J$5:$P$43,IF(L295="F-15",2,IF(L295="F-30",3,IF(L295="F-60",4,IF(L295="F-90",5,IF(L295="F-120",6,IF(L295="F-150",7,0)))))),0),0)+IF(AND(O295="FIRE TEX 5090",E295="CJ",J295=3),VLOOKUP(_xlfn.MINIFS('FIRE TEX 5090'!$R$5:$R$30,'FIRE TEX 5090'!$R$5:$R$30,"&gt;="&amp;M295),'FIRE TEX 5090'!$R$5:$W$30,IF(L295="F-15",2,IF(L295="F-30",3,IF(L295="F-60",4,IF(L295="F-90",5,IF(L295="F-120",6,IF(L295="F-150",7,0)))))),0),0)+IF(AND(O295="FIRE TEX 5090",E295="CJ",J295=4),VLOOKUP(_xlfn.MINIFS('FIRE TEX 5090'!$Y$5:$Y$39,'FIRE TEX 5090'!$Y$5:$Y$39,"&gt;="&amp;M295),'FIRE TEX 5090'!$Y$5:$AD$39,IF(L295="F-15",2,IF(L295="F-30",3,IF(L295="F-60",4,IF(L295="F-90",5,IF(L295="F-120",6,IF(L295="F-150",7,0)))))),0),0)+IF(AND(O295="FIRE TEX 5120",OR(E295="IN",E295="C",E295="Z",E295="L"),J295=3),VLOOKUP(_xlfn.MINIFS('FIRE TEX 5120'!$B$5:$B$40,'FIRE TEX 5120'!$B$5:$B$40,"&gt;="&amp;M295),'FIRE TEX 5120'!$B$5:$G$40,IF(L295="F-15",2,IF(L295="F-30",3,IF(L295="F-60",4,IF(L295="F-90",5,IF(L295="F-120",6,0))))),0),0)+IF(AND(O295="FIRE TEX 5120",OR(E295="IN",E295="C",E295="Z",E295="L"),J295=4),VLOOKUP(_xlfn.MINIFS('FIRE TEX 5120'!$H$4:$H$40,'FIRE TEX 5120'!$H$4:$H$40,"&gt;="&amp;M295),'FIRE TEX 5120'!$H$4:$M$40,IF(L295="F-15",2,IF(L295="F-30",3,IF(L295="F-60",4,IF(L295="F-90",5,IF(L295="F-120",6,0))))),0),0)+IF(AND(O295="FIRE TEX 5120",E295="CJ"),VLOOKUP(_xlfn.MINIFS('FIRE TEX 5120'!$O$5:$O$40,'FIRE TEX 5120'!$O$5:$O$40,"&gt;="&amp;M295),'FIRE TEX 5120'!$O$5:$T$40,IF(L295="F-15",2,IF(L295="F-30",3,IF(L295="F-60",4,IF(L295="F-90",5,IF(L295="F-120",6,0))))),0),0)</f>
        <v>0</v>
      </c>
      <c r="Q295" s="46">
        <f t="shared" si="34"/>
        <v>0</v>
      </c>
      <c r="R295" s="46">
        <f t="shared" si="36"/>
        <v>0</v>
      </c>
      <c r="S295" s="46" t="e">
        <f t="shared" si="35"/>
        <v>#VALUE!</v>
      </c>
      <c r="T295" s="677">
        <f t="shared" si="37"/>
        <v>0</v>
      </c>
      <c r="U295" s="80">
        <f>(IF(O295="Stofire",(S295*#REF!),0))+(IF(O295="Fire Control",(S295*$U$2),0))+(IF(O295="Fire Tex",(S295*$U$3),0))+(IF(O295="WB7",(S295*#REF!),0)+(IF(O295="FX 2003",(S295*$U$5),0)))</f>
        <v>0</v>
      </c>
      <c r="V295" s="651">
        <f t="shared" si="40"/>
        <v>0</v>
      </c>
      <c r="W295" s="4"/>
    </row>
    <row r="296" spans="1:23" x14ac:dyDescent="0.25">
      <c r="A296" s="652" t="s">
        <v>452</v>
      </c>
      <c r="B296" s="653" t="s">
        <v>453</v>
      </c>
      <c r="C296" s="1" t="s">
        <v>408</v>
      </c>
      <c r="D296" s="118">
        <f>+CUBICACION!D295</f>
        <v>0</v>
      </c>
      <c r="E296" s="118">
        <f>+CUBICACION!F295</f>
        <v>0</v>
      </c>
      <c r="F296" s="118">
        <f>+CUBICACION!E295</f>
        <v>0</v>
      </c>
      <c r="G296" s="118">
        <v>12</v>
      </c>
      <c r="H296" s="118">
        <v>2</v>
      </c>
      <c r="I296" s="820">
        <v>26385</v>
      </c>
      <c r="J296" s="118">
        <f>+CUBICACION!J295</f>
        <v>0</v>
      </c>
      <c r="K296" s="118">
        <v>3075</v>
      </c>
      <c r="L296" s="118">
        <f>+CUBICACION!L295</f>
        <v>0</v>
      </c>
      <c r="M296" s="64">
        <f>+CUBICACION!M295</f>
        <v>0</v>
      </c>
      <c r="N296" s="824" t="str">
        <f>+CUBICACION!N295</f>
        <v/>
      </c>
      <c r="O296" s="675">
        <f>+CUBICACION!O295</f>
        <v>0</v>
      </c>
      <c r="P296" s="15">
        <f>IF(O296="Fire Control",VLOOKUP(_xlfn.MINIFS('FIRE CONTROL'!$C$4:$C$37,'FIRE CONTROL'!$C$4:$C$37,"&gt;="&amp;M296),'FIRE CONTROL'!$C$4:$G$37,IF(L296="F-15",2,IF(L296="F-30",3,IF(L296="F-60",4,IF(L296="F-90",5,0)))),0),0)+IF(AND(O296="FIRE TEX 5062",OR(E296="IN",E296="C",E296="Z",E296="L"),J296=3),VLOOKUP(_xlfn.MINIFS('FIRE TEX 5062'!$B$4:$B$34,'FIRE TEX 5062'!$B$4:$B$34,"&gt;="&amp;M296),'FIRE TEX 5062'!$B$4:$F$34,IF(L296="F-15",2,IF(L296="F-30",3,IF(L296="F-60",4,IF(L296="F-90",5,0)))),0),0)+IF(AND(O296="FIRE TEX 5062",OR(E296="IN",E296="C",E296="Z",E296="L"),J296=4),VLOOKUP(_xlfn.MINIFS('FIRE TEX 5062'!$G$4:$G$34,'FIRE TEX 5062'!$G$4:$G$34,"&gt;="&amp;M296),'FIRE TEX 5062'!$G$4:$K$34,IF(L296="F-15",2,IF(L296="F-30",3,IF(L296="F-60",4,IF(L296="F-90",5,0)))),0),0)+IF(AND(O296="FIRE TEX 5062",E296="CJ",J296=3),VLOOKUP(_xlfn.MINIFS('FIRE TEX 5062'!$L$4:$L$34,'FIRE TEX 5062'!$L$4:$L$34,"&gt;="&amp;M296),'FIRE TEX 5062'!$L$4:$P$34,IF(L296="F-15",2,IF(L296="F-30",3,IF(L296="F-60",4,IF(L296="F-90",5,0)))),0),0)+IF(AND(O296="FIRE TEX 5062",E296="CJ",J296=4),VLOOKUP(_xlfn.MINIFS('FIRE TEX 5062'!$Q$3:$Q$34,'FIRE TEX 5062'!$Q$3:$Q$34,"&gt;="&amp;M296),'FIRE TEX 5062'!$Q$3:$U$34,IF(L296="F-15",2,IF(L296="F-30",3,IF(L296="F-60",4,IF(L296="F-90",5,0)))),0),0)+IF(AND(O296="FIRE TEX 5090",OR(E296="IN",E296="C",E296="Z",E296="L"),J296=3),VLOOKUP(_xlfn.MINIFS('FIRE TEX 5090'!$B$5:$B$43,'FIRE TEX 5090'!$B$5:$B$43,"&gt;="&amp;M296),'FIRE TEX 5090'!$B$5:$H$43,IF(L296="F-15",2,IF(L296="F-30",3,IF(L296="F-60",4,IF(L296="F-90",5,IF(L296="F-120",6,IF(L296="F-150",7,0)))))),0),0)+IF(AND(O296="FIRE TEX 5090",OR(E296="IN",E296="C",E296="Z",E296="L"),J296=4),VLOOKUP(_xlfn.MINIFS('FIRE TEX 5090'!$J$5:$J$43,'FIRE TEX 5090'!$J$5:$J$43,"&gt;="&amp;M296),'FIRE TEX 5090'!$J$5:$P$43,IF(L296="F-15",2,IF(L296="F-30",3,IF(L296="F-60",4,IF(L296="F-90",5,IF(L296="F-120",6,IF(L296="F-150",7,0)))))),0),0)+IF(AND(O296="FIRE TEX 5090",E296="CJ",J296=3),VLOOKUP(_xlfn.MINIFS('FIRE TEX 5090'!$R$5:$R$30,'FIRE TEX 5090'!$R$5:$R$30,"&gt;="&amp;M296),'FIRE TEX 5090'!$R$5:$W$30,IF(L296="F-15",2,IF(L296="F-30",3,IF(L296="F-60",4,IF(L296="F-90",5,IF(L296="F-120",6,IF(L296="F-150",7,0)))))),0),0)+IF(AND(O296="FIRE TEX 5090",E296="CJ",J296=4),VLOOKUP(_xlfn.MINIFS('FIRE TEX 5090'!$Y$5:$Y$39,'FIRE TEX 5090'!$Y$5:$Y$39,"&gt;="&amp;M296),'FIRE TEX 5090'!$Y$5:$AD$39,IF(L296="F-15",2,IF(L296="F-30",3,IF(L296="F-60",4,IF(L296="F-90",5,IF(L296="F-120",6,IF(L296="F-150",7,0)))))),0),0)+IF(AND(O296="FIRE TEX 5120",OR(E296="IN",E296="C",E296="Z",E296="L"),J296=3),VLOOKUP(_xlfn.MINIFS('FIRE TEX 5120'!$B$5:$B$40,'FIRE TEX 5120'!$B$5:$B$40,"&gt;="&amp;M296),'FIRE TEX 5120'!$B$5:$G$40,IF(L296="F-15",2,IF(L296="F-30",3,IF(L296="F-60",4,IF(L296="F-90",5,IF(L296="F-120",6,0))))),0),0)+IF(AND(O296="FIRE TEX 5120",OR(E296="IN",E296="C",E296="Z",E296="L"),J296=4),VLOOKUP(_xlfn.MINIFS('FIRE TEX 5120'!$H$4:$H$40,'FIRE TEX 5120'!$H$4:$H$40,"&gt;="&amp;M296),'FIRE TEX 5120'!$H$4:$M$40,IF(L296="F-15",2,IF(L296="F-30",3,IF(L296="F-60",4,IF(L296="F-90",5,IF(L296="F-120",6,0))))),0),0)+IF(AND(O296="FIRE TEX 5120",E296="CJ"),VLOOKUP(_xlfn.MINIFS('FIRE TEX 5120'!$O$5:$O$40,'FIRE TEX 5120'!$O$5:$O$40,"&gt;="&amp;M296),'FIRE TEX 5120'!$O$5:$T$40,IF(L296="F-15",2,IF(L296="F-30",3,IF(L296="F-60",4,IF(L296="F-90",5,IF(L296="F-120",6,0))))),0),0)</f>
        <v>0</v>
      </c>
      <c r="Q296" s="46">
        <f t="shared" si="34"/>
        <v>0</v>
      </c>
      <c r="R296" s="46">
        <f t="shared" si="36"/>
        <v>0</v>
      </c>
      <c r="S296" s="46" t="e">
        <f t="shared" si="35"/>
        <v>#VALUE!</v>
      </c>
      <c r="T296" s="677">
        <f t="shared" si="37"/>
        <v>0</v>
      </c>
      <c r="U296" s="80">
        <f>(IF(O296="Stofire",(S296*#REF!),0))+(IF(O296="Fire Control",(S296*$U$2),0))+(IF(O296="Fire Tex",(S296*$U$3),0))+(IF(O296="WB7",(S296*#REF!),0)+(IF(O296="FX 2003",(S296*$U$5),0)))</f>
        <v>0</v>
      </c>
      <c r="V296" s="651">
        <f t="shared" si="40"/>
        <v>0</v>
      </c>
      <c r="W296" s="4"/>
    </row>
    <row r="297" spans="1:23" x14ac:dyDescent="0.25">
      <c r="A297" s="652" t="s">
        <v>456</v>
      </c>
      <c r="B297" s="653" t="s">
        <v>453</v>
      </c>
      <c r="C297" s="1" t="s">
        <v>457</v>
      </c>
      <c r="D297" s="118">
        <f>+CUBICACION!D296</f>
        <v>0</v>
      </c>
      <c r="E297" s="118">
        <f>+CUBICACION!F296</f>
        <v>0</v>
      </c>
      <c r="F297" s="118">
        <f>+CUBICACION!E296</f>
        <v>0</v>
      </c>
      <c r="G297" s="118">
        <v>12</v>
      </c>
      <c r="H297" s="118">
        <v>2</v>
      </c>
      <c r="I297" s="820">
        <v>26385</v>
      </c>
      <c r="J297" s="118">
        <f>+CUBICACION!J296</f>
        <v>0</v>
      </c>
      <c r="K297" s="118">
        <v>3076</v>
      </c>
      <c r="L297" s="118">
        <f>+CUBICACION!L296</f>
        <v>0</v>
      </c>
      <c r="M297" s="64">
        <f>+CUBICACION!M296</f>
        <v>0</v>
      </c>
      <c r="N297" s="824" t="str">
        <f>+CUBICACION!N296</f>
        <v/>
      </c>
      <c r="O297" s="675">
        <f>+CUBICACION!O296</f>
        <v>0</v>
      </c>
      <c r="P297" s="15">
        <f>IF(O297="Fire Control",VLOOKUP(_xlfn.MINIFS('FIRE CONTROL'!$C$4:$C$37,'FIRE CONTROL'!$C$4:$C$37,"&gt;="&amp;M297),'FIRE CONTROL'!$C$4:$G$37,IF(L297="F-15",2,IF(L297="F-30",3,IF(L297="F-60",4,IF(L297="F-90",5,0)))),0),0)+IF(AND(O297="FIRE TEX 5062",OR(E297="IN",E297="C",E297="Z",E297="L"),J297=3),VLOOKUP(_xlfn.MINIFS('FIRE TEX 5062'!$B$4:$B$34,'FIRE TEX 5062'!$B$4:$B$34,"&gt;="&amp;M297),'FIRE TEX 5062'!$B$4:$F$34,IF(L297="F-15",2,IF(L297="F-30",3,IF(L297="F-60",4,IF(L297="F-90",5,0)))),0),0)+IF(AND(O297="FIRE TEX 5062",OR(E297="IN",E297="C",E297="Z",E297="L"),J297=4),VLOOKUP(_xlfn.MINIFS('FIRE TEX 5062'!$G$4:$G$34,'FIRE TEX 5062'!$G$4:$G$34,"&gt;="&amp;M297),'FIRE TEX 5062'!$G$4:$K$34,IF(L297="F-15",2,IF(L297="F-30",3,IF(L297="F-60",4,IF(L297="F-90",5,0)))),0),0)+IF(AND(O297="FIRE TEX 5062",E297="CJ",J297=3),VLOOKUP(_xlfn.MINIFS('FIRE TEX 5062'!$L$4:$L$34,'FIRE TEX 5062'!$L$4:$L$34,"&gt;="&amp;M297),'FIRE TEX 5062'!$L$4:$P$34,IF(L297="F-15",2,IF(L297="F-30",3,IF(L297="F-60",4,IF(L297="F-90",5,0)))),0),0)+IF(AND(O297="FIRE TEX 5062",E297="CJ",J297=4),VLOOKUP(_xlfn.MINIFS('FIRE TEX 5062'!$Q$3:$Q$34,'FIRE TEX 5062'!$Q$3:$Q$34,"&gt;="&amp;M297),'FIRE TEX 5062'!$Q$3:$U$34,IF(L297="F-15",2,IF(L297="F-30",3,IF(L297="F-60",4,IF(L297="F-90",5,0)))),0),0)+IF(AND(O297="FIRE TEX 5090",OR(E297="IN",E297="C",E297="Z",E297="L"),J297=3),VLOOKUP(_xlfn.MINIFS('FIRE TEX 5090'!$B$5:$B$43,'FIRE TEX 5090'!$B$5:$B$43,"&gt;="&amp;M297),'FIRE TEX 5090'!$B$5:$H$43,IF(L297="F-15",2,IF(L297="F-30",3,IF(L297="F-60",4,IF(L297="F-90",5,IF(L297="F-120",6,IF(L297="F-150",7,0)))))),0),0)+IF(AND(O297="FIRE TEX 5090",OR(E297="IN",E297="C",E297="Z",E297="L"),J297=4),VLOOKUP(_xlfn.MINIFS('FIRE TEX 5090'!$J$5:$J$43,'FIRE TEX 5090'!$J$5:$J$43,"&gt;="&amp;M297),'FIRE TEX 5090'!$J$5:$P$43,IF(L297="F-15",2,IF(L297="F-30",3,IF(L297="F-60",4,IF(L297="F-90",5,IF(L297="F-120",6,IF(L297="F-150",7,0)))))),0),0)+IF(AND(O297="FIRE TEX 5090",E297="CJ",J297=3),VLOOKUP(_xlfn.MINIFS('FIRE TEX 5090'!$R$5:$R$30,'FIRE TEX 5090'!$R$5:$R$30,"&gt;="&amp;M297),'FIRE TEX 5090'!$R$5:$W$30,IF(L297="F-15",2,IF(L297="F-30",3,IF(L297="F-60",4,IF(L297="F-90",5,IF(L297="F-120",6,IF(L297="F-150",7,0)))))),0),0)+IF(AND(O297="FIRE TEX 5090",E297="CJ",J297=4),VLOOKUP(_xlfn.MINIFS('FIRE TEX 5090'!$Y$5:$Y$39,'FIRE TEX 5090'!$Y$5:$Y$39,"&gt;="&amp;M297),'FIRE TEX 5090'!$Y$5:$AD$39,IF(L297="F-15",2,IF(L297="F-30",3,IF(L297="F-60",4,IF(L297="F-90",5,IF(L297="F-120",6,IF(L297="F-150",7,0)))))),0),0)+IF(AND(O297="FIRE TEX 5120",OR(E297="IN",E297="C",E297="Z",E297="L"),J297=3),VLOOKUP(_xlfn.MINIFS('FIRE TEX 5120'!$B$5:$B$40,'FIRE TEX 5120'!$B$5:$B$40,"&gt;="&amp;M297),'FIRE TEX 5120'!$B$5:$G$40,IF(L297="F-15",2,IF(L297="F-30",3,IF(L297="F-60",4,IF(L297="F-90",5,IF(L297="F-120",6,0))))),0),0)+IF(AND(O297="FIRE TEX 5120",OR(E297="IN",E297="C",E297="Z",E297="L"),J297=4),VLOOKUP(_xlfn.MINIFS('FIRE TEX 5120'!$H$4:$H$40,'FIRE TEX 5120'!$H$4:$H$40,"&gt;="&amp;M297),'FIRE TEX 5120'!$H$4:$M$40,IF(L297="F-15",2,IF(L297="F-30",3,IF(L297="F-60",4,IF(L297="F-90",5,IF(L297="F-120",6,0))))),0),0)+IF(AND(O297="FIRE TEX 5120",E297="CJ"),VLOOKUP(_xlfn.MINIFS('FIRE TEX 5120'!$O$5:$O$40,'FIRE TEX 5120'!$O$5:$O$40,"&gt;="&amp;M297),'FIRE TEX 5120'!$O$5:$T$40,IF(L297="F-15",2,IF(L297="F-30",3,IF(L297="F-60",4,IF(L297="F-90",5,IF(L297="F-120",6,0))))),0),0)</f>
        <v>0</v>
      </c>
      <c r="Q297" s="46">
        <f t="shared" si="34"/>
        <v>0</v>
      </c>
      <c r="R297" s="46">
        <f t="shared" si="36"/>
        <v>0</v>
      </c>
      <c r="S297" s="46" t="e">
        <f t="shared" si="35"/>
        <v>#VALUE!</v>
      </c>
      <c r="T297" s="677">
        <f t="shared" si="37"/>
        <v>0</v>
      </c>
      <c r="U297" s="80">
        <f>(IF(O297="Stofire",(S297*#REF!),0))+(IF(O297="Fire Control",(S297*$U$2),0))+(IF(O297="Fire Tex",(S297*$U$3),0))+(IF(O297="WB7",(S297*#REF!),0)+(IF(O297="FX 2003",(S297*$U$5),0)))</f>
        <v>0</v>
      </c>
      <c r="V297" s="651">
        <f t="shared" si="40"/>
        <v>0</v>
      </c>
      <c r="W297" s="4"/>
    </row>
    <row r="298" spans="1:23" x14ac:dyDescent="0.25">
      <c r="A298" s="652" t="s">
        <v>456</v>
      </c>
      <c r="B298" s="653" t="s">
        <v>453</v>
      </c>
      <c r="C298" s="1" t="s">
        <v>408</v>
      </c>
      <c r="D298" s="118">
        <f>+CUBICACION!D297</f>
        <v>0</v>
      </c>
      <c r="E298" s="118">
        <f>+CUBICACION!F297</f>
        <v>0</v>
      </c>
      <c r="F298" s="118">
        <f>+CUBICACION!E297</f>
        <v>0</v>
      </c>
      <c r="G298" s="118">
        <v>12</v>
      </c>
      <c r="H298" s="118">
        <v>2</v>
      </c>
      <c r="I298" s="820">
        <v>26385</v>
      </c>
      <c r="J298" s="118">
        <f>+CUBICACION!J297</f>
        <v>0</v>
      </c>
      <c r="K298" s="118">
        <v>3077</v>
      </c>
      <c r="L298" s="118">
        <f>+CUBICACION!L297</f>
        <v>0</v>
      </c>
      <c r="M298" s="64">
        <f>+CUBICACION!M297</f>
        <v>0</v>
      </c>
      <c r="N298" s="824" t="str">
        <f>+CUBICACION!N297</f>
        <v/>
      </c>
      <c r="O298" s="675">
        <f>+CUBICACION!O297</f>
        <v>0</v>
      </c>
      <c r="P298" s="15">
        <f>IF(O298="Fire Control",VLOOKUP(_xlfn.MINIFS('FIRE CONTROL'!$C$4:$C$37,'FIRE CONTROL'!$C$4:$C$37,"&gt;="&amp;M298),'FIRE CONTROL'!$C$4:$G$37,IF(L298="F-15",2,IF(L298="F-30",3,IF(L298="F-60",4,IF(L298="F-90",5,0)))),0),0)+IF(AND(O298="FIRE TEX 5062",OR(E298="IN",E298="C",E298="Z",E298="L"),J298=3),VLOOKUP(_xlfn.MINIFS('FIRE TEX 5062'!$B$4:$B$34,'FIRE TEX 5062'!$B$4:$B$34,"&gt;="&amp;M298),'FIRE TEX 5062'!$B$4:$F$34,IF(L298="F-15",2,IF(L298="F-30",3,IF(L298="F-60",4,IF(L298="F-90",5,0)))),0),0)+IF(AND(O298="FIRE TEX 5062",OR(E298="IN",E298="C",E298="Z",E298="L"),J298=4),VLOOKUP(_xlfn.MINIFS('FIRE TEX 5062'!$G$4:$G$34,'FIRE TEX 5062'!$G$4:$G$34,"&gt;="&amp;M298),'FIRE TEX 5062'!$G$4:$K$34,IF(L298="F-15",2,IF(L298="F-30",3,IF(L298="F-60",4,IF(L298="F-90",5,0)))),0),0)+IF(AND(O298="FIRE TEX 5062",E298="CJ",J298=3),VLOOKUP(_xlfn.MINIFS('FIRE TEX 5062'!$L$4:$L$34,'FIRE TEX 5062'!$L$4:$L$34,"&gt;="&amp;M298),'FIRE TEX 5062'!$L$4:$P$34,IF(L298="F-15",2,IF(L298="F-30",3,IF(L298="F-60",4,IF(L298="F-90",5,0)))),0),0)+IF(AND(O298="FIRE TEX 5062",E298="CJ",J298=4),VLOOKUP(_xlfn.MINIFS('FIRE TEX 5062'!$Q$3:$Q$34,'FIRE TEX 5062'!$Q$3:$Q$34,"&gt;="&amp;M298),'FIRE TEX 5062'!$Q$3:$U$34,IF(L298="F-15",2,IF(L298="F-30",3,IF(L298="F-60",4,IF(L298="F-90",5,0)))),0),0)+IF(AND(O298="FIRE TEX 5090",OR(E298="IN",E298="C",E298="Z",E298="L"),J298=3),VLOOKUP(_xlfn.MINIFS('FIRE TEX 5090'!$B$5:$B$43,'FIRE TEX 5090'!$B$5:$B$43,"&gt;="&amp;M298),'FIRE TEX 5090'!$B$5:$H$43,IF(L298="F-15",2,IF(L298="F-30",3,IF(L298="F-60",4,IF(L298="F-90",5,IF(L298="F-120",6,IF(L298="F-150",7,0)))))),0),0)+IF(AND(O298="FIRE TEX 5090",OR(E298="IN",E298="C",E298="Z",E298="L"),J298=4),VLOOKUP(_xlfn.MINIFS('FIRE TEX 5090'!$J$5:$J$43,'FIRE TEX 5090'!$J$5:$J$43,"&gt;="&amp;M298),'FIRE TEX 5090'!$J$5:$P$43,IF(L298="F-15",2,IF(L298="F-30",3,IF(L298="F-60",4,IF(L298="F-90",5,IF(L298="F-120",6,IF(L298="F-150",7,0)))))),0),0)+IF(AND(O298="FIRE TEX 5090",E298="CJ",J298=3),VLOOKUP(_xlfn.MINIFS('FIRE TEX 5090'!$R$5:$R$30,'FIRE TEX 5090'!$R$5:$R$30,"&gt;="&amp;M298),'FIRE TEX 5090'!$R$5:$W$30,IF(L298="F-15",2,IF(L298="F-30",3,IF(L298="F-60",4,IF(L298="F-90",5,IF(L298="F-120",6,IF(L298="F-150",7,0)))))),0),0)+IF(AND(O298="FIRE TEX 5090",E298="CJ",J298=4),VLOOKUP(_xlfn.MINIFS('FIRE TEX 5090'!$Y$5:$Y$39,'FIRE TEX 5090'!$Y$5:$Y$39,"&gt;="&amp;M298),'FIRE TEX 5090'!$Y$5:$AD$39,IF(L298="F-15",2,IF(L298="F-30",3,IF(L298="F-60",4,IF(L298="F-90",5,IF(L298="F-120",6,IF(L298="F-150",7,0)))))),0),0)+IF(AND(O298="FIRE TEX 5120",OR(E298="IN",E298="C",E298="Z",E298="L"),J298=3),VLOOKUP(_xlfn.MINIFS('FIRE TEX 5120'!$B$5:$B$40,'FIRE TEX 5120'!$B$5:$B$40,"&gt;="&amp;M298),'FIRE TEX 5120'!$B$5:$G$40,IF(L298="F-15",2,IF(L298="F-30",3,IF(L298="F-60",4,IF(L298="F-90",5,IF(L298="F-120",6,0))))),0),0)+IF(AND(O298="FIRE TEX 5120",OR(E298="IN",E298="C",E298="Z",E298="L"),J298=4),VLOOKUP(_xlfn.MINIFS('FIRE TEX 5120'!$H$4:$H$40,'FIRE TEX 5120'!$H$4:$H$40,"&gt;="&amp;M298),'FIRE TEX 5120'!$H$4:$M$40,IF(L298="F-15",2,IF(L298="F-30",3,IF(L298="F-60",4,IF(L298="F-90",5,IF(L298="F-120",6,0))))),0),0)+IF(AND(O298="FIRE TEX 5120",E298="CJ"),VLOOKUP(_xlfn.MINIFS('FIRE TEX 5120'!$O$5:$O$40,'FIRE TEX 5120'!$O$5:$O$40,"&gt;="&amp;M298),'FIRE TEX 5120'!$O$5:$T$40,IF(L298="F-15",2,IF(L298="F-30",3,IF(L298="F-60",4,IF(L298="F-90",5,IF(L298="F-120",6,0))))),0),0)</f>
        <v>0</v>
      </c>
      <c r="Q298" s="46">
        <f t="shared" si="34"/>
        <v>0</v>
      </c>
      <c r="R298" s="46">
        <f t="shared" si="36"/>
        <v>0</v>
      </c>
      <c r="S298" s="46" t="e">
        <f t="shared" si="35"/>
        <v>#VALUE!</v>
      </c>
      <c r="T298" s="677">
        <f t="shared" si="37"/>
        <v>0</v>
      </c>
      <c r="U298" s="80">
        <f>(IF(O298="Stofire",(S298*#REF!),0))+(IF(O298="Fire Control",(S298*$U$2),0))+(IF(O298="Fire Tex",(S298*$U$3),0))+(IF(O298="WB7",(S298*#REF!),0)+(IF(O298="FX 2003",(S298*$U$5),0)))</f>
        <v>0</v>
      </c>
      <c r="V298" s="651">
        <f t="shared" si="40"/>
        <v>0</v>
      </c>
      <c r="W298" s="4"/>
    </row>
    <row r="299" spans="1:23" x14ac:dyDescent="0.25">
      <c r="A299" s="652" t="s">
        <v>456</v>
      </c>
      <c r="B299" s="653" t="s">
        <v>453</v>
      </c>
      <c r="C299" s="1" t="s">
        <v>408</v>
      </c>
      <c r="D299" s="118">
        <f>+CUBICACION!D298</f>
        <v>0</v>
      </c>
      <c r="E299" s="118">
        <f>+CUBICACION!F298</f>
        <v>0</v>
      </c>
      <c r="F299" s="118">
        <f>+CUBICACION!E298</f>
        <v>0</v>
      </c>
      <c r="G299" s="118">
        <v>12</v>
      </c>
      <c r="H299" s="118">
        <v>2</v>
      </c>
      <c r="I299" s="820">
        <v>26385</v>
      </c>
      <c r="J299" s="118">
        <f>+CUBICACION!J298</f>
        <v>0</v>
      </c>
      <c r="K299" s="118">
        <v>3078</v>
      </c>
      <c r="L299" s="118">
        <f>+CUBICACION!L298</f>
        <v>0</v>
      </c>
      <c r="M299" s="64">
        <f>+CUBICACION!M298</f>
        <v>0</v>
      </c>
      <c r="N299" s="824" t="str">
        <f>+CUBICACION!N298</f>
        <v/>
      </c>
      <c r="O299" s="675">
        <f>+CUBICACION!O298</f>
        <v>0</v>
      </c>
      <c r="P299" s="15">
        <f>IF(O299="Fire Control",VLOOKUP(_xlfn.MINIFS('FIRE CONTROL'!$C$4:$C$37,'FIRE CONTROL'!$C$4:$C$37,"&gt;="&amp;M299),'FIRE CONTROL'!$C$4:$G$37,IF(L299="F-15",2,IF(L299="F-30",3,IF(L299="F-60",4,IF(L299="F-90",5,0)))),0),0)+IF(AND(O299="FIRE TEX 5062",OR(E299="IN",E299="C",E299="Z",E299="L"),J299=3),VLOOKUP(_xlfn.MINIFS('FIRE TEX 5062'!$B$4:$B$34,'FIRE TEX 5062'!$B$4:$B$34,"&gt;="&amp;M299),'FIRE TEX 5062'!$B$4:$F$34,IF(L299="F-15",2,IF(L299="F-30",3,IF(L299="F-60",4,IF(L299="F-90",5,0)))),0),0)+IF(AND(O299="FIRE TEX 5062",OR(E299="IN",E299="C",E299="Z",E299="L"),J299=4),VLOOKUP(_xlfn.MINIFS('FIRE TEX 5062'!$G$4:$G$34,'FIRE TEX 5062'!$G$4:$G$34,"&gt;="&amp;M299),'FIRE TEX 5062'!$G$4:$K$34,IF(L299="F-15",2,IF(L299="F-30",3,IF(L299="F-60",4,IF(L299="F-90",5,0)))),0),0)+IF(AND(O299="FIRE TEX 5062",E299="CJ",J299=3),VLOOKUP(_xlfn.MINIFS('FIRE TEX 5062'!$L$4:$L$34,'FIRE TEX 5062'!$L$4:$L$34,"&gt;="&amp;M299),'FIRE TEX 5062'!$L$4:$P$34,IF(L299="F-15",2,IF(L299="F-30",3,IF(L299="F-60",4,IF(L299="F-90",5,0)))),0),0)+IF(AND(O299="FIRE TEX 5062",E299="CJ",J299=4),VLOOKUP(_xlfn.MINIFS('FIRE TEX 5062'!$Q$3:$Q$34,'FIRE TEX 5062'!$Q$3:$Q$34,"&gt;="&amp;M299),'FIRE TEX 5062'!$Q$3:$U$34,IF(L299="F-15",2,IF(L299="F-30",3,IF(L299="F-60",4,IF(L299="F-90",5,0)))),0),0)+IF(AND(O299="FIRE TEX 5090",OR(E299="IN",E299="C",E299="Z",E299="L"),J299=3),VLOOKUP(_xlfn.MINIFS('FIRE TEX 5090'!$B$5:$B$43,'FIRE TEX 5090'!$B$5:$B$43,"&gt;="&amp;M299),'FIRE TEX 5090'!$B$5:$H$43,IF(L299="F-15",2,IF(L299="F-30",3,IF(L299="F-60",4,IF(L299="F-90",5,IF(L299="F-120",6,IF(L299="F-150",7,0)))))),0),0)+IF(AND(O299="FIRE TEX 5090",OR(E299="IN",E299="C",E299="Z",E299="L"),J299=4),VLOOKUP(_xlfn.MINIFS('FIRE TEX 5090'!$J$5:$J$43,'FIRE TEX 5090'!$J$5:$J$43,"&gt;="&amp;M299),'FIRE TEX 5090'!$J$5:$P$43,IF(L299="F-15",2,IF(L299="F-30",3,IF(L299="F-60",4,IF(L299="F-90",5,IF(L299="F-120",6,IF(L299="F-150",7,0)))))),0),0)+IF(AND(O299="FIRE TEX 5090",E299="CJ",J299=3),VLOOKUP(_xlfn.MINIFS('FIRE TEX 5090'!$R$5:$R$30,'FIRE TEX 5090'!$R$5:$R$30,"&gt;="&amp;M299),'FIRE TEX 5090'!$R$5:$W$30,IF(L299="F-15",2,IF(L299="F-30",3,IF(L299="F-60",4,IF(L299="F-90",5,IF(L299="F-120",6,IF(L299="F-150",7,0)))))),0),0)+IF(AND(O299="FIRE TEX 5090",E299="CJ",J299=4),VLOOKUP(_xlfn.MINIFS('FIRE TEX 5090'!$Y$5:$Y$39,'FIRE TEX 5090'!$Y$5:$Y$39,"&gt;="&amp;M299),'FIRE TEX 5090'!$Y$5:$AD$39,IF(L299="F-15",2,IF(L299="F-30",3,IF(L299="F-60",4,IF(L299="F-90",5,IF(L299="F-120",6,IF(L299="F-150",7,0)))))),0),0)+IF(AND(O299="FIRE TEX 5120",OR(E299="IN",E299="C",E299="Z",E299="L"),J299=3),VLOOKUP(_xlfn.MINIFS('FIRE TEX 5120'!$B$5:$B$40,'FIRE TEX 5120'!$B$5:$B$40,"&gt;="&amp;M299),'FIRE TEX 5120'!$B$5:$G$40,IF(L299="F-15",2,IF(L299="F-30",3,IF(L299="F-60",4,IF(L299="F-90",5,IF(L299="F-120",6,0))))),0),0)+IF(AND(O299="FIRE TEX 5120",OR(E299="IN",E299="C",E299="Z",E299="L"),J299=4),VLOOKUP(_xlfn.MINIFS('FIRE TEX 5120'!$H$4:$H$40,'FIRE TEX 5120'!$H$4:$H$40,"&gt;="&amp;M299),'FIRE TEX 5120'!$H$4:$M$40,IF(L299="F-15",2,IF(L299="F-30",3,IF(L299="F-60",4,IF(L299="F-90",5,IF(L299="F-120",6,0))))),0),0)+IF(AND(O299="FIRE TEX 5120",E299="CJ"),VLOOKUP(_xlfn.MINIFS('FIRE TEX 5120'!$O$5:$O$40,'FIRE TEX 5120'!$O$5:$O$40,"&gt;="&amp;M299),'FIRE TEX 5120'!$O$5:$T$40,IF(L299="F-15",2,IF(L299="F-30",3,IF(L299="F-60",4,IF(L299="F-90",5,IF(L299="F-120",6,0))))),0),0)</f>
        <v>0</v>
      </c>
      <c r="Q299" s="46">
        <f t="shared" si="34"/>
        <v>0</v>
      </c>
      <c r="R299" s="46">
        <f t="shared" si="36"/>
        <v>0</v>
      </c>
      <c r="S299" s="46" t="e">
        <f t="shared" si="35"/>
        <v>#VALUE!</v>
      </c>
      <c r="T299" s="677">
        <f t="shared" si="37"/>
        <v>0</v>
      </c>
      <c r="U299" s="80">
        <f>(IF(O299="Stofire",(S299*#REF!),0))+(IF(O299="Fire Control",(S299*$U$2),0))+(IF(O299="Fire Tex",(S299*$U$3),0))+(IF(O299="WB7",(S299*#REF!),0)+(IF(O299="FX 2003",(S299*$U$5),0)))</f>
        <v>0</v>
      </c>
      <c r="V299" s="651">
        <f t="shared" si="40"/>
        <v>0</v>
      </c>
      <c r="W299" s="4"/>
    </row>
    <row r="300" spans="1:23" x14ac:dyDescent="0.25">
      <c r="A300" s="652" t="s">
        <v>458</v>
      </c>
      <c r="B300" s="653" t="s">
        <v>459</v>
      </c>
      <c r="C300" s="1" t="s">
        <v>460</v>
      </c>
      <c r="D300" s="118">
        <f>+CUBICACION!D299</f>
        <v>0</v>
      </c>
      <c r="E300" s="118">
        <f>+CUBICACION!F299</f>
        <v>0</v>
      </c>
      <c r="F300" s="118">
        <f>+CUBICACION!E299</f>
        <v>0</v>
      </c>
      <c r="G300" s="118">
        <v>12</v>
      </c>
      <c r="H300" s="118">
        <v>2</v>
      </c>
      <c r="I300" s="820">
        <v>26385</v>
      </c>
      <c r="J300" s="118">
        <f>+CUBICACION!J299</f>
        <v>0</v>
      </c>
      <c r="K300" s="118">
        <v>3079</v>
      </c>
      <c r="L300" s="118">
        <f>+CUBICACION!L299</f>
        <v>0</v>
      </c>
      <c r="M300" s="64">
        <f>+CUBICACION!M299</f>
        <v>0</v>
      </c>
      <c r="N300" s="824" t="str">
        <f>+CUBICACION!N299</f>
        <v/>
      </c>
      <c r="O300" s="675">
        <f>+CUBICACION!O299</f>
        <v>0</v>
      </c>
      <c r="P300" s="15">
        <f>IF(O300="Fire Control",VLOOKUP(_xlfn.MINIFS('FIRE CONTROL'!$C$4:$C$37,'FIRE CONTROL'!$C$4:$C$37,"&gt;="&amp;M300),'FIRE CONTROL'!$C$4:$G$37,IF(L300="F-15",2,IF(L300="F-30",3,IF(L300="F-60",4,IF(L300="F-90",5,0)))),0),0)+IF(AND(O300="FIRE TEX 5062",OR(E300="IN",E300="C",E300="Z",E300="L"),J300=3),VLOOKUP(_xlfn.MINIFS('FIRE TEX 5062'!$B$4:$B$34,'FIRE TEX 5062'!$B$4:$B$34,"&gt;="&amp;M300),'FIRE TEX 5062'!$B$4:$F$34,IF(L300="F-15",2,IF(L300="F-30",3,IF(L300="F-60",4,IF(L300="F-90",5,0)))),0),0)+IF(AND(O300="FIRE TEX 5062",OR(E300="IN",E300="C",E300="Z",E300="L"),J300=4),VLOOKUP(_xlfn.MINIFS('FIRE TEX 5062'!$G$4:$G$34,'FIRE TEX 5062'!$G$4:$G$34,"&gt;="&amp;M300),'FIRE TEX 5062'!$G$4:$K$34,IF(L300="F-15",2,IF(L300="F-30",3,IF(L300="F-60",4,IF(L300="F-90",5,0)))),0),0)+IF(AND(O300="FIRE TEX 5062",E300="CJ",J300=3),VLOOKUP(_xlfn.MINIFS('FIRE TEX 5062'!$L$4:$L$34,'FIRE TEX 5062'!$L$4:$L$34,"&gt;="&amp;M300),'FIRE TEX 5062'!$L$4:$P$34,IF(L300="F-15",2,IF(L300="F-30",3,IF(L300="F-60",4,IF(L300="F-90",5,0)))),0),0)+IF(AND(O300="FIRE TEX 5062",E300="CJ",J300=4),VLOOKUP(_xlfn.MINIFS('FIRE TEX 5062'!$Q$3:$Q$34,'FIRE TEX 5062'!$Q$3:$Q$34,"&gt;="&amp;M300),'FIRE TEX 5062'!$Q$3:$U$34,IF(L300="F-15",2,IF(L300="F-30",3,IF(L300="F-60",4,IF(L300="F-90",5,0)))),0),0)+IF(AND(O300="FIRE TEX 5090",OR(E300="IN",E300="C",E300="Z",E300="L"),J300=3),VLOOKUP(_xlfn.MINIFS('FIRE TEX 5090'!$B$5:$B$43,'FIRE TEX 5090'!$B$5:$B$43,"&gt;="&amp;M300),'FIRE TEX 5090'!$B$5:$H$43,IF(L300="F-15",2,IF(L300="F-30",3,IF(L300="F-60",4,IF(L300="F-90",5,IF(L300="F-120",6,IF(L300="F-150",7,0)))))),0),0)+IF(AND(O300="FIRE TEX 5090",OR(E300="IN",E300="C",E300="Z",E300="L"),J300=4),VLOOKUP(_xlfn.MINIFS('FIRE TEX 5090'!$J$5:$J$43,'FIRE TEX 5090'!$J$5:$J$43,"&gt;="&amp;M300),'FIRE TEX 5090'!$J$5:$P$43,IF(L300="F-15",2,IF(L300="F-30",3,IF(L300="F-60",4,IF(L300="F-90",5,IF(L300="F-120",6,IF(L300="F-150",7,0)))))),0),0)+IF(AND(O300="FIRE TEX 5090",E300="CJ",J300=3),VLOOKUP(_xlfn.MINIFS('FIRE TEX 5090'!$R$5:$R$30,'FIRE TEX 5090'!$R$5:$R$30,"&gt;="&amp;M300),'FIRE TEX 5090'!$R$5:$W$30,IF(L300="F-15",2,IF(L300="F-30",3,IF(L300="F-60",4,IF(L300="F-90",5,IF(L300="F-120",6,IF(L300="F-150",7,0)))))),0),0)+IF(AND(O300="FIRE TEX 5090",E300="CJ",J300=4),VLOOKUP(_xlfn.MINIFS('FIRE TEX 5090'!$Y$5:$Y$39,'FIRE TEX 5090'!$Y$5:$Y$39,"&gt;="&amp;M300),'FIRE TEX 5090'!$Y$5:$AD$39,IF(L300="F-15",2,IF(L300="F-30",3,IF(L300="F-60",4,IF(L300="F-90",5,IF(L300="F-120",6,IF(L300="F-150",7,0)))))),0),0)+IF(AND(O300="FIRE TEX 5120",OR(E300="IN",E300="C",E300="Z",E300="L"),J300=3),VLOOKUP(_xlfn.MINIFS('FIRE TEX 5120'!$B$5:$B$40,'FIRE TEX 5120'!$B$5:$B$40,"&gt;="&amp;M300),'FIRE TEX 5120'!$B$5:$G$40,IF(L300="F-15",2,IF(L300="F-30",3,IF(L300="F-60",4,IF(L300="F-90",5,IF(L300="F-120",6,0))))),0),0)+IF(AND(O300="FIRE TEX 5120",OR(E300="IN",E300="C",E300="Z",E300="L"),J300=4),VLOOKUP(_xlfn.MINIFS('FIRE TEX 5120'!$H$4:$H$40,'FIRE TEX 5120'!$H$4:$H$40,"&gt;="&amp;M300),'FIRE TEX 5120'!$H$4:$M$40,IF(L300="F-15",2,IF(L300="F-30",3,IF(L300="F-60",4,IF(L300="F-90",5,IF(L300="F-120",6,0))))),0),0)+IF(AND(O300="FIRE TEX 5120",E300="CJ"),VLOOKUP(_xlfn.MINIFS('FIRE TEX 5120'!$O$5:$O$40,'FIRE TEX 5120'!$O$5:$O$40,"&gt;="&amp;M300),'FIRE TEX 5120'!$O$5:$T$40,IF(L300="F-15",2,IF(L300="F-30",3,IF(L300="F-60",4,IF(L300="F-90",5,IF(L300="F-120",6,0))))),0),0)</f>
        <v>0</v>
      </c>
      <c r="Q300" s="46">
        <f t="shared" si="34"/>
        <v>0</v>
      </c>
      <c r="R300" s="46">
        <f t="shared" si="36"/>
        <v>0</v>
      </c>
      <c r="S300" s="46" t="e">
        <f t="shared" si="35"/>
        <v>#VALUE!</v>
      </c>
      <c r="T300" s="677">
        <f t="shared" si="37"/>
        <v>0</v>
      </c>
      <c r="U300" s="80">
        <f>(IF(O300="Stofire",(S300*#REF!),0))+(IF(O300="Fire Control",(S300*$U$2),0))+(IF(O300="Fire Tex",(S300*$U$3),0))+(IF(O300="WB7",(S300*#REF!),0)+(IF(O300="FX 2003",(S300*$U$5),0)))</f>
        <v>0</v>
      </c>
      <c r="V300" s="651">
        <f t="shared" si="40"/>
        <v>0</v>
      </c>
      <c r="W300" s="4"/>
    </row>
    <row r="301" spans="1:23" x14ac:dyDescent="0.25">
      <c r="A301" s="652" t="s">
        <v>458</v>
      </c>
      <c r="B301" s="653" t="s">
        <v>459</v>
      </c>
      <c r="C301" s="1" t="s">
        <v>408</v>
      </c>
      <c r="D301" s="118">
        <f>+CUBICACION!D300</f>
        <v>0</v>
      </c>
      <c r="E301" s="118">
        <f>+CUBICACION!F300</f>
        <v>0</v>
      </c>
      <c r="F301" s="118">
        <f>+CUBICACION!E300</f>
        <v>0</v>
      </c>
      <c r="G301" s="118">
        <v>12</v>
      </c>
      <c r="H301" s="118">
        <v>2</v>
      </c>
      <c r="I301" s="820">
        <v>26385</v>
      </c>
      <c r="J301" s="118">
        <f>+CUBICACION!J300</f>
        <v>0</v>
      </c>
      <c r="K301" s="118">
        <v>3080</v>
      </c>
      <c r="L301" s="118">
        <f>+CUBICACION!L300</f>
        <v>0</v>
      </c>
      <c r="M301" s="64">
        <f>+CUBICACION!M300</f>
        <v>0</v>
      </c>
      <c r="N301" s="824" t="str">
        <f>+CUBICACION!N300</f>
        <v/>
      </c>
      <c r="O301" s="675">
        <f>+CUBICACION!O300</f>
        <v>0</v>
      </c>
      <c r="P301" s="15">
        <f>IF(O301="Fire Control",VLOOKUP(_xlfn.MINIFS('FIRE CONTROL'!$C$4:$C$37,'FIRE CONTROL'!$C$4:$C$37,"&gt;="&amp;M301),'FIRE CONTROL'!$C$4:$G$37,IF(L301="F-15",2,IF(L301="F-30",3,IF(L301="F-60",4,IF(L301="F-90",5,0)))),0),0)+IF(AND(O301="FIRE TEX 5062",OR(E301="IN",E301="C",E301="Z",E301="L"),J301=3),VLOOKUP(_xlfn.MINIFS('FIRE TEX 5062'!$B$4:$B$34,'FIRE TEX 5062'!$B$4:$B$34,"&gt;="&amp;M301),'FIRE TEX 5062'!$B$4:$F$34,IF(L301="F-15",2,IF(L301="F-30",3,IF(L301="F-60",4,IF(L301="F-90",5,0)))),0),0)+IF(AND(O301="FIRE TEX 5062",OR(E301="IN",E301="C",E301="Z",E301="L"),J301=4),VLOOKUP(_xlfn.MINIFS('FIRE TEX 5062'!$G$4:$G$34,'FIRE TEX 5062'!$G$4:$G$34,"&gt;="&amp;M301),'FIRE TEX 5062'!$G$4:$K$34,IF(L301="F-15",2,IF(L301="F-30",3,IF(L301="F-60",4,IF(L301="F-90",5,0)))),0),0)+IF(AND(O301="FIRE TEX 5062",E301="CJ",J301=3),VLOOKUP(_xlfn.MINIFS('FIRE TEX 5062'!$L$4:$L$34,'FIRE TEX 5062'!$L$4:$L$34,"&gt;="&amp;M301),'FIRE TEX 5062'!$L$4:$P$34,IF(L301="F-15",2,IF(L301="F-30",3,IF(L301="F-60",4,IF(L301="F-90",5,0)))),0),0)+IF(AND(O301="FIRE TEX 5062",E301="CJ",J301=4),VLOOKUP(_xlfn.MINIFS('FIRE TEX 5062'!$Q$3:$Q$34,'FIRE TEX 5062'!$Q$3:$Q$34,"&gt;="&amp;M301),'FIRE TEX 5062'!$Q$3:$U$34,IF(L301="F-15",2,IF(L301="F-30",3,IF(L301="F-60",4,IF(L301="F-90",5,0)))),0),0)+IF(AND(O301="FIRE TEX 5090",OR(E301="IN",E301="C",E301="Z",E301="L"),J301=3),VLOOKUP(_xlfn.MINIFS('FIRE TEX 5090'!$B$5:$B$43,'FIRE TEX 5090'!$B$5:$B$43,"&gt;="&amp;M301),'FIRE TEX 5090'!$B$5:$H$43,IF(L301="F-15",2,IF(L301="F-30",3,IF(L301="F-60",4,IF(L301="F-90",5,IF(L301="F-120",6,IF(L301="F-150",7,0)))))),0),0)+IF(AND(O301="FIRE TEX 5090",OR(E301="IN",E301="C",E301="Z",E301="L"),J301=4),VLOOKUP(_xlfn.MINIFS('FIRE TEX 5090'!$J$5:$J$43,'FIRE TEX 5090'!$J$5:$J$43,"&gt;="&amp;M301),'FIRE TEX 5090'!$J$5:$P$43,IF(L301="F-15",2,IF(L301="F-30",3,IF(L301="F-60",4,IF(L301="F-90",5,IF(L301="F-120",6,IF(L301="F-150",7,0)))))),0),0)+IF(AND(O301="FIRE TEX 5090",E301="CJ",J301=3),VLOOKUP(_xlfn.MINIFS('FIRE TEX 5090'!$R$5:$R$30,'FIRE TEX 5090'!$R$5:$R$30,"&gt;="&amp;M301),'FIRE TEX 5090'!$R$5:$W$30,IF(L301="F-15",2,IF(L301="F-30",3,IF(L301="F-60",4,IF(L301="F-90",5,IF(L301="F-120",6,IF(L301="F-150",7,0)))))),0),0)+IF(AND(O301="FIRE TEX 5090",E301="CJ",J301=4),VLOOKUP(_xlfn.MINIFS('FIRE TEX 5090'!$Y$5:$Y$39,'FIRE TEX 5090'!$Y$5:$Y$39,"&gt;="&amp;M301),'FIRE TEX 5090'!$Y$5:$AD$39,IF(L301="F-15",2,IF(L301="F-30",3,IF(L301="F-60",4,IF(L301="F-90",5,IF(L301="F-120",6,IF(L301="F-150",7,0)))))),0),0)+IF(AND(O301="FIRE TEX 5120",OR(E301="IN",E301="C",E301="Z",E301="L"),J301=3),VLOOKUP(_xlfn.MINIFS('FIRE TEX 5120'!$B$5:$B$40,'FIRE TEX 5120'!$B$5:$B$40,"&gt;="&amp;M301),'FIRE TEX 5120'!$B$5:$G$40,IF(L301="F-15",2,IF(L301="F-30",3,IF(L301="F-60",4,IF(L301="F-90",5,IF(L301="F-120",6,0))))),0),0)+IF(AND(O301="FIRE TEX 5120",OR(E301="IN",E301="C",E301="Z",E301="L"),J301=4),VLOOKUP(_xlfn.MINIFS('FIRE TEX 5120'!$H$4:$H$40,'FIRE TEX 5120'!$H$4:$H$40,"&gt;="&amp;M301),'FIRE TEX 5120'!$H$4:$M$40,IF(L301="F-15",2,IF(L301="F-30",3,IF(L301="F-60",4,IF(L301="F-90",5,IF(L301="F-120",6,0))))),0),0)+IF(AND(O301="FIRE TEX 5120",E301="CJ"),VLOOKUP(_xlfn.MINIFS('FIRE TEX 5120'!$O$5:$O$40,'FIRE TEX 5120'!$O$5:$O$40,"&gt;="&amp;M301),'FIRE TEX 5120'!$O$5:$T$40,IF(L301="F-15",2,IF(L301="F-30",3,IF(L301="F-60",4,IF(L301="F-90",5,IF(L301="F-120",6,0))))),0),0)</f>
        <v>0</v>
      </c>
      <c r="Q301" s="46">
        <f t="shared" si="34"/>
        <v>0</v>
      </c>
      <c r="R301" s="46">
        <f t="shared" si="36"/>
        <v>0</v>
      </c>
      <c r="S301" s="46" t="e">
        <f t="shared" si="35"/>
        <v>#VALUE!</v>
      </c>
      <c r="T301" s="677">
        <f t="shared" si="37"/>
        <v>0</v>
      </c>
      <c r="U301" s="80">
        <f>(IF(O301="Stofire",(S301*#REF!),0))+(IF(O301="Fire Control",(S301*$U$2),0))+(IF(O301="Fire Tex",(S301*$U$3),0))+(IF(O301="WB7",(S301*#REF!),0)+(IF(O301="FX 2003",(S301*$U$5),0)))</f>
        <v>0</v>
      </c>
      <c r="V301" s="651">
        <f t="shared" si="40"/>
        <v>0</v>
      </c>
      <c r="W301" s="4"/>
    </row>
    <row r="302" spans="1:23" x14ac:dyDescent="0.25">
      <c r="A302" s="652" t="s">
        <v>461</v>
      </c>
      <c r="B302" s="653" t="s">
        <v>459</v>
      </c>
      <c r="C302" s="1" t="s">
        <v>462</v>
      </c>
      <c r="D302" s="118">
        <f>+CUBICACION!D301</f>
        <v>0</v>
      </c>
      <c r="E302" s="118">
        <f>+CUBICACION!F301</f>
        <v>0</v>
      </c>
      <c r="F302" s="118">
        <f>+CUBICACION!E301</f>
        <v>0</v>
      </c>
      <c r="G302" s="118">
        <v>12</v>
      </c>
      <c r="H302" s="118">
        <v>2</v>
      </c>
      <c r="I302" s="820">
        <v>26385</v>
      </c>
      <c r="J302" s="118">
        <f>+CUBICACION!J301</f>
        <v>0</v>
      </c>
      <c r="K302" s="118">
        <v>3081</v>
      </c>
      <c r="L302" s="118">
        <f>+CUBICACION!L301</f>
        <v>0</v>
      </c>
      <c r="M302" s="64">
        <f>+CUBICACION!M301</f>
        <v>0</v>
      </c>
      <c r="N302" s="824" t="str">
        <f>+CUBICACION!N301</f>
        <v/>
      </c>
      <c r="O302" s="675">
        <f>+CUBICACION!O301</f>
        <v>0</v>
      </c>
      <c r="P302" s="15">
        <f>IF(O302="Fire Control",VLOOKUP(_xlfn.MINIFS('FIRE CONTROL'!$C$4:$C$37,'FIRE CONTROL'!$C$4:$C$37,"&gt;="&amp;M302),'FIRE CONTROL'!$C$4:$G$37,IF(L302="F-15",2,IF(L302="F-30",3,IF(L302="F-60",4,IF(L302="F-90",5,0)))),0),0)+IF(AND(O302="FIRE TEX 5062",OR(E302="IN",E302="C",E302="Z",E302="L"),J302=3),VLOOKUP(_xlfn.MINIFS('FIRE TEX 5062'!$B$4:$B$34,'FIRE TEX 5062'!$B$4:$B$34,"&gt;="&amp;M302),'FIRE TEX 5062'!$B$4:$F$34,IF(L302="F-15",2,IF(L302="F-30",3,IF(L302="F-60",4,IF(L302="F-90",5,0)))),0),0)+IF(AND(O302="FIRE TEX 5062",OR(E302="IN",E302="C",E302="Z",E302="L"),J302=4),VLOOKUP(_xlfn.MINIFS('FIRE TEX 5062'!$G$4:$G$34,'FIRE TEX 5062'!$G$4:$G$34,"&gt;="&amp;M302),'FIRE TEX 5062'!$G$4:$K$34,IF(L302="F-15",2,IF(L302="F-30",3,IF(L302="F-60",4,IF(L302="F-90",5,0)))),0),0)+IF(AND(O302="FIRE TEX 5062",E302="CJ",J302=3),VLOOKUP(_xlfn.MINIFS('FIRE TEX 5062'!$L$4:$L$34,'FIRE TEX 5062'!$L$4:$L$34,"&gt;="&amp;M302),'FIRE TEX 5062'!$L$4:$P$34,IF(L302="F-15",2,IF(L302="F-30",3,IF(L302="F-60",4,IF(L302="F-90",5,0)))),0),0)+IF(AND(O302="FIRE TEX 5062",E302="CJ",J302=4),VLOOKUP(_xlfn.MINIFS('FIRE TEX 5062'!$Q$3:$Q$34,'FIRE TEX 5062'!$Q$3:$Q$34,"&gt;="&amp;M302),'FIRE TEX 5062'!$Q$3:$U$34,IF(L302="F-15",2,IF(L302="F-30",3,IF(L302="F-60",4,IF(L302="F-90",5,0)))),0),0)+IF(AND(O302="FIRE TEX 5090",OR(E302="IN",E302="C",E302="Z",E302="L"),J302=3),VLOOKUP(_xlfn.MINIFS('FIRE TEX 5090'!$B$5:$B$43,'FIRE TEX 5090'!$B$5:$B$43,"&gt;="&amp;M302),'FIRE TEX 5090'!$B$5:$H$43,IF(L302="F-15",2,IF(L302="F-30",3,IF(L302="F-60",4,IF(L302="F-90",5,IF(L302="F-120",6,IF(L302="F-150",7,0)))))),0),0)+IF(AND(O302="FIRE TEX 5090",OR(E302="IN",E302="C",E302="Z",E302="L"),J302=4),VLOOKUP(_xlfn.MINIFS('FIRE TEX 5090'!$J$5:$J$43,'FIRE TEX 5090'!$J$5:$J$43,"&gt;="&amp;M302),'FIRE TEX 5090'!$J$5:$P$43,IF(L302="F-15",2,IF(L302="F-30",3,IF(L302="F-60",4,IF(L302="F-90",5,IF(L302="F-120",6,IF(L302="F-150",7,0)))))),0),0)+IF(AND(O302="FIRE TEX 5090",E302="CJ",J302=3),VLOOKUP(_xlfn.MINIFS('FIRE TEX 5090'!$R$5:$R$30,'FIRE TEX 5090'!$R$5:$R$30,"&gt;="&amp;M302),'FIRE TEX 5090'!$R$5:$W$30,IF(L302="F-15",2,IF(L302="F-30",3,IF(L302="F-60",4,IF(L302="F-90",5,IF(L302="F-120",6,IF(L302="F-150",7,0)))))),0),0)+IF(AND(O302="FIRE TEX 5090",E302="CJ",J302=4),VLOOKUP(_xlfn.MINIFS('FIRE TEX 5090'!$Y$5:$Y$39,'FIRE TEX 5090'!$Y$5:$Y$39,"&gt;="&amp;M302),'FIRE TEX 5090'!$Y$5:$AD$39,IF(L302="F-15",2,IF(L302="F-30",3,IF(L302="F-60",4,IF(L302="F-90",5,IF(L302="F-120",6,IF(L302="F-150",7,0)))))),0),0)+IF(AND(O302="FIRE TEX 5120",OR(E302="IN",E302="C",E302="Z",E302="L"),J302=3),VLOOKUP(_xlfn.MINIFS('FIRE TEX 5120'!$B$5:$B$40,'FIRE TEX 5120'!$B$5:$B$40,"&gt;="&amp;M302),'FIRE TEX 5120'!$B$5:$G$40,IF(L302="F-15",2,IF(L302="F-30",3,IF(L302="F-60",4,IF(L302="F-90",5,IF(L302="F-120",6,0))))),0),0)+IF(AND(O302="FIRE TEX 5120",OR(E302="IN",E302="C",E302="Z",E302="L"),J302=4),VLOOKUP(_xlfn.MINIFS('FIRE TEX 5120'!$H$4:$H$40,'FIRE TEX 5120'!$H$4:$H$40,"&gt;="&amp;M302),'FIRE TEX 5120'!$H$4:$M$40,IF(L302="F-15",2,IF(L302="F-30",3,IF(L302="F-60",4,IF(L302="F-90",5,IF(L302="F-120",6,0))))),0),0)+IF(AND(O302="FIRE TEX 5120",E302="CJ"),VLOOKUP(_xlfn.MINIFS('FIRE TEX 5120'!$O$5:$O$40,'FIRE TEX 5120'!$O$5:$O$40,"&gt;="&amp;M302),'FIRE TEX 5120'!$O$5:$T$40,IF(L302="F-15",2,IF(L302="F-30",3,IF(L302="F-60",4,IF(L302="F-90",5,IF(L302="F-120",6,0))))),0),0)</f>
        <v>0</v>
      </c>
      <c r="Q302" s="46">
        <f t="shared" si="34"/>
        <v>0</v>
      </c>
      <c r="R302" s="46">
        <f t="shared" si="36"/>
        <v>0</v>
      </c>
      <c r="S302" s="46" t="e">
        <f t="shared" si="35"/>
        <v>#VALUE!</v>
      </c>
      <c r="T302" s="677">
        <f t="shared" si="37"/>
        <v>0</v>
      </c>
      <c r="U302" s="80">
        <f>(IF(O302="Stofire",(S302*#REF!),0))+(IF(O302="Fire Control",(S302*$U$2),0))+(IF(O302="Fire Tex",(S302*$U$3),0))+(IF(O302="WB7",(S302*#REF!),0)+(IF(O302="FX 2003",(S302*$U$5),0)))</f>
        <v>0</v>
      </c>
      <c r="V302" s="651">
        <f t="shared" si="40"/>
        <v>0</v>
      </c>
      <c r="W302" s="4"/>
    </row>
    <row r="303" spans="1:23" x14ac:dyDescent="0.25">
      <c r="A303" s="652" t="s">
        <v>461</v>
      </c>
      <c r="B303" s="653" t="s">
        <v>459</v>
      </c>
      <c r="C303" s="1" t="s">
        <v>408</v>
      </c>
      <c r="D303" s="118">
        <f>+CUBICACION!D302</f>
        <v>0</v>
      </c>
      <c r="E303" s="118">
        <f>+CUBICACION!F302</f>
        <v>0</v>
      </c>
      <c r="F303" s="118">
        <f>+CUBICACION!E302</f>
        <v>0</v>
      </c>
      <c r="G303" s="118">
        <v>12</v>
      </c>
      <c r="H303" s="118">
        <v>2</v>
      </c>
      <c r="I303" s="820">
        <v>26385</v>
      </c>
      <c r="J303" s="118">
        <f>+CUBICACION!J302</f>
        <v>0</v>
      </c>
      <c r="K303" s="118">
        <v>3082</v>
      </c>
      <c r="L303" s="118">
        <f>+CUBICACION!L302</f>
        <v>0</v>
      </c>
      <c r="M303" s="64">
        <f>+CUBICACION!M302</f>
        <v>0</v>
      </c>
      <c r="N303" s="824" t="str">
        <f>+CUBICACION!N302</f>
        <v/>
      </c>
      <c r="O303" s="675">
        <f>+CUBICACION!O302</f>
        <v>0</v>
      </c>
      <c r="P303" s="15">
        <f>IF(O303="Fire Control",VLOOKUP(_xlfn.MINIFS('FIRE CONTROL'!$C$4:$C$37,'FIRE CONTROL'!$C$4:$C$37,"&gt;="&amp;M303),'FIRE CONTROL'!$C$4:$G$37,IF(L303="F-15",2,IF(L303="F-30",3,IF(L303="F-60",4,IF(L303="F-90",5,0)))),0),0)+IF(AND(O303="FIRE TEX 5062",OR(E303="IN",E303="C",E303="Z",E303="L"),J303=3),VLOOKUP(_xlfn.MINIFS('FIRE TEX 5062'!$B$4:$B$34,'FIRE TEX 5062'!$B$4:$B$34,"&gt;="&amp;M303),'FIRE TEX 5062'!$B$4:$F$34,IF(L303="F-15",2,IF(L303="F-30",3,IF(L303="F-60",4,IF(L303="F-90",5,0)))),0),0)+IF(AND(O303="FIRE TEX 5062",OR(E303="IN",E303="C",E303="Z",E303="L"),J303=4),VLOOKUP(_xlfn.MINIFS('FIRE TEX 5062'!$G$4:$G$34,'FIRE TEX 5062'!$G$4:$G$34,"&gt;="&amp;M303),'FIRE TEX 5062'!$G$4:$K$34,IF(L303="F-15",2,IF(L303="F-30",3,IF(L303="F-60",4,IF(L303="F-90",5,0)))),0),0)+IF(AND(O303="FIRE TEX 5062",E303="CJ",J303=3),VLOOKUP(_xlfn.MINIFS('FIRE TEX 5062'!$L$4:$L$34,'FIRE TEX 5062'!$L$4:$L$34,"&gt;="&amp;M303),'FIRE TEX 5062'!$L$4:$P$34,IF(L303="F-15",2,IF(L303="F-30",3,IF(L303="F-60",4,IF(L303="F-90",5,0)))),0),0)+IF(AND(O303="FIRE TEX 5062",E303="CJ",J303=4),VLOOKUP(_xlfn.MINIFS('FIRE TEX 5062'!$Q$3:$Q$34,'FIRE TEX 5062'!$Q$3:$Q$34,"&gt;="&amp;M303),'FIRE TEX 5062'!$Q$3:$U$34,IF(L303="F-15",2,IF(L303="F-30",3,IF(L303="F-60",4,IF(L303="F-90",5,0)))),0),0)+IF(AND(O303="FIRE TEX 5090",OR(E303="IN",E303="C",E303="Z",E303="L"),J303=3),VLOOKUP(_xlfn.MINIFS('FIRE TEX 5090'!$B$5:$B$43,'FIRE TEX 5090'!$B$5:$B$43,"&gt;="&amp;M303),'FIRE TEX 5090'!$B$5:$H$43,IF(L303="F-15",2,IF(L303="F-30",3,IF(L303="F-60",4,IF(L303="F-90",5,IF(L303="F-120",6,IF(L303="F-150",7,0)))))),0),0)+IF(AND(O303="FIRE TEX 5090",OR(E303="IN",E303="C",E303="Z",E303="L"),J303=4),VLOOKUP(_xlfn.MINIFS('FIRE TEX 5090'!$J$5:$J$43,'FIRE TEX 5090'!$J$5:$J$43,"&gt;="&amp;M303),'FIRE TEX 5090'!$J$5:$P$43,IF(L303="F-15",2,IF(L303="F-30",3,IF(L303="F-60",4,IF(L303="F-90",5,IF(L303="F-120",6,IF(L303="F-150",7,0)))))),0),0)+IF(AND(O303="FIRE TEX 5090",E303="CJ",J303=3),VLOOKUP(_xlfn.MINIFS('FIRE TEX 5090'!$R$5:$R$30,'FIRE TEX 5090'!$R$5:$R$30,"&gt;="&amp;M303),'FIRE TEX 5090'!$R$5:$W$30,IF(L303="F-15",2,IF(L303="F-30",3,IF(L303="F-60",4,IF(L303="F-90",5,IF(L303="F-120",6,IF(L303="F-150",7,0)))))),0),0)+IF(AND(O303="FIRE TEX 5090",E303="CJ",J303=4),VLOOKUP(_xlfn.MINIFS('FIRE TEX 5090'!$Y$5:$Y$39,'FIRE TEX 5090'!$Y$5:$Y$39,"&gt;="&amp;M303),'FIRE TEX 5090'!$Y$5:$AD$39,IF(L303="F-15",2,IF(L303="F-30",3,IF(L303="F-60",4,IF(L303="F-90",5,IF(L303="F-120",6,IF(L303="F-150",7,0)))))),0),0)+IF(AND(O303="FIRE TEX 5120",OR(E303="IN",E303="C",E303="Z",E303="L"),J303=3),VLOOKUP(_xlfn.MINIFS('FIRE TEX 5120'!$B$5:$B$40,'FIRE TEX 5120'!$B$5:$B$40,"&gt;="&amp;M303),'FIRE TEX 5120'!$B$5:$G$40,IF(L303="F-15",2,IF(L303="F-30",3,IF(L303="F-60",4,IF(L303="F-90",5,IF(L303="F-120",6,0))))),0),0)+IF(AND(O303="FIRE TEX 5120",OR(E303="IN",E303="C",E303="Z",E303="L"),J303=4),VLOOKUP(_xlfn.MINIFS('FIRE TEX 5120'!$H$4:$H$40,'FIRE TEX 5120'!$H$4:$H$40,"&gt;="&amp;M303),'FIRE TEX 5120'!$H$4:$M$40,IF(L303="F-15",2,IF(L303="F-30",3,IF(L303="F-60",4,IF(L303="F-90",5,IF(L303="F-120",6,0))))),0),0)+IF(AND(O303="FIRE TEX 5120",E303="CJ"),VLOOKUP(_xlfn.MINIFS('FIRE TEX 5120'!$O$5:$O$40,'FIRE TEX 5120'!$O$5:$O$40,"&gt;="&amp;M303),'FIRE TEX 5120'!$O$5:$T$40,IF(L303="F-15",2,IF(L303="F-30",3,IF(L303="F-60",4,IF(L303="F-90",5,IF(L303="F-120",6,0))))),0),0)</f>
        <v>0</v>
      </c>
      <c r="Q303" s="46">
        <f t="shared" si="34"/>
        <v>0</v>
      </c>
      <c r="R303" s="46">
        <f t="shared" si="36"/>
        <v>0</v>
      </c>
      <c r="S303" s="46" t="e">
        <f t="shared" si="35"/>
        <v>#VALUE!</v>
      </c>
      <c r="T303" s="677">
        <f t="shared" si="37"/>
        <v>0</v>
      </c>
      <c r="U303" s="80">
        <f>(IF(O303="Stofire",(S303*#REF!),0))+(IF(O303="Fire Control",(S303*$U$2),0))+(IF(O303="Fire Tex",(S303*$U$3),0))+(IF(O303="WB7",(S303*#REF!),0)+(IF(O303="FX 2003",(S303*$U$5),0)))</f>
        <v>0</v>
      </c>
      <c r="V303" s="651">
        <f t="shared" si="40"/>
        <v>0</v>
      </c>
      <c r="W303" s="4"/>
    </row>
    <row r="304" spans="1:23" x14ac:dyDescent="0.25">
      <c r="A304" s="652" t="s">
        <v>461</v>
      </c>
      <c r="B304" s="653" t="s">
        <v>459</v>
      </c>
      <c r="C304" s="1" t="s">
        <v>408</v>
      </c>
      <c r="D304" s="118">
        <f>+CUBICACION!D303</f>
        <v>0</v>
      </c>
      <c r="E304" s="118">
        <f>+CUBICACION!F303</f>
        <v>0</v>
      </c>
      <c r="F304" s="118">
        <f>+CUBICACION!E303</f>
        <v>0</v>
      </c>
      <c r="G304" s="118">
        <v>12</v>
      </c>
      <c r="H304" s="118">
        <v>2</v>
      </c>
      <c r="I304" s="820">
        <v>26385</v>
      </c>
      <c r="J304" s="118">
        <f>+CUBICACION!J303</f>
        <v>0</v>
      </c>
      <c r="K304" s="118">
        <v>3083</v>
      </c>
      <c r="L304" s="118">
        <f>+CUBICACION!L303</f>
        <v>0</v>
      </c>
      <c r="M304" s="64">
        <f>+CUBICACION!M303</f>
        <v>0</v>
      </c>
      <c r="N304" s="824" t="str">
        <f>+CUBICACION!N303</f>
        <v/>
      </c>
      <c r="O304" s="675">
        <f>+CUBICACION!O303</f>
        <v>0</v>
      </c>
      <c r="P304" s="15">
        <f>IF(O304="Fire Control",VLOOKUP(_xlfn.MINIFS('FIRE CONTROL'!$C$4:$C$37,'FIRE CONTROL'!$C$4:$C$37,"&gt;="&amp;M304),'FIRE CONTROL'!$C$4:$G$37,IF(L304="F-15",2,IF(L304="F-30",3,IF(L304="F-60",4,IF(L304="F-90",5,0)))),0),0)+IF(AND(O304="FIRE TEX 5062",OR(E304="IN",E304="C",E304="Z",E304="L"),J304=3),VLOOKUP(_xlfn.MINIFS('FIRE TEX 5062'!$B$4:$B$34,'FIRE TEX 5062'!$B$4:$B$34,"&gt;="&amp;M304),'FIRE TEX 5062'!$B$4:$F$34,IF(L304="F-15",2,IF(L304="F-30",3,IF(L304="F-60",4,IF(L304="F-90",5,0)))),0),0)+IF(AND(O304="FIRE TEX 5062",OR(E304="IN",E304="C",E304="Z",E304="L"),J304=4),VLOOKUP(_xlfn.MINIFS('FIRE TEX 5062'!$G$4:$G$34,'FIRE TEX 5062'!$G$4:$G$34,"&gt;="&amp;M304),'FIRE TEX 5062'!$G$4:$K$34,IF(L304="F-15",2,IF(L304="F-30",3,IF(L304="F-60",4,IF(L304="F-90",5,0)))),0),0)+IF(AND(O304="FIRE TEX 5062",E304="CJ",J304=3),VLOOKUP(_xlfn.MINIFS('FIRE TEX 5062'!$L$4:$L$34,'FIRE TEX 5062'!$L$4:$L$34,"&gt;="&amp;M304),'FIRE TEX 5062'!$L$4:$P$34,IF(L304="F-15",2,IF(L304="F-30",3,IF(L304="F-60",4,IF(L304="F-90",5,0)))),0),0)+IF(AND(O304="FIRE TEX 5062",E304="CJ",J304=4),VLOOKUP(_xlfn.MINIFS('FIRE TEX 5062'!$Q$3:$Q$34,'FIRE TEX 5062'!$Q$3:$Q$34,"&gt;="&amp;M304),'FIRE TEX 5062'!$Q$3:$U$34,IF(L304="F-15",2,IF(L304="F-30",3,IF(L304="F-60",4,IF(L304="F-90",5,0)))),0),0)+IF(AND(O304="FIRE TEX 5090",OR(E304="IN",E304="C",E304="Z",E304="L"),J304=3),VLOOKUP(_xlfn.MINIFS('FIRE TEX 5090'!$B$5:$B$43,'FIRE TEX 5090'!$B$5:$B$43,"&gt;="&amp;M304),'FIRE TEX 5090'!$B$5:$H$43,IF(L304="F-15",2,IF(L304="F-30",3,IF(L304="F-60",4,IF(L304="F-90",5,IF(L304="F-120",6,IF(L304="F-150",7,0)))))),0),0)+IF(AND(O304="FIRE TEX 5090",OR(E304="IN",E304="C",E304="Z",E304="L"),J304=4),VLOOKUP(_xlfn.MINIFS('FIRE TEX 5090'!$J$5:$J$43,'FIRE TEX 5090'!$J$5:$J$43,"&gt;="&amp;M304),'FIRE TEX 5090'!$J$5:$P$43,IF(L304="F-15",2,IF(L304="F-30",3,IF(L304="F-60",4,IF(L304="F-90",5,IF(L304="F-120",6,IF(L304="F-150",7,0)))))),0),0)+IF(AND(O304="FIRE TEX 5090",E304="CJ",J304=3),VLOOKUP(_xlfn.MINIFS('FIRE TEX 5090'!$R$5:$R$30,'FIRE TEX 5090'!$R$5:$R$30,"&gt;="&amp;M304),'FIRE TEX 5090'!$R$5:$W$30,IF(L304="F-15",2,IF(L304="F-30",3,IF(L304="F-60",4,IF(L304="F-90",5,IF(L304="F-120",6,IF(L304="F-150",7,0)))))),0),0)+IF(AND(O304="FIRE TEX 5090",E304="CJ",J304=4),VLOOKUP(_xlfn.MINIFS('FIRE TEX 5090'!$Y$5:$Y$39,'FIRE TEX 5090'!$Y$5:$Y$39,"&gt;="&amp;M304),'FIRE TEX 5090'!$Y$5:$AD$39,IF(L304="F-15",2,IF(L304="F-30",3,IF(L304="F-60",4,IF(L304="F-90",5,IF(L304="F-120",6,IF(L304="F-150",7,0)))))),0),0)+IF(AND(O304="FIRE TEX 5120",OR(E304="IN",E304="C",E304="Z",E304="L"),J304=3),VLOOKUP(_xlfn.MINIFS('FIRE TEX 5120'!$B$5:$B$40,'FIRE TEX 5120'!$B$5:$B$40,"&gt;="&amp;M304),'FIRE TEX 5120'!$B$5:$G$40,IF(L304="F-15",2,IF(L304="F-30",3,IF(L304="F-60",4,IF(L304="F-90",5,IF(L304="F-120",6,0))))),0),0)+IF(AND(O304="FIRE TEX 5120",OR(E304="IN",E304="C",E304="Z",E304="L"),J304=4),VLOOKUP(_xlfn.MINIFS('FIRE TEX 5120'!$H$4:$H$40,'FIRE TEX 5120'!$H$4:$H$40,"&gt;="&amp;M304),'FIRE TEX 5120'!$H$4:$M$40,IF(L304="F-15",2,IF(L304="F-30",3,IF(L304="F-60",4,IF(L304="F-90",5,IF(L304="F-120",6,0))))),0),0)+IF(AND(O304="FIRE TEX 5120",E304="CJ"),VLOOKUP(_xlfn.MINIFS('FIRE TEX 5120'!$O$5:$O$40,'FIRE TEX 5120'!$O$5:$O$40,"&gt;="&amp;M304),'FIRE TEX 5120'!$O$5:$T$40,IF(L304="F-15",2,IF(L304="F-30",3,IF(L304="F-60",4,IF(L304="F-90",5,IF(L304="F-120",6,0))))),0),0)</f>
        <v>0</v>
      </c>
      <c r="Q304" s="46">
        <f t="shared" si="34"/>
        <v>0</v>
      </c>
      <c r="R304" s="46">
        <f t="shared" si="36"/>
        <v>0</v>
      </c>
      <c r="S304" s="46" t="e">
        <f t="shared" si="35"/>
        <v>#VALUE!</v>
      </c>
      <c r="T304" s="677">
        <f t="shared" si="37"/>
        <v>0</v>
      </c>
      <c r="U304" s="80">
        <f>(IF(O304="Stofire",(S304*#REF!),0))+(IF(O304="Fire Control",(S304*$U$2),0))+(IF(O304="Fire Tex",(S304*$U$3),0))+(IF(O304="WB7",(S304*#REF!),0)+(IF(O304="FX 2003",(S304*$U$5),0)))</f>
        <v>0</v>
      </c>
      <c r="V304" s="651">
        <f t="shared" si="40"/>
        <v>0</v>
      </c>
      <c r="W304" s="4"/>
    </row>
    <row r="305" spans="1:23" x14ac:dyDescent="0.25">
      <c r="A305" s="652" t="s">
        <v>406</v>
      </c>
      <c r="B305" s="653" t="s">
        <v>407</v>
      </c>
      <c r="C305" s="1" t="s">
        <v>408</v>
      </c>
      <c r="D305" s="118">
        <f>+CUBICACION!D304</f>
        <v>0</v>
      </c>
      <c r="E305" s="118">
        <f>+CUBICACION!F304</f>
        <v>0</v>
      </c>
      <c r="F305" s="118">
        <f>+CUBICACION!E304</f>
        <v>0</v>
      </c>
      <c r="G305" s="118">
        <v>12</v>
      </c>
      <c r="H305" s="118">
        <v>2</v>
      </c>
      <c r="I305" s="820">
        <v>26385</v>
      </c>
      <c r="J305" s="118">
        <f>+CUBICACION!J304</f>
        <v>0</v>
      </c>
      <c r="K305" s="118">
        <v>3084</v>
      </c>
      <c r="L305" s="118">
        <f>+CUBICACION!L304</f>
        <v>0</v>
      </c>
      <c r="M305" s="64">
        <f>+CUBICACION!M304</f>
        <v>0</v>
      </c>
      <c r="N305" s="824" t="str">
        <f>+CUBICACION!N304</f>
        <v/>
      </c>
      <c r="O305" s="675">
        <f>+CUBICACION!O304</f>
        <v>0</v>
      </c>
      <c r="P305" s="15">
        <f>IF(O305="Fire Control",VLOOKUP(_xlfn.MINIFS('FIRE CONTROL'!$C$4:$C$37,'FIRE CONTROL'!$C$4:$C$37,"&gt;="&amp;M305),'FIRE CONTROL'!$C$4:$G$37,IF(L305="F-15",2,IF(L305="F-30",3,IF(L305="F-60",4,IF(L305="F-90",5,0)))),0),0)+IF(AND(O305="FIRE TEX 5062",OR(E305="IN",E305="C",E305="Z",E305="L"),J305=3),VLOOKUP(_xlfn.MINIFS('FIRE TEX 5062'!$B$4:$B$34,'FIRE TEX 5062'!$B$4:$B$34,"&gt;="&amp;M305),'FIRE TEX 5062'!$B$4:$F$34,IF(L305="F-15",2,IF(L305="F-30",3,IF(L305="F-60",4,IF(L305="F-90",5,0)))),0),0)+IF(AND(O305="FIRE TEX 5062",OR(E305="IN",E305="C",E305="Z",E305="L"),J305=4),VLOOKUP(_xlfn.MINIFS('FIRE TEX 5062'!$G$4:$G$34,'FIRE TEX 5062'!$G$4:$G$34,"&gt;="&amp;M305),'FIRE TEX 5062'!$G$4:$K$34,IF(L305="F-15",2,IF(L305="F-30",3,IF(L305="F-60",4,IF(L305="F-90",5,0)))),0),0)+IF(AND(O305="FIRE TEX 5062",E305="CJ",J305=3),VLOOKUP(_xlfn.MINIFS('FIRE TEX 5062'!$L$4:$L$34,'FIRE TEX 5062'!$L$4:$L$34,"&gt;="&amp;M305),'FIRE TEX 5062'!$L$4:$P$34,IF(L305="F-15",2,IF(L305="F-30",3,IF(L305="F-60",4,IF(L305="F-90",5,0)))),0),0)+IF(AND(O305="FIRE TEX 5062",E305="CJ",J305=4),VLOOKUP(_xlfn.MINIFS('FIRE TEX 5062'!$Q$3:$Q$34,'FIRE TEX 5062'!$Q$3:$Q$34,"&gt;="&amp;M305),'FIRE TEX 5062'!$Q$3:$U$34,IF(L305="F-15",2,IF(L305="F-30",3,IF(L305="F-60",4,IF(L305="F-90",5,0)))),0),0)+IF(AND(O305="FIRE TEX 5090",OR(E305="IN",E305="C",E305="Z",E305="L"),J305=3),VLOOKUP(_xlfn.MINIFS('FIRE TEX 5090'!$B$5:$B$43,'FIRE TEX 5090'!$B$5:$B$43,"&gt;="&amp;M305),'FIRE TEX 5090'!$B$5:$H$43,IF(L305="F-15",2,IF(L305="F-30",3,IF(L305="F-60",4,IF(L305="F-90",5,IF(L305="F-120",6,IF(L305="F-150",7,0)))))),0),0)+IF(AND(O305="FIRE TEX 5090",OR(E305="IN",E305="C",E305="Z",E305="L"),J305=4),VLOOKUP(_xlfn.MINIFS('FIRE TEX 5090'!$J$5:$J$43,'FIRE TEX 5090'!$J$5:$J$43,"&gt;="&amp;M305),'FIRE TEX 5090'!$J$5:$P$43,IF(L305="F-15",2,IF(L305="F-30",3,IF(L305="F-60",4,IF(L305="F-90",5,IF(L305="F-120",6,IF(L305="F-150",7,0)))))),0),0)+IF(AND(O305="FIRE TEX 5090",E305="CJ",J305=3),VLOOKUP(_xlfn.MINIFS('FIRE TEX 5090'!$R$5:$R$30,'FIRE TEX 5090'!$R$5:$R$30,"&gt;="&amp;M305),'FIRE TEX 5090'!$R$5:$W$30,IF(L305="F-15",2,IF(L305="F-30",3,IF(L305="F-60",4,IF(L305="F-90",5,IF(L305="F-120",6,IF(L305="F-150",7,0)))))),0),0)+IF(AND(O305="FIRE TEX 5090",E305="CJ",J305=4),VLOOKUP(_xlfn.MINIFS('FIRE TEX 5090'!$Y$5:$Y$39,'FIRE TEX 5090'!$Y$5:$Y$39,"&gt;="&amp;M305),'FIRE TEX 5090'!$Y$5:$AD$39,IF(L305="F-15",2,IF(L305="F-30",3,IF(L305="F-60",4,IF(L305="F-90",5,IF(L305="F-120",6,IF(L305="F-150",7,0)))))),0),0)+IF(AND(O305="FIRE TEX 5120",OR(E305="IN",E305="C",E305="Z",E305="L"),J305=3),VLOOKUP(_xlfn.MINIFS('FIRE TEX 5120'!$B$5:$B$40,'FIRE TEX 5120'!$B$5:$B$40,"&gt;="&amp;M305),'FIRE TEX 5120'!$B$5:$G$40,IF(L305="F-15",2,IF(L305="F-30",3,IF(L305="F-60",4,IF(L305="F-90",5,IF(L305="F-120",6,0))))),0),0)+IF(AND(O305="FIRE TEX 5120",OR(E305="IN",E305="C",E305="Z",E305="L"),J305=4),VLOOKUP(_xlfn.MINIFS('FIRE TEX 5120'!$H$4:$H$40,'FIRE TEX 5120'!$H$4:$H$40,"&gt;="&amp;M305),'FIRE TEX 5120'!$H$4:$M$40,IF(L305="F-15",2,IF(L305="F-30",3,IF(L305="F-60",4,IF(L305="F-90",5,IF(L305="F-120",6,0))))),0),0)+IF(AND(O305="FIRE TEX 5120",E305="CJ"),VLOOKUP(_xlfn.MINIFS('FIRE TEX 5120'!$O$5:$O$40,'FIRE TEX 5120'!$O$5:$O$40,"&gt;="&amp;M305),'FIRE TEX 5120'!$O$5:$T$40,IF(L305="F-15",2,IF(L305="F-30",3,IF(L305="F-60",4,IF(L305="F-90",5,IF(L305="F-120",6,0))))),0),0)</f>
        <v>0</v>
      </c>
      <c r="Q305" s="46">
        <f t="shared" si="34"/>
        <v>0</v>
      </c>
      <c r="R305" s="46">
        <f t="shared" si="36"/>
        <v>0</v>
      </c>
      <c r="S305" s="46" t="e">
        <f t="shared" si="35"/>
        <v>#VALUE!</v>
      </c>
      <c r="T305" s="677">
        <f t="shared" si="37"/>
        <v>0</v>
      </c>
      <c r="U305" s="80">
        <f>(IF(O305="Stofire",(S305*#REF!),0))+(IF(O305="Fire Control",(S305*$U$2),0))+(IF(O305="Fire Tex",(S305*$U$3),0))+(IF(O305="WB7",(S305*#REF!),0)+(IF(O305="FX 2003",(S305*$U$5),0)))</f>
        <v>0</v>
      </c>
      <c r="V305" s="649">
        <f>_xlfn.CEILING.MATH(M305,10)</f>
        <v>0</v>
      </c>
      <c r="W305" s="4"/>
    </row>
    <row r="306" spans="1:23" x14ac:dyDescent="0.25">
      <c r="A306" s="652" t="s">
        <v>406</v>
      </c>
      <c r="B306" s="653" t="s">
        <v>407</v>
      </c>
      <c r="C306" s="1" t="s">
        <v>408</v>
      </c>
      <c r="D306" s="118">
        <f>+CUBICACION!D305</f>
        <v>0</v>
      </c>
      <c r="E306" s="118">
        <f>+CUBICACION!F305</f>
        <v>0</v>
      </c>
      <c r="F306" s="118">
        <f>+CUBICACION!E305</f>
        <v>0</v>
      </c>
      <c r="G306" s="118">
        <v>12</v>
      </c>
      <c r="H306" s="118">
        <v>2</v>
      </c>
      <c r="I306" s="820">
        <v>26385</v>
      </c>
      <c r="J306" s="118">
        <f>+CUBICACION!J305</f>
        <v>0</v>
      </c>
      <c r="K306" s="118">
        <v>3085</v>
      </c>
      <c r="L306" s="118">
        <f>+CUBICACION!L305</f>
        <v>0</v>
      </c>
      <c r="M306" s="64">
        <f>+CUBICACION!M305</f>
        <v>0</v>
      </c>
      <c r="N306" s="824" t="str">
        <f>+CUBICACION!N305</f>
        <v/>
      </c>
      <c r="O306" s="675">
        <f>+CUBICACION!O305</f>
        <v>0</v>
      </c>
      <c r="P306" s="15">
        <f>IF(O306="Fire Control",VLOOKUP(_xlfn.MINIFS('FIRE CONTROL'!$C$4:$C$37,'FIRE CONTROL'!$C$4:$C$37,"&gt;="&amp;M306),'FIRE CONTROL'!$C$4:$G$37,IF(L306="F-15",2,IF(L306="F-30",3,IF(L306="F-60",4,IF(L306="F-90",5,0)))),0),0)+IF(AND(O306="FIRE TEX 5062",OR(E306="IN",E306="C",E306="Z",E306="L"),J306=3),VLOOKUP(_xlfn.MINIFS('FIRE TEX 5062'!$B$4:$B$34,'FIRE TEX 5062'!$B$4:$B$34,"&gt;="&amp;M306),'FIRE TEX 5062'!$B$4:$F$34,IF(L306="F-15",2,IF(L306="F-30",3,IF(L306="F-60",4,IF(L306="F-90",5,0)))),0),0)+IF(AND(O306="FIRE TEX 5062",OR(E306="IN",E306="C",E306="Z",E306="L"),J306=4),VLOOKUP(_xlfn.MINIFS('FIRE TEX 5062'!$G$4:$G$34,'FIRE TEX 5062'!$G$4:$G$34,"&gt;="&amp;M306),'FIRE TEX 5062'!$G$4:$K$34,IF(L306="F-15",2,IF(L306="F-30",3,IF(L306="F-60",4,IF(L306="F-90",5,0)))),0),0)+IF(AND(O306="FIRE TEX 5062",E306="CJ",J306=3),VLOOKUP(_xlfn.MINIFS('FIRE TEX 5062'!$L$4:$L$34,'FIRE TEX 5062'!$L$4:$L$34,"&gt;="&amp;M306),'FIRE TEX 5062'!$L$4:$P$34,IF(L306="F-15",2,IF(L306="F-30",3,IF(L306="F-60",4,IF(L306="F-90",5,0)))),0),0)+IF(AND(O306="FIRE TEX 5062",E306="CJ",J306=4),VLOOKUP(_xlfn.MINIFS('FIRE TEX 5062'!$Q$3:$Q$34,'FIRE TEX 5062'!$Q$3:$Q$34,"&gt;="&amp;M306),'FIRE TEX 5062'!$Q$3:$U$34,IF(L306="F-15",2,IF(L306="F-30",3,IF(L306="F-60",4,IF(L306="F-90",5,0)))),0),0)+IF(AND(O306="FIRE TEX 5090",OR(E306="IN",E306="C",E306="Z",E306="L"),J306=3),VLOOKUP(_xlfn.MINIFS('FIRE TEX 5090'!$B$5:$B$43,'FIRE TEX 5090'!$B$5:$B$43,"&gt;="&amp;M306),'FIRE TEX 5090'!$B$5:$H$43,IF(L306="F-15",2,IF(L306="F-30",3,IF(L306="F-60",4,IF(L306="F-90",5,IF(L306="F-120",6,IF(L306="F-150",7,0)))))),0),0)+IF(AND(O306="FIRE TEX 5090",OR(E306="IN",E306="C",E306="Z",E306="L"),J306=4),VLOOKUP(_xlfn.MINIFS('FIRE TEX 5090'!$J$5:$J$43,'FIRE TEX 5090'!$J$5:$J$43,"&gt;="&amp;M306),'FIRE TEX 5090'!$J$5:$P$43,IF(L306="F-15",2,IF(L306="F-30",3,IF(L306="F-60",4,IF(L306="F-90",5,IF(L306="F-120",6,IF(L306="F-150",7,0)))))),0),0)+IF(AND(O306="FIRE TEX 5090",E306="CJ",J306=3),VLOOKUP(_xlfn.MINIFS('FIRE TEX 5090'!$R$5:$R$30,'FIRE TEX 5090'!$R$5:$R$30,"&gt;="&amp;M306),'FIRE TEX 5090'!$R$5:$W$30,IF(L306="F-15",2,IF(L306="F-30",3,IF(L306="F-60",4,IF(L306="F-90",5,IF(L306="F-120",6,IF(L306="F-150",7,0)))))),0),0)+IF(AND(O306="FIRE TEX 5090",E306="CJ",J306=4),VLOOKUP(_xlfn.MINIFS('FIRE TEX 5090'!$Y$5:$Y$39,'FIRE TEX 5090'!$Y$5:$Y$39,"&gt;="&amp;M306),'FIRE TEX 5090'!$Y$5:$AD$39,IF(L306="F-15",2,IF(L306="F-30",3,IF(L306="F-60",4,IF(L306="F-90",5,IF(L306="F-120",6,IF(L306="F-150",7,0)))))),0),0)+IF(AND(O306="FIRE TEX 5120",OR(E306="IN",E306="C",E306="Z",E306="L"),J306=3),VLOOKUP(_xlfn.MINIFS('FIRE TEX 5120'!$B$5:$B$40,'FIRE TEX 5120'!$B$5:$B$40,"&gt;="&amp;M306),'FIRE TEX 5120'!$B$5:$G$40,IF(L306="F-15",2,IF(L306="F-30",3,IF(L306="F-60",4,IF(L306="F-90",5,IF(L306="F-120",6,0))))),0),0)+IF(AND(O306="FIRE TEX 5120",OR(E306="IN",E306="C",E306="Z",E306="L"),J306=4),VLOOKUP(_xlfn.MINIFS('FIRE TEX 5120'!$H$4:$H$40,'FIRE TEX 5120'!$H$4:$H$40,"&gt;="&amp;M306),'FIRE TEX 5120'!$H$4:$M$40,IF(L306="F-15",2,IF(L306="F-30",3,IF(L306="F-60",4,IF(L306="F-90",5,IF(L306="F-120",6,0))))),0),0)+IF(AND(O306="FIRE TEX 5120",E306="CJ"),VLOOKUP(_xlfn.MINIFS('FIRE TEX 5120'!$O$5:$O$40,'FIRE TEX 5120'!$O$5:$O$40,"&gt;="&amp;M306),'FIRE TEX 5120'!$O$5:$T$40,IF(L306="F-15",2,IF(L306="F-30",3,IF(L306="F-60",4,IF(L306="F-90",5,IF(L306="F-120",6,0))))),0),0)</f>
        <v>0</v>
      </c>
      <c r="Q306" s="46">
        <f t="shared" si="34"/>
        <v>0</v>
      </c>
      <c r="R306" s="46">
        <f t="shared" si="36"/>
        <v>0</v>
      </c>
      <c r="S306" s="46" t="e">
        <f t="shared" si="35"/>
        <v>#VALUE!</v>
      </c>
      <c r="T306" s="677">
        <f t="shared" si="37"/>
        <v>0</v>
      </c>
      <c r="U306" s="80">
        <f>(IF(O306="Stofire",(S306*#REF!),0))+(IF(O306="Fire Control",(S306*$U$2),0))+(IF(O306="Fire Tex",(S306*$U$3),0))+(IF(O306="WB7",(S306*#REF!),0)+(IF(O306="FX 2003",(S306*$U$5),0)))</f>
        <v>0</v>
      </c>
      <c r="V306" s="651">
        <f>_xlfn.CEILING.MATH(M306,10)</f>
        <v>0</v>
      </c>
      <c r="W306" s="4"/>
    </row>
    <row r="307" spans="1:23" x14ac:dyDescent="0.25">
      <c r="A307" s="652" t="s">
        <v>409</v>
      </c>
      <c r="B307" s="653" t="s">
        <v>410</v>
      </c>
      <c r="C307" s="1" t="s">
        <v>408</v>
      </c>
      <c r="D307" s="118">
        <f>+CUBICACION!D306</f>
        <v>0</v>
      </c>
      <c r="E307" s="118">
        <f>+CUBICACION!F306</f>
        <v>0</v>
      </c>
      <c r="F307" s="118">
        <f>+CUBICACION!E306</f>
        <v>0</v>
      </c>
      <c r="G307" s="118">
        <v>12</v>
      </c>
      <c r="H307" s="118">
        <v>2</v>
      </c>
      <c r="I307" s="820">
        <v>26385</v>
      </c>
      <c r="J307" s="118">
        <f>+CUBICACION!J306</f>
        <v>0</v>
      </c>
      <c r="K307" s="118">
        <v>3086</v>
      </c>
      <c r="L307" s="118">
        <f>+CUBICACION!L306</f>
        <v>0</v>
      </c>
      <c r="M307" s="64">
        <f>+CUBICACION!M306</f>
        <v>0</v>
      </c>
      <c r="N307" s="824" t="str">
        <f>+CUBICACION!N306</f>
        <v/>
      </c>
      <c r="O307" s="675">
        <f>+CUBICACION!O306</f>
        <v>0</v>
      </c>
      <c r="P307" s="15">
        <f>IF(O307="Fire Control",VLOOKUP(_xlfn.MINIFS('FIRE CONTROL'!$C$4:$C$37,'FIRE CONTROL'!$C$4:$C$37,"&gt;="&amp;M307),'FIRE CONTROL'!$C$4:$G$37,IF(L307="F-15",2,IF(L307="F-30",3,IF(L307="F-60",4,IF(L307="F-90",5,0)))),0),0)+IF(AND(O307="FIRE TEX 5062",OR(E307="IN",E307="C",E307="Z",E307="L"),J307=3),VLOOKUP(_xlfn.MINIFS('FIRE TEX 5062'!$B$4:$B$34,'FIRE TEX 5062'!$B$4:$B$34,"&gt;="&amp;M307),'FIRE TEX 5062'!$B$4:$F$34,IF(L307="F-15",2,IF(L307="F-30",3,IF(L307="F-60",4,IF(L307="F-90",5,0)))),0),0)+IF(AND(O307="FIRE TEX 5062",OR(E307="IN",E307="C",E307="Z",E307="L"),J307=4),VLOOKUP(_xlfn.MINIFS('FIRE TEX 5062'!$G$4:$G$34,'FIRE TEX 5062'!$G$4:$G$34,"&gt;="&amp;M307),'FIRE TEX 5062'!$G$4:$K$34,IF(L307="F-15",2,IF(L307="F-30",3,IF(L307="F-60",4,IF(L307="F-90",5,0)))),0),0)+IF(AND(O307="FIRE TEX 5062",E307="CJ",J307=3),VLOOKUP(_xlfn.MINIFS('FIRE TEX 5062'!$L$4:$L$34,'FIRE TEX 5062'!$L$4:$L$34,"&gt;="&amp;M307),'FIRE TEX 5062'!$L$4:$P$34,IF(L307="F-15",2,IF(L307="F-30",3,IF(L307="F-60",4,IF(L307="F-90",5,0)))),0),0)+IF(AND(O307="FIRE TEX 5062",E307="CJ",J307=4),VLOOKUP(_xlfn.MINIFS('FIRE TEX 5062'!$Q$3:$Q$34,'FIRE TEX 5062'!$Q$3:$Q$34,"&gt;="&amp;M307),'FIRE TEX 5062'!$Q$3:$U$34,IF(L307="F-15",2,IF(L307="F-30",3,IF(L307="F-60",4,IF(L307="F-90",5,0)))),0),0)+IF(AND(O307="FIRE TEX 5090",OR(E307="IN",E307="C",E307="Z",E307="L"),J307=3),VLOOKUP(_xlfn.MINIFS('FIRE TEX 5090'!$B$5:$B$43,'FIRE TEX 5090'!$B$5:$B$43,"&gt;="&amp;M307),'FIRE TEX 5090'!$B$5:$H$43,IF(L307="F-15",2,IF(L307="F-30",3,IF(L307="F-60",4,IF(L307="F-90",5,IF(L307="F-120",6,IF(L307="F-150",7,0)))))),0),0)+IF(AND(O307="FIRE TEX 5090",OR(E307="IN",E307="C",E307="Z",E307="L"),J307=4),VLOOKUP(_xlfn.MINIFS('FIRE TEX 5090'!$J$5:$J$43,'FIRE TEX 5090'!$J$5:$J$43,"&gt;="&amp;M307),'FIRE TEX 5090'!$J$5:$P$43,IF(L307="F-15",2,IF(L307="F-30",3,IF(L307="F-60",4,IF(L307="F-90",5,IF(L307="F-120",6,IF(L307="F-150",7,0)))))),0),0)+IF(AND(O307="FIRE TEX 5090",E307="CJ",J307=3),VLOOKUP(_xlfn.MINIFS('FIRE TEX 5090'!$R$5:$R$30,'FIRE TEX 5090'!$R$5:$R$30,"&gt;="&amp;M307),'FIRE TEX 5090'!$R$5:$W$30,IF(L307="F-15",2,IF(L307="F-30",3,IF(L307="F-60",4,IF(L307="F-90",5,IF(L307="F-120",6,IF(L307="F-150",7,0)))))),0),0)+IF(AND(O307="FIRE TEX 5090",E307="CJ",J307=4),VLOOKUP(_xlfn.MINIFS('FIRE TEX 5090'!$Y$5:$Y$39,'FIRE TEX 5090'!$Y$5:$Y$39,"&gt;="&amp;M307),'FIRE TEX 5090'!$Y$5:$AD$39,IF(L307="F-15",2,IF(L307="F-30",3,IF(L307="F-60",4,IF(L307="F-90",5,IF(L307="F-120",6,IF(L307="F-150",7,0)))))),0),0)+IF(AND(O307="FIRE TEX 5120",OR(E307="IN",E307="C",E307="Z",E307="L"),J307=3),VLOOKUP(_xlfn.MINIFS('FIRE TEX 5120'!$B$5:$B$40,'FIRE TEX 5120'!$B$5:$B$40,"&gt;="&amp;M307),'FIRE TEX 5120'!$B$5:$G$40,IF(L307="F-15",2,IF(L307="F-30",3,IF(L307="F-60",4,IF(L307="F-90",5,IF(L307="F-120",6,0))))),0),0)+IF(AND(O307="FIRE TEX 5120",OR(E307="IN",E307="C",E307="Z",E307="L"),J307=4),VLOOKUP(_xlfn.MINIFS('FIRE TEX 5120'!$H$4:$H$40,'FIRE TEX 5120'!$H$4:$H$40,"&gt;="&amp;M307),'FIRE TEX 5120'!$H$4:$M$40,IF(L307="F-15",2,IF(L307="F-30",3,IF(L307="F-60",4,IF(L307="F-90",5,IF(L307="F-120",6,0))))),0),0)+IF(AND(O307="FIRE TEX 5120",E307="CJ"),VLOOKUP(_xlfn.MINIFS('FIRE TEX 5120'!$O$5:$O$40,'FIRE TEX 5120'!$O$5:$O$40,"&gt;="&amp;M307),'FIRE TEX 5120'!$O$5:$T$40,IF(L307="F-15",2,IF(L307="F-30",3,IF(L307="F-60",4,IF(L307="F-90",5,IF(L307="F-120",6,0))))),0),0)</f>
        <v>0</v>
      </c>
      <c r="Q307" s="46">
        <f t="shared" si="34"/>
        <v>0</v>
      </c>
      <c r="R307" s="46">
        <f t="shared" si="36"/>
        <v>0</v>
      </c>
      <c r="S307" s="46" t="e">
        <f t="shared" si="35"/>
        <v>#VALUE!</v>
      </c>
      <c r="T307" s="677">
        <f t="shared" si="37"/>
        <v>0</v>
      </c>
      <c r="U307" s="80">
        <f>(IF(O307="Stofire",(S307*#REF!),0))+(IF(O307="Fire Control",(S307*$U$2),0))+(IF(O307="Fire Tex",(S307*$U$3),0))+(IF(O307="WB7",(S307*#REF!),0)+(IF(O307="FX 2003",(S307*$U$5),0)))</f>
        <v>0</v>
      </c>
      <c r="V307" s="651">
        <f t="shared" ref="V307:V319" si="41">_xlfn.CEILING.MATH(M307,10)</f>
        <v>0</v>
      </c>
      <c r="W307" s="4"/>
    </row>
    <row r="308" spans="1:23" x14ac:dyDescent="0.25">
      <c r="A308" s="652" t="s">
        <v>414</v>
      </c>
      <c r="B308" s="653" t="s">
        <v>415</v>
      </c>
      <c r="C308" s="1" t="s">
        <v>408</v>
      </c>
      <c r="D308" s="118">
        <f>+CUBICACION!D307</f>
        <v>0</v>
      </c>
      <c r="E308" s="118">
        <f>+CUBICACION!F307</f>
        <v>0</v>
      </c>
      <c r="F308" s="118">
        <f>+CUBICACION!E307</f>
        <v>0</v>
      </c>
      <c r="G308" s="118">
        <v>12</v>
      </c>
      <c r="H308" s="118">
        <v>2</v>
      </c>
      <c r="I308" s="820">
        <v>26385</v>
      </c>
      <c r="J308" s="118">
        <f>+CUBICACION!J307</f>
        <v>0</v>
      </c>
      <c r="K308" s="118">
        <v>3087</v>
      </c>
      <c r="L308" s="118">
        <f>+CUBICACION!L307</f>
        <v>0</v>
      </c>
      <c r="M308" s="64">
        <f>+CUBICACION!M307</f>
        <v>0</v>
      </c>
      <c r="N308" s="824" t="str">
        <f>+CUBICACION!N307</f>
        <v/>
      </c>
      <c r="O308" s="675">
        <f>+CUBICACION!O307</f>
        <v>0</v>
      </c>
      <c r="P308" s="15">
        <f>IF(O308="Fire Control",VLOOKUP(_xlfn.MINIFS('FIRE CONTROL'!$C$4:$C$37,'FIRE CONTROL'!$C$4:$C$37,"&gt;="&amp;M308),'FIRE CONTROL'!$C$4:$G$37,IF(L308="F-15",2,IF(L308="F-30",3,IF(L308="F-60",4,IF(L308="F-90",5,0)))),0),0)+IF(AND(O308="FIRE TEX 5062",OR(E308="IN",E308="C",E308="Z",E308="L"),J308=3),VLOOKUP(_xlfn.MINIFS('FIRE TEX 5062'!$B$4:$B$34,'FIRE TEX 5062'!$B$4:$B$34,"&gt;="&amp;M308),'FIRE TEX 5062'!$B$4:$F$34,IF(L308="F-15",2,IF(L308="F-30",3,IF(L308="F-60",4,IF(L308="F-90",5,0)))),0),0)+IF(AND(O308="FIRE TEX 5062",OR(E308="IN",E308="C",E308="Z",E308="L"),J308=4),VLOOKUP(_xlfn.MINIFS('FIRE TEX 5062'!$G$4:$G$34,'FIRE TEX 5062'!$G$4:$G$34,"&gt;="&amp;M308),'FIRE TEX 5062'!$G$4:$K$34,IF(L308="F-15",2,IF(L308="F-30",3,IF(L308="F-60",4,IF(L308="F-90",5,0)))),0),0)+IF(AND(O308="FIRE TEX 5062",E308="CJ",J308=3),VLOOKUP(_xlfn.MINIFS('FIRE TEX 5062'!$L$4:$L$34,'FIRE TEX 5062'!$L$4:$L$34,"&gt;="&amp;M308),'FIRE TEX 5062'!$L$4:$P$34,IF(L308="F-15",2,IF(L308="F-30",3,IF(L308="F-60",4,IF(L308="F-90",5,0)))),0),0)+IF(AND(O308="FIRE TEX 5062",E308="CJ",J308=4),VLOOKUP(_xlfn.MINIFS('FIRE TEX 5062'!$Q$3:$Q$34,'FIRE TEX 5062'!$Q$3:$Q$34,"&gt;="&amp;M308),'FIRE TEX 5062'!$Q$3:$U$34,IF(L308="F-15",2,IF(L308="F-30",3,IF(L308="F-60",4,IF(L308="F-90",5,0)))),0),0)+IF(AND(O308="FIRE TEX 5090",OR(E308="IN",E308="C",E308="Z",E308="L"),J308=3),VLOOKUP(_xlfn.MINIFS('FIRE TEX 5090'!$B$5:$B$43,'FIRE TEX 5090'!$B$5:$B$43,"&gt;="&amp;M308),'FIRE TEX 5090'!$B$5:$H$43,IF(L308="F-15",2,IF(L308="F-30",3,IF(L308="F-60",4,IF(L308="F-90",5,IF(L308="F-120",6,IF(L308="F-150",7,0)))))),0),0)+IF(AND(O308="FIRE TEX 5090",OR(E308="IN",E308="C",E308="Z",E308="L"),J308=4),VLOOKUP(_xlfn.MINIFS('FIRE TEX 5090'!$J$5:$J$43,'FIRE TEX 5090'!$J$5:$J$43,"&gt;="&amp;M308),'FIRE TEX 5090'!$J$5:$P$43,IF(L308="F-15",2,IF(L308="F-30",3,IF(L308="F-60",4,IF(L308="F-90",5,IF(L308="F-120",6,IF(L308="F-150",7,0)))))),0),0)+IF(AND(O308="FIRE TEX 5090",E308="CJ",J308=3),VLOOKUP(_xlfn.MINIFS('FIRE TEX 5090'!$R$5:$R$30,'FIRE TEX 5090'!$R$5:$R$30,"&gt;="&amp;M308),'FIRE TEX 5090'!$R$5:$W$30,IF(L308="F-15",2,IF(L308="F-30",3,IF(L308="F-60",4,IF(L308="F-90",5,IF(L308="F-120",6,IF(L308="F-150",7,0)))))),0),0)+IF(AND(O308="FIRE TEX 5090",E308="CJ",J308=4),VLOOKUP(_xlfn.MINIFS('FIRE TEX 5090'!$Y$5:$Y$39,'FIRE TEX 5090'!$Y$5:$Y$39,"&gt;="&amp;M308),'FIRE TEX 5090'!$Y$5:$AD$39,IF(L308="F-15",2,IF(L308="F-30",3,IF(L308="F-60",4,IF(L308="F-90",5,IF(L308="F-120",6,IF(L308="F-150",7,0)))))),0),0)+IF(AND(O308="FIRE TEX 5120",OR(E308="IN",E308="C",E308="Z",E308="L"),J308=3),VLOOKUP(_xlfn.MINIFS('FIRE TEX 5120'!$B$5:$B$40,'FIRE TEX 5120'!$B$5:$B$40,"&gt;="&amp;M308),'FIRE TEX 5120'!$B$5:$G$40,IF(L308="F-15",2,IF(L308="F-30",3,IF(L308="F-60",4,IF(L308="F-90",5,IF(L308="F-120",6,0))))),0),0)+IF(AND(O308="FIRE TEX 5120",OR(E308="IN",E308="C",E308="Z",E308="L"),J308=4),VLOOKUP(_xlfn.MINIFS('FIRE TEX 5120'!$H$4:$H$40,'FIRE TEX 5120'!$H$4:$H$40,"&gt;="&amp;M308),'FIRE TEX 5120'!$H$4:$M$40,IF(L308="F-15",2,IF(L308="F-30",3,IF(L308="F-60",4,IF(L308="F-90",5,IF(L308="F-120",6,0))))),0),0)+IF(AND(O308="FIRE TEX 5120",E308="CJ"),VLOOKUP(_xlfn.MINIFS('FIRE TEX 5120'!$O$5:$O$40,'FIRE TEX 5120'!$O$5:$O$40,"&gt;="&amp;M308),'FIRE TEX 5120'!$O$5:$T$40,IF(L308="F-15",2,IF(L308="F-30",3,IF(L308="F-60",4,IF(L308="F-90",5,IF(L308="F-120",6,0))))),0),0)</f>
        <v>0</v>
      </c>
      <c r="Q308" s="46">
        <f t="shared" si="34"/>
        <v>0</v>
      </c>
      <c r="R308" s="46">
        <f t="shared" si="36"/>
        <v>0</v>
      </c>
      <c r="S308" s="46" t="e">
        <f t="shared" si="35"/>
        <v>#VALUE!</v>
      </c>
      <c r="T308" s="677">
        <f t="shared" si="37"/>
        <v>0</v>
      </c>
      <c r="U308" s="80">
        <f>(IF(O308="Stofire",(S308*#REF!),0))+(IF(O308="Fire Control",(S308*$U$2),0))+(IF(O308="Fire Tex",(S308*$U$3),0))+(IF(O308="WB7",(S308*#REF!),0)+(IF(O308="FX 2003",(S308*$U$5),0)))</f>
        <v>0</v>
      </c>
      <c r="V308" s="651">
        <f t="shared" si="41"/>
        <v>0</v>
      </c>
      <c r="W308" s="4"/>
    </row>
    <row r="309" spans="1:23" x14ac:dyDescent="0.25">
      <c r="A309" s="652" t="s">
        <v>417</v>
      </c>
      <c r="B309" s="653" t="s">
        <v>415</v>
      </c>
      <c r="C309" s="1" t="s">
        <v>408</v>
      </c>
      <c r="D309" s="118">
        <f>+CUBICACION!D308</f>
        <v>0</v>
      </c>
      <c r="E309" s="118">
        <f>+CUBICACION!F308</f>
        <v>0</v>
      </c>
      <c r="F309" s="118">
        <f>+CUBICACION!E308</f>
        <v>0</v>
      </c>
      <c r="G309" s="118">
        <v>12</v>
      </c>
      <c r="H309" s="118">
        <v>2</v>
      </c>
      <c r="I309" s="820">
        <v>26385</v>
      </c>
      <c r="J309" s="118">
        <f>+CUBICACION!J308</f>
        <v>0</v>
      </c>
      <c r="K309" s="118">
        <v>3088</v>
      </c>
      <c r="L309" s="118">
        <f>+CUBICACION!L308</f>
        <v>0</v>
      </c>
      <c r="M309" s="64">
        <f>+CUBICACION!M308</f>
        <v>0</v>
      </c>
      <c r="N309" s="824" t="str">
        <f>+CUBICACION!N308</f>
        <v/>
      </c>
      <c r="O309" s="675">
        <f>+CUBICACION!O308</f>
        <v>0</v>
      </c>
      <c r="P309" s="15">
        <f>IF(O309="Fire Control",VLOOKUP(_xlfn.MINIFS('FIRE CONTROL'!$C$4:$C$37,'FIRE CONTROL'!$C$4:$C$37,"&gt;="&amp;M309),'FIRE CONTROL'!$C$4:$G$37,IF(L309="F-15",2,IF(L309="F-30",3,IF(L309="F-60",4,IF(L309="F-90",5,0)))),0),0)+IF(AND(O309="FIRE TEX 5062",OR(E309="IN",E309="C",E309="Z",E309="L"),J309=3),VLOOKUP(_xlfn.MINIFS('FIRE TEX 5062'!$B$4:$B$34,'FIRE TEX 5062'!$B$4:$B$34,"&gt;="&amp;M309),'FIRE TEX 5062'!$B$4:$F$34,IF(L309="F-15",2,IF(L309="F-30",3,IF(L309="F-60",4,IF(L309="F-90",5,0)))),0),0)+IF(AND(O309="FIRE TEX 5062",OR(E309="IN",E309="C",E309="Z",E309="L"),J309=4),VLOOKUP(_xlfn.MINIFS('FIRE TEX 5062'!$G$4:$G$34,'FIRE TEX 5062'!$G$4:$G$34,"&gt;="&amp;M309),'FIRE TEX 5062'!$G$4:$K$34,IF(L309="F-15",2,IF(L309="F-30",3,IF(L309="F-60",4,IF(L309="F-90",5,0)))),0),0)+IF(AND(O309="FIRE TEX 5062",E309="CJ",J309=3),VLOOKUP(_xlfn.MINIFS('FIRE TEX 5062'!$L$4:$L$34,'FIRE TEX 5062'!$L$4:$L$34,"&gt;="&amp;M309),'FIRE TEX 5062'!$L$4:$P$34,IF(L309="F-15",2,IF(L309="F-30",3,IF(L309="F-60",4,IF(L309="F-90",5,0)))),0),0)+IF(AND(O309="FIRE TEX 5062",E309="CJ",J309=4),VLOOKUP(_xlfn.MINIFS('FIRE TEX 5062'!$Q$3:$Q$34,'FIRE TEX 5062'!$Q$3:$Q$34,"&gt;="&amp;M309),'FIRE TEX 5062'!$Q$3:$U$34,IF(L309="F-15",2,IF(L309="F-30",3,IF(L309="F-60",4,IF(L309="F-90",5,0)))),0),0)+IF(AND(O309="FIRE TEX 5090",OR(E309="IN",E309="C",E309="Z",E309="L"),J309=3),VLOOKUP(_xlfn.MINIFS('FIRE TEX 5090'!$B$5:$B$43,'FIRE TEX 5090'!$B$5:$B$43,"&gt;="&amp;M309),'FIRE TEX 5090'!$B$5:$H$43,IF(L309="F-15",2,IF(L309="F-30",3,IF(L309="F-60",4,IF(L309="F-90",5,IF(L309="F-120",6,IF(L309="F-150",7,0)))))),0),0)+IF(AND(O309="FIRE TEX 5090",OR(E309="IN",E309="C",E309="Z",E309="L"),J309=4),VLOOKUP(_xlfn.MINIFS('FIRE TEX 5090'!$J$5:$J$43,'FIRE TEX 5090'!$J$5:$J$43,"&gt;="&amp;M309),'FIRE TEX 5090'!$J$5:$P$43,IF(L309="F-15",2,IF(L309="F-30",3,IF(L309="F-60",4,IF(L309="F-90",5,IF(L309="F-120",6,IF(L309="F-150",7,0)))))),0),0)+IF(AND(O309="FIRE TEX 5090",E309="CJ",J309=3),VLOOKUP(_xlfn.MINIFS('FIRE TEX 5090'!$R$5:$R$30,'FIRE TEX 5090'!$R$5:$R$30,"&gt;="&amp;M309),'FIRE TEX 5090'!$R$5:$W$30,IF(L309="F-15",2,IF(L309="F-30",3,IF(L309="F-60",4,IF(L309="F-90",5,IF(L309="F-120",6,IF(L309="F-150",7,0)))))),0),0)+IF(AND(O309="FIRE TEX 5090",E309="CJ",J309=4),VLOOKUP(_xlfn.MINIFS('FIRE TEX 5090'!$Y$5:$Y$39,'FIRE TEX 5090'!$Y$5:$Y$39,"&gt;="&amp;M309),'FIRE TEX 5090'!$Y$5:$AD$39,IF(L309="F-15",2,IF(L309="F-30",3,IF(L309="F-60",4,IF(L309="F-90",5,IF(L309="F-120",6,IF(L309="F-150",7,0)))))),0),0)+IF(AND(O309="FIRE TEX 5120",OR(E309="IN",E309="C",E309="Z",E309="L"),J309=3),VLOOKUP(_xlfn.MINIFS('FIRE TEX 5120'!$B$5:$B$40,'FIRE TEX 5120'!$B$5:$B$40,"&gt;="&amp;M309),'FIRE TEX 5120'!$B$5:$G$40,IF(L309="F-15",2,IF(L309="F-30",3,IF(L309="F-60",4,IF(L309="F-90",5,IF(L309="F-120",6,0))))),0),0)+IF(AND(O309="FIRE TEX 5120",OR(E309="IN",E309="C",E309="Z",E309="L"),J309=4),VLOOKUP(_xlfn.MINIFS('FIRE TEX 5120'!$H$4:$H$40,'FIRE TEX 5120'!$H$4:$H$40,"&gt;="&amp;M309),'FIRE TEX 5120'!$H$4:$M$40,IF(L309="F-15",2,IF(L309="F-30",3,IF(L309="F-60",4,IF(L309="F-90",5,IF(L309="F-120",6,0))))),0),0)+IF(AND(O309="FIRE TEX 5120",E309="CJ"),VLOOKUP(_xlfn.MINIFS('FIRE TEX 5120'!$O$5:$O$40,'FIRE TEX 5120'!$O$5:$O$40,"&gt;="&amp;M309),'FIRE TEX 5120'!$O$5:$T$40,IF(L309="F-15",2,IF(L309="F-30",3,IF(L309="F-60",4,IF(L309="F-90",5,IF(L309="F-120",6,0))))),0),0)</f>
        <v>0</v>
      </c>
      <c r="Q309" s="46">
        <f t="shared" si="34"/>
        <v>0</v>
      </c>
      <c r="R309" s="46">
        <f t="shared" si="36"/>
        <v>0</v>
      </c>
      <c r="S309" s="46" t="e">
        <f t="shared" si="35"/>
        <v>#VALUE!</v>
      </c>
      <c r="T309" s="677">
        <f t="shared" si="37"/>
        <v>0</v>
      </c>
      <c r="U309" s="80">
        <f>(IF(O309="Stofire",(S309*#REF!),0))+(IF(O309="Fire Control",(S309*$U$2),0))+(IF(O309="Fire Tex",(S309*$U$3),0))+(IF(O309="WB7",(S309*#REF!),0)+(IF(O309="FX 2003",(S309*$U$5),0)))</f>
        <v>0</v>
      </c>
      <c r="V309" s="651">
        <f t="shared" si="41"/>
        <v>0</v>
      </c>
      <c r="W309" s="4"/>
    </row>
    <row r="310" spans="1:23" x14ac:dyDescent="0.25">
      <c r="A310" s="652" t="s">
        <v>419</v>
      </c>
      <c r="B310" s="653" t="s">
        <v>415</v>
      </c>
      <c r="C310" s="1" t="s">
        <v>408</v>
      </c>
      <c r="D310" s="118">
        <f>+CUBICACION!D309</f>
        <v>0</v>
      </c>
      <c r="E310" s="118">
        <f>+CUBICACION!F309</f>
        <v>0</v>
      </c>
      <c r="F310" s="118">
        <f>+CUBICACION!E309</f>
        <v>0</v>
      </c>
      <c r="G310" s="118">
        <v>12</v>
      </c>
      <c r="H310" s="118">
        <v>2</v>
      </c>
      <c r="I310" s="820">
        <v>26385</v>
      </c>
      <c r="J310" s="118">
        <f>+CUBICACION!J309</f>
        <v>0</v>
      </c>
      <c r="K310" s="118">
        <v>3089</v>
      </c>
      <c r="L310" s="118">
        <f>+CUBICACION!L309</f>
        <v>0</v>
      </c>
      <c r="M310" s="64">
        <f>+CUBICACION!M309</f>
        <v>0</v>
      </c>
      <c r="N310" s="824" t="str">
        <f>+CUBICACION!N309</f>
        <v/>
      </c>
      <c r="O310" s="675">
        <f>+CUBICACION!O309</f>
        <v>0</v>
      </c>
      <c r="P310" s="15">
        <f>IF(O310="Fire Control",VLOOKUP(_xlfn.MINIFS('FIRE CONTROL'!$C$4:$C$37,'FIRE CONTROL'!$C$4:$C$37,"&gt;="&amp;M310),'FIRE CONTROL'!$C$4:$G$37,IF(L310="F-15",2,IF(L310="F-30",3,IF(L310="F-60",4,IF(L310="F-90",5,0)))),0),0)+IF(AND(O310="FIRE TEX 5062",OR(E310="IN",E310="C",E310="Z",E310="L"),J310=3),VLOOKUP(_xlfn.MINIFS('FIRE TEX 5062'!$B$4:$B$34,'FIRE TEX 5062'!$B$4:$B$34,"&gt;="&amp;M310),'FIRE TEX 5062'!$B$4:$F$34,IF(L310="F-15",2,IF(L310="F-30",3,IF(L310="F-60",4,IF(L310="F-90",5,0)))),0),0)+IF(AND(O310="FIRE TEX 5062",OR(E310="IN",E310="C",E310="Z",E310="L"),J310=4),VLOOKUP(_xlfn.MINIFS('FIRE TEX 5062'!$G$4:$G$34,'FIRE TEX 5062'!$G$4:$G$34,"&gt;="&amp;M310),'FIRE TEX 5062'!$G$4:$K$34,IF(L310="F-15",2,IF(L310="F-30",3,IF(L310="F-60",4,IF(L310="F-90",5,0)))),0),0)+IF(AND(O310="FIRE TEX 5062",E310="CJ",J310=3),VLOOKUP(_xlfn.MINIFS('FIRE TEX 5062'!$L$4:$L$34,'FIRE TEX 5062'!$L$4:$L$34,"&gt;="&amp;M310),'FIRE TEX 5062'!$L$4:$P$34,IF(L310="F-15",2,IF(L310="F-30",3,IF(L310="F-60",4,IF(L310="F-90",5,0)))),0),0)+IF(AND(O310="FIRE TEX 5062",E310="CJ",J310=4),VLOOKUP(_xlfn.MINIFS('FIRE TEX 5062'!$Q$3:$Q$34,'FIRE TEX 5062'!$Q$3:$Q$34,"&gt;="&amp;M310),'FIRE TEX 5062'!$Q$3:$U$34,IF(L310="F-15",2,IF(L310="F-30",3,IF(L310="F-60",4,IF(L310="F-90",5,0)))),0),0)+IF(AND(O310="FIRE TEX 5090",OR(E310="IN",E310="C",E310="Z",E310="L"),J310=3),VLOOKUP(_xlfn.MINIFS('FIRE TEX 5090'!$B$5:$B$43,'FIRE TEX 5090'!$B$5:$B$43,"&gt;="&amp;M310),'FIRE TEX 5090'!$B$5:$H$43,IF(L310="F-15",2,IF(L310="F-30",3,IF(L310="F-60",4,IF(L310="F-90",5,IF(L310="F-120",6,IF(L310="F-150",7,0)))))),0),0)+IF(AND(O310="FIRE TEX 5090",OR(E310="IN",E310="C",E310="Z",E310="L"),J310=4),VLOOKUP(_xlfn.MINIFS('FIRE TEX 5090'!$J$5:$J$43,'FIRE TEX 5090'!$J$5:$J$43,"&gt;="&amp;M310),'FIRE TEX 5090'!$J$5:$P$43,IF(L310="F-15",2,IF(L310="F-30",3,IF(L310="F-60",4,IF(L310="F-90",5,IF(L310="F-120",6,IF(L310="F-150",7,0)))))),0),0)+IF(AND(O310="FIRE TEX 5090",E310="CJ",J310=3),VLOOKUP(_xlfn.MINIFS('FIRE TEX 5090'!$R$5:$R$30,'FIRE TEX 5090'!$R$5:$R$30,"&gt;="&amp;M310),'FIRE TEX 5090'!$R$5:$W$30,IF(L310="F-15",2,IF(L310="F-30",3,IF(L310="F-60",4,IF(L310="F-90",5,IF(L310="F-120",6,IF(L310="F-150",7,0)))))),0),0)+IF(AND(O310="FIRE TEX 5090",E310="CJ",J310=4),VLOOKUP(_xlfn.MINIFS('FIRE TEX 5090'!$Y$5:$Y$39,'FIRE TEX 5090'!$Y$5:$Y$39,"&gt;="&amp;M310),'FIRE TEX 5090'!$Y$5:$AD$39,IF(L310="F-15",2,IF(L310="F-30",3,IF(L310="F-60",4,IF(L310="F-90",5,IF(L310="F-120",6,IF(L310="F-150",7,0)))))),0),0)+IF(AND(O310="FIRE TEX 5120",OR(E310="IN",E310="C",E310="Z",E310="L"),J310=3),VLOOKUP(_xlfn.MINIFS('FIRE TEX 5120'!$B$5:$B$40,'FIRE TEX 5120'!$B$5:$B$40,"&gt;="&amp;M310),'FIRE TEX 5120'!$B$5:$G$40,IF(L310="F-15",2,IF(L310="F-30",3,IF(L310="F-60",4,IF(L310="F-90",5,IF(L310="F-120",6,0))))),0),0)+IF(AND(O310="FIRE TEX 5120",OR(E310="IN",E310="C",E310="Z",E310="L"),J310=4),VLOOKUP(_xlfn.MINIFS('FIRE TEX 5120'!$H$4:$H$40,'FIRE TEX 5120'!$H$4:$H$40,"&gt;="&amp;M310),'FIRE TEX 5120'!$H$4:$M$40,IF(L310="F-15",2,IF(L310="F-30",3,IF(L310="F-60",4,IF(L310="F-90",5,IF(L310="F-120",6,0))))),0),0)+IF(AND(O310="FIRE TEX 5120",E310="CJ"),VLOOKUP(_xlfn.MINIFS('FIRE TEX 5120'!$O$5:$O$40,'FIRE TEX 5120'!$O$5:$O$40,"&gt;="&amp;M310),'FIRE TEX 5120'!$O$5:$T$40,IF(L310="F-15",2,IF(L310="F-30",3,IF(L310="F-60",4,IF(L310="F-90",5,IF(L310="F-120",6,0))))),0),0)</f>
        <v>0</v>
      </c>
      <c r="Q310" s="46">
        <f t="shared" si="34"/>
        <v>0</v>
      </c>
      <c r="R310" s="46">
        <f t="shared" si="36"/>
        <v>0</v>
      </c>
      <c r="S310" s="46" t="e">
        <f t="shared" si="35"/>
        <v>#VALUE!</v>
      </c>
      <c r="T310" s="677">
        <f t="shared" si="37"/>
        <v>0</v>
      </c>
      <c r="U310" s="80">
        <f>(IF(O310="Stofire",(S310*#REF!),0))+(IF(O310="Fire Control",(S310*$U$2),0))+(IF(O310="Fire Tex",(S310*$U$3),0))+(IF(O310="WB7",(S310*#REF!),0)+(IF(O310="FX 2003",(S310*$U$5),0)))</f>
        <v>0</v>
      </c>
      <c r="V310" s="651">
        <f t="shared" si="41"/>
        <v>0</v>
      </c>
      <c r="W310" s="4"/>
    </row>
    <row r="311" spans="1:23" x14ac:dyDescent="0.25">
      <c r="A311" s="652" t="s">
        <v>421</v>
      </c>
      <c r="B311" s="653" t="s">
        <v>422</v>
      </c>
      <c r="C311" s="1" t="s">
        <v>423</v>
      </c>
      <c r="D311" s="118">
        <f>+CUBICACION!D310</f>
        <v>0</v>
      </c>
      <c r="E311" s="118">
        <f>+CUBICACION!F310</f>
        <v>0</v>
      </c>
      <c r="F311" s="118">
        <f>+CUBICACION!E310</f>
        <v>0</v>
      </c>
      <c r="G311" s="118">
        <v>12</v>
      </c>
      <c r="H311" s="118">
        <v>2</v>
      </c>
      <c r="I311" s="820">
        <v>26385</v>
      </c>
      <c r="J311" s="118">
        <f>+CUBICACION!J310</f>
        <v>0</v>
      </c>
      <c r="K311" s="118">
        <v>3090</v>
      </c>
      <c r="L311" s="118">
        <f>+CUBICACION!L310</f>
        <v>0</v>
      </c>
      <c r="M311" s="64">
        <f>+CUBICACION!M310</f>
        <v>0</v>
      </c>
      <c r="N311" s="824" t="str">
        <f>+CUBICACION!N310</f>
        <v/>
      </c>
      <c r="O311" s="675">
        <f>+CUBICACION!O310</f>
        <v>0</v>
      </c>
      <c r="P311" s="15">
        <f>IF(O311="Fire Control",VLOOKUP(_xlfn.MINIFS('FIRE CONTROL'!$C$4:$C$37,'FIRE CONTROL'!$C$4:$C$37,"&gt;="&amp;M311),'FIRE CONTROL'!$C$4:$G$37,IF(L311="F-15",2,IF(L311="F-30",3,IF(L311="F-60",4,IF(L311="F-90",5,0)))),0),0)+IF(AND(O311="FIRE TEX 5062",OR(E311="IN",E311="C",E311="Z",E311="L"),J311=3),VLOOKUP(_xlfn.MINIFS('FIRE TEX 5062'!$B$4:$B$34,'FIRE TEX 5062'!$B$4:$B$34,"&gt;="&amp;M311),'FIRE TEX 5062'!$B$4:$F$34,IF(L311="F-15",2,IF(L311="F-30",3,IF(L311="F-60",4,IF(L311="F-90",5,0)))),0),0)+IF(AND(O311="FIRE TEX 5062",OR(E311="IN",E311="C",E311="Z",E311="L"),J311=4),VLOOKUP(_xlfn.MINIFS('FIRE TEX 5062'!$G$4:$G$34,'FIRE TEX 5062'!$G$4:$G$34,"&gt;="&amp;M311),'FIRE TEX 5062'!$G$4:$K$34,IF(L311="F-15",2,IF(L311="F-30",3,IF(L311="F-60",4,IF(L311="F-90",5,0)))),0),0)+IF(AND(O311="FIRE TEX 5062",E311="CJ",J311=3),VLOOKUP(_xlfn.MINIFS('FIRE TEX 5062'!$L$4:$L$34,'FIRE TEX 5062'!$L$4:$L$34,"&gt;="&amp;M311),'FIRE TEX 5062'!$L$4:$P$34,IF(L311="F-15",2,IF(L311="F-30",3,IF(L311="F-60",4,IF(L311="F-90",5,0)))),0),0)+IF(AND(O311="FIRE TEX 5062",E311="CJ",J311=4),VLOOKUP(_xlfn.MINIFS('FIRE TEX 5062'!$Q$3:$Q$34,'FIRE TEX 5062'!$Q$3:$Q$34,"&gt;="&amp;M311),'FIRE TEX 5062'!$Q$3:$U$34,IF(L311="F-15",2,IF(L311="F-30",3,IF(L311="F-60",4,IF(L311="F-90",5,0)))),0),0)+IF(AND(O311="FIRE TEX 5090",OR(E311="IN",E311="C",E311="Z",E311="L"),J311=3),VLOOKUP(_xlfn.MINIFS('FIRE TEX 5090'!$B$5:$B$43,'FIRE TEX 5090'!$B$5:$B$43,"&gt;="&amp;M311),'FIRE TEX 5090'!$B$5:$H$43,IF(L311="F-15",2,IF(L311="F-30",3,IF(L311="F-60",4,IF(L311="F-90",5,IF(L311="F-120",6,IF(L311="F-150",7,0)))))),0),0)+IF(AND(O311="FIRE TEX 5090",OR(E311="IN",E311="C",E311="Z",E311="L"),J311=4),VLOOKUP(_xlfn.MINIFS('FIRE TEX 5090'!$J$5:$J$43,'FIRE TEX 5090'!$J$5:$J$43,"&gt;="&amp;M311),'FIRE TEX 5090'!$J$5:$P$43,IF(L311="F-15",2,IF(L311="F-30",3,IF(L311="F-60",4,IF(L311="F-90",5,IF(L311="F-120",6,IF(L311="F-150",7,0)))))),0),0)+IF(AND(O311="FIRE TEX 5090",E311="CJ",J311=3),VLOOKUP(_xlfn.MINIFS('FIRE TEX 5090'!$R$5:$R$30,'FIRE TEX 5090'!$R$5:$R$30,"&gt;="&amp;M311),'FIRE TEX 5090'!$R$5:$W$30,IF(L311="F-15",2,IF(L311="F-30",3,IF(L311="F-60",4,IF(L311="F-90",5,IF(L311="F-120",6,IF(L311="F-150",7,0)))))),0),0)+IF(AND(O311="FIRE TEX 5090",E311="CJ",J311=4),VLOOKUP(_xlfn.MINIFS('FIRE TEX 5090'!$Y$5:$Y$39,'FIRE TEX 5090'!$Y$5:$Y$39,"&gt;="&amp;M311),'FIRE TEX 5090'!$Y$5:$AD$39,IF(L311="F-15",2,IF(L311="F-30",3,IF(L311="F-60",4,IF(L311="F-90",5,IF(L311="F-120",6,IF(L311="F-150",7,0)))))),0),0)+IF(AND(O311="FIRE TEX 5120",OR(E311="IN",E311="C",E311="Z",E311="L"),J311=3),VLOOKUP(_xlfn.MINIFS('FIRE TEX 5120'!$B$5:$B$40,'FIRE TEX 5120'!$B$5:$B$40,"&gt;="&amp;M311),'FIRE TEX 5120'!$B$5:$G$40,IF(L311="F-15",2,IF(L311="F-30",3,IF(L311="F-60",4,IF(L311="F-90",5,IF(L311="F-120",6,0))))),0),0)+IF(AND(O311="FIRE TEX 5120",OR(E311="IN",E311="C",E311="Z",E311="L"),J311=4),VLOOKUP(_xlfn.MINIFS('FIRE TEX 5120'!$H$4:$H$40,'FIRE TEX 5120'!$H$4:$H$40,"&gt;="&amp;M311),'FIRE TEX 5120'!$H$4:$M$40,IF(L311="F-15",2,IF(L311="F-30",3,IF(L311="F-60",4,IF(L311="F-90",5,IF(L311="F-120",6,0))))),0),0)+IF(AND(O311="FIRE TEX 5120",E311="CJ"),VLOOKUP(_xlfn.MINIFS('FIRE TEX 5120'!$O$5:$O$40,'FIRE TEX 5120'!$O$5:$O$40,"&gt;="&amp;M311),'FIRE TEX 5120'!$O$5:$T$40,IF(L311="F-15",2,IF(L311="F-30",3,IF(L311="F-60",4,IF(L311="F-90",5,IF(L311="F-120",6,0))))),0),0)</f>
        <v>0</v>
      </c>
      <c r="Q311" s="46">
        <f t="shared" si="34"/>
        <v>0</v>
      </c>
      <c r="R311" s="46">
        <f t="shared" si="36"/>
        <v>0</v>
      </c>
      <c r="S311" s="46" t="e">
        <f t="shared" si="35"/>
        <v>#VALUE!</v>
      </c>
      <c r="T311" s="677">
        <f t="shared" si="37"/>
        <v>0</v>
      </c>
      <c r="U311" s="80">
        <f>(IF(O311="Stofire",(S311*#REF!),0))+(IF(O311="Fire Control",(S311*$U$2),0))+(IF(O311="Fire Tex",(S311*$U$3),0))+(IF(O311="WB7",(S311*#REF!),0)+(IF(O311="FX 2003",(S311*$U$5),0)))</f>
        <v>0</v>
      </c>
      <c r="V311" s="651">
        <f t="shared" si="41"/>
        <v>0</v>
      </c>
      <c r="W311" s="4"/>
    </row>
    <row r="312" spans="1:23" x14ac:dyDescent="0.25">
      <c r="A312" s="652" t="s">
        <v>425</v>
      </c>
      <c r="B312" s="653" t="s">
        <v>426</v>
      </c>
      <c r="C312" s="1" t="s">
        <v>427</v>
      </c>
      <c r="D312" s="118">
        <f>+CUBICACION!D311</f>
        <v>0</v>
      </c>
      <c r="E312" s="118">
        <f>+CUBICACION!F311</f>
        <v>0</v>
      </c>
      <c r="F312" s="118">
        <f>+CUBICACION!E311</f>
        <v>0</v>
      </c>
      <c r="G312" s="118">
        <v>12</v>
      </c>
      <c r="H312" s="118">
        <v>2</v>
      </c>
      <c r="I312" s="820">
        <v>26385</v>
      </c>
      <c r="J312" s="118">
        <f>+CUBICACION!J311</f>
        <v>0</v>
      </c>
      <c r="K312" s="118">
        <v>3091</v>
      </c>
      <c r="L312" s="118">
        <f>+CUBICACION!L311</f>
        <v>0</v>
      </c>
      <c r="M312" s="64">
        <f>+CUBICACION!M311</f>
        <v>0</v>
      </c>
      <c r="N312" s="824" t="str">
        <f>+CUBICACION!N311</f>
        <v/>
      </c>
      <c r="O312" s="675">
        <f>+CUBICACION!O311</f>
        <v>0</v>
      </c>
      <c r="P312" s="15">
        <f>IF(O312="Fire Control",VLOOKUP(_xlfn.MINIFS('FIRE CONTROL'!$C$4:$C$37,'FIRE CONTROL'!$C$4:$C$37,"&gt;="&amp;M312),'FIRE CONTROL'!$C$4:$G$37,IF(L312="F-15",2,IF(L312="F-30",3,IF(L312="F-60",4,IF(L312="F-90",5,0)))),0),0)+IF(AND(O312="FIRE TEX 5062",OR(E312="IN",E312="C",E312="Z",E312="L"),J312=3),VLOOKUP(_xlfn.MINIFS('FIRE TEX 5062'!$B$4:$B$34,'FIRE TEX 5062'!$B$4:$B$34,"&gt;="&amp;M312),'FIRE TEX 5062'!$B$4:$F$34,IF(L312="F-15",2,IF(L312="F-30",3,IF(L312="F-60",4,IF(L312="F-90",5,0)))),0),0)+IF(AND(O312="FIRE TEX 5062",OR(E312="IN",E312="C",E312="Z",E312="L"),J312=4),VLOOKUP(_xlfn.MINIFS('FIRE TEX 5062'!$G$4:$G$34,'FIRE TEX 5062'!$G$4:$G$34,"&gt;="&amp;M312),'FIRE TEX 5062'!$G$4:$K$34,IF(L312="F-15",2,IF(L312="F-30",3,IF(L312="F-60",4,IF(L312="F-90",5,0)))),0),0)+IF(AND(O312="FIRE TEX 5062",E312="CJ",J312=3),VLOOKUP(_xlfn.MINIFS('FIRE TEX 5062'!$L$4:$L$34,'FIRE TEX 5062'!$L$4:$L$34,"&gt;="&amp;M312),'FIRE TEX 5062'!$L$4:$P$34,IF(L312="F-15",2,IF(L312="F-30",3,IF(L312="F-60",4,IF(L312="F-90",5,0)))),0),0)+IF(AND(O312="FIRE TEX 5062",E312="CJ",J312=4),VLOOKUP(_xlfn.MINIFS('FIRE TEX 5062'!$Q$3:$Q$34,'FIRE TEX 5062'!$Q$3:$Q$34,"&gt;="&amp;M312),'FIRE TEX 5062'!$Q$3:$U$34,IF(L312="F-15",2,IF(L312="F-30",3,IF(L312="F-60",4,IF(L312="F-90",5,0)))),0),0)+IF(AND(O312="FIRE TEX 5090",OR(E312="IN",E312="C",E312="Z",E312="L"),J312=3),VLOOKUP(_xlfn.MINIFS('FIRE TEX 5090'!$B$5:$B$43,'FIRE TEX 5090'!$B$5:$B$43,"&gt;="&amp;M312),'FIRE TEX 5090'!$B$5:$H$43,IF(L312="F-15",2,IF(L312="F-30",3,IF(L312="F-60",4,IF(L312="F-90",5,IF(L312="F-120",6,IF(L312="F-150",7,0)))))),0),0)+IF(AND(O312="FIRE TEX 5090",OR(E312="IN",E312="C",E312="Z",E312="L"),J312=4),VLOOKUP(_xlfn.MINIFS('FIRE TEX 5090'!$J$5:$J$43,'FIRE TEX 5090'!$J$5:$J$43,"&gt;="&amp;M312),'FIRE TEX 5090'!$J$5:$P$43,IF(L312="F-15",2,IF(L312="F-30",3,IF(L312="F-60",4,IF(L312="F-90",5,IF(L312="F-120",6,IF(L312="F-150",7,0)))))),0),0)+IF(AND(O312="FIRE TEX 5090",E312="CJ",J312=3),VLOOKUP(_xlfn.MINIFS('FIRE TEX 5090'!$R$5:$R$30,'FIRE TEX 5090'!$R$5:$R$30,"&gt;="&amp;M312),'FIRE TEX 5090'!$R$5:$W$30,IF(L312="F-15",2,IF(L312="F-30",3,IF(L312="F-60",4,IF(L312="F-90",5,IF(L312="F-120",6,IF(L312="F-150",7,0)))))),0),0)+IF(AND(O312="FIRE TEX 5090",E312="CJ",J312=4),VLOOKUP(_xlfn.MINIFS('FIRE TEX 5090'!$Y$5:$Y$39,'FIRE TEX 5090'!$Y$5:$Y$39,"&gt;="&amp;M312),'FIRE TEX 5090'!$Y$5:$AD$39,IF(L312="F-15",2,IF(L312="F-30",3,IF(L312="F-60",4,IF(L312="F-90",5,IF(L312="F-120",6,IF(L312="F-150",7,0)))))),0),0)+IF(AND(O312="FIRE TEX 5120",OR(E312="IN",E312="C",E312="Z",E312="L"),J312=3),VLOOKUP(_xlfn.MINIFS('FIRE TEX 5120'!$B$5:$B$40,'FIRE TEX 5120'!$B$5:$B$40,"&gt;="&amp;M312),'FIRE TEX 5120'!$B$5:$G$40,IF(L312="F-15",2,IF(L312="F-30",3,IF(L312="F-60",4,IF(L312="F-90",5,IF(L312="F-120",6,0))))),0),0)+IF(AND(O312="FIRE TEX 5120",OR(E312="IN",E312="C",E312="Z",E312="L"),J312=4),VLOOKUP(_xlfn.MINIFS('FIRE TEX 5120'!$H$4:$H$40,'FIRE TEX 5120'!$H$4:$H$40,"&gt;="&amp;M312),'FIRE TEX 5120'!$H$4:$M$40,IF(L312="F-15",2,IF(L312="F-30",3,IF(L312="F-60",4,IF(L312="F-90",5,IF(L312="F-120",6,0))))),0),0)+IF(AND(O312="FIRE TEX 5120",E312="CJ"),VLOOKUP(_xlfn.MINIFS('FIRE TEX 5120'!$O$5:$O$40,'FIRE TEX 5120'!$O$5:$O$40,"&gt;="&amp;M312),'FIRE TEX 5120'!$O$5:$T$40,IF(L312="F-15",2,IF(L312="F-30",3,IF(L312="F-60",4,IF(L312="F-90",5,IF(L312="F-120",6,0))))),0),0)</f>
        <v>0</v>
      </c>
      <c r="Q312" s="46">
        <f t="shared" si="34"/>
        <v>0</v>
      </c>
      <c r="R312" s="46">
        <f t="shared" si="36"/>
        <v>0</v>
      </c>
      <c r="S312" s="46" t="e">
        <f t="shared" si="35"/>
        <v>#VALUE!</v>
      </c>
      <c r="T312" s="677">
        <f t="shared" si="37"/>
        <v>0</v>
      </c>
      <c r="U312" s="80">
        <f>(IF(O312="Stofire",(S312*#REF!),0))+(IF(O312="Fire Control",(S312*$U$2),0))+(IF(O312="Fire Tex",(S312*$U$3),0))+(IF(O312="WB7",(S312*#REF!),0)+(IF(O312="FX 2003",(S312*$U$5),0)))</f>
        <v>0</v>
      </c>
      <c r="V312" s="651">
        <f t="shared" si="41"/>
        <v>0</v>
      </c>
      <c r="W312" s="4"/>
    </row>
    <row r="313" spans="1:23" x14ac:dyDescent="0.25">
      <c r="A313" s="652" t="s">
        <v>429</v>
      </c>
      <c r="B313" s="653" t="s">
        <v>430</v>
      </c>
      <c r="C313" s="1" t="s">
        <v>431</v>
      </c>
      <c r="D313" s="118">
        <f>+CUBICACION!D312</f>
        <v>0</v>
      </c>
      <c r="E313" s="118">
        <f>+CUBICACION!F312</f>
        <v>0</v>
      </c>
      <c r="F313" s="118">
        <f>+CUBICACION!E312</f>
        <v>0</v>
      </c>
      <c r="G313" s="118">
        <v>12</v>
      </c>
      <c r="H313" s="118">
        <v>2</v>
      </c>
      <c r="I313" s="820">
        <v>26385</v>
      </c>
      <c r="J313" s="118">
        <f>+CUBICACION!J312</f>
        <v>0</v>
      </c>
      <c r="K313" s="118">
        <v>3092</v>
      </c>
      <c r="L313" s="118">
        <f>+CUBICACION!L312</f>
        <v>0</v>
      </c>
      <c r="M313" s="64">
        <f>+CUBICACION!M312</f>
        <v>0</v>
      </c>
      <c r="N313" s="824" t="str">
        <f>+CUBICACION!N312</f>
        <v/>
      </c>
      <c r="O313" s="675">
        <f>+CUBICACION!O312</f>
        <v>0</v>
      </c>
      <c r="P313" s="15">
        <f>IF(O313="Fire Control",VLOOKUP(_xlfn.MINIFS('FIRE CONTROL'!$C$4:$C$37,'FIRE CONTROL'!$C$4:$C$37,"&gt;="&amp;M313),'FIRE CONTROL'!$C$4:$G$37,IF(L313="F-15",2,IF(L313="F-30",3,IF(L313="F-60",4,IF(L313="F-90",5,0)))),0),0)+IF(AND(O313="FIRE TEX 5062",OR(E313="IN",E313="C",E313="Z",E313="L"),J313=3),VLOOKUP(_xlfn.MINIFS('FIRE TEX 5062'!$B$4:$B$34,'FIRE TEX 5062'!$B$4:$B$34,"&gt;="&amp;M313),'FIRE TEX 5062'!$B$4:$F$34,IF(L313="F-15",2,IF(L313="F-30",3,IF(L313="F-60",4,IF(L313="F-90",5,0)))),0),0)+IF(AND(O313="FIRE TEX 5062",OR(E313="IN",E313="C",E313="Z",E313="L"),J313=4),VLOOKUP(_xlfn.MINIFS('FIRE TEX 5062'!$G$4:$G$34,'FIRE TEX 5062'!$G$4:$G$34,"&gt;="&amp;M313),'FIRE TEX 5062'!$G$4:$K$34,IF(L313="F-15",2,IF(L313="F-30",3,IF(L313="F-60",4,IF(L313="F-90",5,0)))),0),0)+IF(AND(O313="FIRE TEX 5062",E313="CJ",J313=3),VLOOKUP(_xlfn.MINIFS('FIRE TEX 5062'!$L$4:$L$34,'FIRE TEX 5062'!$L$4:$L$34,"&gt;="&amp;M313),'FIRE TEX 5062'!$L$4:$P$34,IF(L313="F-15",2,IF(L313="F-30",3,IF(L313="F-60",4,IF(L313="F-90",5,0)))),0),0)+IF(AND(O313="FIRE TEX 5062",E313="CJ",J313=4),VLOOKUP(_xlfn.MINIFS('FIRE TEX 5062'!$Q$3:$Q$34,'FIRE TEX 5062'!$Q$3:$Q$34,"&gt;="&amp;M313),'FIRE TEX 5062'!$Q$3:$U$34,IF(L313="F-15",2,IF(L313="F-30",3,IF(L313="F-60",4,IF(L313="F-90",5,0)))),0),0)+IF(AND(O313="FIRE TEX 5090",OR(E313="IN",E313="C",E313="Z",E313="L"),J313=3),VLOOKUP(_xlfn.MINIFS('FIRE TEX 5090'!$B$5:$B$43,'FIRE TEX 5090'!$B$5:$B$43,"&gt;="&amp;M313),'FIRE TEX 5090'!$B$5:$H$43,IF(L313="F-15",2,IF(L313="F-30",3,IF(L313="F-60",4,IF(L313="F-90",5,IF(L313="F-120",6,IF(L313="F-150",7,0)))))),0),0)+IF(AND(O313="FIRE TEX 5090",OR(E313="IN",E313="C",E313="Z",E313="L"),J313=4),VLOOKUP(_xlfn.MINIFS('FIRE TEX 5090'!$J$5:$J$43,'FIRE TEX 5090'!$J$5:$J$43,"&gt;="&amp;M313),'FIRE TEX 5090'!$J$5:$P$43,IF(L313="F-15",2,IF(L313="F-30",3,IF(L313="F-60",4,IF(L313="F-90",5,IF(L313="F-120",6,IF(L313="F-150",7,0)))))),0),0)+IF(AND(O313="FIRE TEX 5090",E313="CJ",J313=3),VLOOKUP(_xlfn.MINIFS('FIRE TEX 5090'!$R$5:$R$30,'FIRE TEX 5090'!$R$5:$R$30,"&gt;="&amp;M313),'FIRE TEX 5090'!$R$5:$W$30,IF(L313="F-15",2,IF(L313="F-30",3,IF(L313="F-60",4,IF(L313="F-90",5,IF(L313="F-120",6,IF(L313="F-150",7,0)))))),0),0)+IF(AND(O313="FIRE TEX 5090",E313="CJ",J313=4),VLOOKUP(_xlfn.MINIFS('FIRE TEX 5090'!$Y$5:$Y$39,'FIRE TEX 5090'!$Y$5:$Y$39,"&gt;="&amp;M313),'FIRE TEX 5090'!$Y$5:$AD$39,IF(L313="F-15",2,IF(L313="F-30",3,IF(L313="F-60",4,IF(L313="F-90",5,IF(L313="F-120",6,IF(L313="F-150",7,0)))))),0),0)+IF(AND(O313="FIRE TEX 5120",OR(E313="IN",E313="C",E313="Z",E313="L"),J313=3),VLOOKUP(_xlfn.MINIFS('FIRE TEX 5120'!$B$5:$B$40,'FIRE TEX 5120'!$B$5:$B$40,"&gt;="&amp;M313),'FIRE TEX 5120'!$B$5:$G$40,IF(L313="F-15",2,IF(L313="F-30",3,IF(L313="F-60",4,IF(L313="F-90",5,IF(L313="F-120",6,0))))),0),0)+IF(AND(O313="FIRE TEX 5120",OR(E313="IN",E313="C",E313="Z",E313="L"),J313=4),VLOOKUP(_xlfn.MINIFS('FIRE TEX 5120'!$H$4:$H$40,'FIRE TEX 5120'!$H$4:$H$40,"&gt;="&amp;M313),'FIRE TEX 5120'!$H$4:$M$40,IF(L313="F-15",2,IF(L313="F-30",3,IF(L313="F-60",4,IF(L313="F-90",5,IF(L313="F-120",6,0))))),0),0)+IF(AND(O313="FIRE TEX 5120",E313="CJ"),VLOOKUP(_xlfn.MINIFS('FIRE TEX 5120'!$O$5:$O$40,'FIRE TEX 5120'!$O$5:$O$40,"&gt;="&amp;M313),'FIRE TEX 5120'!$O$5:$T$40,IF(L313="F-15",2,IF(L313="F-30",3,IF(L313="F-60",4,IF(L313="F-90",5,IF(L313="F-120",6,0))))),0),0)</f>
        <v>0</v>
      </c>
      <c r="Q313" s="46">
        <f t="shared" si="34"/>
        <v>0</v>
      </c>
      <c r="R313" s="46">
        <f t="shared" si="36"/>
        <v>0</v>
      </c>
      <c r="S313" s="46" t="e">
        <f t="shared" si="35"/>
        <v>#VALUE!</v>
      </c>
      <c r="T313" s="677">
        <f t="shared" si="37"/>
        <v>0</v>
      </c>
      <c r="U313" s="80">
        <f>(IF(O313="Stofire",(S313*#REF!),0))+(IF(O313="Fire Control",(S313*$U$2),0))+(IF(O313="Fire Tex",(S313*$U$3),0))+(IF(O313="WB7",(S313*#REF!),0)+(IF(O313="FX 2003",(S313*$U$5),0)))</f>
        <v>0</v>
      </c>
      <c r="V313" s="651">
        <f t="shared" si="41"/>
        <v>0</v>
      </c>
      <c r="W313" s="4"/>
    </row>
    <row r="314" spans="1:23" x14ac:dyDescent="0.25">
      <c r="A314" s="652" t="s">
        <v>429</v>
      </c>
      <c r="B314" s="653" t="s">
        <v>430</v>
      </c>
      <c r="C314" s="1" t="s">
        <v>433</v>
      </c>
      <c r="D314" s="118">
        <f>+CUBICACION!D313</f>
        <v>0</v>
      </c>
      <c r="E314" s="118">
        <f>+CUBICACION!F313</f>
        <v>0</v>
      </c>
      <c r="F314" s="118">
        <f>+CUBICACION!E313</f>
        <v>0</v>
      </c>
      <c r="G314" s="118">
        <v>12</v>
      </c>
      <c r="H314" s="118">
        <v>2</v>
      </c>
      <c r="I314" s="820">
        <v>26385</v>
      </c>
      <c r="J314" s="118">
        <f>+CUBICACION!J313</f>
        <v>0</v>
      </c>
      <c r="K314" s="118">
        <v>3093</v>
      </c>
      <c r="L314" s="118">
        <f>+CUBICACION!L313</f>
        <v>0</v>
      </c>
      <c r="M314" s="64">
        <f>+CUBICACION!M313</f>
        <v>0</v>
      </c>
      <c r="N314" s="824" t="str">
        <f>+CUBICACION!N313</f>
        <v/>
      </c>
      <c r="O314" s="675">
        <f>+CUBICACION!O313</f>
        <v>0</v>
      </c>
      <c r="P314" s="15">
        <f>IF(O314="Fire Control",VLOOKUP(_xlfn.MINIFS('FIRE CONTROL'!$C$4:$C$37,'FIRE CONTROL'!$C$4:$C$37,"&gt;="&amp;M314),'FIRE CONTROL'!$C$4:$G$37,IF(L314="F-15",2,IF(L314="F-30",3,IF(L314="F-60",4,IF(L314="F-90",5,0)))),0),0)+IF(AND(O314="FIRE TEX 5062",OR(E314="IN",E314="C",E314="Z",E314="L"),J314=3),VLOOKUP(_xlfn.MINIFS('FIRE TEX 5062'!$B$4:$B$34,'FIRE TEX 5062'!$B$4:$B$34,"&gt;="&amp;M314),'FIRE TEX 5062'!$B$4:$F$34,IF(L314="F-15",2,IF(L314="F-30",3,IF(L314="F-60",4,IF(L314="F-90",5,0)))),0),0)+IF(AND(O314="FIRE TEX 5062",OR(E314="IN",E314="C",E314="Z",E314="L"),J314=4),VLOOKUP(_xlfn.MINIFS('FIRE TEX 5062'!$G$4:$G$34,'FIRE TEX 5062'!$G$4:$G$34,"&gt;="&amp;M314),'FIRE TEX 5062'!$G$4:$K$34,IF(L314="F-15",2,IF(L314="F-30",3,IF(L314="F-60",4,IF(L314="F-90",5,0)))),0),0)+IF(AND(O314="FIRE TEX 5062",E314="CJ",J314=3),VLOOKUP(_xlfn.MINIFS('FIRE TEX 5062'!$L$4:$L$34,'FIRE TEX 5062'!$L$4:$L$34,"&gt;="&amp;M314),'FIRE TEX 5062'!$L$4:$P$34,IF(L314="F-15",2,IF(L314="F-30",3,IF(L314="F-60",4,IF(L314="F-90",5,0)))),0),0)+IF(AND(O314="FIRE TEX 5062",E314="CJ",J314=4),VLOOKUP(_xlfn.MINIFS('FIRE TEX 5062'!$Q$3:$Q$34,'FIRE TEX 5062'!$Q$3:$Q$34,"&gt;="&amp;M314),'FIRE TEX 5062'!$Q$3:$U$34,IF(L314="F-15",2,IF(L314="F-30",3,IF(L314="F-60",4,IF(L314="F-90",5,0)))),0),0)+IF(AND(O314="FIRE TEX 5090",OR(E314="IN",E314="C",E314="Z",E314="L"),J314=3),VLOOKUP(_xlfn.MINIFS('FIRE TEX 5090'!$B$5:$B$43,'FIRE TEX 5090'!$B$5:$B$43,"&gt;="&amp;M314),'FIRE TEX 5090'!$B$5:$H$43,IF(L314="F-15",2,IF(L314="F-30",3,IF(L314="F-60",4,IF(L314="F-90",5,IF(L314="F-120",6,IF(L314="F-150",7,0)))))),0),0)+IF(AND(O314="FIRE TEX 5090",OR(E314="IN",E314="C",E314="Z",E314="L"),J314=4),VLOOKUP(_xlfn.MINIFS('FIRE TEX 5090'!$J$5:$J$43,'FIRE TEX 5090'!$J$5:$J$43,"&gt;="&amp;M314),'FIRE TEX 5090'!$J$5:$P$43,IF(L314="F-15",2,IF(L314="F-30",3,IF(L314="F-60",4,IF(L314="F-90",5,IF(L314="F-120",6,IF(L314="F-150",7,0)))))),0),0)+IF(AND(O314="FIRE TEX 5090",E314="CJ",J314=3),VLOOKUP(_xlfn.MINIFS('FIRE TEX 5090'!$R$5:$R$30,'FIRE TEX 5090'!$R$5:$R$30,"&gt;="&amp;M314),'FIRE TEX 5090'!$R$5:$W$30,IF(L314="F-15",2,IF(L314="F-30",3,IF(L314="F-60",4,IF(L314="F-90",5,IF(L314="F-120",6,IF(L314="F-150",7,0)))))),0),0)+IF(AND(O314="FIRE TEX 5090",E314="CJ",J314=4),VLOOKUP(_xlfn.MINIFS('FIRE TEX 5090'!$Y$5:$Y$39,'FIRE TEX 5090'!$Y$5:$Y$39,"&gt;="&amp;M314),'FIRE TEX 5090'!$Y$5:$AD$39,IF(L314="F-15",2,IF(L314="F-30",3,IF(L314="F-60",4,IF(L314="F-90",5,IF(L314="F-120",6,IF(L314="F-150",7,0)))))),0),0)+IF(AND(O314="FIRE TEX 5120",OR(E314="IN",E314="C",E314="Z",E314="L"),J314=3),VLOOKUP(_xlfn.MINIFS('FIRE TEX 5120'!$B$5:$B$40,'FIRE TEX 5120'!$B$5:$B$40,"&gt;="&amp;M314),'FIRE TEX 5120'!$B$5:$G$40,IF(L314="F-15",2,IF(L314="F-30",3,IF(L314="F-60",4,IF(L314="F-90",5,IF(L314="F-120",6,0))))),0),0)+IF(AND(O314="FIRE TEX 5120",OR(E314="IN",E314="C",E314="Z",E314="L"),J314=4),VLOOKUP(_xlfn.MINIFS('FIRE TEX 5120'!$H$4:$H$40,'FIRE TEX 5120'!$H$4:$H$40,"&gt;="&amp;M314),'FIRE TEX 5120'!$H$4:$M$40,IF(L314="F-15",2,IF(L314="F-30",3,IF(L314="F-60",4,IF(L314="F-90",5,IF(L314="F-120",6,0))))),0),0)+IF(AND(O314="FIRE TEX 5120",E314="CJ"),VLOOKUP(_xlfn.MINIFS('FIRE TEX 5120'!$O$5:$O$40,'FIRE TEX 5120'!$O$5:$O$40,"&gt;="&amp;M314),'FIRE TEX 5120'!$O$5:$T$40,IF(L314="F-15",2,IF(L314="F-30",3,IF(L314="F-60",4,IF(L314="F-90",5,IF(L314="F-120",6,0))))),0),0)</f>
        <v>0</v>
      </c>
      <c r="Q314" s="46">
        <f t="shared" si="34"/>
        <v>0</v>
      </c>
      <c r="R314" s="46">
        <f t="shared" si="36"/>
        <v>0</v>
      </c>
      <c r="S314" s="46" t="e">
        <f t="shared" si="35"/>
        <v>#VALUE!</v>
      </c>
      <c r="T314" s="677">
        <f t="shared" si="37"/>
        <v>0</v>
      </c>
      <c r="U314" s="80">
        <f>(IF(O314="Stofire",(S314*#REF!),0))+(IF(O314="Fire Control",(S314*$U$2),0))+(IF(O314="Fire Tex",(S314*$U$3),0))+(IF(O314="WB7",(S314*#REF!),0)+(IF(O314="FX 2003",(S314*$U$5),0)))</f>
        <v>0</v>
      </c>
      <c r="V314" s="651">
        <f t="shared" si="41"/>
        <v>0</v>
      </c>
      <c r="W314" s="4"/>
    </row>
    <row r="315" spans="1:23" x14ac:dyDescent="0.25">
      <c r="A315" s="652" t="s">
        <v>429</v>
      </c>
      <c r="B315" s="653" t="s">
        <v>430</v>
      </c>
      <c r="C315" s="1" t="s">
        <v>435</v>
      </c>
      <c r="D315" s="118">
        <f>+CUBICACION!D314</f>
        <v>0</v>
      </c>
      <c r="E315" s="118">
        <f>+CUBICACION!F314</f>
        <v>0</v>
      </c>
      <c r="F315" s="118">
        <f>+CUBICACION!E314</f>
        <v>0</v>
      </c>
      <c r="G315" s="118">
        <v>12</v>
      </c>
      <c r="H315" s="118">
        <v>2</v>
      </c>
      <c r="I315" s="820">
        <v>26385</v>
      </c>
      <c r="J315" s="118">
        <f>+CUBICACION!J314</f>
        <v>0</v>
      </c>
      <c r="K315" s="118">
        <v>3094</v>
      </c>
      <c r="L315" s="118">
        <f>+CUBICACION!L314</f>
        <v>0</v>
      </c>
      <c r="M315" s="64">
        <f>+CUBICACION!M314</f>
        <v>0</v>
      </c>
      <c r="N315" s="824" t="str">
        <f>+CUBICACION!N314</f>
        <v/>
      </c>
      <c r="O315" s="675">
        <f>+CUBICACION!O314</f>
        <v>0</v>
      </c>
      <c r="P315" s="15">
        <f>IF(O315="Fire Control",VLOOKUP(_xlfn.MINIFS('FIRE CONTROL'!$C$4:$C$37,'FIRE CONTROL'!$C$4:$C$37,"&gt;="&amp;M315),'FIRE CONTROL'!$C$4:$G$37,IF(L315="F-15",2,IF(L315="F-30",3,IF(L315="F-60",4,IF(L315="F-90",5,0)))),0),0)+IF(AND(O315="FIRE TEX 5062",OR(E315="IN",E315="C",E315="Z",E315="L"),J315=3),VLOOKUP(_xlfn.MINIFS('FIRE TEX 5062'!$B$4:$B$34,'FIRE TEX 5062'!$B$4:$B$34,"&gt;="&amp;M315),'FIRE TEX 5062'!$B$4:$F$34,IF(L315="F-15",2,IF(L315="F-30",3,IF(L315="F-60",4,IF(L315="F-90",5,0)))),0),0)+IF(AND(O315="FIRE TEX 5062",OR(E315="IN",E315="C",E315="Z",E315="L"),J315=4),VLOOKUP(_xlfn.MINIFS('FIRE TEX 5062'!$G$4:$G$34,'FIRE TEX 5062'!$G$4:$G$34,"&gt;="&amp;M315),'FIRE TEX 5062'!$G$4:$K$34,IF(L315="F-15",2,IF(L315="F-30",3,IF(L315="F-60",4,IF(L315="F-90",5,0)))),0),0)+IF(AND(O315="FIRE TEX 5062",E315="CJ",J315=3),VLOOKUP(_xlfn.MINIFS('FIRE TEX 5062'!$L$4:$L$34,'FIRE TEX 5062'!$L$4:$L$34,"&gt;="&amp;M315),'FIRE TEX 5062'!$L$4:$P$34,IF(L315="F-15",2,IF(L315="F-30",3,IF(L315="F-60",4,IF(L315="F-90",5,0)))),0),0)+IF(AND(O315="FIRE TEX 5062",E315="CJ",J315=4),VLOOKUP(_xlfn.MINIFS('FIRE TEX 5062'!$Q$3:$Q$34,'FIRE TEX 5062'!$Q$3:$Q$34,"&gt;="&amp;M315),'FIRE TEX 5062'!$Q$3:$U$34,IF(L315="F-15",2,IF(L315="F-30",3,IF(L315="F-60",4,IF(L315="F-90",5,0)))),0),0)+IF(AND(O315="FIRE TEX 5090",OR(E315="IN",E315="C",E315="Z",E315="L"),J315=3),VLOOKUP(_xlfn.MINIFS('FIRE TEX 5090'!$B$5:$B$43,'FIRE TEX 5090'!$B$5:$B$43,"&gt;="&amp;M315),'FIRE TEX 5090'!$B$5:$H$43,IF(L315="F-15",2,IF(L315="F-30",3,IF(L315="F-60",4,IF(L315="F-90",5,IF(L315="F-120",6,IF(L315="F-150",7,0)))))),0),0)+IF(AND(O315="FIRE TEX 5090",OR(E315="IN",E315="C",E315="Z",E315="L"),J315=4),VLOOKUP(_xlfn.MINIFS('FIRE TEX 5090'!$J$5:$J$43,'FIRE TEX 5090'!$J$5:$J$43,"&gt;="&amp;M315),'FIRE TEX 5090'!$J$5:$P$43,IF(L315="F-15",2,IF(L315="F-30",3,IF(L315="F-60",4,IF(L315="F-90",5,IF(L315="F-120",6,IF(L315="F-150",7,0)))))),0),0)+IF(AND(O315="FIRE TEX 5090",E315="CJ",J315=3),VLOOKUP(_xlfn.MINIFS('FIRE TEX 5090'!$R$5:$R$30,'FIRE TEX 5090'!$R$5:$R$30,"&gt;="&amp;M315),'FIRE TEX 5090'!$R$5:$W$30,IF(L315="F-15",2,IF(L315="F-30",3,IF(L315="F-60",4,IF(L315="F-90",5,IF(L315="F-120",6,IF(L315="F-150",7,0)))))),0),0)+IF(AND(O315="FIRE TEX 5090",E315="CJ",J315=4),VLOOKUP(_xlfn.MINIFS('FIRE TEX 5090'!$Y$5:$Y$39,'FIRE TEX 5090'!$Y$5:$Y$39,"&gt;="&amp;M315),'FIRE TEX 5090'!$Y$5:$AD$39,IF(L315="F-15",2,IF(L315="F-30",3,IF(L315="F-60",4,IF(L315="F-90",5,IF(L315="F-120",6,IF(L315="F-150",7,0)))))),0),0)+IF(AND(O315="FIRE TEX 5120",OR(E315="IN",E315="C",E315="Z",E315="L"),J315=3),VLOOKUP(_xlfn.MINIFS('FIRE TEX 5120'!$B$5:$B$40,'FIRE TEX 5120'!$B$5:$B$40,"&gt;="&amp;M315),'FIRE TEX 5120'!$B$5:$G$40,IF(L315="F-15",2,IF(L315="F-30",3,IF(L315="F-60",4,IF(L315="F-90",5,IF(L315="F-120",6,0))))),0),0)+IF(AND(O315="FIRE TEX 5120",OR(E315="IN",E315="C",E315="Z",E315="L"),J315=4),VLOOKUP(_xlfn.MINIFS('FIRE TEX 5120'!$H$4:$H$40,'FIRE TEX 5120'!$H$4:$H$40,"&gt;="&amp;M315),'FIRE TEX 5120'!$H$4:$M$40,IF(L315="F-15",2,IF(L315="F-30",3,IF(L315="F-60",4,IF(L315="F-90",5,IF(L315="F-120",6,0))))),0),0)+IF(AND(O315="FIRE TEX 5120",E315="CJ"),VLOOKUP(_xlfn.MINIFS('FIRE TEX 5120'!$O$5:$O$40,'FIRE TEX 5120'!$O$5:$O$40,"&gt;="&amp;M315),'FIRE TEX 5120'!$O$5:$T$40,IF(L315="F-15",2,IF(L315="F-30",3,IF(L315="F-60",4,IF(L315="F-90",5,IF(L315="F-120",6,0))))),0),0)</f>
        <v>0</v>
      </c>
      <c r="Q315" s="46">
        <f t="shared" si="34"/>
        <v>0</v>
      </c>
      <c r="R315" s="46">
        <f t="shared" si="36"/>
        <v>0</v>
      </c>
      <c r="S315" s="46" t="e">
        <f t="shared" si="35"/>
        <v>#VALUE!</v>
      </c>
      <c r="T315" s="677">
        <f t="shared" si="37"/>
        <v>0</v>
      </c>
      <c r="U315" s="80">
        <f>(IF(O315="Stofire",(S315*#REF!),0))+(IF(O315="Fire Control",(S315*$U$2),0))+(IF(O315="Fire Tex",(S315*$U$3),0))+(IF(O315="WB7",(S315*#REF!),0)+(IF(O315="FX 2003",(S315*$U$5),0)))</f>
        <v>0</v>
      </c>
      <c r="V315" s="651">
        <f t="shared" si="41"/>
        <v>0</v>
      </c>
      <c r="W315" s="4"/>
    </row>
    <row r="316" spans="1:23" x14ac:dyDescent="0.25">
      <c r="A316" s="652" t="s">
        <v>429</v>
      </c>
      <c r="B316" s="653" t="s">
        <v>430</v>
      </c>
      <c r="C316" s="1" t="s">
        <v>437</v>
      </c>
      <c r="D316" s="118">
        <f>+CUBICACION!D315</f>
        <v>0</v>
      </c>
      <c r="E316" s="118">
        <f>+CUBICACION!F315</f>
        <v>0</v>
      </c>
      <c r="F316" s="118">
        <f>+CUBICACION!E315</f>
        <v>0</v>
      </c>
      <c r="G316" s="118">
        <v>12</v>
      </c>
      <c r="H316" s="118">
        <v>2</v>
      </c>
      <c r="I316" s="820">
        <v>26385</v>
      </c>
      <c r="J316" s="118">
        <f>+CUBICACION!J315</f>
        <v>0</v>
      </c>
      <c r="K316" s="118">
        <v>3095</v>
      </c>
      <c r="L316" s="118">
        <f>+CUBICACION!L315</f>
        <v>0</v>
      </c>
      <c r="M316" s="64">
        <f>+CUBICACION!M315</f>
        <v>0</v>
      </c>
      <c r="N316" s="824" t="str">
        <f>+CUBICACION!N315</f>
        <v/>
      </c>
      <c r="O316" s="675">
        <f>+CUBICACION!O315</f>
        <v>0</v>
      </c>
      <c r="P316" s="15">
        <f>IF(O316="Fire Control",VLOOKUP(_xlfn.MINIFS('FIRE CONTROL'!$C$4:$C$37,'FIRE CONTROL'!$C$4:$C$37,"&gt;="&amp;M316),'FIRE CONTROL'!$C$4:$G$37,IF(L316="F-15",2,IF(L316="F-30",3,IF(L316="F-60",4,IF(L316="F-90",5,0)))),0),0)+IF(AND(O316="FIRE TEX 5062",OR(E316="IN",E316="C",E316="Z",E316="L"),J316=3),VLOOKUP(_xlfn.MINIFS('FIRE TEX 5062'!$B$4:$B$34,'FIRE TEX 5062'!$B$4:$B$34,"&gt;="&amp;M316),'FIRE TEX 5062'!$B$4:$F$34,IF(L316="F-15",2,IF(L316="F-30",3,IF(L316="F-60",4,IF(L316="F-90",5,0)))),0),0)+IF(AND(O316="FIRE TEX 5062",OR(E316="IN",E316="C",E316="Z",E316="L"),J316=4),VLOOKUP(_xlfn.MINIFS('FIRE TEX 5062'!$G$4:$G$34,'FIRE TEX 5062'!$G$4:$G$34,"&gt;="&amp;M316),'FIRE TEX 5062'!$G$4:$K$34,IF(L316="F-15",2,IF(L316="F-30",3,IF(L316="F-60",4,IF(L316="F-90",5,0)))),0),0)+IF(AND(O316="FIRE TEX 5062",E316="CJ",J316=3),VLOOKUP(_xlfn.MINIFS('FIRE TEX 5062'!$L$4:$L$34,'FIRE TEX 5062'!$L$4:$L$34,"&gt;="&amp;M316),'FIRE TEX 5062'!$L$4:$P$34,IF(L316="F-15",2,IF(L316="F-30",3,IF(L316="F-60",4,IF(L316="F-90",5,0)))),0),0)+IF(AND(O316="FIRE TEX 5062",E316="CJ",J316=4),VLOOKUP(_xlfn.MINIFS('FIRE TEX 5062'!$Q$3:$Q$34,'FIRE TEX 5062'!$Q$3:$Q$34,"&gt;="&amp;M316),'FIRE TEX 5062'!$Q$3:$U$34,IF(L316="F-15",2,IF(L316="F-30",3,IF(L316="F-60",4,IF(L316="F-90",5,0)))),0),0)+IF(AND(O316="FIRE TEX 5090",OR(E316="IN",E316="C",E316="Z",E316="L"),J316=3),VLOOKUP(_xlfn.MINIFS('FIRE TEX 5090'!$B$5:$B$43,'FIRE TEX 5090'!$B$5:$B$43,"&gt;="&amp;M316),'FIRE TEX 5090'!$B$5:$H$43,IF(L316="F-15",2,IF(L316="F-30",3,IF(L316="F-60",4,IF(L316="F-90",5,IF(L316="F-120",6,IF(L316="F-150",7,0)))))),0),0)+IF(AND(O316="FIRE TEX 5090",OR(E316="IN",E316="C",E316="Z",E316="L"),J316=4),VLOOKUP(_xlfn.MINIFS('FIRE TEX 5090'!$J$5:$J$43,'FIRE TEX 5090'!$J$5:$J$43,"&gt;="&amp;M316),'FIRE TEX 5090'!$J$5:$P$43,IF(L316="F-15",2,IF(L316="F-30",3,IF(L316="F-60",4,IF(L316="F-90",5,IF(L316="F-120",6,IF(L316="F-150",7,0)))))),0),0)+IF(AND(O316="FIRE TEX 5090",E316="CJ",J316=3),VLOOKUP(_xlfn.MINIFS('FIRE TEX 5090'!$R$5:$R$30,'FIRE TEX 5090'!$R$5:$R$30,"&gt;="&amp;M316),'FIRE TEX 5090'!$R$5:$W$30,IF(L316="F-15",2,IF(L316="F-30",3,IF(L316="F-60",4,IF(L316="F-90",5,IF(L316="F-120",6,IF(L316="F-150",7,0)))))),0),0)+IF(AND(O316="FIRE TEX 5090",E316="CJ",J316=4),VLOOKUP(_xlfn.MINIFS('FIRE TEX 5090'!$Y$5:$Y$39,'FIRE TEX 5090'!$Y$5:$Y$39,"&gt;="&amp;M316),'FIRE TEX 5090'!$Y$5:$AD$39,IF(L316="F-15",2,IF(L316="F-30",3,IF(L316="F-60",4,IF(L316="F-90",5,IF(L316="F-120",6,IF(L316="F-150",7,0)))))),0),0)+IF(AND(O316="FIRE TEX 5120",OR(E316="IN",E316="C",E316="Z",E316="L"),J316=3),VLOOKUP(_xlfn.MINIFS('FIRE TEX 5120'!$B$5:$B$40,'FIRE TEX 5120'!$B$5:$B$40,"&gt;="&amp;M316),'FIRE TEX 5120'!$B$5:$G$40,IF(L316="F-15",2,IF(L316="F-30",3,IF(L316="F-60",4,IF(L316="F-90",5,IF(L316="F-120",6,0))))),0),0)+IF(AND(O316="FIRE TEX 5120",OR(E316="IN",E316="C",E316="Z",E316="L"),J316=4),VLOOKUP(_xlfn.MINIFS('FIRE TEX 5120'!$H$4:$H$40,'FIRE TEX 5120'!$H$4:$H$40,"&gt;="&amp;M316),'FIRE TEX 5120'!$H$4:$M$40,IF(L316="F-15",2,IF(L316="F-30",3,IF(L316="F-60",4,IF(L316="F-90",5,IF(L316="F-120",6,0))))),0),0)+IF(AND(O316="FIRE TEX 5120",E316="CJ"),VLOOKUP(_xlfn.MINIFS('FIRE TEX 5120'!$O$5:$O$40,'FIRE TEX 5120'!$O$5:$O$40,"&gt;="&amp;M316),'FIRE TEX 5120'!$O$5:$T$40,IF(L316="F-15",2,IF(L316="F-30",3,IF(L316="F-60",4,IF(L316="F-90",5,IF(L316="F-120",6,0))))),0),0)</f>
        <v>0</v>
      </c>
      <c r="Q316" s="46">
        <f t="shared" si="34"/>
        <v>0</v>
      </c>
      <c r="R316" s="46">
        <f t="shared" si="36"/>
        <v>0</v>
      </c>
      <c r="S316" s="46" t="e">
        <f t="shared" si="35"/>
        <v>#VALUE!</v>
      </c>
      <c r="T316" s="677">
        <f t="shared" si="37"/>
        <v>0</v>
      </c>
      <c r="U316" s="80">
        <f>(IF(O316="Stofire",(S316*#REF!),0))+(IF(O316="Fire Control",(S316*$U$2),0))+(IF(O316="Fire Tex",(S316*$U$3),0))+(IF(O316="WB7",(S316*#REF!),0)+(IF(O316="FX 2003",(S316*$U$5),0)))</f>
        <v>0</v>
      </c>
      <c r="V316" s="651">
        <f t="shared" si="41"/>
        <v>0</v>
      </c>
      <c r="W316" s="4"/>
    </row>
    <row r="317" spans="1:23" x14ac:dyDescent="0.25">
      <c r="A317" s="652" t="s">
        <v>439</v>
      </c>
      <c r="B317" s="653" t="s">
        <v>430</v>
      </c>
      <c r="C317" s="1" t="s">
        <v>431</v>
      </c>
      <c r="D317" s="118">
        <f>+CUBICACION!D316</f>
        <v>0</v>
      </c>
      <c r="E317" s="118">
        <f>+CUBICACION!F316</f>
        <v>0</v>
      </c>
      <c r="F317" s="118">
        <f>+CUBICACION!E316</f>
        <v>0</v>
      </c>
      <c r="G317" s="118">
        <v>12</v>
      </c>
      <c r="H317" s="118">
        <v>2</v>
      </c>
      <c r="I317" s="820">
        <v>26385</v>
      </c>
      <c r="J317" s="118">
        <f>+CUBICACION!J316</f>
        <v>0</v>
      </c>
      <c r="K317" s="118">
        <v>3096</v>
      </c>
      <c r="L317" s="118">
        <f>+CUBICACION!L316</f>
        <v>0</v>
      </c>
      <c r="M317" s="64">
        <f>+CUBICACION!M316</f>
        <v>0</v>
      </c>
      <c r="N317" s="824" t="str">
        <f>+CUBICACION!N316</f>
        <v/>
      </c>
      <c r="O317" s="675">
        <f>+CUBICACION!O316</f>
        <v>0</v>
      </c>
      <c r="P317" s="15">
        <f>IF(O317="Fire Control",VLOOKUP(_xlfn.MINIFS('FIRE CONTROL'!$C$4:$C$37,'FIRE CONTROL'!$C$4:$C$37,"&gt;="&amp;M317),'FIRE CONTROL'!$C$4:$G$37,IF(L317="F-15",2,IF(L317="F-30",3,IF(L317="F-60",4,IF(L317="F-90",5,0)))),0),0)+IF(AND(O317="FIRE TEX 5062",OR(E317="IN",E317="C",E317="Z",E317="L"),J317=3),VLOOKUP(_xlfn.MINIFS('FIRE TEX 5062'!$B$4:$B$34,'FIRE TEX 5062'!$B$4:$B$34,"&gt;="&amp;M317),'FIRE TEX 5062'!$B$4:$F$34,IF(L317="F-15",2,IF(L317="F-30",3,IF(L317="F-60",4,IF(L317="F-90",5,0)))),0),0)+IF(AND(O317="FIRE TEX 5062",OR(E317="IN",E317="C",E317="Z",E317="L"),J317=4),VLOOKUP(_xlfn.MINIFS('FIRE TEX 5062'!$G$4:$G$34,'FIRE TEX 5062'!$G$4:$G$34,"&gt;="&amp;M317),'FIRE TEX 5062'!$G$4:$K$34,IF(L317="F-15",2,IF(L317="F-30",3,IF(L317="F-60",4,IF(L317="F-90",5,0)))),0),0)+IF(AND(O317="FIRE TEX 5062",E317="CJ",J317=3),VLOOKUP(_xlfn.MINIFS('FIRE TEX 5062'!$L$4:$L$34,'FIRE TEX 5062'!$L$4:$L$34,"&gt;="&amp;M317),'FIRE TEX 5062'!$L$4:$P$34,IF(L317="F-15",2,IF(L317="F-30",3,IF(L317="F-60",4,IF(L317="F-90",5,0)))),0),0)+IF(AND(O317="FIRE TEX 5062",E317="CJ",J317=4),VLOOKUP(_xlfn.MINIFS('FIRE TEX 5062'!$Q$3:$Q$34,'FIRE TEX 5062'!$Q$3:$Q$34,"&gt;="&amp;M317),'FIRE TEX 5062'!$Q$3:$U$34,IF(L317="F-15",2,IF(L317="F-30",3,IF(L317="F-60",4,IF(L317="F-90",5,0)))),0),0)+IF(AND(O317="FIRE TEX 5090",OR(E317="IN",E317="C",E317="Z",E317="L"),J317=3),VLOOKUP(_xlfn.MINIFS('FIRE TEX 5090'!$B$5:$B$43,'FIRE TEX 5090'!$B$5:$B$43,"&gt;="&amp;M317),'FIRE TEX 5090'!$B$5:$H$43,IF(L317="F-15",2,IF(L317="F-30",3,IF(L317="F-60",4,IF(L317="F-90",5,IF(L317="F-120",6,IF(L317="F-150",7,0)))))),0),0)+IF(AND(O317="FIRE TEX 5090",OR(E317="IN",E317="C",E317="Z",E317="L"),J317=4),VLOOKUP(_xlfn.MINIFS('FIRE TEX 5090'!$J$5:$J$43,'FIRE TEX 5090'!$J$5:$J$43,"&gt;="&amp;M317),'FIRE TEX 5090'!$J$5:$P$43,IF(L317="F-15",2,IF(L317="F-30",3,IF(L317="F-60",4,IF(L317="F-90",5,IF(L317="F-120",6,IF(L317="F-150",7,0)))))),0),0)+IF(AND(O317="FIRE TEX 5090",E317="CJ",J317=3),VLOOKUP(_xlfn.MINIFS('FIRE TEX 5090'!$R$5:$R$30,'FIRE TEX 5090'!$R$5:$R$30,"&gt;="&amp;M317),'FIRE TEX 5090'!$R$5:$W$30,IF(L317="F-15",2,IF(L317="F-30",3,IF(L317="F-60",4,IF(L317="F-90",5,IF(L317="F-120",6,IF(L317="F-150",7,0)))))),0),0)+IF(AND(O317="FIRE TEX 5090",E317="CJ",J317=4),VLOOKUP(_xlfn.MINIFS('FIRE TEX 5090'!$Y$5:$Y$39,'FIRE TEX 5090'!$Y$5:$Y$39,"&gt;="&amp;M317),'FIRE TEX 5090'!$Y$5:$AD$39,IF(L317="F-15",2,IF(L317="F-30",3,IF(L317="F-60",4,IF(L317="F-90",5,IF(L317="F-120",6,IF(L317="F-150",7,0)))))),0),0)+IF(AND(O317="FIRE TEX 5120",OR(E317="IN",E317="C",E317="Z",E317="L"),J317=3),VLOOKUP(_xlfn.MINIFS('FIRE TEX 5120'!$B$5:$B$40,'FIRE TEX 5120'!$B$5:$B$40,"&gt;="&amp;M317),'FIRE TEX 5120'!$B$5:$G$40,IF(L317="F-15",2,IF(L317="F-30",3,IF(L317="F-60",4,IF(L317="F-90",5,IF(L317="F-120",6,0))))),0),0)+IF(AND(O317="FIRE TEX 5120",OR(E317="IN",E317="C",E317="Z",E317="L"),J317=4),VLOOKUP(_xlfn.MINIFS('FIRE TEX 5120'!$H$4:$H$40,'FIRE TEX 5120'!$H$4:$H$40,"&gt;="&amp;M317),'FIRE TEX 5120'!$H$4:$M$40,IF(L317="F-15",2,IF(L317="F-30",3,IF(L317="F-60",4,IF(L317="F-90",5,IF(L317="F-120",6,0))))),0),0)+IF(AND(O317="FIRE TEX 5120",E317="CJ"),VLOOKUP(_xlfn.MINIFS('FIRE TEX 5120'!$O$5:$O$40,'FIRE TEX 5120'!$O$5:$O$40,"&gt;="&amp;M317),'FIRE TEX 5120'!$O$5:$T$40,IF(L317="F-15",2,IF(L317="F-30",3,IF(L317="F-60",4,IF(L317="F-90",5,IF(L317="F-120",6,0))))),0),0)</f>
        <v>0</v>
      </c>
      <c r="Q317" s="46">
        <f t="shared" si="34"/>
        <v>0</v>
      </c>
      <c r="R317" s="46">
        <f t="shared" si="36"/>
        <v>0</v>
      </c>
      <c r="S317" s="46" t="e">
        <f t="shared" si="35"/>
        <v>#VALUE!</v>
      </c>
      <c r="T317" s="677">
        <f t="shared" si="37"/>
        <v>0</v>
      </c>
      <c r="U317" s="80">
        <f>(IF(O317="Stofire",(S317*#REF!),0))+(IF(O317="Fire Control",(S317*$U$2),0))+(IF(O317="Fire Tex",(S317*$U$3),0))+(IF(O317="WB7",(S317*#REF!),0)+(IF(O317="FX 2003",(S317*$U$5),0)))</f>
        <v>0</v>
      </c>
      <c r="V317" s="651">
        <f t="shared" si="41"/>
        <v>0</v>
      </c>
      <c r="W317" s="4"/>
    </row>
    <row r="318" spans="1:23" x14ac:dyDescent="0.25">
      <c r="A318" s="652" t="s">
        <v>439</v>
      </c>
      <c r="B318" s="653" t="s">
        <v>430</v>
      </c>
      <c r="C318" s="1" t="s">
        <v>435</v>
      </c>
      <c r="D318" s="118">
        <f>+CUBICACION!D317</f>
        <v>0</v>
      </c>
      <c r="E318" s="118">
        <f>+CUBICACION!F317</f>
        <v>0</v>
      </c>
      <c r="F318" s="118">
        <f>+CUBICACION!E317</f>
        <v>0</v>
      </c>
      <c r="G318" s="118">
        <v>12</v>
      </c>
      <c r="H318" s="118">
        <v>2</v>
      </c>
      <c r="I318" s="820">
        <v>26385</v>
      </c>
      <c r="J318" s="118">
        <f>+CUBICACION!J317</f>
        <v>0</v>
      </c>
      <c r="K318" s="118">
        <v>3097</v>
      </c>
      <c r="L318" s="118">
        <f>+CUBICACION!L317</f>
        <v>0</v>
      </c>
      <c r="M318" s="64">
        <f>+CUBICACION!M317</f>
        <v>0</v>
      </c>
      <c r="N318" s="824" t="str">
        <f>+CUBICACION!N317</f>
        <v/>
      </c>
      <c r="O318" s="675">
        <f>+CUBICACION!O317</f>
        <v>0</v>
      </c>
      <c r="P318" s="15">
        <f>IF(O318="Fire Control",VLOOKUP(_xlfn.MINIFS('FIRE CONTROL'!$C$4:$C$37,'FIRE CONTROL'!$C$4:$C$37,"&gt;="&amp;M318),'FIRE CONTROL'!$C$4:$G$37,IF(L318="F-15",2,IF(L318="F-30",3,IF(L318="F-60",4,IF(L318="F-90",5,0)))),0),0)+IF(AND(O318="FIRE TEX 5062",OR(E318="IN",E318="C",E318="Z",E318="L"),J318=3),VLOOKUP(_xlfn.MINIFS('FIRE TEX 5062'!$B$4:$B$34,'FIRE TEX 5062'!$B$4:$B$34,"&gt;="&amp;M318),'FIRE TEX 5062'!$B$4:$F$34,IF(L318="F-15",2,IF(L318="F-30",3,IF(L318="F-60",4,IF(L318="F-90",5,0)))),0),0)+IF(AND(O318="FIRE TEX 5062",OR(E318="IN",E318="C",E318="Z",E318="L"),J318=4),VLOOKUP(_xlfn.MINIFS('FIRE TEX 5062'!$G$4:$G$34,'FIRE TEX 5062'!$G$4:$G$34,"&gt;="&amp;M318),'FIRE TEX 5062'!$G$4:$K$34,IF(L318="F-15",2,IF(L318="F-30",3,IF(L318="F-60",4,IF(L318="F-90",5,0)))),0),0)+IF(AND(O318="FIRE TEX 5062",E318="CJ",J318=3),VLOOKUP(_xlfn.MINIFS('FIRE TEX 5062'!$L$4:$L$34,'FIRE TEX 5062'!$L$4:$L$34,"&gt;="&amp;M318),'FIRE TEX 5062'!$L$4:$P$34,IF(L318="F-15",2,IF(L318="F-30",3,IF(L318="F-60",4,IF(L318="F-90",5,0)))),0),0)+IF(AND(O318="FIRE TEX 5062",E318="CJ",J318=4),VLOOKUP(_xlfn.MINIFS('FIRE TEX 5062'!$Q$3:$Q$34,'FIRE TEX 5062'!$Q$3:$Q$34,"&gt;="&amp;M318),'FIRE TEX 5062'!$Q$3:$U$34,IF(L318="F-15",2,IF(L318="F-30",3,IF(L318="F-60",4,IF(L318="F-90",5,0)))),0),0)+IF(AND(O318="FIRE TEX 5090",OR(E318="IN",E318="C",E318="Z",E318="L"),J318=3),VLOOKUP(_xlfn.MINIFS('FIRE TEX 5090'!$B$5:$B$43,'FIRE TEX 5090'!$B$5:$B$43,"&gt;="&amp;M318),'FIRE TEX 5090'!$B$5:$H$43,IF(L318="F-15",2,IF(L318="F-30",3,IF(L318="F-60",4,IF(L318="F-90",5,IF(L318="F-120",6,IF(L318="F-150",7,0)))))),0),0)+IF(AND(O318="FIRE TEX 5090",OR(E318="IN",E318="C",E318="Z",E318="L"),J318=4),VLOOKUP(_xlfn.MINIFS('FIRE TEX 5090'!$J$5:$J$43,'FIRE TEX 5090'!$J$5:$J$43,"&gt;="&amp;M318),'FIRE TEX 5090'!$J$5:$P$43,IF(L318="F-15",2,IF(L318="F-30",3,IF(L318="F-60",4,IF(L318="F-90",5,IF(L318="F-120",6,IF(L318="F-150",7,0)))))),0),0)+IF(AND(O318="FIRE TEX 5090",E318="CJ",J318=3),VLOOKUP(_xlfn.MINIFS('FIRE TEX 5090'!$R$5:$R$30,'FIRE TEX 5090'!$R$5:$R$30,"&gt;="&amp;M318),'FIRE TEX 5090'!$R$5:$W$30,IF(L318="F-15",2,IF(L318="F-30",3,IF(L318="F-60",4,IF(L318="F-90",5,IF(L318="F-120",6,IF(L318="F-150",7,0)))))),0),0)+IF(AND(O318="FIRE TEX 5090",E318="CJ",J318=4),VLOOKUP(_xlfn.MINIFS('FIRE TEX 5090'!$Y$5:$Y$39,'FIRE TEX 5090'!$Y$5:$Y$39,"&gt;="&amp;M318),'FIRE TEX 5090'!$Y$5:$AD$39,IF(L318="F-15",2,IF(L318="F-30",3,IF(L318="F-60",4,IF(L318="F-90",5,IF(L318="F-120",6,IF(L318="F-150",7,0)))))),0),0)+IF(AND(O318="FIRE TEX 5120",OR(E318="IN",E318="C",E318="Z",E318="L"),J318=3),VLOOKUP(_xlfn.MINIFS('FIRE TEX 5120'!$B$5:$B$40,'FIRE TEX 5120'!$B$5:$B$40,"&gt;="&amp;M318),'FIRE TEX 5120'!$B$5:$G$40,IF(L318="F-15",2,IF(L318="F-30",3,IF(L318="F-60",4,IF(L318="F-90",5,IF(L318="F-120",6,0))))),0),0)+IF(AND(O318="FIRE TEX 5120",OR(E318="IN",E318="C",E318="Z",E318="L"),J318=4),VLOOKUP(_xlfn.MINIFS('FIRE TEX 5120'!$H$4:$H$40,'FIRE TEX 5120'!$H$4:$H$40,"&gt;="&amp;M318),'FIRE TEX 5120'!$H$4:$M$40,IF(L318="F-15",2,IF(L318="F-30",3,IF(L318="F-60",4,IF(L318="F-90",5,IF(L318="F-120",6,0))))),0),0)+IF(AND(O318="FIRE TEX 5120",E318="CJ"),VLOOKUP(_xlfn.MINIFS('FIRE TEX 5120'!$O$5:$O$40,'FIRE TEX 5120'!$O$5:$O$40,"&gt;="&amp;M318),'FIRE TEX 5120'!$O$5:$T$40,IF(L318="F-15",2,IF(L318="F-30",3,IF(L318="F-60",4,IF(L318="F-90",5,IF(L318="F-120",6,0))))),0),0)</f>
        <v>0</v>
      </c>
      <c r="Q318" s="46">
        <f t="shared" si="34"/>
        <v>0</v>
      </c>
      <c r="R318" s="46">
        <f t="shared" si="36"/>
        <v>0</v>
      </c>
      <c r="S318" s="46" t="e">
        <f t="shared" si="35"/>
        <v>#VALUE!</v>
      </c>
      <c r="T318" s="677">
        <f t="shared" si="37"/>
        <v>0</v>
      </c>
      <c r="U318" s="80">
        <f>(IF(O318="Stofire",(S318*#REF!),0))+(IF(O318="Fire Control",(S318*$U$2),0))+(IF(O318="Fire Tex",(S318*$U$3),0))+(IF(O318="WB7",(S318*#REF!),0)+(IF(O318="FX 2003",(S318*$U$5),0)))</f>
        <v>0</v>
      </c>
      <c r="V318" s="651">
        <f t="shared" si="41"/>
        <v>0</v>
      </c>
      <c r="W318" s="4"/>
    </row>
    <row r="319" spans="1:23" x14ac:dyDescent="0.25">
      <c r="A319" s="652" t="s">
        <v>442</v>
      </c>
      <c r="B319" s="653" t="s">
        <v>443</v>
      </c>
      <c r="C319" s="1" t="s">
        <v>444</v>
      </c>
      <c r="D319" s="118">
        <f>+CUBICACION!D318</f>
        <v>0</v>
      </c>
      <c r="E319" s="118">
        <f>+CUBICACION!F318</f>
        <v>0</v>
      </c>
      <c r="F319" s="118">
        <f>+CUBICACION!E318</f>
        <v>0</v>
      </c>
      <c r="G319" s="118">
        <v>12</v>
      </c>
      <c r="H319" s="118">
        <v>2</v>
      </c>
      <c r="I319" s="820">
        <v>26385</v>
      </c>
      <c r="J319" s="118">
        <f>+CUBICACION!J318</f>
        <v>0</v>
      </c>
      <c r="K319" s="118">
        <v>3098</v>
      </c>
      <c r="L319" s="118">
        <f>+CUBICACION!L318</f>
        <v>0</v>
      </c>
      <c r="M319" s="64">
        <f>+CUBICACION!M318</f>
        <v>0</v>
      </c>
      <c r="N319" s="824" t="str">
        <f>+CUBICACION!N318</f>
        <v/>
      </c>
      <c r="O319" s="675">
        <f>+CUBICACION!O318</f>
        <v>0</v>
      </c>
      <c r="P319" s="15">
        <f>IF(O319="Fire Control",VLOOKUP(_xlfn.MINIFS('FIRE CONTROL'!$C$4:$C$37,'FIRE CONTROL'!$C$4:$C$37,"&gt;="&amp;M319),'FIRE CONTROL'!$C$4:$G$37,IF(L319="F-15",2,IF(L319="F-30",3,IF(L319="F-60",4,IF(L319="F-90",5,0)))),0),0)+IF(AND(O319="FIRE TEX 5062",OR(E319="IN",E319="C",E319="Z",E319="L"),J319=3),VLOOKUP(_xlfn.MINIFS('FIRE TEX 5062'!$B$4:$B$34,'FIRE TEX 5062'!$B$4:$B$34,"&gt;="&amp;M319),'FIRE TEX 5062'!$B$4:$F$34,IF(L319="F-15",2,IF(L319="F-30",3,IF(L319="F-60",4,IF(L319="F-90",5,0)))),0),0)+IF(AND(O319="FIRE TEX 5062",OR(E319="IN",E319="C",E319="Z",E319="L"),J319=4),VLOOKUP(_xlfn.MINIFS('FIRE TEX 5062'!$G$4:$G$34,'FIRE TEX 5062'!$G$4:$G$34,"&gt;="&amp;M319),'FIRE TEX 5062'!$G$4:$K$34,IF(L319="F-15",2,IF(L319="F-30",3,IF(L319="F-60",4,IF(L319="F-90",5,0)))),0),0)+IF(AND(O319="FIRE TEX 5062",E319="CJ",J319=3),VLOOKUP(_xlfn.MINIFS('FIRE TEX 5062'!$L$4:$L$34,'FIRE TEX 5062'!$L$4:$L$34,"&gt;="&amp;M319),'FIRE TEX 5062'!$L$4:$P$34,IF(L319="F-15",2,IF(L319="F-30",3,IF(L319="F-60",4,IF(L319="F-90",5,0)))),0),0)+IF(AND(O319="FIRE TEX 5062",E319="CJ",J319=4),VLOOKUP(_xlfn.MINIFS('FIRE TEX 5062'!$Q$3:$Q$34,'FIRE TEX 5062'!$Q$3:$Q$34,"&gt;="&amp;M319),'FIRE TEX 5062'!$Q$3:$U$34,IF(L319="F-15",2,IF(L319="F-30",3,IF(L319="F-60",4,IF(L319="F-90",5,0)))),0),0)+IF(AND(O319="FIRE TEX 5090",OR(E319="IN",E319="C",E319="Z",E319="L"),J319=3),VLOOKUP(_xlfn.MINIFS('FIRE TEX 5090'!$B$5:$B$43,'FIRE TEX 5090'!$B$5:$B$43,"&gt;="&amp;M319),'FIRE TEX 5090'!$B$5:$H$43,IF(L319="F-15",2,IF(L319="F-30",3,IF(L319="F-60",4,IF(L319="F-90",5,IF(L319="F-120",6,IF(L319="F-150",7,0)))))),0),0)+IF(AND(O319="FIRE TEX 5090",OR(E319="IN",E319="C",E319="Z",E319="L"),J319=4),VLOOKUP(_xlfn.MINIFS('FIRE TEX 5090'!$J$5:$J$43,'FIRE TEX 5090'!$J$5:$J$43,"&gt;="&amp;M319),'FIRE TEX 5090'!$J$5:$P$43,IF(L319="F-15",2,IF(L319="F-30",3,IF(L319="F-60",4,IF(L319="F-90",5,IF(L319="F-120",6,IF(L319="F-150",7,0)))))),0),0)+IF(AND(O319="FIRE TEX 5090",E319="CJ",J319=3),VLOOKUP(_xlfn.MINIFS('FIRE TEX 5090'!$R$5:$R$30,'FIRE TEX 5090'!$R$5:$R$30,"&gt;="&amp;M319),'FIRE TEX 5090'!$R$5:$W$30,IF(L319="F-15",2,IF(L319="F-30",3,IF(L319="F-60",4,IF(L319="F-90",5,IF(L319="F-120",6,IF(L319="F-150",7,0)))))),0),0)+IF(AND(O319="FIRE TEX 5090",E319="CJ",J319=4),VLOOKUP(_xlfn.MINIFS('FIRE TEX 5090'!$Y$5:$Y$39,'FIRE TEX 5090'!$Y$5:$Y$39,"&gt;="&amp;M319),'FIRE TEX 5090'!$Y$5:$AD$39,IF(L319="F-15",2,IF(L319="F-30",3,IF(L319="F-60",4,IF(L319="F-90",5,IF(L319="F-120",6,IF(L319="F-150",7,0)))))),0),0)+IF(AND(O319="FIRE TEX 5120",OR(E319="IN",E319="C",E319="Z",E319="L"),J319=3),VLOOKUP(_xlfn.MINIFS('FIRE TEX 5120'!$B$5:$B$40,'FIRE TEX 5120'!$B$5:$B$40,"&gt;="&amp;M319),'FIRE TEX 5120'!$B$5:$G$40,IF(L319="F-15",2,IF(L319="F-30",3,IF(L319="F-60",4,IF(L319="F-90",5,IF(L319="F-120",6,0))))),0),0)+IF(AND(O319="FIRE TEX 5120",OR(E319="IN",E319="C",E319="Z",E319="L"),J319=4),VLOOKUP(_xlfn.MINIFS('FIRE TEX 5120'!$H$4:$H$40,'FIRE TEX 5120'!$H$4:$H$40,"&gt;="&amp;M319),'FIRE TEX 5120'!$H$4:$M$40,IF(L319="F-15",2,IF(L319="F-30",3,IF(L319="F-60",4,IF(L319="F-90",5,IF(L319="F-120",6,0))))),0),0)+IF(AND(O319="FIRE TEX 5120",E319="CJ"),VLOOKUP(_xlfn.MINIFS('FIRE TEX 5120'!$O$5:$O$40,'FIRE TEX 5120'!$O$5:$O$40,"&gt;="&amp;M319),'FIRE TEX 5120'!$O$5:$T$40,IF(L319="F-15",2,IF(L319="F-30",3,IF(L319="F-60",4,IF(L319="F-90",5,IF(L319="F-120",6,0))))),0),0)</f>
        <v>0</v>
      </c>
      <c r="Q319" s="46">
        <f t="shared" si="34"/>
        <v>0</v>
      </c>
      <c r="R319" s="46">
        <f t="shared" si="36"/>
        <v>0</v>
      </c>
      <c r="S319" s="46" t="e">
        <f t="shared" si="35"/>
        <v>#VALUE!</v>
      </c>
      <c r="T319" s="677">
        <f t="shared" si="37"/>
        <v>0</v>
      </c>
      <c r="U319" s="80">
        <f>(IF(O319="Stofire",(S319*#REF!),0))+(IF(O319="Fire Control",(S319*$U$2),0))+(IF(O319="Fire Tex",(S319*$U$3),0))+(IF(O319="WB7",(S319*#REF!),0)+(IF(O319="FX 2003",(S319*$U$5),0)))</f>
        <v>0</v>
      </c>
      <c r="V319" s="651">
        <f t="shared" si="41"/>
        <v>0</v>
      </c>
      <c r="W319" s="4"/>
    </row>
    <row r="320" spans="1:23" x14ac:dyDescent="0.25">
      <c r="A320" s="652" t="s">
        <v>442</v>
      </c>
      <c r="B320" s="653" t="s">
        <v>443</v>
      </c>
      <c r="C320" s="1" t="s">
        <v>446</v>
      </c>
      <c r="D320" s="118">
        <f>+CUBICACION!D319</f>
        <v>0</v>
      </c>
      <c r="E320" s="118">
        <f>+CUBICACION!F319</f>
        <v>0</v>
      </c>
      <c r="F320" s="118">
        <f>+CUBICACION!E319</f>
        <v>0</v>
      </c>
      <c r="G320" s="118">
        <v>12</v>
      </c>
      <c r="H320" s="118">
        <v>2</v>
      </c>
      <c r="I320" s="820">
        <v>26385</v>
      </c>
      <c r="J320" s="118">
        <f>+CUBICACION!J319</f>
        <v>0</v>
      </c>
      <c r="K320" s="118">
        <v>3099</v>
      </c>
      <c r="L320" s="118">
        <f>+CUBICACION!L319</f>
        <v>0</v>
      </c>
      <c r="M320" s="64">
        <f>+CUBICACION!M319</f>
        <v>0</v>
      </c>
      <c r="N320" s="824" t="str">
        <f>+CUBICACION!N319</f>
        <v/>
      </c>
      <c r="O320" s="675">
        <f>+CUBICACION!O319</f>
        <v>0</v>
      </c>
      <c r="P320" s="15">
        <f>IF(O320="Fire Control",VLOOKUP(_xlfn.MINIFS('FIRE CONTROL'!$C$4:$C$37,'FIRE CONTROL'!$C$4:$C$37,"&gt;="&amp;M320),'FIRE CONTROL'!$C$4:$G$37,IF(L320="F-15",2,IF(L320="F-30",3,IF(L320="F-60",4,IF(L320="F-90",5,0)))),0),0)+IF(AND(O320="FIRE TEX 5062",OR(E320="IN",E320="C",E320="Z",E320="L"),J320=3),VLOOKUP(_xlfn.MINIFS('FIRE TEX 5062'!$B$4:$B$34,'FIRE TEX 5062'!$B$4:$B$34,"&gt;="&amp;M320),'FIRE TEX 5062'!$B$4:$F$34,IF(L320="F-15",2,IF(L320="F-30",3,IF(L320="F-60",4,IF(L320="F-90",5,0)))),0),0)+IF(AND(O320="FIRE TEX 5062",OR(E320="IN",E320="C",E320="Z",E320="L"),J320=4),VLOOKUP(_xlfn.MINIFS('FIRE TEX 5062'!$G$4:$G$34,'FIRE TEX 5062'!$G$4:$G$34,"&gt;="&amp;M320),'FIRE TEX 5062'!$G$4:$K$34,IF(L320="F-15",2,IF(L320="F-30",3,IF(L320="F-60",4,IF(L320="F-90",5,0)))),0),0)+IF(AND(O320="FIRE TEX 5062",E320="CJ",J320=3),VLOOKUP(_xlfn.MINIFS('FIRE TEX 5062'!$L$4:$L$34,'FIRE TEX 5062'!$L$4:$L$34,"&gt;="&amp;M320),'FIRE TEX 5062'!$L$4:$P$34,IF(L320="F-15",2,IF(L320="F-30",3,IF(L320="F-60",4,IF(L320="F-90",5,0)))),0),0)+IF(AND(O320="FIRE TEX 5062",E320="CJ",J320=4),VLOOKUP(_xlfn.MINIFS('FIRE TEX 5062'!$Q$3:$Q$34,'FIRE TEX 5062'!$Q$3:$Q$34,"&gt;="&amp;M320),'FIRE TEX 5062'!$Q$3:$U$34,IF(L320="F-15",2,IF(L320="F-30",3,IF(L320="F-60",4,IF(L320="F-90",5,0)))),0),0)+IF(AND(O320="FIRE TEX 5090",OR(E320="IN",E320="C",E320="Z",E320="L"),J320=3),VLOOKUP(_xlfn.MINIFS('FIRE TEX 5090'!$B$5:$B$43,'FIRE TEX 5090'!$B$5:$B$43,"&gt;="&amp;M320),'FIRE TEX 5090'!$B$5:$H$43,IF(L320="F-15",2,IF(L320="F-30",3,IF(L320="F-60",4,IF(L320="F-90",5,IF(L320="F-120",6,IF(L320="F-150",7,0)))))),0),0)+IF(AND(O320="FIRE TEX 5090",OR(E320="IN",E320="C",E320="Z",E320="L"),J320=4),VLOOKUP(_xlfn.MINIFS('FIRE TEX 5090'!$J$5:$J$43,'FIRE TEX 5090'!$J$5:$J$43,"&gt;="&amp;M320),'FIRE TEX 5090'!$J$5:$P$43,IF(L320="F-15",2,IF(L320="F-30",3,IF(L320="F-60",4,IF(L320="F-90",5,IF(L320="F-120",6,IF(L320="F-150",7,0)))))),0),0)+IF(AND(O320="FIRE TEX 5090",E320="CJ",J320=3),VLOOKUP(_xlfn.MINIFS('FIRE TEX 5090'!$R$5:$R$30,'FIRE TEX 5090'!$R$5:$R$30,"&gt;="&amp;M320),'FIRE TEX 5090'!$R$5:$W$30,IF(L320="F-15",2,IF(L320="F-30",3,IF(L320="F-60",4,IF(L320="F-90",5,IF(L320="F-120",6,IF(L320="F-150",7,0)))))),0),0)+IF(AND(O320="FIRE TEX 5090",E320="CJ",J320=4),VLOOKUP(_xlfn.MINIFS('FIRE TEX 5090'!$Y$5:$Y$39,'FIRE TEX 5090'!$Y$5:$Y$39,"&gt;="&amp;M320),'FIRE TEX 5090'!$Y$5:$AD$39,IF(L320="F-15",2,IF(L320="F-30",3,IF(L320="F-60",4,IF(L320="F-90",5,IF(L320="F-120",6,IF(L320="F-150",7,0)))))),0),0)+IF(AND(O320="FIRE TEX 5120",OR(E320="IN",E320="C",E320="Z",E320="L"),J320=3),VLOOKUP(_xlfn.MINIFS('FIRE TEX 5120'!$B$5:$B$40,'FIRE TEX 5120'!$B$5:$B$40,"&gt;="&amp;M320),'FIRE TEX 5120'!$B$5:$G$40,IF(L320="F-15",2,IF(L320="F-30",3,IF(L320="F-60",4,IF(L320="F-90",5,IF(L320="F-120",6,0))))),0),0)+IF(AND(O320="FIRE TEX 5120",OR(E320="IN",E320="C",E320="Z",E320="L"),J320=4),VLOOKUP(_xlfn.MINIFS('FIRE TEX 5120'!$H$4:$H$40,'FIRE TEX 5120'!$H$4:$H$40,"&gt;="&amp;M320),'FIRE TEX 5120'!$H$4:$M$40,IF(L320="F-15",2,IF(L320="F-30",3,IF(L320="F-60",4,IF(L320="F-90",5,IF(L320="F-120",6,0))))),0),0)+IF(AND(O320="FIRE TEX 5120",E320="CJ"),VLOOKUP(_xlfn.MINIFS('FIRE TEX 5120'!$O$5:$O$40,'FIRE TEX 5120'!$O$5:$O$40,"&gt;="&amp;M320),'FIRE TEX 5120'!$O$5:$T$40,IF(L320="F-15",2,IF(L320="F-30",3,IF(L320="F-60",4,IF(L320="F-90",5,IF(L320="F-120",6,0))))),0),0)</f>
        <v>0</v>
      </c>
      <c r="Q320" s="46">
        <f t="shared" si="34"/>
        <v>0</v>
      </c>
      <c r="R320" s="46">
        <f t="shared" si="36"/>
        <v>0</v>
      </c>
      <c r="S320" s="46" t="e">
        <f t="shared" si="35"/>
        <v>#VALUE!</v>
      </c>
      <c r="T320" s="677">
        <f t="shared" si="37"/>
        <v>0</v>
      </c>
      <c r="U320" s="80">
        <f>(IF(O320="Stofire",(S320*#REF!),0))+(IF(O320="Fire Control",(S320*$U$2),0))+(IF(O320="Fire Tex",(S320*$U$3),0))+(IF(O320="WB7",(S320*#REF!),0)+(IF(O320="FX 2003",(S320*$U$5),0)))</f>
        <v>0</v>
      </c>
      <c r="V320" s="651">
        <f>_xlfn.CEILING.MATH(M320,10)</f>
        <v>0</v>
      </c>
      <c r="W320" s="4"/>
    </row>
    <row r="321" spans="1:23" x14ac:dyDescent="0.25">
      <c r="A321" s="652" t="s">
        <v>448</v>
      </c>
      <c r="B321" s="653" t="s">
        <v>443</v>
      </c>
      <c r="C321" s="1" t="s">
        <v>444</v>
      </c>
      <c r="D321" s="118">
        <f>+CUBICACION!D320</f>
        <v>0</v>
      </c>
      <c r="E321" s="118">
        <f>+CUBICACION!F320</f>
        <v>0</v>
      </c>
      <c r="F321" s="118">
        <f>+CUBICACION!E320</f>
        <v>0</v>
      </c>
      <c r="G321" s="118">
        <v>12</v>
      </c>
      <c r="H321" s="118">
        <v>2</v>
      </c>
      <c r="I321" s="820">
        <v>26385</v>
      </c>
      <c r="J321" s="118">
        <f>+CUBICACION!J320</f>
        <v>0</v>
      </c>
      <c r="K321" s="118">
        <v>3100</v>
      </c>
      <c r="L321" s="118">
        <f>+CUBICACION!L320</f>
        <v>0</v>
      </c>
      <c r="M321" s="64">
        <f>+CUBICACION!M320</f>
        <v>0</v>
      </c>
      <c r="N321" s="824" t="str">
        <f>+CUBICACION!N320</f>
        <v/>
      </c>
      <c r="O321" s="675">
        <f>+CUBICACION!O320</f>
        <v>0</v>
      </c>
      <c r="P321" s="15">
        <f>IF(O321="Fire Control",VLOOKUP(_xlfn.MINIFS('FIRE CONTROL'!$C$4:$C$37,'FIRE CONTROL'!$C$4:$C$37,"&gt;="&amp;M321),'FIRE CONTROL'!$C$4:$G$37,IF(L321="F-15",2,IF(L321="F-30",3,IF(L321="F-60",4,IF(L321="F-90",5,0)))),0),0)+IF(AND(O321="FIRE TEX 5062",OR(E321="IN",E321="C",E321="Z",E321="L"),J321=3),VLOOKUP(_xlfn.MINIFS('FIRE TEX 5062'!$B$4:$B$34,'FIRE TEX 5062'!$B$4:$B$34,"&gt;="&amp;M321),'FIRE TEX 5062'!$B$4:$F$34,IF(L321="F-15",2,IF(L321="F-30",3,IF(L321="F-60",4,IF(L321="F-90",5,0)))),0),0)+IF(AND(O321="FIRE TEX 5062",OR(E321="IN",E321="C",E321="Z",E321="L"),J321=4),VLOOKUP(_xlfn.MINIFS('FIRE TEX 5062'!$G$4:$G$34,'FIRE TEX 5062'!$G$4:$G$34,"&gt;="&amp;M321),'FIRE TEX 5062'!$G$4:$K$34,IF(L321="F-15",2,IF(L321="F-30",3,IF(L321="F-60",4,IF(L321="F-90",5,0)))),0),0)+IF(AND(O321="FIRE TEX 5062",E321="CJ",J321=3),VLOOKUP(_xlfn.MINIFS('FIRE TEX 5062'!$L$4:$L$34,'FIRE TEX 5062'!$L$4:$L$34,"&gt;="&amp;M321),'FIRE TEX 5062'!$L$4:$P$34,IF(L321="F-15",2,IF(L321="F-30",3,IF(L321="F-60",4,IF(L321="F-90",5,0)))),0),0)+IF(AND(O321="FIRE TEX 5062",E321="CJ",J321=4),VLOOKUP(_xlfn.MINIFS('FIRE TEX 5062'!$Q$3:$Q$34,'FIRE TEX 5062'!$Q$3:$Q$34,"&gt;="&amp;M321),'FIRE TEX 5062'!$Q$3:$U$34,IF(L321="F-15",2,IF(L321="F-30",3,IF(L321="F-60",4,IF(L321="F-90",5,0)))),0),0)+IF(AND(O321="FIRE TEX 5090",OR(E321="IN",E321="C",E321="Z",E321="L"),J321=3),VLOOKUP(_xlfn.MINIFS('FIRE TEX 5090'!$B$5:$B$43,'FIRE TEX 5090'!$B$5:$B$43,"&gt;="&amp;M321),'FIRE TEX 5090'!$B$5:$H$43,IF(L321="F-15",2,IF(L321="F-30",3,IF(L321="F-60",4,IF(L321="F-90",5,IF(L321="F-120",6,IF(L321="F-150",7,0)))))),0),0)+IF(AND(O321="FIRE TEX 5090",OR(E321="IN",E321="C",E321="Z",E321="L"),J321=4),VLOOKUP(_xlfn.MINIFS('FIRE TEX 5090'!$J$5:$J$43,'FIRE TEX 5090'!$J$5:$J$43,"&gt;="&amp;M321),'FIRE TEX 5090'!$J$5:$P$43,IF(L321="F-15",2,IF(L321="F-30",3,IF(L321="F-60",4,IF(L321="F-90",5,IF(L321="F-120",6,IF(L321="F-150",7,0)))))),0),0)+IF(AND(O321="FIRE TEX 5090",E321="CJ",J321=3),VLOOKUP(_xlfn.MINIFS('FIRE TEX 5090'!$R$5:$R$30,'FIRE TEX 5090'!$R$5:$R$30,"&gt;="&amp;M321),'FIRE TEX 5090'!$R$5:$W$30,IF(L321="F-15",2,IF(L321="F-30",3,IF(L321="F-60",4,IF(L321="F-90",5,IF(L321="F-120",6,IF(L321="F-150",7,0)))))),0),0)+IF(AND(O321="FIRE TEX 5090",E321="CJ",J321=4),VLOOKUP(_xlfn.MINIFS('FIRE TEX 5090'!$Y$5:$Y$39,'FIRE TEX 5090'!$Y$5:$Y$39,"&gt;="&amp;M321),'FIRE TEX 5090'!$Y$5:$AD$39,IF(L321="F-15",2,IF(L321="F-30",3,IF(L321="F-60",4,IF(L321="F-90",5,IF(L321="F-120",6,IF(L321="F-150",7,0)))))),0),0)+IF(AND(O321="FIRE TEX 5120",OR(E321="IN",E321="C",E321="Z",E321="L"),J321=3),VLOOKUP(_xlfn.MINIFS('FIRE TEX 5120'!$B$5:$B$40,'FIRE TEX 5120'!$B$5:$B$40,"&gt;="&amp;M321),'FIRE TEX 5120'!$B$5:$G$40,IF(L321="F-15",2,IF(L321="F-30",3,IF(L321="F-60",4,IF(L321="F-90",5,IF(L321="F-120",6,0))))),0),0)+IF(AND(O321="FIRE TEX 5120",OR(E321="IN",E321="C",E321="Z",E321="L"),J321=4),VLOOKUP(_xlfn.MINIFS('FIRE TEX 5120'!$H$4:$H$40,'FIRE TEX 5120'!$H$4:$H$40,"&gt;="&amp;M321),'FIRE TEX 5120'!$H$4:$M$40,IF(L321="F-15",2,IF(L321="F-30",3,IF(L321="F-60",4,IF(L321="F-90",5,IF(L321="F-120",6,0))))),0),0)+IF(AND(O321="FIRE TEX 5120",E321="CJ"),VLOOKUP(_xlfn.MINIFS('FIRE TEX 5120'!$O$5:$O$40,'FIRE TEX 5120'!$O$5:$O$40,"&gt;="&amp;M321),'FIRE TEX 5120'!$O$5:$T$40,IF(L321="F-15",2,IF(L321="F-30",3,IF(L321="F-60",4,IF(L321="F-90",5,IF(L321="F-120",6,0))))),0),0)</f>
        <v>0</v>
      </c>
      <c r="Q321" s="46">
        <f t="shared" si="34"/>
        <v>0</v>
      </c>
      <c r="R321" s="46">
        <f t="shared" si="36"/>
        <v>0</v>
      </c>
      <c r="S321" s="46" t="e">
        <f t="shared" si="35"/>
        <v>#VALUE!</v>
      </c>
      <c r="T321" s="677">
        <f t="shared" si="37"/>
        <v>0</v>
      </c>
      <c r="U321" s="80">
        <f>(IF(O321="Stofire",(S321*#REF!),0))+(IF(O321="Fire Control",(S321*$U$2),0))+(IF(O321="Fire Tex",(S321*$U$3),0))+(IF(O321="WB7",(S321*#REF!),0)+(IF(O321="FX 2003",(S321*$U$5),0)))</f>
        <v>0</v>
      </c>
      <c r="V321" s="651">
        <f>_xlfn.CEILING.MATH(M321,10)</f>
        <v>0</v>
      </c>
      <c r="W321" s="4"/>
    </row>
    <row r="322" spans="1:23" x14ac:dyDescent="0.25">
      <c r="A322" s="652" t="s">
        <v>448</v>
      </c>
      <c r="B322" s="653" t="s">
        <v>443</v>
      </c>
      <c r="C322" s="1" t="s">
        <v>446</v>
      </c>
      <c r="D322" s="118">
        <f>+CUBICACION!D321</f>
        <v>0</v>
      </c>
      <c r="E322" s="118">
        <f>+CUBICACION!F321</f>
        <v>0</v>
      </c>
      <c r="F322" s="118">
        <f>+CUBICACION!E321</f>
        <v>0</v>
      </c>
      <c r="G322" s="118">
        <v>12</v>
      </c>
      <c r="H322" s="118">
        <v>2</v>
      </c>
      <c r="I322" s="820">
        <v>26385</v>
      </c>
      <c r="J322" s="118">
        <f>+CUBICACION!J321</f>
        <v>0</v>
      </c>
      <c r="K322" s="118">
        <v>3101</v>
      </c>
      <c r="L322" s="118">
        <f>+CUBICACION!L321</f>
        <v>0</v>
      </c>
      <c r="M322" s="64">
        <f>+CUBICACION!M321</f>
        <v>0</v>
      </c>
      <c r="N322" s="824" t="str">
        <f>+CUBICACION!N321</f>
        <v/>
      </c>
      <c r="O322" s="675">
        <f>+CUBICACION!O321</f>
        <v>0</v>
      </c>
      <c r="P322" s="15">
        <f>IF(O322="Fire Control",VLOOKUP(_xlfn.MINIFS('FIRE CONTROL'!$C$4:$C$37,'FIRE CONTROL'!$C$4:$C$37,"&gt;="&amp;M322),'FIRE CONTROL'!$C$4:$G$37,IF(L322="F-15",2,IF(L322="F-30",3,IF(L322="F-60",4,IF(L322="F-90",5,0)))),0),0)+IF(AND(O322="FIRE TEX 5062",OR(E322="IN",E322="C",E322="Z",E322="L"),J322=3),VLOOKUP(_xlfn.MINIFS('FIRE TEX 5062'!$B$4:$B$34,'FIRE TEX 5062'!$B$4:$B$34,"&gt;="&amp;M322),'FIRE TEX 5062'!$B$4:$F$34,IF(L322="F-15",2,IF(L322="F-30",3,IF(L322="F-60",4,IF(L322="F-90",5,0)))),0),0)+IF(AND(O322="FIRE TEX 5062",OR(E322="IN",E322="C",E322="Z",E322="L"),J322=4),VLOOKUP(_xlfn.MINIFS('FIRE TEX 5062'!$G$4:$G$34,'FIRE TEX 5062'!$G$4:$G$34,"&gt;="&amp;M322),'FIRE TEX 5062'!$G$4:$K$34,IF(L322="F-15",2,IF(L322="F-30",3,IF(L322="F-60",4,IF(L322="F-90",5,0)))),0),0)+IF(AND(O322="FIRE TEX 5062",E322="CJ",J322=3),VLOOKUP(_xlfn.MINIFS('FIRE TEX 5062'!$L$4:$L$34,'FIRE TEX 5062'!$L$4:$L$34,"&gt;="&amp;M322),'FIRE TEX 5062'!$L$4:$P$34,IF(L322="F-15",2,IF(L322="F-30",3,IF(L322="F-60",4,IF(L322="F-90",5,0)))),0),0)+IF(AND(O322="FIRE TEX 5062",E322="CJ",J322=4),VLOOKUP(_xlfn.MINIFS('FIRE TEX 5062'!$Q$3:$Q$34,'FIRE TEX 5062'!$Q$3:$Q$34,"&gt;="&amp;M322),'FIRE TEX 5062'!$Q$3:$U$34,IF(L322="F-15",2,IF(L322="F-30",3,IF(L322="F-60",4,IF(L322="F-90",5,0)))),0),0)+IF(AND(O322="FIRE TEX 5090",OR(E322="IN",E322="C",E322="Z",E322="L"),J322=3),VLOOKUP(_xlfn.MINIFS('FIRE TEX 5090'!$B$5:$B$43,'FIRE TEX 5090'!$B$5:$B$43,"&gt;="&amp;M322),'FIRE TEX 5090'!$B$5:$H$43,IF(L322="F-15",2,IF(L322="F-30",3,IF(L322="F-60",4,IF(L322="F-90",5,IF(L322="F-120",6,IF(L322="F-150",7,0)))))),0),0)+IF(AND(O322="FIRE TEX 5090",OR(E322="IN",E322="C",E322="Z",E322="L"),J322=4),VLOOKUP(_xlfn.MINIFS('FIRE TEX 5090'!$J$5:$J$43,'FIRE TEX 5090'!$J$5:$J$43,"&gt;="&amp;M322),'FIRE TEX 5090'!$J$5:$P$43,IF(L322="F-15",2,IF(L322="F-30",3,IF(L322="F-60",4,IF(L322="F-90",5,IF(L322="F-120",6,IF(L322="F-150",7,0)))))),0),0)+IF(AND(O322="FIRE TEX 5090",E322="CJ",J322=3),VLOOKUP(_xlfn.MINIFS('FIRE TEX 5090'!$R$5:$R$30,'FIRE TEX 5090'!$R$5:$R$30,"&gt;="&amp;M322),'FIRE TEX 5090'!$R$5:$W$30,IF(L322="F-15",2,IF(L322="F-30",3,IF(L322="F-60",4,IF(L322="F-90",5,IF(L322="F-120",6,IF(L322="F-150",7,0)))))),0),0)+IF(AND(O322="FIRE TEX 5090",E322="CJ",J322=4),VLOOKUP(_xlfn.MINIFS('FIRE TEX 5090'!$Y$5:$Y$39,'FIRE TEX 5090'!$Y$5:$Y$39,"&gt;="&amp;M322),'FIRE TEX 5090'!$Y$5:$AD$39,IF(L322="F-15",2,IF(L322="F-30",3,IF(L322="F-60",4,IF(L322="F-90",5,IF(L322="F-120",6,IF(L322="F-150",7,0)))))),0),0)+IF(AND(O322="FIRE TEX 5120",OR(E322="IN",E322="C",E322="Z",E322="L"),J322=3),VLOOKUP(_xlfn.MINIFS('FIRE TEX 5120'!$B$5:$B$40,'FIRE TEX 5120'!$B$5:$B$40,"&gt;="&amp;M322),'FIRE TEX 5120'!$B$5:$G$40,IF(L322="F-15",2,IF(L322="F-30",3,IF(L322="F-60",4,IF(L322="F-90",5,IF(L322="F-120",6,0))))),0),0)+IF(AND(O322="FIRE TEX 5120",OR(E322="IN",E322="C",E322="Z",E322="L"),J322=4),VLOOKUP(_xlfn.MINIFS('FIRE TEX 5120'!$H$4:$H$40,'FIRE TEX 5120'!$H$4:$H$40,"&gt;="&amp;M322),'FIRE TEX 5120'!$H$4:$M$40,IF(L322="F-15",2,IF(L322="F-30",3,IF(L322="F-60",4,IF(L322="F-90",5,IF(L322="F-120",6,0))))),0),0)+IF(AND(O322="FIRE TEX 5120",E322="CJ"),VLOOKUP(_xlfn.MINIFS('FIRE TEX 5120'!$O$5:$O$40,'FIRE TEX 5120'!$O$5:$O$40,"&gt;="&amp;M322),'FIRE TEX 5120'!$O$5:$T$40,IF(L322="F-15",2,IF(L322="F-30",3,IF(L322="F-60",4,IF(L322="F-90",5,IF(L322="F-120",6,0))))),0),0)</f>
        <v>0</v>
      </c>
      <c r="Q322" s="46">
        <f t="shared" si="34"/>
        <v>0</v>
      </c>
      <c r="R322" s="46">
        <f t="shared" si="36"/>
        <v>0</v>
      </c>
      <c r="S322" s="46" t="e">
        <f t="shared" si="35"/>
        <v>#VALUE!</v>
      </c>
      <c r="T322" s="677">
        <f t="shared" si="37"/>
        <v>0</v>
      </c>
      <c r="U322" s="80">
        <f>(IF(O322="Stofire",(S322*#REF!),0))+(IF(O322="Fire Control",(S322*$U$2),0))+(IF(O322="Fire Tex",(S322*$U$3),0))+(IF(O322="WB7",(S322*#REF!),0)+(IF(O322="FX 2003",(S322*$U$5),0)))</f>
        <v>0</v>
      </c>
      <c r="V322" s="651">
        <f t="shared" ref="V322:V334" si="42">_xlfn.CEILING.MATH(M322,10)</f>
        <v>0</v>
      </c>
      <c r="W322" s="4"/>
    </row>
    <row r="323" spans="1:23" x14ac:dyDescent="0.25">
      <c r="A323" s="652" t="s">
        <v>448</v>
      </c>
      <c r="B323" s="653" t="s">
        <v>451</v>
      </c>
      <c r="C323" s="1" t="s">
        <v>446</v>
      </c>
      <c r="D323" s="118">
        <f>+CUBICACION!D322</f>
        <v>0</v>
      </c>
      <c r="E323" s="118">
        <f>+CUBICACION!F322</f>
        <v>0</v>
      </c>
      <c r="F323" s="118">
        <f>+CUBICACION!E322</f>
        <v>0</v>
      </c>
      <c r="G323" s="118">
        <v>12</v>
      </c>
      <c r="H323" s="118">
        <v>2</v>
      </c>
      <c r="I323" s="820">
        <v>26385</v>
      </c>
      <c r="J323" s="118">
        <f>+CUBICACION!J322</f>
        <v>0</v>
      </c>
      <c r="K323" s="118">
        <v>3102</v>
      </c>
      <c r="L323" s="118">
        <f>+CUBICACION!L322</f>
        <v>0</v>
      </c>
      <c r="M323" s="64">
        <f>+CUBICACION!M322</f>
        <v>0</v>
      </c>
      <c r="N323" s="824" t="str">
        <f>+CUBICACION!N322</f>
        <v/>
      </c>
      <c r="O323" s="675">
        <f>+CUBICACION!O322</f>
        <v>0</v>
      </c>
      <c r="P323" s="15">
        <f>IF(O323="Fire Control",VLOOKUP(_xlfn.MINIFS('FIRE CONTROL'!$C$4:$C$37,'FIRE CONTROL'!$C$4:$C$37,"&gt;="&amp;M323),'FIRE CONTROL'!$C$4:$G$37,IF(L323="F-15",2,IF(L323="F-30",3,IF(L323="F-60",4,IF(L323="F-90",5,0)))),0),0)+IF(AND(O323="FIRE TEX 5062",OR(E323="IN",E323="C",E323="Z",E323="L"),J323=3),VLOOKUP(_xlfn.MINIFS('FIRE TEX 5062'!$B$4:$B$34,'FIRE TEX 5062'!$B$4:$B$34,"&gt;="&amp;M323),'FIRE TEX 5062'!$B$4:$F$34,IF(L323="F-15",2,IF(L323="F-30",3,IF(L323="F-60",4,IF(L323="F-90",5,0)))),0),0)+IF(AND(O323="FIRE TEX 5062",OR(E323="IN",E323="C",E323="Z",E323="L"),J323=4),VLOOKUP(_xlfn.MINIFS('FIRE TEX 5062'!$G$4:$G$34,'FIRE TEX 5062'!$G$4:$G$34,"&gt;="&amp;M323),'FIRE TEX 5062'!$G$4:$K$34,IF(L323="F-15",2,IF(L323="F-30",3,IF(L323="F-60",4,IF(L323="F-90",5,0)))),0),0)+IF(AND(O323="FIRE TEX 5062",E323="CJ",J323=3),VLOOKUP(_xlfn.MINIFS('FIRE TEX 5062'!$L$4:$L$34,'FIRE TEX 5062'!$L$4:$L$34,"&gt;="&amp;M323),'FIRE TEX 5062'!$L$4:$P$34,IF(L323="F-15",2,IF(L323="F-30",3,IF(L323="F-60",4,IF(L323="F-90",5,0)))),0),0)+IF(AND(O323="FIRE TEX 5062",E323="CJ",J323=4),VLOOKUP(_xlfn.MINIFS('FIRE TEX 5062'!$Q$3:$Q$34,'FIRE TEX 5062'!$Q$3:$Q$34,"&gt;="&amp;M323),'FIRE TEX 5062'!$Q$3:$U$34,IF(L323="F-15",2,IF(L323="F-30",3,IF(L323="F-60",4,IF(L323="F-90",5,0)))),0),0)+IF(AND(O323="FIRE TEX 5090",OR(E323="IN",E323="C",E323="Z",E323="L"),J323=3),VLOOKUP(_xlfn.MINIFS('FIRE TEX 5090'!$B$5:$B$43,'FIRE TEX 5090'!$B$5:$B$43,"&gt;="&amp;M323),'FIRE TEX 5090'!$B$5:$H$43,IF(L323="F-15",2,IF(L323="F-30",3,IF(L323="F-60",4,IF(L323="F-90",5,IF(L323="F-120",6,IF(L323="F-150",7,0)))))),0),0)+IF(AND(O323="FIRE TEX 5090",OR(E323="IN",E323="C",E323="Z",E323="L"),J323=4),VLOOKUP(_xlfn.MINIFS('FIRE TEX 5090'!$J$5:$J$43,'FIRE TEX 5090'!$J$5:$J$43,"&gt;="&amp;M323),'FIRE TEX 5090'!$J$5:$P$43,IF(L323="F-15",2,IF(L323="F-30",3,IF(L323="F-60",4,IF(L323="F-90",5,IF(L323="F-120",6,IF(L323="F-150",7,0)))))),0),0)+IF(AND(O323="FIRE TEX 5090",E323="CJ",J323=3),VLOOKUP(_xlfn.MINIFS('FIRE TEX 5090'!$R$5:$R$30,'FIRE TEX 5090'!$R$5:$R$30,"&gt;="&amp;M323),'FIRE TEX 5090'!$R$5:$W$30,IF(L323="F-15",2,IF(L323="F-30",3,IF(L323="F-60",4,IF(L323="F-90",5,IF(L323="F-120",6,IF(L323="F-150",7,0)))))),0),0)+IF(AND(O323="FIRE TEX 5090",E323="CJ",J323=4),VLOOKUP(_xlfn.MINIFS('FIRE TEX 5090'!$Y$5:$Y$39,'FIRE TEX 5090'!$Y$5:$Y$39,"&gt;="&amp;M323),'FIRE TEX 5090'!$Y$5:$AD$39,IF(L323="F-15",2,IF(L323="F-30",3,IF(L323="F-60",4,IF(L323="F-90",5,IF(L323="F-120",6,IF(L323="F-150",7,0)))))),0),0)+IF(AND(O323="FIRE TEX 5120",OR(E323="IN",E323="C",E323="Z",E323="L"),J323=3),VLOOKUP(_xlfn.MINIFS('FIRE TEX 5120'!$B$5:$B$40,'FIRE TEX 5120'!$B$5:$B$40,"&gt;="&amp;M323),'FIRE TEX 5120'!$B$5:$G$40,IF(L323="F-15",2,IF(L323="F-30",3,IF(L323="F-60",4,IF(L323="F-90",5,IF(L323="F-120",6,0))))),0),0)+IF(AND(O323="FIRE TEX 5120",OR(E323="IN",E323="C",E323="Z",E323="L"),J323=4),VLOOKUP(_xlfn.MINIFS('FIRE TEX 5120'!$H$4:$H$40,'FIRE TEX 5120'!$H$4:$H$40,"&gt;="&amp;M323),'FIRE TEX 5120'!$H$4:$M$40,IF(L323="F-15",2,IF(L323="F-30",3,IF(L323="F-60",4,IF(L323="F-90",5,IF(L323="F-120",6,0))))),0),0)+IF(AND(O323="FIRE TEX 5120",E323="CJ"),VLOOKUP(_xlfn.MINIFS('FIRE TEX 5120'!$O$5:$O$40,'FIRE TEX 5120'!$O$5:$O$40,"&gt;="&amp;M323),'FIRE TEX 5120'!$O$5:$T$40,IF(L323="F-15",2,IF(L323="F-30",3,IF(L323="F-60",4,IF(L323="F-90",5,IF(L323="F-120",6,0))))),0),0)</f>
        <v>0</v>
      </c>
      <c r="Q323" s="46">
        <f t="shared" si="34"/>
        <v>0</v>
      </c>
      <c r="R323" s="46">
        <f t="shared" si="36"/>
        <v>0</v>
      </c>
      <c r="S323" s="46" t="e">
        <f t="shared" si="35"/>
        <v>#VALUE!</v>
      </c>
      <c r="T323" s="677">
        <f t="shared" si="37"/>
        <v>0</v>
      </c>
      <c r="U323" s="80">
        <f>(IF(O323="Stofire",(S323*#REF!),0))+(IF(O323="Fire Control",(S323*$U$2),0))+(IF(O323="Fire Tex",(S323*$U$3),0))+(IF(O323="WB7",(S323*#REF!),0)+(IF(O323="FX 2003",(S323*$U$5),0)))</f>
        <v>0</v>
      </c>
      <c r="V323" s="651">
        <f t="shared" si="42"/>
        <v>0</v>
      </c>
      <c r="W323" s="4"/>
    </row>
    <row r="324" spans="1:23" x14ac:dyDescent="0.25">
      <c r="A324" s="652" t="s">
        <v>452</v>
      </c>
      <c r="B324" s="653" t="s">
        <v>453</v>
      </c>
      <c r="C324" s="1" t="s">
        <v>454</v>
      </c>
      <c r="D324" s="118">
        <f>+CUBICACION!D323</f>
        <v>0</v>
      </c>
      <c r="E324" s="118">
        <f>+CUBICACION!F323</f>
        <v>0</v>
      </c>
      <c r="F324" s="118">
        <f>+CUBICACION!E323</f>
        <v>0</v>
      </c>
      <c r="G324" s="118">
        <v>12</v>
      </c>
      <c r="H324" s="118">
        <v>2</v>
      </c>
      <c r="I324" s="820">
        <v>26385</v>
      </c>
      <c r="J324" s="118">
        <f>+CUBICACION!J323</f>
        <v>0</v>
      </c>
      <c r="K324" s="118">
        <v>3103</v>
      </c>
      <c r="L324" s="118">
        <f>+CUBICACION!L323</f>
        <v>0</v>
      </c>
      <c r="M324" s="64">
        <f>+CUBICACION!M323</f>
        <v>0</v>
      </c>
      <c r="N324" s="824" t="str">
        <f>+CUBICACION!N323</f>
        <v/>
      </c>
      <c r="O324" s="675">
        <f>+CUBICACION!O323</f>
        <v>0</v>
      </c>
      <c r="P324" s="15">
        <f>IF(O324="Fire Control",VLOOKUP(_xlfn.MINIFS('FIRE CONTROL'!$C$4:$C$37,'FIRE CONTROL'!$C$4:$C$37,"&gt;="&amp;M324),'FIRE CONTROL'!$C$4:$G$37,IF(L324="F-15",2,IF(L324="F-30",3,IF(L324="F-60",4,IF(L324="F-90",5,0)))),0),0)+IF(AND(O324="FIRE TEX 5062",OR(E324="IN",E324="C",E324="Z",E324="L"),J324=3),VLOOKUP(_xlfn.MINIFS('FIRE TEX 5062'!$B$4:$B$34,'FIRE TEX 5062'!$B$4:$B$34,"&gt;="&amp;M324),'FIRE TEX 5062'!$B$4:$F$34,IF(L324="F-15",2,IF(L324="F-30",3,IF(L324="F-60",4,IF(L324="F-90",5,0)))),0),0)+IF(AND(O324="FIRE TEX 5062",OR(E324="IN",E324="C",E324="Z",E324="L"),J324=4),VLOOKUP(_xlfn.MINIFS('FIRE TEX 5062'!$G$4:$G$34,'FIRE TEX 5062'!$G$4:$G$34,"&gt;="&amp;M324),'FIRE TEX 5062'!$G$4:$K$34,IF(L324="F-15",2,IF(L324="F-30",3,IF(L324="F-60",4,IF(L324="F-90",5,0)))),0),0)+IF(AND(O324="FIRE TEX 5062",E324="CJ",J324=3),VLOOKUP(_xlfn.MINIFS('FIRE TEX 5062'!$L$4:$L$34,'FIRE TEX 5062'!$L$4:$L$34,"&gt;="&amp;M324),'FIRE TEX 5062'!$L$4:$P$34,IF(L324="F-15",2,IF(L324="F-30",3,IF(L324="F-60",4,IF(L324="F-90",5,0)))),0),0)+IF(AND(O324="FIRE TEX 5062",E324="CJ",J324=4),VLOOKUP(_xlfn.MINIFS('FIRE TEX 5062'!$Q$3:$Q$34,'FIRE TEX 5062'!$Q$3:$Q$34,"&gt;="&amp;M324),'FIRE TEX 5062'!$Q$3:$U$34,IF(L324="F-15",2,IF(L324="F-30",3,IF(L324="F-60",4,IF(L324="F-90",5,0)))),0),0)+IF(AND(O324="FIRE TEX 5090",OR(E324="IN",E324="C",E324="Z",E324="L"),J324=3),VLOOKUP(_xlfn.MINIFS('FIRE TEX 5090'!$B$5:$B$43,'FIRE TEX 5090'!$B$5:$B$43,"&gt;="&amp;M324),'FIRE TEX 5090'!$B$5:$H$43,IF(L324="F-15",2,IF(L324="F-30",3,IF(L324="F-60",4,IF(L324="F-90",5,IF(L324="F-120",6,IF(L324="F-150",7,0)))))),0),0)+IF(AND(O324="FIRE TEX 5090",OR(E324="IN",E324="C",E324="Z",E324="L"),J324=4),VLOOKUP(_xlfn.MINIFS('FIRE TEX 5090'!$J$5:$J$43,'FIRE TEX 5090'!$J$5:$J$43,"&gt;="&amp;M324),'FIRE TEX 5090'!$J$5:$P$43,IF(L324="F-15",2,IF(L324="F-30",3,IF(L324="F-60",4,IF(L324="F-90",5,IF(L324="F-120",6,IF(L324="F-150",7,0)))))),0),0)+IF(AND(O324="FIRE TEX 5090",E324="CJ",J324=3),VLOOKUP(_xlfn.MINIFS('FIRE TEX 5090'!$R$5:$R$30,'FIRE TEX 5090'!$R$5:$R$30,"&gt;="&amp;M324),'FIRE TEX 5090'!$R$5:$W$30,IF(L324="F-15",2,IF(L324="F-30",3,IF(L324="F-60",4,IF(L324="F-90",5,IF(L324="F-120",6,IF(L324="F-150",7,0)))))),0),0)+IF(AND(O324="FIRE TEX 5090",E324="CJ",J324=4),VLOOKUP(_xlfn.MINIFS('FIRE TEX 5090'!$Y$5:$Y$39,'FIRE TEX 5090'!$Y$5:$Y$39,"&gt;="&amp;M324),'FIRE TEX 5090'!$Y$5:$AD$39,IF(L324="F-15",2,IF(L324="F-30",3,IF(L324="F-60",4,IF(L324="F-90",5,IF(L324="F-120",6,IF(L324="F-150",7,0)))))),0),0)+IF(AND(O324="FIRE TEX 5120",OR(E324="IN",E324="C",E324="Z",E324="L"),J324=3),VLOOKUP(_xlfn.MINIFS('FIRE TEX 5120'!$B$5:$B$40,'FIRE TEX 5120'!$B$5:$B$40,"&gt;="&amp;M324),'FIRE TEX 5120'!$B$5:$G$40,IF(L324="F-15",2,IF(L324="F-30",3,IF(L324="F-60",4,IF(L324="F-90",5,IF(L324="F-120",6,0))))),0),0)+IF(AND(O324="FIRE TEX 5120",OR(E324="IN",E324="C",E324="Z",E324="L"),J324=4),VLOOKUP(_xlfn.MINIFS('FIRE TEX 5120'!$H$4:$H$40,'FIRE TEX 5120'!$H$4:$H$40,"&gt;="&amp;M324),'FIRE TEX 5120'!$H$4:$M$40,IF(L324="F-15",2,IF(L324="F-30",3,IF(L324="F-60",4,IF(L324="F-90",5,IF(L324="F-120",6,0))))),0),0)+IF(AND(O324="FIRE TEX 5120",E324="CJ"),VLOOKUP(_xlfn.MINIFS('FIRE TEX 5120'!$O$5:$O$40,'FIRE TEX 5120'!$O$5:$O$40,"&gt;="&amp;M324),'FIRE TEX 5120'!$O$5:$T$40,IF(L324="F-15",2,IF(L324="F-30",3,IF(L324="F-60",4,IF(L324="F-90",5,IF(L324="F-120",6,0))))),0),0)</f>
        <v>0</v>
      </c>
      <c r="Q324" s="46">
        <f t="shared" si="34"/>
        <v>0</v>
      </c>
      <c r="R324" s="46">
        <f t="shared" si="36"/>
        <v>0</v>
      </c>
      <c r="S324" s="46" t="e">
        <f t="shared" si="35"/>
        <v>#VALUE!</v>
      </c>
      <c r="T324" s="677">
        <f t="shared" si="37"/>
        <v>0</v>
      </c>
      <c r="U324" s="80">
        <f>(IF(O324="Stofire",(S324*#REF!),0))+(IF(O324="Fire Control",(S324*$U$2),0))+(IF(O324="Fire Tex",(S324*$U$3),0))+(IF(O324="WB7",(S324*#REF!),0)+(IF(O324="FX 2003",(S324*$U$5),0)))</f>
        <v>0</v>
      </c>
      <c r="V324" s="651">
        <f t="shared" si="42"/>
        <v>0</v>
      </c>
      <c r="W324" s="4"/>
    </row>
    <row r="325" spans="1:23" x14ac:dyDescent="0.25">
      <c r="A325" s="652" t="s">
        <v>452</v>
      </c>
      <c r="B325" s="653" t="s">
        <v>453</v>
      </c>
      <c r="C325" s="1" t="s">
        <v>408</v>
      </c>
      <c r="D325" s="118">
        <f>+CUBICACION!D324</f>
        <v>0</v>
      </c>
      <c r="E325" s="118">
        <f>+CUBICACION!F324</f>
        <v>0</v>
      </c>
      <c r="F325" s="118">
        <f>+CUBICACION!E324</f>
        <v>0</v>
      </c>
      <c r="G325" s="118">
        <v>12</v>
      </c>
      <c r="H325" s="118">
        <v>2</v>
      </c>
      <c r="I325" s="820">
        <v>26385</v>
      </c>
      <c r="J325" s="118">
        <f>+CUBICACION!J324</f>
        <v>0</v>
      </c>
      <c r="K325" s="118">
        <v>3104</v>
      </c>
      <c r="L325" s="118">
        <f>+CUBICACION!L324</f>
        <v>0</v>
      </c>
      <c r="M325" s="64">
        <f>+CUBICACION!M324</f>
        <v>0</v>
      </c>
      <c r="N325" s="824" t="str">
        <f>+CUBICACION!N324</f>
        <v/>
      </c>
      <c r="O325" s="675">
        <f>+CUBICACION!O324</f>
        <v>0</v>
      </c>
      <c r="P325" s="15">
        <f>IF(O325="Fire Control",VLOOKUP(_xlfn.MINIFS('FIRE CONTROL'!$C$4:$C$37,'FIRE CONTROL'!$C$4:$C$37,"&gt;="&amp;M325),'FIRE CONTROL'!$C$4:$G$37,IF(L325="F-15",2,IF(L325="F-30",3,IF(L325="F-60",4,IF(L325="F-90",5,0)))),0),0)+IF(AND(O325="FIRE TEX 5062",OR(E325="IN",E325="C",E325="Z",E325="L"),J325=3),VLOOKUP(_xlfn.MINIFS('FIRE TEX 5062'!$B$4:$B$34,'FIRE TEX 5062'!$B$4:$B$34,"&gt;="&amp;M325),'FIRE TEX 5062'!$B$4:$F$34,IF(L325="F-15",2,IF(L325="F-30",3,IF(L325="F-60",4,IF(L325="F-90",5,0)))),0),0)+IF(AND(O325="FIRE TEX 5062",OR(E325="IN",E325="C",E325="Z",E325="L"),J325=4),VLOOKUP(_xlfn.MINIFS('FIRE TEX 5062'!$G$4:$G$34,'FIRE TEX 5062'!$G$4:$G$34,"&gt;="&amp;M325),'FIRE TEX 5062'!$G$4:$K$34,IF(L325="F-15",2,IF(L325="F-30",3,IF(L325="F-60",4,IF(L325="F-90",5,0)))),0),0)+IF(AND(O325="FIRE TEX 5062",E325="CJ",J325=3),VLOOKUP(_xlfn.MINIFS('FIRE TEX 5062'!$L$4:$L$34,'FIRE TEX 5062'!$L$4:$L$34,"&gt;="&amp;M325),'FIRE TEX 5062'!$L$4:$P$34,IF(L325="F-15",2,IF(L325="F-30",3,IF(L325="F-60",4,IF(L325="F-90",5,0)))),0),0)+IF(AND(O325="FIRE TEX 5062",E325="CJ",J325=4),VLOOKUP(_xlfn.MINIFS('FIRE TEX 5062'!$Q$3:$Q$34,'FIRE TEX 5062'!$Q$3:$Q$34,"&gt;="&amp;M325),'FIRE TEX 5062'!$Q$3:$U$34,IF(L325="F-15",2,IF(L325="F-30",3,IF(L325="F-60",4,IF(L325="F-90",5,0)))),0),0)+IF(AND(O325="FIRE TEX 5090",OR(E325="IN",E325="C",E325="Z",E325="L"),J325=3),VLOOKUP(_xlfn.MINIFS('FIRE TEX 5090'!$B$5:$B$43,'FIRE TEX 5090'!$B$5:$B$43,"&gt;="&amp;M325),'FIRE TEX 5090'!$B$5:$H$43,IF(L325="F-15",2,IF(L325="F-30",3,IF(L325="F-60",4,IF(L325="F-90",5,IF(L325="F-120",6,IF(L325="F-150",7,0)))))),0),0)+IF(AND(O325="FIRE TEX 5090",OR(E325="IN",E325="C",E325="Z",E325="L"),J325=4),VLOOKUP(_xlfn.MINIFS('FIRE TEX 5090'!$J$5:$J$43,'FIRE TEX 5090'!$J$5:$J$43,"&gt;="&amp;M325),'FIRE TEX 5090'!$J$5:$P$43,IF(L325="F-15",2,IF(L325="F-30",3,IF(L325="F-60",4,IF(L325="F-90",5,IF(L325="F-120",6,IF(L325="F-150",7,0)))))),0),0)+IF(AND(O325="FIRE TEX 5090",E325="CJ",J325=3),VLOOKUP(_xlfn.MINIFS('FIRE TEX 5090'!$R$5:$R$30,'FIRE TEX 5090'!$R$5:$R$30,"&gt;="&amp;M325),'FIRE TEX 5090'!$R$5:$W$30,IF(L325="F-15",2,IF(L325="F-30",3,IF(L325="F-60",4,IF(L325="F-90",5,IF(L325="F-120",6,IF(L325="F-150",7,0)))))),0),0)+IF(AND(O325="FIRE TEX 5090",E325="CJ",J325=4),VLOOKUP(_xlfn.MINIFS('FIRE TEX 5090'!$Y$5:$Y$39,'FIRE TEX 5090'!$Y$5:$Y$39,"&gt;="&amp;M325),'FIRE TEX 5090'!$Y$5:$AD$39,IF(L325="F-15",2,IF(L325="F-30",3,IF(L325="F-60",4,IF(L325="F-90",5,IF(L325="F-120",6,IF(L325="F-150",7,0)))))),0),0)+IF(AND(O325="FIRE TEX 5120",OR(E325="IN",E325="C",E325="Z",E325="L"),J325=3),VLOOKUP(_xlfn.MINIFS('FIRE TEX 5120'!$B$5:$B$40,'FIRE TEX 5120'!$B$5:$B$40,"&gt;="&amp;M325),'FIRE TEX 5120'!$B$5:$G$40,IF(L325="F-15",2,IF(L325="F-30",3,IF(L325="F-60",4,IF(L325="F-90",5,IF(L325="F-120",6,0))))),0),0)+IF(AND(O325="FIRE TEX 5120",OR(E325="IN",E325="C",E325="Z",E325="L"),J325=4),VLOOKUP(_xlfn.MINIFS('FIRE TEX 5120'!$H$4:$H$40,'FIRE TEX 5120'!$H$4:$H$40,"&gt;="&amp;M325),'FIRE TEX 5120'!$H$4:$M$40,IF(L325="F-15",2,IF(L325="F-30",3,IF(L325="F-60",4,IF(L325="F-90",5,IF(L325="F-120",6,0))))),0),0)+IF(AND(O325="FIRE TEX 5120",E325="CJ"),VLOOKUP(_xlfn.MINIFS('FIRE TEX 5120'!$O$5:$O$40,'FIRE TEX 5120'!$O$5:$O$40,"&gt;="&amp;M325),'FIRE TEX 5120'!$O$5:$T$40,IF(L325="F-15",2,IF(L325="F-30",3,IF(L325="F-60",4,IF(L325="F-90",5,IF(L325="F-120",6,0))))),0),0)</f>
        <v>0</v>
      </c>
      <c r="Q325" s="46">
        <f t="shared" ref="Q325:Q364" si="43">IF(P325="","",IF(P325="dar valor","",0.03937*P325))</f>
        <v>0</v>
      </c>
      <c r="R325" s="46">
        <f t="shared" si="36"/>
        <v>0</v>
      </c>
      <c r="S325" s="46" t="e">
        <f t="shared" ref="S325:S364" si="44">IF(R325="","",+N325/R325)</f>
        <v>#VALUE!</v>
      </c>
      <c r="T325" s="677">
        <f t="shared" si="37"/>
        <v>0</v>
      </c>
      <c r="U325" s="80">
        <f>(IF(O325="Stofire",(S325*#REF!),0))+(IF(O325="Fire Control",(S325*$U$2),0))+(IF(O325="Fire Tex",(S325*$U$3),0))+(IF(O325="WB7",(S325*#REF!),0)+(IF(O325="FX 2003",(S325*$U$5),0)))</f>
        <v>0</v>
      </c>
      <c r="V325" s="651">
        <f t="shared" si="42"/>
        <v>0</v>
      </c>
      <c r="W325" s="4"/>
    </row>
    <row r="326" spans="1:23" x14ac:dyDescent="0.25">
      <c r="A326" s="652" t="s">
        <v>452</v>
      </c>
      <c r="B326" s="653" t="s">
        <v>453</v>
      </c>
      <c r="C326" s="1" t="s">
        <v>408</v>
      </c>
      <c r="D326" s="118">
        <f>+CUBICACION!D325</f>
        <v>0</v>
      </c>
      <c r="E326" s="118">
        <f>+CUBICACION!F325</f>
        <v>0</v>
      </c>
      <c r="F326" s="118">
        <f>+CUBICACION!E325</f>
        <v>0</v>
      </c>
      <c r="G326" s="118">
        <v>12</v>
      </c>
      <c r="H326" s="118">
        <v>2</v>
      </c>
      <c r="I326" s="820">
        <v>26385</v>
      </c>
      <c r="J326" s="118">
        <f>+CUBICACION!J325</f>
        <v>0</v>
      </c>
      <c r="K326" s="118">
        <v>3105</v>
      </c>
      <c r="L326" s="118">
        <f>+CUBICACION!L325</f>
        <v>0</v>
      </c>
      <c r="M326" s="64">
        <f>+CUBICACION!M325</f>
        <v>0</v>
      </c>
      <c r="N326" s="824" t="str">
        <f>+CUBICACION!N325</f>
        <v/>
      </c>
      <c r="O326" s="675">
        <f>+CUBICACION!O325</f>
        <v>0</v>
      </c>
      <c r="P326" s="15">
        <f>IF(O326="Fire Control",VLOOKUP(_xlfn.MINIFS('FIRE CONTROL'!$C$4:$C$37,'FIRE CONTROL'!$C$4:$C$37,"&gt;="&amp;M326),'FIRE CONTROL'!$C$4:$G$37,IF(L326="F-15",2,IF(L326="F-30",3,IF(L326="F-60",4,IF(L326="F-90",5,0)))),0),0)+IF(AND(O326="FIRE TEX 5062",OR(E326="IN",E326="C",E326="Z",E326="L"),J326=3),VLOOKUP(_xlfn.MINIFS('FIRE TEX 5062'!$B$4:$B$34,'FIRE TEX 5062'!$B$4:$B$34,"&gt;="&amp;M326),'FIRE TEX 5062'!$B$4:$F$34,IF(L326="F-15",2,IF(L326="F-30",3,IF(L326="F-60",4,IF(L326="F-90",5,0)))),0),0)+IF(AND(O326="FIRE TEX 5062",OR(E326="IN",E326="C",E326="Z",E326="L"),J326=4),VLOOKUP(_xlfn.MINIFS('FIRE TEX 5062'!$G$4:$G$34,'FIRE TEX 5062'!$G$4:$G$34,"&gt;="&amp;M326),'FIRE TEX 5062'!$G$4:$K$34,IF(L326="F-15",2,IF(L326="F-30",3,IF(L326="F-60",4,IF(L326="F-90",5,0)))),0),0)+IF(AND(O326="FIRE TEX 5062",E326="CJ",J326=3),VLOOKUP(_xlfn.MINIFS('FIRE TEX 5062'!$L$4:$L$34,'FIRE TEX 5062'!$L$4:$L$34,"&gt;="&amp;M326),'FIRE TEX 5062'!$L$4:$P$34,IF(L326="F-15",2,IF(L326="F-30",3,IF(L326="F-60",4,IF(L326="F-90",5,0)))),0),0)+IF(AND(O326="FIRE TEX 5062",E326="CJ",J326=4),VLOOKUP(_xlfn.MINIFS('FIRE TEX 5062'!$Q$3:$Q$34,'FIRE TEX 5062'!$Q$3:$Q$34,"&gt;="&amp;M326),'FIRE TEX 5062'!$Q$3:$U$34,IF(L326="F-15",2,IF(L326="F-30",3,IF(L326="F-60",4,IF(L326="F-90",5,0)))),0),0)+IF(AND(O326="FIRE TEX 5090",OR(E326="IN",E326="C",E326="Z",E326="L"),J326=3),VLOOKUP(_xlfn.MINIFS('FIRE TEX 5090'!$B$5:$B$43,'FIRE TEX 5090'!$B$5:$B$43,"&gt;="&amp;M326),'FIRE TEX 5090'!$B$5:$H$43,IF(L326="F-15",2,IF(L326="F-30",3,IF(L326="F-60",4,IF(L326="F-90",5,IF(L326="F-120",6,IF(L326="F-150",7,0)))))),0),0)+IF(AND(O326="FIRE TEX 5090",OR(E326="IN",E326="C",E326="Z",E326="L"),J326=4),VLOOKUP(_xlfn.MINIFS('FIRE TEX 5090'!$J$5:$J$43,'FIRE TEX 5090'!$J$5:$J$43,"&gt;="&amp;M326),'FIRE TEX 5090'!$J$5:$P$43,IF(L326="F-15",2,IF(L326="F-30",3,IF(L326="F-60",4,IF(L326="F-90",5,IF(L326="F-120",6,IF(L326="F-150",7,0)))))),0),0)+IF(AND(O326="FIRE TEX 5090",E326="CJ",J326=3),VLOOKUP(_xlfn.MINIFS('FIRE TEX 5090'!$R$5:$R$30,'FIRE TEX 5090'!$R$5:$R$30,"&gt;="&amp;M326),'FIRE TEX 5090'!$R$5:$W$30,IF(L326="F-15",2,IF(L326="F-30",3,IF(L326="F-60",4,IF(L326="F-90",5,IF(L326="F-120",6,IF(L326="F-150",7,0)))))),0),0)+IF(AND(O326="FIRE TEX 5090",E326="CJ",J326=4),VLOOKUP(_xlfn.MINIFS('FIRE TEX 5090'!$Y$5:$Y$39,'FIRE TEX 5090'!$Y$5:$Y$39,"&gt;="&amp;M326),'FIRE TEX 5090'!$Y$5:$AD$39,IF(L326="F-15",2,IF(L326="F-30",3,IF(L326="F-60",4,IF(L326="F-90",5,IF(L326="F-120",6,IF(L326="F-150",7,0)))))),0),0)+IF(AND(O326="FIRE TEX 5120",OR(E326="IN",E326="C",E326="Z",E326="L"),J326=3),VLOOKUP(_xlfn.MINIFS('FIRE TEX 5120'!$B$5:$B$40,'FIRE TEX 5120'!$B$5:$B$40,"&gt;="&amp;M326),'FIRE TEX 5120'!$B$5:$G$40,IF(L326="F-15",2,IF(L326="F-30",3,IF(L326="F-60",4,IF(L326="F-90",5,IF(L326="F-120",6,0))))),0),0)+IF(AND(O326="FIRE TEX 5120",OR(E326="IN",E326="C",E326="Z",E326="L"),J326=4),VLOOKUP(_xlfn.MINIFS('FIRE TEX 5120'!$H$4:$H$40,'FIRE TEX 5120'!$H$4:$H$40,"&gt;="&amp;M326),'FIRE TEX 5120'!$H$4:$M$40,IF(L326="F-15",2,IF(L326="F-30",3,IF(L326="F-60",4,IF(L326="F-90",5,IF(L326="F-120",6,0))))),0),0)+IF(AND(O326="FIRE TEX 5120",E326="CJ"),VLOOKUP(_xlfn.MINIFS('FIRE TEX 5120'!$O$5:$O$40,'FIRE TEX 5120'!$O$5:$O$40,"&gt;="&amp;M326),'FIRE TEX 5120'!$O$5:$T$40,IF(L326="F-15",2,IF(L326="F-30",3,IF(L326="F-60",4,IF(L326="F-90",5,IF(L326="F-120",6,0))))),0),0)</f>
        <v>0</v>
      </c>
      <c r="Q326" s="46">
        <f t="shared" si="43"/>
        <v>0</v>
      </c>
      <c r="R326" s="46">
        <f t="shared" ref="R326:R364" si="45">+(IF(O326="Fire Control",((65*1.5/Q326)*0.75*4),0))+(IF(OR(O326="Fire Tex 5062",O326="Fire Tex 5090",O326="Fire Tex 5120"),((66*1.5/Q326)*0.7*5),0))</f>
        <v>0</v>
      </c>
      <c r="S326" s="46" t="e">
        <f t="shared" si="44"/>
        <v>#VALUE!</v>
      </c>
      <c r="T326" s="677">
        <f t="shared" ref="T326:T364" si="46">(IF(O326="Stofire",(S326/(7*1)),0))+(IF(O326="Fire Control",(S326/(7*1)),0))+(IF(O326="Fire Tex",(S326/(7*1)),0))+(IF(O326="WB7",(S326/(7*1)),0))+(IF(O326="FX 2003",(S326/(7*1)),0))</f>
        <v>0</v>
      </c>
      <c r="U326" s="80">
        <f>(IF(O326="Stofire",(S326*#REF!),0))+(IF(O326="Fire Control",(S326*$U$2),0))+(IF(O326="Fire Tex",(S326*$U$3),0))+(IF(O326="WB7",(S326*#REF!),0)+(IF(O326="FX 2003",(S326*$U$5),0)))</f>
        <v>0</v>
      </c>
      <c r="V326" s="651">
        <f t="shared" si="42"/>
        <v>0</v>
      </c>
      <c r="W326" s="4"/>
    </row>
    <row r="327" spans="1:23" x14ac:dyDescent="0.25">
      <c r="A327" s="652" t="s">
        <v>456</v>
      </c>
      <c r="B327" s="653" t="s">
        <v>453</v>
      </c>
      <c r="C327" s="1" t="s">
        <v>457</v>
      </c>
      <c r="D327" s="118">
        <f>+CUBICACION!D326</f>
        <v>0</v>
      </c>
      <c r="E327" s="118">
        <f>+CUBICACION!F326</f>
        <v>0</v>
      </c>
      <c r="F327" s="118">
        <f>+CUBICACION!E326</f>
        <v>0</v>
      </c>
      <c r="G327" s="118">
        <v>12</v>
      </c>
      <c r="H327" s="118">
        <v>2</v>
      </c>
      <c r="I327" s="820">
        <v>26385</v>
      </c>
      <c r="J327" s="118">
        <f>+CUBICACION!J326</f>
        <v>0</v>
      </c>
      <c r="K327" s="118">
        <v>3106</v>
      </c>
      <c r="L327" s="118">
        <f>+CUBICACION!L326</f>
        <v>0</v>
      </c>
      <c r="M327" s="64">
        <f>+CUBICACION!M326</f>
        <v>0</v>
      </c>
      <c r="N327" s="824" t="str">
        <f>+CUBICACION!N326</f>
        <v/>
      </c>
      <c r="O327" s="675">
        <f>+CUBICACION!O326</f>
        <v>0</v>
      </c>
      <c r="P327" s="15">
        <f>IF(O327="Fire Control",VLOOKUP(_xlfn.MINIFS('FIRE CONTROL'!$C$4:$C$37,'FIRE CONTROL'!$C$4:$C$37,"&gt;="&amp;M327),'FIRE CONTROL'!$C$4:$G$37,IF(L327="F-15",2,IF(L327="F-30",3,IF(L327="F-60",4,IF(L327="F-90",5,0)))),0),0)+IF(AND(O327="FIRE TEX 5062",OR(E327="IN",E327="C",E327="Z",E327="L"),J327=3),VLOOKUP(_xlfn.MINIFS('FIRE TEX 5062'!$B$4:$B$34,'FIRE TEX 5062'!$B$4:$B$34,"&gt;="&amp;M327),'FIRE TEX 5062'!$B$4:$F$34,IF(L327="F-15",2,IF(L327="F-30",3,IF(L327="F-60",4,IF(L327="F-90",5,0)))),0),0)+IF(AND(O327="FIRE TEX 5062",OR(E327="IN",E327="C",E327="Z",E327="L"),J327=4),VLOOKUP(_xlfn.MINIFS('FIRE TEX 5062'!$G$4:$G$34,'FIRE TEX 5062'!$G$4:$G$34,"&gt;="&amp;M327),'FIRE TEX 5062'!$G$4:$K$34,IF(L327="F-15",2,IF(L327="F-30",3,IF(L327="F-60",4,IF(L327="F-90",5,0)))),0),0)+IF(AND(O327="FIRE TEX 5062",E327="CJ",J327=3),VLOOKUP(_xlfn.MINIFS('FIRE TEX 5062'!$L$4:$L$34,'FIRE TEX 5062'!$L$4:$L$34,"&gt;="&amp;M327),'FIRE TEX 5062'!$L$4:$P$34,IF(L327="F-15",2,IF(L327="F-30",3,IF(L327="F-60",4,IF(L327="F-90",5,0)))),0),0)+IF(AND(O327="FIRE TEX 5062",E327="CJ",J327=4),VLOOKUP(_xlfn.MINIFS('FIRE TEX 5062'!$Q$3:$Q$34,'FIRE TEX 5062'!$Q$3:$Q$34,"&gt;="&amp;M327),'FIRE TEX 5062'!$Q$3:$U$34,IF(L327="F-15",2,IF(L327="F-30",3,IF(L327="F-60",4,IF(L327="F-90",5,0)))),0),0)+IF(AND(O327="FIRE TEX 5090",OR(E327="IN",E327="C",E327="Z",E327="L"),J327=3),VLOOKUP(_xlfn.MINIFS('FIRE TEX 5090'!$B$5:$B$43,'FIRE TEX 5090'!$B$5:$B$43,"&gt;="&amp;M327),'FIRE TEX 5090'!$B$5:$H$43,IF(L327="F-15",2,IF(L327="F-30",3,IF(L327="F-60",4,IF(L327="F-90",5,IF(L327="F-120",6,IF(L327="F-150",7,0)))))),0),0)+IF(AND(O327="FIRE TEX 5090",OR(E327="IN",E327="C",E327="Z",E327="L"),J327=4),VLOOKUP(_xlfn.MINIFS('FIRE TEX 5090'!$J$5:$J$43,'FIRE TEX 5090'!$J$5:$J$43,"&gt;="&amp;M327),'FIRE TEX 5090'!$J$5:$P$43,IF(L327="F-15",2,IF(L327="F-30",3,IF(L327="F-60",4,IF(L327="F-90",5,IF(L327="F-120",6,IF(L327="F-150",7,0)))))),0),0)+IF(AND(O327="FIRE TEX 5090",E327="CJ",J327=3),VLOOKUP(_xlfn.MINIFS('FIRE TEX 5090'!$R$5:$R$30,'FIRE TEX 5090'!$R$5:$R$30,"&gt;="&amp;M327),'FIRE TEX 5090'!$R$5:$W$30,IF(L327="F-15",2,IF(L327="F-30",3,IF(L327="F-60",4,IF(L327="F-90",5,IF(L327="F-120",6,IF(L327="F-150",7,0)))))),0),0)+IF(AND(O327="FIRE TEX 5090",E327="CJ",J327=4),VLOOKUP(_xlfn.MINIFS('FIRE TEX 5090'!$Y$5:$Y$39,'FIRE TEX 5090'!$Y$5:$Y$39,"&gt;="&amp;M327),'FIRE TEX 5090'!$Y$5:$AD$39,IF(L327="F-15",2,IF(L327="F-30",3,IF(L327="F-60",4,IF(L327="F-90",5,IF(L327="F-120",6,IF(L327="F-150",7,0)))))),0),0)+IF(AND(O327="FIRE TEX 5120",OR(E327="IN",E327="C",E327="Z",E327="L"),J327=3),VLOOKUP(_xlfn.MINIFS('FIRE TEX 5120'!$B$5:$B$40,'FIRE TEX 5120'!$B$5:$B$40,"&gt;="&amp;M327),'FIRE TEX 5120'!$B$5:$G$40,IF(L327="F-15",2,IF(L327="F-30",3,IF(L327="F-60",4,IF(L327="F-90",5,IF(L327="F-120",6,0))))),0),0)+IF(AND(O327="FIRE TEX 5120",OR(E327="IN",E327="C",E327="Z",E327="L"),J327=4),VLOOKUP(_xlfn.MINIFS('FIRE TEX 5120'!$H$4:$H$40,'FIRE TEX 5120'!$H$4:$H$40,"&gt;="&amp;M327),'FIRE TEX 5120'!$H$4:$M$40,IF(L327="F-15",2,IF(L327="F-30",3,IF(L327="F-60",4,IF(L327="F-90",5,IF(L327="F-120",6,0))))),0),0)+IF(AND(O327="FIRE TEX 5120",E327="CJ"),VLOOKUP(_xlfn.MINIFS('FIRE TEX 5120'!$O$5:$O$40,'FIRE TEX 5120'!$O$5:$O$40,"&gt;="&amp;M327),'FIRE TEX 5120'!$O$5:$T$40,IF(L327="F-15",2,IF(L327="F-30",3,IF(L327="F-60",4,IF(L327="F-90",5,IF(L327="F-120",6,0))))),0),0)</f>
        <v>0</v>
      </c>
      <c r="Q327" s="46">
        <f t="shared" si="43"/>
        <v>0</v>
      </c>
      <c r="R327" s="46">
        <f t="shared" si="45"/>
        <v>0</v>
      </c>
      <c r="S327" s="46" t="e">
        <f t="shared" si="44"/>
        <v>#VALUE!</v>
      </c>
      <c r="T327" s="677">
        <f t="shared" si="46"/>
        <v>0</v>
      </c>
      <c r="U327" s="80">
        <f>(IF(O327="Stofire",(S327*#REF!),0))+(IF(O327="Fire Control",(S327*$U$2),0))+(IF(O327="Fire Tex",(S327*$U$3),0))+(IF(O327="WB7",(S327*#REF!),0)+(IF(O327="FX 2003",(S327*$U$5),0)))</f>
        <v>0</v>
      </c>
      <c r="V327" s="651">
        <f t="shared" si="42"/>
        <v>0</v>
      </c>
      <c r="W327" s="4"/>
    </row>
    <row r="328" spans="1:23" x14ac:dyDescent="0.25">
      <c r="A328" s="652" t="s">
        <v>456</v>
      </c>
      <c r="B328" s="653" t="s">
        <v>453</v>
      </c>
      <c r="C328" s="1" t="s">
        <v>408</v>
      </c>
      <c r="D328" s="118">
        <f>+CUBICACION!D327</f>
        <v>0</v>
      </c>
      <c r="E328" s="118">
        <f>+CUBICACION!F327</f>
        <v>0</v>
      </c>
      <c r="F328" s="118">
        <f>+CUBICACION!E327</f>
        <v>0</v>
      </c>
      <c r="G328" s="118">
        <v>12</v>
      </c>
      <c r="H328" s="118">
        <v>2</v>
      </c>
      <c r="I328" s="820">
        <v>26385</v>
      </c>
      <c r="J328" s="118">
        <f>+CUBICACION!J327</f>
        <v>0</v>
      </c>
      <c r="K328" s="118">
        <v>3107</v>
      </c>
      <c r="L328" s="118">
        <f>+CUBICACION!L327</f>
        <v>0</v>
      </c>
      <c r="M328" s="64">
        <f>+CUBICACION!M327</f>
        <v>0</v>
      </c>
      <c r="N328" s="824" t="str">
        <f>+CUBICACION!N327</f>
        <v/>
      </c>
      <c r="O328" s="675">
        <f>+CUBICACION!O327</f>
        <v>0</v>
      </c>
      <c r="P328" s="15">
        <f>IF(O328="Fire Control",VLOOKUP(_xlfn.MINIFS('FIRE CONTROL'!$C$4:$C$37,'FIRE CONTROL'!$C$4:$C$37,"&gt;="&amp;M328),'FIRE CONTROL'!$C$4:$G$37,IF(L328="F-15",2,IF(L328="F-30",3,IF(L328="F-60",4,IF(L328="F-90",5,0)))),0),0)+IF(AND(O328="FIRE TEX 5062",OR(E328="IN",E328="C",E328="Z",E328="L"),J328=3),VLOOKUP(_xlfn.MINIFS('FIRE TEX 5062'!$B$4:$B$34,'FIRE TEX 5062'!$B$4:$B$34,"&gt;="&amp;M328),'FIRE TEX 5062'!$B$4:$F$34,IF(L328="F-15",2,IF(L328="F-30",3,IF(L328="F-60",4,IF(L328="F-90",5,0)))),0),0)+IF(AND(O328="FIRE TEX 5062",OR(E328="IN",E328="C",E328="Z",E328="L"),J328=4),VLOOKUP(_xlfn.MINIFS('FIRE TEX 5062'!$G$4:$G$34,'FIRE TEX 5062'!$G$4:$G$34,"&gt;="&amp;M328),'FIRE TEX 5062'!$G$4:$K$34,IF(L328="F-15",2,IF(L328="F-30",3,IF(L328="F-60",4,IF(L328="F-90",5,0)))),0),0)+IF(AND(O328="FIRE TEX 5062",E328="CJ",J328=3),VLOOKUP(_xlfn.MINIFS('FIRE TEX 5062'!$L$4:$L$34,'FIRE TEX 5062'!$L$4:$L$34,"&gt;="&amp;M328),'FIRE TEX 5062'!$L$4:$P$34,IF(L328="F-15",2,IF(L328="F-30",3,IF(L328="F-60",4,IF(L328="F-90",5,0)))),0),0)+IF(AND(O328="FIRE TEX 5062",E328="CJ",J328=4),VLOOKUP(_xlfn.MINIFS('FIRE TEX 5062'!$Q$3:$Q$34,'FIRE TEX 5062'!$Q$3:$Q$34,"&gt;="&amp;M328),'FIRE TEX 5062'!$Q$3:$U$34,IF(L328="F-15",2,IF(L328="F-30",3,IF(L328="F-60",4,IF(L328="F-90",5,0)))),0),0)+IF(AND(O328="FIRE TEX 5090",OR(E328="IN",E328="C",E328="Z",E328="L"),J328=3),VLOOKUP(_xlfn.MINIFS('FIRE TEX 5090'!$B$5:$B$43,'FIRE TEX 5090'!$B$5:$B$43,"&gt;="&amp;M328),'FIRE TEX 5090'!$B$5:$H$43,IF(L328="F-15",2,IF(L328="F-30",3,IF(L328="F-60",4,IF(L328="F-90",5,IF(L328="F-120",6,IF(L328="F-150",7,0)))))),0),0)+IF(AND(O328="FIRE TEX 5090",OR(E328="IN",E328="C",E328="Z",E328="L"),J328=4),VLOOKUP(_xlfn.MINIFS('FIRE TEX 5090'!$J$5:$J$43,'FIRE TEX 5090'!$J$5:$J$43,"&gt;="&amp;M328),'FIRE TEX 5090'!$J$5:$P$43,IF(L328="F-15",2,IF(L328="F-30",3,IF(L328="F-60",4,IF(L328="F-90",5,IF(L328="F-120",6,IF(L328="F-150",7,0)))))),0),0)+IF(AND(O328="FIRE TEX 5090",E328="CJ",J328=3),VLOOKUP(_xlfn.MINIFS('FIRE TEX 5090'!$R$5:$R$30,'FIRE TEX 5090'!$R$5:$R$30,"&gt;="&amp;M328),'FIRE TEX 5090'!$R$5:$W$30,IF(L328="F-15",2,IF(L328="F-30",3,IF(L328="F-60",4,IF(L328="F-90",5,IF(L328="F-120",6,IF(L328="F-150",7,0)))))),0),0)+IF(AND(O328="FIRE TEX 5090",E328="CJ",J328=4),VLOOKUP(_xlfn.MINIFS('FIRE TEX 5090'!$Y$5:$Y$39,'FIRE TEX 5090'!$Y$5:$Y$39,"&gt;="&amp;M328),'FIRE TEX 5090'!$Y$5:$AD$39,IF(L328="F-15",2,IF(L328="F-30",3,IF(L328="F-60",4,IF(L328="F-90",5,IF(L328="F-120",6,IF(L328="F-150",7,0)))))),0),0)+IF(AND(O328="FIRE TEX 5120",OR(E328="IN",E328="C",E328="Z",E328="L"),J328=3),VLOOKUP(_xlfn.MINIFS('FIRE TEX 5120'!$B$5:$B$40,'FIRE TEX 5120'!$B$5:$B$40,"&gt;="&amp;M328),'FIRE TEX 5120'!$B$5:$G$40,IF(L328="F-15",2,IF(L328="F-30",3,IF(L328="F-60",4,IF(L328="F-90",5,IF(L328="F-120",6,0))))),0),0)+IF(AND(O328="FIRE TEX 5120",OR(E328="IN",E328="C",E328="Z",E328="L"),J328=4),VLOOKUP(_xlfn.MINIFS('FIRE TEX 5120'!$H$4:$H$40,'FIRE TEX 5120'!$H$4:$H$40,"&gt;="&amp;M328),'FIRE TEX 5120'!$H$4:$M$40,IF(L328="F-15",2,IF(L328="F-30",3,IF(L328="F-60",4,IF(L328="F-90",5,IF(L328="F-120",6,0))))),0),0)+IF(AND(O328="FIRE TEX 5120",E328="CJ"),VLOOKUP(_xlfn.MINIFS('FIRE TEX 5120'!$O$5:$O$40,'FIRE TEX 5120'!$O$5:$O$40,"&gt;="&amp;M328),'FIRE TEX 5120'!$O$5:$T$40,IF(L328="F-15",2,IF(L328="F-30",3,IF(L328="F-60",4,IF(L328="F-90",5,IF(L328="F-120",6,0))))),0),0)</f>
        <v>0</v>
      </c>
      <c r="Q328" s="46">
        <f t="shared" si="43"/>
        <v>0</v>
      </c>
      <c r="R328" s="46">
        <f t="shared" si="45"/>
        <v>0</v>
      </c>
      <c r="S328" s="46" t="e">
        <f t="shared" si="44"/>
        <v>#VALUE!</v>
      </c>
      <c r="T328" s="677">
        <f t="shared" si="46"/>
        <v>0</v>
      </c>
      <c r="U328" s="80">
        <f>(IF(O328="Stofire",(S328*#REF!),0))+(IF(O328="Fire Control",(S328*$U$2),0))+(IF(O328="Fire Tex",(S328*$U$3),0))+(IF(O328="WB7",(S328*#REF!),0)+(IF(O328="FX 2003",(S328*$U$5),0)))</f>
        <v>0</v>
      </c>
      <c r="V328" s="651">
        <f t="shared" si="42"/>
        <v>0</v>
      </c>
      <c r="W328" s="4"/>
    </row>
    <row r="329" spans="1:23" x14ac:dyDescent="0.25">
      <c r="A329" s="652" t="s">
        <v>456</v>
      </c>
      <c r="B329" s="653" t="s">
        <v>453</v>
      </c>
      <c r="C329" s="1" t="s">
        <v>408</v>
      </c>
      <c r="D329" s="118">
        <f>+CUBICACION!D328</f>
        <v>0</v>
      </c>
      <c r="E329" s="118">
        <f>+CUBICACION!F328</f>
        <v>0</v>
      </c>
      <c r="F329" s="118">
        <f>+CUBICACION!E328</f>
        <v>0</v>
      </c>
      <c r="G329" s="118">
        <v>12</v>
      </c>
      <c r="H329" s="118">
        <v>2</v>
      </c>
      <c r="I329" s="820">
        <v>26385</v>
      </c>
      <c r="J329" s="118">
        <f>+CUBICACION!J328</f>
        <v>0</v>
      </c>
      <c r="K329" s="118">
        <v>3108</v>
      </c>
      <c r="L329" s="118">
        <f>+CUBICACION!L328</f>
        <v>0</v>
      </c>
      <c r="M329" s="64">
        <f>+CUBICACION!M328</f>
        <v>0</v>
      </c>
      <c r="N329" s="824" t="str">
        <f>+CUBICACION!N328</f>
        <v/>
      </c>
      <c r="O329" s="675">
        <f>+CUBICACION!O328</f>
        <v>0</v>
      </c>
      <c r="P329" s="15">
        <f>IF(O329="Fire Control",VLOOKUP(_xlfn.MINIFS('FIRE CONTROL'!$C$4:$C$37,'FIRE CONTROL'!$C$4:$C$37,"&gt;="&amp;M329),'FIRE CONTROL'!$C$4:$G$37,IF(L329="F-15",2,IF(L329="F-30",3,IF(L329="F-60",4,IF(L329="F-90",5,0)))),0),0)+IF(AND(O329="FIRE TEX 5062",OR(E329="IN",E329="C",E329="Z",E329="L"),J329=3),VLOOKUP(_xlfn.MINIFS('FIRE TEX 5062'!$B$4:$B$34,'FIRE TEX 5062'!$B$4:$B$34,"&gt;="&amp;M329),'FIRE TEX 5062'!$B$4:$F$34,IF(L329="F-15",2,IF(L329="F-30",3,IF(L329="F-60",4,IF(L329="F-90",5,0)))),0),0)+IF(AND(O329="FIRE TEX 5062",OR(E329="IN",E329="C",E329="Z",E329="L"),J329=4),VLOOKUP(_xlfn.MINIFS('FIRE TEX 5062'!$G$4:$G$34,'FIRE TEX 5062'!$G$4:$G$34,"&gt;="&amp;M329),'FIRE TEX 5062'!$G$4:$K$34,IF(L329="F-15",2,IF(L329="F-30",3,IF(L329="F-60",4,IF(L329="F-90",5,0)))),0),0)+IF(AND(O329="FIRE TEX 5062",E329="CJ",J329=3),VLOOKUP(_xlfn.MINIFS('FIRE TEX 5062'!$L$4:$L$34,'FIRE TEX 5062'!$L$4:$L$34,"&gt;="&amp;M329),'FIRE TEX 5062'!$L$4:$P$34,IF(L329="F-15",2,IF(L329="F-30",3,IF(L329="F-60",4,IF(L329="F-90",5,0)))),0),0)+IF(AND(O329="FIRE TEX 5062",E329="CJ",J329=4),VLOOKUP(_xlfn.MINIFS('FIRE TEX 5062'!$Q$3:$Q$34,'FIRE TEX 5062'!$Q$3:$Q$34,"&gt;="&amp;M329),'FIRE TEX 5062'!$Q$3:$U$34,IF(L329="F-15",2,IF(L329="F-30",3,IF(L329="F-60",4,IF(L329="F-90",5,0)))),0),0)+IF(AND(O329="FIRE TEX 5090",OR(E329="IN",E329="C",E329="Z",E329="L"),J329=3),VLOOKUP(_xlfn.MINIFS('FIRE TEX 5090'!$B$5:$B$43,'FIRE TEX 5090'!$B$5:$B$43,"&gt;="&amp;M329),'FIRE TEX 5090'!$B$5:$H$43,IF(L329="F-15",2,IF(L329="F-30",3,IF(L329="F-60",4,IF(L329="F-90",5,IF(L329="F-120",6,IF(L329="F-150",7,0)))))),0),0)+IF(AND(O329="FIRE TEX 5090",OR(E329="IN",E329="C",E329="Z",E329="L"),J329=4),VLOOKUP(_xlfn.MINIFS('FIRE TEX 5090'!$J$5:$J$43,'FIRE TEX 5090'!$J$5:$J$43,"&gt;="&amp;M329),'FIRE TEX 5090'!$J$5:$P$43,IF(L329="F-15",2,IF(L329="F-30",3,IF(L329="F-60",4,IF(L329="F-90",5,IF(L329="F-120",6,IF(L329="F-150",7,0)))))),0),0)+IF(AND(O329="FIRE TEX 5090",E329="CJ",J329=3),VLOOKUP(_xlfn.MINIFS('FIRE TEX 5090'!$R$5:$R$30,'FIRE TEX 5090'!$R$5:$R$30,"&gt;="&amp;M329),'FIRE TEX 5090'!$R$5:$W$30,IF(L329="F-15",2,IF(L329="F-30",3,IF(L329="F-60",4,IF(L329="F-90",5,IF(L329="F-120",6,IF(L329="F-150",7,0)))))),0),0)+IF(AND(O329="FIRE TEX 5090",E329="CJ",J329=4),VLOOKUP(_xlfn.MINIFS('FIRE TEX 5090'!$Y$5:$Y$39,'FIRE TEX 5090'!$Y$5:$Y$39,"&gt;="&amp;M329),'FIRE TEX 5090'!$Y$5:$AD$39,IF(L329="F-15",2,IF(L329="F-30",3,IF(L329="F-60",4,IF(L329="F-90",5,IF(L329="F-120",6,IF(L329="F-150",7,0)))))),0),0)+IF(AND(O329="FIRE TEX 5120",OR(E329="IN",E329="C",E329="Z",E329="L"),J329=3),VLOOKUP(_xlfn.MINIFS('FIRE TEX 5120'!$B$5:$B$40,'FIRE TEX 5120'!$B$5:$B$40,"&gt;="&amp;M329),'FIRE TEX 5120'!$B$5:$G$40,IF(L329="F-15",2,IF(L329="F-30",3,IF(L329="F-60",4,IF(L329="F-90",5,IF(L329="F-120",6,0))))),0),0)+IF(AND(O329="FIRE TEX 5120",OR(E329="IN",E329="C",E329="Z",E329="L"),J329=4),VLOOKUP(_xlfn.MINIFS('FIRE TEX 5120'!$H$4:$H$40,'FIRE TEX 5120'!$H$4:$H$40,"&gt;="&amp;M329),'FIRE TEX 5120'!$H$4:$M$40,IF(L329="F-15",2,IF(L329="F-30",3,IF(L329="F-60",4,IF(L329="F-90",5,IF(L329="F-120",6,0))))),0),0)+IF(AND(O329="FIRE TEX 5120",E329="CJ"),VLOOKUP(_xlfn.MINIFS('FIRE TEX 5120'!$O$5:$O$40,'FIRE TEX 5120'!$O$5:$O$40,"&gt;="&amp;M329),'FIRE TEX 5120'!$O$5:$T$40,IF(L329="F-15",2,IF(L329="F-30",3,IF(L329="F-60",4,IF(L329="F-90",5,IF(L329="F-120",6,0))))),0),0)</f>
        <v>0</v>
      </c>
      <c r="Q329" s="46">
        <f t="shared" si="43"/>
        <v>0</v>
      </c>
      <c r="R329" s="46">
        <f t="shared" si="45"/>
        <v>0</v>
      </c>
      <c r="S329" s="46" t="e">
        <f t="shared" si="44"/>
        <v>#VALUE!</v>
      </c>
      <c r="T329" s="677">
        <f t="shared" si="46"/>
        <v>0</v>
      </c>
      <c r="U329" s="80">
        <f>(IF(O329="Stofire",(S329*#REF!),0))+(IF(O329="Fire Control",(S329*$U$2),0))+(IF(O329="Fire Tex",(S329*$U$3),0))+(IF(O329="WB7",(S329*#REF!),0)+(IF(O329="FX 2003",(S329*$U$5),0)))</f>
        <v>0</v>
      </c>
      <c r="V329" s="651">
        <f t="shared" si="42"/>
        <v>0</v>
      </c>
      <c r="W329" s="4"/>
    </row>
    <row r="330" spans="1:23" x14ac:dyDescent="0.25">
      <c r="A330" s="652" t="s">
        <v>458</v>
      </c>
      <c r="B330" s="653" t="s">
        <v>459</v>
      </c>
      <c r="C330" s="1" t="s">
        <v>460</v>
      </c>
      <c r="D330" s="118">
        <f>+CUBICACION!D329</f>
        <v>0</v>
      </c>
      <c r="E330" s="118">
        <f>+CUBICACION!F329</f>
        <v>0</v>
      </c>
      <c r="F330" s="118">
        <f>+CUBICACION!E329</f>
        <v>0</v>
      </c>
      <c r="G330" s="118">
        <v>12</v>
      </c>
      <c r="H330" s="118">
        <v>2</v>
      </c>
      <c r="I330" s="820">
        <v>26385</v>
      </c>
      <c r="J330" s="118">
        <f>+CUBICACION!J329</f>
        <v>0</v>
      </c>
      <c r="K330" s="118">
        <v>3109</v>
      </c>
      <c r="L330" s="118">
        <f>+CUBICACION!L329</f>
        <v>0</v>
      </c>
      <c r="M330" s="64">
        <f>+CUBICACION!M329</f>
        <v>0</v>
      </c>
      <c r="N330" s="824" t="str">
        <f>+CUBICACION!N329</f>
        <v/>
      </c>
      <c r="O330" s="675">
        <f>+CUBICACION!O329</f>
        <v>0</v>
      </c>
      <c r="P330" s="15">
        <f>IF(O330="Fire Control",VLOOKUP(_xlfn.MINIFS('FIRE CONTROL'!$C$4:$C$37,'FIRE CONTROL'!$C$4:$C$37,"&gt;="&amp;M330),'FIRE CONTROL'!$C$4:$G$37,IF(L330="F-15",2,IF(L330="F-30",3,IF(L330="F-60",4,IF(L330="F-90",5,0)))),0),0)+IF(AND(O330="FIRE TEX 5062",OR(E330="IN",E330="C",E330="Z",E330="L"),J330=3),VLOOKUP(_xlfn.MINIFS('FIRE TEX 5062'!$B$4:$B$34,'FIRE TEX 5062'!$B$4:$B$34,"&gt;="&amp;M330),'FIRE TEX 5062'!$B$4:$F$34,IF(L330="F-15",2,IF(L330="F-30",3,IF(L330="F-60",4,IF(L330="F-90",5,0)))),0),0)+IF(AND(O330="FIRE TEX 5062",OR(E330="IN",E330="C",E330="Z",E330="L"),J330=4),VLOOKUP(_xlfn.MINIFS('FIRE TEX 5062'!$G$4:$G$34,'FIRE TEX 5062'!$G$4:$G$34,"&gt;="&amp;M330),'FIRE TEX 5062'!$G$4:$K$34,IF(L330="F-15",2,IF(L330="F-30",3,IF(L330="F-60",4,IF(L330="F-90",5,0)))),0),0)+IF(AND(O330="FIRE TEX 5062",E330="CJ",J330=3),VLOOKUP(_xlfn.MINIFS('FIRE TEX 5062'!$L$4:$L$34,'FIRE TEX 5062'!$L$4:$L$34,"&gt;="&amp;M330),'FIRE TEX 5062'!$L$4:$P$34,IF(L330="F-15",2,IF(L330="F-30",3,IF(L330="F-60",4,IF(L330="F-90",5,0)))),0),0)+IF(AND(O330="FIRE TEX 5062",E330="CJ",J330=4),VLOOKUP(_xlfn.MINIFS('FIRE TEX 5062'!$Q$3:$Q$34,'FIRE TEX 5062'!$Q$3:$Q$34,"&gt;="&amp;M330),'FIRE TEX 5062'!$Q$3:$U$34,IF(L330="F-15",2,IF(L330="F-30",3,IF(L330="F-60",4,IF(L330="F-90",5,0)))),0),0)+IF(AND(O330="FIRE TEX 5090",OR(E330="IN",E330="C",E330="Z",E330="L"),J330=3),VLOOKUP(_xlfn.MINIFS('FIRE TEX 5090'!$B$5:$B$43,'FIRE TEX 5090'!$B$5:$B$43,"&gt;="&amp;M330),'FIRE TEX 5090'!$B$5:$H$43,IF(L330="F-15",2,IF(L330="F-30",3,IF(L330="F-60",4,IF(L330="F-90",5,IF(L330="F-120",6,IF(L330="F-150",7,0)))))),0),0)+IF(AND(O330="FIRE TEX 5090",OR(E330="IN",E330="C",E330="Z",E330="L"),J330=4),VLOOKUP(_xlfn.MINIFS('FIRE TEX 5090'!$J$5:$J$43,'FIRE TEX 5090'!$J$5:$J$43,"&gt;="&amp;M330),'FIRE TEX 5090'!$J$5:$P$43,IF(L330="F-15",2,IF(L330="F-30",3,IF(L330="F-60",4,IF(L330="F-90",5,IF(L330="F-120",6,IF(L330="F-150",7,0)))))),0),0)+IF(AND(O330="FIRE TEX 5090",E330="CJ",J330=3),VLOOKUP(_xlfn.MINIFS('FIRE TEX 5090'!$R$5:$R$30,'FIRE TEX 5090'!$R$5:$R$30,"&gt;="&amp;M330),'FIRE TEX 5090'!$R$5:$W$30,IF(L330="F-15",2,IF(L330="F-30",3,IF(L330="F-60",4,IF(L330="F-90",5,IF(L330="F-120",6,IF(L330="F-150",7,0)))))),0),0)+IF(AND(O330="FIRE TEX 5090",E330="CJ",J330=4),VLOOKUP(_xlfn.MINIFS('FIRE TEX 5090'!$Y$5:$Y$39,'FIRE TEX 5090'!$Y$5:$Y$39,"&gt;="&amp;M330),'FIRE TEX 5090'!$Y$5:$AD$39,IF(L330="F-15",2,IF(L330="F-30",3,IF(L330="F-60",4,IF(L330="F-90",5,IF(L330="F-120",6,IF(L330="F-150",7,0)))))),0),0)+IF(AND(O330="FIRE TEX 5120",OR(E330="IN",E330="C",E330="Z",E330="L"),J330=3),VLOOKUP(_xlfn.MINIFS('FIRE TEX 5120'!$B$5:$B$40,'FIRE TEX 5120'!$B$5:$B$40,"&gt;="&amp;M330),'FIRE TEX 5120'!$B$5:$G$40,IF(L330="F-15",2,IF(L330="F-30",3,IF(L330="F-60",4,IF(L330="F-90",5,IF(L330="F-120",6,0))))),0),0)+IF(AND(O330="FIRE TEX 5120",OR(E330="IN",E330="C",E330="Z",E330="L"),J330=4),VLOOKUP(_xlfn.MINIFS('FIRE TEX 5120'!$H$4:$H$40,'FIRE TEX 5120'!$H$4:$H$40,"&gt;="&amp;M330),'FIRE TEX 5120'!$H$4:$M$40,IF(L330="F-15",2,IF(L330="F-30",3,IF(L330="F-60",4,IF(L330="F-90",5,IF(L330="F-120",6,0))))),0),0)+IF(AND(O330="FIRE TEX 5120",E330="CJ"),VLOOKUP(_xlfn.MINIFS('FIRE TEX 5120'!$O$5:$O$40,'FIRE TEX 5120'!$O$5:$O$40,"&gt;="&amp;M330),'FIRE TEX 5120'!$O$5:$T$40,IF(L330="F-15",2,IF(L330="F-30",3,IF(L330="F-60",4,IF(L330="F-90",5,IF(L330="F-120",6,0))))),0),0)</f>
        <v>0</v>
      </c>
      <c r="Q330" s="46">
        <f t="shared" si="43"/>
        <v>0</v>
      </c>
      <c r="R330" s="46">
        <f t="shared" si="45"/>
        <v>0</v>
      </c>
      <c r="S330" s="46" t="e">
        <f t="shared" si="44"/>
        <v>#VALUE!</v>
      </c>
      <c r="T330" s="677">
        <f t="shared" si="46"/>
        <v>0</v>
      </c>
      <c r="U330" s="80">
        <f>(IF(O330="Stofire",(S330*#REF!),0))+(IF(O330="Fire Control",(S330*$U$2),0))+(IF(O330="Fire Tex",(S330*$U$3),0))+(IF(O330="WB7",(S330*#REF!),0)+(IF(O330="FX 2003",(S330*$U$5),0)))</f>
        <v>0</v>
      </c>
      <c r="V330" s="651">
        <f t="shared" si="42"/>
        <v>0</v>
      </c>
      <c r="W330" s="4"/>
    </row>
    <row r="331" spans="1:23" x14ac:dyDescent="0.25">
      <c r="A331" s="652" t="s">
        <v>458</v>
      </c>
      <c r="B331" s="653" t="s">
        <v>459</v>
      </c>
      <c r="C331" s="1" t="s">
        <v>408</v>
      </c>
      <c r="D331" s="118">
        <f>+CUBICACION!D330</f>
        <v>0</v>
      </c>
      <c r="E331" s="118">
        <f>+CUBICACION!F330</f>
        <v>0</v>
      </c>
      <c r="F331" s="118">
        <f>+CUBICACION!E330</f>
        <v>0</v>
      </c>
      <c r="G331" s="118">
        <v>12</v>
      </c>
      <c r="H331" s="118">
        <v>2</v>
      </c>
      <c r="I331" s="820">
        <v>26385</v>
      </c>
      <c r="J331" s="118">
        <f>+CUBICACION!J330</f>
        <v>0</v>
      </c>
      <c r="K331" s="118">
        <v>3110</v>
      </c>
      <c r="L331" s="118">
        <f>+CUBICACION!L330</f>
        <v>0</v>
      </c>
      <c r="M331" s="64">
        <f>+CUBICACION!M330</f>
        <v>0</v>
      </c>
      <c r="N331" s="824" t="str">
        <f>+CUBICACION!N330</f>
        <v/>
      </c>
      <c r="O331" s="675">
        <f>+CUBICACION!O330</f>
        <v>0</v>
      </c>
      <c r="P331" s="15">
        <f>IF(O331="Fire Control",VLOOKUP(_xlfn.MINIFS('FIRE CONTROL'!$C$4:$C$37,'FIRE CONTROL'!$C$4:$C$37,"&gt;="&amp;M331),'FIRE CONTROL'!$C$4:$G$37,IF(L331="F-15",2,IF(L331="F-30",3,IF(L331="F-60",4,IF(L331="F-90",5,0)))),0),0)+IF(AND(O331="FIRE TEX 5062",OR(E331="IN",E331="C",E331="Z",E331="L"),J331=3),VLOOKUP(_xlfn.MINIFS('FIRE TEX 5062'!$B$4:$B$34,'FIRE TEX 5062'!$B$4:$B$34,"&gt;="&amp;M331),'FIRE TEX 5062'!$B$4:$F$34,IF(L331="F-15",2,IF(L331="F-30",3,IF(L331="F-60",4,IF(L331="F-90",5,0)))),0),0)+IF(AND(O331="FIRE TEX 5062",OR(E331="IN",E331="C",E331="Z",E331="L"),J331=4),VLOOKUP(_xlfn.MINIFS('FIRE TEX 5062'!$G$4:$G$34,'FIRE TEX 5062'!$G$4:$G$34,"&gt;="&amp;M331),'FIRE TEX 5062'!$G$4:$K$34,IF(L331="F-15",2,IF(L331="F-30",3,IF(L331="F-60",4,IF(L331="F-90",5,0)))),0),0)+IF(AND(O331="FIRE TEX 5062",E331="CJ",J331=3),VLOOKUP(_xlfn.MINIFS('FIRE TEX 5062'!$L$4:$L$34,'FIRE TEX 5062'!$L$4:$L$34,"&gt;="&amp;M331),'FIRE TEX 5062'!$L$4:$P$34,IF(L331="F-15",2,IF(L331="F-30",3,IF(L331="F-60",4,IF(L331="F-90",5,0)))),0),0)+IF(AND(O331="FIRE TEX 5062",E331="CJ",J331=4),VLOOKUP(_xlfn.MINIFS('FIRE TEX 5062'!$Q$3:$Q$34,'FIRE TEX 5062'!$Q$3:$Q$34,"&gt;="&amp;M331),'FIRE TEX 5062'!$Q$3:$U$34,IF(L331="F-15",2,IF(L331="F-30",3,IF(L331="F-60",4,IF(L331="F-90",5,0)))),0),0)+IF(AND(O331="FIRE TEX 5090",OR(E331="IN",E331="C",E331="Z",E331="L"),J331=3),VLOOKUP(_xlfn.MINIFS('FIRE TEX 5090'!$B$5:$B$43,'FIRE TEX 5090'!$B$5:$B$43,"&gt;="&amp;M331),'FIRE TEX 5090'!$B$5:$H$43,IF(L331="F-15",2,IF(L331="F-30",3,IF(L331="F-60",4,IF(L331="F-90",5,IF(L331="F-120",6,IF(L331="F-150",7,0)))))),0),0)+IF(AND(O331="FIRE TEX 5090",OR(E331="IN",E331="C",E331="Z",E331="L"),J331=4),VLOOKUP(_xlfn.MINIFS('FIRE TEX 5090'!$J$5:$J$43,'FIRE TEX 5090'!$J$5:$J$43,"&gt;="&amp;M331),'FIRE TEX 5090'!$J$5:$P$43,IF(L331="F-15",2,IF(L331="F-30",3,IF(L331="F-60",4,IF(L331="F-90",5,IF(L331="F-120",6,IF(L331="F-150",7,0)))))),0),0)+IF(AND(O331="FIRE TEX 5090",E331="CJ",J331=3),VLOOKUP(_xlfn.MINIFS('FIRE TEX 5090'!$R$5:$R$30,'FIRE TEX 5090'!$R$5:$R$30,"&gt;="&amp;M331),'FIRE TEX 5090'!$R$5:$W$30,IF(L331="F-15",2,IF(L331="F-30",3,IF(L331="F-60",4,IF(L331="F-90",5,IF(L331="F-120",6,IF(L331="F-150",7,0)))))),0),0)+IF(AND(O331="FIRE TEX 5090",E331="CJ",J331=4),VLOOKUP(_xlfn.MINIFS('FIRE TEX 5090'!$Y$5:$Y$39,'FIRE TEX 5090'!$Y$5:$Y$39,"&gt;="&amp;M331),'FIRE TEX 5090'!$Y$5:$AD$39,IF(L331="F-15",2,IF(L331="F-30",3,IF(L331="F-60",4,IF(L331="F-90",5,IF(L331="F-120",6,IF(L331="F-150",7,0)))))),0),0)+IF(AND(O331="FIRE TEX 5120",OR(E331="IN",E331="C",E331="Z",E331="L"),J331=3),VLOOKUP(_xlfn.MINIFS('FIRE TEX 5120'!$B$5:$B$40,'FIRE TEX 5120'!$B$5:$B$40,"&gt;="&amp;M331),'FIRE TEX 5120'!$B$5:$G$40,IF(L331="F-15",2,IF(L331="F-30",3,IF(L331="F-60",4,IF(L331="F-90",5,IF(L331="F-120",6,0))))),0),0)+IF(AND(O331="FIRE TEX 5120",OR(E331="IN",E331="C",E331="Z",E331="L"),J331=4),VLOOKUP(_xlfn.MINIFS('FIRE TEX 5120'!$H$4:$H$40,'FIRE TEX 5120'!$H$4:$H$40,"&gt;="&amp;M331),'FIRE TEX 5120'!$H$4:$M$40,IF(L331="F-15",2,IF(L331="F-30",3,IF(L331="F-60",4,IF(L331="F-90",5,IF(L331="F-120",6,0))))),0),0)+IF(AND(O331="FIRE TEX 5120",E331="CJ"),VLOOKUP(_xlfn.MINIFS('FIRE TEX 5120'!$O$5:$O$40,'FIRE TEX 5120'!$O$5:$O$40,"&gt;="&amp;M331),'FIRE TEX 5120'!$O$5:$T$40,IF(L331="F-15",2,IF(L331="F-30",3,IF(L331="F-60",4,IF(L331="F-90",5,IF(L331="F-120",6,0))))),0),0)</f>
        <v>0</v>
      </c>
      <c r="Q331" s="46">
        <f t="shared" si="43"/>
        <v>0</v>
      </c>
      <c r="R331" s="46">
        <f t="shared" si="45"/>
        <v>0</v>
      </c>
      <c r="S331" s="46" t="e">
        <f t="shared" si="44"/>
        <v>#VALUE!</v>
      </c>
      <c r="T331" s="677">
        <f t="shared" si="46"/>
        <v>0</v>
      </c>
      <c r="U331" s="80">
        <f>(IF(O331="Stofire",(S331*#REF!),0))+(IF(O331="Fire Control",(S331*$U$2),0))+(IF(O331="Fire Tex",(S331*$U$3),0))+(IF(O331="WB7",(S331*#REF!),0)+(IF(O331="FX 2003",(S331*$U$5),0)))</f>
        <v>0</v>
      </c>
      <c r="V331" s="651">
        <f t="shared" si="42"/>
        <v>0</v>
      </c>
      <c r="W331" s="4"/>
    </row>
    <row r="332" spans="1:23" x14ac:dyDescent="0.25">
      <c r="A332" s="652" t="s">
        <v>461</v>
      </c>
      <c r="B332" s="653" t="s">
        <v>459</v>
      </c>
      <c r="C332" s="1" t="s">
        <v>462</v>
      </c>
      <c r="D332" s="118">
        <f>+CUBICACION!D331</f>
        <v>0</v>
      </c>
      <c r="E332" s="118">
        <f>+CUBICACION!F331</f>
        <v>0</v>
      </c>
      <c r="F332" s="118">
        <f>+CUBICACION!E331</f>
        <v>0</v>
      </c>
      <c r="G332" s="118">
        <v>12</v>
      </c>
      <c r="H332" s="118">
        <v>2</v>
      </c>
      <c r="I332" s="820">
        <v>26385</v>
      </c>
      <c r="J332" s="118">
        <f>+CUBICACION!J331</f>
        <v>0</v>
      </c>
      <c r="K332" s="118">
        <v>3111</v>
      </c>
      <c r="L332" s="118">
        <f>+CUBICACION!L331</f>
        <v>0</v>
      </c>
      <c r="M332" s="64">
        <f>+CUBICACION!M331</f>
        <v>0</v>
      </c>
      <c r="N332" s="824" t="str">
        <f>+CUBICACION!N331</f>
        <v/>
      </c>
      <c r="O332" s="675">
        <f>+CUBICACION!O331</f>
        <v>0</v>
      </c>
      <c r="P332" s="15">
        <f>IF(O332="Fire Control",VLOOKUP(_xlfn.MINIFS('FIRE CONTROL'!$C$4:$C$37,'FIRE CONTROL'!$C$4:$C$37,"&gt;="&amp;M332),'FIRE CONTROL'!$C$4:$G$37,IF(L332="F-15",2,IF(L332="F-30",3,IF(L332="F-60",4,IF(L332="F-90",5,0)))),0),0)+IF(AND(O332="FIRE TEX 5062",OR(E332="IN",E332="C",E332="Z",E332="L"),J332=3),VLOOKUP(_xlfn.MINIFS('FIRE TEX 5062'!$B$4:$B$34,'FIRE TEX 5062'!$B$4:$B$34,"&gt;="&amp;M332),'FIRE TEX 5062'!$B$4:$F$34,IF(L332="F-15",2,IF(L332="F-30",3,IF(L332="F-60",4,IF(L332="F-90",5,0)))),0),0)+IF(AND(O332="FIRE TEX 5062",OR(E332="IN",E332="C",E332="Z",E332="L"),J332=4),VLOOKUP(_xlfn.MINIFS('FIRE TEX 5062'!$G$4:$G$34,'FIRE TEX 5062'!$G$4:$G$34,"&gt;="&amp;M332),'FIRE TEX 5062'!$G$4:$K$34,IF(L332="F-15",2,IF(L332="F-30",3,IF(L332="F-60",4,IF(L332="F-90",5,0)))),0),0)+IF(AND(O332="FIRE TEX 5062",E332="CJ",J332=3),VLOOKUP(_xlfn.MINIFS('FIRE TEX 5062'!$L$4:$L$34,'FIRE TEX 5062'!$L$4:$L$34,"&gt;="&amp;M332),'FIRE TEX 5062'!$L$4:$P$34,IF(L332="F-15",2,IF(L332="F-30",3,IF(L332="F-60",4,IF(L332="F-90",5,0)))),0),0)+IF(AND(O332="FIRE TEX 5062",E332="CJ",J332=4),VLOOKUP(_xlfn.MINIFS('FIRE TEX 5062'!$Q$3:$Q$34,'FIRE TEX 5062'!$Q$3:$Q$34,"&gt;="&amp;M332),'FIRE TEX 5062'!$Q$3:$U$34,IF(L332="F-15",2,IF(L332="F-30",3,IF(L332="F-60",4,IF(L332="F-90",5,0)))),0),0)+IF(AND(O332="FIRE TEX 5090",OR(E332="IN",E332="C",E332="Z",E332="L"),J332=3),VLOOKUP(_xlfn.MINIFS('FIRE TEX 5090'!$B$5:$B$43,'FIRE TEX 5090'!$B$5:$B$43,"&gt;="&amp;M332),'FIRE TEX 5090'!$B$5:$H$43,IF(L332="F-15",2,IF(L332="F-30",3,IF(L332="F-60",4,IF(L332="F-90",5,IF(L332="F-120",6,IF(L332="F-150",7,0)))))),0),0)+IF(AND(O332="FIRE TEX 5090",OR(E332="IN",E332="C",E332="Z",E332="L"),J332=4),VLOOKUP(_xlfn.MINIFS('FIRE TEX 5090'!$J$5:$J$43,'FIRE TEX 5090'!$J$5:$J$43,"&gt;="&amp;M332),'FIRE TEX 5090'!$J$5:$P$43,IF(L332="F-15",2,IF(L332="F-30",3,IF(L332="F-60",4,IF(L332="F-90",5,IF(L332="F-120",6,IF(L332="F-150",7,0)))))),0),0)+IF(AND(O332="FIRE TEX 5090",E332="CJ",J332=3),VLOOKUP(_xlfn.MINIFS('FIRE TEX 5090'!$R$5:$R$30,'FIRE TEX 5090'!$R$5:$R$30,"&gt;="&amp;M332),'FIRE TEX 5090'!$R$5:$W$30,IF(L332="F-15",2,IF(L332="F-30",3,IF(L332="F-60",4,IF(L332="F-90",5,IF(L332="F-120",6,IF(L332="F-150",7,0)))))),0),0)+IF(AND(O332="FIRE TEX 5090",E332="CJ",J332=4),VLOOKUP(_xlfn.MINIFS('FIRE TEX 5090'!$Y$5:$Y$39,'FIRE TEX 5090'!$Y$5:$Y$39,"&gt;="&amp;M332),'FIRE TEX 5090'!$Y$5:$AD$39,IF(L332="F-15",2,IF(L332="F-30",3,IF(L332="F-60",4,IF(L332="F-90",5,IF(L332="F-120",6,IF(L332="F-150",7,0)))))),0),0)+IF(AND(O332="FIRE TEX 5120",OR(E332="IN",E332="C",E332="Z",E332="L"),J332=3),VLOOKUP(_xlfn.MINIFS('FIRE TEX 5120'!$B$5:$B$40,'FIRE TEX 5120'!$B$5:$B$40,"&gt;="&amp;M332),'FIRE TEX 5120'!$B$5:$G$40,IF(L332="F-15",2,IF(L332="F-30",3,IF(L332="F-60",4,IF(L332="F-90",5,IF(L332="F-120",6,0))))),0),0)+IF(AND(O332="FIRE TEX 5120",OR(E332="IN",E332="C",E332="Z",E332="L"),J332=4),VLOOKUP(_xlfn.MINIFS('FIRE TEX 5120'!$H$4:$H$40,'FIRE TEX 5120'!$H$4:$H$40,"&gt;="&amp;M332),'FIRE TEX 5120'!$H$4:$M$40,IF(L332="F-15",2,IF(L332="F-30",3,IF(L332="F-60",4,IF(L332="F-90",5,IF(L332="F-120",6,0))))),0),0)+IF(AND(O332="FIRE TEX 5120",E332="CJ"),VLOOKUP(_xlfn.MINIFS('FIRE TEX 5120'!$O$5:$O$40,'FIRE TEX 5120'!$O$5:$O$40,"&gt;="&amp;M332),'FIRE TEX 5120'!$O$5:$T$40,IF(L332="F-15",2,IF(L332="F-30",3,IF(L332="F-60",4,IF(L332="F-90",5,IF(L332="F-120",6,0))))),0),0)</f>
        <v>0</v>
      </c>
      <c r="Q332" s="46">
        <f t="shared" si="43"/>
        <v>0</v>
      </c>
      <c r="R332" s="46">
        <f t="shared" si="45"/>
        <v>0</v>
      </c>
      <c r="S332" s="46" t="e">
        <f t="shared" si="44"/>
        <v>#VALUE!</v>
      </c>
      <c r="T332" s="677">
        <f t="shared" si="46"/>
        <v>0</v>
      </c>
      <c r="U332" s="80">
        <f>(IF(O332="Stofire",(S332*#REF!),0))+(IF(O332="Fire Control",(S332*$U$2),0))+(IF(O332="Fire Tex",(S332*$U$3),0))+(IF(O332="WB7",(S332*#REF!),0)+(IF(O332="FX 2003",(S332*$U$5),0)))</f>
        <v>0</v>
      </c>
      <c r="V332" s="651">
        <f t="shared" si="42"/>
        <v>0</v>
      </c>
      <c r="W332" s="4"/>
    </row>
    <row r="333" spans="1:23" x14ac:dyDescent="0.25">
      <c r="A333" s="652" t="s">
        <v>461</v>
      </c>
      <c r="B333" s="653" t="s">
        <v>459</v>
      </c>
      <c r="C333" s="1" t="s">
        <v>408</v>
      </c>
      <c r="D333" s="118">
        <f>+CUBICACION!D332</f>
        <v>0</v>
      </c>
      <c r="E333" s="118">
        <f>+CUBICACION!F332</f>
        <v>0</v>
      </c>
      <c r="F333" s="118">
        <f>+CUBICACION!E332</f>
        <v>0</v>
      </c>
      <c r="G333" s="118">
        <v>12</v>
      </c>
      <c r="H333" s="118">
        <v>2</v>
      </c>
      <c r="I333" s="820">
        <v>26385</v>
      </c>
      <c r="J333" s="118">
        <f>+CUBICACION!J332</f>
        <v>0</v>
      </c>
      <c r="K333" s="118">
        <v>3112</v>
      </c>
      <c r="L333" s="118">
        <f>+CUBICACION!L332</f>
        <v>0</v>
      </c>
      <c r="M333" s="64">
        <f>+CUBICACION!M332</f>
        <v>0</v>
      </c>
      <c r="N333" s="824" t="str">
        <f>+CUBICACION!N332</f>
        <v/>
      </c>
      <c r="O333" s="675">
        <f>+CUBICACION!O332</f>
        <v>0</v>
      </c>
      <c r="P333" s="15">
        <f>IF(O333="Fire Control",VLOOKUP(_xlfn.MINIFS('FIRE CONTROL'!$C$4:$C$37,'FIRE CONTROL'!$C$4:$C$37,"&gt;="&amp;M333),'FIRE CONTROL'!$C$4:$G$37,IF(L333="F-15",2,IF(L333="F-30",3,IF(L333="F-60",4,IF(L333="F-90",5,0)))),0),0)+IF(AND(O333="FIRE TEX 5062",OR(E333="IN",E333="C",E333="Z",E333="L"),J333=3),VLOOKUP(_xlfn.MINIFS('FIRE TEX 5062'!$B$4:$B$34,'FIRE TEX 5062'!$B$4:$B$34,"&gt;="&amp;M333),'FIRE TEX 5062'!$B$4:$F$34,IF(L333="F-15",2,IF(L333="F-30",3,IF(L333="F-60",4,IF(L333="F-90",5,0)))),0),0)+IF(AND(O333="FIRE TEX 5062",OR(E333="IN",E333="C",E333="Z",E333="L"),J333=4),VLOOKUP(_xlfn.MINIFS('FIRE TEX 5062'!$G$4:$G$34,'FIRE TEX 5062'!$G$4:$G$34,"&gt;="&amp;M333),'FIRE TEX 5062'!$G$4:$K$34,IF(L333="F-15",2,IF(L333="F-30",3,IF(L333="F-60",4,IF(L333="F-90",5,0)))),0),0)+IF(AND(O333="FIRE TEX 5062",E333="CJ",J333=3),VLOOKUP(_xlfn.MINIFS('FIRE TEX 5062'!$L$4:$L$34,'FIRE TEX 5062'!$L$4:$L$34,"&gt;="&amp;M333),'FIRE TEX 5062'!$L$4:$P$34,IF(L333="F-15",2,IF(L333="F-30",3,IF(L333="F-60",4,IF(L333="F-90",5,0)))),0),0)+IF(AND(O333="FIRE TEX 5062",E333="CJ",J333=4),VLOOKUP(_xlfn.MINIFS('FIRE TEX 5062'!$Q$3:$Q$34,'FIRE TEX 5062'!$Q$3:$Q$34,"&gt;="&amp;M333),'FIRE TEX 5062'!$Q$3:$U$34,IF(L333="F-15",2,IF(L333="F-30",3,IF(L333="F-60",4,IF(L333="F-90",5,0)))),0),0)+IF(AND(O333="FIRE TEX 5090",OR(E333="IN",E333="C",E333="Z",E333="L"),J333=3),VLOOKUP(_xlfn.MINIFS('FIRE TEX 5090'!$B$5:$B$43,'FIRE TEX 5090'!$B$5:$B$43,"&gt;="&amp;M333),'FIRE TEX 5090'!$B$5:$H$43,IF(L333="F-15",2,IF(L333="F-30",3,IF(L333="F-60",4,IF(L333="F-90",5,IF(L333="F-120",6,IF(L333="F-150",7,0)))))),0),0)+IF(AND(O333="FIRE TEX 5090",OR(E333="IN",E333="C",E333="Z",E333="L"),J333=4),VLOOKUP(_xlfn.MINIFS('FIRE TEX 5090'!$J$5:$J$43,'FIRE TEX 5090'!$J$5:$J$43,"&gt;="&amp;M333),'FIRE TEX 5090'!$J$5:$P$43,IF(L333="F-15",2,IF(L333="F-30",3,IF(L333="F-60",4,IF(L333="F-90",5,IF(L333="F-120",6,IF(L333="F-150",7,0)))))),0),0)+IF(AND(O333="FIRE TEX 5090",E333="CJ",J333=3),VLOOKUP(_xlfn.MINIFS('FIRE TEX 5090'!$R$5:$R$30,'FIRE TEX 5090'!$R$5:$R$30,"&gt;="&amp;M333),'FIRE TEX 5090'!$R$5:$W$30,IF(L333="F-15",2,IF(L333="F-30",3,IF(L333="F-60",4,IF(L333="F-90",5,IF(L333="F-120",6,IF(L333="F-150",7,0)))))),0),0)+IF(AND(O333="FIRE TEX 5090",E333="CJ",J333=4),VLOOKUP(_xlfn.MINIFS('FIRE TEX 5090'!$Y$5:$Y$39,'FIRE TEX 5090'!$Y$5:$Y$39,"&gt;="&amp;M333),'FIRE TEX 5090'!$Y$5:$AD$39,IF(L333="F-15",2,IF(L333="F-30",3,IF(L333="F-60",4,IF(L333="F-90",5,IF(L333="F-120",6,IF(L333="F-150",7,0)))))),0),0)+IF(AND(O333="FIRE TEX 5120",OR(E333="IN",E333="C",E333="Z",E333="L"),J333=3),VLOOKUP(_xlfn.MINIFS('FIRE TEX 5120'!$B$5:$B$40,'FIRE TEX 5120'!$B$5:$B$40,"&gt;="&amp;M333),'FIRE TEX 5120'!$B$5:$G$40,IF(L333="F-15",2,IF(L333="F-30",3,IF(L333="F-60",4,IF(L333="F-90",5,IF(L333="F-120",6,0))))),0),0)+IF(AND(O333="FIRE TEX 5120",OR(E333="IN",E333="C",E333="Z",E333="L"),J333=4),VLOOKUP(_xlfn.MINIFS('FIRE TEX 5120'!$H$4:$H$40,'FIRE TEX 5120'!$H$4:$H$40,"&gt;="&amp;M333),'FIRE TEX 5120'!$H$4:$M$40,IF(L333="F-15",2,IF(L333="F-30",3,IF(L333="F-60",4,IF(L333="F-90",5,IF(L333="F-120",6,0))))),0),0)+IF(AND(O333="FIRE TEX 5120",E333="CJ"),VLOOKUP(_xlfn.MINIFS('FIRE TEX 5120'!$O$5:$O$40,'FIRE TEX 5120'!$O$5:$O$40,"&gt;="&amp;M333),'FIRE TEX 5120'!$O$5:$T$40,IF(L333="F-15",2,IF(L333="F-30",3,IF(L333="F-60",4,IF(L333="F-90",5,IF(L333="F-120",6,0))))),0),0)</f>
        <v>0</v>
      </c>
      <c r="Q333" s="46">
        <f t="shared" si="43"/>
        <v>0</v>
      </c>
      <c r="R333" s="46">
        <f t="shared" si="45"/>
        <v>0</v>
      </c>
      <c r="S333" s="46" t="e">
        <f t="shared" si="44"/>
        <v>#VALUE!</v>
      </c>
      <c r="T333" s="677">
        <f t="shared" si="46"/>
        <v>0</v>
      </c>
      <c r="U333" s="80">
        <f>(IF(O333="Stofire",(S333*#REF!),0))+(IF(O333="Fire Control",(S333*$U$2),0))+(IF(O333="Fire Tex",(S333*$U$3),0))+(IF(O333="WB7",(S333*#REF!),0)+(IF(O333="FX 2003",(S333*$U$5),0)))</f>
        <v>0</v>
      </c>
      <c r="V333" s="651">
        <f t="shared" si="42"/>
        <v>0</v>
      </c>
      <c r="W333" s="4"/>
    </row>
    <row r="334" spans="1:23" x14ac:dyDescent="0.25">
      <c r="A334" s="652" t="s">
        <v>461</v>
      </c>
      <c r="B334" s="653" t="s">
        <v>459</v>
      </c>
      <c r="C334" s="1" t="s">
        <v>408</v>
      </c>
      <c r="D334" s="118">
        <f>+CUBICACION!D333</f>
        <v>0</v>
      </c>
      <c r="E334" s="118">
        <f>+CUBICACION!F333</f>
        <v>0</v>
      </c>
      <c r="F334" s="118">
        <f>+CUBICACION!E333</f>
        <v>0</v>
      </c>
      <c r="G334" s="118">
        <v>12</v>
      </c>
      <c r="H334" s="118">
        <v>2</v>
      </c>
      <c r="I334" s="820">
        <v>26385</v>
      </c>
      <c r="J334" s="118">
        <f>+CUBICACION!J333</f>
        <v>0</v>
      </c>
      <c r="K334" s="118">
        <v>3113</v>
      </c>
      <c r="L334" s="118">
        <f>+CUBICACION!L333</f>
        <v>0</v>
      </c>
      <c r="M334" s="64">
        <f>+CUBICACION!M333</f>
        <v>0</v>
      </c>
      <c r="N334" s="824" t="str">
        <f>+CUBICACION!N333</f>
        <v/>
      </c>
      <c r="O334" s="675">
        <f>+CUBICACION!O333</f>
        <v>0</v>
      </c>
      <c r="P334" s="15">
        <f>IF(O334="Fire Control",VLOOKUP(_xlfn.MINIFS('FIRE CONTROL'!$C$4:$C$37,'FIRE CONTROL'!$C$4:$C$37,"&gt;="&amp;M334),'FIRE CONTROL'!$C$4:$G$37,IF(L334="F-15",2,IF(L334="F-30",3,IF(L334="F-60",4,IF(L334="F-90",5,0)))),0),0)+IF(AND(O334="FIRE TEX 5062",OR(E334="IN",E334="C",E334="Z",E334="L"),J334=3),VLOOKUP(_xlfn.MINIFS('FIRE TEX 5062'!$B$4:$B$34,'FIRE TEX 5062'!$B$4:$B$34,"&gt;="&amp;M334),'FIRE TEX 5062'!$B$4:$F$34,IF(L334="F-15",2,IF(L334="F-30",3,IF(L334="F-60",4,IF(L334="F-90",5,0)))),0),0)+IF(AND(O334="FIRE TEX 5062",OR(E334="IN",E334="C",E334="Z",E334="L"),J334=4),VLOOKUP(_xlfn.MINIFS('FIRE TEX 5062'!$G$4:$G$34,'FIRE TEX 5062'!$G$4:$G$34,"&gt;="&amp;M334),'FIRE TEX 5062'!$G$4:$K$34,IF(L334="F-15",2,IF(L334="F-30",3,IF(L334="F-60",4,IF(L334="F-90",5,0)))),0),0)+IF(AND(O334="FIRE TEX 5062",E334="CJ",J334=3),VLOOKUP(_xlfn.MINIFS('FIRE TEX 5062'!$L$4:$L$34,'FIRE TEX 5062'!$L$4:$L$34,"&gt;="&amp;M334),'FIRE TEX 5062'!$L$4:$P$34,IF(L334="F-15",2,IF(L334="F-30",3,IF(L334="F-60",4,IF(L334="F-90",5,0)))),0),0)+IF(AND(O334="FIRE TEX 5062",E334="CJ",J334=4),VLOOKUP(_xlfn.MINIFS('FIRE TEX 5062'!$Q$3:$Q$34,'FIRE TEX 5062'!$Q$3:$Q$34,"&gt;="&amp;M334),'FIRE TEX 5062'!$Q$3:$U$34,IF(L334="F-15",2,IF(L334="F-30",3,IF(L334="F-60",4,IF(L334="F-90",5,0)))),0),0)+IF(AND(O334="FIRE TEX 5090",OR(E334="IN",E334="C",E334="Z",E334="L"),J334=3),VLOOKUP(_xlfn.MINIFS('FIRE TEX 5090'!$B$5:$B$43,'FIRE TEX 5090'!$B$5:$B$43,"&gt;="&amp;M334),'FIRE TEX 5090'!$B$5:$H$43,IF(L334="F-15",2,IF(L334="F-30",3,IF(L334="F-60",4,IF(L334="F-90",5,IF(L334="F-120",6,IF(L334="F-150",7,0)))))),0),0)+IF(AND(O334="FIRE TEX 5090",OR(E334="IN",E334="C",E334="Z",E334="L"),J334=4),VLOOKUP(_xlfn.MINIFS('FIRE TEX 5090'!$J$5:$J$43,'FIRE TEX 5090'!$J$5:$J$43,"&gt;="&amp;M334),'FIRE TEX 5090'!$J$5:$P$43,IF(L334="F-15",2,IF(L334="F-30",3,IF(L334="F-60",4,IF(L334="F-90",5,IF(L334="F-120",6,IF(L334="F-150",7,0)))))),0),0)+IF(AND(O334="FIRE TEX 5090",E334="CJ",J334=3),VLOOKUP(_xlfn.MINIFS('FIRE TEX 5090'!$R$5:$R$30,'FIRE TEX 5090'!$R$5:$R$30,"&gt;="&amp;M334),'FIRE TEX 5090'!$R$5:$W$30,IF(L334="F-15",2,IF(L334="F-30",3,IF(L334="F-60",4,IF(L334="F-90",5,IF(L334="F-120",6,IF(L334="F-150",7,0)))))),0),0)+IF(AND(O334="FIRE TEX 5090",E334="CJ",J334=4),VLOOKUP(_xlfn.MINIFS('FIRE TEX 5090'!$Y$5:$Y$39,'FIRE TEX 5090'!$Y$5:$Y$39,"&gt;="&amp;M334),'FIRE TEX 5090'!$Y$5:$AD$39,IF(L334="F-15",2,IF(L334="F-30",3,IF(L334="F-60",4,IF(L334="F-90",5,IF(L334="F-120",6,IF(L334="F-150",7,0)))))),0),0)+IF(AND(O334="FIRE TEX 5120",OR(E334="IN",E334="C",E334="Z",E334="L"),J334=3),VLOOKUP(_xlfn.MINIFS('FIRE TEX 5120'!$B$5:$B$40,'FIRE TEX 5120'!$B$5:$B$40,"&gt;="&amp;M334),'FIRE TEX 5120'!$B$5:$G$40,IF(L334="F-15",2,IF(L334="F-30",3,IF(L334="F-60",4,IF(L334="F-90",5,IF(L334="F-120",6,0))))),0),0)+IF(AND(O334="FIRE TEX 5120",OR(E334="IN",E334="C",E334="Z",E334="L"),J334=4),VLOOKUP(_xlfn.MINIFS('FIRE TEX 5120'!$H$4:$H$40,'FIRE TEX 5120'!$H$4:$H$40,"&gt;="&amp;M334),'FIRE TEX 5120'!$H$4:$M$40,IF(L334="F-15",2,IF(L334="F-30",3,IF(L334="F-60",4,IF(L334="F-90",5,IF(L334="F-120",6,0))))),0),0)+IF(AND(O334="FIRE TEX 5120",E334="CJ"),VLOOKUP(_xlfn.MINIFS('FIRE TEX 5120'!$O$5:$O$40,'FIRE TEX 5120'!$O$5:$O$40,"&gt;="&amp;M334),'FIRE TEX 5120'!$O$5:$T$40,IF(L334="F-15",2,IF(L334="F-30",3,IF(L334="F-60",4,IF(L334="F-90",5,IF(L334="F-120",6,0))))),0),0)</f>
        <v>0</v>
      </c>
      <c r="Q334" s="46">
        <f t="shared" si="43"/>
        <v>0</v>
      </c>
      <c r="R334" s="46">
        <f t="shared" si="45"/>
        <v>0</v>
      </c>
      <c r="S334" s="46" t="e">
        <f t="shared" si="44"/>
        <v>#VALUE!</v>
      </c>
      <c r="T334" s="677">
        <f t="shared" si="46"/>
        <v>0</v>
      </c>
      <c r="U334" s="80">
        <f>(IF(O334="Stofire",(S334*#REF!),0))+(IF(O334="Fire Control",(S334*$U$2),0))+(IF(O334="Fire Tex",(S334*$U$3),0))+(IF(O334="WB7",(S334*#REF!),0)+(IF(O334="FX 2003",(S334*$U$5),0)))</f>
        <v>0</v>
      </c>
      <c r="V334" s="651">
        <f t="shared" si="42"/>
        <v>0</v>
      </c>
      <c r="W334" s="4"/>
    </row>
    <row r="335" spans="1:23" x14ac:dyDescent="0.25">
      <c r="A335" s="652" t="s">
        <v>406</v>
      </c>
      <c r="B335" s="653" t="s">
        <v>407</v>
      </c>
      <c r="C335" s="1" t="s">
        <v>408</v>
      </c>
      <c r="D335" s="118">
        <f>+CUBICACION!D334</f>
        <v>0</v>
      </c>
      <c r="E335" s="118">
        <f>+CUBICACION!F334</f>
        <v>0</v>
      </c>
      <c r="F335" s="118">
        <f>+CUBICACION!E334</f>
        <v>0</v>
      </c>
      <c r="G335" s="118">
        <v>12</v>
      </c>
      <c r="H335" s="118">
        <v>2</v>
      </c>
      <c r="I335" s="820">
        <v>26385</v>
      </c>
      <c r="J335" s="118">
        <f>+CUBICACION!J334</f>
        <v>0</v>
      </c>
      <c r="K335" s="118">
        <v>3114</v>
      </c>
      <c r="L335" s="118">
        <f>+CUBICACION!L334</f>
        <v>0</v>
      </c>
      <c r="M335" s="64">
        <f>+CUBICACION!M334</f>
        <v>0</v>
      </c>
      <c r="N335" s="824" t="str">
        <f>+CUBICACION!N334</f>
        <v/>
      </c>
      <c r="O335" s="675">
        <f>+CUBICACION!O334</f>
        <v>0</v>
      </c>
      <c r="P335" s="15">
        <f>IF(O335="Fire Control",VLOOKUP(_xlfn.MINIFS('FIRE CONTROL'!$C$4:$C$37,'FIRE CONTROL'!$C$4:$C$37,"&gt;="&amp;M335),'FIRE CONTROL'!$C$4:$G$37,IF(L335="F-15",2,IF(L335="F-30",3,IF(L335="F-60",4,IF(L335="F-90",5,0)))),0),0)+IF(AND(O335="FIRE TEX 5062",OR(E335="IN",E335="C",E335="Z",E335="L"),J335=3),VLOOKUP(_xlfn.MINIFS('FIRE TEX 5062'!$B$4:$B$34,'FIRE TEX 5062'!$B$4:$B$34,"&gt;="&amp;M335),'FIRE TEX 5062'!$B$4:$F$34,IF(L335="F-15",2,IF(L335="F-30",3,IF(L335="F-60",4,IF(L335="F-90",5,0)))),0),0)+IF(AND(O335="FIRE TEX 5062",OR(E335="IN",E335="C",E335="Z",E335="L"),J335=4),VLOOKUP(_xlfn.MINIFS('FIRE TEX 5062'!$G$4:$G$34,'FIRE TEX 5062'!$G$4:$G$34,"&gt;="&amp;M335),'FIRE TEX 5062'!$G$4:$K$34,IF(L335="F-15",2,IF(L335="F-30",3,IF(L335="F-60",4,IF(L335="F-90",5,0)))),0),0)+IF(AND(O335="FIRE TEX 5062",E335="CJ",J335=3),VLOOKUP(_xlfn.MINIFS('FIRE TEX 5062'!$L$4:$L$34,'FIRE TEX 5062'!$L$4:$L$34,"&gt;="&amp;M335),'FIRE TEX 5062'!$L$4:$P$34,IF(L335="F-15",2,IF(L335="F-30",3,IF(L335="F-60",4,IF(L335="F-90",5,0)))),0),0)+IF(AND(O335="FIRE TEX 5062",E335="CJ",J335=4),VLOOKUP(_xlfn.MINIFS('FIRE TEX 5062'!$Q$3:$Q$34,'FIRE TEX 5062'!$Q$3:$Q$34,"&gt;="&amp;M335),'FIRE TEX 5062'!$Q$3:$U$34,IF(L335="F-15",2,IF(L335="F-30",3,IF(L335="F-60",4,IF(L335="F-90",5,0)))),0),0)+IF(AND(O335="FIRE TEX 5090",OR(E335="IN",E335="C",E335="Z",E335="L"),J335=3),VLOOKUP(_xlfn.MINIFS('FIRE TEX 5090'!$B$5:$B$43,'FIRE TEX 5090'!$B$5:$B$43,"&gt;="&amp;M335),'FIRE TEX 5090'!$B$5:$H$43,IF(L335="F-15",2,IF(L335="F-30",3,IF(L335="F-60",4,IF(L335="F-90",5,IF(L335="F-120",6,IF(L335="F-150",7,0)))))),0),0)+IF(AND(O335="FIRE TEX 5090",OR(E335="IN",E335="C",E335="Z",E335="L"),J335=4),VLOOKUP(_xlfn.MINIFS('FIRE TEX 5090'!$J$5:$J$43,'FIRE TEX 5090'!$J$5:$J$43,"&gt;="&amp;M335),'FIRE TEX 5090'!$J$5:$P$43,IF(L335="F-15",2,IF(L335="F-30",3,IF(L335="F-60",4,IF(L335="F-90",5,IF(L335="F-120",6,IF(L335="F-150",7,0)))))),0),0)+IF(AND(O335="FIRE TEX 5090",E335="CJ",J335=3),VLOOKUP(_xlfn.MINIFS('FIRE TEX 5090'!$R$5:$R$30,'FIRE TEX 5090'!$R$5:$R$30,"&gt;="&amp;M335),'FIRE TEX 5090'!$R$5:$W$30,IF(L335="F-15",2,IF(L335="F-30",3,IF(L335="F-60",4,IF(L335="F-90",5,IF(L335="F-120",6,IF(L335="F-150",7,0)))))),0),0)+IF(AND(O335="FIRE TEX 5090",E335="CJ",J335=4),VLOOKUP(_xlfn.MINIFS('FIRE TEX 5090'!$Y$5:$Y$39,'FIRE TEX 5090'!$Y$5:$Y$39,"&gt;="&amp;M335),'FIRE TEX 5090'!$Y$5:$AD$39,IF(L335="F-15",2,IF(L335="F-30",3,IF(L335="F-60",4,IF(L335="F-90",5,IF(L335="F-120",6,IF(L335="F-150",7,0)))))),0),0)+IF(AND(O335="FIRE TEX 5120",OR(E335="IN",E335="C",E335="Z",E335="L"),J335=3),VLOOKUP(_xlfn.MINIFS('FIRE TEX 5120'!$B$5:$B$40,'FIRE TEX 5120'!$B$5:$B$40,"&gt;="&amp;M335),'FIRE TEX 5120'!$B$5:$G$40,IF(L335="F-15",2,IF(L335="F-30",3,IF(L335="F-60",4,IF(L335="F-90",5,IF(L335="F-120",6,0))))),0),0)+IF(AND(O335="FIRE TEX 5120",OR(E335="IN",E335="C",E335="Z",E335="L"),J335=4),VLOOKUP(_xlfn.MINIFS('FIRE TEX 5120'!$H$4:$H$40,'FIRE TEX 5120'!$H$4:$H$40,"&gt;="&amp;M335),'FIRE TEX 5120'!$H$4:$M$40,IF(L335="F-15",2,IF(L335="F-30",3,IF(L335="F-60",4,IF(L335="F-90",5,IF(L335="F-120",6,0))))),0),0)+IF(AND(O335="FIRE TEX 5120",E335="CJ"),VLOOKUP(_xlfn.MINIFS('FIRE TEX 5120'!$O$5:$O$40,'FIRE TEX 5120'!$O$5:$O$40,"&gt;="&amp;M335),'FIRE TEX 5120'!$O$5:$T$40,IF(L335="F-15",2,IF(L335="F-30",3,IF(L335="F-60",4,IF(L335="F-90",5,IF(L335="F-120",6,0))))),0),0)</f>
        <v>0</v>
      </c>
      <c r="Q335" s="46">
        <f t="shared" si="43"/>
        <v>0</v>
      </c>
      <c r="R335" s="46">
        <f t="shared" si="45"/>
        <v>0</v>
      </c>
      <c r="S335" s="46" t="e">
        <f t="shared" si="44"/>
        <v>#VALUE!</v>
      </c>
      <c r="T335" s="677">
        <f t="shared" si="46"/>
        <v>0</v>
      </c>
      <c r="U335" s="80">
        <f>(IF(O335="Stofire",(S335*#REF!),0))+(IF(O335="Fire Control",(S335*$U$2),0))+(IF(O335="Fire Tex",(S335*$U$3),0))+(IF(O335="WB7",(S335*#REF!),0)+(IF(O335="FX 2003",(S335*$U$5),0)))</f>
        <v>0</v>
      </c>
      <c r="V335" s="649">
        <f>_xlfn.CEILING.MATH(M335,10)</f>
        <v>0</v>
      </c>
      <c r="W335" s="4"/>
    </row>
    <row r="336" spans="1:23" x14ac:dyDescent="0.25">
      <c r="A336" s="652" t="s">
        <v>406</v>
      </c>
      <c r="B336" s="653" t="s">
        <v>407</v>
      </c>
      <c r="C336" s="1" t="s">
        <v>408</v>
      </c>
      <c r="D336" s="118">
        <f>+CUBICACION!D335</f>
        <v>0</v>
      </c>
      <c r="E336" s="118">
        <f>+CUBICACION!F335</f>
        <v>0</v>
      </c>
      <c r="F336" s="118">
        <f>+CUBICACION!E335</f>
        <v>0</v>
      </c>
      <c r="G336" s="118">
        <v>12</v>
      </c>
      <c r="H336" s="118">
        <v>2</v>
      </c>
      <c r="I336" s="820">
        <v>26385</v>
      </c>
      <c r="J336" s="118">
        <f>+CUBICACION!J335</f>
        <v>0</v>
      </c>
      <c r="K336" s="118">
        <v>3115</v>
      </c>
      <c r="L336" s="118">
        <f>+CUBICACION!L335</f>
        <v>0</v>
      </c>
      <c r="M336" s="64">
        <f>+CUBICACION!M335</f>
        <v>0</v>
      </c>
      <c r="N336" s="824" t="str">
        <f>+CUBICACION!N335</f>
        <v/>
      </c>
      <c r="O336" s="675">
        <f>+CUBICACION!O335</f>
        <v>0</v>
      </c>
      <c r="P336" s="15">
        <f>IF(O336="Fire Control",VLOOKUP(_xlfn.MINIFS('FIRE CONTROL'!$C$4:$C$37,'FIRE CONTROL'!$C$4:$C$37,"&gt;="&amp;M336),'FIRE CONTROL'!$C$4:$G$37,IF(L336="F-15",2,IF(L336="F-30",3,IF(L336="F-60",4,IF(L336="F-90",5,0)))),0),0)+IF(AND(O336="FIRE TEX 5062",OR(E336="IN",E336="C",E336="Z",E336="L"),J336=3),VLOOKUP(_xlfn.MINIFS('FIRE TEX 5062'!$B$4:$B$34,'FIRE TEX 5062'!$B$4:$B$34,"&gt;="&amp;M336),'FIRE TEX 5062'!$B$4:$F$34,IF(L336="F-15",2,IF(L336="F-30",3,IF(L336="F-60",4,IF(L336="F-90",5,0)))),0),0)+IF(AND(O336="FIRE TEX 5062",OR(E336="IN",E336="C",E336="Z",E336="L"),J336=4),VLOOKUP(_xlfn.MINIFS('FIRE TEX 5062'!$G$4:$G$34,'FIRE TEX 5062'!$G$4:$G$34,"&gt;="&amp;M336),'FIRE TEX 5062'!$G$4:$K$34,IF(L336="F-15",2,IF(L336="F-30",3,IF(L336="F-60",4,IF(L336="F-90",5,0)))),0),0)+IF(AND(O336="FIRE TEX 5062",E336="CJ",J336=3),VLOOKUP(_xlfn.MINIFS('FIRE TEX 5062'!$L$4:$L$34,'FIRE TEX 5062'!$L$4:$L$34,"&gt;="&amp;M336),'FIRE TEX 5062'!$L$4:$P$34,IF(L336="F-15",2,IF(L336="F-30",3,IF(L336="F-60",4,IF(L336="F-90",5,0)))),0),0)+IF(AND(O336="FIRE TEX 5062",E336="CJ",J336=4),VLOOKUP(_xlfn.MINIFS('FIRE TEX 5062'!$Q$3:$Q$34,'FIRE TEX 5062'!$Q$3:$Q$34,"&gt;="&amp;M336),'FIRE TEX 5062'!$Q$3:$U$34,IF(L336="F-15",2,IF(L336="F-30",3,IF(L336="F-60",4,IF(L336="F-90",5,0)))),0),0)+IF(AND(O336="FIRE TEX 5090",OR(E336="IN",E336="C",E336="Z",E336="L"),J336=3),VLOOKUP(_xlfn.MINIFS('FIRE TEX 5090'!$B$5:$B$43,'FIRE TEX 5090'!$B$5:$B$43,"&gt;="&amp;M336),'FIRE TEX 5090'!$B$5:$H$43,IF(L336="F-15",2,IF(L336="F-30",3,IF(L336="F-60",4,IF(L336="F-90",5,IF(L336="F-120",6,IF(L336="F-150",7,0)))))),0),0)+IF(AND(O336="FIRE TEX 5090",OR(E336="IN",E336="C",E336="Z",E336="L"),J336=4),VLOOKUP(_xlfn.MINIFS('FIRE TEX 5090'!$J$5:$J$43,'FIRE TEX 5090'!$J$5:$J$43,"&gt;="&amp;M336),'FIRE TEX 5090'!$J$5:$P$43,IF(L336="F-15",2,IF(L336="F-30",3,IF(L336="F-60",4,IF(L336="F-90",5,IF(L336="F-120",6,IF(L336="F-150",7,0)))))),0),0)+IF(AND(O336="FIRE TEX 5090",E336="CJ",J336=3),VLOOKUP(_xlfn.MINIFS('FIRE TEX 5090'!$R$5:$R$30,'FIRE TEX 5090'!$R$5:$R$30,"&gt;="&amp;M336),'FIRE TEX 5090'!$R$5:$W$30,IF(L336="F-15",2,IF(L336="F-30",3,IF(L336="F-60",4,IF(L336="F-90",5,IF(L336="F-120",6,IF(L336="F-150",7,0)))))),0),0)+IF(AND(O336="FIRE TEX 5090",E336="CJ",J336=4),VLOOKUP(_xlfn.MINIFS('FIRE TEX 5090'!$Y$5:$Y$39,'FIRE TEX 5090'!$Y$5:$Y$39,"&gt;="&amp;M336),'FIRE TEX 5090'!$Y$5:$AD$39,IF(L336="F-15",2,IF(L336="F-30",3,IF(L336="F-60",4,IF(L336="F-90",5,IF(L336="F-120",6,IF(L336="F-150",7,0)))))),0),0)+IF(AND(O336="FIRE TEX 5120",OR(E336="IN",E336="C",E336="Z",E336="L"),J336=3),VLOOKUP(_xlfn.MINIFS('FIRE TEX 5120'!$B$5:$B$40,'FIRE TEX 5120'!$B$5:$B$40,"&gt;="&amp;M336),'FIRE TEX 5120'!$B$5:$G$40,IF(L336="F-15",2,IF(L336="F-30",3,IF(L336="F-60",4,IF(L336="F-90",5,IF(L336="F-120",6,0))))),0),0)+IF(AND(O336="FIRE TEX 5120",OR(E336="IN",E336="C",E336="Z",E336="L"),J336=4),VLOOKUP(_xlfn.MINIFS('FIRE TEX 5120'!$H$4:$H$40,'FIRE TEX 5120'!$H$4:$H$40,"&gt;="&amp;M336),'FIRE TEX 5120'!$H$4:$M$40,IF(L336="F-15",2,IF(L336="F-30",3,IF(L336="F-60",4,IF(L336="F-90",5,IF(L336="F-120",6,0))))),0),0)+IF(AND(O336="FIRE TEX 5120",E336="CJ"),VLOOKUP(_xlfn.MINIFS('FIRE TEX 5120'!$O$5:$O$40,'FIRE TEX 5120'!$O$5:$O$40,"&gt;="&amp;M336),'FIRE TEX 5120'!$O$5:$T$40,IF(L336="F-15",2,IF(L336="F-30",3,IF(L336="F-60",4,IF(L336="F-90",5,IF(L336="F-120",6,0))))),0),0)</f>
        <v>0</v>
      </c>
      <c r="Q336" s="46">
        <f t="shared" si="43"/>
        <v>0</v>
      </c>
      <c r="R336" s="46">
        <f t="shared" si="45"/>
        <v>0</v>
      </c>
      <c r="S336" s="46" t="e">
        <f t="shared" si="44"/>
        <v>#VALUE!</v>
      </c>
      <c r="T336" s="677">
        <f t="shared" si="46"/>
        <v>0</v>
      </c>
      <c r="U336" s="80">
        <f>(IF(O336="Stofire",(S336*#REF!),0))+(IF(O336="Fire Control",(S336*$U$2),0))+(IF(O336="Fire Tex",(S336*$U$3),0))+(IF(O336="WB7",(S336*#REF!),0)+(IF(O336="FX 2003",(S336*$U$5),0)))</f>
        <v>0</v>
      </c>
      <c r="V336" s="651">
        <f>_xlfn.CEILING.MATH(M336,10)</f>
        <v>0</v>
      </c>
      <c r="W336" s="4"/>
    </row>
    <row r="337" spans="1:23" x14ac:dyDescent="0.25">
      <c r="A337" s="652" t="s">
        <v>409</v>
      </c>
      <c r="B337" s="653" t="s">
        <v>410</v>
      </c>
      <c r="C337" s="1" t="s">
        <v>408</v>
      </c>
      <c r="D337" s="118">
        <f>+CUBICACION!D336</f>
        <v>0</v>
      </c>
      <c r="E337" s="118">
        <f>+CUBICACION!F336</f>
        <v>0</v>
      </c>
      <c r="F337" s="118">
        <f>+CUBICACION!E336</f>
        <v>0</v>
      </c>
      <c r="G337" s="118">
        <v>12</v>
      </c>
      <c r="H337" s="118">
        <v>2</v>
      </c>
      <c r="I337" s="820">
        <v>26385</v>
      </c>
      <c r="J337" s="118">
        <f>+CUBICACION!J336</f>
        <v>0</v>
      </c>
      <c r="K337" s="118">
        <v>3116</v>
      </c>
      <c r="L337" s="118">
        <f>+CUBICACION!L336</f>
        <v>0</v>
      </c>
      <c r="M337" s="64">
        <f>+CUBICACION!M336</f>
        <v>0</v>
      </c>
      <c r="N337" s="824" t="str">
        <f>+CUBICACION!N336</f>
        <v/>
      </c>
      <c r="O337" s="675">
        <f>+CUBICACION!O336</f>
        <v>0</v>
      </c>
      <c r="P337" s="15">
        <f>IF(O337="Fire Control",VLOOKUP(_xlfn.MINIFS('FIRE CONTROL'!$C$4:$C$37,'FIRE CONTROL'!$C$4:$C$37,"&gt;="&amp;M337),'FIRE CONTROL'!$C$4:$G$37,IF(L337="F-15",2,IF(L337="F-30",3,IF(L337="F-60",4,IF(L337="F-90",5,0)))),0),0)+IF(AND(O337="FIRE TEX 5062",OR(E337="IN",E337="C",E337="Z",E337="L"),J337=3),VLOOKUP(_xlfn.MINIFS('FIRE TEX 5062'!$B$4:$B$34,'FIRE TEX 5062'!$B$4:$B$34,"&gt;="&amp;M337),'FIRE TEX 5062'!$B$4:$F$34,IF(L337="F-15",2,IF(L337="F-30",3,IF(L337="F-60",4,IF(L337="F-90",5,0)))),0),0)+IF(AND(O337="FIRE TEX 5062",OR(E337="IN",E337="C",E337="Z",E337="L"),J337=4),VLOOKUP(_xlfn.MINIFS('FIRE TEX 5062'!$G$4:$G$34,'FIRE TEX 5062'!$G$4:$G$34,"&gt;="&amp;M337),'FIRE TEX 5062'!$G$4:$K$34,IF(L337="F-15",2,IF(L337="F-30",3,IF(L337="F-60",4,IF(L337="F-90",5,0)))),0),0)+IF(AND(O337="FIRE TEX 5062",E337="CJ",J337=3),VLOOKUP(_xlfn.MINIFS('FIRE TEX 5062'!$L$4:$L$34,'FIRE TEX 5062'!$L$4:$L$34,"&gt;="&amp;M337),'FIRE TEX 5062'!$L$4:$P$34,IF(L337="F-15",2,IF(L337="F-30",3,IF(L337="F-60",4,IF(L337="F-90",5,0)))),0),0)+IF(AND(O337="FIRE TEX 5062",E337="CJ",J337=4),VLOOKUP(_xlfn.MINIFS('FIRE TEX 5062'!$Q$3:$Q$34,'FIRE TEX 5062'!$Q$3:$Q$34,"&gt;="&amp;M337),'FIRE TEX 5062'!$Q$3:$U$34,IF(L337="F-15",2,IF(L337="F-30",3,IF(L337="F-60",4,IF(L337="F-90",5,0)))),0),0)+IF(AND(O337="FIRE TEX 5090",OR(E337="IN",E337="C",E337="Z",E337="L"),J337=3),VLOOKUP(_xlfn.MINIFS('FIRE TEX 5090'!$B$5:$B$43,'FIRE TEX 5090'!$B$5:$B$43,"&gt;="&amp;M337),'FIRE TEX 5090'!$B$5:$H$43,IF(L337="F-15",2,IF(L337="F-30",3,IF(L337="F-60",4,IF(L337="F-90",5,IF(L337="F-120",6,IF(L337="F-150",7,0)))))),0),0)+IF(AND(O337="FIRE TEX 5090",OR(E337="IN",E337="C",E337="Z",E337="L"),J337=4),VLOOKUP(_xlfn.MINIFS('FIRE TEX 5090'!$J$5:$J$43,'FIRE TEX 5090'!$J$5:$J$43,"&gt;="&amp;M337),'FIRE TEX 5090'!$J$5:$P$43,IF(L337="F-15",2,IF(L337="F-30",3,IF(L337="F-60",4,IF(L337="F-90",5,IF(L337="F-120",6,IF(L337="F-150",7,0)))))),0),0)+IF(AND(O337="FIRE TEX 5090",E337="CJ",J337=3),VLOOKUP(_xlfn.MINIFS('FIRE TEX 5090'!$R$5:$R$30,'FIRE TEX 5090'!$R$5:$R$30,"&gt;="&amp;M337),'FIRE TEX 5090'!$R$5:$W$30,IF(L337="F-15",2,IF(L337="F-30",3,IF(L337="F-60",4,IF(L337="F-90",5,IF(L337="F-120",6,IF(L337="F-150",7,0)))))),0),0)+IF(AND(O337="FIRE TEX 5090",E337="CJ",J337=4),VLOOKUP(_xlfn.MINIFS('FIRE TEX 5090'!$Y$5:$Y$39,'FIRE TEX 5090'!$Y$5:$Y$39,"&gt;="&amp;M337),'FIRE TEX 5090'!$Y$5:$AD$39,IF(L337="F-15",2,IF(L337="F-30",3,IF(L337="F-60",4,IF(L337="F-90",5,IF(L337="F-120",6,IF(L337="F-150",7,0)))))),0),0)+IF(AND(O337="FIRE TEX 5120",OR(E337="IN",E337="C",E337="Z",E337="L"),J337=3),VLOOKUP(_xlfn.MINIFS('FIRE TEX 5120'!$B$5:$B$40,'FIRE TEX 5120'!$B$5:$B$40,"&gt;="&amp;M337),'FIRE TEX 5120'!$B$5:$G$40,IF(L337="F-15",2,IF(L337="F-30",3,IF(L337="F-60",4,IF(L337="F-90",5,IF(L337="F-120",6,0))))),0),0)+IF(AND(O337="FIRE TEX 5120",OR(E337="IN",E337="C",E337="Z",E337="L"),J337=4),VLOOKUP(_xlfn.MINIFS('FIRE TEX 5120'!$H$4:$H$40,'FIRE TEX 5120'!$H$4:$H$40,"&gt;="&amp;M337),'FIRE TEX 5120'!$H$4:$M$40,IF(L337="F-15",2,IF(L337="F-30",3,IF(L337="F-60",4,IF(L337="F-90",5,IF(L337="F-120",6,0))))),0),0)+IF(AND(O337="FIRE TEX 5120",E337="CJ"),VLOOKUP(_xlfn.MINIFS('FIRE TEX 5120'!$O$5:$O$40,'FIRE TEX 5120'!$O$5:$O$40,"&gt;="&amp;M337),'FIRE TEX 5120'!$O$5:$T$40,IF(L337="F-15",2,IF(L337="F-30",3,IF(L337="F-60",4,IF(L337="F-90",5,IF(L337="F-120",6,0))))),0),0)</f>
        <v>0</v>
      </c>
      <c r="Q337" s="46">
        <f t="shared" si="43"/>
        <v>0</v>
      </c>
      <c r="R337" s="46">
        <f t="shared" si="45"/>
        <v>0</v>
      </c>
      <c r="S337" s="46" t="e">
        <f t="shared" si="44"/>
        <v>#VALUE!</v>
      </c>
      <c r="T337" s="677">
        <f t="shared" si="46"/>
        <v>0</v>
      </c>
      <c r="U337" s="80">
        <f>(IF(O337="Stofire",(S337*#REF!),0))+(IF(O337="Fire Control",(S337*$U$2),0))+(IF(O337="Fire Tex",(S337*$U$3),0))+(IF(O337="WB7",(S337*#REF!),0)+(IF(O337="FX 2003",(S337*$U$5),0)))</f>
        <v>0</v>
      </c>
      <c r="V337" s="651">
        <f t="shared" ref="V337:V349" si="47">_xlfn.CEILING.MATH(M337,10)</f>
        <v>0</v>
      </c>
      <c r="W337" s="4"/>
    </row>
    <row r="338" spans="1:23" x14ac:dyDescent="0.25">
      <c r="A338" s="652" t="s">
        <v>414</v>
      </c>
      <c r="B338" s="653" t="s">
        <v>415</v>
      </c>
      <c r="C338" s="1" t="s">
        <v>408</v>
      </c>
      <c r="D338" s="118">
        <f>+CUBICACION!D337</f>
        <v>0</v>
      </c>
      <c r="E338" s="118">
        <f>+CUBICACION!F337</f>
        <v>0</v>
      </c>
      <c r="F338" s="118">
        <f>+CUBICACION!E337</f>
        <v>0</v>
      </c>
      <c r="G338" s="118">
        <v>12</v>
      </c>
      <c r="H338" s="118">
        <v>2</v>
      </c>
      <c r="I338" s="820">
        <v>26385</v>
      </c>
      <c r="J338" s="118">
        <f>+CUBICACION!J337</f>
        <v>0</v>
      </c>
      <c r="K338" s="118">
        <v>3117</v>
      </c>
      <c r="L338" s="118">
        <f>+CUBICACION!L337</f>
        <v>0</v>
      </c>
      <c r="M338" s="64">
        <f>+CUBICACION!M337</f>
        <v>0</v>
      </c>
      <c r="N338" s="824" t="str">
        <f>+CUBICACION!N337</f>
        <v/>
      </c>
      <c r="O338" s="675">
        <f>+CUBICACION!O337</f>
        <v>0</v>
      </c>
      <c r="P338" s="15">
        <f>IF(O338="Fire Control",VLOOKUP(_xlfn.MINIFS('FIRE CONTROL'!$C$4:$C$37,'FIRE CONTROL'!$C$4:$C$37,"&gt;="&amp;M338),'FIRE CONTROL'!$C$4:$G$37,IF(L338="F-15",2,IF(L338="F-30",3,IF(L338="F-60",4,IF(L338="F-90",5,0)))),0),0)+IF(AND(O338="FIRE TEX 5062",OR(E338="IN",E338="C",E338="Z",E338="L"),J338=3),VLOOKUP(_xlfn.MINIFS('FIRE TEX 5062'!$B$4:$B$34,'FIRE TEX 5062'!$B$4:$B$34,"&gt;="&amp;M338),'FIRE TEX 5062'!$B$4:$F$34,IF(L338="F-15",2,IF(L338="F-30",3,IF(L338="F-60",4,IF(L338="F-90",5,0)))),0),0)+IF(AND(O338="FIRE TEX 5062",OR(E338="IN",E338="C",E338="Z",E338="L"),J338=4),VLOOKUP(_xlfn.MINIFS('FIRE TEX 5062'!$G$4:$G$34,'FIRE TEX 5062'!$G$4:$G$34,"&gt;="&amp;M338),'FIRE TEX 5062'!$G$4:$K$34,IF(L338="F-15",2,IF(L338="F-30",3,IF(L338="F-60",4,IF(L338="F-90",5,0)))),0),0)+IF(AND(O338="FIRE TEX 5062",E338="CJ",J338=3),VLOOKUP(_xlfn.MINIFS('FIRE TEX 5062'!$L$4:$L$34,'FIRE TEX 5062'!$L$4:$L$34,"&gt;="&amp;M338),'FIRE TEX 5062'!$L$4:$P$34,IF(L338="F-15",2,IF(L338="F-30",3,IF(L338="F-60",4,IF(L338="F-90",5,0)))),0),0)+IF(AND(O338="FIRE TEX 5062",E338="CJ",J338=4),VLOOKUP(_xlfn.MINIFS('FIRE TEX 5062'!$Q$3:$Q$34,'FIRE TEX 5062'!$Q$3:$Q$34,"&gt;="&amp;M338),'FIRE TEX 5062'!$Q$3:$U$34,IF(L338="F-15",2,IF(L338="F-30",3,IF(L338="F-60",4,IF(L338="F-90",5,0)))),0),0)+IF(AND(O338="FIRE TEX 5090",OR(E338="IN",E338="C",E338="Z",E338="L"),J338=3),VLOOKUP(_xlfn.MINIFS('FIRE TEX 5090'!$B$5:$B$43,'FIRE TEX 5090'!$B$5:$B$43,"&gt;="&amp;M338),'FIRE TEX 5090'!$B$5:$H$43,IF(L338="F-15",2,IF(L338="F-30",3,IF(L338="F-60",4,IF(L338="F-90",5,IF(L338="F-120",6,IF(L338="F-150",7,0)))))),0),0)+IF(AND(O338="FIRE TEX 5090",OR(E338="IN",E338="C",E338="Z",E338="L"),J338=4),VLOOKUP(_xlfn.MINIFS('FIRE TEX 5090'!$J$5:$J$43,'FIRE TEX 5090'!$J$5:$J$43,"&gt;="&amp;M338),'FIRE TEX 5090'!$J$5:$P$43,IF(L338="F-15",2,IF(L338="F-30",3,IF(L338="F-60",4,IF(L338="F-90",5,IF(L338="F-120",6,IF(L338="F-150",7,0)))))),0),0)+IF(AND(O338="FIRE TEX 5090",E338="CJ",J338=3),VLOOKUP(_xlfn.MINIFS('FIRE TEX 5090'!$R$5:$R$30,'FIRE TEX 5090'!$R$5:$R$30,"&gt;="&amp;M338),'FIRE TEX 5090'!$R$5:$W$30,IF(L338="F-15",2,IF(L338="F-30",3,IF(L338="F-60",4,IF(L338="F-90",5,IF(L338="F-120",6,IF(L338="F-150",7,0)))))),0),0)+IF(AND(O338="FIRE TEX 5090",E338="CJ",J338=4),VLOOKUP(_xlfn.MINIFS('FIRE TEX 5090'!$Y$5:$Y$39,'FIRE TEX 5090'!$Y$5:$Y$39,"&gt;="&amp;M338),'FIRE TEX 5090'!$Y$5:$AD$39,IF(L338="F-15",2,IF(L338="F-30",3,IF(L338="F-60",4,IF(L338="F-90",5,IF(L338="F-120",6,IF(L338="F-150",7,0)))))),0),0)+IF(AND(O338="FIRE TEX 5120",OR(E338="IN",E338="C",E338="Z",E338="L"),J338=3),VLOOKUP(_xlfn.MINIFS('FIRE TEX 5120'!$B$5:$B$40,'FIRE TEX 5120'!$B$5:$B$40,"&gt;="&amp;M338),'FIRE TEX 5120'!$B$5:$G$40,IF(L338="F-15",2,IF(L338="F-30",3,IF(L338="F-60",4,IF(L338="F-90",5,IF(L338="F-120",6,0))))),0),0)+IF(AND(O338="FIRE TEX 5120",OR(E338="IN",E338="C",E338="Z",E338="L"),J338=4),VLOOKUP(_xlfn.MINIFS('FIRE TEX 5120'!$H$4:$H$40,'FIRE TEX 5120'!$H$4:$H$40,"&gt;="&amp;M338),'FIRE TEX 5120'!$H$4:$M$40,IF(L338="F-15",2,IF(L338="F-30",3,IF(L338="F-60",4,IF(L338="F-90",5,IF(L338="F-120",6,0))))),0),0)+IF(AND(O338="FIRE TEX 5120",E338="CJ"),VLOOKUP(_xlfn.MINIFS('FIRE TEX 5120'!$O$5:$O$40,'FIRE TEX 5120'!$O$5:$O$40,"&gt;="&amp;M338),'FIRE TEX 5120'!$O$5:$T$40,IF(L338="F-15",2,IF(L338="F-30",3,IF(L338="F-60",4,IF(L338="F-90",5,IF(L338="F-120",6,0))))),0),0)</f>
        <v>0</v>
      </c>
      <c r="Q338" s="46">
        <f t="shared" si="43"/>
        <v>0</v>
      </c>
      <c r="R338" s="46">
        <f t="shared" si="45"/>
        <v>0</v>
      </c>
      <c r="S338" s="46" t="e">
        <f t="shared" si="44"/>
        <v>#VALUE!</v>
      </c>
      <c r="T338" s="677">
        <f t="shared" si="46"/>
        <v>0</v>
      </c>
      <c r="U338" s="80">
        <f>(IF(O338="Stofire",(S338*#REF!),0))+(IF(O338="Fire Control",(S338*$U$2),0))+(IF(O338="Fire Tex",(S338*$U$3),0))+(IF(O338="WB7",(S338*#REF!),0)+(IF(O338="FX 2003",(S338*$U$5),0)))</f>
        <v>0</v>
      </c>
      <c r="V338" s="651">
        <f t="shared" si="47"/>
        <v>0</v>
      </c>
      <c r="W338" s="4"/>
    </row>
    <row r="339" spans="1:23" x14ac:dyDescent="0.25">
      <c r="A339" s="652" t="s">
        <v>417</v>
      </c>
      <c r="B339" s="653" t="s">
        <v>415</v>
      </c>
      <c r="C339" s="1" t="s">
        <v>408</v>
      </c>
      <c r="D339" s="118">
        <f>+CUBICACION!D338</f>
        <v>0</v>
      </c>
      <c r="E339" s="118">
        <f>+CUBICACION!F338</f>
        <v>0</v>
      </c>
      <c r="F339" s="118">
        <f>+CUBICACION!E338</f>
        <v>0</v>
      </c>
      <c r="G339" s="118">
        <v>12</v>
      </c>
      <c r="H339" s="118">
        <v>2</v>
      </c>
      <c r="I339" s="820">
        <v>26385</v>
      </c>
      <c r="J339" s="118">
        <f>+CUBICACION!J338</f>
        <v>0</v>
      </c>
      <c r="K339" s="118">
        <v>3118</v>
      </c>
      <c r="L339" s="118">
        <f>+CUBICACION!L338</f>
        <v>0</v>
      </c>
      <c r="M339" s="64">
        <f>+CUBICACION!M338</f>
        <v>0</v>
      </c>
      <c r="N339" s="824" t="str">
        <f>+CUBICACION!N338</f>
        <v/>
      </c>
      <c r="O339" s="675">
        <f>+CUBICACION!O338</f>
        <v>0</v>
      </c>
      <c r="P339" s="15">
        <f>IF(O339="Fire Control",VLOOKUP(_xlfn.MINIFS('FIRE CONTROL'!$C$4:$C$37,'FIRE CONTROL'!$C$4:$C$37,"&gt;="&amp;M339),'FIRE CONTROL'!$C$4:$G$37,IF(L339="F-15",2,IF(L339="F-30",3,IF(L339="F-60",4,IF(L339="F-90",5,0)))),0),0)+IF(AND(O339="FIRE TEX 5062",OR(E339="IN",E339="C",E339="Z",E339="L"),J339=3),VLOOKUP(_xlfn.MINIFS('FIRE TEX 5062'!$B$4:$B$34,'FIRE TEX 5062'!$B$4:$B$34,"&gt;="&amp;M339),'FIRE TEX 5062'!$B$4:$F$34,IF(L339="F-15",2,IF(L339="F-30",3,IF(L339="F-60",4,IF(L339="F-90",5,0)))),0),0)+IF(AND(O339="FIRE TEX 5062",OR(E339="IN",E339="C",E339="Z",E339="L"),J339=4),VLOOKUP(_xlfn.MINIFS('FIRE TEX 5062'!$G$4:$G$34,'FIRE TEX 5062'!$G$4:$G$34,"&gt;="&amp;M339),'FIRE TEX 5062'!$G$4:$K$34,IF(L339="F-15",2,IF(L339="F-30",3,IF(L339="F-60",4,IF(L339="F-90",5,0)))),0),0)+IF(AND(O339="FIRE TEX 5062",E339="CJ",J339=3),VLOOKUP(_xlfn.MINIFS('FIRE TEX 5062'!$L$4:$L$34,'FIRE TEX 5062'!$L$4:$L$34,"&gt;="&amp;M339),'FIRE TEX 5062'!$L$4:$P$34,IF(L339="F-15",2,IF(L339="F-30",3,IF(L339="F-60",4,IF(L339="F-90",5,0)))),0),0)+IF(AND(O339="FIRE TEX 5062",E339="CJ",J339=4),VLOOKUP(_xlfn.MINIFS('FIRE TEX 5062'!$Q$3:$Q$34,'FIRE TEX 5062'!$Q$3:$Q$34,"&gt;="&amp;M339),'FIRE TEX 5062'!$Q$3:$U$34,IF(L339="F-15",2,IF(L339="F-30",3,IF(L339="F-60",4,IF(L339="F-90",5,0)))),0),0)+IF(AND(O339="FIRE TEX 5090",OR(E339="IN",E339="C",E339="Z",E339="L"),J339=3),VLOOKUP(_xlfn.MINIFS('FIRE TEX 5090'!$B$5:$B$43,'FIRE TEX 5090'!$B$5:$B$43,"&gt;="&amp;M339),'FIRE TEX 5090'!$B$5:$H$43,IF(L339="F-15",2,IF(L339="F-30",3,IF(L339="F-60",4,IF(L339="F-90",5,IF(L339="F-120",6,IF(L339="F-150",7,0)))))),0),0)+IF(AND(O339="FIRE TEX 5090",OR(E339="IN",E339="C",E339="Z",E339="L"),J339=4),VLOOKUP(_xlfn.MINIFS('FIRE TEX 5090'!$J$5:$J$43,'FIRE TEX 5090'!$J$5:$J$43,"&gt;="&amp;M339),'FIRE TEX 5090'!$J$5:$P$43,IF(L339="F-15",2,IF(L339="F-30",3,IF(L339="F-60",4,IF(L339="F-90",5,IF(L339="F-120",6,IF(L339="F-150",7,0)))))),0),0)+IF(AND(O339="FIRE TEX 5090",E339="CJ",J339=3),VLOOKUP(_xlfn.MINIFS('FIRE TEX 5090'!$R$5:$R$30,'FIRE TEX 5090'!$R$5:$R$30,"&gt;="&amp;M339),'FIRE TEX 5090'!$R$5:$W$30,IF(L339="F-15",2,IF(L339="F-30",3,IF(L339="F-60",4,IF(L339="F-90",5,IF(L339="F-120",6,IF(L339="F-150",7,0)))))),0),0)+IF(AND(O339="FIRE TEX 5090",E339="CJ",J339=4),VLOOKUP(_xlfn.MINIFS('FIRE TEX 5090'!$Y$5:$Y$39,'FIRE TEX 5090'!$Y$5:$Y$39,"&gt;="&amp;M339),'FIRE TEX 5090'!$Y$5:$AD$39,IF(L339="F-15",2,IF(L339="F-30",3,IF(L339="F-60",4,IF(L339="F-90",5,IF(L339="F-120",6,IF(L339="F-150",7,0)))))),0),0)+IF(AND(O339="FIRE TEX 5120",OR(E339="IN",E339="C",E339="Z",E339="L"),J339=3),VLOOKUP(_xlfn.MINIFS('FIRE TEX 5120'!$B$5:$B$40,'FIRE TEX 5120'!$B$5:$B$40,"&gt;="&amp;M339),'FIRE TEX 5120'!$B$5:$G$40,IF(L339="F-15",2,IF(L339="F-30",3,IF(L339="F-60",4,IF(L339="F-90",5,IF(L339="F-120",6,0))))),0),0)+IF(AND(O339="FIRE TEX 5120",OR(E339="IN",E339="C",E339="Z",E339="L"),J339=4),VLOOKUP(_xlfn.MINIFS('FIRE TEX 5120'!$H$4:$H$40,'FIRE TEX 5120'!$H$4:$H$40,"&gt;="&amp;M339),'FIRE TEX 5120'!$H$4:$M$40,IF(L339="F-15",2,IF(L339="F-30",3,IF(L339="F-60",4,IF(L339="F-90",5,IF(L339="F-120",6,0))))),0),0)+IF(AND(O339="FIRE TEX 5120",E339="CJ"),VLOOKUP(_xlfn.MINIFS('FIRE TEX 5120'!$O$5:$O$40,'FIRE TEX 5120'!$O$5:$O$40,"&gt;="&amp;M339),'FIRE TEX 5120'!$O$5:$T$40,IF(L339="F-15",2,IF(L339="F-30",3,IF(L339="F-60",4,IF(L339="F-90",5,IF(L339="F-120",6,0))))),0),0)</f>
        <v>0</v>
      </c>
      <c r="Q339" s="46">
        <f t="shared" si="43"/>
        <v>0</v>
      </c>
      <c r="R339" s="46">
        <f t="shared" si="45"/>
        <v>0</v>
      </c>
      <c r="S339" s="46" t="e">
        <f t="shared" si="44"/>
        <v>#VALUE!</v>
      </c>
      <c r="T339" s="677">
        <f t="shared" si="46"/>
        <v>0</v>
      </c>
      <c r="U339" s="80">
        <f>(IF(O339="Stofire",(S339*#REF!),0))+(IF(O339="Fire Control",(S339*$U$2),0))+(IF(O339="Fire Tex",(S339*$U$3),0))+(IF(O339="WB7",(S339*#REF!),0)+(IF(O339="FX 2003",(S339*$U$5),0)))</f>
        <v>0</v>
      </c>
      <c r="V339" s="651">
        <f t="shared" si="47"/>
        <v>0</v>
      </c>
      <c r="W339" s="4"/>
    </row>
    <row r="340" spans="1:23" x14ac:dyDescent="0.25">
      <c r="A340" s="652" t="s">
        <v>419</v>
      </c>
      <c r="B340" s="653" t="s">
        <v>415</v>
      </c>
      <c r="C340" s="1" t="s">
        <v>408</v>
      </c>
      <c r="D340" s="118">
        <f>+CUBICACION!D339</f>
        <v>0</v>
      </c>
      <c r="E340" s="118">
        <f>+CUBICACION!F339</f>
        <v>0</v>
      </c>
      <c r="F340" s="118">
        <f>+CUBICACION!E339</f>
        <v>0</v>
      </c>
      <c r="G340" s="118">
        <v>12</v>
      </c>
      <c r="H340" s="118">
        <v>2</v>
      </c>
      <c r="I340" s="820">
        <v>26385</v>
      </c>
      <c r="J340" s="118">
        <f>+CUBICACION!J339</f>
        <v>0</v>
      </c>
      <c r="K340" s="118">
        <v>3119</v>
      </c>
      <c r="L340" s="118">
        <f>+CUBICACION!L339</f>
        <v>0</v>
      </c>
      <c r="M340" s="64">
        <f>+CUBICACION!M339</f>
        <v>0</v>
      </c>
      <c r="N340" s="824" t="str">
        <f>+CUBICACION!N339</f>
        <v/>
      </c>
      <c r="O340" s="675">
        <f>+CUBICACION!O339</f>
        <v>0</v>
      </c>
      <c r="P340" s="15">
        <f>IF(O340="Fire Control",VLOOKUP(_xlfn.MINIFS('FIRE CONTROL'!$C$4:$C$37,'FIRE CONTROL'!$C$4:$C$37,"&gt;="&amp;M340),'FIRE CONTROL'!$C$4:$G$37,IF(L340="F-15",2,IF(L340="F-30",3,IF(L340="F-60",4,IF(L340="F-90",5,0)))),0),0)+IF(AND(O340="FIRE TEX 5062",OR(E340="IN",E340="C",E340="Z",E340="L"),J340=3),VLOOKUP(_xlfn.MINIFS('FIRE TEX 5062'!$B$4:$B$34,'FIRE TEX 5062'!$B$4:$B$34,"&gt;="&amp;M340),'FIRE TEX 5062'!$B$4:$F$34,IF(L340="F-15",2,IF(L340="F-30",3,IF(L340="F-60",4,IF(L340="F-90",5,0)))),0),0)+IF(AND(O340="FIRE TEX 5062",OR(E340="IN",E340="C",E340="Z",E340="L"),J340=4),VLOOKUP(_xlfn.MINIFS('FIRE TEX 5062'!$G$4:$G$34,'FIRE TEX 5062'!$G$4:$G$34,"&gt;="&amp;M340),'FIRE TEX 5062'!$G$4:$K$34,IF(L340="F-15",2,IF(L340="F-30",3,IF(L340="F-60",4,IF(L340="F-90",5,0)))),0),0)+IF(AND(O340="FIRE TEX 5062",E340="CJ",J340=3),VLOOKUP(_xlfn.MINIFS('FIRE TEX 5062'!$L$4:$L$34,'FIRE TEX 5062'!$L$4:$L$34,"&gt;="&amp;M340),'FIRE TEX 5062'!$L$4:$P$34,IF(L340="F-15",2,IF(L340="F-30",3,IF(L340="F-60",4,IF(L340="F-90",5,0)))),0),0)+IF(AND(O340="FIRE TEX 5062",E340="CJ",J340=4),VLOOKUP(_xlfn.MINIFS('FIRE TEX 5062'!$Q$3:$Q$34,'FIRE TEX 5062'!$Q$3:$Q$34,"&gt;="&amp;M340),'FIRE TEX 5062'!$Q$3:$U$34,IF(L340="F-15",2,IF(L340="F-30",3,IF(L340="F-60",4,IF(L340="F-90",5,0)))),0),0)+IF(AND(O340="FIRE TEX 5090",OR(E340="IN",E340="C",E340="Z",E340="L"),J340=3),VLOOKUP(_xlfn.MINIFS('FIRE TEX 5090'!$B$5:$B$43,'FIRE TEX 5090'!$B$5:$B$43,"&gt;="&amp;M340),'FIRE TEX 5090'!$B$5:$H$43,IF(L340="F-15",2,IF(L340="F-30",3,IF(L340="F-60",4,IF(L340="F-90",5,IF(L340="F-120",6,IF(L340="F-150",7,0)))))),0),0)+IF(AND(O340="FIRE TEX 5090",OR(E340="IN",E340="C",E340="Z",E340="L"),J340=4),VLOOKUP(_xlfn.MINIFS('FIRE TEX 5090'!$J$5:$J$43,'FIRE TEX 5090'!$J$5:$J$43,"&gt;="&amp;M340),'FIRE TEX 5090'!$J$5:$P$43,IF(L340="F-15",2,IF(L340="F-30",3,IF(L340="F-60",4,IF(L340="F-90",5,IF(L340="F-120",6,IF(L340="F-150",7,0)))))),0),0)+IF(AND(O340="FIRE TEX 5090",E340="CJ",J340=3),VLOOKUP(_xlfn.MINIFS('FIRE TEX 5090'!$R$5:$R$30,'FIRE TEX 5090'!$R$5:$R$30,"&gt;="&amp;M340),'FIRE TEX 5090'!$R$5:$W$30,IF(L340="F-15",2,IF(L340="F-30",3,IF(L340="F-60",4,IF(L340="F-90",5,IF(L340="F-120",6,IF(L340="F-150",7,0)))))),0),0)+IF(AND(O340="FIRE TEX 5090",E340="CJ",J340=4),VLOOKUP(_xlfn.MINIFS('FIRE TEX 5090'!$Y$5:$Y$39,'FIRE TEX 5090'!$Y$5:$Y$39,"&gt;="&amp;M340),'FIRE TEX 5090'!$Y$5:$AD$39,IF(L340="F-15",2,IF(L340="F-30",3,IF(L340="F-60",4,IF(L340="F-90",5,IF(L340="F-120",6,IF(L340="F-150",7,0)))))),0),0)+IF(AND(O340="FIRE TEX 5120",OR(E340="IN",E340="C",E340="Z",E340="L"),J340=3),VLOOKUP(_xlfn.MINIFS('FIRE TEX 5120'!$B$5:$B$40,'FIRE TEX 5120'!$B$5:$B$40,"&gt;="&amp;M340),'FIRE TEX 5120'!$B$5:$G$40,IF(L340="F-15",2,IF(L340="F-30",3,IF(L340="F-60",4,IF(L340="F-90",5,IF(L340="F-120",6,0))))),0),0)+IF(AND(O340="FIRE TEX 5120",OR(E340="IN",E340="C",E340="Z",E340="L"),J340=4),VLOOKUP(_xlfn.MINIFS('FIRE TEX 5120'!$H$4:$H$40,'FIRE TEX 5120'!$H$4:$H$40,"&gt;="&amp;M340),'FIRE TEX 5120'!$H$4:$M$40,IF(L340="F-15",2,IF(L340="F-30",3,IF(L340="F-60",4,IF(L340="F-90",5,IF(L340="F-120",6,0))))),0),0)+IF(AND(O340="FIRE TEX 5120",E340="CJ"),VLOOKUP(_xlfn.MINIFS('FIRE TEX 5120'!$O$5:$O$40,'FIRE TEX 5120'!$O$5:$O$40,"&gt;="&amp;M340),'FIRE TEX 5120'!$O$5:$T$40,IF(L340="F-15",2,IF(L340="F-30",3,IF(L340="F-60",4,IF(L340="F-90",5,IF(L340="F-120",6,0))))),0),0)</f>
        <v>0</v>
      </c>
      <c r="Q340" s="46">
        <f t="shared" si="43"/>
        <v>0</v>
      </c>
      <c r="R340" s="46">
        <f t="shared" si="45"/>
        <v>0</v>
      </c>
      <c r="S340" s="46" t="e">
        <f t="shared" si="44"/>
        <v>#VALUE!</v>
      </c>
      <c r="T340" s="677">
        <f t="shared" si="46"/>
        <v>0</v>
      </c>
      <c r="U340" s="80">
        <f>(IF(O340="Stofire",(S340*#REF!),0))+(IF(O340="Fire Control",(S340*$U$2),0))+(IF(O340="Fire Tex",(S340*$U$3),0))+(IF(O340="WB7",(S340*#REF!),0)+(IF(O340="FX 2003",(S340*$U$5),0)))</f>
        <v>0</v>
      </c>
      <c r="V340" s="651">
        <f t="shared" si="47"/>
        <v>0</v>
      </c>
      <c r="W340" s="4"/>
    </row>
    <row r="341" spans="1:23" x14ac:dyDescent="0.25">
      <c r="A341" s="652" t="s">
        <v>421</v>
      </c>
      <c r="B341" s="653" t="s">
        <v>422</v>
      </c>
      <c r="C341" s="1" t="s">
        <v>423</v>
      </c>
      <c r="D341" s="118">
        <f>+CUBICACION!D340</f>
        <v>0</v>
      </c>
      <c r="E341" s="118">
        <f>+CUBICACION!F340</f>
        <v>0</v>
      </c>
      <c r="F341" s="118">
        <f>+CUBICACION!E340</f>
        <v>0</v>
      </c>
      <c r="G341" s="118">
        <v>12</v>
      </c>
      <c r="H341" s="118">
        <v>2</v>
      </c>
      <c r="I341" s="820">
        <v>26385</v>
      </c>
      <c r="J341" s="118">
        <f>+CUBICACION!J340</f>
        <v>0</v>
      </c>
      <c r="K341" s="118">
        <v>3120</v>
      </c>
      <c r="L341" s="118">
        <f>+CUBICACION!L340</f>
        <v>0</v>
      </c>
      <c r="M341" s="64">
        <f>+CUBICACION!M340</f>
        <v>0</v>
      </c>
      <c r="N341" s="824" t="str">
        <f>+CUBICACION!N340</f>
        <v/>
      </c>
      <c r="O341" s="675">
        <f>+CUBICACION!O340</f>
        <v>0</v>
      </c>
      <c r="P341" s="15">
        <f>IF(O341="Fire Control",VLOOKUP(_xlfn.MINIFS('FIRE CONTROL'!$C$4:$C$37,'FIRE CONTROL'!$C$4:$C$37,"&gt;="&amp;M341),'FIRE CONTROL'!$C$4:$G$37,IF(L341="F-15",2,IF(L341="F-30",3,IF(L341="F-60",4,IF(L341="F-90",5,0)))),0),0)+IF(AND(O341="FIRE TEX 5062",OR(E341="IN",E341="C",E341="Z",E341="L"),J341=3),VLOOKUP(_xlfn.MINIFS('FIRE TEX 5062'!$B$4:$B$34,'FIRE TEX 5062'!$B$4:$B$34,"&gt;="&amp;M341),'FIRE TEX 5062'!$B$4:$F$34,IF(L341="F-15",2,IF(L341="F-30",3,IF(L341="F-60",4,IF(L341="F-90",5,0)))),0),0)+IF(AND(O341="FIRE TEX 5062",OR(E341="IN",E341="C",E341="Z",E341="L"),J341=4),VLOOKUP(_xlfn.MINIFS('FIRE TEX 5062'!$G$4:$G$34,'FIRE TEX 5062'!$G$4:$G$34,"&gt;="&amp;M341),'FIRE TEX 5062'!$G$4:$K$34,IF(L341="F-15",2,IF(L341="F-30",3,IF(L341="F-60",4,IF(L341="F-90",5,0)))),0),0)+IF(AND(O341="FIRE TEX 5062",E341="CJ",J341=3),VLOOKUP(_xlfn.MINIFS('FIRE TEX 5062'!$L$4:$L$34,'FIRE TEX 5062'!$L$4:$L$34,"&gt;="&amp;M341),'FIRE TEX 5062'!$L$4:$P$34,IF(L341="F-15",2,IF(L341="F-30",3,IF(L341="F-60",4,IF(L341="F-90",5,0)))),0),0)+IF(AND(O341="FIRE TEX 5062",E341="CJ",J341=4),VLOOKUP(_xlfn.MINIFS('FIRE TEX 5062'!$Q$3:$Q$34,'FIRE TEX 5062'!$Q$3:$Q$34,"&gt;="&amp;M341),'FIRE TEX 5062'!$Q$3:$U$34,IF(L341="F-15",2,IF(L341="F-30",3,IF(L341="F-60",4,IF(L341="F-90",5,0)))),0),0)+IF(AND(O341="FIRE TEX 5090",OR(E341="IN",E341="C",E341="Z",E341="L"),J341=3),VLOOKUP(_xlfn.MINIFS('FIRE TEX 5090'!$B$5:$B$43,'FIRE TEX 5090'!$B$5:$B$43,"&gt;="&amp;M341),'FIRE TEX 5090'!$B$5:$H$43,IF(L341="F-15",2,IF(L341="F-30",3,IF(L341="F-60",4,IF(L341="F-90",5,IF(L341="F-120",6,IF(L341="F-150",7,0)))))),0),0)+IF(AND(O341="FIRE TEX 5090",OR(E341="IN",E341="C",E341="Z",E341="L"),J341=4),VLOOKUP(_xlfn.MINIFS('FIRE TEX 5090'!$J$5:$J$43,'FIRE TEX 5090'!$J$5:$J$43,"&gt;="&amp;M341),'FIRE TEX 5090'!$J$5:$P$43,IF(L341="F-15",2,IF(L341="F-30",3,IF(L341="F-60",4,IF(L341="F-90",5,IF(L341="F-120",6,IF(L341="F-150",7,0)))))),0),0)+IF(AND(O341="FIRE TEX 5090",E341="CJ",J341=3),VLOOKUP(_xlfn.MINIFS('FIRE TEX 5090'!$R$5:$R$30,'FIRE TEX 5090'!$R$5:$R$30,"&gt;="&amp;M341),'FIRE TEX 5090'!$R$5:$W$30,IF(L341="F-15",2,IF(L341="F-30",3,IF(L341="F-60",4,IF(L341="F-90",5,IF(L341="F-120",6,IF(L341="F-150",7,0)))))),0),0)+IF(AND(O341="FIRE TEX 5090",E341="CJ",J341=4),VLOOKUP(_xlfn.MINIFS('FIRE TEX 5090'!$Y$5:$Y$39,'FIRE TEX 5090'!$Y$5:$Y$39,"&gt;="&amp;M341),'FIRE TEX 5090'!$Y$5:$AD$39,IF(L341="F-15",2,IF(L341="F-30",3,IF(L341="F-60",4,IF(L341="F-90",5,IF(L341="F-120",6,IF(L341="F-150",7,0)))))),0),0)+IF(AND(O341="FIRE TEX 5120",OR(E341="IN",E341="C",E341="Z",E341="L"),J341=3),VLOOKUP(_xlfn.MINIFS('FIRE TEX 5120'!$B$5:$B$40,'FIRE TEX 5120'!$B$5:$B$40,"&gt;="&amp;M341),'FIRE TEX 5120'!$B$5:$G$40,IF(L341="F-15",2,IF(L341="F-30",3,IF(L341="F-60",4,IF(L341="F-90",5,IF(L341="F-120",6,0))))),0),0)+IF(AND(O341="FIRE TEX 5120",OR(E341="IN",E341="C",E341="Z",E341="L"),J341=4),VLOOKUP(_xlfn.MINIFS('FIRE TEX 5120'!$H$4:$H$40,'FIRE TEX 5120'!$H$4:$H$40,"&gt;="&amp;M341),'FIRE TEX 5120'!$H$4:$M$40,IF(L341="F-15",2,IF(L341="F-30",3,IF(L341="F-60",4,IF(L341="F-90",5,IF(L341="F-120",6,0))))),0),0)+IF(AND(O341="FIRE TEX 5120",E341="CJ"),VLOOKUP(_xlfn.MINIFS('FIRE TEX 5120'!$O$5:$O$40,'FIRE TEX 5120'!$O$5:$O$40,"&gt;="&amp;M341),'FIRE TEX 5120'!$O$5:$T$40,IF(L341="F-15",2,IF(L341="F-30",3,IF(L341="F-60",4,IF(L341="F-90",5,IF(L341="F-120",6,0))))),0),0)</f>
        <v>0</v>
      </c>
      <c r="Q341" s="46">
        <f t="shared" si="43"/>
        <v>0</v>
      </c>
      <c r="R341" s="46">
        <f t="shared" si="45"/>
        <v>0</v>
      </c>
      <c r="S341" s="46" t="e">
        <f t="shared" si="44"/>
        <v>#VALUE!</v>
      </c>
      <c r="T341" s="677">
        <f t="shared" si="46"/>
        <v>0</v>
      </c>
      <c r="U341" s="80">
        <f>(IF(O341="Stofire",(S341*#REF!),0))+(IF(O341="Fire Control",(S341*$U$2),0))+(IF(O341="Fire Tex",(S341*$U$3),0))+(IF(O341="WB7",(S341*#REF!),0)+(IF(O341="FX 2003",(S341*$U$5),0)))</f>
        <v>0</v>
      </c>
      <c r="V341" s="651">
        <f t="shared" si="47"/>
        <v>0</v>
      </c>
      <c r="W341" s="4"/>
    </row>
    <row r="342" spans="1:23" x14ac:dyDescent="0.25">
      <c r="A342" s="652" t="s">
        <v>425</v>
      </c>
      <c r="B342" s="653" t="s">
        <v>426</v>
      </c>
      <c r="C342" s="1" t="s">
        <v>427</v>
      </c>
      <c r="D342" s="118">
        <f>+CUBICACION!D341</f>
        <v>0</v>
      </c>
      <c r="E342" s="118">
        <f>+CUBICACION!F341</f>
        <v>0</v>
      </c>
      <c r="F342" s="118">
        <f>+CUBICACION!E341</f>
        <v>0</v>
      </c>
      <c r="G342" s="118">
        <v>12</v>
      </c>
      <c r="H342" s="118">
        <v>2</v>
      </c>
      <c r="I342" s="820">
        <v>26385</v>
      </c>
      <c r="J342" s="118">
        <f>+CUBICACION!J341</f>
        <v>0</v>
      </c>
      <c r="K342" s="118">
        <v>3121</v>
      </c>
      <c r="L342" s="118">
        <f>+CUBICACION!L341</f>
        <v>0</v>
      </c>
      <c r="M342" s="64">
        <f>+CUBICACION!M341</f>
        <v>0</v>
      </c>
      <c r="N342" s="824" t="str">
        <f>+CUBICACION!N341</f>
        <v/>
      </c>
      <c r="O342" s="675">
        <f>+CUBICACION!O341</f>
        <v>0</v>
      </c>
      <c r="P342" s="15">
        <f>IF(O342="Fire Control",VLOOKUP(_xlfn.MINIFS('FIRE CONTROL'!$C$4:$C$37,'FIRE CONTROL'!$C$4:$C$37,"&gt;="&amp;M342),'FIRE CONTROL'!$C$4:$G$37,IF(L342="F-15",2,IF(L342="F-30",3,IF(L342="F-60",4,IF(L342="F-90",5,0)))),0),0)+IF(AND(O342="FIRE TEX 5062",OR(E342="IN",E342="C",E342="Z",E342="L"),J342=3),VLOOKUP(_xlfn.MINIFS('FIRE TEX 5062'!$B$4:$B$34,'FIRE TEX 5062'!$B$4:$B$34,"&gt;="&amp;M342),'FIRE TEX 5062'!$B$4:$F$34,IF(L342="F-15",2,IF(L342="F-30",3,IF(L342="F-60",4,IF(L342="F-90",5,0)))),0),0)+IF(AND(O342="FIRE TEX 5062",OR(E342="IN",E342="C",E342="Z",E342="L"),J342=4),VLOOKUP(_xlfn.MINIFS('FIRE TEX 5062'!$G$4:$G$34,'FIRE TEX 5062'!$G$4:$G$34,"&gt;="&amp;M342),'FIRE TEX 5062'!$G$4:$K$34,IF(L342="F-15",2,IF(L342="F-30",3,IF(L342="F-60",4,IF(L342="F-90",5,0)))),0),0)+IF(AND(O342="FIRE TEX 5062",E342="CJ",J342=3),VLOOKUP(_xlfn.MINIFS('FIRE TEX 5062'!$L$4:$L$34,'FIRE TEX 5062'!$L$4:$L$34,"&gt;="&amp;M342),'FIRE TEX 5062'!$L$4:$P$34,IF(L342="F-15",2,IF(L342="F-30",3,IF(L342="F-60",4,IF(L342="F-90",5,0)))),0),0)+IF(AND(O342="FIRE TEX 5062",E342="CJ",J342=4),VLOOKUP(_xlfn.MINIFS('FIRE TEX 5062'!$Q$3:$Q$34,'FIRE TEX 5062'!$Q$3:$Q$34,"&gt;="&amp;M342),'FIRE TEX 5062'!$Q$3:$U$34,IF(L342="F-15",2,IF(L342="F-30",3,IF(L342="F-60",4,IF(L342="F-90",5,0)))),0),0)+IF(AND(O342="FIRE TEX 5090",OR(E342="IN",E342="C",E342="Z",E342="L"),J342=3),VLOOKUP(_xlfn.MINIFS('FIRE TEX 5090'!$B$5:$B$43,'FIRE TEX 5090'!$B$5:$B$43,"&gt;="&amp;M342),'FIRE TEX 5090'!$B$5:$H$43,IF(L342="F-15",2,IF(L342="F-30",3,IF(L342="F-60",4,IF(L342="F-90",5,IF(L342="F-120",6,IF(L342="F-150",7,0)))))),0),0)+IF(AND(O342="FIRE TEX 5090",OR(E342="IN",E342="C",E342="Z",E342="L"),J342=4),VLOOKUP(_xlfn.MINIFS('FIRE TEX 5090'!$J$5:$J$43,'FIRE TEX 5090'!$J$5:$J$43,"&gt;="&amp;M342),'FIRE TEX 5090'!$J$5:$P$43,IF(L342="F-15",2,IF(L342="F-30",3,IF(L342="F-60",4,IF(L342="F-90",5,IF(L342="F-120",6,IF(L342="F-150",7,0)))))),0),0)+IF(AND(O342="FIRE TEX 5090",E342="CJ",J342=3),VLOOKUP(_xlfn.MINIFS('FIRE TEX 5090'!$R$5:$R$30,'FIRE TEX 5090'!$R$5:$R$30,"&gt;="&amp;M342),'FIRE TEX 5090'!$R$5:$W$30,IF(L342="F-15",2,IF(L342="F-30",3,IF(L342="F-60",4,IF(L342="F-90",5,IF(L342="F-120",6,IF(L342="F-150",7,0)))))),0),0)+IF(AND(O342="FIRE TEX 5090",E342="CJ",J342=4),VLOOKUP(_xlfn.MINIFS('FIRE TEX 5090'!$Y$5:$Y$39,'FIRE TEX 5090'!$Y$5:$Y$39,"&gt;="&amp;M342),'FIRE TEX 5090'!$Y$5:$AD$39,IF(L342="F-15",2,IF(L342="F-30",3,IF(L342="F-60",4,IF(L342="F-90",5,IF(L342="F-120",6,IF(L342="F-150",7,0)))))),0),0)+IF(AND(O342="FIRE TEX 5120",OR(E342="IN",E342="C",E342="Z",E342="L"),J342=3),VLOOKUP(_xlfn.MINIFS('FIRE TEX 5120'!$B$5:$B$40,'FIRE TEX 5120'!$B$5:$B$40,"&gt;="&amp;M342),'FIRE TEX 5120'!$B$5:$G$40,IF(L342="F-15",2,IF(L342="F-30",3,IF(L342="F-60",4,IF(L342="F-90",5,IF(L342="F-120",6,0))))),0),0)+IF(AND(O342="FIRE TEX 5120",OR(E342="IN",E342="C",E342="Z",E342="L"),J342=4),VLOOKUP(_xlfn.MINIFS('FIRE TEX 5120'!$H$4:$H$40,'FIRE TEX 5120'!$H$4:$H$40,"&gt;="&amp;M342),'FIRE TEX 5120'!$H$4:$M$40,IF(L342="F-15",2,IF(L342="F-30",3,IF(L342="F-60",4,IF(L342="F-90",5,IF(L342="F-120",6,0))))),0),0)+IF(AND(O342="FIRE TEX 5120",E342="CJ"),VLOOKUP(_xlfn.MINIFS('FIRE TEX 5120'!$O$5:$O$40,'FIRE TEX 5120'!$O$5:$O$40,"&gt;="&amp;M342),'FIRE TEX 5120'!$O$5:$T$40,IF(L342="F-15",2,IF(L342="F-30",3,IF(L342="F-60",4,IF(L342="F-90",5,IF(L342="F-120",6,0))))),0),0)</f>
        <v>0</v>
      </c>
      <c r="Q342" s="46">
        <f t="shared" si="43"/>
        <v>0</v>
      </c>
      <c r="R342" s="46">
        <f t="shared" si="45"/>
        <v>0</v>
      </c>
      <c r="S342" s="46" t="e">
        <f t="shared" si="44"/>
        <v>#VALUE!</v>
      </c>
      <c r="T342" s="677">
        <f t="shared" si="46"/>
        <v>0</v>
      </c>
      <c r="U342" s="80">
        <f>(IF(O342="Stofire",(S342*#REF!),0))+(IF(O342="Fire Control",(S342*$U$2),0))+(IF(O342="Fire Tex",(S342*$U$3),0))+(IF(O342="WB7",(S342*#REF!),0)+(IF(O342="FX 2003",(S342*$U$5),0)))</f>
        <v>0</v>
      </c>
      <c r="V342" s="651">
        <f t="shared" si="47"/>
        <v>0</v>
      </c>
      <c r="W342" s="4"/>
    </row>
    <row r="343" spans="1:23" x14ac:dyDescent="0.25">
      <c r="A343" s="652" t="s">
        <v>429</v>
      </c>
      <c r="B343" s="653" t="s">
        <v>430</v>
      </c>
      <c r="C343" s="1" t="s">
        <v>431</v>
      </c>
      <c r="D343" s="118">
        <f>+CUBICACION!D342</f>
        <v>0</v>
      </c>
      <c r="E343" s="118">
        <f>+CUBICACION!F342</f>
        <v>0</v>
      </c>
      <c r="F343" s="118">
        <f>+CUBICACION!E342</f>
        <v>0</v>
      </c>
      <c r="G343" s="118">
        <v>12</v>
      </c>
      <c r="H343" s="118">
        <v>2</v>
      </c>
      <c r="I343" s="820">
        <v>26385</v>
      </c>
      <c r="J343" s="118">
        <f>+CUBICACION!J342</f>
        <v>0</v>
      </c>
      <c r="K343" s="118">
        <v>3122</v>
      </c>
      <c r="L343" s="118">
        <f>+CUBICACION!L342</f>
        <v>0</v>
      </c>
      <c r="M343" s="64">
        <f>+CUBICACION!M342</f>
        <v>0</v>
      </c>
      <c r="N343" s="824" t="str">
        <f>+CUBICACION!N342</f>
        <v/>
      </c>
      <c r="O343" s="675">
        <f>+CUBICACION!O342</f>
        <v>0</v>
      </c>
      <c r="P343" s="15">
        <f>IF(O343="Fire Control",VLOOKUP(_xlfn.MINIFS('FIRE CONTROL'!$C$4:$C$37,'FIRE CONTROL'!$C$4:$C$37,"&gt;="&amp;M343),'FIRE CONTROL'!$C$4:$G$37,IF(L343="F-15",2,IF(L343="F-30",3,IF(L343="F-60",4,IF(L343="F-90",5,0)))),0),0)+IF(AND(O343="FIRE TEX 5062",OR(E343="IN",E343="C",E343="Z",E343="L"),J343=3),VLOOKUP(_xlfn.MINIFS('FIRE TEX 5062'!$B$4:$B$34,'FIRE TEX 5062'!$B$4:$B$34,"&gt;="&amp;M343),'FIRE TEX 5062'!$B$4:$F$34,IF(L343="F-15",2,IF(L343="F-30",3,IF(L343="F-60",4,IF(L343="F-90",5,0)))),0),0)+IF(AND(O343="FIRE TEX 5062",OR(E343="IN",E343="C",E343="Z",E343="L"),J343=4),VLOOKUP(_xlfn.MINIFS('FIRE TEX 5062'!$G$4:$G$34,'FIRE TEX 5062'!$G$4:$G$34,"&gt;="&amp;M343),'FIRE TEX 5062'!$G$4:$K$34,IF(L343="F-15",2,IF(L343="F-30",3,IF(L343="F-60",4,IF(L343="F-90",5,0)))),0),0)+IF(AND(O343="FIRE TEX 5062",E343="CJ",J343=3),VLOOKUP(_xlfn.MINIFS('FIRE TEX 5062'!$L$4:$L$34,'FIRE TEX 5062'!$L$4:$L$34,"&gt;="&amp;M343),'FIRE TEX 5062'!$L$4:$P$34,IF(L343="F-15",2,IF(L343="F-30",3,IF(L343="F-60",4,IF(L343="F-90",5,0)))),0),0)+IF(AND(O343="FIRE TEX 5062",E343="CJ",J343=4),VLOOKUP(_xlfn.MINIFS('FIRE TEX 5062'!$Q$3:$Q$34,'FIRE TEX 5062'!$Q$3:$Q$34,"&gt;="&amp;M343),'FIRE TEX 5062'!$Q$3:$U$34,IF(L343="F-15",2,IF(L343="F-30",3,IF(L343="F-60",4,IF(L343="F-90",5,0)))),0),0)+IF(AND(O343="FIRE TEX 5090",OR(E343="IN",E343="C",E343="Z",E343="L"),J343=3),VLOOKUP(_xlfn.MINIFS('FIRE TEX 5090'!$B$5:$B$43,'FIRE TEX 5090'!$B$5:$B$43,"&gt;="&amp;M343),'FIRE TEX 5090'!$B$5:$H$43,IF(L343="F-15",2,IF(L343="F-30",3,IF(L343="F-60",4,IF(L343="F-90",5,IF(L343="F-120",6,IF(L343="F-150",7,0)))))),0),0)+IF(AND(O343="FIRE TEX 5090",OR(E343="IN",E343="C",E343="Z",E343="L"),J343=4),VLOOKUP(_xlfn.MINIFS('FIRE TEX 5090'!$J$5:$J$43,'FIRE TEX 5090'!$J$5:$J$43,"&gt;="&amp;M343),'FIRE TEX 5090'!$J$5:$P$43,IF(L343="F-15",2,IF(L343="F-30",3,IF(L343="F-60",4,IF(L343="F-90",5,IF(L343="F-120",6,IF(L343="F-150",7,0)))))),0),0)+IF(AND(O343="FIRE TEX 5090",E343="CJ",J343=3),VLOOKUP(_xlfn.MINIFS('FIRE TEX 5090'!$R$5:$R$30,'FIRE TEX 5090'!$R$5:$R$30,"&gt;="&amp;M343),'FIRE TEX 5090'!$R$5:$W$30,IF(L343="F-15",2,IF(L343="F-30",3,IF(L343="F-60",4,IF(L343="F-90",5,IF(L343="F-120",6,IF(L343="F-150",7,0)))))),0),0)+IF(AND(O343="FIRE TEX 5090",E343="CJ",J343=4),VLOOKUP(_xlfn.MINIFS('FIRE TEX 5090'!$Y$5:$Y$39,'FIRE TEX 5090'!$Y$5:$Y$39,"&gt;="&amp;M343),'FIRE TEX 5090'!$Y$5:$AD$39,IF(L343="F-15",2,IF(L343="F-30",3,IF(L343="F-60",4,IF(L343="F-90",5,IF(L343="F-120",6,IF(L343="F-150",7,0)))))),0),0)+IF(AND(O343="FIRE TEX 5120",OR(E343="IN",E343="C",E343="Z",E343="L"),J343=3),VLOOKUP(_xlfn.MINIFS('FIRE TEX 5120'!$B$5:$B$40,'FIRE TEX 5120'!$B$5:$B$40,"&gt;="&amp;M343),'FIRE TEX 5120'!$B$5:$G$40,IF(L343="F-15",2,IF(L343="F-30",3,IF(L343="F-60",4,IF(L343="F-90",5,IF(L343="F-120",6,0))))),0),0)+IF(AND(O343="FIRE TEX 5120",OR(E343="IN",E343="C",E343="Z",E343="L"),J343=4),VLOOKUP(_xlfn.MINIFS('FIRE TEX 5120'!$H$4:$H$40,'FIRE TEX 5120'!$H$4:$H$40,"&gt;="&amp;M343),'FIRE TEX 5120'!$H$4:$M$40,IF(L343="F-15",2,IF(L343="F-30",3,IF(L343="F-60",4,IF(L343="F-90",5,IF(L343="F-120",6,0))))),0),0)+IF(AND(O343="FIRE TEX 5120",E343="CJ"),VLOOKUP(_xlfn.MINIFS('FIRE TEX 5120'!$O$5:$O$40,'FIRE TEX 5120'!$O$5:$O$40,"&gt;="&amp;M343),'FIRE TEX 5120'!$O$5:$T$40,IF(L343="F-15",2,IF(L343="F-30",3,IF(L343="F-60",4,IF(L343="F-90",5,IF(L343="F-120",6,0))))),0),0)</f>
        <v>0</v>
      </c>
      <c r="Q343" s="46">
        <f t="shared" si="43"/>
        <v>0</v>
      </c>
      <c r="R343" s="46">
        <f t="shared" si="45"/>
        <v>0</v>
      </c>
      <c r="S343" s="46" t="e">
        <f t="shared" si="44"/>
        <v>#VALUE!</v>
      </c>
      <c r="T343" s="677">
        <f t="shared" si="46"/>
        <v>0</v>
      </c>
      <c r="U343" s="80">
        <f>(IF(O343="Stofire",(S343*#REF!),0))+(IF(O343="Fire Control",(S343*$U$2),0))+(IF(O343="Fire Tex",(S343*$U$3),0))+(IF(O343="WB7",(S343*#REF!),0)+(IF(O343="FX 2003",(S343*$U$5),0)))</f>
        <v>0</v>
      </c>
      <c r="V343" s="651">
        <f t="shared" si="47"/>
        <v>0</v>
      </c>
      <c r="W343" s="4"/>
    </row>
    <row r="344" spans="1:23" x14ac:dyDescent="0.25">
      <c r="A344" s="652" t="s">
        <v>429</v>
      </c>
      <c r="B344" s="653" t="s">
        <v>430</v>
      </c>
      <c r="C344" s="1" t="s">
        <v>433</v>
      </c>
      <c r="D344" s="118">
        <f>+CUBICACION!D343</f>
        <v>0</v>
      </c>
      <c r="E344" s="118">
        <f>+CUBICACION!F343</f>
        <v>0</v>
      </c>
      <c r="F344" s="118">
        <f>+CUBICACION!E343</f>
        <v>0</v>
      </c>
      <c r="G344" s="118">
        <v>12</v>
      </c>
      <c r="H344" s="118">
        <v>2</v>
      </c>
      <c r="I344" s="820">
        <v>26385</v>
      </c>
      <c r="J344" s="118">
        <f>+CUBICACION!J343</f>
        <v>0</v>
      </c>
      <c r="K344" s="118">
        <v>3123</v>
      </c>
      <c r="L344" s="118">
        <f>+CUBICACION!L343</f>
        <v>0</v>
      </c>
      <c r="M344" s="64">
        <f>+CUBICACION!M343</f>
        <v>0</v>
      </c>
      <c r="N344" s="824" t="str">
        <f>+CUBICACION!N343</f>
        <v/>
      </c>
      <c r="O344" s="675">
        <f>+CUBICACION!O343</f>
        <v>0</v>
      </c>
      <c r="P344" s="15">
        <f>IF(O344="Fire Control",VLOOKUP(_xlfn.MINIFS('FIRE CONTROL'!$C$4:$C$37,'FIRE CONTROL'!$C$4:$C$37,"&gt;="&amp;M344),'FIRE CONTROL'!$C$4:$G$37,IF(L344="F-15",2,IF(L344="F-30",3,IF(L344="F-60",4,IF(L344="F-90",5,0)))),0),0)+IF(AND(O344="FIRE TEX 5062",OR(E344="IN",E344="C",E344="Z",E344="L"),J344=3),VLOOKUP(_xlfn.MINIFS('FIRE TEX 5062'!$B$4:$B$34,'FIRE TEX 5062'!$B$4:$B$34,"&gt;="&amp;M344),'FIRE TEX 5062'!$B$4:$F$34,IF(L344="F-15",2,IF(L344="F-30",3,IF(L344="F-60",4,IF(L344="F-90",5,0)))),0),0)+IF(AND(O344="FIRE TEX 5062",OR(E344="IN",E344="C",E344="Z",E344="L"),J344=4),VLOOKUP(_xlfn.MINIFS('FIRE TEX 5062'!$G$4:$G$34,'FIRE TEX 5062'!$G$4:$G$34,"&gt;="&amp;M344),'FIRE TEX 5062'!$G$4:$K$34,IF(L344="F-15",2,IF(L344="F-30",3,IF(L344="F-60",4,IF(L344="F-90",5,0)))),0),0)+IF(AND(O344="FIRE TEX 5062",E344="CJ",J344=3),VLOOKUP(_xlfn.MINIFS('FIRE TEX 5062'!$L$4:$L$34,'FIRE TEX 5062'!$L$4:$L$34,"&gt;="&amp;M344),'FIRE TEX 5062'!$L$4:$P$34,IF(L344="F-15",2,IF(L344="F-30",3,IF(L344="F-60",4,IF(L344="F-90",5,0)))),0),0)+IF(AND(O344="FIRE TEX 5062",E344="CJ",J344=4),VLOOKUP(_xlfn.MINIFS('FIRE TEX 5062'!$Q$3:$Q$34,'FIRE TEX 5062'!$Q$3:$Q$34,"&gt;="&amp;M344),'FIRE TEX 5062'!$Q$3:$U$34,IF(L344="F-15",2,IF(L344="F-30",3,IF(L344="F-60",4,IF(L344="F-90",5,0)))),0),0)+IF(AND(O344="FIRE TEX 5090",OR(E344="IN",E344="C",E344="Z",E344="L"),J344=3),VLOOKUP(_xlfn.MINIFS('FIRE TEX 5090'!$B$5:$B$43,'FIRE TEX 5090'!$B$5:$B$43,"&gt;="&amp;M344),'FIRE TEX 5090'!$B$5:$H$43,IF(L344="F-15",2,IF(L344="F-30",3,IF(L344="F-60",4,IF(L344="F-90",5,IF(L344="F-120",6,IF(L344="F-150",7,0)))))),0),0)+IF(AND(O344="FIRE TEX 5090",OR(E344="IN",E344="C",E344="Z",E344="L"),J344=4),VLOOKUP(_xlfn.MINIFS('FIRE TEX 5090'!$J$5:$J$43,'FIRE TEX 5090'!$J$5:$J$43,"&gt;="&amp;M344),'FIRE TEX 5090'!$J$5:$P$43,IF(L344="F-15",2,IF(L344="F-30",3,IF(L344="F-60",4,IF(L344="F-90",5,IF(L344="F-120",6,IF(L344="F-150",7,0)))))),0),0)+IF(AND(O344="FIRE TEX 5090",E344="CJ",J344=3),VLOOKUP(_xlfn.MINIFS('FIRE TEX 5090'!$R$5:$R$30,'FIRE TEX 5090'!$R$5:$R$30,"&gt;="&amp;M344),'FIRE TEX 5090'!$R$5:$W$30,IF(L344="F-15",2,IF(L344="F-30",3,IF(L344="F-60",4,IF(L344="F-90",5,IF(L344="F-120",6,IF(L344="F-150",7,0)))))),0),0)+IF(AND(O344="FIRE TEX 5090",E344="CJ",J344=4),VLOOKUP(_xlfn.MINIFS('FIRE TEX 5090'!$Y$5:$Y$39,'FIRE TEX 5090'!$Y$5:$Y$39,"&gt;="&amp;M344),'FIRE TEX 5090'!$Y$5:$AD$39,IF(L344="F-15",2,IF(L344="F-30",3,IF(L344="F-60",4,IF(L344="F-90",5,IF(L344="F-120",6,IF(L344="F-150",7,0)))))),0),0)+IF(AND(O344="FIRE TEX 5120",OR(E344="IN",E344="C",E344="Z",E344="L"),J344=3),VLOOKUP(_xlfn.MINIFS('FIRE TEX 5120'!$B$5:$B$40,'FIRE TEX 5120'!$B$5:$B$40,"&gt;="&amp;M344),'FIRE TEX 5120'!$B$5:$G$40,IF(L344="F-15",2,IF(L344="F-30",3,IF(L344="F-60",4,IF(L344="F-90",5,IF(L344="F-120",6,0))))),0),0)+IF(AND(O344="FIRE TEX 5120",OR(E344="IN",E344="C",E344="Z",E344="L"),J344=4),VLOOKUP(_xlfn.MINIFS('FIRE TEX 5120'!$H$4:$H$40,'FIRE TEX 5120'!$H$4:$H$40,"&gt;="&amp;M344),'FIRE TEX 5120'!$H$4:$M$40,IF(L344="F-15",2,IF(L344="F-30",3,IF(L344="F-60",4,IF(L344="F-90",5,IF(L344="F-120",6,0))))),0),0)+IF(AND(O344="FIRE TEX 5120",E344="CJ"),VLOOKUP(_xlfn.MINIFS('FIRE TEX 5120'!$O$5:$O$40,'FIRE TEX 5120'!$O$5:$O$40,"&gt;="&amp;M344),'FIRE TEX 5120'!$O$5:$T$40,IF(L344="F-15",2,IF(L344="F-30",3,IF(L344="F-60",4,IF(L344="F-90",5,IF(L344="F-120",6,0))))),0),0)</f>
        <v>0</v>
      </c>
      <c r="Q344" s="46">
        <f t="shared" si="43"/>
        <v>0</v>
      </c>
      <c r="R344" s="46">
        <f t="shared" si="45"/>
        <v>0</v>
      </c>
      <c r="S344" s="46" t="e">
        <f t="shared" si="44"/>
        <v>#VALUE!</v>
      </c>
      <c r="T344" s="677">
        <f t="shared" si="46"/>
        <v>0</v>
      </c>
      <c r="U344" s="80">
        <f>(IF(O344="Stofire",(S344*#REF!),0))+(IF(O344="Fire Control",(S344*$U$2),0))+(IF(O344="Fire Tex",(S344*$U$3),0))+(IF(O344="WB7",(S344*#REF!),0)+(IF(O344="FX 2003",(S344*$U$5),0)))</f>
        <v>0</v>
      </c>
      <c r="V344" s="651">
        <f t="shared" si="47"/>
        <v>0</v>
      </c>
      <c r="W344" s="4"/>
    </row>
    <row r="345" spans="1:23" x14ac:dyDescent="0.25">
      <c r="A345" s="652" t="s">
        <v>429</v>
      </c>
      <c r="B345" s="653" t="s">
        <v>430</v>
      </c>
      <c r="C345" s="1" t="s">
        <v>435</v>
      </c>
      <c r="D345" s="118">
        <f>+CUBICACION!D344</f>
        <v>0</v>
      </c>
      <c r="E345" s="118">
        <f>+CUBICACION!F344</f>
        <v>0</v>
      </c>
      <c r="F345" s="118">
        <f>+CUBICACION!E344</f>
        <v>0</v>
      </c>
      <c r="G345" s="118">
        <v>12</v>
      </c>
      <c r="H345" s="118">
        <v>2</v>
      </c>
      <c r="I345" s="820">
        <v>26385</v>
      </c>
      <c r="J345" s="118">
        <f>+CUBICACION!J344</f>
        <v>0</v>
      </c>
      <c r="K345" s="118">
        <v>3124</v>
      </c>
      <c r="L345" s="118">
        <f>+CUBICACION!L344</f>
        <v>0</v>
      </c>
      <c r="M345" s="64">
        <f>+CUBICACION!M344</f>
        <v>0</v>
      </c>
      <c r="N345" s="824" t="str">
        <f>+CUBICACION!N344</f>
        <v/>
      </c>
      <c r="O345" s="675">
        <f>+CUBICACION!O344</f>
        <v>0</v>
      </c>
      <c r="P345" s="15">
        <f>IF(O345="Fire Control",VLOOKUP(_xlfn.MINIFS('FIRE CONTROL'!$C$4:$C$37,'FIRE CONTROL'!$C$4:$C$37,"&gt;="&amp;M345),'FIRE CONTROL'!$C$4:$G$37,IF(L345="F-15",2,IF(L345="F-30",3,IF(L345="F-60",4,IF(L345="F-90",5,0)))),0),0)+IF(AND(O345="FIRE TEX 5062",OR(E345="IN",E345="C",E345="Z",E345="L"),J345=3),VLOOKUP(_xlfn.MINIFS('FIRE TEX 5062'!$B$4:$B$34,'FIRE TEX 5062'!$B$4:$B$34,"&gt;="&amp;M345),'FIRE TEX 5062'!$B$4:$F$34,IF(L345="F-15",2,IF(L345="F-30",3,IF(L345="F-60",4,IF(L345="F-90",5,0)))),0),0)+IF(AND(O345="FIRE TEX 5062",OR(E345="IN",E345="C",E345="Z",E345="L"),J345=4),VLOOKUP(_xlfn.MINIFS('FIRE TEX 5062'!$G$4:$G$34,'FIRE TEX 5062'!$G$4:$G$34,"&gt;="&amp;M345),'FIRE TEX 5062'!$G$4:$K$34,IF(L345="F-15",2,IF(L345="F-30",3,IF(L345="F-60",4,IF(L345="F-90",5,0)))),0),0)+IF(AND(O345="FIRE TEX 5062",E345="CJ",J345=3),VLOOKUP(_xlfn.MINIFS('FIRE TEX 5062'!$L$4:$L$34,'FIRE TEX 5062'!$L$4:$L$34,"&gt;="&amp;M345),'FIRE TEX 5062'!$L$4:$P$34,IF(L345="F-15",2,IF(L345="F-30",3,IF(L345="F-60",4,IF(L345="F-90",5,0)))),0),0)+IF(AND(O345="FIRE TEX 5062",E345="CJ",J345=4),VLOOKUP(_xlfn.MINIFS('FIRE TEX 5062'!$Q$3:$Q$34,'FIRE TEX 5062'!$Q$3:$Q$34,"&gt;="&amp;M345),'FIRE TEX 5062'!$Q$3:$U$34,IF(L345="F-15",2,IF(L345="F-30",3,IF(L345="F-60",4,IF(L345="F-90",5,0)))),0),0)+IF(AND(O345="FIRE TEX 5090",OR(E345="IN",E345="C",E345="Z",E345="L"),J345=3),VLOOKUP(_xlfn.MINIFS('FIRE TEX 5090'!$B$5:$B$43,'FIRE TEX 5090'!$B$5:$B$43,"&gt;="&amp;M345),'FIRE TEX 5090'!$B$5:$H$43,IF(L345="F-15",2,IF(L345="F-30",3,IF(L345="F-60",4,IF(L345="F-90",5,IF(L345="F-120",6,IF(L345="F-150",7,0)))))),0),0)+IF(AND(O345="FIRE TEX 5090",OR(E345="IN",E345="C",E345="Z",E345="L"),J345=4),VLOOKUP(_xlfn.MINIFS('FIRE TEX 5090'!$J$5:$J$43,'FIRE TEX 5090'!$J$5:$J$43,"&gt;="&amp;M345),'FIRE TEX 5090'!$J$5:$P$43,IF(L345="F-15",2,IF(L345="F-30",3,IF(L345="F-60",4,IF(L345="F-90",5,IF(L345="F-120",6,IF(L345="F-150",7,0)))))),0),0)+IF(AND(O345="FIRE TEX 5090",E345="CJ",J345=3),VLOOKUP(_xlfn.MINIFS('FIRE TEX 5090'!$R$5:$R$30,'FIRE TEX 5090'!$R$5:$R$30,"&gt;="&amp;M345),'FIRE TEX 5090'!$R$5:$W$30,IF(L345="F-15",2,IF(L345="F-30",3,IF(L345="F-60",4,IF(L345="F-90",5,IF(L345="F-120",6,IF(L345="F-150",7,0)))))),0),0)+IF(AND(O345="FIRE TEX 5090",E345="CJ",J345=4),VLOOKUP(_xlfn.MINIFS('FIRE TEX 5090'!$Y$5:$Y$39,'FIRE TEX 5090'!$Y$5:$Y$39,"&gt;="&amp;M345),'FIRE TEX 5090'!$Y$5:$AD$39,IF(L345="F-15",2,IF(L345="F-30",3,IF(L345="F-60",4,IF(L345="F-90",5,IF(L345="F-120",6,IF(L345="F-150",7,0)))))),0),0)+IF(AND(O345="FIRE TEX 5120",OR(E345="IN",E345="C",E345="Z",E345="L"),J345=3),VLOOKUP(_xlfn.MINIFS('FIRE TEX 5120'!$B$5:$B$40,'FIRE TEX 5120'!$B$5:$B$40,"&gt;="&amp;M345),'FIRE TEX 5120'!$B$5:$G$40,IF(L345="F-15",2,IF(L345="F-30",3,IF(L345="F-60",4,IF(L345="F-90",5,IF(L345="F-120",6,0))))),0),0)+IF(AND(O345="FIRE TEX 5120",OR(E345="IN",E345="C",E345="Z",E345="L"),J345=4),VLOOKUP(_xlfn.MINIFS('FIRE TEX 5120'!$H$4:$H$40,'FIRE TEX 5120'!$H$4:$H$40,"&gt;="&amp;M345),'FIRE TEX 5120'!$H$4:$M$40,IF(L345="F-15",2,IF(L345="F-30",3,IF(L345="F-60",4,IF(L345="F-90",5,IF(L345="F-120",6,0))))),0),0)+IF(AND(O345="FIRE TEX 5120",E345="CJ"),VLOOKUP(_xlfn.MINIFS('FIRE TEX 5120'!$O$5:$O$40,'FIRE TEX 5120'!$O$5:$O$40,"&gt;="&amp;M345),'FIRE TEX 5120'!$O$5:$T$40,IF(L345="F-15",2,IF(L345="F-30",3,IF(L345="F-60",4,IF(L345="F-90",5,IF(L345="F-120",6,0))))),0),0)</f>
        <v>0</v>
      </c>
      <c r="Q345" s="46">
        <f t="shared" si="43"/>
        <v>0</v>
      </c>
      <c r="R345" s="46">
        <f t="shared" si="45"/>
        <v>0</v>
      </c>
      <c r="S345" s="46" t="e">
        <f t="shared" si="44"/>
        <v>#VALUE!</v>
      </c>
      <c r="T345" s="677">
        <f t="shared" si="46"/>
        <v>0</v>
      </c>
      <c r="U345" s="80">
        <f>(IF(O345="Stofire",(S345*#REF!),0))+(IF(O345="Fire Control",(S345*$U$2),0))+(IF(O345="Fire Tex",(S345*$U$3),0))+(IF(O345="WB7",(S345*#REF!),0)+(IF(O345="FX 2003",(S345*$U$5),0)))</f>
        <v>0</v>
      </c>
      <c r="V345" s="651">
        <f t="shared" si="47"/>
        <v>0</v>
      </c>
      <c r="W345" s="4"/>
    </row>
    <row r="346" spans="1:23" x14ac:dyDescent="0.25">
      <c r="A346" s="652" t="s">
        <v>429</v>
      </c>
      <c r="B346" s="653" t="s">
        <v>430</v>
      </c>
      <c r="C346" s="1" t="s">
        <v>437</v>
      </c>
      <c r="D346" s="118">
        <f>+CUBICACION!D345</f>
        <v>0</v>
      </c>
      <c r="E346" s="118">
        <f>+CUBICACION!F345</f>
        <v>0</v>
      </c>
      <c r="F346" s="118">
        <f>+CUBICACION!E345</f>
        <v>0</v>
      </c>
      <c r="G346" s="118">
        <v>12</v>
      </c>
      <c r="H346" s="118">
        <v>2</v>
      </c>
      <c r="I346" s="820">
        <v>26385</v>
      </c>
      <c r="J346" s="118">
        <f>+CUBICACION!J345</f>
        <v>0</v>
      </c>
      <c r="K346" s="118">
        <v>3125</v>
      </c>
      <c r="L346" s="118">
        <f>+CUBICACION!L345</f>
        <v>0</v>
      </c>
      <c r="M346" s="64">
        <f>+CUBICACION!M345</f>
        <v>0</v>
      </c>
      <c r="N346" s="824" t="str">
        <f>+CUBICACION!N345</f>
        <v/>
      </c>
      <c r="O346" s="675">
        <f>+CUBICACION!O345</f>
        <v>0</v>
      </c>
      <c r="P346" s="15">
        <f>IF(O346="Fire Control",VLOOKUP(_xlfn.MINIFS('FIRE CONTROL'!$C$4:$C$37,'FIRE CONTROL'!$C$4:$C$37,"&gt;="&amp;M346),'FIRE CONTROL'!$C$4:$G$37,IF(L346="F-15",2,IF(L346="F-30",3,IF(L346="F-60",4,IF(L346="F-90",5,0)))),0),0)+IF(AND(O346="FIRE TEX 5062",OR(E346="IN",E346="C",E346="Z",E346="L"),J346=3),VLOOKUP(_xlfn.MINIFS('FIRE TEX 5062'!$B$4:$B$34,'FIRE TEX 5062'!$B$4:$B$34,"&gt;="&amp;M346),'FIRE TEX 5062'!$B$4:$F$34,IF(L346="F-15",2,IF(L346="F-30",3,IF(L346="F-60",4,IF(L346="F-90",5,0)))),0),0)+IF(AND(O346="FIRE TEX 5062",OR(E346="IN",E346="C",E346="Z",E346="L"),J346=4),VLOOKUP(_xlfn.MINIFS('FIRE TEX 5062'!$G$4:$G$34,'FIRE TEX 5062'!$G$4:$G$34,"&gt;="&amp;M346),'FIRE TEX 5062'!$G$4:$K$34,IF(L346="F-15",2,IF(L346="F-30",3,IF(L346="F-60",4,IF(L346="F-90",5,0)))),0),0)+IF(AND(O346="FIRE TEX 5062",E346="CJ",J346=3),VLOOKUP(_xlfn.MINIFS('FIRE TEX 5062'!$L$4:$L$34,'FIRE TEX 5062'!$L$4:$L$34,"&gt;="&amp;M346),'FIRE TEX 5062'!$L$4:$P$34,IF(L346="F-15",2,IF(L346="F-30",3,IF(L346="F-60",4,IF(L346="F-90",5,0)))),0),0)+IF(AND(O346="FIRE TEX 5062",E346="CJ",J346=4),VLOOKUP(_xlfn.MINIFS('FIRE TEX 5062'!$Q$3:$Q$34,'FIRE TEX 5062'!$Q$3:$Q$34,"&gt;="&amp;M346),'FIRE TEX 5062'!$Q$3:$U$34,IF(L346="F-15",2,IF(L346="F-30",3,IF(L346="F-60",4,IF(L346="F-90",5,0)))),0),0)+IF(AND(O346="FIRE TEX 5090",OR(E346="IN",E346="C",E346="Z",E346="L"),J346=3),VLOOKUP(_xlfn.MINIFS('FIRE TEX 5090'!$B$5:$B$43,'FIRE TEX 5090'!$B$5:$B$43,"&gt;="&amp;M346),'FIRE TEX 5090'!$B$5:$H$43,IF(L346="F-15",2,IF(L346="F-30",3,IF(L346="F-60",4,IF(L346="F-90",5,IF(L346="F-120",6,IF(L346="F-150",7,0)))))),0),0)+IF(AND(O346="FIRE TEX 5090",OR(E346="IN",E346="C",E346="Z",E346="L"),J346=4),VLOOKUP(_xlfn.MINIFS('FIRE TEX 5090'!$J$5:$J$43,'FIRE TEX 5090'!$J$5:$J$43,"&gt;="&amp;M346),'FIRE TEX 5090'!$J$5:$P$43,IF(L346="F-15",2,IF(L346="F-30",3,IF(L346="F-60",4,IF(L346="F-90",5,IF(L346="F-120",6,IF(L346="F-150",7,0)))))),0),0)+IF(AND(O346="FIRE TEX 5090",E346="CJ",J346=3),VLOOKUP(_xlfn.MINIFS('FIRE TEX 5090'!$R$5:$R$30,'FIRE TEX 5090'!$R$5:$R$30,"&gt;="&amp;M346),'FIRE TEX 5090'!$R$5:$W$30,IF(L346="F-15",2,IF(L346="F-30",3,IF(L346="F-60",4,IF(L346="F-90",5,IF(L346="F-120",6,IF(L346="F-150",7,0)))))),0),0)+IF(AND(O346="FIRE TEX 5090",E346="CJ",J346=4),VLOOKUP(_xlfn.MINIFS('FIRE TEX 5090'!$Y$5:$Y$39,'FIRE TEX 5090'!$Y$5:$Y$39,"&gt;="&amp;M346),'FIRE TEX 5090'!$Y$5:$AD$39,IF(L346="F-15",2,IF(L346="F-30",3,IF(L346="F-60",4,IF(L346="F-90",5,IF(L346="F-120",6,IF(L346="F-150",7,0)))))),0),0)+IF(AND(O346="FIRE TEX 5120",OR(E346="IN",E346="C",E346="Z",E346="L"),J346=3),VLOOKUP(_xlfn.MINIFS('FIRE TEX 5120'!$B$5:$B$40,'FIRE TEX 5120'!$B$5:$B$40,"&gt;="&amp;M346),'FIRE TEX 5120'!$B$5:$G$40,IF(L346="F-15",2,IF(L346="F-30",3,IF(L346="F-60",4,IF(L346="F-90",5,IF(L346="F-120",6,0))))),0),0)+IF(AND(O346="FIRE TEX 5120",OR(E346="IN",E346="C",E346="Z",E346="L"),J346=4),VLOOKUP(_xlfn.MINIFS('FIRE TEX 5120'!$H$4:$H$40,'FIRE TEX 5120'!$H$4:$H$40,"&gt;="&amp;M346),'FIRE TEX 5120'!$H$4:$M$40,IF(L346="F-15",2,IF(L346="F-30",3,IF(L346="F-60",4,IF(L346="F-90",5,IF(L346="F-120",6,0))))),0),0)+IF(AND(O346="FIRE TEX 5120",E346="CJ"),VLOOKUP(_xlfn.MINIFS('FIRE TEX 5120'!$O$5:$O$40,'FIRE TEX 5120'!$O$5:$O$40,"&gt;="&amp;M346),'FIRE TEX 5120'!$O$5:$T$40,IF(L346="F-15",2,IF(L346="F-30",3,IF(L346="F-60",4,IF(L346="F-90",5,IF(L346="F-120",6,0))))),0),0)</f>
        <v>0</v>
      </c>
      <c r="Q346" s="46">
        <f t="shared" si="43"/>
        <v>0</v>
      </c>
      <c r="R346" s="46">
        <f t="shared" si="45"/>
        <v>0</v>
      </c>
      <c r="S346" s="46" t="e">
        <f t="shared" si="44"/>
        <v>#VALUE!</v>
      </c>
      <c r="T346" s="677">
        <f t="shared" si="46"/>
        <v>0</v>
      </c>
      <c r="U346" s="80">
        <f>(IF(O346="Stofire",(S346*#REF!),0))+(IF(O346="Fire Control",(S346*$U$2),0))+(IF(O346="Fire Tex",(S346*$U$3),0))+(IF(O346="WB7",(S346*#REF!),0)+(IF(O346="FX 2003",(S346*$U$5),0)))</f>
        <v>0</v>
      </c>
      <c r="V346" s="651">
        <f t="shared" si="47"/>
        <v>0</v>
      </c>
      <c r="W346" s="4"/>
    </row>
    <row r="347" spans="1:23" x14ac:dyDescent="0.25">
      <c r="A347" s="652" t="s">
        <v>439</v>
      </c>
      <c r="B347" s="653" t="s">
        <v>430</v>
      </c>
      <c r="C347" s="1" t="s">
        <v>431</v>
      </c>
      <c r="D347" s="118">
        <f>+CUBICACION!D346</f>
        <v>0</v>
      </c>
      <c r="E347" s="118">
        <f>+CUBICACION!F346</f>
        <v>0</v>
      </c>
      <c r="F347" s="118">
        <f>+CUBICACION!E346</f>
        <v>0</v>
      </c>
      <c r="G347" s="118">
        <v>12</v>
      </c>
      <c r="H347" s="118">
        <v>2</v>
      </c>
      <c r="I347" s="820">
        <v>26385</v>
      </c>
      <c r="J347" s="118">
        <f>+CUBICACION!J346</f>
        <v>0</v>
      </c>
      <c r="K347" s="118">
        <v>3126</v>
      </c>
      <c r="L347" s="118">
        <f>+CUBICACION!L346</f>
        <v>0</v>
      </c>
      <c r="M347" s="64">
        <f>+CUBICACION!M346</f>
        <v>0</v>
      </c>
      <c r="N347" s="824" t="str">
        <f>+CUBICACION!N346</f>
        <v/>
      </c>
      <c r="O347" s="675">
        <f>+CUBICACION!O346</f>
        <v>0</v>
      </c>
      <c r="P347" s="15">
        <f>IF(O347="Fire Control",VLOOKUP(_xlfn.MINIFS('FIRE CONTROL'!$C$4:$C$37,'FIRE CONTROL'!$C$4:$C$37,"&gt;="&amp;M347),'FIRE CONTROL'!$C$4:$G$37,IF(L347="F-15",2,IF(L347="F-30",3,IF(L347="F-60",4,IF(L347="F-90",5,0)))),0),0)+IF(AND(O347="FIRE TEX 5062",OR(E347="IN",E347="C",E347="Z",E347="L"),J347=3),VLOOKUP(_xlfn.MINIFS('FIRE TEX 5062'!$B$4:$B$34,'FIRE TEX 5062'!$B$4:$B$34,"&gt;="&amp;M347),'FIRE TEX 5062'!$B$4:$F$34,IF(L347="F-15",2,IF(L347="F-30",3,IF(L347="F-60",4,IF(L347="F-90",5,0)))),0),0)+IF(AND(O347="FIRE TEX 5062",OR(E347="IN",E347="C",E347="Z",E347="L"),J347=4),VLOOKUP(_xlfn.MINIFS('FIRE TEX 5062'!$G$4:$G$34,'FIRE TEX 5062'!$G$4:$G$34,"&gt;="&amp;M347),'FIRE TEX 5062'!$G$4:$K$34,IF(L347="F-15",2,IF(L347="F-30",3,IF(L347="F-60",4,IF(L347="F-90",5,0)))),0),0)+IF(AND(O347="FIRE TEX 5062",E347="CJ",J347=3),VLOOKUP(_xlfn.MINIFS('FIRE TEX 5062'!$L$4:$L$34,'FIRE TEX 5062'!$L$4:$L$34,"&gt;="&amp;M347),'FIRE TEX 5062'!$L$4:$P$34,IF(L347="F-15",2,IF(L347="F-30",3,IF(L347="F-60",4,IF(L347="F-90",5,0)))),0),0)+IF(AND(O347="FIRE TEX 5062",E347="CJ",J347=4),VLOOKUP(_xlfn.MINIFS('FIRE TEX 5062'!$Q$3:$Q$34,'FIRE TEX 5062'!$Q$3:$Q$34,"&gt;="&amp;M347),'FIRE TEX 5062'!$Q$3:$U$34,IF(L347="F-15",2,IF(L347="F-30",3,IF(L347="F-60",4,IF(L347="F-90",5,0)))),0),0)+IF(AND(O347="FIRE TEX 5090",OR(E347="IN",E347="C",E347="Z",E347="L"),J347=3),VLOOKUP(_xlfn.MINIFS('FIRE TEX 5090'!$B$5:$B$43,'FIRE TEX 5090'!$B$5:$B$43,"&gt;="&amp;M347),'FIRE TEX 5090'!$B$5:$H$43,IF(L347="F-15",2,IF(L347="F-30",3,IF(L347="F-60",4,IF(L347="F-90",5,IF(L347="F-120",6,IF(L347="F-150",7,0)))))),0),0)+IF(AND(O347="FIRE TEX 5090",OR(E347="IN",E347="C",E347="Z",E347="L"),J347=4),VLOOKUP(_xlfn.MINIFS('FIRE TEX 5090'!$J$5:$J$43,'FIRE TEX 5090'!$J$5:$J$43,"&gt;="&amp;M347),'FIRE TEX 5090'!$J$5:$P$43,IF(L347="F-15",2,IF(L347="F-30",3,IF(L347="F-60",4,IF(L347="F-90",5,IF(L347="F-120",6,IF(L347="F-150",7,0)))))),0),0)+IF(AND(O347="FIRE TEX 5090",E347="CJ",J347=3),VLOOKUP(_xlfn.MINIFS('FIRE TEX 5090'!$R$5:$R$30,'FIRE TEX 5090'!$R$5:$R$30,"&gt;="&amp;M347),'FIRE TEX 5090'!$R$5:$W$30,IF(L347="F-15",2,IF(L347="F-30",3,IF(L347="F-60",4,IF(L347="F-90",5,IF(L347="F-120",6,IF(L347="F-150",7,0)))))),0),0)+IF(AND(O347="FIRE TEX 5090",E347="CJ",J347=4),VLOOKUP(_xlfn.MINIFS('FIRE TEX 5090'!$Y$5:$Y$39,'FIRE TEX 5090'!$Y$5:$Y$39,"&gt;="&amp;M347),'FIRE TEX 5090'!$Y$5:$AD$39,IF(L347="F-15",2,IF(L347="F-30",3,IF(L347="F-60",4,IF(L347="F-90",5,IF(L347="F-120",6,IF(L347="F-150",7,0)))))),0),0)+IF(AND(O347="FIRE TEX 5120",OR(E347="IN",E347="C",E347="Z",E347="L"),J347=3),VLOOKUP(_xlfn.MINIFS('FIRE TEX 5120'!$B$5:$B$40,'FIRE TEX 5120'!$B$5:$B$40,"&gt;="&amp;M347),'FIRE TEX 5120'!$B$5:$G$40,IF(L347="F-15",2,IF(L347="F-30",3,IF(L347="F-60",4,IF(L347="F-90",5,IF(L347="F-120",6,0))))),0),0)+IF(AND(O347="FIRE TEX 5120",OR(E347="IN",E347="C",E347="Z",E347="L"),J347=4),VLOOKUP(_xlfn.MINIFS('FIRE TEX 5120'!$H$4:$H$40,'FIRE TEX 5120'!$H$4:$H$40,"&gt;="&amp;M347),'FIRE TEX 5120'!$H$4:$M$40,IF(L347="F-15",2,IF(L347="F-30",3,IF(L347="F-60",4,IF(L347="F-90",5,IF(L347="F-120",6,0))))),0),0)+IF(AND(O347="FIRE TEX 5120",E347="CJ"),VLOOKUP(_xlfn.MINIFS('FIRE TEX 5120'!$O$5:$O$40,'FIRE TEX 5120'!$O$5:$O$40,"&gt;="&amp;M347),'FIRE TEX 5120'!$O$5:$T$40,IF(L347="F-15",2,IF(L347="F-30",3,IF(L347="F-60",4,IF(L347="F-90",5,IF(L347="F-120",6,0))))),0),0)</f>
        <v>0</v>
      </c>
      <c r="Q347" s="46">
        <f t="shared" si="43"/>
        <v>0</v>
      </c>
      <c r="R347" s="46">
        <f t="shared" si="45"/>
        <v>0</v>
      </c>
      <c r="S347" s="46" t="e">
        <f t="shared" si="44"/>
        <v>#VALUE!</v>
      </c>
      <c r="T347" s="677">
        <f t="shared" si="46"/>
        <v>0</v>
      </c>
      <c r="U347" s="80">
        <f>(IF(O347="Stofire",(S347*#REF!),0))+(IF(O347="Fire Control",(S347*$U$2),0))+(IF(O347="Fire Tex",(S347*$U$3),0))+(IF(O347="WB7",(S347*#REF!),0)+(IF(O347="FX 2003",(S347*$U$5),0)))</f>
        <v>0</v>
      </c>
      <c r="V347" s="651">
        <f t="shared" si="47"/>
        <v>0</v>
      </c>
      <c r="W347" s="4"/>
    </row>
    <row r="348" spans="1:23" x14ac:dyDescent="0.25">
      <c r="A348" s="652" t="s">
        <v>439</v>
      </c>
      <c r="B348" s="653" t="s">
        <v>430</v>
      </c>
      <c r="C348" s="1" t="s">
        <v>435</v>
      </c>
      <c r="D348" s="118">
        <f>+CUBICACION!D347</f>
        <v>0</v>
      </c>
      <c r="E348" s="118">
        <f>+CUBICACION!F347</f>
        <v>0</v>
      </c>
      <c r="F348" s="118">
        <f>+CUBICACION!E347</f>
        <v>0</v>
      </c>
      <c r="G348" s="118">
        <v>12</v>
      </c>
      <c r="H348" s="118">
        <v>2</v>
      </c>
      <c r="I348" s="820">
        <v>26385</v>
      </c>
      <c r="J348" s="118">
        <f>+CUBICACION!J347</f>
        <v>0</v>
      </c>
      <c r="K348" s="118">
        <v>3127</v>
      </c>
      <c r="L348" s="118">
        <f>+CUBICACION!L347</f>
        <v>0</v>
      </c>
      <c r="M348" s="64">
        <f>+CUBICACION!M347</f>
        <v>0</v>
      </c>
      <c r="N348" s="824" t="str">
        <f>+CUBICACION!N347</f>
        <v/>
      </c>
      <c r="O348" s="675">
        <f>+CUBICACION!O347</f>
        <v>0</v>
      </c>
      <c r="P348" s="15">
        <f>IF(O348="Fire Control",VLOOKUP(_xlfn.MINIFS('FIRE CONTROL'!$C$4:$C$37,'FIRE CONTROL'!$C$4:$C$37,"&gt;="&amp;M348),'FIRE CONTROL'!$C$4:$G$37,IF(L348="F-15",2,IF(L348="F-30",3,IF(L348="F-60",4,IF(L348="F-90",5,0)))),0),0)+IF(AND(O348="FIRE TEX 5062",OR(E348="IN",E348="C",E348="Z",E348="L"),J348=3),VLOOKUP(_xlfn.MINIFS('FIRE TEX 5062'!$B$4:$B$34,'FIRE TEX 5062'!$B$4:$B$34,"&gt;="&amp;M348),'FIRE TEX 5062'!$B$4:$F$34,IF(L348="F-15",2,IF(L348="F-30",3,IF(L348="F-60",4,IF(L348="F-90",5,0)))),0),0)+IF(AND(O348="FIRE TEX 5062",OR(E348="IN",E348="C",E348="Z",E348="L"),J348=4),VLOOKUP(_xlfn.MINIFS('FIRE TEX 5062'!$G$4:$G$34,'FIRE TEX 5062'!$G$4:$G$34,"&gt;="&amp;M348),'FIRE TEX 5062'!$G$4:$K$34,IF(L348="F-15",2,IF(L348="F-30",3,IF(L348="F-60",4,IF(L348="F-90",5,0)))),0),0)+IF(AND(O348="FIRE TEX 5062",E348="CJ",J348=3),VLOOKUP(_xlfn.MINIFS('FIRE TEX 5062'!$L$4:$L$34,'FIRE TEX 5062'!$L$4:$L$34,"&gt;="&amp;M348),'FIRE TEX 5062'!$L$4:$P$34,IF(L348="F-15",2,IF(L348="F-30",3,IF(L348="F-60",4,IF(L348="F-90",5,0)))),0),0)+IF(AND(O348="FIRE TEX 5062",E348="CJ",J348=4),VLOOKUP(_xlfn.MINIFS('FIRE TEX 5062'!$Q$3:$Q$34,'FIRE TEX 5062'!$Q$3:$Q$34,"&gt;="&amp;M348),'FIRE TEX 5062'!$Q$3:$U$34,IF(L348="F-15",2,IF(L348="F-30",3,IF(L348="F-60",4,IF(L348="F-90",5,0)))),0),0)+IF(AND(O348="FIRE TEX 5090",OR(E348="IN",E348="C",E348="Z",E348="L"),J348=3),VLOOKUP(_xlfn.MINIFS('FIRE TEX 5090'!$B$5:$B$43,'FIRE TEX 5090'!$B$5:$B$43,"&gt;="&amp;M348),'FIRE TEX 5090'!$B$5:$H$43,IF(L348="F-15",2,IF(L348="F-30",3,IF(L348="F-60",4,IF(L348="F-90",5,IF(L348="F-120",6,IF(L348="F-150",7,0)))))),0),0)+IF(AND(O348="FIRE TEX 5090",OR(E348="IN",E348="C",E348="Z",E348="L"),J348=4),VLOOKUP(_xlfn.MINIFS('FIRE TEX 5090'!$J$5:$J$43,'FIRE TEX 5090'!$J$5:$J$43,"&gt;="&amp;M348),'FIRE TEX 5090'!$J$5:$P$43,IF(L348="F-15",2,IF(L348="F-30",3,IF(L348="F-60",4,IF(L348="F-90",5,IF(L348="F-120",6,IF(L348="F-150",7,0)))))),0),0)+IF(AND(O348="FIRE TEX 5090",E348="CJ",J348=3),VLOOKUP(_xlfn.MINIFS('FIRE TEX 5090'!$R$5:$R$30,'FIRE TEX 5090'!$R$5:$R$30,"&gt;="&amp;M348),'FIRE TEX 5090'!$R$5:$W$30,IF(L348="F-15",2,IF(L348="F-30",3,IF(L348="F-60",4,IF(L348="F-90",5,IF(L348="F-120",6,IF(L348="F-150",7,0)))))),0),0)+IF(AND(O348="FIRE TEX 5090",E348="CJ",J348=4),VLOOKUP(_xlfn.MINIFS('FIRE TEX 5090'!$Y$5:$Y$39,'FIRE TEX 5090'!$Y$5:$Y$39,"&gt;="&amp;M348),'FIRE TEX 5090'!$Y$5:$AD$39,IF(L348="F-15",2,IF(L348="F-30",3,IF(L348="F-60",4,IF(L348="F-90",5,IF(L348="F-120",6,IF(L348="F-150",7,0)))))),0),0)+IF(AND(O348="FIRE TEX 5120",OR(E348="IN",E348="C",E348="Z",E348="L"),J348=3),VLOOKUP(_xlfn.MINIFS('FIRE TEX 5120'!$B$5:$B$40,'FIRE TEX 5120'!$B$5:$B$40,"&gt;="&amp;M348),'FIRE TEX 5120'!$B$5:$G$40,IF(L348="F-15",2,IF(L348="F-30",3,IF(L348="F-60",4,IF(L348="F-90",5,IF(L348="F-120",6,0))))),0),0)+IF(AND(O348="FIRE TEX 5120",OR(E348="IN",E348="C",E348="Z",E348="L"),J348=4),VLOOKUP(_xlfn.MINIFS('FIRE TEX 5120'!$H$4:$H$40,'FIRE TEX 5120'!$H$4:$H$40,"&gt;="&amp;M348),'FIRE TEX 5120'!$H$4:$M$40,IF(L348="F-15",2,IF(L348="F-30",3,IF(L348="F-60",4,IF(L348="F-90",5,IF(L348="F-120",6,0))))),0),0)+IF(AND(O348="FIRE TEX 5120",E348="CJ"),VLOOKUP(_xlfn.MINIFS('FIRE TEX 5120'!$O$5:$O$40,'FIRE TEX 5120'!$O$5:$O$40,"&gt;="&amp;M348),'FIRE TEX 5120'!$O$5:$T$40,IF(L348="F-15",2,IF(L348="F-30",3,IF(L348="F-60",4,IF(L348="F-90",5,IF(L348="F-120",6,0))))),0),0)</f>
        <v>0</v>
      </c>
      <c r="Q348" s="46">
        <f t="shared" si="43"/>
        <v>0</v>
      </c>
      <c r="R348" s="46">
        <f t="shared" si="45"/>
        <v>0</v>
      </c>
      <c r="S348" s="46" t="e">
        <f t="shared" si="44"/>
        <v>#VALUE!</v>
      </c>
      <c r="T348" s="677">
        <f t="shared" si="46"/>
        <v>0</v>
      </c>
      <c r="U348" s="80">
        <f>(IF(O348="Stofire",(S348*#REF!),0))+(IF(O348="Fire Control",(S348*$U$2),0))+(IF(O348="Fire Tex",(S348*$U$3),0))+(IF(O348="WB7",(S348*#REF!),0)+(IF(O348="FX 2003",(S348*$U$5),0)))</f>
        <v>0</v>
      </c>
      <c r="V348" s="651">
        <f t="shared" si="47"/>
        <v>0</v>
      </c>
      <c r="W348" s="4"/>
    </row>
    <row r="349" spans="1:23" x14ac:dyDescent="0.25">
      <c r="A349" s="652" t="s">
        <v>442</v>
      </c>
      <c r="B349" s="653" t="s">
        <v>443</v>
      </c>
      <c r="C349" s="1" t="s">
        <v>444</v>
      </c>
      <c r="D349" s="118">
        <f>+CUBICACION!D348</f>
        <v>0</v>
      </c>
      <c r="E349" s="118">
        <f>+CUBICACION!F348</f>
        <v>0</v>
      </c>
      <c r="F349" s="118">
        <f>+CUBICACION!E348</f>
        <v>0</v>
      </c>
      <c r="G349" s="118">
        <v>12</v>
      </c>
      <c r="H349" s="118">
        <v>2</v>
      </c>
      <c r="I349" s="820">
        <v>26385</v>
      </c>
      <c r="J349" s="118">
        <f>+CUBICACION!J348</f>
        <v>0</v>
      </c>
      <c r="K349" s="118">
        <v>3128</v>
      </c>
      <c r="L349" s="118">
        <f>+CUBICACION!L348</f>
        <v>0</v>
      </c>
      <c r="M349" s="64">
        <f>+CUBICACION!M348</f>
        <v>0</v>
      </c>
      <c r="N349" s="824" t="str">
        <f>+CUBICACION!N348</f>
        <v/>
      </c>
      <c r="O349" s="675">
        <f>+CUBICACION!O348</f>
        <v>0</v>
      </c>
      <c r="P349" s="15">
        <f>IF(O349="Fire Control",VLOOKUP(_xlfn.MINIFS('FIRE CONTROL'!$C$4:$C$37,'FIRE CONTROL'!$C$4:$C$37,"&gt;="&amp;M349),'FIRE CONTROL'!$C$4:$G$37,IF(L349="F-15",2,IF(L349="F-30",3,IF(L349="F-60",4,IF(L349="F-90",5,0)))),0),0)+IF(AND(O349="FIRE TEX 5062",OR(E349="IN",E349="C",E349="Z",E349="L"),J349=3),VLOOKUP(_xlfn.MINIFS('FIRE TEX 5062'!$B$4:$B$34,'FIRE TEX 5062'!$B$4:$B$34,"&gt;="&amp;M349),'FIRE TEX 5062'!$B$4:$F$34,IF(L349="F-15",2,IF(L349="F-30",3,IF(L349="F-60",4,IF(L349="F-90",5,0)))),0),0)+IF(AND(O349="FIRE TEX 5062",OR(E349="IN",E349="C",E349="Z",E349="L"),J349=4),VLOOKUP(_xlfn.MINIFS('FIRE TEX 5062'!$G$4:$G$34,'FIRE TEX 5062'!$G$4:$G$34,"&gt;="&amp;M349),'FIRE TEX 5062'!$G$4:$K$34,IF(L349="F-15",2,IF(L349="F-30",3,IF(L349="F-60",4,IF(L349="F-90",5,0)))),0),0)+IF(AND(O349="FIRE TEX 5062",E349="CJ",J349=3),VLOOKUP(_xlfn.MINIFS('FIRE TEX 5062'!$L$4:$L$34,'FIRE TEX 5062'!$L$4:$L$34,"&gt;="&amp;M349),'FIRE TEX 5062'!$L$4:$P$34,IF(L349="F-15",2,IF(L349="F-30",3,IF(L349="F-60",4,IF(L349="F-90",5,0)))),0),0)+IF(AND(O349="FIRE TEX 5062",E349="CJ",J349=4),VLOOKUP(_xlfn.MINIFS('FIRE TEX 5062'!$Q$3:$Q$34,'FIRE TEX 5062'!$Q$3:$Q$34,"&gt;="&amp;M349),'FIRE TEX 5062'!$Q$3:$U$34,IF(L349="F-15",2,IF(L349="F-30",3,IF(L349="F-60",4,IF(L349="F-90",5,0)))),0),0)+IF(AND(O349="FIRE TEX 5090",OR(E349="IN",E349="C",E349="Z",E349="L"),J349=3),VLOOKUP(_xlfn.MINIFS('FIRE TEX 5090'!$B$5:$B$43,'FIRE TEX 5090'!$B$5:$B$43,"&gt;="&amp;M349),'FIRE TEX 5090'!$B$5:$H$43,IF(L349="F-15",2,IF(L349="F-30",3,IF(L349="F-60",4,IF(L349="F-90",5,IF(L349="F-120",6,IF(L349="F-150",7,0)))))),0),0)+IF(AND(O349="FIRE TEX 5090",OR(E349="IN",E349="C",E349="Z",E349="L"),J349=4),VLOOKUP(_xlfn.MINIFS('FIRE TEX 5090'!$J$5:$J$43,'FIRE TEX 5090'!$J$5:$J$43,"&gt;="&amp;M349),'FIRE TEX 5090'!$J$5:$P$43,IF(L349="F-15",2,IF(L349="F-30",3,IF(L349="F-60",4,IF(L349="F-90",5,IF(L349="F-120",6,IF(L349="F-150",7,0)))))),0),0)+IF(AND(O349="FIRE TEX 5090",E349="CJ",J349=3),VLOOKUP(_xlfn.MINIFS('FIRE TEX 5090'!$R$5:$R$30,'FIRE TEX 5090'!$R$5:$R$30,"&gt;="&amp;M349),'FIRE TEX 5090'!$R$5:$W$30,IF(L349="F-15",2,IF(L349="F-30",3,IF(L349="F-60",4,IF(L349="F-90",5,IF(L349="F-120",6,IF(L349="F-150",7,0)))))),0),0)+IF(AND(O349="FIRE TEX 5090",E349="CJ",J349=4),VLOOKUP(_xlfn.MINIFS('FIRE TEX 5090'!$Y$5:$Y$39,'FIRE TEX 5090'!$Y$5:$Y$39,"&gt;="&amp;M349),'FIRE TEX 5090'!$Y$5:$AD$39,IF(L349="F-15",2,IF(L349="F-30",3,IF(L349="F-60",4,IF(L349="F-90",5,IF(L349="F-120",6,IF(L349="F-150",7,0)))))),0),0)+IF(AND(O349="FIRE TEX 5120",OR(E349="IN",E349="C",E349="Z",E349="L"),J349=3),VLOOKUP(_xlfn.MINIFS('FIRE TEX 5120'!$B$5:$B$40,'FIRE TEX 5120'!$B$5:$B$40,"&gt;="&amp;M349),'FIRE TEX 5120'!$B$5:$G$40,IF(L349="F-15",2,IF(L349="F-30",3,IF(L349="F-60",4,IF(L349="F-90",5,IF(L349="F-120",6,0))))),0),0)+IF(AND(O349="FIRE TEX 5120",OR(E349="IN",E349="C",E349="Z",E349="L"),J349=4),VLOOKUP(_xlfn.MINIFS('FIRE TEX 5120'!$H$4:$H$40,'FIRE TEX 5120'!$H$4:$H$40,"&gt;="&amp;M349),'FIRE TEX 5120'!$H$4:$M$40,IF(L349="F-15",2,IF(L349="F-30",3,IF(L349="F-60",4,IF(L349="F-90",5,IF(L349="F-120",6,0))))),0),0)+IF(AND(O349="FIRE TEX 5120",E349="CJ"),VLOOKUP(_xlfn.MINIFS('FIRE TEX 5120'!$O$5:$O$40,'FIRE TEX 5120'!$O$5:$O$40,"&gt;="&amp;M349),'FIRE TEX 5120'!$O$5:$T$40,IF(L349="F-15",2,IF(L349="F-30",3,IF(L349="F-60",4,IF(L349="F-90",5,IF(L349="F-120",6,0))))),0),0)</f>
        <v>0</v>
      </c>
      <c r="Q349" s="46">
        <f t="shared" si="43"/>
        <v>0</v>
      </c>
      <c r="R349" s="46">
        <f t="shared" si="45"/>
        <v>0</v>
      </c>
      <c r="S349" s="46" t="e">
        <f t="shared" si="44"/>
        <v>#VALUE!</v>
      </c>
      <c r="T349" s="677">
        <f t="shared" si="46"/>
        <v>0</v>
      </c>
      <c r="U349" s="80">
        <f>(IF(O349="Stofire",(S349*#REF!),0))+(IF(O349="Fire Control",(S349*$U$2),0))+(IF(O349="Fire Tex",(S349*$U$3),0))+(IF(O349="WB7",(S349*#REF!),0)+(IF(O349="FX 2003",(S349*$U$5),0)))</f>
        <v>0</v>
      </c>
      <c r="V349" s="651">
        <f t="shared" si="47"/>
        <v>0</v>
      </c>
      <c r="W349" s="4"/>
    </row>
    <row r="350" spans="1:23" x14ac:dyDescent="0.25">
      <c r="A350" s="652" t="s">
        <v>442</v>
      </c>
      <c r="B350" s="653" t="s">
        <v>443</v>
      </c>
      <c r="C350" s="1" t="s">
        <v>446</v>
      </c>
      <c r="D350" s="118">
        <f>+CUBICACION!D349</f>
        <v>0</v>
      </c>
      <c r="E350" s="118">
        <f>+CUBICACION!F349</f>
        <v>0</v>
      </c>
      <c r="F350" s="118">
        <f>+CUBICACION!E349</f>
        <v>0</v>
      </c>
      <c r="G350" s="118">
        <v>12</v>
      </c>
      <c r="H350" s="118">
        <v>2</v>
      </c>
      <c r="I350" s="820">
        <v>26385</v>
      </c>
      <c r="J350" s="118">
        <f>+CUBICACION!J349</f>
        <v>0</v>
      </c>
      <c r="K350" s="118">
        <v>3129</v>
      </c>
      <c r="L350" s="118">
        <f>+CUBICACION!L349</f>
        <v>0</v>
      </c>
      <c r="M350" s="64">
        <f>+CUBICACION!M349</f>
        <v>0</v>
      </c>
      <c r="N350" s="824" t="str">
        <f>+CUBICACION!N349</f>
        <v/>
      </c>
      <c r="O350" s="675">
        <f>+CUBICACION!O349</f>
        <v>0</v>
      </c>
      <c r="P350" s="15">
        <f>IF(O350="Fire Control",VLOOKUP(_xlfn.MINIFS('FIRE CONTROL'!$C$4:$C$37,'FIRE CONTROL'!$C$4:$C$37,"&gt;="&amp;M350),'FIRE CONTROL'!$C$4:$G$37,IF(L350="F-15",2,IF(L350="F-30",3,IF(L350="F-60",4,IF(L350="F-90",5,0)))),0),0)+IF(AND(O350="FIRE TEX 5062",OR(E350="IN",E350="C",E350="Z",E350="L"),J350=3),VLOOKUP(_xlfn.MINIFS('FIRE TEX 5062'!$B$4:$B$34,'FIRE TEX 5062'!$B$4:$B$34,"&gt;="&amp;M350),'FIRE TEX 5062'!$B$4:$F$34,IF(L350="F-15",2,IF(L350="F-30",3,IF(L350="F-60",4,IF(L350="F-90",5,0)))),0),0)+IF(AND(O350="FIRE TEX 5062",OR(E350="IN",E350="C",E350="Z",E350="L"),J350=4),VLOOKUP(_xlfn.MINIFS('FIRE TEX 5062'!$G$4:$G$34,'FIRE TEX 5062'!$G$4:$G$34,"&gt;="&amp;M350),'FIRE TEX 5062'!$G$4:$K$34,IF(L350="F-15",2,IF(L350="F-30",3,IF(L350="F-60",4,IF(L350="F-90",5,0)))),0),0)+IF(AND(O350="FIRE TEX 5062",E350="CJ",J350=3),VLOOKUP(_xlfn.MINIFS('FIRE TEX 5062'!$L$4:$L$34,'FIRE TEX 5062'!$L$4:$L$34,"&gt;="&amp;M350),'FIRE TEX 5062'!$L$4:$P$34,IF(L350="F-15",2,IF(L350="F-30",3,IF(L350="F-60",4,IF(L350="F-90",5,0)))),0),0)+IF(AND(O350="FIRE TEX 5062",E350="CJ",J350=4),VLOOKUP(_xlfn.MINIFS('FIRE TEX 5062'!$Q$3:$Q$34,'FIRE TEX 5062'!$Q$3:$Q$34,"&gt;="&amp;M350),'FIRE TEX 5062'!$Q$3:$U$34,IF(L350="F-15",2,IF(L350="F-30",3,IF(L350="F-60",4,IF(L350="F-90",5,0)))),0),0)+IF(AND(O350="FIRE TEX 5090",OR(E350="IN",E350="C",E350="Z",E350="L"),J350=3),VLOOKUP(_xlfn.MINIFS('FIRE TEX 5090'!$B$5:$B$43,'FIRE TEX 5090'!$B$5:$B$43,"&gt;="&amp;M350),'FIRE TEX 5090'!$B$5:$H$43,IF(L350="F-15",2,IF(L350="F-30",3,IF(L350="F-60",4,IF(L350="F-90",5,IF(L350="F-120",6,IF(L350="F-150",7,0)))))),0),0)+IF(AND(O350="FIRE TEX 5090",OR(E350="IN",E350="C",E350="Z",E350="L"),J350=4),VLOOKUP(_xlfn.MINIFS('FIRE TEX 5090'!$J$5:$J$43,'FIRE TEX 5090'!$J$5:$J$43,"&gt;="&amp;M350),'FIRE TEX 5090'!$J$5:$P$43,IF(L350="F-15",2,IF(L350="F-30",3,IF(L350="F-60",4,IF(L350="F-90",5,IF(L350="F-120",6,IF(L350="F-150",7,0)))))),0),0)+IF(AND(O350="FIRE TEX 5090",E350="CJ",J350=3),VLOOKUP(_xlfn.MINIFS('FIRE TEX 5090'!$R$5:$R$30,'FIRE TEX 5090'!$R$5:$R$30,"&gt;="&amp;M350),'FIRE TEX 5090'!$R$5:$W$30,IF(L350="F-15",2,IF(L350="F-30",3,IF(L350="F-60",4,IF(L350="F-90",5,IF(L350="F-120",6,IF(L350="F-150",7,0)))))),0),0)+IF(AND(O350="FIRE TEX 5090",E350="CJ",J350=4),VLOOKUP(_xlfn.MINIFS('FIRE TEX 5090'!$Y$5:$Y$39,'FIRE TEX 5090'!$Y$5:$Y$39,"&gt;="&amp;M350),'FIRE TEX 5090'!$Y$5:$AD$39,IF(L350="F-15",2,IF(L350="F-30",3,IF(L350="F-60",4,IF(L350="F-90",5,IF(L350="F-120",6,IF(L350="F-150",7,0)))))),0),0)+IF(AND(O350="FIRE TEX 5120",OR(E350="IN",E350="C",E350="Z",E350="L"),J350=3),VLOOKUP(_xlfn.MINIFS('FIRE TEX 5120'!$B$5:$B$40,'FIRE TEX 5120'!$B$5:$B$40,"&gt;="&amp;M350),'FIRE TEX 5120'!$B$5:$G$40,IF(L350="F-15",2,IF(L350="F-30",3,IF(L350="F-60",4,IF(L350="F-90",5,IF(L350="F-120",6,0))))),0),0)+IF(AND(O350="FIRE TEX 5120",OR(E350="IN",E350="C",E350="Z",E350="L"),J350=4),VLOOKUP(_xlfn.MINIFS('FIRE TEX 5120'!$H$4:$H$40,'FIRE TEX 5120'!$H$4:$H$40,"&gt;="&amp;M350),'FIRE TEX 5120'!$H$4:$M$40,IF(L350="F-15",2,IF(L350="F-30",3,IF(L350="F-60",4,IF(L350="F-90",5,IF(L350="F-120",6,0))))),0),0)+IF(AND(O350="FIRE TEX 5120",E350="CJ"),VLOOKUP(_xlfn.MINIFS('FIRE TEX 5120'!$O$5:$O$40,'FIRE TEX 5120'!$O$5:$O$40,"&gt;="&amp;M350),'FIRE TEX 5120'!$O$5:$T$40,IF(L350="F-15",2,IF(L350="F-30",3,IF(L350="F-60",4,IF(L350="F-90",5,IF(L350="F-120",6,0))))),0),0)</f>
        <v>0</v>
      </c>
      <c r="Q350" s="46">
        <f t="shared" si="43"/>
        <v>0</v>
      </c>
      <c r="R350" s="46">
        <f t="shared" si="45"/>
        <v>0</v>
      </c>
      <c r="S350" s="46" t="e">
        <f t="shared" si="44"/>
        <v>#VALUE!</v>
      </c>
      <c r="T350" s="677">
        <f t="shared" si="46"/>
        <v>0</v>
      </c>
      <c r="U350" s="80">
        <f>(IF(O350="Stofire",(S350*#REF!),0))+(IF(O350="Fire Control",(S350*$U$2),0))+(IF(O350="Fire Tex",(S350*$U$3),0))+(IF(O350="WB7",(S350*#REF!),0)+(IF(O350="FX 2003",(S350*$U$5),0)))</f>
        <v>0</v>
      </c>
      <c r="V350" s="651">
        <f>_xlfn.CEILING.MATH(M350,10)</f>
        <v>0</v>
      </c>
      <c r="W350" s="4"/>
    </row>
    <row r="351" spans="1:23" x14ac:dyDescent="0.25">
      <c r="A351" s="652" t="s">
        <v>448</v>
      </c>
      <c r="B351" s="653" t="s">
        <v>443</v>
      </c>
      <c r="C351" s="1" t="s">
        <v>444</v>
      </c>
      <c r="D351" s="118">
        <f>+CUBICACION!D350</f>
        <v>0</v>
      </c>
      <c r="E351" s="118">
        <f>+CUBICACION!F350</f>
        <v>0</v>
      </c>
      <c r="F351" s="118">
        <f>+CUBICACION!E350</f>
        <v>0</v>
      </c>
      <c r="G351" s="118">
        <v>12</v>
      </c>
      <c r="H351" s="118">
        <v>2</v>
      </c>
      <c r="I351" s="820">
        <v>26385</v>
      </c>
      <c r="J351" s="118">
        <f>+CUBICACION!J350</f>
        <v>0</v>
      </c>
      <c r="K351" s="118">
        <v>3130</v>
      </c>
      <c r="L351" s="118">
        <f>+CUBICACION!L350</f>
        <v>0</v>
      </c>
      <c r="M351" s="64">
        <f>+CUBICACION!M350</f>
        <v>0</v>
      </c>
      <c r="N351" s="824" t="str">
        <f>+CUBICACION!N350</f>
        <v/>
      </c>
      <c r="O351" s="675">
        <f>+CUBICACION!O350</f>
        <v>0</v>
      </c>
      <c r="P351" s="15">
        <f>IF(O351="Fire Control",VLOOKUP(_xlfn.MINIFS('FIRE CONTROL'!$C$4:$C$37,'FIRE CONTROL'!$C$4:$C$37,"&gt;="&amp;M351),'FIRE CONTROL'!$C$4:$G$37,IF(L351="F-15",2,IF(L351="F-30",3,IF(L351="F-60",4,IF(L351="F-90",5,0)))),0),0)+IF(AND(O351="FIRE TEX 5062",OR(E351="IN",E351="C",E351="Z",E351="L"),J351=3),VLOOKUP(_xlfn.MINIFS('FIRE TEX 5062'!$B$4:$B$34,'FIRE TEX 5062'!$B$4:$B$34,"&gt;="&amp;M351),'FIRE TEX 5062'!$B$4:$F$34,IF(L351="F-15",2,IF(L351="F-30",3,IF(L351="F-60",4,IF(L351="F-90",5,0)))),0),0)+IF(AND(O351="FIRE TEX 5062",OR(E351="IN",E351="C",E351="Z",E351="L"),J351=4),VLOOKUP(_xlfn.MINIFS('FIRE TEX 5062'!$G$4:$G$34,'FIRE TEX 5062'!$G$4:$G$34,"&gt;="&amp;M351),'FIRE TEX 5062'!$G$4:$K$34,IF(L351="F-15",2,IF(L351="F-30",3,IF(L351="F-60",4,IF(L351="F-90",5,0)))),0),0)+IF(AND(O351="FIRE TEX 5062",E351="CJ",J351=3),VLOOKUP(_xlfn.MINIFS('FIRE TEX 5062'!$L$4:$L$34,'FIRE TEX 5062'!$L$4:$L$34,"&gt;="&amp;M351),'FIRE TEX 5062'!$L$4:$P$34,IF(L351="F-15",2,IF(L351="F-30",3,IF(L351="F-60",4,IF(L351="F-90",5,0)))),0),0)+IF(AND(O351="FIRE TEX 5062",E351="CJ",J351=4),VLOOKUP(_xlfn.MINIFS('FIRE TEX 5062'!$Q$3:$Q$34,'FIRE TEX 5062'!$Q$3:$Q$34,"&gt;="&amp;M351),'FIRE TEX 5062'!$Q$3:$U$34,IF(L351="F-15",2,IF(L351="F-30",3,IF(L351="F-60",4,IF(L351="F-90",5,0)))),0),0)+IF(AND(O351="FIRE TEX 5090",OR(E351="IN",E351="C",E351="Z",E351="L"),J351=3),VLOOKUP(_xlfn.MINIFS('FIRE TEX 5090'!$B$5:$B$43,'FIRE TEX 5090'!$B$5:$B$43,"&gt;="&amp;M351),'FIRE TEX 5090'!$B$5:$H$43,IF(L351="F-15",2,IF(L351="F-30",3,IF(L351="F-60",4,IF(L351="F-90",5,IF(L351="F-120",6,IF(L351="F-150",7,0)))))),0),0)+IF(AND(O351="FIRE TEX 5090",OR(E351="IN",E351="C",E351="Z",E351="L"),J351=4),VLOOKUP(_xlfn.MINIFS('FIRE TEX 5090'!$J$5:$J$43,'FIRE TEX 5090'!$J$5:$J$43,"&gt;="&amp;M351),'FIRE TEX 5090'!$J$5:$P$43,IF(L351="F-15",2,IF(L351="F-30",3,IF(L351="F-60",4,IF(L351="F-90",5,IF(L351="F-120",6,IF(L351="F-150",7,0)))))),0),0)+IF(AND(O351="FIRE TEX 5090",E351="CJ",J351=3),VLOOKUP(_xlfn.MINIFS('FIRE TEX 5090'!$R$5:$R$30,'FIRE TEX 5090'!$R$5:$R$30,"&gt;="&amp;M351),'FIRE TEX 5090'!$R$5:$W$30,IF(L351="F-15",2,IF(L351="F-30",3,IF(L351="F-60",4,IF(L351="F-90",5,IF(L351="F-120",6,IF(L351="F-150",7,0)))))),0),0)+IF(AND(O351="FIRE TEX 5090",E351="CJ",J351=4),VLOOKUP(_xlfn.MINIFS('FIRE TEX 5090'!$Y$5:$Y$39,'FIRE TEX 5090'!$Y$5:$Y$39,"&gt;="&amp;M351),'FIRE TEX 5090'!$Y$5:$AD$39,IF(L351="F-15",2,IF(L351="F-30",3,IF(L351="F-60",4,IF(L351="F-90",5,IF(L351="F-120",6,IF(L351="F-150",7,0)))))),0),0)+IF(AND(O351="FIRE TEX 5120",OR(E351="IN",E351="C",E351="Z",E351="L"),J351=3),VLOOKUP(_xlfn.MINIFS('FIRE TEX 5120'!$B$5:$B$40,'FIRE TEX 5120'!$B$5:$B$40,"&gt;="&amp;M351),'FIRE TEX 5120'!$B$5:$G$40,IF(L351="F-15",2,IF(L351="F-30",3,IF(L351="F-60",4,IF(L351="F-90",5,IF(L351="F-120",6,0))))),0),0)+IF(AND(O351="FIRE TEX 5120",OR(E351="IN",E351="C",E351="Z",E351="L"),J351=4),VLOOKUP(_xlfn.MINIFS('FIRE TEX 5120'!$H$4:$H$40,'FIRE TEX 5120'!$H$4:$H$40,"&gt;="&amp;M351),'FIRE TEX 5120'!$H$4:$M$40,IF(L351="F-15",2,IF(L351="F-30",3,IF(L351="F-60",4,IF(L351="F-90",5,IF(L351="F-120",6,0))))),0),0)+IF(AND(O351="FIRE TEX 5120",E351="CJ"),VLOOKUP(_xlfn.MINIFS('FIRE TEX 5120'!$O$5:$O$40,'FIRE TEX 5120'!$O$5:$O$40,"&gt;="&amp;M351),'FIRE TEX 5120'!$O$5:$T$40,IF(L351="F-15",2,IF(L351="F-30",3,IF(L351="F-60",4,IF(L351="F-90",5,IF(L351="F-120",6,0))))),0),0)</f>
        <v>0</v>
      </c>
      <c r="Q351" s="46">
        <f t="shared" si="43"/>
        <v>0</v>
      </c>
      <c r="R351" s="46">
        <f t="shared" si="45"/>
        <v>0</v>
      </c>
      <c r="S351" s="46" t="e">
        <f t="shared" si="44"/>
        <v>#VALUE!</v>
      </c>
      <c r="T351" s="677">
        <f t="shared" si="46"/>
        <v>0</v>
      </c>
      <c r="U351" s="80">
        <f>(IF(O351="Stofire",(S351*#REF!),0))+(IF(O351="Fire Control",(S351*$U$2),0))+(IF(O351="Fire Tex",(S351*$U$3),0))+(IF(O351="WB7",(S351*#REF!),0)+(IF(O351="FX 2003",(S351*$U$5),0)))</f>
        <v>0</v>
      </c>
      <c r="V351" s="651">
        <f>_xlfn.CEILING.MATH(M351,10)</f>
        <v>0</v>
      </c>
      <c r="W351" s="4"/>
    </row>
    <row r="352" spans="1:23" x14ac:dyDescent="0.25">
      <c r="A352" s="652" t="s">
        <v>448</v>
      </c>
      <c r="B352" s="653" t="s">
        <v>443</v>
      </c>
      <c r="C352" s="1" t="s">
        <v>446</v>
      </c>
      <c r="D352" s="118">
        <f>+CUBICACION!D351</f>
        <v>0</v>
      </c>
      <c r="E352" s="118">
        <f>+CUBICACION!F351</f>
        <v>0</v>
      </c>
      <c r="F352" s="118">
        <f>+CUBICACION!E351</f>
        <v>0</v>
      </c>
      <c r="G352" s="118">
        <v>12</v>
      </c>
      <c r="H352" s="118">
        <v>2</v>
      </c>
      <c r="I352" s="820">
        <v>26385</v>
      </c>
      <c r="J352" s="118">
        <f>+CUBICACION!J351</f>
        <v>0</v>
      </c>
      <c r="K352" s="118">
        <v>3131</v>
      </c>
      <c r="L352" s="118">
        <f>+CUBICACION!L351</f>
        <v>0</v>
      </c>
      <c r="M352" s="64">
        <f>+CUBICACION!M351</f>
        <v>0</v>
      </c>
      <c r="N352" s="824" t="str">
        <f>+CUBICACION!N351</f>
        <v/>
      </c>
      <c r="O352" s="675">
        <f>+CUBICACION!O351</f>
        <v>0</v>
      </c>
      <c r="P352" s="15">
        <f>IF(O352="Fire Control",VLOOKUP(_xlfn.MINIFS('FIRE CONTROL'!$C$4:$C$37,'FIRE CONTROL'!$C$4:$C$37,"&gt;="&amp;M352),'FIRE CONTROL'!$C$4:$G$37,IF(L352="F-15",2,IF(L352="F-30",3,IF(L352="F-60",4,IF(L352="F-90",5,0)))),0),0)+IF(AND(O352="FIRE TEX 5062",OR(E352="IN",E352="C",E352="Z",E352="L"),J352=3),VLOOKUP(_xlfn.MINIFS('FIRE TEX 5062'!$B$4:$B$34,'FIRE TEX 5062'!$B$4:$B$34,"&gt;="&amp;M352),'FIRE TEX 5062'!$B$4:$F$34,IF(L352="F-15",2,IF(L352="F-30",3,IF(L352="F-60",4,IF(L352="F-90",5,0)))),0),0)+IF(AND(O352="FIRE TEX 5062",OR(E352="IN",E352="C",E352="Z",E352="L"),J352=4),VLOOKUP(_xlfn.MINIFS('FIRE TEX 5062'!$G$4:$G$34,'FIRE TEX 5062'!$G$4:$G$34,"&gt;="&amp;M352),'FIRE TEX 5062'!$G$4:$K$34,IF(L352="F-15",2,IF(L352="F-30",3,IF(L352="F-60",4,IF(L352="F-90",5,0)))),0),0)+IF(AND(O352="FIRE TEX 5062",E352="CJ",J352=3),VLOOKUP(_xlfn.MINIFS('FIRE TEX 5062'!$L$4:$L$34,'FIRE TEX 5062'!$L$4:$L$34,"&gt;="&amp;M352),'FIRE TEX 5062'!$L$4:$P$34,IF(L352="F-15",2,IF(L352="F-30",3,IF(L352="F-60",4,IF(L352="F-90",5,0)))),0),0)+IF(AND(O352="FIRE TEX 5062",E352="CJ",J352=4),VLOOKUP(_xlfn.MINIFS('FIRE TEX 5062'!$Q$3:$Q$34,'FIRE TEX 5062'!$Q$3:$Q$34,"&gt;="&amp;M352),'FIRE TEX 5062'!$Q$3:$U$34,IF(L352="F-15",2,IF(L352="F-30",3,IF(L352="F-60",4,IF(L352="F-90",5,0)))),0),0)+IF(AND(O352="FIRE TEX 5090",OR(E352="IN",E352="C",E352="Z",E352="L"),J352=3),VLOOKUP(_xlfn.MINIFS('FIRE TEX 5090'!$B$5:$B$43,'FIRE TEX 5090'!$B$5:$B$43,"&gt;="&amp;M352),'FIRE TEX 5090'!$B$5:$H$43,IF(L352="F-15",2,IF(L352="F-30",3,IF(L352="F-60",4,IF(L352="F-90",5,IF(L352="F-120",6,IF(L352="F-150",7,0)))))),0),0)+IF(AND(O352="FIRE TEX 5090",OR(E352="IN",E352="C",E352="Z",E352="L"),J352=4),VLOOKUP(_xlfn.MINIFS('FIRE TEX 5090'!$J$5:$J$43,'FIRE TEX 5090'!$J$5:$J$43,"&gt;="&amp;M352),'FIRE TEX 5090'!$J$5:$P$43,IF(L352="F-15",2,IF(L352="F-30",3,IF(L352="F-60",4,IF(L352="F-90",5,IF(L352="F-120",6,IF(L352="F-150",7,0)))))),0),0)+IF(AND(O352="FIRE TEX 5090",E352="CJ",J352=3),VLOOKUP(_xlfn.MINIFS('FIRE TEX 5090'!$R$5:$R$30,'FIRE TEX 5090'!$R$5:$R$30,"&gt;="&amp;M352),'FIRE TEX 5090'!$R$5:$W$30,IF(L352="F-15",2,IF(L352="F-30",3,IF(L352="F-60",4,IF(L352="F-90",5,IF(L352="F-120",6,IF(L352="F-150",7,0)))))),0),0)+IF(AND(O352="FIRE TEX 5090",E352="CJ",J352=4),VLOOKUP(_xlfn.MINIFS('FIRE TEX 5090'!$Y$5:$Y$39,'FIRE TEX 5090'!$Y$5:$Y$39,"&gt;="&amp;M352),'FIRE TEX 5090'!$Y$5:$AD$39,IF(L352="F-15",2,IF(L352="F-30",3,IF(L352="F-60",4,IF(L352="F-90",5,IF(L352="F-120",6,IF(L352="F-150",7,0)))))),0),0)+IF(AND(O352="FIRE TEX 5120",OR(E352="IN",E352="C",E352="Z",E352="L"),J352=3),VLOOKUP(_xlfn.MINIFS('FIRE TEX 5120'!$B$5:$B$40,'FIRE TEX 5120'!$B$5:$B$40,"&gt;="&amp;M352),'FIRE TEX 5120'!$B$5:$G$40,IF(L352="F-15",2,IF(L352="F-30",3,IF(L352="F-60",4,IF(L352="F-90",5,IF(L352="F-120",6,0))))),0),0)+IF(AND(O352="FIRE TEX 5120",OR(E352="IN",E352="C",E352="Z",E352="L"),J352=4),VLOOKUP(_xlfn.MINIFS('FIRE TEX 5120'!$H$4:$H$40,'FIRE TEX 5120'!$H$4:$H$40,"&gt;="&amp;M352),'FIRE TEX 5120'!$H$4:$M$40,IF(L352="F-15",2,IF(L352="F-30",3,IF(L352="F-60",4,IF(L352="F-90",5,IF(L352="F-120",6,0))))),0),0)+IF(AND(O352="FIRE TEX 5120",E352="CJ"),VLOOKUP(_xlfn.MINIFS('FIRE TEX 5120'!$O$5:$O$40,'FIRE TEX 5120'!$O$5:$O$40,"&gt;="&amp;M352),'FIRE TEX 5120'!$O$5:$T$40,IF(L352="F-15",2,IF(L352="F-30",3,IF(L352="F-60",4,IF(L352="F-90",5,IF(L352="F-120",6,0))))),0),0)</f>
        <v>0</v>
      </c>
      <c r="Q352" s="46">
        <f t="shared" si="43"/>
        <v>0</v>
      </c>
      <c r="R352" s="46">
        <f t="shared" si="45"/>
        <v>0</v>
      </c>
      <c r="S352" s="46" t="e">
        <f t="shared" si="44"/>
        <v>#VALUE!</v>
      </c>
      <c r="T352" s="677">
        <f t="shared" si="46"/>
        <v>0</v>
      </c>
      <c r="U352" s="80">
        <f>(IF(O352="Stofire",(S352*#REF!),0))+(IF(O352="Fire Control",(S352*$U$2),0))+(IF(O352="Fire Tex",(S352*$U$3),0))+(IF(O352="WB7",(S352*#REF!),0)+(IF(O352="FX 2003",(S352*$U$5),0)))</f>
        <v>0</v>
      </c>
      <c r="V352" s="651">
        <f t="shared" ref="V352:V364" si="48">_xlfn.CEILING.MATH(M352,10)</f>
        <v>0</v>
      </c>
      <c r="W352" s="4"/>
    </row>
    <row r="353" spans="1:23" x14ac:dyDescent="0.25">
      <c r="A353" s="652" t="s">
        <v>448</v>
      </c>
      <c r="B353" s="653" t="s">
        <v>451</v>
      </c>
      <c r="C353" s="1" t="s">
        <v>446</v>
      </c>
      <c r="D353" s="118">
        <f>+CUBICACION!D352</f>
        <v>0</v>
      </c>
      <c r="E353" s="118">
        <f>+CUBICACION!F352</f>
        <v>0</v>
      </c>
      <c r="F353" s="118">
        <f>+CUBICACION!E352</f>
        <v>0</v>
      </c>
      <c r="G353" s="118">
        <v>12</v>
      </c>
      <c r="H353" s="118">
        <v>2</v>
      </c>
      <c r="I353" s="820">
        <v>26385</v>
      </c>
      <c r="J353" s="118">
        <f>+CUBICACION!J352</f>
        <v>0</v>
      </c>
      <c r="K353" s="118">
        <v>3132</v>
      </c>
      <c r="L353" s="118">
        <f>+CUBICACION!L352</f>
        <v>0</v>
      </c>
      <c r="M353" s="64">
        <f>+CUBICACION!M352</f>
        <v>0</v>
      </c>
      <c r="N353" s="824" t="str">
        <f>+CUBICACION!N352</f>
        <v/>
      </c>
      <c r="O353" s="675">
        <f>+CUBICACION!O352</f>
        <v>0</v>
      </c>
      <c r="P353" s="15">
        <f>IF(O353="Fire Control",VLOOKUP(_xlfn.MINIFS('FIRE CONTROL'!$C$4:$C$37,'FIRE CONTROL'!$C$4:$C$37,"&gt;="&amp;M353),'FIRE CONTROL'!$C$4:$G$37,IF(L353="F-15",2,IF(L353="F-30",3,IF(L353="F-60",4,IF(L353="F-90",5,0)))),0),0)+IF(AND(O353="FIRE TEX 5062",OR(E353="IN",E353="C",E353="Z",E353="L"),J353=3),VLOOKUP(_xlfn.MINIFS('FIRE TEX 5062'!$B$4:$B$34,'FIRE TEX 5062'!$B$4:$B$34,"&gt;="&amp;M353),'FIRE TEX 5062'!$B$4:$F$34,IF(L353="F-15",2,IF(L353="F-30",3,IF(L353="F-60",4,IF(L353="F-90",5,0)))),0),0)+IF(AND(O353="FIRE TEX 5062",OR(E353="IN",E353="C",E353="Z",E353="L"),J353=4),VLOOKUP(_xlfn.MINIFS('FIRE TEX 5062'!$G$4:$G$34,'FIRE TEX 5062'!$G$4:$G$34,"&gt;="&amp;M353),'FIRE TEX 5062'!$G$4:$K$34,IF(L353="F-15",2,IF(L353="F-30",3,IF(L353="F-60",4,IF(L353="F-90",5,0)))),0),0)+IF(AND(O353="FIRE TEX 5062",E353="CJ",J353=3),VLOOKUP(_xlfn.MINIFS('FIRE TEX 5062'!$L$4:$L$34,'FIRE TEX 5062'!$L$4:$L$34,"&gt;="&amp;M353),'FIRE TEX 5062'!$L$4:$P$34,IF(L353="F-15",2,IF(L353="F-30",3,IF(L353="F-60",4,IF(L353="F-90",5,0)))),0),0)+IF(AND(O353="FIRE TEX 5062",E353="CJ",J353=4),VLOOKUP(_xlfn.MINIFS('FIRE TEX 5062'!$Q$3:$Q$34,'FIRE TEX 5062'!$Q$3:$Q$34,"&gt;="&amp;M353),'FIRE TEX 5062'!$Q$3:$U$34,IF(L353="F-15",2,IF(L353="F-30",3,IF(L353="F-60",4,IF(L353="F-90",5,0)))),0),0)+IF(AND(O353="FIRE TEX 5090",OR(E353="IN",E353="C",E353="Z",E353="L"),J353=3),VLOOKUP(_xlfn.MINIFS('FIRE TEX 5090'!$B$5:$B$43,'FIRE TEX 5090'!$B$5:$B$43,"&gt;="&amp;M353),'FIRE TEX 5090'!$B$5:$H$43,IF(L353="F-15",2,IF(L353="F-30",3,IF(L353="F-60",4,IF(L353="F-90",5,IF(L353="F-120",6,IF(L353="F-150",7,0)))))),0),0)+IF(AND(O353="FIRE TEX 5090",OR(E353="IN",E353="C",E353="Z",E353="L"),J353=4),VLOOKUP(_xlfn.MINIFS('FIRE TEX 5090'!$J$5:$J$43,'FIRE TEX 5090'!$J$5:$J$43,"&gt;="&amp;M353),'FIRE TEX 5090'!$J$5:$P$43,IF(L353="F-15",2,IF(L353="F-30",3,IF(L353="F-60",4,IF(L353="F-90",5,IF(L353="F-120",6,IF(L353="F-150",7,0)))))),0),0)+IF(AND(O353="FIRE TEX 5090",E353="CJ",J353=3),VLOOKUP(_xlfn.MINIFS('FIRE TEX 5090'!$R$5:$R$30,'FIRE TEX 5090'!$R$5:$R$30,"&gt;="&amp;M353),'FIRE TEX 5090'!$R$5:$W$30,IF(L353="F-15",2,IF(L353="F-30",3,IF(L353="F-60",4,IF(L353="F-90",5,IF(L353="F-120",6,IF(L353="F-150",7,0)))))),0),0)+IF(AND(O353="FIRE TEX 5090",E353="CJ",J353=4),VLOOKUP(_xlfn.MINIFS('FIRE TEX 5090'!$Y$5:$Y$39,'FIRE TEX 5090'!$Y$5:$Y$39,"&gt;="&amp;M353),'FIRE TEX 5090'!$Y$5:$AD$39,IF(L353="F-15",2,IF(L353="F-30",3,IF(L353="F-60",4,IF(L353="F-90",5,IF(L353="F-120",6,IF(L353="F-150",7,0)))))),0),0)+IF(AND(O353="FIRE TEX 5120",OR(E353="IN",E353="C",E353="Z",E353="L"),J353=3),VLOOKUP(_xlfn.MINIFS('FIRE TEX 5120'!$B$5:$B$40,'FIRE TEX 5120'!$B$5:$B$40,"&gt;="&amp;M353),'FIRE TEX 5120'!$B$5:$G$40,IF(L353="F-15",2,IF(L353="F-30",3,IF(L353="F-60",4,IF(L353="F-90",5,IF(L353="F-120",6,0))))),0),0)+IF(AND(O353="FIRE TEX 5120",OR(E353="IN",E353="C",E353="Z",E353="L"),J353=4),VLOOKUP(_xlfn.MINIFS('FIRE TEX 5120'!$H$4:$H$40,'FIRE TEX 5120'!$H$4:$H$40,"&gt;="&amp;M353),'FIRE TEX 5120'!$H$4:$M$40,IF(L353="F-15",2,IF(L353="F-30",3,IF(L353="F-60",4,IF(L353="F-90",5,IF(L353="F-120",6,0))))),0),0)+IF(AND(O353="FIRE TEX 5120",E353="CJ"),VLOOKUP(_xlfn.MINIFS('FIRE TEX 5120'!$O$5:$O$40,'FIRE TEX 5120'!$O$5:$O$40,"&gt;="&amp;M353),'FIRE TEX 5120'!$O$5:$T$40,IF(L353="F-15",2,IF(L353="F-30",3,IF(L353="F-60",4,IF(L353="F-90",5,IF(L353="F-120",6,0))))),0),0)</f>
        <v>0</v>
      </c>
      <c r="Q353" s="46">
        <f t="shared" si="43"/>
        <v>0</v>
      </c>
      <c r="R353" s="46">
        <f t="shared" si="45"/>
        <v>0</v>
      </c>
      <c r="S353" s="46" t="e">
        <f t="shared" si="44"/>
        <v>#VALUE!</v>
      </c>
      <c r="T353" s="677">
        <f t="shared" si="46"/>
        <v>0</v>
      </c>
      <c r="U353" s="80">
        <f>(IF(O353="Stofire",(S353*#REF!),0))+(IF(O353="Fire Control",(S353*$U$2),0))+(IF(O353="Fire Tex",(S353*$U$3),0))+(IF(O353="WB7",(S353*#REF!),0)+(IF(O353="FX 2003",(S353*$U$5),0)))</f>
        <v>0</v>
      </c>
      <c r="V353" s="651">
        <f t="shared" si="48"/>
        <v>0</v>
      </c>
      <c r="W353" s="4"/>
    </row>
    <row r="354" spans="1:23" x14ac:dyDescent="0.25">
      <c r="A354" s="652" t="s">
        <v>452</v>
      </c>
      <c r="B354" s="653" t="s">
        <v>453</v>
      </c>
      <c r="C354" s="1" t="s">
        <v>454</v>
      </c>
      <c r="D354" s="118">
        <f>+CUBICACION!D353</f>
        <v>0</v>
      </c>
      <c r="E354" s="118">
        <f>+CUBICACION!F353</f>
        <v>0</v>
      </c>
      <c r="F354" s="118">
        <f>+CUBICACION!E353</f>
        <v>0</v>
      </c>
      <c r="G354" s="118">
        <v>12</v>
      </c>
      <c r="H354" s="118">
        <v>2</v>
      </c>
      <c r="I354" s="820">
        <v>26385</v>
      </c>
      <c r="J354" s="118">
        <f>+CUBICACION!J353</f>
        <v>0</v>
      </c>
      <c r="K354" s="118">
        <v>3133</v>
      </c>
      <c r="L354" s="118">
        <f>+CUBICACION!L353</f>
        <v>0</v>
      </c>
      <c r="M354" s="64">
        <f>+CUBICACION!M353</f>
        <v>0</v>
      </c>
      <c r="N354" s="824" t="str">
        <f>+CUBICACION!N353</f>
        <v/>
      </c>
      <c r="O354" s="675">
        <f>+CUBICACION!O353</f>
        <v>0</v>
      </c>
      <c r="P354" s="15">
        <f>IF(O354="Fire Control",VLOOKUP(_xlfn.MINIFS('FIRE CONTROL'!$C$4:$C$37,'FIRE CONTROL'!$C$4:$C$37,"&gt;="&amp;M354),'FIRE CONTROL'!$C$4:$G$37,IF(L354="F-15",2,IF(L354="F-30",3,IF(L354="F-60",4,IF(L354="F-90",5,0)))),0),0)+IF(AND(O354="FIRE TEX 5062",OR(E354="IN",E354="C",E354="Z",E354="L"),J354=3),VLOOKUP(_xlfn.MINIFS('FIRE TEX 5062'!$B$4:$B$34,'FIRE TEX 5062'!$B$4:$B$34,"&gt;="&amp;M354),'FIRE TEX 5062'!$B$4:$F$34,IF(L354="F-15",2,IF(L354="F-30",3,IF(L354="F-60",4,IF(L354="F-90",5,0)))),0),0)+IF(AND(O354="FIRE TEX 5062",OR(E354="IN",E354="C",E354="Z",E354="L"),J354=4),VLOOKUP(_xlfn.MINIFS('FIRE TEX 5062'!$G$4:$G$34,'FIRE TEX 5062'!$G$4:$G$34,"&gt;="&amp;M354),'FIRE TEX 5062'!$G$4:$K$34,IF(L354="F-15",2,IF(L354="F-30",3,IF(L354="F-60",4,IF(L354="F-90",5,0)))),0),0)+IF(AND(O354="FIRE TEX 5062",E354="CJ",J354=3),VLOOKUP(_xlfn.MINIFS('FIRE TEX 5062'!$L$4:$L$34,'FIRE TEX 5062'!$L$4:$L$34,"&gt;="&amp;M354),'FIRE TEX 5062'!$L$4:$P$34,IF(L354="F-15",2,IF(L354="F-30",3,IF(L354="F-60",4,IF(L354="F-90",5,0)))),0),0)+IF(AND(O354="FIRE TEX 5062",E354="CJ",J354=4),VLOOKUP(_xlfn.MINIFS('FIRE TEX 5062'!$Q$3:$Q$34,'FIRE TEX 5062'!$Q$3:$Q$34,"&gt;="&amp;M354),'FIRE TEX 5062'!$Q$3:$U$34,IF(L354="F-15",2,IF(L354="F-30",3,IF(L354="F-60",4,IF(L354="F-90",5,0)))),0),0)+IF(AND(O354="FIRE TEX 5090",OR(E354="IN",E354="C",E354="Z",E354="L"),J354=3),VLOOKUP(_xlfn.MINIFS('FIRE TEX 5090'!$B$5:$B$43,'FIRE TEX 5090'!$B$5:$B$43,"&gt;="&amp;M354),'FIRE TEX 5090'!$B$5:$H$43,IF(L354="F-15",2,IF(L354="F-30",3,IF(L354="F-60",4,IF(L354="F-90",5,IF(L354="F-120",6,IF(L354="F-150",7,0)))))),0),0)+IF(AND(O354="FIRE TEX 5090",OR(E354="IN",E354="C",E354="Z",E354="L"),J354=4),VLOOKUP(_xlfn.MINIFS('FIRE TEX 5090'!$J$5:$J$43,'FIRE TEX 5090'!$J$5:$J$43,"&gt;="&amp;M354),'FIRE TEX 5090'!$J$5:$P$43,IF(L354="F-15",2,IF(L354="F-30",3,IF(L354="F-60",4,IF(L354="F-90",5,IF(L354="F-120",6,IF(L354="F-150",7,0)))))),0),0)+IF(AND(O354="FIRE TEX 5090",E354="CJ",J354=3),VLOOKUP(_xlfn.MINIFS('FIRE TEX 5090'!$R$5:$R$30,'FIRE TEX 5090'!$R$5:$R$30,"&gt;="&amp;M354),'FIRE TEX 5090'!$R$5:$W$30,IF(L354="F-15",2,IF(L354="F-30",3,IF(L354="F-60",4,IF(L354="F-90",5,IF(L354="F-120",6,IF(L354="F-150",7,0)))))),0),0)+IF(AND(O354="FIRE TEX 5090",E354="CJ",J354=4),VLOOKUP(_xlfn.MINIFS('FIRE TEX 5090'!$Y$5:$Y$39,'FIRE TEX 5090'!$Y$5:$Y$39,"&gt;="&amp;M354),'FIRE TEX 5090'!$Y$5:$AD$39,IF(L354="F-15",2,IF(L354="F-30",3,IF(L354="F-60",4,IF(L354="F-90",5,IF(L354="F-120",6,IF(L354="F-150",7,0)))))),0),0)+IF(AND(O354="FIRE TEX 5120",OR(E354="IN",E354="C",E354="Z",E354="L"),J354=3),VLOOKUP(_xlfn.MINIFS('FIRE TEX 5120'!$B$5:$B$40,'FIRE TEX 5120'!$B$5:$B$40,"&gt;="&amp;M354),'FIRE TEX 5120'!$B$5:$G$40,IF(L354="F-15",2,IF(L354="F-30",3,IF(L354="F-60",4,IF(L354="F-90",5,IF(L354="F-120",6,0))))),0),0)+IF(AND(O354="FIRE TEX 5120",OR(E354="IN",E354="C",E354="Z",E354="L"),J354=4),VLOOKUP(_xlfn.MINIFS('FIRE TEX 5120'!$H$4:$H$40,'FIRE TEX 5120'!$H$4:$H$40,"&gt;="&amp;M354),'FIRE TEX 5120'!$H$4:$M$40,IF(L354="F-15",2,IF(L354="F-30",3,IF(L354="F-60",4,IF(L354="F-90",5,IF(L354="F-120",6,0))))),0),0)+IF(AND(O354="FIRE TEX 5120",E354="CJ"),VLOOKUP(_xlfn.MINIFS('FIRE TEX 5120'!$O$5:$O$40,'FIRE TEX 5120'!$O$5:$O$40,"&gt;="&amp;M354),'FIRE TEX 5120'!$O$5:$T$40,IF(L354="F-15",2,IF(L354="F-30",3,IF(L354="F-60",4,IF(L354="F-90",5,IF(L354="F-120",6,0))))),0),0)</f>
        <v>0</v>
      </c>
      <c r="Q354" s="46">
        <f t="shared" si="43"/>
        <v>0</v>
      </c>
      <c r="R354" s="46">
        <f t="shared" si="45"/>
        <v>0</v>
      </c>
      <c r="S354" s="46" t="e">
        <f t="shared" si="44"/>
        <v>#VALUE!</v>
      </c>
      <c r="T354" s="677">
        <f t="shared" si="46"/>
        <v>0</v>
      </c>
      <c r="U354" s="80">
        <f>(IF(O354="Stofire",(S354*#REF!),0))+(IF(O354="Fire Control",(S354*$U$2),0))+(IF(O354="Fire Tex",(S354*$U$3),0))+(IF(O354="WB7",(S354*#REF!),0)+(IF(O354="FX 2003",(S354*$U$5),0)))</f>
        <v>0</v>
      </c>
      <c r="V354" s="651">
        <f t="shared" si="48"/>
        <v>0</v>
      </c>
      <c r="W354" s="4"/>
    </row>
    <row r="355" spans="1:23" x14ac:dyDescent="0.25">
      <c r="A355" s="652" t="s">
        <v>452</v>
      </c>
      <c r="B355" s="653" t="s">
        <v>453</v>
      </c>
      <c r="C355" s="1" t="s">
        <v>408</v>
      </c>
      <c r="D355" s="118">
        <f>+CUBICACION!D354</f>
        <v>0</v>
      </c>
      <c r="E355" s="118">
        <f>+CUBICACION!F354</f>
        <v>0</v>
      </c>
      <c r="F355" s="118">
        <f>+CUBICACION!E354</f>
        <v>0</v>
      </c>
      <c r="G355" s="118">
        <v>12</v>
      </c>
      <c r="H355" s="118">
        <v>2</v>
      </c>
      <c r="I355" s="820">
        <v>26385</v>
      </c>
      <c r="J355" s="118">
        <f>+CUBICACION!J354</f>
        <v>0</v>
      </c>
      <c r="K355" s="118">
        <v>3134</v>
      </c>
      <c r="L355" s="118">
        <f>+CUBICACION!L354</f>
        <v>0</v>
      </c>
      <c r="M355" s="64">
        <f>+CUBICACION!M354</f>
        <v>0</v>
      </c>
      <c r="N355" s="824" t="str">
        <f>+CUBICACION!N354</f>
        <v/>
      </c>
      <c r="O355" s="675">
        <f>+CUBICACION!O354</f>
        <v>0</v>
      </c>
      <c r="P355" s="15">
        <f>IF(O355="Fire Control",VLOOKUP(_xlfn.MINIFS('FIRE CONTROL'!$C$4:$C$37,'FIRE CONTROL'!$C$4:$C$37,"&gt;="&amp;M355),'FIRE CONTROL'!$C$4:$G$37,IF(L355="F-15",2,IF(L355="F-30",3,IF(L355="F-60",4,IF(L355="F-90",5,0)))),0),0)+IF(AND(O355="FIRE TEX 5062",OR(E355="IN",E355="C",E355="Z",E355="L"),J355=3),VLOOKUP(_xlfn.MINIFS('FIRE TEX 5062'!$B$4:$B$34,'FIRE TEX 5062'!$B$4:$B$34,"&gt;="&amp;M355),'FIRE TEX 5062'!$B$4:$F$34,IF(L355="F-15",2,IF(L355="F-30",3,IF(L355="F-60",4,IF(L355="F-90",5,0)))),0),0)+IF(AND(O355="FIRE TEX 5062",OR(E355="IN",E355="C",E355="Z",E355="L"),J355=4),VLOOKUP(_xlfn.MINIFS('FIRE TEX 5062'!$G$4:$G$34,'FIRE TEX 5062'!$G$4:$G$34,"&gt;="&amp;M355),'FIRE TEX 5062'!$G$4:$K$34,IF(L355="F-15",2,IF(L355="F-30",3,IF(L355="F-60",4,IF(L355="F-90",5,0)))),0),0)+IF(AND(O355="FIRE TEX 5062",E355="CJ",J355=3),VLOOKUP(_xlfn.MINIFS('FIRE TEX 5062'!$L$4:$L$34,'FIRE TEX 5062'!$L$4:$L$34,"&gt;="&amp;M355),'FIRE TEX 5062'!$L$4:$P$34,IF(L355="F-15",2,IF(L355="F-30",3,IF(L355="F-60",4,IF(L355="F-90",5,0)))),0),0)+IF(AND(O355="FIRE TEX 5062",E355="CJ",J355=4),VLOOKUP(_xlfn.MINIFS('FIRE TEX 5062'!$Q$3:$Q$34,'FIRE TEX 5062'!$Q$3:$Q$34,"&gt;="&amp;M355),'FIRE TEX 5062'!$Q$3:$U$34,IF(L355="F-15",2,IF(L355="F-30",3,IF(L355="F-60",4,IF(L355="F-90",5,0)))),0),0)+IF(AND(O355="FIRE TEX 5090",OR(E355="IN",E355="C",E355="Z",E355="L"),J355=3),VLOOKUP(_xlfn.MINIFS('FIRE TEX 5090'!$B$5:$B$43,'FIRE TEX 5090'!$B$5:$B$43,"&gt;="&amp;M355),'FIRE TEX 5090'!$B$5:$H$43,IF(L355="F-15",2,IF(L355="F-30",3,IF(L355="F-60",4,IF(L355="F-90",5,IF(L355="F-120",6,IF(L355="F-150",7,0)))))),0),0)+IF(AND(O355="FIRE TEX 5090",OR(E355="IN",E355="C",E355="Z",E355="L"),J355=4),VLOOKUP(_xlfn.MINIFS('FIRE TEX 5090'!$J$5:$J$43,'FIRE TEX 5090'!$J$5:$J$43,"&gt;="&amp;M355),'FIRE TEX 5090'!$J$5:$P$43,IF(L355="F-15",2,IF(L355="F-30",3,IF(L355="F-60",4,IF(L355="F-90",5,IF(L355="F-120",6,IF(L355="F-150",7,0)))))),0),0)+IF(AND(O355="FIRE TEX 5090",E355="CJ",J355=3),VLOOKUP(_xlfn.MINIFS('FIRE TEX 5090'!$R$5:$R$30,'FIRE TEX 5090'!$R$5:$R$30,"&gt;="&amp;M355),'FIRE TEX 5090'!$R$5:$W$30,IF(L355="F-15",2,IF(L355="F-30",3,IF(L355="F-60",4,IF(L355="F-90",5,IF(L355="F-120",6,IF(L355="F-150",7,0)))))),0),0)+IF(AND(O355="FIRE TEX 5090",E355="CJ",J355=4),VLOOKUP(_xlfn.MINIFS('FIRE TEX 5090'!$Y$5:$Y$39,'FIRE TEX 5090'!$Y$5:$Y$39,"&gt;="&amp;M355),'FIRE TEX 5090'!$Y$5:$AD$39,IF(L355="F-15",2,IF(L355="F-30",3,IF(L355="F-60",4,IF(L355="F-90",5,IF(L355="F-120",6,IF(L355="F-150",7,0)))))),0),0)+IF(AND(O355="FIRE TEX 5120",OR(E355="IN",E355="C",E355="Z",E355="L"),J355=3),VLOOKUP(_xlfn.MINIFS('FIRE TEX 5120'!$B$5:$B$40,'FIRE TEX 5120'!$B$5:$B$40,"&gt;="&amp;M355),'FIRE TEX 5120'!$B$5:$G$40,IF(L355="F-15",2,IF(L355="F-30",3,IF(L355="F-60",4,IF(L355="F-90",5,IF(L355="F-120",6,0))))),0),0)+IF(AND(O355="FIRE TEX 5120",OR(E355="IN",E355="C",E355="Z",E355="L"),J355=4),VLOOKUP(_xlfn.MINIFS('FIRE TEX 5120'!$H$4:$H$40,'FIRE TEX 5120'!$H$4:$H$40,"&gt;="&amp;M355),'FIRE TEX 5120'!$H$4:$M$40,IF(L355="F-15",2,IF(L355="F-30",3,IF(L355="F-60",4,IF(L355="F-90",5,IF(L355="F-120",6,0))))),0),0)+IF(AND(O355="FIRE TEX 5120",E355="CJ"),VLOOKUP(_xlfn.MINIFS('FIRE TEX 5120'!$O$5:$O$40,'FIRE TEX 5120'!$O$5:$O$40,"&gt;="&amp;M355),'FIRE TEX 5120'!$O$5:$T$40,IF(L355="F-15",2,IF(L355="F-30",3,IF(L355="F-60",4,IF(L355="F-90",5,IF(L355="F-120",6,0))))),0),0)</f>
        <v>0</v>
      </c>
      <c r="Q355" s="46">
        <f t="shared" si="43"/>
        <v>0</v>
      </c>
      <c r="R355" s="46">
        <f t="shared" si="45"/>
        <v>0</v>
      </c>
      <c r="S355" s="46" t="e">
        <f t="shared" si="44"/>
        <v>#VALUE!</v>
      </c>
      <c r="T355" s="677">
        <f t="shared" si="46"/>
        <v>0</v>
      </c>
      <c r="U355" s="80">
        <f>(IF(O355="Stofire",(S355*#REF!),0))+(IF(O355="Fire Control",(S355*$U$2),0))+(IF(O355="Fire Tex",(S355*$U$3),0))+(IF(O355="WB7",(S355*#REF!),0)+(IF(O355="FX 2003",(S355*$U$5),0)))</f>
        <v>0</v>
      </c>
      <c r="V355" s="651">
        <f t="shared" si="48"/>
        <v>0</v>
      </c>
      <c r="W355" s="4"/>
    </row>
    <row r="356" spans="1:23" x14ac:dyDescent="0.25">
      <c r="A356" s="652" t="s">
        <v>452</v>
      </c>
      <c r="B356" s="653" t="s">
        <v>453</v>
      </c>
      <c r="C356" s="1" t="s">
        <v>408</v>
      </c>
      <c r="D356" s="118">
        <f>+CUBICACION!D355</f>
        <v>0</v>
      </c>
      <c r="E356" s="118">
        <f>+CUBICACION!F355</f>
        <v>0</v>
      </c>
      <c r="F356" s="118">
        <f>+CUBICACION!E355</f>
        <v>0</v>
      </c>
      <c r="G356" s="118">
        <v>12</v>
      </c>
      <c r="H356" s="118">
        <v>2</v>
      </c>
      <c r="I356" s="820">
        <v>26385</v>
      </c>
      <c r="J356" s="118">
        <f>+CUBICACION!J355</f>
        <v>0</v>
      </c>
      <c r="K356" s="118">
        <v>3135</v>
      </c>
      <c r="L356" s="118">
        <f>+CUBICACION!L355</f>
        <v>0</v>
      </c>
      <c r="M356" s="64">
        <f>+CUBICACION!M355</f>
        <v>0</v>
      </c>
      <c r="N356" s="824" t="str">
        <f>+CUBICACION!N355</f>
        <v/>
      </c>
      <c r="O356" s="675">
        <f>+CUBICACION!O355</f>
        <v>0</v>
      </c>
      <c r="P356" s="15">
        <f>IF(O356="Fire Control",VLOOKUP(_xlfn.MINIFS('FIRE CONTROL'!$C$4:$C$37,'FIRE CONTROL'!$C$4:$C$37,"&gt;="&amp;M356),'FIRE CONTROL'!$C$4:$G$37,IF(L356="F-15",2,IF(L356="F-30",3,IF(L356="F-60",4,IF(L356="F-90",5,0)))),0),0)+IF(AND(O356="FIRE TEX 5062",OR(E356="IN",E356="C",E356="Z",E356="L"),J356=3),VLOOKUP(_xlfn.MINIFS('FIRE TEX 5062'!$B$4:$B$34,'FIRE TEX 5062'!$B$4:$B$34,"&gt;="&amp;M356),'FIRE TEX 5062'!$B$4:$F$34,IF(L356="F-15",2,IF(L356="F-30",3,IF(L356="F-60",4,IF(L356="F-90",5,0)))),0),0)+IF(AND(O356="FIRE TEX 5062",OR(E356="IN",E356="C",E356="Z",E356="L"),J356=4),VLOOKUP(_xlfn.MINIFS('FIRE TEX 5062'!$G$4:$G$34,'FIRE TEX 5062'!$G$4:$G$34,"&gt;="&amp;M356),'FIRE TEX 5062'!$G$4:$K$34,IF(L356="F-15",2,IF(L356="F-30",3,IF(L356="F-60",4,IF(L356="F-90",5,0)))),0),0)+IF(AND(O356="FIRE TEX 5062",E356="CJ",J356=3),VLOOKUP(_xlfn.MINIFS('FIRE TEX 5062'!$L$4:$L$34,'FIRE TEX 5062'!$L$4:$L$34,"&gt;="&amp;M356),'FIRE TEX 5062'!$L$4:$P$34,IF(L356="F-15",2,IF(L356="F-30",3,IF(L356="F-60",4,IF(L356="F-90",5,0)))),0),0)+IF(AND(O356="FIRE TEX 5062",E356="CJ",J356=4),VLOOKUP(_xlfn.MINIFS('FIRE TEX 5062'!$Q$3:$Q$34,'FIRE TEX 5062'!$Q$3:$Q$34,"&gt;="&amp;M356),'FIRE TEX 5062'!$Q$3:$U$34,IF(L356="F-15",2,IF(L356="F-30",3,IF(L356="F-60",4,IF(L356="F-90",5,0)))),0),0)+IF(AND(O356="FIRE TEX 5090",OR(E356="IN",E356="C",E356="Z",E356="L"),J356=3),VLOOKUP(_xlfn.MINIFS('FIRE TEX 5090'!$B$5:$B$43,'FIRE TEX 5090'!$B$5:$B$43,"&gt;="&amp;M356),'FIRE TEX 5090'!$B$5:$H$43,IF(L356="F-15",2,IF(L356="F-30",3,IF(L356="F-60",4,IF(L356="F-90",5,IF(L356="F-120",6,IF(L356="F-150",7,0)))))),0),0)+IF(AND(O356="FIRE TEX 5090",OR(E356="IN",E356="C",E356="Z",E356="L"),J356=4),VLOOKUP(_xlfn.MINIFS('FIRE TEX 5090'!$J$5:$J$43,'FIRE TEX 5090'!$J$5:$J$43,"&gt;="&amp;M356),'FIRE TEX 5090'!$J$5:$P$43,IF(L356="F-15",2,IF(L356="F-30",3,IF(L356="F-60",4,IF(L356="F-90",5,IF(L356="F-120",6,IF(L356="F-150",7,0)))))),0),0)+IF(AND(O356="FIRE TEX 5090",E356="CJ",J356=3),VLOOKUP(_xlfn.MINIFS('FIRE TEX 5090'!$R$5:$R$30,'FIRE TEX 5090'!$R$5:$R$30,"&gt;="&amp;M356),'FIRE TEX 5090'!$R$5:$W$30,IF(L356="F-15",2,IF(L356="F-30",3,IF(L356="F-60",4,IF(L356="F-90",5,IF(L356="F-120",6,IF(L356="F-150",7,0)))))),0),0)+IF(AND(O356="FIRE TEX 5090",E356="CJ",J356=4),VLOOKUP(_xlfn.MINIFS('FIRE TEX 5090'!$Y$5:$Y$39,'FIRE TEX 5090'!$Y$5:$Y$39,"&gt;="&amp;M356),'FIRE TEX 5090'!$Y$5:$AD$39,IF(L356="F-15",2,IF(L356="F-30",3,IF(L356="F-60",4,IF(L356="F-90",5,IF(L356="F-120",6,IF(L356="F-150",7,0)))))),0),0)+IF(AND(O356="FIRE TEX 5120",OR(E356="IN",E356="C",E356="Z",E356="L"),J356=3),VLOOKUP(_xlfn.MINIFS('FIRE TEX 5120'!$B$5:$B$40,'FIRE TEX 5120'!$B$5:$B$40,"&gt;="&amp;M356),'FIRE TEX 5120'!$B$5:$G$40,IF(L356="F-15",2,IF(L356="F-30",3,IF(L356="F-60",4,IF(L356="F-90",5,IF(L356="F-120",6,0))))),0),0)+IF(AND(O356="FIRE TEX 5120",OR(E356="IN",E356="C",E356="Z",E356="L"),J356=4),VLOOKUP(_xlfn.MINIFS('FIRE TEX 5120'!$H$4:$H$40,'FIRE TEX 5120'!$H$4:$H$40,"&gt;="&amp;M356),'FIRE TEX 5120'!$H$4:$M$40,IF(L356="F-15",2,IF(L356="F-30",3,IF(L356="F-60",4,IF(L356="F-90",5,IF(L356="F-120",6,0))))),0),0)+IF(AND(O356="FIRE TEX 5120",E356="CJ"),VLOOKUP(_xlfn.MINIFS('FIRE TEX 5120'!$O$5:$O$40,'FIRE TEX 5120'!$O$5:$O$40,"&gt;="&amp;M356),'FIRE TEX 5120'!$O$5:$T$40,IF(L356="F-15",2,IF(L356="F-30",3,IF(L356="F-60",4,IF(L356="F-90",5,IF(L356="F-120",6,0))))),0),0)</f>
        <v>0</v>
      </c>
      <c r="Q356" s="46">
        <f t="shared" si="43"/>
        <v>0</v>
      </c>
      <c r="R356" s="46">
        <f t="shared" si="45"/>
        <v>0</v>
      </c>
      <c r="S356" s="46" t="e">
        <f t="shared" si="44"/>
        <v>#VALUE!</v>
      </c>
      <c r="T356" s="677">
        <f t="shared" si="46"/>
        <v>0</v>
      </c>
      <c r="U356" s="80">
        <f>(IF(O356="Stofire",(S356*#REF!),0))+(IF(O356="Fire Control",(S356*$U$2),0))+(IF(O356="Fire Tex",(S356*$U$3),0))+(IF(O356="WB7",(S356*#REF!),0)+(IF(O356="FX 2003",(S356*$U$5),0)))</f>
        <v>0</v>
      </c>
      <c r="V356" s="651">
        <f t="shared" si="48"/>
        <v>0</v>
      </c>
      <c r="W356" s="4"/>
    </row>
    <row r="357" spans="1:23" x14ac:dyDescent="0.25">
      <c r="A357" s="652" t="s">
        <v>456</v>
      </c>
      <c r="B357" s="653" t="s">
        <v>453</v>
      </c>
      <c r="C357" s="1" t="s">
        <v>457</v>
      </c>
      <c r="D357" s="118">
        <f>+CUBICACION!D356</f>
        <v>0</v>
      </c>
      <c r="E357" s="118">
        <f>+CUBICACION!F356</f>
        <v>0</v>
      </c>
      <c r="F357" s="118">
        <f>+CUBICACION!E356</f>
        <v>0</v>
      </c>
      <c r="G357" s="118">
        <v>12</v>
      </c>
      <c r="H357" s="118">
        <v>2</v>
      </c>
      <c r="I357" s="820">
        <v>26385</v>
      </c>
      <c r="J357" s="118">
        <f>+CUBICACION!J356</f>
        <v>0</v>
      </c>
      <c r="K357" s="118">
        <v>3136</v>
      </c>
      <c r="L357" s="118">
        <f>+CUBICACION!L356</f>
        <v>0</v>
      </c>
      <c r="M357" s="64">
        <f>+CUBICACION!M356</f>
        <v>0</v>
      </c>
      <c r="N357" s="824" t="str">
        <f>+CUBICACION!N356</f>
        <v/>
      </c>
      <c r="O357" s="675">
        <f>+CUBICACION!O356</f>
        <v>0</v>
      </c>
      <c r="P357" s="15">
        <f>IF(O357="Fire Control",VLOOKUP(_xlfn.MINIFS('FIRE CONTROL'!$C$4:$C$37,'FIRE CONTROL'!$C$4:$C$37,"&gt;="&amp;M357),'FIRE CONTROL'!$C$4:$G$37,IF(L357="F-15",2,IF(L357="F-30",3,IF(L357="F-60",4,IF(L357="F-90",5,0)))),0),0)+IF(AND(O357="FIRE TEX 5062",OR(E357="IN",E357="C",E357="Z",E357="L"),J357=3),VLOOKUP(_xlfn.MINIFS('FIRE TEX 5062'!$B$4:$B$34,'FIRE TEX 5062'!$B$4:$B$34,"&gt;="&amp;M357),'FIRE TEX 5062'!$B$4:$F$34,IF(L357="F-15",2,IF(L357="F-30",3,IF(L357="F-60",4,IF(L357="F-90",5,0)))),0),0)+IF(AND(O357="FIRE TEX 5062",OR(E357="IN",E357="C",E357="Z",E357="L"),J357=4),VLOOKUP(_xlfn.MINIFS('FIRE TEX 5062'!$G$4:$G$34,'FIRE TEX 5062'!$G$4:$G$34,"&gt;="&amp;M357),'FIRE TEX 5062'!$G$4:$K$34,IF(L357="F-15",2,IF(L357="F-30",3,IF(L357="F-60",4,IF(L357="F-90",5,0)))),0),0)+IF(AND(O357="FIRE TEX 5062",E357="CJ",J357=3),VLOOKUP(_xlfn.MINIFS('FIRE TEX 5062'!$L$4:$L$34,'FIRE TEX 5062'!$L$4:$L$34,"&gt;="&amp;M357),'FIRE TEX 5062'!$L$4:$P$34,IF(L357="F-15",2,IF(L357="F-30",3,IF(L357="F-60",4,IF(L357="F-90",5,0)))),0),0)+IF(AND(O357="FIRE TEX 5062",E357="CJ",J357=4),VLOOKUP(_xlfn.MINIFS('FIRE TEX 5062'!$Q$3:$Q$34,'FIRE TEX 5062'!$Q$3:$Q$34,"&gt;="&amp;M357),'FIRE TEX 5062'!$Q$3:$U$34,IF(L357="F-15",2,IF(L357="F-30",3,IF(L357="F-60",4,IF(L357="F-90",5,0)))),0),0)+IF(AND(O357="FIRE TEX 5090",OR(E357="IN",E357="C",E357="Z",E357="L"),J357=3),VLOOKUP(_xlfn.MINIFS('FIRE TEX 5090'!$B$5:$B$43,'FIRE TEX 5090'!$B$5:$B$43,"&gt;="&amp;M357),'FIRE TEX 5090'!$B$5:$H$43,IF(L357="F-15",2,IF(L357="F-30",3,IF(L357="F-60",4,IF(L357="F-90",5,IF(L357="F-120",6,IF(L357="F-150",7,0)))))),0),0)+IF(AND(O357="FIRE TEX 5090",OR(E357="IN",E357="C",E357="Z",E357="L"),J357=4),VLOOKUP(_xlfn.MINIFS('FIRE TEX 5090'!$J$5:$J$43,'FIRE TEX 5090'!$J$5:$J$43,"&gt;="&amp;M357),'FIRE TEX 5090'!$J$5:$P$43,IF(L357="F-15",2,IF(L357="F-30",3,IF(L357="F-60",4,IF(L357="F-90",5,IF(L357="F-120",6,IF(L357="F-150",7,0)))))),0),0)+IF(AND(O357="FIRE TEX 5090",E357="CJ",J357=3),VLOOKUP(_xlfn.MINIFS('FIRE TEX 5090'!$R$5:$R$30,'FIRE TEX 5090'!$R$5:$R$30,"&gt;="&amp;M357),'FIRE TEX 5090'!$R$5:$W$30,IF(L357="F-15",2,IF(L357="F-30",3,IF(L357="F-60",4,IF(L357="F-90",5,IF(L357="F-120",6,IF(L357="F-150",7,0)))))),0),0)+IF(AND(O357="FIRE TEX 5090",E357="CJ",J357=4),VLOOKUP(_xlfn.MINIFS('FIRE TEX 5090'!$Y$5:$Y$39,'FIRE TEX 5090'!$Y$5:$Y$39,"&gt;="&amp;M357),'FIRE TEX 5090'!$Y$5:$AD$39,IF(L357="F-15",2,IF(L357="F-30",3,IF(L357="F-60",4,IF(L357="F-90",5,IF(L357="F-120",6,IF(L357="F-150",7,0)))))),0),0)+IF(AND(O357="FIRE TEX 5120",OR(E357="IN",E357="C",E357="Z",E357="L"),J357=3),VLOOKUP(_xlfn.MINIFS('FIRE TEX 5120'!$B$5:$B$40,'FIRE TEX 5120'!$B$5:$B$40,"&gt;="&amp;M357),'FIRE TEX 5120'!$B$5:$G$40,IF(L357="F-15",2,IF(L357="F-30",3,IF(L357="F-60",4,IF(L357="F-90",5,IF(L357="F-120",6,0))))),0),0)+IF(AND(O357="FIRE TEX 5120",OR(E357="IN",E357="C",E357="Z",E357="L"),J357=4),VLOOKUP(_xlfn.MINIFS('FIRE TEX 5120'!$H$4:$H$40,'FIRE TEX 5120'!$H$4:$H$40,"&gt;="&amp;M357),'FIRE TEX 5120'!$H$4:$M$40,IF(L357="F-15",2,IF(L357="F-30",3,IF(L357="F-60",4,IF(L357="F-90",5,IF(L357="F-120",6,0))))),0),0)+IF(AND(O357="FIRE TEX 5120",E357="CJ"),VLOOKUP(_xlfn.MINIFS('FIRE TEX 5120'!$O$5:$O$40,'FIRE TEX 5120'!$O$5:$O$40,"&gt;="&amp;M357),'FIRE TEX 5120'!$O$5:$T$40,IF(L357="F-15",2,IF(L357="F-30",3,IF(L357="F-60",4,IF(L357="F-90",5,IF(L357="F-120",6,0))))),0),0)</f>
        <v>0</v>
      </c>
      <c r="Q357" s="46">
        <f t="shared" si="43"/>
        <v>0</v>
      </c>
      <c r="R357" s="46">
        <f t="shared" si="45"/>
        <v>0</v>
      </c>
      <c r="S357" s="46" t="e">
        <f t="shared" si="44"/>
        <v>#VALUE!</v>
      </c>
      <c r="T357" s="677">
        <f t="shared" si="46"/>
        <v>0</v>
      </c>
      <c r="U357" s="80">
        <f>(IF(O357="Stofire",(S357*#REF!),0))+(IF(O357="Fire Control",(S357*$U$2),0))+(IF(O357="Fire Tex",(S357*$U$3),0))+(IF(O357="WB7",(S357*#REF!),0)+(IF(O357="FX 2003",(S357*$U$5),0)))</f>
        <v>0</v>
      </c>
      <c r="V357" s="651">
        <f t="shared" si="48"/>
        <v>0</v>
      </c>
      <c r="W357" s="4"/>
    </row>
    <row r="358" spans="1:23" x14ac:dyDescent="0.25">
      <c r="A358" s="652" t="s">
        <v>456</v>
      </c>
      <c r="B358" s="653" t="s">
        <v>453</v>
      </c>
      <c r="C358" s="1" t="s">
        <v>408</v>
      </c>
      <c r="D358" s="118">
        <f>+CUBICACION!D357</f>
        <v>0</v>
      </c>
      <c r="E358" s="118">
        <f>+CUBICACION!F357</f>
        <v>0</v>
      </c>
      <c r="F358" s="118">
        <f>+CUBICACION!E357</f>
        <v>0</v>
      </c>
      <c r="G358" s="118">
        <v>12</v>
      </c>
      <c r="H358" s="118">
        <v>2</v>
      </c>
      <c r="I358" s="820">
        <v>26385</v>
      </c>
      <c r="J358" s="118">
        <f>+CUBICACION!J357</f>
        <v>0</v>
      </c>
      <c r="K358" s="118">
        <v>3137</v>
      </c>
      <c r="L358" s="118">
        <f>+CUBICACION!L357</f>
        <v>0</v>
      </c>
      <c r="M358" s="64">
        <f>+CUBICACION!M357</f>
        <v>0</v>
      </c>
      <c r="N358" s="824" t="str">
        <f>+CUBICACION!N357</f>
        <v/>
      </c>
      <c r="O358" s="675">
        <f>+CUBICACION!O357</f>
        <v>0</v>
      </c>
      <c r="P358" s="15">
        <f>IF(O358="Fire Control",VLOOKUP(_xlfn.MINIFS('FIRE CONTROL'!$C$4:$C$37,'FIRE CONTROL'!$C$4:$C$37,"&gt;="&amp;M358),'FIRE CONTROL'!$C$4:$G$37,IF(L358="F-15",2,IF(L358="F-30",3,IF(L358="F-60",4,IF(L358="F-90",5,0)))),0),0)+IF(AND(O358="FIRE TEX 5062",OR(E358="IN",E358="C",E358="Z",E358="L"),J358=3),VLOOKUP(_xlfn.MINIFS('FIRE TEX 5062'!$B$4:$B$34,'FIRE TEX 5062'!$B$4:$B$34,"&gt;="&amp;M358),'FIRE TEX 5062'!$B$4:$F$34,IF(L358="F-15",2,IF(L358="F-30",3,IF(L358="F-60",4,IF(L358="F-90",5,0)))),0),0)+IF(AND(O358="FIRE TEX 5062",OR(E358="IN",E358="C",E358="Z",E358="L"),J358=4),VLOOKUP(_xlfn.MINIFS('FIRE TEX 5062'!$G$4:$G$34,'FIRE TEX 5062'!$G$4:$G$34,"&gt;="&amp;M358),'FIRE TEX 5062'!$G$4:$K$34,IF(L358="F-15",2,IF(L358="F-30",3,IF(L358="F-60",4,IF(L358="F-90",5,0)))),0),0)+IF(AND(O358="FIRE TEX 5062",E358="CJ",J358=3),VLOOKUP(_xlfn.MINIFS('FIRE TEX 5062'!$L$4:$L$34,'FIRE TEX 5062'!$L$4:$L$34,"&gt;="&amp;M358),'FIRE TEX 5062'!$L$4:$P$34,IF(L358="F-15",2,IF(L358="F-30",3,IF(L358="F-60",4,IF(L358="F-90",5,0)))),0),0)+IF(AND(O358="FIRE TEX 5062",E358="CJ",J358=4),VLOOKUP(_xlfn.MINIFS('FIRE TEX 5062'!$Q$3:$Q$34,'FIRE TEX 5062'!$Q$3:$Q$34,"&gt;="&amp;M358),'FIRE TEX 5062'!$Q$3:$U$34,IF(L358="F-15",2,IF(L358="F-30",3,IF(L358="F-60",4,IF(L358="F-90",5,0)))),0),0)+IF(AND(O358="FIRE TEX 5090",OR(E358="IN",E358="C",E358="Z",E358="L"),J358=3),VLOOKUP(_xlfn.MINIFS('FIRE TEX 5090'!$B$5:$B$43,'FIRE TEX 5090'!$B$5:$B$43,"&gt;="&amp;M358),'FIRE TEX 5090'!$B$5:$H$43,IF(L358="F-15",2,IF(L358="F-30",3,IF(L358="F-60",4,IF(L358="F-90",5,IF(L358="F-120",6,IF(L358="F-150",7,0)))))),0),0)+IF(AND(O358="FIRE TEX 5090",OR(E358="IN",E358="C",E358="Z",E358="L"),J358=4),VLOOKUP(_xlfn.MINIFS('FIRE TEX 5090'!$J$5:$J$43,'FIRE TEX 5090'!$J$5:$J$43,"&gt;="&amp;M358),'FIRE TEX 5090'!$J$5:$P$43,IF(L358="F-15",2,IF(L358="F-30",3,IF(L358="F-60",4,IF(L358="F-90",5,IF(L358="F-120",6,IF(L358="F-150",7,0)))))),0),0)+IF(AND(O358="FIRE TEX 5090",E358="CJ",J358=3),VLOOKUP(_xlfn.MINIFS('FIRE TEX 5090'!$R$5:$R$30,'FIRE TEX 5090'!$R$5:$R$30,"&gt;="&amp;M358),'FIRE TEX 5090'!$R$5:$W$30,IF(L358="F-15",2,IF(L358="F-30",3,IF(L358="F-60",4,IF(L358="F-90",5,IF(L358="F-120",6,IF(L358="F-150",7,0)))))),0),0)+IF(AND(O358="FIRE TEX 5090",E358="CJ",J358=4),VLOOKUP(_xlfn.MINIFS('FIRE TEX 5090'!$Y$5:$Y$39,'FIRE TEX 5090'!$Y$5:$Y$39,"&gt;="&amp;M358),'FIRE TEX 5090'!$Y$5:$AD$39,IF(L358="F-15",2,IF(L358="F-30",3,IF(L358="F-60",4,IF(L358="F-90",5,IF(L358="F-120",6,IF(L358="F-150",7,0)))))),0),0)+IF(AND(O358="FIRE TEX 5120",OR(E358="IN",E358="C",E358="Z",E358="L"),J358=3),VLOOKUP(_xlfn.MINIFS('FIRE TEX 5120'!$B$5:$B$40,'FIRE TEX 5120'!$B$5:$B$40,"&gt;="&amp;M358),'FIRE TEX 5120'!$B$5:$G$40,IF(L358="F-15",2,IF(L358="F-30",3,IF(L358="F-60",4,IF(L358="F-90",5,IF(L358="F-120",6,0))))),0),0)+IF(AND(O358="FIRE TEX 5120",OR(E358="IN",E358="C",E358="Z",E358="L"),J358=4),VLOOKUP(_xlfn.MINIFS('FIRE TEX 5120'!$H$4:$H$40,'FIRE TEX 5120'!$H$4:$H$40,"&gt;="&amp;M358),'FIRE TEX 5120'!$H$4:$M$40,IF(L358="F-15",2,IF(L358="F-30",3,IF(L358="F-60",4,IF(L358="F-90",5,IF(L358="F-120",6,0))))),0),0)+IF(AND(O358="FIRE TEX 5120",E358="CJ"),VLOOKUP(_xlfn.MINIFS('FIRE TEX 5120'!$O$5:$O$40,'FIRE TEX 5120'!$O$5:$O$40,"&gt;="&amp;M358),'FIRE TEX 5120'!$O$5:$T$40,IF(L358="F-15",2,IF(L358="F-30",3,IF(L358="F-60",4,IF(L358="F-90",5,IF(L358="F-120",6,0))))),0),0)</f>
        <v>0</v>
      </c>
      <c r="Q358" s="46">
        <f t="shared" si="43"/>
        <v>0</v>
      </c>
      <c r="R358" s="46">
        <f t="shared" si="45"/>
        <v>0</v>
      </c>
      <c r="S358" s="46" t="e">
        <f t="shared" si="44"/>
        <v>#VALUE!</v>
      </c>
      <c r="T358" s="677">
        <f t="shared" si="46"/>
        <v>0</v>
      </c>
      <c r="U358" s="80">
        <f>(IF(O358="Stofire",(S358*#REF!),0))+(IF(O358="Fire Control",(S358*$U$2),0))+(IF(O358="Fire Tex",(S358*$U$3),0))+(IF(O358="WB7",(S358*#REF!),0)+(IF(O358="FX 2003",(S358*$U$5),0)))</f>
        <v>0</v>
      </c>
      <c r="V358" s="651">
        <f t="shared" si="48"/>
        <v>0</v>
      </c>
      <c r="W358" s="4"/>
    </row>
    <row r="359" spans="1:23" x14ac:dyDescent="0.25">
      <c r="A359" s="652" t="s">
        <v>456</v>
      </c>
      <c r="B359" s="653" t="s">
        <v>453</v>
      </c>
      <c r="C359" s="1" t="s">
        <v>408</v>
      </c>
      <c r="D359" s="118">
        <f>+CUBICACION!D358</f>
        <v>0</v>
      </c>
      <c r="E359" s="118">
        <f>+CUBICACION!F358</f>
        <v>0</v>
      </c>
      <c r="F359" s="118">
        <f>+CUBICACION!E358</f>
        <v>0</v>
      </c>
      <c r="G359" s="118">
        <v>12</v>
      </c>
      <c r="H359" s="118">
        <v>2</v>
      </c>
      <c r="I359" s="820">
        <v>26385</v>
      </c>
      <c r="J359" s="118">
        <f>+CUBICACION!J358</f>
        <v>0</v>
      </c>
      <c r="K359" s="118">
        <v>3138</v>
      </c>
      <c r="L359" s="118">
        <f>+CUBICACION!L358</f>
        <v>0</v>
      </c>
      <c r="M359" s="64">
        <f>+CUBICACION!M358</f>
        <v>0</v>
      </c>
      <c r="N359" s="824" t="str">
        <f>+CUBICACION!N358</f>
        <v/>
      </c>
      <c r="O359" s="675">
        <f>+CUBICACION!O358</f>
        <v>0</v>
      </c>
      <c r="P359" s="15">
        <f>IF(O359="Fire Control",VLOOKUP(_xlfn.MINIFS('FIRE CONTROL'!$C$4:$C$37,'FIRE CONTROL'!$C$4:$C$37,"&gt;="&amp;M359),'FIRE CONTROL'!$C$4:$G$37,IF(L359="F-15",2,IF(L359="F-30",3,IF(L359="F-60",4,IF(L359="F-90",5,0)))),0),0)+IF(AND(O359="FIRE TEX 5062",OR(E359="IN",E359="C",E359="Z",E359="L"),J359=3),VLOOKUP(_xlfn.MINIFS('FIRE TEX 5062'!$B$4:$B$34,'FIRE TEX 5062'!$B$4:$B$34,"&gt;="&amp;M359),'FIRE TEX 5062'!$B$4:$F$34,IF(L359="F-15",2,IF(L359="F-30",3,IF(L359="F-60",4,IF(L359="F-90",5,0)))),0),0)+IF(AND(O359="FIRE TEX 5062",OR(E359="IN",E359="C",E359="Z",E359="L"),J359=4),VLOOKUP(_xlfn.MINIFS('FIRE TEX 5062'!$G$4:$G$34,'FIRE TEX 5062'!$G$4:$G$34,"&gt;="&amp;M359),'FIRE TEX 5062'!$G$4:$K$34,IF(L359="F-15",2,IF(L359="F-30",3,IF(L359="F-60",4,IF(L359="F-90",5,0)))),0),0)+IF(AND(O359="FIRE TEX 5062",E359="CJ",J359=3),VLOOKUP(_xlfn.MINIFS('FIRE TEX 5062'!$L$4:$L$34,'FIRE TEX 5062'!$L$4:$L$34,"&gt;="&amp;M359),'FIRE TEX 5062'!$L$4:$P$34,IF(L359="F-15",2,IF(L359="F-30",3,IF(L359="F-60",4,IF(L359="F-90",5,0)))),0),0)+IF(AND(O359="FIRE TEX 5062",E359="CJ",J359=4),VLOOKUP(_xlfn.MINIFS('FIRE TEX 5062'!$Q$3:$Q$34,'FIRE TEX 5062'!$Q$3:$Q$34,"&gt;="&amp;M359),'FIRE TEX 5062'!$Q$3:$U$34,IF(L359="F-15",2,IF(L359="F-30",3,IF(L359="F-60",4,IF(L359="F-90",5,0)))),0),0)+IF(AND(O359="FIRE TEX 5090",OR(E359="IN",E359="C",E359="Z",E359="L"),J359=3),VLOOKUP(_xlfn.MINIFS('FIRE TEX 5090'!$B$5:$B$43,'FIRE TEX 5090'!$B$5:$B$43,"&gt;="&amp;M359),'FIRE TEX 5090'!$B$5:$H$43,IF(L359="F-15",2,IF(L359="F-30",3,IF(L359="F-60",4,IF(L359="F-90",5,IF(L359="F-120",6,IF(L359="F-150",7,0)))))),0),0)+IF(AND(O359="FIRE TEX 5090",OR(E359="IN",E359="C",E359="Z",E359="L"),J359=4),VLOOKUP(_xlfn.MINIFS('FIRE TEX 5090'!$J$5:$J$43,'FIRE TEX 5090'!$J$5:$J$43,"&gt;="&amp;M359),'FIRE TEX 5090'!$J$5:$P$43,IF(L359="F-15",2,IF(L359="F-30",3,IF(L359="F-60",4,IF(L359="F-90",5,IF(L359="F-120",6,IF(L359="F-150",7,0)))))),0),0)+IF(AND(O359="FIRE TEX 5090",E359="CJ",J359=3),VLOOKUP(_xlfn.MINIFS('FIRE TEX 5090'!$R$5:$R$30,'FIRE TEX 5090'!$R$5:$R$30,"&gt;="&amp;M359),'FIRE TEX 5090'!$R$5:$W$30,IF(L359="F-15",2,IF(L359="F-30",3,IF(L359="F-60",4,IF(L359="F-90",5,IF(L359="F-120",6,IF(L359="F-150",7,0)))))),0),0)+IF(AND(O359="FIRE TEX 5090",E359="CJ",J359=4),VLOOKUP(_xlfn.MINIFS('FIRE TEX 5090'!$Y$5:$Y$39,'FIRE TEX 5090'!$Y$5:$Y$39,"&gt;="&amp;M359),'FIRE TEX 5090'!$Y$5:$AD$39,IF(L359="F-15",2,IF(L359="F-30",3,IF(L359="F-60",4,IF(L359="F-90",5,IF(L359="F-120",6,IF(L359="F-150",7,0)))))),0),0)+IF(AND(O359="FIRE TEX 5120",OR(E359="IN",E359="C",E359="Z",E359="L"),J359=3),VLOOKUP(_xlfn.MINIFS('FIRE TEX 5120'!$B$5:$B$40,'FIRE TEX 5120'!$B$5:$B$40,"&gt;="&amp;M359),'FIRE TEX 5120'!$B$5:$G$40,IF(L359="F-15",2,IF(L359="F-30",3,IF(L359="F-60",4,IF(L359="F-90",5,IF(L359="F-120",6,0))))),0),0)+IF(AND(O359="FIRE TEX 5120",OR(E359="IN",E359="C",E359="Z",E359="L"),J359=4),VLOOKUP(_xlfn.MINIFS('FIRE TEX 5120'!$H$4:$H$40,'FIRE TEX 5120'!$H$4:$H$40,"&gt;="&amp;M359),'FIRE TEX 5120'!$H$4:$M$40,IF(L359="F-15",2,IF(L359="F-30",3,IF(L359="F-60",4,IF(L359="F-90",5,IF(L359="F-120",6,0))))),0),0)+IF(AND(O359="FIRE TEX 5120",E359="CJ"),VLOOKUP(_xlfn.MINIFS('FIRE TEX 5120'!$O$5:$O$40,'FIRE TEX 5120'!$O$5:$O$40,"&gt;="&amp;M359),'FIRE TEX 5120'!$O$5:$T$40,IF(L359="F-15",2,IF(L359="F-30",3,IF(L359="F-60",4,IF(L359="F-90",5,IF(L359="F-120",6,0))))),0),0)</f>
        <v>0</v>
      </c>
      <c r="Q359" s="46">
        <f t="shared" si="43"/>
        <v>0</v>
      </c>
      <c r="R359" s="46">
        <f t="shared" si="45"/>
        <v>0</v>
      </c>
      <c r="S359" s="46" t="e">
        <f t="shared" si="44"/>
        <v>#VALUE!</v>
      </c>
      <c r="T359" s="677">
        <f t="shared" si="46"/>
        <v>0</v>
      </c>
      <c r="U359" s="80">
        <f>(IF(O359="Stofire",(S359*#REF!),0))+(IF(O359="Fire Control",(S359*$U$2),0))+(IF(O359="Fire Tex",(S359*$U$3),0))+(IF(O359="WB7",(S359*#REF!),0)+(IF(O359="FX 2003",(S359*$U$5),0)))</f>
        <v>0</v>
      </c>
      <c r="V359" s="651">
        <f t="shared" si="48"/>
        <v>0</v>
      </c>
      <c r="W359" s="4"/>
    </row>
    <row r="360" spans="1:23" x14ac:dyDescent="0.25">
      <c r="A360" s="652" t="s">
        <v>458</v>
      </c>
      <c r="B360" s="653" t="s">
        <v>459</v>
      </c>
      <c r="C360" s="1" t="s">
        <v>460</v>
      </c>
      <c r="D360" s="118">
        <f>+CUBICACION!D359</f>
        <v>0</v>
      </c>
      <c r="E360" s="118">
        <f>+CUBICACION!F359</f>
        <v>0</v>
      </c>
      <c r="F360" s="118">
        <f>+CUBICACION!E359</f>
        <v>0</v>
      </c>
      <c r="G360" s="118">
        <v>12</v>
      </c>
      <c r="H360" s="118">
        <v>2</v>
      </c>
      <c r="I360" s="820">
        <v>26385</v>
      </c>
      <c r="J360" s="118">
        <f>+CUBICACION!J359</f>
        <v>0</v>
      </c>
      <c r="K360" s="118">
        <v>3139</v>
      </c>
      <c r="L360" s="118">
        <f>+CUBICACION!L359</f>
        <v>0</v>
      </c>
      <c r="M360" s="64">
        <f>+CUBICACION!M359</f>
        <v>0</v>
      </c>
      <c r="N360" s="824" t="str">
        <f>+CUBICACION!N359</f>
        <v/>
      </c>
      <c r="O360" s="675">
        <f>+CUBICACION!O359</f>
        <v>0</v>
      </c>
      <c r="P360" s="15">
        <f>IF(O360="Fire Control",VLOOKUP(_xlfn.MINIFS('FIRE CONTROL'!$C$4:$C$37,'FIRE CONTROL'!$C$4:$C$37,"&gt;="&amp;M360),'FIRE CONTROL'!$C$4:$G$37,IF(L360="F-15",2,IF(L360="F-30",3,IF(L360="F-60",4,IF(L360="F-90",5,0)))),0),0)+IF(AND(O360="FIRE TEX 5062",OR(E360="IN",E360="C",E360="Z",E360="L"),J360=3),VLOOKUP(_xlfn.MINIFS('FIRE TEX 5062'!$B$4:$B$34,'FIRE TEX 5062'!$B$4:$B$34,"&gt;="&amp;M360),'FIRE TEX 5062'!$B$4:$F$34,IF(L360="F-15",2,IF(L360="F-30",3,IF(L360="F-60",4,IF(L360="F-90",5,0)))),0),0)+IF(AND(O360="FIRE TEX 5062",OR(E360="IN",E360="C",E360="Z",E360="L"),J360=4),VLOOKUP(_xlfn.MINIFS('FIRE TEX 5062'!$G$4:$G$34,'FIRE TEX 5062'!$G$4:$G$34,"&gt;="&amp;M360),'FIRE TEX 5062'!$G$4:$K$34,IF(L360="F-15",2,IF(L360="F-30",3,IF(L360="F-60",4,IF(L360="F-90",5,0)))),0),0)+IF(AND(O360="FIRE TEX 5062",E360="CJ",J360=3),VLOOKUP(_xlfn.MINIFS('FIRE TEX 5062'!$L$4:$L$34,'FIRE TEX 5062'!$L$4:$L$34,"&gt;="&amp;M360),'FIRE TEX 5062'!$L$4:$P$34,IF(L360="F-15",2,IF(L360="F-30",3,IF(L360="F-60",4,IF(L360="F-90",5,0)))),0),0)+IF(AND(O360="FIRE TEX 5062",E360="CJ",J360=4),VLOOKUP(_xlfn.MINIFS('FIRE TEX 5062'!$Q$3:$Q$34,'FIRE TEX 5062'!$Q$3:$Q$34,"&gt;="&amp;M360),'FIRE TEX 5062'!$Q$3:$U$34,IF(L360="F-15",2,IF(L360="F-30",3,IF(L360="F-60",4,IF(L360="F-90",5,0)))),0),0)+IF(AND(O360="FIRE TEX 5090",OR(E360="IN",E360="C",E360="Z",E360="L"),J360=3),VLOOKUP(_xlfn.MINIFS('FIRE TEX 5090'!$B$5:$B$43,'FIRE TEX 5090'!$B$5:$B$43,"&gt;="&amp;M360),'FIRE TEX 5090'!$B$5:$H$43,IF(L360="F-15",2,IF(L360="F-30",3,IF(L360="F-60",4,IF(L360="F-90",5,IF(L360="F-120",6,IF(L360="F-150",7,0)))))),0),0)+IF(AND(O360="FIRE TEX 5090",OR(E360="IN",E360="C",E360="Z",E360="L"),J360=4),VLOOKUP(_xlfn.MINIFS('FIRE TEX 5090'!$J$5:$J$43,'FIRE TEX 5090'!$J$5:$J$43,"&gt;="&amp;M360),'FIRE TEX 5090'!$J$5:$P$43,IF(L360="F-15",2,IF(L360="F-30",3,IF(L360="F-60",4,IF(L360="F-90",5,IF(L360="F-120",6,IF(L360="F-150",7,0)))))),0),0)+IF(AND(O360="FIRE TEX 5090",E360="CJ",J360=3),VLOOKUP(_xlfn.MINIFS('FIRE TEX 5090'!$R$5:$R$30,'FIRE TEX 5090'!$R$5:$R$30,"&gt;="&amp;M360),'FIRE TEX 5090'!$R$5:$W$30,IF(L360="F-15",2,IF(L360="F-30",3,IF(L360="F-60",4,IF(L360="F-90",5,IF(L360="F-120",6,IF(L360="F-150",7,0)))))),0),0)+IF(AND(O360="FIRE TEX 5090",E360="CJ",J360=4),VLOOKUP(_xlfn.MINIFS('FIRE TEX 5090'!$Y$5:$Y$39,'FIRE TEX 5090'!$Y$5:$Y$39,"&gt;="&amp;M360),'FIRE TEX 5090'!$Y$5:$AD$39,IF(L360="F-15",2,IF(L360="F-30",3,IF(L360="F-60",4,IF(L360="F-90",5,IF(L360="F-120",6,IF(L360="F-150",7,0)))))),0),0)+IF(AND(O360="FIRE TEX 5120",OR(E360="IN",E360="C",E360="Z",E360="L"),J360=3),VLOOKUP(_xlfn.MINIFS('FIRE TEX 5120'!$B$5:$B$40,'FIRE TEX 5120'!$B$5:$B$40,"&gt;="&amp;M360),'FIRE TEX 5120'!$B$5:$G$40,IF(L360="F-15",2,IF(L360="F-30",3,IF(L360="F-60",4,IF(L360="F-90",5,IF(L360="F-120",6,0))))),0),0)+IF(AND(O360="FIRE TEX 5120",OR(E360="IN",E360="C",E360="Z",E360="L"),J360=4),VLOOKUP(_xlfn.MINIFS('FIRE TEX 5120'!$H$4:$H$40,'FIRE TEX 5120'!$H$4:$H$40,"&gt;="&amp;M360),'FIRE TEX 5120'!$H$4:$M$40,IF(L360="F-15",2,IF(L360="F-30",3,IF(L360="F-60",4,IF(L360="F-90",5,IF(L360="F-120",6,0))))),0),0)+IF(AND(O360="FIRE TEX 5120",E360="CJ"),VLOOKUP(_xlfn.MINIFS('FIRE TEX 5120'!$O$5:$O$40,'FIRE TEX 5120'!$O$5:$O$40,"&gt;="&amp;M360),'FIRE TEX 5120'!$O$5:$T$40,IF(L360="F-15",2,IF(L360="F-30",3,IF(L360="F-60",4,IF(L360="F-90",5,IF(L360="F-120",6,0))))),0),0)</f>
        <v>0</v>
      </c>
      <c r="Q360" s="46">
        <f t="shared" si="43"/>
        <v>0</v>
      </c>
      <c r="R360" s="46">
        <f t="shared" si="45"/>
        <v>0</v>
      </c>
      <c r="S360" s="46" t="e">
        <f t="shared" si="44"/>
        <v>#VALUE!</v>
      </c>
      <c r="T360" s="677">
        <f t="shared" si="46"/>
        <v>0</v>
      </c>
      <c r="U360" s="80">
        <f>(IF(O360="Stofire",(S360*#REF!),0))+(IF(O360="Fire Control",(S360*$U$2),0))+(IF(O360="Fire Tex",(S360*$U$3),0))+(IF(O360="WB7",(S360*#REF!),0)+(IF(O360="FX 2003",(S360*$U$5),0)))</f>
        <v>0</v>
      </c>
      <c r="V360" s="651">
        <f t="shared" si="48"/>
        <v>0</v>
      </c>
      <c r="W360" s="4"/>
    </row>
    <row r="361" spans="1:23" x14ac:dyDescent="0.25">
      <c r="A361" s="652" t="s">
        <v>458</v>
      </c>
      <c r="B361" s="653" t="s">
        <v>459</v>
      </c>
      <c r="C361" s="1" t="s">
        <v>408</v>
      </c>
      <c r="D361" s="118">
        <f>+CUBICACION!D360</f>
        <v>0</v>
      </c>
      <c r="E361" s="118">
        <f>+CUBICACION!F360</f>
        <v>0</v>
      </c>
      <c r="F361" s="118">
        <f>+CUBICACION!E360</f>
        <v>0</v>
      </c>
      <c r="G361" s="118">
        <v>12</v>
      </c>
      <c r="H361" s="118">
        <v>2</v>
      </c>
      <c r="I361" s="820">
        <v>26385</v>
      </c>
      <c r="J361" s="118">
        <f>+CUBICACION!J360</f>
        <v>0</v>
      </c>
      <c r="K361" s="118">
        <v>3140</v>
      </c>
      <c r="L361" s="118">
        <f>+CUBICACION!L360</f>
        <v>0</v>
      </c>
      <c r="M361" s="64">
        <f>+CUBICACION!M360</f>
        <v>0</v>
      </c>
      <c r="N361" s="824" t="str">
        <f>+CUBICACION!N360</f>
        <v/>
      </c>
      <c r="O361" s="675">
        <f>+CUBICACION!O360</f>
        <v>0</v>
      </c>
      <c r="P361" s="15">
        <f>IF(O361="Fire Control",VLOOKUP(_xlfn.MINIFS('FIRE CONTROL'!$C$4:$C$37,'FIRE CONTROL'!$C$4:$C$37,"&gt;="&amp;M361),'FIRE CONTROL'!$C$4:$G$37,IF(L361="F-15",2,IF(L361="F-30",3,IF(L361="F-60",4,IF(L361="F-90",5,0)))),0),0)+IF(AND(O361="FIRE TEX 5062",OR(E361="IN",E361="C",E361="Z",E361="L"),J361=3),VLOOKUP(_xlfn.MINIFS('FIRE TEX 5062'!$B$4:$B$34,'FIRE TEX 5062'!$B$4:$B$34,"&gt;="&amp;M361),'FIRE TEX 5062'!$B$4:$F$34,IF(L361="F-15",2,IF(L361="F-30",3,IF(L361="F-60",4,IF(L361="F-90",5,0)))),0),0)+IF(AND(O361="FIRE TEX 5062",OR(E361="IN",E361="C",E361="Z",E361="L"),J361=4),VLOOKUP(_xlfn.MINIFS('FIRE TEX 5062'!$G$4:$G$34,'FIRE TEX 5062'!$G$4:$G$34,"&gt;="&amp;M361),'FIRE TEX 5062'!$G$4:$K$34,IF(L361="F-15",2,IF(L361="F-30",3,IF(L361="F-60",4,IF(L361="F-90",5,0)))),0),0)+IF(AND(O361="FIRE TEX 5062",E361="CJ",J361=3),VLOOKUP(_xlfn.MINIFS('FIRE TEX 5062'!$L$4:$L$34,'FIRE TEX 5062'!$L$4:$L$34,"&gt;="&amp;M361),'FIRE TEX 5062'!$L$4:$P$34,IF(L361="F-15",2,IF(L361="F-30",3,IF(L361="F-60",4,IF(L361="F-90",5,0)))),0),0)+IF(AND(O361="FIRE TEX 5062",E361="CJ",J361=4),VLOOKUP(_xlfn.MINIFS('FIRE TEX 5062'!$Q$3:$Q$34,'FIRE TEX 5062'!$Q$3:$Q$34,"&gt;="&amp;M361),'FIRE TEX 5062'!$Q$3:$U$34,IF(L361="F-15",2,IF(L361="F-30",3,IF(L361="F-60",4,IF(L361="F-90",5,0)))),0),0)+IF(AND(O361="FIRE TEX 5090",OR(E361="IN",E361="C",E361="Z",E361="L"),J361=3),VLOOKUP(_xlfn.MINIFS('FIRE TEX 5090'!$B$5:$B$43,'FIRE TEX 5090'!$B$5:$B$43,"&gt;="&amp;M361),'FIRE TEX 5090'!$B$5:$H$43,IF(L361="F-15",2,IF(L361="F-30",3,IF(L361="F-60",4,IF(L361="F-90",5,IF(L361="F-120",6,IF(L361="F-150",7,0)))))),0),0)+IF(AND(O361="FIRE TEX 5090",OR(E361="IN",E361="C",E361="Z",E361="L"),J361=4),VLOOKUP(_xlfn.MINIFS('FIRE TEX 5090'!$J$5:$J$43,'FIRE TEX 5090'!$J$5:$J$43,"&gt;="&amp;M361),'FIRE TEX 5090'!$J$5:$P$43,IF(L361="F-15",2,IF(L361="F-30",3,IF(L361="F-60",4,IF(L361="F-90",5,IF(L361="F-120",6,IF(L361="F-150",7,0)))))),0),0)+IF(AND(O361="FIRE TEX 5090",E361="CJ",J361=3),VLOOKUP(_xlfn.MINIFS('FIRE TEX 5090'!$R$5:$R$30,'FIRE TEX 5090'!$R$5:$R$30,"&gt;="&amp;M361),'FIRE TEX 5090'!$R$5:$W$30,IF(L361="F-15",2,IF(L361="F-30",3,IF(L361="F-60",4,IF(L361="F-90",5,IF(L361="F-120",6,IF(L361="F-150",7,0)))))),0),0)+IF(AND(O361="FIRE TEX 5090",E361="CJ",J361=4),VLOOKUP(_xlfn.MINIFS('FIRE TEX 5090'!$Y$5:$Y$39,'FIRE TEX 5090'!$Y$5:$Y$39,"&gt;="&amp;M361),'FIRE TEX 5090'!$Y$5:$AD$39,IF(L361="F-15",2,IF(L361="F-30",3,IF(L361="F-60",4,IF(L361="F-90",5,IF(L361="F-120",6,IF(L361="F-150",7,0)))))),0),0)+IF(AND(O361="FIRE TEX 5120",OR(E361="IN",E361="C",E361="Z",E361="L"),J361=3),VLOOKUP(_xlfn.MINIFS('FIRE TEX 5120'!$B$5:$B$40,'FIRE TEX 5120'!$B$5:$B$40,"&gt;="&amp;M361),'FIRE TEX 5120'!$B$5:$G$40,IF(L361="F-15",2,IF(L361="F-30",3,IF(L361="F-60",4,IF(L361="F-90",5,IF(L361="F-120",6,0))))),0),0)+IF(AND(O361="FIRE TEX 5120",OR(E361="IN",E361="C",E361="Z",E361="L"),J361=4),VLOOKUP(_xlfn.MINIFS('FIRE TEX 5120'!$H$4:$H$40,'FIRE TEX 5120'!$H$4:$H$40,"&gt;="&amp;M361),'FIRE TEX 5120'!$H$4:$M$40,IF(L361="F-15",2,IF(L361="F-30",3,IF(L361="F-60",4,IF(L361="F-90",5,IF(L361="F-120",6,0))))),0),0)+IF(AND(O361="FIRE TEX 5120",E361="CJ"),VLOOKUP(_xlfn.MINIFS('FIRE TEX 5120'!$O$5:$O$40,'FIRE TEX 5120'!$O$5:$O$40,"&gt;="&amp;M361),'FIRE TEX 5120'!$O$5:$T$40,IF(L361="F-15",2,IF(L361="F-30",3,IF(L361="F-60",4,IF(L361="F-90",5,IF(L361="F-120",6,0))))),0),0)</f>
        <v>0</v>
      </c>
      <c r="Q361" s="46">
        <f t="shared" si="43"/>
        <v>0</v>
      </c>
      <c r="R361" s="46">
        <f t="shared" si="45"/>
        <v>0</v>
      </c>
      <c r="S361" s="46" t="e">
        <f t="shared" si="44"/>
        <v>#VALUE!</v>
      </c>
      <c r="T361" s="677">
        <f t="shared" si="46"/>
        <v>0</v>
      </c>
      <c r="U361" s="80">
        <f>(IF(O361="Stofire",(S361*#REF!),0))+(IF(O361="Fire Control",(S361*$U$2),0))+(IF(O361="Fire Tex",(S361*$U$3),0))+(IF(O361="WB7",(S361*#REF!),0)+(IF(O361="FX 2003",(S361*$U$5),0)))</f>
        <v>0</v>
      </c>
      <c r="V361" s="651">
        <f t="shared" si="48"/>
        <v>0</v>
      </c>
      <c r="W361" s="4"/>
    </row>
    <row r="362" spans="1:23" x14ac:dyDescent="0.25">
      <c r="A362" s="652" t="s">
        <v>461</v>
      </c>
      <c r="B362" s="653" t="s">
        <v>459</v>
      </c>
      <c r="C362" s="1" t="s">
        <v>462</v>
      </c>
      <c r="D362" s="118">
        <f>+CUBICACION!D361</f>
        <v>0</v>
      </c>
      <c r="E362" s="118">
        <f>+CUBICACION!F361</f>
        <v>0</v>
      </c>
      <c r="F362" s="118">
        <f>+CUBICACION!E361</f>
        <v>0</v>
      </c>
      <c r="G362" s="118">
        <v>12</v>
      </c>
      <c r="H362" s="118">
        <v>2</v>
      </c>
      <c r="I362" s="820">
        <v>26385</v>
      </c>
      <c r="J362" s="118">
        <f>+CUBICACION!J361</f>
        <v>0</v>
      </c>
      <c r="K362" s="118">
        <v>3141</v>
      </c>
      <c r="L362" s="118">
        <f>+CUBICACION!L361</f>
        <v>0</v>
      </c>
      <c r="M362" s="64">
        <f>+CUBICACION!M361</f>
        <v>0</v>
      </c>
      <c r="N362" s="824" t="str">
        <f>+CUBICACION!N361</f>
        <v/>
      </c>
      <c r="O362" s="675">
        <f>+CUBICACION!O361</f>
        <v>0</v>
      </c>
      <c r="P362" s="15">
        <f>IF(O362="Fire Control",VLOOKUP(_xlfn.MINIFS('FIRE CONTROL'!$C$4:$C$37,'FIRE CONTROL'!$C$4:$C$37,"&gt;="&amp;M362),'FIRE CONTROL'!$C$4:$G$37,IF(L362="F-15",2,IF(L362="F-30",3,IF(L362="F-60",4,IF(L362="F-90",5,0)))),0),0)+IF(AND(O362="FIRE TEX 5062",OR(E362="IN",E362="C",E362="Z",E362="L"),J362=3),VLOOKUP(_xlfn.MINIFS('FIRE TEX 5062'!$B$4:$B$34,'FIRE TEX 5062'!$B$4:$B$34,"&gt;="&amp;M362),'FIRE TEX 5062'!$B$4:$F$34,IF(L362="F-15",2,IF(L362="F-30",3,IF(L362="F-60",4,IF(L362="F-90",5,0)))),0),0)+IF(AND(O362="FIRE TEX 5062",OR(E362="IN",E362="C",E362="Z",E362="L"),J362=4),VLOOKUP(_xlfn.MINIFS('FIRE TEX 5062'!$G$4:$G$34,'FIRE TEX 5062'!$G$4:$G$34,"&gt;="&amp;M362),'FIRE TEX 5062'!$G$4:$K$34,IF(L362="F-15",2,IF(L362="F-30",3,IF(L362="F-60",4,IF(L362="F-90",5,0)))),0),0)+IF(AND(O362="FIRE TEX 5062",E362="CJ",J362=3),VLOOKUP(_xlfn.MINIFS('FIRE TEX 5062'!$L$4:$L$34,'FIRE TEX 5062'!$L$4:$L$34,"&gt;="&amp;M362),'FIRE TEX 5062'!$L$4:$P$34,IF(L362="F-15",2,IF(L362="F-30",3,IF(L362="F-60",4,IF(L362="F-90",5,0)))),0),0)+IF(AND(O362="FIRE TEX 5062",E362="CJ",J362=4),VLOOKUP(_xlfn.MINIFS('FIRE TEX 5062'!$Q$3:$Q$34,'FIRE TEX 5062'!$Q$3:$Q$34,"&gt;="&amp;M362),'FIRE TEX 5062'!$Q$3:$U$34,IF(L362="F-15",2,IF(L362="F-30",3,IF(L362="F-60",4,IF(L362="F-90",5,0)))),0),0)+IF(AND(O362="FIRE TEX 5090",OR(E362="IN",E362="C",E362="Z",E362="L"),J362=3),VLOOKUP(_xlfn.MINIFS('FIRE TEX 5090'!$B$5:$B$43,'FIRE TEX 5090'!$B$5:$B$43,"&gt;="&amp;M362),'FIRE TEX 5090'!$B$5:$H$43,IF(L362="F-15",2,IF(L362="F-30",3,IF(L362="F-60",4,IF(L362="F-90",5,IF(L362="F-120",6,IF(L362="F-150",7,0)))))),0),0)+IF(AND(O362="FIRE TEX 5090",OR(E362="IN",E362="C",E362="Z",E362="L"),J362=4),VLOOKUP(_xlfn.MINIFS('FIRE TEX 5090'!$J$5:$J$43,'FIRE TEX 5090'!$J$5:$J$43,"&gt;="&amp;M362),'FIRE TEX 5090'!$J$5:$P$43,IF(L362="F-15",2,IF(L362="F-30",3,IF(L362="F-60",4,IF(L362="F-90",5,IF(L362="F-120",6,IF(L362="F-150",7,0)))))),0),0)+IF(AND(O362="FIRE TEX 5090",E362="CJ",J362=3),VLOOKUP(_xlfn.MINIFS('FIRE TEX 5090'!$R$5:$R$30,'FIRE TEX 5090'!$R$5:$R$30,"&gt;="&amp;M362),'FIRE TEX 5090'!$R$5:$W$30,IF(L362="F-15",2,IF(L362="F-30",3,IF(L362="F-60",4,IF(L362="F-90",5,IF(L362="F-120",6,IF(L362="F-150",7,0)))))),0),0)+IF(AND(O362="FIRE TEX 5090",E362="CJ",J362=4),VLOOKUP(_xlfn.MINIFS('FIRE TEX 5090'!$Y$5:$Y$39,'FIRE TEX 5090'!$Y$5:$Y$39,"&gt;="&amp;M362),'FIRE TEX 5090'!$Y$5:$AD$39,IF(L362="F-15",2,IF(L362="F-30",3,IF(L362="F-60",4,IF(L362="F-90",5,IF(L362="F-120",6,IF(L362="F-150",7,0)))))),0),0)+IF(AND(O362="FIRE TEX 5120",OR(E362="IN",E362="C",E362="Z",E362="L"),J362=3),VLOOKUP(_xlfn.MINIFS('FIRE TEX 5120'!$B$5:$B$40,'FIRE TEX 5120'!$B$5:$B$40,"&gt;="&amp;M362),'FIRE TEX 5120'!$B$5:$G$40,IF(L362="F-15",2,IF(L362="F-30",3,IF(L362="F-60",4,IF(L362="F-90",5,IF(L362="F-120",6,0))))),0),0)+IF(AND(O362="FIRE TEX 5120",OR(E362="IN",E362="C",E362="Z",E362="L"),J362=4),VLOOKUP(_xlfn.MINIFS('FIRE TEX 5120'!$H$4:$H$40,'FIRE TEX 5120'!$H$4:$H$40,"&gt;="&amp;M362),'FIRE TEX 5120'!$H$4:$M$40,IF(L362="F-15",2,IF(L362="F-30",3,IF(L362="F-60",4,IF(L362="F-90",5,IF(L362="F-120",6,0))))),0),0)+IF(AND(O362="FIRE TEX 5120",E362="CJ"),VLOOKUP(_xlfn.MINIFS('FIRE TEX 5120'!$O$5:$O$40,'FIRE TEX 5120'!$O$5:$O$40,"&gt;="&amp;M362),'FIRE TEX 5120'!$O$5:$T$40,IF(L362="F-15",2,IF(L362="F-30",3,IF(L362="F-60",4,IF(L362="F-90",5,IF(L362="F-120",6,0))))),0),0)</f>
        <v>0</v>
      </c>
      <c r="Q362" s="46">
        <f t="shared" si="43"/>
        <v>0</v>
      </c>
      <c r="R362" s="46">
        <f t="shared" si="45"/>
        <v>0</v>
      </c>
      <c r="S362" s="46" t="e">
        <f t="shared" si="44"/>
        <v>#VALUE!</v>
      </c>
      <c r="T362" s="677">
        <f t="shared" si="46"/>
        <v>0</v>
      </c>
      <c r="U362" s="80">
        <f>(IF(O362="Stofire",(S362*#REF!),0))+(IF(O362="Fire Control",(S362*$U$2),0))+(IF(O362="Fire Tex",(S362*$U$3),0))+(IF(O362="WB7",(S362*#REF!),0)+(IF(O362="FX 2003",(S362*$U$5),0)))</f>
        <v>0</v>
      </c>
      <c r="V362" s="651">
        <f t="shared" si="48"/>
        <v>0</v>
      </c>
      <c r="W362" s="4"/>
    </row>
    <row r="363" spans="1:23" x14ac:dyDescent="0.25">
      <c r="A363" s="652" t="s">
        <v>461</v>
      </c>
      <c r="B363" s="653" t="s">
        <v>459</v>
      </c>
      <c r="C363" s="1" t="s">
        <v>408</v>
      </c>
      <c r="D363" s="118">
        <f>+CUBICACION!D362</f>
        <v>0</v>
      </c>
      <c r="E363" s="118">
        <f>+CUBICACION!F362</f>
        <v>0</v>
      </c>
      <c r="F363" s="118">
        <f>+CUBICACION!E362</f>
        <v>0</v>
      </c>
      <c r="G363" s="118">
        <v>12</v>
      </c>
      <c r="H363" s="118">
        <v>2</v>
      </c>
      <c r="I363" s="820">
        <v>26385</v>
      </c>
      <c r="J363" s="118">
        <f>+CUBICACION!J362</f>
        <v>0</v>
      </c>
      <c r="K363" s="118">
        <v>3142</v>
      </c>
      <c r="L363" s="118">
        <f>+CUBICACION!L362</f>
        <v>0</v>
      </c>
      <c r="M363" s="64">
        <f>+CUBICACION!M362</f>
        <v>0</v>
      </c>
      <c r="N363" s="824" t="str">
        <f>+CUBICACION!N362</f>
        <v/>
      </c>
      <c r="O363" s="675">
        <f>+CUBICACION!O362</f>
        <v>0</v>
      </c>
      <c r="P363" s="15">
        <f>IF(O363="Fire Control",VLOOKUP(_xlfn.MINIFS('FIRE CONTROL'!$C$4:$C$37,'FIRE CONTROL'!$C$4:$C$37,"&gt;="&amp;M363),'FIRE CONTROL'!$C$4:$G$37,IF(L363="F-15",2,IF(L363="F-30",3,IF(L363="F-60",4,IF(L363="F-90",5,0)))),0),0)+IF(AND(O363="FIRE TEX 5062",OR(E363="IN",E363="C",E363="Z",E363="L"),J363=3),VLOOKUP(_xlfn.MINIFS('FIRE TEX 5062'!$B$4:$B$34,'FIRE TEX 5062'!$B$4:$B$34,"&gt;="&amp;M363),'FIRE TEX 5062'!$B$4:$F$34,IF(L363="F-15",2,IF(L363="F-30",3,IF(L363="F-60",4,IF(L363="F-90",5,0)))),0),0)+IF(AND(O363="FIRE TEX 5062",OR(E363="IN",E363="C",E363="Z",E363="L"),J363=4),VLOOKUP(_xlfn.MINIFS('FIRE TEX 5062'!$G$4:$G$34,'FIRE TEX 5062'!$G$4:$G$34,"&gt;="&amp;M363),'FIRE TEX 5062'!$G$4:$K$34,IF(L363="F-15",2,IF(L363="F-30",3,IF(L363="F-60",4,IF(L363="F-90",5,0)))),0),0)+IF(AND(O363="FIRE TEX 5062",E363="CJ",J363=3),VLOOKUP(_xlfn.MINIFS('FIRE TEX 5062'!$L$4:$L$34,'FIRE TEX 5062'!$L$4:$L$34,"&gt;="&amp;M363),'FIRE TEX 5062'!$L$4:$P$34,IF(L363="F-15",2,IF(L363="F-30",3,IF(L363="F-60",4,IF(L363="F-90",5,0)))),0),0)+IF(AND(O363="FIRE TEX 5062",E363="CJ",J363=4),VLOOKUP(_xlfn.MINIFS('FIRE TEX 5062'!$Q$3:$Q$34,'FIRE TEX 5062'!$Q$3:$Q$34,"&gt;="&amp;M363),'FIRE TEX 5062'!$Q$3:$U$34,IF(L363="F-15",2,IF(L363="F-30",3,IF(L363="F-60",4,IF(L363="F-90",5,0)))),0),0)+IF(AND(O363="FIRE TEX 5090",OR(E363="IN",E363="C",E363="Z",E363="L"),J363=3),VLOOKUP(_xlfn.MINIFS('FIRE TEX 5090'!$B$5:$B$43,'FIRE TEX 5090'!$B$5:$B$43,"&gt;="&amp;M363),'FIRE TEX 5090'!$B$5:$H$43,IF(L363="F-15",2,IF(L363="F-30",3,IF(L363="F-60",4,IF(L363="F-90",5,IF(L363="F-120",6,IF(L363="F-150",7,0)))))),0),0)+IF(AND(O363="FIRE TEX 5090",OR(E363="IN",E363="C",E363="Z",E363="L"),J363=4),VLOOKUP(_xlfn.MINIFS('FIRE TEX 5090'!$J$5:$J$43,'FIRE TEX 5090'!$J$5:$J$43,"&gt;="&amp;M363),'FIRE TEX 5090'!$J$5:$P$43,IF(L363="F-15",2,IF(L363="F-30",3,IF(L363="F-60",4,IF(L363="F-90",5,IF(L363="F-120",6,IF(L363="F-150",7,0)))))),0),0)+IF(AND(O363="FIRE TEX 5090",E363="CJ",J363=3),VLOOKUP(_xlfn.MINIFS('FIRE TEX 5090'!$R$5:$R$30,'FIRE TEX 5090'!$R$5:$R$30,"&gt;="&amp;M363),'FIRE TEX 5090'!$R$5:$W$30,IF(L363="F-15",2,IF(L363="F-30",3,IF(L363="F-60",4,IF(L363="F-90",5,IF(L363="F-120",6,IF(L363="F-150",7,0)))))),0),0)+IF(AND(O363="FIRE TEX 5090",E363="CJ",J363=4),VLOOKUP(_xlfn.MINIFS('FIRE TEX 5090'!$Y$5:$Y$39,'FIRE TEX 5090'!$Y$5:$Y$39,"&gt;="&amp;M363),'FIRE TEX 5090'!$Y$5:$AD$39,IF(L363="F-15",2,IF(L363="F-30",3,IF(L363="F-60",4,IF(L363="F-90",5,IF(L363="F-120",6,IF(L363="F-150",7,0)))))),0),0)+IF(AND(O363="FIRE TEX 5120",OR(E363="IN",E363="C",E363="Z",E363="L"),J363=3),VLOOKUP(_xlfn.MINIFS('FIRE TEX 5120'!$B$5:$B$40,'FIRE TEX 5120'!$B$5:$B$40,"&gt;="&amp;M363),'FIRE TEX 5120'!$B$5:$G$40,IF(L363="F-15",2,IF(L363="F-30",3,IF(L363="F-60",4,IF(L363="F-90",5,IF(L363="F-120",6,0))))),0),0)+IF(AND(O363="FIRE TEX 5120",OR(E363="IN",E363="C",E363="Z",E363="L"),J363=4),VLOOKUP(_xlfn.MINIFS('FIRE TEX 5120'!$H$4:$H$40,'FIRE TEX 5120'!$H$4:$H$40,"&gt;="&amp;M363),'FIRE TEX 5120'!$H$4:$M$40,IF(L363="F-15",2,IF(L363="F-30",3,IF(L363="F-60",4,IF(L363="F-90",5,IF(L363="F-120",6,0))))),0),0)+IF(AND(O363="FIRE TEX 5120",E363="CJ"),VLOOKUP(_xlfn.MINIFS('FIRE TEX 5120'!$O$5:$O$40,'FIRE TEX 5120'!$O$5:$O$40,"&gt;="&amp;M363),'FIRE TEX 5120'!$O$5:$T$40,IF(L363="F-15",2,IF(L363="F-30",3,IF(L363="F-60",4,IF(L363="F-90",5,IF(L363="F-120",6,0))))),0),0)</f>
        <v>0</v>
      </c>
      <c r="Q363" s="46">
        <f t="shared" si="43"/>
        <v>0</v>
      </c>
      <c r="R363" s="46">
        <f t="shared" si="45"/>
        <v>0</v>
      </c>
      <c r="S363" s="46" t="e">
        <f t="shared" si="44"/>
        <v>#VALUE!</v>
      </c>
      <c r="T363" s="677">
        <f t="shared" si="46"/>
        <v>0</v>
      </c>
      <c r="U363" s="80">
        <f>(IF(O363="Stofire",(S363*#REF!),0))+(IF(O363="Fire Control",(S363*$U$2),0))+(IF(O363="Fire Tex",(S363*$U$3),0))+(IF(O363="WB7",(S363*#REF!),0)+(IF(O363="FX 2003",(S363*$U$5),0)))</f>
        <v>0</v>
      </c>
      <c r="V363" s="651">
        <f t="shared" si="48"/>
        <v>0</v>
      </c>
      <c r="W363" s="4"/>
    </row>
    <row r="364" spans="1:23" x14ac:dyDescent="0.25">
      <c r="A364" s="652" t="s">
        <v>461</v>
      </c>
      <c r="B364" s="653" t="s">
        <v>459</v>
      </c>
      <c r="C364" s="1" t="s">
        <v>408</v>
      </c>
      <c r="D364" s="118">
        <f>+CUBICACION!D363</f>
        <v>0</v>
      </c>
      <c r="E364" s="118">
        <f>+CUBICACION!F363</f>
        <v>0</v>
      </c>
      <c r="F364" s="118">
        <f>+CUBICACION!E363</f>
        <v>0</v>
      </c>
      <c r="G364" s="118">
        <v>12</v>
      </c>
      <c r="H364" s="118">
        <v>2</v>
      </c>
      <c r="I364" s="820">
        <v>26385</v>
      </c>
      <c r="J364" s="118">
        <f>+CUBICACION!J363</f>
        <v>0</v>
      </c>
      <c r="K364" s="118">
        <v>3143</v>
      </c>
      <c r="L364" s="118">
        <f>+CUBICACION!L363</f>
        <v>0</v>
      </c>
      <c r="M364" s="64">
        <f>+CUBICACION!M363</f>
        <v>0</v>
      </c>
      <c r="N364" s="824" t="str">
        <f>+CUBICACION!N363</f>
        <v/>
      </c>
      <c r="O364" s="675">
        <f>+CUBICACION!O363</f>
        <v>0</v>
      </c>
      <c r="P364" s="15">
        <f>IF(O364="Fire Control",VLOOKUP(_xlfn.MINIFS('FIRE CONTROL'!$C$4:$C$37,'FIRE CONTROL'!$C$4:$C$37,"&gt;="&amp;M364),'FIRE CONTROL'!$C$4:$G$37,IF(L364="F-15",2,IF(L364="F-30",3,IF(L364="F-60",4,IF(L364="F-90",5,0)))),0),0)+IF(AND(O364="FIRE TEX 5062",OR(E364="IN",E364="C",E364="Z",E364="L"),J364=3),VLOOKUP(_xlfn.MINIFS('FIRE TEX 5062'!$B$4:$B$34,'FIRE TEX 5062'!$B$4:$B$34,"&gt;="&amp;M364),'FIRE TEX 5062'!$B$4:$F$34,IF(L364="F-15",2,IF(L364="F-30",3,IF(L364="F-60",4,IF(L364="F-90",5,0)))),0),0)+IF(AND(O364="FIRE TEX 5062",OR(E364="IN",E364="C",E364="Z",E364="L"),J364=4),VLOOKUP(_xlfn.MINIFS('FIRE TEX 5062'!$G$4:$G$34,'FIRE TEX 5062'!$G$4:$G$34,"&gt;="&amp;M364),'FIRE TEX 5062'!$G$4:$K$34,IF(L364="F-15",2,IF(L364="F-30",3,IF(L364="F-60",4,IF(L364="F-90",5,0)))),0),0)+IF(AND(O364="FIRE TEX 5062",E364="CJ",J364=3),VLOOKUP(_xlfn.MINIFS('FIRE TEX 5062'!$L$4:$L$34,'FIRE TEX 5062'!$L$4:$L$34,"&gt;="&amp;M364),'FIRE TEX 5062'!$L$4:$P$34,IF(L364="F-15",2,IF(L364="F-30",3,IF(L364="F-60",4,IF(L364="F-90",5,0)))),0),0)+IF(AND(O364="FIRE TEX 5062",E364="CJ",J364=4),VLOOKUP(_xlfn.MINIFS('FIRE TEX 5062'!$Q$3:$Q$34,'FIRE TEX 5062'!$Q$3:$Q$34,"&gt;="&amp;M364),'FIRE TEX 5062'!$Q$3:$U$34,IF(L364="F-15",2,IF(L364="F-30",3,IF(L364="F-60",4,IF(L364="F-90",5,0)))),0),0)+IF(AND(O364="FIRE TEX 5090",OR(E364="IN",E364="C",E364="Z",E364="L"),J364=3),VLOOKUP(_xlfn.MINIFS('FIRE TEX 5090'!$B$5:$B$43,'FIRE TEX 5090'!$B$5:$B$43,"&gt;="&amp;M364),'FIRE TEX 5090'!$B$5:$H$43,IF(L364="F-15",2,IF(L364="F-30",3,IF(L364="F-60",4,IF(L364="F-90",5,IF(L364="F-120",6,IF(L364="F-150",7,0)))))),0),0)+IF(AND(O364="FIRE TEX 5090",OR(E364="IN",E364="C",E364="Z",E364="L"),J364=4),VLOOKUP(_xlfn.MINIFS('FIRE TEX 5090'!$J$5:$J$43,'FIRE TEX 5090'!$J$5:$J$43,"&gt;="&amp;M364),'FIRE TEX 5090'!$J$5:$P$43,IF(L364="F-15",2,IF(L364="F-30",3,IF(L364="F-60",4,IF(L364="F-90",5,IF(L364="F-120",6,IF(L364="F-150",7,0)))))),0),0)+IF(AND(O364="FIRE TEX 5090",E364="CJ",J364=3),VLOOKUP(_xlfn.MINIFS('FIRE TEX 5090'!$R$5:$R$30,'FIRE TEX 5090'!$R$5:$R$30,"&gt;="&amp;M364),'FIRE TEX 5090'!$R$5:$W$30,IF(L364="F-15",2,IF(L364="F-30",3,IF(L364="F-60",4,IF(L364="F-90",5,IF(L364="F-120",6,IF(L364="F-150",7,0)))))),0),0)+IF(AND(O364="FIRE TEX 5090",E364="CJ",J364=4),VLOOKUP(_xlfn.MINIFS('FIRE TEX 5090'!$Y$5:$Y$39,'FIRE TEX 5090'!$Y$5:$Y$39,"&gt;="&amp;M364),'FIRE TEX 5090'!$Y$5:$AD$39,IF(L364="F-15",2,IF(L364="F-30",3,IF(L364="F-60",4,IF(L364="F-90",5,IF(L364="F-120",6,IF(L364="F-150",7,0)))))),0),0)+IF(AND(O364="FIRE TEX 5120",OR(E364="IN",E364="C",E364="Z",E364="L"),J364=3),VLOOKUP(_xlfn.MINIFS('FIRE TEX 5120'!$B$5:$B$40,'FIRE TEX 5120'!$B$5:$B$40,"&gt;="&amp;M364),'FIRE TEX 5120'!$B$5:$G$40,IF(L364="F-15",2,IF(L364="F-30",3,IF(L364="F-60",4,IF(L364="F-90",5,IF(L364="F-120",6,0))))),0),0)+IF(AND(O364="FIRE TEX 5120",OR(E364="IN",E364="C",E364="Z",E364="L"),J364=4),VLOOKUP(_xlfn.MINIFS('FIRE TEX 5120'!$H$4:$H$40,'FIRE TEX 5120'!$H$4:$H$40,"&gt;="&amp;M364),'FIRE TEX 5120'!$H$4:$M$40,IF(L364="F-15",2,IF(L364="F-30",3,IF(L364="F-60",4,IF(L364="F-90",5,IF(L364="F-120",6,0))))),0),0)+IF(AND(O364="FIRE TEX 5120",E364="CJ"),VLOOKUP(_xlfn.MINIFS('FIRE TEX 5120'!$O$5:$O$40,'FIRE TEX 5120'!$O$5:$O$40,"&gt;="&amp;M364),'FIRE TEX 5120'!$O$5:$T$40,IF(L364="F-15",2,IF(L364="F-30",3,IF(L364="F-60",4,IF(L364="F-90",5,IF(L364="F-120",6,0))))),0),0)</f>
        <v>0</v>
      </c>
      <c r="Q364" s="46">
        <f t="shared" si="43"/>
        <v>0</v>
      </c>
      <c r="R364" s="46">
        <f t="shared" si="45"/>
        <v>0</v>
      </c>
      <c r="S364" s="46" t="e">
        <f t="shared" si="44"/>
        <v>#VALUE!</v>
      </c>
      <c r="T364" s="677">
        <f t="shared" si="46"/>
        <v>0</v>
      </c>
      <c r="U364" s="80">
        <f>(IF(O364="Stofire",(S364*#REF!),0))+(IF(O364="Fire Control",(S364*$U$2),0))+(IF(O364="Fire Tex",(S364*$U$3),0))+(IF(O364="WB7",(S364*#REF!),0)+(IF(O364="FX 2003",(S364*$U$5),0)))</f>
        <v>0</v>
      </c>
      <c r="V364" s="651">
        <f t="shared" si="48"/>
        <v>0</v>
      </c>
      <c r="W364" s="4"/>
    </row>
    <row r="365" spans="1:23" x14ac:dyDescent="0.25">
      <c r="D365" s="118">
        <f>+CUBICACION!D364</f>
        <v>0</v>
      </c>
      <c r="E365" s="118">
        <f>+CUBICACION!F364</f>
        <v>0</v>
      </c>
      <c r="F365" s="118">
        <f>+CUBICACION!E364</f>
        <v>0</v>
      </c>
      <c r="G365" s="118">
        <v>12</v>
      </c>
      <c r="H365" s="118">
        <v>2</v>
      </c>
      <c r="I365" s="820">
        <v>26385</v>
      </c>
      <c r="J365" s="118">
        <f>+CUBICACION!J364</f>
        <v>0</v>
      </c>
      <c r="K365" s="118">
        <v>3144</v>
      </c>
      <c r="L365" s="118">
        <f>+CUBICACION!L364</f>
        <v>0</v>
      </c>
      <c r="M365" s="64">
        <f>+CUBICACION!M364</f>
        <v>0</v>
      </c>
      <c r="N365" s="824" t="str">
        <f>+CUBICACION!N364</f>
        <v/>
      </c>
      <c r="O365" s="675">
        <f>+CUBICACION!O364</f>
        <v>0</v>
      </c>
      <c r="P365" s="15">
        <f>IF(O365="Fire Control",VLOOKUP(_xlfn.MINIFS('FIRE CONTROL'!$C$4:$C$37,'FIRE CONTROL'!$C$4:$C$37,"&gt;="&amp;M365),'FIRE CONTROL'!$C$4:$G$37,IF(L365="F-15",2,IF(L365="F-30",3,IF(L365="F-60",4,IF(L365="F-90",5,0)))),0),0)+IF(AND(O365="FIRE TEX 5062",OR(E365="IN",E365="C",E365="Z",E365="L"),J365=3),VLOOKUP(_xlfn.MINIFS('FIRE TEX 5062'!$B$4:$B$34,'FIRE TEX 5062'!$B$4:$B$34,"&gt;="&amp;M365),'FIRE TEX 5062'!$B$4:$F$34,IF(L365="F-15",2,IF(L365="F-30",3,IF(L365="F-60",4,IF(L365="F-90",5,0)))),0),0)+IF(AND(O365="FIRE TEX 5062",OR(E365="IN",E365="C",E365="Z",E365="L"),J365=4),VLOOKUP(_xlfn.MINIFS('FIRE TEX 5062'!$G$4:$G$34,'FIRE TEX 5062'!$G$4:$G$34,"&gt;="&amp;M365),'FIRE TEX 5062'!$G$4:$K$34,IF(L365="F-15",2,IF(L365="F-30",3,IF(L365="F-60",4,IF(L365="F-90",5,0)))),0),0)+IF(AND(O365="FIRE TEX 5062",E365="CJ",J365=3),VLOOKUP(_xlfn.MINIFS('FIRE TEX 5062'!$L$4:$L$34,'FIRE TEX 5062'!$L$4:$L$34,"&gt;="&amp;M365),'FIRE TEX 5062'!$L$4:$P$34,IF(L365="F-15",2,IF(L365="F-30",3,IF(L365="F-60",4,IF(L365="F-90",5,0)))),0),0)+IF(AND(O365="FIRE TEX 5062",E365="CJ",J365=4),VLOOKUP(_xlfn.MINIFS('FIRE TEX 5062'!$Q$3:$Q$34,'FIRE TEX 5062'!$Q$3:$Q$34,"&gt;="&amp;M365),'FIRE TEX 5062'!$Q$3:$U$34,IF(L365="F-15",2,IF(L365="F-30",3,IF(L365="F-60",4,IF(L365="F-90",5,0)))),0),0)+IF(AND(O365="FIRE TEX 5090",OR(E365="IN",E365="C",E365="Z",E365="L"),J365=3),VLOOKUP(_xlfn.MINIFS('FIRE TEX 5090'!$B$5:$B$43,'FIRE TEX 5090'!$B$5:$B$43,"&gt;="&amp;M365),'FIRE TEX 5090'!$B$5:$H$43,IF(L365="F-15",2,IF(L365="F-30",3,IF(L365="F-60",4,IF(L365="F-90",5,IF(L365="F-120",6,IF(L365="F-150",7,0)))))),0),0)+IF(AND(O365="FIRE TEX 5090",OR(E365="IN",E365="C",E365="Z",E365="L"),J365=4),VLOOKUP(_xlfn.MINIFS('FIRE TEX 5090'!$J$5:$J$43,'FIRE TEX 5090'!$J$5:$J$43,"&gt;="&amp;M365),'FIRE TEX 5090'!$J$5:$P$43,IF(L365="F-15",2,IF(L365="F-30",3,IF(L365="F-60",4,IF(L365="F-90",5,IF(L365="F-120",6,IF(L365="F-150",7,0)))))),0),0)+IF(AND(O365="FIRE TEX 5090",E365="CJ",J365=3),VLOOKUP(_xlfn.MINIFS('FIRE TEX 5090'!$R$5:$R$30,'FIRE TEX 5090'!$R$5:$R$30,"&gt;="&amp;M365),'FIRE TEX 5090'!$R$5:$W$30,IF(L365="F-15",2,IF(L365="F-30",3,IF(L365="F-60",4,IF(L365="F-90",5,IF(L365="F-120",6,IF(L365="F-150",7,0)))))),0),0)+IF(AND(O365="FIRE TEX 5090",E365="CJ",J365=4),VLOOKUP(_xlfn.MINIFS('FIRE TEX 5090'!$Y$5:$Y$39,'FIRE TEX 5090'!$Y$5:$Y$39,"&gt;="&amp;M365),'FIRE TEX 5090'!$Y$5:$AD$39,IF(L365="F-15",2,IF(L365="F-30",3,IF(L365="F-60",4,IF(L365="F-90",5,IF(L365="F-120",6,IF(L365="F-150",7,0)))))),0),0)+IF(AND(O365="FIRE TEX 5120",OR(E365="IN",E365="C",E365="Z",E365="L"),J365=3),VLOOKUP(_xlfn.MINIFS('FIRE TEX 5120'!$B$5:$B$40,'FIRE TEX 5120'!$B$5:$B$40,"&gt;="&amp;M365),'FIRE TEX 5120'!$B$5:$G$40,IF(L365="F-15",2,IF(L365="F-30",3,IF(L365="F-60",4,IF(L365="F-90",5,IF(L365="F-120",6,0))))),0),0)+IF(AND(O365="FIRE TEX 5120",OR(E365="IN",E365="C",E365="Z",E365="L"),J365=4),VLOOKUP(_xlfn.MINIFS('FIRE TEX 5120'!$H$4:$H$40,'FIRE TEX 5120'!$H$4:$H$40,"&gt;="&amp;M365),'FIRE TEX 5120'!$H$4:$M$40,IF(L365="F-15",2,IF(L365="F-30",3,IF(L365="F-60",4,IF(L365="F-90",5,IF(L365="F-120",6,0))))),0),0)+IF(AND(O365="FIRE TEX 5120",E365="CJ"),VLOOKUP(_xlfn.MINIFS('FIRE TEX 5120'!$O$5:$O$40,'FIRE TEX 5120'!$O$5:$O$40,"&gt;="&amp;M365),'FIRE TEX 5120'!$O$5:$T$40,IF(L365="F-15",2,IF(L365="F-30",3,IF(L365="F-60",4,IF(L365="F-90",5,IF(L365="F-120",6,0))))),0),0)</f>
        <v>0</v>
      </c>
      <c r="Q365" s="46">
        <f t="shared" ref="Q365:Q428" si="49">IF(P365="","",IF(P365="dar valor","",0.03937*P365))</f>
        <v>0</v>
      </c>
      <c r="R365" s="46">
        <f t="shared" ref="R365:R428" si="50">+(IF(O365="Fire Control",((65*1.5/Q365)*0.75*4),0))+(IF(OR(O365="Fire Tex 5062",O365="Fire Tex 5090",O365="Fire Tex 5120"),((66*1.5/Q365)*0.7*5),0))</f>
        <v>0</v>
      </c>
      <c r="S365" s="46" t="e">
        <f t="shared" ref="S365:S428" si="51">IF(R365="","",+N365/R365)</f>
        <v>#VALUE!</v>
      </c>
      <c r="T365" s="677">
        <f t="shared" ref="T365:T428" si="52">(IF(O365="Stofire",(S365/(7*1)),0))+(IF(O365="Fire Control",(S365/(7*1)),0))+(IF(O365="Fire Tex",(S365/(7*1)),0))+(IF(O365="WB7",(S365/(7*1)),0))+(IF(O365="FX 2003",(S365/(7*1)),0))</f>
        <v>0</v>
      </c>
      <c r="U365" s="80">
        <f>(IF(O365="Stofire",(S365*#REF!),0))+(IF(O365="Fire Control",(S365*$U$2),0))+(IF(O365="Fire Tex",(S365*$U$3),0))+(IF(O365="WB7",(S365*#REF!),0)+(IF(O365="FX 2003",(S365*$U$5),0)))</f>
        <v>0</v>
      </c>
      <c r="V365" s="651">
        <f t="shared" ref="V365:V428" si="53">_xlfn.CEILING.MATH(M365,10)</f>
        <v>0</v>
      </c>
      <c r="W365" s="4"/>
    </row>
    <row r="366" spans="1:23" x14ac:dyDescent="0.25">
      <c r="D366" s="118">
        <f>+CUBICACION!D365</f>
        <v>0</v>
      </c>
      <c r="E366" s="118">
        <f>+CUBICACION!F365</f>
        <v>0</v>
      </c>
      <c r="F366" s="118">
        <f>+CUBICACION!E365</f>
        <v>0</v>
      </c>
      <c r="G366" s="118">
        <v>12</v>
      </c>
      <c r="H366" s="118">
        <v>2</v>
      </c>
      <c r="I366" s="820">
        <v>26385</v>
      </c>
      <c r="J366" s="118">
        <f>+CUBICACION!J365</f>
        <v>0</v>
      </c>
      <c r="K366" s="118">
        <v>3145</v>
      </c>
      <c r="L366" s="118">
        <f>+CUBICACION!L365</f>
        <v>0</v>
      </c>
      <c r="M366" s="64">
        <f>+CUBICACION!M365</f>
        <v>0</v>
      </c>
      <c r="N366" s="824" t="str">
        <f>+CUBICACION!N365</f>
        <v/>
      </c>
      <c r="O366" s="675">
        <f>+CUBICACION!O365</f>
        <v>0</v>
      </c>
      <c r="P366" s="15">
        <f>IF(O366="Fire Control",VLOOKUP(_xlfn.MINIFS('FIRE CONTROL'!$C$4:$C$37,'FIRE CONTROL'!$C$4:$C$37,"&gt;="&amp;M366),'FIRE CONTROL'!$C$4:$G$37,IF(L366="F-15",2,IF(L366="F-30",3,IF(L366="F-60",4,IF(L366="F-90",5,0)))),0),0)+IF(AND(O366="FIRE TEX 5062",OR(E366="IN",E366="C",E366="Z",E366="L"),J366=3),VLOOKUP(_xlfn.MINIFS('FIRE TEX 5062'!$B$4:$B$34,'FIRE TEX 5062'!$B$4:$B$34,"&gt;="&amp;M366),'FIRE TEX 5062'!$B$4:$F$34,IF(L366="F-15",2,IF(L366="F-30",3,IF(L366="F-60",4,IF(L366="F-90",5,0)))),0),0)+IF(AND(O366="FIRE TEX 5062",OR(E366="IN",E366="C",E366="Z",E366="L"),J366=4),VLOOKUP(_xlfn.MINIFS('FIRE TEX 5062'!$G$4:$G$34,'FIRE TEX 5062'!$G$4:$G$34,"&gt;="&amp;M366),'FIRE TEX 5062'!$G$4:$K$34,IF(L366="F-15",2,IF(L366="F-30",3,IF(L366="F-60",4,IF(L366="F-90",5,0)))),0),0)+IF(AND(O366="FIRE TEX 5062",E366="CJ",J366=3),VLOOKUP(_xlfn.MINIFS('FIRE TEX 5062'!$L$4:$L$34,'FIRE TEX 5062'!$L$4:$L$34,"&gt;="&amp;M366),'FIRE TEX 5062'!$L$4:$P$34,IF(L366="F-15",2,IF(L366="F-30",3,IF(L366="F-60",4,IF(L366="F-90",5,0)))),0),0)+IF(AND(O366="FIRE TEX 5062",E366="CJ",J366=4),VLOOKUP(_xlfn.MINIFS('FIRE TEX 5062'!$Q$3:$Q$34,'FIRE TEX 5062'!$Q$3:$Q$34,"&gt;="&amp;M366),'FIRE TEX 5062'!$Q$3:$U$34,IF(L366="F-15",2,IF(L366="F-30",3,IF(L366="F-60",4,IF(L366="F-90",5,0)))),0),0)+IF(AND(O366="FIRE TEX 5090",OR(E366="IN",E366="C",E366="Z",E366="L"),J366=3),VLOOKUP(_xlfn.MINIFS('FIRE TEX 5090'!$B$5:$B$43,'FIRE TEX 5090'!$B$5:$B$43,"&gt;="&amp;M366),'FIRE TEX 5090'!$B$5:$H$43,IF(L366="F-15",2,IF(L366="F-30",3,IF(L366="F-60",4,IF(L366="F-90",5,IF(L366="F-120",6,IF(L366="F-150",7,0)))))),0),0)+IF(AND(O366="FIRE TEX 5090",OR(E366="IN",E366="C",E366="Z",E366="L"),J366=4),VLOOKUP(_xlfn.MINIFS('FIRE TEX 5090'!$J$5:$J$43,'FIRE TEX 5090'!$J$5:$J$43,"&gt;="&amp;M366),'FIRE TEX 5090'!$J$5:$P$43,IF(L366="F-15",2,IF(L366="F-30",3,IF(L366="F-60",4,IF(L366="F-90",5,IF(L366="F-120",6,IF(L366="F-150",7,0)))))),0),0)+IF(AND(O366="FIRE TEX 5090",E366="CJ",J366=3),VLOOKUP(_xlfn.MINIFS('FIRE TEX 5090'!$R$5:$R$30,'FIRE TEX 5090'!$R$5:$R$30,"&gt;="&amp;M366),'FIRE TEX 5090'!$R$5:$W$30,IF(L366="F-15",2,IF(L366="F-30",3,IF(L366="F-60",4,IF(L366="F-90",5,IF(L366="F-120",6,IF(L366="F-150",7,0)))))),0),0)+IF(AND(O366="FIRE TEX 5090",E366="CJ",J366=4),VLOOKUP(_xlfn.MINIFS('FIRE TEX 5090'!$Y$5:$Y$39,'FIRE TEX 5090'!$Y$5:$Y$39,"&gt;="&amp;M366),'FIRE TEX 5090'!$Y$5:$AD$39,IF(L366="F-15",2,IF(L366="F-30",3,IF(L366="F-60",4,IF(L366="F-90",5,IF(L366="F-120",6,IF(L366="F-150",7,0)))))),0),0)+IF(AND(O366="FIRE TEX 5120",OR(E366="IN",E366="C",E366="Z",E366="L"),J366=3),VLOOKUP(_xlfn.MINIFS('FIRE TEX 5120'!$B$5:$B$40,'FIRE TEX 5120'!$B$5:$B$40,"&gt;="&amp;M366),'FIRE TEX 5120'!$B$5:$G$40,IF(L366="F-15",2,IF(L366="F-30",3,IF(L366="F-60",4,IF(L366="F-90",5,IF(L366="F-120",6,0))))),0),0)+IF(AND(O366="FIRE TEX 5120",OR(E366="IN",E366="C",E366="Z",E366="L"),J366=4),VLOOKUP(_xlfn.MINIFS('FIRE TEX 5120'!$H$4:$H$40,'FIRE TEX 5120'!$H$4:$H$40,"&gt;="&amp;M366),'FIRE TEX 5120'!$H$4:$M$40,IF(L366="F-15",2,IF(L366="F-30",3,IF(L366="F-60",4,IF(L366="F-90",5,IF(L366="F-120",6,0))))),0),0)+IF(AND(O366="FIRE TEX 5120",E366="CJ"),VLOOKUP(_xlfn.MINIFS('FIRE TEX 5120'!$O$5:$O$40,'FIRE TEX 5120'!$O$5:$O$40,"&gt;="&amp;M366),'FIRE TEX 5120'!$O$5:$T$40,IF(L366="F-15",2,IF(L366="F-30",3,IF(L366="F-60",4,IF(L366="F-90",5,IF(L366="F-120",6,0))))),0),0)</f>
        <v>0</v>
      </c>
      <c r="Q366" s="46">
        <f t="shared" si="49"/>
        <v>0</v>
      </c>
      <c r="R366" s="46">
        <f t="shared" si="50"/>
        <v>0</v>
      </c>
      <c r="S366" s="46" t="e">
        <f t="shared" si="51"/>
        <v>#VALUE!</v>
      </c>
      <c r="T366" s="677">
        <f t="shared" si="52"/>
        <v>0</v>
      </c>
      <c r="U366" s="80">
        <f>(IF(O366="Stofire",(S366*#REF!),0))+(IF(O366="Fire Control",(S366*$U$2),0))+(IF(O366="Fire Tex",(S366*$U$3),0))+(IF(O366="WB7",(S366*#REF!),0)+(IF(O366="FX 2003",(S366*$U$5),0)))</f>
        <v>0</v>
      </c>
      <c r="V366" s="651">
        <f t="shared" si="53"/>
        <v>0</v>
      </c>
      <c r="W366" s="4"/>
    </row>
    <row r="367" spans="1:23" x14ac:dyDescent="0.25">
      <c r="D367" s="118">
        <f>+CUBICACION!D366</f>
        <v>0</v>
      </c>
      <c r="E367" s="118">
        <f>+CUBICACION!F366</f>
        <v>0</v>
      </c>
      <c r="F367" s="118">
        <f>+CUBICACION!E366</f>
        <v>0</v>
      </c>
      <c r="G367" s="118">
        <v>12</v>
      </c>
      <c r="H367" s="118">
        <v>2</v>
      </c>
      <c r="I367" s="820">
        <v>26385</v>
      </c>
      <c r="J367" s="118">
        <f>+CUBICACION!J366</f>
        <v>0</v>
      </c>
      <c r="K367" s="118">
        <v>3146</v>
      </c>
      <c r="L367" s="118">
        <f>+CUBICACION!L366</f>
        <v>0</v>
      </c>
      <c r="M367" s="64">
        <f>+CUBICACION!M366</f>
        <v>0</v>
      </c>
      <c r="N367" s="824" t="str">
        <f>+CUBICACION!N366</f>
        <v/>
      </c>
      <c r="O367" s="675">
        <f>+CUBICACION!O366</f>
        <v>0</v>
      </c>
      <c r="P367" s="15">
        <f>IF(O367="Fire Control",VLOOKUP(_xlfn.MINIFS('FIRE CONTROL'!$C$4:$C$37,'FIRE CONTROL'!$C$4:$C$37,"&gt;="&amp;M367),'FIRE CONTROL'!$C$4:$G$37,IF(L367="F-15",2,IF(L367="F-30",3,IF(L367="F-60",4,IF(L367="F-90",5,0)))),0),0)+IF(AND(O367="FIRE TEX 5062",OR(E367="IN",E367="C",E367="Z",E367="L"),J367=3),VLOOKUP(_xlfn.MINIFS('FIRE TEX 5062'!$B$4:$B$34,'FIRE TEX 5062'!$B$4:$B$34,"&gt;="&amp;M367),'FIRE TEX 5062'!$B$4:$F$34,IF(L367="F-15",2,IF(L367="F-30",3,IF(L367="F-60",4,IF(L367="F-90",5,0)))),0),0)+IF(AND(O367="FIRE TEX 5062",OR(E367="IN",E367="C",E367="Z",E367="L"),J367=4),VLOOKUP(_xlfn.MINIFS('FIRE TEX 5062'!$G$4:$G$34,'FIRE TEX 5062'!$G$4:$G$34,"&gt;="&amp;M367),'FIRE TEX 5062'!$G$4:$K$34,IF(L367="F-15",2,IF(L367="F-30",3,IF(L367="F-60",4,IF(L367="F-90",5,0)))),0),0)+IF(AND(O367="FIRE TEX 5062",E367="CJ",J367=3),VLOOKUP(_xlfn.MINIFS('FIRE TEX 5062'!$L$4:$L$34,'FIRE TEX 5062'!$L$4:$L$34,"&gt;="&amp;M367),'FIRE TEX 5062'!$L$4:$P$34,IF(L367="F-15",2,IF(L367="F-30",3,IF(L367="F-60",4,IF(L367="F-90",5,0)))),0),0)+IF(AND(O367="FIRE TEX 5062",E367="CJ",J367=4),VLOOKUP(_xlfn.MINIFS('FIRE TEX 5062'!$Q$3:$Q$34,'FIRE TEX 5062'!$Q$3:$Q$34,"&gt;="&amp;M367),'FIRE TEX 5062'!$Q$3:$U$34,IF(L367="F-15",2,IF(L367="F-30",3,IF(L367="F-60",4,IF(L367="F-90",5,0)))),0),0)+IF(AND(O367="FIRE TEX 5090",OR(E367="IN",E367="C",E367="Z",E367="L"),J367=3),VLOOKUP(_xlfn.MINIFS('FIRE TEX 5090'!$B$5:$B$43,'FIRE TEX 5090'!$B$5:$B$43,"&gt;="&amp;M367),'FIRE TEX 5090'!$B$5:$H$43,IF(L367="F-15",2,IF(L367="F-30",3,IF(L367="F-60",4,IF(L367="F-90",5,IF(L367="F-120",6,IF(L367="F-150",7,0)))))),0),0)+IF(AND(O367="FIRE TEX 5090",OR(E367="IN",E367="C",E367="Z",E367="L"),J367=4),VLOOKUP(_xlfn.MINIFS('FIRE TEX 5090'!$J$5:$J$43,'FIRE TEX 5090'!$J$5:$J$43,"&gt;="&amp;M367),'FIRE TEX 5090'!$J$5:$P$43,IF(L367="F-15",2,IF(L367="F-30",3,IF(L367="F-60",4,IF(L367="F-90",5,IF(L367="F-120",6,IF(L367="F-150",7,0)))))),0),0)+IF(AND(O367="FIRE TEX 5090",E367="CJ",J367=3),VLOOKUP(_xlfn.MINIFS('FIRE TEX 5090'!$R$5:$R$30,'FIRE TEX 5090'!$R$5:$R$30,"&gt;="&amp;M367),'FIRE TEX 5090'!$R$5:$W$30,IF(L367="F-15",2,IF(L367="F-30",3,IF(L367="F-60",4,IF(L367="F-90",5,IF(L367="F-120",6,IF(L367="F-150",7,0)))))),0),0)+IF(AND(O367="FIRE TEX 5090",E367="CJ",J367=4),VLOOKUP(_xlfn.MINIFS('FIRE TEX 5090'!$Y$5:$Y$39,'FIRE TEX 5090'!$Y$5:$Y$39,"&gt;="&amp;M367),'FIRE TEX 5090'!$Y$5:$AD$39,IF(L367="F-15",2,IF(L367="F-30",3,IF(L367="F-60",4,IF(L367="F-90",5,IF(L367="F-120",6,IF(L367="F-150",7,0)))))),0),0)+IF(AND(O367="FIRE TEX 5120",OR(E367="IN",E367="C",E367="Z",E367="L"),J367=3),VLOOKUP(_xlfn.MINIFS('FIRE TEX 5120'!$B$5:$B$40,'FIRE TEX 5120'!$B$5:$B$40,"&gt;="&amp;M367),'FIRE TEX 5120'!$B$5:$G$40,IF(L367="F-15",2,IF(L367="F-30",3,IF(L367="F-60",4,IF(L367="F-90",5,IF(L367="F-120",6,0))))),0),0)+IF(AND(O367="FIRE TEX 5120",OR(E367="IN",E367="C",E367="Z",E367="L"),J367=4),VLOOKUP(_xlfn.MINIFS('FIRE TEX 5120'!$H$4:$H$40,'FIRE TEX 5120'!$H$4:$H$40,"&gt;="&amp;M367),'FIRE TEX 5120'!$H$4:$M$40,IF(L367="F-15",2,IF(L367="F-30",3,IF(L367="F-60",4,IF(L367="F-90",5,IF(L367="F-120",6,0))))),0),0)+IF(AND(O367="FIRE TEX 5120",E367="CJ"),VLOOKUP(_xlfn.MINIFS('FIRE TEX 5120'!$O$5:$O$40,'FIRE TEX 5120'!$O$5:$O$40,"&gt;="&amp;M367),'FIRE TEX 5120'!$O$5:$T$40,IF(L367="F-15",2,IF(L367="F-30",3,IF(L367="F-60",4,IF(L367="F-90",5,IF(L367="F-120",6,0))))),0),0)</f>
        <v>0</v>
      </c>
      <c r="Q367" s="46">
        <f t="shared" si="49"/>
        <v>0</v>
      </c>
      <c r="R367" s="46">
        <f t="shared" si="50"/>
        <v>0</v>
      </c>
      <c r="S367" s="46" t="e">
        <f t="shared" si="51"/>
        <v>#VALUE!</v>
      </c>
      <c r="T367" s="677">
        <f t="shared" si="52"/>
        <v>0</v>
      </c>
      <c r="U367" s="80">
        <f>(IF(O367="Stofire",(S367*#REF!),0))+(IF(O367="Fire Control",(S367*$U$2),0))+(IF(O367="Fire Tex",(S367*$U$3),0))+(IF(O367="WB7",(S367*#REF!),0)+(IF(O367="FX 2003",(S367*$U$5),0)))</f>
        <v>0</v>
      </c>
      <c r="V367" s="651">
        <f t="shared" si="53"/>
        <v>0</v>
      </c>
      <c r="W367" s="4"/>
    </row>
    <row r="368" spans="1:23" x14ac:dyDescent="0.25">
      <c r="D368" s="118">
        <f>+CUBICACION!D367</f>
        <v>0</v>
      </c>
      <c r="E368" s="118">
        <f>+CUBICACION!F367</f>
        <v>0</v>
      </c>
      <c r="F368" s="118">
        <f>+CUBICACION!E367</f>
        <v>0</v>
      </c>
      <c r="G368" s="118">
        <v>12</v>
      </c>
      <c r="H368" s="118">
        <v>2</v>
      </c>
      <c r="I368" s="820">
        <v>26385</v>
      </c>
      <c r="J368" s="118">
        <f>+CUBICACION!J367</f>
        <v>0</v>
      </c>
      <c r="K368" s="118">
        <v>3147</v>
      </c>
      <c r="L368" s="118">
        <f>+CUBICACION!L367</f>
        <v>0</v>
      </c>
      <c r="M368" s="64">
        <f>+CUBICACION!M367</f>
        <v>0</v>
      </c>
      <c r="N368" s="824" t="str">
        <f>+CUBICACION!N367</f>
        <v/>
      </c>
      <c r="O368" s="675">
        <f>+CUBICACION!O367</f>
        <v>0</v>
      </c>
      <c r="P368" s="15">
        <f>IF(O368="Fire Control",VLOOKUP(_xlfn.MINIFS('FIRE CONTROL'!$C$4:$C$37,'FIRE CONTROL'!$C$4:$C$37,"&gt;="&amp;M368),'FIRE CONTROL'!$C$4:$G$37,IF(L368="F-15",2,IF(L368="F-30",3,IF(L368="F-60",4,IF(L368="F-90",5,0)))),0),0)+IF(AND(O368="FIRE TEX 5062",OR(E368="IN",E368="C",E368="Z",E368="L"),J368=3),VLOOKUP(_xlfn.MINIFS('FIRE TEX 5062'!$B$4:$B$34,'FIRE TEX 5062'!$B$4:$B$34,"&gt;="&amp;M368),'FIRE TEX 5062'!$B$4:$F$34,IF(L368="F-15",2,IF(L368="F-30",3,IF(L368="F-60",4,IF(L368="F-90",5,0)))),0),0)+IF(AND(O368="FIRE TEX 5062",OR(E368="IN",E368="C",E368="Z",E368="L"),J368=4),VLOOKUP(_xlfn.MINIFS('FIRE TEX 5062'!$G$4:$G$34,'FIRE TEX 5062'!$G$4:$G$34,"&gt;="&amp;M368),'FIRE TEX 5062'!$G$4:$K$34,IF(L368="F-15",2,IF(L368="F-30",3,IF(L368="F-60",4,IF(L368="F-90",5,0)))),0),0)+IF(AND(O368="FIRE TEX 5062",E368="CJ",J368=3),VLOOKUP(_xlfn.MINIFS('FIRE TEX 5062'!$L$4:$L$34,'FIRE TEX 5062'!$L$4:$L$34,"&gt;="&amp;M368),'FIRE TEX 5062'!$L$4:$P$34,IF(L368="F-15",2,IF(L368="F-30",3,IF(L368="F-60",4,IF(L368="F-90",5,0)))),0),0)+IF(AND(O368="FIRE TEX 5062",E368="CJ",J368=4),VLOOKUP(_xlfn.MINIFS('FIRE TEX 5062'!$Q$3:$Q$34,'FIRE TEX 5062'!$Q$3:$Q$34,"&gt;="&amp;M368),'FIRE TEX 5062'!$Q$3:$U$34,IF(L368="F-15",2,IF(L368="F-30",3,IF(L368="F-60",4,IF(L368="F-90",5,0)))),0),0)+IF(AND(O368="FIRE TEX 5090",OR(E368="IN",E368="C",E368="Z",E368="L"),J368=3),VLOOKUP(_xlfn.MINIFS('FIRE TEX 5090'!$B$5:$B$43,'FIRE TEX 5090'!$B$5:$B$43,"&gt;="&amp;M368),'FIRE TEX 5090'!$B$5:$H$43,IF(L368="F-15",2,IF(L368="F-30",3,IF(L368="F-60",4,IF(L368="F-90",5,IF(L368="F-120",6,IF(L368="F-150",7,0)))))),0),0)+IF(AND(O368="FIRE TEX 5090",OR(E368="IN",E368="C",E368="Z",E368="L"),J368=4),VLOOKUP(_xlfn.MINIFS('FIRE TEX 5090'!$J$5:$J$43,'FIRE TEX 5090'!$J$5:$J$43,"&gt;="&amp;M368),'FIRE TEX 5090'!$J$5:$P$43,IF(L368="F-15",2,IF(L368="F-30",3,IF(L368="F-60",4,IF(L368="F-90",5,IF(L368="F-120",6,IF(L368="F-150",7,0)))))),0),0)+IF(AND(O368="FIRE TEX 5090",E368="CJ",J368=3),VLOOKUP(_xlfn.MINIFS('FIRE TEX 5090'!$R$5:$R$30,'FIRE TEX 5090'!$R$5:$R$30,"&gt;="&amp;M368),'FIRE TEX 5090'!$R$5:$W$30,IF(L368="F-15",2,IF(L368="F-30",3,IF(L368="F-60",4,IF(L368="F-90",5,IF(L368="F-120",6,IF(L368="F-150",7,0)))))),0),0)+IF(AND(O368="FIRE TEX 5090",E368="CJ",J368=4),VLOOKUP(_xlfn.MINIFS('FIRE TEX 5090'!$Y$5:$Y$39,'FIRE TEX 5090'!$Y$5:$Y$39,"&gt;="&amp;M368),'FIRE TEX 5090'!$Y$5:$AD$39,IF(L368="F-15",2,IF(L368="F-30",3,IF(L368="F-60",4,IF(L368="F-90",5,IF(L368="F-120",6,IF(L368="F-150",7,0)))))),0),0)+IF(AND(O368="FIRE TEX 5120",OR(E368="IN",E368="C",E368="Z",E368="L"),J368=3),VLOOKUP(_xlfn.MINIFS('FIRE TEX 5120'!$B$5:$B$40,'FIRE TEX 5120'!$B$5:$B$40,"&gt;="&amp;M368),'FIRE TEX 5120'!$B$5:$G$40,IF(L368="F-15",2,IF(L368="F-30",3,IF(L368="F-60",4,IF(L368="F-90",5,IF(L368="F-120",6,0))))),0),0)+IF(AND(O368="FIRE TEX 5120",OR(E368="IN",E368="C",E368="Z",E368="L"),J368=4),VLOOKUP(_xlfn.MINIFS('FIRE TEX 5120'!$H$4:$H$40,'FIRE TEX 5120'!$H$4:$H$40,"&gt;="&amp;M368),'FIRE TEX 5120'!$H$4:$M$40,IF(L368="F-15",2,IF(L368="F-30",3,IF(L368="F-60",4,IF(L368="F-90",5,IF(L368="F-120",6,0))))),0),0)+IF(AND(O368="FIRE TEX 5120",E368="CJ"),VLOOKUP(_xlfn.MINIFS('FIRE TEX 5120'!$O$5:$O$40,'FIRE TEX 5120'!$O$5:$O$40,"&gt;="&amp;M368),'FIRE TEX 5120'!$O$5:$T$40,IF(L368="F-15",2,IF(L368="F-30",3,IF(L368="F-60",4,IF(L368="F-90",5,IF(L368="F-120",6,0))))),0),0)</f>
        <v>0</v>
      </c>
      <c r="Q368" s="46">
        <f t="shared" si="49"/>
        <v>0</v>
      </c>
      <c r="R368" s="46">
        <f t="shared" si="50"/>
        <v>0</v>
      </c>
      <c r="S368" s="46" t="e">
        <f t="shared" si="51"/>
        <v>#VALUE!</v>
      </c>
      <c r="T368" s="677">
        <f t="shared" si="52"/>
        <v>0</v>
      </c>
      <c r="U368" s="80">
        <f>(IF(O368="Stofire",(S368*#REF!),0))+(IF(O368="Fire Control",(S368*$U$2),0))+(IF(O368="Fire Tex",(S368*$U$3),0))+(IF(O368="WB7",(S368*#REF!),0)+(IF(O368="FX 2003",(S368*$U$5),0)))</f>
        <v>0</v>
      </c>
      <c r="V368" s="651">
        <f t="shared" si="53"/>
        <v>0</v>
      </c>
      <c r="W368" s="4"/>
    </row>
    <row r="369" spans="4:23" x14ac:dyDescent="0.25">
      <c r="D369" s="118">
        <f>+CUBICACION!D368</f>
        <v>0</v>
      </c>
      <c r="E369" s="118">
        <f>+CUBICACION!F368</f>
        <v>0</v>
      </c>
      <c r="F369" s="118">
        <f>+CUBICACION!E368</f>
        <v>0</v>
      </c>
      <c r="G369" s="118">
        <v>12</v>
      </c>
      <c r="H369" s="118">
        <v>2</v>
      </c>
      <c r="I369" s="820">
        <v>26385</v>
      </c>
      <c r="J369" s="118">
        <f>+CUBICACION!J368</f>
        <v>0</v>
      </c>
      <c r="K369" s="118">
        <v>3148</v>
      </c>
      <c r="L369" s="118">
        <f>+CUBICACION!L368</f>
        <v>0</v>
      </c>
      <c r="M369" s="64">
        <f>+CUBICACION!M368</f>
        <v>0</v>
      </c>
      <c r="N369" s="824" t="str">
        <f>+CUBICACION!N368</f>
        <v/>
      </c>
      <c r="O369" s="675">
        <f>+CUBICACION!O368</f>
        <v>0</v>
      </c>
      <c r="P369" s="15">
        <f>IF(O369="Fire Control",VLOOKUP(_xlfn.MINIFS('FIRE CONTROL'!$C$4:$C$37,'FIRE CONTROL'!$C$4:$C$37,"&gt;="&amp;M369),'FIRE CONTROL'!$C$4:$G$37,IF(L369="F-15",2,IF(L369="F-30",3,IF(L369="F-60",4,IF(L369="F-90",5,0)))),0),0)+IF(AND(O369="FIRE TEX 5062",OR(E369="IN",E369="C",E369="Z",E369="L"),J369=3),VLOOKUP(_xlfn.MINIFS('FIRE TEX 5062'!$B$4:$B$34,'FIRE TEX 5062'!$B$4:$B$34,"&gt;="&amp;M369),'FIRE TEX 5062'!$B$4:$F$34,IF(L369="F-15",2,IF(L369="F-30",3,IF(L369="F-60",4,IF(L369="F-90",5,0)))),0),0)+IF(AND(O369="FIRE TEX 5062",OR(E369="IN",E369="C",E369="Z",E369="L"),J369=4),VLOOKUP(_xlfn.MINIFS('FIRE TEX 5062'!$G$4:$G$34,'FIRE TEX 5062'!$G$4:$G$34,"&gt;="&amp;M369),'FIRE TEX 5062'!$G$4:$K$34,IF(L369="F-15",2,IF(L369="F-30",3,IF(L369="F-60",4,IF(L369="F-90",5,0)))),0),0)+IF(AND(O369="FIRE TEX 5062",E369="CJ",J369=3),VLOOKUP(_xlfn.MINIFS('FIRE TEX 5062'!$L$4:$L$34,'FIRE TEX 5062'!$L$4:$L$34,"&gt;="&amp;M369),'FIRE TEX 5062'!$L$4:$P$34,IF(L369="F-15",2,IF(L369="F-30",3,IF(L369="F-60",4,IF(L369="F-90",5,0)))),0),0)+IF(AND(O369="FIRE TEX 5062",E369="CJ",J369=4),VLOOKUP(_xlfn.MINIFS('FIRE TEX 5062'!$Q$3:$Q$34,'FIRE TEX 5062'!$Q$3:$Q$34,"&gt;="&amp;M369),'FIRE TEX 5062'!$Q$3:$U$34,IF(L369="F-15",2,IF(L369="F-30",3,IF(L369="F-60",4,IF(L369="F-90",5,0)))),0),0)+IF(AND(O369="FIRE TEX 5090",OR(E369="IN",E369="C",E369="Z",E369="L"),J369=3),VLOOKUP(_xlfn.MINIFS('FIRE TEX 5090'!$B$5:$B$43,'FIRE TEX 5090'!$B$5:$B$43,"&gt;="&amp;M369),'FIRE TEX 5090'!$B$5:$H$43,IF(L369="F-15",2,IF(L369="F-30",3,IF(L369="F-60",4,IF(L369="F-90",5,IF(L369="F-120",6,IF(L369="F-150",7,0)))))),0),0)+IF(AND(O369="FIRE TEX 5090",OR(E369="IN",E369="C",E369="Z",E369="L"),J369=4),VLOOKUP(_xlfn.MINIFS('FIRE TEX 5090'!$J$5:$J$43,'FIRE TEX 5090'!$J$5:$J$43,"&gt;="&amp;M369),'FIRE TEX 5090'!$J$5:$P$43,IF(L369="F-15",2,IF(L369="F-30",3,IF(L369="F-60",4,IF(L369="F-90",5,IF(L369="F-120",6,IF(L369="F-150",7,0)))))),0),0)+IF(AND(O369="FIRE TEX 5090",E369="CJ",J369=3),VLOOKUP(_xlfn.MINIFS('FIRE TEX 5090'!$R$5:$R$30,'FIRE TEX 5090'!$R$5:$R$30,"&gt;="&amp;M369),'FIRE TEX 5090'!$R$5:$W$30,IF(L369="F-15",2,IF(L369="F-30",3,IF(L369="F-60",4,IF(L369="F-90",5,IF(L369="F-120",6,IF(L369="F-150",7,0)))))),0),0)+IF(AND(O369="FIRE TEX 5090",E369="CJ",J369=4),VLOOKUP(_xlfn.MINIFS('FIRE TEX 5090'!$Y$5:$Y$39,'FIRE TEX 5090'!$Y$5:$Y$39,"&gt;="&amp;M369),'FIRE TEX 5090'!$Y$5:$AD$39,IF(L369="F-15",2,IF(L369="F-30",3,IF(L369="F-60",4,IF(L369="F-90",5,IF(L369="F-120",6,IF(L369="F-150",7,0)))))),0),0)+IF(AND(O369="FIRE TEX 5120",OR(E369="IN",E369="C",E369="Z",E369="L"),J369=3),VLOOKUP(_xlfn.MINIFS('FIRE TEX 5120'!$B$5:$B$40,'FIRE TEX 5120'!$B$5:$B$40,"&gt;="&amp;M369),'FIRE TEX 5120'!$B$5:$G$40,IF(L369="F-15",2,IF(L369="F-30",3,IF(L369="F-60",4,IF(L369="F-90",5,IF(L369="F-120",6,0))))),0),0)+IF(AND(O369="FIRE TEX 5120",OR(E369="IN",E369="C",E369="Z",E369="L"),J369=4),VLOOKUP(_xlfn.MINIFS('FIRE TEX 5120'!$H$4:$H$40,'FIRE TEX 5120'!$H$4:$H$40,"&gt;="&amp;M369),'FIRE TEX 5120'!$H$4:$M$40,IF(L369="F-15",2,IF(L369="F-30",3,IF(L369="F-60",4,IF(L369="F-90",5,IF(L369="F-120",6,0))))),0),0)+IF(AND(O369="FIRE TEX 5120",E369="CJ"),VLOOKUP(_xlfn.MINIFS('FIRE TEX 5120'!$O$5:$O$40,'FIRE TEX 5120'!$O$5:$O$40,"&gt;="&amp;M369),'FIRE TEX 5120'!$O$5:$T$40,IF(L369="F-15",2,IF(L369="F-30",3,IF(L369="F-60",4,IF(L369="F-90",5,IF(L369="F-120",6,0))))),0),0)</f>
        <v>0</v>
      </c>
      <c r="Q369" s="46">
        <f t="shared" si="49"/>
        <v>0</v>
      </c>
      <c r="R369" s="46">
        <f t="shared" si="50"/>
        <v>0</v>
      </c>
      <c r="S369" s="46" t="e">
        <f t="shared" si="51"/>
        <v>#VALUE!</v>
      </c>
      <c r="T369" s="677">
        <f t="shared" si="52"/>
        <v>0</v>
      </c>
      <c r="U369" s="80">
        <f>(IF(O369="Stofire",(S369*#REF!),0))+(IF(O369="Fire Control",(S369*$U$2),0))+(IF(O369="Fire Tex",(S369*$U$3),0))+(IF(O369="WB7",(S369*#REF!),0)+(IF(O369="FX 2003",(S369*$U$5),0)))</f>
        <v>0</v>
      </c>
      <c r="V369" s="651">
        <f t="shared" si="53"/>
        <v>0</v>
      </c>
      <c r="W369" s="4"/>
    </row>
    <row r="370" spans="4:23" x14ac:dyDescent="0.25">
      <c r="D370" s="118">
        <f>+CUBICACION!D369</f>
        <v>0</v>
      </c>
      <c r="E370" s="118">
        <f>+CUBICACION!F369</f>
        <v>0</v>
      </c>
      <c r="F370" s="118">
        <f>+CUBICACION!E369</f>
        <v>0</v>
      </c>
      <c r="G370" s="118">
        <v>12</v>
      </c>
      <c r="H370" s="118">
        <v>2</v>
      </c>
      <c r="I370" s="820">
        <v>26385</v>
      </c>
      <c r="J370" s="118">
        <f>+CUBICACION!J369</f>
        <v>0</v>
      </c>
      <c r="K370" s="118">
        <v>3149</v>
      </c>
      <c r="L370" s="118">
        <f>+CUBICACION!L369</f>
        <v>0</v>
      </c>
      <c r="M370" s="64">
        <f>+CUBICACION!M369</f>
        <v>0</v>
      </c>
      <c r="N370" s="824" t="str">
        <f>+CUBICACION!N369</f>
        <v/>
      </c>
      <c r="O370" s="675">
        <f>+CUBICACION!O369</f>
        <v>0</v>
      </c>
      <c r="P370" s="15">
        <f>IF(O370="Fire Control",VLOOKUP(_xlfn.MINIFS('FIRE CONTROL'!$C$4:$C$37,'FIRE CONTROL'!$C$4:$C$37,"&gt;="&amp;M370),'FIRE CONTROL'!$C$4:$G$37,IF(L370="F-15",2,IF(L370="F-30",3,IF(L370="F-60",4,IF(L370="F-90",5,0)))),0),0)+IF(AND(O370="FIRE TEX 5062",OR(E370="IN",E370="C",E370="Z",E370="L"),J370=3),VLOOKUP(_xlfn.MINIFS('FIRE TEX 5062'!$B$4:$B$34,'FIRE TEX 5062'!$B$4:$B$34,"&gt;="&amp;M370),'FIRE TEX 5062'!$B$4:$F$34,IF(L370="F-15",2,IF(L370="F-30",3,IF(L370="F-60",4,IF(L370="F-90",5,0)))),0),0)+IF(AND(O370="FIRE TEX 5062",OR(E370="IN",E370="C",E370="Z",E370="L"),J370=4),VLOOKUP(_xlfn.MINIFS('FIRE TEX 5062'!$G$4:$G$34,'FIRE TEX 5062'!$G$4:$G$34,"&gt;="&amp;M370),'FIRE TEX 5062'!$G$4:$K$34,IF(L370="F-15",2,IF(L370="F-30",3,IF(L370="F-60",4,IF(L370="F-90",5,0)))),0),0)+IF(AND(O370="FIRE TEX 5062",E370="CJ",J370=3),VLOOKUP(_xlfn.MINIFS('FIRE TEX 5062'!$L$4:$L$34,'FIRE TEX 5062'!$L$4:$L$34,"&gt;="&amp;M370),'FIRE TEX 5062'!$L$4:$P$34,IF(L370="F-15",2,IF(L370="F-30",3,IF(L370="F-60",4,IF(L370="F-90",5,0)))),0),0)+IF(AND(O370="FIRE TEX 5062",E370="CJ",J370=4),VLOOKUP(_xlfn.MINIFS('FIRE TEX 5062'!$Q$3:$Q$34,'FIRE TEX 5062'!$Q$3:$Q$34,"&gt;="&amp;M370),'FIRE TEX 5062'!$Q$3:$U$34,IF(L370="F-15",2,IF(L370="F-30",3,IF(L370="F-60",4,IF(L370="F-90",5,0)))),0),0)+IF(AND(O370="FIRE TEX 5090",OR(E370="IN",E370="C",E370="Z",E370="L"),J370=3),VLOOKUP(_xlfn.MINIFS('FIRE TEX 5090'!$B$5:$B$43,'FIRE TEX 5090'!$B$5:$B$43,"&gt;="&amp;M370),'FIRE TEX 5090'!$B$5:$H$43,IF(L370="F-15",2,IF(L370="F-30",3,IF(L370="F-60",4,IF(L370="F-90",5,IF(L370="F-120",6,IF(L370="F-150",7,0)))))),0),0)+IF(AND(O370="FIRE TEX 5090",OR(E370="IN",E370="C",E370="Z",E370="L"),J370=4),VLOOKUP(_xlfn.MINIFS('FIRE TEX 5090'!$J$5:$J$43,'FIRE TEX 5090'!$J$5:$J$43,"&gt;="&amp;M370),'FIRE TEX 5090'!$J$5:$P$43,IF(L370="F-15",2,IF(L370="F-30",3,IF(L370="F-60",4,IF(L370="F-90",5,IF(L370="F-120",6,IF(L370="F-150",7,0)))))),0),0)+IF(AND(O370="FIRE TEX 5090",E370="CJ",J370=3),VLOOKUP(_xlfn.MINIFS('FIRE TEX 5090'!$R$5:$R$30,'FIRE TEX 5090'!$R$5:$R$30,"&gt;="&amp;M370),'FIRE TEX 5090'!$R$5:$W$30,IF(L370="F-15",2,IF(L370="F-30",3,IF(L370="F-60",4,IF(L370="F-90",5,IF(L370="F-120",6,IF(L370="F-150",7,0)))))),0),0)+IF(AND(O370="FIRE TEX 5090",E370="CJ",J370=4),VLOOKUP(_xlfn.MINIFS('FIRE TEX 5090'!$Y$5:$Y$39,'FIRE TEX 5090'!$Y$5:$Y$39,"&gt;="&amp;M370),'FIRE TEX 5090'!$Y$5:$AD$39,IF(L370="F-15",2,IF(L370="F-30",3,IF(L370="F-60",4,IF(L370="F-90",5,IF(L370="F-120",6,IF(L370="F-150",7,0)))))),0),0)+IF(AND(O370="FIRE TEX 5120",OR(E370="IN",E370="C",E370="Z",E370="L"),J370=3),VLOOKUP(_xlfn.MINIFS('FIRE TEX 5120'!$B$5:$B$40,'FIRE TEX 5120'!$B$5:$B$40,"&gt;="&amp;M370),'FIRE TEX 5120'!$B$5:$G$40,IF(L370="F-15",2,IF(L370="F-30",3,IF(L370="F-60",4,IF(L370="F-90",5,IF(L370="F-120",6,0))))),0),0)+IF(AND(O370="FIRE TEX 5120",OR(E370="IN",E370="C",E370="Z",E370="L"),J370=4),VLOOKUP(_xlfn.MINIFS('FIRE TEX 5120'!$H$4:$H$40,'FIRE TEX 5120'!$H$4:$H$40,"&gt;="&amp;M370),'FIRE TEX 5120'!$H$4:$M$40,IF(L370="F-15",2,IF(L370="F-30",3,IF(L370="F-60",4,IF(L370="F-90",5,IF(L370="F-120",6,0))))),0),0)+IF(AND(O370="FIRE TEX 5120",E370="CJ"),VLOOKUP(_xlfn.MINIFS('FIRE TEX 5120'!$O$5:$O$40,'FIRE TEX 5120'!$O$5:$O$40,"&gt;="&amp;M370),'FIRE TEX 5120'!$O$5:$T$40,IF(L370="F-15",2,IF(L370="F-30",3,IF(L370="F-60",4,IF(L370="F-90",5,IF(L370="F-120",6,0))))),0),0)</f>
        <v>0</v>
      </c>
      <c r="Q370" s="46">
        <f t="shared" si="49"/>
        <v>0</v>
      </c>
      <c r="R370" s="46">
        <f t="shared" si="50"/>
        <v>0</v>
      </c>
      <c r="S370" s="46" t="e">
        <f t="shared" si="51"/>
        <v>#VALUE!</v>
      </c>
      <c r="T370" s="677">
        <f t="shared" si="52"/>
        <v>0</v>
      </c>
      <c r="U370" s="80">
        <f>(IF(O370="Stofire",(S370*#REF!),0))+(IF(O370="Fire Control",(S370*$U$2),0))+(IF(O370="Fire Tex",(S370*$U$3),0))+(IF(O370="WB7",(S370*#REF!),0)+(IF(O370="FX 2003",(S370*$U$5),0)))</f>
        <v>0</v>
      </c>
      <c r="V370" s="651">
        <f t="shared" si="53"/>
        <v>0</v>
      </c>
      <c r="W370" s="4"/>
    </row>
    <row r="371" spans="4:23" x14ac:dyDescent="0.25">
      <c r="D371" s="118">
        <f>+CUBICACION!D370</f>
        <v>0</v>
      </c>
      <c r="E371" s="118">
        <f>+CUBICACION!F370</f>
        <v>0</v>
      </c>
      <c r="F371" s="118">
        <f>+CUBICACION!E370</f>
        <v>0</v>
      </c>
      <c r="G371" s="118">
        <v>12</v>
      </c>
      <c r="H371" s="118">
        <v>2</v>
      </c>
      <c r="I371" s="820">
        <v>26385</v>
      </c>
      <c r="J371" s="118">
        <f>+CUBICACION!J370</f>
        <v>0</v>
      </c>
      <c r="K371" s="118">
        <v>3150</v>
      </c>
      <c r="L371" s="118">
        <f>+CUBICACION!L370</f>
        <v>0</v>
      </c>
      <c r="M371" s="64">
        <f>+CUBICACION!M370</f>
        <v>0</v>
      </c>
      <c r="N371" s="824" t="str">
        <f>+CUBICACION!N370</f>
        <v/>
      </c>
      <c r="O371" s="675">
        <f>+CUBICACION!O370</f>
        <v>0</v>
      </c>
      <c r="P371" s="15">
        <f>IF(O371="Fire Control",VLOOKUP(_xlfn.MINIFS('FIRE CONTROL'!$C$4:$C$37,'FIRE CONTROL'!$C$4:$C$37,"&gt;="&amp;M371),'FIRE CONTROL'!$C$4:$G$37,IF(L371="F-15",2,IF(L371="F-30",3,IF(L371="F-60",4,IF(L371="F-90",5,0)))),0),0)+IF(AND(O371="FIRE TEX 5062",OR(E371="IN",E371="C",E371="Z",E371="L"),J371=3),VLOOKUP(_xlfn.MINIFS('FIRE TEX 5062'!$B$4:$B$34,'FIRE TEX 5062'!$B$4:$B$34,"&gt;="&amp;M371),'FIRE TEX 5062'!$B$4:$F$34,IF(L371="F-15",2,IF(L371="F-30",3,IF(L371="F-60",4,IF(L371="F-90",5,0)))),0),0)+IF(AND(O371="FIRE TEX 5062",OR(E371="IN",E371="C",E371="Z",E371="L"),J371=4),VLOOKUP(_xlfn.MINIFS('FIRE TEX 5062'!$G$4:$G$34,'FIRE TEX 5062'!$G$4:$G$34,"&gt;="&amp;M371),'FIRE TEX 5062'!$G$4:$K$34,IF(L371="F-15",2,IF(L371="F-30",3,IF(L371="F-60",4,IF(L371="F-90",5,0)))),0),0)+IF(AND(O371="FIRE TEX 5062",E371="CJ",J371=3),VLOOKUP(_xlfn.MINIFS('FIRE TEX 5062'!$L$4:$L$34,'FIRE TEX 5062'!$L$4:$L$34,"&gt;="&amp;M371),'FIRE TEX 5062'!$L$4:$P$34,IF(L371="F-15",2,IF(L371="F-30",3,IF(L371="F-60",4,IF(L371="F-90",5,0)))),0),0)+IF(AND(O371="FIRE TEX 5062",E371="CJ",J371=4),VLOOKUP(_xlfn.MINIFS('FIRE TEX 5062'!$Q$3:$Q$34,'FIRE TEX 5062'!$Q$3:$Q$34,"&gt;="&amp;M371),'FIRE TEX 5062'!$Q$3:$U$34,IF(L371="F-15",2,IF(L371="F-30",3,IF(L371="F-60",4,IF(L371="F-90",5,0)))),0),0)+IF(AND(O371="FIRE TEX 5090",OR(E371="IN",E371="C",E371="Z",E371="L"),J371=3),VLOOKUP(_xlfn.MINIFS('FIRE TEX 5090'!$B$5:$B$43,'FIRE TEX 5090'!$B$5:$B$43,"&gt;="&amp;M371),'FIRE TEX 5090'!$B$5:$H$43,IF(L371="F-15",2,IF(L371="F-30",3,IF(L371="F-60",4,IF(L371="F-90",5,IF(L371="F-120",6,IF(L371="F-150",7,0)))))),0),0)+IF(AND(O371="FIRE TEX 5090",OR(E371="IN",E371="C",E371="Z",E371="L"),J371=4),VLOOKUP(_xlfn.MINIFS('FIRE TEX 5090'!$J$5:$J$43,'FIRE TEX 5090'!$J$5:$J$43,"&gt;="&amp;M371),'FIRE TEX 5090'!$J$5:$P$43,IF(L371="F-15",2,IF(L371="F-30",3,IF(L371="F-60",4,IF(L371="F-90",5,IF(L371="F-120",6,IF(L371="F-150",7,0)))))),0),0)+IF(AND(O371="FIRE TEX 5090",E371="CJ",J371=3),VLOOKUP(_xlfn.MINIFS('FIRE TEX 5090'!$R$5:$R$30,'FIRE TEX 5090'!$R$5:$R$30,"&gt;="&amp;M371),'FIRE TEX 5090'!$R$5:$W$30,IF(L371="F-15",2,IF(L371="F-30",3,IF(L371="F-60",4,IF(L371="F-90",5,IF(L371="F-120",6,IF(L371="F-150",7,0)))))),0),0)+IF(AND(O371="FIRE TEX 5090",E371="CJ",J371=4),VLOOKUP(_xlfn.MINIFS('FIRE TEX 5090'!$Y$5:$Y$39,'FIRE TEX 5090'!$Y$5:$Y$39,"&gt;="&amp;M371),'FIRE TEX 5090'!$Y$5:$AD$39,IF(L371="F-15",2,IF(L371="F-30",3,IF(L371="F-60",4,IF(L371="F-90",5,IF(L371="F-120",6,IF(L371="F-150",7,0)))))),0),0)+IF(AND(O371="FIRE TEX 5120",OR(E371="IN",E371="C",E371="Z",E371="L"),J371=3),VLOOKUP(_xlfn.MINIFS('FIRE TEX 5120'!$B$5:$B$40,'FIRE TEX 5120'!$B$5:$B$40,"&gt;="&amp;M371),'FIRE TEX 5120'!$B$5:$G$40,IF(L371="F-15",2,IF(L371="F-30",3,IF(L371="F-60",4,IF(L371="F-90",5,IF(L371="F-120",6,0))))),0),0)+IF(AND(O371="FIRE TEX 5120",OR(E371="IN",E371="C",E371="Z",E371="L"),J371=4),VLOOKUP(_xlfn.MINIFS('FIRE TEX 5120'!$H$4:$H$40,'FIRE TEX 5120'!$H$4:$H$40,"&gt;="&amp;M371),'FIRE TEX 5120'!$H$4:$M$40,IF(L371="F-15",2,IF(L371="F-30",3,IF(L371="F-60",4,IF(L371="F-90",5,IF(L371="F-120",6,0))))),0),0)+IF(AND(O371="FIRE TEX 5120",E371="CJ"),VLOOKUP(_xlfn.MINIFS('FIRE TEX 5120'!$O$5:$O$40,'FIRE TEX 5120'!$O$5:$O$40,"&gt;="&amp;M371),'FIRE TEX 5120'!$O$5:$T$40,IF(L371="F-15",2,IF(L371="F-30",3,IF(L371="F-60",4,IF(L371="F-90",5,IF(L371="F-120",6,0))))),0),0)</f>
        <v>0</v>
      </c>
      <c r="Q371" s="46">
        <f t="shared" si="49"/>
        <v>0</v>
      </c>
      <c r="R371" s="46">
        <f t="shared" si="50"/>
        <v>0</v>
      </c>
      <c r="S371" s="46" t="e">
        <f t="shared" si="51"/>
        <v>#VALUE!</v>
      </c>
      <c r="T371" s="677">
        <f t="shared" si="52"/>
        <v>0</v>
      </c>
      <c r="U371" s="80">
        <f>(IF(O371="Stofire",(S371*#REF!),0))+(IF(O371="Fire Control",(S371*$U$2),0))+(IF(O371="Fire Tex",(S371*$U$3),0))+(IF(O371="WB7",(S371*#REF!),0)+(IF(O371="FX 2003",(S371*$U$5),0)))</f>
        <v>0</v>
      </c>
      <c r="V371" s="651">
        <f t="shared" si="53"/>
        <v>0</v>
      </c>
      <c r="W371" s="4"/>
    </row>
    <row r="372" spans="4:23" x14ac:dyDescent="0.25">
      <c r="D372" s="118">
        <f>+CUBICACION!D371</f>
        <v>0</v>
      </c>
      <c r="E372" s="118">
        <f>+CUBICACION!F371</f>
        <v>0</v>
      </c>
      <c r="F372" s="118">
        <f>+CUBICACION!E371</f>
        <v>0</v>
      </c>
      <c r="G372" s="118">
        <v>12</v>
      </c>
      <c r="H372" s="118">
        <v>2</v>
      </c>
      <c r="I372" s="820">
        <v>26385</v>
      </c>
      <c r="J372" s="118">
        <f>+CUBICACION!J371</f>
        <v>0</v>
      </c>
      <c r="K372" s="118">
        <v>3151</v>
      </c>
      <c r="L372" s="118">
        <f>+CUBICACION!L371</f>
        <v>0</v>
      </c>
      <c r="M372" s="64">
        <f>+CUBICACION!M371</f>
        <v>0</v>
      </c>
      <c r="N372" s="824" t="str">
        <f>+CUBICACION!N371</f>
        <v/>
      </c>
      <c r="O372" s="675">
        <f>+CUBICACION!O371</f>
        <v>0</v>
      </c>
      <c r="P372" s="15">
        <f>IF(O372="Fire Control",VLOOKUP(_xlfn.MINIFS('FIRE CONTROL'!$C$4:$C$37,'FIRE CONTROL'!$C$4:$C$37,"&gt;="&amp;M372),'FIRE CONTROL'!$C$4:$G$37,IF(L372="F-15",2,IF(L372="F-30",3,IF(L372="F-60",4,IF(L372="F-90",5,0)))),0),0)+IF(AND(O372="FIRE TEX 5062",OR(E372="IN",E372="C",E372="Z",E372="L"),J372=3),VLOOKUP(_xlfn.MINIFS('FIRE TEX 5062'!$B$4:$B$34,'FIRE TEX 5062'!$B$4:$B$34,"&gt;="&amp;M372),'FIRE TEX 5062'!$B$4:$F$34,IF(L372="F-15",2,IF(L372="F-30",3,IF(L372="F-60",4,IF(L372="F-90",5,0)))),0),0)+IF(AND(O372="FIRE TEX 5062",OR(E372="IN",E372="C",E372="Z",E372="L"),J372=4),VLOOKUP(_xlfn.MINIFS('FIRE TEX 5062'!$G$4:$G$34,'FIRE TEX 5062'!$G$4:$G$34,"&gt;="&amp;M372),'FIRE TEX 5062'!$G$4:$K$34,IF(L372="F-15",2,IF(L372="F-30",3,IF(L372="F-60",4,IF(L372="F-90",5,0)))),0),0)+IF(AND(O372="FIRE TEX 5062",E372="CJ",J372=3),VLOOKUP(_xlfn.MINIFS('FIRE TEX 5062'!$L$4:$L$34,'FIRE TEX 5062'!$L$4:$L$34,"&gt;="&amp;M372),'FIRE TEX 5062'!$L$4:$P$34,IF(L372="F-15",2,IF(L372="F-30",3,IF(L372="F-60",4,IF(L372="F-90",5,0)))),0),0)+IF(AND(O372="FIRE TEX 5062",E372="CJ",J372=4),VLOOKUP(_xlfn.MINIFS('FIRE TEX 5062'!$Q$3:$Q$34,'FIRE TEX 5062'!$Q$3:$Q$34,"&gt;="&amp;M372),'FIRE TEX 5062'!$Q$3:$U$34,IF(L372="F-15",2,IF(L372="F-30",3,IF(L372="F-60",4,IF(L372="F-90",5,0)))),0),0)+IF(AND(O372="FIRE TEX 5090",OR(E372="IN",E372="C",E372="Z",E372="L"),J372=3),VLOOKUP(_xlfn.MINIFS('FIRE TEX 5090'!$B$5:$B$43,'FIRE TEX 5090'!$B$5:$B$43,"&gt;="&amp;M372),'FIRE TEX 5090'!$B$5:$H$43,IF(L372="F-15",2,IF(L372="F-30",3,IF(L372="F-60",4,IF(L372="F-90",5,IF(L372="F-120",6,IF(L372="F-150",7,0)))))),0),0)+IF(AND(O372="FIRE TEX 5090",OR(E372="IN",E372="C",E372="Z",E372="L"),J372=4),VLOOKUP(_xlfn.MINIFS('FIRE TEX 5090'!$J$5:$J$43,'FIRE TEX 5090'!$J$5:$J$43,"&gt;="&amp;M372),'FIRE TEX 5090'!$J$5:$P$43,IF(L372="F-15",2,IF(L372="F-30",3,IF(L372="F-60",4,IF(L372="F-90",5,IF(L372="F-120",6,IF(L372="F-150",7,0)))))),0),0)+IF(AND(O372="FIRE TEX 5090",E372="CJ",J372=3),VLOOKUP(_xlfn.MINIFS('FIRE TEX 5090'!$R$5:$R$30,'FIRE TEX 5090'!$R$5:$R$30,"&gt;="&amp;M372),'FIRE TEX 5090'!$R$5:$W$30,IF(L372="F-15",2,IF(L372="F-30",3,IF(L372="F-60",4,IF(L372="F-90",5,IF(L372="F-120",6,IF(L372="F-150",7,0)))))),0),0)+IF(AND(O372="FIRE TEX 5090",E372="CJ",J372=4),VLOOKUP(_xlfn.MINIFS('FIRE TEX 5090'!$Y$5:$Y$39,'FIRE TEX 5090'!$Y$5:$Y$39,"&gt;="&amp;M372),'FIRE TEX 5090'!$Y$5:$AD$39,IF(L372="F-15",2,IF(L372="F-30",3,IF(L372="F-60",4,IF(L372="F-90",5,IF(L372="F-120",6,IF(L372="F-150",7,0)))))),0),0)+IF(AND(O372="FIRE TEX 5120",OR(E372="IN",E372="C",E372="Z",E372="L"),J372=3),VLOOKUP(_xlfn.MINIFS('FIRE TEX 5120'!$B$5:$B$40,'FIRE TEX 5120'!$B$5:$B$40,"&gt;="&amp;M372),'FIRE TEX 5120'!$B$5:$G$40,IF(L372="F-15",2,IF(L372="F-30",3,IF(L372="F-60",4,IF(L372="F-90",5,IF(L372="F-120",6,0))))),0),0)+IF(AND(O372="FIRE TEX 5120",OR(E372="IN",E372="C",E372="Z",E372="L"),J372=4),VLOOKUP(_xlfn.MINIFS('FIRE TEX 5120'!$H$4:$H$40,'FIRE TEX 5120'!$H$4:$H$40,"&gt;="&amp;M372),'FIRE TEX 5120'!$H$4:$M$40,IF(L372="F-15",2,IF(L372="F-30",3,IF(L372="F-60",4,IF(L372="F-90",5,IF(L372="F-120",6,0))))),0),0)+IF(AND(O372="FIRE TEX 5120",E372="CJ"),VLOOKUP(_xlfn.MINIFS('FIRE TEX 5120'!$O$5:$O$40,'FIRE TEX 5120'!$O$5:$O$40,"&gt;="&amp;M372),'FIRE TEX 5120'!$O$5:$T$40,IF(L372="F-15",2,IF(L372="F-30",3,IF(L372="F-60",4,IF(L372="F-90",5,IF(L372="F-120",6,0))))),0),0)</f>
        <v>0</v>
      </c>
      <c r="Q372" s="46">
        <f t="shared" si="49"/>
        <v>0</v>
      </c>
      <c r="R372" s="46">
        <f t="shared" si="50"/>
        <v>0</v>
      </c>
      <c r="S372" s="46" t="e">
        <f t="shared" si="51"/>
        <v>#VALUE!</v>
      </c>
      <c r="T372" s="677">
        <f t="shared" si="52"/>
        <v>0</v>
      </c>
      <c r="U372" s="80">
        <f>(IF(O372="Stofire",(S372*#REF!),0))+(IF(O372="Fire Control",(S372*$U$2),0))+(IF(O372="Fire Tex",(S372*$U$3),0))+(IF(O372="WB7",(S372*#REF!),0)+(IF(O372="FX 2003",(S372*$U$5),0)))</f>
        <v>0</v>
      </c>
      <c r="V372" s="651">
        <f t="shared" si="53"/>
        <v>0</v>
      </c>
    </row>
    <row r="373" spans="4:23" x14ac:dyDescent="0.25">
      <c r="D373" s="118">
        <f>+CUBICACION!D372</f>
        <v>0</v>
      </c>
      <c r="E373" s="118">
        <f>+CUBICACION!F372</f>
        <v>0</v>
      </c>
      <c r="F373" s="118">
        <f>+CUBICACION!E372</f>
        <v>0</v>
      </c>
      <c r="G373" s="118">
        <v>12</v>
      </c>
      <c r="H373" s="118">
        <v>2</v>
      </c>
      <c r="I373" s="820">
        <v>26385</v>
      </c>
      <c r="J373" s="118">
        <f>+CUBICACION!J372</f>
        <v>0</v>
      </c>
      <c r="K373" s="118">
        <v>3152</v>
      </c>
      <c r="L373" s="118">
        <f>+CUBICACION!L372</f>
        <v>0</v>
      </c>
      <c r="M373" s="64">
        <f>+CUBICACION!M372</f>
        <v>0</v>
      </c>
      <c r="N373" s="824" t="str">
        <f>+CUBICACION!N372</f>
        <v/>
      </c>
      <c r="O373" s="675">
        <f>+CUBICACION!O372</f>
        <v>0</v>
      </c>
      <c r="P373" s="15">
        <f>IF(O373="Fire Control",VLOOKUP(_xlfn.MINIFS('FIRE CONTROL'!$C$4:$C$37,'FIRE CONTROL'!$C$4:$C$37,"&gt;="&amp;M373),'FIRE CONTROL'!$C$4:$G$37,IF(L373="F-15",2,IF(L373="F-30",3,IF(L373="F-60",4,IF(L373="F-90",5,0)))),0),0)+IF(AND(O373="FIRE TEX 5062",OR(E373="IN",E373="C",E373="Z",E373="L"),J373=3),VLOOKUP(_xlfn.MINIFS('FIRE TEX 5062'!$B$4:$B$34,'FIRE TEX 5062'!$B$4:$B$34,"&gt;="&amp;M373),'FIRE TEX 5062'!$B$4:$F$34,IF(L373="F-15",2,IF(L373="F-30",3,IF(L373="F-60",4,IF(L373="F-90",5,0)))),0),0)+IF(AND(O373="FIRE TEX 5062",OR(E373="IN",E373="C",E373="Z",E373="L"),J373=4),VLOOKUP(_xlfn.MINIFS('FIRE TEX 5062'!$G$4:$G$34,'FIRE TEX 5062'!$G$4:$G$34,"&gt;="&amp;M373),'FIRE TEX 5062'!$G$4:$K$34,IF(L373="F-15",2,IF(L373="F-30",3,IF(L373="F-60",4,IF(L373="F-90",5,0)))),0),0)+IF(AND(O373="FIRE TEX 5062",E373="CJ",J373=3),VLOOKUP(_xlfn.MINIFS('FIRE TEX 5062'!$L$4:$L$34,'FIRE TEX 5062'!$L$4:$L$34,"&gt;="&amp;M373),'FIRE TEX 5062'!$L$4:$P$34,IF(L373="F-15",2,IF(L373="F-30",3,IF(L373="F-60",4,IF(L373="F-90",5,0)))),0),0)+IF(AND(O373="FIRE TEX 5062",E373="CJ",J373=4),VLOOKUP(_xlfn.MINIFS('FIRE TEX 5062'!$Q$3:$Q$34,'FIRE TEX 5062'!$Q$3:$Q$34,"&gt;="&amp;M373),'FIRE TEX 5062'!$Q$3:$U$34,IF(L373="F-15",2,IF(L373="F-30",3,IF(L373="F-60",4,IF(L373="F-90",5,0)))),0),0)+IF(AND(O373="FIRE TEX 5090",OR(E373="IN",E373="C",E373="Z",E373="L"),J373=3),VLOOKUP(_xlfn.MINIFS('FIRE TEX 5090'!$B$5:$B$43,'FIRE TEX 5090'!$B$5:$B$43,"&gt;="&amp;M373),'FIRE TEX 5090'!$B$5:$H$43,IF(L373="F-15",2,IF(L373="F-30",3,IF(L373="F-60",4,IF(L373="F-90",5,IF(L373="F-120",6,IF(L373="F-150",7,0)))))),0),0)+IF(AND(O373="FIRE TEX 5090",OR(E373="IN",E373="C",E373="Z",E373="L"),J373=4),VLOOKUP(_xlfn.MINIFS('FIRE TEX 5090'!$J$5:$J$43,'FIRE TEX 5090'!$J$5:$J$43,"&gt;="&amp;M373),'FIRE TEX 5090'!$J$5:$P$43,IF(L373="F-15",2,IF(L373="F-30",3,IF(L373="F-60",4,IF(L373="F-90",5,IF(L373="F-120",6,IF(L373="F-150",7,0)))))),0),0)+IF(AND(O373="FIRE TEX 5090",E373="CJ",J373=3),VLOOKUP(_xlfn.MINIFS('FIRE TEX 5090'!$R$5:$R$30,'FIRE TEX 5090'!$R$5:$R$30,"&gt;="&amp;M373),'FIRE TEX 5090'!$R$5:$W$30,IF(L373="F-15",2,IF(L373="F-30",3,IF(L373="F-60",4,IF(L373="F-90",5,IF(L373="F-120",6,IF(L373="F-150",7,0)))))),0),0)+IF(AND(O373="FIRE TEX 5090",E373="CJ",J373=4),VLOOKUP(_xlfn.MINIFS('FIRE TEX 5090'!$Y$5:$Y$39,'FIRE TEX 5090'!$Y$5:$Y$39,"&gt;="&amp;M373),'FIRE TEX 5090'!$Y$5:$AD$39,IF(L373="F-15",2,IF(L373="F-30",3,IF(L373="F-60",4,IF(L373="F-90",5,IF(L373="F-120",6,IF(L373="F-150",7,0)))))),0),0)+IF(AND(O373="FIRE TEX 5120",OR(E373="IN",E373="C",E373="Z",E373="L"),J373=3),VLOOKUP(_xlfn.MINIFS('FIRE TEX 5120'!$B$5:$B$40,'FIRE TEX 5120'!$B$5:$B$40,"&gt;="&amp;M373),'FIRE TEX 5120'!$B$5:$G$40,IF(L373="F-15",2,IF(L373="F-30",3,IF(L373="F-60",4,IF(L373="F-90",5,IF(L373="F-120",6,0))))),0),0)+IF(AND(O373="FIRE TEX 5120",OR(E373="IN",E373="C",E373="Z",E373="L"),J373=4),VLOOKUP(_xlfn.MINIFS('FIRE TEX 5120'!$H$4:$H$40,'FIRE TEX 5120'!$H$4:$H$40,"&gt;="&amp;M373),'FIRE TEX 5120'!$H$4:$M$40,IF(L373="F-15",2,IF(L373="F-30",3,IF(L373="F-60",4,IF(L373="F-90",5,IF(L373="F-120",6,0))))),0),0)+IF(AND(O373="FIRE TEX 5120",E373="CJ"),VLOOKUP(_xlfn.MINIFS('FIRE TEX 5120'!$O$5:$O$40,'FIRE TEX 5120'!$O$5:$O$40,"&gt;="&amp;M373),'FIRE TEX 5120'!$O$5:$T$40,IF(L373="F-15",2,IF(L373="F-30",3,IF(L373="F-60",4,IF(L373="F-90",5,IF(L373="F-120",6,0))))),0),0)</f>
        <v>0</v>
      </c>
      <c r="Q373" s="46">
        <f t="shared" si="49"/>
        <v>0</v>
      </c>
      <c r="R373" s="46">
        <f t="shared" si="50"/>
        <v>0</v>
      </c>
      <c r="S373" s="46" t="e">
        <f t="shared" si="51"/>
        <v>#VALUE!</v>
      </c>
      <c r="T373" s="677">
        <f t="shared" si="52"/>
        <v>0</v>
      </c>
      <c r="U373" s="80">
        <f>(IF(O373="Stofire",(S373*#REF!),0))+(IF(O373="Fire Control",(S373*$U$2),0))+(IF(O373="Fire Tex",(S373*$U$3),0))+(IF(O373="WB7",(S373*#REF!),0)+(IF(O373="FX 2003",(S373*$U$5),0)))</f>
        <v>0</v>
      </c>
      <c r="V373" s="651">
        <f t="shared" si="53"/>
        <v>0</v>
      </c>
    </row>
    <row r="374" spans="4:23" x14ac:dyDescent="0.25">
      <c r="D374" s="118">
        <f>+CUBICACION!D373</f>
        <v>0</v>
      </c>
      <c r="E374" s="118">
        <f>+CUBICACION!F373</f>
        <v>0</v>
      </c>
      <c r="F374" s="118">
        <f>+CUBICACION!E373</f>
        <v>0</v>
      </c>
      <c r="G374" s="118">
        <v>12</v>
      </c>
      <c r="H374" s="118">
        <v>2</v>
      </c>
      <c r="I374" s="820">
        <v>26385</v>
      </c>
      <c r="J374" s="118">
        <f>+CUBICACION!J373</f>
        <v>0</v>
      </c>
      <c r="K374" s="118">
        <v>3153</v>
      </c>
      <c r="L374" s="118">
        <f>+CUBICACION!L373</f>
        <v>0</v>
      </c>
      <c r="M374" s="64">
        <f>+CUBICACION!M373</f>
        <v>0</v>
      </c>
      <c r="N374" s="824" t="str">
        <f>+CUBICACION!N373</f>
        <v/>
      </c>
      <c r="O374" s="675">
        <f>+CUBICACION!O373</f>
        <v>0</v>
      </c>
      <c r="P374" s="15">
        <f>IF(O374="Fire Control",VLOOKUP(_xlfn.MINIFS('FIRE CONTROL'!$C$4:$C$37,'FIRE CONTROL'!$C$4:$C$37,"&gt;="&amp;M374),'FIRE CONTROL'!$C$4:$G$37,IF(L374="F-15",2,IF(L374="F-30",3,IF(L374="F-60",4,IF(L374="F-90",5,0)))),0),0)+IF(AND(O374="FIRE TEX 5062",OR(E374="IN",E374="C",E374="Z",E374="L"),J374=3),VLOOKUP(_xlfn.MINIFS('FIRE TEX 5062'!$B$4:$B$34,'FIRE TEX 5062'!$B$4:$B$34,"&gt;="&amp;M374),'FIRE TEX 5062'!$B$4:$F$34,IF(L374="F-15",2,IF(L374="F-30",3,IF(L374="F-60",4,IF(L374="F-90",5,0)))),0),0)+IF(AND(O374="FIRE TEX 5062",OR(E374="IN",E374="C",E374="Z",E374="L"),J374=4),VLOOKUP(_xlfn.MINIFS('FIRE TEX 5062'!$G$4:$G$34,'FIRE TEX 5062'!$G$4:$G$34,"&gt;="&amp;M374),'FIRE TEX 5062'!$G$4:$K$34,IF(L374="F-15",2,IF(L374="F-30",3,IF(L374="F-60",4,IF(L374="F-90",5,0)))),0),0)+IF(AND(O374="FIRE TEX 5062",E374="CJ",J374=3),VLOOKUP(_xlfn.MINIFS('FIRE TEX 5062'!$L$4:$L$34,'FIRE TEX 5062'!$L$4:$L$34,"&gt;="&amp;M374),'FIRE TEX 5062'!$L$4:$P$34,IF(L374="F-15",2,IF(L374="F-30",3,IF(L374="F-60",4,IF(L374="F-90",5,0)))),0),0)+IF(AND(O374="FIRE TEX 5062",E374="CJ",J374=4),VLOOKUP(_xlfn.MINIFS('FIRE TEX 5062'!$Q$3:$Q$34,'FIRE TEX 5062'!$Q$3:$Q$34,"&gt;="&amp;M374),'FIRE TEX 5062'!$Q$3:$U$34,IF(L374="F-15",2,IF(L374="F-30",3,IF(L374="F-60",4,IF(L374="F-90",5,0)))),0),0)+IF(AND(O374="FIRE TEX 5090",OR(E374="IN",E374="C",E374="Z",E374="L"),J374=3),VLOOKUP(_xlfn.MINIFS('FIRE TEX 5090'!$B$5:$B$43,'FIRE TEX 5090'!$B$5:$B$43,"&gt;="&amp;M374),'FIRE TEX 5090'!$B$5:$H$43,IF(L374="F-15",2,IF(L374="F-30",3,IF(L374="F-60",4,IF(L374="F-90",5,IF(L374="F-120",6,IF(L374="F-150",7,0)))))),0),0)+IF(AND(O374="FIRE TEX 5090",OR(E374="IN",E374="C",E374="Z",E374="L"),J374=4),VLOOKUP(_xlfn.MINIFS('FIRE TEX 5090'!$J$5:$J$43,'FIRE TEX 5090'!$J$5:$J$43,"&gt;="&amp;M374),'FIRE TEX 5090'!$J$5:$P$43,IF(L374="F-15",2,IF(L374="F-30",3,IF(L374="F-60",4,IF(L374="F-90",5,IF(L374="F-120",6,IF(L374="F-150",7,0)))))),0),0)+IF(AND(O374="FIRE TEX 5090",E374="CJ",J374=3),VLOOKUP(_xlfn.MINIFS('FIRE TEX 5090'!$R$5:$R$30,'FIRE TEX 5090'!$R$5:$R$30,"&gt;="&amp;M374),'FIRE TEX 5090'!$R$5:$W$30,IF(L374="F-15",2,IF(L374="F-30",3,IF(L374="F-60",4,IF(L374="F-90",5,IF(L374="F-120",6,IF(L374="F-150",7,0)))))),0),0)+IF(AND(O374="FIRE TEX 5090",E374="CJ",J374=4),VLOOKUP(_xlfn.MINIFS('FIRE TEX 5090'!$Y$5:$Y$39,'FIRE TEX 5090'!$Y$5:$Y$39,"&gt;="&amp;M374),'FIRE TEX 5090'!$Y$5:$AD$39,IF(L374="F-15",2,IF(L374="F-30",3,IF(L374="F-60",4,IF(L374="F-90",5,IF(L374="F-120",6,IF(L374="F-150",7,0)))))),0),0)+IF(AND(O374="FIRE TEX 5120",OR(E374="IN",E374="C",E374="Z",E374="L"),J374=3),VLOOKUP(_xlfn.MINIFS('FIRE TEX 5120'!$B$5:$B$40,'FIRE TEX 5120'!$B$5:$B$40,"&gt;="&amp;M374),'FIRE TEX 5120'!$B$5:$G$40,IF(L374="F-15",2,IF(L374="F-30",3,IF(L374="F-60",4,IF(L374="F-90",5,IF(L374="F-120",6,0))))),0),0)+IF(AND(O374="FIRE TEX 5120",OR(E374="IN",E374="C",E374="Z",E374="L"),J374=4),VLOOKUP(_xlfn.MINIFS('FIRE TEX 5120'!$H$4:$H$40,'FIRE TEX 5120'!$H$4:$H$40,"&gt;="&amp;M374),'FIRE TEX 5120'!$H$4:$M$40,IF(L374="F-15",2,IF(L374="F-30",3,IF(L374="F-60",4,IF(L374="F-90",5,IF(L374="F-120",6,0))))),0),0)+IF(AND(O374="FIRE TEX 5120",E374="CJ"),VLOOKUP(_xlfn.MINIFS('FIRE TEX 5120'!$O$5:$O$40,'FIRE TEX 5120'!$O$5:$O$40,"&gt;="&amp;M374),'FIRE TEX 5120'!$O$5:$T$40,IF(L374="F-15",2,IF(L374="F-30",3,IF(L374="F-60",4,IF(L374="F-90",5,IF(L374="F-120",6,0))))),0),0)</f>
        <v>0</v>
      </c>
      <c r="Q374" s="46">
        <f t="shared" si="49"/>
        <v>0</v>
      </c>
      <c r="R374" s="46">
        <f t="shared" si="50"/>
        <v>0</v>
      </c>
      <c r="S374" s="46" t="e">
        <f t="shared" si="51"/>
        <v>#VALUE!</v>
      </c>
      <c r="T374" s="677">
        <f t="shared" si="52"/>
        <v>0</v>
      </c>
      <c r="U374" s="80">
        <f>(IF(O374="Stofire",(S374*#REF!),0))+(IF(O374="Fire Control",(S374*$U$2),0))+(IF(O374="Fire Tex",(S374*$U$3),0))+(IF(O374="WB7",(S374*#REF!),0)+(IF(O374="FX 2003",(S374*$U$5),0)))</f>
        <v>0</v>
      </c>
      <c r="V374" s="651">
        <f t="shared" si="53"/>
        <v>0</v>
      </c>
    </row>
    <row r="375" spans="4:23" x14ac:dyDescent="0.25">
      <c r="D375" s="118">
        <f>+CUBICACION!D374</f>
        <v>0</v>
      </c>
      <c r="E375" s="118">
        <f>+CUBICACION!F374</f>
        <v>0</v>
      </c>
      <c r="F375" s="118">
        <f>+CUBICACION!E374</f>
        <v>0</v>
      </c>
      <c r="G375" s="118">
        <v>12</v>
      </c>
      <c r="H375" s="118">
        <v>2</v>
      </c>
      <c r="I375" s="820">
        <v>26385</v>
      </c>
      <c r="J375" s="118">
        <f>+CUBICACION!J374</f>
        <v>0</v>
      </c>
      <c r="K375" s="118">
        <v>3154</v>
      </c>
      <c r="L375" s="118">
        <f>+CUBICACION!L374</f>
        <v>0</v>
      </c>
      <c r="M375" s="64">
        <f>+CUBICACION!M374</f>
        <v>0</v>
      </c>
      <c r="N375" s="824" t="str">
        <f>+CUBICACION!N374</f>
        <v/>
      </c>
      <c r="O375" s="675">
        <f>+CUBICACION!O374</f>
        <v>0</v>
      </c>
      <c r="P375" s="15">
        <f>IF(O375="Fire Control",VLOOKUP(_xlfn.MINIFS('FIRE CONTROL'!$C$4:$C$37,'FIRE CONTROL'!$C$4:$C$37,"&gt;="&amp;M375),'FIRE CONTROL'!$C$4:$G$37,IF(L375="F-15",2,IF(L375="F-30",3,IF(L375="F-60",4,IF(L375="F-90",5,0)))),0),0)+IF(AND(O375="FIRE TEX 5062",OR(E375="IN",E375="C",E375="Z",E375="L"),J375=3),VLOOKUP(_xlfn.MINIFS('FIRE TEX 5062'!$B$4:$B$34,'FIRE TEX 5062'!$B$4:$B$34,"&gt;="&amp;M375),'FIRE TEX 5062'!$B$4:$F$34,IF(L375="F-15",2,IF(L375="F-30",3,IF(L375="F-60",4,IF(L375="F-90",5,0)))),0),0)+IF(AND(O375="FIRE TEX 5062",OR(E375="IN",E375="C",E375="Z",E375="L"),J375=4),VLOOKUP(_xlfn.MINIFS('FIRE TEX 5062'!$G$4:$G$34,'FIRE TEX 5062'!$G$4:$G$34,"&gt;="&amp;M375),'FIRE TEX 5062'!$G$4:$K$34,IF(L375="F-15",2,IF(L375="F-30",3,IF(L375="F-60",4,IF(L375="F-90",5,0)))),0),0)+IF(AND(O375="FIRE TEX 5062",E375="CJ",J375=3),VLOOKUP(_xlfn.MINIFS('FIRE TEX 5062'!$L$4:$L$34,'FIRE TEX 5062'!$L$4:$L$34,"&gt;="&amp;M375),'FIRE TEX 5062'!$L$4:$P$34,IF(L375="F-15",2,IF(L375="F-30",3,IF(L375="F-60",4,IF(L375="F-90",5,0)))),0),0)+IF(AND(O375="FIRE TEX 5062",E375="CJ",J375=4),VLOOKUP(_xlfn.MINIFS('FIRE TEX 5062'!$Q$3:$Q$34,'FIRE TEX 5062'!$Q$3:$Q$34,"&gt;="&amp;M375),'FIRE TEX 5062'!$Q$3:$U$34,IF(L375="F-15",2,IF(L375="F-30",3,IF(L375="F-60",4,IF(L375="F-90",5,0)))),0),0)+IF(AND(O375="FIRE TEX 5090",OR(E375="IN",E375="C",E375="Z",E375="L"),J375=3),VLOOKUP(_xlfn.MINIFS('FIRE TEX 5090'!$B$5:$B$43,'FIRE TEX 5090'!$B$5:$B$43,"&gt;="&amp;M375),'FIRE TEX 5090'!$B$5:$H$43,IF(L375="F-15",2,IF(L375="F-30",3,IF(L375="F-60",4,IF(L375="F-90",5,IF(L375="F-120",6,IF(L375="F-150",7,0)))))),0),0)+IF(AND(O375="FIRE TEX 5090",OR(E375="IN",E375="C",E375="Z",E375="L"),J375=4),VLOOKUP(_xlfn.MINIFS('FIRE TEX 5090'!$J$5:$J$43,'FIRE TEX 5090'!$J$5:$J$43,"&gt;="&amp;M375),'FIRE TEX 5090'!$J$5:$P$43,IF(L375="F-15",2,IF(L375="F-30",3,IF(L375="F-60",4,IF(L375="F-90",5,IF(L375="F-120",6,IF(L375="F-150",7,0)))))),0),0)+IF(AND(O375="FIRE TEX 5090",E375="CJ",J375=3),VLOOKUP(_xlfn.MINIFS('FIRE TEX 5090'!$R$5:$R$30,'FIRE TEX 5090'!$R$5:$R$30,"&gt;="&amp;M375),'FIRE TEX 5090'!$R$5:$W$30,IF(L375="F-15",2,IF(L375="F-30",3,IF(L375="F-60",4,IF(L375="F-90",5,IF(L375="F-120",6,IF(L375="F-150",7,0)))))),0),0)+IF(AND(O375="FIRE TEX 5090",E375="CJ",J375=4),VLOOKUP(_xlfn.MINIFS('FIRE TEX 5090'!$Y$5:$Y$39,'FIRE TEX 5090'!$Y$5:$Y$39,"&gt;="&amp;M375),'FIRE TEX 5090'!$Y$5:$AD$39,IF(L375="F-15",2,IF(L375="F-30",3,IF(L375="F-60",4,IF(L375="F-90",5,IF(L375="F-120",6,IF(L375="F-150",7,0)))))),0),0)+IF(AND(O375="FIRE TEX 5120",OR(E375="IN",E375="C",E375="Z",E375="L"),J375=3),VLOOKUP(_xlfn.MINIFS('FIRE TEX 5120'!$B$5:$B$40,'FIRE TEX 5120'!$B$5:$B$40,"&gt;="&amp;M375),'FIRE TEX 5120'!$B$5:$G$40,IF(L375="F-15",2,IF(L375="F-30",3,IF(L375="F-60",4,IF(L375="F-90",5,IF(L375="F-120",6,0))))),0),0)+IF(AND(O375="FIRE TEX 5120",OR(E375="IN",E375="C",E375="Z",E375="L"),J375=4),VLOOKUP(_xlfn.MINIFS('FIRE TEX 5120'!$H$4:$H$40,'FIRE TEX 5120'!$H$4:$H$40,"&gt;="&amp;M375),'FIRE TEX 5120'!$H$4:$M$40,IF(L375="F-15",2,IF(L375="F-30",3,IF(L375="F-60",4,IF(L375="F-90",5,IF(L375="F-120",6,0))))),0),0)+IF(AND(O375="FIRE TEX 5120",E375="CJ"),VLOOKUP(_xlfn.MINIFS('FIRE TEX 5120'!$O$5:$O$40,'FIRE TEX 5120'!$O$5:$O$40,"&gt;="&amp;M375),'FIRE TEX 5120'!$O$5:$T$40,IF(L375="F-15",2,IF(L375="F-30",3,IF(L375="F-60",4,IF(L375="F-90",5,IF(L375="F-120",6,0))))),0),0)</f>
        <v>0</v>
      </c>
      <c r="Q375" s="46">
        <f t="shared" si="49"/>
        <v>0</v>
      </c>
      <c r="R375" s="46">
        <f t="shared" si="50"/>
        <v>0</v>
      </c>
      <c r="S375" s="46" t="e">
        <f t="shared" si="51"/>
        <v>#VALUE!</v>
      </c>
      <c r="T375" s="677">
        <f t="shared" si="52"/>
        <v>0</v>
      </c>
      <c r="U375" s="80">
        <f>(IF(O375="Stofire",(S375*#REF!),0))+(IF(O375="Fire Control",(S375*$U$2),0))+(IF(O375="Fire Tex",(S375*$U$3),0))+(IF(O375="WB7",(S375*#REF!),0)+(IF(O375="FX 2003",(S375*$U$5),0)))</f>
        <v>0</v>
      </c>
      <c r="V375" s="651">
        <f t="shared" si="53"/>
        <v>0</v>
      </c>
    </row>
    <row r="376" spans="4:23" x14ac:dyDescent="0.25">
      <c r="D376" s="118">
        <f>+CUBICACION!D375</f>
        <v>0</v>
      </c>
      <c r="E376" s="118">
        <f>+CUBICACION!F375</f>
        <v>0</v>
      </c>
      <c r="F376" s="118">
        <f>+CUBICACION!E375</f>
        <v>0</v>
      </c>
      <c r="G376" s="118">
        <v>12</v>
      </c>
      <c r="H376" s="118">
        <v>2</v>
      </c>
      <c r="I376" s="820">
        <v>26385</v>
      </c>
      <c r="J376" s="118">
        <f>+CUBICACION!J375</f>
        <v>0</v>
      </c>
      <c r="K376" s="118">
        <v>3155</v>
      </c>
      <c r="L376" s="118">
        <f>+CUBICACION!L375</f>
        <v>0</v>
      </c>
      <c r="M376" s="64">
        <f>+CUBICACION!M375</f>
        <v>0</v>
      </c>
      <c r="N376" s="824" t="str">
        <f>+CUBICACION!N375</f>
        <v/>
      </c>
      <c r="O376" s="675">
        <f>+CUBICACION!O375</f>
        <v>0</v>
      </c>
      <c r="P376" s="15">
        <f>IF(O376="Fire Control",VLOOKUP(_xlfn.MINIFS('FIRE CONTROL'!$C$4:$C$37,'FIRE CONTROL'!$C$4:$C$37,"&gt;="&amp;M376),'FIRE CONTROL'!$C$4:$G$37,IF(L376="F-15",2,IF(L376="F-30",3,IF(L376="F-60",4,IF(L376="F-90",5,0)))),0),0)+IF(AND(O376="FIRE TEX 5062",OR(E376="IN",E376="C",E376="Z",E376="L"),J376=3),VLOOKUP(_xlfn.MINIFS('FIRE TEX 5062'!$B$4:$B$34,'FIRE TEX 5062'!$B$4:$B$34,"&gt;="&amp;M376),'FIRE TEX 5062'!$B$4:$F$34,IF(L376="F-15",2,IF(L376="F-30",3,IF(L376="F-60",4,IF(L376="F-90",5,0)))),0),0)+IF(AND(O376="FIRE TEX 5062",OR(E376="IN",E376="C",E376="Z",E376="L"),J376=4),VLOOKUP(_xlfn.MINIFS('FIRE TEX 5062'!$G$4:$G$34,'FIRE TEX 5062'!$G$4:$G$34,"&gt;="&amp;M376),'FIRE TEX 5062'!$G$4:$K$34,IF(L376="F-15",2,IF(L376="F-30",3,IF(L376="F-60",4,IF(L376="F-90",5,0)))),0),0)+IF(AND(O376="FIRE TEX 5062",E376="CJ",J376=3),VLOOKUP(_xlfn.MINIFS('FIRE TEX 5062'!$L$4:$L$34,'FIRE TEX 5062'!$L$4:$L$34,"&gt;="&amp;M376),'FIRE TEX 5062'!$L$4:$P$34,IF(L376="F-15",2,IF(L376="F-30",3,IF(L376="F-60",4,IF(L376="F-90",5,0)))),0),0)+IF(AND(O376="FIRE TEX 5062",E376="CJ",J376=4),VLOOKUP(_xlfn.MINIFS('FIRE TEX 5062'!$Q$3:$Q$34,'FIRE TEX 5062'!$Q$3:$Q$34,"&gt;="&amp;M376),'FIRE TEX 5062'!$Q$3:$U$34,IF(L376="F-15",2,IF(L376="F-30",3,IF(L376="F-60",4,IF(L376="F-90",5,0)))),0),0)+IF(AND(O376="FIRE TEX 5090",OR(E376="IN",E376="C",E376="Z",E376="L"),J376=3),VLOOKUP(_xlfn.MINIFS('FIRE TEX 5090'!$B$5:$B$43,'FIRE TEX 5090'!$B$5:$B$43,"&gt;="&amp;M376),'FIRE TEX 5090'!$B$5:$H$43,IF(L376="F-15",2,IF(L376="F-30",3,IF(L376="F-60",4,IF(L376="F-90",5,IF(L376="F-120",6,IF(L376="F-150",7,0)))))),0),0)+IF(AND(O376="FIRE TEX 5090",OR(E376="IN",E376="C",E376="Z",E376="L"),J376=4),VLOOKUP(_xlfn.MINIFS('FIRE TEX 5090'!$J$5:$J$43,'FIRE TEX 5090'!$J$5:$J$43,"&gt;="&amp;M376),'FIRE TEX 5090'!$J$5:$P$43,IF(L376="F-15",2,IF(L376="F-30",3,IF(L376="F-60",4,IF(L376="F-90",5,IF(L376="F-120",6,IF(L376="F-150",7,0)))))),0),0)+IF(AND(O376="FIRE TEX 5090",E376="CJ",J376=3),VLOOKUP(_xlfn.MINIFS('FIRE TEX 5090'!$R$5:$R$30,'FIRE TEX 5090'!$R$5:$R$30,"&gt;="&amp;M376),'FIRE TEX 5090'!$R$5:$W$30,IF(L376="F-15",2,IF(L376="F-30",3,IF(L376="F-60",4,IF(L376="F-90",5,IF(L376="F-120",6,IF(L376="F-150",7,0)))))),0),0)+IF(AND(O376="FIRE TEX 5090",E376="CJ",J376=4),VLOOKUP(_xlfn.MINIFS('FIRE TEX 5090'!$Y$5:$Y$39,'FIRE TEX 5090'!$Y$5:$Y$39,"&gt;="&amp;M376),'FIRE TEX 5090'!$Y$5:$AD$39,IF(L376="F-15",2,IF(L376="F-30",3,IF(L376="F-60",4,IF(L376="F-90",5,IF(L376="F-120",6,IF(L376="F-150",7,0)))))),0),0)+IF(AND(O376="FIRE TEX 5120",OR(E376="IN",E376="C",E376="Z",E376="L"),J376=3),VLOOKUP(_xlfn.MINIFS('FIRE TEX 5120'!$B$5:$B$40,'FIRE TEX 5120'!$B$5:$B$40,"&gt;="&amp;M376),'FIRE TEX 5120'!$B$5:$G$40,IF(L376="F-15",2,IF(L376="F-30",3,IF(L376="F-60",4,IF(L376="F-90",5,IF(L376="F-120",6,0))))),0),0)+IF(AND(O376="FIRE TEX 5120",OR(E376="IN",E376="C",E376="Z",E376="L"),J376=4),VLOOKUP(_xlfn.MINIFS('FIRE TEX 5120'!$H$4:$H$40,'FIRE TEX 5120'!$H$4:$H$40,"&gt;="&amp;M376),'FIRE TEX 5120'!$H$4:$M$40,IF(L376="F-15",2,IF(L376="F-30",3,IF(L376="F-60",4,IF(L376="F-90",5,IF(L376="F-120",6,0))))),0),0)+IF(AND(O376="FIRE TEX 5120",E376="CJ"),VLOOKUP(_xlfn.MINIFS('FIRE TEX 5120'!$O$5:$O$40,'FIRE TEX 5120'!$O$5:$O$40,"&gt;="&amp;M376),'FIRE TEX 5120'!$O$5:$T$40,IF(L376="F-15",2,IF(L376="F-30",3,IF(L376="F-60",4,IF(L376="F-90",5,IF(L376="F-120",6,0))))),0),0)</f>
        <v>0</v>
      </c>
      <c r="Q376" s="46">
        <f t="shared" si="49"/>
        <v>0</v>
      </c>
      <c r="R376" s="46">
        <f t="shared" si="50"/>
        <v>0</v>
      </c>
      <c r="S376" s="46" t="e">
        <f t="shared" si="51"/>
        <v>#VALUE!</v>
      </c>
      <c r="T376" s="677">
        <f t="shared" si="52"/>
        <v>0</v>
      </c>
      <c r="U376" s="80">
        <f>(IF(O376="Stofire",(S376*#REF!),0))+(IF(O376="Fire Control",(S376*$U$2),0))+(IF(O376="Fire Tex",(S376*$U$3),0))+(IF(O376="WB7",(S376*#REF!),0)+(IF(O376="FX 2003",(S376*$U$5),0)))</f>
        <v>0</v>
      </c>
      <c r="V376" s="651">
        <f t="shared" si="53"/>
        <v>0</v>
      </c>
    </row>
    <row r="377" spans="4:23" x14ac:dyDescent="0.25">
      <c r="D377" s="118">
        <f>+CUBICACION!D376</f>
        <v>0</v>
      </c>
      <c r="E377" s="118">
        <f>+CUBICACION!F376</f>
        <v>0</v>
      </c>
      <c r="F377" s="118">
        <f>+CUBICACION!E376</f>
        <v>0</v>
      </c>
      <c r="G377" s="118">
        <v>12</v>
      </c>
      <c r="H377" s="118">
        <v>2</v>
      </c>
      <c r="I377" s="820">
        <v>26385</v>
      </c>
      <c r="J377" s="118">
        <f>+CUBICACION!J376</f>
        <v>0</v>
      </c>
      <c r="K377" s="118">
        <v>3156</v>
      </c>
      <c r="L377" s="118">
        <f>+CUBICACION!L376</f>
        <v>0</v>
      </c>
      <c r="M377" s="64">
        <f>+CUBICACION!M376</f>
        <v>0</v>
      </c>
      <c r="N377" s="824" t="str">
        <f>+CUBICACION!N376</f>
        <v/>
      </c>
      <c r="O377" s="675">
        <f>+CUBICACION!O376</f>
        <v>0</v>
      </c>
      <c r="P377" s="15">
        <f>IF(O377="Fire Control",VLOOKUP(_xlfn.MINIFS('FIRE CONTROL'!$C$4:$C$37,'FIRE CONTROL'!$C$4:$C$37,"&gt;="&amp;M377),'FIRE CONTROL'!$C$4:$G$37,IF(L377="F-15",2,IF(L377="F-30",3,IF(L377="F-60",4,IF(L377="F-90",5,0)))),0),0)+IF(AND(O377="FIRE TEX 5062",OR(E377="IN",E377="C",E377="Z",E377="L"),J377=3),VLOOKUP(_xlfn.MINIFS('FIRE TEX 5062'!$B$4:$B$34,'FIRE TEX 5062'!$B$4:$B$34,"&gt;="&amp;M377),'FIRE TEX 5062'!$B$4:$F$34,IF(L377="F-15",2,IF(L377="F-30",3,IF(L377="F-60",4,IF(L377="F-90",5,0)))),0),0)+IF(AND(O377="FIRE TEX 5062",OR(E377="IN",E377="C",E377="Z",E377="L"),J377=4),VLOOKUP(_xlfn.MINIFS('FIRE TEX 5062'!$G$4:$G$34,'FIRE TEX 5062'!$G$4:$G$34,"&gt;="&amp;M377),'FIRE TEX 5062'!$G$4:$K$34,IF(L377="F-15",2,IF(L377="F-30",3,IF(L377="F-60",4,IF(L377="F-90",5,0)))),0),0)+IF(AND(O377="FIRE TEX 5062",E377="CJ",J377=3),VLOOKUP(_xlfn.MINIFS('FIRE TEX 5062'!$L$4:$L$34,'FIRE TEX 5062'!$L$4:$L$34,"&gt;="&amp;M377),'FIRE TEX 5062'!$L$4:$P$34,IF(L377="F-15",2,IF(L377="F-30",3,IF(L377="F-60",4,IF(L377="F-90",5,0)))),0),0)+IF(AND(O377="FIRE TEX 5062",E377="CJ",J377=4),VLOOKUP(_xlfn.MINIFS('FIRE TEX 5062'!$Q$3:$Q$34,'FIRE TEX 5062'!$Q$3:$Q$34,"&gt;="&amp;M377),'FIRE TEX 5062'!$Q$3:$U$34,IF(L377="F-15",2,IF(L377="F-30",3,IF(L377="F-60",4,IF(L377="F-90",5,0)))),0),0)+IF(AND(O377="FIRE TEX 5090",OR(E377="IN",E377="C",E377="Z",E377="L"),J377=3),VLOOKUP(_xlfn.MINIFS('FIRE TEX 5090'!$B$5:$B$43,'FIRE TEX 5090'!$B$5:$B$43,"&gt;="&amp;M377),'FIRE TEX 5090'!$B$5:$H$43,IF(L377="F-15",2,IF(L377="F-30",3,IF(L377="F-60",4,IF(L377="F-90",5,IF(L377="F-120",6,IF(L377="F-150",7,0)))))),0),0)+IF(AND(O377="FIRE TEX 5090",OR(E377="IN",E377="C",E377="Z",E377="L"),J377=4),VLOOKUP(_xlfn.MINIFS('FIRE TEX 5090'!$J$5:$J$43,'FIRE TEX 5090'!$J$5:$J$43,"&gt;="&amp;M377),'FIRE TEX 5090'!$J$5:$P$43,IF(L377="F-15",2,IF(L377="F-30",3,IF(L377="F-60",4,IF(L377="F-90",5,IF(L377="F-120",6,IF(L377="F-150",7,0)))))),0),0)+IF(AND(O377="FIRE TEX 5090",E377="CJ",J377=3),VLOOKUP(_xlfn.MINIFS('FIRE TEX 5090'!$R$5:$R$30,'FIRE TEX 5090'!$R$5:$R$30,"&gt;="&amp;M377),'FIRE TEX 5090'!$R$5:$W$30,IF(L377="F-15",2,IF(L377="F-30",3,IF(L377="F-60",4,IF(L377="F-90",5,IF(L377="F-120",6,IF(L377="F-150",7,0)))))),0),0)+IF(AND(O377="FIRE TEX 5090",E377="CJ",J377=4),VLOOKUP(_xlfn.MINIFS('FIRE TEX 5090'!$Y$5:$Y$39,'FIRE TEX 5090'!$Y$5:$Y$39,"&gt;="&amp;M377),'FIRE TEX 5090'!$Y$5:$AD$39,IF(L377="F-15",2,IF(L377="F-30",3,IF(L377="F-60",4,IF(L377="F-90",5,IF(L377="F-120",6,IF(L377="F-150",7,0)))))),0),0)+IF(AND(O377="FIRE TEX 5120",OR(E377="IN",E377="C",E377="Z",E377="L"),J377=3),VLOOKUP(_xlfn.MINIFS('FIRE TEX 5120'!$B$5:$B$40,'FIRE TEX 5120'!$B$5:$B$40,"&gt;="&amp;M377),'FIRE TEX 5120'!$B$5:$G$40,IF(L377="F-15",2,IF(L377="F-30",3,IF(L377="F-60",4,IF(L377="F-90",5,IF(L377="F-120",6,0))))),0),0)+IF(AND(O377="FIRE TEX 5120",OR(E377="IN",E377="C",E377="Z",E377="L"),J377=4),VLOOKUP(_xlfn.MINIFS('FIRE TEX 5120'!$H$4:$H$40,'FIRE TEX 5120'!$H$4:$H$40,"&gt;="&amp;M377),'FIRE TEX 5120'!$H$4:$M$40,IF(L377="F-15",2,IF(L377="F-30",3,IF(L377="F-60",4,IF(L377="F-90",5,IF(L377="F-120",6,0))))),0),0)+IF(AND(O377="FIRE TEX 5120",E377="CJ"),VLOOKUP(_xlfn.MINIFS('FIRE TEX 5120'!$O$5:$O$40,'FIRE TEX 5120'!$O$5:$O$40,"&gt;="&amp;M377),'FIRE TEX 5120'!$O$5:$T$40,IF(L377="F-15",2,IF(L377="F-30",3,IF(L377="F-60",4,IF(L377="F-90",5,IF(L377="F-120",6,0))))),0),0)</f>
        <v>0</v>
      </c>
      <c r="Q377" s="46">
        <f t="shared" si="49"/>
        <v>0</v>
      </c>
      <c r="R377" s="46">
        <f t="shared" si="50"/>
        <v>0</v>
      </c>
      <c r="S377" s="46" t="e">
        <f t="shared" si="51"/>
        <v>#VALUE!</v>
      </c>
      <c r="T377" s="677">
        <f t="shared" si="52"/>
        <v>0</v>
      </c>
      <c r="U377" s="80">
        <f>(IF(O377="Stofire",(S377*#REF!),0))+(IF(O377="Fire Control",(S377*$U$2),0))+(IF(O377="Fire Tex",(S377*$U$3),0))+(IF(O377="WB7",(S377*#REF!),0)+(IF(O377="FX 2003",(S377*$U$5),0)))</f>
        <v>0</v>
      </c>
      <c r="V377" s="651">
        <f t="shared" si="53"/>
        <v>0</v>
      </c>
    </row>
    <row r="378" spans="4:23" x14ac:dyDescent="0.25">
      <c r="D378" s="118">
        <f>+CUBICACION!D377</f>
        <v>0</v>
      </c>
      <c r="E378" s="118">
        <f>+CUBICACION!F377</f>
        <v>0</v>
      </c>
      <c r="F378" s="118">
        <f>+CUBICACION!E377</f>
        <v>0</v>
      </c>
      <c r="G378" s="118">
        <v>12</v>
      </c>
      <c r="H378" s="118">
        <v>2</v>
      </c>
      <c r="I378" s="820">
        <v>26385</v>
      </c>
      <c r="J378" s="118">
        <f>+CUBICACION!J377</f>
        <v>0</v>
      </c>
      <c r="K378" s="118">
        <v>3157</v>
      </c>
      <c r="L378" s="118">
        <f>+CUBICACION!L377</f>
        <v>0</v>
      </c>
      <c r="M378" s="64">
        <f>+CUBICACION!M377</f>
        <v>0</v>
      </c>
      <c r="N378" s="824" t="str">
        <f>+CUBICACION!N377</f>
        <v/>
      </c>
      <c r="O378" s="675">
        <f>+CUBICACION!O377</f>
        <v>0</v>
      </c>
      <c r="P378" s="15">
        <f>IF(O378="Fire Control",VLOOKUP(_xlfn.MINIFS('FIRE CONTROL'!$C$4:$C$37,'FIRE CONTROL'!$C$4:$C$37,"&gt;="&amp;M378),'FIRE CONTROL'!$C$4:$G$37,IF(L378="F-15",2,IF(L378="F-30",3,IF(L378="F-60",4,IF(L378="F-90",5,0)))),0),0)+IF(AND(O378="FIRE TEX 5062",OR(E378="IN",E378="C",E378="Z",E378="L"),J378=3),VLOOKUP(_xlfn.MINIFS('FIRE TEX 5062'!$B$4:$B$34,'FIRE TEX 5062'!$B$4:$B$34,"&gt;="&amp;M378),'FIRE TEX 5062'!$B$4:$F$34,IF(L378="F-15",2,IF(L378="F-30",3,IF(L378="F-60",4,IF(L378="F-90",5,0)))),0),0)+IF(AND(O378="FIRE TEX 5062",OR(E378="IN",E378="C",E378="Z",E378="L"),J378=4),VLOOKUP(_xlfn.MINIFS('FIRE TEX 5062'!$G$4:$G$34,'FIRE TEX 5062'!$G$4:$G$34,"&gt;="&amp;M378),'FIRE TEX 5062'!$G$4:$K$34,IF(L378="F-15",2,IF(L378="F-30",3,IF(L378="F-60",4,IF(L378="F-90",5,0)))),0),0)+IF(AND(O378="FIRE TEX 5062",E378="CJ",J378=3),VLOOKUP(_xlfn.MINIFS('FIRE TEX 5062'!$L$4:$L$34,'FIRE TEX 5062'!$L$4:$L$34,"&gt;="&amp;M378),'FIRE TEX 5062'!$L$4:$P$34,IF(L378="F-15",2,IF(L378="F-30",3,IF(L378="F-60",4,IF(L378="F-90",5,0)))),0),0)+IF(AND(O378="FIRE TEX 5062",E378="CJ",J378=4),VLOOKUP(_xlfn.MINIFS('FIRE TEX 5062'!$Q$3:$Q$34,'FIRE TEX 5062'!$Q$3:$Q$34,"&gt;="&amp;M378),'FIRE TEX 5062'!$Q$3:$U$34,IF(L378="F-15",2,IF(L378="F-30",3,IF(L378="F-60",4,IF(L378="F-90",5,0)))),0),0)+IF(AND(O378="FIRE TEX 5090",OR(E378="IN",E378="C",E378="Z",E378="L"),J378=3),VLOOKUP(_xlfn.MINIFS('FIRE TEX 5090'!$B$5:$B$43,'FIRE TEX 5090'!$B$5:$B$43,"&gt;="&amp;M378),'FIRE TEX 5090'!$B$5:$H$43,IF(L378="F-15",2,IF(L378="F-30",3,IF(L378="F-60",4,IF(L378="F-90",5,IF(L378="F-120",6,IF(L378="F-150",7,0)))))),0),0)+IF(AND(O378="FIRE TEX 5090",OR(E378="IN",E378="C",E378="Z",E378="L"),J378=4),VLOOKUP(_xlfn.MINIFS('FIRE TEX 5090'!$J$5:$J$43,'FIRE TEX 5090'!$J$5:$J$43,"&gt;="&amp;M378),'FIRE TEX 5090'!$J$5:$P$43,IF(L378="F-15",2,IF(L378="F-30",3,IF(L378="F-60",4,IF(L378="F-90",5,IF(L378="F-120",6,IF(L378="F-150",7,0)))))),0),0)+IF(AND(O378="FIRE TEX 5090",E378="CJ",J378=3),VLOOKUP(_xlfn.MINIFS('FIRE TEX 5090'!$R$5:$R$30,'FIRE TEX 5090'!$R$5:$R$30,"&gt;="&amp;M378),'FIRE TEX 5090'!$R$5:$W$30,IF(L378="F-15",2,IF(L378="F-30",3,IF(L378="F-60",4,IF(L378="F-90",5,IF(L378="F-120",6,IF(L378="F-150",7,0)))))),0),0)+IF(AND(O378="FIRE TEX 5090",E378="CJ",J378=4),VLOOKUP(_xlfn.MINIFS('FIRE TEX 5090'!$Y$5:$Y$39,'FIRE TEX 5090'!$Y$5:$Y$39,"&gt;="&amp;M378),'FIRE TEX 5090'!$Y$5:$AD$39,IF(L378="F-15",2,IF(L378="F-30",3,IF(L378="F-60",4,IF(L378="F-90",5,IF(L378="F-120",6,IF(L378="F-150",7,0)))))),0),0)+IF(AND(O378="FIRE TEX 5120",OR(E378="IN",E378="C",E378="Z",E378="L"),J378=3),VLOOKUP(_xlfn.MINIFS('FIRE TEX 5120'!$B$5:$B$40,'FIRE TEX 5120'!$B$5:$B$40,"&gt;="&amp;M378),'FIRE TEX 5120'!$B$5:$G$40,IF(L378="F-15",2,IF(L378="F-30",3,IF(L378="F-60",4,IF(L378="F-90",5,IF(L378="F-120",6,0))))),0),0)+IF(AND(O378="FIRE TEX 5120",OR(E378="IN",E378="C",E378="Z",E378="L"),J378=4),VLOOKUP(_xlfn.MINIFS('FIRE TEX 5120'!$H$4:$H$40,'FIRE TEX 5120'!$H$4:$H$40,"&gt;="&amp;M378),'FIRE TEX 5120'!$H$4:$M$40,IF(L378="F-15",2,IF(L378="F-30",3,IF(L378="F-60",4,IF(L378="F-90",5,IF(L378="F-120",6,0))))),0),0)+IF(AND(O378="FIRE TEX 5120",E378="CJ"),VLOOKUP(_xlfn.MINIFS('FIRE TEX 5120'!$O$5:$O$40,'FIRE TEX 5120'!$O$5:$O$40,"&gt;="&amp;M378),'FIRE TEX 5120'!$O$5:$T$40,IF(L378="F-15",2,IF(L378="F-30",3,IF(L378="F-60",4,IF(L378="F-90",5,IF(L378="F-120",6,0))))),0),0)</f>
        <v>0</v>
      </c>
      <c r="Q378" s="46">
        <f t="shared" si="49"/>
        <v>0</v>
      </c>
      <c r="R378" s="46">
        <f t="shared" si="50"/>
        <v>0</v>
      </c>
      <c r="S378" s="46" t="e">
        <f t="shared" si="51"/>
        <v>#VALUE!</v>
      </c>
      <c r="T378" s="677">
        <f t="shared" si="52"/>
        <v>0</v>
      </c>
      <c r="U378" s="80">
        <f>(IF(O378="Stofire",(S378*#REF!),0))+(IF(O378="Fire Control",(S378*$U$2),0))+(IF(O378="Fire Tex",(S378*$U$3),0))+(IF(O378="WB7",(S378*#REF!),0)+(IF(O378="FX 2003",(S378*$U$5),0)))</f>
        <v>0</v>
      </c>
      <c r="V378" s="651">
        <f t="shared" si="53"/>
        <v>0</v>
      </c>
    </row>
    <row r="379" spans="4:23" x14ac:dyDescent="0.25">
      <c r="D379" s="118">
        <f>+CUBICACION!D378</f>
        <v>0</v>
      </c>
      <c r="E379" s="118">
        <f>+CUBICACION!F378</f>
        <v>0</v>
      </c>
      <c r="F379" s="118">
        <f>+CUBICACION!E378</f>
        <v>0</v>
      </c>
      <c r="G379" s="118">
        <v>12</v>
      </c>
      <c r="H379" s="118">
        <v>2</v>
      </c>
      <c r="I379" s="820">
        <v>26385</v>
      </c>
      <c r="J379" s="118">
        <f>+CUBICACION!J378</f>
        <v>0</v>
      </c>
      <c r="K379" s="118">
        <v>3158</v>
      </c>
      <c r="L379" s="118">
        <f>+CUBICACION!L378</f>
        <v>0</v>
      </c>
      <c r="M379" s="64">
        <f>+CUBICACION!M378</f>
        <v>0</v>
      </c>
      <c r="N379" s="824" t="str">
        <f>+CUBICACION!N378</f>
        <v/>
      </c>
      <c r="O379" s="675">
        <f>+CUBICACION!O378</f>
        <v>0</v>
      </c>
      <c r="P379" s="15">
        <f>IF(O379="Fire Control",VLOOKUP(_xlfn.MINIFS('FIRE CONTROL'!$C$4:$C$37,'FIRE CONTROL'!$C$4:$C$37,"&gt;="&amp;M379),'FIRE CONTROL'!$C$4:$G$37,IF(L379="F-15",2,IF(L379="F-30",3,IF(L379="F-60",4,IF(L379="F-90",5,0)))),0),0)+IF(AND(O379="FIRE TEX 5062",OR(E379="IN",E379="C",E379="Z",E379="L"),J379=3),VLOOKUP(_xlfn.MINIFS('FIRE TEX 5062'!$B$4:$B$34,'FIRE TEX 5062'!$B$4:$B$34,"&gt;="&amp;M379),'FIRE TEX 5062'!$B$4:$F$34,IF(L379="F-15",2,IF(L379="F-30",3,IF(L379="F-60",4,IF(L379="F-90",5,0)))),0),0)+IF(AND(O379="FIRE TEX 5062",OR(E379="IN",E379="C",E379="Z",E379="L"),J379=4),VLOOKUP(_xlfn.MINIFS('FIRE TEX 5062'!$G$4:$G$34,'FIRE TEX 5062'!$G$4:$G$34,"&gt;="&amp;M379),'FIRE TEX 5062'!$G$4:$K$34,IF(L379="F-15",2,IF(L379="F-30",3,IF(L379="F-60",4,IF(L379="F-90",5,0)))),0),0)+IF(AND(O379="FIRE TEX 5062",E379="CJ",J379=3),VLOOKUP(_xlfn.MINIFS('FIRE TEX 5062'!$L$4:$L$34,'FIRE TEX 5062'!$L$4:$L$34,"&gt;="&amp;M379),'FIRE TEX 5062'!$L$4:$P$34,IF(L379="F-15",2,IF(L379="F-30",3,IF(L379="F-60",4,IF(L379="F-90",5,0)))),0),0)+IF(AND(O379="FIRE TEX 5062",E379="CJ",J379=4),VLOOKUP(_xlfn.MINIFS('FIRE TEX 5062'!$Q$3:$Q$34,'FIRE TEX 5062'!$Q$3:$Q$34,"&gt;="&amp;M379),'FIRE TEX 5062'!$Q$3:$U$34,IF(L379="F-15",2,IF(L379="F-30",3,IF(L379="F-60",4,IF(L379="F-90",5,0)))),0),0)+IF(AND(O379="FIRE TEX 5090",OR(E379="IN",E379="C",E379="Z",E379="L"),J379=3),VLOOKUP(_xlfn.MINIFS('FIRE TEX 5090'!$B$5:$B$43,'FIRE TEX 5090'!$B$5:$B$43,"&gt;="&amp;M379),'FIRE TEX 5090'!$B$5:$H$43,IF(L379="F-15",2,IF(L379="F-30",3,IF(L379="F-60",4,IF(L379="F-90",5,IF(L379="F-120",6,IF(L379="F-150",7,0)))))),0),0)+IF(AND(O379="FIRE TEX 5090",OR(E379="IN",E379="C",E379="Z",E379="L"),J379=4),VLOOKUP(_xlfn.MINIFS('FIRE TEX 5090'!$J$5:$J$43,'FIRE TEX 5090'!$J$5:$J$43,"&gt;="&amp;M379),'FIRE TEX 5090'!$J$5:$P$43,IF(L379="F-15",2,IF(L379="F-30",3,IF(L379="F-60",4,IF(L379="F-90",5,IF(L379="F-120",6,IF(L379="F-150",7,0)))))),0),0)+IF(AND(O379="FIRE TEX 5090",E379="CJ",J379=3),VLOOKUP(_xlfn.MINIFS('FIRE TEX 5090'!$R$5:$R$30,'FIRE TEX 5090'!$R$5:$R$30,"&gt;="&amp;M379),'FIRE TEX 5090'!$R$5:$W$30,IF(L379="F-15",2,IF(L379="F-30",3,IF(L379="F-60",4,IF(L379="F-90",5,IF(L379="F-120",6,IF(L379="F-150",7,0)))))),0),0)+IF(AND(O379="FIRE TEX 5090",E379="CJ",J379=4),VLOOKUP(_xlfn.MINIFS('FIRE TEX 5090'!$Y$5:$Y$39,'FIRE TEX 5090'!$Y$5:$Y$39,"&gt;="&amp;M379),'FIRE TEX 5090'!$Y$5:$AD$39,IF(L379="F-15",2,IF(L379="F-30",3,IF(L379="F-60",4,IF(L379="F-90",5,IF(L379="F-120",6,IF(L379="F-150",7,0)))))),0),0)+IF(AND(O379="FIRE TEX 5120",OR(E379="IN",E379="C",E379="Z",E379="L"),J379=3),VLOOKUP(_xlfn.MINIFS('FIRE TEX 5120'!$B$5:$B$40,'FIRE TEX 5120'!$B$5:$B$40,"&gt;="&amp;M379),'FIRE TEX 5120'!$B$5:$G$40,IF(L379="F-15",2,IF(L379="F-30",3,IF(L379="F-60",4,IF(L379="F-90",5,IF(L379="F-120",6,0))))),0),0)+IF(AND(O379="FIRE TEX 5120",OR(E379="IN",E379="C",E379="Z",E379="L"),J379=4),VLOOKUP(_xlfn.MINIFS('FIRE TEX 5120'!$H$4:$H$40,'FIRE TEX 5120'!$H$4:$H$40,"&gt;="&amp;M379),'FIRE TEX 5120'!$H$4:$M$40,IF(L379="F-15",2,IF(L379="F-30",3,IF(L379="F-60",4,IF(L379="F-90",5,IF(L379="F-120",6,0))))),0),0)+IF(AND(O379="FIRE TEX 5120",E379="CJ"),VLOOKUP(_xlfn.MINIFS('FIRE TEX 5120'!$O$5:$O$40,'FIRE TEX 5120'!$O$5:$O$40,"&gt;="&amp;M379),'FIRE TEX 5120'!$O$5:$T$40,IF(L379="F-15",2,IF(L379="F-30",3,IF(L379="F-60",4,IF(L379="F-90",5,IF(L379="F-120",6,0))))),0),0)</f>
        <v>0</v>
      </c>
      <c r="Q379" s="46">
        <f t="shared" si="49"/>
        <v>0</v>
      </c>
      <c r="R379" s="46">
        <f t="shared" si="50"/>
        <v>0</v>
      </c>
      <c r="S379" s="46" t="e">
        <f t="shared" si="51"/>
        <v>#VALUE!</v>
      </c>
      <c r="T379" s="677">
        <f t="shared" si="52"/>
        <v>0</v>
      </c>
      <c r="U379" s="80">
        <f>(IF(O379="Stofire",(S379*#REF!),0))+(IF(O379="Fire Control",(S379*$U$2),0))+(IF(O379="Fire Tex",(S379*$U$3),0))+(IF(O379="WB7",(S379*#REF!),0)+(IF(O379="FX 2003",(S379*$U$5),0)))</f>
        <v>0</v>
      </c>
      <c r="V379" s="651">
        <f t="shared" si="53"/>
        <v>0</v>
      </c>
    </row>
    <row r="380" spans="4:23" x14ac:dyDescent="0.25">
      <c r="D380" s="118">
        <f>+CUBICACION!D379</f>
        <v>0</v>
      </c>
      <c r="E380" s="118">
        <f>+CUBICACION!F379</f>
        <v>0</v>
      </c>
      <c r="F380" s="118">
        <f>+CUBICACION!E379</f>
        <v>0</v>
      </c>
      <c r="G380" s="118">
        <v>12</v>
      </c>
      <c r="H380" s="118">
        <v>2</v>
      </c>
      <c r="I380" s="820">
        <v>26385</v>
      </c>
      <c r="J380" s="118">
        <f>+CUBICACION!J379</f>
        <v>0</v>
      </c>
      <c r="K380" s="118">
        <v>3159</v>
      </c>
      <c r="L380" s="118">
        <f>+CUBICACION!L379</f>
        <v>0</v>
      </c>
      <c r="M380" s="64">
        <f>+CUBICACION!M379</f>
        <v>0</v>
      </c>
      <c r="N380" s="824" t="str">
        <f>+CUBICACION!N379</f>
        <v/>
      </c>
      <c r="O380" s="675">
        <f>+CUBICACION!O379</f>
        <v>0</v>
      </c>
      <c r="P380" s="15">
        <f>IF(O380="Fire Control",VLOOKUP(_xlfn.MINIFS('FIRE CONTROL'!$C$4:$C$37,'FIRE CONTROL'!$C$4:$C$37,"&gt;="&amp;M380),'FIRE CONTROL'!$C$4:$G$37,IF(L380="F-15",2,IF(L380="F-30",3,IF(L380="F-60",4,IF(L380="F-90",5,0)))),0),0)+IF(AND(O380="FIRE TEX 5062",OR(E380="IN",E380="C",E380="Z",E380="L"),J380=3),VLOOKUP(_xlfn.MINIFS('FIRE TEX 5062'!$B$4:$B$34,'FIRE TEX 5062'!$B$4:$B$34,"&gt;="&amp;M380),'FIRE TEX 5062'!$B$4:$F$34,IF(L380="F-15",2,IF(L380="F-30",3,IF(L380="F-60",4,IF(L380="F-90",5,0)))),0),0)+IF(AND(O380="FIRE TEX 5062",OR(E380="IN",E380="C",E380="Z",E380="L"),J380=4),VLOOKUP(_xlfn.MINIFS('FIRE TEX 5062'!$G$4:$G$34,'FIRE TEX 5062'!$G$4:$G$34,"&gt;="&amp;M380),'FIRE TEX 5062'!$G$4:$K$34,IF(L380="F-15",2,IF(L380="F-30",3,IF(L380="F-60",4,IF(L380="F-90",5,0)))),0),0)+IF(AND(O380="FIRE TEX 5062",E380="CJ",J380=3),VLOOKUP(_xlfn.MINIFS('FIRE TEX 5062'!$L$4:$L$34,'FIRE TEX 5062'!$L$4:$L$34,"&gt;="&amp;M380),'FIRE TEX 5062'!$L$4:$P$34,IF(L380="F-15",2,IF(L380="F-30",3,IF(L380="F-60",4,IF(L380="F-90",5,0)))),0),0)+IF(AND(O380="FIRE TEX 5062",E380="CJ",J380=4),VLOOKUP(_xlfn.MINIFS('FIRE TEX 5062'!$Q$3:$Q$34,'FIRE TEX 5062'!$Q$3:$Q$34,"&gt;="&amp;M380),'FIRE TEX 5062'!$Q$3:$U$34,IF(L380="F-15",2,IF(L380="F-30",3,IF(L380="F-60",4,IF(L380="F-90",5,0)))),0),0)+IF(AND(O380="FIRE TEX 5090",OR(E380="IN",E380="C",E380="Z",E380="L"),J380=3),VLOOKUP(_xlfn.MINIFS('FIRE TEX 5090'!$B$5:$B$43,'FIRE TEX 5090'!$B$5:$B$43,"&gt;="&amp;M380),'FIRE TEX 5090'!$B$5:$H$43,IF(L380="F-15",2,IF(L380="F-30",3,IF(L380="F-60",4,IF(L380="F-90",5,IF(L380="F-120",6,IF(L380="F-150",7,0)))))),0),0)+IF(AND(O380="FIRE TEX 5090",OR(E380="IN",E380="C",E380="Z",E380="L"),J380=4),VLOOKUP(_xlfn.MINIFS('FIRE TEX 5090'!$J$5:$J$43,'FIRE TEX 5090'!$J$5:$J$43,"&gt;="&amp;M380),'FIRE TEX 5090'!$J$5:$P$43,IF(L380="F-15",2,IF(L380="F-30",3,IF(L380="F-60",4,IF(L380="F-90",5,IF(L380="F-120",6,IF(L380="F-150",7,0)))))),0),0)+IF(AND(O380="FIRE TEX 5090",E380="CJ",J380=3),VLOOKUP(_xlfn.MINIFS('FIRE TEX 5090'!$R$5:$R$30,'FIRE TEX 5090'!$R$5:$R$30,"&gt;="&amp;M380),'FIRE TEX 5090'!$R$5:$W$30,IF(L380="F-15",2,IF(L380="F-30",3,IF(L380="F-60",4,IF(L380="F-90",5,IF(L380="F-120",6,IF(L380="F-150",7,0)))))),0),0)+IF(AND(O380="FIRE TEX 5090",E380="CJ",J380=4),VLOOKUP(_xlfn.MINIFS('FIRE TEX 5090'!$Y$5:$Y$39,'FIRE TEX 5090'!$Y$5:$Y$39,"&gt;="&amp;M380),'FIRE TEX 5090'!$Y$5:$AD$39,IF(L380="F-15",2,IF(L380="F-30",3,IF(L380="F-60",4,IF(L380="F-90",5,IF(L380="F-120",6,IF(L380="F-150",7,0)))))),0),0)+IF(AND(O380="FIRE TEX 5120",OR(E380="IN",E380="C",E380="Z",E380="L"),J380=3),VLOOKUP(_xlfn.MINIFS('FIRE TEX 5120'!$B$5:$B$40,'FIRE TEX 5120'!$B$5:$B$40,"&gt;="&amp;M380),'FIRE TEX 5120'!$B$5:$G$40,IF(L380="F-15",2,IF(L380="F-30",3,IF(L380="F-60",4,IF(L380="F-90",5,IF(L380="F-120",6,0))))),0),0)+IF(AND(O380="FIRE TEX 5120",OR(E380="IN",E380="C",E380="Z",E380="L"),J380=4),VLOOKUP(_xlfn.MINIFS('FIRE TEX 5120'!$H$4:$H$40,'FIRE TEX 5120'!$H$4:$H$40,"&gt;="&amp;M380),'FIRE TEX 5120'!$H$4:$M$40,IF(L380="F-15",2,IF(L380="F-30",3,IF(L380="F-60",4,IF(L380="F-90",5,IF(L380="F-120",6,0))))),0),0)+IF(AND(O380="FIRE TEX 5120",E380="CJ"),VLOOKUP(_xlfn.MINIFS('FIRE TEX 5120'!$O$5:$O$40,'FIRE TEX 5120'!$O$5:$O$40,"&gt;="&amp;M380),'FIRE TEX 5120'!$O$5:$T$40,IF(L380="F-15",2,IF(L380="F-30",3,IF(L380="F-60",4,IF(L380="F-90",5,IF(L380="F-120",6,0))))),0),0)</f>
        <v>0</v>
      </c>
      <c r="Q380" s="46">
        <f t="shared" si="49"/>
        <v>0</v>
      </c>
      <c r="R380" s="46">
        <f t="shared" si="50"/>
        <v>0</v>
      </c>
      <c r="S380" s="46" t="e">
        <f t="shared" si="51"/>
        <v>#VALUE!</v>
      </c>
      <c r="T380" s="677">
        <f t="shared" si="52"/>
        <v>0</v>
      </c>
      <c r="U380" s="80">
        <f>(IF(O380="Stofire",(S380*#REF!),0))+(IF(O380="Fire Control",(S380*$U$2),0))+(IF(O380="Fire Tex",(S380*$U$3),0))+(IF(O380="WB7",(S380*#REF!),0)+(IF(O380="FX 2003",(S380*$U$5),0)))</f>
        <v>0</v>
      </c>
      <c r="V380" s="651">
        <f t="shared" si="53"/>
        <v>0</v>
      </c>
    </row>
    <row r="381" spans="4:23" x14ac:dyDescent="0.25">
      <c r="D381" s="118">
        <f>+CUBICACION!D380</f>
        <v>0</v>
      </c>
      <c r="E381" s="118">
        <f>+CUBICACION!F380</f>
        <v>0</v>
      </c>
      <c r="F381" s="118">
        <f>+CUBICACION!E380</f>
        <v>0</v>
      </c>
      <c r="G381" s="118">
        <v>12</v>
      </c>
      <c r="H381" s="118">
        <v>2</v>
      </c>
      <c r="I381" s="820">
        <v>26385</v>
      </c>
      <c r="J381" s="118">
        <f>+CUBICACION!J380</f>
        <v>0</v>
      </c>
      <c r="K381" s="118">
        <v>3160</v>
      </c>
      <c r="L381" s="118">
        <f>+CUBICACION!L380</f>
        <v>0</v>
      </c>
      <c r="M381" s="64">
        <f>+CUBICACION!M380</f>
        <v>0</v>
      </c>
      <c r="N381" s="824" t="str">
        <f>+CUBICACION!N380</f>
        <v/>
      </c>
      <c r="O381" s="675">
        <f>+CUBICACION!O380</f>
        <v>0</v>
      </c>
      <c r="P381" s="15">
        <f>IF(O381="Fire Control",VLOOKUP(_xlfn.MINIFS('FIRE CONTROL'!$C$4:$C$37,'FIRE CONTROL'!$C$4:$C$37,"&gt;="&amp;M381),'FIRE CONTROL'!$C$4:$G$37,IF(L381="F-15",2,IF(L381="F-30",3,IF(L381="F-60",4,IF(L381="F-90",5,0)))),0),0)+IF(AND(O381="FIRE TEX 5062",OR(E381="IN",E381="C",E381="Z",E381="L"),J381=3),VLOOKUP(_xlfn.MINIFS('FIRE TEX 5062'!$B$4:$B$34,'FIRE TEX 5062'!$B$4:$B$34,"&gt;="&amp;M381),'FIRE TEX 5062'!$B$4:$F$34,IF(L381="F-15",2,IF(L381="F-30",3,IF(L381="F-60",4,IF(L381="F-90",5,0)))),0),0)+IF(AND(O381="FIRE TEX 5062",OR(E381="IN",E381="C",E381="Z",E381="L"),J381=4),VLOOKUP(_xlfn.MINIFS('FIRE TEX 5062'!$G$4:$G$34,'FIRE TEX 5062'!$G$4:$G$34,"&gt;="&amp;M381),'FIRE TEX 5062'!$G$4:$K$34,IF(L381="F-15",2,IF(L381="F-30",3,IF(L381="F-60",4,IF(L381="F-90",5,0)))),0),0)+IF(AND(O381="FIRE TEX 5062",E381="CJ",J381=3),VLOOKUP(_xlfn.MINIFS('FIRE TEX 5062'!$L$4:$L$34,'FIRE TEX 5062'!$L$4:$L$34,"&gt;="&amp;M381),'FIRE TEX 5062'!$L$4:$P$34,IF(L381="F-15",2,IF(L381="F-30",3,IF(L381="F-60",4,IF(L381="F-90",5,0)))),0),0)+IF(AND(O381="FIRE TEX 5062",E381="CJ",J381=4),VLOOKUP(_xlfn.MINIFS('FIRE TEX 5062'!$Q$3:$Q$34,'FIRE TEX 5062'!$Q$3:$Q$34,"&gt;="&amp;M381),'FIRE TEX 5062'!$Q$3:$U$34,IF(L381="F-15",2,IF(L381="F-30",3,IF(L381="F-60",4,IF(L381="F-90",5,0)))),0),0)+IF(AND(O381="FIRE TEX 5090",OR(E381="IN",E381="C",E381="Z",E381="L"),J381=3),VLOOKUP(_xlfn.MINIFS('FIRE TEX 5090'!$B$5:$B$43,'FIRE TEX 5090'!$B$5:$B$43,"&gt;="&amp;M381),'FIRE TEX 5090'!$B$5:$H$43,IF(L381="F-15",2,IF(L381="F-30",3,IF(L381="F-60",4,IF(L381="F-90",5,IF(L381="F-120",6,IF(L381="F-150",7,0)))))),0),0)+IF(AND(O381="FIRE TEX 5090",OR(E381="IN",E381="C",E381="Z",E381="L"),J381=4),VLOOKUP(_xlfn.MINIFS('FIRE TEX 5090'!$J$5:$J$43,'FIRE TEX 5090'!$J$5:$J$43,"&gt;="&amp;M381),'FIRE TEX 5090'!$J$5:$P$43,IF(L381="F-15",2,IF(L381="F-30",3,IF(L381="F-60",4,IF(L381="F-90",5,IF(L381="F-120",6,IF(L381="F-150",7,0)))))),0),0)+IF(AND(O381="FIRE TEX 5090",E381="CJ",J381=3),VLOOKUP(_xlfn.MINIFS('FIRE TEX 5090'!$R$5:$R$30,'FIRE TEX 5090'!$R$5:$R$30,"&gt;="&amp;M381),'FIRE TEX 5090'!$R$5:$W$30,IF(L381="F-15",2,IF(L381="F-30",3,IF(L381="F-60",4,IF(L381="F-90",5,IF(L381="F-120",6,IF(L381="F-150",7,0)))))),0),0)+IF(AND(O381="FIRE TEX 5090",E381="CJ",J381=4),VLOOKUP(_xlfn.MINIFS('FIRE TEX 5090'!$Y$5:$Y$39,'FIRE TEX 5090'!$Y$5:$Y$39,"&gt;="&amp;M381),'FIRE TEX 5090'!$Y$5:$AD$39,IF(L381="F-15",2,IF(L381="F-30",3,IF(L381="F-60",4,IF(L381="F-90",5,IF(L381="F-120",6,IF(L381="F-150",7,0)))))),0),0)+IF(AND(O381="FIRE TEX 5120",OR(E381="IN",E381="C",E381="Z",E381="L"),J381=3),VLOOKUP(_xlfn.MINIFS('FIRE TEX 5120'!$B$5:$B$40,'FIRE TEX 5120'!$B$5:$B$40,"&gt;="&amp;M381),'FIRE TEX 5120'!$B$5:$G$40,IF(L381="F-15",2,IF(L381="F-30",3,IF(L381="F-60",4,IF(L381="F-90",5,IF(L381="F-120",6,0))))),0),0)+IF(AND(O381="FIRE TEX 5120",OR(E381="IN",E381="C",E381="Z",E381="L"),J381=4),VLOOKUP(_xlfn.MINIFS('FIRE TEX 5120'!$H$4:$H$40,'FIRE TEX 5120'!$H$4:$H$40,"&gt;="&amp;M381),'FIRE TEX 5120'!$H$4:$M$40,IF(L381="F-15",2,IF(L381="F-30",3,IF(L381="F-60",4,IF(L381="F-90",5,IF(L381="F-120",6,0))))),0),0)+IF(AND(O381="FIRE TEX 5120",E381="CJ"),VLOOKUP(_xlfn.MINIFS('FIRE TEX 5120'!$O$5:$O$40,'FIRE TEX 5120'!$O$5:$O$40,"&gt;="&amp;M381),'FIRE TEX 5120'!$O$5:$T$40,IF(L381="F-15",2,IF(L381="F-30",3,IF(L381="F-60",4,IF(L381="F-90",5,IF(L381="F-120",6,0))))),0),0)</f>
        <v>0</v>
      </c>
      <c r="Q381" s="46">
        <f t="shared" si="49"/>
        <v>0</v>
      </c>
      <c r="R381" s="46">
        <f t="shared" si="50"/>
        <v>0</v>
      </c>
      <c r="S381" s="46" t="e">
        <f t="shared" si="51"/>
        <v>#VALUE!</v>
      </c>
      <c r="T381" s="677">
        <f t="shared" si="52"/>
        <v>0</v>
      </c>
      <c r="U381" s="80">
        <f>(IF(O381="Stofire",(S381*#REF!),0))+(IF(O381="Fire Control",(S381*$U$2),0))+(IF(O381="Fire Tex",(S381*$U$3),0))+(IF(O381="WB7",(S381*#REF!),0)+(IF(O381="FX 2003",(S381*$U$5),0)))</f>
        <v>0</v>
      </c>
      <c r="V381" s="651">
        <f t="shared" si="53"/>
        <v>0</v>
      </c>
    </row>
    <row r="382" spans="4:23" x14ac:dyDescent="0.25">
      <c r="D382" s="118">
        <f>+CUBICACION!D381</f>
        <v>0</v>
      </c>
      <c r="E382" s="118">
        <f>+CUBICACION!F381</f>
        <v>0</v>
      </c>
      <c r="F382" s="118">
        <f>+CUBICACION!E381</f>
        <v>0</v>
      </c>
      <c r="G382" s="118">
        <v>12</v>
      </c>
      <c r="H382" s="118">
        <v>2</v>
      </c>
      <c r="I382" s="820">
        <v>26385</v>
      </c>
      <c r="J382" s="118">
        <f>+CUBICACION!J381</f>
        <v>0</v>
      </c>
      <c r="K382" s="118">
        <v>3161</v>
      </c>
      <c r="L382" s="118">
        <f>+CUBICACION!L381</f>
        <v>0</v>
      </c>
      <c r="M382" s="64">
        <f>+CUBICACION!M381</f>
        <v>0</v>
      </c>
      <c r="N382" s="824" t="str">
        <f>+CUBICACION!N381</f>
        <v/>
      </c>
      <c r="O382" s="675">
        <f>+CUBICACION!O381</f>
        <v>0</v>
      </c>
      <c r="P382" s="15">
        <f>IF(O382="Fire Control",VLOOKUP(_xlfn.MINIFS('FIRE CONTROL'!$C$4:$C$37,'FIRE CONTROL'!$C$4:$C$37,"&gt;="&amp;M382),'FIRE CONTROL'!$C$4:$G$37,IF(L382="F-15",2,IF(L382="F-30",3,IF(L382="F-60",4,IF(L382="F-90",5,0)))),0),0)+IF(AND(O382="FIRE TEX 5062",OR(E382="IN",E382="C",E382="Z",E382="L"),J382=3),VLOOKUP(_xlfn.MINIFS('FIRE TEX 5062'!$B$4:$B$34,'FIRE TEX 5062'!$B$4:$B$34,"&gt;="&amp;M382),'FIRE TEX 5062'!$B$4:$F$34,IF(L382="F-15",2,IF(L382="F-30",3,IF(L382="F-60",4,IF(L382="F-90",5,0)))),0),0)+IF(AND(O382="FIRE TEX 5062",OR(E382="IN",E382="C",E382="Z",E382="L"),J382=4),VLOOKUP(_xlfn.MINIFS('FIRE TEX 5062'!$G$4:$G$34,'FIRE TEX 5062'!$G$4:$G$34,"&gt;="&amp;M382),'FIRE TEX 5062'!$G$4:$K$34,IF(L382="F-15",2,IF(L382="F-30",3,IF(L382="F-60",4,IF(L382="F-90",5,0)))),0),0)+IF(AND(O382="FIRE TEX 5062",E382="CJ",J382=3),VLOOKUP(_xlfn.MINIFS('FIRE TEX 5062'!$L$4:$L$34,'FIRE TEX 5062'!$L$4:$L$34,"&gt;="&amp;M382),'FIRE TEX 5062'!$L$4:$P$34,IF(L382="F-15",2,IF(L382="F-30",3,IF(L382="F-60",4,IF(L382="F-90",5,0)))),0),0)+IF(AND(O382="FIRE TEX 5062",E382="CJ",J382=4),VLOOKUP(_xlfn.MINIFS('FIRE TEX 5062'!$Q$3:$Q$34,'FIRE TEX 5062'!$Q$3:$Q$34,"&gt;="&amp;M382),'FIRE TEX 5062'!$Q$3:$U$34,IF(L382="F-15",2,IF(L382="F-30",3,IF(L382="F-60",4,IF(L382="F-90",5,0)))),0),0)+IF(AND(O382="FIRE TEX 5090",OR(E382="IN",E382="C",E382="Z",E382="L"),J382=3),VLOOKUP(_xlfn.MINIFS('FIRE TEX 5090'!$B$5:$B$43,'FIRE TEX 5090'!$B$5:$B$43,"&gt;="&amp;M382),'FIRE TEX 5090'!$B$5:$H$43,IF(L382="F-15",2,IF(L382="F-30",3,IF(L382="F-60",4,IF(L382="F-90",5,IF(L382="F-120",6,IF(L382="F-150",7,0)))))),0),0)+IF(AND(O382="FIRE TEX 5090",OR(E382="IN",E382="C",E382="Z",E382="L"),J382=4),VLOOKUP(_xlfn.MINIFS('FIRE TEX 5090'!$J$5:$J$43,'FIRE TEX 5090'!$J$5:$J$43,"&gt;="&amp;M382),'FIRE TEX 5090'!$J$5:$P$43,IF(L382="F-15",2,IF(L382="F-30",3,IF(L382="F-60",4,IF(L382="F-90",5,IF(L382="F-120",6,IF(L382="F-150",7,0)))))),0),0)+IF(AND(O382="FIRE TEX 5090",E382="CJ",J382=3),VLOOKUP(_xlfn.MINIFS('FIRE TEX 5090'!$R$5:$R$30,'FIRE TEX 5090'!$R$5:$R$30,"&gt;="&amp;M382),'FIRE TEX 5090'!$R$5:$W$30,IF(L382="F-15",2,IF(L382="F-30",3,IF(L382="F-60",4,IF(L382="F-90",5,IF(L382="F-120",6,IF(L382="F-150",7,0)))))),0),0)+IF(AND(O382="FIRE TEX 5090",E382="CJ",J382=4),VLOOKUP(_xlfn.MINIFS('FIRE TEX 5090'!$Y$5:$Y$39,'FIRE TEX 5090'!$Y$5:$Y$39,"&gt;="&amp;M382),'FIRE TEX 5090'!$Y$5:$AD$39,IF(L382="F-15",2,IF(L382="F-30",3,IF(L382="F-60",4,IF(L382="F-90",5,IF(L382="F-120",6,IF(L382="F-150",7,0)))))),0),0)+IF(AND(O382="FIRE TEX 5120",OR(E382="IN",E382="C",E382="Z",E382="L"),J382=3),VLOOKUP(_xlfn.MINIFS('FIRE TEX 5120'!$B$5:$B$40,'FIRE TEX 5120'!$B$5:$B$40,"&gt;="&amp;M382),'FIRE TEX 5120'!$B$5:$G$40,IF(L382="F-15",2,IF(L382="F-30",3,IF(L382="F-60",4,IF(L382="F-90",5,IF(L382="F-120",6,0))))),0),0)+IF(AND(O382="FIRE TEX 5120",OR(E382="IN",E382="C",E382="Z",E382="L"),J382=4),VLOOKUP(_xlfn.MINIFS('FIRE TEX 5120'!$H$4:$H$40,'FIRE TEX 5120'!$H$4:$H$40,"&gt;="&amp;M382),'FIRE TEX 5120'!$H$4:$M$40,IF(L382="F-15",2,IF(L382="F-30",3,IF(L382="F-60",4,IF(L382="F-90",5,IF(L382="F-120",6,0))))),0),0)+IF(AND(O382="FIRE TEX 5120",E382="CJ"),VLOOKUP(_xlfn.MINIFS('FIRE TEX 5120'!$O$5:$O$40,'FIRE TEX 5120'!$O$5:$O$40,"&gt;="&amp;M382),'FIRE TEX 5120'!$O$5:$T$40,IF(L382="F-15",2,IF(L382="F-30",3,IF(L382="F-60",4,IF(L382="F-90",5,IF(L382="F-120",6,0))))),0),0)</f>
        <v>0</v>
      </c>
      <c r="Q382" s="46">
        <f t="shared" si="49"/>
        <v>0</v>
      </c>
      <c r="R382" s="46">
        <f t="shared" si="50"/>
        <v>0</v>
      </c>
      <c r="S382" s="46" t="e">
        <f t="shared" si="51"/>
        <v>#VALUE!</v>
      </c>
      <c r="T382" s="677">
        <f t="shared" si="52"/>
        <v>0</v>
      </c>
      <c r="U382" s="80">
        <f>(IF(O382="Stofire",(S382*#REF!),0))+(IF(O382="Fire Control",(S382*$U$2),0))+(IF(O382="Fire Tex",(S382*$U$3),0))+(IF(O382="WB7",(S382*#REF!),0)+(IF(O382="FX 2003",(S382*$U$5),0)))</f>
        <v>0</v>
      </c>
      <c r="V382" s="651">
        <f t="shared" si="53"/>
        <v>0</v>
      </c>
    </row>
    <row r="383" spans="4:23" x14ac:dyDescent="0.25">
      <c r="D383" s="118">
        <f>+CUBICACION!D382</f>
        <v>0</v>
      </c>
      <c r="E383" s="118">
        <f>+CUBICACION!F382</f>
        <v>0</v>
      </c>
      <c r="F383" s="118">
        <f>+CUBICACION!E382</f>
        <v>0</v>
      </c>
      <c r="G383" s="118">
        <v>12</v>
      </c>
      <c r="H383" s="118">
        <v>2</v>
      </c>
      <c r="I383" s="820">
        <v>26385</v>
      </c>
      <c r="J383" s="118">
        <f>+CUBICACION!J382</f>
        <v>0</v>
      </c>
      <c r="K383" s="118">
        <v>3162</v>
      </c>
      <c r="L383" s="118">
        <f>+CUBICACION!L382</f>
        <v>0</v>
      </c>
      <c r="M383" s="64">
        <f>+CUBICACION!M382</f>
        <v>0</v>
      </c>
      <c r="N383" s="824" t="str">
        <f>+CUBICACION!N382</f>
        <v/>
      </c>
      <c r="O383" s="675">
        <f>+CUBICACION!O382</f>
        <v>0</v>
      </c>
      <c r="P383" s="15">
        <f>IF(O383="Fire Control",VLOOKUP(_xlfn.MINIFS('FIRE CONTROL'!$C$4:$C$37,'FIRE CONTROL'!$C$4:$C$37,"&gt;="&amp;M383),'FIRE CONTROL'!$C$4:$G$37,IF(L383="F-15",2,IF(L383="F-30",3,IF(L383="F-60",4,IF(L383="F-90",5,0)))),0),0)+IF(AND(O383="FIRE TEX 5062",OR(E383="IN",E383="C",E383="Z",E383="L"),J383=3),VLOOKUP(_xlfn.MINIFS('FIRE TEX 5062'!$B$4:$B$34,'FIRE TEX 5062'!$B$4:$B$34,"&gt;="&amp;M383),'FIRE TEX 5062'!$B$4:$F$34,IF(L383="F-15",2,IF(L383="F-30",3,IF(L383="F-60",4,IF(L383="F-90",5,0)))),0),0)+IF(AND(O383="FIRE TEX 5062",OR(E383="IN",E383="C",E383="Z",E383="L"),J383=4),VLOOKUP(_xlfn.MINIFS('FIRE TEX 5062'!$G$4:$G$34,'FIRE TEX 5062'!$G$4:$G$34,"&gt;="&amp;M383),'FIRE TEX 5062'!$G$4:$K$34,IF(L383="F-15",2,IF(L383="F-30",3,IF(L383="F-60",4,IF(L383="F-90",5,0)))),0),0)+IF(AND(O383="FIRE TEX 5062",E383="CJ",J383=3),VLOOKUP(_xlfn.MINIFS('FIRE TEX 5062'!$L$4:$L$34,'FIRE TEX 5062'!$L$4:$L$34,"&gt;="&amp;M383),'FIRE TEX 5062'!$L$4:$P$34,IF(L383="F-15",2,IF(L383="F-30",3,IF(L383="F-60",4,IF(L383="F-90",5,0)))),0),0)+IF(AND(O383="FIRE TEX 5062",E383="CJ",J383=4),VLOOKUP(_xlfn.MINIFS('FIRE TEX 5062'!$Q$3:$Q$34,'FIRE TEX 5062'!$Q$3:$Q$34,"&gt;="&amp;M383),'FIRE TEX 5062'!$Q$3:$U$34,IF(L383="F-15",2,IF(L383="F-30",3,IF(L383="F-60",4,IF(L383="F-90",5,0)))),0),0)+IF(AND(O383="FIRE TEX 5090",OR(E383="IN",E383="C",E383="Z",E383="L"),J383=3),VLOOKUP(_xlfn.MINIFS('FIRE TEX 5090'!$B$5:$B$43,'FIRE TEX 5090'!$B$5:$B$43,"&gt;="&amp;M383),'FIRE TEX 5090'!$B$5:$H$43,IF(L383="F-15",2,IF(L383="F-30",3,IF(L383="F-60",4,IF(L383="F-90",5,IF(L383="F-120",6,IF(L383="F-150",7,0)))))),0),0)+IF(AND(O383="FIRE TEX 5090",OR(E383="IN",E383="C",E383="Z",E383="L"),J383=4),VLOOKUP(_xlfn.MINIFS('FIRE TEX 5090'!$J$5:$J$43,'FIRE TEX 5090'!$J$5:$J$43,"&gt;="&amp;M383),'FIRE TEX 5090'!$J$5:$P$43,IF(L383="F-15",2,IF(L383="F-30",3,IF(L383="F-60",4,IF(L383="F-90",5,IF(L383="F-120",6,IF(L383="F-150",7,0)))))),0),0)+IF(AND(O383="FIRE TEX 5090",E383="CJ",J383=3),VLOOKUP(_xlfn.MINIFS('FIRE TEX 5090'!$R$5:$R$30,'FIRE TEX 5090'!$R$5:$R$30,"&gt;="&amp;M383),'FIRE TEX 5090'!$R$5:$W$30,IF(L383="F-15",2,IF(L383="F-30",3,IF(L383="F-60",4,IF(L383="F-90",5,IF(L383="F-120",6,IF(L383="F-150",7,0)))))),0),0)+IF(AND(O383="FIRE TEX 5090",E383="CJ",J383=4),VLOOKUP(_xlfn.MINIFS('FIRE TEX 5090'!$Y$5:$Y$39,'FIRE TEX 5090'!$Y$5:$Y$39,"&gt;="&amp;M383),'FIRE TEX 5090'!$Y$5:$AD$39,IF(L383="F-15",2,IF(L383="F-30",3,IF(L383="F-60",4,IF(L383="F-90",5,IF(L383="F-120",6,IF(L383="F-150",7,0)))))),0),0)+IF(AND(O383="FIRE TEX 5120",OR(E383="IN",E383="C",E383="Z",E383="L"),J383=3),VLOOKUP(_xlfn.MINIFS('FIRE TEX 5120'!$B$5:$B$40,'FIRE TEX 5120'!$B$5:$B$40,"&gt;="&amp;M383),'FIRE TEX 5120'!$B$5:$G$40,IF(L383="F-15",2,IF(L383="F-30",3,IF(L383="F-60",4,IF(L383="F-90",5,IF(L383="F-120",6,0))))),0),0)+IF(AND(O383="FIRE TEX 5120",OR(E383="IN",E383="C",E383="Z",E383="L"),J383=4),VLOOKUP(_xlfn.MINIFS('FIRE TEX 5120'!$H$4:$H$40,'FIRE TEX 5120'!$H$4:$H$40,"&gt;="&amp;M383),'FIRE TEX 5120'!$H$4:$M$40,IF(L383="F-15",2,IF(L383="F-30",3,IF(L383="F-60",4,IF(L383="F-90",5,IF(L383="F-120",6,0))))),0),0)+IF(AND(O383="FIRE TEX 5120",E383="CJ"),VLOOKUP(_xlfn.MINIFS('FIRE TEX 5120'!$O$5:$O$40,'FIRE TEX 5120'!$O$5:$O$40,"&gt;="&amp;M383),'FIRE TEX 5120'!$O$5:$T$40,IF(L383="F-15",2,IF(L383="F-30",3,IF(L383="F-60",4,IF(L383="F-90",5,IF(L383="F-120",6,0))))),0),0)</f>
        <v>0</v>
      </c>
      <c r="Q383" s="46">
        <f t="shared" si="49"/>
        <v>0</v>
      </c>
      <c r="R383" s="46">
        <f t="shared" si="50"/>
        <v>0</v>
      </c>
      <c r="S383" s="46" t="e">
        <f t="shared" si="51"/>
        <v>#VALUE!</v>
      </c>
      <c r="T383" s="677">
        <f t="shared" si="52"/>
        <v>0</v>
      </c>
      <c r="U383" s="80">
        <f>(IF(O383="Stofire",(S383*#REF!),0))+(IF(O383="Fire Control",(S383*$U$2),0))+(IF(O383="Fire Tex",(S383*$U$3),0))+(IF(O383="WB7",(S383*#REF!),0)+(IF(O383="FX 2003",(S383*$U$5),0)))</f>
        <v>0</v>
      </c>
      <c r="V383" s="651">
        <f t="shared" si="53"/>
        <v>0</v>
      </c>
    </row>
    <row r="384" spans="4:23" x14ac:dyDescent="0.25">
      <c r="D384" s="118">
        <f>+CUBICACION!D383</f>
        <v>0</v>
      </c>
      <c r="E384" s="118">
        <f>+CUBICACION!F383</f>
        <v>0</v>
      </c>
      <c r="F384" s="118">
        <f>+CUBICACION!E383</f>
        <v>0</v>
      </c>
      <c r="G384" s="118">
        <v>12</v>
      </c>
      <c r="H384" s="118">
        <v>2</v>
      </c>
      <c r="I384" s="820">
        <v>26385</v>
      </c>
      <c r="J384" s="118">
        <f>+CUBICACION!J383</f>
        <v>0</v>
      </c>
      <c r="K384" s="118">
        <v>3163</v>
      </c>
      <c r="L384" s="118">
        <f>+CUBICACION!L383</f>
        <v>0</v>
      </c>
      <c r="M384" s="64">
        <f>+CUBICACION!M383</f>
        <v>0</v>
      </c>
      <c r="N384" s="824" t="str">
        <f>+CUBICACION!N383</f>
        <v/>
      </c>
      <c r="O384" s="675">
        <f>+CUBICACION!O383</f>
        <v>0</v>
      </c>
      <c r="P384" s="15">
        <f>IF(O384="Fire Control",VLOOKUP(_xlfn.MINIFS('FIRE CONTROL'!$C$4:$C$37,'FIRE CONTROL'!$C$4:$C$37,"&gt;="&amp;M384),'FIRE CONTROL'!$C$4:$G$37,IF(L384="F-15",2,IF(L384="F-30",3,IF(L384="F-60",4,IF(L384="F-90",5,0)))),0),0)+IF(AND(O384="FIRE TEX 5062",OR(E384="IN",E384="C",E384="Z",E384="L"),J384=3),VLOOKUP(_xlfn.MINIFS('FIRE TEX 5062'!$B$4:$B$34,'FIRE TEX 5062'!$B$4:$B$34,"&gt;="&amp;M384),'FIRE TEX 5062'!$B$4:$F$34,IF(L384="F-15",2,IF(L384="F-30",3,IF(L384="F-60",4,IF(L384="F-90",5,0)))),0),0)+IF(AND(O384="FIRE TEX 5062",OR(E384="IN",E384="C",E384="Z",E384="L"),J384=4),VLOOKUP(_xlfn.MINIFS('FIRE TEX 5062'!$G$4:$G$34,'FIRE TEX 5062'!$G$4:$G$34,"&gt;="&amp;M384),'FIRE TEX 5062'!$G$4:$K$34,IF(L384="F-15",2,IF(L384="F-30",3,IF(L384="F-60",4,IF(L384="F-90",5,0)))),0),0)+IF(AND(O384="FIRE TEX 5062",E384="CJ",J384=3),VLOOKUP(_xlfn.MINIFS('FIRE TEX 5062'!$L$4:$L$34,'FIRE TEX 5062'!$L$4:$L$34,"&gt;="&amp;M384),'FIRE TEX 5062'!$L$4:$P$34,IF(L384="F-15",2,IF(L384="F-30",3,IF(L384="F-60",4,IF(L384="F-90",5,0)))),0),0)+IF(AND(O384="FIRE TEX 5062",E384="CJ",J384=4),VLOOKUP(_xlfn.MINIFS('FIRE TEX 5062'!$Q$3:$Q$34,'FIRE TEX 5062'!$Q$3:$Q$34,"&gt;="&amp;M384),'FIRE TEX 5062'!$Q$3:$U$34,IF(L384="F-15",2,IF(L384="F-30",3,IF(L384="F-60",4,IF(L384="F-90",5,0)))),0),0)+IF(AND(O384="FIRE TEX 5090",OR(E384="IN",E384="C",E384="Z",E384="L"),J384=3),VLOOKUP(_xlfn.MINIFS('FIRE TEX 5090'!$B$5:$B$43,'FIRE TEX 5090'!$B$5:$B$43,"&gt;="&amp;M384),'FIRE TEX 5090'!$B$5:$H$43,IF(L384="F-15",2,IF(L384="F-30",3,IF(L384="F-60",4,IF(L384="F-90",5,IF(L384="F-120",6,IF(L384="F-150",7,0)))))),0),0)+IF(AND(O384="FIRE TEX 5090",OR(E384="IN",E384="C",E384="Z",E384="L"),J384=4),VLOOKUP(_xlfn.MINIFS('FIRE TEX 5090'!$J$5:$J$43,'FIRE TEX 5090'!$J$5:$J$43,"&gt;="&amp;M384),'FIRE TEX 5090'!$J$5:$P$43,IF(L384="F-15",2,IF(L384="F-30",3,IF(L384="F-60",4,IF(L384="F-90",5,IF(L384="F-120",6,IF(L384="F-150",7,0)))))),0),0)+IF(AND(O384="FIRE TEX 5090",E384="CJ",J384=3),VLOOKUP(_xlfn.MINIFS('FIRE TEX 5090'!$R$5:$R$30,'FIRE TEX 5090'!$R$5:$R$30,"&gt;="&amp;M384),'FIRE TEX 5090'!$R$5:$W$30,IF(L384="F-15",2,IF(L384="F-30",3,IF(L384="F-60",4,IF(L384="F-90",5,IF(L384="F-120",6,IF(L384="F-150",7,0)))))),0),0)+IF(AND(O384="FIRE TEX 5090",E384="CJ",J384=4),VLOOKUP(_xlfn.MINIFS('FIRE TEX 5090'!$Y$5:$Y$39,'FIRE TEX 5090'!$Y$5:$Y$39,"&gt;="&amp;M384),'FIRE TEX 5090'!$Y$5:$AD$39,IF(L384="F-15",2,IF(L384="F-30",3,IF(L384="F-60",4,IF(L384="F-90",5,IF(L384="F-120",6,IF(L384="F-150",7,0)))))),0),0)+IF(AND(O384="FIRE TEX 5120",OR(E384="IN",E384="C",E384="Z",E384="L"),J384=3),VLOOKUP(_xlfn.MINIFS('FIRE TEX 5120'!$B$5:$B$40,'FIRE TEX 5120'!$B$5:$B$40,"&gt;="&amp;M384),'FIRE TEX 5120'!$B$5:$G$40,IF(L384="F-15",2,IF(L384="F-30",3,IF(L384="F-60",4,IF(L384="F-90",5,IF(L384="F-120",6,0))))),0),0)+IF(AND(O384="FIRE TEX 5120",OR(E384="IN",E384="C",E384="Z",E384="L"),J384=4),VLOOKUP(_xlfn.MINIFS('FIRE TEX 5120'!$H$4:$H$40,'FIRE TEX 5120'!$H$4:$H$40,"&gt;="&amp;M384),'FIRE TEX 5120'!$H$4:$M$40,IF(L384="F-15",2,IF(L384="F-30",3,IF(L384="F-60",4,IF(L384="F-90",5,IF(L384="F-120",6,0))))),0),0)+IF(AND(O384="FIRE TEX 5120",E384="CJ"),VLOOKUP(_xlfn.MINIFS('FIRE TEX 5120'!$O$5:$O$40,'FIRE TEX 5120'!$O$5:$O$40,"&gt;="&amp;M384),'FIRE TEX 5120'!$O$5:$T$40,IF(L384="F-15",2,IF(L384="F-30",3,IF(L384="F-60",4,IF(L384="F-90",5,IF(L384="F-120",6,0))))),0),0)</f>
        <v>0</v>
      </c>
      <c r="Q384" s="46">
        <f t="shared" si="49"/>
        <v>0</v>
      </c>
      <c r="R384" s="46">
        <f t="shared" si="50"/>
        <v>0</v>
      </c>
      <c r="S384" s="46" t="e">
        <f t="shared" si="51"/>
        <v>#VALUE!</v>
      </c>
      <c r="T384" s="677">
        <f t="shared" si="52"/>
        <v>0</v>
      </c>
      <c r="U384" s="80">
        <f>(IF(O384="Stofire",(S384*#REF!),0))+(IF(O384="Fire Control",(S384*$U$2),0))+(IF(O384="Fire Tex",(S384*$U$3),0))+(IF(O384="WB7",(S384*#REF!),0)+(IF(O384="FX 2003",(S384*$U$5),0)))</f>
        <v>0</v>
      </c>
      <c r="V384" s="651">
        <f t="shared" si="53"/>
        <v>0</v>
      </c>
    </row>
    <row r="385" spans="4:22" x14ac:dyDescent="0.25">
      <c r="D385" s="118">
        <f>+CUBICACION!D384</f>
        <v>0</v>
      </c>
      <c r="E385" s="118">
        <f>+CUBICACION!F384</f>
        <v>0</v>
      </c>
      <c r="F385" s="118">
        <f>+CUBICACION!E384</f>
        <v>0</v>
      </c>
      <c r="G385" s="118">
        <v>12</v>
      </c>
      <c r="H385" s="118">
        <v>2</v>
      </c>
      <c r="I385" s="820">
        <v>26385</v>
      </c>
      <c r="J385" s="118">
        <f>+CUBICACION!J384</f>
        <v>0</v>
      </c>
      <c r="K385" s="118">
        <v>3164</v>
      </c>
      <c r="L385" s="118">
        <f>+CUBICACION!L384</f>
        <v>0</v>
      </c>
      <c r="M385" s="64">
        <f>+CUBICACION!M384</f>
        <v>0</v>
      </c>
      <c r="N385" s="824" t="str">
        <f>+CUBICACION!N384</f>
        <v/>
      </c>
      <c r="O385" s="675">
        <f>+CUBICACION!O384</f>
        <v>0</v>
      </c>
      <c r="P385" s="15">
        <f>IF(O385="Fire Control",VLOOKUP(_xlfn.MINIFS('FIRE CONTROL'!$C$4:$C$37,'FIRE CONTROL'!$C$4:$C$37,"&gt;="&amp;M385),'FIRE CONTROL'!$C$4:$G$37,IF(L385="F-15",2,IF(L385="F-30",3,IF(L385="F-60",4,IF(L385="F-90",5,0)))),0),0)+IF(AND(O385="FIRE TEX 5062",OR(E385="IN",E385="C",E385="Z",E385="L"),J385=3),VLOOKUP(_xlfn.MINIFS('FIRE TEX 5062'!$B$4:$B$34,'FIRE TEX 5062'!$B$4:$B$34,"&gt;="&amp;M385),'FIRE TEX 5062'!$B$4:$F$34,IF(L385="F-15",2,IF(L385="F-30",3,IF(L385="F-60",4,IF(L385="F-90",5,0)))),0),0)+IF(AND(O385="FIRE TEX 5062",OR(E385="IN",E385="C",E385="Z",E385="L"),J385=4),VLOOKUP(_xlfn.MINIFS('FIRE TEX 5062'!$G$4:$G$34,'FIRE TEX 5062'!$G$4:$G$34,"&gt;="&amp;M385),'FIRE TEX 5062'!$G$4:$K$34,IF(L385="F-15",2,IF(L385="F-30",3,IF(L385="F-60",4,IF(L385="F-90",5,0)))),0),0)+IF(AND(O385="FIRE TEX 5062",E385="CJ",J385=3),VLOOKUP(_xlfn.MINIFS('FIRE TEX 5062'!$L$4:$L$34,'FIRE TEX 5062'!$L$4:$L$34,"&gt;="&amp;M385),'FIRE TEX 5062'!$L$4:$P$34,IF(L385="F-15",2,IF(L385="F-30",3,IF(L385="F-60",4,IF(L385="F-90",5,0)))),0),0)+IF(AND(O385="FIRE TEX 5062",E385="CJ",J385=4),VLOOKUP(_xlfn.MINIFS('FIRE TEX 5062'!$Q$3:$Q$34,'FIRE TEX 5062'!$Q$3:$Q$34,"&gt;="&amp;M385),'FIRE TEX 5062'!$Q$3:$U$34,IF(L385="F-15",2,IF(L385="F-30",3,IF(L385="F-60",4,IF(L385="F-90",5,0)))),0),0)+IF(AND(O385="FIRE TEX 5090",OR(E385="IN",E385="C",E385="Z",E385="L"),J385=3),VLOOKUP(_xlfn.MINIFS('FIRE TEX 5090'!$B$5:$B$43,'FIRE TEX 5090'!$B$5:$B$43,"&gt;="&amp;M385),'FIRE TEX 5090'!$B$5:$H$43,IF(L385="F-15",2,IF(L385="F-30",3,IF(L385="F-60",4,IF(L385="F-90",5,IF(L385="F-120",6,IF(L385="F-150",7,0)))))),0),0)+IF(AND(O385="FIRE TEX 5090",OR(E385="IN",E385="C",E385="Z",E385="L"),J385=4),VLOOKUP(_xlfn.MINIFS('FIRE TEX 5090'!$J$5:$J$43,'FIRE TEX 5090'!$J$5:$J$43,"&gt;="&amp;M385),'FIRE TEX 5090'!$J$5:$P$43,IF(L385="F-15",2,IF(L385="F-30",3,IF(L385="F-60",4,IF(L385="F-90",5,IF(L385="F-120",6,IF(L385="F-150",7,0)))))),0),0)+IF(AND(O385="FIRE TEX 5090",E385="CJ",J385=3),VLOOKUP(_xlfn.MINIFS('FIRE TEX 5090'!$R$5:$R$30,'FIRE TEX 5090'!$R$5:$R$30,"&gt;="&amp;M385),'FIRE TEX 5090'!$R$5:$W$30,IF(L385="F-15",2,IF(L385="F-30",3,IF(L385="F-60",4,IF(L385="F-90",5,IF(L385="F-120",6,IF(L385="F-150",7,0)))))),0),0)+IF(AND(O385="FIRE TEX 5090",E385="CJ",J385=4),VLOOKUP(_xlfn.MINIFS('FIRE TEX 5090'!$Y$5:$Y$39,'FIRE TEX 5090'!$Y$5:$Y$39,"&gt;="&amp;M385),'FIRE TEX 5090'!$Y$5:$AD$39,IF(L385="F-15",2,IF(L385="F-30",3,IF(L385="F-60",4,IF(L385="F-90",5,IF(L385="F-120",6,IF(L385="F-150",7,0)))))),0),0)+IF(AND(O385="FIRE TEX 5120",OR(E385="IN",E385="C",E385="Z",E385="L"),J385=3),VLOOKUP(_xlfn.MINIFS('FIRE TEX 5120'!$B$5:$B$40,'FIRE TEX 5120'!$B$5:$B$40,"&gt;="&amp;M385),'FIRE TEX 5120'!$B$5:$G$40,IF(L385="F-15",2,IF(L385="F-30",3,IF(L385="F-60",4,IF(L385="F-90",5,IF(L385="F-120",6,0))))),0),0)+IF(AND(O385="FIRE TEX 5120",OR(E385="IN",E385="C",E385="Z",E385="L"),J385=4),VLOOKUP(_xlfn.MINIFS('FIRE TEX 5120'!$H$4:$H$40,'FIRE TEX 5120'!$H$4:$H$40,"&gt;="&amp;M385),'FIRE TEX 5120'!$H$4:$M$40,IF(L385="F-15",2,IF(L385="F-30",3,IF(L385="F-60",4,IF(L385="F-90",5,IF(L385="F-120",6,0))))),0),0)+IF(AND(O385="FIRE TEX 5120",E385="CJ"),VLOOKUP(_xlfn.MINIFS('FIRE TEX 5120'!$O$5:$O$40,'FIRE TEX 5120'!$O$5:$O$40,"&gt;="&amp;M385),'FIRE TEX 5120'!$O$5:$T$40,IF(L385="F-15",2,IF(L385="F-30",3,IF(L385="F-60",4,IF(L385="F-90",5,IF(L385="F-120",6,0))))),0),0)</f>
        <v>0</v>
      </c>
      <c r="Q385" s="46">
        <f t="shared" si="49"/>
        <v>0</v>
      </c>
      <c r="R385" s="46">
        <f t="shared" si="50"/>
        <v>0</v>
      </c>
      <c r="S385" s="46" t="e">
        <f t="shared" si="51"/>
        <v>#VALUE!</v>
      </c>
      <c r="T385" s="677">
        <f t="shared" si="52"/>
        <v>0</v>
      </c>
      <c r="U385" s="80">
        <f>(IF(O385="Stofire",(S385*#REF!),0))+(IF(O385="Fire Control",(S385*$U$2),0))+(IF(O385="Fire Tex",(S385*$U$3),0))+(IF(O385="WB7",(S385*#REF!),0)+(IF(O385="FX 2003",(S385*$U$5),0)))</f>
        <v>0</v>
      </c>
      <c r="V385" s="651">
        <f t="shared" si="53"/>
        <v>0</v>
      </c>
    </row>
    <row r="386" spans="4:22" x14ac:dyDescent="0.25">
      <c r="D386" s="118">
        <f>+CUBICACION!D385</f>
        <v>0</v>
      </c>
      <c r="E386" s="118">
        <f>+CUBICACION!F385</f>
        <v>0</v>
      </c>
      <c r="F386" s="118">
        <f>+CUBICACION!E385</f>
        <v>0</v>
      </c>
      <c r="G386" s="118">
        <v>12</v>
      </c>
      <c r="H386" s="118">
        <v>2</v>
      </c>
      <c r="I386" s="820">
        <v>26385</v>
      </c>
      <c r="J386" s="118">
        <f>+CUBICACION!J385</f>
        <v>0</v>
      </c>
      <c r="K386" s="118">
        <v>3165</v>
      </c>
      <c r="L386" s="118">
        <f>+CUBICACION!L385</f>
        <v>0</v>
      </c>
      <c r="M386" s="64">
        <f>+CUBICACION!M385</f>
        <v>0</v>
      </c>
      <c r="N386" s="824" t="str">
        <f>+CUBICACION!N385</f>
        <v/>
      </c>
      <c r="O386" s="675">
        <f>+CUBICACION!O385</f>
        <v>0</v>
      </c>
      <c r="P386" s="15">
        <f>IF(O386="Fire Control",VLOOKUP(_xlfn.MINIFS('FIRE CONTROL'!$C$4:$C$37,'FIRE CONTROL'!$C$4:$C$37,"&gt;="&amp;M386),'FIRE CONTROL'!$C$4:$G$37,IF(L386="F-15",2,IF(L386="F-30",3,IF(L386="F-60",4,IF(L386="F-90",5,0)))),0),0)+IF(AND(O386="FIRE TEX 5062",OR(E386="IN",E386="C",E386="Z",E386="L"),J386=3),VLOOKUP(_xlfn.MINIFS('FIRE TEX 5062'!$B$4:$B$34,'FIRE TEX 5062'!$B$4:$B$34,"&gt;="&amp;M386),'FIRE TEX 5062'!$B$4:$F$34,IF(L386="F-15",2,IF(L386="F-30",3,IF(L386="F-60",4,IF(L386="F-90",5,0)))),0),0)+IF(AND(O386="FIRE TEX 5062",OR(E386="IN",E386="C",E386="Z",E386="L"),J386=4),VLOOKUP(_xlfn.MINIFS('FIRE TEX 5062'!$G$4:$G$34,'FIRE TEX 5062'!$G$4:$G$34,"&gt;="&amp;M386),'FIRE TEX 5062'!$G$4:$K$34,IF(L386="F-15",2,IF(L386="F-30",3,IF(L386="F-60",4,IF(L386="F-90",5,0)))),0),0)+IF(AND(O386="FIRE TEX 5062",E386="CJ",J386=3),VLOOKUP(_xlfn.MINIFS('FIRE TEX 5062'!$L$4:$L$34,'FIRE TEX 5062'!$L$4:$L$34,"&gt;="&amp;M386),'FIRE TEX 5062'!$L$4:$P$34,IF(L386="F-15",2,IF(L386="F-30",3,IF(L386="F-60",4,IF(L386="F-90",5,0)))),0),0)+IF(AND(O386="FIRE TEX 5062",E386="CJ",J386=4),VLOOKUP(_xlfn.MINIFS('FIRE TEX 5062'!$Q$3:$Q$34,'FIRE TEX 5062'!$Q$3:$Q$34,"&gt;="&amp;M386),'FIRE TEX 5062'!$Q$3:$U$34,IF(L386="F-15",2,IF(L386="F-30",3,IF(L386="F-60",4,IF(L386="F-90",5,0)))),0),0)+IF(AND(O386="FIRE TEX 5090",OR(E386="IN",E386="C",E386="Z",E386="L"),J386=3),VLOOKUP(_xlfn.MINIFS('FIRE TEX 5090'!$B$5:$B$43,'FIRE TEX 5090'!$B$5:$B$43,"&gt;="&amp;M386),'FIRE TEX 5090'!$B$5:$H$43,IF(L386="F-15",2,IF(L386="F-30",3,IF(L386="F-60",4,IF(L386="F-90",5,IF(L386="F-120",6,IF(L386="F-150",7,0)))))),0),0)+IF(AND(O386="FIRE TEX 5090",OR(E386="IN",E386="C",E386="Z",E386="L"),J386=4),VLOOKUP(_xlfn.MINIFS('FIRE TEX 5090'!$J$5:$J$43,'FIRE TEX 5090'!$J$5:$J$43,"&gt;="&amp;M386),'FIRE TEX 5090'!$J$5:$P$43,IF(L386="F-15",2,IF(L386="F-30",3,IF(L386="F-60",4,IF(L386="F-90",5,IF(L386="F-120",6,IF(L386="F-150",7,0)))))),0),0)+IF(AND(O386="FIRE TEX 5090",E386="CJ",J386=3),VLOOKUP(_xlfn.MINIFS('FIRE TEX 5090'!$R$5:$R$30,'FIRE TEX 5090'!$R$5:$R$30,"&gt;="&amp;M386),'FIRE TEX 5090'!$R$5:$W$30,IF(L386="F-15",2,IF(L386="F-30",3,IF(L386="F-60",4,IF(L386="F-90",5,IF(L386="F-120",6,IF(L386="F-150",7,0)))))),0),0)+IF(AND(O386="FIRE TEX 5090",E386="CJ",J386=4),VLOOKUP(_xlfn.MINIFS('FIRE TEX 5090'!$Y$5:$Y$39,'FIRE TEX 5090'!$Y$5:$Y$39,"&gt;="&amp;M386),'FIRE TEX 5090'!$Y$5:$AD$39,IF(L386="F-15",2,IF(L386="F-30",3,IF(L386="F-60",4,IF(L386="F-90",5,IF(L386="F-120",6,IF(L386="F-150",7,0)))))),0),0)+IF(AND(O386="FIRE TEX 5120",OR(E386="IN",E386="C",E386="Z",E386="L"),J386=3),VLOOKUP(_xlfn.MINIFS('FIRE TEX 5120'!$B$5:$B$40,'FIRE TEX 5120'!$B$5:$B$40,"&gt;="&amp;M386),'FIRE TEX 5120'!$B$5:$G$40,IF(L386="F-15",2,IF(L386="F-30",3,IF(L386="F-60",4,IF(L386="F-90",5,IF(L386="F-120",6,0))))),0),0)+IF(AND(O386="FIRE TEX 5120",OR(E386="IN",E386="C",E386="Z",E386="L"),J386=4),VLOOKUP(_xlfn.MINIFS('FIRE TEX 5120'!$H$4:$H$40,'FIRE TEX 5120'!$H$4:$H$40,"&gt;="&amp;M386),'FIRE TEX 5120'!$H$4:$M$40,IF(L386="F-15",2,IF(L386="F-30",3,IF(L386="F-60",4,IF(L386="F-90",5,IF(L386="F-120",6,0))))),0),0)+IF(AND(O386="FIRE TEX 5120",E386="CJ"),VLOOKUP(_xlfn.MINIFS('FIRE TEX 5120'!$O$5:$O$40,'FIRE TEX 5120'!$O$5:$O$40,"&gt;="&amp;M386),'FIRE TEX 5120'!$O$5:$T$40,IF(L386="F-15",2,IF(L386="F-30",3,IF(L386="F-60",4,IF(L386="F-90",5,IF(L386="F-120",6,0))))),0),0)</f>
        <v>0</v>
      </c>
      <c r="Q386" s="46">
        <f t="shared" si="49"/>
        <v>0</v>
      </c>
      <c r="R386" s="46">
        <f t="shared" si="50"/>
        <v>0</v>
      </c>
      <c r="S386" s="46" t="e">
        <f t="shared" si="51"/>
        <v>#VALUE!</v>
      </c>
      <c r="T386" s="677">
        <f t="shared" si="52"/>
        <v>0</v>
      </c>
      <c r="U386" s="80">
        <f>(IF(O386="Stofire",(S386*#REF!),0))+(IF(O386="Fire Control",(S386*$U$2),0))+(IF(O386="Fire Tex",(S386*$U$3),0))+(IF(O386="WB7",(S386*#REF!),0)+(IF(O386="FX 2003",(S386*$U$5),0)))</f>
        <v>0</v>
      </c>
      <c r="V386" s="651">
        <f t="shared" si="53"/>
        <v>0</v>
      </c>
    </row>
    <row r="387" spans="4:22" x14ac:dyDescent="0.25">
      <c r="D387" s="118">
        <f>+CUBICACION!D386</f>
        <v>0</v>
      </c>
      <c r="E387" s="118">
        <f>+CUBICACION!F386</f>
        <v>0</v>
      </c>
      <c r="F387" s="118">
        <f>+CUBICACION!E386</f>
        <v>0</v>
      </c>
      <c r="G387" s="118">
        <v>12</v>
      </c>
      <c r="H387" s="118">
        <v>2</v>
      </c>
      <c r="I387" s="820">
        <v>26385</v>
      </c>
      <c r="J387" s="118">
        <f>+CUBICACION!J386</f>
        <v>0</v>
      </c>
      <c r="K387" s="118">
        <v>3166</v>
      </c>
      <c r="L387" s="118">
        <f>+CUBICACION!L386</f>
        <v>0</v>
      </c>
      <c r="M387" s="64">
        <f>+CUBICACION!M386</f>
        <v>0</v>
      </c>
      <c r="N387" s="824" t="str">
        <f>+CUBICACION!N386</f>
        <v/>
      </c>
      <c r="O387" s="675">
        <f>+CUBICACION!O386</f>
        <v>0</v>
      </c>
      <c r="P387" s="15">
        <f>IF(O387="Fire Control",VLOOKUP(_xlfn.MINIFS('FIRE CONTROL'!$C$4:$C$37,'FIRE CONTROL'!$C$4:$C$37,"&gt;="&amp;M387),'FIRE CONTROL'!$C$4:$G$37,IF(L387="F-15",2,IF(L387="F-30",3,IF(L387="F-60",4,IF(L387="F-90",5,0)))),0),0)+IF(AND(O387="FIRE TEX 5062",OR(E387="IN",E387="C",E387="Z",E387="L"),J387=3),VLOOKUP(_xlfn.MINIFS('FIRE TEX 5062'!$B$4:$B$34,'FIRE TEX 5062'!$B$4:$B$34,"&gt;="&amp;M387),'FIRE TEX 5062'!$B$4:$F$34,IF(L387="F-15",2,IF(L387="F-30",3,IF(L387="F-60",4,IF(L387="F-90",5,0)))),0),0)+IF(AND(O387="FIRE TEX 5062",OR(E387="IN",E387="C",E387="Z",E387="L"),J387=4),VLOOKUP(_xlfn.MINIFS('FIRE TEX 5062'!$G$4:$G$34,'FIRE TEX 5062'!$G$4:$G$34,"&gt;="&amp;M387),'FIRE TEX 5062'!$G$4:$K$34,IF(L387="F-15",2,IF(L387="F-30",3,IF(L387="F-60",4,IF(L387="F-90",5,0)))),0),0)+IF(AND(O387="FIRE TEX 5062",E387="CJ",J387=3),VLOOKUP(_xlfn.MINIFS('FIRE TEX 5062'!$L$4:$L$34,'FIRE TEX 5062'!$L$4:$L$34,"&gt;="&amp;M387),'FIRE TEX 5062'!$L$4:$P$34,IF(L387="F-15",2,IF(L387="F-30",3,IF(L387="F-60",4,IF(L387="F-90",5,0)))),0),0)+IF(AND(O387="FIRE TEX 5062",E387="CJ",J387=4),VLOOKUP(_xlfn.MINIFS('FIRE TEX 5062'!$Q$3:$Q$34,'FIRE TEX 5062'!$Q$3:$Q$34,"&gt;="&amp;M387),'FIRE TEX 5062'!$Q$3:$U$34,IF(L387="F-15",2,IF(L387="F-30",3,IF(L387="F-60",4,IF(L387="F-90",5,0)))),0),0)+IF(AND(O387="FIRE TEX 5090",OR(E387="IN",E387="C",E387="Z",E387="L"),J387=3),VLOOKUP(_xlfn.MINIFS('FIRE TEX 5090'!$B$5:$B$43,'FIRE TEX 5090'!$B$5:$B$43,"&gt;="&amp;M387),'FIRE TEX 5090'!$B$5:$H$43,IF(L387="F-15",2,IF(L387="F-30",3,IF(L387="F-60",4,IF(L387="F-90",5,IF(L387="F-120",6,IF(L387="F-150",7,0)))))),0),0)+IF(AND(O387="FIRE TEX 5090",OR(E387="IN",E387="C",E387="Z",E387="L"),J387=4),VLOOKUP(_xlfn.MINIFS('FIRE TEX 5090'!$J$5:$J$43,'FIRE TEX 5090'!$J$5:$J$43,"&gt;="&amp;M387),'FIRE TEX 5090'!$J$5:$P$43,IF(L387="F-15",2,IF(L387="F-30",3,IF(L387="F-60",4,IF(L387="F-90",5,IF(L387="F-120",6,IF(L387="F-150",7,0)))))),0),0)+IF(AND(O387="FIRE TEX 5090",E387="CJ",J387=3),VLOOKUP(_xlfn.MINIFS('FIRE TEX 5090'!$R$5:$R$30,'FIRE TEX 5090'!$R$5:$R$30,"&gt;="&amp;M387),'FIRE TEX 5090'!$R$5:$W$30,IF(L387="F-15",2,IF(L387="F-30",3,IF(L387="F-60",4,IF(L387="F-90",5,IF(L387="F-120",6,IF(L387="F-150",7,0)))))),0),0)+IF(AND(O387="FIRE TEX 5090",E387="CJ",J387=4),VLOOKUP(_xlfn.MINIFS('FIRE TEX 5090'!$Y$5:$Y$39,'FIRE TEX 5090'!$Y$5:$Y$39,"&gt;="&amp;M387),'FIRE TEX 5090'!$Y$5:$AD$39,IF(L387="F-15",2,IF(L387="F-30",3,IF(L387="F-60",4,IF(L387="F-90",5,IF(L387="F-120",6,IF(L387="F-150",7,0)))))),0),0)+IF(AND(O387="FIRE TEX 5120",OR(E387="IN",E387="C",E387="Z",E387="L"),J387=3),VLOOKUP(_xlfn.MINIFS('FIRE TEX 5120'!$B$5:$B$40,'FIRE TEX 5120'!$B$5:$B$40,"&gt;="&amp;M387),'FIRE TEX 5120'!$B$5:$G$40,IF(L387="F-15",2,IF(L387="F-30",3,IF(L387="F-60",4,IF(L387="F-90",5,IF(L387="F-120",6,0))))),0),0)+IF(AND(O387="FIRE TEX 5120",OR(E387="IN",E387="C",E387="Z",E387="L"),J387=4),VLOOKUP(_xlfn.MINIFS('FIRE TEX 5120'!$H$4:$H$40,'FIRE TEX 5120'!$H$4:$H$40,"&gt;="&amp;M387),'FIRE TEX 5120'!$H$4:$M$40,IF(L387="F-15",2,IF(L387="F-30",3,IF(L387="F-60",4,IF(L387="F-90",5,IF(L387="F-120",6,0))))),0),0)+IF(AND(O387="FIRE TEX 5120",E387="CJ"),VLOOKUP(_xlfn.MINIFS('FIRE TEX 5120'!$O$5:$O$40,'FIRE TEX 5120'!$O$5:$O$40,"&gt;="&amp;M387),'FIRE TEX 5120'!$O$5:$T$40,IF(L387="F-15",2,IF(L387="F-30",3,IF(L387="F-60",4,IF(L387="F-90",5,IF(L387="F-120",6,0))))),0),0)</f>
        <v>0</v>
      </c>
      <c r="Q387" s="46">
        <f t="shared" si="49"/>
        <v>0</v>
      </c>
      <c r="R387" s="46">
        <f t="shared" si="50"/>
        <v>0</v>
      </c>
      <c r="S387" s="46" t="e">
        <f t="shared" si="51"/>
        <v>#VALUE!</v>
      </c>
      <c r="T387" s="677">
        <f t="shared" si="52"/>
        <v>0</v>
      </c>
      <c r="U387" s="80">
        <f>(IF(O387="Stofire",(S387*#REF!),0))+(IF(O387="Fire Control",(S387*$U$2),0))+(IF(O387="Fire Tex",(S387*$U$3),0))+(IF(O387="WB7",(S387*#REF!),0)+(IF(O387="FX 2003",(S387*$U$5),0)))</f>
        <v>0</v>
      </c>
      <c r="V387" s="651">
        <f t="shared" si="53"/>
        <v>0</v>
      </c>
    </row>
    <row r="388" spans="4:22" x14ac:dyDescent="0.25">
      <c r="D388" s="118">
        <f>+CUBICACION!D387</f>
        <v>0</v>
      </c>
      <c r="E388" s="118">
        <f>+CUBICACION!F387</f>
        <v>0</v>
      </c>
      <c r="F388" s="118">
        <f>+CUBICACION!E387</f>
        <v>0</v>
      </c>
      <c r="G388" s="118">
        <v>12</v>
      </c>
      <c r="H388" s="118">
        <v>2</v>
      </c>
      <c r="I388" s="820">
        <v>26385</v>
      </c>
      <c r="J388" s="118">
        <f>+CUBICACION!J387</f>
        <v>0</v>
      </c>
      <c r="K388" s="118">
        <v>3167</v>
      </c>
      <c r="L388" s="118">
        <f>+CUBICACION!L387</f>
        <v>0</v>
      </c>
      <c r="M388" s="64">
        <f>+CUBICACION!M387</f>
        <v>0</v>
      </c>
      <c r="N388" s="824" t="str">
        <f>+CUBICACION!N387</f>
        <v/>
      </c>
      <c r="O388" s="675">
        <f>+CUBICACION!O387</f>
        <v>0</v>
      </c>
      <c r="P388" s="15">
        <f>IF(O388="Fire Control",VLOOKUP(_xlfn.MINIFS('FIRE CONTROL'!$C$4:$C$37,'FIRE CONTROL'!$C$4:$C$37,"&gt;="&amp;M388),'FIRE CONTROL'!$C$4:$G$37,IF(L388="F-15",2,IF(L388="F-30",3,IF(L388="F-60",4,IF(L388="F-90",5,0)))),0),0)+IF(AND(O388="FIRE TEX 5062",OR(E388="IN",E388="C",E388="Z",E388="L"),J388=3),VLOOKUP(_xlfn.MINIFS('FIRE TEX 5062'!$B$4:$B$34,'FIRE TEX 5062'!$B$4:$B$34,"&gt;="&amp;M388),'FIRE TEX 5062'!$B$4:$F$34,IF(L388="F-15",2,IF(L388="F-30",3,IF(L388="F-60",4,IF(L388="F-90",5,0)))),0),0)+IF(AND(O388="FIRE TEX 5062",OR(E388="IN",E388="C",E388="Z",E388="L"),J388=4),VLOOKUP(_xlfn.MINIFS('FIRE TEX 5062'!$G$4:$G$34,'FIRE TEX 5062'!$G$4:$G$34,"&gt;="&amp;M388),'FIRE TEX 5062'!$G$4:$K$34,IF(L388="F-15",2,IF(L388="F-30",3,IF(L388="F-60",4,IF(L388="F-90",5,0)))),0),0)+IF(AND(O388="FIRE TEX 5062",E388="CJ",J388=3),VLOOKUP(_xlfn.MINIFS('FIRE TEX 5062'!$L$4:$L$34,'FIRE TEX 5062'!$L$4:$L$34,"&gt;="&amp;M388),'FIRE TEX 5062'!$L$4:$P$34,IF(L388="F-15",2,IF(L388="F-30",3,IF(L388="F-60",4,IF(L388="F-90",5,0)))),0),0)+IF(AND(O388="FIRE TEX 5062",E388="CJ",J388=4),VLOOKUP(_xlfn.MINIFS('FIRE TEX 5062'!$Q$3:$Q$34,'FIRE TEX 5062'!$Q$3:$Q$34,"&gt;="&amp;M388),'FIRE TEX 5062'!$Q$3:$U$34,IF(L388="F-15",2,IF(L388="F-30",3,IF(L388="F-60",4,IF(L388="F-90",5,0)))),0),0)+IF(AND(O388="FIRE TEX 5090",OR(E388="IN",E388="C",E388="Z",E388="L"),J388=3),VLOOKUP(_xlfn.MINIFS('FIRE TEX 5090'!$B$5:$B$43,'FIRE TEX 5090'!$B$5:$B$43,"&gt;="&amp;M388),'FIRE TEX 5090'!$B$5:$H$43,IF(L388="F-15",2,IF(L388="F-30",3,IF(L388="F-60",4,IF(L388="F-90",5,IF(L388="F-120",6,IF(L388="F-150",7,0)))))),0),0)+IF(AND(O388="FIRE TEX 5090",OR(E388="IN",E388="C",E388="Z",E388="L"),J388=4),VLOOKUP(_xlfn.MINIFS('FIRE TEX 5090'!$J$5:$J$43,'FIRE TEX 5090'!$J$5:$J$43,"&gt;="&amp;M388),'FIRE TEX 5090'!$J$5:$P$43,IF(L388="F-15",2,IF(L388="F-30",3,IF(L388="F-60",4,IF(L388="F-90",5,IF(L388="F-120",6,IF(L388="F-150",7,0)))))),0),0)+IF(AND(O388="FIRE TEX 5090",E388="CJ",J388=3),VLOOKUP(_xlfn.MINIFS('FIRE TEX 5090'!$R$5:$R$30,'FIRE TEX 5090'!$R$5:$R$30,"&gt;="&amp;M388),'FIRE TEX 5090'!$R$5:$W$30,IF(L388="F-15",2,IF(L388="F-30",3,IF(L388="F-60",4,IF(L388="F-90",5,IF(L388="F-120",6,IF(L388="F-150",7,0)))))),0),0)+IF(AND(O388="FIRE TEX 5090",E388="CJ",J388=4),VLOOKUP(_xlfn.MINIFS('FIRE TEX 5090'!$Y$5:$Y$39,'FIRE TEX 5090'!$Y$5:$Y$39,"&gt;="&amp;M388),'FIRE TEX 5090'!$Y$5:$AD$39,IF(L388="F-15",2,IF(L388="F-30",3,IF(L388="F-60",4,IF(L388="F-90",5,IF(L388="F-120",6,IF(L388="F-150",7,0)))))),0),0)+IF(AND(O388="FIRE TEX 5120",OR(E388="IN",E388="C",E388="Z",E388="L"),J388=3),VLOOKUP(_xlfn.MINIFS('FIRE TEX 5120'!$B$5:$B$40,'FIRE TEX 5120'!$B$5:$B$40,"&gt;="&amp;M388),'FIRE TEX 5120'!$B$5:$G$40,IF(L388="F-15",2,IF(L388="F-30",3,IF(L388="F-60",4,IF(L388="F-90",5,IF(L388="F-120",6,0))))),0),0)+IF(AND(O388="FIRE TEX 5120",OR(E388="IN",E388="C",E388="Z",E388="L"),J388=4),VLOOKUP(_xlfn.MINIFS('FIRE TEX 5120'!$H$4:$H$40,'FIRE TEX 5120'!$H$4:$H$40,"&gt;="&amp;M388),'FIRE TEX 5120'!$H$4:$M$40,IF(L388="F-15",2,IF(L388="F-30",3,IF(L388="F-60",4,IF(L388="F-90",5,IF(L388="F-120",6,0))))),0),0)+IF(AND(O388="FIRE TEX 5120",E388="CJ"),VLOOKUP(_xlfn.MINIFS('FIRE TEX 5120'!$O$5:$O$40,'FIRE TEX 5120'!$O$5:$O$40,"&gt;="&amp;M388),'FIRE TEX 5120'!$O$5:$T$40,IF(L388="F-15",2,IF(L388="F-30",3,IF(L388="F-60",4,IF(L388="F-90",5,IF(L388="F-120",6,0))))),0),0)</f>
        <v>0</v>
      </c>
      <c r="Q388" s="46">
        <f t="shared" si="49"/>
        <v>0</v>
      </c>
      <c r="R388" s="46">
        <f t="shared" si="50"/>
        <v>0</v>
      </c>
      <c r="S388" s="46" t="e">
        <f t="shared" si="51"/>
        <v>#VALUE!</v>
      </c>
      <c r="T388" s="677">
        <f t="shared" si="52"/>
        <v>0</v>
      </c>
      <c r="U388" s="80">
        <f>(IF(O388="Stofire",(S388*#REF!),0))+(IF(O388="Fire Control",(S388*$U$2),0))+(IF(O388="Fire Tex",(S388*$U$3),0))+(IF(O388="WB7",(S388*#REF!),0)+(IF(O388="FX 2003",(S388*$U$5),0)))</f>
        <v>0</v>
      </c>
      <c r="V388" s="651">
        <f t="shared" si="53"/>
        <v>0</v>
      </c>
    </row>
    <row r="389" spans="4:22" x14ac:dyDescent="0.25">
      <c r="D389" s="118">
        <f>+CUBICACION!D388</f>
        <v>0</v>
      </c>
      <c r="E389" s="118">
        <f>+CUBICACION!F388</f>
        <v>0</v>
      </c>
      <c r="F389" s="118">
        <f>+CUBICACION!E388</f>
        <v>0</v>
      </c>
      <c r="G389" s="118">
        <v>12</v>
      </c>
      <c r="H389" s="118">
        <v>2</v>
      </c>
      <c r="I389" s="820">
        <v>26385</v>
      </c>
      <c r="J389" s="118">
        <f>+CUBICACION!J388</f>
        <v>0</v>
      </c>
      <c r="K389" s="118">
        <v>3168</v>
      </c>
      <c r="L389" s="118">
        <f>+CUBICACION!L388</f>
        <v>0</v>
      </c>
      <c r="M389" s="64">
        <f>+CUBICACION!M388</f>
        <v>0</v>
      </c>
      <c r="N389" s="824" t="str">
        <f>+CUBICACION!N388</f>
        <v/>
      </c>
      <c r="O389" s="675">
        <f>+CUBICACION!O388</f>
        <v>0</v>
      </c>
      <c r="P389" s="15">
        <f>IF(O389="Fire Control",VLOOKUP(_xlfn.MINIFS('FIRE CONTROL'!$C$4:$C$37,'FIRE CONTROL'!$C$4:$C$37,"&gt;="&amp;M389),'FIRE CONTROL'!$C$4:$G$37,IF(L389="F-15",2,IF(L389="F-30",3,IF(L389="F-60",4,IF(L389="F-90",5,0)))),0),0)+IF(AND(O389="FIRE TEX 5062",OR(E389="IN",E389="C",E389="Z",E389="L"),J389=3),VLOOKUP(_xlfn.MINIFS('FIRE TEX 5062'!$B$4:$B$34,'FIRE TEX 5062'!$B$4:$B$34,"&gt;="&amp;M389),'FIRE TEX 5062'!$B$4:$F$34,IF(L389="F-15",2,IF(L389="F-30",3,IF(L389="F-60",4,IF(L389="F-90",5,0)))),0),0)+IF(AND(O389="FIRE TEX 5062",OR(E389="IN",E389="C",E389="Z",E389="L"),J389=4),VLOOKUP(_xlfn.MINIFS('FIRE TEX 5062'!$G$4:$G$34,'FIRE TEX 5062'!$G$4:$G$34,"&gt;="&amp;M389),'FIRE TEX 5062'!$G$4:$K$34,IF(L389="F-15",2,IF(L389="F-30",3,IF(L389="F-60",4,IF(L389="F-90",5,0)))),0),0)+IF(AND(O389="FIRE TEX 5062",E389="CJ",J389=3),VLOOKUP(_xlfn.MINIFS('FIRE TEX 5062'!$L$4:$L$34,'FIRE TEX 5062'!$L$4:$L$34,"&gt;="&amp;M389),'FIRE TEX 5062'!$L$4:$P$34,IF(L389="F-15",2,IF(L389="F-30",3,IF(L389="F-60",4,IF(L389="F-90",5,0)))),0),0)+IF(AND(O389="FIRE TEX 5062",E389="CJ",J389=4),VLOOKUP(_xlfn.MINIFS('FIRE TEX 5062'!$Q$3:$Q$34,'FIRE TEX 5062'!$Q$3:$Q$34,"&gt;="&amp;M389),'FIRE TEX 5062'!$Q$3:$U$34,IF(L389="F-15",2,IF(L389="F-30",3,IF(L389="F-60",4,IF(L389="F-90",5,0)))),0),0)+IF(AND(O389="FIRE TEX 5090",OR(E389="IN",E389="C",E389="Z",E389="L"),J389=3),VLOOKUP(_xlfn.MINIFS('FIRE TEX 5090'!$B$5:$B$43,'FIRE TEX 5090'!$B$5:$B$43,"&gt;="&amp;M389),'FIRE TEX 5090'!$B$5:$H$43,IF(L389="F-15",2,IF(L389="F-30",3,IF(L389="F-60",4,IF(L389="F-90",5,IF(L389="F-120",6,IF(L389="F-150",7,0)))))),0),0)+IF(AND(O389="FIRE TEX 5090",OR(E389="IN",E389="C",E389="Z",E389="L"),J389=4),VLOOKUP(_xlfn.MINIFS('FIRE TEX 5090'!$J$5:$J$43,'FIRE TEX 5090'!$J$5:$J$43,"&gt;="&amp;M389),'FIRE TEX 5090'!$J$5:$P$43,IF(L389="F-15",2,IF(L389="F-30",3,IF(L389="F-60",4,IF(L389="F-90",5,IF(L389="F-120",6,IF(L389="F-150",7,0)))))),0),0)+IF(AND(O389="FIRE TEX 5090",E389="CJ",J389=3),VLOOKUP(_xlfn.MINIFS('FIRE TEX 5090'!$R$5:$R$30,'FIRE TEX 5090'!$R$5:$R$30,"&gt;="&amp;M389),'FIRE TEX 5090'!$R$5:$W$30,IF(L389="F-15",2,IF(L389="F-30",3,IF(L389="F-60",4,IF(L389="F-90",5,IF(L389="F-120",6,IF(L389="F-150",7,0)))))),0),0)+IF(AND(O389="FIRE TEX 5090",E389="CJ",J389=4),VLOOKUP(_xlfn.MINIFS('FIRE TEX 5090'!$Y$5:$Y$39,'FIRE TEX 5090'!$Y$5:$Y$39,"&gt;="&amp;M389),'FIRE TEX 5090'!$Y$5:$AD$39,IF(L389="F-15",2,IF(L389="F-30",3,IF(L389="F-60",4,IF(L389="F-90",5,IF(L389="F-120",6,IF(L389="F-150",7,0)))))),0),0)+IF(AND(O389="FIRE TEX 5120",OR(E389="IN",E389="C",E389="Z",E389="L"),J389=3),VLOOKUP(_xlfn.MINIFS('FIRE TEX 5120'!$B$5:$B$40,'FIRE TEX 5120'!$B$5:$B$40,"&gt;="&amp;M389),'FIRE TEX 5120'!$B$5:$G$40,IF(L389="F-15",2,IF(L389="F-30",3,IF(L389="F-60",4,IF(L389="F-90",5,IF(L389="F-120",6,0))))),0),0)+IF(AND(O389="FIRE TEX 5120",OR(E389="IN",E389="C",E389="Z",E389="L"),J389=4),VLOOKUP(_xlfn.MINIFS('FIRE TEX 5120'!$H$4:$H$40,'FIRE TEX 5120'!$H$4:$H$40,"&gt;="&amp;M389),'FIRE TEX 5120'!$H$4:$M$40,IF(L389="F-15",2,IF(L389="F-30",3,IF(L389="F-60",4,IF(L389="F-90",5,IF(L389="F-120",6,0))))),0),0)+IF(AND(O389="FIRE TEX 5120",E389="CJ"),VLOOKUP(_xlfn.MINIFS('FIRE TEX 5120'!$O$5:$O$40,'FIRE TEX 5120'!$O$5:$O$40,"&gt;="&amp;M389),'FIRE TEX 5120'!$O$5:$T$40,IF(L389="F-15",2,IF(L389="F-30",3,IF(L389="F-60",4,IF(L389="F-90",5,IF(L389="F-120",6,0))))),0),0)</f>
        <v>0</v>
      </c>
      <c r="Q389" s="46">
        <f t="shared" si="49"/>
        <v>0</v>
      </c>
      <c r="R389" s="46">
        <f t="shared" si="50"/>
        <v>0</v>
      </c>
      <c r="S389" s="46" t="e">
        <f t="shared" si="51"/>
        <v>#VALUE!</v>
      </c>
      <c r="T389" s="677">
        <f t="shared" si="52"/>
        <v>0</v>
      </c>
      <c r="U389" s="80">
        <f>(IF(O389="Stofire",(S389*#REF!),0))+(IF(O389="Fire Control",(S389*$U$2),0))+(IF(O389="Fire Tex",(S389*$U$3),0))+(IF(O389="WB7",(S389*#REF!),0)+(IF(O389="FX 2003",(S389*$U$5),0)))</f>
        <v>0</v>
      </c>
      <c r="V389" s="651">
        <f t="shared" si="53"/>
        <v>0</v>
      </c>
    </row>
    <row r="390" spans="4:22" x14ac:dyDescent="0.25">
      <c r="D390" s="118">
        <f>+CUBICACION!D389</f>
        <v>0</v>
      </c>
      <c r="E390" s="118">
        <f>+CUBICACION!F389</f>
        <v>0</v>
      </c>
      <c r="F390" s="118">
        <f>+CUBICACION!E389</f>
        <v>0</v>
      </c>
      <c r="G390" s="118">
        <v>12</v>
      </c>
      <c r="H390" s="118">
        <v>2</v>
      </c>
      <c r="I390" s="820">
        <v>26385</v>
      </c>
      <c r="J390" s="118">
        <f>+CUBICACION!J389</f>
        <v>0</v>
      </c>
      <c r="K390" s="118">
        <v>3169</v>
      </c>
      <c r="L390" s="118">
        <f>+CUBICACION!L389</f>
        <v>0</v>
      </c>
      <c r="M390" s="64">
        <f>+CUBICACION!M389</f>
        <v>0</v>
      </c>
      <c r="N390" s="824" t="str">
        <f>+CUBICACION!N389</f>
        <v/>
      </c>
      <c r="O390" s="675">
        <f>+CUBICACION!O389</f>
        <v>0</v>
      </c>
      <c r="P390" s="15">
        <f>IF(O390="Fire Control",VLOOKUP(_xlfn.MINIFS('FIRE CONTROL'!$C$4:$C$37,'FIRE CONTROL'!$C$4:$C$37,"&gt;="&amp;M390),'FIRE CONTROL'!$C$4:$G$37,IF(L390="F-15",2,IF(L390="F-30",3,IF(L390="F-60",4,IF(L390="F-90",5,0)))),0),0)+IF(AND(O390="FIRE TEX 5062",OR(E390="IN",E390="C",E390="Z",E390="L"),J390=3),VLOOKUP(_xlfn.MINIFS('FIRE TEX 5062'!$B$4:$B$34,'FIRE TEX 5062'!$B$4:$B$34,"&gt;="&amp;M390),'FIRE TEX 5062'!$B$4:$F$34,IF(L390="F-15",2,IF(L390="F-30",3,IF(L390="F-60",4,IF(L390="F-90",5,0)))),0),0)+IF(AND(O390="FIRE TEX 5062",OR(E390="IN",E390="C",E390="Z",E390="L"),J390=4),VLOOKUP(_xlfn.MINIFS('FIRE TEX 5062'!$G$4:$G$34,'FIRE TEX 5062'!$G$4:$G$34,"&gt;="&amp;M390),'FIRE TEX 5062'!$G$4:$K$34,IF(L390="F-15",2,IF(L390="F-30",3,IF(L390="F-60",4,IF(L390="F-90",5,0)))),0),0)+IF(AND(O390="FIRE TEX 5062",E390="CJ",J390=3),VLOOKUP(_xlfn.MINIFS('FIRE TEX 5062'!$L$4:$L$34,'FIRE TEX 5062'!$L$4:$L$34,"&gt;="&amp;M390),'FIRE TEX 5062'!$L$4:$P$34,IF(L390="F-15",2,IF(L390="F-30",3,IF(L390="F-60",4,IF(L390="F-90",5,0)))),0),0)+IF(AND(O390="FIRE TEX 5062",E390="CJ",J390=4),VLOOKUP(_xlfn.MINIFS('FIRE TEX 5062'!$Q$3:$Q$34,'FIRE TEX 5062'!$Q$3:$Q$34,"&gt;="&amp;M390),'FIRE TEX 5062'!$Q$3:$U$34,IF(L390="F-15",2,IF(L390="F-30",3,IF(L390="F-60",4,IF(L390="F-90",5,0)))),0),0)+IF(AND(O390="FIRE TEX 5090",OR(E390="IN",E390="C",E390="Z",E390="L"),J390=3),VLOOKUP(_xlfn.MINIFS('FIRE TEX 5090'!$B$5:$B$43,'FIRE TEX 5090'!$B$5:$B$43,"&gt;="&amp;M390),'FIRE TEX 5090'!$B$5:$H$43,IF(L390="F-15",2,IF(L390="F-30",3,IF(L390="F-60",4,IF(L390="F-90",5,IF(L390="F-120",6,IF(L390="F-150",7,0)))))),0),0)+IF(AND(O390="FIRE TEX 5090",OR(E390="IN",E390="C",E390="Z",E390="L"),J390=4),VLOOKUP(_xlfn.MINIFS('FIRE TEX 5090'!$J$5:$J$43,'FIRE TEX 5090'!$J$5:$J$43,"&gt;="&amp;M390),'FIRE TEX 5090'!$J$5:$P$43,IF(L390="F-15",2,IF(L390="F-30",3,IF(L390="F-60",4,IF(L390="F-90",5,IF(L390="F-120",6,IF(L390="F-150",7,0)))))),0),0)+IF(AND(O390="FIRE TEX 5090",E390="CJ",J390=3),VLOOKUP(_xlfn.MINIFS('FIRE TEX 5090'!$R$5:$R$30,'FIRE TEX 5090'!$R$5:$R$30,"&gt;="&amp;M390),'FIRE TEX 5090'!$R$5:$W$30,IF(L390="F-15",2,IF(L390="F-30",3,IF(L390="F-60",4,IF(L390="F-90",5,IF(L390="F-120",6,IF(L390="F-150",7,0)))))),0),0)+IF(AND(O390="FIRE TEX 5090",E390="CJ",J390=4),VLOOKUP(_xlfn.MINIFS('FIRE TEX 5090'!$Y$5:$Y$39,'FIRE TEX 5090'!$Y$5:$Y$39,"&gt;="&amp;M390),'FIRE TEX 5090'!$Y$5:$AD$39,IF(L390="F-15",2,IF(L390="F-30",3,IF(L390="F-60",4,IF(L390="F-90",5,IF(L390="F-120",6,IF(L390="F-150",7,0)))))),0),0)+IF(AND(O390="FIRE TEX 5120",OR(E390="IN",E390="C",E390="Z",E390="L"),J390=3),VLOOKUP(_xlfn.MINIFS('FIRE TEX 5120'!$B$5:$B$40,'FIRE TEX 5120'!$B$5:$B$40,"&gt;="&amp;M390),'FIRE TEX 5120'!$B$5:$G$40,IF(L390="F-15",2,IF(L390="F-30",3,IF(L390="F-60",4,IF(L390="F-90",5,IF(L390="F-120",6,0))))),0),0)+IF(AND(O390="FIRE TEX 5120",OR(E390="IN",E390="C",E390="Z",E390="L"),J390=4),VLOOKUP(_xlfn.MINIFS('FIRE TEX 5120'!$H$4:$H$40,'FIRE TEX 5120'!$H$4:$H$40,"&gt;="&amp;M390),'FIRE TEX 5120'!$H$4:$M$40,IF(L390="F-15",2,IF(L390="F-30",3,IF(L390="F-60",4,IF(L390="F-90",5,IF(L390="F-120",6,0))))),0),0)+IF(AND(O390="FIRE TEX 5120",E390="CJ"),VLOOKUP(_xlfn.MINIFS('FIRE TEX 5120'!$O$5:$O$40,'FIRE TEX 5120'!$O$5:$O$40,"&gt;="&amp;M390),'FIRE TEX 5120'!$O$5:$T$40,IF(L390="F-15",2,IF(L390="F-30",3,IF(L390="F-60",4,IF(L390="F-90",5,IF(L390="F-120",6,0))))),0),0)</f>
        <v>0</v>
      </c>
      <c r="Q390" s="46">
        <f t="shared" si="49"/>
        <v>0</v>
      </c>
      <c r="R390" s="46">
        <f t="shared" si="50"/>
        <v>0</v>
      </c>
      <c r="S390" s="46" t="e">
        <f t="shared" si="51"/>
        <v>#VALUE!</v>
      </c>
      <c r="T390" s="677">
        <f t="shared" si="52"/>
        <v>0</v>
      </c>
      <c r="U390" s="80">
        <f>(IF(O390="Stofire",(S390*#REF!),0))+(IF(O390="Fire Control",(S390*$U$2),0))+(IF(O390="Fire Tex",(S390*$U$3),0))+(IF(O390="WB7",(S390*#REF!),0)+(IF(O390="FX 2003",(S390*$U$5),0)))</f>
        <v>0</v>
      </c>
      <c r="V390" s="651">
        <f t="shared" si="53"/>
        <v>0</v>
      </c>
    </row>
    <row r="391" spans="4:22" x14ac:dyDescent="0.25">
      <c r="D391" s="118">
        <f>+CUBICACION!D390</f>
        <v>0</v>
      </c>
      <c r="E391" s="118">
        <f>+CUBICACION!F390</f>
        <v>0</v>
      </c>
      <c r="F391" s="118">
        <f>+CUBICACION!E390</f>
        <v>0</v>
      </c>
      <c r="G391" s="118">
        <v>12</v>
      </c>
      <c r="H391" s="118">
        <v>2</v>
      </c>
      <c r="I391" s="820">
        <v>26385</v>
      </c>
      <c r="J391" s="118">
        <f>+CUBICACION!J390</f>
        <v>0</v>
      </c>
      <c r="K391" s="118">
        <v>3170</v>
      </c>
      <c r="L391" s="118">
        <f>+CUBICACION!L390</f>
        <v>0</v>
      </c>
      <c r="M391" s="64">
        <f>+CUBICACION!M390</f>
        <v>0</v>
      </c>
      <c r="N391" s="824" t="str">
        <f>+CUBICACION!N390</f>
        <v/>
      </c>
      <c r="O391" s="675">
        <f>+CUBICACION!O390</f>
        <v>0</v>
      </c>
      <c r="P391" s="15">
        <f>IF(O391="Fire Control",VLOOKUP(_xlfn.MINIFS('FIRE CONTROL'!$C$4:$C$37,'FIRE CONTROL'!$C$4:$C$37,"&gt;="&amp;M391),'FIRE CONTROL'!$C$4:$G$37,IF(L391="F-15",2,IF(L391="F-30",3,IF(L391="F-60",4,IF(L391="F-90",5,0)))),0),0)+IF(AND(O391="FIRE TEX 5062",OR(E391="IN",E391="C",E391="Z",E391="L"),J391=3),VLOOKUP(_xlfn.MINIFS('FIRE TEX 5062'!$B$4:$B$34,'FIRE TEX 5062'!$B$4:$B$34,"&gt;="&amp;M391),'FIRE TEX 5062'!$B$4:$F$34,IF(L391="F-15",2,IF(L391="F-30",3,IF(L391="F-60",4,IF(L391="F-90",5,0)))),0),0)+IF(AND(O391="FIRE TEX 5062",OR(E391="IN",E391="C",E391="Z",E391="L"),J391=4),VLOOKUP(_xlfn.MINIFS('FIRE TEX 5062'!$G$4:$G$34,'FIRE TEX 5062'!$G$4:$G$34,"&gt;="&amp;M391),'FIRE TEX 5062'!$G$4:$K$34,IF(L391="F-15",2,IF(L391="F-30",3,IF(L391="F-60",4,IF(L391="F-90",5,0)))),0),0)+IF(AND(O391="FIRE TEX 5062",E391="CJ",J391=3),VLOOKUP(_xlfn.MINIFS('FIRE TEX 5062'!$L$4:$L$34,'FIRE TEX 5062'!$L$4:$L$34,"&gt;="&amp;M391),'FIRE TEX 5062'!$L$4:$P$34,IF(L391="F-15",2,IF(L391="F-30",3,IF(L391="F-60",4,IF(L391="F-90",5,0)))),0),0)+IF(AND(O391="FIRE TEX 5062",E391="CJ",J391=4),VLOOKUP(_xlfn.MINIFS('FIRE TEX 5062'!$Q$3:$Q$34,'FIRE TEX 5062'!$Q$3:$Q$34,"&gt;="&amp;M391),'FIRE TEX 5062'!$Q$3:$U$34,IF(L391="F-15",2,IF(L391="F-30",3,IF(L391="F-60",4,IF(L391="F-90",5,0)))),0),0)+IF(AND(O391="FIRE TEX 5090",OR(E391="IN",E391="C",E391="Z",E391="L"),J391=3),VLOOKUP(_xlfn.MINIFS('FIRE TEX 5090'!$B$5:$B$43,'FIRE TEX 5090'!$B$5:$B$43,"&gt;="&amp;M391),'FIRE TEX 5090'!$B$5:$H$43,IF(L391="F-15",2,IF(L391="F-30",3,IF(L391="F-60",4,IF(L391="F-90",5,IF(L391="F-120",6,IF(L391="F-150",7,0)))))),0),0)+IF(AND(O391="FIRE TEX 5090",OR(E391="IN",E391="C",E391="Z",E391="L"),J391=4),VLOOKUP(_xlfn.MINIFS('FIRE TEX 5090'!$J$5:$J$43,'FIRE TEX 5090'!$J$5:$J$43,"&gt;="&amp;M391),'FIRE TEX 5090'!$J$5:$P$43,IF(L391="F-15",2,IF(L391="F-30",3,IF(L391="F-60",4,IF(L391="F-90",5,IF(L391="F-120",6,IF(L391="F-150",7,0)))))),0),0)+IF(AND(O391="FIRE TEX 5090",E391="CJ",J391=3),VLOOKUP(_xlfn.MINIFS('FIRE TEX 5090'!$R$5:$R$30,'FIRE TEX 5090'!$R$5:$R$30,"&gt;="&amp;M391),'FIRE TEX 5090'!$R$5:$W$30,IF(L391="F-15",2,IF(L391="F-30",3,IF(L391="F-60",4,IF(L391="F-90",5,IF(L391="F-120",6,IF(L391="F-150",7,0)))))),0),0)+IF(AND(O391="FIRE TEX 5090",E391="CJ",J391=4),VLOOKUP(_xlfn.MINIFS('FIRE TEX 5090'!$Y$5:$Y$39,'FIRE TEX 5090'!$Y$5:$Y$39,"&gt;="&amp;M391),'FIRE TEX 5090'!$Y$5:$AD$39,IF(L391="F-15",2,IF(L391="F-30",3,IF(L391="F-60",4,IF(L391="F-90",5,IF(L391="F-120",6,IF(L391="F-150",7,0)))))),0),0)+IF(AND(O391="FIRE TEX 5120",OR(E391="IN",E391="C",E391="Z",E391="L"),J391=3),VLOOKUP(_xlfn.MINIFS('FIRE TEX 5120'!$B$5:$B$40,'FIRE TEX 5120'!$B$5:$B$40,"&gt;="&amp;M391),'FIRE TEX 5120'!$B$5:$G$40,IF(L391="F-15",2,IF(L391="F-30",3,IF(L391="F-60",4,IF(L391="F-90",5,IF(L391="F-120",6,0))))),0),0)+IF(AND(O391="FIRE TEX 5120",OR(E391="IN",E391="C",E391="Z",E391="L"),J391=4),VLOOKUP(_xlfn.MINIFS('FIRE TEX 5120'!$H$4:$H$40,'FIRE TEX 5120'!$H$4:$H$40,"&gt;="&amp;M391),'FIRE TEX 5120'!$H$4:$M$40,IF(L391="F-15",2,IF(L391="F-30",3,IF(L391="F-60",4,IF(L391="F-90",5,IF(L391="F-120",6,0))))),0),0)+IF(AND(O391="FIRE TEX 5120",E391="CJ"),VLOOKUP(_xlfn.MINIFS('FIRE TEX 5120'!$O$5:$O$40,'FIRE TEX 5120'!$O$5:$O$40,"&gt;="&amp;M391),'FIRE TEX 5120'!$O$5:$T$40,IF(L391="F-15",2,IF(L391="F-30",3,IF(L391="F-60",4,IF(L391="F-90",5,IF(L391="F-120",6,0))))),0),0)</f>
        <v>0</v>
      </c>
      <c r="Q391" s="46">
        <f t="shared" si="49"/>
        <v>0</v>
      </c>
      <c r="R391" s="46">
        <f t="shared" si="50"/>
        <v>0</v>
      </c>
      <c r="S391" s="46" t="e">
        <f t="shared" si="51"/>
        <v>#VALUE!</v>
      </c>
      <c r="T391" s="677">
        <f t="shared" si="52"/>
        <v>0</v>
      </c>
      <c r="U391" s="80">
        <f>(IF(O391="Stofire",(S391*#REF!),0))+(IF(O391="Fire Control",(S391*$U$2),0))+(IF(O391="Fire Tex",(S391*$U$3),0))+(IF(O391="WB7",(S391*#REF!),0)+(IF(O391="FX 2003",(S391*$U$5),0)))</f>
        <v>0</v>
      </c>
      <c r="V391" s="651">
        <f t="shared" si="53"/>
        <v>0</v>
      </c>
    </row>
    <row r="392" spans="4:22" x14ac:dyDescent="0.25">
      <c r="D392" s="118">
        <f>+CUBICACION!D391</f>
        <v>0</v>
      </c>
      <c r="E392" s="118">
        <f>+CUBICACION!F391</f>
        <v>0</v>
      </c>
      <c r="F392" s="118">
        <f>+CUBICACION!E391</f>
        <v>0</v>
      </c>
      <c r="G392" s="118">
        <v>12</v>
      </c>
      <c r="H392" s="118">
        <v>2</v>
      </c>
      <c r="I392" s="820">
        <v>26385</v>
      </c>
      <c r="J392" s="118">
        <f>+CUBICACION!J391</f>
        <v>0</v>
      </c>
      <c r="K392" s="118">
        <v>3171</v>
      </c>
      <c r="L392" s="118">
        <f>+CUBICACION!L391</f>
        <v>0</v>
      </c>
      <c r="M392" s="64">
        <f>+CUBICACION!M391</f>
        <v>0</v>
      </c>
      <c r="N392" s="824" t="str">
        <f>+CUBICACION!N391</f>
        <v/>
      </c>
      <c r="O392" s="675">
        <f>+CUBICACION!O391</f>
        <v>0</v>
      </c>
      <c r="P392" s="15">
        <f>IF(O392="Fire Control",VLOOKUP(_xlfn.MINIFS('FIRE CONTROL'!$C$4:$C$37,'FIRE CONTROL'!$C$4:$C$37,"&gt;="&amp;M392),'FIRE CONTROL'!$C$4:$G$37,IF(L392="F-15",2,IF(L392="F-30",3,IF(L392="F-60",4,IF(L392="F-90",5,0)))),0),0)+IF(AND(O392="FIRE TEX 5062",OR(E392="IN",E392="C",E392="Z",E392="L"),J392=3),VLOOKUP(_xlfn.MINIFS('FIRE TEX 5062'!$B$4:$B$34,'FIRE TEX 5062'!$B$4:$B$34,"&gt;="&amp;M392),'FIRE TEX 5062'!$B$4:$F$34,IF(L392="F-15",2,IF(L392="F-30",3,IF(L392="F-60",4,IF(L392="F-90",5,0)))),0),0)+IF(AND(O392="FIRE TEX 5062",OR(E392="IN",E392="C",E392="Z",E392="L"),J392=4),VLOOKUP(_xlfn.MINIFS('FIRE TEX 5062'!$G$4:$G$34,'FIRE TEX 5062'!$G$4:$G$34,"&gt;="&amp;M392),'FIRE TEX 5062'!$G$4:$K$34,IF(L392="F-15",2,IF(L392="F-30",3,IF(L392="F-60",4,IF(L392="F-90",5,0)))),0),0)+IF(AND(O392="FIRE TEX 5062",E392="CJ",J392=3),VLOOKUP(_xlfn.MINIFS('FIRE TEX 5062'!$L$4:$L$34,'FIRE TEX 5062'!$L$4:$L$34,"&gt;="&amp;M392),'FIRE TEX 5062'!$L$4:$P$34,IF(L392="F-15",2,IF(L392="F-30",3,IF(L392="F-60",4,IF(L392="F-90",5,0)))),0),0)+IF(AND(O392="FIRE TEX 5062",E392="CJ",J392=4),VLOOKUP(_xlfn.MINIFS('FIRE TEX 5062'!$Q$3:$Q$34,'FIRE TEX 5062'!$Q$3:$Q$34,"&gt;="&amp;M392),'FIRE TEX 5062'!$Q$3:$U$34,IF(L392="F-15",2,IF(L392="F-30",3,IF(L392="F-60",4,IF(L392="F-90",5,0)))),0),0)+IF(AND(O392="FIRE TEX 5090",OR(E392="IN",E392="C",E392="Z",E392="L"),J392=3),VLOOKUP(_xlfn.MINIFS('FIRE TEX 5090'!$B$5:$B$43,'FIRE TEX 5090'!$B$5:$B$43,"&gt;="&amp;M392),'FIRE TEX 5090'!$B$5:$H$43,IF(L392="F-15",2,IF(L392="F-30",3,IF(L392="F-60",4,IF(L392="F-90",5,IF(L392="F-120",6,IF(L392="F-150",7,0)))))),0),0)+IF(AND(O392="FIRE TEX 5090",OR(E392="IN",E392="C",E392="Z",E392="L"),J392=4),VLOOKUP(_xlfn.MINIFS('FIRE TEX 5090'!$J$5:$J$43,'FIRE TEX 5090'!$J$5:$J$43,"&gt;="&amp;M392),'FIRE TEX 5090'!$J$5:$P$43,IF(L392="F-15",2,IF(L392="F-30",3,IF(L392="F-60",4,IF(L392="F-90",5,IF(L392="F-120",6,IF(L392="F-150",7,0)))))),0),0)+IF(AND(O392="FIRE TEX 5090",E392="CJ",J392=3),VLOOKUP(_xlfn.MINIFS('FIRE TEX 5090'!$R$5:$R$30,'FIRE TEX 5090'!$R$5:$R$30,"&gt;="&amp;M392),'FIRE TEX 5090'!$R$5:$W$30,IF(L392="F-15",2,IF(L392="F-30",3,IF(L392="F-60",4,IF(L392="F-90",5,IF(L392="F-120",6,IF(L392="F-150",7,0)))))),0),0)+IF(AND(O392="FIRE TEX 5090",E392="CJ",J392=4),VLOOKUP(_xlfn.MINIFS('FIRE TEX 5090'!$Y$5:$Y$39,'FIRE TEX 5090'!$Y$5:$Y$39,"&gt;="&amp;M392),'FIRE TEX 5090'!$Y$5:$AD$39,IF(L392="F-15",2,IF(L392="F-30",3,IF(L392="F-60",4,IF(L392="F-90",5,IF(L392="F-120",6,IF(L392="F-150",7,0)))))),0),0)+IF(AND(O392="FIRE TEX 5120",OR(E392="IN",E392="C",E392="Z",E392="L"),J392=3),VLOOKUP(_xlfn.MINIFS('FIRE TEX 5120'!$B$5:$B$40,'FIRE TEX 5120'!$B$5:$B$40,"&gt;="&amp;M392),'FIRE TEX 5120'!$B$5:$G$40,IF(L392="F-15",2,IF(L392="F-30",3,IF(L392="F-60",4,IF(L392="F-90",5,IF(L392="F-120",6,0))))),0),0)+IF(AND(O392="FIRE TEX 5120",OR(E392="IN",E392="C",E392="Z",E392="L"),J392=4),VLOOKUP(_xlfn.MINIFS('FIRE TEX 5120'!$H$4:$H$40,'FIRE TEX 5120'!$H$4:$H$40,"&gt;="&amp;M392),'FIRE TEX 5120'!$H$4:$M$40,IF(L392="F-15",2,IF(L392="F-30",3,IF(L392="F-60",4,IF(L392="F-90",5,IF(L392="F-120",6,0))))),0),0)+IF(AND(O392="FIRE TEX 5120",E392="CJ"),VLOOKUP(_xlfn.MINIFS('FIRE TEX 5120'!$O$5:$O$40,'FIRE TEX 5120'!$O$5:$O$40,"&gt;="&amp;M392),'FIRE TEX 5120'!$O$5:$T$40,IF(L392="F-15",2,IF(L392="F-30",3,IF(L392="F-60",4,IF(L392="F-90",5,IF(L392="F-120",6,0))))),0),0)</f>
        <v>0</v>
      </c>
      <c r="Q392" s="46">
        <f t="shared" si="49"/>
        <v>0</v>
      </c>
      <c r="R392" s="46">
        <f t="shared" si="50"/>
        <v>0</v>
      </c>
      <c r="S392" s="46" t="e">
        <f t="shared" si="51"/>
        <v>#VALUE!</v>
      </c>
      <c r="T392" s="677">
        <f t="shared" si="52"/>
        <v>0</v>
      </c>
      <c r="U392" s="80">
        <f>(IF(O392="Stofire",(S392*#REF!),0))+(IF(O392="Fire Control",(S392*$U$2),0))+(IF(O392="Fire Tex",(S392*$U$3),0))+(IF(O392="WB7",(S392*#REF!),0)+(IF(O392="FX 2003",(S392*$U$5),0)))</f>
        <v>0</v>
      </c>
      <c r="V392" s="651">
        <f t="shared" si="53"/>
        <v>0</v>
      </c>
    </row>
    <row r="393" spans="4:22" x14ac:dyDescent="0.25">
      <c r="D393" s="118">
        <f>+CUBICACION!D392</f>
        <v>0</v>
      </c>
      <c r="E393" s="118">
        <f>+CUBICACION!F392</f>
        <v>0</v>
      </c>
      <c r="F393" s="118">
        <f>+CUBICACION!E392</f>
        <v>0</v>
      </c>
      <c r="G393" s="118">
        <v>12</v>
      </c>
      <c r="H393" s="118">
        <v>2</v>
      </c>
      <c r="I393" s="820">
        <v>26385</v>
      </c>
      <c r="J393" s="118">
        <f>+CUBICACION!J392</f>
        <v>0</v>
      </c>
      <c r="K393" s="118">
        <v>3172</v>
      </c>
      <c r="L393" s="118">
        <f>+CUBICACION!L392</f>
        <v>0</v>
      </c>
      <c r="M393" s="64">
        <f>+CUBICACION!M392</f>
        <v>0</v>
      </c>
      <c r="N393" s="824" t="str">
        <f>+CUBICACION!N392</f>
        <v/>
      </c>
      <c r="O393" s="675">
        <f>+CUBICACION!O392</f>
        <v>0</v>
      </c>
      <c r="P393" s="15">
        <f>IF(O393="Fire Control",VLOOKUP(_xlfn.MINIFS('FIRE CONTROL'!$C$4:$C$37,'FIRE CONTROL'!$C$4:$C$37,"&gt;="&amp;M393),'FIRE CONTROL'!$C$4:$G$37,IF(L393="F-15",2,IF(L393="F-30",3,IF(L393="F-60",4,IF(L393="F-90",5,0)))),0),0)+IF(AND(O393="FIRE TEX 5062",OR(E393="IN",E393="C",E393="Z",E393="L"),J393=3),VLOOKUP(_xlfn.MINIFS('FIRE TEX 5062'!$B$4:$B$34,'FIRE TEX 5062'!$B$4:$B$34,"&gt;="&amp;M393),'FIRE TEX 5062'!$B$4:$F$34,IF(L393="F-15",2,IF(L393="F-30",3,IF(L393="F-60",4,IF(L393="F-90",5,0)))),0),0)+IF(AND(O393="FIRE TEX 5062",OR(E393="IN",E393="C",E393="Z",E393="L"),J393=4),VLOOKUP(_xlfn.MINIFS('FIRE TEX 5062'!$G$4:$G$34,'FIRE TEX 5062'!$G$4:$G$34,"&gt;="&amp;M393),'FIRE TEX 5062'!$G$4:$K$34,IF(L393="F-15",2,IF(L393="F-30",3,IF(L393="F-60",4,IF(L393="F-90",5,0)))),0),0)+IF(AND(O393="FIRE TEX 5062",E393="CJ",J393=3),VLOOKUP(_xlfn.MINIFS('FIRE TEX 5062'!$L$4:$L$34,'FIRE TEX 5062'!$L$4:$L$34,"&gt;="&amp;M393),'FIRE TEX 5062'!$L$4:$P$34,IF(L393="F-15",2,IF(L393="F-30",3,IF(L393="F-60",4,IF(L393="F-90",5,0)))),0),0)+IF(AND(O393="FIRE TEX 5062",E393="CJ",J393=4),VLOOKUP(_xlfn.MINIFS('FIRE TEX 5062'!$Q$3:$Q$34,'FIRE TEX 5062'!$Q$3:$Q$34,"&gt;="&amp;M393),'FIRE TEX 5062'!$Q$3:$U$34,IF(L393="F-15",2,IF(L393="F-30",3,IF(L393="F-60",4,IF(L393="F-90",5,0)))),0),0)+IF(AND(O393="FIRE TEX 5090",OR(E393="IN",E393="C",E393="Z",E393="L"),J393=3),VLOOKUP(_xlfn.MINIFS('FIRE TEX 5090'!$B$5:$B$43,'FIRE TEX 5090'!$B$5:$B$43,"&gt;="&amp;M393),'FIRE TEX 5090'!$B$5:$H$43,IF(L393="F-15",2,IF(L393="F-30",3,IF(L393="F-60",4,IF(L393="F-90",5,IF(L393="F-120",6,IF(L393="F-150",7,0)))))),0),0)+IF(AND(O393="FIRE TEX 5090",OR(E393="IN",E393="C",E393="Z",E393="L"),J393=4),VLOOKUP(_xlfn.MINIFS('FIRE TEX 5090'!$J$5:$J$43,'FIRE TEX 5090'!$J$5:$J$43,"&gt;="&amp;M393),'FIRE TEX 5090'!$J$5:$P$43,IF(L393="F-15",2,IF(L393="F-30",3,IF(L393="F-60",4,IF(L393="F-90",5,IF(L393="F-120",6,IF(L393="F-150",7,0)))))),0),0)+IF(AND(O393="FIRE TEX 5090",E393="CJ",J393=3),VLOOKUP(_xlfn.MINIFS('FIRE TEX 5090'!$R$5:$R$30,'FIRE TEX 5090'!$R$5:$R$30,"&gt;="&amp;M393),'FIRE TEX 5090'!$R$5:$W$30,IF(L393="F-15",2,IF(L393="F-30",3,IF(L393="F-60",4,IF(L393="F-90",5,IF(L393="F-120",6,IF(L393="F-150",7,0)))))),0),0)+IF(AND(O393="FIRE TEX 5090",E393="CJ",J393=4),VLOOKUP(_xlfn.MINIFS('FIRE TEX 5090'!$Y$5:$Y$39,'FIRE TEX 5090'!$Y$5:$Y$39,"&gt;="&amp;M393),'FIRE TEX 5090'!$Y$5:$AD$39,IF(L393="F-15",2,IF(L393="F-30",3,IF(L393="F-60",4,IF(L393="F-90",5,IF(L393="F-120",6,IF(L393="F-150",7,0)))))),0),0)+IF(AND(O393="FIRE TEX 5120",OR(E393="IN",E393="C",E393="Z",E393="L"),J393=3),VLOOKUP(_xlfn.MINIFS('FIRE TEX 5120'!$B$5:$B$40,'FIRE TEX 5120'!$B$5:$B$40,"&gt;="&amp;M393),'FIRE TEX 5120'!$B$5:$G$40,IF(L393="F-15",2,IF(L393="F-30",3,IF(L393="F-60",4,IF(L393="F-90",5,IF(L393="F-120",6,0))))),0),0)+IF(AND(O393="FIRE TEX 5120",OR(E393="IN",E393="C",E393="Z",E393="L"),J393=4),VLOOKUP(_xlfn.MINIFS('FIRE TEX 5120'!$H$4:$H$40,'FIRE TEX 5120'!$H$4:$H$40,"&gt;="&amp;M393),'FIRE TEX 5120'!$H$4:$M$40,IF(L393="F-15",2,IF(L393="F-30",3,IF(L393="F-60",4,IF(L393="F-90",5,IF(L393="F-120",6,0))))),0),0)+IF(AND(O393="FIRE TEX 5120",E393="CJ"),VLOOKUP(_xlfn.MINIFS('FIRE TEX 5120'!$O$5:$O$40,'FIRE TEX 5120'!$O$5:$O$40,"&gt;="&amp;M393),'FIRE TEX 5120'!$O$5:$T$40,IF(L393="F-15",2,IF(L393="F-30",3,IF(L393="F-60",4,IF(L393="F-90",5,IF(L393="F-120",6,0))))),0),0)</f>
        <v>0</v>
      </c>
      <c r="Q393" s="46">
        <f t="shared" si="49"/>
        <v>0</v>
      </c>
      <c r="R393" s="46">
        <f t="shared" si="50"/>
        <v>0</v>
      </c>
      <c r="S393" s="46" t="e">
        <f t="shared" si="51"/>
        <v>#VALUE!</v>
      </c>
      <c r="T393" s="677">
        <f t="shared" si="52"/>
        <v>0</v>
      </c>
      <c r="U393" s="80">
        <f>(IF(O393="Stofire",(S393*#REF!),0))+(IF(O393="Fire Control",(S393*$U$2),0))+(IF(O393="Fire Tex",(S393*$U$3),0))+(IF(O393="WB7",(S393*#REF!),0)+(IF(O393="FX 2003",(S393*$U$5),0)))</f>
        <v>0</v>
      </c>
      <c r="V393" s="651">
        <f t="shared" si="53"/>
        <v>0</v>
      </c>
    </row>
    <row r="394" spans="4:22" x14ac:dyDescent="0.25">
      <c r="D394" s="118">
        <f>+CUBICACION!D393</f>
        <v>0</v>
      </c>
      <c r="E394" s="118">
        <f>+CUBICACION!F393</f>
        <v>0</v>
      </c>
      <c r="F394" s="118">
        <f>+CUBICACION!E393</f>
        <v>0</v>
      </c>
      <c r="G394" s="118">
        <v>12</v>
      </c>
      <c r="H394" s="118">
        <v>2</v>
      </c>
      <c r="I394" s="820">
        <v>26385</v>
      </c>
      <c r="J394" s="118">
        <f>+CUBICACION!J393</f>
        <v>0</v>
      </c>
      <c r="K394" s="118">
        <v>3173</v>
      </c>
      <c r="L394" s="118">
        <f>+CUBICACION!L393</f>
        <v>0</v>
      </c>
      <c r="M394" s="64">
        <f>+CUBICACION!M393</f>
        <v>0</v>
      </c>
      <c r="N394" s="824" t="str">
        <f>+CUBICACION!N393</f>
        <v/>
      </c>
      <c r="O394" s="675">
        <f>+CUBICACION!O393</f>
        <v>0</v>
      </c>
      <c r="P394" s="15">
        <f>IF(O394="Fire Control",VLOOKUP(_xlfn.MINIFS('FIRE CONTROL'!$C$4:$C$37,'FIRE CONTROL'!$C$4:$C$37,"&gt;="&amp;M394),'FIRE CONTROL'!$C$4:$G$37,IF(L394="F-15",2,IF(L394="F-30",3,IF(L394="F-60",4,IF(L394="F-90",5,0)))),0),0)+IF(AND(O394="FIRE TEX 5062",OR(E394="IN",E394="C",E394="Z",E394="L"),J394=3),VLOOKUP(_xlfn.MINIFS('FIRE TEX 5062'!$B$4:$B$34,'FIRE TEX 5062'!$B$4:$B$34,"&gt;="&amp;M394),'FIRE TEX 5062'!$B$4:$F$34,IF(L394="F-15",2,IF(L394="F-30",3,IF(L394="F-60",4,IF(L394="F-90",5,0)))),0),0)+IF(AND(O394="FIRE TEX 5062",OR(E394="IN",E394="C",E394="Z",E394="L"),J394=4),VLOOKUP(_xlfn.MINIFS('FIRE TEX 5062'!$G$4:$G$34,'FIRE TEX 5062'!$G$4:$G$34,"&gt;="&amp;M394),'FIRE TEX 5062'!$G$4:$K$34,IF(L394="F-15",2,IF(L394="F-30",3,IF(L394="F-60",4,IF(L394="F-90",5,0)))),0),0)+IF(AND(O394="FIRE TEX 5062",E394="CJ",J394=3),VLOOKUP(_xlfn.MINIFS('FIRE TEX 5062'!$L$4:$L$34,'FIRE TEX 5062'!$L$4:$L$34,"&gt;="&amp;M394),'FIRE TEX 5062'!$L$4:$P$34,IF(L394="F-15",2,IF(L394="F-30",3,IF(L394="F-60",4,IF(L394="F-90",5,0)))),0),0)+IF(AND(O394="FIRE TEX 5062",E394="CJ",J394=4),VLOOKUP(_xlfn.MINIFS('FIRE TEX 5062'!$Q$3:$Q$34,'FIRE TEX 5062'!$Q$3:$Q$34,"&gt;="&amp;M394),'FIRE TEX 5062'!$Q$3:$U$34,IF(L394="F-15",2,IF(L394="F-30",3,IF(L394="F-60",4,IF(L394="F-90",5,0)))),0),0)+IF(AND(O394="FIRE TEX 5090",OR(E394="IN",E394="C",E394="Z",E394="L"),J394=3),VLOOKUP(_xlfn.MINIFS('FIRE TEX 5090'!$B$5:$B$43,'FIRE TEX 5090'!$B$5:$B$43,"&gt;="&amp;M394),'FIRE TEX 5090'!$B$5:$H$43,IF(L394="F-15",2,IF(L394="F-30",3,IF(L394="F-60",4,IF(L394="F-90",5,IF(L394="F-120",6,IF(L394="F-150",7,0)))))),0),0)+IF(AND(O394="FIRE TEX 5090",OR(E394="IN",E394="C",E394="Z",E394="L"),J394=4),VLOOKUP(_xlfn.MINIFS('FIRE TEX 5090'!$J$5:$J$43,'FIRE TEX 5090'!$J$5:$J$43,"&gt;="&amp;M394),'FIRE TEX 5090'!$J$5:$P$43,IF(L394="F-15",2,IF(L394="F-30",3,IF(L394="F-60",4,IF(L394="F-90",5,IF(L394="F-120",6,IF(L394="F-150",7,0)))))),0),0)+IF(AND(O394="FIRE TEX 5090",E394="CJ",J394=3),VLOOKUP(_xlfn.MINIFS('FIRE TEX 5090'!$R$5:$R$30,'FIRE TEX 5090'!$R$5:$R$30,"&gt;="&amp;M394),'FIRE TEX 5090'!$R$5:$W$30,IF(L394="F-15",2,IF(L394="F-30",3,IF(L394="F-60",4,IF(L394="F-90",5,IF(L394="F-120",6,IF(L394="F-150",7,0)))))),0),0)+IF(AND(O394="FIRE TEX 5090",E394="CJ",J394=4),VLOOKUP(_xlfn.MINIFS('FIRE TEX 5090'!$Y$5:$Y$39,'FIRE TEX 5090'!$Y$5:$Y$39,"&gt;="&amp;M394),'FIRE TEX 5090'!$Y$5:$AD$39,IF(L394="F-15",2,IF(L394="F-30",3,IF(L394="F-60",4,IF(L394="F-90",5,IF(L394="F-120",6,IF(L394="F-150",7,0)))))),0),0)+IF(AND(O394="FIRE TEX 5120",OR(E394="IN",E394="C",E394="Z",E394="L"),J394=3),VLOOKUP(_xlfn.MINIFS('FIRE TEX 5120'!$B$5:$B$40,'FIRE TEX 5120'!$B$5:$B$40,"&gt;="&amp;M394),'FIRE TEX 5120'!$B$5:$G$40,IF(L394="F-15",2,IF(L394="F-30",3,IF(L394="F-60",4,IF(L394="F-90",5,IF(L394="F-120",6,0))))),0),0)+IF(AND(O394="FIRE TEX 5120",OR(E394="IN",E394="C",E394="Z",E394="L"),J394=4),VLOOKUP(_xlfn.MINIFS('FIRE TEX 5120'!$H$4:$H$40,'FIRE TEX 5120'!$H$4:$H$40,"&gt;="&amp;M394),'FIRE TEX 5120'!$H$4:$M$40,IF(L394="F-15",2,IF(L394="F-30",3,IF(L394="F-60",4,IF(L394="F-90",5,IF(L394="F-120",6,0))))),0),0)+IF(AND(O394="FIRE TEX 5120",E394="CJ"),VLOOKUP(_xlfn.MINIFS('FIRE TEX 5120'!$O$5:$O$40,'FIRE TEX 5120'!$O$5:$O$40,"&gt;="&amp;M394),'FIRE TEX 5120'!$O$5:$T$40,IF(L394="F-15",2,IF(L394="F-30",3,IF(L394="F-60",4,IF(L394="F-90",5,IF(L394="F-120",6,0))))),0),0)</f>
        <v>0</v>
      </c>
      <c r="Q394" s="46">
        <f t="shared" si="49"/>
        <v>0</v>
      </c>
      <c r="R394" s="46">
        <f t="shared" si="50"/>
        <v>0</v>
      </c>
      <c r="S394" s="46" t="e">
        <f t="shared" si="51"/>
        <v>#VALUE!</v>
      </c>
      <c r="T394" s="677">
        <f t="shared" si="52"/>
        <v>0</v>
      </c>
      <c r="U394" s="80">
        <f>(IF(O394="Stofire",(S394*#REF!),0))+(IF(O394="Fire Control",(S394*$U$2),0))+(IF(O394="Fire Tex",(S394*$U$3),0))+(IF(O394="WB7",(S394*#REF!),0)+(IF(O394="FX 2003",(S394*$U$5),0)))</f>
        <v>0</v>
      </c>
      <c r="V394" s="651">
        <f t="shared" si="53"/>
        <v>0</v>
      </c>
    </row>
    <row r="395" spans="4:22" x14ac:dyDescent="0.25">
      <c r="D395" s="118">
        <f>+CUBICACION!D394</f>
        <v>0</v>
      </c>
      <c r="E395" s="118">
        <f>+CUBICACION!F394</f>
        <v>0</v>
      </c>
      <c r="F395" s="118">
        <f>+CUBICACION!E394</f>
        <v>0</v>
      </c>
      <c r="G395" s="118">
        <v>12</v>
      </c>
      <c r="H395" s="118">
        <v>2</v>
      </c>
      <c r="I395" s="820">
        <v>26385</v>
      </c>
      <c r="J395" s="118">
        <f>+CUBICACION!J394</f>
        <v>0</v>
      </c>
      <c r="K395" s="118">
        <v>3174</v>
      </c>
      <c r="L395" s="118">
        <f>+CUBICACION!L394</f>
        <v>0</v>
      </c>
      <c r="M395" s="64">
        <f>+CUBICACION!M394</f>
        <v>0</v>
      </c>
      <c r="N395" s="824" t="str">
        <f>+CUBICACION!N394</f>
        <v/>
      </c>
      <c r="O395" s="675">
        <f>+CUBICACION!O394</f>
        <v>0</v>
      </c>
      <c r="P395" s="15">
        <f>IF(O395="Fire Control",VLOOKUP(_xlfn.MINIFS('FIRE CONTROL'!$C$4:$C$37,'FIRE CONTROL'!$C$4:$C$37,"&gt;="&amp;M395),'FIRE CONTROL'!$C$4:$G$37,IF(L395="F-15",2,IF(L395="F-30",3,IF(L395="F-60",4,IF(L395="F-90",5,0)))),0),0)+IF(AND(O395="FIRE TEX 5062",OR(E395="IN",E395="C",E395="Z",E395="L"),J395=3),VLOOKUP(_xlfn.MINIFS('FIRE TEX 5062'!$B$4:$B$34,'FIRE TEX 5062'!$B$4:$B$34,"&gt;="&amp;M395),'FIRE TEX 5062'!$B$4:$F$34,IF(L395="F-15",2,IF(L395="F-30",3,IF(L395="F-60",4,IF(L395="F-90",5,0)))),0),0)+IF(AND(O395="FIRE TEX 5062",OR(E395="IN",E395="C",E395="Z",E395="L"),J395=4),VLOOKUP(_xlfn.MINIFS('FIRE TEX 5062'!$G$4:$G$34,'FIRE TEX 5062'!$G$4:$G$34,"&gt;="&amp;M395),'FIRE TEX 5062'!$G$4:$K$34,IF(L395="F-15",2,IF(L395="F-30",3,IF(L395="F-60",4,IF(L395="F-90",5,0)))),0),0)+IF(AND(O395="FIRE TEX 5062",E395="CJ",J395=3),VLOOKUP(_xlfn.MINIFS('FIRE TEX 5062'!$L$4:$L$34,'FIRE TEX 5062'!$L$4:$L$34,"&gt;="&amp;M395),'FIRE TEX 5062'!$L$4:$P$34,IF(L395="F-15",2,IF(L395="F-30",3,IF(L395="F-60",4,IF(L395="F-90",5,0)))),0),0)+IF(AND(O395="FIRE TEX 5062",E395="CJ",J395=4),VLOOKUP(_xlfn.MINIFS('FIRE TEX 5062'!$Q$3:$Q$34,'FIRE TEX 5062'!$Q$3:$Q$34,"&gt;="&amp;M395),'FIRE TEX 5062'!$Q$3:$U$34,IF(L395="F-15",2,IF(L395="F-30",3,IF(L395="F-60",4,IF(L395="F-90",5,0)))),0),0)+IF(AND(O395="FIRE TEX 5090",OR(E395="IN",E395="C",E395="Z",E395="L"),J395=3),VLOOKUP(_xlfn.MINIFS('FIRE TEX 5090'!$B$5:$B$43,'FIRE TEX 5090'!$B$5:$B$43,"&gt;="&amp;M395),'FIRE TEX 5090'!$B$5:$H$43,IF(L395="F-15",2,IF(L395="F-30",3,IF(L395="F-60",4,IF(L395="F-90",5,IF(L395="F-120",6,IF(L395="F-150",7,0)))))),0),0)+IF(AND(O395="FIRE TEX 5090",OR(E395="IN",E395="C",E395="Z",E395="L"),J395=4),VLOOKUP(_xlfn.MINIFS('FIRE TEX 5090'!$J$5:$J$43,'FIRE TEX 5090'!$J$5:$J$43,"&gt;="&amp;M395),'FIRE TEX 5090'!$J$5:$P$43,IF(L395="F-15",2,IF(L395="F-30",3,IF(L395="F-60",4,IF(L395="F-90",5,IF(L395="F-120",6,IF(L395="F-150",7,0)))))),0),0)+IF(AND(O395="FIRE TEX 5090",E395="CJ",J395=3),VLOOKUP(_xlfn.MINIFS('FIRE TEX 5090'!$R$5:$R$30,'FIRE TEX 5090'!$R$5:$R$30,"&gt;="&amp;M395),'FIRE TEX 5090'!$R$5:$W$30,IF(L395="F-15",2,IF(L395="F-30",3,IF(L395="F-60",4,IF(L395="F-90",5,IF(L395="F-120",6,IF(L395="F-150",7,0)))))),0),0)+IF(AND(O395="FIRE TEX 5090",E395="CJ",J395=4),VLOOKUP(_xlfn.MINIFS('FIRE TEX 5090'!$Y$5:$Y$39,'FIRE TEX 5090'!$Y$5:$Y$39,"&gt;="&amp;M395),'FIRE TEX 5090'!$Y$5:$AD$39,IF(L395="F-15",2,IF(L395="F-30",3,IF(L395="F-60",4,IF(L395="F-90",5,IF(L395="F-120",6,IF(L395="F-150",7,0)))))),0),0)+IF(AND(O395="FIRE TEX 5120",OR(E395="IN",E395="C",E395="Z",E395="L"),J395=3),VLOOKUP(_xlfn.MINIFS('FIRE TEX 5120'!$B$5:$B$40,'FIRE TEX 5120'!$B$5:$B$40,"&gt;="&amp;M395),'FIRE TEX 5120'!$B$5:$G$40,IF(L395="F-15",2,IF(L395="F-30",3,IF(L395="F-60",4,IF(L395="F-90",5,IF(L395="F-120",6,0))))),0),0)+IF(AND(O395="FIRE TEX 5120",OR(E395="IN",E395="C",E395="Z",E395="L"),J395=4),VLOOKUP(_xlfn.MINIFS('FIRE TEX 5120'!$H$4:$H$40,'FIRE TEX 5120'!$H$4:$H$40,"&gt;="&amp;M395),'FIRE TEX 5120'!$H$4:$M$40,IF(L395="F-15",2,IF(L395="F-30",3,IF(L395="F-60",4,IF(L395="F-90",5,IF(L395="F-120",6,0))))),0),0)+IF(AND(O395="FIRE TEX 5120",E395="CJ"),VLOOKUP(_xlfn.MINIFS('FIRE TEX 5120'!$O$5:$O$40,'FIRE TEX 5120'!$O$5:$O$40,"&gt;="&amp;M395),'FIRE TEX 5120'!$O$5:$T$40,IF(L395="F-15",2,IF(L395="F-30",3,IF(L395="F-60",4,IF(L395="F-90",5,IF(L395="F-120",6,0))))),0),0)</f>
        <v>0</v>
      </c>
      <c r="Q395" s="46">
        <f t="shared" si="49"/>
        <v>0</v>
      </c>
      <c r="R395" s="46">
        <f t="shared" si="50"/>
        <v>0</v>
      </c>
      <c r="S395" s="46" t="e">
        <f t="shared" si="51"/>
        <v>#VALUE!</v>
      </c>
      <c r="T395" s="677">
        <f t="shared" si="52"/>
        <v>0</v>
      </c>
      <c r="U395" s="80">
        <f>(IF(O395="Stofire",(S395*#REF!),0))+(IF(O395="Fire Control",(S395*$U$2),0))+(IF(O395="Fire Tex",(S395*$U$3),0))+(IF(O395="WB7",(S395*#REF!),0)+(IF(O395="FX 2003",(S395*$U$5),0)))</f>
        <v>0</v>
      </c>
      <c r="V395" s="651">
        <f t="shared" si="53"/>
        <v>0</v>
      </c>
    </row>
    <row r="396" spans="4:22" x14ac:dyDescent="0.25">
      <c r="D396" s="118">
        <f>+CUBICACION!D395</f>
        <v>0</v>
      </c>
      <c r="E396" s="118">
        <f>+CUBICACION!F395</f>
        <v>0</v>
      </c>
      <c r="F396" s="118">
        <f>+CUBICACION!E395</f>
        <v>0</v>
      </c>
      <c r="G396" s="118">
        <v>12</v>
      </c>
      <c r="H396" s="118">
        <v>2</v>
      </c>
      <c r="I396" s="820">
        <v>26385</v>
      </c>
      <c r="J396" s="118">
        <f>+CUBICACION!J395</f>
        <v>0</v>
      </c>
      <c r="K396" s="118">
        <v>3175</v>
      </c>
      <c r="L396" s="118">
        <f>+CUBICACION!L395</f>
        <v>0</v>
      </c>
      <c r="M396" s="64">
        <f>+CUBICACION!M395</f>
        <v>0</v>
      </c>
      <c r="N396" s="824" t="str">
        <f>+CUBICACION!N395</f>
        <v/>
      </c>
      <c r="O396" s="675">
        <f>+CUBICACION!O395</f>
        <v>0</v>
      </c>
      <c r="P396" s="15">
        <f>IF(O396="Fire Control",VLOOKUP(_xlfn.MINIFS('FIRE CONTROL'!$C$4:$C$37,'FIRE CONTROL'!$C$4:$C$37,"&gt;="&amp;M396),'FIRE CONTROL'!$C$4:$G$37,IF(L396="F-15",2,IF(L396="F-30",3,IF(L396="F-60",4,IF(L396="F-90",5,0)))),0),0)+IF(AND(O396="FIRE TEX 5062",OR(E396="IN",E396="C",E396="Z",E396="L"),J396=3),VLOOKUP(_xlfn.MINIFS('FIRE TEX 5062'!$B$4:$B$34,'FIRE TEX 5062'!$B$4:$B$34,"&gt;="&amp;M396),'FIRE TEX 5062'!$B$4:$F$34,IF(L396="F-15",2,IF(L396="F-30",3,IF(L396="F-60",4,IF(L396="F-90",5,0)))),0),0)+IF(AND(O396="FIRE TEX 5062",OR(E396="IN",E396="C",E396="Z",E396="L"),J396=4),VLOOKUP(_xlfn.MINIFS('FIRE TEX 5062'!$G$4:$G$34,'FIRE TEX 5062'!$G$4:$G$34,"&gt;="&amp;M396),'FIRE TEX 5062'!$G$4:$K$34,IF(L396="F-15",2,IF(L396="F-30",3,IF(L396="F-60",4,IF(L396="F-90",5,0)))),0),0)+IF(AND(O396="FIRE TEX 5062",E396="CJ",J396=3),VLOOKUP(_xlfn.MINIFS('FIRE TEX 5062'!$L$4:$L$34,'FIRE TEX 5062'!$L$4:$L$34,"&gt;="&amp;M396),'FIRE TEX 5062'!$L$4:$P$34,IF(L396="F-15",2,IF(L396="F-30",3,IF(L396="F-60",4,IF(L396="F-90",5,0)))),0),0)+IF(AND(O396="FIRE TEX 5062",E396="CJ",J396=4),VLOOKUP(_xlfn.MINIFS('FIRE TEX 5062'!$Q$3:$Q$34,'FIRE TEX 5062'!$Q$3:$Q$34,"&gt;="&amp;M396),'FIRE TEX 5062'!$Q$3:$U$34,IF(L396="F-15",2,IF(L396="F-30",3,IF(L396="F-60",4,IF(L396="F-90",5,0)))),0),0)+IF(AND(O396="FIRE TEX 5090",OR(E396="IN",E396="C",E396="Z",E396="L"),J396=3),VLOOKUP(_xlfn.MINIFS('FIRE TEX 5090'!$B$5:$B$43,'FIRE TEX 5090'!$B$5:$B$43,"&gt;="&amp;M396),'FIRE TEX 5090'!$B$5:$H$43,IF(L396="F-15",2,IF(L396="F-30",3,IF(L396="F-60",4,IF(L396="F-90",5,IF(L396="F-120",6,IF(L396="F-150",7,0)))))),0),0)+IF(AND(O396="FIRE TEX 5090",OR(E396="IN",E396="C",E396="Z",E396="L"),J396=4),VLOOKUP(_xlfn.MINIFS('FIRE TEX 5090'!$J$5:$J$43,'FIRE TEX 5090'!$J$5:$J$43,"&gt;="&amp;M396),'FIRE TEX 5090'!$J$5:$P$43,IF(L396="F-15",2,IF(L396="F-30",3,IF(L396="F-60",4,IF(L396="F-90",5,IF(L396="F-120",6,IF(L396="F-150",7,0)))))),0),0)+IF(AND(O396="FIRE TEX 5090",E396="CJ",J396=3),VLOOKUP(_xlfn.MINIFS('FIRE TEX 5090'!$R$5:$R$30,'FIRE TEX 5090'!$R$5:$R$30,"&gt;="&amp;M396),'FIRE TEX 5090'!$R$5:$W$30,IF(L396="F-15",2,IF(L396="F-30",3,IF(L396="F-60",4,IF(L396="F-90",5,IF(L396="F-120",6,IF(L396="F-150",7,0)))))),0),0)+IF(AND(O396="FIRE TEX 5090",E396="CJ",J396=4),VLOOKUP(_xlfn.MINIFS('FIRE TEX 5090'!$Y$5:$Y$39,'FIRE TEX 5090'!$Y$5:$Y$39,"&gt;="&amp;M396),'FIRE TEX 5090'!$Y$5:$AD$39,IF(L396="F-15",2,IF(L396="F-30",3,IF(L396="F-60",4,IF(L396="F-90",5,IF(L396="F-120",6,IF(L396="F-150",7,0)))))),0),0)+IF(AND(O396="FIRE TEX 5120",OR(E396="IN",E396="C",E396="Z",E396="L"),J396=3),VLOOKUP(_xlfn.MINIFS('FIRE TEX 5120'!$B$5:$B$40,'FIRE TEX 5120'!$B$5:$B$40,"&gt;="&amp;M396),'FIRE TEX 5120'!$B$5:$G$40,IF(L396="F-15",2,IF(L396="F-30",3,IF(L396="F-60",4,IF(L396="F-90",5,IF(L396="F-120",6,0))))),0),0)+IF(AND(O396="FIRE TEX 5120",OR(E396="IN",E396="C",E396="Z",E396="L"),J396=4),VLOOKUP(_xlfn.MINIFS('FIRE TEX 5120'!$H$4:$H$40,'FIRE TEX 5120'!$H$4:$H$40,"&gt;="&amp;M396),'FIRE TEX 5120'!$H$4:$M$40,IF(L396="F-15",2,IF(L396="F-30",3,IF(L396="F-60",4,IF(L396="F-90",5,IF(L396="F-120",6,0))))),0),0)+IF(AND(O396="FIRE TEX 5120",E396="CJ"),VLOOKUP(_xlfn.MINIFS('FIRE TEX 5120'!$O$5:$O$40,'FIRE TEX 5120'!$O$5:$O$40,"&gt;="&amp;M396),'FIRE TEX 5120'!$O$5:$T$40,IF(L396="F-15",2,IF(L396="F-30",3,IF(L396="F-60",4,IF(L396="F-90",5,IF(L396="F-120",6,0))))),0),0)</f>
        <v>0</v>
      </c>
      <c r="Q396" s="46">
        <f t="shared" si="49"/>
        <v>0</v>
      </c>
      <c r="R396" s="46">
        <f t="shared" si="50"/>
        <v>0</v>
      </c>
      <c r="S396" s="46" t="e">
        <f t="shared" si="51"/>
        <v>#VALUE!</v>
      </c>
      <c r="T396" s="677">
        <f t="shared" si="52"/>
        <v>0</v>
      </c>
      <c r="U396" s="80">
        <f>(IF(O396="Stofire",(S396*#REF!),0))+(IF(O396="Fire Control",(S396*$U$2),0))+(IF(O396="Fire Tex",(S396*$U$3),0))+(IF(O396="WB7",(S396*#REF!),0)+(IF(O396="FX 2003",(S396*$U$5),0)))</f>
        <v>0</v>
      </c>
      <c r="V396" s="651">
        <f t="shared" si="53"/>
        <v>0</v>
      </c>
    </row>
    <row r="397" spans="4:22" x14ac:dyDescent="0.25">
      <c r="D397" s="118">
        <f>+CUBICACION!D396</f>
        <v>0</v>
      </c>
      <c r="E397" s="118">
        <f>+CUBICACION!F396</f>
        <v>0</v>
      </c>
      <c r="F397" s="118">
        <f>+CUBICACION!E396</f>
        <v>0</v>
      </c>
      <c r="G397" s="118">
        <v>12</v>
      </c>
      <c r="H397" s="118">
        <v>2</v>
      </c>
      <c r="I397" s="820">
        <v>26385</v>
      </c>
      <c r="J397" s="118">
        <f>+CUBICACION!J396</f>
        <v>0</v>
      </c>
      <c r="K397" s="118">
        <v>3176</v>
      </c>
      <c r="L397" s="118">
        <f>+CUBICACION!L396</f>
        <v>0</v>
      </c>
      <c r="M397" s="64">
        <f>+CUBICACION!M396</f>
        <v>0</v>
      </c>
      <c r="N397" s="824" t="str">
        <f>+CUBICACION!N396</f>
        <v/>
      </c>
      <c r="O397" s="675">
        <f>+CUBICACION!O396</f>
        <v>0</v>
      </c>
      <c r="P397" s="15">
        <f>IF(O397="Fire Control",VLOOKUP(_xlfn.MINIFS('FIRE CONTROL'!$C$4:$C$37,'FIRE CONTROL'!$C$4:$C$37,"&gt;="&amp;M397),'FIRE CONTROL'!$C$4:$G$37,IF(L397="F-15",2,IF(L397="F-30",3,IF(L397="F-60",4,IF(L397="F-90",5,0)))),0),0)+IF(AND(O397="FIRE TEX 5062",OR(E397="IN",E397="C",E397="Z",E397="L"),J397=3),VLOOKUP(_xlfn.MINIFS('FIRE TEX 5062'!$B$4:$B$34,'FIRE TEX 5062'!$B$4:$B$34,"&gt;="&amp;M397),'FIRE TEX 5062'!$B$4:$F$34,IF(L397="F-15",2,IF(L397="F-30",3,IF(L397="F-60",4,IF(L397="F-90",5,0)))),0),0)+IF(AND(O397="FIRE TEX 5062",OR(E397="IN",E397="C",E397="Z",E397="L"),J397=4),VLOOKUP(_xlfn.MINIFS('FIRE TEX 5062'!$G$4:$G$34,'FIRE TEX 5062'!$G$4:$G$34,"&gt;="&amp;M397),'FIRE TEX 5062'!$G$4:$K$34,IF(L397="F-15",2,IF(L397="F-30",3,IF(L397="F-60",4,IF(L397="F-90",5,0)))),0),0)+IF(AND(O397="FIRE TEX 5062",E397="CJ",J397=3),VLOOKUP(_xlfn.MINIFS('FIRE TEX 5062'!$L$4:$L$34,'FIRE TEX 5062'!$L$4:$L$34,"&gt;="&amp;M397),'FIRE TEX 5062'!$L$4:$P$34,IF(L397="F-15",2,IF(L397="F-30",3,IF(L397="F-60",4,IF(L397="F-90",5,0)))),0),0)+IF(AND(O397="FIRE TEX 5062",E397="CJ",J397=4),VLOOKUP(_xlfn.MINIFS('FIRE TEX 5062'!$Q$3:$Q$34,'FIRE TEX 5062'!$Q$3:$Q$34,"&gt;="&amp;M397),'FIRE TEX 5062'!$Q$3:$U$34,IF(L397="F-15",2,IF(L397="F-30",3,IF(L397="F-60",4,IF(L397="F-90",5,0)))),0),0)+IF(AND(O397="FIRE TEX 5090",OR(E397="IN",E397="C",E397="Z",E397="L"),J397=3),VLOOKUP(_xlfn.MINIFS('FIRE TEX 5090'!$B$5:$B$43,'FIRE TEX 5090'!$B$5:$B$43,"&gt;="&amp;M397),'FIRE TEX 5090'!$B$5:$H$43,IF(L397="F-15",2,IF(L397="F-30",3,IF(L397="F-60",4,IF(L397="F-90",5,IF(L397="F-120",6,IF(L397="F-150",7,0)))))),0),0)+IF(AND(O397="FIRE TEX 5090",OR(E397="IN",E397="C",E397="Z",E397="L"),J397=4),VLOOKUP(_xlfn.MINIFS('FIRE TEX 5090'!$J$5:$J$43,'FIRE TEX 5090'!$J$5:$J$43,"&gt;="&amp;M397),'FIRE TEX 5090'!$J$5:$P$43,IF(L397="F-15",2,IF(L397="F-30",3,IF(L397="F-60",4,IF(L397="F-90",5,IF(L397="F-120",6,IF(L397="F-150",7,0)))))),0),0)+IF(AND(O397="FIRE TEX 5090",E397="CJ",J397=3),VLOOKUP(_xlfn.MINIFS('FIRE TEX 5090'!$R$5:$R$30,'FIRE TEX 5090'!$R$5:$R$30,"&gt;="&amp;M397),'FIRE TEX 5090'!$R$5:$W$30,IF(L397="F-15",2,IF(L397="F-30",3,IF(L397="F-60",4,IF(L397="F-90",5,IF(L397="F-120",6,IF(L397="F-150",7,0)))))),0),0)+IF(AND(O397="FIRE TEX 5090",E397="CJ",J397=4),VLOOKUP(_xlfn.MINIFS('FIRE TEX 5090'!$Y$5:$Y$39,'FIRE TEX 5090'!$Y$5:$Y$39,"&gt;="&amp;M397),'FIRE TEX 5090'!$Y$5:$AD$39,IF(L397="F-15",2,IF(L397="F-30",3,IF(L397="F-60",4,IF(L397="F-90",5,IF(L397="F-120",6,IF(L397="F-150",7,0)))))),0),0)+IF(AND(O397="FIRE TEX 5120",OR(E397="IN",E397="C",E397="Z",E397="L"),J397=3),VLOOKUP(_xlfn.MINIFS('FIRE TEX 5120'!$B$5:$B$40,'FIRE TEX 5120'!$B$5:$B$40,"&gt;="&amp;M397),'FIRE TEX 5120'!$B$5:$G$40,IF(L397="F-15",2,IF(L397="F-30",3,IF(L397="F-60",4,IF(L397="F-90",5,IF(L397="F-120",6,0))))),0),0)+IF(AND(O397="FIRE TEX 5120",OR(E397="IN",E397="C",E397="Z",E397="L"),J397=4),VLOOKUP(_xlfn.MINIFS('FIRE TEX 5120'!$H$4:$H$40,'FIRE TEX 5120'!$H$4:$H$40,"&gt;="&amp;M397),'FIRE TEX 5120'!$H$4:$M$40,IF(L397="F-15",2,IF(L397="F-30",3,IF(L397="F-60",4,IF(L397="F-90",5,IF(L397="F-120",6,0))))),0),0)+IF(AND(O397="FIRE TEX 5120",E397="CJ"),VLOOKUP(_xlfn.MINIFS('FIRE TEX 5120'!$O$5:$O$40,'FIRE TEX 5120'!$O$5:$O$40,"&gt;="&amp;M397),'FIRE TEX 5120'!$O$5:$T$40,IF(L397="F-15",2,IF(L397="F-30",3,IF(L397="F-60",4,IF(L397="F-90",5,IF(L397="F-120",6,0))))),0),0)</f>
        <v>0</v>
      </c>
      <c r="Q397" s="46">
        <f t="shared" si="49"/>
        <v>0</v>
      </c>
      <c r="R397" s="46">
        <f t="shared" si="50"/>
        <v>0</v>
      </c>
      <c r="S397" s="46" t="e">
        <f t="shared" si="51"/>
        <v>#VALUE!</v>
      </c>
      <c r="T397" s="677">
        <f t="shared" si="52"/>
        <v>0</v>
      </c>
      <c r="U397" s="80">
        <f>(IF(O397="Stofire",(S397*#REF!),0))+(IF(O397="Fire Control",(S397*$U$2),0))+(IF(O397="Fire Tex",(S397*$U$3),0))+(IF(O397="WB7",(S397*#REF!),0)+(IF(O397="FX 2003",(S397*$U$5),0)))</f>
        <v>0</v>
      </c>
      <c r="V397" s="651">
        <f t="shared" si="53"/>
        <v>0</v>
      </c>
    </row>
    <row r="398" spans="4:22" x14ac:dyDescent="0.25">
      <c r="D398" s="118">
        <f>+CUBICACION!D397</f>
        <v>0</v>
      </c>
      <c r="E398" s="118">
        <f>+CUBICACION!F397</f>
        <v>0</v>
      </c>
      <c r="F398" s="118">
        <f>+CUBICACION!E397</f>
        <v>0</v>
      </c>
      <c r="G398" s="118">
        <v>12</v>
      </c>
      <c r="H398" s="118">
        <v>2</v>
      </c>
      <c r="I398" s="820">
        <v>26385</v>
      </c>
      <c r="J398" s="118">
        <f>+CUBICACION!J397</f>
        <v>0</v>
      </c>
      <c r="K398" s="118">
        <v>3177</v>
      </c>
      <c r="L398" s="118">
        <f>+CUBICACION!L397</f>
        <v>0</v>
      </c>
      <c r="M398" s="64">
        <f>+CUBICACION!M397</f>
        <v>0</v>
      </c>
      <c r="N398" s="824" t="str">
        <f>+CUBICACION!N397</f>
        <v/>
      </c>
      <c r="O398" s="675">
        <f>+CUBICACION!O397</f>
        <v>0</v>
      </c>
      <c r="P398" s="15">
        <f>IF(O398="Fire Control",VLOOKUP(_xlfn.MINIFS('FIRE CONTROL'!$C$4:$C$37,'FIRE CONTROL'!$C$4:$C$37,"&gt;="&amp;M398),'FIRE CONTROL'!$C$4:$G$37,IF(L398="F-15",2,IF(L398="F-30",3,IF(L398="F-60",4,IF(L398="F-90",5,0)))),0),0)+IF(AND(O398="FIRE TEX 5062",OR(E398="IN",E398="C",E398="Z",E398="L"),J398=3),VLOOKUP(_xlfn.MINIFS('FIRE TEX 5062'!$B$4:$B$34,'FIRE TEX 5062'!$B$4:$B$34,"&gt;="&amp;M398),'FIRE TEX 5062'!$B$4:$F$34,IF(L398="F-15",2,IF(L398="F-30",3,IF(L398="F-60",4,IF(L398="F-90",5,0)))),0),0)+IF(AND(O398="FIRE TEX 5062",OR(E398="IN",E398="C",E398="Z",E398="L"),J398=4),VLOOKUP(_xlfn.MINIFS('FIRE TEX 5062'!$G$4:$G$34,'FIRE TEX 5062'!$G$4:$G$34,"&gt;="&amp;M398),'FIRE TEX 5062'!$G$4:$K$34,IF(L398="F-15",2,IF(L398="F-30",3,IF(L398="F-60",4,IF(L398="F-90",5,0)))),0),0)+IF(AND(O398="FIRE TEX 5062",E398="CJ",J398=3),VLOOKUP(_xlfn.MINIFS('FIRE TEX 5062'!$L$4:$L$34,'FIRE TEX 5062'!$L$4:$L$34,"&gt;="&amp;M398),'FIRE TEX 5062'!$L$4:$P$34,IF(L398="F-15",2,IF(L398="F-30",3,IF(L398="F-60",4,IF(L398="F-90",5,0)))),0),0)+IF(AND(O398="FIRE TEX 5062",E398="CJ",J398=4),VLOOKUP(_xlfn.MINIFS('FIRE TEX 5062'!$Q$3:$Q$34,'FIRE TEX 5062'!$Q$3:$Q$34,"&gt;="&amp;M398),'FIRE TEX 5062'!$Q$3:$U$34,IF(L398="F-15",2,IF(L398="F-30",3,IF(L398="F-60",4,IF(L398="F-90",5,0)))),0),0)+IF(AND(O398="FIRE TEX 5090",OR(E398="IN",E398="C",E398="Z",E398="L"),J398=3),VLOOKUP(_xlfn.MINIFS('FIRE TEX 5090'!$B$5:$B$43,'FIRE TEX 5090'!$B$5:$B$43,"&gt;="&amp;M398),'FIRE TEX 5090'!$B$5:$H$43,IF(L398="F-15",2,IF(L398="F-30",3,IF(L398="F-60",4,IF(L398="F-90",5,IF(L398="F-120",6,IF(L398="F-150",7,0)))))),0),0)+IF(AND(O398="FIRE TEX 5090",OR(E398="IN",E398="C",E398="Z",E398="L"),J398=4),VLOOKUP(_xlfn.MINIFS('FIRE TEX 5090'!$J$5:$J$43,'FIRE TEX 5090'!$J$5:$J$43,"&gt;="&amp;M398),'FIRE TEX 5090'!$J$5:$P$43,IF(L398="F-15",2,IF(L398="F-30",3,IF(L398="F-60",4,IF(L398="F-90",5,IF(L398="F-120",6,IF(L398="F-150",7,0)))))),0),0)+IF(AND(O398="FIRE TEX 5090",E398="CJ",J398=3),VLOOKUP(_xlfn.MINIFS('FIRE TEX 5090'!$R$5:$R$30,'FIRE TEX 5090'!$R$5:$R$30,"&gt;="&amp;M398),'FIRE TEX 5090'!$R$5:$W$30,IF(L398="F-15",2,IF(L398="F-30",3,IF(L398="F-60",4,IF(L398="F-90",5,IF(L398="F-120",6,IF(L398="F-150",7,0)))))),0),0)+IF(AND(O398="FIRE TEX 5090",E398="CJ",J398=4),VLOOKUP(_xlfn.MINIFS('FIRE TEX 5090'!$Y$5:$Y$39,'FIRE TEX 5090'!$Y$5:$Y$39,"&gt;="&amp;M398),'FIRE TEX 5090'!$Y$5:$AD$39,IF(L398="F-15",2,IF(L398="F-30",3,IF(L398="F-60",4,IF(L398="F-90",5,IF(L398="F-120",6,IF(L398="F-150",7,0)))))),0),0)+IF(AND(O398="FIRE TEX 5120",OR(E398="IN",E398="C",E398="Z",E398="L"),J398=3),VLOOKUP(_xlfn.MINIFS('FIRE TEX 5120'!$B$5:$B$40,'FIRE TEX 5120'!$B$5:$B$40,"&gt;="&amp;M398),'FIRE TEX 5120'!$B$5:$G$40,IF(L398="F-15",2,IF(L398="F-30",3,IF(L398="F-60",4,IF(L398="F-90",5,IF(L398="F-120",6,0))))),0),0)+IF(AND(O398="FIRE TEX 5120",OR(E398="IN",E398="C",E398="Z",E398="L"),J398=4),VLOOKUP(_xlfn.MINIFS('FIRE TEX 5120'!$H$4:$H$40,'FIRE TEX 5120'!$H$4:$H$40,"&gt;="&amp;M398),'FIRE TEX 5120'!$H$4:$M$40,IF(L398="F-15",2,IF(L398="F-30",3,IF(L398="F-60",4,IF(L398="F-90",5,IF(L398="F-120",6,0))))),0),0)+IF(AND(O398="FIRE TEX 5120",E398="CJ"),VLOOKUP(_xlfn.MINIFS('FIRE TEX 5120'!$O$5:$O$40,'FIRE TEX 5120'!$O$5:$O$40,"&gt;="&amp;M398),'FIRE TEX 5120'!$O$5:$T$40,IF(L398="F-15",2,IF(L398="F-30",3,IF(L398="F-60",4,IF(L398="F-90",5,IF(L398="F-120",6,0))))),0),0)</f>
        <v>0</v>
      </c>
      <c r="Q398" s="46">
        <f t="shared" si="49"/>
        <v>0</v>
      </c>
      <c r="R398" s="46">
        <f t="shared" si="50"/>
        <v>0</v>
      </c>
      <c r="S398" s="46" t="e">
        <f t="shared" si="51"/>
        <v>#VALUE!</v>
      </c>
      <c r="T398" s="677">
        <f t="shared" si="52"/>
        <v>0</v>
      </c>
      <c r="U398" s="80">
        <f>(IF(O398="Stofire",(S398*#REF!),0))+(IF(O398="Fire Control",(S398*$U$2),0))+(IF(O398="Fire Tex",(S398*$U$3),0))+(IF(O398="WB7",(S398*#REF!),0)+(IF(O398="FX 2003",(S398*$U$5),0)))</f>
        <v>0</v>
      </c>
      <c r="V398" s="651">
        <f t="shared" si="53"/>
        <v>0</v>
      </c>
    </row>
    <row r="399" spans="4:22" x14ac:dyDescent="0.25">
      <c r="D399" s="118">
        <f>+CUBICACION!D398</f>
        <v>0</v>
      </c>
      <c r="E399" s="118">
        <f>+CUBICACION!F398</f>
        <v>0</v>
      </c>
      <c r="F399" s="118">
        <f>+CUBICACION!E398</f>
        <v>0</v>
      </c>
      <c r="G399" s="118">
        <v>12</v>
      </c>
      <c r="H399" s="118">
        <v>2</v>
      </c>
      <c r="I399" s="820">
        <v>26385</v>
      </c>
      <c r="J399" s="118">
        <f>+CUBICACION!J398</f>
        <v>0</v>
      </c>
      <c r="K399" s="118">
        <v>3178</v>
      </c>
      <c r="L399" s="118">
        <f>+CUBICACION!L398</f>
        <v>0</v>
      </c>
      <c r="M399" s="64">
        <f>+CUBICACION!M398</f>
        <v>0</v>
      </c>
      <c r="N399" s="824" t="str">
        <f>+CUBICACION!N398</f>
        <v/>
      </c>
      <c r="O399" s="675">
        <f>+CUBICACION!O398</f>
        <v>0</v>
      </c>
      <c r="P399" s="15">
        <f>IF(O399="Fire Control",VLOOKUP(_xlfn.MINIFS('FIRE CONTROL'!$C$4:$C$37,'FIRE CONTROL'!$C$4:$C$37,"&gt;="&amp;M399),'FIRE CONTROL'!$C$4:$G$37,IF(L399="F-15",2,IF(L399="F-30",3,IF(L399="F-60",4,IF(L399="F-90",5,0)))),0),0)+IF(AND(O399="FIRE TEX 5062",OR(E399="IN",E399="C",E399="Z",E399="L"),J399=3),VLOOKUP(_xlfn.MINIFS('FIRE TEX 5062'!$B$4:$B$34,'FIRE TEX 5062'!$B$4:$B$34,"&gt;="&amp;M399),'FIRE TEX 5062'!$B$4:$F$34,IF(L399="F-15",2,IF(L399="F-30",3,IF(L399="F-60",4,IF(L399="F-90",5,0)))),0),0)+IF(AND(O399="FIRE TEX 5062",OR(E399="IN",E399="C",E399="Z",E399="L"),J399=4),VLOOKUP(_xlfn.MINIFS('FIRE TEX 5062'!$G$4:$G$34,'FIRE TEX 5062'!$G$4:$G$34,"&gt;="&amp;M399),'FIRE TEX 5062'!$G$4:$K$34,IF(L399="F-15",2,IF(L399="F-30",3,IF(L399="F-60",4,IF(L399="F-90",5,0)))),0),0)+IF(AND(O399="FIRE TEX 5062",E399="CJ",J399=3),VLOOKUP(_xlfn.MINIFS('FIRE TEX 5062'!$L$4:$L$34,'FIRE TEX 5062'!$L$4:$L$34,"&gt;="&amp;M399),'FIRE TEX 5062'!$L$4:$P$34,IF(L399="F-15",2,IF(L399="F-30",3,IF(L399="F-60",4,IF(L399="F-90",5,0)))),0),0)+IF(AND(O399="FIRE TEX 5062",E399="CJ",J399=4),VLOOKUP(_xlfn.MINIFS('FIRE TEX 5062'!$Q$3:$Q$34,'FIRE TEX 5062'!$Q$3:$Q$34,"&gt;="&amp;M399),'FIRE TEX 5062'!$Q$3:$U$34,IF(L399="F-15",2,IF(L399="F-30",3,IF(L399="F-60",4,IF(L399="F-90",5,0)))),0),0)+IF(AND(O399="FIRE TEX 5090",OR(E399="IN",E399="C",E399="Z",E399="L"),J399=3),VLOOKUP(_xlfn.MINIFS('FIRE TEX 5090'!$B$5:$B$43,'FIRE TEX 5090'!$B$5:$B$43,"&gt;="&amp;M399),'FIRE TEX 5090'!$B$5:$H$43,IF(L399="F-15",2,IF(L399="F-30",3,IF(L399="F-60",4,IF(L399="F-90",5,IF(L399="F-120",6,IF(L399="F-150",7,0)))))),0),0)+IF(AND(O399="FIRE TEX 5090",OR(E399="IN",E399="C",E399="Z",E399="L"),J399=4),VLOOKUP(_xlfn.MINIFS('FIRE TEX 5090'!$J$5:$J$43,'FIRE TEX 5090'!$J$5:$J$43,"&gt;="&amp;M399),'FIRE TEX 5090'!$J$5:$P$43,IF(L399="F-15",2,IF(L399="F-30",3,IF(L399="F-60",4,IF(L399="F-90",5,IF(L399="F-120",6,IF(L399="F-150",7,0)))))),0),0)+IF(AND(O399="FIRE TEX 5090",E399="CJ",J399=3),VLOOKUP(_xlfn.MINIFS('FIRE TEX 5090'!$R$5:$R$30,'FIRE TEX 5090'!$R$5:$R$30,"&gt;="&amp;M399),'FIRE TEX 5090'!$R$5:$W$30,IF(L399="F-15",2,IF(L399="F-30",3,IF(L399="F-60",4,IF(L399="F-90",5,IF(L399="F-120",6,IF(L399="F-150",7,0)))))),0),0)+IF(AND(O399="FIRE TEX 5090",E399="CJ",J399=4),VLOOKUP(_xlfn.MINIFS('FIRE TEX 5090'!$Y$5:$Y$39,'FIRE TEX 5090'!$Y$5:$Y$39,"&gt;="&amp;M399),'FIRE TEX 5090'!$Y$5:$AD$39,IF(L399="F-15",2,IF(L399="F-30",3,IF(L399="F-60",4,IF(L399="F-90",5,IF(L399="F-120",6,IF(L399="F-150",7,0)))))),0),0)+IF(AND(O399="FIRE TEX 5120",OR(E399="IN",E399="C",E399="Z",E399="L"),J399=3),VLOOKUP(_xlfn.MINIFS('FIRE TEX 5120'!$B$5:$B$40,'FIRE TEX 5120'!$B$5:$B$40,"&gt;="&amp;M399),'FIRE TEX 5120'!$B$5:$G$40,IF(L399="F-15",2,IF(L399="F-30",3,IF(L399="F-60",4,IF(L399="F-90",5,IF(L399="F-120",6,0))))),0),0)+IF(AND(O399="FIRE TEX 5120",OR(E399="IN",E399="C",E399="Z",E399="L"),J399=4),VLOOKUP(_xlfn.MINIFS('FIRE TEX 5120'!$H$4:$H$40,'FIRE TEX 5120'!$H$4:$H$40,"&gt;="&amp;M399),'FIRE TEX 5120'!$H$4:$M$40,IF(L399="F-15",2,IF(L399="F-30",3,IF(L399="F-60",4,IF(L399="F-90",5,IF(L399="F-120",6,0))))),0),0)+IF(AND(O399="FIRE TEX 5120",E399="CJ"),VLOOKUP(_xlfn.MINIFS('FIRE TEX 5120'!$O$5:$O$40,'FIRE TEX 5120'!$O$5:$O$40,"&gt;="&amp;M399),'FIRE TEX 5120'!$O$5:$T$40,IF(L399="F-15",2,IF(L399="F-30",3,IF(L399="F-60",4,IF(L399="F-90",5,IF(L399="F-120",6,0))))),0),0)</f>
        <v>0</v>
      </c>
      <c r="Q399" s="46">
        <f t="shared" si="49"/>
        <v>0</v>
      </c>
      <c r="R399" s="46">
        <f t="shared" si="50"/>
        <v>0</v>
      </c>
      <c r="S399" s="46" t="e">
        <f t="shared" si="51"/>
        <v>#VALUE!</v>
      </c>
      <c r="T399" s="677">
        <f t="shared" si="52"/>
        <v>0</v>
      </c>
      <c r="U399" s="80">
        <f>(IF(O399="Stofire",(S399*#REF!),0))+(IF(O399="Fire Control",(S399*$U$2),0))+(IF(O399="Fire Tex",(S399*$U$3),0))+(IF(O399="WB7",(S399*#REF!),0)+(IF(O399="FX 2003",(S399*$U$5),0)))</f>
        <v>0</v>
      </c>
      <c r="V399" s="651">
        <f t="shared" si="53"/>
        <v>0</v>
      </c>
    </row>
    <row r="400" spans="4:22" x14ac:dyDescent="0.25">
      <c r="D400" s="118">
        <f>+CUBICACION!D399</f>
        <v>0</v>
      </c>
      <c r="E400" s="118">
        <f>+CUBICACION!F399</f>
        <v>0</v>
      </c>
      <c r="F400" s="118">
        <f>+CUBICACION!E399</f>
        <v>0</v>
      </c>
      <c r="G400" s="118">
        <v>12</v>
      </c>
      <c r="H400" s="118">
        <v>2</v>
      </c>
      <c r="I400" s="820">
        <v>26385</v>
      </c>
      <c r="J400" s="118">
        <f>+CUBICACION!J399</f>
        <v>0</v>
      </c>
      <c r="K400" s="118">
        <v>3179</v>
      </c>
      <c r="L400" s="118">
        <f>+CUBICACION!L399</f>
        <v>0</v>
      </c>
      <c r="M400" s="64">
        <f>+CUBICACION!M399</f>
        <v>0</v>
      </c>
      <c r="N400" s="824" t="str">
        <f>+CUBICACION!N399</f>
        <v/>
      </c>
      <c r="O400" s="675">
        <f>+CUBICACION!O399</f>
        <v>0</v>
      </c>
      <c r="P400" s="15">
        <f>IF(O400="Fire Control",VLOOKUP(_xlfn.MINIFS('FIRE CONTROL'!$C$4:$C$37,'FIRE CONTROL'!$C$4:$C$37,"&gt;="&amp;M400),'FIRE CONTROL'!$C$4:$G$37,IF(L400="F-15",2,IF(L400="F-30",3,IF(L400="F-60",4,IF(L400="F-90",5,0)))),0),0)+IF(AND(O400="FIRE TEX 5062",OR(E400="IN",E400="C",E400="Z",E400="L"),J400=3),VLOOKUP(_xlfn.MINIFS('FIRE TEX 5062'!$B$4:$B$34,'FIRE TEX 5062'!$B$4:$B$34,"&gt;="&amp;M400),'FIRE TEX 5062'!$B$4:$F$34,IF(L400="F-15",2,IF(L400="F-30",3,IF(L400="F-60",4,IF(L400="F-90",5,0)))),0),0)+IF(AND(O400="FIRE TEX 5062",OR(E400="IN",E400="C",E400="Z",E400="L"),J400=4),VLOOKUP(_xlfn.MINIFS('FIRE TEX 5062'!$G$4:$G$34,'FIRE TEX 5062'!$G$4:$G$34,"&gt;="&amp;M400),'FIRE TEX 5062'!$G$4:$K$34,IF(L400="F-15",2,IF(L400="F-30",3,IF(L400="F-60",4,IF(L400="F-90",5,0)))),0),0)+IF(AND(O400="FIRE TEX 5062",E400="CJ",J400=3),VLOOKUP(_xlfn.MINIFS('FIRE TEX 5062'!$L$4:$L$34,'FIRE TEX 5062'!$L$4:$L$34,"&gt;="&amp;M400),'FIRE TEX 5062'!$L$4:$P$34,IF(L400="F-15",2,IF(L400="F-30",3,IF(L400="F-60",4,IF(L400="F-90",5,0)))),0),0)+IF(AND(O400="FIRE TEX 5062",E400="CJ",J400=4),VLOOKUP(_xlfn.MINIFS('FIRE TEX 5062'!$Q$3:$Q$34,'FIRE TEX 5062'!$Q$3:$Q$34,"&gt;="&amp;M400),'FIRE TEX 5062'!$Q$3:$U$34,IF(L400="F-15",2,IF(L400="F-30",3,IF(L400="F-60",4,IF(L400="F-90",5,0)))),0),0)+IF(AND(O400="FIRE TEX 5090",OR(E400="IN",E400="C",E400="Z",E400="L"),J400=3),VLOOKUP(_xlfn.MINIFS('FIRE TEX 5090'!$B$5:$B$43,'FIRE TEX 5090'!$B$5:$B$43,"&gt;="&amp;M400),'FIRE TEX 5090'!$B$5:$H$43,IF(L400="F-15",2,IF(L400="F-30",3,IF(L400="F-60",4,IF(L400="F-90",5,IF(L400="F-120",6,IF(L400="F-150",7,0)))))),0),0)+IF(AND(O400="FIRE TEX 5090",OR(E400="IN",E400="C",E400="Z",E400="L"),J400=4),VLOOKUP(_xlfn.MINIFS('FIRE TEX 5090'!$J$5:$J$43,'FIRE TEX 5090'!$J$5:$J$43,"&gt;="&amp;M400),'FIRE TEX 5090'!$J$5:$P$43,IF(L400="F-15",2,IF(L400="F-30",3,IF(L400="F-60",4,IF(L400="F-90",5,IF(L400="F-120",6,IF(L400="F-150",7,0)))))),0),0)+IF(AND(O400="FIRE TEX 5090",E400="CJ",J400=3),VLOOKUP(_xlfn.MINIFS('FIRE TEX 5090'!$R$5:$R$30,'FIRE TEX 5090'!$R$5:$R$30,"&gt;="&amp;M400),'FIRE TEX 5090'!$R$5:$W$30,IF(L400="F-15",2,IF(L400="F-30",3,IF(L400="F-60",4,IF(L400="F-90",5,IF(L400="F-120",6,IF(L400="F-150",7,0)))))),0),0)+IF(AND(O400="FIRE TEX 5090",E400="CJ",J400=4),VLOOKUP(_xlfn.MINIFS('FIRE TEX 5090'!$Y$5:$Y$39,'FIRE TEX 5090'!$Y$5:$Y$39,"&gt;="&amp;M400),'FIRE TEX 5090'!$Y$5:$AD$39,IF(L400="F-15",2,IF(L400="F-30",3,IF(L400="F-60",4,IF(L400="F-90",5,IF(L400="F-120",6,IF(L400="F-150",7,0)))))),0),0)+IF(AND(O400="FIRE TEX 5120",OR(E400="IN",E400="C",E400="Z",E400="L"),J400=3),VLOOKUP(_xlfn.MINIFS('FIRE TEX 5120'!$B$5:$B$40,'FIRE TEX 5120'!$B$5:$B$40,"&gt;="&amp;M400),'FIRE TEX 5120'!$B$5:$G$40,IF(L400="F-15",2,IF(L400="F-30",3,IF(L400="F-60",4,IF(L400="F-90",5,IF(L400="F-120",6,0))))),0),0)+IF(AND(O400="FIRE TEX 5120",OR(E400="IN",E400="C",E400="Z",E400="L"),J400=4),VLOOKUP(_xlfn.MINIFS('FIRE TEX 5120'!$H$4:$H$40,'FIRE TEX 5120'!$H$4:$H$40,"&gt;="&amp;M400),'FIRE TEX 5120'!$H$4:$M$40,IF(L400="F-15",2,IF(L400="F-30",3,IF(L400="F-60",4,IF(L400="F-90",5,IF(L400="F-120",6,0))))),0),0)+IF(AND(O400="FIRE TEX 5120",E400="CJ"),VLOOKUP(_xlfn.MINIFS('FIRE TEX 5120'!$O$5:$O$40,'FIRE TEX 5120'!$O$5:$O$40,"&gt;="&amp;M400),'FIRE TEX 5120'!$O$5:$T$40,IF(L400="F-15",2,IF(L400="F-30",3,IF(L400="F-60",4,IF(L400="F-90",5,IF(L400="F-120",6,0))))),0),0)</f>
        <v>0</v>
      </c>
      <c r="Q400" s="46">
        <f t="shared" si="49"/>
        <v>0</v>
      </c>
      <c r="R400" s="46">
        <f t="shared" si="50"/>
        <v>0</v>
      </c>
      <c r="S400" s="46" t="e">
        <f t="shared" si="51"/>
        <v>#VALUE!</v>
      </c>
      <c r="T400" s="677">
        <f t="shared" si="52"/>
        <v>0</v>
      </c>
      <c r="U400" s="80">
        <f>(IF(O400="Stofire",(S400*#REF!),0))+(IF(O400="Fire Control",(S400*$U$2),0))+(IF(O400="Fire Tex",(S400*$U$3),0))+(IF(O400="WB7",(S400*#REF!),0)+(IF(O400="FX 2003",(S400*$U$5),0)))</f>
        <v>0</v>
      </c>
      <c r="V400" s="651">
        <f t="shared" si="53"/>
        <v>0</v>
      </c>
    </row>
    <row r="401" spans="4:22" x14ac:dyDescent="0.25">
      <c r="D401" s="118">
        <f>+CUBICACION!D400</f>
        <v>0</v>
      </c>
      <c r="E401" s="118">
        <f>+CUBICACION!F400</f>
        <v>0</v>
      </c>
      <c r="F401" s="118">
        <f>+CUBICACION!E400</f>
        <v>0</v>
      </c>
      <c r="G401" s="118">
        <v>12</v>
      </c>
      <c r="H401" s="118">
        <v>2</v>
      </c>
      <c r="I401" s="820">
        <v>26385</v>
      </c>
      <c r="J401" s="118">
        <f>+CUBICACION!J400</f>
        <v>0</v>
      </c>
      <c r="K401" s="118">
        <v>3180</v>
      </c>
      <c r="L401" s="118">
        <f>+CUBICACION!L400</f>
        <v>0</v>
      </c>
      <c r="M401" s="64">
        <f>+CUBICACION!M400</f>
        <v>0</v>
      </c>
      <c r="N401" s="824" t="str">
        <f>+CUBICACION!N400</f>
        <v/>
      </c>
      <c r="O401" s="675">
        <f>+CUBICACION!O400</f>
        <v>0</v>
      </c>
      <c r="P401" s="15">
        <f>IF(O401="Fire Control",VLOOKUP(_xlfn.MINIFS('FIRE CONTROL'!$C$4:$C$37,'FIRE CONTROL'!$C$4:$C$37,"&gt;="&amp;M401),'FIRE CONTROL'!$C$4:$G$37,IF(L401="F-15",2,IF(L401="F-30",3,IF(L401="F-60",4,IF(L401="F-90",5,0)))),0),0)+IF(AND(O401="FIRE TEX 5062",OR(E401="IN",E401="C",E401="Z",E401="L"),J401=3),VLOOKUP(_xlfn.MINIFS('FIRE TEX 5062'!$B$4:$B$34,'FIRE TEX 5062'!$B$4:$B$34,"&gt;="&amp;M401),'FIRE TEX 5062'!$B$4:$F$34,IF(L401="F-15",2,IF(L401="F-30",3,IF(L401="F-60",4,IF(L401="F-90",5,0)))),0),0)+IF(AND(O401="FIRE TEX 5062",OR(E401="IN",E401="C",E401="Z",E401="L"),J401=4),VLOOKUP(_xlfn.MINIFS('FIRE TEX 5062'!$G$4:$G$34,'FIRE TEX 5062'!$G$4:$G$34,"&gt;="&amp;M401),'FIRE TEX 5062'!$G$4:$K$34,IF(L401="F-15",2,IF(L401="F-30",3,IF(L401="F-60",4,IF(L401="F-90",5,0)))),0),0)+IF(AND(O401="FIRE TEX 5062",E401="CJ",J401=3),VLOOKUP(_xlfn.MINIFS('FIRE TEX 5062'!$L$4:$L$34,'FIRE TEX 5062'!$L$4:$L$34,"&gt;="&amp;M401),'FIRE TEX 5062'!$L$4:$P$34,IF(L401="F-15",2,IF(L401="F-30",3,IF(L401="F-60",4,IF(L401="F-90",5,0)))),0),0)+IF(AND(O401="FIRE TEX 5062",E401="CJ",J401=4),VLOOKUP(_xlfn.MINIFS('FIRE TEX 5062'!$Q$3:$Q$34,'FIRE TEX 5062'!$Q$3:$Q$34,"&gt;="&amp;M401),'FIRE TEX 5062'!$Q$3:$U$34,IF(L401="F-15",2,IF(L401="F-30",3,IF(L401="F-60",4,IF(L401="F-90",5,0)))),0),0)+IF(AND(O401="FIRE TEX 5090",OR(E401="IN",E401="C",E401="Z",E401="L"),J401=3),VLOOKUP(_xlfn.MINIFS('FIRE TEX 5090'!$B$5:$B$43,'FIRE TEX 5090'!$B$5:$B$43,"&gt;="&amp;M401),'FIRE TEX 5090'!$B$5:$H$43,IF(L401="F-15",2,IF(L401="F-30",3,IF(L401="F-60",4,IF(L401="F-90",5,IF(L401="F-120",6,IF(L401="F-150",7,0)))))),0),0)+IF(AND(O401="FIRE TEX 5090",OR(E401="IN",E401="C",E401="Z",E401="L"),J401=4),VLOOKUP(_xlfn.MINIFS('FIRE TEX 5090'!$J$5:$J$43,'FIRE TEX 5090'!$J$5:$J$43,"&gt;="&amp;M401),'FIRE TEX 5090'!$J$5:$P$43,IF(L401="F-15",2,IF(L401="F-30",3,IF(L401="F-60",4,IF(L401="F-90",5,IF(L401="F-120",6,IF(L401="F-150",7,0)))))),0),0)+IF(AND(O401="FIRE TEX 5090",E401="CJ",J401=3),VLOOKUP(_xlfn.MINIFS('FIRE TEX 5090'!$R$5:$R$30,'FIRE TEX 5090'!$R$5:$R$30,"&gt;="&amp;M401),'FIRE TEX 5090'!$R$5:$W$30,IF(L401="F-15",2,IF(L401="F-30",3,IF(L401="F-60",4,IF(L401="F-90",5,IF(L401="F-120",6,IF(L401="F-150",7,0)))))),0),0)+IF(AND(O401="FIRE TEX 5090",E401="CJ",J401=4),VLOOKUP(_xlfn.MINIFS('FIRE TEX 5090'!$Y$5:$Y$39,'FIRE TEX 5090'!$Y$5:$Y$39,"&gt;="&amp;M401),'FIRE TEX 5090'!$Y$5:$AD$39,IF(L401="F-15",2,IF(L401="F-30",3,IF(L401="F-60",4,IF(L401="F-90",5,IF(L401="F-120",6,IF(L401="F-150",7,0)))))),0),0)+IF(AND(O401="FIRE TEX 5120",OR(E401="IN",E401="C",E401="Z",E401="L"),J401=3),VLOOKUP(_xlfn.MINIFS('FIRE TEX 5120'!$B$5:$B$40,'FIRE TEX 5120'!$B$5:$B$40,"&gt;="&amp;M401),'FIRE TEX 5120'!$B$5:$G$40,IF(L401="F-15",2,IF(L401="F-30",3,IF(L401="F-60",4,IF(L401="F-90",5,IF(L401="F-120",6,0))))),0),0)+IF(AND(O401="FIRE TEX 5120",OR(E401="IN",E401="C",E401="Z",E401="L"),J401=4),VLOOKUP(_xlfn.MINIFS('FIRE TEX 5120'!$H$4:$H$40,'FIRE TEX 5120'!$H$4:$H$40,"&gt;="&amp;M401),'FIRE TEX 5120'!$H$4:$M$40,IF(L401="F-15",2,IF(L401="F-30",3,IF(L401="F-60",4,IF(L401="F-90",5,IF(L401="F-120",6,0))))),0),0)+IF(AND(O401="FIRE TEX 5120",E401="CJ"),VLOOKUP(_xlfn.MINIFS('FIRE TEX 5120'!$O$5:$O$40,'FIRE TEX 5120'!$O$5:$O$40,"&gt;="&amp;M401),'FIRE TEX 5120'!$O$5:$T$40,IF(L401="F-15",2,IF(L401="F-30",3,IF(L401="F-60",4,IF(L401="F-90",5,IF(L401="F-120",6,0))))),0),0)</f>
        <v>0</v>
      </c>
      <c r="Q401" s="46">
        <f t="shared" si="49"/>
        <v>0</v>
      </c>
      <c r="R401" s="46">
        <f t="shared" si="50"/>
        <v>0</v>
      </c>
      <c r="S401" s="46" t="e">
        <f t="shared" si="51"/>
        <v>#VALUE!</v>
      </c>
      <c r="T401" s="677">
        <f t="shared" si="52"/>
        <v>0</v>
      </c>
      <c r="U401" s="80">
        <f>(IF(O401="Stofire",(S401*#REF!),0))+(IF(O401="Fire Control",(S401*$U$2),0))+(IF(O401="Fire Tex",(S401*$U$3),0))+(IF(O401="WB7",(S401*#REF!),0)+(IF(O401="FX 2003",(S401*$U$5),0)))</f>
        <v>0</v>
      </c>
      <c r="V401" s="651">
        <f t="shared" si="53"/>
        <v>0</v>
      </c>
    </row>
    <row r="402" spans="4:22" x14ac:dyDescent="0.25">
      <c r="D402" s="118">
        <f>+CUBICACION!D401</f>
        <v>0</v>
      </c>
      <c r="E402" s="118">
        <f>+CUBICACION!F401</f>
        <v>0</v>
      </c>
      <c r="F402" s="118">
        <f>+CUBICACION!E401</f>
        <v>0</v>
      </c>
      <c r="G402" s="118">
        <v>12</v>
      </c>
      <c r="H402" s="118">
        <v>2</v>
      </c>
      <c r="I402" s="820">
        <v>26385</v>
      </c>
      <c r="J402" s="118">
        <f>+CUBICACION!J401</f>
        <v>0</v>
      </c>
      <c r="K402" s="118">
        <v>3181</v>
      </c>
      <c r="L402" s="118">
        <f>+CUBICACION!L401</f>
        <v>0</v>
      </c>
      <c r="M402" s="64">
        <f>+CUBICACION!M401</f>
        <v>0</v>
      </c>
      <c r="N402" s="824" t="str">
        <f>+CUBICACION!N401</f>
        <v/>
      </c>
      <c r="O402" s="675">
        <f>+CUBICACION!O401</f>
        <v>0</v>
      </c>
      <c r="P402" s="15">
        <f>IF(O402="Fire Control",VLOOKUP(_xlfn.MINIFS('FIRE CONTROL'!$C$4:$C$37,'FIRE CONTROL'!$C$4:$C$37,"&gt;="&amp;M402),'FIRE CONTROL'!$C$4:$G$37,IF(L402="F-15",2,IF(L402="F-30",3,IF(L402="F-60",4,IF(L402="F-90",5,0)))),0),0)+IF(AND(O402="FIRE TEX 5062",OR(E402="IN",E402="C",E402="Z",E402="L"),J402=3),VLOOKUP(_xlfn.MINIFS('FIRE TEX 5062'!$B$4:$B$34,'FIRE TEX 5062'!$B$4:$B$34,"&gt;="&amp;M402),'FIRE TEX 5062'!$B$4:$F$34,IF(L402="F-15",2,IF(L402="F-30",3,IF(L402="F-60",4,IF(L402="F-90",5,0)))),0),0)+IF(AND(O402="FIRE TEX 5062",OR(E402="IN",E402="C",E402="Z",E402="L"),J402=4),VLOOKUP(_xlfn.MINIFS('FIRE TEX 5062'!$G$4:$G$34,'FIRE TEX 5062'!$G$4:$G$34,"&gt;="&amp;M402),'FIRE TEX 5062'!$G$4:$K$34,IF(L402="F-15",2,IF(L402="F-30",3,IF(L402="F-60",4,IF(L402="F-90",5,0)))),0),0)+IF(AND(O402="FIRE TEX 5062",E402="CJ",J402=3),VLOOKUP(_xlfn.MINIFS('FIRE TEX 5062'!$L$4:$L$34,'FIRE TEX 5062'!$L$4:$L$34,"&gt;="&amp;M402),'FIRE TEX 5062'!$L$4:$P$34,IF(L402="F-15",2,IF(L402="F-30",3,IF(L402="F-60",4,IF(L402="F-90",5,0)))),0),0)+IF(AND(O402="FIRE TEX 5062",E402="CJ",J402=4),VLOOKUP(_xlfn.MINIFS('FIRE TEX 5062'!$Q$3:$Q$34,'FIRE TEX 5062'!$Q$3:$Q$34,"&gt;="&amp;M402),'FIRE TEX 5062'!$Q$3:$U$34,IF(L402="F-15",2,IF(L402="F-30",3,IF(L402="F-60",4,IF(L402="F-90",5,0)))),0),0)+IF(AND(O402="FIRE TEX 5090",OR(E402="IN",E402="C",E402="Z",E402="L"),J402=3),VLOOKUP(_xlfn.MINIFS('FIRE TEX 5090'!$B$5:$B$43,'FIRE TEX 5090'!$B$5:$B$43,"&gt;="&amp;M402),'FIRE TEX 5090'!$B$5:$H$43,IF(L402="F-15",2,IF(L402="F-30",3,IF(L402="F-60",4,IF(L402="F-90",5,IF(L402="F-120",6,IF(L402="F-150",7,0)))))),0),0)+IF(AND(O402="FIRE TEX 5090",OR(E402="IN",E402="C",E402="Z",E402="L"),J402=4),VLOOKUP(_xlfn.MINIFS('FIRE TEX 5090'!$J$5:$J$43,'FIRE TEX 5090'!$J$5:$J$43,"&gt;="&amp;M402),'FIRE TEX 5090'!$J$5:$P$43,IF(L402="F-15",2,IF(L402="F-30",3,IF(L402="F-60",4,IF(L402="F-90",5,IF(L402="F-120",6,IF(L402="F-150",7,0)))))),0),0)+IF(AND(O402="FIRE TEX 5090",E402="CJ",J402=3),VLOOKUP(_xlfn.MINIFS('FIRE TEX 5090'!$R$5:$R$30,'FIRE TEX 5090'!$R$5:$R$30,"&gt;="&amp;M402),'FIRE TEX 5090'!$R$5:$W$30,IF(L402="F-15",2,IF(L402="F-30",3,IF(L402="F-60",4,IF(L402="F-90",5,IF(L402="F-120",6,IF(L402="F-150",7,0)))))),0),0)+IF(AND(O402="FIRE TEX 5090",E402="CJ",J402=4),VLOOKUP(_xlfn.MINIFS('FIRE TEX 5090'!$Y$5:$Y$39,'FIRE TEX 5090'!$Y$5:$Y$39,"&gt;="&amp;M402),'FIRE TEX 5090'!$Y$5:$AD$39,IF(L402="F-15",2,IF(L402="F-30",3,IF(L402="F-60",4,IF(L402="F-90",5,IF(L402="F-120",6,IF(L402="F-150",7,0)))))),0),0)+IF(AND(O402="FIRE TEX 5120",OR(E402="IN",E402="C",E402="Z",E402="L"),J402=3),VLOOKUP(_xlfn.MINIFS('FIRE TEX 5120'!$B$5:$B$40,'FIRE TEX 5120'!$B$5:$B$40,"&gt;="&amp;M402),'FIRE TEX 5120'!$B$5:$G$40,IF(L402="F-15",2,IF(L402="F-30",3,IF(L402="F-60",4,IF(L402="F-90",5,IF(L402="F-120",6,0))))),0),0)+IF(AND(O402="FIRE TEX 5120",OR(E402="IN",E402="C",E402="Z",E402="L"),J402=4),VLOOKUP(_xlfn.MINIFS('FIRE TEX 5120'!$H$4:$H$40,'FIRE TEX 5120'!$H$4:$H$40,"&gt;="&amp;M402),'FIRE TEX 5120'!$H$4:$M$40,IF(L402="F-15",2,IF(L402="F-30",3,IF(L402="F-60",4,IF(L402="F-90",5,IF(L402="F-120",6,0))))),0),0)+IF(AND(O402="FIRE TEX 5120",E402="CJ"),VLOOKUP(_xlfn.MINIFS('FIRE TEX 5120'!$O$5:$O$40,'FIRE TEX 5120'!$O$5:$O$40,"&gt;="&amp;M402),'FIRE TEX 5120'!$O$5:$T$40,IF(L402="F-15",2,IF(L402="F-30",3,IF(L402="F-60",4,IF(L402="F-90",5,IF(L402="F-120",6,0))))),0),0)</f>
        <v>0</v>
      </c>
      <c r="Q402" s="46">
        <f t="shared" si="49"/>
        <v>0</v>
      </c>
      <c r="R402" s="46">
        <f t="shared" si="50"/>
        <v>0</v>
      </c>
      <c r="S402" s="46" t="e">
        <f t="shared" si="51"/>
        <v>#VALUE!</v>
      </c>
      <c r="T402" s="677">
        <f t="shared" si="52"/>
        <v>0</v>
      </c>
      <c r="U402" s="80">
        <f>(IF(O402="Stofire",(S402*#REF!),0))+(IF(O402="Fire Control",(S402*$U$2),0))+(IF(O402="Fire Tex",(S402*$U$3),0))+(IF(O402="WB7",(S402*#REF!),0)+(IF(O402="FX 2003",(S402*$U$5),0)))</f>
        <v>0</v>
      </c>
      <c r="V402" s="651">
        <f t="shared" si="53"/>
        <v>0</v>
      </c>
    </row>
    <row r="403" spans="4:22" x14ac:dyDescent="0.25">
      <c r="D403" s="118">
        <f>+CUBICACION!D402</f>
        <v>0</v>
      </c>
      <c r="E403" s="118">
        <f>+CUBICACION!F402</f>
        <v>0</v>
      </c>
      <c r="F403" s="118">
        <f>+CUBICACION!E402</f>
        <v>0</v>
      </c>
      <c r="G403" s="118">
        <v>12</v>
      </c>
      <c r="H403" s="118">
        <v>2</v>
      </c>
      <c r="I403" s="820">
        <v>26385</v>
      </c>
      <c r="J403" s="118">
        <f>+CUBICACION!J402</f>
        <v>0</v>
      </c>
      <c r="K403" s="118">
        <v>3182</v>
      </c>
      <c r="L403" s="118">
        <f>+CUBICACION!L402</f>
        <v>0</v>
      </c>
      <c r="M403" s="64">
        <f>+CUBICACION!M402</f>
        <v>0</v>
      </c>
      <c r="N403" s="824" t="str">
        <f>+CUBICACION!N402</f>
        <v/>
      </c>
      <c r="O403" s="675">
        <f>+CUBICACION!O402</f>
        <v>0</v>
      </c>
      <c r="P403" s="15">
        <f>IF(O403="Fire Control",VLOOKUP(_xlfn.MINIFS('FIRE CONTROL'!$C$4:$C$37,'FIRE CONTROL'!$C$4:$C$37,"&gt;="&amp;M403),'FIRE CONTROL'!$C$4:$G$37,IF(L403="F-15",2,IF(L403="F-30",3,IF(L403="F-60",4,IF(L403="F-90",5,0)))),0),0)+IF(AND(O403="FIRE TEX 5062",OR(E403="IN",E403="C",E403="Z",E403="L"),J403=3),VLOOKUP(_xlfn.MINIFS('FIRE TEX 5062'!$B$4:$B$34,'FIRE TEX 5062'!$B$4:$B$34,"&gt;="&amp;M403),'FIRE TEX 5062'!$B$4:$F$34,IF(L403="F-15",2,IF(L403="F-30",3,IF(L403="F-60",4,IF(L403="F-90",5,0)))),0),0)+IF(AND(O403="FIRE TEX 5062",OR(E403="IN",E403="C",E403="Z",E403="L"),J403=4),VLOOKUP(_xlfn.MINIFS('FIRE TEX 5062'!$G$4:$G$34,'FIRE TEX 5062'!$G$4:$G$34,"&gt;="&amp;M403),'FIRE TEX 5062'!$G$4:$K$34,IF(L403="F-15",2,IF(L403="F-30",3,IF(L403="F-60",4,IF(L403="F-90",5,0)))),0),0)+IF(AND(O403="FIRE TEX 5062",E403="CJ",J403=3),VLOOKUP(_xlfn.MINIFS('FIRE TEX 5062'!$L$4:$L$34,'FIRE TEX 5062'!$L$4:$L$34,"&gt;="&amp;M403),'FIRE TEX 5062'!$L$4:$P$34,IF(L403="F-15",2,IF(L403="F-30",3,IF(L403="F-60",4,IF(L403="F-90",5,0)))),0),0)+IF(AND(O403="FIRE TEX 5062",E403="CJ",J403=4),VLOOKUP(_xlfn.MINIFS('FIRE TEX 5062'!$Q$3:$Q$34,'FIRE TEX 5062'!$Q$3:$Q$34,"&gt;="&amp;M403),'FIRE TEX 5062'!$Q$3:$U$34,IF(L403="F-15",2,IF(L403="F-30",3,IF(L403="F-60",4,IF(L403="F-90",5,0)))),0),0)+IF(AND(O403="FIRE TEX 5090",OR(E403="IN",E403="C",E403="Z",E403="L"),J403=3),VLOOKUP(_xlfn.MINIFS('FIRE TEX 5090'!$B$5:$B$43,'FIRE TEX 5090'!$B$5:$B$43,"&gt;="&amp;M403),'FIRE TEX 5090'!$B$5:$H$43,IF(L403="F-15",2,IF(L403="F-30",3,IF(L403="F-60",4,IF(L403="F-90",5,IF(L403="F-120",6,IF(L403="F-150",7,0)))))),0),0)+IF(AND(O403="FIRE TEX 5090",OR(E403="IN",E403="C",E403="Z",E403="L"),J403=4),VLOOKUP(_xlfn.MINIFS('FIRE TEX 5090'!$J$5:$J$43,'FIRE TEX 5090'!$J$5:$J$43,"&gt;="&amp;M403),'FIRE TEX 5090'!$J$5:$P$43,IF(L403="F-15",2,IF(L403="F-30",3,IF(L403="F-60",4,IF(L403="F-90",5,IF(L403="F-120",6,IF(L403="F-150",7,0)))))),0),0)+IF(AND(O403="FIRE TEX 5090",E403="CJ",J403=3),VLOOKUP(_xlfn.MINIFS('FIRE TEX 5090'!$R$5:$R$30,'FIRE TEX 5090'!$R$5:$R$30,"&gt;="&amp;M403),'FIRE TEX 5090'!$R$5:$W$30,IF(L403="F-15",2,IF(L403="F-30",3,IF(L403="F-60",4,IF(L403="F-90",5,IF(L403="F-120",6,IF(L403="F-150",7,0)))))),0),0)+IF(AND(O403="FIRE TEX 5090",E403="CJ",J403=4),VLOOKUP(_xlfn.MINIFS('FIRE TEX 5090'!$Y$5:$Y$39,'FIRE TEX 5090'!$Y$5:$Y$39,"&gt;="&amp;M403),'FIRE TEX 5090'!$Y$5:$AD$39,IF(L403="F-15",2,IF(L403="F-30",3,IF(L403="F-60",4,IF(L403="F-90",5,IF(L403="F-120",6,IF(L403="F-150",7,0)))))),0),0)+IF(AND(O403="FIRE TEX 5120",OR(E403="IN",E403="C",E403="Z",E403="L"),J403=3),VLOOKUP(_xlfn.MINIFS('FIRE TEX 5120'!$B$5:$B$40,'FIRE TEX 5120'!$B$5:$B$40,"&gt;="&amp;M403),'FIRE TEX 5120'!$B$5:$G$40,IF(L403="F-15",2,IF(L403="F-30",3,IF(L403="F-60",4,IF(L403="F-90",5,IF(L403="F-120",6,0))))),0),0)+IF(AND(O403="FIRE TEX 5120",OR(E403="IN",E403="C",E403="Z",E403="L"),J403=4),VLOOKUP(_xlfn.MINIFS('FIRE TEX 5120'!$H$4:$H$40,'FIRE TEX 5120'!$H$4:$H$40,"&gt;="&amp;M403),'FIRE TEX 5120'!$H$4:$M$40,IF(L403="F-15",2,IF(L403="F-30",3,IF(L403="F-60",4,IF(L403="F-90",5,IF(L403="F-120",6,0))))),0),0)+IF(AND(O403="FIRE TEX 5120",E403="CJ"),VLOOKUP(_xlfn.MINIFS('FIRE TEX 5120'!$O$5:$O$40,'FIRE TEX 5120'!$O$5:$O$40,"&gt;="&amp;M403),'FIRE TEX 5120'!$O$5:$T$40,IF(L403="F-15",2,IF(L403="F-30",3,IF(L403="F-60",4,IF(L403="F-90",5,IF(L403="F-120",6,0))))),0),0)</f>
        <v>0</v>
      </c>
      <c r="Q403" s="46">
        <f t="shared" si="49"/>
        <v>0</v>
      </c>
      <c r="R403" s="46">
        <f t="shared" si="50"/>
        <v>0</v>
      </c>
      <c r="S403" s="46" t="e">
        <f t="shared" si="51"/>
        <v>#VALUE!</v>
      </c>
      <c r="T403" s="677">
        <f t="shared" si="52"/>
        <v>0</v>
      </c>
      <c r="U403" s="80">
        <f>(IF(O403="Stofire",(S403*#REF!),0))+(IF(O403="Fire Control",(S403*$U$2),0))+(IF(O403="Fire Tex",(S403*$U$3),0))+(IF(O403="WB7",(S403*#REF!),0)+(IF(O403="FX 2003",(S403*$U$5),0)))</f>
        <v>0</v>
      </c>
      <c r="V403" s="651">
        <f t="shared" si="53"/>
        <v>0</v>
      </c>
    </row>
    <row r="404" spans="4:22" x14ac:dyDescent="0.25">
      <c r="D404" s="118">
        <f>+CUBICACION!D403</f>
        <v>0</v>
      </c>
      <c r="E404" s="118">
        <f>+CUBICACION!F403</f>
        <v>0</v>
      </c>
      <c r="F404" s="118">
        <f>+CUBICACION!E403</f>
        <v>0</v>
      </c>
      <c r="G404" s="118">
        <v>12</v>
      </c>
      <c r="H404" s="118">
        <v>2</v>
      </c>
      <c r="I404" s="820">
        <v>26385</v>
      </c>
      <c r="J404" s="118">
        <f>+CUBICACION!J403</f>
        <v>0</v>
      </c>
      <c r="K404" s="118">
        <v>3183</v>
      </c>
      <c r="L404" s="118">
        <f>+CUBICACION!L403</f>
        <v>0</v>
      </c>
      <c r="M404" s="64">
        <f>+CUBICACION!M403</f>
        <v>0</v>
      </c>
      <c r="N404" s="824" t="str">
        <f>+CUBICACION!N403</f>
        <v/>
      </c>
      <c r="O404" s="675">
        <f>+CUBICACION!O403</f>
        <v>0</v>
      </c>
      <c r="P404" s="15">
        <f>IF(O404="Fire Control",VLOOKUP(_xlfn.MINIFS('FIRE CONTROL'!$C$4:$C$37,'FIRE CONTROL'!$C$4:$C$37,"&gt;="&amp;M404),'FIRE CONTROL'!$C$4:$G$37,IF(L404="F-15",2,IF(L404="F-30",3,IF(L404="F-60",4,IF(L404="F-90",5,0)))),0),0)+IF(AND(O404="FIRE TEX 5062",OR(E404="IN",E404="C",E404="Z",E404="L"),J404=3),VLOOKUP(_xlfn.MINIFS('FIRE TEX 5062'!$B$4:$B$34,'FIRE TEX 5062'!$B$4:$B$34,"&gt;="&amp;M404),'FIRE TEX 5062'!$B$4:$F$34,IF(L404="F-15",2,IF(L404="F-30",3,IF(L404="F-60",4,IF(L404="F-90",5,0)))),0),0)+IF(AND(O404="FIRE TEX 5062",OR(E404="IN",E404="C",E404="Z",E404="L"),J404=4),VLOOKUP(_xlfn.MINIFS('FIRE TEX 5062'!$G$4:$G$34,'FIRE TEX 5062'!$G$4:$G$34,"&gt;="&amp;M404),'FIRE TEX 5062'!$G$4:$K$34,IF(L404="F-15",2,IF(L404="F-30",3,IF(L404="F-60",4,IF(L404="F-90",5,0)))),0),0)+IF(AND(O404="FIRE TEX 5062",E404="CJ",J404=3),VLOOKUP(_xlfn.MINIFS('FIRE TEX 5062'!$L$4:$L$34,'FIRE TEX 5062'!$L$4:$L$34,"&gt;="&amp;M404),'FIRE TEX 5062'!$L$4:$P$34,IF(L404="F-15",2,IF(L404="F-30",3,IF(L404="F-60",4,IF(L404="F-90",5,0)))),0),0)+IF(AND(O404="FIRE TEX 5062",E404="CJ",J404=4),VLOOKUP(_xlfn.MINIFS('FIRE TEX 5062'!$Q$3:$Q$34,'FIRE TEX 5062'!$Q$3:$Q$34,"&gt;="&amp;M404),'FIRE TEX 5062'!$Q$3:$U$34,IF(L404="F-15",2,IF(L404="F-30",3,IF(L404="F-60",4,IF(L404="F-90",5,0)))),0),0)+IF(AND(O404="FIRE TEX 5090",OR(E404="IN",E404="C",E404="Z",E404="L"),J404=3),VLOOKUP(_xlfn.MINIFS('FIRE TEX 5090'!$B$5:$B$43,'FIRE TEX 5090'!$B$5:$B$43,"&gt;="&amp;M404),'FIRE TEX 5090'!$B$5:$H$43,IF(L404="F-15",2,IF(L404="F-30",3,IF(L404="F-60",4,IF(L404="F-90",5,IF(L404="F-120",6,IF(L404="F-150",7,0)))))),0),0)+IF(AND(O404="FIRE TEX 5090",OR(E404="IN",E404="C",E404="Z",E404="L"),J404=4),VLOOKUP(_xlfn.MINIFS('FIRE TEX 5090'!$J$5:$J$43,'FIRE TEX 5090'!$J$5:$J$43,"&gt;="&amp;M404),'FIRE TEX 5090'!$J$5:$P$43,IF(L404="F-15",2,IF(L404="F-30",3,IF(L404="F-60",4,IF(L404="F-90",5,IF(L404="F-120",6,IF(L404="F-150",7,0)))))),0),0)+IF(AND(O404="FIRE TEX 5090",E404="CJ",J404=3),VLOOKUP(_xlfn.MINIFS('FIRE TEX 5090'!$R$5:$R$30,'FIRE TEX 5090'!$R$5:$R$30,"&gt;="&amp;M404),'FIRE TEX 5090'!$R$5:$W$30,IF(L404="F-15",2,IF(L404="F-30",3,IF(L404="F-60",4,IF(L404="F-90",5,IF(L404="F-120",6,IF(L404="F-150",7,0)))))),0),0)+IF(AND(O404="FIRE TEX 5090",E404="CJ",J404=4),VLOOKUP(_xlfn.MINIFS('FIRE TEX 5090'!$Y$5:$Y$39,'FIRE TEX 5090'!$Y$5:$Y$39,"&gt;="&amp;M404),'FIRE TEX 5090'!$Y$5:$AD$39,IF(L404="F-15",2,IF(L404="F-30",3,IF(L404="F-60",4,IF(L404="F-90",5,IF(L404="F-120",6,IF(L404="F-150",7,0)))))),0),0)+IF(AND(O404="FIRE TEX 5120",OR(E404="IN",E404="C",E404="Z",E404="L"),J404=3),VLOOKUP(_xlfn.MINIFS('FIRE TEX 5120'!$B$5:$B$40,'FIRE TEX 5120'!$B$5:$B$40,"&gt;="&amp;M404),'FIRE TEX 5120'!$B$5:$G$40,IF(L404="F-15",2,IF(L404="F-30",3,IF(L404="F-60",4,IF(L404="F-90",5,IF(L404="F-120",6,0))))),0),0)+IF(AND(O404="FIRE TEX 5120",OR(E404="IN",E404="C",E404="Z",E404="L"),J404=4),VLOOKUP(_xlfn.MINIFS('FIRE TEX 5120'!$H$4:$H$40,'FIRE TEX 5120'!$H$4:$H$40,"&gt;="&amp;M404),'FIRE TEX 5120'!$H$4:$M$40,IF(L404="F-15",2,IF(L404="F-30",3,IF(L404="F-60",4,IF(L404="F-90",5,IF(L404="F-120",6,0))))),0),0)+IF(AND(O404="FIRE TEX 5120",E404="CJ"),VLOOKUP(_xlfn.MINIFS('FIRE TEX 5120'!$O$5:$O$40,'FIRE TEX 5120'!$O$5:$O$40,"&gt;="&amp;M404),'FIRE TEX 5120'!$O$5:$T$40,IF(L404="F-15",2,IF(L404="F-30",3,IF(L404="F-60",4,IF(L404="F-90",5,IF(L404="F-120",6,0))))),0),0)</f>
        <v>0</v>
      </c>
      <c r="Q404" s="46">
        <f t="shared" si="49"/>
        <v>0</v>
      </c>
      <c r="R404" s="46">
        <f t="shared" si="50"/>
        <v>0</v>
      </c>
      <c r="S404" s="46" t="e">
        <f t="shared" si="51"/>
        <v>#VALUE!</v>
      </c>
      <c r="T404" s="677">
        <f t="shared" si="52"/>
        <v>0</v>
      </c>
      <c r="U404" s="80">
        <f>(IF(O404="Stofire",(S404*#REF!),0))+(IF(O404="Fire Control",(S404*$U$2),0))+(IF(O404="Fire Tex",(S404*$U$3),0))+(IF(O404="WB7",(S404*#REF!),0)+(IF(O404="FX 2003",(S404*$U$5),0)))</f>
        <v>0</v>
      </c>
      <c r="V404" s="651">
        <f t="shared" si="53"/>
        <v>0</v>
      </c>
    </row>
    <row r="405" spans="4:22" x14ac:dyDescent="0.25">
      <c r="D405" s="118">
        <f>+CUBICACION!D404</f>
        <v>0</v>
      </c>
      <c r="E405" s="118">
        <f>+CUBICACION!F404</f>
        <v>0</v>
      </c>
      <c r="F405" s="118">
        <f>+CUBICACION!E404</f>
        <v>0</v>
      </c>
      <c r="G405" s="118">
        <v>12</v>
      </c>
      <c r="H405" s="118">
        <v>2</v>
      </c>
      <c r="I405" s="820">
        <v>26385</v>
      </c>
      <c r="J405" s="118">
        <f>+CUBICACION!J404</f>
        <v>0</v>
      </c>
      <c r="K405" s="118">
        <v>3184</v>
      </c>
      <c r="L405" s="118">
        <f>+CUBICACION!L404</f>
        <v>0</v>
      </c>
      <c r="M405" s="64">
        <f>+CUBICACION!M404</f>
        <v>0</v>
      </c>
      <c r="N405" s="824" t="str">
        <f>+CUBICACION!N404</f>
        <v/>
      </c>
      <c r="O405" s="675">
        <f>+CUBICACION!O404</f>
        <v>0</v>
      </c>
      <c r="P405" s="15">
        <f>IF(O405="Fire Control",VLOOKUP(_xlfn.MINIFS('FIRE CONTROL'!$C$4:$C$37,'FIRE CONTROL'!$C$4:$C$37,"&gt;="&amp;M405),'FIRE CONTROL'!$C$4:$G$37,IF(L405="F-15",2,IF(L405="F-30",3,IF(L405="F-60",4,IF(L405="F-90",5,0)))),0),0)+IF(AND(O405="FIRE TEX 5062",OR(E405="IN",E405="C",E405="Z",E405="L"),J405=3),VLOOKUP(_xlfn.MINIFS('FIRE TEX 5062'!$B$4:$B$34,'FIRE TEX 5062'!$B$4:$B$34,"&gt;="&amp;M405),'FIRE TEX 5062'!$B$4:$F$34,IF(L405="F-15",2,IF(L405="F-30",3,IF(L405="F-60",4,IF(L405="F-90",5,0)))),0),0)+IF(AND(O405="FIRE TEX 5062",OR(E405="IN",E405="C",E405="Z",E405="L"),J405=4),VLOOKUP(_xlfn.MINIFS('FIRE TEX 5062'!$G$4:$G$34,'FIRE TEX 5062'!$G$4:$G$34,"&gt;="&amp;M405),'FIRE TEX 5062'!$G$4:$K$34,IF(L405="F-15",2,IF(L405="F-30",3,IF(L405="F-60",4,IF(L405="F-90",5,0)))),0),0)+IF(AND(O405="FIRE TEX 5062",E405="CJ",J405=3),VLOOKUP(_xlfn.MINIFS('FIRE TEX 5062'!$L$4:$L$34,'FIRE TEX 5062'!$L$4:$L$34,"&gt;="&amp;M405),'FIRE TEX 5062'!$L$4:$P$34,IF(L405="F-15",2,IF(L405="F-30",3,IF(L405="F-60",4,IF(L405="F-90",5,0)))),0),0)+IF(AND(O405="FIRE TEX 5062",E405="CJ",J405=4),VLOOKUP(_xlfn.MINIFS('FIRE TEX 5062'!$Q$3:$Q$34,'FIRE TEX 5062'!$Q$3:$Q$34,"&gt;="&amp;M405),'FIRE TEX 5062'!$Q$3:$U$34,IF(L405="F-15",2,IF(L405="F-30",3,IF(L405="F-60",4,IF(L405="F-90",5,0)))),0),0)+IF(AND(O405="FIRE TEX 5090",OR(E405="IN",E405="C",E405="Z",E405="L"),J405=3),VLOOKUP(_xlfn.MINIFS('FIRE TEX 5090'!$B$5:$B$43,'FIRE TEX 5090'!$B$5:$B$43,"&gt;="&amp;M405),'FIRE TEX 5090'!$B$5:$H$43,IF(L405="F-15",2,IF(L405="F-30",3,IF(L405="F-60",4,IF(L405="F-90",5,IF(L405="F-120",6,IF(L405="F-150",7,0)))))),0),0)+IF(AND(O405="FIRE TEX 5090",OR(E405="IN",E405="C",E405="Z",E405="L"),J405=4),VLOOKUP(_xlfn.MINIFS('FIRE TEX 5090'!$J$5:$J$43,'FIRE TEX 5090'!$J$5:$J$43,"&gt;="&amp;M405),'FIRE TEX 5090'!$J$5:$P$43,IF(L405="F-15",2,IF(L405="F-30",3,IF(L405="F-60",4,IF(L405="F-90",5,IF(L405="F-120",6,IF(L405="F-150",7,0)))))),0),0)+IF(AND(O405="FIRE TEX 5090",E405="CJ",J405=3),VLOOKUP(_xlfn.MINIFS('FIRE TEX 5090'!$R$5:$R$30,'FIRE TEX 5090'!$R$5:$R$30,"&gt;="&amp;M405),'FIRE TEX 5090'!$R$5:$W$30,IF(L405="F-15",2,IF(L405="F-30",3,IF(L405="F-60",4,IF(L405="F-90",5,IF(L405="F-120",6,IF(L405="F-150",7,0)))))),0),0)+IF(AND(O405="FIRE TEX 5090",E405="CJ",J405=4),VLOOKUP(_xlfn.MINIFS('FIRE TEX 5090'!$Y$5:$Y$39,'FIRE TEX 5090'!$Y$5:$Y$39,"&gt;="&amp;M405),'FIRE TEX 5090'!$Y$5:$AD$39,IF(L405="F-15",2,IF(L405="F-30",3,IF(L405="F-60",4,IF(L405="F-90",5,IF(L405="F-120",6,IF(L405="F-150",7,0)))))),0),0)+IF(AND(O405="FIRE TEX 5120",OR(E405="IN",E405="C",E405="Z",E405="L"),J405=3),VLOOKUP(_xlfn.MINIFS('FIRE TEX 5120'!$B$5:$B$40,'FIRE TEX 5120'!$B$5:$B$40,"&gt;="&amp;M405),'FIRE TEX 5120'!$B$5:$G$40,IF(L405="F-15",2,IF(L405="F-30",3,IF(L405="F-60",4,IF(L405="F-90",5,IF(L405="F-120",6,0))))),0),0)+IF(AND(O405="FIRE TEX 5120",OR(E405="IN",E405="C",E405="Z",E405="L"),J405=4),VLOOKUP(_xlfn.MINIFS('FIRE TEX 5120'!$H$4:$H$40,'FIRE TEX 5120'!$H$4:$H$40,"&gt;="&amp;M405),'FIRE TEX 5120'!$H$4:$M$40,IF(L405="F-15",2,IF(L405="F-30",3,IF(L405="F-60",4,IF(L405="F-90",5,IF(L405="F-120",6,0))))),0),0)+IF(AND(O405="FIRE TEX 5120",E405="CJ"),VLOOKUP(_xlfn.MINIFS('FIRE TEX 5120'!$O$5:$O$40,'FIRE TEX 5120'!$O$5:$O$40,"&gt;="&amp;M405),'FIRE TEX 5120'!$O$5:$T$40,IF(L405="F-15",2,IF(L405="F-30",3,IF(L405="F-60",4,IF(L405="F-90",5,IF(L405="F-120",6,0))))),0),0)</f>
        <v>0</v>
      </c>
      <c r="Q405" s="46">
        <f t="shared" si="49"/>
        <v>0</v>
      </c>
      <c r="R405" s="46">
        <f t="shared" si="50"/>
        <v>0</v>
      </c>
      <c r="S405" s="46" t="e">
        <f t="shared" si="51"/>
        <v>#VALUE!</v>
      </c>
      <c r="T405" s="677">
        <f t="shared" si="52"/>
        <v>0</v>
      </c>
      <c r="U405" s="80">
        <f>(IF(O405="Stofire",(S405*#REF!),0))+(IF(O405="Fire Control",(S405*$U$2),0))+(IF(O405="Fire Tex",(S405*$U$3),0))+(IF(O405="WB7",(S405*#REF!),0)+(IF(O405="FX 2003",(S405*$U$5),0)))</f>
        <v>0</v>
      </c>
      <c r="V405" s="651">
        <f t="shared" si="53"/>
        <v>0</v>
      </c>
    </row>
    <row r="406" spans="4:22" x14ac:dyDescent="0.25">
      <c r="D406" s="118">
        <f>+CUBICACION!D405</f>
        <v>0</v>
      </c>
      <c r="E406" s="118">
        <f>+CUBICACION!F405</f>
        <v>0</v>
      </c>
      <c r="F406" s="118">
        <f>+CUBICACION!E405</f>
        <v>0</v>
      </c>
      <c r="G406" s="118">
        <v>12</v>
      </c>
      <c r="H406" s="118">
        <v>2</v>
      </c>
      <c r="I406" s="820">
        <v>26385</v>
      </c>
      <c r="J406" s="118">
        <f>+CUBICACION!J405</f>
        <v>0</v>
      </c>
      <c r="K406" s="118">
        <v>3185</v>
      </c>
      <c r="L406" s="118">
        <f>+CUBICACION!L405</f>
        <v>0</v>
      </c>
      <c r="M406" s="64">
        <f>+CUBICACION!M405</f>
        <v>0</v>
      </c>
      <c r="N406" s="824" t="str">
        <f>+CUBICACION!N405</f>
        <v/>
      </c>
      <c r="O406" s="675">
        <f>+CUBICACION!O405</f>
        <v>0</v>
      </c>
      <c r="P406" s="15">
        <f>IF(O406="Fire Control",VLOOKUP(_xlfn.MINIFS('FIRE CONTROL'!$C$4:$C$37,'FIRE CONTROL'!$C$4:$C$37,"&gt;="&amp;M406),'FIRE CONTROL'!$C$4:$G$37,IF(L406="F-15",2,IF(L406="F-30",3,IF(L406="F-60",4,IF(L406="F-90",5,0)))),0),0)+IF(AND(O406="FIRE TEX 5062",OR(E406="IN",E406="C",E406="Z",E406="L"),J406=3),VLOOKUP(_xlfn.MINIFS('FIRE TEX 5062'!$B$4:$B$34,'FIRE TEX 5062'!$B$4:$B$34,"&gt;="&amp;M406),'FIRE TEX 5062'!$B$4:$F$34,IF(L406="F-15",2,IF(L406="F-30",3,IF(L406="F-60",4,IF(L406="F-90",5,0)))),0),0)+IF(AND(O406="FIRE TEX 5062",OR(E406="IN",E406="C",E406="Z",E406="L"),J406=4),VLOOKUP(_xlfn.MINIFS('FIRE TEX 5062'!$G$4:$G$34,'FIRE TEX 5062'!$G$4:$G$34,"&gt;="&amp;M406),'FIRE TEX 5062'!$G$4:$K$34,IF(L406="F-15",2,IF(L406="F-30",3,IF(L406="F-60",4,IF(L406="F-90",5,0)))),0),0)+IF(AND(O406="FIRE TEX 5062",E406="CJ",J406=3),VLOOKUP(_xlfn.MINIFS('FIRE TEX 5062'!$L$4:$L$34,'FIRE TEX 5062'!$L$4:$L$34,"&gt;="&amp;M406),'FIRE TEX 5062'!$L$4:$P$34,IF(L406="F-15",2,IF(L406="F-30",3,IF(L406="F-60",4,IF(L406="F-90",5,0)))),0),0)+IF(AND(O406="FIRE TEX 5062",E406="CJ",J406=4),VLOOKUP(_xlfn.MINIFS('FIRE TEX 5062'!$Q$3:$Q$34,'FIRE TEX 5062'!$Q$3:$Q$34,"&gt;="&amp;M406),'FIRE TEX 5062'!$Q$3:$U$34,IF(L406="F-15",2,IF(L406="F-30",3,IF(L406="F-60",4,IF(L406="F-90",5,0)))),0),0)+IF(AND(O406="FIRE TEX 5090",OR(E406="IN",E406="C",E406="Z",E406="L"),J406=3),VLOOKUP(_xlfn.MINIFS('FIRE TEX 5090'!$B$5:$B$43,'FIRE TEX 5090'!$B$5:$B$43,"&gt;="&amp;M406),'FIRE TEX 5090'!$B$5:$H$43,IF(L406="F-15",2,IF(L406="F-30",3,IF(L406="F-60",4,IF(L406="F-90",5,IF(L406="F-120",6,IF(L406="F-150",7,0)))))),0),0)+IF(AND(O406="FIRE TEX 5090",OR(E406="IN",E406="C",E406="Z",E406="L"),J406=4),VLOOKUP(_xlfn.MINIFS('FIRE TEX 5090'!$J$5:$J$43,'FIRE TEX 5090'!$J$5:$J$43,"&gt;="&amp;M406),'FIRE TEX 5090'!$J$5:$P$43,IF(L406="F-15",2,IF(L406="F-30",3,IF(L406="F-60",4,IF(L406="F-90",5,IF(L406="F-120",6,IF(L406="F-150",7,0)))))),0),0)+IF(AND(O406="FIRE TEX 5090",E406="CJ",J406=3),VLOOKUP(_xlfn.MINIFS('FIRE TEX 5090'!$R$5:$R$30,'FIRE TEX 5090'!$R$5:$R$30,"&gt;="&amp;M406),'FIRE TEX 5090'!$R$5:$W$30,IF(L406="F-15",2,IF(L406="F-30",3,IF(L406="F-60",4,IF(L406="F-90",5,IF(L406="F-120",6,IF(L406="F-150",7,0)))))),0),0)+IF(AND(O406="FIRE TEX 5090",E406="CJ",J406=4),VLOOKUP(_xlfn.MINIFS('FIRE TEX 5090'!$Y$5:$Y$39,'FIRE TEX 5090'!$Y$5:$Y$39,"&gt;="&amp;M406),'FIRE TEX 5090'!$Y$5:$AD$39,IF(L406="F-15",2,IF(L406="F-30",3,IF(L406="F-60",4,IF(L406="F-90",5,IF(L406="F-120",6,IF(L406="F-150",7,0)))))),0),0)+IF(AND(O406="FIRE TEX 5120",OR(E406="IN",E406="C",E406="Z",E406="L"),J406=3),VLOOKUP(_xlfn.MINIFS('FIRE TEX 5120'!$B$5:$B$40,'FIRE TEX 5120'!$B$5:$B$40,"&gt;="&amp;M406),'FIRE TEX 5120'!$B$5:$G$40,IF(L406="F-15",2,IF(L406="F-30",3,IF(L406="F-60",4,IF(L406="F-90",5,IF(L406="F-120",6,0))))),0),0)+IF(AND(O406="FIRE TEX 5120",OR(E406="IN",E406="C",E406="Z",E406="L"),J406=4),VLOOKUP(_xlfn.MINIFS('FIRE TEX 5120'!$H$4:$H$40,'FIRE TEX 5120'!$H$4:$H$40,"&gt;="&amp;M406),'FIRE TEX 5120'!$H$4:$M$40,IF(L406="F-15",2,IF(L406="F-30",3,IF(L406="F-60",4,IF(L406="F-90",5,IF(L406="F-120",6,0))))),0),0)+IF(AND(O406="FIRE TEX 5120",E406="CJ"),VLOOKUP(_xlfn.MINIFS('FIRE TEX 5120'!$O$5:$O$40,'FIRE TEX 5120'!$O$5:$O$40,"&gt;="&amp;M406),'FIRE TEX 5120'!$O$5:$T$40,IF(L406="F-15",2,IF(L406="F-30",3,IF(L406="F-60",4,IF(L406="F-90",5,IF(L406="F-120",6,0))))),0),0)</f>
        <v>0</v>
      </c>
      <c r="Q406" s="46">
        <f t="shared" si="49"/>
        <v>0</v>
      </c>
      <c r="R406" s="46">
        <f t="shared" si="50"/>
        <v>0</v>
      </c>
      <c r="S406" s="46" t="e">
        <f t="shared" si="51"/>
        <v>#VALUE!</v>
      </c>
      <c r="T406" s="677">
        <f t="shared" si="52"/>
        <v>0</v>
      </c>
      <c r="U406" s="80">
        <f>(IF(O406="Stofire",(S406*#REF!),0))+(IF(O406="Fire Control",(S406*$U$2),0))+(IF(O406="Fire Tex",(S406*$U$3),0))+(IF(O406="WB7",(S406*#REF!),0)+(IF(O406="FX 2003",(S406*$U$5),0)))</f>
        <v>0</v>
      </c>
      <c r="V406" s="651">
        <f t="shared" si="53"/>
        <v>0</v>
      </c>
    </row>
    <row r="407" spans="4:22" x14ac:dyDescent="0.25">
      <c r="D407" s="118">
        <f>+CUBICACION!D406</f>
        <v>0</v>
      </c>
      <c r="E407" s="118">
        <f>+CUBICACION!F406</f>
        <v>0</v>
      </c>
      <c r="F407" s="118">
        <f>+CUBICACION!E406</f>
        <v>0</v>
      </c>
      <c r="G407" s="118">
        <v>12</v>
      </c>
      <c r="H407" s="118">
        <v>2</v>
      </c>
      <c r="I407" s="820">
        <v>26385</v>
      </c>
      <c r="J407" s="118">
        <f>+CUBICACION!J406</f>
        <v>0</v>
      </c>
      <c r="K407" s="118">
        <v>3186</v>
      </c>
      <c r="L407" s="118">
        <f>+CUBICACION!L406</f>
        <v>0</v>
      </c>
      <c r="M407" s="64">
        <f>+CUBICACION!M406</f>
        <v>0</v>
      </c>
      <c r="N407" s="824" t="str">
        <f>+CUBICACION!N406</f>
        <v/>
      </c>
      <c r="O407" s="675">
        <f>+CUBICACION!O406</f>
        <v>0</v>
      </c>
      <c r="P407" s="15">
        <f>IF(O407="Fire Control",VLOOKUP(_xlfn.MINIFS('FIRE CONTROL'!$C$4:$C$37,'FIRE CONTROL'!$C$4:$C$37,"&gt;="&amp;M407),'FIRE CONTROL'!$C$4:$G$37,IF(L407="F-15",2,IF(L407="F-30",3,IF(L407="F-60",4,IF(L407="F-90",5,0)))),0),0)+IF(AND(O407="FIRE TEX 5062",OR(E407="IN",E407="C",E407="Z",E407="L"),J407=3),VLOOKUP(_xlfn.MINIFS('FIRE TEX 5062'!$B$4:$B$34,'FIRE TEX 5062'!$B$4:$B$34,"&gt;="&amp;M407),'FIRE TEX 5062'!$B$4:$F$34,IF(L407="F-15",2,IF(L407="F-30",3,IF(L407="F-60",4,IF(L407="F-90",5,0)))),0),0)+IF(AND(O407="FIRE TEX 5062",OR(E407="IN",E407="C",E407="Z",E407="L"),J407=4),VLOOKUP(_xlfn.MINIFS('FIRE TEX 5062'!$G$4:$G$34,'FIRE TEX 5062'!$G$4:$G$34,"&gt;="&amp;M407),'FIRE TEX 5062'!$G$4:$K$34,IF(L407="F-15",2,IF(L407="F-30",3,IF(L407="F-60",4,IF(L407="F-90",5,0)))),0),0)+IF(AND(O407="FIRE TEX 5062",E407="CJ",J407=3),VLOOKUP(_xlfn.MINIFS('FIRE TEX 5062'!$L$4:$L$34,'FIRE TEX 5062'!$L$4:$L$34,"&gt;="&amp;M407),'FIRE TEX 5062'!$L$4:$P$34,IF(L407="F-15",2,IF(L407="F-30",3,IF(L407="F-60",4,IF(L407="F-90",5,0)))),0),0)+IF(AND(O407="FIRE TEX 5062",E407="CJ",J407=4),VLOOKUP(_xlfn.MINIFS('FIRE TEX 5062'!$Q$3:$Q$34,'FIRE TEX 5062'!$Q$3:$Q$34,"&gt;="&amp;M407),'FIRE TEX 5062'!$Q$3:$U$34,IF(L407="F-15",2,IF(L407="F-30",3,IF(L407="F-60",4,IF(L407="F-90",5,0)))),0),0)+IF(AND(O407="FIRE TEX 5090",OR(E407="IN",E407="C",E407="Z",E407="L"),J407=3),VLOOKUP(_xlfn.MINIFS('FIRE TEX 5090'!$B$5:$B$43,'FIRE TEX 5090'!$B$5:$B$43,"&gt;="&amp;M407),'FIRE TEX 5090'!$B$5:$H$43,IF(L407="F-15",2,IF(L407="F-30",3,IF(L407="F-60",4,IF(L407="F-90",5,IF(L407="F-120",6,IF(L407="F-150",7,0)))))),0),0)+IF(AND(O407="FIRE TEX 5090",OR(E407="IN",E407="C",E407="Z",E407="L"),J407=4),VLOOKUP(_xlfn.MINIFS('FIRE TEX 5090'!$J$5:$J$43,'FIRE TEX 5090'!$J$5:$J$43,"&gt;="&amp;M407),'FIRE TEX 5090'!$J$5:$P$43,IF(L407="F-15",2,IF(L407="F-30",3,IF(L407="F-60",4,IF(L407="F-90",5,IF(L407="F-120",6,IF(L407="F-150",7,0)))))),0),0)+IF(AND(O407="FIRE TEX 5090",E407="CJ",J407=3),VLOOKUP(_xlfn.MINIFS('FIRE TEX 5090'!$R$5:$R$30,'FIRE TEX 5090'!$R$5:$R$30,"&gt;="&amp;M407),'FIRE TEX 5090'!$R$5:$W$30,IF(L407="F-15",2,IF(L407="F-30",3,IF(L407="F-60",4,IF(L407="F-90",5,IF(L407="F-120",6,IF(L407="F-150",7,0)))))),0),0)+IF(AND(O407="FIRE TEX 5090",E407="CJ",J407=4),VLOOKUP(_xlfn.MINIFS('FIRE TEX 5090'!$Y$5:$Y$39,'FIRE TEX 5090'!$Y$5:$Y$39,"&gt;="&amp;M407),'FIRE TEX 5090'!$Y$5:$AD$39,IF(L407="F-15",2,IF(L407="F-30",3,IF(L407="F-60",4,IF(L407="F-90",5,IF(L407="F-120",6,IF(L407="F-150",7,0)))))),0),0)+IF(AND(O407="FIRE TEX 5120",OR(E407="IN",E407="C",E407="Z",E407="L"),J407=3),VLOOKUP(_xlfn.MINIFS('FIRE TEX 5120'!$B$5:$B$40,'FIRE TEX 5120'!$B$5:$B$40,"&gt;="&amp;M407),'FIRE TEX 5120'!$B$5:$G$40,IF(L407="F-15",2,IF(L407="F-30",3,IF(L407="F-60",4,IF(L407="F-90",5,IF(L407="F-120",6,0))))),0),0)+IF(AND(O407="FIRE TEX 5120",OR(E407="IN",E407="C",E407="Z",E407="L"),J407=4),VLOOKUP(_xlfn.MINIFS('FIRE TEX 5120'!$H$4:$H$40,'FIRE TEX 5120'!$H$4:$H$40,"&gt;="&amp;M407),'FIRE TEX 5120'!$H$4:$M$40,IF(L407="F-15",2,IF(L407="F-30",3,IF(L407="F-60",4,IF(L407="F-90",5,IF(L407="F-120",6,0))))),0),0)+IF(AND(O407="FIRE TEX 5120",E407="CJ"),VLOOKUP(_xlfn.MINIFS('FIRE TEX 5120'!$O$5:$O$40,'FIRE TEX 5120'!$O$5:$O$40,"&gt;="&amp;M407),'FIRE TEX 5120'!$O$5:$T$40,IF(L407="F-15",2,IF(L407="F-30",3,IF(L407="F-60",4,IF(L407="F-90",5,IF(L407="F-120",6,0))))),0),0)</f>
        <v>0</v>
      </c>
      <c r="Q407" s="46">
        <f t="shared" si="49"/>
        <v>0</v>
      </c>
      <c r="R407" s="46">
        <f t="shared" si="50"/>
        <v>0</v>
      </c>
      <c r="S407" s="46" t="e">
        <f t="shared" si="51"/>
        <v>#VALUE!</v>
      </c>
      <c r="T407" s="677">
        <f t="shared" si="52"/>
        <v>0</v>
      </c>
      <c r="U407" s="80">
        <f>(IF(O407="Stofire",(S407*#REF!),0))+(IF(O407="Fire Control",(S407*$U$2),0))+(IF(O407="Fire Tex",(S407*$U$3),0))+(IF(O407="WB7",(S407*#REF!),0)+(IF(O407="FX 2003",(S407*$U$5),0)))</f>
        <v>0</v>
      </c>
      <c r="V407" s="651">
        <f t="shared" si="53"/>
        <v>0</v>
      </c>
    </row>
    <row r="408" spans="4:22" x14ac:dyDescent="0.25">
      <c r="D408" s="118">
        <f>+CUBICACION!D407</f>
        <v>0</v>
      </c>
      <c r="E408" s="118">
        <f>+CUBICACION!F407</f>
        <v>0</v>
      </c>
      <c r="F408" s="118">
        <f>+CUBICACION!E407</f>
        <v>0</v>
      </c>
      <c r="G408" s="118">
        <v>12</v>
      </c>
      <c r="H408" s="118">
        <v>2</v>
      </c>
      <c r="I408" s="820">
        <v>26385</v>
      </c>
      <c r="J408" s="118">
        <f>+CUBICACION!J407</f>
        <v>0</v>
      </c>
      <c r="K408" s="118">
        <v>3187</v>
      </c>
      <c r="L408" s="118">
        <f>+CUBICACION!L407</f>
        <v>0</v>
      </c>
      <c r="M408" s="64">
        <f>+CUBICACION!M407</f>
        <v>0</v>
      </c>
      <c r="N408" s="824" t="str">
        <f>+CUBICACION!N407</f>
        <v/>
      </c>
      <c r="O408" s="675">
        <f>+CUBICACION!O407</f>
        <v>0</v>
      </c>
      <c r="P408" s="15">
        <f>IF(O408="Fire Control",VLOOKUP(_xlfn.MINIFS('FIRE CONTROL'!$C$4:$C$37,'FIRE CONTROL'!$C$4:$C$37,"&gt;="&amp;M408),'FIRE CONTROL'!$C$4:$G$37,IF(L408="F-15",2,IF(L408="F-30",3,IF(L408="F-60",4,IF(L408="F-90",5,0)))),0),0)+IF(AND(O408="FIRE TEX 5062",OR(E408="IN",E408="C",E408="Z",E408="L"),J408=3),VLOOKUP(_xlfn.MINIFS('FIRE TEX 5062'!$B$4:$B$34,'FIRE TEX 5062'!$B$4:$B$34,"&gt;="&amp;M408),'FIRE TEX 5062'!$B$4:$F$34,IF(L408="F-15",2,IF(L408="F-30",3,IF(L408="F-60",4,IF(L408="F-90",5,0)))),0),0)+IF(AND(O408="FIRE TEX 5062",OR(E408="IN",E408="C",E408="Z",E408="L"),J408=4),VLOOKUP(_xlfn.MINIFS('FIRE TEX 5062'!$G$4:$G$34,'FIRE TEX 5062'!$G$4:$G$34,"&gt;="&amp;M408),'FIRE TEX 5062'!$G$4:$K$34,IF(L408="F-15",2,IF(L408="F-30",3,IF(L408="F-60",4,IF(L408="F-90",5,0)))),0),0)+IF(AND(O408="FIRE TEX 5062",E408="CJ",J408=3),VLOOKUP(_xlfn.MINIFS('FIRE TEX 5062'!$L$4:$L$34,'FIRE TEX 5062'!$L$4:$L$34,"&gt;="&amp;M408),'FIRE TEX 5062'!$L$4:$P$34,IF(L408="F-15",2,IF(L408="F-30",3,IF(L408="F-60",4,IF(L408="F-90",5,0)))),0),0)+IF(AND(O408="FIRE TEX 5062",E408="CJ",J408=4),VLOOKUP(_xlfn.MINIFS('FIRE TEX 5062'!$Q$3:$Q$34,'FIRE TEX 5062'!$Q$3:$Q$34,"&gt;="&amp;M408),'FIRE TEX 5062'!$Q$3:$U$34,IF(L408="F-15",2,IF(L408="F-30",3,IF(L408="F-60",4,IF(L408="F-90",5,0)))),0),0)+IF(AND(O408="FIRE TEX 5090",OR(E408="IN",E408="C",E408="Z",E408="L"),J408=3),VLOOKUP(_xlfn.MINIFS('FIRE TEX 5090'!$B$5:$B$43,'FIRE TEX 5090'!$B$5:$B$43,"&gt;="&amp;M408),'FIRE TEX 5090'!$B$5:$H$43,IF(L408="F-15",2,IF(L408="F-30",3,IF(L408="F-60",4,IF(L408="F-90",5,IF(L408="F-120",6,IF(L408="F-150",7,0)))))),0),0)+IF(AND(O408="FIRE TEX 5090",OR(E408="IN",E408="C",E408="Z",E408="L"),J408=4),VLOOKUP(_xlfn.MINIFS('FIRE TEX 5090'!$J$5:$J$43,'FIRE TEX 5090'!$J$5:$J$43,"&gt;="&amp;M408),'FIRE TEX 5090'!$J$5:$P$43,IF(L408="F-15",2,IF(L408="F-30",3,IF(L408="F-60",4,IF(L408="F-90",5,IF(L408="F-120",6,IF(L408="F-150",7,0)))))),0),0)+IF(AND(O408="FIRE TEX 5090",E408="CJ",J408=3),VLOOKUP(_xlfn.MINIFS('FIRE TEX 5090'!$R$5:$R$30,'FIRE TEX 5090'!$R$5:$R$30,"&gt;="&amp;M408),'FIRE TEX 5090'!$R$5:$W$30,IF(L408="F-15",2,IF(L408="F-30",3,IF(L408="F-60",4,IF(L408="F-90",5,IF(L408="F-120",6,IF(L408="F-150",7,0)))))),0),0)+IF(AND(O408="FIRE TEX 5090",E408="CJ",J408=4),VLOOKUP(_xlfn.MINIFS('FIRE TEX 5090'!$Y$5:$Y$39,'FIRE TEX 5090'!$Y$5:$Y$39,"&gt;="&amp;M408),'FIRE TEX 5090'!$Y$5:$AD$39,IF(L408="F-15",2,IF(L408="F-30",3,IF(L408="F-60",4,IF(L408="F-90",5,IF(L408="F-120",6,IF(L408="F-150",7,0)))))),0),0)+IF(AND(O408="FIRE TEX 5120",OR(E408="IN",E408="C",E408="Z",E408="L"),J408=3),VLOOKUP(_xlfn.MINIFS('FIRE TEX 5120'!$B$5:$B$40,'FIRE TEX 5120'!$B$5:$B$40,"&gt;="&amp;M408),'FIRE TEX 5120'!$B$5:$G$40,IF(L408="F-15",2,IF(L408="F-30",3,IF(L408="F-60",4,IF(L408="F-90",5,IF(L408="F-120",6,0))))),0),0)+IF(AND(O408="FIRE TEX 5120",OR(E408="IN",E408="C",E408="Z",E408="L"),J408=4),VLOOKUP(_xlfn.MINIFS('FIRE TEX 5120'!$H$4:$H$40,'FIRE TEX 5120'!$H$4:$H$40,"&gt;="&amp;M408),'FIRE TEX 5120'!$H$4:$M$40,IF(L408="F-15",2,IF(L408="F-30",3,IF(L408="F-60",4,IF(L408="F-90",5,IF(L408="F-120",6,0))))),0),0)+IF(AND(O408="FIRE TEX 5120",E408="CJ"),VLOOKUP(_xlfn.MINIFS('FIRE TEX 5120'!$O$5:$O$40,'FIRE TEX 5120'!$O$5:$O$40,"&gt;="&amp;M408),'FIRE TEX 5120'!$O$5:$T$40,IF(L408="F-15",2,IF(L408="F-30",3,IF(L408="F-60",4,IF(L408="F-90",5,IF(L408="F-120",6,0))))),0),0)</f>
        <v>0</v>
      </c>
      <c r="Q408" s="46">
        <f t="shared" si="49"/>
        <v>0</v>
      </c>
      <c r="R408" s="46">
        <f t="shared" si="50"/>
        <v>0</v>
      </c>
      <c r="S408" s="46" t="e">
        <f t="shared" si="51"/>
        <v>#VALUE!</v>
      </c>
      <c r="T408" s="677">
        <f t="shared" si="52"/>
        <v>0</v>
      </c>
      <c r="U408" s="80">
        <f>(IF(O408="Stofire",(S408*#REF!),0))+(IF(O408="Fire Control",(S408*$U$2),0))+(IF(O408="Fire Tex",(S408*$U$3),0))+(IF(O408="WB7",(S408*#REF!),0)+(IF(O408="FX 2003",(S408*$U$5),0)))</f>
        <v>0</v>
      </c>
      <c r="V408" s="651">
        <f t="shared" si="53"/>
        <v>0</v>
      </c>
    </row>
    <row r="409" spans="4:22" x14ac:dyDescent="0.25">
      <c r="D409" s="118">
        <f>+CUBICACION!D408</f>
        <v>0</v>
      </c>
      <c r="E409" s="118">
        <f>+CUBICACION!F408</f>
        <v>0</v>
      </c>
      <c r="F409" s="118">
        <f>+CUBICACION!E408</f>
        <v>0</v>
      </c>
      <c r="G409" s="118">
        <v>12</v>
      </c>
      <c r="H409" s="118">
        <v>2</v>
      </c>
      <c r="I409" s="820">
        <v>26385</v>
      </c>
      <c r="J409" s="118">
        <f>+CUBICACION!J408</f>
        <v>0</v>
      </c>
      <c r="K409" s="118">
        <v>3188</v>
      </c>
      <c r="L409" s="118">
        <f>+CUBICACION!L408</f>
        <v>0</v>
      </c>
      <c r="M409" s="64">
        <f>+CUBICACION!M408</f>
        <v>0</v>
      </c>
      <c r="N409" s="824" t="str">
        <f>+CUBICACION!N408</f>
        <v/>
      </c>
      <c r="O409" s="675">
        <f>+CUBICACION!O408</f>
        <v>0</v>
      </c>
      <c r="P409" s="15">
        <f>IF(O409="Fire Control",VLOOKUP(_xlfn.MINIFS('FIRE CONTROL'!$C$4:$C$37,'FIRE CONTROL'!$C$4:$C$37,"&gt;="&amp;M409),'FIRE CONTROL'!$C$4:$G$37,IF(L409="F-15",2,IF(L409="F-30",3,IF(L409="F-60",4,IF(L409="F-90",5,0)))),0),0)+IF(AND(O409="FIRE TEX 5062",OR(E409="IN",E409="C",E409="Z",E409="L"),J409=3),VLOOKUP(_xlfn.MINIFS('FIRE TEX 5062'!$B$4:$B$34,'FIRE TEX 5062'!$B$4:$B$34,"&gt;="&amp;M409),'FIRE TEX 5062'!$B$4:$F$34,IF(L409="F-15",2,IF(L409="F-30",3,IF(L409="F-60",4,IF(L409="F-90",5,0)))),0),0)+IF(AND(O409="FIRE TEX 5062",OR(E409="IN",E409="C",E409="Z",E409="L"),J409=4),VLOOKUP(_xlfn.MINIFS('FIRE TEX 5062'!$G$4:$G$34,'FIRE TEX 5062'!$G$4:$G$34,"&gt;="&amp;M409),'FIRE TEX 5062'!$G$4:$K$34,IF(L409="F-15",2,IF(L409="F-30",3,IF(L409="F-60",4,IF(L409="F-90",5,0)))),0),0)+IF(AND(O409="FIRE TEX 5062",E409="CJ",J409=3),VLOOKUP(_xlfn.MINIFS('FIRE TEX 5062'!$L$4:$L$34,'FIRE TEX 5062'!$L$4:$L$34,"&gt;="&amp;M409),'FIRE TEX 5062'!$L$4:$P$34,IF(L409="F-15",2,IF(L409="F-30",3,IF(L409="F-60",4,IF(L409="F-90",5,0)))),0),0)+IF(AND(O409="FIRE TEX 5062",E409="CJ",J409=4),VLOOKUP(_xlfn.MINIFS('FIRE TEX 5062'!$Q$3:$Q$34,'FIRE TEX 5062'!$Q$3:$Q$34,"&gt;="&amp;M409),'FIRE TEX 5062'!$Q$3:$U$34,IF(L409="F-15",2,IF(L409="F-30",3,IF(L409="F-60",4,IF(L409="F-90",5,0)))),0),0)+IF(AND(O409="FIRE TEX 5090",OR(E409="IN",E409="C",E409="Z",E409="L"),J409=3),VLOOKUP(_xlfn.MINIFS('FIRE TEX 5090'!$B$5:$B$43,'FIRE TEX 5090'!$B$5:$B$43,"&gt;="&amp;M409),'FIRE TEX 5090'!$B$5:$H$43,IF(L409="F-15",2,IF(L409="F-30",3,IF(L409="F-60",4,IF(L409="F-90",5,IF(L409="F-120",6,IF(L409="F-150",7,0)))))),0),0)+IF(AND(O409="FIRE TEX 5090",OR(E409="IN",E409="C",E409="Z",E409="L"),J409=4),VLOOKUP(_xlfn.MINIFS('FIRE TEX 5090'!$J$5:$J$43,'FIRE TEX 5090'!$J$5:$J$43,"&gt;="&amp;M409),'FIRE TEX 5090'!$J$5:$P$43,IF(L409="F-15",2,IF(L409="F-30",3,IF(L409="F-60",4,IF(L409="F-90",5,IF(L409="F-120",6,IF(L409="F-150",7,0)))))),0),0)+IF(AND(O409="FIRE TEX 5090",E409="CJ",J409=3),VLOOKUP(_xlfn.MINIFS('FIRE TEX 5090'!$R$5:$R$30,'FIRE TEX 5090'!$R$5:$R$30,"&gt;="&amp;M409),'FIRE TEX 5090'!$R$5:$W$30,IF(L409="F-15",2,IF(L409="F-30",3,IF(L409="F-60",4,IF(L409="F-90",5,IF(L409="F-120",6,IF(L409="F-150",7,0)))))),0),0)+IF(AND(O409="FIRE TEX 5090",E409="CJ",J409=4),VLOOKUP(_xlfn.MINIFS('FIRE TEX 5090'!$Y$5:$Y$39,'FIRE TEX 5090'!$Y$5:$Y$39,"&gt;="&amp;M409),'FIRE TEX 5090'!$Y$5:$AD$39,IF(L409="F-15",2,IF(L409="F-30",3,IF(L409="F-60",4,IF(L409="F-90",5,IF(L409="F-120",6,IF(L409="F-150",7,0)))))),0),0)+IF(AND(O409="FIRE TEX 5120",OR(E409="IN",E409="C",E409="Z",E409="L"),J409=3),VLOOKUP(_xlfn.MINIFS('FIRE TEX 5120'!$B$5:$B$40,'FIRE TEX 5120'!$B$5:$B$40,"&gt;="&amp;M409),'FIRE TEX 5120'!$B$5:$G$40,IF(L409="F-15",2,IF(L409="F-30",3,IF(L409="F-60",4,IF(L409="F-90",5,IF(L409="F-120",6,0))))),0),0)+IF(AND(O409="FIRE TEX 5120",OR(E409="IN",E409="C",E409="Z",E409="L"),J409=4),VLOOKUP(_xlfn.MINIFS('FIRE TEX 5120'!$H$4:$H$40,'FIRE TEX 5120'!$H$4:$H$40,"&gt;="&amp;M409),'FIRE TEX 5120'!$H$4:$M$40,IF(L409="F-15",2,IF(L409="F-30",3,IF(L409="F-60",4,IF(L409="F-90",5,IF(L409="F-120",6,0))))),0),0)+IF(AND(O409="FIRE TEX 5120",E409="CJ"),VLOOKUP(_xlfn.MINIFS('FIRE TEX 5120'!$O$5:$O$40,'FIRE TEX 5120'!$O$5:$O$40,"&gt;="&amp;M409),'FIRE TEX 5120'!$O$5:$T$40,IF(L409="F-15",2,IF(L409="F-30",3,IF(L409="F-60",4,IF(L409="F-90",5,IF(L409="F-120",6,0))))),0),0)</f>
        <v>0</v>
      </c>
      <c r="Q409" s="46">
        <f t="shared" si="49"/>
        <v>0</v>
      </c>
      <c r="R409" s="46">
        <f t="shared" si="50"/>
        <v>0</v>
      </c>
      <c r="S409" s="46" t="e">
        <f t="shared" si="51"/>
        <v>#VALUE!</v>
      </c>
      <c r="T409" s="677">
        <f t="shared" si="52"/>
        <v>0</v>
      </c>
      <c r="U409" s="80">
        <f>(IF(O409="Stofire",(S409*#REF!),0))+(IF(O409="Fire Control",(S409*$U$2),0))+(IF(O409="Fire Tex",(S409*$U$3),0))+(IF(O409="WB7",(S409*#REF!),0)+(IF(O409="FX 2003",(S409*$U$5),0)))</f>
        <v>0</v>
      </c>
      <c r="V409" s="651">
        <f t="shared" si="53"/>
        <v>0</v>
      </c>
    </row>
    <row r="410" spans="4:22" x14ac:dyDescent="0.25">
      <c r="D410" s="118">
        <f>+CUBICACION!D409</f>
        <v>0</v>
      </c>
      <c r="E410" s="118">
        <f>+CUBICACION!F409</f>
        <v>0</v>
      </c>
      <c r="F410" s="118">
        <f>+CUBICACION!E409</f>
        <v>0</v>
      </c>
      <c r="G410" s="118">
        <v>12</v>
      </c>
      <c r="H410" s="118">
        <v>2</v>
      </c>
      <c r="I410" s="820">
        <v>26385</v>
      </c>
      <c r="J410" s="118">
        <f>+CUBICACION!J409</f>
        <v>0</v>
      </c>
      <c r="K410" s="118">
        <v>3189</v>
      </c>
      <c r="L410" s="118">
        <f>+CUBICACION!L409</f>
        <v>0</v>
      </c>
      <c r="M410" s="64">
        <f>+CUBICACION!M409</f>
        <v>0</v>
      </c>
      <c r="N410" s="824" t="str">
        <f>+CUBICACION!N409</f>
        <v/>
      </c>
      <c r="O410" s="675">
        <f>+CUBICACION!O409</f>
        <v>0</v>
      </c>
      <c r="P410" s="15">
        <f>IF(O410="Fire Control",VLOOKUP(_xlfn.MINIFS('FIRE CONTROL'!$C$4:$C$37,'FIRE CONTROL'!$C$4:$C$37,"&gt;="&amp;M410),'FIRE CONTROL'!$C$4:$G$37,IF(L410="F-15",2,IF(L410="F-30",3,IF(L410="F-60",4,IF(L410="F-90",5,0)))),0),0)+IF(AND(O410="FIRE TEX 5062",OR(E410="IN",E410="C",E410="Z",E410="L"),J410=3),VLOOKUP(_xlfn.MINIFS('FIRE TEX 5062'!$B$4:$B$34,'FIRE TEX 5062'!$B$4:$B$34,"&gt;="&amp;M410),'FIRE TEX 5062'!$B$4:$F$34,IF(L410="F-15",2,IF(L410="F-30",3,IF(L410="F-60",4,IF(L410="F-90",5,0)))),0),0)+IF(AND(O410="FIRE TEX 5062",OR(E410="IN",E410="C",E410="Z",E410="L"),J410=4),VLOOKUP(_xlfn.MINIFS('FIRE TEX 5062'!$G$4:$G$34,'FIRE TEX 5062'!$G$4:$G$34,"&gt;="&amp;M410),'FIRE TEX 5062'!$G$4:$K$34,IF(L410="F-15",2,IF(L410="F-30",3,IF(L410="F-60",4,IF(L410="F-90",5,0)))),0),0)+IF(AND(O410="FIRE TEX 5062",E410="CJ",J410=3),VLOOKUP(_xlfn.MINIFS('FIRE TEX 5062'!$L$4:$L$34,'FIRE TEX 5062'!$L$4:$L$34,"&gt;="&amp;M410),'FIRE TEX 5062'!$L$4:$P$34,IF(L410="F-15",2,IF(L410="F-30",3,IF(L410="F-60",4,IF(L410="F-90",5,0)))),0),0)+IF(AND(O410="FIRE TEX 5062",E410="CJ",J410=4),VLOOKUP(_xlfn.MINIFS('FIRE TEX 5062'!$Q$3:$Q$34,'FIRE TEX 5062'!$Q$3:$Q$34,"&gt;="&amp;M410),'FIRE TEX 5062'!$Q$3:$U$34,IF(L410="F-15",2,IF(L410="F-30",3,IF(L410="F-60",4,IF(L410="F-90",5,0)))),0),0)+IF(AND(O410="FIRE TEX 5090",OR(E410="IN",E410="C",E410="Z",E410="L"),J410=3),VLOOKUP(_xlfn.MINIFS('FIRE TEX 5090'!$B$5:$B$43,'FIRE TEX 5090'!$B$5:$B$43,"&gt;="&amp;M410),'FIRE TEX 5090'!$B$5:$H$43,IF(L410="F-15",2,IF(L410="F-30",3,IF(L410="F-60",4,IF(L410="F-90",5,IF(L410="F-120",6,IF(L410="F-150",7,0)))))),0),0)+IF(AND(O410="FIRE TEX 5090",OR(E410="IN",E410="C",E410="Z",E410="L"),J410=4),VLOOKUP(_xlfn.MINIFS('FIRE TEX 5090'!$J$5:$J$43,'FIRE TEX 5090'!$J$5:$J$43,"&gt;="&amp;M410),'FIRE TEX 5090'!$J$5:$P$43,IF(L410="F-15",2,IF(L410="F-30",3,IF(L410="F-60",4,IF(L410="F-90",5,IF(L410="F-120",6,IF(L410="F-150",7,0)))))),0),0)+IF(AND(O410="FIRE TEX 5090",E410="CJ",J410=3),VLOOKUP(_xlfn.MINIFS('FIRE TEX 5090'!$R$5:$R$30,'FIRE TEX 5090'!$R$5:$R$30,"&gt;="&amp;M410),'FIRE TEX 5090'!$R$5:$W$30,IF(L410="F-15",2,IF(L410="F-30",3,IF(L410="F-60",4,IF(L410="F-90",5,IF(L410="F-120",6,IF(L410="F-150",7,0)))))),0),0)+IF(AND(O410="FIRE TEX 5090",E410="CJ",J410=4),VLOOKUP(_xlfn.MINIFS('FIRE TEX 5090'!$Y$5:$Y$39,'FIRE TEX 5090'!$Y$5:$Y$39,"&gt;="&amp;M410),'FIRE TEX 5090'!$Y$5:$AD$39,IF(L410="F-15",2,IF(L410="F-30",3,IF(L410="F-60",4,IF(L410="F-90",5,IF(L410="F-120",6,IF(L410="F-150",7,0)))))),0),0)+IF(AND(O410="FIRE TEX 5120",OR(E410="IN",E410="C",E410="Z",E410="L"),J410=3),VLOOKUP(_xlfn.MINIFS('FIRE TEX 5120'!$B$5:$B$40,'FIRE TEX 5120'!$B$5:$B$40,"&gt;="&amp;M410),'FIRE TEX 5120'!$B$5:$G$40,IF(L410="F-15",2,IF(L410="F-30",3,IF(L410="F-60",4,IF(L410="F-90",5,IF(L410="F-120",6,0))))),0),0)+IF(AND(O410="FIRE TEX 5120",OR(E410="IN",E410="C",E410="Z",E410="L"),J410=4),VLOOKUP(_xlfn.MINIFS('FIRE TEX 5120'!$H$4:$H$40,'FIRE TEX 5120'!$H$4:$H$40,"&gt;="&amp;M410),'FIRE TEX 5120'!$H$4:$M$40,IF(L410="F-15",2,IF(L410="F-30",3,IF(L410="F-60",4,IF(L410="F-90",5,IF(L410="F-120",6,0))))),0),0)+IF(AND(O410="FIRE TEX 5120",E410="CJ"),VLOOKUP(_xlfn.MINIFS('FIRE TEX 5120'!$O$5:$O$40,'FIRE TEX 5120'!$O$5:$O$40,"&gt;="&amp;M410),'FIRE TEX 5120'!$O$5:$T$40,IF(L410="F-15",2,IF(L410="F-30",3,IF(L410="F-60",4,IF(L410="F-90",5,IF(L410="F-120",6,0))))),0),0)</f>
        <v>0</v>
      </c>
      <c r="Q410" s="46">
        <f t="shared" si="49"/>
        <v>0</v>
      </c>
      <c r="R410" s="46">
        <f t="shared" si="50"/>
        <v>0</v>
      </c>
      <c r="S410" s="46" t="e">
        <f t="shared" si="51"/>
        <v>#VALUE!</v>
      </c>
      <c r="T410" s="677">
        <f t="shared" si="52"/>
        <v>0</v>
      </c>
      <c r="U410" s="80">
        <f>(IF(O410="Stofire",(S410*#REF!),0))+(IF(O410="Fire Control",(S410*$U$2),0))+(IF(O410="Fire Tex",(S410*$U$3),0))+(IF(O410="WB7",(S410*#REF!),0)+(IF(O410="FX 2003",(S410*$U$5),0)))</f>
        <v>0</v>
      </c>
      <c r="V410" s="651">
        <f t="shared" si="53"/>
        <v>0</v>
      </c>
    </row>
    <row r="411" spans="4:22" x14ac:dyDescent="0.25">
      <c r="D411" s="118">
        <f>+CUBICACION!D410</f>
        <v>0</v>
      </c>
      <c r="E411" s="118">
        <f>+CUBICACION!F410</f>
        <v>0</v>
      </c>
      <c r="F411" s="118">
        <f>+CUBICACION!E410</f>
        <v>0</v>
      </c>
      <c r="G411" s="118">
        <v>12</v>
      </c>
      <c r="H411" s="118">
        <v>2</v>
      </c>
      <c r="I411" s="820">
        <v>26385</v>
      </c>
      <c r="J411" s="118">
        <f>+CUBICACION!J410</f>
        <v>0</v>
      </c>
      <c r="K411" s="118">
        <v>3190</v>
      </c>
      <c r="L411" s="118">
        <f>+CUBICACION!L410</f>
        <v>0</v>
      </c>
      <c r="M411" s="64">
        <f>+CUBICACION!M410</f>
        <v>0</v>
      </c>
      <c r="N411" s="824" t="str">
        <f>+CUBICACION!N410</f>
        <v/>
      </c>
      <c r="O411" s="675">
        <f>+CUBICACION!O410</f>
        <v>0</v>
      </c>
      <c r="P411" s="15">
        <f>IF(O411="Fire Control",VLOOKUP(_xlfn.MINIFS('FIRE CONTROL'!$C$4:$C$37,'FIRE CONTROL'!$C$4:$C$37,"&gt;="&amp;M411),'FIRE CONTROL'!$C$4:$G$37,IF(L411="F-15",2,IF(L411="F-30",3,IF(L411="F-60",4,IF(L411="F-90",5,0)))),0),0)+IF(AND(O411="FIRE TEX 5062",OR(E411="IN",E411="C",E411="Z",E411="L"),J411=3),VLOOKUP(_xlfn.MINIFS('FIRE TEX 5062'!$B$4:$B$34,'FIRE TEX 5062'!$B$4:$B$34,"&gt;="&amp;M411),'FIRE TEX 5062'!$B$4:$F$34,IF(L411="F-15",2,IF(L411="F-30",3,IF(L411="F-60",4,IF(L411="F-90",5,0)))),0),0)+IF(AND(O411="FIRE TEX 5062",OR(E411="IN",E411="C",E411="Z",E411="L"),J411=4),VLOOKUP(_xlfn.MINIFS('FIRE TEX 5062'!$G$4:$G$34,'FIRE TEX 5062'!$G$4:$G$34,"&gt;="&amp;M411),'FIRE TEX 5062'!$G$4:$K$34,IF(L411="F-15",2,IF(L411="F-30",3,IF(L411="F-60",4,IF(L411="F-90",5,0)))),0),0)+IF(AND(O411="FIRE TEX 5062",E411="CJ",J411=3),VLOOKUP(_xlfn.MINIFS('FIRE TEX 5062'!$L$4:$L$34,'FIRE TEX 5062'!$L$4:$L$34,"&gt;="&amp;M411),'FIRE TEX 5062'!$L$4:$P$34,IF(L411="F-15",2,IF(L411="F-30",3,IF(L411="F-60",4,IF(L411="F-90",5,0)))),0),0)+IF(AND(O411="FIRE TEX 5062",E411="CJ",J411=4),VLOOKUP(_xlfn.MINIFS('FIRE TEX 5062'!$Q$3:$Q$34,'FIRE TEX 5062'!$Q$3:$Q$34,"&gt;="&amp;M411),'FIRE TEX 5062'!$Q$3:$U$34,IF(L411="F-15",2,IF(L411="F-30",3,IF(L411="F-60",4,IF(L411="F-90",5,0)))),0),0)+IF(AND(O411="FIRE TEX 5090",OR(E411="IN",E411="C",E411="Z",E411="L"),J411=3),VLOOKUP(_xlfn.MINIFS('FIRE TEX 5090'!$B$5:$B$43,'FIRE TEX 5090'!$B$5:$B$43,"&gt;="&amp;M411),'FIRE TEX 5090'!$B$5:$H$43,IF(L411="F-15",2,IF(L411="F-30",3,IF(L411="F-60",4,IF(L411="F-90",5,IF(L411="F-120",6,IF(L411="F-150",7,0)))))),0),0)+IF(AND(O411="FIRE TEX 5090",OR(E411="IN",E411="C",E411="Z",E411="L"),J411=4),VLOOKUP(_xlfn.MINIFS('FIRE TEX 5090'!$J$5:$J$43,'FIRE TEX 5090'!$J$5:$J$43,"&gt;="&amp;M411),'FIRE TEX 5090'!$J$5:$P$43,IF(L411="F-15",2,IF(L411="F-30",3,IF(L411="F-60",4,IF(L411="F-90",5,IF(L411="F-120",6,IF(L411="F-150",7,0)))))),0),0)+IF(AND(O411="FIRE TEX 5090",E411="CJ",J411=3),VLOOKUP(_xlfn.MINIFS('FIRE TEX 5090'!$R$5:$R$30,'FIRE TEX 5090'!$R$5:$R$30,"&gt;="&amp;M411),'FIRE TEX 5090'!$R$5:$W$30,IF(L411="F-15",2,IF(L411="F-30",3,IF(L411="F-60",4,IF(L411="F-90",5,IF(L411="F-120",6,IF(L411="F-150",7,0)))))),0),0)+IF(AND(O411="FIRE TEX 5090",E411="CJ",J411=4),VLOOKUP(_xlfn.MINIFS('FIRE TEX 5090'!$Y$5:$Y$39,'FIRE TEX 5090'!$Y$5:$Y$39,"&gt;="&amp;M411),'FIRE TEX 5090'!$Y$5:$AD$39,IF(L411="F-15",2,IF(L411="F-30",3,IF(L411="F-60",4,IF(L411="F-90",5,IF(L411="F-120",6,IF(L411="F-150",7,0)))))),0),0)+IF(AND(O411="FIRE TEX 5120",OR(E411="IN",E411="C",E411="Z",E411="L"),J411=3),VLOOKUP(_xlfn.MINIFS('FIRE TEX 5120'!$B$5:$B$40,'FIRE TEX 5120'!$B$5:$B$40,"&gt;="&amp;M411),'FIRE TEX 5120'!$B$5:$G$40,IF(L411="F-15",2,IF(L411="F-30",3,IF(L411="F-60",4,IF(L411="F-90",5,IF(L411="F-120",6,0))))),0),0)+IF(AND(O411="FIRE TEX 5120",OR(E411="IN",E411="C",E411="Z",E411="L"),J411=4),VLOOKUP(_xlfn.MINIFS('FIRE TEX 5120'!$H$4:$H$40,'FIRE TEX 5120'!$H$4:$H$40,"&gt;="&amp;M411),'FIRE TEX 5120'!$H$4:$M$40,IF(L411="F-15",2,IF(L411="F-30",3,IF(L411="F-60",4,IF(L411="F-90",5,IF(L411="F-120",6,0))))),0),0)+IF(AND(O411="FIRE TEX 5120",E411="CJ"),VLOOKUP(_xlfn.MINIFS('FIRE TEX 5120'!$O$5:$O$40,'FIRE TEX 5120'!$O$5:$O$40,"&gt;="&amp;M411),'FIRE TEX 5120'!$O$5:$T$40,IF(L411="F-15",2,IF(L411="F-30",3,IF(L411="F-60",4,IF(L411="F-90",5,IF(L411="F-120",6,0))))),0),0)</f>
        <v>0</v>
      </c>
      <c r="Q411" s="46">
        <f t="shared" si="49"/>
        <v>0</v>
      </c>
      <c r="R411" s="46">
        <f t="shared" si="50"/>
        <v>0</v>
      </c>
      <c r="S411" s="46" t="e">
        <f t="shared" si="51"/>
        <v>#VALUE!</v>
      </c>
      <c r="T411" s="677">
        <f t="shared" si="52"/>
        <v>0</v>
      </c>
      <c r="U411" s="80">
        <f>(IF(O411="Stofire",(S411*#REF!),0))+(IF(O411="Fire Control",(S411*$U$2),0))+(IF(O411="Fire Tex",(S411*$U$3),0))+(IF(O411="WB7",(S411*#REF!),0)+(IF(O411="FX 2003",(S411*$U$5),0)))</f>
        <v>0</v>
      </c>
      <c r="V411" s="651">
        <f t="shared" si="53"/>
        <v>0</v>
      </c>
    </row>
    <row r="412" spans="4:22" x14ac:dyDescent="0.25">
      <c r="D412" s="118">
        <f>+CUBICACION!D411</f>
        <v>0</v>
      </c>
      <c r="E412" s="118">
        <f>+CUBICACION!F411</f>
        <v>0</v>
      </c>
      <c r="F412" s="118">
        <f>+CUBICACION!E411</f>
        <v>0</v>
      </c>
      <c r="G412" s="118">
        <v>12</v>
      </c>
      <c r="H412" s="118">
        <v>2</v>
      </c>
      <c r="I412" s="820">
        <v>26385</v>
      </c>
      <c r="J412" s="118">
        <f>+CUBICACION!J411</f>
        <v>0</v>
      </c>
      <c r="K412" s="118">
        <v>3191</v>
      </c>
      <c r="L412" s="118">
        <f>+CUBICACION!L411</f>
        <v>0</v>
      </c>
      <c r="M412" s="64">
        <f>+CUBICACION!M411</f>
        <v>0</v>
      </c>
      <c r="N412" s="824" t="str">
        <f>+CUBICACION!N411</f>
        <v/>
      </c>
      <c r="O412" s="675">
        <f>+CUBICACION!O411</f>
        <v>0</v>
      </c>
      <c r="P412" s="15">
        <f>IF(O412="Fire Control",VLOOKUP(_xlfn.MINIFS('FIRE CONTROL'!$C$4:$C$37,'FIRE CONTROL'!$C$4:$C$37,"&gt;="&amp;M412),'FIRE CONTROL'!$C$4:$G$37,IF(L412="F-15",2,IF(L412="F-30",3,IF(L412="F-60",4,IF(L412="F-90",5,0)))),0),0)+IF(AND(O412="FIRE TEX 5062",OR(E412="IN",E412="C",E412="Z",E412="L"),J412=3),VLOOKUP(_xlfn.MINIFS('FIRE TEX 5062'!$B$4:$B$34,'FIRE TEX 5062'!$B$4:$B$34,"&gt;="&amp;M412),'FIRE TEX 5062'!$B$4:$F$34,IF(L412="F-15",2,IF(L412="F-30",3,IF(L412="F-60",4,IF(L412="F-90",5,0)))),0),0)+IF(AND(O412="FIRE TEX 5062",OR(E412="IN",E412="C",E412="Z",E412="L"),J412=4),VLOOKUP(_xlfn.MINIFS('FIRE TEX 5062'!$G$4:$G$34,'FIRE TEX 5062'!$G$4:$G$34,"&gt;="&amp;M412),'FIRE TEX 5062'!$G$4:$K$34,IF(L412="F-15",2,IF(L412="F-30",3,IF(L412="F-60",4,IF(L412="F-90",5,0)))),0),0)+IF(AND(O412="FIRE TEX 5062",E412="CJ",J412=3),VLOOKUP(_xlfn.MINIFS('FIRE TEX 5062'!$L$4:$L$34,'FIRE TEX 5062'!$L$4:$L$34,"&gt;="&amp;M412),'FIRE TEX 5062'!$L$4:$P$34,IF(L412="F-15",2,IF(L412="F-30",3,IF(L412="F-60",4,IF(L412="F-90",5,0)))),0),0)+IF(AND(O412="FIRE TEX 5062",E412="CJ",J412=4),VLOOKUP(_xlfn.MINIFS('FIRE TEX 5062'!$Q$3:$Q$34,'FIRE TEX 5062'!$Q$3:$Q$34,"&gt;="&amp;M412),'FIRE TEX 5062'!$Q$3:$U$34,IF(L412="F-15",2,IF(L412="F-30",3,IF(L412="F-60",4,IF(L412="F-90",5,0)))),0),0)+IF(AND(O412="FIRE TEX 5090",OR(E412="IN",E412="C",E412="Z",E412="L"),J412=3),VLOOKUP(_xlfn.MINIFS('FIRE TEX 5090'!$B$5:$B$43,'FIRE TEX 5090'!$B$5:$B$43,"&gt;="&amp;M412),'FIRE TEX 5090'!$B$5:$H$43,IF(L412="F-15",2,IF(L412="F-30",3,IF(L412="F-60",4,IF(L412="F-90",5,IF(L412="F-120",6,IF(L412="F-150",7,0)))))),0),0)+IF(AND(O412="FIRE TEX 5090",OR(E412="IN",E412="C",E412="Z",E412="L"),J412=4),VLOOKUP(_xlfn.MINIFS('FIRE TEX 5090'!$J$5:$J$43,'FIRE TEX 5090'!$J$5:$J$43,"&gt;="&amp;M412),'FIRE TEX 5090'!$J$5:$P$43,IF(L412="F-15",2,IF(L412="F-30",3,IF(L412="F-60",4,IF(L412="F-90",5,IF(L412="F-120",6,IF(L412="F-150",7,0)))))),0),0)+IF(AND(O412="FIRE TEX 5090",E412="CJ",J412=3),VLOOKUP(_xlfn.MINIFS('FIRE TEX 5090'!$R$5:$R$30,'FIRE TEX 5090'!$R$5:$R$30,"&gt;="&amp;M412),'FIRE TEX 5090'!$R$5:$W$30,IF(L412="F-15",2,IF(L412="F-30",3,IF(L412="F-60",4,IF(L412="F-90",5,IF(L412="F-120",6,IF(L412="F-150",7,0)))))),0),0)+IF(AND(O412="FIRE TEX 5090",E412="CJ",J412=4),VLOOKUP(_xlfn.MINIFS('FIRE TEX 5090'!$Y$5:$Y$39,'FIRE TEX 5090'!$Y$5:$Y$39,"&gt;="&amp;M412),'FIRE TEX 5090'!$Y$5:$AD$39,IF(L412="F-15",2,IF(L412="F-30",3,IF(L412="F-60",4,IF(L412="F-90",5,IF(L412="F-120",6,IF(L412="F-150",7,0)))))),0),0)+IF(AND(O412="FIRE TEX 5120",OR(E412="IN",E412="C",E412="Z",E412="L"),J412=3),VLOOKUP(_xlfn.MINIFS('FIRE TEX 5120'!$B$5:$B$40,'FIRE TEX 5120'!$B$5:$B$40,"&gt;="&amp;M412),'FIRE TEX 5120'!$B$5:$G$40,IF(L412="F-15",2,IF(L412="F-30",3,IF(L412="F-60",4,IF(L412="F-90",5,IF(L412="F-120",6,0))))),0),0)+IF(AND(O412="FIRE TEX 5120",OR(E412="IN",E412="C",E412="Z",E412="L"),J412=4),VLOOKUP(_xlfn.MINIFS('FIRE TEX 5120'!$H$4:$H$40,'FIRE TEX 5120'!$H$4:$H$40,"&gt;="&amp;M412),'FIRE TEX 5120'!$H$4:$M$40,IF(L412="F-15",2,IF(L412="F-30",3,IF(L412="F-60",4,IF(L412="F-90",5,IF(L412="F-120",6,0))))),0),0)+IF(AND(O412="FIRE TEX 5120",E412="CJ"),VLOOKUP(_xlfn.MINIFS('FIRE TEX 5120'!$O$5:$O$40,'FIRE TEX 5120'!$O$5:$O$40,"&gt;="&amp;M412),'FIRE TEX 5120'!$O$5:$T$40,IF(L412="F-15",2,IF(L412="F-30",3,IF(L412="F-60",4,IF(L412="F-90",5,IF(L412="F-120",6,0))))),0),0)</f>
        <v>0</v>
      </c>
      <c r="Q412" s="46">
        <f t="shared" si="49"/>
        <v>0</v>
      </c>
      <c r="R412" s="46">
        <f t="shared" si="50"/>
        <v>0</v>
      </c>
      <c r="S412" s="46" t="e">
        <f t="shared" si="51"/>
        <v>#VALUE!</v>
      </c>
      <c r="T412" s="677">
        <f t="shared" si="52"/>
        <v>0</v>
      </c>
      <c r="U412" s="80">
        <f>(IF(O412="Stofire",(S412*#REF!),0))+(IF(O412="Fire Control",(S412*$U$2),0))+(IF(O412="Fire Tex",(S412*$U$3),0))+(IF(O412="WB7",(S412*#REF!),0)+(IF(O412="FX 2003",(S412*$U$5),0)))</f>
        <v>0</v>
      </c>
      <c r="V412" s="651">
        <f t="shared" si="53"/>
        <v>0</v>
      </c>
    </row>
    <row r="413" spans="4:22" x14ac:dyDescent="0.25">
      <c r="D413" s="118">
        <f>+CUBICACION!D412</f>
        <v>0</v>
      </c>
      <c r="E413" s="118">
        <f>+CUBICACION!F412</f>
        <v>0</v>
      </c>
      <c r="F413" s="118">
        <f>+CUBICACION!E412</f>
        <v>0</v>
      </c>
      <c r="G413" s="118">
        <v>12</v>
      </c>
      <c r="H413" s="118">
        <v>2</v>
      </c>
      <c r="I413" s="820">
        <v>26385</v>
      </c>
      <c r="J413" s="118">
        <f>+CUBICACION!J412</f>
        <v>0</v>
      </c>
      <c r="K413" s="118">
        <v>3192</v>
      </c>
      <c r="L413" s="118">
        <f>+CUBICACION!L412</f>
        <v>0</v>
      </c>
      <c r="M413" s="64">
        <f>+CUBICACION!M412</f>
        <v>0</v>
      </c>
      <c r="N413" s="824" t="str">
        <f>+CUBICACION!N412</f>
        <v/>
      </c>
      <c r="O413" s="675">
        <f>+CUBICACION!O412</f>
        <v>0</v>
      </c>
      <c r="P413" s="15">
        <f>IF(O413="Fire Control",VLOOKUP(_xlfn.MINIFS('FIRE CONTROL'!$C$4:$C$37,'FIRE CONTROL'!$C$4:$C$37,"&gt;="&amp;M413),'FIRE CONTROL'!$C$4:$G$37,IF(L413="F-15",2,IF(L413="F-30",3,IF(L413="F-60",4,IF(L413="F-90",5,0)))),0),0)+IF(AND(O413="FIRE TEX 5062",OR(E413="IN",E413="C",E413="Z",E413="L"),J413=3),VLOOKUP(_xlfn.MINIFS('FIRE TEX 5062'!$B$4:$B$34,'FIRE TEX 5062'!$B$4:$B$34,"&gt;="&amp;M413),'FIRE TEX 5062'!$B$4:$F$34,IF(L413="F-15",2,IF(L413="F-30",3,IF(L413="F-60",4,IF(L413="F-90",5,0)))),0),0)+IF(AND(O413="FIRE TEX 5062",OR(E413="IN",E413="C",E413="Z",E413="L"),J413=4),VLOOKUP(_xlfn.MINIFS('FIRE TEX 5062'!$G$4:$G$34,'FIRE TEX 5062'!$G$4:$G$34,"&gt;="&amp;M413),'FIRE TEX 5062'!$G$4:$K$34,IF(L413="F-15",2,IF(L413="F-30",3,IF(L413="F-60",4,IF(L413="F-90",5,0)))),0),0)+IF(AND(O413="FIRE TEX 5062",E413="CJ",J413=3),VLOOKUP(_xlfn.MINIFS('FIRE TEX 5062'!$L$4:$L$34,'FIRE TEX 5062'!$L$4:$L$34,"&gt;="&amp;M413),'FIRE TEX 5062'!$L$4:$P$34,IF(L413="F-15",2,IF(L413="F-30",3,IF(L413="F-60",4,IF(L413="F-90",5,0)))),0),0)+IF(AND(O413="FIRE TEX 5062",E413="CJ",J413=4),VLOOKUP(_xlfn.MINIFS('FIRE TEX 5062'!$Q$3:$Q$34,'FIRE TEX 5062'!$Q$3:$Q$34,"&gt;="&amp;M413),'FIRE TEX 5062'!$Q$3:$U$34,IF(L413="F-15",2,IF(L413="F-30",3,IF(L413="F-60",4,IF(L413="F-90",5,0)))),0),0)+IF(AND(O413="FIRE TEX 5090",OR(E413="IN",E413="C",E413="Z",E413="L"),J413=3),VLOOKUP(_xlfn.MINIFS('FIRE TEX 5090'!$B$5:$B$43,'FIRE TEX 5090'!$B$5:$B$43,"&gt;="&amp;M413),'FIRE TEX 5090'!$B$5:$H$43,IF(L413="F-15",2,IF(L413="F-30",3,IF(L413="F-60",4,IF(L413="F-90",5,IF(L413="F-120",6,IF(L413="F-150",7,0)))))),0),0)+IF(AND(O413="FIRE TEX 5090",OR(E413="IN",E413="C",E413="Z",E413="L"),J413=4),VLOOKUP(_xlfn.MINIFS('FIRE TEX 5090'!$J$5:$J$43,'FIRE TEX 5090'!$J$5:$J$43,"&gt;="&amp;M413),'FIRE TEX 5090'!$J$5:$P$43,IF(L413="F-15",2,IF(L413="F-30",3,IF(L413="F-60",4,IF(L413="F-90",5,IF(L413="F-120",6,IF(L413="F-150",7,0)))))),0),0)+IF(AND(O413="FIRE TEX 5090",E413="CJ",J413=3),VLOOKUP(_xlfn.MINIFS('FIRE TEX 5090'!$R$5:$R$30,'FIRE TEX 5090'!$R$5:$R$30,"&gt;="&amp;M413),'FIRE TEX 5090'!$R$5:$W$30,IF(L413="F-15",2,IF(L413="F-30",3,IF(L413="F-60",4,IF(L413="F-90",5,IF(L413="F-120",6,IF(L413="F-150",7,0)))))),0),0)+IF(AND(O413="FIRE TEX 5090",E413="CJ",J413=4),VLOOKUP(_xlfn.MINIFS('FIRE TEX 5090'!$Y$5:$Y$39,'FIRE TEX 5090'!$Y$5:$Y$39,"&gt;="&amp;M413),'FIRE TEX 5090'!$Y$5:$AD$39,IF(L413="F-15",2,IF(L413="F-30",3,IF(L413="F-60",4,IF(L413="F-90",5,IF(L413="F-120",6,IF(L413="F-150",7,0)))))),0),0)+IF(AND(O413="FIRE TEX 5120",OR(E413="IN",E413="C",E413="Z",E413="L"),J413=3),VLOOKUP(_xlfn.MINIFS('FIRE TEX 5120'!$B$5:$B$40,'FIRE TEX 5120'!$B$5:$B$40,"&gt;="&amp;M413),'FIRE TEX 5120'!$B$5:$G$40,IF(L413="F-15",2,IF(L413="F-30",3,IF(L413="F-60",4,IF(L413="F-90",5,IF(L413="F-120",6,0))))),0),0)+IF(AND(O413="FIRE TEX 5120",OR(E413="IN",E413="C",E413="Z",E413="L"),J413=4),VLOOKUP(_xlfn.MINIFS('FIRE TEX 5120'!$H$4:$H$40,'FIRE TEX 5120'!$H$4:$H$40,"&gt;="&amp;M413),'FIRE TEX 5120'!$H$4:$M$40,IF(L413="F-15",2,IF(L413="F-30",3,IF(L413="F-60",4,IF(L413="F-90",5,IF(L413="F-120",6,0))))),0),0)+IF(AND(O413="FIRE TEX 5120",E413="CJ"),VLOOKUP(_xlfn.MINIFS('FIRE TEX 5120'!$O$5:$O$40,'FIRE TEX 5120'!$O$5:$O$40,"&gt;="&amp;M413),'FIRE TEX 5120'!$O$5:$T$40,IF(L413="F-15",2,IF(L413="F-30",3,IF(L413="F-60",4,IF(L413="F-90",5,IF(L413="F-120",6,0))))),0),0)</f>
        <v>0</v>
      </c>
      <c r="Q413" s="46">
        <f t="shared" si="49"/>
        <v>0</v>
      </c>
      <c r="R413" s="46">
        <f t="shared" si="50"/>
        <v>0</v>
      </c>
      <c r="S413" s="46" t="e">
        <f t="shared" si="51"/>
        <v>#VALUE!</v>
      </c>
      <c r="T413" s="677">
        <f t="shared" si="52"/>
        <v>0</v>
      </c>
      <c r="U413" s="80">
        <f>(IF(O413="Stofire",(S413*#REF!),0))+(IF(O413="Fire Control",(S413*$U$2),0))+(IF(O413="Fire Tex",(S413*$U$3),0))+(IF(O413="WB7",(S413*#REF!),0)+(IF(O413="FX 2003",(S413*$U$5),0)))</f>
        <v>0</v>
      </c>
      <c r="V413" s="651">
        <f t="shared" si="53"/>
        <v>0</v>
      </c>
    </row>
    <row r="414" spans="4:22" x14ac:dyDescent="0.25">
      <c r="D414" s="118">
        <f>+CUBICACION!D413</f>
        <v>0</v>
      </c>
      <c r="E414" s="118">
        <f>+CUBICACION!F413</f>
        <v>0</v>
      </c>
      <c r="F414" s="118">
        <f>+CUBICACION!E413</f>
        <v>0</v>
      </c>
      <c r="G414" s="118">
        <v>12</v>
      </c>
      <c r="H414" s="118">
        <v>2</v>
      </c>
      <c r="I414" s="820">
        <v>26385</v>
      </c>
      <c r="J414" s="118">
        <f>+CUBICACION!J413</f>
        <v>0</v>
      </c>
      <c r="K414" s="118">
        <v>3193</v>
      </c>
      <c r="L414" s="118">
        <f>+CUBICACION!L413</f>
        <v>0</v>
      </c>
      <c r="M414" s="64">
        <f>+CUBICACION!M413</f>
        <v>0</v>
      </c>
      <c r="N414" s="824" t="str">
        <f>+CUBICACION!N413</f>
        <v/>
      </c>
      <c r="O414" s="675">
        <f>+CUBICACION!O413</f>
        <v>0</v>
      </c>
      <c r="P414" s="15">
        <f>IF(O414="Fire Control",VLOOKUP(_xlfn.MINIFS('FIRE CONTROL'!$C$4:$C$37,'FIRE CONTROL'!$C$4:$C$37,"&gt;="&amp;M414),'FIRE CONTROL'!$C$4:$G$37,IF(L414="F-15",2,IF(L414="F-30",3,IF(L414="F-60",4,IF(L414="F-90",5,0)))),0),0)+IF(AND(O414="FIRE TEX 5062",OR(E414="IN",E414="C",E414="Z",E414="L"),J414=3),VLOOKUP(_xlfn.MINIFS('FIRE TEX 5062'!$B$4:$B$34,'FIRE TEX 5062'!$B$4:$B$34,"&gt;="&amp;M414),'FIRE TEX 5062'!$B$4:$F$34,IF(L414="F-15",2,IF(L414="F-30",3,IF(L414="F-60",4,IF(L414="F-90",5,0)))),0),0)+IF(AND(O414="FIRE TEX 5062",OR(E414="IN",E414="C",E414="Z",E414="L"),J414=4),VLOOKUP(_xlfn.MINIFS('FIRE TEX 5062'!$G$4:$G$34,'FIRE TEX 5062'!$G$4:$G$34,"&gt;="&amp;M414),'FIRE TEX 5062'!$G$4:$K$34,IF(L414="F-15",2,IF(L414="F-30",3,IF(L414="F-60",4,IF(L414="F-90",5,0)))),0),0)+IF(AND(O414="FIRE TEX 5062",E414="CJ",J414=3),VLOOKUP(_xlfn.MINIFS('FIRE TEX 5062'!$L$4:$L$34,'FIRE TEX 5062'!$L$4:$L$34,"&gt;="&amp;M414),'FIRE TEX 5062'!$L$4:$P$34,IF(L414="F-15",2,IF(L414="F-30",3,IF(L414="F-60",4,IF(L414="F-90",5,0)))),0),0)+IF(AND(O414="FIRE TEX 5062",E414="CJ",J414=4),VLOOKUP(_xlfn.MINIFS('FIRE TEX 5062'!$Q$3:$Q$34,'FIRE TEX 5062'!$Q$3:$Q$34,"&gt;="&amp;M414),'FIRE TEX 5062'!$Q$3:$U$34,IF(L414="F-15",2,IF(L414="F-30",3,IF(L414="F-60",4,IF(L414="F-90",5,0)))),0),0)+IF(AND(O414="FIRE TEX 5090",OR(E414="IN",E414="C",E414="Z",E414="L"),J414=3),VLOOKUP(_xlfn.MINIFS('FIRE TEX 5090'!$B$5:$B$43,'FIRE TEX 5090'!$B$5:$B$43,"&gt;="&amp;M414),'FIRE TEX 5090'!$B$5:$H$43,IF(L414="F-15",2,IF(L414="F-30",3,IF(L414="F-60",4,IF(L414="F-90",5,IF(L414="F-120",6,IF(L414="F-150",7,0)))))),0),0)+IF(AND(O414="FIRE TEX 5090",OR(E414="IN",E414="C",E414="Z",E414="L"),J414=4),VLOOKUP(_xlfn.MINIFS('FIRE TEX 5090'!$J$5:$J$43,'FIRE TEX 5090'!$J$5:$J$43,"&gt;="&amp;M414),'FIRE TEX 5090'!$J$5:$P$43,IF(L414="F-15",2,IF(L414="F-30",3,IF(L414="F-60",4,IF(L414="F-90",5,IF(L414="F-120",6,IF(L414="F-150",7,0)))))),0),0)+IF(AND(O414="FIRE TEX 5090",E414="CJ",J414=3),VLOOKUP(_xlfn.MINIFS('FIRE TEX 5090'!$R$5:$R$30,'FIRE TEX 5090'!$R$5:$R$30,"&gt;="&amp;M414),'FIRE TEX 5090'!$R$5:$W$30,IF(L414="F-15",2,IF(L414="F-30",3,IF(L414="F-60",4,IF(L414="F-90",5,IF(L414="F-120",6,IF(L414="F-150",7,0)))))),0),0)+IF(AND(O414="FIRE TEX 5090",E414="CJ",J414=4),VLOOKUP(_xlfn.MINIFS('FIRE TEX 5090'!$Y$5:$Y$39,'FIRE TEX 5090'!$Y$5:$Y$39,"&gt;="&amp;M414),'FIRE TEX 5090'!$Y$5:$AD$39,IF(L414="F-15",2,IF(L414="F-30",3,IF(L414="F-60",4,IF(L414="F-90",5,IF(L414="F-120",6,IF(L414="F-150",7,0)))))),0),0)+IF(AND(O414="FIRE TEX 5120",OR(E414="IN",E414="C",E414="Z",E414="L"),J414=3),VLOOKUP(_xlfn.MINIFS('FIRE TEX 5120'!$B$5:$B$40,'FIRE TEX 5120'!$B$5:$B$40,"&gt;="&amp;M414),'FIRE TEX 5120'!$B$5:$G$40,IF(L414="F-15",2,IF(L414="F-30",3,IF(L414="F-60",4,IF(L414="F-90",5,IF(L414="F-120",6,0))))),0),0)+IF(AND(O414="FIRE TEX 5120",OR(E414="IN",E414="C",E414="Z",E414="L"),J414=4),VLOOKUP(_xlfn.MINIFS('FIRE TEX 5120'!$H$4:$H$40,'FIRE TEX 5120'!$H$4:$H$40,"&gt;="&amp;M414),'FIRE TEX 5120'!$H$4:$M$40,IF(L414="F-15",2,IF(L414="F-30",3,IF(L414="F-60",4,IF(L414="F-90",5,IF(L414="F-120",6,0))))),0),0)+IF(AND(O414="FIRE TEX 5120",E414="CJ"),VLOOKUP(_xlfn.MINIFS('FIRE TEX 5120'!$O$5:$O$40,'FIRE TEX 5120'!$O$5:$O$40,"&gt;="&amp;M414),'FIRE TEX 5120'!$O$5:$T$40,IF(L414="F-15",2,IF(L414="F-30",3,IF(L414="F-60",4,IF(L414="F-90",5,IF(L414="F-120",6,0))))),0),0)</f>
        <v>0</v>
      </c>
      <c r="Q414" s="46">
        <f t="shared" si="49"/>
        <v>0</v>
      </c>
      <c r="R414" s="46">
        <f t="shared" si="50"/>
        <v>0</v>
      </c>
      <c r="S414" s="46" t="e">
        <f t="shared" si="51"/>
        <v>#VALUE!</v>
      </c>
      <c r="T414" s="677">
        <f t="shared" si="52"/>
        <v>0</v>
      </c>
      <c r="U414" s="80">
        <f>(IF(O414="Stofire",(S414*#REF!),0))+(IF(O414="Fire Control",(S414*$U$2),0))+(IF(O414="Fire Tex",(S414*$U$3),0))+(IF(O414="WB7",(S414*#REF!),0)+(IF(O414="FX 2003",(S414*$U$5),0)))</f>
        <v>0</v>
      </c>
      <c r="V414" s="651">
        <f t="shared" si="53"/>
        <v>0</v>
      </c>
    </row>
    <row r="415" spans="4:22" x14ac:dyDescent="0.25">
      <c r="D415" s="118">
        <f>+CUBICACION!D414</f>
        <v>0</v>
      </c>
      <c r="E415" s="118">
        <f>+CUBICACION!F414</f>
        <v>0</v>
      </c>
      <c r="F415" s="118">
        <f>+CUBICACION!E414</f>
        <v>0</v>
      </c>
      <c r="G415" s="118">
        <v>12</v>
      </c>
      <c r="H415" s="118">
        <v>2</v>
      </c>
      <c r="I415" s="820">
        <v>26385</v>
      </c>
      <c r="J415" s="118">
        <f>+CUBICACION!J414</f>
        <v>0</v>
      </c>
      <c r="K415" s="118">
        <v>3194</v>
      </c>
      <c r="L415" s="118">
        <f>+CUBICACION!L414</f>
        <v>0</v>
      </c>
      <c r="M415" s="64">
        <f>+CUBICACION!M414</f>
        <v>0</v>
      </c>
      <c r="N415" s="824" t="str">
        <f>+CUBICACION!N414</f>
        <v/>
      </c>
      <c r="O415" s="675">
        <f>+CUBICACION!O414</f>
        <v>0</v>
      </c>
      <c r="P415" s="15">
        <f>IF(O415="Fire Control",VLOOKUP(_xlfn.MINIFS('FIRE CONTROL'!$C$4:$C$37,'FIRE CONTROL'!$C$4:$C$37,"&gt;="&amp;M415),'FIRE CONTROL'!$C$4:$G$37,IF(L415="F-15",2,IF(L415="F-30",3,IF(L415="F-60",4,IF(L415="F-90",5,0)))),0),0)+IF(AND(O415="FIRE TEX 5062",OR(E415="IN",E415="C",E415="Z",E415="L"),J415=3),VLOOKUP(_xlfn.MINIFS('FIRE TEX 5062'!$B$4:$B$34,'FIRE TEX 5062'!$B$4:$B$34,"&gt;="&amp;M415),'FIRE TEX 5062'!$B$4:$F$34,IF(L415="F-15",2,IF(L415="F-30",3,IF(L415="F-60",4,IF(L415="F-90",5,0)))),0),0)+IF(AND(O415="FIRE TEX 5062",OR(E415="IN",E415="C",E415="Z",E415="L"),J415=4),VLOOKUP(_xlfn.MINIFS('FIRE TEX 5062'!$G$4:$G$34,'FIRE TEX 5062'!$G$4:$G$34,"&gt;="&amp;M415),'FIRE TEX 5062'!$G$4:$K$34,IF(L415="F-15",2,IF(L415="F-30",3,IF(L415="F-60",4,IF(L415="F-90",5,0)))),0),0)+IF(AND(O415="FIRE TEX 5062",E415="CJ",J415=3),VLOOKUP(_xlfn.MINIFS('FIRE TEX 5062'!$L$4:$L$34,'FIRE TEX 5062'!$L$4:$L$34,"&gt;="&amp;M415),'FIRE TEX 5062'!$L$4:$P$34,IF(L415="F-15",2,IF(L415="F-30",3,IF(L415="F-60",4,IF(L415="F-90",5,0)))),0),0)+IF(AND(O415="FIRE TEX 5062",E415="CJ",J415=4),VLOOKUP(_xlfn.MINIFS('FIRE TEX 5062'!$Q$3:$Q$34,'FIRE TEX 5062'!$Q$3:$Q$34,"&gt;="&amp;M415),'FIRE TEX 5062'!$Q$3:$U$34,IF(L415="F-15",2,IF(L415="F-30",3,IF(L415="F-60",4,IF(L415="F-90",5,0)))),0),0)+IF(AND(O415="FIRE TEX 5090",OR(E415="IN",E415="C",E415="Z",E415="L"),J415=3),VLOOKUP(_xlfn.MINIFS('FIRE TEX 5090'!$B$5:$B$43,'FIRE TEX 5090'!$B$5:$B$43,"&gt;="&amp;M415),'FIRE TEX 5090'!$B$5:$H$43,IF(L415="F-15",2,IF(L415="F-30",3,IF(L415="F-60",4,IF(L415="F-90",5,IF(L415="F-120",6,IF(L415="F-150",7,0)))))),0),0)+IF(AND(O415="FIRE TEX 5090",OR(E415="IN",E415="C",E415="Z",E415="L"),J415=4),VLOOKUP(_xlfn.MINIFS('FIRE TEX 5090'!$J$5:$J$43,'FIRE TEX 5090'!$J$5:$J$43,"&gt;="&amp;M415),'FIRE TEX 5090'!$J$5:$P$43,IF(L415="F-15",2,IF(L415="F-30",3,IF(L415="F-60",4,IF(L415="F-90",5,IF(L415="F-120",6,IF(L415="F-150",7,0)))))),0),0)+IF(AND(O415="FIRE TEX 5090",E415="CJ",J415=3),VLOOKUP(_xlfn.MINIFS('FIRE TEX 5090'!$R$5:$R$30,'FIRE TEX 5090'!$R$5:$R$30,"&gt;="&amp;M415),'FIRE TEX 5090'!$R$5:$W$30,IF(L415="F-15",2,IF(L415="F-30",3,IF(L415="F-60",4,IF(L415="F-90",5,IF(L415="F-120",6,IF(L415="F-150",7,0)))))),0),0)+IF(AND(O415="FIRE TEX 5090",E415="CJ",J415=4),VLOOKUP(_xlfn.MINIFS('FIRE TEX 5090'!$Y$5:$Y$39,'FIRE TEX 5090'!$Y$5:$Y$39,"&gt;="&amp;M415),'FIRE TEX 5090'!$Y$5:$AD$39,IF(L415="F-15",2,IF(L415="F-30",3,IF(L415="F-60",4,IF(L415="F-90",5,IF(L415="F-120",6,IF(L415="F-150",7,0)))))),0),0)+IF(AND(O415="FIRE TEX 5120",OR(E415="IN",E415="C",E415="Z",E415="L"),J415=3),VLOOKUP(_xlfn.MINIFS('FIRE TEX 5120'!$B$5:$B$40,'FIRE TEX 5120'!$B$5:$B$40,"&gt;="&amp;M415),'FIRE TEX 5120'!$B$5:$G$40,IF(L415="F-15",2,IF(L415="F-30",3,IF(L415="F-60",4,IF(L415="F-90",5,IF(L415="F-120",6,0))))),0),0)+IF(AND(O415="FIRE TEX 5120",OR(E415="IN",E415="C",E415="Z",E415="L"),J415=4),VLOOKUP(_xlfn.MINIFS('FIRE TEX 5120'!$H$4:$H$40,'FIRE TEX 5120'!$H$4:$H$40,"&gt;="&amp;M415),'FIRE TEX 5120'!$H$4:$M$40,IF(L415="F-15",2,IF(L415="F-30",3,IF(L415="F-60",4,IF(L415="F-90",5,IF(L415="F-120",6,0))))),0),0)+IF(AND(O415="FIRE TEX 5120",E415="CJ"),VLOOKUP(_xlfn.MINIFS('FIRE TEX 5120'!$O$5:$O$40,'FIRE TEX 5120'!$O$5:$O$40,"&gt;="&amp;M415),'FIRE TEX 5120'!$O$5:$T$40,IF(L415="F-15",2,IF(L415="F-30",3,IF(L415="F-60",4,IF(L415="F-90",5,IF(L415="F-120",6,0))))),0),0)</f>
        <v>0</v>
      </c>
      <c r="Q415" s="46">
        <f t="shared" si="49"/>
        <v>0</v>
      </c>
      <c r="R415" s="46">
        <f t="shared" si="50"/>
        <v>0</v>
      </c>
      <c r="S415" s="46" t="e">
        <f t="shared" si="51"/>
        <v>#VALUE!</v>
      </c>
      <c r="T415" s="677">
        <f t="shared" si="52"/>
        <v>0</v>
      </c>
      <c r="U415" s="80">
        <f>(IF(O415="Stofire",(S415*#REF!),0))+(IF(O415="Fire Control",(S415*$U$2),0))+(IF(O415="Fire Tex",(S415*$U$3),0))+(IF(O415="WB7",(S415*#REF!),0)+(IF(O415="FX 2003",(S415*$U$5),0)))</f>
        <v>0</v>
      </c>
      <c r="V415" s="651">
        <f t="shared" si="53"/>
        <v>0</v>
      </c>
    </row>
    <row r="416" spans="4:22" x14ac:dyDescent="0.25">
      <c r="D416" s="118">
        <f>+CUBICACION!D415</f>
        <v>0</v>
      </c>
      <c r="E416" s="118">
        <f>+CUBICACION!F415</f>
        <v>0</v>
      </c>
      <c r="F416" s="118">
        <f>+CUBICACION!E415</f>
        <v>0</v>
      </c>
      <c r="G416" s="118">
        <v>12</v>
      </c>
      <c r="H416" s="118">
        <v>2</v>
      </c>
      <c r="I416" s="820">
        <v>26385</v>
      </c>
      <c r="J416" s="118">
        <f>+CUBICACION!J415</f>
        <v>0</v>
      </c>
      <c r="K416" s="118">
        <v>3195</v>
      </c>
      <c r="L416" s="118">
        <f>+CUBICACION!L415</f>
        <v>0</v>
      </c>
      <c r="M416" s="64">
        <f>+CUBICACION!M415</f>
        <v>0</v>
      </c>
      <c r="N416" s="824" t="str">
        <f>+CUBICACION!N415</f>
        <v/>
      </c>
      <c r="O416" s="675">
        <f>+CUBICACION!O415</f>
        <v>0</v>
      </c>
      <c r="P416" s="15">
        <f>IF(O416="Fire Control",VLOOKUP(_xlfn.MINIFS('FIRE CONTROL'!$C$4:$C$37,'FIRE CONTROL'!$C$4:$C$37,"&gt;="&amp;M416),'FIRE CONTROL'!$C$4:$G$37,IF(L416="F-15",2,IF(L416="F-30",3,IF(L416="F-60",4,IF(L416="F-90",5,0)))),0),0)+IF(AND(O416="FIRE TEX 5062",OR(E416="IN",E416="C",E416="Z",E416="L"),J416=3),VLOOKUP(_xlfn.MINIFS('FIRE TEX 5062'!$B$4:$B$34,'FIRE TEX 5062'!$B$4:$B$34,"&gt;="&amp;M416),'FIRE TEX 5062'!$B$4:$F$34,IF(L416="F-15",2,IF(L416="F-30",3,IF(L416="F-60",4,IF(L416="F-90",5,0)))),0),0)+IF(AND(O416="FIRE TEX 5062",OR(E416="IN",E416="C",E416="Z",E416="L"),J416=4),VLOOKUP(_xlfn.MINIFS('FIRE TEX 5062'!$G$4:$G$34,'FIRE TEX 5062'!$G$4:$G$34,"&gt;="&amp;M416),'FIRE TEX 5062'!$G$4:$K$34,IF(L416="F-15",2,IF(L416="F-30",3,IF(L416="F-60",4,IF(L416="F-90",5,0)))),0),0)+IF(AND(O416="FIRE TEX 5062",E416="CJ",J416=3),VLOOKUP(_xlfn.MINIFS('FIRE TEX 5062'!$L$4:$L$34,'FIRE TEX 5062'!$L$4:$L$34,"&gt;="&amp;M416),'FIRE TEX 5062'!$L$4:$P$34,IF(L416="F-15",2,IF(L416="F-30",3,IF(L416="F-60",4,IF(L416="F-90",5,0)))),0),0)+IF(AND(O416="FIRE TEX 5062",E416="CJ",J416=4),VLOOKUP(_xlfn.MINIFS('FIRE TEX 5062'!$Q$3:$Q$34,'FIRE TEX 5062'!$Q$3:$Q$34,"&gt;="&amp;M416),'FIRE TEX 5062'!$Q$3:$U$34,IF(L416="F-15",2,IF(L416="F-30",3,IF(L416="F-60",4,IF(L416="F-90",5,0)))),0),0)+IF(AND(O416="FIRE TEX 5090",OR(E416="IN",E416="C",E416="Z",E416="L"),J416=3),VLOOKUP(_xlfn.MINIFS('FIRE TEX 5090'!$B$5:$B$43,'FIRE TEX 5090'!$B$5:$B$43,"&gt;="&amp;M416),'FIRE TEX 5090'!$B$5:$H$43,IF(L416="F-15",2,IF(L416="F-30",3,IF(L416="F-60",4,IF(L416="F-90",5,IF(L416="F-120",6,IF(L416="F-150",7,0)))))),0),0)+IF(AND(O416="FIRE TEX 5090",OR(E416="IN",E416="C",E416="Z",E416="L"),J416=4),VLOOKUP(_xlfn.MINIFS('FIRE TEX 5090'!$J$5:$J$43,'FIRE TEX 5090'!$J$5:$J$43,"&gt;="&amp;M416),'FIRE TEX 5090'!$J$5:$P$43,IF(L416="F-15",2,IF(L416="F-30",3,IF(L416="F-60",4,IF(L416="F-90",5,IF(L416="F-120",6,IF(L416="F-150",7,0)))))),0),0)+IF(AND(O416="FIRE TEX 5090",E416="CJ",J416=3),VLOOKUP(_xlfn.MINIFS('FIRE TEX 5090'!$R$5:$R$30,'FIRE TEX 5090'!$R$5:$R$30,"&gt;="&amp;M416),'FIRE TEX 5090'!$R$5:$W$30,IF(L416="F-15",2,IF(L416="F-30",3,IF(L416="F-60",4,IF(L416="F-90",5,IF(L416="F-120",6,IF(L416="F-150",7,0)))))),0),0)+IF(AND(O416="FIRE TEX 5090",E416="CJ",J416=4),VLOOKUP(_xlfn.MINIFS('FIRE TEX 5090'!$Y$5:$Y$39,'FIRE TEX 5090'!$Y$5:$Y$39,"&gt;="&amp;M416),'FIRE TEX 5090'!$Y$5:$AD$39,IF(L416="F-15",2,IF(L416="F-30",3,IF(L416="F-60",4,IF(L416="F-90",5,IF(L416="F-120",6,IF(L416="F-150",7,0)))))),0),0)+IF(AND(O416="FIRE TEX 5120",OR(E416="IN",E416="C",E416="Z",E416="L"),J416=3),VLOOKUP(_xlfn.MINIFS('FIRE TEX 5120'!$B$5:$B$40,'FIRE TEX 5120'!$B$5:$B$40,"&gt;="&amp;M416),'FIRE TEX 5120'!$B$5:$G$40,IF(L416="F-15",2,IF(L416="F-30",3,IF(L416="F-60",4,IF(L416="F-90",5,IF(L416="F-120",6,0))))),0),0)+IF(AND(O416="FIRE TEX 5120",OR(E416="IN",E416="C",E416="Z",E416="L"),J416=4),VLOOKUP(_xlfn.MINIFS('FIRE TEX 5120'!$H$4:$H$40,'FIRE TEX 5120'!$H$4:$H$40,"&gt;="&amp;M416),'FIRE TEX 5120'!$H$4:$M$40,IF(L416="F-15",2,IF(L416="F-30",3,IF(L416="F-60",4,IF(L416="F-90",5,IF(L416="F-120",6,0))))),0),0)+IF(AND(O416="FIRE TEX 5120",E416="CJ"),VLOOKUP(_xlfn.MINIFS('FIRE TEX 5120'!$O$5:$O$40,'FIRE TEX 5120'!$O$5:$O$40,"&gt;="&amp;M416),'FIRE TEX 5120'!$O$5:$T$40,IF(L416="F-15",2,IF(L416="F-30",3,IF(L416="F-60",4,IF(L416="F-90",5,IF(L416="F-120",6,0))))),0),0)</f>
        <v>0</v>
      </c>
      <c r="Q416" s="46">
        <f t="shared" si="49"/>
        <v>0</v>
      </c>
      <c r="R416" s="46">
        <f t="shared" si="50"/>
        <v>0</v>
      </c>
      <c r="S416" s="46" t="e">
        <f t="shared" si="51"/>
        <v>#VALUE!</v>
      </c>
      <c r="T416" s="677">
        <f t="shared" si="52"/>
        <v>0</v>
      </c>
      <c r="U416" s="80">
        <f>(IF(O416="Stofire",(S416*#REF!),0))+(IF(O416="Fire Control",(S416*$U$2),0))+(IF(O416="Fire Tex",(S416*$U$3),0))+(IF(O416="WB7",(S416*#REF!),0)+(IF(O416="FX 2003",(S416*$U$5),0)))</f>
        <v>0</v>
      </c>
      <c r="V416" s="651">
        <f t="shared" si="53"/>
        <v>0</v>
      </c>
    </row>
    <row r="417" spans="4:22" x14ac:dyDescent="0.25">
      <c r="D417" s="118">
        <f>+CUBICACION!D416</f>
        <v>0</v>
      </c>
      <c r="E417" s="118">
        <f>+CUBICACION!F416</f>
        <v>0</v>
      </c>
      <c r="F417" s="118">
        <f>+CUBICACION!E416</f>
        <v>0</v>
      </c>
      <c r="G417" s="118">
        <v>12</v>
      </c>
      <c r="H417" s="118">
        <v>2</v>
      </c>
      <c r="I417" s="820">
        <v>26385</v>
      </c>
      <c r="J417" s="118">
        <f>+CUBICACION!J416</f>
        <v>0</v>
      </c>
      <c r="K417" s="118">
        <v>3196</v>
      </c>
      <c r="L417" s="118">
        <f>+CUBICACION!L416</f>
        <v>0</v>
      </c>
      <c r="M417" s="64">
        <f>+CUBICACION!M416</f>
        <v>0</v>
      </c>
      <c r="N417" s="824" t="str">
        <f>+CUBICACION!N416</f>
        <v/>
      </c>
      <c r="O417" s="675">
        <f>+CUBICACION!O416</f>
        <v>0</v>
      </c>
      <c r="P417" s="15">
        <f>IF(O417="Fire Control",VLOOKUP(_xlfn.MINIFS('FIRE CONTROL'!$C$4:$C$37,'FIRE CONTROL'!$C$4:$C$37,"&gt;="&amp;M417),'FIRE CONTROL'!$C$4:$G$37,IF(L417="F-15",2,IF(L417="F-30",3,IF(L417="F-60",4,IF(L417="F-90",5,0)))),0),0)+IF(AND(O417="FIRE TEX 5062",OR(E417="IN",E417="C",E417="Z",E417="L"),J417=3),VLOOKUP(_xlfn.MINIFS('FIRE TEX 5062'!$B$4:$B$34,'FIRE TEX 5062'!$B$4:$B$34,"&gt;="&amp;M417),'FIRE TEX 5062'!$B$4:$F$34,IF(L417="F-15",2,IF(L417="F-30",3,IF(L417="F-60",4,IF(L417="F-90",5,0)))),0),0)+IF(AND(O417="FIRE TEX 5062",OR(E417="IN",E417="C",E417="Z",E417="L"),J417=4),VLOOKUP(_xlfn.MINIFS('FIRE TEX 5062'!$G$4:$G$34,'FIRE TEX 5062'!$G$4:$G$34,"&gt;="&amp;M417),'FIRE TEX 5062'!$G$4:$K$34,IF(L417="F-15",2,IF(L417="F-30",3,IF(L417="F-60",4,IF(L417="F-90",5,0)))),0),0)+IF(AND(O417="FIRE TEX 5062",E417="CJ",J417=3),VLOOKUP(_xlfn.MINIFS('FIRE TEX 5062'!$L$4:$L$34,'FIRE TEX 5062'!$L$4:$L$34,"&gt;="&amp;M417),'FIRE TEX 5062'!$L$4:$P$34,IF(L417="F-15",2,IF(L417="F-30",3,IF(L417="F-60",4,IF(L417="F-90",5,0)))),0),0)+IF(AND(O417="FIRE TEX 5062",E417="CJ",J417=4),VLOOKUP(_xlfn.MINIFS('FIRE TEX 5062'!$Q$3:$Q$34,'FIRE TEX 5062'!$Q$3:$Q$34,"&gt;="&amp;M417),'FIRE TEX 5062'!$Q$3:$U$34,IF(L417="F-15",2,IF(L417="F-30",3,IF(L417="F-60",4,IF(L417="F-90",5,0)))),0),0)+IF(AND(O417="FIRE TEX 5090",OR(E417="IN",E417="C",E417="Z",E417="L"),J417=3),VLOOKUP(_xlfn.MINIFS('FIRE TEX 5090'!$B$5:$B$43,'FIRE TEX 5090'!$B$5:$B$43,"&gt;="&amp;M417),'FIRE TEX 5090'!$B$5:$H$43,IF(L417="F-15",2,IF(L417="F-30",3,IF(L417="F-60",4,IF(L417="F-90",5,IF(L417="F-120",6,IF(L417="F-150",7,0)))))),0),0)+IF(AND(O417="FIRE TEX 5090",OR(E417="IN",E417="C",E417="Z",E417="L"),J417=4),VLOOKUP(_xlfn.MINIFS('FIRE TEX 5090'!$J$5:$J$43,'FIRE TEX 5090'!$J$5:$J$43,"&gt;="&amp;M417),'FIRE TEX 5090'!$J$5:$P$43,IF(L417="F-15",2,IF(L417="F-30",3,IF(L417="F-60",4,IF(L417="F-90",5,IF(L417="F-120",6,IF(L417="F-150",7,0)))))),0),0)+IF(AND(O417="FIRE TEX 5090",E417="CJ",J417=3),VLOOKUP(_xlfn.MINIFS('FIRE TEX 5090'!$R$5:$R$30,'FIRE TEX 5090'!$R$5:$R$30,"&gt;="&amp;M417),'FIRE TEX 5090'!$R$5:$W$30,IF(L417="F-15",2,IF(L417="F-30",3,IF(L417="F-60",4,IF(L417="F-90",5,IF(L417="F-120",6,IF(L417="F-150",7,0)))))),0),0)+IF(AND(O417="FIRE TEX 5090",E417="CJ",J417=4),VLOOKUP(_xlfn.MINIFS('FIRE TEX 5090'!$Y$5:$Y$39,'FIRE TEX 5090'!$Y$5:$Y$39,"&gt;="&amp;M417),'FIRE TEX 5090'!$Y$5:$AD$39,IF(L417="F-15",2,IF(L417="F-30",3,IF(L417="F-60",4,IF(L417="F-90",5,IF(L417="F-120",6,IF(L417="F-150",7,0)))))),0),0)+IF(AND(O417="FIRE TEX 5120",OR(E417="IN",E417="C",E417="Z",E417="L"),J417=3),VLOOKUP(_xlfn.MINIFS('FIRE TEX 5120'!$B$5:$B$40,'FIRE TEX 5120'!$B$5:$B$40,"&gt;="&amp;M417),'FIRE TEX 5120'!$B$5:$G$40,IF(L417="F-15",2,IF(L417="F-30",3,IF(L417="F-60",4,IF(L417="F-90",5,IF(L417="F-120",6,0))))),0),0)+IF(AND(O417="FIRE TEX 5120",OR(E417="IN",E417="C",E417="Z",E417="L"),J417=4),VLOOKUP(_xlfn.MINIFS('FIRE TEX 5120'!$H$4:$H$40,'FIRE TEX 5120'!$H$4:$H$40,"&gt;="&amp;M417),'FIRE TEX 5120'!$H$4:$M$40,IF(L417="F-15",2,IF(L417="F-30",3,IF(L417="F-60",4,IF(L417="F-90",5,IF(L417="F-120",6,0))))),0),0)+IF(AND(O417="FIRE TEX 5120",E417="CJ"),VLOOKUP(_xlfn.MINIFS('FIRE TEX 5120'!$O$5:$O$40,'FIRE TEX 5120'!$O$5:$O$40,"&gt;="&amp;M417),'FIRE TEX 5120'!$O$5:$T$40,IF(L417="F-15",2,IF(L417="F-30",3,IF(L417="F-60",4,IF(L417="F-90",5,IF(L417="F-120",6,0))))),0),0)</f>
        <v>0</v>
      </c>
      <c r="Q417" s="46">
        <f t="shared" si="49"/>
        <v>0</v>
      </c>
      <c r="R417" s="46">
        <f t="shared" si="50"/>
        <v>0</v>
      </c>
      <c r="S417" s="46" t="e">
        <f t="shared" si="51"/>
        <v>#VALUE!</v>
      </c>
      <c r="T417" s="677">
        <f t="shared" si="52"/>
        <v>0</v>
      </c>
      <c r="U417" s="80">
        <f>(IF(O417="Stofire",(S417*#REF!),0))+(IF(O417="Fire Control",(S417*$U$2),0))+(IF(O417="Fire Tex",(S417*$U$3),0))+(IF(O417="WB7",(S417*#REF!),0)+(IF(O417="FX 2003",(S417*$U$5),0)))</f>
        <v>0</v>
      </c>
      <c r="V417" s="651">
        <f t="shared" si="53"/>
        <v>0</v>
      </c>
    </row>
    <row r="418" spans="4:22" x14ac:dyDescent="0.25">
      <c r="D418" s="118">
        <f>+CUBICACION!D417</f>
        <v>0</v>
      </c>
      <c r="E418" s="118">
        <f>+CUBICACION!F417</f>
        <v>0</v>
      </c>
      <c r="F418" s="118">
        <f>+CUBICACION!E417</f>
        <v>0</v>
      </c>
      <c r="G418" s="118">
        <v>12</v>
      </c>
      <c r="H418" s="118">
        <v>2</v>
      </c>
      <c r="I418" s="820">
        <v>26385</v>
      </c>
      <c r="J418" s="118">
        <f>+CUBICACION!J417</f>
        <v>0</v>
      </c>
      <c r="K418" s="118">
        <v>3197</v>
      </c>
      <c r="L418" s="118">
        <f>+CUBICACION!L417</f>
        <v>0</v>
      </c>
      <c r="M418" s="64">
        <f>+CUBICACION!M417</f>
        <v>0</v>
      </c>
      <c r="N418" s="824" t="str">
        <f>+CUBICACION!N417</f>
        <v/>
      </c>
      <c r="O418" s="675">
        <f>+CUBICACION!O417</f>
        <v>0</v>
      </c>
      <c r="P418" s="15">
        <f>IF(O418="Fire Control",VLOOKUP(_xlfn.MINIFS('FIRE CONTROL'!$C$4:$C$37,'FIRE CONTROL'!$C$4:$C$37,"&gt;="&amp;M418),'FIRE CONTROL'!$C$4:$G$37,IF(L418="F-15",2,IF(L418="F-30",3,IF(L418="F-60",4,IF(L418="F-90",5,0)))),0),0)+IF(AND(O418="FIRE TEX 5062",OR(E418="IN",E418="C",E418="Z",E418="L"),J418=3),VLOOKUP(_xlfn.MINIFS('FIRE TEX 5062'!$B$4:$B$34,'FIRE TEX 5062'!$B$4:$B$34,"&gt;="&amp;M418),'FIRE TEX 5062'!$B$4:$F$34,IF(L418="F-15",2,IF(L418="F-30",3,IF(L418="F-60",4,IF(L418="F-90",5,0)))),0),0)+IF(AND(O418="FIRE TEX 5062",OR(E418="IN",E418="C",E418="Z",E418="L"),J418=4),VLOOKUP(_xlfn.MINIFS('FIRE TEX 5062'!$G$4:$G$34,'FIRE TEX 5062'!$G$4:$G$34,"&gt;="&amp;M418),'FIRE TEX 5062'!$G$4:$K$34,IF(L418="F-15",2,IF(L418="F-30",3,IF(L418="F-60",4,IF(L418="F-90",5,0)))),0),0)+IF(AND(O418="FIRE TEX 5062",E418="CJ",J418=3),VLOOKUP(_xlfn.MINIFS('FIRE TEX 5062'!$L$4:$L$34,'FIRE TEX 5062'!$L$4:$L$34,"&gt;="&amp;M418),'FIRE TEX 5062'!$L$4:$P$34,IF(L418="F-15",2,IF(L418="F-30",3,IF(L418="F-60",4,IF(L418="F-90",5,0)))),0),0)+IF(AND(O418="FIRE TEX 5062",E418="CJ",J418=4),VLOOKUP(_xlfn.MINIFS('FIRE TEX 5062'!$Q$3:$Q$34,'FIRE TEX 5062'!$Q$3:$Q$34,"&gt;="&amp;M418),'FIRE TEX 5062'!$Q$3:$U$34,IF(L418="F-15",2,IF(L418="F-30",3,IF(L418="F-60",4,IF(L418="F-90",5,0)))),0),0)+IF(AND(O418="FIRE TEX 5090",OR(E418="IN",E418="C",E418="Z",E418="L"),J418=3),VLOOKUP(_xlfn.MINIFS('FIRE TEX 5090'!$B$5:$B$43,'FIRE TEX 5090'!$B$5:$B$43,"&gt;="&amp;M418),'FIRE TEX 5090'!$B$5:$H$43,IF(L418="F-15",2,IF(L418="F-30",3,IF(L418="F-60",4,IF(L418="F-90",5,IF(L418="F-120",6,IF(L418="F-150",7,0)))))),0),0)+IF(AND(O418="FIRE TEX 5090",OR(E418="IN",E418="C",E418="Z",E418="L"),J418=4),VLOOKUP(_xlfn.MINIFS('FIRE TEX 5090'!$J$5:$J$43,'FIRE TEX 5090'!$J$5:$J$43,"&gt;="&amp;M418),'FIRE TEX 5090'!$J$5:$P$43,IF(L418="F-15",2,IF(L418="F-30",3,IF(L418="F-60",4,IF(L418="F-90",5,IF(L418="F-120",6,IF(L418="F-150",7,0)))))),0),0)+IF(AND(O418="FIRE TEX 5090",E418="CJ",J418=3),VLOOKUP(_xlfn.MINIFS('FIRE TEX 5090'!$R$5:$R$30,'FIRE TEX 5090'!$R$5:$R$30,"&gt;="&amp;M418),'FIRE TEX 5090'!$R$5:$W$30,IF(L418="F-15",2,IF(L418="F-30",3,IF(L418="F-60",4,IF(L418="F-90",5,IF(L418="F-120",6,IF(L418="F-150",7,0)))))),0),0)+IF(AND(O418="FIRE TEX 5090",E418="CJ",J418=4),VLOOKUP(_xlfn.MINIFS('FIRE TEX 5090'!$Y$5:$Y$39,'FIRE TEX 5090'!$Y$5:$Y$39,"&gt;="&amp;M418),'FIRE TEX 5090'!$Y$5:$AD$39,IF(L418="F-15",2,IF(L418="F-30",3,IF(L418="F-60",4,IF(L418="F-90",5,IF(L418="F-120",6,IF(L418="F-150",7,0)))))),0),0)+IF(AND(O418="FIRE TEX 5120",OR(E418="IN",E418="C",E418="Z",E418="L"),J418=3),VLOOKUP(_xlfn.MINIFS('FIRE TEX 5120'!$B$5:$B$40,'FIRE TEX 5120'!$B$5:$B$40,"&gt;="&amp;M418),'FIRE TEX 5120'!$B$5:$G$40,IF(L418="F-15",2,IF(L418="F-30",3,IF(L418="F-60",4,IF(L418="F-90",5,IF(L418="F-120",6,0))))),0),0)+IF(AND(O418="FIRE TEX 5120",OR(E418="IN",E418="C",E418="Z",E418="L"),J418=4),VLOOKUP(_xlfn.MINIFS('FIRE TEX 5120'!$H$4:$H$40,'FIRE TEX 5120'!$H$4:$H$40,"&gt;="&amp;M418),'FIRE TEX 5120'!$H$4:$M$40,IF(L418="F-15",2,IF(L418="F-30",3,IF(L418="F-60",4,IF(L418="F-90",5,IF(L418="F-120",6,0))))),0),0)+IF(AND(O418="FIRE TEX 5120",E418="CJ"),VLOOKUP(_xlfn.MINIFS('FIRE TEX 5120'!$O$5:$O$40,'FIRE TEX 5120'!$O$5:$O$40,"&gt;="&amp;M418),'FIRE TEX 5120'!$O$5:$T$40,IF(L418="F-15",2,IF(L418="F-30",3,IF(L418="F-60",4,IF(L418="F-90",5,IF(L418="F-120",6,0))))),0),0)</f>
        <v>0</v>
      </c>
      <c r="Q418" s="46">
        <f t="shared" si="49"/>
        <v>0</v>
      </c>
      <c r="R418" s="46">
        <f t="shared" si="50"/>
        <v>0</v>
      </c>
      <c r="S418" s="46" t="e">
        <f t="shared" si="51"/>
        <v>#VALUE!</v>
      </c>
      <c r="T418" s="677">
        <f t="shared" si="52"/>
        <v>0</v>
      </c>
      <c r="U418" s="80">
        <f>(IF(O418="Stofire",(S418*#REF!),0))+(IF(O418="Fire Control",(S418*$U$2),0))+(IF(O418="Fire Tex",(S418*$U$3),0))+(IF(O418="WB7",(S418*#REF!),0)+(IF(O418="FX 2003",(S418*$U$5),0)))</f>
        <v>0</v>
      </c>
      <c r="V418" s="651">
        <f t="shared" si="53"/>
        <v>0</v>
      </c>
    </row>
    <row r="419" spans="4:22" x14ac:dyDescent="0.25">
      <c r="D419" s="118">
        <f>+CUBICACION!D418</f>
        <v>0</v>
      </c>
      <c r="E419" s="118">
        <f>+CUBICACION!F418</f>
        <v>0</v>
      </c>
      <c r="F419" s="118">
        <f>+CUBICACION!E418</f>
        <v>0</v>
      </c>
      <c r="G419" s="118">
        <v>12</v>
      </c>
      <c r="H419" s="118">
        <v>2</v>
      </c>
      <c r="I419" s="820">
        <v>26385</v>
      </c>
      <c r="J419" s="118">
        <f>+CUBICACION!J418</f>
        <v>0</v>
      </c>
      <c r="K419" s="118">
        <v>3198</v>
      </c>
      <c r="L419" s="118">
        <f>+CUBICACION!L418</f>
        <v>0</v>
      </c>
      <c r="M419" s="64">
        <f>+CUBICACION!M418</f>
        <v>0</v>
      </c>
      <c r="N419" s="824" t="str">
        <f>+CUBICACION!N418</f>
        <v/>
      </c>
      <c r="O419" s="675">
        <f>+CUBICACION!O418</f>
        <v>0</v>
      </c>
      <c r="P419" s="15">
        <f>IF(O419="Fire Control",VLOOKUP(_xlfn.MINIFS('FIRE CONTROL'!$C$4:$C$37,'FIRE CONTROL'!$C$4:$C$37,"&gt;="&amp;M419),'FIRE CONTROL'!$C$4:$G$37,IF(L419="F-15",2,IF(L419="F-30",3,IF(L419="F-60",4,IF(L419="F-90",5,0)))),0),0)+IF(AND(O419="FIRE TEX 5062",OR(E419="IN",E419="C",E419="Z",E419="L"),J419=3),VLOOKUP(_xlfn.MINIFS('FIRE TEX 5062'!$B$4:$B$34,'FIRE TEX 5062'!$B$4:$B$34,"&gt;="&amp;M419),'FIRE TEX 5062'!$B$4:$F$34,IF(L419="F-15",2,IF(L419="F-30",3,IF(L419="F-60",4,IF(L419="F-90",5,0)))),0),0)+IF(AND(O419="FIRE TEX 5062",OR(E419="IN",E419="C",E419="Z",E419="L"),J419=4),VLOOKUP(_xlfn.MINIFS('FIRE TEX 5062'!$G$4:$G$34,'FIRE TEX 5062'!$G$4:$G$34,"&gt;="&amp;M419),'FIRE TEX 5062'!$G$4:$K$34,IF(L419="F-15",2,IF(L419="F-30",3,IF(L419="F-60",4,IF(L419="F-90",5,0)))),0),0)+IF(AND(O419="FIRE TEX 5062",E419="CJ",J419=3),VLOOKUP(_xlfn.MINIFS('FIRE TEX 5062'!$L$4:$L$34,'FIRE TEX 5062'!$L$4:$L$34,"&gt;="&amp;M419),'FIRE TEX 5062'!$L$4:$P$34,IF(L419="F-15",2,IF(L419="F-30",3,IF(L419="F-60",4,IF(L419="F-90",5,0)))),0),0)+IF(AND(O419="FIRE TEX 5062",E419="CJ",J419=4),VLOOKUP(_xlfn.MINIFS('FIRE TEX 5062'!$Q$3:$Q$34,'FIRE TEX 5062'!$Q$3:$Q$34,"&gt;="&amp;M419),'FIRE TEX 5062'!$Q$3:$U$34,IF(L419="F-15",2,IF(L419="F-30",3,IF(L419="F-60",4,IF(L419="F-90",5,0)))),0),0)+IF(AND(O419="FIRE TEX 5090",OR(E419="IN",E419="C",E419="Z",E419="L"),J419=3),VLOOKUP(_xlfn.MINIFS('FIRE TEX 5090'!$B$5:$B$43,'FIRE TEX 5090'!$B$5:$B$43,"&gt;="&amp;M419),'FIRE TEX 5090'!$B$5:$H$43,IF(L419="F-15",2,IF(L419="F-30",3,IF(L419="F-60",4,IF(L419="F-90",5,IF(L419="F-120",6,IF(L419="F-150",7,0)))))),0),0)+IF(AND(O419="FIRE TEX 5090",OR(E419="IN",E419="C",E419="Z",E419="L"),J419=4),VLOOKUP(_xlfn.MINIFS('FIRE TEX 5090'!$J$5:$J$43,'FIRE TEX 5090'!$J$5:$J$43,"&gt;="&amp;M419),'FIRE TEX 5090'!$J$5:$P$43,IF(L419="F-15",2,IF(L419="F-30",3,IF(L419="F-60",4,IF(L419="F-90",5,IF(L419="F-120",6,IF(L419="F-150",7,0)))))),0),0)+IF(AND(O419="FIRE TEX 5090",E419="CJ",J419=3),VLOOKUP(_xlfn.MINIFS('FIRE TEX 5090'!$R$5:$R$30,'FIRE TEX 5090'!$R$5:$R$30,"&gt;="&amp;M419),'FIRE TEX 5090'!$R$5:$W$30,IF(L419="F-15",2,IF(L419="F-30",3,IF(L419="F-60",4,IF(L419="F-90",5,IF(L419="F-120",6,IF(L419="F-150",7,0)))))),0),0)+IF(AND(O419="FIRE TEX 5090",E419="CJ",J419=4),VLOOKUP(_xlfn.MINIFS('FIRE TEX 5090'!$Y$5:$Y$39,'FIRE TEX 5090'!$Y$5:$Y$39,"&gt;="&amp;M419),'FIRE TEX 5090'!$Y$5:$AD$39,IF(L419="F-15",2,IF(L419="F-30",3,IF(L419="F-60",4,IF(L419="F-90",5,IF(L419="F-120",6,IF(L419="F-150",7,0)))))),0),0)+IF(AND(O419="FIRE TEX 5120",OR(E419="IN",E419="C",E419="Z",E419="L"),J419=3),VLOOKUP(_xlfn.MINIFS('FIRE TEX 5120'!$B$5:$B$40,'FIRE TEX 5120'!$B$5:$B$40,"&gt;="&amp;M419),'FIRE TEX 5120'!$B$5:$G$40,IF(L419="F-15",2,IF(L419="F-30",3,IF(L419="F-60",4,IF(L419="F-90",5,IF(L419="F-120",6,0))))),0),0)+IF(AND(O419="FIRE TEX 5120",OR(E419="IN",E419="C",E419="Z",E419="L"),J419=4),VLOOKUP(_xlfn.MINIFS('FIRE TEX 5120'!$H$4:$H$40,'FIRE TEX 5120'!$H$4:$H$40,"&gt;="&amp;M419),'FIRE TEX 5120'!$H$4:$M$40,IF(L419="F-15",2,IF(L419="F-30",3,IF(L419="F-60",4,IF(L419="F-90",5,IF(L419="F-120",6,0))))),0),0)+IF(AND(O419="FIRE TEX 5120",E419="CJ"),VLOOKUP(_xlfn.MINIFS('FIRE TEX 5120'!$O$5:$O$40,'FIRE TEX 5120'!$O$5:$O$40,"&gt;="&amp;M419),'FIRE TEX 5120'!$O$5:$T$40,IF(L419="F-15",2,IF(L419="F-30",3,IF(L419="F-60",4,IF(L419="F-90",5,IF(L419="F-120",6,0))))),0),0)</f>
        <v>0</v>
      </c>
      <c r="Q419" s="46">
        <f t="shared" si="49"/>
        <v>0</v>
      </c>
      <c r="R419" s="46">
        <f t="shared" si="50"/>
        <v>0</v>
      </c>
      <c r="S419" s="46" t="e">
        <f t="shared" si="51"/>
        <v>#VALUE!</v>
      </c>
      <c r="T419" s="677">
        <f t="shared" si="52"/>
        <v>0</v>
      </c>
      <c r="U419" s="80">
        <f>(IF(O419="Stofire",(S419*#REF!),0))+(IF(O419="Fire Control",(S419*$U$2),0))+(IF(O419="Fire Tex",(S419*$U$3),0))+(IF(O419="WB7",(S419*#REF!),0)+(IF(O419="FX 2003",(S419*$U$5),0)))</f>
        <v>0</v>
      </c>
      <c r="V419" s="651">
        <f t="shared" si="53"/>
        <v>0</v>
      </c>
    </row>
    <row r="420" spans="4:22" x14ac:dyDescent="0.25">
      <c r="D420" s="118">
        <f>+CUBICACION!D419</f>
        <v>0</v>
      </c>
      <c r="E420" s="118">
        <f>+CUBICACION!F419</f>
        <v>0</v>
      </c>
      <c r="F420" s="118">
        <f>+CUBICACION!E419</f>
        <v>0</v>
      </c>
      <c r="G420" s="118">
        <v>12</v>
      </c>
      <c r="H420" s="118">
        <v>2</v>
      </c>
      <c r="I420" s="820">
        <v>26385</v>
      </c>
      <c r="J420" s="118">
        <f>+CUBICACION!J419</f>
        <v>0</v>
      </c>
      <c r="K420" s="118">
        <v>3199</v>
      </c>
      <c r="L420" s="118">
        <f>+CUBICACION!L419</f>
        <v>0</v>
      </c>
      <c r="M420" s="64">
        <f>+CUBICACION!M419</f>
        <v>0</v>
      </c>
      <c r="N420" s="824" t="str">
        <f>+CUBICACION!N419</f>
        <v/>
      </c>
      <c r="O420" s="675">
        <f>+CUBICACION!O419</f>
        <v>0</v>
      </c>
      <c r="P420" s="15">
        <f>IF(O420="Fire Control",VLOOKUP(_xlfn.MINIFS('FIRE CONTROL'!$C$4:$C$37,'FIRE CONTROL'!$C$4:$C$37,"&gt;="&amp;M420),'FIRE CONTROL'!$C$4:$G$37,IF(L420="F-15",2,IF(L420="F-30",3,IF(L420="F-60",4,IF(L420="F-90",5,0)))),0),0)+IF(AND(O420="FIRE TEX 5062",OR(E420="IN",E420="C",E420="Z",E420="L"),J420=3),VLOOKUP(_xlfn.MINIFS('FIRE TEX 5062'!$B$4:$B$34,'FIRE TEX 5062'!$B$4:$B$34,"&gt;="&amp;M420),'FIRE TEX 5062'!$B$4:$F$34,IF(L420="F-15",2,IF(L420="F-30",3,IF(L420="F-60",4,IF(L420="F-90",5,0)))),0),0)+IF(AND(O420="FIRE TEX 5062",OR(E420="IN",E420="C",E420="Z",E420="L"),J420=4),VLOOKUP(_xlfn.MINIFS('FIRE TEX 5062'!$G$4:$G$34,'FIRE TEX 5062'!$G$4:$G$34,"&gt;="&amp;M420),'FIRE TEX 5062'!$G$4:$K$34,IF(L420="F-15",2,IF(L420="F-30",3,IF(L420="F-60",4,IF(L420="F-90",5,0)))),0),0)+IF(AND(O420="FIRE TEX 5062",E420="CJ",J420=3),VLOOKUP(_xlfn.MINIFS('FIRE TEX 5062'!$L$4:$L$34,'FIRE TEX 5062'!$L$4:$L$34,"&gt;="&amp;M420),'FIRE TEX 5062'!$L$4:$P$34,IF(L420="F-15",2,IF(L420="F-30",3,IF(L420="F-60",4,IF(L420="F-90",5,0)))),0),0)+IF(AND(O420="FIRE TEX 5062",E420="CJ",J420=4),VLOOKUP(_xlfn.MINIFS('FIRE TEX 5062'!$Q$3:$Q$34,'FIRE TEX 5062'!$Q$3:$Q$34,"&gt;="&amp;M420),'FIRE TEX 5062'!$Q$3:$U$34,IF(L420="F-15",2,IF(L420="F-30",3,IF(L420="F-60",4,IF(L420="F-90",5,0)))),0),0)+IF(AND(O420="FIRE TEX 5090",OR(E420="IN",E420="C",E420="Z",E420="L"),J420=3),VLOOKUP(_xlfn.MINIFS('FIRE TEX 5090'!$B$5:$B$43,'FIRE TEX 5090'!$B$5:$B$43,"&gt;="&amp;M420),'FIRE TEX 5090'!$B$5:$H$43,IF(L420="F-15",2,IF(L420="F-30",3,IF(L420="F-60",4,IF(L420="F-90",5,IF(L420="F-120",6,IF(L420="F-150",7,0)))))),0),0)+IF(AND(O420="FIRE TEX 5090",OR(E420="IN",E420="C",E420="Z",E420="L"),J420=4),VLOOKUP(_xlfn.MINIFS('FIRE TEX 5090'!$J$5:$J$43,'FIRE TEX 5090'!$J$5:$J$43,"&gt;="&amp;M420),'FIRE TEX 5090'!$J$5:$P$43,IF(L420="F-15",2,IF(L420="F-30",3,IF(L420="F-60",4,IF(L420="F-90",5,IF(L420="F-120",6,IF(L420="F-150",7,0)))))),0),0)+IF(AND(O420="FIRE TEX 5090",E420="CJ",J420=3),VLOOKUP(_xlfn.MINIFS('FIRE TEX 5090'!$R$5:$R$30,'FIRE TEX 5090'!$R$5:$R$30,"&gt;="&amp;M420),'FIRE TEX 5090'!$R$5:$W$30,IF(L420="F-15",2,IF(L420="F-30",3,IF(L420="F-60",4,IF(L420="F-90",5,IF(L420="F-120",6,IF(L420="F-150",7,0)))))),0),0)+IF(AND(O420="FIRE TEX 5090",E420="CJ",J420=4),VLOOKUP(_xlfn.MINIFS('FIRE TEX 5090'!$Y$5:$Y$39,'FIRE TEX 5090'!$Y$5:$Y$39,"&gt;="&amp;M420),'FIRE TEX 5090'!$Y$5:$AD$39,IF(L420="F-15",2,IF(L420="F-30",3,IF(L420="F-60",4,IF(L420="F-90",5,IF(L420="F-120",6,IF(L420="F-150",7,0)))))),0),0)+IF(AND(O420="FIRE TEX 5120",OR(E420="IN",E420="C",E420="Z",E420="L"),J420=3),VLOOKUP(_xlfn.MINIFS('FIRE TEX 5120'!$B$5:$B$40,'FIRE TEX 5120'!$B$5:$B$40,"&gt;="&amp;M420),'FIRE TEX 5120'!$B$5:$G$40,IF(L420="F-15",2,IF(L420="F-30",3,IF(L420="F-60",4,IF(L420="F-90",5,IF(L420="F-120",6,0))))),0),0)+IF(AND(O420="FIRE TEX 5120",OR(E420="IN",E420="C",E420="Z",E420="L"),J420=4),VLOOKUP(_xlfn.MINIFS('FIRE TEX 5120'!$H$4:$H$40,'FIRE TEX 5120'!$H$4:$H$40,"&gt;="&amp;M420),'FIRE TEX 5120'!$H$4:$M$40,IF(L420="F-15",2,IF(L420="F-30",3,IF(L420="F-60",4,IF(L420="F-90",5,IF(L420="F-120",6,0))))),0),0)+IF(AND(O420="FIRE TEX 5120",E420="CJ"),VLOOKUP(_xlfn.MINIFS('FIRE TEX 5120'!$O$5:$O$40,'FIRE TEX 5120'!$O$5:$O$40,"&gt;="&amp;M420),'FIRE TEX 5120'!$O$5:$T$40,IF(L420="F-15",2,IF(L420="F-30",3,IF(L420="F-60",4,IF(L420="F-90",5,IF(L420="F-120",6,0))))),0),0)</f>
        <v>0</v>
      </c>
      <c r="Q420" s="46">
        <f t="shared" si="49"/>
        <v>0</v>
      </c>
      <c r="R420" s="46">
        <f t="shared" si="50"/>
        <v>0</v>
      </c>
      <c r="S420" s="46" t="e">
        <f t="shared" si="51"/>
        <v>#VALUE!</v>
      </c>
      <c r="T420" s="677">
        <f t="shared" si="52"/>
        <v>0</v>
      </c>
      <c r="U420" s="80">
        <f>(IF(O420="Stofire",(S420*#REF!),0))+(IF(O420="Fire Control",(S420*$U$2),0))+(IF(O420="Fire Tex",(S420*$U$3),0))+(IF(O420="WB7",(S420*#REF!),0)+(IF(O420="FX 2003",(S420*$U$5),0)))</f>
        <v>0</v>
      </c>
      <c r="V420" s="651">
        <f t="shared" si="53"/>
        <v>0</v>
      </c>
    </row>
    <row r="421" spans="4:22" x14ac:dyDescent="0.25">
      <c r="D421" s="118">
        <f>+CUBICACION!D420</f>
        <v>0</v>
      </c>
      <c r="E421" s="118">
        <f>+CUBICACION!F420</f>
        <v>0</v>
      </c>
      <c r="F421" s="118">
        <f>+CUBICACION!E420</f>
        <v>0</v>
      </c>
      <c r="G421" s="118">
        <v>12</v>
      </c>
      <c r="H421" s="118">
        <v>2</v>
      </c>
      <c r="I421" s="820">
        <v>26385</v>
      </c>
      <c r="J421" s="118">
        <f>+CUBICACION!J420</f>
        <v>0</v>
      </c>
      <c r="K421" s="118">
        <v>3200</v>
      </c>
      <c r="L421" s="118">
        <f>+CUBICACION!L420</f>
        <v>0</v>
      </c>
      <c r="M421" s="64">
        <f>+CUBICACION!M420</f>
        <v>0</v>
      </c>
      <c r="N421" s="824" t="str">
        <f>+CUBICACION!N420</f>
        <v/>
      </c>
      <c r="O421" s="675">
        <f>+CUBICACION!O420</f>
        <v>0</v>
      </c>
      <c r="P421" s="15">
        <f>IF(O421="Fire Control",VLOOKUP(_xlfn.MINIFS('FIRE CONTROL'!$C$4:$C$37,'FIRE CONTROL'!$C$4:$C$37,"&gt;="&amp;M421),'FIRE CONTROL'!$C$4:$G$37,IF(L421="F-15",2,IF(L421="F-30",3,IF(L421="F-60",4,IF(L421="F-90",5,0)))),0),0)+IF(AND(O421="FIRE TEX 5062",OR(E421="IN",E421="C",E421="Z",E421="L"),J421=3),VLOOKUP(_xlfn.MINIFS('FIRE TEX 5062'!$B$4:$B$34,'FIRE TEX 5062'!$B$4:$B$34,"&gt;="&amp;M421),'FIRE TEX 5062'!$B$4:$F$34,IF(L421="F-15",2,IF(L421="F-30",3,IF(L421="F-60",4,IF(L421="F-90",5,0)))),0),0)+IF(AND(O421="FIRE TEX 5062",OR(E421="IN",E421="C",E421="Z",E421="L"),J421=4),VLOOKUP(_xlfn.MINIFS('FIRE TEX 5062'!$G$4:$G$34,'FIRE TEX 5062'!$G$4:$G$34,"&gt;="&amp;M421),'FIRE TEX 5062'!$G$4:$K$34,IF(L421="F-15",2,IF(L421="F-30",3,IF(L421="F-60",4,IF(L421="F-90",5,0)))),0),0)+IF(AND(O421="FIRE TEX 5062",E421="CJ",J421=3),VLOOKUP(_xlfn.MINIFS('FIRE TEX 5062'!$L$4:$L$34,'FIRE TEX 5062'!$L$4:$L$34,"&gt;="&amp;M421),'FIRE TEX 5062'!$L$4:$P$34,IF(L421="F-15",2,IF(L421="F-30",3,IF(L421="F-60",4,IF(L421="F-90",5,0)))),0),0)+IF(AND(O421="FIRE TEX 5062",E421="CJ",J421=4),VLOOKUP(_xlfn.MINIFS('FIRE TEX 5062'!$Q$3:$Q$34,'FIRE TEX 5062'!$Q$3:$Q$34,"&gt;="&amp;M421),'FIRE TEX 5062'!$Q$3:$U$34,IF(L421="F-15",2,IF(L421="F-30",3,IF(L421="F-60",4,IF(L421="F-90",5,0)))),0),0)+IF(AND(O421="FIRE TEX 5090",OR(E421="IN",E421="C",E421="Z",E421="L"),J421=3),VLOOKUP(_xlfn.MINIFS('FIRE TEX 5090'!$B$5:$B$43,'FIRE TEX 5090'!$B$5:$B$43,"&gt;="&amp;M421),'FIRE TEX 5090'!$B$5:$H$43,IF(L421="F-15",2,IF(L421="F-30",3,IF(L421="F-60",4,IF(L421="F-90",5,IF(L421="F-120",6,IF(L421="F-150",7,0)))))),0),0)+IF(AND(O421="FIRE TEX 5090",OR(E421="IN",E421="C",E421="Z",E421="L"),J421=4),VLOOKUP(_xlfn.MINIFS('FIRE TEX 5090'!$J$5:$J$43,'FIRE TEX 5090'!$J$5:$J$43,"&gt;="&amp;M421),'FIRE TEX 5090'!$J$5:$P$43,IF(L421="F-15",2,IF(L421="F-30",3,IF(L421="F-60",4,IF(L421="F-90",5,IF(L421="F-120",6,IF(L421="F-150",7,0)))))),0),0)+IF(AND(O421="FIRE TEX 5090",E421="CJ",J421=3),VLOOKUP(_xlfn.MINIFS('FIRE TEX 5090'!$R$5:$R$30,'FIRE TEX 5090'!$R$5:$R$30,"&gt;="&amp;M421),'FIRE TEX 5090'!$R$5:$W$30,IF(L421="F-15",2,IF(L421="F-30",3,IF(L421="F-60",4,IF(L421="F-90",5,IF(L421="F-120",6,IF(L421="F-150",7,0)))))),0),0)+IF(AND(O421="FIRE TEX 5090",E421="CJ",J421=4),VLOOKUP(_xlfn.MINIFS('FIRE TEX 5090'!$Y$5:$Y$39,'FIRE TEX 5090'!$Y$5:$Y$39,"&gt;="&amp;M421),'FIRE TEX 5090'!$Y$5:$AD$39,IF(L421="F-15",2,IF(L421="F-30",3,IF(L421="F-60",4,IF(L421="F-90",5,IF(L421="F-120",6,IF(L421="F-150",7,0)))))),0),0)+IF(AND(O421="FIRE TEX 5120",OR(E421="IN",E421="C",E421="Z",E421="L"),J421=3),VLOOKUP(_xlfn.MINIFS('FIRE TEX 5120'!$B$5:$B$40,'FIRE TEX 5120'!$B$5:$B$40,"&gt;="&amp;M421),'FIRE TEX 5120'!$B$5:$G$40,IF(L421="F-15",2,IF(L421="F-30",3,IF(L421="F-60",4,IF(L421="F-90",5,IF(L421="F-120",6,0))))),0),0)+IF(AND(O421="FIRE TEX 5120",OR(E421="IN",E421="C",E421="Z",E421="L"),J421=4),VLOOKUP(_xlfn.MINIFS('FIRE TEX 5120'!$H$4:$H$40,'FIRE TEX 5120'!$H$4:$H$40,"&gt;="&amp;M421),'FIRE TEX 5120'!$H$4:$M$40,IF(L421="F-15",2,IF(L421="F-30",3,IF(L421="F-60",4,IF(L421="F-90",5,IF(L421="F-120",6,0))))),0),0)+IF(AND(O421="FIRE TEX 5120",E421="CJ"),VLOOKUP(_xlfn.MINIFS('FIRE TEX 5120'!$O$5:$O$40,'FIRE TEX 5120'!$O$5:$O$40,"&gt;="&amp;M421),'FIRE TEX 5120'!$O$5:$T$40,IF(L421="F-15",2,IF(L421="F-30",3,IF(L421="F-60",4,IF(L421="F-90",5,IF(L421="F-120",6,0))))),0),0)</f>
        <v>0</v>
      </c>
      <c r="Q421" s="46">
        <f t="shared" si="49"/>
        <v>0</v>
      </c>
      <c r="R421" s="46">
        <f t="shared" si="50"/>
        <v>0</v>
      </c>
      <c r="S421" s="46" t="e">
        <f t="shared" si="51"/>
        <v>#VALUE!</v>
      </c>
      <c r="T421" s="677">
        <f t="shared" si="52"/>
        <v>0</v>
      </c>
      <c r="U421" s="80">
        <f>(IF(O421="Stofire",(S421*#REF!),0))+(IF(O421="Fire Control",(S421*$U$2),0))+(IF(O421="Fire Tex",(S421*$U$3),0))+(IF(O421="WB7",(S421*#REF!),0)+(IF(O421="FX 2003",(S421*$U$5),0)))</f>
        <v>0</v>
      </c>
      <c r="V421" s="651">
        <f t="shared" si="53"/>
        <v>0</v>
      </c>
    </row>
    <row r="422" spans="4:22" x14ac:dyDescent="0.25">
      <c r="D422" s="118">
        <f>+CUBICACION!D421</f>
        <v>0</v>
      </c>
      <c r="E422" s="118">
        <f>+CUBICACION!F421</f>
        <v>0</v>
      </c>
      <c r="F422" s="118">
        <f>+CUBICACION!E421</f>
        <v>0</v>
      </c>
      <c r="G422" s="118">
        <v>12</v>
      </c>
      <c r="H422" s="118">
        <v>2</v>
      </c>
      <c r="I422" s="820">
        <v>26385</v>
      </c>
      <c r="J422" s="118">
        <f>+CUBICACION!J421</f>
        <v>0</v>
      </c>
      <c r="K422" s="118">
        <v>3201</v>
      </c>
      <c r="L422" s="118">
        <f>+CUBICACION!L421</f>
        <v>0</v>
      </c>
      <c r="M422" s="64">
        <f>+CUBICACION!M421</f>
        <v>0</v>
      </c>
      <c r="N422" s="824" t="str">
        <f>+CUBICACION!N421</f>
        <v/>
      </c>
      <c r="O422" s="675">
        <f>+CUBICACION!O421</f>
        <v>0</v>
      </c>
      <c r="P422" s="15">
        <f>IF(O422="Fire Control",VLOOKUP(_xlfn.MINIFS('FIRE CONTROL'!$C$4:$C$37,'FIRE CONTROL'!$C$4:$C$37,"&gt;="&amp;M422),'FIRE CONTROL'!$C$4:$G$37,IF(L422="F-15",2,IF(L422="F-30",3,IF(L422="F-60",4,IF(L422="F-90",5,0)))),0),0)+IF(AND(O422="FIRE TEX 5062",OR(E422="IN",E422="C",E422="Z",E422="L"),J422=3),VLOOKUP(_xlfn.MINIFS('FIRE TEX 5062'!$B$4:$B$34,'FIRE TEX 5062'!$B$4:$B$34,"&gt;="&amp;M422),'FIRE TEX 5062'!$B$4:$F$34,IF(L422="F-15",2,IF(L422="F-30",3,IF(L422="F-60",4,IF(L422="F-90",5,0)))),0),0)+IF(AND(O422="FIRE TEX 5062",OR(E422="IN",E422="C",E422="Z",E422="L"),J422=4),VLOOKUP(_xlfn.MINIFS('FIRE TEX 5062'!$G$4:$G$34,'FIRE TEX 5062'!$G$4:$G$34,"&gt;="&amp;M422),'FIRE TEX 5062'!$G$4:$K$34,IF(L422="F-15",2,IF(L422="F-30",3,IF(L422="F-60",4,IF(L422="F-90",5,0)))),0),0)+IF(AND(O422="FIRE TEX 5062",E422="CJ",J422=3),VLOOKUP(_xlfn.MINIFS('FIRE TEX 5062'!$L$4:$L$34,'FIRE TEX 5062'!$L$4:$L$34,"&gt;="&amp;M422),'FIRE TEX 5062'!$L$4:$P$34,IF(L422="F-15",2,IF(L422="F-30",3,IF(L422="F-60",4,IF(L422="F-90",5,0)))),0),0)+IF(AND(O422="FIRE TEX 5062",E422="CJ",J422=4),VLOOKUP(_xlfn.MINIFS('FIRE TEX 5062'!$Q$3:$Q$34,'FIRE TEX 5062'!$Q$3:$Q$34,"&gt;="&amp;M422),'FIRE TEX 5062'!$Q$3:$U$34,IF(L422="F-15",2,IF(L422="F-30",3,IF(L422="F-60",4,IF(L422="F-90",5,0)))),0),0)+IF(AND(O422="FIRE TEX 5090",OR(E422="IN",E422="C",E422="Z",E422="L"),J422=3),VLOOKUP(_xlfn.MINIFS('FIRE TEX 5090'!$B$5:$B$43,'FIRE TEX 5090'!$B$5:$B$43,"&gt;="&amp;M422),'FIRE TEX 5090'!$B$5:$H$43,IF(L422="F-15",2,IF(L422="F-30",3,IF(L422="F-60",4,IF(L422="F-90",5,IF(L422="F-120",6,IF(L422="F-150",7,0)))))),0),0)+IF(AND(O422="FIRE TEX 5090",OR(E422="IN",E422="C",E422="Z",E422="L"),J422=4),VLOOKUP(_xlfn.MINIFS('FIRE TEX 5090'!$J$5:$J$43,'FIRE TEX 5090'!$J$5:$J$43,"&gt;="&amp;M422),'FIRE TEX 5090'!$J$5:$P$43,IF(L422="F-15",2,IF(L422="F-30",3,IF(L422="F-60",4,IF(L422="F-90",5,IF(L422="F-120",6,IF(L422="F-150",7,0)))))),0),0)+IF(AND(O422="FIRE TEX 5090",E422="CJ",J422=3),VLOOKUP(_xlfn.MINIFS('FIRE TEX 5090'!$R$5:$R$30,'FIRE TEX 5090'!$R$5:$R$30,"&gt;="&amp;M422),'FIRE TEX 5090'!$R$5:$W$30,IF(L422="F-15",2,IF(L422="F-30",3,IF(L422="F-60",4,IF(L422="F-90",5,IF(L422="F-120",6,IF(L422="F-150",7,0)))))),0),0)+IF(AND(O422="FIRE TEX 5090",E422="CJ",J422=4),VLOOKUP(_xlfn.MINIFS('FIRE TEX 5090'!$Y$5:$Y$39,'FIRE TEX 5090'!$Y$5:$Y$39,"&gt;="&amp;M422),'FIRE TEX 5090'!$Y$5:$AD$39,IF(L422="F-15",2,IF(L422="F-30",3,IF(L422="F-60",4,IF(L422="F-90",5,IF(L422="F-120",6,IF(L422="F-150",7,0)))))),0),0)+IF(AND(O422="FIRE TEX 5120",OR(E422="IN",E422="C",E422="Z",E422="L"),J422=3),VLOOKUP(_xlfn.MINIFS('FIRE TEX 5120'!$B$5:$B$40,'FIRE TEX 5120'!$B$5:$B$40,"&gt;="&amp;M422),'FIRE TEX 5120'!$B$5:$G$40,IF(L422="F-15",2,IF(L422="F-30",3,IF(L422="F-60",4,IF(L422="F-90",5,IF(L422="F-120",6,0))))),0),0)+IF(AND(O422="FIRE TEX 5120",OR(E422="IN",E422="C",E422="Z",E422="L"),J422=4),VLOOKUP(_xlfn.MINIFS('FIRE TEX 5120'!$H$4:$H$40,'FIRE TEX 5120'!$H$4:$H$40,"&gt;="&amp;M422),'FIRE TEX 5120'!$H$4:$M$40,IF(L422="F-15",2,IF(L422="F-30",3,IF(L422="F-60",4,IF(L422="F-90",5,IF(L422="F-120",6,0))))),0),0)+IF(AND(O422="FIRE TEX 5120",E422="CJ"),VLOOKUP(_xlfn.MINIFS('FIRE TEX 5120'!$O$5:$O$40,'FIRE TEX 5120'!$O$5:$O$40,"&gt;="&amp;M422),'FIRE TEX 5120'!$O$5:$T$40,IF(L422="F-15",2,IF(L422="F-30",3,IF(L422="F-60",4,IF(L422="F-90",5,IF(L422="F-120",6,0))))),0),0)</f>
        <v>0</v>
      </c>
      <c r="Q422" s="46">
        <f t="shared" si="49"/>
        <v>0</v>
      </c>
      <c r="R422" s="46">
        <f t="shared" si="50"/>
        <v>0</v>
      </c>
      <c r="S422" s="46" t="e">
        <f t="shared" si="51"/>
        <v>#VALUE!</v>
      </c>
      <c r="T422" s="677">
        <f t="shared" si="52"/>
        <v>0</v>
      </c>
      <c r="U422" s="80">
        <f>(IF(O422="Stofire",(S422*#REF!),0))+(IF(O422="Fire Control",(S422*$U$2),0))+(IF(O422="Fire Tex",(S422*$U$3),0))+(IF(O422="WB7",(S422*#REF!),0)+(IF(O422="FX 2003",(S422*$U$5),0)))</f>
        <v>0</v>
      </c>
      <c r="V422" s="651">
        <f t="shared" si="53"/>
        <v>0</v>
      </c>
    </row>
    <row r="423" spans="4:22" x14ac:dyDescent="0.25">
      <c r="D423" s="118">
        <f>+CUBICACION!D422</f>
        <v>0</v>
      </c>
      <c r="E423" s="118">
        <f>+CUBICACION!F422</f>
        <v>0</v>
      </c>
      <c r="F423" s="118">
        <f>+CUBICACION!E422</f>
        <v>0</v>
      </c>
      <c r="G423" s="118">
        <v>12</v>
      </c>
      <c r="H423" s="118">
        <v>2</v>
      </c>
      <c r="I423" s="820">
        <v>26385</v>
      </c>
      <c r="J423" s="118">
        <f>+CUBICACION!J422</f>
        <v>0</v>
      </c>
      <c r="K423" s="118">
        <v>3202</v>
      </c>
      <c r="L423" s="118">
        <f>+CUBICACION!L422</f>
        <v>0</v>
      </c>
      <c r="M423" s="64">
        <f>+CUBICACION!M422</f>
        <v>0</v>
      </c>
      <c r="N423" s="824" t="str">
        <f>+CUBICACION!N422</f>
        <v/>
      </c>
      <c r="O423" s="675">
        <f>+CUBICACION!O422</f>
        <v>0</v>
      </c>
      <c r="P423" s="15">
        <f>IF(O423="Fire Control",VLOOKUP(_xlfn.MINIFS('FIRE CONTROL'!$C$4:$C$37,'FIRE CONTROL'!$C$4:$C$37,"&gt;="&amp;M423),'FIRE CONTROL'!$C$4:$G$37,IF(L423="F-15",2,IF(L423="F-30",3,IF(L423="F-60",4,IF(L423="F-90",5,0)))),0),0)+IF(AND(O423="FIRE TEX 5062",OR(E423="IN",E423="C",E423="Z",E423="L"),J423=3),VLOOKUP(_xlfn.MINIFS('FIRE TEX 5062'!$B$4:$B$34,'FIRE TEX 5062'!$B$4:$B$34,"&gt;="&amp;M423),'FIRE TEX 5062'!$B$4:$F$34,IF(L423="F-15",2,IF(L423="F-30",3,IF(L423="F-60",4,IF(L423="F-90",5,0)))),0),0)+IF(AND(O423="FIRE TEX 5062",OR(E423="IN",E423="C",E423="Z",E423="L"),J423=4),VLOOKUP(_xlfn.MINIFS('FIRE TEX 5062'!$G$4:$G$34,'FIRE TEX 5062'!$G$4:$G$34,"&gt;="&amp;M423),'FIRE TEX 5062'!$G$4:$K$34,IF(L423="F-15",2,IF(L423="F-30",3,IF(L423="F-60",4,IF(L423="F-90",5,0)))),0),0)+IF(AND(O423="FIRE TEX 5062",E423="CJ",J423=3),VLOOKUP(_xlfn.MINIFS('FIRE TEX 5062'!$L$4:$L$34,'FIRE TEX 5062'!$L$4:$L$34,"&gt;="&amp;M423),'FIRE TEX 5062'!$L$4:$P$34,IF(L423="F-15",2,IF(L423="F-30",3,IF(L423="F-60",4,IF(L423="F-90",5,0)))),0),0)+IF(AND(O423="FIRE TEX 5062",E423="CJ",J423=4),VLOOKUP(_xlfn.MINIFS('FIRE TEX 5062'!$Q$3:$Q$34,'FIRE TEX 5062'!$Q$3:$Q$34,"&gt;="&amp;M423),'FIRE TEX 5062'!$Q$3:$U$34,IF(L423="F-15",2,IF(L423="F-30",3,IF(L423="F-60",4,IF(L423="F-90",5,0)))),0),0)+IF(AND(O423="FIRE TEX 5090",OR(E423="IN",E423="C",E423="Z",E423="L"),J423=3),VLOOKUP(_xlfn.MINIFS('FIRE TEX 5090'!$B$5:$B$43,'FIRE TEX 5090'!$B$5:$B$43,"&gt;="&amp;M423),'FIRE TEX 5090'!$B$5:$H$43,IF(L423="F-15",2,IF(L423="F-30",3,IF(L423="F-60",4,IF(L423="F-90",5,IF(L423="F-120",6,IF(L423="F-150",7,0)))))),0),0)+IF(AND(O423="FIRE TEX 5090",OR(E423="IN",E423="C",E423="Z",E423="L"),J423=4),VLOOKUP(_xlfn.MINIFS('FIRE TEX 5090'!$J$5:$J$43,'FIRE TEX 5090'!$J$5:$J$43,"&gt;="&amp;M423),'FIRE TEX 5090'!$J$5:$P$43,IF(L423="F-15",2,IF(L423="F-30",3,IF(L423="F-60",4,IF(L423="F-90",5,IF(L423="F-120",6,IF(L423="F-150",7,0)))))),0),0)+IF(AND(O423="FIRE TEX 5090",E423="CJ",J423=3),VLOOKUP(_xlfn.MINIFS('FIRE TEX 5090'!$R$5:$R$30,'FIRE TEX 5090'!$R$5:$R$30,"&gt;="&amp;M423),'FIRE TEX 5090'!$R$5:$W$30,IF(L423="F-15",2,IF(L423="F-30",3,IF(L423="F-60",4,IF(L423="F-90",5,IF(L423="F-120",6,IF(L423="F-150",7,0)))))),0),0)+IF(AND(O423="FIRE TEX 5090",E423="CJ",J423=4),VLOOKUP(_xlfn.MINIFS('FIRE TEX 5090'!$Y$5:$Y$39,'FIRE TEX 5090'!$Y$5:$Y$39,"&gt;="&amp;M423),'FIRE TEX 5090'!$Y$5:$AD$39,IF(L423="F-15",2,IF(L423="F-30",3,IF(L423="F-60",4,IF(L423="F-90",5,IF(L423="F-120",6,IF(L423="F-150",7,0)))))),0),0)+IF(AND(O423="FIRE TEX 5120",OR(E423="IN",E423="C",E423="Z",E423="L"),J423=3),VLOOKUP(_xlfn.MINIFS('FIRE TEX 5120'!$B$5:$B$40,'FIRE TEX 5120'!$B$5:$B$40,"&gt;="&amp;M423),'FIRE TEX 5120'!$B$5:$G$40,IF(L423="F-15",2,IF(L423="F-30",3,IF(L423="F-60",4,IF(L423="F-90",5,IF(L423="F-120",6,0))))),0),0)+IF(AND(O423="FIRE TEX 5120",OR(E423="IN",E423="C",E423="Z",E423="L"),J423=4),VLOOKUP(_xlfn.MINIFS('FIRE TEX 5120'!$H$4:$H$40,'FIRE TEX 5120'!$H$4:$H$40,"&gt;="&amp;M423),'FIRE TEX 5120'!$H$4:$M$40,IF(L423="F-15",2,IF(L423="F-30",3,IF(L423="F-60",4,IF(L423="F-90",5,IF(L423="F-120",6,0))))),0),0)+IF(AND(O423="FIRE TEX 5120",E423="CJ"),VLOOKUP(_xlfn.MINIFS('FIRE TEX 5120'!$O$5:$O$40,'FIRE TEX 5120'!$O$5:$O$40,"&gt;="&amp;M423),'FIRE TEX 5120'!$O$5:$T$40,IF(L423="F-15",2,IF(L423="F-30",3,IF(L423="F-60",4,IF(L423="F-90",5,IF(L423="F-120",6,0))))),0),0)</f>
        <v>0</v>
      </c>
      <c r="Q423" s="46">
        <f t="shared" si="49"/>
        <v>0</v>
      </c>
      <c r="R423" s="46">
        <f t="shared" si="50"/>
        <v>0</v>
      </c>
      <c r="S423" s="46" t="e">
        <f t="shared" si="51"/>
        <v>#VALUE!</v>
      </c>
      <c r="T423" s="677">
        <f t="shared" si="52"/>
        <v>0</v>
      </c>
      <c r="U423" s="80">
        <f>(IF(O423="Stofire",(S423*#REF!),0))+(IF(O423="Fire Control",(S423*$U$2),0))+(IF(O423="Fire Tex",(S423*$U$3),0))+(IF(O423="WB7",(S423*#REF!),0)+(IF(O423="FX 2003",(S423*$U$5),0)))</f>
        <v>0</v>
      </c>
      <c r="V423" s="651">
        <f t="shared" si="53"/>
        <v>0</v>
      </c>
    </row>
    <row r="424" spans="4:22" x14ac:dyDescent="0.25">
      <c r="D424" s="118">
        <f>+CUBICACION!D423</f>
        <v>0</v>
      </c>
      <c r="E424" s="118">
        <f>+CUBICACION!F423</f>
        <v>0</v>
      </c>
      <c r="F424" s="118">
        <f>+CUBICACION!E423</f>
        <v>0</v>
      </c>
      <c r="G424" s="118">
        <v>12</v>
      </c>
      <c r="H424" s="118">
        <v>2</v>
      </c>
      <c r="I424" s="820">
        <v>26385</v>
      </c>
      <c r="J424" s="118">
        <f>+CUBICACION!J423</f>
        <v>0</v>
      </c>
      <c r="K424" s="118">
        <v>3203</v>
      </c>
      <c r="L424" s="118">
        <f>+CUBICACION!L423</f>
        <v>0</v>
      </c>
      <c r="M424" s="64">
        <f>+CUBICACION!M423</f>
        <v>0</v>
      </c>
      <c r="N424" s="824" t="str">
        <f>+CUBICACION!N423</f>
        <v/>
      </c>
      <c r="O424" s="675">
        <f>+CUBICACION!O423</f>
        <v>0</v>
      </c>
      <c r="P424" s="15">
        <f>IF(O424="Fire Control",VLOOKUP(_xlfn.MINIFS('FIRE CONTROL'!$C$4:$C$37,'FIRE CONTROL'!$C$4:$C$37,"&gt;="&amp;M424),'FIRE CONTROL'!$C$4:$G$37,IF(L424="F-15",2,IF(L424="F-30",3,IF(L424="F-60",4,IF(L424="F-90",5,0)))),0),0)+IF(AND(O424="FIRE TEX 5062",OR(E424="IN",E424="C",E424="Z",E424="L"),J424=3),VLOOKUP(_xlfn.MINIFS('FIRE TEX 5062'!$B$4:$B$34,'FIRE TEX 5062'!$B$4:$B$34,"&gt;="&amp;M424),'FIRE TEX 5062'!$B$4:$F$34,IF(L424="F-15",2,IF(L424="F-30",3,IF(L424="F-60",4,IF(L424="F-90",5,0)))),0),0)+IF(AND(O424="FIRE TEX 5062",OR(E424="IN",E424="C",E424="Z",E424="L"),J424=4),VLOOKUP(_xlfn.MINIFS('FIRE TEX 5062'!$G$4:$G$34,'FIRE TEX 5062'!$G$4:$G$34,"&gt;="&amp;M424),'FIRE TEX 5062'!$G$4:$K$34,IF(L424="F-15",2,IF(L424="F-30",3,IF(L424="F-60",4,IF(L424="F-90",5,0)))),0),0)+IF(AND(O424="FIRE TEX 5062",E424="CJ",J424=3),VLOOKUP(_xlfn.MINIFS('FIRE TEX 5062'!$L$4:$L$34,'FIRE TEX 5062'!$L$4:$L$34,"&gt;="&amp;M424),'FIRE TEX 5062'!$L$4:$P$34,IF(L424="F-15",2,IF(L424="F-30",3,IF(L424="F-60",4,IF(L424="F-90",5,0)))),0),0)+IF(AND(O424="FIRE TEX 5062",E424="CJ",J424=4),VLOOKUP(_xlfn.MINIFS('FIRE TEX 5062'!$Q$3:$Q$34,'FIRE TEX 5062'!$Q$3:$Q$34,"&gt;="&amp;M424),'FIRE TEX 5062'!$Q$3:$U$34,IF(L424="F-15",2,IF(L424="F-30",3,IF(L424="F-60",4,IF(L424="F-90",5,0)))),0),0)+IF(AND(O424="FIRE TEX 5090",OR(E424="IN",E424="C",E424="Z",E424="L"),J424=3),VLOOKUP(_xlfn.MINIFS('FIRE TEX 5090'!$B$5:$B$43,'FIRE TEX 5090'!$B$5:$B$43,"&gt;="&amp;M424),'FIRE TEX 5090'!$B$5:$H$43,IF(L424="F-15",2,IF(L424="F-30",3,IF(L424="F-60",4,IF(L424="F-90",5,IF(L424="F-120",6,IF(L424="F-150",7,0)))))),0),0)+IF(AND(O424="FIRE TEX 5090",OR(E424="IN",E424="C",E424="Z",E424="L"),J424=4),VLOOKUP(_xlfn.MINIFS('FIRE TEX 5090'!$J$5:$J$43,'FIRE TEX 5090'!$J$5:$J$43,"&gt;="&amp;M424),'FIRE TEX 5090'!$J$5:$P$43,IF(L424="F-15",2,IF(L424="F-30",3,IF(L424="F-60",4,IF(L424="F-90",5,IF(L424="F-120",6,IF(L424="F-150",7,0)))))),0),0)+IF(AND(O424="FIRE TEX 5090",E424="CJ",J424=3),VLOOKUP(_xlfn.MINIFS('FIRE TEX 5090'!$R$5:$R$30,'FIRE TEX 5090'!$R$5:$R$30,"&gt;="&amp;M424),'FIRE TEX 5090'!$R$5:$W$30,IF(L424="F-15",2,IF(L424="F-30",3,IF(L424="F-60",4,IF(L424="F-90",5,IF(L424="F-120",6,IF(L424="F-150",7,0)))))),0),0)+IF(AND(O424="FIRE TEX 5090",E424="CJ",J424=4),VLOOKUP(_xlfn.MINIFS('FIRE TEX 5090'!$Y$5:$Y$39,'FIRE TEX 5090'!$Y$5:$Y$39,"&gt;="&amp;M424),'FIRE TEX 5090'!$Y$5:$AD$39,IF(L424="F-15",2,IF(L424="F-30",3,IF(L424="F-60",4,IF(L424="F-90",5,IF(L424="F-120",6,IF(L424="F-150",7,0)))))),0),0)+IF(AND(O424="FIRE TEX 5120",OR(E424="IN",E424="C",E424="Z",E424="L"),J424=3),VLOOKUP(_xlfn.MINIFS('FIRE TEX 5120'!$B$5:$B$40,'FIRE TEX 5120'!$B$5:$B$40,"&gt;="&amp;M424),'FIRE TEX 5120'!$B$5:$G$40,IF(L424="F-15",2,IF(L424="F-30",3,IF(L424="F-60",4,IF(L424="F-90",5,IF(L424="F-120",6,0))))),0),0)+IF(AND(O424="FIRE TEX 5120",OR(E424="IN",E424="C",E424="Z",E424="L"),J424=4),VLOOKUP(_xlfn.MINIFS('FIRE TEX 5120'!$H$4:$H$40,'FIRE TEX 5120'!$H$4:$H$40,"&gt;="&amp;M424),'FIRE TEX 5120'!$H$4:$M$40,IF(L424="F-15",2,IF(L424="F-30",3,IF(L424="F-60",4,IF(L424="F-90",5,IF(L424="F-120",6,0))))),0),0)+IF(AND(O424="FIRE TEX 5120",E424="CJ"),VLOOKUP(_xlfn.MINIFS('FIRE TEX 5120'!$O$5:$O$40,'FIRE TEX 5120'!$O$5:$O$40,"&gt;="&amp;M424),'FIRE TEX 5120'!$O$5:$T$40,IF(L424="F-15",2,IF(L424="F-30",3,IF(L424="F-60",4,IF(L424="F-90",5,IF(L424="F-120",6,0))))),0),0)</f>
        <v>0</v>
      </c>
      <c r="Q424" s="46">
        <f t="shared" si="49"/>
        <v>0</v>
      </c>
      <c r="R424" s="46">
        <f t="shared" si="50"/>
        <v>0</v>
      </c>
      <c r="S424" s="46" t="e">
        <f t="shared" si="51"/>
        <v>#VALUE!</v>
      </c>
      <c r="T424" s="677">
        <f t="shared" si="52"/>
        <v>0</v>
      </c>
      <c r="U424" s="80">
        <f>(IF(O424="Stofire",(S424*#REF!),0))+(IF(O424="Fire Control",(S424*$U$2),0))+(IF(O424="Fire Tex",(S424*$U$3),0))+(IF(O424="WB7",(S424*#REF!),0)+(IF(O424="FX 2003",(S424*$U$5),0)))</f>
        <v>0</v>
      </c>
      <c r="V424" s="651">
        <f t="shared" si="53"/>
        <v>0</v>
      </c>
    </row>
    <row r="425" spans="4:22" x14ac:dyDescent="0.25">
      <c r="D425" s="118">
        <f>+CUBICACION!D424</f>
        <v>0</v>
      </c>
      <c r="E425" s="118">
        <f>+CUBICACION!F424</f>
        <v>0</v>
      </c>
      <c r="F425" s="118">
        <f>+CUBICACION!E424</f>
        <v>0</v>
      </c>
      <c r="G425" s="118">
        <v>12</v>
      </c>
      <c r="H425" s="118">
        <v>2</v>
      </c>
      <c r="I425" s="820">
        <v>26385</v>
      </c>
      <c r="J425" s="118">
        <f>+CUBICACION!J424</f>
        <v>0</v>
      </c>
      <c r="K425" s="118">
        <v>3204</v>
      </c>
      <c r="L425" s="118">
        <f>+CUBICACION!L424</f>
        <v>0</v>
      </c>
      <c r="M425" s="64">
        <f>+CUBICACION!M424</f>
        <v>0</v>
      </c>
      <c r="N425" s="824" t="str">
        <f>+CUBICACION!N424</f>
        <v/>
      </c>
      <c r="O425" s="675">
        <f>+CUBICACION!O424</f>
        <v>0</v>
      </c>
      <c r="P425" s="15">
        <f>IF(O425="Fire Control",VLOOKUP(_xlfn.MINIFS('FIRE CONTROL'!$C$4:$C$37,'FIRE CONTROL'!$C$4:$C$37,"&gt;="&amp;M425),'FIRE CONTROL'!$C$4:$G$37,IF(L425="F-15",2,IF(L425="F-30",3,IF(L425="F-60",4,IF(L425="F-90",5,0)))),0),0)+IF(AND(O425="FIRE TEX 5062",OR(E425="IN",E425="C",E425="Z",E425="L"),J425=3),VLOOKUP(_xlfn.MINIFS('FIRE TEX 5062'!$B$4:$B$34,'FIRE TEX 5062'!$B$4:$B$34,"&gt;="&amp;M425),'FIRE TEX 5062'!$B$4:$F$34,IF(L425="F-15",2,IF(L425="F-30",3,IF(L425="F-60",4,IF(L425="F-90",5,0)))),0),0)+IF(AND(O425="FIRE TEX 5062",OR(E425="IN",E425="C",E425="Z",E425="L"),J425=4),VLOOKUP(_xlfn.MINIFS('FIRE TEX 5062'!$G$4:$G$34,'FIRE TEX 5062'!$G$4:$G$34,"&gt;="&amp;M425),'FIRE TEX 5062'!$G$4:$K$34,IF(L425="F-15",2,IF(L425="F-30",3,IF(L425="F-60",4,IF(L425="F-90",5,0)))),0),0)+IF(AND(O425="FIRE TEX 5062",E425="CJ",J425=3),VLOOKUP(_xlfn.MINIFS('FIRE TEX 5062'!$L$4:$L$34,'FIRE TEX 5062'!$L$4:$L$34,"&gt;="&amp;M425),'FIRE TEX 5062'!$L$4:$P$34,IF(L425="F-15",2,IF(L425="F-30",3,IF(L425="F-60",4,IF(L425="F-90",5,0)))),0),0)+IF(AND(O425="FIRE TEX 5062",E425="CJ",J425=4),VLOOKUP(_xlfn.MINIFS('FIRE TEX 5062'!$Q$3:$Q$34,'FIRE TEX 5062'!$Q$3:$Q$34,"&gt;="&amp;M425),'FIRE TEX 5062'!$Q$3:$U$34,IF(L425="F-15",2,IF(L425="F-30",3,IF(L425="F-60",4,IF(L425="F-90",5,0)))),0),0)+IF(AND(O425="FIRE TEX 5090",OR(E425="IN",E425="C",E425="Z",E425="L"),J425=3),VLOOKUP(_xlfn.MINIFS('FIRE TEX 5090'!$B$5:$B$43,'FIRE TEX 5090'!$B$5:$B$43,"&gt;="&amp;M425),'FIRE TEX 5090'!$B$5:$H$43,IF(L425="F-15",2,IF(L425="F-30",3,IF(L425="F-60",4,IF(L425="F-90",5,IF(L425="F-120",6,IF(L425="F-150",7,0)))))),0),0)+IF(AND(O425="FIRE TEX 5090",OR(E425="IN",E425="C",E425="Z",E425="L"),J425=4),VLOOKUP(_xlfn.MINIFS('FIRE TEX 5090'!$J$5:$J$43,'FIRE TEX 5090'!$J$5:$J$43,"&gt;="&amp;M425),'FIRE TEX 5090'!$J$5:$P$43,IF(L425="F-15",2,IF(L425="F-30",3,IF(L425="F-60",4,IF(L425="F-90",5,IF(L425="F-120",6,IF(L425="F-150",7,0)))))),0),0)+IF(AND(O425="FIRE TEX 5090",E425="CJ",J425=3),VLOOKUP(_xlfn.MINIFS('FIRE TEX 5090'!$R$5:$R$30,'FIRE TEX 5090'!$R$5:$R$30,"&gt;="&amp;M425),'FIRE TEX 5090'!$R$5:$W$30,IF(L425="F-15",2,IF(L425="F-30",3,IF(L425="F-60",4,IF(L425="F-90",5,IF(L425="F-120",6,IF(L425="F-150",7,0)))))),0),0)+IF(AND(O425="FIRE TEX 5090",E425="CJ",J425=4),VLOOKUP(_xlfn.MINIFS('FIRE TEX 5090'!$Y$5:$Y$39,'FIRE TEX 5090'!$Y$5:$Y$39,"&gt;="&amp;M425),'FIRE TEX 5090'!$Y$5:$AD$39,IF(L425="F-15",2,IF(L425="F-30",3,IF(L425="F-60",4,IF(L425="F-90",5,IF(L425="F-120",6,IF(L425="F-150",7,0)))))),0),0)+IF(AND(O425="FIRE TEX 5120",OR(E425="IN",E425="C",E425="Z",E425="L"),J425=3),VLOOKUP(_xlfn.MINIFS('FIRE TEX 5120'!$B$5:$B$40,'FIRE TEX 5120'!$B$5:$B$40,"&gt;="&amp;M425),'FIRE TEX 5120'!$B$5:$G$40,IF(L425="F-15",2,IF(L425="F-30",3,IF(L425="F-60",4,IF(L425="F-90",5,IF(L425="F-120",6,0))))),0),0)+IF(AND(O425="FIRE TEX 5120",OR(E425="IN",E425="C",E425="Z",E425="L"),J425=4),VLOOKUP(_xlfn.MINIFS('FIRE TEX 5120'!$H$4:$H$40,'FIRE TEX 5120'!$H$4:$H$40,"&gt;="&amp;M425),'FIRE TEX 5120'!$H$4:$M$40,IF(L425="F-15",2,IF(L425="F-30",3,IF(L425="F-60",4,IF(L425="F-90",5,IF(L425="F-120",6,0))))),0),0)+IF(AND(O425="FIRE TEX 5120",E425="CJ"),VLOOKUP(_xlfn.MINIFS('FIRE TEX 5120'!$O$5:$O$40,'FIRE TEX 5120'!$O$5:$O$40,"&gt;="&amp;M425),'FIRE TEX 5120'!$O$5:$T$40,IF(L425="F-15",2,IF(L425="F-30",3,IF(L425="F-60",4,IF(L425="F-90",5,IF(L425="F-120",6,0))))),0),0)</f>
        <v>0</v>
      </c>
      <c r="Q425" s="46">
        <f t="shared" si="49"/>
        <v>0</v>
      </c>
      <c r="R425" s="46">
        <f t="shared" si="50"/>
        <v>0</v>
      </c>
      <c r="S425" s="46" t="e">
        <f t="shared" si="51"/>
        <v>#VALUE!</v>
      </c>
      <c r="T425" s="677">
        <f t="shared" si="52"/>
        <v>0</v>
      </c>
      <c r="U425" s="80">
        <f>(IF(O425="Stofire",(S425*#REF!),0))+(IF(O425="Fire Control",(S425*$U$2),0))+(IF(O425="Fire Tex",(S425*$U$3),0))+(IF(O425="WB7",(S425*#REF!),0)+(IF(O425="FX 2003",(S425*$U$5),0)))</f>
        <v>0</v>
      </c>
      <c r="V425" s="651">
        <f t="shared" si="53"/>
        <v>0</v>
      </c>
    </row>
    <row r="426" spans="4:22" x14ac:dyDescent="0.25">
      <c r="D426" s="118">
        <f>+CUBICACION!D425</f>
        <v>0</v>
      </c>
      <c r="E426" s="118">
        <f>+CUBICACION!F425</f>
        <v>0</v>
      </c>
      <c r="F426" s="118">
        <f>+CUBICACION!E425</f>
        <v>0</v>
      </c>
      <c r="G426" s="118">
        <v>12</v>
      </c>
      <c r="H426" s="118">
        <v>2</v>
      </c>
      <c r="I426" s="820">
        <v>26385</v>
      </c>
      <c r="J426" s="118">
        <f>+CUBICACION!J425</f>
        <v>0</v>
      </c>
      <c r="K426" s="118">
        <v>3205</v>
      </c>
      <c r="L426" s="118">
        <f>+CUBICACION!L425</f>
        <v>0</v>
      </c>
      <c r="M426" s="64">
        <f>+CUBICACION!M425</f>
        <v>0</v>
      </c>
      <c r="N426" s="824" t="str">
        <f>+CUBICACION!N425</f>
        <v/>
      </c>
      <c r="O426" s="675">
        <f>+CUBICACION!O425</f>
        <v>0</v>
      </c>
      <c r="P426" s="15">
        <f>IF(O426="Fire Control",VLOOKUP(_xlfn.MINIFS('FIRE CONTROL'!$C$4:$C$37,'FIRE CONTROL'!$C$4:$C$37,"&gt;="&amp;M426),'FIRE CONTROL'!$C$4:$G$37,IF(L426="F-15",2,IF(L426="F-30",3,IF(L426="F-60",4,IF(L426="F-90",5,0)))),0),0)+IF(AND(O426="FIRE TEX 5062",OR(E426="IN",E426="C",E426="Z",E426="L"),J426=3),VLOOKUP(_xlfn.MINIFS('FIRE TEX 5062'!$B$4:$B$34,'FIRE TEX 5062'!$B$4:$B$34,"&gt;="&amp;M426),'FIRE TEX 5062'!$B$4:$F$34,IF(L426="F-15",2,IF(L426="F-30",3,IF(L426="F-60",4,IF(L426="F-90",5,0)))),0),0)+IF(AND(O426="FIRE TEX 5062",OR(E426="IN",E426="C",E426="Z",E426="L"),J426=4),VLOOKUP(_xlfn.MINIFS('FIRE TEX 5062'!$G$4:$G$34,'FIRE TEX 5062'!$G$4:$G$34,"&gt;="&amp;M426),'FIRE TEX 5062'!$G$4:$K$34,IF(L426="F-15",2,IF(L426="F-30",3,IF(L426="F-60",4,IF(L426="F-90",5,0)))),0),0)+IF(AND(O426="FIRE TEX 5062",E426="CJ",J426=3),VLOOKUP(_xlfn.MINIFS('FIRE TEX 5062'!$L$4:$L$34,'FIRE TEX 5062'!$L$4:$L$34,"&gt;="&amp;M426),'FIRE TEX 5062'!$L$4:$P$34,IF(L426="F-15",2,IF(L426="F-30",3,IF(L426="F-60",4,IF(L426="F-90",5,0)))),0),0)+IF(AND(O426="FIRE TEX 5062",E426="CJ",J426=4),VLOOKUP(_xlfn.MINIFS('FIRE TEX 5062'!$Q$3:$Q$34,'FIRE TEX 5062'!$Q$3:$Q$34,"&gt;="&amp;M426),'FIRE TEX 5062'!$Q$3:$U$34,IF(L426="F-15",2,IF(L426="F-30",3,IF(L426="F-60",4,IF(L426="F-90",5,0)))),0),0)+IF(AND(O426="FIRE TEX 5090",OR(E426="IN",E426="C",E426="Z",E426="L"),J426=3),VLOOKUP(_xlfn.MINIFS('FIRE TEX 5090'!$B$5:$B$43,'FIRE TEX 5090'!$B$5:$B$43,"&gt;="&amp;M426),'FIRE TEX 5090'!$B$5:$H$43,IF(L426="F-15",2,IF(L426="F-30",3,IF(L426="F-60",4,IF(L426="F-90",5,IF(L426="F-120",6,IF(L426="F-150",7,0)))))),0),0)+IF(AND(O426="FIRE TEX 5090",OR(E426="IN",E426="C",E426="Z",E426="L"),J426=4),VLOOKUP(_xlfn.MINIFS('FIRE TEX 5090'!$J$5:$J$43,'FIRE TEX 5090'!$J$5:$J$43,"&gt;="&amp;M426),'FIRE TEX 5090'!$J$5:$P$43,IF(L426="F-15",2,IF(L426="F-30",3,IF(L426="F-60",4,IF(L426="F-90",5,IF(L426="F-120",6,IF(L426="F-150",7,0)))))),0),0)+IF(AND(O426="FIRE TEX 5090",E426="CJ",J426=3),VLOOKUP(_xlfn.MINIFS('FIRE TEX 5090'!$R$5:$R$30,'FIRE TEX 5090'!$R$5:$R$30,"&gt;="&amp;M426),'FIRE TEX 5090'!$R$5:$W$30,IF(L426="F-15",2,IF(L426="F-30",3,IF(L426="F-60",4,IF(L426="F-90",5,IF(L426="F-120",6,IF(L426="F-150",7,0)))))),0),0)+IF(AND(O426="FIRE TEX 5090",E426="CJ",J426=4),VLOOKUP(_xlfn.MINIFS('FIRE TEX 5090'!$Y$5:$Y$39,'FIRE TEX 5090'!$Y$5:$Y$39,"&gt;="&amp;M426),'FIRE TEX 5090'!$Y$5:$AD$39,IF(L426="F-15",2,IF(L426="F-30",3,IF(L426="F-60",4,IF(L426="F-90",5,IF(L426="F-120",6,IF(L426="F-150",7,0)))))),0),0)+IF(AND(O426="FIRE TEX 5120",OR(E426="IN",E426="C",E426="Z",E426="L"),J426=3),VLOOKUP(_xlfn.MINIFS('FIRE TEX 5120'!$B$5:$B$40,'FIRE TEX 5120'!$B$5:$B$40,"&gt;="&amp;M426),'FIRE TEX 5120'!$B$5:$G$40,IF(L426="F-15",2,IF(L426="F-30",3,IF(L426="F-60",4,IF(L426="F-90",5,IF(L426="F-120",6,0))))),0),0)+IF(AND(O426="FIRE TEX 5120",OR(E426="IN",E426="C",E426="Z",E426="L"),J426=4),VLOOKUP(_xlfn.MINIFS('FIRE TEX 5120'!$H$4:$H$40,'FIRE TEX 5120'!$H$4:$H$40,"&gt;="&amp;M426),'FIRE TEX 5120'!$H$4:$M$40,IF(L426="F-15",2,IF(L426="F-30",3,IF(L426="F-60",4,IF(L426="F-90",5,IF(L426="F-120",6,0))))),0),0)+IF(AND(O426="FIRE TEX 5120",E426="CJ"),VLOOKUP(_xlfn.MINIFS('FIRE TEX 5120'!$O$5:$O$40,'FIRE TEX 5120'!$O$5:$O$40,"&gt;="&amp;M426),'FIRE TEX 5120'!$O$5:$T$40,IF(L426="F-15",2,IF(L426="F-30",3,IF(L426="F-60",4,IF(L426="F-90",5,IF(L426="F-120",6,0))))),0),0)</f>
        <v>0</v>
      </c>
      <c r="Q426" s="46">
        <f t="shared" si="49"/>
        <v>0</v>
      </c>
      <c r="R426" s="46">
        <f t="shared" si="50"/>
        <v>0</v>
      </c>
      <c r="S426" s="46" t="e">
        <f t="shared" si="51"/>
        <v>#VALUE!</v>
      </c>
      <c r="T426" s="677">
        <f t="shared" si="52"/>
        <v>0</v>
      </c>
      <c r="U426" s="80">
        <f>(IF(O426="Stofire",(S426*#REF!),0))+(IF(O426="Fire Control",(S426*$U$2),0))+(IF(O426="Fire Tex",(S426*$U$3),0))+(IF(O426="WB7",(S426*#REF!),0)+(IF(O426="FX 2003",(S426*$U$5),0)))</f>
        <v>0</v>
      </c>
      <c r="V426" s="651">
        <f t="shared" si="53"/>
        <v>0</v>
      </c>
    </row>
    <row r="427" spans="4:22" x14ac:dyDescent="0.25">
      <c r="D427" s="118">
        <f>+CUBICACION!D426</f>
        <v>0</v>
      </c>
      <c r="E427" s="118">
        <f>+CUBICACION!F426</f>
        <v>0</v>
      </c>
      <c r="F427" s="118">
        <f>+CUBICACION!E426</f>
        <v>0</v>
      </c>
      <c r="G427" s="118">
        <v>12</v>
      </c>
      <c r="H427" s="118">
        <v>2</v>
      </c>
      <c r="I427" s="820">
        <v>26385</v>
      </c>
      <c r="J427" s="118">
        <f>+CUBICACION!J426</f>
        <v>0</v>
      </c>
      <c r="K427" s="118">
        <v>3206</v>
      </c>
      <c r="L427" s="118">
        <f>+CUBICACION!L426</f>
        <v>0</v>
      </c>
      <c r="M427" s="64">
        <f>+CUBICACION!M426</f>
        <v>0</v>
      </c>
      <c r="N427" s="824" t="str">
        <f>+CUBICACION!N426</f>
        <v/>
      </c>
      <c r="O427" s="675">
        <f>+CUBICACION!O426</f>
        <v>0</v>
      </c>
      <c r="P427" s="15">
        <f>IF(O427="Fire Control",VLOOKUP(_xlfn.MINIFS('FIRE CONTROL'!$C$4:$C$37,'FIRE CONTROL'!$C$4:$C$37,"&gt;="&amp;M427),'FIRE CONTROL'!$C$4:$G$37,IF(L427="F-15",2,IF(L427="F-30",3,IF(L427="F-60",4,IF(L427="F-90",5,0)))),0),0)+IF(AND(O427="FIRE TEX 5062",OR(E427="IN",E427="C",E427="Z",E427="L"),J427=3),VLOOKUP(_xlfn.MINIFS('FIRE TEX 5062'!$B$4:$B$34,'FIRE TEX 5062'!$B$4:$B$34,"&gt;="&amp;M427),'FIRE TEX 5062'!$B$4:$F$34,IF(L427="F-15",2,IF(L427="F-30",3,IF(L427="F-60",4,IF(L427="F-90",5,0)))),0),0)+IF(AND(O427="FIRE TEX 5062",OR(E427="IN",E427="C",E427="Z",E427="L"),J427=4),VLOOKUP(_xlfn.MINIFS('FIRE TEX 5062'!$G$4:$G$34,'FIRE TEX 5062'!$G$4:$G$34,"&gt;="&amp;M427),'FIRE TEX 5062'!$G$4:$K$34,IF(L427="F-15",2,IF(L427="F-30",3,IF(L427="F-60",4,IF(L427="F-90",5,0)))),0),0)+IF(AND(O427="FIRE TEX 5062",E427="CJ",J427=3),VLOOKUP(_xlfn.MINIFS('FIRE TEX 5062'!$L$4:$L$34,'FIRE TEX 5062'!$L$4:$L$34,"&gt;="&amp;M427),'FIRE TEX 5062'!$L$4:$P$34,IF(L427="F-15",2,IF(L427="F-30",3,IF(L427="F-60",4,IF(L427="F-90",5,0)))),0),0)+IF(AND(O427="FIRE TEX 5062",E427="CJ",J427=4),VLOOKUP(_xlfn.MINIFS('FIRE TEX 5062'!$Q$3:$Q$34,'FIRE TEX 5062'!$Q$3:$Q$34,"&gt;="&amp;M427),'FIRE TEX 5062'!$Q$3:$U$34,IF(L427="F-15",2,IF(L427="F-30",3,IF(L427="F-60",4,IF(L427="F-90",5,0)))),0),0)+IF(AND(O427="FIRE TEX 5090",OR(E427="IN",E427="C",E427="Z",E427="L"),J427=3),VLOOKUP(_xlfn.MINIFS('FIRE TEX 5090'!$B$5:$B$43,'FIRE TEX 5090'!$B$5:$B$43,"&gt;="&amp;M427),'FIRE TEX 5090'!$B$5:$H$43,IF(L427="F-15",2,IF(L427="F-30",3,IF(L427="F-60",4,IF(L427="F-90",5,IF(L427="F-120",6,IF(L427="F-150",7,0)))))),0),0)+IF(AND(O427="FIRE TEX 5090",OR(E427="IN",E427="C",E427="Z",E427="L"),J427=4),VLOOKUP(_xlfn.MINIFS('FIRE TEX 5090'!$J$5:$J$43,'FIRE TEX 5090'!$J$5:$J$43,"&gt;="&amp;M427),'FIRE TEX 5090'!$J$5:$P$43,IF(L427="F-15",2,IF(L427="F-30",3,IF(L427="F-60",4,IF(L427="F-90",5,IF(L427="F-120",6,IF(L427="F-150",7,0)))))),0),0)+IF(AND(O427="FIRE TEX 5090",E427="CJ",J427=3),VLOOKUP(_xlfn.MINIFS('FIRE TEX 5090'!$R$5:$R$30,'FIRE TEX 5090'!$R$5:$R$30,"&gt;="&amp;M427),'FIRE TEX 5090'!$R$5:$W$30,IF(L427="F-15",2,IF(L427="F-30",3,IF(L427="F-60",4,IF(L427="F-90",5,IF(L427="F-120",6,IF(L427="F-150",7,0)))))),0),0)+IF(AND(O427="FIRE TEX 5090",E427="CJ",J427=4),VLOOKUP(_xlfn.MINIFS('FIRE TEX 5090'!$Y$5:$Y$39,'FIRE TEX 5090'!$Y$5:$Y$39,"&gt;="&amp;M427),'FIRE TEX 5090'!$Y$5:$AD$39,IF(L427="F-15",2,IF(L427="F-30",3,IF(L427="F-60",4,IF(L427="F-90",5,IF(L427="F-120",6,IF(L427="F-150",7,0)))))),0),0)+IF(AND(O427="FIRE TEX 5120",OR(E427="IN",E427="C",E427="Z",E427="L"),J427=3),VLOOKUP(_xlfn.MINIFS('FIRE TEX 5120'!$B$5:$B$40,'FIRE TEX 5120'!$B$5:$B$40,"&gt;="&amp;M427),'FIRE TEX 5120'!$B$5:$G$40,IF(L427="F-15",2,IF(L427="F-30",3,IF(L427="F-60",4,IF(L427="F-90",5,IF(L427="F-120",6,0))))),0),0)+IF(AND(O427="FIRE TEX 5120",OR(E427="IN",E427="C",E427="Z",E427="L"),J427=4),VLOOKUP(_xlfn.MINIFS('FIRE TEX 5120'!$H$4:$H$40,'FIRE TEX 5120'!$H$4:$H$40,"&gt;="&amp;M427),'FIRE TEX 5120'!$H$4:$M$40,IF(L427="F-15",2,IF(L427="F-30",3,IF(L427="F-60",4,IF(L427="F-90",5,IF(L427="F-120",6,0))))),0),0)+IF(AND(O427="FIRE TEX 5120",E427="CJ"),VLOOKUP(_xlfn.MINIFS('FIRE TEX 5120'!$O$5:$O$40,'FIRE TEX 5120'!$O$5:$O$40,"&gt;="&amp;M427),'FIRE TEX 5120'!$O$5:$T$40,IF(L427="F-15",2,IF(L427="F-30",3,IF(L427="F-60",4,IF(L427="F-90",5,IF(L427="F-120",6,0))))),0),0)</f>
        <v>0</v>
      </c>
      <c r="Q427" s="46">
        <f t="shared" si="49"/>
        <v>0</v>
      </c>
      <c r="R427" s="46">
        <f t="shared" si="50"/>
        <v>0</v>
      </c>
      <c r="S427" s="46" t="e">
        <f t="shared" si="51"/>
        <v>#VALUE!</v>
      </c>
      <c r="T427" s="677">
        <f t="shared" si="52"/>
        <v>0</v>
      </c>
      <c r="U427" s="80">
        <f>(IF(O427="Stofire",(S427*#REF!),0))+(IF(O427="Fire Control",(S427*$U$2),0))+(IF(O427="Fire Tex",(S427*$U$3),0))+(IF(O427="WB7",(S427*#REF!),0)+(IF(O427="FX 2003",(S427*$U$5),0)))</f>
        <v>0</v>
      </c>
      <c r="V427" s="651">
        <f t="shared" si="53"/>
        <v>0</v>
      </c>
    </row>
    <row r="428" spans="4:22" x14ac:dyDescent="0.25">
      <c r="D428" s="118">
        <f>+CUBICACION!D427</f>
        <v>0</v>
      </c>
      <c r="E428" s="118">
        <f>+CUBICACION!F427</f>
        <v>0</v>
      </c>
      <c r="F428" s="118">
        <f>+CUBICACION!E427</f>
        <v>0</v>
      </c>
      <c r="G428" s="118">
        <v>12</v>
      </c>
      <c r="H428" s="118">
        <v>2</v>
      </c>
      <c r="I428" s="820">
        <v>26385</v>
      </c>
      <c r="J428" s="118">
        <f>+CUBICACION!J427</f>
        <v>0</v>
      </c>
      <c r="K428" s="118">
        <v>3207</v>
      </c>
      <c r="L428" s="118">
        <f>+CUBICACION!L427</f>
        <v>0</v>
      </c>
      <c r="M428" s="64">
        <f>+CUBICACION!M427</f>
        <v>0</v>
      </c>
      <c r="N428" s="824" t="str">
        <f>+CUBICACION!N427</f>
        <v/>
      </c>
      <c r="O428" s="675">
        <f>+CUBICACION!O427</f>
        <v>0</v>
      </c>
      <c r="P428" s="15">
        <f>IF(O428="Fire Control",VLOOKUP(_xlfn.MINIFS('FIRE CONTROL'!$C$4:$C$37,'FIRE CONTROL'!$C$4:$C$37,"&gt;="&amp;M428),'FIRE CONTROL'!$C$4:$G$37,IF(L428="F-15",2,IF(L428="F-30",3,IF(L428="F-60",4,IF(L428="F-90",5,0)))),0),0)+IF(AND(O428="FIRE TEX 5062",OR(E428="IN",E428="C",E428="Z",E428="L"),J428=3),VLOOKUP(_xlfn.MINIFS('FIRE TEX 5062'!$B$4:$B$34,'FIRE TEX 5062'!$B$4:$B$34,"&gt;="&amp;M428),'FIRE TEX 5062'!$B$4:$F$34,IF(L428="F-15",2,IF(L428="F-30",3,IF(L428="F-60",4,IF(L428="F-90",5,0)))),0),0)+IF(AND(O428="FIRE TEX 5062",OR(E428="IN",E428="C",E428="Z",E428="L"),J428=4),VLOOKUP(_xlfn.MINIFS('FIRE TEX 5062'!$G$4:$G$34,'FIRE TEX 5062'!$G$4:$G$34,"&gt;="&amp;M428),'FIRE TEX 5062'!$G$4:$K$34,IF(L428="F-15",2,IF(L428="F-30",3,IF(L428="F-60",4,IF(L428="F-90",5,0)))),0),0)+IF(AND(O428="FIRE TEX 5062",E428="CJ",J428=3),VLOOKUP(_xlfn.MINIFS('FIRE TEX 5062'!$L$4:$L$34,'FIRE TEX 5062'!$L$4:$L$34,"&gt;="&amp;M428),'FIRE TEX 5062'!$L$4:$P$34,IF(L428="F-15",2,IF(L428="F-30",3,IF(L428="F-60",4,IF(L428="F-90",5,0)))),0),0)+IF(AND(O428="FIRE TEX 5062",E428="CJ",J428=4),VLOOKUP(_xlfn.MINIFS('FIRE TEX 5062'!$Q$3:$Q$34,'FIRE TEX 5062'!$Q$3:$Q$34,"&gt;="&amp;M428),'FIRE TEX 5062'!$Q$3:$U$34,IF(L428="F-15",2,IF(L428="F-30",3,IF(L428="F-60",4,IF(L428="F-90",5,0)))),0),0)+IF(AND(O428="FIRE TEX 5090",OR(E428="IN",E428="C",E428="Z",E428="L"),J428=3),VLOOKUP(_xlfn.MINIFS('FIRE TEX 5090'!$B$5:$B$43,'FIRE TEX 5090'!$B$5:$B$43,"&gt;="&amp;M428),'FIRE TEX 5090'!$B$5:$H$43,IF(L428="F-15",2,IF(L428="F-30",3,IF(L428="F-60",4,IF(L428="F-90",5,IF(L428="F-120",6,IF(L428="F-150",7,0)))))),0),0)+IF(AND(O428="FIRE TEX 5090",OR(E428="IN",E428="C",E428="Z",E428="L"),J428=4),VLOOKUP(_xlfn.MINIFS('FIRE TEX 5090'!$J$5:$J$43,'FIRE TEX 5090'!$J$5:$J$43,"&gt;="&amp;M428),'FIRE TEX 5090'!$J$5:$P$43,IF(L428="F-15",2,IF(L428="F-30",3,IF(L428="F-60",4,IF(L428="F-90",5,IF(L428="F-120",6,IF(L428="F-150",7,0)))))),0),0)+IF(AND(O428="FIRE TEX 5090",E428="CJ",J428=3),VLOOKUP(_xlfn.MINIFS('FIRE TEX 5090'!$R$5:$R$30,'FIRE TEX 5090'!$R$5:$R$30,"&gt;="&amp;M428),'FIRE TEX 5090'!$R$5:$W$30,IF(L428="F-15",2,IF(L428="F-30",3,IF(L428="F-60",4,IF(L428="F-90",5,IF(L428="F-120",6,IF(L428="F-150",7,0)))))),0),0)+IF(AND(O428="FIRE TEX 5090",E428="CJ",J428=4),VLOOKUP(_xlfn.MINIFS('FIRE TEX 5090'!$Y$5:$Y$39,'FIRE TEX 5090'!$Y$5:$Y$39,"&gt;="&amp;M428),'FIRE TEX 5090'!$Y$5:$AD$39,IF(L428="F-15",2,IF(L428="F-30",3,IF(L428="F-60",4,IF(L428="F-90",5,IF(L428="F-120",6,IF(L428="F-150",7,0)))))),0),0)+IF(AND(O428="FIRE TEX 5120",OR(E428="IN",E428="C",E428="Z",E428="L"),J428=3),VLOOKUP(_xlfn.MINIFS('FIRE TEX 5120'!$B$5:$B$40,'FIRE TEX 5120'!$B$5:$B$40,"&gt;="&amp;M428),'FIRE TEX 5120'!$B$5:$G$40,IF(L428="F-15",2,IF(L428="F-30",3,IF(L428="F-60",4,IF(L428="F-90",5,IF(L428="F-120",6,0))))),0),0)+IF(AND(O428="FIRE TEX 5120",OR(E428="IN",E428="C",E428="Z",E428="L"),J428=4),VLOOKUP(_xlfn.MINIFS('FIRE TEX 5120'!$H$4:$H$40,'FIRE TEX 5120'!$H$4:$H$40,"&gt;="&amp;M428),'FIRE TEX 5120'!$H$4:$M$40,IF(L428="F-15",2,IF(L428="F-30",3,IF(L428="F-60",4,IF(L428="F-90",5,IF(L428="F-120",6,0))))),0),0)+IF(AND(O428="FIRE TEX 5120",E428="CJ"),VLOOKUP(_xlfn.MINIFS('FIRE TEX 5120'!$O$5:$O$40,'FIRE TEX 5120'!$O$5:$O$40,"&gt;="&amp;M428),'FIRE TEX 5120'!$O$5:$T$40,IF(L428="F-15",2,IF(L428="F-30",3,IF(L428="F-60",4,IF(L428="F-90",5,IF(L428="F-120",6,0))))),0),0)</f>
        <v>0</v>
      </c>
      <c r="Q428" s="46">
        <f t="shared" si="49"/>
        <v>0</v>
      </c>
      <c r="R428" s="46">
        <f t="shared" si="50"/>
        <v>0</v>
      </c>
      <c r="S428" s="46" t="e">
        <f t="shared" si="51"/>
        <v>#VALUE!</v>
      </c>
      <c r="T428" s="677">
        <f t="shared" si="52"/>
        <v>0</v>
      </c>
      <c r="U428" s="80">
        <f>(IF(O428="Stofire",(S428*#REF!),0))+(IF(O428="Fire Control",(S428*$U$2),0))+(IF(O428="Fire Tex",(S428*$U$3),0))+(IF(O428="WB7",(S428*#REF!),0)+(IF(O428="FX 2003",(S428*$U$5),0)))</f>
        <v>0</v>
      </c>
      <c r="V428" s="651">
        <f t="shared" si="53"/>
        <v>0</v>
      </c>
    </row>
    <row r="429" spans="4:22" x14ac:dyDescent="0.25">
      <c r="D429" s="118">
        <f>+CUBICACION!D428</f>
        <v>0</v>
      </c>
      <c r="E429" s="118">
        <f>+CUBICACION!F428</f>
        <v>0</v>
      </c>
      <c r="F429" s="118">
        <f>+CUBICACION!E428</f>
        <v>0</v>
      </c>
      <c r="G429" s="118">
        <v>12</v>
      </c>
      <c r="H429" s="118">
        <v>2</v>
      </c>
      <c r="I429" s="820">
        <v>26385</v>
      </c>
      <c r="J429" s="118">
        <f>+CUBICACION!J428</f>
        <v>0</v>
      </c>
      <c r="K429" s="118">
        <v>3208</v>
      </c>
      <c r="L429" s="118">
        <f>+CUBICACION!L428</f>
        <v>0</v>
      </c>
      <c r="M429" s="64">
        <f>+CUBICACION!M428</f>
        <v>0</v>
      </c>
      <c r="N429" s="824" t="str">
        <f>+CUBICACION!N428</f>
        <v/>
      </c>
      <c r="O429" s="675">
        <f>+CUBICACION!O428</f>
        <v>0</v>
      </c>
      <c r="P429" s="15">
        <f>IF(O429="Fire Control",VLOOKUP(_xlfn.MINIFS('FIRE CONTROL'!$C$4:$C$37,'FIRE CONTROL'!$C$4:$C$37,"&gt;="&amp;M429),'FIRE CONTROL'!$C$4:$G$37,IF(L429="F-15",2,IF(L429="F-30",3,IF(L429="F-60",4,IF(L429="F-90",5,0)))),0),0)+IF(AND(O429="FIRE TEX 5062",OR(E429="IN",E429="C",E429="Z",E429="L"),J429=3),VLOOKUP(_xlfn.MINIFS('FIRE TEX 5062'!$B$4:$B$34,'FIRE TEX 5062'!$B$4:$B$34,"&gt;="&amp;M429),'FIRE TEX 5062'!$B$4:$F$34,IF(L429="F-15",2,IF(L429="F-30",3,IF(L429="F-60",4,IF(L429="F-90",5,0)))),0),0)+IF(AND(O429="FIRE TEX 5062",OR(E429="IN",E429="C",E429="Z",E429="L"),J429=4),VLOOKUP(_xlfn.MINIFS('FIRE TEX 5062'!$G$4:$G$34,'FIRE TEX 5062'!$G$4:$G$34,"&gt;="&amp;M429),'FIRE TEX 5062'!$G$4:$K$34,IF(L429="F-15",2,IF(L429="F-30",3,IF(L429="F-60",4,IF(L429="F-90",5,0)))),0),0)+IF(AND(O429="FIRE TEX 5062",E429="CJ",J429=3),VLOOKUP(_xlfn.MINIFS('FIRE TEX 5062'!$L$4:$L$34,'FIRE TEX 5062'!$L$4:$L$34,"&gt;="&amp;M429),'FIRE TEX 5062'!$L$4:$P$34,IF(L429="F-15",2,IF(L429="F-30",3,IF(L429="F-60",4,IF(L429="F-90",5,0)))),0),0)+IF(AND(O429="FIRE TEX 5062",E429="CJ",J429=4),VLOOKUP(_xlfn.MINIFS('FIRE TEX 5062'!$Q$3:$Q$34,'FIRE TEX 5062'!$Q$3:$Q$34,"&gt;="&amp;M429),'FIRE TEX 5062'!$Q$3:$U$34,IF(L429="F-15",2,IF(L429="F-30",3,IF(L429="F-60",4,IF(L429="F-90",5,0)))),0),0)+IF(AND(O429="FIRE TEX 5090",OR(E429="IN",E429="C",E429="Z",E429="L"),J429=3),VLOOKUP(_xlfn.MINIFS('FIRE TEX 5090'!$B$5:$B$43,'FIRE TEX 5090'!$B$5:$B$43,"&gt;="&amp;M429),'FIRE TEX 5090'!$B$5:$H$43,IF(L429="F-15",2,IF(L429="F-30",3,IF(L429="F-60",4,IF(L429="F-90",5,IF(L429="F-120",6,IF(L429="F-150",7,0)))))),0),0)+IF(AND(O429="FIRE TEX 5090",OR(E429="IN",E429="C",E429="Z",E429="L"),J429=4),VLOOKUP(_xlfn.MINIFS('FIRE TEX 5090'!$J$5:$J$43,'FIRE TEX 5090'!$J$5:$J$43,"&gt;="&amp;M429),'FIRE TEX 5090'!$J$5:$P$43,IF(L429="F-15",2,IF(L429="F-30",3,IF(L429="F-60",4,IF(L429="F-90",5,IF(L429="F-120",6,IF(L429="F-150",7,0)))))),0),0)+IF(AND(O429="FIRE TEX 5090",E429="CJ",J429=3),VLOOKUP(_xlfn.MINIFS('FIRE TEX 5090'!$R$5:$R$30,'FIRE TEX 5090'!$R$5:$R$30,"&gt;="&amp;M429),'FIRE TEX 5090'!$R$5:$W$30,IF(L429="F-15",2,IF(L429="F-30",3,IF(L429="F-60",4,IF(L429="F-90",5,IF(L429="F-120",6,IF(L429="F-150",7,0)))))),0),0)+IF(AND(O429="FIRE TEX 5090",E429="CJ",J429=4),VLOOKUP(_xlfn.MINIFS('FIRE TEX 5090'!$Y$5:$Y$39,'FIRE TEX 5090'!$Y$5:$Y$39,"&gt;="&amp;M429),'FIRE TEX 5090'!$Y$5:$AD$39,IF(L429="F-15",2,IF(L429="F-30",3,IF(L429="F-60",4,IF(L429="F-90",5,IF(L429="F-120",6,IF(L429="F-150",7,0)))))),0),0)+IF(AND(O429="FIRE TEX 5120",OR(E429="IN",E429="C",E429="Z",E429="L"),J429=3),VLOOKUP(_xlfn.MINIFS('FIRE TEX 5120'!$B$5:$B$40,'FIRE TEX 5120'!$B$5:$B$40,"&gt;="&amp;M429),'FIRE TEX 5120'!$B$5:$G$40,IF(L429="F-15",2,IF(L429="F-30",3,IF(L429="F-60",4,IF(L429="F-90",5,IF(L429="F-120",6,0))))),0),0)+IF(AND(O429="FIRE TEX 5120",OR(E429="IN",E429="C",E429="Z",E429="L"),J429=4),VLOOKUP(_xlfn.MINIFS('FIRE TEX 5120'!$H$4:$H$40,'FIRE TEX 5120'!$H$4:$H$40,"&gt;="&amp;M429),'FIRE TEX 5120'!$H$4:$M$40,IF(L429="F-15",2,IF(L429="F-30",3,IF(L429="F-60",4,IF(L429="F-90",5,IF(L429="F-120",6,0))))),0),0)+IF(AND(O429="FIRE TEX 5120",E429="CJ"),VLOOKUP(_xlfn.MINIFS('FIRE TEX 5120'!$O$5:$O$40,'FIRE TEX 5120'!$O$5:$O$40,"&gt;="&amp;M429),'FIRE TEX 5120'!$O$5:$T$40,IF(L429="F-15",2,IF(L429="F-30",3,IF(L429="F-60",4,IF(L429="F-90",5,IF(L429="F-120",6,0))))),0),0)</f>
        <v>0</v>
      </c>
      <c r="Q429" s="46">
        <f t="shared" ref="Q429:Q492" si="54">IF(P429="","",IF(P429="dar valor","",0.03937*P429))</f>
        <v>0</v>
      </c>
      <c r="R429" s="46">
        <f t="shared" ref="R429:R492" si="55">+(IF(O429="Fire Control",((65*1.5/Q429)*0.75*4),0))+(IF(OR(O429="Fire Tex 5062",O429="Fire Tex 5090",O429="Fire Tex 5120"),((66*1.5/Q429)*0.7*5),0))</f>
        <v>0</v>
      </c>
      <c r="S429" s="46" t="e">
        <f t="shared" ref="S429:S492" si="56">IF(R429="","",+N429/R429)</f>
        <v>#VALUE!</v>
      </c>
      <c r="T429" s="677">
        <f t="shared" ref="T429:T492" si="57">(IF(O429="Stofire",(S429/(7*1)),0))+(IF(O429="Fire Control",(S429/(7*1)),0))+(IF(O429="Fire Tex",(S429/(7*1)),0))+(IF(O429="WB7",(S429/(7*1)),0))+(IF(O429="FX 2003",(S429/(7*1)),0))</f>
        <v>0</v>
      </c>
      <c r="U429" s="80">
        <f>(IF(O429="Stofire",(S429*#REF!),0))+(IF(O429="Fire Control",(S429*$U$2),0))+(IF(O429="Fire Tex",(S429*$U$3),0))+(IF(O429="WB7",(S429*#REF!),0)+(IF(O429="FX 2003",(S429*$U$5),0)))</f>
        <v>0</v>
      </c>
      <c r="V429" s="651">
        <f t="shared" ref="V429:V492" si="58">_xlfn.CEILING.MATH(M429,10)</f>
        <v>0</v>
      </c>
    </row>
    <row r="430" spans="4:22" x14ac:dyDescent="0.25">
      <c r="D430" s="118">
        <f>+CUBICACION!D429</f>
        <v>0</v>
      </c>
      <c r="E430" s="118">
        <f>+CUBICACION!F429</f>
        <v>0</v>
      </c>
      <c r="F430" s="118">
        <f>+CUBICACION!E429</f>
        <v>0</v>
      </c>
      <c r="G430" s="118">
        <v>12</v>
      </c>
      <c r="H430" s="118">
        <v>2</v>
      </c>
      <c r="I430" s="820">
        <v>26385</v>
      </c>
      <c r="J430" s="118">
        <f>+CUBICACION!J429</f>
        <v>0</v>
      </c>
      <c r="K430" s="118">
        <v>3209</v>
      </c>
      <c r="L430" s="118">
        <f>+CUBICACION!L429</f>
        <v>0</v>
      </c>
      <c r="M430" s="64">
        <f>+CUBICACION!M429</f>
        <v>0</v>
      </c>
      <c r="N430" s="824" t="str">
        <f>+CUBICACION!N429</f>
        <v/>
      </c>
      <c r="O430" s="675">
        <f>+CUBICACION!O429</f>
        <v>0</v>
      </c>
      <c r="P430" s="15">
        <f>IF(O430="Fire Control",VLOOKUP(_xlfn.MINIFS('FIRE CONTROL'!$C$4:$C$37,'FIRE CONTROL'!$C$4:$C$37,"&gt;="&amp;M430),'FIRE CONTROL'!$C$4:$G$37,IF(L430="F-15",2,IF(L430="F-30",3,IF(L430="F-60",4,IF(L430="F-90",5,0)))),0),0)+IF(AND(O430="FIRE TEX 5062",OR(E430="IN",E430="C",E430="Z",E430="L"),J430=3),VLOOKUP(_xlfn.MINIFS('FIRE TEX 5062'!$B$4:$B$34,'FIRE TEX 5062'!$B$4:$B$34,"&gt;="&amp;M430),'FIRE TEX 5062'!$B$4:$F$34,IF(L430="F-15",2,IF(L430="F-30",3,IF(L430="F-60",4,IF(L430="F-90",5,0)))),0),0)+IF(AND(O430="FIRE TEX 5062",OR(E430="IN",E430="C",E430="Z",E430="L"),J430=4),VLOOKUP(_xlfn.MINIFS('FIRE TEX 5062'!$G$4:$G$34,'FIRE TEX 5062'!$G$4:$G$34,"&gt;="&amp;M430),'FIRE TEX 5062'!$G$4:$K$34,IF(L430="F-15",2,IF(L430="F-30",3,IF(L430="F-60",4,IF(L430="F-90",5,0)))),0),0)+IF(AND(O430="FIRE TEX 5062",E430="CJ",J430=3),VLOOKUP(_xlfn.MINIFS('FIRE TEX 5062'!$L$4:$L$34,'FIRE TEX 5062'!$L$4:$L$34,"&gt;="&amp;M430),'FIRE TEX 5062'!$L$4:$P$34,IF(L430="F-15",2,IF(L430="F-30",3,IF(L430="F-60",4,IF(L430="F-90",5,0)))),0),0)+IF(AND(O430="FIRE TEX 5062",E430="CJ",J430=4),VLOOKUP(_xlfn.MINIFS('FIRE TEX 5062'!$Q$3:$Q$34,'FIRE TEX 5062'!$Q$3:$Q$34,"&gt;="&amp;M430),'FIRE TEX 5062'!$Q$3:$U$34,IF(L430="F-15",2,IF(L430="F-30",3,IF(L430="F-60",4,IF(L430="F-90",5,0)))),0),0)+IF(AND(O430="FIRE TEX 5090",OR(E430="IN",E430="C",E430="Z",E430="L"),J430=3),VLOOKUP(_xlfn.MINIFS('FIRE TEX 5090'!$B$5:$B$43,'FIRE TEX 5090'!$B$5:$B$43,"&gt;="&amp;M430),'FIRE TEX 5090'!$B$5:$H$43,IF(L430="F-15",2,IF(L430="F-30",3,IF(L430="F-60",4,IF(L430="F-90",5,IF(L430="F-120",6,IF(L430="F-150",7,0)))))),0),0)+IF(AND(O430="FIRE TEX 5090",OR(E430="IN",E430="C",E430="Z",E430="L"),J430=4),VLOOKUP(_xlfn.MINIFS('FIRE TEX 5090'!$J$5:$J$43,'FIRE TEX 5090'!$J$5:$J$43,"&gt;="&amp;M430),'FIRE TEX 5090'!$J$5:$P$43,IF(L430="F-15",2,IF(L430="F-30",3,IF(L430="F-60",4,IF(L430="F-90",5,IF(L430="F-120",6,IF(L430="F-150",7,0)))))),0),0)+IF(AND(O430="FIRE TEX 5090",E430="CJ",J430=3),VLOOKUP(_xlfn.MINIFS('FIRE TEX 5090'!$R$5:$R$30,'FIRE TEX 5090'!$R$5:$R$30,"&gt;="&amp;M430),'FIRE TEX 5090'!$R$5:$W$30,IF(L430="F-15",2,IF(L430="F-30",3,IF(L430="F-60",4,IF(L430="F-90",5,IF(L430="F-120",6,IF(L430="F-150",7,0)))))),0),0)+IF(AND(O430="FIRE TEX 5090",E430="CJ",J430=4),VLOOKUP(_xlfn.MINIFS('FIRE TEX 5090'!$Y$5:$Y$39,'FIRE TEX 5090'!$Y$5:$Y$39,"&gt;="&amp;M430),'FIRE TEX 5090'!$Y$5:$AD$39,IF(L430="F-15",2,IF(L430="F-30",3,IF(L430="F-60",4,IF(L430="F-90",5,IF(L430="F-120",6,IF(L430="F-150",7,0)))))),0),0)+IF(AND(O430="FIRE TEX 5120",OR(E430="IN",E430="C",E430="Z",E430="L"),J430=3),VLOOKUP(_xlfn.MINIFS('FIRE TEX 5120'!$B$5:$B$40,'FIRE TEX 5120'!$B$5:$B$40,"&gt;="&amp;M430),'FIRE TEX 5120'!$B$5:$G$40,IF(L430="F-15",2,IF(L430="F-30",3,IF(L430="F-60",4,IF(L430="F-90",5,IF(L430="F-120",6,0))))),0),0)+IF(AND(O430="FIRE TEX 5120",OR(E430="IN",E430="C",E430="Z",E430="L"),J430=4),VLOOKUP(_xlfn.MINIFS('FIRE TEX 5120'!$H$4:$H$40,'FIRE TEX 5120'!$H$4:$H$40,"&gt;="&amp;M430),'FIRE TEX 5120'!$H$4:$M$40,IF(L430="F-15",2,IF(L430="F-30",3,IF(L430="F-60",4,IF(L430="F-90",5,IF(L430="F-120",6,0))))),0),0)+IF(AND(O430="FIRE TEX 5120",E430="CJ"),VLOOKUP(_xlfn.MINIFS('FIRE TEX 5120'!$O$5:$O$40,'FIRE TEX 5120'!$O$5:$O$40,"&gt;="&amp;M430),'FIRE TEX 5120'!$O$5:$T$40,IF(L430="F-15",2,IF(L430="F-30",3,IF(L430="F-60",4,IF(L430="F-90",5,IF(L430="F-120",6,0))))),0),0)</f>
        <v>0</v>
      </c>
      <c r="Q430" s="46">
        <f t="shared" si="54"/>
        <v>0</v>
      </c>
      <c r="R430" s="46">
        <f t="shared" si="55"/>
        <v>0</v>
      </c>
      <c r="S430" s="46" t="e">
        <f t="shared" si="56"/>
        <v>#VALUE!</v>
      </c>
      <c r="T430" s="677">
        <f t="shared" si="57"/>
        <v>0</v>
      </c>
      <c r="U430" s="80">
        <f>(IF(O430="Stofire",(S430*#REF!),0))+(IF(O430="Fire Control",(S430*$U$2),0))+(IF(O430="Fire Tex",(S430*$U$3),0))+(IF(O430="WB7",(S430*#REF!),0)+(IF(O430="FX 2003",(S430*$U$5),0)))</f>
        <v>0</v>
      </c>
      <c r="V430" s="651">
        <f t="shared" si="58"/>
        <v>0</v>
      </c>
    </row>
    <row r="431" spans="4:22" x14ac:dyDescent="0.25">
      <c r="D431" s="118">
        <f>+CUBICACION!D430</f>
        <v>0</v>
      </c>
      <c r="E431" s="118">
        <f>+CUBICACION!F430</f>
        <v>0</v>
      </c>
      <c r="F431" s="118">
        <f>+CUBICACION!E430</f>
        <v>0</v>
      </c>
      <c r="G431" s="118">
        <v>12</v>
      </c>
      <c r="H431" s="118">
        <v>2</v>
      </c>
      <c r="I431" s="820">
        <v>26385</v>
      </c>
      <c r="J431" s="118">
        <f>+CUBICACION!J430</f>
        <v>0</v>
      </c>
      <c r="K431" s="118">
        <v>3210</v>
      </c>
      <c r="L431" s="118">
        <f>+CUBICACION!L430</f>
        <v>0</v>
      </c>
      <c r="M431" s="64">
        <f>+CUBICACION!M430</f>
        <v>0</v>
      </c>
      <c r="N431" s="824" t="str">
        <f>+CUBICACION!N430</f>
        <v/>
      </c>
      <c r="O431" s="675">
        <f>+CUBICACION!O430</f>
        <v>0</v>
      </c>
      <c r="P431" s="15">
        <f>IF(O431="Fire Control",VLOOKUP(_xlfn.MINIFS('FIRE CONTROL'!$C$4:$C$37,'FIRE CONTROL'!$C$4:$C$37,"&gt;="&amp;M431),'FIRE CONTROL'!$C$4:$G$37,IF(L431="F-15",2,IF(L431="F-30",3,IF(L431="F-60",4,IF(L431="F-90",5,0)))),0),0)+IF(AND(O431="FIRE TEX 5062",OR(E431="IN",E431="C",E431="Z",E431="L"),J431=3),VLOOKUP(_xlfn.MINIFS('FIRE TEX 5062'!$B$4:$B$34,'FIRE TEX 5062'!$B$4:$B$34,"&gt;="&amp;M431),'FIRE TEX 5062'!$B$4:$F$34,IF(L431="F-15",2,IF(L431="F-30",3,IF(L431="F-60",4,IF(L431="F-90",5,0)))),0),0)+IF(AND(O431="FIRE TEX 5062",OR(E431="IN",E431="C",E431="Z",E431="L"),J431=4),VLOOKUP(_xlfn.MINIFS('FIRE TEX 5062'!$G$4:$G$34,'FIRE TEX 5062'!$G$4:$G$34,"&gt;="&amp;M431),'FIRE TEX 5062'!$G$4:$K$34,IF(L431="F-15",2,IF(L431="F-30",3,IF(L431="F-60",4,IF(L431="F-90",5,0)))),0),0)+IF(AND(O431="FIRE TEX 5062",E431="CJ",J431=3),VLOOKUP(_xlfn.MINIFS('FIRE TEX 5062'!$L$4:$L$34,'FIRE TEX 5062'!$L$4:$L$34,"&gt;="&amp;M431),'FIRE TEX 5062'!$L$4:$P$34,IF(L431="F-15",2,IF(L431="F-30",3,IF(L431="F-60",4,IF(L431="F-90",5,0)))),0),0)+IF(AND(O431="FIRE TEX 5062",E431="CJ",J431=4),VLOOKUP(_xlfn.MINIFS('FIRE TEX 5062'!$Q$3:$Q$34,'FIRE TEX 5062'!$Q$3:$Q$34,"&gt;="&amp;M431),'FIRE TEX 5062'!$Q$3:$U$34,IF(L431="F-15",2,IF(L431="F-30",3,IF(L431="F-60",4,IF(L431="F-90",5,0)))),0),0)+IF(AND(O431="FIRE TEX 5090",OR(E431="IN",E431="C",E431="Z",E431="L"),J431=3),VLOOKUP(_xlfn.MINIFS('FIRE TEX 5090'!$B$5:$B$43,'FIRE TEX 5090'!$B$5:$B$43,"&gt;="&amp;M431),'FIRE TEX 5090'!$B$5:$H$43,IF(L431="F-15",2,IF(L431="F-30",3,IF(L431="F-60",4,IF(L431="F-90",5,IF(L431="F-120",6,IF(L431="F-150",7,0)))))),0),0)+IF(AND(O431="FIRE TEX 5090",OR(E431="IN",E431="C",E431="Z",E431="L"),J431=4),VLOOKUP(_xlfn.MINIFS('FIRE TEX 5090'!$J$5:$J$43,'FIRE TEX 5090'!$J$5:$J$43,"&gt;="&amp;M431),'FIRE TEX 5090'!$J$5:$P$43,IF(L431="F-15",2,IF(L431="F-30",3,IF(L431="F-60",4,IF(L431="F-90",5,IF(L431="F-120",6,IF(L431="F-150",7,0)))))),0),0)+IF(AND(O431="FIRE TEX 5090",E431="CJ",J431=3),VLOOKUP(_xlfn.MINIFS('FIRE TEX 5090'!$R$5:$R$30,'FIRE TEX 5090'!$R$5:$R$30,"&gt;="&amp;M431),'FIRE TEX 5090'!$R$5:$W$30,IF(L431="F-15",2,IF(L431="F-30",3,IF(L431="F-60",4,IF(L431="F-90",5,IF(L431="F-120",6,IF(L431="F-150",7,0)))))),0),0)+IF(AND(O431="FIRE TEX 5090",E431="CJ",J431=4),VLOOKUP(_xlfn.MINIFS('FIRE TEX 5090'!$Y$5:$Y$39,'FIRE TEX 5090'!$Y$5:$Y$39,"&gt;="&amp;M431),'FIRE TEX 5090'!$Y$5:$AD$39,IF(L431="F-15",2,IF(L431="F-30",3,IF(L431="F-60",4,IF(L431="F-90",5,IF(L431="F-120",6,IF(L431="F-150",7,0)))))),0),0)+IF(AND(O431="FIRE TEX 5120",OR(E431="IN",E431="C",E431="Z",E431="L"),J431=3),VLOOKUP(_xlfn.MINIFS('FIRE TEX 5120'!$B$5:$B$40,'FIRE TEX 5120'!$B$5:$B$40,"&gt;="&amp;M431),'FIRE TEX 5120'!$B$5:$G$40,IF(L431="F-15",2,IF(L431="F-30",3,IF(L431="F-60",4,IF(L431="F-90",5,IF(L431="F-120",6,0))))),0),0)+IF(AND(O431="FIRE TEX 5120",OR(E431="IN",E431="C",E431="Z",E431="L"),J431=4),VLOOKUP(_xlfn.MINIFS('FIRE TEX 5120'!$H$4:$H$40,'FIRE TEX 5120'!$H$4:$H$40,"&gt;="&amp;M431),'FIRE TEX 5120'!$H$4:$M$40,IF(L431="F-15",2,IF(L431="F-30",3,IF(L431="F-60",4,IF(L431="F-90",5,IF(L431="F-120",6,0))))),0),0)+IF(AND(O431="FIRE TEX 5120",E431="CJ"),VLOOKUP(_xlfn.MINIFS('FIRE TEX 5120'!$O$5:$O$40,'FIRE TEX 5120'!$O$5:$O$40,"&gt;="&amp;M431),'FIRE TEX 5120'!$O$5:$T$40,IF(L431="F-15",2,IF(L431="F-30",3,IF(L431="F-60",4,IF(L431="F-90",5,IF(L431="F-120",6,0))))),0),0)</f>
        <v>0</v>
      </c>
      <c r="Q431" s="46">
        <f t="shared" si="54"/>
        <v>0</v>
      </c>
      <c r="R431" s="46">
        <f t="shared" si="55"/>
        <v>0</v>
      </c>
      <c r="S431" s="46" t="e">
        <f t="shared" si="56"/>
        <v>#VALUE!</v>
      </c>
      <c r="T431" s="677">
        <f t="shared" si="57"/>
        <v>0</v>
      </c>
      <c r="U431" s="80">
        <f>(IF(O431="Stofire",(S431*#REF!),0))+(IF(O431="Fire Control",(S431*$U$2),0))+(IF(O431="Fire Tex",(S431*$U$3),0))+(IF(O431="WB7",(S431*#REF!),0)+(IF(O431="FX 2003",(S431*$U$5),0)))</f>
        <v>0</v>
      </c>
      <c r="V431" s="651">
        <f t="shared" si="58"/>
        <v>0</v>
      </c>
    </row>
    <row r="432" spans="4:22" x14ac:dyDescent="0.25">
      <c r="D432" s="118">
        <f>+CUBICACION!D431</f>
        <v>0</v>
      </c>
      <c r="E432" s="118">
        <f>+CUBICACION!F431</f>
        <v>0</v>
      </c>
      <c r="F432" s="118">
        <f>+CUBICACION!E431</f>
        <v>0</v>
      </c>
      <c r="G432" s="118">
        <v>12</v>
      </c>
      <c r="H432" s="118">
        <v>2</v>
      </c>
      <c r="I432" s="820">
        <v>26385</v>
      </c>
      <c r="J432" s="118">
        <f>+CUBICACION!J431</f>
        <v>0</v>
      </c>
      <c r="K432" s="118">
        <v>3211</v>
      </c>
      <c r="L432" s="118">
        <f>+CUBICACION!L431</f>
        <v>0</v>
      </c>
      <c r="M432" s="64">
        <f>+CUBICACION!M431</f>
        <v>0</v>
      </c>
      <c r="N432" s="824" t="str">
        <f>+CUBICACION!N431</f>
        <v/>
      </c>
      <c r="O432" s="675">
        <f>+CUBICACION!O431</f>
        <v>0</v>
      </c>
      <c r="P432" s="15">
        <f>IF(O432="Fire Control",VLOOKUP(_xlfn.MINIFS('FIRE CONTROL'!$C$4:$C$37,'FIRE CONTROL'!$C$4:$C$37,"&gt;="&amp;M432),'FIRE CONTROL'!$C$4:$G$37,IF(L432="F-15",2,IF(L432="F-30",3,IF(L432="F-60",4,IF(L432="F-90",5,0)))),0),0)+IF(AND(O432="FIRE TEX 5062",OR(E432="IN",E432="C",E432="Z",E432="L"),J432=3),VLOOKUP(_xlfn.MINIFS('FIRE TEX 5062'!$B$4:$B$34,'FIRE TEX 5062'!$B$4:$B$34,"&gt;="&amp;M432),'FIRE TEX 5062'!$B$4:$F$34,IF(L432="F-15",2,IF(L432="F-30",3,IF(L432="F-60",4,IF(L432="F-90",5,0)))),0),0)+IF(AND(O432="FIRE TEX 5062",OR(E432="IN",E432="C",E432="Z",E432="L"),J432=4),VLOOKUP(_xlfn.MINIFS('FIRE TEX 5062'!$G$4:$G$34,'FIRE TEX 5062'!$G$4:$G$34,"&gt;="&amp;M432),'FIRE TEX 5062'!$G$4:$K$34,IF(L432="F-15",2,IF(L432="F-30",3,IF(L432="F-60",4,IF(L432="F-90",5,0)))),0),0)+IF(AND(O432="FIRE TEX 5062",E432="CJ",J432=3),VLOOKUP(_xlfn.MINIFS('FIRE TEX 5062'!$L$4:$L$34,'FIRE TEX 5062'!$L$4:$L$34,"&gt;="&amp;M432),'FIRE TEX 5062'!$L$4:$P$34,IF(L432="F-15",2,IF(L432="F-30",3,IF(L432="F-60",4,IF(L432="F-90",5,0)))),0),0)+IF(AND(O432="FIRE TEX 5062",E432="CJ",J432=4),VLOOKUP(_xlfn.MINIFS('FIRE TEX 5062'!$Q$3:$Q$34,'FIRE TEX 5062'!$Q$3:$Q$34,"&gt;="&amp;M432),'FIRE TEX 5062'!$Q$3:$U$34,IF(L432="F-15",2,IF(L432="F-30",3,IF(L432="F-60",4,IF(L432="F-90",5,0)))),0),0)+IF(AND(O432="FIRE TEX 5090",OR(E432="IN",E432="C",E432="Z",E432="L"),J432=3),VLOOKUP(_xlfn.MINIFS('FIRE TEX 5090'!$B$5:$B$43,'FIRE TEX 5090'!$B$5:$B$43,"&gt;="&amp;M432),'FIRE TEX 5090'!$B$5:$H$43,IF(L432="F-15",2,IF(L432="F-30",3,IF(L432="F-60",4,IF(L432="F-90",5,IF(L432="F-120",6,IF(L432="F-150",7,0)))))),0),0)+IF(AND(O432="FIRE TEX 5090",OR(E432="IN",E432="C",E432="Z",E432="L"),J432=4),VLOOKUP(_xlfn.MINIFS('FIRE TEX 5090'!$J$5:$J$43,'FIRE TEX 5090'!$J$5:$J$43,"&gt;="&amp;M432),'FIRE TEX 5090'!$J$5:$P$43,IF(L432="F-15",2,IF(L432="F-30",3,IF(L432="F-60",4,IF(L432="F-90",5,IF(L432="F-120",6,IF(L432="F-150",7,0)))))),0),0)+IF(AND(O432="FIRE TEX 5090",E432="CJ",J432=3),VLOOKUP(_xlfn.MINIFS('FIRE TEX 5090'!$R$5:$R$30,'FIRE TEX 5090'!$R$5:$R$30,"&gt;="&amp;M432),'FIRE TEX 5090'!$R$5:$W$30,IF(L432="F-15",2,IF(L432="F-30",3,IF(L432="F-60",4,IF(L432="F-90",5,IF(L432="F-120",6,IF(L432="F-150",7,0)))))),0),0)+IF(AND(O432="FIRE TEX 5090",E432="CJ",J432=4),VLOOKUP(_xlfn.MINIFS('FIRE TEX 5090'!$Y$5:$Y$39,'FIRE TEX 5090'!$Y$5:$Y$39,"&gt;="&amp;M432),'FIRE TEX 5090'!$Y$5:$AD$39,IF(L432="F-15",2,IF(L432="F-30",3,IF(L432="F-60",4,IF(L432="F-90",5,IF(L432="F-120",6,IF(L432="F-150",7,0)))))),0),0)+IF(AND(O432="FIRE TEX 5120",OR(E432="IN",E432="C",E432="Z",E432="L"),J432=3),VLOOKUP(_xlfn.MINIFS('FIRE TEX 5120'!$B$5:$B$40,'FIRE TEX 5120'!$B$5:$B$40,"&gt;="&amp;M432),'FIRE TEX 5120'!$B$5:$G$40,IF(L432="F-15",2,IF(L432="F-30",3,IF(L432="F-60",4,IF(L432="F-90",5,IF(L432="F-120",6,0))))),0),0)+IF(AND(O432="FIRE TEX 5120",OR(E432="IN",E432="C",E432="Z",E432="L"),J432=4),VLOOKUP(_xlfn.MINIFS('FIRE TEX 5120'!$H$4:$H$40,'FIRE TEX 5120'!$H$4:$H$40,"&gt;="&amp;M432),'FIRE TEX 5120'!$H$4:$M$40,IF(L432="F-15",2,IF(L432="F-30",3,IF(L432="F-60",4,IF(L432="F-90",5,IF(L432="F-120",6,0))))),0),0)+IF(AND(O432="FIRE TEX 5120",E432="CJ"),VLOOKUP(_xlfn.MINIFS('FIRE TEX 5120'!$O$5:$O$40,'FIRE TEX 5120'!$O$5:$O$40,"&gt;="&amp;M432),'FIRE TEX 5120'!$O$5:$T$40,IF(L432="F-15",2,IF(L432="F-30",3,IF(L432="F-60",4,IF(L432="F-90",5,IF(L432="F-120",6,0))))),0),0)</f>
        <v>0</v>
      </c>
      <c r="Q432" s="46">
        <f t="shared" si="54"/>
        <v>0</v>
      </c>
      <c r="R432" s="46">
        <f t="shared" si="55"/>
        <v>0</v>
      </c>
      <c r="S432" s="46" t="e">
        <f t="shared" si="56"/>
        <v>#VALUE!</v>
      </c>
      <c r="T432" s="677">
        <f t="shared" si="57"/>
        <v>0</v>
      </c>
      <c r="U432" s="80">
        <f>(IF(O432="Stofire",(S432*#REF!),0))+(IF(O432="Fire Control",(S432*$U$2),0))+(IF(O432="Fire Tex",(S432*$U$3),0))+(IF(O432="WB7",(S432*#REF!),0)+(IF(O432="FX 2003",(S432*$U$5),0)))</f>
        <v>0</v>
      </c>
      <c r="V432" s="651">
        <f t="shared" si="58"/>
        <v>0</v>
      </c>
    </row>
    <row r="433" spans="4:22" x14ac:dyDescent="0.25">
      <c r="D433" s="118">
        <f>+CUBICACION!D432</f>
        <v>0</v>
      </c>
      <c r="E433" s="118">
        <f>+CUBICACION!F432</f>
        <v>0</v>
      </c>
      <c r="F433" s="118">
        <f>+CUBICACION!E432</f>
        <v>0</v>
      </c>
      <c r="G433" s="118">
        <v>12</v>
      </c>
      <c r="H433" s="118">
        <v>2</v>
      </c>
      <c r="I433" s="820">
        <v>26385</v>
      </c>
      <c r="J433" s="118">
        <f>+CUBICACION!J432</f>
        <v>0</v>
      </c>
      <c r="K433" s="118">
        <v>3212</v>
      </c>
      <c r="L433" s="118">
        <f>+CUBICACION!L432</f>
        <v>0</v>
      </c>
      <c r="M433" s="64">
        <f>+CUBICACION!M432</f>
        <v>0</v>
      </c>
      <c r="N433" s="824" t="str">
        <f>+CUBICACION!N432</f>
        <v/>
      </c>
      <c r="O433" s="675">
        <f>+CUBICACION!O432</f>
        <v>0</v>
      </c>
      <c r="P433" s="15">
        <f>IF(O433="Fire Control",VLOOKUP(_xlfn.MINIFS('FIRE CONTROL'!$C$4:$C$37,'FIRE CONTROL'!$C$4:$C$37,"&gt;="&amp;M433),'FIRE CONTROL'!$C$4:$G$37,IF(L433="F-15",2,IF(L433="F-30",3,IF(L433="F-60",4,IF(L433="F-90",5,0)))),0),0)+IF(AND(O433="FIRE TEX 5062",OR(E433="IN",E433="C",E433="Z",E433="L"),J433=3),VLOOKUP(_xlfn.MINIFS('FIRE TEX 5062'!$B$4:$B$34,'FIRE TEX 5062'!$B$4:$B$34,"&gt;="&amp;M433),'FIRE TEX 5062'!$B$4:$F$34,IF(L433="F-15",2,IF(L433="F-30",3,IF(L433="F-60",4,IF(L433="F-90",5,0)))),0),0)+IF(AND(O433="FIRE TEX 5062",OR(E433="IN",E433="C",E433="Z",E433="L"),J433=4),VLOOKUP(_xlfn.MINIFS('FIRE TEX 5062'!$G$4:$G$34,'FIRE TEX 5062'!$G$4:$G$34,"&gt;="&amp;M433),'FIRE TEX 5062'!$G$4:$K$34,IF(L433="F-15",2,IF(L433="F-30",3,IF(L433="F-60",4,IF(L433="F-90",5,0)))),0),0)+IF(AND(O433="FIRE TEX 5062",E433="CJ",J433=3),VLOOKUP(_xlfn.MINIFS('FIRE TEX 5062'!$L$4:$L$34,'FIRE TEX 5062'!$L$4:$L$34,"&gt;="&amp;M433),'FIRE TEX 5062'!$L$4:$P$34,IF(L433="F-15",2,IF(L433="F-30",3,IF(L433="F-60",4,IF(L433="F-90",5,0)))),0),0)+IF(AND(O433="FIRE TEX 5062",E433="CJ",J433=4),VLOOKUP(_xlfn.MINIFS('FIRE TEX 5062'!$Q$3:$Q$34,'FIRE TEX 5062'!$Q$3:$Q$34,"&gt;="&amp;M433),'FIRE TEX 5062'!$Q$3:$U$34,IF(L433="F-15",2,IF(L433="F-30",3,IF(L433="F-60",4,IF(L433="F-90",5,0)))),0),0)+IF(AND(O433="FIRE TEX 5090",OR(E433="IN",E433="C",E433="Z",E433="L"),J433=3),VLOOKUP(_xlfn.MINIFS('FIRE TEX 5090'!$B$5:$B$43,'FIRE TEX 5090'!$B$5:$B$43,"&gt;="&amp;M433),'FIRE TEX 5090'!$B$5:$H$43,IF(L433="F-15",2,IF(L433="F-30",3,IF(L433="F-60",4,IF(L433="F-90",5,IF(L433="F-120",6,IF(L433="F-150",7,0)))))),0),0)+IF(AND(O433="FIRE TEX 5090",OR(E433="IN",E433="C",E433="Z",E433="L"),J433=4),VLOOKUP(_xlfn.MINIFS('FIRE TEX 5090'!$J$5:$J$43,'FIRE TEX 5090'!$J$5:$J$43,"&gt;="&amp;M433),'FIRE TEX 5090'!$J$5:$P$43,IF(L433="F-15",2,IF(L433="F-30",3,IF(L433="F-60",4,IF(L433="F-90",5,IF(L433="F-120",6,IF(L433="F-150",7,0)))))),0),0)+IF(AND(O433="FIRE TEX 5090",E433="CJ",J433=3),VLOOKUP(_xlfn.MINIFS('FIRE TEX 5090'!$R$5:$R$30,'FIRE TEX 5090'!$R$5:$R$30,"&gt;="&amp;M433),'FIRE TEX 5090'!$R$5:$W$30,IF(L433="F-15",2,IF(L433="F-30",3,IF(L433="F-60",4,IF(L433="F-90",5,IF(L433="F-120",6,IF(L433="F-150",7,0)))))),0),0)+IF(AND(O433="FIRE TEX 5090",E433="CJ",J433=4),VLOOKUP(_xlfn.MINIFS('FIRE TEX 5090'!$Y$5:$Y$39,'FIRE TEX 5090'!$Y$5:$Y$39,"&gt;="&amp;M433),'FIRE TEX 5090'!$Y$5:$AD$39,IF(L433="F-15",2,IF(L433="F-30",3,IF(L433="F-60",4,IF(L433="F-90",5,IF(L433="F-120",6,IF(L433="F-150",7,0)))))),0),0)+IF(AND(O433="FIRE TEX 5120",OR(E433="IN",E433="C",E433="Z",E433="L"),J433=3),VLOOKUP(_xlfn.MINIFS('FIRE TEX 5120'!$B$5:$B$40,'FIRE TEX 5120'!$B$5:$B$40,"&gt;="&amp;M433),'FIRE TEX 5120'!$B$5:$G$40,IF(L433="F-15",2,IF(L433="F-30",3,IF(L433="F-60",4,IF(L433="F-90",5,IF(L433="F-120",6,0))))),0),0)+IF(AND(O433="FIRE TEX 5120",OR(E433="IN",E433="C",E433="Z",E433="L"),J433=4),VLOOKUP(_xlfn.MINIFS('FIRE TEX 5120'!$H$4:$H$40,'FIRE TEX 5120'!$H$4:$H$40,"&gt;="&amp;M433),'FIRE TEX 5120'!$H$4:$M$40,IF(L433="F-15",2,IF(L433="F-30",3,IF(L433="F-60",4,IF(L433="F-90",5,IF(L433="F-120",6,0))))),0),0)+IF(AND(O433="FIRE TEX 5120",E433="CJ"),VLOOKUP(_xlfn.MINIFS('FIRE TEX 5120'!$O$5:$O$40,'FIRE TEX 5120'!$O$5:$O$40,"&gt;="&amp;M433),'FIRE TEX 5120'!$O$5:$T$40,IF(L433="F-15",2,IF(L433="F-30",3,IF(L433="F-60",4,IF(L433="F-90",5,IF(L433="F-120",6,0))))),0),0)</f>
        <v>0</v>
      </c>
      <c r="Q433" s="46">
        <f t="shared" si="54"/>
        <v>0</v>
      </c>
      <c r="R433" s="46">
        <f t="shared" si="55"/>
        <v>0</v>
      </c>
      <c r="S433" s="46" t="e">
        <f t="shared" si="56"/>
        <v>#VALUE!</v>
      </c>
      <c r="T433" s="677">
        <f t="shared" si="57"/>
        <v>0</v>
      </c>
      <c r="U433" s="80">
        <f>(IF(O433="Stofire",(S433*#REF!),0))+(IF(O433="Fire Control",(S433*$U$2),0))+(IF(O433="Fire Tex",(S433*$U$3),0))+(IF(O433="WB7",(S433*#REF!),0)+(IF(O433="FX 2003",(S433*$U$5),0)))</f>
        <v>0</v>
      </c>
      <c r="V433" s="651">
        <f t="shared" si="58"/>
        <v>0</v>
      </c>
    </row>
    <row r="434" spans="4:22" x14ac:dyDescent="0.25">
      <c r="D434" s="118">
        <f>+CUBICACION!D433</f>
        <v>0</v>
      </c>
      <c r="E434" s="118">
        <f>+CUBICACION!F433</f>
        <v>0</v>
      </c>
      <c r="F434" s="118">
        <f>+CUBICACION!E433</f>
        <v>0</v>
      </c>
      <c r="G434" s="118">
        <v>12</v>
      </c>
      <c r="H434" s="118">
        <v>2</v>
      </c>
      <c r="I434" s="820">
        <v>26385</v>
      </c>
      <c r="J434" s="118">
        <f>+CUBICACION!J433</f>
        <v>0</v>
      </c>
      <c r="K434" s="118">
        <v>3213</v>
      </c>
      <c r="L434" s="118">
        <f>+CUBICACION!L433</f>
        <v>0</v>
      </c>
      <c r="M434" s="64">
        <f>+CUBICACION!M433</f>
        <v>0</v>
      </c>
      <c r="N434" s="824" t="str">
        <f>+CUBICACION!N433</f>
        <v/>
      </c>
      <c r="O434" s="675">
        <f>+CUBICACION!O433</f>
        <v>0</v>
      </c>
      <c r="P434" s="15">
        <f>IF(O434="Fire Control",VLOOKUP(_xlfn.MINIFS('FIRE CONTROL'!$C$4:$C$37,'FIRE CONTROL'!$C$4:$C$37,"&gt;="&amp;M434),'FIRE CONTROL'!$C$4:$G$37,IF(L434="F-15",2,IF(L434="F-30",3,IF(L434="F-60",4,IF(L434="F-90",5,0)))),0),0)+IF(AND(O434="FIRE TEX 5062",OR(E434="IN",E434="C",E434="Z",E434="L"),J434=3),VLOOKUP(_xlfn.MINIFS('FIRE TEX 5062'!$B$4:$B$34,'FIRE TEX 5062'!$B$4:$B$34,"&gt;="&amp;M434),'FIRE TEX 5062'!$B$4:$F$34,IF(L434="F-15",2,IF(L434="F-30",3,IF(L434="F-60",4,IF(L434="F-90",5,0)))),0),0)+IF(AND(O434="FIRE TEX 5062",OR(E434="IN",E434="C",E434="Z",E434="L"),J434=4),VLOOKUP(_xlfn.MINIFS('FIRE TEX 5062'!$G$4:$G$34,'FIRE TEX 5062'!$G$4:$G$34,"&gt;="&amp;M434),'FIRE TEX 5062'!$G$4:$K$34,IF(L434="F-15",2,IF(L434="F-30",3,IF(L434="F-60",4,IF(L434="F-90",5,0)))),0),0)+IF(AND(O434="FIRE TEX 5062",E434="CJ",J434=3),VLOOKUP(_xlfn.MINIFS('FIRE TEX 5062'!$L$4:$L$34,'FIRE TEX 5062'!$L$4:$L$34,"&gt;="&amp;M434),'FIRE TEX 5062'!$L$4:$P$34,IF(L434="F-15",2,IF(L434="F-30",3,IF(L434="F-60",4,IF(L434="F-90",5,0)))),0),0)+IF(AND(O434="FIRE TEX 5062",E434="CJ",J434=4),VLOOKUP(_xlfn.MINIFS('FIRE TEX 5062'!$Q$3:$Q$34,'FIRE TEX 5062'!$Q$3:$Q$34,"&gt;="&amp;M434),'FIRE TEX 5062'!$Q$3:$U$34,IF(L434="F-15",2,IF(L434="F-30",3,IF(L434="F-60",4,IF(L434="F-90",5,0)))),0),0)+IF(AND(O434="FIRE TEX 5090",OR(E434="IN",E434="C",E434="Z",E434="L"),J434=3),VLOOKUP(_xlfn.MINIFS('FIRE TEX 5090'!$B$5:$B$43,'FIRE TEX 5090'!$B$5:$B$43,"&gt;="&amp;M434),'FIRE TEX 5090'!$B$5:$H$43,IF(L434="F-15",2,IF(L434="F-30",3,IF(L434="F-60",4,IF(L434="F-90",5,IF(L434="F-120",6,IF(L434="F-150",7,0)))))),0),0)+IF(AND(O434="FIRE TEX 5090",OR(E434="IN",E434="C",E434="Z",E434="L"),J434=4),VLOOKUP(_xlfn.MINIFS('FIRE TEX 5090'!$J$5:$J$43,'FIRE TEX 5090'!$J$5:$J$43,"&gt;="&amp;M434),'FIRE TEX 5090'!$J$5:$P$43,IF(L434="F-15",2,IF(L434="F-30",3,IF(L434="F-60",4,IF(L434="F-90",5,IF(L434="F-120",6,IF(L434="F-150",7,0)))))),0),0)+IF(AND(O434="FIRE TEX 5090",E434="CJ",J434=3),VLOOKUP(_xlfn.MINIFS('FIRE TEX 5090'!$R$5:$R$30,'FIRE TEX 5090'!$R$5:$R$30,"&gt;="&amp;M434),'FIRE TEX 5090'!$R$5:$W$30,IF(L434="F-15",2,IF(L434="F-30",3,IF(L434="F-60",4,IF(L434="F-90",5,IF(L434="F-120",6,IF(L434="F-150",7,0)))))),0),0)+IF(AND(O434="FIRE TEX 5090",E434="CJ",J434=4),VLOOKUP(_xlfn.MINIFS('FIRE TEX 5090'!$Y$5:$Y$39,'FIRE TEX 5090'!$Y$5:$Y$39,"&gt;="&amp;M434),'FIRE TEX 5090'!$Y$5:$AD$39,IF(L434="F-15",2,IF(L434="F-30",3,IF(L434="F-60",4,IF(L434="F-90",5,IF(L434="F-120",6,IF(L434="F-150",7,0)))))),0),0)+IF(AND(O434="FIRE TEX 5120",OR(E434="IN",E434="C",E434="Z",E434="L"),J434=3),VLOOKUP(_xlfn.MINIFS('FIRE TEX 5120'!$B$5:$B$40,'FIRE TEX 5120'!$B$5:$B$40,"&gt;="&amp;M434),'FIRE TEX 5120'!$B$5:$G$40,IF(L434="F-15",2,IF(L434="F-30",3,IF(L434="F-60",4,IF(L434="F-90",5,IF(L434="F-120",6,0))))),0),0)+IF(AND(O434="FIRE TEX 5120",OR(E434="IN",E434="C",E434="Z",E434="L"),J434=4),VLOOKUP(_xlfn.MINIFS('FIRE TEX 5120'!$H$4:$H$40,'FIRE TEX 5120'!$H$4:$H$40,"&gt;="&amp;M434),'FIRE TEX 5120'!$H$4:$M$40,IF(L434="F-15",2,IF(L434="F-30",3,IF(L434="F-60",4,IF(L434="F-90",5,IF(L434="F-120",6,0))))),0),0)+IF(AND(O434="FIRE TEX 5120",E434="CJ"),VLOOKUP(_xlfn.MINIFS('FIRE TEX 5120'!$O$5:$O$40,'FIRE TEX 5120'!$O$5:$O$40,"&gt;="&amp;M434),'FIRE TEX 5120'!$O$5:$T$40,IF(L434="F-15",2,IF(L434="F-30",3,IF(L434="F-60",4,IF(L434="F-90",5,IF(L434="F-120",6,0))))),0),0)</f>
        <v>0</v>
      </c>
      <c r="Q434" s="46">
        <f t="shared" si="54"/>
        <v>0</v>
      </c>
      <c r="R434" s="46">
        <f t="shared" si="55"/>
        <v>0</v>
      </c>
      <c r="S434" s="46" t="e">
        <f t="shared" si="56"/>
        <v>#VALUE!</v>
      </c>
      <c r="T434" s="677">
        <f t="shared" si="57"/>
        <v>0</v>
      </c>
      <c r="U434" s="80">
        <f>(IF(O434="Stofire",(S434*#REF!),0))+(IF(O434="Fire Control",(S434*$U$2),0))+(IF(O434="Fire Tex",(S434*$U$3),0))+(IF(O434="WB7",(S434*#REF!),0)+(IF(O434="FX 2003",(S434*$U$5),0)))</f>
        <v>0</v>
      </c>
      <c r="V434" s="651">
        <f t="shared" si="58"/>
        <v>0</v>
      </c>
    </row>
    <row r="435" spans="4:22" x14ac:dyDescent="0.25">
      <c r="D435" s="118">
        <f>+CUBICACION!D434</f>
        <v>0</v>
      </c>
      <c r="E435" s="118">
        <f>+CUBICACION!F434</f>
        <v>0</v>
      </c>
      <c r="F435" s="118">
        <f>+CUBICACION!E434</f>
        <v>0</v>
      </c>
      <c r="G435" s="118">
        <v>12</v>
      </c>
      <c r="H435" s="118">
        <v>2</v>
      </c>
      <c r="I435" s="820">
        <v>26385</v>
      </c>
      <c r="J435" s="118">
        <f>+CUBICACION!J434</f>
        <v>0</v>
      </c>
      <c r="K435" s="118">
        <v>3214</v>
      </c>
      <c r="L435" s="118">
        <f>+CUBICACION!L434</f>
        <v>0</v>
      </c>
      <c r="M435" s="64">
        <f>+CUBICACION!M434</f>
        <v>0</v>
      </c>
      <c r="N435" s="824" t="str">
        <f>+CUBICACION!N434</f>
        <v/>
      </c>
      <c r="O435" s="675">
        <f>+CUBICACION!O434</f>
        <v>0</v>
      </c>
      <c r="P435" s="15">
        <f>IF(O435="Fire Control",VLOOKUP(_xlfn.MINIFS('FIRE CONTROL'!$C$4:$C$37,'FIRE CONTROL'!$C$4:$C$37,"&gt;="&amp;M435),'FIRE CONTROL'!$C$4:$G$37,IF(L435="F-15",2,IF(L435="F-30",3,IF(L435="F-60",4,IF(L435="F-90",5,0)))),0),0)+IF(AND(O435="FIRE TEX 5062",OR(E435="IN",E435="C",E435="Z",E435="L"),J435=3),VLOOKUP(_xlfn.MINIFS('FIRE TEX 5062'!$B$4:$B$34,'FIRE TEX 5062'!$B$4:$B$34,"&gt;="&amp;M435),'FIRE TEX 5062'!$B$4:$F$34,IF(L435="F-15",2,IF(L435="F-30",3,IF(L435="F-60",4,IF(L435="F-90",5,0)))),0),0)+IF(AND(O435="FIRE TEX 5062",OR(E435="IN",E435="C",E435="Z",E435="L"),J435=4),VLOOKUP(_xlfn.MINIFS('FIRE TEX 5062'!$G$4:$G$34,'FIRE TEX 5062'!$G$4:$G$34,"&gt;="&amp;M435),'FIRE TEX 5062'!$G$4:$K$34,IF(L435="F-15",2,IF(L435="F-30",3,IF(L435="F-60",4,IF(L435="F-90",5,0)))),0),0)+IF(AND(O435="FIRE TEX 5062",E435="CJ",J435=3),VLOOKUP(_xlfn.MINIFS('FIRE TEX 5062'!$L$4:$L$34,'FIRE TEX 5062'!$L$4:$L$34,"&gt;="&amp;M435),'FIRE TEX 5062'!$L$4:$P$34,IF(L435="F-15",2,IF(L435="F-30",3,IF(L435="F-60",4,IF(L435="F-90",5,0)))),0),0)+IF(AND(O435="FIRE TEX 5062",E435="CJ",J435=4),VLOOKUP(_xlfn.MINIFS('FIRE TEX 5062'!$Q$3:$Q$34,'FIRE TEX 5062'!$Q$3:$Q$34,"&gt;="&amp;M435),'FIRE TEX 5062'!$Q$3:$U$34,IF(L435="F-15",2,IF(L435="F-30",3,IF(L435="F-60",4,IF(L435="F-90",5,0)))),0),0)+IF(AND(O435="FIRE TEX 5090",OR(E435="IN",E435="C",E435="Z",E435="L"),J435=3),VLOOKUP(_xlfn.MINIFS('FIRE TEX 5090'!$B$5:$B$43,'FIRE TEX 5090'!$B$5:$B$43,"&gt;="&amp;M435),'FIRE TEX 5090'!$B$5:$H$43,IF(L435="F-15",2,IF(L435="F-30",3,IF(L435="F-60",4,IF(L435="F-90",5,IF(L435="F-120",6,IF(L435="F-150",7,0)))))),0),0)+IF(AND(O435="FIRE TEX 5090",OR(E435="IN",E435="C",E435="Z",E435="L"),J435=4),VLOOKUP(_xlfn.MINIFS('FIRE TEX 5090'!$J$5:$J$43,'FIRE TEX 5090'!$J$5:$J$43,"&gt;="&amp;M435),'FIRE TEX 5090'!$J$5:$P$43,IF(L435="F-15",2,IF(L435="F-30",3,IF(L435="F-60",4,IF(L435="F-90",5,IF(L435="F-120",6,IF(L435="F-150",7,0)))))),0),0)+IF(AND(O435="FIRE TEX 5090",E435="CJ",J435=3),VLOOKUP(_xlfn.MINIFS('FIRE TEX 5090'!$R$5:$R$30,'FIRE TEX 5090'!$R$5:$R$30,"&gt;="&amp;M435),'FIRE TEX 5090'!$R$5:$W$30,IF(L435="F-15",2,IF(L435="F-30",3,IF(L435="F-60",4,IF(L435="F-90",5,IF(L435="F-120",6,IF(L435="F-150",7,0)))))),0),0)+IF(AND(O435="FIRE TEX 5090",E435="CJ",J435=4),VLOOKUP(_xlfn.MINIFS('FIRE TEX 5090'!$Y$5:$Y$39,'FIRE TEX 5090'!$Y$5:$Y$39,"&gt;="&amp;M435),'FIRE TEX 5090'!$Y$5:$AD$39,IF(L435="F-15",2,IF(L435="F-30",3,IF(L435="F-60",4,IF(L435="F-90",5,IF(L435="F-120",6,IF(L435="F-150",7,0)))))),0),0)+IF(AND(O435="FIRE TEX 5120",OR(E435="IN",E435="C",E435="Z",E435="L"),J435=3),VLOOKUP(_xlfn.MINIFS('FIRE TEX 5120'!$B$5:$B$40,'FIRE TEX 5120'!$B$5:$B$40,"&gt;="&amp;M435),'FIRE TEX 5120'!$B$5:$G$40,IF(L435="F-15",2,IF(L435="F-30",3,IF(L435="F-60",4,IF(L435="F-90",5,IF(L435="F-120",6,0))))),0),0)+IF(AND(O435="FIRE TEX 5120",OR(E435="IN",E435="C",E435="Z",E435="L"),J435=4),VLOOKUP(_xlfn.MINIFS('FIRE TEX 5120'!$H$4:$H$40,'FIRE TEX 5120'!$H$4:$H$40,"&gt;="&amp;M435),'FIRE TEX 5120'!$H$4:$M$40,IF(L435="F-15",2,IF(L435="F-30",3,IF(L435="F-60",4,IF(L435="F-90",5,IF(L435="F-120",6,0))))),0),0)+IF(AND(O435="FIRE TEX 5120",E435="CJ"),VLOOKUP(_xlfn.MINIFS('FIRE TEX 5120'!$O$5:$O$40,'FIRE TEX 5120'!$O$5:$O$40,"&gt;="&amp;M435),'FIRE TEX 5120'!$O$5:$T$40,IF(L435="F-15",2,IF(L435="F-30",3,IF(L435="F-60",4,IF(L435="F-90",5,IF(L435="F-120",6,0))))),0),0)</f>
        <v>0</v>
      </c>
      <c r="Q435" s="46">
        <f t="shared" si="54"/>
        <v>0</v>
      </c>
      <c r="R435" s="46">
        <f t="shared" si="55"/>
        <v>0</v>
      </c>
      <c r="S435" s="46" t="e">
        <f t="shared" si="56"/>
        <v>#VALUE!</v>
      </c>
      <c r="T435" s="677">
        <f t="shared" si="57"/>
        <v>0</v>
      </c>
      <c r="U435" s="80">
        <f>(IF(O435="Stofire",(S435*#REF!),0))+(IF(O435="Fire Control",(S435*$U$2),0))+(IF(O435="Fire Tex",(S435*$U$3),0))+(IF(O435="WB7",(S435*#REF!),0)+(IF(O435="FX 2003",(S435*$U$5),0)))</f>
        <v>0</v>
      </c>
      <c r="V435" s="651">
        <f t="shared" si="58"/>
        <v>0</v>
      </c>
    </row>
    <row r="436" spans="4:22" x14ac:dyDescent="0.25">
      <c r="D436" s="118">
        <f>+CUBICACION!D435</f>
        <v>0</v>
      </c>
      <c r="E436" s="118">
        <f>+CUBICACION!F435</f>
        <v>0</v>
      </c>
      <c r="F436" s="118">
        <f>+CUBICACION!E435</f>
        <v>0</v>
      </c>
      <c r="G436" s="118">
        <v>12</v>
      </c>
      <c r="H436" s="118">
        <v>2</v>
      </c>
      <c r="I436" s="820">
        <v>26385</v>
      </c>
      <c r="J436" s="118">
        <f>+CUBICACION!J435</f>
        <v>0</v>
      </c>
      <c r="K436" s="118">
        <v>3215</v>
      </c>
      <c r="L436" s="118">
        <f>+CUBICACION!L435</f>
        <v>0</v>
      </c>
      <c r="M436" s="64">
        <f>+CUBICACION!M435</f>
        <v>0</v>
      </c>
      <c r="N436" s="824" t="str">
        <f>+CUBICACION!N435</f>
        <v/>
      </c>
      <c r="O436" s="675">
        <f>+CUBICACION!O435</f>
        <v>0</v>
      </c>
      <c r="P436" s="15">
        <f>IF(O436="Fire Control",VLOOKUP(_xlfn.MINIFS('FIRE CONTROL'!$C$4:$C$37,'FIRE CONTROL'!$C$4:$C$37,"&gt;="&amp;M436),'FIRE CONTROL'!$C$4:$G$37,IF(L436="F-15",2,IF(L436="F-30",3,IF(L436="F-60",4,IF(L436="F-90",5,0)))),0),0)+IF(AND(O436="FIRE TEX 5062",OR(E436="IN",E436="C",E436="Z",E436="L"),J436=3),VLOOKUP(_xlfn.MINIFS('FIRE TEX 5062'!$B$4:$B$34,'FIRE TEX 5062'!$B$4:$B$34,"&gt;="&amp;M436),'FIRE TEX 5062'!$B$4:$F$34,IF(L436="F-15",2,IF(L436="F-30",3,IF(L436="F-60",4,IF(L436="F-90",5,0)))),0),0)+IF(AND(O436="FIRE TEX 5062",OR(E436="IN",E436="C",E436="Z",E436="L"),J436=4),VLOOKUP(_xlfn.MINIFS('FIRE TEX 5062'!$G$4:$G$34,'FIRE TEX 5062'!$G$4:$G$34,"&gt;="&amp;M436),'FIRE TEX 5062'!$G$4:$K$34,IF(L436="F-15",2,IF(L436="F-30",3,IF(L436="F-60",4,IF(L436="F-90",5,0)))),0),0)+IF(AND(O436="FIRE TEX 5062",E436="CJ",J436=3),VLOOKUP(_xlfn.MINIFS('FIRE TEX 5062'!$L$4:$L$34,'FIRE TEX 5062'!$L$4:$L$34,"&gt;="&amp;M436),'FIRE TEX 5062'!$L$4:$P$34,IF(L436="F-15",2,IF(L436="F-30",3,IF(L436="F-60",4,IF(L436="F-90",5,0)))),0),0)+IF(AND(O436="FIRE TEX 5062",E436="CJ",J436=4),VLOOKUP(_xlfn.MINIFS('FIRE TEX 5062'!$Q$3:$Q$34,'FIRE TEX 5062'!$Q$3:$Q$34,"&gt;="&amp;M436),'FIRE TEX 5062'!$Q$3:$U$34,IF(L436="F-15",2,IF(L436="F-30",3,IF(L436="F-60",4,IF(L436="F-90",5,0)))),0),0)+IF(AND(O436="FIRE TEX 5090",OR(E436="IN",E436="C",E436="Z",E436="L"),J436=3),VLOOKUP(_xlfn.MINIFS('FIRE TEX 5090'!$B$5:$B$43,'FIRE TEX 5090'!$B$5:$B$43,"&gt;="&amp;M436),'FIRE TEX 5090'!$B$5:$H$43,IF(L436="F-15",2,IF(L436="F-30",3,IF(L436="F-60",4,IF(L436="F-90",5,IF(L436="F-120",6,IF(L436="F-150",7,0)))))),0),0)+IF(AND(O436="FIRE TEX 5090",OR(E436="IN",E436="C",E436="Z",E436="L"),J436=4),VLOOKUP(_xlfn.MINIFS('FIRE TEX 5090'!$J$5:$J$43,'FIRE TEX 5090'!$J$5:$J$43,"&gt;="&amp;M436),'FIRE TEX 5090'!$J$5:$P$43,IF(L436="F-15",2,IF(L436="F-30",3,IF(L436="F-60",4,IF(L436="F-90",5,IF(L436="F-120",6,IF(L436="F-150",7,0)))))),0),0)+IF(AND(O436="FIRE TEX 5090",E436="CJ",J436=3),VLOOKUP(_xlfn.MINIFS('FIRE TEX 5090'!$R$5:$R$30,'FIRE TEX 5090'!$R$5:$R$30,"&gt;="&amp;M436),'FIRE TEX 5090'!$R$5:$W$30,IF(L436="F-15",2,IF(L436="F-30",3,IF(L436="F-60",4,IF(L436="F-90",5,IF(L436="F-120",6,IF(L436="F-150",7,0)))))),0),0)+IF(AND(O436="FIRE TEX 5090",E436="CJ",J436=4),VLOOKUP(_xlfn.MINIFS('FIRE TEX 5090'!$Y$5:$Y$39,'FIRE TEX 5090'!$Y$5:$Y$39,"&gt;="&amp;M436),'FIRE TEX 5090'!$Y$5:$AD$39,IF(L436="F-15",2,IF(L436="F-30",3,IF(L436="F-60",4,IF(L436="F-90",5,IF(L436="F-120",6,IF(L436="F-150",7,0)))))),0),0)+IF(AND(O436="FIRE TEX 5120",OR(E436="IN",E436="C",E436="Z",E436="L"),J436=3),VLOOKUP(_xlfn.MINIFS('FIRE TEX 5120'!$B$5:$B$40,'FIRE TEX 5120'!$B$5:$B$40,"&gt;="&amp;M436),'FIRE TEX 5120'!$B$5:$G$40,IF(L436="F-15",2,IF(L436="F-30",3,IF(L436="F-60",4,IF(L436="F-90",5,IF(L436="F-120",6,0))))),0),0)+IF(AND(O436="FIRE TEX 5120",OR(E436="IN",E436="C",E436="Z",E436="L"),J436=4),VLOOKUP(_xlfn.MINIFS('FIRE TEX 5120'!$H$4:$H$40,'FIRE TEX 5120'!$H$4:$H$40,"&gt;="&amp;M436),'FIRE TEX 5120'!$H$4:$M$40,IF(L436="F-15",2,IF(L436="F-30",3,IF(L436="F-60",4,IF(L436="F-90",5,IF(L436="F-120",6,0))))),0),0)+IF(AND(O436="FIRE TEX 5120",E436="CJ"),VLOOKUP(_xlfn.MINIFS('FIRE TEX 5120'!$O$5:$O$40,'FIRE TEX 5120'!$O$5:$O$40,"&gt;="&amp;M436),'FIRE TEX 5120'!$O$5:$T$40,IF(L436="F-15",2,IF(L436="F-30",3,IF(L436="F-60",4,IF(L436="F-90",5,IF(L436="F-120",6,0))))),0),0)</f>
        <v>0</v>
      </c>
      <c r="Q436" s="46">
        <f t="shared" si="54"/>
        <v>0</v>
      </c>
      <c r="R436" s="46">
        <f t="shared" si="55"/>
        <v>0</v>
      </c>
      <c r="S436" s="46" t="e">
        <f t="shared" si="56"/>
        <v>#VALUE!</v>
      </c>
      <c r="T436" s="677">
        <f t="shared" si="57"/>
        <v>0</v>
      </c>
      <c r="U436" s="80">
        <f>(IF(O436="Stofire",(S436*#REF!),0))+(IF(O436="Fire Control",(S436*$U$2),0))+(IF(O436="Fire Tex",(S436*$U$3),0))+(IF(O436="WB7",(S436*#REF!),0)+(IF(O436="FX 2003",(S436*$U$5),0)))</f>
        <v>0</v>
      </c>
      <c r="V436" s="651">
        <f t="shared" si="58"/>
        <v>0</v>
      </c>
    </row>
    <row r="437" spans="4:22" x14ac:dyDescent="0.25">
      <c r="D437" s="118">
        <f>+CUBICACION!D436</f>
        <v>0</v>
      </c>
      <c r="E437" s="118">
        <f>+CUBICACION!F436</f>
        <v>0</v>
      </c>
      <c r="F437" s="118">
        <f>+CUBICACION!E436</f>
        <v>0</v>
      </c>
      <c r="G437" s="118">
        <v>12</v>
      </c>
      <c r="H437" s="118">
        <v>2</v>
      </c>
      <c r="I437" s="820">
        <v>26385</v>
      </c>
      <c r="J437" s="118">
        <f>+CUBICACION!J436</f>
        <v>0</v>
      </c>
      <c r="K437" s="118">
        <v>3216</v>
      </c>
      <c r="L437" s="118">
        <f>+CUBICACION!L436</f>
        <v>0</v>
      </c>
      <c r="M437" s="64">
        <f>+CUBICACION!M436</f>
        <v>0</v>
      </c>
      <c r="N437" s="824" t="str">
        <f>+CUBICACION!N436</f>
        <v/>
      </c>
      <c r="O437" s="675">
        <f>+CUBICACION!O436</f>
        <v>0</v>
      </c>
      <c r="P437" s="15">
        <f>IF(O437="Fire Control",VLOOKUP(_xlfn.MINIFS('FIRE CONTROL'!$C$4:$C$37,'FIRE CONTROL'!$C$4:$C$37,"&gt;="&amp;M437),'FIRE CONTROL'!$C$4:$G$37,IF(L437="F-15",2,IF(L437="F-30",3,IF(L437="F-60",4,IF(L437="F-90",5,0)))),0),0)+IF(AND(O437="FIRE TEX 5062",OR(E437="IN",E437="C",E437="Z",E437="L"),J437=3),VLOOKUP(_xlfn.MINIFS('FIRE TEX 5062'!$B$4:$B$34,'FIRE TEX 5062'!$B$4:$B$34,"&gt;="&amp;M437),'FIRE TEX 5062'!$B$4:$F$34,IF(L437="F-15",2,IF(L437="F-30",3,IF(L437="F-60",4,IF(L437="F-90",5,0)))),0),0)+IF(AND(O437="FIRE TEX 5062",OR(E437="IN",E437="C",E437="Z",E437="L"),J437=4),VLOOKUP(_xlfn.MINIFS('FIRE TEX 5062'!$G$4:$G$34,'FIRE TEX 5062'!$G$4:$G$34,"&gt;="&amp;M437),'FIRE TEX 5062'!$G$4:$K$34,IF(L437="F-15",2,IF(L437="F-30",3,IF(L437="F-60",4,IF(L437="F-90",5,0)))),0),0)+IF(AND(O437="FIRE TEX 5062",E437="CJ",J437=3),VLOOKUP(_xlfn.MINIFS('FIRE TEX 5062'!$L$4:$L$34,'FIRE TEX 5062'!$L$4:$L$34,"&gt;="&amp;M437),'FIRE TEX 5062'!$L$4:$P$34,IF(L437="F-15",2,IF(L437="F-30",3,IF(L437="F-60",4,IF(L437="F-90",5,0)))),0),0)+IF(AND(O437="FIRE TEX 5062",E437="CJ",J437=4),VLOOKUP(_xlfn.MINIFS('FIRE TEX 5062'!$Q$3:$Q$34,'FIRE TEX 5062'!$Q$3:$Q$34,"&gt;="&amp;M437),'FIRE TEX 5062'!$Q$3:$U$34,IF(L437="F-15",2,IF(L437="F-30",3,IF(L437="F-60",4,IF(L437="F-90",5,0)))),0),0)+IF(AND(O437="FIRE TEX 5090",OR(E437="IN",E437="C",E437="Z",E437="L"),J437=3),VLOOKUP(_xlfn.MINIFS('FIRE TEX 5090'!$B$5:$B$43,'FIRE TEX 5090'!$B$5:$B$43,"&gt;="&amp;M437),'FIRE TEX 5090'!$B$5:$H$43,IF(L437="F-15",2,IF(L437="F-30",3,IF(L437="F-60",4,IF(L437="F-90",5,IF(L437="F-120",6,IF(L437="F-150",7,0)))))),0),0)+IF(AND(O437="FIRE TEX 5090",OR(E437="IN",E437="C",E437="Z",E437="L"),J437=4),VLOOKUP(_xlfn.MINIFS('FIRE TEX 5090'!$J$5:$J$43,'FIRE TEX 5090'!$J$5:$J$43,"&gt;="&amp;M437),'FIRE TEX 5090'!$J$5:$P$43,IF(L437="F-15",2,IF(L437="F-30",3,IF(L437="F-60",4,IF(L437="F-90",5,IF(L437="F-120",6,IF(L437="F-150",7,0)))))),0),0)+IF(AND(O437="FIRE TEX 5090",E437="CJ",J437=3),VLOOKUP(_xlfn.MINIFS('FIRE TEX 5090'!$R$5:$R$30,'FIRE TEX 5090'!$R$5:$R$30,"&gt;="&amp;M437),'FIRE TEX 5090'!$R$5:$W$30,IF(L437="F-15",2,IF(L437="F-30",3,IF(L437="F-60",4,IF(L437="F-90",5,IF(L437="F-120",6,IF(L437="F-150",7,0)))))),0),0)+IF(AND(O437="FIRE TEX 5090",E437="CJ",J437=4),VLOOKUP(_xlfn.MINIFS('FIRE TEX 5090'!$Y$5:$Y$39,'FIRE TEX 5090'!$Y$5:$Y$39,"&gt;="&amp;M437),'FIRE TEX 5090'!$Y$5:$AD$39,IF(L437="F-15",2,IF(L437="F-30",3,IF(L437="F-60",4,IF(L437="F-90",5,IF(L437="F-120",6,IF(L437="F-150",7,0)))))),0),0)+IF(AND(O437="FIRE TEX 5120",OR(E437="IN",E437="C",E437="Z",E437="L"),J437=3),VLOOKUP(_xlfn.MINIFS('FIRE TEX 5120'!$B$5:$B$40,'FIRE TEX 5120'!$B$5:$B$40,"&gt;="&amp;M437),'FIRE TEX 5120'!$B$5:$G$40,IF(L437="F-15",2,IF(L437="F-30",3,IF(L437="F-60",4,IF(L437="F-90",5,IF(L437="F-120",6,0))))),0),0)+IF(AND(O437="FIRE TEX 5120",OR(E437="IN",E437="C",E437="Z",E437="L"),J437=4),VLOOKUP(_xlfn.MINIFS('FIRE TEX 5120'!$H$4:$H$40,'FIRE TEX 5120'!$H$4:$H$40,"&gt;="&amp;M437),'FIRE TEX 5120'!$H$4:$M$40,IF(L437="F-15",2,IF(L437="F-30",3,IF(L437="F-60",4,IF(L437="F-90",5,IF(L437="F-120",6,0))))),0),0)+IF(AND(O437="FIRE TEX 5120",E437="CJ"),VLOOKUP(_xlfn.MINIFS('FIRE TEX 5120'!$O$5:$O$40,'FIRE TEX 5120'!$O$5:$O$40,"&gt;="&amp;M437),'FIRE TEX 5120'!$O$5:$T$40,IF(L437="F-15",2,IF(L437="F-30",3,IF(L437="F-60",4,IF(L437="F-90",5,IF(L437="F-120",6,0))))),0),0)</f>
        <v>0</v>
      </c>
      <c r="Q437" s="46">
        <f t="shared" si="54"/>
        <v>0</v>
      </c>
      <c r="R437" s="46">
        <f t="shared" si="55"/>
        <v>0</v>
      </c>
      <c r="S437" s="46" t="e">
        <f t="shared" si="56"/>
        <v>#VALUE!</v>
      </c>
      <c r="T437" s="677">
        <f t="shared" si="57"/>
        <v>0</v>
      </c>
      <c r="U437" s="80">
        <f>(IF(O437="Stofire",(S437*#REF!),0))+(IF(O437="Fire Control",(S437*$U$2),0))+(IF(O437="Fire Tex",(S437*$U$3),0))+(IF(O437="WB7",(S437*#REF!),0)+(IF(O437="FX 2003",(S437*$U$5),0)))</f>
        <v>0</v>
      </c>
      <c r="V437" s="651">
        <f t="shared" si="58"/>
        <v>0</v>
      </c>
    </row>
    <row r="438" spans="4:22" x14ac:dyDescent="0.25">
      <c r="D438" s="118">
        <f>+CUBICACION!D437</f>
        <v>0</v>
      </c>
      <c r="E438" s="118">
        <f>+CUBICACION!F437</f>
        <v>0</v>
      </c>
      <c r="F438" s="118">
        <f>+CUBICACION!E437</f>
        <v>0</v>
      </c>
      <c r="G438" s="118">
        <v>12</v>
      </c>
      <c r="H438" s="118">
        <v>2</v>
      </c>
      <c r="I438" s="820">
        <v>26385</v>
      </c>
      <c r="J438" s="118">
        <f>+CUBICACION!J437</f>
        <v>0</v>
      </c>
      <c r="K438" s="118">
        <v>3217</v>
      </c>
      <c r="L438" s="118">
        <f>+CUBICACION!L437</f>
        <v>0</v>
      </c>
      <c r="M438" s="64">
        <f>+CUBICACION!M437</f>
        <v>0</v>
      </c>
      <c r="N438" s="824" t="str">
        <f>+CUBICACION!N437</f>
        <v/>
      </c>
      <c r="O438" s="675">
        <f>+CUBICACION!O437</f>
        <v>0</v>
      </c>
      <c r="P438" s="15">
        <f>IF(O438="Fire Control",VLOOKUP(_xlfn.MINIFS('FIRE CONTROL'!$C$4:$C$37,'FIRE CONTROL'!$C$4:$C$37,"&gt;="&amp;M438),'FIRE CONTROL'!$C$4:$G$37,IF(L438="F-15",2,IF(L438="F-30",3,IF(L438="F-60",4,IF(L438="F-90",5,0)))),0),0)+IF(AND(O438="FIRE TEX 5062",OR(E438="IN",E438="C",E438="Z",E438="L"),J438=3),VLOOKUP(_xlfn.MINIFS('FIRE TEX 5062'!$B$4:$B$34,'FIRE TEX 5062'!$B$4:$B$34,"&gt;="&amp;M438),'FIRE TEX 5062'!$B$4:$F$34,IF(L438="F-15",2,IF(L438="F-30",3,IF(L438="F-60",4,IF(L438="F-90",5,0)))),0),0)+IF(AND(O438="FIRE TEX 5062",OR(E438="IN",E438="C",E438="Z",E438="L"),J438=4),VLOOKUP(_xlfn.MINIFS('FIRE TEX 5062'!$G$4:$G$34,'FIRE TEX 5062'!$G$4:$G$34,"&gt;="&amp;M438),'FIRE TEX 5062'!$G$4:$K$34,IF(L438="F-15",2,IF(L438="F-30",3,IF(L438="F-60",4,IF(L438="F-90",5,0)))),0),0)+IF(AND(O438="FIRE TEX 5062",E438="CJ",J438=3),VLOOKUP(_xlfn.MINIFS('FIRE TEX 5062'!$L$4:$L$34,'FIRE TEX 5062'!$L$4:$L$34,"&gt;="&amp;M438),'FIRE TEX 5062'!$L$4:$P$34,IF(L438="F-15",2,IF(L438="F-30",3,IF(L438="F-60",4,IF(L438="F-90",5,0)))),0),0)+IF(AND(O438="FIRE TEX 5062",E438="CJ",J438=4),VLOOKUP(_xlfn.MINIFS('FIRE TEX 5062'!$Q$3:$Q$34,'FIRE TEX 5062'!$Q$3:$Q$34,"&gt;="&amp;M438),'FIRE TEX 5062'!$Q$3:$U$34,IF(L438="F-15",2,IF(L438="F-30",3,IF(L438="F-60",4,IF(L438="F-90",5,0)))),0),0)+IF(AND(O438="FIRE TEX 5090",OR(E438="IN",E438="C",E438="Z",E438="L"),J438=3),VLOOKUP(_xlfn.MINIFS('FIRE TEX 5090'!$B$5:$B$43,'FIRE TEX 5090'!$B$5:$B$43,"&gt;="&amp;M438),'FIRE TEX 5090'!$B$5:$H$43,IF(L438="F-15",2,IF(L438="F-30",3,IF(L438="F-60",4,IF(L438="F-90",5,IF(L438="F-120",6,IF(L438="F-150",7,0)))))),0),0)+IF(AND(O438="FIRE TEX 5090",OR(E438="IN",E438="C",E438="Z",E438="L"),J438=4),VLOOKUP(_xlfn.MINIFS('FIRE TEX 5090'!$J$5:$J$43,'FIRE TEX 5090'!$J$5:$J$43,"&gt;="&amp;M438),'FIRE TEX 5090'!$J$5:$P$43,IF(L438="F-15",2,IF(L438="F-30",3,IF(L438="F-60",4,IF(L438="F-90",5,IF(L438="F-120",6,IF(L438="F-150",7,0)))))),0),0)+IF(AND(O438="FIRE TEX 5090",E438="CJ",J438=3),VLOOKUP(_xlfn.MINIFS('FIRE TEX 5090'!$R$5:$R$30,'FIRE TEX 5090'!$R$5:$R$30,"&gt;="&amp;M438),'FIRE TEX 5090'!$R$5:$W$30,IF(L438="F-15",2,IF(L438="F-30",3,IF(L438="F-60",4,IF(L438="F-90",5,IF(L438="F-120",6,IF(L438="F-150",7,0)))))),0),0)+IF(AND(O438="FIRE TEX 5090",E438="CJ",J438=4),VLOOKUP(_xlfn.MINIFS('FIRE TEX 5090'!$Y$5:$Y$39,'FIRE TEX 5090'!$Y$5:$Y$39,"&gt;="&amp;M438),'FIRE TEX 5090'!$Y$5:$AD$39,IF(L438="F-15",2,IF(L438="F-30",3,IF(L438="F-60",4,IF(L438="F-90",5,IF(L438="F-120",6,IF(L438="F-150",7,0)))))),0),0)+IF(AND(O438="FIRE TEX 5120",OR(E438="IN",E438="C",E438="Z",E438="L"),J438=3),VLOOKUP(_xlfn.MINIFS('FIRE TEX 5120'!$B$5:$B$40,'FIRE TEX 5120'!$B$5:$B$40,"&gt;="&amp;M438),'FIRE TEX 5120'!$B$5:$G$40,IF(L438="F-15",2,IF(L438="F-30",3,IF(L438="F-60",4,IF(L438="F-90",5,IF(L438="F-120",6,0))))),0),0)+IF(AND(O438="FIRE TEX 5120",OR(E438="IN",E438="C",E438="Z",E438="L"),J438=4),VLOOKUP(_xlfn.MINIFS('FIRE TEX 5120'!$H$4:$H$40,'FIRE TEX 5120'!$H$4:$H$40,"&gt;="&amp;M438),'FIRE TEX 5120'!$H$4:$M$40,IF(L438="F-15",2,IF(L438="F-30",3,IF(L438="F-60",4,IF(L438="F-90",5,IF(L438="F-120",6,0))))),0),0)+IF(AND(O438="FIRE TEX 5120",E438="CJ"),VLOOKUP(_xlfn.MINIFS('FIRE TEX 5120'!$O$5:$O$40,'FIRE TEX 5120'!$O$5:$O$40,"&gt;="&amp;M438),'FIRE TEX 5120'!$O$5:$T$40,IF(L438="F-15",2,IF(L438="F-30",3,IF(L438="F-60",4,IF(L438="F-90",5,IF(L438="F-120",6,0))))),0),0)</f>
        <v>0</v>
      </c>
      <c r="Q438" s="46">
        <f t="shared" si="54"/>
        <v>0</v>
      </c>
      <c r="R438" s="46">
        <f t="shared" si="55"/>
        <v>0</v>
      </c>
      <c r="S438" s="46" t="e">
        <f t="shared" si="56"/>
        <v>#VALUE!</v>
      </c>
      <c r="T438" s="677">
        <f t="shared" si="57"/>
        <v>0</v>
      </c>
      <c r="U438" s="80">
        <f>(IF(O438="Stofire",(S438*#REF!),0))+(IF(O438="Fire Control",(S438*$U$2),0))+(IF(O438="Fire Tex",(S438*$U$3),0))+(IF(O438="WB7",(S438*#REF!),0)+(IF(O438="FX 2003",(S438*$U$5),0)))</f>
        <v>0</v>
      </c>
      <c r="V438" s="651">
        <f t="shared" si="58"/>
        <v>0</v>
      </c>
    </row>
    <row r="439" spans="4:22" x14ac:dyDescent="0.25">
      <c r="D439" s="118">
        <f>+CUBICACION!D438</f>
        <v>0</v>
      </c>
      <c r="E439" s="118">
        <f>+CUBICACION!F438</f>
        <v>0</v>
      </c>
      <c r="F439" s="118">
        <f>+CUBICACION!E438</f>
        <v>0</v>
      </c>
      <c r="G439" s="118">
        <v>12</v>
      </c>
      <c r="H439" s="118">
        <v>2</v>
      </c>
      <c r="I439" s="820">
        <v>26385</v>
      </c>
      <c r="J439" s="118">
        <f>+CUBICACION!J438</f>
        <v>0</v>
      </c>
      <c r="K439" s="118">
        <v>3218</v>
      </c>
      <c r="L439" s="118">
        <f>+CUBICACION!L438</f>
        <v>0</v>
      </c>
      <c r="M439" s="64">
        <f>+CUBICACION!M438</f>
        <v>0</v>
      </c>
      <c r="N439" s="824" t="str">
        <f>+CUBICACION!N438</f>
        <v/>
      </c>
      <c r="O439" s="675">
        <f>+CUBICACION!O438</f>
        <v>0</v>
      </c>
      <c r="P439" s="15">
        <f>IF(O439="Fire Control",VLOOKUP(_xlfn.MINIFS('FIRE CONTROL'!$C$4:$C$37,'FIRE CONTROL'!$C$4:$C$37,"&gt;="&amp;M439),'FIRE CONTROL'!$C$4:$G$37,IF(L439="F-15",2,IF(L439="F-30",3,IF(L439="F-60",4,IF(L439="F-90",5,0)))),0),0)+IF(AND(O439="FIRE TEX 5062",OR(E439="IN",E439="C",E439="Z",E439="L"),J439=3),VLOOKUP(_xlfn.MINIFS('FIRE TEX 5062'!$B$4:$B$34,'FIRE TEX 5062'!$B$4:$B$34,"&gt;="&amp;M439),'FIRE TEX 5062'!$B$4:$F$34,IF(L439="F-15",2,IF(L439="F-30",3,IF(L439="F-60",4,IF(L439="F-90",5,0)))),0),0)+IF(AND(O439="FIRE TEX 5062",OR(E439="IN",E439="C",E439="Z",E439="L"),J439=4),VLOOKUP(_xlfn.MINIFS('FIRE TEX 5062'!$G$4:$G$34,'FIRE TEX 5062'!$G$4:$G$34,"&gt;="&amp;M439),'FIRE TEX 5062'!$G$4:$K$34,IF(L439="F-15",2,IF(L439="F-30",3,IF(L439="F-60",4,IF(L439="F-90",5,0)))),0),0)+IF(AND(O439="FIRE TEX 5062",E439="CJ",J439=3),VLOOKUP(_xlfn.MINIFS('FIRE TEX 5062'!$L$4:$L$34,'FIRE TEX 5062'!$L$4:$L$34,"&gt;="&amp;M439),'FIRE TEX 5062'!$L$4:$P$34,IF(L439="F-15",2,IF(L439="F-30",3,IF(L439="F-60",4,IF(L439="F-90",5,0)))),0),0)+IF(AND(O439="FIRE TEX 5062",E439="CJ",J439=4),VLOOKUP(_xlfn.MINIFS('FIRE TEX 5062'!$Q$3:$Q$34,'FIRE TEX 5062'!$Q$3:$Q$34,"&gt;="&amp;M439),'FIRE TEX 5062'!$Q$3:$U$34,IF(L439="F-15",2,IF(L439="F-30",3,IF(L439="F-60",4,IF(L439="F-90",5,0)))),0),0)+IF(AND(O439="FIRE TEX 5090",OR(E439="IN",E439="C",E439="Z",E439="L"),J439=3),VLOOKUP(_xlfn.MINIFS('FIRE TEX 5090'!$B$5:$B$43,'FIRE TEX 5090'!$B$5:$B$43,"&gt;="&amp;M439),'FIRE TEX 5090'!$B$5:$H$43,IF(L439="F-15",2,IF(L439="F-30",3,IF(L439="F-60",4,IF(L439="F-90",5,IF(L439="F-120",6,IF(L439="F-150",7,0)))))),0),0)+IF(AND(O439="FIRE TEX 5090",OR(E439="IN",E439="C",E439="Z",E439="L"),J439=4),VLOOKUP(_xlfn.MINIFS('FIRE TEX 5090'!$J$5:$J$43,'FIRE TEX 5090'!$J$5:$J$43,"&gt;="&amp;M439),'FIRE TEX 5090'!$J$5:$P$43,IF(L439="F-15",2,IF(L439="F-30",3,IF(L439="F-60",4,IF(L439="F-90",5,IF(L439="F-120",6,IF(L439="F-150",7,0)))))),0),0)+IF(AND(O439="FIRE TEX 5090",E439="CJ",J439=3),VLOOKUP(_xlfn.MINIFS('FIRE TEX 5090'!$R$5:$R$30,'FIRE TEX 5090'!$R$5:$R$30,"&gt;="&amp;M439),'FIRE TEX 5090'!$R$5:$W$30,IF(L439="F-15",2,IF(L439="F-30",3,IF(L439="F-60",4,IF(L439="F-90",5,IF(L439="F-120",6,IF(L439="F-150",7,0)))))),0),0)+IF(AND(O439="FIRE TEX 5090",E439="CJ",J439=4),VLOOKUP(_xlfn.MINIFS('FIRE TEX 5090'!$Y$5:$Y$39,'FIRE TEX 5090'!$Y$5:$Y$39,"&gt;="&amp;M439),'FIRE TEX 5090'!$Y$5:$AD$39,IF(L439="F-15",2,IF(L439="F-30",3,IF(L439="F-60",4,IF(L439="F-90",5,IF(L439="F-120",6,IF(L439="F-150",7,0)))))),0),0)+IF(AND(O439="FIRE TEX 5120",OR(E439="IN",E439="C",E439="Z",E439="L"),J439=3),VLOOKUP(_xlfn.MINIFS('FIRE TEX 5120'!$B$5:$B$40,'FIRE TEX 5120'!$B$5:$B$40,"&gt;="&amp;M439),'FIRE TEX 5120'!$B$5:$G$40,IF(L439="F-15",2,IF(L439="F-30",3,IF(L439="F-60",4,IF(L439="F-90",5,IF(L439="F-120",6,0))))),0),0)+IF(AND(O439="FIRE TEX 5120",OR(E439="IN",E439="C",E439="Z",E439="L"),J439=4),VLOOKUP(_xlfn.MINIFS('FIRE TEX 5120'!$H$4:$H$40,'FIRE TEX 5120'!$H$4:$H$40,"&gt;="&amp;M439),'FIRE TEX 5120'!$H$4:$M$40,IF(L439="F-15",2,IF(L439="F-30",3,IF(L439="F-60",4,IF(L439="F-90",5,IF(L439="F-120",6,0))))),0),0)+IF(AND(O439="FIRE TEX 5120",E439="CJ"),VLOOKUP(_xlfn.MINIFS('FIRE TEX 5120'!$O$5:$O$40,'FIRE TEX 5120'!$O$5:$O$40,"&gt;="&amp;M439),'FIRE TEX 5120'!$O$5:$T$40,IF(L439="F-15",2,IF(L439="F-30",3,IF(L439="F-60",4,IF(L439="F-90",5,IF(L439="F-120",6,0))))),0),0)</f>
        <v>0</v>
      </c>
      <c r="Q439" s="46">
        <f t="shared" si="54"/>
        <v>0</v>
      </c>
      <c r="R439" s="46">
        <f t="shared" si="55"/>
        <v>0</v>
      </c>
      <c r="S439" s="46" t="e">
        <f t="shared" si="56"/>
        <v>#VALUE!</v>
      </c>
      <c r="T439" s="677">
        <f t="shared" si="57"/>
        <v>0</v>
      </c>
      <c r="U439" s="80">
        <f>(IF(O439="Stofire",(S439*#REF!),0))+(IF(O439="Fire Control",(S439*$U$2),0))+(IF(O439="Fire Tex",(S439*$U$3),0))+(IF(O439="WB7",(S439*#REF!),0)+(IF(O439="FX 2003",(S439*$U$5),0)))</f>
        <v>0</v>
      </c>
      <c r="V439" s="651">
        <f t="shared" si="58"/>
        <v>0</v>
      </c>
    </row>
    <row r="440" spans="4:22" x14ac:dyDescent="0.25">
      <c r="D440" s="118">
        <f>+CUBICACION!D439</f>
        <v>0</v>
      </c>
      <c r="E440" s="118">
        <f>+CUBICACION!F439</f>
        <v>0</v>
      </c>
      <c r="F440" s="118">
        <f>+CUBICACION!E439</f>
        <v>0</v>
      </c>
      <c r="G440" s="118">
        <v>12</v>
      </c>
      <c r="H440" s="118">
        <v>2</v>
      </c>
      <c r="I440" s="820">
        <v>26385</v>
      </c>
      <c r="J440" s="118">
        <f>+CUBICACION!J439</f>
        <v>0</v>
      </c>
      <c r="K440" s="118">
        <v>3219</v>
      </c>
      <c r="L440" s="118">
        <f>+CUBICACION!L439</f>
        <v>0</v>
      </c>
      <c r="M440" s="64">
        <f>+CUBICACION!M439</f>
        <v>0</v>
      </c>
      <c r="N440" s="824" t="str">
        <f>+CUBICACION!N439</f>
        <v/>
      </c>
      <c r="O440" s="675">
        <f>+CUBICACION!O439</f>
        <v>0</v>
      </c>
      <c r="P440" s="15">
        <f>IF(O440="Fire Control",VLOOKUP(_xlfn.MINIFS('FIRE CONTROL'!$C$4:$C$37,'FIRE CONTROL'!$C$4:$C$37,"&gt;="&amp;M440),'FIRE CONTROL'!$C$4:$G$37,IF(L440="F-15",2,IF(L440="F-30",3,IF(L440="F-60",4,IF(L440="F-90",5,0)))),0),0)+IF(AND(O440="FIRE TEX 5062",OR(E440="IN",E440="C",E440="Z",E440="L"),J440=3),VLOOKUP(_xlfn.MINIFS('FIRE TEX 5062'!$B$4:$B$34,'FIRE TEX 5062'!$B$4:$B$34,"&gt;="&amp;M440),'FIRE TEX 5062'!$B$4:$F$34,IF(L440="F-15",2,IF(L440="F-30",3,IF(L440="F-60",4,IF(L440="F-90",5,0)))),0),0)+IF(AND(O440="FIRE TEX 5062",OR(E440="IN",E440="C",E440="Z",E440="L"),J440=4),VLOOKUP(_xlfn.MINIFS('FIRE TEX 5062'!$G$4:$G$34,'FIRE TEX 5062'!$G$4:$G$34,"&gt;="&amp;M440),'FIRE TEX 5062'!$G$4:$K$34,IF(L440="F-15",2,IF(L440="F-30",3,IF(L440="F-60",4,IF(L440="F-90",5,0)))),0),0)+IF(AND(O440="FIRE TEX 5062",E440="CJ",J440=3),VLOOKUP(_xlfn.MINIFS('FIRE TEX 5062'!$L$4:$L$34,'FIRE TEX 5062'!$L$4:$L$34,"&gt;="&amp;M440),'FIRE TEX 5062'!$L$4:$P$34,IF(L440="F-15",2,IF(L440="F-30",3,IF(L440="F-60",4,IF(L440="F-90",5,0)))),0),0)+IF(AND(O440="FIRE TEX 5062",E440="CJ",J440=4),VLOOKUP(_xlfn.MINIFS('FIRE TEX 5062'!$Q$3:$Q$34,'FIRE TEX 5062'!$Q$3:$Q$34,"&gt;="&amp;M440),'FIRE TEX 5062'!$Q$3:$U$34,IF(L440="F-15",2,IF(L440="F-30",3,IF(L440="F-60",4,IF(L440="F-90",5,0)))),0),0)+IF(AND(O440="FIRE TEX 5090",OR(E440="IN",E440="C",E440="Z",E440="L"),J440=3),VLOOKUP(_xlfn.MINIFS('FIRE TEX 5090'!$B$5:$B$43,'FIRE TEX 5090'!$B$5:$B$43,"&gt;="&amp;M440),'FIRE TEX 5090'!$B$5:$H$43,IF(L440="F-15",2,IF(L440="F-30",3,IF(L440="F-60",4,IF(L440="F-90",5,IF(L440="F-120",6,IF(L440="F-150",7,0)))))),0),0)+IF(AND(O440="FIRE TEX 5090",OR(E440="IN",E440="C",E440="Z",E440="L"),J440=4),VLOOKUP(_xlfn.MINIFS('FIRE TEX 5090'!$J$5:$J$43,'FIRE TEX 5090'!$J$5:$J$43,"&gt;="&amp;M440),'FIRE TEX 5090'!$J$5:$P$43,IF(L440="F-15",2,IF(L440="F-30",3,IF(L440="F-60",4,IF(L440="F-90",5,IF(L440="F-120",6,IF(L440="F-150",7,0)))))),0),0)+IF(AND(O440="FIRE TEX 5090",E440="CJ",J440=3),VLOOKUP(_xlfn.MINIFS('FIRE TEX 5090'!$R$5:$R$30,'FIRE TEX 5090'!$R$5:$R$30,"&gt;="&amp;M440),'FIRE TEX 5090'!$R$5:$W$30,IF(L440="F-15",2,IF(L440="F-30",3,IF(L440="F-60",4,IF(L440="F-90",5,IF(L440="F-120",6,IF(L440="F-150",7,0)))))),0),0)+IF(AND(O440="FIRE TEX 5090",E440="CJ",J440=4),VLOOKUP(_xlfn.MINIFS('FIRE TEX 5090'!$Y$5:$Y$39,'FIRE TEX 5090'!$Y$5:$Y$39,"&gt;="&amp;M440),'FIRE TEX 5090'!$Y$5:$AD$39,IF(L440="F-15",2,IF(L440="F-30",3,IF(L440="F-60",4,IF(L440="F-90",5,IF(L440="F-120",6,IF(L440="F-150",7,0)))))),0),0)+IF(AND(O440="FIRE TEX 5120",OR(E440="IN",E440="C",E440="Z",E440="L"),J440=3),VLOOKUP(_xlfn.MINIFS('FIRE TEX 5120'!$B$5:$B$40,'FIRE TEX 5120'!$B$5:$B$40,"&gt;="&amp;M440),'FIRE TEX 5120'!$B$5:$G$40,IF(L440="F-15",2,IF(L440="F-30",3,IF(L440="F-60",4,IF(L440="F-90",5,IF(L440="F-120",6,0))))),0),0)+IF(AND(O440="FIRE TEX 5120",OR(E440="IN",E440="C",E440="Z",E440="L"),J440=4),VLOOKUP(_xlfn.MINIFS('FIRE TEX 5120'!$H$4:$H$40,'FIRE TEX 5120'!$H$4:$H$40,"&gt;="&amp;M440),'FIRE TEX 5120'!$H$4:$M$40,IF(L440="F-15",2,IF(L440="F-30",3,IF(L440="F-60",4,IF(L440="F-90",5,IF(L440="F-120",6,0))))),0),0)+IF(AND(O440="FIRE TEX 5120",E440="CJ"),VLOOKUP(_xlfn.MINIFS('FIRE TEX 5120'!$O$5:$O$40,'FIRE TEX 5120'!$O$5:$O$40,"&gt;="&amp;M440),'FIRE TEX 5120'!$O$5:$T$40,IF(L440="F-15",2,IF(L440="F-30",3,IF(L440="F-60",4,IF(L440="F-90",5,IF(L440="F-120",6,0))))),0),0)</f>
        <v>0</v>
      </c>
      <c r="Q440" s="46">
        <f t="shared" si="54"/>
        <v>0</v>
      </c>
      <c r="R440" s="46">
        <f t="shared" si="55"/>
        <v>0</v>
      </c>
      <c r="S440" s="46" t="e">
        <f t="shared" si="56"/>
        <v>#VALUE!</v>
      </c>
      <c r="T440" s="677">
        <f t="shared" si="57"/>
        <v>0</v>
      </c>
      <c r="U440" s="80">
        <f>(IF(O440="Stofire",(S440*#REF!),0))+(IF(O440="Fire Control",(S440*$U$2),0))+(IF(O440="Fire Tex",(S440*$U$3),0))+(IF(O440="WB7",(S440*#REF!),0)+(IF(O440="FX 2003",(S440*$U$5),0)))</f>
        <v>0</v>
      </c>
      <c r="V440" s="651">
        <f t="shared" si="58"/>
        <v>0</v>
      </c>
    </row>
    <row r="441" spans="4:22" x14ac:dyDescent="0.25">
      <c r="D441" s="118">
        <f>+CUBICACION!D440</f>
        <v>0</v>
      </c>
      <c r="E441" s="118">
        <f>+CUBICACION!F440</f>
        <v>0</v>
      </c>
      <c r="F441" s="118">
        <f>+CUBICACION!E440</f>
        <v>0</v>
      </c>
      <c r="G441" s="118">
        <v>12</v>
      </c>
      <c r="H441" s="118">
        <v>2</v>
      </c>
      <c r="I441" s="820">
        <v>26385</v>
      </c>
      <c r="J441" s="118">
        <f>+CUBICACION!J440</f>
        <v>0</v>
      </c>
      <c r="K441" s="118">
        <v>3220</v>
      </c>
      <c r="L441" s="118">
        <f>+CUBICACION!L440</f>
        <v>0</v>
      </c>
      <c r="M441" s="64">
        <f>+CUBICACION!M440</f>
        <v>0</v>
      </c>
      <c r="N441" s="824" t="str">
        <f>+CUBICACION!N440</f>
        <v/>
      </c>
      <c r="O441" s="675">
        <f>+CUBICACION!O440</f>
        <v>0</v>
      </c>
      <c r="P441" s="15">
        <f>IF(O441="Fire Control",VLOOKUP(_xlfn.MINIFS('FIRE CONTROL'!$C$4:$C$37,'FIRE CONTROL'!$C$4:$C$37,"&gt;="&amp;M441),'FIRE CONTROL'!$C$4:$G$37,IF(L441="F-15",2,IF(L441="F-30",3,IF(L441="F-60",4,IF(L441="F-90",5,0)))),0),0)+IF(AND(O441="FIRE TEX 5062",OR(E441="IN",E441="C",E441="Z",E441="L"),J441=3),VLOOKUP(_xlfn.MINIFS('FIRE TEX 5062'!$B$4:$B$34,'FIRE TEX 5062'!$B$4:$B$34,"&gt;="&amp;M441),'FIRE TEX 5062'!$B$4:$F$34,IF(L441="F-15",2,IF(L441="F-30",3,IF(L441="F-60",4,IF(L441="F-90",5,0)))),0),0)+IF(AND(O441="FIRE TEX 5062",OR(E441="IN",E441="C",E441="Z",E441="L"),J441=4),VLOOKUP(_xlfn.MINIFS('FIRE TEX 5062'!$G$4:$G$34,'FIRE TEX 5062'!$G$4:$G$34,"&gt;="&amp;M441),'FIRE TEX 5062'!$G$4:$K$34,IF(L441="F-15",2,IF(L441="F-30",3,IF(L441="F-60",4,IF(L441="F-90",5,0)))),0),0)+IF(AND(O441="FIRE TEX 5062",E441="CJ",J441=3),VLOOKUP(_xlfn.MINIFS('FIRE TEX 5062'!$L$4:$L$34,'FIRE TEX 5062'!$L$4:$L$34,"&gt;="&amp;M441),'FIRE TEX 5062'!$L$4:$P$34,IF(L441="F-15",2,IF(L441="F-30",3,IF(L441="F-60",4,IF(L441="F-90",5,0)))),0),0)+IF(AND(O441="FIRE TEX 5062",E441="CJ",J441=4),VLOOKUP(_xlfn.MINIFS('FIRE TEX 5062'!$Q$3:$Q$34,'FIRE TEX 5062'!$Q$3:$Q$34,"&gt;="&amp;M441),'FIRE TEX 5062'!$Q$3:$U$34,IF(L441="F-15",2,IF(L441="F-30",3,IF(L441="F-60",4,IF(L441="F-90",5,0)))),0),0)+IF(AND(O441="FIRE TEX 5090",OR(E441="IN",E441="C",E441="Z",E441="L"),J441=3),VLOOKUP(_xlfn.MINIFS('FIRE TEX 5090'!$B$5:$B$43,'FIRE TEX 5090'!$B$5:$B$43,"&gt;="&amp;M441),'FIRE TEX 5090'!$B$5:$H$43,IF(L441="F-15",2,IF(L441="F-30",3,IF(L441="F-60",4,IF(L441="F-90",5,IF(L441="F-120",6,IF(L441="F-150",7,0)))))),0),0)+IF(AND(O441="FIRE TEX 5090",OR(E441="IN",E441="C",E441="Z",E441="L"),J441=4),VLOOKUP(_xlfn.MINIFS('FIRE TEX 5090'!$J$5:$J$43,'FIRE TEX 5090'!$J$5:$J$43,"&gt;="&amp;M441),'FIRE TEX 5090'!$J$5:$P$43,IF(L441="F-15",2,IF(L441="F-30",3,IF(L441="F-60",4,IF(L441="F-90",5,IF(L441="F-120",6,IF(L441="F-150",7,0)))))),0),0)+IF(AND(O441="FIRE TEX 5090",E441="CJ",J441=3),VLOOKUP(_xlfn.MINIFS('FIRE TEX 5090'!$R$5:$R$30,'FIRE TEX 5090'!$R$5:$R$30,"&gt;="&amp;M441),'FIRE TEX 5090'!$R$5:$W$30,IF(L441="F-15",2,IF(L441="F-30",3,IF(L441="F-60",4,IF(L441="F-90",5,IF(L441="F-120",6,IF(L441="F-150",7,0)))))),0),0)+IF(AND(O441="FIRE TEX 5090",E441="CJ",J441=4),VLOOKUP(_xlfn.MINIFS('FIRE TEX 5090'!$Y$5:$Y$39,'FIRE TEX 5090'!$Y$5:$Y$39,"&gt;="&amp;M441),'FIRE TEX 5090'!$Y$5:$AD$39,IF(L441="F-15",2,IF(L441="F-30",3,IF(L441="F-60",4,IF(L441="F-90",5,IF(L441="F-120",6,IF(L441="F-150",7,0)))))),0),0)+IF(AND(O441="FIRE TEX 5120",OR(E441="IN",E441="C",E441="Z",E441="L"),J441=3),VLOOKUP(_xlfn.MINIFS('FIRE TEX 5120'!$B$5:$B$40,'FIRE TEX 5120'!$B$5:$B$40,"&gt;="&amp;M441),'FIRE TEX 5120'!$B$5:$G$40,IF(L441="F-15",2,IF(L441="F-30",3,IF(L441="F-60",4,IF(L441="F-90",5,IF(L441="F-120",6,0))))),0),0)+IF(AND(O441="FIRE TEX 5120",OR(E441="IN",E441="C",E441="Z",E441="L"),J441=4),VLOOKUP(_xlfn.MINIFS('FIRE TEX 5120'!$H$4:$H$40,'FIRE TEX 5120'!$H$4:$H$40,"&gt;="&amp;M441),'FIRE TEX 5120'!$H$4:$M$40,IF(L441="F-15",2,IF(L441="F-30",3,IF(L441="F-60",4,IF(L441="F-90",5,IF(L441="F-120",6,0))))),0),0)+IF(AND(O441="FIRE TEX 5120",E441="CJ"),VLOOKUP(_xlfn.MINIFS('FIRE TEX 5120'!$O$5:$O$40,'FIRE TEX 5120'!$O$5:$O$40,"&gt;="&amp;M441),'FIRE TEX 5120'!$O$5:$T$40,IF(L441="F-15",2,IF(L441="F-30",3,IF(L441="F-60",4,IF(L441="F-90",5,IF(L441="F-120",6,0))))),0),0)</f>
        <v>0</v>
      </c>
      <c r="Q441" s="46">
        <f t="shared" si="54"/>
        <v>0</v>
      </c>
      <c r="R441" s="46">
        <f t="shared" si="55"/>
        <v>0</v>
      </c>
      <c r="S441" s="46" t="e">
        <f t="shared" si="56"/>
        <v>#VALUE!</v>
      </c>
      <c r="T441" s="677">
        <f t="shared" si="57"/>
        <v>0</v>
      </c>
      <c r="U441" s="80">
        <f>(IF(O441="Stofire",(S441*#REF!),0))+(IF(O441="Fire Control",(S441*$U$2),0))+(IF(O441="Fire Tex",(S441*$U$3),0))+(IF(O441="WB7",(S441*#REF!),0)+(IF(O441="FX 2003",(S441*$U$5),0)))</f>
        <v>0</v>
      </c>
      <c r="V441" s="651">
        <f t="shared" si="58"/>
        <v>0</v>
      </c>
    </row>
    <row r="442" spans="4:22" x14ac:dyDescent="0.25">
      <c r="D442" s="118">
        <f>+CUBICACION!D441</f>
        <v>0</v>
      </c>
      <c r="E442" s="118">
        <f>+CUBICACION!F441</f>
        <v>0</v>
      </c>
      <c r="F442" s="118">
        <f>+CUBICACION!E441</f>
        <v>0</v>
      </c>
      <c r="G442" s="118">
        <v>12</v>
      </c>
      <c r="H442" s="118">
        <v>2</v>
      </c>
      <c r="I442" s="820">
        <v>26385</v>
      </c>
      <c r="J442" s="118">
        <f>+CUBICACION!J441</f>
        <v>0</v>
      </c>
      <c r="K442" s="118">
        <v>3221</v>
      </c>
      <c r="L442" s="118">
        <f>+CUBICACION!L441</f>
        <v>0</v>
      </c>
      <c r="M442" s="64">
        <f>+CUBICACION!M441</f>
        <v>0</v>
      </c>
      <c r="N442" s="824" t="str">
        <f>+CUBICACION!N441</f>
        <v/>
      </c>
      <c r="O442" s="675">
        <f>+CUBICACION!O441</f>
        <v>0</v>
      </c>
      <c r="P442" s="15">
        <f>IF(O442="Fire Control",VLOOKUP(_xlfn.MINIFS('FIRE CONTROL'!$C$4:$C$37,'FIRE CONTROL'!$C$4:$C$37,"&gt;="&amp;M442),'FIRE CONTROL'!$C$4:$G$37,IF(L442="F-15",2,IF(L442="F-30",3,IF(L442="F-60",4,IF(L442="F-90",5,0)))),0),0)+IF(AND(O442="FIRE TEX 5062",OR(E442="IN",E442="C",E442="Z",E442="L"),J442=3),VLOOKUP(_xlfn.MINIFS('FIRE TEX 5062'!$B$4:$B$34,'FIRE TEX 5062'!$B$4:$B$34,"&gt;="&amp;M442),'FIRE TEX 5062'!$B$4:$F$34,IF(L442="F-15",2,IF(L442="F-30",3,IF(L442="F-60",4,IF(L442="F-90",5,0)))),0),0)+IF(AND(O442="FIRE TEX 5062",OR(E442="IN",E442="C",E442="Z",E442="L"),J442=4),VLOOKUP(_xlfn.MINIFS('FIRE TEX 5062'!$G$4:$G$34,'FIRE TEX 5062'!$G$4:$G$34,"&gt;="&amp;M442),'FIRE TEX 5062'!$G$4:$K$34,IF(L442="F-15",2,IF(L442="F-30",3,IF(L442="F-60",4,IF(L442="F-90",5,0)))),0),0)+IF(AND(O442="FIRE TEX 5062",E442="CJ",J442=3),VLOOKUP(_xlfn.MINIFS('FIRE TEX 5062'!$L$4:$L$34,'FIRE TEX 5062'!$L$4:$L$34,"&gt;="&amp;M442),'FIRE TEX 5062'!$L$4:$P$34,IF(L442="F-15",2,IF(L442="F-30",3,IF(L442="F-60",4,IF(L442="F-90",5,0)))),0),0)+IF(AND(O442="FIRE TEX 5062",E442="CJ",J442=4),VLOOKUP(_xlfn.MINIFS('FIRE TEX 5062'!$Q$3:$Q$34,'FIRE TEX 5062'!$Q$3:$Q$34,"&gt;="&amp;M442),'FIRE TEX 5062'!$Q$3:$U$34,IF(L442="F-15",2,IF(L442="F-30",3,IF(L442="F-60",4,IF(L442="F-90",5,0)))),0),0)+IF(AND(O442="FIRE TEX 5090",OR(E442="IN",E442="C",E442="Z",E442="L"),J442=3),VLOOKUP(_xlfn.MINIFS('FIRE TEX 5090'!$B$5:$B$43,'FIRE TEX 5090'!$B$5:$B$43,"&gt;="&amp;M442),'FIRE TEX 5090'!$B$5:$H$43,IF(L442="F-15",2,IF(L442="F-30",3,IF(L442="F-60",4,IF(L442="F-90",5,IF(L442="F-120",6,IF(L442="F-150",7,0)))))),0),0)+IF(AND(O442="FIRE TEX 5090",OR(E442="IN",E442="C",E442="Z",E442="L"),J442=4),VLOOKUP(_xlfn.MINIFS('FIRE TEX 5090'!$J$5:$J$43,'FIRE TEX 5090'!$J$5:$J$43,"&gt;="&amp;M442),'FIRE TEX 5090'!$J$5:$P$43,IF(L442="F-15",2,IF(L442="F-30",3,IF(L442="F-60",4,IF(L442="F-90",5,IF(L442="F-120",6,IF(L442="F-150",7,0)))))),0),0)+IF(AND(O442="FIRE TEX 5090",E442="CJ",J442=3),VLOOKUP(_xlfn.MINIFS('FIRE TEX 5090'!$R$5:$R$30,'FIRE TEX 5090'!$R$5:$R$30,"&gt;="&amp;M442),'FIRE TEX 5090'!$R$5:$W$30,IF(L442="F-15",2,IF(L442="F-30",3,IF(L442="F-60",4,IF(L442="F-90",5,IF(L442="F-120",6,IF(L442="F-150",7,0)))))),0),0)+IF(AND(O442="FIRE TEX 5090",E442="CJ",J442=4),VLOOKUP(_xlfn.MINIFS('FIRE TEX 5090'!$Y$5:$Y$39,'FIRE TEX 5090'!$Y$5:$Y$39,"&gt;="&amp;M442),'FIRE TEX 5090'!$Y$5:$AD$39,IF(L442="F-15",2,IF(L442="F-30",3,IF(L442="F-60",4,IF(L442="F-90",5,IF(L442="F-120",6,IF(L442="F-150",7,0)))))),0),0)+IF(AND(O442="FIRE TEX 5120",OR(E442="IN",E442="C",E442="Z",E442="L"),J442=3),VLOOKUP(_xlfn.MINIFS('FIRE TEX 5120'!$B$5:$B$40,'FIRE TEX 5120'!$B$5:$B$40,"&gt;="&amp;M442),'FIRE TEX 5120'!$B$5:$G$40,IF(L442="F-15",2,IF(L442="F-30",3,IF(L442="F-60",4,IF(L442="F-90",5,IF(L442="F-120",6,0))))),0),0)+IF(AND(O442="FIRE TEX 5120",OR(E442="IN",E442="C",E442="Z",E442="L"),J442=4),VLOOKUP(_xlfn.MINIFS('FIRE TEX 5120'!$H$4:$H$40,'FIRE TEX 5120'!$H$4:$H$40,"&gt;="&amp;M442),'FIRE TEX 5120'!$H$4:$M$40,IF(L442="F-15",2,IF(L442="F-30",3,IF(L442="F-60",4,IF(L442="F-90",5,IF(L442="F-120",6,0))))),0),0)+IF(AND(O442="FIRE TEX 5120",E442="CJ"),VLOOKUP(_xlfn.MINIFS('FIRE TEX 5120'!$O$5:$O$40,'FIRE TEX 5120'!$O$5:$O$40,"&gt;="&amp;M442),'FIRE TEX 5120'!$O$5:$T$40,IF(L442="F-15",2,IF(L442="F-30",3,IF(L442="F-60",4,IF(L442="F-90",5,IF(L442="F-120",6,0))))),0),0)</f>
        <v>0</v>
      </c>
      <c r="Q442" s="46">
        <f t="shared" si="54"/>
        <v>0</v>
      </c>
      <c r="R442" s="46">
        <f t="shared" si="55"/>
        <v>0</v>
      </c>
      <c r="S442" s="46" t="e">
        <f t="shared" si="56"/>
        <v>#VALUE!</v>
      </c>
      <c r="T442" s="677">
        <f t="shared" si="57"/>
        <v>0</v>
      </c>
      <c r="U442" s="80">
        <f>(IF(O442="Stofire",(S442*#REF!),0))+(IF(O442="Fire Control",(S442*$U$2),0))+(IF(O442="Fire Tex",(S442*$U$3),0))+(IF(O442="WB7",(S442*#REF!),0)+(IF(O442="FX 2003",(S442*$U$5),0)))</f>
        <v>0</v>
      </c>
      <c r="V442" s="651">
        <f t="shared" si="58"/>
        <v>0</v>
      </c>
    </row>
    <row r="443" spans="4:22" x14ac:dyDescent="0.25">
      <c r="D443" s="118">
        <f>+CUBICACION!D442</f>
        <v>0</v>
      </c>
      <c r="E443" s="118">
        <f>+CUBICACION!F442</f>
        <v>0</v>
      </c>
      <c r="F443" s="118">
        <f>+CUBICACION!E442</f>
        <v>0</v>
      </c>
      <c r="G443" s="118">
        <v>12</v>
      </c>
      <c r="H443" s="118">
        <v>2</v>
      </c>
      <c r="I443" s="820">
        <v>26385</v>
      </c>
      <c r="J443" s="118">
        <f>+CUBICACION!J442</f>
        <v>0</v>
      </c>
      <c r="K443" s="118">
        <v>3222</v>
      </c>
      <c r="L443" s="118">
        <f>+CUBICACION!L442</f>
        <v>0</v>
      </c>
      <c r="M443" s="64">
        <f>+CUBICACION!M442</f>
        <v>0</v>
      </c>
      <c r="N443" s="824" t="str">
        <f>+CUBICACION!N442</f>
        <v/>
      </c>
      <c r="O443" s="675">
        <f>+CUBICACION!O442</f>
        <v>0</v>
      </c>
      <c r="P443" s="15">
        <f>IF(O443="Fire Control",VLOOKUP(_xlfn.MINIFS('FIRE CONTROL'!$C$4:$C$37,'FIRE CONTROL'!$C$4:$C$37,"&gt;="&amp;M443),'FIRE CONTROL'!$C$4:$G$37,IF(L443="F-15",2,IF(L443="F-30",3,IF(L443="F-60",4,IF(L443="F-90",5,0)))),0),0)+IF(AND(O443="FIRE TEX 5062",OR(E443="IN",E443="C",E443="Z",E443="L"),J443=3),VLOOKUP(_xlfn.MINIFS('FIRE TEX 5062'!$B$4:$B$34,'FIRE TEX 5062'!$B$4:$B$34,"&gt;="&amp;M443),'FIRE TEX 5062'!$B$4:$F$34,IF(L443="F-15",2,IF(L443="F-30",3,IF(L443="F-60",4,IF(L443="F-90",5,0)))),0),0)+IF(AND(O443="FIRE TEX 5062",OR(E443="IN",E443="C",E443="Z",E443="L"),J443=4),VLOOKUP(_xlfn.MINIFS('FIRE TEX 5062'!$G$4:$G$34,'FIRE TEX 5062'!$G$4:$G$34,"&gt;="&amp;M443),'FIRE TEX 5062'!$G$4:$K$34,IF(L443="F-15",2,IF(L443="F-30",3,IF(L443="F-60",4,IF(L443="F-90",5,0)))),0),0)+IF(AND(O443="FIRE TEX 5062",E443="CJ",J443=3),VLOOKUP(_xlfn.MINIFS('FIRE TEX 5062'!$L$4:$L$34,'FIRE TEX 5062'!$L$4:$L$34,"&gt;="&amp;M443),'FIRE TEX 5062'!$L$4:$P$34,IF(L443="F-15",2,IF(L443="F-30",3,IF(L443="F-60",4,IF(L443="F-90",5,0)))),0),0)+IF(AND(O443="FIRE TEX 5062",E443="CJ",J443=4),VLOOKUP(_xlfn.MINIFS('FIRE TEX 5062'!$Q$3:$Q$34,'FIRE TEX 5062'!$Q$3:$Q$34,"&gt;="&amp;M443),'FIRE TEX 5062'!$Q$3:$U$34,IF(L443="F-15",2,IF(L443="F-30",3,IF(L443="F-60",4,IF(L443="F-90",5,0)))),0),0)+IF(AND(O443="FIRE TEX 5090",OR(E443="IN",E443="C",E443="Z",E443="L"),J443=3),VLOOKUP(_xlfn.MINIFS('FIRE TEX 5090'!$B$5:$B$43,'FIRE TEX 5090'!$B$5:$B$43,"&gt;="&amp;M443),'FIRE TEX 5090'!$B$5:$H$43,IF(L443="F-15",2,IF(L443="F-30",3,IF(L443="F-60",4,IF(L443="F-90",5,IF(L443="F-120",6,IF(L443="F-150",7,0)))))),0),0)+IF(AND(O443="FIRE TEX 5090",OR(E443="IN",E443="C",E443="Z",E443="L"),J443=4),VLOOKUP(_xlfn.MINIFS('FIRE TEX 5090'!$J$5:$J$43,'FIRE TEX 5090'!$J$5:$J$43,"&gt;="&amp;M443),'FIRE TEX 5090'!$J$5:$P$43,IF(L443="F-15",2,IF(L443="F-30",3,IF(L443="F-60",4,IF(L443="F-90",5,IF(L443="F-120",6,IF(L443="F-150",7,0)))))),0),0)+IF(AND(O443="FIRE TEX 5090",E443="CJ",J443=3),VLOOKUP(_xlfn.MINIFS('FIRE TEX 5090'!$R$5:$R$30,'FIRE TEX 5090'!$R$5:$R$30,"&gt;="&amp;M443),'FIRE TEX 5090'!$R$5:$W$30,IF(L443="F-15",2,IF(L443="F-30",3,IF(L443="F-60",4,IF(L443="F-90",5,IF(L443="F-120",6,IF(L443="F-150",7,0)))))),0),0)+IF(AND(O443="FIRE TEX 5090",E443="CJ",J443=4),VLOOKUP(_xlfn.MINIFS('FIRE TEX 5090'!$Y$5:$Y$39,'FIRE TEX 5090'!$Y$5:$Y$39,"&gt;="&amp;M443),'FIRE TEX 5090'!$Y$5:$AD$39,IF(L443="F-15",2,IF(L443="F-30",3,IF(L443="F-60",4,IF(L443="F-90",5,IF(L443="F-120",6,IF(L443="F-150",7,0)))))),0),0)+IF(AND(O443="FIRE TEX 5120",OR(E443="IN",E443="C",E443="Z",E443="L"),J443=3),VLOOKUP(_xlfn.MINIFS('FIRE TEX 5120'!$B$5:$B$40,'FIRE TEX 5120'!$B$5:$B$40,"&gt;="&amp;M443),'FIRE TEX 5120'!$B$5:$G$40,IF(L443="F-15",2,IF(L443="F-30",3,IF(L443="F-60",4,IF(L443="F-90",5,IF(L443="F-120",6,0))))),0),0)+IF(AND(O443="FIRE TEX 5120",OR(E443="IN",E443="C",E443="Z",E443="L"),J443=4),VLOOKUP(_xlfn.MINIFS('FIRE TEX 5120'!$H$4:$H$40,'FIRE TEX 5120'!$H$4:$H$40,"&gt;="&amp;M443),'FIRE TEX 5120'!$H$4:$M$40,IF(L443="F-15",2,IF(L443="F-30",3,IF(L443="F-60",4,IF(L443="F-90",5,IF(L443="F-120",6,0))))),0),0)+IF(AND(O443="FIRE TEX 5120",E443="CJ"),VLOOKUP(_xlfn.MINIFS('FIRE TEX 5120'!$O$5:$O$40,'FIRE TEX 5120'!$O$5:$O$40,"&gt;="&amp;M443),'FIRE TEX 5120'!$O$5:$T$40,IF(L443="F-15",2,IF(L443="F-30",3,IF(L443="F-60",4,IF(L443="F-90",5,IF(L443="F-120",6,0))))),0),0)</f>
        <v>0</v>
      </c>
      <c r="Q443" s="46">
        <f t="shared" si="54"/>
        <v>0</v>
      </c>
      <c r="R443" s="46">
        <f t="shared" si="55"/>
        <v>0</v>
      </c>
      <c r="S443" s="46" t="e">
        <f t="shared" si="56"/>
        <v>#VALUE!</v>
      </c>
      <c r="T443" s="677">
        <f t="shared" si="57"/>
        <v>0</v>
      </c>
      <c r="U443" s="80">
        <f>(IF(O443="Stofire",(S443*#REF!),0))+(IF(O443="Fire Control",(S443*$U$2),0))+(IF(O443="Fire Tex",(S443*$U$3),0))+(IF(O443="WB7",(S443*#REF!),0)+(IF(O443="FX 2003",(S443*$U$5),0)))</f>
        <v>0</v>
      </c>
      <c r="V443" s="651">
        <f t="shared" si="58"/>
        <v>0</v>
      </c>
    </row>
    <row r="444" spans="4:22" x14ac:dyDescent="0.25">
      <c r="D444" s="118">
        <f>+CUBICACION!D443</f>
        <v>0</v>
      </c>
      <c r="E444" s="118">
        <f>+CUBICACION!F443</f>
        <v>0</v>
      </c>
      <c r="F444" s="118">
        <f>+CUBICACION!E443</f>
        <v>0</v>
      </c>
      <c r="G444" s="118">
        <v>12</v>
      </c>
      <c r="H444" s="118">
        <v>2</v>
      </c>
      <c r="I444" s="820">
        <v>26385</v>
      </c>
      <c r="J444" s="118">
        <f>+CUBICACION!J443</f>
        <v>0</v>
      </c>
      <c r="K444" s="118">
        <v>3223</v>
      </c>
      <c r="L444" s="118">
        <f>+CUBICACION!L443</f>
        <v>0</v>
      </c>
      <c r="M444" s="64">
        <f>+CUBICACION!M443</f>
        <v>0</v>
      </c>
      <c r="N444" s="824" t="str">
        <f>+CUBICACION!N443</f>
        <v/>
      </c>
      <c r="O444" s="675">
        <f>+CUBICACION!O443</f>
        <v>0</v>
      </c>
      <c r="P444" s="15">
        <f>IF(O444="Fire Control",VLOOKUP(_xlfn.MINIFS('FIRE CONTROL'!$C$4:$C$37,'FIRE CONTROL'!$C$4:$C$37,"&gt;="&amp;M444),'FIRE CONTROL'!$C$4:$G$37,IF(L444="F-15",2,IF(L444="F-30",3,IF(L444="F-60",4,IF(L444="F-90",5,0)))),0),0)+IF(AND(O444="FIRE TEX 5062",OR(E444="IN",E444="C",E444="Z",E444="L"),J444=3),VLOOKUP(_xlfn.MINIFS('FIRE TEX 5062'!$B$4:$B$34,'FIRE TEX 5062'!$B$4:$B$34,"&gt;="&amp;M444),'FIRE TEX 5062'!$B$4:$F$34,IF(L444="F-15",2,IF(L444="F-30",3,IF(L444="F-60",4,IF(L444="F-90",5,0)))),0),0)+IF(AND(O444="FIRE TEX 5062",OR(E444="IN",E444="C",E444="Z",E444="L"),J444=4),VLOOKUP(_xlfn.MINIFS('FIRE TEX 5062'!$G$4:$G$34,'FIRE TEX 5062'!$G$4:$G$34,"&gt;="&amp;M444),'FIRE TEX 5062'!$G$4:$K$34,IF(L444="F-15",2,IF(L444="F-30",3,IF(L444="F-60",4,IF(L444="F-90",5,0)))),0),0)+IF(AND(O444="FIRE TEX 5062",E444="CJ",J444=3),VLOOKUP(_xlfn.MINIFS('FIRE TEX 5062'!$L$4:$L$34,'FIRE TEX 5062'!$L$4:$L$34,"&gt;="&amp;M444),'FIRE TEX 5062'!$L$4:$P$34,IF(L444="F-15",2,IF(L444="F-30",3,IF(L444="F-60",4,IF(L444="F-90",5,0)))),0),0)+IF(AND(O444="FIRE TEX 5062",E444="CJ",J444=4),VLOOKUP(_xlfn.MINIFS('FIRE TEX 5062'!$Q$3:$Q$34,'FIRE TEX 5062'!$Q$3:$Q$34,"&gt;="&amp;M444),'FIRE TEX 5062'!$Q$3:$U$34,IF(L444="F-15",2,IF(L444="F-30",3,IF(L444="F-60",4,IF(L444="F-90",5,0)))),0),0)+IF(AND(O444="FIRE TEX 5090",OR(E444="IN",E444="C",E444="Z",E444="L"),J444=3),VLOOKUP(_xlfn.MINIFS('FIRE TEX 5090'!$B$5:$B$43,'FIRE TEX 5090'!$B$5:$B$43,"&gt;="&amp;M444),'FIRE TEX 5090'!$B$5:$H$43,IF(L444="F-15",2,IF(L444="F-30",3,IF(L444="F-60",4,IF(L444="F-90",5,IF(L444="F-120",6,IF(L444="F-150",7,0)))))),0),0)+IF(AND(O444="FIRE TEX 5090",OR(E444="IN",E444="C",E444="Z",E444="L"),J444=4),VLOOKUP(_xlfn.MINIFS('FIRE TEX 5090'!$J$5:$J$43,'FIRE TEX 5090'!$J$5:$J$43,"&gt;="&amp;M444),'FIRE TEX 5090'!$J$5:$P$43,IF(L444="F-15",2,IF(L444="F-30",3,IF(L444="F-60",4,IF(L444="F-90",5,IF(L444="F-120",6,IF(L444="F-150",7,0)))))),0),0)+IF(AND(O444="FIRE TEX 5090",E444="CJ",J444=3),VLOOKUP(_xlfn.MINIFS('FIRE TEX 5090'!$R$5:$R$30,'FIRE TEX 5090'!$R$5:$R$30,"&gt;="&amp;M444),'FIRE TEX 5090'!$R$5:$W$30,IF(L444="F-15",2,IF(L444="F-30",3,IF(L444="F-60",4,IF(L444="F-90",5,IF(L444="F-120",6,IF(L444="F-150",7,0)))))),0),0)+IF(AND(O444="FIRE TEX 5090",E444="CJ",J444=4),VLOOKUP(_xlfn.MINIFS('FIRE TEX 5090'!$Y$5:$Y$39,'FIRE TEX 5090'!$Y$5:$Y$39,"&gt;="&amp;M444),'FIRE TEX 5090'!$Y$5:$AD$39,IF(L444="F-15",2,IF(L444="F-30",3,IF(L444="F-60",4,IF(L444="F-90",5,IF(L444="F-120",6,IF(L444="F-150",7,0)))))),0),0)+IF(AND(O444="FIRE TEX 5120",OR(E444="IN",E444="C",E444="Z",E444="L"),J444=3),VLOOKUP(_xlfn.MINIFS('FIRE TEX 5120'!$B$5:$B$40,'FIRE TEX 5120'!$B$5:$B$40,"&gt;="&amp;M444),'FIRE TEX 5120'!$B$5:$G$40,IF(L444="F-15",2,IF(L444="F-30",3,IF(L444="F-60",4,IF(L444="F-90",5,IF(L444="F-120",6,0))))),0),0)+IF(AND(O444="FIRE TEX 5120",OR(E444="IN",E444="C",E444="Z",E444="L"),J444=4),VLOOKUP(_xlfn.MINIFS('FIRE TEX 5120'!$H$4:$H$40,'FIRE TEX 5120'!$H$4:$H$40,"&gt;="&amp;M444),'FIRE TEX 5120'!$H$4:$M$40,IF(L444="F-15",2,IF(L444="F-30",3,IF(L444="F-60",4,IF(L444="F-90",5,IF(L444="F-120",6,0))))),0),0)+IF(AND(O444="FIRE TEX 5120",E444="CJ"),VLOOKUP(_xlfn.MINIFS('FIRE TEX 5120'!$O$5:$O$40,'FIRE TEX 5120'!$O$5:$O$40,"&gt;="&amp;M444),'FIRE TEX 5120'!$O$5:$T$40,IF(L444="F-15",2,IF(L444="F-30",3,IF(L444="F-60",4,IF(L444="F-90",5,IF(L444="F-120",6,0))))),0),0)</f>
        <v>0</v>
      </c>
      <c r="Q444" s="46">
        <f t="shared" si="54"/>
        <v>0</v>
      </c>
      <c r="R444" s="46">
        <f t="shared" si="55"/>
        <v>0</v>
      </c>
      <c r="S444" s="46" t="e">
        <f t="shared" si="56"/>
        <v>#VALUE!</v>
      </c>
      <c r="T444" s="677">
        <f t="shared" si="57"/>
        <v>0</v>
      </c>
      <c r="U444" s="80">
        <f>(IF(O444="Stofire",(S444*#REF!),0))+(IF(O444="Fire Control",(S444*$U$2),0))+(IF(O444="Fire Tex",(S444*$U$3),0))+(IF(O444="WB7",(S444*#REF!),0)+(IF(O444="FX 2003",(S444*$U$5),0)))</f>
        <v>0</v>
      </c>
      <c r="V444" s="651">
        <f t="shared" si="58"/>
        <v>0</v>
      </c>
    </row>
    <row r="445" spans="4:22" x14ac:dyDescent="0.25">
      <c r="D445" s="118">
        <f>+CUBICACION!D444</f>
        <v>0</v>
      </c>
      <c r="E445" s="118">
        <f>+CUBICACION!F444</f>
        <v>0</v>
      </c>
      <c r="F445" s="118">
        <f>+CUBICACION!E444</f>
        <v>0</v>
      </c>
      <c r="G445" s="118">
        <v>12</v>
      </c>
      <c r="H445" s="118">
        <v>2</v>
      </c>
      <c r="I445" s="820">
        <v>26385</v>
      </c>
      <c r="J445" s="118">
        <f>+CUBICACION!J444</f>
        <v>0</v>
      </c>
      <c r="K445" s="118">
        <v>3224</v>
      </c>
      <c r="L445" s="118">
        <f>+CUBICACION!L444</f>
        <v>0</v>
      </c>
      <c r="M445" s="64">
        <f>+CUBICACION!M444</f>
        <v>0</v>
      </c>
      <c r="N445" s="824" t="str">
        <f>+CUBICACION!N444</f>
        <v/>
      </c>
      <c r="O445" s="675">
        <f>+CUBICACION!O444</f>
        <v>0</v>
      </c>
      <c r="P445" s="15">
        <f>IF(O445="Fire Control",VLOOKUP(_xlfn.MINIFS('FIRE CONTROL'!$C$4:$C$37,'FIRE CONTROL'!$C$4:$C$37,"&gt;="&amp;M445),'FIRE CONTROL'!$C$4:$G$37,IF(L445="F-15",2,IF(L445="F-30",3,IF(L445="F-60",4,IF(L445="F-90",5,0)))),0),0)+IF(AND(O445="FIRE TEX 5062",OR(E445="IN",E445="C",E445="Z",E445="L"),J445=3),VLOOKUP(_xlfn.MINIFS('FIRE TEX 5062'!$B$4:$B$34,'FIRE TEX 5062'!$B$4:$B$34,"&gt;="&amp;M445),'FIRE TEX 5062'!$B$4:$F$34,IF(L445="F-15",2,IF(L445="F-30",3,IF(L445="F-60",4,IF(L445="F-90",5,0)))),0),0)+IF(AND(O445="FIRE TEX 5062",OR(E445="IN",E445="C",E445="Z",E445="L"),J445=4),VLOOKUP(_xlfn.MINIFS('FIRE TEX 5062'!$G$4:$G$34,'FIRE TEX 5062'!$G$4:$G$34,"&gt;="&amp;M445),'FIRE TEX 5062'!$G$4:$K$34,IF(L445="F-15",2,IF(L445="F-30",3,IF(L445="F-60",4,IF(L445="F-90",5,0)))),0),0)+IF(AND(O445="FIRE TEX 5062",E445="CJ",J445=3),VLOOKUP(_xlfn.MINIFS('FIRE TEX 5062'!$L$4:$L$34,'FIRE TEX 5062'!$L$4:$L$34,"&gt;="&amp;M445),'FIRE TEX 5062'!$L$4:$P$34,IF(L445="F-15",2,IF(L445="F-30",3,IF(L445="F-60",4,IF(L445="F-90",5,0)))),0),0)+IF(AND(O445="FIRE TEX 5062",E445="CJ",J445=4),VLOOKUP(_xlfn.MINIFS('FIRE TEX 5062'!$Q$3:$Q$34,'FIRE TEX 5062'!$Q$3:$Q$34,"&gt;="&amp;M445),'FIRE TEX 5062'!$Q$3:$U$34,IF(L445="F-15",2,IF(L445="F-30",3,IF(L445="F-60",4,IF(L445="F-90",5,0)))),0),0)+IF(AND(O445="FIRE TEX 5090",OR(E445="IN",E445="C",E445="Z",E445="L"),J445=3),VLOOKUP(_xlfn.MINIFS('FIRE TEX 5090'!$B$5:$B$43,'FIRE TEX 5090'!$B$5:$B$43,"&gt;="&amp;M445),'FIRE TEX 5090'!$B$5:$H$43,IF(L445="F-15",2,IF(L445="F-30",3,IF(L445="F-60",4,IF(L445="F-90",5,IF(L445="F-120",6,IF(L445="F-150",7,0)))))),0),0)+IF(AND(O445="FIRE TEX 5090",OR(E445="IN",E445="C",E445="Z",E445="L"),J445=4),VLOOKUP(_xlfn.MINIFS('FIRE TEX 5090'!$J$5:$J$43,'FIRE TEX 5090'!$J$5:$J$43,"&gt;="&amp;M445),'FIRE TEX 5090'!$J$5:$P$43,IF(L445="F-15",2,IF(L445="F-30",3,IF(L445="F-60",4,IF(L445="F-90",5,IF(L445="F-120",6,IF(L445="F-150",7,0)))))),0),0)+IF(AND(O445="FIRE TEX 5090",E445="CJ",J445=3),VLOOKUP(_xlfn.MINIFS('FIRE TEX 5090'!$R$5:$R$30,'FIRE TEX 5090'!$R$5:$R$30,"&gt;="&amp;M445),'FIRE TEX 5090'!$R$5:$W$30,IF(L445="F-15",2,IF(L445="F-30",3,IF(L445="F-60",4,IF(L445="F-90",5,IF(L445="F-120",6,IF(L445="F-150",7,0)))))),0),0)+IF(AND(O445="FIRE TEX 5090",E445="CJ",J445=4),VLOOKUP(_xlfn.MINIFS('FIRE TEX 5090'!$Y$5:$Y$39,'FIRE TEX 5090'!$Y$5:$Y$39,"&gt;="&amp;M445),'FIRE TEX 5090'!$Y$5:$AD$39,IF(L445="F-15",2,IF(L445="F-30",3,IF(L445="F-60",4,IF(L445="F-90",5,IF(L445="F-120",6,IF(L445="F-150",7,0)))))),0),0)+IF(AND(O445="FIRE TEX 5120",OR(E445="IN",E445="C",E445="Z",E445="L"),J445=3),VLOOKUP(_xlfn.MINIFS('FIRE TEX 5120'!$B$5:$B$40,'FIRE TEX 5120'!$B$5:$B$40,"&gt;="&amp;M445),'FIRE TEX 5120'!$B$5:$G$40,IF(L445="F-15",2,IF(L445="F-30",3,IF(L445="F-60",4,IF(L445="F-90",5,IF(L445="F-120",6,0))))),0),0)+IF(AND(O445="FIRE TEX 5120",OR(E445="IN",E445="C",E445="Z",E445="L"),J445=4),VLOOKUP(_xlfn.MINIFS('FIRE TEX 5120'!$H$4:$H$40,'FIRE TEX 5120'!$H$4:$H$40,"&gt;="&amp;M445),'FIRE TEX 5120'!$H$4:$M$40,IF(L445="F-15",2,IF(L445="F-30",3,IF(L445="F-60",4,IF(L445="F-90",5,IF(L445="F-120",6,0))))),0),0)+IF(AND(O445="FIRE TEX 5120",E445="CJ"),VLOOKUP(_xlfn.MINIFS('FIRE TEX 5120'!$O$5:$O$40,'FIRE TEX 5120'!$O$5:$O$40,"&gt;="&amp;M445),'FIRE TEX 5120'!$O$5:$T$40,IF(L445="F-15",2,IF(L445="F-30",3,IF(L445="F-60",4,IF(L445="F-90",5,IF(L445="F-120",6,0))))),0),0)</f>
        <v>0</v>
      </c>
      <c r="Q445" s="46">
        <f t="shared" si="54"/>
        <v>0</v>
      </c>
      <c r="R445" s="46">
        <f t="shared" si="55"/>
        <v>0</v>
      </c>
      <c r="S445" s="46" t="e">
        <f t="shared" si="56"/>
        <v>#VALUE!</v>
      </c>
      <c r="T445" s="677">
        <f t="shared" si="57"/>
        <v>0</v>
      </c>
      <c r="U445" s="80">
        <f>(IF(O445="Stofire",(S445*#REF!),0))+(IF(O445="Fire Control",(S445*$U$2),0))+(IF(O445="Fire Tex",(S445*$U$3),0))+(IF(O445="WB7",(S445*#REF!),0)+(IF(O445="FX 2003",(S445*$U$5),0)))</f>
        <v>0</v>
      </c>
      <c r="V445" s="651">
        <f t="shared" si="58"/>
        <v>0</v>
      </c>
    </row>
    <row r="446" spans="4:22" x14ac:dyDescent="0.25">
      <c r="D446" s="118">
        <f>+CUBICACION!D445</f>
        <v>0</v>
      </c>
      <c r="E446" s="118">
        <f>+CUBICACION!F445</f>
        <v>0</v>
      </c>
      <c r="F446" s="118">
        <f>+CUBICACION!E445</f>
        <v>0</v>
      </c>
      <c r="G446" s="118">
        <v>12</v>
      </c>
      <c r="H446" s="118">
        <v>2</v>
      </c>
      <c r="I446" s="820">
        <v>26385</v>
      </c>
      <c r="J446" s="118">
        <f>+CUBICACION!J445</f>
        <v>0</v>
      </c>
      <c r="K446" s="118">
        <v>3225</v>
      </c>
      <c r="L446" s="118">
        <f>+CUBICACION!L445</f>
        <v>0</v>
      </c>
      <c r="M446" s="64">
        <f>+CUBICACION!M445</f>
        <v>0</v>
      </c>
      <c r="N446" s="824" t="str">
        <f>+CUBICACION!N445</f>
        <v/>
      </c>
      <c r="O446" s="675">
        <f>+CUBICACION!O445</f>
        <v>0</v>
      </c>
      <c r="P446" s="15">
        <f>IF(O446="Fire Control",VLOOKUP(_xlfn.MINIFS('FIRE CONTROL'!$C$4:$C$37,'FIRE CONTROL'!$C$4:$C$37,"&gt;="&amp;M446),'FIRE CONTROL'!$C$4:$G$37,IF(L446="F-15",2,IF(L446="F-30",3,IF(L446="F-60",4,IF(L446="F-90",5,0)))),0),0)+IF(AND(O446="FIRE TEX 5062",OR(E446="IN",E446="C",E446="Z",E446="L"),J446=3),VLOOKUP(_xlfn.MINIFS('FIRE TEX 5062'!$B$4:$B$34,'FIRE TEX 5062'!$B$4:$B$34,"&gt;="&amp;M446),'FIRE TEX 5062'!$B$4:$F$34,IF(L446="F-15",2,IF(L446="F-30",3,IF(L446="F-60",4,IF(L446="F-90",5,0)))),0),0)+IF(AND(O446="FIRE TEX 5062",OR(E446="IN",E446="C",E446="Z",E446="L"),J446=4),VLOOKUP(_xlfn.MINIFS('FIRE TEX 5062'!$G$4:$G$34,'FIRE TEX 5062'!$G$4:$G$34,"&gt;="&amp;M446),'FIRE TEX 5062'!$G$4:$K$34,IF(L446="F-15",2,IF(L446="F-30",3,IF(L446="F-60",4,IF(L446="F-90",5,0)))),0),0)+IF(AND(O446="FIRE TEX 5062",E446="CJ",J446=3),VLOOKUP(_xlfn.MINIFS('FIRE TEX 5062'!$L$4:$L$34,'FIRE TEX 5062'!$L$4:$L$34,"&gt;="&amp;M446),'FIRE TEX 5062'!$L$4:$P$34,IF(L446="F-15",2,IF(L446="F-30",3,IF(L446="F-60",4,IF(L446="F-90",5,0)))),0),0)+IF(AND(O446="FIRE TEX 5062",E446="CJ",J446=4),VLOOKUP(_xlfn.MINIFS('FIRE TEX 5062'!$Q$3:$Q$34,'FIRE TEX 5062'!$Q$3:$Q$34,"&gt;="&amp;M446),'FIRE TEX 5062'!$Q$3:$U$34,IF(L446="F-15",2,IF(L446="F-30",3,IF(L446="F-60",4,IF(L446="F-90",5,0)))),0),0)+IF(AND(O446="FIRE TEX 5090",OR(E446="IN",E446="C",E446="Z",E446="L"),J446=3),VLOOKUP(_xlfn.MINIFS('FIRE TEX 5090'!$B$5:$B$43,'FIRE TEX 5090'!$B$5:$B$43,"&gt;="&amp;M446),'FIRE TEX 5090'!$B$5:$H$43,IF(L446="F-15",2,IF(L446="F-30",3,IF(L446="F-60",4,IF(L446="F-90",5,IF(L446="F-120",6,IF(L446="F-150",7,0)))))),0),0)+IF(AND(O446="FIRE TEX 5090",OR(E446="IN",E446="C",E446="Z",E446="L"),J446=4),VLOOKUP(_xlfn.MINIFS('FIRE TEX 5090'!$J$5:$J$43,'FIRE TEX 5090'!$J$5:$J$43,"&gt;="&amp;M446),'FIRE TEX 5090'!$J$5:$P$43,IF(L446="F-15",2,IF(L446="F-30",3,IF(L446="F-60",4,IF(L446="F-90",5,IF(L446="F-120",6,IF(L446="F-150",7,0)))))),0),0)+IF(AND(O446="FIRE TEX 5090",E446="CJ",J446=3),VLOOKUP(_xlfn.MINIFS('FIRE TEX 5090'!$R$5:$R$30,'FIRE TEX 5090'!$R$5:$R$30,"&gt;="&amp;M446),'FIRE TEX 5090'!$R$5:$W$30,IF(L446="F-15",2,IF(L446="F-30",3,IF(L446="F-60",4,IF(L446="F-90",5,IF(L446="F-120",6,IF(L446="F-150",7,0)))))),0),0)+IF(AND(O446="FIRE TEX 5090",E446="CJ",J446=4),VLOOKUP(_xlfn.MINIFS('FIRE TEX 5090'!$Y$5:$Y$39,'FIRE TEX 5090'!$Y$5:$Y$39,"&gt;="&amp;M446),'FIRE TEX 5090'!$Y$5:$AD$39,IF(L446="F-15",2,IF(L446="F-30",3,IF(L446="F-60",4,IF(L446="F-90",5,IF(L446="F-120",6,IF(L446="F-150",7,0)))))),0),0)+IF(AND(O446="FIRE TEX 5120",OR(E446="IN",E446="C",E446="Z",E446="L"),J446=3),VLOOKUP(_xlfn.MINIFS('FIRE TEX 5120'!$B$5:$B$40,'FIRE TEX 5120'!$B$5:$B$40,"&gt;="&amp;M446),'FIRE TEX 5120'!$B$5:$G$40,IF(L446="F-15",2,IF(L446="F-30",3,IF(L446="F-60",4,IF(L446="F-90",5,IF(L446="F-120",6,0))))),0),0)+IF(AND(O446="FIRE TEX 5120",OR(E446="IN",E446="C",E446="Z",E446="L"),J446=4),VLOOKUP(_xlfn.MINIFS('FIRE TEX 5120'!$H$4:$H$40,'FIRE TEX 5120'!$H$4:$H$40,"&gt;="&amp;M446),'FIRE TEX 5120'!$H$4:$M$40,IF(L446="F-15",2,IF(L446="F-30",3,IF(L446="F-60",4,IF(L446="F-90",5,IF(L446="F-120",6,0))))),0),0)+IF(AND(O446="FIRE TEX 5120",E446="CJ"),VLOOKUP(_xlfn.MINIFS('FIRE TEX 5120'!$O$5:$O$40,'FIRE TEX 5120'!$O$5:$O$40,"&gt;="&amp;M446),'FIRE TEX 5120'!$O$5:$T$40,IF(L446="F-15",2,IF(L446="F-30",3,IF(L446="F-60",4,IF(L446="F-90",5,IF(L446="F-120",6,0))))),0),0)</f>
        <v>0</v>
      </c>
      <c r="Q446" s="46">
        <f t="shared" si="54"/>
        <v>0</v>
      </c>
      <c r="R446" s="46">
        <f t="shared" si="55"/>
        <v>0</v>
      </c>
      <c r="S446" s="46" t="e">
        <f t="shared" si="56"/>
        <v>#VALUE!</v>
      </c>
      <c r="T446" s="677">
        <f t="shared" si="57"/>
        <v>0</v>
      </c>
      <c r="U446" s="80">
        <f>(IF(O446="Stofire",(S446*#REF!),0))+(IF(O446="Fire Control",(S446*$U$2),0))+(IF(O446="Fire Tex",(S446*$U$3),0))+(IF(O446="WB7",(S446*#REF!),0)+(IF(O446="FX 2003",(S446*$U$5),0)))</f>
        <v>0</v>
      </c>
      <c r="V446" s="651">
        <f t="shared" si="58"/>
        <v>0</v>
      </c>
    </row>
    <row r="447" spans="4:22" x14ac:dyDescent="0.25">
      <c r="D447" s="118">
        <f>+CUBICACION!D446</f>
        <v>0</v>
      </c>
      <c r="E447" s="118">
        <f>+CUBICACION!F446</f>
        <v>0</v>
      </c>
      <c r="F447" s="118">
        <f>+CUBICACION!E446</f>
        <v>0</v>
      </c>
      <c r="G447" s="118">
        <v>12</v>
      </c>
      <c r="H447" s="118">
        <v>2</v>
      </c>
      <c r="I447" s="820">
        <v>26385</v>
      </c>
      <c r="J447" s="118">
        <f>+CUBICACION!J446</f>
        <v>0</v>
      </c>
      <c r="K447" s="118">
        <v>3226</v>
      </c>
      <c r="L447" s="118">
        <f>+CUBICACION!L446</f>
        <v>0</v>
      </c>
      <c r="M447" s="64">
        <f>+CUBICACION!M446</f>
        <v>0</v>
      </c>
      <c r="N447" s="824" t="str">
        <f>+CUBICACION!N446</f>
        <v/>
      </c>
      <c r="O447" s="675">
        <f>+CUBICACION!O446</f>
        <v>0</v>
      </c>
      <c r="P447" s="15">
        <f>IF(O447="Fire Control",VLOOKUP(_xlfn.MINIFS('FIRE CONTROL'!$C$4:$C$37,'FIRE CONTROL'!$C$4:$C$37,"&gt;="&amp;M447),'FIRE CONTROL'!$C$4:$G$37,IF(L447="F-15",2,IF(L447="F-30",3,IF(L447="F-60",4,IF(L447="F-90",5,0)))),0),0)+IF(AND(O447="FIRE TEX 5062",OR(E447="IN",E447="C",E447="Z",E447="L"),J447=3),VLOOKUP(_xlfn.MINIFS('FIRE TEX 5062'!$B$4:$B$34,'FIRE TEX 5062'!$B$4:$B$34,"&gt;="&amp;M447),'FIRE TEX 5062'!$B$4:$F$34,IF(L447="F-15",2,IF(L447="F-30",3,IF(L447="F-60",4,IF(L447="F-90",5,0)))),0),0)+IF(AND(O447="FIRE TEX 5062",OR(E447="IN",E447="C",E447="Z",E447="L"),J447=4),VLOOKUP(_xlfn.MINIFS('FIRE TEX 5062'!$G$4:$G$34,'FIRE TEX 5062'!$G$4:$G$34,"&gt;="&amp;M447),'FIRE TEX 5062'!$G$4:$K$34,IF(L447="F-15",2,IF(L447="F-30",3,IF(L447="F-60",4,IF(L447="F-90",5,0)))),0),0)+IF(AND(O447="FIRE TEX 5062",E447="CJ",J447=3),VLOOKUP(_xlfn.MINIFS('FIRE TEX 5062'!$L$4:$L$34,'FIRE TEX 5062'!$L$4:$L$34,"&gt;="&amp;M447),'FIRE TEX 5062'!$L$4:$P$34,IF(L447="F-15",2,IF(L447="F-30",3,IF(L447="F-60",4,IF(L447="F-90",5,0)))),0),0)+IF(AND(O447="FIRE TEX 5062",E447="CJ",J447=4),VLOOKUP(_xlfn.MINIFS('FIRE TEX 5062'!$Q$3:$Q$34,'FIRE TEX 5062'!$Q$3:$Q$34,"&gt;="&amp;M447),'FIRE TEX 5062'!$Q$3:$U$34,IF(L447="F-15",2,IF(L447="F-30",3,IF(L447="F-60",4,IF(L447="F-90",5,0)))),0),0)+IF(AND(O447="FIRE TEX 5090",OR(E447="IN",E447="C",E447="Z",E447="L"),J447=3),VLOOKUP(_xlfn.MINIFS('FIRE TEX 5090'!$B$5:$B$43,'FIRE TEX 5090'!$B$5:$B$43,"&gt;="&amp;M447),'FIRE TEX 5090'!$B$5:$H$43,IF(L447="F-15",2,IF(L447="F-30",3,IF(L447="F-60",4,IF(L447="F-90",5,IF(L447="F-120",6,IF(L447="F-150",7,0)))))),0),0)+IF(AND(O447="FIRE TEX 5090",OR(E447="IN",E447="C",E447="Z",E447="L"),J447=4),VLOOKUP(_xlfn.MINIFS('FIRE TEX 5090'!$J$5:$J$43,'FIRE TEX 5090'!$J$5:$J$43,"&gt;="&amp;M447),'FIRE TEX 5090'!$J$5:$P$43,IF(L447="F-15",2,IF(L447="F-30",3,IF(L447="F-60",4,IF(L447="F-90",5,IF(L447="F-120",6,IF(L447="F-150",7,0)))))),0),0)+IF(AND(O447="FIRE TEX 5090",E447="CJ",J447=3),VLOOKUP(_xlfn.MINIFS('FIRE TEX 5090'!$R$5:$R$30,'FIRE TEX 5090'!$R$5:$R$30,"&gt;="&amp;M447),'FIRE TEX 5090'!$R$5:$W$30,IF(L447="F-15",2,IF(L447="F-30",3,IF(L447="F-60",4,IF(L447="F-90",5,IF(L447="F-120",6,IF(L447="F-150",7,0)))))),0),0)+IF(AND(O447="FIRE TEX 5090",E447="CJ",J447=4),VLOOKUP(_xlfn.MINIFS('FIRE TEX 5090'!$Y$5:$Y$39,'FIRE TEX 5090'!$Y$5:$Y$39,"&gt;="&amp;M447),'FIRE TEX 5090'!$Y$5:$AD$39,IF(L447="F-15",2,IF(L447="F-30",3,IF(L447="F-60",4,IF(L447="F-90",5,IF(L447="F-120",6,IF(L447="F-150",7,0)))))),0),0)+IF(AND(O447="FIRE TEX 5120",OR(E447="IN",E447="C",E447="Z",E447="L"),J447=3),VLOOKUP(_xlfn.MINIFS('FIRE TEX 5120'!$B$5:$B$40,'FIRE TEX 5120'!$B$5:$B$40,"&gt;="&amp;M447),'FIRE TEX 5120'!$B$5:$G$40,IF(L447="F-15",2,IF(L447="F-30",3,IF(L447="F-60",4,IF(L447="F-90",5,IF(L447="F-120",6,0))))),0),0)+IF(AND(O447="FIRE TEX 5120",OR(E447="IN",E447="C",E447="Z",E447="L"),J447=4),VLOOKUP(_xlfn.MINIFS('FIRE TEX 5120'!$H$4:$H$40,'FIRE TEX 5120'!$H$4:$H$40,"&gt;="&amp;M447),'FIRE TEX 5120'!$H$4:$M$40,IF(L447="F-15",2,IF(L447="F-30",3,IF(L447="F-60",4,IF(L447="F-90",5,IF(L447="F-120",6,0))))),0),0)+IF(AND(O447="FIRE TEX 5120",E447="CJ"),VLOOKUP(_xlfn.MINIFS('FIRE TEX 5120'!$O$5:$O$40,'FIRE TEX 5120'!$O$5:$O$40,"&gt;="&amp;M447),'FIRE TEX 5120'!$O$5:$T$40,IF(L447="F-15",2,IF(L447="F-30",3,IF(L447="F-60",4,IF(L447="F-90",5,IF(L447="F-120",6,0))))),0),0)</f>
        <v>0</v>
      </c>
      <c r="Q447" s="46">
        <f t="shared" si="54"/>
        <v>0</v>
      </c>
      <c r="R447" s="46">
        <f t="shared" si="55"/>
        <v>0</v>
      </c>
      <c r="S447" s="46" t="e">
        <f t="shared" si="56"/>
        <v>#VALUE!</v>
      </c>
      <c r="T447" s="677">
        <f t="shared" si="57"/>
        <v>0</v>
      </c>
      <c r="U447" s="80">
        <f>(IF(O447="Stofire",(S447*#REF!),0))+(IF(O447="Fire Control",(S447*$U$2),0))+(IF(O447="Fire Tex",(S447*$U$3),0))+(IF(O447="WB7",(S447*#REF!),0)+(IF(O447="FX 2003",(S447*$U$5),0)))</f>
        <v>0</v>
      </c>
      <c r="V447" s="651">
        <f t="shared" si="58"/>
        <v>0</v>
      </c>
    </row>
    <row r="448" spans="4:22" x14ac:dyDescent="0.25">
      <c r="D448" s="118">
        <f>+CUBICACION!D447</f>
        <v>0</v>
      </c>
      <c r="E448" s="118">
        <f>+CUBICACION!F447</f>
        <v>0</v>
      </c>
      <c r="F448" s="118">
        <f>+CUBICACION!E447</f>
        <v>0</v>
      </c>
      <c r="G448" s="118">
        <v>12</v>
      </c>
      <c r="H448" s="118">
        <v>2</v>
      </c>
      <c r="I448" s="820">
        <v>26385</v>
      </c>
      <c r="J448" s="118">
        <f>+CUBICACION!J447</f>
        <v>0</v>
      </c>
      <c r="K448" s="118">
        <v>3227</v>
      </c>
      <c r="L448" s="118">
        <f>+CUBICACION!L447</f>
        <v>0</v>
      </c>
      <c r="M448" s="64">
        <f>+CUBICACION!M447</f>
        <v>0</v>
      </c>
      <c r="N448" s="824" t="str">
        <f>+CUBICACION!N447</f>
        <v/>
      </c>
      <c r="O448" s="675">
        <f>+CUBICACION!O447</f>
        <v>0</v>
      </c>
      <c r="P448" s="15">
        <f>IF(O448="Fire Control",VLOOKUP(_xlfn.MINIFS('FIRE CONTROL'!$C$4:$C$37,'FIRE CONTROL'!$C$4:$C$37,"&gt;="&amp;M448),'FIRE CONTROL'!$C$4:$G$37,IF(L448="F-15",2,IF(L448="F-30",3,IF(L448="F-60",4,IF(L448="F-90",5,0)))),0),0)+IF(AND(O448="FIRE TEX 5062",OR(E448="IN",E448="C",E448="Z",E448="L"),J448=3),VLOOKUP(_xlfn.MINIFS('FIRE TEX 5062'!$B$4:$B$34,'FIRE TEX 5062'!$B$4:$B$34,"&gt;="&amp;M448),'FIRE TEX 5062'!$B$4:$F$34,IF(L448="F-15",2,IF(L448="F-30",3,IF(L448="F-60",4,IF(L448="F-90",5,0)))),0),0)+IF(AND(O448="FIRE TEX 5062",OR(E448="IN",E448="C",E448="Z",E448="L"),J448=4),VLOOKUP(_xlfn.MINIFS('FIRE TEX 5062'!$G$4:$G$34,'FIRE TEX 5062'!$G$4:$G$34,"&gt;="&amp;M448),'FIRE TEX 5062'!$G$4:$K$34,IF(L448="F-15",2,IF(L448="F-30",3,IF(L448="F-60",4,IF(L448="F-90",5,0)))),0),0)+IF(AND(O448="FIRE TEX 5062",E448="CJ",J448=3),VLOOKUP(_xlfn.MINIFS('FIRE TEX 5062'!$L$4:$L$34,'FIRE TEX 5062'!$L$4:$L$34,"&gt;="&amp;M448),'FIRE TEX 5062'!$L$4:$P$34,IF(L448="F-15",2,IF(L448="F-30",3,IF(L448="F-60",4,IF(L448="F-90",5,0)))),0),0)+IF(AND(O448="FIRE TEX 5062",E448="CJ",J448=4),VLOOKUP(_xlfn.MINIFS('FIRE TEX 5062'!$Q$3:$Q$34,'FIRE TEX 5062'!$Q$3:$Q$34,"&gt;="&amp;M448),'FIRE TEX 5062'!$Q$3:$U$34,IF(L448="F-15",2,IF(L448="F-30",3,IF(L448="F-60",4,IF(L448="F-90",5,0)))),0),0)+IF(AND(O448="FIRE TEX 5090",OR(E448="IN",E448="C",E448="Z",E448="L"),J448=3),VLOOKUP(_xlfn.MINIFS('FIRE TEX 5090'!$B$5:$B$43,'FIRE TEX 5090'!$B$5:$B$43,"&gt;="&amp;M448),'FIRE TEX 5090'!$B$5:$H$43,IF(L448="F-15",2,IF(L448="F-30",3,IF(L448="F-60",4,IF(L448="F-90",5,IF(L448="F-120",6,IF(L448="F-150",7,0)))))),0),0)+IF(AND(O448="FIRE TEX 5090",OR(E448="IN",E448="C",E448="Z",E448="L"),J448=4),VLOOKUP(_xlfn.MINIFS('FIRE TEX 5090'!$J$5:$J$43,'FIRE TEX 5090'!$J$5:$J$43,"&gt;="&amp;M448),'FIRE TEX 5090'!$J$5:$P$43,IF(L448="F-15",2,IF(L448="F-30",3,IF(L448="F-60",4,IF(L448="F-90",5,IF(L448="F-120",6,IF(L448="F-150",7,0)))))),0),0)+IF(AND(O448="FIRE TEX 5090",E448="CJ",J448=3),VLOOKUP(_xlfn.MINIFS('FIRE TEX 5090'!$R$5:$R$30,'FIRE TEX 5090'!$R$5:$R$30,"&gt;="&amp;M448),'FIRE TEX 5090'!$R$5:$W$30,IF(L448="F-15",2,IF(L448="F-30",3,IF(L448="F-60",4,IF(L448="F-90",5,IF(L448="F-120",6,IF(L448="F-150",7,0)))))),0),0)+IF(AND(O448="FIRE TEX 5090",E448="CJ",J448=4),VLOOKUP(_xlfn.MINIFS('FIRE TEX 5090'!$Y$5:$Y$39,'FIRE TEX 5090'!$Y$5:$Y$39,"&gt;="&amp;M448),'FIRE TEX 5090'!$Y$5:$AD$39,IF(L448="F-15",2,IF(L448="F-30",3,IF(L448="F-60",4,IF(L448="F-90",5,IF(L448="F-120",6,IF(L448="F-150",7,0)))))),0),0)+IF(AND(O448="FIRE TEX 5120",OR(E448="IN",E448="C",E448="Z",E448="L"),J448=3),VLOOKUP(_xlfn.MINIFS('FIRE TEX 5120'!$B$5:$B$40,'FIRE TEX 5120'!$B$5:$B$40,"&gt;="&amp;M448),'FIRE TEX 5120'!$B$5:$G$40,IF(L448="F-15",2,IF(L448="F-30",3,IF(L448="F-60",4,IF(L448="F-90",5,IF(L448="F-120",6,0))))),0),0)+IF(AND(O448="FIRE TEX 5120",OR(E448="IN",E448="C",E448="Z",E448="L"),J448=4),VLOOKUP(_xlfn.MINIFS('FIRE TEX 5120'!$H$4:$H$40,'FIRE TEX 5120'!$H$4:$H$40,"&gt;="&amp;M448),'FIRE TEX 5120'!$H$4:$M$40,IF(L448="F-15",2,IF(L448="F-30",3,IF(L448="F-60",4,IF(L448="F-90",5,IF(L448="F-120",6,0))))),0),0)+IF(AND(O448="FIRE TEX 5120",E448="CJ"),VLOOKUP(_xlfn.MINIFS('FIRE TEX 5120'!$O$5:$O$40,'FIRE TEX 5120'!$O$5:$O$40,"&gt;="&amp;M448),'FIRE TEX 5120'!$O$5:$T$40,IF(L448="F-15",2,IF(L448="F-30",3,IF(L448="F-60",4,IF(L448="F-90",5,IF(L448="F-120",6,0))))),0),0)</f>
        <v>0</v>
      </c>
      <c r="Q448" s="46">
        <f t="shared" si="54"/>
        <v>0</v>
      </c>
      <c r="R448" s="46">
        <f t="shared" si="55"/>
        <v>0</v>
      </c>
      <c r="S448" s="46" t="e">
        <f t="shared" si="56"/>
        <v>#VALUE!</v>
      </c>
      <c r="T448" s="677">
        <f t="shared" si="57"/>
        <v>0</v>
      </c>
      <c r="U448" s="80">
        <f>(IF(O448="Stofire",(S448*#REF!),0))+(IF(O448="Fire Control",(S448*$U$2),0))+(IF(O448="Fire Tex",(S448*$U$3),0))+(IF(O448="WB7",(S448*#REF!),0)+(IF(O448="FX 2003",(S448*$U$5),0)))</f>
        <v>0</v>
      </c>
      <c r="V448" s="651">
        <f t="shared" si="58"/>
        <v>0</v>
      </c>
    </row>
    <row r="449" spans="4:22" x14ac:dyDescent="0.25">
      <c r="D449" s="118">
        <f>+CUBICACION!D448</f>
        <v>0</v>
      </c>
      <c r="E449" s="118">
        <f>+CUBICACION!F448</f>
        <v>0</v>
      </c>
      <c r="F449" s="118">
        <f>+CUBICACION!E448</f>
        <v>0</v>
      </c>
      <c r="G449" s="118">
        <v>12</v>
      </c>
      <c r="H449" s="118">
        <v>2</v>
      </c>
      <c r="I449" s="820">
        <v>26385</v>
      </c>
      <c r="J449" s="118">
        <f>+CUBICACION!J448</f>
        <v>0</v>
      </c>
      <c r="K449" s="118">
        <v>3228</v>
      </c>
      <c r="L449" s="118">
        <f>+CUBICACION!L448</f>
        <v>0</v>
      </c>
      <c r="M449" s="64">
        <f>+CUBICACION!M448</f>
        <v>0</v>
      </c>
      <c r="N449" s="824" t="str">
        <f>+CUBICACION!N448</f>
        <v/>
      </c>
      <c r="O449" s="675">
        <f>+CUBICACION!O448</f>
        <v>0</v>
      </c>
      <c r="P449" s="15">
        <f>IF(O449="Fire Control",VLOOKUP(_xlfn.MINIFS('FIRE CONTROL'!$C$4:$C$37,'FIRE CONTROL'!$C$4:$C$37,"&gt;="&amp;M449),'FIRE CONTROL'!$C$4:$G$37,IF(L449="F-15",2,IF(L449="F-30",3,IF(L449="F-60",4,IF(L449="F-90",5,0)))),0),0)+IF(AND(O449="FIRE TEX 5062",OR(E449="IN",E449="C",E449="Z",E449="L"),J449=3),VLOOKUP(_xlfn.MINIFS('FIRE TEX 5062'!$B$4:$B$34,'FIRE TEX 5062'!$B$4:$B$34,"&gt;="&amp;M449),'FIRE TEX 5062'!$B$4:$F$34,IF(L449="F-15",2,IF(L449="F-30",3,IF(L449="F-60",4,IF(L449="F-90",5,0)))),0),0)+IF(AND(O449="FIRE TEX 5062",OR(E449="IN",E449="C",E449="Z",E449="L"),J449=4),VLOOKUP(_xlfn.MINIFS('FIRE TEX 5062'!$G$4:$G$34,'FIRE TEX 5062'!$G$4:$G$34,"&gt;="&amp;M449),'FIRE TEX 5062'!$G$4:$K$34,IF(L449="F-15",2,IF(L449="F-30",3,IF(L449="F-60",4,IF(L449="F-90",5,0)))),0),0)+IF(AND(O449="FIRE TEX 5062",E449="CJ",J449=3),VLOOKUP(_xlfn.MINIFS('FIRE TEX 5062'!$L$4:$L$34,'FIRE TEX 5062'!$L$4:$L$34,"&gt;="&amp;M449),'FIRE TEX 5062'!$L$4:$P$34,IF(L449="F-15",2,IF(L449="F-30",3,IF(L449="F-60",4,IF(L449="F-90",5,0)))),0),0)+IF(AND(O449="FIRE TEX 5062",E449="CJ",J449=4),VLOOKUP(_xlfn.MINIFS('FIRE TEX 5062'!$Q$3:$Q$34,'FIRE TEX 5062'!$Q$3:$Q$34,"&gt;="&amp;M449),'FIRE TEX 5062'!$Q$3:$U$34,IF(L449="F-15",2,IF(L449="F-30",3,IF(L449="F-60",4,IF(L449="F-90",5,0)))),0),0)+IF(AND(O449="FIRE TEX 5090",OR(E449="IN",E449="C",E449="Z",E449="L"),J449=3),VLOOKUP(_xlfn.MINIFS('FIRE TEX 5090'!$B$5:$B$43,'FIRE TEX 5090'!$B$5:$B$43,"&gt;="&amp;M449),'FIRE TEX 5090'!$B$5:$H$43,IF(L449="F-15",2,IF(L449="F-30",3,IF(L449="F-60",4,IF(L449="F-90",5,IF(L449="F-120",6,IF(L449="F-150",7,0)))))),0),0)+IF(AND(O449="FIRE TEX 5090",OR(E449="IN",E449="C",E449="Z",E449="L"),J449=4),VLOOKUP(_xlfn.MINIFS('FIRE TEX 5090'!$J$5:$J$43,'FIRE TEX 5090'!$J$5:$J$43,"&gt;="&amp;M449),'FIRE TEX 5090'!$J$5:$P$43,IF(L449="F-15",2,IF(L449="F-30",3,IF(L449="F-60",4,IF(L449="F-90",5,IF(L449="F-120",6,IF(L449="F-150",7,0)))))),0),0)+IF(AND(O449="FIRE TEX 5090",E449="CJ",J449=3),VLOOKUP(_xlfn.MINIFS('FIRE TEX 5090'!$R$5:$R$30,'FIRE TEX 5090'!$R$5:$R$30,"&gt;="&amp;M449),'FIRE TEX 5090'!$R$5:$W$30,IF(L449="F-15",2,IF(L449="F-30",3,IF(L449="F-60",4,IF(L449="F-90",5,IF(L449="F-120",6,IF(L449="F-150",7,0)))))),0),0)+IF(AND(O449="FIRE TEX 5090",E449="CJ",J449=4),VLOOKUP(_xlfn.MINIFS('FIRE TEX 5090'!$Y$5:$Y$39,'FIRE TEX 5090'!$Y$5:$Y$39,"&gt;="&amp;M449),'FIRE TEX 5090'!$Y$5:$AD$39,IF(L449="F-15",2,IF(L449="F-30",3,IF(L449="F-60",4,IF(L449="F-90",5,IF(L449="F-120",6,IF(L449="F-150",7,0)))))),0),0)+IF(AND(O449="FIRE TEX 5120",OR(E449="IN",E449="C",E449="Z",E449="L"),J449=3),VLOOKUP(_xlfn.MINIFS('FIRE TEX 5120'!$B$5:$B$40,'FIRE TEX 5120'!$B$5:$B$40,"&gt;="&amp;M449),'FIRE TEX 5120'!$B$5:$G$40,IF(L449="F-15",2,IF(L449="F-30",3,IF(L449="F-60",4,IF(L449="F-90",5,IF(L449="F-120",6,0))))),0),0)+IF(AND(O449="FIRE TEX 5120",OR(E449="IN",E449="C",E449="Z",E449="L"),J449=4),VLOOKUP(_xlfn.MINIFS('FIRE TEX 5120'!$H$4:$H$40,'FIRE TEX 5120'!$H$4:$H$40,"&gt;="&amp;M449),'FIRE TEX 5120'!$H$4:$M$40,IF(L449="F-15",2,IF(L449="F-30",3,IF(L449="F-60",4,IF(L449="F-90",5,IF(L449="F-120",6,0))))),0),0)+IF(AND(O449="FIRE TEX 5120",E449="CJ"),VLOOKUP(_xlfn.MINIFS('FIRE TEX 5120'!$O$5:$O$40,'FIRE TEX 5120'!$O$5:$O$40,"&gt;="&amp;M449),'FIRE TEX 5120'!$O$5:$T$40,IF(L449="F-15",2,IF(L449="F-30",3,IF(L449="F-60",4,IF(L449="F-90",5,IF(L449="F-120",6,0))))),0),0)</f>
        <v>0</v>
      </c>
      <c r="Q449" s="46">
        <f t="shared" si="54"/>
        <v>0</v>
      </c>
      <c r="R449" s="46">
        <f t="shared" si="55"/>
        <v>0</v>
      </c>
      <c r="S449" s="46" t="e">
        <f t="shared" si="56"/>
        <v>#VALUE!</v>
      </c>
      <c r="T449" s="677">
        <f t="shared" si="57"/>
        <v>0</v>
      </c>
      <c r="U449" s="80">
        <f>(IF(O449="Stofire",(S449*#REF!),0))+(IF(O449="Fire Control",(S449*$U$2),0))+(IF(O449="Fire Tex",(S449*$U$3),0))+(IF(O449="WB7",(S449*#REF!),0)+(IF(O449="FX 2003",(S449*$U$5),0)))</f>
        <v>0</v>
      </c>
      <c r="V449" s="651">
        <f t="shared" si="58"/>
        <v>0</v>
      </c>
    </row>
    <row r="450" spans="4:22" x14ac:dyDescent="0.25">
      <c r="D450" s="118">
        <f>+CUBICACION!D449</f>
        <v>0</v>
      </c>
      <c r="E450" s="118">
        <f>+CUBICACION!F449</f>
        <v>0</v>
      </c>
      <c r="F450" s="118">
        <f>+CUBICACION!E449</f>
        <v>0</v>
      </c>
      <c r="G450" s="118">
        <v>12</v>
      </c>
      <c r="H450" s="118">
        <v>2</v>
      </c>
      <c r="I450" s="820">
        <v>26385</v>
      </c>
      <c r="J450" s="118">
        <f>+CUBICACION!J449</f>
        <v>0</v>
      </c>
      <c r="K450" s="118">
        <v>3229</v>
      </c>
      <c r="L450" s="118">
        <f>+CUBICACION!L449</f>
        <v>0</v>
      </c>
      <c r="M450" s="64">
        <f>+CUBICACION!M449</f>
        <v>0</v>
      </c>
      <c r="N450" s="824" t="str">
        <f>+CUBICACION!N449</f>
        <v/>
      </c>
      <c r="O450" s="675">
        <f>+CUBICACION!O449</f>
        <v>0</v>
      </c>
      <c r="P450" s="15">
        <f>IF(O450="Fire Control",VLOOKUP(_xlfn.MINIFS('FIRE CONTROL'!$C$4:$C$37,'FIRE CONTROL'!$C$4:$C$37,"&gt;="&amp;M450),'FIRE CONTROL'!$C$4:$G$37,IF(L450="F-15",2,IF(L450="F-30",3,IF(L450="F-60",4,IF(L450="F-90",5,0)))),0),0)+IF(AND(O450="FIRE TEX 5062",OR(E450="IN",E450="C",E450="Z",E450="L"),J450=3),VLOOKUP(_xlfn.MINIFS('FIRE TEX 5062'!$B$4:$B$34,'FIRE TEX 5062'!$B$4:$B$34,"&gt;="&amp;M450),'FIRE TEX 5062'!$B$4:$F$34,IF(L450="F-15",2,IF(L450="F-30",3,IF(L450="F-60",4,IF(L450="F-90",5,0)))),0),0)+IF(AND(O450="FIRE TEX 5062",OR(E450="IN",E450="C",E450="Z",E450="L"),J450=4),VLOOKUP(_xlfn.MINIFS('FIRE TEX 5062'!$G$4:$G$34,'FIRE TEX 5062'!$G$4:$G$34,"&gt;="&amp;M450),'FIRE TEX 5062'!$G$4:$K$34,IF(L450="F-15",2,IF(L450="F-30",3,IF(L450="F-60",4,IF(L450="F-90",5,0)))),0),0)+IF(AND(O450="FIRE TEX 5062",E450="CJ",J450=3),VLOOKUP(_xlfn.MINIFS('FIRE TEX 5062'!$L$4:$L$34,'FIRE TEX 5062'!$L$4:$L$34,"&gt;="&amp;M450),'FIRE TEX 5062'!$L$4:$P$34,IF(L450="F-15",2,IF(L450="F-30",3,IF(L450="F-60",4,IF(L450="F-90",5,0)))),0),0)+IF(AND(O450="FIRE TEX 5062",E450="CJ",J450=4),VLOOKUP(_xlfn.MINIFS('FIRE TEX 5062'!$Q$3:$Q$34,'FIRE TEX 5062'!$Q$3:$Q$34,"&gt;="&amp;M450),'FIRE TEX 5062'!$Q$3:$U$34,IF(L450="F-15",2,IF(L450="F-30",3,IF(L450="F-60",4,IF(L450="F-90",5,0)))),0),0)+IF(AND(O450="FIRE TEX 5090",OR(E450="IN",E450="C",E450="Z",E450="L"),J450=3),VLOOKUP(_xlfn.MINIFS('FIRE TEX 5090'!$B$5:$B$43,'FIRE TEX 5090'!$B$5:$B$43,"&gt;="&amp;M450),'FIRE TEX 5090'!$B$5:$H$43,IF(L450="F-15",2,IF(L450="F-30",3,IF(L450="F-60",4,IF(L450="F-90",5,IF(L450="F-120",6,IF(L450="F-150",7,0)))))),0),0)+IF(AND(O450="FIRE TEX 5090",OR(E450="IN",E450="C",E450="Z",E450="L"),J450=4),VLOOKUP(_xlfn.MINIFS('FIRE TEX 5090'!$J$5:$J$43,'FIRE TEX 5090'!$J$5:$J$43,"&gt;="&amp;M450),'FIRE TEX 5090'!$J$5:$P$43,IF(L450="F-15",2,IF(L450="F-30",3,IF(L450="F-60",4,IF(L450="F-90",5,IF(L450="F-120",6,IF(L450="F-150",7,0)))))),0),0)+IF(AND(O450="FIRE TEX 5090",E450="CJ",J450=3),VLOOKUP(_xlfn.MINIFS('FIRE TEX 5090'!$R$5:$R$30,'FIRE TEX 5090'!$R$5:$R$30,"&gt;="&amp;M450),'FIRE TEX 5090'!$R$5:$W$30,IF(L450="F-15",2,IF(L450="F-30",3,IF(L450="F-60",4,IF(L450="F-90",5,IF(L450="F-120",6,IF(L450="F-150",7,0)))))),0),0)+IF(AND(O450="FIRE TEX 5090",E450="CJ",J450=4),VLOOKUP(_xlfn.MINIFS('FIRE TEX 5090'!$Y$5:$Y$39,'FIRE TEX 5090'!$Y$5:$Y$39,"&gt;="&amp;M450),'FIRE TEX 5090'!$Y$5:$AD$39,IF(L450="F-15",2,IF(L450="F-30",3,IF(L450="F-60",4,IF(L450="F-90",5,IF(L450="F-120",6,IF(L450="F-150",7,0)))))),0),0)+IF(AND(O450="FIRE TEX 5120",OR(E450="IN",E450="C",E450="Z",E450="L"),J450=3),VLOOKUP(_xlfn.MINIFS('FIRE TEX 5120'!$B$5:$B$40,'FIRE TEX 5120'!$B$5:$B$40,"&gt;="&amp;M450),'FIRE TEX 5120'!$B$5:$G$40,IF(L450="F-15",2,IF(L450="F-30",3,IF(L450="F-60",4,IF(L450="F-90",5,IF(L450="F-120",6,0))))),0),0)+IF(AND(O450="FIRE TEX 5120",OR(E450="IN",E450="C",E450="Z",E450="L"),J450=4),VLOOKUP(_xlfn.MINIFS('FIRE TEX 5120'!$H$4:$H$40,'FIRE TEX 5120'!$H$4:$H$40,"&gt;="&amp;M450),'FIRE TEX 5120'!$H$4:$M$40,IF(L450="F-15",2,IF(L450="F-30",3,IF(L450="F-60",4,IF(L450="F-90",5,IF(L450="F-120",6,0))))),0),0)+IF(AND(O450="FIRE TEX 5120",E450="CJ"),VLOOKUP(_xlfn.MINIFS('FIRE TEX 5120'!$O$5:$O$40,'FIRE TEX 5120'!$O$5:$O$40,"&gt;="&amp;M450),'FIRE TEX 5120'!$O$5:$T$40,IF(L450="F-15",2,IF(L450="F-30",3,IF(L450="F-60",4,IF(L450="F-90",5,IF(L450="F-120",6,0))))),0),0)</f>
        <v>0</v>
      </c>
      <c r="Q450" s="46">
        <f t="shared" si="54"/>
        <v>0</v>
      </c>
      <c r="R450" s="46">
        <f t="shared" si="55"/>
        <v>0</v>
      </c>
      <c r="S450" s="46" t="e">
        <f t="shared" si="56"/>
        <v>#VALUE!</v>
      </c>
      <c r="T450" s="677">
        <f t="shared" si="57"/>
        <v>0</v>
      </c>
      <c r="U450" s="80">
        <f>(IF(O450="Stofire",(S450*#REF!),0))+(IF(O450="Fire Control",(S450*$U$2),0))+(IF(O450="Fire Tex",(S450*$U$3),0))+(IF(O450="WB7",(S450*#REF!),0)+(IF(O450="FX 2003",(S450*$U$5),0)))</f>
        <v>0</v>
      </c>
      <c r="V450" s="651">
        <f t="shared" si="58"/>
        <v>0</v>
      </c>
    </row>
    <row r="451" spans="4:22" x14ac:dyDescent="0.25">
      <c r="D451" s="118">
        <f>+CUBICACION!D450</f>
        <v>0</v>
      </c>
      <c r="E451" s="118">
        <f>+CUBICACION!F450</f>
        <v>0</v>
      </c>
      <c r="F451" s="118">
        <f>+CUBICACION!E450</f>
        <v>0</v>
      </c>
      <c r="G451" s="118">
        <v>12</v>
      </c>
      <c r="H451" s="118">
        <v>2</v>
      </c>
      <c r="I451" s="820">
        <v>26385</v>
      </c>
      <c r="J451" s="118">
        <f>+CUBICACION!J450</f>
        <v>0</v>
      </c>
      <c r="K451" s="118">
        <v>3230</v>
      </c>
      <c r="L451" s="118">
        <f>+CUBICACION!L450</f>
        <v>0</v>
      </c>
      <c r="M451" s="64">
        <f>+CUBICACION!M450</f>
        <v>0</v>
      </c>
      <c r="N451" s="824" t="str">
        <f>+CUBICACION!N450</f>
        <v/>
      </c>
      <c r="O451" s="675">
        <f>+CUBICACION!O450</f>
        <v>0</v>
      </c>
      <c r="P451" s="15">
        <f>IF(O451="Fire Control",VLOOKUP(_xlfn.MINIFS('FIRE CONTROL'!$C$4:$C$37,'FIRE CONTROL'!$C$4:$C$37,"&gt;="&amp;M451),'FIRE CONTROL'!$C$4:$G$37,IF(L451="F-15",2,IF(L451="F-30",3,IF(L451="F-60",4,IF(L451="F-90",5,0)))),0),0)+IF(AND(O451="FIRE TEX 5062",OR(E451="IN",E451="C",E451="Z",E451="L"),J451=3),VLOOKUP(_xlfn.MINIFS('FIRE TEX 5062'!$B$4:$B$34,'FIRE TEX 5062'!$B$4:$B$34,"&gt;="&amp;M451),'FIRE TEX 5062'!$B$4:$F$34,IF(L451="F-15",2,IF(L451="F-30",3,IF(L451="F-60",4,IF(L451="F-90",5,0)))),0),0)+IF(AND(O451="FIRE TEX 5062",OR(E451="IN",E451="C",E451="Z",E451="L"),J451=4),VLOOKUP(_xlfn.MINIFS('FIRE TEX 5062'!$G$4:$G$34,'FIRE TEX 5062'!$G$4:$G$34,"&gt;="&amp;M451),'FIRE TEX 5062'!$G$4:$K$34,IF(L451="F-15",2,IF(L451="F-30",3,IF(L451="F-60",4,IF(L451="F-90",5,0)))),0),0)+IF(AND(O451="FIRE TEX 5062",E451="CJ",J451=3),VLOOKUP(_xlfn.MINIFS('FIRE TEX 5062'!$L$4:$L$34,'FIRE TEX 5062'!$L$4:$L$34,"&gt;="&amp;M451),'FIRE TEX 5062'!$L$4:$P$34,IF(L451="F-15",2,IF(L451="F-30",3,IF(L451="F-60",4,IF(L451="F-90",5,0)))),0),0)+IF(AND(O451="FIRE TEX 5062",E451="CJ",J451=4),VLOOKUP(_xlfn.MINIFS('FIRE TEX 5062'!$Q$3:$Q$34,'FIRE TEX 5062'!$Q$3:$Q$34,"&gt;="&amp;M451),'FIRE TEX 5062'!$Q$3:$U$34,IF(L451="F-15",2,IF(L451="F-30",3,IF(L451="F-60",4,IF(L451="F-90",5,0)))),0),0)+IF(AND(O451="FIRE TEX 5090",OR(E451="IN",E451="C",E451="Z",E451="L"),J451=3),VLOOKUP(_xlfn.MINIFS('FIRE TEX 5090'!$B$5:$B$43,'FIRE TEX 5090'!$B$5:$B$43,"&gt;="&amp;M451),'FIRE TEX 5090'!$B$5:$H$43,IF(L451="F-15",2,IF(L451="F-30",3,IF(L451="F-60",4,IF(L451="F-90",5,IF(L451="F-120",6,IF(L451="F-150",7,0)))))),0),0)+IF(AND(O451="FIRE TEX 5090",OR(E451="IN",E451="C",E451="Z",E451="L"),J451=4),VLOOKUP(_xlfn.MINIFS('FIRE TEX 5090'!$J$5:$J$43,'FIRE TEX 5090'!$J$5:$J$43,"&gt;="&amp;M451),'FIRE TEX 5090'!$J$5:$P$43,IF(L451="F-15",2,IF(L451="F-30",3,IF(L451="F-60",4,IF(L451="F-90",5,IF(L451="F-120",6,IF(L451="F-150",7,0)))))),0),0)+IF(AND(O451="FIRE TEX 5090",E451="CJ",J451=3),VLOOKUP(_xlfn.MINIFS('FIRE TEX 5090'!$R$5:$R$30,'FIRE TEX 5090'!$R$5:$R$30,"&gt;="&amp;M451),'FIRE TEX 5090'!$R$5:$W$30,IF(L451="F-15",2,IF(L451="F-30",3,IF(L451="F-60",4,IF(L451="F-90",5,IF(L451="F-120",6,IF(L451="F-150",7,0)))))),0),0)+IF(AND(O451="FIRE TEX 5090",E451="CJ",J451=4),VLOOKUP(_xlfn.MINIFS('FIRE TEX 5090'!$Y$5:$Y$39,'FIRE TEX 5090'!$Y$5:$Y$39,"&gt;="&amp;M451),'FIRE TEX 5090'!$Y$5:$AD$39,IF(L451="F-15",2,IF(L451="F-30",3,IF(L451="F-60",4,IF(L451="F-90",5,IF(L451="F-120",6,IF(L451="F-150",7,0)))))),0),0)+IF(AND(O451="FIRE TEX 5120",OR(E451="IN",E451="C",E451="Z",E451="L"),J451=3),VLOOKUP(_xlfn.MINIFS('FIRE TEX 5120'!$B$5:$B$40,'FIRE TEX 5120'!$B$5:$B$40,"&gt;="&amp;M451),'FIRE TEX 5120'!$B$5:$G$40,IF(L451="F-15",2,IF(L451="F-30",3,IF(L451="F-60",4,IF(L451="F-90",5,IF(L451="F-120",6,0))))),0),0)+IF(AND(O451="FIRE TEX 5120",OR(E451="IN",E451="C",E451="Z",E451="L"),J451=4),VLOOKUP(_xlfn.MINIFS('FIRE TEX 5120'!$H$4:$H$40,'FIRE TEX 5120'!$H$4:$H$40,"&gt;="&amp;M451),'FIRE TEX 5120'!$H$4:$M$40,IF(L451="F-15",2,IF(L451="F-30",3,IF(L451="F-60",4,IF(L451="F-90",5,IF(L451="F-120",6,0))))),0),0)+IF(AND(O451="FIRE TEX 5120",E451="CJ"),VLOOKUP(_xlfn.MINIFS('FIRE TEX 5120'!$O$5:$O$40,'FIRE TEX 5120'!$O$5:$O$40,"&gt;="&amp;M451),'FIRE TEX 5120'!$O$5:$T$40,IF(L451="F-15",2,IF(L451="F-30",3,IF(L451="F-60",4,IF(L451="F-90",5,IF(L451="F-120",6,0))))),0),0)</f>
        <v>0</v>
      </c>
      <c r="Q451" s="46">
        <f t="shared" si="54"/>
        <v>0</v>
      </c>
      <c r="R451" s="46">
        <f t="shared" si="55"/>
        <v>0</v>
      </c>
      <c r="S451" s="46" t="e">
        <f t="shared" si="56"/>
        <v>#VALUE!</v>
      </c>
      <c r="T451" s="677">
        <f t="shared" si="57"/>
        <v>0</v>
      </c>
      <c r="U451" s="80">
        <f>(IF(O451="Stofire",(S451*#REF!),0))+(IF(O451="Fire Control",(S451*$U$2),0))+(IF(O451="Fire Tex",(S451*$U$3),0))+(IF(O451="WB7",(S451*#REF!),0)+(IF(O451="FX 2003",(S451*$U$5),0)))</f>
        <v>0</v>
      </c>
      <c r="V451" s="651">
        <f t="shared" si="58"/>
        <v>0</v>
      </c>
    </row>
    <row r="452" spans="4:22" x14ac:dyDescent="0.25">
      <c r="D452" s="118">
        <f>+CUBICACION!D451</f>
        <v>0</v>
      </c>
      <c r="E452" s="118">
        <f>+CUBICACION!F451</f>
        <v>0</v>
      </c>
      <c r="F452" s="118">
        <f>+CUBICACION!E451</f>
        <v>0</v>
      </c>
      <c r="G452" s="118">
        <v>12</v>
      </c>
      <c r="H452" s="118">
        <v>2</v>
      </c>
      <c r="I452" s="820">
        <v>26385</v>
      </c>
      <c r="J452" s="118">
        <f>+CUBICACION!J451</f>
        <v>0</v>
      </c>
      <c r="K452" s="118">
        <v>3231</v>
      </c>
      <c r="L452" s="118">
        <f>+CUBICACION!L451</f>
        <v>0</v>
      </c>
      <c r="M452" s="64">
        <f>+CUBICACION!M451</f>
        <v>0</v>
      </c>
      <c r="N452" s="824" t="str">
        <f>+CUBICACION!N451</f>
        <v/>
      </c>
      <c r="O452" s="675">
        <f>+CUBICACION!O451</f>
        <v>0</v>
      </c>
      <c r="P452" s="15">
        <f>IF(O452="Fire Control",VLOOKUP(_xlfn.MINIFS('FIRE CONTROL'!$C$4:$C$37,'FIRE CONTROL'!$C$4:$C$37,"&gt;="&amp;M452),'FIRE CONTROL'!$C$4:$G$37,IF(L452="F-15",2,IF(L452="F-30",3,IF(L452="F-60",4,IF(L452="F-90",5,0)))),0),0)+IF(AND(O452="FIRE TEX 5062",OR(E452="IN",E452="C",E452="Z",E452="L"),J452=3),VLOOKUP(_xlfn.MINIFS('FIRE TEX 5062'!$B$4:$B$34,'FIRE TEX 5062'!$B$4:$B$34,"&gt;="&amp;M452),'FIRE TEX 5062'!$B$4:$F$34,IF(L452="F-15",2,IF(L452="F-30",3,IF(L452="F-60",4,IF(L452="F-90",5,0)))),0),0)+IF(AND(O452="FIRE TEX 5062",OR(E452="IN",E452="C",E452="Z",E452="L"),J452=4),VLOOKUP(_xlfn.MINIFS('FIRE TEX 5062'!$G$4:$G$34,'FIRE TEX 5062'!$G$4:$G$34,"&gt;="&amp;M452),'FIRE TEX 5062'!$G$4:$K$34,IF(L452="F-15",2,IF(L452="F-30",3,IF(L452="F-60",4,IF(L452="F-90",5,0)))),0),0)+IF(AND(O452="FIRE TEX 5062",E452="CJ",J452=3),VLOOKUP(_xlfn.MINIFS('FIRE TEX 5062'!$L$4:$L$34,'FIRE TEX 5062'!$L$4:$L$34,"&gt;="&amp;M452),'FIRE TEX 5062'!$L$4:$P$34,IF(L452="F-15",2,IF(L452="F-30",3,IF(L452="F-60",4,IF(L452="F-90",5,0)))),0),0)+IF(AND(O452="FIRE TEX 5062",E452="CJ",J452=4),VLOOKUP(_xlfn.MINIFS('FIRE TEX 5062'!$Q$3:$Q$34,'FIRE TEX 5062'!$Q$3:$Q$34,"&gt;="&amp;M452),'FIRE TEX 5062'!$Q$3:$U$34,IF(L452="F-15",2,IF(L452="F-30",3,IF(L452="F-60",4,IF(L452="F-90",5,0)))),0),0)+IF(AND(O452="FIRE TEX 5090",OR(E452="IN",E452="C",E452="Z",E452="L"),J452=3),VLOOKUP(_xlfn.MINIFS('FIRE TEX 5090'!$B$5:$B$43,'FIRE TEX 5090'!$B$5:$B$43,"&gt;="&amp;M452),'FIRE TEX 5090'!$B$5:$H$43,IF(L452="F-15",2,IF(L452="F-30",3,IF(L452="F-60",4,IF(L452="F-90",5,IF(L452="F-120",6,IF(L452="F-150",7,0)))))),0),0)+IF(AND(O452="FIRE TEX 5090",OR(E452="IN",E452="C",E452="Z",E452="L"),J452=4),VLOOKUP(_xlfn.MINIFS('FIRE TEX 5090'!$J$5:$J$43,'FIRE TEX 5090'!$J$5:$J$43,"&gt;="&amp;M452),'FIRE TEX 5090'!$J$5:$P$43,IF(L452="F-15",2,IF(L452="F-30",3,IF(L452="F-60",4,IF(L452="F-90",5,IF(L452="F-120",6,IF(L452="F-150",7,0)))))),0),0)+IF(AND(O452="FIRE TEX 5090",E452="CJ",J452=3),VLOOKUP(_xlfn.MINIFS('FIRE TEX 5090'!$R$5:$R$30,'FIRE TEX 5090'!$R$5:$R$30,"&gt;="&amp;M452),'FIRE TEX 5090'!$R$5:$W$30,IF(L452="F-15",2,IF(L452="F-30",3,IF(L452="F-60",4,IF(L452="F-90",5,IF(L452="F-120",6,IF(L452="F-150",7,0)))))),0),0)+IF(AND(O452="FIRE TEX 5090",E452="CJ",J452=4),VLOOKUP(_xlfn.MINIFS('FIRE TEX 5090'!$Y$5:$Y$39,'FIRE TEX 5090'!$Y$5:$Y$39,"&gt;="&amp;M452),'FIRE TEX 5090'!$Y$5:$AD$39,IF(L452="F-15",2,IF(L452="F-30",3,IF(L452="F-60",4,IF(L452="F-90",5,IF(L452="F-120",6,IF(L452="F-150",7,0)))))),0),0)+IF(AND(O452="FIRE TEX 5120",OR(E452="IN",E452="C",E452="Z",E452="L"),J452=3),VLOOKUP(_xlfn.MINIFS('FIRE TEX 5120'!$B$5:$B$40,'FIRE TEX 5120'!$B$5:$B$40,"&gt;="&amp;M452),'FIRE TEX 5120'!$B$5:$G$40,IF(L452="F-15",2,IF(L452="F-30",3,IF(L452="F-60",4,IF(L452="F-90",5,IF(L452="F-120",6,0))))),0),0)+IF(AND(O452="FIRE TEX 5120",OR(E452="IN",E452="C",E452="Z",E452="L"),J452=4),VLOOKUP(_xlfn.MINIFS('FIRE TEX 5120'!$H$4:$H$40,'FIRE TEX 5120'!$H$4:$H$40,"&gt;="&amp;M452),'FIRE TEX 5120'!$H$4:$M$40,IF(L452="F-15",2,IF(L452="F-30",3,IF(L452="F-60",4,IF(L452="F-90",5,IF(L452="F-120",6,0))))),0),0)+IF(AND(O452="FIRE TEX 5120",E452="CJ"),VLOOKUP(_xlfn.MINIFS('FIRE TEX 5120'!$O$5:$O$40,'FIRE TEX 5120'!$O$5:$O$40,"&gt;="&amp;M452),'FIRE TEX 5120'!$O$5:$T$40,IF(L452="F-15",2,IF(L452="F-30",3,IF(L452="F-60",4,IF(L452="F-90",5,IF(L452="F-120",6,0))))),0),0)</f>
        <v>0</v>
      </c>
      <c r="Q452" s="46">
        <f t="shared" si="54"/>
        <v>0</v>
      </c>
      <c r="R452" s="46">
        <f t="shared" si="55"/>
        <v>0</v>
      </c>
      <c r="S452" s="46" t="e">
        <f t="shared" si="56"/>
        <v>#VALUE!</v>
      </c>
      <c r="T452" s="677">
        <f t="shared" si="57"/>
        <v>0</v>
      </c>
      <c r="U452" s="80">
        <f>(IF(O452="Stofire",(S452*#REF!),0))+(IF(O452="Fire Control",(S452*$U$2),0))+(IF(O452="Fire Tex",(S452*$U$3),0))+(IF(O452="WB7",(S452*#REF!),0)+(IF(O452="FX 2003",(S452*$U$5),0)))</f>
        <v>0</v>
      </c>
      <c r="V452" s="651">
        <f t="shared" si="58"/>
        <v>0</v>
      </c>
    </row>
    <row r="453" spans="4:22" x14ac:dyDescent="0.25">
      <c r="D453" s="118">
        <f>+CUBICACION!D452</f>
        <v>0</v>
      </c>
      <c r="E453" s="118">
        <f>+CUBICACION!F452</f>
        <v>0</v>
      </c>
      <c r="F453" s="118">
        <f>+CUBICACION!E452</f>
        <v>0</v>
      </c>
      <c r="G453" s="118">
        <v>12</v>
      </c>
      <c r="H453" s="118">
        <v>2</v>
      </c>
      <c r="I453" s="820">
        <v>26385</v>
      </c>
      <c r="J453" s="118">
        <f>+CUBICACION!J452</f>
        <v>0</v>
      </c>
      <c r="K453" s="118">
        <v>3232</v>
      </c>
      <c r="L453" s="118">
        <f>+CUBICACION!L452</f>
        <v>0</v>
      </c>
      <c r="M453" s="64">
        <f>+CUBICACION!M452</f>
        <v>0</v>
      </c>
      <c r="N453" s="824" t="str">
        <f>+CUBICACION!N452</f>
        <v/>
      </c>
      <c r="O453" s="675">
        <f>+CUBICACION!O452</f>
        <v>0</v>
      </c>
      <c r="P453" s="15">
        <f>IF(O453="Fire Control",VLOOKUP(_xlfn.MINIFS('FIRE CONTROL'!$C$4:$C$37,'FIRE CONTROL'!$C$4:$C$37,"&gt;="&amp;M453),'FIRE CONTROL'!$C$4:$G$37,IF(L453="F-15",2,IF(L453="F-30",3,IF(L453="F-60",4,IF(L453="F-90",5,0)))),0),0)+IF(AND(O453="FIRE TEX 5062",OR(E453="IN",E453="C",E453="Z",E453="L"),J453=3),VLOOKUP(_xlfn.MINIFS('FIRE TEX 5062'!$B$4:$B$34,'FIRE TEX 5062'!$B$4:$B$34,"&gt;="&amp;M453),'FIRE TEX 5062'!$B$4:$F$34,IF(L453="F-15",2,IF(L453="F-30",3,IF(L453="F-60",4,IF(L453="F-90",5,0)))),0),0)+IF(AND(O453="FIRE TEX 5062",OR(E453="IN",E453="C",E453="Z",E453="L"),J453=4),VLOOKUP(_xlfn.MINIFS('FIRE TEX 5062'!$G$4:$G$34,'FIRE TEX 5062'!$G$4:$G$34,"&gt;="&amp;M453),'FIRE TEX 5062'!$G$4:$K$34,IF(L453="F-15",2,IF(L453="F-30",3,IF(L453="F-60",4,IF(L453="F-90",5,0)))),0),0)+IF(AND(O453="FIRE TEX 5062",E453="CJ",J453=3),VLOOKUP(_xlfn.MINIFS('FIRE TEX 5062'!$L$4:$L$34,'FIRE TEX 5062'!$L$4:$L$34,"&gt;="&amp;M453),'FIRE TEX 5062'!$L$4:$P$34,IF(L453="F-15",2,IF(L453="F-30",3,IF(L453="F-60",4,IF(L453="F-90",5,0)))),0),0)+IF(AND(O453="FIRE TEX 5062",E453="CJ",J453=4),VLOOKUP(_xlfn.MINIFS('FIRE TEX 5062'!$Q$3:$Q$34,'FIRE TEX 5062'!$Q$3:$Q$34,"&gt;="&amp;M453),'FIRE TEX 5062'!$Q$3:$U$34,IF(L453="F-15",2,IF(L453="F-30",3,IF(L453="F-60",4,IF(L453="F-90",5,0)))),0),0)+IF(AND(O453="FIRE TEX 5090",OR(E453="IN",E453="C",E453="Z",E453="L"),J453=3),VLOOKUP(_xlfn.MINIFS('FIRE TEX 5090'!$B$5:$B$43,'FIRE TEX 5090'!$B$5:$B$43,"&gt;="&amp;M453),'FIRE TEX 5090'!$B$5:$H$43,IF(L453="F-15",2,IF(L453="F-30",3,IF(L453="F-60",4,IF(L453="F-90",5,IF(L453="F-120",6,IF(L453="F-150",7,0)))))),0),0)+IF(AND(O453="FIRE TEX 5090",OR(E453="IN",E453="C",E453="Z",E453="L"),J453=4),VLOOKUP(_xlfn.MINIFS('FIRE TEX 5090'!$J$5:$J$43,'FIRE TEX 5090'!$J$5:$J$43,"&gt;="&amp;M453),'FIRE TEX 5090'!$J$5:$P$43,IF(L453="F-15",2,IF(L453="F-30",3,IF(L453="F-60",4,IF(L453="F-90",5,IF(L453="F-120",6,IF(L453="F-150",7,0)))))),0),0)+IF(AND(O453="FIRE TEX 5090",E453="CJ",J453=3),VLOOKUP(_xlfn.MINIFS('FIRE TEX 5090'!$R$5:$R$30,'FIRE TEX 5090'!$R$5:$R$30,"&gt;="&amp;M453),'FIRE TEX 5090'!$R$5:$W$30,IF(L453="F-15",2,IF(L453="F-30",3,IF(L453="F-60",4,IF(L453="F-90",5,IF(L453="F-120",6,IF(L453="F-150",7,0)))))),0),0)+IF(AND(O453="FIRE TEX 5090",E453="CJ",J453=4),VLOOKUP(_xlfn.MINIFS('FIRE TEX 5090'!$Y$5:$Y$39,'FIRE TEX 5090'!$Y$5:$Y$39,"&gt;="&amp;M453),'FIRE TEX 5090'!$Y$5:$AD$39,IF(L453="F-15",2,IF(L453="F-30",3,IF(L453="F-60",4,IF(L453="F-90",5,IF(L453="F-120",6,IF(L453="F-150",7,0)))))),0),0)+IF(AND(O453="FIRE TEX 5120",OR(E453="IN",E453="C",E453="Z",E453="L"),J453=3),VLOOKUP(_xlfn.MINIFS('FIRE TEX 5120'!$B$5:$B$40,'FIRE TEX 5120'!$B$5:$B$40,"&gt;="&amp;M453),'FIRE TEX 5120'!$B$5:$G$40,IF(L453="F-15",2,IF(L453="F-30",3,IF(L453="F-60",4,IF(L453="F-90",5,IF(L453="F-120",6,0))))),0),0)+IF(AND(O453="FIRE TEX 5120",OR(E453="IN",E453="C",E453="Z",E453="L"),J453=4),VLOOKUP(_xlfn.MINIFS('FIRE TEX 5120'!$H$4:$H$40,'FIRE TEX 5120'!$H$4:$H$40,"&gt;="&amp;M453),'FIRE TEX 5120'!$H$4:$M$40,IF(L453="F-15",2,IF(L453="F-30",3,IF(L453="F-60",4,IF(L453="F-90",5,IF(L453="F-120",6,0))))),0),0)+IF(AND(O453="FIRE TEX 5120",E453="CJ"),VLOOKUP(_xlfn.MINIFS('FIRE TEX 5120'!$O$5:$O$40,'FIRE TEX 5120'!$O$5:$O$40,"&gt;="&amp;M453),'FIRE TEX 5120'!$O$5:$T$40,IF(L453="F-15",2,IF(L453="F-30",3,IF(L453="F-60",4,IF(L453="F-90",5,IF(L453="F-120",6,0))))),0),0)</f>
        <v>0</v>
      </c>
      <c r="Q453" s="46">
        <f t="shared" si="54"/>
        <v>0</v>
      </c>
      <c r="R453" s="46">
        <f t="shared" si="55"/>
        <v>0</v>
      </c>
      <c r="S453" s="46" t="e">
        <f t="shared" si="56"/>
        <v>#VALUE!</v>
      </c>
      <c r="T453" s="677">
        <f t="shared" si="57"/>
        <v>0</v>
      </c>
      <c r="U453" s="80">
        <f>(IF(O453="Stofire",(S453*#REF!),0))+(IF(O453="Fire Control",(S453*$U$2),0))+(IF(O453="Fire Tex",(S453*$U$3),0))+(IF(O453="WB7",(S453*#REF!),0)+(IF(O453="FX 2003",(S453*$U$5),0)))</f>
        <v>0</v>
      </c>
      <c r="V453" s="651">
        <f t="shared" si="58"/>
        <v>0</v>
      </c>
    </row>
    <row r="454" spans="4:22" x14ac:dyDescent="0.25">
      <c r="D454" s="118">
        <f>+CUBICACION!D453</f>
        <v>0</v>
      </c>
      <c r="E454" s="118">
        <f>+CUBICACION!F453</f>
        <v>0</v>
      </c>
      <c r="F454" s="118">
        <f>+CUBICACION!E453</f>
        <v>0</v>
      </c>
      <c r="G454" s="118">
        <v>12</v>
      </c>
      <c r="H454" s="118">
        <v>2</v>
      </c>
      <c r="I454" s="820">
        <v>26385</v>
      </c>
      <c r="J454" s="118">
        <f>+CUBICACION!J453</f>
        <v>0</v>
      </c>
      <c r="K454" s="118">
        <v>3233</v>
      </c>
      <c r="L454" s="118">
        <f>+CUBICACION!L453</f>
        <v>0</v>
      </c>
      <c r="M454" s="64">
        <f>+CUBICACION!M453</f>
        <v>0</v>
      </c>
      <c r="N454" s="824" t="str">
        <f>+CUBICACION!N453</f>
        <v/>
      </c>
      <c r="O454" s="675">
        <f>+CUBICACION!O453</f>
        <v>0</v>
      </c>
      <c r="P454" s="15">
        <f>IF(O454="Fire Control",VLOOKUP(_xlfn.MINIFS('FIRE CONTROL'!$C$4:$C$37,'FIRE CONTROL'!$C$4:$C$37,"&gt;="&amp;M454),'FIRE CONTROL'!$C$4:$G$37,IF(L454="F-15",2,IF(L454="F-30",3,IF(L454="F-60",4,IF(L454="F-90",5,0)))),0),0)+IF(AND(O454="FIRE TEX 5062",OR(E454="IN",E454="C",E454="Z",E454="L"),J454=3),VLOOKUP(_xlfn.MINIFS('FIRE TEX 5062'!$B$4:$B$34,'FIRE TEX 5062'!$B$4:$B$34,"&gt;="&amp;M454),'FIRE TEX 5062'!$B$4:$F$34,IF(L454="F-15",2,IF(L454="F-30",3,IF(L454="F-60",4,IF(L454="F-90",5,0)))),0),0)+IF(AND(O454="FIRE TEX 5062",OR(E454="IN",E454="C",E454="Z",E454="L"),J454=4),VLOOKUP(_xlfn.MINIFS('FIRE TEX 5062'!$G$4:$G$34,'FIRE TEX 5062'!$G$4:$G$34,"&gt;="&amp;M454),'FIRE TEX 5062'!$G$4:$K$34,IF(L454="F-15",2,IF(L454="F-30",3,IF(L454="F-60",4,IF(L454="F-90",5,0)))),0),0)+IF(AND(O454="FIRE TEX 5062",E454="CJ",J454=3),VLOOKUP(_xlfn.MINIFS('FIRE TEX 5062'!$L$4:$L$34,'FIRE TEX 5062'!$L$4:$L$34,"&gt;="&amp;M454),'FIRE TEX 5062'!$L$4:$P$34,IF(L454="F-15",2,IF(L454="F-30",3,IF(L454="F-60",4,IF(L454="F-90",5,0)))),0),0)+IF(AND(O454="FIRE TEX 5062",E454="CJ",J454=4),VLOOKUP(_xlfn.MINIFS('FIRE TEX 5062'!$Q$3:$Q$34,'FIRE TEX 5062'!$Q$3:$Q$34,"&gt;="&amp;M454),'FIRE TEX 5062'!$Q$3:$U$34,IF(L454="F-15",2,IF(L454="F-30",3,IF(L454="F-60",4,IF(L454="F-90",5,0)))),0),0)+IF(AND(O454="FIRE TEX 5090",OR(E454="IN",E454="C",E454="Z",E454="L"),J454=3),VLOOKUP(_xlfn.MINIFS('FIRE TEX 5090'!$B$5:$B$43,'FIRE TEX 5090'!$B$5:$B$43,"&gt;="&amp;M454),'FIRE TEX 5090'!$B$5:$H$43,IF(L454="F-15",2,IF(L454="F-30",3,IF(L454="F-60",4,IF(L454="F-90",5,IF(L454="F-120",6,IF(L454="F-150",7,0)))))),0),0)+IF(AND(O454="FIRE TEX 5090",OR(E454="IN",E454="C",E454="Z",E454="L"),J454=4),VLOOKUP(_xlfn.MINIFS('FIRE TEX 5090'!$J$5:$J$43,'FIRE TEX 5090'!$J$5:$J$43,"&gt;="&amp;M454),'FIRE TEX 5090'!$J$5:$P$43,IF(L454="F-15",2,IF(L454="F-30",3,IF(L454="F-60",4,IF(L454="F-90",5,IF(L454="F-120",6,IF(L454="F-150",7,0)))))),0),0)+IF(AND(O454="FIRE TEX 5090",E454="CJ",J454=3),VLOOKUP(_xlfn.MINIFS('FIRE TEX 5090'!$R$5:$R$30,'FIRE TEX 5090'!$R$5:$R$30,"&gt;="&amp;M454),'FIRE TEX 5090'!$R$5:$W$30,IF(L454="F-15",2,IF(L454="F-30",3,IF(L454="F-60",4,IF(L454="F-90",5,IF(L454="F-120",6,IF(L454="F-150",7,0)))))),0),0)+IF(AND(O454="FIRE TEX 5090",E454="CJ",J454=4),VLOOKUP(_xlfn.MINIFS('FIRE TEX 5090'!$Y$5:$Y$39,'FIRE TEX 5090'!$Y$5:$Y$39,"&gt;="&amp;M454),'FIRE TEX 5090'!$Y$5:$AD$39,IF(L454="F-15",2,IF(L454="F-30",3,IF(L454="F-60",4,IF(L454="F-90",5,IF(L454="F-120",6,IF(L454="F-150",7,0)))))),0),0)+IF(AND(O454="FIRE TEX 5120",OR(E454="IN",E454="C",E454="Z",E454="L"),J454=3),VLOOKUP(_xlfn.MINIFS('FIRE TEX 5120'!$B$5:$B$40,'FIRE TEX 5120'!$B$5:$B$40,"&gt;="&amp;M454),'FIRE TEX 5120'!$B$5:$G$40,IF(L454="F-15",2,IF(L454="F-30",3,IF(L454="F-60",4,IF(L454="F-90",5,IF(L454="F-120",6,0))))),0),0)+IF(AND(O454="FIRE TEX 5120",OR(E454="IN",E454="C",E454="Z",E454="L"),J454=4),VLOOKUP(_xlfn.MINIFS('FIRE TEX 5120'!$H$4:$H$40,'FIRE TEX 5120'!$H$4:$H$40,"&gt;="&amp;M454),'FIRE TEX 5120'!$H$4:$M$40,IF(L454="F-15",2,IF(L454="F-30",3,IF(L454="F-60",4,IF(L454="F-90",5,IF(L454="F-120",6,0))))),0),0)+IF(AND(O454="FIRE TEX 5120",E454="CJ"),VLOOKUP(_xlfn.MINIFS('FIRE TEX 5120'!$O$5:$O$40,'FIRE TEX 5120'!$O$5:$O$40,"&gt;="&amp;M454),'FIRE TEX 5120'!$O$5:$T$40,IF(L454="F-15",2,IF(L454="F-30",3,IF(L454="F-60",4,IF(L454="F-90",5,IF(L454="F-120",6,0))))),0),0)</f>
        <v>0</v>
      </c>
      <c r="Q454" s="46">
        <f t="shared" si="54"/>
        <v>0</v>
      </c>
      <c r="R454" s="46">
        <f t="shared" si="55"/>
        <v>0</v>
      </c>
      <c r="S454" s="46" t="e">
        <f t="shared" si="56"/>
        <v>#VALUE!</v>
      </c>
      <c r="T454" s="677">
        <f t="shared" si="57"/>
        <v>0</v>
      </c>
      <c r="U454" s="80">
        <f>(IF(O454="Stofire",(S454*#REF!),0))+(IF(O454="Fire Control",(S454*$U$2),0))+(IF(O454="Fire Tex",(S454*$U$3),0))+(IF(O454="WB7",(S454*#REF!),0)+(IF(O454="FX 2003",(S454*$U$5),0)))</f>
        <v>0</v>
      </c>
      <c r="V454" s="651">
        <f t="shared" si="58"/>
        <v>0</v>
      </c>
    </row>
    <row r="455" spans="4:22" x14ac:dyDescent="0.25">
      <c r="D455" s="118">
        <f>+CUBICACION!D454</f>
        <v>0</v>
      </c>
      <c r="E455" s="118">
        <f>+CUBICACION!F454</f>
        <v>0</v>
      </c>
      <c r="F455" s="118">
        <f>+CUBICACION!E454</f>
        <v>0</v>
      </c>
      <c r="G455" s="118">
        <v>12</v>
      </c>
      <c r="H455" s="118">
        <v>2</v>
      </c>
      <c r="I455" s="820">
        <v>26385</v>
      </c>
      <c r="J455" s="118">
        <f>+CUBICACION!J454</f>
        <v>0</v>
      </c>
      <c r="K455" s="118">
        <v>3234</v>
      </c>
      <c r="L455" s="118">
        <f>+CUBICACION!L454</f>
        <v>0</v>
      </c>
      <c r="M455" s="64">
        <f>+CUBICACION!M454</f>
        <v>0</v>
      </c>
      <c r="N455" s="824" t="str">
        <f>+CUBICACION!N454</f>
        <v/>
      </c>
      <c r="O455" s="675">
        <f>+CUBICACION!O454</f>
        <v>0</v>
      </c>
      <c r="P455" s="15">
        <f>IF(O455="Fire Control",VLOOKUP(_xlfn.MINIFS('FIRE CONTROL'!$C$4:$C$37,'FIRE CONTROL'!$C$4:$C$37,"&gt;="&amp;M455),'FIRE CONTROL'!$C$4:$G$37,IF(L455="F-15",2,IF(L455="F-30",3,IF(L455="F-60",4,IF(L455="F-90",5,0)))),0),0)+IF(AND(O455="FIRE TEX 5062",OR(E455="IN",E455="C",E455="Z",E455="L"),J455=3),VLOOKUP(_xlfn.MINIFS('FIRE TEX 5062'!$B$4:$B$34,'FIRE TEX 5062'!$B$4:$B$34,"&gt;="&amp;M455),'FIRE TEX 5062'!$B$4:$F$34,IF(L455="F-15",2,IF(L455="F-30",3,IF(L455="F-60",4,IF(L455="F-90",5,0)))),0),0)+IF(AND(O455="FIRE TEX 5062",OR(E455="IN",E455="C",E455="Z",E455="L"),J455=4),VLOOKUP(_xlfn.MINIFS('FIRE TEX 5062'!$G$4:$G$34,'FIRE TEX 5062'!$G$4:$G$34,"&gt;="&amp;M455),'FIRE TEX 5062'!$G$4:$K$34,IF(L455="F-15",2,IF(L455="F-30",3,IF(L455="F-60",4,IF(L455="F-90",5,0)))),0),0)+IF(AND(O455="FIRE TEX 5062",E455="CJ",J455=3),VLOOKUP(_xlfn.MINIFS('FIRE TEX 5062'!$L$4:$L$34,'FIRE TEX 5062'!$L$4:$L$34,"&gt;="&amp;M455),'FIRE TEX 5062'!$L$4:$P$34,IF(L455="F-15",2,IF(L455="F-30",3,IF(L455="F-60",4,IF(L455="F-90",5,0)))),0),0)+IF(AND(O455="FIRE TEX 5062",E455="CJ",J455=4),VLOOKUP(_xlfn.MINIFS('FIRE TEX 5062'!$Q$3:$Q$34,'FIRE TEX 5062'!$Q$3:$Q$34,"&gt;="&amp;M455),'FIRE TEX 5062'!$Q$3:$U$34,IF(L455="F-15",2,IF(L455="F-30",3,IF(L455="F-60",4,IF(L455="F-90",5,0)))),0),0)+IF(AND(O455="FIRE TEX 5090",OR(E455="IN",E455="C",E455="Z",E455="L"),J455=3),VLOOKUP(_xlfn.MINIFS('FIRE TEX 5090'!$B$5:$B$43,'FIRE TEX 5090'!$B$5:$B$43,"&gt;="&amp;M455),'FIRE TEX 5090'!$B$5:$H$43,IF(L455="F-15",2,IF(L455="F-30",3,IF(L455="F-60",4,IF(L455="F-90",5,IF(L455="F-120",6,IF(L455="F-150",7,0)))))),0),0)+IF(AND(O455="FIRE TEX 5090",OR(E455="IN",E455="C",E455="Z",E455="L"),J455=4),VLOOKUP(_xlfn.MINIFS('FIRE TEX 5090'!$J$5:$J$43,'FIRE TEX 5090'!$J$5:$J$43,"&gt;="&amp;M455),'FIRE TEX 5090'!$J$5:$P$43,IF(L455="F-15",2,IF(L455="F-30",3,IF(L455="F-60",4,IF(L455="F-90",5,IF(L455="F-120",6,IF(L455="F-150",7,0)))))),0),0)+IF(AND(O455="FIRE TEX 5090",E455="CJ",J455=3),VLOOKUP(_xlfn.MINIFS('FIRE TEX 5090'!$R$5:$R$30,'FIRE TEX 5090'!$R$5:$R$30,"&gt;="&amp;M455),'FIRE TEX 5090'!$R$5:$W$30,IF(L455="F-15",2,IF(L455="F-30",3,IF(L455="F-60",4,IF(L455="F-90",5,IF(L455="F-120",6,IF(L455="F-150",7,0)))))),0),0)+IF(AND(O455="FIRE TEX 5090",E455="CJ",J455=4),VLOOKUP(_xlfn.MINIFS('FIRE TEX 5090'!$Y$5:$Y$39,'FIRE TEX 5090'!$Y$5:$Y$39,"&gt;="&amp;M455),'FIRE TEX 5090'!$Y$5:$AD$39,IF(L455="F-15",2,IF(L455="F-30",3,IF(L455="F-60",4,IF(L455="F-90",5,IF(L455="F-120",6,IF(L455="F-150",7,0)))))),0),0)+IF(AND(O455="FIRE TEX 5120",OR(E455="IN",E455="C",E455="Z",E455="L"),J455=3),VLOOKUP(_xlfn.MINIFS('FIRE TEX 5120'!$B$5:$B$40,'FIRE TEX 5120'!$B$5:$B$40,"&gt;="&amp;M455),'FIRE TEX 5120'!$B$5:$G$40,IF(L455="F-15",2,IF(L455="F-30",3,IF(L455="F-60",4,IF(L455="F-90",5,IF(L455="F-120",6,0))))),0),0)+IF(AND(O455="FIRE TEX 5120",OR(E455="IN",E455="C",E455="Z",E455="L"),J455=4),VLOOKUP(_xlfn.MINIFS('FIRE TEX 5120'!$H$4:$H$40,'FIRE TEX 5120'!$H$4:$H$40,"&gt;="&amp;M455),'FIRE TEX 5120'!$H$4:$M$40,IF(L455="F-15",2,IF(L455="F-30",3,IF(L455="F-60",4,IF(L455="F-90",5,IF(L455="F-120",6,0))))),0),0)+IF(AND(O455="FIRE TEX 5120",E455="CJ"),VLOOKUP(_xlfn.MINIFS('FIRE TEX 5120'!$O$5:$O$40,'FIRE TEX 5120'!$O$5:$O$40,"&gt;="&amp;M455),'FIRE TEX 5120'!$O$5:$T$40,IF(L455="F-15",2,IF(L455="F-30",3,IF(L455="F-60",4,IF(L455="F-90",5,IF(L455="F-120",6,0))))),0),0)</f>
        <v>0</v>
      </c>
      <c r="Q455" s="46">
        <f t="shared" si="54"/>
        <v>0</v>
      </c>
      <c r="R455" s="46">
        <f t="shared" si="55"/>
        <v>0</v>
      </c>
      <c r="S455" s="46" t="e">
        <f t="shared" si="56"/>
        <v>#VALUE!</v>
      </c>
      <c r="T455" s="677">
        <f t="shared" si="57"/>
        <v>0</v>
      </c>
      <c r="U455" s="80">
        <f>(IF(O455="Stofire",(S455*#REF!),0))+(IF(O455="Fire Control",(S455*$U$2),0))+(IF(O455="Fire Tex",(S455*$U$3),0))+(IF(O455="WB7",(S455*#REF!),0)+(IF(O455="FX 2003",(S455*$U$5),0)))</f>
        <v>0</v>
      </c>
      <c r="V455" s="651">
        <f t="shared" si="58"/>
        <v>0</v>
      </c>
    </row>
    <row r="456" spans="4:22" x14ac:dyDescent="0.25">
      <c r="D456" s="118">
        <f>+CUBICACION!D455</f>
        <v>0</v>
      </c>
      <c r="E456" s="118">
        <f>+CUBICACION!F455</f>
        <v>0</v>
      </c>
      <c r="F456" s="118">
        <f>+CUBICACION!E455</f>
        <v>0</v>
      </c>
      <c r="G456" s="118">
        <v>12</v>
      </c>
      <c r="H456" s="118">
        <v>2</v>
      </c>
      <c r="I456" s="820">
        <v>26385</v>
      </c>
      <c r="J456" s="118">
        <f>+CUBICACION!J455</f>
        <v>0</v>
      </c>
      <c r="K456" s="118">
        <v>3235</v>
      </c>
      <c r="L456" s="118">
        <f>+CUBICACION!L455</f>
        <v>0</v>
      </c>
      <c r="M456" s="64">
        <f>+CUBICACION!M455</f>
        <v>0</v>
      </c>
      <c r="N456" s="824" t="str">
        <f>+CUBICACION!N455</f>
        <v/>
      </c>
      <c r="O456" s="675">
        <f>+CUBICACION!O455</f>
        <v>0</v>
      </c>
      <c r="P456" s="15">
        <f>IF(O456="Fire Control",VLOOKUP(_xlfn.MINIFS('FIRE CONTROL'!$C$4:$C$37,'FIRE CONTROL'!$C$4:$C$37,"&gt;="&amp;M456),'FIRE CONTROL'!$C$4:$G$37,IF(L456="F-15",2,IF(L456="F-30",3,IF(L456="F-60",4,IF(L456="F-90",5,0)))),0),0)+IF(AND(O456="FIRE TEX 5062",OR(E456="IN",E456="C",E456="Z",E456="L"),J456=3),VLOOKUP(_xlfn.MINIFS('FIRE TEX 5062'!$B$4:$B$34,'FIRE TEX 5062'!$B$4:$B$34,"&gt;="&amp;M456),'FIRE TEX 5062'!$B$4:$F$34,IF(L456="F-15",2,IF(L456="F-30",3,IF(L456="F-60",4,IF(L456="F-90",5,0)))),0),0)+IF(AND(O456="FIRE TEX 5062",OR(E456="IN",E456="C",E456="Z",E456="L"),J456=4),VLOOKUP(_xlfn.MINIFS('FIRE TEX 5062'!$G$4:$G$34,'FIRE TEX 5062'!$G$4:$G$34,"&gt;="&amp;M456),'FIRE TEX 5062'!$G$4:$K$34,IF(L456="F-15",2,IF(L456="F-30",3,IF(L456="F-60",4,IF(L456="F-90",5,0)))),0),0)+IF(AND(O456="FIRE TEX 5062",E456="CJ",J456=3),VLOOKUP(_xlfn.MINIFS('FIRE TEX 5062'!$L$4:$L$34,'FIRE TEX 5062'!$L$4:$L$34,"&gt;="&amp;M456),'FIRE TEX 5062'!$L$4:$P$34,IF(L456="F-15",2,IF(L456="F-30",3,IF(L456="F-60",4,IF(L456="F-90",5,0)))),0),0)+IF(AND(O456="FIRE TEX 5062",E456="CJ",J456=4),VLOOKUP(_xlfn.MINIFS('FIRE TEX 5062'!$Q$3:$Q$34,'FIRE TEX 5062'!$Q$3:$Q$34,"&gt;="&amp;M456),'FIRE TEX 5062'!$Q$3:$U$34,IF(L456="F-15",2,IF(L456="F-30",3,IF(L456="F-60",4,IF(L456="F-90",5,0)))),0),0)+IF(AND(O456="FIRE TEX 5090",OR(E456="IN",E456="C",E456="Z",E456="L"),J456=3),VLOOKUP(_xlfn.MINIFS('FIRE TEX 5090'!$B$5:$B$43,'FIRE TEX 5090'!$B$5:$B$43,"&gt;="&amp;M456),'FIRE TEX 5090'!$B$5:$H$43,IF(L456="F-15",2,IF(L456="F-30",3,IF(L456="F-60",4,IF(L456="F-90",5,IF(L456="F-120",6,IF(L456="F-150",7,0)))))),0),0)+IF(AND(O456="FIRE TEX 5090",OR(E456="IN",E456="C",E456="Z",E456="L"),J456=4),VLOOKUP(_xlfn.MINIFS('FIRE TEX 5090'!$J$5:$J$43,'FIRE TEX 5090'!$J$5:$J$43,"&gt;="&amp;M456),'FIRE TEX 5090'!$J$5:$P$43,IF(L456="F-15",2,IF(L456="F-30",3,IF(L456="F-60",4,IF(L456="F-90",5,IF(L456="F-120",6,IF(L456="F-150",7,0)))))),0),0)+IF(AND(O456="FIRE TEX 5090",E456="CJ",J456=3),VLOOKUP(_xlfn.MINIFS('FIRE TEX 5090'!$R$5:$R$30,'FIRE TEX 5090'!$R$5:$R$30,"&gt;="&amp;M456),'FIRE TEX 5090'!$R$5:$W$30,IF(L456="F-15",2,IF(L456="F-30",3,IF(L456="F-60",4,IF(L456="F-90",5,IF(L456="F-120",6,IF(L456="F-150",7,0)))))),0),0)+IF(AND(O456="FIRE TEX 5090",E456="CJ",J456=4),VLOOKUP(_xlfn.MINIFS('FIRE TEX 5090'!$Y$5:$Y$39,'FIRE TEX 5090'!$Y$5:$Y$39,"&gt;="&amp;M456),'FIRE TEX 5090'!$Y$5:$AD$39,IF(L456="F-15",2,IF(L456="F-30",3,IF(L456="F-60",4,IF(L456="F-90",5,IF(L456="F-120",6,IF(L456="F-150",7,0)))))),0),0)+IF(AND(O456="FIRE TEX 5120",OR(E456="IN",E456="C",E456="Z",E456="L"),J456=3),VLOOKUP(_xlfn.MINIFS('FIRE TEX 5120'!$B$5:$B$40,'FIRE TEX 5120'!$B$5:$B$40,"&gt;="&amp;M456),'FIRE TEX 5120'!$B$5:$G$40,IF(L456="F-15",2,IF(L456="F-30",3,IF(L456="F-60",4,IF(L456="F-90",5,IF(L456="F-120",6,0))))),0),0)+IF(AND(O456="FIRE TEX 5120",OR(E456="IN",E456="C",E456="Z",E456="L"),J456=4),VLOOKUP(_xlfn.MINIFS('FIRE TEX 5120'!$H$4:$H$40,'FIRE TEX 5120'!$H$4:$H$40,"&gt;="&amp;M456),'FIRE TEX 5120'!$H$4:$M$40,IF(L456="F-15",2,IF(L456="F-30",3,IF(L456="F-60",4,IF(L456="F-90",5,IF(L456="F-120",6,0))))),0),0)+IF(AND(O456="FIRE TEX 5120",E456="CJ"),VLOOKUP(_xlfn.MINIFS('FIRE TEX 5120'!$O$5:$O$40,'FIRE TEX 5120'!$O$5:$O$40,"&gt;="&amp;M456),'FIRE TEX 5120'!$O$5:$T$40,IF(L456="F-15",2,IF(L456="F-30",3,IF(L456="F-60",4,IF(L456="F-90",5,IF(L456="F-120",6,0))))),0),0)</f>
        <v>0</v>
      </c>
      <c r="Q456" s="46">
        <f t="shared" si="54"/>
        <v>0</v>
      </c>
      <c r="R456" s="46">
        <f t="shared" si="55"/>
        <v>0</v>
      </c>
      <c r="S456" s="46" t="e">
        <f t="shared" si="56"/>
        <v>#VALUE!</v>
      </c>
      <c r="T456" s="677">
        <f t="shared" si="57"/>
        <v>0</v>
      </c>
      <c r="U456" s="80">
        <f>(IF(O456="Stofire",(S456*#REF!),0))+(IF(O456="Fire Control",(S456*$U$2),0))+(IF(O456="Fire Tex",(S456*$U$3),0))+(IF(O456="WB7",(S456*#REF!),0)+(IF(O456="FX 2003",(S456*$U$5),0)))</f>
        <v>0</v>
      </c>
      <c r="V456" s="651">
        <f t="shared" si="58"/>
        <v>0</v>
      </c>
    </row>
    <row r="457" spans="4:22" x14ac:dyDescent="0.25">
      <c r="D457" s="118">
        <f>+CUBICACION!D456</f>
        <v>0</v>
      </c>
      <c r="E457" s="118">
        <f>+CUBICACION!F456</f>
        <v>0</v>
      </c>
      <c r="F457" s="118">
        <f>+CUBICACION!E456</f>
        <v>0</v>
      </c>
      <c r="G457" s="118">
        <v>12</v>
      </c>
      <c r="H457" s="118">
        <v>2</v>
      </c>
      <c r="I457" s="820">
        <v>26385</v>
      </c>
      <c r="J457" s="118">
        <f>+CUBICACION!J456</f>
        <v>0</v>
      </c>
      <c r="K457" s="118">
        <v>3236</v>
      </c>
      <c r="L457" s="118">
        <f>+CUBICACION!L456</f>
        <v>0</v>
      </c>
      <c r="M457" s="64">
        <f>+CUBICACION!M456</f>
        <v>0</v>
      </c>
      <c r="N457" s="824" t="str">
        <f>+CUBICACION!N456</f>
        <v/>
      </c>
      <c r="O457" s="675">
        <f>+CUBICACION!O456</f>
        <v>0</v>
      </c>
      <c r="P457" s="15">
        <f>IF(O457="Fire Control",VLOOKUP(_xlfn.MINIFS('FIRE CONTROL'!$C$4:$C$37,'FIRE CONTROL'!$C$4:$C$37,"&gt;="&amp;M457),'FIRE CONTROL'!$C$4:$G$37,IF(L457="F-15",2,IF(L457="F-30",3,IF(L457="F-60",4,IF(L457="F-90",5,0)))),0),0)+IF(AND(O457="FIRE TEX 5062",OR(E457="IN",E457="C",E457="Z",E457="L"),J457=3),VLOOKUP(_xlfn.MINIFS('FIRE TEX 5062'!$B$4:$B$34,'FIRE TEX 5062'!$B$4:$B$34,"&gt;="&amp;M457),'FIRE TEX 5062'!$B$4:$F$34,IF(L457="F-15",2,IF(L457="F-30",3,IF(L457="F-60",4,IF(L457="F-90",5,0)))),0),0)+IF(AND(O457="FIRE TEX 5062",OR(E457="IN",E457="C",E457="Z",E457="L"),J457=4),VLOOKUP(_xlfn.MINIFS('FIRE TEX 5062'!$G$4:$G$34,'FIRE TEX 5062'!$G$4:$G$34,"&gt;="&amp;M457),'FIRE TEX 5062'!$G$4:$K$34,IF(L457="F-15",2,IF(L457="F-30",3,IF(L457="F-60",4,IF(L457="F-90",5,0)))),0),0)+IF(AND(O457="FIRE TEX 5062",E457="CJ",J457=3),VLOOKUP(_xlfn.MINIFS('FIRE TEX 5062'!$L$4:$L$34,'FIRE TEX 5062'!$L$4:$L$34,"&gt;="&amp;M457),'FIRE TEX 5062'!$L$4:$P$34,IF(L457="F-15",2,IF(L457="F-30",3,IF(L457="F-60",4,IF(L457="F-90",5,0)))),0),0)+IF(AND(O457="FIRE TEX 5062",E457="CJ",J457=4),VLOOKUP(_xlfn.MINIFS('FIRE TEX 5062'!$Q$3:$Q$34,'FIRE TEX 5062'!$Q$3:$Q$34,"&gt;="&amp;M457),'FIRE TEX 5062'!$Q$3:$U$34,IF(L457="F-15",2,IF(L457="F-30",3,IF(L457="F-60",4,IF(L457="F-90",5,0)))),0),0)+IF(AND(O457="FIRE TEX 5090",OR(E457="IN",E457="C",E457="Z",E457="L"),J457=3),VLOOKUP(_xlfn.MINIFS('FIRE TEX 5090'!$B$5:$B$43,'FIRE TEX 5090'!$B$5:$B$43,"&gt;="&amp;M457),'FIRE TEX 5090'!$B$5:$H$43,IF(L457="F-15",2,IF(L457="F-30",3,IF(L457="F-60",4,IF(L457="F-90",5,IF(L457="F-120",6,IF(L457="F-150",7,0)))))),0),0)+IF(AND(O457="FIRE TEX 5090",OR(E457="IN",E457="C",E457="Z",E457="L"),J457=4),VLOOKUP(_xlfn.MINIFS('FIRE TEX 5090'!$J$5:$J$43,'FIRE TEX 5090'!$J$5:$J$43,"&gt;="&amp;M457),'FIRE TEX 5090'!$J$5:$P$43,IF(L457="F-15",2,IF(L457="F-30",3,IF(L457="F-60",4,IF(L457="F-90",5,IF(L457="F-120",6,IF(L457="F-150",7,0)))))),0),0)+IF(AND(O457="FIRE TEX 5090",E457="CJ",J457=3),VLOOKUP(_xlfn.MINIFS('FIRE TEX 5090'!$R$5:$R$30,'FIRE TEX 5090'!$R$5:$R$30,"&gt;="&amp;M457),'FIRE TEX 5090'!$R$5:$W$30,IF(L457="F-15",2,IF(L457="F-30",3,IF(L457="F-60",4,IF(L457="F-90",5,IF(L457="F-120",6,IF(L457="F-150",7,0)))))),0),0)+IF(AND(O457="FIRE TEX 5090",E457="CJ",J457=4),VLOOKUP(_xlfn.MINIFS('FIRE TEX 5090'!$Y$5:$Y$39,'FIRE TEX 5090'!$Y$5:$Y$39,"&gt;="&amp;M457),'FIRE TEX 5090'!$Y$5:$AD$39,IF(L457="F-15",2,IF(L457="F-30",3,IF(L457="F-60",4,IF(L457="F-90",5,IF(L457="F-120",6,IF(L457="F-150",7,0)))))),0),0)+IF(AND(O457="FIRE TEX 5120",OR(E457="IN",E457="C",E457="Z",E457="L"),J457=3),VLOOKUP(_xlfn.MINIFS('FIRE TEX 5120'!$B$5:$B$40,'FIRE TEX 5120'!$B$5:$B$40,"&gt;="&amp;M457),'FIRE TEX 5120'!$B$5:$G$40,IF(L457="F-15",2,IF(L457="F-30",3,IF(L457="F-60",4,IF(L457="F-90",5,IF(L457="F-120",6,0))))),0),0)+IF(AND(O457="FIRE TEX 5120",OR(E457="IN",E457="C",E457="Z",E457="L"),J457=4),VLOOKUP(_xlfn.MINIFS('FIRE TEX 5120'!$H$4:$H$40,'FIRE TEX 5120'!$H$4:$H$40,"&gt;="&amp;M457),'FIRE TEX 5120'!$H$4:$M$40,IF(L457="F-15",2,IF(L457="F-30",3,IF(L457="F-60",4,IF(L457="F-90",5,IF(L457="F-120",6,0))))),0),0)+IF(AND(O457="FIRE TEX 5120",E457="CJ"),VLOOKUP(_xlfn.MINIFS('FIRE TEX 5120'!$O$5:$O$40,'FIRE TEX 5120'!$O$5:$O$40,"&gt;="&amp;M457),'FIRE TEX 5120'!$O$5:$T$40,IF(L457="F-15",2,IF(L457="F-30",3,IF(L457="F-60",4,IF(L457="F-90",5,IF(L457="F-120",6,0))))),0),0)</f>
        <v>0</v>
      </c>
      <c r="Q457" s="46">
        <f t="shared" si="54"/>
        <v>0</v>
      </c>
      <c r="R457" s="46">
        <f t="shared" si="55"/>
        <v>0</v>
      </c>
      <c r="S457" s="46" t="e">
        <f t="shared" si="56"/>
        <v>#VALUE!</v>
      </c>
      <c r="T457" s="677">
        <f t="shared" si="57"/>
        <v>0</v>
      </c>
      <c r="U457" s="80">
        <f>(IF(O457="Stofire",(S457*#REF!),0))+(IF(O457="Fire Control",(S457*$U$2),0))+(IF(O457="Fire Tex",(S457*$U$3),0))+(IF(O457="WB7",(S457*#REF!),0)+(IF(O457="FX 2003",(S457*$U$5),0)))</f>
        <v>0</v>
      </c>
      <c r="V457" s="651">
        <f t="shared" si="58"/>
        <v>0</v>
      </c>
    </row>
    <row r="458" spans="4:22" x14ac:dyDescent="0.25">
      <c r="D458" s="118">
        <f>+CUBICACION!D457</f>
        <v>0</v>
      </c>
      <c r="E458" s="118">
        <f>+CUBICACION!F457</f>
        <v>0</v>
      </c>
      <c r="F458" s="118">
        <f>+CUBICACION!E457</f>
        <v>0</v>
      </c>
      <c r="G458" s="118">
        <v>12</v>
      </c>
      <c r="H458" s="118">
        <v>2</v>
      </c>
      <c r="I458" s="820">
        <v>26385</v>
      </c>
      <c r="J458" s="118">
        <f>+CUBICACION!J457</f>
        <v>0</v>
      </c>
      <c r="K458" s="118">
        <v>3237</v>
      </c>
      <c r="L458" s="118">
        <f>+CUBICACION!L457</f>
        <v>0</v>
      </c>
      <c r="M458" s="64">
        <f>+CUBICACION!M457</f>
        <v>0</v>
      </c>
      <c r="N458" s="824" t="str">
        <f>+CUBICACION!N457</f>
        <v/>
      </c>
      <c r="O458" s="675">
        <f>+CUBICACION!O457</f>
        <v>0</v>
      </c>
      <c r="P458" s="15">
        <f>IF(O458="Fire Control",VLOOKUP(_xlfn.MINIFS('FIRE CONTROL'!$C$4:$C$37,'FIRE CONTROL'!$C$4:$C$37,"&gt;="&amp;M458),'FIRE CONTROL'!$C$4:$G$37,IF(L458="F-15",2,IF(L458="F-30",3,IF(L458="F-60",4,IF(L458="F-90",5,0)))),0),0)+IF(AND(O458="FIRE TEX 5062",OR(E458="IN",E458="C",E458="Z",E458="L"),J458=3),VLOOKUP(_xlfn.MINIFS('FIRE TEX 5062'!$B$4:$B$34,'FIRE TEX 5062'!$B$4:$B$34,"&gt;="&amp;M458),'FIRE TEX 5062'!$B$4:$F$34,IF(L458="F-15",2,IF(L458="F-30",3,IF(L458="F-60",4,IF(L458="F-90",5,0)))),0),0)+IF(AND(O458="FIRE TEX 5062",OR(E458="IN",E458="C",E458="Z",E458="L"),J458=4),VLOOKUP(_xlfn.MINIFS('FIRE TEX 5062'!$G$4:$G$34,'FIRE TEX 5062'!$G$4:$G$34,"&gt;="&amp;M458),'FIRE TEX 5062'!$G$4:$K$34,IF(L458="F-15",2,IF(L458="F-30",3,IF(L458="F-60",4,IF(L458="F-90",5,0)))),0),0)+IF(AND(O458="FIRE TEX 5062",E458="CJ",J458=3),VLOOKUP(_xlfn.MINIFS('FIRE TEX 5062'!$L$4:$L$34,'FIRE TEX 5062'!$L$4:$L$34,"&gt;="&amp;M458),'FIRE TEX 5062'!$L$4:$P$34,IF(L458="F-15",2,IF(L458="F-30",3,IF(L458="F-60",4,IF(L458="F-90",5,0)))),0),0)+IF(AND(O458="FIRE TEX 5062",E458="CJ",J458=4),VLOOKUP(_xlfn.MINIFS('FIRE TEX 5062'!$Q$3:$Q$34,'FIRE TEX 5062'!$Q$3:$Q$34,"&gt;="&amp;M458),'FIRE TEX 5062'!$Q$3:$U$34,IF(L458="F-15",2,IF(L458="F-30",3,IF(L458="F-60",4,IF(L458="F-90",5,0)))),0),0)+IF(AND(O458="FIRE TEX 5090",OR(E458="IN",E458="C",E458="Z",E458="L"),J458=3),VLOOKUP(_xlfn.MINIFS('FIRE TEX 5090'!$B$5:$B$43,'FIRE TEX 5090'!$B$5:$B$43,"&gt;="&amp;M458),'FIRE TEX 5090'!$B$5:$H$43,IF(L458="F-15",2,IF(L458="F-30",3,IF(L458="F-60",4,IF(L458="F-90",5,IF(L458="F-120",6,IF(L458="F-150",7,0)))))),0),0)+IF(AND(O458="FIRE TEX 5090",OR(E458="IN",E458="C",E458="Z",E458="L"),J458=4),VLOOKUP(_xlfn.MINIFS('FIRE TEX 5090'!$J$5:$J$43,'FIRE TEX 5090'!$J$5:$J$43,"&gt;="&amp;M458),'FIRE TEX 5090'!$J$5:$P$43,IF(L458="F-15",2,IF(L458="F-30",3,IF(L458="F-60",4,IF(L458="F-90",5,IF(L458="F-120",6,IF(L458="F-150",7,0)))))),0),0)+IF(AND(O458="FIRE TEX 5090",E458="CJ",J458=3),VLOOKUP(_xlfn.MINIFS('FIRE TEX 5090'!$R$5:$R$30,'FIRE TEX 5090'!$R$5:$R$30,"&gt;="&amp;M458),'FIRE TEX 5090'!$R$5:$W$30,IF(L458="F-15",2,IF(L458="F-30",3,IF(L458="F-60",4,IF(L458="F-90",5,IF(L458="F-120",6,IF(L458="F-150",7,0)))))),0),0)+IF(AND(O458="FIRE TEX 5090",E458="CJ",J458=4),VLOOKUP(_xlfn.MINIFS('FIRE TEX 5090'!$Y$5:$Y$39,'FIRE TEX 5090'!$Y$5:$Y$39,"&gt;="&amp;M458),'FIRE TEX 5090'!$Y$5:$AD$39,IF(L458="F-15",2,IF(L458="F-30",3,IF(L458="F-60",4,IF(L458="F-90",5,IF(L458="F-120",6,IF(L458="F-150",7,0)))))),0),0)+IF(AND(O458="FIRE TEX 5120",OR(E458="IN",E458="C",E458="Z",E458="L"),J458=3),VLOOKUP(_xlfn.MINIFS('FIRE TEX 5120'!$B$5:$B$40,'FIRE TEX 5120'!$B$5:$B$40,"&gt;="&amp;M458),'FIRE TEX 5120'!$B$5:$G$40,IF(L458="F-15",2,IF(L458="F-30",3,IF(L458="F-60",4,IF(L458="F-90",5,IF(L458="F-120",6,0))))),0),0)+IF(AND(O458="FIRE TEX 5120",OR(E458="IN",E458="C",E458="Z",E458="L"),J458=4),VLOOKUP(_xlfn.MINIFS('FIRE TEX 5120'!$H$4:$H$40,'FIRE TEX 5120'!$H$4:$H$40,"&gt;="&amp;M458),'FIRE TEX 5120'!$H$4:$M$40,IF(L458="F-15",2,IF(L458="F-30",3,IF(L458="F-60",4,IF(L458="F-90",5,IF(L458="F-120",6,0))))),0),0)+IF(AND(O458="FIRE TEX 5120",E458="CJ"),VLOOKUP(_xlfn.MINIFS('FIRE TEX 5120'!$O$5:$O$40,'FIRE TEX 5120'!$O$5:$O$40,"&gt;="&amp;M458),'FIRE TEX 5120'!$O$5:$T$40,IF(L458="F-15",2,IF(L458="F-30",3,IF(L458="F-60",4,IF(L458="F-90",5,IF(L458="F-120",6,0))))),0),0)</f>
        <v>0</v>
      </c>
      <c r="Q458" s="46">
        <f t="shared" si="54"/>
        <v>0</v>
      </c>
      <c r="R458" s="46">
        <f t="shared" si="55"/>
        <v>0</v>
      </c>
      <c r="S458" s="46" t="e">
        <f t="shared" si="56"/>
        <v>#VALUE!</v>
      </c>
      <c r="T458" s="677">
        <f t="shared" si="57"/>
        <v>0</v>
      </c>
      <c r="U458" s="80">
        <f>(IF(O458="Stofire",(S458*#REF!),0))+(IF(O458="Fire Control",(S458*$U$2),0))+(IF(O458="Fire Tex",(S458*$U$3),0))+(IF(O458="WB7",(S458*#REF!),0)+(IF(O458="FX 2003",(S458*$U$5),0)))</f>
        <v>0</v>
      </c>
      <c r="V458" s="651">
        <f t="shared" si="58"/>
        <v>0</v>
      </c>
    </row>
    <row r="459" spans="4:22" x14ac:dyDescent="0.25">
      <c r="D459" s="118">
        <f>+CUBICACION!D458</f>
        <v>0</v>
      </c>
      <c r="E459" s="118">
        <f>+CUBICACION!F458</f>
        <v>0</v>
      </c>
      <c r="F459" s="118">
        <f>+CUBICACION!E458</f>
        <v>0</v>
      </c>
      <c r="G459" s="118">
        <v>12</v>
      </c>
      <c r="H459" s="118">
        <v>2</v>
      </c>
      <c r="I459" s="820">
        <v>26385</v>
      </c>
      <c r="J459" s="118">
        <f>+CUBICACION!J458</f>
        <v>0</v>
      </c>
      <c r="K459" s="118">
        <v>3238</v>
      </c>
      <c r="L459" s="118">
        <f>+CUBICACION!L458</f>
        <v>0</v>
      </c>
      <c r="M459" s="64">
        <f>+CUBICACION!M458</f>
        <v>0</v>
      </c>
      <c r="N459" s="824" t="str">
        <f>+CUBICACION!N458</f>
        <v/>
      </c>
      <c r="O459" s="675">
        <f>+CUBICACION!O458</f>
        <v>0</v>
      </c>
      <c r="P459" s="15">
        <f>IF(O459="Fire Control",VLOOKUP(_xlfn.MINIFS('FIRE CONTROL'!$C$4:$C$37,'FIRE CONTROL'!$C$4:$C$37,"&gt;="&amp;M459),'FIRE CONTROL'!$C$4:$G$37,IF(L459="F-15",2,IF(L459="F-30",3,IF(L459="F-60",4,IF(L459="F-90",5,0)))),0),0)+IF(AND(O459="FIRE TEX 5062",OR(E459="IN",E459="C",E459="Z",E459="L"),J459=3),VLOOKUP(_xlfn.MINIFS('FIRE TEX 5062'!$B$4:$B$34,'FIRE TEX 5062'!$B$4:$B$34,"&gt;="&amp;M459),'FIRE TEX 5062'!$B$4:$F$34,IF(L459="F-15",2,IF(L459="F-30",3,IF(L459="F-60",4,IF(L459="F-90",5,0)))),0),0)+IF(AND(O459="FIRE TEX 5062",OR(E459="IN",E459="C",E459="Z",E459="L"),J459=4),VLOOKUP(_xlfn.MINIFS('FIRE TEX 5062'!$G$4:$G$34,'FIRE TEX 5062'!$G$4:$G$34,"&gt;="&amp;M459),'FIRE TEX 5062'!$G$4:$K$34,IF(L459="F-15",2,IF(L459="F-30",3,IF(L459="F-60",4,IF(L459="F-90",5,0)))),0),0)+IF(AND(O459="FIRE TEX 5062",E459="CJ",J459=3),VLOOKUP(_xlfn.MINIFS('FIRE TEX 5062'!$L$4:$L$34,'FIRE TEX 5062'!$L$4:$L$34,"&gt;="&amp;M459),'FIRE TEX 5062'!$L$4:$P$34,IF(L459="F-15",2,IF(L459="F-30",3,IF(L459="F-60",4,IF(L459="F-90",5,0)))),0),0)+IF(AND(O459="FIRE TEX 5062",E459="CJ",J459=4),VLOOKUP(_xlfn.MINIFS('FIRE TEX 5062'!$Q$3:$Q$34,'FIRE TEX 5062'!$Q$3:$Q$34,"&gt;="&amp;M459),'FIRE TEX 5062'!$Q$3:$U$34,IF(L459="F-15",2,IF(L459="F-30",3,IF(L459="F-60",4,IF(L459="F-90",5,0)))),0),0)+IF(AND(O459="FIRE TEX 5090",OR(E459="IN",E459="C",E459="Z",E459="L"),J459=3),VLOOKUP(_xlfn.MINIFS('FIRE TEX 5090'!$B$5:$B$43,'FIRE TEX 5090'!$B$5:$B$43,"&gt;="&amp;M459),'FIRE TEX 5090'!$B$5:$H$43,IF(L459="F-15",2,IF(L459="F-30",3,IF(L459="F-60",4,IF(L459="F-90",5,IF(L459="F-120",6,IF(L459="F-150",7,0)))))),0),0)+IF(AND(O459="FIRE TEX 5090",OR(E459="IN",E459="C",E459="Z",E459="L"),J459=4),VLOOKUP(_xlfn.MINIFS('FIRE TEX 5090'!$J$5:$J$43,'FIRE TEX 5090'!$J$5:$J$43,"&gt;="&amp;M459),'FIRE TEX 5090'!$J$5:$P$43,IF(L459="F-15",2,IF(L459="F-30",3,IF(L459="F-60",4,IF(L459="F-90",5,IF(L459="F-120",6,IF(L459="F-150",7,0)))))),0),0)+IF(AND(O459="FIRE TEX 5090",E459="CJ",J459=3),VLOOKUP(_xlfn.MINIFS('FIRE TEX 5090'!$R$5:$R$30,'FIRE TEX 5090'!$R$5:$R$30,"&gt;="&amp;M459),'FIRE TEX 5090'!$R$5:$W$30,IF(L459="F-15",2,IF(L459="F-30",3,IF(L459="F-60",4,IF(L459="F-90",5,IF(L459="F-120",6,IF(L459="F-150",7,0)))))),0),0)+IF(AND(O459="FIRE TEX 5090",E459="CJ",J459=4),VLOOKUP(_xlfn.MINIFS('FIRE TEX 5090'!$Y$5:$Y$39,'FIRE TEX 5090'!$Y$5:$Y$39,"&gt;="&amp;M459),'FIRE TEX 5090'!$Y$5:$AD$39,IF(L459="F-15",2,IF(L459="F-30",3,IF(L459="F-60",4,IF(L459="F-90",5,IF(L459="F-120",6,IF(L459="F-150",7,0)))))),0),0)+IF(AND(O459="FIRE TEX 5120",OR(E459="IN",E459="C",E459="Z",E459="L"),J459=3),VLOOKUP(_xlfn.MINIFS('FIRE TEX 5120'!$B$5:$B$40,'FIRE TEX 5120'!$B$5:$B$40,"&gt;="&amp;M459),'FIRE TEX 5120'!$B$5:$G$40,IF(L459="F-15",2,IF(L459="F-30",3,IF(L459="F-60",4,IF(L459="F-90",5,IF(L459="F-120",6,0))))),0),0)+IF(AND(O459="FIRE TEX 5120",OR(E459="IN",E459="C",E459="Z",E459="L"),J459=4),VLOOKUP(_xlfn.MINIFS('FIRE TEX 5120'!$H$4:$H$40,'FIRE TEX 5120'!$H$4:$H$40,"&gt;="&amp;M459),'FIRE TEX 5120'!$H$4:$M$40,IF(L459="F-15",2,IF(L459="F-30",3,IF(L459="F-60",4,IF(L459="F-90",5,IF(L459="F-120",6,0))))),0),0)+IF(AND(O459="FIRE TEX 5120",E459="CJ"),VLOOKUP(_xlfn.MINIFS('FIRE TEX 5120'!$O$5:$O$40,'FIRE TEX 5120'!$O$5:$O$40,"&gt;="&amp;M459),'FIRE TEX 5120'!$O$5:$T$40,IF(L459="F-15",2,IF(L459="F-30",3,IF(L459="F-60",4,IF(L459="F-90",5,IF(L459="F-120",6,0))))),0),0)</f>
        <v>0</v>
      </c>
      <c r="Q459" s="46">
        <f t="shared" si="54"/>
        <v>0</v>
      </c>
      <c r="R459" s="46">
        <f t="shared" si="55"/>
        <v>0</v>
      </c>
      <c r="S459" s="46" t="e">
        <f t="shared" si="56"/>
        <v>#VALUE!</v>
      </c>
      <c r="T459" s="677">
        <f t="shared" si="57"/>
        <v>0</v>
      </c>
      <c r="U459" s="80">
        <f>(IF(O459="Stofire",(S459*#REF!),0))+(IF(O459="Fire Control",(S459*$U$2),0))+(IF(O459="Fire Tex",(S459*$U$3),0))+(IF(O459="WB7",(S459*#REF!),0)+(IF(O459="FX 2003",(S459*$U$5),0)))</f>
        <v>0</v>
      </c>
      <c r="V459" s="651">
        <f t="shared" si="58"/>
        <v>0</v>
      </c>
    </row>
    <row r="460" spans="4:22" x14ac:dyDescent="0.25">
      <c r="D460" s="118">
        <f>+CUBICACION!D459</f>
        <v>0</v>
      </c>
      <c r="E460" s="118">
        <f>+CUBICACION!F459</f>
        <v>0</v>
      </c>
      <c r="F460" s="118">
        <f>+CUBICACION!E459</f>
        <v>0</v>
      </c>
      <c r="G460" s="118">
        <v>12</v>
      </c>
      <c r="H460" s="118">
        <v>2</v>
      </c>
      <c r="I460" s="820">
        <v>26385</v>
      </c>
      <c r="J460" s="118">
        <f>+CUBICACION!J459</f>
        <v>0</v>
      </c>
      <c r="K460" s="118">
        <v>3239</v>
      </c>
      <c r="L460" s="118">
        <f>+CUBICACION!L459</f>
        <v>0</v>
      </c>
      <c r="M460" s="64">
        <f>+CUBICACION!M459</f>
        <v>0</v>
      </c>
      <c r="N460" s="824" t="str">
        <f>+CUBICACION!N459</f>
        <v/>
      </c>
      <c r="O460" s="675">
        <f>+CUBICACION!O459</f>
        <v>0</v>
      </c>
      <c r="P460" s="15">
        <f>IF(O460="Fire Control",VLOOKUP(_xlfn.MINIFS('FIRE CONTROL'!$C$4:$C$37,'FIRE CONTROL'!$C$4:$C$37,"&gt;="&amp;M460),'FIRE CONTROL'!$C$4:$G$37,IF(L460="F-15",2,IF(L460="F-30",3,IF(L460="F-60",4,IF(L460="F-90",5,0)))),0),0)+IF(AND(O460="FIRE TEX 5062",OR(E460="IN",E460="C",E460="Z",E460="L"),J460=3),VLOOKUP(_xlfn.MINIFS('FIRE TEX 5062'!$B$4:$B$34,'FIRE TEX 5062'!$B$4:$B$34,"&gt;="&amp;M460),'FIRE TEX 5062'!$B$4:$F$34,IF(L460="F-15",2,IF(L460="F-30",3,IF(L460="F-60",4,IF(L460="F-90",5,0)))),0),0)+IF(AND(O460="FIRE TEX 5062",OR(E460="IN",E460="C",E460="Z",E460="L"),J460=4),VLOOKUP(_xlfn.MINIFS('FIRE TEX 5062'!$G$4:$G$34,'FIRE TEX 5062'!$G$4:$G$34,"&gt;="&amp;M460),'FIRE TEX 5062'!$G$4:$K$34,IF(L460="F-15",2,IF(L460="F-30",3,IF(L460="F-60",4,IF(L460="F-90",5,0)))),0),0)+IF(AND(O460="FIRE TEX 5062",E460="CJ",J460=3),VLOOKUP(_xlfn.MINIFS('FIRE TEX 5062'!$L$4:$L$34,'FIRE TEX 5062'!$L$4:$L$34,"&gt;="&amp;M460),'FIRE TEX 5062'!$L$4:$P$34,IF(L460="F-15",2,IF(L460="F-30",3,IF(L460="F-60",4,IF(L460="F-90",5,0)))),0),0)+IF(AND(O460="FIRE TEX 5062",E460="CJ",J460=4),VLOOKUP(_xlfn.MINIFS('FIRE TEX 5062'!$Q$3:$Q$34,'FIRE TEX 5062'!$Q$3:$Q$34,"&gt;="&amp;M460),'FIRE TEX 5062'!$Q$3:$U$34,IF(L460="F-15",2,IF(L460="F-30",3,IF(L460="F-60",4,IF(L460="F-90",5,0)))),0),0)+IF(AND(O460="FIRE TEX 5090",OR(E460="IN",E460="C",E460="Z",E460="L"),J460=3),VLOOKUP(_xlfn.MINIFS('FIRE TEX 5090'!$B$5:$B$43,'FIRE TEX 5090'!$B$5:$B$43,"&gt;="&amp;M460),'FIRE TEX 5090'!$B$5:$H$43,IF(L460="F-15",2,IF(L460="F-30",3,IF(L460="F-60",4,IF(L460="F-90",5,IF(L460="F-120",6,IF(L460="F-150",7,0)))))),0),0)+IF(AND(O460="FIRE TEX 5090",OR(E460="IN",E460="C",E460="Z",E460="L"),J460=4),VLOOKUP(_xlfn.MINIFS('FIRE TEX 5090'!$J$5:$J$43,'FIRE TEX 5090'!$J$5:$J$43,"&gt;="&amp;M460),'FIRE TEX 5090'!$J$5:$P$43,IF(L460="F-15",2,IF(L460="F-30",3,IF(L460="F-60",4,IF(L460="F-90",5,IF(L460="F-120",6,IF(L460="F-150",7,0)))))),0),0)+IF(AND(O460="FIRE TEX 5090",E460="CJ",J460=3),VLOOKUP(_xlfn.MINIFS('FIRE TEX 5090'!$R$5:$R$30,'FIRE TEX 5090'!$R$5:$R$30,"&gt;="&amp;M460),'FIRE TEX 5090'!$R$5:$W$30,IF(L460="F-15",2,IF(L460="F-30",3,IF(L460="F-60",4,IF(L460="F-90",5,IF(L460="F-120",6,IF(L460="F-150",7,0)))))),0),0)+IF(AND(O460="FIRE TEX 5090",E460="CJ",J460=4),VLOOKUP(_xlfn.MINIFS('FIRE TEX 5090'!$Y$5:$Y$39,'FIRE TEX 5090'!$Y$5:$Y$39,"&gt;="&amp;M460),'FIRE TEX 5090'!$Y$5:$AD$39,IF(L460="F-15",2,IF(L460="F-30",3,IF(L460="F-60",4,IF(L460="F-90",5,IF(L460="F-120",6,IF(L460="F-150",7,0)))))),0),0)+IF(AND(O460="FIRE TEX 5120",OR(E460="IN",E460="C",E460="Z",E460="L"),J460=3),VLOOKUP(_xlfn.MINIFS('FIRE TEX 5120'!$B$5:$B$40,'FIRE TEX 5120'!$B$5:$B$40,"&gt;="&amp;M460),'FIRE TEX 5120'!$B$5:$G$40,IF(L460="F-15",2,IF(L460="F-30",3,IF(L460="F-60",4,IF(L460="F-90",5,IF(L460="F-120",6,0))))),0),0)+IF(AND(O460="FIRE TEX 5120",OR(E460="IN",E460="C",E460="Z",E460="L"),J460=4),VLOOKUP(_xlfn.MINIFS('FIRE TEX 5120'!$H$4:$H$40,'FIRE TEX 5120'!$H$4:$H$40,"&gt;="&amp;M460),'FIRE TEX 5120'!$H$4:$M$40,IF(L460="F-15",2,IF(L460="F-30",3,IF(L460="F-60",4,IF(L460="F-90",5,IF(L460="F-120",6,0))))),0),0)+IF(AND(O460="FIRE TEX 5120",E460="CJ"),VLOOKUP(_xlfn.MINIFS('FIRE TEX 5120'!$O$5:$O$40,'FIRE TEX 5120'!$O$5:$O$40,"&gt;="&amp;M460),'FIRE TEX 5120'!$O$5:$T$40,IF(L460="F-15",2,IF(L460="F-30",3,IF(L460="F-60",4,IF(L460="F-90",5,IF(L460="F-120",6,0))))),0),0)</f>
        <v>0</v>
      </c>
      <c r="Q460" s="46">
        <f t="shared" si="54"/>
        <v>0</v>
      </c>
      <c r="R460" s="46">
        <f t="shared" si="55"/>
        <v>0</v>
      </c>
      <c r="S460" s="46" t="e">
        <f t="shared" si="56"/>
        <v>#VALUE!</v>
      </c>
      <c r="T460" s="677">
        <f t="shared" si="57"/>
        <v>0</v>
      </c>
      <c r="U460" s="80">
        <f>(IF(O460="Stofire",(S460*#REF!),0))+(IF(O460="Fire Control",(S460*$U$2),0))+(IF(O460="Fire Tex",(S460*$U$3),0))+(IF(O460="WB7",(S460*#REF!),0)+(IF(O460="FX 2003",(S460*$U$5),0)))</f>
        <v>0</v>
      </c>
      <c r="V460" s="651">
        <f t="shared" si="58"/>
        <v>0</v>
      </c>
    </row>
    <row r="461" spans="4:22" x14ac:dyDescent="0.25">
      <c r="D461" s="118">
        <f>+CUBICACION!D460</f>
        <v>0</v>
      </c>
      <c r="E461" s="118">
        <f>+CUBICACION!F460</f>
        <v>0</v>
      </c>
      <c r="F461" s="118">
        <f>+CUBICACION!E460</f>
        <v>0</v>
      </c>
      <c r="G461" s="118">
        <v>12</v>
      </c>
      <c r="H461" s="118">
        <v>2</v>
      </c>
      <c r="I461" s="820">
        <v>26385</v>
      </c>
      <c r="J461" s="118">
        <f>+CUBICACION!J460</f>
        <v>0</v>
      </c>
      <c r="K461" s="118">
        <v>3240</v>
      </c>
      <c r="L461" s="118">
        <f>+CUBICACION!L460</f>
        <v>0</v>
      </c>
      <c r="M461" s="64">
        <f>+CUBICACION!M460</f>
        <v>0</v>
      </c>
      <c r="N461" s="824" t="str">
        <f>+CUBICACION!N460</f>
        <v/>
      </c>
      <c r="O461" s="675">
        <f>+CUBICACION!O460</f>
        <v>0</v>
      </c>
      <c r="P461" s="15">
        <f>IF(O461="Fire Control",VLOOKUP(_xlfn.MINIFS('FIRE CONTROL'!$C$4:$C$37,'FIRE CONTROL'!$C$4:$C$37,"&gt;="&amp;M461),'FIRE CONTROL'!$C$4:$G$37,IF(L461="F-15",2,IF(L461="F-30",3,IF(L461="F-60",4,IF(L461="F-90",5,0)))),0),0)+IF(AND(O461="FIRE TEX 5062",OR(E461="IN",E461="C",E461="Z",E461="L"),J461=3),VLOOKUP(_xlfn.MINIFS('FIRE TEX 5062'!$B$4:$B$34,'FIRE TEX 5062'!$B$4:$B$34,"&gt;="&amp;M461),'FIRE TEX 5062'!$B$4:$F$34,IF(L461="F-15",2,IF(L461="F-30",3,IF(L461="F-60",4,IF(L461="F-90",5,0)))),0),0)+IF(AND(O461="FIRE TEX 5062",OR(E461="IN",E461="C",E461="Z",E461="L"),J461=4),VLOOKUP(_xlfn.MINIFS('FIRE TEX 5062'!$G$4:$G$34,'FIRE TEX 5062'!$G$4:$G$34,"&gt;="&amp;M461),'FIRE TEX 5062'!$G$4:$K$34,IF(L461="F-15",2,IF(L461="F-30",3,IF(L461="F-60",4,IF(L461="F-90",5,0)))),0),0)+IF(AND(O461="FIRE TEX 5062",E461="CJ",J461=3),VLOOKUP(_xlfn.MINIFS('FIRE TEX 5062'!$L$4:$L$34,'FIRE TEX 5062'!$L$4:$L$34,"&gt;="&amp;M461),'FIRE TEX 5062'!$L$4:$P$34,IF(L461="F-15",2,IF(L461="F-30",3,IF(L461="F-60",4,IF(L461="F-90",5,0)))),0),0)+IF(AND(O461="FIRE TEX 5062",E461="CJ",J461=4),VLOOKUP(_xlfn.MINIFS('FIRE TEX 5062'!$Q$3:$Q$34,'FIRE TEX 5062'!$Q$3:$Q$34,"&gt;="&amp;M461),'FIRE TEX 5062'!$Q$3:$U$34,IF(L461="F-15",2,IF(L461="F-30",3,IF(L461="F-60",4,IF(L461="F-90",5,0)))),0),0)+IF(AND(O461="FIRE TEX 5090",OR(E461="IN",E461="C",E461="Z",E461="L"),J461=3),VLOOKUP(_xlfn.MINIFS('FIRE TEX 5090'!$B$5:$B$43,'FIRE TEX 5090'!$B$5:$B$43,"&gt;="&amp;M461),'FIRE TEX 5090'!$B$5:$H$43,IF(L461="F-15",2,IF(L461="F-30",3,IF(L461="F-60",4,IF(L461="F-90",5,IF(L461="F-120",6,IF(L461="F-150",7,0)))))),0),0)+IF(AND(O461="FIRE TEX 5090",OR(E461="IN",E461="C",E461="Z",E461="L"),J461=4),VLOOKUP(_xlfn.MINIFS('FIRE TEX 5090'!$J$5:$J$43,'FIRE TEX 5090'!$J$5:$J$43,"&gt;="&amp;M461),'FIRE TEX 5090'!$J$5:$P$43,IF(L461="F-15",2,IF(L461="F-30",3,IF(L461="F-60",4,IF(L461="F-90",5,IF(L461="F-120",6,IF(L461="F-150",7,0)))))),0),0)+IF(AND(O461="FIRE TEX 5090",E461="CJ",J461=3),VLOOKUP(_xlfn.MINIFS('FIRE TEX 5090'!$R$5:$R$30,'FIRE TEX 5090'!$R$5:$R$30,"&gt;="&amp;M461),'FIRE TEX 5090'!$R$5:$W$30,IF(L461="F-15",2,IF(L461="F-30",3,IF(L461="F-60",4,IF(L461="F-90",5,IF(L461="F-120",6,IF(L461="F-150",7,0)))))),0),0)+IF(AND(O461="FIRE TEX 5090",E461="CJ",J461=4),VLOOKUP(_xlfn.MINIFS('FIRE TEX 5090'!$Y$5:$Y$39,'FIRE TEX 5090'!$Y$5:$Y$39,"&gt;="&amp;M461),'FIRE TEX 5090'!$Y$5:$AD$39,IF(L461="F-15",2,IF(L461="F-30",3,IF(L461="F-60",4,IF(L461="F-90",5,IF(L461="F-120",6,IF(L461="F-150",7,0)))))),0),0)+IF(AND(O461="FIRE TEX 5120",OR(E461="IN",E461="C",E461="Z",E461="L"),J461=3),VLOOKUP(_xlfn.MINIFS('FIRE TEX 5120'!$B$5:$B$40,'FIRE TEX 5120'!$B$5:$B$40,"&gt;="&amp;M461),'FIRE TEX 5120'!$B$5:$G$40,IF(L461="F-15",2,IF(L461="F-30",3,IF(L461="F-60",4,IF(L461="F-90",5,IF(L461="F-120",6,0))))),0),0)+IF(AND(O461="FIRE TEX 5120",OR(E461="IN",E461="C",E461="Z",E461="L"),J461=4),VLOOKUP(_xlfn.MINIFS('FIRE TEX 5120'!$H$4:$H$40,'FIRE TEX 5120'!$H$4:$H$40,"&gt;="&amp;M461),'FIRE TEX 5120'!$H$4:$M$40,IF(L461="F-15",2,IF(L461="F-30",3,IF(L461="F-60",4,IF(L461="F-90",5,IF(L461="F-120",6,0))))),0),0)+IF(AND(O461="FIRE TEX 5120",E461="CJ"),VLOOKUP(_xlfn.MINIFS('FIRE TEX 5120'!$O$5:$O$40,'FIRE TEX 5120'!$O$5:$O$40,"&gt;="&amp;M461),'FIRE TEX 5120'!$O$5:$T$40,IF(L461="F-15",2,IF(L461="F-30",3,IF(L461="F-60",4,IF(L461="F-90",5,IF(L461="F-120",6,0))))),0),0)</f>
        <v>0</v>
      </c>
      <c r="Q461" s="46">
        <f t="shared" si="54"/>
        <v>0</v>
      </c>
      <c r="R461" s="46">
        <f t="shared" si="55"/>
        <v>0</v>
      </c>
      <c r="S461" s="46" t="e">
        <f t="shared" si="56"/>
        <v>#VALUE!</v>
      </c>
      <c r="T461" s="677">
        <f t="shared" si="57"/>
        <v>0</v>
      </c>
      <c r="U461" s="80">
        <f>(IF(O461="Stofire",(S461*#REF!),0))+(IF(O461="Fire Control",(S461*$U$2),0))+(IF(O461="Fire Tex",(S461*$U$3),0))+(IF(O461="WB7",(S461*#REF!),0)+(IF(O461="FX 2003",(S461*$U$5),0)))</f>
        <v>0</v>
      </c>
      <c r="V461" s="651">
        <f t="shared" si="58"/>
        <v>0</v>
      </c>
    </row>
    <row r="462" spans="4:22" x14ac:dyDescent="0.25">
      <c r="D462" s="118">
        <f>+CUBICACION!D461</f>
        <v>0</v>
      </c>
      <c r="E462" s="118">
        <f>+CUBICACION!F461</f>
        <v>0</v>
      </c>
      <c r="F462" s="118">
        <f>+CUBICACION!E461</f>
        <v>0</v>
      </c>
      <c r="G462" s="118">
        <v>12</v>
      </c>
      <c r="H462" s="118">
        <v>2</v>
      </c>
      <c r="I462" s="820">
        <v>26385</v>
      </c>
      <c r="J462" s="118">
        <f>+CUBICACION!J461</f>
        <v>0</v>
      </c>
      <c r="K462" s="118">
        <v>3241</v>
      </c>
      <c r="L462" s="118">
        <f>+CUBICACION!L461</f>
        <v>0</v>
      </c>
      <c r="M462" s="64">
        <f>+CUBICACION!M461</f>
        <v>0</v>
      </c>
      <c r="N462" s="824" t="str">
        <f>+CUBICACION!N461</f>
        <v/>
      </c>
      <c r="O462" s="675">
        <f>+CUBICACION!O461</f>
        <v>0</v>
      </c>
      <c r="P462" s="15">
        <f>IF(O462="Fire Control",VLOOKUP(_xlfn.MINIFS('FIRE CONTROL'!$C$4:$C$37,'FIRE CONTROL'!$C$4:$C$37,"&gt;="&amp;M462),'FIRE CONTROL'!$C$4:$G$37,IF(L462="F-15",2,IF(L462="F-30",3,IF(L462="F-60",4,IF(L462="F-90",5,0)))),0),0)+IF(AND(O462="FIRE TEX 5062",OR(E462="IN",E462="C",E462="Z",E462="L"),J462=3),VLOOKUP(_xlfn.MINIFS('FIRE TEX 5062'!$B$4:$B$34,'FIRE TEX 5062'!$B$4:$B$34,"&gt;="&amp;M462),'FIRE TEX 5062'!$B$4:$F$34,IF(L462="F-15",2,IF(L462="F-30",3,IF(L462="F-60",4,IF(L462="F-90",5,0)))),0),0)+IF(AND(O462="FIRE TEX 5062",OR(E462="IN",E462="C",E462="Z",E462="L"),J462=4),VLOOKUP(_xlfn.MINIFS('FIRE TEX 5062'!$G$4:$G$34,'FIRE TEX 5062'!$G$4:$G$34,"&gt;="&amp;M462),'FIRE TEX 5062'!$G$4:$K$34,IF(L462="F-15",2,IF(L462="F-30",3,IF(L462="F-60",4,IF(L462="F-90",5,0)))),0),0)+IF(AND(O462="FIRE TEX 5062",E462="CJ",J462=3),VLOOKUP(_xlfn.MINIFS('FIRE TEX 5062'!$L$4:$L$34,'FIRE TEX 5062'!$L$4:$L$34,"&gt;="&amp;M462),'FIRE TEX 5062'!$L$4:$P$34,IF(L462="F-15",2,IF(L462="F-30",3,IF(L462="F-60",4,IF(L462="F-90",5,0)))),0),0)+IF(AND(O462="FIRE TEX 5062",E462="CJ",J462=4),VLOOKUP(_xlfn.MINIFS('FIRE TEX 5062'!$Q$3:$Q$34,'FIRE TEX 5062'!$Q$3:$Q$34,"&gt;="&amp;M462),'FIRE TEX 5062'!$Q$3:$U$34,IF(L462="F-15",2,IF(L462="F-30",3,IF(L462="F-60",4,IF(L462="F-90",5,0)))),0),0)+IF(AND(O462="FIRE TEX 5090",OR(E462="IN",E462="C",E462="Z",E462="L"),J462=3),VLOOKUP(_xlfn.MINIFS('FIRE TEX 5090'!$B$5:$B$43,'FIRE TEX 5090'!$B$5:$B$43,"&gt;="&amp;M462),'FIRE TEX 5090'!$B$5:$H$43,IF(L462="F-15",2,IF(L462="F-30",3,IF(L462="F-60",4,IF(L462="F-90",5,IF(L462="F-120",6,IF(L462="F-150",7,0)))))),0),0)+IF(AND(O462="FIRE TEX 5090",OR(E462="IN",E462="C",E462="Z",E462="L"),J462=4),VLOOKUP(_xlfn.MINIFS('FIRE TEX 5090'!$J$5:$J$43,'FIRE TEX 5090'!$J$5:$J$43,"&gt;="&amp;M462),'FIRE TEX 5090'!$J$5:$P$43,IF(L462="F-15",2,IF(L462="F-30",3,IF(L462="F-60",4,IF(L462="F-90",5,IF(L462="F-120",6,IF(L462="F-150",7,0)))))),0),0)+IF(AND(O462="FIRE TEX 5090",E462="CJ",J462=3),VLOOKUP(_xlfn.MINIFS('FIRE TEX 5090'!$R$5:$R$30,'FIRE TEX 5090'!$R$5:$R$30,"&gt;="&amp;M462),'FIRE TEX 5090'!$R$5:$W$30,IF(L462="F-15",2,IF(L462="F-30",3,IF(L462="F-60",4,IF(L462="F-90",5,IF(L462="F-120",6,IF(L462="F-150",7,0)))))),0),0)+IF(AND(O462="FIRE TEX 5090",E462="CJ",J462=4),VLOOKUP(_xlfn.MINIFS('FIRE TEX 5090'!$Y$5:$Y$39,'FIRE TEX 5090'!$Y$5:$Y$39,"&gt;="&amp;M462),'FIRE TEX 5090'!$Y$5:$AD$39,IF(L462="F-15",2,IF(L462="F-30",3,IF(L462="F-60",4,IF(L462="F-90",5,IF(L462="F-120",6,IF(L462="F-150",7,0)))))),0),0)+IF(AND(O462="FIRE TEX 5120",OR(E462="IN",E462="C",E462="Z",E462="L"),J462=3),VLOOKUP(_xlfn.MINIFS('FIRE TEX 5120'!$B$5:$B$40,'FIRE TEX 5120'!$B$5:$B$40,"&gt;="&amp;M462),'FIRE TEX 5120'!$B$5:$G$40,IF(L462="F-15",2,IF(L462="F-30",3,IF(L462="F-60",4,IF(L462="F-90",5,IF(L462="F-120",6,0))))),0),0)+IF(AND(O462="FIRE TEX 5120",OR(E462="IN",E462="C",E462="Z",E462="L"),J462=4),VLOOKUP(_xlfn.MINIFS('FIRE TEX 5120'!$H$4:$H$40,'FIRE TEX 5120'!$H$4:$H$40,"&gt;="&amp;M462),'FIRE TEX 5120'!$H$4:$M$40,IF(L462="F-15",2,IF(L462="F-30",3,IF(L462="F-60",4,IF(L462="F-90",5,IF(L462="F-120",6,0))))),0),0)+IF(AND(O462="FIRE TEX 5120",E462="CJ"),VLOOKUP(_xlfn.MINIFS('FIRE TEX 5120'!$O$5:$O$40,'FIRE TEX 5120'!$O$5:$O$40,"&gt;="&amp;M462),'FIRE TEX 5120'!$O$5:$T$40,IF(L462="F-15",2,IF(L462="F-30",3,IF(L462="F-60",4,IF(L462="F-90",5,IF(L462="F-120",6,0))))),0),0)</f>
        <v>0</v>
      </c>
      <c r="Q462" s="46">
        <f t="shared" si="54"/>
        <v>0</v>
      </c>
      <c r="R462" s="46">
        <f t="shared" si="55"/>
        <v>0</v>
      </c>
      <c r="S462" s="46" t="e">
        <f t="shared" si="56"/>
        <v>#VALUE!</v>
      </c>
      <c r="T462" s="677">
        <f t="shared" si="57"/>
        <v>0</v>
      </c>
      <c r="U462" s="80">
        <f>(IF(O462="Stofire",(S462*#REF!),0))+(IF(O462="Fire Control",(S462*$U$2),0))+(IF(O462="Fire Tex",(S462*$U$3),0))+(IF(O462="WB7",(S462*#REF!),0)+(IF(O462="FX 2003",(S462*$U$5),0)))</f>
        <v>0</v>
      </c>
      <c r="V462" s="651">
        <f t="shared" si="58"/>
        <v>0</v>
      </c>
    </row>
    <row r="463" spans="4:22" x14ac:dyDescent="0.25">
      <c r="D463" s="118">
        <f>+CUBICACION!D462</f>
        <v>0</v>
      </c>
      <c r="E463" s="118">
        <f>+CUBICACION!F462</f>
        <v>0</v>
      </c>
      <c r="F463" s="118">
        <f>+CUBICACION!E462</f>
        <v>0</v>
      </c>
      <c r="G463" s="118">
        <v>12</v>
      </c>
      <c r="H463" s="118">
        <v>2</v>
      </c>
      <c r="I463" s="820">
        <v>26385</v>
      </c>
      <c r="J463" s="118">
        <f>+CUBICACION!J462</f>
        <v>0</v>
      </c>
      <c r="K463" s="118">
        <v>3242</v>
      </c>
      <c r="L463" s="118">
        <f>+CUBICACION!L462</f>
        <v>0</v>
      </c>
      <c r="M463" s="64">
        <f>+CUBICACION!M462</f>
        <v>0</v>
      </c>
      <c r="N463" s="824" t="str">
        <f>+CUBICACION!N462</f>
        <v/>
      </c>
      <c r="O463" s="675">
        <f>+CUBICACION!O462</f>
        <v>0</v>
      </c>
      <c r="P463" s="15">
        <f>IF(O463="Fire Control",VLOOKUP(_xlfn.MINIFS('FIRE CONTROL'!$C$4:$C$37,'FIRE CONTROL'!$C$4:$C$37,"&gt;="&amp;M463),'FIRE CONTROL'!$C$4:$G$37,IF(L463="F-15",2,IF(L463="F-30",3,IF(L463="F-60",4,IF(L463="F-90",5,0)))),0),0)+IF(AND(O463="FIRE TEX 5062",OR(E463="IN",E463="C",E463="Z",E463="L"),J463=3),VLOOKUP(_xlfn.MINIFS('FIRE TEX 5062'!$B$4:$B$34,'FIRE TEX 5062'!$B$4:$B$34,"&gt;="&amp;M463),'FIRE TEX 5062'!$B$4:$F$34,IF(L463="F-15",2,IF(L463="F-30",3,IF(L463="F-60",4,IF(L463="F-90",5,0)))),0),0)+IF(AND(O463="FIRE TEX 5062",OR(E463="IN",E463="C",E463="Z",E463="L"),J463=4),VLOOKUP(_xlfn.MINIFS('FIRE TEX 5062'!$G$4:$G$34,'FIRE TEX 5062'!$G$4:$G$34,"&gt;="&amp;M463),'FIRE TEX 5062'!$G$4:$K$34,IF(L463="F-15",2,IF(L463="F-30",3,IF(L463="F-60",4,IF(L463="F-90",5,0)))),0),0)+IF(AND(O463="FIRE TEX 5062",E463="CJ",J463=3),VLOOKUP(_xlfn.MINIFS('FIRE TEX 5062'!$L$4:$L$34,'FIRE TEX 5062'!$L$4:$L$34,"&gt;="&amp;M463),'FIRE TEX 5062'!$L$4:$P$34,IF(L463="F-15",2,IF(L463="F-30",3,IF(L463="F-60",4,IF(L463="F-90",5,0)))),0),0)+IF(AND(O463="FIRE TEX 5062",E463="CJ",J463=4),VLOOKUP(_xlfn.MINIFS('FIRE TEX 5062'!$Q$3:$Q$34,'FIRE TEX 5062'!$Q$3:$Q$34,"&gt;="&amp;M463),'FIRE TEX 5062'!$Q$3:$U$34,IF(L463="F-15",2,IF(L463="F-30",3,IF(L463="F-60",4,IF(L463="F-90",5,0)))),0),0)+IF(AND(O463="FIRE TEX 5090",OR(E463="IN",E463="C",E463="Z",E463="L"),J463=3),VLOOKUP(_xlfn.MINIFS('FIRE TEX 5090'!$B$5:$B$43,'FIRE TEX 5090'!$B$5:$B$43,"&gt;="&amp;M463),'FIRE TEX 5090'!$B$5:$H$43,IF(L463="F-15",2,IF(L463="F-30",3,IF(L463="F-60",4,IF(L463="F-90",5,IF(L463="F-120",6,IF(L463="F-150",7,0)))))),0),0)+IF(AND(O463="FIRE TEX 5090",OR(E463="IN",E463="C",E463="Z",E463="L"),J463=4),VLOOKUP(_xlfn.MINIFS('FIRE TEX 5090'!$J$5:$J$43,'FIRE TEX 5090'!$J$5:$J$43,"&gt;="&amp;M463),'FIRE TEX 5090'!$J$5:$P$43,IF(L463="F-15",2,IF(L463="F-30",3,IF(L463="F-60",4,IF(L463="F-90",5,IF(L463="F-120",6,IF(L463="F-150",7,0)))))),0),0)+IF(AND(O463="FIRE TEX 5090",E463="CJ",J463=3),VLOOKUP(_xlfn.MINIFS('FIRE TEX 5090'!$R$5:$R$30,'FIRE TEX 5090'!$R$5:$R$30,"&gt;="&amp;M463),'FIRE TEX 5090'!$R$5:$W$30,IF(L463="F-15",2,IF(L463="F-30",3,IF(L463="F-60",4,IF(L463="F-90",5,IF(L463="F-120",6,IF(L463="F-150",7,0)))))),0),0)+IF(AND(O463="FIRE TEX 5090",E463="CJ",J463=4),VLOOKUP(_xlfn.MINIFS('FIRE TEX 5090'!$Y$5:$Y$39,'FIRE TEX 5090'!$Y$5:$Y$39,"&gt;="&amp;M463),'FIRE TEX 5090'!$Y$5:$AD$39,IF(L463="F-15",2,IF(L463="F-30",3,IF(L463="F-60",4,IF(L463="F-90",5,IF(L463="F-120",6,IF(L463="F-150",7,0)))))),0),0)+IF(AND(O463="FIRE TEX 5120",OR(E463="IN",E463="C",E463="Z",E463="L"),J463=3),VLOOKUP(_xlfn.MINIFS('FIRE TEX 5120'!$B$5:$B$40,'FIRE TEX 5120'!$B$5:$B$40,"&gt;="&amp;M463),'FIRE TEX 5120'!$B$5:$G$40,IF(L463="F-15",2,IF(L463="F-30",3,IF(L463="F-60",4,IF(L463="F-90",5,IF(L463="F-120",6,0))))),0),0)+IF(AND(O463="FIRE TEX 5120",OR(E463="IN",E463="C",E463="Z",E463="L"),J463=4),VLOOKUP(_xlfn.MINIFS('FIRE TEX 5120'!$H$4:$H$40,'FIRE TEX 5120'!$H$4:$H$40,"&gt;="&amp;M463),'FIRE TEX 5120'!$H$4:$M$40,IF(L463="F-15",2,IF(L463="F-30",3,IF(L463="F-60",4,IF(L463="F-90",5,IF(L463="F-120",6,0))))),0),0)+IF(AND(O463="FIRE TEX 5120",E463="CJ"),VLOOKUP(_xlfn.MINIFS('FIRE TEX 5120'!$O$5:$O$40,'FIRE TEX 5120'!$O$5:$O$40,"&gt;="&amp;M463),'FIRE TEX 5120'!$O$5:$T$40,IF(L463="F-15",2,IF(L463="F-30",3,IF(L463="F-60",4,IF(L463="F-90",5,IF(L463="F-120",6,0))))),0),0)</f>
        <v>0</v>
      </c>
      <c r="Q463" s="46">
        <f t="shared" si="54"/>
        <v>0</v>
      </c>
      <c r="R463" s="46">
        <f t="shared" si="55"/>
        <v>0</v>
      </c>
      <c r="S463" s="46" t="e">
        <f t="shared" si="56"/>
        <v>#VALUE!</v>
      </c>
      <c r="T463" s="677">
        <f t="shared" si="57"/>
        <v>0</v>
      </c>
      <c r="U463" s="80">
        <f>(IF(O463="Stofire",(S463*#REF!),0))+(IF(O463="Fire Control",(S463*$U$2),0))+(IF(O463="Fire Tex",(S463*$U$3),0))+(IF(O463="WB7",(S463*#REF!),0)+(IF(O463="FX 2003",(S463*$U$5),0)))</f>
        <v>0</v>
      </c>
      <c r="V463" s="651">
        <f t="shared" si="58"/>
        <v>0</v>
      </c>
    </row>
    <row r="464" spans="4:22" x14ac:dyDescent="0.25">
      <c r="D464" s="118">
        <f>+CUBICACION!D463</f>
        <v>0</v>
      </c>
      <c r="E464" s="118">
        <f>+CUBICACION!F463</f>
        <v>0</v>
      </c>
      <c r="F464" s="118">
        <f>+CUBICACION!E463</f>
        <v>0</v>
      </c>
      <c r="G464" s="118">
        <v>12</v>
      </c>
      <c r="H464" s="118">
        <v>2</v>
      </c>
      <c r="I464" s="820">
        <v>26385</v>
      </c>
      <c r="J464" s="118">
        <f>+CUBICACION!J463</f>
        <v>0</v>
      </c>
      <c r="K464" s="118">
        <v>3243</v>
      </c>
      <c r="L464" s="118">
        <f>+CUBICACION!L463</f>
        <v>0</v>
      </c>
      <c r="M464" s="64">
        <f>+CUBICACION!M463</f>
        <v>0</v>
      </c>
      <c r="N464" s="824" t="str">
        <f>+CUBICACION!N463</f>
        <v/>
      </c>
      <c r="O464" s="675">
        <f>+CUBICACION!O463</f>
        <v>0</v>
      </c>
      <c r="P464" s="15">
        <f>IF(O464="Fire Control",VLOOKUP(_xlfn.MINIFS('FIRE CONTROL'!$C$4:$C$37,'FIRE CONTROL'!$C$4:$C$37,"&gt;="&amp;M464),'FIRE CONTROL'!$C$4:$G$37,IF(L464="F-15",2,IF(L464="F-30",3,IF(L464="F-60",4,IF(L464="F-90",5,0)))),0),0)+IF(AND(O464="FIRE TEX 5062",OR(E464="IN",E464="C",E464="Z",E464="L"),J464=3),VLOOKUP(_xlfn.MINIFS('FIRE TEX 5062'!$B$4:$B$34,'FIRE TEX 5062'!$B$4:$B$34,"&gt;="&amp;M464),'FIRE TEX 5062'!$B$4:$F$34,IF(L464="F-15",2,IF(L464="F-30",3,IF(L464="F-60",4,IF(L464="F-90",5,0)))),0),0)+IF(AND(O464="FIRE TEX 5062",OR(E464="IN",E464="C",E464="Z",E464="L"),J464=4),VLOOKUP(_xlfn.MINIFS('FIRE TEX 5062'!$G$4:$G$34,'FIRE TEX 5062'!$G$4:$G$34,"&gt;="&amp;M464),'FIRE TEX 5062'!$G$4:$K$34,IF(L464="F-15",2,IF(L464="F-30",3,IF(L464="F-60",4,IF(L464="F-90",5,0)))),0),0)+IF(AND(O464="FIRE TEX 5062",E464="CJ",J464=3),VLOOKUP(_xlfn.MINIFS('FIRE TEX 5062'!$L$4:$L$34,'FIRE TEX 5062'!$L$4:$L$34,"&gt;="&amp;M464),'FIRE TEX 5062'!$L$4:$P$34,IF(L464="F-15",2,IF(L464="F-30",3,IF(L464="F-60",4,IF(L464="F-90",5,0)))),0),0)+IF(AND(O464="FIRE TEX 5062",E464="CJ",J464=4),VLOOKUP(_xlfn.MINIFS('FIRE TEX 5062'!$Q$3:$Q$34,'FIRE TEX 5062'!$Q$3:$Q$34,"&gt;="&amp;M464),'FIRE TEX 5062'!$Q$3:$U$34,IF(L464="F-15",2,IF(L464="F-30",3,IF(L464="F-60",4,IF(L464="F-90",5,0)))),0),0)+IF(AND(O464="FIRE TEX 5090",OR(E464="IN",E464="C",E464="Z",E464="L"),J464=3),VLOOKUP(_xlfn.MINIFS('FIRE TEX 5090'!$B$5:$B$43,'FIRE TEX 5090'!$B$5:$B$43,"&gt;="&amp;M464),'FIRE TEX 5090'!$B$5:$H$43,IF(L464="F-15",2,IF(L464="F-30",3,IF(L464="F-60",4,IF(L464="F-90",5,IF(L464="F-120",6,IF(L464="F-150",7,0)))))),0),0)+IF(AND(O464="FIRE TEX 5090",OR(E464="IN",E464="C",E464="Z",E464="L"),J464=4),VLOOKUP(_xlfn.MINIFS('FIRE TEX 5090'!$J$5:$J$43,'FIRE TEX 5090'!$J$5:$J$43,"&gt;="&amp;M464),'FIRE TEX 5090'!$J$5:$P$43,IF(L464="F-15",2,IF(L464="F-30",3,IF(L464="F-60",4,IF(L464="F-90",5,IF(L464="F-120",6,IF(L464="F-150",7,0)))))),0),0)+IF(AND(O464="FIRE TEX 5090",E464="CJ",J464=3),VLOOKUP(_xlfn.MINIFS('FIRE TEX 5090'!$R$5:$R$30,'FIRE TEX 5090'!$R$5:$R$30,"&gt;="&amp;M464),'FIRE TEX 5090'!$R$5:$W$30,IF(L464="F-15",2,IF(L464="F-30",3,IF(L464="F-60",4,IF(L464="F-90",5,IF(L464="F-120",6,IF(L464="F-150",7,0)))))),0),0)+IF(AND(O464="FIRE TEX 5090",E464="CJ",J464=4),VLOOKUP(_xlfn.MINIFS('FIRE TEX 5090'!$Y$5:$Y$39,'FIRE TEX 5090'!$Y$5:$Y$39,"&gt;="&amp;M464),'FIRE TEX 5090'!$Y$5:$AD$39,IF(L464="F-15",2,IF(L464="F-30",3,IF(L464="F-60",4,IF(L464="F-90",5,IF(L464="F-120",6,IF(L464="F-150",7,0)))))),0),0)+IF(AND(O464="FIRE TEX 5120",OR(E464="IN",E464="C",E464="Z",E464="L"),J464=3),VLOOKUP(_xlfn.MINIFS('FIRE TEX 5120'!$B$5:$B$40,'FIRE TEX 5120'!$B$5:$B$40,"&gt;="&amp;M464),'FIRE TEX 5120'!$B$5:$G$40,IF(L464="F-15",2,IF(L464="F-30",3,IF(L464="F-60",4,IF(L464="F-90",5,IF(L464="F-120",6,0))))),0),0)+IF(AND(O464="FIRE TEX 5120",OR(E464="IN",E464="C",E464="Z",E464="L"),J464=4),VLOOKUP(_xlfn.MINIFS('FIRE TEX 5120'!$H$4:$H$40,'FIRE TEX 5120'!$H$4:$H$40,"&gt;="&amp;M464),'FIRE TEX 5120'!$H$4:$M$40,IF(L464="F-15",2,IF(L464="F-30",3,IF(L464="F-60",4,IF(L464="F-90",5,IF(L464="F-120",6,0))))),0),0)+IF(AND(O464="FIRE TEX 5120",E464="CJ"),VLOOKUP(_xlfn.MINIFS('FIRE TEX 5120'!$O$5:$O$40,'FIRE TEX 5120'!$O$5:$O$40,"&gt;="&amp;M464),'FIRE TEX 5120'!$O$5:$T$40,IF(L464="F-15",2,IF(L464="F-30",3,IF(L464="F-60",4,IF(L464="F-90",5,IF(L464="F-120",6,0))))),0),0)</f>
        <v>0</v>
      </c>
      <c r="Q464" s="46">
        <f t="shared" si="54"/>
        <v>0</v>
      </c>
      <c r="R464" s="46">
        <f t="shared" si="55"/>
        <v>0</v>
      </c>
      <c r="S464" s="46" t="e">
        <f t="shared" si="56"/>
        <v>#VALUE!</v>
      </c>
      <c r="T464" s="677">
        <f t="shared" si="57"/>
        <v>0</v>
      </c>
      <c r="U464" s="80">
        <f>(IF(O464="Stofire",(S464*#REF!),0))+(IF(O464="Fire Control",(S464*$U$2),0))+(IF(O464="Fire Tex",(S464*$U$3),0))+(IF(O464="WB7",(S464*#REF!),0)+(IF(O464="FX 2003",(S464*$U$5),0)))</f>
        <v>0</v>
      </c>
      <c r="V464" s="651">
        <f t="shared" si="58"/>
        <v>0</v>
      </c>
    </row>
    <row r="465" spans="4:22" x14ac:dyDescent="0.25">
      <c r="D465" s="118">
        <f>+CUBICACION!D464</f>
        <v>0</v>
      </c>
      <c r="E465" s="118">
        <f>+CUBICACION!F464</f>
        <v>0</v>
      </c>
      <c r="F465" s="118">
        <f>+CUBICACION!E464</f>
        <v>0</v>
      </c>
      <c r="G465" s="118">
        <v>12</v>
      </c>
      <c r="H465" s="118">
        <v>2</v>
      </c>
      <c r="I465" s="820">
        <v>26385</v>
      </c>
      <c r="J465" s="118">
        <f>+CUBICACION!J464</f>
        <v>0</v>
      </c>
      <c r="K465" s="118">
        <v>3244</v>
      </c>
      <c r="L465" s="118">
        <f>+CUBICACION!L464</f>
        <v>0</v>
      </c>
      <c r="M465" s="64">
        <f>+CUBICACION!M464</f>
        <v>0</v>
      </c>
      <c r="N465" s="824" t="str">
        <f>+CUBICACION!N464</f>
        <v/>
      </c>
      <c r="O465" s="675">
        <f>+CUBICACION!O464</f>
        <v>0</v>
      </c>
      <c r="P465" s="15">
        <f>IF(O465="Fire Control",VLOOKUP(_xlfn.MINIFS('FIRE CONTROL'!$C$4:$C$37,'FIRE CONTROL'!$C$4:$C$37,"&gt;="&amp;M465),'FIRE CONTROL'!$C$4:$G$37,IF(L465="F-15",2,IF(L465="F-30",3,IF(L465="F-60",4,IF(L465="F-90",5,0)))),0),0)+IF(AND(O465="FIRE TEX 5062",OR(E465="IN",E465="C",E465="Z",E465="L"),J465=3),VLOOKUP(_xlfn.MINIFS('FIRE TEX 5062'!$B$4:$B$34,'FIRE TEX 5062'!$B$4:$B$34,"&gt;="&amp;M465),'FIRE TEX 5062'!$B$4:$F$34,IF(L465="F-15",2,IF(L465="F-30",3,IF(L465="F-60",4,IF(L465="F-90",5,0)))),0),0)+IF(AND(O465="FIRE TEX 5062",OR(E465="IN",E465="C",E465="Z",E465="L"),J465=4),VLOOKUP(_xlfn.MINIFS('FIRE TEX 5062'!$G$4:$G$34,'FIRE TEX 5062'!$G$4:$G$34,"&gt;="&amp;M465),'FIRE TEX 5062'!$G$4:$K$34,IF(L465="F-15",2,IF(L465="F-30",3,IF(L465="F-60",4,IF(L465="F-90",5,0)))),0),0)+IF(AND(O465="FIRE TEX 5062",E465="CJ",J465=3),VLOOKUP(_xlfn.MINIFS('FIRE TEX 5062'!$L$4:$L$34,'FIRE TEX 5062'!$L$4:$L$34,"&gt;="&amp;M465),'FIRE TEX 5062'!$L$4:$P$34,IF(L465="F-15",2,IF(L465="F-30",3,IF(L465="F-60",4,IF(L465="F-90",5,0)))),0),0)+IF(AND(O465="FIRE TEX 5062",E465="CJ",J465=4),VLOOKUP(_xlfn.MINIFS('FIRE TEX 5062'!$Q$3:$Q$34,'FIRE TEX 5062'!$Q$3:$Q$34,"&gt;="&amp;M465),'FIRE TEX 5062'!$Q$3:$U$34,IF(L465="F-15",2,IF(L465="F-30",3,IF(L465="F-60",4,IF(L465="F-90",5,0)))),0),0)+IF(AND(O465="FIRE TEX 5090",OR(E465="IN",E465="C",E465="Z",E465="L"),J465=3),VLOOKUP(_xlfn.MINIFS('FIRE TEX 5090'!$B$5:$B$43,'FIRE TEX 5090'!$B$5:$B$43,"&gt;="&amp;M465),'FIRE TEX 5090'!$B$5:$H$43,IF(L465="F-15",2,IF(L465="F-30",3,IF(L465="F-60",4,IF(L465="F-90",5,IF(L465="F-120",6,IF(L465="F-150",7,0)))))),0),0)+IF(AND(O465="FIRE TEX 5090",OR(E465="IN",E465="C",E465="Z",E465="L"),J465=4),VLOOKUP(_xlfn.MINIFS('FIRE TEX 5090'!$J$5:$J$43,'FIRE TEX 5090'!$J$5:$J$43,"&gt;="&amp;M465),'FIRE TEX 5090'!$J$5:$P$43,IF(L465="F-15",2,IF(L465="F-30",3,IF(L465="F-60",4,IF(L465="F-90",5,IF(L465="F-120",6,IF(L465="F-150",7,0)))))),0),0)+IF(AND(O465="FIRE TEX 5090",E465="CJ",J465=3),VLOOKUP(_xlfn.MINIFS('FIRE TEX 5090'!$R$5:$R$30,'FIRE TEX 5090'!$R$5:$R$30,"&gt;="&amp;M465),'FIRE TEX 5090'!$R$5:$W$30,IF(L465="F-15",2,IF(L465="F-30",3,IF(L465="F-60",4,IF(L465="F-90",5,IF(L465="F-120",6,IF(L465="F-150",7,0)))))),0),0)+IF(AND(O465="FIRE TEX 5090",E465="CJ",J465=4),VLOOKUP(_xlfn.MINIFS('FIRE TEX 5090'!$Y$5:$Y$39,'FIRE TEX 5090'!$Y$5:$Y$39,"&gt;="&amp;M465),'FIRE TEX 5090'!$Y$5:$AD$39,IF(L465="F-15",2,IF(L465="F-30",3,IF(L465="F-60",4,IF(L465="F-90",5,IF(L465="F-120",6,IF(L465="F-150",7,0)))))),0),0)+IF(AND(O465="FIRE TEX 5120",OR(E465="IN",E465="C",E465="Z",E465="L"),J465=3),VLOOKUP(_xlfn.MINIFS('FIRE TEX 5120'!$B$5:$B$40,'FIRE TEX 5120'!$B$5:$B$40,"&gt;="&amp;M465),'FIRE TEX 5120'!$B$5:$G$40,IF(L465="F-15",2,IF(L465="F-30",3,IF(L465="F-60",4,IF(L465="F-90",5,IF(L465="F-120",6,0))))),0),0)+IF(AND(O465="FIRE TEX 5120",OR(E465="IN",E465="C",E465="Z",E465="L"),J465=4),VLOOKUP(_xlfn.MINIFS('FIRE TEX 5120'!$H$4:$H$40,'FIRE TEX 5120'!$H$4:$H$40,"&gt;="&amp;M465),'FIRE TEX 5120'!$H$4:$M$40,IF(L465="F-15",2,IF(L465="F-30",3,IF(L465="F-60",4,IF(L465="F-90",5,IF(L465="F-120",6,0))))),0),0)+IF(AND(O465="FIRE TEX 5120",E465="CJ"),VLOOKUP(_xlfn.MINIFS('FIRE TEX 5120'!$O$5:$O$40,'FIRE TEX 5120'!$O$5:$O$40,"&gt;="&amp;M465),'FIRE TEX 5120'!$O$5:$T$40,IF(L465="F-15",2,IF(L465="F-30",3,IF(L465="F-60",4,IF(L465="F-90",5,IF(L465="F-120",6,0))))),0),0)</f>
        <v>0</v>
      </c>
      <c r="Q465" s="46">
        <f t="shared" si="54"/>
        <v>0</v>
      </c>
      <c r="R465" s="46">
        <f t="shared" si="55"/>
        <v>0</v>
      </c>
      <c r="S465" s="46" t="e">
        <f t="shared" si="56"/>
        <v>#VALUE!</v>
      </c>
      <c r="T465" s="677">
        <f t="shared" si="57"/>
        <v>0</v>
      </c>
      <c r="U465" s="80">
        <f>(IF(O465="Stofire",(S465*#REF!),0))+(IF(O465="Fire Control",(S465*$U$2),0))+(IF(O465="Fire Tex",(S465*$U$3),0))+(IF(O465="WB7",(S465*#REF!),0)+(IF(O465="FX 2003",(S465*$U$5),0)))</f>
        <v>0</v>
      </c>
      <c r="V465" s="651">
        <f t="shared" si="58"/>
        <v>0</v>
      </c>
    </row>
    <row r="466" spans="4:22" x14ac:dyDescent="0.25">
      <c r="D466" s="118">
        <f>+CUBICACION!D465</f>
        <v>0</v>
      </c>
      <c r="E466" s="118">
        <f>+CUBICACION!F465</f>
        <v>0</v>
      </c>
      <c r="F466" s="118">
        <f>+CUBICACION!E465</f>
        <v>0</v>
      </c>
      <c r="G466" s="118">
        <v>12</v>
      </c>
      <c r="H466" s="118">
        <v>2</v>
      </c>
      <c r="I466" s="820">
        <v>26385</v>
      </c>
      <c r="J466" s="118">
        <f>+CUBICACION!J465</f>
        <v>0</v>
      </c>
      <c r="K466" s="118">
        <v>3245</v>
      </c>
      <c r="L466" s="118">
        <f>+CUBICACION!L465</f>
        <v>0</v>
      </c>
      <c r="M466" s="64">
        <f>+CUBICACION!M465</f>
        <v>0</v>
      </c>
      <c r="N466" s="824" t="str">
        <f>+CUBICACION!N465</f>
        <v/>
      </c>
      <c r="O466" s="675">
        <f>+CUBICACION!O465</f>
        <v>0</v>
      </c>
      <c r="P466" s="15">
        <f>IF(O466="Fire Control",VLOOKUP(_xlfn.MINIFS('FIRE CONTROL'!$C$4:$C$37,'FIRE CONTROL'!$C$4:$C$37,"&gt;="&amp;M466),'FIRE CONTROL'!$C$4:$G$37,IF(L466="F-15",2,IF(L466="F-30",3,IF(L466="F-60",4,IF(L466="F-90",5,0)))),0),0)+IF(AND(O466="FIRE TEX 5062",OR(E466="IN",E466="C",E466="Z",E466="L"),J466=3),VLOOKUP(_xlfn.MINIFS('FIRE TEX 5062'!$B$4:$B$34,'FIRE TEX 5062'!$B$4:$B$34,"&gt;="&amp;M466),'FIRE TEX 5062'!$B$4:$F$34,IF(L466="F-15",2,IF(L466="F-30",3,IF(L466="F-60",4,IF(L466="F-90",5,0)))),0),0)+IF(AND(O466="FIRE TEX 5062",OR(E466="IN",E466="C",E466="Z",E466="L"),J466=4),VLOOKUP(_xlfn.MINIFS('FIRE TEX 5062'!$G$4:$G$34,'FIRE TEX 5062'!$G$4:$G$34,"&gt;="&amp;M466),'FIRE TEX 5062'!$G$4:$K$34,IF(L466="F-15",2,IF(L466="F-30",3,IF(L466="F-60",4,IF(L466="F-90",5,0)))),0),0)+IF(AND(O466="FIRE TEX 5062",E466="CJ",J466=3),VLOOKUP(_xlfn.MINIFS('FIRE TEX 5062'!$L$4:$L$34,'FIRE TEX 5062'!$L$4:$L$34,"&gt;="&amp;M466),'FIRE TEX 5062'!$L$4:$P$34,IF(L466="F-15",2,IF(L466="F-30",3,IF(L466="F-60",4,IF(L466="F-90",5,0)))),0),0)+IF(AND(O466="FIRE TEX 5062",E466="CJ",J466=4),VLOOKUP(_xlfn.MINIFS('FIRE TEX 5062'!$Q$3:$Q$34,'FIRE TEX 5062'!$Q$3:$Q$34,"&gt;="&amp;M466),'FIRE TEX 5062'!$Q$3:$U$34,IF(L466="F-15",2,IF(L466="F-30",3,IF(L466="F-60",4,IF(L466="F-90",5,0)))),0),0)+IF(AND(O466="FIRE TEX 5090",OR(E466="IN",E466="C",E466="Z",E466="L"),J466=3),VLOOKUP(_xlfn.MINIFS('FIRE TEX 5090'!$B$5:$B$43,'FIRE TEX 5090'!$B$5:$B$43,"&gt;="&amp;M466),'FIRE TEX 5090'!$B$5:$H$43,IF(L466="F-15",2,IF(L466="F-30",3,IF(L466="F-60",4,IF(L466="F-90",5,IF(L466="F-120",6,IF(L466="F-150",7,0)))))),0),0)+IF(AND(O466="FIRE TEX 5090",OR(E466="IN",E466="C",E466="Z",E466="L"),J466=4),VLOOKUP(_xlfn.MINIFS('FIRE TEX 5090'!$J$5:$J$43,'FIRE TEX 5090'!$J$5:$J$43,"&gt;="&amp;M466),'FIRE TEX 5090'!$J$5:$P$43,IF(L466="F-15",2,IF(L466="F-30",3,IF(L466="F-60",4,IF(L466="F-90",5,IF(L466="F-120",6,IF(L466="F-150",7,0)))))),0),0)+IF(AND(O466="FIRE TEX 5090",E466="CJ",J466=3),VLOOKUP(_xlfn.MINIFS('FIRE TEX 5090'!$R$5:$R$30,'FIRE TEX 5090'!$R$5:$R$30,"&gt;="&amp;M466),'FIRE TEX 5090'!$R$5:$W$30,IF(L466="F-15",2,IF(L466="F-30",3,IF(L466="F-60",4,IF(L466="F-90",5,IF(L466="F-120",6,IF(L466="F-150",7,0)))))),0),0)+IF(AND(O466="FIRE TEX 5090",E466="CJ",J466=4),VLOOKUP(_xlfn.MINIFS('FIRE TEX 5090'!$Y$5:$Y$39,'FIRE TEX 5090'!$Y$5:$Y$39,"&gt;="&amp;M466),'FIRE TEX 5090'!$Y$5:$AD$39,IF(L466="F-15",2,IF(L466="F-30",3,IF(L466="F-60",4,IF(L466="F-90",5,IF(L466="F-120",6,IF(L466="F-150",7,0)))))),0),0)+IF(AND(O466="FIRE TEX 5120",OR(E466="IN",E466="C",E466="Z",E466="L"),J466=3),VLOOKUP(_xlfn.MINIFS('FIRE TEX 5120'!$B$5:$B$40,'FIRE TEX 5120'!$B$5:$B$40,"&gt;="&amp;M466),'FIRE TEX 5120'!$B$5:$G$40,IF(L466="F-15",2,IF(L466="F-30",3,IF(L466="F-60",4,IF(L466="F-90",5,IF(L466="F-120",6,0))))),0),0)+IF(AND(O466="FIRE TEX 5120",OR(E466="IN",E466="C",E466="Z",E466="L"),J466=4),VLOOKUP(_xlfn.MINIFS('FIRE TEX 5120'!$H$4:$H$40,'FIRE TEX 5120'!$H$4:$H$40,"&gt;="&amp;M466),'FIRE TEX 5120'!$H$4:$M$40,IF(L466="F-15",2,IF(L466="F-30",3,IF(L466="F-60",4,IF(L466="F-90",5,IF(L466="F-120",6,0))))),0),0)+IF(AND(O466="FIRE TEX 5120",E466="CJ"),VLOOKUP(_xlfn.MINIFS('FIRE TEX 5120'!$O$5:$O$40,'FIRE TEX 5120'!$O$5:$O$40,"&gt;="&amp;M466),'FIRE TEX 5120'!$O$5:$T$40,IF(L466="F-15",2,IF(L466="F-30",3,IF(L466="F-60",4,IF(L466="F-90",5,IF(L466="F-120",6,0))))),0),0)</f>
        <v>0</v>
      </c>
      <c r="Q466" s="46">
        <f t="shared" si="54"/>
        <v>0</v>
      </c>
      <c r="R466" s="46">
        <f t="shared" si="55"/>
        <v>0</v>
      </c>
      <c r="S466" s="46" t="e">
        <f t="shared" si="56"/>
        <v>#VALUE!</v>
      </c>
      <c r="T466" s="677">
        <f t="shared" si="57"/>
        <v>0</v>
      </c>
      <c r="U466" s="80">
        <f>(IF(O466="Stofire",(S466*#REF!),0))+(IF(O466="Fire Control",(S466*$U$2),0))+(IF(O466="Fire Tex",(S466*$U$3),0))+(IF(O466="WB7",(S466*#REF!),0)+(IF(O466="FX 2003",(S466*$U$5),0)))</f>
        <v>0</v>
      </c>
      <c r="V466" s="651">
        <f t="shared" si="58"/>
        <v>0</v>
      </c>
    </row>
    <row r="467" spans="4:22" x14ac:dyDescent="0.25">
      <c r="D467" s="118">
        <f>+CUBICACION!D466</f>
        <v>0</v>
      </c>
      <c r="E467" s="118">
        <f>+CUBICACION!F466</f>
        <v>0</v>
      </c>
      <c r="F467" s="118">
        <f>+CUBICACION!E466</f>
        <v>0</v>
      </c>
      <c r="G467" s="118">
        <v>12</v>
      </c>
      <c r="H467" s="118">
        <v>2</v>
      </c>
      <c r="I467" s="820">
        <v>26385</v>
      </c>
      <c r="J467" s="118">
        <f>+CUBICACION!J466</f>
        <v>0</v>
      </c>
      <c r="K467" s="118">
        <v>3246</v>
      </c>
      <c r="L467" s="118">
        <f>+CUBICACION!L466</f>
        <v>0</v>
      </c>
      <c r="M467" s="64">
        <f>+CUBICACION!M466</f>
        <v>0</v>
      </c>
      <c r="N467" s="824" t="str">
        <f>+CUBICACION!N466</f>
        <v/>
      </c>
      <c r="O467" s="675">
        <f>+CUBICACION!O466</f>
        <v>0</v>
      </c>
      <c r="P467" s="15">
        <f>IF(O467="Fire Control",VLOOKUP(_xlfn.MINIFS('FIRE CONTROL'!$C$4:$C$37,'FIRE CONTROL'!$C$4:$C$37,"&gt;="&amp;M467),'FIRE CONTROL'!$C$4:$G$37,IF(L467="F-15",2,IF(L467="F-30",3,IF(L467="F-60",4,IF(L467="F-90",5,0)))),0),0)+IF(AND(O467="FIRE TEX 5062",OR(E467="IN",E467="C",E467="Z",E467="L"),J467=3),VLOOKUP(_xlfn.MINIFS('FIRE TEX 5062'!$B$4:$B$34,'FIRE TEX 5062'!$B$4:$B$34,"&gt;="&amp;M467),'FIRE TEX 5062'!$B$4:$F$34,IF(L467="F-15",2,IF(L467="F-30",3,IF(L467="F-60",4,IF(L467="F-90",5,0)))),0),0)+IF(AND(O467="FIRE TEX 5062",OR(E467="IN",E467="C",E467="Z",E467="L"),J467=4),VLOOKUP(_xlfn.MINIFS('FIRE TEX 5062'!$G$4:$G$34,'FIRE TEX 5062'!$G$4:$G$34,"&gt;="&amp;M467),'FIRE TEX 5062'!$G$4:$K$34,IF(L467="F-15",2,IF(L467="F-30",3,IF(L467="F-60",4,IF(L467="F-90",5,0)))),0),0)+IF(AND(O467="FIRE TEX 5062",E467="CJ",J467=3),VLOOKUP(_xlfn.MINIFS('FIRE TEX 5062'!$L$4:$L$34,'FIRE TEX 5062'!$L$4:$L$34,"&gt;="&amp;M467),'FIRE TEX 5062'!$L$4:$P$34,IF(L467="F-15",2,IF(L467="F-30",3,IF(L467="F-60",4,IF(L467="F-90",5,0)))),0),0)+IF(AND(O467="FIRE TEX 5062",E467="CJ",J467=4),VLOOKUP(_xlfn.MINIFS('FIRE TEX 5062'!$Q$3:$Q$34,'FIRE TEX 5062'!$Q$3:$Q$34,"&gt;="&amp;M467),'FIRE TEX 5062'!$Q$3:$U$34,IF(L467="F-15",2,IF(L467="F-30",3,IF(L467="F-60",4,IF(L467="F-90",5,0)))),0),0)+IF(AND(O467="FIRE TEX 5090",OR(E467="IN",E467="C",E467="Z",E467="L"),J467=3),VLOOKUP(_xlfn.MINIFS('FIRE TEX 5090'!$B$5:$B$43,'FIRE TEX 5090'!$B$5:$B$43,"&gt;="&amp;M467),'FIRE TEX 5090'!$B$5:$H$43,IF(L467="F-15",2,IF(L467="F-30",3,IF(L467="F-60",4,IF(L467="F-90",5,IF(L467="F-120",6,IF(L467="F-150",7,0)))))),0),0)+IF(AND(O467="FIRE TEX 5090",OR(E467="IN",E467="C",E467="Z",E467="L"),J467=4),VLOOKUP(_xlfn.MINIFS('FIRE TEX 5090'!$J$5:$J$43,'FIRE TEX 5090'!$J$5:$J$43,"&gt;="&amp;M467),'FIRE TEX 5090'!$J$5:$P$43,IF(L467="F-15",2,IF(L467="F-30",3,IF(L467="F-60",4,IF(L467="F-90",5,IF(L467="F-120",6,IF(L467="F-150",7,0)))))),0),0)+IF(AND(O467="FIRE TEX 5090",E467="CJ",J467=3),VLOOKUP(_xlfn.MINIFS('FIRE TEX 5090'!$R$5:$R$30,'FIRE TEX 5090'!$R$5:$R$30,"&gt;="&amp;M467),'FIRE TEX 5090'!$R$5:$W$30,IF(L467="F-15",2,IF(L467="F-30",3,IF(L467="F-60",4,IF(L467="F-90",5,IF(L467="F-120",6,IF(L467="F-150",7,0)))))),0),0)+IF(AND(O467="FIRE TEX 5090",E467="CJ",J467=4),VLOOKUP(_xlfn.MINIFS('FIRE TEX 5090'!$Y$5:$Y$39,'FIRE TEX 5090'!$Y$5:$Y$39,"&gt;="&amp;M467),'FIRE TEX 5090'!$Y$5:$AD$39,IF(L467="F-15",2,IF(L467="F-30",3,IF(L467="F-60",4,IF(L467="F-90",5,IF(L467="F-120",6,IF(L467="F-150",7,0)))))),0),0)+IF(AND(O467="FIRE TEX 5120",OR(E467="IN",E467="C",E467="Z",E467="L"),J467=3),VLOOKUP(_xlfn.MINIFS('FIRE TEX 5120'!$B$5:$B$40,'FIRE TEX 5120'!$B$5:$B$40,"&gt;="&amp;M467),'FIRE TEX 5120'!$B$5:$G$40,IF(L467="F-15",2,IF(L467="F-30",3,IF(L467="F-60",4,IF(L467="F-90",5,IF(L467="F-120",6,0))))),0),0)+IF(AND(O467="FIRE TEX 5120",OR(E467="IN",E467="C",E467="Z",E467="L"),J467=4),VLOOKUP(_xlfn.MINIFS('FIRE TEX 5120'!$H$4:$H$40,'FIRE TEX 5120'!$H$4:$H$40,"&gt;="&amp;M467),'FIRE TEX 5120'!$H$4:$M$40,IF(L467="F-15",2,IF(L467="F-30",3,IF(L467="F-60",4,IF(L467="F-90",5,IF(L467="F-120",6,0))))),0),0)+IF(AND(O467="FIRE TEX 5120",E467="CJ"),VLOOKUP(_xlfn.MINIFS('FIRE TEX 5120'!$O$5:$O$40,'FIRE TEX 5120'!$O$5:$O$40,"&gt;="&amp;M467),'FIRE TEX 5120'!$O$5:$T$40,IF(L467="F-15",2,IF(L467="F-30",3,IF(L467="F-60",4,IF(L467="F-90",5,IF(L467="F-120",6,0))))),0),0)</f>
        <v>0</v>
      </c>
      <c r="Q467" s="46">
        <f t="shared" si="54"/>
        <v>0</v>
      </c>
      <c r="R467" s="46">
        <f t="shared" si="55"/>
        <v>0</v>
      </c>
      <c r="S467" s="46" t="e">
        <f t="shared" si="56"/>
        <v>#VALUE!</v>
      </c>
      <c r="T467" s="677">
        <f t="shared" si="57"/>
        <v>0</v>
      </c>
      <c r="U467" s="80">
        <f>(IF(O467="Stofire",(S467*#REF!),0))+(IF(O467="Fire Control",(S467*$U$2),0))+(IF(O467="Fire Tex",(S467*$U$3),0))+(IF(O467="WB7",(S467*#REF!),0)+(IF(O467="FX 2003",(S467*$U$5),0)))</f>
        <v>0</v>
      </c>
      <c r="V467" s="651">
        <f t="shared" si="58"/>
        <v>0</v>
      </c>
    </row>
    <row r="468" spans="4:22" x14ac:dyDescent="0.25">
      <c r="D468" s="118">
        <f>+CUBICACION!D467</f>
        <v>0</v>
      </c>
      <c r="E468" s="118">
        <f>+CUBICACION!F467</f>
        <v>0</v>
      </c>
      <c r="F468" s="118">
        <f>+CUBICACION!E467</f>
        <v>0</v>
      </c>
      <c r="G468" s="118">
        <v>12</v>
      </c>
      <c r="H468" s="118">
        <v>2</v>
      </c>
      <c r="I468" s="820">
        <v>26385</v>
      </c>
      <c r="J468" s="118">
        <f>+CUBICACION!J467</f>
        <v>0</v>
      </c>
      <c r="K468" s="118">
        <v>3247</v>
      </c>
      <c r="L468" s="118">
        <f>+CUBICACION!L467</f>
        <v>0</v>
      </c>
      <c r="M468" s="64">
        <f>+CUBICACION!M467</f>
        <v>0</v>
      </c>
      <c r="N468" s="824" t="str">
        <f>+CUBICACION!N467</f>
        <v/>
      </c>
      <c r="O468" s="675">
        <f>+CUBICACION!O467</f>
        <v>0</v>
      </c>
      <c r="P468" s="15">
        <f>IF(O468="Fire Control",VLOOKUP(_xlfn.MINIFS('FIRE CONTROL'!$C$4:$C$37,'FIRE CONTROL'!$C$4:$C$37,"&gt;="&amp;M468),'FIRE CONTROL'!$C$4:$G$37,IF(L468="F-15",2,IF(L468="F-30",3,IF(L468="F-60",4,IF(L468="F-90",5,0)))),0),0)+IF(AND(O468="FIRE TEX 5062",OR(E468="IN",E468="C",E468="Z",E468="L"),J468=3),VLOOKUP(_xlfn.MINIFS('FIRE TEX 5062'!$B$4:$B$34,'FIRE TEX 5062'!$B$4:$B$34,"&gt;="&amp;M468),'FIRE TEX 5062'!$B$4:$F$34,IF(L468="F-15",2,IF(L468="F-30",3,IF(L468="F-60",4,IF(L468="F-90",5,0)))),0),0)+IF(AND(O468="FIRE TEX 5062",OR(E468="IN",E468="C",E468="Z",E468="L"),J468=4),VLOOKUP(_xlfn.MINIFS('FIRE TEX 5062'!$G$4:$G$34,'FIRE TEX 5062'!$G$4:$G$34,"&gt;="&amp;M468),'FIRE TEX 5062'!$G$4:$K$34,IF(L468="F-15",2,IF(L468="F-30",3,IF(L468="F-60",4,IF(L468="F-90",5,0)))),0),0)+IF(AND(O468="FIRE TEX 5062",E468="CJ",J468=3),VLOOKUP(_xlfn.MINIFS('FIRE TEX 5062'!$L$4:$L$34,'FIRE TEX 5062'!$L$4:$L$34,"&gt;="&amp;M468),'FIRE TEX 5062'!$L$4:$P$34,IF(L468="F-15",2,IF(L468="F-30",3,IF(L468="F-60",4,IF(L468="F-90",5,0)))),0),0)+IF(AND(O468="FIRE TEX 5062",E468="CJ",J468=4),VLOOKUP(_xlfn.MINIFS('FIRE TEX 5062'!$Q$3:$Q$34,'FIRE TEX 5062'!$Q$3:$Q$34,"&gt;="&amp;M468),'FIRE TEX 5062'!$Q$3:$U$34,IF(L468="F-15",2,IF(L468="F-30",3,IF(L468="F-60",4,IF(L468="F-90",5,0)))),0),0)+IF(AND(O468="FIRE TEX 5090",OR(E468="IN",E468="C",E468="Z",E468="L"),J468=3),VLOOKUP(_xlfn.MINIFS('FIRE TEX 5090'!$B$5:$B$43,'FIRE TEX 5090'!$B$5:$B$43,"&gt;="&amp;M468),'FIRE TEX 5090'!$B$5:$H$43,IF(L468="F-15",2,IF(L468="F-30",3,IF(L468="F-60",4,IF(L468="F-90",5,IF(L468="F-120",6,IF(L468="F-150",7,0)))))),0),0)+IF(AND(O468="FIRE TEX 5090",OR(E468="IN",E468="C",E468="Z",E468="L"),J468=4),VLOOKUP(_xlfn.MINIFS('FIRE TEX 5090'!$J$5:$J$43,'FIRE TEX 5090'!$J$5:$J$43,"&gt;="&amp;M468),'FIRE TEX 5090'!$J$5:$P$43,IF(L468="F-15",2,IF(L468="F-30",3,IF(L468="F-60",4,IF(L468="F-90",5,IF(L468="F-120",6,IF(L468="F-150",7,0)))))),0),0)+IF(AND(O468="FIRE TEX 5090",E468="CJ",J468=3),VLOOKUP(_xlfn.MINIFS('FIRE TEX 5090'!$R$5:$R$30,'FIRE TEX 5090'!$R$5:$R$30,"&gt;="&amp;M468),'FIRE TEX 5090'!$R$5:$W$30,IF(L468="F-15",2,IF(L468="F-30",3,IF(L468="F-60",4,IF(L468="F-90",5,IF(L468="F-120",6,IF(L468="F-150",7,0)))))),0),0)+IF(AND(O468="FIRE TEX 5090",E468="CJ",J468=4),VLOOKUP(_xlfn.MINIFS('FIRE TEX 5090'!$Y$5:$Y$39,'FIRE TEX 5090'!$Y$5:$Y$39,"&gt;="&amp;M468),'FIRE TEX 5090'!$Y$5:$AD$39,IF(L468="F-15",2,IF(L468="F-30",3,IF(L468="F-60",4,IF(L468="F-90",5,IF(L468="F-120",6,IF(L468="F-150",7,0)))))),0),0)+IF(AND(O468="FIRE TEX 5120",OR(E468="IN",E468="C",E468="Z",E468="L"),J468=3),VLOOKUP(_xlfn.MINIFS('FIRE TEX 5120'!$B$5:$B$40,'FIRE TEX 5120'!$B$5:$B$40,"&gt;="&amp;M468),'FIRE TEX 5120'!$B$5:$G$40,IF(L468="F-15",2,IF(L468="F-30",3,IF(L468="F-60",4,IF(L468="F-90",5,IF(L468="F-120",6,0))))),0),0)+IF(AND(O468="FIRE TEX 5120",OR(E468="IN",E468="C",E468="Z",E468="L"),J468=4),VLOOKUP(_xlfn.MINIFS('FIRE TEX 5120'!$H$4:$H$40,'FIRE TEX 5120'!$H$4:$H$40,"&gt;="&amp;M468),'FIRE TEX 5120'!$H$4:$M$40,IF(L468="F-15",2,IF(L468="F-30",3,IF(L468="F-60",4,IF(L468="F-90",5,IF(L468="F-120",6,0))))),0),0)+IF(AND(O468="FIRE TEX 5120",E468="CJ"),VLOOKUP(_xlfn.MINIFS('FIRE TEX 5120'!$O$5:$O$40,'FIRE TEX 5120'!$O$5:$O$40,"&gt;="&amp;M468),'FIRE TEX 5120'!$O$5:$T$40,IF(L468="F-15",2,IF(L468="F-30",3,IF(L468="F-60",4,IF(L468="F-90",5,IF(L468="F-120",6,0))))),0),0)</f>
        <v>0</v>
      </c>
      <c r="Q468" s="46">
        <f t="shared" si="54"/>
        <v>0</v>
      </c>
      <c r="R468" s="46">
        <f t="shared" si="55"/>
        <v>0</v>
      </c>
      <c r="S468" s="46" t="e">
        <f t="shared" si="56"/>
        <v>#VALUE!</v>
      </c>
      <c r="T468" s="677">
        <f t="shared" si="57"/>
        <v>0</v>
      </c>
      <c r="U468" s="80">
        <f>(IF(O468="Stofire",(S468*#REF!),0))+(IF(O468="Fire Control",(S468*$U$2),0))+(IF(O468="Fire Tex",(S468*$U$3),0))+(IF(O468="WB7",(S468*#REF!),0)+(IF(O468="FX 2003",(S468*$U$5),0)))</f>
        <v>0</v>
      </c>
      <c r="V468" s="651">
        <f t="shared" si="58"/>
        <v>0</v>
      </c>
    </row>
    <row r="469" spans="4:22" x14ac:dyDescent="0.25">
      <c r="D469" s="118">
        <f>+CUBICACION!D468</f>
        <v>0</v>
      </c>
      <c r="E469" s="118">
        <f>+CUBICACION!F468</f>
        <v>0</v>
      </c>
      <c r="F469" s="118">
        <f>+CUBICACION!E468</f>
        <v>0</v>
      </c>
      <c r="G469" s="118">
        <v>12</v>
      </c>
      <c r="H469" s="118">
        <v>2</v>
      </c>
      <c r="I469" s="820">
        <v>26385</v>
      </c>
      <c r="J469" s="118">
        <f>+CUBICACION!J468</f>
        <v>0</v>
      </c>
      <c r="K469" s="118">
        <v>3248</v>
      </c>
      <c r="L469" s="118">
        <f>+CUBICACION!L468</f>
        <v>0</v>
      </c>
      <c r="M469" s="64">
        <f>+CUBICACION!M468</f>
        <v>0</v>
      </c>
      <c r="N469" s="824" t="str">
        <f>+CUBICACION!N468</f>
        <v/>
      </c>
      <c r="O469" s="675">
        <f>+CUBICACION!O468</f>
        <v>0</v>
      </c>
      <c r="P469" s="15">
        <f>IF(O469="Fire Control",VLOOKUP(_xlfn.MINIFS('FIRE CONTROL'!$C$4:$C$37,'FIRE CONTROL'!$C$4:$C$37,"&gt;="&amp;M469),'FIRE CONTROL'!$C$4:$G$37,IF(L469="F-15",2,IF(L469="F-30",3,IF(L469="F-60",4,IF(L469="F-90",5,0)))),0),0)+IF(AND(O469="FIRE TEX 5062",OR(E469="IN",E469="C",E469="Z",E469="L"),J469=3),VLOOKUP(_xlfn.MINIFS('FIRE TEX 5062'!$B$4:$B$34,'FIRE TEX 5062'!$B$4:$B$34,"&gt;="&amp;M469),'FIRE TEX 5062'!$B$4:$F$34,IF(L469="F-15",2,IF(L469="F-30",3,IF(L469="F-60",4,IF(L469="F-90",5,0)))),0),0)+IF(AND(O469="FIRE TEX 5062",OR(E469="IN",E469="C",E469="Z",E469="L"),J469=4),VLOOKUP(_xlfn.MINIFS('FIRE TEX 5062'!$G$4:$G$34,'FIRE TEX 5062'!$G$4:$G$34,"&gt;="&amp;M469),'FIRE TEX 5062'!$G$4:$K$34,IF(L469="F-15",2,IF(L469="F-30",3,IF(L469="F-60",4,IF(L469="F-90",5,0)))),0),0)+IF(AND(O469="FIRE TEX 5062",E469="CJ",J469=3),VLOOKUP(_xlfn.MINIFS('FIRE TEX 5062'!$L$4:$L$34,'FIRE TEX 5062'!$L$4:$L$34,"&gt;="&amp;M469),'FIRE TEX 5062'!$L$4:$P$34,IF(L469="F-15",2,IF(L469="F-30",3,IF(L469="F-60",4,IF(L469="F-90",5,0)))),0),0)+IF(AND(O469="FIRE TEX 5062",E469="CJ",J469=4),VLOOKUP(_xlfn.MINIFS('FIRE TEX 5062'!$Q$3:$Q$34,'FIRE TEX 5062'!$Q$3:$Q$34,"&gt;="&amp;M469),'FIRE TEX 5062'!$Q$3:$U$34,IF(L469="F-15",2,IF(L469="F-30",3,IF(L469="F-60",4,IF(L469="F-90",5,0)))),0),0)+IF(AND(O469="FIRE TEX 5090",OR(E469="IN",E469="C",E469="Z",E469="L"),J469=3),VLOOKUP(_xlfn.MINIFS('FIRE TEX 5090'!$B$5:$B$43,'FIRE TEX 5090'!$B$5:$B$43,"&gt;="&amp;M469),'FIRE TEX 5090'!$B$5:$H$43,IF(L469="F-15",2,IF(L469="F-30",3,IF(L469="F-60",4,IF(L469="F-90",5,IF(L469="F-120",6,IF(L469="F-150",7,0)))))),0),0)+IF(AND(O469="FIRE TEX 5090",OR(E469="IN",E469="C",E469="Z",E469="L"),J469=4),VLOOKUP(_xlfn.MINIFS('FIRE TEX 5090'!$J$5:$J$43,'FIRE TEX 5090'!$J$5:$J$43,"&gt;="&amp;M469),'FIRE TEX 5090'!$J$5:$P$43,IF(L469="F-15",2,IF(L469="F-30",3,IF(L469="F-60",4,IF(L469="F-90",5,IF(L469="F-120",6,IF(L469="F-150",7,0)))))),0),0)+IF(AND(O469="FIRE TEX 5090",E469="CJ",J469=3),VLOOKUP(_xlfn.MINIFS('FIRE TEX 5090'!$R$5:$R$30,'FIRE TEX 5090'!$R$5:$R$30,"&gt;="&amp;M469),'FIRE TEX 5090'!$R$5:$W$30,IF(L469="F-15",2,IF(L469="F-30",3,IF(L469="F-60",4,IF(L469="F-90",5,IF(L469="F-120",6,IF(L469="F-150",7,0)))))),0),0)+IF(AND(O469="FIRE TEX 5090",E469="CJ",J469=4),VLOOKUP(_xlfn.MINIFS('FIRE TEX 5090'!$Y$5:$Y$39,'FIRE TEX 5090'!$Y$5:$Y$39,"&gt;="&amp;M469),'FIRE TEX 5090'!$Y$5:$AD$39,IF(L469="F-15",2,IF(L469="F-30",3,IF(L469="F-60",4,IF(L469="F-90",5,IF(L469="F-120",6,IF(L469="F-150",7,0)))))),0),0)+IF(AND(O469="FIRE TEX 5120",OR(E469="IN",E469="C",E469="Z",E469="L"),J469=3),VLOOKUP(_xlfn.MINIFS('FIRE TEX 5120'!$B$5:$B$40,'FIRE TEX 5120'!$B$5:$B$40,"&gt;="&amp;M469),'FIRE TEX 5120'!$B$5:$G$40,IF(L469="F-15",2,IF(L469="F-30",3,IF(L469="F-60",4,IF(L469="F-90",5,IF(L469="F-120",6,0))))),0),0)+IF(AND(O469="FIRE TEX 5120",OR(E469="IN",E469="C",E469="Z",E469="L"),J469=4),VLOOKUP(_xlfn.MINIFS('FIRE TEX 5120'!$H$4:$H$40,'FIRE TEX 5120'!$H$4:$H$40,"&gt;="&amp;M469),'FIRE TEX 5120'!$H$4:$M$40,IF(L469="F-15",2,IF(L469="F-30",3,IF(L469="F-60",4,IF(L469="F-90",5,IF(L469="F-120",6,0))))),0),0)+IF(AND(O469="FIRE TEX 5120",E469="CJ"),VLOOKUP(_xlfn.MINIFS('FIRE TEX 5120'!$O$5:$O$40,'FIRE TEX 5120'!$O$5:$O$40,"&gt;="&amp;M469),'FIRE TEX 5120'!$O$5:$T$40,IF(L469="F-15",2,IF(L469="F-30",3,IF(L469="F-60",4,IF(L469="F-90",5,IF(L469="F-120",6,0))))),0),0)</f>
        <v>0</v>
      </c>
      <c r="Q469" s="46">
        <f t="shared" si="54"/>
        <v>0</v>
      </c>
      <c r="R469" s="46">
        <f t="shared" si="55"/>
        <v>0</v>
      </c>
      <c r="S469" s="46" t="e">
        <f t="shared" si="56"/>
        <v>#VALUE!</v>
      </c>
      <c r="T469" s="677">
        <f t="shared" si="57"/>
        <v>0</v>
      </c>
      <c r="U469" s="80">
        <f>(IF(O469="Stofire",(S469*#REF!),0))+(IF(O469="Fire Control",(S469*$U$2),0))+(IF(O469="Fire Tex",(S469*$U$3),0))+(IF(O469="WB7",(S469*#REF!),0)+(IF(O469="FX 2003",(S469*$U$5),0)))</f>
        <v>0</v>
      </c>
      <c r="V469" s="651">
        <f t="shared" si="58"/>
        <v>0</v>
      </c>
    </row>
    <row r="470" spans="4:22" x14ac:dyDescent="0.25">
      <c r="D470" s="118">
        <f>+CUBICACION!D469</f>
        <v>0</v>
      </c>
      <c r="E470" s="118">
        <f>+CUBICACION!F469</f>
        <v>0</v>
      </c>
      <c r="F470" s="118">
        <f>+CUBICACION!E469</f>
        <v>0</v>
      </c>
      <c r="G470" s="118">
        <v>12</v>
      </c>
      <c r="H470" s="118">
        <v>2</v>
      </c>
      <c r="I470" s="820">
        <v>26385</v>
      </c>
      <c r="J470" s="118">
        <f>+CUBICACION!J469</f>
        <v>0</v>
      </c>
      <c r="K470" s="118">
        <v>3249</v>
      </c>
      <c r="L470" s="118">
        <f>+CUBICACION!L469</f>
        <v>0</v>
      </c>
      <c r="M470" s="64">
        <f>+CUBICACION!M469</f>
        <v>0</v>
      </c>
      <c r="N470" s="824" t="str">
        <f>+CUBICACION!N469</f>
        <v/>
      </c>
      <c r="O470" s="675">
        <f>+CUBICACION!O469</f>
        <v>0</v>
      </c>
      <c r="P470" s="15">
        <f>IF(O470="Fire Control",VLOOKUP(_xlfn.MINIFS('FIRE CONTROL'!$C$4:$C$37,'FIRE CONTROL'!$C$4:$C$37,"&gt;="&amp;M470),'FIRE CONTROL'!$C$4:$G$37,IF(L470="F-15",2,IF(L470="F-30",3,IF(L470="F-60",4,IF(L470="F-90",5,0)))),0),0)+IF(AND(O470="FIRE TEX 5062",OR(E470="IN",E470="C",E470="Z",E470="L"),J470=3),VLOOKUP(_xlfn.MINIFS('FIRE TEX 5062'!$B$4:$B$34,'FIRE TEX 5062'!$B$4:$B$34,"&gt;="&amp;M470),'FIRE TEX 5062'!$B$4:$F$34,IF(L470="F-15",2,IF(L470="F-30",3,IF(L470="F-60",4,IF(L470="F-90",5,0)))),0),0)+IF(AND(O470="FIRE TEX 5062",OR(E470="IN",E470="C",E470="Z",E470="L"),J470=4),VLOOKUP(_xlfn.MINIFS('FIRE TEX 5062'!$G$4:$G$34,'FIRE TEX 5062'!$G$4:$G$34,"&gt;="&amp;M470),'FIRE TEX 5062'!$G$4:$K$34,IF(L470="F-15",2,IF(L470="F-30",3,IF(L470="F-60",4,IF(L470="F-90",5,0)))),0),0)+IF(AND(O470="FIRE TEX 5062",E470="CJ",J470=3),VLOOKUP(_xlfn.MINIFS('FIRE TEX 5062'!$L$4:$L$34,'FIRE TEX 5062'!$L$4:$L$34,"&gt;="&amp;M470),'FIRE TEX 5062'!$L$4:$P$34,IF(L470="F-15",2,IF(L470="F-30",3,IF(L470="F-60",4,IF(L470="F-90",5,0)))),0),0)+IF(AND(O470="FIRE TEX 5062",E470="CJ",J470=4),VLOOKUP(_xlfn.MINIFS('FIRE TEX 5062'!$Q$3:$Q$34,'FIRE TEX 5062'!$Q$3:$Q$34,"&gt;="&amp;M470),'FIRE TEX 5062'!$Q$3:$U$34,IF(L470="F-15",2,IF(L470="F-30",3,IF(L470="F-60",4,IF(L470="F-90",5,0)))),0),0)+IF(AND(O470="FIRE TEX 5090",OR(E470="IN",E470="C",E470="Z",E470="L"),J470=3),VLOOKUP(_xlfn.MINIFS('FIRE TEX 5090'!$B$5:$B$43,'FIRE TEX 5090'!$B$5:$B$43,"&gt;="&amp;M470),'FIRE TEX 5090'!$B$5:$H$43,IF(L470="F-15",2,IF(L470="F-30",3,IF(L470="F-60",4,IF(L470="F-90",5,IF(L470="F-120",6,IF(L470="F-150",7,0)))))),0),0)+IF(AND(O470="FIRE TEX 5090",OR(E470="IN",E470="C",E470="Z",E470="L"),J470=4),VLOOKUP(_xlfn.MINIFS('FIRE TEX 5090'!$J$5:$J$43,'FIRE TEX 5090'!$J$5:$J$43,"&gt;="&amp;M470),'FIRE TEX 5090'!$J$5:$P$43,IF(L470="F-15",2,IF(L470="F-30",3,IF(L470="F-60",4,IF(L470="F-90",5,IF(L470="F-120",6,IF(L470="F-150",7,0)))))),0),0)+IF(AND(O470="FIRE TEX 5090",E470="CJ",J470=3),VLOOKUP(_xlfn.MINIFS('FIRE TEX 5090'!$R$5:$R$30,'FIRE TEX 5090'!$R$5:$R$30,"&gt;="&amp;M470),'FIRE TEX 5090'!$R$5:$W$30,IF(L470="F-15",2,IF(L470="F-30",3,IF(L470="F-60",4,IF(L470="F-90",5,IF(L470="F-120",6,IF(L470="F-150",7,0)))))),0),0)+IF(AND(O470="FIRE TEX 5090",E470="CJ",J470=4),VLOOKUP(_xlfn.MINIFS('FIRE TEX 5090'!$Y$5:$Y$39,'FIRE TEX 5090'!$Y$5:$Y$39,"&gt;="&amp;M470),'FIRE TEX 5090'!$Y$5:$AD$39,IF(L470="F-15",2,IF(L470="F-30",3,IF(L470="F-60",4,IF(L470="F-90",5,IF(L470="F-120",6,IF(L470="F-150",7,0)))))),0),0)+IF(AND(O470="FIRE TEX 5120",OR(E470="IN",E470="C",E470="Z",E470="L"),J470=3),VLOOKUP(_xlfn.MINIFS('FIRE TEX 5120'!$B$5:$B$40,'FIRE TEX 5120'!$B$5:$B$40,"&gt;="&amp;M470),'FIRE TEX 5120'!$B$5:$G$40,IF(L470="F-15",2,IF(L470="F-30",3,IF(L470="F-60",4,IF(L470="F-90",5,IF(L470="F-120",6,0))))),0),0)+IF(AND(O470="FIRE TEX 5120",OR(E470="IN",E470="C",E470="Z",E470="L"),J470=4),VLOOKUP(_xlfn.MINIFS('FIRE TEX 5120'!$H$4:$H$40,'FIRE TEX 5120'!$H$4:$H$40,"&gt;="&amp;M470),'FIRE TEX 5120'!$H$4:$M$40,IF(L470="F-15",2,IF(L470="F-30",3,IF(L470="F-60",4,IF(L470="F-90",5,IF(L470="F-120",6,0))))),0),0)+IF(AND(O470="FIRE TEX 5120",E470="CJ"),VLOOKUP(_xlfn.MINIFS('FIRE TEX 5120'!$O$5:$O$40,'FIRE TEX 5120'!$O$5:$O$40,"&gt;="&amp;M470),'FIRE TEX 5120'!$O$5:$T$40,IF(L470="F-15",2,IF(L470="F-30",3,IF(L470="F-60",4,IF(L470="F-90",5,IF(L470="F-120",6,0))))),0),0)</f>
        <v>0</v>
      </c>
      <c r="Q470" s="46">
        <f t="shared" si="54"/>
        <v>0</v>
      </c>
      <c r="R470" s="46">
        <f t="shared" si="55"/>
        <v>0</v>
      </c>
      <c r="S470" s="46" t="e">
        <f t="shared" si="56"/>
        <v>#VALUE!</v>
      </c>
      <c r="T470" s="677">
        <f t="shared" si="57"/>
        <v>0</v>
      </c>
      <c r="U470" s="80">
        <f>(IF(O470="Stofire",(S470*#REF!),0))+(IF(O470="Fire Control",(S470*$U$2),0))+(IF(O470="Fire Tex",(S470*$U$3),0))+(IF(O470="WB7",(S470*#REF!),0)+(IF(O470="FX 2003",(S470*$U$5),0)))</f>
        <v>0</v>
      </c>
      <c r="V470" s="651">
        <f t="shared" si="58"/>
        <v>0</v>
      </c>
    </row>
    <row r="471" spans="4:22" x14ac:dyDescent="0.25">
      <c r="D471" s="118">
        <f>+CUBICACION!D470</f>
        <v>0</v>
      </c>
      <c r="E471" s="118">
        <f>+CUBICACION!F470</f>
        <v>0</v>
      </c>
      <c r="F471" s="118">
        <f>+CUBICACION!E470</f>
        <v>0</v>
      </c>
      <c r="G471" s="118">
        <v>12</v>
      </c>
      <c r="H471" s="118">
        <v>2</v>
      </c>
      <c r="I471" s="820">
        <v>26385</v>
      </c>
      <c r="J471" s="118">
        <f>+CUBICACION!J470</f>
        <v>0</v>
      </c>
      <c r="K471" s="118">
        <v>3250</v>
      </c>
      <c r="L471" s="118">
        <f>+CUBICACION!L470</f>
        <v>0</v>
      </c>
      <c r="M471" s="64">
        <f>+CUBICACION!M470</f>
        <v>0</v>
      </c>
      <c r="N471" s="824" t="str">
        <f>+CUBICACION!N470</f>
        <v/>
      </c>
      <c r="O471" s="675">
        <f>+CUBICACION!O470</f>
        <v>0</v>
      </c>
      <c r="P471" s="15">
        <f>IF(O471="Fire Control",VLOOKUP(_xlfn.MINIFS('FIRE CONTROL'!$C$4:$C$37,'FIRE CONTROL'!$C$4:$C$37,"&gt;="&amp;M471),'FIRE CONTROL'!$C$4:$G$37,IF(L471="F-15",2,IF(L471="F-30",3,IF(L471="F-60",4,IF(L471="F-90",5,0)))),0),0)+IF(AND(O471="FIRE TEX 5062",OR(E471="IN",E471="C",E471="Z",E471="L"),J471=3),VLOOKUP(_xlfn.MINIFS('FIRE TEX 5062'!$B$4:$B$34,'FIRE TEX 5062'!$B$4:$B$34,"&gt;="&amp;M471),'FIRE TEX 5062'!$B$4:$F$34,IF(L471="F-15",2,IF(L471="F-30",3,IF(L471="F-60",4,IF(L471="F-90",5,0)))),0),0)+IF(AND(O471="FIRE TEX 5062",OR(E471="IN",E471="C",E471="Z",E471="L"),J471=4),VLOOKUP(_xlfn.MINIFS('FIRE TEX 5062'!$G$4:$G$34,'FIRE TEX 5062'!$G$4:$G$34,"&gt;="&amp;M471),'FIRE TEX 5062'!$G$4:$K$34,IF(L471="F-15",2,IF(L471="F-30",3,IF(L471="F-60",4,IF(L471="F-90",5,0)))),0),0)+IF(AND(O471="FIRE TEX 5062",E471="CJ",J471=3),VLOOKUP(_xlfn.MINIFS('FIRE TEX 5062'!$L$4:$L$34,'FIRE TEX 5062'!$L$4:$L$34,"&gt;="&amp;M471),'FIRE TEX 5062'!$L$4:$P$34,IF(L471="F-15",2,IF(L471="F-30",3,IF(L471="F-60",4,IF(L471="F-90",5,0)))),0),0)+IF(AND(O471="FIRE TEX 5062",E471="CJ",J471=4),VLOOKUP(_xlfn.MINIFS('FIRE TEX 5062'!$Q$3:$Q$34,'FIRE TEX 5062'!$Q$3:$Q$34,"&gt;="&amp;M471),'FIRE TEX 5062'!$Q$3:$U$34,IF(L471="F-15",2,IF(L471="F-30",3,IF(L471="F-60",4,IF(L471="F-90",5,0)))),0),0)+IF(AND(O471="FIRE TEX 5090",OR(E471="IN",E471="C",E471="Z",E471="L"),J471=3),VLOOKUP(_xlfn.MINIFS('FIRE TEX 5090'!$B$5:$B$43,'FIRE TEX 5090'!$B$5:$B$43,"&gt;="&amp;M471),'FIRE TEX 5090'!$B$5:$H$43,IF(L471="F-15",2,IF(L471="F-30",3,IF(L471="F-60",4,IF(L471="F-90",5,IF(L471="F-120",6,IF(L471="F-150",7,0)))))),0),0)+IF(AND(O471="FIRE TEX 5090",OR(E471="IN",E471="C",E471="Z",E471="L"),J471=4),VLOOKUP(_xlfn.MINIFS('FIRE TEX 5090'!$J$5:$J$43,'FIRE TEX 5090'!$J$5:$J$43,"&gt;="&amp;M471),'FIRE TEX 5090'!$J$5:$P$43,IF(L471="F-15",2,IF(L471="F-30",3,IF(L471="F-60",4,IF(L471="F-90",5,IF(L471="F-120",6,IF(L471="F-150",7,0)))))),0),0)+IF(AND(O471="FIRE TEX 5090",E471="CJ",J471=3),VLOOKUP(_xlfn.MINIFS('FIRE TEX 5090'!$R$5:$R$30,'FIRE TEX 5090'!$R$5:$R$30,"&gt;="&amp;M471),'FIRE TEX 5090'!$R$5:$W$30,IF(L471="F-15",2,IF(L471="F-30",3,IF(L471="F-60",4,IF(L471="F-90",5,IF(L471="F-120",6,IF(L471="F-150",7,0)))))),0),0)+IF(AND(O471="FIRE TEX 5090",E471="CJ",J471=4),VLOOKUP(_xlfn.MINIFS('FIRE TEX 5090'!$Y$5:$Y$39,'FIRE TEX 5090'!$Y$5:$Y$39,"&gt;="&amp;M471),'FIRE TEX 5090'!$Y$5:$AD$39,IF(L471="F-15",2,IF(L471="F-30",3,IF(L471="F-60",4,IF(L471="F-90",5,IF(L471="F-120",6,IF(L471="F-150",7,0)))))),0),0)+IF(AND(O471="FIRE TEX 5120",OR(E471="IN",E471="C",E471="Z",E471="L"),J471=3),VLOOKUP(_xlfn.MINIFS('FIRE TEX 5120'!$B$5:$B$40,'FIRE TEX 5120'!$B$5:$B$40,"&gt;="&amp;M471),'FIRE TEX 5120'!$B$5:$G$40,IF(L471="F-15",2,IF(L471="F-30",3,IF(L471="F-60",4,IF(L471="F-90",5,IF(L471="F-120",6,0))))),0),0)+IF(AND(O471="FIRE TEX 5120",OR(E471="IN",E471="C",E471="Z",E471="L"),J471=4),VLOOKUP(_xlfn.MINIFS('FIRE TEX 5120'!$H$4:$H$40,'FIRE TEX 5120'!$H$4:$H$40,"&gt;="&amp;M471),'FIRE TEX 5120'!$H$4:$M$40,IF(L471="F-15",2,IF(L471="F-30",3,IF(L471="F-60",4,IF(L471="F-90",5,IF(L471="F-120",6,0))))),0),0)+IF(AND(O471="FIRE TEX 5120",E471="CJ"),VLOOKUP(_xlfn.MINIFS('FIRE TEX 5120'!$O$5:$O$40,'FIRE TEX 5120'!$O$5:$O$40,"&gt;="&amp;M471),'FIRE TEX 5120'!$O$5:$T$40,IF(L471="F-15",2,IF(L471="F-30",3,IF(L471="F-60",4,IF(L471="F-90",5,IF(L471="F-120",6,0))))),0),0)</f>
        <v>0</v>
      </c>
      <c r="Q471" s="46">
        <f t="shared" si="54"/>
        <v>0</v>
      </c>
      <c r="R471" s="46">
        <f t="shared" si="55"/>
        <v>0</v>
      </c>
      <c r="S471" s="46" t="e">
        <f t="shared" si="56"/>
        <v>#VALUE!</v>
      </c>
      <c r="T471" s="677">
        <f t="shared" si="57"/>
        <v>0</v>
      </c>
      <c r="U471" s="80">
        <f>(IF(O471="Stofire",(S471*#REF!),0))+(IF(O471="Fire Control",(S471*$U$2),0))+(IF(O471="Fire Tex",(S471*$U$3),0))+(IF(O471="WB7",(S471*#REF!),0)+(IF(O471="FX 2003",(S471*$U$5),0)))</f>
        <v>0</v>
      </c>
      <c r="V471" s="651">
        <f t="shared" si="58"/>
        <v>0</v>
      </c>
    </row>
    <row r="472" spans="4:22" x14ac:dyDescent="0.25">
      <c r="D472" s="118">
        <f>+CUBICACION!D471</f>
        <v>0</v>
      </c>
      <c r="E472" s="118">
        <f>+CUBICACION!F471</f>
        <v>0</v>
      </c>
      <c r="F472" s="118">
        <f>+CUBICACION!E471</f>
        <v>0</v>
      </c>
      <c r="G472" s="118">
        <v>12</v>
      </c>
      <c r="H472" s="118">
        <v>2</v>
      </c>
      <c r="I472" s="820">
        <v>26385</v>
      </c>
      <c r="J472" s="118">
        <f>+CUBICACION!J471</f>
        <v>0</v>
      </c>
      <c r="K472" s="118">
        <v>3251</v>
      </c>
      <c r="L472" s="118">
        <f>+CUBICACION!L471</f>
        <v>0</v>
      </c>
      <c r="M472" s="64">
        <f>+CUBICACION!M471</f>
        <v>0</v>
      </c>
      <c r="N472" s="824" t="str">
        <f>+CUBICACION!N471</f>
        <v/>
      </c>
      <c r="O472" s="675">
        <f>+CUBICACION!O471</f>
        <v>0</v>
      </c>
      <c r="P472" s="15">
        <f>IF(O472="Fire Control",VLOOKUP(_xlfn.MINIFS('FIRE CONTROL'!$C$4:$C$37,'FIRE CONTROL'!$C$4:$C$37,"&gt;="&amp;M472),'FIRE CONTROL'!$C$4:$G$37,IF(L472="F-15",2,IF(L472="F-30",3,IF(L472="F-60",4,IF(L472="F-90",5,0)))),0),0)+IF(AND(O472="FIRE TEX 5062",OR(E472="IN",E472="C",E472="Z",E472="L"),J472=3),VLOOKUP(_xlfn.MINIFS('FIRE TEX 5062'!$B$4:$B$34,'FIRE TEX 5062'!$B$4:$B$34,"&gt;="&amp;M472),'FIRE TEX 5062'!$B$4:$F$34,IF(L472="F-15",2,IF(L472="F-30",3,IF(L472="F-60",4,IF(L472="F-90",5,0)))),0),0)+IF(AND(O472="FIRE TEX 5062",OR(E472="IN",E472="C",E472="Z",E472="L"),J472=4),VLOOKUP(_xlfn.MINIFS('FIRE TEX 5062'!$G$4:$G$34,'FIRE TEX 5062'!$G$4:$G$34,"&gt;="&amp;M472),'FIRE TEX 5062'!$G$4:$K$34,IF(L472="F-15",2,IF(L472="F-30",3,IF(L472="F-60",4,IF(L472="F-90",5,0)))),0),0)+IF(AND(O472="FIRE TEX 5062",E472="CJ",J472=3),VLOOKUP(_xlfn.MINIFS('FIRE TEX 5062'!$L$4:$L$34,'FIRE TEX 5062'!$L$4:$L$34,"&gt;="&amp;M472),'FIRE TEX 5062'!$L$4:$P$34,IF(L472="F-15",2,IF(L472="F-30",3,IF(L472="F-60",4,IF(L472="F-90",5,0)))),0),0)+IF(AND(O472="FIRE TEX 5062",E472="CJ",J472=4),VLOOKUP(_xlfn.MINIFS('FIRE TEX 5062'!$Q$3:$Q$34,'FIRE TEX 5062'!$Q$3:$Q$34,"&gt;="&amp;M472),'FIRE TEX 5062'!$Q$3:$U$34,IF(L472="F-15",2,IF(L472="F-30",3,IF(L472="F-60",4,IF(L472="F-90",5,0)))),0),0)+IF(AND(O472="FIRE TEX 5090",OR(E472="IN",E472="C",E472="Z",E472="L"),J472=3),VLOOKUP(_xlfn.MINIFS('FIRE TEX 5090'!$B$5:$B$43,'FIRE TEX 5090'!$B$5:$B$43,"&gt;="&amp;M472),'FIRE TEX 5090'!$B$5:$H$43,IF(L472="F-15",2,IF(L472="F-30",3,IF(L472="F-60",4,IF(L472="F-90",5,IF(L472="F-120",6,IF(L472="F-150",7,0)))))),0),0)+IF(AND(O472="FIRE TEX 5090",OR(E472="IN",E472="C",E472="Z",E472="L"),J472=4),VLOOKUP(_xlfn.MINIFS('FIRE TEX 5090'!$J$5:$J$43,'FIRE TEX 5090'!$J$5:$J$43,"&gt;="&amp;M472),'FIRE TEX 5090'!$J$5:$P$43,IF(L472="F-15",2,IF(L472="F-30",3,IF(L472="F-60",4,IF(L472="F-90",5,IF(L472="F-120",6,IF(L472="F-150",7,0)))))),0),0)+IF(AND(O472="FIRE TEX 5090",E472="CJ",J472=3),VLOOKUP(_xlfn.MINIFS('FIRE TEX 5090'!$R$5:$R$30,'FIRE TEX 5090'!$R$5:$R$30,"&gt;="&amp;M472),'FIRE TEX 5090'!$R$5:$W$30,IF(L472="F-15",2,IF(L472="F-30",3,IF(L472="F-60",4,IF(L472="F-90",5,IF(L472="F-120",6,IF(L472="F-150",7,0)))))),0),0)+IF(AND(O472="FIRE TEX 5090",E472="CJ",J472=4),VLOOKUP(_xlfn.MINIFS('FIRE TEX 5090'!$Y$5:$Y$39,'FIRE TEX 5090'!$Y$5:$Y$39,"&gt;="&amp;M472),'FIRE TEX 5090'!$Y$5:$AD$39,IF(L472="F-15",2,IF(L472="F-30",3,IF(L472="F-60",4,IF(L472="F-90",5,IF(L472="F-120",6,IF(L472="F-150",7,0)))))),0),0)+IF(AND(O472="FIRE TEX 5120",OR(E472="IN",E472="C",E472="Z",E472="L"),J472=3),VLOOKUP(_xlfn.MINIFS('FIRE TEX 5120'!$B$5:$B$40,'FIRE TEX 5120'!$B$5:$B$40,"&gt;="&amp;M472),'FIRE TEX 5120'!$B$5:$G$40,IF(L472="F-15",2,IF(L472="F-30",3,IF(L472="F-60",4,IF(L472="F-90",5,IF(L472="F-120",6,0))))),0),0)+IF(AND(O472="FIRE TEX 5120",OR(E472="IN",E472="C",E472="Z",E472="L"),J472=4),VLOOKUP(_xlfn.MINIFS('FIRE TEX 5120'!$H$4:$H$40,'FIRE TEX 5120'!$H$4:$H$40,"&gt;="&amp;M472),'FIRE TEX 5120'!$H$4:$M$40,IF(L472="F-15",2,IF(L472="F-30",3,IF(L472="F-60",4,IF(L472="F-90",5,IF(L472="F-120",6,0))))),0),0)+IF(AND(O472="FIRE TEX 5120",E472="CJ"),VLOOKUP(_xlfn.MINIFS('FIRE TEX 5120'!$O$5:$O$40,'FIRE TEX 5120'!$O$5:$O$40,"&gt;="&amp;M472),'FIRE TEX 5120'!$O$5:$T$40,IF(L472="F-15",2,IF(L472="F-30",3,IF(L472="F-60",4,IF(L472="F-90",5,IF(L472="F-120",6,0))))),0),0)</f>
        <v>0</v>
      </c>
      <c r="Q472" s="46">
        <f t="shared" si="54"/>
        <v>0</v>
      </c>
      <c r="R472" s="46">
        <f t="shared" si="55"/>
        <v>0</v>
      </c>
      <c r="S472" s="46" t="e">
        <f t="shared" si="56"/>
        <v>#VALUE!</v>
      </c>
      <c r="T472" s="677">
        <f t="shared" si="57"/>
        <v>0</v>
      </c>
      <c r="U472" s="80">
        <f>(IF(O472="Stofire",(S472*#REF!),0))+(IF(O472="Fire Control",(S472*$U$2),0))+(IF(O472="Fire Tex",(S472*$U$3),0))+(IF(O472="WB7",(S472*#REF!),0)+(IF(O472="FX 2003",(S472*$U$5),0)))</f>
        <v>0</v>
      </c>
      <c r="V472" s="651">
        <f t="shared" si="58"/>
        <v>0</v>
      </c>
    </row>
    <row r="473" spans="4:22" x14ac:dyDescent="0.25">
      <c r="D473" s="118">
        <f>+CUBICACION!D472</f>
        <v>0</v>
      </c>
      <c r="E473" s="118">
        <f>+CUBICACION!F472</f>
        <v>0</v>
      </c>
      <c r="F473" s="118">
        <f>+CUBICACION!E472</f>
        <v>0</v>
      </c>
      <c r="G473" s="118">
        <v>12</v>
      </c>
      <c r="H473" s="118">
        <v>2</v>
      </c>
      <c r="I473" s="820">
        <v>26385</v>
      </c>
      <c r="J473" s="118">
        <f>+CUBICACION!J472</f>
        <v>0</v>
      </c>
      <c r="K473" s="118">
        <v>3252</v>
      </c>
      <c r="L473" s="118">
        <f>+CUBICACION!L472</f>
        <v>0</v>
      </c>
      <c r="M473" s="64">
        <f>+CUBICACION!M472</f>
        <v>0</v>
      </c>
      <c r="N473" s="824" t="str">
        <f>+CUBICACION!N472</f>
        <v/>
      </c>
      <c r="O473" s="675">
        <f>+CUBICACION!O472</f>
        <v>0</v>
      </c>
      <c r="P473" s="15">
        <f>IF(O473="Fire Control",VLOOKUP(_xlfn.MINIFS('FIRE CONTROL'!$C$4:$C$37,'FIRE CONTROL'!$C$4:$C$37,"&gt;="&amp;M473),'FIRE CONTROL'!$C$4:$G$37,IF(L473="F-15",2,IF(L473="F-30",3,IF(L473="F-60",4,IF(L473="F-90",5,0)))),0),0)+IF(AND(O473="FIRE TEX 5062",OR(E473="IN",E473="C",E473="Z",E473="L"),J473=3),VLOOKUP(_xlfn.MINIFS('FIRE TEX 5062'!$B$4:$B$34,'FIRE TEX 5062'!$B$4:$B$34,"&gt;="&amp;M473),'FIRE TEX 5062'!$B$4:$F$34,IF(L473="F-15",2,IF(L473="F-30",3,IF(L473="F-60",4,IF(L473="F-90",5,0)))),0),0)+IF(AND(O473="FIRE TEX 5062",OR(E473="IN",E473="C",E473="Z",E473="L"),J473=4),VLOOKUP(_xlfn.MINIFS('FIRE TEX 5062'!$G$4:$G$34,'FIRE TEX 5062'!$G$4:$G$34,"&gt;="&amp;M473),'FIRE TEX 5062'!$G$4:$K$34,IF(L473="F-15",2,IF(L473="F-30",3,IF(L473="F-60",4,IF(L473="F-90",5,0)))),0),0)+IF(AND(O473="FIRE TEX 5062",E473="CJ",J473=3),VLOOKUP(_xlfn.MINIFS('FIRE TEX 5062'!$L$4:$L$34,'FIRE TEX 5062'!$L$4:$L$34,"&gt;="&amp;M473),'FIRE TEX 5062'!$L$4:$P$34,IF(L473="F-15",2,IF(L473="F-30",3,IF(L473="F-60",4,IF(L473="F-90",5,0)))),0),0)+IF(AND(O473="FIRE TEX 5062",E473="CJ",J473=4),VLOOKUP(_xlfn.MINIFS('FIRE TEX 5062'!$Q$3:$Q$34,'FIRE TEX 5062'!$Q$3:$Q$34,"&gt;="&amp;M473),'FIRE TEX 5062'!$Q$3:$U$34,IF(L473="F-15",2,IF(L473="F-30",3,IF(L473="F-60",4,IF(L473="F-90",5,0)))),0),0)+IF(AND(O473="FIRE TEX 5090",OR(E473="IN",E473="C",E473="Z",E473="L"),J473=3),VLOOKUP(_xlfn.MINIFS('FIRE TEX 5090'!$B$5:$B$43,'FIRE TEX 5090'!$B$5:$B$43,"&gt;="&amp;M473),'FIRE TEX 5090'!$B$5:$H$43,IF(L473="F-15",2,IF(L473="F-30",3,IF(L473="F-60",4,IF(L473="F-90",5,IF(L473="F-120",6,IF(L473="F-150",7,0)))))),0),0)+IF(AND(O473="FIRE TEX 5090",OR(E473="IN",E473="C",E473="Z",E473="L"),J473=4),VLOOKUP(_xlfn.MINIFS('FIRE TEX 5090'!$J$5:$J$43,'FIRE TEX 5090'!$J$5:$J$43,"&gt;="&amp;M473),'FIRE TEX 5090'!$J$5:$P$43,IF(L473="F-15",2,IF(L473="F-30",3,IF(L473="F-60",4,IF(L473="F-90",5,IF(L473="F-120",6,IF(L473="F-150",7,0)))))),0),0)+IF(AND(O473="FIRE TEX 5090",E473="CJ",J473=3),VLOOKUP(_xlfn.MINIFS('FIRE TEX 5090'!$R$5:$R$30,'FIRE TEX 5090'!$R$5:$R$30,"&gt;="&amp;M473),'FIRE TEX 5090'!$R$5:$W$30,IF(L473="F-15",2,IF(L473="F-30",3,IF(L473="F-60",4,IF(L473="F-90",5,IF(L473="F-120",6,IF(L473="F-150",7,0)))))),0),0)+IF(AND(O473="FIRE TEX 5090",E473="CJ",J473=4),VLOOKUP(_xlfn.MINIFS('FIRE TEX 5090'!$Y$5:$Y$39,'FIRE TEX 5090'!$Y$5:$Y$39,"&gt;="&amp;M473),'FIRE TEX 5090'!$Y$5:$AD$39,IF(L473="F-15",2,IF(L473="F-30",3,IF(L473="F-60",4,IF(L473="F-90",5,IF(L473="F-120",6,IF(L473="F-150",7,0)))))),0),0)+IF(AND(O473="FIRE TEX 5120",OR(E473="IN",E473="C",E473="Z",E473="L"),J473=3),VLOOKUP(_xlfn.MINIFS('FIRE TEX 5120'!$B$5:$B$40,'FIRE TEX 5120'!$B$5:$B$40,"&gt;="&amp;M473),'FIRE TEX 5120'!$B$5:$G$40,IF(L473="F-15",2,IF(L473="F-30",3,IF(L473="F-60",4,IF(L473="F-90",5,IF(L473="F-120",6,0))))),0),0)+IF(AND(O473="FIRE TEX 5120",OR(E473="IN",E473="C",E473="Z",E473="L"),J473=4),VLOOKUP(_xlfn.MINIFS('FIRE TEX 5120'!$H$4:$H$40,'FIRE TEX 5120'!$H$4:$H$40,"&gt;="&amp;M473),'FIRE TEX 5120'!$H$4:$M$40,IF(L473="F-15",2,IF(L473="F-30",3,IF(L473="F-60",4,IF(L473="F-90",5,IF(L473="F-120",6,0))))),0),0)+IF(AND(O473="FIRE TEX 5120",E473="CJ"),VLOOKUP(_xlfn.MINIFS('FIRE TEX 5120'!$O$5:$O$40,'FIRE TEX 5120'!$O$5:$O$40,"&gt;="&amp;M473),'FIRE TEX 5120'!$O$5:$T$40,IF(L473="F-15",2,IF(L473="F-30",3,IF(L473="F-60",4,IF(L473="F-90",5,IF(L473="F-120",6,0))))),0),0)</f>
        <v>0</v>
      </c>
      <c r="Q473" s="46">
        <f t="shared" si="54"/>
        <v>0</v>
      </c>
      <c r="R473" s="46">
        <f t="shared" si="55"/>
        <v>0</v>
      </c>
      <c r="S473" s="46" t="e">
        <f t="shared" si="56"/>
        <v>#VALUE!</v>
      </c>
      <c r="T473" s="677">
        <f t="shared" si="57"/>
        <v>0</v>
      </c>
      <c r="U473" s="80">
        <f>(IF(O473="Stofire",(S473*#REF!),0))+(IF(O473="Fire Control",(S473*$U$2),0))+(IF(O473="Fire Tex",(S473*$U$3),0))+(IF(O473="WB7",(S473*#REF!),0)+(IF(O473="FX 2003",(S473*$U$5),0)))</f>
        <v>0</v>
      </c>
      <c r="V473" s="651">
        <f t="shared" si="58"/>
        <v>0</v>
      </c>
    </row>
    <row r="474" spans="4:22" x14ac:dyDescent="0.25">
      <c r="D474" s="118">
        <f>+CUBICACION!D473</f>
        <v>0</v>
      </c>
      <c r="E474" s="118">
        <f>+CUBICACION!F473</f>
        <v>0</v>
      </c>
      <c r="F474" s="118">
        <f>+CUBICACION!E473</f>
        <v>0</v>
      </c>
      <c r="G474" s="118">
        <v>12</v>
      </c>
      <c r="H474" s="118">
        <v>2</v>
      </c>
      <c r="I474" s="820">
        <v>26385</v>
      </c>
      <c r="J474" s="118">
        <f>+CUBICACION!J473</f>
        <v>0</v>
      </c>
      <c r="K474" s="118">
        <v>3253</v>
      </c>
      <c r="L474" s="118">
        <f>+CUBICACION!L473</f>
        <v>0</v>
      </c>
      <c r="M474" s="64">
        <f>+CUBICACION!M473</f>
        <v>0</v>
      </c>
      <c r="N474" s="824" t="str">
        <f>+CUBICACION!N473</f>
        <v/>
      </c>
      <c r="O474" s="675">
        <f>+CUBICACION!O473</f>
        <v>0</v>
      </c>
      <c r="P474" s="15">
        <f>IF(O474="Fire Control",VLOOKUP(_xlfn.MINIFS('FIRE CONTROL'!$C$4:$C$37,'FIRE CONTROL'!$C$4:$C$37,"&gt;="&amp;M474),'FIRE CONTROL'!$C$4:$G$37,IF(L474="F-15",2,IF(L474="F-30",3,IF(L474="F-60",4,IF(L474="F-90",5,0)))),0),0)+IF(AND(O474="FIRE TEX 5062",OR(E474="IN",E474="C",E474="Z",E474="L"),J474=3),VLOOKUP(_xlfn.MINIFS('FIRE TEX 5062'!$B$4:$B$34,'FIRE TEX 5062'!$B$4:$B$34,"&gt;="&amp;M474),'FIRE TEX 5062'!$B$4:$F$34,IF(L474="F-15",2,IF(L474="F-30",3,IF(L474="F-60",4,IF(L474="F-90",5,0)))),0),0)+IF(AND(O474="FIRE TEX 5062",OR(E474="IN",E474="C",E474="Z",E474="L"),J474=4),VLOOKUP(_xlfn.MINIFS('FIRE TEX 5062'!$G$4:$G$34,'FIRE TEX 5062'!$G$4:$G$34,"&gt;="&amp;M474),'FIRE TEX 5062'!$G$4:$K$34,IF(L474="F-15",2,IF(L474="F-30",3,IF(L474="F-60",4,IF(L474="F-90",5,0)))),0),0)+IF(AND(O474="FIRE TEX 5062",E474="CJ",J474=3),VLOOKUP(_xlfn.MINIFS('FIRE TEX 5062'!$L$4:$L$34,'FIRE TEX 5062'!$L$4:$L$34,"&gt;="&amp;M474),'FIRE TEX 5062'!$L$4:$P$34,IF(L474="F-15",2,IF(L474="F-30",3,IF(L474="F-60",4,IF(L474="F-90",5,0)))),0),0)+IF(AND(O474="FIRE TEX 5062",E474="CJ",J474=4),VLOOKUP(_xlfn.MINIFS('FIRE TEX 5062'!$Q$3:$Q$34,'FIRE TEX 5062'!$Q$3:$Q$34,"&gt;="&amp;M474),'FIRE TEX 5062'!$Q$3:$U$34,IF(L474="F-15",2,IF(L474="F-30",3,IF(L474="F-60",4,IF(L474="F-90",5,0)))),0),0)+IF(AND(O474="FIRE TEX 5090",OR(E474="IN",E474="C",E474="Z",E474="L"),J474=3),VLOOKUP(_xlfn.MINIFS('FIRE TEX 5090'!$B$5:$B$43,'FIRE TEX 5090'!$B$5:$B$43,"&gt;="&amp;M474),'FIRE TEX 5090'!$B$5:$H$43,IF(L474="F-15",2,IF(L474="F-30",3,IF(L474="F-60",4,IF(L474="F-90",5,IF(L474="F-120",6,IF(L474="F-150",7,0)))))),0),0)+IF(AND(O474="FIRE TEX 5090",OR(E474="IN",E474="C",E474="Z",E474="L"),J474=4),VLOOKUP(_xlfn.MINIFS('FIRE TEX 5090'!$J$5:$J$43,'FIRE TEX 5090'!$J$5:$J$43,"&gt;="&amp;M474),'FIRE TEX 5090'!$J$5:$P$43,IF(L474="F-15",2,IF(L474="F-30",3,IF(L474="F-60",4,IF(L474="F-90",5,IF(L474="F-120",6,IF(L474="F-150",7,0)))))),0),0)+IF(AND(O474="FIRE TEX 5090",E474="CJ",J474=3),VLOOKUP(_xlfn.MINIFS('FIRE TEX 5090'!$R$5:$R$30,'FIRE TEX 5090'!$R$5:$R$30,"&gt;="&amp;M474),'FIRE TEX 5090'!$R$5:$W$30,IF(L474="F-15",2,IF(L474="F-30",3,IF(L474="F-60",4,IF(L474="F-90",5,IF(L474="F-120",6,IF(L474="F-150",7,0)))))),0),0)+IF(AND(O474="FIRE TEX 5090",E474="CJ",J474=4),VLOOKUP(_xlfn.MINIFS('FIRE TEX 5090'!$Y$5:$Y$39,'FIRE TEX 5090'!$Y$5:$Y$39,"&gt;="&amp;M474),'FIRE TEX 5090'!$Y$5:$AD$39,IF(L474="F-15",2,IF(L474="F-30",3,IF(L474="F-60",4,IF(L474="F-90",5,IF(L474="F-120",6,IF(L474="F-150",7,0)))))),0),0)+IF(AND(O474="FIRE TEX 5120",OR(E474="IN",E474="C",E474="Z",E474="L"),J474=3),VLOOKUP(_xlfn.MINIFS('FIRE TEX 5120'!$B$5:$B$40,'FIRE TEX 5120'!$B$5:$B$40,"&gt;="&amp;M474),'FIRE TEX 5120'!$B$5:$G$40,IF(L474="F-15",2,IF(L474="F-30",3,IF(L474="F-60",4,IF(L474="F-90",5,IF(L474="F-120",6,0))))),0),0)+IF(AND(O474="FIRE TEX 5120",OR(E474="IN",E474="C",E474="Z",E474="L"),J474=4),VLOOKUP(_xlfn.MINIFS('FIRE TEX 5120'!$H$4:$H$40,'FIRE TEX 5120'!$H$4:$H$40,"&gt;="&amp;M474),'FIRE TEX 5120'!$H$4:$M$40,IF(L474="F-15",2,IF(L474="F-30",3,IF(L474="F-60",4,IF(L474="F-90",5,IF(L474="F-120",6,0))))),0),0)+IF(AND(O474="FIRE TEX 5120",E474="CJ"),VLOOKUP(_xlfn.MINIFS('FIRE TEX 5120'!$O$5:$O$40,'FIRE TEX 5120'!$O$5:$O$40,"&gt;="&amp;M474),'FIRE TEX 5120'!$O$5:$T$40,IF(L474="F-15",2,IF(L474="F-30",3,IF(L474="F-60",4,IF(L474="F-90",5,IF(L474="F-120",6,0))))),0),0)</f>
        <v>0</v>
      </c>
      <c r="Q474" s="46">
        <f t="shared" si="54"/>
        <v>0</v>
      </c>
      <c r="R474" s="46">
        <f t="shared" si="55"/>
        <v>0</v>
      </c>
      <c r="S474" s="46" t="e">
        <f t="shared" si="56"/>
        <v>#VALUE!</v>
      </c>
      <c r="T474" s="677">
        <f t="shared" si="57"/>
        <v>0</v>
      </c>
      <c r="U474" s="80">
        <f>(IF(O474="Stofire",(S474*#REF!),0))+(IF(O474="Fire Control",(S474*$U$2),0))+(IF(O474="Fire Tex",(S474*$U$3),0))+(IF(O474="WB7",(S474*#REF!),0)+(IF(O474="FX 2003",(S474*$U$5),0)))</f>
        <v>0</v>
      </c>
      <c r="V474" s="651">
        <f t="shared" si="58"/>
        <v>0</v>
      </c>
    </row>
    <row r="475" spans="4:22" x14ac:dyDescent="0.25">
      <c r="D475" s="118">
        <f>+CUBICACION!D474</f>
        <v>0</v>
      </c>
      <c r="E475" s="118">
        <f>+CUBICACION!F474</f>
        <v>0</v>
      </c>
      <c r="F475" s="118">
        <f>+CUBICACION!E474</f>
        <v>0</v>
      </c>
      <c r="G475" s="118">
        <v>12</v>
      </c>
      <c r="H475" s="118">
        <v>2</v>
      </c>
      <c r="I475" s="820">
        <v>26385</v>
      </c>
      <c r="J475" s="118">
        <f>+CUBICACION!J474</f>
        <v>0</v>
      </c>
      <c r="K475" s="118">
        <v>3254</v>
      </c>
      <c r="L475" s="118">
        <f>+CUBICACION!L474</f>
        <v>0</v>
      </c>
      <c r="M475" s="64">
        <f>+CUBICACION!M474</f>
        <v>0</v>
      </c>
      <c r="N475" s="824" t="str">
        <f>+CUBICACION!N474</f>
        <v/>
      </c>
      <c r="O475" s="675">
        <f>+CUBICACION!O474</f>
        <v>0</v>
      </c>
      <c r="P475" s="15">
        <f>IF(O475="Fire Control",VLOOKUP(_xlfn.MINIFS('FIRE CONTROL'!$C$4:$C$37,'FIRE CONTROL'!$C$4:$C$37,"&gt;="&amp;M475),'FIRE CONTROL'!$C$4:$G$37,IF(L475="F-15",2,IF(L475="F-30",3,IF(L475="F-60",4,IF(L475="F-90",5,0)))),0),0)+IF(AND(O475="FIRE TEX 5062",OR(E475="IN",E475="C",E475="Z",E475="L"),J475=3),VLOOKUP(_xlfn.MINIFS('FIRE TEX 5062'!$B$4:$B$34,'FIRE TEX 5062'!$B$4:$B$34,"&gt;="&amp;M475),'FIRE TEX 5062'!$B$4:$F$34,IF(L475="F-15",2,IF(L475="F-30",3,IF(L475="F-60",4,IF(L475="F-90",5,0)))),0),0)+IF(AND(O475="FIRE TEX 5062",OR(E475="IN",E475="C",E475="Z",E475="L"),J475=4),VLOOKUP(_xlfn.MINIFS('FIRE TEX 5062'!$G$4:$G$34,'FIRE TEX 5062'!$G$4:$G$34,"&gt;="&amp;M475),'FIRE TEX 5062'!$G$4:$K$34,IF(L475="F-15",2,IF(L475="F-30",3,IF(L475="F-60",4,IF(L475="F-90",5,0)))),0),0)+IF(AND(O475="FIRE TEX 5062",E475="CJ",J475=3),VLOOKUP(_xlfn.MINIFS('FIRE TEX 5062'!$L$4:$L$34,'FIRE TEX 5062'!$L$4:$L$34,"&gt;="&amp;M475),'FIRE TEX 5062'!$L$4:$P$34,IF(L475="F-15",2,IF(L475="F-30",3,IF(L475="F-60",4,IF(L475="F-90",5,0)))),0),0)+IF(AND(O475="FIRE TEX 5062",E475="CJ",J475=4),VLOOKUP(_xlfn.MINIFS('FIRE TEX 5062'!$Q$3:$Q$34,'FIRE TEX 5062'!$Q$3:$Q$34,"&gt;="&amp;M475),'FIRE TEX 5062'!$Q$3:$U$34,IF(L475="F-15",2,IF(L475="F-30",3,IF(L475="F-60",4,IF(L475="F-90",5,0)))),0),0)+IF(AND(O475="FIRE TEX 5090",OR(E475="IN",E475="C",E475="Z",E475="L"),J475=3),VLOOKUP(_xlfn.MINIFS('FIRE TEX 5090'!$B$5:$B$43,'FIRE TEX 5090'!$B$5:$B$43,"&gt;="&amp;M475),'FIRE TEX 5090'!$B$5:$H$43,IF(L475="F-15",2,IF(L475="F-30",3,IF(L475="F-60",4,IF(L475="F-90",5,IF(L475="F-120",6,IF(L475="F-150",7,0)))))),0),0)+IF(AND(O475="FIRE TEX 5090",OR(E475="IN",E475="C",E475="Z",E475="L"),J475=4),VLOOKUP(_xlfn.MINIFS('FIRE TEX 5090'!$J$5:$J$43,'FIRE TEX 5090'!$J$5:$J$43,"&gt;="&amp;M475),'FIRE TEX 5090'!$J$5:$P$43,IF(L475="F-15",2,IF(L475="F-30",3,IF(L475="F-60",4,IF(L475="F-90",5,IF(L475="F-120",6,IF(L475="F-150",7,0)))))),0),0)+IF(AND(O475="FIRE TEX 5090",E475="CJ",J475=3),VLOOKUP(_xlfn.MINIFS('FIRE TEX 5090'!$R$5:$R$30,'FIRE TEX 5090'!$R$5:$R$30,"&gt;="&amp;M475),'FIRE TEX 5090'!$R$5:$W$30,IF(L475="F-15",2,IF(L475="F-30",3,IF(L475="F-60",4,IF(L475="F-90",5,IF(L475="F-120",6,IF(L475="F-150",7,0)))))),0),0)+IF(AND(O475="FIRE TEX 5090",E475="CJ",J475=4),VLOOKUP(_xlfn.MINIFS('FIRE TEX 5090'!$Y$5:$Y$39,'FIRE TEX 5090'!$Y$5:$Y$39,"&gt;="&amp;M475),'FIRE TEX 5090'!$Y$5:$AD$39,IF(L475="F-15",2,IF(L475="F-30",3,IF(L475="F-60",4,IF(L475="F-90",5,IF(L475="F-120",6,IF(L475="F-150",7,0)))))),0),0)+IF(AND(O475="FIRE TEX 5120",OR(E475="IN",E475="C",E475="Z",E475="L"),J475=3),VLOOKUP(_xlfn.MINIFS('FIRE TEX 5120'!$B$5:$B$40,'FIRE TEX 5120'!$B$5:$B$40,"&gt;="&amp;M475),'FIRE TEX 5120'!$B$5:$G$40,IF(L475="F-15",2,IF(L475="F-30",3,IF(L475="F-60",4,IF(L475="F-90",5,IF(L475="F-120",6,0))))),0),0)+IF(AND(O475="FIRE TEX 5120",OR(E475="IN",E475="C",E475="Z",E475="L"),J475=4),VLOOKUP(_xlfn.MINIFS('FIRE TEX 5120'!$H$4:$H$40,'FIRE TEX 5120'!$H$4:$H$40,"&gt;="&amp;M475),'FIRE TEX 5120'!$H$4:$M$40,IF(L475="F-15",2,IF(L475="F-30",3,IF(L475="F-60",4,IF(L475="F-90",5,IF(L475="F-120",6,0))))),0),0)+IF(AND(O475="FIRE TEX 5120",E475="CJ"),VLOOKUP(_xlfn.MINIFS('FIRE TEX 5120'!$O$5:$O$40,'FIRE TEX 5120'!$O$5:$O$40,"&gt;="&amp;M475),'FIRE TEX 5120'!$O$5:$T$40,IF(L475="F-15",2,IF(L475="F-30",3,IF(L475="F-60",4,IF(L475="F-90",5,IF(L475="F-120",6,0))))),0),0)</f>
        <v>0</v>
      </c>
      <c r="Q475" s="46">
        <f t="shared" si="54"/>
        <v>0</v>
      </c>
      <c r="R475" s="46">
        <f t="shared" si="55"/>
        <v>0</v>
      </c>
      <c r="S475" s="46" t="e">
        <f t="shared" si="56"/>
        <v>#VALUE!</v>
      </c>
      <c r="T475" s="677">
        <f t="shared" si="57"/>
        <v>0</v>
      </c>
      <c r="U475" s="80">
        <f>(IF(O475="Stofire",(S475*#REF!),0))+(IF(O475="Fire Control",(S475*$U$2),0))+(IF(O475="Fire Tex",(S475*$U$3),0))+(IF(O475="WB7",(S475*#REF!),0)+(IF(O475="FX 2003",(S475*$U$5),0)))</f>
        <v>0</v>
      </c>
      <c r="V475" s="651">
        <f t="shared" si="58"/>
        <v>0</v>
      </c>
    </row>
    <row r="476" spans="4:22" x14ac:dyDescent="0.25">
      <c r="D476" s="118">
        <f>+CUBICACION!D475</f>
        <v>0</v>
      </c>
      <c r="E476" s="118">
        <f>+CUBICACION!F475</f>
        <v>0</v>
      </c>
      <c r="F476" s="118">
        <f>+CUBICACION!E475</f>
        <v>0</v>
      </c>
      <c r="G476" s="118">
        <v>12</v>
      </c>
      <c r="H476" s="118">
        <v>2</v>
      </c>
      <c r="I476" s="820">
        <v>26385</v>
      </c>
      <c r="J476" s="118">
        <f>+CUBICACION!J475</f>
        <v>0</v>
      </c>
      <c r="K476" s="118">
        <v>3255</v>
      </c>
      <c r="L476" s="118">
        <f>+CUBICACION!L475</f>
        <v>0</v>
      </c>
      <c r="M476" s="64">
        <f>+CUBICACION!M475</f>
        <v>0</v>
      </c>
      <c r="N476" s="824" t="str">
        <f>+CUBICACION!N475</f>
        <v/>
      </c>
      <c r="O476" s="675">
        <f>+CUBICACION!O475</f>
        <v>0</v>
      </c>
      <c r="P476" s="15">
        <f>IF(O476="Fire Control",VLOOKUP(_xlfn.MINIFS('FIRE CONTROL'!$C$4:$C$37,'FIRE CONTROL'!$C$4:$C$37,"&gt;="&amp;M476),'FIRE CONTROL'!$C$4:$G$37,IF(L476="F-15",2,IF(L476="F-30",3,IF(L476="F-60",4,IF(L476="F-90",5,0)))),0),0)+IF(AND(O476="FIRE TEX 5062",OR(E476="IN",E476="C",E476="Z",E476="L"),J476=3),VLOOKUP(_xlfn.MINIFS('FIRE TEX 5062'!$B$4:$B$34,'FIRE TEX 5062'!$B$4:$B$34,"&gt;="&amp;M476),'FIRE TEX 5062'!$B$4:$F$34,IF(L476="F-15",2,IF(L476="F-30",3,IF(L476="F-60",4,IF(L476="F-90",5,0)))),0),0)+IF(AND(O476="FIRE TEX 5062",OR(E476="IN",E476="C",E476="Z",E476="L"),J476=4),VLOOKUP(_xlfn.MINIFS('FIRE TEX 5062'!$G$4:$G$34,'FIRE TEX 5062'!$G$4:$G$34,"&gt;="&amp;M476),'FIRE TEX 5062'!$G$4:$K$34,IF(L476="F-15",2,IF(L476="F-30",3,IF(L476="F-60",4,IF(L476="F-90",5,0)))),0),0)+IF(AND(O476="FIRE TEX 5062",E476="CJ",J476=3),VLOOKUP(_xlfn.MINIFS('FIRE TEX 5062'!$L$4:$L$34,'FIRE TEX 5062'!$L$4:$L$34,"&gt;="&amp;M476),'FIRE TEX 5062'!$L$4:$P$34,IF(L476="F-15",2,IF(L476="F-30",3,IF(L476="F-60",4,IF(L476="F-90",5,0)))),0),0)+IF(AND(O476="FIRE TEX 5062",E476="CJ",J476=4),VLOOKUP(_xlfn.MINIFS('FIRE TEX 5062'!$Q$3:$Q$34,'FIRE TEX 5062'!$Q$3:$Q$34,"&gt;="&amp;M476),'FIRE TEX 5062'!$Q$3:$U$34,IF(L476="F-15",2,IF(L476="F-30",3,IF(L476="F-60",4,IF(L476="F-90",5,0)))),0),0)+IF(AND(O476="FIRE TEX 5090",OR(E476="IN",E476="C",E476="Z",E476="L"),J476=3),VLOOKUP(_xlfn.MINIFS('FIRE TEX 5090'!$B$5:$B$43,'FIRE TEX 5090'!$B$5:$B$43,"&gt;="&amp;M476),'FIRE TEX 5090'!$B$5:$H$43,IF(L476="F-15",2,IF(L476="F-30",3,IF(L476="F-60",4,IF(L476="F-90",5,IF(L476="F-120",6,IF(L476="F-150",7,0)))))),0),0)+IF(AND(O476="FIRE TEX 5090",OR(E476="IN",E476="C",E476="Z",E476="L"),J476=4),VLOOKUP(_xlfn.MINIFS('FIRE TEX 5090'!$J$5:$J$43,'FIRE TEX 5090'!$J$5:$J$43,"&gt;="&amp;M476),'FIRE TEX 5090'!$J$5:$P$43,IF(L476="F-15",2,IF(L476="F-30",3,IF(L476="F-60",4,IF(L476="F-90",5,IF(L476="F-120",6,IF(L476="F-150",7,0)))))),0),0)+IF(AND(O476="FIRE TEX 5090",E476="CJ",J476=3),VLOOKUP(_xlfn.MINIFS('FIRE TEX 5090'!$R$5:$R$30,'FIRE TEX 5090'!$R$5:$R$30,"&gt;="&amp;M476),'FIRE TEX 5090'!$R$5:$W$30,IF(L476="F-15",2,IF(L476="F-30",3,IF(L476="F-60",4,IF(L476="F-90",5,IF(L476="F-120",6,IF(L476="F-150",7,0)))))),0),0)+IF(AND(O476="FIRE TEX 5090",E476="CJ",J476=4),VLOOKUP(_xlfn.MINIFS('FIRE TEX 5090'!$Y$5:$Y$39,'FIRE TEX 5090'!$Y$5:$Y$39,"&gt;="&amp;M476),'FIRE TEX 5090'!$Y$5:$AD$39,IF(L476="F-15",2,IF(L476="F-30",3,IF(L476="F-60",4,IF(L476="F-90",5,IF(L476="F-120",6,IF(L476="F-150",7,0)))))),0),0)+IF(AND(O476="FIRE TEX 5120",OR(E476="IN",E476="C",E476="Z",E476="L"),J476=3),VLOOKUP(_xlfn.MINIFS('FIRE TEX 5120'!$B$5:$B$40,'FIRE TEX 5120'!$B$5:$B$40,"&gt;="&amp;M476),'FIRE TEX 5120'!$B$5:$G$40,IF(L476="F-15",2,IF(L476="F-30",3,IF(L476="F-60",4,IF(L476="F-90",5,IF(L476="F-120",6,0))))),0),0)+IF(AND(O476="FIRE TEX 5120",OR(E476="IN",E476="C",E476="Z",E476="L"),J476=4),VLOOKUP(_xlfn.MINIFS('FIRE TEX 5120'!$H$4:$H$40,'FIRE TEX 5120'!$H$4:$H$40,"&gt;="&amp;M476),'FIRE TEX 5120'!$H$4:$M$40,IF(L476="F-15",2,IF(L476="F-30",3,IF(L476="F-60",4,IF(L476="F-90",5,IF(L476="F-120",6,0))))),0),0)+IF(AND(O476="FIRE TEX 5120",E476="CJ"),VLOOKUP(_xlfn.MINIFS('FIRE TEX 5120'!$O$5:$O$40,'FIRE TEX 5120'!$O$5:$O$40,"&gt;="&amp;M476),'FIRE TEX 5120'!$O$5:$T$40,IF(L476="F-15",2,IF(L476="F-30",3,IF(L476="F-60",4,IF(L476="F-90",5,IF(L476="F-120",6,0))))),0),0)</f>
        <v>0</v>
      </c>
      <c r="Q476" s="46">
        <f t="shared" si="54"/>
        <v>0</v>
      </c>
      <c r="R476" s="46">
        <f t="shared" si="55"/>
        <v>0</v>
      </c>
      <c r="S476" s="46" t="e">
        <f t="shared" si="56"/>
        <v>#VALUE!</v>
      </c>
      <c r="T476" s="677">
        <f t="shared" si="57"/>
        <v>0</v>
      </c>
      <c r="U476" s="80">
        <f>(IF(O476="Stofire",(S476*#REF!),0))+(IF(O476="Fire Control",(S476*$U$2),0))+(IF(O476="Fire Tex",(S476*$U$3),0))+(IF(O476="WB7",(S476*#REF!),0)+(IF(O476="FX 2003",(S476*$U$5),0)))</f>
        <v>0</v>
      </c>
      <c r="V476" s="651">
        <f t="shared" si="58"/>
        <v>0</v>
      </c>
    </row>
    <row r="477" spans="4:22" x14ac:dyDescent="0.25">
      <c r="D477" s="118">
        <f>+CUBICACION!D476</f>
        <v>0</v>
      </c>
      <c r="E477" s="118">
        <f>+CUBICACION!F476</f>
        <v>0</v>
      </c>
      <c r="F477" s="118">
        <f>+CUBICACION!E476</f>
        <v>0</v>
      </c>
      <c r="G477" s="118">
        <v>12</v>
      </c>
      <c r="H477" s="118">
        <v>2</v>
      </c>
      <c r="I477" s="820">
        <v>26385</v>
      </c>
      <c r="J477" s="118">
        <f>+CUBICACION!J476</f>
        <v>0</v>
      </c>
      <c r="K477" s="118">
        <v>3256</v>
      </c>
      <c r="L477" s="118">
        <f>+CUBICACION!L476</f>
        <v>0</v>
      </c>
      <c r="M477" s="64">
        <f>+CUBICACION!M476</f>
        <v>0</v>
      </c>
      <c r="N477" s="824" t="str">
        <f>+CUBICACION!N476</f>
        <v/>
      </c>
      <c r="O477" s="675">
        <f>+CUBICACION!O476</f>
        <v>0</v>
      </c>
      <c r="P477" s="15">
        <f>IF(O477="Fire Control",VLOOKUP(_xlfn.MINIFS('FIRE CONTROL'!$C$4:$C$37,'FIRE CONTROL'!$C$4:$C$37,"&gt;="&amp;M477),'FIRE CONTROL'!$C$4:$G$37,IF(L477="F-15",2,IF(L477="F-30",3,IF(L477="F-60",4,IF(L477="F-90",5,0)))),0),0)+IF(AND(O477="FIRE TEX 5062",OR(E477="IN",E477="C",E477="Z",E477="L"),J477=3),VLOOKUP(_xlfn.MINIFS('FIRE TEX 5062'!$B$4:$B$34,'FIRE TEX 5062'!$B$4:$B$34,"&gt;="&amp;M477),'FIRE TEX 5062'!$B$4:$F$34,IF(L477="F-15",2,IF(L477="F-30",3,IF(L477="F-60",4,IF(L477="F-90",5,0)))),0),0)+IF(AND(O477="FIRE TEX 5062",OR(E477="IN",E477="C",E477="Z",E477="L"),J477=4),VLOOKUP(_xlfn.MINIFS('FIRE TEX 5062'!$G$4:$G$34,'FIRE TEX 5062'!$G$4:$G$34,"&gt;="&amp;M477),'FIRE TEX 5062'!$G$4:$K$34,IF(L477="F-15",2,IF(L477="F-30",3,IF(L477="F-60",4,IF(L477="F-90",5,0)))),0),0)+IF(AND(O477="FIRE TEX 5062",E477="CJ",J477=3),VLOOKUP(_xlfn.MINIFS('FIRE TEX 5062'!$L$4:$L$34,'FIRE TEX 5062'!$L$4:$L$34,"&gt;="&amp;M477),'FIRE TEX 5062'!$L$4:$P$34,IF(L477="F-15",2,IF(L477="F-30",3,IF(L477="F-60",4,IF(L477="F-90",5,0)))),0),0)+IF(AND(O477="FIRE TEX 5062",E477="CJ",J477=4),VLOOKUP(_xlfn.MINIFS('FIRE TEX 5062'!$Q$3:$Q$34,'FIRE TEX 5062'!$Q$3:$Q$34,"&gt;="&amp;M477),'FIRE TEX 5062'!$Q$3:$U$34,IF(L477="F-15",2,IF(L477="F-30",3,IF(L477="F-60",4,IF(L477="F-90",5,0)))),0),0)+IF(AND(O477="FIRE TEX 5090",OR(E477="IN",E477="C",E477="Z",E477="L"),J477=3),VLOOKUP(_xlfn.MINIFS('FIRE TEX 5090'!$B$5:$B$43,'FIRE TEX 5090'!$B$5:$B$43,"&gt;="&amp;M477),'FIRE TEX 5090'!$B$5:$H$43,IF(L477="F-15",2,IF(L477="F-30",3,IF(L477="F-60",4,IF(L477="F-90",5,IF(L477="F-120",6,IF(L477="F-150",7,0)))))),0),0)+IF(AND(O477="FIRE TEX 5090",OR(E477="IN",E477="C",E477="Z",E477="L"),J477=4),VLOOKUP(_xlfn.MINIFS('FIRE TEX 5090'!$J$5:$J$43,'FIRE TEX 5090'!$J$5:$J$43,"&gt;="&amp;M477),'FIRE TEX 5090'!$J$5:$P$43,IF(L477="F-15",2,IF(L477="F-30",3,IF(L477="F-60",4,IF(L477="F-90",5,IF(L477="F-120",6,IF(L477="F-150",7,0)))))),0),0)+IF(AND(O477="FIRE TEX 5090",E477="CJ",J477=3),VLOOKUP(_xlfn.MINIFS('FIRE TEX 5090'!$R$5:$R$30,'FIRE TEX 5090'!$R$5:$R$30,"&gt;="&amp;M477),'FIRE TEX 5090'!$R$5:$W$30,IF(L477="F-15",2,IF(L477="F-30",3,IF(L477="F-60",4,IF(L477="F-90",5,IF(L477="F-120",6,IF(L477="F-150",7,0)))))),0),0)+IF(AND(O477="FIRE TEX 5090",E477="CJ",J477=4),VLOOKUP(_xlfn.MINIFS('FIRE TEX 5090'!$Y$5:$Y$39,'FIRE TEX 5090'!$Y$5:$Y$39,"&gt;="&amp;M477),'FIRE TEX 5090'!$Y$5:$AD$39,IF(L477="F-15",2,IF(L477="F-30",3,IF(L477="F-60",4,IF(L477="F-90",5,IF(L477="F-120",6,IF(L477="F-150",7,0)))))),0),0)+IF(AND(O477="FIRE TEX 5120",OR(E477="IN",E477="C",E477="Z",E477="L"),J477=3),VLOOKUP(_xlfn.MINIFS('FIRE TEX 5120'!$B$5:$B$40,'FIRE TEX 5120'!$B$5:$B$40,"&gt;="&amp;M477),'FIRE TEX 5120'!$B$5:$G$40,IF(L477="F-15",2,IF(L477="F-30",3,IF(L477="F-60",4,IF(L477="F-90",5,IF(L477="F-120",6,0))))),0),0)+IF(AND(O477="FIRE TEX 5120",OR(E477="IN",E477="C",E477="Z",E477="L"),J477=4),VLOOKUP(_xlfn.MINIFS('FIRE TEX 5120'!$H$4:$H$40,'FIRE TEX 5120'!$H$4:$H$40,"&gt;="&amp;M477),'FIRE TEX 5120'!$H$4:$M$40,IF(L477="F-15",2,IF(L477="F-30",3,IF(L477="F-60",4,IF(L477="F-90",5,IF(L477="F-120",6,0))))),0),0)+IF(AND(O477="FIRE TEX 5120",E477="CJ"),VLOOKUP(_xlfn.MINIFS('FIRE TEX 5120'!$O$5:$O$40,'FIRE TEX 5120'!$O$5:$O$40,"&gt;="&amp;M477),'FIRE TEX 5120'!$O$5:$T$40,IF(L477="F-15",2,IF(L477="F-30",3,IF(L477="F-60",4,IF(L477="F-90",5,IF(L477="F-120",6,0))))),0),0)</f>
        <v>0</v>
      </c>
      <c r="Q477" s="46">
        <f t="shared" si="54"/>
        <v>0</v>
      </c>
      <c r="R477" s="46">
        <f t="shared" si="55"/>
        <v>0</v>
      </c>
      <c r="S477" s="46" t="e">
        <f t="shared" si="56"/>
        <v>#VALUE!</v>
      </c>
      <c r="T477" s="677">
        <f t="shared" si="57"/>
        <v>0</v>
      </c>
      <c r="U477" s="80">
        <f>(IF(O477="Stofire",(S477*#REF!),0))+(IF(O477="Fire Control",(S477*$U$2),0))+(IF(O477="Fire Tex",(S477*$U$3),0))+(IF(O477="WB7",(S477*#REF!),0)+(IF(O477="FX 2003",(S477*$U$5),0)))</f>
        <v>0</v>
      </c>
      <c r="V477" s="651">
        <f t="shared" si="58"/>
        <v>0</v>
      </c>
    </row>
    <row r="478" spans="4:22" x14ac:dyDescent="0.25">
      <c r="D478" s="118">
        <f>+CUBICACION!D477</f>
        <v>0</v>
      </c>
      <c r="E478" s="118">
        <f>+CUBICACION!F477</f>
        <v>0</v>
      </c>
      <c r="F478" s="118">
        <f>+CUBICACION!E477</f>
        <v>0</v>
      </c>
      <c r="G478" s="118">
        <v>12</v>
      </c>
      <c r="H478" s="118">
        <v>2</v>
      </c>
      <c r="I478" s="820">
        <v>26385</v>
      </c>
      <c r="J478" s="118">
        <f>+CUBICACION!J477</f>
        <v>0</v>
      </c>
      <c r="K478" s="118">
        <v>3257</v>
      </c>
      <c r="L478" s="118">
        <f>+CUBICACION!L477</f>
        <v>0</v>
      </c>
      <c r="M478" s="64">
        <f>+CUBICACION!M477</f>
        <v>0</v>
      </c>
      <c r="N478" s="824" t="str">
        <f>+CUBICACION!N477</f>
        <v/>
      </c>
      <c r="O478" s="675">
        <f>+CUBICACION!O477</f>
        <v>0</v>
      </c>
      <c r="P478" s="15">
        <f>IF(O478="Fire Control",VLOOKUP(_xlfn.MINIFS('FIRE CONTROL'!$C$4:$C$37,'FIRE CONTROL'!$C$4:$C$37,"&gt;="&amp;M478),'FIRE CONTROL'!$C$4:$G$37,IF(L478="F-15",2,IF(L478="F-30",3,IF(L478="F-60",4,IF(L478="F-90",5,0)))),0),0)+IF(AND(O478="FIRE TEX 5062",OR(E478="IN",E478="C",E478="Z",E478="L"),J478=3),VLOOKUP(_xlfn.MINIFS('FIRE TEX 5062'!$B$4:$B$34,'FIRE TEX 5062'!$B$4:$B$34,"&gt;="&amp;M478),'FIRE TEX 5062'!$B$4:$F$34,IF(L478="F-15",2,IF(L478="F-30",3,IF(L478="F-60",4,IF(L478="F-90",5,0)))),0),0)+IF(AND(O478="FIRE TEX 5062",OR(E478="IN",E478="C",E478="Z",E478="L"),J478=4),VLOOKUP(_xlfn.MINIFS('FIRE TEX 5062'!$G$4:$G$34,'FIRE TEX 5062'!$G$4:$G$34,"&gt;="&amp;M478),'FIRE TEX 5062'!$G$4:$K$34,IF(L478="F-15",2,IF(L478="F-30",3,IF(L478="F-60",4,IF(L478="F-90",5,0)))),0),0)+IF(AND(O478="FIRE TEX 5062",E478="CJ",J478=3),VLOOKUP(_xlfn.MINIFS('FIRE TEX 5062'!$L$4:$L$34,'FIRE TEX 5062'!$L$4:$L$34,"&gt;="&amp;M478),'FIRE TEX 5062'!$L$4:$P$34,IF(L478="F-15",2,IF(L478="F-30",3,IF(L478="F-60",4,IF(L478="F-90",5,0)))),0),0)+IF(AND(O478="FIRE TEX 5062",E478="CJ",J478=4),VLOOKUP(_xlfn.MINIFS('FIRE TEX 5062'!$Q$3:$Q$34,'FIRE TEX 5062'!$Q$3:$Q$34,"&gt;="&amp;M478),'FIRE TEX 5062'!$Q$3:$U$34,IF(L478="F-15",2,IF(L478="F-30",3,IF(L478="F-60",4,IF(L478="F-90",5,0)))),0),0)+IF(AND(O478="FIRE TEX 5090",OR(E478="IN",E478="C",E478="Z",E478="L"),J478=3),VLOOKUP(_xlfn.MINIFS('FIRE TEX 5090'!$B$5:$B$43,'FIRE TEX 5090'!$B$5:$B$43,"&gt;="&amp;M478),'FIRE TEX 5090'!$B$5:$H$43,IF(L478="F-15",2,IF(L478="F-30",3,IF(L478="F-60",4,IF(L478="F-90",5,IF(L478="F-120",6,IF(L478="F-150",7,0)))))),0),0)+IF(AND(O478="FIRE TEX 5090",OR(E478="IN",E478="C",E478="Z",E478="L"),J478=4),VLOOKUP(_xlfn.MINIFS('FIRE TEX 5090'!$J$5:$J$43,'FIRE TEX 5090'!$J$5:$J$43,"&gt;="&amp;M478),'FIRE TEX 5090'!$J$5:$P$43,IF(L478="F-15",2,IF(L478="F-30",3,IF(L478="F-60",4,IF(L478="F-90",5,IF(L478="F-120",6,IF(L478="F-150",7,0)))))),0),0)+IF(AND(O478="FIRE TEX 5090",E478="CJ",J478=3),VLOOKUP(_xlfn.MINIFS('FIRE TEX 5090'!$R$5:$R$30,'FIRE TEX 5090'!$R$5:$R$30,"&gt;="&amp;M478),'FIRE TEX 5090'!$R$5:$W$30,IF(L478="F-15",2,IF(L478="F-30",3,IF(L478="F-60",4,IF(L478="F-90",5,IF(L478="F-120",6,IF(L478="F-150",7,0)))))),0),0)+IF(AND(O478="FIRE TEX 5090",E478="CJ",J478=4),VLOOKUP(_xlfn.MINIFS('FIRE TEX 5090'!$Y$5:$Y$39,'FIRE TEX 5090'!$Y$5:$Y$39,"&gt;="&amp;M478),'FIRE TEX 5090'!$Y$5:$AD$39,IF(L478="F-15",2,IF(L478="F-30",3,IF(L478="F-60",4,IF(L478="F-90",5,IF(L478="F-120",6,IF(L478="F-150",7,0)))))),0),0)+IF(AND(O478="FIRE TEX 5120",OR(E478="IN",E478="C",E478="Z",E478="L"),J478=3),VLOOKUP(_xlfn.MINIFS('FIRE TEX 5120'!$B$5:$B$40,'FIRE TEX 5120'!$B$5:$B$40,"&gt;="&amp;M478),'FIRE TEX 5120'!$B$5:$G$40,IF(L478="F-15",2,IF(L478="F-30",3,IF(L478="F-60",4,IF(L478="F-90",5,IF(L478="F-120",6,0))))),0),0)+IF(AND(O478="FIRE TEX 5120",OR(E478="IN",E478="C",E478="Z",E478="L"),J478=4),VLOOKUP(_xlfn.MINIFS('FIRE TEX 5120'!$H$4:$H$40,'FIRE TEX 5120'!$H$4:$H$40,"&gt;="&amp;M478),'FIRE TEX 5120'!$H$4:$M$40,IF(L478="F-15",2,IF(L478="F-30",3,IF(L478="F-60",4,IF(L478="F-90",5,IF(L478="F-120",6,0))))),0),0)+IF(AND(O478="FIRE TEX 5120",E478="CJ"),VLOOKUP(_xlfn.MINIFS('FIRE TEX 5120'!$O$5:$O$40,'FIRE TEX 5120'!$O$5:$O$40,"&gt;="&amp;M478),'FIRE TEX 5120'!$O$5:$T$40,IF(L478="F-15",2,IF(L478="F-30",3,IF(L478="F-60",4,IF(L478="F-90",5,IF(L478="F-120",6,0))))),0),0)</f>
        <v>0</v>
      </c>
      <c r="Q478" s="46">
        <f t="shared" si="54"/>
        <v>0</v>
      </c>
      <c r="R478" s="46">
        <f t="shared" si="55"/>
        <v>0</v>
      </c>
      <c r="S478" s="46" t="e">
        <f t="shared" si="56"/>
        <v>#VALUE!</v>
      </c>
      <c r="T478" s="677">
        <f t="shared" si="57"/>
        <v>0</v>
      </c>
      <c r="U478" s="80">
        <f>(IF(O478="Stofire",(S478*#REF!),0))+(IF(O478="Fire Control",(S478*$U$2),0))+(IF(O478="Fire Tex",(S478*$U$3),0))+(IF(O478="WB7",(S478*#REF!),0)+(IF(O478="FX 2003",(S478*$U$5),0)))</f>
        <v>0</v>
      </c>
      <c r="V478" s="651">
        <f t="shared" si="58"/>
        <v>0</v>
      </c>
    </row>
    <row r="479" spans="4:22" x14ac:dyDescent="0.25">
      <c r="D479" s="118">
        <f>+CUBICACION!D478</f>
        <v>0</v>
      </c>
      <c r="E479" s="118">
        <f>+CUBICACION!F478</f>
        <v>0</v>
      </c>
      <c r="F479" s="118">
        <f>+CUBICACION!E478</f>
        <v>0</v>
      </c>
      <c r="G479" s="118">
        <v>12</v>
      </c>
      <c r="H479" s="118">
        <v>2</v>
      </c>
      <c r="I479" s="820">
        <v>26385</v>
      </c>
      <c r="J479" s="118">
        <f>+CUBICACION!J478</f>
        <v>0</v>
      </c>
      <c r="K479" s="118">
        <v>3258</v>
      </c>
      <c r="L479" s="118">
        <f>+CUBICACION!L478</f>
        <v>0</v>
      </c>
      <c r="M479" s="64">
        <f>+CUBICACION!M478</f>
        <v>0</v>
      </c>
      <c r="N479" s="824" t="str">
        <f>+CUBICACION!N478</f>
        <v/>
      </c>
      <c r="O479" s="675">
        <f>+CUBICACION!O478</f>
        <v>0</v>
      </c>
      <c r="P479" s="15">
        <f>IF(O479="Fire Control",VLOOKUP(_xlfn.MINIFS('FIRE CONTROL'!$C$4:$C$37,'FIRE CONTROL'!$C$4:$C$37,"&gt;="&amp;M479),'FIRE CONTROL'!$C$4:$G$37,IF(L479="F-15",2,IF(L479="F-30",3,IF(L479="F-60",4,IF(L479="F-90",5,0)))),0),0)+IF(AND(O479="FIRE TEX 5062",OR(E479="IN",E479="C",E479="Z",E479="L"),J479=3),VLOOKUP(_xlfn.MINIFS('FIRE TEX 5062'!$B$4:$B$34,'FIRE TEX 5062'!$B$4:$B$34,"&gt;="&amp;M479),'FIRE TEX 5062'!$B$4:$F$34,IF(L479="F-15",2,IF(L479="F-30",3,IF(L479="F-60",4,IF(L479="F-90",5,0)))),0),0)+IF(AND(O479="FIRE TEX 5062",OR(E479="IN",E479="C",E479="Z",E479="L"),J479=4),VLOOKUP(_xlfn.MINIFS('FIRE TEX 5062'!$G$4:$G$34,'FIRE TEX 5062'!$G$4:$G$34,"&gt;="&amp;M479),'FIRE TEX 5062'!$G$4:$K$34,IF(L479="F-15",2,IF(L479="F-30",3,IF(L479="F-60",4,IF(L479="F-90",5,0)))),0),0)+IF(AND(O479="FIRE TEX 5062",E479="CJ",J479=3),VLOOKUP(_xlfn.MINIFS('FIRE TEX 5062'!$L$4:$L$34,'FIRE TEX 5062'!$L$4:$L$34,"&gt;="&amp;M479),'FIRE TEX 5062'!$L$4:$P$34,IF(L479="F-15",2,IF(L479="F-30",3,IF(L479="F-60",4,IF(L479="F-90",5,0)))),0),0)+IF(AND(O479="FIRE TEX 5062",E479="CJ",J479=4),VLOOKUP(_xlfn.MINIFS('FIRE TEX 5062'!$Q$3:$Q$34,'FIRE TEX 5062'!$Q$3:$Q$34,"&gt;="&amp;M479),'FIRE TEX 5062'!$Q$3:$U$34,IF(L479="F-15",2,IF(L479="F-30",3,IF(L479="F-60",4,IF(L479="F-90",5,0)))),0),0)+IF(AND(O479="FIRE TEX 5090",OR(E479="IN",E479="C",E479="Z",E479="L"),J479=3),VLOOKUP(_xlfn.MINIFS('FIRE TEX 5090'!$B$5:$B$43,'FIRE TEX 5090'!$B$5:$B$43,"&gt;="&amp;M479),'FIRE TEX 5090'!$B$5:$H$43,IF(L479="F-15",2,IF(L479="F-30",3,IF(L479="F-60",4,IF(L479="F-90",5,IF(L479="F-120",6,IF(L479="F-150",7,0)))))),0),0)+IF(AND(O479="FIRE TEX 5090",OR(E479="IN",E479="C",E479="Z",E479="L"),J479=4),VLOOKUP(_xlfn.MINIFS('FIRE TEX 5090'!$J$5:$J$43,'FIRE TEX 5090'!$J$5:$J$43,"&gt;="&amp;M479),'FIRE TEX 5090'!$J$5:$P$43,IF(L479="F-15",2,IF(L479="F-30",3,IF(L479="F-60",4,IF(L479="F-90",5,IF(L479="F-120",6,IF(L479="F-150",7,0)))))),0),0)+IF(AND(O479="FIRE TEX 5090",E479="CJ",J479=3),VLOOKUP(_xlfn.MINIFS('FIRE TEX 5090'!$R$5:$R$30,'FIRE TEX 5090'!$R$5:$R$30,"&gt;="&amp;M479),'FIRE TEX 5090'!$R$5:$W$30,IF(L479="F-15",2,IF(L479="F-30",3,IF(L479="F-60",4,IF(L479="F-90",5,IF(L479="F-120",6,IF(L479="F-150",7,0)))))),0),0)+IF(AND(O479="FIRE TEX 5090",E479="CJ",J479=4),VLOOKUP(_xlfn.MINIFS('FIRE TEX 5090'!$Y$5:$Y$39,'FIRE TEX 5090'!$Y$5:$Y$39,"&gt;="&amp;M479),'FIRE TEX 5090'!$Y$5:$AD$39,IF(L479="F-15",2,IF(L479="F-30",3,IF(L479="F-60",4,IF(L479="F-90",5,IF(L479="F-120",6,IF(L479="F-150",7,0)))))),0),0)+IF(AND(O479="FIRE TEX 5120",OR(E479="IN",E479="C",E479="Z",E479="L"),J479=3),VLOOKUP(_xlfn.MINIFS('FIRE TEX 5120'!$B$5:$B$40,'FIRE TEX 5120'!$B$5:$B$40,"&gt;="&amp;M479),'FIRE TEX 5120'!$B$5:$G$40,IF(L479="F-15",2,IF(L479="F-30",3,IF(L479="F-60",4,IF(L479="F-90",5,IF(L479="F-120",6,0))))),0),0)+IF(AND(O479="FIRE TEX 5120",OR(E479="IN",E479="C",E479="Z",E479="L"),J479=4),VLOOKUP(_xlfn.MINIFS('FIRE TEX 5120'!$H$4:$H$40,'FIRE TEX 5120'!$H$4:$H$40,"&gt;="&amp;M479),'FIRE TEX 5120'!$H$4:$M$40,IF(L479="F-15",2,IF(L479="F-30",3,IF(L479="F-60",4,IF(L479="F-90",5,IF(L479="F-120",6,0))))),0),0)+IF(AND(O479="FIRE TEX 5120",E479="CJ"),VLOOKUP(_xlfn.MINIFS('FIRE TEX 5120'!$O$5:$O$40,'FIRE TEX 5120'!$O$5:$O$40,"&gt;="&amp;M479),'FIRE TEX 5120'!$O$5:$T$40,IF(L479="F-15",2,IF(L479="F-30",3,IF(L479="F-60",4,IF(L479="F-90",5,IF(L479="F-120",6,0))))),0),0)</f>
        <v>0</v>
      </c>
      <c r="Q479" s="46">
        <f t="shared" si="54"/>
        <v>0</v>
      </c>
      <c r="R479" s="46">
        <f t="shared" si="55"/>
        <v>0</v>
      </c>
      <c r="S479" s="46" t="e">
        <f t="shared" si="56"/>
        <v>#VALUE!</v>
      </c>
      <c r="T479" s="677">
        <f t="shared" si="57"/>
        <v>0</v>
      </c>
      <c r="U479" s="80">
        <f>(IF(O479="Stofire",(S479*#REF!),0))+(IF(O479="Fire Control",(S479*$U$2),0))+(IF(O479="Fire Tex",(S479*$U$3),0))+(IF(O479="WB7",(S479*#REF!),0)+(IF(O479="FX 2003",(S479*$U$5),0)))</f>
        <v>0</v>
      </c>
      <c r="V479" s="651">
        <f t="shared" si="58"/>
        <v>0</v>
      </c>
    </row>
    <row r="480" spans="4:22" x14ac:dyDescent="0.25">
      <c r="D480" s="118">
        <f>+CUBICACION!D479</f>
        <v>0</v>
      </c>
      <c r="E480" s="118">
        <f>+CUBICACION!F479</f>
        <v>0</v>
      </c>
      <c r="F480" s="118">
        <f>+CUBICACION!E479</f>
        <v>0</v>
      </c>
      <c r="G480" s="118">
        <v>12</v>
      </c>
      <c r="H480" s="118">
        <v>2</v>
      </c>
      <c r="I480" s="820">
        <v>26385</v>
      </c>
      <c r="J480" s="118">
        <f>+CUBICACION!J479</f>
        <v>0</v>
      </c>
      <c r="K480" s="118">
        <v>3259</v>
      </c>
      <c r="L480" s="118">
        <f>+CUBICACION!L479</f>
        <v>0</v>
      </c>
      <c r="M480" s="64">
        <f>+CUBICACION!M479</f>
        <v>0</v>
      </c>
      <c r="N480" s="824" t="str">
        <f>+CUBICACION!N479</f>
        <v/>
      </c>
      <c r="O480" s="675">
        <f>+CUBICACION!O479</f>
        <v>0</v>
      </c>
      <c r="P480" s="15">
        <f>IF(O480="Fire Control",VLOOKUP(_xlfn.MINIFS('FIRE CONTROL'!$C$4:$C$37,'FIRE CONTROL'!$C$4:$C$37,"&gt;="&amp;M480),'FIRE CONTROL'!$C$4:$G$37,IF(L480="F-15",2,IF(L480="F-30",3,IF(L480="F-60",4,IF(L480="F-90",5,0)))),0),0)+IF(AND(O480="FIRE TEX 5062",OR(E480="IN",E480="C",E480="Z",E480="L"),J480=3),VLOOKUP(_xlfn.MINIFS('FIRE TEX 5062'!$B$4:$B$34,'FIRE TEX 5062'!$B$4:$B$34,"&gt;="&amp;M480),'FIRE TEX 5062'!$B$4:$F$34,IF(L480="F-15",2,IF(L480="F-30",3,IF(L480="F-60",4,IF(L480="F-90",5,0)))),0),0)+IF(AND(O480="FIRE TEX 5062",OR(E480="IN",E480="C",E480="Z",E480="L"),J480=4),VLOOKUP(_xlfn.MINIFS('FIRE TEX 5062'!$G$4:$G$34,'FIRE TEX 5062'!$G$4:$G$34,"&gt;="&amp;M480),'FIRE TEX 5062'!$G$4:$K$34,IF(L480="F-15",2,IF(L480="F-30",3,IF(L480="F-60",4,IF(L480="F-90",5,0)))),0),0)+IF(AND(O480="FIRE TEX 5062",E480="CJ",J480=3),VLOOKUP(_xlfn.MINIFS('FIRE TEX 5062'!$L$4:$L$34,'FIRE TEX 5062'!$L$4:$L$34,"&gt;="&amp;M480),'FIRE TEX 5062'!$L$4:$P$34,IF(L480="F-15",2,IF(L480="F-30",3,IF(L480="F-60",4,IF(L480="F-90",5,0)))),0),0)+IF(AND(O480="FIRE TEX 5062",E480="CJ",J480=4),VLOOKUP(_xlfn.MINIFS('FIRE TEX 5062'!$Q$3:$Q$34,'FIRE TEX 5062'!$Q$3:$Q$34,"&gt;="&amp;M480),'FIRE TEX 5062'!$Q$3:$U$34,IF(L480="F-15",2,IF(L480="F-30",3,IF(L480="F-60",4,IF(L480="F-90",5,0)))),0),0)+IF(AND(O480="FIRE TEX 5090",OR(E480="IN",E480="C",E480="Z",E480="L"),J480=3),VLOOKUP(_xlfn.MINIFS('FIRE TEX 5090'!$B$5:$B$43,'FIRE TEX 5090'!$B$5:$B$43,"&gt;="&amp;M480),'FIRE TEX 5090'!$B$5:$H$43,IF(L480="F-15",2,IF(L480="F-30",3,IF(L480="F-60",4,IF(L480="F-90",5,IF(L480="F-120",6,IF(L480="F-150",7,0)))))),0),0)+IF(AND(O480="FIRE TEX 5090",OR(E480="IN",E480="C",E480="Z",E480="L"),J480=4),VLOOKUP(_xlfn.MINIFS('FIRE TEX 5090'!$J$5:$J$43,'FIRE TEX 5090'!$J$5:$J$43,"&gt;="&amp;M480),'FIRE TEX 5090'!$J$5:$P$43,IF(L480="F-15",2,IF(L480="F-30",3,IF(L480="F-60",4,IF(L480="F-90",5,IF(L480="F-120",6,IF(L480="F-150",7,0)))))),0),0)+IF(AND(O480="FIRE TEX 5090",E480="CJ",J480=3),VLOOKUP(_xlfn.MINIFS('FIRE TEX 5090'!$R$5:$R$30,'FIRE TEX 5090'!$R$5:$R$30,"&gt;="&amp;M480),'FIRE TEX 5090'!$R$5:$W$30,IF(L480="F-15",2,IF(L480="F-30",3,IF(L480="F-60",4,IF(L480="F-90",5,IF(L480="F-120",6,IF(L480="F-150",7,0)))))),0),0)+IF(AND(O480="FIRE TEX 5090",E480="CJ",J480=4),VLOOKUP(_xlfn.MINIFS('FIRE TEX 5090'!$Y$5:$Y$39,'FIRE TEX 5090'!$Y$5:$Y$39,"&gt;="&amp;M480),'FIRE TEX 5090'!$Y$5:$AD$39,IF(L480="F-15",2,IF(L480="F-30",3,IF(L480="F-60",4,IF(L480="F-90",5,IF(L480="F-120",6,IF(L480="F-150",7,0)))))),0),0)+IF(AND(O480="FIRE TEX 5120",OR(E480="IN",E480="C",E480="Z",E480="L"),J480=3),VLOOKUP(_xlfn.MINIFS('FIRE TEX 5120'!$B$5:$B$40,'FIRE TEX 5120'!$B$5:$B$40,"&gt;="&amp;M480),'FIRE TEX 5120'!$B$5:$G$40,IF(L480="F-15",2,IF(L480="F-30",3,IF(L480="F-60",4,IF(L480="F-90",5,IF(L480="F-120",6,0))))),0),0)+IF(AND(O480="FIRE TEX 5120",OR(E480="IN",E480="C",E480="Z",E480="L"),J480=4),VLOOKUP(_xlfn.MINIFS('FIRE TEX 5120'!$H$4:$H$40,'FIRE TEX 5120'!$H$4:$H$40,"&gt;="&amp;M480),'FIRE TEX 5120'!$H$4:$M$40,IF(L480="F-15",2,IF(L480="F-30",3,IF(L480="F-60",4,IF(L480="F-90",5,IF(L480="F-120",6,0))))),0),0)+IF(AND(O480="FIRE TEX 5120",E480="CJ"),VLOOKUP(_xlfn.MINIFS('FIRE TEX 5120'!$O$5:$O$40,'FIRE TEX 5120'!$O$5:$O$40,"&gt;="&amp;M480),'FIRE TEX 5120'!$O$5:$T$40,IF(L480="F-15",2,IF(L480="F-30",3,IF(L480="F-60",4,IF(L480="F-90",5,IF(L480="F-120",6,0))))),0),0)</f>
        <v>0</v>
      </c>
      <c r="Q480" s="46">
        <f t="shared" si="54"/>
        <v>0</v>
      </c>
      <c r="R480" s="46">
        <f t="shared" si="55"/>
        <v>0</v>
      </c>
      <c r="S480" s="46" t="e">
        <f t="shared" si="56"/>
        <v>#VALUE!</v>
      </c>
      <c r="T480" s="677">
        <f t="shared" si="57"/>
        <v>0</v>
      </c>
      <c r="U480" s="80">
        <f>(IF(O480="Stofire",(S480*#REF!),0))+(IF(O480="Fire Control",(S480*$U$2),0))+(IF(O480="Fire Tex",(S480*$U$3),0))+(IF(O480="WB7",(S480*#REF!),0)+(IF(O480="FX 2003",(S480*$U$5),0)))</f>
        <v>0</v>
      </c>
      <c r="V480" s="651">
        <f t="shared" si="58"/>
        <v>0</v>
      </c>
    </row>
    <row r="481" spans="4:22" x14ac:dyDescent="0.25">
      <c r="D481" s="118">
        <f>+CUBICACION!D480</f>
        <v>0</v>
      </c>
      <c r="E481" s="118">
        <f>+CUBICACION!F480</f>
        <v>0</v>
      </c>
      <c r="F481" s="118">
        <f>+CUBICACION!E480</f>
        <v>0</v>
      </c>
      <c r="G481" s="118">
        <v>12</v>
      </c>
      <c r="H481" s="118">
        <v>2</v>
      </c>
      <c r="I481" s="820">
        <v>26385</v>
      </c>
      <c r="J481" s="118">
        <f>+CUBICACION!J480</f>
        <v>0</v>
      </c>
      <c r="K481" s="118">
        <v>3260</v>
      </c>
      <c r="L481" s="118">
        <f>+CUBICACION!L480</f>
        <v>0</v>
      </c>
      <c r="M481" s="64">
        <f>+CUBICACION!M480</f>
        <v>0</v>
      </c>
      <c r="N481" s="824" t="str">
        <f>+CUBICACION!N480</f>
        <v/>
      </c>
      <c r="O481" s="675">
        <f>+CUBICACION!O480</f>
        <v>0</v>
      </c>
      <c r="P481" s="15">
        <f>IF(O481="Fire Control",VLOOKUP(_xlfn.MINIFS('FIRE CONTROL'!$C$4:$C$37,'FIRE CONTROL'!$C$4:$C$37,"&gt;="&amp;M481),'FIRE CONTROL'!$C$4:$G$37,IF(L481="F-15",2,IF(L481="F-30",3,IF(L481="F-60",4,IF(L481="F-90",5,0)))),0),0)+IF(AND(O481="FIRE TEX 5062",OR(E481="IN",E481="C",E481="Z",E481="L"),J481=3),VLOOKUP(_xlfn.MINIFS('FIRE TEX 5062'!$B$4:$B$34,'FIRE TEX 5062'!$B$4:$B$34,"&gt;="&amp;M481),'FIRE TEX 5062'!$B$4:$F$34,IF(L481="F-15",2,IF(L481="F-30",3,IF(L481="F-60",4,IF(L481="F-90",5,0)))),0),0)+IF(AND(O481="FIRE TEX 5062",OR(E481="IN",E481="C",E481="Z",E481="L"),J481=4),VLOOKUP(_xlfn.MINIFS('FIRE TEX 5062'!$G$4:$G$34,'FIRE TEX 5062'!$G$4:$G$34,"&gt;="&amp;M481),'FIRE TEX 5062'!$G$4:$K$34,IF(L481="F-15",2,IF(L481="F-30",3,IF(L481="F-60",4,IF(L481="F-90",5,0)))),0),0)+IF(AND(O481="FIRE TEX 5062",E481="CJ",J481=3),VLOOKUP(_xlfn.MINIFS('FIRE TEX 5062'!$L$4:$L$34,'FIRE TEX 5062'!$L$4:$L$34,"&gt;="&amp;M481),'FIRE TEX 5062'!$L$4:$P$34,IF(L481="F-15",2,IF(L481="F-30",3,IF(L481="F-60",4,IF(L481="F-90",5,0)))),0),0)+IF(AND(O481="FIRE TEX 5062",E481="CJ",J481=4),VLOOKUP(_xlfn.MINIFS('FIRE TEX 5062'!$Q$3:$Q$34,'FIRE TEX 5062'!$Q$3:$Q$34,"&gt;="&amp;M481),'FIRE TEX 5062'!$Q$3:$U$34,IF(L481="F-15",2,IF(L481="F-30",3,IF(L481="F-60",4,IF(L481="F-90",5,0)))),0),0)+IF(AND(O481="FIRE TEX 5090",OR(E481="IN",E481="C",E481="Z",E481="L"),J481=3),VLOOKUP(_xlfn.MINIFS('FIRE TEX 5090'!$B$5:$B$43,'FIRE TEX 5090'!$B$5:$B$43,"&gt;="&amp;M481),'FIRE TEX 5090'!$B$5:$H$43,IF(L481="F-15",2,IF(L481="F-30",3,IF(L481="F-60",4,IF(L481="F-90",5,IF(L481="F-120",6,IF(L481="F-150",7,0)))))),0),0)+IF(AND(O481="FIRE TEX 5090",OR(E481="IN",E481="C",E481="Z",E481="L"),J481=4),VLOOKUP(_xlfn.MINIFS('FIRE TEX 5090'!$J$5:$J$43,'FIRE TEX 5090'!$J$5:$J$43,"&gt;="&amp;M481),'FIRE TEX 5090'!$J$5:$P$43,IF(L481="F-15",2,IF(L481="F-30",3,IF(L481="F-60",4,IF(L481="F-90",5,IF(L481="F-120",6,IF(L481="F-150",7,0)))))),0),0)+IF(AND(O481="FIRE TEX 5090",E481="CJ",J481=3),VLOOKUP(_xlfn.MINIFS('FIRE TEX 5090'!$R$5:$R$30,'FIRE TEX 5090'!$R$5:$R$30,"&gt;="&amp;M481),'FIRE TEX 5090'!$R$5:$W$30,IF(L481="F-15",2,IF(L481="F-30",3,IF(L481="F-60",4,IF(L481="F-90",5,IF(L481="F-120",6,IF(L481="F-150",7,0)))))),0),0)+IF(AND(O481="FIRE TEX 5090",E481="CJ",J481=4),VLOOKUP(_xlfn.MINIFS('FIRE TEX 5090'!$Y$5:$Y$39,'FIRE TEX 5090'!$Y$5:$Y$39,"&gt;="&amp;M481),'FIRE TEX 5090'!$Y$5:$AD$39,IF(L481="F-15",2,IF(L481="F-30",3,IF(L481="F-60",4,IF(L481="F-90",5,IF(L481="F-120",6,IF(L481="F-150",7,0)))))),0),0)+IF(AND(O481="FIRE TEX 5120",OR(E481="IN",E481="C",E481="Z",E481="L"),J481=3),VLOOKUP(_xlfn.MINIFS('FIRE TEX 5120'!$B$5:$B$40,'FIRE TEX 5120'!$B$5:$B$40,"&gt;="&amp;M481),'FIRE TEX 5120'!$B$5:$G$40,IF(L481="F-15",2,IF(L481="F-30",3,IF(L481="F-60",4,IF(L481="F-90",5,IF(L481="F-120",6,0))))),0),0)+IF(AND(O481="FIRE TEX 5120",OR(E481="IN",E481="C",E481="Z",E481="L"),J481=4),VLOOKUP(_xlfn.MINIFS('FIRE TEX 5120'!$H$4:$H$40,'FIRE TEX 5120'!$H$4:$H$40,"&gt;="&amp;M481),'FIRE TEX 5120'!$H$4:$M$40,IF(L481="F-15",2,IF(L481="F-30",3,IF(L481="F-60",4,IF(L481="F-90",5,IF(L481="F-120",6,0))))),0),0)+IF(AND(O481="FIRE TEX 5120",E481="CJ"),VLOOKUP(_xlfn.MINIFS('FIRE TEX 5120'!$O$5:$O$40,'FIRE TEX 5120'!$O$5:$O$40,"&gt;="&amp;M481),'FIRE TEX 5120'!$O$5:$T$40,IF(L481="F-15",2,IF(L481="F-30",3,IF(L481="F-60",4,IF(L481="F-90",5,IF(L481="F-120",6,0))))),0),0)</f>
        <v>0</v>
      </c>
      <c r="Q481" s="46">
        <f t="shared" si="54"/>
        <v>0</v>
      </c>
      <c r="R481" s="46">
        <f t="shared" si="55"/>
        <v>0</v>
      </c>
      <c r="S481" s="46" t="e">
        <f t="shared" si="56"/>
        <v>#VALUE!</v>
      </c>
      <c r="T481" s="677">
        <f t="shared" si="57"/>
        <v>0</v>
      </c>
      <c r="U481" s="80">
        <f>(IF(O481="Stofire",(S481*#REF!),0))+(IF(O481="Fire Control",(S481*$U$2),0))+(IF(O481="Fire Tex",(S481*$U$3),0))+(IF(O481="WB7",(S481*#REF!),0)+(IF(O481="FX 2003",(S481*$U$5),0)))</f>
        <v>0</v>
      </c>
      <c r="V481" s="651">
        <f t="shared" si="58"/>
        <v>0</v>
      </c>
    </row>
    <row r="482" spans="4:22" x14ac:dyDescent="0.25">
      <c r="D482" s="118">
        <f>+CUBICACION!D481</f>
        <v>0</v>
      </c>
      <c r="E482" s="118">
        <f>+CUBICACION!F481</f>
        <v>0</v>
      </c>
      <c r="F482" s="118">
        <f>+CUBICACION!E481</f>
        <v>0</v>
      </c>
      <c r="G482" s="118">
        <v>12</v>
      </c>
      <c r="H482" s="118">
        <v>2</v>
      </c>
      <c r="I482" s="820">
        <v>26385</v>
      </c>
      <c r="J482" s="118">
        <f>+CUBICACION!J481</f>
        <v>0</v>
      </c>
      <c r="K482" s="118">
        <v>3261</v>
      </c>
      <c r="L482" s="118">
        <f>+CUBICACION!L481</f>
        <v>0</v>
      </c>
      <c r="M482" s="64">
        <f>+CUBICACION!M481</f>
        <v>0</v>
      </c>
      <c r="N482" s="824" t="str">
        <f>+CUBICACION!N481</f>
        <v/>
      </c>
      <c r="O482" s="675">
        <f>+CUBICACION!O481</f>
        <v>0</v>
      </c>
      <c r="P482" s="15">
        <f>IF(O482="Fire Control",VLOOKUP(_xlfn.MINIFS('FIRE CONTROL'!$C$4:$C$37,'FIRE CONTROL'!$C$4:$C$37,"&gt;="&amp;M482),'FIRE CONTROL'!$C$4:$G$37,IF(L482="F-15",2,IF(L482="F-30",3,IF(L482="F-60",4,IF(L482="F-90",5,0)))),0),0)+IF(AND(O482="FIRE TEX 5062",OR(E482="IN",E482="C",E482="Z",E482="L"),J482=3),VLOOKUP(_xlfn.MINIFS('FIRE TEX 5062'!$B$4:$B$34,'FIRE TEX 5062'!$B$4:$B$34,"&gt;="&amp;M482),'FIRE TEX 5062'!$B$4:$F$34,IF(L482="F-15",2,IF(L482="F-30",3,IF(L482="F-60",4,IF(L482="F-90",5,0)))),0),0)+IF(AND(O482="FIRE TEX 5062",OR(E482="IN",E482="C",E482="Z",E482="L"),J482=4),VLOOKUP(_xlfn.MINIFS('FIRE TEX 5062'!$G$4:$G$34,'FIRE TEX 5062'!$G$4:$G$34,"&gt;="&amp;M482),'FIRE TEX 5062'!$G$4:$K$34,IF(L482="F-15",2,IF(L482="F-30",3,IF(L482="F-60",4,IF(L482="F-90",5,0)))),0),0)+IF(AND(O482="FIRE TEX 5062",E482="CJ",J482=3),VLOOKUP(_xlfn.MINIFS('FIRE TEX 5062'!$L$4:$L$34,'FIRE TEX 5062'!$L$4:$L$34,"&gt;="&amp;M482),'FIRE TEX 5062'!$L$4:$P$34,IF(L482="F-15",2,IF(L482="F-30",3,IF(L482="F-60",4,IF(L482="F-90",5,0)))),0),0)+IF(AND(O482="FIRE TEX 5062",E482="CJ",J482=4),VLOOKUP(_xlfn.MINIFS('FIRE TEX 5062'!$Q$3:$Q$34,'FIRE TEX 5062'!$Q$3:$Q$34,"&gt;="&amp;M482),'FIRE TEX 5062'!$Q$3:$U$34,IF(L482="F-15",2,IF(L482="F-30",3,IF(L482="F-60",4,IF(L482="F-90",5,0)))),0),0)+IF(AND(O482="FIRE TEX 5090",OR(E482="IN",E482="C",E482="Z",E482="L"),J482=3),VLOOKUP(_xlfn.MINIFS('FIRE TEX 5090'!$B$5:$B$43,'FIRE TEX 5090'!$B$5:$B$43,"&gt;="&amp;M482),'FIRE TEX 5090'!$B$5:$H$43,IF(L482="F-15",2,IF(L482="F-30",3,IF(L482="F-60",4,IF(L482="F-90",5,IF(L482="F-120",6,IF(L482="F-150",7,0)))))),0),0)+IF(AND(O482="FIRE TEX 5090",OR(E482="IN",E482="C",E482="Z",E482="L"),J482=4),VLOOKUP(_xlfn.MINIFS('FIRE TEX 5090'!$J$5:$J$43,'FIRE TEX 5090'!$J$5:$J$43,"&gt;="&amp;M482),'FIRE TEX 5090'!$J$5:$P$43,IF(L482="F-15",2,IF(L482="F-30",3,IF(L482="F-60",4,IF(L482="F-90",5,IF(L482="F-120",6,IF(L482="F-150",7,0)))))),0),0)+IF(AND(O482="FIRE TEX 5090",E482="CJ",J482=3),VLOOKUP(_xlfn.MINIFS('FIRE TEX 5090'!$R$5:$R$30,'FIRE TEX 5090'!$R$5:$R$30,"&gt;="&amp;M482),'FIRE TEX 5090'!$R$5:$W$30,IF(L482="F-15",2,IF(L482="F-30",3,IF(L482="F-60",4,IF(L482="F-90",5,IF(L482="F-120",6,IF(L482="F-150",7,0)))))),0),0)+IF(AND(O482="FIRE TEX 5090",E482="CJ",J482=4),VLOOKUP(_xlfn.MINIFS('FIRE TEX 5090'!$Y$5:$Y$39,'FIRE TEX 5090'!$Y$5:$Y$39,"&gt;="&amp;M482),'FIRE TEX 5090'!$Y$5:$AD$39,IF(L482="F-15",2,IF(L482="F-30",3,IF(L482="F-60",4,IF(L482="F-90",5,IF(L482="F-120",6,IF(L482="F-150",7,0)))))),0),0)+IF(AND(O482="FIRE TEX 5120",OR(E482="IN",E482="C",E482="Z",E482="L"),J482=3),VLOOKUP(_xlfn.MINIFS('FIRE TEX 5120'!$B$5:$B$40,'FIRE TEX 5120'!$B$5:$B$40,"&gt;="&amp;M482),'FIRE TEX 5120'!$B$5:$G$40,IF(L482="F-15",2,IF(L482="F-30",3,IF(L482="F-60",4,IF(L482="F-90",5,IF(L482="F-120",6,0))))),0),0)+IF(AND(O482="FIRE TEX 5120",OR(E482="IN",E482="C",E482="Z",E482="L"),J482=4),VLOOKUP(_xlfn.MINIFS('FIRE TEX 5120'!$H$4:$H$40,'FIRE TEX 5120'!$H$4:$H$40,"&gt;="&amp;M482),'FIRE TEX 5120'!$H$4:$M$40,IF(L482="F-15",2,IF(L482="F-30",3,IF(L482="F-60",4,IF(L482="F-90",5,IF(L482="F-120",6,0))))),0),0)+IF(AND(O482="FIRE TEX 5120",E482="CJ"),VLOOKUP(_xlfn.MINIFS('FIRE TEX 5120'!$O$5:$O$40,'FIRE TEX 5120'!$O$5:$O$40,"&gt;="&amp;M482),'FIRE TEX 5120'!$O$5:$T$40,IF(L482="F-15",2,IF(L482="F-30",3,IF(L482="F-60",4,IF(L482="F-90",5,IF(L482="F-120",6,0))))),0),0)</f>
        <v>0</v>
      </c>
      <c r="Q482" s="46">
        <f t="shared" si="54"/>
        <v>0</v>
      </c>
      <c r="R482" s="46">
        <f t="shared" si="55"/>
        <v>0</v>
      </c>
      <c r="S482" s="46" t="e">
        <f t="shared" si="56"/>
        <v>#VALUE!</v>
      </c>
      <c r="T482" s="677">
        <f t="shared" si="57"/>
        <v>0</v>
      </c>
      <c r="U482" s="80">
        <f>(IF(O482="Stofire",(S482*#REF!),0))+(IF(O482="Fire Control",(S482*$U$2),0))+(IF(O482="Fire Tex",(S482*$U$3),0))+(IF(O482="WB7",(S482*#REF!),0)+(IF(O482="FX 2003",(S482*$U$5),0)))</f>
        <v>0</v>
      </c>
      <c r="V482" s="651">
        <f t="shared" si="58"/>
        <v>0</v>
      </c>
    </row>
    <row r="483" spans="4:22" x14ac:dyDescent="0.25">
      <c r="D483" s="118">
        <f>+CUBICACION!D482</f>
        <v>0</v>
      </c>
      <c r="E483" s="118">
        <f>+CUBICACION!F482</f>
        <v>0</v>
      </c>
      <c r="F483" s="118">
        <f>+CUBICACION!E482</f>
        <v>0</v>
      </c>
      <c r="G483" s="118">
        <v>12</v>
      </c>
      <c r="H483" s="118">
        <v>2</v>
      </c>
      <c r="I483" s="820">
        <v>26385</v>
      </c>
      <c r="J483" s="118">
        <f>+CUBICACION!J482</f>
        <v>0</v>
      </c>
      <c r="K483" s="118">
        <v>3262</v>
      </c>
      <c r="L483" s="118">
        <f>+CUBICACION!L482</f>
        <v>0</v>
      </c>
      <c r="M483" s="64">
        <f>+CUBICACION!M482</f>
        <v>0</v>
      </c>
      <c r="N483" s="824" t="str">
        <f>+CUBICACION!N482</f>
        <v/>
      </c>
      <c r="O483" s="675">
        <f>+CUBICACION!O482</f>
        <v>0</v>
      </c>
      <c r="P483" s="15">
        <f>IF(O483="Fire Control",VLOOKUP(_xlfn.MINIFS('FIRE CONTROL'!$C$4:$C$37,'FIRE CONTROL'!$C$4:$C$37,"&gt;="&amp;M483),'FIRE CONTROL'!$C$4:$G$37,IF(L483="F-15",2,IF(L483="F-30",3,IF(L483="F-60",4,IF(L483="F-90",5,0)))),0),0)+IF(AND(O483="FIRE TEX 5062",OR(E483="IN",E483="C",E483="Z",E483="L"),J483=3),VLOOKUP(_xlfn.MINIFS('FIRE TEX 5062'!$B$4:$B$34,'FIRE TEX 5062'!$B$4:$B$34,"&gt;="&amp;M483),'FIRE TEX 5062'!$B$4:$F$34,IF(L483="F-15",2,IF(L483="F-30",3,IF(L483="F-60",4,IF(L483="F-90",5,0)))),0),0)+IF(AND(O483="FIRE TEX 5062",OR(E483="IN",E483="C",E483="Z",E483="L"),J483=4),VLOOKUP(_xlfn.MINIFS('FIRE TEX 5062'!$G$4:$G$34,'FIRE TEX 5062'!$G$4:$G$34,"&gt;="&amp;M483),'FIRE TEX 5062'!$G$4:$K$34,IF(L483="F-15",2,IF(L483="F-30",3,IF(L483="F-60",4,IF(L483="F-90",5,0)))),0),0)+IF(AND(O483="FIRE TEX 5062",E483="CJ",J483=3),VLOOKUP(_xlfn.MINIFS('FIRE TEX 5062'!$L$4:$L$34,'FIRE TEX 5062'!$L$4:$L$34,"&gt;="&amp;M483),'FIRE TEX 5062'!$L$4:$P$34,IF(L483="F-15",2,IF(L483="F-30",3,IF(L483="F-60",4,IF(L483="F-90",5,0)))),0),0)+IF(AND(O483="FIRE TEX 5062",E483="CJ",J483=4),VLOOKUP(_xlfn.MINIFS('FIRE TEX 5062'!$Q$3:$Q$34,'FIRE TEX 5062'!$Q$3:$Q$34,"&gt;="&amp;M483),'FIRE TEX 5062'!$Q$3:$U$34,IF(L483="F-15",2,IF(L483="F-30",3,IF(L483="F-60",4,IF(L483="F-90",5,0)))),0),0)+IF(AND(O483="FIRE TEX 5090",OR(E483="IN",E483="C",E483="Z",E483="L"),J483=3),VLOOKUP(_xlfn.MINIFS('FIRE TEX 5090'!$B$5:$B$43,'FIRE TEX 5090'!$B$5:$B$43,"&gt;="&amp;M483),'FIRE TEX 5090'!$B$5:$H$43,IF(L483="F-15",2,IF(L483="F-30",3,IF(L483="F-60",4,IF(L483="F-90",5,IF(L483="F-120",6,IF(L483="F-150",7,0)))))),0),0)+IF(AND(O483="FIRE TEX 5090",OR(E483="IN",E483="C",E483="Z",E483="L"),J483=4),VLOOKUP(_xlfn.MINIFS('FIRE TEX 5090'!$J$5:$J$43,'FIRE TEX 5090'!$J$5:$J$43,"&gt;="&amp;M483),'FIRE TEX 5090'!$J$5:$P$43,IF(L483="F-15",2,IF(L483="F-30",3,IF(L483="F-60",4,IF(L483="F-90",5,IF(L483="F-120",6,IF(L483="F-150",7,0)))))),0),0)+IF(AND(O483="FIRE TEX 5090",E483="CJ",J483=3),VLOOKUP(_xlfn.MINIFS('FIRE TEX 5090'!$R$5:$R$30,'FIRE TEX 5090'!$R$5:$R$30,"&gt;="&amp;M483),'FIRE TEX 5090'!$R$5:$W$30,IF(L483="F-15",2,IF(L483="F-30",3,IF(L483="F-60",4,IF(L483="F-90",5,IF(L483="F-120",6,IF(L483="F-150",7,0)))))),0),0)+IF(AND(O483="FIRE TEX 5090",E483="CJ",J483=4),VLOOKUP(_xlfn.MINIFS('FIRE TEX 5090'!$Y$5:$Y$39,'FIRE TEX 5090'!$Y$5:$Y$39,"&gt;="&amp;M483),'FIRE TEX 5090'!$Y$5:$AD$39,IF(L483="F-15",2,IF(L483="F-30",3,IF(L483="F-60",4,IF(L483="F-90",5,IF(L483="F-120",6,IF(L483="F-150",7,0)))))),0),0)+IF(AND(O483="FIRE TEX 5120",OR(E483="IN",E483="C",E483="Z",E483="L"),J483=3),VLOOKUP(_xlfn.MINIFS('FIRE TEX 5120'!$B$5:$B$40,'FIRE TEX 5120'!$B$5:$B$40,"&gt;="&amp;M483),'FIRE TEX 5120'!$B$5:$G$40,IF(L483="F-15",2,IF(L483="F-30",3,IF(L483="F-60",4,IF(L483="F-90",5,IF(L483="F-120",6,0))))),0),0)+IF(AND(O483="FIRE TEX 5120",OR(E483="IN",E483="C",E483="Z",E483="L"),J483=4),VLOOKUP(_xlfn.MINIFS('FIRE TEX 5120'!$H$4:$H$40,'FIRE TEX 5120'!$H$4:$H$40,"&gt;="&amp;M483),'FIRE TEX 5120'!$H$4:$M$40,IF(L483="F-15",2,IF(L483="F-30",3,IF(L483="F-60",4,IF(L483="F-90",5,IF(L483="F-120",6,0))))),0),0)+IF(AND(O483="FIRE TEX 5120",E483="CJ"),VLOOKUP(_xlfn.MINIFS('FIRE TEX 5120'!$O$5:$O$40,'FIRE TEX 5120'!$O$5:$O$40,"&gt;="&amp;M483),'FIRE TEX 5120'!$O$5:$T$40,IF(L483="F-15",2,IF(L483="F-30",3,IF(L483="F-60",4,IF(L483="F-90",5,IF(L483="F-120",6,0))))),0),0)</f>
        <v>0</v>
      </c>
      <c r="Q483" s="46">
        <f t="shared" si="54"/>
        <v>0</v>
      </c>
      <c r="R483" s="46">
        <f t="shared" si="55"/>
        <v>0</v>
      </c>
      <c r="S483" s="46" t="e">
        <f t="shared" si="56"/>
        <v>#VALUE!</v>
      </c>
      <c r="T483" s="677">
        <f t="shared" si="57"/>
        <v>0</v>
      </c>
      <c r="U483" s="80">
        <f>(IF(O483="Stofire",(S483*#REF!),0))+(IF(O483="Fire Control",(S483*$U$2),0))+(IF(O483="Fire Tex",(S483*$U$3),0))+(IF(O483="WB7",(S483*#REF!),0)+(IF(O483="FX 2003",(S483*$U$5),0)))</f>
        <v>0</v>
      </c>
      <c r="V483" s="651">
        <f t="shared" si="58"/>
        <v>0</v>
      </c>
    </row>
    <row r="484" spans="4:22" x14ac:dyDescent="0.25">
      <c r="D484" s="118">
        <f>+CUBICACION!D483</f>
        <v>0</v>
      </c>
      <c r="E484" s="118">
        <f>+CUBICACION!F483</f>
        <v>0</v>
      </c>
      <c r="F484" s="118">
        <f>+CUBICACION!E483</f>
        <v>0</v>
      </c>
      <c r="G484" s="118">
        <v>12</v>
      </c>
      <c r="H484" s="118">
        <v>2</v>
      </c>
      <c r="I484" s="820">
        <v>26385</v>
      </c>
      <c r="J484" s="118">
        <f>+CUBICACION!J483</f>
        <v>0</v>
      </c>
      <c r="K484" s="118">
        <v>3263</v>
      </c>
      <c r="L484" s="118">
        <f>+CUBICACION!L483</f>
        <v>0</v>
      </c>
      <c r="M484" s="64">
        <f>+CUBICACION!M483</f>
        <v>0</v>
      </c>
      <c r="N484" s="824" t="str">
        <f>+CUBICACION!N483</f>
        <v/>
      </c>
      <c r="O484" s="675">
        <f>+CUBICACION!O483</f>
        <v>0</v>
      </c>
      <c r="P484" s="15">
        <f>IF(O484="Fire Control",VLOOKUP(_xlfn.MINIFS('FIRE CONTROL'!$C$4:$C$37,'FIRE CONTROL'!$C$4:$C$37,"&gt;="&amp;M484),'FIRE CONTROL'!$C$4:$G$37,IF(L484="F-15",2,IF(L484="F-30",3,IF(L484="F-60",4,IF(L484="F-90",5,0)))),0),0)+IF(AND(O484="FIRE TEX 5062",OR(E484="IN",E484="C",E484="Z",E484="L"),J484=3),VLOOKUP(_xlfn.MINIFS('FIRE TEX 5062'!$B$4:$B$34,'FIRE TEX 5062'!$B$4:$B$34,"&gt;="&amp;M484),'FIRE TEX 5062'!$B$4:$F$34,IF(L484="F-15",2,IF(L484="F-30",3,IF(L484="F-60",4,IF(L484="F-90",5,0)))),0),0)+IF(AND(O484="FIRE TEX 5062",OR(E484="IN",E484="C",E484="Z",E484="L"),J484=4),VLOOKUP(_xlfn.MINIFS('FIRE TEX 5062'!$G$4:$G$34,'FIRE TEX 5062'!$G$4:$G$34,"&gt;="&amp;M484),'FIRE TEX 5062'!$G$4:$K$34,IF(L484="F-15",2,IF(L484="F-30",3,IF(L484="F-60",4,IF(L484="F-90",5,0)))),0),0)+IF(AND(O484="FIRE TEX 5062",E484="CJ",J484=3),VLOOKUP(_xlfn.MINIFS('FIRE TEX 5062'!$L$4:$L$34,'FIRE TEX 5062'!$L$4:$L$34,"&gt;="&amp;M484),'FIRE TEX 5062'!$L$4:$P$34,IF(L484="F-15",2,IF(L484="F-30",3,IF(L484="F-60",4,IF(L484="F-90",5,0)))),0),0)+IF(AND(O484="FIRE TEX 5062",E484="CJ",J484=4),VLOOKUP(_xlfn.MINIFS('FIRE TEX 5062'!$Q$3:$Q$34,'FIRE TEX 5062'!$Q$3:$Q$34,"&gt;="&amp;M484),'FIRE TEX 5062'!$Q$3:$U$34,IF(L484="F-15",2,IF(L484="F-30",3,IF(L484="F-60",4,IF(L484="F-90",5,0)))),0),0)+IF(AND(O484="FIRE TEX 5090",OR(E484="IN",E484="C",E484="Z",E484="L"),J484=3),VLOOKUP(_xlfn.MINIFS('FIRE TEX 5090'!$B$5:$B$43,'FIRE TEX 5090'!$B$5:$B$43,"&gt;="&amp;M484),'FIRE TEX 5090'!$B$5:$H$43,IF(L484="F-15",2,IF(L484="F-30",3,IF(L484="F-60",4,IF(L484="F-90",5,IF(L484="F-120",6,IF(L484="F-150",7,0)))))),0),0)+IF(AND(O484="FIRE TEX 5090",OR(E484="IN",E484="C",E484="Z",E484="L"),J484=4),VLOOKUP(_xlfn.MINIFS('FIRE TEX 5090'!$J$5:$J$43,'FIRE TEX 5090'!$J$5:$J$43,"&gt;="&amp;M484),'FIRE TEX 5090'!$J$5:$P$43,IF(L484="F-15",2,IF(L484="F-30",3,IF(L484="F-60",4,IF(L484="F-90",5,IF(L484="F-120",6,IF(L484="F-150",7,0)))))),0),0)+IF(AND(O484="FIRE TEX 5090",E484="CJ",J484=3),VLOOKUP(_xlfn.MINIFS('FIRE TEX 5090'!$R$5:$R$30,'FIRE TEX 5090'!$R$5:$R$30,"&gt;="&amp;M484),'FIRE TEX 5090'!$R$5:$W$30,IF(L484="F-15",2,IF(L484="F-30",3,IF(L484="F-60",4,IF(L484="F-90",5,IF(L484="F-120",6,IF(L484="F-150",7,0)))))),0),0)+IF(AND(O484="FIRE TEX 5090",E484="CJ",J484=4),VLOOKUP(_xlfn.MINIFS('FIRE TEX 5090'!$Y$5:$Y$39,'FIRE TEX 5090'!$Y$5:$Y$39,"&gt;="&amp;M484),'FIRE TEX 5090'!$Y$5:$AD$39,IF(L484="F-15",2,IF(L484="F-30",3,IF(L484="F-60",4,IF(L484="F-90",5,IF(L484="F-120",6,IF(L484="F-150",7,0)))))),0),0)+IF(AND(O484="FIRE TEX 5120",OR(E484="IN",E484="C",E484="Z",E484="L"),J484=3),VLOOKUP(_xlfn.MINIFS('FIRE TEX 5120'!$B$5:$B$40,'FIRE TEX 5120'!$B$5:$B$40,"&gt;="&amp;M484),'FIRE TEX 5120'!$B$5:$G$40,IF(L484="F-15",2,IF(L484="F-30",3,IF(L484="F-60",4,IF(L484="F-90",5,IF(L484="F-120",6,0))))),0),0)+IF(AND(O484="FIRE TEX 5120",OR(E484="IN",E484="C",E484="Z",E484="L"),J484=4),VLOOKUP(_xlfn.MINIFS('FIRE TEX 5120'!$H$4:$H$40,'FIRE TEX 5120'!$H$4:$H$40,"&gt;="&amp;M484),'FIRE TEX 5120'!$H$4:$M$40,IF(L484="F-15",2,IF(L484="F-30",3,IF(L484="F-60",4,IF(L484="F-90",5,IF(L484="F-120",6,0))))),0),0)+IF(AND(O484="FIRE TEX 5120",E484="CJ"),VLOOKUP(_xlfn.MINIFS('FIRE TEX 5120'!$O$5:$O$40,'FIRE TEX 5120'!$O$5:$O$40,"&gt;="&amp;M484),'FIRE TEX 5120'!$O$5:$T$40,IF(L484="F-15",2,IF(L484="F-30",3,IF(L484="F-60",4,IF(L484="F-90",5,IF(L484="F-120",6,0))))),0),0)</f>
        <v>0</v>
      </c>
      <c r="Q484" s="46">
        <f t="shared" si="54"/>
        <v>0</v>
      </c>
      <c r="R484" s="46">
        <f t="shared" si="55"/>
        <v>0</v>
      </c>
      <c r="S484" s="46" t="e">
        <f t="shared" si="56"/>
        <v>#VALUE!</v>
      </c>
      <c r="T484" s="677">
        <f t="shared" si="57"/>
        <v>0</v>
      </c>
      <c r="U484" s="80">
        <f>(IF(O484="Stofire",(S484*#REF!),0))+(IF(O484="Fire Control",(S484*$U$2),0))+(IF(O484="Fire Tex",(S484*$U$3),0))+(IF(O484="WB7",(S484*#REF!),0)+(IF(O484="FX 2003",(S484*$U$5),0)))</f>
        <v>0</v>
      </c>
      <c r="V484" s="651">
        <f t="shared" si="58"/>
        <v>0</v>
      </c>
    </row>
    <row r="485" spans="4:22" x14ac:dyDescent="0.25">
      <c r="D485" s="118">
        <f>+CUBICACION!D484</f>
        <v>0</v>
      </c>
      <c r="E485" s="118">
        <f>+CUBICACION!F484</f>
        <v>0</v>
      </c>
      <c r="F485" s="118">
        <f>+CUBICACION!E484</f>
        <v>0</v>
      </c>
      <c r="G485" s="118">
        <v>12</v>
      </c>
      <c r="H485" s="118">
        <v>2</v>
      </c>
      <c r="I485" s="820">
        <v>26385</v>
      </c>
      <c r="J485" s="118">
        <f>+CUBICACION!J484</f>
        <v>0</v>
      </c>
      <c r="K485" s="118">
        <v>3264</v>
      </c>
      <c r="L485" s="118">
        <f>+CUBICACION!L484</f>
        <v>0</v>
      </c>
      <c r="M485" s="64">
        <f>+CUBICACION!M484</f>
        <v>0</v>
      </c>
      <c r="N485" s="824" t="str">
        <f>+CUBICACION!N484</f>
        <v/>
      </c>
      <c r="O485" s="675">
        <f>+CUBICACION!O484</f>
        <v>0</v>
      </c>
      <c r="P485" s="15">
        <f>IF(O485="Fire Control",VLOOKUP(_xlfn.MINIFS('FIRE CONTROL'!$C$4:$C$37,'FIRE CONTROL'!$C$4:$C$37,"&gt;="&amp;M485),'FIRE CONTROL'!$C$4:$G$37,IF(L485="F-15",2,IF(L485="F-30",3,IF(L485="F-60",4,IF(L485="F-90",5,0)))),0),0)+IF(AND(O485="FIRE TEX 5062",OR(E485="IN",E485="C",E485="Z",E485="L"),J485=3),VLOOKUP(_xlfn.MINIFS('FIRE TEX 5062'!$B$4:$B$34,'FIRE TEX 5062'!$B$4:$B$34,"&gt;="&amp;M485),'FIRE TEX 5062'!$B$4:$F$34,IF(L485="F-15",2,IF(L485="F-30",3,IF(L485="F-60",4,IF(L485="F-90",5,0)))),0),0)+IF(AND(O485="FIRE TEX 5062",OR(E485="IN",E485="C",E485="Z",E485="L"),J485=4),VLOOKUP(_xlfn.MINIFS('FIRE TEX 5062'!$G$4:$G$34,'FIRE TEX 5062'!$G$4:$G$34,"&gt;="&amp;M485),'FIRE TEX 5062'!$G$4:$K$34,IF(L485="F-15",2,IF(L485="F-30",3,IF(L485="F-60",4,IF(L485="F-90",5,0)))),0),0)+IF(AND(O485="FIRE TEX 5062",E485="CJ",J485=3),VLOOKUP(_xlfn.MINIFS('FIRE TEX 5062'!$L$4:$L$34,'FIRE TEX 5062'!$L$4:$L$34,"&gt;="&amp;M485),'FIRE TEX 5062'!$L$4:$P$34,IF(L485="F-15",2,IF(L485="F-30",3,IF(L485="F-60",4,IF(L485="F-90",5,0)))),0),0)+IF(AND(O485="FIRE TEX 5062",E485="CJ",J485=4),VLOOKUP(_xlfn.MINIFS('FIRE TEX 5062'!$Q$3:$Q$34,'FIRE TEX 5062'!$Q$3:$Q$34,"&gt;="&amp;M485),'FIRE TEX 5062'!$Q$3:$U$34,IF(L485="F-15",2,IF(L485="F-30",3,IF(L485="F-60",4,IF(L485="F-90",5,0)))),0),0)+IF(AND(O485="FIRE TEX 5090",OR(E485="IN",E485="C",E485="Z",E485="L"),J485=3),VLOOKUP(_xlfn.MINIFS('FIRE TEX 5090'!$B$5:$B$43,'FIRE TEX 5090'!$B$5:$B$43,"&gt;="&amp;M485),'FIRE TEX 5090'!$B$5:$H$43,IF(L485="F-15",2,IF(L485="F-30",3,IF(L485="F-60",4,IF(L485="F-90",5,IF(L485="F-120",6,IF(L485="F-150",7,0)))))),0),0)+IF(AND(O485="FIRE TEX 5090",OR(E485="IN",E485="C",E485="Z",E485="L"),J485=4),VLOOKUP(_xlfn.MINIFS('FIRE TEX 5090'!$J$5:$J$43,'FIRE TEX 5090'!$J$5:$J$43,"&gt;="&amp;M485),'FIRE TEX 5090'!$J$5:$P$43,IF(L485="F-15",2,IF(L485="F-30",3,IF(L485="F-60",4,IF(L485="F-90",5,IF(L485="F-120",6,IF(L485="F-150",7,0)))))),0),0)+IF(AND(O485="FIRE TEX 5090",E485="CJ",J485=3),VLOOKUP(_xlfn.MINIFS('FIRE TEX 5090'!$R$5:$R$30,'FIRE TEX 5090'!$R$5:$R$30,"&gt;="&amp;M485),'FIRE TEX 5090'!$R$5:$W$30,IF(L485="F-15",2,IF(L485="F-30",3,IF(L485="F-60",4,IF(L485="F-90",5,IF(L485="F-120",6,IF(L485="F-150",7,0)))))),0),0)+IF(AND(O485="FIRE TEX 5090",E485="CJ",J485=4),VLOOKUP(_xlfn.MINIFS('FIRE TEX 5090'!$Y$5:$Y$39,'FIRE TEX 5090'!$Y$5:$Y$39,"&gt;="&amp;M485),'FIRE TEX 5090'!$Y$5:$AD$39,IF(L485="F-15",2,IF(L485="F-30",3,IF(L485="F-60",4,IF(L485="F-90",5,IF(L485="F-120",6,IF(L485="F-150",7,0)))))),0),0)+IF(AND(O485="FIRE TEX 5120",OR(E485="IN",E485="C",E485="Z",E485="L"),J485=3),VLOOKUP(_xlfn.MINIFS('FIRE TEX 5120'!$B$5:$B$40,'FIRE TEX 5120'!$B$5:$B$40,"&gt;="&amp;M485),'FIRE TEX 5120'!$B$5:$G$40,IF(L485="F-15",2,IF(L485="F-30",3,IF(L485="F-60",4,IF(L485="F-90",5,IF(L485="F-120",6,0))))),0),0)+IF(AND(O485="FIRE TEX 5120",OR(E485="IN",E485="C",E485="Z",E485="L"),J485=4),VLOOKUP(_xlfn.MINIFS('FIRE TEX 5120'!$H$4:$H$40,'FIRE TEX 5120'!$H$4:$H$40,"&gt;="&amp;M485),'FIRE TEX 5120'!$H$4:$M$40,IF(L485="F-15",2,IF(L485="F-30",3,IF(L485="F-60",4,IF(L485="F-90",5,IF(L485="F-120",6,0))))),0),0)+IF(AND(O485="FIRE TEX 5120",E485="CJ"),VLOOKUP(_xlfn.MINIFS('FIRE TEX 5120'!$O$5:$O$40,'FIRE TEX 5120'!$O$5:$O$40,"&gt;="&amp;M485),'FIRE TEX 5120'!$O$5:$T$40,IF(L485="F-15",2,IF(L485="F-30",3,IF(L485="F-60",4,IF(L485="F-90",5,IF(L485="F-120",6,0))))),0),0)</f>
        <v>0</v>
      </c>
      <c r="Q485" s="46">
        <f t="shared" si="54"/>
        <v>0</v>
      </c>
      <c r="R485" s="46">
        <f t="shared" si="55"/>
        <v>0</v>
      </c>
      <c r="S485" s="46" t="e">
        <f t="shared" si="56"/>
        <v>#VALUE!</v>
      </c>
      <c r="T485" s="677">
        <f t="shared" si="57"/>
        <v>0</v>
      </c>
      <c r="U485" s="80">
        <f>(IF(O485="Stofire",(S485*#REF!),0))+(IF(O485="Fire Control",(S485*$U$2),0))+(IF(O485="Fire Tex",(S485*$U$3),0))+(IF(O485="WB7",(S485*#REF!),0)+(IF(O485="FX 2003",(S485*$U$5),0)))</f>
        <v>0</v>
      </c>
      <c r="V485" s="651">
        <f t="shared" si="58"/>
        <v>0</v>
      </c>
    </row>
    <row r="486" spans="4:22" x14ac:dyDescent="0.25">
      <c r="D486" s="118">
        <f>+CUBICACION!D485</f>
        <v>0</v>
      </c>
      <c r="E486" s="118">
        <f>+CUBICACION!F485</f>
        <v>0</v>
      </c>
      <c r="F486" s="118">
        <f>+CUBICACION!E485</f>
        <v>0</v>
      </c>
      <c r="G486" s="118">
        <v>12</v>
      </c>
      <c r="H486" s="118">
        <v>2</v>
      </c>
      <c r="I486" s="820">
        <v>26385</v>
      </c>
      <c r="J486" s="118">
        <f>+CUBICACION!J485</f>
        <v>0</v>
      </c>
      <c r="K486" s="118">
        <v>3265</v>
      </c>
      <c r="L486" s="118">
        <f>+CUBICACION!L485</f>
        <v>0</v>
      </c>
      <c r="M486" s="64">
        <f>+CUBICACION!M485</f>
        <v>0</v>
      </c>
      <c r="N486" s="824" t="str">
        <f>+CUBICACION!N485</f>
        <v/>
      </c>
      <c r="O486" s="675">
        <f>+CUBICACION!O485</f>
        <v>0</v>
      </c>
      <c r="P486" s="15">
        <f>IF(O486="Fire Control",VLOOKUP(_xlfn.MINIFS('FIRE CONTROL'!$C$4:$C$37,'FIRE CONTROL'!$C$4:$C$37,"&gt;="&amp;M486),'FIRE CONTROL'!$C$4:$G$37,IF(L486="F-15",2,IF(L486="F-30",3,IF(L486="F-60",4,IF(L486="F-90",5,0)))),0),0)+IF(AND(O486="FIRE TEX 5062",OR(E486="IN",E486="C",E486="Z",E486="L"),J486=3),VLOOKUP(_xlfn.MINIFS('FIRE TEX 5062'!$B$4:$B$34,'FIRE TEX 5062'!$B$4:$B$34,"&gt;="&amp;M486),'FIRE TEX 5062'!$B$4:$F$34,IF(L486="F-15",2,IF(L486="F-30",3,IF(L486="F-60",4,IF(L486="F-90",5,0)))),0),0)+IF(AND(O486="FIRE TEX 5062",OR(E486="IN",E486="C",E486="Z",E486="L"),J486=4),VLOOKUP(_xlfn.MINIFS('FIRE TEX 5062'!$G$4:$G$34,'FIRE TEX 5062'!$G$4:$G$34,"&gt;="&amp;M486),'FIRE TEX 5062'!$G$4:$K$34,IF(L486="F-15",2,IF(L486="F-30",3,IF(L486="F-60",4,IF(L486="F-90",5,0)))),0),0)+IF(AND(O486="FIRE TEX 5062",E486="CJ",J486=3),VLOOKUP(_xlfn.MINIFS('FIRE TEX 5062'!$L$4:$L$34,'FIRE TEX 5062'!$L$4:$L$34,"&gt;="&amp;M486),'FIRE TEX 5062'!$L$4:$P$34,IF(L486="F-15",2,IF(L486="F-30",3,IF(L486="F-60",4,IF(L486="F-90",5,0)))),0),0)+IF(AND(O486="FIRE TEX 5062",E486="CJ",J486=4),VLOOKUP(_xlfn.MINIFS('FIRE TEX 5062'!$Q$3:$Q$34,'FIRE TEX 5062'!$Q$3:$Q$34,"&gt;="&amp;M486),'FIRE TEX 5062'!$Q$3:$U$34,IF(L486="F-15",2,IF(L486="F-30",3,IF(L486="F-60",4,IF(L486="F-90",5,0)))),0),0)+IF(AND(O486="FIRE TEX 5090",OR(E486="IN",E486="C",E486="Z",E486="L"),J486=3),VLOOKUP(_xlfn.MINIFS('FIRE TEX 5090'!$B$5:$B$43,'FIRE TEX 5090'!$B$5:$B$43,"&gt;="&amp;M486),'FIRE TEX 5090'!$B$5:$H$43,IF(L486="F-15",2,IF(L486="F-30",3,IF(L486="F-60",4,IF(L486="F-90",5,IF(L486="F-120",6,IF(L486="F-150",7,0)))))),0),0)+IF(AND(O486="FIRE TEX 5090",OR(E486="IN",E486="C",E486="Z",E486="L"),J486=4),VLOOKUP(_xlfn.MINIFS('FIRE TEX 5090'!$J$5:$J$43,'FIRE TEX 5090'!$J$5:$J$43,"&gt;="&amp;M486),'FIRE TEX 5090'!$J$5:$P$43,IF(L486="F-15",2,IF(L486="F-30",3,IF(L486="F-60",4,IF(L486="F-90",5,IF(L486="F-120",6,IF(L486="F-150",7,0)))))),0),0)+IF(AND(O486="FIRE TEX 5090",E486="CJ",J486=3),VLOOKUP(_xlfn.MINIFS('FIRE TEX 5090'!$R$5:$R$30,'FIRE TEX 5090'!$R$5:$R$30,"&gt;="&amp;M486),'FIRE TEX 5090'!$R$5:$W$30,IF(L486="F-15",2,IF(L486="F-30",3,IF(L486="F-60",4,IF(L486="F-90",5,IF(L486="F-120",6,IF(L486="F-150",7,0)))))),0),0)+IF(AND(O486="FIRE TEX 5090",E486="CJ",J486=4),VLOOKUP(_xlfn.MINIFS('FIRE TEX 5090'!$Y$5:$Y$39,'FIRE TEX 5090'!$Y$5:$Y$39,"&gt;="&amp;M486),'FIRE TEX 5090'!$Y$5:$AD$39,IF(L486="F-15",2,IF(L486="F-30",3,IF(L486="F-60",4,IF(L486="F-90",5,IF(L486="F-120",6,IF(L486="F-150",7,0)))))),0),0)+IF(AND(O486="FIRE TEX 5120",OR(E486="IN",E486="C",E486="Z",E486="L"),J486=3),VLOOKUP(_xlfn.MINIFS('FIRE TEX 5120'!$B$5:$B$40,'FIRE TEX 5120'!$B$5:$B$40,"&gt;="&amp;M486),'FIRE TEX 5120'!$B$5:$G$40,IF(L486="F-15",2,IF(L486="F-30",3,IF(L486="F-60",4,IF(L486="F-90",5,IF(L486="F-120",6,0))))),0),0)+IF(AND(O486="FIRE TEX 5120",OR(E486="IN",E486="C",E486="Z",E486="L"),J486=4),VLOOKUP(_xlfn.MINIFS('FIRE TEX 5120'!$H$4:$H$40,'FIRE TEX 5120'!$H$4:$H$40,"&gt;="&amp;M486),'FIRE TEX 5120'!$H$4:$M$40,IF(L486="F-15",2,IF(L486="F-30",3,IF(L486="F-60",4,IF(L486="F-90",5,IF(L486="F-120",6,0))))),0),0)+IF(AND(O486="FIRE TEX 5120",E486="CJ"),VLOOKUP(_xlfn.MINIFS('FIRE TEX 5120'!$O$5:$O$40,'FIRE TEX 5120'!$O$5:$O$40,"&gt;="&amp;M486),'FIRE TEX 5120'!$O$5:$T$40,IF(L486="F-15",2,IF(L486="F-30",3,IF(L486="F-60",4,IF(L486="F-90",5,IF(L486="F-120",6,0))))),0),0)</f>
        <v>0</v>
      </c>
      <c r="Q486" s="46">
        <f t="shared" si="54"/>
        <v>0</v>
      </c>
      <c r="R486" s="46">
        <f t="shared" si="55"/>
        <v>0</v>
      </c>
      <c r="S486" s="46" t="e">
        <f t="shared" si="56"/>
        <v>#VALUE!</v>
      </c>
      <c r="T486" s="677">
        <f t="shared" si="57"/>
        <v>0</v>
      </c>
      <c r="U486" s="80">
        <f>(IF(O486="Stofire",(S486*#REF!),0))+(IF(O486="Fire Control",(S486*$U$2),0))+(IF(O486="Fire Tex",(S486*$U$3),0))+(IF(O486="WB7",(S486*#REF!),0)+(IF(O486="FX 2003",(S486*$U$5),0)))</f>
        <v>0</v>
      </c>
      <c r="V486" s="651">
        <f t="shared" si="58"/>
        <v>0</v>
      </c>
    </row>
    <row r="487" spans="4:22" x14ac:dyDescent="0.25">
      <c r="D487" s="118">
        <f>+CUBICACION!D486</f>
        <v>0</v>
      </c>
      <c r="E487" s="118">
        <f>+CUBICACION!F486</f>
        <v>0</v>
      </c>
      <c r="F487" s="118">
        <f>+CUBICACION!E486</f>
        <v>0</v>
      </c>
      <c r="G487" s="118">
        <v>12</v>
      </c>
      <c r="H487" s="118">
        <v>2</v>
      </c>
      <c r="I487" s="820">
        <v>26385</v>
      </c>
      <c r="J487" s="118">
        <f>+CUBICACION!J486</f>
        <v>0</v>
      </c>
      <c r="K487" s="118">
        <v>3266</v>
      </c>
      <c r="L487" s="118">
        <f>+CUBICACION!L486</f>
        <v>0</v>
      </c>
      <c r="M487" s="64">
        <f>+CUBICACION!M486</f>
        <v>0</v>
      </c>
      <c r="N487" s="824" t="str">
        <f>+CUBICACION!N486</f>
        <v/>
      </c>
      <c r="O487" s="675">
        <f>+CUBICACION!O486</f>
        <v>0</v>
      </c>
      <c r="P487" s="15">
        <f>IF(O487="Fire Control",VLOOKUP(_xlfn.MINIFS('FIRE CONTROL'!$C$4:$C$37,'FIRE CONTROL'!$C$4:$C$37,"&gt;="&amp;M487),'FIRE CONTROL'!$C$4:$G$37,IF(L487="F-15",2,IF(L487="F-30",3,IF(L487="F-60",4,IF(L487="F-90",5,0)))),0),0)+IF(AND(O487="FIRE TEX 5062",OR(E487="IN",E487="C",E487="Z",E487="L"),J487=3),VLOOKUP(_xlfn.MINIFS('FIRE TEX 5062'!$B$4:$B$34,'FIRE TEX 5062'!$B$4:$B$34,"&gt;="&amp;M487),'FIRE TEX 5062'!$B$4:$F$34,IF(L487="F-15",2,IF(L487="F-30",3,IF(L487="F-60",4,IF(L487="F-90",5,0)))),0),0)+IF(AND(O487="FIRE TEX 5062",OR(E487="IN",E487="C",E487="Z",E487="L"),J487=4),VLOOKUP(_xlfn.MINIFS('FIRE TEX 5062'!$G$4:$G$34,'FIRE TEX 5062'!$G$4:$G$34,"&gt;="&amp;M487),'FIRE TEX 5062'!$G$4:$K$34,IF(L487="F-15",2,IF(L487="F-30",3,IF(L487="F-60",4,IF(L487="F-90",5,0)))),0),0)+IF(AND(O487="FIRE TEX 5062",E487="CJ",J487=3),VLOOKUP(_xlfn.MINIFS('FIRE TEX 5062'!$L$4:$L$34,'FIRE TEX 5062'!$L$4:$L$34,"&gt;="&amp;M487),'FIRE TEX 5062'!$L$4:$P$34,IF(L487="F-15",2,IF(L487="F-30",3,IF(L487="F-60",4,IF(L487="F-90",5,0)))),0),0)+IF(AND(O487="FIRE TEX 5062",E487="CJ",J487=4),VLOOKUP(_xlfn.MINIFS('FIRE TEX 5062'!$Q$3:$Q$34,'FIRE TEX 5062'!$Q$3:$Q$34,"&gt;="&amp;M487),'FIRE TEX 5062'!$Q$3:$U$34,IF(L487="F-15",2,IF(L487="F-30",3,IF(L487="F-60",4,IF(L487="F-90",5,0)))),0),0)+IF(AND(O487="FIRE TEX 5090",OR(E487="IN",E487="C",E487="Z",E487="L"),J487=3),VLOOKUP(_xlfn.MINIFS('FIRE TEX 5090'!$B$5:$B$43,'FIRE TEX 5090'!$B$5:$B$43,"&gt;="&amp;M487),'FIRE TEX 5090'!$B$5:$H$43,IF(L487="F-15",2,IF(L487="F-30",3,IF(L487="F-60",4,IF(L487="F-90",5,IF(L487="F-120",6,IF(L487="F-150",7,0)))))),0),0)+IF(AND(O487="FIRE TEX 5090",OR(E487="IN",E487="C",E487="Z",E487="L"),J487=4),VLOOKUP(_xlfn.MINIFS('FIRE TEX 5090'!$J$5:$J$43,'FIRE TEX 5090'!$J$5:$J$43,"&gt;="&amp;M487),'FIRE TEX 5090'!$J$5:$P$43,IF(L487="F-15",2,IF(L487="F-30",3,IF(L487="F-60",4,IF(L487="F-90",5,IF(L487="F-120",6,IF(L487="F-150",7,0)))))),0),0)+IF(AND(O487="FIRE TEX 5090",E487="CJ",J487=3),VLOOKUP(_xlfn.MINIFS('FIRE TEX 5090'!$R$5:$R$30,'FIRE TEX 5090'!$R$5:$R$30,"&gt;="&amp;M487),'FIRE TEX 5090'!$R$5:$W$30,IF(L487="F-15",2,IF(L487="F-30",3,IF(L487="F-60",4,IF(L487="F-90",5,IF(L487="F-120",6,IF(L487="F-150",7,0)))))),0),0)+IF(AND(O487="FIRE TEX 5090",E487="CJ",J487=4),VLOOKUP(_xlfn.MINIFS('FIRE TEX 5090'!$Y$5:$Y$39,'FIRE TEX 5090'!$Y$5:$Y$39,"&gt;="&amp;M487),'FIRE TEX 5090'!$Y$5:$AD$39,IF(L487="F-15",2,IF(L487="F-30",3,IF(L487="F-60",4,IF(L487="F-90",5,IF(L487="F-120",6,IF(L487="F-150",7,0)))))),0),0)+IF(AND(O487="FIRE TEX 5120",OR(E487="IN",E487="C",E487="Z",E487="L"),J487=3),VLOOKUP(_xlfn.MINIFS('FIRE TEX 5120'!$B$5:$B$40,'FIRE TEX 5120'!$B$5:$B$40,"&gt;="&amp;M487),'FIRE TEX 5120'!$B$5:$G$40,IF(L487="F-15",2,IF(L487="F-30",3,IF(L487="F-60",4,IF(L487="F-90",5,IF(L487="F-120",6,0))))),0),0)+IF(AND(O487="FIRE TEX 5120",OR(E487="IN",E487="C",E487="Z",E487="L"),J487=4),VLOOKUP(_xlfn.MINIFS('FIRE TEX 5120'!$H$4:$H$40,'FIRE TEX 5120'!$H$4:$H$40,"&gt;="&amp;M487),'FIRE TEX 5120'!$H$4:$M$40,IF(L487="F-15",2,IF(L487="F-30",3,IF(L487="F-60",4,IF(L487="F-90",5,IF(L487="F-120",6,0))))),0),0)+IF(AND(O487="FIRE TEX 5120",E487="CJ"),VLOOKUP(_xlfn.MINIFS('FIRE TEX 5120'!$O$5:$O$40,'FIRE TEX 5120'!$O$5:$O$40,"&gt;="&amp;M487),'FIRE TEX 5120'!$O$5:$T$40,IF(L487="F-15",2,IF(L487="F-30",3,IF(L487="F-60",4,IF(L487="F-90",5,IF(L487="F-120",6,0))))),0),0)</f>
        <v>0</v>
      </c>
      <c r="Q487" s="46">
        <f t="shared" si="54"/>
        <v>0</v>
      </c>
      <c r="R487" s="46">
        <f t="shared" si="55"/>
        <v>0</v>
      </c>
      <c r="S487" s="46" t="e">
        <f t="shared" si="56"/>
        <v>#VALUE!</v>
      </c>
      <c r="T487" s="677">
        <f t="shared" si="57"/>
        <v>0</v>
      </c>
      <c r="U487" s="80">
        <f>(IF(O487="Stofire",(S487*#REF!),0))+(IF(O487="Fire Control",(S487*$U$2),0))+(IF(O487="Fire Tex",(S487*$U$3),0))+(IF(O487="WB7",(S487*#REF!),0)+(IF(O487="FX 2003",(S487*$U$5),0)))</f>
        <v>0</v>
      </c>
      <c r="V487" s="651">
        <f t="shared" si="58"/>
        <v>0</v>
      </c>
    </row>
    <row r="488" spans="4:22" x14ac:dyDescent="0.25">
      <c r="D488" s="118">
        <f>+CUBICACION!D487</f>
        <v>0</v>
      </c>
      <c r="E488" s="118">
        <f>+CUBICACION!F487</f>
        <v>0</v>
      </c>
      <c r="F488" s="118">
        <f>+CUBICACION!E487</f>
        <v>0</v>
      </c>
      <c r="G488" s="118">
        <v>12</v>
      </c>
      <c r="H488" s="118">
        <v>2</v>
      </c>
      <c r="I488" s="820">
        <v>26385</v>
      </c>
      <c r="J488" s="118">
        <f>+CUBICACION!J487</f>
        <v>0</v>
      </c>
      <c r="K488" s="118">
        <v>3267</v>
      </c>
      <c r="L488" s="118">
        <f>+CUBICACION!L487</f>
        <v>0</v>
      </c>
      <c r="M488" s="64">
        <f>+CUBICACION!M487</f>
        <v>0</v>
      </c>
      <c r="N488" s="824" t="str">
        <f>+CUBICACION!N487</f>
        <v/>
      </c>
      <c r="O488" s="675">
        <f>+CUBICACION!O487</f>
        <v>0</v>
      </c>
      <c r="P488" s="15">
        <f>IF(O488="Fire Control",VLOOKUP(_xlfn.MINIFS('FIRE CONTROL'!$C$4:$C$37,'FIRE CONTROL'!$C$4:$C$37,"&gt;="&amp;M488),'FIRE CONTROL'!$C$4:$G$37,IF(L488="F-15",2,IF(L488="F-30",3,IF(L488="F-60",4,IF(L488="F-90",5,0)))),0),0)+IF(AND(O488="FIRE TEX 5062",OR(E488="IN",E488="C",E488="Z",E488="L"),J488=3),VLOOKUP(_xlfn.MINIFS('FIRE TEX 5062'!$B$4:$B$34,'FIRE TEX 5062'!$B$4:$B$34,"&gt;="&amp;M488),'FIRE TEX 5062'!$B$4:$F$34,IF(L488="F-15",2,IF(L488="F-30",3,IF(L488="F-60",4,IF(L488="F-90",5,0)))),0),0)+IF(AND(O488="FIRE TEX 5062",OR(E488="IN",E488="C",E488="Z",E488="L"),J488=4),VLOOKUP(_xlfn.MINIFS('FIRE TEX 5062'!$G$4:$G$34,'FIRE TEX 5062'!$G$4:$G$34,"&gt;="&amp;M488),'FIRE TEX 5062'!$G$4:$K$34,IF(L488="F-15",2,IF(L488="F-30",3,IF(L488="F-60",4,IF(L488="F-90",5,0)))),0),0)+IF(AND(O488="FIRE TEX 5062",E488="CJ",J488=3),VLOOKUP(_xlfn.MINIFS('FIRE TEX 5062'!$L$4:$L$34,'FIRE TEX 5062'!$L$4:$L$34,"&gt;="&amp;M488),'FIRE TEX 5062'!$L$4:$P$34,IF(L488="F-15",2,IF(L488="F-30",3,IF(L488="F-60",4,IF(L488="F-90",5,0)))),0),0)+IF(AND(O488="FIRE TEX 5062",E488="CJ",J488=4),VLOOKUP(_xlfn.MINIFS('FIRE TEX 5062'!$Q$3:$Q$34,'FIRE TEX 5062'!$Q$3:$Q$34,"&gt;="&amp;M488),'FIRE TEX 5062'!$Q$3:$U$34,IF(L488="F-15",2,IF(L488="F-30",3,IF(L488="F-60",4,IF(L488="F-90",5,0)))),0),0)+IF(AND(O488="FIRE TEX 5090",OR(E488="IN",E488="C",E488="Z",E488="L"),J488=3),VLOOKUP(_xlfn.MINIFS('FIRE TEX 5090'!$B$5:$B$43,'FIRE TEX 5090'!$B$5:$B$43,"&gt;="&amp;M488),'FIRE TEX 5090'!$B$5:$H$43,IF(L488="F-15",2,IF(L488="F-30",3,IF(L488="F-60",4,IF(L488="F-90",5,IF(L488="F-120",6,IF(L488="F-150",7,0)))))),0),0)+IF(AND(O488="FIRE TEX 5090",OR(E488="IN",E488="C",E488="Z",E488="L"),J488=4),VLOOKUP(_xlfn.MINIFS('FIRE TEX 5090'!$J$5:$J$43,'FIRE TEX 5090'!$J$5:$J$43,"&gt;="&amp;M488),'FIRE TEX 5090'!$J$5:$P$43,IF(L488="F-15",2,IF(L488="F-30",3,IF(L488="F-60",4,IF(L488="F-90",5,IF(L488="F-120",6,IF(L488="F-150",7,0)))))),0),0)+IF(AND(O488="FIRE TEX 5090",E488="CJ",J488=3),VLOOKUP(_xlfn.MINIFS('FIRE TEX 5090'!$R$5:$R$30,'FIRE TEX 5090'!$R$5:$R$30,"&gt;="&amp;M488),'FIRE TEX 5090'!$R$5:$W$30,IF(L488="F-15",2,IF(L488="F-30",3,IF(L488="F-60",4,IF(L488="F-90",5,IF(L488="F-120",6,IF(L488="F-150",7,0)))))),0),0)+IF(AND(O488="FIRE TEX 5090",E488="CJ",J488=4),VLOOKUP(_xlfn.MINIFS('FIRE TEX 5090'!$Y$5:$Y$39,'FIRE TEX 5090'!$Y$5:$Y$39,"&gt;="&amp;M488),'FIRE TEX 5090'!$Y$5:$AD$39,IF(L488="F-15",2,IF(L488="F-30",3,IF(L488="F-60",4,IF(L488="F-90",5,IF(L488="F-120",6,IF(L488="F-150",7,0)))))),0),0)+IF(AND(O488="FIRE TEX 5120",OR(E488="IN",E488="C",E488="Z",E488="L"),J488=3),VLOOKUP(_xlfn.MINIFS('FIRE TEX 5120'!$B$5:$B$40,'FIRE TEX 5120'!$B$5:$B$40,"&gt;="&amp;M488),'FIRE TEX 5120'!$B$5:$G$40,IF(L488="F-15",2,IF(L488="F-30",3,IF(L488="F-60",4,IF(L488="F-90",5,IF(L488="F-120",6,0))))),0),0)+IF(AND(O488="FIRE TEX 5120",OR(E488="IN",E488="C",E488="Z",E488="L"),J488=4),VLOOKUP(_xlfn.MINIFS('FIRE TEX 5120'!$H$4:$H$40,'FIRE TEX 5120'!$H$4:$H$40,"&gt;="&amp;M488),'FIRE TEX 5120'!$H$4:$M$40,IF(L488="F-15",2,IF(L488="F-30",3,IF(L488="F-60",4,IF(L488="F-90",5,IF(L488="F-120",6,0))))),0),0)+IF(AND(O488="FIRE TEX 5120",E488="CJ"),VLOOKUP(_xlfn.MINIFS('FIRE TEX 5120'!$O$5:$O$40,'FIRE TEX 5120'!$O$5:$O$40,"&gt;="&amp;M488),'FIRE TEX 5120'!$O$5:$T$40,IF(L488="F-15",2,IF(L488="F-30",3,IF(L488="F-60",4,IF(L488="F-90",5,IF(L488="F-120",6,0))))),0),0)</f>
        <v>0</v>
      </c>
      <c r="Q488" s="46">
        <f t="shared" si="54"/>
        <v>0</v>
      </c>
      <c r="R488" s="46">
        <f t="shared" si="55"/>
        <v>0</v>
      </c>
      <c r="S488" s="46" t="e">
        <f t="shared" si="56"/>
        <v>#VALUE!</v>
      </c>
      <c r="T488" s="677">
        <f t="shared" si="57"/>
        <v>0</v>
      </c>
      <c r="U488" s="80">
        <f>(IF(O488="Stofire",(S488*#REF!),0))+(IF(O488="Fire Control",(S488*$U$2),0))+(IF(O488="Fire Tex",(S488*$U$3),0))+(IF(O488="WB7",(S488*#REF!),0)+(IF(O488="FX 2003",(S488*$U$5),0)))</f>
        <v>0</v>
      </c>
      <c r="V488" s="651">
        <f t="shared" si="58"/>
        <v>0</v>
      </c>
    </row>
    <row r="489" spans="4:22" x14ac:dyDescent="0.25">
      <c r="D489" s="118">
        <f>+CUBICACION!D488</f>
        <v>0</v>
      </c>
      <c r="E489" s="118">
        <f>+CUBICACION!F488</f>
        <v>0</v>
      </c>
      <c r="F489" s="118">
        <f>+CUBICACION!E488</f>
        <v>0</v>
      </c>
      <c r="G489" s="118">
        <v>12</v>
      </c>
      <c r="H489" s="118">
        <v>2</v>
      </c>
      <c r="I489" s="820">
        <v>26385</v>
      </c>
      <c r="J489" s="118">
        <f>+CUBICACION!J488</f>
        <v>0</v>
      </c>
      <c r="K489" s="118">
        <v>3268</v>
      </c>
      <c r="L489" s="118">
        <f>+CUBICACION!L488</f>
        <v>0</v>
      </c>
      <c r="M489" s="64">
        <f>+CUBICACION!M488</f>
        <v>0</v>
      </c>
      <c r="N489" s="824" t="str">
        <f>+CUBICACION!N488</f>
        <v/>
      </c>
      <c r="O489" s="675">
        <f>+CUBICACION!O488</f>
        <v>0</v>
      </c>
      <c r="P489" s="15">
        <f>IF(O489="Fire Control",VLOOKUP(_xlfn.MINIFS('FIRE CONTROL'!$C$4:$C$37,'FIRE CONTROL'!$C$4:$C$37,"&gt;="&amp;M489),'FIRE CONTROL'!$C$4:$G$37,IF(L489="F-15",2,IF(L489="F-30",3,IF(L489="F-60",4,IF(L489="F-90",5,0)))),0),0)+IF(AND(O489="FIRE TEX 5062",OR(E489="IN",E489="C",E489="Z",E489="L"),J489=3),VLOOKUP(_xlfn.MINIFS('FIRE TEX 5062'!$B$4:$B$34,'FIRE TEX 5062'!$B$4:$B$34,"&gt;="&amp;M489),'FIRE TEX 5062'!$B$4:$F$34,IF(L489="F-15",2,IF(L489="F-30",3,IF(L489="F-60",4,IF(L489="F-90",5,0)))),0),0)+IF(AND(O489="FIRE TEX 5062",OR(E489="IN",E489="C",E489="Z",E489="L"),J489=4),VLOOKUP(_xlfn.MINIFS('FIRE TEX 5062'!$G$4:$G$34,'FIRE TEX 5062'!$G$4:$G$34,"&gt;="&amp;M489),'FIRE TEX 5062'!$G$4:$K$34,IF(L489="F-15",2,IF(L489="F-30",3,IF(L489="F-60",4,IF(L489="F-90",5,0)))),0),0)+IF(AND(O489="FIRE TEX 5062",E489="CJ",J489=3),VLOOKUP(_xlfn.MINIFS('FIRE TEX 5062'!$L$4:$L$34,'FIRE TEX 5062'!$L$4:$L$34,"&gt;="&amp;M489),'FIRE TEX 5062'!$L$4:$P$34,IF(L489="F-15",2,IF(L489="F-30",3,IF(L489="F-60",4,IF(L489="F-90",5,0)))),0),0)+IF(AND(O489="FIRE TEX 5062",E489="CJ",J489=4),VLOOKUP(_xlfn.MINIFS('FIRE TEX 5062'!$Q$3:$Q$34,'FIRE TEX 5062'!$Q$3:$Q$34,"&gt;="&amp;M489),'FIRE TEX 5062'!$Q$3:$U$34,IF(L489="F-15",2,IF(L489="F-30",3,IF(L489="F-60",4,IF(L489="F-90",5,0)))),0),0)+IF(AND(O489="FIRE TEX 5090",OR(E489="IN",E489="C",E489="Z",E489="L"),J489=3),VLOOKUP(_xlfn.MINIFS('FIRE TEX 5090'!$B$5:$B$43,'FIRE TEX 5090'!$B$5:$B$43,"&gt;="&amp;M489),'FIRE TEX 5090'!$B$5:$H$43,IF(L489="F-15",2,IF(L489="F-30",3,IF(L489="F-60",4,IF(L489="F-90",5,IF(L489="F-120",6,IF(L489="F-150",7,0)))))),0),0)+IF(AND(O489="FIRE TEX 5090",OR(E489="IN",E489="C",E489="Z",E489="L"),J489=4),VLOOKUP(_xlfn.MINIFS('FIRE TEX 5090'!$J$5:$J$43,'FIRE TEX 5090'!$J$5:$J$43,"&gt;="&amp;M489),'FIRE TEX 5090'!$J$5:$P$43,IF(L489="F-15",2,IF(L489="F-30",3,IF(L489="F-60",4,IF(L489="F-90",5,IF(L489="F-120",6,IF(L489="F-150",7,0)))))),0),0)+IF(AND(O489="FIRE TEX 5090",E489="CJ",J489=3),VLOOKUP(_xlfn.MINIFS('FIRE TEX 5090'!$R$5:$R$30,'FIRE TEX 5090'!$R$5:$R$30,"&gt;="&amp;M489),'FIRE TEX 5090'!$R$5:$W$30,IF(L489="F-15",2,IF(L489="F-30",3,IF(L489="F-60",4,IF(L489="F-90",5,IF(L489="F-120",6,IF(L489="F-150",7,0)))))),0),0)+IF(AND(O489="FIRE TEX 5090",E489="CJ",J489=4),VLOOKUP(_xlfn.MINIFS('FIRE TEX 5090'!$Y$5:$Y$39,'FIRE TEX 5090'!$Y$5:$Y$39,"&gt;="&amp;M489),'FIRE TEX 5090'!$Y$5:$AD$39,IF(L489="F-15",2,IF(L489="F-30",3,IF(L489="F-60",4,IF(L489="F-90",5,IF(L489="F-120",6,IF(L489="F-150",7,0)))))),0),0)+IF(AND(O489="FIRE TEX 5120",OR(E489="IN",E489="C",E489="Z",E489="L"),J489=3),VLOOKUP(_xlfn.MINIFS('FIRE TEX 5120'!$B$5:$B$40,'FIRE TEX 5120'!$B$5:$B$40,"&gt;="&amp;M489),'FIRE TEX 5120'!$B$5:$G$40,IF(L489="F-15",2,IF(L489="F-30",3,IF(L489="F-60",4,IF(L489="F-90",5,IF(L489="F-120",6,0))))),0),0)+IF(AND(O489="FIRE TEX 5120",OR(E489="IN",E489="C",E489="Z",E489="L"),J489=4),VLOOKUP(_xlfn.MINIFS('FIRE TEX 5120'!$H$4:$H$40,'FIRE TEX 5120'!$H$4:$H$40,"&gt;="&amp;M489),'FIRE TEX 5120'!$H$4:$M$40,IF(L489="F-15",2,IF(L489="F-30",3,IF(L489="F-60",4,IF(L489="F-90",5,IF(L489="F-120",6,0))))),0),0)+IF(AND(O489="FIRE TEX 5120",E489="CJ"),VLOOKUP(_xlfn.MINIFS('FIRE TEX 5120'!$O$5:$O$40,'FIRE TEX 5120'!$O$5:$O$40,"&gt;="&amp;M489),'FIRE TEX 5120'!$O$5:$T$40,IF(L489="F-15",2,IF(L489="F-30",3,IF(L489="F-60",4,IF(L489="F-90",5,IF(L489="F-120",6,0))))),0),0)</f>
        <v>0</v>
      </c>
      <c r="Q489" s="46">
        <f t="shared" si="54"/>
        <v>0</v>
      </c>
      <c r="R489" s="46">
        <f t="shared" si="55"/>
        <v>0</v>
      </c>
      <c r="S489" s="46" t="e">
        <f t="shared" si="56"/>
        <v>#VALUE!</v>
      </c>
      <c r="T489" s="677">
        <f t="shared" si="57"/>
        <v>0</v>
      </c>
      <c r="U489" s="80">
        <f>(IF(O489="Stofire",(S489*#REF!),0))+(IF(O489="Fire Control",(S489*$U$2),0))+(IF(O489="Fire Tex",(S489*$U$3),0))+(IF(O489="WB7",(S489*#REF!),0)+(IF(O489="FX 2003",(S489*$U$5),0)))</f>
        <v>0</v>
      </c>
      <c r="V489" s="651">
        <f t="shared" si="58"/>
        <v>0</v>
      </c>
    </row>
    <row r="490" spans="4:22" x14ac:dyDescent="0.25">
      <c r="D490" s="118">
        <f>+CUBICACION!D489</f>
        <v>0</v>
      </c>
      <c r="E490" s="118">
        <f>+CUBICACION!F489</f>
        <v>0</v>
      </c>
      <c r="F490" s="118">
        <f>+CUBICACION!E489</f>
        <v>0</v>
      </c>
      <c r="G490" s="118">
        <v>12</v>
      </c>
      <c r="H490" s="118">
        <v>2</v>
      </c>
      <c r="I490" s="820">
        <v>26385</v>
      </c>
      <c r="J490" s="118">
        <f>+CUBICACION!J489</f>
        <v>0</v>
      </c>
      <c r="K490" s="118">
        <v>3269</v>
      </c>
      <c r="L490" s="118">
        <f>+CUBICACION!L489</f>
        <v>0</v>
      </c>
      <c r="M490" s="64">
        <f>+CUBICACION!M489</f>
        <v>0</v>
      </c>
      <c r="N490" s="824" t="str">
        <f>+CUBICACION!N489</f>
        <v/>
      </c>
      <c r="O490" s="675">
        <f>+CUBICACION!O489</f>
        <v>0</v>
      </c>
      <c r="P490" s="15">
        <f>IF(O490="Fire Control",VLOOKUP(_xlfn.MINIFS('FIRE CONTROL'!$C$4:$C$37,'FIRE CONTROL'!$C$4:$C$37,"&gt;="&amp;M490),'FIRE CONTROL'!$C$4:$G$37,IF(L490="F-15",2,IF(L490="F-30",3,IF(L490="F-60",4,IF(L490="F-90",5,0)))),0),0)+IF(AND(O490="FIRE TEX 5062",OR(E490="IN",E490="C",E490="Z",E490="L"),J490=3),VLOOKUP(_xlfn.MINIFS('FIRE TEX 5062'!$B$4:$B$34,'FIRE TEX 5062'!$B$4:$B$34,"&gt;="&amp;M490),'FIRE TEX 5062'!$B$4:$F$34,IF(L490="F-15",2,IF(L490="F-30",3,IF(L490="F-60",4,IF(L490="F-90",5,0)))),0),0)+IF(AND(O490="FIRE TEX 5062",OR(E490="IN",E490="C",E490="Z",E490="L"),J490=4),VLOOKUP(_xlfn.MINIFS('FIRE TEX 5062'!$G$4:$G$34,'FIRE TEX 5062'!$G$4:$G$34,"&gt;="&amp;M490),'FIRE TEX 5062'!$G$4:$K$34,IF(L490="F-15",2,IF(L490="F-30",3,IF(L490="F-60",4,IF(L490="F-90",5,0)))),0),0)+IF(AND(O490="FIRE TEX 5062",E490="CJ",J490=3),VLOOKUP(_xlfn.MINIFS('FIRE TEX 5062'!$L$4:$L$34,'FIRE TEX 5062'!$L$4:$L$34,"&gt;="&amp;M490),'FIRE TEX 5062'!$L$4:$P$34,IF(L490="F-15",2,IF(L490="F-30",3,IF(L490="F-60",4,IF(L490="F-90",5,0)))),0),0)+IF(AND(O490="FIRE TEX 5062",E490="CJ",J490=4),VLOOKUP(_xlfn.MINIFS('FIRE TEX 5062'!$Q$3:$Q$34,'FIRE TEX 5062'!$Q$3:$Q$34,"&gt;="&amp;M490),'FIRE TEX 5062'!$Q$3:$U$34,IF(L490="F-15",2,IF(L490="F-30",3,IF(L490="F-60",4,IF(L490="F-90",5,0)))),0),0)+IF(AND(O490="FIRE TEX 5090",OR(E490="IN",E490="C",E490="Z",E490="L"),J490=3),VLOOKUP(_xlfn.MINIFS('FIRE TEX 5090'!$B$5:$B$43,'FIRE TEX 5090'!$B$5:$B$43,"&gt;="&amp;M490),'FIRE TEX 5090'!$B$5:$H$43,IF(L490="F-15",2,IF(L490="F-30",3,IF(L490="F-60",4,IF(L490="F-90",5,IF(L490="F-120",6,IF(L490="F-150",7,0)))))),0),0)+IF(AND(O490="FIRE TEX 5090",OR(E490="IN",E490="C",E490="Z",E490="L"),J490=4),VLOOKUP(_xlfn.MINIFS('FIRE TEX 5090'!$J$5:$J$43,'FIRE TEX 5090'!$J$5:$J$43,"&gt;="&amp;M490),'FIRE TEX 5090'!$J$5:$P$43,IF(L490="F-15",2,IF(L490="F-30",3,IF(L490="F-60",4,IF(L490="F-90",5,IF(L490="F-120",6,IF(L490="F-150",7,0)))))),0),0)+IF(AND(O490="FIRE TEX 5090",E490="CJ",J490=3),VLOOKUP(_xlfn.MINIFS('FIRE TEX 5090'!$R$5:$R$30,'FIRE TEX 5090'!$R$5:$R$30,"&gt;="&amp;M490),'FIRE TEX 5090'!$R$5:$W$30,IF(L490="F-15",2,IF(L490="F-30",3,IF(L490="F-60",4,IF(L490="F-90",5,IF(L490="F-120",6,IF(L490="F-150",7,0)))))),0),0)+IF(AND(O490="FIRE TEX 5090",E490="CJ",J490=4),VLOOKUP(_xlfn.MINIFS('FIRE TEX 5090'!$Y$5:$Y$39,'FIRE TEX 5090'!$Y$5:$Y$39,"&gt;="&amp;M490),'FIRE TEX 5090'!$Y$5:$AD$39,IF(L490="F-15",2,IF(L490="F-30",3,IF(L490="F-60",4,IF(L490="F-90",5,IF(L490="F-120",6,IF(L490="F-150",7,0)))))),0),0)+IF(AND(O490="FIRE TEX 5120",OR(E490="IN",E490="C",E490="Z",E490="L"),J490=3),VLOOKUP(_xlfn.MINIFS('FIRE TEX 5120'!$B$5:$B$40,'FIRE TEX 5120'!$B$5:$B$40,"&gt;="&amp;M490),'FIRE TEX 5120'!$B$5:$G$40,IF(L490="F-15",2,IF(L490="F-30",3,IF(L490="F-60",4,IF(L490="F-90",5,IF(L490="F-120",6,0))))),0),0)+IF(AND(O490="FIRE TEX 5120",OR(E490="IN",E490="C",E490="Z",E490="L"),J490=4),VLOOKUP(_xlfn.MINIFS('FIRE TEX 5120'!$H$4:$H$40,'FIRE TEX 5120'!$H$4:$H$40,"&gt;="&amp;M490),'FIRE TEX 5120'!$H$4:$M$40,IF(L490="F-15",2,IF(L490="F-30",3,IF(L490="F-60",4,IF(L490="F-90",5,IF(L490="F-120",6,0))))),0),0)+IF(AND(O490="FIRE TEX 5120",E490="CJ"),VLOOKUP(_xlfn.MINIFS('FIRE TEX 5120'!$O$5:$O$40,'FIRE TEX 5120'!$O$5:$O$40,"&gt;="&amp;M490),'FIRE TEX 5120'!$O$5:$T$40,IF(L490="F-15",2,IF(L490="F-30",3,IF(L490="F-60",4,IF(L490="F-90",5,IF(L490="F-120",6,0))))),0),0)</f>
        <v>0</v>
      </c>
      <c r="Q490" s="46">
        <f t="shared" si="54"/>
        <v>0</v>
      </c>
      <c r="R490" s="46">
        <f t="shared" si="55"/>
        <v>0</v>
      </c>
      <c r="S490" s="46" t="e">
        <f t="shared" si="56"/>
        <v>#VALUE!</v>
      </c>
      <c r="T490" s="677">
        <f t="shared" si="57"/>
        <v>0</v>
      </c>
      <c r="U490" s="80">
        <f>(IF(O490="Stofire",(S490*#REF!),0))+(IF(O490="Fire Control",(S490*$U$2),0))+(IF(O490="Fire Tex",(S490*$U$3),0))+(IF(O490="WB7",(S490*#REF!),0)+(IF(O490="FX 2003",(S490*$U$5),0)))</f>
        <v>0</v>
      </c>
      <c r="V490" s="651">
        <f t="shared" si="58"/>
        <v>0</v>
      </c>
    </row>
    <row r="491" spans="4:22" x14ac:dyDescent="0.25">
      <c r="D491" s="118">
        <f>+CUBICACION!D490</f>
        <v>0</v>
      </c>
      <c r="E491" s="118">
        <f>+CUBICACION!F490</f>
        <v>0</v>
      </c>
      <c r="F491" s="118">
        <f>+CUBICACION!E490</f>
        <v>0</v>
      </c>
      <c r="G491" s="118">
        <v>12</v>
      </c>
      <c r="H491" s="118">
        <v>2</v>
      </c>
      <c r="I491" s="820">
        <v>26385</v>
      </c>
      <c r="J491" s="118">
        <f>+CUBICACION!J490</f>
        <v>0</v>
      </c>
      <c r="K491" s="118">
        <v>3270</v>
      </c>
      <c r="L491" s="118">
        <f>+CUBICACION!L490</f>
        <v>0</v>
      </c>
      <c r="M491" s="64">
        <f>+CUBICACION!M490</f>
        <v>0</v>
      </c>
      <c r="N491" s="824" t="str">
        <f>+CUBICACION!N490</f>
        <v/>
      </c>
      <c r="O491" s="675">
        <f>+CUBICACION!O490</f>
        <v>0</v>
      </c>
      <c r="P491" s="15">
        <f>IF(O491="Fire Control",VLOOKUP(_xlfn.MINIFS('FIRE CONTROL'!$C$4:$C$37,'FIRE CONTROL'!$C$4:$C$37,"&gt;="&amp;M491),'FIRE CONTROL'!$C$4:$G$37,IF(L491="F-15",2,IF(L491="F-30",3,IF(L491="F-60",4,IF(L491="F-90",5,0)))),0),0)+IF(AND(O491="FIRE TEX 5062",OR(E491="IN",E491="C",E491="Z",E491="L"),J491=3),VLOOKUP(_xlfn.MINIFS('FIRE TEX 5062'!$B$4:$B$34,'FIRE TEX 5062'!$B$4:$B$34,"&gt;="&amp;M491),'FIRE TEX 5062'!$B$4:$F$34,IF(L491="F-15",2,IF(L491="F-30",3,IF(L491="F-60",4,IF(L491="F-90",5,0)))),0),0)+IF(AND(O491="FIRE TEX 5062",OR(E491="IN",E491="C",E491="Z",E491="L"),J491=4),VLOOKUP(_xlfn.MINIFS('FIRE TEX 5062'!$G$4:$G$34,'FIRE TEX 5062'!$G$4:$G$34,"&gt;="&amp;M491),'FIRE TEX 5062'!$G$4:$K$34,IF(L491="F-15",2,IF(L491="F-30",3,IF(L491="F-60",4,IF(L491="F-90",5,0)))),0),0)+IF(AND(O491="FIRE TEX 5062",E491="CJ",J491=3),VLOOKUP(_xlfn.MINIFS('FIRE TEX 5062'!$L$4:$L$34,'FIRE TEX 5062'!$L$4:$L$34,"&gt;="&amp;M491),'FIRE TEX 5062'!$L$4:$P$34,IF(L491="F-15",2,IF(L491="F-30",3,IF(L491="F-60",4,IF(L491="F-90",5,0)))),0),0)+IF(AND(O491="FIRE TEX 5062",E491="CJ",J491=4),VLOOKUP(_xlfn.MINIFS('FIRE TEX 5062'!$Q$3:$Q$34,'FIRE TEX 5062'!$Q$3:$Q$34,"&gt;="&amp;M491),'FIRE TEX 5062'!$Q$3:$U$34,IF(L491="F-15",2,IF(L491="F-30",3,IF(L491="F-60",4,IF(L491="F-90",5,0)))),0),0)+IF(AND(O491="FIRE TEX 5090",OR(E491="IN",E491="C",E491="Z",E491="L"),J491=3),VLOOKUP(_xlfn.MINIFS('FIRE TEX 5090'!$B$5:$B$43,'FIRE TEX 5090'!$B$5:$B$43,"&gt;="&amp;M491),'FIRE TEX 5090'!$B$5:$H$43,IF(L491="F-15",2,IF(L491="F-30",3,IF(L491="F-60",4,IF(L491="F-90",5,IF(L491="F-120",6,IF(L491="F-150",7,0)))))),0),0)+IF(AND(O491="FIRE TEX 5090",OR(E491="IN",E491="C",E491="Z",E491="L"),J491=4),VLOOKUP(_xlfn.MINIFS('FIRE TEX 5090'!$J$5:$J$43,'FIRE TEX 5090'!$J$5:$J$43,"&gt;="&amp;M491),'FIRE TEX 5090'!$J$5:$P$43,IF(L491="F-15",2,IF(L491="F-30",3,IF(L491="F-60",4,IF(L491="F-90",5,IF(L491="F-120",6,IF(L491="F-150",7,0)))))),0),0)+IF(AND(O491="FIRE TEX 5090",E491="CJ",J491=3),VLOOKUP(_xlfn.MINIFS('FIRE TEX 5090'!$R$5:$R$30,'FIRE TEX 5090'!$R$5:$R$30,"&gt;="&amp;M491),'FIRE TEX 5090'!$R$5:$W$30,IF(L491="F-15",2,IF(L491="F-30",3,IF(L491="F-60",4,IF(L491="F-90",5,IF(L491="F-120",6,IF(L491="F-150",7,0)))))),0),0)+IF(AND(O491="FIRE TEX 5090",E491="CJ",J491=4),VLOOKUP(_xlfn.MINIFS('FIRE TEX 5090'!$Y$5:$Y$39,'FIRE TEX 5090'!$Y$5:$Y$39,"&gt;="&amp;M491),'FIRE TEX 5090'!$Y$5:$AD$39,IF(L491="F-15",2,IF(L491="F-30",3,IF(L491="F-60",4,IF(L491="F-90",5,IF(L491="F-120",6,IF(L491="F-150",7,0)))))),0),0)+IF(AND(O491="FIRE TEX 5120",OR(E491="IN",E491="C",E491="Z",E491="L"),J491=3),VLOOKUP(_xlfn.MINIFS('FIRE TEX 5120'!$B$5:$B$40,'FIRE TEX 5120'!$B$5:$B$40,"&gt;="&amp;M491),'FIRE TEX 5120'!$B$5:$G$40,IF(L491="F-15",2,IF(L491="F-30",3,IF(L491="F-60",4,IF(L491="F-90",5,IF(L491="F-120",6,0))))),0),0)+IF(AND(O491="FIRE TEX 5120",OR(E491="IN",E491="C",E491="Z",E491="L"),J491=4),VLOOKUP(_xlfn.MINIFS('FIRE TEX 5120'!$H$4:$H$40,'FIRE TEX 5120'!$H$4:$H$40,"&gt;="&amp;M491),'FIRE TEX 5120'!$H$4:$M$40,IF(L491="F-15",2,IF(L491="F-30",3,IF(L491="F-60",4,IF(L491="F-90",5,IF(L491="F-120",6,0))))),0),0)+IF(AND(O491="FIRE TEX 5120",E491="CJ"),VLOOKUP(_xlfn.MINIFS('FIRE TEX 5120'!$O$5:$O$40,'FIRE TEX 5120'!$O$5:$O$40,"&gt;="&amp;M491),'FIRE TEX 5120'!$O$5:$T$40,IF(L491="F-15",2,IF(L491="F-30",3,IF(L491="F-60",4,IF(L491="F-90",5,IF(L491="F-120",6,0))))),0),0)</f>
        <v>0</v>
      </c>
      <c r="Q491" s="46">
        <f t="shared" si="54"/>
        <v>0</v>
      </c>
      <c r="R491" s="46">
        <f t="shared" si="55"/>
        <v>0</v>
      </c>
      <c r="S491" s="46" t="e">
        <f t="shared" si="56"/>
        <v>#VALUE!</v>
      </c>
      <c r="T491" s="677">
        <f t="shared" si="57"/>
        <v>0</v>
      </c>
      <c r="U491" s="80">
        <f>(IF(O491="Stofire",(S491*#REF!),0))+(IF(O491="Fire Control",(S491*$U$2),0))+(IF(O491="Fire Tex",(S491*$U$3),0))+(IF(O491="WB7",(S491*#REF!),0)+(IF(O491="FX 2003",(S491*$U$5),0)))</f>
        <v>0</v>
      </c>
      <c r="V491" s="651">
        <f t="shared" si="58"/>
        <v>0</v>
      </c>
    </row>
    <row r="492" spans="4:22" x14ac:dyDescent="0.25">
      <c r="D492" s="118">
        <f>+CUBICACION!D491</f>
        <v>0</v>
      </c>
      <c r="E492" s="118">
        <f>+CUBICACION!F491</f>
        <v>0</v>
      </c>
      <c r="F492" s="118">
        <f>+CUBICACION!E491</f>
        <v>0</v>
      </c>
      <c r="G492" s="118">
        <v>12</v>
      </c>
      <c r="H492" s="118">
        <v>2</v>
      </c>
      <c r="I492" s="820">
        <v>26385</v>
      </c>
      <c r="J492" s="118">
        <f>+CUBICACION!J491</f>
        <v>0</v>
      </c>
      <c r="K492" s="118">
        <v>3271</v>
      </c>
      <c r="L492" s="118">
        <f>+CUBICACION!L491</f>
        <v>0</v>
      </c>
      <c r="M492" s="64">
        <f>+CUBICACION!M491</f>
        <v>0</v>
      </c>
      <c r="N492" s="824" t="str">
        <f>+CUBICACION!N491</f>
        <v/>
      </c>
      <c r="O492" s="675">
        <f>+CUBICACION!O491</f>
        <v>0</v>
      </c>
      <c r="P492" s="15">
        <f>IF(O492="Fire Control",VLOOKUP(_xlfn.MINIFS('FIRE CONTROL'!$C$4:$C$37,'FIRE CONTROL'!$C$4:$C$37,"&gt;="&amp;M492),'FIRE CONTROL'!$C$4:$G$37,IF(L492="F-15",2,IF(L492="F-30",3,IF(L492="F-60",4,IF(L492="F-90",5,0)))),0),0)+IF(AND(O492="FIRE TEX 5062",OR(E492="IN",E492="C",E492="Z",E492="L"),J492=3),VLOOKUP(_xlfn.MINIFS('FIRE TEX 5062'!$B$4:$B$34,'FIRE TEX 5062'!$B$4:$B$34,"&gt;="&amp;M492),'FIRE TEX 5062'!$B$4:$F$34,IF(L492="F-15",2,IF(L492="F-30",3,IF(L492="F-60",4,IF(L492="F-90",5,0)))),0),0)+IF(AND(O492="FIRE TEX 5062",OR(E492="IN",E492="C",E492="Z",E492="L"),J492=4),VLOOKUP(_xlfn.MINIFS('FIRE TEX 5062'!$G$4:$G$34,'FIRE TEX 5062'!$G$4:$G$34,"&gt;="&amp;M492),'FIRE TEX 5062'!$G$4:$K$34,IF(L492="F-15",2,IF(L492="F-30",3,IF(L492="F-60",4,IF(L492="F-90",5,0)))),0),0)+IF(AND(O492="FIRE TEX 5062",E492="CJ",J492=3),VLOOKUP(_xlfn.MINIFS('FIRE TEX 5062'!$L$4:$L$34,'FIRE TEX 5062'!$L$4:$L$34,"&gt;="&amp;M492),'FIRE TEX 5062'!$L$4:$P$34,IF(L492="F-15",2,IF(L492="F-30",3,IF(L492="F-60",4,IF(L492="F-90",5,0)))),0),0)+IF(AND(O492="FIRE TEX 5062",E492="CJ",J492=4),VLOOKUP(_xlfn.MINIFS('FIRE TEX 5062'!$Q$3:$Q$34,'FIRE TEX 5062'!$Q$3:$Q$34,"&gt;="&amp;M492),'FIRE TEX 5062'!$Q$3:$U$34,IF(L492="F-15",2,IF(L492="F-30",3,IF(L492="F-60",4,IF(L492="F-90",5,0)))),0),0)+IF(AND(O492="FIRE TEX 5090",OR(E492="IN",E492="C",E492="Z",E492="L"),J492=3),VLOOKUP(_xlfn.MINIFS('FIRE TEX 5090'!$B$5:$B$43,'FIRE TEX 5090'!$B$5:$B$43,"&gt;="&amp;M492),'FIRE TEX 5090'!$B$5:$H$43,IF(L492="F-15",2,IF(L492="F-30",3,IF(L492="F-60",4,IF(L492="F-90",5,IF(L492="F-120",6,IF(L492="F-150",7,0)))))),0),0)+IF(AND(O492="FIRE TEX 5090",OR(E492="IN",E492="C",E492="Z",E492="L"),J492=4),VLOOKUP(_xlfn.MINIFS('FIRE TEX 5090'!$J$5:$J$43,'FIRE TEX 5090'!$J$5:$J$43,"&gt;="&amp;M492),'FIRE TEX 5090'!$J$5:$P$43,IF(L492="F-15",2,IF(L492="F-30",3,IF(L492="F-60",4,IF(L492="F-90",5,IF(L492="F-120",6,IF(L492="F-150",7,0)))))),0),0)+IF(AND(O492="FIRE TEX 5090",E492="CJ",J492=3),VLOOKUP(_xlfn.MINIFS('FIRE TEX 5090'!$R$5:$R$30,'FIRE TEX 5090'!$R$5:$R$30,"&gt;="&amp;M492),'FIRE TEX 5090'!$R$5:$W$30,IF(L492="F-15",2,IF(L492="F-30",3,IF(L492="F-60",4,IF(L492="F-90",5,IF(L492="F-120",6,IF(L492="F-150",7,0)))))),0),0)+IF(AND(O492="FIRE TEX 5090",E492="CJ",J492=4),VLOOKUP(_xlfn.MINIFS('FIRE TEX 5090'!$Y$5:$Y$39,'FIRE TEX 5090'!$Y$5:$Y$39,"&gt;="&amp;M492),'FIRE TEX 5090'!$Y$5:$AD$39,IF(L492="F-15",2,IF(L492="F-30",3,IF(L492="F-60",4,IF(L492="F-90",5,IF(L492="F-120",6,IF(L492="F-150",7,0)))))),0),0)+IF(AND(O492="FIRE TEX 5120",OR(E492="IN",E492="C",E492="Z",E492="L"),J492=3),VLOOKUP(_xlfn.MINIFS('FIRE TEX 5120'!$B$5:$B$40,'FIRE TEX 5120'!$B$5:$B$40,"&gt;="&amp;M492),'FIRE TEX 5120'!$B$5:$G$40,IF(L492="F-15",2,IF(L492="F-30",3,IF(L492="F-60",4,IF(L492="F-90",5,IF(L492="F-120",6,0))))),0),0)+IF(AND(O492="FIRE TEX 5120",OR(E492="IN",E492="C",E492="Z",E492="L"),J492=4),VLOOKUP(_xlfn.MINIFS('FIRE TEX 5120'!$H$4:$H$40,'FIRE TEX 5120'!$H$4:$H$40,"&gt;="&amp;M492),'FIRE TEX 5120'!$H$4:$M$40,IF(L492="F-15",2,IF(L492="F-30",3,IF(L492="F-60",4,IF(L492="F-90",5,IF(L492="F-120",6,0))))),0),0)+IF(AND(O492="FIRE TEX 5120",E492="CJ"),VLOOKUP(_xlfn.MINIFS('FIRE TEX 5120'!$O$5:$O$40,'FIRE TEX 5120'!$O$5:$O$40,"&gt;="&amp;M492),'FIRE TEX 5120'!$O$5:$T$40,IF(L492="F-15",2,IF(L492="F-30",3,IF(L492="F-60",4,IF(L492="F-90",5,IF(L492="F-120",6,0))))),0),0)</f>
        <v>0</v>
      </c>
      <c r="Q492" s="46">
        <f t="shared" si="54"/>
        <v>0</v>
      </c>
      <c r="R492" s="46">
        <f t="shared" si="55"/>
        <v>0</v>
      </c>
      <c r="S492" s="46" t="e">
        <f t="shared" si="56"/>
        <v>#VALUE!</v>
      </c>
      <c r="T492" s="677">
        <f t="shared" si="57"/>
        <v>0</v>
      </c>
      <c r="U492" s="80">
        <f>(IF(O492="Stofire",(S492*#REF!),0))+(IF(O492="Fire Control",(S492*$U$2),0))+(IF(O492="Fire Tex",(S492*$U$3),0))+(IF(O492="WB7",(S492*#REF!),0)+(IF(O492="FX 2003",(S492*$U$5),0)))</f>
        <v>0</v>
      </c>
      <c r="V492" s="651">
        <f t="shared" si="58"/>
        <v>0</v>
      </c>
    </row>
    <row r="493" spans="4:22" x14ac:dyDescent="0.25">
      <c r="D493" s="118">
        <f>+CUBICACION!D492</f>
        <v>0</v>
      </c>
      <c r="E493" s="118">
        <f>+CUBICACION!F492</f>
        <v>0</v>
      </c>
      <c r="F493" s="118">
        <f>+CUBICACION!E492</f>
        <v>0</v>
      </c>
      <c r="G493" s="118">
        <v>12</v>
      </c>
      <c r="H493" s="118">
        <v>2</v>
      </c>
      <c r="I493" s="820">
        <v>26385</v>
      </c>
      <c r="J493" s="118">
        <f>+CUBICACION!J492</f>
        <v>0</v>
      </c>
      <c r="K493" s="118">
        <v>3272</v>
      </c>
      <c r="L493" s="118">
        <f>+CUBICACION!L492</f>
        <v>0</v>
      </c>
      <c r="M493" s="64">
        <f>+CUBICACION!M492</f>
        <v>0</v>
      </c>
      <c r="N493" s="824" t="str">
        <f>+CUBICACION!N492</f>
        <v/>
      </c>
      <c r="O493" s="675">
        <f>+CUBICACION!O492</f>
        <v>0</v>
      </c>
      <c r="P493" s="15">
        <f>IF(O493="Fire Control",VLOOKUP(_xlfn.MINIFS('FIRE CONTROL'!$C$4:$C$37,'FIRE CONTROL'!$C$4:$C$37,"&gt;="&amp;M493),'FIRE CONTROL'!$C$4:$G$37,IF(L493="F-15",2,IF(L493="F-30",3,IF(L493="F-60",4,IF(L493="F-90",5,0)))),0),0)+IF(AND(O493="FIRE TEX 5062",OR(E493="IN",E493="C",E493="Z",E493="L"),J493=3),VLOOKUP(_xlfn.MINIFS('FIRE TEX 5062'!$B$4:$B$34,'FIRE TEX 5062'!$B$4:$B$34,"&gt;="&amp;M493),'FIRE TEX 5062'!$B$4:$F$34,IF(L493="F-15",2,IF(L493="F-30",3,IF(L493="F-60",4,IF(L493="F-90",5,0)))),0),0)+IF(AND(O493="FIRE TEX 5062",OR(E493="IN",E493="C",E493="Z",E493="L"),J493=4),VLOOKUP(_xlfn.MINIFS('FIRE TEX 5062'!$G$4:$G$34,'FIRE TEX 5062'!$G$4:$G$34,"&gt;="&amp;M493),'FIRE TEX 5062'!$G$4:$K$34,IF(L493="F-15",2,IF(L493="F-30",3,IF(L493="F-60",4,IF(L493="F-90",5,0)))),0),0)+IF(AND(O493="FIRE TEX 5062",E493="CJ",J493=3),VLOOKUP(_xlfn.MINIFS('FIRE TEX 5062'!$L$4:$L$34,'FIRE TEX 5062'!$L$4:$L$34,"&gt;="&amp;M493),'FIRE TEX 5062'!$L$4:$P$34,IF(L493="F-15",2,IF(L493="F-30",3,IF(L493="F-60",4,IF(L493="F-90",5,0)))),0),0)+IF(AND(O493="FIRE TEX 5062",E493="CJ",J493=4),VLOOKUP(_xlfn.MINIFS('FIRE TEX 5062'!$Q$3:$Q$34,'FIRE TEX 5062'!$Q$3:$Q$34,"&gt;="&amp;M493),'FIRE TEX 5062'!$Q$3:$U$34,IF(L493="F-15",2,IF(L493="F-30",3,IF(L493="F-60",4,IF(L493="F-90",5,0)))),0),0)+IF(AND(O493="FIRE TEX 5090",OR(E493="IN",E493="C",E493="Z",E493="L"),J493=3),VLOOKUP(_xlfn.MINIFS('FIRE TEX 5090'!$B$5:$B$43,'FIRE TEX 5090'!$B$5:$B$43,"&gt;="&amp;M493),'FIRE TEX 5090'!$B$5:$H$43,IF(L493="F-15",2,IF(L493="F-30",3,IF(L493="F-60",4,IF(L493="F-90",5,IF(L493="F-120",6,IF(L493="F-150",7,0)))))),0),0)+IF(AND(O493="FIRE TEX 5090",OR(E493="IN",E493="C",E493="Z",E493="L"),J493=4),VLOOKUP(_xlfn.MINIFS('FIRE TEX 5090'!$J$5:$J$43,'FIRE TEX 5090'!$J$5:$J$43,"&gt;="&amp;M493),'FIRE TEX 5090'!$J$5:$P$43,IF(L493="F-15",2,IF(L493="F-30",3,IF(L493="F-60",4,IF(L493="F-90",5,IF(L493="F-120",6,IF(L493="F-150",7,0)))))),0),0)+IF(AND(O493="FIRE TEX 5090",E493="CJ",J493=3),VLOOKUP(_xlfn.MINIFS('FIRE TEX 5090'!$R$5:$R$30,'FIRE TEX 5090'!$R$5:$R$30,"&gt;="&amp;M493),'FIRE TEX 5090'!$R$5:$W$30,IF(L493="F-15",2,IF(L493="F-30",3,IF(L493="F-60",4,IF(L493="F-90",5,IF(L493="F-120",6,IF(L493="F-150",7,0)))))),0),0)+IF(AND(O493="FIRE TEX 5090",E493="CJ",J493=4),VLOOKUP(_xlfn.MINIFS('FIRE TEX 5090'!$Y$5:$Y$39,'FIRE TEX 5090'!$Y$5:$Y$39,"&gt;="&amp;M493),'FIRE TEX 5090'!$Y$5:$AD$39,IF(L493="F-15",2,IF(L493="F-30",3,IF(L493="F-60",4,IF(L493="F-90",5,IF(L493="F-120",6,IF(L493="F-150",7,0)))))),0),0)+IF(AND(O493="FIRE TEX 5120",OR(E493="IN",E493="C",E493="Z",E493="L"),J493=3),VLOOKUP(_xlfn.MINIFS('FIRE TEX 5120'!$B$5:$B$40,'FIRE TEX 5120'!$B$5:$B$40,"&gt;="&amp;M493),'FIRE TEX 5120'!$B$5:$G$40,IF(L493="F-15",2,IF(L493="F-30",3,IF(L493="F-60",4,IF(L493="F-90",5,IF(L493="F-120",6,0))))),0),0)+IF(AND(O493="FIRE TEX 5120",OR(E493="IN",E493="C",E493="Z",E493="L"),J493=4),VLOOKUP(_xlfn.MINIFS('FIRE TEX 5120'!$H$4:$H$40,'FIRE TEX 5120'!$H$4:$H$40,"&gt;="&amp;M493),'FIRE TEX 5120'!$H$4:$M$40,IF(L493="F-15",2,IF(L493="F-30",3,IF(L493="F-60",4,IF(L493="F-90",5,IF(L493="F-120",6,0))))),0),0)+IF(AND(O493="FIRE TEX 5120",E493="CJ"),VLOOKUP(_xlfn.MINIFS('FIRE TEX 5120'!$O$5:$O$40,'FIRE TEX 5120'!$O$5:$O$40,"&gt;="&amp;M493),'FIRE TEX 5120'!$O$5:$T$40,IF(L493="F-15",2,IF(L493="F-30",3,IF(L493="F-60",4,IF(L493="F-90",5,IF(L493="F-120",6,0))))),0),0)</f>
        <v>0</v>
      </c>
      <c r="Q493" s="46">
        <f t="shared" ref="Q493:Q556" si="59">IF(P493="","",IF(P493="dar valor","",0.03937*P493))</f>
        <v>0</v>
      </c>
      <c r="R493" s="46">
        <f t="shared" ref="R493:R556" si="60">+(IF(O493="Fire Control",((65*1.5/Q493)*0.75*4),0))+(IF(OR(O493="Fire Tex 5062",O493="Fire Tex 5090",O493="Fire Tex 5120"),((66*1.5/Q493)*0.7*5),0))</f>
        <v>0</v>
      </c>
      <c r="S493" s="46" t="e">
        <f t="shared" ref="S493:S556" si="61">IF(R493="","",+N493/R493)</f>
        <v>#VALUE!</v>
      </c>
      <c r="T493" s="677">
        <f t="shared" ref="T493:T556" si="62">(IF(O493="Stofire",(S493/(7*1)),0))+(IF(O493="Fire Control",(S493/(7*1)),0))+(IF(O493="Fire Tex",(S493/(7*1)),0))+(IF(O493="WB7",(S493/(7*1)),0))+(IF(O493="FX 2003",(S493/(7*1)),0))</f>
        <v>0</v>
      </c>
      <c r="U493" s="80">
        <f>(IF(O493="Stofire",(S493*#REF!),0))+(IF(O493="Fire Control",(S493*$U$2),0))+(IF(O493="Fire Tex",(S493*$U$3),0))+(IF(O493="WB7",(S493*#REF!),0)+(IF(O493="FX 2003",(S493*$U$5),0)))</f>
        <v>0</v>
      </c>
      <c r="V493" s="651">
        <f t="shared" ref="V493:V556" si="63">_xlfn.CEILING.MATH(M493,10)</f>
        <v>0</v>
      </c>
    </row>
    <row r="494" spans="4:22" x14ac:dyDescent="0.25">
      <c r="D494" s="118">
        <f>+CUBICACION!D493</f>
        <v>0</v>
      </c>
      <c r="E494" s="118">
        <f>+CUBICACION!F493</f>
        <v>0</v>
      </c>
      <c r="F494" s="118">
        <f>+CUBICACION!E493</f>
        <v>0</v>
      </c>
      <c r="G494" s="118">
        <v>12</v>
      </c>
      <c r="H494" s="118">
        <v>2</v>
      </c>
      <c r="I494" s="820">
        <v>26385</v>
      </c>
      <c r="J494" s="118">
        <f>+CUBICACION!J493</f>
        <v>0</v>
      </c>
      <c r="K494" s="118">
        <v>3273</v>
      </c>
      <c r="L494" s="118">
        <f>+CUBICACION!L493</f>
        <v>0</v>
      </c>
      <c r="M494" s="64">
        <f>+CUBICACION!M493</f>
        <v>0</v>
      </c>
      <c r="N494" s="824" t="str">
        <f>+CUBICACION!N493</f>
        <v/>
      </c>
      <c r="O494" s="675">
        <f>+CUBICACION!O493</f>
        <v>0</v>
      </c>
      <c r="P494" s="15">
        <f>IF(O494="Fire Control",VLOOKUP(_xlfn.MINIFS('FIRE CONTROL'!$C$4:$C$37,'FIRE CONTROL'!$C$4:$C$37,"&gt;="&amp;M494),'FIRE CONTROL'!$C$4:$G$37,IF(L494="F-15",2,IF(L494="F-30",3,IF(L494="F-60",4,IF(L494="F-90",5,0)))),0),0)+IF(AND(O494="FIRE TEX 5062",OR(E494="IN",E494="C",E494="Z",E494="L"),J494=3),VLOOKUP(_xlfn.MINIFS('FIRE TEX 5062'!$B$4:$B$34,'FIRE TEX 5062'!$B$4:$B$34,"&gt;="&amp;M494),'FIRE TEX 5062'!$B$4:$F$34,IF(L494="F-15",2,IF(L494="F-30",3,IF(L494="F-60",4,IF(L494="F-90",5,0)))),0),0)+IF(AND(O494="FIRE TEX 5062",OR(E494="IN",E494="C",E494="Z",E494="L"),J494=4),VLOOKUP(_xlfn.MINIFS('FIRE TEX 5062'!$G$4:$G$34,'FIRE TEX 5062'!$G$4:$G$34,"&gt;="&amp;M494),'FIRE TEX 5062'!$G$4:$K$34,IF(L494="F-15",2,IF(L494="F-30",3,IF(L494="F-60",4,IF(L494="F-90",5,0)))),0),0)+IF(AND(O494="FIRE TEX 5062",E494="CJ",J494=3),VLOOKUP(_xlfn.MINIFS('FIRE TEX 5062'!$L$4:$L$34,'FIRE TEX 5062'!$L$4:$L$34,"&gt;="&amp;M494),'FIRE TEX 5062'!$L$4:$P$34,IF(L494="F-15",2,IF(L494="F-30",3,IF(L494="F-60",4,IF(L494="F-90",5,0)))),0),0)+IF(AND(O494="FIRE TEX 5062",E494="CJ",J494=4),VLOOKUP(_xlfn.MINIFS('FIRE TEX 5062'!$Q$3:$Q$34,'FIRE TEX 5062'!$Q$3:$Q$34,"&gt;="&amp;M494),'FIRE TEX 5062'!$Q$3:$U$34,IF(L494="F-15",2,IF(L494="F-30",3,IF(L494="F-60",4,IF(L494="F-90",5,0)))),0),0)+IF(AND(O494="FIRE TEX 5090",OR(E494="IN",E494="C",E494="Z",E494="L"),J494=3),VLOOKUP(_xlfn.MINIFS('FIRE TEX 5090'!$B$5:$B$43,'FIRE TEX 5090'!$B$5:$B$43,"&gt;="&amp;M494),'FIRE TEX 5090'!$B$5:$H$43,IF(L494="F-15",2,IF(L494="F-30",3,IF(L494="F-60",4,IF(L494="F-90",5,IF(L494="F-120",6,IF(L494="F-150",7,0)))))),0),0)+IF(AND(O494="FIRE TEX 5090",OR(E494="IN",E494="C",E494="Z",E494="L"),J494=4),VLOOKUP(_xlfn.MINIFS('FIRE TEX 5090'!$J$5:$J$43,'FIRE TEX 5090'!$J$5:$J$43,"&gt;="&amp;M494),'FIRE TEX 5090'!$J$5:$P$43,IF(L494="F-15",2,IF(L494="F-30",3,IF(L494="F-60",4,IF(L494="F-90",5,IF(L494="F-120",6,IF(L494="F-150",7,0)))))),0),0)+IF(AND(O494="FIRE TEX 5090",E494="CJ",J494=3),VLOOKUP(_xlfn.MINIFS('FIRE TEX 5090'!$R$5:$R$30,'FIRE TEX 5090'!$R$5:$R$30,"&gt;="&amp;M494),'FIRE TEX 5090'!$R$5:$W$30,IF(L494="F-15",2,IF(L494="F-30",3,IF(L494="F-60",4,IF(L494="F-90",5,IF(L494="F-120",6,IF(L494="F-150",7,0)))))),0),0)+IF(AND(O494="FIRE TEX 5090",E494="CJ",J494=4),VLOOKUP(_xlfn.MINIFS('FIRE TEX 5090'!$Y$5:$Y$39,'FIRE TEX 5090'!$Y$5:$Y$39,"&gt;="&amp;M494),'FIRE TEX 5090'!$Y$5:$AD$39,IF(L494="F-15",2,IF(L494="F-30",3,IF(L494="F-60",4,IF(L494="F-90",5,IF(L494="F-120",6,IF(L494="F-150",7,0)))))),0),0)+IF(AND(O494="FIRE TEX 5120",OR(E494="IN",E494="C",E494="Z",E494="L"),J494=3),VLOOKUP(_xlfn.MINIFS('FIRE TEX 5120'!$B$5:$B$40,'FIRE TEX 5120'!$B$5:$B$40,"&gt;="&amp;M494),'FIRE TEX 5120'!$B$5:$G$40,IF(L494="F-15",2,IF(L494="F-30",3,IF(L494="F-60",4,IF(L494="F-90",5,IF(L494="F-120",6,0))))),0),0)+IF(AND(O494="FIRE TEX 5120",OR(E494="IN",E494="C",E494="Z",E494="L"),J494=4),VLOOKUP(_xlfn.MINIFS('FIRE TEX 5120'!$H$4:$H$40,'FIRE TEX 5120'!$H$4:$H$40,"&gt;="&amp;M494),'FIRE TEX 5120'!$H$4:$M$40,IF(L494="F-15",2,IF(L494="F-30",3,IF(L494="F-60",4,IF(L494="F-90",5,IF(L494="F-120",6,0))))),0),0)+IF(AND(O494="FIRE TEX 5120",E494="CJ"),VLOOKUP(_xlfn.MINIFS('FIRE TEX 5120'!$O$5:$O$40,'FIRE TEX 5120'!$O$5:$O$40,"&gt;="&amp;M494),'FIRE TEX 5120'!$O$5:$T$40,IF(L494="F-15",2,IF(L494="F-30",3,IF(L494="F-60",4,IF(L494="F-90",5,IF(L494="F-120",6,0))))),0),0)</f>
        <v>0</v>
      </c>
      <c r="Q494" s="46">
        <f t="shared" si="59"/>
        <v>0</v>
      </c>
      <c r="R494" s="46">
        <f t="shared" si="60"/>
        <v>0</v>
      </c>
      <c r="S494" s="46" t="e">
        <f t="shared" si="61"/>
        <v>#VALUE!</v>
      </c>
      <c r="T494" s="677">
        <f t="shared" si="62"/>
        <v>0</v>
      </c>
      <c r="U494" s="80">
        <f>(IF(O494="Stofire",(S494*#REF!),0))+(IF(O494="Fire Control",(S494*$U$2),0))+(IF(O494="Fire Tex",(S494*$U$3),0))+(IF(O494="WB7",(S494*#REF!),0)+(IF(O494="FX 2003",(S494*$U$5),0)))</f>
        <v>0</v>
      </c>
      <c r="V494" s="651">
        <f t="shared" si="63"/>
        <v>0</v>
      </c>
    </row>
    <row r="495" spans="4:22" x14ac:dyDescent="0.25">
      <c r="D495" s="118">
        <f>+CUBICACION!D494</f>
        <v>0</v>
      </c>
      <c r="E495" s="118">
        <f>+CUBICACION!F494</f>
        <v>0</v>
      </c>
      <c r="F495" s="118">
        <f>+CUBICACION!E494</f>
        <v>0</v>
      </c>
      <c r="G495" s="118">
        <v>12</v>
      </c>
      <c r="H495" s="118">
        <v>2</v>
      </c>
      <c r="I495" s="820">
        <v>26385</v>
      </c>
      <c r="J495" s="118">
        <f>+CUBICACION!J494</f>
        <v>0</v>
      </c>
      <c r="K495" s="118">
        <v>3274</v>
      </c>
      <c r="L495" s="118">
        <f>+CUBICACION!L494</f>
        <v>0</v>
      </c>
      <c r="M495" s="64">
        <f>+CUBICACION!M494</f>
        <v>0</v>
      </c>
      <c r="N495" s="824" t="str">
        <f>+CUBICACION!N494</f>
        <v/>
      </c>
      <c r="O495" s="675">
        <f>+CUBICACION!O494</f>
        <v>0</v>
      </c>
      <c r="P495" s="15">
        <f>IF(O495="Fire Control",VLOOKUP(_xlfn.MINIFS('FIRE CONTROL'!$C$4:$C$37,'FIRE CONTROL'!$C$4:$C$37,"&gt;="&amp;M495),'FIRE CONTROL'!$C$4:$G$37,IF(L495="F-15",2,IF(L495="F-30",3,IF(L495="F-60",4,IF(L495="F-90",5,0)))),0),0)+IF(AND(O495="FIRE TEX 5062",OR(E495="IN",E495="C",E495="Z",E495="L"),J495=3),VLOOKUP(_xlfn.MINIFS('FIRE TEX 5062'!$B$4:$B$34,'FIRE TEX 5062'!$B$4:$B$34,"&gt;="&amp;M495),'FIRE TEX 5062'!$B$4:$F$34,IF(L495="F-15",2,IF(L495="F-30",3,IF(L495="F-60",4,IF(L495="F-90",5,0)))),0),0)+IF(AND(O495="FIRE TEX 5062",OR(E495="IN",E495="C",E495="Z",E495="L"),J495=4),VLOOKUP(_xlfn.MINIFS('FIRE TEX 5062'!$G$4:$G$34,'FIRE TEX 5062'!$G$4:$G$34,"&gt;="&amp;M495),'FIRE TEX 5062'!$G$4:$K$34,IF(L495="F-15",2,IF(L495="F-30",3,IF(L495="F-60",4,IF(L495="F-90",5,0)))),0),0)+IF(AND(O495="FIRE TEX 5062",E495="CJ",J495=3),VLOOKUP(_xlfn.MINIFS('FIRE TEX 5062'!$L$4:$L$34,'FIRE TEX 5062'!$L$4:$L$34,"&gt;="&amp;M495),'FIRE TEX 5062'!$L$4:$P$34,IF(L495="F-15",2,IF(L495="F-30",3,IF(L495="F-60",4,IF(L495="F-90",5,0)))),0),0)+IF(AND(O495="FIRE TEX 5062",E495="CJ",J495=4),VLOOKUP(_xlfn.MINIFS('FIRE TEX 5062'!$Q$3:$Q$34,'FIRE TEX 5062'!$Q$3:$Q$34,"&gt;="&amp;M495),'FIRE TEX 5062'!$Q$3:$U$34,IF(L495="F-15",2,IF(L495="F-30",3,IF(L495="F-60",4,IF(L495="F-90",5,0)))),0),0)+IF(AND(O495="FIRE TEX 5090",OR(E495="IN",E495="C",E495="Z",E495="L"),J495=3),VLOOKUP(_xlfn.MINIFS('FIRE TEX 5090'!$B$5:$B$43,'FIRE TEX 5090'!$B$5:$B$43,"&gt;="&amp;M495),'FIRE TEX 5090'!$B$5:$H$43,IF(L495="F-15",2,IF(L495="F-30",3,IF(L495="F-60",4,IF(L495="F-90",5,IF(L495="F-120",6,IF(L495="F-150",7,0)))))),0),0)+IF(AND(O495="FIRE TEX 5090",OR(E495="IN",E495="C",E495="Z",E495="L"),J495=4),VLOOKUP(_xlfn.MINIFS('FIRE TEX 5090'!$J$5:$J$43,'FIRE TEX 5090'!$J$5:$J$43,"&gt;="&amp;M495),'FIRE TEX 5090'!$J$5:$P$43,IF(L495="F-15",2,IF(L495="F-30",3,IF(L495="F-60",4,IF(L495="F-90",5,IF(L495="F-120",6,IF(L495="F-150",7,0)))))),0),0)+IF(AND(O495="FIRE TEX 5090",E495="CJ",J495=3),VLOOKUP(_xlfn.MINIFS('FIRE TEX 5090'!$R$5:$R$30,'FIRE TEX 5090'!$R$5:$R$30,"&gt;="&amp;M495),'FIRE TEX 5090'!$R$5:$W$30,IF(L495="F-15",2,IF(L495="F-30",3,IF(L495="F-60",4,IF(L495="F-90",5,IF(L495="F-120",6,IF(L495="F-150",7,0)))))),0),0)+IF(AND(O495="FIRE TEX 5090",E495="CJ",J495=4),VLOOKUP(_xlfn.MINIFS('FIRE TEX 5090'!$Y$5:$Y$39,'FIRE TEX 5090'!$Y$5:$Y$39,"&gt;="&amp;M495),'FIRE TEX 5090'!$Y$5:$AD$39,IF(L495="F-15",2,IF(L495="F-30",3,IF(L495="F-60",4,IF(L495="F-90",5,IF(L495="F-120",6,IF(L495="F-150",7,0)))))),0),0)+IF(AND(O495="FIRE TEX 5120",OR(E495="IN",E495="C",E495="Z",E495="L"),J495=3),VLOOKUP(_xlfn.MINIFS('FIRE TEX 5120'!$B$5:$B$40,'FIRE TEX 5120'!$B$5:$B$40,"&gt;="&amp;M495),'FIRE TEX 5120'!$B$5:$G$40,IF(L495="F-15",2,IF(L495="F-30",3,IF(L495="F-60",4,IF(L495="F-90",5,IF(L495="F-120",6,0))))),0),0)+IF(AND(O495="FIRE TEX 5120",OR(E495="IN",E495="C",E495="Z",E495="L"),J495=4),VLOOKUP(_xlfn.MINIFS('FIRE TEX 5120'!$H$4:$H$40,'FIRE TEX 5120'!$H$4:$H$40,"&gt;="&amp;M495),'FIRE TEX 5120'!$H$4:$M$40,IF(L495="F-15",2,IF(L495="F-30",3,IF(L495="F-60",4,IF(L495="F-90",5,IF(L495="F-120",6,0))))),0),0)+IF(AND(O495="FIRE TEX 5120",E495="CJ"),VLOOKUP(_xlfn.MINIFS('FIRE TEX 5120'!$O$5:$O$40,'FIRE TEX 5120'!$O$5:$O$40,"&gt;="&amp;M495),'FIRE TEX 5120'!$O$5:$T$40,IF(L495="F-15",2,IF(L495="F-30",3,IF(L495="F-60",4,IF(L495="F-90",5,IF(L495="F-120",6,0))))),0),0)</f>
        <v>0</v>
      </c>
      <c r="Q495" s="46">
        <f t="shared" si="59"/>
        <v>0</v>
      </c>
      <c r="R495" s="46">
        <f t="shared" si="60"/>
        <v>0</v>
      </c>
      <c r="S495" s="46" t="e">
        <f t="shared" si="61"/>
        <v>#VALUE!</v>
      </c>
      <c r="T495" s="677">
        <f t="shared" si="62"/>
        <v>0</v>
      </c>
      <c r="U495" s="80">
        <f>(IF(O495="Stofire",(S495*#REF!),0))+(IF(O495="Fire Control",(S495*$U$2),0))+(IF(O495="Fire Tex",(S495*$U$3),0))+(IF(O495="WB7",(S495*#REF!),0)+(IF(O495="FX 2003",(S495*$U$5),0)))</f>
        <v>0</v>
      </c>
      <c r="V495" s="651">
        <f t="shared" si="63"/>
        <v>0</v>
      </c>
    </row>
    <row r="496" spans="4:22" x14ac:dyDescent="0.25">
      <c r="D496" s="118">
        <f>+CUBICACION!D495</f>
        <v>0</v>
      </c>
      <c r="E496" s="118">
        <f>+CUBICACION!F495</f>
        <v>0</v>
      </c>
      <c r="F496" s="118">
        <f>+CUBICACION!E495</f>
        <v>0</v>
      </c>
      <c r="G496" s="118">
        <v>12</v>
      </c>
      <c r="H496" s="118">
        <v>2</v>
      </c>
      <c r="I496" s="820">
        <v>26385</v>
      </c>
      <c r="J496" s="118">
        <f>+CUBICACION!J495</f>
        <v>0</v>
      </c>
      <c r="K496" s="118">
        <v>3275</v>
      </c>
      <c r="L496" s="118">
        <f>+CUBICACION!L495</f>
        <v>0</v>
      </c>
      <c r="M496" s="64">
        <f>+CUBICACION!M495</f>
        <v>0</v>
      </c>
      <c r="N496" s="824" t="str">
        <f>+CUBICACION!N495</f>
        <v/>
      </c>
      <c r="O496" s="675">
        <f>+CUBICACION!O495</f>
        <v>0</v>
      </c>
      <c r="P496" s="15">
        <f>IF(O496="Fire Control",VLOOKUP(_xlfn.MINIFS('FIRE CONTROL'!$C$4:$C$37,'FIRE CONTROL'!$C$4:$C$37,"&gt;="&amp;M496),'FIRE CONTROL'!$C$4:$G$37,IF(L496="F-15",2,IF(L496="F-30",3,IF(L496="F-60",4,IF(L496="F-90",5,0)))),0),0)+IF(AND(O496="FIRE TEX 5062",OR(E496="IN",E496="C",E496="Z",E496="L"),J496=3),VLOOKUP(_xlfn.MINIFS('FIRE TEX 5062'!$B$4:$B$34,'FIRE TEX 5062'!$B$4:$B$34,"&gt;="&amp;M496),'FIRE TEX 5062'!$B$4:$F$34,IF(L496="F-15",2,IF(L496="F-30",3,IF(L496="F-60",4,IF(L496="F-90",5,0)))),0),0)+IF(AND(O496="FIRE TEX 5062",OR(E496="IN",E496="C",E496="Z",E496="L"),J496=4),VLOOKUP(_xlfn.MINIFS('FIRE TEX 5062'!$G$4:$G$34,'FIRE TEX 5062'!$G$4:$G$34,"&gt;="&amp;M496),'FIRE TEX 5062'!$G$4:$K$34,IF(L496="F-15",2,IF(L496="F-30",3,IF(L496="F-60",4,IF(L496="F-90",5,0)))),0),0)+IF(AND(O496="FIRE TEX 5062",E496="CJ",J496=3),VLOOKUP(_xlfn.MINIFS('FIRE TEX 5062'!$L$4:$L$34,'FIRE TEX 5062'!$L$4:$L$34,"&gt;="&amp;M496),'FIRE TEX 5062'!$L$4:$P$34,IF(L496="F-15",2,IF(L496="F-30",3,IF(L496="F-60",4,IF(L496="F-90",5,0)))),0),0)+IF(AND(O496="FIRE TEX 5062",E496="CJ",J496=4),VLOOKUP(_xlfn.MINIFS('FIRE TEX 5062'!$Q$3:$Q$34,'FIRE TEX 5062'!$Q$3:$Q$34,"&gt;="&amp;M496),'FIRE TEX 5062'!$Q$3:$U$34,IF(L496="F-15",2,IF(L496="F-30",3,IF(L496="F-60",4,IF(L496="F-90",5,0)))),0),0)+IF(AND(O496="FIRE TEX 5090",OR(E496="IN",E496="C",E496="Z",E496="L"),J496=3),VLOOKUP(_xlfn.MINIFS('FIRE TEX 5090'!$B$5:$B$43,'FIRE TEX 5090'!$B$5:$B$43,"&gt;="&amp;M496),'FIRE TEX 5090'!$B$5:$H$43,IF(L496="F-15",2,IF(L496="F-30",3,IF(L496="F-60",4,IF(L496="F-90",5,IF(L496="F-120",6,IF(L496="F-150",7,0)))))),0),0)+IF(AND(O496="FIRE TEX 5090",OR(E496="IN",E496="C",E496="Z",E496="L"),J496=4),VLOOKUP(_xlfn.MINIFS('FIRE TEX 5090'!$J$5:$J$43,'FIRE TEX 5090'!$J$5:$J$43,"&gt;="&amp;M496),'FIRE TEX 5090'!$J$5:$P$43,IF(L496="F-15",2,IF(L496="F-30",3,IF(L496="F-60",4,IF(L496="F-90",5,IF(L496="F-120",6,IF(L496="F-150",7,0)))))),0),0)+IF(AND(O496="FIRE TEX 5090",E496="CJ",J496=3),VLOOKUP(_xlfn.MINIFS('FIRE TEX 5090'!$R$5:$R$30,'FIRE TEX 5090'!$R$5:$R$30,"&gt;="&amp;M496),'FIRE TEX 5090'!$R$5:$W$30,IF(L496="F-15",2,IF(L496="F-30",3,IF(L496="F-60",4,IF(L496="F-90",5,IF(L496="F-120",6,IF(L496="F-150",7,0)))))),0),0)+IF(AND(O496="FIRE TEX 5090",E496="CJ",J496=4),VLOOKUP(_xlfn.MINIFS('FIRE TEX 5090'!$Y$5:$Y$39,'FIRE TEX 5090'!$Y$5:$Y$39,"&gt;="&amp;M496),'FIRE TEX 5090'!$Y$5:$AD$39,IF(L496="F-15",2,IF(L496="F-30",3,IF(L496="F-60",4,IF(L496="F-90",5,IF(L496="F-120",6,IF(L496="F-150",7,0)))))),0),0)+IF(AND(O496="FIRE TEX 5120",OR(E496="IN",E496="C",E496="Z",E496="L"),J496=3),VLOOKUP(_xlfn.MINIFS('FIRE TEX 5120'!$B$5:$B$40,'FIRE TEX 5120'!$B$5:$B$40,"&gt;="&amp;M496),'FIRE TEX 5120'!$B$5:$G$40,IF(L496="F-15",2,IF(L496="F-30",3,IF(L496="F-60",4,IF(L496="F-90",5,IF(L496="F-120",6,0))))),0),0)+IF(AND(O496="FIRE TEX 5120",OR(E496="IN",E496="C",E496="Z",E496="L"),J496=4),VLOOKUP(_xlfn.MINIFS('FIRE TEX 5120'!$H$4:$H$40,'FIRE TEX 5120'!$H$4:$H$40,"&gt;="&amp;M496),'FIRE TEX 5120'!$H$4:$M$40,IF(L496="F-15",2,IF(L496="F-30",3,IF(L496="F-60",4,IF(L496="F-90",5,IF(L496="F-120",6,0))))),0),0)+IF(AND(O496="FIRE TEX 5120",E496="CJ"),VLOOKUP(_xlfn.MINIFS('FIRE TEX 5120'!$O$5:$O$40,'FIRE TEX 5120'!$O$5:$O$40,"&gt;="&amp;M496),'FIRE TEX 5120'!$O$5:$T$40,IF(L496="F-15",2,IF(L496="F-30",3,IF(L496="F-60",4,IF(L496="F-90",5,IF(L496="F-120",6,0))))),0),0)</f>
        <v>0</v>
      </c>
      <c r="Q496" s="46">
        <f t="shared" si="59"/>
        <v>0</v>
      </c>
      <c r="R496" s="46">
        <f t="shared" si="60"/>
        <v>0</v>
      </c>
      <c r="S496" s="46" t="e">
        <f t="shared" si="61"/>
        <v>#VALUE!</v>
      </c>
      <c r="T496" s="677">
        <f t="shared" si="62"/>
        <v>0</v>
      </c>
      <c r="U496" s="80">
        <f>(IF(O496="Stofire",(S496*#REF!),0))+(IF(O496="Fire Control",(S496*$U$2),0))+(IF(O496="Fire Tex",(S496*$U$3),0))+(IF(O496="WB7",(S496*#REF!),0)+(IF(O496="FX 2003",(S496*$U$5),0)))</f>
        <v>0</v>
      </c>
      <c r="V496" s="651">
        <f t="shared" si="63"/>
        <v>0</v>
      </c>
    </row>
    <row r="497" spans="4:22" x14ac:dyDescent="0.25">
      <c r="D497" s="118">
        <f>+CUBICACION!D496</f>
        <v>0</v>
      </c>
      <c r="E497" s="118">
        <f>+CUBICACION!F496</f>
        <v>0</v>
      </c>
      <c r="F497" s="118">
        <f>+CUBICACION!E496</f>
        <v>0</v>
      </c>
      <c r="G497" s="118">
        <v>12</v>
      </c>
      <c r="H497" s="118">
        <v>2</v>
      </c>
      <c r="I497" s="820">
        <v>26385</v>
      </c>
      <c r="J497" s="118">
        <f>+CUBICACION!J496</f>
        <v>0</v>
      </c>
      <c r="K497" s="118">
        <v>3276</v>
      </c>
      <c r="L497" s="118">
        <f>+CUBICACION!L496</f>
        <v>0</v>
      </c>
      <c r="M497" s="64">
        <f>+CUBICACION!M496</f>
        <v>0</v>
      </c>
      <c r="N497" s="824" t="str">
        <f>+CUBICACION!N496</f>
        <v/>
      </c>
      <c r="O497" s="675">
        <f>+CUBICACION!O496</f>
        <v>0</v>
      </c>
      <c r="P497" s="15">
        <f>IF(O497="Fire Control",VLOOKUP(_xlfn.MINIFS('FIRE CONTROL'!$C$4:$C$37,'FIRE CONTROL'!$C$4:$C$37,"&gt;="&amp;M497),'FIRE CONTROL'!$C$4:$G$37,IF(L497="F-15",2,IF(L497="F-30",3,IF(L497="F-60",4,IF(L497="F-90",5,0)))),0),0)+IF(AND(O497="FIRE TEX 5062",OR(E497="IN",E497="C",E497="Z",E497="L"),J497=3),VLOOKUP(_xlfn.MINIFS('FIRE TEX 5062'!$B$4:$B$34,'FIRE TEX 5062'!$B$4:$B$34,"&gt;="&amp;M497),'FIRE TEX 5062'!$B$4:$F$34,IF(L497="F-15",2,IF(L497="F-30",3,IF(L497="F-60",4,IF(L497="F-90",5,0)))),0),0)+IF(AND(O497="FIRE TEX 5062",OR(E497="IN",E497="C",E497="Z",E497="L"),J497=4),VLOOKUP(_xlfn.MINIFS('FIRE TEX 5062'!$G$4:$G$34,'FIRE TEX 5062'!$G$4:$G$34,"&gt;="&amp;M497),'FIRE TEX 5062'!$G$4:$K$34,IF(L497="F-15",2,IF(L497="F-30",3,IF(L497="F-60",4,IF(L497="F-90",5,0)))),0),0)+IF(AND(O497="FIRE TEX 5062",E497="CJ",J497=3),VLOOKUP(_xlfn.MINIFS('FIRE TEX 5062'!$L$4:$L$34,'FIRE TEX 5062'!$L$4:$L$34,"&gt;="&amp;M497),'FIRE TEX 5062'!$L$4:$P$34,IF(L497="F-15",2,IF(L497="F-30",3,IF(L497="F-60",4,IF(L497="F-90",5,0)))),0),0)+IF(AND(O497="FIRE TEX 5062",E497="CJ",J497=4),VLOOKUP(_xlfn.MINIFS('FIRE TEX 5062'!$Q$3:$Q$34,'FIRE TEX 5062'!$Q$3:$Q$34,"&gt;="&amp;M497),'FIRE TEX 5062'!$Q$3:$U$34,IF(L497="F-15",2,IF(L497="F-30",3,IF(L497="F-60",4,IF(L497="F-90",5,0)))),0),0)+IF(AND(O497="FIRE TEX 5090",OR(E497="IN",E497="C",E497="Z",E497="L"),J497=3),VLOOKUP(_xlfn.MINIFS('FIRE TEX 5090'!$B$5:$B$43,'FIRE TEX 5090'!$B$5:$B$43,"&gt;="&amp;M497),'FIRE TEX 5090'!$B$5:$H$43,IF(L497="F-15",2,IF(L497="F-30",3,IF(L497="F-60",4,IF(L497="F-90",5,IF(L497="F-120",6,IF(L497="F-150",7,0)))))),0),0)+IF(AND(O497="FIRE TEX 5090",OR(E497="IN",E497="C",E497="Z",E497="L"),J497=4),VLOOKUP(_xlfn.MINIFS('FIRE TEX 5090'!$J$5:$J$43,'FIRE TEX 5090'!$J$5:$J$43,"&gt;="&amp;M497),'FIRE TEX 5090'!$J$5:$P$43,IF(L497="F-15",2,IF(L497="F-30",3,IF(L497="F-60",4,IF(L497="F-90",5,IF(L497="F-120",6,IF(L497="F-150",7,0)))))),0),0)+IF(AND(O497="FIRE TEX 5090",E497="CJ",J497=3),VLOOKUP(_xlfn.MINIFS('FIRE TEX 5090'!$R$5:$R$30,'FIRE TEX 5090'!$R$5:$R$30,"&gt;="&amp;M497),'FIRE TEX 5090'!$R$5:$W$30,IF(L497="F-15",2,IF(L497="F-30",3,IF(L497="F-60",4,IF(L497="F-90",5,IF(L497="F-120",6,IF(L497="F-150",7,0)))))),0),0)+IF(AND(O497="FIRE TEX 5090",E497="CJ",J497=4),VLOOKUP(_xlfn.MINIFS('FIRE TEX 5090'!$Y$5:$Y$39,'FIRE TEX 5090'!$Y$5:$Y$39,"&gt;="&amp;M497),'FIRE TEX 5090'!$Y$5:$AD$39,IF(L497="F-15",2,IF(L497="F-30",3,IF(L497="F-60",4,IF(L497="F-90",5,IF(L497="F-120",6,IF(L497="F-150",7,0)))))),0),0)+IF(AND(O497="FIRE TEX 5120",OR(E497="IN",E497="C",E497="Z",E497="L"),J497=3),VLOOKUP(_xlfn.MINIFS('FIRE TEX 5120'!$B$5:$B$40,'FIRE TEX 5120'!$B$5:$B$40,"&gt;="&amp;M497),'FIRE TEX 5120'!$B$5:$G$40,IF(L497="F-15",2,IF(L497="F-30",3,IF(L497="F-60",4,IF(L497="F-90",5,IF(L497="F-120",6,0))))),0),0)+IF(AND(O497="FIRE TEX 5120",OR(E497="IN",E497="C",E497="Z",E497="L"),J497=4),VLOOKUP(_xlfn.MINIFS('FIRE TEX 5120'!$H$4:$H$40,'FIRE TEX 5120'!$H$4:$H$40,"&gt;="&amp;M497),'FIRE TEX 5120'!$H$4:$M$40,IF(L497="F-15",2,IF(L497="F-30",3,IF(L497="F-60",4,IF(L497="F-90",5,IF(L497="F-120",6,0))))),0),0)+IF(AND(O497="FIRE TEX 5120",E497="CJ"),VLOOKUP(_xlfn.MINIFS('FIRE TEX 5120'!$O$5:$O$40,'FIRE TEX 5120'!$O$5:$O$40,"&gt;="&amp;M497),'FIRE TEX 5120'!$O$5:$T$40,IF(L497="F-15",2,IF(L497="F-30",3,IF(L497="F-60",4,IF(L497="F-90",5,IF(L497="F-120",6,0))))),0),0)</f>
        <v>0</v>
      </c>
      <c r="Q497" s="46">
        <f t="shared" si="59"/>
        <v>0</v>
      </c>
      <c r="R497" s="46">
        <f t="shared" si="60"/>
        <v>0</v>
      </c>
      <c r="S497" s="46" t="e">
        <f t="shared" si="61"/>
        <v>#VALUE!</v>
      </c>
      <c r="T497" s="677">
        <f t="shared" si="62"/>
        <v>0</v>
      </c>
      <c r="U497" s="80">
        <f>(IF(O497="Stofire",(S497*#REF!),0))+(IF(O497="Fire Control",(S497*$U$2),0))+(IF(O497="Fire Tex",(S497*$U$3),0))+(IF(O497="WB7",(S497*#REF!),0)+(IF(O497="FX 2003",(S497*$U$5),0)))</f>
        <v>0</v>
      </c>
      <c r="V497" s="651">
        <f t="shared" si="63"/>
        <v>0</v>
      </c>
    </row>
    <row r="498" spans="4:22" x14ac:dyDescent="0.25">
      <c r="D498" s="118">
        <f>+CUBICACION!D497</f>
        <v>0</v>
      </c>
      <c r="E498" s="118">
        <f>+CUBICACION!F497</f>
        <v>0</v>
      </c>
      <c r="F498" s="118">
        <f>+CUBICACION!E497</f>
        <v>0</v>
      </c>
      <c r="G498" s="118">
        <v>12</v>
      </c>
      <c r="H498" s="118">
        <v>2</v>
      </c>
      <c r="I498" s="820">
        <v>26385</v>
      </c>
      <c r="J498" s="118">
        <f>+CUBICACION!J497</f>
        <v>0</v>
      </c>
      <c r="K498" s="118">
        <v>3277</v>
      </c>
      <c r="L498" s="118">
        <f>+CUBICACION!L497</f>
        <v>0</v>
      </c>
      <c r="M498" s="64">
        <f>+CUBICACION!M497</f>
        <v>0</v>
      </c>
      <c r="N498" s="824" t="str">
        <f>+CUBICACION!N497</f>
        <v/>
      </c>
      <c r="O498" s="675">
        <f>+CUBICACION!O497</f>
        <v>0</v>
      </c>
      <c r="P498" s="15">
        <f>IF(O498="Fire Control",VLOOKUP(_xlfn.MINIFS('FIRE CONTROL'!$C$4:$C$37,'FIRE CONTROL'!$C$4:$C$37,"&gt;="&amp;M498),'FIRE CONTROL'!$C$4:$G$37,IF(L498="F-15",2,IF(L498="F-30",3,IF(L498="F-60",4,IF(L498="F-90",5,0)))),0),0)+IF(AND(O498="FIRE TEX 5062",OR(E498="IN",E498="C",E498="Z",E498="L"),J498=3),VLOOKUP(_xlfn.MINIFS('FIRE TEX 5062'!$B$4:$B$34,'FIRE TEX 5062'!$B$4:$B$34,"&gt;="&amp;M498),'FIRE TEX 5062'!$B$4:$F$34,IF(L498="F-15",2,IF(L498="F-30",3,IF(L498="F-60",4,IF(L498="F-90",5,0)))),0),0)+IF(AND(O498="FIRE TEX 5062",OR(E498="IN",E498="C",E498="Z",E498="L"),J498=4),VLOOKUP(_xlfn.MINIFS('FIRE TEX 5062'!$G$4:$G$34,'FIRE TEX 5062'!$G$4:$G$34,"&gt;="&amp;M498),'FIRE TEX 5062'!$G$4:$K$34,IF(L498="F-15",2,IF(L498="F-30",3,IF(L498="F-60",4,IF(L498="F-90",5,0)))),0),0)+IF(AND(O498="FIRE TEX 5062",E498="CJ",J498=3),VLOOKUP(_xlfn.MINIFS('FIRE TEX 5062'!$L$4:$L$34,'FIRE TEX 5062'!$L$4:$L$34,"&gt;="&amp;M498),'FIRE TEX 5062'!$L$4:$P$34,IF(L498="F-15",2,IF(L498="F-30",3,IF(L498="F-60",4,IF(L498="F-90",5,0)))),0),0)+IF(AND(O498="FIRE TEX 5062",E498="CJ",J498=4),VLOOKUP(_xlfn.MINIFS('FIRE TEX 5062'!$Q$3:$Q$34,'FIRE TEX 5062'!$Q$3:$Q$34,"&gt;="&amp;M498),'FIRE TEX 5062'!$Q$3:$U$34,IF(L498="F-15",2,IF(L498="F-30",3,IF(L498="F-60",4,IF(L498="F-90",5,0)))),0),0)+IF(AND(O498="FIRE TEX 5090",OR(E498="IN",E498="C",E498="Z",E498="L"),J498=3),VLOOKUP(_xlfn.MINIFS('FIRE TEX 5090'!$B$5:$B$43,'FIRE TEX 5090'!$B$5:$B$43,"&gt;="&amp;M498),'FIRE TEX 5090'!$B$5:$H$43,IF(L498="F-15",2,IF(L498="F-30",3,IF(L498="F-60",4,IF(L498="F-90",5,IF(L498="F-120",6,IF(L498="F-150",7,0)))))),0),0)+IF(AND(O498="FIRE TEX 5090",OR(E498="IN",E498="C",E498="Z",E498="L"),J498=4),VLOOKUP(_xlfn.MINIFS('FIRE TEX 5090'!$J$5:$J$43,'FIRE TEX 5090'!$J$5:$J$43,"&gt;="&amp;M498),'FIRE TEX 5090'!$J$5:$P$43,IF(L498="F-15",2,IF(L498="F-30",3,IF(L498="F-60",4,IF(L498="F-90",5,IF(L498="F-120",6,IF(L498="F-150",7,0)))))),0),0)+IF(AND(O498="FIRE TEX 5090",E498="CJ",J498=3),VLOOKUP(_xlfn.MINIFS('FIRE TEX 5090'!$R$5:$R$30,'FIRE TEX 5090'!$R$5:$R$30,"&gt;="&amp;M498),'FIRE TEX 5090'!$R$5:$W$30,IF(L498="F-15",2,IF(L498="F-30",3,IF(L498="F-60",4,IF(L498="F-90",5,IF(L498="F-120",6,IF(L498="F-150",7,0)))))),0),0)+IF(AND(O498="FIRE TEX 5090",E498="CJ",J498=4),VLOOKUP(_xlfn.MINIFS('FIRE TEX 5090'!$Y$5:$Y$39,'FIRE TEX 5090'!$Y$5:$Y$39,"&gt;="&amp;M498),'FIRE TEX 5090'!$Y$5:$AD$39,IF(L498="F-15",2,IF(L498="F-30",3,IF(L498="F-60",4,IF(L498="F-90",5,IF(L498="F-120",6,IF(L498="F-150",7,0)))))),0),0)+IF(AND(O498="FIRE TEX 5120",OR(E498="IN",E498="C",E498="Z",E498="L"),J498=3),VLOOKUP(_xlfn.MINIFS('FIRE TEX 5120'!$B$5:$B$40,'FIRE TEX 5120'!$B$5:$B$40,"&gt;="&amp;M498),'FIRE TEX 5120'!$B$5:$G$40,IF(L498="F-15",2,IF(L498="F-30",3,IF(L498="F-60",4,IF(L498="F-90",5,IF(L498="F-120",6,0))))),0),0)+IF(AND(O498="FIRE TEX 5120",OR(E498="IN",E498="C",E498="Z",E498="L"),J498=4),VLOOKUP(_xlfn.MINIFS('FIRE TEX 5120'!$H$4:$H$40,'FIRE TEX 5120'!$H$4:$H$40,"&gt;="&amp;M498),'FIRE TEX 5120'!$H$4:$M$40,IF(L498="F-15",2,IF(L498="F-30",3,IF(L498="F-60",4,IF(L498="F-90",5,IF(L498="F-120",6,0))))),0),0)+IF(AND(O498="FIRE TEX 5120",E498="CJ"),VLOOKUP(_xlfn.MINIFS('FIRE TEX 5120'!$O$5:$O$40,'FIRE TEX 5120'!$O$5:$O$40,"&gt;="&amp;M498),'FIRE TEX 5120'!$O$5:$T$40,IF(L498="F-15",2,IF(L498="F-30",3,IF(L498="F-60",4,IF(L498="F-90",5,IF(L498="F-120",6,0))))),0),0)</f>
        <v>0</v>
      </c>
      <c r="Q498" s="46">
        <f t="shared" si="59"/>
        <v>0</v>
      </c>
      <c r="R498" s="46">
        <f t="shared" si="60"/>
        <v>0</v>
      </c>
      <c r="S498" s="46" t="e">
        <f t="shared" si="61"/>
        <v>#VALUE!</v>
      </c>
      <c r="T498" s="677">
        <f t="shared" si="62"/>
        <v>0</v>
      </c>
      <c r="U498" s="80">
        <f>(IF(O498="Stofire",(S498*#REF!),0))+(IF(O498="Fire Control",(S498*$U$2),0))+(IF(O498="Fire Tex",(S498*$U$3),0))+(IF(O498="WB7",(S498*#REF!),0)+(IF(O498="FX 2003",(S498*$U$5),0)))</f>
        <v>0</v>
      </c>
      <c r="V498" s="651">
        <f t="shared" si="63"/>
        <v>0</v>
      </c>
    </row>
    <row r="499" spans="4:22" x14ac:dyDescent="0.25">
      <c r="D499" s="118">
        <f>+CUBICACION!D498</f>
        <v>0</v>
      </c>
      <c r="E499" s="118">
        <f>+CUBICACION!F498</f>
        <v>0</v>
      </c>
      <c r="F499" s="118">
        <f>+CUBICACION!E498</f>
        <v>0</v>
      </c>
      <c r="G499" s="118">
        <v>12</v>
      </c>
      <c r="H499" s="118">
        <v>2</v>
      </c>
      <c r="I499" s="820">
        <v>26385</v>
      </c>
      <c r="J499" s="118">
        <f>+CUBICACION!J498</f>
        <v>0</v>
      </c>
      <c r="K499" s="118">
        <v>3278</v>
      </c>
      <c r="L499" s="118">
        <f>+CUBICACION!L498</f>
        <v>0</v>
      </c>
      <c r="M499" s="64">
        <f>+CUBICACION!M498</f>
        <v>0</v>
      </c>
      <c r="N499" s="824" t="str">
        <f>+CUBICACION!N498</f>
        <v/>
      </c>
      <c r="O499" s="675">
        <f>+CUBICACION!O498</f>
        <v>0</v>
      </c>
      <c r="P499" s="15">
        <f>IF(O499="Fire Control",VLOOKUP(_xlfn.MINIFS('FIRE CONTROL'!$C$4:$C$37,'FIRE CONTROL'!$C$4:$C$37,"&gt;="&amp;M499),'FIRE CONTROL'!$C$4:$G$37,IF(L499="F-15",2,IF(L499="F-30",3,IF(L499="F-60",4,IF(L499="F-90",5,0)))),0),0)+IF(AND(O499="FIRE TEX 5062",OR(E499="IN",E499="C",E499="Z",E499="L"),J499=3),VLOOKUP(_xlfn.MINIFS('FIRE TEX 5062'!$B$4:$B$34,'FIRE TEX 5062'!$B$4:$B$34,"&gt;="&amp;M499),'FIRE TEX 5062'!$B$4:$F$34,IF(L499="F-15",2,IF(L499="F-30",3,IF(L499="F-60",4,IF(L499="F-90",5,0)))),0),0)+IF(AND(O499="FIRE TEX 5062",OR(E499="IN",E499="C",E499="Z",E499="L"),J499=4),VLOOKUP(_xlfn.MINIFS('FIRE TEX 5062'!$G$4:$G$34,'FIRE TEX 5062'!$G$4:$G$34,"&gt;="&amp;M499),'FIRE TEX 5062'!$G$4:$K$34,IF(L499="F-15",2,IF(L499="F-30",3,IF(L499="F-60",4,IF(L499="F-90",5,0)))),0),0)+IF(AND(O499="FIRE TEX 5062",E499="CJ",J499=3),VLOOKUP(_xlfn.MINIFS('FIRE TEX 5062'!$L$4:$L$34,'FIRE TEX 5062'!$L$4:$L$34,"&gt;="&amp;M499),'FIRE TEX 5062'!$L$4:$P$34,IF(L499="F-15",2,IF(L499="F-30",3,IF(L499="F-60",4,IF(L499="F-90",5,0)))),0),0)+IF(AND(O499="FIRE TEX 5062",E499="CJ",J499=4),VLOOKUP(_xlfn.MINIFS('FIRE TEX 5062'!$Q$3:$Q$34,'FIRE TEX 5062'!$Q$3:$Q$34,"&gt;="&amp;M499),'FIRE TEX 5062'!$Q$3:$U$34,IF(L499="F-15",2,IF(L499="F-30",3,IF(L499="F-60",4,IF(L499="F-90",5,0)))),0),0)+IF(AND(O499="FIRE TEX 5090",OR(E499="IN",E499="C",E499="Z",E499="L"),J499=3),VLOOKUP(_xlfn.MINIFS('FIRE TEX 5090'!$B$5:$B$43,'FIRE TEX 5090'!$B$5:$B$43,"&gt;="&amp;M499),'FIRE TEX 5090'!$B$5:$H$43,IF(L499="F-15",2,IF(L499="F-30",3,IF(L499="F-60",4,IF(L499="F-90",5,IF(L499="F-120",6,IF(L499="F-150",7,0)))))),0),0)+IF(AND(O499="FIRE TEX 5090",OR(E499="IN",E499="C",E499="Z",E499="L"),J499=4),VLOOKUP(_xlfn.MINIFS('FIRE TEX 5090'!$J$5:$J$43,'FIRE TEX 5090'!$J$5:$J$43,"&gt;="&amp;M499),'FIRE TEX 5090'!$J$5:$P$43,IF(L499="F-15",2,IF(L499="F-30",3,IF(L499="F-60",4,IF(L499="F-90",5,IF(L499="F-120",6,IF(L499="F-150",7,0)))))),0),0)+IF(AND(O499="FIRE TEX 5090",E499="CJ",J499=3),VLOOKUP(_xlfn.MINIFS('FIRE TEX 5090'!$R$5:$R$30,'FIRE TEX 5090'!$R$5:$R$30,"&gt;="&amp;M499),'FIRE TEX 5090'!$R$5:$W$30,IF(L499="F-15",2,IF(L499="F-30",3,IF(L499="F-60",4,IF(L499="F-90",5,IF(L499="F-120",6,IF(L499="F-150",7,0)))))),0),0)+IF(AND(O499="FIRE TEX 5090",E499="CJ",J499=4),VLOOKUP(_xlfn.MINIFS('FIRE TEX 5090'!$Y$5:$Y$39,'FIRE TEX 5090'!$Y$5:$Y$39,"&gt;="&amp;M499),'FIRE TEX 5090'!$Y$5:$AD$39,IF(L499="F-15",2,IF(L499="F-30",3,IF(L499="F-60",4,IF(L499="F-90",5,IF(L499="F-120",6,IF(L499="F-150",7,0)))))),0),0)+IF(AND(O499="FIRE TEX 5120",OR(E499="IN",E499="C",E499="Z",E499="L"),J499=3),VLOOKUP(_xlfn.MINIFS('FIRE TEX 5120'!$B$5:$B$40,'FIRE TEX 5120'!$B$5:$B$40,"&gt;="&amp;M499),'FIRE TEX 5120'!$B$5:$G$40,IF(L499="F-15",2,IF(L499="F-30",3,IF(L499="F-60",4,IF(L499="F-90",5,IF(L499="F-120",6,0))))),0),0)+IF(AND(O499="FIRE TEX 5120",OR(E499="IN",E499="C",E499="Z",E499="L"),J499=4),VLOOKUP(_xlfn.MINIFS('FIRE TEX 5120'!$H$4:$H$40,'FIRE TEX 5120'!$H$4:$H$40,"&gt;="&amp;M499),'FIRE TEX 5120'!$H$4:$M$40,IF(L499="F-15",2,IF(L499="F-30",3,IF(L499="F-60",4,IF(L499="F-90",5,IF(L499="F-120",6,0))))),0),0)+IF(AND(O499="FIRE TEX 5120",E499="CJ"),VLOOKUP(_xlfn.MINIFS('FIRE TEX 5120'!$O$5:$O$40,'FIRE TEX 5120'!$O$5:$O$40,"&gt;="&amp;M499),'FIRE TEX 5120'!$O$5:$T$40,IF(L499="F-15",2,IF(L499="F-30",3,IF(L499="F-60",4,IF(L499="F-90",5,IF(L499="F-120",6,0))))),0),0)</f>
        <v>0</v>
      </c>
      <c r="Q499" s="46">
        <f t="shared" si="59"/>
        <v>0</v>
      </c>
      <c r="R499" s="46">
        <f t="shared" si="60"/>
        <v>0</v>
      </c>
      <c r="S499" s="46" t="e">
        <f t="shared" si="61"/>
        <v>#VALUE!</v>
      </c>
      <c r="T499" s="677">
        <f t="shared" si="62"/>
        <v>0</v>
      </c>
      <c r="U499" s="80">
        <f>(IF(O499="Stofire",(S499*#REF!),0))+(IF(O499="Fire Control",(S499*$U$2),0))+(IF(O499="Fire Tex",(S499*$U$3),0))+(IF(O499="WB7",(S499*#REF!),0)+(IF(O499="FX 2003",(S499*$U$5),0)))</f>
        <v>0</v>
      </c>
      <c r="V499" s="651">
        <f t="shared" si="63"/>
        <v>0</v>
      </c>
    </row>
    <row r="500" spans="4:22" x14ac:dyDescent="0.25">
      <c r="D500" s="118">
        <f>+CUBICACION!D499</f>
        <v>0</v>
      </c>
      <c r="E500" s="118">
        <f>+CUBICACION!F499</f>
        <v>0</v>
      </c>
      <c r="F500" s="118">
        <f>+CUBICACION!E499</f>
        <v>0</v>
      </c>
      <c r="G500" s="118">
        <v>12</v>
      </c>
      <c r="H500" s="118">
        <v>2</v>
      </c>
      <c r="I500" s="820">
        <v>26385</v>
      </c>
      <c r="J500" s="118">
        <f>+CUBICACION!J499</f>
        <v>0</v>
      </c>
      <c r="K500" s="118">
        <v>3279</v>
      </c>
      <c r="L500" s="118">
        <f>+CUBICACION!L499</f>
        <v>0</v>
      </c>
      <c r="M500" s="64">
        <f>+CUBICACION!M499</f>
        <v>0</v>
      </c>
      <c r="N500" s="824" t="str">
        <f>+CUBICACION!N499</f>
        <v/>
      </c>
      <c r="O500" s="675">
        <f>+CUBICACION!O499</f>
        <v>0</v>
      </c>
      <c r="P500" s="15">
        <f>IF(O500="Fire Control",VLOOKUP(_xlfn.MINIFS('FIRE CONTROL'!$C$4:$C$37,'FIRE CONTROL'!$C$4:$C$37,"&gt;="&amp;M500),'FIRE CONTROL'!$C$4:$G$37,IF(L500="F-15",2,IF(L500="F-30",3,IF(L500="F-60",4,IF(L500="F-90",5,0)))),0),0)+IF(AND(O500="FIRE TEX 5062",OR(E500="IN",E500="C",E500="Z",E500="L"),J500=3),VLOOKUP(_xlfn.MINIFS('FIRE TEX 5062'!$B$4:$B$34,'FIRE TEX 5062'!$B$4:$B$34,"&gt;="&amp;M500),'FIRE TEX 5062'!$B$4:$F$34,IF(L500="F-15",2,IF(L500="F-30",3,IF(L500="F-60",4,IF(L500="F-90",5,0)))),0),0)+IF(AND(O500="FIRE TEX 5062",OR(E500="IN",E500="C",E500="Z",E500="L"),J500=4),VLOOKUP(_xlfn.MINIFS('FIRE TEX 5062'!$G$4:$G$34,'FIRE TEX 5062'!$G$4:$G$34,"&gt;="&amp;M500),'FIRE TEX 5062'!$G$4:$K$34,IF(L500="F-15",2,IF(L500="F-30",3,IF(L500="F-60",4,IF(L500="F-90",5,0)))),0),0)+IF(AND(O500="FIRE TEX 5062",E500="CJ",J500=3),VLOOKUP(_xlfn.MINIFS('FIRE TEX 5062'!$L$4:$L$34,'FIRE TEX 5062'!$L$4:$L$34,"&gt;="&amp;M500),'FIRE TEX 5062'!$L$4:$P$34,IF(L500="F-15",2,IF(L500="F-30",3,IF(L500="F-60",4,IF(L500="F-90",5,0)))),0),0)+IF(AND(O500="FIRE TEX 5062",E500="CJ",J500=4),VLOOKUP(_xlfn.MINIFS('FIRE TEX 5062'!$Q$3:$Q$34,'FIRE TEX 5062'!$Q$3:$Q$34,"&gt;="&amp;M500),'FIRE TEX 5062'!$Q$3:$U$34,IF(L500="F-15",2,IF(L500="F-30",3,IF(L500="F-60",4,IF(L500="F-90",5,0)))),0),0)+IF(AND(O500="FIRE TEX 5090",OR(E500="IN",E500="C",E500="Z",E500="L"),J500=3),VLOOKUP(_xlfn.MINIFS('FIRE TEX 5090'!$B$5:$B$43,'FIRE TEX 5090'!$B$5:$B$43,"&gt;="&amp;M500),'FIRE TEX 5090'!$B$5:$H$43,IF(L500="F-15",2,IF(L500="F-30",3,IF(L500="F-60",4,IF(L500="F-90",5,IF(L500="F-120",6,IF(L500="F-150",7,0)))))),0),0)+IF(AND(O500="FIRE TEX 5090",OR(E500="IN",E500="C",E500="Z",E500="L"),J500=4),VLOOKUP(_xlfn.MINIFS('FIRE TEX 5090'!$J$5:$J$43,'FIRE TEX 5090'!$J$5:$J$43,"&gt;="&amp;M500),'FIRE TEX 5090'!$J$5:$P$43,IF(L500="F-15",2,IF(L500="F-30",3,IF(L500="F-60",4,IF(L500="F-90",5,IF(L500="F-120",6,IF(L500="F-150",7,0)))))),0),0)+IF(AND(O500="FIRE TEX 5090",E500="CJ",J500=3),VLOOKUP(_xlfn.MINIFS('FIRE TEX 5090'!$R$5:$R$30,'FIRE TEX 5090'!$R$5:$R$30,"&gt;="&amp;M500),'FIRE TEX 5090'!$R$5:$W$30,IF(L500="F-15",2,IF(L500="F-30",3,IF(L500="F-60",4,IF(L500="F-90",5,IF(L500="F-120",6,IF(L500="F-150",7,0)))))),0),0)+IF(AND(O500="FIRE TEX 5090",E500="CJ",J500=4),VLOOKUP(_xlfn.MINIFS('FIRE TEX 5090'!$Y$5:$Y$39,'FIRE TEX 5090'!$Y$5:$Y$39,"&gt;="&amp;M500),'FIRE TEX 5090'!$Y$5:$AD$39,IF(L500="F-15",2,IF(L500="F-30",3,IF(L500="F-60",4,IF(L500="F-90",5,IF(L500="F-120",6,IF(L500="F-150",7,0)))))),0),0)+IF(AND(O500="FIRE TEX 5120",OR(E500="IN",E500="C",E500="Z",E500="L"),J500=3),VLOOKUP(_xlfn.MINIFS('FIRE TEX 5120'!$B$5:$B$40,'FIRE TEX 5120'!$B$5:$B$40,"&gt;="&amp;M500),'FIRE TEX 5120'!$B$5:$G$40,IF(L500="F-15",2,IF(L500="F-30",3,IF(L500="F-60",4,IF(L500="F-90",5,IF(L500="F-120",6,0))))),0),0)+IF(AND(O500="FIRE TEX 5120",OR(E500="IN",E500="C",E500="Z",E500="L"),J500=4),VLOOKUP(_xlfn.MINIFS('FIRE TEX 5120'!$H$4:$H$40,'FIRE TEX 5120'!$H$4:$H$40,"&gt;="&amp;M500),'FIRE TEX 5120'!$H$4:$M$40,IF(L500="F-15",2,IF(L500="F-30",3,IF(L500="F-60",4,IF(L500="F-90",5,IF(L500="F-120",6,0))))),0),0)+IF(AND(O500="FIRE TEX 5120",E500="CJ"),VLOOKUP(_xlfn.MINIFS('FIRE TEX 5120'!$O$5:$O$40,'FIRE TEX 5120'!$O$5:$O$40,"&gt;="&amp;M500),'FIRE TEX 5120'!$O$5:$T$40,IF(L500="F-15",2,IF(L500="F-30",3,IF(L500="F-60",4,IF(L500="F-90",5,IF(L500="F-120",6,0))))),0),0)</f>
        <v>0</v>
      </c>
      <c r="Q500" s="46">
        <f t="shared" si="59"/>
        <v>0</v>
      </c>
      <c r="R500" s="46">
        <f t="shared" si="60"/>
        <v>0</v>
      </c>
      <c r="S500" s="46" t="e">
        <f t="shared" si="61"/>
        <v>#VALUE!</v>
      </c>
      <c r="T500" s="677">
        <f t="shared" si="62"/>
        <v>0</v>
      </c>
      <c r="U500" s="80">
        <f>(IF(O500="Stofire",(S500*#REF!),0))+(IF(O500="Fire Control",(S500*$U$2),0))+(IF(O500="Fire Tex",(S500*$U$3),0))+(IF(O500="WB7",(S500*#REF!),0)+(IF(O500="FX 2003",(S500*$U$5),0)))</f>
        <v>0</v>
      </c>
      <c r="V500" s="651">
        <f t="shared" si="63"/>
        <v>0</v>
      </c>
    </row>
    <row r="501" spans="4:22" x14ac:dyDescent="0.25">
      <c r="D501" s="118">
        <f>+CUBICACION!D500</f>
        <v>0</v>
      </c>
      <c r="E501" s="118">
        <f>+CUBICACION!F500</f>
        <v>0</v>
      </c>
      <c r="F501" s="118">
        <f>+CUBICACION!E500</f>
        <v>0</v>
      </c>
      <c r="G501" s="118">
        <v>12</v>
      </c>
      <c r="H501" s="118">
        <v>2</v>
      </c>
      <c r="I501" s="820">
        <v>26385</v>
      </c>
      <c r="J501" s="118">
        <f>+CUBICACION!J500</f>
        <v>0</v>
      </c>
      <c r="K501" s="118">
        <v>3280</v>
      </c>
      <c r="L501" s="118">
        <f>+CUBICACION!L500</f>
        <v>0</v>
      </c>
      <c r="M501" s="64">
        <f>+CUBICACION!M500</f>
        <v>0</v>
      </c>
      <c r="N501" s="824" t="str">
        <f>+CUBICACION!N500</f>
        <v/>
      </c>
      <c r="O501" s="675">
        <f>+CUBICACION!O500</f>
        <v>0</v>
      </c>
      <c r="P501" s="15">
        <f>IF(O501="Fire Control",VLOOKUP(_xlfn.MINIFS('FIRE CONTROL'!$C$4:$C$37,'FIRE CONTROL'!$C$4:$C$37,"&gt;="&amp;M501),'FIRE CONTROL'!$C$4:$G$37,IF(L501="F-15",2,IF(L501="F-30",3,IF(L501="F-60",4,IF(L501="F-90",5,0)))),0),0)+IF(AND(O501="FIRE TEX 5062",OR(E501="IN",E501="C",E501="Z",E501="L"),J501=3),VLOOKUP(_xlfn.MINIFS('FIRE TEX 5062'!$B$4:$B$34,'FIRE TEX 5062'!$B$4:$B$34,"&gt;="&amp;M501),'FIRE TEX 5062'!$B$4:$F$34,IF(L501="F-15",2,IF(L501="F-30",3,IF(L501="F-60",4,IF(L501="F-90",5,0)))),0),0)+IF(AND(O501="FIRE TEX 5062",OR(E501="IN",E501="C",E501="Z",E501="L"),J501=4),VLOOKUP(_xlfn.MINIFS('FIRE TEX 5062'!$G$4:$G$34,'FIRE TEX 5062'!$G$4:$G$34,"&gt;="&amp;M501),'FIRE TEX 5062'!$G$4:$K$34,IF(L501="F-15",2,IF(L501="F-30",3,IF(L501="F-60",4,IF(L501="F-90",5,0)))),0),0)+IF(AND(O501="FIRE TEX 5062",E501="CJ",J501=3),VLOOKUP(_xlfn.MINIFS('FIRE TEX 5062'!$L$4:$L$34,'FIRE TEX 5062'!$L$4:$L$34,"&gt;="&amp;M501),'FIRE TEX 5062'!$L$4:$P$34,IF(L501="F-15",2,IF(L501="F-30",3,IF(L501="F-60",4,IF(L501="F-90",5,0)))),0),0)+IF(AND(O501="FIRE TEX 5062",E501="CJ",J501=4),VLOOKUP(_xlfn.MINIFS('FIRE TEX 5062'!$Q$3:$Q$34,'FIRE TEX 5062'!$Q$3:$Q$34,"&gt;="&amp;M501),'FIRE TEX 5062'!$Q$3:$U$34,IF(L501="F-15",2,IF(L501="F-30",3,IF(L501="F-60",4,IF(L501="F-90",5,0)))),0),0)+IF(AND(O501="FIRE TEX 5090",OR(E501="IN",E501="C",E501="Z",E501="L"),J501=3),VLOOKUP(_xlfn.MINIFS('FIRE TEX 5090'!$B$5:$B$43,'FIRE TEX 5090'!$B$5:$B$43,"&gt;="&amp;M501),'FIRE TEX 5090'!$B$5:$H$43,IF(L501="F-15",2,IF(L501="F-30",3,IF(L501="F-60",4,IF(L501="F-90",5,IF(L501="F-120",6,IF(L501="F-150",7,0)))))),0),0)+IF(AND(O501="FIRE TEX 5090",OR(E501="IN",E501="C",E501="Z",E501="L"),J501=4),VLOOKUP(_xlfn.MINIFS('FIRE TEX 5090'!$J$5:$J$43,'FIRE TEX 5090'!$J$5:$J$43,"&gt;="&amp;M501),'FIRE TEX 5090'!$J$5:$P$43,IF(L501="F-15",2,IF(L501="F-30",3,IF(L501="F-60",4,IF(L501="F-90",5,IF(L501="F-120",6,IF(L501="F-150",7,0)))))),0),0)+IF(AND(O501="FIRE TEX 5090",E501="CJ",J501=3),VLOOKUP(_xlfn.MINIFS('FIRE TEX 5090'!$R$5:$R$30,'FIRE TEX 5090'!$R$5:$R$30,"&gt;="&amp;M501),'FIRE TEX 5090'!$R$5:$W$30,IF(L501="F-15",2,IF(L501="F-30",3,IF(L501="F-60",4,IF(L501="F-90",5,IF(L501="F-120",6,IF(L501="F-150",7,0)))))),0),0)+IF(AND(O501="FIRE TEX 5090",E501="CJ",J501=4),VLOOKUP(_xlfn.MINIFS('FIRE TEX 5090'!$Y$5:$Y$39,'FIRE TEX 5090'!$Y$5:$Y$39,"&gt;="&amp;M501),'FIRE TEX 5090'!$Y$5:$AD$39,IF(L501="F-15",2,IF(L501="F-30",3,IF(L501="F-60",4,IF(L501="F-90",5,IF(L501="F-120",6,IF(L501="F-150",7,0)))))),0),0)+IF(AND(O501="FIRE TEX 5120",OR(E501="IN",E501="C",E501="Z",E501="L"),J501=3),VLOOKUP(_xlfn.MINIFS('FIRE TEX 5120'!$B$5:$B$40,'FIRE TEX 5120'!$B$5:$B$40,"&gt;="&amp;M501),'FIRE TEX 5120'!$B$5:$G$40,IF(L501="F-15",2,IF(L501="F-30",3,IF(L501="F-60",4,IF(L501="F-90",5,IF(L501="F-120",6,0))))),0),0)+IF(AND(O501="FIRE TEX 5120",OR(E501="IN",E501="C",E501="Z",E501="L"),J501=4),VLOOKUP(_xlfn.MINIFS('FIRE TEX 5120'!$H$4:$H$40,'FIRE TEX 5120'!$H$4:$H$40,"&gt;="&amp;M501),'FIRE TEX 5120'!$H$4:$M$40,IF(L501="F-15",2,IF(L501="F-30",3,IF(L501="F-60",4,IF(L501="F-90",5,IF(L501="F-120",6,0))))),0),0)+IF(AND(O501="FIRE TEX 5120",E501="CJ"),VLOOKUP(_xlfn.MINIFS('FIRE TEX 5120'!$O$5:$O$40,'FIRE TEX 5120'!$O$5:$O$40,"&gt;="&amp;M501),'FIRE TEX 5120'!$O$5:$T$40,IF(L501="F-15",2,IF(L501="F-30",3,IF(L501="F-60",4,IF(L501="F-90",5,IF(L501="F-120",6,0))))),0),0)</f>
        <v>0</v>
      </c>
      <c r="Q501" s="46">
        <f t="shared" si="59"/>
        <v>0</v>
      </c>
      <c r="R501" s="46">
        <f t="shared" si="60"/>
        <v>0</v>
      </c>
      <c r="S501" s="46" t="e">
        <f t="shared" si="61"/>
        <v>#VALUE!</v>
      </c>
      <c r="T501" s="677">
        <f t="shared" si="62"/>
        <v>0</v>
      </c>
      <c r="U501" s="80">
        <f>(IF(O501="Stofire",(S501*#REF!),0))+(IF(O501="Fire Control",(S501*$U$2),0))+(IF(O501="Fire Tex",(S501*$U$3),0))+(IF(O501="WB7",(S501*#REF!),0)+(IF(O501="FX 2003",(S501*$U$5),0)))</f>
        <v>0</v>
      </c>
      <c r="V501" s="651">
        <f t="shared" si="63"/>
        <v>0</v>
      </c>
    </row>
    <row r="502" spans="4:22" x14ac:dyDescent="0.25">
      <c r="D502" s="118">
        <f>+CUBICACION!D501</f>
        <v>0</v>
      </c>
      <c r="E502" s="118">
        <f>+CUBICACION!F501</f>
        <v>0</v>
      </c>
      <c r="F502" s="118">
        <f>+CUBICACION!E501</f>
        <v>0</v>
      </c>
      <c r="G502" s="118">
        <v>12</v>
      </c>
      <c r="H502" s="118">
        <v>2</v>
      </c>
      <c r="I502" s="820">
        <v>26385</v>
      </c>
      <c r="J502" s="118">
        <f>+CUBICACION!J501</f>
        <v>0</v>
      </c>
      <c r="K502" s="118">
        <v>3281</v>
      </c>
      <c r="L502" s="118">
        <f>+CUBICACION!L501</f>
        <v>0</v>
      </c>
      <c r="M502" s="64">
        <f>+CUBICACION!M501</f>
        <v>0</v>
      </c>
      <c r="N502" s="824" t="str">
        <f>+CUBICACION!N501</f>
        <v/>
      </c>
      <c r="O502" s="675">
        <f>+CUBICACION!O501</f>
        <v>0</v>
      </c>
      <c r="P502" s="15">
        <f>IF(O502="Fire Control",VLOOKUP(_xlfn.MINIFS('FIRE CONTROL'!$C$4:$C$37,'FIRE CONTROL'!$C$4:$C$37,"&gt;="&amp;M502),'FIRE CONTROL'!$C$4:$G$37,IF(L502="F-15",2,IF(L502="F-30",3,IF(L502="F-60",4,IF(L502="F-90",5,0)))),0),0)+IF(AND(O502="FIRE TEX 5062",OR(E502="IN",E502="C",E502="Z",E502="L"),J502=3),VLOOKUP(_xlfn.MINIFS('FIRE TEX 5062'!$B$4:$B$34,'FIRE TEX 5062'!$B$4:$B$34,"&gt;="&amp;M502),'FIRE TEX 5062'!$B$4:$F$34,IF(L502="F-15",2,IF(L502="F-30",3,IF(L502="F-60",4,IF(L502="F-90",5,0)))),0),0)+IF(AND(O502="FIRE TEX 5062",OR(E502="IN",E502="C",E502="Z",E502="L"),J502=4),VLOOKUP(_xlfn.MINIFS('FIRE TEX 5062'!$G$4:$G$34,'FIRE TEX 5062'!$G$4:$G$34,"&gt;="&amp;M502),'FIRE TEX 5062'!$G$4:$K$34,IF(L502="F-15",2,IF(L502="F-30",3,IF(L502="F-60",4,IF(L502="F-90",5,0)))),0),0)+IF(AND(O502="FIRE TEX 5062",E502="CJ",J502=3),VLOOKUP(_xlfn.MINIFS('FIRE TEX 5062'!$L$4:$L$34,'FIRE TEX 5062'!$L$4:$L$34,"&gt;="&amp;M502),'FIRE TEX 5062'!$L$4:$P$34,IF(L502="F-15",2,IF(L502="F-30",3,IF(L502="F-60",4,IF(L502="F-90",5,0)))),0),0)+IF(AND(O502="FIRE TEX 5062",E502="CJ",J502=4),VLOOKUP(_xlfn.MINIFS('FIRE TEX 5062'!$Q$3:$Q$34,'FIRE TEX 5062'!$Q$3:$Q$34,"&gt;="&amp;M502),'FIRE TEX 5062'!$Q$3:$U$34,IF(L502="F-15",2,IF(L502="F-30",3,IF(L502="F-60",4,IF(L502="F-90",5,0)))),0),0)+IF(AND(O502="FIRE TEX 5090",OR(E502="IN",E502="C",E502="Z",E502="L"),J502=3),VLOOKUP(_xlfn.MINIFS('FIRE TEX 5090'!$B$5:$B$43,'FIRE TEX 5090'!$B$5:$B$43,"&gt;="&amp;M502),'FIRE TEX 5090'!$B$5:$H$43,IF(L502="F-15",2,IF(L502="F-30",3,IF(L502="F-60",4,IF(L502="F-90",5,IF(L502="F-120",6,IF(L502="F-150",7,0)))))),0),0)+IF(AND(O502="FIRE TEX 5090",OR(E502="IN",E502="C",E502="Z",E502="L"),J502=4),VLOOKUP(_xlfn.MINIFS('FIRE TEX 5090'!$J$5:$J$43,'FIRE TEX 5090'!$J$5:$J$43,"&gt;="&amp;M502),'FIRE TEX 5090'!$J$5:$P$43,IF(L502="F-15",2,IF(L502="F-30",3,IF(L502="F-60",4,IF(L502="F-90",5,IF(L502="F-120",6,IF(L502="F-150",7,0)))))),0),0)+IF(AND(O502="FIRE TEX 5090",E502="CJ",J502=3),VLOOKUP(_xlfn.MINIFS('FIRE TEX 5090'!$R$5:$R$30,'FIRE TEX 5090'!$R$5:$R$30,"&gt;="&amp;M502),'FIRE TEX 5090'!$R$5:$W$30,IF(L502="F-15",2,IF(L502="F-30",3,IF(L502="F-60",4,IF(L502="F-90",5,IF(L502="F-120",6,IF(L502="F-150",7,0)))))),0),0)+IF(AND(O502="FIRE TEX 5090",E502="CJ",J502=4),VLOOKUP(_xlfn.MINIFS('FIRE TEX 5090'!$Y$5:$Y$39,'FIRE TEX 5090'!$Y$5:$Y$39,"&gt;="&amp;M502),'FIRE TEX 5090'!$Y$5:$AD$39,IF(L502="F-15",2,IF(L502="F-30",3,IF(L502="F-60",4,IF(L502="F-90",5,IF(L502="F-120",6,IF(L502="F-150",7,0)))))),0),0)+IF(AND(O502="FIRE TEX 5120",OR(E502="IN",E502="C",E502="Z",E502="L"),J502=3),VLOOKUP(_xlfn.MINIFS('FIRE TEX 5120'!$B$5:$B$40,'FIRE TEX 5120'!$B$5:$B$40,"&gt;="&amp;M502),'FIRE TEX 5120'!$B$5:$G$40,IF(L502="F-15",2,IF(L502="F-30",3,IF(L502="F-60",4,IF(L502="F-90",5,IF(L502="F-120",6,0))))),0),0)+IF(AND(O502="FIRE TEX 5120",OR(E502="IN",E502="C",E502="Z",E502="L"),J502=4),VLOOKUP(_xlfn.MINIFS('FIRE TEX 5120'!$H$4:$H$40,'FIRE TEX 5120'!$H$4:$H$40,"&gt;="&amp;M502),'FIRE TEX 5120'!$H$4:$M$40,IF(L502="F-15",2,IF(L502="F-30",3,IF(L502="F-60",4,IF(L502="F-90",5,IF(L502="F-120",6,0))))),0),0)+IF(AND(O502="FIRE TEX 5120",E502="CJ"),VLOOKUP(_xlfn.MINIFS('FIRE TEX 5120'!$O$5:$O$40,'FIRE TEX 5120'!$O$5:$O$40,"&gt;="&amp;M502),'FIRE TEX 5120'!$O$5:$T$40,IF(L502="F-15",2,IF(L502="F-30",3,IF(L502="F-60",4,IF(L502="F-90",5,IF(L502="F-120",6,0))))),0),0)</f>
        <v>0</v>
      </c>
      <c r="Q502" s="46">
        <f t="shared" si="59"/>
        <v>0</v>
      </c>
      <c r="R502" s="46">
        <f t="shared" si="60"/>
        <v>0</v>
      </c>
      <c r="S502" s="46" t="e">
        <f t="shared" si="61"/>
        <v>#VALUE!</v>
      </c>
      <c r="T502" s="677">
        <f t="shared" si="62"/>
        <v>0</v>
      </c>
      <c r="U502" s="80">
        <f>(IF(O502="Stofire",(S502*#REF!),0))+(IF(O502="Fire Control",(S502*$U$2),0))+(IF(O502="Fire Tex",(S502*$U$3),0))+(IF(O502="WB7",(S502*#REF!),0)+(IF(O502="FX 2003",(S502*$U$5),0)))</f>
        <v>0</v>
      </c>
      <c r="V502" s="651">
        <f t="shared" si="63"/>
        <v>0</v>
      </c>
    </row>
    <row r="503" spans="4:22" x14ac:dyDescent="0.25">
      <c r="D503" s="118">
        <f>+CUBICACION!D502</f>
        <v>0</v>
      </c>
      <c r="E503" s="118">
        <f>+CUBICACION!F502</f>
        <v>0</v>
      </c>
      <c r="F503" s="118">
        <f>+CUBICACION!E502</f>
        <v>0</v>
      </c>
      <c r="G503" s="118">
        <v>12</v>
      </c>
      <c r="H503" s="118">
        <v>2</v>
      </c>
      <c r="I503" s="820">
        <v>26385</v>
      </c>
      <c r="J503" s="118">
        <f>+CUBICACION!J502</f>
        <v>0</v>
      </c>
      <c r="K503" s="118">
        <v>3282</v>
      </c>
      <c r="L503" s="118">
        <f>+CUBICACION!L502</f>
        <v>0</v>
      </c>
      <c r="M503" s="64">
        <f>+CUBICACION!M502</f>
        <v>0</v>
      </c>
      <c r="N503" s="824" t="str">
        <f>+CUBICACION!N502</f>
        <v/>
      </c>
      <c r="O503" s="675">
        <f>+CUBICACION!O502</f>
        <v>0</v>
      </c>
      <c r="P503" s="15">
        <f>IF(O503="Fire Control",VLOOKUP(_xlfn.MINIFS('FIRE CONTROL'!$C$4:$C$37,'FIRE CONTROL'!$C$4:$C$37,"&gt;="&amp;M503),'FIRE CONTROL'!$C$4:$G$37,IF(L503="F-15",2,IF(L503="F-30",3,IF(L503="F-60",4,IF(L503="F-90",5,0)))),0),0)+IF(AND(O503="FIRE TEX 5062",OR(E503="IN",E503="C",E503="Z",E503="L"),J503=3),VLOOKUP(_xlfn.MINIFS('FIRE TEX 5062'!$B$4:$B$34,'FIRE TEX 5062'!$B$4:$B$34,"&gt;="&amp;M503),'FIRE TEX 5062'!$B$4:$F$34,IF(L503="F-15",2,IF(L503="F-30",3,IF(L503="F-60",4,IF(L503="F-90",5,0)))),0),0)+IF(AND(O503="FIRE TEX 5062",OR(E503="IN",E503="C",E503="Z",E503="L"),J503=4),VLOOKUP(_xlfn.MINIFS('FIRE TEX 5062'!$G$4:$G$34,'FIRE TEX 5062'!$G$4:$G$34,"&gt;="&amp;M503),'FIRE TEX 5062'!$G$4:$K$34,IF(L503="F-15",2,IF(L503="F-30",3,IF(L503="F-60",4,IF(L503="F-90",5,0)))),0),0)+IF(AND(O503="FIRE TEX 5062",E503="CJ",J503=3),VLOOKUP(_xlfn.MINIFS('FIRE TEX 5062'!$L$4:$L$34,'FIRE TEX 5062'!$L$4:$L$34,"&gt;="&amp;M503),'FIRE TEX 5062'!$L$4:$P$34,IF(L503="F-15",2,IF(L503="F-30",3,IF(L503="F-60",4,IF(L503="F-90",5,0)))),0),0)+IF(AND(O503="FIRE TEX 5062",E503="CJ",J503=4),VLOOKUP(_xlfn.MINIFS('FIRE TEX 5062'!$Q$3:$Q$34,'FIRE TEX 5062'!$Q$3:$Q$34,"&gt;="&amp;M503),'FIRE TEX 5062'!$Q$3:$U$34,IF(L503="F-15",2,IF(L503="F-30",3,IF(L503="F-60",4,IF(L503="F-90",5,0)))),0),0)+IF(AND(O503="FIRE TEX 5090",OR(E503="IN",E503="C",E503="Z",E503="L"),J503=3),VLOOKUP(_xlfn.MINIFS('FIRE TEX 5090'!$B$5:$B$43,'FIRE TEX 5090'!$B$5:$B$43,"&gt;="&amp;M503),'FIRE TEX 5090'!$B$5:$H$43,IF(L503="F-15",2,IF(L503="F-30",3,IF(L503="F-60",4,IF(L503="F-90",5,IF(L503="F-120",6,IF(L503="F-150",7,0)))))),0),0)+IF(AND(O503="FIRE TEX 5090",OR(E503="IN",E503="C",E503="Z",E503="L"),J503=4),VLOOKUP(_xlfn.MINIFS('FIRE TEX 5090'!$J$5:$J$43,'FIRE TEX 5090'!$J$5:$J$43,"&gt;="&amp;M503),'FIRE TEX 5090'!$J$5:$P$43,IF(L503="F-15",2,IF(L503="F-30",3,IF(L503="F-60",4,IF(L503="F-90",5,IF(L503="F-120",6,IF(L503="F-150",7,0)))))),0),0)+IF(AND(O503="FIRE TEX 5090",E503="CJ",J503=3),VLOOKUP(_xlfn.MINIFS('FIRE TEX 5090'!$R$5:$R$30,'FIRE TEX 5090'!$R$5:$R$30,"&gt;="&amp;M503),'FIRE TEX 5090'!$R$5:$W$30,IF(L503="F-15",2,IF(L503="F-30",3,IF(L503="F-60",4,IF(L503="F-90",5,IF(L503="F-120",6,IF(L503="F-150",7,0)))))),0),0)+IF(AND(O503="FIRE TEX 5090",E503="CJ",J503=4),VLOOKUP(_xlfn.MINIFS('FIRE TEX 5090'!$Y$5:$Y$39,'FIRE TEX 5090'!$Y$5:$Y$39,"&gt;="&amp;M503),'FIRE TEX 5090'!$Y$5:$AD$39,IF(L503="F-15",2,IF(L503="F-30",3,IF(L503="F-60",4,IF(L503="F-90",5,IF(L503="F-120",6,IF(L503="F-150",7,0)))))),0),0)+IF(AND(O503="FIRE TEX 5120",OR(E503="IN",E503="C",E503="Z",E503="L"),J503=3),VLOOKUP(_xlfn.MINIFS('FIRE TEX 5120'!$B$5:$B$40,'FIRE TEX 5120'!$B$5:$B$40,"&gt;="&amp;M503),'FIRE TEX 5120'!$B$5:$G$40,IF(L503="F-15",2,IF(L503="F-30",3,IF(L503="F-60",4,IF(L503="F-90",5,IF(L503="F-120",6,0))))),0),0)+IF(AND(O503="FIRE TEX 5120",OR(E503="IN",E503="C",E503="Z",E503="L"),J503=4),VLOOKUP(_xlfn.MINIFS('FIRE TEX 5120'!$H$4:$H$40,'FIRE TEX 5120'!$H$4:$H$40,"&gt;="&amp;M503),'FIRE TEX 5120'!$H$4:$M$40,IF(L503="F-15",2,IF(L503="F-30",3,IF(L503="F-60",4,IF(L503="F-90",5,IF(L503="F-120",6,0))))),0),0)+IF(AND(O503="FIRE TEX 5120",E503="CJ"),VLOOKUP(_xlfn.MINIFS('FIRE TEX 5120'!$O$5:$O$40,'FIRE TEX 5120'!$O$5:$O$40,"&gt;="&amp;M503),'FIRE TEX 5120'!$O$5:$T$40,IF(L503="F-15",2,IF(L503="F-30",3,IF(L503="F-60",4,IF(L503="F-90",5,IF(L503="F-120",6,0))))),0),0)</f>
        <v>0</v>
      </c>
      <c r="Q503" s="46">
        <f t="shared" si="59"/>
        <v>0</v>
      </c>
      <c r="R503" s="46">
        <f t="shared" si="60"/>
        <v>0</v>
      </c>
      <c r="S503" s="46" t="e">
        <f t="shared" si="61"/>
        <v>#VALUE!</v>
      </c>
      <c r="T503" s="677">
        <f t="shared" si="62"/>
        <v>0</v>
      </c>
      <c r="U503" s="80">
        <f>(IF(O503="Stofire",(S503*#REF!),0))+(IF(O503="Fire Control",(S503*$U$2),0))+(IF(O503="Fire Tex",(S503*$U$3),0))+(IF(O503="WB7",(S503*#REF!),0)+(IF(O503="FX 2003",(S503*$U$5),0)))</f>
        <v>0</v>
      </c>
      <c r="V503" s="651">
        <f t="shared" si="63"/>
        <v>0</v>
      </c>
    </row>
    <row r="504" spans="4:22" x14ac:dyDescent="0.25">
      <c r="D504" s="118">
        <f>+CUBICACION!D503</f>
        <v>0</v>
      </c>
      <c r="E504" s="118">
        <f>+CUBICACION!F503</f>
        <v>0</v>
      </c>
      <c r="F504" s="118">
        <f>+CUBICACION!E503</f>
        <v>0</v>
      </c>
      <c r="G504" s="118">
        <v>12</v>
      </c>
      <c r="H504" s="118">
        <v>2</v>
      </c>
      <c r="I504" s="820">
        <v>26385</v>
      </c>
      <c r="J504" s="118">
        <f>+CUBICACION!J503</f>
        <v>0</v>
      </c>
      <c r="K504" s="118">
        <v>3283</v>
      </c>
      <c r="L504" s="118">
        <f>+CUBICACION!L503</f>
        <v>0</v>
      </c>
      <c r="M504" s="64">
        <f>+CUBICACION!M503</f>
        <v>0</v>
      </c>
      <c r="N504" s="824" t="str">
        <f>+CUBICACION!N503</f>
        <v/>
      </c>
      <c r="O504" s="675">
        <f>+CUBICACION!O503</f>
        <v>0</v>
      </c>
      <c r="P504" s="15">
        <f>IF(O504="Fire Control",VLOOKUP(_xlfn.MINIFS('FIRE CONTROL'!$C$4:$C$37,'FIRE CONTROL'!$C$4:$C$37,"&gt;="&amp;M504),'FIRE CONTROL'!$C$4:$G$37,IF(L504="F-15",2,IF(L504="F-30",3,IF(L504="F-60",4,IF(L504="F-90",5,0)))),0),0)+IF(AND(O504="FIRE TEX 5062",OR(E504="IN",E504="C",E504="Z",E504="L"),J504=3),VLOOKUP(_xlfn.MINIFS('FIRE TEX 5062'!$B$4:$B$34,'FIRE TEX 5062'!$B$4:$B$34,"&gt;="&amp;M504),'FIRE TEX 5062'!$B$4:$F$34,IF(L504="F-15",2,IF(L504="F-30",3,IF(L504="F-60",4,IF(L504="F-90",5,0)))),0),0)+IF(AND(O504="FIRE TEX 5062",OR(E504="IN",E504="C",E504="Z",E504="L"),J504=4),VLOOKUP(_xlfn.MINIFS('FIRE TEX 5062'!$G$4:$G$34,'FIRE TEX 5062'!$G$4:$G$34,"&gt;="&amp;M504),'FIRE TEX 5062'!$G$4:$K$34,IF(L504="F-15",2,IF(L504="F-30",3,IF(L504="F-60",4,IF(L504="F-90",5,0)))),0),0)+IF(AND(O504="FIRE TEX 5062",E504="CJ",J504=3),VLOOKUP(_xlfn.MINIFS('FIRE TEX 5062'!$L$4:$L$34,'FIRE TEX 5062'!$L$4:$L$34,"&gt;="&amp;M504),'FIRE TEX 5062'!$L$4:$P$34,IF(L504="F-15",2,IF(L504="F-30",3,IF(L504="F-60",4,IF(L504="F-90",5,0)))),0),0)+IF(AND(O504="FIRE TEX 5062",E504="CJ",J504=4),VLOOKUP(_xlfn.MINIFS('FIRE TEX 5062'!$Q$3:$Q$34,'FIRE TEX 5062'!$Q$3:$Q$34,"&gt;="&amp;M504),'FIRE TEX 5062'!$Q$3:$U$34,IF(L504="F-15",2,IF(L504="F-30",3,IF(L504="F-60",4,IF(L504="F-90",5,0)))),0),0)+IF(AND(O504="FIRE TEX 5090",OR(E504="IN",E504="C",E504="Z",E504="L"),J504=3),VLOOKUP(_xlfn.MINIFS('FIRE TEX 5090'!$B$5:$B$43,'FIRE TEX 5090'!$B$5:$B$43,"&gt;="&amp;M504),'FIRE TEX 5090'!$B$5:$H$43,IF(L504="F-15",2,IF(L504="F-30",3,IF(L504="F-60",4,IF(L504="F-90",5,IF(L504="F-120",6,IF(L504="F-150",7,0)))))),0),0)+IF(AND(O504="FIRE TEX 5090",OR(E504="IN",E504="C",E504="Z",E504="L"),J504=4),VLOOKUP(_xlfn.MINIFS('FIRE TEX 5090'!$J$5:$J$43,'FIRE TEX 5090'!$J$5:$J$43,"&gt;="&amp;M504),'FIRE TEX 5090'!$J$5:$P$43,IF(L504="F-15",2,IF(L504="F-30",3,IF(L504="F-60",4,IF(L504="F-90",5,IF(L504="F-120",6,IF(L504="F-150",7,0)))))),0),0)+IF(AND(O504="FIRE TEX 5090",E504="CJ",J504=3),VLOOKUP(_xlfn.MINIFS('FIRE TEX 5090'!$R$5:$R$30,'FIRE TEX 5090'!$R$5:$R$30,"&gt;="&amp;M504),'FIRE TEX 5090'!$R$5:$W$30,IF(L504="F-15",2,IF(L504="F-30",3,IF(L504="F-60",4,IF(L504="F-90",5,IF(L504="F-120",6,IF(L504="F-150",7,0)))))),0),0)+IF(AND(O504="FIRE TEX 5090",E504="CJ",J504=4),VLOOKUP(_xlfn.MINIFS('FIRE TEX 5090'!$Y$5:$Y$39,'FIRE TEX 5090'!$Y$5:$Y$39,"&gt;="&amp;M504),'FIRE TEX 5090'!$Y$5:$AD$39,IF(L504="F-15",2,IF(L504="F-30",3,IF(L504="F-60",4,IF(L504="F-90",5,IF(L504="F-120",6,IF(L504="F-150",7,0)))))),0),0)+IF(AND(O504="FIRE TEX 5120",OR(E504="IN",E504="C",E504="Z",E504="L"),J504=3),VLOOKUP(_xlfn.MINIFS('FIRE TEX 5120'!$B$5:$B$40,'FIRE TEX 5120'!$B$5:$B$40,"&gt;="&amp;M504),'FIRE TEX 5120'!$B$5:$G$40,IF(L504="F-15",2,IF(L504="F-30",3,IF(L504="F-60",4,IF(L504="F-90",5,IF(L504="F-120",6,0))))),0),0)+IF(AND(O504="FIRE TEX 5120",OR(E504="IN",E504="C",E504="Z",E504="L"),J504=4),VLOOKUP(_xlfn.MINIFS('FIRE TEX 5120'!$H$4:$H$40,'FIRE TEX 5120'!$H$4:$H$40,"&gt;="&amp;M504),'FIRE TEX 5120'!$H$4:$M$40,IF(L504="F-15",2,IF(L504="F-30",3,IF(L504="F-60",4,IF(L504="F-90",5,IF(L504="F-120",6,0))))),0),0)+IF(AND(O504="FIRE TEX 5120",E504="CJ"),VLOOKUP(_xlfn.MINIFS('FIRE TEX 5120'!$O$5:$O$40,'FIRE TEX 5120'!$O$5:$O$40,"&gt;="&amp;M504),'FIRE TEX 5120'!$O$5:$T$40,IF(L504="F-15",2,IF(L504="F-30",3,IF(L504="F-60",4,IF(L504="F-90",5,IF(L504="F-120",6,0))))),0),0)</f>
        <v>0</v>
      </c>
      <c r="Q504" s="46">
        <f t="shared" si="59"/>
        <v>0</v>
      </c>
      <c r="R504" s="46">
        <f t="shared" si="60"/>
        <v>0</v>
      </c>
      <c r="S504" s="46" t="e">
        <f t="shared" si="61"/>
        <v>#VALUE!</v>
      </c>
      <c r="T504" s="677">
        <f t="shared" si="62"/>
        <v>0</v>
      </c>
      <c r="U504" s="80">
        <f>(IF(O504="Stofire",(S504*#REF!),0))+(IF(O504="Fire Control",(S504*$U$2),0))+(IF(O504="Fire Tex",(S504*$U$3),0))+(IF(O504="WB7",(S504*#REF!),0)+(IF(O504="FX 2003",(S504*$U$5),0)))</f>
        <v>0</v>
      </c>
      <c r="V504" s="651">
        <f t="shared" si="63"/>
        <v>0</v>
      </c>
    </row>
    <row r="505" spans="4:22" x14ac:dyDescent="0.25">
      <c r="D505" s="118">
        <f>+CUBICACION!D504</f>
        <v>0</v>
      </c>
      <c r="E505" s="118">
        <f>+CUBICACION!F504</f>
        <v>0</v>
      </c>
      <c r="F505" s="118">
        <f>+CUBICACION!E504</f>
        <v>0</v>
      </c>
      <c r="G505" s="118">
        <v>12</v>
      </c>
      <c r="H505" s="118">
        <v>2</v>
      </c>
      <c r="I505" s="820">
        <v>26385</v>
      </c>
      <c r="J505" s="118">
        <f>+CUBICACION!J504</f>
        <v>0</v>
      </c>
      <c r="K505" s="118">
        <v>3284</v>
      </c>
      <c r="L505" s="118">
        <f>+CUBICACION!L504</f>
        <v>0</v>
      </c>
      <c r="M505" s="64">
        <f>+CUBICACION!M504</f>
        <v>0</v>
      </c>
      <c r="N505" s="824" t="str">
        <f>+CUBICACION!N504</f>
        <v/>
      </c>
      <c r="O505" s="675">
        <f>+CUBICACION!O504</f>
        <v>0</v>
      </c>
      <c r="P505" s="15">
        <f>IF(O505="Fire Control",VLOOKUP(_xlfn.MINIFS('FIRE CONTROL'!$C$4:$C$37,'FIRE CONTROL'!$C$4:$C$37,"&gt;="&amp;M505),'FIRE CONTROL'!$C$4:$G$37,IF(L505="F-15",2,IF(L505="F-30",3,IF(L505="F-60",4,IF(L505="F-90",5,0)))),0),0)+IF(AND(O505="FIRE TEX 5062",OR(E505="IN",E505="C",E505="Z",E505="L"),J505=3),VLOOKUP(_xlfn.MINIFS('FIRE TEX 5062'!$B$4:$B$34,'FIRE TEX 5062'!$B$4:$B$34,"&gt;="&amp;M505),'FIRE TEX 5062'!$B$4:$F$34,IF(L505="F-15",2,IF(L505="F-30",3,IF(L505="F-60",4,IF(L505="F-90",5,0)))),0),0)+IF(AND(O505="FIRE TEX 5062",OR(E505="IN",E505="C",E505="Z",E505="L"),J505=4),VLOOKUP(_xlfn.MINIFS('FIRE TEX 5062'!$G$4:$G$34,'FIRE TEX 5062'!$G$4:$G$34,"&gt;="&amp;M505),'FIRE TEX 5062'!$G$4:$K$34,IF(L505="F-15",2,IF(L505="F-30",3,IF(L505="F-60",4,IF(L505="F-90",5,0)))),0),0)+IF(AND(O505="FIRE TEX 5062",E505="CJ",J505=3),VLOOKUP(_xlfn.MINIFS('FIRE TEX 5062'!$L$4:$L$34,'FIRE TEX 5062'!$L$4:$L$34,"&gt;="&amp;M505),'FIRE TEX 5062'!$L$4:$P$34,IF(L505="F-15",2,IF(L505="F-30",3,IF(L505="F-60",4,IF(L505="F-90",5,0)))),0),0)+IF(AND(O505="FIRE TEX 5062",E505="CJ",J505=4),VLOOKUP(_xlfn.MINIFS('FIRE TEX 5062'!$Q$3:$Q$34,'FIRE TEX 5062'!$Q$3:$Q$34,"&gt;="&amp;M505),'FIRE TEX 5062'!$Q$3:$U$34,IF(L505="F-15",2,IF(L505="F-30",3,IF(L505="F-60",4,IF(L505="F-90",5,0)))),0),0)+IF(AND(O505="FIRE TEX 5090",OR(E505="IN",E505="C",E505="Z",E505="L"),J505=3),VLOOKUP(_xlfn.MINIFS('FIRE TEX 5090'!$B$5:$B$43,'FIRE TEX 5090'!$B$5:$B$43,"&gt;="&amp;M505),'FIRE TEX 5090'!$B$5:$H$43,IF(L505="F-15",2,IF(L505="F-30",3,IF(L505="F-60",4,IF(L505="F-90",5,IF(L505="F-120",6,IF(L505="F-150",7,0)))))),0),0)+IF(AND(O505="FIRE TEX 5090",OR(E505="IN",E505="C",E505="Z",E505="L"),J505=4),VLOOKUP(_xlfn.MINIFS('FIRE TEX 5090'!$J$5:$J$43,'FIRE TEX 5090'!$J$5:$J$43,"&gt;="&amp;M505),'FIRE TEX 5090'!$J$5:$P$43,IF(L505="F-15",2,IF(L505="F-30",3,IF(L505="F-60",4,IF(L505="F-90",5,IF(L505="F-120",6,IF(L505="F-150",7,0)))))),0),0)+IF(AND(O505="FIRE TEX 5090",E505="CJ",J505=3),VLOOKUP(_xlfn.MINIFS('FIRE TEX 5090'!$R$5:$R$30,'FIRE TEX 5090'!$R$5:$R$30,"&gt;="&amp;M505),'FIRE TEX 5090'!$R$5:$W$30,IF(L505="F-15",2,IF(L505="F-30",3,IF(L505="F-60",4,IF(L505="F-90",5,IF(L505="F-120",6,IF(L505="F-150",7,0)))))),0),0)+IF(AND(O505="FIRE TEX 5090",E505="CJ",J505=4),VLOOKUP(_xlfn.MINIFS('FIRE TEX 5090'!$Y$5:$Y$39,'FIRE TEX 5090'!$Y$5:$Y$39,"&gt;="&amp;M505),'FIRE TEX 5090'!$Y$5:$AD$39,IF(L505="F-15",2,IF(L505="F-30",3,IF(L505="F-60",4,IF(L505="F-90",5,IF(L505="F-120",6,IF(L505="F-150",7,0)))))),0),0)+IF(AND(O505="FIRE TEX 5120",OR(E505="IN",E505="C",E505="Z",E505="L"),J505=3),VLOOKUP(_xlfn.MINIFS('FIRE TEX 5120'!$B$5:$B$40,'FIRE TEX 5120'!$B$5:$B$40,"&gt;="&amp;M505),'FIRE TEX 5120'!$B$5:$G$40,IF(L505="F-15",2,IF(L505="F-30",3,IF(L505="F-60",4,IF(L505="F-90",5,IF(L505="F-120",6,0))))),0),0)+IF(AND(O505="FIRE TEX 5120",OR(E505="IN",E505="C",E505="Z",E505="L"),J505=4),VLOOKUP(_xlfn.MINIFS('FIRE TEX 5120'!$H$4:$H$40,'FIRE TEX 5120'!$H$4:$H$40,"&gt;="&amp;M505),'FIRE TEX 5120'!$H$4:$M$40,IF(L505="F-15",2,IF(L505="F-30",3,IF(L505="F-60",4,IF(L505="F-90",5,IF(L505="F-120",6,0))))),0),0)+IF(AND(O505="FIRE TEX 5120",E505="CJ"),VLOOKUP(_xlfn.MINIFS('FIRE TEX 5120'!$O$5:$O$40,'FIRE TEX 5120'!$O$5:$O$40,"&gt;="&amp;M505),'FIRE TEX 5120'!$O$5:$T$40,IF(L505="F-15",2,IF(L505="F-30",3,IF(L505="F-60",4,IF(L505="F-90",5,IF(L505="F-120",6,0))))),0),0)</f>
        <v>0</v>
      </c>
      <c r="Q505" s="46">
        <f t="shared" si="59"/>
        <v>0</v>
      </c>
      <c r="R505" s="46">
        <f t="shared" si="60"/>
        <v>0</v>
      </c>
      <c r="S505" s="46" t="e">
        <f t="shared" si="61"/>
        <v>#VALUE!</v>
      </c>
      <c r="T505" s="677">
        <f t="shared" si="62"/>
        <v>0</v>
      </c>
      <c r="U505" s="80">
        <f>(IF(O505="Stofire",(S505*#REF!),0))+(IF(O505="Fire Control",(S505*$U$2),0))+(IF(O505="Fire Tex",(S505*$U$3),0))+(IF(O505="WB7",(S505*#REF!),0)+(IF(O505="FX 2003",(S505*$U$5),0)))</f>
        <v>0</v>
      </c>
      <c r="V505" s="651">
        <f t="shared" si="63"/>
        <v>0</v>
      </c>
    </row>
    <row r="506" spans="4:22" x14ac:dyDescent="0.25">
      <c r="D506" s="118">
        <f>+CUBICACION!D505</f>
        <v>0</v>
      </c>
      <c r="E506" s="118">
        <f>+CUBICACION!F505</f>
        <v>0</v>
      </c>
      <c r="F506" s="118">
        <f>+CUBICACION!E505</f>
        <v>0</v>
      </c>
      <c r="G506" s="118">
        <v>12</v>
      </c>
      <c r="H506" s="118">
        <v>2</v>
      </c>
      <c r="I506" s="820">
        <v>26385</v>
      </c>
      <c r="J506" s="118">
        <f>+CUBICACION!J505</f>
        <v>0</v>
      </c>
      <c r="K506" s="118">
        <v>3285</v>
      </c>
      <c r="L506" s="118">
        <f>+CUBICACION!L505</f>
        <v>0</v>
      </c>
      <c r="M506" s="64">
        <f>+CUBICACION!M505</f>
        <v>0</v>
      </c>
      <c r="N506" s="824" t="str">
        <f>+CUBICACION!N505</f>
        <v/>
      </c>
      <c r="O506" s="675">
        <f>+CUBICACION!O505</f>
        <v>0</v>
      </c>
      <c r="P506" s="15">
        <f>IF(O506="Fire Control",VLOOKUP(_xlfn.MINIFS('FIRE CONTROL'!$C$4:$C$37,'FIRE CONTROL'!$C$4:$C$37,"&gt;="&amp;M506),'FIRE CONTROL'!$C$4:$G$37,IF(L506="F-15",2,IF(L506="F-30",3,IF(L506="F-60",4,IF(L506="F-90",5,0)))),0),0)+IF(AND(O506="FIRE TEX 5062",OR(E506="IN",E506="C",E506="Z",E506="L"),J506=3),VLOOKUP(_xlfn.MINIFS('FIRE TEX 5062'!$B$4:$B$34,'FIRE TEX 5062'!$B$4:$B$34,"&gt;="&amp;M506),'FIRE TEX 5062'!$B$4:$F$34,IF(L506="F-15",2,IF(L506="F-30",3,IF(L506="F-60",4,IF(L506="F-90",5,0)))),0),0)+IF(AND(O506="FIRE TEX 5062",OR(E506="IN",E506="C",E506="Z",E506="L"),J506=4),VLOOKUP(_xlfn.MINIFS('FIRE TEX 5062'!$G$4:$G$34,'FIRE TEX 5062'!$G$4:$G$34,"&gt;="&amp;M506),'FIRE TEX 5062'!$G$4:$K$34,IF(L506="F-15",2,IF(L506="F-30",3,IF(L506="F-60",4,IF(L506="F-90",5,0)))),0),0)+IF(AND(O506="FIRE TEX 5062",E506="CJ",J506=3),VLOOKUP(_xlfn.MINIFS('FIRE TEX 5062'!$L$4:$L$34,'FIRE TEX 5062'!$L$4:$L$34,"&gt;="&amp;M506),'FIRE TEX 5062'!$L$4:$P$34,IF(L506="F-15",2,IF(L506="F-30",3,IF(L506="F-60",4,IF(L506="F-90",5,0)))),0),0)+IF(AND(O506="FIRE TEX 5062",E506="CJ",J506=4),VLOOKUP(_xlfn.MINIFS('FIRE TEX 5062'!$Q$3:$Q$34,'FIRE TEX 5062'!$Q$3:$Q$34,"&gt;="&amp;M506),'FIRE TEX 5062'!$Q$3:$U$34,IF(L506="F-15",2,IF(L506="F-30",3,IF(L506="F-60",4,IF(L506="F-90",5,0)))),0),0)+IF(AND(O506="FIRE TEX 5090",OR(E506="IN",E506="C",E506="Z",E506="L"),J506=3),VLOOKUP(_xlfn.MINIFS('FIRE TEX 5090'!$B$5:$B$43,'FIRE TEX 5090'!$B$5:$B$43,"&gt;="&amp;M506),'FIRE TEX 5090'!$B$5:$H$43,IF(L506="F-15",2,IF(L506="F-30",3,IF(L506="F-60",4,IF(L506="F-90",5,IF(L506="F-120",6,IF(L506="F-150",7,0)))))),0),0)+IF(AND(O506="FIRE TEX 5090",OR(E506="IN",E506="C",E506="Z",E506="L"),J506=4),VLOOKUP(_xlfn.MINIFS('FIRE TEX 5090'!$J$5:$J$43,'FIRE TEX 5090'!$J$5:$J$43,"&gt;="&amp;M506),'FIRE TEX 5090'!$J$5:$P$43,IF(L506="F-15",2,IF(L506="F-30",3,IF(L506="F-60",4,IF(L506="F-90",5,IF(L506="F-120",6,IF(L506="F-150",7,0)))))),0),0)+IF(AND(O506="FIRE TEX 5090",E506="CJ",J506=3),VLOOKUP(_xlfn.MINIFS('FIRE TEX 5090'!$R$5:$R$30,'FIRE TEX 5090'!$R$5:$R$30,"&gt;="&amp;M506),'FIRE TEX 5090'!$R$5:$W$30,IF(L506="F-15",2,IF(L506="F-30",3,IF(L506="F-60",4,IF(L506="F-90",5,IF(L506="F-120",6,IF(L506="F-150",7,0)))))),0),0)+IF(AND(O506="FIRE TEX 5090",E506="CJ",J506=4),VLOOKUP(_xlfn.MINIFS('FIRE TEX 5090'!$Y$5:$Y$39,'FIRE TEX 5090'!$Y$5:$Y$39,"&gt;="&amp;M506),'FIRE TEX 5090'!$Y$5:$AD$39,IF(L506="F-15",2,IF(L506="F-30",3,IF(L506="F-60",4,IF(L506="F-90",5,IF(L506="F-120",6,IF(L506="F-150",7,0)))))),0),0)+IF(AND(O506="FIRE TEX 5120",OR(E506="IN",E506="C",E506="Z",E506="L"),J506=3),VLOOKUP(_xlfn.MINIFS('FIRE TEX 5120'!$B$5:$B$40,'FIRE TEX 5120'!$B$5:$B$40,"&gt;="&amp;M506),'FIRE TEX 5120'!$B$5:$G$40,IF(L506="F-15",2,IF(L506="F-30",3,IF(L506="F-60",4,IF(L506="F-90",5,IF(L506="F-120",6,0))))),0),0)+IF(AND(O506="FIRE TEX 5120",OR(E506="IN",E506="C",E506="Z",E506="L"),J506=4),VLOOKUP(_xlfn.MINIFS('FIRE TEX 5120'!$H$4:$H$40,'FIRE TEX 5120'!$H$4:$H$40,"&gt;="&amp;M506),'FIRE TEX 5120'!$H$4:$M$40,IF(L506="F-15",2,IF(L506="F-30",3,IF(L506="F-60",4,IF(L506="F-90",5,IF(L506="F-120",6,0))))),0),0)+IF(AND(O506="FIRE TEX 5120",E506="CJ"),VLOOKUP(_xlfn.MINIFS('FIRE TEX 5120'!$O$5:$O$40,'FIRE TEX 5120'!$O$5:$O$40,"&gt;="&amp;M506),'FIRE TEX 5120'!$O$5:$T$40,IF(L506="F-15",2,IF(L506="F-30",3,IF(L506="F-60",4,IF(L506="F-90",5,IF(L506="F-120",6,0))))),0),0)</f>
        <v>0</v>
      </c>
      <c r="Q506" s="46">
        <f t="shared" si="59"/>
        <v>0</v>
      </c>
      <c r="R506" s="46">
        <f t="shared" si="60"/>
        <v>0</v>
      </c>
      <c r="S506" s="46" t="e">
        <f t="shared" si="61"/>
        <v>#VALUE!</v>
      </c>
      <c r="T506" s="677">
        <f t="shared" si="62"/>
        <v>0</v>
      </c>
      <c r="U506" s="80">
        <f>(IF(O506="Stofire",(S506*#REF!),0))+(IF(O506="Fire Control",(S506*$U$2),0))+(IF(O506="Fire Tex",(S506*$U$3),0))+(IF(O506="WB7",(S506*#REF!),0)+(IF(O506="FX 2003",(S506*$U$5),0)))</f>
        <v>0</v>
      </c>
      <c r="V506" s="651">
        <f t="shared" si="63"/>
        <v>0</v>
      </c>
    </row>
    <row r="507" spans="4:22" x14ac:dyDescent="0.25">
      <c r="D507" s="118">
        <f>+CUBICACION!D506</f>
        <v>0</v>
      </c>
      <c r="E507" s="118">
        <f>+CUBICACION!F506</f>
        <v>0</v>
      </c>
      <c r="F507" s="118">
        <f>+CUBICACION!E506</f>
        <v>0</v>
      </c>
      <c r="G507" s="118">
        <v>12</v>
      </c>
      <c r="H507" s="118">
        <v>2</v>
      </c>
      <c r="I507" s="820">
        <v>26385</v>
      </c>
      <c r="J507" s="118">
        <f>+CUBICACION!J506</f>
        <v>0</v>
      </c>
      <c r="K507" s="118">
        <v>3286</v>
      </c>
      <c r="L507" s="118">
        <f>+CUBICACION!L506</f>
        <v>0</v>
      </c>
      <c r="M507" s="64">
        <f>+CUBICACION!M506</f>
        <v>0</v>
      </c>
      <c r="N507" s="824" t="str">
        <f>+CUBICACION!N506</f>
        <v/>
      </c>
      <c r="O507" s="675">
        <f>+CUBICACION!O506</f>
        <v>0</v>
      </c>
      <c r="P507" s="15">
        <f>IF(O507="Fire Control",VLOOKUP(_xlfn.MINIFS('FIRE CONTROL'!$C$4:$C$37,'FIRE CONTROL'!$C$4:$C$37,"&gt;="&amp;M507),'FIRE CONTROL'!$C$4:$G$37,IF(L507="F-15",2,IF(L507="F-30",3,IF(L507="F-60",4,IF(L507="F-90",5,0)))),0),0)+IF(AND(O507="FIRE TEX 5062",OR(E507="IN",E507="C",E507="Z",E507="L"),J507=3),VLOOKUP(_xlfn.MINIFS('FIRE TEX 5062'!$B$4:$B$34,'FIRE TEX 5062'!$B$4:$B$34,"&gt;="&amp;M507),'FIRE TEX 5062'!$B$4:$F$34,IF(L507="F-15",2,IF(L507="F-30",3,IF(L507="F-60",4,IF(L507="F-90",5,0)))),0),0)+IF(AND(O507="FIRE TEX 5062",OR(E507="IN",E507="C",E507="Z",E507="L"),J507=4),VLOOKUP(_xlfn.MINIFS('FIRE TEX 5062'!$G$4:$G$34,'FIRE TEX 5062'!$G$4:$G$34,"&gt;="&amp;M507),'FIRE TEX 5062'!$G$4:$K$34,IF(L507="F-15",2,IF(L507="F-30",3,IF(L507="F-60",4,IF(L507="F-90",5,0)))),0),0)+IF(AND(O507="FIRE TEX 5062",E507="CJ",J507=3),VLOOKUP(_xlfn.MINIFS('FIRE TEX 5062'!$L$4:$L$34,'FIRE TEX 5062'!$L$4:$L$34,"&gt;="&amp;M507),'FIRE TEX 5062'!$L$4:$P$34,IF(L507="F-15",2,IF(L507="F-30",3,IF(L507="F-60",4,IF(L507="F-90",5,0)))),0),0)+IF(AND(O507="FIRE TEX 5062",E507="CJ",J507=4),VLOOKUP(_xlfn.MINIFS('FIRE TEX 5062'!$Q$3:$Q$34,'FIRE TEX 5062'!$Q$3:$Q$34,"&gt;="&amp;M507),'FIRE TEX 5062'!$Q$3:$U$34,IF(L507="F-15",2,IF(L507="F-30",3,IF(L507="F-60",4,IF(L507="F-90",5,0)))),0),0)+IF(AND(O507="FIRE TEX 5090",OR(E507="IN",E507="C",E507="Z",E507="L"),J507=3),VLOOKUP(_xlfn.MINIFS('FIRE TEX 5090'!$B$5:$B$43,'FIRE TEX 5090'!$B$5:$B$43,"&gt;="&amp;M507),'FIRE TEX 5090'!$B$5:$H$43,IF(L507="F-15",2,IF(L507="F-30",3,IF(L507="F-60",4,IF(L507="F-90",5,IF(L507="F-120",6,IF(L507="F-150",7,0)))))),0),0)+IF(AND(O507="FIRE TEX 5090",OR(E507="IN",E507="C",E507="Z",E507="L"),J507=4),VLOOKUP(_xlfn.MINIFS('FIRE TEX 5090'!$J$5:$J$43,'FIRE TEX 5090'!$J$5:$J$43,"&gt;="&amp;M507),'FIRE TEX 5090'!$J$5:$P$43,IF(L507="F-15",2,IF(L507="F-30",3,IF(L507="F-60",4,IF(L507="F-90",5,IF(L507="F-120",6,IF(L507="F-150",7,0)))))),0),0)+IF(AND(O507="FIRE TEX 5090",E507="CJ",J507=3),VLOOKUP(_xlfn.MINIFS('FIRE TEX 5090'!$R$5:$R$30,'FIRE TEX 5090'!$R$5:$R$30,"&gt;="&amp;M507),'FIRE TEX 5090'!$R$5:$W$30,IF(L507="F-15",2,IF(L507="F-30",3,IF(L507="F-60",4,IF(L507="F-90",5,IF(L507="F-120",6,IF(L507="F-150",7,0)))))),0),0)+IF(AND(O507="FIRE TEX 5090",E507="CJ",J507=4),VLOOKUP(_xlfn.MINIFS('FIRE TEX 5090'!$Y$5:$Y$39,'FIRE TEX 5090'!$Y$5:$Y$39,"&gt;="&amp;M507),'FIRE TEX 5090'!$Y$5:$AD$39,IF(L507="F-15",2,IF(L507="F-30",3,IF(L507="F-60",4,IF(L507="F-90",5,IF(L507="F-120",6,IF(L507="F-150",7,0)))))),0),0)+IF(AND(O507="FIRE TEX 5120",OR(E507="IN",E507="C",E507="Z",E507="L"),J507=3),VLOOKUP(_xlfn.MINIFS('FIRE TEX 5120'!$B$5:$B$40,'FIRE TEX 5120'!$B$5:$B$40,"&gt;="&amp;M507),'FIRE TEX 5120'!$B$5:$G$40,IF(L507="F-15",2,IF(L507="F-30",3,IF(L507="F-60",4,IF(L507="F-90",5,IF(L507="F-120",6,0))))),0),0)+IF(AND(O507="FIRE TEX 5120",OR(E507="IN",E507="C",E507="Z",E507="L"),J507=4),VLOOKUP(_xlfn.MINIFS('FIRE TEX 5120'!$H$4:$H$40,'FIRE TEX 5120'!$H$4:$H$40,"&gt;="&amp;M507),'FIRE TEX 5120'!$H$4:$M$40,IF(L507="F-15",2,IF(L507="F-30",3,IF(L507="F-60",4,IF(L507="F-90",5,IF(L507="F-120",6,0))))),0),0)+IF(AND(O507="FIRE TEX 5120",E507="CJ"),VLOOKUP(_xlfn.MINIFS('FIRE TEX 5120'!$O$5:$O$40,'FIRE TEX 5120'!$O$5:$O$40,"&gt;="&amp;M507),'FIRE TEX 5120'!$O$5:$T$40,IF(L507="F-15",2,IF(L507="F-30",3,IF(L507="F-60",4,IF(L507="F-90",5,IF(L507="F-120",6,0))))),0),0)</f>
        <v>0</v>
      </c>
      <c r="Q507" s="46">
        <f t="shared" si="59"/>
        <v>0</v>
      </c>
      <c r="R507" s="46">
        <f t="shared" si="60"/>
        <v>0</v>
      </c>
      <c r="S507" s="46" t="e">
        <f t="shared" si="61"/>
        <v>#VALUE!</v>
      </c>
      <c r="T507" s="677">
        <f t="shared" si="62"/>
        <v>0</v>
      </c>
      <c r="U507" s="80">
        <f>(IF(O507="Stofire",(S507*#REF!),0))+(IF(O507="Fire Control",(S507*$U$2),0))+(IF(O507="Fire Tex",(S507*$U$3),0))+(IF(O507="WB7",(S507*#REF!),0)+(IF(O507="FX 2003",(S507*$U$5),0)))</f>
        <v>0</v>
      </c>
      <c r="V507" s="651">
        <f t="shared" si="63"/>
        <v>0</v>
      </c>
    </row>
    <row r="508" spans="4:22" x14ac:dyDescent="0.25">
      <c r="D508" s="118">
        <f>+CUBICACION!D507</f>
        <v>0</v>
      </c>
      <c r="E508" s="118">
        <f>+CUBICACION!F507</f>
        <v>0</v>
      </c>
      <c r="F508" s="118">
        <f>+CUBICACION!E507</f>
        <v>0</v>
      </c>
      <c r="G508" s="118">
        <v>12</v>
      </c>
      <c r="H508" s="118">
        <v>2</v>
      </c>
      <c r="I508" s="820">
        <v>26385</v>
      </c>
      <c r="J508" s="118">
        <f>+CUBICACION!J507</f>
        <v>0</v>
      </c>
      <c r="K508" s="118">
        <v>3287</v>
      </c>
      <c r="L508" s="118">
        <f>+CUBICACION!L507</f>
        <v>0</v>
      </c>
      <c r="M508" s="64">
        <f>+CUBICACION!M507</f>
        <v>0</v>
      </c>
      <c r="N508" s="824" t="str">
        <f>+CUBICACION!N507</f>
        <v/>
      </c>
      <c r="O508" s="675">
        <f>+CUBICACION!O507</f>
        <v>0</v>
      </c>
      <c r="P508" s="15">
        <f>IF(O508="Fire Control",VLOOKUP(_xlfn.MINIFS('FIRE CONTROL'!$C$4:$C$37,'FIRE CONTROL'!$C$4:$C$37,"&gt;="&amp;M508),'FIRE CONTROL'!$C$4:$G$37,IF(L508="F-15",2,IF(L508="F-30",3,IF(L508="F-60",4,IF(L508="F-90",5,0)))),0),0)+IF(AND(O508="FIRE TEX 5062",OR(E508="IN",E508="C",E508="Z",E508="L"),J508=3),VLOOKUP(_xlfn.MINIFS('FIRE TEX 5062'!$B$4:$B$34,'FIRE TEX 5062'!$B$4:$B$34,"&gt;="&amp;M508),'FIRE TEX 5062'!$B$4:$F$34,IF(L508="F-15",2,IF(L508="F-30",3,IF(L508="F-60",4,IF(L508="F-90",5,0)))),0),0)+IF(AND(O508="FIRE TEX 5062",OR(E508="IN",E508="C",E508="Z",E508="L"),J508=4),VLOOKUP(_xlfn.MINIFS('FIRE TEX 5062'!$G$4:$G$34,'FIRE TEX 5062'!$G$4:$G$34,"&gt;="&amp;M508),'FIRE TEX 5062'!$G$4:$K$34,IF(L508="F-15",2,IF(L508="F-30",3,IF(L508="F-60",4,IF(L508="F-90",5,0)))),0),0)+IF(AND(O508="FIRE TEX 5062",E508="CJ",J508=3),VLOOKUP(_xlfn.MINIFS('FIRE TEX 5062'!$L$4:$L$34,'FIRE TEX 5062'!$L$4:$L$34,"&gt;="&amp;M508),'FIRE TEX 5062'!$L$4:$P$34,IF(L508="F-15",2,IF(L508="F-30",3,IF(L508="F-60",4,IF(L508="F-90",5,0)))),0),0)+IF(AND(O508="FIRE TEX 5062",E508="CJ",J508=4),VLOOKUP(_xlfn.MINIFS('FIRE TEX 5062'!$Q$3:$Q$34,'FIRE TEX 5062'!$Q$3:$Q$34,"&gt;="&amp;M508),'FIRE TEX 5062'!$Q$3:$U$34,IF(L508="F-15",2,IF(L508="F-30",3,IF(L508="F-60",4,IF(L508="F-90",5,0)))),0),0)+IF(AND(O508="FIRE TEX 5090",OR(E508="IN",E508="C",E508="Z",E508="L"),J508=3),VLOOKUP(_xlfn.MINIFS('FIRE TEX 5090'!$B$5:$B$43,'FIRE TEX 5090'!$B$5:$B$43,"&gt;="&amp;M508),'FIRE TEX 5090'!$B$5:$H$43,IF(L508="F-15",2,IF(L508="F-30",3,IF(L508="F-60",4,IF(L508="F-90",5,IF(L508="F-120",6,IF(L508="F-150",7,0)))))),0),0)+IF(AND(O508="FIRE TEX 5090",OR(E508="IN",E508="C",E508="Z",E508="L"),J508=4),VLOOKUP(_xlfn.MINIFS('FIRE TEX 5090'!$J$5:$J$43,'FIRE TEX 5090'!$J$5:$J$43,"&gt;="&amp;M508),'FIRE TEX 5090'!$J$5:$P$43,IF(L508="F-15",2,IF(L508="F-30",3,IF(L508="F-60",4,IF(L508="F-90",5,IF(L508="F-120",6,IF(L508="F-150",7,0)))))),0),0)+IF(AND(O508="FIRE TEX 5090",E508="CJ",J508=3),VLOOKUP(_xlfn.MINIFS('FIRE TEX 5090'!$R$5:$R$30,'FIRE TEX 5090'!$R$5:$R$30,"&gt;="&amp;M508),'FIRE TEX 5090'!$R$5:$W$30,IF(L508="F-15",2,IF(L508="F-30",3,IF(L508="F-60",4,IF(L508="F-90",5,IF(L508="F-120",6,IF(L508="F-150",7,0)))))),0),0)+IF(AND(O508="FIRE TEX 5090",E508="CJ",J508=4),VLOOKUP(_xlfn.MINIFS('FIRE TEX 5090'!$Y$5:$Y$39,'FIRE TEX 5090'!$Y$5:$Y$39,"&gt;="&amp;M508),'FIRE TEX 5090'!$Y$5:$AD$39,IF(L508="F-15",2,IF(L508="F-30",3,IF(L508="F-60",4,IF(L508="F-90",5,IF(L508="F-120",6,IF(L508="F-150",7,0)))))),0),0)+IF(AND(O508="FIRE TEX 5120",OR(E508="IN",E508="C",E508="Z",E508="L"),J508=3),VLOOKUP(_xlfn.MINIFS('FIRE TEX 5120'!$B$5:$B$40,'FIRE TEX 5120'!$B$5:$B$40,"&gt;="&amp;M508),'FIRE TEX 5120'!$B$5:$G$40,IF(L508="F-15",2,IF(L508="F-30",3,IF(L508="F-60",4,IF(L508="F-90",5,IF(L508="F-120",6,0))))),0),0)+IF(AND(O508="FIRE TEX 5120",OR(E508="IN",E508="C",E508="Z",E508="L"),J508=4),VLOOKUP(_xlfn.MINIFS('FIRE TEX 5120'!$H$4:$H$40,'FIRE TEX 5120'!$H$4:$H$40,"&gt;="&amp;M508),'FIRE TEX 5120'!$H$4:$M$40,IF(L508="F-15",2,IF(L508="F-30",3,IF(L508="F-60",4,IF(L508="F-90",5,IF(L508="F-120",6,0))))),0),0)+IF(AND(O508="FIRE TEX 5120",E508="CJ"),VLOOKUP(_xlfn.MINIFS('FIRE TEX 5120'!$O$5:$O$40,'FIRE TEX 5120'!$O$5:$O$40,"&gt;="&amp;M508),'FIRE TEX 5120'!$O$5:$T$40,IF(L508="F-15",2,IF(L508="F-30",3,IF(L508="F-60",4,IF(L508="F-90",5,IF(L508="F-120",6,0))))),0),0)</f>
        <v>0</v>
      </c>
      <c r="Q508" s="46">
        <f t="shared" si="59"/>
        <v>0</v>
      </c>
      <c r="R508" s="46">
        <f t="shared" si="60"/>
        <v>0</v>
      </c>
      <c r="S508" s="46" t="e">
        <f t="shared" si="61"/>
        <v>#VALUE!</v>
      </c>
      <c r="T508" s="677">
        <f t="shared" si="62"/>
        <v>0</v>
      </c>
      <c r="U508" s="80">
        <f>(IF(O508="Stofire",(S508*#REF!),0))+(IF(O508="Fire Control",(S508*$U$2),0))+(IF(O508="Fire Tex",(S508*$U$3),0))+(IF(O508="WB7",(S508*#REF!),0)+(IF(O508="FX 2003",(S508*$U$5),0)))</f>
        <v>0</v>
      </c>
      <c r="V508" s="651">
        <f t="shared" si="63"/>
        <v>0</v>
      </c>
    </row>
    <row r="509" spans="4:22" x14ac:dyDescent="0.25">
      <c r="D509" s="118">
        <f>+CUBICACION!D508</f>
        <v>0</v>
      </c>
      <c r="E509" s="118">
        <f>+CUBICACION!F508</f>
        <v>0</v>
      </c>
      <c r="F509" s="118">
        <f>+CUBICACION!E508</f>
        <v>0</v>
      </c>
      <c r="G509" s="118">
        <v>12</v>
      </c>
      <c r="H509" s="118">
        <v>2</v>
      </c>
      <c r="I509" s="820">
        <v>26385</v>
      </c>
      <c r="J509" s="118">
        <f>+CUBICACION!J508</f>
        <v>0</v>
      </c>
      <c r="K509" s="118">
        <v>3288</v>
      </c>
      <c r="L509" s="118">
        <f>+CUBICACION!L508</f>
        <v>0</v>
      </c>
      <c r="M509" s="64">
        <f>+CUBICACION!M508</f>
        <v>0</v>
      </c>
      <c r="N509" s="824" t="str">
        <f>+CUBICACION!N508</f>
        <v/>
      </c>
      <c r="O509" s="675">
        <f>+CUBICACION!O508</f>
        <v>0</v>
      </c>
      <c r="P509" s="15">
        <f>IF(O509="Fire Control",VLOOKUP(_xlfn.MINIFS('FIRE CONTROL'!$C$4:$C$37,'FIRE CONTROL'!$C$4:$C$37,"&gt;="&amp;M509),'FIRE CONTROL'!$C$4:$G$37,IF(L509="F-15",2,IF(L509="F-30",3,IF(L509="F-60",4,IF(L509="F-90",5,0)))),0),0)+IF(AND(O509="FIRE TEX 5062",OR(E509="IN",E509="C",E509="Z",E509="L"),J509=3),VLOOKUP(_xlfn.MINIFS('FIRE TEX 5062'!$B$4:$B$34,'FIRE TEX 5062'!$B$4:$B$34,"&gt;="&amp;M509),'FIRE TEX 5062'!$B$4:$F$34,IF(L509="F-15",2,IF(L509="F-30",3,IF(L509="F-60",4,IF(L509="F-90",5,0)))),0),0)+IF(AND(O509="FIRE TEX 5062",OR(E509="IN",E509="C",E509="Z",E509="L"),J509=4),VLOOKUP(_xlfn.MINIFS('FIRE TEX 5062'!$G$4:$G$34,'FIRE TEX 5062'!$G$4:$G$34,"&gt;="&amp;M509),'FIRE TEX 5062'!$G$4:$K$34,IF(L509="F-15",2,IF(L509="F-30",3,IF(L509="F-60",4,IF(L509="F-90",5,0)))),0),0)+IF(AND(O509="FIRE TEX 5062",E509="CJ",J509=3),VLOOKUP(_xlfn.MINIFS('FIRE TEX 5062'!$L$4:$L$34,'FIRE TEX 5062'!$L$4:$L$34,"&gt;="&amp;M509),'FIRE TEX 5062'!$L$4:$P$34,IF(L509="F-15",2,IF(L509="F-30",3,IF(L509="F-60",4,IF(L509="F-90",5,0)))),0),0)+IF(AND(O509="FIRE TEX 5062",E509="CJ",J509=4),VLOOKUP(_xlfn.MINIFS('FIRE TEX 5062'!$Q$3:$Q$34,'FIRE TEX 5062'!$Q$3:$Q$34,"&gt;="&amp;M509),'FIRE TEX 5062'!$Q$3:$U$34,IF(L509="F-15",2,IF(L509="F-30",3,IF(L509="F-60",4,IF(L509="F-90",5,0)))),0),0)+IF(AND(O509="FIRE TEX 5090",OR(E509="IN",E509="C",E509="Z",E509="L"),J509=3),VLOOKUP(_xlfn.MINIFS('FIRE TEX 5090'!$B$5:$B$43,'FIRE TEX 5090'!$B$5:$B$43,"&gt;="&amp;M509),'FIRE TEX 5090'!$B$5:$H$43,IF(L509="F-15",2,IF(L509="F-30",3,IF(L509="F-60",4,IF(L509="F-90",5,IF(L509="F-120",6,IF(L509="F-150",7,0)))))),0),0)+IF(AND(O509="FIRE TEX 5090",OR(E509="IN",E509="C",E509="Z",E509="L"),J509=4),VLOOKUP(_xlfn.MINIFS('FIRE TEX 5090'!$J$5:$J$43,'FIRE TEX 5090'!$J$5:$J$43,"&gt;="&amp;M509),'FIRE TEX 5090'!$J$5:$P$43,IF(L509="F-15",2,IF(L509="F-30",3,IF(L509="F-60",4,IF(L509="F-90",5,IF(L509="F-120",6,IF(L509="F-150",7,0)))))),0),0)+IF(AND(O509="FIRE TEX 5090",E509="CJ",J509=3),VLOOKUP(_xlfn.MINIFS('FIRE TEX 5090'!$R$5:$R$30,'FIRE TEX 5090'!$R$5:$R$30,"&gt;="&amp;M509),'FIRE TEX 5090'!$R$5:$W$30,IF(L509="F-15",2,IF(L509="F-30",3,IF(L509="F-60",4,IF(L509="F-90",5,IF(L509="F-120",6,IF(L509="F-150",7,0)))))),0),0)+IF(AND(O509="FIRE TEX 5090",E509="CJ",J509=4),VLOOKUP(_xlfn.MINIFS('FIRE TEX 5090'!$Y$5:$Y$39,'FIRE TEX 5090'!$Y$5:$Y$39,"&gt;="&amp;M509),'FIRE TEX 5090'!$Y$5:$AD$39,IF(L509="F-15",2,IF(L509="F-30",3,IF(L509="F-60",4,IF(L509="F-90",5,IF(L509="F-120",6,IF(L509="F-150",7,0)))))),0),0)+IF(AND(O509="FIRE TEX 5120",OR(E509="IN",E509="C",E509="Z",E509="L"),J509=3),VLOOKUP(_xlfn.MINIFS('FIRE TEX 5120'!$B$5:$B$40,'FIRE TEX 5120'!$B$5:$B$40,"&gt;="&amp;M509),'FIRE TEX 5120'!$B$5:$G$40,IF(L509="F-15",2,IF(L509="F-30",3,IF(L509="F-60",4,IF(L509="F-90",5,IF(L509="F-120",6,0))))),0),0)+IF(AND(O509="FIRE TEX 5120",OR(E509="IN",E509="C",E509="Z",E509="L"),J509=4),VLOOKUP(_xlfn.MINIFS('FIRE TEX 5120'!$H$4:$H$40,'FIRE TEX 5120'!$H$4:$H$40,"&gt;="&amp;M509),'FIRE TEX 5120'!$H$4:$M$40,IF(L509="F-15",2,IF(L509="F-30",3,IF(L509="F-60",4,IF(L509="F-90",5,IF(L509="F-120",6,0))))),0),0)+IF(AND(O509="FIRE TEX 5120",E509="CJ"),VLOOKUP(_xlfn.MINIFS('FIRE TEX 5120'!$O$5:$O$40,'FIRE TEX 5120'!$O$5:$O$40,"&gt;="&amp;M509),'FIRE TEX 5120'!$O$5:$T$40,IF(L509="F-15",2,IF(L509="F-30",3,IF(L509="F-60",4,IF(L509="F-90",5,IF(L509="F-120",6,0))))),0),0)</f>
        <v>0</v>
      </c>
      <c r="Q509" s="46">
        <f t="shared" si="59"/>
        <v>0</v>
      </c>
      <c r="R509" s="46">
        <f t="shared" si="60"/>
        <v>0</v>
      </c>
      <c r="S509" s="46" t="e">
        <f t="shared" si="61"/>
        <v>#VALUE!</v>
      </c>
      <c r="T509" s="677">
        <f t="shared" si="62"/>
        <v>0</v>
      </c>
      <c r="U509" s="80">
        <f>(IF(O509="Stofire",(S509*#REF!),0))+(IF(O509="Fire Control",(S509*$U$2),0))+(IF(O509="Fire Tex",(S509*$U$3),0))+(IF(O509="WB7",(S509*#REF!),0)+(IF(O509="FX 2003",(S509*$U$5),0)))</f>
        <v>0</v>
      </c>
      <c r="V509" s="651">
        <f t="shared" si="63"/>
        <v>0</v>
      </c>
    </row>
    <row r="510" spans="4:22" x14ac:dyDescent="0.25">
      <c r="D510" s="118">
        <f>+CUBICACION!D509</f>
        <v>0</v>
      </c>
      <c r="E510" s="118">
        <f>+CUBICACION!F509</f>
        <v>0</v>
      </c>
      <c r="F510" s="118">
        <f>+CUBICACION!E509</f>
        <v>0</v>
      </c>
      <c r="G510" s="118">
        <v>12</v>
      </c>
      <c r="H510" s="118">
        <v>2</v>
      </c>
      <c r="I510" s="820">
        <v>26385</v>
      </c>
      <c r="J510" s="118">
        <f>+CUBICACION!J509</f>
        <v>0</v>
      </c>
      <c r="K510" s="118">
        <v>3289</v>
      </c>
      <c r="L510" s="118">
        <f>+CUBICACION!L509</f>
        <v>0</v>
      </c>
      <c r="M510" s="64">
        <f>+CUBICACION!M509</f>
        <v>0</v>
      </c>
      <c r="N510" s="824" t="str">
        <f>+CUBICACION!N509</f>
        <v/>
      </c>
      <c r="O510" s="675">
        <f>+CUBICACION!O509</f>
        <v>0</v>
      </c>
      <c r="P510" s="15">
        <f>IF(O510="Fire Control",VLOOKUP(_xlfn.MINIFS('FIRE CONTROL'!$C$4:$C$37,'FIRE CONTROL'!$C$4:$C$37,"&gt;="&amp;M510),'FIRE CONTROL'!$C$4:$G$37,IF(L510="F-15",2,IF(L510="F-30",3,IF(L510="F-60",4,IF(L510="F-90",5,0)))),0),0)+IF(AND(O510="FIRE TEX 5062",OR(E510="IN",E510="C",E510="Z",E510="L"),J510=3),VLOOKUP(_xlfn.MINIFS('FIRE TEX 5062'!$B$4:$B$34,'FIRE TEX 5062'!$B$4:$B$34,"&gt;="&amp;M510),'FIRE TEX 5062'!$B$4:$F$34,IF(L510="F-15",2,IF(L510="F-30",3,IF(L510="F-60",4,IF(L510="F-90",5,0)))),0),0)+IF(AND(O510="FIRE TEX 5062",OR(E510="IN",E510="C",E510="Z",E510="L"),J510=4),VLOOKUP(_xlfn.MINIFS('FIRE TEX 5062'!$G$4:$G$34,'FIRE TEX 5062'!$G$4:$G$34,"&gt;="&amp;M510),'FIRE TEX 5062'!$G$4:$K$34,IF(L510="F-15",2,IF(L510="F-30",3,IF(L510="F-60",4,IF(L510="F-90",5,0)))),0),0)+IF(AND(O510="FIRE TEX 5062",E510="CJ",J510=3),VLOOKUP(_xlfn.MINIFS('FIRE TEX 5062'!$L$4:$L$34,'FIRE TEX 5062'!$L$4:$L$34,"&gt;="&amp;M510),'FIRE TEX 5062'!$L$4:$P$34,IF(L510="F-15",2,IF(L510="F-30",3,IF(L510="F-60",4,IF(L510="F-90",5,0)))),0),0)+IF(AND(O510="FIRE TEX 5062",E510="CJ",J510=4),VLOOKUP(_xlfn.MINIFS('FIRE TEX 5062'!$Q$3:$Q$34,'FIRE TEX 5062'!$Q$3:$Q$34,"&gt;="&amp;M510),'FIRE TEX 5062'!$Q$3:$U$34,IF(L510="F-15",2,IF(L510="F-30",3,IF(L510="F-60",4,IF(L510="F-90",5,0)))),0),0)+IF(AND(O510="FIRE TEX 5090",OR(E510="IN",E510="C",E510="Z",E510="L"),J510=3),VLOOKUP(_xlfn.MINIFS('FIRE TEX 5090'!$B$5:$B$43,'FIRE TEX 5090'!$B$5:$B$43,"&gt;="&amp;M510),'FIRE TEX 5090'!$B$5:$H$43,IF(L510="F-15",2,IF(L510="F-30",3,IF(L510="F-60",4,IF(L510="F-90",5,IF(L510="F-120",6,IF(L510="F-150",7,0)))))),0),0)+IF(AND(O510="FIRE TEX 5090",OR(E510="IN",E510="C",E510="Z",E510="L"),J510=4),VLOOKUP(_xlfn.MINIFS('FIRE TEX 5090'!$J$5:$J$43,'FIRE TEX 5090'!$J$5:$J$43,"&gt;="&amp;M510),'FIRE TEX 5090'!$J$5:$P$43,IF(L510="F-15",2,IF(L510="F-30",3,IF(L510="F-60",4,IF(L510="F-90",5,IF(L510="F-120",6,IF(L510="F-150",7,0)))))),0),0)+IF(AND(O510="FIRE TEX 5090",E510="CJ",J510=3),VLOOKUP(_xlfn.MINIFS('FIRE TEX 5090'!$R$5:$R$30,'FIRE TEX 5090'!$R$5:$R$30,"&gt;="&amp;M510),'FIRE TEX 5090'!$R$5:$W$30,IF(L510="F-15",2,IF(L510="F-30",3,IF(L510="F-60",4,IF(L510="F-90",5,IF(L510="F-120",6,IF(L510="F-150",7,0)))))),0),0)+IF(AND(O510="FIRE TEX 5090",E510="CJ",J510=4),VLOOKUP(_xlfn.MINIFS('FIRE TEX 5090'!$Y$5:$Y$39,'FIRE TEX 5090'!$Y$5:$Y$39,"&gt;="&amp;M510),'FIRE TEX 5090'!$Y$5:$AD$39,IF(L510="F-15",2,IF(L510="F-30",3,IF(L510="F-60",4,IF(L510="F-90",5,IF(L510="F-120",6,IF(L510="F-150",7,0)))))),0),0)+IF(AND(O510="FIRE TEX 5120",OR(E510="IN",E510="C",E510="Z",E510="L"),J510=3),VLOOKUP(_xlfn.MINIFS('FIRE TEX 5120'!$B$5:$B$40,'FIRE TEX 5120'!$B$5:$B$40,"&gt;="&amp;M510),'FIRE TEX 5120'!$B$5:$G$40,IF(L510="F-15",2,IF(L510="F-30",3,IF(L510="F-60",4,IF(L510="F-90",5,IF(L510="F-120",6,0))))),0),0)+IF(AND(O510="FIRE TEX 5120",OR(E510="IN",E510="C",E510="Z",E510="L"),J510=4),VLOOKUP(_xlfn.MINIFS('FIRE TEX 5120'!$H$4:$H$40,'FIRE TEX 5120'!$H$4:$H$40,"&gt;="&amp;M510),'FIRE TEX 5120'!$H$4:$M$40,IF(L510="F-15",2,IF(L510="F-30",3,IF(L510="F-60",4,IF(L510="F-90",5,IF(L510="F-120",6,0))))),0),0)+IF(AND(O510="FIRE TEX 5120",E510="CJ"),VLOOKUP(_xlfn.MINIFS('FIRE TEX 5120'!$O$5:$O$40,'FIRE TEX 5120'!$O$5:$O$40,"&gt;="&amp;M510),'FIRE TEX 5120'!$O$5:$T$40,IF(L510="F-15",2,IF(L510="F-30",3,IF(L510="F-60",4,IF(L510="F-90",5,IF(L510="F-120",6,0))))),0),0)</f>
        <v>0</v>
      </c>
      <c r="Q510" s="46">
        <f t="shared" si="59"/>
        <v>0</v>
      </c>
      <c r="R510" s="46">
        <f t="shared" si="60"/>
        <v>0</v>
      </c>
      <c r="S510" s="46" t="e">
        <f t="shared" si="61"/>
        <v>#VALUE!</v>
      </c>
      <c r="T510" s="677">
        <f t="shared" si="62"/>
        <v>0</v>
      </c>
      <c r="U510" s="80">
        <f>(IF(O510="Stofire",(S510*#REF!),0))+(IF(O510="Fire Control",(S510*$U$2),0))+(IF(O510="Fire Tex",(S510*$U$3),0))+(IF(O510="WB7",(S510*#REF!),0)+(IF(O510="FX 2003",(S510*$U$5),0)))</f>
        <v>0</v>
      </c>
      <c r="V510" s="651">
        <f t="shared" si="63"/>
        <v>0</v>
      </c>
    </row>
    <row r="511" spans="4:22" x14ac:dyDescent="0.25">
      <c r="D511" s="118">
        <f>+CUBICACION!D510</f>
        <v>0</v>
      </c>
      <c r="E511" s="118">
        <f>+CUBICACION!F510</f>
        <v>0</v>
      </c>
      <c r="F511" s="118">
        <f>+CUBICACION!E510</f>
        <v>0</v>
      </c>
      <c r="G511" s="118">
        <v>12</v>
      </c>
      <c r="H511" s="118">
        <v>2</v>
      </c>
      <c r="I511" s="820">
        <v>26385</v>
      </c>
      <c r="J511" s="118">
        <f>+CUBICACION!J510</f>
        <v>0</v>
      </c>
      <c r="K511" s="118">
        <v>3290</v>
      </c>
      <c r="L511" s="118">
        <f>+CUBICACION!L510</f>
        <v>0</v>
      </c>
      <c r="M511" s="64">
        <f>+CUBICACION!M510</f>
        <v>0</v>
      </c>
      <c r="N511" s="824" t="str">
        <f>+CUBICACION!N510</f>
        <v/>
      </c>
      <c r="O511" s="675">
        <f>+CUBICACION!O510</f>
        <v>0</v>
      </c>
      <c r="P511" s="15">
        <f>IF(O511="Fire Control",VLOOKUP(_xlfn.MINIFS('FIRE CONTROL'!$C$4:$C$37,'FIRE CONTROL'!$C$4:$C$37,"&gt;="&amp;M511),'FIRE CONTROL'!$C$4:$G$37,IF(L511="F-15",2,IF(L511="F-30",3,IF(L511="F-60",4,IF(L511="F-90",5,0)))),0),0)+IF(AND(O511="FIRE TEX 5062",OR(E511="IN",E511="C",E511="Z",E511="L"),J511=3),VLOOKUP(_xlfn.MINIFS('FIRE TEX 5062'!$B$4:$B$34,'FIRE TEX 5062'!$B$4:$B$34,"&gt;="&amp;M511),'FIRE TEX 5062'!$B$4:$F$34,IF(L511="F-15",2,IF(L511="F-30",3,IF(L511="F-60",4,IF(L511="F-90",5,0)))),0),0)+IF(AND(O511="FIRE TEX 5062",OR(E511="IN",E511="C",E511="Z",E511="L"),J511=4),VLOOKUP(_xlfn.MINIFS('FIRE TEX 5062'!$G$4:$G$34,'FIRE TEX 5062'!$G$4:$G$34,"&gt;="&amp;M511),'FIRE TEX 5062'!$G$4:$K$34,IF(L511="F-15",2,IF(L511="F-30",3,IF(L511="F-60",4,IF(L511="F-90",5,0)))),0),0)+IF(AND(O511="FIRE TEX 5062",E511="CJ",J511=3),VLOOKUP(_xlfn.MINIFS('FIRE TEX 5062'!$L$4:$L$34,'FIRE TEX 5062'!$L$4:$L$34,"&gt;="&amp;M511),'FIRE TEX 5062'!$L$4:$P$34,IF(L511="F-15",2,IF(L511="F-30",3,IF(L511="F-60",4,IF(L511="F-90",5,0)))),0),0)+IF(AND(O511="FIRE TEX 5062",E511="CJ",J511=4),VLOOKUP(_xlfn.MINIFS('FIRE TEX 5062'!$Q$3:$Q$34,'FIRE TEX 5062'!$Q$3:$Q$34,"&gt;="&amp;M511),'FIRE TEX 5062'!$Q$3:$U$34,IF(L511="F-15",2,IF(L511="F-30",3,IF(L511="F-60",4,IF(L511="F-90",5,0)))),0),0)+IF(AND(O511="FIRE TEX 5090",OR(E511="IN",E511="C",E511="Z",E511="L"),J511=3),VLOOKUP(_xlfn.MINIFS('FIRE TEX 5090'!$B$5:$B$43,'FIRE TEX 5090'!$B$5:$B$43,"&gt;="&amp;M511),'FIRE TEX 5090'!$B$5:$H$43,IF(L511="F-15",2,IF(L511="F-30",3,IF(L511="F-60",4,IF(L511="F-90",5,IF(L511="F-120",6,IF(L511="F-150",7,0)))))),0),0)+IF(AND(O511="FIRE TEX 5090",OR(E511="IN",E511="C",E511="Z",E511="L"),J511=4),VLOOKUP(_xlfn.MINIFS('FIRE TEX 5090'!$J$5:$J$43,'FIRE TEX 5090'!$J$5:$J$43,"&gt;="&amp;M511),'FIRE TEX 5090'!$J$5:$P$43,IF(L511="F-15",2,IF(L511="F-30",3,IF(L511="F-60",4,IF(L511="F-90",5,IF(L511="F-120",6,IF(L511="F-150",7,0)))))),0),0)+IF(AND(O511="FIRE TEX 5090",E511="CJ",J511=3),VLOOKUP(_xlfn.MINIFS('FIRE TEX 5090'!$R$5:$R$30,'FIRE TEX 5090'!$R$5:$R$30,"&gt;="&amp;M511),'FIRE TEX 5090'!$R$5:$W$30,IF(L511="F-15",2,IF(L511="F-30",3,IF(L511="F-60",4,IF(L511="F-90",5,IF(L511="F-120",6,IF(L511="F-150",7,0)))))),0),0)+IF(AND(O511="FIRE TEX 5090",E511="CJ",J511=4),VLOOKUP(_xlfn.MINIFS('FIRE TEX 5090'!$Y$5:$Y$39,'FIRE TEX 5090'!$Y$5:$Y$39,"&gt;="&amp;M511),'FIRE TEX 5090'!$Y$5:$AD$39,IF(L511="F-15",2,IF(L511="F-30",3,IF(L511="F-60",4,IF(L511="F-90",5,IF(L511="F-120",6,IF(L511="F-150",7,0)))))),0),0)+IF(AND(O511="FIRE TEX 5120",OR(E511="IN",E511="C",E511="Z",E511="L"),J511=3),VLOOKUP(_xlfn.MINIFS('FIRE TEX 5120'!$B$5:$B$40,'FIRE TEX 5120'!$B$5:$B$40,"&gt;="&amp;M511),'FIRE TEX 5120'!$B$5:$G$40,IF(L511="F-15",2,IF(L511="F-30",3,IF(L511="F-60",4,IF(L511="F-90",5,IF(L511="F-120",6,0))))),0),0)+IF(AND(O511="FIRE TEX 5120",OR(E511="IN",E511="C",E511="Z",E511="L"),J511=4),VLOOKUP(_xlfn.MINIFS('FIRE TEX 5120'!$H$4:$H$40,'FIRE TEX 5120'!$H$4:$H$40,"&gt;="&amp;M511),'FIRE TEX 5120'!$H$4:$M$40,IF(L511="F-15",2,IF(L511="F-30",3,IF(L511="F-60",4,IF(L511="F-90",5,IF(L511="F-120",6,0))))),0),0)+IF(AND(O511="FIRE TEX 5120",E511="CJ"),VLOOKUP(_xlfn.MINIFS('FIRE TEX 5120'!$O$5:$O$40,'FIRE TEX 5120'!$O$5:$O$40,"&gt;="&amp;M511),'FIRE TEX 5120'!$O$5:$T$40,IF(L511="F-15",2,IF(L511="F-30",3,IF(L511="F-60",4,IF(L511="F-90",5,IF(L511="F-120",6,0))))),0),0)</f>
        <v>0</v>
      </c>
      <c r="Q511" s="46">
        <f t="shared" si="59"/>
        <v>0</v>
      </c>
      <c r="R511" s="46">
        <f t="shared" si="60"/>
        <v>0</v>
      </c>
      <c r="S511" s="46" t="e">
        <f t="shared" si="61"/>
        <v>#VALUE!</v>
      </c>
      <c r="T511" s="677">
        <f t="shared" si="62"/>
        <v>0</v>
      </c>
      <c r="U511" s="80">
        <f>(IF(O511="Stofire",(S511*#REF!),0))+(IF(O511="Fire Control",(S511*$U$2),0))+(IF(O511="Fire Tex",(S511*$U$3),0))+(IF(O511="WB7",(S511*#REF!),0)+(IF(O511="FX 2003",(S511*$U$5),0)))</f>
        <v>0</v>
      </c>
      <c r="V511" s="651">
        <f t="shared" si="63"/>
        <v>0</v>
      </c>
    </row>
    <row r="512" spans="4:22" x14ac:dyDescent="0.25">
      <c r="D512" s="118">
        <f>+CUBICACION!D511</f>
        <v>0</v>
      </c>
      <c r="E512" s="118">
        <f>+CUBICACION!F511</f>
        <v>0</v>
      </c>
      <c r="F512" s="118">
        <f>+CUBICACION!E511</f>
        <v>0</v>
      </c>
      <c r="G512" s="118">
        <v>12</v>
      </c>
      <c r="H512" s="118">
        <v>2</v>
      </c>
      <c r="I512" s="820">
        <v>26385</v>
      </c>
      <c r="J512" s="118">
        <f>+CUBICACION!J511</f>
        <v>0</v>
      </c>
      <c r="K512" s="118">
        <v>3291</v>
      </c>
      <c r="L512" s="118">
        <f>+CUBICACION!L511</f>
        <v>0</v>
      </c>
      <c r="M512" s="64">
        <f>+CUBICACION!M511</f>
        <v>0</v>
      </c>
      <c r="N512" s="824" t="str">
        <f>+CUBICACION!N511</f>
        <v/>
      </c>
      <c r="O512" s="675">
        <f>+CUBICACION!O511</f>
        <v>0</v>
      </c>
      <c r="P512" s="15">
        <f>IF(O512="Fire Control",VLOOKUP(_xlfn.MINIFS('FIRE CONTROL'!$C$4:$C$37,'FIRE CONTROL'!$C$4:$C$37,"&gt;="&amp;M512),'FIRE CONTROL'!$C$4:$G$37,IF(L512="F-15",2,IF(L512="F-30",3,IF(L512="F-60",4,IF(L512="F-90",5,0)))),0),0)+IF(AND(O512="FIRE TEX 5062",OR(E512="IN",E512="C",E512="Z",E512="L"),J512=3),VLOOKUP(_xlfn.MINIFS('FIRE TEX 5062'!$B$4:$B$34,'FIRE TEX 5062'!$B$4:$B$34,"&gt;="&amp;M512),'FIRE TEX 5062'!$B$4:$F$34,IF(L512="F-15",2,IF(L512="F-30",3,IF(L512="F-60",4,IF(L512="F-90",5,0)))),0),0)+IF(AND(O512="FIRE TEX 5062",OR(E512="IN",E512="C",E512="Z",E512="L"),J512=4),VLOOKUP(_xlfn.MINIFS('FIRE TEX 5062'!$G$4:$G$34,'FIRE TEX 5062'!$G$4:$G$34,"&gt;="&amp;M512),'FIRE TEX 5062'!$G$4:$K$34,IF(L512="F-15",2,IF(L512="F-30",3,IF(L512="F-60",4,IF(L512="F-90",5,0)))),0),0)+IF(AND(O512="FIRE TEX 5062",E512="CJ",J512=3),VLOOKUP(_xlfn.MINIFS('FIRE TEX 5062'!$L$4:$L$34,'FIRE TEX 5062'!$L$4:$L$34,"&gt;="&amp;M512),'FIRE TEX 5062'!$L$4:$P$34,IF(L512="F-15",2,IF(L512="F-30",3,IF(L512="F-60",4,IF(L512="F-90",5,0)))),0),0)+IF(AND(O512="FIRE TEX 5062",E512="CJ",J512=4),VLOOKUP(_xlfn.MINIFS('FIRE TEX 5062'!$Q$3:$Q$34,'FIRE TEX 5062'!$Q$3:$Q$34,"&gt;="&amp;M512),'FIRE TEX 5062'!$Q$3:$U$34,IF(L512="F-15",2,IF(L512="F-30",3,IF(L512="F-60",4,IF(L512="F-90",5,0)))),0),0)+IF(AND(O512="FIRE TEX 5090",OR(E512="IN",E512="C",E512="Z",E512="L"),J512=3),VLOOKUP(_xlfn.MINIFS('FIRE TEX 5090'!$B$5:$B$43,'FIRE TEX 5090'!$B$5:$B$43,"&gt;="&amp;M512),'FIRE TEX 5090'!$B$5:$H$43,IF(L512="F-15",2,IF(L512="F-30",3,IF(L512="F-60",4,IF(L512="F-90",5,IF(L512="F-120",6,IF(L512="F-150",7,0)))))),0),0)+IF(AND(O512="FIRE TEX 5090",OR(E512="IN",E512="C",E512="Z",E512="L"),J512=4),VLOOKUP(_xlfn.MINIFS('FIRE TEX 5090'!$J$5:$J$43,'FIRE TEX 5090'!$J$5:$J$43,"&gt;="&amp;M512),'FIRE TEX 5090'!$J$5:$P$43,IF(L512="F-15",2,IF(L512="F-30",3,IF(L512="F-60",4,IF(L512="F-90",5,IF(L512="F-120",6,IF(L512="F-150",7,0)))))),0),0)+IF(AND(O512="FIRE TEX 5090",E512="CJ",J512=3),VLOOKUP(_xlfn.MINIFS('FIRE TEX 5090'!$R$5:$R$30,'FIRE TEX 5090'!$R$5:$R$30,"&gt;="&amp;M512),'FIRE TEX 5090'!$R$5:$W$30,IF(L512="F-15",2,IF(L512="F-30",3,IF(L512="F-60",4,IF(L512="F-90",5,IF(L512="F-120",6,IF(L512="F-150",7,0)))))),0),0)+IF(AND(O512="FIRE TEX 5090",E512="CJ",J512=4),VLOOKUP(_xlfn.MINIFS('FIRE TEX 5090'!$Y$5:$Y$39,'FIRE TEX 5090'!$Y$5:$Y$39,"&gt;="&amp;M512),'FIRE TEX 5090'!$Y$5:$AD$39,IF(L512="F-15",2,IF(L512="F-30",3,IF(L512="F-60",4,IF(L512="F-90",5,IF(L512="F-120",6,IF(L512="F-150",7,0)))))),0),0)+IF(AND(O512="FIRE TEX 5120",OR(E512="IN",E512="C",E512="Z",E512="L"),J512=3),VLOOKUP(_xlfn.MINIFS('FIRE TEX 5120'!$B$5:$B$40,'FIRE TEX 5120'!$B$5:$B$40,"&gt;="&amp;M512),'FIRE TEX 5120'!$B$5:$G$40,IF(L512="F-15",2,IF(L512="F-30",3,IF(L512="F-60",4,IF(L512="F-90",5,IF(L512="F-120",6,0))))),0),0)+IF(AND(O512="FIRE TEX 5120",OR(E512="IN",E512="C",E512="Z",E512="L"),J512=4),VLOOKUP(_xlfn.MINIFS('FIRE TEX 5120'!$H$4:$H$40,'FIRE TEX 5120'!$H$4:$H$40,"&gt;="&amp;M512),'FIRE TEX 5120'!$H$4:$M$40,IF(L512="F-15",2,IF(L512="F-30",3,IF(L512="F-60",4,IF(L512="F-90",5,IF(L512="F-120",6,0))))),0),0)+IF(AND(O512="FIRE TEX 5120",E512="CJ"),VLOOKUP(_xlfn.MINIFS('FIRE TEX 5120'!$O$5:$O$40,'FIRE TEX 5120'!$O$5:$O$40,"&gt;="&amp;M512),'FIRE TEX 5120'!$O$5:$T$40,IF(L512="F-15",2,IF(L512="F-30",3,IF(L512="F-60",4,IF(L512="F-90",5,IF(L512="F-120",6,0))))),0),0)</f>
        <v>0</v>
      </c>
      <c r="Q512" s="46">
        <f t="shared" si="59"/>
        <v>0</v>
      </c>
      <c r="R512" s="46">
        <f t="shared" si="60"/>
        <v>0</v>
      </c>
      <c r="S512" s="46" t="e">
        <f t="shared" si="61"/>
        <v>#VALUE!</v>
      </c>
      <c r="T512" s="677">
        <f t="shared" si="62"/>
        <v>0</v>
      </c>
      <c r="U512" s="80">
        <f>(IF(O512="Stofire",(S512*#REF!),0))+(IF(O512="Fire Control",(S512*$U$2),0))+(IF(O512="Fire Tex",(S512*$U$3),0))+(IF(O512="WB7",(S512*#REF!),0)+(IF(O512="FX 2003",(S512*$U$5),0)))</f>
        <v>0</v>
      </c>
      <c r="V512" s="651">
        <f t="shared" si="63"/>
        <v>0</v>
      </c>
    </row>
    <row r="513" spans="4:22" x14ac:dyDescent="0.25">
      <c r="D513" s="118">
        <f>+CUBICACION!D512</f>
        <v>0</v>
      </c>
      <c r="E513" s="118">
        <f>+CUBICACION!F512</f>
        <v>0</v>
      </c>
      <c r="F513" s="118">
        <f>+CUBICACION!E512</f>
        <v>0</v>
      </c>
      <c r="G513" s="118">
        <v>12</v>
      </c>
      <c r="H513" s="118">
        <v>2</v>
      </c>
      <c r="I513" s="820">
        <v>26385</v>
      </c>
      <c r="J513" s="118">
        <f>+CUBICACION!J512</f>
        <v>0</v>
      </c>
      <c r="K513" s="118">
        <v>3292</v>
      </c>
      <c r="L513" s="118">
        <f>+CUBICACION!L512</f>
        <v>0</v>
      </c>
      <c r="M513" s="64">
        <f>+CUBICACION!M512</f>
        <v>0</v>
      </c>
      <c r="N513" s="824" t="str">
        <f>+CUBICACION!N512</f>
        <v/>
      </c>
      <c r="O513" s="675">
        <f>+CUBICACION!O512</f>
        <v>0</v>
      </c>
      <c r="P513" s="15">
        <f>IF(O513="Fire Control",VLOOKUP(_xlfn.MINIFS('FIRE CONTROL'!$C$4:$C$37,'FIRE CONTROL'!$C$4:$C$37,"&gt;="&amp;M513),'FIRE CONTROL'!$C$4:$G$37,IF(L513="F-15",2,IF(L513="F-30",3,IF(L513="F-60",4,IF(L513="F-90",5,0)))),0),0)+IF(AND(O513="FIRE TEX 5062",OR(E513="IN",E513="C",E513="Z",E513="L"),J513=3),VLOOKUP(_xlfn.MINIFS('FIRE TEX 5062'!$B$4:$B$34,'FIRE TEX 5062'!$B$4:$B$34,"&gt;="&amp;M513),'FIRE TEX 5062'!$B$4:$F$34,IF(L513="F-15",2,IF(L513="F-30",3,IF(L513="F-60",4,IF(L513="F-90",5,0)))),0),0)+IF(AND(O513="FIRE TEX 5062",OR(E513="IN",E513="C",E513="Z",E513="L"),J513=4),VLOOKUP(_xlfn.MINIFS('FIRE TEX 5062'!$G$4:$G$34,'FIRE TEX 5062'!$G$4:$G$34,"&gt;="&amp;M513),'FIRE TEX 5062'!$G$4:$K$34,IF(L513="F-15",2,IF(L513="F-30",3,IF(L513="F-60",4,IF(L513="F-90",5,0)))),0),0)+IF(AND(O513="FIRE TEX 5062",E513="CJ",J513=3),VLOOKUP(_xlfn.MINIFS('FIRE TEX 5062'!$L$4:$L$34,'FIRE TEX 5062'!$L$4:$L$34,"&gt;="&amp;M513),'FIRE TEX 5062'!$L$4:$P$34,IF(L513="F-15",2,IF(L513="F-30",3,IF(L513="F-60",4,IF(L513="F-90",5,0)))),0),0)+IF(AND(O513="FIRE TEX 5062",E513="CJ",J513=4),VLOOKUP(_xlfn.MINIFS('FIRE TEX 5062'!$Q$3:$Q$34,'FIRE TEX 5062'!$Q$3:$Q$34,"&gt;="&amp;M513),'FIRE TEX 5062'!$Q$3:$U$34,IF(L513="F-15",2,IF(L513="F-30",3,IF(L513="F-60",4,IF(L513="F-90",5,0)))),0),0)+IF(AND(O513="FIRE TEX 5090",OR(E513="IN",E513="C",E513="Z",E513="L"),J513=3),VLOOKUP(_xlfn.MINIFS('FIRE TEX 5090'!$B$5:$B$43,'FIRE TEX 5090'!$B$5:$B$43,"&gt;="&amp;M513),'FIRE TEX 5090'!$B$5:$H$43,IF(L513="F-15",2,IF(L513="F-30",3,IF(L513="F-60",4,IF(L513="F-90",5,IF(L513="F-120",6,IF(L513="F-150",7,0)))))),0),0)+IF(AND(O513="FIRE TEX 5090",OR(E513="IN",E513="C",E513="Z",E513="L"),J513=4),VLOOKUP(_xlfn.MINIFS('FIRE TEX 5090'!$J$5:$J$43,'FIRE TEX 5090'!$J$5:$J$43,"&gt;="&amp;M513),'FIRE TEX 5090'!$J$5:$P$43,IF(L513="F-15",2,IF(L513="F-30",3,IF(L513="F-60",4,IF(L513="F-90",5,IF(L513="F-120",6,IF(L513="F-150",7,0)))))),0),0)+IF(AND(O513="FIRE TEX 5090",E513="CJ",J513=3),VLOOKUP(_xlfn.MINIFS('FIRE TEX 5090'!$R$5:$R$30,'FIRE TEX 5090'!$R$5:$R$30,"&gt;="&amp;M513),'FIRE TEX 5090'!$R$5:$W$30,IF(L513="F-15",2,IF(L513="F-30",3,IF(L513="F-60",4,IF(L513="F-90",5,IF(L513="F-120",6,IF(L513="F-150",7,0)))))),0),0)+IF(AND(O513="FIRE TEX 5090",E513="CJ",J513=4),VLOOKUP(_xlfn.MINIFS('FIRE TEX 5090'!$Y$5:$Y$39,'FIRE TEX 5090'!$Y$5:$Y$39,"&gt;="&amp;M513),'FIRE TEX 5090'!$Y$5:$AD$39,IF(L513="F-15",2,IF(L513="F-30",3,IF(L513="F-60",4,IF(L513="F-90",5,IF(L513="F-120",6,IF(L513="F-150",7,0)))))),0),0)+IF(AND(O513="FIRE TEX 5120",OR(E513="IN",E513="C",E513="Z",E513="L"),J513=3),VLOOKUP(_xlfn.MINIFS('FIRE TEX 5120'!$B$5:$B$40,'FIRE TEX 5120'!$B$5:$B$40,"&gt;="&amp;M513),'FIRE TEX 5120'!$B$5:$G$40,IF(L513="F-15",2,IF(L513="F-30",3,IF(L513="F-60",4,IF(L513="F-90",5,IF(L513="F-120",6,0))))),0),0)+IF(AND(O513="FIRE TEX 5120",OR(E513="IN",E513="C",E513="Z",E513="L"),J513=4),VLOOKUP(_xlfn.MINIFS('FIRE TEX 5120'!$H$4:$H$40,'FIRE TEX 5120'!$H$4:$H$40,"&gt;="&amp;M513),'FIRE TEX 5120'!$H$4:$M$40,IF(L513="F-15",2,IF(L513="F-30",3,IF(L513="F-60",4,IF(L513="F-90",5,IF(L513="F-120",6,0))))),0),0)+IF(AND(O513="FIRE TEX 5120",E513="CJ"),VLOOKUP(_xlfn.MINIFS('FIRE TEX 5120'!$O$5:$O$40,'FIRE TEX 5120'!$O$5:$O$40,"&gt;="&amp;M513),'FIRE TEX 5120'!$O$5:$T$40,IF(L513="F-15",2,IF(L513="F-30",3,IF(L513="F-60",4,IF(L513="F-90",5,IF(L513="F-120",6,0))))),0),0)</f>
        <v>0</v>
      </c>
      <c r="Q513" s="46">
        <f t="shared" si="59"/>
        <v>0</v>
      </c>
      <c r="R513" s="46">
        <f t="shared" si="60"/>
        <v>0</v>
      </c>
      <c r="S513" s="46" t="e">
        <f t="shared" si="61"/>
        <v>#VALUE!</v>
      </c>
      <c r="T513" s="677">
        <f t="shared" si="62"/>
        <v>0</v>
      </c>
      <c r="U513" s="80">
        <f>(IF(O513="Stofire",(S513*#REF!),0))+(IF(O513="Fire Control",(S513*$U$2),0))+(IF(O513="Fire Tex",(S513*$U$3),0))+(IF(O513="WB7",(S513*#REF!),0)+(IF(O513="FX 2003",(S513*$U$5),0)))</f>
        <v>0</v>
      </c>
      <c r="V513" s="651">
        <f t="shared" si="63"/>
        <v>0</v>
      </c>
    </row>
    <row r="514" spans="4:22" x14ac:dyDescent="0.25">
      <c r="D514" s="118">
        <f>+CUBICACION!D513</f>
        <v>0</v>
      </c>
      <c r="E514" s="118">
        <f>+CUBICACION!F513</f>
        <v>0</v>
      </c>
      <c r="F514" s="118">
        <f>+CUBICACION!E513</f>
        <v>0</v>
      </c>
      <c r="G514" s="118">
        <v>12</v>
      </c>
      <c r="H514" s="118">
        <v>2</v>
      </c>
      <c r="I514" s="820">
        <v>26385</v>
      </c>
      <c r="J514" s="118">
        <f>+CUBICACION!J513</f>
        <v>0</v>
      </c>
      <c r="K514" s="118">
        <v>3293</v>
      </c>
      <c r="L514" s="118">
        <f>+CUBICACION!L513</f>
        <v>0</v>
      </c>
      <c r="M514" s="64">
        <f>+CUBICACION!M513</f>
        <v>0</v>
      </c>
      <c r="N514" s="824" t="str">
        <f>+CUBICACION!N513</f>
        <v/>
      </c>
      <c r="O514" s="675">
        <f>+CUBICACION!O513</f>
        <v>0</v>
      </c>
      <c r="P514" s="15">
        <f>IF(O514="Fire Control",VLOOKUP(_xlfn.MINIFS('FIRE CONTROL'!$C$4:$C$37,'FIRE CONTROL'!$C$4:$C$37,"&gt;="&amp;M514),'FIRE CONTROL'!$C$4:$G$37,IF(L514="F-15",2,IF(L514="F-30",3,IF(L514="F-60",4,IF(L514="F-90",5,0)))),0),0)+IF(AND(O514="FIRE TEX 5062",OR(E514="IN",E514="C",E514="Z",E514="L"),J514=3),VLOOKUP(_xlfn.MINIFS('FIRE TEX 5062'!$B$4:$B$34,'FIRE TEX 5062'!$B$4:$B$34,"&gt;="&amp;M514),'FIRE TEX 5062'!$B$4:$F$34,IF(L514="F-15",2,IF(L514="F-30",3,IF(L514="F-60",4,IF(L514="F-90",5,0)))),0),0)+IF(AND(O514="FIRE TEX 5062",OR(E514="IN",E514="C",E514="Z",E514="L"),J514=4),VLOOKUP(_xlfn.MINIFS('FIRE TEX 5062'!$G$4:$G$34,'FIRE TEX 5062'!$G$4:$G$34,"&gt;="&amp;M514),'FIRE TEX 5062'!$G$4:$K$34,IF(L514="F-15",2,IF(L514="F-30",3,IF(L514="F-60",4,IF(L514="F-90",5,0)))),0),0)+IF(AND(O514="FIRE TEX 5062",E514="CJ",J514=3),VLOOKUP(_xlfn.MINIFS('FIRE TEX 5062'!$L$4:$L$34,'FIRE TEX 5062'!$L$4:$L$34,"&gt;="&amp;M514),'FIRE TEX 5062'!$L$4:$P$34,IF(L514="F-15",2,IF(L514="F-30",3,IF(L514="F-60",4,IF(L514="F-90",5,0)))),0),0)+IF(AND(O514="FIRE TEX 5062",E514="CJ",J514=4),VLOOKUP(_xlfn.MINIFS('FIRE TEX 5062'!$Q$3:$Q$34,'FIRE TEX 5062'!$Q$3:$Q$34,"&gt;="&amp;M514),'FIRE TEX 5062'!$Q$3:$U$34,IF(L514="F-15",2,IF(L514="F-30",3,IF(L514="F-60",4,IF(L514="F-90",5,0)))),0),0)+IF(AND(O514="FIRE TEX 5090",OR(E514="IN",E514="C",E514="Z",E514="L"),J514=3),VLOOKUP(_xlfn.MINIFS('FIRE TEX 5090'!$B$5:$B$43,'FIRE TEX 5090'!$B$5:$B$43,"&gt;="&amp;M514),'FIRE TEX 5090'!$B$5:$H$43,IF(L514="F-15",2,IF(L514="F-30",3,IF(L514="F-60",4,IF(L514="F-90",5,IF(L514="F-120",6,IF(L514="F-150",7,0)))))),0),0)+IF(AND(O514="FIRE TEX 5090",OR(E514="IN",E514="C",E514="Z",E514="L"),J514=4),VLOOKUP(_xlfn.MINIFS('FIRE TEX 5090'!$J$5:$J$43,'FIRE TEX 5090'!$J$5:$J$43,"&gt;="&amp;M514),'FIRE TEX 5090'!$J$5:$P$43,IF(L514="F-15",2,IF(L514="F-30",3,IF(L514="F-60",4,IF(L514="F-90",5,IF(L514="F-120",6,IF(L514="F-150",7,0)))))),0),0)+IF(AND(O514="FIRE TEX 5090",E514="CJ",J514=3),VLOOKUP(_xlfn.MINIFS('FIRE TEX 5090'!$R$5:$R$30,'FIRE TEX 5090'!$R$5:$R$30,"&gt;="&amp;M514),'FIRE TEX 5090'!$R$5:$W$30,IF(L514="F-15",2,IF(L514="F-30",3,IF(L514="F-60",4,IF(L514="F-90",5,IF(L514="F-120",6,IF(L514="F-150",7,0)))))),0),0)+IF(AND(O514="FIRE TEX 5090",E514="CJ",J514=4),VLOOKUP(_xlfn.MINIFS('FIRE TEX 5090'!$Y$5:$Y$39,'FIRE TEX 5090'!$Y$5:$Y$39,"&gt;="&amp;M514),'FIRE TEX 5090'!$Y$5:$AD$39,IF(L514="F-15",2,IF(L514="F-30",3,IF(L514="F-60",4,IF(L514="F-90",5,IF(L514="F-120",6,IF(L514="F-150",7,0)))))),0),0)+IF(AND(O514="FIRE TEX 5120",OR(E514="IN",E514="C",E514="Z",E514="L"),J514=3),VLOOKUP(_xlfn.MINIFS('FIRE TEX 5120'!$B$5:$B$40,'FIRE TEX 5120'!$B$5:$B$40,"&gt;="&amp;M514),'FIRE TEX 5120'!$B$5:$G$40,IF(L514="F-15",2,IF(L514="F-30",3,IF(L514="F-60",4,IF(L514="F-90",5,IF(L514="F-120",6,0))))),0),0)+IF(AND(O514="FIRE TEX 5120",OR(E514="IN",E514="C",E514="Z",E514="L"),J514=4),VLOOKUP(_xlfn.MINIFS('FIRE TEX 5120'!$H$4:$H$40,'FIRE TEX 5120'!$H$4:$H$40,"&gt;="&amp;M514),'FIRE TEX 5120'!$H$4:$M$40,IF(L514="F-15",2,IF(L514="F-30",3,IF(L514="F-60",4,IF(L514="F-90",5,IF(L514="F-120",6,0))))),0),0)+IF(AND(O514="FIRE TEX 5120",E514="CJ"),VLOOKUP(_xlfn.MINIFS('FIRE TEX 5120'!$O$5:$O$40,'FIRE TEX 5120'!$O$5:$O$40,"&gt;="&amp;M514),'FIRE TEX 5120'!$O$5:$T$40,IF(L514="F-15",2,IF(L514="F-30",3,IF(L514="F-60",4,IF(L514="F-90",5,IF(L514="F-120",6,0))))),0),0)</f>
        <v>0</v>
      </c>
      <c r="Q514" s="46">
        <f t="shared" si="59"/>
        <v>0</v>
      </c>
      <c r="R514" s="46">
        <f t="shared" si="60"/>
        <v>0</v>
      </c>
      <c r="S514" s="46" t="e">
        <f t="shared" si="61"/>
        <v>#VALUE!</v>
      </c>
      <c r="T514" s="677">
        <f t="shared" si="62"/>
        <v>0</v>
      </c>
      <c r="U514" s="80">
        <f>(IF(O514="Stofire",(S514*#REF!),0))+(IF(O514="Fire Control",(S514*$U$2),0))+(IF(O514="Fire Tex",(S514*$U$3),0))+(IF(O514="WB7",(S514*#REF!),0)+(IF(O514="FX 2003",(S514*$U$5),0)))</f>
        <v>0</v>
      </c>
      <c r="V514" s="651">
        <f t="shared" si="63"/>
        <v>0</v>
      </c>
    </row>
    <row r="515" spans="4:22" x14ac:dyDescent="0.25">
      <c r="D515" s="118">
        <f>+CUBICACION!D514</f>
        <v>0</v>
      </c>
      <c r="E515" s="118">
        <f>+CUBICACION!F514</f>
        <v>0</v>
      </c>
      <c r="F515" s="118">
        <f>+CUBICACION!E514</f>
        <v>0</v>
      </c>
      <c r="G515" s="118">
        <v>12</v>
      </c>
      <c r="H515" s="118">
        <v>2</v>
      </c>
      <c r="I515" s="820">
        <v>26385</v>
      </c>
      <c r="J515" s="118">
        <f>+CUBICACION!J514</f>
        <v>0</v>
      </c>
      <c r="K515" s="118">
        <v>3294</v>
      </c>
      <c r="L515" s="118">
        <f>+CUBICACION!L514</f>
        <v>0</v>
      </c>
      <c r="M515" s="64">
        <f>+CUBICACION!M514</f>
        <v>0</v>
      </c>
      <c r="N515" s="824" t="str">
        <f>+CUBICACION!N514</f>
        <v/>
      </c>
      <c r="O515" s="675">
        <f>+CUBICACION!O514</f>
        <v>0</v>
      </c>
      <c r="P515" s="15">
        <f>IF(O515="Fire Control",VLOOKUP(_xlfn.MINIFS('FIRE CONTROL'!$C$4:$C$37,'FIRE CONTROL'!$C$4:$C$37,"&gt;="&amp;M515),'FIRE CONTROL'!$C$4:$G$37,IF(L515="F-15",2,IF(L515="F-30",3,IF(L515="F-60",4,IF(L515="F-90",5,0)))),0),0)+IF(AND(O515="FIRE TEX 5062",OR(E515="IN",E515="C",E515="Z",E515="L"),J515=3),VLOOKUP(_xlfn.MINIFS('FIRE TEX 5062'!$B$4:$B$34,'FIRE TEX 5062'!$B$4:$B$34,"&gt;="&amp;M515),'FIRE TEX 5062'!$B$4:$F$34,IF(L515="F-15",2,IF(L515="F-30",3,IF(L515="F-60",4,IF(L515="F-90",5,0)))),0),0)+IF(AND(O515="FIRE TEX 5062",OR(E515="IN",E515="C",E515="Z",E515="L"),J515=4),VLOOKUP(_xlfn.MINIFS('FIRE TEX 5062'!$G$4:$G$34,'FIRE TEX 5062'!$G$4:$G$34,"&gt;="&amp;M515),'FIRE TEX 5062'!$G$4:$K$34,IF(L515="F-15",2,IF(L515="F-30",3,IF(L515="F-60",4,IF(L515="F-90",5,0)))),0),0)+IF(AND(O515="FIRE TEX 5062",E515="CJ",J515=3),VLOOKUP(_xlfn.MINIFS('FIRE TEX 5062'!$L$4:$L$34,'FIRE TEX 5062'!$L$4:$L$34,"&gt;="&amp;M515),'FIRE TEX 5062'!$L$4:$P$34,IF(L515="F-15",2,IF(L515="F-30",3,IF(L515="F-60",4,IF(L515="F-90",5,0)))),0),0)+IF(AND(O515="FIRE TEX 5062",E515="CJ",J515=4),VLOOKUP(_xlfn.MINIFS('FIRE TEX 5062'!$Q$3:$Q$34,'FIRE TEX 5062'!$Q$3:$Q$34,"&gt;="&amp;M515),'FIRE TEX 5062'!$Q$3:$U$34,IF(L515="F-15",2,IF(L515="F-30",3,IF(L515="F-60",4,IF(L515="F-90",5,0)))),0),0)+IF(AND(O515="FIRE TEX 5090",OR(E515="IN",E515="C",E515="Z",E515="L"),J515=3),VLOOKUP(_xlfn.MINIFS('FIRE TEX 5090'!$B$5:$B$43,'FIRE TEX 5090'!$B$5:$B$43,"&gt;="&amp;M515),'FIRE TEX 5090'!$B$5:$H$43,IF(L515="F-15",2,IF(L515="F-30",3,IF(L515="F-60",4,IF(L515="F-90",5,IF(L515="F-120",6,IF(L515="F-150",7,0)))))),0),0)+IF(AND(O515="FIRE TEX 5090",OR(E515="IN",E515="C",E515="Z",E515="L"),J515=4),VLOOKUP(_xlfn.MINIFS('FIRE TEX 5090'!$J$5:$J$43,'FIRE TEX 5090'!$J$5:$J$43,"&gt;="&amp;M515),'FIRE TEX 5090'!$J$5:$P$43,IF(L515="F-15",2,IF(L515="F-30",3,IF(L515="F-60",4,IF(L515="F-90",5,IF(L515="F-120",6,IF(L515="F-150",7,0)))))),0),0)+IF(AND(O515="FIRE TEX 5090",E515="CJ",J515=3),VLOOKUP(_xlfn.MINIFS('FIRE TEX 5090'!$R$5:$R$30,'FIRE TEX 5090'!$R$5:$R$30,"&gt;="&amp;M515),'FIRE TEX 5090'!$R$5:$W$30,IF(L515="F-15",2,IF(L515="F-30",3,IF(L515="F-60",4,IF(L515="F-90",5,IF(L515="F-120",6,IF(L515="F-150",7,0)))))),0),0)+IF(AND(O515="FIRE TEX 5090",E515="CJ",J515=4),VLOOKUP(_xlfn.MINIFS('FIRE TEX 5090'!$Y$5:$Y$39,'FIRE TEX 5090'!$Y$5:$Y$39,"&gt;="&amp;M515),'FIRE TEX 5090'!$Y$5:$AD$39,IF(L515="F-15",2,IF(L515="F-30",3,IF(L515="F-60",4,IF(L515="F-90",5,IF(L515="F-120",6,IF(L515="F-150",7,0)))))),0),0)+IF(AND(O515="FIRE TEX 5120",OR(E515="IN",E515="C",E515="Z",E515="L"),J515=3),VLOOKUP(_xlfn.MINIFS('FIRE TEX 5120'!$B$5:$B$40,'FIRE TEX 5120'!$B$5:$B$40,"&gt;="&amp;M515),'FIRE TEX 5120'!$B$5:$G$40,IF(L515="F-15",2,IF(L515="F-30",3,IF(L515="F-60",4,IF(L515="F-90",5,IF(L515="F-120",6,0))))),0),0)+IF(AND(O515="FIRE TEX 5120",OR(E515="IN",E515="C",E515="Z",E515="L"),J515=4),VLOOKUP(_xlfn.MINIFS('FIRE TEX 5120'!$H$4:$H$40,'FIRE TEX 5120'!$H$4:$H$40,"&gt;="&amp;M515),'FIRE TEX 5120'!$H$4:$M$40,IF(L515="F-15",2,IF(L515="F-30",3,IF(L515="F-60",4,IF(L515="F-90",5,IF(L515="F-120",6,0))))),0),0)+IF(AND(O515="FIRE TEX 5120",E515="CJ"),VLOOKUP(_xlfn.MINIFS('FIRE TEX 5120'!$O$5:$O$40,'FIRE TEX 5120'!$O$5:$O$40,"&gt;="&amp;M515),'FIRE TEX 5120'!$O$5:$T$40,IF(L515="F-15",2,IF(L515="F-30",3,IF(L515="F-60",4,IF(L515="F-90",5,IF(L515="F-120",6,0))))),0),0)</f>
        <v>0</v>
      </c>
      <c r="Q515" s="46">
        <f t="shared" si="59"/>
        <v>0</v>
      </c>
      <c r="R515" s="46">
        <f t="shared" si="60"/>
        <v>0</v>
      </c>
      <c r="S515" s="46" t="e">
        <f t="shared" si="61"/>
        <v>#VALUE!</v>
      </c>
      <c r="T515" s="677">
        <f t="shared" si="62"/>
        <v>0</v>
      </c>
      <c r="U515" s="80">
        <f>(IF(O515="Stofire",(S515*#REF!),0))+(IF(O515="Fire Control",(S515*$U$2),0))+(IF(O515="Fire Tex",(S515*$U$3),0))+(IF(O515="WB7",(S515*#REF!),0)+(IF(O515="FX 2003",(S515*$U$5),0)))</f>
        <v>0</v>
      </c>
      <c r="V515" s="651">
        <f t="shared" si="63"/>
        <v>0</v>
      </c>
    </row>
    <row r="516" spans="4:22" x14ac:dyDescent="0.25">
      <c r="D516" s="118">
        <f>+CUBICACION!D515</f>
        <v>0</v>
      </c>
      <c r="E516" s="118">
        <f>+CUBICACION!F515</f>
        <v>0</v>
      </c>
      <c r="F516" s="118">
        <f>+CUBICACION!E515</f>
        <v>0</v>
      </c>
      <c r="G516" s="118">
        <v>12</v>
      </c>
      <c r="H516" s="118">
        <v>2</v>
      </c>
      <c r="I516" s="820">
        <v>26385</v>
      </c>
      <c r="J516" s="118">
        <f>+CUBICACION!J515</f>
        <v>0</v>
      </c>
      <c r="K516" s="118">
        <v>3295</v>
      </c>
      <c r="L516" s="118">
        <f>+CUBICACION!L515</f>
        <v>0</v>
      </c>
      <c r="M516" s="64">
        <f>+CUBICACION!M515</f>
        <v>0</v>
      </c>
      <c r="N516" s="824" t="str">
        <f>+CUBICACION!N515</f>
        <v/>
      </c>
      <c r="O516" s="675">
        <f>+CUBICACION!O515</f>
        <v>0</v>
      </c>
      <c r="P516" s="15">
        <f>IF(O516="Fire Control",VLOOKUP(_xlfn.MINIFS('FIRE CONTROL'!$C$4:$C$37,'FIRE CONTROL'!$C$4:$C$37,"&gt;="&amp;M516),'FIRE CONTROL'!$C$4:$G$37,IF(L516="F-15",2,IF(L516="F-30",3,IF(L516="F-60",4,IF(L516="F-90",5,0)))),0),0)+IF(AND(O516="FIRE TEX 5062",OR(E516="IN",E516="C",E516="Z",E516="L"),J516=3),VLOOKUP(_xlfn.MINIFS('FIRE TEX 5062'!$B$4:$B$34,'FIRE TEX 5062'!$B$4:$B$34,"&gt;="&amp;M516),'FIRE TEX 5062'!$B$4:$F$34,IF(L516="F-15",2,IF(L516="F-30",3,IF(L516="F-60",4,IF(L516="F-90",5,0)))),0),0)+IF(AND(O516="FIRE TEX 5062",OR(E516="IN",E516="C",E516="Z",E516="L"),J516=4),VLOOKUP(_xlfn.MINIFS('FIRE TEX 5062'!$G$4:$G$34,'FIRE TEX 5062'!$G$4:$G$34,"&gt;="&amp;M516),'FIRE TEX 5062'!$G$4:$K$34,IF(L516="F-15",2,IF(L516="F-30",3,IF(L516="F-60",4,IF(L516="F-90",5,0)))),0),0)+IF(AND(O516="FIRE TEX 5062",E516="CJ",J516=3),VLOOKUP(_xlfn.MINIFS('FIRE TEX 5062'!$L$4:$L$34,'FIRE TEX 5062'!$L$4:$L$34,"&gt;="&amp;M516),'FIRE TEX 5062'!$L$4:$P$34,IF(L516="F-15",2,IF(L516="F-30",3,IF(L516="F-60",4,IF(L516="F-90",5,0)))),0),0)+IF(AND(O516="FIRE TEX 5062",E516="CJ",J516=4),VLOOKUP(_xlfn.MINIFS('FIRE TEX 5062'!$Q$3:$Q$34,'FIRE TEX 5062'!$Q$3:$Q$34,"&gt;="&amp;M516),'FIRE TEX 5062'!$Q$3:$U$34,IF(L516="F-15",2,IF(L516="F-30",3,IF(L516="F-60",4,IF(L516="F-90",5,0)))),0),0)+IF(AND(O516="FIRE TEX 5090",OR(E516="IN",E516="C",E516="Z",E516="L"),J516=3),VLOOKUP(_xlfn.MINIFS('FIRE TEX 5090'!$B$5:$B$43,'FIRE TEX 5090'!$B$5:$B$43,"&gt;="&amp;M516),'FIRE TEX 5090'!$B$5:$H$43,IF(L516="F-15",2,IF(L516="F-30",3,IF(L516="F-60",4,IF(L516="F-90",5,IF(L516="F-120",6,IF(L516="F-150",7,0)))))),0),0)+IF(AND(O516="FIRE TEX 5090",OR(E516="IN",E516="C",E516="Z",E516="L"),J516=4),VLOOKUP(_xlfn.MINIFS('FIRE TEX 5090'!$J$5:$J$43,'FIRE TEX 5090'!$J$5:$J$43,"&gt;="&amp;M516),'FIRE TEX 5090'!$J$5:$P$43,IF(L516="F-15",2,IF(L516="F-30",3,IF(L516="F-60",4,IF(L516="F-90",5,IF(L516="F-120",6,IF(L516="F-150",7,0)))))),0),0)+IF(AND(O516="FIRE TEX 5090",E516="CJ",J516=3),VLOOKUP(_xlfn.MINIFS('FIRE TEX 5090'!$R$5:$R$30,'FIRE TEX 5090'!$R$5:$R$30,"&gt;="&amp;M516),'FIRE TEX 5090'!$R$5:$W$30,IF(L516="F-15",2,IF(L516="F-30",3,IF(L516="F-60",4,IF(L516="F-90",5,IF(L516="F-120",6,IF(L516="F-150",7,0)))))),0),0)+IF(AND(O516="FIRE TEX 5090",E516="CJ",J516=4),VLOOKUP(_xlfn.MINIFS('FIRE TEX 5090'!$Y$5:$Y$39,'FIRE TEX 5090'!$Y$5:$Y$39,"&gt;="&amp;M516),'FIRE TEX 5090'!$Y$5:$AD$39,IF(L516="F-15",2,IF(L516="F-30",3,IF(L516="F-60",4,IF(L516="F-90",5,IF(L516="F-120",6,IF(L516="F-150",7,0)))))),0),0)+IF(AND(O516="FIRE TEX 5120",OR(E516="IN",E516="C",E516="Z",E516="L"),J516=3),VLOOKUP(_xlfn.MINIFS('FIRE TEX 5120'!$B$5:$B$40,'FIRE TEX 5120'!$B$5:$B$40,"&gt;="&amp;M516),'FIRE TEX 5120'!$B$5:$G$40,IF(L516="F-15",2,IF(L516="F-30",3,IF(L516="F-60",4,IF(L516="F-90",5,IF(L516="F-120",6,0))))),0),0)+IF(AND(O516="FIRE TEX 5120",OR(E516="IN",E516="C",E516="Z",E516="L"),J516=4),VLOOKUP(_xlfn.MINIFS('FIRE TEX 5120'!$H$4:$H$40,'FIRE TEX 5120'!$H$4:$H$40,"&gt;="&amp;M516),'FIRE TEX 5120'!$H$4:$M$40,IF(L516="F-15",2,IF(L516="F-30",3,IF(L516="F-60",4,IF(L516="F-90",5,IF(L516="F-120",6,0))))),0),0)+IF(AND(O516="FIRE TEX 5120",E516="CJ"),VLOOKUP(_xlfn.MINIFS('FIRE TEX 5120'!$O$5:$O$40,'FIRE TEX 5120'!$O$5:$O$40,"&gt;="&amp;M516),'FIRE TEX 5120'!$O$5:$T$40,IF(L516="F-15",2,IF(L516="F-30",3,IF(L516="F-60",4,IF(L516="F-90",5,IF(L516="F-120",6,0))))),0),0)</f>
        <v>0</v>
      </c>
      <c r="Q516" s="46">
        <f t="shared" si="59"/>
        <v>0</v>
      </c>
      <c r="R516" s="46">
        <f t="shared" si="60"/>
        <v>0</v>
      </c>
      <c r="S516" s="46" t="e">
        <f t="shared" si="61"/>
        <v>#VALUE!</v>
      </c>
      <c r="T516" s="677">
        <f t="shared" si="62"/>
        <v>0</v>
      </c>
      <c r="U516" s="80">
        <f>(IF(O516="Stofire",(S516*#REF!),0))+(IF(O516="Fire Control",(S516*$U$2),0))+(IF(O516="Fire Tex",(S516*$U$3),0))+(IF(O516="WB7",(S516*#REF!),0)+(IF(O516="FX 2003",(S516*$U$5),0)))</f>
        <v>0</v>
      </c>
      <c r="V516" s="651">
        <f t="shared" si="63"/>
        <v>0</v>
      </c>
    </row>
    <row r="517" spans="4:22" x14ac:dyDescent="0.25">
      <c r="D517" s="118">
        <f>+CUBICACION!D516</f>
        <v>0</v>
      </c>
      <c r="E517" s="118">
        <f>+CUBICACION!F516</f>
        <v>0</v>
      </c>
      <c r="F517" s="118">
        <f>+CUBICACION!E516</f>
        <v>0</v>
      </c>
      <c r="G517" s="118">
        <v>12</v>
      </c>
      <c r="H517" s="118">
        <v>2</v>
      </c>
      <c r="I517" s="820">
        <v>26385</v>
      </c>
      <c r="J517" s="118">
        <f>+CUBICACION!J516</f>
        <v>0</v>
      </c>
      <c r="K517" s="118">
        <v>3296</v>
      </c>
      <c r="L517" s="118">
        <f>+CUBICACION!L516</f>
        <v>0</v>
      </c>
      <c r="M517" s="64">
        <f>+CUBICACION!M516</f>
        <v>0</v>
      </c>
      <c r="N517" s="824" t="str">
        <f>+CUBICACION!N516</f>
        <v/>
      </c>
      <c r="O517" s="675">
        <f>+CUBICACION!O516</f>
        <v>0</v>
      </c>
      <c r="P517" s="15">
        <f>IF(O517="Fire Control",VLOOKUP(_xlfn.MINIFS('FIRE CONTROL'!$C$4:$C$37,'FIRE CONTROL'!$C$4:$C$37,"&gt;="&amp;M517),'FIRE CONTROL'!$C$4:$G$37,IF(L517="F-15",2,IF(L517="F-30",3,IF(L517="F-60",4,IF(L517="F-90",5,0)))),0),0)+IF(AND(O517="FIRE TEX 5062",OR(E517="IN",E517="C",E517="Z",E517="L"),J517=3),VLOOKUP(_xlfn.MINIFS('FIRE TEX 5062'!$B$4:$B$34,'FIRE TEX 5062'!$B$4:$B$34,"&gt;="&amp;M517),'FIRE TEX 5062'!$B$4:$F$34,IF(L517="F-15",2,IF(L517="F-30",3,IF(L517="F-60",4,IF(L517="F-90",5,0)))),0),0)+IF(AND(O517="FIRE TEX 5062",OR(E517="IN",E517="C",E517="Z",E517="L"),J517=4),VLOOKUP(_xlfn.MINIFS('FIRE TEX 5062'!$G$4:$G$34,'FIRE TEX 5062'!$G$4:$G$34,"&gt;="&amp;M517),'FIRE TEX 5062'!$G$4:$K$34,IF(L517="F-15",2,IF(L517="F-30",3,IF(L517="F-60",4,IF(L517="F-90",5,0)))),0),0)+IF(AND(O517="FIRE TEX 5062",E517="CJ",J517=3),VLOOKUP(_xlfn.MINIFS('FIRE TEX 5062'!$L$4:$L$34,'FIRE TEX 5062'!$L$4:$L$34,"&gt;="&amp;M517),'FIRE TEX 5062'!$L$4:$P$34,IF(L517="F-15",2,IF(L517="F-30",3,IF(L517="F-60",4,IF(L517="F-90",5,0)))),0),0)+IF(AND(O517="FIRE TEX 5062",E517="CJ",J517=4),VLOOKUP(_xlfn.MINIFS('FIRE TEX 5062'!$Q$3:$Q$34,'FIRE TEX 5062'!$Q$3:$Q$34,"&gt;="&amp;M517),'FIRE TEX 5062'!$Q$3:$U$34,IF(L517="F-15",2,IF(L517="F-30",3,IF(L517="F-60",4,IF(L517="F-90",5,0)))),0),0)+IF(AND(O517="FIRE TEX 5090",OR(E517="IN",E517="C",E517="Z",E517="L"),J517=3),VLOOKUP(_xlfn.MINIFS('FIRE TEX 5090'!$B$5:$B$43,'FIRE TEX 5090'!$B$5:$B$43,"&gt;="&amp;M517),'FIRE TEX 5090'!$B$5:$H$43,IF(L517="F-15",2,IF(L517="F-30",3,IF(L517="F-60",4,IF(L517="F-90",5,IF(L517="F-120",6,IF(L517="F-150",7,0)))))),0),0)+IF(AND(O517="FIRE TEX 5090",OR(E517="IN",E517="C",E517="Z",E517="L"),J517=4),VLOOKUP(_xlfn.MINIFS('FIRE TEX 5090'!$J$5:$J$43,'FIRE TEX 5090'!$J$5:$J$43,"&gt;="&amp;M517),'FIRE TEX 5090'!$J$5:$P$43,IF(L517="F-15",2,IF(L517="F-30",3,IF(L517="F-60",4,IF(L517="F-90",5,IF(L517="F-120",6,IF(L517="F-150",7,0)))))),0),0)+IF(AND(O517="FIRE TEX 5090",E517="CJ",J517=3),VLOOKUP(_xlfn.MINIFS('FIRE TEX 5090'!$R$5:$R$30,'FIRE TEX 5090'!$R$5:$R$30,"&gt;="&amp;M517),'FIRE TEX 5090'!$R$5:$W$30,IF(L517="F-15",2,IF(L517="F-30",3,IF(L517="F-60",4,IF(L517="F-90",5,IF(L517="F-120",6,IF(L517="F-150",7,0)))))),0),0)+IF(AND(O517="FIRE TEX 5090",E517="CJ",J517=4),VLOOKUP(_xlfn.MINIFS('FIRE TEX 5090'!$Y$5:$Y$39,'FIRE TEX 5090'!$Y$5:$Y$39,"&gt;="&amp;M517),'FIRE TEX 5090'!$Y$5:$AD$39,IF(L517="F-15",2,IF(L517="F-30",3,IF(L517="F-60",4,IF(L517="F-90",5,IF(L517="F-120",6,IF(L517="F-150",7,0)))))),0),0)+IF(AND(O517="FIRE TEX 5120",OR(E517="IN",E517="C",E517="Z",E517="L"),J517=3),VLOOKUP(_xlfn.MINIFS('FIRE TEX 5120'!$B$5:$B$40,'FIRE TEX 5120'!$B$5:$B$40,"&gt;="&amp;M517),'FIRE TEX 5120'!$B$5:$G$40,IF(L517="F-15",2,IF(L517="F-30",3,IF(L517="F-60",4,IF(L517="F-90",5,IF(L517="F-120",6,0))))),0),0)+IF(AND(O517="FIRE TEX 5120",OR(E517="IN",E517="C",E517="Z",E517="L"),J517=4),VLOOKUP(_xlfn.MINIFS('FIRE TEX 5120'!$H$4:$H$40,'FIRE TEX 5120'!$H$4:$H$40,"&gt;="&amp;M517),'FIRE TEX 5120'!$H$4:$M$40,IF(L517="F-15",2,IF(L517="F-30",3,IF(L517="F-60",4,IF(L517="F-90",5,IF(L517="F-120",6,0))))),0),0)+IF(AND(O517="FIRE TEX 5120",E517="CJ"),VLOOKUP(_xlfn.MINIFS('FIRE TEX 5120'!$O$5:$O$40,'FIRE TEX 5120'!$O$5:$O$40,"&gt;="&amp;M517),'FIRE TEX 5120'!$O$5:$T$40,IF(L517="F-15",2,IF(L517="F-30",3,IF(L517="F-60",4,IF(L517="F-90",5,IF(L517="F-120",6,0))))),0),0)</f>
        <v>0</v>
      </c>
      <c r="Q517" s="46">
        <f t="shared" si="59"/>
        <v>0</v>
      </c>
      <c r="R517" s="46">
        <f t="shared" si="60"/>
        <v>0</v>
      </c>
      <c r="S517" s="46" t="e">
        <f t="shared" si="61"/>
        <v>#VALUE!</v>
      </c>
      <c r="T517" s="677">
        <f t="shared" si="62"/>
        <v>0</v>
      </c>
      <c r="U517" s="80">
        <f>(IF(O517="Stofire",(S517*#REF!),0))+(IF(O517="Fire Control",(S517*$U$2),0))+(IF(O517="Fire Tex",(S517*$U$3),0))+(IF(O517="WB7",(S517*#REF!),0)+(IF(O517="FX 2003",(S517*$U$5),0)))</f>
        <v>0</v>
      </c>
      <c r="V517" s="651">
        <f t="shared" si="63"/>
        <v>0</v>
      </c>
    </row>
    <row r="518" spans="4:22" x14ac:dyDescent="0.25">
      <c r="D518" s="118">
        <f>+CUBICACION!D517</f>
        <v>0</v>
      </c>
      <c r="E518" s="118">
        <f>+CUBICACION!F517</f>
        <v>0</v>
      </c>
      <c r="F518" s="118">
        <f>+CUBICACION!E517</f>
        <v>0</v>
      </c>
      <c r="G518" s="118">
        <v>12</v>
      </c>
      <c r="H518" s="118">
        <v>2</v>
      </c>
      <c r="I518" s="820">
        <v>26385</v>
      </c>
      <c r="J518" s="118">
        <f>+CUBICACION!J517</f>
        <v>0</v>
      </c>
      <c r="K518" s="118">
        <v>3297</v>
      </c>
      <c r="L518" s="118">
        <f>+CUBICACION!L517</f>
        <v>0</v>
      </c>
      <c r="M518" s="64">
        <f>+CUBICACION!M517</f>
        <v>0</v>
      </c>
      <c r="N518" s="824" t="str">
        <f>+CUBICACION!N517</f>
        <v/>
      </c>
      <c r="O518" s="675">
        <f>+CUBICACION!O517</f>
        <v>0</v>
      </c>
      <c r="P518" s="15">
        <f>IF(O518="Fire Control",VLOOKUP(_xlfn.MINIFS('FIRE CONTROL'!$C$4:$C$37,'FIRE CONTROL'!$C$4:$C$37,"&gt;="&amp;M518),'FIRE CONTROL'!$C$4:$G$37,IF(L518="F-15",2,IF(L518="F-30",3,IF(L518="F-60",4,IF(L518="F-90",5,0)))),0),0)+IF(AND(O518="FIRE TEX 5062",OR(E518="IN",E518="C",E518="Z",E518="L"),J518=3),VLOOKUP(_xlfn.MINIFS('FIRE TEX 5062'!$B$4:$B$34,'FIRE TEX 5062'!$B$4:$B$34,"&gt;="&amp;M518),'FIRE TEX 5062'!$B$4:$F$34,IF(L518="F-15",2,IF(L518="F-30",3,IF(L518="F-60",4,IF(L518="F-90",5,0)))),0),0)+IF(AND(O518="FIRE TEX 5062",OR(E518="IN",E518="C",E518="Z",E518="L"),J518=4),VLOOKUP(_xlfn.MINIFS('FIRE TEX 5062'!$G$4:$G$34,'FIRE TEX 5062'!$G$4:$G$34,"&gt;="&amp;M518),'FIRE TEX 5062'!$G$4:$K$34,IF(L518="F-15",2,IF(L518="F-30",3,IF(L518="F-60",4,IF(L518="F-90",5,0)))),0),0)+IF(AND(O518="FIRE TEX 5062",E518="CJ",J518=3),VLOOKUP(_xlfn.MINIFS('FIRE TEX 5062'!$L$4:$L$34,'FIRE TEX 5062'!$L$4:$L$34,"&gt;="&amp;M518),'FIRE TEX 5062'!$L$4:$P$34,IF(L518="F-15",2,IF(L518="F-30",3,IF(L518="F-60",4,IF(L518="F-90",5,0)))),0),0)+IF(AND(O518="FIRE TEX 5062",E518="CJ",J518=4),VLOOKUP(_xlfn.MINIFS('FIRE TEX 5062'!$Q$3:$Q$34,'FIRE TEX 5062'!$Q$3:$Q$34,"&gt;="&amp;M518),'FIRE TEX 5062'!$Q$3:$U$34,IF(L518="F-15",2,IF(L518="F-30",3,IF(L518="F-60",4,IF(L518="F-90",5,0)))),0),0)+IF(AND(O518="FIRE TEX 5090",OR(E518="IN",E518="C",E518="Z",E518="L"),J518=3),VLOOKUP(_xlfn.MINIFS('FIRE TEX 5090'!$B$5:$B$43,'FIRE TEX 5090'!$B$5:$B$43,"&gt;="&amp;M518),'FIRE TEX 5090'!$B$5:$H$43,IF(L518="F-15",2,IF(L518="F-30",3,IF(L518="F-60",4,IF(L518="F-90",5,IF(L518="F-120",6,IF(L518="F-150",7,0)))))),0),0)+IF(AND(O518="FIRE TEX 5090",OR(E518="IN",E518="C",E518="Z",E518="L"),J518=4),VLOOKUP(_xlfn.MINIFS('FIRE TEX 5090'!$J$5:$J$43,'FIRE TEX 5090'!$J$5:$J$43,"&gt;="&amp;M518),'FIRE TEX 5090'!$J$5:$P$43,IF(L518="F-15",2,IF(L518="F-30",3,IF(L518="F-60",4,IF(L518="F-90",5,IF(L518="F-120",6,IF(L518="F-150",7,0)))))),0),0)+IF(AND(O518="FIRE TEX 5090",E518="CJ",J518=3),VLOOKUP(_xlfn.MINIFS('FIRE TEX 5090'!$R$5:$R$30,'FIRE TEX 5090'!$R$5:$R$30,"&gt;="&amp;M518),'FIRE TEX 5090'!$R$5:$W$30,IF(L518="F-15",2,IF(L518="F-30",3,IF(L518="F-60",4,IF(L518="F-90",5,IF(L518="F-120",6,IF(L518="F-150",7,0)))))),0),0)+IF(AND(O518="FIRE TEX 5090",E518="CJ",J518=4),VLOOKUP(_xlfn.MINIFS('FIRE TEX 5090'!$Y$5:$Y$39,'FIRE TEX 5090'!$Y$5:$Y$39,"&gt;="&amp;M518),'FIRE TEX 5090'!$Y$5:$AD$39,IF(L518="F-15",2,IF(L518="F-30",3,IF(L518="F-60",4,IF(L518="F-90",5,IF(L518="F-120",6,IF(L518="F-150",7,0)))))),0),0)+IF(AND(O518="FIRE TEX 5120",OR(E518="IN",E518="C",E518="Z",E518="L"),J518=3),VLOOKUP(_xlfn.MINIFS('FIRE TEX 5120'!$B$5:$B$40,'FIRE TEX 5120'!$B$5:$B$40,"&gt;="&amp;M518),'FIRE TEX 5120'!$B$5:$G$40,IF(L518="F-15",2,IF(L518="F-30",3,IF(L518="F-60",4,IF(L518="F-90",5,IF(L518="F-120",6,0))))),0),0)+IF(AND(O518="FIRE TEX 5120",OR(E518="IN",E518="C",E518="Z",E518="L"),J518=4),VLOOKUP(_xlfn.MINIFS('FIRE TEX 5120'!$H$4:$H$40,'FIRE TEX 5120'!$H$4:$H$40,"&gt;="&amp;M518),'FIRE TEX 5120'!$H$4:$M$40,IF(L518="F-15",2,IF(L518="F-30",3,IF(L518="F-60",4,IF(L518="F-90",5,IF(L518="F-120",6,0))))),0),0)+IF(AND(O518="FIRE TEX 5120",E518="CJ"),VLOOKUP(_xlfn.MINIFS('FIRE TEX 5120'!$O$5:$O$40,'FIRE TEX 5120'!$O$5:$O$40,"&gt;="&amp;M518),'FIRE TEX 5120'!$O$5:$T$40,IF(L518="F-15",2,IF(L518="F-30",3,IF(L518="F-60",4,IF(L518="F-90",5,IF(L518="F-120",6,0))))),0),0)</f>
        <v>0</v>
      </c>
      <c r="Q518" s="46">
        <f t="shared" si="59"/>
        <v>0</v>
      </c>
      <c r="R518" s="46">
        <f t="shared" si="60"/>
        <v>0</v>
      </c>
      <c r="S518" s="46" t="e">
        <f t="shared" si="61"/>
        <v>#VALUE!</v>
      </c>
      <c r="T518" s="677">
        <f t="shared" si="62"/>
        <v>0</v>
      </c>
      <c r="U518" s="80">
        <f>(IF(O518="Stofire",(S518*#REF!),0))+(IF(O518="Fire Control",(S518*$U$2),0))+(IF(O518="Fire Tex",(S518*$U$3),0))+(IF(O518="WB7",(S518*#REF!),0)+(IF(O518="FX 2003",(S518*$U$5),0)))</f>
        <v>0</v>
      </c>
      <c r="V518" s="651">
        <f t="shared" si="63"/>
        <v>0</v>
      </c>
    </row>
    <row r="519" spans="4:22" x14ac:dyDescent="0.25">
      <c r="D519" s="118">
        <f>+CUBICACION!D518</f>
        <v>0</v>
      </c>
      <c r="E519" s="118">
        <f>+CUBICACION!F518</f>
        <v>0</v>
      </c>
      <c r="F519" s="118">
        <f>+CUBICACION!E518</f>
        <v>0</v>
      </c>
      <c r="G519" s="118">
        <v>12</v>
      </c>
      <c r="H519" s="118">
        <v>2</v>
      </c>
      <c r="I519" s="820">
        <v>26385</v>
      </c>
      <c r="J519" s="118">
        <f>+CUBICACION!J518</f>
        <v>0</v>
      </c>
      <c r="K519" s="118">
        <v>3298</v>
      </c>
      <c r="L519" s="118">
        <f>+CUBICACION!L518</f>
        <v>0</v>
      </c>
      <c r="M519" s="64">
        <f>+CUBICACION!M518</f>
        <v>0</v>
      </c>
      <c r="N519" s="824" t="str">
        <f>+CUBICACION!N518</f>
        <v/>
      </c>
      <c r="O519" s="675">
        <f>+CUBICACION!O518</f>
        <v>0</v>
      </c>
      <c r="P519" s="15">
        <f>IF(O519="Fire Control",VLOOKUP(_xlfn.MINIFS('FIRE CONTROL'!$C$4:$C$37,'FIRE CONTROL'!$C$4:$C$37,"&gt;="&amp;M519),'FIRE CONTROL'!$C$4:$G$37,IF(L519="F-15",2,IF(L519="F-30",3,IF(L519="F-60",4,IF(L519="F-90",5,0)))),0),0)+IF(AND(O519="FIRE TEX 5062",OR(E519="IN",E519="C",E519="Z",E519="L"),J519=3),VLOOKUP(_xlfn.MINIFS('FIRE TEX 5062'!$B$4:$B$34,'FIRE TEX 5062'!$B$4:$B$34,"&gt;="&amp;M519),'FIRE TEX 5062'!$B$4:$F$34,IF(L519="F-15",2,IF(L519="F-30",3,IF(L519="F-60",4,IF(L519="F-90",5,0)))),0),0)+IF(AND(O519="FIRE TEX 5062",OR(E519="IN",E519="C",E519="Z",E519="L"),J519=4),VLOOKUP(_xlfn.MINIFS('FIRE TEX 5062'!$G$4:$G$34,'FIRE TEX 5062'!$G$4:$G$34,"&gt;="&amp;M519),'FIRE TEX 5062'!$G$4:$K$34,IF(L519="F-15",2,IF(L519="F-30",3,IF(L519="F-60",4,IF(L519="F-90",5,0)))),0),0)+IF(AND(O519="FIRE TEX 5062",E519="CJ",J519=3),VLOOKUP(_xlfn.MINIFS('FIRE TEX 5062'!$L$4:$L$34,'FIRE TEX 5062'!$L$4:$L$34,"&gt;="&amp;M519),'FIRE TEX 5062'!$L$4:$P$34,IF(L519="F-15",2,IF(L519="F-30",3,IF(L519="F-60",4,IF(L519="F-90",5,0)))),0),0)+IF(AND(O519="FIRE TEX 5062",E519="CJ",J519=4),VLOOKUP(_xlfn.MINIFS('FIRE TEX 5062'!$Q$3:$Q$34,'FIRE TEX 5062'!$Q$3:$Q$34,"&gt;="&amp;M519),'FIRE TEX 5062'!$Q$3:$U$34,IF(L519="F-15",2,IF(L519="F-30",3,IF(L519="F-60",4,IF(L519="F-90",5,0)))),0),0)+IF(AND(O519="FIRE TEX 5090",OR(E519="IN",E519="C",E519="Z",E519="L"),J519=3),VLOOKUP(_xlfn.MINIFS('FIRE TEX 5090'!$B$5:$B$43,'FIRE TEX 5090'!$B$5:$B$43,"&gt;="&amp;M519),'FIRE TEX 5090'!$B$5:$H$43,IF(L519="F-15",2,IF(L519="F-30",3,IF(L519="F-60",4,IF(L519="F-90",5,IF(L519="F-120",6,IF(L519="F-150",7,0)))))),0),0)+IF(AND(O519="FIRE TEX 5090",OR(E519="IN",E519="C",E519="Z",E519="L"),J519=4),VLOOKUP(_xlfn.MINIFS('FIRE TEX 5090'!$J$5:$J$43,'FIRE TEX 5090'!$J$5:$J$43,"&gt;="&amp;M519),'FIRE TEX 5090'!$J$5:$P$43,IF(L519="F-15",2,IF(L519="F-30",3,IF(L519="F-60",4,IF(L519="F-90",5,IF(L519="F-120",6,IF(L519="F-150",7,0)))))),0),0)+IF(AND(O519="FIRE TEX 5090",E519="CJ",J519=3),VLOOKUP(_xlfn.MINIFS('FIRE TEX 5090'!$R$5:$R$30,'FIRE TEX 5090'!$R$5:$R$30,"&gt;="&amp;M519),'FIRE TEX 5090'!$R$5:$W$30,IF(L519="F-15",2,IF(L519="F-30",3,IF(L519="F-60",4,IF(L519="F-90",5,IF(L519="F-120",6,IF(L519="F-150",7,0)))))),0),0)+IF(AND(O519="FIRE TEX 5090",E519="CJ",J519=4),VLOOKUP(_xlfn.MINIFS('FIRE TEX 5090'!$Y$5:$Y$39,'FIRE TEX 5090'!$Y$5:$Y$39,"&gt;="&amp;M519),'FIRE TEX 5090'!$Y$5:$AD$39,IF(L519="F-15",2,IF(L519="F-30",3,IF(L519="F-60",4,IF(L519="F-90",5,IF(L519="F-120",6,IF(L519="F-150",7,0)))))),0),0)+IF(AND(O519="FIRE TEX 5120",OR(E519="IN",E519="C",E519="Z",E519="L"),J519=3),VLOOKUP(_xlfn.MINIFS('FIRE TEX 5120'!$B$5:$B$40,'FIRE TEX 5120'!$B$5:$B$40,"&gt;="&amp;M519),'FIRE TEX 5120'!$B$5:$G$40,IF(L519="F-15",2,IF(L519="F-30",3,IF(L519="F-60",4,IF(L519="F-90",5,IF(L519="F-120",6,0))))),0),0)+IF(AND(O519="FIRE TEX 5120",OR(E519="IN",E519="C",E519="Z",E519="L"),J519=4),VLOOKUP(_xlfn.MINIFS('FIRE TEX 5120'!$H$4:$H$40,'FIRE TEX 5120'!$H$4:$H$40,"&gt;="&amp;M519),'FIRE TEX 5120'!$H$4:$M$40,IF(L519="F-15",2,IF(L519="F-30",3,IF(L519="F-60",4,IF(L519="F-90",5,IF(L519="F-120",6,0))))),0),0)+IF(AND(O519="FIRE TEX 5120",E519="CJ"),VLOOKUP(_xlfn.MINIFS('FIRE TEX 5120'!$O$5:$O$40,'FIRE TEX 5120'!$O$5:$O$40,"&gt;="&amp;M519),'FIRE TEX 5120'!$O$5:$T$40,IF(L519="F-15",2,IF(L519="F-30",3,IF(L519="F-60",4,IF(L519="F-90",5,IF(L519="F-120",6,0))))),0),0)</f>
        <v>0</v>
      </c>
      <c r="Q519" s="46">
        <f t="shared" si="59"/>
        <v>0</v>
      </c>
      <c r="R519" s="46">
        <f t="shared" si="60"/>
        <v>0</v>
      </c>
      <c r="S519" s="46" t="e">
        <f t="shared" si="61"/>
        <v>#VALUE!</v>
      </c>
      <c r="T519" s="677">
        <f t="shared" si="62"/>
        <v>0</v>
      </c>
      <c r="U519" s="80">
        <f>(IF(O519="Stofire",(S519*#REF!),0))+(IF(O519="Fire Control",(S519*$U$2),0))+(IF(O519="Fire Tex",(S519*$U$3),0))+(IF(O519="WB7",(S519*#REF!),0)+(IF(O519="FX 2003",(S519*$U$5),0)))</f>
        <v>0</v>
      </c>
      <c r="V519" s="651">
        <f t="shared" si="63"/>
        <v>0</v>
      </c>
    </row>
    <row r="520" spans="4:22" x14ac:dyDescent="0.25">
      <c r="D520" s="118">
        <f>+CUBICACION!D519</f>
        <v>0</v>
      </c>
      <c r="E520" s="118">
        <f>+CUBICACION!F519</f>
        <v>0</v>
      </c>
      <c r="F520" s="118">
        <f>+CUBICACION!E519</f>
        <v>0</v>
      </c>
      <c r="G520" s="118">
        <v>12</v>
      </c>
      <c r="H520" s="118">
        <v>2</v>
      </c>
      <c r="I520" s="820">
        <v>26385</v>
      </c>
      <c r="J520" s="118">
        <f>+CUBICACION!J519</f>
        <v>0</v>
      </c>
      <c r="K520" s="118">
        <v>3299</v>
      </c>
      <c r="L520" s="118">
        <f>+CUBICACION!L519</f>
        <v>0</v>
      </c>
      <c r="M520" s="64">
        <f>+CUBICACION!M519</f>
        <v>0</v>
      </c>
      <c r="N520" s="824" t="str">
        <f>+CUBICACION!N519</f>
        <v/>
      </c>
      <c r="O520" s="675">
        <f>+CUBICACION!O519</f>
        <v>0</v>
      </c>
      <c r="P520" s="15">
        <f>IF(O520="Fire Control",VLOOKUP(_xlfn.MINIFS('FIRE CONTROL'!$C$4:$C$37,'FIRE CONTROL'!$C$4:$C$37,"&gt;="&amp;M520),'FIRE CONTROL'!$C$4:$G$37,IF(L520="F-15",2,IF(L520="F-30",3,IF(L520="F-60",4,IF(L520="F-90",5,0)))),0),0)+IF(AND(O520="FIRE TEX 5062",OR(E520="IN",E520="C",E520="Z",E520="L"),J520=3),VLOOKUP(_xlfn.MINIFS('FIRE TEX 5062'!$B$4:$B$34,'FIRE TEX 5062'!$B$4:$B$34,"&gt;="&amp;M520),'FIRE TEX 5062'!$B$4:$F$34,IF(L520="F-15",2,IF(L520="F-30",3,IF(L520="F-60",4,IF(L520="F-90",5,0)))),0),0)+IF(AND(O520="FIRE TEX 5062",OR(E520="IN",E520="C",E520="Z",E520="L"),J520=4),VLOOKUP(_xlfn.MINIFS('FIRE TEX 5062'!$G$4:$G$34,'FIRE TEX 5062'!$G$4:$G$34,"&gt;="&amp;M520),'FIRE TEX 5062'!$G$4:$K$34,IF(L520="F-15",2,IF(L520="F-30",3,IF(L520="F-60",4,IF(L520="F-90",5,0)))),0),0)+IF(AND(O520="FIRE TEX 5062",E520="CJ",J520=3),VLOOKUP(_xlfn.MINIFS('FIRE TEX 5062'!$L$4:$L$34,'FIRE TEX 5062'!$L$4:$L$34,"&gt;="&amp;M520),'FIRE TEX 5062'!$L$4:$P$34,IF(L520="F-15",2,IF(L520="F-30",3,IF(L520="F-60",4,IF(L520="F-90",5,0)))),0),0)+IF(AND(O520="FIRE TEX 5062",E520="CJ",J520=4),VLOOKUP(_xlfn.MINIFS('FIRE TEX 5062'!$Q$3:$Q$34,'FIRE TEX 5062'!$Q$3:$Q$34,"&gt;="&amp;M520),'FIRE TEX 5062'!$Q$3:$U$34,IF(L520="F-15",2,IF(L520="F-30",3,IF(L520="F-60",4,IF(L520="F-90",5,0)))),0),0)+IF(AND(O520="FIRE TEX 5090",OR(E520="IN",E520="C",E520="Z",E520="L"),J520=3),VLOOKUP(_xlfn.MINIFS('FIRE TEX 5090'!$B$5:$B$43,'FIRE TEX 5090'!$B$5:$B$43,"&gt;="&amp;M520),'FIRE TEX 5090'!$B$5:$H$43,IF(L520="F-15",2,IF(L520="F-30",3,IF(L520="F-60",4,IF(L520="F-90",5,IF(L520="F-120",6,IF(L520="F-150",7,0)))))),0),0)+IF(AND(O520="FIRE TEX 5090",OR(E520="IN",E520="C",E520="Z",E520="L"),J520=4),VLOOKUP(_xlfn.MINIFS('FIRE TEX 5090'!$J$5:$J$43,'FIRE TEX 5090'!$J$5:$J$43,"&gt;="&amp;M520),'FIRE TEX 5090'!$J$5:$P$43,IF(L520="F-15",2,IF(L520="F-30",3,IF(L520="F-60",4,IF(L520="F-90",5,IF(L520="F-120",6,IF(L520="F-150",7,0)))))),0),0)+IF(AND(O520="FIRE TEX 5090",E520="CJ",J520=3),VLOOKUP(_xlfn.MINIFS('FIRE TEX 5090'!$R$5:$R$30,'FIRE TEX 5090'!$R$5:$R$30,"&gt;="&amp;M520),'FIRE TEX 5090'!$R$5:$W$30,IF(L520="F-15",2,IF(L520="F-30",3,IF(L520="F-60",4,IF(L520="F-90",5,IF(L520="F-120",6,IF(L520="F-150",7,0)))))),0),0)+IF(AND(O520="FIRE TEX 5090",E520="CJ",J520=4),VLOOKUP(_xlfn.MINIFS('FIRE TEX 5090'!$Y$5:$Y$39,'FIRE TEX 5090'!$Y$5:$Y$39,"&gt;="&amp;M520),'FIRE TEX 5090'!$Y$5:$AD$39,IF(L520="F-15",2,IF(L520="F-30",3,IF(L520="F-60",4,IF(L520="F-90",5,IF(L520="F-120",6,IF(L520="F-150",7,0)))))),0),0)+IF(AND(O520="FIRE TEX 5120",OR(E520="IN",E520="C",E520="Z",E520="L"),J520=3),VLOOKUP(_xlfn.MINIFS('FIRE TEX 5120'!$B$5:$B$40,'FIRE TEX 5120'!$B$5:$B$40,"&gt;="&amp;M520),'FIRE TEX 5120'!$B$5:$G$40,IF(L520="F-15",2,IF(L520="F-30",3,IF(L520="F-60",4,IF(L520="F-90",5,IF(L520="F-120",6,0))))),0),0)+IF(AND(O520="FIRE TEX 5120",OR(E520="IN",E520="C",E520="Z",E520="L"),J520=4),VLOOKUP(_xlfn.MINIFS('FIRE TEX 5120'!$H$4:$H$40,'FIRE TEX 5120'!$H$4:$H$40,"&gt;="&amp;M520),'FIRE TEX 5120'!$H$4:$M$40,IF(L520="F-15",2,IF(L520="F-30",3,IF(L520="F-60",4,IF(L520="F-90",5,IF(L520="F-120",6,0))))),0),0)+IF(AND(O520="FIRE TEX 5120",E520="CJ"),VLOOKUP(_xlfn.MINIFS('FIRE TEX 5120'!$O$5:$O$40,'FIRE TEX 5120'!$O$5:$O$40,"&gt;="&amp;M520),'FIRE TEX 5120'!$O$5:$T$40,IF(L520="F-15",2,IF(L520="F-30",3,IF(L520="F-60",4,IF(L520="F-90",5,IF(L520="F-120",6,0))))),0),0)</f>
        <v>0</v>
      </c>
      <c r="Q520" s="46">
        <f t="shared" si="59"/>
        <v>0</v>
      </c>
      <c r="R520" s="46">
        <f t="shared" si="60"/>
        <v>0</v>
      </c>
      <c r="S520" s="46" t="e">
        <f t="shared" si="61"/>
        <v>#VALUE!</v>
      </c>
      <c r="T520" s="677">
        <f t="shared" si="62"/>
        <v>0</v>
      </c>
      <c r="U520" s="80">
        <f>(IF(O520="Stofire",(S520*#REF!),0))+(IF(O520="Fire Control",(S520*$U$2),0))+(IF(O520="Fire Tex",(S520*$U$3),0))+(IF(O520="WB7",(S520*#REF!),0)+(IF(O520="FX 2003",(S520*$U$5),0)))</f>
        <v>0</v>
      </c>
      <c r="V520" s="651">
        <f t="shared" si="63"/>
        <v>0</v>
      </c>
    </row>
    <row r="521" spans="4:22" x14ac:dyDescent="0.25">
      <c r="D521" s="118">
        <f>+CUBICACION!D520</f>
        <v>0</v>
      </c>
      <c r="E521" s="118">
        <f>+CUBICACION!F520</f>
        <v>0</v>
      </c>
      <c r="F521" s="118">
        <f>+CUBICACION!E520</f>
        <v>0</v>
      </c>
      <c r="G521" s="118">
        <v>12</v>
      </c>
      <c r="H521" s="118">
        <v>2</v>
      </c>
      <c r="I521" s="820">
        <v>26385</v>
      </c>
      <c r="J521" s="118">
        <f>+CUBICACION!J520</f>
        <v>0</v>
      </c>
      <c r="K521" s="118">
        <v>3300</v>
      </c>
      <c r="L521" s="118">
        <f>+CUBICACION!L520</f>
        <v>0</v>
      </c>
      <c r="M521" s="64">
        <f>+CUBICACION!M520</f>
        <v>0</v>
      </c>
      <c r="N521" s="824" t="str">
        <f>+CUBICACION!N520</f>
        <v/>
      </c>
      <c r="O521" s="675">
        <f>+CUBICACION!O520</f>
        <v>0</v>
      </c>
      <c r="P521" s="15">
        <f>IF(O521="Fire Control",VLOOKUP(_xlfn.MINIFS('FIRE CONTROL'!$C$4:$C$37,'FIRE CONTROL'!$C$4:$C$37,"&gt;="&amp;M521),'FIRE CONTROL'!$C$4:$G$37,IF(L521="F-15",2,IF(L521="F-30",3,IF(L521="F-60",4,IF(L521="F-90",5,0)))),0),0)+IF(AND(O521="FIRE TEX 5062",OR(E521="IN",E521="C",E521="Z",E521="L"),J521=3),VLOOKUP(_xlfn.MINIFS('FIRE TEX 5062'!$B$4:$B$34,'FIRE TEX 5062'!$B$4:$B$34,"&gt;="&amp;M521),'FIRE TEX 5062'!$B$4:$F$34,IF(L521="F-15",2,IF(L521="F-30",3,IF(L521="F-60",4,IF(L521="F-90",5,0)))),0),0)+IF(AND(O521="FIRE TEX 5062",OR(E521="IN",E521="C",E521="Z",E521="L"),J521=4),VLOOKUP(_xlfn.MINIFS('FIRE TEX 5062'!$G$4:$G$34,'FIRE TEX 5062'!$G$4:$G$34,"&gt;="&amp;M521),'FIRE TEX 5062'!$G$4:$K$34,IF(L521="F-15",2,IF(L521="F-30",3,IF(L521="F-60",4,IF(L521="F-90",5,0)))),0),0)+IF(AND(O521="FIRE TEX 5062",E521="CJ",J521=3),VLOOKUP(_xlfn.MINIFS('FIRE TEX 5062'!$L$4:$L$34,'FIRE TEX 5062'!$L$4:$L$34,"&gt;="&amp;M521),'FIRE TEX 5062'!$L$4:$P$34,IF(L521="F-15",2,IF(L521="F-30",3,IF(L521="F-60",4,IF(L521="F-90",5,0)))),0),0)+IF(AND(O521="FIRE TEX 5062",E521="CJ",J521=4),VLOOKUP(_xlfn.MINIFS('FIRE TEX 5062'!$Q$3:$Q$34,'FIRE TEX 5062'!$Q$3:$Q$34,"&gt;="&amp;M521),'FIRE TEX 5062'!$Q$3:$U$34,IF(L521="F-15",2,IF(L521="F-30",3,IF(L521="F-60",4,IF(L521="F-90",5,0)))),0),0)+IF(AND(O521="FIRE TEX 5090",OR(E521="IN",E521="C",E521="Z",E521="L"),J521=3),VLOOKUP(_xlfn.MINIFS('FIRE TEX 5090'!$B$5:$B$43,'FIRE TEX 5090'!$B$5:$B$43,"&gt;="&amp;M521),'FIRE TEX 5090'!$B$5:$H$43,IF(L521="F-15",2,IF(L521="F-30",3,IF(L521="F-60",4,IF(L521="F-90",5,IF(L521="F-120",6,IF(L521="F-150",7,0)))))),0),0)+IF(AND(O521="FIRE TEX 5090",OR(E521="IN",E521="C",E521="Z",E521="L"),J521=4),VLOOKUP(_xlfn.MINIFS('FIRE TEX 5090'!$J$5:$J$43,'FIRE TEX 5090'!$J$5:$J$43,"&gt;="&amp;M521),'FIRE TEX 5090'!$J$5:$P$43,IF(L521="F-15",2,IF(L521="F-30",3,IF(L521="F-60",4,IF(L521="F-90",5,IF(L521="F-120",6,IF(L521="F-150",7,0)))))),0),0)+IF(AND(O521="FIRE TEX 5090",E521="CJ",J521=3),VLOOKUP(_xlfn.MINIFS('FIRE TEX 5090'!$R$5:$R$30,'FIRE TEX 5090'!$R$5:$R$30,"&gt;="&amp;M521),'FIRE TEX 5090'!$R$5:$W$30,IF(L521="F-15",2,IF(L521="F-30",3,IF(L521="F-60",4,IF(L521="F-90",5,IF(L521="F-120",6,IF(L521="F-150",7,0)))))),0),0)+IF(AND(O521="FIRE TEX 5090",E521="CJ",J521=4),VLOOKUP(_xlfn.MINIFS('FIRE TEX 5090'!$Y$5:$Y$39,'FIRE TEX 5090'!$Y$5:$Y$39,"&gt;="&amp;M521),'FIRE TEX 5090'!$Y$5:$AD$39,IF(L521="F-15",2,IF(L521="F-30",3,IF(L521="F-60",4,IF(L521="F-90",5,IF(L521="F-120",6,IF(L521="F-150",7,0)))))),0),0)+IF(AND(O521="FIRE TEX 5120",OR(E521="IN",E521="C",E521="Z",E521="L"),J521=3),VLOOKUP(_xlfn.MINIFS('FIRE TEX 5120'!$B$5:$B$40,'FIRE TEX 5120'!$B$5:$B$40,"&gt;="&amp;M521),'FIRE TEX 5120'!$B$5:$G$40,IF(L521="F-15",2,IF(L521="F-30",3,IF(L521="F-60",4,IF(L521="F-90",5,IF(L521="F-120",6,0))))),0),0)+IF(AND(O521="FIRE TEX 5120",OR(E521="IN",E521="C",E521="Z",E521="L"),J521=4),VLOOKUP(_xlfn.MINIFS('FIRE TEX 5120'!$H$4:$H$40,'FIRE TEX 5120'!$H$4:$H$40,"&gt;="&amp;M521),'FIRE TEX 5120'!$H$4:$M$40,IF(L521="F-15",2,IF(L521="F-30",3,IF(L521="F-60",4,IF(L521="F-90",5,IF(L521="F-120",6,0))))),0),0)+IF(AND(O521="FIRE TEX 5120",E521="CJ"),VLOOKUP(_xlfn.MINIFS('FIRE TEX 5120'!$O$5:$O$40,'FIRE TEX 5120'!$O$5:$O$40,"&gt;="&amp;M521),'FIRE TEX 5120'!$O$5:$T$40,IF(L521="F-15",2,IF(L521="F-30",3,IF(L521="F-60",4,IF(L521="F-90",5,IF(L521="F-120",6,0))))),0),0)</f>
        <v>0</v>
      </c>
      <c r="Q521" s="46">
        <f t="shared" si="59"/>
        <v>0</v>
      </c>
      <c r="R521" s="46">
        <f t="shared" si="60"/>
        <v>0</v>
      </c>
      <c r="S521" s="46" t="e">
        <f t="shared" si="61"/>
        <v>#VALUE!</v>
      </c>
      <c r="T521" s="677">
        <f t="shared" si="62"/>
        <v>0</v>
      </c>
      <c r="U521" s="80">
        <f>(IF(O521="Stofire",(S521*#REF!),0))+(IF(O521="Fire Control",(S521*$U$2),0))+(IF(O521="Fire Tex",(S521*$U$3),0))+(IF(O521="WB7",(S521*#REF!),0)+(IF(O521="FX 2003",(S521*$U$5),0)))</f>
        <v>0</v>
      </c>
      <c r="V521" s="651">
        <f t="shared" si="63"/>
        <v>0</v>
      </c>
    </row>
    <row r="522" spans="4:22" x14ac:dyDescent="0.25">
      <c r="D522" s="118">
        <f>+CUBICACION!D521</f>
        <v>0</v>
      </c>
      <c r="E522" s="118">
        <f>+CUBICACION!F521</f>
        <v>0</v>
      </c>
      <c r="F522" s="118">
        <f>+CUBICACION!E521</f>
        <v>0</v>
      </c>
      <c r="G522" s="118">
        <v>12</v>
      </c>
      <c r="H522" s="118">
        <v>2</v>
      </c>
      <c r="I522" s="820">
        <v>26385</v>
      </c>
      <c r="J522" s="118">
        <f>+CUBICACION!J521</f>
        <v>0</v>
      </c>
      <c r="K522" s="118">
        <v>3301</v>
      </c>
      <c r="L522" s="118">
        <f>+CUBICACION!L521</f>
        <v>0</v>
      </c>
      <c r="M522" s="64">
        <f>+CUBICACION!M521</f>
        <v>0</v>
      </c>
      <c r="N522" s="824" t="str">
        <f>+CUBICACION!N521</f>
        <v/>
      </c>
      <c r="O522" s="675">
        <f>+CUBICACION!O521</f>
        <v>0</v>
      </c>
      <c r="P522" s="15">
        <f>IF(O522="Fire Control",VLOOKUP(_xlfn.MINIFS('FIRE CONTROL'!$C$4:$C$37,'FIRE CONTROL'!$C$4:$C$37,"&gt;="&amp;M522),'FIRE CONTROL'!$C$4:$G$37,IF(L522="F-15",2,IF(L522="F-30",3,IF(L522="F-60",4,IF(L522="F-90",5,0)))),0),0)+IF(AND(O522="FIRE TEX 5062",OR(E522="IN",E522="C",E522="Z",E522="L"),J522=3),VLOOKUP(_xlfn.MINIFS('FIRE TEX 5062'!$B$4:$B$34,'FIRE TEX 5062'!$B$4:$B$34,"&gt;="&amp;M522),'FIRE TEX 5062'!$B$4:$F$34,IF(L522="F-15",2,IF(L522="F-30",3,IF(L522="F-60",4,IF(L522="F-90",5,0)))),0),0)+IF(AND(O522="FIRE TEX 5062",OR(E522="IN",E522="C",E522="Z",E522="L"),J522=4),VLOOKUP(_xlfn.MINIFS('FIRE TEX 5062'!$G$4:$G$34,'FIRE TEX 5062'!$G$4:$G$34,"&gt;="&amp;M522),'FIRE TEX 5062'!$G$4:$K$34,IF(L522="F-15",2,IF(L522="F-30",3,IF(L522="F-60",4,IF(L522="F-90",5,0)))),0),0)+IF(AND(O522="FIRE TEX 5062",E522="CJ",J522=3),VLOOKUP(_xlfn.MINIFS('FIRE TEX 5062'!$L$4:$L$34,'FIRE TEX 5062'!$L$4:$L$34,"&gt;="&amp;M522),'FIRE TEX 5062'!$L$4:$P$34,IF(L522="F-15",2,IF(L522="F-30",3,IF(L522="F-60",4,IF(L522="F-90",5,0)))),0),0)+IF(AND(O522="FIRE TEX 5062",E522="CJ",J522=4),VLOOKUP(_xlfn.MINIFS('FIRE TEX 5062'!$Q$3:$Q$34,'FIRE TEX 5062'!$Q$3:$Q$34,"&gt;="&amp;M522),'FIRE TEX 5062'!$Q$3:$U$34,IF(L522="F-15",2,IF(L522="F-30",3,IF(L522="F-60",4,IF(L522="F-90",5,0)))),0),0)+IF(AND(O522="FIRE TEX 5090",OR(E522="IN",E522="C",E522="Z",E522="L"),J522=3),VLOOKUP(_xlfn.MINIFS('FIRE TEX 5090'!$B$5:$B$43,'FIRE TEX 5090'!$B$5:$B$43,"&gt;="&amp;M522),'FIRE TEX 5090'!$B$5:$H$43,IF(L522="F-15",2,IF(L522="F-30",3,IF(L522="F-60",4,IF(L522="F-90",5,IF(L522="F-120",6,IF(L522="F-150",7,0)))))),0),0)+IF(AND(O522="FIRE TEX 5090",OR(E522="IN",E522="C",E522="Z",E522="L"),J522=4),VLOOKUP(_xlfn.MINIFS('FIRE TEX 5090'!$J$5:$J$43,'FIRE TEX 5090'!$J$5:$J$43,"&gt;="&amp;M522),'FIRE TEX 5090'!$J$5:$P$43,IF(L522="F-15",2,IF(L522="F-30",3,IF(L522="F-60",4,IF(L522="F-90",5,IF(L522="F-120",6,IF(L522="F-150",7,0)))))),0),0)+IF(AND(O522="FIRE TEX 5090",E522="CJ",J522=3),VLOOKUP(_xlfn.MINIFS('FIRE TEX 5090'!$R$5:$R$30,'FIRE TEX 5090'!$R$5:$R$30,"&gt;="&amp;M522),'FIRE TEX 5090'!$R$5:$W$30,IF(L522="F-15",2,IF(L522="F-30",3,IF(L522="F-60",4,IF(L522="F-90",5,IF(L522="F-120",6,IF(L522="F-150",7,0)))))),0),0)+IF(AND(O522="FIRE TEX 5090",E522="CJ",J522=4),VLOOKUP(_xlfn.MINIFS('FIRE TEX 5090'!$Y$5:$Y$39,'FIRE TEX 5090'!$Y$5:$Y$39,"&gt;="&amp;M522),'FIRE TEX 5090'!$Y$5:$AD$39,IF(L522="F-15",2,IF(L522="F-30",3,IF(L522="F-60",4,IF(L522="F-90",5,IF(L522="F-120",6,IF(L522="F-150",7,0)))))),0),0)+IF(AND(O522="FIRE TEX 5120",OR(E522="IN",E522="C",E522="Z",E522="L"),J522=3),VLOOKUP(_xlfn.MINIFS('FIRE TEX 5120'!$B$5:$B$40,'FIRE TEX 5120'!$B$5:$B$40,"&gt;="&amp;M522),'FIRE TEX 5120'!$B$5:$G$40,IF(L522="F-15",2,IF(L522="F-30",3,IF(L522="F-60",4,IF(L522="F-90",5,IF(L522="F-120",6,0))))),0),0)+IF(AND(O522="FIRE TEX 5120",OR(E522="IN",E522="C",E522="Z",E522="L"),J522=4),VLOOKUP(_xlfn.MINIFS('FIRE TEX 5120'!$H$4:$H$40,'FIRE TEX 5120'!$H$4:$H$40,"&gt;="&amp;M522),'FIRE TEX 5120'!$H$4:$M$40,IF(L522="F-15",2,IF(L522="F-30",3,IF(L522="F-60",4,IF(L522="F-90",5,IF(L522="F-120",6,0))))),0),0)+IF(AND(O522="FIRE TEX 5120",E522="CJ"),VLOOKUP(_xlfn.MINIFS('FIRE TEX 5120'!$O$5:$O$40,'FIRE TEX 5120'!$O$5:$O$40,"&gt;="&amp;M522),'FIRE TEX 5120'!$O$5:$T$40,IF(L522="F-15",2,IF(L522="F-30",3,IF(L522="F-60",4,IF(L522="F-90",5,IF(L522="F-120",6,0))))),0),0)</f>
        <v>0</v>
      </c>
      <c r="Q522" s="46">
        <f t="shared" si="59"/>
        <v>0</v>
      </c>
      <c r="R522" s="46">
        <f t="shared" si="60"/>
        <v>0</v>
      </c>
      <c r="S522" s="46" t="e">
        <f t="shared" si="61"/>
        <v>#VALUE!</v>
      </c>
      <c r="T522" s="677">
        <f t="shared" si="62"/>
        <v>0</v>
      </c>
      <c r="U522" s="80">
        <f>(IF(O522="Stofire",(S522*#REF!),0))+(IF(O522="Fire Control",(S522*$U$2),0))+(IF(O522="Fire Tex",(S522*$U$3),0))+(IF(O522="WB7",(S522*#REF!),0)+(IF(O522="FX 2003",(S522*$U$5),0)))</f>
        <v>0</v>
      </c>
      <c r="V522" s="651">
        <f t="shared" si="63"/>
        <v>0</v>
      </c>
    </row>
    <row r="523" spans="4:22" x14ac:dyDescent="0.25">
      <c r="D523" s="118">
        <f>+CUBICACION!D522</f>
        <v>0</v>
      </c>
      <c r="E523" s="118">
        <f>+CUBICACION!F522</f>
        <v>0</v>
      </c>
      <c r="F523" s="118">
        <f>+CUBICACION!E522</f>
        <v>0</v>
      </c>
      <c r="G523" s="118">
        <v>12</v>
      </c>
      <c r="H523" s="118">
        <v>2</v>
      </c>
      <c r="I523" s="820">
        <v>26385</v>
      </c>
      <c r="J523" s="118">
        <f>+CUBICACION!J522</f>
        <v>0</v>
      </c>
      <c r="K523" s="118">
        <v>3302</v>
      </c>
      <c r="L523" s="118">
        <f>+CUBICACION!L522</f>
        <v>0</v>
      </c>
      <c r="M523" s="64">
        <f>+CUBICACION!M522</f>
        <v>0</v>
      </c>
      <c r="N523" s="824" t="str">
        <f>+CUBICACION!N522</f>
        <v/>
      </c>
      <c r="O523" s="675">
        <f>+CUBICACION!O522</f>
        <v>0</v>
      </c>
      <c r="P523" s="15">
        <f>IF(O523="Fire Control",VLOOKUP(_xlfn.MINIFS('FIRE CONTROL'!$C$4:$C$37,'FIRE CONTROL'!$C$4:$C$37,"&gt;="&amp;M523),'FIRE CONTROL'!$C$4:$G$37,IF(L523="F-15",2,IF(L523="F-30",3,IF(L523="F-60",4,IF(L523="F-90",5,0)))),0),0)+IF(AND(O523="FIRE TEX 5062",OR(E523="IN",E523="C",E523="Z",E523="L"),J523=3),VLOOKUP(_xlfn.MINIFS('FIRE TEX 5062'!$B$4:$B$34,'FIRE TEX 5062'!$B$4:$B$34,"&gt;="&amp;M523),'FIRE TEX 5062'!$B$4:$F$34,IF(L523="F-15",2,IF(L523="F-30",3,IF(L523="F-60",4,IF(L523="F-90",5,0)))),0),0)+IF(AND(O523="FIRE TEX 5062",OR(E523="IN",E523="C",E523="Z",E523="L"),J523=4),VLOOKUP(_xlfn.MINIFS('FIRE TEX 5062'!$G$4:$G$34,'FIRE TEX 5062'!$G$4:$G$34,"&gt;="&amp;M523),'FIRE TEX 5062'!$G$4:$K$34,IF(L523="F-15",2,IF(L523="F-30",3,IF(L523="F-60",4,IF(L523="F-90",5,0)))),0),0)+IF(AND(O523="FIRE TEX 5062",E523="CJ",J523=3),VLOOKUP(_xlfn.MINIFS('FIRE TEX 5062'!$L$4:$L$34,'FIRE TEX 5062'!$L$4:$L$34,"&gt;="&amp;M523),'FIRE TEX 5062'!$L$4:$P$34,IF(L523="F-15",2,IF(L523="F-30",3,IF(L523="F-60",4,IF(L523="F-90",5,0)))),0),0)+IF(AND(O523="FIRE TEX 5062",E523="CJ",J523=4),VLOOKUP(_xlfn.MINIFS('FIRE TEX 5062'!$Q$3:$Q$34,'FIRE TEX 5062'!$Q$3:$Q$34,"&gt;="&amp;M523),'FIRE TEX 5062'!$Q$3:$U$34,IF(L523="F-15",2,IF(L523="F-30",3,IF(L523="F-60",4,IF(L523="F-90",5,0)))),0),0)+IF(AND(O523="FIRE TEX 5090",OR(E523="IN",E523="C",E523="Z",E523="L"),J523=3),VLOOKUP(_xlfn.MINIFS('FIRE TEX 5090'!$B$5:$B$43,'FIRE TEX 5090'!$B$5:$B$43,"&gt;="&amp;M523),'FIRE TEX 5090'!$B$5:$H$43,IF(L523="F-15",2,IF(L523="F-30",3,IF(L523="F-60",4,IF(L523="F-90",5,IF(L523="F-120",6,IF(L523="F-150",7,0)))))),0),0)+IF(AND(O523="FIRE TEX 5090",OR(E523="IN",E523="C",E523="Z",E523="L"),J523=4),VLOOKUP(_xlfn.MINIFS('FIRE TEX 5090'!$J$5:$J$43,'FIRE TEX 5090'!$J$5:$J$43,"&gt;="&amp;M523),'FIRE TEX 5090'!$J$5:$P$43,IF(L523="F-15",2,IF(L523="F-30",3,IF(L523="F-60",4,IF(L523="F-90",5,IF(L523="F-120",6,IF(L523="F-150",7,0)))))),0),0)+IF(AND(O523="FIRE TEX 5090",E523="CJ",J523=3),VLOOKUP(_xlfn.MINIFS('FIRE TEX 5090'!$R$5:$R$30,'FIRE TEX 5090'!$R$5:$R$30,"&gt;="&amp;M523),'FIRE TEX 5090'!$R$5:$W$30,IF(L523="F-15",2,IF(L523="F-30",3,IF(L523="F-60",4,IF(L523="F-90",5,IF(L523="F-120",6,IF(L523="F-150",7,0)))))),0),0)+IF(AND(O523="FIRE TEX 5090",E523="CJ",J523=4),VLOOKUP(_xlfn.MINIFS('FIRE TEX 5090'!$Y$5:$Y$39,'FIRE TEX 5090'!$Y$5:$Y$39,"&gt;="&amp;M523),'FIRE TEX 5090'!$Y$5:$AD$39,IF(L523="F-15",2,IF(L523="F-30",3,IF(L523="F-60",4,IF(L523="F-90",5,IF(L523="F-120",6,IF(L523="F-150",7,0)))))),0),0)+IF(AND(O523="FIRE TEX 5120",OR(E523="IN",E523="C",E523="Z",E523="L"),J523=3),VLOOKUP(_xlfn.MINIFS('FIRE TEX 5120'!$B$5:$B$40,'FIRE TEX 5120'!$B$5:$B$40,"&gt;="&amp;M523),'FIRE TEX 5120'!$B$5:$G$40,IF(L523="F-15",2,IF(L523="F-30",3,IF(L523="F-60",4,IF(L523="F-90",5,IF(L523="F-120",6,0))))),0),0)+IF(AND(O523="FIRE TEX 5120",OR(E523="IN",E523="C",E523="Z",E523="L"),J523=4),VLOOKUP(_xlfn.MINIFS('FIRE TEX 5120'!$H$4:$H$40,'FIRE TEX 5120'!$H$4:$H$40,"&gt;="&amp;M523),'FIRE TEX 5120'!$H$4:$M$40,IF(L523="F-15",2,IF(L523="F-30",3,IF(L523="F-60",4,IF(L523="F-90",5,IF(L523="F-120",6,0))))),0),0)+IF(AND(O523="FIRE TEX 5120",E523="CJ"),VLOOKUP(_xlfn.MINIFS('FIRE TEX 5120'!$O$5:$O$40,'FIRE TEX 5120'!$O$5:$O$40,"&gt;="&amp;M523),'FIRE TEX 5120'!$O$5:$T$40,IF(L523="F-15",2,IF(L523="F-30",3,IF(L523="F-60",4,IF(L523="F-90",5,IF(L523="F-120",6,0))))),0),0)</f>
        <v>0</v>
      </c>
      <c r="Q523" s="46">
        <f t="shared" si="59"/>
        <v>0</v>
      </c>
      <c r="R523" s="46">
        <f t="shared" si="60"/>
        <v>0</v>
      </c>
      <c r="S523" s="46" t="e">
        <f t="shared" si="61"/>
        <v>#VALUE!</v>
      </c>
      <c r="T523" s="677">
        <f t="shared" si="62"/>
        <v>0</v>
      </c>
      <c r="U523" s="80">
        <f>(IF(O523="Stofire",(S523*#REF!),0))+(IF(O523="Fire Control",(S523*$U$2),0))+(IF(O523="Fire Tex",(S523*$U$3),0))+(IF(O523="WB7",(S523*#REF!),0)+(IF(O523="FX 2003",(S523*$U$5),0)))</f>
        <v>0</v>
      </c>
      <c r="V523" s="651">
        <f t="shared" si="63"/>
        <v>0</v>
      </c>
    </row>
    <row r="524" spans="4:22" x14ac:dyDescent="0.25">
      <c r="D524" s="118">
        <f>+CUBICACION!D523</f>
        <v>0</v>
      </c>
      <c r="E524" s="118">
        <f>+CUBICACION!F523</f>
        <v>0</v>
      </c>
      <c r="F524" s="118">
        <f>+CUBICACION!E523</f>
        <v>0</v>
      </c>
      <c r="G524" s="118">
        <v>12</v>
      </c>
      <c r="H524" s="118">
        <v>2</v>
      </c>
      <c r="I524" s="820">
        <v>26385</v>
      </c>
      <c r="J524" s="118">
        <f>+CUBICACION!J523</f>
        <v>0</v>
      </c>
      <c r="K524" s="118">
        <v>3303</v>
      </c>
      <c r="L524" s="118">
        <f>+CUBICACION!L523</f>
        <v>0</v>
      </c>
      <c r="M524" s="64">
        <f>+CUBICACION!M523</f>
        <v>0</v>
      </c>
      <c r="N524" s="824" t="str">
        <f>+CUBICACION!N523</f>
        <v/>
      </c>
      <c r="O524" s="675">
        <f>+CUBICACION!O523</f>
        <v>0</v>
      </c>
      <c r="P524" s="15">
        <f>IF(O524="Fire Control",VLOOKUP(_xlfn.MINIFS('FIRE CONTROL'!$C$4:$C$37,'FIRE CONTROL'!$C$4:$C$37,"&gt;="&amp;M524),'FIRE CONTROL'!$C$4:$G$37,IF(L524="F-15",2,IF(L524="F-30",3,IF(L524="F-60",4,IF(L524="F-90",5,0)))),0),0)+IF(AND(O524="FIRE TEX 5062",OR(E524="IN",E524="C",E524="Z",E524="L"),J524=3),VLOOKUP(_xlfn.MINIFS('FIRE TEX 5062'!$B$4:$B$34,'FIRE TEX 5062'!$B$4:$B$34,"&gt;="&amp;M524),'FIRE TEX 5062'!$B$4:$F$34,IF(L524="F-15",2,IF(L524="F-30",3,IF(L524="F-60",4,IF(L524="F-90",5,0)))),0),0)+IF(AND(O524="FIRE TEX 5062",OR(E524="IN",E524="C",E524="Z",E524="L"),J524=4),VLOOKUP(_xlfn.MINIFS('FIRE TEX 5062'!$G$4:$G$34,'FIRE TEX 5062'!$G$4:$G$34,"&gt;="&amp;M524),'FIRE TEX 5062'!$G$4:$K$34,IF(L524="F-15",2,IF(L524="F-30",3,IF(L524="F-60",4,IF(L524="F-90",5,0)))),0),0)+IF(AND(O524="FIRE TEX 5062",E524="CJ",J524=3),VLOOKUP(_xlfn.MINIFS('FIRE TEX 5062'!$L$4:$L$34,'FIRE TEX 5062'!$L$4:$L$34,"&gt;="&amp;M524),'FIRE TEX 5062'!$L$4:$P$34,IF(L524="F-15",2,IF(L524="F-30",3,IF(L524="F-60",4,IF(L524="F-90",5,0)))),0),0)+IF(AND(O524="FIRE TEX 5062",E524="CJ",J524=4),VLOOKUP(_xlfn.MINIFS('FIRE TEX 5062'!$Q$3:$Q$34,'FIRE TEX 5062'!$Q$3:$Q$34,"&gt;="&amp;M524),'FIRE TEX 5062'!$Q$3:$U$34,IF(L524="F-15",2,IF(L524="F-30",3,IF(L524="F-60",4,IF(L524="F-90",5,0)))),0),0)+IF(AND(O524="FIRE TEX 5090",OR(E524="IN",E524="C",E524="Z",E524="L"),J524=3),VLOOKUP(_xlfn.MINIFS('FIRE TEX 5090'!$B$5:$B$43,'FIRE TEX 5090'!$B$5:$B$43,"&gt;="&amp;M524),'FIRE TEX 5090'!$B$5:$H$43,IF(L524="F-15",2,IF(L524="F-30",3,IF(L524="F-60",4,IF(L524="F-90",5,IF(L524="F-120",6,IF(L524="F-150",7,0)))))),0),0)+IF(AND(O524="FIRE TEX 5090",OR(E524="IN",E524="C",E524="Z",E524="L"),J524=4),VLOOKUP(_xlfn.MINIFS('FIRE TEX 5090'!$J$5:$J$43,'FIRE TEX 5090'!$J$5:$J$43,"&gt;="&amp;M524),'FIRE TEX 5090'!$J$5:$P$43,IF(L524="F-15",2,IF(L524="F-30",3,IF(L524="F-60",4,IF(L524="F-90",5,IF(L524="F-120",6,IF(L524="F-150",7,0)))))),0),0)+IF(AND(O524="FIRE TEX 5090",E524="CJ",J524=3),VLOOKUP(_xlfn.MINIFS('FIRE TEX 5090'!$R$5:$R$30,'FIRE TEX 5090'!$R$5:$R$30,"&gt;="&amp;M524),'FIRE TEX 5090'!$R$5:$W$30,IF(L524="F-15",2,IF(L524="F-30",3,IF(L524="F-60",4,IF(L524="F-90",5,IF(L524="F-120",6,IF(L524="F-150",7,0)))))),0),0)+IF(AND(O524="FIRE TEX 5090",E524="CJ",J524=4),VLOOKUP(_xlfn.MINIFS('FIRE TEX 5090'!$Y$5:$Y$39,'FIRE TEX 5090'!$Y$5:$Y$39,"&gt;="&amp;M524),'FIRE TEX 5090'!$Y$5:$AD$39,IF(L524="F-15",2,IF(L524="F-30",3,IF(L524="F-60",4,IF(L524="F-90",5,IF(L524="F-120",6,IF(L524="F-150",7,0)))))),0),0)+IF(AND(O524="FIRE TEX 5120",OR(E524="IN",E524="C",E524="Z",E524="L"),J524=3),VLOOKUP(_xlfn.MINIFS('FIRE TEX 5120'!$B$5:$B$40,'FIRE TEX 5120'!$B$5:$B$40,"&gt;="&amp;M524),'FIRE TEX 5120'!$B$5:$G$40,IF(L524="F-15",2,IF(L524="F-30",3,IF(L524="F-60",4,IF(L524="F-90",5,IF(L524="F-120",6,0))))),0),0)+IF(AND(O524="FIRE TEX 5120",OR(E524="IN",E524="C",E524="Z",E524="L"),J524=4),VLOOKUP(_xlfn.MINIFS('FIRE TEX 5120'!$H$4:$H$40,'FIRE TEX 5120'!$H$4:$H$40,"&gt;="&amp;M524),'FIRE TEX 5120'!$H$4:$M$40,IF(L524="F-15",2,IF(L524="F-30",3,IF(L524="F-60",4,IF(L524="F-90",5,IF(L524="F-120",6,0))))),0),0)+IF(AND(O524="FIRE TEX 5120",E524="CJ"),VLOOKUP(_xlfn.MINIFS('FIRE TEX 5120'!$O$5:$O$40,'FIRE TEX 5120'!$O$5:$O$40,"&gt;="&amp;M524),'FIRE TEX 5120'!$O$5:$T$40,IF(L524="F-15",2,IF(L524="F-30",3,IF(L524="F-60",4,IF(L524="F-90",5,IF(L524="F-120",6,0))))),0),0)</f>
        <v>0</v>
      </c>
      <c r="Q524" s="46">
        <f t="shared" si="59"/>
        <v>0</v>
      </c>
      <c r="R524" s="46">
        <f t="shared" si="60"/>
        <v>0</v>
      </c>
      <c r="S524" s="46" t="e">
        <f t="shared" si="61"/>
        <v>#VALUE!</v>
      </c>
      <c r="T524" s="677">
        <f t="shared" si="62"/>
        <v>0</v>
      </c>
      <c r="U524" s="80">
        <f>(IF(O524="Stofire",(S524*#REF!),0))+(IF(O524="Fire Control",(S524*$U$2),0))+(IF(O524="Fire Tex",(S524*$U$3),0))+(IF(O524="WB7",(S524*#REF!),0)+(IF(O524="FX 2003",(S524*$U$5),0)))</f>
        <v>0</v>
      </c>
      <c r="V524" s="651">
        <f t="shared" si="63"/>
        <v>0</v>
      </c>
    </row>
    <row r="525" spans="4:22" x14ac:dyDescent="0.25">
      <c r="D525" s="118">
        <f>+CUBICACION!D524</f>
        <v>0</v>
      </c>
      <c r="E525" s="118">
        <f>+CUBICACION!F524</f>
        <v>0</v>
      </c>
      <c r="F525" s="118">
        <f>+CUBICACION!E524</f>
        <v>0</v>
      </c>
      <c r="G525" s="118">
        <v>12</v>
      </c>
      <c r="H525" s="118">
        <v>2</v>
      </c>
      <c r="I525" s="820">
        <v>26385</v>
      </c>
      <c r="J525" s="118">
        <f>+CUBICACION!J524</f>
        <v>0</v>
      </c>
      <c r="K525" s="118">
        <v>3304</v>
      </c>
      <c r="L525" s="118">
        <f>+CUBICACION!L524</f>
        <v>0</v>
      </c>
      <c r="M525" s="64">
        <f>+CUBICACION!M524</f>
        <v>0</v>
      </c>
      <c r="N525" s="824" t="str">
        <f>+CUBICACION!N524</f>
        <v/>
      </c>
      <c r="O525" s="675">
        <f>+CUBICACION!O524</f>
        <v>0</v>
      </c>
      <c r="P525" s="15">
        <f>IF(O525="Fire Control",VLOOKUP(_xlfn.MINIFS('FIRE CONTROL'!$C$4:$C$37,'FIRE CONTROL'!$C$4:$C$37,"&gt;="&amp;M525),'FIRE CONTROL'!$C$4:$G$37,IF(L525="F-15",2,IF(L525="F-30",3,IF(L525="F-60",4,IF(L525="F-90",5,0)))),0),0)+IF(AND(O525="FIRE TEX 5062",OR(E525="IN",E525="C",E525="Z",E525="L"),J525=3),VLOOKUP(_xlfn.MINIFS('FIRE TEX 5062'!$B$4:$B$34,'FIRE TEX 5062'!$B$4:$B$34,"&gt;="&amp;M525),'FIRE TEX 5062'!$B$4:$F$34,IF(L525="F-15",2,IF(L525="F-30",3,IF(L525="F-60",4,IF(L525="F-90",5,0)))),0),0)+IF(AND(O525="FIRE TEX 5062",OR(E525="IN",E525="C",E525="Z",E525="L"),J525=4),VLOOKUP(_xlfn.MINIFS('FIRE TEX 5062'!$G$4:$G$34,'FIRE TEX 5062'!$G$4:$G$34,"&gt;="&amp;M525),'FIRE TEX 5062'!$G$4:$K$34,IF(L525="F-15",2,IF(L525="F-30",3,IF(L525="F-60",4,IF(L525="F-90",5,0)))),0),0)+IF(AND(O525="FIRE TEX 5062",E525="CJ",J525=3),VLOOKUP(_xlfn.MINIFS('FIRE TEX 5062'!$L$4:$L$34,'FIRE TEX 5062'!$L$4:$L$34,"&gt;="&amp;M525),'FIRE TEX 5062'!$L$4:$P$34,IF(L525="F-15",2,IF(L525="F-30",3,IF(L525="F-60",4,IF(L525="F-90",5,0)))),0),0)+IF(AND(O525="FIRE TEX 5062",E525="CJ",J525=4),VLOOKUP(_xlfn.MINIFS('FIRE TEX 5062'!$Q$3:$Q$34,'FIRE TEX 5062'!$Q$3:$Q$34,"&gt;="&amp;M525),'FIRE TEX 5062'!$Q$3:$U$34,IF(L525="F-15",2,IF(L525="F-30",3,IF(L525="F-60",4,IF(L525="F-90",5,0)))),0),0)+IF(AND(O525="FIRE TEX 5090",OR(E525="IN",E525="C",E525="Z",E525="L"),J525=3),VLOOKUP(_xlfn.MINIFS('FIRE TEX 5090'!$B$5:$B$43,'FIRE TEX 5090'!$B$5:$B$43,"&gt;="&amp;M525),'FIRE TEX 5090'!$B$5:$H$43,IF(L525="F-15",2,IF(L525="F-30",3,IF(L525="F-60",4,IF(L525="F-90",5,IF(L525="F-120",6,IF(L525="F-150",7,0)))))),0),0)+IF(AND(O525="FIRE TEX 5090",OR(E525="IN",E525="C",E525="Z",E525="L"),J525=4),VLOOKUP(_xlfn.MINIFS('FIRE TEX 5090'!$J$5:$J$43,'FIRE TEX 5090'!$J$5:$J$43,"&gt;="&amp;M525),'FIRE TEX 5090'!$J$5:$P$43,IF(L525="F-15",2,IF(L525="F-30",3,IF(L525="F-60",4,IF(L525="F-90",5,IF(L525="F-120",6,IF(L525="F-150",7,0)))))),0),0)+IF(AND(O525="FIRE TEX 5090",E525="CJ",J525=3),VLOOKUP(_xlfn.MINIFS('FIRE TEX 5090'!$R$5:$R$30,'FIRE TEX 5090'!$R$5:$R$30,"&gt;="&amp;M525),'FIRE TEX 5090'!$R$5:$W$30,IF(L525="F-15",2,IF(L525="F-30",3,IF(L525="F-60",4,IF(L525="F-90",5,IF(L525="F-120",6,IF(L525="F-150",7,0)))))),0),0)+IF(AND(O525="FIRE TEX 5090",E525="CJ",J525=4),VLOOKUP(_xlfn.MINIFS('FIRE TEX 5090'!$Y$5:$Y$39,'FIRE TEX 5090'!$Y$5:$Y$39,"&gt;="&amp;M525),'FIRE TEX 5090'!$Y$5:$AD$39,IF(L525="F-15",2,IF(L525="F-30",3,IF(L525="F-60",4,IF(L525="F-90",5,IF(L525="F-120",6,IF(L525="F-150",7,0)))))),0),0)+IF(AND(O525="FIRE TEX 5120",OR(E525="IN",E525="C",E525="Z",E525="L"),J525=3),VLOOKUP(_xlfn.MINIFS('FIRE TEX 5120'!$B$5:$B$40,'FIRE TEX 5120'!$B$5:$B$40,"&gt;="&amp;M525),'FIRE TEX 5120'!$B$5:$G$40,IF(L525="F-15",2,IF(L525="F-30",3,IF(L525="F-60",4,IF(L525="F-90",5,IF(L525="F-120",6,0))))),0),0)+IF(AND(O525="FIRE TEX 5120",OR(E525="IN",E525="C",E525="Z",E525="L"),J525=4),VLOOKUP(_xlfn.MINIFS('FIRE TEX 5120'!$H$4:$H$40,'FIRE TEX 5120'!$H$4:$H$40,"&gt;="&amp;M525),'FIRE TEX 5120'!$H$4:$M$40,IF(L525="F-15",2,IF(L525="F-30",3,IF(L525="F-60",4,IF(L525="F-90",5,IF(L525="F-120",6,0))))),0),0)+IF(AND(O525="FIRE TEX 5120",E525="CJ"),VLOOKUP(_xlfn.MINIFS('FIRE TEX 5120'!$O$5:$O$40,'FIRE TEX 5120'!$O$5:$O$40,"&gt;="&amp;M525),'FIRE TEX 5120'!$O$5:$T$40,IF(L525="F-15",2,IF(L525="F-30",3,IF(L525="F-60",4,IF(L525="F-90",5,IF(L525="F-120",6,0))))),0),0)</f>
        <v>0</v>
      </c>
      <c r="Q525" s="46">
        <f t="shared" si="59"/>
        <v>0</v>
      </c>
      <c r="R525" s="46">
        <f t="shared" si="60"/>
        <v>0</v>
      </c>
      <c r="S525" s="46" t="e">
        <f t="shared" si="61"/>
        <v>#VALUE!</v>
      </c>
      <c r="T525" s="677">
        <f t="shared" si="62"/>
        <v>0</v>
      </c>
      <c r="U525" s="80">
        <f>(IF(O525="Stofire",(S525*#REF!),0))+(IF(O525="Fire Control",(S525*$U$2),0))+(IF(O525="Fire Tex",(S525*$U$3),0))+(IF(O525="WB7",(S525*#REF!),0)+(IF(O525="FX 2003",(S525*$U$5),0)))</f>
        <v>0</v>
      </c>
      <c r="V525" s="651">
        <f t="shared" si="63"/>
        <v>0</v>
      </c>
    </row>
    <row r="526" spans="4:22" x14ac:dyDescent="0.25">
      <c r="D526" s="118">
        <f>+CUBICACION!D525</f>
        <v>0</v>
      </c>
      <c r="E526" s="118">
        <f>+CUBICACION!F525</f>
        <v>0</v>
      </c>
      <c r="F526" s="118">
        <f>+CUBICACION!E525</f>
        <v>0</v>
      </c>
      <c r="G526" s="118">
        <v>12</v>
      </c>
      <c r="H526" s="118">
        <v>2</v>
      </c>
      <c r="I526" s="820">
        <v>26385</v>
      </c>
      <c r="J526" s="118">
        <f>+CUBICACION!J525</f>
        <v>0</v>
      </c>
      <c r="K526" s="118">
        <v>3305</v>
      </c>
      <c r="L526" s="118">
        <f>+CUBICACION!L525</f>
        <v>0</v>
      </c>
      <c r="M526" s="64">
        <f>+CUBICACION!M525</f>
        <v>0</v>
      </c>
      <c r="N526" s="824" t="str">
        <f>+CUBICACION!N525</f>
        <v/>
      </c>
      <c r="O526" s="675">
        <f>+CUBICACION!O525</f>
        <v>0</v>
      </c>
      <c r="P526" s="15">
        <f>IF(O526="Fire Control",VLOOKUP(_xlfn.MINIFS('FIRE CONTROL'!$C$4:$C$37,'FIRE CONTROL'!$C$4:$C$37,"&gt;="&amp;M526),'FIRE CONTROL'!$C$4:$G$37,IF(L526="F-15",2,IF(L526="F-30",3,IF(L526="F-60",4,IF(L526="F-90",5,0)))),0),0)+IF(AND(O526="FIRE TEX 5062",OR(E526="IN",E526="C",E526="Z",E526="L"),J526=3),VLOOKUP(_xlfn.MINIFS('FIRE TEX 5062'!$B$4:$B$34,'FIRE TEX 5062'!$B$4:$B$34,"&gt;="&amp;M526),'FIRE TEX 5062'!$B$4:$F$34,IF(L526="F-15",2,IF(L526="F-30",3,IF(L526="F-60",4,IF(L526="F-90",5,0)))),0),0)+IF(AND(O526="FIRE TEX 5062",OR(E526="IN",E526="C",E526="Z",E526="L"),J526=4),VLOOKUP(_xlfn.MINIFS('FIRE TEX 5062'!$G$4:$G$34,'FIRE TEX 5062'!$G$4:$G$34,"&gt;="&amp;M526),'FIRE TEX 5062'!$G$4:$K$34,IF(L526="F-15",2,IF(L526="F-30",3,IF(L526="F-60",4,IF(L526="F-90",5,0)))),0),0)+IF(AND(O526="FIRE TEX 5062",E526="CJ",J526=3),VLOOKUP(_xlfn.MINIFS('FIRE TEX 5062'!$L$4:$L$34,'FIRE TEX 5062'!$L$4:$L$34,"&gt;="&amp;M526),'FIRE TEX 5062'!$L$4:$P$34,IF(L526="F-15",2,IF(L526="F-30",3,IF(L526="F-60",4,IF(L526="F-90",5,0)))),0),0)+IF(AND(O526="FIRE TEX 5062",E526="CJ",J526=4),VLOOKUP(_xlfn.MINIFS('FIRE TEX 5062'!$Q$3:$Q$34,'FIRE TEX 5062'!$Q$3:$Q$34,"&gt;="&amp;M526),'FIRE TEX 5062'!$Q$3:$U$34,IF(L526="F-15",2,IF(L526="F-30",3,IF(L526="F-60",4,IF(L526="F-90",5,0)))),0),0)+IF(AND(O526="FIRE TEX 5090",OR(E526="IN",E526="C",E526="Z",E526="L"),J526=3),VLOOKUP(_xlfn.MINIFS('FIRE TEX 5090'!$B$5:$B$43,'FIRE TEX 5090'!$B$5:$B$43,"&gt;="&amp;M526),'FIRE TEX 5090'!$B$5:$H$43,IF(L526="F-15",2,IF(L526="F-30",3,IF(L526="F-60",4,IF(L526="F-90",5,IF(L526="F-120",6,IF(L526="F-150",7,0)))))),0),0)+IF(AND(O526="FIRE TEX 5090",OR(E526="IN",E526="C",E526="Z",E526="L"),J526=4),VLOOKUP(_xlfn.MINIFS('FIRE TEX 5090'!$J$5:$J$43,'FIRE TEX 5090'!$J$5:$J$43,"&gt;="&amp;M526),'FIRE TEX 5090'!$J$5:$P$43,IF(L526="F-15",2,IF(L526="F-30",3,IF(L526="F-60",4,IF(L526="F-90",5,IF(L526="F-120",6,IF(L526="F-150",7,0)))))),0),0)+IF(AND(O526="FIRE TEX 5090",E526="CJ",J526=3),VLOOKUP(_xlfn.MINIFS('FIRE TEX 5090'!$R$5:$R$30,'FIRE TEX 5090'!$R$5:$R$30,"&gt;="&amp;M526),'FIRE TEX 5090'!$R$5:$W$30,IF(L526="F-15",2,IF(L526="F-30",3,IF(L526="F-60",4,IF(L526="F-90",5,IF(L526="F-120",6,IF(L526="F-150",7,0)))))),0),0)+IF(AND(O526="FIRE TEX 5090",E526="CJ",J526=4),VLOOKUP(_xlfn.MINIFS('FIRE TEX 5090'!$Y$5:$Y$39,'FIRE TEX 5090'!$Y$5:$Y$39,"&gt;="&amp;M526),'FIRE TEX 5090'!$Y$5:$AD$39,IF(L526="F-15",2,IF(L526="F-30",3,IF(L526="F-60",4,IF(L526="F-90",5,IF(L526="F-120",6,IF(L526="F-150",7,0)))))),0),0)+IF(AND(O526="FIRE TEX 5120",OR(E526="IN",E526="C",E526="Z",E526="L"),J526=3),VLOOKUP(_xlfn.MINIFS('FIRE TEX 5120'!$B$5:$B$40,'FIRE TEX 5120'!$B$5:$B$40,"&gt;="&amp;M526),'FIRE TEX 5120'!$B$5:$G$40,IF(L526="F-15",2,IF(L526="F-30",3,IF(L526="F-60",4,IF(L526="F-90",5,IF(L526="F-120",6,0))))),0),0)+IF(AND(O526="FIRE TEX 5120",OR(E526="IN",E526="C",E526="Z",E526="L"),J526=4),VLOOKUP(_xlfn.MINIFS('FIRE TEX 5120'!$H$4:$H$40,'FIRE TEX 5120'!$H$4:$H$40,"&gt;="&amp;M526),'FIRE TEX 5120'!$H$4:$M$40,IF(L526="F-15",2,IF(L526="F-30",3,IF(L526="F-60",4,IF(L526="F-90",5,IF(L526="F-120",6,0))))),0),0)+IF(AND(O526="FIRE TEX 5120",E526="CJ"),VLOOKUP(_xlfn.MINIFS('FIRE TEX 5120'!$O$5:$O$40,'FIRE TEX 5120'!$O$5:$O$40,"&gt;="&amp;M526),'FIRE TEX 5120'!$O$5:$T$40,IF(L526="F-15",2,IF(L526="F-30",3,IF(L526="F-60",4,IF(L526="F-90",5,IF(L526="F-120",6,0))))),0),0)</f>
        <v>0</v>
      </c>
      <c r="Q526" s="46">
        <f t="shared" si="59"/>
        <v>0</v>
      </c>
      <c r="R526" s="46">
        <f t="shared" si="60"/>
        <v>0</v>
      </c>
      <c r="S526" s="46" t="e">
        <f t="shared" si="61"/>
        <v>#VALUE!</v>
      </c>
      <c r="T526" s="677">
        <f t="shared" si="62"/>
        <v>0</v>
      </c>
      <c r="U526" s="80">
        <f>(IF(O526="Stofire",(S526*#REF!),0))+(IF(O526="Fire Control",(S526*$U$2),0))+(IF(O526="Fire Tex",(S526*$U$3),0))+(IF(O526="WB7",(S526*#REF!),0)+(IF(O526="FX 2003",(S526*$U$5),0)))</f>
        <v>0</v>
      </c>
      <c r="V526" s="651">
        <f t="shared" si="63"/>
        <v>0</v>
      </c>
    </row>
    <row r="527" spans="4:22" x14ac:dyDescent="0.25">
      <c r="D527" s="118">
        <f>+CUBICACION!D526</f>
        <v>0</v>
      </c>
      <c r="E527" s="118">
        <f>+CUBICACION!F526</f>
        <v>0</v>
      </c>
      <c r="F527" s="118">
        <f>+CUBICACION!E526</f>
        <v>0</v>
      </c>
      <c r="G527" s="118">
        <v>12</v>
      </c>
      <c r="H527" s="118">
        <v>2</v>
      </c>
      <c r="I527" s="820">
        <v>26385</v>
      </c>
      <c r="J527" s="118">
        <f>+CUBICACION!J526</f>
        <v>0</v>
      </c>
      <c r="K527" s="118">
        <v>3306</v>
      </c>
      <c r="L527" s="118">
        <f>+CUBICACION!L526</f>
        <v>0</v>
      </c>
      <c r="M527" s="64">
        <f>+CUBICACION!M526</f>
        <v>0</v>
      </c>
      <c r="N527" s="824" t="str">
        <f>+CUBICACION!N526</f>
        <v/>
      </c>
      <c r="O527" s="675">
        <f>+CUBICACION!O526</f>
        <v>0</v>
      </c>
      <c r="P527" s="15">
        <f>IF(O527="Fire Control",VLOOKUP(_xlfn.MINIFS('FIRE CONTROL'!$C$4:$C$37,'FIRE CONTROL'!$C$4:$C$37,"&gt;="&amp;M527),'FIRE CONTROL'!$C$4:$G$37,IF(L527="F-15",2,IF(L527="F-30",3,IF(L527="F-60",4,IF(L527="F-90",5,0)))),0),0)+IF(AND(O527="FIRE TEX 5062",OR(E527="IN",E527="C",E527="Z",E527="L"),J527=3),VLOOKUP(_xlfn.MINIFS('FIRE TEX 5062'!$B$4:$B$34,'FIRE TEX 5062'!$B$4:$B$34,"&gt;="&amp;M527),'FIRE TEX 5062'!$B$4:$F$34,IF(L527="F-15",2,IF(L527="F-30",3,IF(L527="F-60",4,IF(L527="F-90",5,0)))),0),0)+IF(AND(O527="FIRE TEX 5062",OR(E527="IN",E527="C",E527="Z",E527="L"),J527=4),VLOOKUP(_xlfn.MINIFS('FIRE TEX 5062'!$G$4:$G$34,'FIRE TEX 5062'!$G$4:$G$34,"&gt;="&amp;M527),'FIRE TEX 5062'!$G$4:$K$34,IF(L527="F-15",2,IF(L527="F-30",3,IF(L527="F-60",4,IF(L527="F-90",5,0)))),0),0)+IF(AND(O527="FIRE TEX 5062",E527="CJ",J527=3),VLOOKUP(_xlfn.MINIFS('FIRE TEX 5062'!$L$4:$L$34,'FIRE TEX 5062'!$L$4:$L$34,"&gt;="&amp;M527),'FIRE TEX 5062'!$L$4:$P$34,IF(L527="F-15",2,IF(L527="F-30",3,IF(L527="F-60",4,IF(L527="F-90",5,0)))),0),0)+IF(AND(O527="FIRE TEX 5062",E527="CJ",J527=4),VLOOKUP(_xlfn.MINIFS('FIRE TEX 5062'!$Q$3:$Q$34,'FIRE TEX 5062'!$Q$3:$Q$34,"&gt;="&amp;M527),'FIRE TEX 5062'!$Q$3:$U$34,IF(L527="F-15",2,IF(L527="F-30",3,IF(L527="F-60",4,IF(L527="F-90",5,0)))),0),0)+IF(AND(O527="FIRE TEX 5090",OR(E527="IN",E527="C",E527="Z",E527="L"),J527=3),VLOOKUP(_xlfn.MINIFS('FIRE TEX 5090'!$B$5:$B$43,'FIRE TEX 5090'!$B$5:$B$43,"&gt;="&amp;M527),'FIRE TEX 5090'!$B$5:$H$43,IF(L527="F-15",2,IF(L527="F-30",3,IF(L527="F-60",4,IF(L527="F-90",5,IF(L527="F-120",6,IF(L527="F-150",7,0)))))),0),0)+IF(AND(O527="FIRE TEX 5090",OR(E527="IN",E527="C",E527="Z",E527="L"),J527=4),VLOOKUP(_xlfn.MINIFS('FIRE TEX 5090'!$J$5:$J$43,'FIRE TEX 5090'!$J$5:$J$43,"&gt;="&amp;M527),'FIRE TEX 5090'!$J$5:$P$43,IF(L527="F-15",2,IF(L527="F-30",3,IF(L527="F-60",4,IF(L527="F-90",5,IF(L527="F-120",6,IF(L527="F-150",7,0)))))),0),0)+IF(AND(O527="FIRE TEX 5090",E527="CJ",J527=3),VLOOKUP(_xlfn.MINIFS('FIRE TEX 5090'!$R$5:$R$30,'FIRE TEX 5090'!$R$5:$R$30,"&gt;="&amp;M527),'FIRE TEX 5090'!$R$5:$W$30,IF(L527="F-15",2,IF(L527="F-30",3,IF(L527="F-60",4,IF(L527="F-90",5,IF(L527="F-120",6,IF(L527="F-150",7,0)))))),0),0)+IF(AND(O527="FIRE TEX 5090",E527="CJ",J527=4),VLOOKUP(_xlfn.MINIFS('FIRE TEX 5090'!$Y$5:$Y$39,'FIRE TEX 5090'!$Y$5:$Y$39,"&gt;="&amp;M527),'FIRE TEX 5090'!$Y$5:$AD$39,IF(L527="F-15",2,IF(L527="F-30",3,IF(L527="F-60",4,IF(L527="F-90",5,IF(L527="F-120",6,IF(L527="F-150",7,0)))))),0),0)+IF(AND(O527="FIRE TEX 5120",OR(E527="IN",E527="C",E527="Z",E527="L"),J527=3),VLOOKUP(_xlfn.MINIFS('FIRE TEX 5120'!$B$5:$B$40,'FIRE TEX 5120'!$B$5:$B$40,"&gt;="&amp;M527),'FIRE TEX 5120'!$B$5:$G$40,IF(L527="F-15",2,IF(L527="F-30",3,IF(L527="F-60",4,IF(L527="F-90",5,IF(L527="F-120",6,0))))),0),0)+IF(AND(O527="FIRE TEX 5120",OR(E527="IN",E527="C",E527="Z",E527="L"),J527=4),VLOOKUP(_xlfn.MINIFS('FIRE TEX 5120'!$H$4:$H$40,'FIRE TEX 5120'!$H$4:$H$40,"&gt;="&amp;M527),'FIRE TEX 5120'!$H$4:$M$40,IF(L527="F-15",2,IF(L527="F-30",3,IF(L527="F-60",4,IF(L527="F-90",5,IF(L527="F-120",6,0))))),0),0)+IF(AND(O527="FIRE TEX 5120",E527="CJ"),VLOOKUP(_xlfn.MINIFS('FIRE TEX 5120'!$O$5:$O$40,'FIRE TEX 5120'!$O$5:$O$40,"&gt;="&amp;M527),'FIRE TEX 5120'!$O$5:$T$40,IF(L527="F-15",2,IF(L527="F-30",3,IF(L527="F-60",4,IF(L527="F-90",5,IF(L527="F-120",6,0))))),0),0)</f>
        <v>0</v>
      </c>
      <c r="Q527" s="46">
        <f t="shared" si="59"/>
        <v>0</v>
      </c>
      <c r="R527" s="46">
        <f t="shared" si="60"/>
        <v>0</v>
      </c>
      <c r="S527" s="46" t="e">
        <f t="shared" si="61"/>
        <v>#VALUE!</v>
      </c>
      <c r="T527" s="677">
        <f t="shared" si="62"/>
        <v>0</v>
      </c>
      <c r="U527" s="80">
        <f>(IF(O527="Stofire",(S527*#REF!),0))+(IF(O527="Fire Control",(S527*$U$2),0))+(IF(O527="Fire Tex",(S527*$U$3),0))+(IF(O527="WB7",(S527*#REF!),0)+(IF(O527="FX 2003",(S527*$U$5),0)))</f>
        <v>0</v>
      </c>
      <c r="V527" s="651">
        <f t="shared" si="63"/>
        <v>0</v>
      </c>
    </row>
    <row r="528" spans="4:22" x14ac:dyDescent="0.25">
      <c r="D528" s="118">
        <f>+CUBICACION!D527</f>
        <v>0</v>
      </c>
      <c r="E528" s="118">
        <f>+CUBICACION!F527</f>
        <v>0</v>
      </c>
      <c r="F528" s="118">
        <f>+CUBICACION!E527</f>
        <v>0</v>
      </c>
      <c r="G528" s="118">
        <v>12</v>
      </c>
      <c r="H528" s="118">
        <v>2</v>
      </c>
      <c r="I528" s="820">
        <v>26385</v>
      </c>
      <c r="J528" s="118">
        <f>+CUBICACION!J527</f>
        <v>0</v>
      </c>
      <c r="K528" s="118">
        <v>3307</v>
      </c>
      <c r="L528" s="118">
        <f>+CUBICACION!L527</f>
        <v>0</v>
      </c>
      <c r="M528" s="64">
        <f>+CUBICACION!M527</f>
        <v>0</v>
      </c>
      <c r="N528" s="824" t="str">
        <f>+CUBICACION!N527</f>
        <v/>
      </c>
      <c r="O528" s="675">
        <f>+CUBICACION!O527</f>
        <v>0</v>
      </c>
      <c r="P528" s="15">
        <f>IF(O528="Fire Control",VLOOKUP(_xlfn.MINIFS('FIRE CONTROL'!$C$4:$C$37,'FIRE CONTROL'!$C$4:$C$37,"&gt;="&amp;M528),'FIRE CONTROL'!$C$4:$G$37,IF(L528="F-15",2,IF(L528="F-30",3,IF(L528="F-60",4,IF(L528="F-90",5,0)))),0),0)+IF(AND(O528="FIRE TEX 5062",OR(E528="IN",E528="C",E528="Z",E528="L"),J528=3),VLOOKUP(_xlfn.MINIFS('FIRE TEX 5062'!$B$4:$B$34,'FIRE TEX 5062'!$B$4:$B$34,"&gt;="&amp;M528),'FIRE TEX 5062'!$B$4:$F$34,IF(L528="F-15",2,IF(L528="F-30",3,IF(L528="F-60",4,IF(L528="F-90",5,0)))),0),0)+IF(AND(O528="FIRE TEX 5062",OR(E528="IN",E528="C",E528="Z",E528="L"),J528=4),VLOOKUP(_xlfn.MINIFS('FIRE TEX 5062'!$G$4:$G$34,'FIRE TEX 5062'!$G$4:$G$34,"&gt;="&amp;M528),'FIRE TEX 5062'!$G$4:$K$34,IF(L528="F-15",2,IF(L528="F-30",3,IF(L528="F-60",4,IF(L528="F-90",5,0)))),0),0)+IF(AND(O528="FIRE TEX 5062",E528="CJ",J528=3),VLOOKUP(_xlfn.MINIFS('FIRE TEX 5062'!$L$4:$L$34,'FIRE TEX 5062'!$L$4:$L$34,"&gt;="&amp;M528),'FIRE TEX 5062'!$L$4:$P$34,IF(L528="F-15",2,IF(L528="F-30",3,IF(L528="F-60",4,IF(L528="F-90",5,0)))),0),0)+IF(AND(O528="FIRE TEX 5062",E528="CJ",J528=4),VLOOKUP(_xlfn.MINIFS('FIRE TEX 5062'!$Q$3:$Q$34,'FIRE TEX 5062'!$Q$3:$Q$34,"&gt;="&amp;M528),'FIRE TEX 5062'!$Q$3:$U$34,IF(L528="F-15",2,IF(L528="F-30",3,IF(L528="F-60",4,IF(L528="F-90",5,0)))),0),0)+IF(AND(O528="FIRE TEX 5090",OR(E528="IN",E528="C",E528="Z",E528="L"),J528=3),VLOOKUP(_xlfn.MINIFS('FIRE TEX 5090'!$B$5:$B$43,'FIRE TEX 5090'!$B$5:$B$43,"&gt;="&amp;M528),'FIRE TEX 5090'!$B$5:$H$43,IF(L528="F-15",2,IF(L528="F-30",3,IF(L528="F-60",4,IF(L528="F-90",5,IF(L528="F-120",6,IF(L528="F-150",7,0)))))),0),0)+IF(AND(O528="FIRE TEX 5090",OR(E528="IN",E528="C",E528="Z",E528="L"),J528=4),VLOOKUP(_xlfn.MINIFS('FIRE TEX 5090'!$J$5:$J$43,'FIRE TEX 5090'!$J$5:$J$43,"&gt;="&amp;M528),'FIRE TEX 5090'!$J$5:$P$43,IF(L528="F-15",2,IF(L528="F-30",3,IF(L528="F-60",4,IF(L528="F-90",5,IF(L528="F-120",6,IF(L528="F-150",7,0)))))),0),0)+IF(AND(O528="FIRE TEX 5090",E528="CJ",J528=3),VLOOKUP(_xlfn.MINIFS('FIRE TEX 5090'!$R$5:$R$30,'FIRE TEX 5090'!$R$5:$R$30,"&gt;="&amp;M528),'FIRE TEX 5090'!$R$5:$W$30,IF(L528="F-15",2,IF(L528="F-30",3,IF(L528="F-60",4,IF(L528="F-90",5,IF(L528="F-120",6,IF(L528="F-150",7,0)))))),0),0)+IF(AND(O528="FIRE TEX 5090",E528="CJ",J528=4),VLOOKUP(_xlfn.MINIFS('FIRE TEX 5090'!$Y$5:$Y$39,'FIRE TEX 5090'!$Y$5:$Y$39,"&gt;="&amp;M528),'FIRE TEX 5090'!$Y$5:$AD$39,IF(L528="F-15",2,IF(L528="F-30",3,IF(L528="F-60",4,IF(L528="F-90",5,IF(L528="F-120",6,IF(L528="F-150",7,0)))))),0),0)+IF(AND(O528="FIRE TEX 5120",OR(E528="IN",E528="C",E528="Z",E528="L"),J528=3),VLOOKUP(_xlfn.MINIFS('FIRE TEX 5120'!$B$5:$B$40,'FIRE TEX 5120'!$B$5:$B$40,"&gt;="&amp;M528),'FIRE TEX 5120'!$B$5:$G$40,IF(L528="F-15",2,IF(L528="F-30",3,IF(L528="F-60",4,IF(L528="F-90",5,IF(L528="F-120",6,0))))),0),0)+IF(AND(O528="FIRE TEX 5120",OR(E528="IN",E528="C",E528="Z",E528="L"),J528=4),VLOOKUP(_xlfn.MINIFS('FIRE TEX 5120'!$H$4:$H$40,'FIRE TEX 5120'!$H$4:$H$40,"&gt;="&amp;M528),'FIRE TEX 5120'!$H$4:$M$40,IF(L528="F-15",2,IF(L528="F-30",3,IF(L528="F-60",4,IF(L528="F-90",5,IF(L528="F-120",6,0))))),0),0)+IF(AND(O528="FIRE TEX 5120",E528="CJ"),VLOOKUP(_xlfn.MINIFS('FIRE TEX 5120'!$O$5:$O$40,'FIRE TEX 5120'!$O$5:$O$40,"&gt;="&amp;M528),'FIRE TEX 5120'!$O$5:$T$40,IF(L528="F-15",2,IF(L528="F-30",3,IF(L528="F-60",4,IF(L528="F-90",5,IF(L528="F-120",6,0))))),0),0)</f>
        <v>0</v>
      </c>
      <c r="Q528" s="46">
        <f t="shared" si="59"/>
        <v>0</v>
      </c>
      <c r="R528" s="46">
        <f t="shared" si="60"/>
        <v>0</v>
      </c>
      <c r="S528" s="46" t="e">
        <f t="shared" si="61"/>
        <v>#VALUE!</v>
      </c>
      <c r="T528" s="677">
        <f t="shared" si="62"/>
        <v>0</v>
      </c>
      <c r="U528" s="80">
        <f>(IF(O528="Stofire",(S528*#REF!),0))+(IF(O528="Fire Control",(S528*$U$2),0))+(IF(O528="Fire Tex",(S528*$U$3),0))+(IF(O528="WB7",(S528*#REF!),0)+(IF(O528="FX 2003",(S528*$U$5),0)))</f>
        <v>0</v>
      </c>
      <c r="V528" s="651">
        <f t="shared" si="63"/>
        <v>0</v>
      </c>
    </row>
    <row r="529" spans="4:22" x14ac:dyDescent="0.25">
      <c r="D529" s="118">
        <f>+CUBICACION!D528</f>
        <v>0</v>
      </c>
      <c r="E529" s="118">
        <f>+CUBICACION!F528</f>
        <v>0</v>
      </c>
      <c r="F529" s="118">
        <f>+CUBICACION!E528</f>
        <v>0</v>
      </c>
      <c r="G529" s="118">
        <v>12</v>
      </c>
      <c r="H529" s="118">
        <v>2</v>
      </c>
      <c r="I529" s="820">
        <v>26385</v>
      </c>
      <c r="J529" s="118">
        <f>+CUBICACION!J528</f>
        <v>0</v>
      </c>
      <c r="K529" s="118">
        <v>3308</v>
      </c>
      <c r="L529" s="118">
        <f>+CUBICACION!L528</f>
        <v>0</v>
      </c>
      <c r="M529" s="64">
        <f>+CUBICACION!M528</f>
        <v>0</v>
      </c>
      <c r="N529" s="824" t="str">
        <f>+CUBICACION!N528</f>
        <v/>
      </c>
      <c r="O529" s="675">
        <f>+CUBICACION!O528</f>
        <v>0</v>
      </c>
      <c r="P529" s="15">
        <f>IF(O529="Fire Control",VLOOKUP(_xlfn.MINIFS('FIRE CONTROL'!$C$4:$C$37,'FIRE CONTROL'!$C$4:$C$37,"&gt;="&amp;M529),'FIRE CONTROL'!$C$4:$G$37,IF(L529="F-15",2,IF(L529="F-30",3,IF(L529="F-60",4,IF(L529="F-90",5,0)))),0),0)+IF(AND(O529="FIRE TEX 5062",OR(E529="IN",E529="C",E529="Z",E529="L"),J529=3),VLOOKUP(_xlfn.MINIFS('FIRE TEX 5062'!$B$4:$B$34,'FIRE TEX 5062'!$B$4:$B$34,"&gt;="&amp;M529),'FIRE TEX 5062'!$B$4:$F$34,IF(L529="F-15",2,IF(L529="F-30",3,IF(L529="F-60",4,IF(L529="F-90",5,0)))),0),0)+IF(AND(O529="FIRE TEX 5062",OR(E529="IN",E529="C",E529="Z",E529="L"),J529=4),VLOOKUP(_xlfn.MINIFS('FIRE TEX 5062'!$G$4:$G$34,'FIRE TEX 5062'!$G$4:$G$34,"&gt;="&amp;M529),'FIRE TEX 5062'!$G$4:$K$34,IF(L529="F-15",2,IF(L529="F-30",3,IF(L529="F-60",4,IF(L529="F-90",5,0)))),0),0)+IF(AND(O529="FIRE TEX 5062",E529="CJ",J529=3),VLOOKUP(_xlfn.MINIFS('FIRE TEX 5062'!$L$4:$L$34,'FIRE TEX 5062'!$L$4:$L$34,"&gt;="&amp;M529),'FIRE TEX 5062'!$L$4:$P$34,IF(L529="F-15",2,IF(L529="F-30",3,IF(L529="F-60",4,IF(L529="F-90",5,0)))),0),0)+IF(AND(O529="FIRE TEX 5062",E529="CJ",J529=4),VLOOKUP(_xlfn.MINIFS('FIRE TEX 5062'!$Q$3:$Q$34,'FIRE TEX 5062'!$Q$3:$Q$34,"&gt;="&amp;M529),'FIRE TEX 5062'!$Q$3:$U$34,IF(L529="F-15",2,IF(L529="F-30",3,IF(L529="F-60",4,IF(L529="F-90",5,0)))),0),0)+IF(AND(O529="FIRE TEX 5090",OR(E529="IN",E529="C",E529="Z",E529="L"),J529=3),VLOOKUP(_xlfn.MINIFS('FIRE TEX 5090'!$B$5:$B$43,'FIRE TEX 5090'!$B$5:$B$43,"&gt;="&amp;M529),'FIRE TEX 5090'!$B$5:$H$43,IF(L529="F-15",2,IF(L529="F-30",3,IF(L529="F-60",4,IF(L529="F-90",5,IF(L529="F-120",6,IF(L529="F-150",7,0)))))),0),0)+IF(AND(O529="FIRE TEX 5090",OR(E529="IN",E529="C",E529="Z",E529="L"),J529=4),VLOOKUP(_xlfn.MINIFS('FIRE TEX 5090'!$J$5:$J$43,'FIRE TEX 5090'!$J$5:$J$43,"&gt;="&amp;M529),'FIRE TEX 5090'!$J$5:$P$43,IF(L529="F-15",2,IF(L529="F-30",3,IF(L529="F-60",4,IF(L529="F-90",5,IF(L529="F-120",6,IF(L529="F-150",7,0)))))),0),0)+IF(AND(O529="FIRE TEX 5090",E529="CJ",J529=3),VLOOKUP(_xlfn.MINIFS('FIRE TEX 5090'!$R$5:$R$30,'FIRE TEX 5090'!$R$5:$R$30,"&gt;="&amp;M529),'FIRE TEX 5090'!$R$5:$W$30,IF(L529="F-15",2,IF(L529="F-30",3,IF(L529="F-60",4,IF(L529="F-90",5,IF(L529="F-120",6,IF(L529="F-150",7,0)))))),0),0)+IF(AND(O529="FIRE TEX 5090",E529="CJ",J529=4),VLOOKUP(_xlfn.MINIFS('FIRE TEX 5090'!$Y$5:$Y$39,'FIRE TEX 5090'!$Y$5:$Y$39,"&gt;="&amp;M529),'FIRE TEX 5090'!$Y$5:$AD$39,IF(L529="F-15",2,IF(L529="F-30",3,IF(L529="F-60",4,IF(L529="F-90",5,IF(L529="F-120",6,IF(L529="F-150",7,0)))))),0),0)+IF(AND(O529="FIRE TEX 5120",OR(E529="IN",E529="C",E529="Z",E529="L"),J529=3),VLOOKUP(_xlfn.MINIFS('FIRE TEX 5120'!$B$5:$B$40,'FIRE TEX 5120'!$B$5:$B$40,"&gt;="&amp;M529),'FIRE TEX 5120'!$B$5:$G$40,IF(L529="F-15",2,IF(L529="F-30",3,IF(L529="F-60",4,IF(L529="F-90",5,IF(L529="F-120",6,0))))),0),0)+IF(AND(O529="FIRE TEX 5120",OR(E529="IN",E529="C",E529="Z",E529="L"),J529=4),VLOOKUP(_xlfn.MINIFS('FIRE TEX 5120'!$H$4:$H$40,'FIRE TEX 5120'!$H$4:$H$40,"&gt;="&amp;M529),'FIRE TEX 5120'!$H$4:$M$40,IF(L529="F-15",2,IF(L529="F-30",3,IF(L529="F-60",4,IF(L529="F-90",5,IF(L529="F-120",6,0))))),0),0)+IF(AND(O529="FIRE TEX 5120",E529="CJ"),VLOOKUP(_xlfn.MINIFS('FIRE TEX 5120'!$O$5:$O$40,'FIRE TEX 5120'!$O$5:$O$40,"&gt;="&amp;M529),'FIRE TEX 5120'!$O$5:$T$40,IF(L529="F-15",2,IF(L529="F-30",3,IF(L529="F-60",4,IF(L529="F-90",5,IF(L529="F-120",6,0))))),0),0)</f>
        <v>0</v>
      </c>
      <c r="Q529" s="46">
        <f t="shared" si="59"/>
        <v>0</v>
      </c>
      <c r="R529" s="46">
        <f t="shared" si="60"/>
        <v>0</v>
      </c>
      <c r="S529" s="46" t="e">
        <f t="shared" si="61"/>
        <v>#VALUE!</v>
      </c>
      <c r="T529" s="677">
        <f t="shared" si="62"/>
        <v>0</v>
      </c>
      <c r="U529" s="80">
        <f>(IF(O529="Stofire",(S529*#REF!),0))+(IF(O529="Fire Control",(S529*$U$2),0))+(IF(O529="Fire Tex",(S529*$U$3),0))+(IF(O529="WB7",(S529*#REF!),0)+(IF(O529="FX 2003",(S529*$U$5),0)))</f>
        <v>0</v>
      </c>
      <c r="V529" s="651">
        <f t="shared" si="63"/>
        <v>0</v>
      </c>
    </row>
    <row r="530" spans="4:22" x14ac:dyDescent="0.25">
      <c r="D530" s="118">
        <f>+CUBICACION!D529</f>
        <v>0</v>
      </c>
      <c r="E530" s="118">
        <f>+CUBICACION!F529</f>
        <v>0</v>
      </c>
      <c r="F530" s="118">
        <f>+CUBICACION!E529</f>
        <v>0</v>
      </c>
      <c r="G530" s="118">
        <v>12</v>
      </c>
      <c r="H530" s="118">
        <v>2</v>
      </c>
      <c r="I530" s="820">
        <v>26385</v>
      </c>
      <c r="J530" s="118">
        <f>+CUBICACION!J529</f>
        <v>0</v>
      </c>
      <c r="K530" s="118">
        <v>3309</v>
      </c>
      <c r="L530" s="118">
        <f>+CUBICACION!L529</f>
        <v>0</v>
      </c>
      <c r="M530" s="64">
        <f>+CUBICACION!M529</f>
        <v>0</v>
      </c>
      <c r="N530" s="824" t="str">
        <f>+CUBICACION!N529</f>
        <v/>
      </c>
      <c r="O530" s="675">
        <f>+CUBICACION!O529</f>
        <v>0</v>
      </c>
      <c r="P530" s="15">
        <f>IF(O530="Fire Control",VLOOKUP(_xlfn.MINIFS('FIRE CONTROL'!$C$4:$C$37,'FIRE CONTROL'!$C$4:$C$37,"&gt;="&amp;M530),'FIRE CONTROL'!$C$4:$G$37,IF(L530="F-15",2,IF(L530="F-30",3,IF(L530="F-60",4,IF(L530="F-90",5,0)))),0),0)+IF(AND(O530="FIRE TEX 5062",OR(E530="IN",E530="C",E530="Z",E530="L"),J530=3),VLOOKUP(_xlfn.MINIFS('FIRE TEX 5062'!$B$4:$B$34,'FIRE TEX 5062'!$B$4:$B$34,"&gt;="&amp;M530),'FIRE TEX 5062'!$B$4:$F$34,IF(L530="F-15",2,IF(L530="F-30",3,IF(L530="F-60",4,IF(L530="F-90",5,0)))),0),0)+IF(AND(O530="FIRE TEX 5062",OR(E530="IN",E530="C",E530="Z",E530="L"),J530=4),VLOOKUP(_xlfn.MINIFS('FIRE TEX 5062'!$G$4:$G$34,'FIRE TEX 5062'!$G$4:$G$34,"&gt;="&amp;M530),'FIRE TEX 5062'!$G$4:$K$34,IF(L530="F-15",2,IF(L530="F-30",3,IF(L530="F-60",4,IF(L530="F-90",5,0)))),0),0)+IF(AND(O530="FIRE TEX 5062",E530="CJ",J530=3),VLOOKUP(_xlfn.MINIFS('FIRE TEX 5062'!$L$4:$L$34,'FIRE TEX 5062'!$L$4:$L$34,"&gt;="&amp;M530),'FIRE TEX 5062'!$L$4:$P$34,IF(L530="F-15",2,IF(L530="F-30",3,IF(L530="F-60",4,IF(L530="F-90",5,0)))),0),0)+IF(AND(O530="FIRE TEX 5062",E530="CJ",J530=4),VLOOKUP(_xlfn.MINIFS('FIRE TEX 5062'!$Q$3:$Q$34,'FIRE TEX 5062'!$Q$3:$Q$34,"&gt;="&amp;M530),'FIRE TEX 5062'!$Q$3:$U$34,IF(L530="F-15",2,IF(L530="F-30",3,IF(L530="F-60",4,IF(L530="F-90",5,0)))),0),0)+IF(AND(O530="FIRE TEX 5090",OR(E530="IN",E530="C",E530="Z",E530="L"),J530=3),VLOOKUP(_xlfn.MINIFS('FIRE TEX 5090'!$B$5:$B$43,'FIRE TEX 5090'!$B$5:$B$43,"&gt;="&amp;M530),'FIRE TEX 5090'!$B$5:$H$43,IF(L530="F-15",2,IF(L530="F-30",3,IF(L530="F-60",4,IF(L530="F-90",5,IF(L530="F-120",6,IF(L530="F-150",7,0)))))),0),0)+IF(AND(O530="FIRE TEX 5090",OR(E530="IN",E530="C",E530="Z",E530="L"),J530=4),VLOOKUP(_xlfn.MINIFS('FIRE TEX 5090'!$J$5:$J$43,'FIRE TEX 5090'!$J$5:$J$43,"&gt;="&amp;M530),'FIRE TEX 5090'!$J$5:$P$43,IF(L530="F-15",2,IF(L530="F-30",3,IF(L530="F-60",4,IF(L530="F-90",5,IF(L530="F-120",6,IF(L530="F-150",7,0)))))),0),0)+IF(AND(O530="FIRE TEX 5090",E530="CJ",J530=3),VLOOKUP(_xlfn.MINIFS('FIRE TEX 5090'!$R$5:$R$30,'FIRE TEX 5090'!$R$5:$R$30,"&gt;="&amp;M530),'FIRE TEX 5090'!$R$5:$W$30,IF(L530="F-15",2,IF(L530="F-30",3,IF(L530="F-60",4,IF(L530="F-90",5,IF(L530="F-120",6,IF(L530="F-150",7,0)))))),0),0)+IF(AND(O530="FIRE TEX 5090",E530="CJ",J530=4),VLOOKUP(_xlfn.MINIFS('FIRE TEX 5090'!$Y$5:$Y$39,'FIRE TEX 5090'!$Y$5:$Y$39,"&gt;="&amp;M530),'FIRE TEX 5090'!$Y$5:$AD$39,IF(L530="F-15",2,IF(L530="F-30",3,IF(L530="F-60",4,IF(L530="F-90",5,IF(L530="F-120",6,IF(L530="F-150",7,0)))))),0),0)+IF(AND(O530="FIRE TEX 5120",OR(E530="IN",E530="C",E530="Z",E530="L"),J530=3),VLOOKUP(_xlfn.MINIFS('FIRE TEX 5120'!$B$5:$B$40,'FIRE TEX 5120'!$B$5:$B$40,"&gt;="&amp;M530),'FIRE TEX 5120'!$B$5:$G$40,IF(L530="F-15",2,IF(L530="F-30",3,IF(L530="F-60",4,IF(L530="F-90",5,IF(L530="F-120",6,0))))),0),0)+IF(AND(O530="FIRE TEX 5120",OR(E530="IN",E530="C",E530="Z",E530="L"),J530=4),VLOOKUP(_xlfn.MINIFS('FIRE TEX 5120'!$H$4:$H$40,'FIRE TEX 5120'!$H$4:$H$40,"&gt;="&amp;M530),'FIRE TEX 5120'!$H$4:$M$40,IF(L530="F-15",2,IF(L530="F-30",3,IF(L530="F-60",4,IF(L530="F-90",5,IF(L530="F-120",6,0))))),0),0)+IF(AND(O530="FIRE TEX 5120",E530="CJ"),VLOOKUP(_xlfn.MINIFS('FIRE TEX 5120'!$O$5:$O$40,'FIRE TEX 5120'!$O$5:$O$40,"&gt;="&amp;M530),'FIRE TEX 5120'!$O$5:$T$40,IF(L530="F-15",2,IF(L530="F-30",3,IF(L530="F-60",4,IF(L530="F-90",5,IF(L530="F-120",6,0))))),0),0)</f>
        <v>0</v>
      </c>
      <c r="Q530" s="46">
        <f t="shared" si="59"/>
        <v>0</v>
      </c>
      <c r="R530" s="46">
        <f t="shared" si="60"/>
        <v>0</v>
      </c>
      <c r="S530" s="46" t="e">
        <f t="shared" si="61"/>
        <v>#VALUE!</v>
      </c>
      <c r="T530" s="677">
        <f t="shared" si="62"/>
        <v>0</v>
      </c>
      <c r="U530" s="80">
        <f>(IF(O530="Stofire",(S530*#REF!),0))+(IF(O530="Fire Control",(S530*$U$2),0))+(IF(O530="Fire Tex",(S530*$U$3),0))+(IF(O530="WB7",(S530*#REF!),0)+(IF(O530="FX 2003",(S530*$U$5),0)))</f>
        <v>0</v>
      </c>
      <c r="V530" s="651">
        <f t="shared" si="63"/>
        <v>0</v>
      </c>
    </row>
    <row r="531" spans="4:22" x14ac:dyDescent="0.25">
      <c r="D531" s="118">
        <f>+CUBICACION!D530</f>
        <v>0</v>
      </c>
      <c r="E531" s="118">
        <f>+CUBICACION!F530</f>
        <v>0</v>
      </c>
      <c r="F531" s="118">
        <f>+CUBICACION!E530</f>
        <v>0</v>
      </c>
      <c r="G531" s="118">
        <v>12</v>
      </c>
      <c r="H531" s="118">
        <v>2</v>
      </c>
      <c r="I531" s="820">
        <v>26385</v>
      </c>
      <c r="J531" s="118">
        <f>+CUBICACION!J530</f>
        <v>0</v>
      </c>
      <c r="K531" s="118">
        <v>3310</v>
      </c>
      <c r="L531" s="118">
        <f>+CUBICACION!L530</f>
        <v>0</v>
      </c>
      <c r="M531" s="64">
        <f>+CUBICACION!M530</f>
        <v>0</v>
      </c>
      <c r="N531" s="824" t="str">
        <f>+CUBICACION!N530</f>
        <v/>
      </c>
      <c r="O531" s="675">
        <f>+CUBICACION!O530</f>
        <v>0</v>
      </c>
      <c r="P531" s="15">
        <f>IF(O531="Fire Control",VLOOKUP(_xlfn.MINIFS('FIRE CONTROL'!$C$4:$C$37,'FIRE CONTROL'!$C$4:$C$37,"&gt;="&amp;M531),'FIRE CONTROL'!$C$4:$G$37,IF(L531="F-15",2,IF(L531="F-30",3,IF(L531="F-60",4,IF(L531="F-90",5,0)))),0),0)+IF(AND(O531="FIRE TEX 5062",OR(E531="IN",E531="C",E531="Z",E531="L"),J531=3),VLOOKUP(_xlfn.MINIFS('FIRE TEX 5062'!$B$4:$B$34,'FIRE TEX 5062'!$B$4:$B$34,"&gt;="&amp;M531),'FIRE TEX 5062'!$B$4:$F$34,IF(L531="F-15",2,IF(L531="F-30",3,IF(L531="F-60",4,IF(L531="F-90",5,0)))),0),0)+IF(AND(O531="FIRE TEX 5062",OR(E531="IN",E531="C",E531="Z",E531="L"),J531=4),VLOOKUP(_xlfn.MINIFS('FIRE TEX 5062'!$G$4:$G$34,'FIRE TEX 5062'!$G$4:$G$34,"&gt;="&amp;M531),'FIRE TEX 5062'!$G$4:$K$34,IF(L531="F-15",2,IF(L531="F-30",3,IF(L531="F-60",4,IF(L531="F-90",5,0)))),0),0)+IF(AND(O531="FIRE TEX 5062",E531="CJ",J531=3),VLOOKUP(_xlfn.MINIFS('FIRE TEX 5062'!$L$4:$L$34,'FIRE TEX 5062'!$L$4:$L$34,"&gt;="&amp;M531),'FIRE TEX 5062'!$L$4:$P$34,IF(L531="F-15",2,IF(L531="F-30",3,IF(L531="F-60",4,IF(L531="F-90",5,0)))),0),0)+IF(AND(O531="FIRE TEX 5062",E531="CJ",J531=4),VLOOKUP(_xlfn.MINIFS('FIRE TEX 5062'!$Q$3:$Q$34,'FIRE TEX 5062'!$Q$3:$Q$34,"&gt;="&amp;M531),'FIRE TEX 5062'!$Q$3:$U$34,IF(L531="F-15",2,IF(L531="F-30",3,IF(L531="F-60",4,IF(L531="F-90",5,0)))),0),0)+IF(AND(O531="FIRE TEX 5090",OR(E531="IN",E531="C",E531="Z",E531="L"),J531=3),VLOOKUP(_xlfn.MINIFS('FIRE TEX 5090'!$B$5:$B$43,'FIRE TEX 5090'!$B$5:$B$43,"&gt;="&amp;M531),'FIRE TEX 5090'!$B$5:$H$43,IF(L531="F-15",2,IF(L531="F-30",3,IF(L531="F-60",4,IF(L531="F-90",5,IF(L531="F-120",6,IF(L531="F-150",7,0)))))),0),0)+IF(AND(O531="FIRE TEX 5090",OR(E531="IN",E531="C",E531="Z",E531="L"),J531=4),VLOOKUP(_xlfn.MINIFS('FIRE TEX 5090'!$J$5:$J$43,'FIRE TEX 5090'!$J$5:$J$43,"&gt;="&amp;M531),'FIRE TEX 5090'!$J$5:$P$43,IF(L531="F-15",2,IF(L531="F-30",3,IF(L531="F-60",4,IF(L531="F-90",5,IF(L531="F-120",6,IF(L531="F-150",7,0)))))),0),0)+IF(AND(O531="FIRE TEX 5090",E531="CJ",J531=3),VLOOKUP(_xlfn.MINIFS('FIRE TEX 5090'!$R$5:$R$30,'FIRE TEX 5090'!$R$5:$R$30,"&gt;="&amp;M531),'FIRE TEX 5090'!$R$5:$W$30,IF(L531="F-15",2,IF(L531="F-30",3,IF(L531="F-60",4,IF(L531="F-90",5,IF(L531="F-120",6,IF(L531="F-150",7,0)))))),0),0)+IF(AND(O531="FIRE TEX 5090",E531="CJ",J531=4),VLOOKUP(_xlfn.MINIFS('FIRE TEX 5090'!$Y$5:$Y$39,'FIRE TEX 5090'!$Y$5:$Y$39,"&gt;="&amp;M531),'FIRE TEX 5090'!$Y$5:$AD$39,IF(L531="F-15",2,IF(L531="F-30",3,IF(L531="F-60",4,IF(L531="F-90",5,IF(L531="F-120",6,IF(L531="F-150",7,0)))))),0),0)+IF(AND(O531="FIRE TEX 5120",OR(E531="IN",E531="C",E531="Z",E531="L"),J531=3),VLOOKUP(_xlfn.MINIFS('FIRE TEX 5120'!$B$5:$B$40,'FIRE TEX 5120'!$B$5:$B$40,"&gt;="&amp;M531),'FIRE TEX 5120'!$B$5:$G$40,IF(L531="F-15",2,IF(L531="F-30",3,IF(L531="F-60",4,IF(L531="F-90",5,IF(L531="F-120",6,0))))),0),0)+IF(AND(O531="FIRE TEX 5120",OR(E531="IN",E531="C",E531="Z",E531="L"),J531=4),VLOOKUP(_xlfn.MINIFS('FIRE TEX 5120'!$H$4:$H$40,'FIRE TEX 5120'!$H$4:$H$40,"&gt;="&amp;M531),'FIRE TEX 5120'!$H$4:$M$40,IF(L531="F-15",2,IF(L531="F-30",3,IF(L531="F-60",4,IF(L531="F-90",5,IF(L531="F-120",6,0))))),0),0)+IF(AND(O531="FIRE TEX 5120",E531="CJ"),VLOOKUP(_xlfn.MINIFS('FIRE TEX 5120'!$O$5:$O$40,'FIRE TEX 5120'!$O$5:$O$40,"&gt;="&amp;M531),'FIRE TEX 5120'!$O$5:$T$40,IF(L531="F-15",2,IF(L531="F-30",3,IF(L531="F-60",4,IF(L531="F-90",5,IF(L531="F-120",6,0))))),0),0)</f>
        <v>0</v>
      </c>
      <c r="Q531" s="46">
        <f t="shared" si="59"/>
        <v>0</v>
      </c>
      <c r="R531" s="46">
        <f t="shared" si="60"/>
        <v>0</v>
      </c>
      <c r="S531" s="46" t="e">
        <f t="shared" si="61"/>
        <v>#VALUE!</v>
      </c>
      <c r="T531" s="677">
        <f t="shared" si="62"/>
        <v>0</v>
      </c>
      <c r="U531" s="80">
        <f>(IF(O531="Stofire",(S531*#REF!),0))+(IF(O531="Fire Control",(S531*$U$2),0))+(IF(O531="Fire Tex",(S531*$U$3),0))+(IF(O531="WB7",(S531*#REF!),0)+(IF(O531="FX 2003",(S531*$U$5),0)))</f>
        <v>0</v>
      </c>
      <c r="V531" s="651">
        <f t="shared" si="63"/>
        <v>0</v>
      </c>
    </row>
    <row r="532" spans="4:22" x14ac:dyDescent="0.25">
      <c r="D532" s="118">
        <f>+CUBICACION!D531</f>
        <v>0</v>
      </c>
      <c r="E532" s="118">
        <f>+CUBICACION!F531</f>
        <v>0</v>
      </c>
      <c r="F532" s="118">
        <f>+CUBICACION!E531</f>
        <v>0</v>
      </c>
      <c r="G532" s="118">
        <v>12</v>
      </c>
      <c r="H532" s="118">
        <v>2</v>
      </c>
      <c r="I532" s="820">
        <v>26385</v>
      </c>
      <c r="J532" s="118">
        <f>+CUBICACION!J531</f>
        <v>0</v>
      </c>
      <c r="K532" s="118">
        <v>3311</v>
      </c>
      <c r="L532" s="118">
        <f>+CUBICACION!L531</f>
        <v>0</v>
      </c>
      <c r="M532" s="64">
        <f>+CUBICACION!M531</f>
        <v>0</v>
      </c>
      <c r="N532" s="824" t="str">
        <f>+CUBICACION!N531</f>
        <v/>
      </c>
      <c r="O532" s="675">
        <f>+CUBICACION!O531</f>
        <v>0</v>
      </c>
      <c r="P532" s="15">
        <f>IF(O532="Fire Control",VLOOKUP(_xlfn.MINIFS('FIRE CONTROL'!$C$4:$C$37,'FIRE CONTROL'!$C$4:$C$37,"&gt;="&amp;M532),'FIRE CONTROL'!$C$4:$G$37,IF(L532="F-15",2,IF(L532="F-30",3,IF(L532="F-60",4,IF(L532="F-90",5,0)))),0),0)+IF(AND(O532="FIRE TEX 5062",OR(E532="IN",E532="C",E532="Z",E532="L"),J532=3),VLOOKUP(_xlfn.MINIFS('FIRE TEX 5062'!$B$4:$B$34,'FIRE TEX 5062'!$B$4:$B$34,"&gt;="&amp;M532),'FIRE TEX 5062'!$B$4:$F$34,IF(L532="F-15",2,IF(L532="F-30",3,IF(L532="F-60",4,IF(L532="F-90",5,0)))),0),0)+IF(AND(O532="FIRE TEX 5062",OR(E532="IN",E532="C",E532="Z",E532="L"),J532=4),VLOOKUP(_xlfn.MINIFS('FIRE TEX 5062'!$G$4:$G$34,'FIRE TEX 5062'!$G$4:$G$34,"&gt;="&amp;M532),'FIRE TEX 5062'!$G$4:$K$34,IF(L532="F-15",2,IF(L532="F-30",3,IF(L532="F-60",4,IF(L532="F-90",5,0)))),0),0)+IF(AND(O532="FIRE TEX 5062",E532="CJ",J532=3),VLOOKUP(_xlfn.MINIFS('FIRE TEX 5062'!$L$4:$L$34,'FIRE TEX 5062'!$L$4:$L$34,"&gt;="&amp;M532),'FIRE TEX 5062'!$L$4:$P$34,IF(L532="F-15",2,IF(L532="F-30",3,IF(L532="F-60",4,IF(L532="F-90",5,0)))),0),0)+IF(AND(O532="FIRE TEX 5062",E532="CJ",J532=4),VLOOKUP(_xlfn.MINIFS('FIRE TEX 5062'!$Q$3:$Q$34,'FIRE TEX 5062'!$Q$3:$Q$34,"&gt;="&amp;M532),'FIRE TEX 5062'!$Q$3:$U$34,IF(L532="F-15",2,IF(L532="F-30",3,IF(L532="F-60",4,IF(L532="F-90",5,0)))),0),0)+IF(AND(O532="FIRE TEX 5090",OR(E532="IN",E532="C",E532="Z",E532="L"),J532=3),VLOOKUP(_xlfn.MINIFS('FIRE TEX 5090'!$B$5:$B$43,'FIRE TEX 5090'!$B$5:$B$43,"&gt;="&amp;M532),'FIRE TEX 5090'!$B$5:$H$43,IF(L532="F-15",2,IF(L532="F-30",3,IF(L532="F-60",4,IF(L532="F-90",5,IF(L532="F-120",6,IF(L532="F-150",7,0)))))),0),0)+IF(AND(O532="FIRE TEX 5090",OR(E532="IN",E532="C",E532="Z",E532="L"),J532=4),VLOOKUP(_xlfn.MINIFS('FIRE TEX 5090'!$J$5:$J$43,'FIRE TEX 5090'!$J$5:$J$43,"&gt;="&amp;M532),'FIRE TEX 5090'!$J$5:$P$43,IF(L532="F-15",2,IF(L532="F-30",3,IF(L532="F-60",4,IF(L532="F-90",5,IF(L532="F-120",6,IF(L532="F-150",7,0)))))),0),0)+IF(AND(O532="FIRE TEX 5090",E532="CJ",J532=3),VLOOKUP(_xlfn.MINIFS('FIRE TEX 5090'!$R$5:$R$30,'FIRE TEX 5090'!$R$5:$R$30,"&gt;="&amp;M532),'FIRE TEX 5090'!$R$5:$W$30,IF(L532="F-15",2,IF(L532="F-30",3,IF(L532="F-60",4,IF(L532="F-90",5,IF(L532="F-120",6,IF(L532="F-150",7,0)))))),0),0)+IF(AND(O532="FIRE TEX 5090",E532="CJ",J532=4),VLOOKUP(_xlfn.MINIFS('FIRE TEX 5090'!$Y$5:$Y$39,'FIRE TEX 5090'!$Y$5:$Y$39,"&gt;="&amp;M532),'FIRE TEX 5090'!$Y$5:$AD$39,IF(L532="F-15",2,IF(L532="F-30",3,IF(L532="F-60",4,IF(L532="F-90",5,IF(L532="F-120",6,IF(L532="F-150",7,0)))))),0),0)+IF(AND(O532="FIRE TEX 5120",OR(E532="IN",E532="C",E532="Z",E532="L"),J532=3),VLOOKUP(_xlfn.MINIFS('FIRE TEX 5120'!$B$5:$B$40,'FIRE TEX 5120'!$B$5:$B$40,"&gt;="&amp;M532),'FIRE TEX 5120'!$B$5:$G$40,IF(L532="F-15",2,IF(L532="F-30",3,IF(L532="F-60",4,IF(L532="F-90",5,IF(L532="F-120",6,0))))),0),0)+IF(AND(O532="FIRE TEX 5120",OR(E532="IN",E532="C",E532="Z",E532="L"),J532=4),VLOOKUP(_xlfn.MINIFS('FIRE TEX 5120'!$H$4:$H$40,'FIRE TEX 5120'!$H$4:$H$40,"&gt;="&amp;M532),'FIRE TEX 5120'!$H$4:$M$40,IF(L532="F-15",2,IF(L532="F-30",3,IF(L532="F-60",4,IF(L532="F-90",5,IF(L532="F-120",6,0))))),0),0)+IF(AND(O532="FIRE TEX 5120",E532="CJ"),VLOOKUP(_xlfn.MINIFS('FIRE TEX 5120'!$O$5:$O$40,'FIRE TEX 5120'!$O$5:$O$40,"&gt;="&amp;M532),'FIRE TEX 5120'!$O$5:$T$40,IF(L532="F-15",2,IF(L532="F-30",3,IF(L532="F-60",4,IF(L532="F-90",5,IF(L532="F-120",6,0))))),0),0)</f>
        <v>0</v>
      </c>
      <c r="Q532" s="46">
        <f t="shared" si="59"/>
        <v>0</v>
      </c>
      <c r="R532" s="46">
        <f t="shared" si="60"/>
        <v>0</v>
      </c>
      <c r="S532" s="46" t="e">
        <f t="shared" si="61"/>
        <v>#VALUE!</v>
      </c>
      <c r="T532" s="677">
        <f t="shared" si="62"/>
        <v>0</v>
      </c>
      <c r="U532" s="80">
        <f>(IF(O532="Stofire",(S532*#REF!),0))+(IF(O532="Fire Control",(S532*$U$2),0))+(IF(O532="Fire Tex",(S532*$U$3),0))+(IF(O532="WB7",(S532*#REF!),0)+(IF(O532="FX 2003",(S532*$U$5),0)))</f>
        <v>0</v>
      </c>
      <c r="V532" s="651">
        <f t="shared" si="63"/>
        <v>0</v>
      </c>
    </row>
    <row r="533" spans="4:22" x14ac:dyDescent="0.25">
      <c r="D533" s="118">
        <f>+CUBICACION!D532</f>
        <v>0</v>
      </c>
      <c r="E533" s="118">
        <f>+CUBICACION!F532</f>
        <v>0</v>
      </c>
      <c r="F533" s="118">
        <f>+CUBICACION!E532</f>
        <v>0</v>
      </c>
      <c r="G533" s="118">
        <v>12</v>
      </c>
      <c r="H533" s="118">
        <v>2</v>
      </c>
      <c r="I533" s="820">
        <v>26385</v>
      </c>
      <c r="J533" s="118">
        <f>+CUBICACION!J532</f>
        <v>0</v>
      </c>
      <c r="K533" s="118">
        <v>3312</v>
      </c>
      <c r="L533" s="118">
        <f>+CUBICACION!L532</f>
        <v>0</v>
      </c>
      <c r="M533" s="64">
        <f>+CUBICACION!M532</f>
        <v>0</v>
      </c>
      <c r="N533" s="824" t="str">
        <f>+CUBICACION!N532</f>
        <v/>
      </c>
      <c r="O533" s="675">
        <f>+CUBICACION!O532</f>
        <v>0</v>
      </c>
      <c r="P533" s="15">
        <f>IF(O533="Fire Control",VLOOKUP(_xlfn.MINIFS('FIRE CONTROL'!$C$4:$C$37,'FIRE CONTROL'!$C$4:$C$37,"&gt;="&amp;M533),'FIRE CONTROL'!$C$4:$G$37,IF(L533="F-15",2,IF(L533="F-30",3,IF(L533="F-60",4,IF(L533="F-90",5,0)))),0),0)+IF(AND(O533="FIRE TEX 5062",OR(E533="IN",E533="C",E533="Z",E533="L"),J533=3),VLOOKUP(_xlfn.MINIFS('FIRE TEX 5062'!$B$4:$B$34,'FIRE TEX 5062'!$B$4:$B$34,"&gt;="&amp;M533),'FIRE TEX 5062'!$B$4:$F$34,IF(L533="F-15",2,IF(L533="F-30",3,IF(L533="F-60",4,IF(L533="F-90",5,0)))),0),0)+IF(AND(O533="FIRE TEX 5062",OR(E533="IN",E533="C",E533="Z",E533="L"),J533=4),VLOOKUP(_xlfn.MINIFS('FIRE TEX 5062'!$G$4:$G$34,'FIRE TEX 5062'!$G$4:$G$34,"&gt;="&amp;M533),'FIRE TEX 5062'!$G$4:$K$34,IF(L533="F-15",2,IF(L533="F-30",3,IF(L533="F-60",4,IF(L533="F-90",5,0)))),0),0)+IF(AND(O533="FIRE TEX 5062",E533="CJ",J533=3),VLOOKUP(_xlfn.MINIFS('FIRE TEX 5062'!$L$4:$L$34,'FIRE TEX 5062'!$L$4:$L$34,"&gt;="&amp;M533),'FIRE TEX 5062'!$L$4:$P$34,IF(L533="F-15",2,IF(L533="F-30",3,IF(L533="F-60",4,IF(L533="F-90",5,0)))),0),0)+IF(AND(O533="FIRE TEX 5062",E533="CJ",J533=4),VLOOKUP(_xlfn.MINIFS('FIRE TEX 5062'!$Q$3:$Q$34,'FIRE TEX 5062'!$Q$3:$Q$34,"&gt;="&amp;M533),'FIRE TEX 5062'!$Q$3:$U$34,IF(L533="F-15",2,IF(L533="F-30",3,IF(L533="F-60",4,IF(L533="F-90",5,0)))),0),0)+IF(AND(O533="FIRE TEX 5090",OR(E533="IN",E533="C",E533="Z",E533="L"),J533=3),VLOOKUP(_xlfn.MINIFS('FIRE TEX 5090'!$B$5:$B$43,'FIRE TEX 5090'!$B$5:$B$43,"&gt;="&amp;M533),'FIRE TEX 5090'!$B$5:$H$43,IF(L533="F-15",2,IF(L533="F-30",3,IF(L533="F-60",4,IF(L533="F-90",5,IF(L533="F-120",6,IF(L533="F-150",7,0)))))),0),0)+IF(AND(O533="FIRE TEX 5090",OR(E533="IN",E533="C",E533="Z",E533="L"),J533=4),VLOOKUP(_xlfn.MINIFS('FIRE TEX 5090'!$J$5:$J$43,'FIRE TEX 5090'!$J$5:$J$43,"&gt;="&amp;M533),'FIRE TEX 5090'!$J$5:$P$43,IF(L533="F-15",2,IF(L533="F-30",3,IF(L533="F-60",4,IF(L533="F-90",5,IF(L533="F-120",6,IF(L533="F-150",7,0)))))),0),0)+IF(AND(O533="FIRE TEX 5090",E533="CJ",J533=3),VLOOKUP(_xlfn.MINIFS('FIRE TEX 5090'!$R$5:$R$30,'FIRE TEX 5090'!$R$5:$R$30,"&gt;="&amp;M533),'FIRE TEX 5090'!$R$5:$W$30,IF(L533="F-15",2,IF(L533="F-30",3,IF(L533="F-60",4,IF(L533="F-90",5,IF(L533="F-120",6,IF(L533="F-150",7,0)))))),0),0)+IF(AND(O533="FIRE TEX 5090",E533="CJ",J533=4),VLOOKUP(_xlfn.MINIFS('FIRE TEX 5090'!$Y$5:$Y$39,'FIRE TEX 5090'!$Y$5:$Y$39,"&gt;="&amp;M533),'FIRE TEX 5090'!$Y$5:$AD$39,IF(L533="F-15",2,IF(L533="F-30",3,IF(L533="F-60",4,IF(L533="F-90",5,IF(L533="F-120",6,IF(L533="F-150",7,0)))))),0),0)+IF(AND(O533="FIRE TEX 5120",OR(E533="IN",E533="C",E533="Z",E533="L"),J533=3),VLOOKUP(_xlfn.MINIFS('FIRE TEX 5120'!$B$5:$B$40,'FIRE TEX 5120'!$B$5:$B$40,"&gt;="&amp;M533),'FIRE TEX 5120'!$B$5:$G$40,IF(L533="F-15",2,IF(L533="F-30",3,IF(L533="F-60",4,IF(L533="F-90",5,IF(L533="F-120",6,0))))),0),0)+IF(AND(O533="FIRE TEX 5120",OR(E533="IN",E533="C",E533="Z",E533="L"),J533=4),VLOOKUP(_xlfn.MINIFS('FIRE TEX 5120'!$H$4:$H$40,'FIRE TEX 5120'!$H$4:$H$40,"&gt;="&amp;M533),'FIRE TEX 5120'!$H$4:$M$40,IF(L533="F-15",2,IF(L533="F-30",3,IF(L533="F-60",4,IF(L533="F-90",5,IF(L533="F-120",6,0))))),0),0)+IF(AND(O533="FIRE TEX 5120",E533="CJ"),VLOOKUP(_xlfn.MINIFS('FIRE TEX 5120'!$O$5:$O$40,'FIRE TEX 5120'!$O$5:$O$40,"&gt;="&amp;M533),'FIRE TEX 5120'!$O$5:$T$40,IF(L533="F-15",2,IF(L533="F-30",3,IF(L533="F-60",4,IF(L533="F-90",5,IF(L533="F-120",6,0))))),0),0)</f>
        <v>0</v>
      </c>
      <c r="Q533" s="46">
        <f t="shared" si="59"/>
        <v>0</v>
      </c>
      <c r="R533" s="46">
        <f t="shared" si="60"/>
        <v>0</v>
      </c>
      <c r="S533" s="46" t="e">
        <f t="shared" si="61"/>
        <v>#VALUE!</v>
      </c>
      <c r="T533" s="677">
        <f t="shared" si="62"/>
        <v>0</v>
      </c>
      <c r="U533" s="80">
        <f>(IF(O533="Stofire",(S533*#REF!),0))+(IF(O533="Fire Control",(S533*$U$2),0))+(IF(O533="Fire Tex",(S533*$U$3),0))+(IF(O533="WB7",(S533*#REF!),0)+(IF(O533="FX 2003",(S533*$U$5),0)))</f>
        <v>0</v>
      </c>
      <c r="V533" s="651">
        <f t="shared" si="63"/>
        <v>0</v>
      </c>
    </row>
    <row r="534" spans="4:22" x14ac:dyDescent="0.25">
      <c r="D534" s="118">
        <f>+CUBICACION!D533</f>
        <v>0</v>
      </c>
      <c r="E534" s="118">
        <f>+CUBICACION!F533</f>
        <v>0</v>
      </c>
      <c r="F534" s="118">
        <f>+CUBICACION!E533</f>
        <v>0</v>
      </c>
      <c r="G534" s="118">
        <v>12</v>
      </c>
      <c r="H534" s="118">
        <v>2</v>
      </c>
      <c r="I534" s="820">
        <v>26385</v>
      </c>
      <c r="J534" s="118">
        <f>+CUBICACION!J533</f>
        <v>0</v>
      </c>
      <c r="K534" s="118">
        <v>3313</v>
      </c>
      <c r="L534" s="118">
        <f>+CUBICACION!L533</f>
        <v>0</v>
      </c>
      <c r="M534" s="64">
        <f>+CUBICACION!M533</f>
        <v>0</v>
      </c>
      <c r="N534" s="824" t="str">
        <f>+CUBICACION!N533</f>
        <v/>
      </c>
      <c r="O534" s="675">
        <f>+CUBICACION!O533</f>
        <v>0</v>
      </c>
      <c r="P534" s="15">
        <f>IF(O534="Fire Control",VLOOKUP(_xlfn.MINIFS('FIRE CONTROL'!$C$4:$C$37,'FIRE CONTROL'!$C$4:$C$37,"&gt;="&amp;M534),'FIRE CONTROL'!$C$4:$G$37,IF(L534="F-15",2,IF(L534="F-30",3,IF(L534="F-60",4,IF(L534="F-90",5,0)))),0),0)+IF(AND(O534="FIRE TEX 5062",OR(E534="IN",E534="C",E534="Z",E534="L"),J534=3),VLOOKUP(_xlfn.MINIFS('FIRE TEX 5062'!$B$4:$B$34,'FIRE TEX 5062'!$B$4:$B$34,"&gt;="&amp;M534),'FIRE TEX 5062'!$B$4:$F$34,IF(L534="F-15",2,IF(L534="F-30",3,IF(L534="F-60",4,IF(L534="F-90",5,0)))),0),0)+IF(AND(O534="FIRE TEX 5062",OR(E534="IN",E534="C",E534="Z",E534="L"),J534=4),VLOOKUP(_xlfn.MINIFS('FIRE TEX 5062'!$G$4:$G$34,'FIRE TEX 5062'!$G$4:$G$34,"&gt;="&amp;M534),'FIRE TEX 5062'!$G$4:$K$34,IF(L534="F-15",2,IF(L534="F-30",3,IF(L534="F-60",4,IF(L534="F-90",5,0)))),0),0)+IF(AND(O534="FIRE TEX 5062",E534="CJ",J534=3),VLOOKUP(_xlfn.MINIFS('FIRE TEX 5062'!$L$4:$L$34,'FIRE TEX 5062'!$L$4:$L$34,"&gt;="&amp;M534),'FIRE TEX 5062'!$L$4:$P$34,IF(L534="F-15",2,IF(L534="F-30",3,IF(L534="F-60",4,IF(L534="F-90",5,0)))),0),0)+IF(AND(O534="FIRE TEX 5062",E534="CJ",J534=4),VLOOKUP(_xlfn.MINIFS('FIRE TEX 5062'!$Q$3:$Q$34,'FIRE TEX 5062'!$Q$3:$Q$34,"&gt;="&amp;M534),'FIRE TEX 5062'!$Q$3:$U$34,IF(L534="F-15",2,IF(L534="F-30",3,IF(L534="F-60",4,IF(L534="F-90",5,0)))),0),0)+IF(AND(O534="FIRE TEX 5090",OR(E534="IN",E534="C",E534="Z",E534="L"),J534=3),VLOOKUP(_xlfn.MINIFS('FIRE TEX 5090'!$B$5:$B$43,'FIRE TEX 5090'!$B$5:$B$43,"&gt;="&amp;M534),'FIRE TEX 5090'!$B$5:$H$43,IF(L534="F-15",2,IF(L534="F-30",3,IF(L534="F-60",4,IF(L534="F-90",5,IF(L534="F-120",6,IF(L534="F-150",7,0)))))),0),0)+IF(AND(O534="FIRE TEX 5090",OR(E534="IN",E534="C",E534="Z",E534="L"),J534=4),VLOOKUP(_xlfn.MINIFS('FIRE TEX 5090'!$J$5:$J$43,'FIRE TEX 5090'!$J$5:$J$43,"&gt;="&amp;M534),'FIRE TEX 5090'!$J$5:$P$43,IF(L534="F-15",2,IF(L534="F-30",3,IF(L534="F-60",4,IF(L534="F-90",5,IF(L534="F-120",6,IF(L534="F-150",7,0)))))),0),0)+IF(AND(O534="FIRE TEX 5090",E534="CJ",J534=3),VLOOKUP(_xlfn.MINIFS('FIRE TEX 5090'!$R$5:$R$30,'FIRE TEX 5090'!$R$5:$R$30,"&gt;="&amp;M534),'FIRE TEX 5090'!$R$5:$W$30,IF(L534="F-15",2,IF(L534="F-30",3,IF(L534="F-60",4,IF(L534="F-90",5,IF(L534="F-120",6,IF(L534="F-150",7,0)))))),0),0)+IF(AND(O534="FIRE TEX 5090",E534="CJ",J534=4),VLOOKUP(_xlfn.MINIFS('FIRE TEX 5090'!$Y$5:$Y$39,'FIRE TEX 5090'!$Y$5:$Y$39,"&gt;="&amp;M534),'FIRE TEX 5090'!$Y$5:$AD$39,IF(L534="F-15",2,IF(L534="F-30",3,IF(L534="F-60",4,IF(L534="F-90",5,IF(L534="F-120",6,IF(L534="F-150",7,0)))))),0),0)+IF(AND(O534="FIRE TEX 5120",OR(E534="IN",E534="C",E534="Z",E534="L"),J534=3),VLOOKUP(_xlfn.MINIFS('FIRE TEX 5120'!$B$5:$B$40,'FIRE TEX 5120'!$B$5:$B$40,"&gt;="&amp;M534),'FIRE TEX 5120'!$B$5:$G$40,IF(L534="F-15",2,IF(L534="F-30",3,IF(L534="F-60",4,IF(L534="F-90",5,IF(L534="F-120",6,0))))),0),0)+IF(AND(O534="FIRE TEX 5120",OR(E534="IN",E534="C",E534="Z",E534="L"),J534=4),VLOOKUP(_xlfn.MINIFS('FIRE TEX 5120'!$H$4:$H$40,'FIRE TEX 5120'!$H$4:$H$40,"&gt;="&amp;M534),'FIRE TEX 5120'!$H$4:$M$40,IF(L534="F-15",2,IF(L534="F-30",3,IF(L534="F-60",4,IF(L534="F-90",5,IF(L534="F-120",6,0))))),0),0)+IF(AND(O534="FIRE TEX 5120",E534="CJ"),VLOOKUP(_xlfn.MINIFS('FIRE TEX 5120'!$O$5:$O$40,'FIRE TEX 5120'!$O$5:$O$40,"&gt;="&amp;M534),'FIRE TEX 5120'!$O$5:$T$40,IF(L534="F-15",2,IF(L534="F-30",3,IF(L534="F-60",4,IF(L534="F-90",5,IF(L534="F-120",6,0))))),0),0)</f>
        <v>0</v>
      </c>
      <c r="Q534" s="46">
        <f t="shared" si="59"/>
        <v>0</v>
      </c>
      <c r="R534" s="46">
        <f t="shared" si="60"/>
        <v>0</v>
      </c>
      <c r="S534" s="46" t="e">
        <f t="shared" si="61"/>
        <v>#VALUE!</v>
      </c>
      <c r="T534" s="677">
        <f t="shared" si="62"/>
        <v>0</v>
      </c>
      <c r="U534" s="80">
        <f>(IF(O534="Stofire",(S534*#REF!),0))+(IF(O534="Fire Control",(S534*$U$2),0))+(IF(O534="Fire Tex",(S534*$U$3),0))+(IF(O534="WB7",(S534*#REF!),0)+(IF(O534="FX 2003",(S534*$U$5),0)))</f>
        <v>0</v>
      </c>
      <c r="V534" s="651">
        <f t="shared" si="63"/>
        <v>0</v>
      </c>
    </row>
    <row r="535" spans="4:22" x14ac:dyDescent="0.25">
      <c r="D535" s="118">
        <f>+CUBICACION!D534</f>
        <v>0</v>
      </c>
      <c r="E535" s="118">
        <f>+CUBICACION!F534</f>
        <v>0</v>
      </c>
      <c r="F535" s="118">
        <f>+CUBICACION!E534</f>
        <v>0</v>
      </c>
      <c r="G535" s="118">
        <v>12</v>
      </c>
      <c r="H535" s="118">
        <v>2</v>
      </c>
      <c r="I535" s="820">
        <v>26385</v>
      </c>
      <c r="J535" s="118">
        <f>+CUBICACION!J534</f>
        <v>0</v>
      </c>
      <c r="K535" s="118">
        <v>3314</v>
      </c>
      <c r="L535" s="118">
        <f>+CUBICACION!L534</f>
        <v>0</v>
      </c>
      <c r="M535" s="64">
        <f>+CUBICACION!M534</f>
        <v>0</v>
      </c>
      <c r="N535" s="824" t="str">
        <f>+CUBICACION!N534</f>
        <v/>
      </c>
      <c r="O535" s="675">
        <f>+CUBICACION!O534</f>
        <v>0</v>
      </c>
      <c r="P535" s="15">
        <f>IF(O535="Fire Control",VLOOKUP(_xlfn.MINIFS('FIRE CONTROL'!$C$4:$C$37,'FIRE CONTROL'!$C$4:$C$37,"&gt;="&amp;M535),'FIRE CONTROL'!$C$4:$G$37,IF(L535="F-15",2,IF(L535="F-30",3,IF(L535="F-60",4,IF(L535="F-90",5,0)))),0),0)+IF(AND(O535="FIRE TEX 5062",OR(E535="IN",E535="C",E535="Z",E535="L"),J535=3),VLOOKUP(_xlfn.MINIFS('FIRE TEX 5062'!$B$4:$B$34,'FIRE TEX 5062'!$B$4:$B$34,"&gt;="&amp;M535),'FIRE TEX 5062'!$B$4:$F$34,IF(L535="F-15",2,IF(L535="F-30",3,IF(L535="F-60",4,IF(L535="F-90",5,0)))),0),0)+IF(AND(O535="FIRE TEX 5062",OR(E535="IN",E535="C",E535="Z",E535="L"),J535=4),VLOOKUP(_xlfn.MINIFS('FIRE TEX 5062'!$G$4:$G$34,'FIRE TEX 5062'!$G$4:$G$34,"&gt;="&amp;M535),'FIRE TEX 5062'!$G$4:$K$34,IF(L535="F-15",2,IF(L535="F-30",3,IF(L535="F-60",4,IF(L535="F-90",5,0)))),0),0)+IF(AND(O535="FIRE TEX 5062",E535="CJ",J535=3),VLOOKUP(_xlfn.MINIFS('FIRE TEX 5062'!$L$4:$L$34,'FIRE TEX 5062'!$L$4:$L$34,"&gt;="&amp;M535),'FIRE TEX 5062'!$L$4:$P$34,IF(L535="F-15",2,IF(L535="F-30",3,IF(L535="F-60",4,IF(L535="F-90",5,0)))),0),0)+IF(AND(O535="FIRE TEX 5062",E535="CJ",J535=4),VLOOKUP(_xlfn.MINIFS('FIRE TEX 5062'!$Q$3:$Q$34,'FIRE TEX 5062'!$Q$3:$Q$34,"&gt;="&amp;M535),'FIRE TEX 5062'!$Q$3:$U$34,IF(L535="F-15",2,IF(L535="F-30",3,IF(L535="F-60",4,IF(L535="F-90",5,0)))),0),0)+IF(AND(O535="FIRE TEX 5090",OR(E535="IN",E535="C",E535="Z",E535="L"),J535=3),VLOOKUP(_xlfn.MINIFS('FIRE TEX 5090'!$B$5:$B$43,'FIRE TEX 5090'!$B$5:$B$43,"&gt;="&amp;M535),'FIRE TEX 5090'!$B$5:$H$43,IF(L535="F-15",2,IF(L535="F-30",3,IF(L535="F-60",4,IF(L535="F-90",5,IF(L535="F-120",6,IF(L535="F-150",7,0)))))),0),0)+IF(AND(O535="FIRE TEX 5090",OR(E535="IN",E535="C",E535="Z",E535="L"),J535=4),VLOOKUP(_xlfn.MINIFS('FIRE TEX 5090'!$J$5:$J$43,'FIRE TEX 5090'!$J$5:$J$43,"&gt;="&amp;M535),'FIRE TEX 5090'!$J$5:$P$43,IF(L535="F-15",2,IF(L535="F-30",3,IF(L535="F-60",4,IF(L535="F-90",5,IF(L535="F-120",6,IF(L535="F-150",7,0)))))),0),0)+IF(AND(O535="FIRE TEX 5090",E535="CJ",J535=3),VLOOKUP(_xlfn.MINIFS('FIRE TEX 5090'!$R$5:$R$30,'FIRE TEX 5090'!$R$5:$R$30,"&gt;="&amp;M535),'FIRE TEX 5090'!$R$5:$W$30,IF(L535="F-15",2,IF(L535="F-30",3,IF(L535="F-60",4,IF(L535="F-90",5,IF(L535="F-120",6,IF(L535="F-150",7,0)))))),0),0)+IF(AND(O535="FIRE TEX 5090",E535="CJ",J535=4),VLOOKUP(_xlfn.MINIFS('FIRE TEX 5090'!$Y$5:$Y$39,'FIRE TEX 5090'!$Y$5:$Y$39,"&gt;="&amp;M535),'FIRE TEX 5090'!$Y$5:$AD$39,IF(L535="F-15",2,IF(L535="F-30",3,IF(L535="F-60",4,IF(L535="F-90",5,IF(L535="F-120",6,IF(L535="F-150",7,0)))))),0),0)+IF(AND(O535="FIRE TEX 5120",OR(E535="IN",E535="C",E535="Z",E535="L"),J535=3),VLOOKUP(_xlfn.MINIFS('FIRE TEX 5120'!$B$5:$B$40,'FIRE TEX 5120'!$B$5:$B$40,"&gt;="&amp;M535),'FIRE TEX 5120'!$B$5:$G$40,IF(L535="F-15",2,IF(L535="F-30",3,IF(L535="F-60",4,IF(L535="F-90",5,IF(L535="F-120",6,0))))),0),0)+IF(AND(O535="FIRE TEX 5120",OR(E535="IN",E535="C",E535="Z",E535="L"),J535=4),VLOOKUP(_xlfn.MINIFS('FIRE TEX 5120'!$H$4:$H$40,'FIRE TEX 5120'!$H$4:$H$40,"&gt;="&amp;M535),'FIRE TEX 5120'!$H$4:$M$40,IF(L535="F-15",2,IF(L535="F-30",3,IF(L535="F-60",4,IF(L535="F-90",5,IF(L535="F-120",6,0))))),0),0)+IF(AND(O535="FIRE TEX 5120",E535="CJ"),VLOOKUP(_xlfn.MINIFS('FIRE TEX 5120'!$O$5:$O$40,'FIRE TEX 5120'!$O$5:$O$40,"&gt;="&amp;M535),'FIRE TEX 5120'!$O$5:$T$40,IF(L535="F-15",2,IF(L535="F-30",3,IF(L535="F-60",4,IF(L535="F-90",5,IF(L535="F-120",6,0))))),0),0)</f>
        <v>0</v>
      </c>
      <c r="Q535" s="46">
        <f t="shared" si="59"/>
        <v>0</v>
      </c>
      <c r="R535" s="46">
        <f t="shared" si="60"/>
        <v>0</v>
      </c>
      <c r="S535" s="46" t="e">
        <f t="shared" si="61"/>
        <v>#VALUE!</v>
      </c>
      <c r="T535" s="677">
        <f t="shared" si="62"/>
        <v>0</v>
      </c>
      <c r="U535" s="80">
        <f>(IF(O535="Stofire",(S535*#REF!),0))+(IF(O535="Fire Control",(S535*$U$2),0))+(IF(O535="Fire Tex",(S535*$U$3),0))+(IF(O535="WB7",(S535*#REF!),0)+(IF(O535="FX 2003",(S535*$U$5),0)))</f>
        <v>0</v>
      </c>
      <c r="V535" s="651">
        <f t="shared" si="63"/>
        <v>0</v>
      </c>
    </row>
    <row r="536" spans="4:22" x14ac:dyDescent="0.25">
      <c r="D536" s="118">
        <f>+CUBICACION!D535</f>
        <v>0</v>
      </c>
      <c r="E536" s="118">
        <f>+CUBICACION!F535</f>
        <v>0</v>
      </c>
      <c r="F536" s="118">
        <f>+CUBICACION!E535</f>
        <v>0</v>
      </c>
      <c r="G536" s="118">
        <v>12</v>
      </c>
      <c r="H536" s="118">
        <v>2</v>
      </c>
      <c r="I536" s="820">
        <v>26385</v>
      </c>
      <c r="J536" s="118">
        <f>+CUBICACION!J535</f>
        <v>0</v>
      </c>
      <c r="K536" s="118">
        <v>3315</v>
      </c>
      <c r="L536" s="118">
        <f>+CUBICACION!L535</f>
        <v>0</v>
      </c>
      <c r="M536" s="64">
        <f>+CUBICACION!M535</f>
        <v>0</v>
      </c>
      <c r="N536" s="824" t="str">
        <f>+CUBICACION!N535</f>
        <v/>
      </c>
      <c r="O536" s="675">
        <f>+CUBICACION!O535</f>
        <v>0</v>
      </c>
      <c r="P536" s="15">
        <f>IF(O536="Fire Control",VLOOKUP(_xlfn.MINIFS('FIRE CONTROL'!$C$4:$C$37,'FIRE CONTROL'!$C$4:$C$37,"&gt;="&amp;M536),'FIRE CONTROL'!$C$4:$G$37,IF(L536="F-15",2,IF(L536="F-30",3,IF(L536="F-60",4,IF(L536="F-90",5,0)))),0),0)+IF(AND(O536="FIRE TEX 5062",OR(E536="IN",E536="C",E536="Z",E536="L"),J536=3),VLOOKUP(_xlfn.MINIFS('FIRE TEX 5062'!$B$4:$B$34,'FIRE TEX 5062'!$B$4:$B$34,"&gt;="&amp;M536),'FIRE TEX 5062'!$B$4:$F$34,IF(L536="F-15",2,IF(L536="F-30",3,IF(L536="F-60",4,IF(L536="F-90",5,0)))),0),0)+IF(AND(O536="FIRE TEX 5062",OR(E536="IN",E536="C",E536="Z",E536="L"),J536=4),VLOOKUP(_xlfn.MINIFS('FIRE TEX 5062'!$G$4:$G$34,'FIRE TEX 5062'!$G$4:$G$34,"&gt;="&amp;M536),'FIRE TEX 5062'!$G$4:$K$34,IF(L536="F-15",2,IF(L536="F-30",3,IF(L536="F-60",4,IF(L536="F-90",5,0)))),0),0)+IF(AND(O536="FIRE TEX 5062",E536="CJ",J536=3),VLOOKUP(_xlfn.MINIFS('FIRE TEX 5062'!$L$4:$L$34,'FIRE TEX 5062'!$L$4:$L$34,"&gt;="&amp;M536),'FIRE TEX 5062'!$L$4:$P$34,IF(L536="F-15",2,IF(L536="F-30",3,IF(L536="F-60",4,IF(L536="F-90",5,0)))),0),0)+IF(AND(O536="FIRE TEX 5062",E536="CJ",J536=4),VLOOKUP(_xlfn.MINIFS('FIRE TEX 5062'!$Q$3:$Q$34,'FIRE TEX 5062'!$Q$3:$Q$34,"&gt;="&amp;M536),'FIRE TEX 5062'!$Q$3:$U$34,IF(L536="F-15",2,IF(L536="F-30",3,IF(L536="F-60",4,IF(L536="F-90",5,0)))),0),0)+IF(AND(O536="FIRE TEX 5090",OR(E536="IN",E536="C",E536="Z",E536="L"),J536=3),VLOOKUP(_xlfn.MINIFS('FIRE TEX 5090'!$B$5:$B$43,'FIRE TEX 5090'!$B$5:$B$43,"&gt;="&amp;M536),'FIRE TEX 5090'!$B$5:$H$43,IF(L536="F-15",2,IF(L536="F-30",3,IF(L536="F-60",4,IF(L536="F-90",5,IF(L536="F-120",6,IF(L536="F-150",7,0)))))),0),0)+IF(AND(O536="FIRE TEX 5090",OR(E536="IN",E536="C",E536="Z",E536="L"),J536=4),VLOOKUP(_xlfn.MINIFS('FIRE TEX 5090'!$J$5:$J$43,'FIRE TEX 5090'!$J$5:$J$43,"&gt;="&amp;M536),'FIRE TEX 5090'!$J$5:$P$43,IF(L536="F-15",2,IF(L536="F-30",3,IF(L536="F-60",4,IF(L536="F-90",5,IF(L536="F-120",6,IF(L536="F-150",7,0)))))),0),0)+IF(AND(O536="FIRE TEX 5090",E536="CJ",J536=3),VLOOKUP(_xlfn.MINIFS('FIRE TEX 5090'!$R$5:$R$30,'FIRE TEX 5090'!$R$5:$R$30,"&gt;="&amp;M536),'FIRE TEX 5090'!$R$5:$W$30,IF(L536="F-15",2,IF(L536="F-30",3,IF(L536="F-60",4,IF(L536="F-90",5,IF(L536="F-120",6,IF(L536="F-150",7,0)))))),0),0)+IF(AND(O536="FIRE TEX 5090",E536="CJ",J536=4),VLOOKUP(_xlfn.MINIFS('FIRE TEX 5090'!$Y$5:$Y$39,'FIRE TEX 5090'!$Y$5:$Y$39,"&gt;="&amp;M536),'FIRE TEX 5090'!$Y$5:$AD$39,IF(L536="F-15",2,IF(L536="F-30",3,IF(L536="F-60",4,IF(L536="F-90",5,IF(L536="F-120",6,IF(L536="F-150",7,0)))))),0),0)+IF(AND(O536="FIRE TEX 5120",OR(E536="IN",E536="C",E536="Z",E536="L"),J536=3),VLOOKUP(_xlfn.MINIFS('FIRE TEX 5120'!$B$5:$B$40,'FIRE TEX 5120'!$B$5:$B$40,"&gt;="&amp;M536),'FIRE TEX 5120'!$B$5:$G$40,IF(L536="F-15",2,IF(L536="F-30",3,IF(L536="F-60",4,IF(L536="F-90",5,IF(L536="F-120",6,0))))),0),0)+IF(AND(O536="FIRE TEX 5120",OR(E536="IN",E536="C",E536="Z",E536="L"),J536=4),VLOOKUP(_xlfn.MINIFS('FIRE TEX 5120'!$H$4:$H$40,'FIRE TEX 5120'!$H$4:$H$40,"&gt;="&amp;M536),'FIRE TEX 5120'!$H$4:$M$40,IF(L536="F-15",2,IF(L536="F-30",3,IF(L536="F-60",4,IF(L536="F-90",5,IF(L536="F-120",6,0))))),0),0)+IF(AND(O536="FIRE TEX 5120",E536="CJ"),VLOOKUP(_xlfn.MINIFS('FIRE TEX 5120'!$O$5:$O$40,'FIRE TEX 5120'!$O$5:$O$40,"&gt;="&amp;M536),'FIRE TEX 5120'!$O$5:$T$40,IF(L536="F-15",2,IF(L536="F-30",3,IF(L536="F-60",4,IF(L536="F-90",5,IF(L536="F-120",6,0))))),0),0)</f>
        <v>0</v>
      </c>
      <c r="Q536" s="46">
        <f t="shared" si="59"/>
        <v>0</v>
      </c>
      <c r="R536" s="46">
        <f t="shared" si="60"/>
        <v>0</v>
      </c>
      <c r="S536" s="46" t="e">
        <f t="shared" si="61"/>
        <v>#VALUE!</v>
      </c>
      <c r="T536" s="677">
        <f t="shared" si="62"/>
        <v>0</v>
      </c>
      <c r="U536" s="80">
        <f>(IF(O536="Stofire",(S536*#REF!),0))+(IF(O536="Fire Control",(S536*$U$2),0))+(IF(O536="Fire Tex",(S536*$U$3),0))+(IF(O536="WB7",(S536*#REF!),0)+(IF(O536="FX 2003",(S536*$U$5),0)))</f>
        <v>0</v>
      </c>
      <c r="V536" s="651">
        <f t="shared" si="63"/>
        <v>0</v>
      </c>
    </row>
    <row r="537" spans="4:22" x14ac:dyDescent="0.25">
      <c r="D537" s="118">
        <f>+CUBICACION!D536</f>
        <v>0</v>
      </c>
      <c r="E537" s="118">
        <f>+CUBICACION!F536</f>
        <v>0</v>
      </c>
      <c r="F537" s="118">
        <f>+CUBICACION!E536</f>
        <v>0</v>
      </c>
      <c r="G537" s="118">
        <v>12</v>
      </c>
      <c r="H537" s="118">
        <v>2</v>
      </c>
      <c r="I537" s="820">
        <v>26385</v>
      </c>
      <c r="J537" s="118">
        <f>+CUBICACION!J536</f>
        <v>0</v>
      </c>
      <c r="K537" s="118">
        <v>3316</v>
      </c>
      <c r="L537" s="118">
        <f>+CUBICACION!L536</f>
        <v>0</v>
      </c>
      <c r="M537" s="64">
        <f>+CUBICACION!M536</f>
        <v>0</v>
      </c>
      <c r="N537" s="824" t="str">
        <f>+CUBICACION!N536</f>
        <v/>
      </c>
      <c r="O537" s="675">
        <f>+CUBICACION!O536</f>
        <v>0</v>
      </c>
      <c r="P537" s="15">
        <f>IF(O537="Fire Control",VLOOKUP(_xlfn.MINIFS('FIRE CONTROL'!$C$4:$C$37,'FIRE CONTROL'!$C$4:$C$37,"&gt;="&amp;M537),'FIRE CONTROL'!$C$4:$G$37,IF(L537="F-15",2,IF(L537="F-30",3,IF(L537="F-60",4,IF(L537="F-90",5,0)))),0),0)+IF(AND(O537="FIRE TEX 5062",OR(E537="IN",E537="C",E537="Z",E537="L"),J537=3),VLOOKUP(_xlfn.MINIFS('FIRE TEX 5062'!$B$4:$B$34,'FIRE TEX 5062'!$B$4:$B$34,"&gt;="&amp;M537),'FIRE TEX 5062'!$B$4:$F$34,IF(L537="F-15",2,IF(L537="F-30",3,IF(L537="F-60",4,IF(L537="F-90",5,0)))),0),0)+IF(AND(O537="FIRE TEX 5062",OR(E537="IN",E537="C",E537="Z",E537="L"),J537=4),VLOOKUP(_xlfn.MINIFS('FIRE TEX 5062'!$G$4:$G$34,'FIRE TEX 5062'!$G$4:$G$34,"&gt;="&amp;M537),'FIRE TEX 5062'!$G$4:$K$34,IF(L537="F-15",2,IF(L537="F-30",3,IF(L537="F-60",4,IF(L537="F-90",5,0)))),0),0)+IF(AND(O537="FIRE TEX 5062",E537="CJ",J537=3),VLOOKUP(_xlfn.MINIFS('FIRE TEX 5062'!$L$4:$L$34,'FIRE TEX 5062'!$L$4:$L$34,"&gt;="&amp;M537),'FIRE TEX 5062'!$L$4:$P$34,IF(L537="F-15",2,IF(L537="F-30",3,IF(L537="F-60",4,IF(L537="F-90",5,0)))),0),0)+IF(AND(O537="FIRE TEX 5062",E537="CJ",J537=4),VLOOKUP(_xlfn.MINIFS('FIRE TEX 5062'!$Q$3:$Q$34,'FIRE TEX 5062'!$Q$3:$Q$34,"&gt;="&amp;M537),'FIRE TEX 5062'!$Q$3:$U$34,IF(L537="F-15",2,IF(L537="F-30",3,IF(L537="F-60",4,IF(L537="F-90",5,0)))),0),0)+IF(AND(O537="FIRE TEX 5090",OR(E537="IN",E537="C",E537="Z",E537="L"),J537=3),VLOOKUP(_xlfn.MINIFS('FIRE TEX 5090'!$B$5:$B$43,'FIRE TEX 5090'!$B$5:$B$43,"&gt;="&amp;M537),'FIRE TEX 5090'!$B$5:$H$43,IF(L537="F-15",2,IF(L537="F-30",3,IF(L537="F-60",4,IF(L537="F-90",5,IF(L537="F-120",6,IF(L537="F-150",7,0)))))),0),0)+IF(AND(O537="FIRE TEX 5090",OR(E537="IN",E537="C",E537="Z",E537="L"),J537=4),VLOOKUP(_xlfn.MINIFS('FIRE TEX 5090'!$J$5:$J$43,'FIRE TEX 5090'!$J$5:$J$43,"&gt;="&amp;M537),'FIRE TEX 5090'!$J$5:$P$43,IF(L537="F-15",2,IF(L537="F-30",3,IF(L537="F-60",4,IF(L537="F-90",5,IF(L537="F-120",6,IF(L537="F-150",7,0)))))),0),0)+IF(AND(O537="FIRE TEX 5090",E537="CJ",J537=3),VLOOKUP(_xlfn.MINIFS('FIRE TEX 5090'!$R$5:$R$30,'FIRE TEX 5090'!$R$5:$R$30,"&gt;="&amp;M537),'FIRE TEX 5090'!$R$5:$W$30,IF(L537="F-15",2,IF(L537="F-30",3,IF(L537="F-60",4,IF(L537="F-90",5,IF(L537="F-120",6,IF(L537="F-150",7,0)))))),0),0)+IF(AND(O537="FIRE TEX 5090",E537="CJ",J537=4),VLOOKUP(_xlfn.MINIFS('FIRE TEX 5090'!$Y$5:$Y$39,'FIRE TEX 5090'!$Y$5:$Y$39,"&gt;="&amp;M537),'FIRE TEX 5090'!$Y$5:$AD$39,IF(L537="F-15",2,IF(L537="F-30",3,IF(L537="F-60",4,IF(L537="F-90",5,IF(L537="F-120",6,IF(L537="F-150",7,0)))))),0),0)+IF(AND(O537="FIRE TEX 5120",OR(E537="IN",E537="C",E537="Z",E537="L"),J537=3),VLOOKUP(_xlfn.MINIFS('FIRE TEX 5120'!$B$5:$B$40,'FIRE TEX 5120'!$B$5:$B$40,"&gt;="&amp;M537),'FIRE TEX 5120'!$B$5:$G$40,IF(L537="F-15",2,IF(L537="F-30",3,IF(L537="F-60",4,IF(L537="F-90",5,IF(L537="F-120",6,0))))),0),0)+IF(AND(O537="FIRE TEX 5120",OR(E537="IN",E537="C",E537="Z",E537="L"),J537=4),VLOOKUP(_xlfn.MINIFS('FIRE TEX 5120'!$H$4:$H$40,'FIRE TEX 5120'!$H$4:$H$40,"&gt;="&amp;M537),'FIRE TEX 5120'!$H$4:$M$40,IF(L537="F-15",2,IF(L537="F-30",3,IF(L537="F-60",4,IF(L537="F-90",5,IF(L537="F-120",6,0))))),0),0)+IF(AND(O537="FIRE TEX 5120",E537="CJ"),VLOOKUP(_xlfn.MINIFS('FIRE TEX 5120'!$O$5:$O$40,'FIRE TEX 5120'!$O$5:$O$40,"&gt;="&amp;M537),'FIRE TEX 5120'!$O$5:$T$40,IF(L537="F-15",2,IF(L537="F-30",3,IF(L537="F-60",4,IF(L537="F-90",5,IF(L537="F-120",6,0))))),0),0)</f>
        <v>0</v>
      </c>
      <c r="Q537" s="46">
        <f t="shared" si="59"/>
        <v>0</v>
      </c>
      <c r="R537" s="46">
        <f t="shared" si="60"/>
        <v>0</v>
      </c>
      <c r="S537" s="46" t="e">
        <f t="shared" si="61"/>
        <v>#VALUE!</v>
      </c>
      <c r="T537" s="677">
        <f t="shared" si="62"/>
        <v>0</v>
      </c>
      <c r="U537" s="80">
        <f>(IF(O537="Stofire",(S537*#REF!),0))+(IF(O537="Fire Control",(S537*$U$2),0))+(IF(O537="Fire Tex",(S537*$U$3),0))+(IF(O537="WB7",(S537*#REF!),0)+(IF(O537="FX 2003",(S537*$U$5),0)))</f>
        <v>0</v>
      </c>
      <c r="V537" s="651">
        <f t="shared" si="63"/>
        <v>0</v>
      </c>
    </row>
    <row r="538" spans="4:22" x14ac:dyDescent="0.25">
      <c r="D538" s="118">
        <f>+CUBICACION!D537</f>
        <v>0</v>
      </c>
      <c r="E538" s="118">
        <f>+CUBICACION!F537</f>
        <v>0</v>
      </c>
      <c r="F538" s="118">
        <f>+CUBICACION!E537</f>
        <v>0</v>
      </c>
      <c r="G538" s="118">
        <v>12</v>
      </c>
      <c r="H538" s="118">
        <v>2</v>
      </c>
      <c r="I538" s="820">
        <v>26385</v>
      </c>
      <c r="J538" s="118">
        <f>+CUBICACION!J537</f>
        <v>0</v>
      </c>
      <c r="K538" s="118">
        <v>3317</v>
      </c>
      <c r="L538" s="118">
        <f>+CUBICACION!L537</f>
        <v>0</v>
      </c>
      <c r="M538" s="64">
        <f>+CUBICACION!M537</f>
        <v>0</v>
      </c>
      <c r="N538" s="824" t="str">
        <f>+CUBICACION!N537</f>
        <v/>
      </c>
      <c r="O538" s="675">
        <f>+CUBICACION!O537</f>
        <v>0</v>
      </c>
      <c r="P538" s="15">
        <f>IF(O538="Fire Control",VLOOKUP(_xlfn.MINIFS('FIRE CONTROL'!$C$4:$C$37,'FIRE CONTROL'!$C$4:$C$37,"&gt;="&amp;M538),'FIRE CONTROL'!$C$4:$G$37,IF(L538="F-15",2,IF(L538="F-30",3,IF(L538="F-60",4,IF(L538="F-90",5,0)))),0),0)+IF(AND(O538="FIRE TEX 5062",OR(E538="IN",E538="C",E538="Z",E538="L"),J538=3),VLOOKUP(_xlfn.MINIFS('FIRE TEX 5062'!$B$4:$B$34,'FIRE TEX 5062'!$B$4:$B$34,"&gt;="&amp;M538),'FIRE TEX 5062'!$B$4:$F$34,IF(L538="F-15",2,IF(L538="F-30",3,IF(L538="F-60",4,IF(L538="F-90",5,0)))),0),0)+IF(AND(O538="FIRE TEX 5062",OR(E538="IN",E538="C",E538="Z",E538="L"),J538=4),VLOOKUP(_xlfn.MINIFS('FIRE TEX 5062'!$G$4:$G$34,'FIRE TEX 5062'!$G$4:$G$34,"&gt;="&amp;M538),'FIRE TEX 5062'!$G$4:$K$34,IF(L538="F-15",2,IF(L538="F-30",3,IF(L538="F-60",4,IF(L538="F-90",5,0)))),0),0)+IF(AND(O538="FIRE TEX 5062",E538="CJ",J538=3),VLOOKUP(_xlfn.MINIFS('FIRE TEX 5062'!$L$4:$L$34,'FIRE TEX 5062'!$L$4:$L$34,"&gt;="&amp;M538),'FIRE TEX 5062'!$L$4:$P$34,IF(L538="F-15",2,IF(L538="F-30",3,IF(L538="F-60",4,IF(L538="F-90",5,0)))),0),0)+IF(AND(O538="FIRE TEX 5062",E538="CJ",J538=4),VLOOKUP(_xlfn.MINIFS('FIRE TEX 5062'!$Q$3:$Q$34,'FIRE TEX 5062'!$Q$3:$Q$34,"&gt;="&amp;M538),'FIRE TEX 5062'!$Q$3:$U$34,IF(L538="F-15",2,IF(L538="F-30",3,IF(L538="F-60",4,IF(L538="F-90",5,0)))),0),0)+IF(AND(O538="FIRE TEX 5090",OR(E538="IN",E538="C",E538="Z",E538="L"),J538=3),VLOOKUP(_xlfn.MINIFS('FIRE TEX 5090'!$B$5:$B$43,'FIRE TEX 5090'!$B$5:$B$43,"&gt;="&amp;M538),'FIRE TEX 5090'!$B$5:$H$43,IF(L538="F-15",2,IF(L538="F-30",3,IF(L538="F-60",4,IF(L538="F-90",5,IF(L538="F-120",6,IF(L538="F-150",7,0)))))),0),0)+IF(AND(O538="FIRE TEX 5090",OR(E538="IN",E538="C",E538="Z",E538="L"),J538=4),VLOOKUP(_xlfn.MINIFS('FIRE TEX 5090'!$J$5:$J$43,'FIRE TEX 5090'!$J$5:$J$43,"&gt;="&amp;M538),'FIRE TEX 5090'!$J$5:$P$43,IF(L538="F-15",2,IF(L538="F-30",3,IF(L538="F-60",4,IF(L538="F-90",5,IF(L538="F-120",6,IF(L538="F-150",7,0)))))),0),0)+IF(AND(O538="FIRE TEX 5090",E538="CJ",J538=3),VLOOKUP(_xlfn.MINIFS('FIRE TEX 5090'!$R$5:$R$30,'FIRE TEX 5090'!$R$5:$R$30,"&gt;="&amp;M538),'FIRE TEX 5090'!$R$5:$W$30,IF(L538="F-15",2,IF(L538="F-30",3,IF(L538="F-60",4,IF(L538="F-90",5,IF(L538="F-120",6,IF(L538="F-150",7,0)))))),0),0)+IF(AND(O538="FIRE TEX 5090",E538="CJ",J538=4),VLOOKUP(_xlfn.MINIFS('FIRE TEX 5090'!$Y$5:$Y$39,'FIRE TEX 5090'!$Y$5:$Y$39,"&gt;="&amp;M538),'FIRE TEX 5090'!$Y$5:$AD$39,IF(L538="F-15",2,IF(L538="F-30",3,IF(L538="F-60",4,IF(L538="F-90",5,IF(L538="F-120",6,IF(L538="F-150",7,0)))))),0),0)+IF(AND(O538="FIRE TEX 5120",OR(E538="IN",E538="C",E538="Z",E538="L"),J538=3),VLOOKUP(_xlfn.MINIFS('FIRE TEX 5120'!$B$5:$B$40,'FIRE TEX 5120'!$B$5:$B$40,"&gt;="&amp;M538),'FIRE TEX 5120'!$B$5:$G$40,IF(L538="F-15",2,IF(L538="F-30",3,IF(L538="F-60",4,IF(L538="F-90",5,IF(L538="F-120",6,0))))),0),0)+IF(AND(O538="FIRE TEX 5120",OR(E538="IN",E538="C",E538="Z",E538="L"),J538=4),VLOOKUP(_xlfn.MINIFS('FIRE TEX 5120'!$H$4:$H$40,'FIRE TEX 5120'!$H$4:$H$40,"&gt;="&amp;M538),'FIRE TEX 5120'!$H$4:$M$40,IF(L538="F-15",2,IF(L538="F-30",3,IF(L538="F-60",4,IF(L538="F-90",5,IF(L538="F-120",6,0))))),0),0)+IF(AND(O538="FIRE TEX 5120",E538="CJ"),VLOOKUP(_xlfn.MINIFS('FIRE TEX 5120'!$O$5:$O$40,'FIRE TEX 5120'!$O$5:$O$40,"&gt;="&amp;M538),'FIRE TEX 5120'!$O$5:$T$40,IF(L538="F-15",2,IF(L538="F-30",3,IF(L538="F-60",4,IF(L538="F-90",5,IF(L538="F-120",6,0))))),0),0)</f>
        <v>0</v>
      </c>
      <c r="Q538" s="46">
        <f t="shared" si="59"/>
        <v>0</v>
      </c>
      <c r="R538" s="46">
        <f t="shared" si="60"/>
        <v>0</v>
      </c>
      <c r="S538" s="46" t="e">
        <f t="shared" si="61"/>
        <v>#VALUE!</v>
      </c>
      <c r="T538" s="677">
        <f t="shared" si="62"/>
        <v>0</v>
      </c>
      <c r="U538" s="80">
        <f>(IF(O538="Stofire",(S538*#REF!),0))+(IF(O538="Fire Control",(S538*$U$2),0))+(IF(O538="Fire Tex",(S538*$U$3),0))+(IF(O538="WB7",(S538*#REF!),0)+(IF(O538="FX 2003",(S538*$U$5),0)))</f>
        <v>0</v>
      </c>
      <c r="V538" s="651">
        <f t="shared" si="63"/>
        <v>0</v>
      </c>
    </row>
    <row r="539" spans="4:22" x14ac:dyDescent="0.25">
      <c r="D539" s="118">
        <f>+CUBICACION!D538</f>
        <v>0</v>
      </c>
      <c r="E539" s="118">
        <f>+CUBICACION!F538</f>
        <v>0</v>
      </c>
      <c r="F539" s="118">
        <f>+CUBICACION!E538</f>
        <v>0</v>
      </c>
      <c r="G539" s="118">
        <v>12</v>
      </c>
      <c r="H539" s="118">
        <v>2</v>
      </c>
      <c r="I539" s="820">
        <v>26385</v>
      </c>
      <c r="J539" s="118">
        <f>+CUBICACION!J538</f>
        <v>0</v>
      </c>
      <c r="K539" s="118">
        <v>3318</v>
      </c>
      <c r="L539" s="118">
        <f>+CUBICACION!L538</f>
        <v>0</v>
      </c>
      <c r="M539" s="64">
        <f>+CUBICACION!M538</f>
        <v>0</v>
      </c>
      <c r="N539" s="824" t="str">
        <f>+CUBICACION!N538</f>
        <v/>
      </c>
      <c r="O539" s="675">
        <f>+CUBICACION!O538</f>
        <v>0</v>
      </c>
      <c r="P539" s="15">
        <f>IF(O539="Fire Control",VLOOKUP(_xlfn.MINIFS('FIRE CONTROL'!$C$4:$C$37,'FIRE CONTROL'!$C$4:$C$37,"&gt;="&amp;M539),'FIRE CONTROL'!$C$4:$G$37,IF(L539="F-15",2,IF(L539="F-30",3,IF(L539="F-60",4,IF(L539="F-90",5,0)))),0),0)+IF(AND(O539="FIRE TEX 5062",OR(E539="IN",E539="C",E539="Z",E539="L"),J539=3),VLOOKUP(_xlfn.MINIFS('FIRE TEX 5062'!$B$4:$B$34,'FIRE TEX 5062'!$B$4:$B$34,"&gt;="&amp;M539),'FIRE TEX 5062'!$B$4:$F$34,IF(L539="F-15",2,IF(L539="F-30",3,IF(L539="F-60",4,IF(L539="F-90",5,0)))),0),0)+IF(AND(O539="FIRE TEX 5062",OR(E539="IN",E539="C",E539="Z",E539="L"),J539=4),VLOOKUP(_xlfn.MINIFS('FIRE TEX 5062'!$G$4:$G$34,'FIRE TEX 5062'!$G$4:$G$34,"&gt;="&amp;M539),'FIRE TEX 5062'!$G$4:$K$34,IF(L539="F-15",2,IF(L539="F-30",3,IF(L539="F-60",4,IF(L539="F-90",5,0)))),0),0)+IF(AND(O539="FIRE TEX 5062",E539="CJ",J539=3),VLOOKUP(_xlfn.MINIFS('FIRE TEX 5062'!$L$4:$L$34,'FIRE TEX 5062'!$L$4:$L$34,"&gt;="&amp;M539),'FIRE TEX 5062'!$L$4:$P$34,IF(L539="F-15",2,IF(L539="F-30",3,IF(L539="F-60",4,IF(L539="F-90",5,0)))),0),0)+IF(AND(O539="FIRE TEX 5062",E539="CJ",J539=4),VLOOKUP(_xlfn.MINIFS('FIRE TEX 5062'!$Q$3:$Q$34,'FIRE TEX 5062'!$Q$3:$Q$34,"&gt;="&amp;M539),'FIRE TEX 5062'!$Q$3:$U$34,IF(L539="F-15",2,IF(L539="F-30",3,IF(L539="F-60",4,IF(L539="F-90",5,0)))),0),0)+IF(AND(O539="FIRE TEX 5090",OR(E539="IN",E539="C",E539="Z",E539="L"),J539=3),VLOOKUP(_xlfn.MINIFS('FIRE TEX 5090'!$B$5:$B$43,'FIRE TEX 5090'!$B$5:$B$43,"&gt;="&amp;M539),'FIRE TEX 5090'!$B$5:$H$43,IF(L539="F-15",2,IF(L539="F-30",3,IF(L539="F-60",4,IF(L539="F-90",5,IF(L539="F-120",6,IF(L539="F-150",7,0)))))),0),0)+IF(AND(O539="FIRE TEX 5090",OR(E539="IN",E539="C",E539="Z",E539="L"),J539=4),VLOOKUP(_xlfn.MINIFS('FIRE TEX 5090'!$J$5:$J$43,'FIRE TEX 5090'!$J$5:$J$43,"&gt;="&amp;M539),'FIRE TEX 5090'!$J$5:$P$43,IF(L539="F-15",2,IF(L539="F-30",3,IF(L539="F-60",4,IF(L539="F-90",5,IF(L539="F-120",6,IF(L539="F-150",7,0)))))),0),0)+IF(AND(O539="FIRE TEX 5090",E539="CJ",J539=3),VLOOKUP(_xlfn.MINIFS('FIRE TEX 5090'!$R$5:$R$30,'FIRE TEX 5090'!$R$5:$R$30,"&gt;="&amp;M539),'FIRE TEX 5090'!$R$5:$W$30,IF(L539="F-15",2,IF(L539="F-30",3,IF(L539="F-60",4,IF(L539="F-90",5,IF(L539="F-120",6,IF(L539="F-150",7,0)))))),0),0)+IF(AND(O539="FIRE TEX 5090",E539="CJ",J539=4),VLOOKUP(_xlfn.MINIFS('FIRE TEX 5090'!$Y$5:$Y$39,'FIRE TEX 5090'!$Y$5:$Y$39,"&gt;="&amp;M539),'FIRE TEX 5090'!$Y$5:$AD$39,IF(L539="F-15",2,IF(L539="F-30",3,IF(L539="F-60",4,IF(L539="F-90",5,IF(L539="F-120",6,IF(L539="F-150",7,0)))))),0),0)+IF(AND(O539="FIRE TEX 5120",OR(E539="IN",E539="C",E539="Z",E539="L"),J539=3),VLOOKUP(_xlfn.MINIFS('FIRE TEX 5120'!$B$5:$B$40,'FIRE TEX 5120'!$B$5:$B$40,"&gt;="&amp;M539),'FIRE TEX 5120'!$B$5:$G$40,IF(L539="F-15",2,IF(L539="F-30",3,IF(L539="F-60",4,IF(L539="F-90",5,IF(L539="F-120",6,0))))),0),0)+IF(AND(O539="FIRE TEX 5120",OR(E539="IN",E539="C",E539="Z",E539="L"),J539=4),VLOOKUP(_xlfn.MINIFS('FIRE TEX 5120'!$H$4:$H$40,'FIRE TEX 5120'!$H$4:$H$40,"&gt;="&amp;M539),'FIRE TEX 5120'!$H$4:$M$40,IF(L539="F-15",2,IF(L539="F-30",3,IF(L539="F-60",4,IF(L539="F-90",5,IF(L539="F-120",6,0))))),0),0)+IF(AND(O539="FIRE TEX 5120",E539="CJ"),VLOOKUP(_xlfn.MINIFS('FIRE TEX 5120'!$O$5:$O$40,'FIRE TEX 5120'!$O$5:$O$40,"&gt;="&amp;M539),'FIRE TEX 5120'!$O$5:$T$40,IF(L539="F-15",2,IF(L539="F-30",3,IF(L539="F-60",4,IF(L539="F-90",5,IF(L539="F-120",6,0))))),0),0)</f>
        <v>0</v>
      </c>
      <c r="Q539" s="46">
        <f t="shared" si="59"/>
        <v>0</v>
      </c>
      <c r="R539" s="46">
        <f t="shared" si="60"/>
        <v>0</v>
      </c>
      <c r="S539" s="46" t="e">
        <f t="shared" si="61"/>
        <v>#VALUE!</v>
      </c>
      <c r="T539" s="677">
        <f t="shared" si="62"/>
        <v>0</v>
      </c>
      <c r="U539" s="80">
        <f>(IF(O539="Stofire",(S539*#REF!),0))+(IF(O539="Fire Control",(S539*$U$2),0))+(IF(O539="Fire Tex",(S539*$U$3),0))+(IF(O539="WB7",(S539*#REF!),0)+(IF(O539="FX 2003",(S539*$U$5),0)))</f>
        <v>0</v>
      </c>
      <c r="V539" s="651">
        <f t="shared" si="63"/>
        <v>0</v>
      </c>
    </row>
    <row r="540" spans="4:22" x14ac:dyDescent="0.25">
      <c r="D540" s="118">
        <f>+CUBICACION!D539</f>
        <v>0</v>
      </c>
      <c r="E540" s="118">
        <f>+CUBICACION!F539</f>
        <v>0</v>
      </c>
      <c r="F540" s="118">
        <f>+CUBICACION!E539</f>
        <v>0</v>
      </c>
      <c r="G540" s="118">
        <v>12</v>
      </c>
      <c r="H540" s="118">
        <v>2</v>
      </c>
      <c r="I540" s="820">
        <v>26385</v>
      </c>
      <c r="J540" s="118">
        <f>+CUBICACION!J539</f>
        <v>0</v>
      </c>
      <c r="K540" s="118">
        <v>3319</v>
      </c>
      <c r="L540" s="118">
        <f>+CUBICACION!L539</f>
        <v>0</v>
      </c>
      <c r="M540" s="64">
        <f>+CUBICACION!M539</f>
        <v>0</v>
      </c>
      <c r="N540" s="824" t="str">
        <f>+CUBICACION!N539</f>
        <v/>
      </c>
      <c r="O540" s="675">
        <f>+CUBICACION!O539</f>
        <v>0</v>
      </c>
      <c r="P540" s="15">
        <f>IF(O540="Fire Control",VLOOKUP(_xlfn.MINIFS('FIRE CONTROL'!$C$4:$C$37,'FIRE CONTROL'!$C$4:$C$37,"&gt;="&amp;M540),'FIRE CONTROL'!$C$4:$G$37,IF(L540="F-15",2,IF(L540="F-30",3,IF(L540="F-60",4,IF(L540="F-90",5,0)))),0),0)+IF(AND(O540="FIRE TEX 5062",OR(E540="IN",E540="C",E540="Z",E540="L"),J540=3),VLOOKUP(_xlfn.MINIFS('FIRE TEX 5062'!$B$4:$B$34,'FIRE TEX 5062'!$B$4:$B$34,"&gt;="&amp;M540),'FIRE TEX 5062'!$B$4:$F$34,IF(L540="F-15",2,IF(L540="F-30",3,IF(L540="F-60",4,IF(L540="F-90",5,0)))),0),0)+IF(AND(O540="FIRE TEX 5062",OR(E540="IN",E540="C",E540="Z",E540="L"),J540=4),VLOOKUP(_xlfn.MINIFS('FIRE TEX 5062'!$G$4:$G$34,'FIRE TEX 5062'!$G$4:$G$34,"&gt;="&amp;M540),'FIRE TEX 5062'!$G$4:$K$34,IF(L540="F-15",2,IF(L540="F-30",3,IF(L540="F-60",4,IF(L540="F-90",5,0)))),0),0)+IF(AND(O540="FIRE TEX 5062",E540="CJ",J540=3),VLOOKUP(_xlfn.MINIFS('FIRE TEX 5062'!$L$4:$L$34,'FIRE TEX 5062'!$L$4:$L$34,"&gt;="&amp;M540),'FIRE TEX 5062'!$L$4:$P$34,IF(L540="F-15",2,IF(L540="F-30",3,IF(L540="F-60",4,IF(L540="F-90",5,0)))),0),0)+IF(AND(O540="FIRE TEX 5062",E540="CJ",J540=4),VLOOKUP(_xlfn.MINIFS('FIRE TEX 5062'!$Q$3:$Q$34,'FIRE TEX 5062'!$Q$3:$Q$34,"&gt;="&amp;M540),'FIRE TEX 5062'!$Q$3:$U$34,IF(L540="F-15",2,IF(L540="F-30",3,IF(L540="F-60",4,IF(L540="F-90",5,0)))),0),0)+IF(AND(O540="FIRE TEX 5090",OR(E540="IN",E540="C",E540="Z",E540="L"),J540=3),VLOOKUP(_xlfn.MINIFS('FIRE TEX 5090'!$B$5:$B$43,'FIRE TEX 5090'!$B$5:$B$43,"&gt;="&amp;M540),'FIRE TEX 5090'!$B$5:$H$43,IF(L540="F-15",2,IF(L540="F-30",3,IF(L540="F-60",4,IF(L540="F-90",5,IF(L540="F-120",6,IF(L540="F-150",7,0)))))),0),0)+IF(AND(O540="FIRE TEX 5090",OR(E540="IN",E540="C",E540="Z",E540="L"),J540=4),VLOOKUP(_xlfn.MINIFS('FIRE TEX 5090'!$J$5:$J$43,'FIRE TEX 5090'!$J$5:$J$43,"&gt;="&amp;M540),'FIRE TEX 5090'!$J$5:$P$43,IF(L540="F-15",2,IF(L540="F-30",3,IF(L540="F-60",4,IF(L540="F-90",5,IF(L540="F-120",6,IF(L540="F-150",7,0)))))),0),0)+IF(AND(O540="FIRE TEX 5090",E540="CJ",J540=3),VLOOKUP(_xlfn.MINIFS('FIRE TEX 5090'!$R$5:$R$30,'FIRE TEX 5090'!$R$5:$R$30,"&gt;="&amp;M540),'FIRE TEX 5090'!$R$5:$W$30,IF(L540="F-15",2,IF(L540="F-30",3,IF(L540="F-60",4,IF(L540="F-90",5,IF(L540="F-120",6,IF(L540="F-150",7,0)))))),0),0)+IF(AND(O540="FIRE TEX 5090",E540="CJ",J540=4),VLOOKUP(_xlfn.MINIFS('FIRE TEX 5090'!$Y$5:$Y$39,'FIRE TEX 5090'!$Y$5:$Y$39,"&gt;="&amp;M540),'FIRE TEX 5090'!$Y$5:$AD$39,IF(L540="F-15",2,IF(L540="F-30",3,IF(L540="F-60",4,IF(L540="F-90",5,IF(L540="F-120",6,IF(L540="F-150",7,0)))))),0),0)+IF(AND(O540="FIRE TEX 5120",OR(E540="IN",E540="C",E540="Z",E540="L"),J540=3),VLOOKUP(_xlfn.MINIFS('FIRE TEX 5120'!$B$5:$B$40,'FIRE TEX 5120'!$B$5:$B$40,"&gt;="&amp;M540),'FIRE TEX 5120'!$B$5:$G$40,IF(L540="F-15",2,IF(L540="F-30",3,IF(L540="F-60",4,IF(L540="F-90",5,IF(L540="F-120",6,0))))),0),0)+IF(AND(O540="FIRE TEX 5120",OR(E540="IN",E540="C",E540="Z",E540="L"),J540=4),VLOOKUP(_xlfn.MINIFS('FIRE TEX 5120'!$H$4:$H$40,'FIRE TEX 5120'!$H$4:$H$40,"&gt;="&amp;M540),'FIRE TEX 5120'!$H$4:$M$40,IF(L540="F-15",2,IF(L540="F-30",3,IF(L540="F-60",4,IF(L540="F-90",5,IF(L540="F-120",6,0))))),0),0)+IF(AND(O540="FIRE TEX 5120",E540="CJ"),VLOOKUP(_xlfn.MINIFS('FIRE TEX 5120'!$O$5:$O$40,'FIRE TEX 5120'!$O$5:$O$40,"&gt;="&amp;M540),'FIRE TEX 5120'!$O$5:$T$40,IF(L540="F-15",2,IF(L540="F-30",3,IF(L540="F-60",4,IF(L540="F-90",5,IF(L540="F-120",6,0))))),0),0)</f>
        <v>0</v>
      </c>
      <c r="Q540" s="46">
        <f t="shared" si="59"/>
        <v>0</v>
      </c>
      <c r="R540" s="46">
        <f t="shared" si="60"/>
        <v>0</v>
      </c>
      <c r="S540" s="46" t="e">
        <f t="shared" si="61"/>
        <v>#VALUE!</v>
      </c>
      <c r="T540" s="677">
        <f t="shared" si="62"/>
        <v>0</v>
      </c>
      <c r="U540" s="80">
        <f>(IF(O540="Stofire",(S540*#REF!),0))+(IF(O540="Fire Control",(S540*$U$2),0))+(IF(O540="Fire Tex",(S540*$U$3),0))+(IF(O540="WB7",(S540*#REF!),0)+(IF(O540="FX 2003",(S540*$U$5),0)))</f>
        <v>0</v>
      </c>
      <c r="V540" s="651">
        <f t="shared" si="63"/>
        <v>0</v>
      </c>
    </row>
    <row r="541" spans="4:22" x14ac:dyDescent="0.25">
      <c r="D541" s="118">
        <f>+CUBICACION!D540</f>
        <v>0</v>
      </c>
      <c r="E541" s="118">
        <f>+CUBICACION!F540</f>
        <v>0</v>
      </c>
      <c r="F541" s="118">
        <f>+CUBICACION!E540</f>
        <v>0</v>
      </c>
      <c r="G541" s="118">
        <v>12</v>
      </c>
      <c r="H541" s="118">
        <v>2</v>
      </c>
      <c r="I541" s="820">
        <v>26385</v>
      </c>
      <c r="J541" s="118">
        <f>+CUBICACION!J540</f>
        <v>0</v>
      </c>
      <c r="K541" s="118">
        <v>3320</v>
      </c>
      <c r="L541" s="118">
        <f>+CUBICACION!L540</f>
        <v>0</v>
      </c>
      <c r="M541" s="64">
        <f>+CUBICACION!M540</f>
        <v>0</v>
      </c>
      <c r="N541" s="824" t="str">
        <f>+CUBICACION!N540</f>
        <v/>
      </c>
      <c r="O541" s="675">
        <f>+CUBICACION!O540</f>
        <v>0</v>
      </c>
      <c r="P541" s="15">
        <f>IF(O541="Fire Control",VLOOKUP(_xlfn.MINIFS('FIRE CONTROL'!$C$4:$C$37,'FIRE CONTROL'!$C$4:$C$37,"&gt;="&amp;M541),'FIRE CONTROL'!$C$4:$G$37,IF(L541="F-15",2,IF(L541="F-30",3,IF(L541="F-60",4,IF(L541="F-90",5,0)))),0),0)+IF(AND(O541="FIRE TEX 5062",OR(E541="IN",E541="C",E541="Z",E541="L"),J541=3),VLOOKUP(_xlfn.MINIFS('FIRE TEX 5062'!$B$4:$B$34,'FIRE TEX 5062'!$B$4:$B$34,"&gt;="&amp;M541),'FIRE TEX 5062'!$B$4:$F$34,IF(L541="F-15",2,IF(L541="F-30",3,IF(L541="F-60",4,IF(L541="F-90",5,0)))),0),0)+IF(AND(O541="FIRE TEX 5062",OR(E541="IN",E541="C",E541="Z",E541="L"),J541=4),VLOOKUP(_xlfn.MINIFS('FIRE TEX 5062'!$G$4:$G$34,'FIRE TEX 5062'!$G$4:$G$34,"&gt;="&amp;M541),'FIRE TEX 5062'!$G$4:$K$34,IF(L541="F-15",2,IF(L541="F-30",3,IF(L541="F-60",4,IF(L541="F-90",5,0)))),0),0)+IF(AND(O541="FIRE TEX 5062",E541="CJ",J541=3),VLOOKUP(_xlfn.MINIFS('FIRE TEX 5062'!$L$4:$L$34,'FIRE TEX 5062'!$L$4:$L$34,"&gt;="&amp;M541),'FIRE TEX 5062'!$L$4:$P$34,IF(L541="F-15",2,IF(L541="F-30",3,IF(L541="F-60",4,IF(L541="F-90",5,0)))),0),0)+IF(AND(O541="FIRE TEX 5062",E541="CJ",J541=4),VLOOKUP(_xlfn.MINIFS('FIRE TEX 5062'!$Q$3:$Q$34,'FIRE TEX 5062'!$Q$3:$Q$34,"&gt;="&amp;M541),'FIRE TEX 5062'!$Q$3:$U$34,IF(L541="F-15",2,IF(L541="F-30",3,IF(L541="F-60",4,IF(L541="F-90",5,0)))),0),0)+IF(AND(O541="FIRE TEX 5090",OR(E541="IN",E541="C",E541="Z",E541="L"),J541=3),VLOOKUP(_xlfn.MINIFS('FIRE TEX 5090'!$B$5:$B$43,'FIRE TEX 5090'!$B$5:$B$43,"&gt;="&amp;M541),'FIRE TEX 5090'!$B$5:$H$43,IF(L541="F-15",2,IF(L541="F-30",3,IF(L541="F-60",4,IF(L541="F-90",5,IF(L541="F-120",6,IF(L541="F-150",7,0)))))),0),0)+IF(AND(O541="FIRE TEX 5090",OR(E541="IN",E541="C",E541="Z",E541="L"),J541=4),VLOOKUP(_xlfn.MINIFS('FIRE TEX 5090'!$J$5:$J$43,'FIRE TEX 5090'!$J$5:$J$43,"&gt;="&amp;M541),'FIRE TEX 5090'!$J$5:$P$43,IF(L541="F-15",2,IF(L541="F-30",3,IF(L541="F-60",4,IF(L541="F-90",5,IF(L541="F-120",6,IF(L541="F-150",7,0)))))),0),0)+IF(AND(O541="FIRE TEX 5090",E541="CJ",J541=3),VLOOKUP(_xlfn.MINIFS('FIRE TEX 5090'!$R$5:$R$30,'FIRE TEX 5090'!$R$5:$R$30,"&gt;="&amp;M541),'FIRE TEX 5090'!$R$5:$W$30,IF(L541="F-15",2,IF(L541="F-30",3,IF(L541="F-60",4,IF(L541="F-90",5,IF(L541="F-120",6,IF(L541="F-150",7,0)))))),0),0)+IF(AND(O541="FIRE TEX 5090",E541="CJ",J541=4),VLOOKUP(_xlfn.MINIFS('FIRE TEX 5090'!$Y$5:$Y$39,'FIRE TEX 5090'!$Y$5:$Y$39,"&gt;="&amp;M541),'FIRE TEX 5090'!$Y$5:$AD$39,IF(L541="F-15",2,IF(L541="F-30",3,IF(L541="F-60",4,IF(L541="F-90",5,IF(L541="F-120",6,IF(L541="F-150",7,0)))))),0),0)+IF(AND(O541="FIRE TEX 5120",OR(E541="IN",E541="C",E541="Z",E541="L"),J541=3),VLOOKUP(_xlfn.MINIFS('FIRE TEX 5120'!$B$5:$B$40,'FIRE TEX 5120'!$B$5:$B$40,"&gt;="&amp;M541),'FIRE TEX 5120'!$B$5:$G$40,IF(L541="F-15",2,IF(L541="F-30",3,IF(L541="F-60",4,IF(L541="F-90",5,IF(L541="F-120",6,0))))),0),0)+IF(AND(O541="FIRE TEX 5120",OR(E541="IN",E541="C",E541="Z",E541="L"),J541=4),VLOOKUP(_xlfn.MINIFS('FIRE TEX 5120'!$H$4:$H$40,'FIRE TEX 5120'!$H$4:$H$40,"&gt;="&amp;M541),'FIRE TEX 5120'!$H$4:$M$40,IF(L541="F-15",2,IF(L541="F-30",3,IF(L541="F-60",4,IF(L541="F-90",5,IF(L541="F-120",6,0))))),0),0)+IF(AND(O541="FIRE TEX 5120",E541="CJ"),VLOOKUP(_xlfn.MINIFS('FIRE TEX 5120'!$O$5:$O$40,'FIRE TEX 5120'!$O$5:$O$40,"&gt;="&amp;M541),'FIRE TEX 5120'!$O$5:$T$40,IF(L541="F-15",2,IF(L541="F-30",3,IF(L541="F-60",4,IF(L541="F-90",5,IF(L541="F-120",6,0))))),0),0)</f>
        <v>0</v>
      </c>
      <c r="Q541" s="46">
        <f t="shared" si="59"/>
        <v>0</v>
      </c>
      <c r="R541" s="46">
        <f t="shared" si="60"/>
        <v>0</v>
      </c>
      <c r="S541" s="46" t="e">
        <f t="shared" si="61"/>
        <v>#VALUE!</v>
      </c>
      <c r="T541" s="677">
        <f t="shared" si="62"/>
        <v>0</v>
      </c>
      <c r="U541" s="80">
        <f>(IF(O541="Stofire",(S541*#REF!),0))+(IF(O541="Fire Control",(S541*$U$2),0))+(IF(O541="Fire Tex",(S541*$U$3),0))+(IF(O541="WB7",(S541*#REF!),0)+(IF(O541="FX 2003",(S541*$U$5),0)))</f>
        <v>0</v>
      </c>
      <c r="V541" s="651">
        <f t="shared" si="63"/>
        <v>0</v>
      </c>
    </row>
    <row r="542" spans="4:22" x14ac:dyDescent="0.25">
      <c r="D542" s="118">
        <f>+CUBICACION!D541</f>
        <v>0</v>
      </c>
      <c r="E542" s="118">
        <f>+CUBICACION!F541</f>
        <v>0</v>
      </c>
      <c r="F542" s="118">
        <f>+CUBICACION!E541</f>
        <v>0</v>
      </c>
      <c r="G542" s="118">
        <v>12</v>
      </c>
      <c r="H542" s="118">
        <v>2</v>
      </c>
      <c r="I542" s="820">
        <v>26385</v>
      </c>
      <c r="J542" s="118">
        <f>+CUBICACION!J541</f>
        <v>0</v>
      </c>
      <c r="K542" s="118">
        <v>3321</v>
      </c>
      <c r="L542" s="118">
        <f>+CUBICACION!L541</f>
        <v>0</v>
      </c>
      <c r="M542" s="64">
        <f>+CUBICACION!M541</f>
        <v>0</v>
      </c>
      <c r="N542" s="824" t="str">
        <f>+CUBICACION!N541</f>
        <v/>
      </c>
      <c r="O542" s="675">
        <f>+CUBICACION!O541</f>
        <v>0</v>
      </c>
      <c r="P542" s="15">
        <f>IF(O542="Fire Control",VLOOKUP(_xlfn.MINIFS('FIRE CONTROL'!$C$4:$C$37,'FIRE CONTROL'!$C$4:$C$37,"&gt;="&amp;M542),'FIRE CONTROL'!$C$4:$G$37,IF(L542="F-15",2,IF(L542="F-30",3,IF(L542="F-60",4,IF(L542="F-90",5,0)))),0),0)+IF(AND(O542="FIRE TEX 5062",OR(E542="IN",E542="C",E542="Z",E542="L"),J542=3),VLOOKUP(_xlfn.MINIFS('FIRE TEX 5062'!$B$4:$B$34,'FIRE TEX 5062'!$B$4:$B$34,"&gt;="&amp;M542),'FIRE TEX 5062'!$B$4:$F$34,IF(L542="F-15",2,IF(L542="F-30",3,IF(L542="F-60",4,IF(L542="F-90",5,0)))),0),0)+IF(AND(O542="FIRE TEX 5062",OR(E542="IN",E542="C",E542="Z",E542="L"),J542=4),VLOOKUP(_xlfn.MINIFS('FIRE TEX 5062'!$G$4:$G$34,'FIRE TEX 5062'!$G$4:$G$34,"&gt;="&amp;M542),'FIRE TEX 5062'!$G$4:$K$34,IF(L542="F-15",2,IF(L542="F-30",3,IF(L542="F-60",4,IF(L542="F-90",5,0)))),0),0)+IF(AND(O542="FIRE TEX 5062",E542="CJ",J542=3),VLOOKUP(_xlfn.MINIFS('FIRE TEX 5062'!$L$4:$L$34,'FIRE TEX 5062'!$L$4:$L$34,"&gt;="&amp;M542),'FIRE TEX 5062'!$L$4:$P$34,IF(L542="F-15",2,IF(L542="F-30",3,IF(L542="F-60",4,IF(L542="F-90",5,0)))),0),0)+IF(AND(O542="FIRE TEX 5062",E542="CJ",J542=4),VLOOKUP(_xlfn.MINIFS('FIRE TEX 5062'!$Q$3:$Q$34,'FIRE TEX 5062'!$Q$3:$Q$34,"&gt;="&amp;M542),'FIRE TEX 5062'!$Q$3:$U$34,IF(L542="F-15",2,IF(L542="F-30",3,IF(L542="F-60",4,IF(L542="F-90",5,0)))),0),0)+IF(AND(O542="FIRE TEX 5090",OR(E542="IN",E542="C",E542="Z",E542="L"),J542=3),VLOOKUP(_xlfn.MINIFS('FIRE TEX 5090'!$B$5:$B$43,'FIRE TEX 5090'!$B$5:$B$43,"&gt;="&amp;M542),'FIRE TEX 5090'!$B$5:$H$43,IF(L542="F-15",2,IF(L542="F-30",3,IF(L542="F-60",4,IF(L542="F-90",5,IF(L542="F-120",6,IF(L542="F-150",7,0)))))),0),0)+IF(AND(O542="FIRE TEX 5090",OR(E542="IN",E542="C",E542="Z",E542="L"),J542=4),VLOOKUP(_xlfn.MINIFS('FIRE TEX 5090'!$J$5:$J$43,'FIRE TEX 5090'!$J$5:$J$43,"&gt;="&amp;M542),'FIRE TEX 5090'!$J$5:$P$43,IF(L542="F-15",2,IF(L542="F-30",3,IF(L542="F-60",4,IF(L542="F-90",5,IF(L542="F-120",6,IF(L542="F-150",7,0)))))),0),0)+IF(AND(O542="FIRE TEX 5090",E542="CJ",J542=3),VLOOKUP(_xlfn.MINIFS('FIRE TEX 5090'!$R$5:$R$30,'FIRE TEX 5090'!$R$5:$R$30,"&gt;="&amp;M542),'FIRE TEX 5090'!$R$5:$W$30,IF(L542="F-15",2,IF(L542="F-30",3,IF(L542="F-60",4,IF(L542="F-90",5,IF(L542="F-120",6,IF(L542="F-150",7,0)))))),0),0)+IF(AND(O542="FIRE TEX 5090",E542="CJ",J542=4),VLOOKUP(_xlfn.MINIFS('FIRE TEX 5090'!$Y$5:$Y$39,'FIRE TEX 5090'!$Y$5:$Y$39,"&gt;="&amp;M542),'FIRE TEX 5090'!$Y$5:$AD$39,IF(L542="F-15",2,IF(L542="F-30",3,IF(L542="F-60",4,IF(L542="F-90",5,IF(L542="F-120",6,IF(L542="F-150",7,0)))))),0),0)+IF(AND(O542="FIRE TEX 5120",OR(E542="IN",E542="C",E542="Z",E542="L"),J542=3),VLOOKUP(_xlfn.MINIFS('FIRE TEX 5120'!$B$5:$B$40,'FIRE TEX 5120'!$B$5:$B$40,"&gt;="&amp;M542),'FIRE TEX 5120'!$B$5:$G$40,IF(L542="F-15",2,IF(L542="F-30",3,IF(L542="F-60",4,IF(L542="F-90",5,IF(L542="F-120",6,0))))),0),0)+IF(AND(O542="FIRE TEX 5120",OR(E542="IN",E542="C",E542="Z",E542="L"),J542=4),VLOOKUP(_xlfn.MINIFS('FIRE TEX 5120'!$H$4:$H$40,'FIRE TEX 5120'!$H$4:$H$40,"&gt;="&amp;M542),'FIRE TEX 5120'!$H$4:$M$40,IF(L542="F-15",2,IF(L542="F-30",3,IF(L542="F-60",4,IF(L542="F-90",5,IF(L542="F-120",6,0))))),0),0)+IF(AND(O542="FIRE TEX 5120",E542="CJ"),VLOOKUP(_xlfn.MINIFS('FIRE TEX 5120'!$O$5:$O$40,'FIRE TEX 5120'!$O$5:$O$40,"&gt;="&amp;M542),'FIRE TEX 5120'!$O$5:$T$40,IF(L542="F-15",2,IF(L542="F-30",3,IF(L542="F-60",4,IF(L542="F-90",5,IF(L542="F-120",6,0))))),0),0)</f>
        <v>0</v>
      </c>
      <c r="Q542" s="46">
        <f t="shared" si="59"/>
        <v>0</v>
      </c>
      <c r="R542" s="46">
        <f t="shared" si="60"/>
        <v>0</v>
      </c>
      <c r="S542" s="46" t="e">
        <f t="shared" si="61"/>
        <v>#VALUE!</v>
      </c>
      <c r="T542" s="677">
        <f t="shared" si="62"/>
        <v>0</v>
      </c>
      <c r="U542" s="80">
        <f>(IF(O542="Stofire",(S542*#REF!),0))+(IF(O542="Fire Control",(S542*$U$2),0))+(IF(O542="Fire Tex",(S542*$U$3),0))+(IF(O542="WB7",(S542*#REF!),0)+(IF(O542="FX 2003",(S542*$U$5),0)))</f>
        <v>0</v>
      </c>
      <c r="V542" s="651">
        <f t="shared" si="63"/>
        <v>0</v>
      </c>
    </row>
    <row r="543" spans="4:22" x14ac:dyDescent="0.25">
      <c r="D543" s="118">
        <f>+CUBICACION!D542</f>
        <v>0</v>
      </c>
      <c r="E543" s="118">
        <f>+CUBICACION!F542</f>
        <v>0</v>
      </c>
      <c r="F543" s="118">
        <f>+CUBICACION!E542</f>
        <v>0</v>
      </c>
      <c r="G543" s="118">
        <v>12</v>
      </c>
      <c r="H543" s="118">
        <v>2</v>
      </c>
      <c r="I543" s="820">
        <v>26385</v>
      </c>
      <c r="J543" s="118">
        <f>+CUBICACION!J542</f>
        <v>0</v>
      </c>
      <c r="K543" s="118">
        <v>3322</v>
      </c>
      <c r="L543" s="118">
        <f>+CUBICACION!L542</f>
        <v>0</v>
      </c>
      <c r="M543" s="64">
        <f>+CUBICACION!M542</f>
        <v>0</v>
      </c>
      <c r="N543" s="824" t="str">
        <f>+CUBICACION!N542</f>
        <v/>
      </c>
      <c r="O543" s="675">
        <f>+CUBICACION!O542</f>
        <v>0</v>
      </c>
      <c r="P543" s="15">
        <f>IF(O543="Fire Control",VLOOKUP(_xlfn.MINIFS('FIRE CONTROL'!$C$4:$C$37,'FIRE CONTROL'!$C$4:$C$37,"&gt;="&amp;M543),'FIRE CONTROL'!$C$4:$G$37,IF(L543="F-15",2,IF(L543="F-30",3,IF(L543="F-60",4,IF(L543="F-90",5,0)))),0),0)+IF(AND(O543="FIRE TEX 5062",OR(E543="IN",E543="C",E543="Z",E543="L"),J543=3),VLOOKUP(_xlfn.MINIFS('FIRE TEX 5062'!$B$4:$B$34,'FIRE TEX 5062'!$B$4:$B$34,"&gt;="&amp;M543),'FIRE TEX 5062'!$B$4:$F$34,IF(L543="F-15",2,IF(L543="F-30",3,IF(L543="F-60",4,IF(L543="F-90",5,0)))),0),0)+IF(AND(O543="FIRE TEX 5062",OR(E543="IN",E543="C",E543="Z",E543="L"),J543=4),VLOOKUP(_xlfn.MINIFS('FIRE TEX 5062'!$G$4:$G$34,'FIRE TEX 5062'!$G$4:$G$34,"&gt;="&amp;M543),'FIRE TEX 5062'!$G$4:$K$34,IF(L543="F-15",2,IF(L543="F-30",3,IF(L543="F-60",4,IF(L543="F-90",5,0)))),0),0)+IF(AND(O543="FIRE TEX 5062",E543="CJ",J543=3),VLOOKUP(_xlfn.MINIFS('FIRE TEX 5062'!$L$4:$L$34,'FIRE TEX 5062'!$L$4:$L$34,"&gt;="&amp;M543),'FIRE TEX 5062'!$L$4:$P$34,IF(L543="F-15",2,IF(L543="F-30",3,IF(L543="F-60",4,IF(L543="F-90",5,0)))),0),0)+IF(AND(O543="FIRE TEX 5062",E543="CJ",J543=4),VLOOKUP(_xlfn.MINIFS('FIRE TEX 5062'!$Q$3:$Q$34,'FIRE TEX 5062'!$Q$3:$Q$34,"&gt;="&amp;M543),'FIRE TEX 5062'!$Q$3:$U$34,IF(L543="F-15",2,IF(L543="F-30",3,IF(L543="F-60",4,IF(L543="F-90",5,0)))),0),0)+IF(AND(O543="FIRE TEX 5090",OR(E543="IN",E543="C",E543="Z",E543="L"),J543=3),VLOOKUP(_xlfn.MINIFS('FIRE TEX 5090'!$B$5:$B$43,'FIRE TEX 5090'!$B$5:$B$43,"&gt;="&amp;M543),'FIRE TEX 5090'!$B$5:$H$43,IF(L543="F-15",2,IF(L543="F-30",3,IF(L543="F-60",4,IF(L543="F-90",5,IF(L543="F-120",6,IF(L543="F-150",7,0)))))),0),0)+IF(AND(O543="FIRE TEX 5090",OR(E543="IN",E543="C",E543="Z",E543="L"),J543=4),VLOOKUP(_xlfn.MINIFS('FIRE TEX 5090'!$J$5:$J$43,'FIRE TEX 5090'!$J$5:$J$43,"&gt;="&amp;M543),'FIRE TEX 5090'!$J$5:$P$43,IF(L543="F-15",2,IF(L543="F-30",3,IF(L543="F-60",4,IF(L543="F-90",5,IF(L543="F-120",6,IF(L543="F-150",7,0)))))),0),0)+IF(AND(O543="FIRE TEX 5090",E543="CJ",J543=3),VLOOKUP(_xlfn.MINIFS('FIRE TEX 5090'!$R$5:$R$30,'FIRE TEX 5090'!$R$5:$R$30,"&gt;="&amp;M543),'FIRE TEX 5090'!$R$5:$W$30,IF(L543="F-15",2,IF(L543="F-30",3,IF(L543="F-60",4,IF(L543="F-90",5,IF(L543="F-120",6,IF(L543="F-150",7,0)))))),0),0)+IF(AND(O543="FIRE TEX 5090",E543="CJ",J543=4),VLOOKUP(_xlfn.MINIFS('FIRE TEX 5090'!$Y$5:$Y$39,'FIRE TEX 5090'!$Y$5:$Y$39,"&gt;="&amp;M543),'FIRE TEX 5090'!$Y$5:$AD$39,IF(L543="F-15",2,IF(L543="F-30",3,IF(L543="F-60",4,IF(L543="F-90",5,IF(L543="F-120",6,IF(L543="F-150",7,0)))))),0),0)+IF(AND(O543="FIRE TEX 5120",OR(E543="IN",E543="C",E543="Z",E543="L"),J543=3),VLOOKUP(_xlfn.MINIFS('FIRE TEX 5120'!$B$5:$B$40,'FIRE TEX 5120'!$B$5:$B$40,"&gt;="&amp;M543),'FIRE TEX 5120'!$B$5:$G$40,IF(L543="F-15",2,IF(L543="F-30",3,IF(L543="F-60",4,IF(L543="F-90",5,IF(L543="F-120",6,0))))),0),0)+IF(AND(O543="FIRE TEX 5120",OR(E543="IN",E543="C",E543="Z",E543="L"),J543=4),VLOOKUP(_xlfn.MINIFS('FIRE TEX 5120'!$H$4:$H$40,'FIRE TEX 5120'!$H$4:$H$40,"&gt;="&amp;M543),'FIRE TEX 5120'!$H$4:$M$40,IF(L543="F-15",2,IF(L543="F-30",3,IF(L543="F-60",4,IF(L543="F-90",5,IF(L543="F-120",6,0))))),0),0)+IF(AND(O543="FIRE TEX 5120",E543="CJ"),VLOOKUP(_xlfn.MINIFS('FIRE TEX 5120'!$O$5:$O$40,'FIRE TEX 5120'!$O$5:$O$40,"&gt;="&amp;M543),'FIRE TEX 5120'!$O$5:$T$40,IF(L543="F-15",2,IF(L543="F-30",3,IF(L543="F-60",4,IF(L543="F-90",5,IF(L543="F-120",6,0))))),0),0)</f>
        <v>0</v>
      </c>
      <c r="Q543" s="46">
        <f t="shared" si="59"/>
        <v>0</v>
      </c>
      <c r="R543" s="46">
        <f t="shared" si="60"/>
        <v>0</v>
      </c>
      <c r="S543" s="46" t="e">
        <f t="shared" si="61"/>
        <v>#VALUE!</v>
      </c>
      <c r="T543" s="677">
        <f t="shared" si="62"/>
        <v>0</v>
      </c>
      <c r="U543" s="80">
        <f>(IF(O543="Stofire",(S543*#REF!),0))+(IF(O543="Fire Control",(S543*$U$2),0))+(IF(O543="Fire Tex",(S543*$U$3),0))+(IF(O543="WB7",(S543*#REF!),0)+(IF(O543="FX 2003",(S543*$U$5),0)))</f>
        <v>0</v>
      </c>
      <c r="V543" s="651">
        <f t="shared" si="63"/>
        <v>0</v>
      </c>
    </row>
    <row r="544" spans="4:22" x14ac:dyDescent="0.25">
      <c r="D544" s="118">
        <f>+CUBICACION!D543</f>
        <v>0</v>
      </c>
      <c r="E544" s="118">
        <f>+CUBICACION!F543</f>
        <v>0</v>
      </c>
      <c r="F544" s="118">
        <f>+CUBICACION!E543</f>
        <v>0</v>
      </c>
      <c r="G544" s="118">
        <v>12</v>
      </c>
      <c r="H544" s="118">
        <v>2</v>
      </c>
      <c r="I544" s="820">
        <v>26385</v>
      </c>
      <c r="J544" s="118">
        <f>+CUBICACION!J543</f>
        <v>0</v>
      </c>
      <c r="K544" s="118">
        <v>3323</v>
      </c>
      <c r="L544" s="118">
        <f>+CUBICACION!L543</f>
        <v>0</v>
      </c>
      <c r="M544" s="64">
        <f>+CUBICACION!M543</f>
        <v>0</v>
      </c>
      <c r="N544" s="824" t="str">
        <f>+CUBICACION!N543</f>
        <v/>
      </c>
      <c r="O544" s="675">
        <f>+CUBICACION!O543</f>
        <v>0</v>
      </c>
      <c r="P544" s="15">
        <f>IF(O544="Fire Control",VLOOKUP(_xlfn.MINIFS('FIRE CONTROL'!$C$4:$C$37,'FIRE CONTROL'!$C$4:$C$37,"&gt;="&amp;M544),'FIRE CONTROL'!$C$4:$G$37,IF(L544="F-15",2,IF(L544="F-30",3,IF(L544="F-60",4,IF(L544="F-90",5,0)))),0),0)+IF(AND(O544="FIRE TEX 5062",OR(E544="IN",E544="C",E544="Z",E544="L"),J544=3),VLOOKUP(_xlfn.MINIFS('FIRE TEX 5062'!$B$4:$B$34,'FIRE TEX 5062'!$B$4:$B$34,"&gt;="&amp;M544),'FIRE TEX 5062'!$B$4:$F$34,IF(L544="F-15",2,IF(L544="F-30",3,IF(L544="F-60",4,IF(L544="F-90",5,0)))),0),0)+IF(AND(O544="FIRE TEX 5062",OR(E544="IN",E544="C",E544="Z",E544="L"),J544=4),VLOOKUP(_xlfn.MINIFS('FIRE TEX 5062'!$G$4:$G$34,'FIRE TEX 5062'!$G$4:$G$34,"&gt;="&amp;M544),'FIRE TEX 5062'!$G$4:$K$34,IF(L544="F-15",2,IF(L544="F-30",3,IF(L544="F-60",4,IF(L544="F-90",5,0)))),0),0)+IF(AND(O544="FIRE TEX 5062",E544="CJ",J544=3),VLOOKUP(_xlfn.MINIFS('FIRE TEX 5062'!$L$4:$L$34,'FIRE TEX 5062'!$L$4:$L$34,"&gt;="&amp;M544),'FIRE TEX 5062'!$L$4:$P$34,IF(L544="F-15",2,IF(L544="F-30",3,IF(L544="F-60",4,IF(L544="F-90",5,0)))),0),0)+IF(AND(O544="FIRE TEX 5062",E544="CJ",J544=4),VLOOKUP(_xlfn.MINIFS('FIRE TEX 5062'!$Q$3:$Q$34,'FIRE TEX 5062'!$Q$3:$Q$34,"&gt;="&amp;M544),'FIRE TEX 5062'!$Q$3:$U$34,IF(L544="F-15",2,IF(L544="F-30",3,IF(L544="F-60",4,IF(L544="F-90",5,0)))),0),0)+IF(AND(O544="FIRE TEX 5090",OR(E544="IN",E544="C",E544="Z",E544="L"),J544=3),VLOOKUP(_xlfn.MINIFS('FIRE TEX 5090'!$B$5:$B$43,'FIRE TEX 5090'!$B$5:$B$43,"&gt;="&amp;M544),'FIRE TEX 5090'!$B$5:$H$43,IF(L544="F-15",2,IF(L544="F-30",3,IF(L544="F-60",4,IF(L544="F-90",5,IF(L544="F-120",6,IF(L544="F-150",7,0)))))),0),0)+IF(AND(O544="FIRE TEX 5090",OR(E544="IN",E544="C",E544="Z",E544="L"),J544=4),VLOOKUP(_xlfn.MINIFS('FIRE TEX 5090'!$J$5:$J$43,'FIRE TEX 5090'!$J$5:$J$43,"&gt;="&amp;M544),'FIRE TEX 5090'!$J$5:$P$43,IF(L544="F-15",2,IF(L544="F-30",3,IF(L544="F-60",4,IF(L544="F-90",5,IF(L544="F-120",6,IF(L544="F-150",7,0)))))),0),0)+IF(AND(O544="FIRE TEX 5090",E544="CJ",J544=3),VLOOKUP(_xlfn.MINIFS('FIRE TEX 5090'!$R$5:$R$30,'FIRE TEX 5090'!$R$5:$R$30,"&gt;="&amp;M544),'FIRE TEX 5090'!$R$5:$W$30,IF(L544="F-15",2,IF(L544="F-30",3,IF(L544="F-60",4,IF(L544="F-90",5,IF(L544="F-120",6,IF(L544="F-150",7,0)))))),0),0)+IF(AND(O544="FIRE TEX 5090",E544="CJ",J544=4),VLOOKUP(_xlfn.MINIFS('FIRE TEX 5090'!$Y$5:$Y$39,'FIRE TEX 5090'!$Y$5:$Y$39,"&gt;="&amp;M544),'FIRE TEX 5090'!$Y$5:$AD$39,IF(L544="F-15",2,IF(L544="F-30",3,IF(L544="F-60",4,IF(L544="F-90",5,IF(L544="F-120",6,IF(L544="F-150",7,0)))))),0),0)+IF(AND(O544="FIRE TEX 5120",OR(E544="IN",E544="C",E544="Z",E544="L"),J544=3),VLOOKUP(_xlfn.MINIFS('FIRE TEX 5120'!$B$5:$B$40,'FIRE TEX 5120'!$B$5:$B$40,"&gt;="&amp;M544),'FIRE TEX 5120'!$B$5:$G$40,IF(L544="F-15",2,IF(L544="F-30",3,IF(L544="F-60",4,IF(L544="F-90",5,IF(L544="F-120",6,0))))),0),0)+IF(AND(O544="FIRE TEX 5120",OR(E544="IN",E544="C",E544="Z",E544="L"),J544=4),VLOOKUP(_xlfn.MINIFS('FIRE TEX 5120'!$H$4:$H$40,'FIRE TEX 5120'!$H$4:$H$40,"&gt;="&amp;M544),'FIRE TEX 5120'!$H$4:$M$40,IF(L544="F-15",2,IF(L544="F-30",3,IF(L544="F-60",4,IF(L544="F-90",5,IF(L544="F-120",6,0))))),0),0)+IF(AND(O544="FIRE TEX 5120",E544="CJ"),VLOOKUP(_xlfn.MINIFS('FIRE TEX 5120'!$O$5:$O$40,'FIRE TEX 5120'!$O$5:$O$40,"&gt;="&amp;M544),'FIRE TEX 5120'!$O$5:$T$40,IF(L544="F-15",2,IF(L544="F-30",3,IF(L544="F-60",4,IF(L544="F-90",5,IF(L544="F-120",6,0))))),0),0)</f>
        <v>0</v>
      </c>
      <c r="Q544" s="46">
        <f t="shared" si="59"/>
        <v>0</v>
      </c>
      <c r="R544" s="46">
        <f t="shared" si="60"/>
        <v>0</v>
      </c>
      <c r="S544" s="46" t="e">
        <f t="shared" si="61"/>
        <v>#VALUE!</v>
      </c>
      <c r="T544" s="677">
        <f t="shared" si="62"/>
        <v>0</v>
      </c>
      <c r="U544" s="80">
        <f>(IF(O544="Stofire",(S544*#REF!),0))+(IF(O544="Fire Control",(S544*$U$2),0))+(IF(O544="Fire Tex",(S544*$U$3),0))+(IF(O544="WB7",(S544*#REF!),0)+(IF(O544="FX 2003",(S544*$U$5),0)))</f>
        <v>0</v>
      </c>
      <c r="V544" s="651">
        <f t="shared" si="63"/>
        <v>0</v>
      </c>
    </row>
    <row r="545" spans="4:22" x14ac:dyDescent="0.25">
      <c r="D545" s="118">
        <f>+CUBICACION!D544</f>
        <v>0</v>
      </c>
      <c r="E545" s="118">
        <f>+CUBICACION!F544</f>
        <v>0</v>
      </c>
      <c r="F545" s="118">
        <f>+CUBICACION!E544</f>
        <v>0</v>
      </c>
      <c r="G545" s="118">
        <v>12</v>
      </c>
      <c r="H545" s="118">
        <v>2</v>
      </c>
      <c r="I545" s="820">
        <v>26385</v>
      </c>
      <c r="J545" s="118">
        <f>+CUBICACION!J544</f>
        <v>0</v>
      </c>
      <c r="K545" s="118">
        <v>3324</v>
      </c>
      <c r="L545" s="118">
        <f>+CUBICACION!L544</f>
        <v>0</v>
      </c>
      <c r="M545" s="64">
        <f>+CUBICACION!M544</f>
        <v>0</v>
      </c>
      <c r="N545" s="824" t="str">
        <f>+CUBICACION!N544</f>
        <v/>
      </c>
      <c r="O545" s="675">
        <f>+CUBICACION!O544</f>
        <v>0</v>
      </c>
      <c r="P545" s="15">
        <f>IF(O545="Fire Control",VLOOKUP(_xlfn.MINIFS('FIRE CONTROL'!$C$4:$C$37,'FIRE CONTROL'!$C$4:$C$37,"&gt;="&amp;M545),'FIRE CONTROL'!$C$4:$G$37,IF(L545="F-15",2,IF(L545="F-30",3,IF(L545="F-60",4,IF(L545="F-90",5,0)))),0),0)+IF(AND(O545="FIRE TEX 5062",OR(E545="IN",E545="C",E545="Z",E545="L"),J545=3),VLOOKUP(_xlfn.MINIFS('FIRE TEX 5062'!$B$4:$B$34,'FIRE TEX 5062'!$B$4:$B$34,"&gt;="&amp;M545),'FIRE TEX 5062'!$B$4:$F$34,IF(L545="F-15",2,IF(L545="F-30",3,IF(L545="F-60",4,IF(L545="F-90",5,0)))),0),0)+IF(AND(O545="FIRE TEX 5062",OR(E545="IN",E545="C",E545="Z",E545="L"),J545=4),VLOOKUP(_xlfn.MINIFS('FIRE TEX 5062'!$G$4:$G$34,'FIRE TEX 5062'!$G$4:$G$34,"&gt;="&amp;M545),'FIRE TEX 5062'!$G$4:$K$34,IF(L545="F-15",2,IF(L545="F-30",3,IF(L545="F-60",4,IF(L545="F-90",5,0)))),0),0)+IF(AND(O545="FIRE TEX 5062",E545="CJ",J545=3),VLOOKUP(_xlfn.MINIFS('FIRE TEX 5062'!$L$4:$L$34,'FIRE TEX 5062'!$L$4:$L$34,"&gt;="&amp;M545),'FIRE TEX 5062'!$L$4:$P$34,IF(L545="F-15",2,IF(L545="F-30",3,IF(L545="F-60",4,IF(L545="F-90",5,0)))),0),0)+IF(AND(O545="FIRE TEX 5062",E545="CJ",J545=4),VLOOKUP(_xlfn.MINIFS('FIRE TEX 5062'!$Q$3:$Q$34,'FIRE TEX 5062'!$Q$3:$Q$34,"&gt;="&amp;M545),'FIRE TEX 5062'!$Q$3:$U$34,IF(L545="F-15",2,IF(L545="F-30",3,IF(L545="F-60",4,IF(L545="F-90",5,0)))),0),0)+IF(AND(O545="FIRE TEX 5090",OR(E545="IN",E545="C",E545="Z",E545="L"),J545=3),VLOOKUP(_xlfn.MINIFS('FIRE TEX 5090'!$B$5:$B$43,'FIRE TEX 5090'!$B$5:$B$43,"&gt;="&amp;M545),'FIRE TEX 5090'!$B$5:$H$43,IF(L545="F-15",2,IF(L545="F-30",3,IF(L545="F-60",4,IF(L545="F-90",5,IF(L545="F-120",6,IF(L545="F-150",7,0)))))),0),0)+IF(AND(O545="FIRE TEX 5090",OR(E545="IN",E545="C",E545="Z",E545="L"),J545=4),VLOOKUP(_xlfn.MINIFS('FIRE TEX 5090'!$J$5:$J$43,'FIRE TEX 5090'!$J$5:$J$43,"&gt;="&amp;M545),'FIRE TEX 5090'!$J$5:$P$43,IF(L545="F-15",2,IF(L545="F-30",3,IF(L545="F-60",4,IF(L545="F-90",5,IF(L545="F-120",6,IF(L545="F-150",7,0)))))),0),0)+IF(AND(O545="FIRE TEX 5090",E545="CJ",J545=3),VLOOKUP(_xlfn.MINIFS('FIRE TEX 5090'!$R$5:$R$30,'FIRE TEX 5090'!$R$5:$R$30,"&gt;="&amp;M545),'FIRE TEX 5090'!$R$5:$W$30,IF(L545="F-15",2,IF(L545="F-30",3,IF(L545="F-60",4,IF(L545="F-90",5,IF(L545="F-120",6,IF(L545="F-150",7,0)))))),0),0)+IF(AND(O545="FIRE TEX 5090",E545="CJ",J545=4),VLOOKUP(_xlfn.MINIFS('FIRE TEX 5090'!$Y$5:$Y$39,'FIRE TEX 5090'!$Y$5:$Y$39,"&gt;="&amp;M545),'FIRE TEX 5090'!$Y$5:$AD$39,IF(L545="F-15",2,IF(L545="F-30",3,IF(L545="F-60",4,IF(L545="F-90",5,IF(L545="F-120",6,IF(L545="F-150",7,0)))))),0),0)+IF(AND(O545="FIRE TEX 5120",OR(E545="IN",E545="C",E545="Z",E545="L"),J545=3),VLOOKUP(_xlfn.MINIFS('FIRE TEX 5120'!$B$5:$B$40,'FIRE TEX 5120'!$B$5:$B$40,"&gt;="&amp;M545),'FIRE TEX 5120'!$B$5:$G$40,IF(L545="F-15",2,IF(L545="F-30",3,IF(L545="F-60",4,IF(L545="F-90",5,IF(L545="F-120",6,0))))),0),0)+IF(AND(O545="FIRE TEX 5120",OR(E545="IN",E545="C",E545="Z",E545="L"),J545=4),VLOOKUP(_xlfn.MINIFS('FIRE TEX 5120'!$H$4:$H$40,'FIRE TEX 5120'!$H$4:$H$40,"&gt;="&amp;M545),'FIRE TEX 5120'!$H$4:$M$40,IF(L545="F-15",2,IF(L545="F-30",3,IF(L545="F-60",4,IF(L545="F-90",5,IF(L545="F-120",6,0))))),0),0)+IF(AND(O545="FIRE TEX 5120",E545="CJ"),VLOOKUP(_xlfn.MINIFS('FIRE TEX 5120'!$O$5:$O$40,'FIRE TEX 5120'!$O$5:$O$40,"&gt;="&amp;M545),'FIRE TEX 5120'!$O$5:$T$40,IF(L545="F-15",2,IF(L545="F-30",3,IF(L545="F-60",4,IF(L545="F-90",5,IF(L545="F-120",6,0))))),0),0)</f>
        <v>0</v>
      </c>
      <c r="Q545" s="46">
        <f t="shared" si="59"/>
        <v>0</v>
      </c>
      <c r="R545" s="46">
        <f t="shared" si="60"/>
        <v>0</v>
      </c>
      <c r="S545" s="46" t="e">
        <f t="shared" si="61"/>
        <v>#VALUE!</v>
      </c>
      <c r="T545" s="677">
        <f t="shared" si="62"/>
        <v>0</v>
      </c>
      <c r="U545" s="80">
        <f>(IF(O545="Stofire",(S545*#REF!),0))+(IF(O545="Fire Control",(S545*$U$2),0))+(IF(O545="Fire Tex",(S545*$U$3),0))+(IF(O545="WB7",(S545*#REF!),0)+(IF(O545="FX 2003",(S545*$U$5),0)))</f>
        <v>0</v>
      </c>
      <c r="V545" s="651">
        <f t="shared" si="63"/>
        <v>0</v>
      </c>
    </row>
    <row r="546" spans="4:22" x14ac:dyDescent="0.25">
      <c r="D546" s="118">
        <f>+CUBICACION!D545</f>
        <v>0</v>
      </c>
      <c r="E546" s="118">
        <f>+CUBICACION!F545</f>
        <v>0</v>
      </c>
      <c r="F546" s="118">
        <f>+CUBICACION!E545</f>
        <v>0</v>
      </c>
      <c r="G546" s="118">
        <v>12</v>
      </c>
      <c r="H546" s="118">
        <v>2</v>
      </c>
      <c r="I546" s="820">
        <v>26385</v>
      </c>
      <c r="J546" s="118">
        <f>+CUBICACION!J545</f>
        <v>0</v>
      </c>
      <c r="K546" s="118">
        <v>3325</v>
      </c>
      <c r="L546" s="118">
        <f>+CUBICACION!L545</f>
        <v>0</v>
      </c>
      <c r="M546" s="64">
        <f>+CUBICACION!M545</f>
        <v>0</v>
      </c>
      <c r="N546" s="824" t="str">
        <f>+CUBICACION!N545</f>
        <v/>
      </c>
      <c r="O546" s="675">
        <f>+CUBICACION!O545</f>
        <v>0</v>
      </c>
      <c r="P546" s="15">
        <f>IF(O546="Fire Control",VLOOKUP(_xlfn.MINIFS('FIRE CONTROL'!$C$4:$C$37,'FIRE CONTROL'!$C$4:$C$37,"&gt;="&amp;M546),'FIRE CONTROL'!$C$4:$G$37,IF(L546="F-15",2,IF(L546="F-30",3,IF(L546="F-60",4,IF(L546="F-90",5,0)))),0),0)+IF(AND(O546="FIRE TEX 5062",OR(E546="IN",E546="C",E546="Z",E546="L"),J546=3),VLOOKUP(_xlfn.MINIFS('FIRE TEX 5062'!$B$4:$B$34,'FIRE TEX 5062'!$B$4:$B$34,"&gt;="&amp;M546),'FIRE TEX 5062'!$B$4:$F$34,IF(L546="F-15",2,IF(L546="F-30",3,IF(L546="F-60",4,IF(L546="F-90",5,0)))),0),0)+IF(AND(O546="FIRE TEX 5062",OR(E546="IN",E546="C",E546="Z",E546="L"),J546=4),VLOOKUP(_xlfn.MINIFS('FIRE TEX 5062'!$G$4:$G$34,'FIRE TEX 5062'!$G$4:$G$34,"&gt;="&amp;M546),'FIRE TEX 5062'!$G$4:$K$34,IF(L546="F-15",2,IF(L546="F-30",3,IF(L546="F-60",4,IF(L546="F-90",5,0)))),0),0)+IF(AND(O546="FIRE TEX 5062",E546="CJ",J546=3),VLOOKUP(_xlfn.MINIFS('FIRE TEX 5062'!$L$4:$L$34,'FIRE TEX 5062'!$L$4:$L$34,"&gt;="&amp;M546),'FIRE TEX 5062'!$L$4:$P$34,IF(L546="F-15",2,IF(L546="F-30",3,IF(L546="F-60",4,IF(L546="F-90",5,0)))),0),0)+IF(AND(O546="FIRE TEX 5062",E546="CJ",J546=4),VLOOKUP(_xlfn.MINIFS('FIRE TEX 5062'!$Q$3:$Q$34,'FIRE TEX 5062'!$Q$3:$Q$34,"&gt;="&amp;M546),'FIRE TEX 5062'!$Q$3:$U$34,IF(L546="F-15",2,IF(L546="F-30",3,IF(L546="F-60",4,IF(L546="F-90",5,0)))),0),0)+IF(AND(O546="FIRE TEX 5090",OR(E546="IN",E546="C",E546="Z",E546="L"),J546=3),VLOOKUP(_xlfn.MINIFS('FIRE TEX 5090'!$B$5:$B$43,'FIRE TEX 5090'!$B$5:$B$43,"&gt;="&amp;M546),'FIRE TEX 5090'!$B$5:$H$43,IF(L546="F-15",2,IF(L546="F-30",3,IF(L546="F-60",4,IF(L546="F-90",5,IF(L546="F-120",6,IF(L546="F-150",7,0)))))),0),0)+IF(AND(O546="FIRE TEX 5090",OR(E546="IN",E546="C",E546="Z",E546="L"),J546=4),VLOOKUP(_xlfn.MINIFS('FIRE TEX 5090'!$J$5:$J$43,'FIRE TEX 5090'!$J$5:$J$43,"&gt;="&amp;M546),'FIRE TEX 5090'!$J$5:$P$43,IF(L546="F-15",2,IF(L546="F-30",3,IF(L546="F-60",4,IF(L546="F-90",5,IF(L546="F-120",6,IF(L546="F-150",7,0)))))),0),0)+IF(AND(O546="FIRE TEX 5090",E546="CJ",J546=3),VLOOKUP(_xlfn.MINIFS('FIRE TEX 5090'!$R$5:$R$30,'FIRE TEX 5090'!$R$5:$R$30,"&gt;="&amp;M546),'FIRE TEX 5090'!$R$5:$W$30,IF(L546="F-15",2,IF(L546="F-30",3,IF(L546="F-60",4,IF(L546="F-90",5,IF(L546="F-120",6,IF(L546="F-150",7,0)))))),0),0)+IF(AND(O546="FIRE TEX 5090",E546="CJ",J546=4),VLOOKUP(_xlfn.MINIFS('FIRE TEX 5090'!$Y$5:$Y$39,'FIRE TEX 5090'!$Y$5:$Y$39,"&gt;="&amp;M546),'FIRE TEX 5090'!$Y$5:$AD$39,IF(L546="F-15",2,IF(L546="F-30",3,IF(L546="F-60",4,IF(L546="F-90",5,IF(L546="F-120",6,IF(L546="F-150",7,0)))))),0),0)+IF(AND(O546="FIRE TEX 5120",OR(E546="IN",E546="C",E546="Z",E546="L"),J546=3),VLOOKUP(_xlfn.MINIFS('FIRE TEX 5120'!$B$5:$B$40,'FIRE TEX 5120'!$B$5:$B$40,"&gt;="&amp;M546),'FIRE TEX 5120'!$B$5:$G$40,IF(L546="F-15",2,IF(L546="F-30",3,IF(L546="F-60",4,IF(L546="F-90",5,IF(L546="F-120",6,0))))),0),0)+IF(AND(O546="FIRE TEX 5120",OR(E546="IN",E546="C",E546="Z",E546="L"),J546=4),VLOOKUP(_xlfn.MINIFS('FIRE TEX 5120'!$H$4:$H$40,'FIRE TEX 5120'!$H$4:$H$40,"&gt;="&amp;M546),'FIRE TEX 5120'!$H$4:$M$40,IF(L546="F-15",2,IF(L546="F-30",3,IF(L546="F-60",4,IF(L546="F-90",5,IF(L546="F-120",6,0))))),0),0)+IF(AND(O546="FIRE TEX 5120",E546="CJ"),VLOOKUP(_xlfn.MINIFS('FIRE TEX 5120'!$O$5:$O$40,'FIRE TEX 5120'!$O$5:$O$40,"&gt;="&amp;M546),'FIRE TEX 5120'!$O$5:$T$40,IF(L546="F-15",2,IF(L546="F-30",3,IF(L546="F-60",4,IF(L546="F-90",5,IF(L546="F-120",6,0))))),0),0)</f>
        <v>0</v>
      </c>
      <c r="Q546" s="46">
        <f t="shared" si="59"/>
        <v>0</v>
      </c>
      <c r="R546" s="46">
        <f t="shared" si="60"/>
        <v>0</v>
      </c>
      <c r="S546" s="46" t="e">
        <f t="shared" si="61"/>
        <v>#VALUE!</v>
      </c>
      <c r="T546" s="677">
        <f t="shared" si="62"/>
        <v>0</v>
      </c>
      <c r="U546" s="80">
        <f>(IF(O546="Stofire",(S546*#REF!),0))+(IF(O546="Fire Control",(S546*$U$2),0))+(IF(O546="Fire Tex",(S546*$U$3),0))+(IF(O546="WB7",(S546*#REF!),0)+(IF(O546="FX 2003",(S546*$U$5),0)))</f>
        <v>0</v>
      </c>
      <c r="V546" s="651">
        <f t="shared" si="63"/>
        <v>0</v>
      </c>
    </row>
    <row r="547" spans="4:22" x14ac:dyDescent="0.25">
      <c r="D547" s="118">
        <f>+CUBICACION!D546</f>
        <v>0</v>
      </c>
      <c r="E547" s="118">
        <f>+CUBICACION!F546</f>
        <v>0</v>
      </c>
      <c r="F547" s="118">
        <f>+CUBICACION!E546</f>
        <v>0</v>
      </c>
      <c r="G547" s="118">
        <v>12</v>
      </c>
      <c r="H547" s="118">
        <v>2</v>
      </c>
      <c r="I547" s="820">
        <v>26385</v>
      </c>
      <c r="J547" s="118">
        <f>+CUBICACION!J546</f>
        <v>0</v>
      </c>
      <c r="K547" s="118">
        <v>3326</v>
      </c>
      <c r="L547" s="118">
        <f>+CUBICACION!L546</f>
        <v>0</v>
      </c>
      <c r="M547" s="64">
        <f>+CUBICACION!M546</f>
        <v>0</v>
      </c>
      <c r="N547" s="824" t="str">
        <f>+CUBICACION!N546</f>
        <v/>
      </c>
      <c r="O547" s="675">
        <f>+CUBICACION!O546</f>
        <v>0</v>
      </c>
      <c r="P547" s="15">
        <f>IF(O547="Fire Control",VLOOKUP(_xlfn.MINIFS('FIRE CONTROL'!$C$4:$C$37,'FIRE CONTROL'!$C$4:$C$37,"&gt;="&amp;M547),'FIRE CONTROL'!$C$4:$G$37,IF(L547="F-15",2,IF(L547="F-30",3,IF(L547="F-60",4,IF(L547="F-90",5,0)))),0),0)+IF(AND(O547="FIRE TEX 5062",OR(E547="IN",E547="C",E547="Z",E547="L"),J547=3),VLOOKUP(_xlfn.MINIFS('FIRE TEX 5062'!$B$4:$B$34,'FIRE TEX 5062'!$B$4:$B$34,"&gt;="&amp;M547),'FIRE TEX 5062'!$B$4:$F$34,IF(L547="F-15",2,IF(L547="F-30",3,IF(L547="F-60",4,IF(L547="F-90",5,0)))),0),0)+IF(AND(O547="FIRE TEX 5062",OR(E547="IN",E547="C",E547="Z",E547="L"),J547=4),VLOOKUP(_xlfn.MINIFS('FIRE TEX 5062'!$G$4:$G$34,'FIRE TEX 5062'!$G$4:$G$34,"&gt;="&amp;M547),'FIRE TEX 5062'!$G$4:$K$34,IF(L547="F-15",2,IF(L547="F-30",3,IF(L547="F-60",4,IF(L547="F-90",5,0)))),0),0)+IF(AND(O547="FIRE TEX 5062",E547="CJ",J547=3),VLOOKUP(_xlfn.MINIFS('FIRE TEX 5062'!$L$4:$L$34,'FIRE TEX 5062'!$L$4:$L$34,"&gt;="&amp;M547),'FIRE TEX 5062'!$L$4:$P$34,IF(L547="F-15",2,IF(L547="F-30",3,IF(L547="F-60",4,IF(L547="F-90",5,0)))),0),0)+IF(AND(O547="FIRE TEX 5062",E547="CJ",J547=4),VLOOKUP(_xlfn.MINIFS('FIRE TEX 5062'!$Q$3:$Q$34,'FIRE TEX 5062'!$Q$3:$Q$34,"&gt;="&amp;M547),'FIRE TEX 5062'!$Q$3:$U$34,IF(L547="F-15",2,IF(L547="F-30",3,IF(L547="F-60",4,IF(L547="F-90",5,0)))),0),0)+IF(AND(O547="FIRE TEX 5090",OR(E547="IN",E547="C",E547="Z",E547="L"),J547=3),VLOOKUP(_xlfn.MINIFS('FIRE TEX 5090'!$B$5:$B$43,'FIRE TEX 5090'!$B$5:$B$43,"&gt;="&amp;M547),'FIRE TEX 5090'!$B$5:$H$43,IF(L547="F-15",2,IF(L547="F-30",3,IF(L547="F-60",4,IF(L547="F-90",5,IF(L547="F-120",6,IF(L547="F-150",7,0)))))),0),0)+IF(AND(O547="FIRE TEX 5090",OR(E547="IN",E547="C",E547="Z",E547="L"),J547=4),VLOOKUP(_xlfn.MINIFS('FIRE TEX 5090'!$J$5:$J$43,'FIRE TEX 5090'!$J$5:$J$43,"&gt;="&amp;M547),'FIRE TEX 5090'!$J$5:$P$43,IF(L547="F-15",2,IF(L547="F-30",3,IF(L547="F-60",4,IF(L547="F-90",5,IF(L547="F-120",6,IF(L547="F-150",7,0)))))),0),0)+IF(AND(O547="FIRE TEX 5090",E547="CJ",J547=3),VLOOKUP(_xlfn.MINIFS('FIRE TEX 5090'!$R$5:$R$30,'FIRE TEX 5090'!$R$5:$R$30,"&gt;="&amp;M547),'FIRE TEX 5090'!$R$5:$W$30,IF(L547="F-15",2,IF(L547="F-30",3,IF(L547="F-60",4,IF(L547="F-90",5,IF(L547="F-120",6,IF(L547="F-150",7,0)))))),0),0)+IF(AND(O547="FIRE TEX 5090",E547="CJ",J547=4),VLOOKUP(_xlfn.MINIFS('FIRE TEX 5090'!$Y$5:$Y$39,'FIRE TEX 5090'!$Y$5:$Y$39,"&gt;="&amp;M547),'FIRE TEX 5090'!$Y$5:$AD$39,IF(L547="F-15",2,IF(L547="F-30",3,IF(L547="F-60",4,IF(L547="F-90",5,IF(L547="F-120",6,IF(L547="F-150",7,0)))))),0),0)+IF(AND(O547="FIRE TEX 5120",OR(E547="IN",E547="C",E547="Z",E547="L"),J547=3),VLOOKUP(_xlfn.MINIFS('FIRE TEX 5120'!$B$5:$B$40,'FIRE TEX 5120'!$B$5:$B$40,"&gt;="&amp;M547),'FIRE TEX 5120'!$B$5:$G$40,IF(L547="F-15",2,IF(L547="F-30",3,IF(L547="F-60",4,IF(L547="F-90",5,IF(L547="F-120",6,0))))),0),0)+IF(AND(O547="FIRE TEX 5120",OR(E547="IN",E547="C",E547="Z",E547="L"),J547=4),VLOOKUP(_xlfn.MINIFS('FIRE TEX 5120'!$H$4:$H$40,'FIRE TEX 5120'!$H$4:$H$40,"&gt;="&amp;M547),'FIRE TEX 5120'!$H$4:$M$40,IF(L547="F-15",2,IF(L547="F-30",3,IF(L547="F-60",4,IF(L547="F-90",5,IF(L547="F-120",6,0))))),0),0)+IF(AND(O547="FIRE TEX 5120",E547="CJ"),VLOOKUP(_xlfn.MINIFS('FIRE TEX 5120'!$O$5:$O$40,'FIRE TEX 5120'!$O$5:$O$40,"&gt;="&amp;M547),'FIRE TEX 5120'!$O$5:$T$40,IF(L547="F-15",2,IF(L547="F-30",3,IF(L547="F-60",4,IF(L547="F-90",5,IF(L547="F-120",6,0))))),0),0)</f>
        <v>0</v>
      </c>
      <c r="Q547" s="46">
        <f t="shared" si="59"/>
        <v>0</v>
      </c>
      <c r="R547" s="46">
        <f t="shared" si="60"/>
        <v>0</v>
      </c>
      <c r="S547" s="46" t="e">
        <f t="shared" si="61"/>
        <v>#VALUE!</v>
      </c>
      <c r="T547" s="677">
        <f t="shared" si="62"/>
        <v>0</v>
      </c>
      <c r="U547" s="80">
        <f>(IF(O547="Stofire",(S547*#REF!),0))+(IF(O547="Fire Control",(S547*$U$2),0))+(IF(O547="Fire Tex",(S547*$U$3),0))+(IF(O547="WB7",(S547*#REF!),0)+(IF(O547="FX 2003",(S547*$U$5),0)))</f>
        <v>0</v>
      </c>
      <c r="V547" s="651">
        <f t="shared" si="63"/>
        <v>0</v>
      </c>
    </row>
    <row r="548" spans="4:22" x14ac:dyDescent="0.25">
      <c r="D548" s="118">
        <f>+CUBICACION!D547</f>
        <v>0</v>
      </c>
      <c r="E548" s="118">
        <f>+CUBICACION!F547</f>
        <v>0</v>
      </c>
      <c r="F548" s="118">
        <f>+CUBICACION!E547</f>
        <v>0</v>
      </c>
      <c r="G548" s="118">
        <v>12</v>
      </c>
      <c r="H548" s="118">
        <v>2</v>
      </c>
      <c r="I548" s="820">
        <v>26385</v>
      </c>
      <c r="J548" s="118">
        <f>+CUBICACION!J547</f>
        <v>0</v>
      </c>
      <c r="K548" s="118">
        <v>3327</v>
      </c>
      <c r="L548" s="118">
        <f>+CUBICACION!L547</f>
        <v>0</v>
      </c>
      <c r="M548" s="64">
        <f>+CUBICACION!M547</f>
        <v>0</v>
      </c>
      <c r="N548" s="824" t="str">
        <f>+CUBICACION!N547</f>
        <v/>
      </c>
      <c r="O548" s="675">
        <f>+CUBICACION!O547</f>
        <v>0</v>
      </c>
      <c r="P548" s="15">
        <f>IF(O548="Fire Control",VLOOKUP(_xlfn.MINIFS('FIRE CONTROL'!$C$4:$C$37,'FIRE CONTROL'!$C$4:$C$37,"&gt;="&amp;M548),'FIRE CONTROL'!$C$4:$G$37,IF(L548="F-15",2,IF(L548="F-30",3,IF(L548="F-60",4,IF(L548="F-90",5,0)))),0),0)+IF(AND(O548="FIRE TEX 5062",OR(E548="IN",E548="C",E548="Z",E548="L"),J548=3),VLOOKUP(_xlfn.MINIFS('FIRE TEX 5062'!$B$4:$B$34,'FIRE TEX 5062'!$B$4:$B$34,"&gt;="&amp;M548),'FIRE TEX 5062'!$B$4:$F$34,IF(L548="F-15",2,IF(L548="F-30",3,IF(L548="F-60",4,IF(L548="F-90",5,0)))),0),0)+IF(AND(O548="FIRE TEX 5062",OR(E548="IN",E548="C",E548="Z",E548="L"),J548=4),VLOOKUP(_xlfn.MINIFS('FIRE TEX 5062'!$G$4:$G$34,'FIRE TEX 5062'!$G$4:$G$34,"&gt;="&amp;M548),'FIRE TEX 5062'!$G$4:$K$34,IF(L548="F-15",2,IF(L548="F-30",3,IF(L548="F-60",4,IF(L548="F-90",5,0)))),0),0)+IF(AND(O548="FIRE TEX 5062",E548="CJ",J548=3),VLOOKUP(_xlfn.MINIFS('FIRE TEX 5062'!$L$4:$L$34,'FIRE TEX 5062'!$L$4:$L$34,"&gt;="&amp;M548),'FIRE TEX 5062'!$L$4:$P$34,IF(L548="F-15",2,IF(L548="F-30",3,IF(L548="F-60",4,IF(L548="F-90",5,0)))),0),0)+IF(AND(O548="FIRE TEX 5062",E548="CJ",J548=4),VLOOKUP(_xlfn.MINIFS('FIRE TEX 5062'!$Q$3:$Q$34,'FIRE TEX 5062'!$Q$3:$Q$34,"&gt;="&amp;M548),'FIRE TEX 5062'!$Q$3:$U$34,IF(L548="F-15",2,IF(L548="F-30",3,IF(L548="F-60",4,IF(L548="F-90",5,0)))),0),0)+IF(AND(O548="FIRE TEX 5090",OR(E548="IN",E548="C",E548="Z",E548="L"),J548=3),VLOOKUP(_xlfn.MINIFS('FIRE TEX 5090'!$B$5:$B$43,'FIRE TEX 5090'!$B$5:$B$43,"&gt;="&amp;M548),'FIRE TEX 5090'!$B$5:$H$43,IF(L548="F-15",2,IF(L548="F-30",3,IF(L548="F-60",4,IF(L548="F-90",5,IF(L548="F-120",6,IF(L548="F-150",7,0)))))),0),0)+IF(AND(O548="FIRE TEX 5090",OR(E548="IN",E548="C",E548="Z",E548="L"),J548=4),VLOOKUP(_xlfn.MINIFS('FIRE TEX 5090'!$J$5:$J$43,'FIRE TEX 5090'!$J$5:$J$43,"&gt;="&amp;M548),'FIRE TEX 5090'!$J$5:$P$43,IF(L548="F-15",2,IF(L548="F-30",3,IF(L548="F-60",4,IF(L548="F-90",5,IF(L548="F-120",6,IF(L548="F-150",7,0)))))),0),0)+IF(AND(O548="FIRE TEX 5090",E548="CJ",J548=3),VLOOKUP(_xlfn.MINIFS('FIRE TEX 5090'!$R$5:$R$30,'FIRE TEX 5090'!$R$5:$R$30,"&gt;="&amp;M548),'FIRE TEX 5090'!$R$5:$W$30,IF(L548="F-15",2,IF(L548="F-30",3,IF(L548="F-60",4,IF(L548="F-90",5,IF(L548="F-120",6,IF(L548="F-150",7,0)))))),0),0)+IF(AND(O548="FIRE TEX 5090",E548="CJ",J548=4),VLOOKUP(_xlfn.MINIFS('FIRE TEX 5090'!$Y$5:$Y$39,'FIRE TEX 5090'!$Y$5:$Y$39,"&gt;="&amp;M548),'FIRE TEX 5090'!$Y$5:$AD$39,IF(L548="F-15",2,IF(L548="F-30",3,IF(L548="F-60",4,IF(L548="F-90",5,IF(L548="F-120",6,IF(L548="F-150",7,0)))))),0),0)+IF(AND(O548="FIRE TEX 5120",OR(E548="IN",E548="C",E548="Z",E548="L"),J548=3),VLOOKUP(_xlfn.MINIFS('FIRE TEX 5120'!$B$5:$B$40,'FIRE TEX 5120'!$B$5:$B$40,"&gt;="&amp;M548),'FIRE TEX 5120'!$B$5:$G$40,IF(L548="F-15",2,IF(L548="F-30",3,IF(L548="F-60",4,IF(L548="F-90",5,IF(L548="F-120",6,0))))),0),0)+IF(AND(O548="FIRE TEX 5120",OR(E548="IN",E548="C",E548="Z",E548="L"),J548=4),VLOOKUP(_xlfn.MINIFS('FIRE TEX 5120'!$H$4:$H$40,'FIRE TEX 5120'!$H$4:$H$40,"&gt;="&amp;M548),'FIRE TEX 5120'!$H$4:$M$40,IF(L548="F-15",2,IF(L548="F-30",3,IF(L548="F-60",4,IF(L548="F-90",5,IF(L548="F-120",6,0))))),0),0)+IF(AND(O548="FIRE TEX 5120",E548="CJ"),VLOOKUP(_xlfn.MINIFS('FIRE TEX 5120'!$O$5:$O$40,'FIRE TEX 5120'!$O$5:$O$40,"&gt;="&amp;M548),'FIRE TEX 5120'!$O$5:$T$40,IF(L548="F-15",2,IF(L548="F-30",3,IF(L548="F-60",4,IF(L548="F-90",5,IF(L548="F-120",6,0))))),0),0)</f>
        <v>0</v>
      </c>
      <c r="Q548" s="46">
        <f t="shared" si="59"/>
        <v>0</v>
      </c>
      <c r="R548" s="46">
        <f t="shared" si="60"/>
        <v>0</v>
      </c>
      <c r="S548" s="46" t="e">
        <f t="shared" si="61"/>
        <v>#VALUE!</v>
      </c>
      <c r="T548" s="677">
        <f t="shared" si="62"/>
        <v>0</v>
      </c>
      <c r="U548" s="80">
        <f>(IF(O548="Stofire",(S548*#REF!),0))+(IF(O548="Fire Control",(S548*$U$2),0))+(IF(O548="Fire Tex",(S548*$U$3),0))+(IF(O548="WB7",(S548*#REF!),0)+(IF(O548="FX 2003",(S548*$U$5),0)))</f>
        <v>0</v>
      </c>
      <c r="V548" s="651">
        <f t="shared" si="63"/>
        <v>0</v>
      </c>
    </row>
    <row r="549" spans="4:22" x14ac:dyDescent="0.25">
      <c r="D549" s="118">
        <f>+CUBICACION!D548</f>
        <v>0</v>
      </c>
      <c r="E549" s="118">
        <f>+CUBICACION!F548</f>
        <v>0</v>
      </c>
      <c r="F549" s="118">
        <f>+CUBICACION!E548</f>
        <v>0</v>
      </c>
      <c r="G549" s="118">
        <v>12</v>
      </c>
      <c r="H549" s="118">
        <v>2</v>
      </c>
      <c r="I549" s="820">
        <v>26385</v>
      </c>
      <c r="J549" s="118">
        <f>+CUBICACION!J548</f>
        <v>0</v>
      </c>
      <c r="K549" s="118">
        <v>3328</v>
      </c>
      <c r="L549" s="118">
        <f>+CUBICACION!L548</f>
        <v>0</v>
      </c>
      <c r="M549" s="64">
        <f>+CUBICACION!M548</f>
        <v>0</v>
      </c>
      <c r="N549" s="824" t="str">
        <f>+CUBICACION!N548</f>
        <v/>
      </c>
      <c r="O549" s="675">
        <f>+CUBICACION!O548</f>
        <v>0</v>
      </c>
      <c r="P549" s="15">
        <f>IF(O549="Fire Control",VLOOKUP(_xlfn.MINIFS('FIRE CONTROL'!$C$4:$C$37,'FIRE CONTROL'!$C$4:$C$37,"&gt;="&amp;M549),'FIRE CONTROL'!$C$4:$G$37,IF(L549="F-15",2,IF(L549="F-30",3,IF(L549="F-60",4,IF(L549="F-90",5,0)))),0),0)+IF(AND(O549="FIRE TEX 5062",OR(E549="IN",E549="C",E549="Z",E549="L"),J549=3),VLOOKUP(_xlfn.MINIFS('FIRE TEX 5062'!$B$4:$B$34,'FIRE TEX 5062'!$B$4:$B$34,"&gt;="&amp;M549),'FIRE TEX 5062'!$B$4:$F$34,IF(L549="F-15",2,IF(L549="F-30",3,IF(L549="F-60",4,IF(L549="F-90",5,0)))),0),0)+IF(AND(O549="FIRE TEX 5062",OR(E549="IN",E549="C",E549="Z",E549="L"),J549=4),VLOOKUP(_xlfn.MINIFS('FIRE TEX 5062'!$G$4:$G$34,'FIRE TEX 5062'!$G$4:$G$34,"&gt;="&amp;M549),'FIRE TEX 5062'!$G$4:$K$34,IF(L549="F-15",2,IF(L549="F-30",3,IF(L549="F-60",4,IF(L549="F-90",5,0)))),0),0)+IF(AND(O549="FIRE TEX 5062",E549="CJ",J549=3),VLOOKUP(_xlfn.MINIFS('FIRE TEX 5062'!$L$4:$L$34,'FIRE TEX 5062'!$L$4:$L$34,"&gt;="&amp;M549),'FIRE TEX 5062'!$L$4:$P$34,IF(L549="F-15",2,IF(L549="F-30",3,IF(L549="F-60",4,IF(L549="F-90",5,0)))),0),0)+IF(AND(O549="FIRE TEX 5062",E549="CJ",J549=4),VLOOKUP(_xlfn.MINIFS('FIRE TEX 5062'!$Q$3:$Q$34,'FIRE TEX 5062'!$Q$3:$Q$34,"&gt;="&amp;M549),'FIRE TEX 5062'!$Q$3:$U$34,IF(L549="F-15",2,IF(L549="F-30",3,IF(L549="F-60",4,IF(L549="F-90",5,0)))),0),0)+IF(AND(O549="FIRE TEX 5090",OR(E549="IN",E549="C",E549="Z",E549="L"),J549=3),VLOOKUP(_xlfn.MINIFS('FIRE TEX 5090'!$B$5:$B$43,'FIRE TEX 5090'!$B$5:$B$43,"&gt;="&amp;M549),'FIRE TEX 5090'!$B$5:$H$43,IF(L549="F-15",2,IF(L549="F-30",3,IF(L549="F-60",4,IF(L549="F-90",5,IF(L549="F-120",6,IF(L549="F-150",7,0)))))),0),0)+IF(AND(O549="FIRE TEX 5090",OR(E549="IN",E549="C",E549="Z",E549="L"),J549=4),VLOOKUP(_xlfn.MINIFS('FIRE TEX 5090'!$J$5:$J$43,'FIRE TEX 5090'!$J$5:$J$43,"&gt;="&amp;M549),'FIRE TEX 5090'!$J$5:$P$43,IF(L549="F-15",2,IF(L549="F-30",3,IF(L549="F-60",4,IF(L549="F-90",5,IF(L549="F-120",6,IF(L549="F-150",7,0)))))),0),0)+IF(AND(O549="FIRE TEX 5090",E549="CJ",J549=3),VLOOKUP(_xlfn.MINIFS('FIRE TEX 5090'!$R$5:$R$30,'FIRE TEX 5090'!$R$5:$R$30,"&gt;="&amp;M549),'FIRE TEX 5090'!$R$5:$W$30,IF(L549="F-15",2,IF(L549="F-30",3,IF(L549="F-60",4,IF(L549="F-90",5,IF(L549="F-120",6,IF(L549="F-150",7,0)))))),0),0)+IF(AND(O549="FIRE TEX 5090",E549="CJ",J549=4),VLOOKUP(_xlfn.MINIFS('FIRE TEX 5090'!$Y$5:$Y$39,'FIRE TEX 5090'!$Y$5:$Y$39,"&gt;="&amp;M549),'FIRE TEX 5090'!$Y$5:$AD$39,IF(L549="F-15",2,IF(L549="F-30",3,IF(L549="F-60",4,IF(L549="F-90",5,IF(L549="F-120",6,IF(L549="F-150",7,0)))))),0),0)+IF(AND(O549="FIRE TEX 5120",OR(E549="IN",E549="C",E549="Z",E549="L"),J549=3),VLOOKUP(_xlfn.MINIFS('FIRE TEX 5120'!$B$5:$B$40,'FIRE TEX 5120'!$B$5:$B$40,"&gt;="&amp;M549),'FIRE TEX 5120'!$B$5:$G$40,IF(L549="F-15",2,IF(L549="F-30",3,IF(L549="F-60",4,IF(L549="F-90",5,IF(L549="F-120",6,0))))),0),0)+IF(AND(O549="FIRE TEX 5120",OR(E549="IN",E549="C",E549="Z",E549="L"),J549=4),VLOOKUP(_xlfn.MINIFS('FIRE TEX 5120'!$H$4:$H$40,'FIRE TEX 5120'!$H$4:$H$40,"&gt;="&amp;M549),'FIRE TEX 5120'!$H$4:$M$40,IF(L549="F-15",2,IF(L549="F-30",3,IF(L549="F-60",4,IF(L549="F-90",5,IF(L549="F-120",6,0))))),0),0)+IF(AND(O549="FIRE TEX 5120",E549="CJ"),VLOOKUP(_xlfn.MINIFS('FIRE TEX 5120'!$O$5:$O$40,'FIRE TEX 5120'!$O$5:$O$40,"&gt;="&amp;M549),'FIRE TEX 5120'!$O$5:$T$40,IF(L549="F-15",2,IF(L549="F-30",3,IF(L549="F-60",4,IF(L549="F-90",5,IF(L549="F-120",6,0))))),0),0)</f>
        <v>0</v>
      </c>
      <c r="Q549" s="46">
        <f t="shared" si="59"/>
        <v>0</v>
      </c>
      <c r="R549" s="46">
        <f t="shared" si="60"/>
        <v>0</v>
      </c>
      <c r="S549" s="46" t="e">
        <f t="shared" si="61"/>
        <v>#VALUE!</v>
      </c>
      <c r="T549" s="677">
        <f t="shared" si="62"/>
        <v>0</v>
      </c>
      <c r="U549" s="80">
        <f>(IF(O549="Stofire",(S549*#REF!),0))+(IF(O549="Fire Control",(S549*$U$2),0))+(IF(O549="Fire Tex",(S549*$U$3),0))+(IF(O549="WB7",(S549*#REF!),0)+(IF(O549="FX 2003",(S549*$U$5),0)))</f>
        <v>0</v>
      </c>
      <c r="V549" s="651">
        <f t="shared" si="63"/>
        <v>0</v>
      </c>
    </row>
    <row r="550" spans="4:22" x14ac:dyDescent="0.25">
      <c r="D550" s="118">
        <f>+CUBICACION!D549</f>
        <v>0</v>
      </c>
      <c r="E550" s="118">
        <f>+CUBICACION!F549</f>
        <v>0</v>
      </c>
      <c r="F550" s="118">
        <f>+CUBICACION!E549</f>
        <v>0</v>
      </c>
      <c r="G550" s="118">
        <v>12</v>
      </c>
      <c r="H550" s="118">
        <v>2</v>
      </c>
      <c r="I550" s="820">
        <v>26385</v>
      </c>
      <c r="J550" s="118">
        <f>+CUBICACION!J549</f>
        <v>0</v>
      </c>
      <c r="K550" s="118">
        <v>3329</v>
      </c>
      <c r="L550" s="118">
        <f>+CUBICACION!L549</f>
        <v>0</v>
      </c>
      <c r="M550" s="64">
        <f>+CUBICACION!M549</f>
        <v>0</v>
      </c>
      <c r="N550" s="824" t="str">
        <f>+CUBICACION!N549</f>
        <v/>
      </c>
      <c r="O550" s="675">
        <f>+CUBICACION!O549</f>
        <v>0</v>
      </c>
      <c r="P550" s="15">
        <f>IF(O550="Fire Control",VLOOKUP(_xlfn.MINIFS('FIRE CONTROL'!$C$4:$C$37,'FIRE CONTROL'!$C$4:$C$37,"&gt;="&amp;M550),'FIRE CONTROL'!$C$4:$G$37,IF(L550="F-15",2,IF(L550="F-30",3,IF(L550="F-60",4,IF(L550="F-90",5,0)))),0),0)+IF(AND(O550="FIRE TEX 5062",OR(E550="IN",E550="C",E550="Z",E550="L"),J550=3),VLOOKUP(_xlfn.MINIFS('FIRE TEX 5062'!$B$4:$B$34,'FIRE TEX 5062'!$B$4:$B$34,"&gt;="&amp;M550),'FIRE TEX 5062'!$B$4:$F$34,IF(L550="F-15",2,IF(L550="F-30",3,IF(L550="F-60",4,IF(L550="F-90",5,0)))),0),0)+IF(AND(O550="FIRE TEX 5062",OR(E550="IN",E550="C",E550="Z",E550="L"),J550=4),VLOOKUP(_xlfn.MINIFS('FIRE TEX 5062'!$G$4:$G$34,'FIRE TEX 5062'!$G$4:$G$34,"&gt;="&amp;M550),'FIRE TEX 5062'!$G$4:$K$34,IF(L550="F-15",2,IF(L550="F-30",3,IF(L550="F-60",4,IF(L550="F-90",5,0)))),0),0)+IF(AND(O550="FIRE TEX 5062",E550="CJ",J550=3),VLOOKUP(_xlfn.MINIFS('FIRE TEX 5062'!$L$4:$L$34,'FIRE TEX 5062'!$L$4:$L$34,"&gt;="&amp;M550),'FIRE TEX 5062'!$L$4:$P$34,IF(L550="F-15",2,IF(L550="F-30",3,IF(L550="F-60",4,IF(L550="F-90",5,0)))),0),0)+IF(AND(O550="FIRE TEX 5062",E550="CJ",J550=4),VLOOKUP(_xlfn.MINIFS('FIRE TEX 5062'!$Q$3:$Q$34,'FIRE TEX 5062'!$Q$3:$Q$34,"&gt;="&amp;M550),'FIRE TEX 5062'!$Q$3:$U$34,IF(L550="F-15",2,IF(L550="F-30",3,IF(L550="F-60",4,IF(L550="F-90",5,0)))),0),0)+IF(AND(O550="FIRE TEX 5090",OR(E550="IN",E550="C",E550="Z",E550="L"),J550=3),VLOOKUP(_xlfn.MINIFS('FIRE TEX 5090'!$B$5:$B$43,'FIRE TEX 5090'!$B$5:$B$43,"&gt;="&amp;M550),'FIRE TEX 5090'!$B$5:$H$43,IF(L550="F-15",2,IF(L550="F-30",3,IF(L550="F-60",4,IF(L550="F-90",5,IF(L550="F-120",6,IF(L550="F-150",7,0)))))),0),0)+IF(AND(O550="FIRE TEX 5090",OR(E550="IN",E550="C",E550="Z",E550="L"),J550=4),VLOOKUP(_xlfn.MINIFS('FIRE TEX 5090'!$J$5:$J$43,'FIRE TEX 5090'!$J$5:$J$43,"&gt;="&amp;M550),'FIRE TEX 5090'!$J$5:$P$43,IF(L550="F-15",2,IF(L550="F-30",3,IF(L550="F-60",4,IF(L550="F-90",5,IF(L550="F-120",6,IF(L550="F-150",7,0)))))),0),0)+IF(AND(O550="FIRE TEX 5090",E550="CJ",J550=3),VLOOKUP(_xlfn.MINIFS('FIRE TEX 5090'!$R$5:$R$30,'FIRE TEX 5090'!$R$5:$R$30,"&gt;="&amp;M550),'FIRE TEX 5090'!$R$5:$W$30,IF(L550="F-15",2,IF(L550="F-30",3,IF(L550="F-60",4,IF(L550="F-90",5,IF(L550="F-120",6,IF(L550="F-150",7,0)))))),0),0)+IF(AND(O550="FIRE TEX 5090",E550="CJ",J550=4),VLOOKUP(_xlfn.MINIFS('FIRE TEX 5090'!$Y$5:$Y$39,'FIRE TEX 5090'!$Y$5:$Y$39,"&gt;="&amp;M550),'FIRE TEX 5090'!$Y$5:$AD$39,IF(L550="F-15",2,IF(L550="F-30",3,IF(L550="F-60",4,IF(L550="F-90",5,IF(L550="F-120",6,IF(L550="F-150",7,0)))))),0),0)+IF(AND(O550="FIRE TEX 5120",OR(E550="IN",E550="C",E550="Z",E550="L"),J550=3),VLOOKUP(_xlfn.MINIFS('FIRE TEX 5120'!$B$5:$B$40,'FIRE TEX 5120'!$B$5:$B$40,"&gt;="&amp;M550),'FIRE TEX 5120'!$B$5:$G$40,IF(L550="F-15",2,IF(L550="F-30",3,IF(L550="F-60",4,IF(L550="F-90",5,IF(L550="F-120",6,0))))),0),0)+IF(AND(O550="FIRE TEX 5120",OR(E550="IN",E550="C",E550="Z",E550="L"),J550=4),VLOOKUP(_xlfn.MINIFS('FIRE TEX 5120'!$H$4:$H$40,'FIRE TEX 5120'!$H$4:$H$40,"&gt;="&amp;M550),'FIRE TEX 5120'!$H$4:$M$40,IF(L550="F-15",2,IF(L550="F-30",3,IF(L550="F-60",4,IF(L550="F-90",5,IF(L550="F-120",6,0))))),0),0)+IF(AND(O550="FIRE TEX 5120",E550="CJ"),VLOOKUP(_xlfn.MINIFS('FIRE TEX 5120'!$O$5:$O$40,'FIRE TEX 5120'!$O$5:$O$40,"&gt;="&amp;M550),'FIRE TEX 5120'!$O$5:$T$40,IF(L550="F-15",2,IF(L550="F-30",3,IF(L550="F-60",4,IF(L550="F-90",5,IF(L550="F-120",6,0))))),0),0)</f>
        <v>0</v>
      </c>
      <c r="Q550" s="46">
        <f t="shared" si="59"/>
        <v>0</v>
      </c>
      <c r="R550" s="46">
        <f t="shared" si="60"/>
        <v>0</v>
      </c>
      <c r="S550" s="46" t="e">
        <f t="shared" si="61"/>
        <v>#VALUE!</v>
      </c>
      <c r="T550" s="677">
        <f t="shared" si="62"/>
        <v>0</v>
      </c>
      <c r="U550" s="80">
        <f>(IF(O550="Stofire",(S550*#REF!),0))+(IF(O550="Fire Control",(S550*$U$2),0))+(IF(O550="Fire Tex",(S550*$U$3),0))+(IF(O550="WB7",(S550*#REF!),0)+(IF(O550="FX 2003",(S550*$U$5),0)))</f>
        <v>0</v>
      </c>
      <c r="V550" s="651">
        <f t="shared" si="63"/>
        <v>0</v>
      </c>
    </row>
    <row r="551" spans="4:22" x14ac:dyDescent="0.25">
      <c r="D551" s="118">
        <f>+CUBICACION!D550</f>
        <v>0</v>
      </c>
      <c r="E551" s="118">
        <f>+CUBICACION!F550</f>
        <v>0</v>
      </c>
      <c r="F551" s="118">
        <f>+CUBICACION!E550</f>
        <v>0</v>
      </c>
      <c r="G551" s="118">
        <v>12</v>
      </c>
      <c r="H551" s="118">
        <v>2</v>
      </c>
      <c r="I551" s="820">
        <v>26385</v>
      </c>
      <c r="J551" s="118">
        <f>+CUBICACION!J550</f>
        <v>0</v>
      </c>
      <c r="K551" s="118">
        <v>3330</v>
      </c>
      <c r="L551" s="118">
        <f>+CUBICACION!L550</f>
        <v>0</v>
      </c>
      <c r="M551" s="64">
        <f>+CUBICACION!M550</f>
        <v>0</v>
      </c>
      <c r="N551" s="824" t="str">
        <f>+CUBICACION!N550</f>
        <v/>
      </c>
      <c r="O551" s="675">
        <f>+CUBICACION!O550</f>
        <v>0</v>
      </c>
      <c r="P551" s="15">
        <f>IF(O551="Fire Control",VLOOKUP(_xlfn.MINIFS('FIRE CONTROL'!$C$4:$C$37,'FIRE CONTROL'!$C$4:$C$37,"&gt;="&amp;M551),'FIRE CONTROL'!$C$4:$G$37,IF(L551="F-15",2,IF(L551="F-30",3,IF(L551="F-60",4,IF(L551="F-90",5,0)))),0),0)+IF(AND(O551="FIRE TEX 5062",OR(E551="IN",E551="C",E551="Z",E551="L"),J551=3),VLOOKUP(_xlfn.MINIFS('FIRE TEX 5062'!$B$4:$B$34,'FIRE TEX 5062'!$B$4:$B$34,"&gt;="&amp;M551),'FIRE TEX 5062'!$B$4:$F$34,IF(L551="F-15",2,IF(L551="F-30",3,IF(L551="F-60",4,IF(L551="F-90",5,0)))),0),0)+IF(AND(O551="FIRE TEX 5062",OR(E551="IN",E551="C",E551="Z",E551="L"),J551=4),VLOOKUP(_xlfn.MINIFS('FIRE TEX 5062'!$G$4:$G$34,'FIRE TEX 5062'!$G$4:$G$34,"&gt;="&amp;M551),'FIRE TEX 5062'!$G$4:$K$34,IF(L551="F-15",2,IF(L551="F-30",3,IF(L551="F-60",4,IF(L551="F-90",5,0)))),0),0)+IF(AND(O551="FIRE TEX 5062",E551="CJ",J551=3),VLOOKUP(_xlfn.MINIFS('FIRE TEX 5062'!$L$4:$L$34,'FIRE TEX 5062'!$L$4:$L$34,"&gt;="&amp;M551),'FIRE TEX 5062'!$L$4:$P$34,IF(L551="F-15",2,IF(L551="F-30",3,IF(L551="F-60",4,IF(L551="F-90",5,0)))),0),0)+IF(AND(O551="FIRE TEX 5062",E551="CJ",J551=4),VLOOKUP(_xlfn.MINIFS('FIRE TEX 5062'!$Q$3:$Q$34,'FIRE TEX 5062'!$Q$3:$Q$34,"&gt;="&amp;M551),'FIRE TEX 5062'!$Q$3:$U$34,IF(L551="F-15",2,IF(L551="F-30",3,IF(L551="F-60",4,IF(L551="F-90",5,0)))),0),0)+IF(AND(O551="FIRE TEX 5090",OR(E551="IN",E551="C",E551="Z",E551="L"),J551=3),VLOOKUP(_xlfn.MINIFS('FIRE TEX 5090'!$B$5:$B$43,'FIRE TEX 5090'!$B$5:$B$43,"&gt;="&amp;M551),'FIRE TEX 5090'!$B$5:$H$43,IF(L551="F-15",2,IF(L551="F-30",3,IF(L551="F-60",4,IF(L551="F-90",5,IF(L551="F-120",6,IF(L551="F-150",7,0)))))),0),0)+IF(AND(O551="FIRE TEX 5090",OR(E551="IN",E551="C",E551="Z",E551="L"),J551=4),VLOOKUP(_xlfn.MINIFS('FIRE TEX 5090'!$J$5:$J$43,'FIRE TEX 5090'!$J$5:$J$43,"&gt;="&amp;M551),'FIRE TEX 5090'!$J$5:$P$43,IF(L551="F-15",2,IF(L551="F-30",3,IF(L551="F-60",4,IF(L551="F-90",5,IF(L551="F-120",6,IF(L551="F-150",7,0)))))),0),0)+IF(AND(O551="FIRE TEX 5090",E551="CJ",J551=3),VLOOKUP(_xlfn.MINIFS('FIRE TEX 5090'!$R$5:$R$30,'FIRE TEX 5090'!$R$5:$R$30,"&gt;="&amp;M551),'FIRE TEX 5090'!$R$5:$W$30,IF(L551="F-15",2,IF(L551="F-30",3,IF(L551="F-60",4,IF(L551="F-90",5,IF(L551="F-120",6,IF(L551="F-150",7,0)))))),0),0)+IF(AND(O551="FIRE TEX 5090",E551="CJ",J551=4),VLOOKUP(_xlfn.MINIFS('FIRE TEX 5090'!$Y$5:$Y$39,'FIRE TEX 5090'!$Y$5:$Y$39,"&gt;="&amp;M551),'FIRE TEX 5090'!$Y$5:$AD$39,IF(L551="F-15",2,IF(L551="F-30",3,IF(L551="F-60",4,IF(L551="F-90",5,IF(L551="F-120",6,IF(L551="F-150",7,0)))))),0),0)+IF(AND(O551="FIRE TEX 5120",OR(E551="IN",E551="C",E551="Z",E551="L"),J551=3),VLOOKUP(_xlfn.MINIFS('FIRE TEX 5120'!$B$5:$B$40,'FIRE TEX 5120'!$B$5:$B$40,"&gt;="&amp;M551),'FIRE TEX 5120'!$B$5:$G$40,IF(L551="F-15",2,IF(L551="F-30",3,IF(L551="F-60",4,IF(L551="F-90",5,IF(L551="F-120",6,0))))),0),0)+IF(AND(O551="FIRE TEX 5120",OR(E551="IN",E551="C",E551="Z",E551="L"),J551=4),VLOOKUP(_xlfn.MINIFS('FIRE TEX 5120'!$H$4:$H$40,'FIRE TEX 5120'!$H$4:$H$40,"&gt;="&amp;M551),'FIRE TEX 5120'!$H$4:$M$40,IF(L551="F-15",2,IF(L551="F-30",3,IF(L551="F-60",4,IF(L551="F-90",5,IF(L551="F-120",6,0))))),0),0)+IF(AND(O551="FIRE TEX 5120",E551="CJ"),VLOOKUP(_xlfn.MINIFS('FIRE TEX 5120'!$O$5:$O$40,'FIRE TEX 5120'!$O$5:$O$40,"&gt;="&amp;M551),'FIRE TEX 5120'!$O$5:$T$40,IF(L551="F-15",2,IF(L551="F-30",3,IF(L551="F-60",4,IF(L551="F-90",5,IF(L551="F-120",6,0))))),0),0)</f>
        <v>0</v>
      </c>
      <c r="Q551" s="46">
        <f t="shared" si="59"/>
        <v>0</v>
      </c>
      <c r="R551" s="46">
        <f t="shared" si="60"/>
        <v>0</v>
      </c>
      <c r="S551" s="46" t="e">
        <f t="shared" si="61"/>
        <v>#VALUE!</v>
      </c>
      <c r="T551" s="677">
        <f t="shared" si="62"/>
        <v>0</v>
      </c>
      <c r="U551" s="80">
        <f>(IF(O551="Stofire",(S551*#REF!),0))+(IF(O551="Fire Control",(S551*$U$2),0))+(IF(O551="Fire Tex",(S551*$U$3),0))+(IF(O551="WB7",(S551*#REF!),0)+(IF(O551="FX 2003",(S551*$U$5),0)))</f>
        <v>0</v>
      </c>
      <c r="V551" s="651">
        <f t="shared" si="63"/>
        <v>0</v>
      </c>
    </row>
    <row r="552" spans="4:22" x14ac:dyDescent="0.25">
      <c r="D552" s="118">
        <f>+CUBICACION!D551</f>
        <v>0</v>
      </c>
      <c r="E552" s="118">
        <f>+CUBICACION!F551</f>
        <v>0</v>
      </c>
      <c r="F552" s="118">
        <f>+CUBICACION!E551</f>
        <v>0</v>
      </c>
      <c r="G552" s="118">
        <v>12</v>
      </c>
      <c r="H552" s="118">
        <v>2</v>
      </c>
      <c r="I552" s="820">
        <v>26385</v>
      </c>
      <c r="J552" s="118">
        <f>+CUBICACION!J551</f>
        <v>0</v>
      </c>
      <c r="K552" s="118">
        <v>3331</v>
      </c>
      <c r="L552" s="118">
        <f>+CUBICACION!L551</f>
        <v>0</v>
      </c>
      <c r="M552" s="64">
        <f>+CUBICACION!M551</f>
        <v>0</v>
      </c>
      <c r="N552" s="824" t="str">
        <f>+CUBICACION!N551</f>
        <v/>
      </c>
      <c r="O552" s="675">
        <f>+CUBICACION!O551</f>
        <v>0</v>
      </c>
      <c r="P552" s="15">
        <f>IF(O552="Fire Control",VLOOKUP(_xlfn.MINIFS('FIRE CONTROL'!$C$4:$C$37,'FIRE CONTROL'!$C$4:$C$37,"&gt;="&amp;M552),'FIRE CONTROL'!$C$4:$G$37,IF(L552="F-15",2,IF(L552="F-30",3,IF(L552="F-60",4,IF(L552="F-90",5,0)))),0),0)+IF(AND(O552="FIRE TEX 5062",OR(E552="IN",E552="C",E552="Z",E552="L"),J552=3),VLOOKUP(_xlfn.MINIFS('FIRE TEX 5062'!$B$4:$B$34,'FIRE TEX 5062'!$B$4:$B$34,"&gt;="&amp;M552),'FIRE TEX 5062'!$B$4:$F$34,IF(L552="F-15",2,IF(L552="F-30",3,IF(L552="F-60",4,IF(L552="F-90",5,0)))),0),0)+IF(AND(O552="FIRE TEX 5062",OR(E552="IN",E552="C",E552="Z",E552="L"),J552=4),VLOOKUP(_xlfn.MINIFS('FIRE TEX 5062'!$G$4:$G$34,'FIRE TEX 5062'!$G$4:$G$34,"&gt;="&amp;M552),'FIRE TEX 5062'!$G$4:$K$34,IF(L552="F-15",2,IF(L552="F-30",3,IF(L552="F-60",4,IF(L552="F-90",5,0)))),0),0)+IF(AND(O552="FIRE TEX 5062",E552="CJ",J552=3),VLOOKUP(_xlfn.MINIFS('FIRE TEX 5062'!$L$4:$L$34,'FIRE TEX 5062'!$L$4:$L$34,"&gt;="&amp;M552),'FIRE TEX 5062'!$L$4:$P$34,IF(L552="F-15",2,IF(L552="F-30",3,IF(L552="F-60",4,IF(L552="F-90",5,0)))),0),0)+IF(AND(O552="FIRE TEX 5062",E552="CJ",J552=4),VLOOKUP(_xlfn.MINIFS('FIRE TEX 5062'!$Q$3:$Q$34,'FIRE TEX 5062'!$Q$3:$Q$34,"&gt;="&amp;M552),'FIRE TEX 5062'!$Q$3:$U$34,IF(L552="F-15",2,IF(L552="F-30",3,IF(L552="F-60",4,IF(L552="F-90",5,0)))),0),0)+IF(AND(O552="FIRE TEX 5090",OR(E552="IN",E552="C",E552="Z",E552="L"),J552=3),VLOOKUP(_xlfn.MINIFS('FIRE TEX 5090'!$B$5:$B$43,'FIRE TEX 5090'!$B$5:$B$43,"&gt;="&amp;M552),'FIRE TEX 5090'!$B$5:$H$43,IF(L552="F-15",2,IF(L552="F-30",3,IF(L552="F-60",4,IF(L552="F-90",5,IF(L552="F-120",6,IF(L552="F-150",7,0)))))),0),0)+IF(AND(O552="FIRE TEX 5090",OR(E552="IN",E552="C",E552="Z",E552="L"),J552=4),VLOOKUP(_xlfn.MINIFS('FIRE TEX 5090'!$J$5:$J$43,'FIRE TEX 5090'!$J$5:$J$43,"&gt;="&amp;M552),'FIRE TEX 5090'!$J$5:$P$43,IF(L552="F-15",2,IF(L552="F-30",3,IF(L552="F-60",4,IF(L552="F-90",5,IF(L552="F-120",6,IF(L552="F-150",7,0)))))),0),0)+IF(AND(O552="FIRE TEX 5090",E552="CJ",J552=3),VLOOKUP(_xlfn.MINIFS('FIRE TEX 5090'!$R$5:$R$30,'FIRE TEX 5090'!$R$5:$R$30,"&gt;="&amp;M552),'FIRE TEX 5090'!$R$5:$W$30,IF(L552="F-15",2,IF(L552="F-30",3,IF(L552="F-60",4,IF(L552="F-90",5,IF(L552="F-120",6,IF(L552="F-150",7,0)))))),0),0)+IF(AND(O552="FIRE TEX 5090",E552="CJ",J552=4),VLOOKUP(_xlfn.MINIFS('FIRE TEX 5090'!$Y$5:$Y$39,'FIRE TEX 5090'!$Y$5:$Y$39,"&gt;="&amp;M552),'FIRE TEX 5090'!$Y$5:$AD$39,IF(L552="F-15",2,IF(L552="F-30",3,IF(L552="F-60",4,IF(L552="F-90",5,IF(L552="F-120",6,IF(L552="F-150",7,0)))))),0),0)+IF(AND(O552="FIRE TEX 5120",OR(E552="IN",E552="C",E552="Z",E552="L"),J552=3),VLOOKUP(_xlfn.MINIFS('FIRE TEX 5120'!$B$5:$B$40,'FIRE TEX 5120'!$B$5:$B$40,"&gt;="&amp;M552),'FIRE TEX 5120'!$B$5:$G$40,IF(L552="F-15",2,IF(L552="F-30",3,IF(L552="F-60",4,IF(L552="F-90",5,IF(L552="F-120",6,0))))),0),0)+IF(AND(O552="FIRE TEX 5120",OR(E552="IN",E552="C",E552="Z",E552="L"),J552=4),VLOOKUP(_xlfn.MINIFS('FIRE TEX 5120'!$H$4:$H$40,'FIRE TEX 5120'!$H$4:$H$40,"&gt;="&amp;M552),'FIRE TEX 5120'!$H$4:$M$40,IF(L552="F-15",2,IF(L552="F-30",3,IF(L552="F-60",4,IF(L552="F-90",5,IF(L552="F-120",6,0))))),0),0)+IF(AND(O552="FIRE TEX 5120",E552="CJ"),VLOOKUP(_xlfn.MINIFS('FIRE TEX 5120'!$O$5:$O$40,'FIRE TEX 5120'!$O$5:$O$40,"&gt;="&amp;M552),'FIRE TEX 5120'!$O$5:$T$40,IF(L552="F-15",2,IF(L552="F-30",3,IF(L552="F-60",4,IF(L552="F-90",5,IF(L552="F-120",6,0))))),0),0)</f>
        <v>0</v>
      </c>
      <c r="Q552" s="46">
        <f t="shared" si="59"/>
        <v>0</v>
      </c>
      <c r="R552" s="46">
        <f t="shared" si="60"/>
        <v>0</v>
      </c>
      <c r="S552" s="46" t="e">
        <f t="shared" si="61"/>
        <v>#VALUE!</v>
      </c>
      <c r="T552" s="677">
        <f t="shared" si="62"/>
        <v>0</v>
      </c>
      <c r="U552" s="80">
        <f>(IF(O552="Stofire",(S552*#REF!),0))+(IF(O552="Fire Control",(S552*$U$2),0))+(IF(O552="Fire Tex",(S552*$U$3),0))+(IF(O552="WB7",(S552*#REF!),0)+(IF(O552="FX 2003",(S552*$U$5),0)))</f>
        <v>0</v>
      </c>
      <c r="V552" s="651">
        <f t="shared" si="63"/>
        <v>0</v>
      </c>
    </row>
    <row r="553" spans="4:22" x14ac:dyDescent="0.25">
      <c r="D553" s="118">
        <f>+CUBICACION!D552</f>
        <v>0</v>
      </c>
      <c r="E553" s="118">
        <f>+CUBICACION!F552</f>
        <v>0</v>
      </c>
      <c r="F553" s="118">
        <f>+CUBICACION!E552</f>
        <v>0</v>
      </c>
      <c r="G553" s="118">
        <v>12</v>
      </c>
      <c r="H553" s="118">
        <v>2</v>
      </c>
      <c r="I553" s="820">
        <v>26385</v>
      </c>
      <c r="J553" s="118">
        <f>+CUBICACION!J552</f>
        <v>0</v>
      </c>
      <c r="K553" s="118">
        <v>3332</v>
      </c>
      <c r="L553" s="118">
        <f>+CUBICACION!L552</f>
        <v>0</v>
      </c>
      <c r="M553" s="64">
        <f>+CUBICACION!M552</f>
        <v>0</v>
      </c>
      <c r="N553" s="824" t="str">
        <f>+CUBICACION!N552</f>
        <v/>
      </c>
      <c r="O553" s="675">
        <f>+CUBICACION!O552</f>
        <v>0</v>
      </c>
      <c r="P553" s="15">
        <f>IF(O553="Fire Control",VLOOKUP(_xlfn.MINIFS('FIRE CONTROL'!$C$4:$C$37,'FIRE CONTROL'!$C$4:$C$37,"&gt;="&amp;M553),'FIRE CONTROL'!$C$4:$G$37,IF(L553="F-15",2,IF(L553="F-30",3,IF(L553="F-60",4,IF(L553="F-90",5,0)))),0),0)+IF(AND(O553="FIRE TEX 5062",OR(E553="IN",E553="C",E553="Z",E553="L"),J553=3),VLOOKUP(_xlfn.MINIFS('FIRE TEX 5062'!$B$4:$B$34,'FIRE TEX 5062'!$B$4:$B$34,"&gt;="&amp;M553),'FIRE TEX 5062'!$B$4:$F$34,IF(L553="F-15",2,IF(L553="F-30",3,IF(L553="F-60",4,IF(L553="F-90",5,0)))),0),0)+IF(AND(O553="FIRE TEX 5062",OR(E553="IN",E553="C",E553="Z",E553="L"),J553=4),VLOOKUP(_xlfn.MINIFS('FIRE TEX 5062'!$G$4:$G$34,'FIRE TEX 5062'!$G$4:$G$34,"&gt;="&amp;M553),'FIRE TEX 5062'!$G$4:$K$34,IF(L553="F-15",2,IF(L553="F-30",3,IF(L553="F-60",4,IF(L553="F-90",5,0)))),0),0)+IF(AND(O553="FIRE TEX 5062",E553="CJ",J553=3),VLOOKUP(_xlfn.MINIFS('FIRE TEX 5062'!$L$4:$L$34,'FIRE TEX 5062'!$L$4:$L$34,"&gt;="&amp;M553),'FIRE TEX 5062'!$L$4:$P$34,IF(L553="F-15",2,IF(L553="F-30",3,IF(L553="F-60",4,IF(L553="F-90",5,0)))),0),0)+IF(AND(O553="FIRE TEX 5062",E553="CJ",J553=4),VLOOKUP(_xlfn.MINIFS('FIRE TEX 5062'!$Q$3:$Q$34,'FIRE TEX 5062'!$Q$3:$Q$34,"&gt;="&amp;M553),'FIRE TEX 5062'!$Q$3:$U$34,IF(L553="F-15",2,IF(L553="F-30",3,IF(L553="F-60",4,IF(L553="F-90",5,0)))),0),0)+IF(AND(O553="FIRE TEX 5090",OR(E553="IN",E553="C",E553="Z",E553="L"),J553=3),VLOOKUP(_xlfn.MINIFS('FIRE TEX 5090'!$B$5:$B$43,'FIRE TEX 5090'!$B$5:$B$43,"&gt;="&amp;M553),'FIRE TEX 5090'!$B$5:$H$43,IF(L553="F-15",2,IF(L553="F-30",3,IF(L553="F-60",4,IF(L553="F-90",5,IF(L553="F-120",6,IF(L553="F-150",7,0)))))),0),0)+IF(AND(O553="FIRE TEX 5090",OR(E553="IN",E553="C",E553="Z",E553="L"),J553=4),VLOOKUP(_xlfn.MINIFS('FIRE TEX 5090'!$J$5:$J$43,'FIRE TEX 5090'!$J$5:$J$43,"&gt;="&amp;M553),'FIRE TEX 5090'!$J$5:$P$43,IF(L553="F-15",2,IF(L553="F-30",3,IF(L553="F-60",4,IF(L553="F-90",5,IF(L553="F-120",6,IF(L553="F-150",7,0)))))),0),0)+IF(AND(O553="FIRE TEX 5090",E553="CJ",J553=3),VLOOKUP(_xlfn.MINIFS('FIRE TEX 5090'!$R$5:$R$30,'FIRE TEX 5090'!$R$5:$R$30,"&gt;="&amp;M553),'FIRE TEX 5090'!$R$5:$W$30,IF(L553="F-15",2,IF(L553="F-30",3,IF(L553="F-60",4,IF(L553="F-90",5,IF(L553="F-120",6,IF(L553="F-150",7,0)))))),0),0)+IF(AND(O553="FIRE TEX 5090",E553="CJ",J553=4),VLOOKUP(_xlfn.MINIFS('FIRE TEX 5090'!$Y$5:$Y$39,'FIRE TEX 5090'!$Y$5:$Y$39,"&gt;="&amp;M553),'FIRE TEX 5090'!$Y$5:$AD$39,IF(L553="F-15",2,IF(L553="F-30",3,IF(L553="F-60",4,IF(L553="F-90",5,IF(L553="F-120",6,IF(L553="F-150",7,0)))))),0),0)+IF(AND(O553="FIRE TEX 5120",OR(E553="IN",E553="C",E553="Z",E553="L"),J553=3),VLOOKUP(_xlfn.MINIFS('FIRE TEX 5120'!$B$5:$B$40,'FIRE TEX 5120'!$B$5:$B$40,"&gt;="&amp;M553),'FIRE TEX 5120'!$B$5:$G$40,IF(L553="F-15",2,IF(L553="F-30",3,IF(L553="F-60",4,IF(L553="F-90",5,IF(L553="F-120",6,0))))),0),0)+IF(AND(O553="FIRE TEX 5120",OR(E553="IN",E553="C",E553="Z",E553="L"),J553=4),VLOOKUP(_xlfn.MINIFS('FIRE TEX 5120'!$H$4:$H$40,'FIRE TEX 5120'!$H$4:$H$40,"&gt;="&amp;M553),'FIRE TEX 5120'!$H$4:$M$40,IF(L553="F-15",2,IF(L553="F-30",3,IF(L553="F-60",4,IF(L553="F-90",5,IF(L553="F-120",6,0))))),0),0)+IF(AND(O553="FIRE TEX 5120",E553="CJ"),VLOOKUP(_xlfn.MINIFS('FIRE TEX 5120'!$O$5:$O$40,'FIRE TEX 5120'!$O$5:$O$40,"&gt;="&amp;M553),'FIRE TEX 5120'!$O$5:$T$40,IF(L553="F-15",2,IF(L553="F-30",3,IF(L553="F-60",4,IF(L553="F-90",5,IF(L553="F-120",6,0))))),0),0)</f>
        <v>0</v>
      </c>
      <c r="Q553" s="46">
        <f t="shared" si="59"/>
        <v>0</v>
      </c>
      <c r="R553" s="46">
        <f t="shared" si="60"/>
        <v>0</v>
      </c>
      <c r="S553" s="46" t="e">
        <f t="shared" si="61"/>
        <v>#VALUE!</v>
      </c>
      <c r="T553" s="677">
        <f t="shared" si="62"/>
        <v>0</v>
      </c>
      <c r="U553" s="80">
        <f>(IF(O553="Stofire",(S553*#REF!),0))+(IF(O553="Fire Control",(S553*$U$2),0))+(IF(O553="Fire Tex",(S553*$U$3),0))+(IF(O553="WB7",(S553*#REF!),0)+(IF(O553="FX 2003",(S553*$U$5),0)))</f>
        <v>0</v>
      </c>
      <c r="V553" s="651">
        <f t="shared" si="63"/>
        <v>0</v>
      </c>
    </row>
    <row r="554" spans="4:22" x14ac:dyDescent="0.25">
      <c r="D554" s="118">
        <f>+CUBICACION!D553</f>
        <v>0</v>
      </c>
      <c r="E554" s="118">
        <f>+CUBICACION!F553</f>
        <v>0</v>
      </c>
      <c r="F554" s="118">
        <f>+CUBICACION!E553</f>
        <v>0</v>
      </c>
      <c r="G554" s="118">
        <v>12</v>
      </c>
      <c r="H554" s="118">
        <v>2</v>
      </c>
      <c r="I554" s="820">
        <v>26385</v>
      </c>
      <c r="J554" s="118">
        <f>+CUBICACION!J553</f>
        <v>0</v>
      </c>
      <c r="K554" s="118">
        <v>3333</v>
      </c>
      <c r="L554" s="118">
        <f>+CUBICACION!L553</f>
        <v>0</v>
      </c>
      <c r="M554" s="64">
        <f>+CUBICACION!M553</f>
        <v>0</v>
      </c>
      <c r="N554" s="824" t="str">
        <f>+CUBICACION!N553</f>
        <v/>
      </c>
      <c r="O554" s="675">
        <f>+CUBICACION!O553</f>
        <v>0</v>
      </c>
      <c r="P554" s="15">
        <f>IF(O554="Fire Control",VLOOKUP(_xlfn.MINIFS('FIRE CONTROL'!$C$4:$C$37,'FIRE CONTROL'!$C$4:$C$37,"&gt;="&amp;M554),'FIRE CONTROL'!$C$4:$G$37,IF(L554="F-15",2,IF(L554="F-30",3,IF(L554="F-60",4,IF(L554="F-90",5,0)))),0),0)+IF(AND(O554="FIRE TEX 5062",OR(E554="IN",E554="C",E554="Z",E554="L"),J554=3),VLOOKUP(_xlfn.MINIFS('FIRE TEX 5062'!$B$4:$B$34,'FIRE TEX 5062'!$B$4:$B$34,"&gt;="&amp;M554),'FIRE TEX 5062'!$B$4:$F$34,IF(L554="F-15",2,IF(L554="F-30",3,IF(L554="F-60",4,IF(L554="F-90",5,0)))),0),0)+IF(AND(O554="FIRE TEX 5062",OR(E554="IN",E554="C",E554="Z",E554="L"),J554=4),VLOOKUP(_xlfn.MINIFS('FIRE TEX 5062'!$G$4:$G$34,'FIRE TEX 5062'!$G$4:$G$34,"&gt;="&amp;M554),'FIRE TEX 5062'!$G$4:$K$34,IF(L554="F-15",2,IF(L554="F-30",3,IF(L554="F-60",4,IF(L554="F-90",5,0)))),0),0)+IF(AND(O554="FIRE TEX 5062",E554="CJ",J554=3),VLOOKUP(_xlfn.MINIFS('FIRE TEX 5062'!$L$4:$L$34,'FIRE TEX 5062'!$L$4:$L$34,"&gt;="&amp;M554),'FIRE TEX 5062'!$L$4:$P$34,IF(L554="F-15",2,IF(L554="F-30",3,IF(L554="F-60",4,IF(L554="F-90",5,0)))),0),0)+IF(AND(O554="FIRE TEX 5062",E554="CJ",J554=4),VLOOKUP(_xlfn.MINIFS('FIRE TEX 5062'!$Q$3:$Q$34,'FIRE TEX 5062'!$Q$3:$Q$34,"&gt;="&amp;M554),'FIRE TEX 5062'!$Q$3:$U$34,IF(L554="F-15",2,IF(L554="F-30",3,IF(L554="F-60",4,IF(L554="F-90",5,0)))),0),0)+IF(AND(O554="FIRE TEX 5090",OR(E554="IN",E554="C",E554="Z",E554="L"),J554=3),VLOOKUP(_xlfn.MINIFS('FIRE TEX 5090'!$B$5:$B$43,'FIRE TEX 5090'!$B$5:$B$43,"&gt;="&amp;M554),'FIRE TEX 5090'!$B$5:$H$43,IF(L554="F-15",2,IF(L554="F-30",3,IF(L554="F-60",4,IF(L554="F-90",5,IF(L554="F-120",6,IF(L554="F-150",7,0)))))),0),0)+IF(AND(O554="FIRE TEX 5090",OR(E554="IN",E554="C",E554="Z",E554="L"),J554=4),VLOOKUP(_xlfn.MINIFS('FIRE TEX 5090'!$J$5:$J$43,'FIRE TEX 5090'!$J$5:$J$43,"&gt;="&amp;M554),'FIRE TEX 5090'!$J$5:$P$43,IF(L554="F-15",2,IF(L554="F-30",3,IF(L554="F-60",4,IF(L554="F-90",5,IF(L554="F-120",6,IF(L554="F-150",7,0)))))),0),0)+IF(AND(O554="FIRE TEX 5090",E554="CJ",J554=3),VLOOKUP(_xlfn.MINIFS('FIRE TEX 5090'!$R$5:$R$30,'FIRE TEX 5090'!$R$5:$R$30,"&gt;="&amp;M554),'FIRE TEX 5090'!$R$5:$W$30,IF(L554="F-15",2,IF(L554="F-30",3,IF(L554="F-60",4,IF(L554="F-90",5,IF(L554="F-120",6,IF(L554="F-150",7,0)))))),0),0)+IF(AND(O554="FIRE TEX 5090",E554="CJ",J554=4),VLOOKUP(_xlfn.MINIFS('FIRE TEX 5090'!$Y$5:$Y$39,'FIRE TEX 5090'!$Y$5:$Y$39,"&gt;="&amp;M554),'FIRE TEX 5090'!$Y$5:$AD$39,IF(L554="F-15",2,IF(L554="F-30",3,IF(L554="F-60",4,IF(L554="F-90",5,IF(L554="F-120",6,IF(L554="F-150",7,0)))))),0),0)+IF(AND(O554="FIRE TEX 5120",OR(E554="IN",E554="C",E554="Z",E554="L"),J554=3),VLOOKUP(_xlfn.MINIFS('FIRE TEX 5120'!$B$5:$B$40,'FIRE TEX 5120'!$B$5:$B$40,"&gt;="&amp;M554),'FIRE TEX 5120'!$B$5:$G$40,IF(L554="F-15",2,IF(L554="F-30",3,IF(L554="F-60",4,IF(L554="F-90",5,IF(L554="F-120",6,0))))),0),0)+IF(AND(O554="FIRE TEX 5120",OR(E554="IN",E554="C",E554="Z",E554="L"),J554=4),VLOOKUP(_xlfn.MINIFS('FIRE TEX 5120'!$H$4:$H$40,'FIRE TEX 5120'!$H$4:$H$40,"&gt;="&amp;M554),'FIRE TEX 5120'!$H$4:$M$40,IF(L554="F-15",2,IF(L554="F-30",3,IF(L554="F-60",4,IF(L554="F-90",5,IF(L554="F-120",6,0))))),0),0)+IF(AND(O554="FIRE TEX 5120",E554="CJ"),VLOOKUP(_xlfn.MINIFS('FIRE TEX 5120'!$O$5:$O$40,'FIRE TEX 5120'!$O$5:$O$40,"&gt;="&amp;M554),'FIRE TEX 5120'!$O$5:$T$40,IF(L554="F-15",2,IF(L554="F-30",3,IF(L554="F-60",4,IF(L554="F-90",5,IF(L554="F-120",6,0))))),0),0)</f>
        <v>0</v>
      </c>
      <c r="Q554" s="46">
        <f t="shared" si="59"/>
        <v>0</v>
      </c>
      <c r="R554" s="46">
        <f t="shared" si="60"/>
        <v>0</v>
      </c>
      <c r="S554" s="46" t="e">
        <f t="shared" si="61"/>
        <v>#VALUE!</v>
      </c>
      <c r="T554" s="677">
        <f t="shared" si="62"/>
        <v>0</v>
      </c>
      <c r="U554" s="80">
        <f>(IF(O554="Stofire",(S554*#REF!),0))+(IF(O554="Fire Control",(S554*$U$2),0))+(IF(O554="Fire Tex",(S554*$U$3),0))+(IF(O554="WB7",(S554*#REF!),0)+(IF(O554="FX 2003",(S554*$U$5),0)))</f>
        <v>0</v>
      </c>
      <c r="V554" s="651">
        <f t="shared" si="63"/>
        <v>0</v>
      </c>
    </row>
    <row r="555" spans="4:22" x14ac:dyDescent="0.25">
      <c r="D555" s="118">
        <f>+CUBICACION!D554</f>
        <v>0</v>
      </c>
      <c r="E555" s="118">
        <f>+CUBICACION!F554</f>
        <v>0</v>
      </c>
      <c r="F555" s="118">
        <f>+CUBICACION!E554</f>
        <v>0</v>
      </c>
      <c r="G555" s="118">
        <v>12</v>
      </c>
      <c r="H555" s="118">
        <v>2</v>
      </c>
      <c r="I555" s="820">
        <v>26385</v>
      </c>
      <c r="J555" s="118">
        <f>+CUBICACION!J554</f>
        <v>0</v>
      </c>
      <c r="K555" s="118">
        <v>3334</v>
      </c>
      <c r="L555" s="118">
        <f>+CUBICACION!L554</f>
        <v>0</v>
      </c>
      <c r="M555" s="64">
        <f>+CUBICACION!M554</f>
        <v>0</v>
      </c>
      <c r="N555" s="824" t="str">
        <f>+CUBICACION!N554</f>
        <v/>
      </c>
      <c r="O555" s="675">
        <f>+CUBICACION!O554</f>
        <v>0</v>
      </c>
      <c r="P555" s="15">
        <f>IF(O555="Fire Control",VLOOKUP(_xlfn.MINIFS('FIRE CONTROL'!$C$4:$C$37,'FIRE CONTROL'!$C$4:$C$37,"&gt;="&amp;M555),'FIRE CONTROL'!$C$4:$G$37,IF(L555="F-15",2,IF(L555="F-30",3,IF(L555="F-60",4,IF(L555="F-90",5,0)))),0),0)+IF(AND(O555="FIRE TEX 5062",OR(E555="IN",E555="C",E555="Z",E555="L"),J555=3),VLOOKUP(_xlfn.MINIFS('FIRE TEX 5062'!$B$4:$B$34,'FIRE TEX 5062'!$B$4:$B$34,"&gt;="&amp;M555),'FIRE TEX 5062'!$B$4:$F$34,IF(L555="F-15",2,IF(L555="F-30",3,IF(L555="F-60",4,IF(L555="F-90",5,0)))),0),0)+IF(AND(O555="FIRE TEX 5062",OR(E555="IN",E555="C",E555="Z",E555="L"),J555=4),VLOOKUP(_xlfn.MINIFS('FIRE TEX 5062'!$G$4:$G$34,'FIRE TEX 5062'!$G$4:$G$34,"&gt;="&amp;M555),'FIRE TEX 5062'!$G$4:$K$34,IF(L555="F-15",2,IF(L555="F-30",3,IF(L555="F-60",4,IF(L555="F-90",5,0)))),0),0)+IF(AND(O555="FIRE TEX 5062",E555="CJ",J555=3),VLOOKUP(_xlfn.MINIFS('FIRE TEX 5062'!$L$4:$L$34,'FIRE TEX 5062'!$L$4:$L$34,"&gt;="&amp;M555),'FIRE TEX 5062'!$L$4:$P$34,IF(L555="F-15",2,IF(L555="F-30",3,IF(L555="F-60",4,IF(L555="F-90",5,0)))),0),0)+IF(AND(O555="FIRE TEX 5062",E555="CJ",J555=4),VLOOKUP(_xlfn.MINIFS('FIRE TEX 5062'!$Q$3:$Q$34,'FIRE TEX 5062'!$Q$3:$Q$34,"&gt;="&amp;M555),'FIRE TEX 5062'!$Q$3:$U$34,IF(L555="F-15",2,IF(L555="F-30",3,IF(L555="F-60",4,IF(L555="F-90",5,0)))),0),0)+IF(AND(O555="FIRE TEX 5090",OR(E555="IN",E555="C",E555="Z",E555="L"),J555=3),VLOOKUP(_xlfn.MINIFS('FIRE TEX 5090'!$B$5:$B$43,'FIRE TEX 5090'!$B$5:$B$43,"&gt;="&amp;M555),'FIRE TEX 5090'!$B$5:$H$43,IF(L555="F-15",2,IF(L555="F-30",3,IF(L555="F-60",4,IF(L555="F-90",5,IF(L555="F-120",6,IF(L555="F-150",7,0)))))),0),0)+IF(AND(O555="FIRE TEX 5090",OR(E555="IN",E555="C",E555="Z",E555="L"),J555=4),VLOOKUP(_xlfn.MINIFS('FIRE TEX 5090'!$J$5:$J$43,'FIRE TEX 5090'!$J$5:$J$43,"&gt;="&amp;M555),'FIRE TEX 5090'!$J$5:$P$43,IF(L555="F-15",2,IF(L555="F-30",3,IF(L555="F-60",4,IF(L555="F-90",5,IF(L555="F-120",6,IF(L555="F-150",7,0)))))),0),0)+IF(AND(O555="FIRE TEX 5090",E555="CJ",J555=3),VLOOKUP(_xlfn.MINIFS('FIRE TEX 5090'!$R$5:$R$30,'FIRE TEX 5090'!$R$5:$R$30,"&gt;="&amp;M555),'FIRE TEX 5090'!$R$5:$W$30,IF(L555="F-15",2,IF(L555="F-30",3,IF(L555="F-60",4,IF(L555="F-90",5,IF(L555="F-120",6,IF(L555="F-150",7,0)))))),0),0)+IF(AND(O555="FIRE TEX 5090",E555="CJ",J555=4),VLOOKUP(_xlfn.MINIFS('FIRE TEX 5090'!$Y$5:$Y$39,'FIRE TEX 5090'!$Y$5:$Y$39,"&gt;="&amp;M555),'FIRE TEX 5090'!$Y$5:$AD$39,IF(L555="F-15",2,IF(L555="F-30",3,IF(L555="F-60",4,IF(L555="F-90",5,IF(L555="F-120",6,IF(L555="F-150",7,0)))))),0),0)+IF(AND(O555="FIRE TEX 5120",OR(E555="IN",E555="C",E555="Z",E555="L"),J555=3),VLOOKUP(_xlfn.MINIFS('FIRE TEX 5120'!$B$5:$B$40,'FIRE TEX 5120'!$B$5:$B$40,"&gt;="&amp;M555),'FIRE TEX 5120'!$B$5:$G$40,IF(L555="F-15",2,IF(L555="F-30",3,IF(L555="F-60",4,IF(L555="F-90",5,IF(L555="F-120",6,0))))),0),0)+IF(AND(O555="FIRE TEX 5120",OR(E555="IN",E555="C",E555="Z",E555="L"),J555=4),VLOOKUP(_xlfn.MINIFS('FIRE TEX 5120'!$H$4:$H$40,'FIRE TEX 5120'!$H$4:$H$40,"&gt;="&amp;M555),'FIRE TEX 5120'!$H$4:$M$40,IF(L555="F-15",2,IF(L555="F-30",3,IF(L555="F-60",4,IF(L555="F-90",5,IF(L555="F-120",6,0))))),0),0)+IF(AND(O555="FIRE TEX 5120",E555="CJ"),VLOOKUP(_xlfn.MINIFS('FIRE TEX 5120'!$O$5:$O$40,'FIRE TEX 5120'!$O$5:$O$40,"&gt;="&amp;M555),'FIRE TEX 5120'!$O$5:$T$40,IF(L555="F-15",2,IF(L555="F-30",3,IF(L555="F-60",4,IF(L555="F-90",5,IF(L555="F-120",6,0))))),0),0)</f>
        <v>0</v>
      </c>
      <c r="Q555" s="46">
        <f t="shared" si="59"/>
        <v>0</v>
      </c>
      <c r="R555" s="46">
        <f t="shared" si="60"/>
        <v>0</v>
      </c>
      <c r="S555" s="46" t="e">
        <f t="shared" si="61"/>
        <v>#VALUE!</v>
      </c>
      <c r="T555" s="677">
        <f t="shared" si="62"/>
        <v>0</v>
      </c>
      <c r="U555" s="80">
        <f>(IF(O555="Stofire",(S555*#REF!),0))+(IF(O555="Fire Control",(S555*$U$2),0))+(IF(O555="Fire Tex",(S555*$U$3),0))+(IF(O555="WB7",(S555*#REF!),0)+(IF(O555="FX 2003",(S555*$U$5),0)))</f>
        <v>0</v>
      </c>
      <c r="V555" s="651">
        <f t="shared" si="63"/>
        <v>0</v>
      </c>
    </row>
    <row r="556" spans="4:22" x14ac:dyDescent="0.25">
      <c r="D556" s="118">
        <f>+CUBICACION!D555</f>
        <v>0</v>
      </c>
      <c r="E556" s="118">
        <f>+CUBICACION!F555</f>
        <v>0</v>
      </c>
      <c r="F556" s="118">
        <f>+CUBICACION!E555</f>
        <v>0</v>
      </c>
      <c r="G556" s="118">
        <v>12</v>
      </c>
      <c r="H556" s="118">
        <v>2</v>
      </c>
      <c r="I556" s="820">
        <v>26385</v>
      </c>
      <c r="J556" s="118">
        <f>+CUBICACION!J555</f>
        <v>0</v>
      </c>
      <c r="K556" s="118">
        <v>3335</v>
      </c>
      <c r="L556" s="118">
        <f>+CUBICACION!L555</f>
        <v>0</v>
      </c>
      <c r="M556" s="64">
        <f>+CUBICACION!M555</f>
        <v>0</v>
      </c>
      <c r="N556" s="824" t="str">
        <f>+CUBICACION!N555</f>
        <v/>
      </c>
      <c r="O556" s="675">
        <f>+CUBICACION!O555</f>
        <v>0</v>
      </c>
      <c r="P556" s="15">
        <f>IF(O556="Fire Control",VLOOKUP(_xlfn.MINIFS('FIRE CONTROL'!$C$4:$C$37,'FIRE CONTROL'!$C$4:$C$37,"&gt;="&amp;M556),'FIRE CONTROL'!$C$4:$G$37,IF(L556="F-15",2,IF(L556="F-30",3,IF(L556="F-60",4,IF(L556="F-90",5,0)))),0),0)+IF(AND(O556="FIRE TEX 5062",OR(E556="IN",E556="C",E556="Z",E556="L"),J556=3),VLOOKUP(_xlfn.MINIFS('FIRE TEX 5062'!$B$4:$B$34,'FIRE TEX 5062'!$B$4:$B$34,"&gt;="&amp;M556),'FIRE TEX 5062'!$B$4:$F$34,IF(L556="F-15",2,IF(L556="F-30",3,IF(L556="F-60",4,IF(L556="F-90",5,0)))),0),0)+IF(AND(O556="FIRE TEX 5062",OR(E556="IN",E556="C",E556="Z",E556="L"),J556=4),VLOOKUP(_xlfn.MINIFS('FIRE TEX 5062'!$G$4:$G$34,'FIRE TEX 5062'!$G$4:$G$34,"&gt;="&amp;M556),'FIRE TEX 5062'!$G$4:$K$34,IF(L556="F-15",2,IF(L556="F-30",3,IF(L556="F-60",4,IF(L556="F-90",5,0)))),0),0)+IF(AND(O556="FIRE TEX 5062",E556="CJ",J556=3),VLOOKUP(_xlfn.MINIFS('FIRE TEX 5062'!$L$4:$L$34,'FIRE TEX 5062'!$L$4:$L$34,"&gt;="&amp;M556),'FIRE TEX 5062'!$L$4:$P$34,IF(L556="F-15",2,IF(L556="F-30",3,IF(L556="F-60",4,IF(L556="F-90",5,0)))),0),0)+IF(AND(O556="FIRE TEX 5062",E556="CJ",J556=4),VLOOKUP(_xlfn.MINIFS('FIRE TEX 5062'!$Q$3:$Q$34,'FIRE TEX 5062'!$Q$3:$Q$34,"&gt;="&amp;M556),'FIRE TEX 5062'!$Q$3:$U$34,IF(L556="F-15",2,IF(L556="F-30",3,IF(L556="F-60",4,IF(L556="F-90",5,0)))),0),0)+IF(AND(O556="FIRE TEX 5090",OR(E556="IN",E556="C",E556="Z",E556="L"),J556=3),VLOOKUP(_xlfn.MINIFS('FIRE TEX 5090'!$B$5:$B$43,'FIRE TEX 5090'!$B$5:$B$43,"&gt;="&amp;M556),'FIRE TEX 5090'!$B$5:$H$43,IF(L556="F-15",2,IF(L556="F-30",3,IF(L556="F-60",4,IF(L556="F-90",5,IF(L556="F-120",6,IF(L556="F-150",7,0)))))),0),0)+IF(AND(O556="FIRE TEX 5090",OR(E556="IN",E556="C",E556="Z",E556="L"),J556=4),VLOOKUP(_xlfn.MINIFS('FIRE TEX 5090'!$J$5:$J$43,'FIRE TEX 5090'!$J$5:$J$43,"&gt;="&amp;M556),'FIRE TEX 5090'!$J$5:$P$43,IF(L556="F-15",2,IF(L556="F-30",3,IF(L556="F-60",4,IF(L556="F-90",5,IF(L556="F-120",6,IF(L556="F-150",7,0)))))),0),0)+IF(AND(O556="FIRE TEX 5090",E556="CJ",J556=3),VLOOKUP(_xlfn.MINIFS('FIRE TEX 5090'!$R$5:$R$30,'FIRE TEX 5090'!$R$5:$R$30,"&gt;="&amp;M556),'FIRE TEX 5090'!$R$5:$W$30,IF(L556="F-15",2,IF(L556="F-30",3,IF(L556="F-60",4,IF(L556="F-90",5,IF(L556="F-120",6,IF(L556="F-150",7,0)))))),0),0)+IF(AND(O556="FIRE TEX 5090",E556="CJ",J556=4),VLOOKUP(_xlfn.MINIFS('FIRE TEX 5090'!$Y$5:$Y$39,'FIRE TEX 5090'!$Y$5:$Y$39,"&gt;="&amp;M556),'FIRE TEX 5090'!$Y$5:$AD$39,IF(L556="F-15",2,IF(L556="F-30",3,IF(L556="F-60",4,IF(L556="F-90",5,IF(L556="F-120",6,IF(L556="F-150",7,0)))))),0),0)+IF(AND(O556="FIRE TEX 5120",OR(E556="IN",E556="C",E556="Z",E556="L"),J556=3),VLOOKUP(_xlfn.MINIFS('FIRE TEX 5120'!$B$5:$B$40,'FIRE TEX 5120'!$B$5:$B$40,"&gt;="&amp;M556),'FIRE TEX 5120'!$B$5:$G$40,IF(L556="F-15",2,IF(L556="F-30",3,IF(L556="F-60",4,IF(L556="F-90",5,IF(L556="F-120",6,0))))),0),0)+IF(AND(O556="FIRE TEX 5120",OR(E556="IN",E556="C",E556="Z",E556="L"),J556=4),VLOOKUP(_xlfn.MINIFS('FIRE TEX 5120'!$H$4:$H$40,'FIRE TEX 5120'!$H$4:$H$40,"&gt;="&amp;M556),'FIRE TEX 5120'!$H$4:$M$40,IF(L556="F-15",2,IF(L556="F-30",3,IF(L556="F-60",4,IF(L556="F-90",5,IF(L556="F-120",6,0))))),0),0)+IF(AND(O556="FIRE TEX 5120",E556="CJ"),VLOOKUP(_xlfn.MINIFS('FIRE TEX 5120'!$O$5:$O$40,'FIRE TEX 5120'!$O$5:$O$40,"&gt;="&amp;M556),'FIRE TEX 5120'!$O$5:$T$40,IF(L556="F-15",2,IF(L556="F-30",3,IF(L556="F-60",4,IF(L556="F-90",5,IF(L556="F-120",6,0))))),0),0)</f>
        <v>0</v>
      </c>
      <c r="Q556" s="46">
        <f t="shared" si="59"/>
        <v>0</v>
      </c>
      <c r="R556" s="46">
        <f t="shared" si="60"/>
        <v>0</v>
      </c>
      <c r="S556" s="46" t="e">
        <f t="shared" si="61"/>
        <v>#VALUE!</v>
      </c>
      <c r="T556" s="677">
        <f t="shared" si="62"/>
        <v>0</v>
      </c>
      <c r="U556" s="80">
        <f>(IF(O556="Stofire",(S556*#REF!),0))+(IF(O556="Fire Control",(S556*$U$2),0))+(IF(O556="Fire Tex",(S556*$U$3),0))+(IF(O556="WB7",(S556*#REF!),0)+(IF(O556="FX 2003",(S556*$U$5),0)))</f>
        <v>0</v>
      </c>
      <c r="V556" s="651">
        <f t="shared" si="63"/>
        <v>0</v>
      </c>
    </row>
    <row r="557" spans="4:22" x14ac:dyDescent="0.25">
      <c r="D557" s="118">
        <f>+CUBICACION!D556</f>
        <v>0</v>
      </c>
      <c r="E557" s="118">
        <f>+CUBICACION!F556</f>
        <v>0</v>
      </c>
      <c r="F557" s="118">
        <f>+CUBICACION!E556</f>
        <v>0</v>
      </c>
      <c r="G557" s="118">
        <v>12</v>
      </c>
      <c r="H557" s="118">
        <v>2</v>
      </c>
      <c r="I557" s="820">
        <v>26385</v>
      </c>
      <c r="J557" s="118">
        <f>+CUBICACION!J556</f>
        <v>0</v>
      </c>
      <c r="K557" s="118">
        <v>3336</v>
      </c>
      <c r="L557" s="118">
        <f>+CUBICACION!L556</f>
        <v>0</v>
      </c>
      <c r="M557" s="64">
        <f>+CUBICACION!M556</f>
        <v>0</v>
      </c>
      <c r="N557" s="824" t="str">
        <f>+CUBICACION!N556</f>
        <v/>
      </c>
      <c r="O557" s="675">
        <f>+CUBICACION!O556</f>
        <v>0</v>
      </c>
      <c r="P557" s="15">
        <f>IF(O557="Fire Control",VLOOKUP(_xlfn.MINIFS('FIRE CONTROL'!$C$4:$C$37,'FIRE CONTROL'!$C$4:$C$37,"&gt;="&amp;M557),'FIRE CONTROL'!$C$4:$G$37,IF(L557="F-15",2,IF(L557="F-30",3,IF(L557="F-60",4,IF(L557="F-90",5,0)))),0),0)+IF(AND(O557="FIRE TEX 5062",OR(E557="IN",E557="C",E557="Z",E557="L"),J557=3),VLOOKUP(_xlfn.MINIFS('FIRE TEX 5062'!$B$4:$B$34,'FIRE TEX 5062'!$B$4:$B$34,"&gt;="&amp;M557),'FIRE TEX 5062'!$B$4:$F$34,IF(L557="F-15",2,IF(L557="F-30",3,IF(L557="F-60",4,IF(L557="F-90",5,0)))),0),0)+IF(AND(O557="FIRE TEX 5062",OR(E557="IN",E557="C",E557="Z",E557="L"),J557=4),VLOOKUP(_xlfn.MINIFS('FIRE TEX 5062'!$G$4:$G$34,'FIRE TEX 5062'!$G$4:$G$34,"&gt;="&amp;M557),'FIRE TEX 5062'!$G$4:$K$34,IF(L557="F-15",2,IF(L557="F-30",3,IF(L557="F-60",4,IF(L557="F-90",5,0)))),0),0)+IF(AND(O557="FIRE TEX 5062",E557="CJ",J557=3),VLOOKUP(_xlfn.MINIFS('FIRE TEX 5062'!$L$4:$L$34,'FIRE TEX 5062'!$L$4:$L$34,"&gt;="&amp;M557),'FIRE TEX 5062'!$L$4:$P$34,IF(L557="F-15",2,IF(L557="F-30",3,IF(L557="F-60",4,IF(L557="F-90",5,0)))),0),0)+IF(AND(O557="FIRE TEX 5062",E557="CJ",J557=4),VLOOKUP(_xlfn.MINIFS('FIRE TEX 5062'!$Q$3:$Q$34,'FIRE TEX 5062'!$Q$3:$Q$34,"&gt;="&amp;M557),'FIRE TEX 5062'!$Q$3:$U$34,IF(L557="F-15",2,IF(L557="F-30",3,IF(L557="F-60",4,IF(L557="F-90",5,0)))),0),0)+IF(AND(O557="FIRE TEX 5090",OR(E557="IN",E557="C",E557="Z",E557="L"),J557=3),VLOOKUP(_xlfn.MINIFS('FIRE TEX 5090'!$B$5:$B$43,'FIRE TEX 5090'!$B$5:$B$43,"&gt;="&amp;M557),'FIRE TEX 5090'!$B$5:$H$43,IF(L557="F-15",2,IF(L557="F-30",3,IF(L557="F-60",4,IF(L557="F-90",5,IF(L557="F-120",6,IF(L557="F-150",7,0)))))),0),0)+IF(AND(O557="FIRE TEX 5090",OR(E557="IN",E557="C",E557="Z",E557="L"),J557=4),VLOOKUP(_xlfn.MINIFS('FIRE TEX 5090'!$J$5:$J$43,'FIRE TEX 5090'!$J$5:$J$43,"&gt;="&amp;M557),'FIRE TEX 5090'!$J$5:$P$43,IF(L557="F-15",2,IF(L557="F-30",3,IF(L557="F-60",4,IF(L557="F-90",5,IF(L557="F-120",6,IF(L557="F-150",7,0)))))),0),0)+IF(AND(O557="FIRE TEX 5090",E557="CJ",J557=3),VLOOKUP(_xlfn.MINIFS('FIRE TEX 5090'!$R$5:$R$30,'FIRE TEX 5090'!$R$5:$R$30,"&gt;="&amp;M557),'FIRE TEX 5090'!$R$5:$W$30,IF(L557="F-15",2,IF(L557="F-30",3,IF(L557="F-60",4,IF(L557="F-90",5,IF(L557="F-120",6,IF(L557="F-150",7,0)))))),0),0)+IF(AND(O557="FIRE TEX 5090",E557="CJ",J557=4),VLOOKUP(_xlfn.MINIFS('FIRE TEX 5090'!$Y$5:$Y$39,'FIRE TEX 5090'!$Y$5:$Y$39,"&gt;="&amp;M557),'FIRE TEX 5090'!$Y$5:$AD$39,IF(L557="F-15",2,IF(L557="F-30",3,IF(L557="F-60",4,IF(L557="F-90",5,IF(L557="F-120",6,IF(L557="F-150",7,0)))))),0),0)+IF(AND(O557="FIRE TEX 5120",OR(E557="IN",E557="C",E557="Z",E557="L"),J557=3),VLOOKUP(_xlfn.MINIFS('FIRE TEX 5120'!$B$5:$B$40,'FIRE TEX 5120'!$B$5:$B$40,"&gt;="&amp;M557),'FIRE TEX 5120'!$B$5:$G$40,IF(L557="F-15",2,IF(L557="F-30",3,IF(L557="F-60",4,IF(L557="F-90",5,IF(L557="F-120",6,0))))),0),0)+IF(AND(O557="FIRE TEX 5120",OR(E557="IN",E557="C",E557="Z",E557="L"),J557=4),VLOOKUP(_xlfn.MINIFS('FIRE TEX 5120'!$H$4:$H$40,'FIRE TEX 5120'!$H$4:$H$40,"&gt;="&amp;M557),'FIRE TEX 5120'!$H$4:$M$40,IF(L557="F-15",2,IF(L557="F-30",3,IF(L557="F-60",4,IF(L557="F-90",5,IF(L557="F-120",6,0))))),0),0)+IF(AND(O557="FIRE TEX 5120",E557="CJ"),VLOOKUP(_xlfn.MINIFS('FIRE TEX 5120'!$O$5:$O$40,'FIRE TEX 5120'!$O$5:$O$40,"&gt;="&amp;M557),'FIRE TEX 5120'!$O$5:$T$40,IF(L557="F-15",2,IF(L557="F-30",3,IF(L557="F-60",4,IF(L557="F-90",5,IF(L557="F-120",6,0))))),0),0)</f>
        <v>0</v>
      </c>
      <c r="Q557" s="46">
        <f t="shared" ref="Q557:Q620" si="64">IF(P557="","",IF(P557="dar valor","",0.03937*P557))</f>
        <v>0</v>
      </c>
      <c r="R557" s="46">
        <f t="shared" ref="R557:R620" si="65">+(IF(O557="Fire Control",((65*1.5/Q557)*0.75*4),0))+(IF(OR(O557="Fire Tex 5062",O557="Fire Tex 5090",O557="Fire Tex 5120"),((66*1.5/Q557)*0.7*5),0))</f>
        <v>0</v>
      </c>
      <c r="S557" s="46" t="e">
        <f t="shared" ref="S557:S620" si="66">IF(R557="","",+N557/R557)</f>
        <v>#VALUE!</v>
      </c>
      <c r="T557" s="677">
        <f t="shared" ref="T557:T620" si="67">(IF(O557="Stofire",(S557/(7*1)),0))+(IF(O557="Fire Control",(S557/(7*1)),0))+(IF(O557="Fire Tex",(S557/(7*1)),0))+(IF(O557="WB7",(S557/(7*1)),0))+(IF(O557="FX 2003",(S557/(7*1)),0))</f>
        <v>0</v>
      </c>
      <c r="U557" s="80">
        <f>(IF(O557="Stofire",(S557*#REF!),0))+(IF(O557="Fire Control",(S557*$U$2),0))+(IF(O557="Fire Tex",(S557*$U$3),0))+(IF(O557="WB7",(S557*#REF!),0)+(IF(O557="FX 2003",(S557*$U$5),0)))</f>
        <v>0</v>
      </c>
      <c r="V557" s="651">
        <f t="shared" ref="V557:V620" si="68">_xlfn.CEILING.MATH(M557,10)</f>
        <v>0</v>
      </c>
    </row>
    <row r="558" spans="4:22" x14ac:dyDescent="0.25">
      <c r="D558" s="118">
        <f>+CUBICACION!D557</f>
        <v>0</v>
      </c>
      <c r="E558" s="118">
        <f>+CUBICACION!F557</f>
        <v>0</v>
      </c>
      <c r="F558" s="118">
        <f>+CUBICACION!E557</f>
        <v>0</v>
      </c>
      <c r="G558" s="118">
        <v>12</v>
      </c>
      <c r="H558" s="118">
        <v>2</v>
      </c>
      <c r="I558" s="820">
        <v>26385</v>
      </c>
      <c r="J558" s="118">
        <f>+CUBICACION!J557</f>
        <v>0</v>
      </c>
      <c r="K558" s="118">
        <v>3337</v>
      </c>
      <c r="L558" s="118">
        <f>+CUBICACION!L557</f>
        <v>0</v>
      </c>
      <c r="M558" s="64">
        <f>+CUBICACION!M557</f>
        <v>0</v>
      </c>
      <c r="N558" s="824" t="str">
        <f>+CUBICACION!N557</f>
        <v/>
      </c>
      <c r="O558" s="675">
        <f>+CUBICACION!O557</f>
        <v>0</v>
      </c>
      <c r="P558" s="15">
        <f>IF(O558="Fire Control",VLOOKUP(_xlfn.MINIFS('FIRE CONTROL'!$C$4:$C$37,'FIRE CONTROL'!$C$4:$C$37,"&gt;="&amp;M558),'FIRE CONTROL'!$C$4:$G$37,IF(L558="F-15",2,IF(L558="F-30",3,IF(L558="F-60",4,IF(L558="F-90",5,0)))),0),0)+IF(AND(O558="FIRE TEX 5062",OR(E558="IN",E558="C",E558="Z",E558="L"),J558=3),VLOOKUP(_xlfn.MINIFS('FIRE TEX 5062'!$B$4:$B$34,'FIRE TEX 5062'!$B$4:$B$34,"&gt;="&amp;M558),'FIRE TEX 5062'!$B$4:$F$34,IF(L558="F-15",2,IF(L558="F-30",3,IF(L558="F-60",4,IF(L558="F-90",5,0)))),0),0)+IF(AND(O558="FIRE TEX 5062",OR(E558="IN",E558="C",E558="Z",E558="L"),J558=4),VLOOKUP(_xlfn.MINIFS('FIRE TEX 5062'!$G$4:$G$34,'FIRE TEX 5062'!$G$4:$G$34,"&gt;="&amp;M558),'FIRE TEX 5062'!$G$4:$K$34,IF(L558="F-15",2,IF(L558="F-30",3,IF(L558="F-60",4,IF(L558="F-90",5,0)))),0),0)+IF(AND(O558="FIRE TEX 5062",E558="CJ",J558=3),VLOOKUP(_xlfn.MINIFS('FIRE TEX 5062'!$L$4:$L$34,'FIRE TEX 5062'!$L$4:$L$34,"&gt;="&amp;M558),'FIRE TEX 5062'!$L$4:$P$34,IF(L558="F-15",2,IF(L558="F-30",3,IF(L558="F-60",4,IF(L558="F-90",5,0)))),0),0)+IF(AND(O558="FIRE TEX 5062",E558="CJ",J558=4),VLOOKUP(_xlfn.MINIFS('FIRE TEX 5062'!$Q$3:$Q$34,'FIRE TEX 5062'!$Q$3:$Q$34,"&gt;="&amp;M558),'FIRE TEX 5062'!$Q$3:$U$34,IF(L558="F-15",2,IF(L558="F-30",3,IF(L558="F-60",4,IF(L558="F-90",5,0)))),0),0)+IF(AND(O558="FIRE TEX 5090",OR(E558="IN",E558="C",E558="Z",E558="L"),J558=3),VLOOKUP(_xlfn.MINIFS('FIRE TEX 5090'!$B$5:$B$43,'FIRE TEX 5090'!$B$5:$B$43,"&gt;="&amp;M558),'FIRE TEX 5090'!$B$5:$H$43,IF(L558="F-15",2,IF(L558="F-30",3,IF(L558="F-60",4,IF(L558="F-90",5,IF(L558="F-120",6,IF(L558="F-150",7,0)))))),0),0)+IF(AND(O558="FIRE TEX 5090",OR(E558="IN",E558="C",E558="Z",E558="L"),J558=4),VLOOKUP(_xlfn.MINIFS('FIRE TEX 5090'!$J$5:$J$43,'FIRE TEX 5090'!$J$5:$J$43,"&gt;="&amp;M558),'FIRE TEX 5090'!$J$5:$P$43,IF(L558="F-15",2,IF(L558="F-30",3,IF(L558="F-60",4,IF(L558="F-90",5,IF(L558="F-120",6,IF(L558="F-150",7,0)))))),0),0)+IF(AND(O558="FIRE TEX 5090",E558="CJ",J558=3),VLOOKUP(_xlfn.MINIFS('FIRE TEX 5090'!$R$5:$R$30,'FIRE TEX 5090'!$R$5:$R$30,"&gt;="&amp;M558),'FIRE TEX 5090'!$R$5:$W$30,IF(L558="F-15",2,IF(L558="F-30",3,IF(L558="F-60",4,IF(L558="F-90",5,IF(L558="F-120",6,IF(L558="F-150",7,0)))))),0),0)+IF(AND(O558="FIRE TEX 5090",E558="CJ",J558=4),VLOOKUP(_xlfn.MINIFS('FIRE TEX 5090'!$Y$5:$Y$39,'FIRE TEX 5090'!$Y$5:$Y$39,"&gt;="&amp;M558),'FIRE TEX 5090'!$Y$5:$AD$39,IF(L558="F-15",2,IF(L558="F-30",3,IF(L558="F-60",4,IF(L558="F-90",5,IF(L558="F-120",6,IF(L558="F-150",7,0)))))),0),0)+IF(AND(O558="FIRE TEX 5120",OR(E558="IN",E558="C",E558="Z",E558="L"),J558=3),VLOOKUP(_xlfn.MINIFS('FIRE TEX 5120'!$B$5:$B$40,'FIRE TEX 5120'!$B$5:$B$40,"&gt;="&amp;M558),'FIRE TEX 5120'!$B$5:$G$40,IF(L558="F-15",2,IF(L558="F-30",3,IF(L558="F-60",4,IF(L558="F-90",5,IF(L558="F-120",6,0))))),0),0)+IF(AND(O558="FIRE TEX 5120",OR(E558="IN",E558="C",E558="Z",E558="L"),J558=4),VLOOKUP(_xlfn.MINIFS('FIRE TEX 5120'!$H$4:$H$40,'FIRE TEX 5120'!$H$4:$H$40,"&gt;="&amp;M558),'FIRE TEX 5120'!$H$4:$M$40,IF(L558="F-15",2,IF(L558="F-30",3,IF(L558="F-60",4,IF(L558="F-90",5,IF(L558="F-120",6,0))))),0),0)+IF(AND(O558="FIRE TEX 5120",E558="CJ"),VLOOKUP(_xlfn.MINIFS('FIRE TEX 5120'!$O$5:$O$40,'FIRE TEX 5120'!$O$5:$O$40,"&gt;="&amp;M558),'FIRE TEX 5120'!$O$5:$T$40,IF(L558="F-15",2,IF(L558="F-30",3,IF(L558="F-60",4,IF(L558="F-90",5,IF(L558="F-120",6,0))))),0),0)</f>
        <v>0</v>
      </c>
      <c r="Q558" s="46">
        <f t="shared" si="64"/>
        <v>0</v>
      </c>
      <c r="R558" s="46">
        <f t="shared" si="65"/>
        <v>0</v>
      </c>
      <c r="S558" s="46" t="e">
        <f t="shared" si="66"/>
        <v>#VALUE!</v>
      </c>
      <c r="T558" s="677">
        <f t="shared" si="67"/>
        <v>0</v>
      </c>
      <c r="U558" s="80">
        <f>(IF(O558="Stofire",(S558*#REF!),0))+(IF(O558="Fire Control",(S558*$U$2),0))+(IF(O558="Fire Tex",(S558*$U$3),0))+(IF(O558="WB7",(S558*#REF!),0)+(IF(O558="FX 2003",(S558*$U$5),0)))</f>
        <v>0</v>
      </c>
      <c r="V558" s="651">
        <f t="shared" si="68"/>
        <v>0</v>
      </c>
    </row>
    <row r="559" spans="4:22" x14ac:dyDescent="0.25">
      <c r="D559" s="118">
        <f>+CUBICACION!D558</f>
        <v>0</v>
      </c>
      <c r="E559" s="118">
        <f>+CUBICACION!F558</f>
        <v>0</v>
      </c>
      <c r="F559" s="118">
        <f>+CUBICACION!E558</f>
        <v>0</v>
      </c>
      <c r="G559" s="118">
        <v>12</v>
      </c>
      <c r="H559" s="118">
        <v>2</v>
      </c>
      <c r="I559" s="820">
        <v>26385</v>
      </c>
      <c r="J559" s="118">
        <f>+CUBICACION!J558</f>
        <v>0</v>
      </c>
      <c r="K559" s="118">
        <v>3338</v>
      </c>
      <c r="L559" s="118">
        <f>+CUBICACION!L558</f>
        <v>0</v>
      </c>
      <c r="M559" s="64">
        <f>+CUBICACION!M558</f>
        <v>0</v>
      </c>
      <c r="N559" s="824" t="str">
        <f>+CUBICACION!N558</f>
        <v/>
      </c>
      <c r="O559" s="675">
        <f>+CUBICACION!O558</f>
        <v>0</v>
      </c>
      <c r="P559" s="15">
        <f>IF(O559="Fire Control",VLOOKUP(_xlfn.MINIFS('FIRE CONTROL'!$C$4:$C$37,'FIRE CONTROL'!$C$4:$C$37,"&gt;="&amp;M559),'FIRE CONTROL'!$C$4:$G$37,IF(L559="F-15",2,IF(L559="F-30",3,IF(L559="F-60",4,IF(L559="F-90",5,0)))),0),0)+IF(AND(O559="FIRE TEX 5062",OR(E559="IN",E559="C",E559="Z",E559="L"),J559=3),VLOOKUP(_xlfn.MINIFS('FIRE TEX 5062'!$B$4:$B$34,'FIRE TEX 5062'!$B$4:$B$34,"&gt;="&amp;M559),'FIRE TEX 5062'!$B$4:$F$34,IF(L559="F-15",2,IF(L559="F-30",3,IF(L559="F-60",4,IF(L559="F-90",5,0)))),0),0)+IF(AND(O559="FIRE TEX 5062",OR(E559="IN",E559="C",E559="Z",E559="L"),J559=4),VLOOKUP(_xlfn.MINIFS('FIRE TEX 5062'!$G$4:$G$34,'FIRE TEX 5062'!$G$4:$G$34,"&gt;="&amp;M559),'FIRE TEX 5062'!$G$4:$K$34,IF(L559="F-15",2,IF(L559="F-30",3,IF(L559="F-60",4,IF(L559="F-90",5,0)))),0),0)+IF(AND(O559="FIRE TEX 5062",E559="CJ",J559=3),VLOOKUP(_xlfn.MINIFS('FIRE TEX 5062'!$L$4:$L$34,'FIRE TEX 5062'!$L$4:$L$34,"&gt;="&amp;M559),'FIRE TEX 5062'!$L$4:$P$34,IF(L559="F-15",2,IF(L559="F-30",3,IF(L559="F-60",4,IF(L559="F-90",5,0)))),0),0)+IF(AND(O559="FIRE TEX 5062",E559="CJ",J559=4),VLOOKUP(_xlfn.MINIFS('FIRE TEX 5062'!$Q$3:$Q$34,'FIRE TEX 5062'!$Q$3:$Q$34,"&gt;="&amp;M559),'FIRE TEX 5062'!$Q$3:$U$34,IF(L559="F-15",2,IF(L559="F-30",3,IF(L559="F-60",4,IF(L559="F-90",5,0)))),0),0)+IF(AND(O559="FIRE TEX 5090",OR(E559="IN",E559="C",E559="Z",E559="L"),J559=3),VLOOKUP(_xlfn.MINIFS('FIRE TEX 5090'!$B$5:$B$43,'FIRE TEX 5090'!$B$5:$B$43,"&gt;="&amp;M559),'FIRE TEX 5090'!$B$5:$H$43,IF(L559="F-15",2,IF(L559="F-30",3,IF(L559="F-60",4,IF(L559="F-90",5,IF(L559="F-120",6,IF(L559="F-150",7,0)))))),0),0)+IF(AND(O559="FIRE TEX 5090",OR(E559="IN",E559="C",E559="Z",E559="L"),J559=4),VLOOKUP(_xlfn.MINIFS('FIRE TEX 5090'!$J$5:$J$43,'FIRE TEX 5090'!$J$5:$J$43,"&gt;="&amp;M559),'FIRE TEX 5090'!$J$5:$P$43,IF(L559="F-15",2,IF(L559="F-30",3,IF(L559="F-60",4,IF(L559="F-90",5,IF(L559="F-120",6,IF(L559="F-150",7,0)))))),0),0)+IF(AND(O559="FIRE TEX 5090",E559="CJ",J559=3),VLOOKUP(_xlfn.MINIFS('FIRE TEX 5090'!$R$5:$R$30,'FIRE TEX 5090'!$R$5:$R$30,"&gt;="&amp;M559),'FIRE TEX 5090'!$R$5:$W$30,IF(L559="F-15",2,IF(L559="F-30",3,IF(L559="F-60",4,IF(L559="F-90",5,IF(L559="F-120",6,IF(L559="F-150",7,0)))))),0),0)+IF(AND(O559="FIRE TEX 5090",E559="CJ",J559=4),VLOOKUP(_xlfn.MINIFS('FIRE TEX 5090'!$Y$5:$Y$39,'FIRE TEX 5090'!$Y$5:$Y$39,"&gt;="&amp;M559),'FIRE TEX 5090'!$Y$5:$AD$39,IF(L559="F-15",2,IF(L559="F-30",3,IF(L559="F-60",4,IF(L559="F-90",5,IF(L559="F-120",6,IF(L559="F-150",7,0)))))),0),0)+IF(AND(O559="FIRE TEX 5120",OR(E559="IN",E559="C",E559="Z",E559="L"),J559=3),VLOOKUP(_xlfn.MINIFS('FIRE TEX 5120'!$B$5:$B$40,'FIRE TEX 5120'!$B$5:$B$40,"&gt;="&amp;M559),'FIRE TEX 5120'!$B$5:$G$40,IF(L559="F-15",2,IF(L559="F-30",3,IF(L559="F-60",4,IF(L559="F-90",5,IF(L559="F-120",6,0))))),0),0)+IF(AND(O559="FIRE TEX 5120",OR(E559="IN",E559="C",E559="Z",E559="L"),J559=4),VLOOKUP(_xlfn.MINIFS('FIRE TEX 5120'!$H$4:$H$40,'FIRE TEX 5120'!$H$4:$H$40,"&gt;="&amp;M559),'FIRE TEX 5120'!$H$4:$M$40,IF(L559="F-15",2,IF(L559="F-30",3,IF(L559="F-60",4,IF(L559="F-90",5,IF(L559="F-120",6,0))))),0),0)+IF(AND(O559="FIRE TEX 5120",E559="CJ"),VLOOKUP(_xlfn.MINIFS('FIRE TEX 5120'!$O$5:$O$40,'FIRE TEX 5120'!$O$5:$O$40,"&gt;="&amp;M559),'FIRE TEX 5120'!$O$5:$T$40,IF(L559="F-15",2,IF(L559="F-30",3,IF(L559="F-60",4,IF(L559="F-90",5,IF(L559="F-120",6,0))))),0),0)</f>
        <v>0</v>
      </c>
      <c r="Q559" s="46">
        <f t="shared" si="64"/>
        <v>0</v>
      </c>
      <c r="R559" s="46">
        <f t="shared" si="65"/>
        <v>0</v>
      </c>
      <c r="S559" s="46" t="e">
        <f t="shared" si="66"/>
        <v>#VALUE!</v>
      </c>
      <c r="T559" s="677">
        <f t="shared" si="67"/>
        <v>0</v>
      </c>
      <c r="U559" s="80">
        <f>(IF(O559="Stofire",(S559*#REF!),0))+(IF(O559="Fire Control",(S559*$U$2),0))+(IF(O559="Fire Tex",(S559*$U$3),0))+(IF(O559="WB7",(S559*#REF!),0)+(IF(O559="FX 2003",(S559*$U$5),0)))</f>
        <v>0</v>
      </c>
      <c r="V559" s="651">
        <f t="shared" si="68"/>
        <v>0</v>
      </c>
    </row>
    <row r="560" spans="4:22" x14ac:dyDescent="0.25">
      <c r="D560" s="118">
        <f>+CUBICACION!D559</f>
        <v>0</v>
      </c>
      <c r="E560" s="118">
        <f>+CUBICACION!F559</f>
        <v>0</v>
      </c>
      <c r="F560" s="118">
        <f>+CUBICACION!E559</f>
        <v>0</v>
      </c>
      <c r="G560" s="118">
        <v>12</v>
      </c>
      <c r="H560" s="118">
        <v>2</v>
      </c>
      <c r="I560" s="820">
        <v>26385</v>
      </c>
      <c r="J560" s="118">
        <f>+CUBICACION!J559</f>
        <v>0</v>
      </c>
      <c r="K560" s="118">
        <v>3339</v>
      </c>
      <c r="L560" s="118">
        <f>+CUBICACION!L559</f>
        <v>0</v>
      </c>
      <c r="M560" s="64">
        <f>+CUBICACION!M559</f>
        <v>0</v>
      </c>
      <c r="N560" s="824" t="str">
        <f>+CUBICACION!N559</f>
        <v/>
      </c>
      <c r="O560" s="675">
        <f>+CUBICACION!O559</f>
        <v>0</v>
      </c>
      <c r="P560" s="15">
        <f>IF(O560="Fire Control",VLOOKUP(_xlfn.MINIFS('FIRE CONTROL'!$C$4:$C$37,'FIRE CONTROL'!$C$4:$C$37,"&gt;="&amp;M560),'FIRE CONTROL'!$C$4:$G$37,IF(L560="F-15",2,IF(L560="F-30",3,IF(L560="F-60",4,IF(L560="F-90",5,0)))),0),0)+IF(AND(O560="FIRE TEX 5062",OR(E560="IN",E560="C",E560="Z",E560="L"),J560=3),VLOOKUP(_xlfn.MINIFS('FIRE TEX 5062'!$B$4:$B$34,'FIRE TEX 5062'!$B$4:$B$34,"&gt;="&amp;M560),'FIRE TEX 5062'!$B$4:$F$34,IF(L560="F-15",2,IF(L560="F-30",3,IF(L560="F-60",4,IF(L560="F-90",5,0)))),0),0)+IF(AND(O560="FIRE TEX 5062",OR(E560="IN",E560="C",E560="Z",E560="L"),J560=4),VLOOKUP(_xlfn.MINIFS('FIRE TEX 5062'!$G$4:$G$34,'FIRE TEX 5062'!$G$4:$G$34,"&gt;="&amp;M560),'FIRE TEX 5062'!$G$4:$K$34,IF(L560="F-15",2,IF(L560="F-30",3,IF(L560="F-60",4,IF(L560="F-90",5,0)))),0),0)+IF(AND(O560="FIRE TEX 5062",E560="CJ",J560=3),VLOOKUP(_xlfn.MINIFS('FIRE TEX 5062'!$L$4:$L$34,'FIRE TEX 5062'!$L$4:$L$34,"&gt;="&amp;M560),'FIRE TEX 5062'!$L$4:$P$34,IF(L560="F-15",2,IF(L560="F-30",3,IF(L560="F-60",4,IF(L560="F-90",5,0)))),0),0)+IF(AND(O560="FIRE TEX 5062",E560="CJ",J560=4),VLOOKUP(_xlfn.MINIFS('FIRE TEX 5062'!$Q$3:$Q$34,'FIRE TEX 5062'!$Q$3:$Q$34,"&gt;="&amp;M560),'FIRE TEX 5062'!$Q$3:$U$34,IF(L560="F-15",2,IF(L560="F-30",3,IF(L560="F-60",4,IF(L560="F-90",5,0)))),0),0)+IF(AND(O560="FIRE TEX 5090",OR(E560="IN",E560="C",E560="Z",E560="L"),J560=3),VLOOKUP(_xlfn.MINIFS('FIRE TEX 5090'!$B$5:$B$43,'FIRE TEX 5090'!$B$5:$B$43,"&gt;="&amp;M560),'FIRE TEX 5090'!$B$5:$H$43,IF(L560="F-15",2,IF(L560="F-30",3,IF(L560="F-60",4,IF(L560="F-90",5,IF(L560="F-120",6,IF(L560="F-150",7,0)))))),0),0)+IF(AND(O560="FIRE TEX 5090",OR(E560="IN",E560="C",E560="Z",E560="L"),J560=4),VLOOKUP(_xlfn.MINIFS('FIRE TEX 5090'!$J$5:$J$43,'FIRE TEX 5090'!$J$5:$J$43,"&gt;="&amp;M560),'FIRE TEX 5090'!$J$5:$P$43,IF(L560="F-15",2,IF(L560="F-30",3,IF(L560="F-60",4,IF(L560="F-90",5,IF(L560="F-120",6,IF(L560="F-150",7,0)))))),0),0)+IF(AND(O560="FIRE TEX 5090",E560="CJ",J560=3),VLOOKUP(_xlfn.MINIFS('FIRE TEX 5090'!$R$5:$R$30,'FIRE TEX 5090'!$R$5:$R$30,"&gt;="&amp;M560),'FIRE TEX 5090'!$R$5:$W$30,IF(L560="F-15",2,IF(L560="F-30",3,IF(L560="F-60",4,IF(L560="F-90",5,IF(L560="F-120",6,IF(L560="F-150",7,0)))))),0),0)+IF(AND(O560="FIRE TEX 5090",E560="CJ",J560=4),VLOOKUP(_xlfn.MINIFS('FIRE TEX 5090'!$Y$5:$Y$39,'FIRE TEX 5090'!$Y$5:$Y$39,"&gt;="&amp;M560),'FIRE TEX 5090'!$Y$5:$AD$39,IF(L560="F-15",2,IF(L560="F-30",3,IF(L560="F-60",4,IF(L560="F-90",5,IF(L560="F-120",6,IF(L560="F-150",7,0)))))),0),0)+IF(AND(O560="FIRE TEX 5120",OR(E560="IN",E560="C",E560="Z",E560="L"),J560=3),VLOOKUP(_xlfn.MINIFS('FIRE TEX 5120'!$B$5:$B$40,'FIRE TEX 5120'!$B$5:$B$40,"&gt;="&amp;M560),'FIRE TEX 5120'!$B$5:$G$40,IF(L560="F-15",2,IF(L560="F-30",3,IF(L560="F-60",4,IF(L560="F-90",5,IF(L560="F-120",6,0))))),0),0)+IF(AND(O560="FIRE TEX 5120",OR(E560="IN",E560="C",E560="Z",E560="L"),J560=4),VLOOKUP(_xlfn.MINIFS('FIRE TEX 5120'!$H$4:$H$40,'FIRE TEX 5120'!$H$4:$H$40,"&gt;="&amp;M560),'FIRE TEX 5120'!$H$4:$M$40,IF(L560="F-15",2,IF(L560="F-30",3,IF(L560="F-60",4,IF(L560="F-90",5,IF(L560="F-120",6,0))))),0),0)+IF(AND(O560="FIRE TEX 5120",E560="CJ"),VLOOKUP(_xlfn.MINIFS('FIRE TEX 5120'!$O$5:$O$40,'FIRE TEX 5120'!$O$5:$O$40,"&gt;="&amp;M560),'FIRE TEX 5120'!$O$5:$T$40,IF(L560="F-15",2,IF(L560="F-30",3,IF(L560="F-60",4,IF(L560="F-90",5,IF(L560="F-120",6,0))))),0),0)</f>
        <v>0</v>
      </c>
      <c r="Q560" s="46">
        <f t="shared" si="64"/>
        <v>0</v>
      </c>
      <c r="R560" s="46">
        <f t="shared" si="65"/>
        <v>0</v>
      </c>
      <c r="S560" s="46" t="e">
        <f t="shared" si="66"/>
        <v>#VALUE!</v>
      </c>
      <c r="T560" s="677">
        <f t="shared" si="67"/>
        <v>0</v>
      </c>
      <c r="U560" s="80">
        <f>(IF(O560="Stofire",(S560*#REF!),0))+(IF(O560="Fire Control",(S560*$U$2),0))+(IF(O560="Fire Tex",(S560*$U$3),0))+(IF(O560="WB7",(S560*#REF!),0)+(IF(O560="FX 2003",(S560*$U$5),0)))</f>
        <v>0</v>
      </c>
      <c r="V560" s="651">
        <f t="shared" si="68"/>
        <v>0</v>
      </c>
    </row>
    <row r="561" spans="4:22" x14ac:dyDescent="0.25">
      <c r="D561" s="118">
        <f>+CUBICACION!D560</f>
        <v>0</v>
      </c>
      <c r="E561" s="118">
        <f>+CUBICACION!F560</f>
        <v>0</v>
      </c>
      <c r="F561" s="118">
        <f>+CUBICACION!E560</f>
        <v>0</v>
      </c>
      <c r="G561" s="118">
        <v>12</v>
      </c>
      <c r="H561" s="118">
        <v>2</v>
      </c>
      <c r="I561" s="820">
        <v>26385</v>
      </c>
      <c r="J561" s="118">
        <f>+CUBICACION!J560</f>
        <v>0</v>
      </c>
      <c r="K561" s="118">
        <v>3340</v>
      </c>
      <c r="L561" s="118">
        <f>+CUBICACION!L560</f>
        <v>0</v>
      </c>
      <c r="M561" s="64">
        <f>+CUBICACION!M560</f>
        <v>0</v>
      </c>
      <c r="N561" s="824" t="str">
        <f>+CUBICACION!N560</f>
        <v/>
      </c>
      <c r="O561" s="675">
        <f>+CUBICACION!O560</f>
        <v>0</v>
      </c>
      <c r="P561" s="15">
        <f>IF(O561="Fire Control",VLOOKUP(_xlfn.MINIFS('FIRE CONTROL'!$C$4:$C$37,'FIRE CONTROL'!$C$4:$C$37,"&gt;="&amp;M561),'FIRE CONTROL'!$C$4:$G$37,IF(L561="F-15",2,IF(L561="F-30",3,IF(L561="F-60",4,IF(L561="F-90",5,0)))),0),0)+IF(AND(O561="FIRE TEX 5062",OR(E561="IN",E561="C",E561="Z",E561="L"),J561=3),VLOOKUP(_xlfn.MINIFS('FIRE TEX 5062'!$B$4:$B$34,'FIRE TEX 5062'!$B$4:$B$34,"&gt;="&amp;M561),'FIRE TEX 5062'!$B$4:$F$34,IF(L561="F-15",2,IF(L561="F-30",3,IF(L561="F-60",4,IF(L561="F-90",5,0)))),0),0)+IF(AND(O561="FIRE TEX 5062",OR(E561="IN",E561="C",E561="Z",E561="L"),J561=4),VLOOKUP(_xlfn.MINIFS('FIRE TEX 5062'!$G$4:$G$34,'FIRE TEX 5062'!$G$4:$G$34,"&gt;="&amp;M561),'FIRE TEX 5062'!$G$4:$K$34,IF(L561="F-15",2,IF(L561="F-30",3,IF(L561="F-60",4,IF(L561="F-90",5,0)))),0),0)+IF(AND(O561="FIRE TEX 5062",E561="CJ",J561=3),VLOOKUP(_xlfn.MINIFS('FIRE TEX 5062'!$L$4:$L$34,'FIRE TEX 5062'!$L$4:$L$34,"&gt;="&amp;M561),'FIRE TEX 5062'!$L$4:$P$34,IF(L561="F-15",2,IF(L561="F-30",3,IF(L561="F-60",4,IF(L561="F-90",5,0)))),0),0)+IF(AND(O561="FIRE TEX 5062",E561="CJ",J561=4),VLOOKUP(_xlfn.MINIFS('FIRE TEX 5062'!$Q$3:$Q$34,'FIRE TEX 5062'!$Q$3:$Q$34,"&gt;="&amp;M561),'FIRE TEX 5062'!$Q$3:$U$34,IF(L561="F-15",2,IF(L561="F-30",3,IF(L561="F-60",4,IF(L561="F-90",5,0)))),0),0)+IF(AND(O561="FIRE TEX 5090",OR(E561="IN",E561="C",E561="Z",E561="L"),J561=3),VLOOKUP(_xlfn.MINIFS('FIRE TEX 5090'!$B$5:$B$43,'FIRE TEX 5090'!$B$5:$B$43,"&gt;="&amp;M561),'FIRE TEX 5090'!$B$5:$H$43,IF(L561="F-15",2,IF(L561="F-30",3,IF(L561="F-60",4,IF(L561="F-90",5,IF(L561="F-120",6,IF(L561="F-150",7,0)))))),0),0)+IF(AND(O561="FIRE TEX 5090",OR(E561="IN",E561="C",E561="Z",E561="L"),J561=4),VLOOKUP(_xlfn.MINIFS('FIRE TEX 5090'!$J$5:$J$43,'FIRE TEX 5090'!$J$5:$J$43,"&gt;="&amp;M561),'FIRE TEX 5090'!$J$5:$P$43,IF(L561="F-15",2,IF(L561="F-30",3,IF(L561="F-60",4,IF(L561="F-90",5,IF(L561="F-120",6,IF(L561="F-150",7,0)))))),0),0)+IF(AND(O561="FIRE TEX 5090",E561="CJ",J561=3),VLOOKUP(_xlfn.MINIFS('FIRE TEX 5090'!$R$5:$R$30,'FIRE TEX 5090'!$R$5:$R$30,"&gt;="&amp;M561),'FIRE TEX 5090'!$R$5:$W$30,IF(L561="F-15",2,IF(L561="F-30",3,IF(L561="F-60",4,IF(L561="F-90",5,IF(L561="F-120",6,IF(L561="F-150",7,0)))))),0),0)+IF(AND(O561="FIRE TEX 5090",E561="CJ",J561=4),VLOOKUP(_xlfn.MINIFS('FIRE TEX 5090'!$Y$5:$Y$39,'FIRE TEX 5090'!$Y$5:$Y$39,"&gt;="&amp;M561),'FIRE TEX 5090'!$Y$5:$AD$39,IF(L561="F-15",2,IF(L561="F-30",3,IF(L561="F-60",4,IF(L561="F-90",5,IF(L561="F-120",6,IF(L561="F-150",7,0)))))),0),0)+IF(AND(O561="FIRE TEX 5120",OR(E561="IN",E561="C",E561="Z",E561="L"),J561=3),VLOOKUP(_xlfn.MINIFS('FIRE TEX 5120'!$B$5:$B$40,'FIRE TEX 5120'!$B$5:$B$40,"&gt;="&amp;M561),'FIRE TEX 5120'!$B$5:$G$40,IF(L561="F-15",2,IF(L561="F-30",3,IF(L561="F-60",4,IF(L561="F-90",5,IF(L561="F-120",6,0))))),0),0)+IF(AND(O561="FIRE TEX 5120",OR(E561="IN",E561="C",E561="Z",E561="L"),J561=4),VLOOKUP(_xlfn.MINIFS('FIRE TEX 5120'!$H$4:$H$40,'FIRE TEX 5120'!$H$4:$H$40,"&gt;="&amp;M561),'FIRE TEX 5120'!$H$4:$M$40,IF(L561="F-15",2,IF(L561="F-30",3,IF(L561="F-60",4,IF(L561="F-90",5,IF(L561="F-120",6,0))))),0),0)+IF(AND(O561="FIRE TEX 5120",E561="CJ"),VLOOKUP(_xlfn.MINIFS('FIRE TEX 5120'!$O$5:$O$40,'FIRE TEX 5120'!$O$5:$O$40,"&gt;="&amp;M561),'FIRE TEX 5120'!$O$5:$T$40,IF(L561="F-15",2,IF(L561="F-30",3,IF(L561="F-60",4,IF(L561="F-90",5,IF(L561="F-120",6,0))))),0),0)</f>
        <v>0</v>
      </c>
      <c r="Q561" s="46">
        <f t="shared" si="64"/>
        <v>0</v>
      </c>
      <c r="R561" s="46">
        <f t="shared" si="65"/>
        <v>0</v>
      </c>
      <c r="S561" s="46" t="e">
        <f t="shared" si="66"/>
        <v>#VALUE!</v>
      </c>
      <c r="T561" s="677">
        <f t="shared" si="67"/>
        <v>0</v>
      </c>
      <c r="U561" s="80">
        <f>(IF(O561="Stofire",(S561*#REF!),0))+(IF(O561="Fire Control",(S561*$U$2),0))+(IF(O561="Fire Tex",(S561*$U$3),0))+(IF(O561="WB7",(S561*#REF!),0)+(IF(O561="FX 2003",(S561*$U$5),0)))</f>
        <v>0</v>
      </c>
      <c r="V561" s="651">
        <f t="shared" si="68"/>
        <v>0</v>
      </c>
    </row>
    <row r="562" spans="4:22" x14ac:dyDescent="0.25">
      <c r="D562" s="118">
        <f>+CUBICACION!D561</f>
        <v>0</v>
      </c>
      <c r="E562" s="118">
        <f>+CUBICACION!F561</f>
        <v>0</v>
      </c>
      <c r="F562" s="118">
        <f>+CUBICACION!E561</f>
        <v>0</v>
      </c>
      <c r="G562" s="118">
        <v>12</v>
      </c>
      <c r="H562" s="118">
        <v>2</v>
      </c>
      <c r="I562" s="820">
        <v>26385</v>
      </c>
      <c r="J562" s="118">
        <f>+CUBICACION!J561</f>
        <v>0</v>
      </c>
      <c r="K562" s="118">
        <v>3341</v>
      </c>
      <c r="L562" s="118">
        <f>+CUBICACION!L561</f>
        <v>0</v>
      </c>
      <c r="M562" s="64">
        <f>+CUBICACION!M561</f>
        <v>0</v>
      </c>
      <c r="N562" s="824" t="str">
        <f>+CUBICACION!N561</f>
        <v/>
      </c>
      <c r="O562" s="675">
        <f>+CUBICACION!O561</f>
        <v>0</v>
      </c>
      <c r="P562" s="15">
        <f>IF(O562="Fire Control",VLOOKUP(_xlfn.MINIFS('FIRE CONTROL'!$C$4:$C$37,'FIRE CONTROL'!$C$4:$C$37,"&gt;="&amp;M562),'FIRE CONTROL'!$C$4:$G$37,IF(L562="F-15",2,IF(L562="F-30",3,IF(L562="F-60",4,IF(L562="F-90",5,0)))),0),0)+IF(AND(O562="FIRE TEX 5062",OR(E562="IN",E562="C",E562="Z",E562="L"),J562=3),VLOOKUP(_xlfn.MINIFS('FIRE TEX 5062'!$B$4:$B$34,'FIRE TEX 5062'!$B$4:$B$34,"&gt;="&amp;M562),'FIRE TEX 5062'!$B$4:$F$34,IF(L562="F-15",2,IF(L562="F-30",3,IF(L562="F-60",4,IF(L562="F-90",5,0)))),0),0)+IF(AND(O562="FIRE TEX 5062",OR(E562="IN",E562="C",E562="Z",E562="L"),J562=4),VLOOKUP(_xlfn.MINIFS('FIRE TEX 5062'!$G$4:$G$34,'FIRE TEX 5062'!$G$4:$G$34,"&gt;="&amp;M562),'FIRE TEX 5062'!$G$4:$K$34,IF(L562="F-15",2,IF(L562="F-30",3,IF(L562="F-60",4,IF(L562="F-90",5,0)))),0),0)+IF(AND(O562="FIRE TEX 5062",E562="CJ",J562=3),VLOOKUP(_xlfn.MINIFS('FIRE TEX 5062'!$L$4:$L$34,'FIRE TEX 5062'!$L$4:$L$34,"&gt;="&amp;M562),'FIRE TEX 5062'!$L$4:$P$34,IF(L562="F-15",2,IF(L562="F-30",3,IF(L562="F-60",4,IF(L562="F-90",5,0)))),0),0)+IF(AND(O562="FIRE TEX 5062",E562="CJ",J562=4),VLOOKUP(_xlfn.MINIFS('FIRE TEX 5062'!$Q$3:$Q$34,'FIRE TEX 5062'!$Q$3:$Q$34,"&gt;="&amp;M562),'FIRE TEX 5062'!$Q$3:$U$34,IF(L562="F-15",2,IF(L562="F-30",3,IF(L562="F-60",4,IF(L562="F-90",5,0)))),0),0)+IF(AND(O562="FIRE TEX 5090",OR(E562="IN",E562="C",E562="Z",E562="L"),J562=3),VLOOKUP(_xlfn.MINIFS('FIRE TEX 5090'!$B$5:$B$43,'FIRE TEX 5090'!$B$5:$B$43,"&gt;="&amp;M562),'FIRE TEX 5090'!$B$5:$H$43,IF(L562="F-15",2,IF(L562="F-30",3,IF(L562="F-60",4,IF(L562="F-90",5,IF(L562="F-120",6,IF(L562="F-150",7,0)))))),0),0)+IF(AND(O562="FIRE TEX 5090",OR(E562="IN",E562="C",E562="Z",E562="L"),J562=4),VLOOKUP(_xlfn.MINIFS('FIRE TEX 5090'!$J$5:$J$43,'FIRE TEX 5090'!$J$5:$J$43,"&gt;="&amp;M562),'FIRE TEX 5090'!$J$5:$P$43,IF(L562="F-15",2,IF(L562="F-30",3,IF(L562="F-60",4,IF(L562="F-90",5,IF(L562="F-120",6,IF(L562="F-150",7,0)))))),0),0)+IF(AND(O562="FIRE TEX 5090",E562="CJ",J562=3),VLOOKUP(_xlfn.MINIFS('FIRE TEX 5090'!$R$5:$R$30,'FIRE TEX 5090'!$R$5:$R$30,"&gt;="&amp;M562),'FIRE TEX 5090'!$R$5:$W$30,IF(L562="F-15",2,IF(L562="F-30",3,IF(L562="F-60",4,IF(L562="F-90",5,IF(L562="F-120",6,IF(L562="F-150",7,0)))))),0),0)+IF(AND(O562="FIRE TEX 5090",E562="CJ",J562=4),VLOOKUP(_xlfn.MINIFS('FIRE TEX 5090'!$Y$5:$Y$39,'FIRE TEX 5090'!$Y$5:$Y$39,"&gt;="&amp;M562),'FIRE TEX 5090'!$Y$5:$AD$39,IF(L562="F-15",2,IF(L562="F-30",3,IF(L562="F-60",4,IF(L562="F-90",5,IF(L562="F-120",6,IF(L562="F-150",7,0)))))),0),0)+IF(AND(O562="FIRE TEX 5120",OR(E562="IN",E562="C",E562="Z",E562="L"),J562=3),VLOOKUP(_xlfn.MINIFS('FIRE TEX 5120'!$B$5:$B$40,'FIRE TEX 5120'!$B$5:$B$40,"&gt;="&amp;M562),'FIRE TEX 5120'!$B$5:$G$40,IF(L562="F-15",2,IF(L562="F-30",3,IF(L562="F-60",4,IF(L562="F-90",5,IF(L562="F-120",6,0))))),0),0)+IF(AND(O562="FIRE TEX 5120",OR(E562="IN",E562="C",E562="Z",E562="L"),J562=4),VLOOKUP(_xlfn.MINIFS('FIRE TEX 5120'!$H$4:$H$40,'FIRE TEX 5120'!$H$4:$H$40,"&gt;="&amp;M562),'FIRE TEX 5120'!$H$4:$M$40,IF(L562="F-15",2,IF(L562="F-30",3,IF(L562="F-60",4,IF(L562="F-90",5,IF(L562="F-120",6,0))))),0),0)+IF(AND(O562="FIRE TEX 5120",E562="CJ"),VLOOKUP(_xlfn.MINIFS('FIRE TEX 5120'!$O$5:$O$40,'FIRE TEX 5120'!$O$5:$O$40,"&gt;="&amp;M562),'FIRE TEX 5120'!$O$5:$T$40,IF(L562="F-15",2,IF(L562="F-30",3,IF(L562="F-60",4,IF(L562="F-90",5,IF(L562="F-120",6,0))))),0),0)</f>
        <v>0</v>
      </c>
      <c r="Q562" s="46">
        <f t="shared" si="64"/>
        <v>0</v>
      </c>
      <c r="R562" s="46">
        <f t="shared" si="65"/>
        <v>0</v>
      </c>
      <c r="S562" s="46" t="e">
        <f t="shared" si="66"/>
        <v>#VALUE!</v>
      </c>
      <c r="T562" s="677">
        <f t="shared" si="67"/>
        <v>0</v>
      </c>
      <c r="U562" s="80">
        <f>(IF(O562="Stofire",(S562*#REF!),0))+(IF(O562="Fire Control",(S562*$U$2),0))+(IF(O562="Fire Tex",(S562*$U$3),0))+(IF(O562="WB7",(S562*#REF!),0)+(IF(O562="FX 2003",(S562*$U$5),0)))</f>
        <v>0</v>
      </c>
      <c r="V562" s="651">
        <f t="shared" si="68"/>
        <v>0</v>
      </c>
    </row>
    <row r="563" spans="4:22" x14ac:dyDescent="0.25">
      <c r="D563" s="118">
        <f>+CUBICACION!D562</f>
        <v>0</v>
      </c>
      <c r="E563" s="118">
        <f>+CUBICACION!F562</f>
        <v>0</v>
      </c>
      <c r="F563" s="118">
        <f>+CUBICACION!E562</f>
        <v>0</v>
      </c>
      <c r="G563" s="118">
        <v>12</v>
      </c>
      <c r="H563" s="118">
        <v>2</v>
      </c>
      <c r="I563" s="820">
        <v>26385</v>
      </c>
      <c r="J563" s="118">
        <f>+CUBICACION!J562</f>
        <v>0</v>
      </c>
      <c r="K563" s="118">
        <v>3342</v>
      </c>
      <c r="L563" s="118">
        <f>+CUBICACION!L562</f>
        <v>0</v>
      </c>
      <c r="M563" s="64">
        <f>+CUBICACION!M562</f>
        <v>0</v>
      </c>
      <c r="N563" s="824" t="str">
        <f>+CUBICACION!N562</f>
        <v/>
      </c>
      <c r="O563" s="675">
        <f>+CUBICACION!O562</f>
        <v>0</v>
      </c>
      <c r="P563" s="15">
        <f>IF(O563="Fire Control",VLOOKUP(_xlfn.MINIFS('FIRE CONTROL'!$C$4:$C$37,'FIRE CONTROL'!$C$4:$C$37,"&gt;="&amp;M563),'FIRE CONTROL'!$C$4:$G$37,IF(L563="F-15",2,IF(L563="F-30",3,IF(L563="F-60",4,IF(L563="F-90",5,0)))),0),0)+IF(AND(O563="FIRE TEX 5062",OR(E563="IN",E563="C",E563="Z",E563="L"),J563=3),VLOOKUP(_xlfn.MINIFS('FIRE TEX 5062'!$B$4:$B$34,'FIRE TEX 5062'!$B$4:$B$34,"&gt;="&amp;M563),'FIRE TEX 5062'!$B$4:$F$34,IF(L563="F-15",2,IF(L563="F-30",3,IF(L563="F-60",4,IF(L563="F-90",5,0)))),0),0)+IF(AND(O563="FIRE TEX 5062",OR(E563="IN",E563="C",E563="Z",E563="L"),J563=4),VLOOKUP(_xlfn.MINIFS('FIRE TEX 5062'!$G$4:$G$34,'FIRE TEX 5062'!$G$4:$G$34,"&gt;="&amp;M563),'FIRE TEX 5062'!$G$4:$K$34,IF(L563="F-15",2,IF(L563="F-30",3,IF(L563="F-60",4,IF(L563="F-90",5,0)))),0),0)+IF(AND(O563="FIRE TEX 5062",E563="CJ",J563=3),VLOOKUP(_xlfn.MINIFS('FIRE TEX 5062'!$L$4:$L$34,'FIRE TEX 5062'!$L$4:$L$34,"&gt;="&amp;M563),'FIRE TEX 5062'!$L$4:$P$34,IF(L563="F-15",2,IF(L563="F-30",3,IF(L563="F-60",4,IF(L563="F-90",5,0)))),0),0)+IF(AND(O563="FIRE TEX 5062",E563="CJ",J563=4),VLOOKUP(_xlfn.MINIFS('FIRE TEX 5062'!$Q$3:$Q$34,'FIRE TEX 5062'!$Q$3:$Q$34,"&gt;="&amp;M563),'FIRE TEX 5062'!$Q$3:$U$34,IF(L563="F-15",2,IF(L563="F-30",3,IF(L563="F-60",4,IF(L563="F-90",5,0)))),0),0)+IF(AND(O563="FIRE TEX 5090",OR(E563="IN",E563="C",E563="Z",E563="L"),J563=3),VLOOKUP(_xlfn.MINIFS('FIRE TEX 5090'!$B$5:$B$43,'FIRE TEX 5090'!$B$5:$B$43,"&gt;="&amp;M563),'FIRE TEX 5090'!$B$5:$H$43,IF(L563="F-15",2,IF(L563="F-30",3,IF(L563="F-60",4,IF(L563="F-90",5,IF(L563="F-120",6,IF(L563="F-150",7,0)))))),0),0)+IF(AND(O563="FIRE TEX 5090",OR(E563="IN",E563="C",E563="Z",E563="L"),J563=4),VLOOKUP(_xlfn.MINIFS('FIRE TEX 5090'!$J$5:$J$43,'FIRE TEX 5090'!$J$5:$J$43,"&gt;="&amp;M563),'FIRE TEX 5090'!$J$5:$P$43,IF(L563="F-15",2,IF(L563="F-30",3,IF(L563="F-60",4,IF(L563="F-90",5,IF(L563="F-120",6,IF(L563="F-150",7,0)))))),0),0)+IF(AND(O563="FIRE TEX 5090",E563="CJ",J563=3),VLOOKUP(_xlfn.MINIFS('FIRE TEX 5090'!$R$5:$R$30,'FIRE TEX 5090'!$R$5:$R$30,"&gt;="&amp;M563),'FIRE TEX 5090'!$R$5:$W$30,IF(L563="F-15",2,IF(L563="F-30",3,IF(L563="F-60",4,IF(L563="F-90",5,IF(L563="F-120",6,IF(L563="F-150",7,0)))))),0),0)+IF(AND(O563="FIRE TEX 5090",E563="CJ",J563=4),VLOOKUP(_xlfn.MINIFS('FIRE TEX 5090'!$Y$5:$Y$39,'FIRE TEX 5090'!$Y$5:$Y$39,"&gt;="&amp;M563),'FIRE TEX 5090'!$Y$5:$AD$39,IF(L563="F-15",2,IF(L563="F-30",3,IF(L563="F-60",4,IF(L563="F-90",5,IF(L563="F-120",6,IF(L563="F-150",7,0)))))),0),0)+IF(AND(O563="FIRE TEX 5120",OR(E563="IN",E563="C",E563="Z",E563="L"),J563=3),VLOOKUP(_xlfn.MINIFS('FIRE TEX 5120'!$B$5:$B$40,'FIRE TEX 5120'!$B$5:$B$40,"&gt;="&amp;M563),'FIRE TEX 5120'!$B$5:$G$40,IF(L563="F-15",2,IF(L563="F-30",3,IF(L563="F-60",4,IF(L563="F-90",5,IF(L563="F-120",6,0))))),0),0)+IF(AND(O563="FIRE TEX 5120",OR(E563="IN",E563="C",E563="Z",E563="L"),J563=4),VLOOKUP(_xlfn.MINIFS('FIRE TEX 5120'!$H$4:$H$40,'FIRE TEX 5120'!$H$4:$H$40,"&gt;="&amp;M563),'FIRE TEX 5120'!$H$4:$M$40,IF(L563="F-15",2,IF(L563="F-30",3,IF(L563="F-60",4,IF(L563="F-90",5,IF(L563="F-120",6,0))))),0),0)+IF(AND(O563="FIRE TEX 5120",E563="CJ"),VLOOKUP(_xlfn.MINIFS('FIRE TEX 5120'!$O$5:$O$40,'FIRE TEX 5120'!$O$5:$O$40,"&gt;="&amp;M563),'FIRE TEX 5120'!$O$5:$T$40,IF(L563="F-15",2,IF(L563="F-30",3,IF(L563="F-60",4,IF(L563="F-90",5,IF(L563="F-120",6,0))))),0),0)</f>
        <v>0</v>
      </c>
      <c r="Q563" s="46">
        <f t="shared" si="64"/>
        <v>0</v>
      </c>
      <c r="R563" s="46">
        <f t="shared" si="65"/>
        <v>0</v>
      </c>
      <c r="S563" s="46" t="e">
        <f t="shared" si="66"/>
        <v>#VALUE!</v>
      </c>
      <c r="T563" s="677">
        <f t="shared" si="67"/>
        <v>0</v>
      </c>
      <c r="U563" s="80">
        <f>(IF(O563="Stofire",(S563*#REF!),0))+(IF(O563="Fire Control",(S563*$U$2),0))+(IF(O563="Fire Tex",(S563*$U$3),0))+(IF(O563="WB7",(S563*#REF!),0)+(IF(O563="FX 2003",(S563*$U$5),0)))</f>
        <v>0</v>
      </c>
      <c r="V563" s="651">
        <f t="shared" si="68"/>
        <v>0</v>
      </c>
    </row>
    <row r="564" spans="4:22" x14ac:dyDescent="0.25">
      <c r="D564" s="118">
        <f>+CUBICACION!D563</f>
        <v>0</v>
      </c>
      <c r="E564" s="118">
        <f>+CUBICACION!F563</f>
        <v>0</v>
      </c>
      <c r="F564" s="118">
        <f>+CUBICACION!E563</f>
        <v>0</v>
      </c>
      <c r="G564" s="118">
        <v>12</v>
      </c>
      <c r="H564" s="118">
        <v>2</v>
      </c>
      <c r="I564" s="820">
        <v>26385</v>
      </c>
      <c r="J564" s="118">
        <f>+CUBICACION!J563</f>
        <v>0</v>
      </c>
      <c r="K564" s="118">
        <v>3343</v>
      </c>
      <c r="L564" s="118">
        <f>+CUBICACION!L563</f>
        <v>0</v>
      </c>
      <c r="M564" s="64">
        <f>+CUBICACION!M563</f>
        <v>0</v>
      </c>
      <c r="N564" s="824" t="str">
        <f>+CUBICACION!N563</f>
        <v/>
      </c>
      <c r="O564" s="675">
        <f>+CUBICACION!O563</f>
        <v>0</v>
      </c>
      <c r="P564" s="15">
        <f>IF(O564="Fire Control",VLOOKUP(_xlfn.MINIFS('FIRE CONTROL'!$C$4:$C$37,'FIRE CONTROL'!$C$4:$C$37,"&gt;="&amp;M564),'FIRE CONTROL'!$C$4:$G$37,IF(L564="F-15",2,IF(L564="F-30",3,IF(L564="F-60",4,IF(L564="F-90",5,0)))),0),0)+IF(AND(O564="FIRE TEX 5062",OR(E564="IN",E564="C",E564="Z",E564="L"),J564=3),VLOOKUP(_xlfn.MINIFS('FIRE TEX 5062'!$B$4:$B$34,'FIRE TEX 5062'!$B$4:$B$34,"&gt;="&amp;M564),'FIRE TEX 5062'!$B$4:$F$34,IF(L564="F-15",2,IF(L564="F-30",3,IF(L564="F-60",4,IF(L564="F-90",5,0)))),0),0)+IF(AND(O564="FIRE TEX 5062",OR(E564="IN",E564="C",E564="Z",E564="L"),J564=4),VLOOKUP(_xlfn.MINIFS('FIRE TEX 5062'!$G$4:$G$34,'FIRE TEX 5062'!$G$4:$G$34,"&gt;="&amp;M564),'FIRE TEX 5062'!$G$4:$K$34,IF(L564="F-15",2,IF(L564="F-30",3,IF(L564="F-60",4,IF(L564="F-90",5,0)))),0),0)+IF(AND(O564="FIRE TEX 5062",E564="CJ",J564=3),VLOOKUP(_xlfn.MINIFS('FIRE TEX 5062'!$L$4:$L$34,'FIRE TEX 5062'!$L$4:$L$34,"&gt;="&amp;M564),'FIRE TEX 5062'!$L$4:$P$34,IF(L564="F-15",2,IF(L564="F-30",3,IF(L564="F-60",4,IF(L564="F-90",5,0)))),0),0)+IF(AND(O564="FIRE TEX 5062",E564="CJ",J564=4),VLOOKUP(_xlfn.MINIFS('FIRE TEX 5062'!$Q$3:$Q$34,'FIRE TEX 5062'!$Q$3:$Q$34,"&gt;="&amp;M564),'FIRE TEX 5062'!$Q$3:$U$34,IF(L564="F-15",2,IF(L564="F-30",3,IF(L564="F-60",4,IF(L564="F-90",5,0)))),0),0)+IF(AND(O564="FIRE TEX 5090",OR(E564="IN",E564="C",E564="Z",E564="L"),J564=3),VLOOKUP(_xlfn.MINIFS('FIRE TEX 5090'!$B$5:$B$43,'FIRE TEX 5090'!$B$5:$B$43,"&gt;="&amp;M564),'FIRE TEX 5090'!$B$5:$H$43,IF(L564="F-15",2,IF(L564="F-30",3,IF(L564="F-60",4,IF(L564="F-90",5,IF(L564="F-120",6,IF(L564="F-150",7,0)))))),0),0)+IF(AND(O564="FIRE TEX 5090",OR(E564="IN",E564="C",E564="Z",E564="L"),J564=4),VLOOKUP(_xlfn.MINIFS('FIRE TEX 5090'!$J$5:$J$43,'FIRE TEX 5090'!$J$5:$J$43,"&gt;="&amp;M564),'FIRE TEX 5090'!$J$5:$P$43,IF(L564="F-15",2,IF(L564="F-30",3,IF(L564="F-60",4,IF(L564="F-90",5,IF(L564="F-120",6,IF(L564="F-150",7,0)))))),0),0)+IF(AND(O564="FIRE TEX 5090",E564="CJ",J564=3),VLOOKUP(_xlfn.MINIFS('FIRE TEX 5090'!$R$5:$R$30,'FIRE TEX 5090'!$R$5:$R$30,"&gt;="&amp;M564),'FIRE TEX 5090'!$R$5:$W$30,IF(L564="F-15",2,IF(L564="F-30",3,IF(L564="F-60",4,IF(L564="F-90",5,IF(L564="F-120",6,IF(L564="F-150",7,0)))))),0),0)+IF(AND(O564="FIRE TEX 5090",E564="CJ",J564=4),VLOOKUP(_xlfn.MINIFS('FIRE TEX 5090'!$Y$5:$Y$39,'FIRE TEX 5090'!$Y$5:$Y$39,"&gt;="&amp;M564),'FIRE TEX 5090'!$Y$5:$AD$39,IF(L564="F-15",2,IF(L564="F-30",3,IF(L564="F-60",4,IF(L564="F-90",5,IF(L564="F-120",6,IF(L564="F-150",7,0)))))),0),0)+IF(AND(O564="FIRE TEX 5120",OR(E564="IN",E564="C",E564="Z",E564="L"),J564=3),VLOOKUP(_xlfn.MINIFS('FIRE TEX 5120'!$B$5:$B$40,'FIRE TEX 5120'!$B$5:$B$40,"&gt;="&amp;M564),'FIRE TEX 5120'!$B$5:$G$40,IF(L564="F-15",2,IF(L564="F-30",3,IF(L564="F-60",4,IF(L564="F-90",5,IF(L564="F-120",6,0))))),0),0)+IF(AND(O564="FIRE TEX 5120",OR(E564="IN",E564="C",E564="Z",E564="L"),J564=4),VLOOKUP(_xlfn.MINIFS('FIRE TEX 5120'!$H$4:$H$40,'FIRE TEX 5120'!$H$4:$H$40,"&gt;="&amp;M564),'FIRE TEX 5120'!$H$4:$M$40,IF(L564="F-15",2,IF(L564="F-30",3,IF(L564="F-60",4,IF(L564="F-90",5,IF(L564="F-120",6,0))))),0),0)+IF(AND(O564="FIRE TEX 5120",E564="CJ"),VLOOKUP(_xlfn.MINIFS('FIRE TEX 5120'!$O$5:$O$40,'FIRE TEX 5120'!$O$5:$O$40,"&gt;="&amp;M564),'FIRE TEX 5120'!$O$5:$T$40,IF(L564="F-15",2,IF(L564="F-30",3,IF(L564="F-60",4,IF(L564="F-90",5,IF(L564="F-120",6,0))))),0),0)</f>
        <v>0</v>
      </c>
      <c r="Q564" s="46">
        <f t="shared" si="64"/>
        <v>0</v>
      </c>
      <c r="R564" s="46">
        <f t="shared" si="65"/>
        <v>0</v>
      </c>
      <c r="S564" s="46" t="e">
        <f t="shared" si="66"/>
        <v>#VALUE!</v>
      </c>
      <c r="T564" s="677">
        <f t="shared" si="67"/>
        <v>0</v>
      </c>
      <c r="U564" s="80">
        <f>(IF(O564="Stofire",(S564*#REF!),0))+(IF(O564="Fire Control",(S564*$U$2),0))+(IF(O564="Fire Tex",(S564*$U$3),0))+(IF(O564="WB7",(S564*#REF!),0)+(IF(O564="FX 2003",(S564*$U$5),0)))</f>
        <v>0</v>
      </c>
      <c r="V564" s="651">
        <f t="shared" si="68"/>
        <v>0</v>
      </c>
    </row>
    <row r="565" spans="4:22" x14ac:dyDescent="0.25">
      <c r="D565" s="118">
        <f>+CUBICACION!D564</f>
        <v>0</v>
      </c>
      <c r="E565" s="118">
        <f>+CUBICACION!F564</f>
        <v>0</v>
      </c>
      <c r="F565" s="118">
        <f>+CUBICACION!E564</f>
        <v>0</v>
      </c>
      <c r="G565" s="118">
        <v>12</v>
      </c>
      <c r="H565" s="118">
        <v>2</v>
      </c>
      <c r="I565" s="820">
        <v>26385</v>
      </c>
      <c r="J565" s="118">
        <f>+CUBICACION!J564</f>
        <v>0</v>
      </c>
      <c r="K565" s="118">
        <v>3344</v>
      </c>
      <c r="L565" s="118">
        <f>+CUBICACION!L564</f>
        <v>0</v>
      </c>
      <c r="M565" s="64">
        <f>+CUBICACION!M564</f>
        <v>0</v>
      </c>
      <c r="N565" s="824" t="str">
        <f>+CUBICACION!N564</f>
        <v/>
      </c>
      <c r="O565" s="675">
        <f>+CUBICACION!O564</f>
        <v>0</v>
      </c>
      <c r="P565" s="15">
        <f>IF(O565="Fire Control",VLOOKUP(_xlfn.MINIFS('FIRE CONTROL'!$C$4:$C$37,'FIRE CONTROL'!$C$4:$C$37,"&gt;="&amp;M565),'FIRE CONTROL'!$C$4:$G$37,IF(L565="F-15",2,IF(L565="F-30",3,IF(L565="F-60",4,IF(L565="F-90",5,0)))),0),0)+IF(AND(O565="FIRE TEX 5062",OR(E565="IN",E565="C",E565="Z",E565="L"),J565=3),VLOOKUP(_xlfn.MINIFS('FIRE TEX 5062'!$B$4:$B$34,'FIRE TEX 5062'!$B$4:$B$34,"&gt;="&amp;M565),'FIRE TEX 5062'!$B$4:$F$34,IF(L565="F-15",2,IF(L565="F-30",3,IF(L565="F-60",4,IF(L565="F-90",5,0)))),0),0)+IF(AND(O565="FIRE TEX 5062",OR(E565="IN",E565="C",E565="Z",E565="L"),J565=4),VLOOKUP(_xlfn.MINIFS('FIRE TEX 5062'!$G$4:$G$34,'FIRE TEX 5062'!$G$4:$G$34,"&gt;="&amp;M565),'FIRE TEX 5062'!$G$4:$K$34,IF(L565="F-15",2,IF(L565="F-30",3,IF(L565="F-60",4,IF(L565="F-90",5,0)))),0),0)+IF(AND(O565="FIRE TEX 5062",E565="CJ",J565=3),VLOOKUP(_xlfn.MINIFS('FIRE TEX 5062'!$L$4:$L$34,'FIRE TEX 5062'!$L$4:$L$34,"&gt;="&amp;M565),'FIRE TEX 5062'!$L$4:$P$34,IF(L565="F-15",2,IF(L565="F-30",3,IF(L565="F-60",4,IF(L565="F-90",5,0)))),0),0)+IF(AND(O565="FIRE TEX 5062",E565="CJ",J565=4),VLOOKUP(_xlfn.MINIFS('FIRE TEX 5062'!$Q$3:$Q$34,'FIRE TEX 5062'!$Q$3:$Q$34,"&gt;="&amp;M565),'FIRE TEX 5062'!$Q$3:$U$34,IF(L565="F-15",2,IF(L565="F-30",3,IF(L565="F-60",4,IF(L565="F-90",5,0)))),0),0)+IF(AND(O565="FIRE TEX 5090",OR(E565="IN",E565="C",E565="Z",E565="L"),J565=3),VLOOKUP(_xlfn.MINIFS('FIRE TEX 5090'!$B$5:$B$43,'FIRE TEX 5090'!$B$5:$B$43,"&gt;="&amp;M565),'FIRE TEX 5090'!$B$5:$H$43,IF(L565="F-15",2,IF(L565="F-30",3,IF(L565="F-60",4,IF(L565="F-90",5,IF(L565="F-120",6,IF(L565="F-150",7,0)))))),0),0)+IF(AND(O565="FIRE TEX 5090",OR(E565="IN",E565="C",E565="Z",E565="L"),J565=4),VLOOKUP(_xlfn.MINIFS('FIRE TEX 5090'!$J$5:$J$43,'FIRE TEX 5090'!$J$5:$J$43,"&gt;="&amp;M565),'FIRE TEX 5090'!$J$5:$P$43,IF(L565="F-15",2,IF(L565="F-30",3,IF(L565="F-60",4,IF(L565="F-90",5,IF(L565="F-120",6,IF(L565="F-150",7,0)))))),0),0)+IF(AND(O565="FIRE TEX 5090",E565="CJ",J565=3),VLOOKUP(_xlfn.MINIFS('FIRE TEX 5090'!$R$5:$R$30,'FIRE TEX 5090'!$R$5:$R$30,"&gt;="&amp;M565),'FIRE TEX 5090'!$R$5:$W$30,IF(L565="F-15",2,IF(L565="F-30",3,IF(L565="F-60",4,IF(L565="F-90",5,IF(L565="F-120",6,IF(L565="F-150",7,0)))))),0),0)+IF(AND(O565="FIRE TEX 5090",E565="CJ",J565=4),VLOOKUP(_xlfn.MINIFS('FIRE TEX 5090'!$Y$5:$Y$39,'FIRE TEX 5090'!$Y$5:$Y$39,"&gt;="&amp;M565),'FIRE TEX 5090'!$Y$5:$AD$39,IF(L565="F-15",2,IF(L565="F-30",3,IF(L565="F-60",4,IF(L565="F-90",5,IF(L565="F-120",6,IF(L565="F-150",7,0)))))),0),0)+IF(AND(O565="FIRE TEX 5120",OR(E565="IN",E565="C",E565="Z",E565="L"),J565=3),VLOOKUP(_xlfn.MINIFS('FIRE TEX 5120'!$B$5:$B$40,'FIRE TEX 5120'!$B$5:$B$40,"&gt;="&amp;M565),'FIRE TEX 5120'!$B$5:$G$40,IF(L565="F-15",2,IF(L565="F-30",3,IF(L565="F-60",4,IF(L565="F-90",5,IF(L565="F-120",6,0))))),0),0)+IF(AND(O565="FIRE TEX 5120",OR(E565="IN",E565="C",E565="Z",E565="L"),J565=4),VLOOKUP(_xlfn.MINIFS('FIRE TEX 5120'!$H$4:$H$40,'FIRE TEX 5120'!$H$4:$H$40,"&gt;="&amp;M565),'FIRE TEX 5120'!$H$4:$M$40,IF(L565="F-15",2,IF(L565="F-30",3,IF(L565="F-60",4,IF(L565="F-90",5,IF(L565="F-120",6,0))))),0),0)+IF(AND(O565="FIRE TEX 5120",E565="CJ"),VLOOKUP(_xlfn.MINIFS('FIRE TEX 5120'!$O$5:$O$40,'FIRE TEX 5120'!$O$5:$O$40,"&gt;="&amp;M565),'FIRE TEX 5120'!$O$5:$T$40,IF(L565="F-15",2,IF(L565="F-30",3,IF(L565="F-60",4,IF(L565="F-90",5,IF(L565="F-120",6,0))))),0),0)</f>
        <v>0</v>
      </c>
      <c r="Q565" s="46">
        <f t="shared" si="64"/>
        <v>0</v>
      </c>
      <c r="R565" s="46">
        <f t="shared" si="65"/>
        <v>0</v>
      </c>
      <c r="S565" s="46" t="e">
        <f t="shared" si="66"/>
        <v>#VALUE!</v>
      </c>
      <c r="T565" s="677">
        <f t="shared" si="67"/>
        <v>0</v>
      </c>
      <c r="U565" s="80">
        <f>(IF(O565="Stofire",(S565*#REF!),0))+(IF(O565="Fire Control",(S565*$U$2),0))+(IF(O565="Fire Tex",(S565*$U$3),0))+(IF(O565="WB7",(S565*#REF!),0)+(IF(O565="FX 2003",(S565*$U$5),0)))</f>
        <v>0</v>
      </c>
      <c r="V565" s="651">
        <f t="shared" si="68"/>
        <v>0</v>
      </c>
    </row>
    <row r="566" spans="4:22" x14ac:dyDescent="0.25">
      <c r="D566" s="118">
        <f>+CUBICACION!D565</f>
        <v>0</v>
      </c>
      <c r="E566" s="118">
        <f>+CUBICACION!F565</f>
        <v>0</v>
      </c>
      <c r="F566" s="118">
        <f>+CUBICACION!E565</f>
        <v>0</v>
      </c>
      <c r="G566" s="118">
        <v>12</v>
      </c>
      <c r="H566" s="118">
        <v>2</v>
      </c>
      <c r="I566" s="820">
        <v>26385</v>
      </c>
      <c r="J566" s="118">
        <f>+CUBICACION!J565</f>
        <v>0</v>
      </c>
      <c r="K566" s="118">
        <v>3345</v>
      </c>
      <c r="L566" s="118">
        <f>+CUBICACION!L565</f>
        <v>0</v>
      </c>
      <c r="M566" s="64">
        <f>+CUBICACION!M565</f>
        <v>0</v>
      </c>
      <c r="N566" s="824" t="str">
        <f>+CUBICACION!N565</f>
        <v/>
      </c>
      <c r="O566" s="675">
        <f>+CUBICACION!O565</f>
        <v>0</v>
      </c>
      <c r="P566" s="15">
        <f>IF(O566="Fire Control",VLOOKUP(_xlfn.MINIFS('FIRE CONTROL'!$C$4:$C$37,'FIRE CONTROL'!$C$4:$C$37,"&gt;="&amp;M566),'FIRE CONTROL'!$C$4:$G$37,IF(L566="F-15",2,IF(L566="F-30",3,IF(L566="F-60",4,IF(L566="F-90",5,0)))),0),0)+IF(AND(O566="FIRE TEX 5062",OR(E566="IN",E566="C",E566="Z",E566="L"),J566=3),VLOOKUP(_xlfn.MINIFS('FIRE TEX 5062'!$B$4:$B$34,'FIRE TEX 5062'!$B$4:$B$34,"&gt;="&amp;M566),'FIRE TEX 5062'!$B$4:$F$34,IF(L566="F-15",2,IF(L566="F-30",3,IF(L566="F-60",4,IF(L566="F-90",5,0)))),0),0)+IF(AND(O566="FIRE TEX 5062",OR(E566="IN",E566="C",E566="Z",E566="L"),J566=4),VLOOKUP(_xlfn.MINIFS('FIRE TEX 5062'!$G$4:$G$34,'FIRE TEX 5062'!$G$4:$G$34,"&gt;="&amp;M566),'FIRE TEX 5062'!$G$4:$K$34,IF(L566="F-15",2,IF(L566="F-30",3,IF(L566="F-60",4,IF(L566="F-90",5,0)))),0),0)+IF(AND(O566="FIRE TEX 5062",E566="CJ",J566=3),VLOOKUP(_xlfn.MINIFS('FIRE TEX 5062'!$L$4:$L$34,'FIRE TEX 5062'!$L$4:$L$34,"&gt;="&amp;M566),'FIRE TEX 5062'!$L$4:$P$34,IF(L566="F-15",2,IF(L566="F-30",3,IF(L566="F-60",4,IF(L566="F-90",5,0)))),0),0)+IF(AND(O566="FIRE TEX 5062",E566="CJ",J566=4),VLOOKUP(_xlfn.MINIFS('FIRE TEX 5062'!$Q$3:$Q$34,'FIRE TEX 5062'!$Q$3:$Q$34,"&gt;="&amp;M566),'FIRE TEX 5062'!$Q$3:$U$34,IF(L566="F-15",2,IF(L566="F-30",3,IF(L566="F-60",4,IF(L566="F-90",5,0)))),0),0)+IF(AND(O566="FIRE TEX 5090",OR(E566="IN",E566="C",E566="Z",E566="L"),J566=3),VLOOKUP(_xlfn.MINIFS('FIRE TEX 5090'!$B$5:$B$43,'FIRE TEX 5090'!$B$5:$B$43,"&gt;="&amp;M566),'FIRE TEX 5090'!$B$5:$H$43,IF(L566="F-15",2,IF(L566="F-30",3,IF(L566="F-60",4,IF(L566="F-90",5,IF(L566="F-120",6,IF(L566="F-150",7,0)))))),0),0)+IF(AND(O566="FIRE TEX 5090",OR(E566="IN",E566="C",E566="Z",E566="L"),J566=4),VLOOKUP(_xlfn.MINIFS('FIRE TEX 5090'!$J$5:$J$43,'FIRE TEX 5090'!$J$5:$J$43,"&gt;="&amp;M566),'FIRE TEX 5090'!$J$5:$P$43,IF(L566="F-15",2,IF(L566="F-30",3,IF(L566="F-60",4,IF(L566="F-90",5,IF(L566="F-120",6,IF(L566="F-150",7,0)))))),0),0)+IF(AND(O566="FIRE TEX 5090",E566="CJ",J566=3),VLOOKUP(_xlfn.MINIFS('FIRE TEX 5090'!$R$5:$R$30,'FIRE TEX 5090'!$R$5:$R$30,"&gt;="&amp;M566),'FIRE TEX 5090'!$R$5:$W$30,IF(L566="F-15",2,IF(L566="F-30",3,IF(L566="F-60",4,IF(L566="F-90",5,IF(L566="F-120",6,IF(L566="F-150",7,0)))))),0),0)+IF(AND(O566="FIRE TEX 5090",E566="CJ",J566=4),VLOOKUP(_xlfn.MINIFS('FIRE TEX 5090'!$Y$5:$Y$39,'FIRE TEX 5090'!$Y$5:$Y$39,"&gt;="&amp;M566),'FIRE TEX 5090'!$Y$5:$AD$39,IF(L566="F-15",2,IF(L566="F-30",3,IF(L566="F-60",4,IF(L566="F-90",5,IF(L566="F-120",6,IF(L566="F-150",7,0)))))),0),0)+IF(AND(O566="FIRE TEX 5120",OR(E566="IN",E566="C",E566="Z",E566="L"),J566=3),VLOOKUP(_xlfn.MINIFS('FIRE TEX 5120'!$B$5:$B$40,'FIRE TEX 5120'!$B$5:$B$40,"&gt;="&amp;M566),'FIRE TEX 5120'!$B$5:$G$40,IF(L566="F-15",2,IF(L566="F-30",3,IF(L566="F-60",4,IF(L566="F-90",5,IF(L566="F-120",6,0))))),0),0)+IF(AND(O566="FIRE TEX 5120",OR(E566="IN",E566="C",E566="Z",E566="L"),J566=4),VLOOKUP(_xlfn.MINIFS('FIRE TEX 5120'!$H$4:$H$40,'FIRE TEX 5120'!$H$4:$H$40,"&gt;="&amp;M566),'FIRE TEX 5120'!$H$4:$M$40,IF(L566="F-15",2,IF(L566="F-30",3,IF(L566="F-60",4,IF(L566="F-90",5,IF(L566="F-120",6,0))))),0),0)+IF(AND(O566="FIRE TEX 5120",E566="CJ"),VLOOKUP(_xlfn.MINIFS('FIRE TEX 5120'!$O$5:$O$40,'FIRE TEX 5120'!$O$5:$O$40,"&gt;="&amp;M566),'FIRE TEX 5120'!$O$5:$T$40,IF(L566="F-15",2,IF(L566="F-30",3,IF(L566="F-60",4,IF(L566="F-90",5,IF(L566="F-120",6,0))))),0),0)</f>
        <v>0</v>
      </c>
      <c r="Q566" s="46">
        <f t="shared" si="64"/>
        <v>0</v>
      </c>
      <c r="R566" s="46">
        <f t="shared" si="65"/>
        <v>0</v>
      </c>
      <c r="S566" s="46" t="e">
        <f t="shared" si="66"/>
        <v>#VALUE!</v>
      </c>
      <c r="T566" s="677">
        <f t="shared" si="67"/>
        <v>0</v>
      </c>
      <c r="U566" s="80">
        <f>(IF(O566="Stofire",(S566*#REF!),0))+(IF(O566="Fire Control",(S566*$U$2),0))+(IF(O566="Fire Tex",(S566*$U$3),0))+(IF(O566="WB7",(S566*#REF!),0)+(IF(O566="FX 2003",(S566*$U$5),0)))</f>
        <v>0</v>
      </c>
      <c r="V566" s="651">
        <f t="shared" si="68"/>
        <v>0</v>
      </c>
    </row>
    <row r="567" spans="4:22" x14ac:dyDescent="0.25">
      <c r="D567" s="118">
        <f>+CUBICACION!D566</f>
        <v>0</v>
      </c>
      <c r="E567" s="118">
        <f>+CUBICACION!F566</f>
        <v>0</v>
      </c>
      <c r="F567" s="118">
        <f>+CUBICACION!E566</f>
        <v>0</v>
      </c>
      <c r="G567" s="118">
        <v>12</v>
      </c>
      <c r="H567" s="118">
        <v>2</v>
      </c>
      <c r="I567" s="820">
        <v>26385</v>
      </c>
      <c r="J567" s="118">
        <f>+CUBICACION!J566</f>
        <v>0</v>
      </c>
      <c r="K567" s="118">
        <v>3346</v>
      </c>
      <c r="L567" s="118">
        <f>+CUBICACION!L566</f>
        <v>0</v>
      </c>
      <c r="M567" s="64">
        <f>+CUBICACION!M566</f>
        <v>0</v>
      </c>
      <c r="N567" s="824" t="str">
        <f>+CUBICACION!N566</f>
        <v/>
      </c>
      <c r="O567" s="675">
        <f>+CUBICACION!O566</f>
        <v>0</v>
      </c>
      <c r="P567" s="15">
        <f>IF(O567="Fire Control",VLOOKUP(_xlfn.MINIFS('FIRE CONTROL'!$C$4:$C$37,'FIRE CONTROL'!$C$4:$C$37,"&gt;="&amp;M567),'FIRE CONTROL'!$C$4:$G$37,IF(L567="F-15",2,IF(L567="F-30",3,IF(L567="F-60",4,IF(L567="F-90",5,0)))),0),0)+IF(AND(O567="FIRE TEX 5062",OR(E567="IN",E567="C",E567="Z",E567="L"),J567=3),VLOOKUP(_xlfn.MINIFS('FIRE TEX 5062'!$B$4:$B$34,'FIRE TEX 5062'!$B$4:$B$34,"&gt;="&amp;M567),'FIRE TEX 5062'!$B$4:$F$34,IF(L567="F-15",2,IF(L567="F-30",3,IF(L567="F-60",4,IF(L567="F-90",5,0)))),0),0)+IF(AND(O567="FIRE TEX 5062",OR(E567="IN",E567="C",E567="Z",E567="L"),J567=4),VLOOKUP(_xlfn.MINIFS('FIRE TEX 5062'!$G$4:$G$34,'FIRE TEX 5062'!$G$4:$G$34,"&gt;="&amp;M567),'FIRE TEX 5062'!$G$4:$K$34,IF(L567="F-15",2,IF(L567="F-30",3,IF(L567="F-60",4,IF(L567="F-90",5,0)))),0),0)+IF(AND(O567="FIRE TEX 5062",E567="CJ",J567=3),VLOOKUP(_xlfn.MINIFS('FIRE TEX 5062'!$L$4:$L$34,'FIRE TEX 5062'!$L$4:$L$34,"&gt;="&amp;M567),'FIRE TEX 5062'!$L$4:$P$34,IF(L567="F-15",2,IF(L567="F-30",3,IF(L567="F-60",4,IF(L567="F-90",5,0)))),0),0)+IF(AND(O567="FIRE TEX 5062",E567="CJ",J567=4),VLOOKUP(_xlfn.MINIFS('FIRE TEX 5062'!$Q$3:$Q$34,'FIRE TEX 5062'!$Q$3:$Q$34,"&gt;="&amp;M567),'FIRE TEX 5062'!$Q$3:$U$34,IF(L567="F-15",2,IF(L567="F-30",3,IF(L567="F-60",4,IF(L567="F-90",5,0)))),0),0)+IF(AND(O567="FIRE TEX 5090",OR(E567="IN",E567="C",E567="Z",E567="L"),J567=3),VLOOKUP(_xlfn.MINIFS('FIRE TEX 5090'!$B$5:$B$43,'FIRE TEX 5090'!$B$5:$B$43,"&gt;="&amp;M567),'FIRE TEX 5090'!$B$5:$H$43,IF(L567="F-15",2,IF(L567="F-30",3,IF(L567="F-60",4,IF(L567="F-90",5,IF(L567="F-120",6,IF(L567="F-150",7,0)))))),0),0)+IF(AND(O567="FIRE TEX 5090",OR(E567="IN",E567="C",E567="Z",E567="L"),J567=4),VLOOKUP(_xlfn.MINIFS('FIRE TEX 5090'!$J$5:$J$43,'FIRE TEX 5090'!$J$5:$J$43,"&gt;="&amp;M567),'FIRE TEX 5090'!$J$5:$P$43,IF(L567="F-15",2,IF(L567="F-30",3,IF(L567="F-60",4,IF(L567="F-90",5,IF(L567="F-120",6,IF(L567="F-150",7,0)))))),0),0)+IF(AND(O567="FIRE TEX 5090",E567="CJ",J567=3),VLOOKUP(_xlfn.MINIFS('FIRE TEX 5090'!$R$5:$R$30,'FIRE TEX 5090'!$R$5:$R$30,"&gt;="&amp;M567),'FIRE TEX 5090'!$R$5:$W$30,IF(L567="F-15",2,IF(L567="F-30",3,IF(L567="F-60",4,IF(L567="F-90",5,IF(L567="F-120",6,IF(L567="F-150",7,0)))))),0),0)+IF(AND(O567="FIRE TEX 5090",E567="CJ",J567=4),VLOOKUP(_xlfn.MINIFS('FIRE TEX 5090'!$Y$5:$Y$39,'FIRE TEX 5090'!$Y$5:$Y$39,"&gt;="&amp;M567),'FIRE TEX 5090'!$Y$5:$AD$39,IF(L567="F-15",2,IF(L567="F-30",3,IF(L567="F-60",4,IF(L567="F-90",5,IF(L567="F-120",6,IF(L567="F-150",7,0)))))),0),0)+IF(AND(O567="FIRE TEX 5120",OR(E567="IN",E567="C",E567="Z",E567="L"),J567=3),VLOOKUP(_xlfn.MINIFS('FIRE TEX 5120'!$B$5:$B$40,'FIRE TEX 5120'!$B$5:$B$40,"&gt;="&amp;M567),'FIRE TEX 5120'!$B$5:$G$40,IF(L567="F-15",2,IF(L567="F-30",3,IF(L567="F-60",4,IF(L567="F-90",5,IF(L567="F-120",6,0))))),0),0)+IF(AND(O567="FIRE TEX 5120",OR(E567="IN",E567="C",E567="Z",E567="L"),J567=4),VLOOKUP(_xlfn.MINIFS('FIRE TEX 5120'!$H$4:$H$40,'FIRE TEX 5120'!$H$4:$H$40,"&gt;="&amp;M567),'FIRE TEX 5120'!$H$4:$M$40,IF(L567="F-15",2,IF(L567="F-30",3,IF(L567="F-60",4,IF(L567="F-90",5,IF(L567="F-120",6,0))))),0),0)+IF(AND(O567="FIRE TEX 5120",E567="CJ"),VLOOKUP(_xlfn.MINIFS('FIRE TEX 5120'!$O$5:$O$40,'FIRE TEX 5120'!$O$5:$O$40,"&gt;="&amp;M567),'FIRE TEX 5120'!$O$5:$T$40,IF(L567="F-15",2,IF(L567="F-30",3,IF(L567="F-60",4,IF(L567="F-90",5,IF(L567="F-120",6,0))))),0),0)</f>
        <v>0</v>
      </c>
      <c r="Q567" s="46">
        <f t="shared" si="64"/>
        <v>0</v>
      </c>
      <c r="R567" s="46">
        <f t="shared" si="65"/>
        <v>0</v>
      </c>
      <c r="S567" s="46" t="e">
        <f t="shared" si="66"/>
        <v>#VALUE!</v>
      </c>
      <c r="T567" s="677">
        <f t="shared" si="67"/>
        <v>0</v>
      </c>
      <c r="U567" s="80">
        <f>(IF(O567="Stofire",(S567*#REF!),0))+(IF(O567="Fire Control",(S567*$U$2),0))+(IF(O567="Fire Tex",(S567*$U$3),0))+(IF(O567="WB7",(S567*#REF!),0)+(IF(O567="FX 2003",(S567*$U$5),0)))</f>
        <v>0</v>
      </c>
      <c r="V567" s="651">
        <f t="shared" si="68"/>
        <v>0</v>
      </c>
    </row>
    <row r="568" spans="4:22" x14ac:dyDescent="0.25">
      <c r="D568" s="118">
        <f>+CUBICACION!D567</f>
        <v>0</v>
      </c>
      <c r="E568" s="118">
        <f>+CUBICACION!F567</f>
        <v>0</v>
      </c>
      <c r="F568" s="118">
        <f>+CUBICACION!E567</f>
        <v>0</v>
      </c>
      <c r="G568" s="118">
        <v>12</v>
      </c>
      <c r="H568" s="118">
        <v>2</v>
      </c>
      <c r="I568" s="820">
        <v>26385</v>
      </c>
      <c r="J568" s="118">
        <f>+CUBICACION!J567</f>
        <v>0</v>
      </c>
      <c r="K568" s="118">
        <v>3347</v>
      </c>
      <c r="L568" s="118">
        <f>+CUBICACION!L567</f>
        <v>0</v>
      </c>
      <c r="M568" s="64">
        <f>+CUBICACION!M567</f>
        <v>0</v>
      </c>
      <c r="N568" s="824" t="str">
        <f>+CUBICACION!N567</f>
        <v/>
      </c>
      <c r="O568" s="675">
        <f>+CUBICACION!O567</f>
        <v>0</v>
      </c>
      <c r="P568" s="15">
        <f>IF(O568="Fire Control",VLOOKUP(_xlfn.MINIFS('FIRE CONTROL'!$C$4:$C$37,'FIRE CONTROL'!$C$4:$C$37,"&gt;="&amp;M568),'FIRE CONTROL'!$C$4:$G$37,IF(L568="F-15",2,IF(L568="F-30",3,IF(L568="F-60",4,IF(L568="F-90",5,0)))),0),0)+IF(AND(O568="FIRE TEX 5062",OR(E568="IN",E568="C",E568="Z",E568="L"),J568=3),VLOOKUP(_xlfn.MINIFS('FIRE TEX 5062'!$B$4:$B$34,'FIRE TEX 5062'!$B$4:$B$34,"&gt;="&amp;M568),'FIRE TEX 5062'!$B$4:$F$34,IF(L568="F-15",2,IF(L568="F-30",3,IF(L568="F-60",4,IF(L568="F-90",5,0)))),0),0)+IF(AND(O568="FIRE TEX 5062",OR(E568="IN",E568="C",E568="Z",E568="L"),J568=4),VLOOKUP(_xlfn.MINIFS('FIRE TEX 5062'!$G$4:$G$34,'FIRE TEX 5062'!$G$4:$G$34,"&gt;="&amp;M568),'FIRE TEX 5062'!$G$4:$K$34,IF(L568="F-15",2,IF(L568="F-30",3,IF(L568="F-60",4,IF(L568="F-90",5,0)))),0),0)+IF(AND(O568="FIRE TEX 5062",E568="CJ",J568=3),VLOOKUP(_xlfn.MINIFS('FIRE TEX 5062'!$L$4:$L$34,'FIRE TEX 5062'!$L$4:$L$34,"&gt;="&amp;M568),'FIRE TEX 5062'!$L$4:$P$34,IF(L568="F-15",2,IF(L568="F-30",3,IF(L568="F-60",4,IF(L568="F-90",5,0)))),0),0)+IF(AND(O568="FIRE TEX 5062",E568="CJ",J568=4),VLOOKUP(_xlfn.MINIFS('FIRE TEX 5062'!$Q$3:$Q$34,'FIRE TEX 5062'!$Q$3:$Q$34,"&gt;="&amp;M568),'FIRE TEX 5062'!$Q$3:$U$34,IF(L568="F-15",2,IF(L568="F-30",3,IF(L568="F-60",4,IF(L568="F-90",5,0)))),0),0)+IF(AND(O568="FIRE TEX 5090",OR(E568="IN",E568="C",E568="Z",E568="L"),J568=3),VLOOKUP(_xlfn.MINIFS('FIRE TEX 5090'!$B$5:$B$43,'FIRE TEX 5090'!$B$5:$B$43,"&gt;="&amp;M568),'FIRE TEX 5090'!$B$5:$H$43,IF(L568="F-15",2,IF(L568="F-30",3,IF(L568="F-60",4,IF(L568="F-90",5,IF(L568="F-120",6,IF(L568="F-150",7,0)))))),0),0)+IF(AND(O568="FIRE TEX 5090",OR(E568="IN",E568="C",E568="Z",E568="L"),J568=4),VLOOKUP(_xlfn.MINIFS('FIRE TEX 5090'!$J$5:$J$43,'FIRE TEX 5090'!$J$5:$J$43,"&gt;="&amp;M568),'FIRE TEX 5090'!$J$5:$P$43,IF(L568="F-15",2,IF(L568="F-30",3,IF(L568="F-60",4,IF(L568="F-90",5,IF(L568="F-120",6,IF(L568="F-150",7,0)))))),0),0)+IF(AND(O568="FIRE TEX 5090",E568="CJ",J568=3),VLOOKUP(_xlfn.MINIFS('FIRE TEX 5090'!$R$5:$R$30,'FIRE TEX 5090'!$R$5:$R$30,"&gt;="&amp;M568),'FIRE TEX 5090'!$R$5:$W$30,IF(L568="F-15",2,IF(L568="F-30",3,IF(L568="F-60",4,IF(L568="F-90",5,IF(L568="F-120",6,IF(L568="F-150",7,0)))))),0),0)+IF(AND(O568="FIRE TEX 5090",E568="CJ",J568=4),VLOOKUP(_xlfn.MINIFS('FIRE TEX 5090'!$Y$5:$Y$39,'FIRE TEX 5090'!$Y$5:$Y$39,"&gt;="&amp;M568),'FIRE TEX 5090'!$Y$5:$AD$39,IF(L568="F-15",2,IF(L568="F-30",3,IF(L568="F-60",4,IF(L568="F-90",5,IF(L568="F-120",6,IF(L568="F-150",7,0)))))),0),0)+IF(AND(O568="FIRE TEX 5120",OR(E568="IN",E568="C",E568="Z",E568="L"),J568=3),VLOOKUP(_xlfn.MINIFS('FIRE TEX 5120'!$B$5:$B$40,'FIRE TEX 5120'!$B$5:$B$40,"&gt;="&amp;M568),'FIRE TEX 5120'!$B$5:$G$40,IF(L568="F-15",2,IF(L568="F-30",3,IF(L568="F-60",4,IF(L568="F-90",5,IF(L568="F-120",6,0))))),0),0)+IF(AND(O568="FIRE TEX 5120",OR(E568="IN",E568="C",E568="Z",E568="L"),J568=4),VLOOKUP(_xlfn.MINIFS('FIRE TEX 5120'!$H$4:$H$40,'FIRE TEX 5120'!$H$4:$H$40,"&gt;="&amp;M568),'FIRE TEX 5120'!$H$4:$M$40,IF(L568="F-15",2,IF(L568="F-30",3,IF(L568="F-60",4,IF(L568="F-90",5,IF(L568="F-120",6,0))))),0),0)+IF(AND(O568="FIRE TEX 5120",E568="CJ"),VLOOKUP(_xlfn.MINIFS('FIRE TEX 5120'!$O$5:$O$40,'FIRE TEX 5120'!$O$5:$O$40,"&gt;="&amp;M568),'FIRE TEX 5120'!$O$5:$T$40,IF(L568="F-15",2,IF(L568="F-30",3,IF(L568="F-60",4,IF(L568="F-90",5,IF(L568="F-120",6,0))))),0),0)</f>
        <v>0</v>
      </c>
      <c r="Q568" s="46">
        <f t="shared" si="64"/>
        <v>0</v>
      </c>
      <c r="R568" s="46">
        <f t="shared" si="65"/>
        <v>0</v>
      </c>
      <c r="S568" s="46" t="e">
        <f t="shared" si="66"/>
        <v>#VALUE!</v>
      </c>
      <c r="T568" s="677">
        <f t="shared" si="67"/>
        <v>0</v>
      </c>
      <c r="U568" s="80">
        <f>(IF(O568="Stofire",(S568*#REF!),0))+(IF(O568="Fire Control",(S568*$U$2),0))+(IF(O568="Fire Tex",(S568*$U$3),0))+(IF(O568="WB7",(S568*#REF!),0)+(IF(O568="FX 2003",(S568*$U$5),0)))</f>
        <v>0</v>
      </c>
      <c r="V568" s="651">
        <f t="shared" si="68"/>
        <v>0</v>
      </c>
    </row>
    <row r="569" spans="4:22" x14ac:dyDescent="0.25">
      <c r="D569" s="118">
        <f>+CUBICACION!D568</f>
        <v>0</v>
      </c>
      <c r="E569" s="118">
        <f>+CUBICACION!F568</f>
        <v>0</v>
      </c>
      <c r="F569" s="118">
        <f>+CUBICACION!E568</f>
        <v>0</v>
      </c>
      <c r="G569" s="118">
        <v>12</v>
      </c>
      <c r="H569" s="118">
        <v>2</v>
      </c>
      <c r="I569" s="820">
        <v>26385</v>
      </c>
      <c r="J569" s="118">
        <f>+CUBICACION!J568</f>
        <v>0</v>
      </c>
      <c r="K569" s="118">
        <v>3348</v>
      </c>
      <c r="L569" s="118">
        <f>+CUBICACION!L568</f>
        <v>0</v>
      </c>
      <c r="M569" s="64">
        <f>+CUBICACION!M568</f>
        <v>0</v>
      </c>
      <c r="N569" s="824" t="str">
        <f>+CUBICACION!N568</f>
        <v/>
      </c>
      <c r="O569" s="675">
        <f>+CUBICACION!O568</f>
        <v>0</v>
      </c>
      <c r="P569" s="15">
        <f>IF(O569="Fire Control",VLOOKUP(_xlfn.MINIFS('FIRE CONTROL'!$C$4:$C$37,'FIRE CONTROL'!$C$4:$C$37,"&gt;="&amp;M569),'FIRE CONTROL'!$C$4:$G$37,IF(L569="F-15",2,IF(L569="F-30",3,IF(L569="F-60",4,IF(L569="F-90",5,0)))),0),0)+IF(AND(O569="FIRE TEX 5062",OR(E569="IN",E569="C",E569="Z",E569="L"),J569=3),VLOOKUP(_xlfn.MINIFS('FIRE TEX 5062'!$B$4:$B$34,'FIRE TEX 5062'!$B$4:$B$34,"&gt;="&amp;M569),'FIRE TEX 5062'!$B$4:$F$34,IF(L569="F-15",2,IF(L569="F-30",3,IF(L569="F-60",4,IF(L569="F-90",5,0)))),0),0)+IF(AND(O569="FIRE TEX 5062",OR(E569="IN",E569="C",E569="Z",E569="L"),J569=4),VLOOKUP(_xlfn.MINIFS('FIRE TEX 5062'!$G$4:$G$34,'FIRE TEX 5062'!$G$4:$G$34,"&gt;="&amp;M569),'FIRE TEX 5062'!$G$4:$K$34,IF(L569="F-15",2,IF(L569="F-30",3,IF(L569="F-60",4,IF(L569="F-90",5,0)))),0),0)+IF(AND(O569="FIRE TEX 5062",E569="CJ",J569=3),VLOOKUP(_xlfn.MINIFS('FIRE TEX 5062'!$L$4:$L$34,'FIRE TEX 5062'!$L$4:$L$34,"&gt;="&amp;M569),'FIRE TEX 5062'!$L$4:$P$34,IF(L569="F-15",2,IF(L569="F-30",3,IF(L569="F-60",4,IF(L569="F-90",5,0)))),0),0)+IF(AND(O569="FIRE TEX 5062",E569="CJ",J569=4),VLOOKUP(_xlfn.MINIFS('FIRE TEX 5062'!$Q$3:$Q$34,'FIRE TEX 5062'!$Q$3:$Q$34,"&gt;="&amp;M569),'FIRE TEX 5062'!$Q$3:$U$34,IF(L569="F-15",2,IF(L569="F-30",3,IF(L569="F-60",4,IF(L569="F-90",5,0)))),0),0)+IF(AND(O569="FIRE TEX 5090",OR(E569="IN",E569="C",E569="Z",E569="L"),J569=3),VLOOKUP(_xlfn.MINIFS('FIRE TEX 5090'!$B$5:$B$43,'FIRE TEX 5090'!$B$5:$B$43,"&gt;="&amp;M569),'FIRE TEX 5090'!$B$5:$H$43,IF(L569="F-15",2,IF(L569="F-30",3,IF(L569="F-60",4,IF(L569="F-90",5,IF(L569="F-120",6,IF(L569="F-150",7,0)))))),0),0)+IF(AND(O569="FIRE TEX 5090",OR(E569="IN",E569="C",E569="Z",E569="L"),J569=4),VLOOKUP(_xlfn.MINIFS('FIRE TEX 5090'!$J$5:$J$43,'FIRE TEX 5090'!$J$5:$J$43,"&gt;="&amp;M569),'FIRE TEX 5090'!$J$5:$P$43,IF(L569="F-15",2,IF(L569="F-30",3,IF(L569="F-60",4,IF(L569="F-90",5,IF(L569="F-120",6,IF(L569="F-150",7,0)))))),0),0)+IF(AND(O569="FIRE TEX 5090",E569="CJ",J569=3),VLOOKUP(_xlfn.MINIFS('FIRE TEX 5090'!$R$5:$R$30,'FIRE TEX 5090'!$R$5:$R$30,"&gt;="&amp;M569),'FIRE TEX 5090'!$R$5:$W$30,IF(L569="F-15",2,IF(L569="F-30",3,IF(L569="F-60",4,IF(L569="F-90",5,IF(L569="F-120",6,IF(L569="F-150",7,0)))))),0),0)+IF(AND(O569="FIRE TEX 5090",E569="CJ",J569=4),VLOOKUP(_xlfn.MINIFS('FIRE TEX 5090'!$Y$5:$Y$39,'FIRE TEX 5090'!$Y$5:$Y$39,"&gt;="&amp;M569),'FIRE TEX 5090'!$Y$5:$AD$39,IF(L569="F-15",2,IF(L569="F-30",3,IF(L569="F-60",4,IF(L569="F-90",5,IF(L569="F-120",6,IF(L569="F-150",7,0)))))),0),0)+IF(AND(O569="FIRE TEX 5120",OR(E569="IN",E569="C",E569="Z",E569="L"),J569=3),VLOOKUP(_xlfn.MINIFS('FIRE TEX 5120'!$B$5:$B$40,'FIRE TEX 5120'!$B$5:$B$40,"&gt;="&amp;M569),'FIRE TEX 5120'!$B$5:$G$40,IF(L569="F-15",2,IF(L569="F-30",3,IF(L569="F-60",4,IF(L569="F-90",5,IF(L569="F-120",6,0))))),0),0)+IF(AND(O569="FIRE TEX 5120",OR(E569="IN",E569="C",E569="Z",E569="L"),J569=4),VLOOKUP(_xlfn.MINIFS('FIRE TEX 5120'!$H$4:$H$40,'FIRE TEX 5120'!$H$4:$H$40,"&gt;="&amp;M569),'FIRE TEX 5120'!$H$4:$M$40,IF(L569="F-15",2,IF(L569="F-30",3,IF(L569="F-60",4,IF(L569="F-90",5,IF(L569="F-120",6,0))))),0),0)+IF(AND(O569="FIRE TEX 5120",E569="CJ"),VLOOKUP(_xlfn.MINIFS('FIRE TEX 5120'!$O$5:$O$40,'FIRE TEX 5120'!$O$5:$O$40,"&gt;="&amp;M569),'FIRE TEX 5120'!$O$5:$T$40,IF(L569="F-15",2,IF(L569="F-30",3,IF(L569="F-60",4,IF(L569="F-90",5,IF(L569="F-120",6,0))))),0),0)</f>
        <v>0</v>
      </c>
      <c r="Q569" s="46">
        <f t="shared" si="64"/>
        <v>0</v>
      </c>
      <c r="R569" s="46">
        <f t="shared" si="65"/>
        <v>0</v>
      </c>
      <c r="S569" s="46" t="e">
        <f t="shared" si="66"/>
        <v>#VALUE!</v>
      </c>
      <c r="T569" s="677">
        <f t="shared" si="67"/>
        <v>0</v>
      </c>
      <c r="U569" s="80">
        <f>(IF(O569="Stofire",(S569*#REF!),0))+(IF(O569="Fire Control",(S569*$U$2),0))+(IF(O569="Fire Tex",(S569*$U$3),0))+(IF(O569="WB7",(S569*#REF!),0)+(IF(O569="FX 2003",(S569*$U$5),0)))</f>
        <v>0</v>
      </c>
      <c r="V569" s="651">
        <f t="shared" si="68"/>
        <v>0</v>
      </c>
    </row>
    <row r="570" spans="4:22" x14ac:dyDescent="0.25">
      <c r="D570" s="118">
        <f>+CUBICACION!D569</f>
        <v>0</v>
      </c>
      <c r="E570" s="118">
        <f>+CUBICACION!F569</f>
        <v>0</v>
      </c>
      <c r="F570" s="118">
        <f>+CUBICACION!E569</f>
        <v>0</v>
      </c>
      <c r="G570" s="118">
        <v>12</v>
      </c>
      <c r="H570" s="118">
        <v>2</v>
      </c>
      <c r="I570" s="820">
        <v>26385</v>
      </c>
      <c r="J570" s="118">
        <f>+CUBICACION!J569</f>
        <v>0</v>
      </c>
      <c r="K570" s="118">
        <v>3349</v>
      </c>
      <c r="L570" s="118">
        <f>+CUBICACION!L569</f>
        <v>0</v>
      </c>
      <c r="M570" s="64">
        <f>+CUBICACION!M569</f>
        <v>0</v>
      </c>
      <c r="N570" s="824" t="str">
        <f>+CUBICACION!N569</f>
        <v/>
      </c>
      <c r="O570" s="675">
        <f>+CUBICACION!O569</f>
        <v>0</v>
      </c>
      <c r="P570" s="15">
        <f>IF(O570="Fire Control",VLOOKUP(_xlfn.MINIFS('FIRE CONTROL'!$C$4:$C$37,'FIRE CONTROL'!$C$4:$C$37,"&gt;="&amp;M570),'FIRE CONTROL'!$C$4:$G$37,IF(L570="F-15",2,IF(L570="F-30",3,IF(L570="F-60",4,IF(L570="F-90",5,0)))),0),0)+IF(AND(O570="FIRE TEX 5062",OR(E570="IN",E570="C",E570="Z",E570="L"),J570=3),VLOOKUP(_xlfn.MINIFS('FIRE TEX 5062'!$B$4:$B$34,'FIRE TEX 5062'!$B$4:$B$34,"&gt;="&amp;M570),'FIRE TEX 5062'!$B$4:$F$34,IF(L570="F-15",2,IF(L570="F-30",3,IF(L570="F-60",4,IF(L570="F-90",5,0)))),0),0)+IF(AND(O570="FIRE TEX 5062",OR(E570="IN",E570="C",E570="Z",E570="L"),J570=4),VLOOKUP(_xlfn.MINIFS('FIRE TEX 5062'!$G$4:$G$34,'FIRE TEX 5062'!$G$4:$G$34,"&gt;="&amp;M570),'FIRE TEX 5062'!$G$4:$K$34,IF(L570="F-15",2,IF(L570="F-30",3,IF(L570="F-60",4,IF(L570="F-90",5,0)))),0),0)+IF(AND(O570="FIRE TEX 5062",E570="CJ",J570=3),VLOOKUP(_xlfn.MINIFS('FIRE TEX 5062'!$L$4:$L$34,'FIRE TEX 5062'!$L$4:$L$34,"&gt;="&amp;M570),'FIRE TEX 5062'!$L$4:$P$34,IF(L570="F-15",2,IF(L570="F-30",3,IF(L570="F-60",4,IF(L570="F-90",5,0)))),0),0)+IF(AND(O570="FIRE TEX 5062",E570="CJ",J570=4),VLOOKUP(_xlfn.MINIFS('FIRE TEX 5062'!$Q$3:$Q$34,'FIRE TEX 5062'!$Q$3:$Q$34,"&gt;="&amp;M570),'FIRE TEX 5062'!$Q$3:$U$34,IF(L570="F-15",2,IF(L570="F-30",3,IF(L570="F-60",4,IF(L570="F-90",5,0)))),0),0)+IF(AND(O570="FIRE TEX 5090",OR(E570="IN",E570="C",E570="Z",E570="L"),J570=3),VLOOKUP(_xlfn.MINIFS('FIRE TEX 5090'!$B$5:$B$43,'FIRE TEX 5090'!$B$5:$B$43,"&gt;="&amp;M570),'FIRE TEX 5090'!$B$5:$H$43,IF(L570="F-15",2,IF(L570="F-30",3,IF(L570="F-60",4,IF(L570="F-90",5,IF(L570="F-120",6,IF(L570="F-150",7,0)))))),0),0)+IF(AND(O570="FIRE TEX 5090",OR(E570="IN",E570="C",E570="Z",E570="L"),J570=4),VLOOKUP(_xlfn.MINIFS('FIRE TEX 5090'!$J$5:$J$43,'FIRE TEX 5090'!$J$5:$J$43,"&gt;="&amp;M570),'FIRE TEX 5090'!$J$5:$P$43,IF(L570="F-15",2,IF(L570="F-30",3,IF(L570="F-60",4,IF(L570="F-90",5,IF(L570="F-120",6,IF(L570="F-150",7,0)))))),0),0)+IF(AND(O570="FIRE TEX 5090",E570="CJ",J570=3),VLOOKUP(_xlfn.MINIFS('FIRE TEX 5090'!$R$5:$R$30,'FIRE TEX 5090'!$R$5:$R$30,"&gt;="&amp;M570),'FIRE TEX 5090'!$R$5:$W$30,IF(L570="F-15",2,IF(L570="F-30",3,IF(L570="F-60",4,IF(L570="F-90",5,IF(L570="F-120",6,IF(L570="F-150",7,0)))))),0),0)+IF(AND(O570="FIRE TEX 5090",E570="CJ",J570=4),VLOOKUP(_xlfn.MINIFS('FIRE TEX 5090'!$Y$5:$Y$39,'FIRE TEX 5090'!$Y$5:$Y$39,"&gt;="&amp;M570),'FIRE TEX 5090'!$Y$5:$AD$39,IF(L570="F-15",2,IF(L570="F-30",3,IF(L570="F-60",4,IF(L570="F-90",5,IF(L570="F-120",6,IF(L570="F-150",7,0)))))),0),0)+IF(AND(O570="FIRE TEX 5120",OR(E570="IN",E570="C",E570="Z",E570="L"),J570=3),VLOOKUP(_xlfn.MINIFS('FIRE TEX 5120'!$B$5:$B$40,'FIRE TEX 5120'!$B$5:$B$40,"&gt;="&amp;M570),'FIRE TEX 5120'!$B$5:$G$40,IF(L570="F-15",2,IF(L570="F-30",3,IF(L570="F-60",4,IF(L570="F-90",5,IF(L570="F-120",6,0))))),0),0)+IF(AND(O570="FIRE TEX 5120",OR(E570="IN",E570="C",E570="Z",E570="L"),J570=4),VLOOKUP(_xlfn.MINIFS('FIRE TEX 5120'!$H$4:$H$40,'FIRE TEX 5120'!$H$4:$H$40,"&gt;="&amp;M570),'FIRE TEX 5120'!$H$4:$M$40,IF(L570="F-15",2,IF(L570="F-30",3,IF(L570="F-60",4,IF(L570="F-90",5,IF(L570="F-120",6,0))))),0),0)+IF(AND(O570="FIRE TEX 5120",E570="CJ"),VLOOKUP(_xlfn.MINIFS('FIRE TEX 5120'!$O$5:$O$40,'FIRE TEX 5120'!$O$5:$O$40,"&gt;="&amp;M570),'FIRE TEX 5120'!$O$5:$T$40,IF(L570="F-15",2,IF(L570="F-30",3,IF(L570="F-60",4,IF(L570="F-90",5,IF(L570="F-120",6,0))))),0),0)</f>
        <v>0</v>
      </c>
      <c r="Q570" s="46">
        <f t="shared" si="64"/>
        <v>0</v>
      </c>
      <c r="R570" s="46">
        <f t="shared" si="65"/>
        <v>0</v>
      </c>
      <c r="S570" s="46" t="e">
        <f t="shared" si="66"/>
        <v>#VALUE!</v>
      </c>
      <c r="T570" s="677">
        <f t="shared" si="67"/>
        <v>0</v>
      </c>
      <c r="U570" s="80">
        <f>(IF(O570="Stofire",(S570*#REF!),0))+(IF(O570="Fire Control",(S570*$U$2),0))+(IF(O570="Fire Tex",(S570*$U$3),0))+(IF(O570="WB7",(S570*#REF!),0)+(IF(O570="FX 2003",(S570*$U$5),0)))</f>
        <v>0</v>
      </c>
      <c r="V570" s="651">
        <f t="shared" si="68"/>
        <v>0</v>
      </c>
    </row>
    <row r="571" spans="4:22" x14ac:dyDescent="0.25">
      <c r="D571" s="118">
        <f>+CUBICACION!D570</f>
        <v>0</v>
      </c>
      <c r="E571" s="118">
        <f>+CUBICACION!F570</f>
        <v>0</v>
      </c>
      <c r="F571" s="118">
        <f>+CUBICACION!E570</f>
        <v>0</v>
      </c>
      <c r="G571" s="118">
        <v>12</v>
      </c>
      <c r="H571" s="118">
        <v>2</v>
      </c>
      <c r="I571" s="820">
        <v>26385</v>
      </c>
      <c r="J571" s="118">
        <f>+CUBICACION!J570</f>
        <v>0</v>
      </c>
      <c r="K571" s="118">
        <v>3350</v>
      </c>
      <c r="L571" s="118">
        <f>+CUBICACION!L570</f>
        <v>0</v>
      </c>
      <c r="M571" s="64">
        <f>+CUBICACION!M570</f>
        <v>0</v>
      </c>
      <c r="N571" s="824" t="str">
        <f>+CUBICACION!N570</f>
        <v/>
      </c>
      <c r="O571" s="675">
        <f>+CUBICACION!O570</f>
        <v>0</v>
      </c>
      <c r="P571" s="15">
        <f>IF(O571="Fire Control",VLOOKUP(_xlfn.MINIFS('FIRE CONTROL'!$C$4:$C$37,'FIRE CONTROL'!$C$4:$C$37,"&gt;="&amp;M571),'FIRE CONTROL'!$C$4:$G$37,IF(L571="F-15",2,IF(L571="F-30",3,IF(L571="F-60",4,IF(L571="F-90",5,0)))),0),0)+IF(AND(O571="FIRE TEX 5062",OR(E571="IN",E571="C",E571="Z",E571="L"),J571=3),VLOOKUP(_xlfn.MINIFS('FIRE TEX 5062'!$B$4:$B$34,'FIRE TEX 5062'!$B$4:$B$34,"&gt;="&amp;M571),'FIRE TEX 5062'!$B$4:$F$34,IF(L571="F-15",2,IF(L571="F-30",3,IF(L571="F-60",4,IF(L571="F-90",5,0)))),0),0)+IF(AND(O571="FIRE TEX 5062",OR(E571="IN",E571="C",E571="Z",E571="L"),J571=4),VLOOKUP(_xlfn.MINIFS('FIRE TEX 5062'!$G$4:$G$34,'FIRE TEX 5062'!$G$4:$G$34,"&gt;="&amp;M571),'FIRE TEX 5062'!$G$4:$K$34,IF(L571="F-15",2,IF(L571="F-30",3,IF(L571="F-60",4,IF(L571="F-90",5,0)))),0),0)+IF(AND(O571="FIRE TEX 5062",E571="CJ",J571=3),VLOOKUP(_xlfn.MINIFS('FIRE TEX 5062'!$L$4:$L$34,'FIRE TEX 5062'!$L$4:$L$34,"&gt;="&amp;M571),'FIRE TEX 5062'!$L$4:$P$34,IF(L571="F-15",2,IF(L571="F-30",3,IF(L571="F-60",4,IF(L571="F-90",5,0)))),0),0)+IF(AND(O571="FIRE TEX 5062",E571="CJ",J571=4),VLOOKUP(_xlfn.MINIFS('FIRE TEX 5062'!$Q$3:$Q$34,'FIRE TEX 5062'!$Q$3:$Q$34,"&gt;="&amp;M571),'FIRE TEX 5062'!$Q$3:$U$34,IF(L571="F-15",2,IF(L571="F-30",3,IF(L571="F-60",4,IF(L571="F-90",5,0)))),0),0)+IF(AND(O571="FIRE TEX 5090",OR(E571="IN",E571="C",E571="Z",E571="L"),J571=3),VLOOKUP(_xlfn.MINIFS('FIRE TEX 5090'!$B$5:$B$43,'FIRE TEX 5090'!$B$5:$B$43,"&gt;="&amp;M571),'FIRE TEX 5090'!$B$5:$H$43,IF(L571="F-15",2,IF(L571="F-30",3,IF(L571="F-60",4,IF(L571="F-90",5,IF(L571="F-120",6,IF(L571="F-150",7,0)))))),0),0)+IF(AND(O571="FIRE TEX 5090",OR(E571="IN",E571="C",E571="Z",E571="L"),J571=4),VLOOKUP(_xlfn.MINIFS('FIRE TEX 5090'!$J$5:$J$43,'FIRE TEX 5090'!$J$5:$J$43,"&gt;="&amp;M571),'FIRE TEX 5090'!$J$5:$P$43,IF(L571="F-15",2,IF(L571="F-30",3,IF(L571="F-60",4,IF(L571="F-90",5,IF(L571="F-120",6,IF(L571="F-150",7,0)))))),0),0)+IF(AND(O571="FIRE TEX 5090",E571="CJ",J571=3),VLOOKUP(_xlfn.MINIFS('FIRE TEX 5090'!$R$5:$R$30,'FIRE TEX 5090'!$R$5:$R$30,"&gt;="&amp;M571),'FIRE TEX 5090'!$R$5:$W$30,IF(L571="F-15",2,IF(L571="F-30",3,IF(L571="F-60",4,IF(L571="F-90",5,IF(L571="F-120",6,IF(L571="F-150",7,0)))))),0),0)+IF(AND(O571="FIRE TEX 5090",E571="CJ",J571=4),VLOOKUP(_xlfn.MINIFS('FIRE TEX 5090'!$Y$5:$Y$39,'FIRE TEX 5090'!$Y$5:$Y$39,"&gt;="&amp;M571),'FIRE TEX 5090'!$Y$5:$AD$39,IF(L571="F-15",2,IF(L571="F-30",3,IF(L571="F-60",4,IF(L571="F-90",5,IF(L571="F-120",6,IF(L571="F-150",7,0)))))),0),0)+IF(AND(O571="FIRE TEX 5120",OR(E571="IN",E571="C",E571="Z",E571="L"),J571=3),VLOOKUP(_xlfn.MINIFS('FIRE TEX 5120'!$B$5:$B$40,'FIRE TEX 5120'!$B$5:$B$40,"&gt;="&amp;M571),'FIRE TEX 5120'!$B$5:$G$40,IF(L571="F-15",2,IF(L571="F-30",3,IF(L571="F-60",4,IF(L571="F-90",5,IF(L571="F-120",6,0))))),0),0)+IF(AND(O571="FIRE TEX 5120",OR(E571="IN",E571="C",E571="Z",E571="L"),J571=4),VLOOKUP(_xlfn.MINIFS('FIRE TEX 5120'!$H$4:$H$40,'FIRE TEX 5120'!$H$4:$H$40,"&gt;="&amp;M571),'FIRE TEX 5120'!$H$4:$M$40,IF(L571="F-15",2,IF(L571="F-30",3,IF(L571="F-60",4,IF(L571="F-90",5,IF(L571="F-120",6,0))))),0),0)+IF(AND(O571="FIRE TEX 5120",E571="CJ"),VLOOKUP(_xlfn.MINIFS('FIRE TEX 5120'!$O$5:$O$40,'FIRE TEX 5120'!$O$5:$O$40,"&gt;="&amp;M571),'FIRE TEX 5120'!$O$5:$T$40,IF(L571="F-15",2,IF(L571="F-30",3,IF(L571="F-60",4,IF(L571="F-90",5,IF(L571="F-120",6,0))))),0),0)</f>
        <v>0</v>
      </c>
      <c r="Q571" s="46">
        <f t="shared" si="64"/>
        <v>0</v>
      </c>
      <c r="R571" s="46">
        <f t="shared" si="65"/>
        <v>0</v>
      </c>
      <c r="S571" s="46" t="e">
        <f t="shared" si="66"/>
        <v>#VALUE!</v>
      </c>
      <c r="T571" s="677">
        <f t="shared" si="67"/>
        <v>0</v>
      </c>
      <c r="U571" s="80">
        <f>(IF(O571="Stofire",(S571*#REF!),0))+(IF(O571="Fire Control",(S571*$U$2),0))+(IF(O571="Fire Tex",(S571*$U$3),0))+(IF(O571="WB7",(S571*#REF!),0)+(IF(O571="FX 2003",(S571*$U$5),0)))</f>
        <v>0</v>
      </c>
      <c r="V571" s="651">
        <f t="shared" si="68"/>
        <v>0</v>
      </c>
    </row>
    <row r="572" spans="4:22" x14ac:dyDescent="0.25">
      <c r="D572" s="118">
        <f>+CUBICACION!D571</f>
        <v>0</v>
      </c>
      <c r="E572" s="118">
        <f>+CUBICACION!F571</f>
        <v>0</v>
      </c>
      <c r="F572" s="118">
        <f>+CUBICACION!E571</f>
        <v>0</v>
      </c>
      <c r="G572" s="118">
        <v>12</v>
      </c>
      <c r="H572" s="118">
        <v>2</v>
      </c>
      <c r="I572" s="820">
        <v>26385</v>
      </c>
      <c r="J572" s="118">
        <f>+CUBICACION!J571</f>
        <v>0</v>
      </c>
      <c r="K572" s="118">
        <v>3351</v>
      </c>
      <c r="L572" s="118">
        <f>+CUBICACION!L571</f>
        <v>0</v>
      </c>
      <c r="M572" s="64">
        <f>+CUBICACION!M571</f>
        <v>0</v>
      </c>
      <c r="N572" s="824" t="str">
        <f>+CUBICACION!N571</f>
        <v/>
      </c>
      <c r="O572" s="675">
        <f>+CUBICACION!O571</f>
        <v>0</v>
      </c>
      <c r="P572" s="15">
        <f>IF(O572="Fire Control",VLOOKUP(_xlfn.MINIFS('FIRE CONTROL'!$C$4:$C$37,'FIRE CONTROL'!$C$4:$C$37,"&gt;="&amp;M572),'FIRE CONTROL'!$C$4:$G$37,IF(L572="F-15",2,IF(L572="F-30",3,IF(L572="F-60",4,IF(L572="F-90",5,0)))),0),0)+IF(AND(O572="FIRE TEX 5062",OR(E572="IN",E572="C",E572="Z",E572="L"),J572=3),VLOOKUP(_xlfn.MINIFS('FIRE TEX 5062'!$B$4:$B$34,'FIRE TEX 5062'!$B$4:$B$34,"&gt;="&amp;M572),'FIRE TEX 5062'!$B$4:$F$34,IF(L572="F-15",2,IF(L572="F-30",3,IF(L572="F-60",4,IF(L572="F-90",5,0)))),0),0)+IF(AND(O572="FIRE TEX 5062",OR(E572="IN",E572="C",E572="Z",E572="L"),J572=4),VLOOKUP(_xlfn.MINIFS('FIRE TEX 5062'!$G$4:$G$34,'FIRE TEX 5062'!$G$4:$G$34,"&gt;="&amp;M572),'FIRE TEX 5062'!$G$4:$K$34,IF(L572="F-15",2,IF(L572="F-30",3,IF(L572="F-60",4,IF(L572="F-90",5,0)))),0),0)+IF(AND(O572="FIRE TEX 5062",E572="CJ",J572=3),VLOOKUP(_xlfn.MINIFS('FIRE TEX 5062'!$L$4:$L$34,'FIRE TEX 5062'!$L$4:$L$34,"&gt;="&amp;M572),'FIRE TEX 5062'!$L$4:$P$34,IF(L572="F-15",2,IF(L572="F-30",3,IF(L572="F-60",4,IF(L572="F-90",5,0)))),0),0)+IF(AND(O572="FIRE TEX 5062",E572="CJ",J572=4),VLOOKUP(_xlfn.MINIFS('FIRE TEX 5062'!$Q$3:$Q$34,'FIRE TEX 5062'!$Q$3:$Q$34,"&gt;="&amp;M572),'FIRE TEX 5062'!$Q$3:$U$34,IF(L572="F-15",2,IF(L572="F-30",3,IF(L572="F-60",4,IF(L572="F-90",5,0)))),0),0)+IF(AND(O572="FIRE TEX 5090",OR(E572="IN",E572="C",E572="Z",E572="L"),J572=3),VLOOKUP(_xlfn.MINIFS('FIRE TEX 5090'!$B$5:$B$43,'FIRE TEX 5090'!$B$5:$B$43,"&gt;="&amp;M572),'FIRE TEX 5090'!$B$5:$H$43,IF(L572="F-15",2,IF(L572="F-30",3,IF(L572="F-60",4,IF(L572="F-90",5,IF(L572="F-120",6,IF(L572="F-150",7,0)))))),0),0)+IF(AND(O572="FIRE TEX 5090",OR(E572="IN",E572="C",E572="Z",E572="L"),J572=4),VLOOKUP(_xlfn.MINIFS('FIRE TEX 5090'!$J$5:$J$43,'FIRE TEX 5090'!$J$5:$J$43,"&gt;="&amp;M572),'FIRE TEX 5090'!$J$5:$P$43,IF(L572="F-15",2,IF(L572="F-30",3,IF(L572="F-60",4,IF(L572="F-90",5,IF(L572="F-120",6,IF(L572="F-150",7,0)))))),0),0)+IF(AND(O572="FIRE TEX 5090",E572="CJ",J572=3),VLOOKUP(_xlfn.MINIFS('FIRE TEX 5090'!$R$5:$R$30,'FIRE TEX 5090'!$R$5:$R$30,"&gt;="&amp;M572),'FIRE TEX 5090'!$R$5:$W$30,IF(L572="F-15",2,IF(L572="F-30",3,IF(L572="F-60",4,IF(L572="F-90",5,IF(L572="F-120",6,IF(L572="F-150",7,0)))))),0),0)+IF(AND(O572="FIRE TEX 5090",E572="CJ",J572=4),VLOOKUP(_xlfn.MINIFS('FIRE TEX 5090'!$Y$5:$Y$39,'FIRE TEX 5090'!$Y$5:$Y$39,"&gt;="&amp;M572),'FIRE TEX 5090'!$Y$5:$AD$39,IF(L572="F-15",2,IF(L572="F-30",3,IF(L572="F-60",4,IF(L572="F-90",5,IF(L572="F-120",6,IF(L572="F-150",7,0)))))),0),0)+IF(AND(O572="FIRE TEX 5120",OR(E572="IN",E572="C",E572="Z",E572="L"),J572=3),VLOOKUP(_xlfn.MINIFS('FIRE TEX 5120'!$B$5:$B$40,'FIRE TEX 5120'!$B$5:$B$40,"&gt;="&amp;M572),'FIRE TEX 5120'!$B$5:$G$40,IF(L572="F-15",2,IF(L572="F-30",3,IF(L572="F-60",4,IF(L572="F-90",5,IF(L572="F-120",6,0))))),0),0)+IF(AND(O572="FIRE TEX 5120",OR(E572="IN",E572="C",E572="Z",E572="L"),J572=4),VLOOKUP(_xlfn.MINIFS('FIRE TEX 5120'!$H$4:$H$40,'FIRE TEX 5120'!$H$4:$H$40,"&gt;="&amp;M572),'FIRE TEX 5120'!$H$4:$M$40,IF(L572="F-15",2,IF(L572="F-30",3,IF(L572="F-60",4,IF(L572="F-90",5,IF(L572="F-120",6,0))))),0),0)+IF(AND(O572="FIRE TEX 5120",E572="CJ"),VLOOKUP(_xlfn.MINIFS('FIRE TEX 5120'!$O$5:$O$40,'FIRE TEX 5120'!$O$5:$O$40,"&gt;="&amp;M572),'FIRE TEX 5120'!$O$5:$T$40,IF(L572="F-15",2,IF(L572="F-30",3,IF(L572="F-60",4,IF(L572="F-90",5,IF(L572="F-120",6,0))))),0),0)</f>
        <v>0</v>
      </c>
      <c r="Q572" s="46">
        <f t="shared" si="64"/>
        <v>0</v>
      </c>
      <c r="R572" s="46">
        <f t="shared" si="65"/>
        <v>0</v>
      </c>
      <c r="S572" s="46" t="e">
        <f t="shared" si="66"/>
        <v>#VALUE!</v>
      </c>
      <c r="T572" s="677">
        <f t="shared" si="67"/>
        <v>0</v>
      </c>
      <c r="U572" s="80">
        <f>(IF(O572="Stofire",(S572*#REF!),0))+(IF(O572="Fire Control",(S572*$U$2),0))+(IF(O572="Fire Tex",(S572*$U$3),0))+(IF(O572="WB7",(S572*#REF!),0)+(IF(O572="FX 2003",(S572*$U$5),0)))</f>
        <v>0</v>
      </c>
      <c r="V572" s="651">
        <f t="shared" si="68"/>
        <v>0</v>
      </c>
    </row>
    <row r="573" spans="4:22" x14ac:dyDescent="0.25">
      <c r="D573" s="118">
        <f>+CUBICACION!D572</f>
        <v>0</v>
      </c>
      <c r="E573" s="118">
        <f>+CUBICACION!F572</f>
        <v>0</v>
      </c>
      <c r="F573" s="118">
        <f>+CUBICACION!E572</f>
        <v>0</v>
      </c>
      <c r="G573" s="118">
        <v>12</v>
      </c>
      <c r="H573" s="118">
        <v>2</v>
      </c>
      <c r="I573" s="820">
        <v>26385</v>
      </c>
      <c r="J573" s="118">
        <f>+CUBICACION!J572</f>
        <v>0</v>
      </c>
      <c r="K573" s="118">
        <v>3352</v>
      </c>
      <c r="L573" s="118">
        <f>+CUBICACION!L572</f>
        <v>0</v>
      </c>
      <c r="M573" s="64">
        <f>+CUBICACION!M572</f>
        <v>0</v>
      </c>
      <c r="N573" s="824" t="str">
        <f>+CUBICACION!N572</f>
        <v/>
      </c>
      <c r="O573" s="675">
        <f>+CUBICACION!O572</f>
        <v>0</v>
      </c>
      <c r="P573" s="15">
        <f>IF(O573="Fire Control",VLOOKUP(_xlfn.MINIFS('FIRE CONTROL'!$C$4:$C$37,'FIRE CONTROL'!$C$4:$C$37,"&gt;="&amp;M573),'FIRE CONTROL'!$C$4:$G$37,IF(L573="F-15",2,IF(L573="F-30",3,IF(L573="F-60",4,IF(L573="F-90",5,0)))),0),0)+IF(AND(O573="FIRE TEX 5062",OR(E573="IN",E573="C",E573="Z",E573="L"),J573=3),VLOOKUP(_xlfn.MINIFS('FIRE TEX 5062'!$B$4:$B$34,'FIRE TEX 5062'!$B$4:$B$34,"&gt;="&amp;M573),'FIRE TEX 5062'!$B$4:$F$34,IF(L573="F-15",2,IF(L573="F-30",3,IF(L573="F-60",4,IF(L573="F-90",5,0)))),0),0)+IF(AND(O573="FIRE TEX 5062",OR(E573="IN",E573="C",E573="Z",E573="L"),J573=4),VLOOKUP(_xlfn.MINIFS('FIRE TEX 5062'!$G$4:$G$34,'FIRE TEX 5062'!$G$4:$G$34,"&gt;="&amp;M573),'FIRE TEX 5062'!$G$4:$K$34,IF(L573="F-15",2,IF(L573="F-30",3,IF(L573="F-60",4,IF(L573="F-90",5,0)))),0),0)+IF(AND(O573="FIRE TEX 5062",E573="CJ",J573=3),VLOOKUP(_xlfn.MINIFS('FIRE TEX 5062'!$L$4:$L$34,'FIRE TEX 5062'!$L$4:$L$34,"&gt;="&amp;M573),'FIRE TEX 5062'!$L$4:$P$34,IF(L573="F-15",2,IF(L573="F-30",3,IF(L573="F-60",4,IF(L573="F-90",5,0)))),0),0)+IF(AND(O573="FIRE TEX 5062",E573="CJ",J573=4),VLOOKUP(_xlfn.MINIFS('FIRE TEX 5062'!$Q$3:$Q$34,'FIRE TEX 5062'!$Q$3:$Q$34,"&gt;="&amp;M573),'FIRE TEX 5062'!$Q$3:$U$34,IF(L573="F-15",2,IF(L573="F-30",3,IF(L573="F-60",4,IF(L573="F-90",5,0)))),0),0)+IF(AND(O573="FIRE TEX 5090",OR(E573="IN",E573="C",E573="Z",E573="L"),J573=3),VLOOKUP(_xlfn.MINIFS('FIRE TEX 5090'!$B$5:$B$43,'FIRE TEX 5090'!$B$5:$B$43,"&gt;="&amp;M573),'FIRE TEX 5090'!$B$5:$H$43,IF(L573="F-15",2,IF(L573="F-30",3,IF(L573="F-60",4,IF(L573="F-90",5,IF(L573="F-120",6,IF(L573="F-150",7,0)))))),0),0)+IF(AND(O573="FIRE TEX 5090",OR(E573="IN",E573="C",E573="Z",E573="L"),J573=4),VLOOKUP(_xlfn.MINIFS('FIRE TEX 5090'!$J$5:$J$43,'FIRE TEX 5090'!$J$5:$J$43,"&gt;="&amp;M573),'FIRE TEX 5090'!$J$5:$P$43,IF(L573="F-15",2,IF(L573="F-30",3,IF(L573="F-60",4,IF(L573="F-90",5,IF(L573="F-120",6,IF(L573="F-150",7,0)))))),0),0)+IF(AND(O573="FIRE TEX 5090",E573="CJ",J573=3),VLOOKUP(_xlfn.MINIFS('FIRE TEX 5090'!$R$5:$R$30,'FIRE TEX 5090'!$R$5:$R$30,"&gt;="&amp;M573),'FIRE TEX 5090'!$R$5:$W$30,IF(L573="F-15",2,IF(L573="F-30",3,IF(L573="F-60",4,IF(L573="F-90",5,IF(L573="F-120",6,IF(L573="F-150",7,0)))))),0),0)+IF(AND(O573="FIRE TEX 5090",E573="CJ",J573=4),VLOOKUP(_xlfn.MINIFS('FIRE TEX 5090'!$Y$5:$Y$39,'FIRE TEX 5090'!$Y$5:$Y$39,"&gt;="&amp;M573),'FIRE TEX 5090'!$Y$5:$AD$39,IF(L573="F-15",2,IF(L573="F-30",3,IF(L573="F-60",4,IF(L573="F-90",5,IF(L573="F-120",6,IF(L573="F-150",7,0)))))),0),0)+IF(AND(O573="FIRE TEX 5120",OR(E573="IN",E573="C",E573="Z",E573="L"),J573=3),VLOOKUP(_xlfn.MINIFS('FIRE TEX 5120'!$B$5:$B$40,'FIRE TEX 5120'!$B$5:$B$40,"&gt;="&amp;M573),'FIRE TEX 5120'!$B$5:$G$40,IF(L573="F-15",2,IF(L573="F-30",3,IF(L573="F-60",4,IF(L573="F-90",5,IF(L573="F-120",6,0))))),0),0)+IF(AND(O573="FIRE TEX 5120",OR(E573="IN",E573="C",E573="Z",E573="L"),J573=4),VLOOKUP(_xlfn.MINIFS('FIRE TEX 5120'!$H$4:$H$40,'FIRE TEX 5120'!$H$4:$H$40,"&gt;="&amp;M573),'FIRE TEX 5120'!$H$4:$M$40,IF(L573="F-15",2,IF(L573="F-30",3,IF(L573="F-60",4,IF(L573="F-90",5,IF(L573="F-120",6,0))))),0),0)+IF(AND(O573="FIRE TEX 5120",E573="CJ"),VLOOKUP(_xlfn.MINIFS('FIRE TEX 5120'!$O$5:$O$40,'FIRE TEX 5120'!$O$5:$O$40,"&gt;="&amp;M573),'FIRE TEX 5120'!$O$5:$T$40,IF(L573="F-15",2,IF(L573="F-30",3,IF(L573="F-60",4,IF(L573="F-90",5,IF(L573="F-120",6,0))))),0),0)</f>
        <v>0</v>
      </c>
      <c r="Q573" s="46">
        <f t="shared" si="64"/>
        <v>0</v>
      </c>
      <c r="R573" s="46">
        <f t="shared" si="65"/>
        <v>0</v>
      </c>
      <c r="S573" s="46" t="e">
        <f t="shared" si="66"/>
        <v>#VALUE!</v>
      </c>
      <c r="T573" s="677">
        <f t="shared" si="67"/>
        <v>0</v>
      </c>
      <c r="U573" s="80">
        <f>(IF(O573="Stofire",(S573*#REF!),0))+(IF(O573="Fire Control",(S573*$U$2),0))+(IF(O573="Fire Tex",(S573*$U$3),0))+(IF(O573="WB7",(S573*#REF!),0)+(IF(O573="FX 2003",(S573*$U$5),0)))</f>
        <v>0</v>
      </c>
      <c r="V573" s="651">
        <f t="shared" si="68"/>
        <v>0</v>
      </c>
    </row>
    <row r="574" spans="4:22" x14ac:dyDescent="0.25">
      <c r="D574" s="118">
        <f>+CUBICACION!D573</f>
        <v>0</v>
      </c>
      <c r="E574" s="118">
        <f>+CUBICACION!F573</f>
        <v>0</v>
      </c>
      <c r="F574" s="118">
        <f>+CUBICACION!E573</f>
        <v>0</v>
      </c>
      <c r="G574" s="118">
        <v>12</v>
      </c>
      <c r="H574" s="118">
        <v>2</v>
      </c>
      <c r="I574" s="820">
        <v>26385</v>
      </c>
      <c r="J574" s="118">
        <f>+CUBICACION!J573</f>
        <v>0</v>
      </c>
      <c r="K574" s="118">
        <v>3353</v>
      </c>
      <c r="L574" s="118">
        <f>+CUBICACION!L573</f>
        <v>0</v>
      </c>
      <c r="M574" s="64">
        <f>+CUBICACION!M573</f>
        <v>0</v>
      </c>
      <c r="N574" s="824" t="str">
        <f>+CUBICACION!N573</f>
        <v/>
      </c>
      <c r="O574" s="675">
        <f>+CUBICACION!O573</f>
        <v>0</v>
      </c>
      <c r="P574" s="15">
        <f>IF(O574="Fire Control",VLOOKUP(_xlfn.MINIFS('FIRE CONTROL'!$C$4:$C$37,'FIRE CONTROL'!$C$4:$C$37,"&gt;="&amp;M574),'FIRE CONTROL'!$C$4:$G$37,IF(L574="F-15",2,IF(L574="F-30",3,IF(L574="F-60",4,IF(L574="F-90",5,0)))),0),0)+IF(AND(O574="FIRE TEX 5062",OR(E574="IN",E574="C",E574="Z",E574="L"),J574=3),VLOOKUP(_xlfn.MINIFS('FIRE TEX 5062'!$B$4:$B$34,'FIRE TEX 5062'!$B$4:$B$34,"&gt;="&amp;M574),'FIRE TEX 5062'!$B$4:$F$34,IF(L574="F-15",2,IF(L574="F-30",3,IF(L574="F-60",4,IF(L574="F-90",5,0)))),0),0)+IF(AND(O574="FIRE TEX 5062",OR(E574="IN",E574="C",E574="Z",E574="L"),J574=4),VLOOKUP(_xlfn.MINIFS('FIRE TEX 5062'!$G$4:$G$34,'FIRE TEX 5062'!$G$4:$G$34,"&gt;="&amp;M574),'FIRE TEX 5062'!$G$4:$K$34,IF(L574="F-15",2,IF(L574="F-30",3,IF(L574="F-60",4,IF(L574="F-90",5,0)))),0),0)+IF(AND(O574="FIRE TEX 5062",E574="CJ",J574=3),VLOOKUP(_xlfn.MINIFS('FIRE TEX 5062'!$L$4:$L$34,'FIRE TEX 5062'!$L$4:$L$34,"&gt;="&amp;M574),'FIRE TEX 5062'!$L$4:$P$34,IF(L574="F-15",2,IF(L574="F-30",3,IF(L574="F-60",4,IF(L574="F-90",5,0)))),0),0)+IF(AND(O574="FIRE TEX 5062",E574="CJ",J574=4),VLOOKUP(_xlfn.MINIFS('FIRE TEX 5062'!$Q$3:$Q$34,'FIRE TEX 5062'!$Q$3:$Q$34,"&gt;="&amp;M574),'FIRE TEX 5062'!$Q$3:$U$34,IF(L574="F-15",2,IF(L574="F-30",3,IF(L574="F-60",4,IF(L574="F-90",5,0)))),0),0)+IF(AND(O574="FIRE TEX 5090",OR(E574="IN",E574="C",E574="Z",E574="L"),J574=3),VLOOKUP(_xlfn.MINIFS('FIRE TEX 5090'!$B$5:$B$43,'FIRE TEX 5090'!$B$5:$B$43,"&gt;="&amp;M574),'FIRE TEX 5090'!$B$5:$H$43,IF(L574="F-15",2,IF(L574="F-30",3,IF(L574="F-60",4,IF(L574="F-90",5,IF(L574="F-120",6,IF(L574="F-150",7,0)))))),0),0)+IF(AND(O574="FIRE TEX 5090",OR(E574="IN",E574="C",E574="Z",E574="L"),J574=4),VLOOKUP(_xlfn.MINIFS('FIRE TEX 5090'!$J$5:$J$43,'FIRE TEX 5090'!$J$5:$J$43,"&gt;="&amp;M574),'FIRE TEX 5090'!$J$5:$P$43,IF(L574="F-15",2,IF(L574="F-30",3,IF(L574="F-60",4,IF(L574="F-90",5,IF(L574="F-120",6,IF(L574="F-150",7,0)))))),0),0)+IF(AND(O574="FIRE TEX 5090",E574="CJ",J574=3),VLOOKUP(_xlfn.MINIFS('FIRE TEX 5090'!$R$5:$R$30,'FIRE TEX 5090'!$R$5:$R$30,"&gt;="&amp;M574),'FIRE TEX 5090'!$R$5:$W$30,IF(L574="F-15",2,IF(L574="F-30",3,IF(L574="F-60",4,IF(L574="F-90",5,IF(L574="F-120",6,IF(L574="F-150",7,0)))))),0),0)+IF(AND(O574="FIRE TEX 5090",E574="CJ",J574=4),VLOOKUP(_xlfn.MINIFS('FIRE TEX 5090'!$Y$5:$Y$39,'FIRE TEX 5090'!$Y$5:$Y$39,"&gt;="&amp;M574),'FIRE TEX 5090'!$Y$5:$AD$39,IF(L574="F-15",2,IF(L574="F-30",3,IF(L574="F-60",4,IF(L574="F-90",5,IF(L574="F-120",6,IF(L574="F-150",7,0)))))),0),0)+IF(AND(O574="FIRE TEX 5120",OR(E574="IN",E574="C",E574="Z",E574="L"),J574=3),VLOOKUP(_xlfn.MINIFS('FIRE TEX 5120'!$B$5:$B$40,'FIRE TEX 5120'!$B$5:$B$40,"&gt;="&amp;M574),'FIRE TEX 5120'!$B$5:$G$40,IF(L574="F-15",2,IF(L574="F-30",3,IF(L574="F-60",4,IF(L574="F-90",5,IF(L574="F-120",6,0))))),0),0)+IF(AND(O574="FIRE TEX 5120",OR(E574="IN",E574="C",E574="Z",E574="L"),J574=4),VLOOKUP(_xlfn.MINIFS('FIRE TEX 5120'!$H$4:$H$40,'FIRE TEX 5120'!$H$4:$H$40,"&gt;="&amp;M574),'FIRE TEX 5120'!$H$4:$M$40,IF(L574="F-15",2,IF(L574="F-30",3,IF(L574="F-60",4,IF(L574="F-90",5,IF(L574="F-120",6,0))))),0),0)+IF(AND(O574="FIRE TEX 5120",E574="CJ"),VLOOKUP(_xlfn.MINIFS('FIRE TEX 5120'!$O$5:$O$40,'FIRE TEX 5120'!$O$5:$O$40,"&gt;="&amp;M574),'FIRE TEX 5120'!$O$5:$T$40,IF(L574="F-15",2,IF(L574="F-30",3,IF(L574="F-60",4,IF(L574="F-90",5,IF(L574="F-120",6,0))))),0),0)</f>
        <v>0</v>
      </c>
      <c r="Q574" s="46">
        <f t="shared" si="64"/>
        <v>0</v>
      </c>
      <c r="R574" s="46">
        <f t="shared" si="65"/>
        <v>0</v>
      </c>
      <c r="S574" s="46" t="e">
        <f t="shared" si="66"/>
        <v>#VALUE!</v>
      </c>
      <c r="T574" s="677">
        <f t="shared" si="67"/>
        <v>0</v>
      </c>
      <c r="U574" s="80">
        <f>(IF(O574="Stofire",(S574*#REF!),0))+(IF(O574="Fire Control",(S574*$U$2),0))+(IF(O574="Fire Tex",(S574*$U$3),0))+(IF(O574="WB7",(S574*#REF!),0)+(IF(O574="FX 2003",(S574*$U$5),0)))</f>
        <v>0</v>
      </c>
      <c r="V574" s="651">
        <f t="shared" si="68"/>
        <v>0</v>
      </c>
    </row>
    <row r="575" spans="4:22" x14ac:dyDescent="0.25">
      <c r="D575" s="118">
        <f>+CUBICACION!D574</f>
        <v>0</v>
      </c>
      <c r="E575" s="118">
        <f>+CUBICACION!F574</f>
        <v>0</v>
      </c>
      <c r="F575" s="118">
        <f>+CUBICACION!E574</f>
        <v>0</v>
      </c>
      <c r="G575" s="118">
        <v>12</v>
      </c>
      <c r="H575" s="118">
        <v>2</v>
      </c>
      <c r="I575" s="820">
        <v>26385</v>
      </c>
      <c r="J575" s="118">
        <f>+CUBICACION!J574</f>
        <v>0</v>
      </c>
      <c r="K575" s="118">
        <v>3354</v>
      </c>
      <c r="L575" s="118">
        <f>+CUBICACION!L574</f>
        <v>0</v>
      </c>
      <c r="M575" s="64">
        <f>+CUBICACION!M574</f>
        <v>0</v>
      </c>
      <c r="N575" s="824" t="str">
        <f>+CUBICACION!N574</f>
        <v/>
      </c>
      <c r="O575" s="675">
        <f>+CUBICACION!O574</f>
        <v>0</v>
      </c>
      <c r="P575" s="15">
        <f>IF(O575="Fire Control",VLOOKUP(_xlfn.MINIFS('FIRE CONTROL'!$C$4:$C$37,'FIRE CONTROL'!$C$4:$C$37,"&gt;="&amp;M575),'FIRE CONTROL'!$C$4:$G$37,IF(L575="F-15",2,IF(L575="F-30",3,IF(L575="F-60",4,IF(L575="F-90",5,0)))),0),0)+IF(AND(O575="FIRE TEX 5062",OR(E575="IN",E575="C",E575="Z",E575="L"),J575=3),VLOOKUP(_xlfn.MINIFS('FIRE TEX 5062'!$B$4:$B$34,'FIRE TEX 5062'!$B$4:$B$34,"&gt;="&amp;M575),'FIRE TEX 5062'!$B$4:$F$34,IF(L575="F-15",2,IF(L575="F-30",3,IF(L575="F-60",4,IF(L575="F-90",5,0)))),0),0)+IF(AND(O575="FIRE TEX 5062",OR(E575="IN",E575="C",E575="Z",E575="L"),J575=4),VLOOKUP(_xlfn.MINIFS('FIRE TEX 5062'!$G$4:$G$34,'FIRE TEX 5062'!$G$4:$G$34,"&gt;="&amp;M575),'FIRE TEX 5062'!$G$4:$K$34,IF(L575="F-15",2,IF(L575="F-30",3,IF(L575="F-60",4,IF(L575="F-90",5,0)))),0),0)+IF(AND(O575="FIRE TEX 5062",E575="CJ",J575=3),VLOOKUP(_xlfn.MINIFS('FIRE TEX 5062'!$L$4:$L$34,'FIRE TEX 5062'!$L$4:$L$34,"&gt;="&amp;M575),'FIRE TEX 5062'!$L$4:$P$34,IF(L575="F-15",2,IF(L575="F-30",3,IF(L575="F-60",4,IF(L575="F-90",5,0)))),0),0)+IF(AND(O575="FIRE TEX 5062",E575="CJ",J575=4),VLOOKUP(_xlfn.MINIFS('FIRE TEX 5062'!$Q$3:$Q$34,'FIRE TEX 5062'!$Q$3:$Q$34,"&gt;="&amp;M575),'FIRE TEX 5062'!$Q$3:$U$34,IF(L575="F-15",2,IF(L575="F-30",3,IF(L575="F-60",4,IF(L575="F-90",5,0)))),0),0)+IF(AND(O575="FIRE TEX 5090",OR(E575="IN",E575="C",E575="Z",E575="L"),J575=3),VLOOKUP(_xlfn.MINIFS('FIRE TEX 5090'!$B$5:$B$43,'FIRE TEX 5090'!$B$5:$B$43,"&gt;="&amp;M575),'FIRE TEX 5090'!$B$5:$H$43,IF(L575="F-15",2,IF(L575="F-30",3,IF(L575="F-60",4,IF(L575="F-90",5,IF(L575="F-120",6,IF(L575="F-150",7,0)))))),0),0)+IF(AND(O575="FIRE TEX 5090",OR(E575="IN",E575="C",E575="Z",E575="L"),J575=4),VLOOKUP(_xlfn.MINIFS('FIRE TEX 5090'!$J$5:$J$43,'FIRE TEX 5090'!$J$5:$J$43,"&gt;="&amp;M575),'FIRE TEX 5090'!$J$5:$P$43,IF(L575="F-15",2,IF(L575="F-30",3,IF(L575="F-60",4,IF(L575="F-90",5,IF(L575="F-120",6,IF(L575="F-150",7,0)))))),0),0)+IF(AND(O575="FIRE TEX 5090",E575="CJ",J575=3),VLOOKUP(_xlfn.MINIFS('FIRE TEX 5090'!$R$5:$R$30,'FIRE TEX 5090'!$R$5:$R$30,"&gt;="&amp;M575),'FIRE TEX 5090'!$R$5:$W$30,IF(L575="F-15",2,IF(L575="F-30",3,IF(L575="F-60",4,IF(L575="F-90",5,IF(L575="F-120",6,IF(L575="F-150",7,0)))))),0),0)+IF(AND(O575="FIRE TEX 5090",E575="CJ",J575=4),VLOOKUP(_xlfn.MINIFS('FIRE TEX 5090'!$Y$5:$Y$39,'FIRE TEX 5090'!$Y$5:$Y$39,"&gt;="&amp;M575),'FIRE TEX 5090'!$Y$5:$AD$39,IF(L575="F-15",2,IF(L575="F-30",3,IF(L575="F-60",4,IF(L575="F-90",5,IF(L575="F-120",6,IF(L575="F-150",7,0)))))),0),0)+IF(AND(O575="FIRE TEX 5120",OR(E575="IN",E575="C",E575="Z",E575="L"),J575=3),VLOOKUP(_xlfn.MINIFS('FIRE TEX 5120'!$B$5:$B$40,'FIRE TEX 5120'!$B$5:$B$40,"&gt;="&amp;M575),'FIRE TEX 5120'!$B$5:$G$40,IF(L575="F-15",2,IF(L575="F-30",3,IF(L575="F-60",4,IF(L575="F-90",5,IF(L575="F-120",6,0))))),0),0)+IF(AND(O575="FIRE TEX 5120",OR(E575="IN",E575="C",E575="Z",E575="L"),J575=4),VLOOKUP(_xlfn.MINIFS('FIRE TEX 5120'!$H$4:$H$40,'FIRE TEX 5120'!$H$4:$H$40,"&gt;="&amp;M575),'FIRE TEX 5120'!$H$4:$M$40,IF(L575="F-15",2,IF(L575="F-30",3,IF(L575="F-60",4,IF(L575="F-90",5,IF(L575="F-120",6,0))))),0),0)+IF(AND(O575="FIRE TEX 5120",E575="CJ"),VLOOKUP(_xlfn.MINIFS('FIRE TEX 5120'!$O$5:$O$40,'FIRE TEX 5120'!$O$5:$O$40,"&gt;="&amp;M575),'FIRE TEX 5120'!$O$5:$T$40,IF(L575="F-15",2,IF(L575="F-30",3,IF(L575="F-60",4,IF(L575="F-90",5,IF(L575="F-120",6,0))))),0),0)</f>
        <v>0</v>
      </c>
      <c r="Q575" s="46">
        <f t="shared" si="64"/>
        <v>0</v>
      </c>
      <c r="R575" s="46">
        <f t="shared" si="65"/>
        <v>0</v>
      </c>
      <c r="S575" s="46" t="e">
        <f t="shared" si="66"/>
        <v>#VALUE!</v>
      </c>
      <c r="T575" s="677">
        <f t="shared" si="67"/>
        <v>0</v>
      </c>
      <c r="U575" s="80">
        <f>(IF(O575="Stofire",(S575*#REF!),0))+(IF(O575="Fire Control",(S575*$U$2),0))+(IF(O575="Fire Tex",(S575*$U$3),0))+(IF(O575="WB7",(S575*#REF!),0)+(IF(O575="FX 2003",(S575*$U$5),0)))</f>
        <v>0</v>
      </c>
      <c r="V575" s="651">
        <f t="shared" si="68"/>
        <v>0</v>
      </c>
    </row>
    <row r="576" spans="4:22" x14ac:dyDescent="0.25">
      <c r="D576" s="118">
        <f>+CUBICACION!D575</f>
        <v>0</v>
      </c>
      <c r="E576" s="118">
        <f>+CUBICACION!F575</f>
        <v>0</v>
      </c>
      <c r="F576" s="118">
        <f>+CUBICACION!E575</f>
        <v>0</v>
      </c>
      <c r="G576" s="118">
        <v>12</v>
      </c>
      <c r="H576" s="118">
        <v>2</v>
      </c>
      <c r="I576" s="820">
        <v>26385</v>
      </c>
      <c r="J576" s="118">
        <f>+CUBICACION!J575</f>
        <v>0</v>
      </c>
      <c r="K576" s="118">
        <v>3355</v>
      </c>
      <c r="L576" s="118">
        <f>+CUBICACION!L575</f>
        <v>0</v>
      </c>
      <c r="M576" s="64">
        <f>+CUBICACION!M575</f>
        <v>0</v>
      </c>
      <c r="N576" s="824" t="str">
        <f>+CUBICACION!N575</f>
        <v/>
      </c>
      <c r="O576" s="675">
        <f>+CUBICACION!O575</f>
        <v>0</v>
      </c>
      <c r="P576" s="15">
        <f>IF(O576="Fire Control",VLOOKUP(_xlfn.MINIFS('FIRE CONTROL'!$C$4:$C$37,'FIRE CONTROL'!$C$4:$C$37,"&gt;="&amp;M576),'FIRE CONTROL'!$C$4:$G$37,IF(L576="F-15",2,IF(L576="F-30",3,IF(L576="F-60",4,IF(L576="F-90",5,0)))),0),0)+IF(AND(O576="FIRE TEX 5062",OR(E576="IN",E576="C",E576="Z",E576="L"),J576=3),VLOOKUP(_xlfn.MINIFS('FIRE TEX 5062'!$B$4:$B$34,'FIRE TEX 5062'!$B$4:$B$34,"&gt;="&amp;M576),'FIRE TEX 5062'!$B$4:$F$34,IF(L576="F-15",2,IF(L576="F-30",3,IF(L576="F-60",4,IF(L576="F-90",5,0)))),0),0)+IF(AND(O576="FIRE TEX 5062",OR(E576="IN",E576="C",E576="Z",E576="L"),J576=4),VLOOKUP(_xlfn.MINIFS('FIRE TEX 5062'!$G$4:$G$34,'FIRE TEX 5062'!$G$4:$G$34,"&gt;="&amp;M576),'FIRE TEX 5062'!$G$4:$K$34,IF(L576="F-15",2,IF(L576="F-30",3,IF(L576="F-60",4,IF(L576="F-90",5,0)))),0),0)+IF(AND(O576="FIRE TEX 5062",E576="CJ",J576=3),VLOOKUP(_xlfn.MINIFS('FIRE TEX 5062'!$L$4:$L$34,'FIRE TEX 5062'!$L$4:$L$34,"&gt;="&amp;M576),'FIRE TEX 5062'!$L$4:$P$34,IF(L576="F-15",2,IF(L576="F-30",3,IF(L576="F-60",4,IF(L576="F-90",5,0)))),0),0)+IF(AND(O576="FIRE TEX 5062",E576="CJ",J576=4),VLOOKUP(_xlfn.MINIFS('FIRE TEX 5062'!$Q$3:$Q$34,'FIRE TEX 5062'!$Q$3:$Q$34,"&gt;="&amp;M576),'FIRE TEX 5062'!$Q$3:$U$34,IF(L576="F-15",2,IF(L576="F-30",3,IF(L576="F-60",4,IF(L576="F-90",5,0)))),0),0)+IF(AND(O576="FIRE TEX 5090",OR(E576="IN",E576="C",E576="Z",E576="L"),J576=3),VLOOKUP(_xlfn.MINIFS('FIRE TEX 5090'!$B$5:$B$43,'FIRE TEX 5090'!$B$5:$B$43,"&gt;="&amp;M576),'FIRE TEX 5090'!$B$5:$H$43,IF(L576="F-15",2,IF(L576="F-30",3,IF(L576="F-60",4,IF(L576="F-90",5,IF(L576="F-120",6,IF(L576="F-150",7,0)))))),0),0)+IF(AND(O576="FIRE TEX 5090",OR(E576="IN",E576="C",E576="Z",E576="L"),J576=4),VLOOKUP(_xlfn.MINIFS('FIRE TEX 5090'!$J$5:$J$43,'FIRE TEX 5090'!$J$5:$J$43,"&gt;="&amp;M576),'FIRE TEX 5090'!$J$5:$P$43,IF(L576="F-15",2,IF(L576="F-30",3,IF(L576="F-60",4,IF(L576="F-90",5,IF(L576="F-120",6,IF(L576="F-150",7,0)))))),0),0)+IF(AND(O576="FIRE TEX 5090",E576="CJ",J576=3),VLOOKUP(_xlfn.MINIFS('FIRE TEX 5090'!$R$5:$R$30,'FIRE TEX 5090'!$R$5:$R$30,"&gt;="&amp;M576),'FIRE TEX 5090'!$R$5:$W$30,IF(L576="F-15",2,IF(L576="F-30",3,IF(L576="F-60",4,IF(L576="F-90",5,IF(L576="F-120",6,IF(L576="F-150",7,0)))))),0),0)+IF(AND(O576="FIRE TEX 5090",E576="CJ",J576=4),VLOOKUP(_xlfn.MINIFS('FIRE TEX 5090'!$Y$5:$Y$39,'FIRE TEX 5090'!$Y$5:$Y$39,"&gt;="&amp;M576),'FIRE TEX 5090'!$Y$5:$AD$39,IF(L576="F-15",2,IF(L576="F-30",3,IF(L576="F-60",4,IF(L576="F-90",5,IF(L576="F-120",6,IF(L576="F-150",7,0)))))),0),0)+IF(AND(O576="FIRE TEX 5120",OR(E576="IN",E576="C",E576="Z",E576="L"),J576=3),VLOOKUP(_xlfn.MINIFS('FIRE TEX 5120'!$B$5:$B$40,'FIRE TEX 5120'!$B$5:$B$40,"&gt;="&amp;M576),'FIRE TEX 5120'!$B$5:$G$40,IF(L576="F-15",2,IF(L576="F-30",3,IF(L576="F-60",4,IF(L576="F-90",5,IF(L576="F-120",6,0))))),0),0)+IF(AND(O576="FIRE TEX 5120",OR(E576="IN",E576="C",E576="Z",E576="L"),J576=4),VLOOKUP(_xlfn.MINIFS('FIRE TEX 5120'!$H$4:$H$40,'FIRE TEX 5120'!$H$4:$H$40,"&gt;="&amp;M576),'FIRE TEX 5120'!$H$4:$M$40,IF(L576="F-15",2,IF(L576="F-30",3,IF(L576="F-60",4,IF(L576="F-90",5,IF(L576="F-120",6,0))))),0),0)+IF(AND(O576="FIRE TEX 5120",E576="CJ"),VLOOKUP(_xlfn.MINIFS('FIRE TEX 5120'!$O$5:$O$40,'FIRE TEX 5120'!$O$5:$O$40,"&gt;="&amp;M576),'FIRE TEX 5120'!$O$5:$T$40,IF(L576="F-15",2,IF(L576="F-30",3,IF(L576="F-60",4,IF(L576="F-90",5,IF(L576="F-120",6,0))))),0),0)</f>
        <v>0</v>
      </c>
      <c r="Q576" s="46">
        <f t="shared" si="64"/>
        <v>0</v>
      </c>
      <c r="R576" s="46">
        <f t="shared" si="65"/>
        <v>0</v>
      </c>
      <c r="S576" s="46" t="e">
        <f t="shared" si="66"/>
        <v>#VALUE!</v>
      </c>
      <c r="T576" s="677">
        <f t="shared" si="67"/>
        <v>0</v>
      </c>
      <c r="U576" s="80">
        <f>(IF(O576="Stofire",(S576*#REF!),0))+(IF(O576="Fire Control",(S576*$U$2),0))+(IF(O576="Fire Tex",(S576*$U$3),0))+(IF(O576="WB7",(S576*#REF!),0)+(IF(O576="FX 2003",(S576*$U$5),0)))</f>
        <v>0</v>
      </c>
      <c r="V576" s="651">
        <f t="shared" si="68"/>
        <v>0</v>
      </c>
    </row>
    <row r="577" spans="4:22" x14ac:dyDescent="0.25">
      <c r="D577" s="118">
        <f>+CUBICACION!D576</f>
        <v>0</v>
      </c>
      <c r="E577" s="118">
        <f>+CUBICACION!F576</f>
        <v>0</v>
      </c>
      <c r="F577" s="118">
        <f>+CUBICACION!E576</f>
        <v>0</v>
      </c>
      <c r="G577" s="118">
        <v>12</v>
      </c>
      <c r="H577" s="118">
        <v>2</v>
      </c>
      <c r="I577" s="820">
        <v>26385</v>
      </c>
      <c r="J577" s="118">
        <f>+CUBICACION!J576</f>
        <v>0</v>
      </c>
      <c r="K577" s="118">
        <v>3356</v>
      </c>
      <c r="L577" s="118">
        <f>+CUBICACION!L576</f>
        <v>0</v>
      </c>
      <c r="M577" s="64">
        <f>+CUBICACION!M576</f>
        <v>0</v>
      </c>
      <c r="N577" s="824" t="str">
        <f>+CUBICACION!N576</f>
        <v/>
      </c>
      <c r="O577" s="675">
        <f>+CUBICACION!O576</f>
        <v>0</v>
      </c>
      <c r="P577" s="15">
        <f>IF(O577="Fire Control",VLOOKUP(_xlfn.MINIFS('FIRE CONTROL'!$C$4:$C$37,'FIRE CONTROL'!$C$4:$C$37,"&gt;="&amp;M577),'FIRE CONTROL'!$C$4:$G$37,IF(L577="F-15",2,IF(L577="F-30",3,IF(L577="F-60",4,IF(L577="F-90",5,0)))),0),0)+IF(AND(O577="FIRE TEX 5062",OR(E577="IN",E577="C",E577="Z",E577="L"),J577=3),VLOOKUP(_xlfn.MINIFS('FIRE TEX 5062'!$B$4:$B$34,'FIRE TEX 5062'!$B$4:$B$34,"&gt;="&amp;M577),'FIRE TEX 5062'!$B$4:$F$34,IF(L577="F-15",2,IF(L577="F-30",3,IF(L577="F-60",4,IF(L577="F-90",5,0)))),0),0)+IF(AND(O577="FIRE TEX 5062",OR(E577="IN",E577="C",E577="Z",E577="L"),J577=4),VLOOKUP(_xlfn.MINIFS('FIRE TEX 5062'!$G$4:$G$34,'FIRE TEX 5062'!$G$4:$G$34,"&gt;="&amp;M577),'FIRE TEX 5062'!$G$4:$K$34,IF(L577="F-15",2,IF(L577="F-30",3,IF(L577="F-60",4,IF(L577="F-90",5,0)))),0),0)+IF(AND(O577="FIRE TEX 5062",E577="CJ",J577=3),VLOOKUP(_xlfn.MINIFS('FIRE TEX 5062'!$L$4:$L$34,'FIRE TEX 5062'!$L$4:$L$34,"&gt;="&amp;M577),'FIRE TEX 5062'!$L$4:$P$34,IF(L577="F-15",2,IF(L577="F-30",3,IF(L577="F-60",4,IF(L577="F-90",5,0)))),0),0)+IF(AND(O577="FIRE TEX 5062",E577="CJ",J577=4),VLOOKUP(_xlfn.MINIFS('FIRE TEX 5062'!$Q$3:$Q$34,'FIRE TEX 5062'!$Q$3:$Q$34,"&gt;="&amp;M577),'FIRE TEX 5062'!$Q$3:$U$34,IF(L577="F-15",2,IF(L577="F-30",3,IF(L577="F-60",4,IF(L577="F-90",5,0)))),0),0)+IF(AND(O577="FIRE TEX 5090",OR(E577="IN",E577="C",E577="Z",E577="L"),J577=3),VLOOKUP(_xlfn.MINIFS('FIRE TEX 5090'!$B$5:$B$43,'FIRE TEX 5090'!$B$5:$B$43,"&gt;="&amp;M577),'FIRE TEX 5090'!$B$5:$H$43,IF(L577="F-15",2,IF(L577="F-30",3,IF(L577="F-60",4,IF(L577="F-90",5,IF(L577="F-120",6,IF(L577="F-150",7,0)))))),0),0)+IF(AND(O577="FIRE TEX 5090",OR(E577="IN",E577="C",E577="Z",E577="L"),J577=4),VLOOKUP(_xlfn.MINIFS('FIRE TEX 5090'!$J$5:$J$43,'FIRE TEX 5090'!$J$5:$J$43,"&gt;="&amp;M577),'FIRE TEX 5090'!$J$5:$P$43,IF(L577="F-15",2,IF(L577="F-30",3,IF(L577="F-60",4,IF(L577="F-90",5,IF(L577="F-120",6,IF(L577="F-150",7,0)))))),0),0)+IF(AND(O577="FIRE TEX 5090",E577="CJ",J577=3),VLOOKUP(_xlfn.MINIFS('FIRE TEX 5090'!$R$5:$R$30,'FIRE TEX 5090'!$R$5:$R$30,"&gt;="&amp;M577),'FIRE TEX 5090'!$R$5:$W$30,IF(L577="F-15",2,IF(L577="F-30",3,IF(L577="F-60",4,IF(L577="F-90",5,IF(L577="F-120",6,IF(L577="F-150",7,0)))))),0),0)+IF(AND(O577="FIRE TEX 5090",E577="CJ",J577=4),VLOOKUP(_xlfn.MINIFS('FIRE TEX 5090'!$Y$5:$Y$39,'FIRE TEX 5090'!$Y$5:$Y$39,"&gt;="&amp;M577),'FIRE TEX 5090'!$Y$5:$AD$39,IF(L577="F-15",2,IF(L577="F-30",3,IF(L577="F-60",4,IF(L577="F-90",5,IF(L577="F-120",6,IF(L577="F-150",7,0)))))),0),0)+IF(AND(O577="FIRE TEX 5120",OR(E577="IN",E577="C",E577="Z",E577="L"),J577=3),VLOOKUP(_xlfn.MINIFS('FIRE TEX 5120'!$B$5:$B$40,'FIRE TEX 5120'!$B$5:$B$40,"&gt;="&amp;M577),'FIRE TEX 5120'!$B$5:$G$40,IF(L577="F-15",2,IF(L577="F-30",3,IF(L577="F-60",4,IF(L577="F-90",5,IF(L577="F-120",6,0))))),0),0)+IF(AND(O577="FIRE TEX 5120",OR(E577="IN",E577="C",E577="Z",E577="L"),J577=4),VLOOKUP(_xlfn.MINIFS('FIRE TEX 5120'!$H$4:$H$40,'FIRE TEX 5120'!$H$4:$H$40,"&gt;="&amp;M577),'FIRE TEX 5120'!$H$4:$M$40,IF(L577="F-15",2,IF(L577="F-30",3,IF(L577="F-60",4,IF(L577="F-90",5,IF(L577="F-120",6,0))))),0),0)+IF(AND(O577="FIRE TEX 5120",E577="CJ"),VLOOKUP(_xlfn.MINIFS('FIRE TEX 5120'!$O$5:$O$40,'FIRE TEX 5120'!$O$5:$O$40,"&gt;="&amp;M577),'FIRE TEX 5120'!$O$5:$T$40,IF(L577="F-15",2,IF(L577="F-30",3,IF(L577="F-60",4,IF(L577="F-90",5,IF(L577="F-120",6,0))))),0),0)</f>
        <v>0</v>
      </c>
      <c r="Q577" s="46">
        <f t="shared" si="64"/>
        <v>0</v>
      </c>
      <c r="R577" s="46">
        <f t="shared" si="65"/>
        <v>0</v>
      </c>
      <c r="S577" s="46" t="e">
        <f t="shared" si="66"/>
        <v>#VALUE!</v>
      </c>
      <c r="T577" s="677">
        <f t="shared" si="67"/>
        <v>0</v>
      </c>
      <c r="U577" s="80">
        <f>(IF(O577="Stofire",(S577*#REF!),0))+(IF(O577="Fire Control",(S577*$U$2),0))+(IF(O577="Fire Tex",(S577*$U$3),0))+(IF(O577="WB7",(S577*#REF!),0)+(IF(O577="FX 2003",(S577*$U$5),0)))</f>
        <v>0</v>
      </c>
      <c r="V577" s="651">
        <f t="shared" si="68"/>
        <v>0</v>
      </c>
    </row>
    <row r="578" spans="4:22" x14ac:dyDescent="0.25">
      <c r="D578" s="118">
        <f>+CUBICACION!D577</f>
        <v>0</v>
      </c>
      <c r="E578" s="118">
        <f>+CUBICACION!F577</f>
        <v>0</v>
      </c>
      <c r="F578" s="118">
        <f>+CUBICACION!E577</f>
        <v>0</v>
      </c>
      <c r="G578" s="118">
        <v>12</v>
      </c>
      <c r="H578" s="118">
        <v>2</v>
      </c>
      <c r="I578" s="820">
        <v>26385</v>
      </c>
      <c r="J578" s="118">
        <f>+CUBICACION!J577</f>
        <v>0</v>
      </c>
      <c r="K578" s="118">
        <v>3357</v>
      </c>
      <c r="L578" s="118">
        <f>+CUBICACION!L577</f>
        <v>0</v>
      </c>
      <c r="M578" s="64">
        <f>+CUBICACION!M577</f>
        <v>0</v>
      </c>
      <c r="N578" s="824" t="str">
        <f>+CUBICACION!N577</f>
        <v/>
      </c>
      <c r="O578" s="675">
        <f>+CUBICACION!O577</f>
        <v>0</v>
      </c>
      <c r="P578" s="15">
        <f>IF(O578="Fire Control",VLOOKUP(_xlfn.MINIFS('FIRE CONTROL'!$C$4:$C$37,'FIRE CONTROL'!$C$4:$C$37,"&gt;="&amp;M578),'FIRE CONTROL'!$C$4:$G$37,IF(L578="F-15",2,IF(L578="F-30",3,IF(L578="F-60",4,IF(L578="F-90",5,0)))),0),0)+IF(AND(O578="FIRE TEX 5062",OR(E578="IN",E578="C",E578="Z",E578="L"),J578=3),VLOOKUP(_xlfn.MINIFS('FIRE TEX 5062'!$B$4:$B$34,'FIRE TEX 5062'!$B$4:$B$34,"&gt;="&amp;M578),'FIRE TEX 5062'!$B$4:$F$34,IF(L578="F-15",2,IF(L578="F-30",3,IF(L578="F-60",4,IF(L578="F-90",5,0)))),0),0)+IF(AND(O578="FIRE TEX 5062",OR(E578="IN",E578="C",E578="Z",E578="L"),J578=4),VLOOKUP(_xlfn.MINIFS('FIRE TEX 5062'!$G$4:$G$34,'FIRE TEX 5062'!$G$4:$G$34,"&gt;="&amp;M578),'FIRE TEX 5062'!$G$4:$K$34,IF(L578="F-15",2,IF(L578="F-30",3,IF(L578="F-60",4,IF(L578="F-90",5,0)))),0),0)+IF(AND(O578="FIRE TEX 5062",E578="CJ",J578=3),VLOOKUP(_xlfn.MINIFS('FIRE TEX 5062'!$L$4:$L$34,'FIRE TEX 5062'!$L$4:$L$34,"&gt;="&amp;M578),'FIRE TEX 5062'!$L$4:$P$34,IF(L578="F-15",2,IF(L578="F-30",3,IF(L578="F-60",4,IF(L578="F-90",5,0)))),0),0)+IF(AND(O578="FIRE TEX 5062",E578="CJ",J578=4),VLOOKUP(_xlfn.MINIFS('FIRE TEX 5062'!$Q$3:$Q$34,'FIRE TEX 5062'!$Q$3:$Q$34,"&gt;="&amp;M578),'FIRE TEX 5062'!$Q$3:$U$34,IF(L578="F-15",2,IF(L578="F-30",3,IF(L578="F-60",4,IF(L578="F-90",5,0)))),0),0)+IF(AND(O578="FIRE TEX 5090",OR(E578="IN",E578="C",E578="Z",E578="L"),J578=3),VLOOKUP(_xlfn.MINIFS('FIRE TEX 5090'!$B$5:$B$43,'FIRE TEX 5090'!$B$5:$B$43,"&gt;="&amp;M578),'FIRE TEX 5090'!$B$5:$H$43,IF(L578="F-15",2,IF(L578="F-30",3,IF(L578="F-60",4,IF(L578="F-90",5,IF(L578="F-120",6,IF(L578="F-150",7,0)))))),0),0)+IF(AND(O578="FIRE TEX 5090",OR(E578="IN",E578="C",E578="Z",E578="L"),J578=4),VLOOKUP(_xlfn.MINIFS('FIRE TEX 5090'!$J$5:$J$43,'FIRE TEX 5090'!$J$5:$J$43,"&gt;="&amp;M578),'FIRE TEX 5090'!$J$5:$P$43,IF(L578="F-15",2,IF(L578="F-30",3,IF(L578="F-60",4,IF(L578="F-90",5,IF(L578="F-120",6,IF(L578="F-150",7,0)))))),0),0)+IF(AND(O578="FIRE TEX 5090",E578="CJ",J578=3),VLOOKUP(_xlfn.MINIFS('FIRE TEX 5090'!$R$5:$R$30,'FIRE TEX 5090'!$R$5:$R$30,"&gt;="&amp;M578),'FIRE TEX 5090'!$R$5:$W$30,IF(L578="F-15",2,IF(L578="F-30",3,IF(L578="F-60",4,IF(L578="F-90",5,IF(L578="F-120",6,IF(L578="F-150",7,0)))))),0),0)+IF(AND(O578="FIRE TEX 5090",E578="CJ",J578=4),VLOOKUP(_xlfn.MINIFS('FIRE TEX 5090'!$Y$5:$Y$39,'FIRE TEX 5090'!$Y$5:$Y$39,"&gt;="&amp;M578),'FIRE TEX 5090'!$Y$5:$AD$39,IF(L578="F-15",2,IF(L578="F-30",3,IF(L578="F-60",4,IF(L578="F-90",5,IF(L578="F-120",6,IF(L578="F-150",7,0)))))),0),0)+IF(AND(O578="FIRE TEX 5120",OR(E578="IN",E578="C",E578="Z",E578="L"),J578=3),VLOOKUP(_xlfn.MINIFS('FIRE TEX 5120'!$B$5:$B$40,'FIRE TEX 5120'!$B$5:$B$40,"&gt;="&amp;M578),'FIRE TEX 5120'!$B$5:$G$40,IF(L578="F-15",2,IF(L578="F-30",3,IF(L578="F-60",4,IF(L578="F-90",5,IF(L578="F-120",6,0))))),0),0)+IF(AND(O578="FIRE TEX 5120",OR(E578="IN",E578="C",E578="Z",E578="L"),J578=4),VLOOKUP(_xlfn.MINIFS('FIRE TEX 5120'!$H$4:$H$40,'FIRE TEX 5120'!$H$4:$H$40,"&gt;="&amp;M578),'FIRE TEX 5120'!$H$4:$M$40,IF(L578="F-15",2,IF(L578="F-30",3,IF(L578="F-60",4,IF(L578="F-90",5,IF(L578="F-120",6,0))))),0),0)+IF(AND(O578="FIRE TEX 5120",E578="CJ"),VLOOKUP(_xlfn.MINIFS('FIRE TEX 5120'!$O$5:$O$40,'FIRE TEX 5120'!$O$5:$O$40,"&gt;="&amp;M578),'FIRE TEX 5120'!$O$5:$T$40,IF(L578="F-15",2,IF(L578="F-30",3,IF(L578="F-60",4,IF(L578="F-90",5,IF(L578="F-120",6,0))))),0),0)</f>
        <v>0</v>
      </c>
      <c r="Q578" s="46">
        <f t="shared" si="64"/>
        <v>0</v>
      </c>
      <c r="R578" s="46">
        <f t="shared" si="65"/>
        <v>0</v>
      </c>
      <c r="S578" s="46" t="e">
        <f t="shared" si="66"/>
        <v>#VALUE!</v>
      </c>
      <c r="T578" s="677">
        <f t="shared" si="67"/>
        <v>0</v>
      </c>
      <c r="U578" s="80">
        <f>(IF(O578="Stofire",(S578*#REF!),0))+(IF(O578="Fire Control",(S578*$U$2),0))+(IF(O578="Fire Tex",(S578*$U$3),0))+(IF(O578="WB7",(S578*#REF!),0)+(IF(O578="FX 2003",(S578*$U$5),0)))</f>
        <v>0</v>
      </c>
      <c r="V578" s="651">
        <f t="shared" si="68"/>
        <v>0</v>
      </c>
    </row>
    <row r="579" spans="4:22" x14ac:dyDescent="0.25">
      <c r="D579" s="118">
        <f>+CUBICACION!D578</f>
        <v>0</v>
      </c>
      <c r="E579" s="118">
        <f>+CUBICACION!F578</f>
        <v>0</v>
      </c>
      <c r="F579" s="118">
        <f>+CUBICACION!E578</f>
        <v>0</v>
      </c>
      <c r="G579" s="118">
        <v>12</v>
      </c>
      <c r="H579" s="118">
        <v>2</v>
      </c>
      <c r="I579" s="820">
        <v>26385</v>
      </c>
      <c r="J579" s="118">
        <f>+CUBICACION!J578</f>
        <v>0</v>
      </c>
      <c r="K579" s="118">
        <v>3358</v>
      </c>
      <c r="L579" s="118">
        <f>+CUBICACION!L578</f>
        <v>0</v>
      </c>
      <c r="M579" s="64">
        <f>+CUBICACION!M578</f>
        <v>0</v>
      </c>
      <c r="N579" s="824" t="str">
        <f>+CUBICACION!N578</f>
        <v/>
      </c>
      <c r="O579" s="675">
        <f>+CUBICACION!O578</f>
        <v>0</v>
      </c>
      <c r="P579" s="15">
        <f>IF(O579="Fire Control",VLOOKUP(_xlfn.MINIFS('FIRE CONTROL'!$C$4:$C$37,'FIRE CONTROL'!$C$4:$C$37,"&gt;="&amp;M579),'FIRE CONTROL'!$C$4:$G$37,IF(L579="F-15",2,IF(L579="F-30",3,IF(L579="F-60",4,IF(L579="F-90",5,0)))),0),0)+IF(AND(O579="FIRE TEX 5062",OR(E579="IN",E579="C",E579="Z",E579="L"),J579=3),VLOOKUP(_xlfn.MINIFS('FIRE TEX 5062'!$B$4:$B$34,'FIRE TEX 5062'!$B$4:$B$34,"&gt;="&amp;M579),'FIRE TEX 5062'!$B$4:$F$34,IF(L579="F-15",2,IF(L579="F-30",3,IF(L579="F-60",4,IF(L579="F-90",5,0)))),0),0)+IF(AND(O579="FIRE TEX 5062",OR(E579="IN",E579="C",E579="Z",E579="L"),J579=4),VLOOKUP(_xlfn.MINIFS('FIRE TEX 5062'!$G$4:$G$34,'FIRE TEX 5062'!$G$4:$G$34,"&gt;="&amp;M579),'FIRE TEX 5062'!$G$4:$K$34,IF(L579="F-15",2,IF(L579="F-30",3,IF(L579="F-60",4,IF(L579="F-90",5,0)))),0),0)+IF(AND(O579="FIRE TEX 5062",E579="CJ",J579=3),VLOOKUP(_xlfn.MINIFS('FIRE TEX 5062'!$L$4:$L$34,'FIRE TEX 5062'!$L$4:$L$34,"&gt;="&amp;M579),'FIRE TEX 5062'!$L$4:$P$34,IF(L579="F-15",2,IF(L579="F-30",3,IF(L579="F-60",4,IF(L579="F-90",5,0)))),0),0)+IF(AND(O579="FIRE TEX 5062",E579="CJ",J579=4),VLOOKUP(_xlfn.MINIFS('FIRE TEX 5062'!$Q$3:$Q$34,'FIRE TEX 5062'!$Q$3:$Q$34,"&gt;="&amp;M579),'FIRE TEX 5062'!$Q$3:$U$34,IF(L579="F-15",2,IF(L579="F-30",3,IF(L579="F-60",4,IF(L579="F-90",5,0)))),0),0)+IF(AND(O579="FIRE TEX 5090",OR(E579="IN",E579="C",E579="Z",E579="L"),J579=3),VLOOKUP(_xlfn.MINIFS('FIRE TEX 5090'!$B$5:$B$43,'FIRE TEX 5090'!$B$5:$B$43,"&gt;="&amp;M579),'FIRE TEX 5090'!$B$5:$H$43,IF(L579="F-15",2,IF(L579="F-30",3,IF(L579="F-60",4,IF(L579="F-90",5,IF(L579="F-120",6,IF(L579="F-150",7,0)))))),0),0)+IF(AND(O579="FIRE TEX 5090",OR(E579="IN",E579="C",E579="Z",E579="L"),J579=4),VLOOKUP(_xlfn.MINIFS('FIRE TEX 5090'!$J$5:$J$43,'FIRE TEX 5090'!$J$5:$J$43,"&gt;="&amp;M579),'FIRE TEX 5090'!$J$5:$P$43,IF(L579="F-15",2,IF(L579="F-30",3,IF(L579="F-60",4,IF(L579="F-90",5,IF(L579="F-120",6,IF(L579="F-150",7,0)))))),0),0)+IF(AND(O579="FIRE TEX 5090",E579="CJ",J579=3),VLOOKUP(_xlfn.MINIFS('FIRE TEX 5090'!$R$5:$R$30,'FIRE TEX 5090'!$R$5:$R$30,"&gt;="&amp;M579),'FIRE TEX 5090'!$R$5:$W$30,IF(L579="F-15",2,IF(L579="F-30",3,IF(L579="F-60",4,IF(L579="F-90",5,IF(L579="F-120",6,IF(L579="F-150",7,0)))))),0),0)+IF(AND(O579="FIRE TEX 5090",E579="CJ",J579=4),VLOOKUP(_xlfn.MINIFS('FIRE TEX 5090'!$Y$5:$Y$39,'FIRE TEX 5090'!$Y$5:$Y$39,"&gt;="&amp;M579),'FIRE TEX 5090'!$Y$5:$AD$39,IF(L579="F-15",2,IF(L579="F-30",3,IF(L579="F-60",4,IF(L579="F-90",5,IF(L579="F-120",6,IF(L579="F-150",7,0)))))),0),0)+IF(AND(O579="FIRE TEX 5120",OR(E579="IN",E579="C",E579="Z",E579="L"),J579=3),VLOOKUP(_xlfn.MINIFS('FIRE TEX 5120'!$B$5:$B$40,'FIRE TEX 5120'!$B$5:$B$40,"&gt;="&amp;M579),'FIRE TEX 5120'!$B$5:$G$40,IF(L579="F-15",2,IF(L579="F-30",3,IF(L579="F-60",4,IF(L579="F-90",5,IF(L579="F-120",6,0))))),0),0)+IF(AND(O579="FIRE TEX 5120",OR(E579="IN",E579="C",E579="Z",E579="L"),J579=4),VLOOKUP(_xlfn.MINIFS('FIRE TEX 5120'!$H$4:$H$40,'FIRE TEX 5120'!$H$4:$H$40,"&gt;="&amp;M579),'FIRE TEX 5120'!$H$4:$M$40,IF(L579="F-15",2,IF(L579="F-30",3,IF(L579="F-60",4,IF(L579="F-90",5,IF(L579="F-120",6,0))))),0),0)+IF(AND(O579="FIRE TEX 5120",E579="CJ"),VLOOKUP(_xlfn.MINIFS('FIRE TEX 5120'!$O$5:$O$40,'FIRE TEX 5120'!$O$5:$O$40,"&gt;="&amp;M579),'FIRE TEX 5120'!$O$5:$T$40,IF(L579="F-15",2,IF(L579="F-30",3,IF(L579="F-60",4,IF(L579="F-90",5,IF(L579="F-120",6,0))))),0),0)</f>
        <v>0</v>
      </c>
      <c r="Q579" s="46">
        <f t="shared" si="64"/>
        <v>0</v>
      </c>
      <c r="R579" s="46">
        <f t="shared" si="65"/>
        <v>0</v>
      </c>
      <c r="S579" s="46" t="e">
        <f t="shared" si="66"/>
        <v>#VALUE!</v>
      </c>
      <c r="T579" s="677">
        <f t="shared" si="67"/>
        <v>0</v>
      </c>
      <c r="U579" s="80">
        <f>(IF(O579="Stofire",(S579*#REF!),0))+(IF(O579="Fire Control",(S579*$U$2),0))+(IF(O579="Fire Tex",(S579*$U$3),0))+(IF(O579="WB7",(S579*#REF!),0)+(IF(O579="FX 2003",(S579*$U$5),0)))</f>
        <v>0</v>
      </c>
      <c r="V579" s="651">
        <f t="shared" si="68"/>
        <v>0</v>
      </c>
    </row>
    <row r="580" spans="4:22" x14ac:dyDescent="0.25">
      <c r="D580" s="118">
        <f>+CUBICACION!D579</f>
        <v>0</v>
      </c>
      <c r="E580" s="118">
        <f>+CUBICACION!F579</f>
        <v>0</v>
      </c>
      <c r="F580" s="118">
        <f>+CUBICACION!E579</f>
        <v>0</v>
      </c>
      <c r="G580" s="118">
        <v>12</v>
      </c>
      <c r="H580" s="118">
        <v>2</v>
      </c>
      <c r="I580" s="820">
        <v>26385</v>
      </c>
      <c r="J580" s="118">
        <f>+CUBICACION!J579</f>
        <v>0</v>
      </c>
      <c r="K580" s="118">
        <v>3359</v>
      </c>
      <c r="L580" s="118">
        <f>+CUBICACION!L579</f>
        <v>0</v>
      </c>
      <c r="M580" s="64">
        <f>+CUBICACION!M579</f>
        <v>0</v>
      </c>
      <c r="N580" s="824" t="str">
        <f>+CUBICACION!N579</f>
        <v/>
      </c>
      <c r="O580" s="675">
        <f>+CUBICACION!O579</f>
        <v>0</v>
      </c>
      <c r="P580" s="15">
        <f>IF(O580="Fire Control",VLOOKUP(_xlfn.MINIFS('FIRE CONTROL'!$C$4:$C$37,'FIRE CONTROL'!$C$4:$C$37,"&gt;="&amp;M580),'FIRE CONTROL'!$C$4:$G$37,IF(L580="F-15",2,IF(L580="F-30",3,IF(L580="F-60",4,IF(L580="F-90",5,0)))),0),0)+IF(AND(O580="FIRE TEX 5062",OR(E580="IN",E580="C",E580="Z",E580="L"),J580=3),VLOOKUP(_xlfn.MINIFS('FIRE TEX 5062'!$B$4:$B$34,'FIRE TEX 5062'!$B$4:$B$34,"&gt;="&amp;M580),'FIRE TEX 5062'!$B$4:$F$34,IF(L580="F-15",2,IF(L580="F-30",3,IF(L580="F-60",4,IF(L580="F-90",5,0)))),0),0)+IF(AND(O580="FIRE TEX 5062",OR(E580="IN",E580="C",E580="Z",E580="L"),J580=4),VLOOKUP(_xlfn.MINIFS('FIRE TEX 5062'!$G$4:$G$34,'FIRE TEX 5062'!$G$4:$G$34,"&gt;="&amp;M580),'FIRE TEX 5062'!$G$4:$K$34,IF(L580="F-15",2,IF(L580="F-30",3,IF(L580="F-60",4,IF(L580="F-90",5,0)))),0),0)+IF(AND(O580="FIRE TEX 5062",E580="CJ",J580=3),VLOOKUP(_xlfn.MINIFS('FIRE TEX 5062'!$L$4:$L$34,'FIRE TEX 5062'!$L$4:$L$34,"&gt;="&amp;M580),'FIRE TEX 5062'!$L$4:$P$34,IF(L580="F-15",2,IF(L580="F-30",3,IF(L580="F-60",4,IF(L580="F-90",5,0)))),0),0)+IF(AND(O580="FIRE TEX 5062",E580="CJ",J580=4),VLOOKUP(_xlfn.MINIFS('FIRE TEX 5062'!$Q$3:$Q$34,'FIRE TEX 5062'!$Q$3:$Q$34,"&gt;="&amp;M580),'FIRE TEX 5062'!$Q$3:$U$34,IF(L580="F-15",2,IF(L580="F-30",3,IF(L580="F-60",4,IF(L580="F-90",5,0)))),0),0)+IF(AND(O580="FIRE TEX 5090",OR(E580="IN",E580="C",E580="Z",E580="L"),J580=3),VLOOKUP(_xlfn.MINIFS('FIRE TEX 5090'!$B$5:$B$43,'FIRE TEX 5090'!$B$5:$B$43,"&gt;="&amp;M580),'FIRE TEX 5090'!$B$5:$H$43,IF(L580="F-15",2,IF(L580="F-30",3,IF(L580="F-60",4,IF(L580="F-90",5,IF(L580="F-120",6,IF(L580="F-150",7,0)))))),0),0)+IF(AND(O580="FIRE TEX 5090",OR(E580="IN",E580="C",E580="Z",E580="L"),J580=4),VLOOKUP(_xlfn.MINIFS('FIRE TEX 5090'!$J$5:$J$43,'FIRE TEX 5090'!$J$5:$J$43,"&gt;="&amp;M580),'FIRE TEX 5090'!$J$5:$P$43,IF(L580="F-15",2,IF(L580="F-30",3,IF(L580="F-60",4,IF(L580="F-90",5,IF(L580="F-120",6,IF(L580="F-150",7,0)))))),0),0)+IF(AND(O580="FIRE TEX 5090",E580="CJ",J580=3),VLOOKUP(_xlfn.MINIFS('FIRE TEX 5090'!$R$5:$R$30,'FIRE TEX 5090'!$R$5:$R$30,"&gt;="&amp;M580),'FIRE TEX 5090'!$R$5:$W$30,IF(L580="F-15",2,IF(L580="F-30",3,IF(L580="F-60",4,IF(L580="F-90",5,IF(L580="F-120",6,IF(L580="F-150",7,0)))))),0),0)+IF(AND(O580="FIRE TEX 5090",E580="CJ",J580=4),VLOOKUP(_xlfn.MINIFS('FIRE TEX 5090'!$Y$5:$Y$39,'FIRE TEX 5090'!$Y$5:$Y$39,"&gt;="&amp;M580),'FIRE TEX 5090'!$Y$5:$AD$39,IF(L580="F-15",2,IF(L580="F-30",3,IF(L580="F-60",4,IF(L580="F-90",5,IF(L580="F-120",6,IF(L580="F-150",7,0)))))),0),0)+IF(AND(O580="FIRE TEX 5120",OR(E580="IN",E580="C",E580="Z",E580="L"),J580=3),VLOOKUP(_xlfn.MINIFS('FIRE TEX 5120'!$B$5:$B$40,'FIRE TEX 5120'!$B$5:$B$40,"&gt;="&amp;M580),'FIRE TEX 5120'!$B$5:$G$40,IF(L580="F-15",2,IF(L580="F-30",3,IF(L580="F-60",4,IF(L580="F-90",5,IF(L580="F-120",6,0))))),0),0)+IF(AND(O580="FIRE TEX 5120",OR(E580="IN",E580="C",E580="Z",E580="L"),J580=4),VLOOKUP(_xlfn.MINIFS('FIRE TEX 5120'!$H$4:$H$40,'FIRE TEX 5120'!$H$4:$H$40,"&gt;="&amp;M580),'FIRE TEX 5120'!$H$4:$M$40,IF(L580="F-15",2,IF(L580="F-30",3,IF(L580="F-60",4,IF(L580="F-90",5,IF(L580="F-120",6,0))))),0),0)+IF(AND(O580="FIRE TEX 5120",E580="CJ"),VLOOKUP(_xlfn.MINIFS('FIRE TEX 5120'!$O$5:$O$40,'FIRE TEX 5120'!$O$5:$O$40,"&gt;="&amp;M580),'FIRE TEX 5120'!$O$5:$T$40,IF(L580="F-15",2,IF(L580="F-30",3,IF(L580="F-60",4,IF(L580="F-90",5,IF(L580="F-120",6,0))))),0),0)</f>
        <v>0</v>
      </c>
      <c r="Q580" s="46">
        <f t="shared" si="64"/>
        <v>0</v>
      </c>
      <c r="R580" s="46">
        <f t="shared" si="65"/>
        <v>0</v>
      </c>
      <c r="S580" s="46" t="e">
        <f t="shared" si="66"/>
        <v>#VALUE!</v>
      </c>
      <c r="T580" s="677">
        <f t="shared" si="67"/>
        <v>0</v>
      </c>
      <c r="U580" s="80">
        <f>(IF(O580="Stofire",(S580*#REF!),0))+(IF(O580="Fire Control",(S580*$U$2),0))+(IF(O580="Fire Tex",(S580*$U$3),0))+(IF(O580="WB7",(S580*#REF!),0)+(IF(O580="FX 2003",(S580*$U$5),0)))</f>
        <v>0</v>
      </c>
      <c r="V580" s="651">
        <f t="shared" si="68"/>
        <v>0</v>
      </c>
    </row>
    <row r="581" spans="4:22" x14ac:dyDescent="0.25">
      <c r="D581" s="118">
        <f>+CUBICACION!D580</f>
        <v>0</v>
      </c>
      <c r="E581" s="118">
        <f>+CUBICACION!F580</f>
        <v>0</v>
      </c>
      <c r="F581" s="118">
        <f>+CUBICACION!E580</f>
        <v>0</v>
      </c>
      <c r="G581" s="118">
        <v>12</v>
      </c>
      <c r="H581" s="118">
        <v>2</v>
      </c>
      <c r="I581" s="820">
        <v>26385</v>
      </c>
      <c r="J581" s="118">
        <f>+CUBICACION!J580</f>
        <v>0</v>
      </c>
      <c r="K581" s="118">
        <v>3360</v>
      </c>
      <c r="L581" s="118">
        <f>+CUBICACION!L580</f>
        <v>0</v>
      </c>
      <c r="M581" s="64">
        <f>+CUBICACION!M580</f>
        <v>0</v>
      </c>
      <c r="N581" s="824" t="str">
        <f>+CUBICACION!N580</f>
        <v/>
      </c>
      <c r="O581" s="675">
        <f>+CUBICACION!O580</f>
        <v>0</v>
      </c>
      <c r="P581" s="15">
        <f>IF(O581="Fire Control",VLOOKUP(_xlfn.MINIFS('FIRE CONTROL'!$C$4:$C$37,'FIRE CONTROL'!$C$4:$C$37,"&gt;="&amp;M581),'FIRE CONTROL'!$C$4:$G$37,IF(L581="F-15",2,IF(L581="F-30",3,IF(L581="F-60",4,IF(L581="F-90",5,0)))),0),0)+IF(AND(O581="FIRE TEX 5062",OR(E581="IN",E581="C",E581="Z",E581="L"),J581=3),VLOOKUP(_xlfn.MINIFS('FIRE TEX 5062'!$B$4:$B$34,'FIRE TEX 5062'!$B$4:$B$34,"&gt;="&amp;M581),'FIRE TEX 5062'!$B$4:$F$34,IF(L581="F-15",2,IF(L581="F-30",3,IF(L581="F-60",4,IF(L581="F-90",5,0)))),0),0)+IF(AND(O581="FIRE TEX 5062",OR(E581="IN",E581="C",E581="Z",E581="L"),J581=4),VLOOKUP(_xlfn.MINIFS('FIRE TEX 5062'!$G$4:$G$34,'FIRE TEX 5062'!$G$4:$G$34,"&gt;="&amp;M581),'FIRE TEX 5062'!$G$4:$K$34,IF(L581="F-15",2,IF(L581="F-30",3,IF(L581="F-60",4,IF(L581="F-90",5,0)))),0),0)+IF(AND(O581="FIRE TEX 5062",E581="CJ",J581=3),VLOOKUP(_xlfn.MINIFS('FIRE TEX 5062'!$L$4:$L$34,'FIRE TEX 5062'!$L$4:$L$34,"&gt;="&amp;M581),'FIRE TEX 5062'!$L$4:$P$34,IF(L581="F-15",2,IF(L581="F-30",3,IF(L581="F-60",4,IF(L581="F-90",5,0)))),0),0)+IF(AND(O581="FIRE TEX 5062",E581="CJ",J581=4),VLOOKUP(_xlfn.MINIFS('FIRE TEX 5062'!$Q$3:$Q$34,'FIRE TEX 5062'!$Q$3:$Q$34,"&gt;="&amp;M581),'FIRE TEX 5062'!$Q$3:$U$34,IF(L581="F-15",2,IF(L581="F-30",3,IF(L581="F-60",4,IF(L581="F-90",5,0)))),0),0)+IF(AND(O581="FIRE TEX 5090",OR(E581="IN",E581="C",E581="Z",E581="L"),J581=3),VLOOKUP(_xlfn.MINIFS('FIRE TEX 5090'!$B$5:$B$43,'FIRE TEX 5090'!$B$5:$B$43,"&gt;="&amp;M581),'FIRE TEX 5090'!$B$5:$H$43,IF(L581="F-15",2,IF(L581="F-30",3,IF(L581="F-60",4,IF(L581="F-90",5,IF(L581="F-120",6,IF(L581="F-150",7,0)))))),0),0)+IF(AND(O581="FIRE TEX 5090",OR(E581="IN",E581="C",E581="Z",E581="L"),J581=4),VLOOKUP(_xlfn.MINIFS('FIRE TEX 5090'!$J$5:$J$43,'FIRE TEX 5090'!$J$5:$J$43,"&gt;="&amp;M581),'FIRE TEX 5090'!$J$5:$P$43,IF(L581="F-15",2,IF(L581="F-30",3,IF(L581="F-60",4,IF(L581="F-90",5,IF(L581="F-120",6,IF(L581="F-150",7,0)))))),0),0)+IF(AND(O581="FIRE TEX 5090",E581="CJ",J581=3),VLOOKUP(_xlfn.MINIFS('FIRE TEX 5090'!$R$5:$R$30,'FIRE TEX 5090'!$R$5:$R$30,"&gt;="&amp;M581),'FIRE TEX 5090'!$R$5:$W$30,IF(L581="F-15",2,IF(L581="F-30",3,IF(L581="F-60",4,IF(L581="F-90",5,IF(L581="F-120",6,IF(L581="F-150",7,0)))))),0),0)+IF(AND(O581="FIRE TEX 5090",E581="CJ",J581=4),VLOOKUP(_xlfn.MINIFS('FIRE TEX 5090'!$Y$5:$Y$39,'FIRE TEX 5090'!$Y$5:$Y$39,"&gt;="&amp;M581),'FIRE TEX 5090'!$Y$5:$AD$39,IF(L581="F-15",2,IF(L581="F-30",3,IF(L581="F-60",4,IF(L581="F-90",5,IF(L581="F-120",6,IF(L581="F-150",7,0)))))),0),0)+IF(AND(O581="FIRE TEX 5120",OR(E581="IN",E581="C",E581="Z",E581="L"),J581=3),VLOOKUP(_xlfn.MINIFS('FIRE TEX 5120'!$B$5:$B$40,'FIRE TEX 5120'!$B$5:$B$40,"&gt;="&amp;M581),'FIRE TEX 5120'!$B$5:$G$40,IF(L581="F-15",2,IF(L581="F-30",3,IF(L581="F-60",4,IF(L581="F-90",5,IF(L581="F-120",6,0))))),0),0)+IF(AND(O581="FIRE TEX 5120",OR(E581="IN",E581="C",E581="Z",E581="L"),J581=4),VLOOKUP(_xlfn.MINIFS('FIRE TEX 5120'!$H$4:$H$40,'FIRE TEX 5120'!$H$4:$H$40,"&gt;="&amp;M581),'FIRE TEX 5120'!$H$4:$M$40,IF(L581="F-15",2,IF(L581="F-30",3,IF(L581="F-60",4,IF(L581="F-90",5,IF(L581="F-120",6,0))))),0),0)+IF(AND(O581="FIRE TEX 5120",E581="CJ"),VLOOKUP(_xlfn.MINIFS('FIRE TEX 5120'!$O$5:$O$40,'FIRE TEX 5120'!$O$5:$O$40,"&gt;="&amp;M581),'FIRE TEX 5120'!$O$5:$T$40,IF(L581="F-15",2,IF(L581="F-30",3,IF(L581="F-60",4,IF(L581="F-90",5,IF(L581="F-120",6,0))))),0),0)</f>
        <v>0</v>
      </c>
      <c r="Q581" s="46">
        <f t="shared" si="64"/>
        <v>0</v>
      </c>
      <c r="R581" s="46">
        <f t="shared" si="65"/>
        <v>0</v>
      </c>
      <c r="S581" s="46" t="e">
        <f t="shared" si="66"/>
        <v>#VALUE!</v>
      </c>
      <c r="T581" s="677">
        <f t="shared" si="67"/>
        <v>0</v>
      </c>
      <c r="U581" s="80">
        <f>(IF(O581="Stofire",(S581*#REF!),0))+(IF(O581="Fire Control",(S581*$U$2),0))+(IF(O581="Fire Tex",(S581*$U$3),0))+(IF(O581="WB7",(S581*#REF!),0)+(IF(O581="FX 2003",(S581*$U$5),0)))</f>
        <v>0</v>
      </c>
      <c r="V581" s="651">
        <f t="shared" si="68"/>
        <v>0</v>
      </c>
    </row>
    <row r="582" spans="4:22" x14ac:dyDescent="0.25">
      <c r="D582" s="118">
        <f>+CUBICACION!D581</f>
        <v>0</v>
      </c>
      <c r="E582" s="118">
        <f>+CUBICACION!F581</f>
        <v>0</v>
      </c>
      <c r="F582" s="118">
        <f>+CUBICACION!E581</f>
        <v>0</v>
      </c>
      <c r="G582" s="118">
        <v>12</v>
      </c>
      <c r="H582" s="118">
        <v>2</v>
      </c>
      <c r="I582" s="820">
        <v>26385</v>
      </c>
      <c r="J582" s="118">
        <f>+CUBICACION!J581</f>
        <v>0</v>
      </c>
      <c r="K582" s="118">
        <v>3361</v>
      </c>
      <c r="L582" s="118">
        <f>+CUBICACION!L581</f>
        <v>0</v>
      </c>
      <c r="M582" s="64">
        <f>+CUBICACION!M581</f>
        <v>0</v>
      </c>
      <c r="N582" s="824" t="str">
        <f>+CUBICACION!N581</f>
        <v/>
      </c>
      <c r="O582" s="675">
        <f>+CUBICACION!O581</f>
        <v>0</v>
      </c>
      <c r="P582" s="15">
        <f>IF(O582="Fire Control",VLOOKUP(_xlfn.MINIFS('FIRE CONTROL'!$C$4:$C$37,'FIRE CONTROL'!$C$4:$C$37,"&gt;="&amp;M582),'FIRE CONTROL'!$C$4:$G$37,IF(L582="F-15",2,IF(L582="F-30",3,IF(L582="F-60",4,IF(L582="F-90",5,0)))),0),0)+IF(AND(O582="FIRE TEX 5062",OR(E582="IN",E582="C",E582="Z",E582="L"),J582=3),VLOOKUP(_xlfn.MINIFS('FIRE TEX 5062'!$B$4:$B$34,'FIRE TEX 5062'!$B$4:$B$34,"&gt;="&amp;M582),'FIRE TEX 5062'!$B$4:$F$34,IF(L582="F-15",2,IF(L582="F-30",3,IF(L582="F-60",4,IF(L582="F-90",5,0)))),0),0)+IF(AND(O582="FIRE TEX 5062",OR(E582="IN",E582="C",E582="Z",E582="L"),J582=4),VLOOKUP(_xlfn.MINIFS('FIRE TEX 5062'!$G$4:$G$34,'FIRE TEX 5062'!$G$4:$G$34,"&gt;="&amp;M582),'FIRE TEX 5062'!$G$4:$K$34,IF(L582="F-15",2,IF(L582="F-30",3,IF(L582="F-60",4,IF(L582="F-90",5,0)))),0),0)+IF(AND(O582="FIRE TEX 5062",E582="CJ",J582=3),VLOOKUP(_xlfn.MINIFS('FIRE TEX 5062'!$L$4:$L$34,'FIRE TEX 5062'!$L$4:$L$34,"&gt;="&amp;M582),'FIRE TEX 5062'!$L$4:$P$34,IF(L582="F-15",2,IF(L582="F-30",3,IF(L582="F-60",4,IF(L582="F-90",5,0)))),0),0)+IF(AND(O582="FIRE TEX 5062",E582="CJ",J582=4),VLOOKUP(_xlfn.MINIFS('FIRE TEX 5062'!$Q$3:$Q$34,'FIRE TEX 5062'!$Q$3:$Q$34,"&gt;="&amp;M582),'FIRE TEX 5062'!$Q$3:$U$34,IF(L582="F-15",2,IF(L582="F-30",3,IF(L582="F-60",4,IF(L582="F-90",5,0)))),0),0)+IF(AND(O582="FIRE TEX 5090",OR(E582="IN",E582="C",E582="Z",E582="L"),J582=3),VLOOKUP(_xlfn.MINIFS('FIRE TEX 5090'!$B$5:$B$43,'FIRE TEX 5090'!$B$5:$B$43,"&gt;="&amp;M582),'FIRE TEX 5090'!$B$5:$H$43,IF(L582="F-15",2,IF(L582="F-30",3,IF(L582="F-60",4,IF(L582="F-90",5,IF(L582="F-120",6,IF(L582="F-150",7,0)))))),0),0)+IF(AND(O582="FIRE TEX 5090",OR(E582="IN",E582="C",E582="Z",E582="L"),J582=4),VLOOKUP(_xlfn.MINIFS('FIRE TEX 5090'!$J$5:$J$43,'FIRE TEX 5090'!$J$5:$J$43,"&gt;="&amp;M582),'FIRE TEX 5090'!$J$5:$P$43,IF(L582="F-15",2,IF(L582="F-30",3,IF(L582="F-60",4,IF(L582="F-90",5,IF(L582="F-120",6,IF(L582="F-150",7,0)))))),0),0)+IF(AND(O582="FIRE TEX 5090",E582="CJ",J582=3),VLOOKUP(_xlfn.MINIFS('FIRE TEX 5090'!$R$5:$R$30,'FIRE TEX 5090'!$R$5:$R$30,"&gt;="&amp;M582),'FIRE TEX 5090'!$R$5:$W$30,IF(L582="F-15",2,IF(L582="F-30",3,IF(L582="F-60",4,IF(L582="F-90",5,IF(L582="F-120",6,IF(L582="F-150",7,0)))))),0),0)+IF(AND(O582="FIRE TEX 5090",E582="CJ",J582=4),VLOOKUP(_xlfn.MINIFS('FIRE TEX 5090'!$Y$5:$Y$39,'FIRE TEX 5090'!$Y$5:$Y$39,"&gt;="&amp;M582),'FIRE TEX 5090'!$Y$5:$AD$39,IF(L582="F-15",2,IF(L582="F-30",3,IF(L582="F-60",4,IF(L582="F-90",5,IF(L582="F-120",6,IF(L582="F-150",7,0)))))),0),0)+IF(AND(O582="FIRE TEX 5120",OR(E582="IN",E582="C",E582="Z",E582="L"),J582=3),VLOOKUP(_xlfn.MINIFS('FIRE TEX 5120'!$B$5:$B$40,'FIRE TEX 5120'!$B$5:$B$40,"&gt;="&amp;M582),'FIRE TEX 5120'!$B$5:$G$40,IF(L582="F-15",2,IF(L582="F-30",3,IF(L582="F-60",4,IF(L582="F-90",5,IF(L582="F-120",6,0))))),0),0)+IF(AND(O582="FIRE TEX 5120",OR(E582="IN",E582="C",E582="Z",E582="L"),J582=4),VLOOKUP(_xlfn.MINIFS('FIRE TEX 5120'!$H$4:$H$40,'FIRE TEX 5120'!$H$4:$H$40,"&gt;="&amp;M582),'FIRE TEX 5120'!$H$4:$M$40,IF(L582="F-15",2,IF(L582="F-30",3,IF(L582="F-60",4,IF(L582="F-90",5,IF(L582="F-120",6,0))))),0),0)+IF(AND(O582="FIRE TEX 5120",E582="CJ"),VLOOKUP(_xlfn.MINIFS('FIRE TEX 5120'!$O$5:$O$40,'FIRE TEX 5120'!$O$5:$O$40,"&gt;="&amp;M582),'FIRE TEX 5120'!$O$5:$T$40,IF(L582="F-15",2,IF(L582="F-30",3,IF(L582="F-60",4,IF(L582="F-90",5,IF(L582="F-120",6,0))))),0),0)</f>
        <v>0</v>
      </c>
      <c r="Q582" s="46">
        <f t="shared" si="64"/>
        <v>0</v>
      </c>
      <c r="R582" s="46">
        <f t="shared" si="65"/>
        <v>0</v>
      </c>
      <c r="S582" s="46" t="e">
        <f t="shared" si="66"/>
        <v>#VALUE!</v>
      </c>
      <c r="T582" s="677">
        <f t="shared" si="67"/>
        <v>0</v>
      </c>
      <c r="U582" s="80">
        <f>(IF(O582="Stofire",(S582*#REF!),0))+(IF(O582="Fire Control",(S582*$U$2),0))+(IF(O582="Fire Tex",(S582*$U$3),0))+(IF(O582="WB7",(S582*#REF!),0)+(IF(O582="FX 2003",(S582*$U$5),0)))</f>
        <v>0</v>
      </c>
      <c r="V582" s="651">
        <f t="shared" si="68"/>
        <v>0</v>
      </c>
    </row>
    <row r="583" spans="4:22" x14ac:dyDescent="0.25">
      <c r="D583" s="118">
        <f>+CUBICACION!D582</f>
        <v>0</v>
      </c>
      <c r="E583" s="118">
        <f>+CUBICACION!F582</f>
        <v>0</v>
      </c>
      <c r="F583" s="118">
        <f>+CUBICACION!E582</f>
        <v>0</v>
      </c>
      <c r="G583" s="118">
        <v>12</v>
      </c>
      <c r="H583" s="118">
        <v>2</v>
      </c>
      <c r="I583" s="820">
        <v>26385</v>
      </c>
      <c r="J583" s="118">
        <f>+CUBICACION!J582</f>
        <v>0</v>
      </c>
      <c r="K583" s="118">
        <v>3362</v>
      </c>
      <c r="L583" s="118">
        <f>+CUBICACION!L582</f>
        <v>0</v>
      </c>
      <c r="M583" s="64">
        <f>+CUBICACION!M582</f>
        <v>0</v>
      </c>
      <c r="N583" s="824" t="str">
        <f>+CUBICACION!N582</f>
        <v/>
      </c>
      <c r="O583" s="675">
        <f>+CUBICACION!O582</f>
        <v>0</v>
      </c>
      <c r="P583" s="15">
        <f>IF(O583="Fire Control",VLOOKUP(_xlfn.MINIFS('FIRE CONTROL'!$C$4:$C$37,'FIRE CONTROL'!$C$4:$C$37,"&gt;="&amp;M583),'FIRE CONTROL'!$C$4:$G$37,IF(L583="F-15",2,IF(L583="F-30",3,IF(L583="F-60",4,IF(L583="F-90",5,0)))),0),0)+IF(AND(O583="FIRE TEX 5062",OR(E583="IN",E583="C",E583="Z",E583="L"),J583=3),VLOOKUP(_xlfn.MINIFS('FIRE TEX 5062'!$B$4:$B$34,'FIRE TEX 5062'!$B$4:$B$34,"&gt;="&amp;M583),'FIRE TEX 5062'!$B$4:$F$34,IF(L583="F-15",2,IF(L583="F-30",3,IF(L583="F-60",4,IF(L583="F-90",5,0)))),0),0)+IF(AND(O583="FIRE TEX 5062",OR(E583="IN",E583="C",E583="Z",E583="L"),J583=4),VLOOKUP(_xlfn.MINIFS('FIRE TEX 5062'!$G$4:$G$34,'FIRE TEX 5062'!$G$4:$G$34,"&gt;="&amp;M583),'FIRE TEX 5062'!$G$4:$K$34,IF(L583="F-15",2,IF(L583="F-30",3,IF(L583="F-60",4,IF(L583="F-90",5,0)))),0),0)+IF(AND(O583="FIRE TEX 5062",E583="CJ",J583=3),VLOOKUP(_xlfn.MINIFS('FIRE TEX 5062'!$L$4:$L$34,'FIRE TEX 5062'!$L$4:$L$34,"&gt;="&amp;M583),'FIRE TEX 5062'!$L$4:$P$34,IF(L583="F-15",2,IF(L583="F-30",3,IF(L583="F-60",4,IF(L583="F-90",5,0)))),0),0)+IF(AND(O583="FIRE TEX 5062",E583="CJ",J583=4),VLOOKUP(_xlfn.MINIFS('FIRE TEX 5062'!$Q$3:$Q$34,'FIRE TEX 5062'!$Q$3:$Q$34,"&gt;="&amp;M583),'FIRE TEX 5062'!$Q$3:$U$34,IF(L583="F-15",2,IF(L583="F-30",3,IF(L583="F-60",4,IF(L583="F-90",5,0)))),0),0)+IF(AND(O583="FIRE TEX 5090",OR(E583="IN",E583="C",E583="Z",E583="L"),J583=3),VLOOKUP(_xlfn.MINIFS('FIRE TEX 5090'!$B$5:$B$43,'FIRE TEX 5090'!$B$5:$B$43,"&gt;="&amp;M583),'FIRE TEX 5090'!$B$5:$H$43,IF(L583="F-15",2,IF(L583="F-30",3,IF(L583="F-60",4,IF(L583="F-90",5,IF(L583="F-120",6,IF(L583="F-150",7,0)))))),0),0)+IF(AND(O583="FIRE TEX 5090",OR(E583="IN",E583="C",E583="Z",E583="L"),J583=4),VLOOKUP(_xlfn.MINIFS('FIRE TEX 5090'!$J$5:$J$43,'FIRE TEX 5090'!$J$5:$J$43,"&gt;="&amp;M583),'FIRE TEX 5090'!$J$5:$P$43,IF(L583="F-15",2,IF(L583="F-30",3,IF(L583="F-60",4,IF(L583="F-90",5,IF(L583="F-120",6,IF(L583="F-150",7,0)))))),0),0)+IF(AND(O583="FIRE TEX 5090",E583="CJ",J583=3),VLOOKUP(_xlfn.MINIFS('FIRE TEX 5090'!$R$5:$R$30,'FIRE TEX 5090'!$R$5:$R$30,"&gt;="&amp;M583),'FIRE TEX 5090'!$R$5:$W$30,IF(L583="F-15",2,IF(L583="F-30",3,IF(L583="F-60",4,IF(L583="F-90",5,IF(L583="F-120",6,IF(L583="F-150",7,0)))))),0),0)+IF(AND(O583="FIRE TEX 5090",E583="CJ",J583=4),VLOOKUP(_xlfn.MINIFS('FIRE TEX 5090'!$Y$5:$Y$39,'FIRE TEX 5090'!$Y$5:$Y$39,"&gt;="&amp;M583),'FIRE TEX 5090'!$Y$5:$AD$39,IF(L583="F-15",2,IF(L583="F-30",3,IF(L583="F-60",4,IF(L583="F-90",5,IF(L583="F-120",6,IF(L583="F-150",7,0)))))),0),0)+IF(AND(O583="FIRE TEX 5120",OR(E583="IN",E583="C",E583="Z",E583="L"),J583=3),VLOOKUP(_xlfn.MINIFS('FIRE TEX 5120'!$B$5:$B$40,'FIRE TEX 5120'!$B$5:$B$40,"&gt;="&amp;M583),'FIRE TEX 5120'!$B$5:$G$40,IF(L583="F-15",2,IF(L583="F-30",3,IF(L583="F-60",4,IF(L583="F-90",5,IF(L583="F-120",6,0))))),0),0)+IF(AND(O583="FIRE TEX 5120",OR(E583="IN",E583="C",E583="Z",E583="L"),J583=4),VLOOKUP(_xlfn.MINIFS('FIRE TEX 5120'!$H$4:$H$40,'FIRE TEX 5120'!$H$4:$H$40,"&gt;="&amp;M583),'FIRE TEX 5120'!$H$4:$M$40,IF(L583="F-15",2,IF(L583="F-30",3,IF(L583="F-60",4,IF(L583="F-90",5,IF(L583="F-120",6,0))))),0),0)+IF(AND(O583="FIRE TEX 5120",E583="CJ"),VLOOKUP(_xlfn.MINIFS('FIRE TEX 5120'!$O$5:$O$40,'FIRE TEX 5120'!$O$5:$O$40,"&gt;="&amp;M583),'FIRE TEX 5120'!$O$5:$T$40,IF(L583="F-15",2,IF(L583="F-30",3,IF(L583="F-60",4,IF(L583="F-90",5,IF(L583="F-120",6,0))))),0),0)</f>
        <v>0</v>
      </c>
      <c r="Q583" s="46">
        <f t="shared" si="64"/>
        <v>0</v>
      </c>
      <c r="R583" s="46">
        <f t="shared" si="65"/>
        <v>0</v>
      </c>
      <c r="S583" s="46" t="e">
        <f t="shared" si="66"/>
        <v>#VALUE!</v>
      </c>
      <c r="T583" s="677">
        <f t="shared" si="67"/>
        <v>0</v>
      </c>
      <c r="U583" s="80">
        <f>(IF(O583="Stofire",(S583*#REF!),0))+(IF(O583="Fire Control",(S583*$U$2),0))+(IF(O583="Fire Tex",(S583*$U$3),0))+(IF(O583="WB7",(S583*#REF!),0)+(IF(O583="FX 2003",(S583*$U$5),0)))</f>
        <v>0</v>
      </c>
      <c r="V583" s="651">
        <f t="shared" si="68"/>
        <v>0</v>
      </c>
    </row>
    <row r="584" spans="4:22" x14ac:dyDescent="0.25">
      <c r="D584" s="118">
        <f>+CUBICACION!D583</f>
        <v>0</v>
      </c>
      <c r="E584" s="118">
        <f>+CUBICACION!F583</f>
        <v>0</v>
      </c>
      <c r="F584" s="118">
        <f>+CUBICACION!E583</f>
        <v>0</v>
      </c>
      <c r="G584" s="118">
        <v>12</v>
      </c>
      <c r="H584" s="118">
        <v>2</v>
      </c>
      <c r="I584" s="820">
        <v>26385</v>
      </c>
      <c r="J584" s="118">
        <f>+CUBICACION!J583</f>
        <v>0</v>
      </c>
      <c r="K584" s="118">
        <v>3363</v>
      </c>
      <c r="L584" s="118">
        <f>+CUBICACION!L583</f>
        <v>0</v>
      </c>
      <c r="M584" s="64">
        <f>+CUBICACION!M583</f>
        <v>0</v>
      </c>
      <c r="N584" s="824" t="str">
        <f>+CUBICACION!N583</f>
        <v/>
      </c>
      <c r="O584" s="675">
        <f>+CUBICACION!O583</f>
        <v>0</v>
      </c>
      <c r="P584" s="15">
        <f>IF(O584="Fire Control",VLOOKUP(_xlfn.MINIFS('FIRE CONTROL'!$C$4:$C$37,'FIRE CONTROL'!$C$4:$C$37,"&gt;="&amp;M584),'FIRE CONTROL'!$C$4:$G$37,IF(L584="F-15",2,IF(L584="F-30",3,IF(L584="F-60",4,IF(L584="F-90",5,0)))),0),0)+IF(AND(O584="FIRE TEX 5062",OR(E584="IN",E584="C",E584="Z",E584="L"),J584=3),VLOOKUP(_xlfn.MINIFS('FIRE TEX 5062'!$B$4:$B$34,'FIRE TEX 5062'!$B$4:$B$34,"&gt;="&amp;M584),'FIRE TEX 5062'!$B$4:$F$34,IF(L584="F-15",2,IF(L584="F-30",3,IF(L584="F-60",4,IF(L584="F-90",5,0)))),0),0)+IF(AND(O584="FIRE TEX 5062",OR(E584="IN",E584="C",E584="Z",E584="L"),J584=4),VLOOKUP(_xlfn.MINIFS('FIRE TEX 5062'!$G$4:$G$34,'FIRE TEX 5062'!$G$4:$G$34,"&gt;="&amp;M584),'FIRE TEX 5062'!$G$4:$K$34,IF(L584="F-15",2,IF(L584="F-30",3,IF(L584="F-60",4,IF(L584="F-90",5,0)))),0),0)+IF(AND(O584="FIRE TEX 5062",E584="CJ",J584=3),VLOOKUP(_xlfn.MINIFS('FIRE TEX 5062'!$L$4:$L$34,'FIRE TEX 5062'!$L$4:$L$34,"&gt;="&amp;M584),'FIRE TEX 5062'!$L$4:$P$34,IF(L584="F-15",2,IF(L584="F-30",3,IF(L584="F-60",4,IF(L584="F-90",5,0)))),0),0)+IF(AND(O584="FIRE TEX 5062",E584="CJ",J584=4),VLOOKUP(_xlfn.MINIFS('FIRE TEX 5062'!$Q$3:$Q$34,'FIRE TEX 5062'!$Q$3:$Q$34,"&gt;="&amp;M584),'FIRE TEX 5062'!$Q$3:$U$34,IF(L584="F-15",2,IF(L584="F-30",3,IF(L584="F-60",4,IF(L584="F-90",5,0)))),0),0)+IF(AND(O584="FIRE TEX 5090",OR(E584="IN",E584="C",E584="Z",E584="L"),J584=3),VLOOKUP(_xlfn.MINIFS('FIRE TEX 5090'!$B$5:$B$43,'FIRE TEX 5090'!$B$5:$B$43,"&gt;="&amp;M584),'FIRE TEX 5090'!$B$5:$H$43,IF(L584="F-15",2,IF(L584="F-30",3,IF(L584="F-60",4,IF(L584="F-90",5,IF(L584="F-120",6,IF(L584="F-150",7,0)))))),0),0)+IF(AND(O584="FIRE TEX 5090",OR(E584="IN",E584="C",E584="Z",E584="L"),J584=4),VLOOKUP(_xlfn.MINIFS('FIRE TEX 5090'!$J$5:$J$43,'FIRE TEX 5090'!$J$5:$J$43,"&gt;="&amp;M584),'FIRE TEX 5090'!$J$5:$P$43,IF(L584="F-15",2,IF(L584="F-30",3,IF(L584="F-60",4,IF(L584="F-90",5,IF(L584="F-120",6,IF(L584="F-150",7,0)))))),0),0)+IF(AND(O584="FIRE TEX 5090",E584="CJ",J584=3),VLOOKUP(_xlfn.MINIFS('FIRE TEX 5090'!$R$5:$R$30,'FIRE TEX 5090'!$R$5:$R$30,"&gt;="&amp;M584),'FIRE TEX 5090'!$R$5:$W$30,IF(L584="F-15",2,IF(L584="F-30",3,IF(L584="F-60",4,IF(L584="F-90",5,IF(L584="F-120",6,IF(L584="F-150",7,0)))))),0),0)+IF(AND(O584="FIRE TEX 5090",E584="CJ",J584=4),VLOOKUP(_xlfn.MINIFS('FIRE TEX 5090'!$Y$5:$Y$39,'FIRE TEX 5090'!$Y$5:$Y$39,"&gt;="&amp;M584),'FIRE TEX 5090'!$Y$5:$AD$39,IF(L584="F-15",2,IF(L584="F-30",3,IF(L584="F-60",4,IF(L584="F-90",5,IF(L584="F-120",6,IF(L584="F-150",7,0)))))),0),0)+IF(AND(O584="FIRE TEX 5120",OR(E584="IN",E584="C",E584="Z",E584="L"),J584=3),VLOOKUP(_xlfn.MINIFS('FIRE TEX 5120'!$B$5:$B$40,'FIRE TEX 5120'!$B$5:$B$40,"&gt;="&amp;M584),'FIRE TEX 5120'!$B$5:$G$40,IF(L584="F-15",2,IF(L584="F-30",3,IF(L584="F-60",4,IF(L584="F-90",5,IF(L584="F-120",6,0))))),0),0)+IF(AND(O584="FIRE TEX 5120",OR(E584="IN",E584="C",E584="Z",E584="L"),J584=4),VLOOKUP(_xlfn.MINIFS('FIRE TEX 5120'!$H$4:$H$40,'FIRE TEX 5120'!$H$4:$H$40,"&gt;="&amp;M584),'FIRE TEX 5120'!$H$4:$M$40,IF(L584="F-15",2,IF(L584="F-30",3,IF(L584="F-60",4,IF(L584="F-90",5,IF(L584="F-120",6,0))))),0),0)+IF(AND(O584="FIRE TEX 5120",E584="CJ"),VLOOKUP(_xlfn.MINIFS('FIRE TEX 5120'!$O$5:$O$40,'FIRE TEX 5120'!$O$5:$O$40,"&gt;="&amp;M584),'FIRE TEX 5120'!$O$5:$T$40,IF(L584="F-15",2,IF(L584="F-30",3,IF(L584="F-60",4,IF(L584="F-90",5,IF(L584="F-120",6,0))))),0),0)</f>
        <v>0</v>
      </c>
      <c r="Q584" s="46">
        <f t="shared" si="64"/>
        <v>0</v>
      </c>
      <c r="R584" s="46">
        <f t="shared" si="65"/>
        <v>0</v>
      </c>
      <c r="S584" s="46" t="e">
        <f t="shared" si="66"/>
        <v>#VALUE!</v>
      </c>
      <c r="T584" s="677">
        <f t="shared" si="67"/>
        <v>0</v>
      </c>
      <c r="U584" s="80">
        <f>(IF(O584="Stofire",(S584*#REF!),0))+(IF(O584="Fire Control",(S584*$U$2),0))+(IF(O584="Fire Tex",(S584*$U$3),0))+(IF(O584="WB7",(S584*#REF!),0)+(IF(O584="FX 2003",(S584*$U$5),0)))</f>
        <v>0</v>
      </c>
      <c r="V584" s="651">
        <f t="shared" si="68"/>
        <v>0</v>
      </c>
    </row>
    <row r="585" spans="4:22" x14ac:dyDescent="0.25">
      <c r="D585" s="118">
        <f>+CUBICACION!D584</f>
        <v>0</v>
      </c>
      <c r="E585" s="118">
        <f>+CUBICACION!F584</f>
        <v>0</v>
      </c>
      <c r="F585" s="118">
        <f>+CUBICACION!E584</f>
        <v>0</v>
      </c>
      <c r="G585" s="118">
        <v>12</v>
      </c>
      <c r="H585" s="118">
        <v>2</v>
      </c>
      <c r="I585" s="820">
        <v>26385</v>
      </c>
      <c r="J585" s="118">
        <f>+CUBICACION!J584</f>
        <v>0</v>
      </c>
      <c r="K585" s="118">
        <v>3364</v>
      </c>
      <c r="L585" s="118">
        <f>+CUBICACION!L584</f>
        <v>0</v>
      </c>
      <c r="M585" s="64">
        <f>+CUBICACION!M584</f>
        <v>0</v>
      </c>
      <c r="N585" s="824" t="str">
        <f>+CUBICACION!N584</f>
        <v/>
      </c>
      <c r="O585" s="675">
        <f>+CUBICACION!O584</f>
        <v>0</v>
      </c>
      <c r="P585" s="15">
        <f>IF(O585="Fire Control",VLOOKUP(_xlfn.MINIFS('FIRE CONTROL'!$C$4:$C$37,'FIRE CONTROL'!$C$4:$C$37,"&gt;="&amp;M585),'FIRE CONTROL'!$C$4:$G$37,IF(L585="F-15",2,IF(L585="F-30",3,IF(L585="F-60",4,IF(L585="F-90",5,0)))),0),0)+IF(AND(O585="FIRE TEX 5062",OR(E585="IN",E585="C",E585="Z",E585="L"),J585=3),VLOOKUP(_xlfn.MINIFS('FIRE TEX 5062'!$B$4:$B$34,'FIRE TEX 5062'!$B$4:$B$34,"&gt;="&amp;M585),'FIRE TEX 5062'!$B$4:$F$34,IF(L585="F-15",2,IF(L585="F-30",3,IF(L585="F-60",4,IF(L585="F-90",5,0)))),0),0)+IF(AND(O585="FIRE TEX 5062",OR(E585="IN",E585="C",E585="Z",E585="L"),J585=4),VLOOKUP(_xlfn.MINIFS('FIRE TEX 5062'!$G$4:$G$34,'FIRE TEX 5062'!$G$4:$G$34,"&gt;="&amp;M585),'FIRE TEX 5062'!$G$4:$K$34,IF(L585="F-15",2,IF(L585="F-30",3,IF(L585="F-60",4,IF(L585="F-90",5,0)))),0),0)+IF(AND(O585="FIRE TEX 5062",E585="CJ",J585=3),VLOOKUP(_xlfn.MINIFS('FIRE TEX 5062'!$L$4:$L$34,'FIRE TEX 5062'!$L$4:$L$34,"&gt;="&amp;M585),'FIRE TEX 5062'!$L$4:$P$34,IF(L585="F-15",2,IF(L585="F-30",3,IF(L585="F-60",4,IF(L585="F-90",5,0)))),0),0)+IF(AND(O585="FIRE TEX 5062",E585="CJ",J585=4),VLOOKUP(_xlfn.MINIFS('FIRE TEX 5062'!$Q$3:$Q$34,'FIRE TEX 5062'!$Q$3:$Q$34,"&gt;="&amp;M585),'FIRE TEX 5062'!$Q$3:$U$34,IF(L585="F-15",2,IF(L585="F-30",3,IF(L585="F-60",4,IF(L585="F-90",5,0)))),0),0)+IF(AND(O585="FIRE TEX 5090",OR(E585="IN",E585="C",E585="Z",E585="L"),J585=3),VLOOKUP(_xlfn.MINIFS('FIRE TEX 5090'!$B$5:$B$43,'FIRE TEX 5090'!$B$5:$B$43,"&gt;="&amp;M585),'FIRE TEX 5090'!$B$5:$H$43,IF(L585="F-15",2,IF(L585="F-30",3,IF(L585="F-60",4,IF(L585="F-90",5,IF(L585="F-120",6,IF(L585="F-150",7,0)))))),0),0)+IF(AND(O585="FIRE TEX 5090",OR(E585="IN",E585="C",E585="Z",E585="L"),J585=4),VLOOKUP(_xlfn.MINIFS('FIRE TEX 5090'!$J$5:$J$43,'FIRE TEX 5090'!$J$5:$J$43,"&gt;="&amp;M585),'FIRE TEX 5090'!$J$5:$P$43,IF(L585="F-15",2,IF(L585="F-30",3,IF(L585="F-60",4,IF(L585="F-90",5,IF(L585="F-120",6,IF(L585="F-150",7,0)))))),0),0)+IF(AND(O585="FIRE TEX 5090",E585="CJ",J585=3),VLOOKUP(_xlfn.MINIFS('FIRE TEX 5090'!$R$5:$R$30,'FIRE TEX 5090'!$R$5:$R$30,"&gt;="&amp;M585),'FIRE TEX 5090'!$R$5:$W$30,IF(L585="F-15",2,IF(L585="F-30",3,IF(L585="F-60",4,IF(L585="F-90",5,IF(L585="F-120",6,IF(L585="F-150",7,0)))))),0),0)+IF(AND(O585="FIRE TEX 5090",E585="CJ",J585=4),VLOOKUP(_xlfn.MINIFS('FIRE TEX 5090'!$Y$5:$Y$39,'FIRE TEX 5090'!$Y$5:$Y$39,"&gt;="&amp;M585),'FIRE TEX 5090'!$Y$5:$AD$39,IF(L585="F-15",2,IF(L585="F-30",3,IF(L585="F-60",4,IF(L585="F-90",5,IF(L585="F-120",6,IF(L585="F-150",7,0)))))),0),0)+IF(AND(O585="FIRE TEX 5120",OR(E585="IN",E585="C",E585="Z",E585="L"),J585=3),VLOOKUP(_xlfn.MINIFS('FIRE TEX 5120'!$B$5:$B$40,'FIRE TEX 5120'!$B$5:$B$40,"&gt;="&amp;M585),'FIRE TEX 5120'!$B$5:$G$40,IF(L585="F-15",2,IF(L585="F-30",3,IF(L585="F-60",4,IF(L585="F-90",5,IF(L585="F-120",6,0))))),0),0)+IF(AND(O585="FIRE TEX 5120",OR(E585="IN",E585="C",E585="Z",E585="L"),J585=4),VLOOKUP(_xlfn.MINIFS('FIRE TEX 5120'!$H$4:$H$40,'FIRE TEX 5120'!$H$4:$H$40,"&gt;="&amp;M585),'FIRE TEX 5120'!$H$4:$M$40,IF(L585="F-15",2,IF(L585="F-30",3,IF(L585="F-60",4,IF(L585="F-90",5,IF(L585="F-120",6,0))))),0),0)+IF(AND(O585="FIRE TEX 5120",E585="CJ"),VLOOKUP(_xlfn.MINIFS('FIRE TEX 5120'!$O$5:$O$40,'FIRE TEX 5120'!$O$5:$O$40,"&gt;="&amp;M585),'FIRE TEX 5120'!$O$5:$T$40,IF(L585="F-15",2,IF(L585="F-30",3,IF(L585="F-60",4,IF(L585="F-90",5,IF(L585="F-120",6,0))))),0),0)</f>
        <v>0</v>
      </c>
      <c r="Q585" s="46">
        <f t="shared" si="64"/>
        <v>0</v>
      </c>
      <c r="R585" s="46">
        <f t="shared" si="65"/>
        <v>0</v>
      </c>
      <c r="S585" s="46" t="e">
        <f t="shared" si="66"/>
        <v>#VALUE!</v>
      </c>
      <c r="T585" s="677">
        <f t="shared" si="67"/>
        <v>0</v>
      </c>
      <c r="U585" s="80">
        <f>(IF(O585="Stofire",(S585*#REF!),0))+(IF(O585="Fire Control",(S585*$U$2),0))+(IF(O585="Fire Tex",(S585*$U$3),0))+(IF(O585="WB7",(S585*#REF!),0)+(IF(O585="FX 2003",(S585*$U$5),0)))</f>
        <v>0</v>
      </c>
      <c r="V585" s="651">
        <f t="shared" si="68"/>
        <v>0</v>
      </c>
    </row>
    <row r="586" spans="4:22" x14ac:dyDescent="0.25">
      <c r="D586" s="118">
        <f>+CUBICACION!D585</f>
        <v>0</v>
      </c>
      <c r="E586" s="118">
        <f>+CUBICACION!F585</f>
        <v>0</v>
      </c>
      <c r="F586" s="118">
        <f>+CUBICACION!E585</f>
        <v>0</v>
      </c>
      <c r="G586" s="118">
        <v>12</v>
      </c>
      <c r="H586" s="118">
        <v>2</v>
      </c>
      <c r="I586" s="820">
        <v>26385</v>
      </c>
      <c r="J586" s="118">
        <f>+CUBICACION!J585</f>
        <v>0</v>
      </c>
      <c r="K586" s="118">
        <v>3365</v>
      </c>
      <c r="L586" s="118">
        <f>+CUBICACION!L585</f>
        <v>0</v>
      </c>
      <c r="M586" s="64">
        <f>+CUBICACION!M585</f>
        <v>0</v>
      </c>
      <c r="N586" s="824" t="str">
        <f>+CUBICACION!N585</f>
        <v/>
      </c>
      <c r="O586" s="675">
        <f>+CUBICACION!O585</f>
        <v>0</v>
      </c>
      <c r="P586" s="15">
        <f>IF(O586="Fire Control",VLOOKUP(_xlfn.MINIFS('FIRE CONTROL'!$C$4:$C$37,'FIRE CONTROL'!$C$4:$C$37,"&gt;="&amp;M586),'FIRE CONTROL'!$C$4:$G$37,IF(L586="F-15",2,IF(L586="F-30",3,IF(L586="F-60",4,IF(L586="F-90",5,0)))),0),0)+IF(AND(O586="FIRE TEX 5062",OR(E586="IN",E586="C",E586="Z",E586="L"),J586=3),VLOOKUP(_xlfn.MINIFS('FIRE TEX 5062'!$B$4:$B$34,'FIRE TEX 5062'!$B$4:$B$34,"&gt;="&amp;M586),'FIRE TEX 5062'!$B$4:$F$34,IF(L586="F-15",2,IF(L586="F-30",3,IF(L586="F-60",4,IF(L586="F-90",5,0)))),0),0)+IF(AND(O586="FIRE TEX 5062",OR(E586="IN",E586="C",E586="Z",E586="L"),J586=4),VLOOKUP(_xlfn.MINIFS('FIRE TEX 5062'!$G$4:$G$34,'FIRE TEX 5062'!$G$4:$G$34,"&gt;="&amp;M586),'FIRE TEX 5062'!$G$4:$K$34,IF(L586="F-15",2,IF(L586="F-30",3,IF(L586="F-60",4,IF(L586="F-90",5,0)))),0),0)+IF(AND(O586="FIRE TEX 5062",E586="CJ",J586=3),VLOOKUP(_xlfn.MINIFS('FIRE TEX 5062'!$L$4:$L$34,'FIRE TEX 5062'!$L$4:$L$34,"&gt;="&amp;M586),'FIRE TEX 5062'!$L$4:$P$34,IF(L586="F-15",2,IF(L586="F-30",3,IF(L586="F-60",4,IF(L586="F-90",5,0)))),0),0)+IF(AND(O586="FIRE TEX 5062",E586="CJ",J586=4),VLOOKUP(_xlfn.MINIFS('FIRE TEX 5062'!$Q$3:$Q$34,'FIRE TEX 5062'!$Q$3:$Q$34,"&gt;="&amp;M586),'FIRE TEX 5062'!$Q$3:$U$34,IF(L586="F-15",2,IF(L586="F-30",3,IF(L586="F-60",4,IF(L586="F-90",5,0)))),0),0)+IF(AND(O586="FIRE TEX 5090",OR(E586="IN",E586="C",E586="Z",E586="L"),J586=3),VLOOKUP(_xlfn.MINIFS('FIRE TEX 5090'!$B$5:$B$43,'FIRE TEX 5090'!$B$5:$B$43,"&gt;="&amp;M586),'FIRE TEX 5090'!$B$5:$H$43,IF(L586="F-15",2,IF(L586="F-30",3,IF(L586="F-60",4,IF(L586="F-90",5,IF(L586="F-120",6,IF(L586="F-150",7,0)))))),0),0)+IF(AND(O586="FIRE TEX 5090",OR(E586="IN",E586="C",E586="Z",E586="L"),J586=4),VLOOKUP(_xlfn.MINIFS('FIRE TEX 5090'!$J$5:$J$43,'FIRE TEX 5090'!$J$5:$J$43,"&gt;="&amp;M586),'FIRE TEX 5090'!$J$5:$P$43,IF(L586="F-15",2,IF(L586="F-30",3,IF(L586="F-60",4,IF(L586="F-90",5,IF(L586="F-120",6,IF(L586="F-150",7,0)))))),0),0)+IF(AND(O586="FIRE TEX 5090",E586="CJ",J586=3),VLOOKUP(_xlfn.MINIFS('FIRE TEX 5090'!$R$5:$R$30,'FIRE TEX 5090'!$R$5:$R$30,"&gt;="&amp;M586),'FIRE TEX 5090'!$R$5:$W$30,IF(L586="F-15",2,IF(L586="F-30",3,IF(L586="F-60",4,IF(L586="F-90",5,IF(L586="F-120",6,IF(L586="F-150",7,0)))))),0),0)+IF(AND(O586="FIRE TEX 5090",E586="CJ",J586=4),VLOOKUP(_xlfn.MINIFS('FIRE TEX 5090'!$Y$5:$Y$39,'FIRE TEX 5090'!$Y$5:$Y$39,"&gt;="&amp;M586),'FIRE TEX 5090'!$Y$5:$AD$39,IF(L586="F-15",2,IF(L586="F-30",3,IF(L586="F-60",4,IF(L586="F-90",5,IF(L586="F-120",6,IF(L586="F-150",7,0)))))),0),0)+IF(AND(O586="FIRE TEX 5120",OR(E586="IN",E586="C",E586="Z",E586="L"),J586=3),VLOOKUP(_xlfn.MINIFS('FIRE TEX 5120'!$B$5:$B$40,'FIRE TEX 5120'!$B$5:$B$40,"&gt;="&amp;M586),'FIRE TEX 5120'!$B$5:$G$40,IF(L586="F-15",2,IF(L586="F-30",3,IF(L586="F-60",4,IF(L586="F-90",5,IF(L586="F-120",6,0))))),0),0)+IF(AND(O586="FIRE TEX 5120",OR(E586="IN",E586="C",E586="Z",E586="L"),J586=4),VLOOKUP(_xlfn.MINIFS('FIRE TEX 5120'!$H$4:$H$40,'FIRE TEX 5120'!$H$4:$H$40,"&gt;="&amp;M586),'FIRE TEX 5120'!$H$4:$M$40,IF(L586="F-15",2,IF(L586="F-30",3,IF(L586="F-60",4,IF(L586="F-90",5,IF(L586="F-120",6,0))))),0),0)+IF(AND(O586="FIRE TEX 5120",E586="CJ"),VLOOKUP(_xlfn.MINIFS('FIRE TEX 5120'!$O$5:$O$40,'FIRE TEX 5120'!$O$5:$O$40,"&gt;="&amp;M586),'FIRE TEX 5120'!$O$5:$T$40,IF(L586="F-15",2,IF(L586="F-30",3,IF(L586="F-60",4,IF(L586="F-90",5,IF(L586="F-120",6,0))))),0),0)</f>
        <v>0</v>
      </c>
      <c r="Q586" s="46">
        <f t="shared" si="64"/>
        <v>0</v>
      </c>
      <c r="R586" s="46">
        <f t="shared" si="65"/>
        <v>0</v>
      </c>
      <c r="S586" s="46" t="e">
        <f t="shared" si="66"/>
        <v>#VALUE!</v>
      </c>
      <c r="T586" s="677">
        <f t="shared" si="67"/>
        <v>0</v>
      </c>
      <c r="U586" s="80">
        <f>(IF(O586="Stofire",(S586*#REF!),0))+(IF(O586="Fire Control",(S586*$U$2),0))+(IF(O586="Fire Tex",(S586*$U$3),0))+(IF(O586="WB7",(S586*#REF!),0)+(IF(O586="FX 2003",(S586*$U$5),0)))</f>
        <v>0</v>
      </c>
      <c r="V586" s="651">
        <f t="shared" si="68"/>
        <v>0</v>
      </c>
    </row>
    <row r="587" spans="4:22" x14ac:dyDescent="0.25">
      <c r="D587" s="118">
        <f>+CUBICACION!D586</f>
        <v>0</v>
      </c>
      <c r="E587" s="118">
        <f>+CUBICACION!F586</f>
        <v>0</v>
      </c>
      <c r="F587" s="118">
        <f>+CUBICACION!E586</f>
        <v>0</v>
      </c>
      <c r="G587" s="118">
        <v>12</v>
      </c>
      <c r="H587" s="118">
        <v>2</v>
      </c>
      <c r="I587" s="820">
        <v>26385</v>
      </c>
      <c r="J587" s="118">
        <f>+CUBICACION!J586</f>
        <v>0</v>
      </c>
      <c r="K587" s="118">
        <v>3366</v>
      </c>
      <c r="L587" s="118">
        <f>+CUBICACION!L586</f>
        <v>0</v>
      </c>
      <c r="M587" s="64">
        <f>+CUBICACION!M586</f>
        <v>0</v>
      </c>
      <c r="N587" s="824" t="str">
        <f>+CUBICACION!N586</f>
        <v/>
      </c>
      <c r="O587" s="675">
        <f>+CUBICACION!O586</f>
        <v>0</v>
      </c>
      <c r="P587" s="15">
        <f>IF(O587="Fire Control",VLOOKUP(_xlfn.MINIFS('FIRE CONTROL'!$C$4:$C$37,'FIRE CONTROL'!$C$4:$C$37,"&gt;="&amp;M587),'FIRE CONTROL'!$C$4:$G$37,IF(L587="F-15",2,IF(L587="F-30",3,IF(L587="F-60",4,IF(L587="F-90",5,0)))),0),0)+IF(AND(O587="FIRE TEX 5062",OR(E587="IN",E587="C",E587="Z",E587="L"),J587=3),VLOOKUP(_xlfn.MINIFS('FIRE TEX 5062'!$B$4:$B$34,'FIRE TEX 5062'!$B$4:$B$34,"&gt;="&amp;M587),'FIRE TEX 5062'!$B$4:$F$34,IF(L587="F-15",2,IF(L587="F-30",3,IF(L587="F-60",4,IF(L587="F-90",5,0)))),0),0)+IF(AND(O587="FIRE TEX 5062",OR(E587="IN",E587="C",E587="Z",E587="L"),J587=4),VLOOKUP(_xlfn.MINIFS('FIRE TEX 5062'!$G$4:$G$34,'FIRE TEX 5062'!$G$4:$G$34,"&gt;="&amp;M587),'FIRE TEX 5062'!$G$4:$K$34,IF(L587="F-15",2,IF(L587="F-30",3,IF(L587="F-60",4,IF(L587="F-90",5,0)))),0),0)+IF(AND(O587="FIRE TEX 5062",E587="CJ",J587=3),VLOOKUP(_xlfn.MINIFS('FIRE TEX 5062'!$L$4:$L$34,'FIRE TEX 5062'!$L$4:$L$34,"&gt;="&amp;M587),'FIRE TEX 5062'!$L$4:$P$34,IF(L587="F-15",2,IF(L587="F-30",3,IF(L587="F-60",4,IF(L587="F-90",5,0)))),0),0)+IF(AND(O587="FIRE TEX 5062",E587="CJ",J587=4),VLOOKUP(_xlfn.MINIFS('FIRE TEX 5062'!$Q$3:$Q$34,'FIRE TEX 5062'!$Q$3:$Q$34,"&gt;="&amp;M587),'FIRE TEX 5062'!$Q$3:$U$34,IF(L587="F-15",2,IF(L587="F-30",3,IF(L587="F-60",4,IF(L587="F-90",5,0)))),0),0)+IF(AND(O587="FIRE TEX 5090",OR(E587="IN",E587="C",E587="Z",E587="L"),J587=3),VLOOKUP(_xlfn.MINIFS('FIRE TEX 5090'!$B$5:$B$43,'FIRE TEX 5090'!$B$5:$B$43,"&gt;="&amp;M587),'FIRE TEX 5090'!$B$5:$H$43,IF(L587="F-15",2,IF(L587="F-30",3,IF(L587="F-60",4,IF(L587="F-90",5,IF(L587="F-120",6,IF(L587="F-150",7,0)))))),0),0)+IF(AND(O587="FIRE TEX 5090",OR(E587="IN",E587="C",E587="Z",E587="L"),J587=4),VLOOKUP(_xlfn.MINIFS('FIRE TEX 5090'!$J$5:$J$43,'FIRE TEX 5090'!$J$5:$J$43,"&gt;="&amp;M587),'FIRE TEX 5090'!$J$5:$P$43,IF(L587="F-15",2,IF(L587="F-30",3,IF(L587="F-60",4,IF(L587="F-90",5,IF(L587="F-120",6,IF(L587="F-150",7,0)))))),0),0)+IF(AND(O587="FIRE TEX 5090",E587="CJ",J587=3),VLOOKUP(_xlfn.MINIFS('FIRE TEX 5090'!$R$5:$R$30,'FIRE TEX 5090'!$R$5:$R$30,"&gt;="&amp;M587),'FIRE TEX 5090'!$R$5:$W$30,IF(L587="F-15",2,IF(L587="F-30",3,IF(L587="F-60",4,IF(L587="F-90",5,IF(L587="F-120",6,IF(L587="F-150",7,0)))))),0),0)+IF(AND(O587="FIRE TEX 5090",E587="CJ",J587=4),VLOOKUP(_xlfn.MINIFS('FIRE TEX 5090'!$Y$5:$Y$39,'FIRE TEX 5090'!$Y$5:$Y$39,"&gt;="&amp;M587),'FIRE TEX 5090'!$Y$5:$AD$39,IF(L587="F-15",2,IF(L587="F-30",3,IF(L587="F-60",4,IF(L587="F-90",5,IF(L587="F-120",6,IF(L587="F-150",7,0)))))),0),0)+IF(AND(O587="FIRE TEX 5120",OR(E587="IN",E587="C",E587="Z",E587="L"),J587=3),VLOOKUP(_xlfn.MINIFS('FIRE TEX 5120'!$B$5:$B$40,'FIRE TEX 5120'!$B$5:$B$40,"&gt;="&amp;M587),'FIRE TEX 5120'!$B$5:$G$40,IF(L587="F-15",2,IF(L587="F-30",3,IF(L587="F-60",4,IF(L587="F-90",5,IF(L587="F-120",6,0))))),0),0)+IF(AND(O587="FIRE TEX 5120",OR(E587="IN",E587="C",E587="Z",E587="L"),J587=4),VLOOKUP(_xlfn.MINIFS('FIRE TEX 5120'!$H$4:$H$40,'FIRE TEX 5120'!$H$4:$H$40,"&gt;="&amp;M587),'FIRE TEX 5120'!$H$4:$M$40,IF(L587="F-15",2,IF(L587="F-30",3,IF(L587="F-60",4,IF(L587="F-90",5,IF(L587="F-120",6,0))))),0),0)+IF(AND(O587="FIRE TEX 5120",E587="CJ"),VLOOKUP(_xlfn.MINIFS('FIRE TEX 5120'!$O$5:$O$40,'FIRE TEX 5120'!$O$5:$O$40,"&gt;="&amp;M587),'FIRE TEX 5120'!$O$5:$T$40,IF(L587="F-15",2,IF(L587="F-30",3,IF(L587="F-60",4,IF(L587="F-90",5,IF(L587="F-120",6,0))))),0),0)</f>
        <v>0</v>
      </c>
      <c r="Q587" s="46">
        <f t="shared" si="64"/>
        <v>0</v>
      </c>
      <c r="R587" s="46">
        <f t="shared" si="65"/>
        <v>0</v>
      </c>
      <c r="S587" s="46" t="e">
        <f t="shared" si="66"/>
        <v>#VALUE!</v>
      </c>
      <c r="T587" s="677">
        <f t="shared" si="67"/>
        <v>0</v>
      </c>
      <c r="U587" s="80">
        <f>(IF(O587="Stofire",(S587*#REF!),0))+(IF(O587="Fire Control",(S587*$U$2),0))+(IF(O587="Fire Tex",(S587*$U$3),0))+(IF(O587="WB7",(S587*#REF!),0)+(IF(O587="FX 2003",(S587*$U$5),0)))</f>
        <v>0</v>
      </c>
      <c r="V587" s="651">
        <f t="shared" si="68"/>
        <v>0</v>
      </c>
    </row>
    <row r="588" spans="4:22" x14ac:dyDescent="0.25">
      <c r="D588" s="118">
        <f>+CUBICACION!D587</f>
        <v>0</v>
      </c>
      <c r="E588" s="118">
        <f>+CUBICACION!F587</f>
        <v>0</v>
      </c>
      <c r="F588" s="118">
        <f>+CUBICACION!E587</f>
        <v>0</v>
      </c>
      <c r="G588" s="118">
        <v>12</v>
      </c>
      <c r="H588" s="118">
        <v>2</v>
      </c>
      <c r="I588" s="820">
        <v>26385</v>
      </c>
      <c r="J588" s="118">
        <f>+CUBICACION!J587</f>
        <v>0</v>
      </c>
      <c r="K588" s="118">
        <v>3367</v>
      </c>
      <c r="L588" s="118">
        <f>+CUBICACION!L587</f>
        <v>0</v>
      </c>
      <c r="M588" s="64">
        <f>+CUBICACION!M587</f>
        <v>0</v>
      </c>
      <c r="N588" s="824" t="str">
        <f>+CUBICACION!N587</f>
        <v/>
      </c>
      <c r="O588" s="675">
        <f>+CUBICACION!O587</f>
        <v>0</v>
      </c>
      <c r="P588" s="15">
        <f>IF(O588="Fire Control",VLOOKUP(_xlfn.MINIFS('FIRE CONTROL'!$C$4:$C$37,'FIRE CONTROL'!$C$4:$C$37,"&gt;="&amp;M588),'FIRE CONTROL'!$C$4:$G$37,IF(L588="F-15",2,IF(L588="F-30",3,IF(L588="F-60",4,IF(L588="F-90",5,0)))),0),0)+IF(AND(O588="FIRE TEX 5062",OR(E588="IN",E588="C",E588="Z",E588="L"),J588=3),VLOOKUP(_xlfn.MINIFS('FIRE TEX 5062'!$B$4:$B$34,'FIRE TEX 5062'!$B$4:$B$34,"&gt;="&amp;M588),'FIRE TEX 5062'!$B$4:$F$34,IF(L588="F-15",2,IF(L588="F-30",3,IF(L588="F-60",4,IF(L588="F-90",5,0)))),0),0)+IF(AND(O588="FIRE TEX 5062",OR(E588="IN",E588="C",E588="Z",E588="L"),J588=4),VLOOKUP(_xlfn.MINIFS('FIRE TEX 5062'!$G$4:$G$34,'FIRE TEX 5062'!$G$4:$G$34,"&gt;="&amp;M588),'FIRE TEX 5062'!$G$4:$K$34,IF(L588="F-15",2,IF(L588="F-30",3,IF(L588="F-60",4,IF(L588="F-90",5,0)))),0),0)+IF(AND(O588="FIRE TEX 5062",E588="CJ",J588=3),VLOOKUP(_xlfn.MINIFS('FIRE TEX 5062'!$L$4:$L$34,'FIRE TEX 5062'!$L$4:$L$34,"&gt;="&amp;M588),'FIRE TEX 5062'!$L$4:$P$34,IF(L588="F-15",2,IF(L588="F-30",3,IF(L588="F-60",4,IF(L588="F-90",5,0)))),0),0)+IF(AND(O588="FIRE TEX 5062",E588="CJ",J588=4),VLOOKUP(_xlfn.MINIFS('FIRE TEX 5062'!$Q$3:$Q$34,'FIRE TEX 5062'!$Q$3:$Q$34,"&gt;="&amp;M588),'FIRE TEX 5062'!$Q$3:$U$34,IF(L588="F-15",2,IF(L588="F-30",3,IF(L588="F-60",4,IF(L588="F-90",5,0)))),0),0)+IF(AND(O588="FIRE TEX 5090",OR(E588="IN",E588="C",E588="Z",E588="L"),J588=3),VLOOKUP(_xlfn.MINIFS('FIRE TEX 5090'!$B$5:$B$43,'FIRE TEX 5090'!$B$5:$B$43,"&gt;="&amp;M588),'FIRE TEX 5090'!$B$5:$H$43,IF(L588="F-15",2,IF(L588="F-30",3,IF(L588="F-60",4,IF(L588="F-90",5,IF(L588="F-120",6,IF(L588="F-150",7,0)))))),0),0)+IF(AND(O588="FIRE TEX 5090",OR(E588="IN",E588="C",E588="Z",E588="L"),J588=4),VLOOKUP(_xlfn.MINIFS('FIRE TEX 5090'!$J$5:$J$43,'FIRE TEX 5090'!$J$5:$J$43,"&gt;="&amp;M588),'FIRE TEX 5090'!$J$5:$P$43,IF(L588="F-15",2,IF(L588="F-30",3,IF(L588="F-60",4,IF(L588="F-90",5,IF(L588="F-120",6,IF(L588="F-150",7,0)))))),0),0)+IF(AND(O588="FIRE TEX 5090",E588="CJ",J588=3),VLOOKUP(_xlfn.MINIFS('FIRE TEX 5090'!$R$5:$R$30,'FIRE TEX 5090'!$R$5:$R$30,"&gt;="&amp;M588),'FIRE TEX 5090'!$R$5:$W$30,IF(L588="F-15",2,IF(L588="F-30",3,IF(L588="F-60",4,IF(L588="F-90",5,IF(L588="F-120",6,IF(L588="F-150",7,0)))))),0),0)+IF(AND(O588="FIRE TEX 5090",E588="CJ",J588=4),VLOOKUP(_xlfn.MINIFS('FIRE TEX 5090'!$Y$5:$Y$39,'FIRE TEX 5090'!$Y$5:$Y$39,"&gt;="&amp;M588),'FIRE TEX 5090'!$Y$5:$AD$39,IF(L588="F-15",2,IF(L588="F-30",3,IF(L588="F-60",4,IF(L588="F-90",5,IF(L588="F-120",6,IF(L588="F-150",7,0)))))),0),0)+IF(AND(O588="FIRE TEX 5120",OR(E588="IN",E588="C",E588="Z",E588="L"),J588=3),VLOOKUP(_xlfn.MINIFS('FIRE TEX 5120'!$B$5:$B$40,'FIRE TEX 5120'!$B$5:$B$40,"&gt;="&amp;M588),'FIRE TEX 5120'!$B$5:$G$40,IF(L588="F-15",2,IF(L588="F-30",3,IF(L588="F-60",4,IF(L588="F-90",5,IF(L588="F-120",6,0))))),0),0)+IF(AND(O588="FIRE TEX 5120",OR(E588="IN",E588="C",E588="Z",E588="L"),J588=4),VLOOKUP(_xlfn.MINIFS('FIRE TEX 5120'!$H$4:$H$40,'FIRE TEX 5120'!$H$4:$H$40,"&gt;="&amp;M588),'FIRE TEX 5120'!$H$4:$M$40,IF(L588="F-15",2,IF(L588="F-30",3,IF(L588="F-60",4,IF(L588="F-90",5,IF(L588="F-120",6,0))))),0),0)+IF(AND(O588="FIRE TEX 5120",E588="CJ"),VLOOKUP(_xlfn.MINIFS('FIRE TEX 5120'!$O$5:$O$40,'FIRE TEX 5120'!$O$5:$O$40,"&gt;="&amp;M588),'FIRE TEX 5120'!$O$5:$T$40,IF(L588="F-15",2,IF(L588="F-30",3,IF(L588="F-60",4,IF(L588="F-90",5,IF(L588="F-120",6,0))))),0),0)</f>
        <v>0</v>
      </c>
      <c r="Q588" s="46">
        <f t="shared" si="64"/>
        <v>0</v>
      </c>
      <c r="R588" s="46">
        <f t="shared" si="65"/>
        <v>0</v>
      </c>
      <c r="S588" s="46" t="e">
        <f t="shared" si="66"/>
        <v>#VALUE!</v>
      </c>
      <c r="T588" s="677">
        <f t="shared" si="67"/>
        <v>0</v>
      </c>
      <c r="U588" s="80">
        <f>(IF(O588="Stofire",(S588*#REF!),0))+(IF(O588="Fire Control",(S588*$U$2),0))+(IF(O588="Fire Tex",(S588*$U$3),0))+(IF(O588="WB7",(S588*#REF!),0)+(IF(O588="FX 2003",(S588*$U$5),0)))</f>
        <v>0</v>
      </c>
      <c r="V588" s="651">
        <f t="shared" si="68"/>
        <v>0</v>
      </c>
    </row>
    <row r="589" spans="4:22" x14ac:dyDescent="0.25">
      <c r="D589" s="118">
        <f>+CUBICACION!D588</f>
        <v>0</v>
      </c>
      <c r="E589" s="118">
        <f>+CUBICACION!F588</f>
        <v>0</v>
      </c>
      <c r="F589" s="118">
        <f>+CUBICACION!E588</f>
        <v>0</v>
      </c>
      <c r="G589" s="118">
        <v>12</v>
      </c>
      <c r="H589" s="118">
        <v>2</v>
      </c>
      <c r="I589" s="820">
        <v>26385</v>
      </c>
      <c r="J589" s="118">
        <f>+CUBICACION!J588</f>
        <v>0</v>
      </c>
      <c r="K589" s="118">
        <v>3368</v>
      </c>
      <c r="L589" s="118">
        <f>+CUBICACION!L588</f>
        <v>0</v>
      </c>
      <c r="M589" s="64">
        <f>+CUBICACION!M588</f>
        <v>0</v>
      </c>
      <c r="N589" s="824" t="str">
        <f>+CUBICACION!N588</f>
        <v/>
      </c>
      <c r="O589" s="675">
        <f>+CUBICACION!O588</f>
        <v>0</v>
      </c>
      <c r="P589" s="15">
        <f>IF(O589="Fire Control",VLOOKUP(_xlfn.MINIFS('FIRE CONTROL'!$C$4:$C$37,'FIRE CONTROL'!$C$4:$C$37,"&gt;="&amp;M589),'FIRE CONTROL'!$C$4:$G$37,IF(L589="F-15",2,IF(L589="F-30",3,IF(L589="F-60",4,IF(L589="F-90",5,0)))),0),0)+IF(AND(O589="FIRE TEX 5062",OR(E589="IN",E589="C",E589="Z",E589="L"),J589=3),VLOOKUP(_xlfn.MINIFS('FIRE TEX 5062'!$B$4:$B$34,'FIRE TEX 5062'!$B$4:$B$34,"&gt;="&amp;M589),'FIRE TEX 5062'!$B$4:$F$34,IF(L589="F-15",2,IF(L589="F-30",3,IF(L589="F-60",4,IF(L589="F-90",5,0)))),0),0)+IF(AND(O589="FIRE TEX 5062",OR(E589="IN",E589="C",E589="Z",E589="L"),J589=4),VLOOKUP(_xlfn.MINIFS('FIRE TEX 5062'!$G$4:$G$34,'FIRE TEX 5062'!$G$4:$G$34,"&gt;="&amp;M589),'FIRE TEX 5062'!$G$4:$K$34,IF(L589="F-15",2,IF(L589="F-30",3,IF(L589="F-60",4,IF(L589="F-90",5,0)))),0),0)+IF(AND(O589="FIRE TEX 5062",E589="CJ",J589=3),VLOOKUP(_xlfn.MINIFS('FIRE TEX 5062'!$L$4:$L$34,'FIRE TEX 5062'!$L$4:$L$34,"&gt;="&amp;M589),'FIRE TEX 5062'!$L$4:$P$34,IF(L589="F-15",2,IF(L589="F-30",3,IF(L589="F-60",4,IF(L589="F-90",5,0)))),0),0)+IF(AND(O589="FIRE TEX 5062",E589="CJ",J589=4),VLOOKUP(_xlfn.MINIFS('FIRE TEX 5062'!$Q$3:$Q$34,'FIRE TEX 5062'!$Q$3:$Q$34,"&gt;="&amp;M589),'FIRE TEX 5062'!$Q$3:$U$34,IF(L589="F-15",2,IF(L589="F-30",3,IF(L589="F-60",4,IF(L589="F-90",5,0)))),0),0)+IF(AND(O589="FIRE TEX 5090",OR(E589="IN",E589="C",E589="Z",E589="L"),J589=3),VLOOKUP(_xlfn.MINIFS('FIRE TEX 5090'!$B$5:$B$43,'FIRE TEX 5090'!$B$5:$B$43,"&gt;="&amp;M589),'FIRE TEX 5090'!$B$5:$H$43,IF(L589="F-15",2,IF(L589="F-30",3,IF(L589="F-60",4,IF(L589="F-90",5,IF(L589="F-120",6,IF(L589="F-150",7,0)))))),0),0)+IF(AND(O589="FIRE TEX 5090",OR(E589="IN",E589="C",E589="Z",E589="L"),J589=4),VLOOKUP(_xlfn.MINIFS('FIRE TEX 5090'!$J$5:$J$43,'FIRE TEX 5090'!$J$5:$J$43,"&gt;="&amp;M589),'FIRE TEX 5090'!$J$5:$P$43,IF(L589="F-15",2,IF(L589="F-30",3,IF(L589="F-60",4,IF(L589="F-90",5,IF(L589="F-120",6,IF(L589="F-150",7,0)))))),0),0)+IF(AND(O589="FIRE TEX 5090",E589="CJ",J589=3),VLOOKUP(_xlfn.MINIFS('FIRE TEX 5090'!$R$5:$R$30,'FIRE TEX 5090'!$R$5:$R$30,"&gt;="&amp;M589),'FIRE TEX 5090'!$R$5:$W$30,IF(L589="F-15",2,IF(L589="F-30",3,IF(L589="F-60",4,IF(L589="F-90",5,IF(L589="F-120",6,IF(L589="F-150",7,0)))))),0),0)+IF(AND(O589="FIRE TEX 5090",E589="CJ",J589=4),VLOOKUP(_xlfn.MINIFS('FIRE TEX 5090'!$Y$5:$Y$39,'FIRE TEX 5090'!$Y$5:$Y$39,"&gt;="&amp;M589),'FIRE TEX 5090'!$Y$5:$AD$39,IF(L589="F-15",2,IF(L589="F-30",3,IF(L589="F-60",4,IF(L589="F-90",5,IF(L589="F-120",6,IF(L589="F-150",7,0)))))),0),0)+IF(AND(O589="FIRE TEX 5120",OR(E589="IN",E589="C",E589="Z",E589="L"),J589=3),VLOOKUP(_xlfn.MINIFS('FIRE TEX 5120'!$B$5:$B$40,'FIRE TEX 5120'!$B$5:$B$40,"&gt;="&amp;M589),'FIRE TEX 5120'!$B$5:$G$40,IF(L589="F-15",2,IF(L589="F-30",3,IF(L589="F-60",4,IF(L589="F-90",5,IF(L589="F-120",6,0))))),0),0)+IF(AND(O589="FIRE TEX 5120",OR(E589="IN",E589="C",E589="Z",E589="L"),J589=4),VLOOKUP(_xlfn.MINIFS('FIRE TEX 5120'!$H$4:$H$40,'FIRE TEX 5120'!$H$4:$H$40,"&gt;="&amp;M589),'FIRE TEX 5120'!$H$4:$M$40,IF(L589="F-15",2,IF(L589="F-30",3,IF(L589="F-60",4,IF(L589="F-90",5,IF(L589="F-120",6,0))))),0),0)+IF(AND(O589="FIRE TEX 5120",E589="CJ"),VLOOKUP(_xlfn.MINIFS('FIRE TEX 5120'!$O$5:$O$40,'FIRE TEX 5120'!$O$5:$O$40,"&gt;="&amp;M589),'FIRE TEX 5120'!$O$5:$T$40,IF(L589="F-15",2,IF(L589="F-30",3,IF(L589="F-60",4,IF(L589="F-90",5,IF(L589="F-120",6,0))))),0),0)</f>
        <v>0</v>
      </c>
      <c r="Q589" s="46">
        <f t="shared" si="64"/>
        <v>0</v>
      </c>
      <c r="R589" s="46">
        <f t="shared" si="65"/>
        <v>0</v>
      </c>
      <c r="S589" s="46" t="e">
        <f t="shared" si="66"/>
        <v>#VALUE!</v>
      </c>
      <c r="T589" s="677">
        <f t="shared" si="67"/>
        <v>0</v>
      </c>
      <c r="U589" s="80">
        <f>(IF(O589="Stofire",(S589*#REF!),0))+(IF(O589="Fire Control",(S589*$U$2),0))+(IF(O589="Fire Tex",(S589*$U$3),0))+(IF(O589="WB7",(S589*#REF!),0)+(IF(O589="FX 2003",(S589*$U$5),0)))</f>
        <v>0</v>
      </c>
      <c r="V589" s="651">
        <f t="shared" si="68"/>
        <v>0</v>
      </c>
    </row>
    <row r="590" spans="4:22" x14ac:dyDescent="0.25">
      <c r="D590" s="118">
        <f>+CUBICACION!D589</f>
        <v>0</v>
      </c>
      <c r="E590" s="118">
        <f>+CUBICACION!F589</f>
        <v>0</v>
      </c>
      <c r="F590" s="118">
        <f>+CUBICACION!E589</f>
        <v>0</v>
      </c>
      <c r="G590" s="118">
        <v>12</v>
      </c>
      <c r="H590" s="118">
        <v>2</v>
      </c>
      <c r="I590" s="820">
        <v>26385</v>
      </c>
      <c r="J590" s="118">
        <f>+CUBICACION!J589</f>
        <v>0</v>
      </c>
      <c r="K590" s="118">
        <v>3369</v>
      </c>
      <c r="L590" s="118">
        <f>+CUBICACION!L589</f>
        <v>0</v>
      </c>
      <c r="M590" s="64">
        <f>+CUBICACION!M589</f>
        <v>0</v>
      </c>
      <c r="N590" s="824" t="str">
        <f>+CUBICACION!N589</f>
        <v/>
      </c>
      <c r="O590" s="675">
        <f>+CUBICACION!O589</f>
        <v>0</v>
      </c>
      <c r="P590" s="15">
        <f>IF(O590="Fire Control",VLOOKUP(_xlfn.MINIFS('FIRE CONTROL'!$C$4:$C$37,'FIRE CONTROL'!$C$4:$C$37,"&gt;="&amp;M590),'FIRE CONTROL'!$C$4:$G$37,IF(L590="F-15",2,IF(L590="F-30",3,IF(L590="F-60",4,IF(L590="F-90",5,0)))),0),0)+IF(AND(O590="FIRE TEX 5062",OR(E590="IN",E590="C",E590="Z",E590="L"),J590=3),VLOOKUP(_xlfn.MINIFS('FIRE TEX 5062'!$B$4:$B$34,'FIRE TEX 5062'!$B$4:$B$34,"&gt;="&amp;M590),'FIRE TEX 5062'!$B$4:$F$34,IF(L590="F-15",2,IF(L590="F-30",3,IF(L590="F-60",4,IF(L590="F-90",5,0)))),0),0)+IF(AND(O590="FIRE TEX 5062",OR(E590="IN",E590="C",E590="Z",E590="L"),J590=4),VLOOKUP(_xlfn.MINIFS('FIRE TEX 5062'!$G$4:$G$34,'FIRE TEX 5062'!$G$4:$G$34,"&gt;="&amp;M590),'FIRE TEX 5062'!$G$4:$K$34,IF(L590="F-15",2,IF(L590="F-30",3,IF(L590="F-60",4,IF(L590="F-90",5,0)))),0),0)+IF(AND(O590="FIRE TEX 5062",E590="CJ",J590=3),VLOOKUP(_xlfn.MINIFS('FIRE TEX 5062'!$L$4:$L$34,'FIRE TEX 5062'!$L$4:$L$34,"&gt;="&amp;M590),'FIRE TEX 5062'!$L$4:$P$34,IF(L590="F-15",2,IF(L590="F-30",3,IF(L590="F-60",4,IF(L590="F-90",5,0)))),0),0)+IF(AND(O590="FIRE TEX 5062",E590="CJ",J590=4),VLOOKUP(_xlfn.MINIFS('FIRE TEX 5062'!$Q$3:$Q$34,'FIRE TEX 5062'!$Q$3:$Q$34,"&gt;="&amp;M590),'FIRE TEX 5062'!$Q$3:$U$34,IF(L590="F-15",2,IF(L590="F-30",3,IF(L590="F-60",4,IF(L590="F-90",5,0)))),0),0)+IF(AND(O590="FIRE TEX 5090",OR(E590="IN",E590="C",E590="Z",E590="L"),J590=3),VLOOKUP(_xlfn.MINIFS('FIRE TEX 5090'!$B$5:$B$43,'FIRE TEX 5090'!$B$5:$B$43,"&gt;="&amp;M590),'FIRE TEX 5090'!$B$5:$H$43,IF(L590="F-15",2,IF(L590="F-30",3,IF(L590="F-60",4,IF(L590="F-90",5,IF(L590="F-120",6,IF(L590="F-150",7,0)))))),0),0)+IF(AND(O590="FIRE TEX 5090",OR(E590="IN",E590="C",E590="Z",E590="L"),J590=4),VLOOKUP(_xlfn.MINIFS('FIRE TEX 5090'!$J$5:$J$43,'FIRE TEX 5090'!$J$5:$J$43,"&gt;="&amp;M590),'FIRE TEX 5090'!$J$5:$P$43,IF(L590="F-15",2,IF(L590="F-30",3,IF(L590="F-60",4,IF(L590="F-90",5,IF(L590="F-120",6,IF(L590="F-150",7,0)))))),0),0)+IF(AND(O590="FIRE TEX 5090",E590="CJ",J590=3),VLOOKUP(_xlfn.MINIFS('FIRE TEX 5090'!$R$5:$R$30,'FIRE TEX 5090'!$R$5:$R$30,"&gt;="&amp;M590),'FIRE TEX 5090'!$R$5:$W$30,IF(L590="F-15",2,IF(L590="F-30",3,IF(L590="F-60",4,IF(L590="F-90",5,IF(L590="F-120",6,IF(L590="F-150",7,0)))))),0),0)+IF(AND(O590="FIRE TEX 5090",E590="CJ",J590=4),VLOOKUP(_xlfn.MINIFS('FIRE TEX 5090'!$Y$5:$Y$39,'FIRE TEX 5090'!$Y$5:$Y$39,"&gt;="&amp;M590),'FIRE TEX 5090'!$Y$5:$AD$39,IF(L590="F-15",2,IF(L590="F-30",3,IF(L590="F-60",4,IF(L590="F-90",5,IF(L590="F-120",6,IF(L590="F-150",7,0)))))),0),0)+IF(AND(O590="FIRE TEX 5120",OR(E590="IN",E590="C",E590="Z",E590="L"),J590=3),VLOOKUP(_xlfn.MINIFS('FIRE TEX 5120'!$B$5:$B$40,'FIRE TEX 5120'!$B$5:$B$40,"&gt;="&amp;M590),'FIRE TEX 5120'!$B$5:$G$40,IF(L590="F-15",2,IF(L590="F-30",3,IF(L590="F-60",4,IF(L590="F-90",5,IF(L590="F-120",6,0))))),0),0)+IF(AND(O590="FIRE TEX 5120",OR(E590="IN",E590="C",E590="Z",E590="L"),J590=4),VLOOKUP(_xlfn.MINIFS('FIRE TEX 5120'!$H$4:$H$40,'FIRE TEX 5120'!$H$4:$H$40,"&gt;="&amp;M590),'FIRE TEX 5120'!$H$4:$M$40,IF(L590="F-15",2,IF(L590="F-30",3,IF(L590="F-60",4,IF(L590="F-90",5,IF(L590="F-120",6,0))))),0),0)+IF(AND(O590="FIRE TEX 5120",E590="CJ"),VLOOKUP(_xlfn.MINIFS('FIRE TEX 5120'!$O$5:$O$40,'FIRE TEX 5120'!$O$5:$O$40,"&gt;="&amp;M590),'FIRE TEX 5120'!$O$5:$T$40,IF(L590="F-15",2,IF(L590="F-30",3,IF(L590="F-60",4,IF(L590="F-90",5,IF(L590="F-120",6,0))))),0),0)</f>
        <v>0</v>
      </c>
      <c r="Q590" s="46">
        <f t="shared" si="64"/>
        <v>0</v>
      </c>
      <c r="R590" s="46">
        <f t="shared" si="65"/>
        <v>0</v>
      </c>
      <c r="S590" s="46" t="e">
        <f t="shared" si="66"/>
        <v>#VALUE!</v>
      </c>
      <c r="T590" s="677">
        <f t="shared" si="67"/>
        <v>0</v>
      </c>
      <c r="U590" s="80">
        <f>(IF(O590="Stofire",(S590*#REF!),0))+(IF(O590="Fire Control",(S590*$U$2),0))+(IF(O590="Fire Tex",(S590*$U$3),0))+(IF(O590="WB7",(S590*#REF!),0)+(IF(O590="FX 2003",(S590*$U$5),0)))</f>
        <v>0</v>
      </c>
      <c r="V590" s="651">
        <f t="shared" si="68"/>
        <v>0</v>
      </c>
    </row>
    <row r="591" spans="4:22" x14ac:dyDescent="0.25">
      <c r="D591" s="118">
        <f>+CUBICACION!D590</f>
        <v>0</v>
      </c>
      <c r="E591" s="118">
        <f>+CUBICACION!F590</f>
        <v>0</v>
      </c>
      <c r="F591" s="118">
        <f>+CUBICACION!E590</f>
        <v>0</v>
      </c>
      <c r="G591" s="118">
        <v>12</v>
      </c>
      <c r="H591" s="118">
        <v>2</v>
      </c>
      <c r="I591" s="820">
        <v>26385</v>
      </c>
      <c r="J591" s="118">
        <f>+CUBICACION!J590</f>
        <v>0</v>
      </c>
      <c r="K591" s="118">
        <v>3370</v>
      </c>
      <c r="L591" s="118">
        <f>+CUBICACION!L590</f>
        <v>0</v>
      </c>
      <c r="M591" s="64">
        <f>+CUBICACION!M590</f>
        <v>0</v>
      </c>
      <c r="N591" s="824" t="str">
        <f>+CUBICACION!N590</f>
        <v/>
      </c>
      <c r="O591" s="675">
        <f>+CUBICACION!O590</f>
        <v>0</v>
      </c>
      <c r="P591" s="15">
        <f>IF(O591="Fire Control",VLOOKUP(_xlfn.MINIFS('FIRE CONTROL'!$C$4:$C$37,'FIRE CONTROL'!$C$4:$C$37,"&gt;="&amp;M591),'FIRE CONTROL'!$C$4:$G$37,IF(L591="F-15",2,IF(L591="F-30",3,IF(L591="F-60",4,IF(L591="F-90",5,0)))),0),0)+IF(AND(O591="FIRE TEX 5062",OR(E591="IN",E591="C",E591="Z",E591="L"),J591=3),VLOOKUP(_xlfn.MINIFS('FIRE TEX 5062'!$B$4:$B$34,'FIRE TEX 5062'!$B$4:$B$34,"&gt;="&amp;M591),'FIRE TEX 5062'!$B$4:$F$34,IF(L591="F-15",2,IF(L591="F-30",3,IF(L591="F-60",4,IF(L591="F-90",5,0)))),0),0)+IF(AND(O591="FIRE TEX 5062",OR(E591="IN",E591="C",E591="Z",E591="L"),J591=4),VLOOKUP(_xlfn.MINIFS('FIRE TEX 5062'!$G$4:$G$34,'FIRE TEX 5062'!$G$4:$G$34,"&gt;="&amp;M591),'FIRE TEX 5062'!$G$4:$K$34,IF(L591="F-15",2,IF(L591="F-30",3,IF(L591="F-60",4,IF(L591="F-90",5,0)))),0),0)+IF(AND(O591="FIRE TEX 5062",E591="CJ",J591=3),VLOOKUP(_xlfn.MINIFS('FIRE TEX 5062'!$L$4:$L$34,'FIRE TEX 5062'!$L$4:$L$34,"&gt;="&amp;M591),'FIRE TEX 5062'!$L$4:$P$34,IF(L591="F-15",2,IF(L591="F-30",3,IF(L591="F-60",4,IF(L591="F-90",5,0)))),0),0)+IF(AND(O591="FIRE TEX 5062",E591="CJ",J591=4),VLOOKUP(_xlfn.MINIFS('FIRE TEX 5062'!$Q$3:$Q$34,'FIRE TEX 5062'!$Q$3:$Q$34,"&gt;="&amp;M591),'FIRE TEX 5062'!$Q$3:$U$34,IF(L591="F-15",2,IF(L591="F-30",3,IF(L591="F-60",4,IF(L591="F-90",5,0)))),0),0)+IF(AND(O591="FIRE TEX 5090",OR(E591="IN",E591="C",E591="Z",E591="L"),J591=3),VLOOKUP(_xlfn.MINIFS('FIRE TEX 5090'!$B$5:$B$43,'FIRE TEX 5090'!$B$5:$B$43,"&gt;="&amp;M591),'FIRE TEX 5090'!$B$5:$H$43,IF(L591="F-15",2,IF(L591="F-30",3,IF(L591="F-60",4,IF(L591="F-90",5,IF(L591="F-120",6,IF(L591="F-150",7,0)))))),0),0)+IF(AND(O591="FIRE TEX 5090",OR(E591="IN",E591="C",E591="Z",E591="L"),J591=4),VLOOKUP(_xlfn.MINIFS('FIRE TEX 5090'!$J$5:$J$43,'FIRE TEX 5090'!$J$5:$J$43,"&gt;="&amp;M591),'FIRE TEX 5090'!$J$5:$P$43,IF(L591="F-15",2,IF(L591="F-30",3,IF(L591="F-60",4,IF(L591="F-90",5,IF(L591="F-120",6,IF(L591="F-150",7,0)))))),0),0)+IF(AND(O591="FIRE TEX 5090",E591="CJ",J591=3),VLOOKUP(_xlfn.MINIFS('FIRE TEX 5090'!$R$5:$R$30,'FIRE TEX 5090'!$R$5:$R$30,"&gt;="&amp;M591),'FIRE TEX 5090'!$R$5:$W$30,IF(L591="F-15",2,IF(L591="F-30",3,IF(L591="F-60",4,IF(L591="F-90",5,IF(L591="F-120",6,IF(L591="F-150",7,0)))))),0),0)+IF(AND(O591="FIRE TEX 5090",E591="CJ",J591=4),VLOOKUP(_xlfn.MINIFS('FIRE TEX 5090'!$Y$5:$Y$39,'FIRE TEX 5090'!$Y$5:$Y$39,"&gt;="&amp;M591),'FIRE TEX 5090'!$Y$5:$AD$39,IF(L591="F-15",2,IF(L591="F-30",3,IF(L591="F-60",4,IF(L591="F-90",5,IF(L591="F-120",6,IF(L591="F-150",7,0)))))),0),0)+IF(AND(O591="FIRE TEX 5120",OR(E591="IN",E591="C",E591="Z",E591="L"),J591=3),VLOOKUP(_xlfn.MINIFS('FIRE TEX 5120'!$B$5:$B$40,'FIRE TEX 5120'!$B$5:$B$40,"&gt;="&amp;M591),'FIRE TEX 5120'!$B$5:$G$40,IF(L591="F-15",2,IF(L591="F-30",3,IF(L591="F-60",4,IF(L591="F-90",5,IF(L591="F-120",6,0))))),0),0)+IF(AND(O591="FIRE TEX 5120",OR(E591="IN",E591="C",E591="Z",E591="L"),J591=4),VLOOKUP(_xlfn.MINIFS('FIRE TEX 5120'!$H$4:$H$40,'FIRE TEX 5120'!$H$4:$H$40,"&gt;="&amp;M591),'FIRE TEX 5120'!$H$4:$M$40,IF(L591="F-15",2,IF(L591="F-30",3,IF(L591="F-60",4,IF(L591="F-90",5,IF(L591="F-120",6,0))))),0),0)+IF(AND(O591="FIRE TEX 5120",E591="CJ"),VLOOKUP(_xlfn.MINIFS('FIRE TEX 5120'!$O$5:$O$40,'FIRE TEX 5120'!$O$5:$O$40,"&gt;="&amp;M591),'FIRE TEX 5120'!$O$5:$T$40,IF(L591="F-15",2,IF(L591="F-30",3,IF(L591="F-60",4,IF(L591="F-90",5,IF(L591="F-120",6,0))))),0),0)</f>
        <v>0</v>
      </c>
      <c r="Q591" s="46">
        <f t="shared" si="64"/>
        <v>0</v>
      </c>
      <c r="R591" s="46">
        <f t="shared" si="65"/>
        <v>0</v>
      </c>
      <c r="S591" s="46" t="e">
        <f t="shared" si="66"/>
        <v>#VALUE!</v>
      </c>
      <c r="T591" s="677">
        <f t="shared" si="67"/>
        <v>0</v>
      </c>
      <c r="U591" s="80">
        <f>(IF(O591="Stofire",(S591*#REF!),0))+(IF(O591="Fire Control",(S591*$U$2),0))+(IF(O591="Fire Tex",(S591*$U$3),0))+(IF(O591="WB7",(S591*#REF!),0)+(IF(O591="FX 2003",(S591*$U$5),0)))</f>
        <v>0</v>
      </c>
      <c r="V591" s="651">
        <f t="shared" si="68"/>
        <v>0</v>
      </c>
    </row>
    <row r="592" spans="4:22" x14ac:dyDescent="0.25">
      <c r="D592" s="118">
        <f>+CUBICACION!D591</f>
        <v>0</v>
      </c>
      <c r="E592" s="118">
        <f>+CUBICACION!F591</f>
        <v>0</v>
      </c>
      <c r="F592" s="118">
        <f>+CUBICACION!E591</f>
        <v>0</v>
      </c>
      <c r="G592" s="118">
        <v>12</v>
      </c>
      <c r="H592" s="118">
        <v>2</v>
      </c>
      <c r="I592" s="820">
        <v>26385</v>
      </c>
      <c r="J592" s="118">
        <f>+CUBICACION!J591</f>
        <v>0</v>
      </c>
      <c r="K592" s="118">
        <v>3371</v>
      </c>
      <c r="L592" s="118">
        <f>+CUBICACION!L591</f>
        <v>0</v>
      </c>
      <c r="M592" s="64">
        <f>+CUBICACION!M591</f>
        <v>0</v>
      </c>
      <c r="N592" s="824" t="str">
        <f>+CUBICACION!N591</f>
        <v/>
      </c>
      <c r="O592" s="675">
        <f>+CUBICACION!O591</f>
        <v>0</v>
      </c>
      <c r="P592" s="15">
        <f>IF(O592="Fire Control",VLOOKUP(_xlfn.MINIFS('FIRE CONTROL'!$C$4:$C$37,'FIRE CONTROL'!$C$4:$C$37,"&gt;="&amp;M592),'FIRE CONTROL'!$C$4:$G$37,IF(L592="F-15",2,IF(L592="F-30",3,IF(L592="F-60",4,IF(L592="F-90",5,0)))),0),0)+IF(AND(O592="FIRE TEX 5062",OR(E592="IN",E592="C",E592="Z",E592="L"),J592=3),VLOOKUP(_xlfn.MINIFS('FIRE TEX 5062'!$B$4:$B$34,'FIRE TEX 5062'!$B$4:$B$34,"&gt;="&amp;M592),'FIRE TEX 5062'!$B$4:$F$34,IF(L592="F-15",2,IF(L592="F-30",3,IF(L592="F-60",4,IF(L592="F-90",5,0)))),0),0)+IF(AND(O592="FIRE TEX 5062",OR(E592="IN",E592="C",E592="Z",E592="L"),J592=4),VLOOKUP(_xlfn.MINIFS('FIRE TEX 5062'!$G$4:$G$34,'FIRE TEX 5062'!$G$4:$G$34,"&gt;="&amp;M592),'FIRE TEX 5062'!$G$4:$K$34,IF(L592="F-15",2,IF(L592="F-30",3,IF(L592="F-60",4,IF(L592="F-90",5,0)))),0),0)+IF(AND(O592="FIRE TEX 5062",E592="CJ",J592=3),VLOOKUP(_xlfn.MINIFS('FIRE TEX 5062'!$L$4:$L$34,'FIRE TEX 5062'!$L$4:$L$34,"&gt;="&amp;M592),'FIRE TEX 5062'!$L$4:$P$34,IF(L592="F-15",2,IF(L592="F-30",3,IF(L592="F-60",4,IF(L592="F-90",5,0)))),0),0)+IF(AND(O592="FIRE TEX 5062",E592="CJ",J592=4),VLOOKUP(_xlfn.MINIFS('FIRE TEX 5062'!$Q$3:$Q$34,'FIRE TEX 5062'!$Q$3:$Q$34,"&gt;="&amp;M592),'FIRE TEX 5062'!$Q$3:$U$34,IF(L592="F-15",2,IF(L592="F-30",3,IF(L592="F-60",4,IF(L592="F-90",5,0)))),0),0)+IF(AND(O592="FIRE TEX 5090",OR(E592="IN",E592="C",E592="Z",E592="L"),J592=3),VLOOKUP(_xlfn.MINIFS('FIRE TEX 5090'!$B$5:$B$43,'FIRE TEX 5090'!$B$5:$B$43,"&gt;="&amp;M592),'FIRE TEX 5090'!$B$5:$H$43,IF(L592="F-15",2,IF(L592="F-30",3,IF(L592="F-60",4,IF(L592="F-90",5,IF(L592="F-120",6,IF(L592="F-150",7,0)))))),0),0)+IF(AND(O592="FIRE TEX 5090",OR(E592="IN",E592="C",E592="Z",E592="L"),J592=4),VLOOKUP(_xlfn.MINIFS('FIRE TEX 5090'!$J$5:$J$43,'FIRE TEX 5090'!$J$5:$J$43,"&gt;="&amp;M592),'FIRE TEX 5090'!$J$5:$P$43,IF(L592="F-15",2,IF(L592="F-30",3,IF(L592="F-60",4,IF(L592="F-90",5,IF(L592="F-120",6,IF(L592="F-150",7,0)))))),0),0)+IF(AND(O592="FIRE TEX 5090",E592="CJ",J592=3),VLOOKUP(_xlfn.MINIFS('FIRE TEX 5090'!$R$5:$R$30,'FIRE TEX 5090'!$R$5:$R$30,"&gt;="&amp;M592),'FIRE TEX 5090'!$R$5:$W$30,IF(L592="F-15",2,IF(L592="F-30",3,IF(L592="F-60",4,IF(L592="F-90",5,IF(L592="F-120",6,IF(L592="F-150",7,0)))))),0),0)+IF(AND(O592="FIRE TEX 5090",E592="CJ",J592=4),VLOOKUP(_xlfn.MINIFS('FIRE TEX 5090'!$Y$5:$Y$39,'FIRE TEX 5090'!$Y$5:$Y$39,"&gt;="&amp;M592),'FIRE TEX 5090'!$Y$5:$AD$39,IF(L592="F-15",2,IF(L592="F-30",3,IF(L592="F-60",4,IF(L592="F-90",5,IF(L592="F-120",6,IF(L592="F-150",7,0)))))),0),0)+IF(AND(O592="FIRE TEX 5120",OR(E592="IN",E592="C",E592="Z",E592="L"),J592=3),VLOOKUP(_xlfn.MINIFS('FIRE TEX 5120'!$B$5:$B$40,'FIRE TEX 5120'!$B$5:$B$40,"&gt;="&amp;M592),'FIRE TEX 5120'!$B$5:$G$40,IF(L592="F-15",2,IF(L592="F-30",3,IF(L592="F-60",4,IF(L592="F-90",5,IF(L592="F-120",6,0))))),0),0)+IF(AND(O592="FIRE TEX 5120",OR(E592="IN",E592="C",E592="Z",E592="L"),J592=4),VLOOKUP(_xlfn.MINIFS('FIRE TEX 5120'!$H$4:$H$40,'FIRE TEX 5120'!$H$4:$H$40,"&gt;="&amp;M592),'FIRE TEX 5120'!$H$4:$M$40,IF(L592="F-15",2,IF(L592="F-30",3,IF(L592="F-60",4,IF(L592="F-90",5,IF(L592="F-120",6,0))))),0),0)+IF(AND(O592="FIRE TEX 5120",E592="CJ"),VLOOKUP(_xlfn.MINIFS('FIRE TEX 5120'!$O$5:$O$40,'FIRE TEX 5120'!$O$5:$O$40,"&gt;="&amp;M592),'FIRE TEX 5120'!$O$5:$T$40,IF(L592="F-15",2,IF(L592="F-30",3,IF(L592="F-60",4,IF(L592="F-90",5,IF(L592="F-120",6,0))))),0),0)</f>
        <v>0</v>
      </c>
      <c r="Q592" s="46">
        <f t="shared" si="64"/>
        <v>0</v>
      </c>
      <c r="R592" s="46">
        <f t="shared" si="65"/>
        <v>0</v>
      </c>
      <c r="S592" s="46" t="e">
        <f t="shared" si="66"/>
        <v>#VALUE!</v>
      </c>
      <c r="T592" s="677">
        <f t="shared" si="67"/>
        <v>0</v>
      </c>
      <c r="U592" s="80">
        <f>(IF(O592="Stofire",(S592*#REF!),0))+(IF(O592="Fire Control",(S592*$U$2),0))+(IF(O592="Fire Tex",(S592*$U$3),0))+(IF(O592="WB7",(S592*#REF!),0)+(IF(O592="FX 2003",(S592*$U$5),0)))</f>
        <v>0</v>
      </c>
      <c r="V592" s="651">
        <f t="shared" si="68"/>
        <v>0</v>
      </c>
    </row>
    <row r="593" spans="4:22" x14ac:dyDescent="0.25">
      <c r="D593" s="118">
        <f>+CUBICACION!D592</f>
        <v>0</v>
      </c>
      <c r="E593" s="118">
        <f>+CUBICACION!F592</f>
        <v>0</v>
      </c>
      <c r="F593" s="118">
        <f>+CUBICACION!E592</f>
        <v>0</v>
      </c>
      <c r="G593" s="118">
        <v>12</v>
      </c>
      <c r="H593" s="118">
        <v>2</v>
      </c>
      <c r="I593" s="820">
        <v>26385</v>
      </c>
      <c r="J593" s="118">
        <f>+CUBICACION!J592</f>
        <v>0</v>
      </c>
      <c r="K593" s="118">
        <v>3372</v>
      </c>
      <c r="L593" s="118">
        <f>+CUBICACION!L592</f>
        <v>0</v>
      </c>
      <c r="M593" s="64">
        <f>+CUBICACION!M592</f>
        <v>0</v>
      </c>
      <c r="N593" s="824" t="str">
        <f>+CUBICACION!N592</f>
        <v/>
      </c>
      <c r="O593" s="675">
        <f>+CUBICACION!O592</f>
        <v>0</v>
      </c>
      <c r="P593" s="15">
        <f>IF(O593="Fire Control",VLOOKUP(_xlfn.MINIFS('FIRE CONTROL'!$C$4:$C$37,'FIRE CONTROL'!$C$4:$C$37,"&gt;="&amp;M593),'FIRE CONTROL'!$C$4:$G$37,IF(L593="F-15",2,IF(L593="F-30",3,IF(L593="F-60",4,IF(L593="F-90",5,0)))),0),0)+IF(AND(O593="FIRE TEX 5062",OR(E593="IN",E593="C",E593="Z",E593="L"),J593=3),VLOOKUP(_xlfn.MINIFS('FIRE TEX 5062'!$B$4:$B$34,'FIRE TEX 5062'!$B$4:$B$34,"&gt;="&amp;M593),'FIRE TEX 5062'!$B$4:$F$34,IF(L593="F-15",2,IF(L593="F-30",3,IF(L593="F-60",4,IF(L593="F-90",5,0)))),0),0)+IF(AND(O593="FIRE TEX 5062",OR(E593="IN",E593="C",E593="Z",E593="L"),J593=4),VLOOKUP(_xlfn.MINIFS('FIRE TEX 5062'!$G$4:$G$34,'FIRE TEX 5062'!$G$4:$G$34,"&gt;="&amp;M593),'FIRE TEX 5062'!$G$4:$K$34,IF(L593="F-15",2,IF(L593="F-30",3,IF(L593="F-60",4,IF(L593="F-90",5,0)))),0),0)+IF(AND(O593="FIRE TEX 5062",E593="CJ",J593=3),VLOOKUP(_xlfn.MINIFS('FIRE TEX 5062'!$L$4:$L$34,'FIRE TEX 5062'!$L$4:$L$34,"&gt;="&amp;M593),'FIRE TEX 5062'!$L$4:$P$34,IF(L593="F-15",2,IF(L593="F-30",3,IF(L593="F-60",4,IF(L593="F-90",5,0)))),0),0)+IF(AND(O593="FIRE TEX 5062",E593="CJ",J593=4),VLOOKUP(_xlfn.MINIFS('FIRE TEX 5062'!$Q$3:$Q$34,'FIRE TEX 5062'!$Q$3:$Q$34,"&gt;="&amp;M593),'FIRE TEX 5062'!$Q$3:$U$34,IF(L593="F-15",2,IF(L593="F-30",3,IF(L593="F-60",4,IF(L593="F-90",5,0)))),0),0)+IF(AND(O593="FIRE TEX 5090",OR(E593="IN",E593="C",E593="Z",E593="L"),J593=3),VLOOKUP(_xlfn.MINIFS('FIRE TEX 5090'!$B$5:$B$43,'FIRE TEX 5090'!$B$5:$B$43,"&gt;="&amp;M593),'FIRE TEX 5090'!$B$5:$H$43,IF(L593="F-15",2,IF(L593="F-30",3,IF(L593="F-60",4,IF(L593="F-90",5,IF(L593="F-120",6,IF(L593="F-150",7,0)))))),0),0)+IF(AND(O593="FIRE TEX 5090",OR(E593="IN",E593="C",E593="Z",E593="L"),J593=4),VLOOKUP(_xlfn.MINIFS('FIRE TEX 5090'!$J$5:$J$43,'FIRE TEX 5090'!$J$5:$J$43,"&gt;="&amp;M593),'FIRE TEX 5090'!$J$5:$P$43,IF(L593="F-15",2,IF(L593="F-30",3,IF(L593="F-60",4,IF(L593="F-90",5,IF(L593="F-120",6,IF(L593="F-150",7,0)))))),0),0)+IF(AND(O593="FIRE TEX 5090",E593="CJ",J593=3),VLOOKUP(_xlfn.MINIFS('FIRE TEX 5090'!$R$5:$R$30,'FIRE TEX 5090'!$R$5:$R$30,"&gt;="&amp;M593),'FIRE TEX 5090'!$R$5:$W$30,IF(L593="F-15",2,IF(L593="F-30",3,IF(L593="F-60",4,IF(L593="F-90",5,IF(L593="F-120",6,IF(L593="F-150",7,0)))))),0),0)+IF(AND(O593="FIRE TEX 5090",E593="CJ",J593=4),VLOOKUP(_xlfn.MINIFS('FIRE TEX 5090'!$Y$5:$Y$39,'FIRE TEX 5090'!$Y$5:$Y$39,"&gt;="&amp;M593),'FIRE TEX 5090'!$Y$5:$AD$39,IF(L593="F-15",2,IF(L593="F-30",3,IF(L593="F-60",4,IF(L593="F-90",5,IF(L593="F-120",6,IF(L593="F-150",7,0)))))),0),0)+IF(AND(O593="FIRE TEX 5120",OR(E593="IN",E593="C",E593="Z",E593="L"),J593=3),VLOOKUP(_xlfn.MINIFS('FIRE TEX 5120'!$B$5:$B$40,'FIRE TEX 5120'!$B$5:$B$40,"&gt;="&amp;M593),'FIRE TEX 5120'!$B$5:$G$40,IF(L593="F-15",2,IF(L593="F-30",3,IF(L593="F-60",4,IF(L593="F-90",5,IF(L593="F-120",6,0))))),0),0)+IF(AND(O593="FIRE TEX 5120",OR(E593="IN",E593="C",E593="Z",E593="L"),J593=4),VLOOKUP(_xlfn.MINIFS('FIRE TEX 5120'!$H$4:$H$40,'FIRE TEX 5120'!$H$4:$H$40,"&gt;="&amp;M593),'FIRE TEX 5120'!$H$4:$M$40,IF(L593="F-15",2,IF(L593="F-30",3,IF(L593="F-60",4,IF(L593="F-90",5,IF(L593="F-120",6,0))))),0),0)+IF(AND(O593="FIRE TEX 5120",E593="CJ"),VLOOKUP(_xlfn.MINIFS('FIRE TEX 5120'!$O$5:$O$40,'FIRE TEX 5120'!$O$5:$O$40,"&gt;="&amp;M593),'FIRE TEX 5120'!$O$5:$T$40,IF(L593="F-15",2,IF(L593="F-30",3,IF(L593="F-60",4,IF(L593="F-90",5,IF(L593="F-120",6,0))))),0),0)</f>
        <v>0</v>
      </c>
      <c r="Q593" s="46">
        <f t="shared" si="64"/>
        <v>0</v>
      </c>
      <c r="R593" s="46">
        <f t="shared" si="65"/>
        <v>0</v>
      </c>
      <c r="S593" s="46" t="e">
        <f t="shared" si="66"/>
        <v>#VALUE!</v>
      </c>
      <c r="T593" s="677">
        <f t="shared" si="67"/>
        <v>0</v>
      </c>
      <c r="U593" s="80">
        <f>(IF(O593="Stofire",(S593*#REF!),0))+(IF(O593="Fire Control",(S593*$U$2),0))+(IF(O593="Fire Tex",(S593*$U$3),0))+(IF(O593="WB7",(S593*#REF!),0)+(IF(O593="FX 2003",(S593*$U$5),0)))</f>
        <v>0</v>
      </c>
      <c r="V593" s="651">
        <f t="shared" si="68"/>
        <v>0</v>
      </c>
    </row>
    <row r="594" spans="4:22" x14ac:dyDescent="0.25">
      <c r="D594" s="118">
        <f>+CUBICACION!D593</f>
        <v>0</v>
      </c>
      <c r="E594" s="118">
        <f>+CUBICACION!F593</f>
        <v>0</v>
      </c>
      <c r="F594" s="118">
        <f>+CUBICACION!E593</f>
        <v>0</v>
      </c>
      <c r="G594" s="118">
        <v>12</v>
      </c>
      <c r="H594" s="118">
        <v>2</v>
      </c>
      <c r="I594" s="820">
        <v>26385</v>
      </c>
      <c r="J594" s="118">
        <f>+CUBICACION!J593</f>
        <v>0</v>
      </c>
      <c r="K594" s="118">
        <v>3373</v>
      </c>
      <c r="L594" s="118">
        <f>+CUBICACION!L593</f>
        <v>0</v>
      </c>
      <c r="M594" s="64">
        <f>+CUBICACION!M593</f>
        <v>0</v>
      </c>
      <c r="N594" s="824" t="str">
        <f>+CUBICACION!N593</f>
        <v/>
      </c>
      <c r="O594" s="675">
        <f>+CUBICACION!O593</f>
        <v>0</v>
      </c>
      <c r="P594" s="15">
        <f>IF(O594="Fire Control",VLOOKUP(_xlfn.MINIFS('FIRE CONTROL'!$C$4:$C$37,'FIRE CONTROL'!$C$4:$C$37,"&gt;="&amp;M594),'FIRE CONTROL'!$C$4:$G$37,IF(L594="F-15",2,IF(L594="F-30",3,IF(L594="F-60",4,IF(L594="F-90",5,0)))),0),0)+IF(AND(O594="FIRE TEX 5062",OR(E594="IN",E594="C",E594="Z",E594="L"),J594=3),VLOOKUP(_xlfn.MINIFS('FIRE TEX 5062'!$B$4:$B$34,'FIRE TEX 5062'!$B$4:$B$34,"&gt;="&amp;M594),'FIRE TEX 5062'!$B$4:$F$34,IF(L594="F-15",2,IF(L594="F-30",3,IF(L594="F-60",4,IF(L594="F-90",5,0)))),0),0)+IF(AND(O594="FIRE TEX 5062",OR(E594="IN",E594="C",E594="Z",E594="L"),J594=4),VLOOKUP(_xlfn.MINIFS('FIRE TEX 5062'!$G$4:$G$34,'FIRE TEX 5062'!$G$4:$G$34,"&gt;="&amp;M594),'FIRE TEX 5062'!$G$4:$K$34,IF(L594="F-15",2,IF(L594="F-30",3,IF(L594="F-60",4,IF(L594="F-90",5,0)))),0),0)+IF(AND(O594="FIRE TEX 5062",E594="CJ",J594=3),VLOOKUP(_xlfn.MINIFS('FIRE TEX 5062'!$L$4:$L$34,'FIRE TEX 5062'!$L$4:$L$34,"&gt;="&amp;M594),'FIRE TEX 5062'!$L$4:$P$34,IF(L594="F-15",2,IF(L594="F-30",3,IF(L594="F-60",4,IF(L594="F-90",5,0)))),0),0)+IF(AND(O594="FIRE TEX 5062",E594="CJ",J594=4),VLOOKUP(_xlfn.MINIFS('FIRE TEX 5062'!$Q$3:$Q$34,'FIRE TEX 5062'!$Q$3:$Q$34,"&gt;="&amp;M594),'FIRE TEX 5062'!$Q$3:$U$34,IF(L594="F-15",2,IF(L594="F-30",3,IF(L594="F-60",4,IF(L594="F-90",5,0)))),0),0)+IF(AND(O594="FIRE TEX 5090",OR(E594="IN",E594="C",E594="Z",E594="L"),J594=3),VLOOKUP(_xlfn.MINIFS('FIRE TEX 5090'!$B$5:$B$43,'FIRE TEX 5090'!$B$5:$B$43,"&gt;="&amp;M594),'FIRE TEX 5090'!$B$5:$H$43,IF(L594="F-15",2,IF(L594="F-30",3,IF(L594="F-60",4,IF(L594="F-90",5,IF(L594="F-120",6,IF(L594="F-150",7,0)))))),0),0)+IF(AND(O594="FIRE TEX 5090",OR(E594="IN",E594="C",E594="Z",E594="L"),J594=4),VLOOKUP(_xlfn.MINIFS('FIRE TEX 5090'!$J$5:$J$43,'FIRE TEX 5090'!$J$5:$J$43,"&gt;="&amp;M594),'FIRE TEX 5090'!$J$5:$P$43,IF(L594="F-15",2,IF(L594="F-30",3,IF(L594="F-60",4,IF(L594="F-90",5,IF(L594="F-120",6,IF(L594="F-150",7,0)))))),0),0)+IF(AND(O594="FIRE TEX 5090",E594="CJ",J594=3),VLOOKUP(_xlfn.MINIFS('FIRE TEX 5090'!$R$5:$R$30,'FIRE TEX 5090'!$R$5:$R$30,"&gt;="&amp;M594),'FIRE TEX 5090'!$R$5:$W$30,IF(L594="F-15",2,IF(L594="F-30",3,IF(L594="F-60",4,IF(L594="F-90",5,IF(L594="F-120",6,IF(L594="F-150",7,0)))))),0),0)+IF(AND(O594="FIRE TEX 5090",E594="CJ",J594=4),VLOOKUP(_xlfn.MINIFS('FIRE TEX 5090'!$Y$5:$Y$39,'FIRE TEX 5090'!$Y$5:$Y$39,"&gt;="&amp;M594),'FIRE TEX 5090'!$Y$5:$AD$39,IF(L594="F-15",2,IF(L594="F-30",3,IF(L594="F-60",4,IF(L594="F-90",5,IF(L594="F-120",6,IF(L594="F-150",7,0)))))),0),0)+IF(AND(O594="FIRE TEX 5120",OR(E594="IN",E594="C",E594="Z",E594="L"),J594=3),VLOOKUP(_xlfn.MINIFS('FIRE TEX 5120'!$B$5:$B$40,'FIRE TEX 5120'!$B$5:$B$40,"&gt;="&amp;M594),'FIRE TEX 5120'!$B$5:$G$40,IF(L594="F-15",2,IF(L594="F-30",3,IF(L594="F-60",4,IF(L594="F-90",5,IF(L594="F-120",6,0))))),0),0)+IF(AND(O594="FIRE TEX 5120",OR(E594="IN",E594="C",E594="Z",E594="L"),J594=4),VLOOKUP(_xlfn.MINIFS('FIRE TEX 5120'!$H$4:$H$40,'FIRE TEX 5120'!$H$4:$H$40,"&gt;="&amp;M594),'FIRE TEX 5120'!$H$4:$M$40,IF(L594="F-15",2,IF(L594="F-30",3,IF(L594="F-60",4,IF(L594="F-90",5,IF(L594="F-120",6,0))))),0),0)+IF(AND(O594="FIRE TEX 5120",E594="CJ"),VLOOKUP(_xlfn.MINIFS('FIRE TEX 5120'!$O$5:$O$40,'FIRE TEX 5120'!$O$5:$O$40,"&gt;="&amp;M594),'FIRE TEX 5120'!$O$5:$T$40,IF(L594="F-15",2,IF(L594="F-30",3,IF(L594="F-60",4,IF(L594="F-90",5,IF(L594="F-120",6,0))))),0),0)</f>
        <v>0</v>
      </c>
      <c r="Q594" s="46">
        <f t="shared" si="64"/>
        <v>0</v>
      </c>
      <c r="R594" s="46">
        <f t="shared" si="65"/>
        <v>0</v>
      </c>
      <c r="S594" s="46" t="e">
        <f t="shared" si="66"/>
        <v>#VALUE!</v>
      </c>
      <c r="T594" s="677">
        <f t="shared" si="67"/>
        <v>0</v>
      </c>
      <c r="U594" s="80">
        <f>(IF(O594="Stofire",(S594*#REF!),0))+(IF(O594="Fire Control",(S594*$U$2),0))+(IF(O594="Fire Tex",(S594*$U$3),0))+(IF(O594="WB7",(S594*#REF!),0)+(IF(O594="FX 2003",(S594*$U$5),0)))</f>
        <v>0</v>
      </c>
      <c r="V594" s="651">
        <f t="shared" si="68"/>
        <v>0</v>
      </c>
    </row>
    <row r="595" spans="4:22" x14ac:dyDescent="0.25">
      <c r="D595" s="118">
        <f>+CUBICACION!D594</f>
        <v>0</v>
      </c>
      <c r="E595" s="118">
        <f>+CUBICACION!F594</f>
        <v>0</v>
      </c>
      <c r="F595" s="118">
        <f>+CUBICACION!E594</f>
        <v>0</v>
      </c>
      <c r="G595" s="118">
        <v>12</v>
      </c>
      <c r="H595" s="118">
        <v>2</v>
      </c>
      <c r="I595" s="820">
        <v>26385</v>
      </c>
      <c r="J595" s="118">
        <f>+CUBICACION!J594</f>
        <v>0</v>
      </c>
      <c r="K595" s="118">
        <v>3374</v>
      </c>
      <c r="L595" s="118">
        <f>+CUBICACION!L594</f>
        <v>0</v>
      </c>
      <c r="M595" s="64">
        <f>+CUBICACION!M594</f>
        <v>0</v>
      </c>
      <c r="N595" s="824" t="str">
        <f>+CUBICACION!N594</f>
        <v/>
      </c>
      <c r="O595" s="675">
        <f>+CUBICACION!O594</f>
        <v>0</v>
      </c>
      <c r="P595" s="15">
        <f>IF(O595="Fire Control",VLOOKUP(_xlfn.MINIFS('FIRE CONTROL'!$C$4:$C$37,'FIRE CONTROL'!$C$4:$C$37,"&gt;="&amp;M595),'FIRE CONTROL'!$C$4:$G$37,IF(L595="F-15",2,IF(L595="F-30",3,IF(L595="F-60",4,IF(L595="F-90",5,0)))),0),0)+IF(AND(O595="FIRE TEX 5062",OR(E595="IN",E595="C",E595="Z",E595="L"),J595=3),VLOOKUP(_xlfn.MINIFS('FIRE TEX 5062'!$B$4:$B$34,'FIRE TEX 5062'!$B$4:$B$34,"&gt;="&amp;M595),'FIRE TEX 5062'!$B$4:$F$34,IF(L595="F-15",2,IF(L595="F-30",3,IF(L595="F-60",4,IF(L595="F-90",5,0)))),0),0)+IF(AND(O595="FIRE TEX 5062",OR(E595="IN",E595="C",E595="Z",E595="L"),J595=4),VLOOKUP(_xlfn.MINIFS('FIRE TEX 5062'!$G$4:$G$34,'FIRE TEX 5062'!$G$4:$G$34,"&gt;="&amp;M595),'FIRE TEX 5062'!$G$4:$K$34,IF(L595="F-15",2,IF(L595="F-30",3,IF(L595="F-60",4,IF(L595="F-90",5,0)))),0),0)+IF(AND(O595="FIRE TEX 5062",E595="CJ",J595=3),VLOOKUP(_xlfn.MINIFS('FIRE TEX 5062'!$L$4:$L$34,'FIRE TEX 5062'!$L$4:$L$34,"&gt;="&amp;M595),'FIRE TEX 5062'!$L$4:$P$34,IF(L595="F-15",2,IF(L595="F-30",3,IF(L595="F-60",4,IF(L595="F-90",5,0)))),0),0)+IF(AND(O595="FIRE TEX 5062",E595="CJ",J595=4),VLOOKUP(_xlfn.MINIFS('FIRE TEX 5062'!$Q$3:$Q$34,'FIRE TEX 5062'!$Q$3:$Q$34,"&gt;="&amp;M595),'FIRE TEX 5062'!$Q$3:$U$34,IF(L595="F-15",2,IF(L595="F-30",3,IF(L595="F-60",4,IF(L595="F-90",5,0)))),0),0)+IF(AND(O595="FIRE TEX 5090",OR(E595="IN",E595="C",E595="Z",E595="L"),J595=3),VLOOKUP(_xlfn.MINIFS('FIRE TEX 5090'!$B$5:$B$43,'FIRE TEX 5090'!$B$5:$B$43,"&gt;="&amp;M595),'FIRE TEX 5090'!$B$5:$H$43,IF(L595="F-15",2,IF(L595="F-30",3,IF(L595="F-60",4,IF(L595="F-90",5,IF(L595="F-120",6,IF(L595="F-150",7,0)))))),0),0)+IF(AND(O595="FIRE TEX 5090",OR(E595="IN",E595="C",E595="Z",E595="L"),J595=4),VLOOKUP(_xlfn.MINIFS('FIRE TEX 5090'!$J$5:$J$43,'FIRE TEX 5090'!$J$5:$J$43,"&gt;="&amp;M595),'FIRE TEX 5090'!$J$5:$P$43,IF(L595="F-15",2,IF(L595="F-30",3,IF(L595="F-60",4,IF(L595="F-90",5,IF(L595="F-120",6,IF(L595="F-150",7,0)))))),0),0)+IF(AND(O595="FIRE TEX 5090",E595="CJ",J595=3),VLOOKUP(_xlfn.MINIFS('FIRE TEX 5090'!$R$5:$R$30,'FIRE TEX 5090'!$R$5:$R$30,"&gt;="&amp;M595),'FIRE TEX 5090'!$R$5:$W$30,IF(L595="F-15",2,IF(L595="F-30",3,IF(L595="F-60",4,IF(L595="F-90",5,IF(L595="F-120",6,IF(L595="F-150",7,0)))))),0),0)+IF(AND(O595="FIRE TEX 5090",E595="CJ",J595=4),VLOOKUP(_xlfn.MINIFS('FIRE TEX 5090'!$Y$5:$Y$39,'FIRE TEX 5090'!$Y$5:$Y$39,"&gt;="&amp;M595),'FIRE TEX 5090'!$Y$5:$AD$39,IF(L595="F-15",2,IF(L595="F-30",3,IF(L595="F-60",4,IF(L595="F-90",5,IF(L595="F-120",6,IF(L595="F-150",7,0)))))),0),0)+IF(AND(O595="FIRE TEX 5120",OR(E595="IN",E595="C",E595="Z",E595="L"),J595=3),VLOOKUP(_xlfn.MINIFS('FIRE TEX 5120'!$B$5:$B$40,'FIRE TEX 5120'!$B$5:$B$40,"&gt;="&amp;M595),'FIRE TEX 5120'!$B$5:$G$40,IF(L595="F-15",2,IF(L595="F-30",3,IF(L595="F-60",4,IF(L595="F-90",5,IF(L595="F-120",6,0))))),0),0)+IF(AND(O595="FIRE TEX 5120",OR(E595="IN",E595="C",E595="Z",E595="L"),J595=4),VLOOKUP(_xlfn.MINIFS('FIRE TEX 5120'!$H$4:$H$40,'FIRE TEX 5120'!$H$4:$H$40,"&gt;="&amp;M595),'FIRE TEX 5120'!$H$4:$M$40,IF(L595="F-15",2,IF(L595="F-30",3,IF(L595="F-60",4,IF(L595="F-90",5,IF(L595="F-120",6,0))))),0),0)+IF(AND(O595="FIRE TEX 5120",E595="CJ"),VLOOKUP(_xlfn.MINIFS('FIRE TEX 5120'!$O$5:$O$40,'FIRE TEX 5120'!$O$5:$O$40,"&gt;="&amp;M595),'FIRE TEX 5120'!$O$5:$T$40,IF(L595="F-15",2,IF(L595="F-30",3,IF(L595="F-60",4,IF(L595="F-90",5,IF(L595="F-120",6,0))))),0),0)</f>
        <v>0</v>
      </c>
      <c r="Q595" s="46">
        <f t="shared" si="64"/>
        <v>0</v>
      </c>
      <c r="R595" s="46">
        <f t="shared" si="65"/>
        <v>0</v>
      </c>
      <c r="S595" s="46" t="e">
        <f t="shared" si="66"/>
        <v>#VALUE!</v>
      </c>
      <c r="T595" s="677">
        <f t="shared" si="67"/>
        <v>0</v>
      </c>
      <c r="U595" s="80">
        <f>(IF(O595="Stofire",(S595*#REF!),0))+(IF(O595="Fire Control",(S595*$U$2),0))+(IF(O595="Fire Tex",(S595*$U$3),0))+(IF(O595="WB7",(S595*#REF!),0)+(IF(O595="FX 2003",(S595*$U$5),0)))</f>
        <v>0</v>
      </c>
      <c r="V595" s="651">
        <f t="shared" si="68"/>
        <v>0</v>
      </c>
    </row>
    <row r="596" spans="4:22" x14ac:dyDescent="0.25">
      <c r="D596" s="118">
        <f>+CUBICACION!D595</f>
        <v>0</v>
      </c>
      <c r="E596" s="118">
        <f>+CUBICACION!F595</f>
        <v>0</v>
      </c>
      <c r="F596" s="118">
        <f>+CUBICACION!E595</f>
        <v>0</v>
      </c>
      <c r="G596" s="118">
        <v>12</v>
      </c>
      <c r="H596" s="118">
        <v>2</v>
      </c>
      <c r="I596" s="820">
        <v>26385</v>
      </c>
      <c r="J596" s="118">
        <f>+CUBICACION!J595</f>
        <v>0</v>
      </c>
      <c r="K596" s="118">
        <v>3375</v>
      </c>
      <c r="L596" s="118">
        <f>+CUBICACION!L595</f>
        <v>0</v>
      </c>
      <c r="M596" s="64">
        <f>+CUBICACION!M595</f>
        <v>0</v>
      </c>
      <c r="N596" s="824" t="str">
        <f>+CUBICACION!N595</f>
        <v/>
      </c>
      <c r="O596" s="675">
        <f>+CUBICACION!O595</f>
        <v>0</v>
      </c>
      <c r="P596" s="15">
        <f>IF(O596="Fire Control",VLOOKUP(_xlfn.MINIFS('FIRE CONTROL'!$C$4:$C$37,'FIRE CONTROL'!$C$4:$C$37,"&gt;="&amp;M596),'FIRE CONTROL'!$C$4:$G$37,IF(L596="F-15",2,IF(L596="F-30",3,IF(L596="F-60",4,IF(L596="F-90",5,0)))),0),0)+IF(AND(O596="FIRE TEX 5062",OR(E596="IN",E596="C",E596="Z",E596="L"),J596=3),VLOOKUP(_xlfn.MINIFS('FIRE TEX 5062'!$B$4:$B$34,'FIRE TEX 5062'!$B$4:$B$34,"&gt;="&amp;M596),'FIRE TEX 5062'!$B$4:$F$34,IF(L596="F-15",2,IF(L596="F-30",3,IF(L596="F-60",4,IF(L596="F-90",5,0)))),0),0)+IF(AND(O596="FIRE TEX 5062",OR(E596="IN",E596="C",E596="Z",E596="L"),J596=4),VLOOKUP(_xlfn.MINIFS('FIRE TEX 5062'!$G$4:$G$34,'FIRE TEX 5062'!$G$4:$G$34,"&gt;="&amp;M596),'FIRE TEX 5062'!$G$4:$K$34,IF(L596="F-15",2,IF(L596="F-30",3,IF(L596="F-60",4,IF(L596="F-90",5,0)))),0),0)+IF(AND(O596="FIRE TEX 5062",E596="CJ",J596=3),VLOOKUP(_xlfn.MINIFS('FIRE TEX 5062'!$L$4:$L$34,'FIRE TEX 5062'!$L$4:$L$34,"&gt;="&amp;M596),'FIRE TEX 5062'!$L$4:$P$34,IF(L596="F-15",2,IF(L596="F-30",3,IF(L596="F-60",4,IF(L596="F-90",5,0)))),0),0)+IF(AND(O596="FIRE TEX 5062",E596="CJ",J596=4),VLOOKUP(_xlfn.MINIFS('FIRE TEX 5062'!$Q$3:$Q$34,'FIRE TEX 5062'!$Q$3:$Q$34,"&gt;="&amp;M596),'FIRE TEX 5062'!$Q$3:$U$34,IF(L596="F-15",2,IF(L596="F-30",3,IF(L596="F-60",4,IF(L596="F-90",5,0)))),0),0)+IF(AND(O596="FIRE TEX 5090",OR(E596="IN",E596="C",E596="Z",E596="L"),J596=3),VLOOKUP(_xlfn.MINIFS('FIRE TEX 5090'!$B$5:$B$43,'FIRE TEX 5090'!$B$5:$B$43,"&gt;="&amp;M596),'FIRE TEX 5090'!$B$5:$H$43,IF(L596="F-15",2,IF(L596="F-30",3,IF(L596="F-60",4,IF(L596="F-90",5,IF(L596="F-120",6,IF(L596="F-150",7,0)))))),0),0)+IF(AND(O596="FIRE TEX 5090",OR(E596="IN",E596="C",E596="Z",E596="L"),J596=4),VLOOKUP(_xlfn.MINIFS('FIRE TEX 5090'!$J$5:$J$43,'FIRE TEX 5090'!$J$5:$J$43,"&gt;="&amp;M596),'FIRE TEX 5090'!$J$5:$P$43,IF(L596="F-15",2,IF(L596="F-30",3,IF(L596="F-60",4,IF(L596="F-90",5,IF(L596="F-120",6,IF(L596="F-150",7,0)))))),0),0)+IF(AND(O596="FIRE TEX 5090",E596="CJ",J596=3),VLOOKUP(_xlfn.MINIFS('FIRE TEX 5090'!$R$5:$R$30,'FIRE TEX 5090'!$R$5:$R$30,"&gt;="&amp;M596),'FIRE TEX 5090'!$R$5:$W$30,IF(L596="F-15",2,IF(L596="F-30",3,IF(L596="F-60",4,IF(L596="F-90",5,IF(L596="F-120",6,IF(L596="F-150",7,0)))))),0),0)+IF(AND(O596="FIRE TEX 5090",E596="CJ",J596=4),VLOOKUP(_xlfn.MINIFS('FIRE TEX 5090'!$Y$5:$Y$39,'FIRE TEX 5090'!$Y$5:$Y$39,"&gt;="&amp;M596),'FIRE TEX 5090'!$Y$5:$AD$39,IF(L596="F-15",2,IF(L596="F-30",3,IF(L596="F-60",4,IF(L596="F-90",5,IF(L596="F-120",6,IF(L596="F-150",7,0)))))),0),0)+IF(AND(O596="FIRE TEX 5120",OR(E596="IN",E596="C",E596="Z",E596="L"),J596=3),VLOOKUP(_xlfn.MINIFS('FIRE TEX 5120'!$B$5:$B$40,'FIRE TEX 5120'!$B$5:$B$40,"&gt;="&amp;M596),'FIRE TEX 5120'!$B$5:$G$40,IF(L596="F-15",2,IF(L596="F-30",3,IF(L596="F-60",4,IF(L596="F-90",5,IF(L596="F-120",6,0))))),0),0)+IF(AND(O596="FIRE TEX 5120",OR(E596="IN",E596="C",E596="Z",E596="L"),J596=4),VLOOKUP(_xlfn.MINIFS('FIRE TEX 5120'!$H$4:$H$40,'FIRE TEX 5120'!$H$4:$H$40,"&gt;="&amp;M596),'FIRE TEX 5120'!$H$4:$M$40,IF(L596="F-15",2,IF(L596="F-30",3,IF(L596="F-60",4,IF(L596="F-90",5,IF(L596="F-120",6,0))))),0),0)+IF(AND(O596="FIRE TEX 5120",E596="CJ"),VLOOKUP(_xlfn.MINIFS('FIRE TEX 5120'!$O$5:$O$40,'FIRE TEX 5120'!$O$5:$O$40,"&gt;="&amp;M596),'FIRE TEX 5120'!$O$5:$T$40,IF(L596="F-15",2,IF(L596="F-30",3,IF(L596="F-60",4,IF(L596="F-90",5,IF(L596="F-120",6,0))))),0),0)</f>
        <v>0</v>
      </c>
      <c r="Q596" s="46">
        <f t="shared" si="64"/>
        <v>0</v>
      </c>
      <c r="R596" s="46">
        <f t="shared" si="65"/>
        <v>0</v>
      </c>
      <c r="S596" s="46" t="e">
        <f t="shared" si="66"/>
        <v>#VALUE!</v>
      </c>
      <c r="T596" s="677">
        <f t="shared" si="67"/>
        <v>0</v>
      </c>
      <c r="U596" s="80">
        <f>(IF(O596="Stofire",(S596*#REF!),0))+(IF(O596="Fire Control",(S596*$U$2),0))+(IF(O596="Fire Tex",(S596*$U$3),0))+(IF(O596="WB7",(S596*#REF!),0)+(IF(O596="FX 2003",(S596*$U$5),0)))</f>
        <v>0</v>
      </c>
      <c r="V596" s="651">
        <f t="shared" si="68"/>
        <v>0</v>
      </c>
    </row>
    <row r="597" spans="4:22" x14ac:dyDescent="0.25">
      <c r="D597" s="118">
        <f>+CUBICACION!D596</f>
        <v>0</v>
      </c>
      <c r="E597" s="118">
        <f>+CUBICACION!F596</f>
        <v>0</v>
      </c>
      <c r="F597" s="118">
        <f>+CUBICACION!E596</f>
        <v>0</v>
      </c>
      <c r="G597" s="118">
        <v>12</v>
      </c>
      <c r="H597" s="118">
        <v>2</v>
      </c>
      <c r="I597" s="820">
        <v>26385</v>
      </c>
      <c r="J597" s="118">
        <f>+CUBICACION!J596</f>
        <v>0</v>
      </c>
      <c r="K597" s="118">
        <v>3376</v>
      </c>
      <c r="L597" s="118">
        <f>+CUBICACION!L596</f>
        <v>0</v>
      </c>
      <c r="M597" s="64">
        <f>+CUBICACION!M596</f>
        <v>0</v>
      </c>
      <c r="N597" s="824" t="str">
        <f>+CUBICACION!N596</f>
        <v/>
      </c>
      <c r="O597" s="675">
        <f>+CUBICACION!O596</f>
        <v>0</v>
      </c>
      <c r="P597" s="15">
        <f>IF(O597="Fire Control",VLOOKUP(_xlfn.MINIFS('FIRE CONTROL'!$C$4:$C$37,'FIRE CONTROL'!$C$4:$C$37,"&gt;="&amp;M597),'FIRE CONTROL'!$C$4:$G$37,IF(L597="F-15",2,IF(L597="F-30",3,IF(L597="F-60",4,IF(L597="F-90",5,0)))),0),0)+IF(AND(O597="FIRE TEX 5062",OR(E597="IN",E597="C",E597="Z",E597="L"),J597=3),VLOOKUP(_xlfn.MINIFS('FIRE TEX 5062'!$B$4:$B$34,'FIRE TEX 5062'!$B$4:$B$34,"&gt;="&amp;M597),'FIRE TEX 5062'!$B$4:$F$34,IF(L597="F-15",2,IF(L597="F-30",3,IF(L597="F-60",4,IF(L597="F-90",5,0)))),0),0)+IF(AND(O597="FIRE TEX 5062",OR(E597="IN",E597="C",E597="Z",E597="L"),J597=4),VLOOKUP(_xlfn.MINIFS('FIRE TEX 5062'!$G$4:$G$34,'FIRE TEX 5062'!$G$4:$G$34,"&gt;="&amp;M597),'FIRE TEX 5062'!$G$4:$K$34,IF(L597="F-15",2,IF(L597="F-30",3,IF(L597="F-60",4,IF(L597="F-90",5,0)))),0),0)+IF(AND(O597="FIRE TEX 5062",E597="CJ",J597=3),VLOOKUP(_xlfn.MINIFS('FIRE TEX 5062'!$L$4:$L$34,'FIRE TEX 5062'!$L$4:$L$34,"&gt;="&amp;M597),'FIRE TEX 5062'!$L$4:$P$34,IF(L597="F-15",2,IF(L597="F-30",3,IF(L597="F-60",4,IF(L597="F-90",5,0)))),0),0)+IF(AND(O597="FIRE TEX 5062",E597="CJ",J597=4),VLOOKUP(_xlfn.MINIFS('FIRE TEX 5062'!$Q$3:$Q$34,'FIRE TEX 5062'!$Q$3:$Q$34,"&gt;="&amp;M597),'FIRE TEX 5062'!$Q$3:$U$34,IF(L597="F-15",2,IF(L597="F-30",3,IF(L597="F-60",4,IF(L597="F-90",5,0)))),0),0)+IF(AND(O597="FIRE TEX 5090",OR(E597="IN",E597="C",E597="Z",E597="L"),J597=3),VLOOKUP(_xlfn.MINIFS('FIRE TEX 5090'!$B$5:$B$43,'FIRE TEX 5090'!$B$5:$B$43,"&gt;="&amp;M597),'FIRE TEX 5090'!$B$5:$H$43,IF(L597="F-15",2,IF(L597="F-30",3,IF(L597="F-60",4,IF(L597="F-90",5,IF(L597="F-120",6,IF(L597="F-150",7,0)))))),0),0)+IF(AND(O597="FIRE TEX 5090",OR(E597="IN",E597="C",E597="Z",E597="L"),J597=4),VLOOKUP(_xlfn.MINIFS('FIRE TEX 5090'!$J$5:$J$43,'FIRE TEX 5090'!$J$5:$J$43,"&gt;="&amp;M597),'FIRE TEX 5090'!$J$5:$P$43,IF(L597="F-15",2,IF(L597="F-30",3,IF(L597="F-60",4,IF(L597="F-90",5,IF(L597="F-120",6,IF(L597="F-150",7,0)))))),0),0)+IF(AND(O597="FIRE TEX 5090",E597="CJ",J597=3),VLOOKUP(_xlfn.MINIFS('FIRE TEX 5090'!$R$5:$R$30,'FIRE TEX 5090'!$R$5:$R$30,"&gt;="&amp;M597),'FIRE TEX 5090'!$R$5:$W$30,IF(L597="F-15",2,IF(L597="F-30",3,IF(L597="F-60",4,IF(L597="F-90",5,IF(L597="F-120",6,IF(L597="F-150",7,0)))))),0),0)+IF(AND(O597="FIRE TEX 5090",E597="CJ",J597=4),VLOOKUP(_xlfn.MINIFS('FIRE TEX 5090'!$Y$5:$Y$39,'FIRE TEX 5090'!$Y$5:$Y$39,"&gt;="&amp;M597),'FIRE TEX 5090'!$Y$5:$AD$39,IF(L597="F-15",2,IF(L597="F-30",3,IF(L597="F-60",4,IF(L597="F-90",5,IF(L597="F-120",6,IF(L597="F-150",7,0)))))),0),0)+IF(AND(O597="FIRE TEX 5120",OR(E597="IN",E597="C",E597="Z",E597="L"),J597=3),VLOOKUP(_xlfn.MINIFS('FIRE TEX 5120'!$B$5:$B$40,'FIRE TEX 5120'!$B$5:$B$40,"&gt;="&amp;M597),'FIRE TEX 5120'!$B$5:$G$40,IF(L597="F-15",2,IF(L597="F-30",3,IF(L597="F-60",4,IF(L597="F-90",5,IF(L597="F-120",6,0))))),0),0)+IF(AND(O597="FIRE TEX 5120",OR(E597="IN",E597="C",E597="Z",E597="L"),J597=4),VLOOKUP(_xlfn.MINIFS('FIRE TEX 5120'!$H$4:$H$40,'FIRE TEX 5120'!$H$4:$H$40,"&gt;="&amp;M597),'FIRE TEX 5120'!$H$4:$M$40,IF(L597="F-15",2,IF(L597="F-30",3,IF(L597="F-60",4,IF(L597="F-90",5,IF(L597="F-120",6,0))))),0),0)+IF(AND(O597="FIRE TEX 5120",E597="CJ"),VLOOKUP(_xlfn.MINIFS('FIRE TEX 5120'!$O$5:$O$40,'FIRE TEX 5120'!$O$5:$O$40,"&gt;="&amp;M597),'FIRE TEX 5120'!$O$5:$T$40,IF(L597="F-15",2,IF(L597="F-30",3,IF(L597="F-60",4,IF(L597="F-90",5,IF(L597="F-120",6,0))))),0),0)</f>
        <v>0</v>
      </c>
      <c r="Q597" s="46">
        <f t="shared" si="64"/>
        <v>0</v>
      </c>
      <c r="R597" s="46">
        <f t="shared" si="65"/>
        <v>0</v>
      </c>
      <c r="S597" s="46" t="e">
        <f t="shared" si="66"/>
        <v>#VALUE!</v>
      </c>
      <c r="T597" s="677">
        <f t="shared" si="67"/>
        <v>0</v>
      </c>
      <c r="U597" s="80">
        <f>(IF(O597="Stofire",(S597*#REF!),0))+(IF(O597="Fire Control",(S597*$U$2),0))+(IF(O597="Fire Tex",(S597*$U$3),0))+(IF(O597="WB7",(S597*#REF!),0)+(IF(O597="FX 2003",(S597*$U$5),0)))</f>
        <v>0</v>
      </c>
      <c r="V597" s="651">
        <f t="shared" si="68"/>
        <v>0</v>
      </c>
    </row>
    <row r="598" spans="4:22" x14ac:dyDescent="0.25">
      <c r="D598" s="118">
        <f>+CUBICACION!D597</f>
        <v>0</v>
      </c>
      <c r="E598" s="118">
        <f>+CUBICACION!F597</f>
        <v>0</v>
      </c>
      <c r="F598" s="118">
        <f>+CUBICACION!E597</f>
        <v>0</v>
      </c>
      <c r="G598" s="118">
        <v>12</v>
      </c>
      <c r="H598" s="118">
        <v>2</v>
      </c>
      <c r="I598" s="820">
        <v>26385</v>
      </c>
      <c r="J598" s="118">
        <f>+CUBICACION!J597</f>
        <v>0</v>
      </c>
      <c r="K598" s="118">
        <v>3377</v>
      </c>
      <c r="L598" s="118">
        <f>+CUBICACION!L597</f>
        <v>0</v>
      </c>
      <c r="M598" s="64">
        <f>+CUBICACION!M597</f>
        <v>0</v>
      </c>
      <c r="N598" s="824" t="str">
        <f>+CUBICACION!N597</f>
        <v/>
      </c>
      <c r="O598" s="675">
        <f>+CUBICACION!O597</f>
        <v>0</v>
      </c>
      <c r="P598" s="15">
        <f>IF(O598="Fire Control",VLOOKUP(_xlfn.MINIFS('FIRE CONTROL'!$C$4:$C$37,'FIRE CONTROL'!$C$4:$C$37,"&gt;="&amp;M598),'FIRE CONTROL'!$C$4:$G$37,IF(L598="F-15",2,IF(L598="F-30",3,IF(L598="F-60",4,IF(L598="F-90",5,0)))),0),0)+IF(AND(O598="FIRE TEX 5062",OR(E598="IN",E598="C",E598="Z",E598="L"),J598=3),VLOOKUP(_xlfn.MINIFS('FIRE TEX 5062'!$B$4:$B$34,'FIRE TEX 5062'!$B$4:$B$34,"&gt;="&amp;M598),'FIRE TEX 5062'!$B$4:$F$34,IF(L598="F-15",2,IF(L598="F-30",3,IF(L598="F-60",4,IF(L598="F-90",5,0)))),0),0)+IF(AND(O598="FIRE TEX 5062",OR(E598="IN",E598="C",E598="Z",E598="L"),J598=4),VLOOKUP(_xlfn.MINIFS('FIRE TEX 5062'!$G$4:$G$34,'FIRE TEX 5062'!$G$4:$G$34,"&gt;="&amp;M598),'FIRE TEX 5062'!$G$4:$K$34,IF(L598="F-15",2,IF(L598="F-30",3,IF(L598="F-60",4,IF(L598="F-90",5,0)))),0),0)+IF(AND(O598="FIRE TEX 5062",E598="CJ",J598=3),VLOOKUP(_xlfn.MINIFS('FIRE TEX 5062'!$L$4:$L$34,'FIRE TEX 5062'!$L$4:$L$34,"&gt;="&amp;M598),'FIRE TEX 5062'!$L$4:$P$34,IF(L598="F-15",2,IF(L598="F-30",3,IF(L598="F-60",4,IF(L598="F-90",5,0)))),0),0)+IF(AND(O598="FIRE TEX 5062",E598="CJ",J598=4),VLOOKUP(_xlfn.MINIFS('FIRE TEX 5062'!$Q$3:$Q$34,'FIRE TEX 5062'!$Q$3:$Q$34,"&gt;="&amp;M598),'FIRE TEX 5062'!$Q$3:$U$34,IF(L598="F-15",2,IF(L598="F-30",3,IF(L598="F-60",4,IF(L598="F-90",5,0)))),0),0)+IF(AND(O598="FIRE TEX 5090",OR(E598="IN",E598="C",E598="Z",E598="L"),J598=3),VLOOKUP(_xlfn.MINIFS('FIRE TEX 5090'!$B$5:$B$43,'FIRE TEX 5090'!$B$5:$B$43,"&gt;="&amp;M598),'FIRE TEX 5090'!$B$5:$H$43,IF(L598="F-15",2,IF(L598="F-30",3,IF(L598="F-60",4,IF(L598="F-90",5,IF(L598="F-120",6,IF(L598="F-150",7,0)))))),0),0)+IF(AND(O598="FIRE TEX 5090",OR(E598="IN",E598="C",E598="Z",E598="L"),J598=4),VLOOKUP(_xlfn.MINIFS('FIRE TEX 5090'!$J$5:$J$43,'FIRE TEX 5090'!$J$5:$J$43,"&gt;="&amp;M598),'FIRE TEX 5090'!$J$5:$P$43,IF(L598="F-15",2,IF(L598="F-30",3,IF(L598="F-60",4,IF(L598="F-90",5,IF(L598="F-120",6,IF(L598="F-150",7,0)))))),0),0)+IF(AND(O598="FIRE TEX 5090",E598="CJ",J598=3),VLOOKUP(_xlfn.MINIFS('FIRE TEX 5090'!$R$5:$R$30,'FIRE TEX 5090'!$R$5:$R$30,"&gt;="&amp;M598),'FIRE TEX 5090'!$R$5:$W$30,IF(L598="F-15",2,IF(L598="F-30",3,IF(L598="F-60",4,IF(L598="F-90",5,IF(L598="F-120",6,IF(L598="F-150",7,0)))))),0),0)+IF(AND(O598="FIRE TEX 5090",E598="CJ",J598=4),VLOOKUP(_xlfn.MINIFS('FIRE TEX 5090'!$Y$5:$Y$39,'FIRE TEX 5090'!$Y$5:$Y$39,"&gt;="&amp;M598),'FIRE TEX 5090'!$Y$5:$AD$39,IF(L598="F-15",2,IF(L598="F-30",3,IF(L598="F-60",4,IF(L598="F-90",5,IF(L598="F-120",6,IF(L598="F-150",7,0)))))),0),0)+IF(AND(O598="FIRE TEX 5120",OR(E598="IN",E598="C",E598="Z",E598="L"),J598=3),VLOOKUP(_xlfn.MINIFS('FIRE TEX 5120'!$B$5:$B$40,'FIRE TEX 5120'!$B$5:$B$40,"&gt;="&amp;M598),'FIRE TEX 5120'!$B$5:$G$40,IF(L598="F-15",2,IF(L598="F-30",3,IF(L598="F-60",4,IF(L598="F-90",5,IF(L598="F-120",6,0))))),0),0)+IF(AND(O598="FIRE TEX 5120",OR(E598="IN",E598="C",E598="Z",E598="L"),J598=4),VLOOKUP(_xlfn.MINIFS('FIRE TEX 5120'!$H$4:$H$40,'FIRE TEX 5120'!$H$4:$H$40,"&gt;="&amp;M598),'FIRE TEX 5120'!$H$4:$M$40,IF(L598="F-15",2,IF(L598="F-30",3,IF(L598="F-60",4,IF(L598="F-90",5,IF(L598="F-120",6,0))))),0),0)+IF(AND(O598="FIRE TEX 5120",E598="CJ"),VLOOKUP(_xlfn.MINIFS('FIRE TEX 5120'!$O$5:$O$40,'FIRE TEX 5120'!$O$5:$O$40,"&gt;="&amp;M598),'FIRE TEX 5120'!$O$5:$T$40,IF(L598="F-15",2,IF(L598="F-30",3,IF(L598="F-60",4,IF(L598="F-90",5,IF(L598="F-120",6,0))))),0),0)</f>
        <v>0</v>
      </c>
      <c r="Q598" s="46">
        <f t="shared" si="64"/>
        <v>0</v>
      </c>
      <c r="R598" s="46">
        <f t="shared" si="65"/>
        <v>0</v>
      </c>
      <c r="S598" s="46" t="e">
        <f t="shared" si="66"/>
        <v>#VALUE!</v>
      </c>
      <c r="T598" s="677">
        <f t="shared" si="67"/>
        <v>0</v>
      </c>
      <c r="U598" s="80">
        <f>(IF(O598="Stofire",(S598*#REF!),0))+(IF(O598="Fire Control",(S598*$U$2),0))+(IF(O598="Fire Tex",(S598*$U$3),0))+(IF(O598="WB7",(S598*#REF!),0)+(IF(O598="FX 2003",(S598*$U$5),0)))</f>
        <v>0</v>
      </c>
      <c r="V598" s="651">
        <f t="shared" si="68"/>
        <v>0</v>
      </c>
    </row>
    <row r="599" spans="4:22" x14ac:dyDescent="0.25">
      <c r="D599" s="118">
        <f>+CUBICACION!D598</f>
        <v>0</v>
      </c>
      <c r="E599" s="118">
        <f>+CUBICACION!F598</f>
        <v>0</v>
      </c>
      <c r="F599" s="118">
        <f>+CUBICACION!E598</f>
        <v>0</v>
      </c>
      <c r="G599" s="118">
        <v>12</v>
      </c>
      <c r="H599" s="118">
        <v>2</v>
      </c>
      <c r="I599" s="820">
        <v>26385</v>
      </c>
      <c r="J599" s="118">
        <f>+CUBICACION!J598</f>
        <v>0</v>
      </c>
      <c r="K599" s="118">
        <v>3378</v>
      </c>
      <c r="L599" s="118">
        <f>+CUBICACION!L598</f>
        <v>0</v>
      </c>
      <c r="M599" s="64">
        <f>+CUBICACION!M598</f>
        <v>0</v>
      </c>
      <c r="N599" s="824" t="str">
        <f>+CUBICACION!N598</f>
        <v/>
      </c>
      <c r="O599" s="675">
        <f>+CUBICACION!O598</f>
        <v>0</v>
      </c>
      <c r="P599" s="15">
        <f>IF(O599="Fire Control",VLOOKUP(_xlfn.MINIFS('FIRE CONTROL'!$C$4:$C$37,'FIRE CONTROL'!$C$4:$C$37,"&gt;="&amp;M599),'FIRE CONTROL'!$C$4:$G$37,IF(L599="F-15",2,IF(L599="F-30",3,IF(L599="F-60",4,IF(L599="F-90",5,0)))),0),0)+IF(AND(O599="FIRE TEX 5062",OR(E599="IN",E599="C",E599="Z",E599="L"),J599=3),VLOOKUP(_xlfn.MINIFS('FIRE TEX 5062'!$B$4:$B$34,'FIRE TEX 5062'!$B$4:$B$34,"&gt;="&amp;M599),'FIRE TEX 5062'!$B$4:$F$34,IF(L599="F-15",2,IF(L599="F-30",3,IF(L599="F-60",4,IF(L599="F-90",5,0)))),0),0)+IF(AND(O599="FIRE TEX 5062",OR(E599="IN",E599="C",E599="Z",E599="L"),J599=4),VLOOKUP(_xlfn.MINIFS('FIRE TEX 5062'!$G$4:$G$34,'FIRE TEX 5062'!$G$4:$G$34,"&gt;="&amp;M599),'FIRE TEX 5062'!$G$4:$K$34,IF(L599="F-15",2,IF(L599="F-30",3,IF(L599="F-60",4,IF(L599="F-90",5,0)))),0),0)+IF(AND(O599="FIRE TEX 5062",E599="CJ",J599=3),VLOOKUP(_xlfn.MINIFS('FIRE TEX 5062'!$L$4:$L$34,'FIRE TEX 5062'!$L$4:$L$34,"&gt;="&amp;M599),'FIRE TEX 5062'!$L$4:$P$34,IF(L599="F-15",2,IF(L599="F-30",3,IF(L599="F-60",4,IF(L599="F-90",5,0)))),0),0)+IF(AND(O599="FIRE TEX 5062",E599="CJ",J599=4),VLOOKUP(_xlfn.MINIFS('FIRE TEX 5062'!$Q$3:$Q$34,'FIRE TEX 5062'!$Q$3:$Q$34,"&gt;="&amp;M599),'FIRE TEX 5062'!$Q$3:$U$34,IF(L599="F-15",2,IF(L599="F-30",3,IF(L599="F-60",4,IF(L599="F-90",5,0)))),0),0)+IF(AND(O599="FIRE TEX 5090",OR(E599="IN",E599="C",E599="Z",E599="L"),J599=3),VLOOKUP(_xlfn.MINIFS('FIRE TEX 5090'!$B$5:$B$43,'FIRE TEX 5090'!$B$5:$B$43,"&gt;="&amp;M599),'FIRE TEX 5090'!$B$5:$H$43,IF(L599="F-15",2,IF(L599="F-30",3,IF(L599="F-60",4,IF(L599="F-90",5,IF(L599="F-120",6,IF(L599="F-150",7,0)))))),0),0)+IF(AND(O599="FIRE TEX 5090",OR(E599="IN",E599="C",E599="Z",E599="L"),J599=4),VLOOKUP(_xlfn.MINIFS('FIRE TEX 5090'!$J$5:$J$43,'FIRE TEX 5090'!$J$5:$J$43,"&gt;="&amp;M599),'FIRE TEX 5090'!$J$5:$P$43,IF(L599="F-15",2,IF(L599="F-30",3,IF(L599="F-60",4,IF(L599="F-90",5,IF(L599="F-120",6,IF(L599="F-150",7,0)))))),0),0)+IF(AND(O599="FIRE TEX 5090",E599="CJ",J599=3),VLOOKUP(_xlfn.MINIFS('FIRE TEX 5090'!$R$5:$R$30,'FIRE TEX 5090'!$R$5:$R$30,"&gt;="&amp;M599),'FIRE TEX 5090'!$R$5:$W$30,IF(L599="F-15",2,IF(L599="F-30",3,IF(L599="F-60",4,IF(L599="F-90",5,IF(L599="F-120",6,IF(L599="F-150",7,0)))))),0),0)+IF(AND(O599="FIRE TEX 5090",E599="CJ",J599=4),VLOOKUP(_xlfn.MINIFS('FIRE TEX 5090'!$Y$5:$Y$39,'FIRE TEX 5090'!$Y$5:$Y$39,"&gt;="&amp;M599),'FIRE TEX 5090'!$Y$5:$AD$39,IF(L599="F-15",2,IF(L599="F-30",3,IF(L599="F-60",4,IF(L599="F-90",5,IF(L599="F-120",6,IF(L599="F-150",7,0)))))),0),0)+IF(AND(O599="FIRE TEX 5120",OR(E599="IN",E599="C",E599="Z",E599="L"),J599=3),VLOOKUP(_xlfn.MINIFS('FIRE TEX 5120'!$B$5:$B$40,'FIRE TEX 5120'!$B$5:$B$40,"&gt;="&amp;M599),'FIRE TEX 5120'!$B$5:$G$40,IF(L599="F-15",2,IF(L599="F-30",3,IF(L599="F-60",4,IF(L599="F-90",5,IF(L599="F-120",6,0))))),0),0)+IF(AND(O599="FIRE TEX 5120",OR(E599="IN",E599="C",E599="Z",E599="L"),J599=4),VLOOKUP(_xlfn.MINIFS('FIRE TEX 5120'!$H$4:$H$40,'FIRE TEX 5120'!$H$4:$H$40,"&gt;="&amp;M599),'FIRE TEX 5120'!$H$4:$M$40,IF(L599="F-15",2,IF(L599="F-30",3,IF(L599="F-60",4,IF(L599="F-90",5,IF(L599="F-120",6,0))))),0),0)+IF(AND(O599="FIRE TEX 5120",E599="CJ"),VLOOKUP(_xlfn.MINIFS('FIRE TEX 5120'!$O$5:$O$40,'FIRE TEX 5120'!$O$5:$O$40,"&gt;="&amp;M599),'FIRE TEX 5120'!$O$5:$T$40,IF(L599="F-15",2,IF(L599="F-30",3,IF(L599="F-60",4,IF(L599="F-90",5,IF(L599="F-120",6,0))))),0),0)</f>
        <v>0</v>
      </c>
      <c r="Q599" s="46">
        <f t="shared" si="64"/>
        <v>0</v>
      </c>
      <c r="R599" s="46">
        <f t="shared" si="65"/>
        <v>0</v>
      </c>
      <c r="S599" s="46" t="e">
        <f t="shared" si="66"/>
        <v>#VALUE!</v>
      </c>
      <c r="T599" s="677">
        <f t="shared" si="67"/>
        <v>0</v>
      </c>
      <c r="U599" s="80">
        <f>(IF(O599="Stofire",(S599*#REF!),0))+(IF(O599="Fire Control",(S599*$U$2),0))+(IF(O599="Fire Tex",(S599*$U$3),0))+(IF(O599="WB7",(S599*#REF!),0)+(IF(O599="FX 2003",(S599*$U$5),0)))</f>
        <v>0</v>
      </c>
      <c r="V599" s="651">
        <f t="shared" si="68"/>
        <v>0</v>
      </c>
    </row>
    <row r="600" spans="4:22" x14ac:dyDescent="0.25">
      <c r="D600" s="118">
        <f>+CUBICACION!D599</f>
        <v>0</v>
      </c>
      <c r="E600" s="118">
        <f>+CUBICACION!F599</f>
        <v>0</v>
      </c>
      <c r="F600" s="118">
        <f>+CUBICACION!E599</f>
        <v>0</v>
      </c>
      <c r="G600" s="118">
        <v>12</v>
      </c>
      <c r="H600" s="118">
        <v>2</v>
      </c>
      <c r="I600" s="820">
        <v>26385</v>
      </c>
      <c r="J600" s="118">
        <f>+CUBICACION!J599</f>
        <v>0</v>
      </c>
      <c r="K600" s="118">
        <v>3379</v>
      </c>
      <c r="L600" s="118">
        <f>+CUBICACION!L599</f>
        <v>0</v>
      </c>
      <c r="M600" s="64">
        <f>+CUBICACION!M599</f>
        <v>0</v>
      </c>
      <c r="N600" s="824" t="str">
        <f>+CUBICACION!N599</f>
        <v/>
      </c>
      <c r="O600" s="675">
        <f>+CUBICACION!O599</f>
        <v>0</v>
      </c>
      <c r="P600" s="15">
        <f>IF(O600="Fire Control",VLOOKUP(_xlfn.MINIFS('FIRE CONTROL'!$C$4:$C$37,'FIRE CONTROL'!$C$4:$C$37,"&gt;="&amp;M600),'FIRE CONTROL'!$C$4:$G$37,IF(L600="F-15",2,IF(L600="F-30",3,IF(L600="F-60",4,IF(L600="F-90",5,0)))),0),0)+IF(AND(O600="FIRE TEX 5062",OR(E600="IN",E600="C",E600="Z",E600="L"),J600=3),VLOOKUP(_xlfn.MINIFS('FIRE TEX 5062'!$B$4:$B$34,'FIRE TEX 5062'!$B$4:$B$34,"&gt;="&amp;M600),'FIRE TEX 5062'!$B$4:$F$34,IF(L600="F-15",2,IF(L600="F-30",3,IF(L600="F-60",4,IF(L600="F-90",5,0)))),0),0)+IF(AND(O600="FIRE TEX 5062",OR(E600="IN",E600="C",E600="Z",E600="L"),J600=4),VLOOKUP(_xlfn.MINIFS('FIRE TEX 5062'!$G$4:$G$34,'FIRE TEX 5062'!$G$4:$G$34,"&gt;="&amp;M600),'FIRE TEX 5062'!$G$4:$K$34,IF(L600="F-15",2,IF(L600="F-30",3,IF(L600="F-60",4,IF(L600="F-90",5,0)))),0),0)+IF(AND(O600="FIRE TEX 5062",E600="CJ",J600=3),VLOOKUP(_xlfn.MINIFS('FIRE TEX 5062'!$L$4:$L$34,'FIRE TEX 5062'!$L$4:$L$34,"&gt;="&amp;M600),'FIRE TEX 5062'!$L$4:$P$34,IF(L600="F-15",2,IF(L600="F-30",3,IF(L600="F-60",4,IF(L600="F-90",5,0)))),0),0)+IF(AND(O600="FIRE TEX 5062",E600="CJ",J600=4),VLOOKUP(_xlfn.MINIFS('FIRE TEX 5062'!$Q$3:$Q$34,'FIRE TEX 5062'!$Q$3:$Q$34,"&gt;="&amp;M600),'FIRE TEX 5062'!$Q$3:$U$34,IF(L600="F-15",2,IF(L600="F-30",3,IF(L600="F-60",4,IF(L600="F-90",5,0)))),0),0)+IF(AND(O600="FIRE TEX 5090",OR(E600="IN",E600="C",E600="Z",E600="L"),J600=3),VLOOKUP(_xlfn.MINIFS('FIRE TEX 5090'!$B$5:$B$43,'FIRE TEX 5090'!$B$5:$B$43,"&gt;="&amp;M600),'FIRE TEX 5090'!$B$5:$H$43,IF(L600="F-15",2,IF(L600="F-30",3,IF(L600="F-60",4,IF(L600="F-90",5,IF(L600="F-120",6,IF(L600="F-150",7,0)))))),0),0)+IF(AND(O600="FIRE TEX 5090",OR(E600="IN",E600="C",E600="Z",E600="L"),J600=4),VLOOKUP(_xlfn.MINIFS('FIRE TEX 5090'!$J$5:$J$43,'FIRE TEX 5090'!$J$5:$J$43,"&gt;="&amp;M600),'FIRE TEX 5090'!$J$5:$P$43,IF(L600="F-15",2,IF(L600="F-30",3,IF(L600="F-60",4,IF(L600="F-90",5,IF(L600="F-120",6,IF(L600="F-150",7,0)))))),0),0)+IF(AND(O600="FIRE TEX 5090",E600="CJ",J600=3),VLOOKUP(_xlfn.MINIFS('FIRE TEX 5090'!$R$5:$R$30,'FIRE TEX 5090'!$R$5:$R$30,"&gt;="&amp;M600),'FIRE TEX 5090'!$R$5:$W$30,IF(L600="F-15",2,IF(L600="F-30",3,IF(L600="F-60",4,IF(L600="F-90",5,IF(L600="F-120",6,IF(L600="F-150",7,0)))))),0),0)+IF(AND(O600="FIRE TEX 5090",E600="CJ",J600=4),VLOOKUP(_xlfn.MINIFS('FIRE TEX 5090'!$Y$5:$Y$39,'FIRE TEX 5090'!$Y$5:$Y$39,"&gt;="&amp;M600),'FIRE TEX 5090'!$Y$5:$AD$39,IF(L600="F-15",2,IF(L600="F-30",3,IF(L600="F-60",4,IF(L600="F-90",5,IF(L600="F-120",6,IF(L600="F-150",7,0)))))),0),0)+IF(AND(O600="FIRE TEX 5120",OR(E600="IN",E600="C",E600="Z",E600="L"),J600=3),VLOOKUP(_xlfn.MINIFS('FIRE TEX 5120'!$B$5:$B$40,'FIRE TEX 5120'!$B$5:$B$40,"&gt;="&amp;M600),'FIRE TEX 5120'!$B$5:$G$40,IF(L600="F-15",2,IF(L600="F-30",3,IF(L600="F-60",4,IF(L600="F-90",5,IF(L600="F-120",6,0))))),0),0)+IF(AND(O600="FIRE TEX 5120",OR(E600="IN",E600="C",E600="Z",E600="L"),J600=4),VLOOKUP(_xlfn.MINIFS('FIRE TEX 5120'!$H$4:$H$40,'FIRE TEX 5120'!$H$4:$H$40,"&gt;="&amp;M600),'FIRE TEX 5120'!$H$4:$M$40,IF(L600="F-15",2,IF(L600="F-30",3,IF(L600="F-60",4,IF(L600="F-90",5,IF(L600="F-120",6,0))))),0),0)+IF(AND(O600="FIRE TEX 5120",E600="CJ"),VLOOKUP(_xlfn.MINIFS('FIRE TEX 5120'!$O$5:$O$40,'FIRE TEX 5120'!$O$5:$O$40,"&gt;="&amp;M600),'FIRE TEX 5120'!$O$5:$T$40,IF(L600="F-15",2,IF(L600="F-30",3,IF(L600="F-60",4,IF(L600="F-90",5,IF(L600="F-120",6,0))))),0),0)</f>
        <v>0</v>
      </c>
      <c r="Q600" s="46">
        <f t="shared" si="64"/>
        <v>0</v>
      </c>
      <c r="R600" s="46">
        <f t="shared" si="65"/>
        <v>0</v>
      </c>
      <c r="S600" s="46" t="e">
        <f t="shared" si="66"/>
        <v>#VALUE!</v>
      </c>
      <c r="T600" s="677">
        <f t="shared" si="67"/>
        <v>0</v>
      </c>
      <c r="U600" s="80">
        <f>(IF(O600="Stofire",(S600*#REF!),0))+(IF(O600="Fire Control",(S600*$U$2),0))+(IF(O600="Fire Tex",(S600*$U$3),0))+(IF(O600="WB7",(S600*#REF!),0)+(IF(O600="FX 2003",(S600*$U$5),0)))</f>
        <v>0</v>
      </c>
      <c r="V600" s="651">
        <f t="shared" si="68"/>
        <v>0</v>
      </c>
    </row>
    <row r="601" spans="4:22" x14ac:dyDescent="0.25">
      <c r="D601" s="118">
        <f>+CUBICACION!D600</f>
        <v>0</v>
      </c>
      <c r="E601" s="118">
        <f>+CUBICACION!F600</f>
        <v>0</v>
      </c>
      <c r="F601" s="118">
        <f>+CUBICACION!E600</f>
        <v>0</v>
      </c>
      <c r="G601" s="118">
        <v>12</v>
      </c>
      <c r="H601" s="118">
        <v>2</v>
      </c>
      <c r="I601" s="820">
        <v>26385</v>
      </c>
      <c r="J601" s="118">
        <f>+CUBICACION!J600</f>
        <v>0</v>
      </c>
      <c r="K601" s="118">
        <v>3380</v>
      </c>
      <c r="L601" s="118">
        <f>+CUBICACION!L600</f>
        <v>0</v>
      </c>
      <c r="M601" s="64">
        <f>+CUBICACION!M600</f>
        <v>0</v>
      </c>
      <c r="N601" s="824" t="str">
        <f>+CUBICACION!N600</f>
        <v/>
      </c>
      <c r="O601" s="675">
        <f>+CUBICACION!O600</f>
        <v>0</v>
      </c>
      <c r="P601" s="15">
        <f>IF(O601="Fire Control",VLOOKUP(_xlfn.MINIFS('FIRE CONTROL'!$C$4:$C$37,'FIRE CONTROL'!$C$4:$C$37,"&gt;="&amp;M601),'FIRE CONTROL'!$C$4:$G$37,IF(L601="F-15",2,IF(L601="F-30",3,IF(L601="F-60",4,IF(L601="F-90",5,0)))),0),0)+IF(AND(O601="FIRE TEX 5062",OR(E601="IN",E601="C",E601="Z",E601="L"),J601=3),VLOOKUP(_xlfn.MINIFS('FIRE TEX 5062'!$B$4:$B$34,'FIRE TEX 5062'!$B$4:$B$34,"&gt;="&amp;M601),'FIRE TEX 5062'!$B$4:$F$34,IF(L601="F-15",2,IF(L601="F-30",3,IF(L601="F-60",4,IF(L601="F-90",5,0)))),0),0)+IF(AND(O601="FIRE TEX 5062",OR(E601="IN",E601="C",E601="Z",E601="L"),J601=4),VLOOKUP(_xlfn.MINIFS('FIRE TEX 5062'!$G$4:$G$34,'FIRE TEX 5062'!$G$4:$G$34,"&gt;="&amp;M601),'FIRE TEX 5062'!$G$4:$K$34,IF(L601="F-15",2,IF(L601="F-30",3,IF(L601="F-60",4,IF(L601="F-90",5,0)))),0),0)+IF(AND(O601="FIRE TEX 5062",E601="CJ",J601=3),VLOOKUP(_xlfn.MINIFS('FIRE TEX 5062'!$L$4:$L$34,'FIRE TEX 5062'!$L$4:$L$34,"&gt;="&amp;M601),'FIRE TEX 5062'!$L$4:$P$34,IF(L601="F-15",2,IF(L601="F-30",3,IF(L601="F-60",4,IF(L601="F-90",5,0)))),0),0)+IF(AND(O601="FIRE TEX 5062",E601="CJ",J601=4),VLOOKUP(_xlfn.MINIFS('FIRE TEX 5062'!$Q$3:$Q$34,'FIRE TEX 5062'!$Q$3:$Q$34,"&gt;="&amp;M601),'FIRE TEX 5062'!$Q$3:$U$34,IF(L601="F-15",2,IF(L601="F-30",3,IF(L601="F-60",4,IF(L601="F-90",5,0)))),0),0)+IF(AND(O601="FIRE TEX 5090",OR(E601="IN",E601="C",E601="Z",E601="L"),J601=3),VLOOKUP(_xlfn.MINIFS('FIRE TEX 5090'!$B$5:$B$43,'FIRE TEX 5090'!$B$5:$B$43,"&gt;="&amp;M601),'FIRE TEX 5090'!$B$5:$H$43,IF(L601="F-15",2,IF(L601="F-30",3,IF(L601="F-60",4,IF(L601="F-90",5,IF(L601="F-120",6,IF(L601="F-150",7,0)))))),0),0)+IF(AND(O601="FIRE TEX 5090",OR(E601="IN",E601="C",E601="Z",E601="L"),J601=4),VLOOKUP(_xlfn.MINIFS('FIRE TEX 5090'!$J$5:$J$43,'FIRE TEX 5090'!$J$5:$J$43,"&gt;="&amp;M601),'FIRE TEX 5090'!$J$5:$P$43,IF(L601="F-15",2,IF(L601="F-30",3,IF(L601="F-60",4,IF(L601="F-90",5,IF(L601="F-120",6,IF(L601="F-150",7,0)))))),0),0)+IF(AND(O601="FIRE TEX 5090",E601="CJ",J601=3),VLOOKUP(_xlfn.MINIFS('FIRE TEX 5090'!$R$5:$R$30,'FIRE TEX 5090'!$R$5:$R$30,"&gt;="&amp;M601),'FIRE TEX 5090'!$R$5:$W$30,IF(L601="F-15",2,IF(L601="F-30",3,IF(L601="F-60",4,IF(L601="F-90",5,IF(L601="F-120",6,IF(L601="F-150",7,0)))))),0),0)+IF(AND(O601="FIRE TEX 5090",E601="CJ",J601=4),VLOOKUP(_xlfn.MINIFS('FIRE TEX 5090'!$Y$5:$Y$39,'FIRE TEX 5090'!$Y$5:$Y$39,"&gt;="&amp;M601),'FIRE TEX 5090'!$Y$5:$AD$39,IF(L601="F-15",2,IF(L601="F-30",3,IF(L601="F-60",4,IF(L601="F-90",5,IF(L601="F-120",6,IF(L601="F-150",7,0)))))),0),0)+IF(AND(O601="FIRE TEX 5120",OR(E601="IN",E601="C",E601="Z",E601="L"),J601=3),VLOOKUP(_xlfn.MINIFS('FIRE TEX 5120'!$B$5:$B$40,'FIRE TEX 5120'!$B$5:$B$40,"&gt;="&amp;M601),'FIRE TEX 5120'!$B$5:$G$40,IF(L601="F-15",2,IF(L601="F-30",3,IF(L601="F-60",4,IF(L601="F-90",5,IF(L601="F-120",6,0))))),0),0)+IF(AND(O601="FIRE TEX 5120",OR(E601="IN",E601="C",E601="Z",E601="L"),J601=4),VLOOKUP(_xlfn.MINIFS('FIRE TEX 5120'!$H$4:$H$40,'FIRE TEX 5120'!$H$4:$H$40,"&gt;="&amp;M601),'FIRE TEX 5120'!$H$4:$M$40,IF(L601="F-15",2,IF(L601="F-30",3,IF(L601="F-60",4,IF(L601="F-90",5,IF(L601="F-120",6,0))))),0),0)+IF(AND(O601="FIRE TEX 5120",E601="CJ"),VLOOKUP(_xlfn.MINIFS('FIRE TEX 5120'!$O$5:$O$40,'FIRE TEX 5120'!$O$5:$O$40,"&gt;="&amp;M601),'FIRE TEX 5120'!$O$5:$T$40,IF(L601="F-15",2,IF(L601="F-30",3,IF(L601="F-60",4,IF(L601="F-90",5,IF(L601="F-120",6,0))))),0),0)</f>
        <v>0</v>
      </c>
      <c r="Q601" s="46">
        <f t="shared" si="64"/>
        <v>0</v>
      </c>
      <c r="R601" s="46">
        <f t="shared" si="65"/>
        <v>0</v>
      </c>
      <c r="S601" s="46" t="e">
        <f t="shared" si="66"/>
        <v>#VALUE!</v>
      </c>
      <c r="T601" s="677">
        <f t="shared" si="67"/>
        <v>0</v>
      </c>
      <c r="U601" s="80">
        <f>(IF(O601="Stofire",(S601*#REF!),0))+(IF(O601="Fire Control",(S601*$U$2),0))+(IF(O601="Fire Tex",(S601*$U$3),0))+(IF(O601="WB7",(S601*#REF!),0)+(IF(O601="FX 2003",(S601*$U$5),0)))</f>
        <v>0</v>
      </c>
      <c r="V601" s="651">
        <f t="shared" si="68"/>
        <v>0</v>
      </c>
    </row>
    <row r="602" spans="4:22" x14ac:dyDescent="0.25">
      <c r="D602" s="118">
        <f>+CUBICACION!D601</f>
        <v>0</v>
      </c>
      <c r="E602" s="118">
        <f>+CUBICACION!F601</f>
        <v>0</v>
      </c>
      <c r="F602" s="118">
        <f>+CUBICACION!E601</f>
        <v>0</v>
      </c>
      <c r="G602" s="118">
        <v>12</v>
      </c>
      <c r="H602" s="118">
        <v>2</v>
      </c>
      <c r="I602" s="820">
        <v>26385</v>
      </c>
      <c r="J602" s="118">
        <f>+CUBICACION!J601</f>
        <v>0</v>
      </c>
      <c r="K602" s="118">
        <v>3381</v>
      </c>
      <c r="L602" s="118">
        <f>+CUBICACION!L601</f>
        <v>0</v>
      </c>
      <c r="M602" s="64">
        <f>+CUBICACION!M601</f>
        <v>0</v>
      </c>
      <c r="N602" s="824" t="str">
        <f>+CUBICACION!N601</f>
        <v/>
      </c>
      <c r="O602" s="675">
        <f>+CUBICACION!O601</f>
        <v>0</v>
      </c>
      <c r="P602" s="15">
        <f>IF(O602="Fire Control",VLOOKUP(_xlfn.MINIFS('FIRE CONTROL'!$C$4:$C$37,'FIRE CONTROL'!$C$4:$C$37,"&gt;="&amp;M602),'FIRE CONTROL'!$C$4:$G$37,IF(L602="F-15",2,IF(L602="F-30",3,IF(L602="F-60",4,IF(L602="F-90",5,0)))),0),0)+IF(AND(O602="FIRE TEX 5062",OR(E602="IN",E602="C",E602="Z",E602="L"),J602=3),VLOOKUP(_xlfn.MINIFS('FIRE TEX 5062'!$B$4:$B$34,'FIRE TEX 5062'!$B$4:$B$34,"&gt;="&amp;M602),'FIRE TEX 5062'!$B$4:$F$34,IF(L602="F-15",2,IF(L602="F-30",3,IF(L602="F-60",4,IF(L602="F-90",5,0)))),0),0)+IF(AND(O602="FIRE TEX 5062",OR(E602="IN",E602="C",E602="Z",E602="L"),J602=4),VLOOKUP(_xlfn.MINIFS('FIRE TEX 5062'!$G$4:$G$34,'FIRE TEX 5062'!$G$4:$G$34,"&gt;="&amp;M602),'FIRE TEX 5062'!$G$4:$K$34,IF(L602="F-15",2,IF(L602="F-30",3,IF(L602="F-60",4,IF(L602="F-90",5,0)))),0),0)+IF(AND(O602="FIRE TEX 5062",E602="CJ",J602=3),VLOOKUP(_xlfn.MINIFS('FIRE TEX 5062'!$L$4:$L$34,'FIRE TEX 5062'!$L$4:$L$34,"&gt;="&amp;M602),'FIRE TEX 5062'!$L$4:$P$34,IF(L602="F-15",2,IF(L602="F-30",3,IF(L602="F-60",4,IF(L602="F-90",5,0)))),0),0)+IF(AND(O602="FIRE TEX 5062",E602="CJ",J602=4),VLOOKUP(_xlfn.MINIFS('FIRE TEX 5062'!$Q$3:$Q$34,'FIRE TEX 5062'!$Q$3:$Q$34,"&gt;="&amp;M602),'FIRE TEX 5062'!$Q$3:$U$34,IF(L602="F-15",2,IF(L602="F-30",3,IF(L602="F-60",4,IF(L602="F-90",5,0)))),0),0)+IF(AND(O602="FIRE TEX 5090",OR(E602="IN",E602="C",E602="Z",E602="L"),J602=3),VLOOKUP(_xlfn.MINIFS('FIRE TEX 5090'!$B$5:$B$43,'FIRE TEX 5090'!$B$5:$B$43,"&gt;="&amp;M602),'FIRE TEX 5090'!$B$5:$H$43,IF(L602="F-15",2,IF(L602="F-30",3,IF(L602="F-60",4,IF(L602="F-90",5,IF(L602="F-120",6,IF(L602="F-150",7,0)))))),0),0)+IF(AND(O602="FIRE TEX 5090",OR(E602="IN",E602="C",E602="Z",E602="L"),J602=4),VLOOKUP(_xlfn.MINIFS('FIRE TEX 5090'!$J$5:$J$43,'FIRE TEX 5090'!$J$5:$J$43,"&gt;="&amp;M602),'FIRE TEX 5090'!$J$5:$P$43,IF(L602="F-15",2,IF(L602="F-30",3,IF(L602="F-60",4,IF(L602="F-90",5,IF(L602="F-120",6,IF(L602="F-150",7,0)))))),0),0)+IF(AND(O602="FIRE TEX 5090",E602="CJ",J602=3),VLOOKUP(_xlfn.MINIFS('FIRE TEX 5090'!$R$5:$R$30,'FIRE TEX 5090'!$R$5:$R$30,"&gt;="&amp;M602),'FIRE TEX 5090'!$R$5:$W$30,IF(L602="F-15",2,IF(L602="F-30",3,IF(L602="F-60",4,IF(L602="F-90",5,IF(L602="F-120",6,IF(L602="F-150",7,0)))))),0),0)+IF(AND(O602="FIRE TEX 5090",E602="CJ",J602=4),VLOOKUP(_xlfn.MINIFS('FIRE TEX 5090'!$Y$5:$Y$39,'FIRE TEX 5090'!$Y$5:$Y$39,"&gt;="&amp;M602),'FIRE TEX 5090'!$Y$5:$AD$39,IF(L602="F-15",2,IF(L602="F-30",3,IF(L602="F-60",4,IF(L602="F-90",5,IF(L602="F-120",6,IF(L602="F-150",7,0)))))),0),0)+IF(AND(O602="FIRE TEX 5120",OR(E602="IN",E602="C",E602="Z",E602="L"),J602=3),VLOOKUP(_xlfn.MINIFS('FIRE TEX 5120'!$B$5:$B$40,'FIRE TEX 5120'!$B$5:$B$40,"&gt;="&amp;M602),'FIRE TEX 5120'!$B$5:$G$40,IF(L602="F-15",2,IF(L602="F-30",3,IF(L602="F-60",4,IF(L602="F-90",5,IF(L602="F-120",6,0))))),0),0)+IF(AND(O602="FIRE TEX 5120",OR(E602="IN",E602="C",E602="Z",E602="L"),J602=4),VLOOKUP(_xlfn.MINIFS('FIRE TEX 5120'!$H$4:$H$40,'FIRE TEX 5120'!$H$4:$H$40,"&gt;="&amp;M602),'FIRE TEX 5120'!$H$4:$M$40,IF(L602="F-15",2,IF(L602="F-30",3,IF(L602="F-60",4,IF(L602="F-90",5,IF(L602="F-120",6,0))))),0),0)+IF(AND(O602="FIRE TEX 5120",E602="CJ"),VLOOKUP(_xlfn.MINIFS('FIRE TEX 5120'!$O$5:$O$40,'FIRE TEX 5120'!$O$5:$O$40,"&gt;="&amp;M602),'FIRE TEX 5120'!$O$5:$T$40,IF(L602="F-15",2,IF(L602="F-30",3,IF(L602="F-60",4,IF(L602="F-90",5,IF(L602="F-120",6,0))))),0),0)</f>
        <v>0</v>
      </c>
      <c r="Q602" s="46">
        <f t="shared" si="64"/>
        <v>0</v>
      </c>
      <c r="R602" s="46">
        <f t="shared" si="65"/>
        <v>0</v>
      </c>
      <c r="S602" s="46" t="e">
        <f t="shared" si="66"/>
        <v>#VALUE!</v>
      </c>
      <c r="T602" s="677">
        <f t="shared" si="67"/>
        <v>0</v>
      </c>
      <c r="U602" s="80">
        <f>(IF(O602="Stofire",(S602*#REF!),0))+(IF(O602="Fire Control",(S602*$U$2),0))+(IF(O602="Fire Tex",(S602*$U$3),0))+(IF(O602="WB7",(S602*#REF!),0)+(IF(O602="FX 2003",(S602*$U$5),0)))</f>
        <v>0</v>
      </c>
      <c r="V602" s="651">
        <f t="shared" si="68"/>
        <v>0</v>
      </c>
    </row>
    <row r="603" spans="4:22" x14ac:dyDescent="0.25">
      <c r="D603" s="118">
        <f>+CUBICACION!D602</f>
        <v>0</v>
      </c>
      <c r="E603" s="118">
        <f>+CUBICACION!F602</f>
        <v>0</v>
      </c>
      <c r="F603" s="118">
        <f>+CUBICACION!E602</f>
        <v>0</v>
      </c>
      <c r="G603" s="118">
        <v>12</v>
      </c>
      <c r="H603" s="118">
        <v>2</v>
      </c>
      <c r="I603" s="820">
        <v>26385</v>
      </c>
      <c r="J603" s="118">
        <f>+CUBICACION!J602</f>
        <v>0</v>
      </c>
      <c r="K603" s="118">
        <v>3382</v>
      </c>
      <c r="L603" s="118">
        <f>+CUBICACION!L602</f>
        <v>0</v>
      </c>
      <c r="M603" s="64">
        <f>+CUBICACION!M602</f>
        <v>0</v>
      </c>
      <c r="N603" s="824" t="str">
        <f>+CUBICACION!N602</f>
        <v/>
      </c>
      <c r="O603" s="675">
        <f>+CUBICACION!O602</f>
        <v>0</v>
      </c>
      <c r="P603" s="15">
        <f>IF(O603="Fire Control",VLOOKUP(_xlfn.MINIFS('FIRE CONTROL'!$C$4:$C$37,'FIRE CONTROL'!$C$4:$C$37,"&gt;="&amp;M603),'FIRE CONTROL'!$C$4:$G$37,IF(L603="F-15",2,IF(L603="F-30",3,IF(L603="F-60",4,IF(L603="F-90",5,0)))),0),0)+IF(AND(O603="FIRE TEX 5062",OR(E603="IN",E603="C",E603="Z",E603="L"),J603=3),VLOOKUP(_xlfn.MINIFS('FIRE TEX 5062'!$B$4:$B$34,'FIRE TEX 5062'!$B$4:$B$34,"&gt;="&amp;M603),'FIRE TEX 5062'!$B$4:$F$34,IF(L603="F-15",2,IF(L603="F-30",3,IF(L603="F-60",4,IF(L603="F-90",5,0)))),0),0)+IF(AND(O603="FIRE TEX 5062",OR(E603="IN",E603="C",E603="Z",E603="L"),J603=4),VLOOKUP(_xlfn.MINIFS('FIRE TEX 5062'!$G$4:$G$34,'FIRE TEX 5062'!$G$4:$G$34,"&gt;="&amp;M603),'FIRE TEX 5062'!$G$4:$K$34,IF(L603="F-15",2,IF(L603="F-30",3,IF(L603="F-60",4,IF(L603="F-90",5,0)))),0),0)+IF(AND(O603="FIRE TEX 5062",E603="CJ",J603=3),VLOOKUP(_xlfn.MINIFS('FIRE TEX 5062'!$L$4:$L$34,'FIRE TEX 5062'!$L$4:$L$34,"&gt;="&amp;M603),'FIRE TEX 5062'!$L$4:$P$34,IF(L603="F-15",2,IF(L603="F-30",3,IF(L603="F-60",4,IF(L603="F-90",5,0)))),0),0)+IF(AND(O603="FIRE TEX 5062",E603="CJ",J603=4),VLOOKUP(_xlfn.MINIFS('FIRE TEX 5062'!$Q$3:$Q$34,'FIRE TEX 5062'!$Q$3:$Q$34,"&gt;="&amp;M603),'FIRE TEX 5062'!$Q$3:$U$34,IF(L603="F-15",2,IF(L603="F-30",3,IF(L603="F-60",4,IF(L603="F-90",5,0)))),0),0)+IF(AND(O603="FIRE TEX 5090",OR(E603="IN",E603="C",E603="Z",E603="L"),J603=3),VLOOKUP(_xlfn.MINIFS('FIRE TEX 5090'!$B$5:$B$43,'FIRE TEX 5090'!$B$5:$B$43,"&gt;="&amp;M603),'FIRE TEX 5090'!$B$5:$H$43,IF(L603="F-15",2,IF(L603="F-30",3,IF(L603="F-60",4,IF(L603="F-90",5,IF(L603="F-120",6,IF(L603="F-150",7,0)))))),0),0)+IF(AND(O603="FIRE TEX 5090",OR(E603="IN",E603="C",E603="Z",E603="L"),J603=4),VLOOKUP(_xlfn.MINIFS('FIRE TEX 5090'!$J$5:$J$43,'FIRE TEX 5090'!$J$5:$J$43,"&gt;="&amp;M603),'FIRE TEX 5090'!$J$5:$P$43,IF(L603="F-15",2,IF(L603="F-30",3,IF(L603="F-60",4,IF(L603="F-90",5,IF(L603="F-120",6,IF(L603="F-150",7,0)))))),0),0)+IF(AND(O603="FIRE TEX 5090",E603="CJ",J603=3),VLOOKUP(_xlfn.MINIFS('FIRE TEX 5090'!$R$5:$R$30,'FIRE TEX 5090'!$R$5:$R$30,"&gt;="&amp;M603),'FIRE TEX 5090'!$R$5:$W$30,IF(L603="F-15",2,IF(L603="F-30",3,IF(L603="F-60",4,IF(L603="F-90",5,IF(L603="F-120",6,IF(L603="F-150",7,0)))))),0),0)+IF(AND(O603="FIRE TEX 5090",E603="CJ",J603=4),VLOOKUP(_xlfn.MINIFS('FIRE TEX 5090'!$Y$5:$Y$39,'FIRE TEX 5090'!$Y$5:$Y$39,"&gt;="&amp;M603),'FIRE TEX 5090'!$Y$5:$AD$39,IF(L603="F-15",2,IF(L603="F-30",3,IF(L603="F-60",4,IF(L603="F-90",5,IF(L603="F-120",6,IF(L603="F-150",7,0)))))),0),0)+IF(AND(O603="FIRE TEX 5120",OR(E603="IN",E603="C",E603="Z",E603="L"),J603=3),VLOOKUP(_xlfn.MINIFS('FIRE TEX 5120'!$B$5:$B$40,'FIRE TEX 5120'!$B$5:$B$40,"&gt;="&amp;M603),'FIRE TEX 5120'!$B$5:$G$40,IF(L603="F-15",2,IF(L603="F-30",3,IF(L603="F-60",4,IF(L603="F-90",5,IF(L603="F-120",6,0))))),0),0)+IF(AND(O603="FIRE TEX 5120",OR(E603="IN",E603="C",E603="Z",E603="L"),J603=4),VLOOKUP(_xlfn.MINIFS('FIRE TEX 5120'!$H$4:$H$40,'FIRE TEX 5120'!$H$4:$H$40,"&gt;="&amp;M603),'FIRE TEX 5120'!$H$4:$M$40,IF(L603="F-15",2,IF(L603="F-30",3,IF(L603="F-60",4,IF(L603="F-90",5,IF(L603="F-120",6,0))))),0),0)+IF(AND(O603="FIRE TEX 5120",E603="CJ"),VLOOKUP(_xlfn.MINIFS('FIRE TEX 5120'!$O$5:$O$40,'FIRE TEX 5120'!$O$5:$O$40,"&gt;="&amp;M603),'FIRE TEX 5120'!$O$5:$T$40,IF(L603="F-15",2,IF(L603="F-30",3,IF(L603="F-60",4,IF(L603="F-90",5,IF(L603="F-120",6,0))))),0),0)</f>
        <v>0</v>
      </c>
      <c r="Q603" s="46">
        <f t="shared" si="64"/>
        <v>0</v>
      </c>
      <c r="R603" s="46">
        <f t="shared" si="65"/>
        <v>0</v>
      </c>
      <c r="S603" s="46" t="e">
        <f t="shared" si="66"/>
        <v>#VALUE!</v>
      </c>
      <c r="T603" s="677">
        <f t="shared" si="67"/>
        <v>0</v>
      </c>
      <c r="U603" s="80">
        <f>(IF(O603="Stofire",(S603*#REF!),0))+(IF(O603="Fire Control",(S603*$U$2),0))+(IF(O603="Fire Tex",(S603*$U$3),0))+(IF(O603="WB7",(S603*#REF!),0)+(IF(O603="FX 2003",(S603*$U$5),0)))</f>
        <v>0</v>
      </c>
      <c r="V603" s="651">
        <f t="shared" si="68"/>
        <v>0</v>
      </c>
    </row>
    <row r="604" spans="4:22" x14ac:dyDescent="0.25">
      <c r="D604" s="118">
        <f>+CUBICACION!D603</f>
        <v>0</v>
      </c>
      <c r="E604" s="118">
        <f>+CUBICACION!F603</f>
        <v>0</v>
      </c>
      <c r="F604" s="118">
        <f>+CUBICACION!E603</f>
        <v>0</v>
      </c>
      <c r="G604" s="118">
        <v>12</v>
      </c>
      <c r="H604" s="118">
        <v>2</v>
      </c>
      <c r="I604" s="820">
        <v>26385</v>
      </c>
      <c r="J604" s="118">
        <f>+CUBICACION!J603</f>
        <v>0</v>
      </c>
      <c r="K604" s="118">
        <v>3383</v>
      </c>
      <c r="L604" s="118">
        <f>+CUBICACION!L603</f>
        <v>0</v>
      </c>
      <c r="M604" s="64">
        <f>+CUBICACION!M603</f>
        <v>0</v>
      </c>
      <c r="N604" s="824" t="str">
        <f>+CUBICACION!N603</f>
        <v/>
      </c>
      <c r="O604" s="675">
        <f>+CUBICACION!O603</f>
        <v>0</v>
      </c>
      <c r="P604" s="15">
        <f>IF(O604="Fire Control",VLOOKUP(_xlfn.MINIFS('FIRE CONTROL'!$C$4:$C$37,'FIRE CONTROL'!$C$4:$C$37,"&gt;="&amp;M604),'FIRE CONTROL'!$C$4:$G$37,IF(L604="F-15",2,IF(L604="F-30",3,IF(L604="F-60",4,IF(L604="F-90",5,0)))),0),0)+IF(AND(O604="FIRE TEX 5062",OR(E604="IN",E604="C",E604="Z",E604="L"),J604=3),VLOOKUP(_xlfn.MINIFS('FIRE TEX 5062'!$B$4:$B$34,'FIRE TEX 5062'!$B$4:$B$34,"&gt;="&amp;M604),'FIRE TEX 5062'!$B$4:$F$34,IF(L604="F-15",2,IF(L604="F-30",3,IF(L604="F-60",4,IF(L604="F-90",5,0)))),0),0)+IF(AND(O604="FIRE TEX 5062",OR(E604="IN",E604="C",E604="Z",E604="L"),J604=4),VLOOKUP(_xlfn.MINIFS('FIRE TEX 5062'!$G$4:$G$34,'FIRE TEX 5062'!$G$4:$G$34,"&gt;="&amp;M604),'FIRE TEX 5062'!$G$4:$K$34,IF(L604="F-15",2,IF(L604="F-30",3,IF(L604="F-60",4,IF(L604="F-90",5,0)))),0),0)+IF(AND(O604="FIRE TEX 5062",E604="CJ",J604=3),VLOOKUP(_xlfn.MINIFS('FIRE TEX 5062'!$L$4:$L$34,'FIRE TEX 5062'!$L$4:$L$34,"&gt;="&amp;M604),'FIRE TEX 5062'!$L$4:$P$34,IF(L604="F-15",2,IF(L604="F-30",3,IF(L604="F-60",4,IF(L604="F-90",5,0)))),0),0)+IF(AND(O604="FIRE TEX 5062",E604="CJ",J604=4),VLOOKUP(_xlfn.MINIFS('FIRE TEX 5062'!$Q$3:$Q$34,'FIRE TEX 5062'!$Q$3:$Q$34,"&gt;="&amp;M604),'FIRE TEX 5062'!$Q$3:$U$34,IF(L604="F-15",2,IF(L604="F-30",3,IF(L604="F-60",4,IF(L604="F-90",5,0)))),0),0)+IF(AND(O604="FIRE TEX 5090",OR(E604="IN",E604="C",E604="Z",E604="L"),J604=3),VLOOKUP(_xlfn.MINIFS('FIRE TEX 5090'!$B$5:$B$43,'FIRE TEX 5090'!$B$5:$B$43,"&gt;="&amp;M604),'FIRE TEX 5090'!$B$5:$H$43,IF(L604="F-15",2,IF(L604="F-30",3,IF(L604="F-60",4,IF(L604="F-90",5,IF(L604="F-120",6,IF(L604="F-150",7,0)))))),0),0)+IF(AND(O604="FIRE TEX 5090",OR(E604="IN",E604="C",E604="Z",E604="L"),J604=4),VLOOKUP(_xlfn.MINIFS('FIRE TEX 5090'!$J$5:$J$43,'FIRE TEX 5090'!$J$5:$J$43,"&gt;="&amp;M604),'FIRE TEX 5090'!$J$5:$P$43,IF(L604="F-15",2,IF(L604="F-30",3,IF(L604="F-60",4,IF(L604="F-90",5,IF(L604="F-120",6,IF(L604="F-150",7,0)))))),0),0)+IF(AND(O604="FIRE TEX 5090",E604="CJ",J604=3),VLOOKUP(_xlfn.MINIFS('FIRE TEX 5090'!$R$5:$R$30,'FIRE TEX 5090'!$R$5:$R$30,"&gt;="&amp;M604),'FIRE TEX 5090'!$R$5:$W$30,IF(L604="F-15",2,IF(L604="F-30",3,IF(L604="F-60",4,IF(L604="F-90",5,IF(L604="F-120",6,IF(L604="F-150",7,0)))))),0),0)+IF(AND(O604="FIRE TEX 5090",E604="CJ",J604=4),VLOOKUP(_xlfn.MINIFS('FIRE TEX 5090'!$Y$5:$Y$39,'FIRE TEX 5090'!$Y$5:$Y$39,"&gt;="&amp;M604),'FIRE TEX 5090'!$Y$5:$AD$39,IF(L604="F-15",2,IF(L604="F-30",3,IF(L604="F-60",4,IF(L604="F-90",5,IF(L604="F-120",6,IF(L604="F-150",7,0)))))),0),0)+IF(AND(O604="FIRE TEX 5120",OR(E604="IN",E604="C",E604="Z",E604="L"),J604=3),VLOOKUP(_xlfn.MINIFS('FIRE TEX 5120'!$B$5:$B$40,'FIRE TEX 5120'!$B$5:$B$40,"&gt;="&amp;M604),'FIRE TEX 5120'!$B$5:$G$40,IF(L604="F-15",2,IF(L604="F-30",3,IF(L604="F-60",4,IF(L604="F-90",5,IF(L604="F-120",6,0))))),0),0)+IF(AND(O604="FIRE TEX 5120",OR(E604="IN",E604="C",E604="Z",E604="L"),J604=4),VLOOKUP(_xlfn.MINIFS('FIRE TEX 5120'!$H$4:$H$40,'FIRE TEX 5120'!$H$4:$H$40,"&gt;="&amp;M604),'FIRE TEX 5120'!$H$4:$M$40,IF(L604="F-15",2,IF(L604="F-30",3,IF(L604="F-60",4,IF(L604="F-90",5,IF(L604="F-120",6,0))))),0),0)+IF(AND(O604="FIRE TEX 5120",E604="CJ"),VLOOKUP(_xlfn.MINIFS('FIRE TEX 5120'!$O$5:$O$40,'FIRE TEX 5120'!$O$5:$O$40,"&gt;="&amp;M604),'FIRE TEX 5120'!$O$5:$T$40,IF(L604="F-15",2,IF(L604="F-30",3,IF(L604="F-60",4,IF(L604="F-90",5,IF(L604="F-120",6,0))))),0),0)</f>
        <v>0</v>
      </c>
      <c r="Q604" s="46">
        <f t="shared" si="64"/>
        <v>0</v>
      </c>
      <c r="R604" s="46">
        <f t="shared" si="65"/>
        <v>0</v>
      </c>
      <c r="S604" s="46" t="e">
        <f t="shared" si="66"/>
        <v>#VALUE!</v>
      </c>
      <c r="T604" s="677">
        <f t="shared" si="67"/>
        <v>0</v>
      </c>
      <c r="U604" s="80">
        <f>(IF(O604="Stofire",(S604*#REF!),0))+(IF(O604="Fire Control",(S604*$U$2),0))+(IF(O604="Fire Tex",(S604*$U$3),0))+(IF(O604="WB7",(S604*#REF!),0)+(IF(O604="FX 2003",(S604*$U$5),0)))</f>
        <v>0</v>
      </c>
      <c r="V604" s="651">
        <f t="shared" si="68"/>
        <v>0</v>
      </c>
    </row>
    <row r="605" spans="4:22" x14ac:dyDescent="0.25">
      <c r="D605" s="118">
        <f>+CUBICACION!D604</f>
        <v>0</v>
      </c>
      <c r="E605" s="118">
        <f>+CUBICACION!F604</f>
        <v>0</v>
      </c>
      <c r="F605" s="118">
        <f>+CUBICACION!E604</f>
        <v>0</v>
      </c>
      <c r="G605" s="118">
        <v>12</v>
      </c>
      <c r="H605" s="118">
        <v>2</v>
      </c>
      <c r="I605" s="820">
        <v>26385</v>
      </c>
      <c r="J605" s="118">
        <f>+CUBICACION!J604</f>
        <v>0</v>
      </c>
      <c r="K605" s="118">
        <v>3384</v>
      </c>
      <c r="L605" s="118">
        <f>+CUBICACION!L604</f>
        <v>0</v>
      </c>
      <c r="M605" s="64">
        <f>+CUBICACION!M604</f>
        <v>0</v>
      </c>
      <c r="N605" s="824" t="str">
        <f>+CUBICACION!N604</f>
        <v/>
      </c>
      <c r="O605" s="675">
        <f>+CUBICACION!O604</f>
        <v>0</v>
      </c>
      <c r="P605" s="15">
        <f>IF(O605="Fire Control",VLOOKUP(_xlfn.MINIFS('FIRE CONTROL'!$C$4:$C$37,'FIRE CONTROL'!$C$4:$C$37,"&gt;="&amp;M605),'FIRE CONTROL'!$C$4:$G$37,IF(L605="F-15",2,IF(L605="F-30",3,IF(L605="F-60",4,IF(L605="F-90",5,0)))),0),0)+IF(AND(O605="FIRE TEX 5062",OR(E605="IN",E605="C",E605="Z",E605="L"),J605=3),VLOOKUP(_xlfn.MINIFS('FIRE TEX 5062'!$B$4:$B$34,'FIRE TEX 5062'!$B$4:$B$34,"&gt;="&amp;M605),'FIRE TEX 5062'!$B$4:$F$34,IF(L605="F-15",2,IF(L605="F-30",3,IF(L605="F-60",4,IF(L605="F-90",5,0)))),0),0)+IF(AND(O605="FIRE TEX 5062",OR(E605="IN",E605="C",E605="Z",E605="L"),J605=4),VLOOKUP(_xlfn.MINIFS('FIRE TEX 5062'!$G$4:$G$34,'FIRE TEX 5062'!$G$4:$G$34,"&gt;="&amp;M605),'FIRE TEX 5062'!$G$4:$K$34,IF(L605="F-15",2,IF(L605="F-30",3,IF(L605="F-60",4,IF(L605="F-90",5,0)))),0),0)+IF(AND(O605="FIRE TEX 5062",E605="CJ",J605=3),VLOOKUP(_xlfn.MINIFS('FIRE TEX 5062'!$L$4:$L$34,'FIRE TEX 5062'!$L$4:$L$34,"&gt;="&amp;M605),'FIRE TEX 5062'!$L$4:$P$34,IF(L605="F-15",2,IF(L605="F-30",3,IF(L605="F-60",4,IF(L605="F-90",5,0)))),0),0)+IF(AND(O605="FIRE TEX 5062",E605="CJ",J605=4),VLOOKUP(_xlfn.MINIFS('FIRE TEX 5062'!$Q$3:$Q$34,'FIRE TEX 5062'!$Q$3:$Q$34,"&gt;="&amp;M605),'FIRE TEX 5062'!$Q$3:$U$34,IF(L605="F-15",2,IF(L605="F-30",3,IF(L605="F-60",4,IF(L605="F-90",5,0)))),0),0)+IF(AND(O605="FIRE TEX 5090",OR(E605="IN",E605="C",E605="Z",E605="L"),J605=3),VLOOKUP(_xlfn.MINIFS('FIRE TEX 5090'!$B$5:$B$43,'FIRE TEX 5090'!$B$5:$B$43,"&gt;="&amp;M605),'FIRE TEX 5090'!$B$5:$H$43,IF(L605="F-15",2,IF(L605="F-30",3,IF(L605="F-60",4,IF(L605="F-90",5,IF(L605="F-120",6,IF(L605="F-150",7,0)))))),0),0)+IF(AND(O605="FIRE TEX 5090",OR(E605="IN",E605="C",E605="Z",E605="L"),J605=4),VLOOKUP(_xlfn.MINIFS('FIRE TEX 5090'!$J$5:$J$43,'FIRE TEX 5090'!$J$5:$J$43,"&gt;="&amp;M605),'FIRE TEX 5090'!$J$5:$P$43,IF(L605="F-15",2,IF(L605="F-30",3,IF(L605="F-60",4,IF(L605="F-90",5,IF(L605="F-120",6,IF(L605="F-150",7,0)))))),0),0)+IF(AND(O605="FIRE TEX 5090",E605="CJ",J605=3),VLOOKUP(_xlfn.MINIFS('FIRE TEX 5090'!$R$5:$R$30,'FIRE TEX 5090'!$R$5:$R$30,"&gt;="&amp;M605),'FIRE TEX 5090'!$R$5:$W$30,IF(L605="F-15",2,IF(L605="F-30",3,IF(L605="F-60",4,IF(L605="F-90",5,IF(L605="F-120",6,IF(L605="F-150",7,0)))))),0),0)+IF(AND(O605="FIRE TEX 5090",E605="CJ",J605=4),VLOOKUP(_xlfn.MINIFS('FIRE TEX 5090'!$Y$5:$Y$39,'FIRE TEX 5090'!$Y$5:$Y$39,"&gt;="&amp;M605),'FIRE TEX 5090'!$Y$5:$AD$39,IF(L605="F-15",2,IF(L605="F-30",3,IF(L605="F-60",4,IF(L605="F-90",5,IF(L605="F-120",6,IF(L605="F-150",7,0)))))),0),0)+IF(AND(O605="FIRE TEX 5120",OR(E605="IN",E605="C",E605="Z",E605="L"),J605=3),VLOOKUP(_xlfn.MINIFS('FIRE TEX 5120'!$B$5:$B$40,'FIRE TEX 5120'!$B$5:$B$40,"&gt;="&amp;M605),'FIRE TEX 5120'!$B$5:$G$40,IF(L605="F-15",2,IF(L605="F-30",3,IF(L605="F-60",4,IF(L605="F-90",5,IF(L605="F-120",6,0))))),0),0)+IF(AND(O605="FIRE TEX 5120",OR(E605="IN",E605="C",E605="Z",E605="L"),J605=4),VLOOKUP(_xlfn.MINIFS('FIRE TEX 5120'!$H$4:$H$40,'FIRE TEX 5120'!$H$4:$H$40,"&gt;="&amp;M605),'FIRE TEX 5120'!$H$4:$M$40,IF(L605="F-15",2,IF(L605="F-30",3,IF(L605="F-60",4,IF(L605="F-90",5,IF(L605="F-120",6,0))))),0),0)+IF(AND(O605="FIRE TEX 5120",E605="CJ"),VLOOKUP(_xlfn.MINIFS('FIRE TEX 5120'!$O$5:$O$40,'FIRE TEX 5120'!$O$5:$O$40,"&gt;="&amp;M605),'FIRE TEX 5120'!$O$5:$T$40,IF(L605="F-15",2,IF(L605="F-30",3,IF(L605="F-60",4,IF(L605="F-90",5,IF(L605="F-120",6,0))))),0),0)</f>
        <v>0</v>
      </c>
      <c r="Q605" s="46">
        <f t="shared" si="64"/>
        <v>0</v>
      </c>
      <c r="R605" s="46">
        <f t="shared" si="65"/>
        <v>0</v>
      </c>
      <c r="S605" s="46" t="e">
        <f t="shared" si="66"/>
        <v>#VALUE!</v>
      </c>
      <c r="T605" s="677">
        <f t="shared" si="67"/>
        <v>0</v>
      </c>
      <c r="U605" s="80">
        <f>(IF(O605="Stofire",(S605*#REF!),0))+(IF(O605="Fire Control",(S605*$U$2),0))+(IF(O605="Fire Tex",(S605*$U$3),0))+(IF(O605="WB7",(S605*#REF!),0)+(IF(O605="FX 2003",(S605*$U$5),0)))</f>
        <v>0</v>
      </c>
      <c r="V605" s="651">
        <f t="shared" si="68"/>
        <v>0</v>
      </c>
    </row>
    <row r="606" spans="4:22" x14ac:dyDescent="0.25">
      <c r="D606" s="118">
        <f>+CUBICACION!D605</f>
        <v>0</v>
      </c>
      <c r="E606" s="118">
        <f>+CUBICACION!F605</f>
        <v>0</v>
      </c>
      <c r="F606" s="118">
        <f>+CUBICACION!E605</f>
        <v>0</v>
      </c>
      <c r="G606" s="118">
        <v>12</v>
      </c>
      <c r="H606" s="118">
        <v>2</v>
      </c>
      <c r="I606" s="820">
        <v>26385</v>
      </c>
      <c r="J606" s="118">
        <f>+CUBICACION!J605</f>
        <v>0</v>
      </c>
      <c r="K606" s="118">
        <v>3385</v>
      </c>
      <c r="L606" s="118">
        <f>+CUBICACION!L605</f>
        <v>0</v>
      </c>
      <c r="M606" s="64">
        <f>+CUBICACION!M605</f>
        <v>0</v>
      </c>
      <c r="N606" s="824" t="str">
        <f>+CUBICACION!N605</f>
        <v/>
      </c>
      <c r="O606" s="675">
        <f>+CUBICACION!O605</f>
        <v>0</v>
      </c>
      <c r="P606" s="15">
        <f>IF(O606="Fire Control",VLOOKUP(_xlfn.MINIFS('FIRE CONTROL'!$C$4:$C$37,'FIRE CONTROL'!$C$4:$C$37,"&gt;="&amp;M606),'FIRE CONTROL'!$C$4:$G$37,IF(L606="F-15",2,IF(L606="F-30",3,IF(L606="F-60",4,IF(L606="F-90",5,0)))),0),0)+IF(AND(O606="FIRE TEX 5062",OR(E606="IN",E606="C",E606="Z",E606="L"),J606=3),VLOOKUP(_xlfn.MINIFS('FIRE TEX 5062'!$B$4:$B$34,'FIRE TEX 5062'!$B$4:$B$34,"&gt;="&amp;M606),'FIRE TEX 5062'!$B$4:$F$34,IF(L606="F-15",2,IF(L606="F-30",3,IF(L606="F-60",4,IF(L606="F-90",5,0)))),0),0)+IF(AND(O606="FIRE TEX 5062",OR(E606="IN",E606="C",E606="Z",E606="L"),J606=4),VLOOKUP(_xlfn.MINIFS('FIRE TEX 5062'!$G$4:$G$34,'FIRE TEX 5062'!$G$4:$G$34,"&gt;="&amp;M606),'FIRE TEX 5062'!$G$4:$K$34,IF(L606="F-15",2,IF(L606="F-30",3,IF(L606="F-60",4,IF(L606="F-90",5,0)))),0),0)+IF(AND(O606="FIRE TEX 5062",E606="CJ",J606=3),VLOOKUP(_xlfn.MINIFS('FIRE TEX 5062'!$L$4:$L$34,'FIRE TEX 5062'!$L$4:$L$34,"&gt;="&amp;M606),'FIRE TEX 5062'!$L$4:$P$34,IF(L606="F-15",2,IF(L606="F-30",3,IF(L606="F-60",4,IF(L606="F-90",5,0)))),0),0)+IF(AND(O606="FIRE TEX 5062",E606="CJ",J606=4),VLOOKUP(_xlfn.MINIFS('FIRE TEX 5062'!$Q$3:$Q$34,'FIRE TEX 5062'!$Q$3:$Q$34,"&gt;="&amp;M606),'FIRE TEX 5062'!$Q$3:$U$34,IF(L606="F-15",2,IF(L606="F-30",3,IF(L606="F-60",4,IF(L606="F-90",5,0)))),0),0)+IF(AND(O606="FIRE TEX 5090",OR(E606="IN",E606="C",E606="Z",E606="L"),J606=3),VLOOKUP(_xlfn.MINIFS('FIRE TEX 5090'!$B$5:$B$43,'FIRE TEX 5090'!$B$5:$B$43,"&gt;="&amp;M606),'FIRE TEX 5090'!$B$5:$H$43,IF(L606="F-15",2,IF(L606="F-30",3,IF(L606="F-60",4,IF(L606="F-90",5,IF(L606="F-120",6,IF(L606="F-150",7,0)))))),0),0)+IF(AND(O606="FIRE TEX 5090",OR(E606="IN",E606="C",E606="Z",E606="L"),J606=4),VLOOKUP(_xlfn.MINIFS('FIRE TEX 5090'!$J$5:$J$43,'FIRE TEX 5090'!$J$5:$J$43,"&gt;="&amp;M606),'FIRE TEX 5090'!$J$5:$P$43,IF(L606="F-15",2,IF(L606="F-30",3,IF(L606="F-60",4,IF(L606="F-90",5,IF(L606="F-120",6,IF(L606="F-150",7,0)))))),0),0)+IF(AND(O606="FIRE TEX 5090",E606="CJ",J606=3),VLOOKUP(_xlfn.MINIFS('FIRE TEX 5090'!$R$5:$R$30,'FIRE TEX 5090'!$R$5:$R$30,"&gt;="&amp;M606),'FIRE TEX 5090'!$R$5:$W$30,IF(L606="F-15",2,IF(L606="F-30",3,IF(L606="F-60",4,IF(L606="F-90",5,IF(L606="F-120",6,IF(L606="F-150",7,0)))))),0),0)+IF(AND(O606="FIRE TEX 5090",E606="CJ",J606=4),VLOOKUP(_xlfn.MINIFS('FIRE TEX 5090'!$Y$5:$Y$39,'FIRE TEX 5090'!$Y$5:$Y$39,"&gt;="&amp;M606),'FIRE TEX 5090'!$Y$5:$AD$39,IF(L606="F-15",2,IF(L606="F-30",3,IF(L606="F-60",4,IF(L606="F-90",5,IF(L606="F-120",6,IF(L606="F-150",7,0)))))),0),0)+IF(AND(O606="FIRE TEX 5120",OR(E606="IN",E606="C",E606="Z",E606="L"),J606=3),VLOOKUP(_xlfn.MINIFS('FIRE TEX 5120'!$B$5:$B$40,'FIRE TEX 5120'!$B$5:$B$40,"&gt;="&amp;M606),'FIRE TEX 5120'!$B$5:$G$40,IF(L606="F-15",2,IF(L606="F-30",3,IF(L606="F-60",4,IF(L606="F-90",5,IF(L606="F-120",6,0))))),0),0)+IF(AND(O606="FIRE TEX 5120",OR(E606="IN",E606="C",E606="Z",E606="L"),J606=4),VLOOKUP(_xlfn.MINIFS('FIRE TEX 5120'!$H$4:$H$40,'FIRE TEX 5120'!$H$4:$H$40,"&gt;="&amp;M606),'FIRE TEX 5120'!$H$4:$M$40,IF(L606="F-15",2,IF(L606="F-30",3,IF(L606="F-60",4,IF(L606="F-90",5,IF(L606="F-120",6,0))))),0),0)+IF(AND(O606="FIRE TEX 5120",E606="CJ"),VLOOKUP(_xlfn.MINIFS('FIRE TEX 5120'!$O$5:$O$40,'FIRE TEX 5120'!$O$5:$O$40,"&gt;="&amp;M606),'FIRE TEX 5120'!$O$5:$T$40,IF(L606="F-15",2,IF(L606="F-30",3,IF(L606="F-60",4,IF(L606="F-90",5,IF(L606="F-120",6,0))))),0),0)</f>
        <v>0</v>
      </c>
      <c r="Q606" s="46">
        <f t="shared" si="64"/>
        <v>0</v>
      </c>
      <c r="R606" s="46">
        <f t="shared" si="65"/>
        <v>0</v>
      </c>
      <c r="S606" s="46" t="e">
        <f t="shared" si="66"/>
        <v>#VALUE!</v>
      </c>
      <c r="T606" s="677">
        <f t="shared" si="67"/>
        <v>0</v>
      </c>
      <c r="U606" s="80">
        <f>(IF(O606="Stofire",(S606*#REF!),0))+(IF(O606="Fire Control",(S606*$U$2),0))+(IF(O606="Fire Tex",(S606*$U$3),0))+(IF(O606="WB7",(S606*#REF!),0)+(IF(O606="FX 2003",(S606*$U$5),0)))</f>
        <v>0</v>
      </c>
      <c r="V606" s="651">
        <f t="shared" si="68"/>
        <v>0</v>
      </c>
    </row>
    <row r="607" spans="4:22" x14ac:dyDescent="0.25">
      <c r="D607" s="118">
        <f>+CUBICACION!D606</f>
        <v>0</v>
      </c>
      <c r="E607" s="118">
        <f>+CUBICACION!F606</f>
        <v>0</v>
      </c>
      <c r="F607" s="118">
        <f>+CUBICACION!E606</f>
        <v>0</v>
      </c>
      <c r="G607" s="118">
        <v>12</v>
      </c>
      <c r="H607" s="118">
        <v>2</v>
      </c>
      <c r="I607" s="820">
        <v>26385</v>
      </c>
      <c r="J607" s="118">
        <f>+CUBICACION!J606</f>
        <v>0</v>
      </c>
      <c r="K607" s="118">
        <v>3386</v>
      </c>
      <c r="L607" s="118">
        <f>+CUBICACION!L606</f>
        <v>0</v>
      </c>
      <c r="M607" s="64">
        <f>+CUBICACION!M606</f>
        <v>0</v>
      </c>
      <c r="N607" s="824" t="str">
        <f>+CUBICACION!N606</f>
        <v/>
      </c>
      <c r="O607" s="675">
        <f>+CUBICACION!O606</f>
        <v>0</v>
      </c>
      <c r="P607" s="15">
        <f>IF(O607="Fire Control",VLOOKUP(_xlfn.MINIFS('FIRE CONTROL'!$C$4:$C$37,'FIRE CONTROL'!$C$4:$C$37,"&gt;="&amp;M607),'FIRE CONTROL'!$C$4:$G$37,IF(L607="F-15",2,IF(L607="F-30",3,IF(L607="F-60",4,IF(L607="F-90",5,0)))),0),0)+IF(AND(O607="FIRE TEX 5062",OR(E607="IN",E607="C",E607="Z",E607="L"),J607=3),VLOOKUP(_xlfn.MINIFS('FIRE TEX 5062'!$B$4:$B$34,'FIRE TEX 5062'!$B$4:$B$34,"&gt;="&amp;M607),'FIRE TEX 5062'!$B$4:$F$34,IF(L607="F-15",2,IF(L607="F-30",3,IF(L607="F-60",4,IF(L607="F-90",5,0)))),0),0)+IF(AND(O607="FIRE TEX 5062",OR(E607="IN",E607="C",E607="Z",E607="L"),J607=4),VLOOKUP(_xlfn.MINIFS('FIRE TEX 5062'!$G$4:$G$34,'FIRE TEX 5062'!$G$4:$G$34,"&gt;="&amp;M607),'FIRE TEX 5062'!$G$4:$K$34,IF(L607="F-15",2,IF(L607="F-30",3,IF(L607="F-60",4,IF(L607="F-90",5,0)))),0),0)+IF(AND(O607="FIRE TEX 5062",E607="CJ",J607=3),VLOOKUP(_xlfn.MINIFS('FIRE TEX 5062'!$L$4:$L$34,'FIRE TEX 5062'!$L$4:$L$34,"&gt;="&amp;M607),'FIRE TEX 5062'!$L$4:$P$34,IF(L607="F-15",2,IF(L607="F-30",3,IF(L607="F-60",4,IF(L607="F-90",5,0)))),0),0)+IF(AND(O607="FIRE TEX 5062",E607="CJ",J607=4),VLOOKUP(_xlfn.MINIFS('FIRE TEX 5062'!$Q$3:$Q$34,'FIRE TEX 5062'!$Q$3:$Q$34,"&gt;="&amp;M607),'FIRE TEX 5062'!$Q$3:$U$34,IF(L607="F-15",2,IF(L607="F-30",3,IF(L607="F-60",4,IF(L607="F-90",5,0)))),0),0)+IF(AND(O607="FIRE TEX 5090",OR(E607="IN",E607="C",E607="Z",E607="L"),J607=3),VLOOKUP(_xlfn.MINIFS('FIRE TEX 5090'!$B$5:$B$43,'FIRE TEX 5090'!$B$5:$B$43,"&gt;="&amp;M607),'FIRE TEX 5090'!$B$5:$H$43,IF(L607="F-15",2,IF(L607="F-30",3,IF(L607="F-60",4,IF(L607="F-90",5,IF(L607="F-120",6,IF(L607="F-150",7,0)))))),0),0)+IF(AND(O607="FIRE TEX 5090",OR(E607="IN",E607="C",E607="Z",E607="L"),J607=4),VLOOKUP(_xlfn.MINIFS('FIRE TEX 5090'!$J$5:$J$43,'FIRE TEX 5090'!$J$5:$J$43,"&gt;="&amp;M607),'FIRE TEX 5090'!$J$5:$P$43,IF(L607="F-15",2,IF(L607="F-30",3,IF(L607="F-60",4,IF(L607="F-90",5,IF(L607="F-120",6,IF(L607="F-150",7,0)))))),0),0)+IF(AND(O607="FIRE TEX 5090",E607="CJ",J607=3),VLOOKUP(_xlfn.MINIFS('FIRE TEX 5090'!$R$5:$R$30,'FIRE TEX 5090'!$R$5:$R$30,"&gt;="&amp;M607),'FIRE TEX 5090'!$R$5:$W$30,IF(L607="F-15",2,IF(L607="F-30",3,IF(L607="F-60",4,IF(L607="F-90",5,IF(L607="F-120",6,IF(L607="F-150",7,0)))))),0),0)+IF(AND(O607="FIRE TEX 5090",E607="CJ",J607=4),VLOOKUP(_xlfn.MINIFS('FIRE TEX 5090'!$Y$5:$Y$39,'FIRE TEX 5090'!$Y$5:$Y$39,"&gt;="&amp;M607),'FIRE TEX 5090'!$Y$5:$AD$39,IF(L607="F-15",2,IF(L607="F-30",3,IF(L607="F-60",4,IF(L607="F-90",5,IF(L607="F-120",6,IF(L607="F-150",7,0)))))),0),0)+IF(AND(O607="FIRE TEX 5120",OR(E607="IN",E607="C",E607="Z",E607="L"),J607=3),VLOOKUP(_xlfn.MINIFS('FIRE TEX 5120'!$B$5:$B$40,'FIRE TEX 5120'!$B$5:$B$40,"&gt;="&amp;M607),'FIRE TEX 5120'!$B$5:$G$40,IF(L607="F-15",2,IF(L607="F-30",3,IF(L607="F-60",4,IF(L607="F-90",5,IF(L607="F-120",6,0))))),0),0)+IF(AND(O607="FIRE TEX 5120",OR(E607="IN",E607="C",E607="Z",E607="L"),J607=4),VLOOKUP(_xlfn.MINIFS('FIRE TEX 5120'!$H$4:$H$40,'FIRE TEX 5120'!$H$4:$H$40,"&gt;="&amp;M607),'FIRE TEX 5120'!$H$4:$M$40,IF(L607="F-15",2,IF(L607="F-30",3,IF(L607="F-60",4,IF(L607="F-90",5,IF(L607="F-120",6,0))))),0),0)+IF(AND(O607="FIRE TEX 5120",E607="CJ"),VLOOKUP(_xlfn.MINIFS('FIRE TEX 5120'!$O$5:$O$40,'FIRE TEX 5120'!$O$5:$O$40,"&gt;="&amp;M607),'FIRE TEX 5120'!$O$5:$T$40,IF(L607="F-15",2,IF(L607="F-30",3,IF(L607="F-60",4,IF(L607="F-90",5,IF(L607="F-120",6,0))))),0),0)</f>
        <v>0</v>
      </c>
      <c r="Q607" s="46">
        <f t="shared" si="64"/>
        <v>0</v>
      </c>
      <c r="R607" s="46">
        <f t="shared" si="65"/>
        <v>0</v>
      </c>
      <c r="S607" s="46" t="e">
        <f t="shared" si="66"/>
        <v>#VALUE!</v>
      </c>
      <c r="T607" s="677">
        <f t="shared" si="67"/>
        <v>0</v>
      </c>
      <c r="U607" s="80">
        <f>(IF(O607="Stofire",(S607*#REF!),0))+(IF(O607="Fire Control",(S607*$U$2),0))+(IF(O607="Fire Tex",(S607*$U$3),0))+(IF(O607="WB7",(S607*#REF!),0)+(IF(O607="FX 2003",(S607*$U$5),0)))</f>
        <v>0</v>
      </c>
      <c r="V607" s="651">
        <f t="shared" si="68"/>
        <v>0</v>
      </c>
    </row>
    <row r="608" spans="4:22" x14ac:dyDescent="0.25">
      <c r="D608" s="118">
        <f>+CUBICACION!D607</f>
        <v>0</v>
      </c>
      <c r="E608" s="118">
        <f>+CUBICACION!F607</f>
        <v>0</v>
      </c>
      <c r="F608" s="118">
        <f>+CUBICACION!E607</f>
        <v>0</v>
      </c>
      <c r="G608" s="118">
        <v>12</v>
      </c>
      <c r="H608" s="118">
        <v>2</v>
      </c>
      <c r="I608" s="820">
        <v>26385</v>
      </c>
      <c r="J608" s="118">
        <f>+CUBICACION!J607</f>
        <v>0</v>
      </c>
      <c r="K608" s="118">
        <v>3387</v>
      </c>
      <c r="L608" s="118">
        <f>+CUBICACION!L607</f>
        <v>0</v>
      </c>
      <c r="M608" s="64">
        <f>+CUBICACION!M607</f>
        <v>0</v>
      </c>
      <c r="N608" s="824" t="str">
        <f>+CUBICACION!N607</f>
        <v/>
      </c>
      <c r="O608" s="675">
        <f>+CUBICACION!O607</f>
        <v>0</v>
      </c>
      <c r="P608" s="15">
        <f>IF(O608="Fire Control",VLOOKUP(_xlfn.MINIFS('FIRE CONTROL'!$C$4:$C$37,'FIRE CONTROL'!$C$4:$C$37,"&gt;="&amp;M608),'FIRE CONTROL'!$C$4:$G$37,IF(L608="F-15",2,IF(L608="F-30",3,IF(L608="F-60",4,IF(L608="F-90",5,0)))),0),0)+IF(AND(O608="FIRE TEX 5062",OR(E608="IN",E608="C",E608="Z",E608="L"),J608=3),VLOOKUP(_xlfn.MINIFS('FIRE TEX 5062'!$B$4:$B$34,'FIRE TEX 5062'!$B$4:$B$34,"&gt;="&amp;M608),'FIRE TEX 5062'!$B$4:$F$34,IF(L608="F-15",2,IF(L608="F-30",3,IF(L608="F-60",4,IF(L608="F-90",5,0)))),0),0)+IF(AND(O608="FIRE TEX 5062",OR(E608="IN",E608="C",E608="Z",E608="L"),J608=4),VLOOKUP(_xlfn.MINIFS('FIRE TEX 5062'!$G$4:$G$34,'FIRE TEX 5062'!$G$4:$G$34,"&gt;="&amp;M608),'FIRE TEX 5062'!$G$4:$K$34,IF(L608="F-15",2,IF(L608="F-30",3,IF(L608="F-60",4,IF(L608="F-90",5,0)))),0),0)+IF(AND(O608="FIRE TEX 5062",E608="CJ",J608=3),VLOOKUP(_xlfn.MINIFS('FIRE TEX 5062'!$L$4:$L$34,'FIRE TEX 5062'!$L$4:$L$34,"&gt;="&amp;M608),'FIRE TEX 5062'!$L$4:$P$34,IF(L608="F-15",2,IF(L608="F-30",3,IF(L608="F-60",4,IF(L608="F-90",5,0)))),0),0)+IF(AND(O608="FIRE TEX 5062",E608="CJ",J608=4),VLOOKUP(_xlfn.MINIFS('FIRE TEX 5062'!$Q$3:$Q$34,'FIRE TEX 5062'!$Q$3:$Q$34,"&gt;="&amp;M608),'FIRE TEX 5062'!$Q$3:$U$34,IF(L608="F-15",2,IF(L608="F-30",3,IF(L608="F-60",4,IF(L608="F-90",5,0)))),0),0)+IF(AND(O608="FIRE TEX 5090",OR(E608="IN",E608="C",E608="Z",E608="L"),J608=3),VLOOKUP(_xlfn.MINIFS('FIRE TEX 5090'!$B$5:$B$43,'FIRE TEX 5090'!$B$5:$B$43,"&gt;="&amp;M608),'FIRE TEX 5090'!$B$5:$H$43,IF(L608="F-15",2,IF(L608="F-30",3,IF(L608="F-60",4,IF(L608="F-90",5,IF(L608="F-120",6,IF(L608="F-150",7,0)))))),0),0)+IF(AND(O608="FIRE TEX 5090",OR(E608="IN",E608="C",E608="Z",E608="L"),J608=4),VLOOKUP(_xlfn.MINIFS('FIRE TEX 5090'!$J$5:$J$43,'FIRE TEX 5090'!$J$5:$J$43,"&gt;="&amp;M608),'FIRE TEX 5090'!$J$5:$P$43,IF(L608="F-15",2,IF(L608="F-30",3,IF(L608="F-60",4,IF(L608="F-90",5,IF(L608="F-120",6,IF(L608="F-150",7,0)))))),0),0)+IF(AND(O608="FIRE TEX 5090",E608="CJ",J608=3),VLOOKUP(_xlfn.MINIFS('FIRE TEX 5090'!$R$5:$R$30,'FIRE TEX 5090'!$R$5:$R$30,"&gt;="&amp;M608),'FIRE TEX 5090'!$R$5:$W$30,IF(L608="F-15",2,IF(L608="F-30",3,IF(L608="F-60",4,IF(L608="F-90",5,IF(L608="F-120",6,IF(L608="F-150",7,0)))))),0),0)+IF(AND(O608="FIRE TEX 5090",E608="CJ",J608=4),VLOOKUP(_xlfn.MINIFS('FIRE TEX 5090'!$Y$5:$Y$39,'FIRE TEX 5090'!$Y$5:$Y$39,"&gt;="&amp;M608),'FIRE TEX 5090'!$Y$5:$AD$39,IF(L608="F-15",2,IF(L608="F-30",3,IF(L608="F-60",4,IF(L608="F-90",5,IF(L608="F-120",6,IF(L608="F-150",7,0)))))),0),0)+IF(AND(O608="FIRE TEX 5120",OR(E608="IN",E608="C",E608="Z",E608="L"),J608=3),VLOOKUP(_xlfn.MINIFS('FIRE TEX 5120'!$B$5:$B$40,'FIRE TEX 5120'!$B$5:$B$40,"&gt;="&amp;M608),'FIRE TEX 5120'!$B$5:$G$40,IF(L608="F-15",2,IF(L608="F-30",3,IF(L608="F-60",4,IF(L608="F-90",5,IF(L608="F-120",6,0))))),0),0)+IF(AND(O608="FIRE TEX 5120",OR(E608="IN",E608="C",E608="Z",E608="L"),J608=4),VLOOKUP(_xlfn.MINIFS('FIRE TEX 5120'!$H$4:$H$40,'FIRE TEX 5120'!$H$4:$H$40,"&gt;="&amp;M608),'FIRE TEX 5120'!$H$4:$M$40,IF(L608="F-15",2,IF(L608="F-30",3,IF(L608="F-60",4,IF(L608="F-90",5,IF(L608="F-120",6,0))))),0),0)+IF(AND(O608="FIRE TEX 5120",E608="CJ"),VLOOKUP(_xlfn.MINIFS('FIRE TEX 5120'!$O$5:$O$40,'FIRE TEX 5120'!$O$5:$O$40,"&gt;="&amp;M608),'FIRE TEX 5120'!$O$5:$T$40,IF(L608="F-15",2,IF(L608="F-30",3,IF(L608="F-60",4,IF(L608="F-90",5,IF(L608="F-120",6,0))))),0),0)</f>
        <v>0</v>
      </c>
      <c r="Q608" s="46">
        <f t="shared" si="64"/>
        <v>0</v>
      </c>
      <c r="R608" s="46">
        <f t="shared" si="65"/>
        <v>0</v>
      </c>
      <c r="S608" s="46" t="e">
        <f t="shared" si="66"/>
        <v>#VALUE!</v>
      </c>
      <c r="T608" s="677">
        <f t="shared" si="67"/>
        <v>0</v>
      </c>
      <c r="U608" s="80">
        <f>(IF(O608="Stofire",(S608*#REF!),0))+(IF(O608="Fire Control",(S608*$U$2),0))+(IF(O608="Fire Tex",(S608*$U$3),0))+(IF(O608="WB7",(S608*#REF!),0)+(IF(O608="FX 2003",(S608*$U$5),0)))</f>
        <v>0</v>
      </c>
      <c r="V608" s="651">
        <f t="shared" si="68"/>
        <v>0</v>
      </c>
    </row>
    <row r="609" spans="4:22" x14ac:dyDescent="0.25">
      <c r="D609" s="118">
        <f>+CUBICACION!D608</f>
        <v>0</v>
      </c>
      <c r="E609" s="118">
        <f>+CUBICACION!F608</f>
        <v>0</v>
      </c>
      <c r="F609" s="118">
        <f>+CUBICACION!E608</f>
        <v>0</v>
      </c>
      <c r="G609" s="118">
        <v>12</v>
      </c>
      <c r="H609" s="118">
        <v>2</v>
      </c>
      <c r="I609" s="820">
        <v>26385</v>
      </c>
      <c r="J609" s="118">
        <f>+CUBICACION!J608</f>
        <v>0</v>
      </c>
      <c r="K609" s="118">
        <v>3388</v>
      </c>
      <c r="L609" s="118">
        <f>+CUBICACION!L608</f>
        <v>0</v>
      </c>
      <c r="M609" s="64">
        <f>+CUBICACION!M608</f>
        <v>0</v>
      </c>
      <c r="N609" s="824" t="str">
        <f>+CUBICACION!N608</f>
        <v/>
      </c>
      <c r="O609" s="675">
        <f>+CUBICACION!O608</f>
        <v>0</v>
      </c>
      <c r="P609" s="15">
        <f>IF(O609="Fire Control",VLOOKUP(_xlfn.MINIFS('FIRE CONTROL'!$C$4:$C$37,'FIRE CONTROL'!$C$4:$C$37,"&gt;="&amp;M609),'FIRE CONTROL'!$C$4:$G$37,IF(L609="F-15",2,IF(L609="F-30",3,IF(L609="F-60",4,IF(L609="F-90",5,0)))),0),0)+IF(AND(O609="FIRE TEX 5062",OR(E609="IN",E609="C",E609="Z",E609="L"),J609=3),VLOOKUP(_xlfn.MINIFS('FIRE TEX 5062'!$B$4:$B$34,'FIRE TEX 5062'!$B$4:$B$34,"&gt;="&amp;M609),'FIRE TEX 5062'!$B$4:$F$34,IF(L609="F-15",2,IF(L609="F-30",3,IF(L609="F-60",4,IF(L609="F-90",5,0)))),0),0)+IF(AND(O609="FIRE TEX 5062",OR(E609="IN",E609="C",E609="Z",E609="L"),J609=4),VLOOKUP(_xlfn.MINIFS('FIRE TEX 5062'!$G$4:$G$34,'FIRE TEX 5062'!$G$4:$G$34,"&gt;="&amp;M609),'FIRE TEX 5062'!$G$4:$K$34,IF(L609="F-15",2,IF(L609="F-30",3,IF(L609="F-60",4,IF(L609="F-90",5,0)))),0),0)+IF(AND(O609="FIRE TEX 5062",E609="CJ",J609=3),VLOOKUP(_xlfn.MINIFS('FIRE TEX 5062'!$L$4:$L$34,'FIRE TEX 5062'!$L$4:$L$34,"&gt;="&amp;M609),'FIRE TEX 5062'!$L$4:$P$34,IF(L609="F-15",2,IF(L609="F-30",3,IF(L609="F-60",4,IF(L609="F-90",5,0)))),0),0)+IF(AND(O609="FIRE TEX 5062",E609="CJ",J609=4),VLOOKUP(_xlfn.MINIFS('FIRE TEX 5062'!$Q$3:$Q$34,'FIRE TEX 5062'!$Q$3:$Q$34,"&gt;="&amp;M609),'FIRE TEX 5062'!$Q$3:$U$34,IF(L609="F-15",2,IF(L609="F-30",3,IF(L609="F-60",4,IF(L609="F-90",5,0)))),0),0)+IF(AND(O609="FIRE TEX 5090",OR(E609="IN",E609="C",E609="Z",E609="L"),J609=3),VLOOKUP(_xlfn.MINIFS('FIRE TEX 5090'!$B$5:$B$43,'FIRE TEX 5090'!$B$5:$B$43,"&gt;="&amp;M609),'FIRE TEX 5090'!$B$5:$H$43,IF(L609="F-15",2,IF(L609="F-30",3,IF(L609="F-60",4,IF(L609="F-90",5,IF(L609="F-120",6,IF(L609="F-150",7,0)))))),0),0)+IF(AND(O609="FIRE TEX 5090",OR(E609="IN",E609="C",E609="Z",E609="L"),J609=4),VLOOKUP(_xlfn.MINIFS('FIRE TEX 5090'!$J$5:$J$43,'FIRE TEX 5090'!$J$5:$J$43,"&gt;="&amp;M609),'FIRE TEX 5090'!$J$5:$P$43,IF(L609="F-15",2,IF(L609="F-30",3,IF(L609="F-60",4,IF(L609="F-90",5,IF(L609="F-120",6,IF(L609="F-150",7,0)))))),0),0)+IF(AND(O609="FIRE TEX 5090",E609="CJ",J609=3),VLOOKUP(_xlfn.MINIFS('FIRE TEX 5090'!$R$5:$R$30,'FIRE TEX 5090'!$R$5:$R$30,"&gt;="&amp;M609),'FIRE TEX 5090'!$R$5:$W$30,IF(L609="F-15",2,IF(L609="F-30",3,IF(L609="F-60",4,IF(L609="F-90",5,IF(L609="F-120",6,IF(L609="F-150",7,0)))))),0),0)+IF(AND(O609="FIRE TEX 5090",E609="CJ",J609=4),VLOOKUP(_xlfn.MINIFS('FIRE TEX 5090'!$Y$5:$Y$39,'FIRE TEX 5090'!$Y$5:$Y$39,"&gt;="&amp;M609),'FIRE TEX 5090'!$Y$5:$AD$39,IF(L609="F-15",2,IF(L609="F-30",3,IF(L609="F-60",4,IF(L609="F-90",5,IF(L609="F-120",6,IF(L609="F-150",7,0)))))),0),0)+IF(AND(O609="FIRE TEX 5120",OR(E609="IN",E609="C",E609="Z",E609="L"),J609=3),VLOOKUP(_xlfn.MINIFS('FIRE TEX 5120'!$B$5:$B$40,'FIRE TEX 5120'!$B$5:$B$40,"&gt;="&amp;M609),'FIRE TEX 5120'!$B$5:$G$40,IF(L609="F-15",2,IF(L609="F-30",3,IF(L609="F-60",4,IF(L609="F-90",5,IF(L609="F-120",6,0))))),0),0)+IF(AND(O609="FIRE TEX 5120",OR(E609="IN",E609="C",E609="Z",E609="L"),J609=4),VLOOKUP(_xlfn.MINIFS('FIRE TEX 5120'!$H$4:$H$40,'FIRE TEX 5120'!$H$4:$H$40,"&gt;="&amp;M609),'FIRE TEX 5120'!$H$4:$M$40,IF(L609="F-15",2,IF(L609="F-30",3,IF(L609="F-60",4,IF(L609="F-90",5,IF(L609="F-120",6,0))))),0),0)+IF(AND(O609="FIRE TEX 5120",E609="CJ"),VLOOKUP(_xlfn.MINIFS('FIRE TEX 5120'!$O$5:$O$40,'FIRE TEX 5120'!$O$5:$O$40,"&gt;="&amp;M609),'FIRE TEX 5120'!$O$5:$T$40,IF(L609="F-15",2,IF(L609="F-30",3,IF(L609="F-60",4,IF(L609="F-90",5,IF(L609="F-120",6,0))))),0),0)</f>
        <v>0</v>
      </c>
      <c r="Q609" s="46">
        <f t="shared" si="64"/>
        <v>0</v>
      </c>
      <c r="R609" s="46">
        <f t="shared" si="65"/>
        <v>0</v>
      </c>
      <c r="S609" s="46" t="e">
        <f t="shared" si="66"/>
        <v>#VALUE!</v>
      </c>
      <c r="T609" s="677">
        <f t="shared" si="67"/>
        <v>0</v>
      </c>
      <c r="U609" s="80">
        <f>(IF(O609="Stofire",(S609*#REF!),0))+(IF(O609="Fire Control",(S609*$U$2),0))+(IF(O609="Fire Tex",(S609*$U$3),0))+(IF(O609="WB7",(S609*#REF!),0)+(IF(O609="FX 2003",(S609*$U$5),0)))</f>
        <v>0</v>
      </c>
      <c r="V609" s="651">
        <f t="shared" si="68"/>
        <v>0</v>
      </c>
    </row>
    <row r="610" spans="4:22" x14ac:dyDescent="0.25">
      <c r="D610" s="118">
        <f>+CUBICACION!D609</f>
        <v>0</v>
      </c>
      <c r="E610" s="118">
        <f>+CUBICACION!F609</f>
        <v>0</v>
      </c>
      <c r="F610" s="118">
        <f>+CUBICACION!E609</f>
        <v>0</v>
      </c>
      <c r="G610" s="118">
        <v>12</v>
      </c>
      <c r="H610" s="118">
        <v>2</v>
      </c>
      <c r="I610" s="820">
        <v>26385</v>
      </c>
      <c r="J610" s="118">
        <f>+CUBICACION!J609</f>
        <v>0</v>
      </c>
      <c r="K610" s="118">
        <v>3389</v>
      </c>
      <c r="L610" s="118">
        <f>+CUBICACION!L609</f>
        <v>0</v>
      </c>
      <c r="M610" s="64">
        <f>+CUBICACION!M609</f>
        <v>0</v>
      </c>
      <c r="N610" s="824" t="str">
        <f>+CUBICACION!N609</f>
        <v/>
      </c>
      <c r="O610" s="675">
        <f>+CUBICACION!O609</f>
        <v>0</v>
      </c>
      <c r="P610" s="15">
        <f>IF(O610="Fire Control",VLOOKUP(_xlfn.MINIFS('FIRE CONTROL'!$C$4:$C$37,'FIRE CONTROL'!$C$4:$C$37,"&gt;="&amp;M610),'FIRE CONTROL'!$C$4:$G$37,IF(L610="F-15",2,IF(L610="F-30",3,IF(L610="F-60",4,IF(L610="F-90",5,0)))),0),0)+IF(AND(O610="FIRE TEX 5062",OR(E610="IN",E610="C",E610="Z",E610="L"),J610=3),VLOOKUP(_xlfn.MINIFS('FIRE TEX 5062'!$B$4:$B$34,'FIRE TEX 5062'!$B$4:$B$34,"&gt;="&amp;M610),'FIRE TEX 5062'!$B$4:$F$34,IF(L610="F-15",2,IF(L610="F-30",3,IF(L610="F-60",4,IF(L610="F-90",5,0)))),0),0)+IF(AND(O610="FIRE TEX 5062",OR(E610="IN",E610="C",E610="Z",E610="L"),J610=4),VLOOKUP(_xlfn.MINIFS('FIRE TEX 5062'!$G$4:$G$34,'FIRE TEX 5062'!$G$4:$G$34,"&gt;="&amp;M610),'FIRE TEX 5062'!$G$4:$K$34,IF(L610="F-15",2,IF(L610="F-30",3,IF(L610="F-60",4,IF(L610="F-90",5,0)))),0),0)+IF(AND(O610="FIRE TEX 5062",E610="CJ",J610=3),VLOOKUP(_xlfn.MINIFS('FIRE TEX 5062'!$L$4:$L$34,'FIRE TEX 5062'!$L$4:$L$34,"&gt;="&amp;M610),'FIRE TEX 5062'!$L$4:$P$34,IF(L610="F-15",2,IF(L610="F-30",3,IF(L610="F-60",4,IF(L610="F-90",5,0)))),0),0)+IF(AND(O610="FIRE TEX 5062",E610="CJ",J610=4),VLOOKUP(_xlfn.MINIFS('FIRE TEX 5062'!$Q$3:$Q$34,'FIRE TEX 5062'!$Q$3:$Q$34,"&gt;="&amp;M610),'FIRE TEX 5062'!$Q$3:$U$34,IF(L610="F-15",2,IF(L610="F-30",3,IF(L610="F-60",4,IF(L610="F-90",5,0)))),0),0)+IF(AND(O610="FIRE TEX 5090",OR(E610="IN",E610="C",E610="Z",E610="L"),J610=3),VLOOKUP(_xlfn.MINIFS('FIRE TEX 5090'!$B$5:$B$43,'FIRE TEX 5090'!$B$5:$B$43,"&gt;="&amp;M610),'FIRE TEX 5090'!$B$5:$H$43,IF(L610="F-15",2,IF(L610="F-30",3,IF(L610="F-60",4,IF(L610="F-90",5,IF(L610="F-120",6,IF(L610="F-150",7,0)))))),0),0)+IF(AND(O610="FIRE TEX 5090",OR(E610="IN",E610="C",E610="Z",E610="L"),J610=4),VLOOKUP(_xlfn.MINIFS('FIRE TEX 5090'!$J$5:$J$43,'FIRE TEX 5090'!$J$5:$J$43,"&gt;="&amp;M610),'FIRE TEX 5090'!$J$5:$P$43,IF(L610="F-15",2,IF(L610="F-30",3,IF(L610="F-60",4,IF(L610="F-90",5,IF(L610="F-120",6,IF(L610="F-150",7,0)))))),0),0)+IF(AND(O610="FIRE TEX 5090",E610="CJ",J610=3),VLOOKUP(_xlfn.MINIFS('FIRE TEX 5090'!$R$5:$R$30,'FIRE TEX 5090'!$R$5:$R$30,"&gt;="&amp;M610),'FIRE TEX 5090'!$R$5:$W$30,IF(L610="F-15",2,IF(L610="F-30",3,IF(L610="F-60",4,IF(L610="F-90",5,IF(L610="F-120",6,IF(L610="F-150",7,0)))))),0),0)+IF(AND(O610="FIRE TEX 5090",E610="CJ",J610=4),VLOOKUP(_xlfn.MINIFS('FIRE TEX 5090'!$Y$5:$Y$39,'FIRE TEX 5090'!$Y$5:$Y$39,"&gt;="&amp;M610),'FIRE TEX 5090'!$Y$5:$AD$39,IF(L610="F-15",2,IF(L610="F-30",3,IF(L610="F-60",4,IF(L610="F-90",5,IF(L610="F-120",6,IF(L610="F-150",7,0)))))),0),0)+IF(AND(O610="FIRE TEX 5120",OR(E610="IN",E610="C",E610="Z",E610="L"),J610=3),VLOOKUP(_xlfn.MINIFS('FIRE TEX 5120'!$B$5:$B$40,'FIRE TEX 5120'!$B$5:$B$40,"&gt;="&amp;M610),'FIRE TEX 5120'!$B$5:$G$40,IF(L610="F-15",2,IF(L610="F-30",3,IF(L610="F-60",4,IF(L610="F-90",5,IF(L610="F-120",6,0))))),0),0)+IF(AND(O610="FIRE TEX 5120",OR(E610="IN",E610="C",E610="Z",E610="L"),J610=4),VLOOKUP(_xlfn.MINIFS('FIRE TEX 5120'!$H$4:$H$40,'FIRE TEX 5120'!$H$4:$H$40,"&gt;="&amp;M610),'FIRE TEX 5120'!$H$4:$M$40,IF(L610="F-15",2,IF(L610="F-30",3,IF(L610="F-60",4,IF(L610="F-90",5,IF(L610="F-120",6,0))))),0),0)+IF(AND(O610="FIRE TEX 5120",E610="CJ"),VLOOKUP(_xlfn.MINIFS('FIRE TEX 5120'!$O$5:$O$40,'FIRE TEX 5120'!$O$5:$O$40,"&gt;="&amp;M610),'FIRE TEX 5120'!$O$5:$T$40,IF(L610="F-15",2,IF(L610="F-30",3,IF(L610="F-60",4,IF(L610="F-90",5,IF(L610="F-120",6,0))))),0),0)</f>
        <v>0</v>
      </c>
      <c r="Q610" s="46">
        <f t="shared" si="64"/>
        <v>0</v>
      </c>
      <c r="R610" s="46">
        <f t="shared" si="65"/>
        <v>0</v>
      </c>
      <c r="S610" s="46" t="e">
        <f t="shared" si="66"/>
        <v>#VALUE!</v>
      </c>
      <c r="T610" s="677">
        <f t="shared" si="67"/>
        <v>0</v>
      </c>
      <c r="U610" s="80">
        <f>(IF(O610="Stofire",(S610*#REF!),0))+(IF(O610="Fire Control",(S610*$U$2),0))+(IF(O610="Fire Tex",(S610*$U$3),0))+(IF(O610="WB7",(S610*#REF!),0)+(IF(O610="FX 2003",(S610*$U$5),0)))</f>
        <v>0</v>
      </c>
      <c r="V610" s="651">
        <f t="shared" si="68"/>
        <v>0</v>
      </c>
    </row>
    <row r="611" spans="4:22" x14ac:dyDescent="0.25">
      <c r="D611" s="118">
        <f>+CUBICACION!D610</f>
        <v>0</v>
      </c>
      <c r="E611" s="118">
        <f>+CUBICACION!F610</f>
        <v>0</v>
      </c>
      <c r="F611" s="118">
        <f>+CUBICACION!E610</f>
        <v>0</v>
      </c>
      <c r="G611" s="118">
        <v>12</v>
      </c>
      <c r="H611" s="118">
        <v>2</v>
      </c>
      <c r="I611" s="820">
        <v>26385</v>
      </c>
      <c r="J611" s="118">
        <f>+CUBICACION!J610</f>
        <v>0</v>
      </c>
      <c r="K611" s="118">
        <v>3390</v>
      </c>
      <c r="L611" s="118">
        <f>+CUBICACION!L610</f>
        <v>0</v>
      </c>
      <c r="M611" s="64">
        <f>+CUBICACION!M610</f>
        <v>0</v>
      </c>
      <c r="N611" s="824" t="str">
        <f>+CUBICACION!N610</f>
        <v/>
      </c>
      <c r="O611" s="675">
        <f>+CUBICACION!O610</f>
        <v>0</v>
      </c>
      <c r="P611" s="15">
        <f>IF(O611="Fire Control",VLOOKUP(_xlfn.MINIFS('FIRE CONTROL'!$C$4:$C$37,'FIRE CONTROL'!$C$4:$C$37,"&gt;="&amp;M611),'FIRE CONTROL'!$C$4:$G$37,IF(L611="F-15",2,IF(L611="F-30",3,IF(L611="F-60",4,IF(L611="F-90",5,0)))),0),0)+IF(AND(O611="FIRE TEX 5062",OR(E611="IN",E611="C",E611="Z",E611="L"),J611=3),VLOOKUP(_xlfn.MINIFS('FIRE TEX 5062'!$B$4:$B$34,'FIRE TEX 5062'!$B$4:$B$34,"&gt;="&amp;M611),'FIRE TEX 5062'!$B$4:$F$34,IF(L611="F-15",2,IF(L611="F-30",3,IF(L611="F-60",4,IF(L611="F-90",5,0)))),0),0)+IF(AND(O611="FIRE TEX 5062",OR(E611="IN",E611="C",E611="Z",E611="L"),J611=4),VLOOKUP(_xlfn.MINIFS('FIRE TEX 5062'!$G$4:$G$34,'FIRE TEX 5062'!$G$4:$G$34,"&gt;="&amp;M611),'FIRE TEX 5062'!$G$4:$K$34,IF(L611="F-15",2,IF(L611="F-30",3,IF(L611="F-60",4,IF(L611="F-90",5,0)))),0),0)+IF(AND(O611="FIRE TEX 5062",E611="CJ",J611=3),VLOOKUP(_xlfn.MINIFS('FIRE TEX 5062'!$L$4:$L$34,'FIRE TEX 5062'!$L$4:$L$34,"&gt;="&amp;M611),'FIRE TEX 5062'!$L$4:$P$34,IF(L611="F-15",2,IF(L611="F-30",3,IF(L611="F-60",4,IF(L611="F-90",5,0)))),0),0)+IF(AND(O611="FIRE TEX 5062",E611="CJ",J611=4),VLOOKUP(_xlfn.MINIFS('FIRE TEX 5062'!$Q$3:$Q$34,'FIRE TEX 5062'!$Q$3:$Q$34,"&gt;="&amp;M611),'FIRE TEX 5062'!$Q$3:$U$34,IF(L611="F-15",2,IF(L611="F-30",3,IF(L611="F-60",4,IF(L611="F-90",5,0)))),0),0)+IF(AND(O611="FIRE TEX 5090",OR(E611="IN",E611="C",E611="Z",E611="L"),J611=3),VLOOKUP(_xlfn.MINIFS('FIRE TEX 5090'!$B$5:$B$43,'FIRE TEX 5090'!$B$5:$B$43,"&gt;="&amp;M611),'FIRE TEX 5090'!$B$5:$H$43,IF(L611="F-15",2,IF(L611="F-30",3,IF(L611="F-60",4,IF(L611="F-90",5,IF(L611="F-120",6,IF(L611="F-150",7,0)))))),0),0)+IF(AND(O611="FIRE TEX 5090",OR(E611="IN",E611="C",E611="Z",E611="L"),J611=4),VLOOKUP(_xlfn.MINIFS('FIRE TEX 5090'!$J$5:$J$43,'FIRE TEX 5090'!$J$5:$J$43,"&gt;="&amp;M611),'FIRE TEX 5090'!$J$5:$P$43,IF(L611="F-15",2,IF(L611="F-30",3,IF(L611="F-60",4,IF(L611="F-90",5,IF(L611="F-120",6,IF(L611="F-150",7,0)))))),0),0)+IF(AND(O611="FIRE TEX 5090",E611="CJ",J611=3),VLOOKUP(_xlfn.MINIFS('FIRE TEX 5090'!$R$5:$R$30,'FIRE TEX 5090'!$R$5:$R$30,"&gt;="&amp;M611),'FIRE TEX 5090'!$R$5:$W$30,IF(L611="F-15",2,IF(L611="F-30",3,IF(L611="F-60",4,IF(L611="F-90",5,IF(L611="F-120",6,IF(L611="F-150",7,0)))))),0),0)+IF(AND(O611="FIRE TEX 5090",E611="CJ",J611=4),VLOOKUP(_xlfn.MINIFS('FIRE TEX 5090'!$Y$5:$Y$39,'FIRE TEX 5090'!$Y$5:$Y$39,"&gt;="&amp;M611),'FIRE TEX 5090'!$Y$5:$AD$39,IF(L611="F-15",2,IF(L611="F-30",3,IF(L611="F-60",4,IF(L611="F-90",5,IF(L611="F-120",6,IF(L611="F-150",7,0)))))),0),0)+IF(AND(O611="FIRE TEX 5120",OR(E611="IN",E611="C",E611="Z",E611="L"),J611=3),VLOOKUP(_xlfn.MINIFS('FIRE TEX 5120'!$B$5:$B$40,'FIRE TEX 5120'!$B$5:$B$40,"&gt;="&amp;M611),'FIRE TEX 5120'!$B$5:$G$40,IF(L611="F-15",2,IF(L611="F-30",3,IF(L611="F-60",4,IF(L611="F-90",5,IF(L611="F-120",6,0))))),0),0)+IF(AND(O611="FIRE TEX 5120",OR(E611="IN",E611="C",E611="Z",E611="L"),J611=4),VLOOKUP(_xlfn.MINIFS('FIRE TEX 5120'!$H$4:$H$40,'FIRE TEX 5120'!$H$4:$H$40,"&gt;="&amp;M611),'FIRE TEX 5120'!$H$4:$M$40,IF(L611="F-15",2,IF(L611="F-30",3,IF(L611="F-60",4,IF(L611="F-90",5,IF(L611="F-120",6,0))))),0),0)+IF(AND(O611="FIRE TEX 5120",E611="CJ"),VLOOKUP(_xlfn.MINIFS('FIRE TEX 5120'!$O$5:$O$40,'FIRE TEX 5120'!$O$5:$O$40,"&gt;="&amp;M611),'FIRE TEX 5120'!$O$5:$T$40,IF(L611="F-15",2,IF(L611="F-30",3,IF(L611="F-60",4,IF(L611="F-90",5,IF(L611="F-120",6,0))))),0),0)</f>
        <v>0</v>
      </c>
      <c r="Q611" s="46">
        <f t="shared" si="64"/>
        <v>0</v>
      </c>
      <c r="R611" s="46">
        <f t="shared" si="65"/>
        <v>0</v>
      </c>
      <c r="S611" s="46" t="e">
        <f t="shared" si="66"/>
        <v>#VALUE!</v>
      </c>
      <c r="T611" s="677">
        <f t="shared" si="67"/>
        <v>0</v>
      </c>
      <c r="U611" s="80">
        <f>(IF(O611="Stofire",(S611*#REF!),0))+(IF(O611="Fire Control",(S611*$U$2),0))+(IF(O611="Fire Tex",(S611*$U$3),0))+(IF(O611="WB7",(S611*#REF!),0)+(IF(O611="FX 2003",(S611*$U$5),0)))</f>
        <v>0</v>
      </c>
      <c r="V611" s="651">
        <f t="shared" si="68"/>
        <v>0</v>
      </c>
    </row>
    <row r="612" spans="4:22" x14ac:dyDescent="0.25">
      <c r="D612" s="118">
        <f>+CUBICACION!D611</f>
        <v>0</v>
      </c>
      <c r="E612" s="118">
        <f>+CUBICACION!F611</f>
        <v>0</v>
      </c>
      <c r="F612" s="118">
        <f>+CUBICACION!E611</f>
        <v>0</v>
      </c>
      <c r="G612" s="118">
        <v>12</v>
      </c>
      <c r="H612" s="118">
        <v>2</v>
      </c>
      <c r="I612" s="820">
        <v>26385</v>
      </c>
      <c r="J612" s="118">
        <f>+CUBICACION!J611</f>
        <v>0</v>
      </c>
      <c r="K612" s="118">
        <v>3391</v>
      </c>
      <c r="L612" s="118">
        <f>+CUBICACION!L611</f>
        <v>0</v>
      </c>
      <c r="M612" s="64">
        <f>+CUBICACION!M611</f>
        <v>0</v>
      </c>
      <c r="N612" s="824" t="str">
        <f>+CUBICACION!N611</f>
        <v/>
      </c>
      <c r="O612" s="675">
        <f>+CUBICACION!O611</f>
        <v>0</v>
      </c>
      <c r="P612" s="15">
        <f>IF(O612="Fire Control",VLOOKUP(_xlfn.MINIFS('FIRE CONTROL'!$C$4:$C$37,'FIRE CONTROL'!$C$4:$C$37,"&gt;="&amp;M612),'FIRE CONTROL'!$C$4:$G$37,IF(L612="F-15",2,IF(L612="F-30",3,IF(L612="F-60",4,IF(L612="F-90",5,0)))),0),0)+IF(AND(O612="FIRE TEX 5062",OR(E612="IN",E612="C",E612="Z",E612="L"),J612=3),VLOOKUP(_xlfn.MINIFS('FIRE TEX 5062'!$B$4:$B$34,'FIRE TEX 5062'!$B$4:$B$34,"&gt;="&amp;M612),'FIRE TEX 5062'!$B$4:$F$34,IF(L612="F-15",2,IF(L612="F-30",3,IF(L612="F-60",4,IF(L612="F-90",5,0)))),0),0)+IF(AND(O612="FIRE TEX 5062",OR(E612="IN",E612="C",E612="Z",E612="L"),J612=4),VLOOKUP(_xlfn.MINIFS('FIRE TEX 5062'!$G$4:$G$34,'FIRE TEX 5062'!$G$4:$G$34,"&gt;="&amp;M612),'FIRE TEX 5062'!$G$4:$K$34,IF(L612="F-15",2,IF(L612="F-30",3,IF(L612="F-60",4,IF(L612="F-90",5,0)))),0),0)+IF(AND(O612="FIRE TEX 5062",E612="CJ",J612=3),VLOOKUP(_xlfn.MINIFS('FIRE TEX 5062'!$L$4:$L$34,'FIRE TEX 5062'!$L$4:$L$34,"&gt;="&amp;M612),'FIRE TEX 5062'!$L$4:$P$34,IF(L612="F-15",2,IF(L612="F-30",3,IF(L612="F-60",4,IF(L612="F-90",5,0)))),0),0)+IF(AND(O612="FIRE TEX 5062",E612="CJ",J612=4),VLOOKUP(_xlfn.MINIFS('FIRE TEX 5062'!$Q$3:$Q$34,'FIRE TEX 5062'!$Q$3:$Q$34,"&gt;="&amp;M612),'FIRE TEX 5062'!$Q$3:$U$34,IF(L612="F-15",2,IF(L612="F-30",3,IF(L612="F-60",4,IF(L612="F-90",5,0)))),0),0)+IF(AND(O612="FIRE TEX 5090",OR(E612="IN",E612="C",E612="Z",E612="L"),J612=3),VLOOKUP(_xlfn.MINIFS('FIRE TEX 5090'!$B$5:$B$43,'FIRE TEX 5090'!$B$5:$B$43,"&gt;="&amp;M612),'FIRE TEX 5090'!$B$5:$H$43,IF(L612="F-15",2,IF(L612="F-30",3,IF(L612="F-60",4,IF(L612="F-90",5,IF(L612="F-120",6,IF(L612="F-150",7,0)))))),0),0)+IF(AND(O612="FIRE TEX 5090",OR(E612="IN",E612="C",E612="Z",E612="L"),J612=4),VLOOKUP(_xlfn.MINIFS('FIRE TEX 5090'!$J$5:$J$43,'FIRE TEX 5090'!$J$5:$J$43,"&gt;="&amp;M612),'FIRE TEX 5090'!$J$5:$P$43,IF(L612="F-15",2,IF(L612="F-30",3,IF(L612="F-60",4,IF(L612="F-90",5,IF(L612="F-120",6,IF(L612="F-150",7,0)))))),0),0)+IF(AND(O612="FIRE TEX 5090",E612="CJ",J612=3),VLOOKUP(_xlfn.MINIFS('FIRE TEX 5090'!$R$5:$R$30,'FIRE TEX 5090'!$R$5:$R$30,"&gt;="&amp;M612),'FIRE TEX 5090'!$R$5:$W$30,IF(L612="F-15",2,IF(L612="F-30",3,IF(L612="F-60",4,IF(L612="F-90",5,IF(L612="F-120",6,IF(L612="F-150",7,0)))))),0),0)+IF(AND(O612="FIRE TEX 5090",E612="CJ",J612=4),VLOOKUP(_xlfn.MINIFS('FIRE TEX 5090'!$Y$5:$Y$39,'FIRE TEX 5090'!$Y$5:$Y$39,"&gt;="&amp;M612),'FIRE TEX 5090'!$Y$5:$AD$39,IF(L612="F-15",2,IF(L612="F-30",3,IF(L612="F-60",4,IF(L612="F-90",5,IF(L612="F-120",6,IF(L612="F-150",7,0)))))),0),0)+IF(AND(O612="FIRE TEX 5120",OR(E612="IN",E612="C",E612="Z",E612="L"),J612=3),VLOOKUP(_xlfn.MINIFS('FIRE TEX 5120'!$B$5:$B$40,'FIRE TEX 5120'!$B$5:$B$40,"&gt;="&amp;M612),'FIRE TEX 5120'!$B$5:$G$40,IF(L612="F-15",2,IF(L612="F-30",3,IF(L612="F-60",4,IF(L612="F-90",5,IF(L612="F-120",6,0))))),0),0)+IF(AND(O612="FIRE TEX 5120",OR(E612="IN",E612="C",E612="Z",E612="L"),J612=4),VLOOKUP(_xlfn.MINIFS('FIRE TEX 5120'!$H$4:$H$40,'FIRE TEX 5120'!$H$4:$H$40,"&gt;="&amp;M612),'FIRE TEX 5120'!$H$4:$M$40,IF(L612="F-15",2,IF(L612="F-30",3,IF(L612="F-60",4,IF(L612="F-90",5,IF(L612="F-120",6,0))))),0),0)+IF(AND(O612="FIRE TEX 5120",E612="CJ"),VLOOKUP(_xlfn.MINIFS('FIRE TEX 5120'!$O$5:$O$40,'FIRE TEX 5120'!$O$5:$O$40,"&gt;="&amp;M612),'FIRE TEX 5120'!$O$5:$T$40,IF(L612="F-15",2,IF(L612="F-30",3,IF(L612="F-60",4,IF(L612="F-90",5,IF(L612="F-120",6,0))))),0),0)</f>
        <v>0</v>
      </c>
      <c r="Q612" s="46">
        <f t="shared" si="64"/>
        <v>0</v>
      </c>
      <c r="R612" s="46">
        <f t="shared" si="65"/>
        <v>0</v>
      </c>
      <c r="S612" s="46" t="e">
        <f t="shared" si="66"/>
        <v>#VALUE!</v>
      </c>
      <c r="T612" s="677">
        <f t="shared" si="67"/>
        <v>0</v>
      </c>
      <c r="U612" s="80">
        <f>(IF(O612="Stofire",(S612*#REF!),0))+(IF(O612="Fire Control",(S612*$U$2),0))+(IF(O612="Fire Tex",(S612*$U$3),0))+(IF(O612="WB7",(S612*#REF!),0)+(IF(O612="FX 2003",(S612*$U$5),0)))</f>
        <v>0</v>
      </c>
      <c r="V612" s="651">
        <f t="shared" si="68"/>
        <v>0</v>
      </c>
    </row>
    <row r="613" spans="4:22" x14ac:dyDescent="0.25">
      <c r="D613" s="118">
        <f>+CUBICACION!D612</f>
        <v>0</v>
      </c>
      <c r="E613" s="118">
        <f>+CUBICACION!F612</f>
        <v>0</v>
      </c>
      <c r="F613" s="118">
        <f>+CUBICACION!E612</f>
        <v>0</v>
      </c>
      <c r="G613" s="118">
        <v>12</v>
      </c>
      <c r="H613" s="118">
        <v>2</v>
      </c>
      <c r="I613" s="820">
        <v>26385</v>
      </c>
      <c r="J613" s="118">
        <f>+CUBICACION!J612</f>
        <v>0</v>
      </c>
      <c r="K613" s="118">
        <v>3392</v>
      </c>
      <c r="L613" s="118">
        <f>+CUBICACION!L612</f>
        <v>0</v>
      </c>
      <c r="M613" s="64">
        <f>+CUBICACION!M612</f>
        <v>0</v>
      </c>
      <c r="N613" s="824" t="str">
        <f>+CUBICACION!N612</f>
        <v/>
      </c>
      <c r="O613" s="675">
        <f>+CUBICACION!O612</f>
        <v>0</v>
      </c>
      <c r="P613" s="15">
        <f>IF(O613="Fire Control",VLOOKUP(_xlfn.MINIFS('FIRE CONTROL'!$C$4:$C$37,'FIRE CONTROL'!$C$4:$C$37,"&gt;="&amp;M613),'FIRE CONTROL'!$C$4:$G$37,IF(L613="F-15",2,IF(L613="F-30",3,IF(L613="F-60",4,IF(L613="F-90",5,0)))),0),0)+IF(AND(O613="FIRE TEX 5062",OR(E613="IN",E613="C",E613="Z",E613="L"),J613=3),VLOOKUP(_xlfn.MINIFS('FIRE TEX 5062'!$B$4:$B$34,'FIRE TEX 5062'!$B$4:$B$34,"&gt;="&amp;M613),'FIRE TEX 5062'!$B$4:$F$34,IF(L613="F-15",2,IF(L613="F-30",3,IF(L613="F-60",4,IF(L613="F-90",5,0)))),0),0)+IF(AND(O613="FIRE TEX 5062",OR(E613="IN",E613="C",E613="Z",E613="L"),J613=4),VLOOKUP(_xlfn.MINIFS('FIRE TEX 5062'!$G$4:$G$34,'FIRE TEX 5062'!$G$4:$G$34,"&gt;="&amp;M613),'FIRE TEX 5062'!$G$4:$K$34,IF(L613="F-15",2,IF(L613="F-30",3,IF(L613="F-60",4,IF(L613="F-90",5,0)))),0),0)+IF(AND(O613="FIRE TEX 5062",E613="CJ",J613=3),VLOOKUP(_xlfn.MINIFS('FIRE TEX 5062'!$L$4:$L$34,'FIRE TEX 5062'!$L$4:$L$34,"&gt;="&amp;M613),'FIRE TEX 5062'!$L$4:$P$34,IF(L613="F-15",2,IF(L613="F-30",3,IF(L613="F-60",4,IF(L613="F-90",5,0)))),0),0)+IF(AND(O613="FIRE TEX 5062",E613="CJ",J613=4),VLOOKUP(_xlfn.MINIFS('FIRE TEX 5062'!$Q$3:$Q$34,'FIRE TEX 5062'!$Q$3:$Q$34,"&gt;="&amp;M613),'FIRE TEX 5062'!$Q$3:$U$34,IF(L613="F-15",2,IF(L613="F-30",3,IF(L613="F-60",4,IF(L613="F-90",5,0)))),0),0)+IF(AND(O613="FIRE TEX 5090",OR(E613="IN",E613="C",E613="Z",E613="L"),J613=3),VLOOKUP(_xlfn.MINIFS('FIRE TEX 5090'!$B$5:$B$43,'FIRE TEX 5090'!$B$5:$B$43,"&gt;="&amp;M613),'FIRE TEX 5090'!$B$5:$H$43,IF(L613="F-15",2,IF(L613="F-30",3,IF(L613="F-60",4,IF(L613="F-90",5,IF(L613="F-120",6,IF(L613="F-150",7,0)))))),0),0)+IF(AND(O613="FIRE TEX 5090",OR(E613="IN",E613="C",E613="Z",E613="L"),J613=4),VLOOKUP(_xlfn.MINIFS('FIRE TEX 5090'!$J$5:$J$43,'FIRE TEX 5090'!$J$5:$J$43,"&gt;="&amp;M613),'FIRE TEX 5090'!$J$5:$P$43,IF(L613="F-15",2,IF(L613="F-30",3,IF(L613="F-60",4,IF(L613="F-90",5,IF(L613="F-120",6,IF(L613="F-150",7,0)))))),0),0)+IF(AND(O613="FIRE TEX 5090",E613="CJ",J613=3),VLOOKUP(_xlfn.MINIFS('FIRE TEX 5090'!$R$5:$R$30,'FIRE TEX 5090'!$R$5:$R$30,"&gt;="&amp;M613),'FIRE TEX 5090'!$R$5:$W$30,IF(L613="F-15",2,IF(L613="F-30",3,IF(L613="F-60",4,IF(L613="F-90",5,IF(L613="F-120",6,IF(L613="F-150",7,0)))))),0),0)+IF(AND(O613="FIRE TEX 5090",E613="CJ",J613=4),VLOOKUP(_xlfn.MINIFS('FIRE TEX 5090'!$Y$5:$Y$39,'FIRE TEX 5090'!$Y$5:$Y$39,"&gt;="&amp;M613),'FIRE TEX 5090'!$Y$5:$AD$39,IF(L613="F-15",2,IF(L613="F-30",3,IF(L613="F-60",4,IF(L613="F-90",5,IF(L613="F-120",6,IF(L613="F-150",7,0)))))),0),0)+IF(AND(O613="FIRE TEX 5120",OR(E613="IN",E613="C",E613="Z",E613="L"),J613=3),VLOOKUP(_xlfn.MINIFS('FIRE TEX 5120'!$B$5:$B$40,'FIRE TEX 5120'!$B$5:$B$40,"&gt;="&amp;M613),'FIRE TEX 5120'!$B$5:$G$40,IF(L613="F-15",2,IF(L613="F-30",3,IF(L613="F-60",4,IF(L613="F-90",5,IF(L613="F-120",6,0))))),0),0)+IF(AND(O613="FIRE TEX 5120",OR(E613="IN",E613="C",E613="Z",E613="L"),J613=4),VLOOKUP(_xlfn.MINIFS('FIRE TEX 5120'!$H$4:$H$40,'FIRE TEX 5120'!$H$4:$H$40,"&gt;="&amp;M613),'FIRE TEX 5120'!$H$4:$M$40,IF(L613="F-15",2,IF(L613="F-30",3,IF(L613="F-60",4,IF(L613="F-90",5,IF(L613="F-120",6,0))))),0),0)+IF(AND(O613="FIRE TEX 5120",E613="CJ"),VLOOKUP(_xlfn.MINIFS('FIRE TEX 5120'!$O$5:$O$40,'FIRE TEX 5120'!$O$5:$O$40,"&gt;="&amp;M613),'FIRE TEX 5120'!$O$5:$T$40,IF(L613="F-15",2,IF(L613="F-30",3,IF(L613="F-60",4,IF(L613="F-90",5,IF(L613="F-120",6,0))))),0),0)</f>
        <v>0</v>
      </c>
      <c r="Q613" s="46">
        <f t="shared" si="64"/>
        <v>0</v>
      </c>
      <c r="R613" s="46">
        <f t="shared" si="65"/>
        <v>0</v>
      </c>
      <c r="S613" s="46" t="e">
        <f t="shared" si="66"/>
        <v>#VALUE!</v>
      </c>
      <c r="T613" s="677">
        <f t="shared" si="67"/>
        <v>0</v>
      </c>
      <c r="U613" s="80">
        <f>(IF(O613="Stofire",(S613*#REF!),0))+(IF(O613="Fire Control",(S613*$U$2),0))+(IF(O613="Fire Tex",(S613*$U$3),0))+(IF(O613="WB7",(S613*#REF!),0)+(IF(O613="FX 2003",(S613*$U$5),0)))</f>
        <v>0</v>
      </c>
      <c r="V613" s="651">
        <f t="shared" si="68"/>
        <v>0</v>
      </c>
    </row>
    <row r="614" spans="4:22" x14ac:dyDescent="0.25">
      <c r="D614" s="118">
        <f>+CUBICACION!D613</f>
        <v>0</v>
      </c>
      <c r="E614" s="118">
        <f>+CUBICACION!F613</f>
        <v>0</v>
      </c>
      <c r="F614" s="118">
        <f>+CUBICACION!E613</f>
        <v>0</v>
      </c>
      <c r="G614" s="118">
        <v>12</v>
      </c>
      <c r="H614" s="118">
        <v>2</v>
      </c>
      <c r="I614" s="820">
        <v>26385</v>
      </c>
      <c r="J614" s="118">
        <f>+CUBICACION!J613</f>
        <v>0</v>
      </c>
      <c r="K614" s="118">
        <v>3393</v>
      </c>
      <c r="L614" s="118">
        <f>+CUBICACION!L613</f>
        <v>0</v>
      </c>
      <c r="M614" s="64">
        <f>+CUBICACION!M613</f>
        <v>0</v>
      </c>
      <c r="N614" s="824" t="str">
        <f>+CUBICACION!N613</f>
        <v/>
      </c>
      <c r="O614" s="675">
        <f>+CUBICACION!O613</f>
        <v>0</v>
      </c>
      <c r="P614" s="15">
        <f>IF(O614="Fire Control",VLOOKUP(_xlfn.MINIFS('FIRE CONTROL'!$C$4:$C$37,'FIRE CONTROL'!$C$4:$C$37,"&gt;="&amp;M614),'FIRE CONTROL'!$C$4:$G$37,IF(L614="F-15",2,IF(L614="F-30",3,IF(L614="F-60",4,IF(L614="F-90",5,0)))),0),0)+IF(AND(O614="FIRE TEX 5062",OR(E614="IN",E614="C",E614="Z",E614="L"),J614=3),VLOOKUP(_xlfn.MINIFS('FIRE TEX 5062'!$B$4:$B$34,'FIRE TEX 5062'!$B$4:$B$34,"&gt;="&amp;M614),'FIRE TEX 5062'!$B$4:$F$34,IF(L614="F-15",2,IF(L614="F-30",3,IF(L614="F-60",4,IF(L614="F-90",5,0)))),0),0)+IF(AND(O614="FIRE TEX 5062",OR(E614="IN",E614="C",E614="Z",E614="L"),J614=4),VLOOKUP(_xlfn.MINIFS('FIRE TEX 5062'!$G$4:$G$34,'FIRE TEX 5062'!$G$4:$G$34,"&gt;="&amp;M614),'FIRE TEX 5062'!$G$4:$K$34,IF(L614="F-15",2,IF(L614="F-30",3,IF(L614="F-60",4,IF(L614="F-90",5,0)))),0),0)+IF(AND(O614="FIRE TEX 5062",E614="CJ",J614=3),VLOOKUP(_xlfn.MINIFS('FIRE TEX 5062'!$L$4:$L$34,'FIRE TEX 5062'!$L$4:$L$34,"&gt;="&amp;M614),'FIRE TEX 5062'!$L$4:$P$34,IF(L614="F-15",2,IF(L614="F-30",3,IF(L614="F-60",4,IF(L614="F-90",5,0)))),0),0)+IF(AND(O614="FIRE TEX 5062",E614="CJ",J614=4),VLOOKUP(_xlfn.MINIFS('FIRE TEX 5062'!$Q$3:$Q$34,'FIRE TEX 5062'!$Q$3:$Q$34,"&gt;="&amp;M614),'FIRE TEX 5062'!$Q$3:$U$34,IF(L614="F-15",2,IF(L614="F-30",3,IF(L614="F-60",4,IF(L614="F-90",5,0)))),0),0)+IF(AND(O614="FIRE TEX 5090",OR(E614="IN",E614="C",E614="Z",E614="L"),J614=3),VLOOKUP(_xlfn.MINIFS('FIRE TEX 5090'!$B$5:$B$43,'FIRE TEX 5090'!$B$5:$B$43,"&gt;="&amp;M614),'FIRE TEX 5090'!$B$5:$H$43,IF(L614="F-15",2,IF(L614="F-30",3,IF(L614="F-60",4,IF(L614="F-90",5,IF(L614="F-120",6,IF(L614="F-150",7,0)))))),0),0)+IF(AND(O614="FIRE TEX 5090",OR(E614="IN",E614="C",E614="Z",E614="L"),J614=4),VLOOKUP(_xlfn.MINIFS('FIRE TEX 5090'!$J$5:$J$43,'FIRE TEX 5090'!$J$5:$J$43,"&gt;="&amp;M614),'FIRE TEX 5090'!$J$5:$P$43,IF(L614="F-15",2,IF(L614="F-30",3,IF(L614="F-60",4,IF(L614="F-90",5,IF(L614="F-120",6,IF(L614="F-150",7,0)))))),0),0)+IF(AND(O614="FIRE TEX 5090",E614="CJ",J614=3),VLOOKUP(_xlfn.MINIFS('FIRE TEX 5090'!$R$5:$R$30,'FIRE TEX 5090'!$R$5:$R$30,"&gt;="&amp;M614),'FIRE TEX 5090'!$R$5:$W$30,IF(L614="F-15",2,IF(L614="F-30",3,IF(L614="F-60",4,IF(L614="F-90",5,IF(L614="F-120",6,IF(L614="F-150",7,0)))))),0),0)+IF(AND(O614="FIRE TEX 5090",E614="CJ",J614=4),VLOOKUP(_xlfn.MINIFS('FIRE TEX 5090'!$Y$5:$Y$39,'FIRE TEX 5090'!$Y$5:$Y$39,"&gt;="&amp;M614),'FIRE TEX 5090'!$Y$5:$AD$39,IF(L614="F-15",2,IF(L614="F-30",3,IF(L614="F-60",4,IF(L614="F-90",5,IF(L614="F-120",6,IF(L614="F-150",7,0)))))),0),0)+IF(AND(O614="FIRE TEX 5120",OR(E614="IN",E614="C",E614="Z",E614="L"),J614=3),VLOOKUP(_xlfn.MINIFS('FIRE TEX 5120'!$B$5:$B$40,'FIRE TEX 5120'!$B$5:$B$40,"&gt;="&amp;M614),'FIRE TEX 5120'!$B$5:$G$40,IF(L614="F-15",2,IF(L614="F-30",3,IF(L614="F-60",4,IF(L614="F-90",5,IF(L614="F-120",6,0))))),0),0)+IF(AND(O614="FIRE TEX 5120",OR(E614="IN",E614="C",E614="Z",E614="L"),J614=4),VLOOKUP(_xlfn.MINIFS('FIRE TEX 5120'!$H$4:$H$40,'FIRE TEX 5120'!$H$4:$H$40,"&gt;="&amp;M614),'FIRE TEX 5120'!$H$4:$M$40,IF(L614="F-15",2,IF(L614="F-30",3,IF(L614="F-60",4,IF(L614="F-90",5,IF(L614="F-120",6,0))))),0),0)+IF(AND(O614="FIRE TEX 5120",E614="CJ"),VLOOKUP(_xlfn.MINIFS('FIRE TEX 5120'!$O$5:$O$40,'FIRE TEX 5120'!$O$5:$O$40,"&gt;="&amp;M614),'FIRE TEX 5120'!$O$5:$T$40,IF(L614="F-15",2,IF(L614="F-30",3,IF(L614="F-60",4,IF(L614="F-90",5,IF(L614="F-120",6,0))))),0),0)</f>
        <v>0</v>
      </c>
      <c r="Q614" s="46">
        <f t="shared" si="64"/>
        <v>0</v>
      </c>
      <c r="R614" s="46">
        <f t="shared" si="65"/>
        <v>0</v>
      </c>
      <c r="S614" s="46" t="e">
        <f t="shared" si="66"/>
        <v>#VALUE!</v>
      </c>
      <c r="T614" s="677">
        <f t="shared" si="67"/>
        <v>0</v>
      </c>
      <c r="U614" s="80">
        <f>(IF(O614="Stofire",(S614*#REF!),0))+(IF(O614="Fire Control",(S614*$U$2),0))+(IF(O614="Fire Tex",(S614*$U$3),0))+(IF(O614="WB7",(S614*#REF!),0)+(IF(O614="FX 2003",(S614*$U$5),0)))</f>
        <v>0</v>
      </c>
      <c r="V614" s="651">
        <f t="shared" si="68"/>
        <v>0</v>
      </c>
    </row>
    <row r="615" spans="4:22" x14ac:dyDescent="0.25">
      <c r="D615" s="118">
        <f>+CUBICACION!D614</f>
        <v>0</v>
      </c>
      <c r="E615" s="118">
        <f>+CUBICACION!F614</f>
        <v>0</v>
      </c>
      <c r="F615" s="118">
        <f>+CUBICACION!E614</f>
        <v>0</v>
      </c>
      <c r="G615" s="118">
        <v>12</v>
      </c>
      <c r="H615" s="118">
        <v>2</v>
      </c>
      <c r="I615" s="820">
        <v>26385</v>
      </c>
      <c r="J615" s="118">
        <f>+CUBICACION!J614</f>
        <v>0</v>
      </c>
      <c r="K615" s="118">
        <v>3394</v>
      </c>
      <c r="L615" s="118">
        <f>+CUBICACION!L614</f>
        <v>0</v>
      </c>
      <c r="M615" s="64">
        <f>+CUBICACION!M614</f>
        <v>0</v>
      </c>
      <c r="N615" s="824" t="str">
        <f>+CUBICACION!N614</f>
        <v/>
      </c>
      <c r="O615" s="675">
        <f>+CUBICACION!O614</f>
        <v>0</v>
      </c>
      <c r="P615" s="15">
        <f>IF(O615="Fire Control",VLOOKUP(_xlfn.MINIFS('FIRE CONTROL'!$C$4:$C$37,'FIRE CONTROL'!$C$4:$C$37,"&gt;="&amp;M615),'FIRE CONTROL'!$C$4:$G$37,IF(L615="F-15",2,IF(L615="F-30",3,IF(L615="F-60",4,IF(L615="F-90",5,0)))),0),0)+IF(AND(O615="FIRE TEX 5062",OR(E615="IN",E615="C",E615="Z",E615="L"),J615=3),VLOOKUP(_xlfn.MINIFS('FIRE TEX 5062'!$B$4:$B$34,'FIRE TEX 5062'!$B$4:$B$34,"&gt;="&amp;M615),'FIRE TEX 5062'!$B$4:$F$34,IF(L615="F-15",2,IF(L615="F-30",3,IF(L615="F-60",4,IF(L615="F-90",5,0)))),0),0)+IF(AND(O615="FIRE TEX 5062",OR(E615="IN",E615="C",E615="Z",E615="L"),J615=4),VLOOKUP(_xlfn.MINIFS('FIRE TEX 5062'!$G$4:$G$34,'FIRE TEX 5062'!$G$4:$G$34,"&gt;="&amp;M615),'FIRE TEX 5062'!$G$4:$K$34,IF(L615="F-15",2,IF(L615="F-30",3,IF(L615="F-60",4,IF(L615="F-90",5,0)))),0),0)+IF(AND(O615="FIRE TEX 5062",E615="CJ",J615=3),VLOOKUP(_xlfn.MINIFS('FIRE TEX 5062'!$L$4:$L$34,'FIRE TEX 5062'!$L$4:$L$34,"&gt;="&amp;M615),'FIRE TEX 5062'!$L$4:$P$34,IF(L615="F-15",2,IF(L615="F-30",3,IF(L615="F-60",4,IF(L615="F-90",5,0)))),0),0)+IF(AND(O615="FIRE TEX 5062",E615="CJ",J615=4),VLOOKUP(_xlfn.MINIFS('FIRE TEX 5062'!$Q$3:$Q$34,'FIRE TEX 5062'!$Q$3:$Q$34,"&gt;="&amp;M615),'FIRE TEX 5062'!$Q$3:$U$34,IF(L615="F-15",2,IF(L615="F-30",3,IF(L615="F-60",4,IF(L615="F-90",5,0)))),0),0)+IF(AND(O615="FIRE TEX 5090",OR(E615="IN",E615="C",E615="Z",E615="L"),J615=3),VLOOKUP(_xlfn.MINIFS('FIRE TEX 5090'!$B$5:$B$43,'FIRE TEX 5090'!$B$5:$B$43,"&gt;="&amp;M615),'FIRE TEX 5090'!$B$5:$H$43,IF(L615="F-15",2,IF(L615="F-30",3,IF(L615="F-60",4,IF(L615="F-90",5,IF(L615="F-120",6,IF(L615="F-150",7,0)))))),0),0)+IF(AND(O615="FIRE TEX 5090",OR(E615="IN",E615="C",E615="Z",E615="L"),J615=4),VLOOKUP(_xlfn.MINIFS('FIRE TEX 5090'!$J$5:$J$43,'FIRE TEX 5090'!$J$5:$J$43,"&gt;="&amp;M615),'FIRE TEX 5090'!$J$5:$P$43,IF(L615="F-15",2,IF(L615="F-30",3,IF(L615="F-60",4,IF(L615="F-90",5,IF(L615="F-120",6,IF(L615="F-150",7,0)))))),0),0)+IF(AND(O615="FIRE TEX 5090",E615="CJ",J615=3),VLOOKUP(_xlfn.MINIFS('FIRE TEX 5090'!$R$5:$R$30,'FIRE TEX 5090'!$R$5:$R$30,"&gt;="&amp;M615),'FIRE TEX 5090'!$R$5:$W$30,IF(L615="F-15",2,IF(L615="F-30",3,IF(L615="F-60",4,IF(L615="F-90",5,IF(L615="F-120",6,IF(L615="F-150",7,0)))))),0),0)+IF(AND(O615="FIRE TEX 5090",E615="CJ",J615=4),VLOOKUP(_xlfn.MINIFS('FIRE TEX 5090'!$Y$5:$Y$39,'FIRE TEX 5090'!$Y$5:$Y$39,"&gt;="&amp;M615),'FIRE TEX 5090'!$Y$5:$AD$39,IF(L615="F-15",2,IF(L615="F-30",3,IF(L615="F-60",4,IF(L615="F-90",5,IF(L615="F-120",6,IF(L615="F-150",7,0)))))),0),0)+IF(AND(O615="FIRE TEX 5120",OR(E615="IN",E615="C",E615="Z",E615="L"),J615=3),VLOOKUP(_xlfn.MINIFS('FIRE TEX 5120'!$B$5:$B$40,'FIRE TEX 5120'!$B$5:$B$40,"&gt;="&amp;M615),'FIRE TEX 5120'!$B$5:$G$40,IF(L615="F-15",2,IF(L615="F-30",3,IF(L615="F-60",4,IF(L615="F-90",5,IF(L615="F-120",6,0))))),0),0)+IF(AND(O615="FIRE TEX 5120",OR(E615="IN",E615="C",E615="Z",E615="L"),J615=4),VLOOKUP(_xlfn.MINIFS('FIRE TEX 5120'!$H$4:$H$40,'FIRE TEX 5120'!$H$4:$H$40,"&gt;="&amp;M615),'FIRE TEX 5120'!$H$4:$M$40,IF(L615="F-15",2,IF(L615="F-30",3,IF(L615="F-60",4,IF(L615="F-90",5,IF(L615="F-120",6,0))))),0),0)+IF(AND(O615="FIRE TEX 5120",E615="CJ"),VLOOKUP(_xlfn.MINIFS('FIRE TEX 5120'!$O$5:$O$40,'FIRE TEX 5120'!$O$5:$O$40,"&gt;="&amp;M615),'FIRE TEX 5120'!$O$5:$T$40,IF(L615="F-15",2,IF(L615="F-30",3,IF(L615="F-60",4,IF(L615="F-90",5,IF(L615="F-120",6,0))))),0),0)</f>
        <v>0</v>
      </c>
      <c r="Q615" s="46">
        <f t="shared" si="64"/>
        <v>0</v>
      </c>
      <c r="R615" s="46">
        <f t="shared" si="65"/>
        <v>0</v>
      </c>
      <c r="S615" s="46" t="e">
        <f t="shared" si="66"/>
        <v>#VALUE!</v>
      </c>
      <c r="T615" s="677">
        <f t="shared" si="67"/>
        <v>0</v>
      </c>
      <c r="U615" s="80">
        <f>(IF(O615="Stofire",(S615*#REF!),0))+(IF(O615="Fire Control",(S615*$U$2),0))+(IF(O615="Fire Tex",(S615*$U$3),0))+(IF(O615="WB7",(S615*#REF!),0)+(IF(O615="FX 2003",(S615*$U$5),0)))</f>
        <v>0</v>
      </c>
      <c r="V615" s="651">
        <f t="shared" si="68"/>
        <v>0</v>
      </c>
    </row>
    <row r="616" spans="4:22" x14ac:dyDescent="0.25">
      <c r="D616" s="118">
        <f>+CUBICACION!D615</f>
        <v>0</v>
      </c>
      <c r="E616" s="118">
        <f>+CUBICACION!F615</f>
        <v>0</v>
      </c>
      <c r="F616" s="118">
        <f>+CUBICACION!E615</f>
        <v>0</v>
      </c>
      <c r="G616" s="118">
        <v>12</v>
      </c>
      <c r="H616" s="118">
        <v>2</v>
      </c>
      <c r="I616" s="820">
        <v>26385</v>
      </c>
      <c r="J616" s="118">
        <f>+CUBICACION!J615</f>
        <v>0</v>
      </c>
      <c r="K616" s="118">
        <v>3395</v>
      </c>
      <c r="L616" s="118">
        <f>+CUBICACION!L615</f>
        <v>0</v>
      </c>
      <c r="M616" s="64">
        <f>+CUBICACION!M615</f>
        <v>0</v>
      </c>
      <c r="N616" s="824" t="str">
        <f>+CUBICACION!N615</f>
        <v/>
      </c>
      <c r="O616" s="675">
        <f>+CUBICACION!O615</f>
        <v>0</v>
      </c>
      <c r="P616" s="15">
        <f>IF(O616="Fire Control",VLOOKUP(_xlfn.MINIFS('FIRE CONTROL'!$C$4:$C$37,'FIRE CONTROL'!$C$4:$C$37,"&gt;="&amp;M616),'FIRE CONTROL'!$C$4:$G$37,IF(L616="F-15",2,IF(L616="F-30",3,IF(L616="F-60",4,IF(L616="F-90",5,0)))),0),0)+IF(AND(O616="FIRE TEX 5062",OR(E616="IN",E616="C",E616="Z",E616="L"),J616=3),VLOOKUP(_xlfn.MINIFS('FIRE TEX 5062'!$B$4:$B$34,'FIRE TEX 5062'!$B$4:$B$34,"&gt;="&amp;M616),'FIRE TEX 5062'!$B$4:$F$34,IF(L616="F-15",2,IF(L616="F-30",3,IF(L616="F-60",4,IF(L616="F-90",5,0)))),0),0)+IF(AND(O616="FIRE TEX 5062",OR(E616="IN",E616="C",E616="Z",E616="L"),J616=4),VLOOKUP(_xlfn.MINIFS('FIRE TEX 5062'!$G$4:$G$34,'FIRE TEX 5062'!$G$4:$G$34,"&gt;="&amp;M616),'FIRE TEX 5062'!$G$4:$K$34,IF(L616="F-15",2,IF(L616="F-30",3,IF(L616="F-60",4,IF(L616="F-90",5,0)))),0),0)+IF(AND(O616="FIRE TEX 5062",E616="CJ",J616=3),VLOOKUP(_xlfn.MINIFS('FIRE TEX 5062'!$L$4:$L$34,'FIRE TEX 5062'!$L$4:$L$34,"&gt;="&amp;M616),'FIRE TEX 5062'!$L$4:$P$34,IF(L616="F-15",2,IF(L616="F-30",3,IF(L616="F-60",4,IF(L616="F-90",5,0)))),0),0)+IF(AND(O616="FIRE TEX 5062",E616="CJ",J616=4),VLOOKUP(_xlfn.MINIFS('FIRE TEX 5062'!$Q$3:$Q$34,'FIRE TEX 5062'!$Q$3:$Q$34,"&gt;="&amp;M616),'FIRE TEX 5062'!$Q$3:$U$34,IF(L616="F-15",2,IF(L616="F-30",3,IF(L616="F-60",4,IF(L616="F-90",5,0)))),0),0)+IF(AND(O616="FIRE TEX 5090",OR(E616="IN",E616="C",E616="Z",E616="L"),J616=3),VLOOKUP(_xlfn.MINIFS('FIRE TEX 5090'!$B$5:$B$43,'FIRE TEX 5090'!$B$5:$B$43,"&gt;="&amp;M616),'FIRE TEX 5090'!$B$5:$H$43,IF(L616="F-15",2,IF(L616="F-30",3,IF(L616="F-60",4,IF(L616="F-90",5,IF(L616="F-120",6,IF(L616="F-150",7,0)))))),0),0)+IF(AND(O616="FIRE TEX 5090",OR(E616="IN",E616="C",E616="Z",E616="L"),J616=4),VLOOKUP(_xlfn.MINIFS('FIRE TEX 5090'!$J$5:$J$43,'FIRE TEX 5090'!$J$5:$J$43,"&gt;="&amp;M616),'FIRE TEX 5090'!$J$5:$P$43,IF(L616="F-15",2,IF(L616="F-30",3,IF(L616="F-60",4,IF(L616="F-90",5,IF(L616="F-120",6,IF(L616="F-150",7,0)))))),0),0)+IF(AND(O616="FIRE TEX 5090",E616="CJ",J616=3),VLOOKUP(_xlfn.MINIFS('FIRE TEX 5090'!$R$5:$R$30,'FIRE TEX 5090'!$R$5:$R$30,"&gt;="&amp;M616),'FIRE TEX 5090'!$R$5:$W$30,IF(L616="F-15",2,IF(L616="F-30",3,IF(L616="F-60",4,IF(L616="F-90",5,IF(L616="F-120",6,IF(L616="F-150",7,0)))))),0),0)+IF(AND(O616="FIRE TEX 5090",E616="CJ",J616=4),VLOOKUP(_xlfn.MINIFS('FIRE TEX 5090'!$Y$5:$Y$39,'FIRE TEX 5090'!$Y$5:$Y$39,"&gt;="&amp;M616),'FIRE TEX 5090'!$Y$5:$AD$39,IF(L616="F-15",2,IF(L616="F-30",3,IF(L616="F-60",4,IF(L616="F-90",5,IF(L616="F-120",6,IF(L616="F-150",7,0)))))),0),0)+IF(AND(O616="FIRE TEX 5120",OR(E616="IN",E616="C",E616="Z",E616="L"),J616=3),VLOOKUP(_xlfn.MINIFS('FIRE TEX 5120'!$B$5:$B$40,'FIRE TEX 5120'!$B$5:$B$40,"&gt;="&amp;M616),'FIRE TEX 5120'!$B$5:$G$40,IF(L616="F-15",2,IF(L616="F-30",3,IF(L616="F-60",4,IF(L616="F-90",5,IF(L616="F-120",6,0))))),0),0)+IF(AND(O616="FIRE TEX 5120",OR(E616="IN",E616="C",E616="Z",E616="L"),J616=4),VLOOKUP(_xlfn.MINIFS('FIRE TEX 5120'!$H$4:$H$40,'FIRE TEX 5120'!$H$4:$H$40,"&gt;="&amp;M616),'FIRE TEX 5120'!$H$4:$M$40,IF(L616="F-15",2,IF(L616="F-30",3,IF(L616="F-60",4,IF(L616="F-90",5,IF(L616="F-120",6,0))))),0),0)+IF(AND(O616="FIRE TEX 5120",E616="CJ"),VLOOKUP(_xlfn.MINIFS('FIRE TEX 5120'!$O$5:$O$40,'FIRE TEX 5120'!$O$5:$O$40,"&gt;="&amp;M616),'FIRE TEX 5120'!$O$5:$T$40,IF(L616="F-15",2,IF(L616="F-30",3,IF(L616="F-60",4,IF(L616="F-90",5,IF(L616="F-120",6,0))))),0),0)</f>
        <v>0</v>
      </c>
      <c r="Q616" s="46">
        <f t="shared" si="64"/>
        <v>0</v>
      </c>
      <c r="R616" s="46">
        <f t="shared" si="65"/>
        <v>0</v>
      </c>
      <c r="S616" s="46" t="e">
        <f t="shared" si="66"/>
        <v>#VALUE!</v>
      </c>
      <c r="T616" s="677">
        <f t="shared" si="67"/>
        <v>0</v>
      </c>
      <c r="U616" s="80">
        <f>(IF(O616="Stofire",(S616*#REF!),0))+(IF(O616="Fire Control",(S616*$U$2),0))+(IF(O616="Fire Tex",(S616*$U$3),0))+(IF(O616="WB7",(S616*#REF!),0)+(IF(O616="FX 2003",(S616*$U$5),0)))</f>
        <v>0</v>
      </c>
      <c r="V616" s="651">
        <f t="shared" si="68"/>
        <v>0</v>
      </c>
    </row>
    <row r="617" spans="4:22" x14ac:dyDescent="0.25">
      <c r="D617" s="118">
        <f>+CUBICACION!D616</f>
        <v>0</v>
      </c>
      <c r="E617" s="118">
        <f>+CUBICACION!F616</f>
        <v>0</v>
      </c>
      <c r="F617" s="118">
        <f>+CUBICACION!E616</f>
        <v>0</v>
      </c>
      <c r="G617" s="118">
        <v>12</v>
      </c>
      <c r="H617" s="118">
        <v>2</v>
      </c>
      <c r="I617" s="820">
        <v>26385</v>
      </c>
      <c r="J617" s="118">
        <f>+CUBICACION!J616</f>
        <v>0</v>
      </c>
      <c r="K617" s="118">
        <v>3396</v>
      </c>
      <c r="L617" s="118">
        <f>+CUBICACION!L616</f>
        <v>0</v>
      </c>
      <c r="M617" s="64">
        <f>+CUBICACION!M616</f>
        <v>0</v>
      </c>
      <c r="N617" s="824" t="str">
        <f>+CUBICACION!N616</f>
        <v/>
      </c>
      <c r="O617" s="675">
        <f>+CUBICACION!O616</f>
        <v>0</v>
      </c>
      <c r="P617" s="15">
        <f>IF(O617="Fire Control",VLOOKUP(_xlfn.MINIFS('FIRE CONTROL'!$C$4:$C$37,'FIRE CONTROL'!$C$4:$C$37,"&gt;="&amp;M617),'FIRE CONTROL'!$C$4:$G$37,IF(L617="F-15",2,IF(L617="F-30",3,IF(L617="F-60",4,IF(L617="F-90",5,0)))),0),0)+IF(AND(O617="FIRE TEX 5062",OR(E617="IN",E617="C",E617="Z",E617="L"),J617=3),VLOOKUP(_xlfn.MINIFS('FIRE TEX 5062'!$B$4:$B$34,'FIRE TEX 5062'!$B$4:$B$34,"&gt;="&amp;M617),'FIRE TEX 5062'!$B$4:$F$34,IF(L617="F-15",2,IF(L617="F-30",3,IF(L617="F-60",4,IF(L617="F-90",5,0)))),0),0)+IF(AND(O617="FIRE TEX 5062",OR(E617="IN",E617="C",E617="Z",E617="L"),J617=4),VLOOKUP(_xlfn.MINIFS('FIRE TEX 5062'!$G$4:$G$34,'FIRE TEX 5062'!$G$4:$G$34,"&gt;="&amp;M617),'FIRE TEX 5062'!$G$4:$K$34,IF(L617="F-15",2,IF(L617="F-30",3,IF(L617="F-60",4,IF(L617="F-90",5,0)))),0),0)+IF(AND(O617="FIRE TEX 5062",E617="CJ",J617=3),VLOOKUP(_xlfn.MINIFS('FIRE TEX 5062'!$L$4:$L$34,'FIRE TEX 5062'!$L$4:$L$34,"&gt;="&amp;M617),'FIRE TEX 5062'!$L$4:$P$34,IF(L617="F-15",2,IF(L617="F-30",3,IF(L617="F-60",4,IF(L617="F-90",5,0)))),0),0)+IF(AND(O617="FIRE TEX 5062",E617="CJ",J617=4),VLOOKUP(_xlfn.MINIFS('FIRE TEX 5062'!$Q$3:$Q$34,'FIRE TEX 5062'!$Q$3:$Q$34,"&gt;="&amp;M617),'FIRE TEX 5062'!$Q$3:$U$34,IF(L617="F-15",2,IF(L617="F-30",3,IF(L617="F-60",4,IF(L617="F-90",5,0)))),0),0)+IF(AND(O617="FIRE TEX 5090",OR(E617="IN",E617="C",E617="Z",E617="L"),J617=3),VLOOKUP(_xlfn.MINIFS('FIRE TEX 5090'!$B$5:$B$43,'FIRE TEX 5090'!$B$5:$B$43,"&gt;="&amp;M617),'FIRE TEX 5090'!$B$5:$H$43,IF(L617="F-15",2,IF(L617="F-30",3,IF(L617="F-60",4,IF(L617="F-90",5,IF(L617="F-120",6,IF(L617="F-150",7,0)))))),0),0)+IF(AND(O617="FIRE TEX 5090",OR(E617="IN",E617="C",E617="Z",E617="L"),J617=4),VLOOKUP(_xlfn.MINIFS('FIRE TEX 5090'!$J$5:$J$43,'FIRE TEX 5090'!$J$5:$J$43,"&gt;="&amp;M617),'FIRE TEX 5090'!$J$5:$P$43,IF(L617="F-15",2,IF(L617="F-30",3,IF(L617="F-60",4,IF(L617="F-90",5,IF(L617="F-120",6,IF(L617="F-150",7,0)))))),0),0)+IF(AND(O617="FIRE TEX 5090",E617="CJ",J617=3),VLOOKUP(_xlfn.MINIFS('FIRE TEX 5090'!$R$5:$R$30,'FIRE TEX 5090'!$R$5:$R$30,"&gt;="&amp;M617),'FIRE TEX 5090'!$R$5:$W$30,IF(L617="F-15",2,IF(L617="F-30",3,IF(L617="F-60",4,IF(L617="F-90",5,IF(L617="F-120",6,IF(L617="F-150",7,0)))))),0),0)+IF(AND(O617="FIRE TEX 5090",E617="CJ",J617=4),VLOOKUP(_xlfn.MINIFS('FIRE TEX 5090'!$Y$5:$Y$39,'FIRE TEX 5090'!$Y$5:$Y$39,"&gt;="&amp;M617),'FIRE TEX 5090'!$Y$5:$AD$39,IF(L617="F-15",2,IF(L617="F-30",3,IF(L617="F-60",4,IF(L617="F-90",5,IF(L617="F-120",6,IF(L617="F-150",7,0)))))),0),0)+IF(AND(O617="FIRE TEX 5120",OR(E617="IN",E617="C",E617="Z",E617="L"),J617=3),VLOOKUP(_xlfn.MINIFS('FIRE TEX 5120'!$B$5:$B$40,'FIRE TEX 5120'!$B$5:$B$40,"&gt;="&amp;M617),'FIRE TEX 5120'!$B$5:$G$40,IF(L617="F-15",2,IF(L617="F-30",3,IF(L617="F-60",4,IF(L617="F-90",5,IF(L617="F-120",6,0))))),0),0)+IF(AND(O617="FIRE TEX 5120",OR(E617="IN",E617="C",E617="Z",E617="L"),J617=4),VLOOKUP(_xlfn.MINIFS('FIRE TEX 5120'!$H$4:$H$40,'FIRE TEX 5120'!$H$4:$H$40,"&gt;="&amp;M617),'FIRE TEX 5120'!$H$4:$M$40,IF(L617="F-15",2,IF(L617="F-30",3,IF(L617="F-60",4,IF(L617="F-90",5,IF(L617="F-120",6,0))))),0),0)+IF(AND(O617="FIRE TEX 5120",E617="CJ"),VLOOKUP(_xlfn.MINIFS('FIRE TEX 5120'!$O$5:$O$40,'FIRE TEX 5120'!$O$5:$O$40,"&gt;="&amp;M617),'FIRE TEX 5120'!$O$5:$T$40,IF(L617="F-15",2,IF(L617="F-30",3,IF(L617="F-60",4,IF(L617="F-90",5,IF(L617="F-120",6,0))))),0),0)</f>
        <v>0</v>
      </c>
      <c r="Q617" s="46">
        <f t="shared" si="64"/>
        <v>0</v>
      </c>
      <c r="R617" s="46">
        <f t="shared" si="65"/>
        <v>0</v>
      </c>
      <c r="S617" s="46" t="e">
        <f t="shared" si="66"/>
        <v>#VALUE!</v>
      </c>
      <c r="T617" s="677">
        <f t="shared" si="67"/>
        <v>0</v>
      </c>
      <c r="U617" s="80">
        <f>(IF(O617="Stofire",(S617*#REF!),0))+(IF(O617="Fire Control",(S617*$U$2),0))+(IF(O617="Fire Tex",(S617*$U$3),0))+(IF(O617="WB7",(S617*#REF!),0)+(IF(O617="FX 2003",(S617*$U$5),0)))</f>
        <v>0</v>
      </c>
      <c r="V617" s="651">
        <f t="shared" si="68"/>
        <v>0</v>
      </c>
    </row>
    <row r="618" spans="4:22" x14ac:dyDescent="0.25">
      <c r="D618" s="118">
        <f>+CUBICACION!D617</f>
        <v>0</v>
      </c>
      <c r="E618" s="118">
        <f>+CUBICACION!F617</f>
        <v>0</v>
      </c>
      <c r="F618" s="118">
        <f>+CUBICACION!E617</f>
        <v>0</v>
      </c>
      <c r="G618" s="118">
        <v>12</v>
      </c>
      <c r="H618" s="118">
        <v>2</v>
      </c>
      <c r="I618" s="820">
        <v>26385</v>
      </c>
      <c r="J618" s="118">
        <f>+CUBICACION!J617</f>
        <v>0</v>
      </c>
      <c r="K618" s="118">
        <v>3397</v>
      </c>
      <c r="L618" s="118">
        <f>+CUBICACION!L617</f>
        <v>0</v>
      </c>
      <c r="M618" s="64">
        <f>+CUBICACION!M617</f>
        <v>0</v>
      </c>
      <c r="N618" s="824" t="str">
        <f>+CUBICACION!N617</f>
        <v/>
      </c>
      <c r="O618" s="675">
        <f>+CUBICACION!O617</f>
        <v>0</v>
      </c>
      <c r="P618" s="15">
        <f>IF(O618="Fire Control",VLOOKUP(_xlfn.MINIFS('FIRE CONTROL'!$C$4:$C$37,'FIRE CONTROL'!$C$4:$C$37,"&gt;="&amp;M618),'FIRE CONTROL'!$C$4:$G$37,IF(L618="F-15",2,IF(L618="F-30",3,IF(L618="F-60",4,IF(L618="F-90",5,0)))),0),0)+IF(AND(O618="FIRE TEX 5062",OR(E618="IN",E618="C",E618="Z",E618="L"),J618=3),VLOOKUP(_xlfn.MINIFS('FIRE TEX 5062'!$B$4:$B$34,'FIRE TEX 5062'!$B$4:$B$34,"&gt;="&amp;M618),'FIRE TEX 5062'!$B$4:$F$34,IF(L618="F-15",2,IF(L618="F-30",3,IF(L618="F-60",4,IF(L618="F-90",5,0)))),0),0)+IF(AND(O618="FIRE TEX 5062",OR(E618="IN",E618="C",E618="Z",E618="L"),J618=4),VLOOKUP(_xlfn.MINIFS('FIRE TEX 5062'!$G$4:$G$34,'FIRE TEX 5062'!$G$4:$G$34,"&gt;="&amp;M618),'FIRE TEX 5062'!$G$4:$K$34,IF(L618="F-15",2,IF(L618="F-30",3,IF(L618="F-60",4,IF(L618="F-90",5,0)))),0),0)+IF(AND(O618="FIRE TEX 5062",E618="CJ",J618=3),VLOOKUP(_xlfn.MINIFS('FIRE TEX 5062'!$L$4:$L$34,'FIRE TEX 5062'!$L$4:$L$34,"&gt;="&amp;M618),'FIRE TEX 5062'!$L$4:$P$34,IF(L618="F-15",2,IF(L618="F-30",3,IF(L618="F-60",4,IF(L618="F-90",5,0)))),0),0)+IF(AND(O618="FIRE TEX 5062",E618="CJ",J618=4),VLOOKUP(_xlfn.MINIFS('FIRE TEX 5062'!$Q$3:$Q$34,'FIRE TEX 5062'!$Q$3:$Q$34,"&gt;="&amp;M618),'FIRE TEX 5062'!$Q$3:$U$34,IF(L618="F-15",2,IF(L618="F-30",3,IF(L618="F-60",4,IF(L618="F-90",5,0)))),0),0)+IF(AND(O618="FIRE TEX 5090",OR(E618="IN",E618="C",E618="Z",E618="L"),J618=3),VLOOKUP(_xlfn.MINIFS('FIRE TEX 5090'!$B$5:$B$43,'FIRE TEX 5090'!$B$5:$B$43,"&gt;="&amp;M618),'FIRE TEX 5090'!$B$5:$H$43,IF(L618="F-15",2,IF(L618="F-30",3,IF(L618="F-60",4,IF(L618="F-90",5,IF(L618="F-120",6,IF(L618="F-150",7,0)))))),0),0)+IF(AND(O618="FIRE TEX 5090",OR(E618="IN",E618="C",E618="Z",E618="L"),J618=4),VLOOKUP(_xlfn.MINIFS('FIRE TEX 5090'!$J$5:$J$43,'FIRE TEX 5090'!$J$5:$J$43,"&gt;="&amp;M618),'FIRE TEX 5090'!$J$5:$P$43,IF(L618="F-15",2,IF(L618="F-30",3,IF(L618="F-60",4,IF(L618="F-90",5,IF(L618="F-120",6,IF(L618="F-150",7,0)))))),0),0)+IF(AND(O618="FIRE TEX 5090",E618="CJ",J618=3),VLOOKUP(_xlfn.MINIFS('FIRE TEX 5090'!$R$5:$R$30,'FIRE TEX 5090'!$R$5:$R$30,"&gt;="&amp;M618),'FIRE TEX 5090'!$R$5:$W$30,IF(L618="F-15",2,IF(L618="F-30",3,IF(L618="F-60",4,IF(L618="F-90",5,IF(L618="F-120",6,IF(L618="F-150",7,0)))))),0),0)+IF(AND(O618="FIRE TEX 5090",E618="CJ",J618=4),VLOOKUP(_xlfn.MINIFS('FIRE TEX 5090'!$Y$5:$Y$39,'FIRE TEX 5090'!$Y$5:$Y$39,"&gt;="&amp;M618),'FIRE TEX 5090'!$Y$5:$AD$39,IF(L618="F-15",2,IF(L618="F-30",3,IF(L618="F-60",4,IF(L618="F-90",5,IF(L618="F-120",6,IF(L618="F-150",7,0)))))),0),0)+IF(AND(O618="FIRE TEX 5120",OR(E618="IN",E618="C",E618="Z",E618="L"),J618=3),VLOOKUP(_xlfn.MINIFS('FIRE TEX 5120'!$B$5:$B$40,'FIRE TEX 5120'!$B$5:$B$40,"&gt;="&amp;M618),'FIRE TEX 5120'!$B$5:$G$40,IF(L618="F-15",2,IF(L618="F-30",3,IF(L618="F-60",4,IF(L618="F-90",5,IF(L618="F-120",6,0))))),0),0)+IF(AND(O618="FIRE TEX 5120",OR(E618="IN",E618="C",E618="Z",E618="L"),J618=4),VLOOKUP(_xlfn.MINIFS('FIRE TEX 5120'!$H$4:$H$40,'FIRE TEX 5120'!$H$4:$H$40,"&gt;="&amp;M618),'FIRE TEX 5120'!$H$4:$M$40,IF(L618="F-15",2,IF(L618="F-30",3,IF(L618="F-60",4,IF(L618="F-90",5,IF(L618="F-120",6,0))))),0),0)+IF(AND(O618="FIRE TEX 5120",E618="CJ"),VLOOKUP(_xlfn.MINIFS('FIRE TEX 5120'!$O$5:$O$40,'FIRE TEX 5120'!$O$5:$O$40,"&gt;="&amp;M618),'FIRE TEX 5120'!$O$5:$T$40,IF(L618="F-15",2,IF(L618="F-30",3,IF(L618="F-60",4,IF(L618="F-90",5,IF(L618="F-120",6,0))))),0),0)</f>
        <v>0</v>
      </c>
      <c r="Q618" s="46">
        <f t="shared" si="64"/>
        <v>0</v>
      </c>
      <c r="R618" s="46">
        <f t="shared" si="65"/>
        <v>0</v>
      </c>
      <c r="S618" s="46" t="e">
        <f t="shared" si="66"/>
        <v>#VALUE!</v>
      </c>
      <c r="T618" s="677">
        <f t="shared" si="67"/>
        <v>0</v>
      </c>
      <c r="U618" s="80">
        <f>(IF(O618="Stofire",(S618*#REF!),0))+(IF(O618="Fire Control",(S618*$U$2),0))+(IF(O618="Fire Tex",(S618*$U$3),0))+(IF(O618="WB7",(S618*#REF!),0)+(IF(O618="FX 2003",(S618*$U$5),0)))</f>
        <v>0</v>
      </c>
      <c r="V618" s="651">
        <f t="shared" si="68"/>
        <v>0</v>
      </c>
    </row>
    <row r="619" spans="4:22" x14ac:dyDescent="0.25">
      <c r="D619" s="118">
        <f>+CUBICACION!D618</f>
        <v>0</v>
      </c>
      <c r="E619" s="118">
        <f>+CUBICACION!F618</f>
        <v>0</v>
      </c>
      <c r="F619" s="118">
        <f>+CUBICACION!E618</f>
        <v>0</v>
      </c>
      <c r="G619" s="118">
        <v>12</v>
      </c>
      <c r="H619" s="118">
        <v>2</v>
      </c>
      <c r="I619" s="820">
        <v>26385</v>
      </c>
      <c r="J619" s="118">
        <f>+CUBICACION!J618</f>
        <v>0</v>
      </c>
      <c r="K619" s="118">
        <v>3398</v>
      </c>
      <c r="L619" s="118">
        <f>+CUBICACION!L618</f>
        <v>0</v>
      </c>
      <c r="M619" s="64">
        <f>+CUBICACION!M618</f>
        <v>0</v>
      </c>
      <c r="N619" s="824" t="str">
        <f>+CUBICACION!N618</f>
        <v/>
      </c>
      <c r="O619" s="675">
        <f>+CUBICACION!O618</f>
        <v>0</v>
      </c>
      <c r="P619" s="15">
        <f>IF(O619="Fire Control",VLOOKUP(_xlfn.MINIFS('FIRE CONTROL'!$C$4:$C$37,'FIRE CONTROL'!$C$4:$C$37,"&gt;="&amp;M619),'FIRE CONTROL'!$C$4:$G$37,IF(L619="F-15",2,IF(L619="F-30",3,IF(L619="F-60",4,IF(L619="F-90",5,0)))),0),0)+IF(AND(O619="FIRE TEX 5062",OR(E619="IN",E619="C",E619="Z",E619="L"),J619=3),VLOOKUP(_xlfn.MINIFS('FIRE TEX 5062'!$B$4:$B$34,'FIRE TEX 5062'!$B$4:$B$34,"&gt;="&amp;M619),'FIRE TEX 5062'!$B$4:$F$34,IF(L619="F-15",2,IF(L619="F-30",3,IF(L619="F-60",4,IF(L619="F-90",5,0)))),0),0)+IF(AND(O619="FIRE TEX 5062",OR(E619="IN",E619="C",E619="Z",E619="L"),J619=4),VLOOKUP(_xlfn.MINIFS('FIRE TEX 5062'!$G$4:$G$34,'FIRE TEX 5062'!$G$4:$G$34,"&gt;="&amp;M619),'FIRE TEX 5062'!$G$4:$K$34,IF(L619="F-15",2,IF(L619="F-30",3,IF(L619="F-60",4,IF(L619="F-90",5,0)))),0),0)+IF(AND(O619="FIRE TEX 5062",E619="CJ",J619=3),VLOOKUP(_xlfn.MINIFS('FIRE TEX 5062'!$L$4:$L$34,'FIRE TEX 5062'!$L$4:$L$34,"&gt;="&amp;M619),'FIRE TEX 5062'!$L$4:$P$34,IF(L619="F-15",2,IF(L619="F-30",3,IF(L619="F-60",4,IF(L619="F-90",5,0)))),0),0)+IF(AND(O619="FIRE TEX 5062",E619="CJ",J619=4),VLOOKUP(_xlfn.MINIFS('FIRE TEX 5062'!$Q$3:$Q$34,'FIRE TEX 5062'!$Q$3:$Q$34,"&gt;="&amp;M619),'FIRE TEX 5062'!$Q$3:$U$34,IF(L619="F-15",2,IF(L619="F-30",3,IF(L619="F-60",4,IF(L619="F-90",5,0)))),0),0)+IF(AND(O619="FIRE TEX 5090",OR(E619="IN",E619="C",E619="Z",E619="L"),J619=3),VLOOKUP(_xlfn.MINIFS('FIRE TEX 5090'!$B$5:$B$43,'FIRE TEX 5090'!$B$5:$B$43,"&gt;="&amp;M619),'FIRE TEX 5090'!$B$5:$H$43,IF(L619="F-15",2,IF(L619="F-30",3,IF(L619="F-60",4,IF(L619="F-90",5,IF(L619="F-120",6,IF(L619="F-150",7,0)))))),0),0)+IF(AND(O619="FIRE TEX 5090",OR(E619="IN",E619="C",E619="Z",E619="L"),J619=4),VLOOKUP(_xlfn.MINIFS('FIRE TEX 5090'!$J$5:$J$43,'FIRE TEX 5090'!$J$5:$J$43,"&gt;="&amp;M619),'FIRE TEX 5090'!$J$5:$P$43,IF(L619="F-15",2,IF(L619="F-30",3,IF(L619="F-60",4,IF(L619="F-90",5,IF(L619="F-120",6,IF(L619="F-150",7,0)))))),0),0)+IF(AND(O619="FIRE TEX 5090",E619="CJ",J619=3),VLOOKUP(_xlfn.MINIFS('FIRE TEX 5090'!$R$5:$R$30,'FIRE TEX 5090'!$R$5:$R$30,"&gt;="&amp;M619),'FIRE TEX 5090'!$R$5:$W$30,IF(L619="F-15",2,IF(L619="F-30",3,IF(L619="F-60",4,IF(L619="F-90",5,IF(L619="F-120",6,IF(L619="F-150",7,0)))))),0),0)+IF(AND(O619="FIRE TEX 5090",E619="CJ",J619=4),VLOOKUP(_xlfn.MINIFS('FIRE TEX 5090'!$Y$5:$Y$39,'FIRE TEX 5090'!$Y$5:$Y$39,"&gt;="&amp;M619),'FIRE TEX 5090'!$Y$5:$AD$39,IF(L619="F-15",2,IF(L619="F-30",3,IF(L619="F-60",4,IF(L619="F-90",5,IF(L619="F-120",6,IF(L619="F-150",7,0)))))),0),0)+IF(AND(O619="FIRE TEX 5120",OR(E619="IN",E619="C",E619="Z",E619="L"),J619=3),VLOOKUP(_xlfn.MINIFS('FIRE TEX 5120'!$B$5:$B$40,'FIRE TEX 5120'!$B$5:$B$40,"&gt;="&amp;M619),'FIRE TEX 5120'!$B$5:$G$40,IF(L619="F-15",2,IF(L619="F-30",3,IF(L619="F-60",4,IF(L619="F-90",5,IF(L619="F-120",6,0))))),0),0)+IF(AND(O619="FIRE TEX 5120",OR(E619="IN",E619="C",E619="Z",E619="L"),J619=4),VLOOKUP(_xlfn.MINIFS('FIRE TEX 5120'!$H$4:$H$40,'FIRE TEX 5120'!$H$4:$H$40,"&gt;="&amp;M619),'FIRE TEX 5120'!$H$4:$M$40,IF(L619="F-15",2,IF(L619="F-30",3,IF(L619="F-60",4,IF(L619="F-90",5,IF(L619="F-120",6,0))))),0),0)+IF(AND(O619="FIRE TEX 5120",E619="CJ"),VLOOKUP(_xlfn.MINIFS('FIRE TEX 5120'!$O$5:$O$40,'FIRE TEX 5120'!$O$5:$O$40,"&gt;="&amp;M619),'FIRE TEX 5120'!$O$5:$T$40,IF(L619="F-15",2,IF(L619="F-30",3,IF(L619="F-60",4,IF(L619="F-90",5,IF(L619="F-120",6,0))))),0),0)</f>
        <v>0</v>
      </c>
      <c r="Q619" s="46">
        <f t="shared" si="64"/>
        <v>0</v>
      </c>
      <c r="R619" s="46">
        <f t="shared" si="65"/>
        <v>0</v>
      </c>
      <c r="S619" s="46" t="e">
        <f t="shared" si="66"/>
        <v>#VALUE!</v>
      </c>
      <c r="T619" s="677">
        <f t="shared" si="67"/>
        <v>0</v>
      </c>
      <c r="U619" s="80">
        <f>(IF(O619="Stofire",(S619*#REF!),0))+(IF(O619="Fire Control",(S619*$U$2),0))+(IF(O619="Fire Tex",(S619*$U$3),0))+(IF(O619="WB7",(S619*#REF!),0)+(IF(O619="FX 2003",(S619*$U$5),0)))</f>
        <v>0</v>
      </c>
      <c r="V619" s="651">
        <f t="shared" si="68"/>
        <v>0</v>
      </c>
    </row>
    <row r="620" spans="4:22" x14ac:dyDescent="0.25">
      <c r="D620" s="118">
        <f>+CUBICACION!D619</f>
        <v>0</v>
      </c>
      <c r="E620" s="118">
        <f>+CUBICACION!F619</f>
        <v>0</v>
      </c>
      <c r="F620" s="118">
        <f>+CUBICACION!E619</f>
        <v>0</v>
      </c>
      <c r="G620" s="118">
        <v>12</v>
      </c>
      <c r="H620" s="118">
        <v>2</v>
      </c>
      <c r="I620" s="820">
        <v>26385</v>
      </c>
      <c r="J620" s="118">
        <f>+CUBICACION!J619</f>
        <v>0</v>
      </c>
      <c r="K620" s="118">
        <v>3399</v>
      </c>
      <c r="L620" s="118">
        <f>+CUBICACION!L619</f>
        <v>0</v>
      </c>
      <c r="M620" s="64">
        <f>+CUBICACION!M619</f>
        <v>0</v>
      </c>
      <c r="N620" s="824" t="str">
        <f>+CUBICACION!N619</f>
        <v/>
      </c>
      <c r="O620" s="675">
        <f>+CUBICACION!O619</f>
        <v>0</v>
      </c>
      <c r="P620" s="15">
        <f>IF(O620="Fire Control",VLOOKUP(_xlfn.MINIFS('FIRE CONTROL'!$C$4:$C$37,'FIRE CONTROL'!$C$4:$C$37,"&gt;="&amp;M620),'FIRE CONTROL'!$C$4:$G$37,IF(L620="F-15",2,IF(L620="F-30",3,IF(L620="F-60",4,IF(L620="F-90",5,0)))),0),0)+IF(AND(O620="FIRE TEX 5062",OR(E620="IN",E620="C",E620="Z",E620="L"),J620=3),VLOOKUP(_xlfn.MINIFS('FIRE TEX 5062'!$B$4:$B$34,'FIRE TEX 5062'!$B$4:$B$34,"&gt;="&amp;M620),'FIRE TEX 5062'!$B$4:$F$34,IF(L620="F-15",2,IF(L620="F-30",3,IF(L620="F-60",4,IF(L620="F-90",5,0)))),0),0)+IF(AND(O620="FIRE TEX 5062",OR(E620="IN",E620="C",E620="Z",E620="L"),J620=4),VLOOKUP(_xlfn.MINIFS('FIRE TEX 5062'!$G$4:$G$34,'FIRE TEX 5062'!$G$4:$G$34,"&gt;="&amp;M620),'FIRE TEX 5062'!$G$4:$K$34,IF(L620="F-15",2,IF(L620="F-30",3,IF(L620="F-60",4,IF(L620="F-90",5,0)))),0),0)+IF(AND(O620="FIRE TEX 5062",E620="CJ",J620=3),VLOOKUP(_xlfn.MINIFS('FIRE TEX 5062'!$L$4:$L$34,'FIRE TEX 5062'!$L$4:$L$34,"&gt;="&amp;M620),'FIRE TEX 5062'!$L$4:$P$34,IF(L620="F-15",2,IF(L620="F-30",3,IF(L620="F-60",4,IF(L620="F-90",5,0)))),0),0)+IF(AND(O620="FIRE TEX 5062",E620="CJ",J620=4),VLOOKUP(_xlfn.MINIFS('FIRE TEX 5062'!$Q$3:$Q$34,'FIRE TEX 5062'!$Q$3:$Q$34,"&gt;="&amp;M620),'FIRE TEX 5062'!$Q$3:$U$34,IF(L620="F-15",2,IF(L620="F-30",3,IF(L620="F-60",4,IF(L620="F-90",5,0)))),0),0)+IF(AND(O620="FIRE TEX 5090",OR(E620="IN",E620="C",E620="Z",E620="L"),J620=3),VLOOKUP(_xlfn.MINIFS('FIRE TEX 5090'!$B$5:$B$43,'FIRE TEX 5090'!$B$5:$B$43,"&gt;="&amp;M620),'FIRE TEX 5090'!$B$5:$H$43,IF(L620="F-15",2,IF(L620="F-30",3,IF(L620="F-60",4,IF(L620="F-90",5,IF(L620="F-120",6,IF(L620="F-150",7,0)))))),0),0)+IF(AND(O620="FIRE TEX 5090",OR(E620="IN",E620="C",E620="Z",E620="L"),J620=4),VLOOKUP(_xlfn.MINIFS('FIRE TEX 5090'!$J$5:$J$43,'FIRE TEX 5090'!$J$5:$J$43,"&gt;="&amp;M620),'FIRE TEX 5090'!$J$5:$P$43,IF(L620="F-15",2,IF(L620="F-30",3,IF(L620="F-60",4,IF(L620="F-90",5,IF(L620="F-120",6,IF(L620="F-150",7,0)))))),0),0)+IF(AND(O620="FIRE TEX 5090",E620="CJ",J620=3),VLOOKUP(_xlfn.MINIFS('FIRE TEX 5090'!$R$5:$R$30,'FIRE TEX 5090'!$R$5:$R$30,"&gt;="&amp;M620),'FIRE TEX 5090'!$R$5:$W$30,IF(L620="F-15",2,IF(L620="F-30",3,IF(L620="F-60",4,IF(L620="F-90",5,IF(L620="F-120",6,IF(L620="F-150",7,0)))))),0),0)+IF(AND(O620="FIRE TEX 5090",E620="CJ",J620=4),VLOOKUP(_xlfn.MINIFS('FIRE TEX 5090'!$Y$5:$Y$39,'FIRE TEX 5090'!$Y$5:$Y$39,"&gt;="&amp;M620),'FIRE TEX 5090'!$Y$5:$AD$39,IF(L620="F-15",2,IF(L620="F-30",3,IF(L620="F-60",4,IF(L620="F-90",5,IF(L620="F-120",6,IF(L620="F-150",7,0)))))),0),0)+IF(AND(O620="FIRE TEX 5120",OR(E620="IN",E620="C",E620="Z",E620="L"),J620=3),VLOOKUP(_xlfn.MINIFS('FIRE TEX 5120'!$B$5:$B$40,'FIRE TEX 5120'!$B$5:$B$40,"&gt;="&amp;M620),'FIRE TEX 5120'!$B$5:$G$40,IF(L620="F-15",2,IF(L620="F-30",3,IF(L620="F-60",4,IF(L620="F-90",5,IF(L620="F-120",6,0))))),0),0)+IF(AND(O620="FIRE TEX 5120",OR(E620="IN",E620="C",E620="Z",E620="L"),J620=4),VLOOKUP(_xlfn.MINIFS('FIRE TEX 5120'!$H$4:$H$40,'FIRE TEX 5120'!$H$4:$H$40,"&gt;="&amp;M620),'FIRE TEX 5120'!$H$4:$M$40,IF(L620="F-15",2,IF(L620="F-30",3,IF(L620="F-60",4,IF(L620="F-90",5,IF(L620="F-120",6,0))))),0),0)+IF(AND(O620="FIRE TEX 5120",E620="CJ"),VLOOKUP(_xlfn.MINIFS('FIRE TEX 5120'!$O$5:$O$40,'FIRE TEX 5120'!$O$5:$O$40,"&gt;="&amp;M620),'FIRE TEX 5120'!$O$5:$T$40,IF(L620="F-15",2,IF(L620="F-30",3,IF(L620="F-60",4,IF(L620="F-90",5,IF(L620="F-120",6,0))))),0),0)</f>
        <v>0</v>
      </c>
      <c r="Q620" s="46">
        <f t="shared" si="64"/>
        <v>0</v>
      </c>
      <c r="R620" s="46">
        <f t="shared" si="65"/>
        <v>0</v>
      </c>
      <c r="S620" s="46" t="e">
        <f t="shared" si="66"/>
        <v>#VALUE!</v>
      </c>
      <c r="T620" s="677">
        <f t="shared" si="67"/>
        <v>0</v>
      </c>
      <c r="U620" s="80">
        <f>(IF(O620="Stofire",(S620*#REF!),0))+(IF(O620="Fire Control",(S620*$U$2),0))+(IF(O620="Fire Tex",(S620*$U$3),0))+(IF(O620="WB7",(S620*#REF!),0)+(IF(O620="FX 2003",(S620*$U$5),0)))</f>
        <v>0</v>
      </c>
      <c r="V620" s="651">
        <f t="shared" si="68"/>
        <v>0</v>
      </c>
    </row>
    <row r="621" spans="4:22" x14ac:dyDescent="0.25">
      <c r="D621" s="118">
        <f>+CUBICACION!D620</f>
        <v>0</v>
      </c>
      <c r="E621" s="118">
        <f>+CUBICACION!F620</f>
        <v>0</v>
      </c>
      <c r="F621" s="118">
        <f>+CUBICACION!E620</f>
        <v>0</v>
      </c>
      <c r="G621" s="118">
        <v>12</v>
      </c>
      <c r="H621" s="118">
        <v>2</v>
      </c>
      <c r="I621" s="820">
        <v>26385</v>
      </c>
      <c r="J621" s="118">
        <f>+CUBICACION!J620</f>
        <v>0</v>
      </c>
      <c r="K621" s="118">
        <v>3400</v>
      </c>
      <c r="L621" s="118">
        <f>+CUBICACION!L620</f>
        <v>0</v>
      </c>
      <c r="M621" s="64">
        <f>+CUBICACION!M620</f>
        <v>0</v>
      </c>
      <c r="N621" s="824" t="str">
        <f>+CUBICACION!N620</f>
        <v/>
      </c>
      <c r="O621" s="675">
        <f>+CUBICACION!O620</f>
        <v>0</v>
      </c>
      <c r="P621" s="15">
        <f>IF(O621="Fire Control",VLOOKUP(_xlfn.MINIFS('FIRE CONTROL'!$C$4:$C$37,'FIRE CONTROL'!$C$4:$C$37,"&gt;="&amp;M621),'FIRE CONTROL'!$C$4:$G$37,IF(L621="F-15",2,IF(L621="F-30",3,IF(L621="F-60",4,IF(L621="F-90",5,0)))),0),0)+IF(AND(O621="FIRE TEX 5062",OR(E621="IN",E621="C",E621="Z",E621="L"),J621=3),VLOOKUP(_xlfn.MINIFS('FIRE TEX 5062'!$B$4:$B$34,'FIRE TEX 5062'!$B$4:$B$34,"&gt;="&amp;M621),'FIRE TEX 5062'!$B$4:$F$34,IF(L621="F-15",2,IF(L621="F-30",3,IF(L621="F-60",4,IF(L621="F-90",5,0)))),0),0)+IF(AND(O621="FIRE TEX 5062",OR(E621="IN",E621="C",E621="Z",E621="L"),J621=4),VLOOKUP(_xlfn.MINIFS('FIRE TEX 5062'!$G$4:$G$34,'FIRE TEX 5062'!$G$4:$G$34,"&gt;="&amp;M621),'FIRE TEX 5062'!$G$4:$K$34,IF(L621="F-15",2,IF(L621="F-30",3,IF(L621="F-60",4,IF(L621="F-90",5,0)))),0),0)+IF(AND(O621="FIRE TEX 5062",E621="CJ",J621=3),VLOOKUP(_xlfn.MINIFS('FIRE TEX 5062'!$L$4:$L$34,'FIRE TEX 5062'!$L$4:$L$34,"&gt;="&amp;M621),'FIRE TEX 5062'!$L$4:$P$34,IF(L621="F-15",2,IF(L621="F-30",3,IF(L621="F-60",4,IF(L621="F-90",5,0)))),0),0)+IF(AND(O621="FIRE TEX 5062",E621="CJ",J621=4),VLOOKUP(_xlfn.MINIFS('FIRE TEX 5062'!$Q$3:$Q$34,'FIRE TEX 5062'!$Q$3:$Q$34,"&gt;="&amp;M621),'FIRE TEX 5062'!$Q$3:$U$34,IF(L621="F-15",2,IF(L621="F-30",3,IF(L621="F-60",4,IF(L621="F-90",5,0)))),0),0)+IF(AND(O621="FIRE TEX 5090",OR(E621="IN",E621="C",E621="Z",E621="L"),J621=3),VLOOKUP(_xlfn.MINIFS('FIRE TEX 5090'!$B$5:$B$43,'FIRE TEX 5090'!$B$5:$B$43,"&gt;="&amp;M621),'FIRE TEX 5090'!$B$5:$H$43,IF(L621="F-15",2,IF(L621="F-30",3,IF(L621="F-60",4,IF(L621="F-90",5,IF(L621="F-120",6,IF(L621="F-150",7,0)))))),0),0)+IF(AND(O621="FIRE TEX 5090",OR(E621="IN",E621="C",E621="Z",E621="L"),J621=4),VLOOKUP(_xlfn.MINIFS('FIRE TEX 5090'!$J$5:$J$43,'FIRE TEX 5090'!$J$5:$J$43,"&gt;="&amp;M621),'FIRE TEX 5090'!$J$5:$P$43,IF(L621="F-15",2,IF(L621="F-30",3,IF(L621="F-60",4,IF(L621="F-90",5,IF(L621="F-120",6,IF(L621="F-150",7,0)))))),0),0)+IF(AND(O621="FIRE TEX 5090",E621="CJ",J621=3),VLOOKUP(_xlfn.MINIFS('FIRE TEX 5090'!$R$5:$R$30,'FIRE TEX 5090'!$R$5:$R$30,"&gt;="&amp;M621),'FIRE TEX 5090'!$R$5:$W$30,IF(L621="F-15",2,IF(L621="F-30",3,IF(L621="F-60",4,IF(L621="F-90",5,IF(L621="F-120",6,IF(L621="F-150",7,0)))))),0),0)+IF(AND(O621="FIRE TEX 5090",E621="CJ",J621=4),VLOOKUP(_xlfn.MINIFS('FIRE TEX 5090'!$Y$5:$Y$39,'FIRE TEX 5090'!$Y$5:$Y$39,"&gt;="&amp;M621),'FIRE TEX 5090'!$Y$5:$AD$39,IF(L621="F-15",2,IF(L621="F-30",3,IF(L621="F-60",4,IF(L621="F-90",5,IF(L621="F-120",6,IF(L621="F-150",7,0)))))),0),0)+IF(AND(O621="FIRE TEX 5120",OR(E621="IN",E621="C",E621="Z",E621="L"),J621=3),VLOOKUP(_xlfn.MINIFS('FIRE TEX 5120'!$B$5:$B$40,'FIRE TEX 5120'!$B$5:$B$40,"&gt;="&amp;M621),'FIRE TEX 5120'!$B$5:$G$40,IF(L621="F-15",2,IF(L621="F-30",3,IF(L621="F-60",4,IF(L621="F-90",5,IF(L621="F-120",6,0))))),0),0)+IF(AND(O621="FIRE TEX 5120",OR(E621="IN",E621="C",E621="Z",E621="L"),J621=4),VLOOKUP(_xlfn.MINIFS('FIRE TEX 5120'!$H$4:$H$40,'FIRE TEX 5120'!$H$4:$H$40,"&gt;="&amp;M621),'FIRE TEX 5120'!$H$4:$M$40,IF(L621="F-15",2,IF(L621="F-30",3,IF(L621="F-60",4,IF(L621="F-90",5,IF(L621="F-120",6,0))))),0),0)+IF(AND(O621="FIRE TEX 5120",E621="CJ"),VLOOKUP(_xlfn.MINIFS('FIRE TEX 5120'!$O$5:$O$40,'FIRE TEX 5120'!$O$5:$O$40,"&gt;="&amp;M621),'FIRE TEX 5120'!$O$5:$T$40,IF(L621="F-15",2,IF(L621="F-30",3,IF(L621="F-60",4,IF(L621="F-90",5,IF(L621="F-120",6,0))))),0),0)</f>
        <v>0</v>
      </c>
      <c r="Q621" s="46">
        <f t="shared" ref="Q621:Q684" si="69">IF(P621="","",IF(P621="dar valor","",0.03937*P621))</f>
        <v>0</v>
      </c>
      <c r="R621" s="46">
        <f t="shared" ref="R621:R684" si="70">+(IF(O621="Fire Control",((65*1.5/Q621)*0.75*4),0))+(IF(OR(O621="Fire Tex 5062",O621="Fire Tex 5090",O621="Fire Tex 5120"),((66*1.5/Q621)*0.7*5),0))</f>
        <v>0</v>
      </c>
      <c r="S621" s="46" t="e">
        <f t="shared" ref="S621:S684" si="71">IF(R621="","",+N621/R621)</f>
        <v>#VALUE!</v>
      </c>
      <c r="T621" s="677">
        <f t="shared" ref="T621:T684" si="72">(IF(O621="Stofire",(S621/(7*1)),0))+(IF(O621="Fire Control",(S621/(7*1)),0))+(IF(O621="Fire Tex",(S621/(7*1)),0))+(IF(O621="WB7",(S621/(7*1)),0))+(IF(O621="FX 2003",(S621/(7*1)),0))</f>
        <v>0</v>
      </c>
      <c r="U621" s="80">
        <f>(IF(O621="Stofire",(S621*#REF!),0))+(IF(O621="Fire Control",(S621*$U$2),0))+(IF(O621="Fire Tex",(S621*$U$3),0))+(IF(O621="WB7",(S621*#REF!),0)+(IF(O621="FX 2003",(S621*$U$5),0)))</f>
        <v>0</v>
      </c>
      <c r="V621" s="651">
        <f t="shared" ref="V621:V684" si="73">_xlfn.CEILING.MATH(M621,10)</f>
        <v>0</v>
      </c>
    </row>
    <row r="622" spans="4:22" x14ac:dyDescent="0.25">
      <c r="D622" s="118">
        <f>+CUBICACION!D621</f>
        <v>0</v>
      </c>
      <c r="E622" s="118">
        <f>+CUBICACION!F621</f>
        <v>0</v>
      </c>
      <c r="F622" s="118">
        <f>+CUBICACION!E621</f>
        <v>0</v>
      </c>
      <c r="G622" s="118">
        <v>12</v>
      </c>
      <c r="H622" s="118">
        <v>2</v>
      </c>
      <c r="I622" s="820">
        <v>26385</v>
      </c>
      <c r="J622" s="118">
        <f>+CUBICACION!J621</f>
        <v>0</v>
      </c>
      <c r="K622" s="118">
        <v>3401</v>
      </c>
      <c r="L622" s="118">
        <f>+CUBICACION!L621</f>
        <v>0</v>
      </c>
      <c r="M622" s="64">
        <f>+CUBICACION!M621</f>
        <v>0</v>
      </c>
      <c r="N622" s="824" t="str">
        <f>+CUBICACION!N621</f>
        <v/>
      </c>
      <c r="O622" s="675">
        <f>+CUBICACION!O621</f>
        <v>0</v>
      </c>
      <c r="P622" s="15">
        <f>IF(O622="Fire Control",VLOOKUP(_xlfn.MINIFS('FIRE CONTROL'!$C$4:$C$37,'FIRE CONTROL'!$C$4:$C$37,"&gt;="&amp;M622),'FIRE CONTROL'!$C$4:$G$37,IF(L622="F-15",2,IF(L622="F-30",3,IF(L622="F-60",4,IF(L622="F-90",5,0)))),0),0)+IF(AND(O622="FIRE TEX 5062",OR(E622="IN",E622="C",E622="Z",E622="L"),J622=3),VLOOKUP(_xlfn.MINIFS('FIRE TEX 5062'!$B$4:$B$34,'FIRE TEX 5062'!$B$4:$B$34,"&gt;="&amp;M622),'FIRE TEX 5062'!$B$4:$F$34,IF(L622="F-15",2,IF(L622="F-30",3,IF(L622="F-60",4,IF(L622="F-90",5,0)))),0),0)+IF(AND(O622="FIRE TEX 5062",OR(E622="IN",E622="C",E622="Z",E622="L"),J622=4),VLOOKUP(_xlfn.MINIFS('FIRE TEX 5062'!$G$4:$G$34,'FIRE TEX 5062'!$G$4:$G$34,"&gt;="&amp;M622),'FIRE TEX 5062'!$G$4:$K$34,IF(L622="F-15",2,IF(L622="F-30",3,IF(L622="F-60",4,IF(L622="F-90",5,0)))),0),0)+IF(AND(O622="FIRE TEX 5062",E622="CJ",J622=3),VLOOKUP(_xlfn.MINIFS('FIRE TEX 5062'!$L$4:$L$34,'FIRE TEX 5062'!$L$4:$L$34,"&gt;="&amp;M622),'FIRE TEX 5062'!$L$4:$P$34,IF(L622="F-15",2,IF(L622="F-30",3,IF(L622="F-60",4,IF(L622="F-90",5,0)))),0),0)+IF(AND(O622="FIRE TEX 5062",E622="CJ",J622=4),VLOOKUP(_xlfn.MINIFS('FIRE TEX 5062'!$Q$3:$Q$34,'FIRE TEX 5062'!$Q$3:$Q$34,"&gt;="&amp;M622),'FIRE TEX 5062'!$Q$3:$U$34,IF(L622="F-15",2,IF(L622="F-30",3,IF(L622="F-60",4,IF(L622="F-90",5,0)))),0),0)+IF(AND(O622="FIRE TEX 5090",OR(E622="IN",E622="C",E622="Z",E622="L"),J622=3),VLOOKUP(_xlfn.MINIFS('FIRE TEX 5090'!$B$5:$B$43,'FIRE TEX 5090'!$B$5:$B$43,"&gt;="&amp;M622),'FIRE TEX 5090'!$B$5:$H$43,IF(L622="F-15",2,IF(L622="F-30",3,IF(L622="F-60",4,IF(L622="F-90",5,IF(L622="F-120",6,IF(L622="F-150",7,0)))))),0),0)+IF(AND(O622="FIRE TEX 5090",OR(E622="IN",E622="C",E622="Z",E622="L"),J622=4),VLOOKUP(_xlfn.MINIFS('FIRE TEX 5090'!$J$5:$J$43,'FIRE TEX 5090'!$J$5:$J$43,"&gt;="&amp;M622),'FIRE TEX 5090'!$J$5:$P$43,IF(L622="F-15",2,IF(L622="F-30",3,IF(L622="F-60",4,IF(L622="F-90",5,IF(L622="F-120",6,IF(L622="F-150",7,0)))))),0),0)+IF(AND(O622="FIRE TEX 5090",E622="CJ",J622=3),VLOOKUP(_xlfn.MINIFS('FIRE TEX 5090'!$R$5:$R$30,'FIRE TEX 5090'!$R$5:$R$30,"&gt;="&amp;M622),'FIRE TEX 5090'!$R$5:$W$30,IF(L622="F-15",2,IF(L622="F-30",3,IF(L622="F-60",4,IF(L622="F-90",5,IF(L622="F-120",6,IF(L622="F-150",7,0)))))),0),0)+IF(AND(O622="FIRE TEX 5090",E622="CJ",J622=4),VLOOKUP(_xlfn.MINIFS('FIRE TEX 5090'!$Y$5:$Y$39,'FIRE TEX 5090'!$Y$5:$Y$39,"&gt;="&amp;M622),'FIRE TEX 5090'!$Y$5:$AD$39,IF(L622="F-15",2,IF(L622="F-30",3,IF(L622="F-60",4,IF(L622="F-90",5,IF(L622="F-120",6,IF(L622="F-150",7,0)))))),0),0)+IF(AND(O622="FIRE TEX 5120",OR(E622="IN",E622="C",E622="Z",E622="L"),J622=3),VLOOKUP(_xlfn.MINIFS('FIRE TEX 5120'!$B$5:$B$40,'FIRE TEX 5120'!$B$5:$B$40,"&gt;="&amp;M622),'FIRE TEX 5120'!$B$5:$G$40,IF(L622="F-15",2,IF(L622="F-30",3,IF(L622="F-60",4,IF(L622="F-90",5,IF(L622="F-120",6,0))))),0),0)+IF(AND(O622="FIRE TEX 5120",OR(E622="IN",E622="C",E622="Z",E622="L"),J622=4),VLOOKUP(_xlfn.MINIFS('FIRE TEX 5120'!$H$4:$H$40,'FIRE TEX 5120'!$H$4:$H$40,"&gt;="&amp;M622),'FIRE TEX 5120'!$H$4:$M$40,IF(L622="F-15",2,IF(L622="F-30",3,IF(L622="F-60",4,IF(L622="F-90",5,IF(L622="F-120",6,0))))),0),0)+IF(AND(O622="FIRE TEX 5120",E622="CJ"),VLOOKUP(_xlfn.MINIFS('FIRE TEX 5120'!$O$5:$O$40,'FIRE TEX 5120'!$O$5:$O$40,"&gt;="&amp;M622),'FIRE TEX 5120'!$O$5:$T$40,IF(L622="F-15",2,IF(L622="F-30",3,IF(L622="F-60",4,IF(L622="F-90",5,IF(L622="F-120",6,0))))),0),0)</f>
        <v>0</v>
      </c>
      <c r="Q622" s="46">
        <f t="shared" si="69"/>
        <v>0</v>
      </c>
      <c r="R622" s="46">
        <f t="shared" si="70"/>
        <v>0</v>
      </c>
      <c r="S622" s="46" t="e">
        <f t="shared" si="71"/>
        <v>#VALUE!</v>
      </c>
      <c r="T622" s="677">
        <f t="shared" si="72"/>
        <v>0</v>
      </c>
      <c r="U622" s="80">
        <f>(IF(O622="Stofire",(S622*#REF!),0))+(IF(O622="Fire Control",(S622*$U$2),0))+(IF(O622="Fire Tex",(S622*$U$3),0))+(IF(O622="WB7",(S622*#REF!),0)+(IF(O622="FX 2003",(S622*$U$5),0)))</f>
        <v>0</v>
      </c>
      <c r="V622" s="651">
        <f t="shared" si="73"/>
        <v>0</v>
      </c>
    </row>
    <row r="623" spans="4:22" x14ac:dyDescent="0.25">
      <c r="D623" s="118">
        <f>+CUBICACION!D622</f>
        <v>0</v>
      </c>
      <c r="E623" s="118">
        <f>+CUBICACION!F622</f>
        <v>0</v>
      </c>
      <c r="F623" s="118">
        <f>+CUBICACION!E622</f>
        <v>0</v>
      </c>
      <c r="G623" s="118">
        <v>12</v>
      </c>
      <c r="H623" s="118">
        <v>2</v>
      </c>
      <c r="I623" s="820">
        <v>26385</v>
      </c>
      <c r="J623" s="118">
        <f>+CUBICACION!J622</f>
        <v>0</v>
      </c>
      <c r="K623" s="118">
        <v>3402</v>
      </c>
      <c r="L623" s="118">
        <f>+CUBICACION!L622</f>
        <v>0</v>
      </c>
      <c r="M623" s="64">
        <f>+CUBICACION!M622</f>
        <v>0</v>
      </c>
      <c r="N623" s="824" t="str">
        <f>+CUBICACION!N622</f>
        <v/>
      </c>
      <c r="O623" s="675">
        <f>+CUBICACION!O622</f>
        <v>0</v>
      </c>
      <c r="P623" s="15">
        <f>IF(O623="Fire Control",VLOOKUP(_xlfn.MINIFS('FIRE CONTROL'!$C$4:$C$37,'FIRE CONTROL'!$C$4:$C$37,"&gt;="&amp;M623),'FIRE CONTROL'!$C$4:$G$37,IF(L623="F-15",2,IF(L623="F-30",3,IF(L623="F-60",4,IF(L623="F-90",5,0)))),0),0)+IF(AND(O623="FIRE TEX 5062",OR(E623="IN",E623="C",E623="Z",E623="L"),J623=3),VLOOKUP(_xlfn.MINIFS('FIRE TEX 5062'!$B$4:$B$34,'FIRE TEX 5062'!$B$4:$B$34,"&gt;="&amp;M623),'FIRE TEX 5062'!$B$4:$F$34,IF(L623="F-15",2,IF(L623="F-30",3,IF(L623="F-60",4,IF(L623="F-90",5,0)))),0),0)+IF(AND(O623="FIRE TEX 5062",OR(E623="IN",E623="C",E623="Z",E623="L"),J623=4),VLOOKUP(_xlfn.MINIFS('FIRE TEX 5062'!$G$4:$G$34,'FIRE TEX 5062'!$G$4:$G$34,"&gt;="&amp;M623),'FIRE TEX 5062'!$G$4:$K$34,IF(L623="F-15",2,IF(L623="F-30",3,IF(L623="F-60",4,IF(L623="F-90",5,0)))),0),0)+IF(AND(O623="FIRE TEX 5062",E623="CJ",J623=3),VLOOKUP(_xlfn.MINIFS('FIRE TEX 5062'!$L$4:$L$34,'FIRE TEX 5062'!$L$4:$L$34,"&gt;="&amp;M623),'FIRE TEX 5062'!$L$4:$P$34,IF(L623="F-15",2,IF(L623="F-30",3,IF(L623="F-60",4,IF(L623="F-90",5,0)))),0),0)+IF(AND(O623="FIRE TEX 5062",E623="CJ",J623=4),VLOOKUP(_xlfn.MINIFS('FIRE TEX 5062'!$Q$3:$Q$34,'FIRE TEX 5062'!$Q$3:$Q$34,"&gt;="&amp;M623),'FIRE TEX 5062'!$Q$3:$U$34,IF(L623="F-15",2,IF(L623="F-30",3,IF(L623="F-60",4,IF(L623="F-90",5,0)))),0),0)+IF(AND(O623="FIRE TEX 5090",OR(E623="IN",E623="C",E623="Z",E623="L"),J623=3),VLOOKUP(_xlfn.MINIFS('FIRE TEX 5090'!$B$5:$B$43,'FIRE TEX 5090'!$B$5:$B$43,"&gt;="&amp;M623),'FIRE TEX 5090'!$B$5:$H$43,IF(L623="F-15",2,IF(L623="F-30",3,IF(L623="F-60",4,IF(L623="F-90",5,IF(L623="F-120",6,IF(L623="F-150",7,0)))))),0),0)+IF(AND(O623="FIRE TEX 5090",OR(E623="IN",E623="C",E623="Z",E623="L"),J623=4),VLOOKUP(_xlfn.MINIFS('FIRE TEX 5090'!$J$5:$J$43,'FIRE TEX 5090'!$J$5:$J$43,"&gt;="&amp;M623),'FIRE TEX 5090'!$J$5:$P$43,IF(L623="F-15",2,IF(L623="F-30",3,IF(L623="F-60",4,IF(L623="F-90",5,IF(L623="F-120",6,IF(L623="F-150",7,0)))))),0),0)+IF(AND(O623="FIRE TEX 5090",E623="CJ",J623=3),VLOOKUP(_xlfn.MINIFS('FIRE TEX 5090'!$R$5:$R$30,'FIRE TEX 5090'!$R$5:$R$30,"&gt;="&amp;M623),'FIRE TEX 5090'!$R$5:$W$30,IF(L623="F-15",2,IF(L623="F-30",3,IF(L623="F-60",4,IF(L623="F-90",5,IF(L623="F-120",6,IF(L623="F-150",7,0)))))),0),0)+IF(AND(O623="FIRE TEX 5090",E623="CJ",J623=4),VLOOKUP(_xlfn.MINIFS('FIRE TEX 5090'!$Y$5:$Y$39,'FIRE TEX 5090'!$Y$5:$Y$39,"&gt;="&amp;M623),'FIRE TEX 5090'!$Y$5:$AD$39,IF(L623="F-15",2,IF(L623="F-30",3,IF(L623="F-60",4,IF(L623="F-90",5,IF(L623="F-120",6,IF(L623="F-150",7,0)))))),0),0)+IF(AND(O623="FIRE TEX 5120",OR(E623="IN",E623="C",E623="Z",E623="L"),J623=3),VLOOKUP(_xlfn.MINIFS('FIRE TEX 5120'!$B$5:$B$40,'FIRE TEX 5120'!$B$5:$B$40,"&gt;="&amp;M623),'FIRE TEX 5120'!$B$5:$G$40,IF(L623="F-15",2,IF(L623="F-30",3,IF(L623="F-60",4,IF(L623="F-90",5,IF(L623="F-120",6,0))))),0),0)+IF(AND(O623="FIRE TEX 5120",OR(E623="IN",E623="C",E623="Z",E623="L"),J623=4),VLOOKUP(_xlfn.MINIFS('FIRE TEX 5120'!$H$4:$H$40,'FIRE TEX 5120'!$H$4:$H$40,"&gt;="&amp;M623),'FIRE TEX 5120'!$H$4:$M$40,IF(L623="F-15",2,IF(L623="F-30",3,IF(L623="F-60",4,IF(L623="F-90",5,IF(L623="F-120",6,0))))),0),0)+IF(AND(O623="FIRE TEX 5120",E623="CJ"),VLOOKUP(_xlfn.MINIFS('FIRE TEX 5120'!$O$5:$O$40,'FIRE TEX 5120'!$O$5:$O$40,"&gt;="&amp;M623),'FIRE TEX 5120'!$O$5:$T$40,IF(L623="F-15",2,IF(L623="F-30",3,IF(L623="F-60",4,IF(L623="F-90",5,IF(L623="F-120",6,0))))),0),0)</f>
        <v>0</v>
      </c>
      <c r="Q623" s="46">
        <f t="shared" si="69"/>
        <v>0</v>
      </c>
      <c r="R623" s="46">
        <f t="shared" si="70"/>
        <v>0</v>
      </c>
      <c r="S623" s="46" t="e">
        <f t="shared" si="71"/>
        <v>#VALUE!</v>
      </c>
      <c r="T623" s="677">
        <f t="shared" si="72"/>
        <v>0</v>
      </c>
      <c r="U623" s="80">
        <f>(IF(O623="Stofire",(S623*#REF!),0))+(IF(O623="Fire Control",(S623*$U$2),0))+(IF(O623="Fire Tex",(S623*$U$3),0))+(IF(O623="WB7",(S623*#REF!),0)+(IF(O623="FX 2003",(S623*$U$5),0)))</f>
        <v>0</v>
      </c>
      <c r="V623" s="651">
        <f t="shared" si="73"/>
        <v>0</v>
      </c>
    </row>
    <row r="624" spans="4:22" x14ac:dyDescent="0.25">
      <c r="D624" s="118">
        <f>+CUBICACION!D623</f>
        <v>0</v>
      </c>
      <c r="E624" s="118">
        <f>+CUBICACION!F623</f>
        <v>0</v>
      </c>
      <c r="F624" s="118">
        <f>+CUBICACION!E623</f>
        <v>0</v>
      </c>
      <c r="G624" s="118">
        <v>12</v>
      </c>
      <c r="H624" s="118">
        <v>2</v>
      </c>
      <c r="I624" s="820">
        <v>26385</v>
      </c>
      <c r="J624" s="118">
        <f>+CUBICACION!J623</f>
        <v>0</v>
      </c>
      <c r="K624" s="118">
        <v>3403</v>
      </c>
      <c r="L624" s="118">
        <f>+CUBICACION!L623</f>
        <v>0</v>
      </c>
      <c r="M624" s="64">
        <f>+CUBICACION!M623</f>
        <v>0</v>
      </c>
      <c r="N624" s="824" t="str">
        <f>+CUBICACION!N623</f>
        <v/>
      </c>
      <c r="O624" s="675">
        <f>+CUBICACION!O623</f>
        <v>0</v>
      </c>
      <c r="P624" s="15">
        <f>IF(O624="Fire Control",VLOOKUP(_xlfn.MINIFS('FIRE CONTROL'!$C$4:$C$37,'FIRE CONTROL'!$C$4:$C$37,"&gt;="&amp;M624),'FIRE CONTROL'!$C$4:$G$37,IF(L624="F-15",2,IF(L624="F-30",3,IF(L624="F-60",4,IF(L624="F-90",5,0)))),0),0)+IF(AND(O624="FIRE TEX 5062",OR(E624="IN",E624="C",E624="Z",E624="L"),J624=3),VLOOKUP(_xlfn.MINIFS('FIRE TEX 5062'!$B$4:$B$34,'FIRE TEX 5062'!$B$4:$B$34,"&gt;="&amp;M624),'FIRE TEX 5062'!$B$4:$F$34,IF(L624="F-15",2,IF(L624="F-30",3,IF(L624="F-60",4,IF(L624="F-90",5,0)))),0),0)+IF(AND(O624="FIRE TEX 5062",OR(E624="IN",E624="C",E624="Z",E624="L"),J624=4),VLOOKUP(_xlfn.MINIFS('FIRE TEX 5062'!$G$4:$G$34,'FIRE TEX 5062'!$G$4:$G$34,"&gt;="&amp;M624),'FIRE TEX 5062'!$G$4:$K$34,IF(L624="F-15",2,IF(L624="F-30",3,IF(L624="F-60",4,IF(L624="F-90",5,0)))),0),0)+IF(AND(O624="FIRE TEX 5062",E624="CJ",J624=3),VLOOKUP(_xlfn.MINIFS('FIRE TEX 5062'!$L$4:$L$34,'FIRE TEX 5062'!$L$4:$L$34,"&gt;="&amp;M624),'FIRE TEX 5062'!$L$4:$P$34,IF(L624="F-15",2,IF(L624="F-30",3,IF(L624="F-60",4,IF(L624="F-90",5,0)))),0),0)+IF(AND(O624="FIRE TEX 5062",E624="CJ",J624=4),VLOOKUP(_xlfn.MINIFS('FIRE TEX 5062'!$Q$3:$Q$34,'FIRE TEX 5062'!$Q$3:$Q$34,"&gt;="&amp;M624),'FIRE TEX 5062'!$Q$3:$U$34,IF(L624="F-15",2,IF(L624="F-30",3,IF(L624="F-60",4,IF(L624="F-90",5,0)))),0),0)+IF(AND(O624="FIRE TEX 5090",OR(E624="IN",E624="C",E624="Z",E624="L"),J624=3),VLOOKUP(_xlfn.MINIFS('FIRE TEX 5090'!$B$5:$B$43,'FIRE TEX 5090'!$B$5:$B$43,"&gt;="&amp;M624),'FIRE TEX 5090'!$B$5:$H$43,IF(L624="F-15",2,IF(L624="F-30",3,IF(L624="F-60",4,IF(L624="F-90",5,IF(L624="F-120",6,IF(L624="F-150",7,0)))))),0),0)+IF(AND(O624="FIRE TEX 5090",OR(E624="IN",E624="C",E624="Z",E624="L"),J624=4),VLOOKUP(_xlfn.MINIFS('FIRE TEX 5090'!$J$5:$J$43,'FIRE TEX 5090'!$J$5:$J$43,"&gt;="&amp;M624),'FIRE TEX 5090'!$J$5:$P$43,IF(L624="F-15",2,IF(L624="F-30",3,IF(L624="F-60",4,IF(L624="F-90",5,IF(L624="F-120",6,IF(L624="F-150",7,0)))))),0),0)+IF(AND(O624="FIRE TEX 5090",E624="CJ",J624=3),VLOOKUP(_xlfn.MINIFS('FIRE TEX 5090'!$R$5:$R$30,'FIRE TEX 5090'!$R$5:$R$30,"&gt;="&amp;M624),'FIRE TEX 5090'!$R$5:$W$30,IF(L624="F-15",2,IF(L624="F-30",3,IF(L624="F-60",4,IF(L624="F-90",5,IF(L624="F-120",6,IF(L624="F-150",7,0)))))),0),0)+IF(AND(O624="FIRE TEX 5090",E624="CJ",J624=4),VLOOKUP(_xlfn.MINIFS('FIRE TEX 5090'!$Y$5:$Y$39,'FIRE TEX 5090'!$Y$5:$Y$39,"&gt;="&amp;M624),'FIRE TEX 5090'!$Y$5:$AD$39,IF(L624="F-15",2,IF(L624="F-30",3,IF(L624="F-60",4,IF(L624="F-90",5,IF(L624="F-120",6,IF(L624="F-150",7,0)))))),0),0)+IF(AND(O624="FIRE TEX 5120",OR(E624="IN",E624="C",E624="Z",E624="L"),J624=3),VLOOKUP(_xlfn.MINIFS('FIRE TEX 5120'!$B$5:$B$40,'FIRE TEX 5120'!$B$5:$B$40,"&gt;="&amp;M624),'FIRE TEX 5120'!$B$5:$G$40,IF(L624="F-15",2,IF(L624="F-30",3,IF(L624="F-60",4,IF(L624="F-90",5,IF(L624="F-120",6,0))))),0),0)+IF(AND(O624="FIRE TEX 5120",OR(E624="IN",E624="C",E624="Z",E624="L"),J624=4),VLOOKUP(_xlfn.MINIFS('FIRE TEX 5120'!$H$4:$H$40,'FIRE TEX 5120'!$H$4:$H$40,"&gt;="&amp;M624),'FIRE TEX 5120'!$H$4:$M$40,IF(L624="F-15",2,IF(L624="F-30",3,IF(L624="F-60",4,IF(L624="F-90",5,IF(L624="F-120",6,0))))),0),0)+IF(AND(O624="FIRE TEX 5120",E624="CJ"),VLOOKUP(_xlfn.MINIFS('FIRE TEX 5120'!$O$5:$O$40,'FIRE TEX 5120'!$O$5:$O$40,"&gt;="&amp;M624),'FIRE TEX 5120'!$O$5:$T$40,IF(L624="F-15",2,IF(L624="F-30",3,IF(L624="F-60",4,IF(L624="F-90",5,IF(L624="F-120",6,0))))),0),0)</f>
        <v>0</v>
      </c>
      <c r="Q624" s="46">
        <f t="shared" si="69"/>
        <v>0</v>
      </c>
      <c r="R624" s="46">
        <f t="shared" si="70"/>
        <v>0</v>
      </c>
      <c r="S624" s="46" t="e">
        <f t="shared" si="71"/>
        <v>#VALUE!</v>
      </c>
      <c r="T624" s="677">
        <f t="shared" si="72"/>
        <v>0</v>
      </c>
      <c r="U624" s="80">
        <f>(IF(O624="Stofire",(S624*#REF!),0))+(IF(O624="Fire Control",(S624*$U$2),0))+(IF(O624="Fire Tex",(S624*$U$3),0))+(IF(O624="WB7",(S624*#REF!),0)+(IF(O624="FX 2003",(S624*$U$5),0)))</f>
        <v>0</v>
      </c>
      <c r="V624" s="651">
        <f t="shared" si="73"/>
        <v>0</v>
      </c>
    </row>
    <row r="625" spans="4:22" x14ac:dyDescent="0.25">
      <c r="D625" s="118">
        <f>+CUBICACION!D624</f>
        <v>0</v>
      </c>
      <c r="E625" s="118">
        <f>+CUBICACION!F624</f>
        <v>0</v>
      </c>
      <c r="F625" s="118">
        <f>+CUBICACION!E624</f>
        <v>0</v>
      </c>
      <c r="G625" s="118">
        <v>12</v>
      </c>
      <c r="H625" s="118">
        <v>2</v>
      </c>
      <c r="I625" s="820">
        <v>26385</v>
      </c>
      <c r="J625" s="118">
        <f>+CUBICACION!J624</f>
        <v>0</v>
      </c>
      <c r="K625" s="118">
        <v>3404</v>
      </c>
      <c r="L625" s="118">
        <f>+CUBICACION!L624</f>
        <v>0</v>
      </c>
      <c r="M625" s="64">
        <f>+CUBICACION!M624</f>
        <v>0</v>
      </c>
      <c r="N625" s="824" t="str">
        <f>+CUBICACION!N624</f>
        <v/>
      </c>
      <c r="O625" s="675">
        <f>+CUBICACION!O624</f>
        <v>0</v>
      </c>
      <c r="P625" s="15">
        <f>IF(O625="Fire Control",VLOOKUP(_xlfn.MINIFS('FIRE CONTROL'!$C$4:$C$37,'FIRE CONTROL'!$C$4:$C$37,"&gt;="&amp;M625),'FIRE CONTROL'!$C$4:$G$37,IF(L625="F-15",2,IF(L625="F-30",3,IF(L625="F-60",4,IF(L625="F-90",5,0)))),0),0)+IF(AND(O625="FIRE TEX 5062",OR(E625="IN",E625="C",E625="Z",E625="L"),J625=3),VLOOKUP(_xlfn.MINIFS('FIRE TEX 5062'!$B$4:$B$34,'FIRE TEX 5062'!$B$4:$B$34,"&gt;="&amp;M625),'FIRE TEX 5062'!$B$4:$F$34,IF(L625="F-15",2,IF(L625="F-30",3,IF(L625="F-60",4,IF(L625="F-90",5,0)))),0),0)+IF(AND(O625="FIRE TEX 5062",OR(E625="IN",E625="C",E625="Z",E625="L"),J625=4),VLOOKUP(_xlfn.MINIFS('FIRE TEX 5062'!$G$4:$G$34,'FIRE TEX 5062'!$G$4:$G$34,"&gt;="&amp;M625),'FIRE TEX 5062'!$G$4:$K$34,IF(L625="F-15",2,IF(L625="F-30",3,IF(L625="F-60",4,IF(L625="F-90",5,0)))),0),0)+IF(AND(O625="FIRE TEX 5062",E625="CJ",J625=3),VLOOKUP(_xlfn.MINIFS('FIRE TEX 5062'!$L$4:$L$34,'FIRE TEX 5062'!$L$4:$L$34,"&gt;="&amp;M625),'FIRE TEX 5062'!$L$4:$P$34,IF(L625="F-15",2,IF(L625="F-30",3,IF(L625="F-60",4,IF(L625="F-90",5,0)))),0),0)+IF(AND(O625="FIRE TEX 5062",E625="CJ",J625=4),VLOOKUP(_xlfn.MINIFS('FIRE TEX 5062'!$Q$3:$Q$34,'FIRE TEX 5062'!$Q$3:$Q$34,"&gt;="&amp;M625),'FIRE TEX 5062'!$Q$3:$U$34,IF(L625="F-15",2,IF(L625="F-30",3,IF(L625="F-60",4,IF(L625="F-90",5,0)))),0),0)+IF(AND(O625="FIRE TEX 5090",OR(E625="IN",E625="C",E625="Z",E625="L"),J625=3),VLOOKUP(_xlfn.MINIFS('FIRE TEX 5090'!$B$5:$B$43,'FIRE TEX 5090'!$B$5:$B$43,"&gt;="&amp;M625),'FIRE TEX 5090'!$B$5:$H$43,IF(L625="F-15",2,IF(L625="F-30",3,IF(L625="F-60",4,IF(L625="F-90",5,IF(L625="F-120",6,IF(L625="F-150",7,0)))))),0),0)+IF(AND(O625="FIRE TEX 5090",OR(E625="IN",E625="C",E625="Z",E625="L"),J625=4),VLOOKUP(_xlfn.MINIFS('FIRE TEX 5090'!$J$5:$J$43,'FIRE TEX 5090'!$J$5:$J$43,"&gt;="&amp;M625),'FIRE TEX 5090'!$J$5:$P$43,IF(L625="F-15",2,IF(L625="F-30",3,IF(L625="F-60",4,IF(L625="F-90",5,IF(L625="F-120",6,IF(L625="F-150",7,0)))))),0),0)+IF(AND(O625="FIRE TEX 5090",E625="CJ",J625=3),VLOOKUP(_xlfn.MINIFS('FIRE TEX 5090'!$R$5:$R$30,'FIRE TEX 5090'!$R$5:$R$30,"&gt;="&amp;M625),'FIRE TEX 5090'!$R$5:$W$30,IF(L625="F-15",2,IF(L625="F-30",3,IF(L625="F-60",4,IF(L625="F-90",5,IF(L625="F-120",6,IF(L625="F-150",7,0)))))),0),0)+IF(AND(O625="FIRE TEX 5090",E625="CJ",J625=4),VLOOKUP(_xlfn.MINIFS('FIRE TEX 5090'!$Y$5:$Y$39,'FIRE TEX 5090'!$Y$5:$Y$39,"&gt;="&amp;M625),'FIRE TEX 5090'!$Y$5:$AD$39,IF(L625="F-15",2,IF(L625="F-30",3,IF(L625="F-60",4,IF(L625="F-90",5,IF(L625="F-120",6,IF(L625="F-150",7,0)))))),0),0)+IF(AND(O625="FIRE TEX 5120",OR(E625="IN",E625="C",E625="Z",E625="L"),J625=3),VLOOKUP(_xlfn.MINIFS('FIRE TEX 5120'!$B$5:$B$40,'FIRE TEX 5120'!$B$5:$B$40,"&gt;="&amp;M625),'FIRE TEX 5120'!$B$5:$G$40,IF(L625="F-15",2,IF(L625="F-30",3,IF(L625="F-60",4,IF(L625="F-90",5,IF(L625="F-120",6,0))))),0),0)+IF(AND(O625="FIRE TEX 5120",OR(E625="IN",E625="C",E625="Z",E625="L"),J625=4),VLOOKUP(_xlfn.MINIFS('FIRE TEX 5120'!$H$4:$H$40,'FIRE TEX 5120'!$H$4:$H$40,"&gt;="&amp;M625),'FIRE TEX 5120'!$H$4:$M$40,IF(L625="F-15",2,IF(L625="F-30",3,IF(L625="F-60",4,IF(L625="F-90",5,IF(L625="F-120",6,0))))),0),0)+IF(AND(O625="FIRE TEX 5120",E625="CJ"),VLOOKUP(_xlfn.MINIFS('FIRE TEX 5120'!$O$5:$O$40,'FIRE TEX 5120'!$O$5:$O$40,"&gt;="&amp;M625),'FIRE TEX 5120'!$O$5:$T$40,IF(L625="F-15",2,IF(L625="F-30",3,IF(L625="F-60",4,IF(L625="F-90",5,IF(L625="F-120",6,0))))),0),0)</f>
        <v>0</v>
      </c>
      <c r="Q625" s="46">
        <f t="shared" si="69"/>
        <v>0</v>
      </c>
      <c r="R625" s="46">
        <f t="shared" si="70"/>
        <v>0</v>
      </c>
      <c r="S625" s="46" t="e">
        <f t="shared" si="71"/>
        <v>#VALUE!</v>
      </c>
      <c r="T625" s="677">
        <f t="shared" si="72"/>
        <v>0</v>
      </c>
      <c r="U625" s="80">
        <f>(IF(O625="Stofire",(S625*#REF!),0))+(IF(O625="Fire Control",(S625*$U$2),0))+(IF(O625="Fire Tex",(S625*$U$3),0))+(IF(O625="WB7",(S625*#REF!),0)+(IF(O625="FX 2003",(S625*$U$5),0)))</f>
        <v>0</v>
      </c>
      <c r="V625" s="651">
        <f t="shared" si="73"/>
        <v>0</v>
      </c>
    </row>
    <row r="626" spans="4:22" x14ac:dyDescent="0.25">
      <c r="D626" s="118">
        <f>+CUBICACION!D625</f>
        <v>0</v>
      </c>
      <c r="E626" s="118">
        <f>+CUBICACION!F625</f>
        <v>0</v>
      </c>
      <c r="F626" s="118">
        <f>+CUBICACION!E625</f>
        <v>0</v>
      </c>
      <c r="G626" s="118">
        <v>12</v>
      </c>
      <c r="H626" s="118">
        <v>2</v>
      </c>
      <c r="I626" s="820">
        <v>26385</v>
      </c>
      <c r="J626" s="118">
        <f>+CUBICACION!J625</f>
        <v>0</v>
      </c>
      <c r="K626" s="118">
        <v>3405</v>
      </c>
      <c r="L626" s="118">
        <f>+CUBICACION!L625</f>
        <v>0</v>
      </c>
      <c r="M626" s="64">
        <f>+CUBICACION!M625</f>
        <v>0</v>
      </c>
      <c r="N626" s="824" t="str">
        <f>+CUBICACION!N625</f>
        <v/>
      </c>
      <c r="O626" s="675">
        <f>+CUBICACION!O625</f>
        <v>0</v>
      </c>
      <c r="P626" s="15">
        <f>IF(O626="Fire Control",VLOOKUP(_xlfn.MINIFS('FIRE CONTROL'!$C$4:$C$37,'FIRE CONTROL'!$C$4:$C$37,"&gt;="&amp;M626),'FIRE CONTROL'!$C$4:$G$37,IF(L626="F-15",2,IF(L626="F-30",3,IF(L626="F-60",4,IF(L626="F-90",5,0)))),0),0)+IF(AND(O626="FIRE TEX 5062",OR(E626="IN",E626="C",E626="Z",E626="L"),J626=3),VLOOKUP(_xlfn.MINIFS('FIRE TEX 5062'!$B$4:$B$34,'FIRE TEX 5062'!$B$4:$B$34,"&gt;="&amp;M626),'FIRE TEX 5062'!$B$4:$F$34,IF(L626="F-15",2,IF(L626="F-30",3,IF(L626="F-60",4,IF(L626="F-90",5,0)))),0),0)+IF(AND(O626="FIRE TEX 5062",OR(E626="IN",E626="C",E626="Z",E626="L"),J626=4),VLOOKUP(_xlfn.MINIFS('FIRE TEX 5062'!$G$4:$G$34,'FIRE TEX 5062'!$G$4:$G$34,"&gt;="&amp;M626),'FIRE TEX 5062'!$G$4:$K$34,IF(L626="F-15",2,IF(L626="F-30",3,IF(L626="F-60",4,IF(L626="F-90",5,0)))),0),0)+IF(AND(O626="FIRE TEX 5062",E626="CJ",J626=3),VLOOKUP(_xlfn.MINIFS('FIRE TEX 5062'!$L$4:$L$34,'FIRE TEX 5062'!$L$4:$L$34,"&gt;="&amp;M626),'FIRE TEX 5062'!$L$4:$P$34,IF(L626="F-15",2,IF(L626="F-30",3,IF(L626="F-60",4,IF(L626="F-90",5,0)))),0),0)+IF(AND(O626="FIRE TEX 5062",E626="CJ",J626=4),VLOOKUP(_xlfn.MINIFS('FIRE TEX 5062'!$Q$3:$Q$34,'FIRE TEX 5062'!$Q$3:$Q$34,"&gt;="&amp;M626),'FIRE TEX 5062'!$Q$3:$U$34,IF(L626="F-15",2,IF(L626="F-30",3,IF(L626="F-60",4,IF(L626="F-90",5,0)))),0),0)+IF(AND(O626="FIRE TEX 5090",OR(E626="IN",E626="C",E626="Z",E626="L"),J626=3),VLOOKUP(_xlfn.MINIFS('FIRE TEX 5090'!$B$5:$B$43,'FIRE TEX 5090'!$B$5:$B$43,"&gt;="&amp;M626),'FIRE TEX 5090'!$B$5:$H$43,IF(L626="F-15",2,IF(L626="F-30",3,IF(L626="F-60",4,IF(L626="F-90",5,IF(L626="F-120",6,IF(L626="F-150",7,0)))))),0),0)+IF(AND(O626="FIRE TEX 5090",OR(E626="IN",E626="C",E626="Z",E626="L"),J626=4),VLOOKUP(_xlfn.MINIFS('FIRE TEX 5090'!$J$5:$J$43,'FIRE TEX 5090'!$J$5:$J$43,"&gt;="&amp;M626),'FIRE TEX 5090'!$J$5:$P$43,IF(L626="F-15",2,IF(L626="F-30",3,IF(L626="F-60",4,IF(L626="F-90",5,IF(L626="F-120",6,IF(L626="F-150",7,0)))))),0),0)+IF(AND(O626="FIRE TEX 5090",E626="CJ",J626=3),VLOOKUP(_xlfn.MINIFS('FIRE TEX 5090'!$R$5:$R$30,'FIRE TEX 5090'!$R$5:$R$30,"&gt;="&amp;M626),'FIRE TEX 5090'!$R$5:$W$30,IF(L626="F-15",2,IF(L626="F-30",3,IF(L626="F-60",4,IF(L626="F-90",5,IF(L626="F-120",6,IF(L626="F-150",7,0)))))),0),0)+IF(AND(O626="FIRE TEX 5090",E626="CJ",J626=4),VLOOKUP(_xlfn.MINIFS('FIRE TEX 5090'!$Y$5:$Y$39,'FIRE TEX 5090'!$Y$5:$Y$39,"&gt;="&amp;M626),'FIRE TEX 5090'!$Y$5:$AD$39,IF(L626="F-15",2,IF(L626="F-30",3,IF(L626="F-60",4,IF(L626="F-90",5,IF(L626="F-120",6,IF(L626="F-150",7,0)))))),0),0)+IF(AND(O626="FIRE TEX 5120",OR(E626="IN",E626="C",E626="Z",E626="L"),J626=3),VLOOKUP(_xlfn.MINIFS('FIRE TEX 5120'!$B$5:$B$40,'FIRE TEX 5120'!$B$5:$B$40,"&gt;="&amp;M626),'FIRE TEX 5120'!$B$5:$G$40,IF(L626="F-15",2,IF(L626="F-30",3,IF(L626="F-60",4,IF(L626="F-90",5,IF(L626="F-120",6,0))))),0),0)+IF(AND(O626="FIRE TEX 5120",OR(E626="IN",E626="C",E626="Z",E626="L"),J626=4),VLOOKUP(_xlfn.MINIFS('FIRE TEX 5120'!$H$4:$H$40,'FIRE TEX 5120'!$H$4:$H$40,"&gt;="&amp;M626),'FIRE TEX 5120'!$H$4:$M$40,IF(L626="F-15",2,IF(L626="F-30",3,IF(L626="F-60",4,IF(L626="F-90",5,IF(L626="F-120",6,0))))),0),0)+IF(AND(O626="FIRE TEX 5120",E626="CJ"),VLOOKUP(_xlfn.MINIFS('FIRE TEX 5120'!$O$5:$O$40,'FIRE TEX 5120'!$O$5:$O$40,"&gt;="&amp;M626),'FIRE TEX 5120'!$O$5:$T$40,IF(L626="F-15",2,IF(L626="F-30",3,IF(L626="F-60",4,IF(L626="F-90",5,IF(L626="F-120",6,0))))),0),0)</f>
        <v>0</v>
      </c>
      <c r="Q626" s="46">
        <f t="shared" si="69"/>
        <v>0</v>
      </c>
      <c r="R626" s="46">
        <f t="shared" si="70"/>
        <v>0</v>
      </c>
      <c r="S626" s="46" t="e">
        <f t="shared" si="71"/>
        <v>#VALUE!</v>
      </c>
      <c r="T626" s="677">
        <f t="shared" si="72"/>
        <v>0</v>
      </c>
      <c r="U626" s="80">
        <f>(IF(O626="Stofire",(S626*#REF!),0))+(IF(O626="Fire Control",(S626*$U$2),0))+(IF(O626="Fire Tex",(S626*$U$3),0))+(IF(O626="WB7",(S626*#REF!),0)+(IF(O626="FX 2003",(S626*$U$5),0)))</f>
        <v>0</v>
      </c>
      <c r="V626" s="651">
        <f t="shared" si="73"/>
        <v>0</v>
      </c>
    </row>
    <row r="627" spans="4:22" x14ac:dyDescent="0.25">
      <c r="D627" s="118">
        <f>+CUBICACION!D626</f>
        <v>0</v>
      </c>
      <c r="E627" s="118">
        <f>+CUBICACION!F626</f>
        <v>0</v>
      </c>
      <c r="F627" s="118">
        <f>+CUBICACION!E626</f>
        <v>0</v>
      </c>
      <c r="G627" s="118">
        <v>12</v>
      </c>
      <c r="H627" s="118">
        <v>2</v>
      </c>
      <c r="I627" s="820">
        <v>26385</v>
      </c>
      <c r="J627" s="118">
        <f>+CUBICACION!J626</f>
        <v>0</v>
      </c>
      <c r="K627" s="118">
        <v>3406</v>
      </c>
      <c r="L627" s="118">
        <f>+CUBICACION!L626</f>
        <v>0</v>
      </c>
      <c r="M627" s="64">
        <f>+CUBICACION!M626</f>
        <v>0</v>
      </c>
      <c r="N627" s="824" t="str">
        <f>+CUBICACION!N626</f>
        <v/>
      </c>
      <c r="O627" s="675">
        <f>+CUBICACION!O626</f>
        <v>0</v>
      </c>
      <c r="P627" s="15">
        <f>IF(O627="Fire Control",VLOOKUP(_xlfn.MINIFS('FIRE CONTROL'!$C$4:$C$37,'FIRE CONTROL'!$C$4:$C$37,"&gt;="&amp;M627),'FIRE CONTROL'!$C$4:$G$37,IF(L627="F-15",2,IF(L627="F-30",3,IF(L627="F-60",4,IF(L627="F-90",5,0)))),0),0)+IF(AND(O627="FIRE TEX 5062",OR(E627="IN",E627="C",E627="Z",E627="L"),J627=3),VLOOKUP(_xlfn.MINIFS('FIRE TEX 5062'!$B$4:$B$34,'FIRE TEX 5062'!$B$4:$B$34,"&gt;="&amp;M627),'FIRE TEX 5062'!$B$4:$F$34,IF(L627="F-15",2,IF(L627="F-30",3,IF(L627="F-60",4,IF(L627="F-90",5,0)))),0),0)+IF(AND(O627="FIRE TEX 5062",OR(E627="IN",E627="C",E627="Z",E627="L"),J627=4),VLOOKUP(_xlfn.MINIFS('FIRE TEX 5062'!$G$4:$G$34,'FIRE TEX 5062'!$G$4:$G$34,"&gt;="&amp;M627),'FIRE TEX 5062'!$G$4:$K$34,IF(L627="F-15",2,IF(L627="F-30",3,IF(L627="F-60",4,IF(L627="F-90",5,0)))),0),0)+IF(AND(O627="FIRE TEX 5062",E627="CJ",J627=3),VLOOKUP(_xlfn.MINIFS('FIRE TEX 5062'!$L$4:$L$34,'FIRE TEX 5062'!$L$4:$L$34,"&gt;="&amp;M627),'FIRE TEX 5062'!$L$4:$P$34,IF(L627="F-15",2,IF(L627="F-30",3,IF(L627="F-60",4,IF(L627="F-90",5,0)))),0),0)+IF(AND(O627="FIRE TEX 5062",E627="CJ",J627=4),VLOOKUP(_xlfn.MINIFS('FIRE TEX 5062'!$Q$3:$Q$34,'FIRE TEX 5062'!$Q$3:$Q$34,"&gt;="&amp;M627),'FIRE TEX 5062'!$Q$3:$U$34,IF(L627="F-15",2,IF(L627="F-30",3,IF(L627="F-60",4,IF(L627="F-90",5,0)))),0),0)+IF(AND(O627="FIRE TEX 5090",OR(E627="IN",E627="C",E627="Z",E627="L"),J627=3),VLOOKUP(_xlfn.MINIFS('FIRE TEX 5090'!$B$5:$B$43,'FIRE TEX 5090'!$B$5:$B$43,"&gt;="&amp;M627),'FIRE TEX 5090'!$B$5:$H$43,IF(L627="F-15",2,IF(L627="F-30",3,IF(L627="F-60",4,IF(L627="F-90",5,IF(L627="F-120",6,IF(L627="F-150",7,0)))))),0),0)+IF(AND(O627="FIRE TEX 5090",OR(E627="IN",E627="C",E627="Z",E627="L"),J627=4),VLOOKUP(_xlfn.MINIFS('FIRE TEX 5090'!$J$5:$J$43,'FIRE TEX 5090'!$J$5:$J$43,"&gt;="&amp;M627),'FIRE TEX 5090'!$J$5:$P$43,IF(L627="F-15",2,IF(L627="F-30",3,IF(L627="F-60",4,IF(L627="F-90",5,IF(L627="F-120",6,IF(L627="F-150",7,0)))))),0),0)+IF(AND(O627="FIRE TEX 5090",E627="CJ",J627=3),VLOOKUP(_xlfn.MINIFS('FIRE TEX 5090'!$R$5:$R$30,'FIRE TEX 5090'!$R$5:$R$30,"&gt;="&amp;M627),'FIRE TEX 5090'!$R$5:$W$30,IF(L627="F-15",2,IF(L627="F-30",3,IF(L627="F-60",4,IF(L627="F-90",5,IF(L627="F-120",6,IF(L627="F-150",7,0)))))),0),0)+IF(AND(O627="FIRE TEX 5090",E627="CJ",J627=4),VLOOKUP(_xlfn.MINIFS('FIRE TEX 5090'!$Y$5:$Y$39,'FIRE TEX 5090'!$Y$5:$Y$39,"&gt;="&amp;M627),'FIRE TEX 5090'!$Y$5:$AD$39,IF(L627="F-15",2,IF(L627="F-30",3,IF(L627="F-60",4,IF(L627="F-90",5,IF(L627="F-120",6,IF(L627="F-150",7,0)))))),0),0)+IF(AND(O627="FIRE TEX 5120",OR(E627="IN",E627="C",E627="Z",E627="L"),J627=3),VLOOKUP(_xlfn.MINIFS('FIRE TEX 5120'!$B$5:$B$40,'FIRE TEX 5120'!$B$5:$B$40,"&gt;="&amp;M627),'FIRE TEX 5120'!$B$5:$G$40,IF(L627="F-15",2,IF(L627="F-30",3,IF(L627="F-60",4,IF(L627="F-90",5,IF(L627="F-120",6,0))))),0),0)+IF(AND(O627="FIRE TEX 5120",OR(E627="IN",E627="C",E627="Z",E627="L"),J627=4),VLOOKUP(_xlfn.MINIFS('FIRE TEX 5120'!$H$4:$H$40,'FIRE TEX 5120'!$H$4:$H$40,"&gt;="&amp;M627),'FIRE TEX 5120'!$H$4:$M$40,IF(L627="F-15",2,IF(L627="F-30",3,IF(L627="F-60",4,IF(L627="F-90",5,IF(L627="F-120",6,0))))),0),0)+IF(AND(O627="FIRE TEX 5120",E627="CJ"),VLOOKUP(_xlfn.MINIFS('FIRE TEX 5120'!$O$5:$O$40,'FIRE TEX 5120'!$O$5:$O$40,"&gt;="&amp;M627),'FIRE TEX 5120'!$O$5:$T$40,IF(L627="F-15",2,IF(L627="F-30",3,IF(L627="F-60",4,IF(L627="F-90",5,IF(L627="F-120",6,0))))),0),0)</f>
        <v>0</v>
      </c>
      <c r="Q627" s="46">
        <f t="shared" si="69"/>
        <v>0</v>
      </c>
      <c r="R627" s="46">
        <f t="shared" si="70"/>
        <v>0</v>
      </c>
      <c r="S627" s="46" t="e">
        <f t="shared" si="71"/>
        <v>#VALUE!</v>
      </c>
      <c r="T627" s="677">
        <f t="shared" si="72"/>
        <v>0</v>
      </c>
      <c r="U627" s="80">
        <f>(IF(O627="Stofire",(S627*#REF!),0))+(IF(O627="Fire Control",(S627*$U$2),0))+(IF(O627="Fire Tex",(S627*$U$3),0))+(IF(O627="WB7",(S627*#REF!),0)+(IF(O627="FX 2003",(S627*$U$5),0)))</f>
        <v>0</v>
      </c>
      <c r="V627" s="651">
        <f t="shared" si="73"/>
        <v>0</v>
      </c>
    </row>
    <row r="628" spans="4:22" x14ac:dyDescent="0.25">
      <c r="D628" s="118">
        <f>+CUBICACION!D627</f>
        <v>0</v>
      </c>
      <c r="E628" s="118">
        <f>+CUBICACION!F627</f>
        <v>0</v>
      </c>
      <c r="F628" s="118">
        <f>+CUBICACION!E627</f>
        <v>0</v>
      </c>
      <c r="G628" s="118">
        <v>12</v>
      </c>
      <c r="H628" s="118">
        <v>2</v>
      </c>
      <c r="I628" s="820">
        <v>26385</v>
      </c>
      <c r="J628" s="118">
        <f>+CUBICACION!J627</f>
        <v>0</v>
      </c>
      <c r="K628" s="118">
        <v>3407</v>
      </c>
      <c r="L628" s="118">
        <f>+CUBICACION!L627</f>
        <v>0</v>
      </c>
      <c r="M628" s="64">
        <f>+CUBICACION!M627</f>
        <v>0</v>
      </c>
      <c r="N628" s="824" t="str">
        <f>+CUBICACION!N627</f>
        <v/>
      </c>
      <c r="O628" s="675">
        <f>+CUBICACION!O627</f>
        <v>0</v>
      </c>
      <c r="P628" s="15">
        <f>IF(O628="Fire Control",VLOOKUP(_xlfn.MINIFS('FIRE CONTROL'!$C$4:$C$37,'FIRE CONTROL'!$C$4:$C$37,"&gt;="&amp;M628),'FIRE CONTROL'!$C$4:$G$37,IF(L628="F-15",2,IF(L628="F-30",3,IF(L628="F-60",4,IF(L628="F-90",5,0)))),0),0)+IF(AND(O628="FIRE TEX 5062",OR(E628="IN",E628="C",E628="Z",E628="L"),J628=3),VLOOKUP(_xlfn.MINIFS('FIRE TEX 5062'!$B$4:$B$34,'FIRE TEX 5062'!$B$4:$B$34,"&gt;="&amp;M628),'FIRE TEX 5062'!$B$4:$F$34,IF(L628="F-15",2,IF(L628="F-30",3,IF(L628="F-60",4,IF(L628="F-90",5,0)))),0),0)+IF(AND(O628="FIRE TEX 5062",OR(E628="IN",E628="C",E628="Z",E628="L"),J628=4),VLOOKUP(_xlfn.MINIFS('FIRE TEX 5062'!$G$4:$G$34,'FIRE TEX 5062'!$G$4:$G$34,"&gt;="&amp;M628),'FIRE TEX 5062'!$G$4:$K$34,IF(L628="F-15",2,IF(L628="F-30",3,IF(L628="F-60",4,IF(L628="F-90",5,0)))),0),0)+IF(AND(O628="FIRE TEX 5062",E628="CJ",J628=3),VLOOKUP(_xlfn.MINIFS('FIRE TEX 5062'!$L$4:$L$34,'FIRE TEX 5062'!$L$4:$L$34,"&gt;="&amp;M628),'FIRE TEX 5062'!$L$4:$P$34,IF(L628="F-15",2,IF(L628="F-30",3,IF(L628="F-60",4,IF(L628="F-90",5,0)))),0),0)+IF(AND(O628="FIRE TEX 5062",E628="CJ",J628=4),VLOOKUP(_xlfn.MINIFS('FIRE TEX 5062'!$Q$3:$Q$34,'FIRE TEX 5062'!$Q$3:$Q$34,"&gt;="&amp;M628),'FIRE TEX 5062'!$Q$3:$U$34,IF(L628="F-15",2,IF(L628="F-30",3,IF(L628="F-60",4,IF(L628="F-90",5,0)))),0),0)+IF(AND(O628="FIRE TEX 5090",OR(E628="IN",E628="C",E628="Z",E628="L"),J628=3),VLOOKUP(_xlfn.MINIFS('FIRE TEX 5090'!$B$5:$B$43,'FIRE TEX 5090'!$B$5:$B$43,"&gt;="&amp;M628),'FIRE TEX 5090'!$B$5:$H$43,IF(L628="F-15",2,IF(L628="F-30",3,IF(L628="F-60",4,IF(L628="F-90",5,IF(L628="F-120",6,IF(L628="F-150",7,0)))))),0),0)+IF(AND(O628="FIRE TEX 5090",OR(E628="IN",E628="C",E628="Z",E628="L"),J628=4),VLOOKUP(_xlfn.MINIFS('FIRE TEX 5090'!$J$5:$J$43,'FIRE TEX 5090'!$J$5:$J$43,"&gt;="&amp;M628),'FIRE TEX 5090'!$J$5:$P$43,IF(L628="F-15",2,IF(L628="F-30",3,IF(L628="F-60",4,IF(L628="F-90",5,IF(L628="F-120",6,IF(L628="F-150",7,0)))))),0),0)+IF(AND(O628="FIRE TEX 5090",E628="CJ",J628=3),VLOOKUP(_xlfn.MINIFS('FIRE TEX 5090'!$R$5:$R$30,'FIRE TEX 5090'!$R$5:$R$30,"&gt;="&amp;M628),'FIRE TEX 5090'!$R$5:$W$30,IF(L628="F-15",2,IF(L628="F-30",3,IF(L628="F-60",4,IF(L628="F-90",5,IF(L628="F-120",6,IF(L628="F-150",7,0)))))),0),0)+IF(AND(O628="FIRE TEX 5090",E628="CJ",J628=4),VLOOKUP(_xlfn.MINIFS('FIRE TEX 5090'!$Y$5:$Y$39,'FIRE TEX 5090'!$Y$5:$Y$39,"&gt;="&amp;M628),'FIRE TEX 5090'!$Y$5:$AD$39,IF(L628="F-15",2,IF(L628="F-30",3,IF(L628="F-60",4,IF(L628="F-90",5,IF(L628="F-120",6,IF(L628="F-150",7,0)))))),0),0)+IF(AND(O628="FIRE TEX 5120",OR(E628="IN",E628="C",E628="Z",E628="L"),J628=3),VLOOKUP(_xlfn.MINIFS('FIRE TEX 5120'!$B$5:$B$40,'FIRE TEX 5120'!$B$5:$B$40,"&gt;="&amp;M628),'FIRE TEX 5120'!$B$5:$G$40,IF(L628="F-15",2,IF(L628="F-30",3,IF(L628="F-60",4,IF(L628="F-90",5,IF(L628="F-120",6,0))))),0),0)+IF(AND(O628="FIRE TEX 5120",OR(E628="IN",E628="C",E628="Z",E628="L"),J628=4),VLOOKUP(_xlfn.MINIFS('FIRE TEX 5120'!$H$4:$H$40,'FIRE TEX 5120'!$H$4:$H$40,"&gt;="&amp;M628),'FIRE TEX 5120'!$H$4:$M$40,IF(L628="F-15",2,IF(L628="F-30",3,IF(L628="F-60",4,IF(L628="F-90",5,IF(L628="F-120",6,0))))),0),0)+IF(AND(O628="FIRE TEX 5120",E628="CJ"),VLOOKUP(_xlfn.MINIFS('FIRE TEX 5120'!$O$5:$O$40,'FIRE TEX 5120'!$O$5:$O$40,"&gt;="&amp;M628),'FIRE TEX 5120'!$O$5:$T$40,IF(L628="F-15",2,IF(L628="F-30",3,IF(L628="F-60",4,IF(L628="F-90",5,IF(L628="F-120",6,0))))),0),0)</f>
        <v>0</v>
      </c>
      <c r="Q628" s="46">
        <f t="shared" si="69"/>
        <v>0</v>
      </c>
      <c r="R628" s="46">
        <f t="shared" si="70"/>
        <v>0</v>
      </c>
      <c r="S628" s="46" t="e">
        <f t="shared" si="71"/>
        <v>#VALUE!</v>
      </c>
      <c r="T628" s="677">
        <f t="shared" si="72"/>
        <v>0</v>
      </c>
      <c r="U628" s="80">
        <f>(IF(O628="Stofire",(S628*#REF!),0))+(IF(O628="Fire Control",(S628*$U$2),0))+(IF(O628="Fire Tex",(S628*$U$3),0))+(IF(O628="WB7",(S628*#REF!),0)+(IF(O628="FX 2003",(S628*$U$5),0)))</f>
        <v>0</v>
      </c>
      <c r="V628" s="651">
        <f t="shared" si="73"/>
        <v>0</v>
      </c>
    </row>
    <row r="629" spans="4:22" x14ac:dyDescent="0.25">
      <c r="D629" s="118">
        <f>+CUBICACION!D628</f>
        <v>0</v>
      </c>
      <c r="E629" s="118">
        <f>+CUBICACION!F628</f>
        <v>0</v>
      </c>
      <c r="F629" s="118">
        <f>+CUBICACION!E628</f>
        <v>0</v>
      </c>
      <c r="G629" s="118">
        <v>12</v>
      </c>
      <c r="H629" s="118">
        <v>2</v>
      </c>
      <c r="I629" s="820">
        <v>26385</v>
      </c>
      <c r="J629" s="118">
        <f>+CUBICACION!J628</f>
        <v>0</v>
      </c>
      <c r="K629" s="118">
        <v>3408</v>
      </c>
      <c r="L629" s="118">
        <f>+CUBICACION!L628</f>
        <v>0</v>
      </c>
      <c r="M629" s="64">
        <f>+CUBICACION!M628</f>
        <v>0</v>
      </c>
      <c r="N629" s="824" t="str">
        <f>+CUBICACION!N628</f>
        <v/>
      </c>
      <c r="O629" s="675">
        <f>+CUBICACION!O628</f>
        <v>0</v>
      </c>
      <c r="P629" s="15">
        <f>IF(O629="Fire Control",VLOOKUP(_xlfn.MINIFS('FIRE CONTROL'!$C$4:$C$37,'FIRE CONTROL'!$C$4:$C$37,"&gt;="&amp;M629),'FIRE CONTROL'!$C$4:$G$37,IF(L629="F-15",2,IF(L629="F-30",3,IF(L629="F-60",4,IF(L629="F-90",5,0)))),0),0)+IF(AND(O629="FIRE TEX 5062",OR(E629="IN",E629="C",E629="Z",E629="L"),J629=3),VLOOKUP(_xlfn.MINIFS('FIRE TEX 5062'!$B$4:$B$34,'FIRE TEX 5062'!$B$4:$B$34,"&gt;="&amp;M629),'FIRE TEX 5062'!$B$4:$F$34,IF(L629="F-15",2,IF(L629="F-30",3,IF(L629="F-60",4,IF(L629="F-90",5,0)))),0),0)+IF(AND(O629="FIRE TEX 5062",OR(E629="IN",E629="C",E629="Z",E629="L"),J629=4),VLOOKUP(_xlfn.MINIFS('FIRE TEX 5062'!$G$4:$G$34,'FIRE TEX 5062'!$G$4:$G$34,"&gt;="&amp;M629),'FIRE TEX 5062'!$G$4:$K$34,IF(L629="F-15",2,IF(L629="F-30",3,IF(L629="F-60",4,IF(L629="F-90",5,0)))),0),0)+IF(AND(O629="FIRE TEX 5062",E629="CJ",J629=3),VLOOKUP(_xlfn.MINIFS('FIRE TEX 5062'!$L$4:$L$34,'FIRE TEX 5062'!$L$4:$L$34,"&gt;="&amp;M629),'FIRE TEX 5062'!$L$4:$P$34,IF(L629="F-15",2,IF(L629="F-30",3,IF(L629="F-60",4,IF(L629="F-90",5,0)))),0),0)+IF(AND(O629="FIRE TEX 5062",E629="CJ",J629=4),VLOOKUP(_xlfn.MINIFS('FIRE TEX 5062'!$Q$3:$Q$34,'FIRE TEX 5062'!$Q$3:$Q$34,"&gt;="&amp;M629),'FIRE TEX 5062'!$Q$3:$U$34,IF(L629="F-15",2,IF(L629="F-30",3,IF(L629="F-60",4,IF(L629="F-90",5,0)))),0),0)+IF(AND(O629="FIRE TEX 5090",OR(E629="IN",E629="C",E629="Z",E629="L"),J629=3),VLOOKUP(_xlfn.MINIFS('FIRE TEX 5090'!$B$5:$B$43,'FIRE TEX 5090'!$B$5:$B$43,"&gt;="&amp;M629),'FIRE TEX 5090'!$B$5:$H$43,IF(L629="F-15",2,IF(L629="F-30",3,IF(L629="F-60",4,IF(L629="F-90",5,IF(L629="F-120",6,IF(L629="F-150",7,0)))))),0),0)+IF(AND(O629="FIRE TEX 5090",OR(E629="IN",E629="C",E629="Z",E629="L"),J629=4),VLOOKUP(_xlfn.MINIFS('FIRE TEX 5090'!$J$5:$J$43,'FIRE TEX 5090'!$J$5:$J$43,"&gt;="&amp;M629),'FIRE TEX 5090'!$J$5:$P$43,IF(L629="F-15",2,IF(L629="F-30",3,IF(L629="F-60",4,IF(L629="F-90",5,IF(L629="F-120",6,IF(L629="F-150",7,0)))))),0),0)+IF(AND(O629="FIRE TEX 5090",E629="CJ",J629=3),VLOOKUP(_xlfn.MINIFS('FIRE TEX 5090'!$R$5:$R$30,'FIRE TEX 5090'!$R$5:$R$30,"&gt;="&amp;M629),'FIRE TEX 5090'!$R$5:$W$30,IF(L629="F-15",2,IF(L629="F-30",3,IF(L629="F-60",4,IF(L629="F-90",5,IF(L629="F-120",6,IF(L629="F-150",7,0)))))),0),0)+IF(AND(O629="FIRE TEX 5090",E629="CJ",J629=4),VLOOKUP(_xlfn.MINIFS('FIRE TEX 5090'!$Y$5:$Y$39,'FIRE TEX 5090'!$Y$5:$Y$39,"&gt;="&amp;M629),'FIRE TEX 5090'!$Y$5:$AD$39,IF(L629="F-15",2,IF(L629="F-30",3,IF(L629="F-60",4,IF(L629="F-90",5,IF(L629="F-120",6,IF(L629="F-150",7,0)))))),0),0)+IF(AND(O629="FIRE TEX 5120",OR(E629="IN",E629="C",E629="Z",E629="L"),J629=3),VLOOKUP(_xlfn.MINIFS('FIRE TEX 5120'!$B$5:$B$40,'FIRE TEX 5120'!$B$5:$B$40,"&gt;="&amp;M629),'FIRE TEX 5120'!$B$5:$G$40,IF(L629="F-15",2,IF(L629="F-30",3,IF(L629="F-60",4,IF(L629="F-90",5,IF(L629="F-120",6,0))))),0),0)+IF(AND(O629="FIRE TEX 5120",OR(E629="IN",E629="C",E629="Z",E629="L"),J629=4),VLOOKUP(_xlfn.MINIFS('FIRE TEX 5120'!$H$4:$H$40,'FIRE TEX 5120'!$H$4:$H$40,"&gt;="&amp;M629),'FIRE TEX 5120'!$H$4:$M$40,IF(L629="F-15",2,IF(L629="F-30",3,IF(L629="F-60",4,IF(L629="F-90",5,IF(L629="F-120",6,0))))),0),0)+IF(AND(O629="FIRE TEX 5120",E629="CJ"),VLOOKUP(_xlfn.MINIFS('FIRE TEX 5120'!$O$5:$O$40,'FIRE TEX 5120'!$O$5:$O$40,"&gt;="&amp;M629),'FIRE TEX 5120'!$O$5:$T$40,IF(L629="F-15",2,IF(L629="F-30",3,IF(L629="F-60",4,IF(L629="F-90",5,IF(L629="F-120",6,0))))),0),0)</f>
        <v>0</v>
      </c>
      <c r="Q629" s="46">
        <f t="shared" si="69"/>
        <v>0</v>
      </c>
      <c r="R629" s="46">
        <f t="shared" si="70"/>
        <v>0</v>
      </c>
      <c r="S629" s="46" t="e">
        <f t="shared" si="71"/>
        <v>#VALUE!</v>
      </c>
      <c r="T629" s="677">
        <f t="shared" si="72"/>
        <v>0</v>
      </c>
      <c r="U629" s="80">
        <f>(IF(O629="Stofire",(S629*#REF!),0))+(IF(O629="Fire Control",(S629*$U$2),0))+(IF(O629="Fire Tex",(S629*$U$3),0))+(IF(O629="WB7",(S629*#REF!),0)+(IF(O629="FX 2003",(S629*$U$5),0)))</f>
        <v>0</v>
      </c>
      <c r="V629" s="651">
        <f t="shared" si="73"/>
        <v>0</v>
      </c>
    </row>
    <row r="630" spans="4:22" x14ac:dyDescent="0.25">
      <c r="D630" s="118">
        <f>+CUBICACION!D629</f>
        <v>0</v>
      </c>
      <c r="E630" s="118">
        <f>+CUBICACION!F629</f>
        <v>0</v>
      </c>
      <c r="F630" s="118">
        <f>+CUBICACION!E629</f>
        <v>0</v>
      </c>
      <c r="G630" s="118">
        <v>12</v>
      </c>
      <c r="H630" s="118">
        <v>2</v>
      </c>
      <c r="I630" s="820">
        <v>26385</v>
      </c>
      <c r="J630" s="118">
        <f>+CUBICACION!J629</f>
        <v>0</v>
      </c>
      <c r="K630" s="118">
        <v>3409</v>
      </c>
      <c r="L630" s="118">
        <f>+CUBICACION!L629</f>
        <v>0</v>
      </c>
      <c r="M630" s="64">
        <f>+CUBICACION!M629</f>
        <v>0</v>
      </c>
      <c r="N630" s="824" t="str">
        <f>+CUBICACION!N629</f>
        <v/>
      </c>
      <c r="O630" s="675">
        <f>+CUBICACION!O629</f>
        <v>0</v>
      </c>
      <c r="P630" s="15">
        <f>IF(O630="Fire Control",VLOOKUP(_xlfn.MINIFS('FIRE CONTROL'!$C$4:$C$37,'FIRE CONTROL'!$C$4:$C$37,"&gt;="&amp;M630),'FIRE CONTROL'!$C$4:$G$37,IF(L630="F-15",2,IF(L630="F-30",3,IF(L630="F-60",4,IF(L630="F-90",5,0)))),0),0)+IF(AND(O630="FIRE TEX 5062",OR(E630="IN",E630="C",E630="Z",E630="L"),J630=3),VLOOKUP(_xlfn.MINIFS('FIRE TEX 5062'!$B$4:$B$34,'FIRE TEX 5062'!$B$4:$B$34,"&gt;="&amp;M630),'FIRE TEX 5062'!$B$4:$F$34,IF(L630="F-15",2,IF(L630="F-30",3,IF(L630="F-60",4,IF(L630="F-90",5,0)))),0),0)+IF(AND(O630="FIRE TEX 5062",OR(E630="IN",E630="C",E630="Z",E630="L"),J630=4),VLOOKUP(_xlfn.MINIFS('FIRE TEX 5062'!$G$4:$G$34,'FIRE TEX 5062'!$G$4:$G$34,"&gt;="&amp;M630),'FIRE TEX 5062'!$G$4:$K$34,IF(L630="F-15",2,IF(L630="F-30",3,IF(L630="F-60",4,IF(L630="F-90",5,0)))),0),0)+IF(AND(O630="FIRE TEX 5062",E630="CJ",J630=3),VLOOKUP(_xlfn.MINIFS('FIRE TEX 5062'!$L$4:$L$34,'FIRE TEX 5062'!$L$4:$L$34,"&gt;="&amp;M630),'FIRE TEX 5062'!$L$4:$P$34,IF(L630="F-15",2,IF(L630="F-30",3,IF(L630="F-60",4,IF(L630="F-90",5,0)))),0),0)+IF(AND(O630="FIRE TEX 5062",E630="CJ",J630=4),VLOOKUP(_xlfn.MINIFS('FIRE TEX 5062'!$Q$3:$Q$34,'FIRE TEX 5062'!$Q$3:$Q$34,"&gt;="&amp;M630),'FIRE TEX 5062'!$Q$3:$U$34,IF(L630="F-15",2,IF(L630="F-30",3,IF(L630="F-60",4,IF(L630="F-90",5,0)))),0),0)+IF(AND(O630="FIRE TEX 5090",OR(E630="IN",E630="C",E630="Z",E630="L"),J630=3),VLOOKUP(_xlfn.MINIFS('FIRE TEX 5090'!$B$5:$B$43,'FIRE TEX 5090'!$B$5:$B$43,"&gt;="&amp;M630),'FIRE TEX 5090'!$B$5:$H$43,IF(L630="F-15",2,IF(L630="F-30",3,IF(L630="F-60",4,IF(L630="F-90",5,IF(L630="F-120",6,IF(L630="F-150",7,0)))))),0),0)+IF(AND(O630="FIRE TEX 5090",OR(E630="IN",E630="C",E630="Z",E630="L"),J630=4),VLOOKUP(_xlfn.MINIFS('FIRE TEX 5090'!$J$5:$J$43,'FIRE TEX 5090'!$J$5:$J$43,"&gt;="&amp;M630),'FIRE TEX 5090'!$J$5:$P$43,IF(L630="F-15",2,IF(L630="F-30",3,IF(L630="F-60",4,IF(L630="F-90",5,IF(L630="F-120",6,IF(L630="F-150",7,0)))))),0),0)+IF(AND(O630="FIRE TEX 5090",E630="CJ",J630=3),VLOOKUP(_xlfn.MINIFS('FIRE TEX 5090'!$R$5:$R$30,'FIRE TEX 5090'!$R$5:$R$30,"&gt;="&amp;M630),'FIRE TEX 5090'!$R$5:$W$30,IF(L630="F-15",2,IF(L630="F-30",3,IF(L630="F-60",4,IF(L630="F-90",5,IF(L630="F-120",6,IF(L630="F-150",7,0)))))),0),0)+IF(AND(O630="FIRE TEX 5090",E630="CJ",J630=4),VLOOKUP(_xlfn.MINIFS('FIRE TEX 5090'!$Y$5:$Y$39,'FIRE TEX 5090'!$Y$5:$Y$39,"&gt;="&amp;M630),'FIRE TEX 5090'!$Y$5:$AD$39,IF(L630="F-15",2,IF(L630="F-30",3,IF(L630="F-60",4,IF(L630="F-90",5,IF(L630="F-120",6,IF(L630="F-150",7,0)))))),0),0)+IF(AND(O630="FIRE TEX 5120",OR(E630="IN",E630="C",E630="Z",E630="L"),J630=3),VLOOKUP(_xlfn.MINIFS('FIRE TEX 5120'!$B$5:$B$40,'FIRE TEX 5120'!$B$5:$B$40,"&gt;="&amp;M630),'FIRE TEX 5120'!$B$5:$G$40,IF(L630="F-15",2,IF(L630="F-30",3,IF(L630="F-60",4,IF(L630="F-90",5,IF(L630="F-120",6,0))))),0),0)+IF(AND(O630="FIRE TEX 5120",OR(E630="IN",E630="C",E630="Z",E630="L"),J630=4),VLOOKUP(_xlfn.MINIFS('FIRE TEX 5120'!$H$4:$H$40,'FIRE TEX 5120'!$H$4:$H$40,"&gt;="&amp;M630),'FIRE TEX 5120'!$H$4:$M$40,IF(L630="F-15",2,IF(L630="F-30",3,IF(L630="F-60",4,IF(L630="F-90",5,IF(L630="F-120",6,0))))),0),0)+IF(AND(O630="FIRE TEX 5120",E630="CJ"),VLOOKUP(_xlfn.MINIFS('FIRE TEX 5120'!$O$5:$O$40,'FIRE TEX 5120'!$O$5:$O$40,"&gt;="&amp;M630),'FIRE TEX 5120'!$O$5:$T$40,IF(L630="F-15",2,IF(L630="F-30",3,IF(L630="F-60",4,IF(L630="F-90",5,IF(L630="F-120",6,0))))),0),0)</f>
        <v>0</v>
      </c>
      <c r="Q630" s="46">
        <f t="shared" si="69"/>
        <v>0</v>
      </c>
      <c r="R630" s="46">
        <f t="shared" si="70"/>
        <v>0</v>
      </c>
      <c r="S630" s="46" t="e">
        <f t="shared" si="71"/>
        <v>#VALUE!</v>
      </c>
      <c r="T630" s="677">
        <f t="shared" si="72"/>
        <v>0</v>
      </c>
      <c r="U630" s="80">
        <f>(IF(O630="Stofire",(S630*#REF!),0))+(IF(O630="Fire Control",(S630*$U$2),0))+(IF(O630="Fire Tex",(S630*$U$3),0))+(IF(O630="WB7",(S630*#REF!),0)+(IF(O630="FX 2003",(S630*$U$5),0)))</f>
        <v>0</v>
      </c>
      <c r="V630" s="651">
        <f t="shared" si="73"/>
        <v>0</v>
      </c>
    </row>
    <row r="631" spans="4:22" x14ac:dyDescent="0.25">
      <c r="D631" s="118">
        <f>+CUBICACION!D630</f>
        <v>0</v>
      </c>
      <c r="E631" s="118">
        <f>+CUBICACION!F630</f>
        <v>0</v>
      </c>
      <c r="F631" s="118">
        <f>+CUBICACION!E630</f>
        <v>0</v>
      </c>
      <c r="G631" s="118">
        <v>12</v>
      </c>
      <c r="H631" s="118">
        <v>2</v>
      </c>
      <c r="I631" s="820">
        <v>26385</v>
      </c>
      <c r="J631" s="118">
        <f>+CUBICACION!J630</f>
        <v>0</v>
      </c>
      <c r="K631" s="118">
        <v>3410</v>
      </c>
      <c r="L631" s="118">
        <f>+CUBICACION!L630</f>
        <v>0</v>
      </c>
      <c r="M631" s="64">
        <f>+CUBICACION!M630</f>
        <v>0</v>
      </c>
      <c r="N631" s="824" t="str">
        <f>+CUBICACION!N630</f>
        <v/>
      </c>
      <c r="O631" s="675">
        <f>+CUBICACION!O630</f>
        <v>0</v>
      </c>
      <c r="P631" s="15">
        <f>IF(O631="Fire Control",VLOOKUP(_xlfn.MINIFS('FIRE CONTROL'!$C$4:$C$37,'FIRE CONTROL'!$C$4:$C$37,"&gt;="&amp;M631),'FIRE CONTROL'!$C$4:$G$37,IF(L631="F-15",2,IF(L631="F-30",3,IF(L631="F-60",4,IF(L631="F-90",5,0)))),0),0)+IF(AND(O631="FIRE TEX 5062",OR(E631="IN",E631="C",E631="Z",E631="L"),J631=3),VLOOKUP(_xlfn.MINIFS('FIRE TEX 5062'!$B$4:$B$34,'FIRE TEX 5062'!$B$4:$B$34,"&gt;="&amp;M631),'FIRE TEX 5062'!$B$4:$F$34,IF(L631="F-15",2,IF(L631="F-30",3,IF(L631="F-60",4,IF(L631="F-90",5,0)))),0),0)+IF(AND(O631="FIRE TEX 5062",OR(E631="IN",E631="C",E631="Z",E631="L"),J631=4),VLOOKUP(_xlfn.MINIFS('FIRE TEX 5062'!$G$4:$G$34,'FIRE TEX 5062'!$G$4:$G$34,"&gt;="&amp;M631),'FIRE TEX 5062'!$G$4:$K$34,IF(L631="F-15",2,IF(L631="F-30",3,IF(L631="F-60",4,IF(L631="F-90",5,0)))),0),0)+IF(AND(O631="FIRE TEX 5062",E631="CJ",J631=3),VLOOKUP(_xlfn.MINIFS('FIRE TEX 5062'!$L$4:$L$34,'FIRE TEX 5062'!$L$4:$L$34,"&gt;="&amp;M631),'FIRE TEX 5062'!$L$4:$P$34,IF(L631="F-15",2,IF(L631="F-30",3,IF(L631="F-60",4,IF(L631="F-90",5,0)))),0),0)+IF(AND(O631="FIRE TEX 5062",E631="CJ",J631=4),VLOOKUP(_xlfn.MINIFS('FIRE TEX 5062'!$Q$3:$Q$34,'FIRE TEX 5062'!$Q$3:$Q$34,"&gt;="&amp;M631),'FIRE TEX 5062'!$Q$3:$U$34,IF(L631="F-15",2,IF(L631="F-30",3,IF(L631="F-60",4,IF(L631="F-90",5,0)))),0),0)+IF(AND(O631="FIRE TEX 5090",OR(E631="IN",E631="C",E631="Z",E631="L"),J631=3),VLOOKUP(_xlfn.MINIFS('FIRE TEX 5090'!$B$5:$B$43,'FIRE TEX 5090'!$B$5:$B$43,"&gt;="&amp;M631),'FIRE TEX 5090'!$B$5:$H$43,IF(L631="F-15",2,IF(L631="F-30",3,IF(L631="F-60",4,IF(L631="F-90",5,IF(L631="F-120",6,IF(L631="F-150",7,0)))))),0),0)+IF(AND(O631="FIRE TEX 5090",OR(E631="IN",E631="C",E631="Z",E631="L"),J631=4),VLOOKUP(_xlfn.MINIFS('FIRE TEX 5090'!$J$5:$J$43,'FIRE TEX 5090'!$J$5:$J$43,"&gt;="&amp;M631),'FIRE TEX 5090'!$J$5:$P$43,IF(L631="F-15",2,IF(L631="F-30",3,IF(L631="F-60",4,IF(L631="F-90",5,IF(L631="F-120",6,IF(L631="F-150",7,0)))))),0),0)+IF(AND(O631="FIRE TEX 5090",E631="CJ",J631=3),VLOOKUP(_xlfn.MINIFS('FIRE TEX 5090'!$R$5:$R$30,'FIRE TEX 5090'!$R$5:$R$30,"&gt;="&amp;M631),'FIRE TEX 5090'!$R$5:$W$30,IF(L631="F-15",2,IF(L631="F-30",3,IF(L631="F-60",4,IF(L631="F-90",5,IF(L631="F-120",6,IF(L631="F-150",7,0)))))),0),0)+IF(AND(O631="FIRE TEX 5090",E631="CJ",J631=4),VLOOKUP(_xlfn.MINIFS('FIRE TEX 5090'!$Y$5:$Y$39,'FIRE TEX 5090'!$Y$5:$Y$39,"&gt;="&amp;M631),'FIRE TEX 5090'!$Y$5:$AD$39,IF(L631="F-15",2,IF(L631="F-30",3,IF(L631="F-60",4,IF(L631="F-90",5,IF(L631="F-120",6,IF(L631="F-150",7,0)))))),0),0)+IF(AND(O631="FIRE TEX 5120",OR(E631="IN",E631="C",E631="Z",E631="L"),J631=3),VLOOKUP(_xlfn.MINIFS('FIRE TEX 5120'!$B$5:$B$40,'FIRE TEX 5120'!$B$5:$B$40,"&gt;="&amp;M631),'FIRE TEX 5120'!$B$5:$G$40,IF(L631="F-15",2,IF(L631="F-30",3,IF(L631="F-60",4,IF(L631="F-90",5,IF(L631="F-120",6,0))))),0),0)+IF(AND(O631="FIRE TEX 5120",OR(E631="IN",E631="C",E631="Z",E631="L"),J631=4),VLOOKUP(_xlfn.MINIFS('FIRE TEX 5120'!$H$4:$H$40,'FIRE TEX 5120'!$H$4:$H$40,"&gt;="&amp;M631),'FIRE TEX 5120'!$H$4:$M$40,IF(L631="F-15",2,IF(L631="F-30",3,IF(L631="F-60",4,IF(L631="F-90",5,IF(L631="F-120",6,0))))),0),0)+IF(AND(O631="FIRE TEX 5120",E631="CJ"),VLOOKUP(_xlfn.MINIFS('FIRE TEX 5120'!$O$5:$O$40,'FIRE TEX 5120'!$O$5:$O$40,"&gt;="&amp;M631),'FIRE TEX 5120'!$O$5:$T$40,IF(L631="F-15",2,IF(L631="F-30",3,IF(L631="F-60",4,IF(L631="F-90",5,IF(L631="F-120",6,0))))),0),0)</f>
        <v>0</v>
      </c>
      <c r="Q631" s="46">
        <f t="shared" si="69"/>
        <v>0</v>
      </c>
      <c r="R631" s="46">
        <f t="shared" si="70"/>
        <v>0</v>
      </c>
      <c r="S631" s="46" t="e">
        <f t="shared" si="71"/>
        <v>#VALUE!</v>
      </c>
      <c r="T631" s="677">
        <f t="shared" si="72"/>
        <v>0</v>
      </c>
      <c r="U631" s="80">
        <f>(IF(O631="Stofire",(S631*#REF!),0))+(IF(O631="Fire Control",(S631*$U$2),0))+(IF(O631="Fire Tex",(S631*$U$3),0))+(IF(O631="WB7",(S631*#REF!),0)+(IF(O631="FX 2003",(S631*$U$5),0)))</f>
        <v>0</v>
      </c>
      <c r="V631" s="651">
        <f t="shared" si="73"/>
        <v>0</v>
      </c>
    </row>
    <row r="632" spans="4:22" x14ac:dyDescent="0.25">
      <c r="D632" s="118">
        <f>+CUBICACION!D631</f>
        <v>0</v>
      </c>
      <c r="E632" s="118">
        <f>+CUBICACION!F631</f>
        <v>0</v>
      </c>
      <c r="F632" s="118">
        <f>+CUBICACION!E631</f>
        <v>0</v>
      </c>
      <c r="G632" s="118">
        <v>12</v>
      </c>
      <c r="H632" s="118">
        <v>2</v>
      </c>
      <c r="I632" s="820">
        <v>26385</v>
      </c>
      <c r="J632" s="118">
        <f>+CUBICACION!J631</f>
        <v>0</v>
      </c>
      <c r="K632" s="118">
        <v>3411</v>
      </c>
      <c r="L632" s="118">
        <f>+CUBICACION!L631</f>
        <v>0</v>
      </c>
      <c r="M632" s="64">
        <f>+CUBICACION!M631</f>
        <v>0</v>
      </c>
      <c r="N632" s="824" t="str">
        <f>+CUBICACION!N631</f>
        <v/>
      </c>
      <c r="O632" s="675">
        <f>+CUBICACION!O631</f>
        <v>0</v>
      </c>
      <c r="P632" s="15">
        <f>IF(O632="Fire Control",VLOOKUP(_xlfn.MINIFS('FIRE CONTROL'!$C$4:$C$37,'FIRE CONTROL'!$C$4:$C$37,"&gt;="&amp;M632),'FIRE CONTROL'!$C$4:$G$37,IF(L632="F-15",2,IF(L632="F-30",3,IF(L632="F-60",4,IF(L632="F-90",5,0)))),0),0)+IF(AND(O632="FIRE TEX 5062",OR(E632="IN",E632="C",E632="Z",E632="L"),J632=3),VLOOKUP(_xlfn.MINIFS('FIRE TEX 5062'!$B$4:$B$34,'FIRE TEX 5062'!$B$4:$B$34,"&gt;="&amp;M632),'FIRE TEX 5062'!$B$4:$F$34,IF(L632="F-15",2,IF(L632="F-30",3,IF(L632="F-60",4,IF(L632="F-90",5,0)))),0),0)+IF(AND(O632="FIRE TEX 5062",OR(E632="IN",E632="C",E632="Z",E632="L"),J632=4),VLOOKUP(_xlfn.MINIFS('FIRE TEX 5062'!$G$4:$G$34,'FIRE TEX 5062'!$G$4:$G$34,"&gt;="&amp;M632),'FIRE TEX 5062'!$G$4:$K$34,IF(L632="F-15",2,IF(L632="F-30",3,IF(L632="F-60",4,IF(L632="F-90",5,0)))),0),0)+IF(AND(O632="FIRE TEX 5062",E632="CJ",J632=3),VLOOKUP(_xlfn.MINIFS('FIRE TEX 5062'!$L$4:$L$34,'FIRE TEX 5062'!$L$4:$L$34,"&gt;="&amp;M632),'FIRE TEX 5062'!$L$4:$P$34,IF(L632="F-15",2,IF(L632="F-30",3,IF(L632="F-60",4,IF(L632="F-90",5,0)))),0),0)+IF(AND(O632="FIRE TEX 5062",E632="CJ",J632=4),VLOOKUP(_xlfn.MINIFS('FIRE TEX 5062'!$Q$3:$Q$34,'FIRE TEX 5062'!$Q$3:$Q$34,"&gt;="&amp;M632),'FIRE TEX 5062'!$Q$3:$U$34,IF(L632="F-15",2,IF(L632="F-30",3,IF(L632="F-60",4,IF(L632="F-90",5,0)))),0),0)+IF(AND(O632="FIRE TEX 5090",OR(E632="IN",E632="C",E632="Z",E632="L"),J632=3),VLOOKUP(_xlfn.MINIFS('FIRE TEX 5090'!$B$5:$B$43,'FIRE TEX 5090'!$B$5:$B$43,"&gt;="&amp;M632),'FIRE TEX 5090'!$B$5:$H$43,IF(L632="F-15",2,IF(L632="F-30",3,IF(L632="F-60",4,IF(L632="F-90",5,IF(L632="F-120",6,IF(L632="F-150",7,0)))))),0),0)+IF(AND(O632="FIRE TEX 5090",OR(E632="IN",E632="C",E632="Z",E632="L"),J632=4),VLOOKUP(_xlfn.MINIFS('FIRE TEX 5090'!$J$5:$J$43,'FIRE TEX 5090'!$J$5:$J$43,"&gt;="&amp;M632),'FIRE TEX 5090'!$J$5:$P$43,IF(L632="F-15",2,IF(L632="F-30",3,IF(L632="F-60",4,IF(L632="F-90",5,IF(L632="F-120",6,IF(L632="F-150",7,0)))))),0),0)+IF(AND(O632="FIRE TEX 5090",E632="CJ",J632=3),VLOOKUP(_xlfn.MINIFS('FIRE TEX 5090'!$R$5:$R$30,'FIRE TEX 5090'!$R$5:$R$30,"&gt;="&amp;M632),'FIRE TEX 5090'!$R$5:$W$30,IF(L632="F-15",2,IF(L632="F-30",3,IF(L632="F-60",4,IF(L632="F-90",5,IF(L632="F-120",6,IF(L632="F-150",7,0)))))),0),0)+IF(AND(O632="FIRE TEX 5090",E632="CJ",J632=4),VLOOKUP(_xlfn.MINIFS('FIRE TEX 5090'!$Y$5:$Y$39,'FIRE TEX 5090'!$Y$5:$Y$39,"&gt;="&amp;M632),'FIRE TEX 5090'!$Y$5:$AD$39,IF(L632="F-15",2,IF(L632="F-30",3,IF(L632="F-60",4,IF(L632="F-90",5,IF(L632="F-120",6,IF(L632="F-150",7,0)))))),0),0)+IF(AND(O632="FIRE TEX 5120",OR(E632="IN",E632="C",E632="Z",E632="L"),J632=3),VLOOKUP(_xlfn.MINIFS('FIRE TEX 5120'!$B$5:$B$40,'FIRE TEX 5120'!$B$5:$B$40,"&gt;="&amp;M632),'FIRE TEX 5120'!$B$5:$G$40,IF(L632="F-15",2,IF(L632="F-30",3,IF(L632="F-60",4,IF(L632="F-90",5,IF(L632="F-120",6,0))))),0),0)+IF(AND(O632="FIRE TEX 5120",OR(E632="IN",E632="C",E632="Z",E632="L"),J632=4),VLOOKUP(_xlfn.MINIFS('FIRE TEX 5120'!$H$4:$H$40,'FIRE TEX 5120'!$H$4:$H$40,"&gt;="&amp;M632),'FIRE TEX 5120'!$H$4:$M$40,IF(L632="F-15",2,IF(L632="F-30",3,IF(L632="F-60",4,IF(L632="F-90",5,IF(L632="F-120",6,0))))),0),0)+IF(AND(O632="FIRE TEX 5120",E632="CJ"),VLOOKUP(_xlfn.MINIFS('FIRE TEX 5120'!$O$5:$O$40,'FIRE TEX 5120'!$O$5:$O$40,"&gt;="&amp;M632),'FIRE TEX 5120'!$O$5:$T$40,IF(L632="F-15",2,IF(L632="F-30",3,IF(L632="F-60",4,IF(L632="F-90",5,IF(L632="F-120",6,0))))),0),0)</f>
        <v>0</v>
      </c>
      <c r="Q632" s="46">
        <f t="shared" si="69"/>
        <v>0</v>
      </c>
      <c r="R632" s="46">
        <f t="shared" si="70"/>
        <v>0</v>
      </c>
      <c r="S632" s="46" t="e">
        <f t="shared" si="71"/>
        <v>#VALUE!</v>
      </c>
      <c r="T632" s="677">
        <f t="shared" si="72"/>
        <v>0</v>
      </c>
      <c r="U632" s="80">
        <f>(IF(O632="Stofire",(S632*#REF!),0))+(IF(O632="Fire Control",(S632*$U$2),0))+(IF(O632="Fire Tex",(S632*$U$3),0))+(IF(O632="WB7",(S632*#REF!),0)+(IF(O632="FX 2003",(S632*$U$5),0)))</f>
        <v>0</v>
      </c>
      <c r="V632" s="651">
        <f t="shared" si="73"/>
        <v>0</v>
      </c>
    </row>
    <row r="633" spans="4:22" x14ac:dyDescent="0.25">
      <c r="D633" s="118">
        <f>+CUBICACION!D632</f>
        <v>0</v>
      </c>
      <c r="E633" s="118">
        <f>+CUBICACION!F632</f>
        <v>0</v>
      </c>
      <c r="F633" s="118">
        <f>+CUBICACION!E632</f>
        <v>0</v>
      </c>
      <c r="G633" s="118">
        <v>12</v>
      </c>
      <c r="H633" s="118">
        <v>2</v>
      </c>
      <c r="I633" s="820">
        <v>26385</v>
      </c>
      <c r="J633" s="118">
        <f>+CUBICACION!J632</f>
        <v>0</v>
      </c>
      <c r="K633" s="118">
        <v>3412</v>
      </c>
      <c r="L633" s="118">
        <f>+CUBICACION!L632</f>
        <v>0</v>
      </c>
      <c r="M633" s="64">
        <f>+CUBICACION!M632</f>
        <v>0</v>
      </c>
      <c r="N633" s="824" t="str">
        <f>+CUBICACION!N632</f>
        <v/>
      </c>
      <c r="O633" s="675">
        <f>+CUBICACION!O632</f>
        <v>0</v>
      </c>
      <c r="P633" s="15">
        <f>IF(O633="Fire Control",VLOOKUP(_xlfn.MINIFS('FIRE CONTROL'!$C$4:$C$37,'FIRE CONTROL'!$C$4:$C$37,"&gt;="&amp;M633),'FIRE CONTROL'!$C$4:$G$37,IF(L633="F-15",2,IF(L633="F-30",3,IF(L633="F-60",4,IF(L633="F-90",5,0)))),0),0)+IF(AND(O633="FIRE TEX 5062",OR(E633="IN",E633="C",E633="Z",E633="L"),J633=3),VLOOKUP(_xlfn.MINIFS('FIRE TEX 5062'!$B$4:$B$34,'FIRE TEX 5062'!$B$4:$B$34,"&gt;="&amp;M633),'FIRE TEX 5062'!$B$4:$F$34,IF(L633="F-15",2,IF(L633="F-30",3,IF(L633="F-60",4,IF(L633="F-90",5,0)))),0),0)+IF(AND(O633="FIRE TEX 5062",OR(E633="IN",E633="C",E633="Z",E633="L"),J633=4),VLOOKUP(_xlfn.MINIFS('FIRE TEX 5062'!$G$4:$G$34,'FIRE TEX 5062'!$G$4:$G$34,"&gt;="&amp;M633),'FIRE TEX 5062'!$G$4:$K$34,IF(L633="F-15",2,IF(L633="F-30",3,IF(L633="F-60",4,IF(L633="F-90",5,0)))),0),0)+IF(AND(O633="FIRE TEX 5062",E633="CJ",J633=3),VLOOKUP(_xlfn.MINIFS('FIRE TEX 5062'!$L$4:$L$34,'FIRE TEX 5062'!$L$4:$L$34,"&gt;="&amp;M633),'FIRE TEX 5062'!$L$4:$P$34,IF(L633="F-15",2,IF(L633="F-30",3,IF(L633="F-60",4,IF(L633="F-90",5,0)))),0),0)+IF(AND(O633="FIRE TEX 5062",E633="CJ",J633=4),VLOOKUP(_xlfn.MINIFS('FIRE TEX 5062'!$Q$3:$Q$34,'FIRE TEX 5062'!$Q$3:$Q$34,"&gt;="&amp;M633),'FIRE TEX 5062'!$Q$3:$U$34,IF(L633="F-15",2,IF(L633="F-30",3,IF(L633="F-60",4,IF(L633="F-90",5,0)))),0),0)+IF(AND(O633="FIRE TEX 5090",OR(E633="IN",E633="C",E633="Z",E633="L"),J633=3),VLOOKUP(_xlfn.MINIFS('FIRE TEX 5090'!$B$5:$B$43,'FIRE TEX 5090'!$B$5:$B$43,"&gt;="&amp;M633),'FIRE TEX 5090'!$B$5:$H$43,IF(L633="F-15",2,IF(L633="F-30",3,IF(L633="F-60",4,IF(L633="F-90",5,IF(L633="F-120",6,IF(L633="F-150",7,0)))))),0),0)+IF(AND(O633="FIRE TEX 5090",OR(E633="IN",E633="C",E633="Z",E633="L"),J633=4),VLOOKUP(_xlfn.MINIFS('FIRE TEX 5090'!$J$5:$J$43,'FIRE TEX 5090'!$J$5:$J$43,"&gt;="&amp;M633),'FIRE TEX 5090'!$J$5:$P$43,IF(L633="F-15",2,IF(L633="F-30",3,IF(L633="F-60",4,IF(L633="F-90",5,IF(L633="F-120",6,IF(L633="F-150",7,0)))))),0),0)+IF(AND(O633="FIRE TEX 5090",E633="CJ",J633=3),VLOOKUP(_xlfn.MINIFS('FIRE TEX 5090'!$R$5:$R$30,'FIRE TEX 5090'!$R$5:$R$30,"&gt;="&amp;M633),'FIRE TEX 5090'!$R$5:$W$30,IF(L633="F-15",2,IF(L633="F-30",3,IF(L633="F-60",4,IF(L633="F-90",5,IF(L633="F-120",6,IF(L633="F-150",7,0)))))),0),0)+IF(AND(O633="FIRE TEX 5090",E633="CJ",J633=4),VLOOKUP(_xlfn.MINIFS('FIRE TEX 5090'!$Y$5:$Y$39,'FIRE TEX 5090'!$Y$5:$Y$39,"&gt;="&amp;M633),'FIRE TEX 5090'!$Y$5:$AD$39,IF(L633="F-15",2,IF(L633="F-30",3,IF(L633="F-60",4,IF(L633="F-90",5,IF(L633="F-120",6,IF(L633="F-150",7,0)))))),0),0)+IF(AND(O633="FIRE TEX 5120",OR(E633="IN",E633="C",E633="Z",E633="L"),J633=3),VLOOKUP(_xlfn.MINIFS('FIRE TEX 5120'!$B$5:$B$40,'FIRE TEX 5120'!$B$5:$B$40,"&gt;="&amp;M633),'FIRE TEX 5120'!$B$5:$G$40,IF(L633="F-15",2,IF(L633="F-30",3,IF(L633="F-60",4,IF(L633="F-90",5,IF(L633="F-120",6,0))))),0),0)+IF(AND(O633="FIRE TEX 5120",OR(E633="IN",E633="C",E633="Z",E633="L"),J633=4),VLOOKUP(_xlfn.MINIFS('FIRE TEX 5120'!$H$4:$H$40,'FIRE TEX 5120'!$H$4:$H$40,"&gt;="&amp;M633),'FIRE TEX 5120'!$H$4:$M$40,IF(L633="F-15",2,IF(L633="F-30",3,IF(L633="F-60",4,IF(L633="F-90",5,IF(L633="F-120",6,0))))),0),0)+IF(AND(O633="FIRE TEX 5120",E633="CJ"),VLOOKUP(_xlfn.MINIFS('FIRE TEX 5120'!$O$5:$O$40,'FIRE TEX 5120'!$O$5:$O$40,"&gt;="&amp;M633),'FIRE TEX 5120'!$O$5:$T$40,IF(L633="F-15",2,IF(L633="F-30",3,IF(L633="F-60",4,IF(L633="F-90",5,IF(L633="F-120",6,0))))),0),0)</f>
        <v>0</v>
      </c>
      <c r="Q633" s="46">
        <f t="shared" si="69"/>
        <v>0</v>
      </c>
      <c r="R633" s="46">
        <f t="shared" si="70"/>
        <v>0</v>
      </c>
      <c r="S633" s="46" t="e">
        <f t="shared" si="71"/>
        <v>#VALUE!</v>
      </c>
      <c r="T633" s="677">
        <f t="shared" si="72"/>
        <v>0</v>
      </c>
      <c r="U633" s="80">
        <f>(IF(O633="Stofire",(S633*#REF!),0))+(IF(O633="Fire Control",(S633*$U$2),0))+(IF(O633="Fire Tex",(S633*$U$3),0))+(IF(O633="WB7",(S633*#REF!),0)+(IF(O633="FX 2003",(S633*$U$5),0)))</f>
        <v>0</v>
      </c>
      <c r="V633" s="651">
        <f t="shared" si="73"/>
        <v>0</v>
      </c>
    </row>
    <row r="634" spans="4:22" x14ac:dyDescent="0.25">
      <c r="D634" s="118">
        <f>+CUBICACION!D633</f>
        <v>0</v>
      </c>
      <c r="E634" s="118">
        <f>+CUBICACION!F633</f>
        <v>0</v>
      </c>
      <c r="F634" s="118">
        <f>+CUBICACION!E633</f>
        <v>0</v>
      </c>
      <c r="G634" s="118">
        <v>12</v>
      </c>
      <c r="H634" s="118">
        <v>2</v>
      </c>
      <c r="I634" s="820">
        <v>26385</v>
      </c>
      <c r="J634" s="118">
        <f>+CUBICACION!J633</f>
        <v>0</v>
      </c>
      <c r="K634" s="118">
        <v>3413</v>
      </c>
      <c r="L634" s="118">
        <f>+CUBICACION!L633</f>
        <v>0</v>
      </c>
      <c r="M634" s="64">
        <f>+CUBICACION!M633</f>
        <v>0</v>
      </c>
      <c r="N634" s="824" t="str">
        <f>+CUBICACION!N633</f>
        <v/>
      </c>
      <c r="O634" s="675">
        <f>+CUBICACION!O633</f>
        <v>0</v>
      </c>
      <c r="P634" s="15">
        <f>IF(O634="Fire Control",VLOOKUP(_xlfn.MINIFS('FIRE CONTROL'!$C$4:$C$37,'FIRE CONTROL'!$C$4:$C$37,"&gt;="&amp;M634),'FIRE CONTROL'!$C$4:$G$37,IF(L634="F-15",2,IF(L634="F-30",3,IF(L634="F-60",4,IF(L634="F-90",5,0)))),0),0)+IF(AND(O634="FIRE TEX 5062",OR(E634="IN",E634="C",E634="Z",E634="L"),J634=3),VLOOKUP(_xlfn.MINIFS('FIRE TEX 5062'!$B$4:$B$34,'FIRE TEX 5062'!$B$4:$B$34,"&gt;="&amp;M634),'FIRE TEX 5062'!$B$4:$F$34,IF(L634="F-15",2,IF(L634="F-30",3,IF(L634="F-60",4,IF(L634="F-90",5,0)))),0),0)+IF(AND(O634="FIRE TEX 5062",OR(E634="IN",E634="C",E634="Z",E634="L"),J634=4),VLOOKUP(_xlfn.MINIFS('FIRE TEX 5062'!$G$4:$G$34,'FIRE TEX 5062'!$G$4:$G$34,"&gt;="&amp;M634),'FIRE TEX 5062'!$G$4:$K$34,IF(L634="F-15",2,IF(L634="F-30",3,IF(L634="F-60",4,IF(L634="F-90",5,0)))),0),0)+IF(AND(O634="FIRE TEX 5062",E634="CJ",J634=3),VLOOKUP(_xlfn.MINIFS('FIRE TEX 5062'!$L$4:$L$34,'FIRE TEX 5062'!$L$4:$L$34,"&gt;="&amp;M634),'FIRE TEX 5062'!$L$4:$P$34,IF(L634="F-15",2,IF(L634="F-30",3,IF(L634="F-60",4,IF(L634="F-90",5,0)))),0),0)+IF(AND(O634="FIRE TEX 5062",E634="CJ",J634=4),VLOOKUP(_xlfn.MINIFS('FIRE TEX 5062'!$Q$3:$Q$34,'FIRE TEX 5062'!$Q$3:$Q$34,"&gt;="&amp;M634),'FIRE TEX 5062'!$Q$3:$U$34,IF(L634="F-15",2,IF(L634="F-30",3,IF(L634="F-60",4,IF(L634="F-90",5,0)))),0),0)+IF(AND(O634="FIRE TEX 5090",OR(E634="IN",E634="C",E634="Z",E634="L"),J634=3),VLOOKUP(_xlfn.MINIFS('FIRE TEX 5090'!$B$5:$B$43,'FIRE TEX 5090'!$B$5:$B$43,"&gt;="&amp;M634),'FIRE TEX 5090'!$B$5:$H$43,IF(L634="F-15",2,IF(L634="F-30",3,IF(L634="F-60",4,IF(L634="F-90",5,IF(L634="F-120",6,IF(L634="F-150",7,0)))))),0),0)+IF(AND(O634="FIRE TEX 5090",OR(E634="IN",E634="C",E634="Z",E634="L"),J634=4),VLOOKUP(_xlfn.MINIFS('FIRE TEX 5090'!$J$5:$J$43,'FIRE TEX 5090'!$J$5:$J$43,"&gt;="&amp;M634),'FIRE TEX 5090'!$J$5:$P$43,IF(L634="F-15",2,IF(L634="F-30",3,IF(L634="F-60",4,IF(L634="F-90",5,IF(L634="F-120",6,IF(L634="F-150",7,0)))))),0),0)+IF(AND(O634="FIRE TEX 5090",E634="CJ",J634=3),VLOOKUP(_xlfn.MINIFS('FIRE TEX 5090'!$R$5:$R$30,'FIRE TEX 5090'!$R$5:$R$30,"&gt;="&amp;M634),'FIRE TEX 5090'!$R$5:$W$30,IF(L634="F-15",2,IF(L634="F-30",3,IF(L634="F-60",4,IF(L634="F-90",5,IF(L634="F-120",6,IF(L634="F-150",7,0)))))),0),0)+IF(AND(O634="FIRE TEX 5090",E634="CJ",J634=4),VLOOKUP(_xlfn.MINIFS('FIRE TEX 5090'!$Y$5:$Y$39,'FIRE TEX 5090'!$Y$5:$Y$39,"&gt;="&amp;M634),'FIRE TEX 5090'!$Y$5:$AD$39,IF(L634="F-15",2,IF(L634="F-30",3,IF(L634="F-60",4,IF(L634="F-90",5,IF(L634="F-120",6,IF(L634="F-150",7,0)))))),0),0)+IF(AND(O634="FIRE TEX 5120",OR(E634="IN",E634="C",E634="Z",E634="L"),J634=3),VLOOKUP(_xlfn.MINIFS('FIRE TEX 5120'!$B$5:$B$40,'FIRE TEX 5120'!$B$5:$B$40,"&gt;="&amp;M634),'FIRE TEX 5120'!$B$5:$G$40,IF(L634="F-15",2,IF(L634="F-30",3,IF(L634="F-60",4,IF(L634="F-90",5,IF(L634="F-120",6,0))))),0),0)+IF(AND(O634="FIRE TEX 5120",OR(E634="IN",E634="C",E634="Z",E634="L"),J634=4),VLOOKUP(_xlfn.MINIFS('FIRE TEX 5120'!$H$4:$H$40,'FIRE TEX 5120'!$H$4:$H$40,"&gt;="&amp;M634),'FIRE TEX 5120'!$H$4:$M$40,IF(L634="F-15",2,IF(L634="F-30",3,IF(L634="F-60",4,IF(L634="F-90",5,IF(L634="F-120",6,0))))),0),0)+IF(AND(O634="FIRE TEX 5120",E634="CJ"),VLOOKUP(_xlfn.MINIFS('FIRE TEX 5120'!$O$5:$O$40,'FIRE TEX 5120'!$O$5:$O$40,"&gt;="&amp;M634),'FIRE TEX 5120'!$O$5:$T$40,IF(L634="F-15",2,IF(L634="F-30",3,IF(L634="F-60",4,IF(L634="F-90",5,IF(L634="F-120",6,0))))),0),0)</f>
        <v>0</v>
      </c>
      <c r="Q634" s="46">
        <f t="shared" si="69"/>
        <v>0</v>
      </c>
      <c r="R634" s="46">
        <f t="shared" si="70"/>
        <v>0</v>
      </c>
      <c r="S634" s="46" t="e">
        <f t="shared" si="71"/>
        <v>#VALUE!</v>
      </c>
      <c r="T634" s="677">
        <f t="shared" si="72"/>
        <v>0</v>
      </c>
      <c r="U634" s="80">
        <f>(IF(O634="Stofire",(S634*#REF!),0))+(IF(O634="Fire Control",(S634*$U$2),0))+(IF(O634="Fire Tex",(S634*$U$3),0))+(IF(O634="WB7",(S634*#REF!),0)+(IF(O634="FX 2003",(S634*$U$5),0)))</f>
        <v>0</v>
      </c>
      <c r="V634" s="651">
        <f t="shared" si="73"/>
        <v>0</v>
      </c>
    </row>
    <row r="635" spans="4:22" x14ac:dyDescent="0.25">
      <c r="D635" s="118">
        <f>+CUBICACION!D634</f>
        <v>0</v>
      </c>
      <c r="E635" s="118">
        <f>+CUBICACION!F634</f>
        <v>0</v>
      </c>
      <c r="F635" s="118">
        <f>+CUBICACION!E634</f>
        <v>0</v>
      </c>
      <c r="G635" s="118">
        <v>12</v>
      </c>
      <c r="H635" s="118">
        <v>2</v>
      </c>
      <c r="I635" s="820">
        <v>26385</v>
      </c>
      <c r="J635" s="118">
        <f>+CUBICACION!J634</f>
        <v>0</v>
      </c>
      <c r="K635" s="118">
        <v>3414</v>
      </c>
      <c r="L635" s="118">
        <f>+CUBICACION!L634</f>
        <v>0</v>
      </c>
      <c r="M635" s="64">
        <f>+CUBICACION!M634</f>
        <v>0</v>
      </c>
      <c r="N635" s="824" t="str">
        <f>+CUBICACION!N634</f>
        <v/>
      </c>
      <c r="O635" s="675">
        <f>+CUBICACION!O634</f>
        <v>0</v>
      </c>
      <c r="P635" s="15">
        <f>IF(O635="Fire Control",VLOOKUP(_xlfn.MINIFS('FIRE CONTROL'!$C$4:$C$37,'FIRE CONTROL'!$C$4:$C$37,"&gt;="&amp;M635),'FIRE CONTROL'!$C$4:$G$37,IF(L635="F-15",2,IF(L635="F-30",3,IF(L635="F-60",4,IF(L635="F-90",5,0)))),0),0)+IF(AND(O635="FIRE TEX 5062",OR(E635="IN",E635="C",E635="Z",E635="L"),J635=3),VLOOKUP(_xlfn.MINIFS('FIRE TEX 5062'!$B$4:$B$34,'FIRE TEX 5062'!$B$4:$B$34,"&gt;="&amp;M635),'FIRE TEX 5062'!$B$4:$F$34,IF(L635="F-15",2,IF(L635="F-30",3,IF(L635="F-60",4,IF(L635="F-90",5,0)))),0),0)+IF(AND(O635="FIRE TEX 5062",OR(E635="IN",E635="C",E635="Z",E635="L"),J635=4),VLOOKUP(_xlfn.MINIFS('FIRE TEX 5062'!$G$4:$G$34,'FIRE TEX 5062'!$G$4:$G$34,"&gt;="&amp;M635),'FIRE TEX 5062'!$G$4:$K$34,IF(L635="F-15",2,IF(L635="F-30",3,IF(L635="F-60",4,IF(L635="F-90",5,0)))),0),0)+IF(AND(O635="FIRE TEX 5062",E635="CJ",J635=3),VLOOKUP(_xlfn.MINIFS('FIRE TEX 5062'!$L$4:$L$34,'FIRE TEX 5062'!$L$4:$L$34,"&gt;="&amp;M635),'FIRE TEX 5062'!$L$4:$P$34,IF(L635="F-15",2,IF(L635="F-30",3,IF(L635="F-60",4,IF(L635="F-90",5,0)))),0),0)+IF(AND(O635="FIRE TEX 5062",E635="CJ",J635=4),VLOOKUP(_xlfn.MINIFS('FIRE TEX 5062'!$Q$3:$Q$34,'FIRE TEX 5062'!$Q$3:$Q$34,"&gt;="&amp;M635),'FIRE TEX 5062'!$Q$3:$U$34,IF(L635="F-15",2,IF(L635="F-30",3,IF(L635="F-60",4,IF(L635="F-90",5,0)))),0),0)+IF(AND(O635="FIRE TEX 5090",OR(E635="IN",E635="C",E635="Z",E635="L"),J635=3),VLOOKUP(_xlfn.MINIFS('FIRE TEX 5090'!$B$5:$B$43,'FIRE TEX 5090'!$B$5:$B$43,"&gt;="&amp;M635),'FIRE TEX 5090'!$B$5:$H$43,IF(L635="F-15",2,IF(L635="F-30",3,IF(L635="F-60",4,IF(L635="F-90",5,IF(L635="F-120",6,IF(L635="F-150",7,0)))))),0),0)+IF(AND(O635="FIRE TEX 5090",OR(E635="IN",E635="C",E635="Z",E635="L"),J635=4),VLOOKUP(_xlfn.MINIFS('FIRE TEX 5090'!$J$5:$J$43,'FIRE TEX 5090'!$J$5:$J$43,"&gt;="&amp;M635),'FIRE TEX 5090'!$J$5:$P$43,IF(L635="F-15",2,IF(L635="F-30",3,IF(L635="F-60",4,IF(L635="F-90",5,IF(L635="F-120",6,IF(L635="F-150",7,0)))))),0),0)+IF(AND(O635="FIRE TEX 5090",E635="CJ",J635=3),VLOOKUP(_xlfn.MINIFS('FIRE TEX 5090'!$R$5:$R$30,'FIRE TEX 5090'!$R$5:$R$30,"&gt;="&amp;M635),'FIRE TEX 5090'!$R$5:$W$30,IF(L635="F-15",2,IF(L635="F-30",3,IF(L635="F-60",4,IF(L635="F-90",5,IF(L635="F-120",6,IF(L635="F-150",7,0)))))),0),0)+IF(AND(O635="FIRE TEX 5090",E635="CJ",J635=4),VLOOKUP(_xlfn.MINIFS('FIRE TEX 5090'!$Y$5:$Y$39,'FIRE TEX 5090'!$Y$5:$Y$39,"&gt;="&amp;M635),'FIRE TEX 5090'!$Y$5:$AD$39,IF(L635="F-15",2,IF(L635="F-30",3,IF(L635="F-60",4,IF(L635="F-90",5,IF(L635="F-120",6,IF(L635="F-150",7,0)))))),0),0)+IF(AND(O635="FIRE TEX 5120",OR(E635="IN",E635="C",E635="Z",E635="L"),J635=3),VLOOKUP(_xlfn.MINIFS('FIRE TEX 5120'!$B$5:$B$40,'FIRE TEX 5120'!$B$5:$B$40,"&gt;="&amp;M635),'FIRE TEX 5120'!$B$5:$G$40,IF(L635="F-15",2,IF(L635="F-30",3,IF(L635="F-60",4,IF(L635="F-90",5,IF(L635="F-120",6,0))))),0),0)+IF(AND(O635="FIRE TEX 5120",OR(E635="IN",E635="C",E635="Z",E635="L"),J635=4),VLOOKUP(_xlfn.MINIFS('FIRE TEX 5120'!$H$4:$H$40,'FIRE TEX 5120'!$H$4:$H$40,"&gt;="&amp;M635),'FIRE TEX 5120'!$H$4:$M$40,IF(L635="F-15",2,IF(L635="F-30",3,IF(L635="F-60",4,IF(L635="F-90",5,IF(L635="F-120",6,0))))),0),0)+IF(AND(O635="FIRE TEX 5120",E635="CJ"),VLOOKUP(_xlfn.MINIFS('FIRE TEX 5120'!$O$5:$O$40,'FIRE TEX 5120'!$O$5:$O$40,"&gt;="&amp;M635),'FIRE TEX 5120'!$O$5:$T$40,IF(L635="F-15",2,IF(L635="F-30",3,IF(L635="F-60",4,IF(L635="F-90",5,IF(L635="F-120",6,0))))),0),0)</f>
        <v>0</v>
      </c>
      <c r="Q635" s="46">
        <f t="shared" si="69"/>
        <v>0</v>
      </c>
      <c r="R635" s="46">
        <f t="shared" si="70"/>
        <v>0</v>
      </c>
      <c r="S635" s="46" t="e">
        <f t="shared" si="71"/>
        <v>#VALUE!</v>
      </c>
      <c r="T635" s="677">
        <f t="shared" si="72"/>
        <v>0</v>
      </c>
      <c r="U635" s="80">
        <f>(IF(O635="Stofire",(S635*#REF!),0))+(IF(O635="Fire Control",(S635*$U$2),0))+(IF(O635="Fire Tex",(S635*$U$3),0))+(IF(O635="WB7",(S635*#REF!),0)+(IF(O635="FX 2003",(S635*$U$5),0)))</f>
        <v>0</v>
      </c>
      <c r="V635" s="651">
        <f t="shared" si="73"/>
        <v>0</v>
      </c>
    </row>
    <row r="636" spans="4:22" x14ac:dyDescent="0.25">
      <c r="D636" s="118">
        <f>+CUBICACION!D635</f>
        <v>0</v>
      </c>
      <c r="E636" s="118">
        <f>+CUBICACION!F635</f>
        <v>0</v>
      </c>
      <c r="F636" s="118">
        <f>+CUBICACION!E635</f>
        <v>0</v>
      </c>
      <c r="G636" s="118">
        <v>12</v>
      </c>
      <c r="H636" s="118">
        <v>2</v>
      </c>
      <c r="I636" s="820">
        <v>26385</v>
      </c>
      <c r="J636" s="118">
        <f>+CUBICACION!J635</f>
        <v>0</v>
      </c>
      <c r="K636" s="118">
        <v>3415</v>
      </c>
      <c r="L636" s="118">
        <f>+CUBICACION!L635</f>
        <v>0</v>
      </c>
      <c r="M636" s="64">
        <f>+CUBICACION!M635</f>
        <v>0</v>
      </c>
      <c r="N636" s="824" t="str">
        <f>+CUBICACION!N635</f>
        <v/>
      </c>
      <c r="O636" s="675">
        <f>+CUBICACION!O635</f>
        <v>0</v>
      </c>
      <c r="P636" s="15">
        <f>IF(O636="Fire Control",VLOOKUP(_xlfn.MINIFS('FIRE CONTROL'!$C$4:$C$37,'FIRE CONTROL'!$C$4:$C$37,"&gt;="&amp;M636),'FIRE CONTROL'!$C$4:$G$37,IF(L636="F-15",2,IF(L636="F-30",3,IF(L636="F-60",4,IF(L636="F-90",5,0)))),0),0)+IF(AND(O636="FIRE TEX 5062",OR(E636="IN",E636="C",E636="Z",E636="L"),J636=3),VLOOKUP(_xlfn.MINIFS('FIRE TEX 5062'!$B$4:$B$34,'FIRE TEX 5062'!$B$4:$B$34,"&gt;="&amp;M636),'FIRE TEX 5062'!$B$4:$F$34,IF(L636="F-15",2,IF(L636="F-30",3,IF(L636="F-60",4,IF(L636="F-90",5,0)))),0),0)+IF(AND(O636="FIRE TEX 5062",OR(E636="IN",E636="C",E636="Z",E636="L"),J636=4),VLOOKUP(_xlfn.MINIFS('FIRE TEX 5062'!$G$4:$G$34,'FIRE TEX 5062'!$G$4:$G$34,"&gt;="&amp;M636),'FIRE TEX 5062'!$G$4:$K$34,IF(L636="F-15",2,IF(L636="F-30",3,IF(L636="F-60",4,IF(L636="F-90",5,0)))),0),0)+IF(AND(O636="FIRE TEX 5062",E636="CJ",J636=3),VLOOKUP(_xlfn.MINIFS('FIRE TEX 5062'!$L$4:$L$34,'FIRE TEX 5062'!$L$4:$L$34,"&gt;="&amp;M636),'FIRE TEX 5062'!$L$4:$P$34,IF(L636="F-15",2,IF(L636="F-30",3,IF(L636="F-60",4,IF(L636="F-90",5,0)))),0),0)+IF(AND(O636="FIRE TEX 5062",E636="CJ",J636=4),VLOOKUP(_xlfn.MINIFS('FIRE TEX 5062'!$Q$3:$Q$34,'FIRE TEX 5062'!$Q$3:$Q$34,"&gt;="&amp;M636),'FIRE TEX 5062'!$Q$3:$U$34,IF(L636="F-15",2,IF(L636="F-30",3,IF(L636="F-60",4,IF(L636="F-90",5,0)))),0),0)+IF(AND(O636="FIRE TEX 5090",OR(E636="IN",E636="C",E636="Z",E636="L"),J636=3),VLOOKUP(_xlfn.MINIFS('FIRE TEX 5090'!$B$5:$B$43,'FIRE TEX 5090'!$B$5:$B$43,"&gt;="&amp;M636),'FIRE TEX 5090'!$B$5:$H$43,IF(L636="F-15",2,IF(L636="F-30",3,IF(L636="F-60",4,IF(L636="F-90",5,IF(L636="F-120",6,IF(L636="F-150",7,0)))))),0),0)+IF(AND(O636="FIRE TEX 5090",OR(E636="IN",E636="C",E636="Z",E636="L"),J636=4),VLOOKUP(_xlfn.MINIFS('FIRE TEX 5090'!$J$5:$J$43,'FIRE TEX 5090'!$J$5:$J$43,"&gt;="&amp;M636),'FIRE TEX 5090'!$J$5:$P$43,IF(L636="F-15",2,IF(L636="F-30",3,IF(L636="F-60",4,IF(L636="F-90",5,IF(L636="F-120",6,IF(L636="F-150",7,0)))))),0),0)+IF(AND(O636="FIRE TEX 5090",E636="CJ",J636=3),VLOOKUP(_xlfn.MINIFS('FIRE TEX 5090'!$R$5:$R$30,'FIRE TEX 5090'!$R$5:$R$30,"&gt;="&amp;M636),'FIRE TEX 5090'!$R$5:$W$30,IF(L636="F-15",2,IF(L636="F-30",3,IF(L636="F-60",4,IF(L636="F-90",5,IF(L636="F-120",6,IF(L636="F-150",7,0)))))),0),0)+IF(AND(O636="FIRE TEX 5090",E636="CJ",J636=4),VLOOKUP(_xlfn.MINIFS('FIRE TEX 5090'!$Y$5:$Y$39,'FIRE TEX 5090'!$Y$5:$Y$39,"&gt;="&amp;M636),'FIRE TEX 5090'!$Y$5:$AD$39,IF(L636="F-15",2,IF(L636="F-30",3,IF(L636="F-60",4,IF(L636="F-90",5,IF(L636="F-120",6,IF(L636="F-150",7,0)))))),0),0)+IF(AND(O636="FIRE TEX 5120",OR(E636="IN",E636="C",E636="Z",E636="L"),J636=3),VLOOKUP(_xlfn.MINIFS('FIRE TEX 5120'!$B$5:$B$40,'FIRE TEX 5120'!$B$5:$B$40,"&gt;="&amp;M636),'FIRE TEX 5120'!$B$5:$G$40,IF(L636="F-15",2,IF(L636="F-30",3,IF(L636="F-60",4,IF(L636="F-90",5,IF(L636="F-120",6,0))))),0),0)+IF(AND(O636="FIRE TEX 5120",OR(E636="IN",E636="C",E636="Z",E636="L"),J636=4),VLOOKUP(_xlfn.MINIFS('FIRE TEX 5120'!$H$4:$H$40,'FIRE TEX 5120'!$H$4:$H$40,"&gt;="&amp;M636),'FIRE TEX 5120'!$H$4:$M$40,IF(L636="F-15",2,IF(L636="F-30",3,IF(L636="F-60",4,IF(L636="F-90",5,IF(L636="F-120",6,0))))),0),0)+IF(AND(O636="FIRE TEX 5120",E636="CJ"),VLOOKUP(_xlfn.MINIFS('FIRE TEX 5120'!$O$5:$O$40,'FIRE TEX 5120'!$O$5:$O$40,"&gt;="&amp;M636),'FIRE TEX 5120'!$O$5:$T$40,IF(L636="F-15",2,IF(L636="F-30",3,IF(L636="F-60",4,IF(L636="F-90",5,IF(L636="F-120",6,0))))),0),0)</f>
        <v>0</v>
      </c>
      <c r="Q636" s="46">
        <f t="shared" si="69"/>
        <v>0</v>
      </c>
      <c r="R636" s="46">
        <f t="shared" si="70"/>
        <v>0</v>
      </c>
      <c r="S636" s="46" t="e">
        <f t="shared" si="71"/>
        <v>#VALUE!</v>
      </c>
      <c r="T636" s="677">
        <f t="shared" si="72"/>
        <v>0</v>
      </c>
      <c r="U636" s="80">
        <f>(IF(O636="Stofire",(S636*#REF!),0))+(IF(O636="Fire Control",(S636*$U$2),0))+(IF(O636="Fire Tex",(S636*$U$3),0))+(IF(O636="WB7",(S636*#REF!),0)+(IF(O636="FX 2003",(S636*$U$5),0)))</f>
        <v>0</v>
      </c>
      <c r="V636" s="651">
        <f t="shared" si="73"/>
        <v>0</v>
      </c>
    </row>
    <row r="637" spans="4:22" x14ac:dyDescent="0.25">
      <c r="D637" s="118">
        <f>+CUBICACION!D636</f>
        <v>0</v>
      </c>
      <c r="E637" s="118">
        <f>+CUBICACION!F636</f>
        <v>0</v>
      </c>
      <c r="F637" s="118">
        <f>+CUBICACION!E636</f>
        <v>0</v>
      </c>
      <c r="G637" s="118">
        <v>12</v>
      </c>
      <c r="H637" s="118">
        <v>2</v>
      </c>
      <c r="I637" s="820">
        <v>26385</v>
      </c>
      <c r="J637" s="118">
        <f>+CUBICACION!J636</f>
        <v>0</v>
      </c>
      <c r="K637" s="118">
        <v>3416</v>
      </c>
      <c r="L637" s="118">
        <f>+CUBICACION!L636</f>
        <v>0</v>
      </c>
      <c r="M637" s="64">
        <f>+CUBICACION!M636</f>
        <v>0</v>
      </c>
      <c r="N637" s="824" t="str">
        <f>+CUBICACION!N636</f>
        <v/>
      </c>
      <c r="O637" s="675">
        <f>+CUBICACION!O636</f>
        <v>0</v>
      </c>
      <c r="P637" s="15">
        <f>IF(O637="Fire Control",VLOOKUP(_xlfn.MINIFS('FIRE CONTROL'!$C$4:$C$37,'FIRE CONTROL'!$C$4:$C$37,"&gt;="&amp;M637),'FIRE CONTROL'!$C$4:$G$37,IF(L637="F-15",2,IF(L637="F-30",3,IF(L637="F-60",4,IF(L637="F-90",5,0)))),0),0)+IF(AND(O637="FIRE TEX 5062",OR(E637="IN",E637="C",E637="Z",E637="L"),J637=3),VLOOKUP(_xlfn.MINIFS('FIRE TEX 5062'!$B$4:$B$34,'FIRE TEX 5062'!$B$4:$B$34,"&gt;="&amp;M637),'FIRE TEX 5062'!$B$4:$F$34,IF(L637="F-15",2,IF(L637="F-30",3,IF(L637="F-60",4,IF(L637="F-90",5,0)))),0),0)+IF(AND(O637="FIRE TEX 5062",OR(E637="IN",E637="C",E637="Z",E637="L"),J637=4),VLOOKUP(_xlfn.MINIFS('FIRE TEX 5062'!$G$4:$G$34,'FIRE TEX 5062'!$G$4:$G$34,"&gt;="&amp;M637),'FIRE TEX 5062'!$G$4:$K$34,IF(L637="F-15",2,IF(L637="F-30",3,IF(L637="F-60",4,IF(L637="F-90",5,0)))),0),0)+IF(AND(O637="FIRE TEX 5062",E637="CJ",J637=3),VLOOKUP(_xlfn.MINIFS('FIRE TEX 5062'!$L$4:$L$34,'FIRE TEX 5062'!$L$4:$L$34,"&gt;="&amp;M637),'FIRE TEX 5062'!$L$4:$P$34,IF(L637="F-15",2,IF(L637="F-30",3,IF(L637="F-60",4,IF(L637="F-90",5,0)))),0),0)+IF(AND(O637="FIRE TEX 5062",E637="CJ",J637=4),VLOOKUP(_xlfn.MINIFS('FIRE TEX 5062'!$Q$3:$Q$34,'FIRE TEX 5062'!$Q$3:$Q$34,"&gt;="&amp;M637),'FIRE TEX 5062'!$Q$3:$U$34,IF(L637="F-15",2,IF(L637="F-30",3,IF(L637="F-60",4,IF(L637="F-90",5,0)))),0),0)+IF(AND(O637="FIRE TEX 5090",OR(E637="IN",E637="C",E637="Z",E637="L"),J637=3),VLOOKUP(_xlfn.MINIFS('FIRE TEX 5090'!$B$5:$B$43,'FIRE TEX 5090'!$B$5:$B$43,"&gt;="&amp;M637),'FIRE TEX 5090'!$B$5:$H$43,IF(L637="F-15",2,IF(L637="F-30",3,IF(L637="F-60",4,IF(L637="F-90",5,IF(L637="F-120",6,IF(L637="F-150",7,0)))))),0),0)+IF(AND(O637="FIRE TEX 5090",OR(E637="IN",E637="C",E637="Z",E637="L"),J637=4),VLOOKUP(_xlfn.MINIFS('FIRE TEX 5090'!$J$5:$J$43,'FIRE TEX 5090'!$J$5:$J$43,"&gt;="&amp;M637),'FIRE TEX 5090'!$J$5:$P$43,IF(L637="F-15",2,IF(L637="F-30",3,IF(L637="F-60",4,IF(L637="F-90",5,IF(L637="F-120",6,IF(L637="F-150",7,0)))))),0),0)+IF(AND(O637="FIRE TEX 5090",E637="CJ",J637=3),VLOOKUP(_xlfn.MINIFS('FIRE TEX 5090'!$R$5:$R$30,'FIRE TEX 5090'!$R$5:$R$30,"&gt;="&amp;M637),'FIRE TEX 5090'!$R$5:$W$30,IF(L637="F-15",2,IF(L637="F-30",3,IF(L637="F-60",4,IF(L637="F-90",5,IF(L637="F-120",6,IF(L637="F-150",7,0)))))),0),0)+IF(AND(O637="FIRE TEX 5090",E637="CJ",J637=4),VLOOKUP(_xlfn.MINIFS('FIRE TEX 5090'!$Y$5:$Y$39,'FIRE TEX 5090'!$Y$5:$Y$39,"&gt;="&amp;M637),'FIRE TEX 5090'!$Y$5:$AD$39,IF(L637="F-15",2,IF(L637="F-30",3,IF(L637="F-60",4,IF(L637="F-90",5,IF(L637="F-120",6,IF(L637="F-150",7,0)))))),0),0)+IF(AND(O637="FIRE TEX 5120",OR(E637="IN",E637="C",E637="Z",E637="L"),J637=3),VLOOKUP(_xlfn.MINIFS('FIRE TEX 5120'!$B$5:$B$40,'FIRE TEX 5120'!$B$5:$B$40,"&gt;="&amp;M637),'FIRE TEX 5120'!$B$5:$G$40,IF(L637="F-15",2,IF(L637="F-30",3,IF(L637="F-60",4,IF(L637="F-90",5,IF(L637="F-120",6,0))))),0),0)+IF(AND(O637="FIRE TEX 5120",OR(E637="IN",E637="C",E637="Z",E637="L"),J637=4),VLOOKUP(_xlfn.MINIFS('FIRE TEX 5120'!$H$4:$H$40,'FIRE TEX 5120'!$H$4:$H$40,"&gt;="&amp;M637),'FIRE TEX 5120'!$H$4:$M$40,IF(L637="F-15",2,IF(L637="F-30",3,IF(L637="F-60",4,IF(L637="F-90",5,IF(L637="F-120",6,0))))),0),0)+IF(AND(O637="FIRE TEX 5120",E637="CJ"),VLOOKUP(_xlfn.MINIFS('FIRE TEX 5120'!$O$5:$O$40,'FIRE TEX 5120'!$O$5:$O$40,"&gt;="&amp;M637),'FIRE TEX 5120'!$O$5:$T$40,IF(L637="F-15",2,IF(L637="F-30",3,IF(L637="F-60",4,IF(L637="F-90",5,IF(L637="F-120",6,0))))),0),0)</f>
        <v>0</v>
      </c>
      <c r="Q637" s="46">
        <f t="shared" si="69"/>
        <v>0</v>
      </c>
      <c r="R637" s="46">
        <f t="shared" si="70"/>
        <v>0</v>
      </c>
      <c r="S637" s="46" t="e">
        <f t="shared" si="71"/>
        <v>#VALUE!</v>
      </c>
      <c r="T637" s="677">
        <f t="shared" si="72"/>
        <v>0</v>
      </c>
      <c r="U637" s="80">
        <f>(IF(O637="Stofire",(S637*#REF!),0))+(IF(O637="Fire Control",(S637*$U$2),0))+(IF(O637="Fire Tex",(S637*$U$3),0))+(IF(O637="WB7",(S637*#REF!),0)+(IF(O637="FX 2003",(S637*$U$5),0)))</f>
        <v>0</v>
      </c>
      <c r="V637" s="651">
        <f t="shared" si="73"/>
        <v>0</v>
      </c>
    </row>
    <row r="638" spans="4:22" x14ac:dyDescent="0.25">
      <c r="D638" s="118">
        <f>+CUBICACION!D637</f>
        <v>0</v>
      </c>
      <c r="E638" s="118">
        <f>+CUBICACION!F637</f>
        <v>0</v>
      </c>
      <c r="F638" s="118">
        <f>+CUBICACION!E637</f>
        <v>0</v>
      </c>
      <c r="G638" s="118">
        <v>12</v>
      </c>
      <c r="H638" s="118">
        <v>2</v>
      </c>
      <c r="I638" s="820">
        <v>26385</v>
      </c>
      <c r="J638" s="118">
        <f>+CUBICACION!J637</f>
        <v>0</v>
      </c>
      <c r="K638" s="118">
        <v>3417</v>
      </c>
      <c r="L638" s="118">
        <f>+CUBICACION!L637</f>
        <v>0</v>
      </c>
      <c r="M638" s="64">
        <f>+CUBICACION!M637</f>
        <v>0</v>
      </c>
      <c r="N638" s="824" t="str">
        <f>+CUBICACION!N637</f>
        <v/>
      </c>
      <c r="O638" s="675">
        <f>+CUBICACION!O637</f>
        <v>0</v>
      </c>
      <c r="P638" s="15">
        <f>IF(O638="Fire Control",VLOOKUP(_xlfn.MINIFS('FIRE CONTROL'!$C$4:$C$37,'FIRE CONTROL'!$C$4:$C$37,"&gt;="&amp;M638),'FIRE CONTROL'!$C$4:$G$37,IF(L638="F-15",2,IF(L638="F-30",3,IF(L638="F-60",4,IF(L638="F-90",5,0)))),0),0)+IF(AND(O638="FIRE TEX 5062",OR(E638="IN",E638="C",E638="Z",E638="L"),J638=3),VLOOKUP(_xlfn.MINIFS('FIRE TEX 5062'!$B$4:$B$34,'FIRE TEX 5062'!$B$4:$B$34,"&gt;="&amp;M638),'FIRE TEX 5062'!$B$4:$F$34,IF(L638="F-15",2,IF(L638="F-30",3,IF(L638="F-60",4,IF(L638="F-90",5,0)))),0),0)+IF(AND(O638="FIRE TEX 5062",OR(E638="IN",E638="C",E638="Z",E638="L"),J638=4),VLOOKUP(_xlfn.MINIFS('FIRE TEX 5062'!$G$4:$G$34,'FIRE TEX 5062'!$G$4:$G$34,"&gt;="&amp;M638),'FIRE TEX 5062'!$G$4:$K$34,IF(L638="F-15",2,IF(L638="F-30",3,IF(L638="F-60",4,IF(L638="F-90",5,0)))),0),0)+IF(AND(O638="FIRE TEX 5062",E638="CJ",J638=3),VLOOKUP(_xlfn.MINIFS('FIRE TEX 5062'!$L$4:$L$34,'FIRE TEX 5062'!$L$4:$L$34,"&gt;="&amp;M638),'FIRE TEX 5062'!$L$4:$P$34,IF(L638="F-15",2,IF(L638="F-30",3,IF(L638="F-60",4,IF(L638="F-90",5,0)))),0),0)+IF(AND(O638="FIRE TEX 5062",E638="CJ",J638=4),VLOOKUP(_xlfn.MINIFS('FIRE TEX 5062'!$Q$3:$Q$34,'FIRE TEX 5062'!$Q$3:$Q$34,"&gt;="&amp;M638),'FIRE TEX 5062'!$Q$3:$U$34,IF(L638="F-15",2,IF(L638="F-30",3,IF(L638="F-60",4,IF(L638="F-90",5,0)))),0),0)+IF(AND(O638="FIRE TEX 5090",OR(E638="IN",E638="C",E638="Z",E638="L"),J638=3),VLOOKUP(_xlfn.MINIFS('FIRE TEX 5090'!$B$5:$B$43,'FIRE TEX 5090'!$B$5:$B$43,"&gt;="&amp;M638),'FIRE TEX 5090'!$B$5:$H$43,IF(L638="F-15",2,IF(L638="F-30",3,IF(L638="F-60",4,IF(L638="F-90",5,IF(L638="F-120",6,IF(L638="F-150",7,0)))))),0),0)+IF(AND(O638="FIRE TEX 5090",OR(E638="IN",E638="C",E638="Z",E638="L"),J638=4),VLOOKUP(_xlfn.MINIFS('FIRE TEX 5090'!$J$5:$J$43,'FIRE TEX 5090'!$J$5:$J$43,"&gt;="&amp;M638),'FIRE TEX 5090'!$J$5:$P$43,IF(L638="F-15",2,IF(L638="F-30",3,IF(L638="F-60",4,IF(L638="F-90",5,IF(L638="F-120",6,IF(L638="F-150",7,0)))))),0),0)+IF(AND(O638="FIRE TEX 5090",E638="CJ",J638=3),VLOOKUP(_xlfn.MINIFS('FIRE TEX 5090'!$R$5:$R$30,'FIRE TEX 5090'!$R$5:$R$30,"&gt;="&amp;M638),'FIRE TEX 5090'!$R$5:$W$30,IF(L638="F-15",2,IF(L638="F-30",3,IF(L638="F-60",4,IF(L638="F-90",5,IF(L638="F-120",6,IF(L638="F-150",7,0)))))),0),0)+IF(AND(O638="FIRE TEX 5090",E638="CJ",J638=4),VLOOKUP(_xlfn.MINIFS('FIRE TEX 5090'!$Y$5:$Y$39,'FIRE TEX 5090'!$Y$5:$Y$39,"&gt;="&amp;M638),'FIRE TEX 5090'!$Y$5:$AD$39,IF(L638="F-15",2,IF(L638="F-30",3,IF(L638="F-60",4,IF(L638="F-90",5,IF(L638="F-120",6,IF(L638="F-150",7,0)))))),0),0)+IF(AND(O638="FIRE TEX 5120",OR(E638="IN",E638="C",E638="Z",E638="L"),J638=3),VLOOKUP(_xlfn.MINIFS('FIRE TEX 5120'!$B$5:$B$40,'FIRE TEX 5120'!$B$5:$B$40,"&gt;="&amp;M638),'FIRE TEX 5120'!$B$5:$G$40,IF(L638="F-15",2,IF(L638="F-30",3,IF(L638="F-60",4,IF(L638="F-90",5,IF(L638="F-120",6,0))))),0),0)+IF(AND(O638="FIRE TEX 5120",OR(E638="IN",E638="C",E638="Z",E638="L"),J638=4),VLOOKUP(_xlfn.MINIFS('FIRE TEX 5120'!$H$4:$H$40,'FIRE TEX 5120'!$H$4:$H$40,"&gt;="&amp;M638),'FIRE TEX 5120'!$H$4:$M$40,IF(L638="F-15",2,IF(L638="F-30",3,IF(L638="F-60",4,IF(L638="F-90",5,IF(L638="F-120",6,0))))),0),0)+IF(AND(O638="FIRE TEX 5120",E638="CJ"),VLOOKUP(_xlfn.MINIFS('FIRE TEX 5120'!$O$5:$O$40,'FIRE TEX 5120'!$O$5:$O$40,"&gt;="&amp;M638),'FIRE TEX 5120'!$O$5:$T$40,IF(L638="F-15",2,IF(L638="F-30",3,IF(L638="F-60",4,IF(L638="F-90",5,IF(L638="F-120",6,0))))),0),0)</f>
        <v>0</v>
      </c>
      <c r="Q638" s="46">
        <f t="shared" si="69"/>
        <v>0</v>
      </c>
      <c r="R638" s="46">
        <f t="shared" si="70"/>
        <v>0</v>
      </c>
      <c r="S638" s="46" t="e">
        <f t="shared" si="71"/>
        <v>#VALUE!</v>
      </c>
      <c r="T638" s="677">
        <f t="shared" si="72"/>
        <v>0</v>
      </c>
      <c r="U638" s="80">
        <f>(IF(O638="Stofire",(S638*#REF!),0))+(IF(O638="Fire Control",(S638*$U$2),0))+(IF(O638="Fire Tex",(S638*$U$3),0))+(IF(O638="WB7",(S638*#REF!),0)+(IF(O638="FX 2003",(S638*$U$5),0)))</f>
        <v>0</v>
      </c>
      <c r="V638" s="651">
        <f t="shared" si="73"/>
        <v>0</v>
      </c>
    </row>
    <row r="639" spans="4:22" x14ac:dyDescent="0.25">
      <c r="D639" s="118">
        <f>+CUBICACION!D638</f>
        <v>0</v>
      </c>
      <c r="E639" s="118">
        <f>+CUBICACION!F638</f>
        <v>0</v>
      </c>
      <c r="F639" s="118">
        <f>+CUBICACION!E638</f>
        <v>0</v>
      </c>
      <c r="G639" s="118">
        <v>12</v>
      </c>
      <c r="H639" s="118">
        <v>2</v>
      </c>
      <c r="I639" s="820">
        <v>26385</v>
      </c>
      <c r="J639" s="118">
        <f>+CUBICACION!J638</f>
        <v>0</v>
      </c>
      <c r="K639" s="118">
        <v>3418</v>
      </c>
      <c r="L639" s="118">
        <f>+CUBICACION!L638</f>
        <v>0</v>
      </c>
      <c r="M639" s="64">
        <f>+CUBICACION!M638</f>
        <v>0</v>
      </c>
      <c r="N639" s="824" t="str">
        <f>+CUBICACION!N638</f>
        <v/>
      </c>
      <c r="O639" s="675">
        <f>+CUBICACION!O638</f>
        <v>0</v>
      </c>
      <c r="P639" s="15">
        <f>IF(O639="Fire Control",VLOOKUP(_xlfn.MINIFS('FIRE CONTROL'!$C$4:$C$37,'FIRE CONTROL'!$C$4:$C$37,"&gt;="&amp;M639),'FIRE CONTROL'!$C$4:$G$37,IF(L639="F-15",2,IF(L639="F-30",3,IF(L639="F-60",4,IF(L639="F-90",5,0)))),0),0)+IF(AND(O639="FIRE TEX 5062",OR(E639="IN",E639="C",E639="Z",E639="L"),J639=3),VLOOKUP(_xlfn.MINIFS('FIRE TEX 5062'!$B$4:$B$34,'FIRE TEX 5062'!$B$4:$B$34,"&gt;="&amp;M639),'FIRE TEX 5062'!$B$4:$F$34,IF(L639="F-15",2,IF(L639="F-30",3,IF(L639="F-60",4,IF(L639="F-90",5,0)))),0),0)+IF(AND(O639="FIRE TEX 5062",OR(E639="IN",E639="C",E639="Z",E639="L"),J639=4),VLOOKUP(_xlfn.MINIFS('FIRE TEX 5062'!$G$4:$G$34,'FIRE TEX 5062'!$G$4:$G$34,"&gt;="&amp;M639),'FIRE TEX 5062'!$G$4:$K$34,IF(L639="F-15",2,IF(L639="F-30",3,IF(L639="F-60",4,IF(L639="F-90",5,0)))),0),0)+IF(AND(O639="FIRE TEX 5062",E639="CJ",J639=3),VLOOKUP(_xlfn.MINIFS('FIRE TEX 5062'!$L$4:$L$34,'FIRE TEX 5062'!$L$4:$L$34,"&gt;="&amp;M639),'FIRE TEX 5062'!$L$4:$P$34,IF(L639="F-15",2,IF(L639="F-30",3,IF(L639="F-60",4,IF(L639="F-90",5,0)))),0),0)+IF(AND(O639="FIRE TEX 5062",E639="CJ",J639=4),VLOOKUP(_xlfn.MINIFS('FIRE TEX 5062'!$Q$3:$Q$34,'FIRE TEX 5062'!$Q$3:$Q$34,"&gt;="&amp;M639),'FIRE TEX 5062'!$Q$3:$U$34,IF(L639="F-15",2,IF(L639="F-30",3,IF(L639="F-60",4,IF(L639="F-90",5,0)))),0),0)+IF(AND(O639="FIRE TEX 5090",OR(E639="IN",E639="C",E639="Z",E639="L"),J639=3),VLOOKUP(_xlfn.MINIFS('FIRE TEX 5090'!$B$5:$B$43,'FIRE TEX 5090'!$B$5:$B$43,"&gt;="&amp;M639),'FIRE TEX 5090'!$B$5:$H$43,IF(L639="F-15",2,IF(L639="F-30",3,IF(L639="F-60",4,IF(L639="F-90",5,IF(L639="F-120",6,IF(L639="F-150",7,0)))))),0),0)+IF(AND(O639="FIRE TEX 5090",OR(E639="IN",E639="C",E639="Z",E639="L"),J639=4),VLOOKUP(_xlfn.MINIFS('FIRE TEX 5090'!$J$5:$J$43,'FIRE TEX 5090'!$J$5:$J$43,"&gt;="&amp;M639),'FIRE TEX 5090'!$J$5:$P$43,IF(L639="F-15",2,IF(L639="F-30",3,IF(L639="F-60",4,IF(L639="F-90",5,IF(L639="F-120",6,IF(L639="F-150",7,0)))))),0),0)+IF(AND(O639="FIRE TEX 5090",E639="CJ",J639=3),VLOOKUP(_xlfn.MINIFS('FIRE TEX 5090'!$R$5:$R$30,'FIRE TEX 5090'!$R$5:$R$30,"&gt;="&amp;M639),'FIRE TEX 5090'!$R$5:$W$30,IF(L639="F-15",2,IF(L639="F-30",3,IF(L639="F-60",4,IF(L639="F-90",5,IF(L639="F-120",6,IF(L639="F-150",7,0)))))),0),0)+IF(AND(O639="FIRE TEX 5090",E639="CJ",J639=4),VLOOKUP(_xlfn.MINIFS('FIRE TEX 5090'!$Y$5:$Y$39,'FIRE TEX 5090'!$Y$5:$Y$39,"&gt;="&amp;M639),'FIRE TEX 5090'!$Y$5:$AD$39,IF(L639="F-15",2,IF(L639="F-30",3,IF(L639="F-60",4,IF(L639="F-90",5,IF(L639="F-120",6,IF(L639="F-150",7,0)))))),0),0)+IF(AND(O639="FIRE TEX 5120",OR(E639="IN",E639="C",E639="Z",E639="L"),J639=3),VLOOKUP(_xlfn.MINIFS('FIRE TEX 5120'!$B$5:$B$40,'FIRE TEX 5120'!$B$5:$B$40,"&gt;="&amp;M639),'FIRE TEX 5120'!$B$5:$G$40,IF(L639="F-15",2,IF(L639="F-30",3,IF(L639="F-60",4,IF(L639="F-90",5,IF(L639="F-120",6,0))))),0),0)+IF(AND(O639="FIRE TEX 5120",OR(E639="IN",E639="C",E639="Z",E639="L"),J639=4),VLOOKUP(_xlfn.MINIFS('FIRE TEX 5120'!$H$4:$H$40,'FIRE TEX 5120'!$H$4:$H$40,"&gt;="&amp;M639),'FIRE TEX 5120'!$H$4:$M$40,IF(L639="F-15",2,IF(L639="F-30",3,IF(L639="F-60",4,IF(L639="F-90",5,IF(L639="F-120",6,0))))),0),0)+IF(AND(O639="FIRE TEX 5120",E639="CJ"),VLOOKUP(_xlfn.MINIFS('FIRE TEX 5120'!$O$5:$O$40,'FIRE TEX 5120'!$O$5:$O$40,"&gt;="&amp;M639),'FIRE TEX 5120'!$O$5:$T$40,IF(L639="F-15",2,IF(L639="F-30",3,IF(L639="F-60",4,IF(L639="F-90",5,IF(L639="F-120",6,0))))),0),0)</f>
        <v>0</v>
      </c>
      <c r="Q639" s="46">
        <f t="shared" si="69"/>
        <v>0</v>
      </c>
      <c r="R639" s="46">
        <f t="shared" si="70"/>
        <v>0</v>
      </c>
      <c r="S639" s="46" t="e">
        <f t="shared" si="71"/>
        <v>#VALUE!</v>
      </c>
      <c r="T639" s="677">
        <f t="shared" si="72"/>
        <v>0</v>
      </c>
      <c r="U639" s="80">
        <f>(IF(O639="Stofire",(S639*#REF!),0))+(IF(O639="Fire Control",(S639*$U$2),0))+(IF(O639="Fire Tex",(S639*$U$3),0))+(IF(O639="WB7",(S639*#REF!),0)+(IF(O639="FX 2003",(S639*$U$5),0)))</f>
        <v>0</v>
      </c>
      <c r="V639" s="651">
        <f t="shared" si="73"/>
        <v>0</v>
      </c>
    </row>
    <row r="640" spans="4:22" x14ac:dyDescent="0.25">
      <c r="D640" s="118">
        <f>+CUBICACION!D639</f>
        <v>0</v>
      </c>
      <c r="E640" s="118">
        <f>+CUBICACION!F639</f>
        <v>0</v>
      </c>
      <c r="F640" s="118">
        <f>+CUBICACION!E639</f>
        <v>0</v>
      </c>
      <c r="G640" s="118">
        <v>12</v>
      </c>
      <c r="H640" s="118">
        <v>2</v>
      </c>
      <c r="I640" s="820">
        <v>26385</v>
      </c>
      <c r="J640" s="118">
        <f>+CUBICACION!J639</f>
        <v>0</v>
      </c>
      <c r="K640" s="118">
        <v>3419</v>
      </c>
      <c r="L640" s="118">
        <f>+CUBICACION!L639</f>
        <v>0</v>
      </c>
      <c r="M640" s="64">
        <f>+CUBICACION!M639</f>
        <v>0</v>
      </c>
      <c r="N640" s="824" t="str">
        <f>+CUBICACION!N639</f>
        <v/>
      </c>
      <c r="O640" s="675">
        <f>+CUBICACION!O639</f>
        <v>0</v>
      </c>
      <c r="P640" s="15">
        <f>IF(O640="Fire Control",VLOOKUP(_xlfn.MINIFS('FIRE CONTROL'!$C$4:$C$37,'FIRE CONTROL'!$C$4:$C$37,"&gt;="&amp;M640),'FIRE CONTROL'!$C$4:$G$37,IF(L640="F-15",2,IF(L640="F-30",3,IF(L640="F-60",4,IF(L640="F-90",5,0)))),0),0)+IF(AND(O640="FIRE TEX 5062",OR(E640="IN",E640="C",E640="Z",E640="L"),J640=3),VLOOKUP(_xlfn.MINIFS('FIRE TEX 5062'!$B$4:$B$34,'FIRE TEX 5062'!$B$4:$B$34,"&gt;="&amp;M640),'FIRE TEX 5062'!$B$4:$F$34,IF(L640="F-15",2,IF(L640="F-30",3,IF(L640="F-60",4,IF(L640="F-90",5,0)))),0),0)+IF(AND(O640="FIRE TEX 5062",OR(E640="IN",E640="C",E640="Z",E640="L"),J640=4),VLOOKUP(_xlfn.MINIFS('FIRE TEX 5062'!$G$4:$G$34,'FIRE TEX 5062'!$G$4:$G$34,"&gt;="&amp;M640),'FIRE TEX 5062'!$G$4:$K$34,IF(L640="F-15",2,IF(L640="F-30",3,IF(L640="F-60",4,IF(L640="F-90",5,0)))),0),0)+IF(AND(O640="FIRE TEX 5062",E640="CJ",J640=3),VLOOKUP(_xlfn.MINIFS('FIRE TEX 5062'!$L$4:$L$34,'FIRE TEX 5062'!$L$4:$L$34,"&gt;="&amp;M640),'FIRE TEX 5062'!$L$4:$P$34,IF(L640="F-15",2,IF(L640="F-30",3,IF(L640="F-60",4,IF(L640="F-90",5,0)))),0),0)+IF(AND(O640="FIRE TEX 5062",E640="CJ",J640=4),VLOOKUP(_xlfn.MINIFS('FIRE TEX 5062'!$Q$3:$Q$34,'FIRE TEX 5062'!$Q$3:$Q$34,"&gt;="&amp;M640),'FIRE TEX 5062'!$Q$3:$U$34,IF(L640="F-15",2,IF(L640="F-30",3,IF(L640="F-60",4,IF(L640="F-90",5,0)))),0),0)+IF(AND(O640="FIRE TEX 5090",OR(E640="IN",E640="C",E640="Z",E640="L"),J640=3),VLOOKUP(_xlfn.MINIFS('FIRE TEX 5090'!$B$5:$B$43,'FIRE TEX 5090'!$B$5:$B$43,"&gt;="&amp;M640),'FIRE TEX 5090'!$B$5:$H$43,IF(L640="F-15",2,IF(L640="F-30",3,IF(L640="F-60",4,IF(L640="F-90",5,IF(L640="F-120",6,IF(L640="F-150",7,0)))))),0),0)+IF(AND(O640="FIRE TEX 5090",OR(E640="IN",E640="C",E640="Z",E640="L"),J640=4),VLOOKUP(_xlfn.MINIFS('FIRE TEX 5090'!$J$5:$J$43,'FIRE TEX 5090'!$J$5:$J$43,"&gt;="&amp;M640),'FIRE TEX 5090'!$J$5:$P$43,IF(L640="F-15",2,IF(L640="F-30",3,IF(L640="F-60",4,IF(L640="F-90",5,IF(L640="F-120",6,IF(L640="F-150",7,0)))))),0),0)+IF(AND(O640="FIRE TEX 5090",E640="CJ",J640=3),VLOOKUP(_xlfn.MINIFS('FIRE TEX 5090'!$R$5:$R$30,'FIRE TEX 5090'!$R$5:$R$30,"&gt;="&amp;M640),'FIRE TEX 5090'!$R$5:$W$30,IF(L640="F-15",2,IF(L640="F-30",3,IF(L640="F-60",4,IF(L640="F-90",5,IF(L640="F-120",6,IF(L640="F-150",7,0)))))),0),0)+IF(AND(O640="FIRE TEX 5090",E640="CJ",J640=4),VLOOKUP(_xlfn.MINIFS('FIRE TEX 5090'!$Y$5:$Y$39,'FIRE TEX 5090'!$Y$5:$Y$39,"&gt;="&amp;M640),'FIRE TEX 5090'!$Y$5:$AD$39,IF(L640="F-15",2,IF(L640="F-30",3,IF(L640="F-60",4,IF(L640="F-90",5,IF(L640="F-120",6,IF(L640="F-150",7,0)))))),0),0)+IF(AND(O640="FIRE TEX 5120",OR(E640="IN",E640="C",E640="Z",E640="L"),J640=3),VLOOKUP(_xlfn.MINIFS('FIRE TEX 5120'!$B$5:$B$40,'FIRE TEX 5120'!$B$5:$B$40,"&gt;="&amp;M640),'FIRE TEX 5120'!$B$5:$G$40,IF(L640="F-15",2,IF(L640="F-30",3,IF(L640="F-60",4,IF(L640="F-90",5,IF(L640="F-120",6,0))))),0),0)+IF(AND(O640="FIRE TEX 5120",OR(E640="IN",E640="C",E640="Z",E640="L"),J640=4),VLOOKUP(_xlfn.MINIFS('FIRE TEX 5120'!$H$4:$H$40,'FIRE TEX 5120'!$H$4:$H$40,"&gt;="&amp;M640),'FIRE TEX 5120'!$H$4:$M$40,IF(L640="F-15",2,IF(L640="F-30",3,IF(L640="F-60",4,IF(L640="F-90",5,IF(L640="F-120",6,0))))),0),0)+IF(AND(O640="FIRE TEX 5120",E640="CJ"),VLOOKUP(_xlfn.MINIFS('FIRE TEX 5120'!$O$5:$O$40,'FIRE TEX 5120'!$O$5:$O$40,"&gt;="&amp;M640),'FIRE TEX 5120'!$O$5:$T$40,IF(L640="F-15",2,IF(L640="F-30",3,IF(L640="F-60",4,IF(L640="F-90",5,IF(L640="F-120",6,0))))),0),0)</f>
        <v>0</v>
      </c>
      <c r="Q640" s="46">
        <f t="shared" si="69"/>
        <v>0</v>
      </c>
      <c r="R640" s="46">
        <f t="shared" si="70"/>
        <v>0</v>
      </c>
      <c r="S640" s="46" t="e">
        <f t="shared" si="71"/>
        <v>#VALUE!</v>
      </c>
      <c r="T640" s="677">
        <f t="shared" si="72"/>
        <v>0</v>
      </c>
      <c r="U640" s="80">
        <f>(IF(O640="Stofire",(S640*#REF!),0))+(IF(O640="Fire Control",(S640*$U$2),0))+(IF(O640="Fire Tex",(S640*$U$3),0))+(IF(O640="WB7",(S640*#REF!),0)+(IF(O640="FX 2003",(S640*$U$5),0)))</f>
        <v>0</v>
      </c>
      <c r="V640" s="651">
        <f t="shared" si="73"/>
        <v>0</v>
      </c>
    </row>
    <row r="641" spans="4:22" x14ac:dyDescent="0.25">
      <c r="D641" s="118">
        <f>+CUBICACION!D640</f>
        <v>0</v>
      </c>
      <c r="E641" s="118">
        <f>+CUBICACION!F640</f>
        <v>0</v>
      </c>
      <c r="F641" s="118">
        <f>+CUBICACION!E640</f>
        <v>0</v>
      </c>
      <c r="G641" s="118">
        <v>12</v>
      </c>
      <c r="H641" s="118">
        <v>2</v>
      </c>
      <c r="I641" s="820">
        <v>26385</v>
      </c>
      <c r="J641" s="118">
        <f>+CUBICACION!J640</f>
        <v>0</v>
      </c>
      <c r="K641" s="118">
        <v>3420</v>
      </c>
      <c r="L641" s="118">
        <f>+CUBICACION!L640</f>
        <v>0</v>
      </c>
      <c r="M641" s="64">
        <f>+CUBICACION!M640</f>
        <v>0</v>
      </c>
      <c r="N641" s="824" t="str">
        <f>+CUBICACION!N640</f>
        <v/>
      </c>
      <c r="O641" s="675">
        <f>+CUBICACION!O640</f>
        <v>0</v>
      </c>
      <c r="P641" s="15">
        <f>IF(O641="Fire Control",VLOOKUP(_xlfn.MINIFS('FIRE CONTROL'!$C$4:$C$37,'FIRE CONTROL'!$C$4:$C$37,"&gt;="&amp;M641),'FIRE CONTROL'!$C$4:$G$37,IF(L641="F-15",2,IF(L641="F-30",3,IF(L641="F-60",4,IF(L641="F-90",5,0)))),0),0)+IF(AND(O641="FIRE TEX 5062",OR(E641="IN",E641="C",E641="Z",E641="L"),J641=3),VLOOKUP(_xlfn.MINIFS('FIRE TEX 5062'!$B$4:$B$34,'FIRE TEX 5062'!$B$4:$B$34,"&gt;="&amp;M641),'FIRE TEX 5062'!$B$4:$F$34,IF(L641="F-15",2,IF(L641="F-30",3,IF(L641="F-60",4,IF(L641="F-90",5,0)))),0),0)+IF(AND(O641="FIRE TEX 5062",OR(E641="IN",E641="C",E641="Z",E641="L"),J641=4),VLOOKUP(_xlfn.MINIFS('FIRE TEX 5062'!$G$4:$G$34,'FIRE TEX 5062'!$G$4:$G$34,"&gt;="&amp;M641),'FIRE TEX 5062'!$G$4:$K$34,IF(L641="F-15",2,IF(L641="F-30",3,IF(L641="F-60",4,IF(L641="F-90",5,0)))),0),0)+IF(AND(O641="FIRE TEX 5062",E641="CJ",J641=3),VLOOKUP(_xlfn.MINIFS('FIRE TEX 5062'!$L$4:$L$34,'FIRE TEX 5062'!$L$4:$L$34,"&gt;="&amp;M641),'FIRE TEX 5062'!$L$4:$P$34,IF(L641="F-15",2,IF(L641="F-30",3,IF(L641="F-60",4,IF(L641="F-90",5,0)))),0),0)+IF(AND(O641="FIRE TEX 5062",E641="CJ",J641=4),VLOOKUP(_xlfn.MINIFS('FIRE TEX 5062'!$Q$3:$Q$34,'FIRE TEX 5062'!$Q$3:$Q$34,"&gt;="&amp;M641),'FIRE TEX 5062'!$Q$3:$U$34,IF(L641="F-15",2,IF(L641="F-30",3,IF(L641="F-60",4,IF(L641="F-90",5,0)))),0),0)+IF(AND(O641="FIRE TEX 5090",OR(E641="IN",E641="C",E641="Z",E641="L"),J641=3),VLOOKUP(_xlfn.MINIFS('FIRE TEX 5090'!$B$5:$B$43,'FIRE TEX 5090'!$B$5:$B$43,"&gt;="&amp;M641),'FIRE TEX 5090'!$B$5:$H$43,IF(L641="F-15",2,IF(L641="F-30",3,IF(L641="F-60",4,IF(L641="F-90",5,IF(L641="F-120",6,IF(L641="F-150",7,0)))))),0),0)+IF(AND(O641="FIRE TEX 5090",OR(E641="IN",E641="C",E641="Z",E641="L"),J641=4),VLOOKUP(_xlfn.MINIFS('FIRE TEX 5090'!$J$5:$J$43,'FIRE TEX 5090'!$J$5:$J$43,"&gt;="&amp;M641),'FIRE TEX 5090'!$J$5:$P$43,IF(L641="F-15",2,IF(L641="F-30",3,IF(L641="F-60",4,IF(L641="F-90",5,IF(L641="F-120",6,IF(L641="F-150",7,0)))))),0),0)+IF(AND(O641="FIRE TEX 5090",E641="CJ",J641=3),VLOOKUP(_xlfn.MINIFS('FIRE TEX 5090'!$R$5:$R$30,'FIRE TEX 5090'!$R$5:$R$30,"&gt;="&amp;M641),'FIRE TEX 5090'!$R$5:$W$30,IF(L641="F-15",2,IF(L641="F-30",3,IF(L641="F-60",4,IF(L641="F-90",5,IF(L641="F-120",6,IF(L641="F-150",7,0)))))),0),0)+IF(AND(O641="FIRE TEX 5090",E641="CJ",J641=4),VLOOKUP(_xlfn.MINIFS('FIRE TEX 5090'!$Y$5:$Y$39,'FIRE TEX 5090'!$Y$5:$Y$39,"&gt;="&amp;M641),'FIRE TEX 5090'!$Y$5:$AD$39,IF(L641="F-15",2,IF(L641="F-30",3,IF(L641="F-60",4,IF(L641="F-90",5,IF(L641="F-120",6,IF(L641="F-150",7,0)))))),0),0)+IF(AND(O641="FIRE TEX 5120",OR(E641="IN",E641="C",E641="Z",E641="L"),J641=3),VLOOKUP(_xlfn.MINIFS('FIRE TEX 5120'!$B$5:$B$40,'FIRE TEX 5120'!$B$5:$B$40,"&gt;="&amp;M641),'FIRE TEX 5120'!$B$5:$G$40,IF(L641="F-15",2,IF(L641="F-30",3,IF(L641="F-60",4,IF(L641="F-90",5,IF(L641="F-120",6,0))))),0),0)+IF(AND(O641="FIRE TEX 5120",OR(E641="IN",E641="C",E641="Z",E641="L"),J641=4),VLOOKUP(_xlfn.MINIFS('FIRE TEX 5120'!$H$4:$H$40,'FIRE TEX 5120'!$H$4:$H$40,"&gt;="&amp;M641),'FIRE TEX 5120'!$H$4:$M$40,IF(L641="F-15",2,IF(L641="F-30",3,IF(L641="F-60",4,IF(L641="F-90",5,IF(L641="F-120",6,0))))),0),0)+IF(AND(O641="FIRE TEX 5120",E641="CJ"),VLOOKUP(_xlfn.MINIFS('FIRE TEX 5120'!$O$5:$O$40,'FIRE TEX 5120'!$O$5:$O$40,"&gt;="&amp;M641),'FIRE TEX 5120'!$O$5:$T$40,IF(L641="F-15",2,IF(L641="F-30",3,IF(L641="F-60",4,IF(L641="F-90",5,IF(L641="F-120",6,0))))),0),0)</f>
        <v>0</v>
      </c>
      <c r="Q641" s="46">
        <f t="shared" si="69"/>
        <v>0</v>
      </c>
      <c r="R641" s="46">
        <f t="shared" si="70"/>
        <v>0</v>
      </c>
      <c r="S641" s="46" t="e">
        <f t="shared" si="71"/>
        <v>#VALUE!</v>
      </c>
      <c r="T641" s="677">
        <f t="shared" si="72"/>
        <v>0</v>
      </c>
      <c r="U641" s="80">
        <f>(IF(O641="Stofire",(S641*#REF!),0))+(IF(O641="Fire Control",(S641*$U$2),0))+(IF(O641="Fire Tex",(S641*$U$3),0))+(IF(O641="WB7",(S641*#REF!),0)+(IF(O641="FX 2003",(S641*$U$5),0)))</f>
        <v>0</v>
      </c>
      <c r="V641" s="651">
        <f t="shared" si="73"/>
        <v>0</v>
      </c>
    </row>
    <row r="642" spans="4:22" x14ac:dyDescent="0.25">
      <c r="D642" s="118">
        <f>+CUBICACION!D641</f>
        <v>0</v>
      </c>
      <c r="E642" s="118">
        <f>+CUBICACION!F641</f>
        <v>0</v>
      </c>
      <c r="F642" s="118">
        <f>+CUBICACION!E641</f>
        <v>0</v>
      </c>
      <c r="G642" s="118">
        <v>12</v>
      </c>
      <c r="H642" s="118">
        <v>2</v>
      </c>
      <c r="I642" s="820">
        <v>26385</v>
      </c>
      <c r="J642" s="118">
        <f>+CUBICACION!J641</f>
        <v>0</v>
      </c>
      <c r="K642" s="118">
        <v>3421</v>
      </c>
      <c r="L642" s="118">
        <f>+CUBICACION!L641</f>
        <v>0</v>
      </c>
      <c r="M642" s="64">
        <f>+CUBICACION!M641</f>
        <v>0</v>
      </c>
      <c r="N642" s="824" t="str">
        <f>+CUBICACION!N641</f>
        <v/>
      </c>
      <c r="O642" s="675">
        <f>+CUBICACION!O641</f>
        <v>0</v>
      </c>
      <c r="P642" s="15">
        <f>IF(O642="Fire Control",VLOOKUP(_xlfn.MINIFS('FIRE CONTROL'!$C$4:$C$37,'FIRE CONTROL'!$C$4:$C$37,"&gt;="&amp;M642),'FIRE CONTROL'!$C$4:$G$37,IF(L642="F-15",2,IF(L642="F-30",3,IF(L642="F-60",4,IF(L642="F-90",5,0)))),0),0)+IF(AND(O642="FIRE TEX 5062",OR(E642="IN",E642="C",E642="Z",E642="L"),J642=3),VLOOKUP(_xlfn.MINIFS('FIRE TEX 5062'!$B$4:$B$34,'FIRE TEX 5062'!$B$4:$B$34,"&gt;="&amp;M642),'FIRE TEX 5062'!$B$4:$F$34,IF(L642="F-15",2,IF(L642="F-30",3,IF(L642="F-60",4,IF(L642="F-90",5,0)))),0),0)+IF(AND(O642="FIRE TEX 5062",OR(E642="IN",E642="C",E642="Z",E642="L"),J642=4),VLOOKUP(_xlfn.MINIFS('FIRE TEX 5062'!$G$4:$G$34,'FIRE TEX 5062'!$G$4:$G$34,"&gt;="&amp;M642),'FIRE TEX 5062'!$G$4:$K$34,IF(L642="F-15",2,IF(L642="F-30",3,IF(L642="F-60",4,IF(L642="F-90",5,0)))),0),0)+IF(AND(O642="FIRE TEX 5062",E642="CJ",J642=3),VLOOKUP(_xlfn.MINIFS('FIRE TEX 5062'!$L$4:$L$34,'FIRE TEX 5062'!$L$4:$L$34,"&gt;="&amp;M642),'FIRE TEX 5062'!$L$4:$P$34,IF(L642="F-15",2,IF(L642="F-30",3,IF(L642="F-60",4,IF(L642="F-90",5,0)))),0),0)+IF(AND(O642="FIRE TEX 5062",E642="CJ",J642=4),VLOOKUP(_xlfn.MINIFS('FIRE TEX 5062'!$Q$3:$Q$34,'FIRE TEX 5062'!$Q$3:$Q$34,"&gt;="&amp;M642),'FIRE TEX 5062'!$Q$3:$U$34,IF(L642="F-15",2,IF(L642="F-30",3,IF(L642="F-60",4,IF(L642="F-90",5,0)))),0),0)+IF(AND(O642="FIRE TEX 5090",OR(E642="IN",E642="C",E642="Z",E642="L"),J642=3),VLOOKUP(_xlfn.MINIFS('FIRE TEX 5090'!$B$5:$B$43,'FIRE TEX 5090'!$B$5:$B$43,"&gt;="&amp;M642),'FIRE TEX 5090'!$B$5:$H$43,IF(L642="F-15",2,IF(L642="F-30",3,IF(L642="F-60",4,IF(L642="F-90",5,IF(L642="F-120",6,IF(L642="F-150",7,0)))))),0),0)+IF(AND(O642="FIRE TEX 5090",OR(E642="IN",E642="C",E642="Z",E642="L"),J642=4),VLOOKUP(_xlfn.MINIFS('FIRE TEX 5090'!$J$5:$J$43,'FIRE TEX 5090'!$J$5:$J$43,"&gt;="&amp;M642),'FIRE TEX 5090'!$J$5:$P$43,IF(L642="F-15",2,IF(L642="F-30",3,IF(L642="F-60",4,IF(L642="F-90",5,IF(L642="F-120",6,IF(L642="F-150",7,0)))))),0),0)+IF(AND(O642="FIRE TEX 5090",E642="CJ",J642=3),VLOOKUP(_xlfn.MINIFS('FIRE TEX 5090'!$R$5:$R$30,'FIRE TEX 5090'!$R$5:$R$30,"&gt;="&amp;M642),'FIRE TEX 5090'!$R$5:$W$30,IF(L642="F-15",2,IF(L642="F-30",3,IF(L642="F-60",4,IF(L642="F-90",5,IF(L642="F-120",6,IF(L642="F-150",7,0)))))),0),0)+IF(AND(O642="FIRE TEX 5090",E642="CJ",J642=4),VLOOKUP(_xlfn.MINIFS('FIRE TEX 5090'!$Y$5:$Y$39,'FIRE TEX 5090'!$Y$5:$Y$39,"&gt;="&amp;M642),'FIRE TEX 5090'!$Y$5:$AD$39,IF(L642="F-15",2,IF(L642="F-30",3,IF(L642="F-60",4,IF(L642="F-90",5,IF(L642="F-120",6,IF(L642="F-150",7,0)))))),0),0)+IF(AND(O642="FIRE TEX 5120",OR(E642="IN",E642="C",E642="Z",E642="L"),J642=3),VLOOKUP(_xlfn.MINIFS('FIRE TEX 5120'!$B$5:$B$40,'FIRE TEX 5120'!$B$5:$B$40,"&gt;="&amp;M642),'FIRE TEX 5120'!$B$5:$G$40,IF(L642="F-15",2,IF(L642="F-30",3,IF(L642="F-60",4,IF(L642="F-90",5,IF(L642="F-120",6,0))))),0),0)+IF(AND(O642="FIRE TEX 5120",OR(E642="IN",E642="C",E642="Z",E642="L"),J642=4),VLOOKUP(_xlfn.MINIFS('FIRE TEX 5120'!$H$4:$H$40,'FIRE TEX 5120'!$H$4:$H$40,"&gt;="&amp;M642),'FIRE TEX 5120'!$H$4:$M$40,IF(L642="F-15",2,IF(L642="F-30",3,IF(L642="F-60",4,IF(L642="F-90",5,IF(L642="F-120",6,0))))),0),0)+IF(AND(O642="FIRE TEX 5120",E642="CJ"),VLOOKUP(_xlfn.MINIFS('FIRE TEX 5120'!$O$5:$O$40,'FIRE TEX 5120'!$O$5:$O$40,"&gt;="&amp;M642),'FIRE TEX 5120'!$O$5:$T$40,IF(L642="F-15",2,IF(L642="F-30",3,IF(L642="F-60",4,IF(L642="F-90",5,IF(L642="F-120",6,0))))),0),0)</f>
        <v>0</v>
      </c>
      <c r="Q642" s="46">
        <f t="shared" si="69"/>
        <v>0</v>
      </c>
      <c r="R642" s="46">
        <f t="shared" si="70"/>
        <v>0</v>
      </c>
      <c r="S642" s="46" t="e">
        <f t="shared" si="71"/>
        <v>#VALUE!</v>
      </c>
      <c r="T642" s="677">
        <f t="shared" si="72"/>
        <v>0</v>
      </c>
      <c r="U642" s="80">
        <f>(IF(O642="Stofire",(S642*#REF!),0))+(IF(O642="Fire Control",(S642*$U$2),0))+(IF(O642="Fire Tex",(S642*$U$3),0))+(IF(O642="WB7",(S642*#REF!),0)+(IF(O642="FX 2003",(S642*$U$5),0)))</f>
        <v>0</v>
      </c>
      <c r="V642" s="651">
        <f t="shared" si="73"/>
        <v>0</v>
      </c>
    </row>
    <row r="643" spans="4:22" x14ac:dyDescent="0.25">
      <c r="D643" s="118">
        <f>+CUBICACION!D642</f>
        <v>0</v>
      </c>
      <c r="E643" s="118">
        <f>+CUBICACION!F642</f>
        <v>0</v>
      </c>
      <c r="F643" s="118">
        <f>+CUBICACION!E642</f>
        <v>0</v>
      </c>
      <c r="G643" s="118">
        <v>12</v>
      </c>
      <c r="H643" s="118">
        <v>2</v>
      </c>
      <c r="I643" s="820">
        <v>26385</v>
      </c>
      <c r="J643" s="118">
        <f>+CUBICACION!J642</f>
        <v>0</v>
      </c>
      <c r="K643" s="118">
        <v>3422</v>
      </c>
      <c r="L643" s="118">
        <f>+CUBICACION!L642</f>
        <v>0</v>
      </c>
      <c r="M643" s="64">
        <f>+CUBICACION!M642</f>
        <v>0</v>
      </c>
      <c r="N643" s="824" t="str">
        <f>+CUBICACION!N642</f>
        <v/>
      </c>
      <c r="O643" s="675">
        <f>+CUBICACION!O642</f>
        <v>0</v>
      </c>
      <c r="P643" s="15">
        <f>IF(O643="Fire Control",VLOOKUP(_xlfn.MINIFS('FIRE CONTROL'!$C$4:$C$37,'FIRE CONTROL'!$C$4:$C$37,"&gt;="&amp;M643),'FIRE CONTROL'!$C$4:$G$37,IF(L643="F-15",2,IF(L643="F-30",3,IF(L643="F-60",4,IF(L643="F-90",5,0)))),0),0)+IF(AND(O643="FIRE TEX 5062",OR(E643="IN",E643="C",E643="Z",E643="L"),J643=3),VLOOKUP(_xlfn.MINIFS('FIRE TEX 5062'!$B$4:$B$34,'FIRE TEX 5062'!$B$4:$B$34,"&gt;="&amp;M643),'FIRE TEX 5062'!$B$4:$F$34,IF(L643="F-15",2,IF(L643="F-30",3,IF(L643="F-60",4,IF(L643="F-90",5,0)))),0),0)+IF(AND(O643="FIRE TEX 5062",OR(E643="IN",E643="C",E643="Z",E643="L"),J643=4),VLOOKUP(_xlfn.MINIFS('FIRE TEX 5062'!$G$4:$G$34,'FIRE TEX 5062'!$G$4:$G$34,"&gt;="&amp;M643),'FIRE TEX 5062'!$G$4:$K$34,IF(L643="F-15",2,IF(L643="F-30",3,IF(L643="F-60",4,IF(L643="F-90",5,0)))),0),0)+IF(AND(O643="FIRE TEX 5062",E643="CJ",J643=3),VLOOKUP(_xlfn.MINIFS('FIRE TEX 5062'!$L$4:$L$34,'FIRE TEX 5062'!$L$4:$L$34,"&gt;="&amp;M643),'FIRE TEX 5062'!$L$4:$P$34,IF(L643="F-15",2,IF(L643="F-30",3,IF(L643="F-60",4,IF(L643="F-90",5,0)))),0),0)+IF(AND(O643="FIRE TEX 5062",E643="CJ",J643=4),VLOOKUP(_xlfn.MINIFS('FIRE TEX 5062'!$Q$3:$Q$34,'FIRE TEX 5062'!$Q$3:$Q$34,"&gt;="&amp;M643),'FIRE TEX 5062'!$Q$3:$U$34,IF(L643="F-15",2,IF(L643="F-30",3,IF(L643="F-60",4,IF(L643="F-90",5,0)))),0),0)+IF(AND(O643="FIRE TEX 5090",OR(E643="IN",E643="C",E643="Z",E643="L"),J643=3),VLOOKUP(_xlfn.MINIFS('FIRE TEX 5090'!$B$5:$B$43,'FIRE TEX 5090'!$B$5:$B$43,"&gt;="&amp;M643),'FIRE TEX 5090'!$B$5:$H$43,IF(L643="F-15",2,IF(L643="F-30",3,IF(L643="F-60",4,IF(L643="F-90",5,IF(L643="F-120",6,IF(L643="F-150",7,0)))))),0),0)+IF(AND(O643="FIRE TEX 5090",OR(E643="IN",E643="C",E643="Z",E643="L"),J643=4),VLOOKUP(_xlfn.MINIFS('FIRE TEX 5090'!$J$5:$J$43,'FIRE TEX 5090'!$J$5:$J$43,"&gt;="&amp;M643),'FIRE TEX 5090'!$J$5:$P$43,IF(L643="F-15",2,IF(L643="F-30",3,IF(L643="F-60",4,IF(L643="F-90",5,IF(L643="F-120",6,IF(L643="F-150",7,0)))))),0),0)+IF(AND(O643="FIRE TEX 5090",E643="CJ",J643=3),VLOOKUP(_xlfn.MINIFS('FIRE TEX 5090'!$R$5:$R$30,'FIRE TEX 5090'!$R$5:$R$30,"&gt;="&amp;M643),'FIRE TEX 5090'!$R$5:$W$30,IF(L643="F-15",2,IF(L643="F-30",3,IF(L643="F-60",4,IF(L643="F-90",5,IF(L643="F-120",6,IF(L643="F-150",7,0)))))),0),0)+IF(AND(O643="FIRE TEX 5090",E643="CJ",J643=4),VLOOKUP(_xlfn.MINIFS('FIRE TEX 5090'!$Y$5:$Y$39,'FIRE TEX 5090'!$Y$5:$Y$39,"&gt;="&amp;M643),'FIRE TEX 5090'!$Y$5:$AD$39,IF(L643="F-15",2,IF(L643="F-30",3,IF(L643="F-60",4,IF(L643="F-90",5,IF(L643="F-120",6,IF(L643="F-150",7,0)))))),0),0)+IF(AND(O643="FIRE TEX 5120",OR(E643="IN",E643="C",E643="Z",E643="L"),J643=3),VLOOKUP(_xlfn.MINIFS('FIRE TEX 5120'!$B$5:$B$40,'FIRE TEX 5120'!$B$5:$B$40,"&gt;="&amp;M643),'FIRE TEX 5120'!$B$5:$G$40,IF(L643="F-15",2,IF(L643="F-30",3,IF(L643="F-60",4,IF(L643="F-90",5,IF(L643="F-120",6,0))))),0),0)+IF(AND(O643="FIRE TEX 5120",OR(E643="IN",E643="C",E643="Z",E643="L"),J643=4),VLOOKUP(_xlfn.MINIFS('FIRE TEX 5120'!$H$4:$H$40,'FIRE TEX 5120'!$H$4:$H$40,"&gt;="&amp;M643),'FIRE TEX 5120'!$H$4:$M$40,IF(L643="F-15",2,IF(L643="F-30",3,IF(L643="F-60",4,IF(L643="F-90",5,IF(L643="F-120",6,0))))),0),0)+IF(AND(O643="FIRE TEX 5120",E643="CJ"),VLOOKUP(_xlfn.MINIFS('FIRE TEX 5120'!$O$5:$O$40,'FIRE TEX 5120'!$O$5:$O$40,"&gt;="&amp;M643),'FIRE TEX 5120'!$O$5:$T$40,IF(L643="F-15",2,IF(L643="F-30",3,IF(L643="F-60",4,IF(L643="F-90",5,IF(L643="F-120",6,0))))),0),0)</f>
        <v>0</v>
      </c>
      <c r="Q643" s="46">
        <f t="shared" si="69"/>
        <v>0</v>
      </c>
      <c r="R643" s="46">
        <f t="shared" si="70"/>
        <v>0</v>
      </c>
      <c r="S643" s="46" t="e">
        <f t="shared" si="71"/>
        <v>#VALUE!</v>
      </c>
      <c r="T643" s="677">
        <f t="shared" si="72"/>
        <v>0</v>
      </c>
      <c r="U643" s="80">
        <f>(IF(O643="Stofire",(S643*#REF!),0))+(IF(O643="Fire Control",(S643*$U$2),0))+(IF(O643="Fire Tex",(S643*$U$3),0))+(IF(O643="WB7",(S643*#REF!),0)+(IF(O643="FX 2003",(S643*$U$5),0)))</f>
        <v>0</v>
      </c>
      <c r="V643" s="651">
        <f t="shared" si="73"/>
        <v>0</v>
      </c>
    </row>
    <row r="644" spans="4:22" x14ac:dyDescent="0.25">
      <c r="D644" s="118">
        <f>+CUBICACION!D643</f>
        <v>0</v>
      </c>
      <c r="E644" s="118">
        <f>+CUBICACION!F643</f>
        <v>0</v>
      </c>
      <c r="F644" s="118">
        <f>+CUBICACION!E643</f>
        <v>0</v>
      </c>
      <c r="G644" s="118">
        <v>12</v>
      </c>
      <c r="H644" s="118">
        <v>2</v>
      </c>
      <c r="I644" s="820">
        <v>26385</v>
      </c>
      <c r="J644" s="118">
        <f>+CUBICACION!J643</f>
        <v>0</v>
      </c>
      <c r="K644" s="118">
        <v>3423</v>
      </c>
      <c r="L644" s="118">
        <f>+CUBICACION!L643</f>
        <v>0</v>
      </c>
      <c r="M644" s="64">
        <f>+CUBICACION!M643</f>
        <v>0</v>
      </c>
      <c r="N644" s="824" t="str">
        <f>+CUBICACION!N643</f>
        <v/>
      </c>
      <c r="O644" s="675">
        <f>+CUBICACION!O643</f>
        <v>0</v>
      </c>
      <c r="P644" s="15">
        <f>IF(O644="Fire Control",VLOOKUP(_xlfn.MINIFS('FIRE CONTROL'!$C$4:$C$37,'FIRE CONTROL'!$C$4:$C$37,"&gt;="&amp;M644),'FIRE CONTROL'!$C$4:$G$37,IF(L644="F-15",2,IF(L644="F-30",3,IF(L644="F-60",4,IF(L644="F-90",5,0)))),0),0)+IF(AND(O644="FIRE TEX 5062",OR(E644="IN",E644="C",E644="Z",E644="L"),J644=3),VLOOKUP(_xlfn.MINIFS('FIRE TEX 5062'!$B$4:$B$34,'FIRE TEX 5062'!$B$4:$B$34,"&gt;="&amp;M644),'FIRE TEX 5062'!$B$4:$F$34,IF(L644="F-15",2,IF(L644="F-30",3,IF(L644="F-60",4,IF(L644="F-90",5,0)))),0),0)+IF(AND(O644="FIRE TEX 5062",OR(E644="IN",E644="C",E644="Z",E644="L"),J644=4),VLOOKUP(_xlfn.MINIFS('FIRE TEX 5062'!$G$4:$G$34,'FIRE TEX 5062'!$G$4:$G$34,"&gt;="&amp;M644),'FIRE TEX 5062'!$G$4:$K$34,IF(L644="F-15",2,IF(L644="F-30",3,IF(L644="F-60",4,IF(L644="F-90",5,0)))),0),0)+IF(AND(O644="FIRE TEX 5062",E644="CJ",J644=3),VLOOKUP(_xlfn.MINIFS('FIRE TEX 5062'!$L$4:$L$34,'FIRE TEX 5062'!$L$4:$L$34,"&gt;="&amp;M644),'FIRE TEX 5062'!$L$4:$P$34,IF(L644="F-15",2,IF(L644="F-30",3,IF(L644="F-60",4,IF(L644="F-90",5,0)))),0),0)+IF(AND(O644="FIRE TEX 5062",E644="CJ",J644=4),VLOOKUP(_xlfn.MINIFS('FIRE TEX 5062'!$Q$3:$Q$34,'FIRE TEX 5062'!$Q$3:$Q$34,"&gt;="&amp;M644),'FIRE TEX 5062'!$Q$3:$U$34,IF(L644="F-15",2,IF(L644="F-30",3,IF(L644="F-60",4,IF(L644="F-90",5,0)))),0),0)+IF(AND(O644="FIRE TEX 5090",OR(E644="IN",E644="C",E644="Z",E644="L"),J644=3),VLOOKUP(_xlfn.MINIFS('FIRE TEX 5090'!$B$5:$B$43,'FIRE TEX 5090'!$B$5:$B$43,"&gt;="&amp;M644),'FIRE TEX 5090'!$B$5:$H$43,IF(L644="F-15",2,IF(L644="F-30",3,IF(L644="F-60",4,IF(L644="F-90",5,IF(L644="F-120",6,IF(L644="F-150",7,0)))))),0),0)+IF(AND(O644="FIRE TEX 5090",OR(E644="IN",E644="C",E644="Z",E644="L"),J644=4),VLOOKUP(_xlfn.MINIFS('FIRE TEX 5090'!$J$5:$J$43,'FIRE TEX 5090'!$J$5:$J$43,"&gt;="&amp;M644),'FIRE TEX 5090'!$J$5:$P$43,IF(L644="F-15",2,IF(L644="F-30",3,IF(L644="F-60",4,IF(L644="F-90",5,IF(L644="F-120",6,IF(L644="F-150",7,0)))))),0),0)+IF(AND(O644="FIRE TEX 5090",E644="CJ",J644=3),VLOOKUP(_xlfn.MINIFS('FIRE TEX 5090'!$R$5:$R$30,'FIRE TEX 5090'!$R$5:$R$30,"&gt;="&amp;M644),'FIRE TEX 5090'!$R$5:$W$30,IF(L644="F-15",2,IF(L644="F-30",3,IF(L644="F-60",4,IF(L644="F-90",5,IF(L644="F-120",6,IF(L644="F-150",7,0)))))),0),0)+IF(AND(O644="FIRE TEX 5090",E644="CJ",J644=4),VLOOKUP(_xlfn.MINIFS('FIRE TEX 5090'!$Y$5:$Y$39,'FIRE TEX 5090'!$Y$5:$Y$39,"&gt;="&amp;M644),'FIRE TEX 5090'!$Y$5:$AD$39,IF(L644="F-15",2,IF(L644="F-30",3,IF(L644="F-60",4,IF(L644="F-90",5,IF(L644="F-120",6,IF(L644="F-150",7,0)))))),0),0)+IF(AND(O644="FIRE TEX 5120",OR(E644="IN",E644="C",E644="Z",E644="L"),J644=3),VLOOKUP(_xlfn.MINIFS('FIRE TEX 5120'!$B$5:$B$40,'FIRE TEX 5120'!$B$5:$B$40,"&gt;="&amp;M644),'FIRE TEX 5120'!$B$5:$G$40,IF(L644="F-15",2,IF(L644="F-30",3,IF(L644="F-60",4,IF(L644="F-90",5,IF(L644="F-120",6,0))))),0),0)+IF(AND(O644="FIRE TEX 5120",OR(E644="IN",E644="C",E644="Z",E644="L"),J644=4),VLOOKUP(_xlfn.MINIFS('FIRE TEX 5120'!$H$4:$H$40,'FIRE TEX 5120'!$H$4:$H$40,"&gt;="&amp;M644),'FIRE TEX 5120'!$H$4:$M$40,IF(L644="F-15",2,IF(L644="F-30",3,IF(L644="F-60",4,IF(L644="F-90",5,IF(L644="F-120",6,0))))),0),0)+IF(AND(O644="FIRE TEX 5120",E644="CJ"),VLOOKUP(_xlfn.MINIFS('FIRE TEX 5120'!$O$5:$O$40,'FIRE TEX 5120'!$O$5:$O$40,"&gt;="&amp;M644),'FIRE TEX 5120'!$O$5:$T$40,IF(L644="F-15",2,IF(L644="F-30",3,IF(L644="F-60",4,IF(L644="F-90",5,IF(L644="F-120",6,0))))),0),0)</f>
        <v>0</v>
      </c>
      <c r="Q644" s="46">
        <f t="shared" si="69"/>
        <v>0</v>
      </c>
      <c r="R644" s="46">
        <f t="shared" si="70"/>
        <v>0</v>
      </c>
      <c r="S644" s="46" t="e">
        <f t="shared" si="71"/>
        <v>#VALUE!</v>
      </c>
      <c r="T644" s="677">
        <f t="shared" si="72"/>
        <v>0</v>
      </c>
      <c r="U644" s="80">
        <f>(IF(O644="Stofire",(S644*#REF!),0))+(IF(O644="Fire Control",(S644*$U$2),0))+(IF(O644="Fire Tex",(S644*$U$3),0))+(IF(O644="WB7",(S644*#REF!),0)+(IF(O644="FX 2003",(S644*$U$5),0)))</f>
        <v>0</v>
      </c>
      <c r="V644" s="651">
        <f t="shared" si="73"/>
        <v>0</v>
      </c>
    </row>
    <row r="645" spans="4:22" x14ac:dyDescent="0.25">
      <c r="D645" s="118">
        <f>+CUBICACION!D644</f>
        <v>0</v>
      </c>
      <c r="E645" s="118">
        <f>+CUBICACION!F644</f>
        <v>0</v>
      </c>
      <c r="F645" s="118">
        <f>+CUBICACION!E644</f>
        <v>0</v>
      </c>
      <c r="G645" s="118">
        <v>12</v>
      </c>
      <c r="H645" s="118">
        <v>2</v>
      </c>
      <c r="I645" s="820">
        <v>26385</v>
      </c>
      <c r="J645" s="118">
        <f>+CUBICACION!J644</f>
        <v>0</v>
      </c>
      <c r="K645" s="118">
        <v>3424</v>
      </c>
      <c r="L645" s="118">
        <f>+CUBICACION!L644</f>
        <v>0</v>
      </c>
      <c r="M645" s="64">
        <f>+CUBICACION!M644</f>
        <v>0</v>
      </c>
      <c r="N645" s="824" t="str">
        <f>+CUBICACION!N644</f>
        <v/>
      </c>
      <c r="O645" s="675">
        <f>+CUBICACION!O644</f>
        <v>0</v>
      </c>
      <c r="P645" s="15">
        <f>IF(O645="Fire Control",VLOOKUP(_xlfn.MINIFS('FIRE CONTROL'!$C$4:$C$37,'FIRE CONTROL'!$C$4:$C$37,"&gt;="&amp;M645),'FIRE CONTROL'!$C$4:$G$37,IF(L645="F-15",2,IF(L645="F-30",3,IF(L645="F-60",4,IF(L645="F-90",5,0)))),0),0)+IF(AND(O645="FIRE TEX 5062",OR(E645="IN",E645="C",E645="Z",E645="L"),J645=3),VLOOKUP(_xlfn.MINIFS('FIRE TEX 5062'!$B$4:$B$34,'FIRE TEX 5062'!$B$4:$B$34,"&gt;="&amp;M645),'FIRE TEX 5062'!$B$4:$F$34,IF(L645="F-15",2,IF(L645="F-30",3,IF(L645="F-60",4,IF(L645="F-90",5,0)))),0),0)+IF(AND(O645="FIRE TEX 5062",OR(E645="IN",E645="C",E645="Z",E645="L"),J645=4),VLOOKUP(_xlfn.MINIFS('FIRE TEX 5062'!$G$4:$G$34,'FIRE TEX 5062'!$G$4:$G$34,"&gt;="&amp;M645),'FIRE TEX 5062'!$G$4:$K$34,IF(L645="F-15",2,IF(L645="F-30",3,IF(L645="F-60",4,IF(L645="F-90",5,0)))),0),0)+IF(AND(O645="FIRE TEX 5062",E645="CJ",J645=3),VLOOKUP(_xlfn.MINIFS('FIRE TEX 5062'!$L$4:$L$34,'FIRE TEX 5062'!$L$4:$L$34,"&gt;="&amp;M645),'FIRE TEX 5062'!$L$4:$P$34,IF(L645="F-15",2,IF(L645="F-30",3,IF(L645="F-60",4,IF(L645="F-90",5,0)))),0),0)+IF(AND(O645="FIRE TEX 5062",E645="CJ",J645=4),VLOOKUP(_xlfn.MINIFS('FIRE TEX 5062'!$Q$3:$Q$34,'FIRE TEX 5062'!$Q$3:$Q$34,"&gt;="&amp;M645),'FIRE TEX 5062'!$Q$3:$U$34,IF(L645="F-15",2,IF(L645="F-30",3,IF(L645="F-60",4,IF(L645="F-90",5,0)))),0),0)+IF(AND(O645="FIRE TEX 5090",OR(E645="IN",E645="C",E645="Z",E645="L"),J645=3),VLOOKUP(_xlfn.MINIFS('FIRE TEX 5090'!$B$5:$B$43,'FIRE TEX 5090'!$B$5:$B$43,"&gt;="&amp;M645),'FIRE TEX 5090'!$B$5:$H$43,IF(L645="F-15",2,IF(L645="F-30",3,IF(L645="F-60",4,IF(L645="F-90",5,IF(L645="F-120",6,IF(L645="F-150",7,0)))))),0),0)+IF(AND(O645="FIRE TEX 5090",OR(E645="IN",E645="C",E645="Z",E645="L"),J645=4),VLOOKUP(_xlfn.MINIFS('FIRE TEX 5090'!$J$5:$J$43,'FIRE TEX 5090'!$J$5:$J$43,"&gt;="&amp;M645),'FIRE TEX 5090'!$J$5:$P$43,IF(L645="F-15",2,IF(L645="F-30",3,IF(L645="F-60",4,IF(L645="F-90",5,IF(L645="F-120",6,IF(L645="F-150",7,0)))))),0),0)+IF(AND(O645="FIRE TEX 5090",E645="CJ",J645=3),VLOOKUP(_xlfn.MINIFS('FIRE TEX 5090'!$R$5:$R$30,'FIRE TEX 5090'!$R$5:$R$30,"&gt;="&amp;M645),'FIRE TEX 5090'!$R$5:$W$30,IF(L645="F-15",2,IF(L645="F-30",3,IF(L645="F-60",4,IF(L645="F-90",5,IF(L645="F-120",6,IF(L645="F-150",7,0)))))),0),0)+IF(AND(O645="FIRE TEX 5090",E645="CJ",J645=4),VLOOKUP(_xlfn.MINIFS('FIRE TEX 5090'!$Y$5:$Y$39,'FIRE TEX 5090'!$Y$5:$Y$39,"&gt;="&amp;M645),'FIRE TEX 5090'!$Y$5:$AD$39,IF(L645="F-15",2,IF(L645="F-30",3,IF(L645="F-60",4,IF(L645="F-90",5,IF(L645="F-120",6,IF(L645="F-150",7,0)))))),0),0)+IF(AND(O645="FIRE TEX 5120",OR(E645="IN",E645="C",E645="Z",E645="L"),J645=3),VLOOKUP(_xlfn.MINIFS('FIRE TEX 5120'!$B$5:$B$40,'FIRE TEX 5120'!$B$5:$B$40,"&gt;="&amp;M645),'FIRE TEX 5120'!$B$5:$G$40,IF(L645="F-15",2,IF(L645="F-30",3,IF(L645="F-60",4,IF(L645="F-90",5,IF(L645="F-120",6,0))))),0),0)+IF(AND(O645="FIRE TEX 5120",OR(E645="IN",E645="C",E645="Z",E645="L"),J645=4),VLOOKUP(_xlfn.MINIFS('FIRE TEX 5120'!$H$4:$H$40,'FIRE TEX 5120'!$H$4:$H$40,"&gt;="&amp;M645),'FIRE TEX 5120'!$H$4:$M$40,IF(L645="F-15",2,IF(L645="F-30",3,IF(L645="F-60",4,IF(L645="F-90",5,IF(L645="F-120",6,0))))),0),0)+IF(AND(O645="FIRE TEX 5120",E645="CJ"),VLOOKUP(_xlfn.MINIFS('FIRE TEX 5120'!$O$5:$O$40,'FIRE TEX 5120'!$O$5:$O$40,"&gt;="&amp;M645),'FIRE TEX 5120'!$O$5:$T$40,IF(L645="F-15",2,IF(L645="F-30",3,IF(L645="F-60",4,IF(L645="F-90",5,IF(L645="F-120",6,0))))),0),0)</f>
        <v>0</v>
      </c>
      <c r="Q645" s="46">
        <f t="shared" si="69"/>
        <v>0</v>
      </c>
      <c r="R645" s="46">
        <f t="shared" si="70"/>
        <v>0</v>
      </c>
      <c r="S645" s="46" t="e">
        <f t="shared" si="71"/>
        <v>#VALUE!</v>
      </c>
      <c r="T645" s="677">
        <f t="shared" si="72"/>
        <v>0</v>
      </c>
      <c r="U645" s="80">
        <f>(IF(O645="Stofire",(S645*#REF!),0))+(IF(O645="Fire Control",(S645*$U$2),0))+(IF(O645="Fire Tex",(S645*$U$3),0))+(IF(O645="WB7",(S645*#REF!),0)+(IF(O645="FX 2003",(S645*$U$5),0)))</f>
        <v>0</v>
      </c>
      <c r="V645" s="651">
        <f t="shared" si="73"/>
        <v>0</v>
      </c>
    </row>
    <row r="646" spans="4:22" x14ac:dyDescent="0.25">
      <c r="D646" s="118">
        <f>+CUBICACION!D645</f>
        <v>0</v>
      </c>
      <c r="E646" s="118">
        <f>+CUBICACION!F645</f>
        <v>0</v>
      </c>
      <c r="F646" s="118">
        <f>+CUBICACION!E645</f>
        <v>0</v>
      </c>
      <c r="G646" s="118">
        <v>12</v>
      </c>
      <c r="H646" s="118">
        <v>2</v>
      </c>
      <c r="I646" s="820">
        <v>26385</v>
      </c>
      <c r="J646" s="118">
        <f>+CUBICACION!J645</f>
        <v>0</v>
      </c>
      <c r="K646" s="118">
        <v>3425</v>
      </c>
      <c r="L646" s="118">
        <f>+CUBICACION!L645</f>
        <v>0</v>
      </c>
      <c r="M646" s="64">
        <f>+CUBICACION!M645</f>
        <v>0</v>
      </c>
      <c r="N646" s="824" t="str">
        <f>+CUBICACION!N645</f>
        <v/>
      </c>
      <c r="O646" s="675">
        <f>+CUBICACION!O645</f>
        <v>0</v>
      </c>
      <c r="P646" s="15">
        <f>IF(O646="Fire Control",VLOOKUP(_xlfn.MINIFS('FIRE CONTROL'!$C$4:$C$37,'FIRE CONTROL'!$C$4:$C$37,"&gt;="&amp;M646),'FIRE CONTROL'!$C$4:$G$37,IF(L646="F-15",2,IF(L646="F-30",3,IF(L646="F-60",4,IF(L646="F-90",5,0)))),0),0)+IF(AND(O646="FIRE TEX 5062",OR(E646="IN",E646="C",E646="Z",E646="L"),J646=3),VLOOKUP(_xlfn.MINIFS('FIRE TEX 5062'!$B$4:$B$34,'FIRE TEX 5062'!$B$4:$B$34,"&gt;="&amp;M646),'FIRE TEX 5062'!$B$4:$F$34,IF(L646="F-15",2,IF(L646="F-30",3,IF(L646="F-60",4,IF(L646="F-90",5,0)))),0),0)+IF(AND(O646="FIRE TEX 5062",OR(E646="IN",E646="C",E646="Z",E646="L"),J646=4),VLOOKUP(_xlfn.MINIFS('FIRE TEX 5062'!$G$4:$G$34,'FIRE TEX 5062'!$G$4:$G$34,"&gt;="&amp;M646),'FIRE TEX 5062'!$G$4:$K$34,IF(L646="F-15",2,IF(L646="F-30",3,IF(L646="F-60",4,IF(L646="F-90",5,0)))),0),0)+IF(AND(O646="FIRE TEX 5062",E646="CJ",J646=3),VLOOKUP(_xlfn.MINIFS('FIRE TEX 5062'!$L$4:$L$34,'FIRE TEX 5062'!$L$4:$L$34,"&gt;="&amp;M646),'FIRE TEX 5062'!$L$4:$P$34,IF(L646="F-15",2,IF(L646="F-30",3,IF(L646="F-60",4,IF(L646="F-90",5,0)))),0),0)+IF(AND(O646="FIRE TEX 5062",E646="CJ",J646=4),VLOOKUP(_xlfn.MINIFS('FIRE TEX 5062'!$Q$3:$Q$34,'FIRE TEX 5062'!$Q$3:$Q$34,"&gt;="&amp;M646),'FIRE TEX 5062'!$Q$3:$U$34,IF(L646="F-15",2,IF(L646="F-30",3,IF(L646="F-60",4,IF(L646="F-90",5,0)))),0),0)+IF(AND(O646="FIRE TEX 5090",OR(E646="IN",E646="C",E646="Z",E646="L"),J646=3),VLOOKUP(_xlfn.MINIFS('FIRE TEX 5090'!$B$5:$B$43,'FIRE TEX 5090'!$B$5:$B$43,"&gt;="&amp;M646),'FIRE TEX 5090'!$B$5:$H$43,IF(L646="F-15",2,IF(L646="F-30",3,IF(L646="F-60",4,IF(L646="F-90",5,IF(L646="F-120",6,IF(L646="F-150",7,0)))))),0),0)+IF(AND(O646="FIRE TEX 5090",OR(E646="IN",E646="C",E646="Z",E646="L"),J646=4),VLOOKUP(_xlfn.MINIFS('FIRE TEX 5090'!$J$5:$J$43,'FIRE TEX 5090'!$J$5:$J$43,"&gt;="&amp;M646),'FIRE TEX 5090'!$J$5:$P$43,IF(L646="F-15",2,IF(L646="F-30",3,IF(L646="F-60",4,IF(L646="F-90",5,IF(L646="F-120",6,IF(L646="F-150",7,0)))))),0),0)+IF(AND(O646="FIRE TEX 5090",E646="CJ",J646=3),VLOOKUP(_xlfn.MINIFS('FIRE TEX 5090'!$R$5:$R$30,'FIRE TEX 5090'!$R$5:$R$30,"&gt;="&amp;M646),'FIRE TEX 5090'!$R$5:$W$30,IF(L646="F-15",2,IF(L646="F-30",3,IF(L646="F-60",4,IF(L646="F-90",5,IF(L646="F-120",6,IF(L646="F-150",7,0)))))),0),0)+IF(AND(O646="FIRE TEX 5090",E646="CJ",J646=4),VLOOKUP(_xlfn.MINIFS('FIRE TEX 5090'!$Y$5:$Y$39,'FIRE TEX 5090'!$Y$5:$Y$39,"&gt;="&amp;M646),'FIRE TEX 5090'!$Y$5:$AD$39,IF(L646="F-15",2,IF(L646="F-30",3,IF(L646="F-60",4,IF(L646="F-90",5,IF(L646="F-120",6,IF(L646="F-150",7,0)))))),0),0)+IF(AND(O646="FIRE TEX 5120",OR(E646="IN",E646="C",E646="Z",E646="L"),J646=3),VLOOKUP(_xlfn.MINIFS('FIRE TEX 5120'!$B$5:$B$40,'FIRE TEX 5120'!$B$5:$B$40,"&gt;="&amp;M646),'FIRE TEX 5120'!$B$5:$G$40,IF(L646="F-15",2,IF(L646="F-30",3,IF(L646="F-60",4,IF(L646="F-90",5,IF(L646="F-120",6,0))))),0),0)+IF(AND(O646="FIRE TEX 5120",OR(E646="IN",E646="C",E646="Z",E646="L"),J646=4),VLOOKUP(_xlfn.MINIFS('FIRE TEX 5120'!$H$4:$H$40,'FIRE TEX 5120'!$H$4:$H$40,"&gt;="&amp;M646),'FIRE TEX 5120'!$H$4:$M$40,IF(L646="F-15",2,IF(L646="F-30",3,IF(L646="F-60",4,IF(L646="F-90",5,IF(L646="F-120",6,0))))),0),0)+IF(AND(O646="FIRE TEX 5120",E646="CJ"),VLOOKUP(_xlfn.MINIFS('FIRE TEX 5120'!$O$5:$O$40,'FIRE TEX 5120'!$O$5:$O$40,"&gt;="&amp;M646),'FIRE TEX 5120'!$O$5:$T$40,IF(L646="F-15",2,IF(L646="F-30",3,IF(L646="F-60",4,IF(L646="F-90",5,IF(L646="F-120",6,0))))),0),0)</f>
        <v>0</v>
      </c>
      <c r="Q646" s="46">
        <f t="shared" si="69"/>
        <v>0</v>
      </c>
      <c r="R646" s="46">
        <f t="shared" si="70"/>
        <v>0</v>
      </c>
      <c r="S646" s="46" t="e">
        <f t="shared" si="71"/>
        <v>#VALUE!</v>
      </c>
      <c r="T646" s="677">
        <f t="shared" si="72"/>
        <v>0</v>
      </c>
      <c r="U646" s="80">
        <f>(IF(O646="Stofire",(S646*#REF!),0))+(IF(O646="Fire Control",(S646*$U$2),0))+(IF(O646="Fire Tex",(S646*$U$3),0))+(IF(O646="WB7",(S646*#REF!),0)+(IF(O646="FX 2003",(S646*$U$5),0)))</f>
        <v>0</v>
      </c>
      <c r="V646" s="651">
        <f t="shared" si="73"/>
        <v>0</v>
      </c>
    </row>
    <row r="647" spans="4:22" x14ac:dyDescent="0.25">
      <c r="D647" s="118">
        <f>+CUBICACION!D646</f>
        <v>0</v>
      </c>
      <c r="E647" s="118">
        <f>+CUBICACION!F646</f>
        <v>0</v>
      </c>
      <c r="F647" s="118">
        <f>+CUBICACION!E646</f>
        <v>0</v>
      </c>
      <c r="G647" s="118">
        <v>12</v>
      </c>
      <c r="H647" s="118">
        <v>2</v>
      </c>
      <c r="I647" s="820">
        <v>26385</v>
      </c>
      <c r="J647" s="118">
        <f>+CUBICACION!J646</f>
        <v>0</v>
      </c>
      <c r="K647" s="118">
        <v>3426</v>
      </c>
      <c r="L647" s="118">
        <f>+CUBICACION!L646</f>
        <v>0</v>
      </c>
      <c r="M647" s="64">
        <f>+CUBICACION!M646</f>
        <v>0</v>
      </c>
      <c r="N647" s="824" t="str">
        <f>+CUBICACION!N646</f>
        <v/>
      </c>
      <c r="O647" s="675">
        <f>+CUBICACION!O646</f>
        <v>0</v>
      </c>
      <c r="P647" s="15">
        <f>IF(O647="Fire Control",VLOOKUP(_xlfn.MINIFS('FIRE CONTROL'!$C$4:$C$37,'FIRE CONTROL'!$C$4:$C$37,"&gt;="&amp;M647),'FIRE CONTROL'!$C$4:$G$37,IF(L647="F-15",2,IF(L647="F-30",3,IF(L647="F-60",4,IF(L647="F-90",5,0)))),0),0)+IF(AND(O647="FIRE TEX 5062",OR(E647="IN",E647="C",E647="Z",E647="L"),J647=3),VLOOKUP(_xlfn.MINIFS('FIRE TEX 5062'!$B$4:$B$34,'FIRE TEX 5062'!$B$4:$B$34,"&gt;="&amp;M647),'FIRE TEX 5062'!$B$4:$F$34,IF(L647="F-15",2,IF(L647="F-30",3,IF(L647="F-60",4,IF(L647="F-90",5,0)))),0),0)+IF(AND(O647="FIRE TEX 5062",OR(E647="IN",E647="C",E647="Z",E647="L"),J647=4),VLOOKUP(_xlfn.MINIFS('FIRE TEX 5062'!$G$4:$G$34,'FIRE TEX 5062'!$G$4:$G$34,"&gt;="&amp;M647),'FIRE TEX 5062'!$G$4:$K$34,IF(L647="F-15",2,IF(L647="F-30",3,IF(L647="F-60",4,IF(L647="F-90",5,0)))),0),0)+IF(AND(O647="FIRE TEX 5062",E647="CJ",J647=3),VLOOKUP(_xlfn.MINIFS('FIRE TEX 5062'!$L$4:$L$34,'FIRE TEX 5062'!$L$4:$L$34,"&gt;="&amp;M647),'FIRE TEX 5062'!$L$4:$P$34,IF(L647="F-15",2,IF(L647="F-30",3,IF(L647="F-60",4,IF(L647="F-90",5,0)))),0),0)+IF(AND(O647="FIRE TEX 5062",E647="CJ",J647=4),VLOOKUP(_xlfn.MINIFS('FIRE TEX 5062'!$Q$3:$Q$34,'FIRE TEX 5062'!$Q$3:$Q$34,"&gt;="&amp;M647),'FIRE TEX 5062'!$Q$3:$U$34,IF(L647="F-15",2,IF(L647="F-30",3,IF(L647="F-60",4,IF(L647="F-90",5,0)))),0),0)+IF(AND(O647="FIRE TEX 5090",OR(E647="IN",E647="C",E647="Z",E647="L"),J647=3),VLOOKUP(_xlfn.MINIFS('FIRE TEX 5090'!$B$5:$B$43,'FIRE TEX 5090'!$B$5:$B$43,"&gt;="&amp;M647),'FIRE TEX 5090'!$B$5:$H$43,IF(L647="F-15",2,IF(L647="F-30",3,IF(L647="F-60",4,IF(L647="F-90",5,IF(L647="F-120",6,IF(L647="F-150",7,0)))))),0),0)+IF(AND(O647="FIRE TEX 5090",OR(E647="IN",E647="C",E647="Z",E647="L"),J647=4),VLOOKUP(_xlfn.MINIFS('FIRE TEX 5090'!$J$5:$J$43,'FIRE TEX 5090'!$J$5:$J$43,"&gt;="&amp;M647),'FIRE TEX 5090'!$J$5:$P$43,IF(L647="F-15",2,IF(L647="F-30",3,IF(L647="F-60",4,IF(L647="F-90",5,IF(L647="F-120",6,IF(L647="F-150",7,0)))))),0),0)+IF(AND(O647="FIRE TEX 5090",E647="CJ",J647=3),VLOOKUP(_xlfn.MINIFS('FIRE TEX 5090'!$R$5:$R$30,'FIRE TEX 5090'!$R$5:$R$30,"&gt;="&amp;M647),'FIRE TEX 5090'!$R$5:$W$30,IF(L647="F-15",2,IF(L647="F-30",3,IF(L647="F-60",4,IF(L647="F-90",5,IF(L647="F-120",6,IF(L647="F-150",7,0)))))),0),0)+IF(AND(O647="FIRE TEX 5090",E647="CJ",J647=4),VLOOKUP(_xlfn.MINIFS('FIRE TEX 5090'!$Y$5:$Y$39,'FIRE TEX 5090'!$Y$5:$Y$39,"&gt;="&amp;M647),'FIRE TEX 5090'!$Y$5:$AD$39,IF(L647="F-15",2,IF(L647="F-30",3,IF(L647="F-60",4,IF(L647="F-90",5,IF(L647="F-120",6,IF(L647="F-150",7,0)))))),0),0)+IF(AND(O647="FIRE TEX 5120",OR(E647="IN",E647="C",E647="Z",E647="L"),J647=3),VLOOKUP(_xlfn.MINIFS('FIRE TEX 5120'!$B$5:$B$40,'FIRE TEX 5120'!$B$5:$B$40,"&gt;="&amp;M647),'FIRE TEX 5120'!$B$5:$G$40,IF(L647="F-15",2,IF(L647="F-30",3,IF(L647="F-60",4,IF(L647="F-90",5,IF(L647="F-120",6,0))))),0),0)+IF(AND(O647="FIRE TEX 5120",OR(E647="IN",E647="C",E647="Z",E647="L"),J647=4),VLOOKUP(_xlfn.MINIFS('FIRE TEX 5120'!$H$4:$H$40,'FIRE TEX 5120'!$H$4:$H$40,"&gt;="&amp;M647),'FIRE TEX 5120'!$H$4:$M$40,IF(L647="F-15",2,IF(L647="F-30",3,IF(L647="F-60",4,IF(L647="F-90",5,IF(L647="F-120",6,0))))),0),0)+IF(AND(O647="FIRE TEX 5120",E647="CJ"),VLOOKUP(_xlfn.MINIFS('FIRE TEX 5120'!$O$5:$O$40,'FIRE TEX 5120'!$O$5:$O$40,"&gt;="&amp;M647),'FIRE TEX 5120'!$O$5:$T$40,IF(L647="F-15",2,IF(L647="F-30",3,IF(L647="F-60",4,IF(L647="F-90",5,IF(L647="F-120",6,0))))),0),0)</f>
        <v>0</v>
      </c>
      <c r="Q647" s="46">
        <f t="shared" si="69"/>
        <v>0</v>
      </c>
      <c r="R647" s="46">
        <f t="shared" si="70"/>
        <v>0</v>
      </c>
      <c r="S647" s="46" t="e">
        <f t="shared" si="71"/>
        <v>#VALUE!</v>
      </c>
      <c r="T647" s="677">
        <f t="shared" si="72"/>
        <v>0</v>
      </c>
      <c r="U647" s="80">
        <f>(IF(O647="Stofire",(S647*#REF!),0))+(IF(O647="Fire Control",(S647*$U$2),0))+(IF(O647="Fire Tex",(S647*$U$3),0))+(IF(O647="WB7",(S647*#REF!),0)+(IF(O647="FX 2003",(S647*$U$5),0)))</f>
        <v>0</v>
      </c>
      <c r="V647" s="651">
        <f t="shared" si="73"/>
        <v>0</v>
      </c>
    </row>
    <row r="648" spans="4:22" x14ac:dyDescent="0.25">
      <c r="D648" s="118">
        <f>+CUBICACION!D647</f>
        <v>0</v>
      </c>
      <c r="E648" s="118">
        <f>+CUBICACION!F647</f>
        <v>0</v>
      </c>
      <c r="F648" s="118">
        <f>+CUBICACION!E647</f>
        <v>0</v>
      </c>
      <c r="G648" s="118">
        <v>12</v>
      </c>
      <c r="H648" s="118">
        <v>2</v>
      </c>
      <c r="I648" s="820">
        <v>26385</v>
      </c>
      <c r="J648" s="118">
        <f>+CUBICACION!J647</f>
        <v>0</v>
      </c>
      <c r="K648" s="118">
        <v>3427</v>
      </c>
      <c r="L648" s="118">
        <f>+CUBICACION!L647</f>
        <v>0</v>
      </c>
      <c r="M648" s="64">
        <f>+CUBICACION!M647</f>
        <v>0</v>
      </c>
      <c r="N648" s="824" t="str">
        <f>+CUBICACION!N647</f>
        <v/>
      </c>
      <c r="O648" s="675">
        <f>+CUBICACION!O647</f>
        <v>0</v>
      </c>
      <c r="P648" s="15">
        <f>IF(O648="Fire Control",VLOOKUP(_xlfn.MINIFS('FIRE CONTROL'!$C$4:$C$37,'FIRE CONTROL'!$C$4:$C$37,"&gt;="&amp;M648),'FIRE CONTROL'!$C$4:$G$37,IF(L648="F-15",2,IF(L648="F-30",3,IF(L648="F-60",4,IF(L648="F-90",5,0)))),0),0)+IF(AND(O648="FIRE TEX 5062",OR(E648="IN",E648="C",E648="Z",E648="L"),J648=3),VLOOKUP(_xlfn.MINIFS('FIRE TEX 5062'!$B$4:$B$34,'FIRE TEX 5062'!$B$4:$B$34,"&gt;="&amp;M648),'FIRE TEX 5062'!$B$4:$F$34,IF(L648="F-15",2,IF(L648="F-30",3,IF(L648="F-60",4,IF(L648="F-90",5,0)))),0),0)+IF(AND(O648="FIRE TEX 5062",OR(E648="IN",E648="C",E648="Z",E648="L"),J648=4),VLOOKUP(_xlfn.MINIFS('FIRE TEX 5062'!$G$4:$G$34,'FIRE TEX 5062'!$G$4:$G$34,"&gt;="&amp;M648),'FIRE TEX 5062'!$G$4:$K$34,IF(L648="F-15",2,IF(L648="F-30",3,IF(L648="F-60",4,IF(L648="F-90",5,0)))),0),0)+IF(AND(O648="FIRE TEX 5062",E648="CJ",J648=3),VLOOKUP(_xlfn.MINIFS('FIRE TEX 5062'!$L$4:$L$34,'FIRE TEX 5062'!$L$4:$L$34,"&gt;="&amp;M648),'FIRE TEX 5062'!$L$4:$P$34,IF(L648="F-15",2,IF(L648="F-30",3,IF(L648="F-60",4,IF(L648="F-90",5,0)))),0),0)+IF(AND(O648="FIRE TEX 5062",E648="CJ",J648=4),VLOOKUP(_xlfn.MINIFS('FIRE TEX 5062'!$Q$3:$Q$34,'FIRE TEX 5062'!$Q$3:$Q$34,"&gt;="&amp;M648),'FIRE TEX 5062'!$Q$3:$U$34,IF(L648="F-15",2,IF(L648="F-30",3,IF(L648="F-60",4,IF(L648="F-90",5,0)))),0),0)+IF(AND(O648="FIRE TEX 5090",OR(E648="IN",E648="C",E648="Z",E648="L"),J648=3),VLOOKUP(_xlfn.MINIFS('FIRE TEX 5090'!$B$5:$B$43,'FIRE TEX 5090'!$B$5:$B$43,"&gt;="&amp;M648),'FIRE TEX 5090'!$B$5:$H$43,IF(L648="F-15",2,IF(L648="F-30",3,IF(L648="F-60",4,IF(L648="F-90",5,IF(L648="F-120",6,IF(L648="F-150",7,0)))))),0),0)+IF(AND(O648="FIRE TEX 5090",OR(E648="IN",E648="C",E648="Z",E648="L"),J648=4),VLOOKUP(_xlfn.MINIFS('FIRE TEX 5090'!$J$5:$J$43,'FIRE TEX 5090'!$J$5:$J$43,"&gt;="&amp;M648),'FIRE TEX 5090'!$J$5:$P$43,IF(L648="F-15",2,IF(L648="F-30",3,IF(L648="F-60",4,IF(L648="F-90",5,IF(L648="F-120",6,IF(L648="F-150",7,0)))))),0),0)+IF(AND(O648="FIRE TEX 5090",E648="CJ",J648=3),VLOOKUP(_xlfn.MINIFS('FIRE TEX 5090'!$R$5:$R$30,'FIRE TEX 5090'!$R$5:$R$30,"&gt;="&amp;M648),'FIRE TEX 5090'!$R$5:$W$30,IF(L648="F-15",2,IF(L648="F-30",3,IF(L648="F-60",4,IF(L648="F-90",5,IF(L648="F-120",6,IF(L648="F-150",7,0)))))),0),0)+IF(AND(O648="FIRE TEX 5090",E648="CJ",J648=4),VLOOKUP(_xlfn.MINIFS('FIRE TEX 5090'!$Y$5:$Y$39,'FIRE TEX 5090'!$Y$5:$Y$39,"&gt;="&amp;M648),'FIRE TEX 5090'!$Y$5:$AD$39,IF(L648="F-15",2,IF(L648="F-30",3,IF(L648="F-60",4,IF(L648="F-90",5,IF(L648="F-120",6,IF(L648="F-150",7,0)))))),0),0)+IF(AND(O648="FIRE TEX 5120",OR(E648="IN",E648="C",E648="Z",E648="L"),J648=3),VLOOKUP(_xlfn.MINIFS('FIRE TEX 5120'!$B$5:$B$40,'FIRE TEX 5120'!$B$5:$B$40,"&gt;="&amp;M648),'FIRE TEX 5120'!$B$5:$G$40,IF(L648="F-15",2,IF(L648="F-30",3,IF(L648="F-60",4,IF(L648="F-90",5,IF(L648="F-120",6,0))))),0),0)+IF(AND(O648="FIRE TEX 5120",OR(E648="IN",E648="C",E648="Z",E648="L"),J648=4),VLOOKUP(_xlfn.MINIFS('FIRE TEX 5120'!$H$4:$H$40,'FIRE TEX 5120'!$H$4:$H$40,"&gt;="&amp;M648),'FIRE TEX 5120'!$H$4:$M$40,IF(L648="F-15",2,IF(L648="F-30",3,IF(L648="F-60",4,IF(L648="F-90",5,IF(L648="F-120",6,0))))),0),0)+IF(AND(O648="FIRE TEX 5120",E648="CJ"),VLOOKUP(_xlfn.MINIFS('FIRE TEX 5120'!$O$5:$O$40,'FIRE TEX 5120'!$O$5:$O$40,"&gt;="&amp;M648),'FIRE TEX 5120'!$O$5:$T$40,IF(L648="F-15",2,IF(L648="F-30",3,IF(L648="F-60",4,IF(L648="F-90",5,IF(L648="F-120",6,0))))),0),0)</f>
        <v>0</v>
      </c>
      <c r="Q648" s="46">
        <f t="shared" si="69"/>
        <v>0</v>
      </c>
      <c r="R648" s="46">
        <f t="shared" si="70"/>
        <v>0</v>
      </c>
      <c r="S648" s="46" t="e">
        <f t="shared" si="71"/>
        <v>#VALUE!</v>
      </c>
      <c r="T648" s="677">
        <f t="shared" si="72"/>
        <v>0</v>
      </c>
      <c r="U648" s="80">
        <f>(IF(O648="Stofire",(S648*#REF!),0))+(IF(O648="Fire Control",(S648*$U$2),0))+(IF(O648="Fire Tex",(S648*$U$3),0))+(IF(O648="WB7",(S648*#REF!),0)+(IF(O648="FX 2003",(S648*$U$5),0)))</f>
        <v>0</v>
      </c>
      <c r="V648" s="651">
        <f t="shared" si="73"/>
        <v>0</v>
      </c>
    </row>
    <row r="649" spans="4:22" x14ac:dyDescent="0.25">
      <c r="D649" s="118">
        <f>+CUBICACION!D648</f>
        <v>0</v>
      </c>
      <c r="E649" s="118">
        <f>+CUBICACION!F648</f>
        <v>0</v>
      </c>
      <c r="F649" s="118">
        <f>+CUBICACION!E648</f>
        <v>0</v>
      </c>
      <c r="G649" s="118">
        <v>12</v>
      </c>
      <c r="H649" s="118">
        <v>2</v>
      </c>
      <c r="I649" s="820">
        <v>26385</v>
      </c>
      <c r="J649" s="118">
        <f>+CUBICACION!J648</f>
        <v>0</v>
      </c>
      <c r="K649" s="118">
        <v>3428</v>
      </c>
      <c r="L649" s="118">
        <f>+CUBICACION!L648</f>
        <v>0</v>
      </c>
      <c r="M649" s="64">
        <f>+CUBICACION!M648</f>
        <v>0</v>
      </c>
      <c r="N649" s="824" t="str">
        <f>+CUBICACION!N648</f>
        <v/>
      </c>
      <c r="O649" s="675">
        <f>+CUBICACION!O648</f>
        <v>0</v>
      </c>
      <c r="P649" s="15">
        <f>IF(O649="Fire Control",VLOOKUP(_xlfn.MINIFS('FIRE CONTROL'!$C$4:$C$37,'FIRE CONTROL'!$C$4:$C$37,"&gt;="&amp;M649),'FIRE CONTROL'!$C$4:$G$37,IF(L649="F-15",2,IF(L649="F-30",3,IF(L649="F-60",4,IF(L649="F-90",5,0)))),0),0)+IF(AND(O649="FIRE TEX 5062",OR(E649="IN",E649="C",E649="Z",E649="L"),J649=3),VLOOKUP(_xlfn.MINIFS('FIRE TEX 5062'!$B$4:$B$34,'FIRE TEX 5062'!$B$4:$B$34,"&gt;="&amp;M649),'FIRE TEX 5062'!$B$4:$F$34,IF(L649="F-15",2,IF(L649="F-30",3,IF(L649="F-60",4,IF(L649="F-90",5,0)))),0),0)+IF(AND(O649="FIRE TEX 5062",OR(E649="IN",E649="C",E649="Z",E649="L"),J649=4),VLOOKUP(_xlfn.MINIFS('FIRE TEX 5062'!$G$4:$G$34,'FIRE TEX 5062'!$G$4:$G$34,"&gt;="&amp;M649),'FIRE TEX 5062'!$G$4:$K$34,IF(L649="F-15",2,IF(L649="F-30",3,IF(L649="F-60",4,IF(L649="F-90",5,0)))),0),0)+IF(AND(O649="FIRE TEX 5062",E649="CJ",J649=3),VLOOKUP(_xlfn.MINIFS('FIRE TEX 5062'!$L$4:$L$34,'FIRE TEX 5062'!$L$4:$L$34,"&gt;="&amp;M649),'FIRE TEX 5062'!$L$4:$P$34,IF(L649="F-15",2,IF(L649="F-30",3,IF(L649="F-60",4,IF(L649="F-90",5,0)))),0),0)+IF(AND(O649="FIRE TEX 5062",E649="CJ",J649=4),VLOOKUP(_xlfn.MINIFS('FIRE TEX 5062'!$Q$3:$Q$34,'FIRE TEX 5062'!$Q$3:$Q$34,"&gt;="&amp;M649),'FIRE TEX 5062'!$Q$3:$U$34,IF(L649="F-15",2,IF(L649="F-30",3,IF(L649="F-60",4,IF(L649="F-90",5,0)))),0),0)+IF(AND(O649="FIRE TEX 5090",OR(E649="IN",E649="C",E649="Z",E649="L"),J649=3),VLOOKUP(_xlfn.MINIFS('FIRE TEX 5090'!$B$5:$B$43,'FIRE TEX 5090'!$B$5:$B$43,"&gt;="&amp;M649),'FIRE TEX 5090'!$B$5:$H$43,IF(L649="F-15",2,IF(L649="F-30",3,IF(L649="F-60",4,IF(L649="F-90",5,IF(L649="F-120",6,IF(L649="F-150",7,0)))))),0),0)+IF(AND(O649="FIRE TEX 5090",OR(E649="IN",E649="C",E649="Z",E649="L"),J649=4),VLOOKUP(_xlfn.MINIFS('FIRE TEX 5090'!$J$5:$J$43,'FIRE TEX 5090'!$J$5:$J$43,"&gt;="&amp;M649),'FIRE TEX 5090'!$J$5:$P$43,IF(L649="F-15",2,IF(L649="F-30",3,IF(L649="F-60",4,IF(L649="F-90",5,IF(L649="F-120",6,IF(L649="F-150",7,0)))))),0),0)+IF(AND(O649="FIRE TEX 5090",E649="CJ",J649=3),VLOOKUP(_xlfn.MINIFS('FIRE TEX 5090'!$R$5:$R$30,'FIRE TEX 5090'!$R$5:$R$30,"&gt;="&amp;M649),'FIRE TEX 5090'!$R$5:$W$30,IF(L649="F-15",2,IF(L649="F-30",3,IF(L649="F-60",4,IF(L649="F-90",5,IF(L649="F-120",6,IF(L649="F-150",7,0)))))),0),0)+IF(AND(O649="FIRE TEX 5090",E649="CJ",J649=4),VLOOKUP(_xlfn.MINIFS('FIRE TEX 5090'!$Y$5:$Y$39,'FIRE TEX 5090'!$Y$5:$Y$39,"&gt;="&amp;M649),'FIRE TEX 5090'!$Y$5:$AD$39,IF(L649="F-15",2,IF(L649="F-30",3,IF(L649="F-60",4,IF(L649="F-90",5,IF(L649="F-120",6,IF(L649="F-150",7,0)))))),0),0)+IF(AND(O649="FIRE TEX 5120",OR(E649="IN",E649="C",E649="Z",E649="L"),J649=3),VLOOKUP(_xlfn.MINIFS('FIRE TEX 5120'!$B$5:$B$40,'FIRE TEX 5120'!$B$5:$B$40,"&gt;="&amp;M649),'FIRE TEX 5120'!$B$5:$G$40,IF(L649="F-15",2,IF(L649="F-30",3,IF(L649="F-60",4,IF(L649="F-90",5,IF(L649="F-120",6,0))))),0),0)+IF(AND(O649="FIRE TEX 5120",OR(E649="IN",E649="C",E649="Z",E649="L"),J649=4),VLOOKUP(_xlfn.MINIFS('FIRE TEX 5120'!$H$4:$H$40,'FIRE TEX 5120'!$H$4:$H$40,"&gt;="&amp;M649),'FIRE TEX 5120'!$H$4:$M$40,IF(L649="F-15",2,IF(L649="F-30",3,IF(L649="F-60",4,IF(L649="F-90",5,IF(L649="F-120",6,0))))),0),0)+IF(AND(O649="FIRE TEX 5120",E649="CJ"),VLOOKUP(_xlfn.MINIFS('FIRE TEX 5120'!$O$5:$O$40,'FIRE TEX 5120'!$O$5:$O$40,"&gt;="&amp;M649),'FIRE TEX 5120'!$O$5:$T$40,IF(L649="F-15",2,IF(L649="F-30",3,IF(L649="F-60",4,IF(L649="F-90",5,IF(L649="F-120",6,0))))),0),0)</f>
        <v>0</v>
      </c>
      <c r="Q649" s="46">
        <f t="shared" si="69"/>
        <v>0</v>
      </c>
      <c r="R649" s="46">
        <f t="shared" si="70"/>
        <v>0</v>
      </c>
      <c r="S649" s="46" t="e">
        <f t="shared" si="71"/>
        <v>#VALUE!</v>
      </c>
      <c r="T649" s="677">
        <f t="shared" si="72"/>
        <v>0</v>
      </c>
      <c r="U649" s="80">
        <f>(IF(O649="Stofire",(S649*#REF!),0))+(IF(O649="Fire Control",(S649*$U$2),0))+(IF(O649="Fire Tex",(S649*$U$3),0))+(IF(O649="WB7",(S649*#REF!),0)+(IF(O649="FX 2003",(S649*$U$5),0)))</f>
        <v>0</v>
      </c>
      <c r="V649" s="651">
        <f t="shared" si="73"/>
        <v>0</v>
      </c>
    </row>
    <row r="650" spans="4:22" x14ac:dyDescent="0.25">
      <c r="D650" s="118">
        <f>+CUBICACION!D649</f>
        <v>0</v>
      </c>
      <c r="E650" s="118">
        <f>+CUBICACION!F649</f>
        <v>0</v>
      </c>
      <c r="F650" s="118">
        <f>+CUBICACION!E649</f>
        <v>0</v>
      </c>
      <c r="G650" s="118">
        <v>12</v>
      </c>
      <c r="H650" s="118">
        <v>2</v>
      </c>
      <c r="I650" s="820">
        <v>26385</v>
      </c>
      <c r="J650" s="118">
        <f>+CUBICACION!J649</f>
        <v>0</v>
      </c>
      <c r="K650" s="118">
        <v>3429</v>
      </c>
      <c r="L650" s="118">
        <f>+CUBICACION!L649</f>
        <v>0</v>
      </c>
      <c r="M650" s="64">
        <f>+CUBICACION!M649</f>
        <v>0</v>
      </c>
      <c r="N650" s="824" t="str">
        <f>+CUBICACION!N649</f>
        <v/>
      </c>
      <c r="O650" s="675">
        <f>+CUBICACION!O649</f>
        <v>0</v>
      </c>
      <c r="P650" s="15">
        <f>IF(O650="Fire Control",VLOOKUP(_xlfn.MINIFS('FIRE CONTROL'!$C$4:$C$37,'FIRE CONTROL'!$C$4:$C$37,"&gt;="&amp;M650),'FIRE CONTROL'!$C$4:$G$37,IF(L650="F-15",2,IF(L650="F-30",3,IF(L650="F-60",4,IF(L650="F-90",5,0)))),0),0)+IF(AND(O650="FIRE TEX 5062",OR(E650="IN",E650="C",E650="Z",E650="L"),J650=3),VLOOKUP(_xlfn.MINIFS('FIRE TEX 5062'!$B$4:$B$34,'FIRE TEX 5062'!$B$4:$B$34,"&gt;="&amp;M650),'FIRE TEX 5062'!$B$4:$F$34,IF(L650="F-15",2,IF(L650="F-30",3,IF(L650="F-60",4,IF(L650="F-90",5,0)))),0),0)+IF(AND(O650="FIRE TEX 5062",OR(E650="IN",E650="C",E650="Z",E650="L"),J650=4),VLOOKUP(_xlfn.MINIFS('FIRE TEX 5062'!$G$4:$G$34,'FIRE TEX 5062'!$G$4:$G$34,"&gt;="&amp;M650),'FIRE TEX 5062'!$G$4:$K$34,IF(L650="F-15",2,IF(L650="F-30",3,IF(L650="F-60",4,IF(L650="F-90",5,0)))),0),0)+IF(AND(O650="FIRE TEX 5062",E650="CJ",J650=3),VLOOKUP(_xlfn.MINIFS('FIRE TEX 5062'!$L$4:$L$34,'FIRE TEX 5062'!$L$4:$L$34,"&gt;="&amp;M650),'FIRE TEX 5062'!$L$4:$P$34,IF(L650="F-15",2,IF(L650="F-30",3,IF(L650="F-60",4,IF(L650="F-90",5,0)))),0),0)+IF(AND(O650="FIRE TEX 5062",E650="CJ",J650=4),VLOOKUP(_xlfn.MINIFS('FIRE TEX 5062'!$Q$3:$Q$34,'FIRE TEX 5062'!$Q$3:$Q$34,"&gt;="&amp;M650),'FIRE TEX 5062'!$Q$3:$U$34,IF(L650="F-15",2,IF(L650="F-30",3,IF(L650="F-60",4,IF(L650="F-90",5,0)))),0),0)+IF(AND(O650="FIRE TEX 5090",OR(E650="IN",E650="C",E650="Z",E650="L"),J650=3),VLOOKUP(_xlfn.MINIFS('FIRE TEX 5090'!$B$5:$B$43,'FIRE TEX 5090'!$B$5:$B$43,"&gt;="&amp;M650),'FIRE TEX 5090'!$B$5:$H$43,IF(L650="F-15",2,IF(L650="F-30",3,IF(L650="F-60",4,IF(L650="F-90",5,IF(L650="F-120",6,IF(L650="F-150",7,0)))))),0),0)+IF(AND(O650="FIRE TEX 5090",OR(E650="IN",E650="C",E650="Z",E650="L"),J650=4),VLOOKUP(_xlfn.MINIFS('FIRE TEX 5090'!$J$5:$J$43,'FIRE TEX 5090'!$J$5:$J$43,"&gt;="&amp;M650),'FIRE TEX 5090'!$J$5:$P$43,IF(L650="F-15",2,IF(L650="F-30",3,IF(L650="F-60",4,IF(L650="F-90",5,IF(L650="F-120",6,IF(L650="F-150",7,0)))))),0),0)+IF(AND(O650="FIRE TEX 5090",E650="CJ",J650=3),VLOOKUP(_xlfn.MINIFS('FIRE TEX 5090'!$R$5:$R$30,'FIRE TEX 5090'!$R$5:$R$30,"&gt;="&amp;M650),'FIRE TEX 5090'!$R$5:$W$30,IF(L650="F-15",2,IF(L650="F-30",3,IF(L650="F-60",4,IF(L650="F-90",5,IF(L650="F-120",6,IF(L650="F-150",7,0)))))),0),0)+IF(AND(O650="FIRE TEX 5090",E650="CJ",J650=4),VLOOKUP(_xlfn.MINIFS('FIRE TEX 5090'!$Y$5:$Y$39,'FIRE TEX 5090'!$Y$5:$Y$39,"&gt;="&amp;M650),'FIRE TEX 5090'!$Y$5:$AD$39,IF(L650="F-15",2,IF(L650="F-30",3,IF(L650="F-60",4,IF(L650="F-90",5,IF(L650="F-120",6,IF(L650="F-150",7,0)))))),0),0)+IF(AND(O650="FIRE TEX 5120",OR(E650="IN",E650="C",E650="Z",E650="L"),J650=3),VLOOKUP(_xlfn.MINIFS('FIRE TEX 5120'!$B$5:$B$40,'FIRE TEX 5120'!$B$5:$B$40,"&gt;="&amp;M650),'FIRE TEX 5120'!$B$5:$G$40,IF(L650="F-15",2,IF(L650="F-30",3,IF(L650="F-60",4,IF(L650="F-90",5,IF(L650="F-120",6,0))))),0),0)+IF(AND(O650="FIRE TEX 5120",OR(E650="IN",E650="C",E650="Z",E650="L"),J650=4),VLOOKUP(_xlfn.MINIFS('FIRE TEX 5120'!$H$4:$H$40,'FIRE TEX 5120'!$H$4:$H$40,"&gt;="&amp;M650),'FIRE TEX 5120'!$H$4:$M$40,IF(L650="F-15",2,IF(L650="F-30",3,IF(L650="F-60",4,IF(L650="F-90",5,IF(L650="F-120",6,0))))),0),0)+IF(AND(O650="FIRE TEX 5120",E650="CJ"),VLOOKUP(_xlfn.MINIFS('FIRE TEX 5120'!$O$5:$O$40,'FIRE TEX 5120'!$O$5:$O$40,"&gt;="&amp;M650),'FIRE TEX 5120'!$O$5:$T$40,IF(L650="F-15",2,IF(L650="F-30",3,IF(L650="F-60",4,IF(L650="F-90",5,IF(L650="F-120",6,0))))),0),0)</f>
        <v>0</v>
      </c>
      <c r="Q650" s="46">
        <f t="shared" si="69"/>
        <v>0</v>
      </c>
      <c r="R650" s="46">
        <f t="shared" si="70"/>
        <v>0</v>
      </c>
      <c r="S650" s="46" t="e">
        <f t="shared" si="71"/>
        <v>#VALUE!</v>
      </c>
      <c r="T650" s="677">
        <f t="shared" si="72"/>
        <v>0</v>
      </c>
      <c r="U650" s="80">
        <f>(IF(O650="Stofire",(S650*#REF!),0))+(IF(O650="Fire Control",(S650*$U$2),0))+(IF(O650="Fire Tex",(S650*$U$3),0))+(IF(O650="WB7",(S650*#REF!),0)+(IF(O650="FX 2003",(S650*$U$5),0)))</f>
        <v>0</v>
      </c>
      <c r="V650" s="651">
        <f t="shared" si="73"/>
        <v>0</v>
      </c>
    </row>
    <row r="651" spans="4:22" x14ac:dyDescent="0.25">
      <c r="D651" s="118">
        <f>+CUBICACION!D650</f>
        <v>0</v>
      </c>
      <c r="E651" s="118">
        <f>+CUBICACION!F650</f>
        <v>0</v>
      </c>
      <c r="F651" s="118">
        <f>+CUBICACION!E650</f>
        <v>0</v>
      </c>
      <c r="G651" s="118">
        <v>12</v>
      </c>
      <c r="H651" s="118">
        <v>2</v>
      </c>
      <c r="I651" s="820">
        <v>26385</v>
      </c>
      <c r="J651" s="118">
        <f>+CUBICACION!J650</f>
        <v>0</v>
      </c>
      <c r="K651" s="118">
        <v>3430</v>
      </c>
      <c r="L651" s="118">
        <f>+CUBICACION!L650</f>
        <v>0</v>
      </c>
      <c r="M651" s="64">
        <f>+CUBICACION!M650</f>
        <v>0</v>
      </c>
      <c r="N651" s="824" t="str">
        <f>+CUBICACION!N650</f>
        <v/>
      </c>
      <c r="O651" s="675">
        <f>+CUBICACION!O650</f>
        <v>0</v>
      </c>
      <c r="P651" s="15">
        <f>IF(O651="Fire Control",VLOOKUP(_xlfn.MINIFS('FIRE CONTROL'!$C$4:$C$37,'FIRE CONTROL'!$C$4:$C$37,"&gt;="&amp;M651),'FIRE CONTROL'!$C$4:$G$37,IF(L651="F-15",2,IF(L651="F-30",3,IF(L651="F-60",4,IF(L651="F-90",5,0)))),0),0)+IF(AND(O651="FIRE TEX 5062",OR(E651="IN",E651="C",E651="Z",E651="L"),J651=3),VLOOKUP(_xlfn.MINIFS('FIRE TEX 5062'!$B$4:$B$34,'FIRE TEX 5062'!$B$4:$B$34,"&gt;="&amp;M651),'FIRE TEX 5062'!$B$4:$F$34,IF(L651="F-15",2,IF(L651="F-30",3,IF(L651="F-60",4,IF(L651="F-90",5,0)))),0),0)+IF(AND(O651="FIRE TEX 5062",OR(E651="IN",E651="C",E651="Z",E651="L"),J651=4),VLOOKUP(_xlfn.MINIFS('FIRE TEX 5062'!$G$4:$G$34,'FIRE TEX 5062'!$G$4:$G$34,"&gt;="&amp;M651),'FIRE TEX 5062'!$G$4:$K$34,IF(L651="F-15",2,IF(L651="F-30",3,IF(L651="F-60",4,IF(L651="F-90",5,0)))),0),0)+IF(AND(O651="FIRE TEX 5062",E651="CJ",J651=3),VLOOKUP(_xlfn.MINIFS('FIRE TEX 5062'!$L$4:$L$34,'FIRE TEX 5062'!$L$4:$L$34,"&gt;="&amp;M651),'FIRE TEX 5062'!$L$4:$P$34,IF(L651="F-15",2,IF(L651="F-30",3,IF(L651="F-60",4,IF(L651="F-90",5,0)))),0),0)+IF(AND(O651="FIRE TEX 5062",E651="CJ",J651=4),VLOOKUP(_xlfn.MINIFS('FIRE TEX 5062'!$Q$3:$Q$34,'FIRE TEX 5062'!$Q$3:$Q$34,"&gt;="&amp;M651),'FIRE TEX 5062'!$Q$3:$U$34,IF(L651="F-15",2,IF(L651="F-30",3,IF(L651="F-60",4,IF(L651="F-90",5,0)))),0),0)+IF(AND(O651="FIRE TEX 5090",OR(E651="IN",E651="C",E651="Z",E651="L"),J651=3),VLOOKUP(_xlfn.MINIFS('FIRE TEX 5090'!$B$5:$B$43,'FIRE TEX 5090'!$B$5:$B$43,"&gt;="&amp;M651),'FIRE TEX 5090'!$B$5:$H$43,IF(L651="F-15",2,IF(L651="F-30",3,IF(L651="F-60",4,IF(L651="F-90",5,IF(L651="F-120",6,IF(L651="F-150",7,0)))))),0),0)+IF(AND(O651="FIRE TEX 5090",OR(E651="IN",E651="C",E651="Z",E651="L"),J651=4),VLOOKUP(_xlfn.MINIFS('FIRE TEX 5090'!$J$5:$J$43,'FIRE TEX 5090'!$J$5:$J$43,"&gt;="&amp;M651),'FIRE TEX 5090'!$J$5:$P$43,IF(L651="F-15",2,IF(L651="F-30",3,IF(L651="F-60",4,IF(L651="F-90",5,IF(L651="F-120",6,IF(L651="F-150",7,0)))))),0),0)+IF(AND(O651="FIRE TEX 5090",E651="CJ",J651=3),VLOOKUP(_xlfn.MINIFS('FIRE TEX 5090'!$R$5:$R$30,'FIRE TEX 5090'!$R$5:$R$30,"&gt;="&amp;M651),'FIRE TEX 5090'!$R$5:$W$30,IF(L651="F-15",2,IF(L651="F-30",3,IF(L651="F-60",4,IF(L651="F-90",5,IF(L651="F-120",6,IF(L651="F-150",7,0)))))),0),0)+IF(AND(O651="FIRE TEX 5090",E651="CJ",J651=4),VLOOKUP(_xlfn.MINIFS('FIRE TEX 5090'!$Y$5:$Y$39,'FIRE TEX 5090'!$Y$5:$Y$39,"&gt;="&amp;M651),'FIRE TEX 5090'!$Y$5:$AD$39,IF(L651="F-15",2,IF(L651="F-30",3,IF(L651="F-60",4,IF(L651="F-90",5,IF(L651="F-120",6,IF(L651="F-150",7,0)))))),0),0)+IF(AND(O651="FIRE TEX 5120",OR(E651="IN",E651="C",E651="Z",E651="L"),J651=3),VLOOKUP(_xlfn.MINIFS('FIRE TEX 5120'!$B$5:$B$40,'FIRE TEX 5120'!$B$5:$B$40,"&gt;="&amp;M651),'FIRE TEX 5120'!$B$5:$G$40,IF(L651="F-15",2,IF(L651="F-30",3,IF(L651="F-60",4,IF(L651="F-90",5,IF(L651="F-120",6,0))))),0),0)+IF(AND(O651="FIRE TEX 5120",OR(E651="IN",E651="C",E651="Z",E651="L"),J651=4),VLOOKUP(_xlfn.MINIFS('FIRE TEX 5120'!$H$4:$H$40,'FIRE TEX 5120'!$H$4:$H$40,"&gt;="&amp;M651),'FIRE TEX 5120'!$H$4:$M$40,IF(L651="F-15",2,IF(L651="F-30",3,IF(L651="F-60",4,IF(L651="F-90",5,IF(L651="F-120",6,0))))),0),0)+IF(AND(O651="FIRE TEX 5120",E651="CJ"),VLOOKUP(_xlfn.MINIFS('FIRE TEX 5120'!$O$5:$O$40,'FIRE TEX 5120'!$O$5:$O$40,"&gt;="&amp;M651),'FIRE TEX 5120'!$O$5:$T$40,IF(L651="F-15",2,IF(L651="F-30",3,IF(L651="F-60",4,IF(L651="F-90",5,IF(L651="F-120",6,0))))),0),0)</f>
        <v>0</v>
      </c>
      <c r="Q651" s="46">
        <f t="shared" si="69"/>
        <v>0</v>
      </c>
      <c r="R651" s="46">
        <f t="shared" si="70"/>
        <v>0</v>
      </c>
      <c r="S651" s="46" t="e">
        <f t="shared" si="71"/>
        <v>#VALUE!</v>
      </c>
      <c r="T651" s="677">
        <f t="shared" si="72"/>
        <v>0</v>
      </c>
      <c r="U651" s="80">
        <f>(IF(O651="Stofire",(S651*#REF!),0))+(IF(O651="Fire Control",(S651*$U$2),0))+(IF(O651="Fire Tex",(S651*$U$3),0))+(IF(O651="WB7",(S651*#REF!),0)+(IF(O651="FX 2003",(S651*$U$5),0)))</f>
        <v>0</v>
      </c>
      <c r="V651" s="651">
        <f t="shared" si="73"/>
        <v>0</v>
      </c>
    </row>
    <row r="652" spans="4:22" x14ac:dyDescent="0.25">
      <c r="D652" s="118">
        <f>+CUBICACION!D651</f>
        <v>0</v>
      </c>
      <c r="E652" s="118">
        <f>+CUBICACION!F651</f>
        <v>0</v>
      </c>
      <c r="F652" s="118">
        <f>+CUBICACION!E651</f>
        <v>0</v>
      </c>
      <c r="G652" s="118">
        <v>12</v>
      </c>
      <c r="H652" s="118">
        <v>2</v>
      </c>
      <c r="I652" s="820">
        <v>26385</v>
      </c>
      <c r="J652" s="118">
        <f>+CUBICACION!J651</f>
        <v>0</v>
      </c>
      <c r="K652" s="118">
        <v>3431</v>
      </c>
      <c r="L652" s="118">
        <f>+CUBICACION!L651</f>
        <v>0</v>
      </c>
      <c r="M652" s="64">
        <f>+CUBICACION!M651</f>
        <v>0</v>
      </c>
      <c r="N652" s="824" t="str">
        <f>+CUBICACION!N651</f>
        <v/>
      </c>
      <c r="O652" s="675">
        <f>+CUBICACION!O651</f>
        <v>0</v>
      </c>
      <c r="P652" s="15">
        <f>IF(O652="Fire Control",VLOOKUP(_xlfn.MINIFS('FIRE CONTROL'!$C$4:$C$37,'FIRE CONTROL'!$C$4:$C$37,"&gt;="&amp;M652),'FIRE CONTROL'!$C$4:$G$37,IF(L652="F-15",2,IF(L652="F-30",3,IF(L652="F-60",4,IF(L652="F-90",5,0)))),0),0)+IF(AND(O652="FIRE TEX 5062",OR(E652="IN",E652="C",E652="Z",E652="L"),J652=3),VLOOKUP(_xlfn.MINIFS('FIRE TEX 5062'!$B$4:$B$34,'FIRE TEX 5062'!$B$4:$B$34,"&gt;="&amp;M652),'FIRE TEX 5062'!$B$4:$F$34,IF(L652="F-15",2,IF(L652="F-30",3,IF(L652="F-60",4,IF(L652="F-90",5,0)))),0),0)+IF(AND(O652="FIRE TEX 5062",OR(E652="IN",E652="C",E652="Z",E652="L"),J652=4),VLOOKUP(_xlfn.MINIFS('FIRE TEX 5062'!$G$4:$G$34,'FIRE TEX 5062'!$G$4:$G$34,"&gt;="&amp;M652),'FIRE TEX 5062'!$G$4:$K$34,IF(L652="F-15",2,IF(L652="F-30",3,IF(L652="F-60",4,IF(L652="F-90",5,0)))),0),0)+IF(AND(O652="FIRE TEX 5062",E652="CJ",J652=3),VLOOKUP(_xlfn.MINIFS('FIRE TEX 5062'!$L$4:$L$34,'FIRE TEX 5062'!$L$4:$L$34,"&gt;="&amp;M652),'FIRE TEX 5062'!$L$4:$P$34,IF(L652="F-15",2,IF(L652="F-30",3,IF(L652="F-60",4,IF(L652="F-90",5,0)))),0),0)+IF(AND(O652="FIRE TEX 5062",E652="CJ",J652=4),VLOOKUP(_xlfn.MINIFS('FIRE TEX 5062'!$Q$3:$Q$34,'FIRE TEX 5062'!$Q$3:$Q$34,"&gt;="&amp;M652),'FIRE TEX 5062'!$Q$3:$U$34,IF(L652="F-15",2,IF(L652="F-30",3,IF(L652="F-60",4,IF(L652="F-90",5,0)))),0),0)+IF(AND(O652="FIRE TEX 5090",OR(E652="IN",E652="C",E652="Z",E652="L"),J652=3),VLOOKUP(_xlfn.MINIFS('FIRE TEX 5090'!$B$5:$B$43,'FIRE TEX 5090'!$B$5:$B$43,"&gt;="&amp;M652),'FIRE TEX 5090'!$B$5:$H$43,IF(L652="F-15",2,IF(L652="F-30",3,IF(L652="F-60",4,IF(L652="F-90",5,IF(L652="F-120",6,IF(L652="F-150",7,0)))))),0),0)+IF(AND(O652="FIRE TEX 5090",OR(E652="IN",E652="C",E652="Z",E652="L"),J652=4),VLOOKUP(_xlfn.MINIFS('FIRE TEX 5090'!$J$5:$J$43,'FIRE TEX 5090'!$J$5:$J$43,"&gt;="&amp;M652),'FIRE TEX 5090'!$J$5:$P$43,IF(L652="F-15",2,IF(L652="F-30",3,IF(L652="F-60",4,IF(L652="F-90",5,IF(L652="F-120",6,IF(L652="F-150",7,0)))))),0),0)+IF(AND(O652="FIRE TEX 5090",E652="CJ",J652=3),VLOOKUP(_xlfn.MINIFS('FIRE TEX 5090'!$R$5:$R$30,'FIRE TEX 5090'!$R$5:$R$30,"&gt;="&amp;M652),'FIRE TEX 5090'!$R$5:$W$30,IF(L652="F-15",2,IF(L652="F-30",3,IF(L652="F-60",4,IF(L652="F-90",5,IF(L652="F-120",6,IF(L652="F-150",7,0)))))),0),0)+IF(AND(O652="FIRE TEX 5090",E652="CJ",J652=4),VLOOKUP(_xlfn.MINIFS('FIRE TEX 5090'!$Y$5:$Y$39,'FIRE TEX 5090'!$Y$5:$Y$39,"&gt;="&amp;M652),'FIRE TEX 5090'!$Y$5:$AD$39,IF(L652="F-15",2,IF(L652="F-30",3,IF(L652="F-60",4,IF(L652="F-90",5,IF(L652="F-120",6,IF(L652="F-150",7,0)))))),0),0)+IF(AND(O652="FIRE TEX 5120",OR(E652="IN",E652="C",E652="Z",E652="L"),J652=3),VLOOKUP(_xlfn.MINIFS('FIRE TEX 5120'!$B$5:$B$40,'FIRE TEX 5120'!$B$5:$B$40,"&gt;="&amp;M652),'FIRE TEX 5120'!$B$5:$G$40,IF(L652="F-15",2,IF(L652="F-30",3,IF(L652="F-60",4,IF(L652="F-90",5,IF(L652="F-120",6,0))))),0),0)+IF(AND(O652="FIRE TEX 5120",OR(E652="IN",E652="C",E652="Z",E652="L"),J652=4),VLOOKUP(_xlfn.MINIFS('FIRE TEX 5120'!$H$4:$H$40,'FIRE TEX 5120'!$H$4:$H$40,"&gt;="&amp;M652),'FIRE TEX 5120'!$H$4:$M$40,IF(L652="F-15",2,IF(L652="F-30",3,IF(L652="F-60",4,IF(L652="F-90",5,IF(L652="F-120",6,0))))),0),0)+IF(AND(O652="FIRE TEX 5120",E652="CJ"),VLOOKUP(_xlfn.MINIFS('FIRE TEX 5120'!$O$5:$O$40,'FIRE TEX 5120'!$O$5:$O$40,"&gt;="&amp;M652),'FIRE TEX 5120'!$O$5:$T$40,IF(L652="F-15",2,IF(L652="F-30",3,IF(L652="F-60",4,IF(L652="F-90",5,IF(L652="F-120",6,0))))),0),0)</f>
        <v>0</v>
      </c>
      <c r="Q652" s="46">
        <f t="shared" si="69"/>
        <v>0</v>
      </c>
      <c r="R652" s="46">
        <f t="shared" si="70"/>
        <v>0</v>
      </c>
      <c r="S652" s="46" t="e">
        <f t="shared" si="71"/>
        <v>#VALUE!</v>
      </c>
      <c r="T652" s="677">
        <f t="shared" si="72"/>
        <v>0</v>
      </c>
      <c r="U652" s="80">
        <f>(IF(O652="Stofire",(S652*#REF!),0))+(IF(O652="Fire Control",(S652*$U$2),0))+(IF(O652="Fire Tex",(S652*$U$3),0))+(IF(O652="WB7",(S652*#REF!),0)+(IF(O652="FX 2003",(S652*$U$5),0)))</f>
        <v>0</v>
      </c>
      <c r="V652" s="651">
        <f t="shared" si="73"/>
        <v>0</v>
      </c>
    </row>
    <row r="653" spans="4:22" x14ac:dyDescent="0.25">
      <c r="D653" s="118">
        <f>+CUBICACION!D652</f>
        <v>0</v>
      </c>
      <c r="E653" s="118">
        <f>+CUBICACION!F652</f>
        <v>0</v>
      </c>
      <c r="F653" s="118">
        <f>+CUBICACION!E652</f>
        <v>0</v>
      </c>
      <c r="G653" s="118">
        <v>12</v>
      </c>
      <c r="H653" s="118">
        <v>2</v>
      </c>
      <c r="I653" s="820">
        <v>26385</v>
      </c>
      <c r="J653" s="118">
        <f>+CUBICACION!J652</f>
        <v>0</v>
      </c>
      <c r="K653" s="118">
        <v>3432</v>
      </c>
      <c r="L653" s="118">
        <f>+CUBICACION!L652</f>
        <v>0</v>
      </c>
      <c r="M653" s="64">
        <f>+CUBICACION!M652</f>
        <v>0</v>
      </c>
      <c r="N653" s="824" t="str">
        <f>+CUBICACION!N652</f>
        <v/>
      </c>
      <c r="O653" s="675">
        <f>+CUBICACION!O652</f>
        <v>0</v>
      </c>
      <c r="P653" s="15">
        <f>IF(O653="Fire Control",VLOOKUP(_xlfn.MINIFS('FIRE CONTROL'!$C$4:$C$37,'FIRE CONTROL'!$C$4:$C$37,"&gt;="&amp;M653),'FIRE CONTROL'!$C$4:$G$37,IF(L653="F-15",2,IF(L653="F-30",3,IF(L653="F-60",4,IF(L653="F-90",5,0)))),0),0)+IF(AND(O653="FIRE TEX 5062",OR(E653="IN",E653="C",E653="Z",E653="L"),J653=3),VLOOKUP(_xlfn.MINIFS('FIRE TEX 5062'!$B$4:$B$34,'FIRE TEX 5062'!$B$4:$B$34,"&gt;="&amp;M653),'FIRE TEX 5062'!$B$4:$F$34,IF(L653="F-15",2,IF(L653="F-30",3,IF(L653="F-60",4,IF(L653="F-90",5,0)))),0),0)+IF(AND(O653="FIRE TEX 5062",OR(E653="IN",E653="C",E653="Z",E653="L"),J653=4),VLOOKUP(_xlfn.MINIFS('FIRE TEX 5062'!$G$4:$G$34,'FIRE TEX 5062'!$G$4:$G$34,"&gt;="&amp;M653),'FIRE TEX 5062'!$G$4:$K$34,IF(L653="F-15",2,IF(L653="F-30",3,IF(L653="F-60",4,IF(L653="F-90",5,0)))),0),0)+IF(AND(O653="FIRE TEX 5062",E653="CJ",J653=3),VLOOKUP(_xlfn.MINIFS('FIRE TEX 5062'!$L$4:$L$34,'FIRE TEX 5062'!$L$4:$L$34,"&gt;="&amp;M653),'FIRE TEX 5062'!$L$4:$P$34,IF(L653="F-15",2,IF(L653="F-30",3,IF(L653="F-60",4,IF(L653="F-90",5,0)))),0),0)+IF(AND(O653="FIRE TEX 5062",E653="CJ",J653=4),VLOOKUP(_xlfn.MINIFS('FIRE TEX 5062'!$Q$3:$Q$34,'FIRE TEX 5062'!$Q$3:$Q$34,"&gt;="&amp;M653),'FIRE TEX 5062'!$Q$3:$U$34,IF(L653="F-15",2,IF(L653="F-30",3,IF(L653="F-60",4,IF(L653="F-90",5,0)))),0),0)+IF(AND(O653="FIRE TEX 5090",OR(E653="IN",E653="C",E653="Z",E653="L"),J653=3),VLOOKUP(_xlfn.MINIFS('FIRE TEX 5090'!$B$5:$B$43,'FIRE TEX 5090'!$B$5:$B$43,"&gt;="&amp;M653),'FIRE TEX 5090'!$B$5:$H$43,IF(L653="F-15",2,IF(L653="F-30",3,IF(L653="F-60",4,IF(L653="F-90",5,IF(L653="F-120",6,IF(L653="F-150",7,0)))))),0),0)+IF(AND(O653="FIRE TEX 5090",OR(E653="IN",E653="C",E653="Z",E653="L"),J653=4),VLOOKUP(_xlfn.MINIFS('FIRE TEX 5090'!$J$5:$J$43,'FIRE TEX 5090'!$J$5:$J$43,"&gt;="&amp;M653),'FIRE TEX 5090'!$J$5:$P$43,IF(L653="F-15",2,IF(L653="F-30",3,IF(L653="F-60",4,IF(L653="F-90",5,IF(L653="F-120",6,IF(L653="F-150",7,0)))))),0),0)+IF(AND(O653="FIRE TEX 5090",E653="CJ",J653=3),VLOOKUP(_xlfn.MINIFS('FIRE TEX 5090'!$R$5:$R$30,'FIRE TEX 5090'!$R$5:$R$30,"&gt;="&amp;M653),'FIRE TEX 5090'!$R$5:$W$30,IF(L653="F-15",2,IF(L653="F-30",3,IF(L653="F-60",4,IF(L653="F-90",5,IF(L653="F-120",6,IF(L653="F-150",7,0)))))),0),0)+IF(AND(O653="FIRE TEX 5090",E653="CJ",J653=4),VLOOKUP(_xlfn.MINIFS('FIRE TEX 5090'!$Y$5:$Y$39,'FIRE TEX 5090'!$Y$5:$Y$39,"&gt;="&amp;M653),'FIRE TEX 5090'!$Y$5:$AD$39,IF(L653="F-15",2,IF(L653="F-30",3,IF(L653="F-60",4,IF(L653="F-90",5,IF(L653="F-120",6,IF(L653="F-150",7,0)))))),0),0)+IF(AND(O653="FIRE TEX 5120",OR(E653="IN",E653="C",E653="Z",E653="L"),J653=3),VLOOKUP(_xlfn.MINIFS('FIRE TEX 5120'!$B$5:$B$40,'FIRE TEX 5120'!$B$5:$B$40,"&gt;="&amp;M653),'FIRE TEX 5120'!$B$5:$G$40,IF(L653="F-15",2,IF(L653="F-30",3,IF(L653="F-60",4,IF(L653="F-90",5,IF(L653="F-120",6,0))))),0),0)+IF(AND(O653="FIRE TEX 5120",OR(E653="IN",E653="C",E653="Z",E653="L"),J653=4),VLOOKUP(_xlfn.MINIFS('FIRE TEX 5120'!$H$4:$H$40,'FIRE TEX 5120'!$H$4:$H$40,"&gt;="&amp;M653),'FIRE TEX 5120'!$H$4:$M$40,IF(L653="F-15",2,IF(L653="F-30",3,IF(L653="F-60",4,IF(L653="F-90",5,IF(L653="F-120",6,0))))),0),0)+IF(AND(O653="FIRE TEX 5120",E653="CJ"),VLOOKUP(_xlfn.MINIFS('FIRE TEX 5120'!$O$5:$O$40,'FIRE TEX 5120'!$O$5:$O$40,"&gt;="&amp;M653),'FIRE TEX 5120'!$O$5:$T$40,IF(L653="F-15",2,IF(L653="F-30",3,IF(L653="F-60",4,IF(L653="F-90",5,IF(L653="F-120",6,0))))),0),0)</f>
        <v>0</v>
      </c>
      <c r="Q653" s="46">
        <f t="shared" si="69"/>
        <v>0</v>
      </c>
      <c r="R653" s="46">
        <f t="shared" si="70"/>
        <v>0</v>
      </c>
      <c r="S653" s="46" t="e">
        <f t="shared" si="71"/>
        <v>#VALUE!</v>
      </c>
      <c r="T653" s="677">
        <f t="shared" si="72"/>
        <v>0</v>
      </c>
      <c r="U653" s="80">
        <f>(IF(O653="Stofire",(S653*#REF!),0))+(IF(O653="Fire Control",(S653*$U$2),0))+(IF(O653="Fire Tex",(S653*$U$3),0))+(IF(O653="WB7",(S653*#REF!),0)+(IF(O653="FX 2003",(S653*$U$5),0)))</f>
        <v>0</v>
      </c>
      <c r="V653" s="651">
        <f t="shared" si="73"/>
        <v>0</v>
      </c>
    </row>
    <row r="654" spans="4:22" x14ac:dyDescent="0.25">
      <c r="D654" s="118">
        <f>+CUBICACION!D653</f>
        <v>0</v>
      </c>
      <c r="E654" s="118">
        <f>+CUBICACION!F653</f>
        <v>0</v>
      </c>
      <c r="F654" s="118">
        <f>+CUBICACION!E653</f>
        <v>0</v>
      </c>
      <c r="G654" s="118">
        <v>12</v>
      </c>
      <c r="H654" s="118">
        <v>2</v>
      </c>
      <c r="I654" s="820">
        <v>26385</v>
      </c>
      <c r="J654" s="118">
        <f>+CUBICACION!J653</f>
        <v>0</v>
      </c>
      <c r="K654" s="118">
        <v>3433</v>
      </c>
      <c r="L654" s="118">
        <f>+CUBICACION!L653</f>
        <v>0</v>
      </c>
      <c r="M654" s="64">
        <f>+CUBICACION!M653</f>
        <v>0</v>
      </c>
      <c r="N654" s="824" t="str">
        <f>+CUBICACION!N653</f>
        <v/>
      </c>
      <c r="O654" s="675">
        <f>+CUBICACION!O653</f>
        <v>0</v>
      </c>
      <c r="P654" s="15">
        <f>IF(O654="Fire Control",VLOOKUP(_xlfn.MINIFS('FIRE CONTROL'!$C$4:$C$37,'FIRE CONTROL'!$C$4:$C$37,"&gt;="&amp;M654),'FIRE CONTROL'!$C$4:$G$37,IF(L654="F-15",2,IF(L654="F-30",3,IF(L654="F-60",4,IF(L654="F-90",5,0)))),0),0)+IF(AND(O654="FIRE TEX 5062",OR(E654="IN",E654="C",E654="Z",E654="L"),J654=3),VLOOKUP(_xlfn.MINIFS('FIRE TEX 5062'!$B$4:$B$34,'FIRE TEX 5062'!$B$4:$B$34,"&gt;="&amp;M654),'FIRE TEX 5062'!$B$4:$F$34,IF(L654="F-15",2,IF(L654="F-30",3,IF(L654="F-60",4,IF(L654="F-90",5,0)))),0),0)+IF(AND(O654="FIRE TEX 5062",OR(E654="IN",E654="C",E654="Z",E654="L"),J654=4),VLOOKUP(_xlfn.MINIFS('FIRE TEX 5062'!$G$4:$G$34,'FIRE TEX 5062'!$G$4:$G$34,"&gt;="&amp;M654),'FIRE TEX 5062'!$G$4:$K$34,IF(L654="F-15",2,IF(L654="F-30",3,IF(L654="F-60",4,IF(L654="F-90",5,0)))),0),0)+IF(AND(O654="FIRE TEX 5062",E654="CJ",J654=3),VLOOKUP(_xlfn.MINIFS('FIRE TEX 5062'!$L$4:$L$34,'FIRE TEX 5062'!$L$4:$L$34,"&gt;="&amp;M654),'FIRE TEX 5062'!$L$4:$P$34,IF(L654="F-15",2,IF(L654="F-30",3,IF(L654="F-60",4,IF(L654="F-90",5,0)))),0),0)+IF(AND(O654="FIRE TEX 5062",E654="CJ",J654=4),VLOOKUP(_xlfn.MINIFS('FIRE TEX 5062'!$Q$3:$Q$34,'FIRE TEX 5062'!$Q$3:$Q$34,"&gt;="&amp;M654),'FIRE TEX 5062'!$Q$3:$U$34,IF(L654="F-15",2,IF(L654="F-30",3,IF(L654="F-60",4,IF(L654="F-90",5,0)))),0),0)+IF(AND(O654="FIRE TEX 5090",OR(E654="IN",E654="C",E654="Z",E654="L"),J654=3),VLOOKUP(_xlfn.MINIFS('FIRE TEX 5090'!$B$5:$B$43,'FIRE TEX 5090'!$B$5:$B$43,"&gt;="&amp;M654),'FIRE TEX 5090'!$B$5:$H$43,IF(L654="F-15",2,IF(L654="F-30",3,IF(L654="F-60",4,IF(L654="F-90",5,IF(L654="F-120",6,IF(L654="F-150",7,0)))))),0),0)+IF(AND(O654="FIRE TEX 5090",OR(E654="IN",E654="C",E654="Z",E654="L"),J654=4),VLOOKUP(_xlfn.MINIFS('FIRE TEX 5090'!$J$5:$J$43,'FIRE TEX 5090'!$J$5:$J$43,"&gt;="&amp;M654),'FIRE TEX 5090'!$J$5:$P$43,IF(L654="F-15",2,IF(L654="F-30",3,IF(L654="F-60",4,IF(L654="F-90",5,IF(L654="F-120",6,IF(L654="F-150",7,0)))))),0),0)+IF(AND(O654="FIRE TEX 5090",E654="CJ",J654=3),VLOOKUP(_xlfn.MINIFS('FIRE TEX 5090'!$R$5:$R$30,'FIRE TEX 5090'!$R$5:$R$30,"&gt;="&amp;M654),'FIRE TEX 5090'!$R$5:$W$30,IF(L654="F-15",2,IF(L654="F-30",3,IF(L654="F-60",4,IF(L654="F-90",5,IF(L654="F-120",6,IF(L654="F-150",7,0)))))),0),0)+IF(AND(O654="FIRE TEX 5090",E654="CJ",J654=4),VLOOKUP(_xlfn.MINIFS('FIRE TEX 5090'!$Y$5:$Y$39,'FIRE TEX 5090'!$Y$5:$Y$39,"&gt;="&amp;M654),'FIRE TEX 5090'!$Y$5:$AD$39,IF(L654="F-15",2,IF(L654="F-30",3,IF(L654="F-60",4,IF(L654="F-90",5,IF(L654="F-120",6,IF(L654="F-150",7,0)))))),0),0)+IF(AND(O654="FIRE TEX 5120",OR(E654="IN",E654="C",E654="Z",E654="L"),J654=3),VLOOKUP(_xlfn.MINIFS('FIRE TEX 5120'!$B$5:$B$40,'FIRE TEX 5120'!$B$5:$B$40,"&gt;="&amp;M654),'FIRE TEX 5120'!$B$5:$G$40,IF(L654="F-15",2,IF(L654="F-30",3,IF(L654="F-60",4,IF(L654="F-90",5,IF(L654="F-120",6,0))))),0),0)+IF(AND(O654="FIRE TEX 5120",OR(E654="IN",E654="C",E654="Z",E654="L"),J654=4),VLOOKUP(_xlfn.MINIFS('FIRE TEX 5120'!$H$4:$H$40,'FIRE TEX 5120'!$H$4:$H$40,"&gt;="&amp;M654),'FIRE TEX 5120'!$H$4:$M$40,IF(L654="F-15",2,IF(L654="F-30",3,IF(L654="F-60",4,IF(L654="F-90",5,IF(L654="F-120",6,0))))),0),0)+IF(AND(O654="FIRE TEX 5120",E654="CJ"),VLOOKUP(_xlfn.MINIFS('FIRE TEX 5120'!$O$5:$O$40,'FIRE TEX 5120'!$O$5:$O$40,"&gt;="&amp;M654),'FIRE TEX 5120'!$O$5:$T$40,IF(L654="F-15",2,IF(L654="F-30",3,IF(L654="F-60",4,IF(L654="F-90",5,IF(L654="F-120",6,0))))),0),0)</f>
        <v>0</v>
      </c>
      <c r="Q654" s="46">
        <f t="shared" si="69"/>
        <v>0</v>
      </c>
      <c r="R654" s="46">
        <f t="shared" si="70"/>
        <v>0</v>
      </c>
      <c r="S654" s="46" t="e">
        <f t="shared" si="71"/>
        <v>#VALUE!</v>
      </c>
      <c r="T654" s="677">
        <f t="shared" si="72"/>
        <v>0</v>
      </c>
      <c r="U654" s="80">
        <f>(IF(O654="Stofire",(S654*#REF!),0))+(IF(O654="Fire Control",(S654*$U$2),0))+(IF(O654="Fire Tex",(S654*$U$3),0))+(IF(O654="WB7",(S654*#REF!),0)+(IF(O654="FX 2003",(S654*$U$5),0)))</f>
        <v>0</v>
      </c>
      <c r="V654" s="651">
        <f t="shared" si="73"/>
        <v>0</v>
      </c>
    </row>
    <row r="655" spans="4:22" x14ac:dyDescent="0.25">
      <c r="D655" s="118">
        <f>+CUBICACION!D654</f>
        <v>0</v>
      </c>
      <c r="E655" s="118">
        <f>+CUBICACION!F654</f>
        <v>0</v>
      </c>
      <c r="F655" s="118">
        <f>+CUBICACION!E654</f>
        <v>0</v>
      </c>
      <c r="G655" s="118">
        <v>12</v>
      </c>
      <c r="H655" s="118">
        <v>2</v>
      </c>
      <c r="I655" s="820">
        <v>26385</v>
      </c>
      <c r="J655" s="118">
        <f>+CUBICACION!J654</f>
        <v>0</v>
      </c>
      <c r="K655" s="118">
        <v>3434</v>
      </c>
      <c r="L655" s="118">
        <f>+CUBICACION!L654</f>
        <v>0</v>
      </c>
      <c r="M655" s="64">
        <f>+CUBICACION!M654</f>
        <v>0</v>
      </c>
      <c r="N655" s="824" t="str">
        <f>+CUBICACION!N654</f>
        <v/>
      </c>
      <c r="O655" s="675">
        <f>+CUBICACION!O654</f>
        <v>0</v>
      </c>
      <c r="P655" s="15">
        <f>IF(O655="Fire Control",VLOOKUP(_xlfn.MINIFS('FIRE CONTROL'!$C$4:$C$37,'FIRE CONTROL'!$C$4:$C$37,"&gt;="&amp;M655),'FIRE CONTROL'!$C$4:$G$37,IF(L655="F-15",2,IF(L655="F-30",3,IF(L655="F-60",4,IF(L655="F-90",5,0)))),0),0)+IF(AND(O655="FIRE TEX 5062",OR(E655="IN",E655="C",E655="Z",E655="L"),J655=3),VLOOKUP(_xlfn.MINIFS('FIRE TEX 5062'!$B$4:$B$34,'FIRE TEX 5062'!$B$4:$B$34,"&gt;="&amp;M655),'FIRE TEX 5062'!$B$4:$F$34,IF(L655="F-15",2,IF(L655="F-30",3,IF(L655="F-60",4,IF(L655="F-90",5,0)))),0),0)+IF(AND(O655="FIRE TEX 5062",OR(E655="IN",E655="C",E655="Z",E655="L"),J655=4),VLOOKUP(_xlfn.MINIFS('FIRE TEX 5062'!$G$4:$G$34,'FIRE TEX 5062'!$G$4:$G$34,"&gt;="&amp;M655),'FIRE TEX 5062'!$G$4:$K$34,IF(L655="F-15",2,IF(L655="F-30",3,IF(L655="F-60",4,IF(L655="F-90",5,0)))),0),0)+IF(AND(O655="FIRE TEX 5062",E655="CJ",J655=3),VLOOKUP(_xlfn.MINIFS('FIRE TEX 5062'!$L$4:$L$34,'FIRE TEX 5062'!$L$4:$L$34,"&gt;="&amp;M655),'FIRE TEX 5062'!$L$4:$P$34,IF(L655="F-15",2,IF(L655="F-30",3,IF(L655="F-60",4,IF(L655="F-90",5,0)))),0),0)+IF(AND(O655="FIRE TEX 5062",E655="CJ",J655=4),VLOOKUP(_xlfn.MINIFS('FIRE TEX 5062'!$Q$3:$Q$34,'FIRE TEX 5062'!$Q$3:$Q$34,"&gt;="&amp;M655),'FIRE TEX 5062'!$Q$3:$U$34,IF(L655="F-15",2,IF(L655="F-30",3,IF(L655="F-60",4,IF(L655="F-90",5,0)))),0),0)+IF(AND(O655="FIRE TEX 5090",OR(E655="IN",E655="C",E655="Z",E655="L"),J655=3),VLOOKUP(_xlfn.MINIFS('FIRE TEX 5090'!$B$5:$B$43,'FIRE TEX 5090'!$B$5:$B$43,"&gt;="&amp;M655),'FIRE TEX 5090'!$B$5:$H$43,IF(L655="F-15",2,IF(L655="F-30",3,IF(L655="F-60",4,IF(L655="F-90",5,IF(L655="F-120",6,IF(L655="F-150",7,0)))))),0),0)+IF(AND(O655="FIRE TEX 5090",OR(E655="IN",E655="C",E655="Z",E655="L"),J655=4),VLOOKUP(_xlfn.MINIFS('FIRE TEX 5090'!$J$5:$J$43,'FIRE TEX 5090'!$J$5:$J$43,"&gt;="&amp;M655),'FIRE TEX 5090'!$J$5:$P$43,IF(L655="F-15",2,IF(L655="F-30",3,IF(L655="F-60",4,IF(L655="F-90",5,IF(L655="F-120",6,IF(L655="F-150",7,0)))))),0),0)+IF(AND(O655="FIRE TEX 5090",E655="CJ",J655=3),VLOOKUP(_xlfn.MINIFS('FIRE TEX 5090'!$R$5:$R$30,'FIRE TEX 5090'!$R$5:$R$30,"&gt;="&amp;M655),'FIRE TEX 5090'!$R$5:$W$30,IF(L655="F-15",2,IF(L655="F-30",3,IF(L655="F-60",4,IF(L655="F-90",5,IF(L655="F-120",6,IF(L655="F-150",7,0)))))),0),0)+IF(AND(O655="FIRE TEX 5090",E655="CJ",J655=4),VLOOKUP(_xlfn.MINIFS('FIRE TEX 5090'!$Y$5:$Y$39,'FIRE TEX 5090'!$Y$5:$Y$39,"&gt;="&amp;M655),'FIRE TEX 5090'!$Y$5:$AD$39,IF(L655="F-15",2,IF(L655="F-30",3,IF(L655="F-60",4,IF(L655="F-90",5,IF(L655="F-120",6,IF(L655="F-150",7,0)))))),0),0)+IF(AND(O655="FIRE TEX 5120",OR(E655="IN",E655="C",E655="Z",E655="L"),J655=3),VLOOKUP(_xlfn.MINIFS('FIRE TEX 5120'!$B$5:$B$40,'FIRE TEX 5120'!$B$5:$B$40,"&gt;="&amp;M655),'FIRE TEX 5120'!$B$5:$G$40,IF(L655="F-15",2,IF(L655="F-30",3,IF(L655="F-60",4,IF(L655="F-90",5,IF(L655="F-120",6,0))))),0),0)+IF(AND(O655="FIRE TEX 5120",OR(E655="IN",E655="C",E655="Z",E655="L"),J655=4),VLOOKUP(_xlfn.MINIFS('FIRE TEX 5120'!$H$4:$H$40,'FIRE TEX 5120'!$H$4:$H$40,"&gt;="&amp;M655),'FIRE TEX 5120'!$H$4:$M$40,IF(L655="F-15",2,IF(L655="F-30",3,IF(L655="F-60",4,IF(L655="F-90",5,IF(L655="F-120",6,0))))),0),0)+IF(AND(O655="FIRE TEX 5120",E655="CJ"),VLOOKUP(_xlfn.MINIFS('FIRE TEX 5120'!$O$5:$O$40,'FIRE TEX 5120'!$O$5:$O$40,"&gt;="&amp;M655),'FIRE TEX 5120'!$O$5:$T$40,IF(L655="F-15",2,IF(L655="F-30",3,IF(L655="F-60",4,IF(L655="F-90",5,IF(L655="F-120",6,0))))),0),0)</f>
        <v>0</v>
      </c>
      <c r="Q655" s="46">
        <f t="shared" si="69"/>
        <v>0</v>
      </c>
      <c r="R655" s="46">
        <f t="shared" si="70"/>
        <v>0</v>
      </c>
      <c r="S655" s="46" t="e">
        <f t="shared" si="71"/>
        <v>#VALUE!</v>
      </c>
      <c r="T655" s="677">
        <f t="shared" si="72"/>
        <v>0</v>
      </c>
      <c r="U655" s="80">
        <f>(IF(O655="Stofire",(S655*#REF!),0))+(IF(O655="Fire Control",(S655*$U$2),0))+(IF(O655="Fire Tex",(S655*$U$3),0))+(IF(O655="WB7",(S655*#REF!),0)+(IF(O655="FX 2003",(S655*$U$5),0)))</f>
        <v>0</v>
      </c>
      <c r="V655" s="651">
        <f t="shared" si="73"/>
        <v>0</v>
      </c>
    </row>
    <row r="656" spans="4:22" x14ac:dyDescent="0.25">
      <c r="D656" s="118">
        <f>+CUBICACION!D655</f>
        <v>0</v>
      </c>
      <c r="E656" s="118">
        <f>+CUBICACION!F655</f>
        <v>0</v>
      </c>
      <c r="F656" s="118">
        <f>+CUBICACION!E655</f>
        <v>0</v>
      </c>
      <c r="G656" s="118">
        <v>12</v>
      </c>
      <c r="H656" s="118">
        <v>2</v>
      </c>
      <c r="I656" s="820">
        <v>26385</v>
      </c>
      <c r="J656" s="118">
        <f>+CUBICACION!J655</f>
        <v>0</v>
      </c>
      <c r="K656" s="118">
        <v>3435</v>
      </c>
      <c r="L656" s="118">
        <f>+CUBICACION!L655</f>
        <v>0</v>
      </c>
      <c r="M656" s="64">
        <f>+CUBICACION!M655</f>
        <v>0</v>
      </c>
      <c r="N656" s="824" t="str">
        <f>+CUBICACION!N655</f>
        <v/>
      </c>
      <c r="O656" s="675">
        <f>+CUBICACION!O655</f>
        <v>0</v>
      </c>
      <c r="P656" s="15">
        <f>IF(O656="Fire Control",VLOOKUP(_xlfn.MINIFS('FIRE CONTROL'!$C$4:$C$37,'FIRE CONTROL'!$C$4:$C$37,"&gt;="&amp;M656),'FIRE CONTROL'!$C$4:$G$37,IF(L656="F-15",2,IF(L656="F-30",3,IF(L656="F-60",4,IF(L656="F-90",5,0)))),0),0)+IF(AND(O656="FIRE TEX 5062",OR(E656="IN",E656="C",E656="Z",E656="L"),J656=3),VLOOKUP(_xlfn.MINIFS('FIRE TEX 5062'!$B$4:$B$34,'FIRE TEX 5062'!$B$4:$B$34,"&gt;="&amp;M656),'FIRE TEX 5062'!$B$4:$F$34,IF(L656="F-15",2,IF(L656="F-30",3,IF(L656="F-60",4,IF(L656="F-90",5,0)))),0),0)+IF(AND(O656="FIRE TEX 5062",OR(E656="IN",E656="C",E656="Z",E656="L"),J656=4),VLOOKUP(_xlfn.MINIFS('FIRE TEX 5062'!$G$4:$G$34,'FIRE TEX 5062'!$G$4:$G$34,"&gt;="&amp;M656),'FIRE TEX 5062'!$G$4:$K$34,IF(L656="F-15",2,IF(L656="F-30",3,IF(L656="F-60",4,IF(L656="F-90",5,0)))),0),0)+IF(AND(O656="FIRE TEX 5062",E656="CJ",J656=3),VLOOKUP(_xlfn.MINIFS('FIRE TEX 5062'!$L$4:$L$34,'FIRE TEX 5062'!$L$4:$L$34,"&gt;="&amp;M656),'FIRE TEX 5062'!$L$4:$P$34,IF(L656="F-15",2,IF(L656="F-30",3,IF(L656="F-60",4,IF(L656="F-90",5,0)))),0),0)+IF(AND(O656="FIRE TEX 5062",E656="CJ",J656=4),VLOOKUP(_xlfn.MINIFS('FIRE TEX 5062'!$Q$3:$Q$34,'FIRE TEX 5062'!$Q$3:$Q$34,"&gt;="&amp;M656),'FIRE TEX 5062'!$Q$3:$U$34,IF(L656="F-15",2,IF(L656="F-30",3,IF(L656="F-60",4,IF(L656="F-90",5,0)))),0),0)+IF(AND(O656="FIRE TEX 5090",OR(E656="IN",E656="C",E656="Z",E656="L"),J656=3),VLOOKUP(_xlfn.MINIFS('FIRE TEX 5090'!$B$5:$B$43,'FIRE TEX 5090'!$B$5:$B$43,"&gt;="&amp;M656),'FIRE TEX 5090'!$B$5:$H$43,IF(L656="F-15",2,IF(L656="F-30",3,IF(L656="F-60",4,IF(L656="F-90",5,IF(L656="F-120",6,IF(L656="F-150",7,0)))))),0),0)+IF(AND(O656="FIRE TEX 5090",OR(E656="IN",E656="C",E656="Z",E656="L"),J656=4),VLOOKUP(_xlfn.MINIFS('FIRE TEX 5090'!$J$5:$J$43,'FIRE TEX 5090'!$J$5:$J$43,"&gt;="&amp;M656),'FIRE TEX 5090'!$J$5:$P$43,IF(L656="F-15",2,IF(L656="F-30",3,IF(L656="F-60",4,IF(L656="F-90",5,IF(L656="F-120",6,IF(L656="F-150",7,0)))))),0),0)+IF(AND(O656="FIRE TEX 5090",E656="CJ",J656=3),VLOOKUP(_xlfn.MINIFS('FIRE TEX 5090'!$R$5:$R$30,'FIRE TEX 5090'!$R$5:$R$30,"&gt;="&amp;M656),'FIRE TEX 5090'!$R$5:$W$30,IF(L656="F-15",2,IF(L656="F-30",3,IF(L656="F-60",4,IF(L656="F-90",5,IF(L656="F-120",6,IF(L656="F-150",7,0)))))),0),0)+IF(AND(O656="FIRE TEX 5090",E656="CJ",J656=4),VLOOKUP(_xlfn.MINIFS('FIRE TEX 5090'!$Y$5:$Y$39,'FIRE TEX 5090'!$Y$5:$Y$39,"&gt;="&amp;M656),'FIRE TEX 5090'!$Y$5:$AD$39,IF(L656="F-15",2,IF(L656="F-30",3,IF(L656="F-60",4,IF(L656="F-90",5,IF(L656="F-120",6,IF(L656="F-150",7,0)))))),0),0)+IF(AND(O656="FIRE TEX 5120",OR(E656="IN",E656="C",E656="Z",E656="L"),J656=3),VLOOKUP(_xlfn.MINIFS('FIRE TEX 5120'!$B$5:$B$40,'FIRE TEX 5120'!$B$5:$B$40,"&gt;="&amp;M656),'FIRE TEX 5120'!$B$5:$G$40,IF(L656="F-15",2,IF(L656="F-30",3,IF(L656="F-60",4,IF(L656="F-90",5,IF(L656="F-120",6,0))))),0),0)+IF(AND(O656="FIRE TEX 5120",OR(E656="IN",E656="C",E656="Z",E656="L"),J656=4),VLOOKUP(_xlfn.MINIFS('FIRE TEX 5120'!$H$4:$H$40,'FIRE TEX 5120'!$H$4:$H$40,"&gt;="&amp;M656),'FIRE TEX 5120'!$H$4:$M$40,IF(L656="F-15",2,IF(L656="F-30",3,IF(L656="F-60",4,IF(L656="F-90",5,IF(L656="F-120",6,0))))),0),0)+IF(AND(O656="FIRE TEX 5120",E656="CJ"),VLOOKUP(_xlfn.MINIFS('FIRE TEX 5120'!$O$5:$O$40,'FIRE TEX 5120'!$O$5:$O$40,"&gt;="&amp;M656),'FIRE TEX 5120'!$O$5:$T$40,IF(L656="F-15",2,IF(L656="F-30",3,IF(L656="F-60",4,IF(L656="F-90",5,IF(L656="F-120",6,0))))),0),0)</f>
        <v>0</v>
      </c>
      <c r="Q656" s="46">
        <f t="shared" si="69"/>
        <v>0</v>
      </c>
      <c r="R656" s="46">
        <f t="shared" si="70"/>
        <v>0</v>
      </c>
      <c r="S656" s="46" t="e">
        <f t="shared" si="71"/>
        <v>#VALUE!</v>
      </c>
      <c r="T656" s="677">
        <f t="shared" si="72"/>
        <v>0</v>
      </c>
      <c r="U656" s="80">
        <f>(IF(O656="Stofire",(S656*#REF!),0))+(IF(O656="Fire Control",(S656*$U$2),0))+(IF(O656="Fire Tex",(S656*$U$3),0))+(IF(O656="WB7",(S656*#REF!),0)+(IF(O656="FX 2003",(S656*$U$5),0)))</f>
        <v>0</v>
      </c>
      <c r="V656" s="651">
        <f t="shared" si="73"/>
        <v>0</v>
      </c>
    </row>
    <row r="657" spans="4:22" x14ac:dyDescent="0.25">
      <c r="D657" s="118">
        <f>+CUBICACION!D656</f>
        <v>0</v>
      </c>
      <c r="E657" s="118">
        <f>+CUBICACION!F656</f>
        <v>0</v>
      </c>
      <c r="F657" s="118">
        <f>+CUBICACION!E656</f>
        <v>0</v>
      </c>
      <c r="G657" s="118">
        <v>12</v>
      </c>
      <c r="H657" s="118">
        <v>2</v>
      </c>
      <c r="I657" s="820">
        <v>26385</v>
      </c>
      <c r="J657" s="118">
        <f>+CUBICACION!J656</f>
        <v>0</v>
      </c>
      <c r="K657" s="118">
        <v>3436</v>
      </c>
      <c r="L657" s="118">
        <f>+CUBICACION!L656</f>
        <v>0</v>
      </c>
      <c r="M657" s="64">
        <f>+CUBICACION!M656</f>
        <v>0</v>
      </c>
      <c r="N657" s="824" t="str">
        <f>+CUBICACION!N656</f>
        <v/>
      </c>
      <c r="O657" s="675">
        <f>+CUBICACION!O656</f>
        <v>0</v>
      </c>
      <c r="P657" s="15">
        <f>IF(O657="Fire Control",VLOOKUP(_xlfn.MINIFS('FIRE CONTROL'!$C$4:$C$37,'FIRE CONTROL'!$C$4:$C$37,"&gt;="&amp;M657),'FIRE CONTROL'!$C$4:$G$37,IF(L657="F-15",2,IF(L657="F-30",3,IF(L657="F-60",4,IF(L657="F-90",5,0)))),0),0)+IF(AND(O657="FIRE TEX 5062",OR(E657="IN",E657="C",E657="Z",E657="L"),J657=3),VLOOKUP(_xlfn.MINIFS('FIRE TEX 5062'!$B$4:$B$34,'FIRE TEX 5062'!$B$4:$B$34,"&gt;="&amp;M657),'FIRE TEX 5062'!$B$4:$F$34,IF(L657="F-15",2,IF(L657="F-30",3,IF(L657="F-60",4,IF(L657="F-90",5,0)))),0),0)+IF(AND(O657="FIRE TEX 5062",OR(E657="IN",E657="C",E657="Z",E657="L"),J657=4),VLOOKUP(_xlfn.MINIFS('FIRE TEX 5062'!$G$4:$G$34,'FIRE TEX 5062'!$G$4:$G$34,"&gt;="&amp;M657),'FIRE TEX 5062'!$G$4:$K$34,IF(L657="F-15",2,IF(L657="F-30",3,IF(L657="F-60",4,IF(L657="F-90",5,0)))),0),0)+IF(AND(O657="FIRE TEX 5062",E657="CJ",J657=3),VLOOKUP(_xlfn.MINIFS('FIRE TEX 5062'!$L$4:$L$34,'FIRE TEX 5062'!$L$4:$L$34,"&gt;="&amp;M657),'FIRE TEX 5062'!$L$4:$P$34,IF(L657="F-15",2,IF(L657="F-30",3,IF(L657="F-60",4,IF(L657="F-90",5,0)))),0),0)+IF(AND(O657="FIRE TEX 5062",E657="CJ",J657=4),VLOOKUP(_xlfn.MINIFS('FIRE TEX 5062'!$Q$3:$Q$34,'FIRE TEX 5062'!$Q$3:$Q$34,"&gt;="&amp;M657),'FIRE TEX 5062'!$Q$3:$U$34,IF(L657="F-15",2,IF(L657="F-30",3,IF(L657="F-60",4,IF(L657="F-90",5,0)))),0),0)+IF(AND(O657="FIRE TEX 5090",OR(E657="IN",E657="C",E657="Z",E657="L"),J657=3),VLOOKUP(_xlfn.MINIFS('FIRE TEX 5090'!$B$5:$B$43,'FIRE TEX 5090'!$B$5:$B$43,"&gt;="&amp;M657),'FIRE TEX 5090'!$B$5:$H$43,IF(L657="F-15",2,IF(L657="F-30",3,IF(L657="F-60",4,IF(L657="F-90",5,IF(L657="F-120",6,IF(L657="F-150",7,0)))))),0),0)+IF(AND(O657="FIRE TEX 5090",OR(E657="IN",E657="C",E657="Z",E657="L"),J657=4),VLOOKUP(_xlfn.MINIFS('FIRE TEX 5090'!$J$5:$J$43,'FIRE TEX 5090'!$J$5:$J$43,"&gt;="&amp;M657),'FIRE TEX 5090'!$J$5:$P$43,IF(L657="F-15",2,IF(L657="F-30",3,IF(L657="F-60",4,IF(L657="F-90",5,IF(L657="F-120",6,IF(L657="F-150",7,0)))))),0),0)+IF(AND(O657="FIRE TEX 5090",E657="CJ",J657=3),VLOOKUP(_xlfn.MINIFS('FIRE TEX 5090'!$R$5:$R$30,'FIRE TEX 5090'!$R$5:$R$30,"&gt;="&amp;M657),'FIRE TEX 5090'!$R$5:$W$30,IF(L657="F-15",2,IF(L657="F-30",3,IF(L657="F-60",4,IF(L657="F-90",5,IF(L657="F-120",6,IF(L657="F-150",7,0)))))),0),0)+IF(AND(O657="FIRE TEX 5090",E657="CJ",J657=4),VLOOKUP(_xlfn.MINIFS('FIRE TEX 5090'!$Y$5:$Y$39,'FIRE TEX 5090'!$Y$5:$Y$39,"&gt;="&amp;M657),'FIRE TEX 5090'!$Y$5:$AD$39,IF(L657="F-15",2,IF(L657="F-30",3,IF(L657="F-60",4,IF(L657="F-90",5,IF(L657="F-120",6,IF(L657="F-150",7,0)))))),0),0)+IF(AND(O657="FIRE TEX 5120",OR(E657="IN",E657="C",E657="Z",E657="L"),J657=3),VLOOKUP(_xlfn.MINIFS('FIRE TEX 5120'!$B$5:$B$40,'FIRE TEX 5120'!$B$5:$B$40,"&gt;="&amp;M657),'FIRE TEX 5120'!$B$5:$G$40,IF(L657="F-15",2,IF(L657="F-30",3,IF(L657="F-60",4,IF(L657="F-90",5,IF(L657="F-120",6,0))))),0),0)+IF(AND(O657="FIRE TEX 5120",OR(E657="IN",E657="C",E657="Z",E657="L"),J657=4),VLOOKUP(_xlfn.MINIFS('FIRE TEX 5120'!$H$4:$H$40,'FIRE TEX 5120'!$H$4:$H$40,"&gt;="&amp;M657),'FIRE TEX 5120'!$H$4:$M$40,IF(L657="F-15",2,IF(L657="F-30",3,IF(L657="F-60",4,IF(L657="F-90",5,IF(L657="F-120",6,0))))),0),0)+IF(AND(O657="FIRE TEX 5120",E657="CJ"),VLOOKUP(_xlfn.MINIFS('FIRE TEX 5120'!$O$5:$O$40,'FIRE TEX 5120'!$O$5:$O$40,"&gt;="&amp;M657),'FIRE TEX 5120'!$O$5:$T$40,IF(L657="F-15",2,IF(L657="F-30",3,IF(L657="F-60",4,IF(L657="F-90",5,IF(L657="F-120",6,0))))),0),0)</f>
        <v>0</v>
      </c>
      <c r="Q657" s="46">
        <f t="shared" si="69"/>
        <v>0</v>
      </c>
      <c r="R657" s="46">
        <f t="shared" si="70"/>
        <v>0</v>
      </c>
      <c r="S657" s="46" t="e">
        <f t="shared" si="71"/>
        <v>#VALUE!</v>
      </c>
      <c r="T657" s="677">
        <f t="shared" si="72"/>
        <v>0</v>
      </c>
      <c r="U657" s="80">
        <f>(IF(O657="Stofire",(S657*#REF!),0))+(IF(O657="Fire Control",(S657*$U$2),0))+(IF(O657="Fire Tex",(S657*$U$3),0))+(IF(O657="WB7",(S657*#REF!),0)+(IF(O657="FX 2003",(S657*$U$5),0)))</f>
        <v>0</v>
      </c>
      <c r="V657" s="651">
        <f t="shared" si="73"/>
        <v>0</v>
      </c>
    </row>
    <row r="658" spans="4:22" x14ac:dyDescent="0.25">
      <c r="D658" s="118">
        <f>+CUBICACION!D657</f>
        <v>0</v>
      </c>
      <c r="E658" s="118">
        <f>+CUBICACION!F657</f>
        <v>0</v>
      </c>
      <c r="F658" s="118">
        <f>+CUBICACION!E657</f>
        <v>0</v>
      </c>
      <c r="G658" s="118">
        <v>12</v>
      </c>
      <c r="H658" s="118">
        <v>2</v>
      </c>
      <c r="I658" s="820">
        <v>26385</v>
      </c>
      <c r="J658" s="118">
        <f>+CUBICACION!J657</f>
        <v>0</v>
      </c>
      <c r="K658" s="118">
        <v>3437</v>
      </c>
      <c r="L658" s="118">
        <f>+CUBICACION!L657</f>
        <v>0</v>
      </c>
      <c r="M658" s="64">
        <f>+CUBICACION!M657</f>
        <v>0</v>
      </c>
      <c r="N658" s="824" t="str">
        <f>+CUBICACION!N657</f>
        <v/>
      </c>
      <c r="O658" s="675">
        <f>+CUBICACION!O657</f>
        <v>0</v>
      </c>
      <c r="P658" s="15">
        <f>IF(O658="Fire Control",VLOOKUP(_xlfn.MINIFS('FIRE CONTROL'!$C$4:$C$37,'FIRE CONTROL'!$C$4:$C$37,"&gt;="&amp;M658),'FIRE CONTROL'!$C$4:$G$37,IF(L658="F-15",2,IF(L658="F-30",3,IF(L658="F-60",4,IF(L658="F-90",5,0)))),0),0)+IF(AND(O658="FIRE TEX 5062",OR(E658="IN",E658="C",E658="Z",E658="L"),J658=3),VLOOKUP(_xlfn.MINIFS('FIRE TEX 5062'!$B$4:$B$34,'FIRE TEX 5062'!$B$4:$B$34,"&gt;="&amp;M658),'FIRE TEX 5062'!$B$4:$F$34,IF(L658="F-15",2,IF(L658="F-30",3,IF(L658="F-60",4,IF(L658="F-90",5,0)))),0),0)+IF(AND(O658="FIRE TEX 5062",OR(E658="IN",E658="C",E658="Z",E658="L"),J658=4),VLOOKUP(_xlfn.MINIFS('FIRE TEX 5062'!$G$4:$G$34,'FIRE TEX 5062'!$G$4:$G$34,"&gt;="&amp;M658),'FIRE TEX 5062'!$G$4:$K$34,IF(L658="F-15",2,IF(L658="F-30",3,IF(L658="F-60",4,IF(L658="F-90",5,0)))),0),0)+IF(AND(O658="FIRE TEX 5062",E658="CJ",J658=3),VLOOKUP(_xlfn.MINIFS('FIRE TEX 5062'!$L$4:$L$34,'FIRE TEX 5062'!$L$4:$L$34,"&gt;="&amp;M658),'FIRE TEX 5062'!$L$4:$P$34,IF(L658="F-15",2,IF(L658="F-30",3,IF(L658="F-60",4,IF(L658="F-90",5,0)))),0),0)+IF(AND(O658="FIRE TEX 5062",E658="CJ",J658=4),VLOOKUP(_xlfn.MINIFS('FIRE TEX 5062'!$Q$3:$Q$34,'FIRE TEX 5062'!$Q$3:$Q$34,"&gt;="&amp;M658),'FIRE TEX 5062'!$Q$3:$U$34,IF(L658="F-15",2,IF(L658="F-30",3,IF(L658="F-60",4,IF(L658="F-90",5,0)))),0),0)+IF(AND(O658="FIRE TEX 5090",OR(E658="IN",E658="C",E658="Z",E658="L"),J658=3),VLOOKUP(_xlfn.MINIFS('FIRE TEX 5090'!$B$5:$B$43,'FIRE TEX 5090'!$B$5:$B$43,"&gt;="&amp;M658),'FIRE TEX 5090'!$B$5:$H$43,IF(L658="F-15",2,IF(L658="F-30",3,IF(L658="F-60",4,IF(L658="F-90",5,IF(L658="F-120",6,IF(L658="F-150",7,0)))))),0),0)+IF(AND(O658="FIRE TEX 5090",OR(E658="IN",E658="C",E658="Z",E658="L"),J658=4),VLOOKUP(_xlfn.MINIFS('FIRE TEX 5090'!$J$5:$J$43,'FIRE TEX 5090'!$J$5:$J$43,"&gt;="&amp;M658),'FIRE TEX 5090'!$J$5:$P$43,IF(L658="F-15",2,IF(L658="F-30",3,IF(L658="F-60",4,IF(L658="F-90",5,IF(L658="F-120",6,IF(L658="F-150",7,0)))))),0),0)+IF(AND(O658="FIRE TEX 5090",E658="CJ",J658=3),VLOOKUP(_xlfn.MINIFS('FIRE TEX 5090'!$R$5:$R$30,'FIRE TEX 5090'!$R$5:$R$30,"&gt;="&amp;M658),'FIRE TEX 5090'!$R$5:$W$30,IF(L658="F-15",2,IF(L658="F-30",3,IF(L658="F-60",4,IF(L658="F-90",5,IF(L658="F-120",6,IF(L658="F-150",7,0)))))),0),0)+IF(AND(O658="FIRE TEX 5090",E658="CJ",J658=4),VLOOKUP(_xlfn.MINIFS('FIRE TEX 5090'!$Y$5:$Y$39,'FIRE TEX 5090'!$Y$5:$Y$39,"&gt;="&amp;M658),'FIRE TEX 5090'!$Y$5:$AD$39,IF(L658="F-15",2,IF(L658="F-30",3,IF(L658="F-60",4,IF(L658="F-90",5,IF(L658="F-120",6,IF(L658="F-150",7,0)))))),0),0)+IF(AND(O658="FIRE TEX 5120",OR(E658="IN",E658="C",E658="Z",E658="L"),J658=3),VLOOKUP(_xlfn.MINIFS('FIRE TEX 5120'!$B$5:$B$40,'FIRE TEX 5120'!$B$5:$B$40,"&gt;="&amp;M658),'FIRE TEX 5120'!$B$5:$G$40,IF(L658="F-15",2,IF(L658="F-30",3,IF(L658="F-60",4,IF(L658="F-90",5,IF(L658="F-120",6,0))))),0),0)+IF(AND(O658="FIRE TEX 5120",OR(E658="IN",E658="C",E658="Z",E658="L"),J658=4),VLOOKUP(_xlfn.MINIFS('FIRE TEX 5120'!$H$4:$H$40,'FIRE TEX 5120'!$H$4:$H$40,"&gt;="&amp;M658),'FIRE TEX 5120'!$H$4:$M$40,IF(L658="F-15",2,IF(L658="F-30",3,IF(L658="F-60",4,IF(L658="F-90",5,IF(L658="F-120",6,0))))),0),0)+IF(AND(O658="FIRE TEX 5120",E658="CJ"),VLOOKUP(_xlfn.MINIFS('FIRE TEX 5120'!$O$5:$O$40,'FIRE TEX 5120'!$O$5:$O$40,"&gt;="&amp;M658),'FIRE TEX 5120'!$O$5:$T$40,IF(L658="F-15",2,IF(L658="F-30",3,IF(L658="F-60",4,IF(L658="F-90",5,IF(L658="F-120",6,0))))),0),0)</f>
        <v>0</v>
      </c>
      <c r="Q658" s="46">
        <f t="shared" si="69"/>
        <v>0</v>
      </c>
      <c r="R658" s="46">
        <f t="shared" si="70"/>
        <v>0</v>
      </c>
      <c r="S658" s="46" t="e">
        <f t="shared" si="71"/>
        <v>#VALUE!</v>
      </c>
      <c r="T658" s="677">
        <f t="shared" si="72"/>
        <v>0</v>
      </c>
      <c r="U658" s="80">
        <f>(IF(O658="Stofire",(S658*#REF!),0))+(IF(O658="Fire Control",(S658*$U$2),0))+(IF(O658="Fire Tex",(S658*$U$3),0))+(IF(O658="WB7",(S658*#REF!),0)+(IF(O658="FX 2003",(S658*$U$5),0)))</f>
        <v>0</v>
      </c>
      <c r="V658" s="651">
        <f t="shared" si="73"/>
        <v>0</v>
      </c>
    </row>
    <row r="659" spans="4:22" x14ac:dyDescent="0.25">
      <c r="D659" s="118">
        <f>+CUBICACION!D658</f>
        <v>0</v>
      </c>
      <c r="E659" s="118">
        <f>+CUBICACION!F658</f>
        <v>0</v>
      </c>
      <c r="F659" s="118">
        <f>+CUBICACION!E658</f>
        <v>0</v>
      </c>
      <c r="G659" s="118">
        <v>12</v>
      </c>
      <c r="H659" s="118">
        <v>2</v>
      </c>
      <c r="I659" s="820">
        <v>26385</v>
      </c>
      <c r="J659" s="118">
        <f>+CUBICACION!J658</f>
        <v>0</v>
      </c>
      <c r="K659" s="118">
        <v>3438</v>
      </c>
      <c r="L659" s="118">
        <f>+CUBICACION!L658</f>
        <v>0</v>
      </c>
      <c r="M659" s="64">
        <f>+CUBICACION!M658</f>
        <v>0</v>
      </c>
      <c r="N659" s="824" t="str">
        <f>+CUBICACION!N658</f>
        <v/>
      </c>
      <c r="O659" s="675">
        <f>+CUBICACION!O658</f>
        <v>0</v>
      </c>
      <c r="P659" s="15">
        <f>IF(O659="Fire Control",VLOOKUP(_xlfn.MINIFS('FIRE CONTROL'!$C$4:$C$37,'FIRE CONTROL'!$C$4:$C$37,"&gt;="&amp;M659),'FIRE CONTROL'!$C$4:$G$37,IF(L659="F-15",2,IF(L659="F-30",3,IF(L659="F-60",4,IF(L659="F-90",5,0)))),0),0)+IF(AND(O659="FIRE TEX 5062",OR(E659="IN",E659="C",E659="Z",E659="L"),J659=3),VLOOKUP(_xlfn.MINIFS('FIRE TEX 5062'!$B$4:$B$34,'FIRE TEX 5062'!$B$4:$B$34,"&gt;="&amp;M659),'FIRE TEX 5062'!$B$4:$F$34,IF(L659="F-15",2,IF(L659="F-30",3,IF(L659="F-60",4,IF(L659="F-90",5,0)))),0),0)+IF(AND(O659="FIRE TEX 5062",OR(E659="IN",E659="C",E659="Z",E659="L"),J659=4),VLOOKUP(_xlfn.MINIFS('FIRE TEX 5062'!$G$4:$G$34,'FIRE TEX 5062'!$G$4:$G$34,"&gt;="&amp;M659),'FIRE TEX 5062'!$G$4:$K$34,IF(L659="F-15",2,IF(L659="F-30",3,IF(L659="F-60",4,IF(L659="F-90",5,0)))),0),0)+IF(AND(O659="FIRE TEX 5062",E659="CJ",J659=3),VLOOKUP(_xlfn.MINIFS('FIRE TEX 5062'!$L$4:$L$34,'FIRE TEX 5062'!$L$4:$L$34,"&gt;="&amp;M659),'FIRE TEX 5062'!$L$4:$P$34,IF(L659="F-15",2,IF(L659="F-30",3,IF(L659="F-60",4,IF(L659="F-90",5,0)))),0),0)+IF(AND(O659="FIRE TEX 5062",E659="CJ",J659=4),VLOOKUP(_xlfn.MINIFS('FIRE TEX 5062'!$Q$3:$Q$34,'FIRE TEX 5062'!$Q$3:$Q$34,"&gt;="&amp;M659),'FIRE TEX 5062'!$Q$3:$U$34,IF(L659="F-15",2,IF(L659="F-30",3,IF(L659="F-60",4,IF(L659="F-90",5,0)))),0),0)+IF(AND(O659="FIRE TEX 5090",OR(E659="IN",E659="C",E659="Z",E659="L"),J659=3),VLOOKUP(_xlfn.MINIFS('FIRE TEX 5090'!$B$5:$B$43,'FIRE TEX 5090'!$B$5:$B$43,"&gt;="&amp;M659),'FIRE TEX 5090'!$B$5:$H$43,IF(L659="F-15",2,IF(L659="F-30",3,IF(L659="F-60",4,IF(L659="F-90",5,IF(L659="F-120",6,IF(L659="F-150",7,0)))))),0),0)+IF(AND(O659="FIRE TEX 5090",OR(E659="IN",E659="C",E659="Z",E659="L"),J659=4),VLOOKUP(_xlfn.MINIFS('FIRE TEX 5090'!$J$5:$J$43,'FIRE TEX 5090'!$J$5:$J$43,"&gt;="&amp;M659),'FIRE TEX 5090'!$J$5:$P$43,IF(L659="F-15",2,IF(L659="F-30",3,IF(L659="F-60",4,IF(L659="F-90",5,IF(L659="F-120",6,IF(L659="F-150",7,0)))))),0),0)+IF(AND(O659="FIRE TEX 5090",E659="CJ",J659=3),VLOOKUP(_xlfn.MINIFS('FIRE TEX 5090'!$R$5:$R$30,'FIRE TEX 5090'!$R$5:$R$30,"&gt;="&amp;M659),'FIRE TEX 5090'!$R$5:$W$30,IF(L659="F-15",2,IF(L659="F-30",3,IF(L659="F-60",4,IF(L659="F-90",5,IF(L659="F-120",6,IF(L659="F-150",7,0)))))),0),0)+IF(AND(O659="FIRE TEX 5090",E659="CJ",J659=4),VLOOKUP(_xlfn.MINIFS('FIRE TEX 5090'!$Y$5:$Y$39,'FIRE TEX 5090'!$Y$5:$Y$39,"&gt;="&amp;M659),'FIRE TEX 5090'!$Y$5:$AD$39,IF(L659="F-15",2,IF(L659="F-30",3,IF(L659="F-60",4,IF(L659="F-90",5,IF(L659="F-120",6,IF(L659="F-150",7,0)))))),0),0)+IF(AND(O659="FIRE TEX 5120",OR(E659="IN",E659="C",E659="Z",E659="L"),J659=3),VLOOKUP(_xlfn.MINIFS('FIRE TEX 5120'!$B$5:$B$40,'FIRE TEX 5120'!$B$5:$B$40,"&gt;="&amp;M659),'FIRE TEX 5120'!$B$5:$G$40,IF(L659="F-15",2,IF(L659="F-30",3,IF(L659="F-60",4,IF(L659="F-90",5,IF(L659="F-120",6,0))))),0),0)+IF(AND(O659="FIRE TEX 5120",OR(E659="IN",E659="C",E659="Z",E659="L"),J659=4),VLOOKUP(_xlfn.MINIFS('FIRE TEX 5120'!$H$4:$H$40,'FIRE TEX 5120'!$H$4:$H$40,"&gt;="&amp;M659),'FIRE TEX 5120'!$H$4:$M$40,IF(L659="F-15",2,IF(L659="F-30",3,IF(L659="F-60",4,IF(L659="F-90",5,IF(L659="F-120",6,0))))),0),0)+IF(AND(O659="FIRE TEX 5120",E659="CJ"),VLOOKUP(_xlfn.MINIFS('FIRE TEX 5120'!$O$5:$O$40,'FIRE TEX 5120'!$O$5:$O$40,"&gt;="&amp;M659),'FIRE TEX 5120'!$O$5:$T$40,IF(L659="F-15",2,IF(L659="F-30",3,IF(L659="F-60",4,IF(L659="F-90",5,IF(L659="F-120",6,0))))),0),0)</f>
        <v>0</v>
      </c>
      <c r="Q659" s="46">
        <f t="shared" si="69"/>
        <v>0</v>
      </c>
      <c r="R659" s="46">
        <f t="shared" si="70"/>
        <v>0</v>
      </c>
      <c r="S659" s="46" t="e">
        <f t="shared" si="71"/>
        <v>#VALUE!</v>
      </c>
      <c r="T659" s="677">
        <f t="shared" si="72"/>
        <v>0</v>
      </c>
      <c r="U659" s="80">
        <f>(IF(O659="Stofire",(S659*#REF!),0))+(IF(O659="Fire Control",(S659*$U$2),0))+(IF(O659="Fire Tex",(S659*$U$3),0))+(IF(O659="WB7",(S659*#REF!),0)+(IF(O659="FX 2003",(S659*$U$5),0)))</f>
        <v>0</v>
      </c>
      <c r="V659" s="651">
        <f t="shared" si="73"/>
        <v>0</v>
      </c>
    </row>
    <row r="660" spans="4:22" x14ac:dyDescent="0.25">
      <c r="D660" s="118">
        <f>+CUBICACION!D659</f>
        <v>0</v>
      </c>
      <c r="E660" s="118">
        <f>+CUBICACION!F659</f>
        <v>0</v>
      </c>
      <c r="F660" s="118">
        <f>+CUBICACION!E659</f>
        <v>0</v>
      </c>
      <c r="G660" s="118">
        <v>12</v>
      </c>
      <c r="H660" s="118">
        <v>2</v>
      </c>
      <c r="I660" s="820">
        <v>26385</v>
      </c>
      <c r="J660" s="118">
        <f>+CUBICACION!J659</f>
        <v>0</v>
      </c>
      <c r="K660" s="118">
        <v>3439</v>
      </c>
      <c r="L660" s="118">
        <f>+CUBICACION!L659</f>
        <v>0</v>
      </c>
      <c r="M660" s="64">
        <f>+CUBICACION!M659</f>
        <v>0</v>
      </c>
      <c r="N660" s="824" t="str">
        <f>+CUBICACION!N659</f>
        <v/>
      </c>
      <c r="O660" s="675">
        <f>+CUBICACION!O659</f>
        <v>0</v>
      </c>
      <c r="P660" s="15">
        <f>IF(O660="Fire Control",VLOOKUP(_xlfn.MINIFS('FIRE CONTROL'!$C$4:$C$37,'FIRE CONTROL'!$C$4:$C$37,"&gt;="&amp;M660),'FIRE CONTROL'!$C$4:$G$37,IF(L660="F-15",2,IF(L660="F-30",3,IF(L660="F-60",4,IF(L660="F-90",5,0)))),0),0)+IF(AND(O660="FIRE TEX 5062",OR(E660="IN",E660="C",E660="Z",E660="L"),J660=3),VLOOKUP(_xlfn.MINIFS('FIRE TEX 5062'!$B$4:$B$34,'FIRE TEX 5062'!$B$4:$B$34,"&gt;="&amp;M660),'FIRE TEX 5062'!$B$4:$F$34,IF(L660="F-15",2,IF(L660="F-30",3,IF(L660="F-60",4,IF(L660="F-90",5,0)))),0),0)+IF(AND(O660="FIRE TEX 5062",OR(E660="IN",E660="C",E660="Z",E660="L"),J660=4),VLOOKUP(_xlfn.MINIFS('FIRE TEX 5062'!$G$4:$G$34,'FIRE TEX 5062'!$G$4:$G$34,"&gt;="&amp;M660),'FIRE TEX 5062'!$G$4:$K$34,IF(L660="F-15",2,IF(L660="F-30",3,IF(L660="F-60",4,IF(L660="F-90",5,0)))),0),0)+IF(AND(O660="FIRE TEX 5062",E660="CJ",J660=3),VLOOKUP(_xlfn.MINIFS('FIRE TEX 5062'!$L$4:$L$34,'FIRE TEX 5062'!$L$4:$L$34,"&gt;="&amp;M660),'FIRE TEX 5062'!$L$4:$P$34,IF(L660="F-15",2,IF(L660="F-30",3,IF(L660="F-60",4,IF(L660="F-90",5,0)))),0),0)+IF(AND(O660="FIRE TEX 5062",E660="CJ",J660=4),VLOOKUP(_xlfn.MINIFS('FIRE TEX 5062'!$Q$3:$Q$34,'FIRE TEX 5062'!$Q$3:$Q$34,"&gt;="&amp;M660),'FIRE TEX 5062'!$Q$3:$U$34,IF(L660="F-15",2,IF(L660="F-30",3,IF(L660="F-60",4,IF(L660="F-90",5,0)))),0),0)+IF(AND(O660="FIRE TEX 5090",OR(E660="IN",E660="C",E660="Z",E660="L"),J660=3),VLOOKUP(_xlfn.MINIFS('FIRE TEX 5090'!$B$5:$B$43,'FIRE TEX 5090'!$B$5:$B$43,"&gt;="&amp;M660),'FIRE TEX 5090'!$B$5:$H$43,IF(L660="F-15",2,IF(L660="F-30",3,IF(L660="F-60",4,IF(L660="F-90",5,IF(L660="F-120",6,IF(L660="F-150",7,0)))))),0),0)+IF(AND(O660="FIRE TEX 5090",OR(E660="IN",E660="C",E660="Z",E660="L"),J660=4),VLOOKUP(_xlfn.MINIFS('FIRE TEX 5090'!$J$5:$J$43,'FIRE TEX 5090'!$J$5:$J$43,"&gt;="&amp;M660),'FIRE TEX 5090'!$J$5:$P$43,IF(L660="F-15",2,IF(L660="F-30",3,IF(L660="F-60",4,IF(L660="F-90",5,IF(L660="F-120",6,IF(L660="F-150",7,0)))))),0),0)+IF(AND(O660="FIRE TEX 5090",E660="CJ",J660=3),VLOOKUP(_xlfn.MINIFS('FIRE TEX 5090'!$R$5:$R$30,'FIRE TEX 5090'!$R$5:$R$30,"&gt;="&amp;M660),'FIRE TEX 5090'!$R$5:$W$30,IF(L660="F-15",2,IF(L660="F-30",3,IF(L660="F-60",4,IF(L660="F-90",5,IF(L660="F-120",6,IF(L660="F-150",7,0)))))),0),0)+IF(AND(O660="FIRE TEX 5090",E660="CJ",J660=4),VLOOKUP(_xlfn.MINIFS('FIRE TEX 5090'!$Y$5:$Y$39,'FIRE TEX 5090'!$Y$5:$Y$39,"&gt;="&amp;M660),'FIRE TEX 5090'!$Y$5:$AD$39,IF(L660="F-15",2,IF(L660="F-30",3,IF(L660="F-60",4,IF(L660="F-90",5,IF(L660="F-120",6,IF(L660="F-150",7,0)))))),0),0)+IF(AND(O660="FIRE TEX 5120",OR(E660="IN",E660="C",E660="Z",E660="L"),J660=3),VLOOKUP(_xlfn.MINIFS('FIRE TEX 5120'!$B$5:$B$40,'FIRE TEX 5120'!$B$5:$B$40,"&gt;="&amp;M660),'FIRE TEX 5120'!$B$5:$G$40,IF(L660="F-15",2,IF(L660="F-30",3,IF(L660="F-60",4,IF(L660="F-90",5,IF(L660="F-120",6,0))))),0),0)+IF(AND(O660="FIRE TEX 5120",OR(E660="IN",E660="C",E660="Z",E660="L"),J660=4),VLOOKUP(_xlfn.MINIFS('FIRE TEX 5120'!$H$4:$H$40,'FIRE TEX 5120'!$H$4:$H$40,"&gt;="&amp;M660),'FIRE TEX 5120'!$H$4:$M$40,IF(L660="F-15",2,IF(L660="F-30",3,IF(L660="F-60",4,IF(L660="F-90",5,IF(L660="F-120",6,0))))),0),0)+IF(AND(O660="FIRE TEX 5120",E660="CJ"),VLOOKUP(_xlfn.MINIFS('FIRE TEX 5120'!$O$5:$O$40,'FIRE TEX 5120'!$O$5:$O$40,"&gt;="&amp;M660),'FIRE TEX 5120'!$O$5:$T$40,IF(L660="F-15",2,IF(L660="F-30",3,IF(L660="F-60",4,IF(L660="F-90",5,IF(L660="F-120",6,0))))),0),0)</f>
        <v>0</v>
      </c>
      <c r="Q660" s="46">
        <f t="shared" si="69"/>
        <v>0</v>
      </c>
      <c r="R660" s="46">
        <f t="shared" si="70"/>
        <v>0</v>
      </c>
      <c r="S660" s="46" t="e">
        <f t="shared" si="71"/>
        <v>#VALUE!</v>
      </c>
      <c r="T660" s="677">
        <f t="shared" si="72"/>
        <v>0</v>
      </c>
      <c r="U660" s="80">
        <f>(IF(O660="Stofire",(S660*#REF!),0))+(IF(O660="Fire Control",(S660*$U$2),0))+(IF(O660="Fire Tex",(S660*$U$3),0))+(IF(O660="WB7",(S660*#REF!),0)+(IF(O660="FX 2003",(S660*$U$5),0)))</f>
        <v>0</v>
      </c>
      <c r="V660" s="651">
        <f t="shared" si="73"/>
        <v>0</v>
      </c>
    </row>
    <row r="661" spans="4:22" x14ac:dyDescent="0.25">
      <c r="D661" s="118">
        <f>+CUBICACION!D660</f>
        <v>0</v>
      </c>
      <c r="E661" s="118">
        <f>+CUBICACION!F660</f>
        <v>0</v>
      </c>
      <c r="F661" s="118">
        <f>+CUBICACION!E660</f>
        <v>0</v>
      </c>
      <c r="G661" s="118">
        <v>12</v>
      </c>
      <c r="H661" s="118">
        <v>2</v>
      </c>
      <c r="I661" s="820">
        <v>26385</v>
      </c>
      <c r="J661" s="118">
        <f>+CUBICACION!J660</f>
        <v>0</v>
      </c>
      <c r="K661" s="118">
        <v>3440</v>
      </c>
      <c r="L661" s="118">
        <f>+CUBICACION!L660</f>
        <v>0</v>
      </c>
      <c r="M661" s="64">
        <f>+CUBICACION!M660</f>
        <v>0</v>
      </c>
      <c r="N661" s="824" t="str">
        <f>+CUBICACION!N660</f>
        <v/>
      </c>
      <c r="O661" s="675">
        <f>+CUBICACION!O660</f>
        <v>0</v>
      </c>
      <c r="P661" s="15">
        <f>IF(O661="Fire Control",VLOOKUP(_xlfn.MINIFS('FIRE CONTROL'!$C$4:$C$37,'FIRE CONTROL'!$C$4:$C$37,"&gt;="&amp;M661),'FIRE CONTROL'!$C$4:$G$37,IF(L661="F-15",2,IF(L661="F-30",3,IF(L661="F-60",4,IF(L661="F-90",5,0)))),0),0)+IF(AND(O661="FIRE TEX 5062",OR(E661="IN",E661="C",E661="Z",E661="L"),J661=3),VLOOKUP(_xlfn.MINIFS('FIRE TEX 5062'!$B$4:$B$34,'FIRE TEX 5062'!$B$4:$B$34,"&gt;="&amp;M661),'FIRE TEX 5062'!$B$4:$F$34,IF(L661="F-15",2,IF(L661="F-30",3,IF(L661="F-60",4,IF(L661="F-90",5,0)))),0),0)+IF(AND(O661="FIRE TEX 5062",OR(E661="IN",E661="C",E661="Z",E661="L"),J661=4),VLOOKUP(_xlfn.MINIFS('FIRE TEX 5062'!$G$4:$G$34,'FIRE TEX 5062'!$G$4:$G$34,"&gt;="&amp;M661),'FIRE TEX 5062'!$G$4:$K$34,IF(L661="F-15",2,IF(L661="F-30",3,IF(L661="F-60",4,IF(L661="F-90",5,0)))),0),0)+IF(AND(O661="FIRE TEX 5062",E661="CJ",J661=3),VLOOKUP(_xlfn.MINIFS('FIRE TEX 5062'!$L$4:$L$34,'FIRE TEX 5062'!$L$4:$L$34,"&gt;="&amp;M661),'FIRE TEX 5062'!$L$4:$P$34,IF(L661="F-15",2,IF(L661="F-30",3,IF(L661="F-60",4,IF(L661="F-90",5,0)))),0),0)+IF(AND(O661="FIRE TEX 5062",E661="CJ",J661=4),VLOOKUP(_xlfn.MINIFS('FIRE TEX 5062'!$Q$3:$Q$34,'FIRE TEX 5062'!$Q$3:$Q$34,"&gt;="&amp;M661),'FIRE TEX 5062'!$Q$3:$U$34,IF(L661="F-15",2,IF(L661="F-30",3,IF(L661="F-60",4,IF(L661="F-90",5,0)))),0),0)+IF(AND(O661="FIRE TEX 5090",OR(E661="IN",E661="C",E661="Z",E661="L"),J661=3),VLOOKUP(_xlfn.MINIFS('FIRE TEX 5090'!$B$5:$B$43,'FIRE TEX 5090'!$B$5:$B$43,"&gt;="&amp;M661),'FIRE TEX 5090'!$B$5:$H$43,IF(L661="F-15",2,IF(L661="F-30",3,IF(L661="F-60",4,IF(L661="F-90",5,IF(L661="F-120",6,IF(L661="F-150",7,0)))))),0),0)+IF(AND(O661="FIRE TEX 5090",OR(E661="IN",E661="C",E661="Z",E661="L"),J661=4),VLOOKUP(_xlfn.MINIFS('FIRE TEX 5090'!$J$5:$J$43,'FIRE TEX 5090'!$J$5:$J$43,"&gt;="&amp;M661),'FIRE TEX 5090'!$J$5:$P$43,IF(L661="F-15",2,IF(L661="F-30",3,IF(L661="F-60",4,IF(L661="F-90",5,IF(L661="F-120",6,IF(L661="F-150",7,0)))))),0),0)+IF(AND(O661="FIRE TEX 5090",E661="CJ",J661=3),VLOOKUP(_xlfn.MINIFS('FIRE TEX 5090'!$R$5:$R$30,'FIRE TEX 5090'!$R$5:$R$30,"&gt;="&amp;M661),'FIRE TEX 5090'!$R$5:$W$30,IF(L661="F-15",2,IF(L661="F-30",3,IF(L661="F-60",4,IF(L661="F-90",5,IF(L661="F-120",6,IF(L661="F-150",7,0)))))),0),0)+IF(AND(O661="FIRE TEX 5090",E661="CJ",J661=4),VLOOKUP(_xlfn.MINIFS('FIRE TEX 5090'!$Y$5:$Y$39,'FIRE TEX 5090'!$Y$5:$Y$39,"&gt;="&amp;M661),'FIRE TEX 5090'!$Y$5:$AD$39,IF(L661="F-15",2,IF(L661="F-30",3,IF(L661="F-60",4,IF(L661="F-90",5,IF(L661="F-120",6,IF(L661="F-150",7,0)))))),0),0)+IF(AND(O661="FIRE TEX 5120",OR(E661="IN",E661="C",E661="Z",E661="L"),J661=3),VLOOKUP(_xlfn.MINIFS('FIRE TEX 5120'!$B$5:$B$40,'FIRE TEX 5120'!$B$5:$B$40,"&gt;="&amp;M661),'FIRE TEX 5120'!$B$5:$G$40,IF(L661="F-15",2,IF(L661="F-30",3,IF(L661="F-60",4,IF(L661="F-90",5,IF(L661="F-120",6,0))))),0),0)+IF(AND(O661="FIRE TEX 5120",OR(E661="IN",E661="C",E661="Z",E661="L"),J661=4),VLOOKUP(_xlfn.MINIFS('FIRE TEX 5120'!$H$4:$H$40,'FIRE TEX 5120'!$H$4:$H$40,"&gt;="&amp;M661),'FIRE TEX 5120'!$H$4:$M$40,IF(L661="F-15",2,IF(L661="F-30",3,IF(L661="F-60",4,IF(L661="F-90",5,IF(L661="F-120",6,0))))),0),0)+IF(AND(O661="FIRE TEX 5120",E661="CJ"),VLOOKUP(_xlfn.MINIFS('FIRE TEX 5120'!$O$5:$O$40,'FIRE TEX 5120'!$O$5:$O$40,"&gt;="&amp;M661),'FIRE TEX 5120'!$O$5:$T$40,IF(L661="F-15",2,IF(L661="F-30",3,IF(L661="F-60",4,IF(L661="F-90",5,IF(L661="F-120",6,0))))),0),0)</f>
        <v>0</v>
      </c>
      <c r="Q661" s="46">
        <f t="shared" si="69"/>
        <v>0</v>
      </c>
      <c r="R661" s="46">
        <f t="shared" si="70"/>
        <v>0</v>
      </c>
      <c r="S661" s="46" t="e">
        <f t="shared" si="71"/>
        <v>#VALUE!</v>
      </c>
      <c r="T661" s="677">
        <f t="shared" si="72"/>
        <v>0</v>
      </c>
      <c r="U661" s="80">
        <f>(IF(O661="Stofire",(S661*#REF!),0))+(IF(O661="Fire Control",(S661*$U$2),0))+(IF(O661="Fire Tex",(S661*$U$3),0))+(IF(O661="WB7",(S661*#REF!),0)+(IF(O661="FX 2003",(S661*$U$5),0)))</f>
        <v>0</v>
      </c>
      <c r="V661" s="651">
        <f t="shared" si="73"/>
        <v>0</v>
      </c>
    </row>
    <row r="662" spans="4:22" x14ac:dyDescent="0.25">
      <c r="D662" s="118">
        <f>+CUBICACION!D661</f>
        <v>0</v>
      </c>
      <c r="E662" s="118">
        <f>+CUBICACION!F661</f>
        <v>0</v>
      </c>
      <c r="F662" s="118">
        <f>+CUBICACION!E661</f>
        <v>0</v>
      </c>
      <c r="G662" s="118">
        <v>12</v>
      </c>
      <c r="H662" s="118">
        <v>2</v>
      </c>
      <c r="I662" s="820">
        <v>26385</v>
      </c>
      <c r="J662" s="118">
        <f>+CUBICACION!J661</f>
        <v>0</v>
      </c>
      <c r="K662" s="118">
        <v>3441</v>
      </c>
      <c r="L662" s="118">
        <f>+CUBICACION!L661</f>
        <v>0</v>
      </c>
      <c r="M662" s="64">
        <f>+CUBICACION!M661</f>
        <v>0</v>
      </c>
      <c r="N662" s="824" t="str">
        <f>+CUBICACION!N661</f>
        <v/>
      </c>
      <c r="O662" s="675">
        <f>+CUBICACION!O661</f>
        <v>0</v>
      </c>
      <c r="P662" s="15">
        <f>IF(O662="Fire Control",VLOOKUP(_xlfn.MINIFS('FIRE CONTROL'!$C$4:$C$37,'FIRE CONTROL'!$C$4:$C$37,"&gt;="&amp;M662),'FIRE CONTROL'!$C$4:$G$37,IF(L662="F-15",2,IF(L662="F-30",3,IF(L662="F-60",4,IF(L662="F-90",5,0)))),0),0)+IF(AND(O662="FIRE TEX 5062",OR(E662="IN",E662="C",E662="Z",E662="L"),J662=3),VLOOKUP(_xlfn.MINIFS('FIRE TEX 5062'!$B$4:$B$34,'FIRE TEX 5062'!$B$4:$B$34,"&gt;="&amp;M662),'FIRE TEX 5062'!$B$4:$F$34,IF(L662="F-15",2,IF(L662="F-30",3,IF(L662="F-60",4,IF(L662="F-90",5,0)))),0),0)+IF(AND(O662="FIRE TEX 5062",OR(E662="IN",E662="C",E662="Z",E662="L"),J662=4),VLOOKUP(_xlfn.MINIFS('FIRE TEX 5062'!$G$4:$G$34,'FIRE TEX 5062'!$G$4:$G$34,"&gt;="&amp;M662),'FIRE TEX 5062'!$G$4:$K$34,IF(L662="F-15",2,IF(L662="F-30",3,IF(L662="F-60",4,IF(L662="F-90",5,0)))),0),0)+IF(AND(O662="FIRE TEX 5062",E662="CJ",J662=3),VLOOKUP(_xlfn.MINIFS('FIRE TEX 5062'!$L$4:$L$34,'FIRE TEX 5062'!$L$4:$L$34,"&gt;="&amp;M662),'FIRE TEX 5062'!$L$4:$P$34,IF(L662="F-15",2,IF(L662="F-30",3,IF(L662="F-60",4,IF(L662="F-90",5,0)))),0),0)+IF(AND(O662="FIRE TEX 5062",E662="CJ",J662=4),VLOOKUP(_xlfn.MINIFS('FIRE TEX 5062'!$Q$3:$Q$34,'FIRE TEX 5062'!$Q$3:$Q$34,"&gt;="&amp;M662),'FIRE TEX 5062'!$Q$3:$U$34,IF(L662="F-15",2,IF(L662="F-30",3,IF(L662="F-60",4,IF(L662="F-90",5,0)))),0),0)+IF(AND(O662="FIRE TEX 5090",OR(E662="IN",E662="C",E662="Z",E662="L"),J662=3),VLOOKUP(_xlfn.MINIFS('FIRE TEX 5090'!$B$5:$B$43,'FIRE TEX 5090'!$B$5:$B$43,"&gt;="&amp;M662),'FIRE TEX 5090'!$B$5:$H$43,IF(L662="F-15",2,IF(L662="F-30",3,IF(L662="F-60",4,IF(L662="F-90",5,IF(L662="F-120",6,IF(L662="F-150",7,0)))))),0),0)+IF(AND(O662="FIRE TEX 5090",OR(E662="IN",E662="C",E662="Z",E662="L"),J662=4),VLOOKUP(_xlfn.MINIFS('FIRE TEX 5090'!$J$5:$J$43,'FIRE TEX 5090'!$J$5:$J$43,"&gt;="&amp;M662),'FIRE TEX 5090'!$J$5:$P$43,IF(L662="F-15",2,IF(L662="F-30",3,IF(L662="F-60",4,IF(L662="F-90",5,IF(L662="F-120",6,IF(L662="F-150",7,0)))))),0),0)+IF(AND(O662="FIRE TEX 5090",E662="CJ",J662=3),VLOOKUP(_xlfn.MINIFS('FIRE TEX 5090'!$R$5:$R$30,'FIRE TEX 5090'!$R$5:$R$30,"&gt;="&amp;M662),'FIRE TEX 5090'!$R$5:$W$30,IF(L662="F-15",2,IF(L662="F-30",3,IF(L662="F-60",4,IF(L662="F-90",5,IF(L662="F-120",6,IF(L662="F-150",7,0)))))),0),0)+IF(AND(O662="FIRE TEX 5090",E662="CJ",J662=4),VLOOKUP(_xlfn.MINIFS('FIRE TEX 5090'!$Y$5:$Y$39,'FIRE TEX 5090'!$Y$5:$Y$39,"&gt;="&amp;M662),'FIRE TEX 5090'!$Y$5:$AD$39,IF(L662="F-15",2,IF(L662="F-30",3,IF(L662="F-60",4,IF(L662="F-90",5,IF(L662="F-120",6,IF(L662="F-150",7,0)))))),0),0)+IF(AND(O662="FIRE TEX 5120",OR(E662="IN",E662="C",E662="Z",E662="L"),J662=3),VLOOKUP(_xlfn.MINIFS('FIRE TEX 5120'!$B$5:$B$40,'FIRE TEX 5120'!$B$5:$B$40,"&gt;="&amp;M662),'FIRE TEX 5120'!$B$5:$G$40,IF(L662="F-15",2,IF(L662="F-30",3,IF(L662="F-60",4,IF(L662="F-90",5,IF(L662="F-120",6,0))))),0),0)+IF(AND(O662="FIRE TEX 5120",OR(E662="IN",E662="C",E662="Z",E662="L"),J662=4),VLOOKUP(_xlfn.MINIFS('FIRE TEX 5120'!$H$4:$H$40,'FIRE TEX 5120'!$H$4:$H$40,"&gt;="&amp;M662),'FIRE TEX 5120'!$H$4:$M$40,IF(L662="F-15",2,IF(L662="F-30",3,IF(L662="F-60",4,IF(L662="F-90",5,IF(L662="F-120",6,0))))),0),0)+IF(AND(O662="FIRE TEX 5120",E662="CJ"),VLOOKUP(_xlfn.MINIFS('FIRE TEX 5120'!$O$5:$O$40,'FIRE TEX 5120'!$O$5:$O$40,"&gt;="&amp;M662),'FIRE TEX 5120'!$O$5:$T$40,IF(L662="F-15",2,IF(L662="F-30",3,IF(L662="F-60",4,IF(L662="F-90",5,IF(L662="F-120",6,0))))),0),0)</f>
        <v>0</v>
      </c>
      <c r="Q662" s="46">
        <f t="shared" si="69"/>
        <v>0</v>
      </c>
      <c r="R662" s="46">
        <f t="shared" si="70"/>
        <v>0</v>
      </c>
      <c r="S662" s="46" t="e">
        <f t="shared" si="71"/>
        <v>#VALUE!</v>
      </c>
      <c r="T662" s="677">
        <f t="shared" si="72"/>
        <v>0</v>
      </c>
      <c r="U662" s="80">
        <f>(IF(O662="Stofire",(S662*#REF!),0))+(IF(O662="Fire Control",(S662*$U$2),0))+(IF(O662="Fire Tex",(S662*$U$3),0))+(IF(O662="WB7",(S662*#REF!),0)+(IF(O662="FX 2003",(S662*$U$5),0)))</f>
        <v>0</v>
      </c>
      <c r="V662" s="651">
        <f t="shared" si="73"/>
        <v>0</v>
      </c>
    </row>
    <row r="663" spans="4:22" x14ac:dyDescent="0.25">
      <c r="D663" s="118">
        <f>+CUBICACION!D662</f>
        <v>0</v>
      </c>
      <c r="E663" s="118">
        <f>+CUBICACION!F662</f>
        <v>0</v>
      </c>
      <c r="F663" s="118">
        <f>+CUBICACION!E662</f>
        <v>0</v>
      </c>
      <c r="G663" s="118">
        <v>12</v>
      </c>
      <c r="H663" s="118">
        <v>2</v>
      </c>
      <c r="I663" s="820">
        <v>26385</v>
      </c>
      <c r="J663" s="118">
        <f>+CUBICACION!J662</f>
        <v>0</v>
      </c>
      <c r="K663" s="118">
        <v>3442</v>
      </c>
      <c r="L663" s="118">
        <f>+CUBICACION!L662</f>
        <v>0</v>
      </c>
      <c r="M663" s="64">
        <f>+CUBICACION!M662</f>
        <v>0</v>
      </c>
      <c r="N663" s="824" t="str">
        <f>+CUBICACION!N662</f>
        <v/>
      </c>
      <c r="O663" s="675">
        <f>+CUBICACION!O662</f>
        <v>0</v>
      </c>
      <c r="P663" s="15">
        <f>IF(O663="Fire Control",VLOOKUP(_xlfn.MINIFS('FIRE CONTROL'!$C$4:$C$37,'FIRE CONTROL'!$C$4:$C$37,"&gt;="&amp;M663),'FIRE CONTROL'!$C$4:$G$37,IF(L663="F-15",2,IF(L663="F-30",3,IF(L663="F-60",4,IF(L663="F-90",5,0)))),0),0)+IF(AND(O663="FIRE TEX 5062",OR(E663="IN",E663="C",E663="Z",E663="L"),J663=3),VLOOKUP(_xlfn.MINIFS('FIRE TEX 5062'!$B$4:$B$34,'FIRE TEX 5062'!$B$4:$B$34,"&gt;="&amp;M663),'FIRE TEX 5062'!$B$4:$F$34,IF(L663="F-15",2,IF(L663="F-30",3,IF(L663="F-60",4,IF(L663="F-90",5,0)))),0),0)+IF(AND(O663="FIRE TEX 5062",OR(E663="IN",E663="C",E663="Z",E663="L"),J663=4),VLOOKUP(_xlfn.MINIFS('FIRE TEX 5062'!$G$4:$G$34,'FIRE TEX 5062'!$G$4:$G$34,"&gt;="&amp;M663),'FIRE TEX 5062'!$G$4:$K$34,IF(L663="F-15",2,IF(L663="F-30",3,IF(L663="F-60",4,IF(L663="F-90",5,0)))),0),0)+IF(AND(O663="FIRE TEX 5062",E663="CJ",J663=3),VLOOKUP(_xlfn.MINIFS('FIRE TEX 5062'!$L$4:$L$34,'FIRE TEX 5062'!$L$4:$L$34,"&gt;="&amp;M663),'FIRE TEX 5062'!$L$4:$P$34,IF(L663="F-15",2,IF(L663="F-30",3,IF(L663="F-60",4,IF(L663="F-90",5,0)))),0),0)+IF(AND(O663="FIRE TEX 5062",E663="CJ",J663=4),VLOOKUP(_xlfn.MINIFS('FIRE TEX 5062'!$Q$3:$Q$34,'FIRE TEX 5062'!$Q$3:$Q$34,"&gt;="&amp;M663),'FIRE TEX 5062'!$Q$3:$U$34,IF(L663="F-15",2,IF(L663="F-30",3,IF(L663="F-60",4,IF(L663="F-90",5,0)))),0),0)+IF(AND(O663="FIRE TEX 5090",OR(E663="IN",E663="C",E663="Z",E663="L"),J663=3),VLOOKUP(_xlfn.MINIFS('FIRE TEX 5090'!$B$5:$B$43,'FIRE TEX 5090'!$B$5:$B$43,"&gt;="&amp;M663),'FIRE TEX 5090'!$B$5:$H$43,IF(L663="F-15",2,IF(L663="F-30",3,IF(L663="F-60",4,IF(L663="F-90",5,IF(L663="F-120",6,IF(L663="F-150",7,0)))))),0),0)+IF(AND(O663="FIRE TEX 5090",OR(E663="IN",E663="C",E663="Z",E663="L"),J663=4),VLOOKUP(_xlfn.MINIFS('FIRE TEX 5090'!$J$5:$J$43,'FIRE TEX 5090'!$J$5:$J$43,"&gt;="&amp;M663),'FIRE TEX 5090'!$J$5:$P$43,IF(L663="F-15",2,IF(L663="F-30",3,IF(L663="F-60",4,IF(L663="F-90",5,IF(L663="F-120",6,IF(L663="F-150",7,0)))))),0),0)+IF(AND(O663="FIRE TEX 5090",E663="CJ",J663=3),VLOOKUP(_xlfn.MINIFS('FIRE TEX 5090'!$R$5:$R$30,'FIRE TEX 5090'!$R$5:$R$30,"&gt;="&amp;M663),'FIRE TEX 5090'!$R$5:$W$30,IF(L663="F-15",2,IF(L663="F-30",3,IF(L663="F-60",4,IF(L663="F-90",5,IF(L663="F-120",6,IF(L663="F-150",7,0)))))),0),0)+IF(AND(O663="FIRE TEX 5090",E663="CJ",J663=4),VLOOKUP(_xlfn.MINIFS('FIRE TEX 5090'!$Y$5:$Y$39,'FIRE TEX 5090'!$Y$5:$Y$39,"&gt;="&amp;M663),'FIRE TEX 5090'!$Y$5:$AD$39,IF(L663="F-15",2,IF(L663="F-30",3,IF(L663="F-60",4,IF(L663="F-90",5,IF(L663="F-120",6,IF(L663="F-150",7,0)))))),0),0)+IF(AND(O663="FIRE TEX 5120",OR(E663="IN",E663="C",E663="Z",E663="L"),J663=3),VLOOKUP(_xlfn.MINIFS('FIRE TEX 5120'!$B$5:$B$40,'FIRE TEX 5120'!$B$5:$B$40,"&gt;="&amp;M663),'FIRE TEX 5120'!$B$5:$G$40,IF(L663="F-15",2,IF(L663="F-30",3,IF(L663="F-60",4,IF(L663="F-90",5,IF(L663="F-120",6,0))))),0),0)+IF(AND(O663="FIRE TEX 5120",OR(E663="IN",E663="C",E663="Z",E663="L"),J663=4),VLOOKUP(_xlfn.MINIFS('FIRE TEX 5120'!$H$4:$H$40,'FIRE TEX 5120'!$H$4:$H$40,"&gt;="&amp;M663),'FIRE TEX 5120'!$H$4:$M$40,IF(L663="F-15",2,IF(L663="F-30",3,IF(L663="F-60",4,IF(L663="F-90",5,IF(L663="F-120",6,0))))),0),0)+IF(AND(O663="FIRE TEX 5120",E663="CJ"),VLOOKUP(_xlfn.MINIFS('FIRE TEX 5120'!$O$5:$O$40,'FIRE TEX 5120'!$O$5:$O$40,"&gt;="&amp;M663),'FIRE TEX 5120'!$O$5:$T$40,IF(L663="F-15",2,IF(L663="F-30",3,IF(L663="F-60",4,IF(L663="F-90",5,IF(L663="F-120",6,0))))),0),0)</f>
        <v>0</v>
      </c>
      <c r="Q663" s="46">
        <f t="shared" si="69"/>
        <v>0</v>
      </c>
      <c r="R663" s="46">
        <f t="shared" si="70"/>
        <v>0</v>
      </c>
      <c r="S663" s="46" t="e">
        <f t="shared" si="71"/>
        <v>#VALUE!</v>
      </c>
      <c r="T663" s="677">
        <f t="shared" si="72"/>
        <v>0</v>
      </c>
      <c r="U663" s="80">
        <f>(IF(O663="Stofire",(S663*#REF!),0))+(IF(O663="Fire Control",(S663*$U$2),0))+(IF(O663="Fire Tex",(S663*$U$3),0))+(IF(O663="WB7",(S663*#REF!),0)+(IF(O663="FX 2003",(S663*$U$5),0)))</f>
        <v>0</v>
      </c>
      <c r="V663" s="651">
        <f t="shared" si="73"/>
        <v>0</v>
      </c>
    </row>
    <row r="664" spans="4:22" x14ac:dyDescent="0.25">
      <c r="D664" s="118">
        <f>+CUBICACION!D663</f>
        <v>0</v>
      </c>
      <c r="E664" s="118">
        <f>+CUBICACION!F663</f>
        <v>0</v>
      </c>
      <c r="F664" s="118">
        <f>+CUBICACION!E663</f>
        <v>0</v>
      </c>
      <c r="G664" s="118">
        <v>12</v>
      </c>
      <c r="H664" s="118">
        <v>2</v>
      </c>
      <c r="I664" s="820">
        <v>26385</v>
      </c>
      <c r="J664" s="118">
        <f>+CUBICACION!J663</f>
        <v>0</v>
      </c>
      <c r="K664" s="118">
        <v>3443</v>
      </c>
      <c r="L664" s="118">
        <f>+CUBICACION!L663</f>
        <v>0</v>
      </c>
      <c r="M664" s="64">
        <f>+CUBICACION!M663</f>
        <v>0</v>
      </c>
      <c r="N664" s="824" t="str">
        <f>+CUBICACION!N663</f>
        <v/>
      </c>
      <c r="O664" s="675">
        <f>+CUBICACION!O663</f>
        <v>0</v>
      </c>
      <c r="P664" s="15">
        <f>IF(O664="Fire Control",VLOOKUP(_xlfn.MINIFS('FIRE CONTROL'!$C$4:$C$37,'FIRE CONTROL'!$C$4:$C$37,"&gt;="&amp;M664),'FIRE CONTROL'!$C$4:$G$37,IF(L664="F-15",2,IF(L664="F-30",3,IF(L664="F-60",4,IF(L664="F-90",5,0)))),0),0)+IF(AND(O664="FIRE TEX 5062",OR(E664="IN",E664="C",E664="Z",E664="L"),J664=3),VLOOKUP(_xlfn.MINIFS('FIRE TEX 5062'!$B$4:$B$34,'FIRE TEX 5062'!$B$4:$B$34,"&gt;="&amp;M664),'FIRE TEX 5062'!$B$4:$F$34,IF(L664="F-15",2,IF(L664="F-30",3,IF(L664="F-60",4,IF(L664="F-90",5,0)))),0),0)+IF(AND(O664="FIRE TEX 5062",OR(E664="IN",E664="C",E664="Z",E664="L"),J664=4),VLOOKUP(_xlfn.MINIFS('FIRE TEX 5062'!$G$4:$G$34,'FIRE TEX 5062'!$G$4:$G$34,"&gt;="&amp;M664),'FIRE TEX 5062'!$G$4:$K$34,IF(L664="F-15",2,IF(L664="F-30",3,IF(L664="F-60",4,IF(L664="F-90",5,0)))),0),0)+IF(AND(O664="FIRE TEX 5062",E664="CJ",J664=3),VLOOKUP(_xlfn.MINIFS('FIRE TEX 5062'!$L$4:$L$34,'FIRE TEX 5062'!$L$4:$L$34,"&gt;="&amp;M664),'FIRE TEX 5062'!$L$4:$P$34,IF(L664="F-15",2,IF(L664="F-30",3,IF(L664="F-60",4,IF(L664="F-90",5,0)))),0),0)+IF(AND(O664="FIRE TEX 5062",E664="CJ",J664=4),VLOOKUP(_xlfn.MINIFS('FIRE TEX 5062'!$Q$3:$Q$34,'FIRE TEX 5062'!$Q$3:$Q$34,"&gt;="&amp;M664),'FIRE TEX 5062'!$Q$3:$U$34,IF(L664="F-15",2,IF(L664="F-30",3,IF(L664="F-60",4,IF(L664="F-90",5,0)))),0),0)+IF(AND(O664="FIRE TEX 5090",OR(E664="IN",E664="C",E664="Z",E664="L"),J664=3),VLOOKUP(_xlfn.MINIFS('FIRE TEX 5090'!$B$5:$B$43,'FIRE TEX 5090'!$B$5:$B$43,"&gt;="&amp;M664),'FIRE TEX 5090'!$B$5:$H$43,IF(L664="F-15",2,IF(L664="F-30",3,IF(L664="F-60",4,IF(L664="F-90",5,IF(L664="F-120",6,IF(L664="F-150",7,0)))))),0),0)+IF(AND(O664="FIRE TEX 5090",OR(E664="IN",E664="C",E664="Z",E664="L"),J664=4),VLOOKUP(_xlfn.MINIFS('FIRE TEX 5090'!$J$5:$J$43,'FIRE TEX 5090'!$J$5:$J$43,"&gt;="&amp;M664),'FIRE TEX 5090'!$J$5:$P$43,IF(L664="F-15",2,IF(L664="F-30",3,IF(L664="F-60",4,IF(L664="F-90",5,IF(L664="F-120",6,IF(L664="F-150",7,0)))))),0),0)+IF(AND(O664="FIRE TEX 5090",E664="CJ",J664=3),VLOOKUP(_xlfn.MINIFS('FIRE TEX 5090'!$R$5:$R$30,'FIRE TEX 5090'!$R$5:$R$30,"&gt;="&amp;M664),'FIRE TEX 5090'!$R$5:$W$30,IF(L664="F-15",2,IF(L664="F-30",3,IF(L664="F-60",4,IF(L664="F-90",5,IF(L664="F-120",6,IF(L664="F-150",7,0)))))),0),0)+IF(AND(O664="FIRE TEX 5090",E664="CJ",J664=4),VLOOKUP(_xlfn.MINIFS('FIRE TEX 5090'!$Y$5:$Y$39,'FIRE TEX 5090'!$Y$5:$Y$39,"&gt;="&amp;M664),'FIRE TEX 5090'!$Y$5:$AD$39,IF(L664="F-15",2,IF(L664="F-30",3,IF(L664="F-60",4,IF(L664="F-90",5,IF(L664="F-120",6,IF(L664="F-150",7,0)))))),0),0)+IF(AND(O664="FIRE TEX 5120",OR(E664="IN",E664="C",E664="Z",E664="L"),J664=3),VLOOKUP(_xlfn.MINIFS('FIRE TEX 5120'!$B$5:$B$40,'FIRE TEX 5120'!$B$5:$B$40,"&gt;="&amp;M664),'FIRE TEX 5120'!$B$5:$G$40,IF(L664="F-15",2,IF(L664="F-30",3,IF(L664="F-60",4,IF(L664="F-90",5,IF(L664="F-120",6,0))))),0),0)+IF(AND(O664="FIRE TEX 5120",OR(E664="IN",E664="C",E664="Z",E664="L"),J664=4),VLOOKUP(_xlfn.MINIFS('FIRE TEX 5120'!$H$4:$H$40,'FIRE TEX 5120'!$H$4:$H$40,"&gt;="&amp;M664),'FIRE TEX 5120'!$H$4:$M$40,IF(L664="F-15",2,IF(L664="F-30",3,IF(L664="F-60",4,IF(L664="F-90",5,IF(L664="F-120",6,0))))),0),0)+IF(AND(O664="FIRE TEX 5120",E664="CJ"),VLOOKUP(_xlfn.MINIFS('FIRE TEX 5120'!$O$5:$O$40,'FIRE TEX 5120'!$O$5:$O$40,"&gt;="&amp;M664),'FIRE TEX 5120'!$O$5:$T$40,IF(L664="F-15",2,IF(L664="F-30",3,IF(L664="F-60",4,IF(L664="F-90",5,IF(L664="F-120",6,0))))),0),0)</f>
        <v>0</v>
      </c>
      <c r="Q664" s="46">
        <f t="shared" si="69"/>
        <v>0</v>
      </c>
      <c r="R664" s="46">
        <f t="shared" si="70"/>
        <v>0</v>
      </c>
      <c r="S664" s="46" t="e">
        <f t="shared" si="71"/>
        <v>#VALUE!</v>
      </c>
      <c r="T664" s="677">
        <f t="shared" si="72"/>
        <v>0</v>
      </c>
      <c r="U664" s="80">
        <f>(IF(O664="Stofire",(S664*#REF!),0))+(IF(O664="Fire Control",(S664*$U$2),0))+(IF(O664="Fire Tex",(S664*$U$3),0))+(IF(O664="WB7",(S664*#REF!),0)+(IF(O664="FX 2003",(S664*$U$5),0)))</f>
        <v>0</v>
      </c>
      <c r="V664" s="651">
        <f t="shared" si="73"/>
        <v>0</v>
      </c>
    </row>
    <row r="665" spans="4:22" x14ac:dyDescent="0.25">
      <c r="D665" s="118">
        <f>+CUBICACION!D664</f>
        <v>0</v>
      </c>
      <c r="E665" s="118">
        <f>+CUBICACION!F664</f>
        <v>0</v>
      </c>
      <c r="F665" s="118">
        <f>+CUBICACION!E664</f>
        <v>0</v>
      </c>
      <c r="G665" s="118">
        <v>12</v>
      </c>
      <c r="H665" s="118">
        <v>2</v>
      </c>
      <c r="I665" s="820">
        <v>26385</v>
      </c>
      <c r="J665" s="118">
        <f>+CUBICACION!J664</f>
        <v>0</v>
      </c>
      <c r="K665" s="118">
        <v>3444</v>
      </c>
      <c r="L665" s="118">
        <f>+CUBICACION!L664</f>
        <v>0</v>
      </c>
      <c r="M665" s="64">
        <f>+CUBICACION!M664</f>
        <v>0</v>
      </c>
      <c r="N665" s="824" t="str">
        <f>+CUBICACION!N664</f>
        <v/>
      </c>
      <c r="O665" s="675">
        <f>+CUBICACION!O664</f>
        <v>0</v>
      </c>
      <c r="P665" s="15">
        <f>IF(O665="Fire Control",VLOOKUP(_xlfn.MINIFS('FIRE CONTROL'!$C$4:$C$37,'FIRE CONTROL'!$C$4:$C$37,"&gt;="&amp;M665),'FIRE CONTROL'!$C$4:$G$37,IF(L665="F-15",2,IF(L665="F-30",3,IF(L665="F-60",4,IF(L665="F-90",5,0)))),0),0)+IF(AND(O665="FIRE TEX 5062",OR(E665="IN",E665="C",E665="Z",E665="L"),J665=3),VLOOKUP(_xlfn.MINIFS('FIRE TEX 5062'!$B$4:$B$34,'FIRE TEX 5062'!$B$4:$B$34,"&gt;="&amp;M665),'FIRE TEX 5062'!$B$4:$F$34,IF(L665="F-15",2,IF(L665="F-30",3,IF(L665="F-60",4,IF(L665="F-90",5,0)))),0),0)+IF(AND(O665="FIRE TEX 5062",OR(E665="IN",E665="C",E665="Z",E665="L"),J665=4),VLOOKUP(_xlfn.MINIFS('FIRE TEX 5062'!$G$4:$G$34,'FIRE TEX 5062'!$G$4:$G$34,"&gt;="&amp;M665),'FIRE TEX 5062'!$G$4:$K$34,IF(L665="F-15",2,IF(L665="F-30",3,IF(L665="F-60",4,IF(L665="F-90",5,0)))),0),0)+IF(AND(O665="FIRE TEX 5062",E665="CJ",J665=3),VLOOKUP(_xlfn.MINIFS('FIRE TEX 5062'!$L$4:$L$34,'FIRE TEX 5062'!$L$4:$L$34,"&gt;="&amp;M665),'FIRE TEX 5062'!$L$4:$P$34,IF(L665="F-15",2,IF(L665="F-30",3,IF(L665="F-60",4,IF(L665="F-90",5,0)))),0),0)+IF(AND(O665="FIRE TEX 5062",E665="CJ",J665=4),VLOOKUP(_xlfn.MINIFS('FIRE TEX 5062'!$Q$3:$Q$34,'FIRE TEX 5062'!$Q$3:$Q$34,"&gt;="&amp;M665),'FIRE TEX 5062'!$Q$3:$U$34,IF(L665="F-15",2,IF(L665="F-30",3,IF(L665="F-60",4,IF(L665="F-90",5,0)))),0),0)+IF(AND(O665="FIRE TEX 5090",OR(E665="IN",E665="C",E665="Z",E665="L"),J665=3),VLOOKUP(_xlfn.MINIFS('FIRE TEX 5090'!$B$5:$B$43,'FIRE TEX 5090'!$B$5:$B$43,"&gt;="&amp;M665),'FIRE TEX 5090'!$B$5:$H$43,IF(L665="F-15",2,IF(L665="F-30",3,IF(L665="F-60",4,IF(L665="F-90",5,IF(L665="F-120",6,IF(L665="F-150",7,0)))))),0),0)+IF(AND(O665="FIRE TEX 5090",OR(E665="IN",E665="C",E665="Z",E665="L"),J665=4),VLOOKUP(_xlfn.MINIFS('FIRE TEX 5090'!$J$5:$J$43,'FIRE TEX 5090'!$J$5:$J$43,"&gt;="&amp;M665),'FIRE TEX 5090'!$J$5:$P$43,IF(L665="F-15",2,IF(L665="F-30",3,IF(L665="F-60",4,IF(L665="F-90",5,IF(L665="F-120",6,IF(L665="F-150",7,0)))))),0),0)+IF(AND(O665="FIRE TEX 5090",E665="CJ",J665=3),VLOOKUP(_xlfn.MINIFS('FIRE TEX 5090'!$R$5:$R$30,'FIRE TEX 5090'!$R$5:$R$30,"&gt;="&amp;M665),'FIRE TEX 5090'!$R$5:$W$30,IF(L665="F-15",2,IF(L665="F-30",3,IF(L665="F-60",4,IF(L665="F-90",5,IF(L665="F-120",6,IF(L665="F-150",7,0)))))),0),0)+IF(AND(O665="FIRE TEX 5090",E665="CJ",J665=4),VLOOKUP(_xlfn.MINIFS('FIRE TEX 5090'!$Y$5:$Y$39,'FIRE TEX 5090'!$Y$5:$Y$39,"&gt;="&amp;M665),'FIRE TEX 5090'!$Y$5:$AD$39,IF(L665="F-15",2,IF(L665="F-30",3,IF(L665="F-60",4,IF(L665="F-90",5,IF(L665="F-120",6,IF(L665="F-150",7,0)))))),0),0)+IF(AND(O665="FIRE TEX 5120",OR(E665="IN",E665="C",E665="Z",E665="L"),J665=3),VLOOKUP(_xlfn.MINIFS('FIRE TEX 5120'!$B$5:$B$40,'FIRE TEX 5120'!$B$5:$B$40,"&gt;="&amp;M665),'FIRE TEX 5120'!$B$5:$G$40,IF(L665="F-15",2,IF(L665="F-30",3,IF(L665="F-60",4,IF(L665="F-90",5,IF(L665="F-120",6,0))))),0),0)+IF(AND(O665="FIRE TEX 5120",OR(E665="IN",E665="C",E665="Z",E665="L"),J665=4),VLOOKUP(_xlfn.MINIFS('FIRE TEX 5120'!$H$4:$H$40,'FIRE TEX 5120'!$H$4:$H$40,"&gt;="&amp;M665),'FIRE TEX 5120'!$H$4:$M$40,IF(L665="F-15",2,IF(L665="F-30",3,IF(L665="F-60",4,IF(L665="F-90",5,IF(L665="F-120",6,0))))),0),0)+IF(AND(O665="FIRE TEX 5120",E665="CJ"),VLOOKUP(_xlfn.MINIFS('FIRE TEX 5120'!$O$5:$O$40,'FIRE TEX 5120'!$O$5:$O$40,"&gt;="&amp;M665),'FIRE TEX 5120'!$O$5:$T$40,IF(L665="F-15",2,IF(L665="F-30",3,IF(L665="F-60",4,IF(L665="F-90",5,IF(L665="F-120",6,0))))),0),0)</f>
        <v>0</v>
      </c>
      <c r="Q665" s="46">
        <f t="shared" si="69"/>
        <v>0</v>
      </c>
      <c r="R665" s="46">
        <f t="shared" si="70"/>
        <v>0</v>
      </c>
      <c r="S665" s="46" t="e">
        <f t="shared" si="71"/>
        <v>#VALUE!</v>
      </c>
      <c r="T665" s="677">
        <f t="shared" si="72"/>
        <v>0</v>
      </c>
      <c r="U665" s="80">
        <f>(IF(O665="Stofire",(S665*#REF!),0))+(IF(O665="Fire Control",(S665*$U$2),0))+(IF(O665="Fire Tex",(S665*$U$3),0))+(IF(O665="WB7",(S665*#REF!),0)+(IF(O665="FX 2003",(S665*$U$5),0)))</f>
        <v>0</v>
      </c>
      <c r="V665" s="651">
        <f t="shared" si="73"/>
        <v>0</v>
      </c>
    </row>
    <row r="666" spans="4:22" x14ac:dyDescent="0.25">
      <c r="D666" s="118">
        <f>+CUBICACION!D665</f>
        <v>0</v>
      </c>
      <c r="E666" s="118">
        <f>+CUBICACION!F665</f>
        <v>0</v>
      </c>
      <c r="F666" s="118">
        <f>+CUBICACION!E665</f>
        <v>0</v>
      </c>
      <c r="G666" s="118">
        <v>12</v>
      </c>
      <c r="H666" s="118">
        <v>2</v>
      </c>
      <c r="I666" s="820">
        <v>26385</v>
      </c>
      <c r="J666" s="118">
        <f>+CUBICACION!J665</f>
        <v>0</v>
      </c>
      <c r="K666" s="118">
        <v>3445</v>
      </c>
      <c r="L666" s="118">
        <f>+CUBICACION!L665</f>
        <v>0</v>
      </c>
      <c r="M666" s="64">
        <f>+CUBICACION!M665</f>
        <v>0</v>
      </c>
      <c r="N666" s="824" t="str">
        <f>+CUBICACION!N665</f>
        <v/>
      </c>
      <c r="O666" s="675">
        <f>+CUBICACION!O665</f>
        <v>0</v>
      </c>
      <c r="P666" s="15">
        <f>IF(O666="Fire Control",VLOOKUP(_xlfn.MINIFS('FIRE CONTROL'!$C$4:$C$37,'FIRE CONTROL'!$C$4:$C$37,"&gt;="&amp;M666),'FIRE CONTROL'!$C$4:$G$37,IF(L666="F-15",2,IF(L666="F-30",3,IF(L666="F-60",4,IF(L666="F-90",5,0)))),0),0)+IF(AND(O666="FIRE TEX 5062",OR(E666="IN",E666="C",E666="Z",E666="L"),J666=3),VLOOKUP(_xlfn.MINIFS('FIRE TEX 5062'!$B$4:$B$34,'FIRE TEX 5062'!$B$4:$B$34,"&gt;="&amp;M666),'FIRE TEX 5062'!$B$4:$F$34,IF(L666="F-15",2,IF(L666="F-30",3,IF(L666="F-60",4,IF(L666="F-90",5,0)))),0),0)+IF(AND(O666="FIRE TEX 5062",OR(E666="IN",E666="C",E666="Z",E666="L"),J666=4),VLOOKUP(_xlfn.MINIFS('FIRE TEX 5062'!$G$4:$G$34,'FIRE TEX 5062'!$G$4:$G$34,"&gt;="&amp;M666),'FIRE TEX 5062'!$G$4:$K$34,IF(L666="F-15",2,IF(L666="F-30",3,IF(L666="F-60",4,IF(L666="F-90",5,0)))),0),0)+IF(AND(O666="FIRE TEX 5062",E666="CJ",J666=3),VLOOKUP(_xlfn.MINIFS('FIRE TEX 5062'!$L$4:$L$34,'FIRE TEX 5062'!$L$4:$L$34,"&gt;="&amp;M666),'FIRE TEX 5062'!$L$4:$P$34,IF(L666="F-15",2,IF(L666="F-30",3,IF(L666="F-60",4,IF(L666="F-90",5,0)))),0),0)+IF(AND(O666="FIRE TEX 5062",E666="CJ",J666=4),VLOOKUP(_xlfn.MINIFS('FIRE TEX 5062'!$Q$3:$Q$34,'FIRE TEX 5062'!$Q$3:$Q$34,"&gt;="&amp;M666),'FIRE TEX 5062'!$Q$3:$U$34,IF(L666="F-15",2,IF(L666="F-30",3,IF(L666="F-60",4,IF(L666="F-90",5,0)))),0),0)+IF(AND(O666="FIRE TEX 5090",OR(E666="IN",E666="C",E666="Z",E666="L"),J666=3),VLOOKUP(_xlfn.MINIFS('FIRE TEX 5090'!$B$5:$B$43,'FIRE TEX 5090'!$B$5:$B$43,"&gt;="&amp;M666),'FIRE TEX 5090'!$B$5:$H$43,IF(L666="F-15",2,IF(L666="F-30",3,IF(L666="F-60",4,IF(L666="F-90",5,IF(L666="F-120",6,IF(L666="F-150",7,0)))))),0),0)+IF(AND(O666="FIRE TEX 5090",OR(E666="IN",E666="C",E666="Z",E666="L"),J666=4),VLOOKUP(_xlfn.MINIFS('FIRE TEX 5090'!$J$5:$J$43,'FIRE TEX 5090'!$J$5:$J$43,"&gt;="&amp;M666),'FIRE TEX 5090'!$J$5:$P$43,IF(L666="F-15",2,IF(L666="F-30",3,IF(L666="F-60",4,IF(L666="F-90",5,IF(L666="F-120",6,IF(L666="F-150",7,0)))))),0),0)+IF(AND(O666="FIRE TEX 5090",E666="CJ",J666=3),VLOOKUP(_xlfn.MINIFS('FIRE TEX 5090'!$R$5:$R$30,'FIRE TEX 5090'!$R$5:$R$30,"&gt;="&amp;M666),'FIRE TEX 5090'!$R$5:$W$30,IF(L666="F-15",2,IF(L666="F-30",3,IF(L666="F-60",4,IF(L666="F-90",5,IF(L666="F-120",6,IF(L666="F-150",7,0)))))),0),0)+IF(AND(O666="FIRE TEX 5090",E666="CJ",J666=4),VLOOKUP(_xlfn.MINIFS('FIRE TEX 5090'!$Y$5:$Y$39,'FIRE TEX 5090'!$Y$5:$Y$39,"&gt;="&amp;M666),'FIRE TEX 5090'!$Y$5:$AD$39,IF(L666="F-15",2,IF(L666="F-30",3,IF(L666="F-60",4,IF(L666="F-90",5,IF(L666="F-120",6,IF(L666="F-150",7,0)))))),0),0)+IF(AND(O666="FIRE TEX 5120",OR(E666="IN",E666="C",E666="Z",E666="L"),J666=3),VLOOKUP(_xlfn.MINIFS('FIRE TEX 5120'!$B$5:$B$40,'FIRE TEX 5120'!$B$5:$B$40,"&gt;="&amp;M666),'FIRE TEX 5120'!$B$5:$G$40,IF(L666="F-15",2,IF(L666="F-30",3,IF(L666="F-60",4,IF(L666="F-90",5,IF(L666="F-120",6,0))))),0),0)+IF(AND(O666="FIRE TEX 5120",OR(E666="IN",E666="C",E666="Z",E666="L"),J666=4),VLOOKUP(_xlfn.MINIFS('FIRE TEX 5120'!$H$4:$H$40,'FIRE TEX 5120'!$H$4:$H$40,"&gt;="&amp;M666),'FIRE TEX 5120'!$H$4:$M$40,IF(L666="F-15",2,IF(L666="F-30",3,IF(L666="F-60",4,IF(L666="F-90",5,IF(L666="F-120",6,0))))),0),0)+IF(AND(O666="FIRE TEX 5120",E666="CJ"),VLOOKUP(_xlfn.MINIFS('FIRE TEX 5120'!$O$5:$O$40,'FIRE TEX 5120'!$O$5:$O$40,"&gt;="&amp;M666),'FIRE TEX 5120'!$O$5:$T$40,IF(L666="F-15",2,IF(L666="F-30",3,IF(L666="F-60",4,IF(L666="F-90",5,IF(L666="F-120",6,0))))),0),0)</f>
        <v>0</v>
      </c>
      <c r="Q666" s="46">
        <f t="shared" si="69"/>
        <v>0</v>
      </c>
      <c r="R666" s="46">
        <f t="shared" si="70"/>
        <v>0</v>
      </c>
      <c r="S666" s="46" t="e">
        <f t="shared" si="71"/>
        <v>#VALUE!</v>
      </c>
      <c r="T666" s="677">
        <f t="shared" si="72"/>
        <v>0</v>
      </c>
      <c r="U666" s="80">
        <f>(IF(O666="Stofire",(S666*#REF!),0))+(IF(O666="Fire Control",(S666*$U$2),0))+(IF(O666="Fire Tex",(S666*$U$3),0))+(IF(O666="WB7",(S666*#REF!),0)+(IF(O666="FX 2003",(S666*$U$5),0)))</f>
        <v>0</v>
      </c>
      <c r="V666" s="651">
        <f t="shared" si="73"/>
        <v>0</v>
      </c>
    </row>
    <row r="667" spans="4:22" x14ac:dyDescent="0.25">
      <c r="D667" s="118">
        <f>+CUBICACION!D666</f>
        <v>0</v>
      </c>
      <c r="E667" s="118">
        <f>+CUBICACION!F666</f>
        <v>0</v>
      </c>
      <c r="F667" s="118">
        <f>+CUBICACION!E666</f>
        <v>0</v>
      </c>
      <c r="G667" s="118">
        <v>12</v>
      </c>
      <c r="H667" s="118">
        <v>2</v>
      </c>
      <c r="I667" s="820">
        <v>26385</v>
      </c>
      <c r="J667" s="118">
        <f>+CUBICACION!J666</f>
        <v>0</v>
      </c>
      <c r="K667" s="118">
        <v>3446</v>
      </c>
      <c r="L667" s="118">
        <f>+CUBICACION!L666</f>
        <v>0</v>
      </c>
      <c r="M667" s="64">
        <f>+CUBICACION!M666</f>
        <v>0</v>
      </c>
      <c r="N667" s="824" t="str">
        <f>+CUBICACION!N666</f>
        <v/>
      </c>
      <c r="O667" s="675">
        <f>+CUBICACION!O666</f>
        <v>0</v>
      </c>
      <c r="P667" s="15">
        <f>IF(O667="Fire Control",VLOOKUP(_xlfn.MINIFS('FIRE CONTROL'!$C$4:$C$37,'FIRE CONTROL'!$C$4:$C$37,"&gt;="&amp;M667),'FIRE CONTROL'!$C$4:$G$37,IF(L667="F-15",2,IF(L667="F-30",3,IF(L667="F-60",4,IF(L667="F-90",5,0)))),0),0)+IF(AND(O667="FIRE TEX 5062",OR(E667="IN",E667="C",E667="Z",E667="L"),J667=3),VLOOKUP(_xlfn.MINIFS('FIRE TEX 5062'!$B$4:$B$34,'FIRE TEX 5062'!$B$4:$B$34,"&gt;="&amp;M667),'FIRE TEX 5062'!$B$4:$F$34,IF(L667="F-15",2,IF(L667="F-30",3,IF(L667="F-60",4,IF(L667="F-90",5,0)))),0),0)+IF(AND(O667="FIRE TEX 5062",OR(E667="IN",E667="C",E667="Z",E667="L"),J667=4),VLOOKUP(_xlfn.MINIFS('FIRE TEX 5062'!$G$4:$G$34,'FIRE TEX 5062'!$G$4:$G$34,"&gt;="&amp;M667),'FIRE TEX 5062'!$G$4:$K$34,IF(L667="F-15",2,IF(L667="F-30",3,IF(L667="F-60",4,IF(L667="F-90",5,0)))),0),0)+IF(AND(O667="FIRE TEX 5062",E667="CJ",J667=3),VLOOKUP(_xlfn.MINIFS('FIRE TEX 5062'!$L$4:$L$34,'FIRE TEX 5062'!$L$4:$L$34,"&gt;="&amp;M667),'FIRE TEX 5062'!$L$4:$P$34,IF(L667="F-15",2,IF(L667="F-30",3,IF(L667="F-60",4,IF(L667="F-90",5,0)))),0),0)+IF(AND(O667="FIRE TEX 5062",E667="CJ",J667=4),VLOOKUP(_xlfn.MINIFS('FIRE TEX 5062'!$Q$3:$Q$34,'FIRE TEX 5062'!$Q$3:$Q$34,"&gt;="&amp;M667),'FIRE TEX 5062'!$Q$3:$U$34,IF(L667="F-15",2,IF(L667="F-30",3,IF(L667="F-60",4,IF(L667="F-90",5,0)))),0),0)+IF(AND(O667="FIRE TEX 5090",OR(E667="IN",E667="C",E667="Z",E667="L"),J667=3),VLOOKUP(_xlfn.MINIFS('FIRE TEX 5090'!$B$5:$B$43,'FIRE TEX 5090'!$B$5:$B$43,"&gt;="&amp;M667),'FIRE TEX 5090'!$B$5:$H$43,IF(L667="F-15",2,IF(L667="F-30",3,IF(L667="F-60",4,IF(L667="F-90",5,IF(L667="F-120",6,IF(L667="F-150",7,0)))))),0),0)+IF(AND(O667="FIRE TEX 5090",OR(E667="IN",E667="C",E667="Z",E667="L"),J667=4),VLOOKUP(_xlfn.MINIFS('FIRE TEX 5090'!$J$5:$J$43,'FIRE TEX 5090'!$J$5:$J$43,"&gt;="&amp;M667),'FIRE TEX 5090'!$J$5:$P$43,IF(L667="F-15",2,IF(L667="F-30",3,IF(L667="F-60",4,IF(L667="F-90",5,IF(L667="F-120",6,IF(L667="F-150",7,0)))))),0),0)+IF(AND(O667="FIRE TEX 5090",E667="CJ",J667=3),VLOOKUP(_xlfn.MINIFS('FIRE TEX 5090'!$R$5:$R$30,'FIRE TEX 5090'!$R$5:$R$30,"&gt;="&amp;M667),'FIRE TEX 5090'!$R$5:$W$30,IF(L667="F-15",2,IF(L667="F-30",3,IF(L667="F-60",4,IF(L667="F-90",5,IF(L667="F-120",6,IF(L667="F-150",7,0)))))),0),0)+IF(AND(O667="FIRE TEX 5090",E667="CJ",J667=4),VLOOKUP(_xlfn.MINIFS('FIRE TEX 5090'!$Y$5:$Y$39,'FIRE TEX 5090'!$Y$5:$Y$39,"&gt;="&amp;M667),'FIRE TEX 5090'!$Y$5:$AD$39,IF(L667="F-15",2,IF(L667="F-30",3,IF(L667="F-60",4,IF(L667="F-90",5,IF(L667="F-120",6,IF(L667="F-150",7,0)))))),0),0)+IF(AND(O667="FIRE TEX 5120",OR(E667="IN",E667="C",E667="Z",E667="L"),J667=3),VLOOKUP(_xlfn.MINIFS('FIRE TEX 5120'!$B$5:$B$40,'FIRE TEX 5120'!$B$5:$B$40,"&gt;="&amp;M667),'FIRE TEX 5120'!$B$5:$G$40,IF(L667="F-15",2,IF(L667="F-30",3,IF(L667="F-60",4,IF(L667="F-90",5,IF(L667="F-120",6,0))))),0),0)+IF(AND(O667="FIRE TEX 5120",OR(E667="IN",E667="C",E667="Z",E667="L"),J667=4),VLOOKUP(_xlfn.MINIFS('FIRE TEX 5120'!$H$4:$H$40,'FIRE TEX 5120'!$H$4:$H$40,"&gt;="&amp;M667),'FIRE TEX 5120'!$H$4:$M$40,IF(L667="F-15",2,IF(L667="F-30",3,IF(L667="F-60",4,IF(L667="F-90",5,IF(L667="F-120",6,0))))),0),0)+IF(AND(O667="FIRE TEX 5120",E667="CJ"),VLOOKUP(_xlfn.MINIFS('FIRE TEX 5120'!$O$5:$O$40,'FIRE TEX 5120'!$O$5:$O$40,"&gt;="&amp;M667),'FIRE TEX 5120'!$O$5:$T$40,IF(L667="F-15",2,IF(L667="F-30",3,IF(L667="F-60",4,IF(L667="F-90",5,IF(L667="F-120",6,0))))),0),0)</f>
        <v>0</v>
      </c>
      <c r="Q667" s="46">
        <f t="shared" si="69"/>
        <v>0</v>
      </c>
      <c r="R667" s="46">
        <f t="shared" si="70"/>
        <v>0</v>
      </c>
      <c r="S667" s="46" t="e">
        <f t="shared" si="71"/>
        <v>#VALUE!</v>
      </c>
      <c r="T667" s="677">
        <f t="shared" si="72"/>
        <v>0</v>
      </c>
      <c r="U667" s="80">
        <f>(IF(O667="Stofire",(S667*#REF!),0))+(IF(O667="Fire Control",(S667*$U$2),0))+(IF(O667="Fire Tex",(S667*$U$3),0))+(IF(O667="WB7",(S667*#REF!),0)+(IF(O667="FX 2003",(S667*$U$5),0)))</f>
        <v>0</v>
      </c>
      <c r="V667" s="651">
        <f t="shared" si="73"/>
        <v>0</v>
      </c>
    </row>
    <row r="668" spans="4:22" x14ac:dyDescent="0.25">
      <c r="D668" s="118">
        <f>+CUBICACION!D667</f>
        <v>0</v>
      </c>
      <c r="E668" s="118">
        <f>+CUBICACION!F667</f>
        <v>0</v>
      </c>
      <c r="F668" s="118">
        <f>+CUBICACION!E667</f>
        <v>0</v>
      </c>
      <c r="G668" s="118">
        <v>12</v>
      </c>
      <c r="H668" s="118">
        <v>2</v>
      </c>
      <c r="I668" s="820">
        <v>26385</v>
      </c>
      <c r="J668" s="118">
        <f>+CUBICACION!J667</f>
        <v>0</v>
      </c>
      <c r="K668" s="118">
        <v>3447</v>
      </c>
      <c r="L668" s="118">
        <f>+CUBICACION!L667</f>
        <v>0</v>
      </c>
      <c r="M668" s="64">
        <f>+CUBICACION!M667</f>
        <v>0</v>
      </c>
      <c r="N668" s="824" t="str">
        <f>+CUBICACION!N667</f>
        <v/>
      </c>
      <c r="O668" s="675">
        <f>+CUBICACION!O667</f>
        <v>0</v>
      </c>
      <c r="P668" s="15">
        <f>IF(O668="Fire Control",VLOOKUP(_xlfn.MINIFS('FIRE CONTROL'!$C$4:$C$37,'FIRE CONTROL'!$C$4:$C$37,"&gt;="&amp;M668),'FIRE CONTROL'!$C$4:$G$37,IF(L668="F-15",2,IF(L668="F-30",3,IF(L668="F-60",4,IF(L668="F-90",5,0)))),0),0)+IF(AND(O668="FIRE TEX 5062",OR(E668="IN",E668="C",E668="Z",E668="L"),J668=3),VLOOKUP(_xlfn.MINIFS('FIRE TEX 5062'!$B$4:$B$34,'FIRE TEX 5062'!$B$4:$B$34,"&gt;="&amp;M668),'FIRE TEX 5062'!$B$4:$F$34,IF(L668="F-15",2,IF(L668="F-30",3,IF(L668="F-60",4,IF(L668="F-90",5,0)))),0),0)+IF(AND(O668="FIRE TEX 5062",OR(E668="IN",E668="C",E668="Z",E668="L"),J668=4),VLOOKUP(_xlfn.MINIFS('FIRE TEX 5062'!$G$4:$G$34,'FIRE TEX 5062'!$G$4:$G$34,"&gt;="&amp;M668),'FIRE TEX 5062'!$G$4:$K$34,IF(L668="F-15",2,IF(L668="F-30",3,IF(L668="F-60",4,IF(L668="F-90",5,0)))),0),0)+IF(AND(O668="FIRE TEX 5062",E668="CJ",J668=3),VLOOKUP(_xlfn.MINIFS('FIRE TEX 5062'!$L$4:$L$34,'FIRE TEX 5062'!$L$4:$L$34,"&gt;="&amp;M668),'FIRE TEX 5062'!$L$4:$P$34,IF(L668="F-15",2,IF(L668="F-30",3,IF(L668="F-60",4,IF(L668="F-90",5,0)))),0),0)+IF(AND(O668="FIRE TEX 5062",E668="CJ",J668=4),VLOOKUP(_xlfn.MINIFS('FIRE TEX 5062'!$Q$3:$Q$34,'FIRE TEX 5062'!$Q$3:$Q$34,"&gt;="&amp;M668),'FIRE TEX 5062'!$Q$3:$U$34,IF(L668="F-15",2,IF(L668="F-30",3,IF(L668="F-60",4,IF(L668="F-90",5,0)))),0),0)+IF(AND(O668="FIRE TEX 5090",OR(E668="IN",E668="C",E668="Z",E668="L"),J668=3),VLOOKUP(_xlfn.MINIFS('FIRE TEX 5090'!$B$5:$B$43,'FIRE TEX 5090'!$B$5:$B$43,"&gt;="&amp;M668),'FIRE TEX 5090'!$B$5:$H$43,IF(L668="F-15",2,IF(L668="F-30",3,IF(L668="F-60",4,IF(L668="F-90",5,IF(L668="F-120",6,IF(L668="F-150",7,0)))))),0),0)+IF(AND(O668="FIRE TEX 5090",OR(E668="IN",E668="C",E668="Z",E668="L"),J668=4),VLOOKUP(_xlfn.MINIFS('FIRE TEX 5090'!$J$5:$J$43,'FIRE TEX 5090'!$J$5:$J$43,"&gt;="&amp;M668),'FIRE TEX 5090'!$J$5:$P$43,IF(L668="F-15",2,IF(L668="F-30",3,IF(L668="F-60",4,IF(L668="F-90",5,IF(L668="F-120",6,IF(L668="F-150",7,0)))))),0),0)+IF(AND(O668="FIRE TEX 5090",E668="CJ",J668=3),VLOOKUP(_xlfn.MINIFS('FIRE TEX 5090'!$R$5:$R$30,'FIRE TEX 5090'!$R$5:$R$30,"&gt;="&amp;M668),'FIRE TEX 5090'!$R$5:$W$30,IF(L668="F-15",2,IF(L668="F-30",3,IF(L668="F-60",4,IF(L668="F-90",5,IF(L668="F-120",6,IF(L668="F-150",7,0)))))),0),0)+IF(AND(O668="FIRE TEX 5090",E668="CJ",J668=4),VLOOKUP(_xlfn.MINIFS('FIRE TEX 5090'!$Y$5:$Y$39,'FIRE TEX 5090'!$Y$5:$Y$39,"&gt;="&amp;M668),'FIRE TEX 5090'!$Y$5:$AD$39,IF(L668="F-15",2,IF(L668="F-30",3,IF(L668="F-60",4,IF(L668="F-90",5,IF(L668="F-120",6,IF(L668="F-150",7,0)))))),0),0)+IF(AND(O668="FIRE TEX 5120",OR(E668="IN",E668="C",E668="Z",E668="L"),J668=3),VLOOKUP(_xlfn.MINIFS('FIRE TEX 5120'!$B$5:$B$40,'FIRE TEX 5120'!$B$5:$B$40,"&gt;="&amp;M668),'FIRE TEX 5120'!$B$5:$G$40,IF(L668="F-15",2,IF(L668="F-30",3,IF(L668="F-60",4,IF(L668="F-90",5,IF(L668="F-120",6,0))))),0),0)+IF(AND(O668="FIRE TEX 5120",OR(E668="IN",E668="C",E668="Z",E668="L"),J668=4),VLOOKUP(_xlfn.MINIFS('FIRE TEX 5120'!$H$4:$H$40,'FIRE TEX 5120'!$H$4:$H$40,"&gt;="&amp;M668),'FIRE TEX 5120'!$H$4:$M$40,IF(L668="F-15",2,IF(L668="F-30",3,IF(L668="F-60",4,IF(L668="F-90",5,IF(L668="F-120",6,0))))),0),0)+IF(AND(O668="FIRE TEX 5120",E668="CJ"),VLOOKUP(_xlfn.MINIFS('FIRE TEX 5120'!$O$5:$O$40,'FIRE TEX 5120'!$O$5:$O$40,"&gt;="&amp;M668),'FIRE TEX 5120'!$O$5:$T$40,IF(L668="F-15",2,IF(L668="F-30",3,IF(L668="F-60",4,IF(L668="F-90",5,IF(L668="F-120",6,0))))),0),0)</f>
        <v>0</v>
      </c>
      <c r="Q668" s="46">
        <f t="shared" si="69"/>
        <v>0</v>
      </c>
      <c r="R668" s="46">
        <f t="shared" si="70"/>
        <v>0</v>
      </c>
      <c r="S668" s="46" t="e">
        <f t="shared" si="71"/>
        <v>#VALUE!</v>
      </c>
      <c r="T668" s="677">
        <f t="shared" si="72"/>
        <v>0</v>
      </c>
      <c r="U668" s="80">
        <f>(IF(O668="Stofire",(S668*#REF!),0))+(IF(O668="Fire Control",(S668*$U$2),0))+(IF(O668="Fire Tex",(S668*$U$3),0))+(IF(O668="WB7",(S668*#REF!),0)+(IF(O668="FX 2003",(S668*$U$5),0)))</f>
        <v>0</v>
      </c>
      <c r="V668" s="651">
        <f t="shared" si="73"/>
        <v>0</v>
      </c>
    </row>
    <row r="669" spans="4:22" x14ac:dyDescent="0.25">
      <c r="D669" s="118">
        <f>+CUBICACION!D668</f>
        <v>0</v>
      </c>
      <c r="E669" s="118">
        <f>+CUBICACION!F668</f>
        <v>0</v>
      </c>
      <c r="F669" s="118">
        <f>+CUBICACION!E668</f>
        <v>0</v>
      </c>
      <c r="G669" s="118">
        <v>12</v>
      </c>
      <c r="H669" s="118">
        <v>2</v>
      </c>
      <c r="I669" s="820">
        <v>26385</v>
      </c>
      <c r="J669" s="118">
        <f>+CUBICACION!J668</f>
        <v>0</v>
      </c>
      <c r="K669" s="118">
        <v>3448</v>
      </c>
      <c r="L669" s="118">
        <f>+CUBICACION!L668</f>
        <v>0</v>
      </c>
      <c r="M669" s="64">
        <f>+CUBICACION!M668</f>
        <v>0</v>
      </c>
      <c r="N669" s="824" t="str">
        <f>+CUBICACION!N668</f>
        <v/>
      </c>
      <c r="O669" s="675">
        <f>+CUBICACION!O668</f>
        <v>0</v>
      </c>
      <c r="P669" s="15">
        <f>IF(O669="Fire Control",VLOOKUP(_xlfn.MINIFS('FIRE CONTROL'!$C$4:$C$37,'FIRE CONTROL'!$C$4:$C$37,"&gt;="&amp;M669),'FIRE CONTROL'!$C$4:$G$37,IF(L669="F-15",2,IF(L669="F-30",3,IF(L669="F-60",4,IF(L669="F-90",5,0)))),0),0)+IF(AND(O669="FIRE TEX 5062",OR(E669="IN",E669="C",E669="Z",E669="L"),J669=3),VLOOKUP(_xlfn.MINIFS('FIRE TEX 5062'!$B$4:$B$34,'FIRE TEX 5062'!$B$4:$B$34,"&gt;="&amp;M669),'FIRE TEX 5062'!$B$4:$F$34,IF(L669="F-15",2,IF(L669="F-30",3,IF(L669="F-60",4,IF(L669="F-90",5,0)))),0),0)+IF(AND(O669="FIRE TEX 5062",OR(E669="IN",E669="C",E669="Z",E669="L"),J669=4),VLOOKUP(_xlfn.MINIFS('FIRE TEX 5062'!$G$4:$G$34,'FIRE TEX 5062'!$G$4:$G$34,"&gt;="&amp;M669),'FIRE TEX 5062'!$G$4:$K$34,IF(L669="F-15",2,IF(L669="F-30",3,IF(L669="F-60",4,IF(L669="F-90",5,0)))),0),0)+IF(AND(O669="FIRE TEX 5062",E669="CJ",J669=3),VLOOKUP(_xlfn.MINIFS('FIRE TEX 5062'!$L$4:$L$34,'FIRE TEX 5062'!$L$4:$L$34,"&gt;="&amp;M669),'FIRE TEX 5062'!$L$4:$P$34,IF(L669="F-15",2,IF(L669="F-30",3,IF(L669="F-60",4,IF(L669="F-90",5,0)))),0),0)+IF(AND(O669="FIRE TEX 5062",E669="CJ",J669=4),VLOOKUP(_xlfn.MINIFS('FIRE TEX 5062'!$Q$3:$Q$34,'FIRE TEX 5062'!$Q$3:$Q$34,"&gt;="&amp;M669),'FIRE TEX 5062'!$Q$3:$U$34,IF(L669="F-15",2,IF(L669="F-30",3,IF(L669="F-60",4,IF(L669="F-90",5,0)))),0),0)+IF(AND(O669="FIRE TEX 5090",OR(E669="IN",E669="C",E669="Z",E669="L"),J669=3),VLOOKUP(_xlfn.MINIFS('FIRE TEX 5090'!$B$5:$B$43,'FIRE TEX 5090'!$B$5:$B$43,"&gt;="&amp;M669),'FIRE TEX 5090'!$B$5:$H$43,IF(L669="F-15",2,IF(L669="F-30",3,IF(L669="F-60",4,IF(L669="F-90",5,IF(L669="F-120",6,IF(L669="F-150",7,0)))))),0),0)+IF(AND(O669="FIRE TEX 5090",OR(E669="IN",E669="C",E669="Z",E669="L"),J669=4),VLOOKUP(_xlfn.MINIFS('FIRE TEX 5090'!$J$5:$J$43,'FIRE TEX 5090'!$J$5:$J$43,"&gt;="&amp;M669),'FIRE TEX 5090'!$J$5:$P$43,IF(L669="F-15",2,IF(L669="F-30",3,IF(L669="F-60",4,IF(L669="F-90",5,IF(L669="F-120",6,IF(L669="F-150",7,0)))))),0),0)+IF(AND(O669="FIRE TEX 5090",E669="CJ",J669=3),VLOOKUP(_xlfn.MINIFS('FIRE TEX 5090'!$R$5:$R$30,'FIRE TEX 5090'!$R$5:$R$30,"&gt;="&amp;M669),'FIRE TEX 5090'!$R$5:$W$30,IF(L669="F-15",2,IF(L669="F-30",3,IF(L669="F-60",4,IF(L669="F-90",5,IF(L669="F-120",6,IF(L669="F-150",7,0)))))),0),0)+IF(AND(O669="FIRE TEX 5090",E669="CJ",J669=4),VLOOKUP(_xlfn.MINIFS('FIRE TEX 5090'!$Y$5:$Y$39,'FIRE TEX 5090'!$Y$5:$Y$39,"&gt;="&amp;M669),'FIRE TEX 5090'!$Y$5:$AD$39,IF(L669="F-15",2,IF(L669="F-30",3,IF(L669="F-60",4,IF(L669="F-90",5,IF(L669="F-120",6,IF(L669="F-150",7,0)))))),0),0)+IF(AND(O669="FIRE TEX 5120",OR(E669="IN",E669="C",E669="Z",E669="L"),J669=3),VLOOKUP(_xlfn.MINIFS('FIRE TEX 5120'!$B$5:$B$40,'FIRE TEX 5120'!$B$5:$B$40,"&gt;="&amp;M669),'FIRE TEX 5120'!$B$5:$G$40,IF(L669="F-15",2,IF(L669="F-30",3,IF(L669="F-60",4,IF(L669="F-90",5,IF(L669="F-120",6,0))))),0),0)+IF(AND(O669="FIRE TEX 5120",OR(E669="IN",E669="C",E669="Z",E669="L"),J669=4),VLOOKUP(_xlfn.MINIFS('FIRE TEX 5120'!$H$4:$H$40,'FIRE TEX 5120'!$H$4:$H$40,"&gt;="&amp;M669),'FIRE TEX 5120'!$H$4:$M$40,IF(L669="F-15",2,IF(L669="F-30",3,IF(L669="F-60",4,IF(L669="F-90",5,IF(L669="F-120",6,0))))),0),0)+IF(AND(O669="FIRE TEX 5120",E669="CJ"),VLOOKUP(_xlfn.MINIFS('FIRE TEX 5120'!$O$5:$O$40,'FIRE TEX 5120'!$O$5:$O$40,"&gt;="&amp;M669),'FIRE TEX 5120'!$O$5:$T$40,IF(L669="F-15",2,IF(L669="F-30",3,IF(L669="F-60",4,IF(L669="F-90",5,IF(L669="F-120",6,0))))),0),0)</f>
        <v>0</v>
      </c>
      <c r="Q669" s="46">
        <f t="shared" si="69"/>
        <v>0</v>
      </c>
      <c r="R669" s="46">
        <f t="shared" si="70"/>
        <v>0</v>
      </c>
      <c r="S669" s="46" t="e">
        <f t="shared" si="71"/>
        <v>#VALUE!</v>
      </c>
      <c r="T669" s="677">
        <f t="shared" si="72"/>
        <v>0</v>
      </c>
      <c r="U669" s="80">
        <f>(IF(O669="Stofire",(S669*#REF!),0))+(IF(O669="Fire Control",(S669*$U$2),0))+(IF(O669="Fire Tex",(S669*$U$3),0))+(IF(O669="WB7",(S669*#REF!),0)+(IF(O669="FX 2003",(S669*$U$5),0)))</f>
        <v>0</v>
      </c>
      <c r="V669" s="651">
        <f t="shared" si="73"/>
        <v>0</v>
      </c>
    </row>
    <row r="670" spans="4:22" x14ac:dyDescent="0.25">
      <c r="D670" s="118">
        <f>+CUBICACION!D669</f>
        <v>0</v>
      </c>
      <c r="E670" s="118">
        <f>+CUBICACION!F669</f>
        <v>0</v>
      </c>
      <c r="F670" s="118">
        <f>+CUBICACION!E669</f>
        <v>0</v>
      </c>
      <c r="G670" s="118">
        <v>12</v>
      </c>
      <c r="H670" s="118">
        <v>2</v>
      </c>
      <c r="I670" s="820">
        <v>26385</v>
      </c>
      <c r="J670" s="118">
        <f>+CUBICACION!J669</f>
        <v>0</v>
      </c>
      <c r="K670" s="118">
        <v>3449</v>
      </c>
      <c r="L670" s="118">
        <f>+CUBICACION!L669</f>
        <v>0</v>
      </c>
      <c r="M670" s="64">
        <f>+CUBICACION!M669</f>
        <v>0</v>
      </c>
      <c r="N670" s="824" t="str">
        <f>+CUBICACION!N669</f>
        <v/>
      </c>
      <c r="O670" s="675">
        <f>+CUBICACION!O669</f>
        <v>0</v>
      </c>
      <c r="P670" s="15">
        <f>IF(O670="Fire Control",VLOOKUP(_xlfn.MINIFS('FIRE CONTROL'!$C$4:$C$37,'FIRE CONTROL'!$C$4:$C$37,"&gt;="&amp;M670),'FIRE CONTROL'!$C$4:$G$37,IF(L670="F-15",2,IF(L670="F-30",3,IF(L670="F-60",4,IF(L670="F-90",5,0)))),0),0)+IF(AND(O670="FIRE TEX 5062",OR(E670="IN",E670="C",E670="Z",E670="L"),J670=3),VLOOKUP(_xlfn.MINIFS('FIRE TEX 5062'!$B$4:$B$34,'FIRE TEX 5062'!$B$4:$B$34,"&gt;="&amp;M670),'FIRE TEX 5062'!$B$4:$F$34,IF(L670="F-15",2,IF(L670="F-30",3,IF(L670="F-60",4,IF(L670="F-90",5,0)))),0),0)+IF(AND(O670="FIRE TEX 5062",OR(E670="IN",E670="C",E670="Z",E670="L"),J670=4),VLOOKUP(_xlfn.MINIFS('FIRE TEX 5062'!$G$4:$G$34,'FIRE TEX 5062'!$G$4:$G$34,"&gt;="&amp;M670),'FIRE TEX 5062'!$G$4:$K$34,IF(L670="F-15",2,IF(L670="F-30",3,IF(L670="F-60",4,IF(L670="F-90",5,0)))),0),0)+IF(AND(O670="FIRE TEX 5062",E670="CJ",J670=3),VLOOKUP(_xlfn.MINIFS('FIRE TEX 5062'!$L$4:$L$34,'FIRE TEX 5062'!$L$4:$L$34,"&gt;="&amp;M670),'FIRE TEX 5062'!$L$4:$P$34,IF(L670="F-15",2,IF(L670="F-30",3,IF(L670="F-60",4,IF(L670="F-90",5,0)))),0),0)+IF(AND(O670="FIRE TEX 5062",E670="CJ",J670=4),VLOOKUP(_xlfn.MINIFS('FIRE TEX 5062'!$Q$3:$Q$34,'FIRE TEX 5062'!$Q$3:$Q$34,"&gt;="&amp;M670),'FIRE TEX 5062'!$Q$3:$U$34,IF(L670="F-15",2,IF(L670="F-30",3,IF(L670="F-60",4,IF(L670="F-90",5,0)))),0),0)+IF(AND(O670="FIRE TEX 5090",OR(E670="IN",E670="C",E670="Z",E670="L"),J670=3),VLOOKUP(_xlfn.MINIFS('FIRE TEX 5090'!$B$5:$B$43,'FIRE TEX 5090'!$B$5:$B$43,"&gt;="&amp;M670),'FIRE TEX 5090'!$B$5:$H$43,IF(L670="F-15",2,IF(L670="F-30",3,IF(L670="F-60",4,IF(L670="F-90",5,IF(L670="F-120",6,IF(L670="F-150",7,0)))))),0),0)+IF(AND(O670="FIRE TEX 5090",OR(E670="IN",E670="C",E670="Z",E670="L"),J670=4),VLOOKUP(_xlfn.MINIFS('FIRE TEX 5090'!$J$5:$J$43,'FIRE TEX 5090'!$J$5:$J$43,"&gt;="&amp;M670),'FIRE TEX 5090'!$J$5:$P$43,IF(L670="F-15",2,IF(L670="F-30",3,IF(L670="F-60",4,IF(L670="F-90",5,IF(L670="F-120",6,IF(L670="F-150",7,0)))))),0),0)+IF(AND(O670="FIRE TEX 5090",E670="CJ",J670=3),VLOOKUP(_xlfn.MINIFS('FIRE TEX 5090'!$R$5:$R$30,'FIRE TEX 5090'!$R$5:$R$30,"&gt;="&amp;M670),'FIRE TEX 5090'!$R$5:$W$30,IF(L670="F-15",2,IF(L670="F-30",3,IF(L670="F-60",4,IF(L670="F-90",5,IF(L670="F-120",6,IF(L670="F-150",7,0)))))),0),0)+IF(AND(O670="FIRE TEX 5090",E670="CJ",J670=4),VLOOKUP(_xlfn.MINIFS('FIRE TEX 5090'!$Y$5:$Y$39,'FIRE TEX 5090'!$Y$5:$Y$39,"&gt;="&amp;M670),'FIRE TEX 5090'!$Y$5:$AD$39,IF(L670="F-15",2,IF(L670="F-30",3,IF(L670="F-60",4,IF(L670="F-90",5,IF(L670="F-120",6,IF(L670="F-150",7,0)))))),0),0)+IF(AND(O670="FIRE TEX 5120",OR(E670="IN",E670="C",E670="Z",E670="L"),J670=3),VLOOKUP(_xlfn.MINIFS('FIRE TEX 5120'!$B$5:$B$40,'FIRE TEX 5120'!$B$5:$B$40,"&gt;="&amp;M670),'FIRE TEX 5120'!$B$5:$G$40,IF(L670="F-15",2,IF(L670="F-30",3,IF(L670="F-60",4,IF(L670="F-90",5,IF(L670="F-120",6,0))))),0),0)+IF(AND(O670="FIRE TEX 5120",OR(E670="IN",E670="C",E670="Z",E670="L"),J670=4),VLOOKUP(_xlfn.MINIFS('FIRE TEX 5120'!$H$4:$H$40,'FIRE TEX 5120'!$H$4:$H$40,"&gt;="&amp;M670),'FIRE TEX 5120'!$H$4:$M$40,IF(L670="F-15",2,IF(L670="F-30",3,IF(L670="F-60",4,IF(L670="F-90",5,IF(L670="F-120",6,0))))),0),0)+IF(AND(O670="FIRE TEX 5120",E670="CJ"),VLOOKUP(_xlfn.MINIFS('FIRE TEX 5120'!$O$5:$O$40,'FIRE TEX 5120'!$O$5:$O$40,"&gt;="&amp;M670),'FIRE TEX 5120'!$O$5:$T$40,IF(L670="F-15",2,IF(L670="F-30",3,IF(L670="F-60",4,IF(L670="F-90",5,IF(L670="F-120",6,0))))),0),0)</f>
        <v>0</v>
      </c>
      <c r="Q670" s="46">
        <f t="shared" si="69"/>
        <v>0</v>
      </c>
      <c r="R670" s="46">
        <f t="shared" si="70"/>
        <v>0</v>
      </c>
      <c r="S670" s="46" t="e">
        <f t="shared" si="71"/>
        <v>#VALUE!</v>
      </c>
      <c r="T670" s="677">
        <f t="shared" si="72"/>
        <v>0</v>
      </c>
      <c r="U670" s="80">
        <f>(IF(O670="Stofire",(S670*#REF!),0))+(IF(O670="Fire Control",(S670*$U$2),0))+(IF(O670="Fire Tex",(S670*$U$3),0))+(IF(O670="WB7",(S670*#REF!),0)+(IF(O670="FX 2003",(S670*$U$5),0)))</f>
        <v>0</v>
      </c>
      <c r="V670" s="651">
        <f t="shared" si="73"/>
        <v>0</v>
      </c>
    </row>
    <row r="671" spans="4:22" x14ac:dyDescent="0.25">
      <c r="D671" s="118">
        <f>+CUBICACION!D670</f>
        <v>0</v>
      </c>
      <c r="E671" s="118">
        <f>+CUBICACION!F670</f>
        <v>0</v>
      </c>
      <c r="F671" s="118">
        <f>+CUBICACION!E670</f>
        <v>0</v>
      </c>
      <c r="G671" s="118">
        <v>12</v>
      </c>
      <c r="H671" s="118">
        <v>2</v>
      </c>
      <c r="I671" s="820">
        <v>26385</v>
      </c>
      <c r="J671" s="118">
        <f>+CUBICACION!J670</f>
        <v>0</v>
      </c>
      <c r="K671" s="118">
        <v>3450</v>
      </c>
      <c r="L671" s="118">
        <f>+CUBICACION!L670</f>
        <v>0</v>
      </c>
      <c r="M671" s="64">
        <f>+CUBICACION!M670</f>
        <v>0</v>
      </c>
      <c r="N671" s="824" t="str">
        <f>+CUBICACION!N670</f>
        <v/>
      </c>
      <c r="O671" s="675">
        <f>+CUBICACION!O670</f>
        <v>0</v>
      </c>
      <c r="P671" s="15">
        <f>IF(O671="Fire Control",VLOOKUP(_xlfn.MINIFS('FIRE CONTROL'!$C$4:$C$37,'FIRE CONTROL'!$C$4:$C$37,"&gt;="&amp;M671),'FIRE CONTROL'!$C$4:$G$37,IF(L671="F-15",2,IF(L671="F-30",3,IF(L671="F-60",4,IF(L671="F-90",5,0)))),0),0)+IF(AND(O671="FIRE TEX 5062",OR(E671="IN",E671="C",E671="Z",E671="L"),J671=3),VLOOKUP(_xlfn.MINIFS('FIRE TEX 5062'!$B$4:$B$34,'FIRE TEX 5062'!$B$4:$B$34,"&gt;="&amp;M671),'FIRE TEX 5062'!$B$4:$F$34,IF(L671="F-15",2,IF(L671="F-30",3,IF(L671="F-60",4,IF(L671="F-90",5,0)))),0),0)+IF(AND(O671="FIRE TEX 5062",OR(E671="IN",E671="C",E671="Z",E671="L"),J671=4),VLOOKUP(_xlfn.MINIFS('FIRE TEX 5062'!$G$4:$G$34,'FIRE TEX 5062'!$G$4:$G$34,"&gt;="&amp;M671),'FIRE TEX 5062'!$G$4:$K$34,IF(L671="F-15",2,IF(L671="F-30",3,IF(L671="F-60",4,IF(L671="F-90",5,0)))),0),0)+IF(AND(O671="FIRE TEX 5062",E671="CJ",J671=3),VLOOKUP(_xlfn.MINIFS('FIRE TEX 5062'!$L$4:$L$34,'FIRE TEX 5062'!$L$4:$L$34,"&gt;="&amp;M671),'FIRE TEX 5062'!$L$4:$P$34,IF(L671="F-15",2,IF(L671="F-30",3,IF(L671="F-60",4,IF(L671="F-90",5,0)))),0),0)+IF(AND(O671="FIRE TEX 5062",E671="CJ",J671=4),VLOOKUP(_xlfn.MINIFS('FIRE TEX 5062'!$Q$3:$Q$34,'FIRE TEX 5062'!$Q$3:$Q$34,"&gt;="&amp;M671),'FIRE TEX 5062'!$Q$3:$U$34,IF(L671="F-15",2,IF(L671="F-30",3,IF(L671="F-60",4,IF(L671="F-90",5,0)))),0),0)+IF(AND(O671="FIRE TEX 5090",OR(E671="IN",E671="C",E671="Z",E671="L"),J671=3),VLOOKUP(_xlfn.MINIFS('FIRE TEX 5090'!$B$5:$B$43,'FIRE TEX 5090'!$B$5:$B$43,"&gt;="&amp;M671),'FIRE TEX 5090'!$B$5:$H$43,IF(L671="F-15",2,IF(L671="F-30",3,IF(L671="F-60",4,IF(L671="F-90",5,IF(L671="F-120",6,IF(L671="F-150",7,0)))))),0),0)+IF(AND(O671="FIRE TEX 5090",OR(E671="IN",E671="C",E671="Z",E671="L"),J671=4),VLOOKUP(_xlfn.MINIFS('FIRE TEX 5090'!$J$5:$J$43,'FIRE TEX 5090'!$J$5:$J$43,"&gt;="&amp;M671),'FIRE TEX 5090'!$J$5:$P$43,IF(L671="F-15",2,IF(L671="F-30",3,IF(L671="F-60",4,IF(L671="F-90",5,IF(L671="F-120",6,IF(L671="F-150",7,0)))))),0),0)+IF(AND(O671="FIRE TEX 5090",E671="CJ",J671=3),VLOOKUP(_xlfn.MINIFS('FIRE TEX 5090'!$R$5:$R$30,'FIRE TEX 5090'!$R$5:$R$30,"&gt;="&amp;M671),'FIRE TEX 5090'!$R$5:$W$30,IF(L671="F-15",2,IF(L671="F-30",3,IF(L671="F-60",4,IF(L671="F-90",5,IF(L671="F-120",6,IF(L671="F-150",7,0)))))),0),0)+IF(AND(O671="FIRE TEX 5090",E671="CJ",J671=4),VLOOKUP(_xlfn.MINIFS('FIRE TEX 5090'!$Y$5:$Y$39,'FIRE TEX 5090'!$Y$5:$Y$39,"&gt;="&amp;M671),'FIRE TEX 5090'!$Y$5:$AD$39,IF(L671="F-15",2,IF(L671="F-30",3,IF(L671="F-60",4,IF(L671="F-90",5,IF(L671="F-120",6,IF(L671="F-150",7,0)))))),0),0)+IF(AND(O671="FIRE TEX 5120",OR(E671="IN",E671="C",E671="Z",E671="L"),J671=3),VLOOKUP(_xlfn.MINIFS('FIRE TEX 5120'!$B$5:$B$40,'FIRE TEX 5120'!$B$5:$B$40,"&gt;="&amp;M671),'FIRE TEX 5120'!$B$5:$G$40,IF(L671="F-15",2,IF(L671="F-30",3,IF(L671="F-60",4,IF(L671="F-90",5,IF(L671="F-120",6,0))))),0),0)+IF(AND(O671="FIRE TEX 5120",OR(E671="IN",E671="C",E671="Z",E671="L"),J671=4),VLOOKUP(_xlfn.MINIFS('FIRE TEX 5120'!$H$4:$H$40,'FIRE TEX 5120'!$H$4:$H$40,"&gt;="&amp;M671),'FIRE TEX 5120'!$H$4:$M$40,IF(L671="F-15",2,IF(L671="F-30",3,IF(L671="F-60",4,IF(L671="F-90",5,IF(L671="F-120",6,0))))),0),0)+IF(AND(O671="FIRE TEX 5120",E671="CJ"),VLOOKUP(_xlfn.MINIFS('FIRE TEX 5120'!$O$5:$O$40,'FIRE TEX 5120'!$O$5:$O$40,"&gt;="&amp;M671),'FIRE TEX 5120'!$O$5:$T$40,IF(L671="F-15",2,IF(L671="F-30",3,IF(L671="F-60",4,IF(L671="F-90",5,IF(L671="F-120",6,0))))),0),0)</f>
        <v>0</v>
      </c>
      <c r="Q671" s="46">
        <f t="shared" si="69"/>
        <v>0</v>
      </c>
      <c r="R671" s="46">
        <f t="shared" si="70"/>
        <v>0</v>
      </c>
      <c r="S671" s="46" t="e">
        <f t="shared" si="71"/>
        <v>#VALUE!</v>
      </c>
      <c r="T671" s="677">
        <f t="shared" si="72"/>
        <v>0</v>
      </c>
      <c r="U671" s="80">
        <f>(IF(O671="Stofire",(S671*#REF!),0))+(IF(O671="Fire Control",(S671*$U$2),0))+(IF(O671="Fire Tex",(S671*$U$3),0))+(IF(O671="WB7",(S671*#REF!),0)+(IF(O671="FX 2003",(S671*$U$5),0)))</f>
        <v>0</v>
      </c>
      <c r="V671" s="651">
        <f t="shared" si="73"/>
        <v>0</v>
      </c>
    </row>
    <row r="672" spans="4:22" x14ac:dyDescent="0.25">
      <c r="D672" s="118">
        <f>+CUBICACION!D671</f>
        <v>0</v>
      </c>
      <c r="E672" s="118">
        <f>+CUBICACION!F671</f>
        <v>0</v>
      </c>
      <c r="F672" s="118">
        <f>+CUBICACION!E671</f>
        <v>0</v>
      </c>
      <c r="G672" s="118">
        <v>12</v>
      </c>
      <c r="H672" s="118">
        <v>2</v>
      </c>
      <c r="I672" s="820">
        <v>26385</v>
      </c>
      <c r="J672" s="118">
        <f>+CUBICACION!J671</f>
        <v>0</v>
      </c>
      <c r="K672" s="118">
        <v>3451</v>
      </c>
      <c r="L672" s="118">
        <f>+CUBICACION!L671</f>
        <v>0</v>
      </c>
      <c r="M672" s="64">
        <f>+CUBICACION!M671</f>
        <v>0</v>
      </c>
      <c r="N672" s="824" t="str">
        <f>+CUBICACION!N671</f>
        <v/>
      </c>
      <c r="O672" s="675">
        <f>+CUBICACION!O671</f>
        <v>0</v>
      </c>
      <c r="P672" s="15">
        <f>IF(O672="Fire Control",VLOOKUP(_xlfn.MINIFS('FIRE CONTROL'!$C$4:$C$37,'FIRE CONTROL'!$C$4:$C$37,"&gt;="&amp;M672),'FIRE CONTROL'!$C$4:$G$37,IF(L672="F-15",2,IF(L672="F-30",3,IF(L672="F-60",4,IF(L672="F-90",5,0)))),0),0)+IF(AND(O672="FIRE TEX 5062",OR(E672="IN",E672="C",E672="Z",E672="L"),J672=3),VLOOKUP(_xlfn.MINIFS('FIRE TEX 5062'!$B$4:$B$34,'FIRE TEX 5062'!$B$4:$B$34,"&gt;="&amp;M672),'FIRE TEX 5062'!$B$4:$F$34,IF(L672="F-15",2,IF(L672="F-30",3,IF(L672="F-60",4,IF(L672="F-90",5,0)))),0),0)+IF(AND(O672="FIRE TEX 5062",OR(E672="IN",E672="C",E672="Z",E672="L"),J672=4),VLOOKUP(_xlfn.MINIFS('FIRE TEX 5062'!$G$4:$G$34,'FIRE TEX 5062'!$G$4:$G$34,"&gt;="&amp;M672),'FIRE TEX 5062'!$G$4:$K$34,IF(L672="F-15",2,IF(L672="F-30",3,IF(L672="F-60",4,IF(L672="F-90",5,0)))),0),0)+IF(AND(O672="FIRE TEX 5062",E672="CJ",J672=3),VLOOKUP(_xlfn.MINIFS('FIRE TEX 5062'!$L$4:$L$34,'FIRE TEX 5062'!$L$4:$L$34,"&gt;="&amp;M672),'FIRE TEX 5062'!$L$4:$P$34,IF(L672="F-15",2,IF(L672="F-30",3,IF(L672="F-60",4,IF(L672="F-90",5,0)))),0),0)+IF(AND(O672="FIRE TEX 5062",E672="CJ",J672=4),VLOOKUP(_xlfn.MINIFS('FIRE TEX 5062'!$Q$3:$Q$34,'FIRE TEX 5062'!$Q$3:$Q$34,"&gt;="&amp;M672),'FIRE TEX 5062'!$Q$3:$U$34,IF(L672="F-15",2,IF(L672="F-30",3,IF(L672="F-60",4,IF(L672="F-90",5,0)))),0),0)+IF(AND(O672="FIRE TEX 5090",OR(E672="IN",E672="C",E672="Z",E672="L"),J672=3),VLOOKUP(_xlfn.MINIFS('FIRE TEX 5090'!$B$5:$B$43,'FIRE TEX 5090'!$B$5:$B$43,"&gt;="&amp;M672),'FIRE TEX 5090'!$B$5:$H$43,IF(L672="F-15",2,IF(L672="F-30",3,IF(L672="F-60",4,IF(L672="F-90",5,IF(L672="F-120",6,IF(L672="F-150",7,0)))))),0),0)+IF(AND(O672="FIRE TEX 5090",OR(E672="IN",E672="C",E672="Z",E672="L"),J672=4),VLOOKUP(_xlfn.MINIFS('FIRE TEX 5090'!$J$5:$J$43,'FIRE TEX 5090'!$J$5:$J$43,"&gt;="&amp;M672),'FIRE TEX 5090'!$J$5:$P$43,IF(L672="F-15",2,IF(L672="F-30",3,IF(L672="F-60",4,IF(L672="F-90",5,IF(L672="F-120",6,IF(L672="F-150",7,0)))))),0),0)+IF(AND(O672="FIRE TEX 5090",E672="CJ",J672=3),VLOOKUP(_xlfn.MINIFS('FIRE TEX 5090'!$R$5:$R$30,'FIRE TEX 5090'!$R$5:$R$30,"&gt;="&amp;M672),'FIRE TEX 5090'!$R$5:$W$30,IF(L672="F-15",2,IF(L672="F-30",3,IF(L672="F-60",4,IF(L672="F-90",5,IF(L672="F-120",6,IF(L672="F-150",7,0)))))),0),0)+IF(AND(O672="FIRE TEX 5090",E672="CJ",J672=4),VLOOKUP(_xlfn.MINIFS('FIRE TEX 5090'!$Y$5:$Y$39,'FIRE TEX 5090'!$Y$5:$Y$39,"&gt;="&amp;M672),'FIRE TEX 5090'!$Y$5:$AD$39,IF(L672="F-15",2,IF(L672="F-30",3,IF(L672="F-60",4,IF(L672="F-90",5,IF(L672="F-120",6,IF(L672="F-150",7,0)))))),0),0)+IF(AND(O672="FIRE TEX 5120",OR(E672="IN",E672="C",E672="Z",E672="L"),J672=3),VLOOKUP(_xlfn.MINIFS('FIRE TEX 5120'!$B$5:$B$40,'FIRE TEX 5120'!$B$5:$B$40,"&gt;="&amp;M672),'FIRE TEX 5120'!$B$5:$G$40,IF(L672="F-15",2,IF(L672="F-30",3,IF(L672="F-60",4,IF(L672="F-90",5,IF(L672="F-120",6,0))))),0),0)+IF(AND(O672="FIRE TEX 5120",OR(E672="IN",E672="C",E672="Z",E672="L"),J672=4),VLOOKUP(_xlfn.MINIFS('FIRE TEX 5120'!$H$4:$H$40,'FIRE TEX 5120'!$H$4:$H$40,"&gt;="&amp;M672),'FIRE TEX 5120'!$H$4:$M$40,IF(L672="F-15",2,IF(L672="F-30",3,IF(L672="F-60",4,IF(L672="F-90",5,IF(L672="F-120",6,0))))),0),0)+IF(AND(O672="FIRE TEX 5120",E672="CJ"),VLOOKUP(_xlfn.MINIFS('FIRE TEX 5120'!$O$5:$O$40,'FIRE TEX 5120'!$O$5:$O$40,"&gt;="&amp;M672),'FIRE TEX 5120'!$O$5:$T$40,IF(L672="F-15",2,IF(L672="F-30",3,IF(L672="F-60",4,IF(L672="F-90",5,IF(L672="F-120",6,0))))),0),0)</f>
        <v>0</v>
      </c>
      <c r="Q672" s="46">
        <f t="shared" si="69"/>
        <v>0</v>
      </c>
      <c r="R672" s="46">
        <f t="shared" si="70"/>
        <v>0</v>
      </c>
      <c r="S672" s="46" t="e">
        <f t="shared" si="71"/>
        <v>#VALUE!</v>
      </c>
      <c r="T672" s="677">
        <f t="shared" si="72"/>
        <v>0</v>
      </c>
      <c r="U672" s="80">
        <f>(IF(O672="Stofire",(S672*#REF!),0))+(IF(O672="Fire Control",(S672*$U$2),0))+(IF(O672="Fire Tex",(S672*$U$3),0))+(IF(O672="WB7",(S672*#REF!),0)+(IF(O672="FX 2003",(S672*$U$5),0)))</f>
        <v>0</v>
      </c>
      <c r="V672" s="651">
        <f t="shared" si="73"/>
        <v>0</v>
      </c>
    </row>
    <row r="673" spans="4:22" x14ac:dyDescent="0.25">
      <c r="D673" s="118">
        <f>+CUBICACION!D672</f>
        <v>0</v>
      </c>
      <c r="E673" s="118">
        <f>+CUBICACION!F672</f>
        <v>0</v>
      </c>
      <c r="F673" s="118">
        <f>+CUBICACION!E672</f>
        <v>0</v>
      </c>
      <c r="G673" s="118">
        <v>12</v>
      </c>
      <c r="H673" s="118">
        <v>2</v>
      </c>
      <c r="I673" s="820">
        <v>26385</v>
      </c>
      <c r="J673" s="118">
        <f>+CUBICACION!J672</f>
        <v>0</v>
      </c>
      <c r="K673" s="118">
        <v>3452</v>
      </c>
      <c r="L673" s="118">
        <f>+CUBICACION!L672</f>
        <v>0</v>
      </c>
      <c r="M673" s="64">
        <f>+CUBICACION!M672</f>
        <v>0</v>
      </c>
      <c r="N673" s="824" t="str">
        <f>+CUBICACION!N672</f>
        <v/>
      </c>
      <c r="O673" s="675">
        <f>+CUBICACION!O672</f>
        <v>0</v>
      </c>
      <c r="P673" s="15">
        <f>IF(O673="Fire Control",VLOOKUP(_xlfn.MINIFS('FIRE CONTROL'!$C$4:$C$37,'FIRE CONTROL'!$C$4:$C$37,"&gt;="&amp;M673),'FIRE CONTROL'!$C$4:$G$37,IF(L673="F-15",2,IF(L673="F-30",3,IF(L673="F-60",4,IF(L673="F-90",5,0)))),0),0)+IF(AND(O673="FIRE TEX 5062",OR(E673="IN",E673="C",E673="Z",E673="L"),J673=3),VLOOKUP(_xlfn.MINIFS('FIRE TEX 5062'!$B$4:$B$34,'FIRE TEX 5062'!$B$4:$B$34,"&gt;="&amp;M673),'FIRE TEX 5062'!$B$4:$F$34,IF(L673="F-15",2,IF(L673="F-30",3,IF(L673="F-60",4,IF(L673="F-90",5,0)))),0),0)+IF(AND(O673="FIRE TEX 5062",OR(E673="IN",E673="C",E673="Z",E673="L"),J673=4),VLOOKUP(_xlfn.MINIFS('FIRE TEX 5062'!$G$4:$G$34,'FIRE TEX 5062'!$G$4:$G$34,"&gt;="&amp;M673),'FIRE TEX 5062'!$G$4:$K$34,IF(L673="F-15",2,IF(L673="F-30",3,IF(L673="F-60",4,IF(L673="F-90",5,0)))),0),0)+IF(AND(O673="FIRE TEX 5062",E673="CJ",J673=3),VLOOKUP(_xlfn.MINIFS('FIRE TEX 5062'!$L$4:$L$34,'FIRE TEX 5062'!$L$4:$L$34,"&gt;="&amp;M673),'FIRE TEX 5062'!$L$4:$P$34,IF(L673="F-15",2,IF(L673="F-30",3,IF(L673="F-60",4,IF(L673="F-90",5,0)))),0),0)+IF(AND(O673="FIRE TEX 5062",E673="CJ",J673=4),VLOOKUP(_xlfn.MINIFS('FIRE TEX 5062'!$Q$3:$Q$34,'FIRE TEX 5062'!$Q$3:$Q$34,"&gt;="&amp;M673),'FIRE TEX 5062'!$Q$3:$U$34,IF(L673="F-15",2,IF(L673="F-30",3,IF(L673="F-60",4,IF(L673="F-90",5,0)))),0),0)+IF(AND(O673="FIRE TEX 5090",OR(E673="IN",E673="C",E673="Z",E673="L"),J673=3),VLOOKUP(_xlfn.MINIFS('FIRE TEX 5090'!$B$5:$B$43,'FIRE TEX 5090'!$B$5:$B$43,"&gt;="&amp;M673),'FIRE TEX 5090'!$B$5:$H$43,IF(L673="F-15",2,IF(L673="F-30",3,IF(L673="F-60",4,IF(L673="F-90",5,IF(L673="F-120",6,IF(L673="F-150",7,0)))))),0),0)+IF(AND(O673="FIRE TEX 5090",OR(E673="IN",E673="C",E673="Z",E673="L"),J673=4),VLOOKUP(_xlfn.MINIFS('FIRE TEX 5090'!$J$5:$J$43,'FIRE TEX 5090'!$J$5:$J$43,"&gt;="&amp;M673),'FIRE TEX 5090'!$J$5:$P$43,IF(L673="F-15",2,IF(L673="F-30",3,IF(L673="F-60",4,IF(L673="F-90",5,IF(L673="F-120",6,IF(L673="F-150",7,0)))))),0),0)+IF(AND(O673="FIRE TEX 5090",E673="CJ",J673=3),VLOOKUP(_xlfn.MINIFS('FIRE TEX 5090'!$R$5:$R$30,'FIRE TEX 5090'!$R$5:$R$30,"&gt;="&amp;M673),'FIRE TEX 5090'!$R$5:$W$30,IF(L673="F-15",2,IF(L673="F-30",3,IF(L673="F-60",4,IF(L673="F-90",5,IF(L673="F-120",6,IF(L673="F-150",7,0)))))),0),0)+IF(AND(O673="FIRE TEX 5090",E673="CJ",J673=4),VLOOKUP(_xlfn.MINIFS('FIRE TEX 5090'!$Y$5:$Y$39,'FIRE TEX 5090'!$Y$5:$Y$39,"&gt;="&amp;M673),'FIRE TEX 5090'!$Y$5:$AD$39,IF(L673="F-15",2,IF(L673="F-30",3,IF(L673="F-60",4,IF(L673="F-90",5,IF(L673="F-120",6,IF(L673="F-150",7,0)))))),0),0)+IF(AND(O673="FIRE TEX 5120",OR(E673="IN",E673="C",E673="Z",E673="L"),J673=3),VLOOKUP(_xlfn.MINIFS('FIRE TEX 5120'!$B$5:$B$40,'FIRE TEX 5120'!$B$5:$B$40,"&gt;="&amp;M673),'FIRE TEX 5120'!$B$5:$G$40,IF(L673="F-15",2,IF(L673="F-30",3,IF(L673="F-60",4,IF(L673="F-90",5,IF(L673="F-120",6,0))))),0),0)+IF(AND(O673="FIRE TEX 5120",OR(E673="IN",E673="C",E673="Z",E673="L"),J673=4),VLOOKUP(_xlfn.MINIFS('FIRE TEX 5120'!$H$4:$H$40,'FIRE TEX 5120'!$H$4:$H$40,"&gt;="&amp;M673),'FIRE TEX 5120'!$H$4:$M$40,IF(L673="F-15",2,IF(L673="F-30",3,IF(L673="F-60",4,IF(L673="F-90",5,IF(L673="F-120",6,0))))),0),0)+IF(AND(O673="FIRE TEX 5120",E673="CJ"),VLOOKUP(_xlfn.MINIFS('FIRE TEX 5120'!$O$5:$O$40,'FIRE TEX 5120'!$O$5:$O$40,"&gt;="&amp;M673),'FIRE TEX 5120'!$O$5:$T$40,IF(L673="F-15",2,IF(L673="F-30",3,IF(L673="F-60",4,IF(L673="F-90",5,IF(L673="F-120",6,0))))),0),0)</f>
        <v>0</v>
      </c>
      <c r="Q673" s="46">
        <f t="shared" si="69"/>
        <v>0</v>
      </c>
      <c r="R673" s="46">
        <f t="shared" si="70"/>
        <v>0</v>
      </c>
      <c r="S673" s="46" t="e">
        <f t="shared" si="71"/>
        <v>#VALUE!</v>
      </c>
      <c r="T673" s="677">
        <f t="shared" si="72"/>
        <v>0</v>
      </c>
      <c r="U673" s="80">
        <f>(IF(O673="Stofire",(S673*#REF!),0))+(IF(O673="Fire Control",(S673*$U$2),0))+(IF(O673="Fire Tex",(S673*$U$3),0))+(IF(O673="WB7",(S673*#REF!),0)+(IF(O673="FX 2003",(S673*$U$5),0)))</f>
        <v>0</v>
      </c>
      <c r="V673" s="651">
        <f t="shared" si="73"/>
        <v>0</v>
      </c>
    </row>
    <row r="674" spans="4:22" x14ac:dyDescent="0.25">
      <c r="D674" s="118">
        <f>+CUBICACION!D673</f>
        <v>0</v>
      </c>
      <c r="E674" s="118">
        <f>+CUBICACION!F673</f>
        <v>0</v>
      </c>
      <c r="F674" s="118">
        <f>+CUBICACION!E673</f>
        <v>0</v>
      </c>
      <c r="G674" s="118">
        <v>12</v>
      </c>
      <c r="H674" s="118">
        <v>2</v>
      </c>
      <c r="I674" s="820">
        <v>26385</v>
      </c>
      <c r="J674" s="118">
        <f>+CUBICACION!J673</f>
        <v>0</v>
      </c>
      <c r="K674" s="118">
        <v>3453</v>
      </c>
      <c r="L674" s="118">
        <f>+CUBICACION!L673</f>
        <v>0</v>
      </c>
      <c r="M674" s="64">
        <f>+CUBICACION!M673</f>
        <v>0</v>
      </c>
      <c r="N674" s="824" t="str">
        <f>+CUBICACION!N673</f>
        <v/>
      </c>
      <c r="O674" s="675">
        <f>+CUBICACION!O673</f>
        <v>0</v>
      </c>
      <c r="P674" s="15">
        <f>IF(O674="Fire Control",VLOOKUP(_xlfn.MINIFS('FIRE CONTROL'!$C$4:$C$37,'FIRE CONTROL'!$C$4:$C$37,"&gt;="&amp;M674),'FIRE CONTROL'!$C$4:$G$37,IF(L674="F-15",2,IF(L674="F-30",3,IF(L674="F-60",4,IF(L674="F-90",5,0)))),0),0)+IF(AND(O674="FIRE TEX 5062",OR(E674="IN",E674="C",E674="Z",E674="L"),J674=3),VLOOKUP(_xlfn.MINIFS('FIRE TEX 5062'!$B$4:$B$34,'FIRE TEX 5062'!$B$4:$B$34,"&gt;="&amp;M674),'FIRE TEX 5062'!$B$4:$F$34,IF(L674="F-15",2,IF(L674="F-30",3,IF(L674="F-60",4,IF(L674="F-90",5,0)))),0),0)+IF(AND(O674="FIRE TEX 5062",OR(E674="IN",E674="C",E674="Z",E674="L"),J674=4),VLOOKUP(_xlfn.MINIFS('FIRE TEX 5062'!$G$4:$G$34,'FIRE TEX 5062'!$G$4:$G$34,"&gt;="&amp;M674),'FIRE TEX 5062'!$G$4:$K$34,IF(L674="F-15",2,IF(L674="F-30",3,IF(L674="F-60",4,IF(L674="F-90",5,0)))),0),0)+IF(AND(O674="FIRE TEX 5062",E674="CJ",J674=3),VLOOKUP(_xlfn.MINIFS('FIRE TEX 5062'!$L$4:$L$34,'FIRE TEX 5062'!$L$4:$L$34,"&gt;="&amp;M674),'FIRE TEX 5062'!$L$4:$P$34,IF(L674="F-15",2,IF(L674="F-30",3,IF(L674="F-60",4,IF(L674="F-90",5,0)))),0),0)+IF(AND(O674="FIRE TEX 5062",E674="CJ",J674=4),VLOOKUP(_xlfn.MINIFS('FIRE TEX 5062'!$Q$3:$Q$34,'FIRE TEX 5062'!$Q$3:$Q$34,"&gt;="&amp;M674),'FIRE TEX 5062'!$Q$3:$U$34,IF(L674="F-15",2,IF(L674="F-30",3,IF(L674="F-60",4,IF(L674="F-90",5,0)))),0),0)+IF(AND(O674="FIRE TEX 5090",OR(E674="IN",E674="C",E674="Z",E674="L"),J674=3),VLOOKUP(_xlfn.MINIFS('FIRE TEX 5090'!$B$5:$B$43,'FIRE TEX 5090'!$B$5:$B$43,"&gt;="&amp;M674),'FIRE TEX 5090'!$B$5:$H$43,IF(L674="F-15",2,IF(L674="F-30",3,IF(L674="F-60",4,IF(L674="F-90",5,IF(L674="F-120",6,IF(L674="F-150",7,0)))))),0),0)+IF(AND(O674="FIRE TEX 5090",OR(E674="IN",E674="C",E674="Z",E674="L"),J674=4),VLOOKUP(_xlfn.MINIFS('FIRE TEX 5090'!$J$5:$J$43,'FIRE TEX 5090'!$J$5:$J$43,"&gt;="&amp;M674),'FIRE TEX 5090'!$J$5:$P$43,IF(L674="F-15",2,IF(L674="F-30",3,IF(L674="F-60",4,IF(L674="F-90",5,IF(L674="F-120",6,IF(L674="F-150",7,0)))))),0),0)+IF(AND(O674="FIRE TEX 5090",E674="CJ",J674=3),VLOOKUP(_xlfn.MINIFS('FIRE TEX 5090'!$R$5:$R$30,'FIRE TEX 5090'!$R$5:$R$30,"&gt;="&amp;M674),'FIRE TEX 5090'!$R$5:$W$30,IF(L674="F-15",2,IF(L674="F-30",3,IF(L674="F-60",4,IF(L674="F-90",5,IF(L674="F-120",6,IF(L674="F-150",7,0)))))),0),0)+IF(AND(O674="FIRE TEX 5090",E674="CJ",J674=4),VLOOKUP(_xlfn.MINIFS('FIRE TEX 5090'!$Y$5:$Y$39,'FIRE TEX 5090'!$Y$5:$Y$39,"&gt;="&amp;M674),'FIRE TEX 5090'!$Y$5:$AD$39,IF(L674="F-15",2,IF(L674="F-30",3,IF(L674="F-60",4,IF(L674="F-90",5,IF(L674="F-120",6,IF(L674="F-150",7,0)))))),0),0)+IF(AND(O674="FIRE TEX 5120",OR(E674="IN",E674="C",E674="Z",E674="L"),J674=3),VLOOKUP(_xlfn.MINIFS('FIRE TEX 5120'!$B$5:$B$40,'FIRE TEX 5120'!$B$5:$B$40,"&gt;="&amp;M674),'FIRE TEX 5120'!$B$5:$G$40,IF(L674="F-15",2,IF(L674="F-30",3,IF(L674="F-60",4,IF(L674="F-90",5,IF(L674="F-120",6,0))))),0),0)+IF(AND(O674="FIRE TEX 5120",OR(E674="IN",E674="C",E674="Z",E674="L"),J674=4),VLOOKUP(_xlfn.MINIFS('FIRE TEX 5120'!$H$4:$H$40,'FIRE TEX 5120'!$H$4:$H$40,"&gt;="&amp;M674),'FIRE TEX 5120'!$H$4:$M$40,IF(L674="F-15",2,IF(L674="F-30",3,IF(L674="F-60",4,IF(L674="F-90",5,IF(L674="F-120",6,0))))),0),0)+IF(AND(O674="FIRE TEX 5120",E674="CJ"),VLOOKUP(_xlfn.MINIFS('FIRE TEX 5120'!$O$5:$O$40,'FIRE TEX 5120'!$O$5:$O$40,"&gt;="&amp;M674),'FIRE TEX 5120'!$O$5:$T$40,IF(L674="F-15",2,IF(L674="F-30",3,IF(L674="F-60",4,IF(L674="F-90",5,IF(L674="F-120",6,0))))),0),0)</f>
        <v>0</v>
      </c>
      <c r="Q674" s="46">
        <f t="shared" si="69"/>
        <v>0</v>
      </c>
      <c r="R674" s="46">
        <f t="shared" si="70"/>
        <v>0</v>
      </c>
      <c r="S674" s="46" t="e">
        <f t="shared" si="71"/>
        <v>#VALUE!</v>
      </c>
      <c r="T674" s="677">
        <f t="shared" si="72"/>
        <v>0</v>
      </c>
      <c r="U674" s="80">
        <f>(IF(O674="Stofire",(S674*#REF!),0))+(IF(O674="Fire Control",(S674*$U$2),0))+(IF(O674="Fire Tex",(S674*$U$3),0))+(IF(O674="WB7",(S674*#REF!),0)+(IF(O674="FX 2003",(S674*$U$5),0)))</f>
        <v>0</v>
      </c>
      <c r="V674" s="651">
        <f t="shared" si="73"/>
        <v>0</v>
      </c>
    </row>
    <row r="675" spans="4:22" x14ac:dyDescent="0.25">
      <c r="D675" s="118">
        <f>+CUBICACION!D674</f>
        <v>0</v>
      </c>
      <c r="E675" s="118">
        <f>+CUBICACION!F674</f>
        <v>0</v>
      </c>
      <c r="F675" s="118">
        <f>+CUBICACION!E674</f>
        <v>0</v>
      </c>
      <c r="G675" s="118">
        <v>12</v>
      </c>
      <c r="H675" s="118">
        <v>2</v>
      </c>
      <c r="I675" s="820">
        <v>26385</v>
      </c>
      <c r="J675" s="118">
        <f>+CUBICACION!J674</f>
        <v>0</v>
      </c>
      <c r="K675" s="118">
        <v>3454</v>
      </c>
      <c r="L675" s="118">
        <f>+CUBICACION!L674</f>
        <v>0</v>
      </c>
      <c r="M675" s="64">
        <f>+CUBICACION!M674</f>
        <v>0</v>
      </c>
      <c r="N675" s="824" t="str">
        <f>+CUBICACION!N674</f>
        <v/>
      </c>
      <c r="O675" s="675">
        <f>+CUBICACION!O674</f>
        <v>0</v>
      </c>
      <c r="P675" s="15">
        <f>IF(O675="Fire Control",VLOOKUP(_xlfn.MINIFS('FIRE CONTROL'!$C$4:$C$37,'FIRE CONTROL'!$C$4:$C$37,"&gt;="&amp;M675),'FIRE CONTROL'!$C$4:$G$37,IF(L675="F-15",2,IF(L675="F-30",3,IF(L675="F-60",4,IF(L675="F-90",5,0)))),0),0)+IF(AND(O675="FIRE TEX 5062",OR(E675="IN",E675="C",E675="Z",E675="L"),J675=3),VLOOKUP(_xlfn.MINIFS('FIRE TEX 5062'!$B$4:$B$34,'FIRE TEX 5062'!$B$4:$B$34,"&gt;="&amp;M675),'FIRE TEX 5062'!$B$4:$F$34,IF(L675="F-15",2,IF(L675="F-30",3,IF(L675="F-60",4,IF(L675="F-90",5,0)))),0),0)+IF(AND(O675="FIRE TEX 5062",OR(E675="IN",E675="C",E675="Z",E675="L"),J675=4),VLOOKUP(_xlfn.MINIFS('FIRE TEX 5062'!$G$4:$G$34,'FIRE TEX 5062'!$G$4:$G$34,"&gt;="&amp;M675),'FIRE TEX 5062'!$G$4:$K$34,IF(L675="F-15",2,IF(L675="F-30",3,IF(L675="F-60",4,IF(L675="F-90",5,0)))),0),0)+IF(AND(O675="FIRE TEX 5062",E675="CJ",J675=3),VLOOKUP(_xlfn.MINIFS('FIRE TEX 5062'!$L$4:$L$34,'FIRE TEX 5062'!$L$4:$L$34,"&gt;="&amp;M675),'FIRE TEX 5062'!$L$4:$P$34,IF(L675="F-15",2,IF(L675="F-30",3,IF(L675="F-60",4,IF(L675="F-90",5,0)))),0),0)+IF(AND(O675="FIRE TEX 5062",E675="CJ",J675=4),VLOOKUP(_xlfn.MINIFS('FIRE TEX 5062'!$Q$3:$Q$34,'FIRE TEX 5062'!$Q$3:$Q$34,"&gt;="&amp;M675),'FIRE TEX 5062'!$Q$3:$U$34,IF(L675="F-15",2,IF(L675="F-30",3,IF(L675="F-60",4,IF(L675="F-90",5,0)))),0),0)+IF(AND(O675="FIRE TEX 5090",OR(E675="IN",E675="C",E675="Z",E675="L"),J675=3),VLOOKUP(_xlfn.MINIFS('FIRE TEX 5090'!$B$5:$B$43,'FIRE TEX 5090'!$B$5:$B$43,"&gt;="&amp;M675),'FIRE TEX 5090'!$B$5:$H$43,IF(L675="F-15",2,IF(L675="F-30",3,IF(L675="F-60",4,IF(L675="F-90",5,IF(L675="F-120",6,IF(L675="F-150",7,0)))))),0),0)+IF(AND(O675="FIRE TEX 5090",OR(E675="IN",E675="C",E675="Z",E675="L"),J675=4),VLOOKUP(_xlfn.MINIFS('FIRE TEX 5090'!$J$5:$J$43,'FIRE TEX 5090'!$J$5:$J$43,"&gt;="&amp;M675),'FIRE TEX 5090'!$J$5:$P$43,IF(L675="F-15",2,IF(L675="F-30",3,IF(L675="F-60",4,IF(L675="F-90",5,IF(L675="F-120",6,IF(L675="F-150",7,0)))))),0),0)+IF(AND(O675="FIRE TEX 5090",E675="CJ",J675=3),VLOOKUP(_xlfn.MINIFS('FIRE TEX 5090'!$R$5:$R$30,'FIRE TEX 5090'!$R$5:$R$30,"&gt;="&amp;M675),'FIRE TEX 5090'!$R$5:$W$30,IF(L675="F-15",2,IF(L675="F-30",3,IF(L675="F-60",4,IF(L675="F-90",5,IF(L675="F-120",6,IF(L675="F-150",7,0)))))),0),0)+IF(AND(O675="FIRE TEX 5090",E675="CJ",J675=4),VLOOKUP(_xlfn.MINIFS('FIRE TEX 5090'!$Y$5:$Y$39,'FIRE TEX 5090'!$Y$5:$Y$39,"&gt;="&amp;M675),'FIRE TEX 5090'!$Y$5:$AD$39,IF(L675="F-15",2,IF(L675="F-30",3,IF(L675="F-60",4,IF(L675="F-90",5,IF(L675="F-120",6,IF(L675="F-150",7,0)))))),0),0)+IF(AND(O675="FIRE TEX 5120",OR(E675="IN",E675="C",E675="Z",E675="L"),J675=3),VLOOKUP(_xlfn.MINIFS('FIRE TEX 5120'!$B$5:$B$40,'FIRE TEX 5120'!$B$5:$B$40,"&gt;="&amp;M675),'FIRE TEX 5120'!$B$5:$G$40,IF(L675="F-15",2,IF(L675="F-30",3,IF(L675="F-60",4,IF(L675="F-90",5,IF(L675="F-120",6,0))))),0),0)+IF(AND(O675="FIRE TEX 5120",OR(E675="IN",E675="C",E675="Z",E675="L"),J675=4),VLOOKUP(_xlfn.MINIFS('FIRE TEX 5120'!$H$4:$H$40,'FIRE TEX 5120'!$H$4:$H$40,"&gt;="&amp;M675),'FIRE TEX 5120'!$H$4:$M$40,IF(L675="F-15",2,IF(L675="F-30",3,IF(L675="F-60",4,IF(L675="F-90",5,IF(L675="F-120",6,0))))),0),0)+IF(AND(O675="FIRE TEX 5120",E675="CJ"),VLOOKUP(_xlfn.MINIFS('FIRE TEX 5120'!$O$5:$O$40,'FIRE TEX 5120'!$O$5:$O$40,"&gt;="&amp;M675),'FIRE TEX 5120'!$O$5:$T$40,IF(L675="F-15",2,IF(L675="F-30",3,IF(L675="F-60",4,IF(L675="F-90",5,IF(L675="F-120",6,0))))),0),0)</f>
        <v>0</v>
      </c>
      <c r="Q675" s="46">
        <f t="shared" si="69"/>
        <v>0</v>
      </c>
      <c r="R675" s="46">
        <f t="shared" si="70"/>
        <v>0</v>
      </c>
      <c r="S675" s="46" t="e">
        <f t="shared" si="71"/>
        <v>#VALUE!</v>
      </c>
      <c r="T675" s="677">
        <f t="shared" si="72"/>
        <v>0</v>
      </c>
      <c r="U675" s="80">
        <f>(IF(O675="Stofire",(S675*#REF!),0))+(IF(O675="Fire Control",(S675*$U$2),0))+(IF(O675="Fire Tex",(S675*$U$3),0))+(IF(O675="WB7",(S675*#REF!),0)+(IF(O675="FX 2003",(S675*$U$5),0)))</f>
        <v>0</v>
      </c>
      <c r="V675" s="651">
        <f t="shared" si="73"/>
        <v>0</v>
      </c>
    </row>
    <row r="676" spans="4:22" x14ac:dyDescent="0.25">
      <c r="D676" s="118">
        <f>+CUBICACION!D675</f>
        <v>0</v>
      </c>
      <c r="E676" s="118">
        <f>+CUBICACION!F675</f>
        <v>0</v>
      </c>
      <c r="F676" s="118">
        <f>+CUBICACION!E675</f>
        <v>0</v>
      </c>
      <c r="G676" s="118">
        <v>12</v>
      </c>
      <c r="H676" s="118">
        <v>2</v>
      </c>
      <c r="I676" s="820">
        <v>26385</v>
      </c>
      <c r="J676" s="118">
        <f>+CUBICACION!J675</f>
        <v>0</v>
      </c>
      <c r="K676" s="118">
        <v>3455</v>
      </c>
      <c r="L676" s="118">
        <f>+CUBICACION!L675</f>
        <v>0</v>
      </c>
      <c r="M676" s="64">
        <f>+CUBICACION!M675</f>
        <v>0</v>
      </c>
      <c r="N676" s="824" t="str">
        <f>+CUBICACION!N675</f>
        <v/>
      </c>
      <c r="O676" s="675">
        <f>+CUBICACION!O675</f>
        <v>0</v>
      </c>
      <c r="P676" s="15">
        <f>IF(O676="Fire Control",VLOOKUP(_xlfn.MINIFS('FIRE CONTROL'!$C$4:$C$37,'FIRE CONTROL'!$C$4:$C$37,"&gt;="&amp;M676),'FIRE CONTROL'!$C$4:$G$37,IF(L676="F-15",2,IF(L676="F-30",3,IF(L676="F-60",4,IF(L676="F-90",5,0)))),0),0)+IF(AND(O676="FIRE TEX 5062",OR(E676="IN",E676="C",E676="Z",E676="L"),J676=3),VLOOKUP(_xlfn.MINIFS('FIRE TEX 5062'!$B$4:$B$34,'FIRE TEX 5062'!$B$4:$B$34,"&gt;="&amp;M676),'FIRE TEX 5062'!$B$4:$F$34,IF(L676="F-15",2,IF(L676="F-30",3,IF(L676="F-60",4,IF(L676="F-90",5,0)))),0),0)+IF(AND(O676="FIRE TEX 5062",OR(E676="IN",E676="C",E676="Z",E676="L"),J676=4),VLOOKUP(_xlfn.MINIFS('FIRE TEX 5062'!$G$4:$G$34,'FIRE TEX 5062'!$G$4:$G$34,"&gt;="&amp;M676),'FIRE TEX 5062'!$G$4:$K$34,IF(L676="F-15",2,IF(L676="F-30",3,IF(L676="F-60",4,IF(L676="F-90",5,0)))),0),0)+IF(AND(O676="FIRE TEX 5062",E676="CJ",J676=3),VLOOKUP(_xlfn.MINIFS('FIRE TEX 5062'!$L$4:$L$34,'FIRE TEX 5062'!$L$4:$L$34,"&gt;="&amp;M676),'FIRE TEX 5062'!$L$4:$P$34,IF(L676="F-15",2,IF(L676="F-30",3,IF(L676="F-60",4,IF(L676="F-90",5,0)))),0),0)+IF(AND(O676="FIRE TEX 5062",E676="CJ",J676=4),VLOOKUP(_xlfn.MINIFS('FIRE TEX 5062'!$Q$3:$Q$34,'FIRE TEX 5062'!$Q$3:$Q$34,"&gt;="&amp;M676),'FIRE TEX 5062'!$Q$3:$U$34,IF(L676="F-15",2,IF(L676="F-30",3,IF(L676="F-60",4,IF(L676="F-90",5,0)))),0),0)+IF(AND(O676="FIRE TEX 5090",OR(E676="IN",E676="C",E676="Z",E676="L"),J676=3),VLOOKUP(_xlfn.MINIFS('FIRE TEX 5090'!$B$5:$B$43,'FIRE TEX 5090'!$B$5:$B$43,"&gt;="&amp;M676),'FIRE TEX 5090'!$B$5:$H$43,IF(L676="F-15",2,IF(L676="F-30",3,IF(L676="F-60",4,IF(L676="F-90",5,IF(L676="F-120",6,IF(L676="F-150",7,0)))))),0),0)+IF(AND(O676="FIRE TEX 5090",OR(E676="IN",E676="C",E676="Z",E676="L"),J676=4),VLOOKUP(_xlfn.MINIFS('FIRE TEX 5090'!$J$5:$J$43,'FIRE TEX 5090'!$J$5:$J$43,"&gt;="&amp;M676),'FIRE TEX 5090'!$J$5:$P$43,IF(L676="F-15",2,IF(L676="F-30",3,IF(L676="F-60",4,IF(L676="F-90",5,IF(L676="F-120",6,IF(L676="F-150",7,0)))))),0),0)+IF(AND(O676="FIRE TEX 5090",E676="CJ",J676=3),VLOOKUP(_xlfn.MINIFS('FIRE TEX 5090'!$R$5:$R$30,'FIRE TEX 5090'!$R$5:$R$30,"&gt;="&amp;M676),'FIRE TEX 5090'!$R$5:$W$30,IF(L676="F-15",2,IF(L676="F-30",3,IF(L676="F-60",4,IF(L676="F-90",5,IF(L676="F-120",6,IF(L676="F-150",7,0)))))),0),0)+IF(AND(O676="FIRE TEX 5090",E676="CJ",J676=4),VLOOKUP(_xlfn.MINIFS('FIRE TEX 5090'!$Y$5:$Y$39,'FIRE TEX 5090'!$Y$5:$Y$39,"&gt;="&amp;M676),'FIRE TEX 5090'!$Y$5:$AD$39,IF(L676="F-15",2,IF(L676="F-30",3,IF(L676="F-60",4,IF(L676="F-90",5,IF(L676="F-120",6,IF(L676="F-150",7,0)))))),0),0)+IF(AND(O676="FIRE TEX 5120",OR(E676="IN",E676="C",E676="Z",E676="L"),J676=3),VLOOKUP(_xlfn.MINIFS('FIRE TEX 5120'!$B$5:$B$40,'FIRE TEX 5120'!$B$5:$B$40,"&gt;="&amp;M676),'FIRE TEX 5120'!$B$5:$G$40,IF(L676="F-15",2,IF(L676="F-30",3,IF(L676="F-60",4,IF(L676="F-90",5,IF(L676="F-120",6,0))))),0),0)+IF(AND(O676="FIRE TEX 5120",OR(E676="IN",E676="C",E676="Z",E676="L"),J676=4),VLOOKUP(_xlfn.MINIFS('FIRE TEX 5120'!$H$4:$H$40,'FIRE TEX 5120'!$H$4:$H$40,"&gt;="&amp;M676),'FIRE TEX 5120'!$H$4:$M$40,IF(L676="F-15",2,IF(L676="F-30",3,IF(L676="F-60",4,IF(L676="F-90",5,IF(L676="F-120",6,0))))),0),0)+IF(AND(O676="FIRE TEX 5120",E676="CJ"),VLOOKUP(_xlfn.MINIFS('FIRE TEX 5120'!$O$5:$O$40,'FIRE TEX 5120'!$O$5:$O$40,"&gt;="&amp;M676),'FIRE TEX 5120'!$O$5:$T$40,IF(L676="F-15",2,IF(L676="F-30",3,IF(L676="F-60",4,IF(L676="F-90",5,IF(L676="F-120",6,0))))),0),0)</f>
        <v>0</v>
      </c>
      <c r="Q676" s="46">
        <f t="shared" si="69"/>
        <v>0</v>
      </c>
      <c r="R676" s="46">
        <f t="shared" si="70"/>
        <v>0</v>
      </c>
      <c r="S676" s="46" t="e">
        <f t="shared" si="71"/>
        <v>#VALUE!</v>
      </c>
      <c r="T676" s="677">
        <f t="shared" si="72"/>
        <v>0</v>
      </c>
      <c r="U676" s="80">
        <f>(IF(O676="Stofire",(S676*#REF!),0))+(IF(O676="Fire Control",(S676*$U$2),0))+(IF(O676="Fire Tex",(S676*$U$3),0))+(IF(O676="WB7",(S676*#REF!),0)+(IF(O676="FX 2003",(S676*$U$5),0)))</f>
        <v>0</v>
      </c>
      <c r="V676" s="651">
        <f t="shared" si="73"/>
        <v>0</v>
      </c>
    </row>
    <row r="677" spans="4:22" x14ac:dyDescent="0.25">
      <c r="D677" s="118">
        <f>+CUBICACION!D676</f>
        <v>0</v>
      </c>
      <c r="E677" s="118">
        <f>+CUBICACION!F676</f>
        <v>0</v>
      </c>
      <c r="F677" s="118">
        <f>+CUBICACION!E676</f>
        <v>0</v>
      </c>
      <c r="G677" s="118">
        <v>12</v>
      </c>
      <c r="H677" s="118">
        <v>2</v>
      </c>
      <c r="I677" s="820">
        <v>26385</v>
      </c>
      <c r="J677" s="118">
        <f>+CUBICACION!J676</f>
        <v>0</v>
      </c>
      <c r="K677" s="118">
        <v>3456</v>
      </c>
      <c r="L677" s="118">
        <f>+CUBICACION!L676</f>
        <v>0</v>
      </c>
      <c r="M677" s="64">
        <f>+CUBICACION!M676</f>
        <v>0</v>
      </c>
      <c r="N677" s="824" t="str">
        <f>+CUBICACION!N676</f>
        <v/>
      </c>
      <c r="O677" s="675">
        <f>+CUBICACION!O676</f>
        <v>0</v>
      </c>
      <c r="P677" s="15">
        <f>IF(O677="Fire Control",VLOOKUP(_xlfn.MINIFS('FIRE CONTROL'!$C$4:$C$37,'FIRE CONTROL'!$C$4:$C$37,"&gt;="&amp;M677),'FIRE CONTROL'!$C$4:$G$37,IF(L677="F-15",2,IF(L677="F-30",3,IF(L677="F-60",4,IF(L677="F-90",5,0)))),0),0)+IF(AND(O677="FIRE TEX 5062",OR(E677="IN",E677="C",E677="Z",E677="L"),J677=3),VLOOKUP(_xlfn.MINIFS('FIRE TEX 5062'!$B$4:$B$34,'FIRE TEX 5062'!$B$4:$B$34,"&gt;="&amp;M677),'FIRE TEX 5062'!$B$4:$F$34,IF(L677="F-15",2,IF(L677="F-30",3,IF(L677="F-60",4,IF(L677="F-90",5,0)))),0),0)+IF(AND(O677="FIRE TEX 5062",OR(E677="IN",E677="C",E677="Z",E677="L"),J677=4),VLOOKUP(_xlfn.MINIFS('FIRE TEX 5062'!$G$4:$G$34,'FIRE TEX 5062'!$G$4:$G$34,"&gt;="&amp;M677),'FIRE TEX 5062'!$G$4:$K$34,IF(L677="F-15",2,IF(L677="F-30",3,IF(L677="F-60",4,IF(L677="F-90",5,0)))),0),0)+IF(AND(O677="FIRE TEX 5062",E677="CJ",J677=3),VLOOKUP(_xlfn.MINIFS('FIRE TEX 5062'!$L$4:$L$34,'FIRE TEX 5062'!$L$4:$L$34,"&gt;="&amp;M677),'FIRE TEX 5062'!$L$4:$P$34,IF(L677="F-15",2,IF(L677="F-30",3,IF(L677="F-60",4,IF(L677="F-90",5,0)))),0),0)+IF(AND(O677="FIRE TEX 5062",E677="CJ",J677=4),VLOOKUP(_xlfn.MINIFS('FIRE TEX 5062'!$Q$3:$Q$34,'FIRE TEX 5062'!$Q$3:$Q$34,"&gt;="&amp;M677),'FIRE TEX 5062'!$Q$3:$U$34,IF(L677="F-15",2,IF(L677="F-30",3,IF(L677="F-60",4,IF(L677="F-90",5,0)))),0),0)+IF(AND(O677="FIRE TEX 5090",OR(E677="IN",E677="C",E677="Z",E677="L"),J677=3),VLOOKUP(_xlfn.MINIFS('FIRE TEX 5090'!$B$5:$B$43,'FIRE TEX 5090'!$B$5:$B$43,"&gt;="&amp;M677),'FIRE TEX 5090'!$B$5:$H$43,IF(L677="F-15",2,IF(L677="F-30",3,IF(L677="F-60",4,IF(L677="F-90",5,IF(L677="F-120",6,IF(L677="F-150",7,0)))))),0),0)+IF(AND(O677="FIRE TEX 5090",OR(E677="IN",E677="C",E677="Z",E677="L"),J677=4),VLOOKUP(_xlfn.MINIFS('FIRE TEX 5090'!$J$5:$J$43,'FIRE TEX 5090'!$J$5:$J$43,"&gt;="&amp;M677),'FIRE TEX 5090'!$J$5:$P$43,IF(L677="F-15",2,IF(L677="F-30",3,IF(L677="F-60",4,IF(L677="F-90",5,IF(L677="F-120",6,IF(L677="F-150",7,0)))))),0),0)+IF(AND(O677="FIRE TEX 5090",E677="CJ",J677=3),VLOOKUP(_xlfn.MINIFS('FIRE TEX 5090'!$R$5:$R$30,'FIRE TEX 5090'!$R$5:$R$30,"&gt;="&amp;M677),'FIRE TEX 5090'!$R$5:$W$30,IF(L677="F-15",2,IF(L677="F-30",3,IF(L677="F-60",4,IF(L677="F-90",5,IF(L677="F-120",6,IF(L677="F-150",7,0)))))),0),0)+IF(AND(O677="FIRE TEX 5090",E677="CJ",J677=4),VLOOKUP(_xlfn.MINIFS('FIRE TEX 5090'!$Y$5:$Y$39,'FIRE TEX 5090'!$Y$5:$Y$39,"&gt;="&amp;M677),'FIRE TEX 5090'!$Y$5:$AD$39,IF(L677="F-15",2,IF(L677="F-30",3,IF(L677="F-60",4,IF(L677="F-90",5,IF(L677="F-120",6,IF(L677="F-150",7,0)))))),0),0)+IF(AND(O677="FIRE TEX 5120",OR(E677="IN",E677="C",E677="Z",E677="L"),J677=3),VLOOKUP(_xlfn.MINIFS('FIRE TEX 5120'!$B$5:$B$40,'FIRE TEX 5120'!$B$5:$B$40,"&gt;="&amp;M677),'FIRE TEX 5120'!$B$5:$G$40,IF(L677="F-15",2,IF(L677="F-30",3,IF(L677="F-60",4,IF(L677="F-90",5,IF(L677="F-120",6,0))))),0),0)+IF(AND(O677="FIRE TEX 5120",OR(E677="IN",E677="C",E677="Z",E677="L"),J677=4),VLOOKUP(_xlfn.MINIFS('FIRE TEX 5120'!$H$4:$H$40,'FIRE TEX 5120'!$H$4:$H$40,"&gt;="&amp;M677),'FIRE TEX 5120'!$H$4:$M$40,IF(L677="F-15",2,IF(L677="F-30",3,IF(L677="F-60",4,IF(L677="F-90",5,IF(L677="F-120",6,0))))),0),0)+IF(AND(O677="FIRE TEX 5120",E677="CJ"),VLOOKUP(_xlfn.MINIFS('FIRE TEX 5120'!$O$5:$O$40,'FIRE TEX 5120'!$O$5:$O$40,"&gt;="&amp;M677),'FIRE TEX 5120'!$O$5:$T$40,IF(L677="F-15",2,IF(L677="F-30",3,IF(L677="F-60",4,IF(L677="F-90",5,IF(L677="F-120",6,0))))),0),0)</f>
        <v>0</v>
      </c>
      <c r="Q677" s="46">
        <f t="shared" si="69"/>
        <v>0</v>
      </c>
      <c r="R677" s="46">
        <f t="shared" si="70"/>
        <v>0</v>
      </c>
      <c r="S677" s="46" t="e">
        <f t="shared" si="71"/>
        <v>#VALUE!</v>
      </c>
      <c r="T677" s="677">
        <f t="shared" si="72"/>
        <v>0</v>
      </c>
      <c r="U677" s="80">
        <f>(IF(O677="Stofire",(S677*#REF!),0))+(IF(O677="Fire Control",(S677*$U$2),0))+(IF(O677="Fire Tex",(S677*$U$3),0))+(IF(O677="WB7",(S677*#REF!),0)+(IF(O677="FX 2003",(S677*$U$5),0)))</f>
        <v>0</v>
      </c>
      <c r="V677" s="651">
        <f t="shared" si="73"/>
        <v>0</v>
      </c>
    </row>
    <row r="678" spans="4:22" x14ac:dyDescent="0.25">
      <c r="D678" s="118">
        <f>+CUBICACION!D677</f>
        <v>0</v>
      </c>
      <c r="E678" s="118">
        <f>+CUBICACION!F677</f>
        <v>0</v>
      </c>
      <c r="F678" s="118">
        <f>+CUBICACION!E677</f>
        <v>0</v>
      </c>
      <c r="G678" s="118">
        <v>12</v>
      </c>
      <c r="H678" s="118">
        <v>2</v>
      </c>
      <c r="I678" s="820">
        <v>26385</v>
      </c>
      <c r="J678" s="118">
        <f>+CUBICACION!J677</f>
        <v>0</v>
      </c>
      <c r="K678" s="118">
        <v>3457</v>
      </c>
      <c r="L678" s="118">
        <f>+CUBICACION!L677</f>
        <v>0</v>
      </c>
      <c r="M678" s="64">
        <f>+CUBICACION!M677</f>
        <v>0</v>
      </c>
      <c r="N678" s="824" t="str">
        <f>+CUBICACION!N677</f>
        <v/>
      </c>
      <c r="O678" s="675">
        <f>+CUBICACION!O677</f>
        <v>0</v>
      </c>
      <c r="P678" s="15">
        <f>IF(O678="Fire Control",VLOOKUP(_xlfn.MINIFS('FIRE CONTROL'!$C$4:$C$37,'FIRE CONTROL'!$C$4:$C$37,"&gt;="&amp;M678),'FIRE CONTROL'!$C$4:$G$37,IF(L678="F-15",2,IF(L678="F-30",3,IF(L678="F-60",4,IF(L678="F-90",5,0)))),0),0)+IF(AND(O678="FIRE TEX 5062",OR(E678="IN",E678="C",E678="Z",E678="L"),J678=3),VLOOKUP(_xlfn.MINIFS('FIRE TEX 5062'!$B$4:$B$34,'FIRE TEX 5062'!$B$4:$B$34,"&gt;="&amp;M678),'FIRE TEX 5062'!$B$4:$F$34,IF(L678="F-15",2,IF(L678="F-30",3,IF(L678="F-60",4,IF(L678="F-90",5,0)))),0),0)+IF(AND(O678="FIRE TEX 5062",OR(E678="IN",E678="C",E678="Z",E678="L"),J678=4),VLOOKUP(_xlfn.MINIFS('FIRE TEX 5062'!$G$4:$G$34,'FIRE TEX 5062'!$G$4:$G$34,"&gt;="&amp;M678),'FIRE TEX 5062'!$G$4:$K$34,IF(L678="F-15",2,IF(L678="F-30",3,IF(L678="F-60",4,IF(L678="F-90",5,0)))),0),0)+IF(AND(O678="FIRE TEX 5062",E678="CJ",J678=3),VLOOKUP(_xlfn.MINIFS('FIRE TEX 5062'!$L$4:$L$34,'FIRE TEX 5062'!$L$4:$L$34,"&gt;="&amp;M678),'FIRE TEX 5062'!$L$4:$P$34,IF(L678="F-15",2,IF(L678="F-30",3,IF(L678="F-60",4,IF(L678="F-90",5,0)))),0),0)+IF(AND(O678="FIRE TEX 5062",E678="CJ",J678=4),VLOOKUP(_xlfn.MINIFS('FIRE TEX 5062'!$Q$3:$Q$34,'FIRE TEX 5062'!$Q$3:$Q$34,"&gt;="&amp;M678),'FIRE TEX 5062'!$Q$3:$U$34,IF(L678="F-15",2,IF(L678="F-30",3,IF(L678="F-60",4,IF(L678="F-90",5,0)))),0),0)+IF(AND(O678="FIRE TEX 5090",OR(E678="IN",E678="C",E678="Z",E678="L"),J678=3),VLOOKUP(_xlfn.MINIFS('FIRE TEX 5090'!$B$5:$B$43,'FIRE TEX 5090'!$B$5:$B$43,"&gt;="&amp;M678),'FIRE TEX 5090'!$B$5:$H$43,IF(L678="F-15",2,IF(L678="F-30",3,IF(L678="F-60",4,IF(L678="F-90",5,IF(L678="F-120",6,IF(L678="F-150",7,0)))))),0),0)+IF(AND(O678="FIRE TEX 5090",OR(E678="IN",E678="C",E678="Z",E678="L"),J678=4),VLOOKUP(_xlfn.MINIFS('FIRE TEX 5090'!$J$5:$J$43,'FIRE TEX 5090'!$J$5:$J$43,"&gt;="&amp;M678),'FIRE TEX 5090'!$J$5:$P$43,IF(L678="F-15",2,IF(L678="F-30",3,IF(L678="F-60",4,IF(L678="F-90",5,IF(L678="F-120",6,IF(L678="F-150",7,0)))))),0),0)+IF(AND(O678="FIRE TEX 5090",E678="CJ",J678=3),VLOOKUP(_xlfn.MINIFS('FIRE TEX 5090'!$R$5:$R$30,'FIRE TEX 5090'!$R$5:$R$30,"&gt;="&amp;M678),'FIRE TEX 5090'!$R$5:$W$30,IF(L678="F-15",2,IF(L678="F-30",3,IF(L678="F-60",4,IF(L678="F-90",5,IF(L678="F-120",6,IF(L678="F-150",7,0)))))),0),0)+IF(AND(O678="FIRE TEX 5090",E678="CJ",J678=4),VLOOKUP(_xlfn.MINIFS('FIRE TEX 5090'!$Y$5:$Y$39,'FIRE TEX 5090'!$Y$5:$Y$39,"&gt;="&amp;M678),'FIRE TEX 5090'!$Y$5:$AD$39,IF(L678="F-15",2,IF(L678="F-30",3,IF(L678="F-60",4,IF(L678="F-90",5,IF(L678="F-120",6,IF(L678="F-150",7,0)))))),0),0)+IF(AND(O678="FIRE TEX 5120",OR(E678="IN",E678="C",E678="Z",E678="L"),J678=3),VLOOKUP(_xlfn.MINIFS('FIRE TEX 5120'!$B$5:$B$40,'FIRE TEX 5120'!$B$5:$B$40,"&gt;="&amp;M678),'FIRE TEX 5120'!$B$5:$G$40,IF(L678="F-15",2,IF(L678="F-30",3,IF(L678="F-60",4,IF(L678="F-90",5,IF(L678="F-120",6,0))))),0),0)+IF(AND(O678="FIRE TEX 5120",OR(E678="IN",E678="C",E678="Z",E678="L"),J678=4),VLOOKUP(_xlfn.MINIFS('FIRE TEX 5120'!$H$4:$H$40,'FIRE TEX 5120'!$H$4:$H$40,"&gt;="&amp;M678),'FIRE TEX 5120'!$H$4:$M$40,IF(L678="F-15",2,IF(L678="F-30",3,IF(L678="F-60",4,IF(L678="F-90",5,IF(L678="F-120",6,0))))),0),0)+IF(AND(O678="FIRE TEX 5120",E678="CJ"),VLOOKUP(_xlfn.MINIFS('FIRE TEX 5120'!$O$5:$O$40,'FIRE TEX 5120'!$O$5:$O$40,"&gt;="&amp;M678),'FIRE TEX 5120'!$O$5:$T$40,IF(L678="F-15",2,IF(L678="F-30",3,IF(L678="F-60",4,IF(L678="F-90",5,IF(L678="F-120",6,0))))),0),0)</f>
        <v>0</v>
      </c>
      <c r="Q678" s="46">
        <f t="shared" si="69"/>
        <v>0</v>
      </c>
      <c r="R678" s="46">
        <f t="shared" si="70"/>
        <v>0</v>
      </c>
      <c r="S678" s="46" t="e">
        <f t="shared" si="71"/>
        <v>#VALUE!</v>
      </c>
      <c r="T678" s="677">
        <f t="shared" si="72"/>
        <v>0</v>
      </c>
      <c r="U678" s="80">
        <f>(IF(O678="Stofire",(S678*#REF!),0))+(IF(O678="Fire Control",(S678*$U$2),0))+(IF(O678="Fire Tex",(S678*$U$3),0))+(IF(O678="WB7",(S678*#REF!),0)+(IF(O678="FX 2003",(S678*$U$5),0)))</f>
        <v>0</v>
      </c>
      <c r="V678" s="651">
        <f t="shared" si="73"/>
        <v>0</v>
      </c>
    </row>
    <row r="679" spans="4:22" x14ac:dyDescent="0.25">
      <c r="D679" s="118">
        <f>+CUBICACION!D678</f>
        <v>0</v>
      </c>
      <c r="E679" s="118">
        <f>+CUBICACION!F678</f>
        <v>0</v>
      </c>
      <c r="F679" s="118">
        <f>+CUBICACION!E678</f>
        <v>0</v>
      </c>
      <c r="G679" s="118">
        <v>12</v>
      </c>
      <c r="H679" s="118">
        <v>2</v>
      </c>
      <c r="I679" s="820">
        <v>26385</v>
      </c>
      <c r="J679" s="118">
        <f>+CUBICACION!J678</f>
        <v>0</v>
      </c>
      <c r="K679" s="118">
        <v>3458</v>
      </c>
      <c r="L679" s="118">
        <f>+CUBICACION!L678</f>
        <v>0</v>
      </c>
      <c r="M679" s="64">
        <f>+CUBICACION!M678</f>
        <v>0</v>
      </c>
      <c r="N679" s="824" t="str">
        <f>+CUBICACION!N678</f>
        <v/>
      </c>
      <c r="O679" s="675">
        <f>+CUBICACION!O678</f>
        <v>0</v>
      </c>
      <c r="P679" s="15">
        <f>IF(O679="Fire Control",VLOOKUP(_xlfn.MINIFS('FIRE CONTROL'!$C$4:$C$37,'FIRE CONTROL'!$C$4:$C$37,"&gt;="&amp;M679),'FIRE CONTROL'!$C$4:$G$37,IF(L679="F-15",2,IF(L679="F-30",3,IF(L679="F-60",4,IF(L679="F-90",5,0)))),0),0)+IF(AND(O679="FIRE TEX 5062",OR(E679="IN",E679="C",E679="Z",E679="L"),J679=3),VLOOKUP(_xlfn.MINIFS('FIRE TEX 5062'!$B$4:$B$34,'FIRE TEX 5062'!$B$4:$B$34,"&gt;="&amp;M679),'FIRE TEX 5062'!$B$4:$F$34,IF(L679="F-15",2,IF(L679="F-30",3,IF(L679="F-60",4,IF(L679="F-90",5,0)))),0),0)+IF(AND(O679="FIRE TEX 5062",OR(E679="IN",E679="C",E679="Z",E679="L"),J679=4),VLOOKUP(_xlfn.MINIFS('FIRE TEX 5062'!$G$4:$G$34,'FIRE TEX 5062'!$G$4:$G$34,"&gt;="&amp;M679),'FIRE TEX 5062'!$G$4:$K$34,IF(L679="F-15",2,IF(L679="F-30",3,IF(L679="F-60",4,IF(L679="F-90",5,0)))),0),0)+IF(AND(O679="FIRE TEX 5062",E679="CJ",J679=3),VLOOKUP(_xlfn.MINIFS('FIRE TEX 5062'!$L$4:$L$34,'FIRE TEX 5062'!$L$4:$L$34,"&gt;="&amp;M679),'FIRE TEX 5062'!$L$4:$P$34,IF(L679="F-15",2,IF(L679="F-30",3,IF(L679="F-60",4,IF(L679="F-90",5,0)))),0),0)+IF(AND(O679="FIRE TEX 5062",E679="CJ",J679=4),VLOOKUP(_xlfn.MINIFS('FIRE TEX 5062'!$Q$3:$Q$34,'FIRE TEX 5062'!$Q$3:$Q$34,"&gt;="&amp;M679),'FIRE TEX 5062'!$Q$3:$U$34,IF(L679="F-15",2,IF(L679="F-30",3,IF(L679="F-60",4,IF(L679="F-90",5,0)))),0),0)+IF(AND(O679="FIRE TEX 5090",OR(E679="IN",E679="C",E679="Z",E679="L"),J679=3),VLOOKUP(_xlfn.MINIFS('FIRE TEX 5090'!$B$5:$B$43,'FIRE TEX 5090'!$B$5:$B$43,"&gt;="&amp;M679),'FIRE TEX 5090'!$B$5:$H$43,IF(L679="F-15",2,IF(L679="F-30",3,IF(L679="F-60",4,IF(L679="F-90",5,IF(L679="F-120",6,IF(L679="F-150",7,0)))))),0),0)+IF(AND(O679="FIRE TEX 5090",OR(E679="IN",E679="C",E679="Z",E679="L"),J679=4),VLOOKUP(_xlfn.MINIFS('FIRE TEX 5090'!$J$5:$J$43,'FIRE TEX 5090'!$J$5:$J$43,"&gt;="&amp;M679),'FIRE TEX 5090'!$J$5:$P$43,IF(L679="F-15",2,IF(L679="F-30",3,IF(L679="F-60",4,IF(L679="F-90",5,IF(L679="F-120",6,IF(L679="F-150",7,0)))))),0),0)+IF(AND(O679="FIRE TEX 5090",E679="CJ",J679=3),VLOOKUP(_xlfn.MINIFS('FIRE TEX 5090'!$R$5:$R$30,'FIRE TEX 5090'!$R$5:$R$30,"&gt;="&amp;M679),'FIRE TEX 5090'!$R$5:$W$30,IF(L679="F-15",2,IF(L679="F-30",3,IF(L679="F-60",4,IF(L679="F-90",5,IF(L679="F-120",6,IF(L679="F-150",7,0)))))),0),0)+IF(AND(O679="FIRE TEX 5090",E679="CJ",J679=4),VLOOKUP(_xlfn.MINIFS('FIRE TEX 5090'!$Y$5:$Y$39,'FIRE TEX 5090'!$Y$5:$Y$39,"&gt;="&amp;M679),'FIRE TEX 5090'!$Y$5:$AD$39,IF(L679="F-15",2,IF(L679="F-30",3,IF(L679="F-60",4,IF(L679="F-90",5,IF(L679="F-120",6,IF(L679="F-150",7,0)))))),0),0)+IF(AND(O679="FIRE TEX 5120",OR(E679="IN",E679="C",E679="Z",E679="L"),J679=3),VLOOKUP(_xlfn.MINIFS('FIRE TEX 5120'!$B$5:$B$40,'FIRE TEX 5120'!$B$5:$B$40,"&gt;="&amp;M679),'FIRE TEX 5120'!$B$5:$G$40,IF(L679="F-15",2,IF(L679="F-30",3,IF(L679="F-60",4,IF(L679="F-90",5,IF(L679="F-120",6,0))))),0),0)+IF(AND(O679="FIRE TEX 5120",OR(E679="IN",E679="C",E679="Z",E679="L"),J679=4),VLOOKUP(_xlfn.MINIFS('FIRE TEX 5120'!$H$4:$H$40,'FIRE TEX 5120'!$H$4:$H$40,"&gt;="&amp;M679),'FIRE TEX 5120'!$H$4:$M$40,IF(L679="F-15",2,IF(L679="F-30",3,IF(L679="F-60",4,IF(L679="F-90",5,IF(L679="F-120",6,0))))),0),0)+IF(AND(O679="FIRE TEX 5120",E679="CJ"),VLOOKUP(_xlfn.MINIFS('FIRE TEX 5120'!$O$5:$O$40,'FIRE TEX 5120'!$O$5:$O$40,"&gt;="&amp;M679),'FIRE TEX 5120'!$O$5:$T$40,IF(L679="F-15",2,IF(L679="F-30",3,IF(L679="F-60",4,IF(L679="F-90",5,IF(L679="F-120",6,0))))),0),0)</f>
        <v>0</v>
      </c>
      <c r="Q679" s="46">
        <f t="shared" si="69"/>
        <v>0</v>
      </c>
      <c r="R679" s="46">
        <f t="shared" si="70"/>
        <v>0</v>
      </c>
      <c r="S679" s="46" t="e">
        <f t="shared" si="71"/>
        <v>#VALUE!</v>
      </c>
      <c r="T679" s="677">
        <f t="shared" si="72"/>
        <v>0</v>
      </c>
      <c r="U679" s="80">
        <f>(IF(O679="Stofire",(S679*#REF!),0))+(IF(O679="Fire Control",(S679*$U$2),0))+(IF(O679="Fire Tex",(S679*$U$3),0))+(IF(O679="WB7",(S679*#REF!),0)+(IF(O679="FX 2003",(S679*$U$5),0)))</f>
        <v>0</v>
      </c>
      <c r="V679" s="651">
        <f t="shared" si="73"/>
        <v>0</v>
      </c>
    </row>
    <row r="680" spans="4:22" x14ac:dyDescent="0.25">
      <c r="D680" s="118">
        <f>+CUBICACION!D679</f>
        <v>0</v>
      </c>
      <c r="E680" s="118">
        <f>+CUBICACION!F679</f>
        <v>0</v>
      </c>
      <c r="F680" s="118">
        <f>+CUBICACION!E679</f>
        <v>0</v>
      </c>
      <c r="G680" s="118">
        <v>12</v>
      </c>
      <c r="H680" s="118">
        <v>2</v>
      </c>
      <c r="I680" s="820">
        <v>26385</v>
      </c>
      <c r="J680" s="118">
        <f>+CUBICACION!J679</f>
        <v>0</v>
      </c>
      <c r="K680" s="118">
        <v>3459</v>
      </c>
      <c r="L680" s="118">
        <f>+CUBICACION!L679</f>
        <v>0</v>
      </c>
      <c r="M680" s="64">
        <f>+CUBICACION!M679</f>
        <v>0</v>
      </c>
      <c r="N680" s="824" t="str">
        <f>+CUBICACION!N679</f>
        <v/>
      </c>
      <c r="O680" s="675">
        <f>+CUBICACION!O679</f>
        <v>0</v>
      </c>
      <c r="P680" s="15">
        <f>IF(O680="Fire Control",VLOOKUP(_xlfn.MINIFS('FIRE CONTROL'!$C$4:$C$37,'FIRE CONTROL'!$C$4:$C$37,"&gt;="&amp;M680),'FIRE CONTROL'!$C$4:$G$37,IF(L680="F-15",2,IF(L680="F-30",3,IF(L680="F-60",4,IF(L680="F-90",5,0)))),0),0)+IF(AND(O680="FIRE TEX 5062",OR(E680="IN",E680="C",E680="Z",E680="L"),J680=3),VLOOKUP(_xlfn.MINIFS('FIRE TEX 5062'!$B$4:$B$34,'FIRE TEX 5062'!$B$4:$B$34,"&gt;="&amp;M680),'FIRE TEX 5062'!$B$4:$F$34,IF(L680="F-15",2,IF(L680="F-30",3,IF(L680="F-60",4,IF(L680="F-90",5,0)))),0),0)+IF(AND(O680="FIRE TEX 5062",OR(E680="IN",E680="C",E680="Z",E680="L"),J680=4),VLOOKUP(_xlfn.MINIFS('FIRE TEX 5062'!$G$4:$G$34,'FIRE TEX 5062'!$G$4:$G$34,"&gt;="&amp;M680),'FIRE TEX 5062'!$G$4:$K$34,IF(L680="F-15",2,IF(L680="F-30",3,IF(L680="F-60",4,IF(L680="F-90",5,0)))),0),0)+IF(AND(O680="FIRE TEX 5062",E680="CJ",J680=3),VLOOKUP(_xlfn.MINIFS('FIRE TEX 5062'!$L$4:$L$34,'FIRE TEX 5062'!$L$4:$L$34,"&gt;="&amp;M680),'FIRE TEX 5062'!$L$4:$P$34,IF(L680="F-15",2,IF(L680="F-30",3,IF(L680="F-60",4,IF(L680="F-90",5,0)))),0),0)+IF(AND(O680="FIRE TEX 5062",E680="CJ",J680=4),VLOOKUP(_xlfn.MINIFS('FIRE TEX 5062'!$Q$3:$Q$34,'FIRE TEX 5062'!$Q$3:$Q$34,"&gt;="&amp;M680),'FIRE TEX 5062'!$Q$3:$U$34,IF(L680="F-15",2,IF(L680="F-30",3,IF(L680="F-60",4,IF(L680="F-90",5,0)))),0),0)+IF(AND(O680="FIRE TEX 5090",OR(E680="IN",E680="C",E680="Z",E680="L"),J680=3),VLOOKUP(_xlfn.MINIFS('FIRE TEX 5090'!$B$5:$B$43,'FIRE TEX 5090'!$B$5:$B$43,"&gt;="&amp;M680),'FIRE TEX 5090'!$B$5:$H$43,IF(L680="F-15",2,IF(L680="F-30",3,IF(L680="F-60",4,IF(L680="F-90",5,IF(L680="F-120",6,IF(L680="F-150",7,0)))))),0),0)+IF(AND(O680="FIRE TEX 5090",OR(E680="IN",E680="C",E680="Z",E680="L"),J680=4),VLOOKUP(_xlfn.MINIFS('FIRE TEX 5090'!$J$5:$J$43,'FIRE TEX 5090'!$J$5:$J$43,"&gt;="&amp;M680),'FIRE TEX 5090'!$J$5:$P$43,IF(L680="F-15",2,IF(L680="F-30",3,IF(L680="F-60",4,IF(L680="F-90",5,IF(L680="F-120",6,IF(L680="F-150",7,0)))))),0),0)+IF(AND(O680="FIRE TEX 5090",E680="CJ",J680=3),VLOOKUP(_xlfn.MINIFS('FIRE TEX 5090'!$R$5:$R$30,'FIRE TEX 5090'!$R$5:$R$30,"&gt;="&amp;M680),'FIRE TEX 5090'!$R$5:$W$30,IF(L680="F-15",2,IF(L680="F-30",3,IF(L680="F-60",4,IF(L680="F-90",5,IF(L680="F-120",6,IF(L680="F-150",7,0)))))),0),0)+IF(AND(O680="FIRE TEX 5090",E680="CJ",J680=4),VLOOKUP(_xlfn.MINIFS('FIRE TEX 5090'!$Y$5:$Y$39,'FIRE TEX 5090'!$Y$5:$Y$39,"&gt;="&amp;M680),'FIRE TEX 5090'!$Y$5:$AD$39,IF(L680="F-15",2,IF(L680="F-30",3,IF(L680="F-60",4,IF(L680="F-90",5,IF(L680="F-120",6,IF(L680="F-150",7,0)))))),0),0)+IF(AND(O680="FIRE TEX 5120",OR(E680="IN",E680="C",E680="Z",E680="L"),J680=3),VLOOKUP(_xlfn.MINIFS('FIRE TEX 5120'!$B$5:$B$40,'FIRE TEX 5120'!$B$5:$B$40,"&gt;="&amp;M680),'FIRE TEX 5120'!$B$5:$G$40,IF(L680="F-15",2,IF(L680="F-30",3,IF(L680="F-60",4,IF(L680="F-90",5,IF(L680="F-120",6,0))))),0),0)+IF(AND(O680="FIRE TEX 5120",OR(E680="IN",E680="C",E680="Z",E680="L"),J680=4),VLOOKUP(_xlfn.MINIFS('FIRE TEX 5120'!$H$4:$H$40,'FIRE TEX 5120'!$H$4:$H$40,"&gt;="&amp;M680),'FIRE TEX 5120'!$H$4:$M$40,IF(L680="F-15",2,IF(L680="F-30",3,IF(L680="F-60",4,IF(L680="F-90",5,IF(L680="F-120",6,0))))),0),0)+IF(AND(O680="FIRE TEX 5120",E680="CJ"),VLOOKUP(_xlfn.MINIFS('FIRE TEX 5120'!$O$5:$O$40,'FIRE TEX 5120'!$O$5:$O$40,"&gt;="&amp;M680),'FIRE TEX 5120'!$O$5:$T$40,IF(L680="F-15",2,IF(L680="F-30",3,IF(L680="F-60",4,IF(L680="F-90",5,IF(L680="F-120",6,0))))),0),0)</f>
        <v>0</v>
      </c>
      <c r="Q680" s="46">
        <f t="shared" si="69"/>
        <v>0</v>
      </c>
      <c r="R680" s="46">
        <f t="shared" si="70"/>
        <v>0</v>
      </c>
      <c r="S680" s="46" t="e">
        <f t="shared" si="71"/>
        <v>#VALUE!</v>
      </c>
      <c r="T680" s="677">
        <f t="shared" si="72"/>
        <v>0</v>
      </c>
      <c r="U680" s="80">
        <f>(IF(O680="Stofire",(S680*#REF!),0))+(IF(O680="Fire Control",(S680*$U$2),0))+(IF(O680="Fire Tex",(S680*$U$3),0))+(IF(O680="WB7",(S680*#REF!),0)+(IF(O680="FX 2003",(S680*$U$5),0)))</f>
        <v>0</v>
      </c>
      <c r="V680" s="651">
        <f t="shared" si="73"/>
        <v>0</v>
      </c>
    </row>
    <row r="681" spans="4:22" x14ac:dyDescent="0.25">
      <c r="D681" s="118">
        <f>+CUBICACION!D680</f>
        <v>0</v>
      </c>
      <c r="E681" s="118">
        <f>+CUBICACION!F680</f>
        <v>0</v>
      </c>
      <c r="F681" s="118">
        <f>+CUBICACION!E680</f>
        <v>0</v>
      </c>
      <c r="G681" s="118">
        <v>12</v>
      </c>
      <c r="H681" s="118">
        <v>2</v>
      </c>
      <c r="I681" s="820">
        <v>26385</v>
      </c>
      <c r="J681" s="118">
        <f>+CUBICACION!J680</f>
        <v>0</v>
      </c>
      <c r="K681" s="118">
        <v>3460</v>
      </c>
      <c r="L681" s="118">
        <f>+CUBICACION!L680</f>
        <v>0</v>
      </c>
      <c r="M681" s="64">
        <f>+CUBICACION!M680</f>
        <v>0</v>
      </c>
      <c r="N681" s="824" t="str">
        <f>+CUBICACION!N680</f>
        <v/>
      </c>
      <c r="O681" s="675">
        <f>+CUBICACION!O680</f>
        <v>0</v>
      </c>
      <c r="P681" s="15">
        <f>IF(O681="Fire Control",VLOOKUP(_xlfn.MINIFS('FIRE CONTROL'!$C$4:$C$37,'FIRE CONTROL'!$C$4:$C$37,"&gt;="&amp;M681),'FIRE CONTROL'!$C$4:$G$37,IF(L681="F-15",2,IF(L681="F-30",3,IF(L681="F-60",4,IF(L681="F-90",5,0)))),0),0)+IF(AND(O681="FIRE TEX 5062",OR(E681="IN",E681="C",E681="Z",E681="L"),J681=3),VLOOKUP(_xlfn.MINIFS('FIRE TEX 5062'!$B$4:$B$34,'FIRE TEX 5062'!$B$4:$B$34,"&gt;="&amp;M681),'FIRE TEX 5062'!$B$4:$F$34,IF(L681="F-15",2,IF(L681="F-30",3,IF(L681="F-60",4,IF(L681="F-90",5,0)))),0),0)+IF(AND(O681="FIRE TEX 5062",OR(E681="IN",E681="C",E681="Z",E681="L"),J681=4),VLOOKUP(_xlfn.MINIFS('FIRE TEX 5062'!$G$4:$G$34,'FIRE TEX 5062'!$G$4:$G$34,"&gt;="&amp;M681),'FIRE TEX 5062'!$G$4:$K$34,IF(L681="F-15",2,IF(L681="F-30",3,IF(L681="F-60",4,IF(L681="F-90",5,0)))),0),0)+IF(AND(O681="FIRE TEX 5062",E681="CJ",J681=3),VLOOKUP(_xlfn.MINIFS('FIRE TEX 5062'!$L$4:$L$34,'FIRE TEX 5062'!$L$4:$L$34,"&gt;="&amp;M681),'FIRE TEX 5062'!$L$4:$P$34,IF(L681="F-15",2,IF(L681="F-30",3,IF(L681="F-60",4,IF(L681="F-90",5,0)))),0),0)+IF(AND(O681="FIRE TEX 5062",E681="CJ",J681=4),VLOOKUP(_xlfn.MINIFS('FIRE TEX 5062'!$Q$3:$Q$34,'FIRE TEX 5062'!$Q$3:$Q$34,"&gt;="&amp;M681),'FIRE TEX 5062'!$Q$3:$U$34,IF(L681="F-15",2,IF(L681="F-30",3,IF(L681="F-60",4,IF(L681="F-90",5,0)))),0),0)+IF(AND(O681="FIRE TEX 5090",OR(E681="IN",E681="C",E681="Z",E681="L"),J681=3),VLOOKUP(_xlfn.MINIFS('FIRE TEX 5090'!$B$5:$B$43,'FIRE TEX 5090'!$B$5:$B$43,"&gt;="&amp;M681),'FIRE TEX 5090'!$B$5:$H$43,IF(L681="F-15",2,IF(L681="F-30",3,IF(L681="F-60",4,IF(L681="F-90",5,IF(L681="F-120",6,IF(L681="F-150",7,0)))))),0),0)+IF(AND(O681="FIRE TEX 5090",OR(E681="IN",E681="C",E681="Z",E681="L"),J681=4),VLOOKUP(_xlfn.MINIFS('FIRE TEX 5090'!$J$5:$J$43,'FIRE TEX 5090'!$J$5:$J$43,"&gt;="&amp;M681),'FIRE TEX 5090'!$J$5:$P$43,IF(L681="F-15",2,IF(L681="F-30",3,IF(L681="F-60",4,IF(L681="F-90",5,IF(L681="F-120",6,IF(L681="F-150",7,0)))))),0),0)+IF(AND(O681="FIRE TEX 5090",E681="CJ",J681=3),VLOOKUP(_xlfn.MINIFS('FIRE TEX 5090'!$R$5:$R$30,'FIRE TEX 5090'!$R$5:$R$30,"&gt;="&amp;M681),'FIRE TEX 5090'!$R$5:$W$30,IF(L681="F-15",2,IF(L681="F-30",3,IF(L681="F-60",4,IF(L681="F-90",5,IF(L681="F-120",6,IF(L681="F-150",7,0)))))),0),0)+IF(AND(O681="FIRE TEX 5090",E681="CJ",J681=4),VLOOKUP(_xlfn.MINIFS('FIRE TEX 5090'!$Y$5:$Y$39,'FIRE TEX 5090'!$Y$5:$Y$39,"&gt;="&amp;M681),'FIRE TEX 5090'!$Y$5:$AD$39,IF(L681="F-15",2,IF(L681="F-30",3,IF(L681="F-60",4,IF(L681="F-90",5,IF(L681="F-120",6,IF(L681="F-150",7,0)))))),0),0)+IF(AND(O681="FIRE TEX 5120",OR(E681="IN",E681="C",E681="Z",E681="L"),J681=3),VLOOKUP(_xlfn.MINIFS('FIRE TEX 5120'!$B$5:$B$40,'FIRE TEX 5120'!$B$5:$B$40,"&gt;="&amp;M681),'FIRE TEX 5120'!$B$5:$G$40,IF(L681="F-15",2,IF(L681="F-30",3,IF(L681="F-60",4,IF(L681="F-90",5,IF(L681="F-120",6,0))))),0),0)+IF(AND(O681="FIRE TEX 5120",OR(E681="IN",E681="C",E681="Z",E681="L"),J681=4),VLOOKUP(_xlfn.MINIFS('FIRE TEX 5120'!$H$4:$H$40,'FIRE TEX 5120'!$H$4:$H$40,"&gt;="&amp;M681),'FIRE TEX 5120'!$H$4:$M$40,IF(L681="F-15",2,IF(L681="F-30",3,IF(L681="F-60",4,IF(L681="F-90",5,IF(L681="F-120",6,0))))),0),0)+IF(AND(O681="FIRE TEX 5120",E681="CJ"),VLOOKUP(_xlfn.MINIFS('FIRE TEX 5120'!$O$5:$O$40,'FIRE TEX 5120'!$O$5:$O$40,"&gt;="&amp;M681),'FIRE TEX 5120'!$O$5:$T$40,IF(L681="F-15",2,IF(L681="F-30",3,IF(L681="F-60",4,IF(L681="F-90",5,IF(L681="F-120",6,0))))),0),0)</f>
        <v>0</v>
      </c>
      <c r="Q681" s="46">
        <f t="shared" si="69"/>
        <v>0</v>
      </c>
      <c r="R681" s="46">
        <f t="shared" si="70"/>
        <v>0</v>
      </c>
      <c r="S681" s="46" t="e">
        <f t="shared" si="71"/>
        <v>#VALUE!</v>
      </c>
      <c r="T681" s="677">
        <f t="shared" si="72"/>
        <v>0</v>
      </c>
      <c r="U681" s="80">
        <f>(IF(O681="Stofire",(S681*#REF!),0))+(IF(O681="Fire Control",(S681*$U$2),0))+(IF(O681="Fire Tex",(S681*$U$3),0))+(IF(O681="WB7",(S681*#REF!),0)+(IF(O681="FX 2003",(S681*$U$5),0)))</f>
        <v>0</v>
      </c>
      <c r="V681" s="651">
        <f t="shared" si="73"/>
        <v>0</v>
      </c>
    </row>
    <row r="682" spans="4:22" x14ac:dyDescent="0.25">
      <c r="D682" s="118">
        <f>+CUBICACION!D681</f>
        <v>0</v>
      </c>
      <c r="E682" s="118">
        <f>+CUBICACION!F681</f>
        <v>0</v>
      </c>
      <c r="F682" s="118">
        <f>+CUBICACION!E681</f>
        <v>0</v>
      </c>
      <c r="G682" s="118">
        <v>12</v>
      </c>
      <c r="H682" s="118">
        <v>2</v>
      </c>
      <c r="I682" s="820">
        <v>26385</v>
      </c>
      <c r="J682" s="118">
        <f>+CUBICACION!J681</f>
        <v>0</v>
      </c>
      <c r="K682" s="118">
        <v>3461</v>
      </c>
      <c r="L682" s="118">
        <f>+CUBICACION!L681</f>
        <v>0</v>
      </c>
      <c r="M682" s="64">
        <f>+CUBICACION!M681</f>
        <v>0</v>
      </c>
      <c r="N682" s="824" t="str">
        <f>+CUBICACION!N681</f>
        <v/>
      </c>
      <c r="O682" s="675">
        <f>+CUBICACION!O681</f>
        <v>0</v>
      </c>
      <c r="P682" s="15">
        <f>IF(O682="Fire Control",VLOOKUP(_xlfn.MINIFS('FIRE CONTROL'!$C$4:$C$37,'FIRE CONTROL'!$C$4:$C$37,"&gt;="&amp;M682),'FIRE CONTROL'!$C$4:$G$37,IF(L682="F-15",2,IF(L682="F-30",3,IF(L682="F-60",4,IF(L682="F-90",5,0)))),0),0)+IF(AND(O682="FIRE TEX 5062",OR(E682="IN",E682="C",E682="Z",E682="L"),J682=3),VLOOKUP(_xlfn.MINIFS('FIRE TEX 5062'!$B$4:$B$34,'FIRE TEX 5062'!$B$4:$B$34,"&gt;="&amp;M682),'FIRE TEX 5062'!$B$4:$F$34,IF(L682="F-15",2,IF(L682="F-30",3,IF(L682="F-60",4,IF(L682="F-90",5,0)))),0),0)+IF(AND(O682="FIRE TEX 5062",OR(E682="IN",E682="C",E682="Z",E682="L"),J682=4),VLOOKUP(_xlfn.MINIFS('FIRE TEX 5062'!$G$4:$G$34,'FIRE TEX 5062'!$G$4:$G$34,"&gt;="&amp;M682),'FIRE TEX 5062'!$G$4:$K$34,IF(L682="F-15",2,IF(L682="F-30",3,IF(L682="F-60",4,IF(L682="F-90",5,0)))),0),0)+IF(AND(O682="FIRE TEX 5062",E682="CJ",J682=3),VLOOKUP(_xlfn.MINIFS('FIRE TEX 5062'!$L$4:$L$34,'FIRE TEX 5062'!$L$4:$L$34,"&gt;="&amp;M682),'FIRE TEX 5062'!$L$4:$P$34,IF(L682="F-15",2,IF(L682="F-30",3,IF(L682="F-60",4,IF(L682="F-90",5,0)))),0),0)+IF(AND(O682="FIRE TEX 5062",E682="CJ",J682=4),VLOOKUP(_xlfn.MINIFS('FIRE TEX 5062'!$Q$3:$Q$34,'FIRE TEX 5062'!$Q$3:$Q$34,"&gt;="&amp;M682),'FIRE TEX 5062'!$Q$3:$U$34,IF(L682="F-15",2,IF(L682="F-30",3,IF(L682="F-60",4,IF(L682="F-90",5,0)))),0),0)+IF(AND(O682="FIRE TEX 5090",OR(E682="IN",E682="C",E682="Z",E682="L"),J682=3),VLOOKUP(_xlfn.MINIFS('FIRE TEX 5090'!$B$5:$B$43,'FIRE TEX 5090'!$B$5:$B$43,"&gt;="&amp;M682),'FIRE TEX 5090'!$B$5:$H$43,IF(L682="F-15",2,IF(L682="F-30",3,IF(L682="F-60",4,IF(L682="F-90",5,IF(L682="F-120",6,IF(L682="F-150",7,0)))))),0),0)+IF(AND(O682="FIRE TEX 5090",OR(E682="IN",E682="C",E682="Z",E682="L"),J682=4),VLOOKUP(_xlfn.MINIFS('FIRE TEX 5090'!$J$5:$J$43,'FIRE TEX 5090'!$J$5:$J$43,"&gt;="&amp;M682),'FIRE TEX 5090'!$J$5:$P$43,IF(L682="F-15",2,IF(L682="F-30",3,IF(L682="F-60",4,IF(L682="F-90",5,IF(L682="F-120",6,IF(L682="F-150",7,0)))))),0),0)+IF(AND(O682="FIRE TEX 5090",E682="CJ",J682=3),VLOOKUP(_xlfn.MINIFS('FIRE TEX 5090'!$R$5:$R$30,'FIRE TEX 5090'!$R$5:$R$30,"&gt;="&amp;M682),'FIRE TEX 5090'!$R$5:$W$30,IF(L682="F-15",2,IF(L682="F-30",3,IF(L682="F-60",4,IF(L682="F-90",5,IF(L682="F-120",6,IF(L682="F-150",7,0)))))),0),0)+IF(AND(O682="FIRE TEX 5090",E682="CJ",J682=4),VLOOKUP(_xlfn.MINIFS('FIRE TEX 5090'!$Y$5:$Y$39,'FIRE TEX 5090'!$Y$5:$Y$39,"&gt;="&amp;M682),'FIRE TEX 5090'!$Y$5:$AD$39,IF(L682="F-15",2,IF(L682="F-30",3,IF(L682="F-60",4,IF(L682="F-90",5,IF(L682="F-120",6,IF(L682="F-150",7,0)))))),0),0)+IF(AND(O682="FIRE TEX 5120",OR(E682="IN",E682="C",E682="Z",E682="L"),J682=3),VLOOKUP(_xlfn.MINIFS('FIRE TEX 5120'!$B$5:$B$40,'FIRE TEX 5120'!$B$5:$B$40,"&gt;="&amp;M682),'FIRE TEX 5120'!$B$5:$G$40,IF(L682="F-15",2,IF(L682="F-30",3,IF(L682="F-60",4,IF(L682="F-90",5,IF(L682="F-120",6,0))))),0),0)+IF(AND(O682="FIRE TEX 5120",OR(E682="IN",E682="C",E682="Z",E682="L"),J682=4),VLOOKUP(_xlfn.MINIFS('FIRE TEX 5120'!$H$4:$H$40,'FIRE TEX 5120'!$H$4:$H$40,"&gt;="&amp;M682),'FIRE TEX 5120'!$H$4:$M$40,IF(L682="F-15",2,IF(L682="F-30",3,IF(L682="F-60",4,IF(L682="F-90",5,IF(L682="F-120",6,0))))),0),0)+IF(AND(O682="FIRE TEX 5120",E682="CJ"),VLOOKUP(_xlfn.MINIFS('FIRE TEX 5120'!$O$5:$O$40,'FIRE TEX 5120'!$O$5:$O$40,"&gt;="&amp;M682),'FIRE TEX 5120'!$O$5:$T$40,IF(L682="F-15",2,IF(L682="F-30",3,IF(L682="F-60",4,IF(L682="F-90",5,IF(L682="F-120",6,0))))),0),0)</f>
        <v>0</v>
      </c>
      <c r="Q682" s="46">
        <f t="shared" si="69"/>
        <v>0</v>
      </c>
      <c r="R682" s="46">
        <f t="shared" si="70"/>
        <v>0</v>
      </c>
      <c r="S682" s="46" t="e">
        <f t="shared" si="71"/>
        <v>#VALUE!</v>
      </c>
      <c r="T682" s="677">
        <f t="shared" si="72"/>
        <v>0</v>
      </c>
      <c r="U682" s="80">
        <f>(IF(O682="Stofire",(S682*#REF!),0))+(IF(O682="Fire Control",(S682*$U$2),0))+(IF(O682="Fire Tex",(S682*$U$3),0))+(IF(O682="WB7",(S682*#REF!),0)+(IF(O682="FX 2003",(S682*$U$5),0)))</f>
        <v>0</v>
      </c>
      <c r="V682" s="651">
        <f t="shared" si="73"/>
        <v>0</v>
      </c>
    </row>
    <row r="683" spans="4:22" x14ac:dyDescent="0.25">
      <c r="D683" s="118">
        <f>+CUBICACION!D682</f>
        <v>0</v>
      </c>
      <c r="E683" s="118">
        <f>+CUBICACION!F682</f>
        <v>0</v>
      </c>
      <c r="F683" s="118">
        <f>+CUBICACION!E682</f>
        <v>0</v>
      </c>
      <c r="G683" s="118">
        <v>12</v>
      </c>
      <c r="H683" s="118">
        <v>2</v>
      </c>
      <c r="I683" s="820">
        <v>26385</v>
      </c>
      <c r="J683" s="118">
        <f>+CUBICACION!J682</f>
        <v>0</v>
      </c>
      <c r="K683" s="118">
        <v>3462</v>
      </c>
      <c r="L683" s="118">
        <f>+CUBICACION!L682</f>
        <v>0</v>
      </c>
      <c r="M683" s="64">
        <f>+CUBICACION!M682</f>
        <v>0</v>
      </c>
      <c r="N683" s="824" t="str">
        <f>+CUBICACION!N682</f>
        <v/>
      </c>
      <c r="O683" s="675">
        <f>+CUBICACION!O682</f>
        <v>0</v>
      </c>
      <c r="P683" s="15">
        <f>IF(O683="Fire Control",VLOOKUP(_xlfn.MINIFS('FIRE CONTROL'!$C$4:$C$37,'FIRE CONTROL'!$C$4:$C$37,"&gt;="&amp;M683),'FIRE CONTROL'!$C$4:$G$37,IF(L683="F-15",2,IF(L683="F-30",3,IF(L683="F-60",4,IF(L683="F-90",5,0)))),0),0)+IF(AND(O683="FIRE TEX 5062",OR(E683="IN",E683="C",E683="Z",E683="L"),J683=3),VLOOKUP(_xlfn.MINIFS('FIRE TEX 5062'!$B$4:$B$34,'FIRE TEX 5062'!$B$4:$B$34,"&gt;="&amp;M683),'FIRE TEX 5062'!$B$4:$F$34,IF(L683="F-15",2,IF(L683="F-30",3,IF(L683="F-60",4,IF(L683="F-90",5,0)))),0),0)+IF(AND(O683="FIRE TEX 5062",OR(E683="IN",E683="C",E683="Z",E683="L"),J683=4),VLOOKUP(_xlfn.MINIFS('FIRE TEX 5062'!$G$4:$G$34,'FIRE TEX 5062'!$G$4:$G$34,"&gt;="&amp;M683),'FIRE TEX 5062'!$G$4:$K$34,IF(L683="F-15",2,IF(L683="F-30",3,IF(L683="F-60",4,IF(L683="F-90",5,0)))),0),0)+IF(AND(O683="FIRE TEX 5062",E683="CJ",J683=3),VLOOKUP(_xlfn.MINIFS('FIRE TEX 5062'!$L$4:$L$34,'FIRE TEX 5062'!$L$4:$L$34,"&gt;="&amp;M683),'FIRE TEX 5062'!$L$4:$P$34,IF(L683="F-15",2,IF(L683="F-30",3,IF(L683="F-60",4,IF(L683="F-90",5,0)))),0),0)+IF(AND(O683="FIRE TEX 5062",E683="CJ",J683=4),VLOOKUP(_xlfn.MINIFS('FIRE TEX 5062'!$Q$3:$Q$34,'FIRE TEX 5062'!$Q$3:$Q$34,"&gt;="&amp;M683),'FIRE TEX 5062'!$Q$3:$U$34,IF(L683="F-15",2,IF(L683="F-30",3,IF(L683="F-60",4,IF(L683="F-90",5,0)))),0),0)+IF(AND(O683="FIRE TEX 5090",OR(E683="IN",E683="C",E683="Z",E683="L"),J683=3),VLOOKUP(_xlfn.MINIFS('FIRE TEX 5090'!$B$5:$B$43,'FIRE TEX 5090'!$B$5:$B$43,"&gt;="&amp;M683),'FIRE TEX 5090'!$B$5:$H$43,IF(L683="F-15",2,IF(L683="F-30",3,IF(L683="F-60",4,IF(L683="F-90",5,IF(L683="F-120",6,IF(L683="F-150",7,0)))))),0),0)+IF(AND(O683="FIRE TEX 5090",OR(E683="IN",E683="C",E683="Z",E683="L"),J683=4),VLOOKUP(_xlfn.MINIFS('FIRE TEX 5090'!$J$5:$J$43,'FIRE TEX 5090'!$J$5:$J$43,"&gt;="&amp;M683),'FIRE TEX 5090'!$J$5:$P$43,IF(L683="F-15",2,IF(L683="F-30",3,IF(L683="F-60",4,IF(L683="F-90",5,IF(L683="F-120",6,IF(L683="F-150",7,0)))))),0),0)+IF(AND(O683="FIRE TEX 5090",E683="CJ",J683=3),VLOOKUP(_xlfn.MINIFS('FIRE TEX 5090'!$R$5:$R$30,'FIRE TEX 5090'!$R$5:$R$30,"&gt;="&amp;M683),'FIRE TEX 5090'!$R$5:$W$30,IF(L683="F-15",2,IF(L683="F-30",3,IF(L683="F-60",4,IF(L683="F-90",5,IF(L683="F-120",6,IF(L683="F-150",7,0)))))),0),0)+IF(AND(O683="FIRE TEX 5090",E683="CJ",J683=4),VLOOKUP(_xlfn.MINIFS('FIRE TEX 5090'!$Y$5:$Y$39,'FIRE TEX 5090'!$Y$5:$Y$39,"&gt;="&amp;M683),'FIRE TEX 5090'!$Y$5:$AD$39,IF(L683="F-15",2,IF(L683="F-30",3,IF(L683="F-60",4,IF(L683="F-90",5,IF(L683="F-120",6,IF(L683="F-150",7,0)))))),0),0)+IF(AND(O683="FIRE TEX 5120",OR(E683="IN",E683="C",E683="Z",E683="L"),J683=3),VLOOKUP(_xlfn.MINIFS('FIRE TEX 5120'!$B$5:$B$40,'FIRE TEX 5120'!$B$5:$B$40,"&gt;="&amp;M683),'FIRE TEX 5120'!$B$5:$G$40,IF(L683="F-15",2,IF(L683="F-30",3,IF(L683="F-60",4,IF(L683="F-90",5,IF(L683="F-120",6,0))))),0),0)+IF(AND(O683="FIRE TEX 5120",OR(E683="IN",E683="C",E683="Z",E683="L"),J683=4),VLOOKUP(_xlfn.MINIFS('FIRE TEX 5120'!$H$4:$H$40,'FIRE TEX 5120'!$H$4:$H$40,"&gt;="&amp;M683),'FIRE TEX 5120'!$H$4:$M$40,IF(L683="F-15",2,IF(L683="F-30",3,IF(L683="F-60",4,IF(L683="F-90",5,IF(L683="F-120",6,0))))),0),0)+IF(AND(O683="FIRE TEX 5120",E683="CJ"),VLOOKUP(_xlfn.MINIFS('FIRE TEX 5120'!$O$5:$O$40,'FIRE TEX 5120'!$O$5:$O$40,"&gt;="&amp;M683),'FIRE TEX 5120'!$O$5:$T$40,IF(L683="F-15",2,IF(L683="F-30",3,IF(L683="F-60",4,IF(L683="F-90",5,IF(L683="F-120",6,0))))),0),0)</f>
        <v>0</v>
      </c>
      <c r="Q683" s="46">
        <f t="shared" si="69"/>
        <v>0</v>
      </c>
      <c r="R683" s="46">
        <f t="shared" si="70"/>
        <v>0</v>
      </c>
      <c r="S683" s="46" t="e">
        <f t="shared" si="71"/>
        <v>#VALUE!</v>
      </c>
      <c r="T683" s="677">
        <f t="shared" si="72"/>
        <v>0</v>
      </c>
      <c r="U683" s="80">
        <f>(IF(O683="Stofire",(S683*#REF!),0))+(IF(O683="Fire Control",(S683*$U$2),0))+(IF(O683="Fire Tex",(S683*$U$3),0))+(IF(O683="WB7",(S683*#REF!),0)+(IF(O683="FX 2003",(S683*$U$5),0)))</f>
        <v>0</v>
      </c>
      <c r="V683" s="651">
        <f t="shared" si="73"/>
        <v>0</v>
      </c>
    </row>
    <row r="684" spans="4:22" x14ac:dyDescent="0.25">
      <c r="D684" s="118">
        <f>+CUBICACION!D683</f>
        <v>0</v>
      </c>
      <c r="E684" s="118">
        <f>+CUBICACION!F683</f>
        <v>0</v>
      </c>
      <c r="F684" s="118">
        <f>+CUBICACION!E683</f>
        <v>0</v>
      </c>
      <c r="G684" s="118">
        <v>12</v>
      </c>
      <c r="H684" s="118">
        <v>2</v>
      </c>
      <c r="I684" s="820">
        <v>26385</v>
      </c>
      <c r="J684" s="118">
        <f>+CUBICACION!J683</f>
        <v>0</v>
      </c>
      <c r="K684" s="118">
        <v>3463</v>
      </c>
      <c r="L684" s="118">
        <f>+CUBICACION!L683</f>
        <v>0</v>
      </c>
      <c r="M684" s="64">
        <f>+CUBICACION!M683</f>
        <v>0</v>
      </c>
      <c r="N684" s="824" t="str">
        <f>+CUBICACION!N683</f>
        <v/>
      </c>
      <c r="O684" s="675">
        <f>+CUBICACION!O683</f>
        <v>0</v>
      </c>
      <c r="P684" s="15">
        <f>IF(O684="Fire Control",VLOOKUP(_xlfn.MINIFS('FIRE CONTROL'!$C$4:$C$37,'FIRE CONTROL'!$C$4:$C$37,"&gt;="&amp;M684),'FIRE CONTROL'!$C$4:$G$37,IF(L684="F-15",2,IF(L684="F-30",3,IF(L684="F-60",4,IF(L684="F-90",5,0)))),0),0)+IF(AND(O684="FIRE TEX 5062",OR(E684="IN",E684="C",E684="Z",E684="L"),J684=3),VLOOKUP(_xlfn.MINIFS('FIRE TEX 5062'!$B$4:$B$34,'FIRE TEX 5062'!$B$4:$B$34,"&gt;="&amp;M684),'FIRE TEX 5062'!$B$4:$F$34,IF(L684="F-15",2,IF(L684="F-30",3,IF(L684="F-60",4,IF(L684="F-90",5,0)))),0),0)+IF(AND(O684="FIRE TEX 5062",OR(E684="IN",E684="C",E684="Z",E684="L"),J684=4),VLOOKUP(_xlfn.MINIFS('FIRE TEX 5062'!$G$4:$G$34,'FIRE TEX 5062'!$G$4:$G$34,"&gt;="&amp;M684),'FIRE TEX 5062'!$G$4:$K$34,IF(L684="F-15",2,IF(L684="F-30",3,IF(L684="F-60",4,IF(L684="F-90",5,0)))),0),0)+IF(AND(O684="FIRE TEX 5062",E684="CJ",J684=3),VLOOKUP(_xlfn.MINIFS('FIRE TEX 5062'!$L$4:$L$34,'FIRE TEX 5062'!$L$4:$L$34,"&gt;="&amp;M684),'FIRE TEX 5062'!$L$4:$P$34,IF(L684="F-15",2,IF(L684="F-30",3,IF(L684="F-60",4,IF(L684="F-90",5,0)))),0),0)+IF(AND(O684="FIRE TEX 5062",E684="CJ",J684=4),VLOOKUP(_xlfn.MINIFS('FIRE TEX 5062'!$Q$3:$Q$34,'FIRE TEX 5062'!$Q$3:$Q$34,"&gt;="&amp;M684),'FIRE TEX 5062'!$Q$3:$U$34,IF(L684="F-15",2,IF(L684="F-30",3,IF(L684="F-60",4,IF(L684="F-90",5,0)))),0),0)+IF(AND(O684="FIRE TEX 5090",OR(E684="IN",E684="C",E684="Z",E684="L"),J684=3),VLOOKUP(_xlfn.MINIFS('FIRE TEX 5090'!$B$5:$B$43,'FIRE TEX 5090'!$B$5:$B$43,"&gt;="&amp;M684),'FIRE TEX 5090'!$B$5:$H$43,IF(L684="F-15",2,IF(L684="F-30",3,IF(L684="F-60",4,IF(L684="F-90",5,IF(L684="F-120",6,IF(L684="F-150",7,0)))))),0),0)+IF(AND(O684="FIRE TEX 5090",OR(E684="IN",E684="C",E684="Z",E684="L"),J684=4),VLOOKUP(_xlfn.MINIFS('FIRE TEX 5090'!$J$5:$J$43,'FIRE TEX 5090'!$J$5:$J$43,"&gt;="&amp;M684),'FIRE TEX 5090'!$J$5:$P$43,IF(L684="F-15",2,IF(L684="F-30",3,IF(L684="F-60",4,IF(L684="F-90",5,IF(L684="F-120",6,IF(L684="F-150",7,0)))))),0),0)+IF(AND(O684="FIRE TEX 5090",E684="CJ",J684=3),VLOOKUP(_xlfn.MINIFS('FIRE TEX 5090'!$R$5:$R$30,'FIRE TEX 5090'!$R$5:$R$30,"&gt;="&amp;M684),'FIRE TEX 5090'!$R$5:$W$30,IF(L684="F-15",2,IF(L684="F-30",3,IF(L684="F-60",4,IF(L684="F-90",5,IF(L684="F-120",6,IF(L684="F-150",7,0)))))),0),0)+IF(AND(O684="FIRE TEX 5090",E684="CJ",J684=4),VLOOKUP(_xlfn.MINIFS('FIRE TEX 5090'!$Y$5:$Y$39,'FIRE TEX 5090'!$Y$5:$Y$39,"&gt;="&amp;M684),'FIRE TEX 5090'!$Y$5:$AD$39,IF(L684="F-15",2,IF(L684="F-30",3,IF(L684="F-60",4,IF(L684="F-90",5,IF(L684="F-120",6,IF(L684="F-150",7,0)))))),0),0)+IF(AND(O684="FIRE TEX 5120",OR(E684="IN",E684="C",E684="Z",E684="L"),J684=3),VLOOKUP(_xlfn.MINIFS('FIRE TEX 5120'!$B$5:$B$40,'FIRE TEX 5120'!$B$5:$B$40,"&gt;="&amp;M684),'FIRE TEX 5120'!$B$5:$G$40,IF(L684="F-15",2,IF(L684="F-30",3,IF(L684="F-60",4,IF(L684="F-90",5,IF(L684="F-120",6,0))))),0),0)+IF(AND(O684="FIRE TEX 5120",OR(E684="IN",E684="C",E684="Z",E684="L"),J684=4),VLOOKUP(_xlfn.MINIFS('FIRE TEX 5120'!$H$4:$H$40,'FIRE TEX 5120'!$H$4:$H$40,"&gt;="&amp;M684),'FIRE TEX 5120'!$H$4:$M$40,IF(L684="F-15",2,IF(L684="F-30",3,IF(L684="F-60",4,IF(L684="F-90",5,IF(L684="F-120",6,0))))),0),0)+IF(AND(O684="FIRE TEX 5120",E684="CJ"),VLOOKUP(_xlfn.MINIFS('FIRE TEX 5120'!$O$5:$O$40,'FIRE TEX 5120'!$O$5:$O$40,"&gt;="&amp;M684),'FIRE TEX 5120'!$O$5:$T$40,IF(L684="F-15",2,IF(L684="F-30",3,IF(L684="F-60",4,IF(L684="F-90",5,IF(L684="F-120",6,0))))),0),0)</f>
        <v>0</v>
      </c>
      <c r="Q684" s="46">
        <f t="shared" si="69"/>
        <v>0</v>
      </c>
      <c r="R684" s="46">
        <f t="shared" si="70"/>
        <v>0</v>
      </c>
      <c r="S684" s="46" t="e">
        <f t="shared" si="71"/>
        <v>#VALUE!</v>
      </c>
      <c r="T684" s="677">
        <f t="shared" si="72"/>
        <v>0</v>
      </c>
      <c r="U684" s="80">
        <f>(IF(O684="Stofire",(S684*#REF!),0))+(IF(O684="Fire Control",(S684*$U$2),0))+(IF(O684="Fire Tex",(S684*$U$3),0))+(IF(O684="WB7",(S684*#REF!),0)+(IF(O684="FX 2003",(S684*$U$5),0)))</f>
        <v>0</v>
      </c>
      <c r="V684" s="651">
        <f t="shared" si="73"/>
        <v>0</v>
      </c>
    </row>
    <row r="685" spans="4:22" x14ac:dyDescent="0.25">
      <c r="D685" s="118">
        <f>+CUBICACION!D684</f>
        <v>0</v>
      </c>
      <c r="E685" s="118">
        <f>+CUBICACION!F684</f>
        <v>0</v>
      </c>
      <c r="F685" s="118">
        <f>+CUBICACION!E684</f>
        <v>0</v>
      </c>
      <c r="G685" s="118">
        <v>12</v>
      </c>
      <c r="H685" s="118">
        <v>2</v>
      </c>
      <c r="I685" s="820">
        <v>26385</v>
      </c>
      <c r="J685" s="118">
        <f>+CUBICACION!J684</f>
        <v>0</v>
      </c>
      <c r="K685" s="118">
        <v>3464</v>
      </c>
      <c r="L685" s="118">
        <f>+CUBICACION!L684</f>
        <v>0</v>
      </c>
      <c r="M685" s="64">
        <f>+CUBICACION!M684</f>
        <v>0</v>
      </c>
      <c r="N685" s="824" t="str">
        <f>+CUBICACION!N684</f>
        <v/>
      </c>
      <c r="O685" s="675">
        <f>+CUBICACION!O684</f>
        <v>0</v>
      </c>
      <c r="P685" s="15">
        <f>IF(O685="Fire Control",VLOOKUP(_xlfn.MINIFS('FIRE CONTROL'!$C$4:$C$37,'FIRE CONTROL'!$C$4:$C$37,"&gt;="&amp;M685),'FIRE CONTROL'!$C$4:$G$37,IF(L685="F-15",2,IF(L685="F-30",3,IF(L685="F-60",4,IF(L685="F-90",5,0)))),0),0)+IF(AND(O685="FIRE TEX 5062",OR(E685="IN",E685="C",E685="Z",E685="L"),J685=3),VLOOKUP(_xlfn.MINIFS('FIRE TEX 5062'!$B$4:$B$34,'FIRE TEX 5062'!$B$4:$B$34,"&gt;="&amp;M685),'FIRE TEX 5062'!$B$4:$F$34,IF(L685="F-15",2,IF(L685="F-30",3,IF(L685="F-60",4,IF(L685="F-90",5,0)))),0),0)+IF(AND(O685="FIRE TEX 5062",OR(E685="IN",E685="C",E685="Z",E685="L"),J685=4),VLOOKUP(_xlfn.MINIFS('FIRE TEX 5062'!$G$4:$G$34,'FIRE TEX 5062'!$G$4:$G$34,"&gt;="&amp;M685),'FIRE TEX 5062'!$G$4:$K$34,IF(L685="F-15",2,IF(L685="F-30",3,IF(L685="F-60",4,IF(L685="F-90",5,0)))),0),0)+IF(AND(O685="FIRE TEX 5062",E685="CJ",J685=3),VLOOKUP(_xlfn.MINIFS('FIRE TEX 5062'!$L$4:$L$34,'FIRE TEX 5062'!$L$4:$L$34,"&gt;="&amp;M685),'FIRE TEX 5062'!$L$4:$P$34,IF(L685="F-15",2,IF(L685="F-30",3,IF(L685="F-60",4,IF(L685="F-90",5,0)))),0),0)+IF(AND(O685="FIRE TEX 5062",E685="CJ",J685=4),VLOOKUP(_xlfn.MINIFS('FIRE TEX 5062'!$Q$3:$Q$34,'FIRE TEX 5062'!$Q$3:$Q$34,"&gt;="&amp;M685),'FIRE TEX 5062'!$Q$3:$U$34,IF(L685="F-15",2,IF(L685="F-30",3,IF(L685="F-60",4,IF(L685="F-90",5,0)))),0),0)+IF(AND(O685="FIRE TEX 5090",OR(E685="IN",E685="C",E685="Z",E685="L"),J685=3),VLOOKUP(_xlfn.MINIFS('FIRE TEX 5090'!$B$5:$B$43,'FIRE TEX 5090'!$B$5:$B$43,"&gt;="&amp;M685),'FIRE TEX 5090'!$B$5:$H$43,IF(L685="F-15",2,IF(L685="F-30",3,IF(L685="F-60",4,IF(L685="F-90",5,IF(L685="F-120",6,IF(L685="F-150",7,0)))))),0),0)+IF(AND(O685="FIRE TEX 5090",OR(E685="IN",E685="C",E685="Z",E685="L"),J685=4),VLOOKUP(_xlfn.MINIFS('FIRE TEX 5090'!$J$5:$J$43,'FIRE TEX 5090'!$J$5:$J$43,"&gt;="&amp;M685),'FIRE TEX 5090'!$J$5:$P$43,IF(L685="F-15",2,IF(L685="F-30",3,IF(L685="F-60",4,IF(L685="F-90",5,IF(L685="F-120",6,IF(L685="F-150",7,0)))))),0),0)+IF(AND(O685="FIRE TEX 5090",E685="CJ",J685=3),VLOOKUP(_xlfn.MINIFS('FIRE TEX 5090'!$R$5:$R$30,'FIRE TEX 5090'!$R$5:$R$30,"&gt;="&amp;M685),'FIRE TEX 5090'!$R$5:$W$30,IF(L685="F-15",2,IF(L685="F-30",3,IF(L685="F-60",4,IF(L685="F-90",5,IF(L685="F-120",6,IF(L685="F-150",7,0)))))),0),0)+IF(AND(O685="FIRE TEX 5090",E685="CJ",J685=4),VLOOKUP(_xlfn.MINIFS('FIRE TEX 5090'!$Y$5:$Y$39,'FIRE TEX 5090'!$Y$5:$Y$39,"&gt;="&amp;M685),'FIRE TEX 5090'!$Y$5:$AD$39,IF(L685="F-15",2,IF(L685="F-30",3,IF(L685="F-60",4,IF(L685="F-90",5,IF(L685="F-120",6,IF(L685="F-150",7,0)))))),0),0)+IF(AND(O685="FIRE TEX 5120",OR(E685="IN",E685="C",E685="Z",E685="L"),J685=3),VLOOKUP(_xlfn.MINIFS('FIRE TEX 5120'!$B$5:$B$40,'FIRE TEX 5120'!$B$5:$B$40,"&gt;="&amp;M685),'FIRE TEX 5120'!$B$5:$G$40,IF(L685="F-15",2,IF(L685="F-30",3,IF(L685="F-60",4,IF(L685="F-90",5,IF(L685="F-120",6,0))))),0),0)+IF(AND(O685="FIRE TEX 5120",OR(E685="IN",E685="C",E685="Z",E685="L"),J685=4),VLOOKUP(_xlfn.MINIFS('FIRE TEX 5120'!$H$4:$H$40,'FIRE TEX 5120'!$H$4:$H$40,"&gt;="&amp;M685),'FIRE TEX 5120'!$H$4:$M$40,IF(L685="F-15",2,IF(L685="F-30",3,IF(L685="F-60",4,IF(L685="F-90",5,IF(L685="F-120",6,0))))),0),0)+IF(AND(O685="FIRE TEX 5120",E685="CJ"),VLOOKUP(_xlfn.MINIFS('FIRE TEX 5120'!$O$5:$O$40,'FIRE TEX 5120'!$O$5:$O$40,"&gt;="&amp;M685),'FIRE TEX 5120'!$O$5:$T$40,IF(L685="F-15",2,IF(L685="F-30",3,IF(L685="F-60",4,IF(L685="F-90",5,IF(L685="F-120",6,0))))),0),0)</f>
        <v>0</v>
      </c>
      <c r="Q685" s="46">
        <f t="shared" ref="Q685:Q748" si="74">IF(P685="","",IF(P685="dar valor","",0.03937*P685))</f>
        <v>0</v>
      </c>
      <c r="R685" s="46">
        <f t="shared" ref="R685:R748" si="75">+(IF(O685="Fire Control",((65*1.5/Q685)*0.75*4),0))+(IF(OR(O685="Fire Tex 5062",O685="Fire Tex 5090",O685="Fire Tex 5120"),((66*1.5/Q685)*0.7*5),0))</f>
        <v>0</v>
      </c>
      <c r="S685" s="46" t="e">
        <f t="shared" ref="S685:S748" si="76">IF(R685="","",+N685/R685)</f>
        <v>#VALUE!</v>
      </c>
      <c r="T685" s="677">
        <f t="shared" ref="T685:T748" si="77">(IF(O685="Stofire",(S685/(7*1)),0))+(IF(O685="Fire Control",(S685/(7*1)),0))+(IF(O685="Fire Tex",(S685/(7*1)),0))+(IF(O685="WB7",(S685/(7*1)),0))+(IF(O685="FX 2003",(S685/(7*1)),0))</f>
        <v>0</v>
      </c>
      <c r="U685" s="80">
        <f>(IF(O685="Stofire",(S685*#REF!),0))+(IF(O685="Fire Control",(S685*$U$2),0))+(IF(O685="Fire Tex",(S685*$U$3),0))+(IF(O685="WB7",(S685*#REF!),0)+(IF(O685="FX 2003",(S685*$U$5),0)))</f>
        <v>0</v>
      </c>
      <c r="V685" s="651">
        <f t="shared" ref="V685:V748" si="78">_xlfn.CEILING.MATH(M685,10)</f>
        <v>0</v>
      </c>
    </row>
    <row r="686" spans="4:22" x14ac:dyDescent="0.25">
      <c r="D686" s="118">
        <f>+CUBICACION!D685</f>
        <v>0</v>
      </c>
      <c r="E686" s="118">
        <f>+CUBICACION!F685</f>
        <v>0</v>
      </c>
      <c r="F686" s="118">
        <f>+CUBICACION!E685</f>
        <v>0</v>
      </c>
      <c r="G686" s="118">
        <v>12</v>
      </c>
      <c r="H686" s="118">
        <v>2</v>
      </c>
      <c r="I686" s="820">
        <v>26385</v>
      </c>
      <c r="J686" s="118">
        <f>+CUBICACION!J685</f>
        <v>0</v>
      </c>
      <c r="K686" s="118">
        <v>3465</v>
      </c>
      <c r="L686" s="118">
        <f>+CUBICACION!L685</f>
        <v>0</v>
      </c>
      <c r="M686" s="64">
        <f>+CUBICACION!M685</f>
        <v>0</v>
      </c>
      <c r="N686" s="824" t="str">
        <f>+CUBICACION!N685</f>
        <v/>
      </c>
      <c r="O686" s="675">
        <f>+CUBICACION!O685</f>
        <v>0</v>
      </c>
      <c r="P686" s="15">
        <f>IF(O686="Fire Control",VLOOKUP(_xlfn.MINIFS('FIRE CONTROL'!$C$4:$C$37,'FIRE CONTROL'!$C$4:$C$37,"&gt;="&amp;M686),'FIRE CONTROL'!$C$4:$G$37,IF(L686="F-15",2,IF(L686="F-30",3,IF(L686="F-60",4,IF(L686="F-90",5,0)))),0),0)+IF(AND(O686="FIRE TEX 5062",OR(E686="IN",E686="C",E686="Z",E686="L"),J686=3),VLOOKUP(_xlfn.MINIFS('FIRE TEX 5062'!$B$4:$B$34,'FIRE TEX 5062'!$B$4:$B$34,"&gt;="&amp;M686),'FIRE TEX 5062'!$B$4:$F$34,IF(L686="F-15",2,IF(L686="F-30",3,IF(L686="F-60",4,IF(L686="F-90",5,0)))),0),0)+IF(AND(O686="FIRE TEX 5062",OR(E686="IN",E686="C",E686="Z",E686="L"),J686=4),VLOOKUP(_xlfn.MINIFS('FIRE TEX 5062'!$G$4:$G$34,'FIRE TEX 5062'!$G$4:$G$34,"&gt;="&amp;M686),'FIRE TEX 5062'!$G$4:$K$34,IF(L686="F-15",2,IF(L686="F-30",3,IF(L686="F-60",4,IF(L686="F-90",5,0)))),0),0)+IF(AND(O686="FIRE TEX 5062",E686="CJ",J686=3),VLOOKUP(_xlfn.MINIFS('FIRE TEX 5062'!$L$4:$L$34,'FIRE TEX 5062'!$L$4:$L$34,"&gt;="&amp;M686),'FIRE TEX 5062'!$L$4:$P$34,IF(L686="F-15",2,IF(L686="F-30",3,IF(L686="F-60",4,IF(L686="F-90",5,0)))),0),0)+IF(AND(O686="FIRE TEX 5062",E686="CJ",J686=4),VLOOKUP(_xlfn.MINIFS('FIRE TEX 5062'!$Q$3:$Q$34,'FIRE TEX 5062'!$Q$3:$Q$34,"&gt;="&amp;M686),'FIRE TEX 5062'!$Q$3:$U$34,IF(L686="F-15",2,IF(L686="F-30",3,IF(L686="F-60",4,IF(L686="F-90",5,0)))),0),0)+IF(AND(O686="FIRE TEX 5090",OR(E686="IN",E686="C",E686="Z",E686="L"),J686=3),VLOOKUP(_xlfn.MINIFS('FIRE TEX 5090'!$B$5:$B$43,'FIRE TEX 5090'!$B$5:$B$43,"&gt;="&amp;M686),'FIRE TEX 5090'!$B$5:$H$43,IF(L686="F-15",2,IF(L686="F-30",3,IF(L686="F-60",4,IF(L686="F-90",5,IF(L686="F-120",6,IF(L686="F-150",7,0)))))),0),0)+IF(AND(O686="FIRE TEX 5090",OR(E686="IN",E686="C",E686="Z",E686="L"),J686=4),VLOOKUP(_xlfn.MINIFS('FIRE TEX 5090'!$J$5:$J$43,'FIRE TEX 5090'!$J$5:$J$43,"&gt;="&amp;M686),'FIRE TEX 5090'!$J$5:$P$43,IF(L686="F-15",2,IF(L686="F-30",3,IF(L686="F-60",4,IF(L686="F-90",5,IF(L686="F-120",6,IF(L686="F-150",7,0)))))),0),0)+IF(AND(O686="FIRE TEX 5090",E686="CJ",J686=3),VLOOKUP(_xlfn.MINIFS('FIRE TEX 5090'!$R$5:$R$30,'FIRE TEX 5090'!$R$5:$R$30,"&gt;="&amp;M686),'FIRE TEX 5090'!$R$5:$W$30,IF(L686="F-15",2,IF(L686="F-30",3,IF(L686="F-60",4,IF(L686="F-90",5,IF(L686="F-120",6,IF(L686="F-150",7,0)))))),0),0)+IF(AND(O686="FIRE TEX 5090",E686="CJ",J686=4),VLOOKUP(_xlfn.MINIFS('FIRE TEX 5090'!$Y$5:$Y$39,'FIRE TEX 5090'!$Y$5:$Y$39,"&gt;="&amp;M686),'FIRE TEX 5090'!$Y$5:$AD$39,IF(L686="F-15",2,IF(L686="F-30",3,IF(L686="F-60",4,IF(L686="F-90",5,IF(L686="F-120",6,IF(L686="F-150",7,0)))))),0),0)+IF(AND(O686="FIRE TEX 5120",OR(E686="IN",E686="C",E686="Z",E686="L"),J686=3),VLOOKUP(_xlfn.MINIFS('FIRE TEX 5120'!$B$5:$B$40,'FIRE TEX 5120'!$B$5:$B$40,"&gt;="&amp;M686),'FIRE TEX 5120'!$B$5:$G$40,IF(L686="F-15",2,IF(L686="F-30",3,IF(L686="F-60",4,IF(L686="F-90",5,IF(L686="F-120",6,0))))),0),0)+IF(AND(O686="FIRE TEX 5120",OR(E686="IN",E686="C",E686="Z",E686="L"),J686=4),VLOOKUP(_xlfn.MINIFS('FIRE TEX 5120'!$H$4:$H$40,'FIRE TEX 5120'!$H$4:$H$40,"&gt;="&amp;M686),'FIRE TEX 5120'!$H$4:$M$40,IF(L686="F-15",2,IF(L686="F-30",3,IF(L686="F-60",4,IF(L686="F-90",5,IF(L686="F-120",6,0))))),0),0)+IF(AND(O686="FIRE TEX 5120",E686="CJ"),VLOOKUP(_xlfn.MINIFS('FIRE TEX 5120'!$O$5:$O$40,'FIRE TEX 5120'!$O$5:$O$40,"&gt;="&amp;M686),'FIRE TEX 5120'!$O$5:$T$40,IF(L686="F-15",2,IF(L686="F-30",3,IF(L686="F-60",4,IF(L686="F-90",5,IF(L686="F-120",6,0))))),0),0)</f>
        <v>0</v>
      </c>
      <c r="Q686" s="46">
        <f t="shared" si="74"/>
        <v>0</v>
      </c>
      <c r="R686" s="46">
        <f t="shared" si="75"/>
        <v>0</v>
      </c>
      <c r="S686" s="46" t="e">
        <f t="shared" si="76"/>
        <v>#VALUE!</v>
      </c>
      <c r="T686" s="677">
        <f t="shared" si="77"/>
        <v>0</v>
      </c>
      <c r="U686" s="80">
        <f>(IF(O686="Stofire",(S686*#REF!),0))+(IF(O686="Fire Control",(S686*$U$2),0))+(IF(O686="Fire Tex",(S686*$U$3),0))+(IF(O686="WB7",(S686*#REF!),0)+(IF(O686="FX 2003",(S686*$U$5),0)))</f>
        <v>0</v>
      </c>
      <c r="V686" s="651">
        <f t="shared" si="78"/>
        <v>0</v>
      </c>
    </row>
    <row r="687" spans="4:22" x14ac:dyDescent="0.25">
      <c r="D687" s="118">
        <f>+CUBICACION!D686</f>
        <v>0</v>
      </c>
      <c r="E687" s="118">
        <f>+CUBICACION!F686</f>
        <v>0</v>
      </c>
      <c r="F687" s="118">
        <f>+CUBICACION!E686</f>
        <v>0</v>
      </c>
      <c r="G687" s="118">
        <v>12</v>
      </c>
      <c r="H687" s="118">
        <v>2</v>
      </c>
      <c r="I687" s="820">
        <v>26385</v>
      </c>
      <c r="J687" s="118">
        <f>+CUBICACION!J686</f>
        <v>0</v>
      </c>
      <c r="K687" s="118">
        <v>3466</v>
      </c>
      <c r="L687" s="118">
        <f>+CUBICACION!L686</f>
        <v>0</v>
      </c>
      <c r="M687" s="64">
        <f>+CUBICACION!M686</f>
        <v>0</v>
      </c>
      <c r="N687" s="824" t="str">
        <f>+CUBICACION!N686</f>
        <v/>
      </c>
      <c r="O687" s="675">
        <f>+CUBICACION!O686</f>
        <v>0</v>
      </c>
      <c r="P687" s="15">
        <f>IF(O687="Fire Control",VLOOKUP(_xlfn.MINIFS('FIRE CONTROL'!$C$4:$C$37,'FIRE CONTROL'!$C$4:$C$37,"&gt;="&amp;M687),'FIRE CONTROL'!$C$4:$G$37,IF(L687="F-15",2,IF(L687="F-30",3,IF(L687="F-60",4,IF(L687="F-90",5,0)))),0),0)+IF(AND(O687="FIRE TEX 5062",OR(E687="IN",E687="C",E687="Z",E687="L"),J687=3),VLOOKUP(_xlfn.MINIFS('FIRE TEX 5062'!$B$4:$B$34,'FIRE TEX 5062'!$B$4:$B$34,"&gt;="&amp;M687),'FIRE TEX 5062'!$B$4:$F$34,IF(L687="F-15",2,IF(L687="F-30",3,IF(L687="F-60",4,IF(L687="F-90",5,0)))),0),0)+IF(AND(O687="FIRE TEX 5062",OR(E687="IN",E687="C",E687="Z",E687="L"),J687=4),VLOOKUP(_xlfn.MINIFS('FIRE TEX 5062'!$G$4:$G$34,'FIRE TEX 5062'!$G$4:$G$34,"&gt;="&amp;M687),'FIRE TEX 5062'!$G$4:$K$34,IF(L687="F-15",2,IF(L687="F-30",3,IF(L687="F-60",4,IF(L687="F-90",5,0)))),0),0)+IF(AND(O687="FIRE TEX 5062",E687="CJ",J687=3),VLOOKUP(_xlfn.MINIFS('FIRE TEX 5062'!$L$4:$L$34,'FIRE TEX 5062'!$L$4:$L$34,"&gt;="&amp;M687),'FIRE TEX 5062'!$L$4:$P$34,IF(L687="F-15",2,IF(L687="F-30",3,IF(L687="F-60",4,IF(L687="F-90",5,0)))),0),0)+IF(AND(O687="FIRE TEX 5062",E687="CJ",J687=4),VLOOKUP(_xlfn.MINIFS('FIRE TEX 5062'!$Q$3:$Q$34,'FIRE TEX 5062'!$Q$3:$Q$34,"&gt;="&amp;M687),'FIRE TEX 5062'!$Q$3:$U$34,IF(L687="F-15",2,IF(L687="F-30",3,IF(L687="F-60",4,IF(L687="F-90",5,0)))),0),0)+IF(AND(O687="FIRE TEX 5090",OR(E687="IN",E687="C",E687="Z",E687="L"),J687=3),VLOOKUP(_xlfn.MINIFS('FIRE TEX 5090'!$B$5:$B$43,'FIRE TEX 5090'!$B$5:$B$43,"&gt;="&amp;M687),'FIRE TEX 5090'!$B$5:$H$43,IF(L687="F-15",2,IF(L687="F-30",3,IF(L687="F-60",4,IF(L687="F-90",5,IF(L687="F-120",6,IF(L687="F-150",7,0)))))),0),0)+IF(AND(O687="FIRE TEX 5090",OR(E687="IN",E687="C",E687="Z",E687="L"),J687=4),VLOOKUP(_xlfn.MINIFS('FIRE TEX 5090'!$J$5:$J$43,'FIRE TEX 5090'!$J$5:$J$43,"&gt;="&amp;M687),'FIRE TEX 5090'!$J$5:$P$43,IF(L687="F-15",2,IF(L687="F-30",3,IF(L687="F-60",4,IF(L687="F-90",5,IF(L687="F-120",6,IF(L687="F-150",7,0)))))),0),0)+IF(AND(O687="FIRE TEX 5090",E687="CJ",J687=3),VLOOKUP(_xlfn.MINIFS('FIRE TEX 5090'!$R$5:$R$30,'FIRE TEX 5090'!$R$5:$R$30,"&gt;="&amp;M687),'FIRE TEX 5090'!$R$5:$W$30,IF(L687="F-15",2,IF(L687="F-30",3,IF(L687="F-60",4,IF(L687="F-90",5,IF(L687="F-120",6,IF(L687="F-150",7,0)))))),0),0)+IF(AND(O687="FIRE TEX 5090",E687="CJ",J687=4),VLOOKUP(_xlfn.MINIFS('FIRE TEX 5090'!$Y$5:$Y$39,'FIRE TEX 5090'!$Y$5:$Y$39,"&gt;="&amp;M687),'FIRE TEX 5090'!$Y$5:$AD$39,IF(L687="F-15",2,IF(L687="F-30",3,IF(L687="F-60",4,IF(L687="F-90",5,IF(L687="F-120",6,IF(L687="F-150",7,0)))))),0),0)+IF(AND(O687="FIRE TEX 5120",OR(E687="IN",E687="C",E687="Z",E687="L"),J687=3),VLOOKUP(_xlfn.MINIFS('FIRE TEX 5120'!$B$5:$B$40,'FIRE TEX 5120'!$B$5:$B$40,"&gt;="&amp;M687),'FIRE TEX 5120'!$B$5:$G$40,IF(L687="F-15",2,IF(L687="F-30",3,IF(L687="F-60",4,IF(L687="F-90",5,IF(L687="F-120",6,0))))),0),0)+IF(AND(O687="FIRE TEX 5120",OR(E687="IN",E687="C",E687="Z",E687="L"),J687=4),VLOOKUP(_xlfn.MINIFS('FIRE TEX 5120'!$H$4:$H$40,'FIRE TEX 5120'!$H$4:$H$40,"&gt;="&amp;M687),'FIRE TEX 5120'!$H$4:$M$40,IF(L687="F-15",2,IF(L687="F-30",3,IF(L687="F-60",4,IF(L687="F-90",5,IF(L687="F-120",6,0))))),0),0)+IF(AND(O687="FIRE TEX 5120",E687="CJ"),VLOOKUP(_xlfn.MINIFS('FIRE TEX 5120'!$O$5:$O$40,'FIRE TEX 5120'!$O$5:$O$40,"&gt;="&amp;M687),'FIRE TEX 5120'!$O$5:$T$40,IF(L687="F-15",2,IF(L687="F-30",3,IF(L687="F-60",4,IF(L687="F-90",5,IF(L687="F-120",6,0))))),0),0)</f>
        <v>0</v>
      </c>
      <c r="Q687" s="46">
        <f t="shared" si="74"/>
        <v>0</v>
      </c>
      <c r="R687" s="46">
        <f t="shared" si="75"/>
        <v>0</v>
      </c>
      <c r="S687" s="46" t="e">
        <f t="shared" si="76"/>
        <v>#VALUE!</v>
      </c>
      <c r="T687" s="677">
        <f t="shared" si="77"/>
        <v>0</v>
      </c>
      <c r="U687" s="80">
        <f>(IF(O687="Stofire",(S687*#REF!),0))+(IF(O687="Fire Control",(S687*$U$2),0))+(IF(O687="Fire Tex",(S687*$U$3),0))+(IF(O687="WB7",(S687*#REF!),0)+(IF(O687="FX 2003",(S687*$U$5),0)))</f>
        <v>0</v>
      </c>
      <c r="V687" s="651">
        <f t="shared" si="78"/>
        <v>0</v>
      </c>
    </row>
    <row r="688" spans="4:22" x14ac:dyDescent="0.25">
      <c r="D688" s="118">
        <f>+CUBICACION!D687</f>
        <v>0</v>
      </c>
      <c r="E688" s="118">
        <f>+CUBICACION!F687</f>
        <v>0</v>
      </c>
      <c r="F688" s="118">
        <f>+CUBICACION!E687</f>
        <v>0</v>
      </c>
      <c r="G688" s="118">
        <v>12</v>
      </c>
      <c r="H688" s="118">
        <v>2</v>
      </c>
      <c r="I688" s="820">
        <v>26385</v>
      </c>
      <c r="J688" s="118">
        <f>+CUBICACION!J687</f>
        <v>0</v>
      </c>
      <c r="K688" s="118">
        <v>3467</v>
      </c>
      <c r="L688" s="118">
        <f>+CUBICACION!L687</f>
        <v>0</v>
      </c>
      <c r="M688" s="64">
        <f>+CUBICACION!M687</f>
        <v>0</v>
      </c>
      <c r="N688" s="824" t="str">
        <f>+CUBICACION!N687</f>
        <v/>
      </c>
      <c r="O688" s="675">
        <f>+CUBICACION!O687</f>
        <v>0</v>
      </c>
      <c r="P688" s="15">
        <f>IF(O688="Fire Control",VLOOKUP(_xlfn.MINIFS('FIRE CONTROL'!$C$4:$C$37,'FIRE CONTROL'!$C$4:$C$37,"&gt;="&amp;M688),'FIRE CONTROL'!$C$4:$G$37,IF(L688="F-15",2,IF(L688="F-30",3,IF(L688="F-60",4,IF(L688="F-90",5,0)))),0),0)+IF(AND(O688="FIRE TEX 5062",OR(E688="IN",E688="C",E688="Z",E688="L"),J688=3),VLOOKUP(_xlfn.MINIFS('FIRE TEX 5062'!$B$4:$B$34,'FIRE TEX 5062'!$B$4:$B$34,"&gt;="&amp;M688),'FIRE TEX 5062'!$B$4:$F$34,IF(L688="F-15",2,IF(L688="F-30",3,IF(L688="F-60",4,IF(L688="F-90",5,0)))),0),0)+IF(AND(O688="FIRE TEX 5062",OR(E688="IN",E688="C",E688="Z",E688="L"),J688=4),VLOOKUP(_xlfn.MINIFS('FIRE TEX 5062'!$G$4:$G$34,'FIRE TEX 5062'!$G$4:$G$34,"&gt;="&amp;M688),'FIRE TEX 5062'!$G$4:$K$34,IF(L688="F-15",2,IF(L688="F-30",3,IF(L688="F-60",4,IF(L688="F-90",5,0)))),0),0)+IF(AND(O688="FIRE TEX 5062",E688="CJ",J688=3),VLOOKUP(_xlfn.MINIFS('FIRE TEX 5062'!$L$4:$L$34,'FIRE TEX 5062'!$L$4:$L$34,"&gt;="&amp;M688),'FIRE TEX 5062'!$L$4:$P$34,IF(L688="F-15",2,IF(L688="F-30",3,IF(L688="F-60",4,IF(L688="F-90",5,0)))),0),0)+IF(AND(O688="FIRE TEX 5062",E688="CJ",J688=4),VLOOKUP(_xlfn.MINIFS('FIRE TEX 5062'!$Q$3:$Q$34,'FIRE TEX 5062'!$Q$3:$Q$34,"&gt;="&amp;M688),'FIRE TEX 5062'!$Q$3:$U$34,IF(L688="F-15",2,IF(L688="F-30",3,IF(L688="F-60",4,IF(L688="F-90",5,0)))),0),0)+IF(AND(O688="FIRE TEX 5090",OR(E688="IN",E688="C",E688="Z",E688="L"),J688=3),VLOOKUP(_xlfn.MINIFS('FIRE TEX 5090'!$B$5:$B$43,'FIRE TEX 5090'!$B$5:$B$43,"&gt;="&amp;M688),'FIRE TEX 5090'!$B$5:$H$43,IF(L688="F-15",2,IF(L688="F-30",3,IF(L688="F-60",4,IF(L688="F-90",5,IF(L688="F-120",6,IF(L688="F-150",7,0)))))),0),0)+IF(AND(O688="FIRE TEX 5090",OR(E688="IN",E688="C",E688="Z",E688="L"),J688=4),VLOOKUP(_xlfn.MINIFS('FIRE TEX 5090'!$J$5:$J$43,'FIRE TEX 5090'!$J$5:$J$43,"&gt;="&amp;M688),'FIRE TEX 5090'!$J$5:$P$43,IF(L688="F-15",2,IF(L688="F-30",3,IF(L688="F-60",4,IF(L688="F-90",5,IF(L688="F-120",6,IF(L688="F-150",7,0)))))),0),0)+IF(AND(O688="FIRE TEX 5090",E688="CJ",J688=3),VLOOKUP(_xlfn.MINIFS('FIRE TEX 5090'!$R$5:$R$30,'FIRE TEX 5090'!$R$5:$R$30,"&gt;="&amp;M688),'FIRE TEX 5090'!$R$5:$W$30,IF(L688="F-15",2,IF(L688="F-30",3,IF(L688="F-60",4,IF(L688="F-90",5,IF(L688="F-120",6,IF(L688="F-150",7,0)))))),0),0)+IF(AND(O688="FIRE TEX 5090",E688="CJ",J688=4),VLOOKUP(_xlfn.MINIFS('FIRE TEX 5090'!$Y$5:$Y$39,'FIRE TEX 5090'!$Y$5:$Y$39,"&gt;="&amp;M688),'FIRE TEX 5090'!$Y$5:$AD$39,IF(L688="F-15",2,IF(L688="F-30",3,IF(L688="F-60",4,IF(L688="F-90",5,IF(L688="F-120",6,IF(L688="F-150",7,0)))))),0),0)+IF(AND(O688="FIRE TEX 5120",OR(E688="IN",E688="C",E688="Z",E688="L"),J688=3),VLOOKUP(_xlfn.MINIFS('FIRE TEX 5120'!$B$5:$B$40,'FIRE TEX 5120'!$B$5:$B$40,"&gt;="&amp;M688),'FIRE TEX 5120'!$B$5:$G$40,IF(L688="F-15",2,IF(L688="F-30",3,IF(L688="F-60",4,IF(L688="F-90",5,IF(L688="F-120",6,0))))),0),0)+IF(AND(O688="FIRE TEX 5120",OR(E688="IN",E688="C",E688="Z",E688="L"),J688=4),VLOOKUP(_xlfn.MINIFS('FIRE TEX 5120'!$H$4:$H$40,'FIRE TEX 5120'!$H$4:$H$40,"&gt;="&amp;M688),'FIRE TEX 5120'!$H$4:$M$40,IF(L688="F-15",2,IF(L688="F-30",3,IF(L688="F-60",4,IF(L688="F-90",5,IF(L688="F-120",6,0))))),0),0)+IF(AND(O688="FIRE TEX 5120",E688="CJ"),VLOOKUP(_xlfn.MINIFS('FIRE TEX 5120'!$O$5:$O$40,'FIRE TEX 5120'!$O$5:$O$40,"&gt;="&amp;M688),'FIRE TEX 5120'!$O$5:$T$40,IF(L688="F-15",2,IF(L688="F-30",3,IF(L688="F-60",4,IF(L688="F-90",5,IF(L688="F-120",6,0))))),0),0)</f>
        <v>0</v>
      </c>
      <c r="Q688" s="46">
        <f t="shared" si="74"/>
        <v>0</v>
      </c>
      <c r="R688" s="46">
        <f t="shared" si="75"/>
        <v>0</v>
      </c>
      <c r="S688" s="46" t="e">
        <f t="shared" si="76"/>
        <v>#VALUE!</v>
      </c>
      <c r="T688" s="677">
        <f t="shared" si="77"/>
        <v>0</v>
      </c>
      <c r="U688" s="80">
        <f>(IF(O688="Stofire",(S688*#REF!),0))+(IF(O688="Fire Control",(S688*$U$2),0))+(IF(O688="Fire Tex",(S688*$U$3),0))+(IF(O688="WB7",(S688*#REF!),0)+(IF(O688="FX 2003",(S688*$U$5),0)))</f>
        <v>0</v>
      </c>
      <c r="V688" s="651">
        <f t="shared" si="78"/>
        <v>0</v>
      </c>
    </row>
    <row r="689" spans="4:22" x14ac:dyDescent="0.25">
      <c r="D689" s="118">
        <f>+CUBICACION!D688</f>
        <v>0</v>
      </c>
      <c r="E689" s="118">
        <f>+CUBICACION!F688</f>
        <v>0</v>
      </c>
      <c r="F689" s="118">
        <f>+CUBICACION!E688</f>
        <v>0</v>
      </c>
      <c r="G689" s="118">
        <v>12</v>
      </c>
      <c r="H689" s="118">
        <v>2</v>
      </c>
      <c r="I689" s="820">
        <v>26385</v>
      </c>
      <c r="J689" s="118">
        <f>+CUBICACION!J688</f>
        <v>0</v>
      </c>
      <c r="K689" s="118">
        <v>3468</v>
      </c>
      <c r="L689" s="118">
        <f>+CUBICACION!L688</f>
        <v>0</v>
      </c>
      <c r="M689" s="64">
        <f>+CUBICACION!M688</f>
        <v>0</v>
      </c>
      <c r="N689" s="824" t="str">
        <f>+CUBICACION!N688</f>
        <v/>
      </c>
      <c r="O689" s="675">
        <f>+CUBICACION!O688</f>
        <v>0</v>
      </c>
      <c r="P689" s="15">
        <f>IF(O689="Fire Control",VLOOKUP(_xlfn.MINIFS('FIRE CONTROL'!$C$4:$C$37,'FIRE CONTROL'!$C$4:$C$37,"&gt;="&amp;M689),'FIRE CONTROL'!$C$4:$G$37,IF(L689="F-15",2,IF(L689="F-30",3,IF(L689="F-60",4,IF(L689="F-90",5,0)))),0),0)+IF(AND(O689="FIRE TEX 5062",OR(E689="IN",E689="C",E689="Z",E689="L"),J689=3),VLOOKUP(_xlfn.MINIFS('FIRE TEX 5062'!$B$4:$B$34,'FIRE TEX 5062'!$B$4:$B$34,"&gt;="&amp;M689),'FIRE TEX 5062'!$B$4:$F$34,IF(L689="F-15",2,IF(L689="F-30",3,IF(L689="F-60",4,IF(L689="F-90",5,0)))),0),0)+IF(AND(O689="FIRE TEX 5062",OR(E689="IN",E689="C",E689="Z",E689="L"),J689=4),VLOOKUP(_xlfn.MINIFS('FIRE TEX 5062'!$G$4:$G$34,'FIRE TEX 5062'!$G$4:$G$34,"&gt;="&amp;M689),'FIRE TEX 5062'!$G$4:$K$34,IF(L689="F-15",2,IF(L689="F-30",3,IF(L689="F-60",4,IF(L689="F-90",5,0)))),0),0)+IF(AND(O689="FIRE TEX 5062",E689="CJ",J689=3),VLOOKUP(_xlfn.MINIFS('FIRE TEX 5062'!$L$4:$L$34,'FIRE TEX 5062'!$L$4:$L$34,"&gt;="&amp;M689),'FIRE TEX 5062'!$L$4:$P$34,IF(L689="F-15",2,IF(L689="F-30",3,IF(L689="F-60",4,IF(L689="F-90",5,0)))),0),0)+IF(AND(O689="FIRE TEX 5062",E689="CJ",J689=4),VLOOKUP(_xlfn.MINIFS('FIRE TEX 5062'!$Q$3:$Q$34,'FIRE TEX 5062'!$Q$3:$Q$34,"&gt;="&amp;M689),'FIRE TEX 5062'!$Q$3:$U$34,IF(L689="F-15",2,IF(L689="F-30",3,IF(L689="F-60",4,IF(L689="F-90",5,0)))),0),0)+IF(AND(O689="FIRE TEX 5090",OR(E689="IN",E689="C",E689="Z",E689="L"),J689=3),VLOOKUP(_xlfn.MINIFS('FIRE TEX 5090'!$B$5:$B$43,'FIRE TEX 5090'!$B$5:$B$43,"&gt;="&amp;M689),'FIRE TEX 5090'!$B$5:$H$43,IF(L689="F-15",2,IF(L689="F-30",3,IF(L689="F-60",4,IF(L689="F-90",5,IF(L689="F-120",6,IF(L689="F-150",7,0)))))),0),0)+IF(AND(O689="FIRE TEX 5090",OR(E689="IN",E689="C",E689="Z",E689="L"),J689=4),VLOOKUP(_xlfn.MINIFS('FIRE TEX 5090'!$J$5:$J$43,'FIRE TEX 5090'!$J$5:$J$43,"&gt;="&amp;M689),'FIRE TEX 5090'!$J$5:$P$43,IF(L689="F-15",2,IF(L689="F-30",3,IF(L689="F-60",4,IF(L689="F-90",5,IF(L689="F-120",6,IF(L689="F-150",7,0)))))),0),0)+IF(AND(O689="FIRE TEX 5090",E689="CJ",J689=3),VLOOKUP(_xlfn.MINIFS('FIRE TEX 5090'!$R$5:$R$30,'FIRE TEX 5090'!$R$5:$R$30,"&gt;="&amp;M689),'FIRE TEX 5090'!$R$5:$W$30,IF(L689="F-15",2,IF(L689="F-30",3,IF(L689="F-60",4,IF(L689="F-90",5,IF(L689="F-120",6,IF(L689="F-150",7,0)))))),0),0)+IF(AND(O689="FIRE TEX 5090",E689="CJ",J689=4),VLOOKUP(_xlfn.MINIFS('FIRE TEX 5090'!$Y$5:$Y$39,'FIRE TEX 5090'!$Y$5:$Y$39,"&gt;="&amp;M689),'FIRE TEX 5090'!$Y$5:$AD$39,IF(L689="F-15",2,IF(L689="F-30",3,IF(L689="F-60",4,IF(L689="F-90",5,IF(L689="F-120",6,IF(L689="F-150",7,0)))))),0),0)+IF(AND(O689="FIRE TEX 5120",OR(E689="IN",E689="C",E689="Z",E689="L"),J689=3),VLOOKUP(_xlfn.MINIFS('FIRE TEX 5120'!$B$5:$B$40,'FIRE TEX 5120'!$B$5:$B$40,"&gt;="&amp;M689),'FIRE TEX 5120'!$B$5:$G$40,IF(L689="F-15",2,IF(L689="F-30",3,IF(L689="F-60",4,IF(L689="F-90",5,IF(L689="F-120",6,0))))),0),0)+IF(AND(O689="FIRE TEX 5120",OR(E689="IN",E689="C",E689="Z",E689="L"),J689=4),VLOOKUP(_xlfn.MINIFS('FIRE TEX 5120'!$H$4:$H$40,'FIRE TEX 5120'!$H$4:$H$40,"&gt;="&amp;M689),'FIRE TEX 5120'!$H$4:$M$40,IF(L689="F-15",2,IF(L689="F-30",3,IF(L689="F-60",4,IF(L689="F-90",5,IF(L689="F-120",6,0))))),0),0)+IF(AND(O689="FIRE TEX 5120",E689="CJ"),VLOOKUP(_xlfn.MINIFS('FIRE TEX 5120'!$O$5:$O$40,'FIRE TEX 5120'!$O$5:$O$40,"&gt;="&amp;M689),'FIRE TEX 5120'!$O$5:$T$40,IF(L689="F-15",2,IF(L689="F-30",3,IF(L689="F-60",4,IF(L689="F-90",5,IF(L689="F-120",6,0))))),0),0)</f>
        <v>0</v>
      </c>
      <c r="Q689" s="46">
        <f t="shared" si="74"/>
        <v>0</v>
      </c>
      <c r="R689" s="46">
        <f t="shared" si="75"/>
        <v>0</v>
      </c>
      <c r="S689" s="46" t="e">
        <f t="shared" si="76"/>
        <v>#VALUE!</v>
      </c>
      <c r="T689" s="677">
        <f t="shared" si="77"/>
        <v>0</v>
      </c>
      <c r="U689" s="80">
        <f>(IF(O689="Stofire",(S689*#REF!),0))+(IF(O689="Fire Control",(S689*$U$2),0))+(IF(O689="Fire Tex",(S689*$U$3),0))+(IF(O689="WB7",(S689*#REF!),0)+(IF(O689="FX 2003",(S689*$U$5),0)))</f>
        <v>0</v>
      </c>
      <c r="V689" s="651">
        <f t="shared" si="78"/>
        <v>0</v>
      </c>
    </row>
    <row r="690" spans="4:22" x14ac:dyDescent="0.25">
      <c r="D690" s="118">
        <f>+CUBICACION!D689</f>
        <v>0</v>
      </c>
      <c r="E690" s="118">
        <f>+CUBICACION!F689</f>
        <v>0</v>
      </c>
      <c r="F690" s="118">
        <f>+CUBICACION!E689</f>
        <v>0</v>
      </c>
      <c r="G690" s="118">
        <v>12</v>
      </c>
      <c r="H690" s="118">
        <v>2</v>
      </c>
      <c r="I690" s="820">
        <v>26385</v>
      </c>
      <c r="J690" s="118">
        <f>+CUBICACION!J689</f>
        <v>0</v>
      </c>
      <c r="K690" s="118">
        <v>3469</v>
      </c>
      <c r="L690" s="118">
        <f>+CUBICACION!L689</f>
        <v>0</v>
      </c>
      <c r="M690" s="64">
        <f>+CUBICACION!M689</f>
        <v>0</v>
      </c>
      <c r="N690" s="824" t="str">
        <f>+CUBICACION!N689</f>
        <v/>
      </c>
      <c r="O690" s="675">
        <f>+CUBICACION!O689</f>
        <v>0</v>
      </c>
      <c r="P690" s="15">
        <f>IF(O690="Fire Control",VLOOKUP(_xlfn.MINIFS('FIRE CONTROL'!$C$4:$C$37,'FIRE CONTROL'!$C$4:$C$37,"&gt;="&amp;M690),'FIRE CONTROL'!$C$4:$G$37,IF(L690="F-15",2,IF(L690="F-30",3,IF(L690="F-60",4,IF(L690="F-90",5,0)))),0),0)+IF(AND(O690="FIRE TEX 5062",OR(E690="IN",E690="C",E690="Z",E690="L"),J690=3),VLOOKUP(_xlfn.MINIFS('FIRE TEX 5062'!$B$4:$B$34,'FIRE TEX 5062'!$B$4:$B$34,"&gt;="&amp;M690),'FIRE TEX 5062'!$B$4:$F$34,IF(L690="F-15",2,IF(L690="F-30",3,IF(L690="F-60",4,IF(L690="F-90",5,0)))),0),0)+IF(AND(O690="FIRE TEX 5062",OR(E690="IN",E690="C",E690="Z",E690="L"),J690=4),VLOOKUP(_xlfn.MINIFS('FIRE TEX 5062'!$G$4:$G$34,'FIRE TEX 5062'!$G$4:$G$34,"&gt;="&amp;M690),'FIRE TEX 5062'!$G$4:$K$34,IF(L690="F-15",2,IF(L690="F-30",3,IF(L690="F-60",4,IF(L690="F-90",5,0)))),0),0)+IF(AND(O690="FIRE TEX 5062",E690="CJ",J690=3),VLOOKUP(_xlfn.MINIFS('FIRE TEX 5062'!$L$4:$L$34,'FIRE TEX 5062'!$L$4:$L$34,"&gt;="&amp;M690),'FIRE TEX 5062'!$L$4:$P$34,IF(L690="F-15",2,IF(L690="F-30",3,IF(L690="F-60",4,IF(L690="F-90",5,0)))),0),0)+IF(AND(O690="FIRE TEX 5062",E690="CJ",J690=4),VLOOKUP(_xlfn.MINIFS('FIRE TEX 5062'!$Q$3:$Q$34,'FIRE TEX 5062'!$Q$3:$Q$34,"&gt;="&amp;M690),'FIRE TEX 5062'!$Q$3:$U$34,IF(L690="F-15",2,IF(L690="F-30",3,IF(L690="F-60",4,IF(L690="F-90",5,0)))),0),0)+IF(AND(O690="FIRE TEX 5090",OR(E690="IN",E690="C",E690="Z",E690="L"),J690=3),VLOOKUP(_xlfn.MINIFS('FIRE TEX 5090'!$B$5:$B$43,'FIRE TEX 5090'!$B$5:$B$43,"&gt;="&amp;M690),'FIRE TEX 5090'!$B$5:$H$43,IF(L690="F-15",2,IF(L690="F-30",3,IF(L690="F-60",4,IF(L690="F-90",5,IF(L690="F-120",6,IF(L690="F-150",7,0)))))),0),0)+IF(AND(O690="FIRE TEX 5090",OR(E690="IN",E690="C",E690="Z",E690="L"),J690=4),VLOOKUP(_xlfn.MINIFS('FIRE TEX 5090'!$J$5:$J$43,'FIRE TEX 5090'!$J$5:$J$43,"&gt;="&amp;M690),'FIRE TEX 5090'!$J$5:$P$43,IF(L690="F-15",2,IF(L690="F-30",3,IF(L690="F-60",4,IF(L690="F-90",5,IF(L690="F-120",6,IF(L690="F-150",7,0)))))),0),0)+IF(AND(O690="FIRE TEX 5090",E690="CJ",J690=3),VLOOKUP(_xlfn.MINIFS('FIRE TEX 5090'!$R$5:$R$30,'FIRE TEX 5090'!$R$5:$R$30,"&gt;="&amp;M690),'FIRE TEX 5090'!$R$5:$W$30,IF(L690="F-15",2,IF(L690="F-30",3,IF(L690="F-60",4,IF(L690="F-90",5,IF(L690="F-120",6,IF(L690="F-150",7,0)))))),0),0)+IF(AND(O690="FIRE TEX 5090",E690="CJ",J690=4),VLOOKUP(_xlfn.MINIFS('FIRE TEX 5090'!$Y$5:$Y$39,'FIRE TEX 5090'!$Y$5:$Y$39,"&gt;="&amp;M690),'FIRE TEX 5090'!$Y$5:$AD$39,IF(L690="F-15",2,IF(L690="F-30",3,IF(L690="F-60",4,IF(L690="F-90",5,IF(L690="F-120",6,IF(L690="F-150",7,0)))))),0),0)+IF(AND(O690="FIRE TEX 5120",OR(E690="IN",E690="C",E690="Z",E690="L"),J690=3),VLOOKUP(_xlfn.MINIFS('FIRE TEX 5120'!$B$5:$B$40,'FIRE TEX 5120'!$B$5:$B$40,"&gt;="&amp;M690),'FIRE TEX 5120'!$B$5:$G$40,IF(L690="F-15",2,IF(L690="F-30",3,IF(L690="F-60",4,IF(L690="F-90",5,IF(L690="F-120",6,0))))),0),0)+IF(AND(O690="FIRE TEX 5120",OR(E690="IN",E690="C",E690="Z",E690="L"),J690=4),VLOOKUP(_xlfn.MINIFS('FIRE TEX 5120'!$H$4:$H$40,'FIRE TEX 5120'!$H$4:$H$40,"&gt;="&amp;M690),'FIRE TEX 5120'!$H$4:$M$40,IF(L690="F-15",2,IF(L690="F-30",3,IF(L690="F-60",4,IF(L690="F-90",5,IF(L690="F-120",6,0))))),0),0)+IF(AND(O690="FIRE TEX 5120",E690="CJ"),VLOOKUP(_xlfn.MINIFS('FIRE TEX 5120'!$O$5:$O$40,'FIRE TEX 5120'!$O$5:$O$40,"&gt;="&amp;M690),'FIRE TEX 5120'!$O$5:$T$40,IF(L690="F-15",2,IF(L690="F-30",3,IF(L690="F-60",4,IF(L690="F-90",5,IF(L690="F-120",6,0))))),0),0)</f>
        <v>0</v>
      </c>
      <c r="Q690" s="46">
        <f t="shared" si="74"/>
        <v>0</v>
      </c>
      <c r="R690" s="46">
        <f t="shared" si="75"/>
        <v>0</v>
      </c>
      <c r="S690" s="46" t="e">
        <f t="shared" si="76"/>
        <v>#VALUE!</v>
      </c>
      <c r="T690" s="677">
        <f t="shared" si="77"/>
        <v>0</v>
      </c>
      <c r="U690" s="80">
        <f>(IF(O690="Stofire",(S690*#REF!),0))+(IF(O690="Fire Control",(S690*$U$2),0))+(IF(O690="Fire Tex",(S690*$U$3),0))+(IF(O690="WB7",(S690*#REF!),0)+(IF(O690="FX 2003",(S690*$U$5),0)))</f>
        <v>0</v>
      </c>
      <c r="V690" s="651">
        <f t="shared" si="78"/>
        <v>0</v>
      </c>
    </row>
    <row r="691" spans="4:22" x14ac:dyDescent="0.25">
      <c r="D691" s="118">
        <f>+CUBICACION!D690</f>
        <v>0</v>
      </c>
      <c r="E691" s="118">
        <f>+CUBICACION!F690</f>
        <v>0</v>
      </c>
      <c r="F691" s="118">
        <f>+CUBICACION!E690</f>
        <v>0</v>
      </c>
      <c r="G691" s="118">
        <v>12</v>
      </c>
      <c r="H691" s="118">
        <v>2</v>
      </c>
      <c r="I691" s="820">
        <v>26385</v>
      </c>
      <c r="J691" s="118">
        <f>+CUBICACION!J690</f>
        <v>0</v>
      </c>
      <c r="K691" s="118">
        <v>3470</v>
      </c>
      <c r="L691" s="118">
        <f>+CUBICACION!L690</f>
        <v>0</v>
      </c>
      <c r="M691" s="64">
        <f>+CUBICACION!M690</f>
        <v>0</v>
      </c>
      <c r="N691" s="824" t="str">
        <f>+CUBICACION!N690</f>
        <v/>
      </c>
      <c r="O691" s="675">
        <f>+CUBICACION!O690</f>
        <v>0</v>
      </c>
      <c r="P691" s="15">
        <f>IF(O691="Fire Control",VLOOKUP(_xlfn.MINIFS('FIRE CONTROL'!$C$4:$C$37,'FIRE CONTROL'!$C$4:$C$37,"&gt;="&amp;M691),'FIRE CONTROL'!$C$4:$G$37,IF(L691="F-15",2,IF(L691="F-30",3,IF(L691="F-60",4,IF(L691="F-90",5,0)))),0),0)+IF(AND(O691="FIRE TEX 5062",OR(E691="IN",E691="C",E691="Z",E691="L"),J691=3),VLOOKUP(_xlfn.MINIFS('FIRE TEX 5062'!$B$4:$B$34,'FIRE TEX 5062'!$B$4:$B$34,"&gt;="&amp;M691),'FIRE TEX 5062'!$B$4:$F$34,IF(L691="F-15",2,IF(L691="F-30",3,IF(L691="F-60",4,IF(L691="F-90",5,0)))),0),0)+IF(AND(O691="FIRE TEX 5062",OR(E691="IN",E691="C",E691="Z",E691="L"),J691=4),VLOOKUP(_xlfn.MINIFS('FIRE TEX 5062'!$G$4:$G$34,'FIRE TEX 5062'!$G$4:$G$34,"&gt;="&amp;M691),'FIRE TEX 5062'!$G$4:$K$34,IF(L691="F-15",2,IF(L691="F-30",3,IF(L691="F-60",4,IF(L691="F-90",5,0)))),0),0)+IF(AND(O691="FIRE TEX 5062",E691="CJ",J691=3),VLOOKUP(_xlfn.MINIFS('FIRE TEX 5062'!$L$4:$L$34,'FIRE TEX 5062'!$L$4:$L$34,"&gt;="&amp;M691),'FIRE TEX 5062'!$L$4:$P$34,IF(L691="F-15",2,IF(L691="F-30",3,IF(L691="F-60",4,IF(L691="F-90",5,0)))),0),0)+IF(AND(O691="FIRE TEX 5062",E691="CJ",J691=4),VLOOKUP(_xlfn.MINIFS('FIRE TEX 5062'!$Q$3:$Q$34,'FIRE TEX 5062'!$Q$3:$Q$34,"&gt;="&amp;M691),'FIRE TEX 5062'!$Q$3:$U$34,IF(L691="F-15",2,IF(L691="F-30",3,IF(L691="F-60",4,IF(L691="F-90",5,0)))),0),0)+IF(AND(O691="FIRE TEX 5090",OR(E691="IN",E691="C",E691="Z",E691="L"),J691=3),VLOOKUP(_xlfn.MINIFS('FIRE TEX 5090'!$B$5:$B$43,'FIRE TEX 5090'!$B$5:$B$43,"&gt;="&amp;M691),'FIRE TEX 5090'!$B$5:$H$43,IF(L691="F-15",2,IF(L691="F-30",3,IF(L691="F-60",4,IF(L691="F-90",5,IF(L691="F-120",6,IF(L691="F-150",7,0)))))),0),0)+IF(AND(O691="FIRE TEX 5090",OR(E691="IN",E691="C",E691="Z",E691="L"),J691=4),VLOOKUP(_xlfn.MINIFS('FIRE TEX 5090'!$J$5:$J$43,'FIRE TEX 5090'!$J$5:$J$43,"&gt;="&amp;M691),'FIRE TEX 5090'!$J$5:$P$43,IF(L691="F-15",2,IF(L691="F-30",3,IF(L691="F-60",4,IF(L691="F-90",5,IF(L691="F-120",6,IF(L691="F-150",7,0)))))),0),0)+IF(AND(O691="FIRE TEX 5090",E691="CJ",J691=3),VLOOKUP(_xlfn.MINIFS('FIRE TEX 5090'!$R$5:$R$30,'FIRE TEX 5090'!$R$5:$R$30,"&gt;="&amp;M691),'FIRE TEX 5090'!$R$5:$W$30,IF(L691="F-15",2,IF(L691="F-30",3,IF(L691="F-60",4,IF(L691="F-90",5,IF(L691="F-120",6,IF(L691="F-150",7,0)))))),0),0)+IF(AND(O691="FIRE TEX 5090",E691="CJ",J691=4),VLOOKUP(_xlfn.MINIFS('FIRE TEX 5090'!$Y$5:$Y$39,'FIRE TEX 5090'!$Y$5:$Y$39,"&gt;="&amp;M691),'FIRE TEX 5090'!$Y$5:$AD$39,IF(L691="F-15",2,IF(L691="F-30",3,IF(L691="F-60",4,IF(L691="F-90",5,IF(L691="F-120",6,IF(L691="F-150",7,0)))))),0),0)+IF(AND(O691="FIRE TEX 5120",OR(E691="IN",E691="C",E691="Z",E691="L"),J691=3),VLOOKUP(_xlfn.MINIFS('FIRE TEX 5120'!$B$5:$B$40,'FIRE TEX 5120'!$B$5:$B$40,"&gt;="&amp;M691),'FIRE TEX 5120'!$B$5:$G$40,IF(L691="F-15",2,IF(L691="F-30",3,IF(L691="F-60",4,IF(L691="F-90",5,IF(L691="F-120",6,0))))),0),0)+IF(AND(O691="FIRE TEX 5120",OR(E691="IN",E691="C",E691="Z",E691="L"),J691=4),VLOOKUP(_xlfn.MINIFS('FIRE TEX 5120'!$H$4:$H$40,'FIRE TEX 5120'!$H$4:$H$40,"&gt;="&amp;M691),'FIRE TEX 5120'!$H$4:$M$40,IF(L691="F-15",2,IF(L691="F-30",3,IF(L691="F-60",4,IF(L691="F-90",5,IF(L691="F-120",6,0))))),0),0)+IF(AND(O691="FIRE TEX 5120",E691="CJ"),VLOOKUP(_xlfn.MINIFS('FIRE TEX 5120'!$O$5:$O$40,'FIRE TEX 5120'!$O$5:$O$40,"&gt;="&amp;M691),'FIRE TEX 5120'!$O$5:$T$40,IF(L691="F-15",2,IF(L691="F-30",3,IF(L691="F-60",4,IF(L691="F-90",5,IF(L691="F-120",6,0))))),0),0)</f>
        <v>0</v>
      </c>
      <c r="Q691" s="46">
        <f t="shared" si="74"/>
        <v>0</v>
      </c>
      <c r="R691" s="46">
        <f t="shared" si="75"/>
        <v>0</v>
      </c>
      <c r="S691" s="46" t="e">
        <f t="shared" si="76"/>
        <v>#VALUE!</v>
      </c>
      <c r="T691" s="677">
        <f t="shared" si="77"/>
        <v>0</v>
      </c>
      <c r="U691" s="80">
        <f>(IF(O691="Stofire",(S691*#REF!),0))+(IF(O691="Fire Control",(S691*$U$2),0))+(IF(O691="Fire Tex",(S691*$U$3),0))+(IF(O691="WB7",(S691*#REF!),0)+(IF(O691="FX 2003",(S691*$U$5),0)))</f>
        <v>0</v>
      </c>
      <c r="V691" s="651">
        <f t="shared" si="78"/>
        <v>0</v>
      </c>
    </row>
    <row r="692" spans="4:22" x14ac:dyDescent="0.25">
      <c r="D692" s="118">
        <f>+CUBICACION!D691</f>
        <v>0</v>
      </c>
      <c r="E692" s="118">
        <f>+CUBICACION!F691</f>
        <v>0</v>
      </c>
      <c r="F692" s="118">
        <f>+CUBICACION!E691</f>
        <v>0</v>
      </c>
      <c r="G692" s="118">
        <v>12</v>
      </c>
      <c r="H692" s="118">
        <v>2</v>
      </c>
      <c r="I692" s="820">
        <v>26385</v>
      </c>
      <c r="J692" s="118">
        <f>+CUBICACION!J691</f>
        <v>0</v>
      </c>
      <c r="K692" s="118">
        <v>3471</v>
      </c>
      <c r="L692" s="118">
        <f>+CUBICACION!L691</f>
        <v>0</v>
      </c>
      <c r="M692" s="64">
        <f>+CUBICACION!M691</f>
        <v>0</v>
      </c>
      <c r="N692" s="824" t="str">
        <f>+CUBICACION!N691</f>
        <v/>
      </c>
      <c r="O692" s="675">
        <f>+CUBICACION!O691</f>
        <v>0</v>
      </c>
      <c r="P692" s="15">
        <f>IF(O692="Fire Control",VLOOKUP(_xlfn.MINIFS('FIRE CONTROL'!$C$4:$C$37,'FIRE CONTROL'!$C$4:$C$37,"&gt;="&amp;M692),'FIRE CONTROL'!$C$4:$G$37,IF(L692="F-15",2,IF(L692="F-30",3,IF(L692="F-60",4,IF(L692="F-90",5,0)))),0),0)+IF(AND(O692="FIRE TEX 5062",OR(E692="IN",E692="C",E692="Z",E692="L"),J692=3),VLOOKUP(_xlfn.MINIFS('FIRE TEX 5062'!$B$4:$B$34,'FIRE TEX 5062'!$B$4:$B$34,"&gt;="&amp;M692),'FIRE TEX 5062'!$B$4:$F$34,IF(L692="F-15",2,IF(L692="F-30",3,IF(L692="F-60",4,IF(L692="F-90",5,0)))),0),0)+IF(AND(O692="FIRE TEX 5062",OR(E692="IN",E692="C",E692="Z",E692="L"),J692=4),VLOOKUP(_xlfn.MINIFS('FIRE TEX 5062'!$G$4:$G$34,'FIRE TEX 5062'!$G$4:$G$34,"&gt;="&amp;M692),'FIRE TEX 5062'!$G$4:$K$34,IF(L692="F-15",2,IF(L692="F-30",3,IF(L692="F-60",4,IF(L692="F-90",5,0)))),0),0)+IF(AND(O692="FIRE TEX 5062",E692="CJ",J692=3),VLOOKUP(_xlfn.MINIFS('FIRE TEX 5062'!$L$4:$L$34,'FIRE TEX 5062'!$L$4:$L$34,"&gt;="&amp;M692),'FIRE TEX 5062'!$L$4:$P$34,IF(L692="F-15",2,IF(L692="F-30",3,IF(L692="F-60",4,IF(L692="F-90",5,0)))),0),0)+IF(AND(O692="FIRE TEX 5062",E692="CJ",J692=4),VLOOKUP(_xlfn.MINIFS('FIRE TEX 5062'!$Q$3:$Q$34,'FIRE TEX 5062'!$Q$3:$Q$34,"&gt;="&amp;M692),'FIRE TEX 5062'!$Q$3:$U$34,IF(L692="F-15",2,IF(L692="F-30",3,IF(L692="F-60",4,IF(L692="F-90",5,0)))),0),0)+IF(AND(O692="FIRE TEX 5090",OR(E692="IN",E692="C",E692="Z",E692="L"),J692=3),VLOOKUP(_xlfn.MINIFS('FIRE TEX 5090'!$B$5:$B$43,'FIRE TEX 5090'!$B$5:$B$43,"&gt;="&amp;M692),'FIRE TEX 5090'!$B$5:$H$43,IF(L692="F-15",2,IF(L692="F-30",3,IF(L692="F-60",4,IF(L692="F-90",5,IF(L692="F-120",6,IF(L692="F-150",7,0)))))),0),0)+IF(AND(O692="FIRE TEX 5090",OR(E692="IN",E692="C",E692="Z",E692="L"),J692=4),VLOOKUP(_xlfn.MINIFS('FIRE TEX 5090'!$J$5:$J$43,'FIRE TEX 5090'!$J$5:$J$43,"&gt;="&amp;M692),'FIRE TEX 5090'!$J$5:$P$43,IF(L692="F-15",2,IF(L692="F-30",3,IF(L692="F-60",4,IF(L692="F-90",5,IF(L692="F-120",6,IF(L692="F-150",7,0)))))),0),0)+IF(AND(O692="FIRE TEX 5090",E692="CJ",J692=3),VLOOKUP(_xlfn.MINIFS('FIRE TEX 5090'!$R$5:$R$30,'FIRE TEX 5090'!$R$5:$R$30,"&gt;="&amp;M692),'FIRE TEX 5090'!$R$5:$W$30,IF(L692="F-15",2,IF(L692="F-30",3,IF(L692="F-60",4,IF(L692="F-90",5,IF(L692="F-120",6,IF(L692="F-150",7,0)))))),0),0)+IF(AND(O692="FIRE TEX 5090",E692="CJ",J692=4),VLOOKUP(_xlfn.MINIFS('FIRE TEX 5090'!$Y$5:$Y$39,'FIRE TEX 5090'!$Y$5:$Y$39,"&gt;="&amp;M692),'FIRE TEX 5090'!$Y$5:$AD$39,IF(L692="F-15",2,IF(L692="F-30",3,IF(L692="F-60",4,IF(L692="F-90",5,IF(L692="F-120",6,IF(L692="F-150",7,0)))))),0),0)+IF(AND(O692="FIRE TEX 5120",OR(E692="IN",E692="C",E692="Z",E692="L"),J692=3),VLOOKUP(_xlfn.MINIFS('FIRE TEX 5120'!$B$5:$B$40,'FIRE TEX 5120'!$B$5:$B$40,"&gt;="&amp;M692),'FIRE TEX 5120'!$B$5:$G$40,IF(L692="F-15",2,IF(L692="F-30",3,IF(L692="F-60",4,IF(L692="F-90",5,IF(L692="F-120",6,0))))),0),0)+IF(AND(O692="FIRE TEX 5120",OR(E692="IN",E692="C",E692="Z",E692="L"),J692=4),VLOOKUP(_xlfn.MINIFS('FIRE TEX 5120'!$H$4:$H$40,'FIRE TEX 5120'!$H$4:$H$40,"&gt;="&amp;M692),'FIRE TEX 5120'!$H$4:$M$40,IF(L692="F-15",2,IF(L692="F-30",3,IF(L692="F-60",4,IF(L692="F-90",5,IF(L692="F-120",6,0))))),0),0)+IF(AND(O692="FIRE TEX 5120",E692="CJ"),VLOOKUP(_xlfn.MINIFS('FIRE TEX 5120'!$O$5:$O$40,'FIRE TEX 5120'!$O$5:$O$40,"&gt;="&amp;M692),'FIRE TEX 5120'!$O$5:$T$40,IF(L692="F-15",2,IF(L692="F-30",3,IF(L692="F-60",4,IF(L692="F-90",5,IF(L692="F-120",6,0))))),0),0)</f>
        <v>0</v>
      </c>
      <c r="Q692" s="46">
        <f t="shared" si="74"/>
        <v>0</v>
      </c>
      <c r="R692" s="46">
        <f t="shared" si="75"/>
        <v>0</v>
      </c>
      <c r="S692" s="46" t="e">
        <f t="shared" si="76"/>
        <v>#VALUE!</v>
      </c>
      <c r="T692" s="677">
        <f t="shared" si="77"/>
        <v>0</v>
      </c>
      <c r="U692" s="80">
        <f>(IF(O692="Stofire",(S692*#REF!),0))+(IF(O692="Fire Control",(S692*$U$2),0))+(IF(O692="Fire Tex",(S692*$U$3),0))+(IF(O692="WB7",(S692*#REF!),0)+(IF(O692="FX 2003",(S692*$U$5),0)))</f>
        <v>0</v>
      </c>
      <c r="V692" s="651">
        <f t="shared" si="78"/>
        <v>0</v>
      </c>
    </row>
    <row r="693" spans="4:22" x14ac:dyDescent="0.25">
      <c r="D693" s="118">
        <f>+CUBICACION!D692</f>
        <v>0</v>
      </c>
      <c r="E693" s="118">
        <f>+CUBICACION!F692</f>
        <v>0</v>
      </c>
      <c r="F693" s="118">
        <f>+CUBICACION!E692</f>
        <v>0</v>
      </c>
      <c r="G693" s="118">
        <v>12</v>
      </c>
      <c r="H693" s="118">
        <v>2</v>
      </c>
      <c r="I693" s="820">
        <v>26385</v>
      </c>
      <c r="J693" s="118">
        <f>+CUBICACION!J692</f>
        <v>0</v>
      </c>
      <c r="K693" s="118">
        <v>3472</v>
      </c>
      <c r="L693" s="118">
        <f>+CUBICACION!L692</f>
        <v>0</v>
      </c>
      <c r="M693" s="64">
        <f>+CUBICACION!M692</f>
        <v>0</v>
      </c>
      <c r="N693" s="824" t="str">
        <f>+CUBICACION!N692</f>
        <v/>
      </c>
      <c r="O693" s="675">
        <f>+CUBICACION!O692</f>
        <v>0</v>
      </c>
      <c r="P693" s="15">
        <f>IF(O693="Fire Control",VLOOKUP(_xlfn.MINIFS('FIRE CONTROL'!$C$4:$C$37,'FIRE CONTROL'!$C$4:$C$37,"&gt;="&amp;M693),'FIRE CONTROL'!$C$4:$G$37,IF(L693="F-15",2,IF(L693="F-30",3,IF(L693="F-60",4,IF(L693="F-90",5,0)))),0),0)+IF(AND(O693="FIRE TEX 5062",OR(E693="IN",E693="C",E693="Z",E693="L"),J693=3),VLOOKUP(_xlfn.MINIFS('FIRE TEX 5062'!$B$4:$B$34,'FIRE TEX 5062'!$B$4:$B$34,"&gt;="&amp;M693),'FIRE TEX 5062'!$B$4:$F$34,IF(L693="F-15",2,IF(L693="F-30",3,IF(L693="F-60",4,IF(L693="F-90",5,0)))),0),0)+IF(AND(O693="FIRE TEX 5062",OR(E693="IN",E693="C",E693="Z",E693="L"),J693=4),VLOOKUP(_xlfn.MINIFS('FIRE TEX 5062'!$G$4:$G$34,'FIRE TEX 5062'!$G$4:$G$34,"&gt;="&amp;M693),'FIRE TEX 5062'!$G$4:$K$34,IF(L693="F-15",2,IF(L693="F-30",3,IF(L693="F-60",4,IF(L693="F-90",5,0)))),0),0)+IF(AND(O693="FIRE TEX 5062",E693="CJ",J693=3),VLOOKUP(_xlfn.MINIFS('FIRE TEX 5062'!$L$4:$L$34,'FIRE TEX 5062'!$L$4:$L$34,"&gt;="&amp;M693),'FIRE TEX 5062'!$L$4:$P$34,IF(L693="F-15",2,IF(L693="F-30",3,IF(L693="F-60",4,IF(L693="F-90",5,0)))),0),0)+IF(AND(O693="FIRE TEX 5062",E693="CJ",J693=4),VLOOKUP(_xlfn.MINIFS('FIRE TEX 5062'!$Q$3:$Q$34,'FIRE TEX 5062'!$Q$3:$Q$34,"&gt;="&amp;M693),'FIRE TEX 5062'!$Q$3:$U$34,IF(L693="F-15",2,IF(L693="F-30",3,IF(L693="F-60",4,IF(L693="F-90",5,0)))),0),0)+IF(AND(O693="FIRE TEX 5090",OR(E693="IN",E693="C",E693="Z",E693="L"),J693=3),VLOOKUP(_xlfn.MINIFS('FIRE TEX 5090'!$B$5:$B$43,'FIRE TEX 5090'!$B$5:$B$43,"&gt;="&amp;M693),'FIRE TEX 5090'!$B$5:$H$43,IF(L693="F-15",2,IF(L693="F-30",3,IF(L693="F-60",4,IF(L693="F-90",5,IF(L693="F-120",6,IF(L693="F-150",7,0)))))),0),0)+IF(AND(O693="FIRE TEX 5090",OR(E693="IN",E693="C",E693="Z",E693="L"),J693=4),VLOOKUP(_xlfn.MINIFS('FIRE TEX 5090'!$J$5:$J$43,'FIRE TEX 5090'!$J$5:$J$43,"&gt;="&amp;M693),'FIRE TEX 5090'!$J$5:$P$43,IF(L693="F-15",2,IF(L693="F-30",3,IF(L693="F-60",4,IF(L693="F-90",5,IF(L693="F-120",6,IF(L693="F-150",7,0)))))),0),0)+IF(AND(O693="FIRE TEX 5090",E693="CJ",J693=3),VLOOKUP(_xlfn.MINIFS('FIRE TEX 5090'!$R$5:$R$30,'FIRE TEX 5090'!$R$5:$R$30,"&gt;="&amp;M693),'FIRE TEX 5090'!$R$5:$W$30,IF(L693="F-15",2,IF(L693="F-30",3,IF(L693="F-60",4,IF(L693="F-90",5,IF(L693="F-120",6,IF(L693="F-150",7,0)))))),0),0)+IF(AND(O693="FIRE TEX 5090",E693="CJ",J693=4),VLOOKUP(_xlfn.MINIFS('FIRE TEX 5090'!$Y$5:$Y$39,'FIRE TEX 5090'!$Y$5:$Y$39,"&gt;="&amp;M693),'FIRE TEX 5090'!$Y$5:$AD$39,IF(L693="F-15",2,IF(L693="F-30",3,IF(L693="F-60",4,IF(L693="F-90",5,IF(L693="F-120",6,IF(L693="F-150",7,0)))))),0),0)+IF(AND(O693="FIRE TEX 5120",OR(E693="IN",E693="C",E693="Z",E693="L"),J693=3),VLOOKUP(_xlfn.MINIFS('FIRE TEX 5120'!$B$5:$B$40,'FIRE TEX 5120'!$B$5:$B$40,"&gt;="&amp;M693),'FIRE TEX 5120'!$B$5:$G$40,IF(L693="F-15",2,IF(L693="F-30",3,IF(L693="F-60",4,IF(L693="F-90",5,IF(L693="F-120",6,0))))),0),0)+IF(AND(O693="FIRE TEX 5120",OR(E693="IN",E693="C",E693="Z",E693="L"),J693=4),VLOOKUP(_xlfn.MINIFS('FIRE TEX 5120'!$H$4:$H$40,'FIRE TEX 5120'!$H$4:$H$40,"&gt;="&amp;M693),'FIRE TEX 5120'!$H$4:$M$40,IF(L693="F-15",2,IF(L693="F-30",3,IF(L693="F-60",4,IF(L693="F-90",5,IF(L693="F-120",6,0))))),0),0)+IF(AND(O693="FIRE TEX 5120",E693="CJ"),VLOOKUP(_xlfn.MINIFS('FIRE TEX 5120'!$O$5:$O$40,'FIRE TEX 5120'!$O$5:$O$40,"&gt;="&amp;M693),'FIRE TEX 5120'!$O$5:$T$40,IF(L693="F-15",2,IF(L693="F-30",3,IF(L693="F-60",4,IF(L693="F-90",5,IF(L693="F-120",6,0))))),0),0)</f>
        <v>0</v>
      </c>
      <c r="Q693" s="46">
        <f t="shared" si="74"/>
        <v>0</v>
      </c>
      <c r="R693" s="46">
        <f t="shared" si="75"/>
        <v>0</v>
      </c>
      <c r="S693" s="46" t="e">
        <f t="shared" si="76"/>
        <v>#VALUE!</v>
      </c>
      <c r="T693" s="677">
        <f t="shared" si="77"/>
        <v>0</v>
      </c>
      <c r="U693" s="80">
        <f>(IF(O693="Stofire",(S693*#REF!),0))+(IF(O693="Fire Control",(S693*$U$2),0))+(IF(O693="Fire Tex",(S693*$U$3),0))+(IF(O693="WB7",(S693*#REF!),0)+(IF(O693="FX 2003",(S693*$U$5),0)))</f>
        <v>0</v>
      </c>
      <c r="V693" s="651">
        <f t="shared" si="78"/>
        <v>0</v>
      </c>
    </row>
    <row r="694" spans="4:22" x14ac:dyDescent="0.25">
      <c r="D694" s="118">
        <f>+CUBICACION!D693</f>
        <v>0</v>
      </c>
      <c r="E694" s="118">
        <f>+CUBICACION!F693</f>
        <v>0</v>
      </c>
      <c r="F694" s="118">
        <f>+CUBICACION!E693</f>
        <v>0</v>
      </c>
      <c r="G694" s="118">
        <v>12</v>
      </c>
      <c r="H694" s="118">
        <v>2</v>
      </c>
      <c r="I694" s="820">
        <v>26385</v>
      </c>
      <c r="J694" s="118">
        <f>+CUBICACION!J693</f>
        <v>0</v>
      </c>
      <c r="K694" s="118">
        <v>3473</v>
      </c>
      <c r="L694" s="118">
        <f>+CUBICACION!L693</f>
        <v>0</v>
      </c>
      <c r="M694" s="64">
        <f>+CUBICACION!M693</f>
        <v>0</v>
      </c>
      <c r="N694" s="824" t="str">
        <f>+CUBICACION!N693</f>
        <v/>
      </c>
      <c r="O694" s="675">
        <f>+CUBICACION!O693</f>
        <v>0</v>
      </c>
      <c r="P694" s="15">
        <f>IF(O694="Fire Control",VLOOKUP(_xlfn.MINIFS('FIRE CONTROL'!$C$4:$C$37,'FIRE CONTROL'!$C$4:$C$37,"&gt;="&amp;M694),'FIRE CONTROL'!$C$4:$G$37,IF(L694="F-15",2,IF(L694="F-30",3,IF(L694="F-60",4,IF(L694="F-90",5,0)))),0),0)+IF(AND(O694="FIRE TEX 5062",OR(E694="IN",E694="C",E694="Z",E694="L"),J694=3),VLOOKUP(_xlfn.MINIFS('FIRE TEX 5062'!$B$4:$B$34,'FIRE TEX 5062'!$B$4:$B$34,"&gt;="&amp;M694),'FIRE TEX 5062'!$B$4:$F$34,IF(L694="F-15",2,IF(L694="F-30",3,IF(L694="F-60",4,IF(L694="F-90",5,0)))),0),0)+IF(AND(O694="FIRE TEX 5062",OR(E694="IN",E694="C",E694="Z",E694="L"),J694=4),VLOOKUP(_xlfn.MINIFS('FIRE TEX 5062'!$G$4:$G$34,'FIRE TEX 5062'!$G$4:$G$34,"&gt;="&amp;M694),'FIRE TEX 5062'!$G$4:$K$34,IF(L694="F-15",2,IF(L694="F-30",3,IF(L694="F-60",4,IF(L694="F-90",5,0)))),0),0)+IF(AND(O694="FIRE TEX 5062",E694="CJ",J694=3),VLOOKUP(_xlfn.MINIFS('FIRE TEX 5062'!$L$4:$L$34,'FIRE TEX 5062'!$L$4:$L$34,"&gt;="&amp;M694),'FIRE TEX 5062'!$L$4:$P$34,IF(L694="F-15",2,IF(L694="F-30",3,IF(L694="F-60",4,IF(L694="F-90",5,0)))),0),0)+IF(AND(O694="FIRE TEX 5062",E694="CJ",J694=4),VLOOKUP(_xlfn.MINIFS('FIRE TEX 5062'!$Q$3:$Q$34,'FIRE TEX 5062'!$Q$3:$Q$34,"&gt;="&amp;M694),'FIRE TEX 5062'!$Q$3:$U$34,IF(L694="F-15",2,IF(L694="F-30",3,IF(L694="F-60",4,IF(L694="F-90",5,0)))),0),0)+IF(AND(O694="FIRE TEX 5090",OR(E694="IN",E694="C",E694="Z",E694="L"),J694=3),VLOOKUP(_xlfn.MINIFS('FIRE TEX 5090'!$B$5:$B$43,'FIRE TEX 5090'!$B$5:$B$43,"&gt;="&amp;M694),'FIRE TEX 5090'!$B$5:$H$43,IF(L694="F-15",2,IF(L694="F-30",3,IF(L694="F-60",4,IF(L694="F-90",5,IF(L694="F-120",6,IF(L694="F-150",7,0)))))),0),0)+IF(AND(O694="FIRE TEX 5090",OR(E694="IN",E694="C",E694="Z",E694="L"),J694=4),VLOOKUP(_xlfn.MINIFS('FIRE TEX 5090'!$J$5:$J$43,'FIRE TEX 5090'!$J$5:$J$43,"&gt;="&amp;M694),'FIRE TEX 5090'!$J$5:$P$43,IF(L694="F-15",2,IF(L694="F-30",3,IF(L694="F-60",4,IF(L694="F-90",5,IF(L694="F-120",6,IF(L694="F-150",7,0)))))),0),0)+IF(AND(O694="FIRE TEX 5090",E694="CJ",J694=3),VLOOKUP(_xlfn.MINIFS('FIRE TEX 5090'!$R$5:$R$30,'FIRE TEX 5090'!$R$5:$R$30,"&gt;="&amp;M694),'FIRE TEX 5090'!$R$5:$W$30,IF(L694="F-15",2,IF(L694="F-30",3,IF(L694="F-60",4,IF(L694="F-90",5,IF(L694="F-120",6,IF(L694="F-150",7,0)))))),0),0)+IF(AND(O694="FIRE TEX 5090",E694="CJ",J694=4),VLOOKUP(_xlfn.MINIFS('FIRE TEX 5090'!$Y$5:$Y$39,'FIRE TEX 5090'!$Y$5:$Y$39,"&gt;="&amp;M694),'FIRE TEX 5090'!$Y$5:$AD$39,IF(L694="F-15",2,IF(L694="F-30",3,IF(L694="F-60",4,IF(L694="F-90",5,IF(L694="F-120",6,IF(L694="F-150",7,0)))))),0),0)+IF(AND(O694="FIRE TEX 5120",OR(E694="IN",E694="C",E694="Z",E694="L"),J694=3),VLOOKUP(_xlfn.MINIFS('FIRE TEX 5120'!$B$5:$B$40,'FIRE TEX 5120'!$B$5:$B$40,"&gt;="&amp;M694),'FIRE TEX 5120'!$B$5:$G$40,IF(L694="F-15",2,IF(L694="F-30",3,IF(L694="F-60",4,IF(L694="F-90",5,IF(L694="F-120",6,0))))),0),0)+IF(AND(O694="FIRE TEX 5120",OR(E694="IN",E694="C",E694="Z",E694="L"),J694=4),VLOOKUP(_xlfn.MINIFS('FIRE TEX 5120'!$H$4:$H$40,'FIRE TEX 5120'!$H$4:$H$40,"&gt;="&amp;M694),'FIRE TEX 5120'!$H$4:$M$40,IF(L694="F-15",2,IF(L694="F-30",3,IF(L694="F-60",4,IF(L694="F-90",5,IF(L694="F-120",6,0))))),0),0)+IF(AND(O694="FIRE TEX 5120",E694="CJ"),VLOOKUP(_xlfn.MINIFS('FIRE TEX 5120'!$O$5:$O$40,'FIRE TEX 5120'!$O$5:$O$40,"&gt;="&amp;M694),'FIRE TEX 5120'!$O$5:$T$40,IF(L694="F-15",2,IF(L694="F-30",3,IF(L694="F-60",4,IF(L694="F-90",5,IF(L694="F-120",6,0))))),0),0)</f>
        <v>0</v>
      </c>
      <c r="Q694" s="46">
        <f t="shared" si="74"/>
        <v>0</v>
      </c>
      <c r="R694" s="46">
        <f t="shared" si="75"/>
        <v>0</v>
      </c>
      <c r="S694" s="46" t="e">
        <f t="shared" si="76"/>
        <v>#VALUE!</v>
      </c>
      <c r="T694" s="677">
        <f t="shared" si="77"/>
        <v>0</v>
      </c>
      <c r="U694" s="80">
        <f>(IF(O694="Stofire",(S694*#REF!),0))+(IF(O694="Fire Control",(S694*$U$2),0))+(IF(O694="Fire Tex",(S694*$U$3),0))+(IF(O694="WB7",(S694*#REF!),0)+(IF(O694="FX 2003",(S694*$U$5),0)))</f>
        <v>0</v>
      </c>
      <c r="V694" s="651">
        <f t="shared" si="78"/>
        <v>0</v>
      </c>
    </row>
    <row r="695" spans="4:22" x14ac:dyDescent="0.25">
      <c r="D695" s="118">
        <f>+CUBICACION!D694</f>
        <v>0</v>
      </c>
      <c r="E695" s="118">
        <f>+CUBICACION!F694</f>
        <v>0</v>
      </c>
      <c r="F695" s="118">
        <f>+CUBICACION!E694</f>
        <v>0</v>
      </c>
      <c r="G695" s="118">
        <v>12</v>
      </c>
      <c r="H695" s="118">
        <v>2</v>
      </c>
      <c r="I695" s="820">
        <v>26385</v>
      </c>
      <c r="J695" s="118">
        <f>+CUBICACION!J694</f>
        <v>0</v>
      </c>
      <c r="K695" s="118">
        <v>3474</v>
      </c>
      <c r="L695" s="118">
        <f>+CUBICACION!L694</f>
        <v>0</v>
      </c>
      <c r="M695" s="64">
        <f>+CUBICACION!M694</f>
        <v>0</v>
      </c>
      <c r="N695" s="824" t="str">
        <f>+CUBICACION!N694</f>
        <v/>
      </c>
      <c r="O695" s="675">
        <f>+CUBICACION!O694</f>
        <v>0</v>
      </c>
      <c r="P695" s="15">
        <f>IF(O695="Fire Control",VLOOKUP(_xlfn.MINIFS('FIRE CONTROL'!$C$4:$C$37,'FIRE CONTROL'!$C$4:$C$37,"&gt;="&amp;M695),'FIRE CONTROL'!$C$4:$G$37,IF(L695="F-15",2,IF(L695="F-30",3,IF(L695="F-60",4,IF(L695="F-90",5,0)))),0),0)+IF(AND(O695="FIRE TEX 5062",OR(E695="IN",E695="C",E695="Z",E695="L"),J695=3),VLOOKUP(_xlfn.MINIFS('FIRE TEX 5062'!$B$4:$B$34,'FIRE TEX 5062'!$B$4:$B$34,"&gt;="&amp;M695),'FIRE TEX 5062'!$B$4:$F$34,IF(L695="F-15",2,IF(L695="F-30",3,IF(L695="F-60",4,IF(L695="F-90",5,0)))),0),0)+IF(AND(O695="FIRE TEX 5062",OR(E695="IN",E695="C",E695="Z",E695="L"),J695=4),VLOOKUP(_xlfn.MINIFS('FIRE TEX 5062'!$G$4:$G$34,'FIRE TEX 5062'!$G$4:$G$34,"&gt;="&amp;M695),'FIRE TEX 5062'!$G$4:$K$34,IF(L695="F-15",2,IF(L695="F-30",3,IF(L695="F-60",4,IF(L695="F-90",5,0)))),0),0)+IF(AND(O695="FIRE TEX 5062",E695="CJ",J695=3),VLOOKUP(_xlfn.MINIFS('FIRE TEX 5062'!$L$4:$L$34,'FIRE TEX 5062'!$L$4:$L$34,"&gt;="&amp;M695),'FIRE TEX 5062'!$L$4:$P$34,IF(L695="F-15",2,IF(L695="F-30",3,IF(L695="F-60",4,IF(L695="F-90",5,0)))),0),0)+IF(AND(O695="FIRE TEX 5062",E695="CJ",J695=4),VLOOKUP(_xlfn.MINIFS('FIRE TEX 5062'!$Q$3:$Q$34,'FIRE TEX 5062'!$Q$3:$Q$34,"&gt;="&amp;M695),'FIRE TEX 5062'!$Q$3:$U$34,IF(L695="F-15",2,IF(L695="F-30",3,IF(L695="F-60",4,IF(L695="F-90",5,0)))),0),0)+IF(AND(O695="FIRE TEX 5090",OR(E695="IN",E695="C",E695="Z",E695="L"),J695=3),VLOOKUP(_xlfn.MINIFS('FIRE TEX 5090'!$B$5:$B$43,'FIRE TEX 5090'!$B$5:$B$43,"&gt;="&amp;M695),'FIRE TEX 5090'!$B$5:$H$43,IF(L695="F-15",2,IF(L695="F-30",3,IF(L695="F-60",4,IF(L695="F-90",5,IF(L695="F-120",6,IF(L695="F-150",7,0)))))),0),0)+IF(AND(O695="FIRE TEX 5090",OR(E695="IN",E695="C",E695="Z",E695="L"),J695=4),VLOOKUP(_xlfn.MINIFS('FIRE TEX 5090'!$J$5:$J$43,'FIRE TEX 5090'!$J$5:$J$43,"&gt;="&amp;M695),'FIRE TEX 5090'!$J$5:$P$43,IF(L695="F-15",2,IF(L695="F-30",3,IF(L695="F-60",4,IF(L695="F-90",5,IF(L695="F-120",6,IF(L695="F-150",7,0)))))),0),0)+IF(AND(O695="FIRE TEX 5090",E695="CJ",J695=3),VLOOKUP(_xlfn.MINIFS('FIRE TEX 5090'!$R$5:$R$30,'FIRE TEX 5090'!$R$5:$R$30,"&gt;="&amp;M695),'FIRE TEX 5090'!$R$5:$W$30,IF(L695="F-15",2,IF(L695="F-30",3,IF(L695="F-60",4,IF(L695="F-90",5,IF(L695="F-120",6,IF(L695="F-150",7,0)))))),0),0)+IF(AND(O695="FIRE TEX 5090",E695="CJ",J695=4),VLOOKUP(_xlfn.MINIFS('FIRE TEX 5090'!$Y$5:$Y$39,'FIRE TEX 5090'!$Y$5:$Y$39,"&gt;="&amp;M695),'FIRE TEX 5090'!$Y$5:$AD$39,IF(L695="F-15",2,IF(L695="F-30",3,IF(L695="F-60",4,IF(L695="F-90",5,IF(L695="F-120",6,IF(L695="F-150",7,0)))))),0),0)+IF(AND(O695="FIRE TEX 5120",OR(E695="IN",E695="C",E695="Z",E695="L"),J695=3),VLOOKUP(_xlfn.MINIFS('FIRE TEX 5120'!$B$5:$B$40,'FIRE TEX 5120'!$B$5:$B$40,"&gt;="&amp;M695),'FIRE TEX 5120'!$B$5:$G$40,IF(L695="F-15",2,IF(L695="F-30",3,IF(L695="F-60",4,IF(L695="F-90",5,IF(L695="F-120",6,0))))),0),0)+IF(AND(O695="FIRE TEX 5120",OR(E695="IN",E695="C",E695="Z",E695="L"),J695=4),VLOOKUP(_xlfn.MINIFS('FIRE TEX 5120'!$H$4:$H$40,'FIRE TEX 5120'!$H$4:$H$40,"&gt;="&amp;M695),'FIRE TEX 5120'!$H$4:$M$40,IF(L695="F-15",2,IF(L695="F-30",3,IF(L695="F-60",4,IF(L695="F-90",5,IF(L695="F-120",6,0))))),0),0)+IF(AND(O695="FIRE TEX 5120",E695="CJ"),VLOOKUP(_xlfn.MINIFS('FIRE TEX 5120'!$O$5:$O$40,'FIRE TEX 5120'!$O$5:$O$40,"&gt;="&amp;M695),'FIRE TEX 5120'!$O$5:$T$40,IF(L695="F-15",2,IF(L695="F-30",3,IF(L695="F-60",4,IF(L695="F-90",5,IF(L695="F-120",6,0))))),0),0)</f>
        <v>0</v>
      </c>
      <c r="Q695" s="46">
        <f t="shared" si="74"/>
        <v>0</v>
      </c>
      <c r="R695" s="46">
        <f t="shared" si="75"/>
        <v>0</v>
      </c>
      <c r="S695" s="46" t="e">
        <f t="shared" si="76"/>
        <v>#VALUE!</v>
      </c>
      <c r="T695" s="677">
        <f t="shared" si="77"/>
        <v>0</v>
      </c>
      <c r="U695" s="80">
        <f>(IF(O695="Stofire",(S695*#REF!),0))+(IF(O695="Fire Control",(S695*$U$2),0))+(IF(O695="Fire Tex",(S695*$U$3),0))+(IF(O695="WB7",(S695*#REF!),0)+(IF(O695="FX 2003",(S695*$U$5),0)))</f>
        <v>0</v>
      </c>
      <c r="V695" s="651">
        <f t="shared" si="78"/>
        <v>0</v>
      </c>
    </row>
    <row r="696" spans="4:22" x14ac:dyDescent="0.25">
      <c r="D696" s="118">
        <f>+CUBICACION!D695</f>
        <v>0</v>
      </c>
      <c r="E696" s="118">
        <f>+CUBICACION!F695</f>
        <v>0</v>
      </c>
      <c r="F696" s="118">
        <f>+CUBICACION!E695</f>
        <v>0</v>
      </c>
      <c r="G696" s="118">
        <v>12</v>
      </c>
      <c r="H696" s="118">
        <v>2</v>
      </c>
      <c r="I696" s="820">
        <v>26385</v>
      </c>
      <c r="J696" s="118">
        <f>+CUBICACION!J695</f>
        <v>0</v>
      </c>
      <c r="K696" s="118">
        <v>3475</v>
      </c>
      <c r="L696" s="118">
        <f>+CUBICACION!L695</f>
        <v>0</v>
      </c>
      <c r="M696" s="64">
        <f>+CUBICACION!M695</f>
        <v>0</v>
      </c>
      <c r="N696" s="824" t="str">
        <f>+CUBICACION!N695</f>
        <v/>
      </c>
      <c r="O696" s="675">
        <f>+CUBICACION!O695</f>
        <v>0</v>
      </c>
      <c r="P696" s="15">
        <f>IF(O696="Fire Control",VLOOKUP(_xlfn.MINIFS('FIRE CONTROL'!$C$4:$C$37,'FIRE CONTROL'!$C$4:$C$37,"&gt;="&amp;M696),'FIRE CONTROL'!$C$4:$G$37,IF(L696="F-15",2,IF(L696="F-30",3,IF(L696="F-60",4,IF(L696="F-90",5,0)))),0),0)+IF(AND(O696="FIRE TEX 5062",OR(E696="IN",E696="C",E696="Z",E696="L"),J696=3),VLOOKUP(_xlfn.MINIFS('FIRE TEX 5062'!$B$4:$B$34,'FIRE TEX 5062'!$B$4:$B$34,"&gt;="&amp;M696),'FIRE TEX 5062'!$B$4:$F$34,IF(L696="F-15",2,IF(L696="F-30",3,IF(L696="F-60",4,IF(L696="F-90",5,0)))),0),0)+IF(AND(O696="FIRE TEX 5062",OR(E696="IN",E696="C",E696="Z",E696="L"),J696=4),VLOOKUP(_xlfn.MINIFS('FIRE TEX 5062'!$G$4:$G$34,'FIRE TEX 5062'!$G$4:$G$34,"&gt;="&amp;M696),'FIRE TEX 5062'!$G$4:$K$34,IF(L696="F-15",2,IF(L696="F-30",3,IF(L696="F-60",4,IF(L696="F-90",5,0)))),0),0)+IF(AND(O696="FIRE TEX 5062",E696="CJ",J696=3),VLOOKUP(_xlfn.MINIFS('FIRE TEX 5062'!$L$4:$L$34,'FIRE TEX 5062'!$L$4:$L$34,"&gt;="&amp;M696),'FIRE TEX 5062'!$L$4:$P$34,IF(L696="F-15",2,IF(L696="F-30",3,IF(L696="F-60",4,IF(L696="F-90",5,0)))),0),0)+IF(AND(O696="FIRE TEX 5062",E696="CJ",J696=4),VLOOKUP(_xlfn.MINIFS('FIRE TEX 5062'!$Q$3:$Q$34,'FIRE TEX 5062'!$Q$3:$Q$34,"&gt;="&amp;M696),'FIRE TEX 5062'!$Q$3:$U$34,IF(L696="F-15",2,IF(L696="F-30",3,IF(L696="F-60",4,IF(L696="F-90",5,0)))),0),0)+IF(AND(O696="FIRE TEX 5090",OR(E696="IN",E696="C",E696="Z",E696="L"),J696=3),VLOOKUP(_xlfn.MINIFS('FIRE TEX 5090'!$B$5:$B$43,'FIRE TEX 5090'!$B$5:$B$43,"&gt;="&amp;M696),'FIRE TEX 5090'!$B$5:$H$43,IF(L696="F-15",2,IF(L696="F-30",3,IF(L696="F-60",4,IF(L696="F-90",5,IF(L696="F-120",6,IF(L696="F-150",7,0)))))),0),0)+IF(AND(O696="FIRE TEX 5090",OR(E696="IN",E696="C",E696="Z",E696="L"),J696=4),VLOOKUP(_xlfn.MINIFS('FIRE TEX 5090'!$J$5:$J$43,'FIRE TEX 5090'!$J$5:$J$43,"&gt;="&amp;M696),'FIRE TEX 5090'!$J$5:$P$43,IF(L696="F-15",2,IF(L696="F-30",3,IF(L696="F-60",4,IF(L696="F-90",5,IF(L696="F-120",6,IF(L696="F-150",7,0)))))),0),0)+IF(AND(O696="FIRE TEX 5090",E696="CJ",J696=3),VLOOKUP(_xlfn.MINIFS('FIRE TEX 5090'!$R$5:$R$30,'FIRE TEX 5090'!$R$5:$R$30,"&gt;="&amp;M696),'FIRE TEX 5090'!$R$5:$W$30,IF(L696="F-15",2,IF(L696="F-30",3,IF(L696="F-60",4,IF(L696="F-90",5,IF(L696="F-120",6,IF(L696="F-150",7,0)))))),0),0)+IF(AND(O696="FIRE TEX 5090",E696="CJ",J696=4),VLOOKUP(_xlfn.MINIFS('FIRE TEX 5090'!$Y$5:$Y$39,'FIRE TEX 5090'!$Y$5:$Y$39,"&gt;="&amp;M696),'FIRE TEX 5090'!$Y$5:$AD$39,IF(L696="F-15",2,IF(L696="F-30",3,IF(L696="F-60",4,IF(L696="F-90",5,IF(L696="F-120",6,IF(L696="F-150",7,0)))))),0),0)+IF(AND(O696="FIRE TEX 5120",OR(E696="IN",E696="C",E696="Z",E696="L"),J696=3),VLOOKUP(_xlfn.MINIFS('FIRE TEX 5120'!$B$5:$B$40,'FIRE TEX 5120'!$B$5:$B$40,"&gt;="&amp;M696),'FIRE TEX 5120'!$B$5:$G$40,IF(L696="F-15",2,IF(L696="F-30",3,IF(L696="F-60",4,IF(L696="F-90",5,IF(L696="F-120",6,0))))),0),0)+IF(AND(O696="FIRE TEX 5120",OR(E696="IN",E696="C",E696="Z",E696="L"),J696=4),VLOOKUP(_xlfn.MINIFS('FIRE TEX 5120'!$H$4:$H$40,'FIRE TEX 5120'!$H$4:$H$40,"&gt;="&amp;M696),'FIRE TEX 5120'!$H$4:$M$40,IF(L696="F-15",2,IF(L696="F-30",3,IF(L696="F-60",4,IF(L696="F-90",5,IF(L696="F-120",6,0))))),0),0)+IF(AND(O696="FIRE TEX 5120",E696="CJ"),VLOOKUP(_xlfn.MINIFS('FIRE TEX 5120'!$O$5:$O$40,'FIRE TEX 5120'!$O$5:$O$40,"&gt;="&amp;M696),'FIRE TEX 5120'!$O$5:$T$40,IF(L696="F-15",2,IF(L696="F-30",3,IF(L696="F-60",4,IF(L696="F-90",5,IF(L696="F-120",6,0))))),0),0)</f>
        <v>0</v>
      </c>
      <c r="Q696" s="46">
        <f t="shared" si="74"/>
        <v>0</v>
      </c>
      <c r="R696" s="46">
        <f t="shared" si="75"/>
        <v>0</v>
      </c>
      <c r="S696" s="46" t="e">
        <f t="shared" si="76"/>
        <v>#VALUE!</v>
      </c>
      <c r="T696" s="677">
        <f t="shared" si="77"/>
        <v>0</v>
      </c>
      <c r="U696" s="80">
        <f>(IF(O696="Stofire",(S696*#REF!),0))+(IF(O696="Fire Control",(S696*$U$2),0))+(IF(O696="Fire Tex",(S696*$U$3),0))+(IF(O696="WB7",(S696*#REF!),0)+(IF(O696="FX 2003",(S696*$U$5),0)))</f>
        <v>0</v>
      </c>
      <c r="V696" s="651">
        <f t="shared" si="78"/>
        <v>0</v>
      </c>
    </row>
    <row r="697" spans="4:22" x14ac:dyDescent="0.25">
      <c r="D697" s="118">
        <f>+CUBICACION!D696</f>
        <v>0</v>
      </c>
      <c r="E697" s="118">
        <f>+CUBICACION!F696</f>
        <v>0</v>
      </c>
      <c r="F697" s="118">
        <f>+CUBICACION!E696</f>
        <v>0</v>
      </c>
      <c r="G697" s="118">
        <v>12</v>
      </c>
      <c r="H697" s="118">
        <v>2</v>
      </c>
      <c r="I697" s="820">
        <v>26385</v>
      </c>
      <c r="J697" s="118">
        <f>+CUBICACION!J696</f>
        <v>0</v>
      </c>
      <c r="K697" s="118">
        <v>3476</v>
      </c>
      <c r="L697" s="118">
        <f>+CUBICACION!L696</f>
        <v>0</v>
      </c>
      <c r="M697" s="64">
        <f>+CUBICACION!M696</f>
        <v>0</v>
      </c>
      <c r="N697" s="824" t="str">
        <f>+CUBICACION!N696</f>
        <v/>
      </c>
      <c r="O697" s="675">
        <f>+CUBICACION!O696</f>
        <v>0</v>
      </c>
      <c r="P697" s="15">
        <f>IF(O697="Fire Control",VLOOKUP(_xlfn.MINIFS('FIRE CONTROL'!$C$4:$C$37,'FIRE CONTROL'!$C$4:$C$37,"&gt;="&amp;M697),'FIRE CONTROL'!$C$4:$G$37,IF(L697="F-15",2,IF(L697="F-30",3,IF(L697="F-60",4,IF(L697="F-90",5,0)))),0),0)+IF(AND(O697="FIRE TEX 5062",OR(E697="IN",E697="C",E697="Z",E697="L"),J697=3),VLOOKUP(_xlfn.MINIFS('FIRE TEX 5062'!$B$4:$B$34,'FIRE TEX 5062'!$B$4:$B$34,"&gt;="&amp;M697),'FIRE TEX 5062'!$B$4:$F$34,IF(L697="F-15",2,IF(L697="F-30",3,IF(L697="F-60",4,IF(L697="F-90",5,0)))),0),0)+IF(AND(O697="FIRE TEX 5062",OR(E697="IN",E697="C",E697="Z",E697="L"),J697=4),VLOOKUP(_xlfn.MINIFS('FIRE TEX 5062'!$G$4:$G$34,'FIRE TEX 5062'!$G$4:$G$34,"&gt;="&amp;M697),'FIRE TEX 5062'!$G$4:$K$34,IF(L697="F-15",2,IF(L697="F-30",3,IF(L697="F-60",4,IF(L697="F-90",5,0)))),0),0)+IF(AND(O697="FIRE TEX 5062",E697="CJ",J697=3),VLOOKUP(_xlfn.MINIFS('FIRE TEX 5062'!$L$4:$L$34,'FIRE TEX 5062'!$L$4:$L$34,"&gt;="&amp;M697),'FIRE TEX 5062'!$L$4:$P$34,IF(L697="F-15",2,IF(L697="F-30",3,IF(L697="F-60",4,IF(L697="F-90",5,0)))),0),0)+IF(AND(O697="FIRE TEX 5062",E697="CJ",J697=4),VLOOKUP(_xlfn.MINIFS('FIRE TEX 5062'!$Q$3:$Q$34,'FIRE TEX 5062'!$Q$3:$Q$34,"&gt;="&amp;M697),'FIRE TEX 5062'!$Q$3:$U$34,IF(L697="F-15",2,IF(L697="F-30",3,IF(L697="F-60",4,IF(L697="F-90",5,0)))),0),0)+IF(AND(O697="FIRE TEX 5090",OR(E697="IN",E697="C",E697="Z",E697="L"),J697=3),VLOOKUP(_xlfn.MINIFS('FIRE TEX 5090'!$B$5:$B$43,'FIRE TEX 5090'!$B$5:$B$43,"&gt;="&amp;M697),'FIRE TEX 5090'!$B$5:$H$43,IF(L697="F-15",2,IF(L697="F-30",3,IF(L697="F-60",4,IF(L697="F-90",5,IF(L697="F-120",6,IF(L697="F-150",7,0)))))),0),0)+IF(AND(O697="FIRE TEX 5090",OR(E697="IN",E697="C",E697="Z",E697="L"),J697=4),VLOOKUP(_xlfn.MINIFS('FIRE TEX 5090'!$J$5:$J$43,'FIRE TEX 5090'!$J$5:$J$43,"&gt;="&amp;M697),'FIRE TEX 5090'!$J$5:$P$43,IF(L697="F-15",2,IF(L697="F-30",3,IF(L697="F-60",4,IF(L697="F-90",5,IF(L697="F-120",6,IF(L697="F-150",7,0)))))),0),0)+IF(AND(O697="FIRE TEX 5090",E697="CJ",J697=3),VLOOKUP(_xlfn.MINIFS('FIRE TEX 5090'!$R$5:$R$30,'FIRE TEX 5090'!$R$5:$R$30,"&gt;="&amp;M697),'FIRE TEX 5090'!$R$5:$W$30,IF(L697="F-15",2,IF(L697="F-30",3,IF(L697="F-60",4,IF(L697="F-90",5,IF(L697="F-120",6,IF(L697="F-150",7,0)))))),0),0)+IF(AND(O697="FIRE TEX 5090",E697="CJ",J697=4),VLOOKUP(_xlfn.MINIFS('FIRE TEX 5090'!$Y$5:$Y$39,'FIRE TEX 5090'!$Y$5:$Y$39,"&gt;="&amp;M697),'FIRE TEX 5090'!$Y$5:$AD$39,IF(L697="F-15",2,IF(L697="F-30",3,IF(L697="F-60",4,IF(L697="F-90",5,IF(L697="F-120",6,IF(L697="F-150",7,0)))))),0),0)+IF(AND(O697="FIRE TEX 5120",OR(E697="IN",E697="C",E697="Z",E697="L"),J697=3),VLOOKUP(_xlfn.MINIFS('FIRE TEX 5120'!$B$5:$B$40,'FIRE TEX 5120'!$B$5:$B$40,"&gt;="&amp;M697),'FIRE TEX 5120'!$B$5:$G$40,IF(L697="F-15",2,IF(L697="F-30",3,IF(L697="F-60",4,IF(L697="F-90",5,IF(L697="F-120",6,0))))),0),0)+IF(AND(O697="FIRE TEX 5120",OR(E697="IN",E697="C",E697="Z",E697="L"),J697=4),VLOOKUP(_xlfn.MINIFS('FIRE TEX 5120'!$H$4:$H$40,'FIRE TEX 5120'!$H$4:$H$40,"&gt;="&amp;M697),'FIRE TEX 5120'!$H$4:$M$40,IF(L697="F-15",2,IF(L697="F-30",3,IF(L697="F-60",4,IF(L697="F-90",5,IF(L697="F-120",6,0))))),0),0)+IF(AND(O697="FIRE TEX 5120",E697="CJ"),VLOOKUP(_xlfn.MINIFS('FIRE TEX 5120'!$O$5:$O$40,'FIRE TEX 5120'!$O$5:$O$40,"&gt;="&amp;M697),'FIRE TEX 5120'!$O$5:$T$40,IF(L697="F-15",2,IF(L697="F-30",3,IF(L697="F-60",4,IF(L697="F-90",5,IF(L697="F-120",6,0))))),0),0)</f>
        <v>0</v>
      </c>
      <c r="Q697" s="46">
        <f t="shared" si="74"/>
        <v>0</v>
      </c>
      <c r="R697" s="46">
        <f t="shared" si="75"/>
        <v>0</v>
      </c>
      <c r="S697" s="46" t="e">
        <f t="shared" si="76"/>
        <v>#VALUE!</v>
      </c>
      <c r="T697" s="677">
        <f t="shared" si="77"/>
        <v>0</v>
      </c>
      <c r="U697" s="80">
        <f>(IF(O697="Stofire",(S697*#REF!),0))+(IF(O697="Fire Control",(S697*$U$2),0))+(IF(O697="Fire Tex",(S697*$U$3),0))+(IF(O697="WB7",(S697*#REF!),0)+(IF(O697="FX 2003",(S697*$U$5),0)))</f>
        <v>0</v>
      </c>
      <c r="V697" s="651">
        <f t="shared" si="78"/>
        <v>0</v>
      </c>
    </row>
    <row r="698" spans="4:22" x14ac:dyDescent="0.25">
      <c r="D698" s="118">
        <f>+CUBICACION!D697</f>
        <v>0</v>
      </c>
      <c r="E698" s="118">
        <f>+CUBICACION!F697</f>
        <v>0</v>
      </c>
      <c r="F698" s="118">
        <f>+CUBICACION!E697</f>
        <v>0</v>
      </c>
      <c r="G698" s="118">
        <v>12</v>
      </c>
      <c r="H698" s="118">
        <v>2</v>
      </c>
      <c r="I698" s="820">
        <v>26385</v>
      </c>
      <c r="J698" s="118">
        <f>+CUBICACION!J697</f>
        <v>0</v>
      </c>
      <c r="K698" s="118">
        <v>3477</v>
      </c>
      <c r="L698" s="118">
        <f>+CUBICACION!L697</f>
        <v>0</v>
      </c>
      <c r="M698" s="64">
        <f>+CUBICACION!M697</f>
        <v>0</v>
      </c>
      <c r="N698" s="824" t="str">
        <f>+CUBICACION!N697</f>
        <v/>
      </c>
      <c r="O698" s="675">
        <f>+CUBICACION!O697</f>
        <v>0</v>
      </c>
      <c r="P698" s="15">
        <f>IF(O698="Fire Control",VLOOKUP(_xlfn.MINIFS('FIRE CONTROL'!$C$4:$C$37,'FIRE CONTROL'!$C$4:$C$37,"&gt;="&amp;M698),'FIRE CONTROL'!$C$4:$G$37,IF(L698="F-15",2,IF(L698="F-30",3,IF(L698="F-60",4,IF(L698="F-90",5,0)))),0),0)+IF(AND(O698="FIRE TEX 5062",OR(E698="IN",E698="C",E698="Z",E698="L"),J698=3),VLOOKUP(_xlfn.MINIFS('FIRE TEX 5062'!$B$4:$B$34,'FIRE TEX 5062'!$B$4:$B$34,"&gt;="&amp;M698),'FIRE TEX 5062'!$B$4:$F$34,IF(L698="F-15",2,IF(L698="F-30",3,IF(L698="F-60",4,IF(L698="F-90",5,0)))),0),0)+IF(AND(O698="FIRE TEX 5062",OR(E698="IN",E698="C",E698="Z",E698="L"),J698=4),VLOOKUP(_xlfn.MINIFS('FIRE TEX 5062'!$G$4:$G$34,'FIRE TEX 5062'!$G$4:$G$34,"&gt;="&amp;M698),'FIRE TEX 5062'!$G$4:$K$34,IF(L698="F-15",2,IF(L698="F-30",3,IF(L698="F-60",4,IF(L698="F-90",5,0)))),0),0)+IF(AND(O698="FIRE TEX 5062",E698="CJ",J698=3),VLOOKUP(_xlfn.MINIFS('FIRE TEX 5062'!$L$4:$L$34,'FIRE TEX 5062'!$L$4:$L$34,"&gt;="&amp;M698),'FIRE TEX 5062'!$L$4:$P$34,IF(L698="F-15",2,IF(L698="F-30",3,IF(L698="F-60",4,IF(L698="F-90",5,0)))),0),0)+IF(AND(O698="FIRE TEX 5062",E698="CJ",J698=4),VLOOKUP(_xlfn.MINIFS('FIRE TEX 5062'!$Q$3:$Q$34,'FIRE TEX 5062'!$Q$3:$Q$34,"&gt;="&amp;M698),'FIRE TEX 5062'!$Q$3:$U$34,IF(L698="F-15",2,IF(L698="F-30",3,IF(L698="F-60",4,IF(L698="F-90",5,0)))),0),0)+IF(AND(O698="FIRE TEX 5090",OR(E698="IN",E698="C",E698="Z",E698="L"),J698=3),VLOOKUP(_xlfn.MINIFS('FIRE TEX 5090'!$B$5:$B$43,'FIRE TEX 5090'!$B$5:$B$43,"&gt;="&amp;M698),'FIRE TEX 5090'!$B$5:$H$43,IF(L698="F-15",2,IF(L698="F-30",3,IF(L698="F-60",4,IF(L698="F-90",5,IF(L698="F-120",6,IF(L698="F-150",7,0)))))),0),0)+IF(AND(O698="FIRE TEX 5090",OR(E698="IN",E698="C",E698="Z",E698="L"),J698=4),VLOOKUP(_xlfn.MINIFS('FIRE TEX 5090'!$J$5:$J$43,'FIRE TEX 5090'!$J$5:$J$43,"&gt;="&amp;M698),'FIRE TEX 5090'!$J$5:$P$43,IF(L698="F-15",2,IF(L698="F-30",3,IF(L698="F-60",4,IF(L698="F-90",5,IF(L698="F-120",6,IF(L698="F-150",7,0)))))),0),0)+IF(AND(O698="FIRE TEX 5090",E698="CJ",J698=3),VLOOKUP(_xlfn.MINIFS('FIRE TEX 5090'!$R$5:$R$30,'FIRE TEX 5090'!$R$5:$R$30,"&gt;="&amp;M698),'FIRE TEX 5090'!$R$5:$W$30,IF(L698="F-15",2,IF(L698="F-30",3,IF(L698="F-60",4,IF(L698="F-90",5,IF(L698="F-120",6,IF(L698="F-150",7,0)))))),0),0)+IF(AND(O698="FIRE TEX 5090",E698="CJ",J698=4),VLOOKUP(_xlfn.MINIFS('FIRE TEX 5090'!$Y$5:$Y$39,'FIRE TEX 5090'!$Y$5:$Y$39,"&gt;="&amp;M698),'FIRE TEX 5090'!$Y$5:$AD$39,IF(L698="F-15",2,IF(L698="F-30",3,IF(L698="F-60",4,IF(L698="F-90",5,IF(L698="F-120",6,IF(L698="F-150",7,0)))))),0),0)+IF(AND(O698="FIRE TEX 5120",OR(E698="IN",E698="C",E698="Z",E698="L"),J698=3),VLOOKUP(_xlfn.MINIFS('FIRE TEX 5120'!$B$5:$B$40,'FIRE TEX 5120'!$B$5:$B$40,"&gt;="&amp;M698),'FIRE TEX 5120'!$B$5:$G$40,IF(L698="F-15",2,IF(L698="F-30",3,IF(L698="F-60",4,IF(L698="F-90",5,IF(L698="F-120",6,0))))),0),0)+IF(AND(O698="FIRE TEX 5120",OR(E698="IN",E698="C",E698="Z",E698="L"),J698=4),VLOOKUP(_xlfn.MINIFS('FIRE TEX 5120'!$H$4:$H$40,'FIRE TEX 5120'!$H$4:$H$40,"&gt;="&amp;M698),'FIRE TEX 5120'!$H$4:$M$40,IF(L698="F-15",2,IF(L698="F-30",3,IF(L698="F-60",4,IF(L698="F-90",5,IF(L698="F-120",6,0))))),0),0)+IF(AND(O698="FIRE TEX 5120",E698="CJ"),VLOOKUP(_xlfn.MINIFS('FIRE TEX 5120'!$O$5:$O$40,'FIRE TEX 5120'!$O$5:$O$40,"&gt;="&amp;M698),'FIRE TEX 5120'!$O$5:$T$40,IF(L698="F-15",2,IF(L698="F-30",3,IF(L698="F-60",4,IF(L698="F-90",5,IF(L698="F-120",6,0))))),0),0)</f>
        <v>0</v>
      </c>
      <c r="Q698" s="46">
        <f t="shared" si="74"/>
        <v>0</v>
      </c>
      <c r="R698" s="46">
        <f t="shared" si="75"/>
        <v>0</v>
      </c>
      <c r="S698" s="46" t="e">
        <f t="shared" si="76"/>
        <v>#VALUE!</v>
      </c>
      <c r="T698" s="677">
        <f t="shared" si="77"/>
        <v>0</v>
      </c>
      <c r="U698" s="80">
        <f>(IF(O698="Stofire",(S698*#REF!),0))+(IF(O698="Fire Control",(S698*$U$2),0))+(IF(O698="Fire Tex",(S698*$U$3),0))+(IF(O698="WB7",(S698*#REF!),0)+(IF(O698="FX 2003",(S698*$U$5),0)))</f>
        <v>0</v>
      </c>
      <c r="V698" s="651">
        <f t="shared" si="78"/>
        <v>0</v>
      </c>
    </row>
    <row r="699" spans="4:22" x14ac:dyDescent="0.25">
      <c r="D699" s="118">
        <f>+CUBICACION!D698</f>
        <v>0</v>
      </c>
      <c r="E699" s="118">
        <f>+CUBICACION!F698</f>
        <v>0</v>
      </c>
      <c r="F699" s="118">
        <f>+CUBICACION!E698</f>
        <v>0</v>
      </c>
      <c r="G699" s="118">
        <v>12</v>
      </c>
      <c r="H699" s="118">
        <v>2</v>
      </c>
      <c r="I699" s="820">
        <v>26385</v>
      </c>
      <c r="J699" s="118">
        <f>+CUBICACION!J698</f>
        <v>0</v>
      </c>
      <c r="K699" s="118">
        <v>3478</v>
      </c>
      <c r="L699" s="118">
        <f>+CUBICACION!L698</f>
        <v>0</v>
      </c>
      <c r="M699" s="64">
        <f>+CUBICACION!M698</f>
        <v>0</v>
      </c>
      <c r="N699" s="824" t="str">
        <f>+CUBICACION!N698</f>
        <v/>
      </c>
      <c r="O699" s="675">
        <f>+CUBICACION!O698</f>
        <v>0</v>
      </c>
      <c r="P699" s="15">
        <f>IF(O699="Fire Control",VLOOKUP(_xlfn.MINIFS('FIRE CONTROL'!$C$4:$C$37,'FIRE CONTROL'!$C$4:$C$37,"&gt;="&amp;M699),'FIRE CONTROL'!$C$4:$G$37,IF(L699="F-15",2,IF(L699="F-30",3,IF(L699="F-60",4,IF(L699="F-90",5,0)))),0),0)+IF(AND(O699="FIRE TEX 5062",OR(E699="IN",E699="C",E699="Z",E699="L"),J699=3),VLOOKUP(_xlfn.MINIFS('FIRE TEX 5062'!$B$4:$B$34,'FIRE TEX 5062'!$B$4:$B$34,"&gt;="&amp;M699),'FIRE TEX 5062'!$B$4:$F$34,IF(L699="F-15",2,IF(L699="F-30",3,IF(L699="F-60",4,IF(L699="F-90",5,0)))),0),0)+IF(AND(O699="FIRE TEX 5062",OR(E699="IN",E699="C",E699="Z",E699="L"),J699=4),VLOOKUP(_xlfn.MINIFS('FIRE TEX 5062'!$G$4:$G$34,'FIRE TEX 5062'!$G$4:$G$34,"&gt;="&amp;M699),'FIRE TEX 5062'!$G$4:$K$34,IF(L699="F-15",2,IF(L699="F-30",3,IF(L699="F-60",4,IF(L699="F-90",5,0)))),0),0)+IF(AND(O699="FIRE TEX 5062",E699="CJ",J699=3),VLOOKUP(_xlfn.MINIFS('FIRE TEX 5062'!$L$4:$L$34,'FIRE TEX 5062'!$L$4:$L$34,"&gt;="&amp;M699),'FIRE TEX 5062'!$L$4:$P$34,IF(L699="F-15",2,IF(L699="F-30",3,IF(L699="F-60",4,IF(L699="F-90",5,0)))),0),0)+IF(AND(O699="FIRE TEX 5062",E699="CJ",J699=4),VLOOKUP(_xlfn.MINIFS('FIRE TEX 5062'!$Q$3:$Q$34,'FIRE TEX 5062'!$Q$3:$Q$34,"&gt;="&amp;M699),'FIRE TEX 5062'!$Q$3:$U$34,IF(L699="F-15",2,IF(L699="F-30",3,IF(L699="F-60",4,IF(L699="F-90",5,0)))),0),0)+IF(AND(O699="FIRE TEX 5090",OR(E699="IN",E699="C",E699="Z",E699="L"),J699=3),VLOOKUP(_xlfn.MINIFS('FIRE TEX 5090'!$B$5:$B$43,'FIRE TEX 5090'!$B$5:$B$43,"&gt;="&amp;M699),'FIRE TEX 5090'!$B$5:$H$43,IF(L699="F-15",2,IF(L699="F-30",3,IF(L699="F-60",4,IF(L699="F-90",5,IF(L699="F-120",6,IF(L699="F-150",7,0)))))),0),0)+IF(AND(O699="FIRE TEX 5090",OR(E699="IN",E699="C",E699="Z",E699="L"),J699=4),VLOOKUP(_xlfn.MINIFS('FIRE TEX 5090'!$J$5:$J$43,'FIRE TEX 5090'!$J$5:$J$43,"&gt;="&amp;M699),'FIRE TEX 5090'!$J$5:$P$43,IF(L699="F-15",2,IF(L699="F-30",3,IF(L699="F-60",4,IF(L699="F-90",5,IF(L699="F-120",6,IF(L699="F-150",7,0)))))),0),0)+IF(AND(O699="FIRE TEX 5090",E699="CJ",J699=3),VLOOKUP(_xlfn.MINIFS('FIRE TEX 5090'!$R$5:$R$30,'FIRE TEX 5090'!$R$5:$R$30,"&gt;="&amp;M699),'FIRE TEX 5090'!$R$5:$W$30,IF(L699="F-15",2,IF(L699="F-30",3,IF(L699="F-60",4,IF(L699="F-90",5,IF(L699="F-120",6,IF(L699="F-150",7,0)))))),0),0)+IF(AND(O699="FIRE TEX 5090",E699="CJ",J699=4),VLOOKUP(_xlfn.MINIFS('FIRE TEX 5090'!$Y$5:$Y$39,'FIRE TEX 5090'!$Y$5:$Y$39,"&gt;="&amp;M699),'FIRE TEX 5090'!$Y$5:$AD$39,IF(L699="F-15",2,IF(L699="F-30",3,IF(L699="F-60",4,IF(L699="F-90",5,IF(L699="F-120",6,IF(L699="F-150",7,0)))))),0),0)+IF(AND(O699="FIRE TEX 5120",OR(E699="IN",E699="C",E699="Z",E699="L"),J699=3),VLOOKUP(_xlfn.MINIFS('FIRE TEX 5120'!$B$5:$B$40,'FIRE TEX 5120'!$B$5:$B$40,"&gt;="&amp;M699),'FIRE TEX 5120'!$B$5:$G$40,IF(L699="F-15",2,IF(L699="F-30",3,IF(L699="F-60",4,IF(L699="F-90",5,IF(L699="F-120",6,0))))),0),0)+IF(AND(O699="FIRE TEX 5120",OR(E699="IN",E699="C",E699="Z",E699="L"),J699=4),VLOOKUP(_xlfn.MINIFS('FIRE TEX 5120'!$H$4:$H$40,'FIRE TEX 5120'!$H$4:$H$40,"&gt;="&amp;M699),'FIRE TEX 5120'!$H$4:$M$40,IF(L699="F-15",2,IF(L699="F-30",3,IF(L699="F-60",4,IF(L699="F-90",5,IF(L699="F-120",6,0))))),0),0)+IF(AND(O699="FIRE TEX 5120",E699="CJ"),VLOOKUP(_xlfn.MINIFS('FIRE TEX 5120'!$O$5:$O$40,'FIRE TEX 5120'!$O$5:$O$40,"&gt;="&amp;M699),'FIRE TEX 5120'!$O$5:$T$40,IF(L699="F-15",2,IF(L699="F-30",3,IF(L699="F-60",4,IF(L699="F-90",5,IF(L699="F-120",6,0))))),0),0)</f>
        <v>0</v>
      </c>
      <c r="Q699" s="46">
        <f t="shared" si="74"/>
        <v>0</v>
      </c>
      <c r="R699" s="46">
        <f t="shared" si="75"/>
        <v>0</v>
      </c>
      <c r="S699" s="46" t="e">
        <f t="shared" si="76"/>
        <v>#VALUE!</v>
      </c>
      <c r="T699" s="677">
        <f t="shared" si="77"/>
        <v>0</v>
      </c>
      <c r="U699" s="80">
        <f>(IF(O699="Stofire",(S699*#REF!),0))+(IF(O699="Fire Control",(S699*$U$2),0))+(IF(O699="Fire Tex",(S699*$U$3),0))+(IF(O699="WB7",(S699*#REF!),0)+(IF(O699="FX 2003",(S699*$U$5),0)))</f>
        <v>0</v>
      </c>
      <c r="V699" s="651">
        <f t="shared" si="78"/>
        <v>0</v>
      </c>
    </row>
    <row r="700" spans="4:22" x14ac:dyDescent="0.25">
      <c r="D700" s="118">
        <f>+CUBICACION!D699</f>
        <v>0</v>
      </c>
      <c r="E700" s="118">
        <f>+CUBICACION!F699</f>
        <v>0</v>
      </c>
      <c r="F700" s="118">
        <f>+CUBICACION!E699</f>
        <v>0</v>
      </c>
      <c r="G700" s="118">
        <v>12</v>
      </c>
      <c r="H700" s="118">
        <v>2</v>
      </c>
      <c r="I700" s="820">
        <v>26385</v>
      </c>
      <c r="J700" s="118">
        <f>+CUBICACION!J699</f>
        <v>0</v>
      </c>
      <c r="K700" s="118">
        <v>3479</v>
      </c>
      <c r="L700" s="118">
        <f>+CUBICACION!L699</f>
        <v>0</v>
      </c>
      <c r="M700" s="64">
        <f>+CUBICACION!M699</f>
        <v>0</v>
      </c>
      <c r="N700" s="824" t="str">
        <f>+CUBICACION!N699</f>
        <v/>
      </c>
      <c r="O700" s="675">
        <f>+CUBICACION!O699</f>
        <v>0</v>
      </c>
      <c r="P700" s="15">
        <f>IF(O700="Fire Control",VLOOKUP(_xlfn.MINIFS('FIRE CONTROL'!$C$4:$C$37,'FIRE CONTROL'!$C$4:$C$37,"&gt;="&amp;M700),'FIRE CONTROL'!$C$4:$G$37,IF(L700="F-15",2,IF(L700="F-30",3,IF(L700="F-60",4,IF(L700="F-90",5,0)))),0),0)+IF(AND(O700="FIRE TEX 5062",OR(E700="IN",E700="C",E700="Z",E700="L"),J700=3),VLOOKUP(_xlfn.MINIFS('FIRE TEX 5062'!$B$4:$B$34,'FIRE TEX 5062'!$B$4:$B$34,"&gt;="&amp;M700),'FIRE TEX 5062'!$B$4:$F$34,IF(L700="F-15",2,IF(L700="F-30",3,IF(L700="F-60",4,IF(L700="F-90",5,0)))),0),0)+IF(AND(O700="FIRE TEX 5062",OR(E700="IN",E700="C",E700="Z",E700="L"),J700=4),VLOOKUP(_xlfn.MINIFS('FIRE TEX 5062'!$G$4:$G$34,'FIRE TEX 5062'!$G$4:$G$34,"&gt;="&amp;M700),'FIRE TEX 5062'!$G$4:$K$34,IF(L700="F-15",2,IF(L700="F-30",3,IF(L700="F-60",4,IF(L700="F-90",5,0)))),0),0)+IF(AND(O700="FIRE TEX 5062",E700="CJ",J700=3),VLOOKUP(_xlfn.MINIFS('FIRE TEX 5062'!$L$4:$L$34,'FIRE TEX 5062'!$L$4:$L$34,"&gt;="&amp;M700),'FIRE TEX 5062'!$L$4:$P$34,IF(L700="F-15",2,IF(L700="F-30",3,IF(L700="F-60",4,IF(L700="F-90",5,0)))),0),0)+IF(AND(O700="FIRE TEX 5062",E700="CJ",J700=4),VLOOKUP(_xlfn.MINIFS('FIRE TEX 5062'!$Q$3:$Q$34,'FIRE TEX 5062'!$Q$3:$Q$34,"&gt;="&amp;M700),'FIRE TEX 5062'!$Q$3:$U$34,IF(L700="F-15",2,IF(L700="F-30",3,IF(L700="F-60",4,IF(L700="F-90",5,0)))),0),0)+IF(AND(O700="FIRE TEX 5090",OR(E700="IN",E700="C",E700="Z",E700="L"),J700=3),VLOOKUP(_xlfn.MINIFS('FIRE TEX 5090'!$B$5:$B$43,'FIRE TEX 5090'!$B$5:$B$43,"&gt;="&amp;M700),'FIRE TEX 5090'!$B$5:$H$43,IF(L700="F-15",2,IF(L700="F-30",3,IF(L700="F-60",4,IF(L700="F-90",5,IF(L700="F-120",6,IF(L700="F-150",7,0)))))),0),0)+IF(AND(O700="FIRE TEX 5090",OR(E700="IN",E700="C",E700="Z",E700="L"),J700=4),VLOOKUP(_xlfn.MINIFS('FIRE TEX 5090'!$J$5:$J$43,'FIRE TEX 5090'!$J$5:$J$43,"&gt;="&amp;M700),'FIRE TEX 5090'!$J$5:$P$43,IF(L700="F-15",2,IF(L700="F-30",3,IF(L700="F-60",4,IF(L700="F-90",5,IF(L700="F-120",6,IF(L700="F-150",7,0)))))),0),0)+IF(AND(O700="FIRE TEX 5090",E700="CJ",J700=3),VLOOKUP(_xlfn.MINIFS('FIRE TEX 5090'!$R$5:$R$30,'FIRE TEX 5090'!$R$5:$R$30,"&gt;="&amp;M700),'FIRE TEX 5090'!$R$5:$W$30,IF(L700="F-15",2,IF(L700="F-30",3,IF(L700="F-60",4,IF(L700="F-90",5,IF(L700="F-120",6,IF(L700="F-150",7,0)))))),0),0)+IF(AND(O700="FIRE TEX 5090",E700="CJ",J700=4),VLOOKUP(_xlfn.MINIFS('FIRE TEX 5090'!$Y$5:$Y$39,'FIRE TEX 5090'!$Y$5:$Y$39,"&gt;="&amp;M700),'FIRE TEX 5090'!$Y$5:$AD$39,IF(L700="F-15",2,IF(L700="F-30",3,IF(L700="F-60",4,IF(L700="F-90",5,IF(L700="F-120",6,IF(L700="F-150",7,0)))))),0),0)+IF(AND(O700="FIRE TEX 5120",OR(E700="IN",E700="C",E700="Z",E700="L"),J700=3),VLOOKUP(_xlfn.MINIFS('FIRE TEX 5120'!$B$5:$B$40,'FIRE TEX 5120'!$B$5:$B$40,"&gt;="&amp;M700),'FIRE TEX 5120'!$B$5:$G$40,IF(L700="F-15",2,IF(L700="F-30",3,IF(L700="F-60",4,IF(L700="F-90",5,IF(L700="F-120",6,0))))),0),0)+IF(AND(O700="FIRE TEX 5120",OR(E700="IN",E700="C",E700="Z",E700="L"),J700=4),VLOOKUP(_xlfn.MINIFS('FIRE TEX 5120'!$H$4:$H$40,'FIRE TEX 5120'!$H$4:$H$40,"&gt;="&amp;M700),'FIRE TEX 5120'!$H$4:$M$40,IF(L700="F-15",2,IF(L700="F-30",3,IF(L700="F-60",4,IF(L700="F-90",5,IF(L700="F-120",6,0))))),0),0)+IF(AND(O700="FIRE TEX 5120",E700="CJ"),VLOOKUP(_xlfn.MINIFS('FIRE TEX 5120'!$O$5:$O$40,'FIRE TEX 5120'!$O$5:$O$40,"&gt;="&amp;M700),'FIRE TEX 5120'!$O$5:$T$40,IF(L700="F-15",2,IF(L700="F-30",3,IF(L700="F-60",4,IF(L700="F-90",5,IF(L700="F-120",6,0))))),0),0)</f>
        <v>0</v>
      </c>
      <c r="Q700" s="46">
        <f t="shared" si="74"/>
        <v>0</v>
      </c>
      <c r="R700" s="46">
        <f t="shared" si="75"/>
        <v>0</v>
      </c>
      <c r="S700" s="46" t="e">
        <f t="shared" si="76"/>
        <v>#VALUE!</v>
      </c>
      <c r="T700" s="677">
        <f t="shared" si="77"/>
        <v>0</v>
      </c>
      <c r="U700" s="80">
        <f>(IF(O700="Stofire",(S700*#REF!),0))+(IF(O700="Fire Control",(S700*$U$2),0))+(IF(O700="Fire Tex",(S700*$U$3),0))+(IF(O700="WB7",(S700*#REF!),0)+(IF(O700="FX 2003",(S700*$U$5),0)))</f>
        <v>0</v>
      </c>
      <c r="V700" s="651">
        <f t="shared" si="78"/>
        <v>0</v>
      </c>
    </row>
    <row r="701" spans="4:22" x14ac:dyDescent="0.25">
      <c r="D701" s="118">
        <f>+CUBICACION!D700</f>
        <v>0</v>
      </c>
      <c r="E701" s="118">
        <f>+CUBICACION!F700</f>
        <v>0</v>
      </c>
      <c r="F701" s="118">
        <f>+CUBICACION!E700</f>
        <v>0</v>
      </c>
      <c r="G701" s="118">
        <v>12</v>
      </c>
      <c r="H701" s="118">
        <v>2</v>
      </c>
      <c r="I701" s="820">
        <v>26385</v>
      </c>
      <c r="J701" s="118">
        <f>+CUBICACION!J700</f>
        <v>0</v>
      </c>
      <c r="K701" s="118">
        <v>3480</v>
      </c>
      <c r="L701" s="118">
        <f>+CUBICACION!L700</f>
        <v>0</v>
      </c>
      <c r="M701" s="64">
        <f>+CUBICACION!M700</f>
        <v>0</v>
      </c>
      <c r="N701" s="824" t="str">
        <f>+CUBICACION!N700</f>
        <v/>
      </c>
      <c r="O701" s="675">
        <f>+CUBICACION!O700</f>
        <v>0</v>
      </c>
      <c r="P701" s="15">
        <f>IF(O701="Fire Control",VLOOKUP(_xlfn.MINIFS('FIRE CONTROL'!$C$4:$C$37,'FIRE CONTROL'!$C$4:$C$37,"&gt;="&amp;M701),'FIRE CONTROL'!$C$4:$G$37,IF(L701="F-15",2,IF(L701="F-30",3,IF(L701="F-60",4,IF(L701="F-90",5,0)))),0),0)+IF(AND(O701="FIRE TEX 5062",OR(E701="IN",E701="C",E701="Z",E701="L"),J701=3),VLOOKUP(_xlfn.MINIFS('FIRE TEX 5062'!$B$4:$B$34,'FIRE TEX 5062'!$B$4:$B$34,"&gt;="&amp;M701),'FIRE TEX 5062'!$B$4:$F$34,IF(L701="F-15",2,IF(L701="F-30",3,IF(L701="F-60",4,IF(L701="F-90",5,0)))),0),0)+IF(AND(O701="FIRE TEX 5062",OR(E701="IN",E701="C",E701="Z",E701="L"),J701=4),VLOOKUP(_xlfn.MINIFS('FIRE TEX 5062'!$G$4:$G$34,'FIRE TEX 5062'!$G$4:$G$34,"&gt;="&amp;M701),'FIRE TEX 5062'!$G$4:$K$34,IF(L701="F-15",2,IF(L701="F-30",3,IF(L701="F-60",4,IF(L701="F-90",5,0)))),0),0)+IF(AND(O701="FIRE TEX 5062",E701="CJ",J701=3),VLOOKUP(_xlfn.MINIFS('FIRE TEX 5062'!$L$4:$L$34,'FIRE TEX 5062'!$L$4:$L$34,"&gt;="&amp;M701),'FIRE TEX 5062'!$L$4:$P$34,IF(L701="F-15",2,IF(L701="F-30",3,IF(L701="F-60",4,IF(L701="F-90",5,0)))),0),0)+IF(AND(O701="FIRE TEX 5062",E701="CJ",J701=4),VLOOKUP(_xlfn.MINIFS('FIRE TEX 5062'!$Q$3:$Q$34,'FIRE TEX 5062'!$Q$3:$Q$34,"&gt;="&amp;M701),'FIRE TEX 5062'!$Q$3:$U$34,IF(L701="F-15",2,IF(L701="F-30",3,IF(L701="F-60",4,IF(L701="F-90",5,0)))),0),0)+IF(AND(O701="FIRE TEX 5090",OR(E701="IN",E701="C",E701="Z",E701="L"),J701=3),VLOOKUP(_xlfn.MINIFS('FIRE TEX 5090'!$B$5:$B$43,'FIRE TEX 5090'!$B$5:$B$43,"&gt;="&amp;M701),'FIRE TEX 5090'!$B$5:$H$43,IF(L701="F-15",2,IF(L701="F-30",3,IF(L701="F-60",4,IF(L701="F-90",5,IF(L701="F-120",6,IF(L701="F-150",7,0)))))),0),0)+IF(AND(O701="FIRE TEX 5090",OR(E701="IN",E701="C",E701="Z",E701="L"),J701=4),VLOOKUP(_xlfn.MINIFS('FIRE TEX 5090'!$J$5:$J$43,'FIRE TEX 5090'!$J$5:$J$43,"&gt;="&amp;M701),'FIRE TEX 5090'!$J$5:$P$43,IF(L701="F-15",2,IF(L701="F-30",3,IF(L701="F-60",4,IF(L701="F-90",5,IF(L701="F-120",6,IF(L701="F-150",7,0)))))),0),0)+IF(AND(O701="FIRE TEX 5090",E701="CJ",J701=3),VLOOKUP(_xlfn.MINIFS('FIRE TEX 5090'!$R$5:$R$30,'FIRE TEX 5090'!$R$5:$R$30,"&gt;="&amp;M701),'FIRE TEX 5090'!$R$5:$W$30,IF(L701="F-15",2,IF(L701="F-30",3,IF(L701="F-60",4,IF(L701="F-90",5,IF(L701="F-120",6,IF(L701="F-150",7,0)))))),0),0)+IF(AND(O701="FIRE TEX 5090",E701="CJ",J701=4),VLOOKUP(_xlfn.MINIFS('FIRE TEX 5090'!$Y$5:$Y$39,'FIRE TEX 5090'!$Y$5:$Y$39,"&gt;="&amp;M701),'FIRE TEX 5090'!$Y$5:$AD$39,IF(L701="F-15",2,IF(L701="F-30",3,IF(L701="F-60",4,IF(L701="F-90",5,IF(L701="F-120",6,IF(L701="F-150",7,0)))))),0),0)+IF(AND(O701="FIRE TEX 5120",OR(E701="IN",E701="C",E701="Z",E701="L"),J701=3),VLOOKUP(_xlfn.MINIFS('FIRE TEX 5120'!$B$5:$B$40,'FIRE TEX 5120'!$B$5:$B$40,"&gt;="&amp;M701),'FIRE TEX 5120'!$B$5:$G$40,IF(L701="F-15",2,IF(L701="F-30",3,IF(L701="F-60",4,IF(L701="F-90",5,IF(L701="F-120",6,0))))),0),0)+IF(AND(O701="FIRE TEX 5120",OR(E701="IN",E701="C",E701="Z",E701="L"),J701=4),VLOOKUP(_xlfn.MINIFS('FIRE TEX 5120'!$H$4:$H$40,'FIRE TEX 5120'!$H$4:$H$40,"&gt;="&amp;M701),'FIRE TEX 5120'!$H$4:$M$40,IF(L701="F-15",2,IF(L701="F-30",3,IF(L701="F-60",4,IF(L701="F-90",5,IF(L701="F-120",6,0))))),0),0)+IF(AND(O701="FIRE TEX 5120",E701="CJ"),VLOOKUP(_xlfn.MINIFS('FIRE TEX 5120'!$O$5:$O$40,'FIRE TEX 5120'!$O$5:$O$40,"&gt;="&amp;M701),'FIRE TEX 5120'!$O$5:$T$40,IF(L701="F-15",2,IF(L701="F-30",3,IF(L701="F-60",4,IF(L701="F-90",5,IF(L701="F-120",6,0))))),0),0)</f>
        <v>0</v>
      </c>
      <c r="Q701" s="46">
        <f t="shared" si="74"/>
        <v>0</v>
      </c>
      <c r="R701" s="46">
        <f t="shared" si="75"/>
        <v>0</v>
      </c>
      <c r="S701" s="46" t="e">
        <f t="shared" si="76"/>
        <v>#VALUE!</v>
      </c>
      <c r="T701" s="677">
        <f t="shared" si="77"/>
        <v>0</v>
      </c>
      <c r="U701" s="80">
        <f>(IF(O701="Stofire",(S701*#REF!),0))+(IF(O701="Fire Control",(S701*$U$2),0))+(IF(O701="Fire Tex",(S701*$U$3),0))+(IF(O701="WB7",(S701*#REF!),0)+(IF(O701="FX 2003",(S701*$U$5),0)))</f>
        <v>0</v>
      </c>
      <c r="V701" s="651">
        <f t="shared" si="78"/>
        <v>0</v>
      </c>
    </row>
    <row r="702" spans="4:22" x14ac:dyDescent="0.25">
      <c r="D702" s="118">
        <f>+CUBICACION!D701</f>
        <v>0</v>
      </c>
      <c r="E702" s="118">
        <f>+CUBICACION!F701</f>
        <v>0</v>
      </c>
      <c r="F702" s="118">
        <f>+CUBICACION!E701</f>
        <v>0</v>
      </c>
      <c r="G702" s="118">
        <v>12</v>
      </c>
      <c r="H702" s="118">
        <v>2</v>
      </c>
      <c r="I702" s="820">
        <v>26385</v>
      </c>
      <c r="J702" s="118">
        <f>+CUBICACION!J701</f>
        <v>0</v>
      </c>
      <c r="K702" s="118">
        <v>3481</v>
      </c>
      <c r="L702" s="118">
        <f>+CUBICACION!L701</f>
        <v>0</v>
      </c>
      <c r="M702" s="64">
        <f>+CUBICACION!M701</f>
        <v>0</v>
      </c>
      <c r="N702" s="824" t="str">
        <f>+CUBICACION!N701</f>
        <v/>
      </c>
      <c r="O702" s="675">
        <f>+CUBICACION!O701</f>
        <v>0</v>
      </c>
      <c r="P702" s="15">
        <f>IF(O702="Fire Control",VLOOKUP(_xlfn.MINIFS('FIRE CONTROL'!$C$4:$C$37,'FIRE CONTROL'!$C$4:$C$37,"&gt;="&amp;M702),'FIRE CONTROL'!$C$4:$G$37,IF(L702="F-15",2,IF(L702="F-30",3,IF(L702="F-60",4,IF(L702="F-90",5,0)))),0),0)+IF(AND(O702="FIRE TEX 5062",OR(E702="IN",E702="C",E702="Z",E702="L"),J702=3),VLOOKUP(_xlfn.MINIFS('FIRE TEX 5062'!$B$4:$B$34,'FIRE TEX 5062'!$B$4:$B$34,"&gt;="&amp;M702),'FIRE TEX 5062'!$B$4:$F$34,IF(L702="F-15",2,IF(L702="F-30",3,IF(L702="F-60",4,IF(L702="F-90",5,0)))),0),0)+IF(AND(O702="FIRE TEX 5062",OR(E702="IN",E702="C",E702="Z",E702="L"),J702=4),VLOOKUP(_xlfn.MINIFS('FIRE TEX 5062'!$G$4:$G$34,'FIRE TEX 5062'!$G$4:$G$34,"&gt;="&amp;M702),'FIRE TEX 5062'!$G$4:$K$34,IF(L702="F-15",2,IF(L702="F-30",3,IF(L702="F-60",4,IF(L702="F-90",5,0)))),0),0)+IF(AND(O702="FIRE TEX 5062",E702="CJ",J702=3),VLOOKUP(_xlfn.MINIFS('FIRE TEX 5062'!$L$4:$L$34,'FIRE TEX 5062'!$L$4:$L$34,"&gt;="&amp;M702),'FIRE TEX 5062'!$L$4:$P$34,IF(L702="F-15",2,IF(L702="F-30",3,IF(L702="F-60",4,IF(L702="F-90",5,0)))),0),0)+IF(AND(O702="FIRE TEX 5062",E702="CJ",J702=4),VLOOKUP(_xlfn.MINIFS('FIRE TEX 5062'!$Q$3:$Q$34,'FIRE TEX 5062'!$Q$3:$Q$34,"&gt;="&amp;M702),'FIRE TEX 5062'!$Q$3:$U$34,IF(L702="F-15",2,IF(L702="F-30",3,IF(L702="F-60",4,IF(L702="F-90",5,0)))),0),0)+IF(AND(O702="FIRE TEX 5090",OR(E702="IN",E702="C",E702="Z",E702="L"),J702=3),VLOOKUP(_xlfn.MINIFS('FIRE TEX 5090'!$B$5:$B$43,'FIRE TEX 5090'!$B$5:$B$43,"&gt;="&amp;M702),'FIRE TEX 5090'!$B$5:$H$43,IF(L702="F-15",2,IF(L702="F-30",3,IF(L702="F-60",4,IF(L702="F-90",5,IF(L702="F-120",6,IF(L702="F-150",7,0)))))),0),0)+IF(AND(O702="FIRE TEX 5090",OR(E702="IN",E702="C",E702="Z",E702="L"),J702=4),VLOOKUP(_xlfn.MINIFS('FIRE TEX 5090'!$J$5:$J$43,'FIRE TEX 5090'!$J$5:$J$43,"&gt;="&amp;M702),'FIRE TEX 5090'!$J$5:$P$43,IF(L702="F-15",2,IF(L702="F-30",3,IF(L702="F-60",4,IF(L702="F-90",5,IF(L702="F-120",6,IF(L702="F-150",7,0)))))),0),0)+IF(AND(O702="FIRE TEX 5090",E702="CJ",J702=3),VLOOKUP(_xlfn.MINIFS('FIRE TEX 5090'!$R$5:$R$30,'FIRE TEX 5090'!$R$5:$R$30,"&gt;="&amp;M702),'FIRE TEX 5090'!$R$5:$W$30,IF(L702="F-15",2,IF(L702="F-30",3,IF(L702="F-60",4,IF(L702="F-90",5,IF(L702="F-120",6,IF(L702="F-150",7,0)))))),0),0)+IF(AND(O702="FIRE TEX 5090",E702="CJ",J702=4),VLOOKUP(_xlfn.MINIFS('FIRE TEX 5090'!$Y$5:$Y$39,'FIRE TEX 5090'!$Y$5:$Y$39,"&gt;="&amp;M702),'FIRE TEX 5090'!$Y$5:$AD$39,IF(L702="F-15",2,IF(L702="F-30",3,IF(L702="F-60",4,IF(L702="F-90",5,IF(L702="F-120",6,IF(L702="F-150",7,0)))))),0),0)+IF(AND(O702="FIRE TEX 5120",OR(E702="IN",E702="C",E702="Z",E702="L"),J702=3),VLOOKUP(_xlfn.MINIFS('FIRE TEX 5120'!$B$5:$B$40,'FIRE TEX 5120'!$B$5:$B$40,"&gt;="&amp;M702),'FIRE TEX 5120'!$B$5:$G$40,IF(L702="F-15",2,IF(L702="F-30",3,IF(L702="F-60",4,IF(L702="F-90",5,IF(L702="F-120",6,0))))),0),0)+IF(AND(O702="FIRE TEX 5120",OR(E702="IN",E702="C",E702="Z",E702="L"),J702=4),VLOOKUP(_xlfn.MINIFS('FIRE TEX 5120'!$H$4:$H$40,'FIRE TEX 5120'!$H$4:$H$40,"&gt;="&amp;M702),'FIRE TEX 5120'!$H$4:$M$40,IF(L702="F-15",2,IF(L702="F-30",3,IF(L702="F-60",4,IF(L702="F-90",5,IF(L702="F-120",6,0))))),0),0)+IF(AND(O702="FIRE TEX 5120",E702="CJ"),VLOOKUP(_xlfn.MINIFS('FIRE TEX 5120'!$O$5:$O$40,'FIRE TEX 5120'!$O$5:$O$40,"&gt;="&amp;M702),'FIRE TEX 5120'!$O$5:$T$40,IF(L702="F-15",2,IF(L702="F-30",3,IF(L702="F-60",4,IF(L702="F-90",5,IF(L702="F-120",6,0))))),0),0)</f>
        <v>0</v>
      </c>
      <c r="Q702" s="46">
        <f t="shared" si="74"/>
        <v>0</v>
      </c>
      <c r="R702" s="46">
        <f t="shared" si="75"/>
        <v>0</v>
      </c>
      <c r="S702" s="46" t="e">
        <f t="shared" si="76"/>
        <v>#VALUE!</v>
      </c>
      <c r="T702" s="677">
        <f t="shared" si="77"/>
        <v>0</v>
      </c>
      <c r="U702" s="80">
        <f>(IF(O702="Stofire",(S702*#REF!),0))+(IF(O702="Fire Control",(S702*$U$2),0))+(IF(O702="Fire Tex",(S702*$U$3),0))+(IF(O702="WB7",(S702*#REF!),0)+(IF(O702="FX 2003",(S702*$U$5),0)))</f>
        <v>0</v>
      </c>
      <c r="V702" s="651">
        <f t="shared" si="78"/>
        <v>0</v>
      </c>
    </row>
    <row r="703" spans="4:22" x14ac:dyDescent="0.25">
      <c r="D703" s="118">
        <f>+CUBICACION!D702</f>
        <v>0</v>
      </c>
      <c r="E703" s="118">
        <f>+CUBICACION!F702</f>
        <v>0</v>
      </c>
      <c r="F703" s="118">
        <f>+CUBICACION!E702</f>
        <v>0</v>
      </c>
      <c r="G703" s="118">
        <v>12</v>
      </c>
      <c r="H703" s="118">
        <v>2</v>
      </c>
      <c r="I703" s="820">
        <v>26385</v>
      </c>
      <c r="J703" s="118">
        <f>+CUBICACION!J702</f>
        <v>0</v>
      </c>
      <c r="K703" s="118">
        <v>3482</v>
      </c>
      <c r="L703" s="118">
        <f>+CUBICACION!L702</f>
        <v>0</v>
      </c>
      <c r="M703" s="64">
        <f>+CUBICACION!M702</f>
        <v>0</v>
      </c>
      <c r="N703" s="824" t="str">
        <f>+CUBICACION!N702</f>
        <v/>
      </c>
      <c r="O703" s="675">
        <f>+CUBICACION!O702</f>
        <v>0</v>
      </c>
      <c r="P703" s="15">
        <f>IF(O703="Fire Control",VLOOKUP(_xlfn.MINIFS('FIRE CONTROL'!$C$4:$C$37,'FIRE CONTROL'!$C$4:$C$37,"&gt;="&amp;M703),'FIRE CONTROL'!$C$4:$G$37,IF(L703="F-15",2,IF(L703="F-30",3,IF(L703="F-60",4,IF(L703="F-90",5,0)))),0),0)+IF(AND(O703="FIRE TEX 5062",OR(E703="IN",E703="C",E703="Z",E703="L"),J703=3),VLOOKUP(_xlfn.MINIFS('FIRE TEX 5062'!$B$4:$B$34,'FIRE TEX 5062'!$B$4:$B$34,"&gt;="&amp;M703),'FIRE TEX 5062'!$B$4:$F$34,IF(L703="F-15",2,IF(L703="F-30",3,IF(L703="F-60",4,IF(L703="F-90",5,0)))),0),0)+IF(AND(O703="FIRE TEX 5062",OR(E703="IN",E703="C",E703="Z",E703="L"),J703=4),VLOOKUP(_xlfn.MINIFS('FIRE TEX 5062'!$G$4:$G$34,'FIRE TEX 5062'!$G$4:$G$34,"&gt;="&amp;M703),'FIRE TEX 5062'!$G$4:$K$34,IF(L703="F-15",2,IF(L703="F-30",3,IF(L703="F-60",4,IF(L703="F-90",5,0)))),0),0)+IF(AND(O703="FIRE TEX 5062",E703="CJ",J703=3),VLOOKUP(_xlfn.MINIFS('FIRE TEX 5062'!$L$4:$L$34,'FIRE TEX 5062'!$L$4:$L$34,"&gt;="&amp;M703),'FIRE TEX 5062'!$L$4:$P$34,IF(L703="F-15",2,IF(L703="F-30",3,IF(L703="F-60",4,IF(L703="F-90",5,0)))),0),0)+IF(AND(O703="FIRE TEX 5062",E703="CJ",J703=4),VLOOKUP(_xlfn.MINIFS('FIRE TEX 5062'!$Q$3:$Q$34,'FIRE TEX 5062'!$Q$3:$Q$34,"&gt;="&amp;M703),'FIRE TEX 5062'!$Q$3:$U$34,IF(L703="F-15",2,IF(L703="F-30",3,IF(L703="F-60",4,IF(L703="F-90",5,0)))),0),0)+IF(AND(O703="FIRE TEX 5090",OR(E703="IN",E703="C",E703="Z",E703="L"),J703=3),VLOOKUP(_xlfn.MINIFS('FIRE TEX 5090'!$B$5:$B$43,'FIRE TEX 5090'!$B$5:$B$43,"&gt;="&amp;M703),'FIRE TEX 5090'!$B$5:$H$43,IF(L703="F-15",2,IF(L703="F-30",3,IF(L703="F-60",4,IF(L703="F-90",5,IF(L703="F-120",6,IF(L703="F-150",7,0)))))),0),0)+IF(AND(O703="FIRE TEX 5090",OR(E703="IN",E703="C",E703="Z",E703="L"),J703=4),VLOOKUP(_xlfn.MINIFS('FIRE TEX 5090'!$J$5:$J$43,'FIRE TEX 5090'!$J$5:$J$43,"&gt;="&amp;M703),'FIRE TEX 5090'!$J$5:$P$43,IF(L703="F-15",2,IF(L703="F-30",3,IF(L703="F-60",4,IF(L703="F-90",5,IF(L703="F-120",6,IF(L703="F-150",7,0)))))),0),0)+IF(AND(O703="FIRE TEX 5090",E703="CJ",J703=3),VLOOKUP(_xlfn.MINIFS('FIRE TEX 5090'!$R$5:$R$30,'FIRE TEX 5090'!$R$5:$R$30,"&gt;="&amp;M703),'FIRE TEX 5090'!$R$5:$W$30,IF(L703="F-15",2,IF(L703="F-30",3,IF(L703="F-60",4,IF(L703="F-90",5,IF(L703="F-120",6,IF(L703="F-150",7,0)))))),0),0)+IF(AND(O703="FIRE TEX 5090",E703="CJ",J703=4),VLOOKUP(_xlfn.MINIFS('FIRE TEX 5090'!$Y$5:$Y$39,'FIRE TEX 5090'!$Y$5:$Y$39,"&gt;="&amp;M703),'FIRE TEX 5090'!$Y$5:$AD$39,IF(L703="F-15",2,IF(L703="F-30",3,IF(L703="F-60",4,IF(L703="F-90",5,IF(L703="F-120",6,IF(L703="F-150",7,0)))))),0),0)+IF(AND(O703="FIRE TEX 5120",OR(E703="IN",E703="C",E703="Z",E703="L"),J703=3),VLOOKUP(_xlfn.MINIFS('FIRE TEX 5120'!$B$5:$B$40,'FIRE TEX 5120'!$B$5:$B$40,"&gt;="&amp;M703),'FIRE TEX 5120'!$B$5:$G$40,IF(L703="F-15",2,IF(L703="F-30",3,IF(L703="F-60",4,IF(L703="F-90",5,IF(L703="F-120",6,0))))),0),0)+IF(AND(O703="FIRE TEX 5120",OR(E703="IN",E703="C",E703="Z",E703="L"),J703=4),VLOOKUP(_xlfn.MINIFS('FIRE TEX 5120'!$H$4:$H$40,'FIRE TEX 5120'!$H$4:$H$40,"&gt;="&amp;M703),'FIRE TEX 5120'!$H$4:$M$40,IF(L703="F-15",2,IF(L703="F-30",3,IF(L703="F-60",4,IF(L703="F-90",5,IF(L703="F-120",6,0))))),0),0)+IF(AND(O703="FIRE TEX 5120",E703="CJ"),VLOOKUP(_xlfn.MINIFS('FIRE TEX 5120'!$O$5:$O$40,'FIRE TEX 5120'!$O$5:$O$40,"&gt;="&amp;M703),'FIRE TEX 5120'!$O$5:$T$40,IF(L703="F-15",2,IF(L703="F-30",3,IF(L703="F-60",4,IF(L703="F-90",5,IF(L703="F-120",6,0))))),0),0)</f>
        <v>0</v>
      </c>
      <c r="Q703" s="46">
        <f t="shared" si="74"/>
        <v>0</v>
      </c>
      <c r="R703" s="46">
        <f t="shared" si="75"/>
        <v>0</v>
      </c>
      <c r="S703" s="46" t="e">
        <f t="shared" si="76"/>
        <v>#VALUE!</v>
      </c>
      <c r="T703" s="677">
        <f t="shared" si="77"/>
        <v>0</v>
      </c>
      <c r="U703" s="80">
        <f>(IF(O703="Stofire",(S703*#REF!),0))+(IF(O703="Fire Control",(S703*$U$2),0))+(IF(O703="Fire Tex",(S703*$U$3),0))+(IF(O703="WB7",(S703*#REF!),0)+(IF(O703="FX 2003",(S703*$U$5),0)))</f>
        <v>0</v>
      </c>
      <c r="V703" s="651">
        <f t="shared" si="78"/>
        <v>0</v>
      </c>
    </row>
    <row r="704" spans="4:22" x14ac:dyDescent="0.25">
      <c r="D704" s="118">
        <f>+CUBICACION!D703</f>
        <v>0</v>
      </c>
      <c r="E704" s="118">
        <f>+CUBICACION!F703</f>
        <v>0</v>
      </c>
      <c r="F704" s="118">
        <f>+CUBICACION!E703</f>
        <v>0</v>
      </c>
      <c r="G704" s="118">
        <v>12</v>
      </c>
      <c r="H704" s="118">
        <v>2</v>
      </c>
      <c r="I704" s="820">
        <v>26385</v>
      </c>
      <c r="J704" s="118">
        <f>+CUBICACION!J703</f>
        <v>0</v>
      </c>
      <c r="K704" s="118">
        <v>3483</v>
      </c>
      <c r="L704" s="118">
        <f>+CUBICACION!L703</f>
        <v>0</v>
      </c>
      <c r="M704" s="64">
        <f>+CUBICACION!M703</f>
        <v>0</v>
      </c>
      <c r="N704" s="824" t="str">
        <f>+CUBICACION!N703</f>
        <v/>
      </c>
      <c r="O704" s="675">
        <f>+CUBICACION!O703</f>
        <v>0</v>
      </c>
      <c r="P704" s="15">
        <f>IF(O704="Fire Control",VLOOKUP(_xlfn.MINIFS('FIRE CONTROL'!$C$4:$C$37,'FIRE CONTROL'!$C$4:$C$37,"&gt;="&amp;M704),'FIRE CONTROL'!$C$4:$G$37,IF(L704="F-15",2,IF(L704="F-30",3,IF(L704="F-60",4,IF(L704="F-90",5,0)))),0),0)+IF(AND(O704="FIRE TEX 5062",OR(E704="IN",E704="C",E704="Z",E704="L"),J704=3),VLOOKUP(_xlfn.MINIFS('FIRE TEX 5062'!$B$4:$B$34,'FIRE TEX 5062'!$B$4:$B$34,"&gt;="&amp;M704),'FIRE TEX 5062'!$B$4:$F$34,IF(L704="F-15",2,IF(L704="F-30",3,IF(L704="F-60",4,IF(L704="F-90",5,0)))),0),0)+IF(AND(O704="FIRE TEX 5062",OR(E704="IN",E704="C",E704="Z",E704="L"),J704=4),VLOOKUP(_xlfn.MINIFS('FIRE TEX 5062'!$G$4:$G$34,'FIRE TEX 5062'!$G$4:$G$34,"&gt;="&amp;M704),'FIRE TEX 5062'!$G$4:$K$34,IF(L704="F-15",2,IF(L704="F-30",3,IF(L704="F-60",4,IF(L704="F-90",5,0)))),0),0)+IF(AND(O704="FIRE TEX 5062",E704="CJ",J704=3),VLOOKUP(_xlfn.MINIFS('FIRE TEX 5062'!$L$4:$L$34,'FIRE TEX 5062'!$L$4:$L$34,"&gt;="&amp;M704),'FIRE TEX 5062'!$L$4:$P$34,IF(L704="F-15",2,IF(L704="F-30",3,IF(L704="F-60",4,IF(L704="F-90",5,0)))),0),0)+IF(AND(O704="FIRE TEX 5062",E704="CJ",J704=4),VLOOKUP(_xlfn.MINIFS('FIRE TEX 5062'!$Q$3:$Q$34,'FIRE TEX 5062'!$Q$3:$Q$34,"&gt;="&amp;M704),'FIRE TEX 5062'!$Q$3:$U$34,IF(L704="F-15",2,IF(L704="F-30",3,IF(L704="F-60",4,IF(L704="F-90",5,0)))),0),0)+IF(AND(O704="FIRE TEX 5090",OR(E704="IN",E704="C",E704="Z",E704="L"),J704=3),VLOOKUP(_xlfn.MINIFS('FIRE TEX 5090'!$B$5:$B$43,'FIRE TEX 5090'!$B$5:$B$43,"&gt;="&amp;M704),'FIRE TEX 5090'!$B$5:$H$43,IF(L704="F-15",2,IF(L704="F-30",3,IF(L704="F-60",4,IF(L704="F-90",5,IF(L704="F-120",6,IF(L704="F-150",7,0)))))),0),0)+IF(AND(O704="FIRE TEX 5090",OR(E704="IN",E704="C",E704="Z",E704="L"),J704=4),VLOOKUP(_xlfn.MINIFS('FIRE TEX 5090'!$J$5:$J$43,'FIRE TEX 5090'!$J$5:$J$43,"&gt;="&amp;M704),'FIRE TEX 5090'!$J$5:$P$43,IF(L704="F-15",2,IF(L704="F-30",3,IF(L704="F-60",4,IF(L704="F-90",5,IF(L704="F-120",6,IF(L704="F-150",7,0)))))),0),0)+IF(AND(O704="FIRE TEX 5090",E704="CJ",J704=3),VLOOKUP(_xlfn.MINIFS('FIRE TEX 5090'!$R$5:$R$30,'FIRE TEX 5090'!$R$5:$R$30,"&gt;="&amp;M704),'FIRE TEX 5090'!$R$5:$W$30,IF(L704="F-15",2,IF(L704="F-30",3,IF(L704="F-60",4,IF(L704="F-90",5,IF(L704="F-120",6,IF(L704="F-150",7,0)))))),0),0)+IF(AND(O704="FIRE TEX 5090",E704="CJ",J704=4),VLOOKUP(_xlfn.MINIFS('FIRE TEX 5090'!$Y$5:$Y$39,'FIRE TEX 5090'!$Y$5:$Y$39,"&gt;="&amp;M704),'FIRE TEX 5090'!$Y$5:$AD$39,IF(L704="F-15",2,IF(L704="F-30",3,IF(L704="F-60",4,IF(L704="F-90",5,IF(L704="F-120",6,IF(L704="F-150",7,0)))))),0),0)+IF(AND(O704="FIRE TEX 5120",OR(E704="IN",E704="C",E704="Z",E704="L"),J704=3),VLOOKUP(_xlfn.MINIFS('FIRE TEX 5120'!$B$5:$B$40,'FIRE TEX 5120'!$B$5:$B$40,"&gt;="&amp;M704),'FIRE TEX 5120'!$B$5:$G$40,IF(L704="F-15",2,IF(L704="F-30",3,IF(L704="F-60",4,IF(L704="F-90",5,IF(L704="F-120",6,0))))),0),0)+IF(AND(O704="FIRE TEX 5120",OR(E704="IN",E704="C",E704="Z",E704="L"),J704=4),VLOOKUP(_xlfn.MINIFS('FIRE TEX 5120'!$H$4:$H$40,'FIRE TEX 5120'!$H$4:$H$40,"&gt;="&amp;M704),'FIRE TEX 5120'!$H$4:$M$40,IF(L704="F-15",2,IF(L704="F-30",3,IF(L704="F-60",4,IF(L704="F-90",5,IF(L704="F-120",6,0))))),0),0)+IF(AND(O704="FIRE TEX 5120",E704="CJ"),VLOOKUP(_xlfn.MINIFS('FIRE TEX 5120'!$O$5:$O$40,'FIRE TEX 5120'!$O$5:$O$40,"&gt;="&amp;M704),'FIRE TEX 5120'!$O$5:$T$40,IF(L704="F-15",2,IF(L704="F-30",3,IF(L704="F-60",4,IF(L704="F-90",5,IF(L704="F-120",6,0))))),0),0)</f>
        <v>0</v>
      </c>
      <c r="Q704" s="46">
        <f t="shared" si="74"/>
        <v>0</v>
      </c>
      <c r="R704" s="46">
        <f t="shared" si="75"/>
        <v>0</v>
      </c>
      <c r="S704" s="46" t="e">
        <f t="shared" si="76"/>
        <v>#VALUE!</v>
      </c>
      <c r="T704" s="677">
        <f t="shared" si="77"/>
        <v>0</v>
      </c>
      <c r="U704" s="80">
        <f>(IF(O704="Stofire",(S704*#REF!),0))+(IF(O704="Fire Control",(S704*$U$2),0))+(IF(O704="Fire Tex",(S704*$U$3),0))+(IF(O704="WB7",(S704*#REF!),0)+(IF(O704="FX 2003",(S704*$U$5),0)))</f>
        <v>0</v>
      </c>
      <c r="V704" s="651">
        <f t="shared" si="78"/>
        <v>0</v>
      </c>
    </row>
    <row r="705" spans="4:22" x14ac:dyDescent="0.25">
      <c r="D705" s="118">
        <f>+CUBICACION!D704</f>
        <v>0</v>
      </c>
      <c r="E705" s="118">
        <f>+CUBICACION!F704</f>
        <v>0</v>
      </c>
      <c r="F705" s="118">
        <f>+CUBICACION!E704</f>
        <v>0</v>
      </c>
      <c r="G705" s="118">
        <v>12</v>
      </c>
      <c r="H705" s="118">
        <v>2</v>
      </c>
      <c r="I705" s="820">
        <v>26385</v>
      </c>
      <c r="J705" s="118">
        <f>+CUBICACION!J704</f>
        <v>0</v>
      </c>
      <c r="K705" s="118">
        <v>3484</v>
      </c>
      <c r="L705" s="118">
        <f>+CUBICACION!L704</f>
        <v>0</v>
      </c>
      <c r="M705" s="64">
        <f>+CUBICACION!M704</f>
        <v>0</v>
      </c>
      <c r="N705" s="824" t="str">
        <f>+CUBICACION!N704</f>
        <v/>
      </c>
      <c r="O705" s="675">
        <f>+CUBICACION!O704</f>
        <v>0</v>
      </c>
      <c r="P705" s="15">
        <f>IF(O705="Fire Control",VLOOKUP(_xlfn.MINIFS('FIRE CONTROL'!$C$4:$C$37,'FIRE CONTROL'!$C$4:$C$37,"&gt;="&amp;M705),'FIRE CONTROL'!$C$4:$G$37,IF(L705="F-15",2,IF(L705="F-30",3,IF(L705="F-60",4,IF(L705="F-90",5,0)))),0),0)+IF(AND(O705="FIRE TEX 5062",OR(E705="IN",E705="C",E705="Z",E705="L"),J705=3),VLOOKUP(_xlfn.MINIFS('FIRE TEX 5062'!$B$4:$B$34,'FIRE TEX 5062'!$B$4:$B$34,"&gt;="&amp;M705),'FIRE TEX 5062'!$B$4:$F$34,IF(L705="F-15",2,IF(L705="F-30",3,IF(L705="F-60",4,IF(L705="F-90",5,0)))),0),0)+IF(AND(O705="FIRE TEX 5062",OR(E705="IN",E705="C",E705="Z",E705="L"),J705=4),VLOOKUP(_xlfn.MINIFS('FIRE TEX 5062'!$G$4:$G$34,'FIRE TEX 5062'!$G$4:$G$34,"&gt;="&amp;M705),'FIRE TEX 5062'!$G$4:$K$34,IF(L705="F-15",2,IF(L705="F-30",3,IF(L705="F-60",4,IF(L705="F-90",5,0)))),0),0)+IF(AND(O705="FIRE TEX 5062",E705="CJ",J705=3),VLOOKUP(_xlfn.MINIFS('FIRE TEX 5062'!$L$4:$L$34,'FIRE TEX 5062'!$L$4:$L$34,"&gt;="&amp;M705),'FIRE TEX 5062'!$L$4:$P$34,IF(L705="F-15",2,IF(L705="F-30",3,IF(L705="F-60",4,IF(L705="F-90",5,0)))),0),0)+IF(AND(O705="FIRE TEX 5062",E705="CJ",J705=4),VLOOKUP(_xlfn.MINIFS('FIRE TEX 5062'!$Q$3:$Q$34,'FIRE TEX 5062'!$Q$3:$Q$34,"&gt;="&amp;M705),'FIRE TEX 5062'!$Q$3:$U$34,IF(L705="F-15",2,IF(L705="F-30",3,IF(L705="F-60",4,IF(L705="F-90",5,0)))),0),0)+IF(AND(O705="FIRE TEX 5090",OR(E705="IN",E705="C",E705="Z",E705="L"),J705=3),VLOOKUP(_xlfn.MINIFS('FIRE TEX 5090'!$B$5:$B$43,'FIRE TEX 5090'!$B$5:$B$43,"&gt;="&amp;M705),'FIRE TEX 5090'!$B$5:$H$43,IF(L705="F-15",2,IF(L705="F-30",3,IF(L705="F-60",4,IF(L705="F-90",5,IF(L705="F-120",6,IF(L705="F-150",7,0)))))),0),0)+IF(AND(O705="FIRE TEX 5090",OR(E705="IN",E705="C",E705="Z",E705="L"),J705=4),VLOOKUP(_xlfn.MINIFS('FIRE TEX 5090'!$J$5:$J$43,'FIRE TEX 5090'!$J$5:$J$43,"&gt;="&amp;M705),'FIRE TEX 5090'!$J$5:$P$43,IF(L705="F-15",2,IF(L705="F-30",3,IF(L705="F-60",4,IF(L705="F-90",5,IF(L705="F-120",6,IF(L705="F-150",7,0)))))),0),0)+IF(AND(O705="FIRE TEX 5090",E705="CJ",J705=3),VLOOKUP(_xlfn.MINIFS('FIRE TEX 5090'!$R$5:$R$30,'FIRE TEX 5090'!$R$5:$R$30,"&gt;="&amp;M705),'FIRE TEX 5090'!$R$5:$W$30,IF(L705="F-15",2,IF(L705="F-30",3,IF(L705="F-60",4,IF(L705="F-90",5,IF(L705="F-120",6,IF(L705="F-150",7,0)))))),0),0)+IF(AND(O705="FIRE TEX 5090",E705="CJ",J705=4),VLOOKUP(_xlfn.MINIFS('FIRE TEX 5090'!$Y$5:$Y$39,'FIRE TEX 5090'!$Y$5:$Y$39,"&gt;="&amp;M705),'FIRE TEX 5090'!$Y$5:$AD$39,IF(L705="F-15",2,IF(L705="F-30",3,IF(L705="F-60",4,IF(L705="F-90",5,IF(L705="F-120",6,IF(L705="F-150",7,0)))))),0),0)+IF(AND(O705="FIRE TEX 5120",OR(E705="IN",E705="C",E705="Z",E705="L"),J705=3),VLOOKUP(_xlfn.MINIFS('FIRE TEX 5120'!$B$5:$B$40,'FIRE TEX 5120'!$B$5:$B$40,"&gt;="&amp;M705),'FIRE TEX 5120'!$B$5:$G$40,IF(L705="F-15",2,IF(L705="F-30",3,IF(L705="F-60",4,IF(L705="F-90",5,IF(L705="F-120",6,0))))),0),0)+IF(AND(O705="FIRE TEX 5120",OR(E705="IN",E705="C",E705="Z",E705="L"),J705=4),VLOOKUP(_xlfn.MINIFS('FIRE TEX 5120'!$H$4:$H$40,'FIRE TEX 5120'!$H$4:$H$40,"&gt;="&amp;M705),'FIRE TEX 5120'!$H$4:$M$40,IF(L705="F-15",2,IF(L705="F-30",3,IF(L705="F-60",4,IF(L705="F-90",5,IF(L705="F-120",6,0))))),0),0)+IF(AND(O705="FIRE TEX 5120",E705="CJ"),VLOOKUP(_xlfn.MINIFS('FIRE TEX 5120'!$O$5:$O$40,'FIRE TEX 5120'!$O$5:$O$40,"&gt;="&amp;M705),'FIRE TEX 5120'!$O$5:$T$40,IF(L705="F-15",2,IF(L705="F-30",3,IF(L705="F-60",4,IF(L705="F-90",5,IF(L705="F-120",6,0))))),0),0)</f>
        <v>0</v>
      </c>
      <c r="Q705" s="46">
        <f t="shared" si="74"/>
        <v>0</v>
      </c>
      <c r="R705" s="46">
        <f t="shared" si="75"/>
        <v>0</v>
      </c>
      <c r="S705" s="46" t="e">
        <f t="shared" si="76"/>
        <v>#VALUE!</v>
      </c>
      <c r="T705" s="677">
        <f t="shared" si="77"/>
        <v>0</v>
      </c>
      <c r="U705" s="80">
        <f>(IF(O705="Stofire",(S705*#REF!),0))+(IF(O705="Fire Control",(S705*$U$2),0))+(IF(O705="Fire Tex",(S705*$U$3),0))+(IF(O705="WB7",(S705*#REF!),0)+(IF(O705="FX 2003",(S705*$U$5),0)))</f>
        <v>0</v>
      </c>
      <c r="V705" s="651">
        <f t="shared" si="78"/>
        <v>0</v>
      </c>
    </row>
    <row r="706" spans="4:22" x14ac:dyDescent="0.25">
      <c r="D706" s="118">
        <f>+CUBICACION!D705</f>
        <v>0</v>
      </c>
      <c r="E706" s="118">
        <f>+CUBICACION!F705</f>
        <v>0</v>
      </c>
      <c r="F706" s="118">
        <f>+CUBICACION!E705</f>
        <v>0</v>
      </c>
      <c r="G706" s="118">
        <v>12</v>
      </c>
      <c r="H706" s="118">
        <v>2</v>
      </c>
      <c r="I706" s="820">
        <v>26385</v>
      </c>
      <c r="J706" s="118">
        <f>+CUBICACION!J705</f>
        <v>0</v>
      </c>
      <c r="K706" s="118">
        <v>3485</v>
      </c>
      <c r="L706" s="118">
        <f>+CUBICACION!L705</f>
        <v>0</v>
      </c>
      <c r="M706" s="64">
        <f>+CUBICACION!M705</f>
        <v>0</v>
      </c>
      <c r="N706" s="824" t="str">
        <f>+CUBICACION!N705</f>
        <v/>
      </c>
      <c r="O706" s="675">
        <f>+CUBICACION!O705</f>
        <v>0</v>
      </c>
      <c r="P706" s="15">
        <f>IF(O706="Fire Control",VLOOKUP(_xlfn.MINIFS('FIRE CONTROL'!$C$4:$C$37,'FIRE CONTROL'!$C$4:$C$37,"&gt;="&amp;M706),'FIRE CONTROL'!$C$4:$G$37,IF(L706="F-15",2,IF(L706="F-30",3,IF(L706="F-60",4,IF(L706="F-90",5,0)))),0),0)+IF(AND(O706="FIRE TEX 5062",OR(E706="IN",E706="C",E706="Z",E706="L"),J706=3),VLOOKUP(_xlfn.MINIFS('FIRE TEX 5062'!$B$4:$B$34,'FIRE TEX 5062'!$B$4:$B$34,"&gt;="&amp;M706),'FIRE TEX 5062'!$B$4:$F$34,IF(L706="F-15",2,IF(L706="F-30",3,IF(L706="F-60",4,IF(L706="F-90",5,0)))),0),0)+IF(AND(O706="FIRE TEX 5062",OR(E706="IN",E706="C",E706="Z",E706="L"),J706=4),VLOOKUP(_xlfn.MINIFS('FIRE TEX 5062'!$G$4:$G$34,'FIRE TEX 5062'!$G$4:$G$34,"&gt;="&amp;M706),'FIRE TEX 5062'!$G$4:$K$34,IF(L706="F-15",2,IF(L706="F-30",3,IF(L706="F-60",4,IF(L706="F-90",5,0)))),0),0)+IF(AND(O706="FIRE TEX 5062",E706="CJ",J706=3),VLOOKUP(_xlfn.MINIFS('FIRE TEX 5062'!$L$4:$L$34,'FIRE TEX 5062'!$L$4:$L$34,"&gt;="&amp;M706),'FIRE TEX 5062'!$L$4:$P$34,IF(L706="F-15",2,IF(L706="F-30",3,IF(L706="F-60",4,IF(L706="F-90",5,0)))),0),0)+IF(AND(O706="FIRE TEX 5062",E706="CJ",J706=4),VLOOKUP(_xlfn.MINIFS('FIRE TEX 5062'!$Q$3:$Q$34,'FIRE TEX 5062'!$Q$3:$Q$34,"&gt;="&amp;M706),'FIRE TEX 5062'!$Q$3:$U$34,IF(L706="F-15",2,IF(L706="F-30",3,IF(L706="F-60",4,IF(L706="F-90",5,0)))),0),0)+IF(AND(O706="FIRE TEX 5090",OR(E706="IN",E706="C",E706="Z",E706="L"),J706=3),VLOOKUP(_xlfn.MINIFS('FIRE TEX 5090'!$B$5:$B$43,'FIRE TEX 5090'!$B$5:$B$43,"&gt;="&amp;M706),'FIRE TEX 5090'!$B$5:$H$43,IF(L706="F-15",2,IF(L706="F-30",3,IF(L706="F-60",4,IF(L706="F-90",5,IF(L706="F-120",6,IF(L706="F-150",7,0)))))),0),0)+IF(AND(O706="FIRE TEX 5090",OR(E706="IN",E706="C",E706="Z",E706="L"),J706=4),VLOOKUP(_xlfn.MINIFS('FIRE TEX 5090'!$J$5:$J$43,'FIRE TEX 5090'!$J$5:$J$43,"&gt;="&amp;M706),'FIRE TEX 5090'!$J$5:$P$43,IF(L706="F-15",2,IF(L706="F-30",3,IF(L706="F-60",4,IF(L706="F-90",5,IF(L706="F-120",6,IF(L706="F-150",7,0)))))),0),0)+IF(AND(O706="FIRE TEX 5090",E706="CJ",J706=3),VLOOKUP(_xlfn.MINIFS('FIRE TEX 5090'!$R$5:$R$30,'FIRE TEX 5090'!$R$5:$R$30,"&gt;="&amp;M706),'FIRE TEX 5090'!$R$5:$W$30,IF(L706="F-15",2,IF(L706="F-30",3,IF(L706="F-60",4,IF(L706="F-90",5,IF(L706="F-120",6,IF(L706="F-150",7,0)))))),0),0)+IF(AND(O706="FIRE TEX 5090",E706="CJ",J706=4),VLOOKUP(_xlfn.MINIFS('FIRE TEX 5090'!$Y$5:$Y$39,'FIRE TEX 5090'!$Y$5:$Y$39,"&gt;="&amp;M706),'FIRE TEX 5090'!$Y$5:$AD$39,IF(L706="F-15",2,IF(L706="F-30",3,IF(L706="F-60",4,IF(L706="F-90",5,IF(L706="F-120",6,IF(L706="F-150",7,0)))))),0),0)+IF(AND(O706="FIRE TEX 5120",OR(E706="IN",E706="C",E706="Z",E706="L"),J706=3),VLOOKUP(_xlfn.MINIFS('FIRE TEX 5120'!$B$5:$B$40,'FIRE TEX 5120'!$B$5:$B$40,"&gt;="&amp;M706),'FIRE TEX 5120'!$B$5:$G$40,IF(L706="F-15",2,IF(L706="F-30",3,IF(L706="F-60",4,IF(L706="F-90",5,IF(L706="F-120",6,0))))),0),0)+IF(AND(O706="FIRE TEX 5120",OR(E706="IN",E706="C",E706="Z",E706="L"),J706=4),VLOOKUP(_xlfn.MINIFS('FIRE TEX 5120'!$H$4:$H$40,'FIRE TEX 5120'!$H$4:$H$40,"&gt;="&amp;M706),'FIRE TEX 5120'!$H$4:$M$40,IF(L706="F-15",2,IF(L706="F-30",3,IF(L706="F-60",4,IF(L706="F-90",5,IF(L706="F-120",6,0))))),0),0)+IF(AND(O706="FIRE TEX 5120",E706="CJ"),VLOOKUP(_xlfn.MINIFS('FIRE TEX 5120'!$O$5:$O$40,'FIRE TEX 5120'!$O$5:$O$40,"&gt;="&amp;M706),'FIRE TEX 5120'!$O$5:$T$40,IF(L706="F-15",2,IF(L706="F-30",3,IF(L706="F-60",4,IF(L706="F-90",5,IF(L706="F-120",6,0))))),0),0)</f>
        <v>0</v>
      </c>
      <c r="Q706" s="46">
        <f t="shared" si="74"/>
        <v>0</v>
      </c>
      <c r="R706" s="46">
        <f t="shared" si="75"/>
        <v>0</v>
      </c>
      <c r="S706" s="46" t="e">
        <f t="shared" si="76"/>
        <v>#VALUE!</v>
      </c>
      <c r="T706" s="677">
        <f t="shared" si="77"/>
        <v>0</v>
      </c>
      <c r="U706" s="80">
        <f>(IF(O706="Stofire",(S706*#REF!),0))+(IF(O706="Fire Control",(S706*$U$2),0))+(IF(O706="Fire Tex",(S706*$U$3),0))+(IF(O706="WB7",(S706*#REF!),0)+(IF(O706="FX 2003",(S706*$U$5),0)))</f>
        <v>0</v>
      </c>
      <c r="V706" s="651">
        <f t="shared" si="78"/>
        <v>0</v>
      </c>
    </row>
    <row r="707" spans="4:22" x14ac:dyDescent="0.25">
      <c r="D707" s="118">
        <f>+CUBICACION!D706</f>
        <v>0</v>
      </c>
      <c r="E707" s="118">
        <f>+CUBICACION!F706</f>
        <v>0</v>
      </c>
      <c r="F707" s="118">
        <f>+CUBICACION!E706</f>
        <v>0</v>
      </c>
      <c r="G707" s="118">
        <v>12</v>
      </c>
      <c r="H707" s="118">
        <v>2</v>
      </c>
      <c r="I707" s="820">
        <v>26385</v>
      </c>
      <c r="J707" s="118">
        <f>+CUBICACION!J706</f>
        <v>0</v>
      </c>
      <c r="K707" s="118">
        <v>3486</v>
      </c>
      <c r="L707" s="118">
        <f>+CUBICACION!L706</f>
        <v>0</v>
      </c>
      <c r="M707" s="64">
        <f>+CUBICACION!M706</f>
        <v>0</v>
      </c>
      <c r="N707" s="824" t="str">
        <f>+CUBICACION!N706</f>
        <v/>
      </c>
      <c r="O707" s="675">
        <f>+CUBICACION!O706</f>
        <v>0</v>
      </c>
      <c r="P707" s="15">
        <f>IF(O707="Fire Control",VLOOKUP(_xlfn.MINIFS('FIRE CONTROL'!$C$4:$C$37,'FIRE CONTROL'!$C$4:$C$37,"&gt;="&amp;M707),'FIRE CONTROL'!$C$4:$G$37,IF(L707="F-15",2,IF(L707="F-30",3,IF(L707="F-60",4,IF(L707="F-90",5,0)))),0),0)+IF(AND(O707="FIRE TEX 5062",OR(E707="IN",E707="C",E707="Z",E707="L"),J707=3),VLOOKUP(_xlfn.MINIFS('FIRE TEX 5062'!$B$4:$B$34,'FIRE TEX 5062'!$B$4:$B$34,"&gt;="&amp;M707),'FIRE TEX 5062'!$B$4:$F$34,IF(L707="F-15",2,IF(L707="F-30",3,IF(L707="F-60",4,IF(L707="F-90",5,0)))),0),0)+IF(AND(O707="FIRE TEX 5062",OR(E707="IN",E707="C",E707="Z",E707="L"),J707=4),VLOOKUP(_xlfn.MINIFS('FIRE TEX 5062'!$G$4:$G$34,'FIRE TEX 5062'!$G$4:$G$34,"&gt;="&amp;M707),'FIRE TEX 5062'!$G$4:$K$34,IF(L707="F-15",2,IF(L707="F-30",3,IF(L707="F-60",4,IF(L707="F-90",5,0)))),0),0)+IF(AND(O707="FIRE TEX 5062",E707="CJ",J707=3),VLOOKUP(_xlfn.MINIFS('FIRE TEX 5062'!$L$4:$L$34,'FIRE TEX 5062'!$L$4:$L$34,"&gt;="&amp;M707),'FIRE TEX 5062'!$L$4:$P$34,IF(L707="F-15",2,IF(L707="F-30",3,IF(L707="F-60",4,IF(L707="F-90",5,0)))),0),0)+IF(AND(O707="FIRE TEX 5062",E707="CJ",J707=4),VLOOKUP(_xlfn.MINIFS('FIRE TEX 5062'!$Q$3:$Q$34,'FIRE TEX 5062'!$Q$3:$Q$34,"&gt;="&amp;M707),'FIRE TEX 5062'!$Q$3:$U$34,IF(L707="F-15",2,IF(L707="F-30",3,IF(L707="F-60",4,IF(L707="F-90",5,0)))),0),0)+IF(AND(O707="FIRE TEX 5090",OR(E707="IN",E707="C",E707="Z",E707="L"),J707=3),VLOOKUP(_xlfn.MINIFS('FIRE TEX 5090'!$B$5:$B$43,'FIRE TEX 5090'!$B$5:$B$43,"&gt;="&amp;M707),'FIRE TEX 5090'!$B$5:$H$43,IF(L707="F-15",2,IF(L707="F-30",3,IF(L707="F-60",4,IF(L707="F-90",5,IF(L707="F-120",6,IF(L707="F-150",7,0)))))),0),0)+IF(AND(O707="FIRE TEX 5090",OR(E707="IN",E707="C",E707="Z",E707="L"),J707=4),VLOOKUP(_xlfn.MINIFS('FIRE TEX 5090'!$J$5:$J$43,'FIRE TEX 5090'!$J$5:$J$43,"&gt;="&amp;M707),'FIRE TEX 5090'!$J$5:$P$43,IF(L707="F-15",2,IF(L707="F-30",3,IF(L707="F-60",4,IF(L707="F-90",5,IF(L707="F-120",6,IF(L707="F-150",7,0)))))),0),0)+IF(AND(O707="FIRE TEX 5090",E707="CJ",J707=3),VLOOKUP(_xlfn.MINIFS('FIRE TEX 5090'!$R$5:$R$30,'FIRE TEX 5090'!$R$5:$R$30,"&gt;="&amp;M707),'FIRE TEX 5090'!$R$5:$W$30,IF(L707="F-15",2,IF(L707="F-30",3,IF(L707="F-60",4,IF(L707="F-90",5,IF(L707="F-120",6,IF(L707="F-150",7,0)))))),0),0)+IF(AND(O707="FIRE TEX 5090",E707="CJ",J707=4),VLOOKUP(_xlfn.MINIFS('FIRE TEX 5090'!$Y$5:$Y$39,'FIRE TEX 5090'!$Y$5:$Y$39,"&gt;="&amp;M707),'FIRE TEX 5090'!$Y$5:$AD$39,IF(L707="F-15",2,IF(L707="F-30",3,IF(L707="F-60",4,IF(L707="F-90",5,IF(L707="F-120",6,IF(L707="F-150",7,0)))))),0),0)+IF(AND(O707="FIRE TEX 5120",OR(E707="IN",E707="C",E707="Z",E707="L"),J707=3),VLOOKUP(_xlfn.MINIFS('FIRE TEX 5120'!$B$5:$B$40,'FIRE TEX 5120'!$B$5:$B$40,"&gt;="&amp;M707),'FIRE TEX 5120'!$B$5:$G$40,IF(L707="F-15",2,IF(L707="F-30",3,IF(L707="F-60",4,IF(L707="F-90",5,IF(L707="F-120",6,0))))),0),0)+IF(AND(O707="FIRE TEX 5120",OR(E707="IN",E707="C",E707="Z",E707="L"),J707=4),VLOOKUP(_xlfn.MINIFS('FIRE TEX 5120'!$H$4:$H$40,'FIRE TEX 5120'!$H$4:$H$40,"&gt;="&amp;M707),'FIRE TEX 5120'!$H$4:$M$40,IF(L707="F-15",2,IF(L707="F-30",3,IF(L707="F-60",4,IF(L707="F-90",5,IF(L707="F-120",6,0))))),0),0)+IF(AND(O707="FIRE TEX 5120",E707="CJ"),VLOOKUP(_xlfn.MINIFS('FIRE TEX 5120'!$O$5:$O$40,'FIRE TEX 5120'!$O$5:$O$40,"&gt;="&amp;M707),'FIRE TEX 5120'!$O$5:$T$40,IF(L707="F-15",2,IF(L707="F-30",3,IF(L707="F-60",4,IF(L707="F-90",5,IF(L707="F-120",6,0))))),0),0)</f>
        <v>0</v>
      </c>
      <c r="Q707" s="46">
        <f t="shared" si="74"/>
        <v>0</v>
      </c>
      <c r="R707" s="46">
        <f t="shared" si="75"/>
        <v>0</v>
      </c>
      <c r="S707" s="46" t="e">
        <f t="shared" si="76"/>
        <v>#VALUE!</v>
      </c>
      <c r="T707" s="677">
        <f t="shared" si="77"/>
        <v>0</v>
      </c>
      <c r="U707" s="80">
        <f>(IF(O707="Stofire",(S707*#REF!),0))+(IF(O707="Fire Control",(S707*$U$2),0))+(IF(O707="Fire Tex",(S707*$U$3),0))+(IF(O707="WB7",(S707*#REF!),0)+(IF(O707="FX 2003",(S707*$U$5),0)))</f>
        <v>0</v>
      </c>
      <c r="V707" s="651">
        <f t="shared" si="78"/>
        <v>0</v>
      </c>
    </row>
    <row r="708" spans="4:22" x14ac:dyDescent="0.25">
      <c r="D708" s="118">
        <f>+CUBICACION!D707</f>
        <v>0</v>
      </c>
      <c r="E708" s="118">
        <f>+CUBICACION!F707</f>
        <v>0</v>
      </c>
      <c r="F708" s="118">
        <f>+CUBICACION!E707</f>
        <v>0</v>
      </c>
      <c r="G708" s="118">
        <v>12</v>
      </c>
      <c r="H708" s="118">
        <v>2</v>
      </c>
      <c r="I708" s="820">
        <v>26385</v>
      </c>
      <c r="J708" s="118">
        <f>+CUBICACION!J707</f>
        <v>0</v>
      </c>
      <c r="K708" s="118">
        <v>3487</v>
      </c>
      <c r="L708" s="118">
        <f>+CUBICACION!L707</f>
        <v>0</v>
      </c>
      <c r="M708" s="64">
        <f>+CUBICACION!M707</f>
        <v>0</v>
      </c>
      <c r="N708" s="824" t="str">
        <f>+CUBICACION!N707</f>
        <v/>
      </c>
      <c r="O708" s="675">
        <f>+CUBICACION!O707</f>
        <v>0</v>
      </c>
      <c r="P708" s="15">
        <f>IF(O708="Fire Control",VLOOKUP(_xlfn.MINIFS('FIRE CONTROL'!$C$4:$C$37,'FIRE CONTROL'!$C$4:$C$37,"&gt;="&amp;M708),'FIRE CONTROL'!$C$4:$G$37,IF(L708="F-15",2,IF(L708="F-30",3,IF(L708="F-60",4,IF(L708="F-90",5,0)))),0),0)+IF(AND(O708="FIRE TEX 5062",OR(E708="IN",E708="C",E708="Z",E708="L"),J708=3),VLOOKUP(_xlfn.MINIFS('FIRE TEX 5062'!$B$4:$B$34,'FIRE TEX 5062'!$B$4:$B$34,"&gt;="&amp;M708),'FIRE TEX 5062'!$B$4:$F$34,IF(L708="F-15",2,IF(L708="F-30",3,IF(L708="F-60",4,IF(L708="F-90",5,0)))),0),0)+IF(AND(O708="FIRE TEX 5062",OR(E708="IN",E708="C",E708="Z",E708="L"),J708=4),VLOOKUP(_xlfn.MINIFS('FIRE TEX 5062'!$G$4:$G$34,'FIRE TEX 5062'!$G$4:$G$34,"&gt;="&amp;M708),'FIRE TEX 5062'!$G$4:$K$34,IF(L708="F-15",2,IF(L708="F-30",3,IF(L708="F-60",4,IF(L708="F-90",5,0)))),0),0)+IF(AND(O708="FIRE TEX 5062",E708="CJ",J708=3),VLOOKUP(_xlfn.MINIFS('FIRE TEX 5062'!$L$4:$L$34,'FIRE TEX 5062'!$L$4:$L$34,"&gt;="&amp;M708),'FIRE TEX 5062'!$L$4:$P$34,IF(L708="F-15",2,IF(L708="F-30",3,IF(L708="F-60",4,IF(L708="F-90",5,0)))),0),0)+IF(AND(O708="FIRE TEX 5062",E708="CJ",J708=4),VLOOKUP(_xlfn.MINIFS('FIRE TEX 5062'!$Q$3:$Q$34,'FIRE TEX 5062'!$Q$3:$Q$34,"&gt;="&amp;M708),'FIRE TEX 5062'!$Q$3:$U$34,IF(L708="F-15",2,IF(L708="F-30",3,IF(L708="F-60",4,IF(L708="F-90",5,0)))),0),0)+IF(AND(O708="FIRE TEX 5090",OR(E708="IN",E708="C",E708="Z",E708="L"),J708=3),VLOOKUP(_xlfn.MINIFS('FIRE TEX 5090'!$B$5:$B$43,'FIRE TEX 5090'!$B$5:$B$43,"&gt;="&amp;M708),'FIRE TEX 5090'!$B$5:$H$43,IF(L708="F-15",2,IF(L708="F-30",3,IF(L708="F-60",4,IF(L708="F-90",5,IF(L708="F-120",6,IF(L708="F-150",7,0)))))),0),0)+IF(AND(O708="FIRE TEX 5090",OR(E708="IN",E708="C",E708="Z",E708="L"),J708=4),VLOOKUP(_xlfn.MINIFS('FIRE TEX 5090'!$J$5:$J$43,'FIRE TEX 5090'!$J$5:$J$43,"&gt;="&amp;M708),'FIRE TEX 5090'!$J$5:$P$43,IF(L708="F-15",2,IF(L708="F-30",3,IF(L708="F-60",4,IF(L708="F-90",5,IF(L708="F-120",6,IF(L708="F-150",7,0)))))),0),0)+IF(AND(O708="FIRE TEX 5090",E708="CJ",J708=3),VLOOKUP(_xlfn.MINIFS('FIRE TEX 5090'!$R$5:$R$30,'FIRE TEX 5090'!$R$5:$R$30,"&gt;="&amp;M708),'FIRE TEX 5090'!$R$5:$W$30,IF(L708="F-15",2,IF(L708="F-30",3,IF(L708="F-60",4,IF(L708="F-90",5,IF(L708="F-120",6,IF(L708="F-150",7,0)))))),0),0)+IF(AND(O708="FIRE TEX 5090",E708="CJ",J708=4),VLOOKUP(_xlfn.MINIFS('FIRE TEX 5090'!$Y$5:$Y$39,'FIRE TEX 5090'!$Y$5:$Y$39,"&gt;="&amp;M708),'FIRE TEX 5090'!$Y$5:$AD$39,IF(L708="F-15",2,IF(L708="F-30",3,IF(L708="F-60",4,IF(L708="F-90",5,IF(L708="F-120",6,IF(L708="F-150",7,0)))))),0),0)+IF(AND(O708="FIRE TEX 5120",OR(E708="IN",E708="C",E708="Z",E708="L"),J708=3),VLOOKUP(_xlfn.MINIFS('FIRE TEX 5120'!$B$5:$B$40,'FIRE TEX 5120'!$B$5:$B$40,"&gt;="&amp;M708),'FIRE TEX 5120'!$B$5:$G$40,IF(L708="F-15",2,IF(L708="F-30",3,IF(L708="F-60",4,IF(L708="F-90",5,IF(L708="F-120",6,0))))),0),0)+IF(AND(O708="FIRE TEX 5120",OR(E708="IN",E708="C",E708="Z",E708="L"),J708=4),VLOOKUP(_xlfn.MINIFS('FIRE TEX 5120'!$H$4:$H$40,'FIRE TEX 5120'!$H$4:$H$40,"&gt;="&amp;M708),'FIRE TEX 5120'!$H$4:$M$40,IF(L708="F-15",2,IF(L708="F-30",3,IF(L708="F-60",4,IF(L708="F-90",5,IF(L708="F-120",6,0))))),0),0)+IF(AND(O708="FIRE TEX 5120",E708="CJ"),VLOOKUP(_xlfn.MINIFS('FIRE TEX 5120'!$O$5:$O$40,'FIRE TEX 5120'!$O$5:$O$40,"&gt;="&amp;M708),'FIRE TEX 5120'!$O$5:$T$40,IF(L708="F-15",2,IF(L708="F-30",3,IF(L708="F-60",4,IF(L708="F-90",5,IF(L708="F-120",6,0))))),0),0)</f>
        <v>0</v>
      </c>
      <c r="Q708" s="46">
        <f t="shared" si="74"/>
        <v>0</v>
      </c>
      <c r="R708" s="46">
        <f t="shared" si="75"/>
        <v>0</v>
      </c>
      <c r="S708" s="46" t="e">
        <f t="shared" si="76"/>
        <v>#VALUE!</v>
      </c>
      <c r="T708" s="677">
        <f t="shared" si="77"/>
        <v>0</v>
      </c>
      <c r="U708" s="80">
        <f>(IF(O708="Stofire",(S708*#REF!),0))+(IF(O708="Fire Control",(S708*$U$2),0))+(IF(O708="Fire Tex",(S708*$U$3),0))+(IF(O708="WB7",(S708*#REF!),0)+(IF(O708="FX 2003",(S708*$U$5),0)))</f>
        <v>0</v>
      </c>
      <c r="V708" s="651">
        <f t="shared" si="78"/>
        <v>0</v>
      </c>
    </row>
    <row r="709" spans="4:22" x14ac:dyDescent="0.25">
      <c r="D709" s="118">
        <f>+CUBICACION!D708</f>
        <v>0</v>
      </c>
      <c r="E709" s="118">
        <f>+CUBICACION!F708</f>
        <v>0</v>
      </c>
      <c r="F709" s="118">
        <f>+CUBICACION!E708</f>
        <v>0</v>
      </c>
      <c r="G709" s="118">
        <v>12</v>
      </c>
      <c r="H709" s="118">
        <v>2</v>
      </c>
      <c r="I709" s="820">
        <v>26385</v>
      </c>
      <c r="J709" s="118">
        <f>+CUBICACION!J708</f>
        <v>0</v>
      </c>
      <c r="K709" s="118">
        <v>3488</v>
      </c>
      <c r="L709" s="118">
        <f>+CUBICACION!L708</f>
        <v>0</v>
      </c>
      <c r="M709" s="64">
        <f>+CUBICACION!M708</f>
        <v>0</v>
      </c>
      <c r="N709" s="824" t="str">
        <f>+CUBICACION!N708</f>
        <v/>
      </c>
      <c r="O709" s="675">
        <f>+CUBICACION!O708</f>
        <v>0</v>
      </c>
      <c r="P709" s="15">
        <f>IF(O709="Fire Control",VLOOKUP(_xlfn.MINIFS('FIRE CONTROL'!$C$4:$C$37,'FIRE CONTROL'!$C$4:$C$37,"&gt;="&amp;M709),'FIRE CONTROL'!$C$4:$G$37,IF(L709="F-15",2,IF(L709="F-30",3,IF(L709="F-60",4,IF(L709="F-90",5,0)))),0),0)+IF(AND(O709="FIRE TEX 5062",OR(E709="IN",E709="C",E709="Z",E709="L"),J709=3),VLOOKUP(_xlfn.MINIFS('FIRE TEX 5062'!$B$4:$B$34,'FIRE TEX 5062'!$B$4:$B$34,"&gt;="&amp;M709),'FIRE TEX 5062'!$B$4:$F$34,IF(L709="F-15",2,IF(L709="F-30",3,IF(L709="F-60",4,IF(L709="F-90",5,0)))),0),0)+IF(AND(O709="FIRE TEX 5062",OR(E709="IN",E709="C",E709="Z",E709="L"),J709=4),VLOOKUP(_xlfn.MINIFS('FIRE TEX 5062'!$G$4:$G$34,'FIRE TEX 5062'!$G$4:$G$34,"&gt;="&amp;M709),'FIRE TEX 5062'!$G$4:$K$34,IF(L709="F-15",2,IF(L709="F-30",3,IF(L709="F-60",4,IF(L709="F-90",5,0)))),0),0)+IF(AND(O709="FIRE TEX 5062",E709="CJ",J709=3),VLOOKUP(_xlfn.MINIFS('FIRE TEX 5062'!$L$4:$L$34,'FIRE TEX 5062'!$L$4:$L$34,"&gt;="&amp;M709),'FIRE TEX 5062'!$L$4:$P$34,IF(L709="F-15",2,IF(L709="F-30",3,IF(L709="F-60",4,IF(L709="F-90",5,0)))),0),0)+IF(AND(O709="FIRE TEX 5062",E709="CJ",J709=4),VLOOKUP(_xlfn.MINIFS('FIRE TEX 5062'!$Q$3:$Q$34,'FIRE TEX 5062'!$Q$3:$Q$34,"&gt;="&amp;M709),'FIRE TEX 5062'!$Q$3:$U$34,IF(L709="F-15",2,IF(L709="F-30",3,IF(L709="F-60",4,IF(L709="F-90",5,0)))),0),0)+IF(AND(O709="FIRE TEX 5090",OR(E709="IN",E709="C",E709="Z",E709="L"),J709=3),VLOOKUP(_xlfn.MINIFS('FIRE TEX 5090'!$B$5:$B$43,'FIRE TEX 5090'!$B$5:$B$43,"&gt;="&amp;M709),'FIRE TEX 5090'!$B$5:$H$43,IF(L709="F-15",2,IF(L709="F-30",3,IF(L709="F-60",4,IF(L709="F-90",5,IF(L709="F-120",6,IF(L709="F-150",7,0)))))),0),0)+IF(AND(O709="FIRE TEX 5090",OR(E709="IN",E709="C",E709="Z",E709="L"),J709=4),VLOOKUP(_xlfn.MINIFS('FIRE TEX 5090'!$J$5:$J$43,'FIRE TEX 5090'!$J$5:$J$43,"&gt;="&amp;M709),'FIRE TEX 5090'!$J$5:$P$43,IF(L709="F-15",2,IF(L709="F-30",3,IF(L709="F-60",4,IF(L709="F-90",5,IF(L709="F-120",6,IF(L709="F-150",7,0)))))),0),0)+IF(AND(O709="FIRE TEX 5090",E709="CJ",J709=3),VLOOKUP(_xlfn.MINIFS('FIRE TEX 5090'!$R$5:$R$30,'FIRE TEX 5090'!$R$5:$R$30,"&gt;="&amp;M709),'FIRE TEX 5090'!$R$5:$W$30,IF(L709="F-15",2,IF(L709="F-30",3,IF(L709="F-60",4,IF(L709="F-90",5,IF(L709="F-120",6,IF(L709="F-150",7,0)))))),0),0)+IF(AND(O709="FIRE TEX 5090",E709="CJ",J709=4),VLOOKUP(_xlfn.MINIFS('FIRE TEX 5090'!$Y$5:$Y$39,'FIRE TEX 5090'!$Y$5:$Y$39,"&gt;="&amp;M709),'FIRE TEX 5090'!$Y$5:$AD$39,IF(L709="F-15",2,IF(L709="F-30",3,IF(L709="F-60",4,IF(L709="F-90",5,IF(L709="F-120",6,IF(L709="F-150",7,0)))))),0),0)+IF(AND(O709="FIRE TEX 5120",OR(E709="IN",E709="C",E709="Z",E709="L"),J709=3),VLOOKUP(_xlfn.MINIFS('FIRE TEX 5120'!$B$5:$B$40,'FIRE TEX 5120'!$B$5:$B$40,"&gt;="&amp;M709),'FIRE TEX 5120'!$B$5:$G$40,IF(L709="F-15",2,IF(L709="F-30",3,IF(L709="F-60",4,IF(L709="F-90",5,IF(L709="F-120",6,0))))),0),0)+IF(AND(O709="FIRE TEX 5120",OR(E709="IN",E709="C",E709="Z",E709="L"),J709=4),VLOOKUP(_xlfn.MINIFS('FIRE TEX 5120'!$H$4:$H$40,'FIRE TEX 5120'!$H$4:$H$40,"&gt;="&amp;M709),'FIRE TEX 5120'!$H$4:$M$40,IF(L709="F-15",2,IF(L709="F-30",3,IF(L709="F-60",4,IF(L709="F-90",5,IF(L709="F-120",6,0))))),0),0)+IF(AND(O709="FIRE TEX 5120",E709="CJ"),VLOOKUP(_xlfn.MINIFS('FIRE TEX 5120'!$O$5:$O$40,'FIRE TEX 5120'!$O$5:$O$40,"&gt;="&amp;M709),'FIRE TEX 5120'!$O$5:$T$40,IF(L709="F-15",2,IF(L709="F-30",3,IF(L709="F-60",4,IF(L709="F-90",5,IF(L709="F-120",6,0))))),0),0)</f>
        <v>0</v>
      </c>
      <c r="Q709" s="46">
        <f t="shared" si="74"/>
        <v>0</v>
      </c>
      <c r="R709" s="46">
        <f t="shared" si="75"/>
        <v>0</v>
      </c>
      <c r="S709" s="46" t="e">
        <f t="shared" si="76"/>
        <v>#VALUE!</v>
      </c>
      <c r="T709" s="677">
        <f t="shared" si="77"/>
        <v>0</v>
      </c>
      <c r="U709" s="80">
        <f>(IF(O709="Stofire",(S709*#REF!),0))+(IF(O709="Fire Control",(S709*$U$2),0))+(IF(O709="Fire Tex",(S709*$U$3),0))+(IF(O709="WB7",(S709*#REF!),0)+(IF(O709="FX 2003",(S709*$U$5),0)))</f>
        <v>0</v>
      </c>
      <c r="V709" s="651">
        <f t="shared" si="78"/>
        <v>0</v>
      </c>
    </row>
    <row r="710" spans="4:22" x14ac:dyDescent="0.25">
      <c r="D710" s="118">
        <f>+CUBICACION!D709</f>
        <v>0</v>
      </c>
      <c r="E710" s="118">
        <f>+CUBICACION!F709</f>
        <v>0</v>
      </c>
      <c r="F710" s="118">
        <f>+CUBICACION!E709</f>
        <v>0</v>
      </c>
      <c r="G710" s="118">
        <v>12</v>
      </c>
      <c r="H710" s="118">
        <v>2</v>
      </c>
      <c r="I710" s="820">
        <v>26385</v>
      </c>
      <c r="J710" s="118">
        <f>+CUBICACION!J709</f>
        <v>0</v>
      </c>
      <c r="K710" s="118">
        <v>3489</v>
      </c>
      <c r="L710" s="118">
        <f>+CUBICACION!L709</f>
        <v>0</v>
      </c>
      <c r="M710" s="64">
        <f>+CUBICACION!M709</f>
        <v>0</v>
      </c>
      <c r="N710" s="824" t="str">
        <f>+CUBICACION!N709</f>
        <v/>
      </c>
      <c r="O710" s="675">
        <f>+CUBICACION!O709</f>
        <v>0</v>
      </c>
      <c r="P710" s="15">
        <f>IF(O710="Fire Control",VLOOKUP(_xlfn.MINIFS('FIRE CONTROL'!$C$4:$C$37,'FIRE CONTROL'!$C$4:$C$37,"&gt;="&amp;M710),'FIRE CONTROL'!$C$4:$G$37,IF(L710="F-15",2,IF(L710="F-30",3,IF(L710="F-60",4,IF(L710="F-90",5,0)))),0),0)+IF(AND(O710="FIRE TEX 5062",OR(E710="IN",E710="C",E710="Z",E710="L"),J710=3),VLOOKUP(_xlfn.MINIFS('FIRE TEX 5062'!$B$4:$B$34,'FIRE TEX 5062'!$B$4:$B$34,"&gt;="&amp;M710),'FIRE TEX 5062'!$B$4:$F$34,IF(L710="F-15",2,IF(L710="F-30",3,IF(L710="F-60",4,IF(L710="F-90",5,0)))),0),0)+IF(AND(O710="FIRE TEX 5062",OR(E710="IN",E710="C",E710="Z",E710="L"),J710=4),VLOOKUP(_xlfn.MINIFS('FIRE TEX 5062'!$G$4:$G$34,'FIRE TEX 5062'!$G$4:$G$34,"&gt;="&amp;M710),'FIRE TEX 5062'!$G$4:$K$34,IF(L710="F-15",2,IF(L710="F-30",3,IF(L710="F-60",4,IF(L710="F-90",5,0)))),0),0)+IF(AND(O710="FIRE TEX 5062",E710="CJ",J710=3),VLOOKUP(_xlfn.MINIFS('FIRE TEX 5062'!$L$4:$L$34,'FIRE TEX 5062'!$L$4:$L$34,"&gt;="&amp;M710),'FIRE TEX 5062'!$L$4:$P$34,IF(L710="F-15",2,IF(L710="F-30",3,IF(L710="F-60",4,IF(L710="F-90",5,0)))),0),0)+IF(AND(O710="FIRE TEX 5062",E710="CJ",J710=4),VLOOKUP(_xlfn.MINIFS('FIRE TEX 5062'!$Q$3:$Q$34,'FIRE TEX 5062'!$Q$3:$Q$34,"&gt;="&amp;M710),'FIRE TEX 5062'!$Q$3:$U$34,IF(L710="F-15",2,IF(L710="F-30",3,IF(L710="F-60",4,IF(L710="F-90",5,0)))),0),0)+IF(AND(O710="FIRE TEX 5090",OR(E710="IN",E710="C",E710="Z",E710="L"),J710=3),VLOOKUP(_xlfn.MINIFS('FIRE TEX 5090'!$B$5:$B$43,'FIRE TEX 5090'!$B$5:$B$43,"&gt;="&amp;M710),'FIRE TEX 5090'!$B$5:$H$43,IF(L710="F-15",2,IF(L710="F-30",3,IF(L710="F-60",4,IF(L710="F-90",5,IF(L710="F-120",6,IF(L710="F-150",7,0)))))),0),0)+IF(AND(O710="FIRE TEX 5090",OR(E710="IN",E710="C",E710="Z",E710="L"),J710=4),VLOOKUP(_xlfn.MINIFS('FIRE TEX 5090'!$J$5:$J$43,'FIRE TEX 5090'!$J$5:$J$43,"&gt;="&amp;M710),'FIRE TEX 5090'!$J$5:$P$43,IF(L710="F-15",2,IF(L710="F-30",3,IF(L710="F-60",4,IF(L710="F-90",5,IF(L710="F-120",6,IF(L710="F-150",7,0)))))),0),0)+IF(AND(O710="FIRE TEX 5090",E710="CJ",J710=3),VLOOKUP(_xlfn.MINIFS('FIRE TEX 5090'!$R$5:$R$30,'FIRE TEX 5090'!$R$5:$R$30,"&gt;="&amp;M710),'FIRE TEX 5090'!$R$5:$W$30,IF(L710="F-15",2,IF(L710="F-30",3,IF(L710="F-60",4,IF(L710="F-90",5,IF(L710="F-120",6,IF(L710="F-150",7,0)))))),0),0)+IF(AND(O710="FIRE TEX 5090",E710="CJ",J710=4),VLOOKUP(_xlfn.MINIFS('FIRE TEX 5090'!$Y$5:$Y$39,'FIRE TEX 5090'!$Y$5:$Y$39,"&gt;="&amp;M710),'FIRE TEX 5090'!$Y$5:$AD$39,IF(L710="F-15",2,IF(L710="F-30",3,IF(L710="F-60",4,IF(L710="F-90",5,IF(L710="F-120",6,IF(L710="F-150",7,0)))))),0),0)+IF(AND(O710="FIRE TEX 5120",OR(E710="IN",E710="C",E710="Z",E710="L"),J710=3),VLOOKUP(_xlfn.MINIFS('FIRE TEX 5120'!$B$5:$B$40,'FIRE TEX 5120'!$B$5:$B$40,"&gt;="&amp;M710),'FIRE TEX 5120'!$B$5:$G$40,IF(L710="F-15",2,IF(L710="F-30",3,IF(L710="F-60",4,IF(L710="F-90",5,IF(L710="F-120",6,0))))),0),0)+IF(AND(O710="FIRE TEX 5120",OR(E710="IN",E710="C",E710="Z",E710="L"),J710=4),VLOOKUP(_xlfn.MINIFS('FIRE TEX 5120'!$H$4:$H$40,'FIRE TEX 5120'!$H$4:$H$40,"&gt;="&amp;M710),'FIRE TEX 5120'!$H$4:$M$40,IF(L710="F-15",2,IF(L710="F-30",3,IF(L710="F-60",4,IF(L710="F-90",5,IF(L710="F-120",6,0))))),0),0)+IF(AND(O710="FIRE TEX 5120",E710="CJ"),VLOOKUP(_xlfn.MINIFS('FIRE TEX 5120'!$O$5:$O$40,'FIRE TEX 5120'!$O$5:$O$40,"&gt;="&amp;M710),'FIRE TEX 5120'!$O$5:$T$40,IF(L710="F-15",2,IF(L710="F-30",3,IF(L710="F-60",4,IF(L710="F-90",5,IF(L710="F-120",6,0))))),0),0)</f>
        <v>0</v>
      </c>
      <c r="Q710" s="46">
        <f t="shared" si="74"/>
        <v>0</v>
      </c>
      <c r="R710" s="46">
        <f t="shared" si="75"/>
        <v>0</v>
      </c>
      <c r="S710" s="46" t="e">
        <f t="shared" si="76"/>
        <v>#VALUE!</v>
      </c>
      <c r="T710" s="677">
        <f t="shared" si="77"/>
        <v>0</v>
      </c>
      <c r="U710" s="80">
        <f>(IF(O710="Stofire",(S710*#REF!),0))+(IF(O710="Fire Control",(S710*$U$2),0))+(IF(O710="Fire Tex",(S710*$U$3),0))+(IF(O710="WB7",(S710*#REF!),0)+(IF(O710="FX 2003",(S710*$U$5),0)))</f>
        <v>0</v>
      </c>
      <c r="V710" s="651">
        <f t="shared" si="78"/>
        <v>0</v>
      </c>
    </row>
    <row r="711" spans="4:22" x14ac:dyDescent="0.25">
      <c r="D711" s="118">
        <f>+CUBICACION!D710</f>
        <v>0</v>
      </c>
      <c r="E711" s="118">
        <f>+CUBICACION!F710</f>
        <v>0</v>
      </c>
      <c r="F711" s="118">
        <f>+CUBICACION!E710</f>
        <v>0</v>
      </c>
      <c r="G711" s="118">
        <v>12</v>
      </c>
      <c r="H711" s="118">
        <v>2</v>
      </c>
      <c r="I711" s="820">
        <v>26385</v>
      </c>
      <c r="J711" s="118">
        <f>+CUBICACION!J710</f>
        <v>0</v>
      </c>
      <c r="K711" s="118">
        <v>3490</v>
      </c>
      <c r="L711" s="118">
        <f>+CUBICACION!L710</f>
        <v>0</v>
      </c>
      <c r="M711" s="64">
        <f>+CUBICACION!M710</f>
        <v>0</v>
      </c>
      <c r="N711" s="824" t="str">
        <f>+CUBICACION!N710</f>
        <v/>
      </c>
      <c r="O711" s="675">
        <f>+CUBICACION!O710</f>
        <v>0</v>
      </c>
      <c r="P711" s="15">
        <f>IF(O711="Fire Control",VLOOKUP(_xlfn.MINIFS('FIRE CONTROL'!$C$4:$C$37,'FIRE CONTROL'!$C$4:$C$37,"&gt;="&amp;M711),'FIRE CONTROL'!$C$4:$G$37,IF(L711="F-15",2,IF(L711="F-30",3,IF(L711="F-60",4,IF(L711="F-90",5,0)))),0),0)+IF(AND(O711="FIRE TEX 5062",OR(E711="IN",E711="C",E711="Z",E711="L"),J711=3),VLOOKUP(_xlfn.MINIFS('FIRE TEX 5062'!$B$4:$B$34,'FIRE TEX 5062'!$B$4:$B$34,"&gt;="&amp;M711),'FIRE TEX 5062'!$B$4:$F$34,IF(L711="F-15",2,IF(L711="F-30",3,IF(L711="F-60",4,IF(L711="F-90",5,0)))),0),0)+IF(AND(O711="FIRE TEX 5062",OR(E711="IN",E711="C",E711="Z",E711="L"),J711=4),VLOOKUP(_xlfn.MINIFS('FIRE TEX 5062'!$G$4:$G$34,'FIRE TEX 5062'!$G$4:$G$34,"&gt;="&amp;M711),'FIRE TEX 5062'!$G$4:$K$34,IF(L711="F-15",2,IF(L711="F-30",3,IF(L711="F-60",4,IF(L711="F-90",5,0)))),0),0)+IF(AND(O711="FIRE TEX 5062",E711="CJ",J711=3),VLOOKUP(_xlfn.MINIFS('FIRE TEX 5062'!$L$4:$L$34,'FIRE TEX 5062'!$L$4:$L$34,"&gt;="&amp;M711),'FIRE TEX 5062'!$L$4:$P$34,IF(L711="F-15",2,IF(L711="F-30",3,IF(L711="F-60",4,IF(L711="F-90",5,0)))),0),0)+IF(AND(O711="FIRE TEX 5062",E711="CJ",J711=4),VLOOKUP(_xlfn.MINIFS('FIRE TEX 5062'!$Q$3:$Q$34,'FIRE TEX 5062'!$Q$3:$Q$34,"&gt;="&amp;M711),'FIRE TEX 5062'!$Q$3:$U$34,IF(L711="F-15",2,IF(L711="F-30",3,IF(L711="F-60",4,IF(L711="F-90",5,0)))),0),0)+IF(AND(O711="FIRE TEX 5090",OR(E711="IN",E711="C",E711="Z",E711="L"),J711=3),VLOOKUP(_xlfn.MINIFS('FIRE TEX 5090'!$B$5:$B$43,'FIRE TEX 5090'!$B$5:$B$43,"&gt;="&amp;M711),'FIRE TEX 5090'!$B$5:$H$43,IF(L711="F-15",2,IF(L711="F-30",3,IF(L711="F-60",4,IF(L711="F-90",5,IF(L711="F-120",6,IF(L711="F-150",7,0)))))),0),0)+IF(AND(O711="FIRE TEX 5090",OR(E711="IN",E711="C",E711="Z",E711="L"),J711=4),VLOOKUP(_xlfn.MINIFS('FIRE TEX 5090'!$J$5:$J$43,'FIRE TEX 5090'!$J$5:$J$43,"&gt;="&amp;M711),'FIRE TEX 5090'!$J$5:$P$43,IF(L711="F-15",2,IF(L711="F-30",3,IF(L711="F-60",4,IF(L711="F-90",5,IF(L711="F-120",6,IF(L711="F-150",7,0)))))),0),0)+IF(AND(O711="FIRE TEX 5090",E711="CJ",J711=3),VLOOKUP(_xlfn.MINIFS('FIRE TEX 5090'!$R$5:$R$30,'FIRE TEX 5090'!$R$5:$R$30,"&gt;="&amp;M711),'FIRE TEX 5090'!$R$5:$W$30,IF(L711="F-15",2,IF(L711="F-30",3,IF(L711="F-60",4,IF(L711="F-90",5,IF(L711="F-120",6,IF(L711="F-150",7,0)))))),0),0)+IF(AND(O711="FIRE TEX 5090",E711="CJ",J711=4),VLOOKUP(_xlfn.MINIFS('FIRE TEX 5090'!$Y$5:$Y$39,'FIRE TEX 5090'!$Y$5:$Y$39,"&gt;="&amp;M711),'FIRE TEX 5090'!$Y$5:$AD$39,IF(L711="F-15",2,IF(L711="F-30",3,IF(L711="F-60",4,IF(L711="F-90",5,IF(L711="F-120",6,IF(L711="F-150",7,0)))))),0),0)+IF(AND(O711="FIRE TEX 5120",OR(E711="IN",E711="C",E711="Z",E711="L"),J711=3),VLOOKUP(_xlfn.MINIFS('FIRE TEX 5120'!$B$5:$B$40,'FIRE TEX 5120'!$B$5:$B$40,"&gt;="&amp;M711),'FIRE TEX 5120'!$B$5:$G$40,IF(L711="F-15",2,IF(L711="F-30",3,IF(L711="F-60",4,IF(L711="F-90",5,IF(L711="F-120",6,0))))),0),0)+IF(AND(O711="FIRE TEX 5120",OR(E711="IN",E711="C",E711="Z",E711="L"),J711=4),VLOOKUP(_xlfn.MINIFS('FIRE TEX 5120'!$H$4:$H$40,'FIRE TEX 5120'!$H$4:$H$40,"&gt;="&amp;M711),'FIRE TEX 5120'!$H$4:$M$40,IF(L711="F-15",2,IF(L711="F-30",3,IF(L711="F-60",4,IF(L711="F-90",5,IF(L711="F-120",6,0))))),0),0)+IF(AND(O711="FIRE TEX 5120",E711="CJ"),VLOOKUP(_xlfn.MINIFS('FIRE TEX 5120'!$O$5:$O$40,'FIRE TEX 5120'!$O$5:$O$40,"&gt;="&amp;M711),'FIRE TEX 5120'!$O$5:$T$40,IF(L711="F-15",2,IF(L711="F-30",3,IF(L711="F-60",4,IF(L711="F-90",5,IF(L711="F-120",6,0))))),0),0)</f>
        <v>0</v>
      </c>
      <c r="Q711" s="46">
        <f t="shared" si="74"/>
        <v>0</v>
      </c>
      <c r="R711" s="46">
        <f t="shared" si="75"/>
        <v>0</v>
      </c>
      <c r="S711" s="46" t="e">
        <f t="shared" si="76"/>
        <v>#VALUE!</v>
      </c>
      <c r="T711" s="677">
        <f t="shared" si="77"/>
        <v>0</v>
      </c>
      <c r="U711" s="80">
        <f>(IF(O711="Stofire",(S711*#REF!),0))+(IF(O711="Fire Control",(S711*$U$2),0))+(IF(O711="Fire Tex",(S711*$U$3),0))+(IF(O711="WB7",(S711*#REF!),0)+(IF(O711="FX 2003",(S711*$U$5),0)))</f>
        <v>0</v>
      </c>
      <c r="V711" s="651">
        <f t="shared" si="78"/>
        <v>0</v>
      </c>
    </row>
    <row r="712" spans="4:22" x14ac:dyDescent="0.25">
      <c r="D712" s="118">
        <f>+CUBICACION!D711</f>
        <v>0</v>
      </c>
      <c r="E712" s="118">
        <f>+CUBICACION!F711</f>
        <v>0</v>
      </c>
      <c r="F712" s="118">
        <f>+CUBICACION!E711</f>
        <v>0</v>
      </c>
      <c r="G712" s="118">
        <v>12</v>
      </c>
      <c r="H712" s="118">
        <v>2</v>
      </c>
      <c r="I712" s="820">
        <v>26385</v>
      </c>
      <c r="J712" s="118">
        <f>+CUBICACION!J711</f>
        <v>0</v>
      </c>
      <c r="K712" s="118">
        <v>3491</v>
      </c>
      <c r="L712" s="118">
        <f>+CUBICACION!L711</f>
        <v>0</v>
      </c>
      <c r="M712" s="64">
        <f>+CUBICACION!M711</f>
        <v>0</v>
      </c>
      <c r="N712" s="824" t="str">
        <f>+CUBICACION!N711</f>
        <v/>
      </c>
      <c r="O712" s="675">
        <f>+CUBICACION!O711</f>
        <v>0</v>
      </c>
      <c r="P712" s="15">
        <f>IF(O712="Fire Control",VLOOKUP(_xlfn.MINIFS('FIRE CONTROL'!$C$4:$C$37,'FIRE CONTROL'!$C$4:$C$37,"&gt;="&amp;M712),'FIRE CONTROL'!$C$4:$G$37,IF(L712="F-15",2,IF(L712="F-30",3,IF(L712="F-60",4,IF(L712="F-90",5,0)))),0),0)+IF(AND(O712="FIRE TEX 5062",OR(E712="IN",E712="C",E712="Z",E712="L"),J712=3),VLOOKUP(_xlfn.MINIFS('FIRE TEX 5062'!$B$4:$B$34,'FIRE TEX 5062'!$B$4:$B$34,"&gt;="&amp;M712),'FIRE TEX 5062'!$B$4:$F$34,IF(L712="F-15",2,IF(L712="F-30",3,IF(L712="F-60",4,IF(L712="F-90",5,0)))),0),0)+IF(AND(O712="FIRE TEX 5062",OR(E712="IN",E712="C",E712="Z",E712="L"),J712=4),VLOOKUP(_xlfn.MINIFS('FIRE TEX 5062'!$G$4:$G$34,'FIRE TEX 5062'!$G$4:$G$34,"&gt;="&amp;M712),'FIRE TEX 5062'!$G$4:$K$34,IF(L712="F-15",2,IF(L712="F-30",3,IF(L712="F-60",4,IF(L712="F-90",5,0)))),0),0)+IF(AND(O712="FIRE TEX 5062",E712="CJ",J712=3),VLOOKUP(_xlfn.MINIFS('FIRE TEX 5062'!$L$4:$L$34,'FIRE TEX 5062'!$L$4:$L$34,"&gt;="&amp;M712),'FIRE TEX 5062'!$L$4:$P$34,IF(L712="F-15",2,IF(L712="F-30",3,IF(L712="F-60",4,IF(L712="F-90",5,0)))),0),0)+IF(AND(O712="FIRE TEX 5062",E712="CJ",J712=4),VLOOKUP(_xlfn.MINIFS('FIRE TEX 5062'!$Q$3:$Q$34,'FIRE TEX 5062'!$Q$3:$Q$34,"&gt;="&amp;M712),'FIRE TEX 5062'!$Q$3:$U$34,IF(L712="F-15",2,IF(L712="F-30",3,IF(L712="F-60",4,IF(L712="F-90",5,0)))),0),0)+IF(AND(O712="FIRE TEX 5090",OR(E712="IN",E712="C",E712="Z",E712="L"),J712=3),VLOOKUP(_xlfn.MINIFS('FIRE TEX 5090'!$B$5:$B$43,'FIRE TEX 5090'!$B$5:$B$43,"&gt;="&amp;M712),'FIRE TEX 5090'!$B$5:$H$43,IF(L712="F-15",2,IF(L712="F-30",3,IF(L712="F-60",4,IF(L712="F-90",5,IF(L712="F-120",6,IF(L712="F-150",7,0)))))),0),0)+IF(AND(O712="FIRE TEX 5090",OR(E712="IN",E712="C",E712="Z",E712="L"),J712=4),VLOOKUP(_xlfn.MINIFS('FIRE TEX 5090'!$J$5:$J$43,'FIRE TEX 5090'!$J$5:$J$43,"&gt;="&amp;M712),'FIRE TEX 5090'!$J$5:$P$43,IF(L712="F-15",2,IF(L712="F-30",3,IF(L712="F-60",4,IF(L712="F-90",5,IF(L712="F-120",6,IF(L712="F-150",7,0)))))),0),0)+IF(AND(O712="FIRE TEX 5090",E712="CJ",J712=3),VLOOKUP(_xlfn.MINIFS('FIRE TEX 5090'!$R$5:$R$30,'FIRE TEX 5090'!$R$5:$R$30,"&gt;="&amp;M712),'FIRE TEX 5090'!$R$5:$W$30,IF(L712="F-15",2,IF(L712="F-30",3,IF(L712="F-60",4,IF(L712="F-90",5,IF(L712="F-120",6,IF(L712="F-150",7,0)))))),0),0)+IF(AND(O712="FIRE TEX 5090",E712="CJ",J712=4),VLOOKUP(_xlfn.MINIFS('FIRE TEX 5090'!$Y$5:$Y$39,'FIRE TEX 5090'!$Y$5:$Y$39,"&gt;="&amp;M712),'FIRE TEX 5090'!$Y$5:$AD$39,IF(L712="F-15",2,IF(L712="F-30",3,IF(L712="F-60",4,IF(L712="F-90",5,IF(L712="F-120",6,IF(L712="F-150",7,0)))))),0),0)+IF(AND(O712="FIRE TEX 5120",OR(E712="IN",E712="C",E712="Z",E712="L"),J712=3),VLOOKUP(_xlfn.MINIFS('FIRE TEX 5120'!$B$5:$B$40,'FIRE TEX 5120'!$B$5:$B$40,"&gt;="&amp;M712),'FIRE TEX 5120'!$B$5:$G$40,IF(L712="F-15",2,IF(L712="F-30",3,IF(L712="F-60",4,IF(L712="F-90",5,IF(L712="F-120",6,0))))),0),0)+IF(AND(O712="FIRE TEX 5120",OR(E712="IN",E712="C",E712="Z",E712="L"),J712=4),VLOOKUP(_xlfn.MINIFS('FIRE TEX 5120'!$H$4:$H$40,'FIRE TEX 5120'!$H$4:$H$40,"&gt;="&amp;M712),'FIRE TEX 5120'!$H$4:$M$40,IF(L712="F-15",2,IF(L712="F-30",3,IF(L712="F-60",4,IF(L712="F-90",5,IF(L712="F-120",6,0))))),0),0)+IF(AND(O712="FIRE TEX 5120",E712="CJ"),VLOOKUP(_xlfn.MINIFS('FIRE TEX 5120'!$O$5:$O$40,'FIRE TEX 5120'!$O$5:$O$40,"&gt;="&amp;M712),'FIRE TEX 5120'!$O$5:$T$40,IF(L712="F-15",2,IF(L712="F-30",3,IF(L712="F-60",4,IF(L712="F-90",5,IF(L712="F-120",6,0))))),0),0)</f>
        <v>0</v>
      </c>
      <c r="Q712" s="46">
        <f t="shared" si="74"/>
        <v>0</v>
      </c>
      <c r="R712" s="46">
        <f t="shared" si="75"/>
        <v>0</v>
      </c>
      <c r="S712" s="46" t="e">
        <f t="shared" si="76"/>
        <v>#VALUE!</v>
      </c>
      <c r="T712" s="677">
        <f t="shared" si="77"/>
        <v>0</v>
      </c>
      <c r="U712" s="80">
        <f>(IF(O712="Stofire",(S712*#REF!),0))+(IF(O712="Fire Control",(S712*$U$2),0))+(IF(O712="Fire Tex",(S712*$U$3),0))+(IF(O712="WB7",(S712*#REF!),0)+(IF(O712="FX 2003",(S712*$U$5),0)))</f>
        <v>0</v>
      </c>
      <c r="V712" s="651">
        <f t="shared" si="78"/>
        <v>0</v>
      </c>
    </row>
    <row r="713" spans="4:22" x14ac:dyDescent="0.25">
      <c r="D713" s="118">
        <f>+CUBICACION!D712</f>
        <v>0</v>
      </c>
      <c r="E713" s="118">
        <f>+CUBICACION!F712</f>
        <v>0</v>
      </c>
      <c r="F713" s="118">
        <f>+CUBICACION!E712</f>
        <v>0</v>
      </c>
      <c r="G713" s="118">
        <v>12</v>
      </c>
      <c r="H713" s="118">
        <v>2</v>
      </c>
      <c r="I713" s="820">
        <v>26385</v>
      </c>
      <c r="J713" s="118">
        <f>+CUBICACION!J712</f>
        <v>0</v>
      </c>
      <c r="K713" s="118">
        <v>3492</v>
      </c>
      <c r="L713" s="118">
        <f>+CUBICACION!L712</f>
        <v>0</v>
      </c>
      <c r="M713" s="64">
        <f>+CUBICACION!M712</f>
        <v>0</v>
      </c>
      <c r="N713" s="824" t="str">
        <f>+CUBICACION!N712</f>
        <v/>
      </c>
      <c r="O713" s="675">
        <f>+CUBICACION!O712</f>
        <v>0</v>
      </c>
      <c r="P713" s="15">
        <f>IF(O713="Fire Control",VLOOKUP(_xlfn.MINIFS('FIRE CONTROL'!$C$4:$C$37,'FIRE CONTROL'!$C$4:$C$37,"&gt;="&amp;M713),'FIRE CONTROL'!$C$4:$G$37,IF(L713="F-15",2,IF(L713="F-30",3,IF(L713="F-60",4,IF(L713="F-90",5,0)))),0),0)+IF(AND(O713="FIRE TEX 5062",OR(E713="IN",E713="C",E713="Z",E713="L"),J713=3),VLOOKUP(_xlfn.MINIFS('FIRE TEX 5062'!$B$4:$B$34,'FIRE TEX 5062'!$B$4:$B$34,"&gt;="&amp;M713),'FIRE TEX 5062'!$B$4:$F$34,IF(L713="F-15",2,IF(L713="F-30",3,IF(L713="F-60",4,IF(L713="F-90",5,0)))),0),0)+IF(AND(O713="FIRE TEX 5062",OR(E713="IN",E713="C",E713="Z",E713="L"),J713=4),VLOOKUP(_xlfn.MINIFS('FIRE TEX 5062'!$G$4:$G$34,'FIRE TEX 5062'!$G$4:$G$34,"&gt;="&amp;M713),'FIRE TEX 5062'!$G$4:$K$34,IF(L713="F-15",2,IF(L713="F-30",3,IF(L713="F-60",4,IF(L713="F-90",5,0)))),0),0)+IF(AND(O713="FIRE TEX 5062",E713="CJ",J713=3),VLOOKUP(_xlfn.MINIFS('FIRE TEX 5062'!$L$4:$L$34,'FIRE TEX 5062'!$L$4:$L$34,"&gt;="&amp;M713),'FIRE TEX 5062'!$L$4:$P$34,IF(L713="F-15",2,IF(L713="F-30",3,IF(L713="F-60",4,IF(L713="F-90",5,0)))),0),0)+IF(AND(O713="FIRE TEX 5062",E713="CJ",J713=4),VLOOKUP(_xlfn.MINIFS('FIRE TEX 5062'!$Q$3:$Q$34,'FIRE TEX 5062'!$Q$3:$Q$34,"&gt;="&amp;M713),'FIRE TEX 5062'!$Q$3:$U$34,IF(L713="F-15",2,IF(L713="F-30",3,IF(L713="F-60",4,IF(L713="F-90",5,0)))),0),0)+IF(AND(O713="FIRE TEX 5090",OR(E713="IN",E713="C",E713="Z",E713="L"),J713=3),VLOOKUP(_xlfn.MINIFS('FIRE TEX 5090'!$B$5:$B$43,'FIRE TEX 5090'!$B$5:$B$43,"&gt;="&amp;M713),'FIRE TEX 5090'!$B$5:$H$43,IF(L713="F-15",2,IF(L713="F-30",3,IF(L713="F-60",4,IF(L713="F-90",5,IF(L713="F-120",6,IF(L713="F-150",7,0)))))),0),0)+IF(AND(O713="FIRE TEX 5090",OR(E713="IN",E713="C",E713="Z",E713="L"),J713=4),VLOOKUP(_xlfn.MINIFS('FIRE TEX 5090'!$J$5:$J$43,'FIRE TEX 5090'!$J$5:$J$43,"&gt;="&amp;M713),'FIRE TEX 5090'!$J$5:$P$43,IF(L713="F-15",2,IF(L713="F-30",3,IF(L713="F-60",4,IF(L713="F-90",5,IF(L713="F-120",6,IF(L713="F-150",7,0)))))),0),0)+IF(AND(O713="FIRE TEX 5090",E713="CJ",J713=3),VLOOKUP(_xlfn.MINIFS('FIRE TEX 5090'!$R$5:$R$30,'FIRE TEX 5090'!$R$5:$R$30,"&gt;="&amp;M713),'FIRE TEX 5090'!$R$5:$W$30,IF(L713="F-15",2,IF(L713="F-30",3,IF(L713="F-60",4,IF(L713="F-90",5,IF(L713="F-120",6,IF(L713="F-150",7,0)))))),0),0)+IF(AND(O713="FIRE TEX 5090",E713="CJ",J713=4),VLOOKUP(_xlfn.MINIFS('FIRE TEX 5090'!$Y$5:$Y$39,'FIRE TEX 5090'!$Y$5:$Y$39,"&gt;="&amp;M713),'FIRE TEX 5090'!$Y$5:$AD$39,IF(L713="F-15",2,IF(L713="F-30",3,IF(L713="F-60",4,IF(L713="F-90",5,IF(L713="F-120",6,IF(L713="F-150",7,0)))))),0),0)+IF(AND(O713="FIRE TEX 5120",OR(E713="IN",E713="C",E713="Z",E713="L"),J713=3),VLOOKUP(_xlfn.MINIFS('FIRE TEX 5120'!$B$5:$B$40,'FIRE TEX 5120'!$B$5:$B$40,"&gt;="&amp;M713),'FIRE TEX 5120'!$B$5:$G$40,IF(L713="F-15",2,IF(L713="F-30",3,IF(L713="F-60",4,IF(L713="F-90",5,IF(L713="F-120",6,0))))),0),0)+IF(AND(O713="FIRE TEX 5120",OR(E713="IN",E713="C",E713="Z",E713="L"),J713=4),VLOOKUP(_xlfn.MINIFS('FIRE TEX 5120'!$H$4:$H$40,'FIRE TEX 5120'!$H$4:$H$40,"&gt;="&amp;M713),'FIRE TEX 5120'!$H$4:$M$40,IF(L713="F-15",2,IF(L713="F-30",3,IF(L713="F-60",4,IF(L713="F-90",5,IF(L713="F-120",6,0))))),0),0)+IF(AND(O713="FIRE TEX 5120",E713="CJ"),VLOOKUP(_xlfn.MINIFS('FIRE TEX 5120'!$O$5:$O$40,'FIRE TEX 5120'!$O$5:$O$40,"&gt;="&amp;M713),'FIRE TEX 5120'!$O$5:$T$40,IF(L713="F-15",2,IF(L713="F-30",3,IF(L713="F-60",4,IF(L713="F-90",5,IF(L713="F-120",6,0))))),0),0)</f>
        <v>0</v>
      </c>
      <c r="Q713" s="46">
        <f t="shared" si="74"/>
        <v>0</v>
      </c>
      <c r="R713" s="46">
        <f t="shared" si="75"/>
        <v>0</v>
      </c>
      <c r="S713" s="46" t="e">
        <f t="shared" si="76"/>
        <v>#VALUE!</v>
      </c>
      <c r="T713" s="677">
        <f t="shared" si="77"/>
        <v>0</v>
      </c>
      <c r="U713" s="80">
        <f>(IF(O713="Stofire",(S713*#REF!),0))+(IF(O713="Fire Control",(S713*$U$2),0))+(IF(O713="Fire Tex",(S713*$U$3),0))+(IF(O713="WB7",(S713*#REF!),0)+(IF(O713="FX 2003",(S713*$U$5),0)))</f>
        <v>0</v>
      </c>
      <c r="V713" s="651">
        <f t="shared" si="78"/>
        <v>0</v>
      </c>
    </row>
    <row r="714" spans="4:22" x14ac:dyDescent="0.25">
      <c r="D714" s="118">
        <f>+CUBICACION!D713</f>
        <v>0</v>
      </c>
      <c r="E714" s="118">
        <f>+CUBICACION!F713</f>
        <v>0</v>
      </c>
      <c r="F714" s="118">
        <f>+CUBICACION!E713</f>
        <v>0</v>
      </c>
      <c r="G714" s="118">
        <v>12</v>
      </c>
      <c r="H714" s="118">
        <v>2</v>
      </c>
      <c r="I714" s="820">
        <v>26385</v>
      </c>
      <c r="J714" s="118">
        <f>+CUBICACION!J713</f>
        <v>0</v>
      </c>
      <c r="K714" s="118">
        <v>3493</v>
      </c>
      <c r="L714" s="118">
        <f>+CUBICACION!L713</f>
        <v>0</v>
      </c>
      <c r="M714" s="64">
        <f>+CUBICACION!M713</f>
        <v>0</v>
      </c>
      <c r="N714" s="824" t="str">
        <f>+CUBICACION!N713</f>
        <v/>
      </c>
      <c r="O714" s="675">
        <f>+CUBICACION!O713</f>
        <v>0</v>
      </c>
      <c r="P714" s="15">
        <f>IF(O714="Fire Control",VLOOKUP(_xlfn.MINIFS('FIRE CONTROL'!$C$4:$C$37,'FIRE CONTROL'!$C$4:$C$37,"&gt;="&amp;M714),'FIRE CONTROL'!$C$4:$G$37,IF(L714="F-15",2,IF(L714="F-30",3,IF(L714="F-60",4,IF(L714="F-90",5,0)))),0),0)+IF(AND(O714="FIRE TEX 5062",OR(E714="IN",E714="C",E714="Z",E714="L"),J714=3),VLOOKUP(_xlfn.MINIFS('FIRE TEX 5062'!$B$4:$B$34,'FIRE TEX 5062'!$B$4:$B$34,"&gt;="&amp;M714),'FIRE TEX 5062'!$B$4:$F$34,IF(L714="F-15",2,IF(L714="F-30",3,IF(L714="F-60",4,IF(L714="F-90",5,0)))),0),0)+IF(AND(O714="FIRE TEX 5062",OR(E714="IN",E714="C",E714="Z",E714="L"),J714=4),VLOOKUP(_xlfn.MINIFS('FIRE TEX 5062'!$G$4:$G$34,'FIRE TEX 5062'!$G$4:$G$34,"&gt;="&amp;M714),'FIRE TEX 5062'!$G$4:$K$34,IF(L714="F-15",2,IF(L714="F-30",3,IF(L714="F-60",4,IF(L714="F-90",5,0)))),0),0)+IF(AND(O714="FIRE TEX 5062",E714="CJ",J714=3),VLOOKUP(_xlfn.MINIFS('FIRE TEX 5062'!$L$4:$L$34,'FIRE TEX 5062'!$L$4:$L$34,"&gt;="&amp;M714),'FIRE TEX 5062'!$L$4:$P$34,IF(L714="F-15",2,IF(L714="F-30",3,IF(L714="F-60",4,IF(L714="F-90",5,0)))),0),0)+IF(AND(O714="FIRE TEX 5062",E714="CJ",J714=4),VLOOKUP(_xlfn.MINIFS('FIRE TEX 5062'!$Q$3:$Q$34,'FIRE TEX 5062'!$Q$3:$Q$34,"&gt;="&amp;M714),'FIRE TEX 5062'!$Q$3:$U$34,IF(L714="F-15",2,IF(L714="F-30",3,IF(L714="F-60",4,IF(L714="F-90",5,0)))),0),0)+IF(AND(O714="FIRE TEX 5090",OR(E714="IN",E714="C",E714="Z",E714="L"),J714=3),VLOOKUP(_xlfn.MINIFS('FIRE TEX 5090'!$B$5:$B$43,'FIRE TEX 5090'!$B$5:$B$43,"&gt;="&amp;M714),'FIRE TEX 5090'!$B$5:$H$43,IF(L714="F-15",2,IF(L714="F-30",3,IF(L714="F-60",4,IF(L714="F-90",5,IF(L714="F-120",6,IF(L714="F-150",7,0)))))),0),0)+IF(AND(O714="FIRE TEX 5090",OR(E714="IN",E714="C",E714="Z",E714="L"),J714=4),VLOOKUP(_xlfn.MINIFS('FIRE TEX 5090'!$J$5:$J$43,'FIRE TEX 5090'!$J$5:$J$43,"&gt;="&amp;M714),'FIRE TEX 5090'!$J$5:$P$43,IF(L714="F-15",2,IF(L714="F-30",3,IF(L714="F-60",4,IF(L714="F-90",5,IF(L714="F-120",6,IF(L714="F-150",7,0)))))),0),0)+IF(AND(O714="FIRE TEX 5090",E714="CJ",J714=3),VLOOKUP(_xlfn.MINIFS('FIRE TEX 5090'!$R$5:$R$30,'FIRE TEX 5090'!$R$5:$R$30,"&gt;="&amp;M714),'FIRE TEX 5090'!$R$5:$W$30,IF(L714="F-15",2,IF(L714="F-30",3,IF(L714="F-60",4,IF(L714="F-90",5,IF(L714="F-120",6,IF(L714="F-150",7,0)))))),0),0)+IF(AND(O714="FIRE TEX 5090",E714="CJ",J714=4),VLOOKUP(_xlfn.MINIFS('FIRE TEX 5090'!$Y$5:$Y$39,'FIRE TEX 5090'!$Y$5:$Y$39,"&gt;="&amp;M714),'FIRE TEX 5090'!$Y$5:$AD$39,IF(L714="F-15",2,IF(L714="F-30",3,IF(L714="F-60",4,IF(L714="F-90",5,IF(L714="F-120",6,IF(L714="F-150",7,0)))))),0),0)+IF(AND(O714="FIRE TEX 5120",OR(E714="IN",E714="C",E714="Z",E714="L"),J714=3),VLOOKUP(_xlfn.MINIFS('FIRE TEX 5120'!$B$5:$B$40,'FIRE TEX 5120'!$B$5:$B$40,"&gt;="&amp;M714),'FIRE TEX 5120'!$B$5:$G$40,IF(L714="F-15",2,IF(L714="F-30",3,IF(L714="F-60",4,IF(L714="F-90",5,IF(L714="F-120",6,0))))),0),0)+IF(AND(O714="FIRE TEX 5120",OR(E714="IN",E714="C",E714="Z",E714="L"),J714=4),VLOOKUP(_xlfn.MINIFS('FIRE TEX 5120'!$H$4:$H$40,'FIRE TEX 5120'!$H$4:$H$40,"&gt;="&amp;M714),'FIRE TEX 5120'!$H$4:$M$40,IF(L714="F-15",2,IF(L714="F-30",3,IF(L714="F-60",4,IF(L714="F-90",5,IF(L714="F-120",6,0))))),0),0)+IF(AND(O714="FIRE TEX 5120",E714="CJ"),VLOOKUP(_xlfn.MINIFS('FIRE TEX 5120'!$O$5:$O$40,'FIRE TEX 5120'!$O$5:$O$40,"&gt;="&amp;M714),'FIRE TEX 5120'!$O$5:$T$40,IF(L714="F-15",2,IF(L714="F-30",3,IF(L714="F-60",4,IF(L714="F-90",5,IF(L714="F-120",6,0))))),0),0)</f>
        <v>0</v>
      </c>
      <c r="Q714" s="46">
        <f t="shared" si="74"/>
        <v>0</v>
      </c>
      <c r="R714" s="46">
        <f t="shared" si="75"/>
        <v>0</v>
      </c>
      <c r="S714" s="46" t="e">
        <f t="shared" si="76"/>
        <v>#VALUE!</v>
      </c>
      <c r="T714" s="677">
        <f t="shared" si="77"/>
        <v>0</v>
      </c>
      <c r="U714" s="80">
        <f>(IF(O714="Stofire",(S714*#REF!),0))+(IF(O714="Fire Control",(S714*$U$2),0))+(IF(O714="Fire Tex",(S714*$U$3),0))+(IF(O714="WB7",(S714*#REF!),0)+(IF(O714="FX 2003",(S714*$U$5),0)))</f>
        <v>0</v>
      </c>
      <c r="V714" s="651">
        <f t="shared" si="78"/>
        <v>0</v>
      </c>
    </row>
    <row r="715" spans="4:22" x14ac:dyDescent="0.25">
      <c r="D715" s="118">
        <f>+CUBICACION!D714</f>
        <v>0</v>
      </c>
      <c r="E715" s="118">
        <f>+CUBICACION!F714</f>
        <v>0</v>
      </c>
      <c r="F715" s="118">
        <f>+CUBICACION!E714</f>
        <v>0</v>
      </c>
      <c r="G715" s="118">
        <v>12</v>
      </c>
      <c r="H715" s="118">
        <v>2</v>
      </c>
      <c r="I715" s="820">
        <v>26385</v>
      </c>
      <c r="J715" s="118">
        <f>+CUBICACION!J714</f>
        <v>0</v>
      </c>
      <c r="K715" s="118">
        <v>3494</v>
      </c>
      <c r="L715" s="118">
        <f>+CUBICACION!L714</f>
        <v>0</v>
      </c>
      <c r="M715" s="64">
        <f>+CUBICACION!M714</f>
        <v>0</v>
      </c>
      <c r="N715" s="824" t="str">
        <f>+CUBICACION!N714</f>
        <v/>
      </c>
      <c r="O715" s="675">
        <f>+CUBICACION!O714</f>
        <v>0</v>
      </c>
      <c r="P715" s="15">
        <f>IF(O715="Fire Control",VLOOKUP(_xlfn.MINIFS('FIRE CONTROL'!$C$4:$C$37,'FIRE CONTROL'!$C$4:$C$37,"&gt;="&amp;M715),'FIRE CONTROL'!$C$4:$G$37,IF(L715="F-15",2,IF(L715="F-30",3,IF(L715="F-60",4,IF(L715="F-90",5,0)))),0),0)+IF(AND(O715="FIRE TEX 5062",OR(E715="IN",E715="C",E715="Z",E715="L"),J715=3),VLOOKUP(_xlfn.MINIFS('FIRE TEX 5062'!$B$4:$B$34,'FIRE TEX 5062'!$B$4:$B$34,"&gt;="&amp;M715),'FIRE TEX 5062'!$B$4:$F$34,IF(L715="F-15",2,IF(L715="F-30",3,IF(L715="F-60",4,IF(L715="F-90",5,0)))),0),0)+IF(AND(O715="FIRE TEX 5062",OR(E715="IN",E715="C",E715="Z",E715="L"),J715=4),VLOOKUP(_xlfn.MINIFS('FIRE TEX 5062'!$G$4:$G$34,'FIRE TEX 5062'!$G$4:$G$34,"&gt;="&amp;M715),'FIRE TEX 5062'!$G$4:$K$34,IF(L715="F-15",2,IF(L715="F-30",3,IF(L715="F-60",4,IF(L715="F-90",5,0)))),0),0)+IF(AND(O715="FIRE TEX 5062",E715="CJ",J715=3),VLOOKUP(_xlfn.MINIFS('FIRE TEX 5062'!$L$4:$L$34,'FIRE TEX 5062'!$L$4:$L$34,"&gt;="&amp;M715),'FIRE TEX 5062'!$L$4:$P$34,IF(L715="F-15",2,IF(L715="F-30",3,IF(L715="F-60",4,IF(L715="F-90",5,0)))),0),0)+IF(AND(O715="FIRE TEX 5062",E715="CJ",J715=4),VLOOKUP(_xlfn.MINIFS('FIRE TEX 5062'!$Q$3:$Q$34,'FIRE TEX 5062'!$Q$3:$Q$34,"&gt;="&amp;M715),'FIRE TEX 5062'!$Q$3:$U$34,IF(L715="F-15",2,IF(L715="F-30",3,IF(L715="F-60",4,IF(L715="F-90",5,0)))),0),0)+IF(AND(O715="FIRE TEX 5090",OR(E715="IN",E715="C",E715="Z",E715="L"),J715=3),VLOOKUP(_xlfn.MINIFS('FIRE TEX 5090'!$B$5:$B$43,'FIRE TEX 5090'!$B$5:$B$43,"&gt;="&amp;M715),'FIRE TEX 5090'!$B$5:$H$43,IF(L715="F-15",2,IF(L715="F-30",3,IF(L715="F-60",4,IF(L715="F-90",5,IF(L715="F-120",6,IF(L715="F-150",7,0)))))),0),0)+IF(AND(O715="FIRE TEX 5090",OR(E715="IN",E715="C",E715="Z",E715="L"),J715=4),VLOOKUP(_xlfn.MINIFS('FIRE TEX 5090'!$J$5:$J$43,'FIRE TEX 5090'!$J$5:$J$43,"&gt;="&amp;M715),'FIRE TEX 5090'!$J$5:$P$43,IF(L715="F-15",2,IF(L715="F-30",3,IF(L715="F-60",4,IF(L715="F-90",5,IF(L715="F-120",6,IF(L715="F-150",7,0)))))),0),0)+IF(AND(O715="FIRE TEX 5090",E715="CJ",J715=3),VLOOKUP(_xlfn.MINIFS('FIRE TEX 5090'!$R$5:$R$30,'FIRE TEX 5090'!$R$5:$R$30,"&gt;="&amp;M715),'FIRE TEX 5090'!$R$5:$W$30,IF(L715="F-15",2,IF(L715="F-30",3,IF(L715="F-60",4,IF(L715="F-90",5,IF(L715="F-120",6,IF(L715="F-150",7,0)))))),0),0)+IF(AND(O715="FIRE TEX 5090",E715="CJ",J715=4),VLOOKUP(_xlfn.MINIFS('FIRE TEX 5090'!$Y$5:$Y$39,'FIRE TEX 5090'!$Y$5:$Y$39,"&gt;="&amp;M715),'FIRE TEX 5090'!$Y$5:$AD$39,IF(L715="F-15",2,IF(L715="F-30",3,IF(L715="F-60",4,IF(L715="F-90",5,IF(L715="F-120",6,IF(L715="F-150",7,0)))))),0),0)+IF(AND(O715="FIRE TEX 5120",OR(E715="IN",E715="C",E715="Z",E715="L"),J715=3),VLOOKUP(_xlfn.MINIFS('FIRE TEX 5120'!$B$5:$B$40,'FIRE TEX 5120'!$B$5:$B$40,"&gt;="&amp;M715),'FIRE TEX 5120'!$B$5:$G$40,IF(L715="F-15",2,IF(L715="F-30",3,IF(L715="F-60",4,IF(L715="F-90",5,IF(L715="F-120",6,0))))),0),0)+IF(AND(O715="FIRE TEX 5120",OR(E715="IN",E715="C",E715="Z",E715="L"),J715=4),VLOOKUP(_xlfn.MINIFS('FIRE TEX 5120'!$H$4:$H$40,'FIRE TEX 5120'!$H$4:$H$40,"&gt;="&amp;M715),'FIRE TEX 5120'!$H$4:$M$40,IF(L715="F-15",2,IF(L715="F-30",3,IF(L715="F-60",4,IF(L715="F-90",5,IF(L715="F-120",6,0))))),0),0)+IF(AND(O715="FIRE TEX 5120",E715="CJ"),VLOOKUP(_xlfn.MINIFS('FIRE TEX 5120'!$O$5:$O$40,'FIRE TEX 5120'!$O$5:$O$40,"&gt;="&amp;M715),'FIRE TEX 5120'!$O$5:$T$40,IF(L715="F-15",2,IF(L715="F-30",3,IF(L715="F-60",4,IF(L715="F-90",5,IF(L715="F-120",6,0))))),0),0)</f>
        <v>0</v>
      </c>
      <c r="Q715" s="46">
        <f t="shared" si="74"/>
        <v>0</v>
      </c>
      <c r="R715" s="46">
        <f t="shared" si="75"/>
        <v>0</v>
      </c>
      <c r="S715" s="46" t="e">
        <f t="shared" si="76"/>
        <v>#VALUE!</v>
      </c>
      <c r="T715" s="677">
        <f t="shared" si="77"/>
        <v>0</v>
      </c>
      <c r="U715" s="80">
        <f>(IF(O715="Stofire",(S715*#REF!),0))+(IF(O715="Fire Control",(S715*$U$2),0))+(IF(O715="Fire Tex",(S715*$U$3),0))+(IF(O715="WB7",(S715*#REF!),0)+(IF(O715="FX 2003",(S715*$U$5),0)))</f>
        <v>0</v>
      </c>
      <c r="V715" s="651">
        <f t="shared" si="78"/>
        <v>0</v>
      </c>
    </row>
    <row r="716" spans="4:22" x14ac:dyDescent="0.25">
      <c r="D716" s="118">
        <f>+CUBICACION!D715</f>
        <v>0</v>
      </c>
      <c r="E716" s="118">
        <f>+CUBICACION!F715</f>
        <v>0</v>
      </c>
      <c r="F716" s="118">
        <f>+CUBICACION!E715</f>
        <v>0</v>
      </c>
      <c r="G716" s="118">
        <v>12</v>
      </c>
      <c r="H716" s="118">
        <v>2</v>
      </c>
      <c r="I716" s="820">
        <v>26385</v>
      </c>
      <c r="J716" s="118">
        <f>+CUBICACION!J715</f>
        <v>0</v>
      </c>
      <c r="K716" s="118">
        <v>3495</v>
      </c>
      <c r="L716" s="118">
        <f>+CUBICACION!L715</f>
        <v>0</v>
      </c>
      <c r="M716" s="64">
        <f>+CUBICACION!M715</f>
        <v>0</v>
      </c>
      <c r="N716" s="824" t="str">
        <f>+CUBICACION!N715</f>
        <v/>
      </c>
      <c r="O716" s="675">
        <f>+CUBICACION!O715</f>
        <v>0</v>
      </c>
      <c r="P716" s="15">
        <f>IF(O716="Fire Control",VLOOKUP(_xlfn.MINIFS('FIRE CONTROL'!$C$4:$C$37,'FIRE CONTROL'!$C$4:$C$37,"&gt;="&amp;M716),'FIRE CONTROL'!$C$4:$G$37,IF(L716="F-15",2,IF(L716="F-30",3,IF(L716="F-60",4,IF(L716="F-90",5,0)))),0),0)+IF(AND(O716="FIRE TEX 5062",OR(E716="IN",E716="C",E716="Z",E716="L"),J716=3),VLOOKUP(_xlfn.MINIFS('FIRE TEX 5062'!$B$4:$B$34,'FIRE TEX 5062'!$B$4:$B$34,"&gt;="&amp;M716),'FIRE TEX 5062'!$B$4:$F$34,IF(L716="F-15",2,IF(L716="F-30",3,IF(L716="F-60",4,IF(L716="F-90",5,0)))),0),0)+IF(AND(O716="FIRE TEX 5062",OR(E716="IN",E716="C",E716="Z",E716="L"),J716=4),VLOOKUP(_xlfn.MINIFS('FIRE TEX 5062'!$G$4:$G$34,'FIRE TEX 5062'!$G$4:$G$34,"&gt;="&amp;M716),'FIRE TEX 5062'!$G$4:$K$34,IF(L716="F-15",2,IF(L716="F-30",3,IF(L716="F-60",4,IF(L716="F-90",5,0)))),0),0)+IF(AND(O716="FIRE TEX 5062",E716="CJ",J716=3),VLOOKUP(_xlfn.MINIFS('FIRE TEX 5062'!$L$4:$L$34,'FIRE TEX 5062'!$L$4:$L$34,"&gt;="&amp;M716),'FIRE TEX 5062'!$L$4:$P$34,IF(L716="F-15",2,IF(L716="F-30",3,IF(L716="F-60",4,IF(L716="F-90",5,0)))),0),0)+IF(AND(O716="FIRE TEX 5062",E716="CJ",J716=4),VLOOKUP(_xlfn.MINIFS('FIRE TEX 5062'!$Q$3:$Q$34,'FIRE TEX 5062'!$Q$3:$Q$34,"&gt;="&amp;M716),'FIRE TEX 5062'!$Q$3:$U$34,IF(L716="F-15",2,IF(L716="F-30",3,IF(L716="F-60",4,IF(L716="F-90",5,0)))),0),0)+IF(AND(O716="FIRE TEX 5090",OR(E716="IN",E716="C",E716="Z",E716="L"),J716=3),VLOOKUP(_xlfn.MINIFS('FIRE TEX 5090'!$B$5:$B$43,'FIRE TEX 5090'!$B$5:$B$43,"&gt;="&amp;M716),'FIRE TEX 5090'!$B$5:$H$43,IF(L716="F-15",2,IF(L716="F-30",3,IF(L716="F-60",4,IF(L716="F-90",5,IF(L716="F-120",6,IF(L716="F-150",7,0)))))),0),0)+IF(AND(O716="FIRE TEX 5090",OR(E716="IN",E716="C",E716="Z",E716="L"),J716=4),VLOOKUP(_xlfn.MINIFS('FIRE TEX 5090'!$J$5:$J$43,'FIRE TEX 5090'!$J$5:$J$43,"&gt;="&amp;M716),'FIRE TEX 5090'!$J$5:$P$43,IF(L716="F-15",2,IF(L716="F-30",3,IF(L716="F-60",4,IF(L716="F-90",5,IF(L716="F-120",6,IF(L716="F-150",7,0)))))),0),0)+IF(AND(O716="FIRE TEX 5090",E716="CJ",J716=3),VLOOKUP(_xlfn.MINIFS('FIRE TEX 5090'!$R$5:$R$30,'FIRE TEX 5090'!$R$5:$R$30,"&gt;="&amp;M716),'FIRE TEX 5090'!$R$5:$W$30,IF(L716="F-15",2,IF(L716="F-30",3,IF(L716="F-60",4,IF(L716="F-90",5,IF(L716="F-120",6,IF(L716="F-150",7,0)))))),0),0)+IF(AND(O716="FIRE TEX 5090",E716="CJ",J716=4),VLOOKUP(_xlfn.MINIFS('FIRE TEX 5090'!$Y$5:$Y$39,'FIRE TEX 5090'!$Y$5:$Y$39,"&gt;="&amp;M716),'FIRE TEX 5090'!$Y$5:$AD$39,IF(L716="F-15",2,IF(L716="F-30",3,IF(L716="F-60",4,IF(L716="F-90",5,IF(L716="F-120",6,IF(L716="F-150",7,0)))))),0),0)+IF(AND(O716="FIRE TEX 5120",OR(E716="IN",E716="C",E716="Z",E716="L"),J716=3),VLOOKUP(_xlfn.MINIFS('FIRE TEX 5120'!$B$5:$B$40,'FIRE TEX 5120'!$B$5:$B$40,"&gt;="&amp;M716),'FIRE TEX 5120'!$B$5:$G$40,IF(L716="F-15",2,IF(L716="F-30",3,IF(L716="F-60",4,IF(L716="F-90",5,IF(L716="F-120",6,0))))),0),0)+IF(AND(O716="FIRE TEX 5120",OR(E716="IN",E716="C",E716="Z",E716="L"),J716=4),VLOOKUP(_xlfn.MINIFS('FIRE TEX 5120'!$H$4:$H$40,'FIRE TEX 5120'!$H$4:$H$40,"&gt;="&amp;M716),'FIRE TEX 5120'!$H$4:$M$40,IF(L716="F-15",2,IF(L716="F-30",3,IF(L716="F-60",4,IF(L716="F-90",5,IF(L716="F-120",6,0))))),0),0)+IF(AND(O716="FIRE TEX 5120",E716="CJ"),VLOOKUP(_xlfn.MINIFS('FIRE TEX 5120'!$O$5:$O$40,'FIRE TEX 5120'!$O$5:$O$40,"&gt;="&amp;M716),'FIRE TEX 5120'!$O$5:$T$40,IF(L716="F-15",2,IF(L716="F-30",3,IF(L716="F-60",4,IF(L716="F-90",5,IF(L716="F-120",6,0))))),0),0)</f>
        <v>0</v>
      </c>
      <c r="Q716" s="46">
        <f t="shared" si="74"/>
        <v>0</v>
      </c>
      <c r="R716" s="46">
        <f t="shared" si="75"/>
        <v>0</v>
      </c>
      <c r="S716" s="46" t="e">
        <f t="shared" si="76"/>
        <v>#VALUE!</v>
      </c>
      <c r="T716" s="677">
        <f t="shared" si="77"/>
        <v>0</v>
      </c>
      <c r="U716" s="80">
        <f>(IF(O716="Stofire",(S716*#REF!),0))+(IF(O716="Fire Control",(S716*$U$2),0))+(IF(O716="Fire Tex",(S716*$U$3),0))+(IF(O716="WB7",(S716*#REF!),0)+(IF(O716="FX 2003",(S716*$U$5),0)))</f>
        <v>0</v>
      </c>
      <c r="V716" s="651">
        <f t="shared" si="78"/>
        <v>0</v>
      </c>
    </row>
    <row r="717" spans="4:22" x14ac:dyDescent="0.25">
      <c r="D717" s="118">
        <f>+CUBICACION!D716</f>
        <v>0</v>
      </c>
      <c r="E717" s="118">
        <f>+CUBICACION!F716</f>
        <v>0</v>
      </c>
      <c r="F717" s="118">
        <f>+CUBICACION!E716</f>
        <v>0</v>
      </c>
      <c r="G717" s="118">
        <v>12</v>
      </c>
      <c r="H717" s="118">
        <v>2</v>
      </c>
      <c r="I717" s="820">
        <v>26385</v>
      </c>
      <c r="J717" s="118">
        <f>+CUBICACION!J716</f>
        <v>0</v>
      </c>
      <c r="K717" s="118">
        <v>3496</v>
      </c>
      <c r="L717" s="118">
        <f>+CUBICACION!L716</f>
        <v>0</v>
      </c>
      <c r="M717" s="64">
        <f>+CUBICACION!M716</f>
        <v>0</v>
      </c>
      <c r="N717" s="824" t="str">
        <f>+CUBICACION!N716</f>
        <v/>
      </c>
      <c r="O717" s="675">
        <f>+CUBICACION!O716</f>
        <v>0</v>
      </c>
      <c r="P717" s="15">
        <f>IF(O717="Fire Control",VLOOKUP(_xlfn.MINIFS('FIRE CONTROL'!$C$4:$C$37,'FIRE CONTROL'!$C$4:$C$37,"&gt;="&amp;M717),'FIRE CONTROL'!$C$4:$G$37,IF(L717="F-15",2,IF(L717="F-30",3,IF(L717="F-60",4,IF(L717="F-90",5,0)))),0),0)+IF(AND(O717="FIRE TEX 5062",OR(E717="IN",E717="C",E717="Z",E717="L"),J717=3),VLOOKUP(_xlfn.MINIFS('FIRE TEX 5062'!$B$4:$B$34,'FIRE TEX 5062'!$B$4:$B$34,"&gt;="&amp;M717),'FIRE TEX 5062'!$B$4:$F$34,IF(L717="F-15",2,IF(L717="F-30",3,IF(L717="F-60",4,IF(L717="F-90",5,0)))),0),0)+IF(AND(O717="FIRE TEX 5062",OR(E717="IN",E717="C",E717="Z",E717="L"),J717=4),VLOOKUP(_xlfn.MINIFS('FIRE TEX 5062'!$G$4:$G$34,'FIRE TEX 5062'!$G$4:$G$34,"&gt;="&amp;M717),'FIRE TEX 5062'!$G$4:$K$34,IF(L717="F-15",2,IF(L717="F-30",3,IF(L717="F-60",4,IF(L717="F-90",5,0)))),0),0)+IF(AND(O717="FIRE TEX 5062",E717="CJ",J717=3),VLOOKUP(_xlfn.MINIFS('FIRE TEX 5062'!$L$4:$L$34,'FIRE TEX 5062'!$L$4:$L$34,"&gt;="&amp;M717),'FIRE TEX 5062'!$L$4:$P$34,IF(L717="F-15",2,IF(L717="F-30",3,IF(L717="F-60",4,IF(L717="F-90",5,0)))),0),0)+IF(AND(O717="FIRE TEX 5062",E717="CJ",J717=4),VLOOKUP(_xlfn.MINIFS('FIRE TEX 5062'!$Q$3:$Q$34,'FIRE TEX 5062'!$Q$3:$Q$34,"&gt;="&amp;M717),'FIRE TEX 5062'!$Q$3:$U$34,IF(L717="F-15",2,IF(L717="F-30",3,IF(L717="F-60",4,IF(L717="F-90",5,0)))),0),0)+IF(AND(O717="FIRE TEX 5090",OR(E717="IN",E717="C",E717="Z",E717="L"),J717=3),VLOOKUP(_xlfn.MINIFS('FIRE TEX 5090'!$B$5:$B$43,'FIRE TEX 5090'!$B$5:$B$43,"&gt;="&amp;M717),'FIRE TEX 5090'!$B$5:$H$43,IF(L717="F-15",2,IF(L717="F-30",3,IF(L717="F-60",4,IF(L717="F-90",5,IF(L717="F-120",6,IF(L717="F-150",7,0)))))),0),0)+IF(AND(O717="FIRE TEX 5090",OR(E717="IN",E717="C",E717="Z",E717="L"),J717=4),VLOOKUP(_xlfn.MINIFS('FIRE TEX 5090'!$J$5:$J$43,'FIRE TEX 5090'!$J$5:$J$43,"&gt;="&amp;M717),'FIRE TEX 5090'!$J$5:$P$43,IF(L717="F-15",2,IF(L717="F-30",3,IF(L717="F-60",4,IF(L717="F-90",5,IF(L717="F-120",6,IF(L717="F-150",7,0)))))),0),0)+IF(AND(O717="FIRE TEX 5090",E717="CJ",J717=3),VLOOKUP(_xlfn.MINIFS('FIRE TEX 5090'!$R$5:$R$30,'FIRE TEX 5090'!$R$5:$R$30,"&gt;="&amp;M717),'FIRE TEX 5090'!$R$5:$W$30,IF(L717="F-15",2,IF(L717="F-30",3,IF(L717="F-60",4,IF(L717="F-90",5,IF(L717="F-120",6,IF(L717="F-150",7,0)))))),0),0)+IF(AND(O717="FIRE TEX 5090",E717="CJ",J717=4),VLOOKUP(_xlfn.MINIFS('FIRE TEX 5090'!$Y$5:$Y$39,'FIRE TEX 5090'!$Y$5:$Y$39,"&gt;="&amp;M717),'FIRE TEX 5090'!$Y$5:$AD$39,IF(L717="F-15",2,IF(L717="F-30",3,IF(L717="F-60",4,IF(L717="F-90",5,IF(L717="F-120",6,IF(L717="F-150",7,0)))))),0),0)+IF(AND(O717="FIRE TEX 5120",OR(E717="IN",E717="C",E717="Z",E717="L"),J717=3),VLOOKUP(_xlfn.MINIFS('FIRE TEX 5120'!$B$5:$B$40,'FIRE TEX 5120'!$B$5:$B$40,"&gt;="&amp;M717),'FIRE TEX 5120'!$B$5:$G$40,IF(L717="F-15",2,IF(L717="F-30",3,IF(L717="F-60",4,IF(L717="F-90",5,IF(L717="F-120",6,0))))),0),0)+IF(AND(O717="FIRE TEX 5120",OR(E717="IN",E717="C",E717="Z",E717="L"),J717=4),VLOOKUP(_xlfn.MINIFS('FIRE TEX 5120'!$H$4:$H$40,'FIRE TEX 5120'!$H$4:$H$40,"&gt;="&amp;M717),'FIRE TEX 5120'!$H$4:$M$40,IF(L717="F-15",2,IF(L717="F-30",3,IF(L717="F-60",4,IF(L717="F-90",5,IF(L717="F-120",6,0))))),0),0)+IF(AND(O717="FIRE TEX 5120",E717="CJ"),VLOOKUP(_xlfn.MINIFS('FIRE TEX 5120'!$O$5:$O$40,'FIRE TEX 5120'!$O$5:$O$40,"&gt;="&amp;M717),'FIRE TEX 5120'!$O$5:$T$40,IF(L717="F-15",2,IF(L717="F-30",3,IF(L717="F-60",4,IF(L717="F-90",5,IF(L717="F-120",6,0))))),0),0)</f>
        <v>0</v>
      </c>
      <c r="Q717" s="46">
        <f t="shared" si="74"/>
        <v>0</v>
      </c>
      <c r="R717" s="46">
        <f t="shared" si="75"/>
        <v>0</v>
      </c>
      <c r="S717" s="46" t="e">
        <f t="shared" si="76"/>
        <v>#VALUE!</v>
      </c>
      <c r="T717" s="677">
        <f t="shared" si="77"/>
        <v>0</v>
      </c>
      <c r="U717" s="80">
        <f>(IF(O717="Stofire",(S717*#REF!),0))+(IF(O717="Fire Control",(S717*$U$2),0))+(IF(O717="Fire Tex",(S717*$U$3),0))+(IF(O717="WB7",(S717*#REF!),0)+(IF(O717="FX 2003",(S717*$U$5),0)))</f>
        <v>0</v>
      </c>
      <c r="V717" s="651">
        <f t="shared" si="78"/>
        <v>0</v>
      </c>
    </row>
    <row r="718" spans="4:22" x14ac:dyDescent="0.25">
      <c r="D718" s="118">
        <f>+CUBICACION!D717</f>
        <v>0</v>
      </c>
      <c r="E718" s="118">
        <f>+CUBICACION!F717</f>
        <v>0</v>
      </c>
      <c r="F718" s="118">
        <f>+CUBICACION!E717</f>
        <v>0</v>
      </c>
      <c r="G718" s="118">
        <v>12</v>
      </c>
      <c r="H718" s="118">
        <v>2</v>
      </c>
      <c r="I718" s="820">
        <v>26385</v>
      </c>
      <c r="J718" s="118">
        <f>+CUBICACION!J717</f>
        <v>0</v>
      </c>
      <c r="K718" s="118">
        <v>3497</v>
      </c>
      <c r="L718" s="118">
        <f>+CUBICACION!L717</f>
        <v>0</v>
      </c>
      <c r="M718" s="64">
        <f>+CUBICACION!M717</f>
        <v>0</v>
      </c>
      <c r="N718" s="824" t="str">
        <f>+CUBICACION!N717</f>
        <v/>
      </c>
      <c r="O718" s="675">
        <f>+CUBICACION!O717</f>
        <v>0</v>
      </c>
      <c r="P718" s="15">
        <f>IF(O718="Fire Control",VLOOKUP(_xlfn.MINIFS('FIRE CONTROL'!$C$4:$C$37,'FIRE CONTROL'!$C$4:$C$37,"&gt;="&amp;M718),'FIRE CONTROL'!$C$4:$G$37,IF(L718="F-15",2,IF(L718="F-30",3,IF(L718="F-60",4,IF(L718="F-90",5,0)))),0),0)+IF(AND(O718="FIRE TEX 5062",OR(E718="IN",E718="C",E718="Z",E718="L"),J718=3),VLOOKUP(_xlfn.MINIFS('FIRE TEX 5062'!$B$4:$B$34,'FIRE TEX 5062'!$B$4:$B$34,"&gt;="&amp;M718),'FIRE TEX 5062'!$B$4:$F$34,IF(L718="F-15",2,IF(L718="F-30",3,IF(L718="F-60",4,IF(L718="F-90",5,0)))),0),0)+IF(AND(O718="FIRE TEX 5062",OR(E718="IN",E718="C",E718="Z",E718="L"),J718=4),VLOOKUP(_xlfn.MINIFS('FIRE TEX 5062'!$G$4:$G$34,'FIRE TEX 5062'!$G$4:$G$34,"&gt;="&amp;M718),'FIRE TEX 5062'!$G$4:$K$34,IF(L718="F-15",2,IF(L718="F-30",3,IF(L718="F-60",4,IF(L718="F-90",5,0)))),0),0)+IF(AND(O718="FIRE TEX 5062",E718="CJ",J718=3),VLOOKUP(_xlfn.MINIFS('FIRE TEX 5062'!$L$4:$L$34,'FIRE TEX 5062'!$L$4:$L$34,"&gt;="&amp;M718),'FIRE TEX 5062'!$L$4:$P$34,IF(L718="F-15",2,IF(L718="F-30",3,IF(L718="F-60",4,IF(L718="F-90",5,0)))),0),0)+IF(AND(O718="FIRE TEX 5062",E718="CJ",J718=4),VLOOKUP(_xlfn.MINIFS('FIRE TEX 5062'!$Q$3:$Q$34,'FIRE TEX 5062'!$Q$3:$Q$34,"&gt;="&amp;M718),'FIRE TEX 5062'!$Q$3:$U$34,IF(L718="F-15",2,IF(L718="F-30",3,IF(L718="F-60",4,IF(L718="F-90",5,0)))),0),0)+IF(AND(O718="FIRE TEX 5090",OR(E718="IN",E718="C",E718="Z",E718="L"),J718=3),VLOOKUP(_xlfn.MINIFS('FIRE TEX 5090'!$B$5:$B$43,'FIRE TEX 5090'!$B$5:$B$43,"&gt;="&amp;M718),'FIRE TEX 5090'!$B$5:$H$43,IF(L718="F-15",2,IF(L718="F-30",3,IF(L718="F-60",4,IF(L718="F-90",5,IF(L718="F-120",6,IF(L718="F-150",7,0)))))),0),0)+IF(AND(O718="FIRE TEX 5090",OR(E718="IN",E718="C",E718="Z",E718="L"),J718=4),VLOOKUP(_xlfn.MINIFS('FIRE TEX 5090'!$J$5:$J$43,'FIRE TEX 5090'!$J$5:$J$43,"&gt;="&amp;M718),'FIRE TEX 5090'!$J$5:$P$43,IF(L718="F-15",2,IF(L718="F-30",3,IF(L718="F-60",4,IF(L718="F-90",5,IF(L718="F-120",6,IF(L718="F-150",7,0)))))),0),0)+IF(AND(O718="FIRE TEX 5090",E718="CJ",J718=3),VLOOKUP(_xlfn.MINIFS('FIRE TEX 5090'!$R$5:$R$30,'FIRE TEX 5090'!$R$5:$R$30,"&gt;="&amp;M718),'FIRE TEX 5090'!$R$5:$W$30,IF(L718="F-15",2,IF(L718="F-30",3,IF(L718="F-60",4,IF(L718="F-90",5,IF(L718="F-120",6,IF(L718="F-150",7,0)))))),0),0)+IF(AND(O718="FIRE TEX 5090",E718="CJ",J718=4),VLOOKUP(_xlfn.MINIFS('FIRE TEX 5090'!$Y$5:$Y$39,'FIRE TEX 5090'!$Y$5:$Y$39,"&gt;="&amp;M718),'FIRE TEX 5090'!$Y$5:$AD$39,IF(L718="F-15",2,IF(L718="F-30",3,IF(L718="F-60",4,IF(L718="F-90",5,IF(L718="F-120",6,IF(L718="F-150",7,0)))))),0),0)+IF(AND(O718="FIRE TEX 5120",OR(E718="IN",E718="C",E718="Z",E718="L"),J718=3),VLOOKUP(_xlfn.MINIFS('FIRE TEX 5120'!$B$5:$B$40,'FIRE TEX 5120'!$B$5:$B$40,"&gt;="&amp;M718),'FIRE TEX 5120'!$B$5:$G$40,IF(L718="F-15",2,IF(L718="F-30",3,IF(L718="F-60",4,IF(L718="F-90",5,IF(L718="F-120",6,0))))),0),0)+IF(AND(O718="FIRE TEX 5120",OR(E718="IN",E718="C",E718="Z",E718="L"),J718=4),VLOOKUP(_xlfn.MINIFS('FIRE TEX 5120'!$H$4:$H$40,'FIRE TEX 5120'!$H$4:$H$40,"&gt;="&amp;M718),'FIRE TEX 5120'!$H$4:$M$40,IF(L718="F-15",2,IF(L718="F-30",3,IF(L718="F-60",4,IF(L718="F-90",5,IF(L718="F-120",6,0))))),0),0)+IF(AND(O718="FIRE TEX 5120",E718="CJ"),VLOOKUP(_xlfn.MINIFS('FIRE TEX 5120'!$O$5:$O$40,'FIRE TEX 5120'!$O$5:$O$40,"&gt;="&amp;M718),'FIRE TEX 5120'!$O$5:$T$40,IF(L718="F-15",2,IF(L718="F-30",3,IF(L718="F-60",4,IF(L718="F-90",5,IF(L718="F-120",6,0))))),0),0)</f>
        <v>0</v>
      </c>
      <c r="Q718" s="46">
        <f t="shared" si="74"/>
        <v>0</v>
      </c>
      <c r="R718" s="46">
        <f t="shared" si="75"/>
        <v>0</v>
      </c>
      <c r="S718" s="46" t="e">
        <f t="shared" si="76"/>
        <v>#VALUE!</v>
      </c>
      <c r="T718" s="677">
        <f t="shared" si="77"/>
        <v>0</v>
      </c>
      <c r="U718" s="80">
        <f>(IF(O718="Stofire",(S718*#REF!),0))+(IF(O718="Fire Control",(S718*$U$2),0))+(IF(O718="Fire Tex",(S718*$U$3),0))+(IF(O718="WB7",(S718*#REF!),0)+(IF(O718="FX 2003",(S718*$U$5),0)))</f>
        <v>0</v>
      </c>
      <c r="V718" s="651">
        <f t="shared" si="78"/>
        <v>0</v>
      </c>
    </row>
    <row r="719" spans="4:22" x14ac:dyDescent="0.25">
      <c r="D719" s="118">
        <f>+CUBICACION!D718</f>
        <v>0</v>
      </c>
      <c r="E719" s="118">
        <f>+CUBICACION!F718</f>
        <v>0</v>
      </c>
      <c r="F719" s="118">
        <f>+CUBICACION!E718</f>
        <v>0</v>
      </c>
      <c r="G719" s="118">
        <v>12</v>
      </c>
      <c r="H719" s="118">
        <v>2</v>
      </c>
      <c r="I719" s="820">
        <v>26385</v>
      </c>
      <c r="J719" s="118">
        <f>+CUBICACION!J718</f>
        <v>0</v>
      </c>
      <c r="K719" s="118">
        <v>3498</v>
      </c>
      <c r="L719" s="118">
        <f>+CUBICACION!L718</f>
        <v>0</v>
      </c>
      <c r="M719" s="64">
        <f>+CUBICACION!M718</f>
        <v>0</v>
      </c>
      <c r="N719" s="824" t="str">
        <f>+CUBICACION!N718</f>
        <v/>
      </c>
      <c r="O719" s="675">
        <f>+CUBICACION!O718</f>
        <v>0</v>
      </c>
      <c r="P719" s="15">
        <f>IF(O719="Fire Control",VLOOKUP(_xlfn.MINIFS('FIRE CONTROL'!$C$4:$C$37,'FIRE CONTROL'!$C$4:$C$37,"&gt;="&amp;M719),'FIRE CONTROL'!$C$4:$G$37,IF(L719="F-15",2,IF(L719="F-30",3,IF(L719="F-60",4,IF(L719="F-90",5,0)))),0),0)+IF(AND(O719="FIRE TEX 5062",OR(E719="IN",E719="C",E719="Z",E719="L"),J719=3),VLOOKUP(_xlfn.MINIFS('FIRE TEX 5062'!$B$4:$B$34,'FIRE TEX 5062'!$B$4:$B$34,"&gt;="&amp;M719),'FIRE TEX 5062'!$B$4:$F$34,IF(L719="F-15",2,IF(L719="F-30",3,IF(L719="F-60",4,IF(L719="F-90",5,0)))),0),0)+IF(AND(O719="FIRE TEX 5062",OR(E719="IN",E719="C",E719="Z",E719="L"),J719=4),VLOOKUP(_xlfn.MINIFS('FIRE TEX 5062'!$G$4:$G$34,'FIRE TEX 5062'!$G$4:$G$34,"&gt;="&amp;M719),'FIRE TEX 5062'!$G$4:$K$34,IF(L719="F-15",2,IF(L719="F-30",3,IF(L719="F-60",4,IF(L719="F-90",5,0)))),0),0)+IF(AND(O719="FIRE TEX 5062",E719="CJ",J719=3),VLOOKUP(_xlfn.MINIFS('FIRE TEX 5062'!$L$4:$L$34,'FIRE TEX 5062'!$L$4:$L$34,"&gt;="&amp;M719),'FIRE TEX 5062'!$L$4:$P$34,IF(L719="F-15",2,IF(L719="F-30",3,IF(L719="F-60",4,IF(L719="F-90",5,0)))),0),0)+IF(AND(O719="FIRE TEX 5062",E719="CJ",J719=4),VLOOKUP(_xlfn.MINIFS('FIRE TEX 5062'!$Q$3:$Q$34,'FIRE TEX 5062'!$Q$3:$Q$34,"&gt;="&amp;M719),'FIRE TEX 5062'!$Q$3:$U$34,IF(L719="F-15",2,IF(L719="F-30",3,IF(L719="F-60",4,IF(L719="F-90",5,0)))),0),0)+IF(AND(O719="FIRE TEX 5090",OR(E719="IN",E719="C",E719="Z",E719="L"),J719=3),VLOOKUP(_xlfn.MINIFS('FIRE TEX 5090'!$B$5:$B$43,'FIRE TEX 5090'!$B$5:$B$43,"&gt;="&amp;M719),'FIRE TEX 5090'!$B$5:$H$43,IF(L719="F-15",2,IF(L719="F-30",3,IF(L719="F-60",4,IF(L719="F-90",5,IF(L719="F-120",6,IF(L719="F-150",7,0)))))),0),0)+IF(AND(O719="FIRE TEX 5090",OR(E719="IN",E719="C",E719="Z",E719="L"),J719=4),VLOOKUP(_xlfn.MINIFS('FIRE TEX 5090'!$J$5:$J$43,'FIRE TEX 5090'!$J$5:$J$43,"&gt;="&amp;M719),'FIRE TEX 5090'!$J$5:$P$43,IF(L719="F-15",2,IF(L719="F-30",3,IF(L719="F-60",4,IF(L719="F-90",5,IF(L719="F-120",6,IF(L719="F-150",7,0)))))),0),0)+IF(AND(O719="FIRE TEX 5090",E719="CJ",J719=3),VLOOKUP(_xlfn.MINIFS('FIRE TEX 5090'!$R$5:$R$30,'FIRE TEX 5090'!$R$5:$R$30,"&gt;="&amp;M719),'FIRE TEX 5090'!$R$5:$W$30,IF(L719="F-15",2,IF(L719="F-30",3,IF(L719="F-60",4,IF(L719="F-90",5,IF(L719="F-120",6,IF(L719="F-150",7,0)))))),0),0)+IF(AND(O719="FIRE TEX 5090",E719="CJ",J719=4),VLOOKUP(_xlfn.MINIFS('FIRE TEX 5090'!$Y$5:$Y$39,'FIRE TEX 5090'!$Y$5:$Y$39,"&gt;="&amp;M719),'FIRE TEX 5090'!$Y$5:$AD$39,IF(L719="F-15",2,IF(L719="F-30",3,IF(L719="F-60",4,IF(L719="F-90",5,IF(L719="F-120",6,IF(L719="F-150",7,0)))))),0),0)+IF(AND(O719="FIRE TEX 5120",OR(E719="IN",E719="C",E719="Z",E719="L"),J719=3),VLOOKUP(_xlfn.MINIFS('FIRE TEX 5120'!$B$5:$B$40,'FIRE TEX 5120'!$B$5:$B$40,"&gt;="&amp;M719),'FIRE TEX 5120'!$B$5:$G$40,IF(L719="F-15",2,IF(L719="F-30",3,IF(L719="F-60",4,IF(L719="F-90",5,IF(L719="F-120",6,0))))),0),0)+IF(AND(O719="FIRE TEX 5120",OR(E719="IN",E719="C",E719="Z",E719="L"),J719=4),VLOOKUP(_xlfn.MINIFS('FIRE TEX 5120'!$H$4:$H$40,'FIRE TEX 5120'!$H$4:$H$40,"&gt;="&amp;M719),'FIRE TEX 5120'!$H$4:$M$40,IF(L719="F-15",2,IF(L719="F-30",3,IF(L719="F-60",4,IF(L719="F-90",5,IF(L719="F-120",6,0))))),0),0)+IF(AND(O719="FIRE TEX 5120",E719="CJ"),VLOOKUP(_xlfn.MINIFS('FIRE TEX 5120'!$O$5:$O$40,'FIRE TEX 5120'!$O$5:$O$40,"&gt;="&amp;M719),'FIRE TEX 5120'!$O$5:$T$40,IF(L719="F-15",2,IF(L719="F-30",3,IF(L719="F-60",4,IF(L719="F-90",5,IF(L719="F-120",6,0))))),0),0)</f>
        <v>0</v>
      </c>
      <c r="Q719" s="46">
        <f t="shared" si="74"/>
        <v>0</v>
      </c>
      <c r="R719" s="46">
        <f t="shared" si="75"/>
        <v>0</v>
      </c>
      <c r="S719" s="46" t="e">
        <f t="shared" si="76"/>
        <v>#VALUE!</v>
      </c>
      <c r="T719" s="677">
        <f t="shared" si="77"/>
        <v>0</v>
      </c>
      <c r="U719" s="80">
        <f>(IF(O719="Stofire",(S719*#REF!),0))+(IF(O719="Fire Control",(S719*$U$2),0))+(IF(O719="Fire Tex",(S719*$U$3),0))+(IF(O719="WB7",(S719*#REF!),0)+(IF(O719="FX 2003",(S719*$U$5),0)))</f>
        <v>0</v>
      </c>
      <c r="V719" s="651">
        <f t="shared" si="78"/>
        <v>0</v>
      </c>
    </row>
    <row r="720" spans="4:22" x14ac:dyDescent="0.25">
      <c r="D720" s="118">
        <f>+CUBICACION!D719</f>
        <v>0</v>
      </c>
      <c r="E720" s="118">
        <f>+CUBICACION!F719</f>
        <v>0</v>
      </c>
      <c r="F720" s="118">
        <f>+CUBICACION!E719</f>
        <v>0</v>
      </c>
      <c r="G720" s="118">
        <v>12</v>
      </c>
      <c r="H720" s="118">
        <v>2</v>
      </c>
      <c r="I720" s="820">
        <v>26385</v>
      </c>
      <c r="J720" s="118">
        <f>+CUBICACION!J719</f>
        <v>0</v>
      </c>
      <c r="K720" s="118">
        <v>3499</v>
      </c>
      <c r="L720" s="118">
        <f>+CUBICACION!L719</f>
        <v>0</v>
      </c>
      <c r="M720" s="64">
        <f>+CUBICACION!M719</f>
        <v>0</v>
      </c>
      <c r="N720" s="824" t="str">
        <f>+CUBICACION!N719</f>
        <v/>
      </c>
      <c r="O720" s="675">
        <f>+CUBICACION!O719</f>
        <v>0</v>
      </c>
      <c r="P720" s="15">
        <f>IF(O720="Fire Control",VLOOKUP(_xlfn.MINIFS('FIRE CONTROL'!$C$4:$C$37,'FIRE CONTROL'!$C$4:$C$37,"&gt;="&amp;M720),'FIRE CONTROL'!$C$4:$G$37,IF(L720="F-15",2,IF(L720="F-30",3,IF(L720="F-60",4,IF(L720="F-90",5,0)))),0),0)+IF(AND(O720="FIRE TEX 5062",OR(E720="IN",E720="C",E720="Z",E720="L"),J720=3),VLOOKUP(_xlfn.MINIFS('FIRE TEX 5062'!$B$4:$B$34,'FIRE TEX 5062'!$B$4:$B$34,"&gt;="&amp;M720),'FIRE TEX 5062'!$B$4:$F$34,IF(L720="F-15",2,IF(L720="F-30",3,IF(L720="F-60",4,IF(L720="F-90",5,0)))),0),0)+IF(AND(O720="FIRE TEX 5062",OR(E720="IN",E720="C",E720="Z",E720="L"),J720=4),VLOOKUP(_xlfn.MINIFS('FIRE TEX 5062'!$G$4:$G$34,'FIRE TEX 5062'!$G$4:$G$34,"&gt;="&amp;M720),'FIRE TEX 5062'!$G$4:$K$34,IF(L720="F-15",2,IF(L720="F-30",3,IF(L720="F-60",4,IF(L720="F-90",5,0)))),0),0)+IF(AND(O720="FIRE TEX 5062",E720="CJ",J720=3),VLOOKUP(_xlfn.MINIFS('FIRE TEX 5062'!$L$4:$L$34,'FIRE TEX 5062'!$L$4:$L$34,"&gt;="&amp;M720),'FIRE TEX 5062'!$L$4:$P$34,IF(L720="F-15",2,IF(L720="F-30",3,IF(L720="F-60",4,IF(L720="F-90",5,0)))),0),0)+IF(AND(O720="FIRE TEX 5062",E720="CJ",J720=4),VLOOKUP(_xlfn.MINIFS('FIRE TEX 5062'!$Q$3:$Q$34,'FIRE TEX 5062'!$Q$3:$Q$34,"&gt;="&amp;M720),'FIRE TEX 5062'!$Q$3:$U$34,IF(L720="F-15",2,IF(L720="F-30",3,IF(L720="F-60",4,IF(L720="F-90",5,0)))),0),0)+IF(AND(O720="FIRE TEX 5090",OR(E720="IN",E720="C",E720="Z",E720="L"),J720=3),VLOOKUP(_xlfn.MINIFS('FIRE TEX 5090'!$B$5:$B$43,'FIRE TEX 5090'!$B$5:$B$43,"&gt;="&amp;M720),'FIRE TEX 5090'!$B$5:$H$43,IF(L720="F-15",2,IF(L720="F-30",3,IF(L720="F-60",4,IF(L720="F-90",5,IF(L720="F-120",6,IF(L720="F-150",7,0)))))),0),0)+IF(AND(O720="FIRE TEX 5090",OR(E720="IN",E720="C",E720="Z",E720="L"),J720=4),VLOOKUP(_xlfn.MINIFS('FIRE TEX 5090'!$J$5:$J$43,'FIRE TEX 5090'!$J$5:$J$43,"&gt;="&amp;M720),'FIRE TEX 5090'!$J$5:$P$43,IF(L720="F-15",2,IF(L720="F-30",3,IF(L720="F-60",4,IF(L720="F-90",5,IF(L720="F-120",6,IF(L720="F-150",7,0)))))),0),0)+IF(AND(O720="FIRE TEX 5090",E720="CJ",J720=3),VLOOKUP(_xlfn.MINIFS('FIRE TEX 5090'!$R$5:$R$30,'FIRE TEX 5090'!$R$5:$R$30,"&gt;="&amp;M720),'FIRE TEX 5090'!$R$5:$W$30,IF(L720="F-15",2,IF(L720="F-30",3,IF(L720="F-60",4,IF(L720="F-90",5,IF(L720="F-120",6,IF(L720="F-150",7,0)))))),0),0)+IF(AND(O720="FIRE TEX 5090",E720="CJ",J720=4),VLOOKUP(_xlfn.MINIFS('FIRE TEX 5090'!$Y$5:$Y$39,'FIRE TEX 5090'!$Y$5:$Y$39,"&gt;="&amp;M720),'FIRE TEX 5090'!$Y$5:$AD$39,IF(L720="F-15",2,IF(L720="F-30",3,IF(L720="F-60",4,IF(L720="F-90",5,IF(L720="F-120",6,IF(L720="F-150",7,0)))))),0),0)+IF(AND(O720="FIRE TEX 5120",OR(E720="IN",E720="C",E720="Z",E720="L"),J720=3),VLOOKUP(_xlfn.MINIFS('FIRE TEX 5120'!$B$5:$B$40,'FIRE TEX 5120'!$B$5:$B$40,"&gt;="&amp;M720),'FIRE TEX 5120'!$B$5:$G$40,IF(L720="F-15",2,IF(L720="F-30",3,IF(L720="F-60",4,IF(L720="F-90",5,IF(L720="F-120",6,0))))),0),0)+IF(AND(O720="FIRE TEX 5120",OR(E720="IN",E720="C",E720="Z",E720="L"),J720=4),VLOOKUP(_xlfn.MINIFS('FIRE TEX 5120'!$H$4:$H$40,'FIRE TEX 5120'!$H$4:$H$40,"&gt;="&amp;M720),'FIRE TEX 5120'!$H$4:$M$40,IF(L720="F-15",2,IF(L720="F-30",3,IF(L720="F-60",4,IF(L720="F-90",5,IF(L720="F-120",6,0))))),0),0)+IF(AND(O720="FIRE TEX 5120",E720="CJ"),VLOOKUP(_xlfn.MINIFS('FIRE TEX 5120'!$O$5:$O$40,'FIRE TEX 5120'!$O$5:$O$40,"&gt;="&amp;M720),'FIRE TEX 5120'!$O$5:$T$40,IF(L720="F-15",2,IF(L720="F-30",3,IF(L720="F-60",4,IF(L720="F-90",5,IF(L720="F-120",6,0))))),0),0)</f>
        <v>0</v>
      </c>
      <c r="Q720" s="46">
        <f t="shared" si="74"/>
        <v>0</v>
      </c>
      <c r="R720" s="46">
        <f t="shared" si="75"/>
        <v>0</v>
      </c>
      <c r="S720" s="46" t="e">
        <f t="shared" si="76"/>
        <v>#VALUE!</v>
      </c>
      <c r="T720" s="677">
        <f t="shared" si="77"/>
        <v>0</v>
      </c>
      <c r="U720" s="80">
        <f>(IF(O720="Stofire",(S720*#REF!),0))+(IF(O720="Fire Control",(S720*$U$2),0))+(IF(O720="Fire Tex",(S720*$U$3),0))+(IF(O720="WB7",(S720*#REF!),0)+(IF(O720="FX 2003",(S720*$U$5),0)))</f>
        <v>0</v>
      </c>
      <c r="V720" s="651">
        <f t="shared" si="78"/>
        <v>0</v>
      </c>
    </row>
    <row r="721" spans="4:22" x14ac:dyDescent="0.25">
      <c r="D721" s="118">
        <f>+CUBICACION!D720</f>
        <v>0</v>
      </c>
      <c r="E721" s="118">
        <f>+CUBICACION!F720</f>
        <v>0</v>
      </c>
      <c r="F721" s="118">
        <f>+CUBICACION!E720</f>
        <v>0</v>
      </c>
      <c r="G721" s="118">
        <v>12</v>
      </c>
      <c r="H721" s="118">
        <v>2</v>
      </c>
      <c r="I721" s="820">
        <v>26385</v>
      </c>
      <c r="J721" s="118">
        <f>+CUBICACION!J720</f>
        <v>0</v>
      </c>
      <c r="K721" s="118">
        <v>3500</v>
      </c>
      <c r="L721" s="118">
        <f>+CUBICACION!L720</f>
        <v>0</v>
      </c>
      <c r="M721" s="64">
        <f>+CUBICACION!M720</f>
        <v>0</v>
      </c>
      <c r="N721" s="824" t="str">
        <f>+CUBICACION!N720</f>
        <v/>
      </c>
      <c r="O721" s="675">
        <f>+CUBICACION!O720</f>
        <v>0</v>
      </c>
      <c r="P721" s="15">
        <f>IF(O721="Fire Control",VLOOKUP(_xlfn.MINIFS('FIRE CONTROL'!$C$4:$C$37,'FIRE CONTROL'!$C$4:$C$37,"&gt;="&amp;M721),'FIRE CONTROL'!$C$4:$G$37,IF(L721="F-15",2,IF(L721="F-30",3,IF(L721="F-60",4,IF(L721="F-90",5,0)))),0),0)+IF(AND(O721="FIRE TEX 5062",OR(E721="IN",E721="C",E721="Z",E721="L"),J721=3),VLOOKUP(_xlfn.MINIFS('FIRE TEX 5062'!$B$4:$B$34,'FIRE TEX 5062'!$B$4:$B$34,"&gt;="&amp;M721),'FIRE TEX 5062'!$B$4:$F$34,IF(L721="F-15",2,IF(L721="F-30",3,IF(L721="F-60",4,IF(L721="F-90",5,0)))),0),0)+IF(AND(O721="FIRE TEX 5062",OR(E721="IN",E721="C",E721="Z",E721="L"),J721=4),VLOOKUP(_xlfn.MINIFS('FIRE TEX 5062'!$G$4:$G$34,'FIRE TEX 5062'!$G$4:$G$34,"&gt;="&amp;M721),'FIRE TEX 5062'!$G$4:$K$34,IF(L721="F-15",2,IF(L721="F-30",3,IF(L721="F-60",4,IF(L721="F-90",5,0)))),0),0)+IF(AND(O721="FIRE TEX 5062",E721="CJ",J721=3),VLOOKUP(_xlfn.MINIFS('FIRE TEX 5062'!$L$4:$L$34,'FIRE TEX 5062'!$L$4:$L$34,"&gt;="&amp;M721),'FIRE TEX 5062'!$L$4:$P$34,IF(L721="F-15",2,IF(L721="F-30",3,IF(L721="F-60",4,IF(L721="F-90",5,0)))),0),0)+IF(AND(O721="FIRE TEX 5062",E721="CJ",J721=4),VLOOKUP(_xlfn.MINIFS('FIRE TEX 5062'!$Q$3:$Q$34,'FIRE TEX 5062'!$Q$3:$Q$34,"&gt;="&amp;M721),'FIRE TEX 5062'!$Q$3:$U$34,IF(L721="F-15",2,IF(L721="F-30",3,IF(L721="F-60",4,IF(L721="F-90",5,0)))),0),0)+IF(AND(O721="FIRE TEX 5090",OR(E721="IN",E721="C",E721="Z",E721="L"),J721=3),VLOOKUP(_xlfn.MINIFS('FIRE TEX 5090'!$B$5:$B$43,'FIRE TEX 5090'!$B$5:$B$43,"&gt;="&amp;M721),'FIRE TEX 5090'!$B$5:$H$43,IF(L721="F-15",2,IF(L721="F-30",3,IF(L721="F-60",4,IF(L721="F-90",5,IF(L721="F-120",6,IF(L721="F-150",7,0)))))),0),0)+IF(AND(O721="FIRE TEX 5090",OR(E721="IN",E721="C",E721="Z",E721="L"),J721=4),VLOOKUP(_xlfn.MINIFS('FIRE TEX 5090'!$J$5:$J$43,'FIRE TEX 5090'!$J$5:$J$43,"&gt;="&amp;M721),'FIRE TEX 5090'!$J$5:$P$43,IF(L721="F-15",2,IF(L721="F-30",3,IF(L721="F-60",4,IF(L721="F-90",5,IF(L721="F-120",6,IF(L721="F-150",7,0)))))),0),0)+IF(AND(O721="FIRE TEX 5090",E721="CJ",J721=3),VLOOKUP(_xlfn.MINIFS('FIRE TEX 5090'!$R$5:$R$30,'FIRE TEX 5090'!$R$5:$R$30,"&gt;="&amp;M721),'FIRE TEX 5090'!$R$5:$W$30,IF(L721="F-15",2,IF(L721="F-30",3,IF(L721="F-60",4,IF(L721="F-90",5,IF(L721="F-120",6,IF(L721="F-150",7,0)))))),0),0)+IF(AND(O721="FIRE TEX 5090",E721="CJ",J721=4),VLOOKUP(_xlfn.MINIFS('FIRE TEX 5090'!$Y$5:$Y$39,'FIRE TEX 5090'!$Y$5:$Y$39,"&gt;="&amp;M721),'FIRE TEX 5090'!$Y$5:$AD$39,IF(L721="F-15",2,IF(L721="F-30",3,IF(L721="F-60",4,IF(L721="F-90",5,IF(L721="F-120",6,IF(L721="F-150",7,0)))))),0),0)+IF(AND(O721="FIRE TEX 5120",OR(E721="IN",E721="C",E721="Z",E721="L"),J721=3),VLOOKUP(_xlfn.MINIFS('FIRE TEX 5120'!$B$5:$B$40,'FIRE TEX 5120'!$B$5:$B$40,"&gt;="&amp;M721),'FIRE TEX 5120'!$B$5:$G$40,IF(L721="F-15",2,IF(L721="F-30",3,IF(L721="F-60",4,IF(L721="F-90",5,IF(L721="F-120",6,0))))),0),0)+IF(AND(O721="FIRE TEX 5120",OR(E721="IN",E721="C",E721="Z",E721="L"),J721=4),VLOOKUP(_xlfn.MINIFS('FIRE TEX 5120'!$H$4:$H$40,'FIRE TEX 5120'!$H$4:$H$40,"&gt;="&amp;M721),'FIRE TEX 5120'!$H$4:$M$40,IF(L721="F-15",2,IF(L721="F-30",3,IF(L721="F-60",4,IF(L721="F-90",5,IF(L721="F-120",6,0))))),0),0)+IF(AND(O721="FIRE TEX 5120",E721="CJ"),VLOOKUP(_xlfn.MINIFS('FIRE TEX 5120'!$O$5:$O$40,'FIRE TEX 5120'!$O$5:$O$40,"&gt;="&amp;M721),'FIRE TEX 5120'!$O$5:$T$40,IF(L721="F-15",2,IF(L721="F-30",3,IF(L721="F-60",4,IF(L721="F-90",5,IF(L721="F-120",6,0))))),0),0)</f>
        <v>0</v>
      </c>
      <c r="Q721" s="46">
        <f t="shared" si="74"/>
        <v>0</v>
      </c>
      <c r="R721" s="46">
        <f t="shared" si="75"/>
        <v>0</v>
      </c>
      <c r="S721" s="46" t="e">
        <f t="shared" si="76"/>
        <v>#VALUE!</v>
      </c>
      <c r="T721" s="677">
        <f t="shared" si="77"/>
        <v>0</v>
      </c>
      <c r="U721" s="80">
        <f>(IF(O721="Stofire",(S721*#REF!),0))+(IF(O721="Fire Control",(S721*$U$2),0))+(IF(O721="Fire Tex",(S721*$U$3),0))+(IF(O721="WB7",(S721*#REF!),0)+(IF(O721="FX 2003",(S721*$U$5),0)))</f>
        <v>0</v>
      </c>
      <c r="V721" s="651">
        <f t="shared" si="78"/>
        <v>0</v>
      </c>
    </row>
    <row r="722" spans="4:22" x14ac:dyDescent="0.25">
      <c r="D722" s="118">
        <f>+CUBICACION!D721</f>
        <v>0</v>
      </c>
      <c r="E722" s="118">
        <f>+CUBICACION!F721</f>
        <v>0</v>
      </c>
      <c r="F722" s="118">
        <f>+CUBICACION!E721</f>
        <v>0</v>
      </c>
      <c r="G722" s="118">
        <v>12</v>
      </c>
      <c r="H722" s="118">
        <v>2</v>
      </c>
      <c r="I722" s="820">
        <v>26385</v>
      </c>
      <c r="J722" s="118">
        <f>+CUBICACION!J721</f>
        <v>0</v>
      </c>
      <c r="K722" s="118">
        <v>3501</v>
      </c>
      <c r="L722" s="118">
        <f>+CUBICACION!L721</f>
        <v>0</v>
      </c>
      <c r="M722" s="64">
        <f>+CUBICACION!M721</f>
        <v>0</v>
      </c>
      <c r="N722" s="824" t="str">
        <f>+CUBICACION!N721</f>
        <v/>
      </c>
      <c r="O722" s="675">
        <f>+CUBICACION!O721</f>
        <v>0</v>
      </c>
      <c r="P722" s="15">
        <f>IF(O722="Fire Control",VLOOKUP(_xlfn.MINIFS('FIRE CONTROL'!$C$4:$C$37,'FIRE CONTROL'!$C$4:$C$37,"&gt;="&amp;M722),'FIRE CONTROL'!$C$4:$G$37,IF(L722="F-15",2,IF(L722="F-30",3,IF(L722="F-60",4,IF(L722="F-90",5,0)))),0),0)+IF(AND(O722="FIRE TEX 5062",OR(E722="IN",E722="C",E722="Z",E722="L"),J722=3),VLOOKUP(_xlfn.MINIFS('FIRE TEX 5062'!$B$4:$B$34,'FIRE TEX 5062'!$B$4:$B$34,"&gt;="&amp;M722),'FIRE TEX 5062'!$B$4:$F$34,IF(L722="F-15",2,IF(L722="F-30",3,IF(L722="F-60",4,IF(L722="F-90",5,0)))),0),0)+IF(AND(O722="FIRE TEX 5062",OR(E722="IN",E722="C",E722="Z",E722="L"),J722=4),VLOOKUP(_xlfn.MINIFS('FIRE TEX 5062'!$G$4:$G$34,'FIRE TEX 5062'!$G$4:$G$34,"&gt;="&amp;M722),'FIRE TEX 5062'!$G$4:$K$34,IF(L722="F-15",2,IF(L722="F-30",3,IF(L722="F-60",4,IF(L722="F-90",5,0)))),0),0)+IF(AND(O722="FIRE TEX 5062",E722="CJ",J722=3),VLOOKUP(_xlfn.MINIFS('FIRE TEX 5062'!$L$4:$L$34,'FIRE TEX 5062'!$L$4:$L$34,"&gt;="&amp;M722),'FIRE TEX 5062'!$L$4:$P$34,IF(L722="F-15",2,IF(L722="F-30",3,IF(L722="F-60",4,IF(L722="F-90",5,0)))),0),0)+IF(AND(O722="FIRE TEX 5062",E722="CJ",J722=4),VLOOKUP(_xlfn.MINIFS('FIRE TEX 5062'!$Q$3:$Q$34,'FIRE TEX 5062'!$Q$3:$Q$34,"&gt;="&amp;M722),'FIRE TEX 5062'!$Q$3:$U$34,IF(L722="F-15",2,IF(L722="F-30",3,IF(L722="F-60",4,IF(L722="F-90",5,0)))),0),0)+IF(AND(O722="FIRE TEX 5090",OR(E722="IN",E722="C",E722="Z",E722="L"),J722=3),VLOOKUP(_xlfn.MINIFS('FIRE TEX 5090'!$B$5:$B$43,'FIRE TEX 5090'!$B$5:$B$43,"&gt;="&amp;M722),'FIRE TEX 5090'!$B$5:$H$43,IF(L722="F-15",2,IF(L722="F-30",3,IF(L722="F-60",4,IF(L722="F-90",5,IF(L722="F-120",6,IF(L722="F-150",7,0)))))),0),0)+IF(AND(O722="FIRE TEX 5090",OR(E722="IN",E722="C",E722="Z",E722="L"),J722=4),VLOOKUP(_xlfn.MINIFS('FIRE TEX 5090'!$J$5:$J$43,'FIRE TEX 5090'!$J$5:$J$43,"&gt;="&amp;M722),'FIRE TEX 5090'!$J$5:$P$43,IF(L722="F-15",2,IF(L722="F-30",3,IF(L722="F-60",4,IF(L722="F-90",5,IF(L722="F-120",6,IF(L722="F-150",7,0)))))),0),0)+IF(AND(O722="FIRE TEX 5090",E722="CJ",J722=3),VLOOKUP(_xlfn.MINIFS('FIRE TEX 5090'!$R$5:$R$30,'FIRE TEX 5090'!$R$5:$R$30,"&gt;="&amp;M722),'FIRE TEX 5090'!$R$5:$W$30,IF(L722="F-15",2,IF(L722="F-30",3,IF(L722="F-60",4,IF(L722="F-90",5,IF(L722="F-120",6,IF(L722="F-150",7,0)))))),0),0)+IF(AND(O722="FIRE TEX 5090",E722="CJ",J722=4),VLOOKUP(_xlfn.MINIFS('FIRE TEX 5090'!$Y$5:$Y$39,'FIRE TEX 5090'!$Y$5:$Y$39,"&gt;="&amp;M722),'FIRE TEX 5090'!$Y$5:$AD$39,IF(L722="F-15",2,IF(L722="F-30",3,IF(L722="F-60",4,IF(L722="F-90",5,IF(L722="F-120",6,IF(L722="F-150",7,0)))))),0),0)+IF(AND(O722="FIRE TEX 5120",OR(E722="IN",E722="C",E722="Z",E722="L"),J722=3),VLOOKUP(_xlfn.MINIFS('FIRE TEX 5120'!$B$5:$B$40,'FIRE TEX 5120'!$B$5:$B$40,"&gt;="&amp;M722),'FIRE TEX 5120'!$B$5:$G$40,IF(L722="F-15",2,IF(L722="F-30",3,IF(L722="F-60",4,IF(L722="F-90",5,IF(L722="F-120",6,0))))),0),0)+IF(AND(O722="FIRE TEX 5120",OR(E722="IN",E722="C",E722="Z",E722="L"),J722=4),VLOOKUP(_xlfn.MINIFS('FIRE TEX 5120'!$H$4:$H$40,'FIRE TEX 5120'!$H$4:$H$40,"&gt;="&amp;M722),'FIRE TEX 5120'!$H$4:$M$40,IF(L722="F-15",2,IF(L722="F-30",3,IF(L722="F-60",4,IF(L722="F-90",5,IF(L722="F-120",6,0))))),0),0)+IF(AND(O722="FIRE TEX 5120",E722="CJ"),VLOOKUP(_xlfn.MINIFS('FIRE TEX 5120'!$O$5:$O$40,'FIRE TEX 5120'!$O$5:$O$40,"&gt;="&amp;M722),'FIRE TEX 5120'!$O$5:$T$40,IF(L722="F-15",2,IF(L722="F-30",3,IF(L722="F-60",4,IF(L722="F-90",5,IF(L722="F-120",6,0))))),0),0)</f>
        <v>0</v>
      </c>
      <c r="Q722" s="46">
        <f t="shared" si="74"/>
        <v>0</v>
      </c>
      <c r="R722" s="46">
        <f t="shared" si="75"/>
        <v>0</v>
      </c>
      <c r="S722" s="46" t="e">
        <f t="shared" si="76"/>
        <v>#VALUE!</v>
      </c>
      <c r="T722" s="677">
        <f t="shared" si="77"/>
        <v>0</v>
      </c>
      <c r="U722" s="80">
        <f>(IF(O722="Stofire",(S722*#REF!),0))+(IF(O722="Fire Control",(S722*$U$2),0))+(IF(O722="Fire Tex",(S722*$U$3),0))+(IF(O722="WB7",(S722*#REF!),0)+(IF(O722="FX 2003",(S722*$U$5),0)))</f>
        <v>0</v>
      </c>
      <c r="V722" s="651">
        <f t="shared" si="78"/>
        <v>0</v>
      </c>
    </row>
    <row r="723" spans="4:22" x14ac:dyDescent="0.25">
      <c r="D723" s="118">
        <f>+CUBICACION!D722</f>
        <v>0</v>
      </c>
      <c r="E723" s="118">
        <f>+CUBICACION!F722</f>
        <v>0</v>
      </c>
      <c r="F723" s="118">
        <f>+CUBICACION!E722</f>
        <v>0</v>
      </c>
      <c r="G723" s="118">
        <v>12</v>
      </c>
      <c r="H723" s="118">
        <v>2</v>
      </c>
      <c r="I723" s="820">
        <v>26385</v>
      </c>
      <c r="J723" s="118">
        <f>+CUBICACION!J722</f>
        <v>0</v>
      </c>
      <c r="K723" s="118">
        <v>3502</v>
      </c>
      <c r="L723" s="118">
        <f>+CUBICACION!L722</f>
        <v>0</v>
      </c>
      <c r="M723" s="64">
        <f>+CUBICACION!M722</f>
        <v>0</v>
      </c>
      <c r="N723" s="824" t="str">
        <f>+CUBICACION!N722</f>
        <v/>
      </c>
      <c r="O723" s="675">
        <f>+CUBICACION!O722</f>
        <v>0</v>
      </c>
      <c r="P723" s="15">
        <f>IF(O723="Fire Control",VLOOKUP(_xlfn.MINIFS('FIRE CONTROL'!$C$4:$C$37,'FIRE CONTROL'!$C$4:$C$37,"&gt;="&amp;M723),'FIRE CONTROL'!$C$4:$G$37,IF(L723="F-15",2,IF(L723="F-30",3,IF(L723="F-60",4,IF(L723="F-90",5,0)))),0),0)+IF(AND(O723="FIRE TEX 5062",OR(E723="IN",E723="C",E723="Z",E723="L"),J723=3),VLOOKUP(_xlfn.MINIFS('FIRE TEX 5062'!$B$4:$B$34,'FIRE TEX 5062'!$B$4:$B$34,"&gt;="&amp;M723),'FIRE TEX 5062'!$B$4:$F$34,IF(L723="F-15",2,IF(L723="F-30",3,IF(L723="F-60",4,IF(L723="F-90",5,0)))),0),0)+IF(AND(O723="FIRE TEX 5062",OR(E723="IN",E723="C",E723="Z",E723="L"),J723=4),VLOOKUP(_xlfn.MINIFS('FIRE TEX 5062'!$G$4:$G$34,'FIRE TEX 5062'!$G$4:$G$34,"&gt;="&amp;M723),'FIRE TEX 5062'!$G$4:$K$34,IF(L723="F-15",2,IF(L723="F-30",3,IF(L723="F-60",4,IF(L723="F-90",5,0)))),0),0)+IF(AND(O723="FIRE TEX 5062",E723="CJ",J723=3),VLOOKUP(_xlfn.MINIFS('FIRE TEX 5062'!$L$4:$L$34,'FIRE TEX 5062'!$L$4:$L$34,"&gt;="&amp;M723),'FIRE TEX 5062'!$L$4:$P$34,IF(L723="F-15",2,IF(L723="F-30",3,IF(L723="F-60",4,IF(L723="F-90",5,0)))),0),0)+IF(AND(O723="FIRE TEX 5062",E723="CJ",J723=4),VLOOKUP(_xlfn.MINIFS('FIRE TEX 5062'!$Q$3:$Q$34,'FIRE TEX 5062'!$Q$3:$Q$34,"&gt;="&amp;M723),'FIRE TEX 5062'!$Q$3:$U$34,IF(L723="F-15",2,IF(L723="F-30",3,IF(L723="F-60",4,IF(L723="F-90",5,0)))),0),0)+IF(AND(O723="FIRE TEX 5090",OR(E723="IN",E723="C",E723="Z",E723="L"),J723=3),VLOOKUP(_xlfn.MINIFS('FIRE TEX 5090'!$B$5:$B$43,'FIRE TEX 5090'!$B$5:$B$43,"&gt;="&amp;M723),'FIRE TEX 5090'!$B$5:$H$43,IF(L723="F-15",2,IF(L723="F-30",3,IF(L723="F-60",4,IF(L723="F-90",5,IF(L723="F-120",6,IF(L723="F-150",7,0)))))),0),0)+IF(AND(O723="FIRE TEX 5090",OR(E723="IN",E723="C",E723="Z",E723="L"),J723=4),VLOOKUP(_xlfn.MINIFS('FIRE TEX 5090'!$J$5:$J$43,'FIRE TEX 5090'!$J$5:$J$43,"&gt;="&amp;M723),'FIRE TEX 5090'!$J$5:$P$43,IF(L723="F-15",2,IF(L723="F-30",3,IF(L723="F-60",4,IF(L723="F-90",5,IF(L723="F-120",6,IF(L723="F-150",7,0)))))),0),0)+IF(AND(O723="FIRE TEX 5090",E723="CJ",J723=3),VLOOKUP(_xlfn.MINIFS('FIRE TEX 5090'!$R$5:$R$30,'FIRE TEX 5090'!$R$5:$R$30,"&gt;="&amp;M723),'FIRE TEX 5090'!$R$5:$W$30,IF(L723="F-15",2,IF(L723="F-30",3,IF(L723="F-60",4,IF(L723="F-90",5,IF(L723="F-120",6,IF(L723="F-150",7,0)))))),0),0)+IF(AND(O723="FIRE TEX 5090",E723="CJ",J723=4),VLOOKUP(_xlfn.MINIFS('FIRE TEX 5090'!$Y$5:$Y$39,'FIRE TEX 5090'!$Y$5:$Y$39,"&gt;="&amp;M723),'FIRE TEX 5090'!$Y$5:$AD$39,IF(L723="F-15",2,IF(L723="F-30",3,IF(L723="F-60",4,IF(L723="F-90",5,IF(L723="F-120",6,IF(L723="F-150",7,0)))))),0),0)+IF(AND(O723="FIRE TEX 5120",OR(E723="IN",E723="C",E723="Z",E723="L"),J723=3),VLOOKUP(_xlfn.MINIFS('FIRE TEX 5120'!$B$5:$B$40,'FIRE TEX 5120'!$B$5:$B$40,"&gt;="&amp;M723),'FIRE TEX 5120'!$B$5:$G$40,IF(L723="F-15",2,IF(L723="F-30",3,IF(L723="F-60",4,IF(L723="F-90",5,IF(L723="F-120",6,0))))),0),0)+IF(AND(O723="FIRE TEX 5120",OR(E723="IN",E723="C",E723="Z",E723="L"),J723=4),VLOOKUP(_xlfn.MINIFS('FIRE TEX 5120'!$H$4:$H$40,'FIRE TEX 5120'!$H$4:$H$40,"&gt;="&amp;M723),'FIRE TEX 5120'!$H$4:$M$40,IF(L723="F-15",2,IF(L723="F-30",3,IF(L723="F-60",4,IF(L723="F-90",5,IF(L723="F-120",6,0))))),0),0)+IF(AND(O723="FIRE TEX 5120",E723="CJ"),VLOOKUP(_xlfn.MINIFS('FIRE TEX 5120'!$O$5:$O$40,'FIRE TEX 5120'!$O$5:$O$40,"&gt;="&amp;M723),'FIRE TEX 5120'!$O$5:$T$40,IF(L723="F-15",2,IF(L723="F-30",3,IF(L723="F-60",4,IF(L723="F-90",5,IF(L723="F-120",6,0))))),0),0)</f>
        <v>0</v>
      </c>
      <c r="Q723" s="46">
        <f t="shared" si="74"/>
        <v>0</v>
      </c>
      <c r="R723" s="46">
        <f t="shared" si="75"/>
        <v>0</v>
      </c>
      <c r="S723" s="46" t="e">
        <f t="shared" si="76"/>
        <v>#VALUE!</v>
      </c>
      <c r="T723" s="677">
        <f t="shared" si="77"/>
        <v>0</v>
      </c>
      <c r="U723" s="80">
        <f>(IF(O723="Stofire",(S723*#REF!),0))+(IF(O723="Fire Control",(S723*$U$2),0))+(IF(O723="Fire Tex",(S723*$U$3),0))+(IF(O723="WB7",(S723*#REF!),0)+(IF(O723="FX 2003",(S723*$U$5),0)))</f>
        <v>0</v>
      </c>
      <c r="V723" s="651">
        <f t="shared" si="78"/>
        <v>0</v>
      </c>
    </row>
    <row r="724" spans="4:22" x14ac:dyDescent="0.25">
      <c r="D724" s="118">
        <f>+CUBICACION!D723</f>
        <v>0</v>
      </c>
      <c r="E724" s="118">
        <f>+CUBICACION!F723</f>
        <v>0</v>
      </c>
      <c r="F724" s="118">
        <f>+CUBICACION!E723</f>
        <v>0</v>
      </c>
      <c r="G724" s="118">
        <v>12</v>
      </c>
      <c r="H724" s="118">
        <v>2</v>
      </c>
      <c r="I724" s="820">
        <v>26385</v>
      </c>
      <c r="J724" s="118">
        <f>+CUBICACION!J723</f>
        <v>0</v>
      </c>
      <c r="K724" s="118">
        <v>3503</v>
      </c>
      <c r="L724" s="118">
        <f>+CUBICACION!L723</f>
        <v>0</v>
      </c>
      <c r="M724" s="64">
        <f>+CUBICACION!M723</f>
        <v>0</v>
      </c>
      <c r="N724" s="824" t="str">
        <f>+CUBICACION!N723</f>
        <v/>
      </c>
      <c r="O724" s="675">
        <f>+CUBICACION!O723</f>
        <v>0</v>
      </c>
      <c r="P724" s="15">
        <f>IF(O724="Fire Control",VLOOKUP(_xlfn.MINIFS('FIRE CONTROL'!$C$4:$C$37,'FIRE CONTROL'!$C$4:$C$37,"&gt;="&amp;M724),'FIRE CONTROL'!$C$4:$G$37,IF(L724="F-15",2,IF(L724="F-30",3,IF(L724="F-60",4,IF(L724="F-90",5,0)))),0),0)+IF(AND(O724="FIRE TEX 5062",OR(E724="IN",E724="C",E724="Z",E724="L"),J724=3),VLOOKUP(_xlfn.MINIFS('FIRE TEX 5062'!$B$4:$B$34,'FIRE TEX 5062'!$B$4:$B$34,"&gt;="&amp;M724),'FIRE TEX 5062'!$B$4:$F$34,IF(L724="F-15",2,IF(L724="F-30",3,IF(L724="F-60",4,IF(L724="F-90",5,0)))),0),0)+IF(AND(O724="FIRE TEX 5062",OR(E724="IN",E724="C",E724="Z",E724="L"),J724=4),VLOOKUP(_xlfn.MINIFS('FIRE TEX 5062'!$G$4:$G$34,'FIRE TEX 5062'!$G$4:$G$34,"&gt;="&amp;M724),'FIRE TEX 5062'!$G$4:$K$34,IF(L724="F-15",2,IF(L724="F-30",3,IF(L724="F-60",4,IF(L724="F-90",5,0)))),0),0)+IF(AND(O724="FIRE TEX 5062",E724="CJ",J724=3),VLOOKUP(_xlfn.MINIFS('FIRE TEX 5062'!$L$4:$L$34,'FIRE TEX 5062'!$L$4:$L$34,"&gt;="&amp;M724),'FIRE TEX 5062'!$L$4:$P$34,IF(L724="F-15",2,IF(L724="F-30",3,IF(L724="F-60",4,IF(L724="F-90",5,0)))),0),0)+IF(AND(O724="FIRE TEX 5062",E724="CJ",J724=4),VLOOKUP(_xlfn.MINIFS('FIRE TEX 5062'!$Q$3:$Q$34,'FIRE TEX 5062'!$Q$3:$Q$34,"&gt;="&amp;M724),'FIRE TEX 5062'!$Q$3:$U$34,IF(L724="F-15",2,IF(L724="F-30",3,IF(L724="F-60",4,IF(L724="F-90",5,0)))),0),0)+IF(AND(O724="FIRE TEX 5090",OR(E724="IN",E724="C",E724="Z",E724="L"),J724=3),VLOOKUP(_xlfn.MINIFS('FIRE TEX 5090'!$B$5:$B$43,'FIRE TEX 5090'!$B$5:$B$43,"&gt;="&amp;M724),'FIRE TEX 5090'!$B$5:$H$43,IF(L724="F-15",2,IF(L724="F-30",3,IF(L724="F-60",4,IF(L724="F-90",5,IF(L724="F-120",6,IF(L724="F-150",7,0)))))),0),0)+IF(AND(O724="FIRE TEX 5090",OR(E724="IN",E724="C",E724="Z",E724="L"),J724=4),VLOOKUP(_xlfn.MINIFS('FIRE TEX 5090'!$J$5:$J$43,'FIRE TEX 5090'!$J$5:$J$43,"&gt;="&amp;M724),'FIRE TEX 5090'!$J$5:$P$43,IF(L724="F-15",2,IF(L724="F-30",3,IF(L724="F-60",4,IF(L724="F-90",5,IF(L724="F-120",6,IF(L724="F-150",7,0)))))),0),0)+IF(AND(O724="FIRE TEX 5090",E724="CJ",J724=3),VLOOKUP(_xlfn.MINIFS('FIRE TEX 5090'!$R$5:$R$30,'FIRE TEX 5090'!$R$5:$R$30,"&gt;="&amp;M724),'FIRE TEX 5090'!$R$5:$W$30,IF(L724="F-15",2,IF(L724="F-30",3,IF(L724="F-60",4,IF(L724="F-90",5,IF(L724="F-120",6,IF(L724="F-150",7,0)))))),0),0)+IF(AND(O724="FIRE TEX 5090",E724="CJ",J724=4),VLOOKUP(_xlfn.MINIFS('FIRE TEX 5090'!$Y$5:$Y$39,'FIRE TEX 5090'!$Y$5:$Y$39,"&gt;="&amp;M724),'FIRE TEX 5090'!$Y$5:$AD$39,IF(L724="F-15",2,IF(L724="F-30",3,IF(L724="F-60",4,IF(L724="F-90",5,IF(L724="F-120",6,IF(L724="F-150",7,0)))))),0),0)+IF(AND(O724="FIRE TEX 5120",OR(E724="IN",E724="C",E724="Z",E724="L"),J724=3),VLOOKUP(_xlfn.MINIFS('FIRE TEX 5120'!$B$5:$B$40,'FIRE TEX 5120'!$B$5:$B$40,"&gt;="&amp;M724),'FIRE TEX 5120'!$B$5:$G$40,IF(L724="F-15",2,IF(L724="F-30",3,IF(L724="F-60",4,IF(L724="F-90",5,IF(L724="F-120",6,0))))),0),0)+IF(AND(O724="FIRE TEX 5120",OR(E724="IN",E724="C",E724="Z",E724="L"),J724=4),VLOOKUP(_xlfn.MINIFS('FIRE TEX 5120'!$H$4:$H$40,'FIRE TEX 5120'!$H$4:$H$40,"&gt;="&amp;M724),'FIRE TEX 5120'!$H$4:$M$40,IF(L724="F-15",2,IF(L724="F-30",3,IF(L724="F-60",4,IF(L724="F-90",5,IF(L724="F-120",6,0))))),0),0)+IF(AND(O724="FIRE TEX 5120",E724="CJ"),VLOOKUP(_xlfn.MINIFS('FIRE TEX 5120'!$O$5:$O$40,'FIRE TEX 5120'!$O$5:$O$40,"&gt;="&amp;M724),'FIRE TEX 5120'!$O$5:$T$40,IF(L724="F-15",2,IF(L724="F-30",3,IF(L724="F-60",4,IF(L724="F-90",5,IF(L724="F-120",6,0))))),0),0)</f>
        <v>0</v>
      </c>
      <c r="Q724" s="46">
        <f t="shared" si="74"/>
        <v>0</v>
      </c>
      <c r="R724" s="46">
        <f t="shared" si="75"/>
        <v>0</v>
      </c>
      <c r="S724" s="46" t="e">
        <f t="shared" si="76"/>
        <v>#VALUE!</v>
      </c>
      <c r="T724" s="677">
        <f t="shared" si="77"/>
        <v>0</v>
      </c>
      <c r="U724" s="80">
        <f>(IF(O724="Stofire",(S724*#REF!),0))+(IF(O724="Fire Control",(S724*$U$2),0))+(IF(O724="Fire Tex",(S724*$U$3),0))+(IF(O724="WB7",(S724*#REF!),0)+(IF(O724="FX 2003",(S724*$U$5),0)))</f>
        <v>0</v>
      </c>
      <c r="V724" s="651">
        <f t="shared" si="78"/>
        <v>0</v>
      </c>
    </row>
    <row r="725" spans="4:22" x14ac:dyDescent="0.25">
      <c r="D725" s="118">
        <f>+CUBICACION!D724</f>
        <v>0</v>
      </c>
      <c r="E725" s="118">
        <f>+CUBICACION!F724</f>
        <v>0</v>
      </c>
      <c r="F725" s="118">
        <f>+CUBICACION!E724</f>
        <v>0</v>
      </c>
      <c r="G725" s="118">
        <v>12</v>
      </c>
      <c r="H725" s="118">
        <v>2</v>
      </c>
      <c r="I725" s="820">
        <v>26385</v>
      </c>
      <c r="J725" s="118">
        <f>+CUBICACION!J724</f>
        <v>0</v>
      </c>
      <c r="K725" s="118">
        <v>3504</v>
      </c>
      <c r="L725" s="118">
        <f>+CUBICACION!L724</f>
        <v>0</v>
      </c>
      <c r="M725" s="64">
        <f>+CUBICACION!M724</f>
        <v>0</v>
      </c>
      <c r="N725" s="824" t="str">
        <f>+CUBICACION!N724</f>
        <v/>
      </c>
      <c r="O725" s="675">
        <f>+CUBICACION!O724</f>
        <v>0</v>
      </c>
      <c r="P725" s="15">
        <f>IF(O725="Fire Control",VLOOKUP(_xlfn.MINIFS('FIRE CONTROL'!$C$4:$C$37,'FIRE CONTROL'!$C$4:$C$37,"&gt;="&amp;M725),'FIRE CONTROL'!$C$4:$G$37,IF(L725="F-15",2,IF(L725="F-30",3,IF(L725="F-60",4,IF(L725="F-90",5,0)))),0),0)+IF(AND(O725="FIRE TEX 5062",OR(E725="IN",E725="C",E725="Z",E725="L"),J725=3),VLOOKUP(_xlfn.MINIFS('FIRE TEX 5062'!$B$4:$B$34,'FIRE TEX 5062'!$B$4:$B$34,"&gt;="&amp;M725),'FIRE TEX 5062'!$B$4:$F$34,IF(L725="F-15",2,IF(L725="F-30",3,IF(L725="F-60",4,IF(L725="F-90",5,0)))),0),0)+IF(AND(O725="FIRE TEX 5062",OR(E725="IN",E725="C",E725="Z",E725="L"),J725=4),VLOOKUP(_xlfn.MINIFS('FIRE TEX 5062'!$G$4:$G$34,'FIRE TEX 5062'!$G$4:$G$34,"&gt;="&amp;M725),'FIRE TEX 5062'!$G$4:$K$34,IF(L725="F-15",2,IF(L725="F-30",3,IF(L725="F-60",4,IF(L725="F-90",5,0)))),0),0)+IF(AND(O725="FIRE TEX 5062",E725="CJ",J725=3),VLOOKUP(_xlfn.MINIFS('FIRE TEX 5062'!$L$4:$L$34,'FIRE TEX 5062'!$L$4:$L$34,"&gt;="&amp;M725),'FIRE TEX 5062'!$L$4:$P$34,IF(L725="F-15",2,IF(L725="F-30",3,IF(L725="F-60",4,IF(L725="F-90",5,0)))),0),0)+IF(AND(O725="FIRE TEX 5062",E725="CJ",J725=4),VLOOKUP(_xlfn.MINIFS('FIRE TEX 5062'!$Q$3:$Q$34,'FIRE TEX 5062'!$Q$3:$Q$34,"&gt;="&amp;M725),'FIRE TEX 5062'!$Q$3:$U$34,IF(L725="F-15",2,IF(L725="F-30",3,IF(L725="F-60",4,IF(L725="F-90",5,0)))),0),0)+IF(AND(O725="FIRE TEX 5090",OR(E725="IN",E725="C",E725="Z",E725="L"),J725=3),VLOOKUP(_xlfn.MINIFS('FIRE TEX 5090'!$B$5:$B$43,'FIRE TEX 5090'!$B$5:$B$43,"&gt;="&amp;M725),'FIRE TEX 5090'!$B$5:$H$43,IF(L725="F-15",2,IF(L725="F-30",3,IF(L725="F-60",4,IF(L725="F-90",5,IF(L725="F-120",6,IF(L725="F-150",7,0)))))),0),0)+IF(AND(O725="FIRE TEX 5090",OR(E725="IN",E725="C",E725="Z",E725="L"),J725=4),VLOOKUP(_xlfn.MINIFS('FIRE TEX 5090'!$J$5:$J$43,'FIRE TEX 5090'!$J$5:$J$43,"&gt;="&amp;M725),'FIRE TEX 5090'!$J$5:$P$43,IF(L725="F-15",2,IF(L725="F-30",3,IF(L725="F-60",4,IF(L725="F-90",5,IF(L725="F-120",6,IF(L725="F-150",7,0)))))),0),0)+IF(AND(O725="FIRE TEX 5090",E725="CJ",J725=3),VLOOKUP(_xlfn.MINIFS('FIRE TEX 5090'!$R$5:$R$30,'FIRE TEX 5090'!$R$5:$R$30,"&gt;="&amp;M725),'FIRE TEX 5090'!$R$5:$W$30,IF(L725="F-15",2,IF(L725="F-30",3,IF(L725="F-60",4,IF(L725="F-90",5,IF(L725="F-120",6,IF(L725="F-150",7,0)))))),0),0)+IF(AND(O725="FIRE TEX 5090",E725="CJ",J725=4),VLOOKUP(_xlfn.MINIFS('FIRE TEX 5090'!$Y$5:$Y$39,'FIRE TEX 5090'!$Y$5:$Y$39,"&gt;="&amp;M725),'FIRE TEX 5090'!$Y$5:$AD$39,IF(L725="F-15",2,IF(L725="F-30",3,IF(L725="F-60",4,IF(L725="F-90",5,IF(L725="F-120",6,IF(L725="F-150",7,0)))))),0),0)+IF(AND(O725="FIRE TEX 5120",OR(E725="IN",E725="C",E725="Z",E725="L"),J725=3),VLOOKUP(_xlfn.MINIFS('FIRE TEX 5120'!$B$5:$B$40,'FIRE TEX 5120'!$B$5:$B$40,"&gt;="&amp;M725),'FIRE TEX 5120'!$B$5:$G$40,IF(L725="F-15",2,IF(L725="F-30",3,IF(L725="F-60",4,IF(L725="F-90",5,IF(L725="F-120",6,0))))),0),0)+IF(AND(O725="FIRE TEX 5120",OR(E725="IN",E725="C",E725="Z",E725="L"),J725=4),VLOOKUP(_xlfn.MINIFS('FIRE TEX 5120'!$H$4:$H$40,'FIRE TEX 5120'!$H$4:$H$40,"&gt;="&amp;M725),'FIRE TEX 5120'!$H$4:$M$40,IF(L725="F-15",2,IF(L725="F-30",3,IF(L725="F-60",4,IF(L725="F-90",5,IF(L725="F-120",6,0))))),0),0)+IF(AND(O725="FIRE TEX 5120",E725="CJ"),VLOOKUP(_xlfn.MINIFS('FIRE TEX 5120'!$O$5:$O$40,'FIRE TEX 5120'!$O$5:$O$40,"&gt;="&amp;M725),'FIRE TEX 5120'!$O$5:$T$40,IF(L725="F-15",2,IF(L725="F-30",3,IF(L725="F-60",4,IF(L725="F-90",5,IF(L725="F-120",6,0))))),0),0)</f>
        <v>0</v>
      </c>
      <c r="Q725" s="46">
        <f t="shared" si="74"/>
        <v>0</v>
      </c>
      <c r="R725" s="46">
        <f t="shared" si="75"/>
        <v>0</v>
      </c>
      <c r="S725" s="46" t="e">
        <f t="shared" si="76"/>
        <v>#VALUE!</v>
      </c>
      <c r="T725" s="677">
        <f t="shared" si="77"/>
        <v>0</v>
      </c>
      <c r="U725" s="80">
        <f>(IF(O725="Stofire",(S725*#REF!),0))+(IF(O725="Fire Control",(S725*$U$2),0))+(IF(O725="Fire Tex",(S725*$U$3),0))+(IF(O725="WB7",(S725*#REF!),0)+(IF(O725="FX 2003",(S725*$U$5),0)))</f>
        <v>0</v>
      </c>
      <c r="V725" s="651">
        <f t="shared" si="78"/>
        <v>0</v>
      </c>
    </row>
    <row r="726" spans="4:22" x14ac:dyDescent="0.25">
      <c r="D726" s="118">
        <f>+CUBICACION!D725</f>
        <v>0</v>
      </c>
      <c r="E726" s="118">
        <f>+CUBICACION!F725</f>
        <v>0</v>
      </c>
      <c r="F726" s="118">
        <f>+CUBICACION!E725</f>
        <v>0</v>
      </c>
      <c r="G726" s="118">
        <v>12</v>
      </c>
      <c r="H726" s="118">
        <v>2</v>
      </c>
      <c r="I726" s="820">
        <v>26385</v>
      </c>
      <c r="J726" s="118">
        <f>+CUBICACION!J725</f>
        <v>0</v>
      </c>
      <c r="K726" s="118">
        <v>3505</v>
      </c>
      <c r="L726" s="118">
        <f>+CUBICACION!L725</f>
        <v>0</v>
      </c>
      <c r="M726" s="64">
        <f>+CUBICACION!M725</f>
        <v>0</v>
      </c>
      <c r="N726" s="824" t="str">
        <f>+CUBICACION!N725</f>
        <v/>
      </c>
      <c r="O726" s="675">
        <f>+CUBICACION!O725</f>
        <v>0</v>
      </c>
      <c r="P726" s="15">
        <f>IF(O726="Fire Control",VLOOKUP(_xlfn.MINIFS('FIRE CONTROL'!$C$4:$C$37,'FIRE CONTROL'!$C$4:$C$37,"&gt;="&amp;M726),'FIRE CONTROL'!$C$4:$G$37,IF(L726="F-15",2,IF(L726="F-30",3,IF(L726="F-60",4,IF(L726="F-90",5,0)))),0),0)+IF(AND(O726="FIRE TEX 5062",OR(E726="IN",E726="C",E726="Z",E726="L"),J726=3),VLOOKUP(_xlfn.MINIFS('FIRE TEX 5062'!$B$4:$B$34,'FIRE TEX 5062'!$B$4:$B$34,"&gt;="&amp;M726),'FIRE TEX 5062'!$B$4:$F$34,IF(L726="F-15",2,IF(L726="F-30",3,IF(L726="F-60",4,IF(L726="F-90",5,0)))),0),0)+IF(AND(O726="FIRE TEX 5062",OR(E726="IN",E726="C",E726="Z",E726="L"),J726=4),VLOOKUP(_xlfn.MINIFS('FIRE TEX 5062'!$G$4:$G$34,'FIRE TEX 5062'!$G$4:$G$34,"&gt;="&amp;M726),'FIRE TEX 5062'!$G$4:$K$34,IF(L726="F-15",2,IF(L726="F-30",3,IF(L726="F-60",4,IF(L726="F-90",5,0)))),0),0)+IF(AND(O726="FIRE TEX 5062",E726="CJ",J726=3),VLOOKUP(_xlfn.MINIFS('FIRE TEX 5062'!$L$4:$L$34,'FIRE TEX 5062'!$L$4:$L$34,"&gt;="&amp;M726),'FIRE TEX 5062'!$L$4:$P$34,IF(L726="F-15",2,IF(L726="F-30",3,IF(L726="F-60",4,IF(L726="F-90",5,0)))),0),0)+IF(AND(O726="FIRE TEX 5062",E726="CJ",J726=4),VLOOKUP(_xlfn.MINIFS('FIRE TEX 5062'!$Q$3:$Q$34,'FIRE TEX 5062'!$Q$3:$Q$34,"&gt;="&amp;M726),'FIRE TEX 5062'!$Q$3:$U$34,IF(L726="F-15",2,IF(L726="F-30",3,IF(L726="F-60",4,IF(L726="F-90",5,0)))),0),0)+IF(AND(O726="FIRE TEX 5090",OR(E726="IN",E726="C",E726="Z",E726="L"),J726=3),VLOOKUP(_xlfn.MINIFS('FIRE TEX 5090'!$B$5:$B$43,'FIRE TEX 5090'!$B$5:$B$43,"&gt;="&amp;M726),'FIRE TEX 5090'!$B$5:$H$43,IF(L726="F-15",2,IF(L726="F-30",3,IF(L726="F-60",4,IF(L726="F-90",5,IF(L726="F-120",6,IF(L726="F-150",7,0)))))),0),0)+IF(AND(O726="FIRE TEX 5090",OR(E726="IN",E726="C",E726="Z",E726="L"),J726=4),VLOOKUP(_xlfn.MINIFS('FIRE TEX 5090'!$J$5:$J$43,'FIRE TEX 5090'!$J$5:$J$43,"&gt;="&amp;M726),'FIRE TEX 5090'!$J$5:$P$43,IF(L726="F-15",2,IF(L726="F-30",3,IF(L726="F-60",4,IF(L726="F-90",5,IF(L726="F-120",6,IF(L726="F-150",7,0)))))),0),0)+IF(AND(O726="FIRE TEX 5090",E726="CJ",J726=3),VLOOKUP(_xlfn.MINIFS('FIRE TEX 5090'!$R$5:$R$30,'FIRE TEX 5090'!$R$5:$R$30,"&gt;="&amp;M726),'FIRE TEX 5090'!$R$5:$W$30,IF(L726="F-15",2,IF(L726="F-30",3,IF(L726="F-60",4,IF(L726="F-90",5,IF(L726="F-120",6,IF(L726="F-150",7,0)))))),0),0)+IF(AND(O726="FIRE TEX 5090",E726="CJ",J726=4),VLOOKUP(_xlfn.MINIFS('FIRE TEX 5090'!$Y$5:$Y$39,'FIRE TEX 5090'!$Y$5:$Y$39,"&gt;="&amp;M726),'FIRE TEX 5090'!$Y$5:$AD$39,IF(L726="F-15",2,IF(L726="F-30",3,IF(L726="F-60",4,IF(L726="F-90",5,IF(L726="F-120",6,IF(L726="F-150",7,0)))))),0),0)+IF(AND(O726="FIRE TEX 5120",OR(E726="IN",E726="C",E726="Z",E726="L"),J726=3),VLOOKUP(_xlfn.MINIFS('FIRE TEX 5120'!$B$5:$B$40,'FIRE TEX 5120'!$B$5:$B$40,"&gt;="&amp;M726),'FIRE TEX 5120'!$B$5:$G$40,IF(L726="F-15",2,IF(L726="F-30",3,IF(L726="F-60",4,IF(L726="F-90",5,IF(L726="F-120",6,0))))),0),0)+IF(AND(O726="FIRE TEX 5120",OR(E726="IN",E726="C",E726="Z",E726="L"),J726=4),VLOOKUP(_xlfn.MINIFS('FIRE TEX 5120'!$H$4:$H$40,'FIRE TEX 5120'!$H$4:$H$40,"&gt;="&amp;M726),'FIRE TEX 5120'!$H$4:$M$40,IF(L726="F-15",2,IF(L726="F-30",3,IF(L726="F-60",4,IF(L726="F-90",5,IF(L726="F-120",6,0))))),0),0)+IF(AND(O726="FIRE TEX 5120",E726="CJ"),VLOOKUP(_xlfn.MINIFS('FIRE TEX 5120'!$O$5:$O$40,'FIRE TEX 5120'!$O$5:$O$40,"&gt;="&amp;M726),'FIRE TEX 5120'!$O$5:$T$40,IF(L726="F-15",2,IF(L726="F-30",3,IF(L726="F-60",4,IF(L726="F-90",5,IF(L726="F-120",6,0))))),0),0)</f>
        <v>0</v>
      </c>
      <c r="Q726" s="46">
        <f t="shared" si="74"/>
        <v>0</v>
      </c>
      <c r="R726" s="46">
        <f t="shared" si="75"/>
        <v>0</v>
      </c>
      <c r="S726" s="46" t="e">
        <f t="shared" si="76"/>
        <v>#VALUE!</v>
      </c>
      <c r="T726" s="677">
        <f t="shared" si="77"/>
        <v>0</v>
      </c>
      <c r="U726" s="80">
        <f>(IF(O726="Stofire",(S726*#REF!),0))+(IF(O726="Fire Control",(S726*$U$2),0))+(IF(O726="Fire Tex",(S726*$U$3),0))+(IF(O726="WB7",(S726*#REF!),0)+(IF(O726="FX 2003",(S726*$U$5),0)))</f>
        <v>0</v>
      </c>
      <c r="V726" s="651">
        <f t="shared" si="78"/>
        <v>0</v>
      </c>
    </row>
    <row r="727" spans="4:22" x14ac:dyDescent="0.25">
      <c r="D727" s="118">
        <f>+CUBICACION!D726</f>
        <v>0</v>
      </c>
      <c r="E727" s="118">
        <f>+CUBICACION!F726</f>
        <v>0</v>
      </c>
      <c r="F727" s="118">
        <f>+CUBICACION!E726</f>
        <v>0</v>
      </c>
      <c r="G727" s="118">
        <v>12</v>
      </c>
      <c r="H727" s="118">
        <v>2</v>
      </c>
      <c r="I727" s="820">
        <v>26385</v>
      </c>
      <c r="J727" s="118">
        <f>+CUBICACION!J726</f>
        <v>0</v>
      </c>
      <c r="K727" s="118">
        <v>3506</v>
      </c>
      <c r="L727" s="118">
        <f>+CUBICACION!L726</f>
        <v>0</v>
      </c>
      <c r="M727" s="64">
        <f>+CUBICACION!M726</f>
        <v>0</v>
      </c>
      <c r="N727" s="824" t="str">
        <f>+CUBICACION!N726</f>
        <v/>
      </c>
      <c r="O727" s="675">
        <f>+CUBICACION!O726</f>
        <v>0</v>
      </c>
      <c r="P727" s="15">
        <f>IF(O727="Fire Control",VLOOKUP(_xlfn.MINIFS('FIRE CONTROL'!$C$4:$C$37,'FIRE CONTROL'!$C$4:$C$37,"&gt;="&amp;M727),'FIRE CONTROL'!$C$4:$G$37,IF(L727="F-15",2,IF(L727="F-30",3,IF(L727="F-60",4,IF(L727="F-90",5,0)))),0),0)+IF(AND(O727="FIRE TEX 5062",OR(E727="IN",E727="C",E727="Z",E727="L"),J727=3),VLOOKUP(_xlfn.MINIFS('FIRE TEX 5062'!$B$4:$B$34,'FIRE TEX 5062'!$B$4:$B$34,"&gt;="&amp;M727),'FIRE TEX 5062'!$B$4:$F$34,IF(L727="F-15",2,IF(L727="F-30",3,IF(L727="F-60",4,IF(L727="F-90",5,0)))),0),0)+IF(AND(O727="FIRE TEX 5062",OR(E727="IN",E727="C",E727="Z",E727="L"),J727=4),VLOOKUP(_xlfn.MINIFS('FIRE TEX 5062'!$G$4:$G$34,'FIRE TEX 5062'!$G$4:$G$34,"&gt;="&amp;M727),'FIRE TEX 5062'!$G$4:$K$34,IF(L727="F-15",2,IF(L727="F-30",3,IF(L727="F-60",4,IF(L727="F-90",5,0)))),0),0)+IF(AND(O727="FIRE TEX 5062",E727="CJ",J727=3),VLOOKUP(_xlfn.MINIFS('FIRE TEX 5062'!$L$4:$L$34,'FIRE TEX 5062'!$L$4:$L$34,"&gt;="&amp;M727),'FIRE TEX 5062'!$L$4:$P$34,IF(L727="F-15",2,IF(L727="F-30",3,IF(L727="F-60",4,IF(L727="F-90",5,0)))),0),0)+IF(AND(O727="FIRE TEX 5062",E727="CJ",J727=4),VLOOKUP(_xlfn.MINIFS('FIRE TEX 5062'!$Q$3:$Q$34,'FIRE TEX 5062'!$Q$3:$Q$34,"&gt;="&amp;M727),'FIRE TEX 5062'!$Q$3:$U$34,IF(L727="F-15",2,IF(L727="F-30",3,IF(L727="F-60",4,IF(L727="F-90",5,0)))),0),0)+IF(AND(O727="FIRE TEX 5090",OR(E727="IN",E727="C",E727="Z",E727="L"),J727=3),VLOOKUP(_xlfn.MINIFS('FIRE TEX 5090'!$B$5:$B$43,'FIRE TEX 5090'!$B$5:$B$43,"&gt;="&amp;M727),'FIRE TEX 5090'!$B$5:$H$43,IF(L727="F-15",2,IF(L727="F-30",3,IF(L727="F-60",4,IF(L727="F-90",5,IF(L727="F-120",6,IF(L727="F-150",7,0)))))),0),0)+IF(AND(O727="FIRE TEX 5090",OR(E727="IN",E727="C",E727="Z",E727="L"),J727=4),VLOOKUP(_xlfn.MINIFS('FIRE TEX 5090'!$J$5:$J$43,'FIRE TEX 5090'!$J$5:$J$43,"&gt;="&amp;M727),'FIRE TEX 5090'!$J$5:$P$43,IF(L727="F-15",2,IF(L727="F-30",3,IF(L727="F-60",4,IF(L727="F-90",5,IF(L727="F-120",6,IF(L727="F-150",7,0)))))),0),0)+IF(AND(O727="FIRE TEX 5090",E727="CJ",J727=3),VLOOKUP(_xlfn.MINIFS('FIRE TEX 5090'!$R$5:$R$30,'FIRE TEX 5090'!$R$5:$R$30,"&gt;="&amp;M727),'FIRE TEX 5090'!$R$5:$W$30,IF(L727="F-15",2,IF(L727="F-30",3,IF(L727="F-60",4,IF(L727="F-90",5,IF(L727="F-120",6,IF(L727="F-150",7,0)))))),0),0)+IF(AND(O727="FIRE TEX 5090",E727="CJ",J727=4),VLOOKUP(_xlfn.MINIFS('FIRE TEX 5090'!$Y$5:$Y$39,'FIRE TEX 5090'!$Y$5:$Y$39,"&gt;="&amp;M727),'FIRE TEX 5090'!$Y$5:$AD$39,IF(L727="F-15",2,IF(L727="F-30",3,IF(L727="F-60",4,IF(L727="F-90",5,IF(L727="F-120",6,IF(L727="F-150",7,0)))))),0),0)+IF(AND(O727="FIRE TEX 5120",OR(E727="IN",E727="C",E727="Z",E727="L"),J727=3),VLOOKUP(_xlfn.MINIFS('FIRE TEX 5120'!$B$5:$B$40,'FIRE TEX 5120'!$B$5:$B$40,"&gt;="&amp;M727),'FIRE TEX 5120'!$B$5:$G$40,IF(L727="F-15",2,IF(L727="F-30",3,IF(L727="F-60",4,IF(L727="F-90",5,IF(L727="F-120",6,0))))),0),0)+IF(AND(O727="FIRE TEX 5120",OR(E727="IN",E727="C",E727="Z",E727="L"),J727=4),VLOOKUP(_xlfn.MINIFS('FIRE TEX 5120'!$H$4:$H$40,'FIRE TEX 5120'!$H$4:$H$40,"&gt;="&amp;M727),'FIRE TEX 5120'!$H$4:$M$40,IF(L727="F-15",2,IF(L727="F-30",3,IF(L727="F-60",4,IF(L727="F-90",5,IF(L727="F-120",6,0))))),0),0)+IF(AND(O727="FIRE TEX 5120",E727="CJ"),VLOOKUP(_xlfn.MINIFS('FIRE TEX 5120'!$O$5:$O$40,'FIRE TEX 5120'!$O$5:$O$40,"&gt;="&amp;M727),'FIRE TEX 5120'!$O$5:$T$40,IF(L727="F-15",2,IF(L727="F-30",3,IF(L727="F-60",4,IF(L727="F-90",5,IF(L727="F-120",6,0))))),0),0)</f>
        <v>0</v>
      </c>
      <c r="Q727" s="46">
        <f t="shared" si="74"/>
        <v>0</v>
      </c>
      <c r="R727" s="46">
        <f t="shared" si="75"/>
        <v>0</v>
      </c>
      <c r="S727" s="46" t="e">
        <f t="shared" si="76"/>
        <v>#VALUE!</v>
      </c>
      <c r="T727" s="677">
        <f t="shared" si="77"/>
        <v>0</v>
      </c>
      <c r="U727" s="80">
        <f>(IF(O727="Stofire",(S727*#REF!),0))+(IF(O727="Fire Control",(S727*$U$2),0))+(IF(O727="Fire Tex",(S727*$U$3),0))+(IF(O727="WB7",(S727*#REF!),0)+(IF(O727="FX 2003",(S727*$U$5),0)))</f>
        <v>0</v>
      </c>
      <c r="V727" s="651">
        <f t="shared" si="78"/>
        <v>0</v>
      </c>
    </row>
    <row r="728" spans="4:22" x14ac:dyDescent="0.25">
      <c r="D728" s="118">
        <f>+CUBICACION!D727</f>
        <v>0</v>
      </c>
      <c r="E728" s="118">
        <f>+CUBICACION!F727</f>
        <v>0</v>
      </c>
      <c r="F728" s="118">
        <f>+CUBICACION!E727</f>
        <v>0</v>
      </c>
      <c r="G728" s="118">
        <v>12</v>
      </c>
      <c r="H728" s="118">
        <v>2</v>
      </c>
      <c r="I728" s="820">
        <v>26385</v>
      </c>
      <c r="J728" s="118">
        <f>+CUBICACION!J727</f>
        <v>0</v>
      </c>
      <c r="K728" s="118">
        <v>3507</v>
      </c>
      <c r="L728" s="118">
        <f>+CUBICACION!L727</f>
        <v>0</v>
      </c>
      <c r="M728" s="64">
        <f>+CUBICACION!M727</f>
        <v>0</v>
      </c>
      <c r="N728" s="824" t="str">
        <f>+CUBICACION!N727</f>
        <v/>
      </c>
      <c r="O728" s="675">
        <f>+CUBICACION!O727</f>
        <v>0</v>
      </c>
      <c r="P728" s="15">
        <f>IF(O728="Fire Control",VLOOKUP(_xlfn.MINIFS('FIRE CONTROL'!$C$4:$C$37,'FIRE CONTROL'!$C$4:$C$37,"&gt;="&amp;M728),'FIRE CONTROL'!$C$4:$G$37,IF(L728="F-15",2,IF(L728="F-30",3,IF(L728="F-60",4,IF(L728="F-90",5,0)))),0),0)+IF(AND(O728="FIRE TEX 5062",OR(E728="IN",E728="C",E728="Z",E728="L"),J728=3),VLOOKUP(_xlfn.MINIFS('FIRE TEX 5062'!$B$4:$B$34,'FIRE TEX 5062'!$B$4:$B$34,"&gt;="&amp;M728),'FIRE TEX 5062'!$B$4:$F$34,IF(L728="F-15",2,IF(L728="F-30",3,IF(L728="F-60",4,IF(L728="F-90",5,0)))),0),0)+IF(AND(O728="FIRE TEX 5062",OR(E728="IN",E728="C",E728="Z",E728="L"),J728=4),VLOOKUP(_xlfn.MINIFS('FIRE TEX 5062'!$G$4:$G$34,'FIRE TEX 5062'!$G$4:$G$34,"&gt;="&amp;M728),'FIRE TEX 5062'!$G$4:$K$34,IF(L728="F-15",2,IF(L728="F-30",3,IF(L728="F-60",4,IF(L728="F-90",5,0)))),0),0)+IF(AND(O728="FIRE TEX 5062",E728="CJ",J728=3),VLOOKUP(_xlfn.MINIFS('FIRE TEX 5062'!$L$4:$L$34,'FIRE TEX 5062'!$L$4:$L$34,"&gt;="&amp;M728),'FIRE TEX 5062'!$L$4:$P$34,IF(L728="F-15",2,IF(L728="F-30",3,IF(L728="F-60",4,IF(L728="F-90",5,0)))),0),0)+IF(AND(O728="FIRE TEX 5062",E728="CJ",J728=4),VLOOKUP(_xlfn.MINIFS('FIRE TEX 5062'!$Q$3:$Q$34,'FIRE TEX 5062'!$Q$3:$Q$34,"&gt;="&amp;M728),'FIRE TEX 5062'!$Q$3:$U$34,IF(L728="F-15",2,IF(L728="F-30",3,IF(L728="F-60",4,IF(L728="F-90",5,0)))),0),0)+IF(AND(O728="FIRE TEX 5090",OR(E728="IN",E728="C",E728="Z",E728="L"),J728=3),VLOOKUP(_xlfn.MINIFS('FIRE TEX 5090'!$B$5:$B$43,'FIRE TEX 5090'!$B$5:$B$43,"&gt;="&amp;M728),'FIRE TEX 5090'!$B$5:$H$43,IF(L728="F-15",2,IF(L728="F-30",3,IF(L728="F-60",4,IF(L728="F-90",5,IF(L728="F-120",6,IF(L728="F-150",7,0)))))),0),0)+IF(AND(O728="FIRE TEX 5090",OR(E728="IN",E728="C",E728="Z",E728="L"),J728=4),VLOOKUP(_xlfn.MINIFS('FIRE TEX 5090'!$J$5:$J$43,'FIRE TEX 5090'!$J$5:$J$43,"&gt;="&amp;M728),'FIRE TEX 5090'!$J$5:$P$43,IF(L728="F-15",2,IF(L728="F-30",3,IF(L728="F-60",4,IF(L728="F-90",5,IF(L728="F-120",6,IF(L728="F-150",7,0)))))),0),0)+IF(AND(O728="FIRE TEX 5090",E728="CJ",J728=3),VLOOKUP(_xlfn.MINIFS('FIRE TEX 5090'!$R$5:$R$30,'FIRE TEX 5090'!$R$5:$R$30,"&gt;="&amp;M728),'FIRE TEX 5090'!$R$5:$W$30,IF(L728="F-15",2,IF(L728="F-30",3,IF(L728="F-60",4,IF(L728="F-90",5,IF(L728="F-120",6,IF(L728="F-150",7,0)))))),0),0)+IF(AND(O728="FIRE TEX 5090",E728="CJ",J728=4),VLOOKUP(_xlfn.MINIFS('FIRE TEX 5090'!$Y$5:$Y$39,'FIRE TEX 5090'!$Y$5:$Y$39,"&gt;="&amp;M728),'FIRE TEX 5090'!$Y$5:$AD$39,IF(L728="F-15",2,IF(L728="F-30",3,IF(L728="F-60",4,IF(L728="F-90",5,IF(L728="F-120",6,IF(L728="F-150",7,0)))))),0),0)+IF(AND(O728="FIRE TEX 5120",OR(E728="IN",E728="C",E728="Z",E728="L"),J728=3),VLOOKUP(_xlfn.MINIFS('FIRE TEX 5120'!$B$5:$B$40,'FIRE TEX 5120'!$B$5:$B$40,"&gt;="&amp;M728),'FIRE TEX 5120'!$B$5:$G$40,IF(L728="F-15",2,IF(L728="F-30",3,IF(L728="F-60",4,IF(L728="F-90",5,IF(L728="F-120",6,0))))),0),0)+IF(AND(O728="FIRE TEX 5120",OR(E728="IN",E728="C",E728="Z",E728="L"),J728=4),VLOOKUP(_xlfn.MINIFS('FIRE TEX 5120'!$H$4:$H$40,'FIRE TEX 5120'!$H$4:$H$40,"&gt;="&amp;M728),'FIRE TEX 5120'!$H$4:$M$40,IF(L728="F-15",2,IF(L728="F-30",3,IF(L728="F-60",4,IF(L728="F-90",5,IF(L728="F-120",6,0))))),0),0)+IF(AND(O728="FIRE TEX 5120",E728="CJ"),VLOOKUP(_xlfn.MINIFS('FIRE TEX 5120'!$O$5:$O$40,'FIRE TEX 5120'!$O$5:$O$40,"&gt;="&amp;M728),'FIRE TEX 5120'!$O$5:$T$40,IF(L728="F-15",2,IF(L728="F-30",3,IF(L728="F-60",4,IF(L728="F-90",5,IF(L728="F-120",6,0))))),0),0)</f>
        <v>0</v>
      </c>
      <c r="Q728" s="46">
        <f t="shared" si="74"/>
        <v>0</v>
      </c>
      <c r="R728" s="46">
        <f t="shared" si="75"/>
        <v>0</v>
      </c>
      <c r="S728" s="46" t="e">
        <f t="shared" si="76"/>
        <v>#VALUE!</v>
      </c>
      <c r="T728" s="677">
        <f t="shared" si="77"/>
        <v>0</v>
      </c>
      <c r="U728" s="80">
        <f>(IF(O728="Stofire",(S728*#REF!),0))+(IF(O728="Fire Control",(S728*$U$2),0))+(IF(O728="Fire Tex",(S728*$U$3),0))+(IF(O728="WB7",(S728*#REF!),0)+(IF(O728="FX 2003",(S728*$U$5),0)))</f>
        <v>0</v>
      </c>
      <c r="V728" s="651">
        <f t="shared" si="78"/>
        <v>0</v>
      </c>
    </row>
    <row r="729" spans="4:22" x14ac:dyDescent="0.25">
      <c r="D729" s="118">
        <f>+CUBICACION!D728</f>
        <v>0</v>
      </c>
      <c r="E729" s="118">
        <f>+CUBICACION!F728</f>
        <v>0</v>
      </c>
      <c r="F729" s="118">
        <f>+CUBICACION!E728</f>
        <v>0</v>
      </c>
      <c r="G729" s="118">
        <v>12</v>
      </c>
      <c r="H729" s="118">
        <v>2</v>
      </c>
      <c r="I729" s="820">
        <v>26385</v>
      </c>
      <c r="J729" s="118">
        <f>+CUBICACION!J728</f>
        <v>0</v>
      </c>
      <c r="K729" s="118">
        <v>3508</v>
      </c>
      <c r="L729" s="118">
        <f>+CUBICACION!L728</f>
        <v>0</v>
      </c>
      <c r="M729" s="64">
        <f>+CUBICACION!M728</f>
        <v>0</v>
      </c>
      <c r="N729" s="824" t="str">
        <f>+CUBICACION!N728</f>
        <v/>
      </c>
      <c r="O729" s="675">
        <f>+CUBICACION!O728</f>
        <v>0</v>
      </c>
      <c r="P729" s="15">
        <f>IF(O729="Fire Control",VLOOKUP(_xlfn.MINIFS('FIRE CONTROL'!$C$4:$C$37,'FIRE CONTROL'!$C$4:$C$37,"&gt;="&amp;M729),'FIRE CONTROL'!$C$4:$G$37,IF(L729="F-15",2,IF(L729="F-30",3,IF(L729="F-60",4,IF(L729="F-90",5,0)))),0),0)+IF(AND(O729="FIRE TEX 5062",OR(E729="IN",E729="C",E729="Z",E729="L"),J729=3),VLOOKUP(_xlfn.MINIFS('FIRE TEX 5062'!$B$4:$B$34,'FIRE TEX 5062'!$B$4:$B$34,"&gt;="&amp;M729),'FIRE TEX 5062'!$B$4:$F$34,IF(L729="F-15",2,IF(L729="F-30",3,IF(L729="F-60",4,IF(L729="F-90",5,0)))),0),0)+IF(AND(O729="FIRE TEX 5062",OR(E729="IN",E729="C",E729="Z",E729="L"),J729=4),VLOOKUP(_xlfn.MINIFS('FIRE TEX 5062'!$G$4:$G$34,'FIRE TEX 5062'!$G$4:$G$34,"&gt;="&amp;M729),'FIRE TEX 5062'!$G$4:$K$34,IF(L729="F-15",2,IF(L729="F-30",3,IF(L729="F-60",4,IF(L729="F-90",5,0)))),0),0)+IF(AND(O729="FIRE TEX 5062",E729="CJ",J729=3),VLOOKUP(_xlfn.MINIFS('FIRE TEX 5062'!$L$4:$L$34,'FIRE TEX 5062'!$L$4:$L$34,"&gt;="&amp;M729),'FIRE TEX 5062'!$L$4:$P$34,IF(L729="F-15",2,IF(L729="F-30",3,IF(L729="F-60",4,IF(L729="F-90",5,0)))),0),0)+IF(AND(O729="FIRE TEX 5062",E729="CJ",J729=4),VLOOKUP(_xlfn.MINIFS('FIRE TEX 5062'!$Q$3:$Q$34,'FIRE TEX 5062'!$Q$3:$Q$34,"&gt;="&amp;M729),'FIRE TEX 5062'!$Q$3:$U$34,IF(L729="F-15",2,IF(L729="F-30",3,IF(L729="F-60",4,IF(L729="F-90",5,0)))),0),0)+IF(AND(O729="FIRE TEX 5090",OR(E729="IN",E729="C",E729="Z",E729="L"),J729=3),VLOOKUP(_xlfn.MINIFS('FIRE TEX 5090'!$B$5:$B$43,'FIRE TEX 5090'!$B$5:$B$43,"&gt;="&amp;M729),'FIRE TEX 5090'!$B$5:$H$43,IF(L729="F-15",2,IF(L729="F-30",3,IF(L729="F-60",4,IF(L729="F-90",5,IF(L729="F-120",6,IF(L729="F-150",7,0)))))),0),0)+IF(AND(O729="FIRE TEX 5090",OR(E729="IN",E729="C",E729="Z",E729="L"),J729=4),VLOOKUP(_xlfn.MINIFS('FIRE TEX 5090'!$J$5:$J$43,'FIRE TEX 5090'!$J$5:$J$43,"&gt;="&amp;M729),'FIRE TEX 5090'!$J$5:$P$43,IF(L729="F-15",2,IF(L729="F-30",3,IF(L729="F-60",4,IF(L729="F-90",5,IF(L729="F-120",6,IF(L729="F-150",7,0)))))),0),0)+IF(AND(O729="FIRE TEX 5090",E729="CJ",J729=3),VLOOKUP(_xlfn.MINIFS('FIRE TEX 5090'!$R$5:$R$30,'FIRE TEX 5090'!$R$5:$R$30,"&gt;="&amp;M729),'FIRE TEX 5090'!$R$5:$W$30,IF(L729="F-15",2,IF(L729="F-30",3,IF(L729="F-60",4,IF(L729="F-90",5,IF(L729="F-120",6,IF(L729="F-150",7,0)))))),0),0)+IF(AND(O729="FIRE TEX 5090",E729="CJ",J729=4),VLOOKUP(_xlfn.MINIFS('FIRE TEX 5090'!$Y$5:$Y$39,'FIRE TEX 5090'!$Y$5:$Y$39,"&gt;="&amp;M729),'FIRE TEX 5090'!$Y$5:$AD$39,IF(L729="F-15",2,IF(L729="F-30",3,IF(L729="F-60",4,IF(L729="F-90",5,IF(L729="F-120",6,IF(L729="F-150",7,0)))))),0),0)+IF(AND(O729="FIRE TEX 5120",OR(E729="IN",E729="C",E729="Z",E729="L"),J729=3),VLOOKUP(_xlfn.MINIFS('FIRE TEX 5120'!$B$5:$B$40,'FIRE TEX 5120'!$B$5:$B$40,"&gt;="&amp;M729),'FIRE TEX 5120'!$B$5:$G$40,IF(L729="F-15",2,IF(L729="F-30",3,IF(L729="F-60",4,IF(L729="F-90",5,IF(L729="F-120",6,0))))),0),0)+IF(AND(O729="FIRE TEX 5120",OR(E729="IN",E729="C",E729="Z",E729="L"),J729=4),VLOOKUP(_xlfn.MINIFS('FIRE TEX 5120'!$H$4:$H$40,'FIRE TEX 5120'!$H$4:$H$40,"&gt;="&amp;M729),'FIRE TEX 5120'!$H$4:$M$40,IF(L729="F-15",2,IF(L729="F-30",3,IF(L729="F-60",4,IF(L729="F-90",5,IF(L729="F-120",6,0))))),0),0)+IF(AND(O729="FIRE TEX 5120",E729="CJ"),VLOOKUP(_xlfn.MINIFS('FIRE TEX 5120'!$O$5:$O$40,'FIRE TEX 5120'!$O$5:$O$40,"&gt;="&amp;M729),'FIRE TEX 5120'!$O$5:$T$40,IF(L729="F-15",2,IF(L729="F-30",3,IF(L729="F-60",4,IF(L729="F-90",5,IF(L729="F-120",6,0))))),0),0)</f>
        <v>0</v>
      </c>
      <c r="Q729" s="46">
        <f t="shared" si="74"/>
        <v>0</v>
      </c>
      <c r="R729" s="46">
        <f t="shared" si="75"/>
        <v>0</v>
      </c>
      <c r="S729" s="46" t="e">
        <f t="shared" si="76"/>
        <v>#VALUE!</v>
      </c>
      <c r="T729" s="677">
        <f t="shared" si="77"/>
        <v>0</v>
      </c>
      <c r="U729" s="80">
        <f>(IF(O729="Stofire",(S729*#REF!),0))+(IF(O729="Fire Control",(S729*$U$2),0))+(IF(O729="Fire Tex",(S729*$U$3),0))+(IF(O729="WB7",(S729*#REF!),0)+(IF(O729="FX 2003",(S729*$U$5),0)))</f>
        <v>0</v>
      </c>
      <c r="V729" s="651">
        <f t="shared" si="78"/>
        <v>0</v>
      </c>
    </row>
    <row r="730" spans="4:22" x14ac:dyDescent="0.25">
      <c r="D730" s="118">
        <f>+CUBICACION!D729</f>
        <v>0</v>
      </c>
      <c r="E730" s="118">
        <f>+CUBICACION!F729</f>
        <v>0</v>
      </c>
      <c r="F730" s="118">
        <f>+CUBICACION!E729</f>
        <v>0</v>
      </c>
      <c r="G730" s="118">
        <v>12</v>
      </c>
      <c r="H730" s="118">
        <v>2</v>
      </c>
      <c r="I730" s="820">
        <v>26385</v>
      </c>
      <c r="J730" s="118">
        <f>+CUBICACION!J729</f>
        <v>0</v>
      </c>
      <c r="K730" s="118">
        <v>3509</v>
      </c>
      <c r="L730" s="118">
        <f>+CUBICACION!L729</f>
        <v>0</v>
      </c>
      <c r="M730" s="64">
        <f>+CUBICACION!M729</f>
        <v>0</v>
      </c>
      <c r="N730" s="824" t="str">
        <f>+CUBICACION!N729</f>
        <v/>
      </c>
      <c r="O730" s="675">
        <f>+CUBICACION!O729</f>
        <v>0</v>
      </c>
      <c r="P730" s="15">
        <f>IF(O730="Fire Control",VLOOKUP(_xlfn.MINIFS('FIRE CONTROL'!$C$4:$C$37,'FIRE CONTROL'!$C$4:$C$37,"&gt;="&amp;M730),'FIRE CONTROL'!$C$4:$G$37,IF(L730="F-15",2,IF(L730="F-30",3,IF(L730="F-60",4,IF(L730="F-90",5,0)))),0),0)+IF(AND(O730="FIRE TEX 5062",OR(E730="IN",E730="C",E730="Z",E730="L"),J730=3),VLOOKUP(_xlfn.MINIFS('FIRE TEX 5062'!$B$4:$B$34,'FIRE TEX 5062'!$B$4:$B$34,"&gt;="&amp;M730),'FIRE TEX 5062'!$B$4:$F$34,IF(L730="F-15",2,IF(L730="F-30",3,IF(L730="F-60",4,IF(L730="F-90",5,0)))),0),0)+IF(AND(O730="FIRE TEX 5062",OR(E730="IN",E730="C",E730="Z",E730="L"),J730=4),VLOOKUP(_xlfn.MINIFS('FIRE TEX 5062'!$G$4:$G$34,'FIRE TEX 5062'!$G$4:$G$34,"&gt;="&amp;M730),'FIRE TEX 5062'!$G$4:$K$34,IF(L730="F-15",2,IF(L730="F-30",3,IF(L730="F-60",4,IF(L730="F-90",5,0)))),0),0)+IF(AND(O730="FIRE TEX 5062",E730="CJ",J730=3),VLOOKUP(_xlfn.MINIFS('FIRE TEX 5062'!$L$4:$L$34,'FIRE TEX 5062'!$L$4:$L$34,"&gt;="&amp;M730),'FIRE TEX 5062'!$L$4:$P$34,IF(L730="F-15",2,IF(L730="F-30",3,IF(L730="F-60",4,IF(L730="F-90",5,0)))),0),0)+IF(AND(O730="FIRE TEX 5062",E730="CJ",J730=4),VLOOKUP(_xlfn.MINIFS('FIRE TEX 5062'!$Q$3:$Q$34,'FIRE TEX 5062'!$Q$3:$Q$34,"&gt;="&amp;M730),'FIRE TEX 5062'!$Q$3:$U$34,IF(L730="F-15",2,IF(L730="F-30",3,IF(L730="F-60",4,IF(L730="F-90",5,0)))),0),0)+IF(AND(O730="FIRE TEX 5090",OR(E730="IN",E730="C",E730="Z",E730="L"),J730=3),VLOOKUP(_xlfn.MINIFS('FIRE TEX 5090'!$B$5:$B$43,'FIRE TEX 5090'!$B$5:$B$43,"&gt;="&amp;M730),'FIRE TEX 5090'!$B$5:$H$43,IF(L730="F-15",2,IF(L730="F-30",3,IF(L730="F-60",4,IF(L730="F-90",5,IF(L730="F-120",6,IF(L730="F-150",7,0)))))),0),0)+IF(AND(O730="FIRE TEX 5090",OR(E730="IN",E730="C",E730="Z",E730="L"),J730=4),VLOOKUP(_xlfn.MINIFS('FIRE TEX 5090'!$J$5:$J$43,'FIRE TEX 5090'!$J$5:$J$43,"&gt;="&amp;M730),'FIRE TEX 5090'!$J$5:$P$43,IF(L730="F-15",2,IF(L730="F-30",3,IF(L730="F-60",4,IF(L730="F-90",5,IF(L730="F-120",6,IF(L730="F-150",7,0)))))),0),0)+IF(AND(O730="FIRE TEX 5090",E730="CJ",J730=3),VLOOKUP(_xlfn.MINIFS('FIRE TEX 5090'!$R$5:$R$30,'FIRE TEX 5090'!$R$5:$R$30,"&gt;="&amp;M730),'FIRE TEX 5090'!$R$5:$W$30,IF(L730="F-15",2,IF(L730="F-30",3,IF(L730="F-60",4,IF(L730="F-90",5,IF(L730="F-120",6,IF(L730="F-150",7,0)))))),0),0)+IF(AND(O730="FIRE TEX 5090",E730="CJ",J730=4),VLOOKUP(_xlfn.MINIFS('FIRE TEX 5090'!$Y$5:$Y$39,'FIRE TEX 5090'!$Y$5:$Y$39,"&gt;="&amp;M730),'FIRE TEX 5090'!$Y$5:$AD$39,IF(L730="F-15",2,IF(L730="F-30",3,IF(L730="F-60",4,IF(L730="F-90",5,IF(L730="F-120",6,IF(L730="F-150",7,0)))))),0),0)+IF(AND(O730="FIRE TEX 5120",OR(E730="IN",E730="C",E730="Z",E730="L"),J730=3),VLOOKUP(_xlfn.MINIFS('FIRE TEX 5120'!$B$5:$B$40,'FIRE TEX 5120'!$B$5:$B$40,"&gt;="&amp;M730),'FIRE TEX 5120'!$B$5:$G$40,IF(L730="F-15",2,IF(L730="F-30",3,IF(L730="F-60",4,IF(L730="F-90",5,IF(L730="F-120",6,0))))),0),0)+IF(AND(O730="FIRE TEX 5120",OR(E730="IN",E730="C",E730="Z",E730="L"),J730=4),VLOOKUP(_xlfn.MINIFS('FIRE TEX 5120'!$H$4:$H$40,'FIRE TEX 5120'!$H$4:$H$40,"&gt;="&amp;M730),'FIRE TEX 5120'!$H$4:$M$40,IF(L730="F-15",2,IF(L730="F-30",3,IF(L730="F-60",4,IF(L730="F-90",5,IF(L730="F-120",6,0))))),0),0)+IF(AND(O730="FIRE TEX 5120",E730="CJ"),VLOOKUP(_xlfn.MINIFS('FIRE TEX 5120'!$O$5:$O$40,'FIRE TEX 5120'!$O$5:$O$40,"&gt;="&amp;M730),'FIRE TEX 5120'!$O$5:$T$40,IF(L730="F-15",2,IF(L730="F-30",3,IF(L730="F-60",4,IF(L730="F-90",5,IF(L730="F-120",6,0))))),0),0)</f>
        <v>0</v>
      </c>
      <c r="Q730" s="46">
        <f t="shared" si="74"/>
        <v>0</v>
      </c>
      <c r="R730" s="46">
        <f t="shared" si="75"/>
        <v>0</v>
      </c>
      <c r="S730" s="46" t="e">
        <f t="shared" si="76"/>
        <v>#VALUE!</v>
      </c>
      <c r="T730" s="677">
        <f t="shared" si="77"/>
        <v>0</v>
      </c>
      <c r="U730" s="80">
        <f>(IF(O730="Stofire",(S730*#REF!),0))+(IF(O730="Fire Control",(S730*$U$2),0))+(IF(O730="Fire Tex",(S730*$U$3),0))+(IF(O730="WB7",(S730*#REF!),0)+(IF(O730="FX 2003",(S730*$U$5),0)))</f>
        <v>0</v>
      </c>
      <c r="V730" s="651">
        <f t="shared" si="78"/>
        <v>0</v>
      </c>
    </row>
    <row r="731" spans="4:22" x14ac:dyDescent="0.25">
      <c r="D731" s="118">
        <f>+CUBICACION!D730</f>
        <v>0</v>
      </c>
      <c r="E731" s="118">
        <f>+CUBICACION!F730</f>
        <v>0</v>
      </c>
      <c r="F731" s="118">
        <f>+CUBICACION!E730</f>
        <v>0</v>
      </c>
      <c r="G731" s="118">
        <v>12</v>
      </c>
      <c r="H731" s="118">
        <v>2</v>
      </c>
      <c r="I731" s="820">
        <v>26385</v>
      </c>
      <c r="J731" s="118">
        <f>+CUBICACION!J730</f>
        <v>0</v>
      </c>
      <c r="K731" s="118">
        <v>3510</v>
      </c>
      <c r="L731" s="118">
        <f>+CUBICACION!L730</f>
        <v>0</v>
      </c>
      <c r="M731" s="64">
        <f>+CUBICACION!M730</f>
        <v>0</v>
      </c>
      <c r="N731" s="824" t="str">
        <f>+CUBICACION!N730</f>
        <v/>
      </c>
      <c r="O731" s="675">
        <f>+CUBICACION!O730</f>
        <v>0</v>
      </c>
      <c r="P731" s="15">
        <f>IF(O731="Fire Control",VLOOKUP(_xlfn.MINIFS('FIRE CONTROL'!$C$4:$C$37,'FIRE CONTROL'!$C$4:$C$37,"&gt;="&amp;M731),'FIRE CONTROL'!$C$4:$G$37,IF(L731="F-15",2,IF(L731="F-30",3,IF(L731="F-60",4,IF(L731="F-90",5,0)))),0),0)+IF(AND(O731="FIRE TEX 5062",OR(E731="IN",E731="C",E731="Z",E731="L"),J731=3),VLOOKUP(_xlfn.MINIFS('FIRE TEX 5062'!$B$4:$B$34,'FIRE TEX 5062'!$B$4:$B$34,"&gt;="&amp;M731),'FIRE TEX 5062'!$B$4:$F$34,IF(L731="F-15",2,IF(L731="F-30",3,IF(L731="F-60",4,IF(L731="F-90",5,0)))),0),0)+IF(AND(O731="FIRE TEX 5062",OR(E731="IN",E731="C",E731="Z",E731="L"),J731=4),VLOOKUP(_xlfn.MINIFS('FIRE TEX 5062'!$G$4:$G$34,'FIRE TEX 5062'!$G$4:$G$34,"&gt;="&amp;M731),'FIRE TEX 5062'!$G$4:$K$34,IF(L731="F-15",2,IF(L731="F-30",3,IF(L731="F-60",4,IF(L731="F-90",5,0)))),0),0)+IF(AND(O731="FIRE TEX 5062",E731="CJ",J731=3),VLOOKUP(_xlfn.MINIFS('FIRE TEX 5062'!$L$4:$L$34,'FIRE TEX 5062'!$L$4:$L$34,"&gt;="&amp;M731),'FIRE TEX 5062'!$L$4:$P$34,IF(L731="F-15",2,IF(L731="F-30",3,IF(L731="F-60",4,IF(L731="F-90",5,0)))),0),0)+IF(AND(O731="FIRE TEX 5062",E731="CJ",J731=4),VLOOKUP(_xlfn.MINIFS('FIRE TEX 5062'!$Q$3:$Q$34,'FIRE TEX 5062'!$Q$3:$Q$34,"&gt;="&amp;M731),'FIRE TEX 5062'!$Q$3:$U$34,IF(L731="F-15",2,IF(L731="F-30",3,IF(L731="F-60",4,IF(L731="F-90",5,0)))),0),0)+IF(AND(O731="FIRE TEX 5090",OR(E731="IN",E731="C",E731="Z",E731="L"),J731=3),VLOOKUP(_xlfn.MINIFS('FIRE TEX 5090'!$B$5:$B$43,'FIRE TEX 5090'!$B$5:$B$43,"&gt;="&amp;M731),'FIRE TEX 5090'!$B$5:$H$43,IF(L731="F-15",2,IF(L731="F-30",3,IF(L731="F-60",4,IF(L731="F-90",5,IF(L731="F-120",6,IF(L731="F-150",7,0)))))),0),0)+IF(AND(O731="FIRE TEX 5090",OR(E731="IN",E731="C",E731="Z",E731="L"),J731=4),VLOOKUP(_xlfn.MINIFS('FIRE TEX 5090'!$J$5:$J$43,'FIRE TEX 5090'!$J$5:$J$43,"&gt;="&amp;M731),'FIRE TEX 5090'!$J$5:$P$43,IF(L731="F-15",2,IF(L731="F-30",3,IF(L731="F-60",4,IF(L731="F-90",5,IF(L731="F-120",6,IF(L731="F-150",7,0)))))),0),0)+IF(AND(O731="FIRE TEX 5090",E731="CJ",J731=3),VLOOKUP(_xlfn.MINIFS('FIRE TEX 5090'!$R$5:$R$30,'FIRE TEX 5090'!$R$5:$R$30,"&gt;="&amp;M731),'FIRE TEX 5090'!$R$5:$W$30,IF(L731="F-15",2,IF(L731="F-30",3,IF(L731="F-60",4,IF(L731="F-90",5,IF(L731="F-120",6,IF(L731="F-150",7,0)))))),0),0)+IF(AND(O731="FIRE TEX 5090",E731="CJ",J731=4),VLOOKUP(_xlfn.MINIFS('FIRE TEX 5090'!$Y$5:$Y$39,'FIRE TEX 5090'!$Y$5:$Y$39,"&gt;="&amp;M731),'FIRE TEX 5090'!$Y$5:$AD$39,IF(L731="F-15",2,IF(L731="F-30",3,IF(L731="F-60",4,IF(L731="F-90",5,IF(L731="F-120",6,IF(L731="F-150",7,0)))))),0),0)+IF(AND(O731="FIRE TEX 5120",OR(E731="IN",E731="C",E731="Z",E731="L"),J731=3),VLOOKUP(_xlfn.MINIFS('FIRE TEX 5120'!$B$5:$B$40,'FIRE TEX 5120'!$B$5:$B$40,"&gt;="&amp;M731),'FIRE TEX 5120'!$B$5:$G$40,IF(L731="F-15",2,IF(L731="F-30",3,IF(L731="F-60",4,IF(L731="F-90",5,IF(L731="F-120",6,0))))),0),0)+IF(AND(O731="FIRE TEX 5120",OR(E731="IN",E731="C",E731="Z",E731="L"),J731=4),VLOOKUP(_xlfn.MINIFS('FIRE TEX 5120'!$H$4:$H$40,'FIRE TEX 5120'!$H$4:$H$40,"&gt;="&amp;M731),'FIRE TEX 5120'!$H$4:$M$40,IF(L731="F-15",2,IF(L731="F-30",3,IF(L731="F-60",4,IF(L731="F-90",5,IF(L731="F-120",6,0))))),0),0)+IF(AND(O731="FIRE TEX 5120",E731="CJ"),VLOOKUP(_xlfn.MINIFS('FIRE TEX 5120'!$O$5:$O$40,'FIRE TEX 5120'!$O$5:$O$40,"&gt;="&amp;M731),'FIRE TEX 5120'!$O$5:$T$40,IF(L731="F-15",2,IF(L731="F-30",3,IF(L731="F-60",4,IF(L731="F-90",5,IF(L731="F-120",6,0))))),0),0)</f>
        <v>0</v>
      </c>
      <c r="Q731" s="46">
        <f t="shared" si="74"/>
        <v>0</v>
      </c>
      <c r="R731" s="46">
        <f t="shared" si="75"/>
        <v>0</v>
      </c>
      <c r="S731" s="46" t="e">
        <f t="shared" si="76"/>
        <v>#VALUE!</v>
      </c>
      <c r="T731" s="677">
        <f t="shared" si="77"/>
        <v>0</v>
      </c>
      <c r="U731" s="80">
        <f>(IF(O731="Stofire",(S731*#REF!),0))+(IF(O731="Fire Control",(S731*$U$2),0))+(IF(O731="Fire Tex",(S731*$U$3),0))+(IF(O731="WB7",(S731*#REF!),0)+(IF(O731="FX 2003",(S731*$U$5),0)))</f>
        <v>0</v>
      </c>
      <c r="V731" s="651">
        <f t="shared" si="78"/>
        <v>0</v>
      </c>
    </row>
    <row r="732" spans="4:22" x14ac:dyDescent="0.25">
      <c r="D732" s="118">
        <f>+CUBICACION!D731</f>
        <v>0</v>
      </c>
      <c r="E732" s="118">
        <f>+CUBICACION!F731</f>
        <v>0</v>
      </c>
      <c r="F732" s="118">
        <f>+CUBICACION!E731</f>
        <v>0</v>
      </c>
      <c r="G732" s="118">
        <v>12</v>
      </c>
      <c r="H732" s="118">
        <v>2</v>
      </c>
      <c r="I732" s="820">
        <v>26385</v>
      </c>
      <c r="J732" s="118">
        <f>+CUBICACION!J731</f>
        <v>0</v>
      </c>
      <c r="K732" s="118">
        <v>3511</v>
      </c>
      <c r="L732" s="118">
        <f>+CUBICACION!L731</f>
        <v>0</v>
      </c>
      <c r="M732" s="64">
        <f>+CUBICACION!M731</f>
        <v>0</v>
      </c>
      <c r="N732" s="824" t="str">
        <f>+CUBICACION!N731</f>
        <v/>
      </c>
      <c r="O732" s="675">
        <f>+CUBICACION!O731</f>
        <v>0</v>
      </c>
      <c r="P732" s="15">
        <f>IF(O732="Fire Control",VLOOKUP(_xlfn.MINIFS('FIRE CONTROL'!$C$4:$C$37,'FIRE CONTROL'!$C$4:$C$37,"&gt;="&amp;M732),'FIRE CONTROL'!$C$4:$G$37,IF(L732="F-15",2,IF(L732="F-30",3,IF(L732="F-60",4,IF(L732="F-90",5,0)))),0),0)+IF(AND(O732="FIRE TEX 5062",OR(E732="IN",E732="C",E732="Z",E732="L"),J732=3),VLOOKUP(_xlfn.MINIFS('FIRE TEX 5062'!$B$4:$B$34,'FIRE TEX 5062'!$B$4:$B$34,"&gt;="&amp;M732),'FIRE TEX 5062'!$B$4:$F$34,IF(L732="F-15",2,IF(L732="F-30",3,IF(L732="F-60",4,IF(L732="F-90",5,0)))),0),0)+IF(AND(O732="FIRE TEX 5062",OR(E732="IN",E732="C",E732="Z",E732="L"),J732=4),VLOOKUP(_xlfn.MINIFS('FIRE TEX 5062'!$G$4:$G$34,'FIRE TEX 5062'!$G$4:$G$34,"&gt;="&amp;M732),'FIRE TEX 5062'!$G$4:$K$34,IF(L732="F-15",2,IF(L732="F-30",3,IF(L732="F-60",4,IF(L732="F-90",5,0)))),0),0)+IF(AND(O732="FIRE TEX 5062",E732="CJ",J732=3),VLOOKUP(_xlfn.MINIFS('FIRE TEX 5062'!$L$4:$L$34,'FIRE TEX 5062'!$L$4:$L$34,"&gt;="&amp;M732),'FIRE TEX 5062'!$L$4:$P$34,IF(L732="F-15",2,IF(L732="F-30",3,IF(L732="F-60",4,IF(L732="F-90",5,0)))),0),0)+IF(AND(O732="FIRE TEX 5062",E732="CJ",J732=4),VLOOKUP(_xlfn.MINIFS('FIRE TEX 5062'!$Q$3:$Q$34,'FIRE TEX 5062'!$Q$3:$Q$34,"&gt;="&amp;M732),'FIRE TEX 5062'!$Q$3:$U$34,IF(L732="F-15",2,IF(L732="F-30",3,IF(L732="F-60",4,IF(L732="F-90",5,0)))),0),0)+IF(AND(O732="FIRE TEX 5090",OR(E732="IN",E732="C",E732="Z",E732="L"),J732=3),VLOOKUP(_xlfn.MINIFS('FIRE TEX 5090'!$B$5:$B$43,'FIRE TEX 5090'!$B$5:$B$43,"&gt;="&amp;M732),'FIRE TEX 5090'!$B$5:$H$43,IF(L732="F-15",2,IF(L732="F-30",3,IF(L732="F-60",4,IF(L732="F-90",5,IF(L732="F-120",6,IF(L732="F-150",7,0)))))),0),0)+IF(AND(O732="FIRE TEX 5090",OR(E732="IN",E732="C",E732="Z",E732="L"),J732=4),VLOOKUP(_xlfn.MINIFS('FIRE TEX 5090'!$J$5:$J$43,'FIRE TEX 5090'!$J$5:$J$43,"&gt;="&amp;M732),'FIRE TEX 5090'!$J$5:$P$43,IF(L732="F-15",2,IF(L732="F-30",3,IF(L732="F-60",4,IF(L732="F-90",5,IF(L732="F-120",6,IF(L732="F-150",7,0)))))),0),0)+IF(AND(O732="FIRE TEX 5090",E732="CJ",J732=3),VLOOKUP(_xlfn.MINIFS('FIRE TEX 5090'!$R$5:$R$30,'FIRE TEX 5090'!$R$5:$R$30,"&gt;="&amp;M732),'FIRE TEX 5090'!$R$5:$W$30,IF(L732="F-15",2,IF(L732="F-30",3,IF(L732="F-60",4,IF(L732="F-90",5,IF(L732="F-120",6,IF(L732="F-150",7,0)))))),0),0)+IF(AND(O732="FIRE TEX 5090",E732="CJ",J732=4),VLOOKUP(_xlfn.MINIFS('FIRE TEX 5090'!$Y$5:$Y$39,'FIRE TEX 5090'!$Y$5:$Y$39,"&gt;="&amp;M732),'FIRE TEX 5090'!$Y$5:$AD$39,IF(L732="F-15",2,IF(L732="F-30",3,IF(L732="F-60",4,IF(L732="F-90",5,IF(L732="F-120",6,IF(L732="F-150",7,0)))))),0),0)+IF(AND(O732="FIRE TEX 5120",OR(E732="IN",E732="C",E732="Z",E732="L"),J732=3),VLOOKUP(_xlfn.MINIFS('FIRE TEX 5120'!$B$5:$B$40,'FIRE TEX 5120'!$B$5:$B$40,"&gt;="&amp;M732),'FIRE TEX 5120'!$B$5:$G$40,IF(L732="F-15",2,IF(L732="F-30",3,IF(L732="F-60",4,IF(L732="F-90",5,IF(L732="F-120",6,0))))),0),0)+IF(AND(O732="FIRE TEX 5120",OR(E732="IN",E732="C",E732="Z",E732="L"),J732=4),VLOOKUP(_xlfn.MINIFS('FIRE TEX 5120'!$H$4:$H$40,'FIRE TEX 5120'!$H$4:$H$40,"&gt;="&amp;M732),'FIRE TEX 5120'!$H$4:$M$40,IF(L732="F-15",2,IF(L732="F-30",3,IF(L732="F-60",4,IF(L732="F-90",5,IF(L732="F-120",6,0))))),0),0)+IF(AND(O732="FIRE TEX 5120",E732="CJ"),VLOOKUP(_xlfn.MINIFS('FIRE TEX 5120'!$O$5:$O$40,'FIRE TEX 5120'!$O$5:$O$40,"&gt;="&amp;M732),'FIRE TEX 5120'!$O$5:$T$40,IF(L732="F-15",2,IF(L732="F-30",3,IF(L732="F-60",4,IF(L732="F-90",5,IF(L732="F-120",6,0))))),0),0)</f>
        <v>0</v>
      </c>
      <c r="Q732" s="46">
        <f t="shared" si="74"/>
        <v>0</v>
      </c>
      <c r="R732" s="46">
        <f t="shared" si="75"/>
        <v>0</v>
      </c>
      <c r="S732" s="46" t="e">
        <f t="shared" si="76"/>
        <v>#VALUE!</v>
      </c>
      <c r="T732" s="677">
        <f t="shared" si="77"/>
        <v>0</v>
      </c>
      <c r="U732" s="80">
        <f>(IF(O732="Stofire",(S732*#REF!),0))+(IF(O732="Fire Control",(S732*$U$2),0))+(IF(O732="Fire Tex",(S732*$U$3),0))+(IF(O732="WB7",(S732*#REF!),0)+(IF(O732="FX 2003",(S732*$U$5),0)))</f>
        <v>0</v>
      </c>
      <c r="V732" s="651">
        <f t="shared" si="78"/>
        <v>0</v>
      </c>
    </row>
    <row r="733" spans="4:22" x14ac:dyDescent="0.25">
      <c r="D733" s="118">
        <f>+CUBICACION!D732</f>
        <v>0</v>
      </c>
      <c r="E733" s="118">
        <f>+CUBICACION!F732</f>
        <v>0</v>
      </c>
      <c r="F733" s="118">
        <f>+CUBICACION!E732</f>
        <v>0</v>
      </c>
      <c r="G733" s="118">
        <v>12</v>
      </c>
      <c r="H733" s="118">
        <v>2</v>
      </c>
      <c r="I733" s="820">
        <v>26385</v>
      </c>
      <c r="J733" s="118">
        <f>+CUBICACION!J732</f>
        <v>0</v>
      </c>
      <c r="K733" s="118">
        <v>3512</v>
      </c>
      <c r="L733" s="118">
        <f>+CUBICACION!L732</f>
        <v>0</v>
      </c>
      <c r="M733" s="64">
        <f>+CUBICACION!M732</f>
        <v>0</v>
      </c>
      <c r="N733" s="824" t="str">
        <f>+CUBICACION!N732</f>
        <v/>
      </c>
      <c r="O733" s="675">
        <f>+CUBICACION!O732</f>
        <v>0</v>
      </c>
      <c r="P733" s="15">
        <f>IF(O733="Fire Control",VLOOKUP(_xlfn.MINIFS('FIRE CONTROL'!$C$4:$C$37,'FIRE CONTROL'!$C$4:$C$37,"&gt;="&amp;M733),'FIRE CONTROL'!$C$4:$G$37,IF(L733="F-15",2,IF(L733="F-30",3,IF(L733="F-60",4,IF(L733="F-90",5,0)))),0),0)+IF(AND(O733="FIRE TEX 5062",OR(E733="IN",E733="C",E733="Z",E733="L"),J733=3),VLOOKUP(_xlfn.MINIFS('FIRE TEX 5062'!$B$4:$B$34,'FIRE TEX 5062'!$B$4:$B$34,"&gt;="&amp;M733),'FIRE TEX 5062'!$B$4:$F$34,IF(L733="F-15",2,IF(L733="F-30",3,IF(L733="F-60",4,IF(L733="F-90",5,0)))),0),0)+IF(AND(O733="FIRE TEX 5062",OR(E733="IN",E733="C",E733="Z",E733="L"),J733=4),VLOOKUP(_xlfn.MINIFS('FIRE TEX 5062'!$G$4:$G$34,'FIRE TEX 5062'!$G$4:$G$34,"&gt;="&amp;M733),'FIRE TEX 5062'!$G$4:$K$34,IF(L733="F-15",2,IF(L733="F-30",3,IF(L733="F-60",4,IF(L733="F-90",5,0)))),0),0)+IF(AND(O733="FIRE TEX 5062",E733="CJ",J733=3),VLOOKUP(_xlfn.MINIFS('FIRE TEX 5062'!$L$4:$L$34,'FIRE TEX 5062'!$L$4:$L$34,"&gt;="&amp;M733),'FIRE TEX 5062'!$L$4:$P$34,IF(L733="F-15",2,IF(L733="F-30",3,IF(L733="F-60",4,IF(L733="F-90",5,0)))),0),0)+IF(AND(O733="FIRE TEX 5062",E733="CJ",J733=4),VLOOKUP(_xlfn.MINIFS('FIRE TEX 5062'!$Q$3:$Q$34,'FIRE TEX 5062'!$Q$3:$Q$34,"&gt;="&amp;M733),'FIRE TEX 5062'!$Q$3:$U$34,IF(L733="F-15",2,IF(L733="F-30",3,IF(L733="F-60",4,IF(L733="F-90",5,0)))),0),0)+IF(AND(O733="FIRE TEX 5090",OR(E733="IN",E733="C",E733="Z",E733="L"),J733=3),VLOOKUP(_xlfn.MINIFS('FIRE TEX 5090'!$B$5:$B$43,'FIRE TEX 5090'!$B$5:$B$43,"&gt;="&amp;M733),'FIRE TEX 5090'!$B$5:$H$43,IF(L733="F-15",2,IF(L733="F-30",3,IF(L733="F-60",4,IF(L733="F-90",5,IF(L733="F-120",6,IF(L733="F-150",7,0)))))),0),0)+IF(AND(O733="FIRE TEX 5090",OR(E733="IN",E733="C",E733="Z",E733="L"),J733=4),VLOOKUP(_xlfn.MINIFS('FIRE TEX 5090'!$J$5:$J$43,'FIRE TEX 5090'!$J$5:$J$43,"&gt;="&amp;M733),'FIRE TEX 5090'!$J$5:$P$43,IF(L733="F-15",2,IF(L733="F-30",3,IF(L733="F-60",4,IF(L733="F-90",5,IF(L733="F-120",6,IF(L733="F-150",7,0)))))),0),0)+IF(AND(O733="FIRE TEX 5090",E733="CJ",J733=3),VLOOKUP(_xlfn.MINIFS('FIRE TEX 5090'!$R$5:$R$30,'FIRE TEX 5090'!$R$5:$R$30,"&gt;="&amp;M733),'FIRE TEX 5090'!$R$5:$W$30,IF(L733="F-15",2,IF(L733="F-30",3,IF(L733="F-60",4,IF(L733="F-90",5,IF(L733="F-120",6,IF(L733="F-150",7,0)))))),0),0)+IF(AND(O733="FIRE TEX 5090",E733="CJ",J733=4),VLOOKUP(_xlfn.MINIFS('FIRE TEX 5090'!$Y$5:$Y$39,'FIRE TEX 5090'!$Y$5:$Y$39,"&gt;="&amp;M733),'FIRE TEX 5090'!$Y$5:$AD$39,IF(L733="F-15",2,IF(L733="F-30",3,IF(L733="F-60",4,IF(L733="F-90",5,IF(L733="F-120",6,IF(L733="F-150",7,0)))))),0),0)+IF(AND(O733="FIRE TEX 5120",OR(E733="IN",E733="C",E733="Z",E733="L"),J733=3),VLOOKUP(_xlfn.MINIFS('FIRE TEX 5120'!$B$5:$B$40,'FIRE TEX 5120'!$B$5:$B$40,"&gt;="&amp;M733),'FIRE TEX 5120'!$B$5:$G$40,IF(L733="F-15",2,IF(L733="F-30",3,IF(L733="F-60",4,IF(L733="F-90",5,IF(L733="F-120",6,0))))),0),0)+IF(AND(O733="FIRE TEX 5120",OR(E733="IN",E733="C",E733="Z",E733="L"),J733=4),VLOOKUP(_xlfn.MINIFS('FIRE TEX 5120'!$H$4:$H$40,'FIRE TEX 5120'!$H$4:$H$40,"&gt;="&amp;M733),'FIRE TEX 5120'!$H$4:$M$40,IF(L733="F-15",2,IF(L733="F-30",3,IF(L733="F-60",4,IF(L733="F-90",5,IF(L733="F-120",6,0))))),0),0)+IF(AND(O733="FIRE TEX 5120",E733="CJ"),VLOOKUP(_xlfn.MINIFS('FIRE TEX 5120'!$O$5:$O$40,'FIRE TEX 5120'!$O$5:$O$40,"&gt;="&amp;M733),'FIRE TEX 5120'!$O$5:$T$40,IF(L733="F-15",2,IF(L733="F-30",3,IF(L733="F-60",4,IF(L733="F-90",5,IF(L733="F-120",6,0))))),0),0)</f>
        <v>0</v>
      </c>
      <c r="Q733" s="46">
        <f t="shared" si="74"/>
        <v>0</v>
      </c>
      <c r="R733" s="46">
        <f t="shared" si="75"/>
        <v>0</v>
      </c>
      <c r="S733" s="46" t="e">
        <f t="shared" si="76"/>
        <v>#VALUE!</v>
      </c>
      <c r="T733" s="677">
        <f t="shared" si="77"/>
        <v>0</v>
      </c>
      <c r="U733" s="80">
        <f>(IF(O733="Stofire",(S733*#REF!),0))+(IF(O733="Fire Control",(S733*$U$2),0))+(IF(O733="Fire Tex",(S733*$U$3),0))+(IF(O733="WB7",(S733*#REF!),0)+(IF(O733="FX 2003",(S733*$U$5),0)))</f>
        <v>0</v>
      </c>
      <c r="V733" s="651">
        <f t="shared" si="78"/>
        <v>0</v>
      </c>
    </row>
    <row r="734" spans="4:22" x14ac:dyDescent="0.25">
      <c r="D734" s="118">
        <f>+CUBICACION!D733</f>
        <v>0</v>
      </c>
      <c r="E734" s="118">
        <f>+CUBICACION!F733</f>
        <v>0</v>
      </c>
      <c r="F734" s="118">
        <f>+CUBICACION!E733</f>
        <v>0</v>
      </c>
      <c r="G734" s="118">
        <v>12</v>
      </c>
      <c r="H734" s="118">
        <v>2</v>
      </c>
      <c r="I734" s="820">
        <v>26385</v>
      </c>
      <c r="J734" s="118">
        <f>+CUBICACION!J733</f>
        <v>0</v>
      </c>
      <c r="K734" s="118">
        <v>3513</v>
      </c>
      <c r="L734" s="118">
        <f>+CUBICACION!L733</f>
        <v>0</v>
      </c>
      <c r="M734" s="64">
        <f>+CUBICACION!M733</f>
        <v>0</v>
      </c>
      <c r="N734" s="824" t="str">
        <f>+CUBICACION!N733</f>
        <v/>
      </c>
      <c r="O734" s="675">
        <f>+CUBICACION!O733</f>
        <v>0</v>
      </c>
      <c r="P734" s="15">
        <f>IF(O734="Fire Control",VLOOKUP(_xlfn.MINIFS('FIRE CONTROL'!$C$4:$C$37,'FIRE CONTROL'!$C$4:$C$37,"&gt;="&amp;M734),'FIRE CONTROL'!$C$4:$G$37,IF(L734="F-15",2,IF(L734="F-30",3,IF(L734="F-60",4,IF(L734="F-90",5,0)))),0),0)+IF(AND(O734="FIRE TEX 5062",OR(E734="IN",E734="C",E734="Z",E734="L"),J734=3),VLOOKUP(_xlfn.MINIFS('FIRE TEX 5062'!$B$4:$B$34,'FIRE TEX 5062'!$B$4:$B$34,"&gt;="&amp;M734),'FIRE TEX 5062'!$B$4:$F$34,IF(L734="F-15",2,IF(L734="F-30",3,IF(L734="F-60",4,IF(L734="F-90",5,0)))),0),0)+IF(AND(O734="FIRE TEX 5062",OR(E734="IN",E734="C",E734="Z",E734="L"),J734=4),VLOOKUP(_xlfn.MINIFS('FIRE TEX 5062'!$G$4:$G$34,'FIRE TEX 5062'!$G$4:$G$34,"&gt;="&amp;M734),'FIRE TEX 5062'!$G$4:$K$34,IF(L734="F-15",2,IF(L734="F-30",3,IF(L734="F-60",4,IF(L734="F-90",5,0)))),0),0)+IF(AND(O734="FIRE TEX 5062",E734="CJ",J734=3),VLOOKUP(_xlfn.MINIFS('FIRE TEX 5062'!$L$4:$L$34,'FIRE TEX 5062'!$L$4:$L$34,"&gt;="&amp;M734),'FIRE TEX 5062'!$L$4:$P$34,IF(L734="F-15",2,IF(L734="F-30",3,IF(L734="F-60",4,IF(L734="F-90",5,0)))),0),0)+IF(AND(O734="FIRE TEX 5062",E734="CJ",J734=4),VLOOKUP(_xlfn.MINIFS('FIRE TEX 5062'!$Q$3:$Q$34,'FIRE TEX 5062'!$Q$3:$Q$34,"&gt;="&amp;M734),'FIRE TEX 5062'!$Q$3:$U$34,IF(L734="F-15",2,IF(L734="F-30",3,IF(L734="F-60",4,IF(L734="F-90",5,0)))),0),0)+IF(AND(O734="FIRE TEX 5090",OR(E734="IN",E734="C",E734="Z",E734="L"),J734=3),VLOOKUP(_xlfn.MINIFS('FIRE TEX 5090'!$B$5:$B$43,'FIRE TEX 5090'!$B$5:$B$43,"&gt;="&amp;M734),'FIRE TEX 5090'!$B$5:$H$43,IF(L734="F-15",2,IF(L734="F-30",3,IF(L734="F-60",4,IF(L734="F-90",5,IF(L734="F-120",6,IF(L734="F-150",7,0)))))),0),0)+IF(AND(O734="FIRE TEX 5090",OR(E734="IN",E734="C",E734="Z",E734="L"),J734=4),VLOOKUP(_xlfn.MINIFS('FIRE TEX 5090'!$J$5:$J$43,'FIRE TEX 5090'!$J$5:$J$43,"&gt;="&amp;M734),'FIRE TEX 5090'!$J$5:$P$43,IF(L734="F-15",2,IF(L734="F-30",3,IF(L734="F-60",4,IF(L734="F-90",5,IF(L734="F-120",6,IF(L734="F-150",7,0)))))),0),0)+IF(AND(O734="FIRE TEX 5090",E734="CJ",J734=3),VLOOKUP(_xlfn.MINIFS('FIRE TEX 5090'!$R$5:$R$30,'FIRE TEX 5090'!$R$5:$R$30,"&gt;="&amp;M734),'FIRE TEX 5090'!$R$5:$W$30,IF(L734="F-15",2,IF(L734="F-30",3,IF(L734="F-60",4,IF(L734="F-90",5,IF(L734="F-120",6,IF(L734="F-150",7,0)))))),0),0)+IF(AND(O734="FIRE TEX 5090",E734="CJ",J734=4),VLOOKUP(_xlfn.MINIFS('FIRE TEX 5090'!$Y$5:$Y$39,'FIRE TEX 5090'!$Y$5:$Y$39,"&gt;="&amp;M734),'FIRE TEX 5090'!$Y$5:$AD$39,IF(L734="F-15",2,IF(L734="F-30",3,IF(L734="F-60",4,IF(L734="F-90",5,IF(L734="F-120",6,IF(L734="F-150",7,0)))))),0),0)+IF(AND(O734="FIRE TEX 5120",OR(E734="IN",E734="C",E734="Z",E734="L"),J734=3),VLOOKUP(_xlfn.MINIFS('FIRE TEX 5120'!$B$5:$B$40,'FIRE TEX 5120'!$B$5:$B$40,"&gt;="&amp;M734),'FIRE TEX 5120'!$B$5:$G$40,IF(L734="F-15",2,IF(L734="F-30",3,IF(L734="F-60",4,IF(L734="F-90",5,IF(L734="F-120",6,0))))),0),0)+IF(AND(O734="FIRE TEX 5120",OR(E734="IN",E734="C",E734="Z",E734="L"),J734=4),VLOOKUP(_xlfn.MINIFS('FIRE TEX 5120'!$H$4:$H$40,'FIRE TEX 5120'!$H$4:$H$40,"&gt;="&amp;M734),'FIRE TEX 5120'!$H$4:$M$40,IF(L734="F-15",2,IF(L734="F-30",3,IF(L734="F-60",4,IF(L734="F-90",5,IF(L734="F-120",6,0))))),0),0)+IF(AND(O734="FIRE TEX 5120",E734="CJ"),VLOOKUP(_xlfn.MINIFS('FIRE TEX 5120'!$O$5:$O$40,'FIRE TEX 5120'!$O$5:$O$40,"&gt;="&amp;M734),'FIRE TEX 5120'!$O$5:$T$40,IF(L734="F-15",2,IF(L734="F-30",3,IF(L734="F-60",4,IF(L734="F-90",5,IF(L734="F-120",6,0))))),0),0)</f>
        <v>0</v>
      </c>
      <c r="Q734" s="46">
        <f t="shared" si="74"/>
        <v>0</v>
      </c>
      <c r="R734" s="46">
        <f t="shared" si="75"/>
        <v>0</v>
      </c>
      <c r="S734" s="46" t="e">
        <f t="shared" si="76"/>
        <v>#VALUE!</v>
      </c>
      <c r="T734" s="677">
        <f t="shared" si="77"/>
        <v>0</v>
      </c>
      <c r="U734" s="80">
        <f>(IF(O734="Stofire",(S734*#REF!),0))+(IF(O734="Fire Control",(S734*$U$2),0))+(IF(O734="Fire Tex",(S734*$U$3),0))+(IF(O734="WB7",(S734*#REF!),0)+(IF(O734="FX 2003",(S734*$U$5),0)))</f>
        <v>0</v>
      </c>
      <c r="V734" s="651">
        <f t="shared" si="78"/>
        <v>0</v>
      </c>
    </row>
    <row r="735" spans="4:22" x14ac:dyDescent="0.25">
      <c r="D735" s="118">
        <f>+CUBICACION!D734</f>
        <v>0</v>
      </c>
      <c r="E735" s="118">
        <f>+CUBICACION!F734</f>
        <v>0</v>
      </c>
      <c r="F735" s="118">
        <f>+CUBICACION!E734</f>
        <v>0</v>
      </c>
      <c r="G735" s="118">
        <v>12</v>
      </c>
      <c r="H735" s="118">
        <v>2</v>
      </c>
      <c r="I735" s="820">
        <v>26385</v>
      </c>
      <c r="J735" s="118">
        <f>+CUBICACION!J734</f>
        <v>0</v>
      </c>
      <c r="K735" s="118">
        <v>3514</v>
      </c>
      <c r="L735" s="118">
        <f>+CUBICACION!L734</f>
        <v>0</v>
      </c>
      <c r="M735" s="64">
        <f>+CUBICACION!M734</f>
        <v>0</v>
      </c>
      <c r="N735" s="824" t="str">
        <f>+CUBICACION!N734</f>
        <v/>
      </c>
      <c r="O735" s="675">
        <f>+CUBICACION!O734</f>
        <v>0</v>
      </c>
      <c r="P735" s="15">
        <f>IF(O735="Fire Control",VLOOKUP(_xlfn.MINIFS('FIRE CONTROL'!$C$4:$C$37,'FIRE CONTROL'!$C$4:$C$37,"&gt;="&amp;M735),'FIRE CONTROL'!$C$4:$G$37,IF(L735="F-15",2,IF(L735="F-30",3,IF(L735="F-60",4,IF(L735="F-90",5,0)))),0),0)+IF(AND(O735="FIRE TEX 5062",OR(E735="IN",E735="C",E735="Z",E735="L"),J735=3),VLOOKUP(_xlfn.MINIFS('FIRE TEX 5062'!$B$4:$B$34,'FIRE TEX 5062'!$B$4:$B$34,"&gt;="&amp;M735),'FIRE TEX 5062'!$B$4:$F$34,IF(L735="F-15",2,IF(L735="F-30",3,IF(L735="F-60",4,IF(L735="F-90",5,0)))),0),0)+IF(AND(O735="FIRE TEX 5062",OR(E735="IN",E735="C",E735="Z",E735="L"),J735=4),VLOOKUP(_xlfn.MINIFS('FIRE TEX 5062'!$G$4:$G$34,'FIRE TEX 5062'!$G$4:$G$34,"&gt;="&amp;M735),'FIRE TEX 5062'!$G$4:$K$34,IF(L735="F-15",2,IF(L735="F-30",3,IF(L735="F-60",4,IF(L735="F-90",5,0)))),0),0)+IF(AND(O735="FIRE TEX 5062",E735="CJ",J735=3),VLOOKUP(_xlfn.MINIFS('FIRE TEX 5062'!$L$4:$L$34,'FIRE TEX 5062'!$L$4:$L$34,"&gt;="&amp;M735),'FIRE TEX 5062'!$L$4:$P$34,IF(L735="F-15",2,IF(L735="F-30",3,IF(L735="F-60",4,IF(L735="F-90",5,0)))),0),0)+IF(AND(O735="FIRE TEX 5062",E735="CJ",J735=4),VLOOKUP(_xlfn.MINIFS('FIRE TEX 5062'!$Q$3:$Q$34,'FIRE TEX 5062'!$Q$3:$Q$34,"&gt;="&amp;M735),'FIRE TEX 5062'!$Q$3:$U$34,IF(L735="F-15",2,IF(L735="F-30",3,IF(L735="F-60",4,IF(L735="F-90",5,0)))),0),0)+IF(AND(O735="FIRE TEX 5090",OR(E735="IN",E735="C",E735="Z",E735="L"),J735=3),VLOOKUP(_xlfn.MINIFS('FIRE TEX 5090'!$B$5:$B$43,'FIRE TEX 5090'!$B$5:$B$43,"&gt;="&amp;M735),'FIRE TEX 5090'!$B$5:$H$43,IF(L735="F-15",2,IF(L735="F-30",3,IF(L735="F-60",4,IF(L735="F-90",5,IF(L735="F-120",6,IF(L735="F-150",7,0)))))),0),0)+IF(AND(O735="FIRE TEX 5090",OR(E735="IN",E735="C",E735="Z",E735="L"),J735=4),VLOOKUP(_xlfn.MINIFS('FIRE TEX 5090'!$J$5:$J$43,'FIRE TEX 5090'!$J$5:$J$43,"&gt;="&amp;M735),'FIRE TEX 5090'!$J$5:$P$43,IF(L735="F-15",2,IF(L735="F-30",3,IF(L735="F-60",4,IF(L735="F-90",5,IF(L735="F-120",6,IF(L735="F-150",7,0)))))),0),0)+IF(AND(O735="FIRE TEX 5090",E735="CJ",J735=3),VLOOKUP(_xlfn.MINIFS('FIRE TEX 5090'!$R$5:$R$30,'FIRE TEX 5090'!$R$5:$R$30,"&gt;="&amp;M735),'FIRE TEX 5090'!$R$5:$W$30,IF(L735="F-15",2,IF(L735="F-30",3,IF(L735="F-60",4,IF(L735="F-90",5,IF(L735="F-120",6,IF(L735="F-150",7,0)))))),0),0)+IF(AND(O735="FIRE TEX 5090",E735="CJ",J735=4),VLOOKUP(_xlfn.MINIFS('FIRE TEX 5090'!$Y$5:$Y$39,'FIRE TEX 5090'!$Y$5:$Y$39,"&gt;="&amp;M735),'FIRE TEX 5090'!$Y$5:$AD$39,IF(L735="F-15",2,IF(L735="F-30",3,IF(L735="F-60",4,IF(L735="F-90",5,IF(L735="F-120",6,IF(L735="F-150",7,0)))))),0),0)+IF(AND(O735="FIRE TEX 5120",OR(E735="IN",E735="C",E735="Z",E735="L"),J735=3),VLOOKUP(_xlfn.MINIFS('FIRE TEX 5120'!$B$5:$B$40,'FIRE TEX 5120'!$B$5:$B$40,"&gt;="&amp;M735),'FIRE TEX 5120'!$B$5:$G$40,IF(L735="F-15",2,IF(L735="F-30",3,IF(L735="F-60",4,IF(L735="F-90",5,IF(L735="F-120",6,0))))),0),0)+IF(AND(O735="FIRE TEX 5120",OR(E735="IN",E735="C",E735="Z",E735="L"),J735=4),VLOOKUP(_xlfn.MINIFS('FIRE TEX 5120'!$H$4:$H$40,'FIRE TEX 5120'!$H$4:$H$40,"&gt;="&amp;M735),'FIRE TEX 5120'!$H$4:$M$40,IF(L735="F-15",2,IF(L735="F-30",3,IF(L735="F-60",4,IF(L735="F-90",5,IF(L735="F-120",6,0))))),0),0)+IF(AND(O735="FIRE TEX 5120",E735="CJ"),VLOOKUP(_xlfn.MINIFS('FIRE TEX 5120'!$O$5:$O$40,'FIRE TEX 5120'!$O$5:$O$40,"&gt;="&amp;M735),'FIRE TEX 5120'!$O$5:$T$40,IF(L735="F-15",2,IF(L735="F-30",3,IF(L735="F-60",4,IF(L735="F-90",5,IF(L735="F-120",6,0))))),0),0)</f>
        <v>0</v>
      </c>
      <c r="Q735" s="46">
        <f t="shared" si="74"/>
        <v>0</v>
      </c>
      <c r="R735" s="46">
        <f t="shared" si="75"/>
        <v>0</v>
      </c>
      <c r="S735" s="46" t="e">
        <f t="shared" si="76"/>
        <v>#VALUE!</v>
      </c>
      <c r="T735" s="677">
        <f t="shared" si="77"/>
        <v>0</v>
      </c>
      <c r="U735" s="80">
        <f>(IF(O735="Stofire",(S735*#REF!),0))+(IF(O735="Fire Control",(S735*$U$2),0))+(IF(O735="Fire Tex",(S735*$U$3),0))+(IF(O735="WB7",(S735*#REF!),0)+(IF(O735="FX 2003",(S735*$U$5),0)))</f>
        <v>0</v>
      </c>
      <c r="V735" s="651">
        <f t="shared" si="78"/>
        <v>0</v>
      </c>
    </row>
    <row r="736" spans="4:22" x14ac:dyDescent="0.25">
      <c r="D736" s="118">
        <f>+CUBICACION!D735</f>
        <v>0</v>
      </c>
      <c r="E736" s="118">
        <f>+CUBICACION!F735</f>
        <v>0</v>
      </c>
      <c r="F736" s="118">
        <f>+CUBICACION!E735</f>
        <v>0</v>
      </c>
      <c r="G736" s="118">
        <v>12</v>
      </c>
      <c r="H736" s="118">
        <v>2</v>
      </c>
      <c r="I736" s="820">
        <v>26385</v>
      </c>
      <c r="J736" s="118">
        <f>+CUBICACION!J735</f>
        <v>0</v>
      </c>
      <c r="K736" s="118">
        <v>3515</v>
      </c>
      <c r="L736" s="118">
        <f>+CUBICACION!L735</f>
        <v>0</v>
      </c>
      <c r="M736" s="64">
        <f>+CUBICACION!M735</f>
        <v>0</v>
      </c>
      <c r="N736" s="824" t="str">
        <f>+CUBICACION!N735</f>
        <v/>
      </c>
      <c r="O736" s="675">
        <f>+CUBICACION!O735</f>
        <v>0</v>
      </c>
      <c r="P736" s="15">
        <f>IF(O736="Fire Control",VLOOKUP(_xlfn.MINIFS('FIRE CONTROL'!$C$4:$C$37,'FIRE CONTROL'!$C$4:$C$37,"&gt;="&amp;M736),'FIRE CONTROL'!$C$4:$G$37,IF(L736="F-15",2,IF(L736="F-30",3,IF(L736="F-60",4,IF(L736="F-90",5,0)))),0),0)+IF(AND(O736="FIRE TEX 5062",OR(E736="IN",E736="C",E736="Z",E736="L"),J736=3),VLOOKUP(_xlfn.MINIFS('FIRE TEX 5062'!$B$4:$B$34,'FIRE TEX 5062'!$B$4:$B$34,"&gt;="&amp;M736),'FIRE TEX 5062'!$B$4:$F$34,IF(L736="F-15",2,IF(L736="F-30",3,IF(L736="F-60",4,IF(L736="F-90",5,0)))),0),0)+IF(AND(O736="FIRE TEX 5062",OR(E736="IN",E736="C",E736="Z",E736="L"),J736=4),VLOOKUP(_xlfn.MINIFS('FIRE TEX 5062'!$G$4:$G$34,'FIRE TEX 5062'!$G$4:$G$34,"&gt;="&amp;M736),'FIRE TEX 5062'!$G$4:$K$34,IF(L736="F-15",2,IF(L736="F-30",3,IF(L736="F-60",4,IF(L736="F-90",5,0)))),0),0)+IF(AND(O736="FIRE TEX 5062",E736="CJ",J736=3),VLOOKUP(_xlfn.MINIFS('FIRE TEX 5062'!$L$4:$L$34,'FIRE TEX 5062'!$L$4:$L$34,"&gt;="&amp;M736),'FIRE TEX 5062'!$L$4:$P$34,IF(L736="F-15",2,IF(L736="F-30",3,IF(L736="F-60",4,IF(L736="F-90",5,0)))),0),0)+IF(AND(O736="FIRE TEX 5062",E736="CJ",J736=4),VLOOKUP(_xlfn.MINIFS('FIRE TEX 5062'!$Q$3:$Q$34,'FIRE TEX 5062'!$Q$3:$Q$34,"&gt;="&amp;M736),'FIRE TEX 5062'!$Q$3:$U$34,IF(L736="F-15",2,IF(L736="F-30",3,IF(L736="F-60",4,IF(L736="F-90",5,0)))),0),0)+IF(AND(O736="FIRE TEX 5090",OR(E736="IN",E736="C",E736="Z",E736="L"),J736=3),VLOOKUP(_xlfn.MINIFS('FIRE TEX 5090'!$B$5:$B$43,'FIRE TEX 5090'!$B$5:$B$43,"&gt;="&amp;M736),'FIRE TEX 5090'!$B$5:$H$43,IF(L736="F-15",2,IF(L736="F-30",3,IF(L736="F-60",4,IF(L736="F-90",5,IF(L736="F-120",6,IF(L736="F-150",7,0)))))),0),0)+IF(AND(O736="FIRE TEX 5090",OR(E736="IN",E736="C",E736="Z",E736="L"),J736=4),VLOOKUP(_xlfn.MINIFS('FIRE TEX 5090'!$J$5:$J$43,'FIRE TEX 5090'!$J$5:$J$43,"&gt;="&amp;M736),'FIRE TEX 5090'!$J$5:$P$43,IF(L736="F-15",2,IF(L736="F-30",3,IF(L736="F-60",4,IF(L736="F-90",5,IF(L736="F-120",6,IF(L736="F-150",7,0)))))),0),0)+IF(AND(O736="FIRE TEX 5090",E736="CJ",J736=3),VLOOKUP(_xlfn.MINIFS('FIRE TEX 5090'!$R$5:$R$30,'FIRE TEX 5090'!$R$5:$R$30,"&gt;="&amp;M736),'FIRE TEX 5090'!$R$5:$W$30,IF(L736="F-15",2,IF(L736="F-30",3,IF(L736="F-60",4,IF(L736="F-90",5,IF(L736="F-120",6,IF(L736="F-150",7,0)))))),0),0)+IF(AND(O736="FIRE TEX 5090",E736="CJ",J736=4),VLOOKUP(_xlfn.MINIFS('FIRE TEX 5090'!$Y$5:$Y$39,'FIRE TEX 5090'!$Y$5:$Y$39,"&gt;="&amp;M736),'FIRE TEX 5090'!$Y$5:$AD$39,IF(L736="F-15",2,IF(L736="F-30",3,IF(L736="F-60",4,IF(L736="F-90",5,IF(L736="F-120",6,IF(L736="F-150",7,0)))))),0),0)+IF(AND(O736="FIRE TEX 5120",OR(E736="IN",E736="C",E736="Z",E736="L"),J736=3),VLOOKUP(_xlfn.MINIFS('FIRE TEX 5120'!$B$5:$B$40,'FIRE TEX 5120'!$B$5:$B$40,"&gt;="&amp;M736),'FIRE TEX 5120'!$B$5:$G$40,IF(L736="F-15",2,IF(L736="F-30",3,IF(L736="F-60",4,IF(L736="F-90",5,IF(L736="F-120",6,0))))),0),0)+IF(AND(O736="FIRE TEX 5120",OR(E736="IN",E736="C",E736="Z",E736="L"),J736=4),VLOOKUP(_xlfn.MINIFS('FIRE TEX 5120'!$H$4:$H$40,'FIRE TEX 5120'!$H$4:$H$40,"&gt;="&amp;M736),'FIRE TEX 5120'!$H$4:$M$40,IF(L736="F-15",2,IF(L736="F-30",3,IF(L736="F-60",4,IF(L736="F-90",5,IF(L736="F-120",6,0))))),0),0)+IF(AND(O736="FIRE TEX 5120",E736="CJ"),VLOOKUP(_xlfn.MINIFS('FIRE TEX 5120'!$O$5:$O$40,'FIRE TEX 5120'!$O$5:$O$40,"&gt;="&amp;M736),'FIRE TEX 5120'!$O$5:$T$40,IF(L736="F-15",2,IF(L736="F-30",3,IF(L736="F-60",4,IF(L736="F-90",5,IF(L736="F-120",6,0))))),0),0)</f>
        <v>0</v>
      </c>
      <c r="Q736" s="46">
        <f t="shared" si="74"/>
        <v>0</v>
      </c>
      <c r="R736" s="46">
        <f t="shared" si="75"/>
        <v>0</v>
      </c>
      <c r="S736" s="46" t="e">
        <f t="shared" si="76"/>
        <v>#VALUE!</v>
      </c>
      <c r="T736" s="677">
        <f t="shared" si="77"/>
        <v>0</v>
      </c>
      <c r="U736" s="80">
        <f>(IF(O736="Stofire",(S736*#REF!),0))+(IF(O736="Fire Control",(S736*$U$2),0))+(IF(O736="Fire Tex",(S736*$U$3),0))+(IF(O736="WB7",(S736*#REF!),0)+(IF(O736="FX 2003",(S736*$U$5),0)))</f>
        <v>0</v>
      </c>
      <c r="V736" s="651">
        <f t="shared" si="78"/>
        <v>0</v>
      </c>
    </row>
    <row r="737" spans="4:22" x14ac:dyDescent="0.25">
      <c r="D737" s="118">
        <f>+CUBICACION!D736</f>
        <v>0</v>
      </c>
      <c r="E737" s="118">
        <f>+CUBICACION!F736</f>
        <v>0</v>
      </c>
      <c r="F737" s="118">
        <f>+CUBICACION!E736</f>
        <v>0</v>
      </c>
      <c r="G737" s="118">
        <v>12</v>
      </c>
      <c r="H737" s="118">
        <v>2</v>
      </c>
      <c r="I737" s="820">
        <v>26385</v>
      </c>
      <c r="J737" s="118">
        <f>+CUBICACION!J736</f>
        <v>0</v>
      </c>
      <c r="K737" s="118">
        <v>3516</v>
      </c>
      <c r="L737" s="118">
        <f>+CUBICACION!L736</f>
        <v>0</v>
      </c>
      <c r="M737" s="64">
        <f>+CUBICACION!M736</f>
        <v>0</v>
      </c>
      <c r="N737" s="824" t="str">
        <f>+CUBICACION!N736</f>
        <v/>
      </c>
      <c r="O737" s="675">
        <f>+CUBICACION!O736</f>
        <v>0</v>
      </c>
      <c r="P737" s="15">
        <f>IF(O737="Fire Control",VLOOKUP(_xlfn.MINIFS('FIRE CONTROL'!$C$4:$C$37,'FIRE CONTROL'!$C$4:$C$37,"&gt;="&amp;M737),'FIRE CONTROL'!$C$4:$G$37,IF(L737="F-15",2,IF(L737="F-30",3,IF(L737="F-60",4,IF(L737="F-90",5,0)))),0),0)+IF(AND(O737="FIRE TEX 5062",OR(E737="IN",E737="C",E737="Z",E737="L"),J737=3),VLOOKUP(_xlfn.MINIFS('FIRE TEX 5062'!$B$4:$B$34,'FIRE TEX 5062'!$B$4:$B$34,"&gt;="&amp;M737),'FIRE TEX 5062'!$B$4:$F$34,IF(L737="F-15",2,IF(L737="F-30",3,IF(L737="F-60",4,IF(L737="F-90",5,0)))),0),0)+IF(AND(O737="FIRE TEX 5062",OR(E737="IN",E737="C",E737="Z",E737="L"),J737=4),VLOOKUP(_xlfn.MINIFS('FIRE TEX 5062'!$G$4:$G$34,'FIRE TEX 5062'!$G$4:$G$34,"&gt;="&amp;M737),'FIRE TEX 5062'!$G$4:$K$34,IF(L737="F-15",2,IF(L737="F-30",3,IF(L737="F-60",4,IF(L737="F-90",5,0)))),0),0)+IF(AND(O737="FIRE TEX 5062",E737="CJ",J737=3),VLOOKUP(_xlfn.MINIFS('FIRE TEX 5062'!$L$4:$L$34,'FIRE TEX 5062'!$L$4:$L$34,"&gt;="&amp;M737),'FIRE TEX 5062'!$L$4:$P$34,IF(L737="F-15",2,IF(L737="F-30",3,IF(L737="F-60",4,IF(L737="F-90",5,0)))),0),0)+IF(AND(O737="FIRE TEX 5062",E737="CJ",J737=4),VLOOKUP(_xlfn.MINIFS('FIRE TEX 5062'!$Q$3:$Q$34,'FIRE TEX 5062'!$Q$3:$Q$34,"&gt;="&amp;M737),'FIRE TEX 5062'!$Q$3:$U$34,IF(L737="F-15",2,IF(L737="F-30",3,IF(L737="F-60",4,IF(L737="F-90",5,0)))),0),0)+IF(AND(O737="FIRE TEX 5090",OR(E737="IN",E737="C",E737="Z",E737="L"),J737=3),VLOOKUP(_xlfn.MINIFS('FIRE TEX 5090'!$B$5:$B$43,'FIRE TEX 5090'!$B$5:$B$43,"&gt;="&amp;M737),'FIRE TEX 5090'!$B$5:$H$43,IF(L737="F-15",2,IF(L737="F-30",3,IF(L737="F-60",4,IF(L737="F-90",5,IF(L737="F-120",6,IF(L737="F-150",7,0)))))),0),0)+IF(AND(O737="FIRE TEX 5090",OR(E737="IN",E737="C",E737="Z",E737="L"),J737=4),VLOOKUP(_xlfn.MINIFS('FIRE TEX 5090'!$J$5:$J$43,'FIRE TEX 5090'!$J$5:$J$43,"&gt;="&amp;M737),'FIRE TEX 5090'!$J$5:$P$43,IF(L737="F-15",2,IF(L737="F-30",3,IF(L737="F-60",4,IF(L737="F-90",5,IF(L737="F-120",6,IF(L737="F-150",7,0)))))),0),0)+IF(AND(O737="FIRE TEX 5090",E737="CJ",J737=3),VLOOKUP(_xlfn.MINIFS('FIRE TEX 5090'!$R$5:$R$30,'FIRE TEX 5090'!$R$5:$R$30,"&gt;="&amp;M737),'FIRE TEX 5090'!$R$5:$W$30,IF(L737="F-15",2,IF(L737="F-30",3,IF(L737="F-60",4,IF(L737="F-90",5,IF(L737="F-120",6,IF(L737="F-150",7,0)))))),0),0)+IF(AND(O737="FIRE TEX 5090",E737="CJ",J737=4),VLOOKUP(_xlfn.MINIFS('FIRE TEX 5090'!$Y$5:$Y$39,'FIRE TEX 5090'!$Y$5:$Y$39,"&gt;="&amp;M737),'FIRE TEX 5090'!$Y$5:$AD$39,IF(L737="F-15",2,IF(L737="F-30",3,IF(L737="F-60",4,IF(L737="F-90",5,IF(L737="F-120",6,IF(L737="F-150",7,0)))))),0),0)+IF(AND(O737="FIRE TEX 5120",OR(E737="IN",E737="C",E737="Z",E737="L"),J737=3),VLOOKUP(_xlfn.MINIFS('FIRE TEX 5120'!$B$5:$B$40,'FIRE TEX 5120'!$B$5:$B$40,"&gt;="&amp;M737),'FIRE TEX 5120'!$B$5:$G$40,IF(L737="F-15",2,IF(L737="F-30",3,IF(L737="F-60",4,IF(L737="F-90",5,IF(L737="F-120",6,0))))),0),0)+IF(AND(O737="FIRE TEX 5120",OR(E737="IN",E737="C",E737="Z",E737="L"),J737=4),VLOOKUP(_xlfn.MINIFS('FIRE TEX 5120'!$H$4:$H$40,'FIRE TEX 5120'!$H$4:$H$40,"&gt;="&amp;M737),'FIRE TEX 5120'!$H$4:$M$40,IF(L737="F-15",2,IF(L737="F-30",3,IF(L737="F-60",4,IF(L737="F-90",5,IF(L737="F-120",6,0))))),0),0)+IF(AND(O737="FIRE TEX 5120",E737="CJ"),VLOOKUP(_xlfn.MINIFS('FIRE TEX 5120'!$O$5:$O$40,'FIRE TEX 5120'!$O$5:$O$40,"&gt;="&amp;M737),'FIRE TEX 5120'!$O$5:$T$40,IF(L737="F-15",2,IF(L737="F-30",3,IF(L737="F-60",4,IF(L737="F-90",5,IF(L737="F-120",6,0))))),0),0)</f>
        <v>0</v>
      </c>
      <c r="Q737" s="46">
        <f t="shared" si="74"/>
        <v>0</v>
      </c>
      <c r="R737" s="46">
        <f t="shared" si="75"/>
        <v>0</v>
      </c>
      <c r="S737" s="46" t="e">
        <f t="shared" si="76"/>
        <v>#VALUE!</v>
      </c>
      <c r="T737" s="677">
        <f t="shared" si="77"/>
        <v>0</v>
      </c>
      <c r="U737" s="80">
        <f>(IF(O737="Stofire",(S737*#REF!),0))+(IF(O737="Fire Control",(S737*$U$2),0))+(IF(O737="Fire Tex",(S737*$U$3),0))+(IF(O737="WB7",(S737*#REF!),0)+(IF(O737="FX 2003",(S737*$U$5),0)))</f>
        <v>0</v>
      </c>
      <c r="V737" s="651">
        <f t="shared" si="78"/>
        <v>0</v>
      </c>
    </row>
    <row r="738" spans="4:22" x14ac:dyDescent="0.25">
      <c r="D738" s="118">
        <f>+CUBICACION!D737</f>
        <v>0</v>
      </c>
      <c r="E738" s="118">
        <f>+CUBICACION!F737</f>
        <v>0</v>
      </c>
      <c r="F738" s="118">
        <f>+CUBICACION!E737</f>
        <v>0</v>
      </c>
      <c r="G738" s="118">
        <v>12</v>
      </c>
      <c r="H738" s="118">
        <v>2</v>
      </c>
      <c r="I738" s="820">
        <v>26385</v>
      </c>
      <c r="J738" s="118">
        <f>+CUBICACION!J737</f>
        <v>0</v>
      </c>
      <c r="K738" s="118">
        <v>3517</v>
      </c>
      <c r="L738" s="118">
        <f>+CUBICACION!L737</f>
        <v>0</v>
      </c>
      <c r="M738" s="64">
        <f>+CUBICACION!M737</f>
        <v>0</v>
      </c>
      <c r="N738" s="824" t="str">
        <f>+CUBICACION!N737</f>
        <v/>
      </c>
      <c r="O738" s="675">
        <f>+CUBICACION!O737</f>
        <v>0</v>
      </c>
      <c r="P738" s="15">
        <f>IF(O738="Fire Control",VLOOKUP(_xlfn.MINIFS('FIRE CONTROL'!$C$4:$C$37,'FIRE CONTROL'!$C$4:$C$37,"&gt;="&amp;M738),'FIRE CONTROL'!$C$4:$G$37,IF(L738="F-15",2,IF(L738="F-30",3,IF(L738="F-60",4,IF(L738="F-90",5,0)))),0),0)+IF(AND(O738="FIRE TEX 5062",OR(E738="IN",E738="C",E738="Z",E738="L"),J738=3),VLOOKUP(_xlfn.MINIFS('FIRE TEX 5062'!$B$4:$B$34,'FIRE TEX 5062'!$B$4:$B$34,"&gt;="&amp;M738),'FIRE TEX 5062'!$B$4:$F$34,IF(L738="F-15",2,IF(L738="F-30",3,IF(L738="F-60",4,IF(L738="F-90",5,0)))),0),0)+IF(AND(O738="FIRE TEX 5062",OR(E738="IN",E738="C",E738="Z",E738="L"),J738=4),VLOOKUP(_xlfn.MINIFS('FIRE TEX 5062'!$G$4:$G$34,'FIRE TEX 5062'!$G$4:$G$34,"&gt;="&amp;M738),'FIRE TEX 5062'!$G$4:$K$34,IF(L738="F-15",2,IF(L738="F-30",3,IF(L738="F-60",4,IF(L738="F-90",5,0)))),0),0)+IF(AND(O738="FIRE TEX 5062",E738="CJ",J738=3),VLOOKUP(_xlfn.MINIFS('FIRE TEX 5062'!$L$4:$L$34,'FIRE TEX 5062'!$L$4:$L$34,"&gt;="&amp;M738),'FIRE TEX 5062'!$L$4:$P$34,IF(L738="F-15",2,IF(L738="F-30",3,IF(L738="F-60",4,IF(L738="F-90",5,0)))),0),0)+IF(AND(O738="FIRE TEX 5062",E738="CJ",J738=4),VLOOKUP(_xlfn.MINIFS('FIRE TEX 5062'!$Q$3:$Q$34,'FIRE TEX 5062'!$Q$3:$Q$34,"&gt;="&amp;M738),'FIRE TEX 5062'!$Q$3:$U$34,IF(L738="F-15",2,IF(L738="F-30",3,IF(L738="F-60",4,IF(L738="F-90",5,0)))),0),0)+IF(AND(O738="FIRE TEX 5090",OR(E738="IN",E738="C",E738="Z",E738="L"),J738=3),VLOOKUP(_xlfn.MINIFS('FIRE TEX 5090'!$B$5:$B$43,'FIRE TEX 5090'!$B$5:$B$43,"&gt;="&amp;M738),'FIRE TEX 5090'!$B$5:$H$43,IF(L738="F-15",2,IF(L738="F-30",3,IF(L738="F-60",4,IF(L738="F-90",5,IF(L738="F-120",6,IF(L738="F-150",7,0)))))),0),0)+IF(AND(O738="FIRE TEX 5090",OR(E738="IN",E738="C",E738="Z",E738="L"),J738=4),VLOOKUP(_xlfn.MINIFS('FIRE TEX 5090'!$J$5:$J$43,'FIRE TEX 5090'!$J$5:$J$43,"&gt;="&amp;M738),'FIRE TEX 5090'!$J$5:$P$43,IF(L738="F-15",2,IF(L738="F-30",3,IF(L738="F-60",4,IF(L738="F-90",5,IF(L738="F-120",6,IF(L738="F-150",7,0)))))),0),0)+IF(AND(O738="FIRE TEX 5090",E738="CJ",J738=3),VLOOKUP(_xlfn.MINIFS('FIRE TEX 5090'!$R$5:$R$30,'FIRE TEX 5090'!$R$5:$R$30,"&gt;="&amp;M738),'FIRE TEX 5090'!$R$5:$W$30,IF(L738="F-15",2,IF(L738="F-30",3,IF(L738="F-60",4,IF(L738="F-90",5,IF(L738="F-120",6,IF(L738="F-150",7,0)))))),0),0)+IF(AND(O738="FIRE TEX 5090",E738="CJ",J738=4),VLOOKUP(_xlfn.MINIFS('FIRE TEX 5090'!$Y$5:$Y$39,'FIRE TEX 5090'!$Y$5:$Y$39,"&gt;="&amp;M738),'FIRE TEX 5090'!$Y$5:$AD$39,IF(L738="F-15",2,IF(L738="F-30",3,IF(L738="F-60",4,IF(L738="F-90",5,IF(L738="F-120",6,IF(L738="F-150",7,0)))))),0),0)+IF(AND(O738="FIRE TEX 5120",OR(E738="IN",E738="C",E738="Z",E738="L"),J738=3),VLOOKUP(_xlfn.MINIFS('FIRE TEX 5120'!$B$5:$B$40,'FIRE TEX 5120'!$B$5:$B$40,"&gt;="&amp;M738),'FIRE TEX 5120'!$B$5:$G$40,IF(L738="F-15",2,IF(L738="F-30",3,IF(L738="F-60",4,IF(L738="F-90",5,IF(L738="F-120",6,0))))),0),0)+IF(AND(O738="FIRE TEX 5120",OR(E738="IN",E738="C",E738="Z",E738="L"),J738=4),VLOOKUP(_xlfn.MINIFS('FIRE TEX 5120'!$H$4:$H$40,'FIRE TEX 5120'!$H$4:$H$40,"&gt;="&amp;M738),'FIRE TEX 5120'!$H$4:$M$40,IF(L738="F-15",2,IF(L738="F-30",3,IF(L738="F-60",4,IF(L738="F-90",5,IF(L738="F-120",6,0))))),0),0)+IF(AND(O738="FIRE TEX 5120",E738="CJ"),VLOOKUP(_xlfn.MINIFS('FIRE TEX 5120'!$O$5:$O$40,'FIRE TEX 5120'!$O$5:$O$40,"&gt;="&amp;M738),'FIRE TEX 5120'!$O$5:$T$40,IF(L738="F-15",2,IF(L738="F-30",3,IF(L738="F-60",4,IF(L738="F-90",5,IF(L738="F-120",6,0))))),0),0)</f>
        <v>0</v>
      </c>
      <c r="Q738" s="46">
        <f t="shared" si="74"/>
        <v>0</v>
      </c>
      <c r="R738" s="46">
        <f t="shared" si="75"/>
        <v>0</v>
      </c>
      <c r="S738" s="46" t="e">
        <f t="shared" si="76"/>
        <v>#VALUE!</v>
      </c>
      <c r="T738" s="677">
        <f t="shared" si="77"/>
        <v>0</v>
      </c>
      <c r="U738" s="80">
        <f>(IF(O738="Stofire",(S738*#REF!),0))+(IF(O738="Fire Control",(S738*$U$2),0))+(IF(O738="Fire Tex",(S738*$U$3),0))+(IF(O738="WB7",(S738*#REF!),0)+(IF(O738="FX 2003",(S738*$U$5),0)))</f>
        <v>0</v>
      </c>
      <c r="V738" s="651">
        <f t="shared" si="78"/>
        <v>0</v>
      </c>
    </row>
    <row r="739" spans="4:22" x14ac:dyDescent="0.25">
      <c r="D739" s="118">
        <f>+CUBICACION!D738</f>
        <v>0</v>
      </c>
      <c r="E739" s="118">
        <f>+CUBICACION!F738</f>
        <v>0</v>
      </c>
      <c r="F739" s="118">
        <f>+CUBICACION!E738</f>
        <v>0</v>
      </c>
      <c r="G739" s="118">
        <v>12</v>
      </c>
      <c r="H739" s="118">
        <v>2</v>
      </c>
      <c r="I739" s="820">
        <v>26385</v>
      </c>
      <c r="J739" s="118">
        <f>+CUBICACION!J738</f>
        <v>0</v>
      </c>
      <c r="K739" s="118">
        <v>3518</v>
      </c>
      <c r="L739" s="118">
        <f>+CUBICACION!L738</f>
        <v>0</v>
      </c>
      <c r="M739" s="64">
        <f>+CUBICACION!M738</f>
        <v>0</v>
      </c>
      <c r="N739" s="824" t="str">
        <f>+CUBICACION!N738</f>
        <v/>
      </c>
      <c r="O739" s="675">
        <f>+CUBICACION!O738</f>
        <v>0</v>
      </c>
      <c r="P739" s="15">
        <f>IF(O739="Fire Control",VLOOKUP(_xlfn.MINIFS('FIRE CONTROL'!$C$4:$C$37,'FIRE CONTROL'!$C$4:$C$37,"&gt;="&amp;M739),'FIRE CONTROL'!$C$4:$G$37,IF(L739="F-15",2,IF(L739="F-30",3,IF(L739="F-60",4,IF(L739="F-90",5,0)))),0),0)+IF(AND(O739="FIRE TEX 5062",OR(E739="IN",E739="C",E739="Z",E739="L"),J739=3),VLOOKUP(_xlfn.MINIFS('FIRE TEX 5062'!$B$4:$B$34,'FIRE TEX 5062'!$B$4:$B$34,"&gt;="&amp;M739),'FIRE TEX 5062'!$B$4:$F$34,IF(L739="F-15",2,IF(L739="F-30",3,IF(L739="F-60",4,IF(L739="F-90",5,0)))),0),0)+IF(AND(O739="FIRE TEX 5062",OR(E739="IN",E739="C",E739="Z",E739="L"),J739=4),VLOOKUP(_xlfn.MINIFS('FIRE TEX 5062'!$G$4:$G$34,'FIRE TEX 5062'!$G$4:$G$34,"&gt;="&amp;M739),'FIRE TEX 5062'!$G$4:$K$34,IF(L739="F-15",2,IF(L739="F-30",3,IF(L739="F-60",4,IF(L739="F-90",5,0)))),0),0)+IF(AND(O739="FIRE TEX 5062",E739="CJ",J739=3),VLOOKUP(_xlfn.MINIFS('FIRE TEX 5062'!$L$4:$L$34,'FIRE TEX 5062'!$L$4:$L$34,"&gt;="&amp;M739),'FIRE TEX 5062'!$L$4:$P$34,IF(L739="F-15",2,IF(L739="F-30",3,IF(L739="F-60",4,IF(L739="F-90",5,0)))),0),0)+IF(AND(O739="FIRE TEX 5062",E739="CJ",J739=4),VLOOKUP(_xlfn.MINIFS('FIRE TEX 5062'!$Q$3:$Q$34,'FIRE TEX 5062'!$Q$3:$Q$34,"&gt;="&amp;M739),'FIRE TEX 5062'!$Q$3:$U$34,IF(L739="F-15",2,IF(L739="F-30",3,IF(L739="F-60",4,IF(L739="F-90",5,0)))),0),0)+IF(AND(O739="FIRE TEX 5090",OR(E739="IN",E739="C",E739="Z",E739="L"),J739=3),VLOOKUP(_xlfn.MINIFS('FIRE TEX 5090'!$B$5:$B$43,'FIRE TEX 5090'!$B$5:$B$43,"&gt;="&amp;M739),'FIRE TEX 5090'!$B$5:$H$43,IF(L739="F-15",2,IF(L739="F-30",3,IF(L739="F-60",4,IF(L739="F-90",5,IF(L739="F-120",6,IF(L739="F-150",7,0)))))),0),0)+IF(AND(O739="FIRE TEX 5090",OR(E739="IN",E739="C",E739="Z",E739="L"),J739=4),VLOOKUP(_xlfn.MINIFS('FIRE TEX 5090'!$J$5:$J$43,'FIRE TEX 5090'!$J$5:$J$43,"&gt;="&amp;M739),'FIRE TEX 5090'!$J$5:$P$43,IF(L739="F-15",2,IF(L739="F-30",3,IF(L739="F-60",4,IF(L739="F-90",5,IF(L739="F-120",6,IF(L739="F-150",7,0)))))),0),0)+IF(AND(O739="FIRE TEX 5090",E739="CJ",J739=3),VLOOKUP(_xlfn.MINIFS('FIRE TEX 5090'!$R$5:$R$30,'FIRE TEX 5090'!$R$5:$R$30,"&gt;="&amp;M739),'FIRE TEX 5090'!$R$5:$W$30,IF(L739="F-15",2,IF(L739="F-30",3,IF(L739="F-60",4,IF(L739="F-90",5,IF(L739="F-120",6,IF(L739="F-150",7,0)))))),0),0)+IF(AND(O739="FIRE TEX 5090",E739="CJ",J739=4),VLOOKUP(_xlfn.MINIFS('FIRE TEX 5090'!$Y$5:$Y$39,'FIRE TEX 5090'!$Y$5:$Y$39,"&gt;="&amp;M739),'FIRE TEX 5090'!$Y$5:$AD$39,IF(L739="F-15",2,IF(L739="F-30",3,IF(L739="F-60",4,IF(L739="F-90",5,IF(L739="F-120",6,IF(L739="F-150",7,0)))))),0),0)+IF(AND(O739="FIRE TEX 5120",OR(E739="IN",E739="C",E739="Z",E739="L"),J739=3),VLOOKUP(_xlfn.MINIFS('FIRE TEX 5120'!$B$5:$B$40,'FIRE TEX 5120'!$B$5:$B$40,"&gt;="&amp;M739),'FIRE TEX 5120'!$B$5:$G$40,IF(L739="F-15",2,IF(L739="F-30",3,IF(L739="F-60",4,IF(L739="F-90",5,IF(L739="F-120",6,0))))),0),0)+IF(AND(O739="FIRE TEX 5120",OR(E739="IN",E739="C",E739="Z",E739="L"),J739=4),VLOOKUP(_xlfn.MINIFS('FIRE TEX 5120'!$H$4:$H$40,'FIRE TEX 5120'!$H$4:$H$40,"&gt;="&amp;M739),'FIRE TEX 5120'!$H$4:$M$40,IF(L739="F-15",2,IF(L739="F-30",3,IF(L739="F-60",4,IF(L739="F-90",5,IF(L739="F-120",6,0))))),0),0)+IF(AND(O739="FIRE TEX 5120",E739="CJ"),VLOOKUP(_xlfn.MINIFS('FIRE TEX 5120'!$O$5:$O$40,'FIRE TEX 5120'!$O$5:$O$40,"&gt;="&amp;M739),'FIRE TEX 5120'!$O$5:$T$40,IF(L739="F-15",2,IF(L739="F-30",3,IF(L739="F-60",4,IF(L739="F-90",5,IF(L739="F-120",6,0))))),0),0)</f>
        <v>0</v>
      </c>
      <c r="Q739" s="46">
        <f t="shared" si="74"/>
        <v>0</v>
      </c>
      <c r="R739" s="46">
        <f t="shared" si="75"/>
        <v>0</v>
      </c>
      <c r="S739" s="46" t="e">
        <f t="shared" si="76"/>
        <v>#VALUE!</v>
      </c>
      <c r="T739" s="677">
        <f t="shared" si="77"/>
        <v>0</v>
      </c>
      <c r="U739" s="80">
        <f>(IF(O739="Stofire",(S739*#REF!),0))+(IF(O739="Fire Control",(S739*$U$2),0))+(IF(O739="Fire Tex",(S739*$U$3),0))+(IF(O739="WB7",(S739*#REF!),0)+(IF(O739="FX 2003",(S739*$U$5),0)))</f>
        <v>0</v>
      </c>
      <c r="V739" s="651">
        <f t="shared" si="78"/>
        <v>0</v>
      </c>
    </row>
    <row r="740" spans="4:22" x14ac:dyDescent="0.25">
      <c r="D740" s="118">
        <f>+CUBICACION!D739</f>
        <v>0</v>
      </c>
      <c r="E740" s="118">
        <f>+CUBICACION!F739</f>
        <v>0</v>
      </c>
      <c r="F740" s="118">
        <f>+CUBICACION!E739</f>
        <v>0</v>
      </c>
      <c r="G740" s="118">
        <v>12</v>
      </c>
      <c r="H740" s="118">
        <v>2</v>
      </c>
      <c r="I740" s="820">
        <v>26385</v>
      </c>
      <c r="J740" s="118">
        <f>+CUBICACION!J739</f>
        <v>0</v>
      </c>
      <c r="K740" s="118">
        <v>3519</v>
      </c>
      <c r="L740" s="118">
        <f>+CUBICACION!L739</f>
        <v>0</v>
      </c>
      <c r="M740" s="64">
        <f>+CUBICACION!M739</f>
        <v>0</v>
      </c>
      <c r="N740" s="824" t="str">
        <f>+CUBICACION!N739</f>
        <v/>
      </c>
      <c r="O740" s="675">
        <f>+CUBICACION!O739</f>
        <v>0</v>
      </c>
      <c r="P740" s="15">
        <f>IF(O740="Fire Control",VLOOKUP(_xlfn.MINIFS('FIRE CONTROL'!$C$4:$C$37,'FIRE CONTROL'!$C$4:$C$37,"&gt;="&amp;M740),'FIRE CONTROL'!$C$4:$G$37,IF(L740="F-15",2,IF(L740="F-30",3,IF(L740="F-60",4,IF(L740="F-90",5,0)))),0),0)+IF(AND(O740="FIRE TEX 5062",OR(E740="IN",E740="C",E740="Z",E740="L"),J740=3),VLOOKUP(_xlfn.MINIFS('FIRE TEX 5062'!$B$4:$B$34,'FIRE TEX 5062'!$B$4:$B$34,"&gt;="&amp;M740),'FIRE TEX 5062'!$B$4:$F$34,IF(L740="F-15",2,IF(L740="F-30",3,IF(L740="F-60",4,IF(L740="F-90",5,0)))),0),0)+IF(AND(O740="FIRE TEX 5062",OR(E740="IN",E740="C",E740="Z",E740="L"),J740=4),VLOOKUP(_xlfn.MINIFS('FIRE TEX 5062'!$G$4:$G$34,'FIRE TEX 5062'!$G$4:$G$34,"&gt;="&amp;M740),'FIRE TEX 5062'!$G$4:$K$34,IF(L740="F-15",2,IF(L740="F-30",3,IF(L740="F-60",4,IF(L740="F-90",5,0)))),0),0)+IF(AND(O740="FIRE TEX 5062",E740="CJ",J740=3),VLOOKUP(_xlfn.MINIFS('FIRE TEX 5062'!$L$4:$L$34,'FIRE TEX 5062'!$L$4:$L$34,"&gt;="&amp;M740),'FIRE TEX 5062'!$L$4:$P$34,IF(L740="F-15",2,IF(L740="F-30",3,IF(L740="F-60",4,IF(L740="F-90",5,0)))),0),0)+IF(AND(O740="FIRE TEX 5062",E740="CJ",J740=4),VLOOKUP(_xlfn.MINIFS('FIRE TEX 5062'!$Q$3:$Q$34,'FIRE TEX 5062'!$Q$3:$Q$34,"&gt;="&amp;M740),'FIRE TEX 5062'!$Q$3:$U$34,IF(L740="F-15",2,IF(L740="F-30",3,IF(L740="F-60",4,IF(L740="F-90",5,0)))),0),0)+IF(AND(O740="FIRE TEX 5090",OR(E740="IN",E740="C",E740="Z",E740="L"),J740=3),VLOOKUP(_xlfn.MINIFS('FIRE TEX 5090'!$B$5:$B$43,'FIRE TEX 5090'!$B$5:$B$43,"&gt;="&amp;M740),'FIRE TEX 5090'!$B$5:$H$43,IF(L740="F-15",2,IF(L740="F-30",3,IF(L740="F-60",4,IF(L740="F-90",5,IF(L740="F-120",6,IF(L740="F-150",7,0)))))),0),0)+IF(AND(O740="FIRE TEX 5090",OR(E740="IN",E740="C",E740="Z",E740="L"),J740=4),VLOOKUP(_xlfn.MINIFS('FIRE TEX 5090'!$J$5:$J$43,'FIRE TEX 5090'!$J$5:$J$43,"&gt;="&amp;M740),'FIRE TEX 5090'!$J$5:$P$43,IF(L740="F-15",2,IF(L740="F-30",3,IF(L740="F-60",4,IF(L740="F-90",5,IF(L740="F-120",6,IF(L740="F-150",7,0)))))),0),0)+IF(AND(O740="FIRE TEX 5090",E740="CJ",J740=3),VLOOKUP(_xlfn.MINIFS('FIRE TEX 5090'!$R$5:$R$30,'FIRE TEX 5090'!$R$5:$R$30,"&gt;="&amp;M740),'FIRE TEX 5090'!$R$5:$W$30,IF(L740="F-15",2,IF(L740="F-30",3,IF(L740="F-60",4,IF(L740="F-90",5,IF(L740="F-120",6,IF(L740="F-150",7,0)))))),0),0)+IF(AND(O740="FIRE TEX 5090",E740="CJ",J740=4),VLOOKUP(_xlfn.MINIFS('FIRE TEX 5090'!$Y$5:$Y$39,'FIRE TEX 5090'!$Y$5:$Y$39,"&gt;="&amp;M740),'FIRE TEX 5090'!$Y$5:$AD$39,IF(L740="F-15",2,IF(L740="F-30",3,IF(L740="F-60",4,IF(L740="F-90",5,IF(L740="F-120",6,IF(L740="F-150",7,0)))))),0),0)+IF(AND(O740="FIRE TEX 5120",OR(E740="IN",E740="C",E740="Z",E740="L"),J740=3),VLOOKUP(_xlfn.MINIFS('FIRE TEX 5120'!$B$5:$B$40,'FIRE TEX 5120'!$B$5:$B$40,"&gt;="&amp;M740),'FIRE TEX 5120'!$B$5:$G$40,IF(L740="F-15",2,IF(L740="F-30",3,IF(L740="F-60",4,IF(L740="F-90",5,IF(L740="F-120",6,0))))),0),0)+IF(AND(O740="FIRE TEX 5120",OR(E740="IN",E740="C",E740="Z",E740="L"),J740=4),VLOOKUP(_xlfn.MINIFS('FIRE TEX 5120'!$H$4:$H$40,'FIRE TEX 5120'!$H$4:$H$40,"&gt;="&amp;M740),'FIRE TEX 5120'!$H$4:$M$40,IF(L740="F-15",2,IF(L740="F-30",3,IF(L740="F-60",4,IF(L740="F-90",5,IF(L740="F-120",6,0))))),0),0)+IF(AND(O740="FIRE TEX 5120",E740="CJ"),VLOOKUP(_xlfn.MINIFS('FIRE TEX 5120'!$O$5:$O$40,'FIRE TEX 5120'!$O$5:$O$40,"&gt;="&amp;M740),'FIRE TEX 5120'!$O$5:$T$40,IF(L740="F-15",2,IF(L740="F-30",3,IF(L740="F-60",4,IF(L740="F-90",5,IF(L740="F-120",6,0))))),0),0)</f>
        <v>0</v>
      </c>
      <c r="Q740" s="46">
        <f t="shared" si="74"/>
        <v>0</v>
      </c>
      <c r="R740" s="46">
        <f t="shared" si="75"/>
        <v>0</v>
      </c>
      <c r="S740" s="46" t="e">
        <f t="shared" si="76"/>
        <v>#VALUE!</v>
      </c>
      <c r="T740" s="677">
        <f t="shared" si="77"/>
        <v>0</v>
      </c>
      <c r="U740" s="80">
        <f>(IF(O740="Stofire",(S740*#REF!),0))+(IF(O740="Fire Control",(S740*$U$2),0))+(IF(O740="Fire Tex",(S740*$U$3),0))+(IF(O740="WB7",(S740*#REF!),0)+(IF(O740="FX 2003",(S740*$U$5),0)))</f>
        <v>0</v>
      </c>
      <c r="V740" s="651">
        <f t="shared" si="78"/>
        <v>0</v>
      </c>
    </row>
    <row r="741" spans="4:22" x14ac:dyDescent="0.25">
      <c r="D741" s="118">
        <f>+CUBICACION!D740</f>
        <v>0</v>
      </c>
      <c r="E741" s="118">
        <f>+CUBICACION!F740</f>
        <v>0</v>
      </c>
      <c r="F741" s="118">
        <f>+CUBICACION!E740</f>
        <v>0</v>
      </c>
      <c r="G741" s="118">
        <v>12</v>
      </c>
      <c r="H741" s="118">
        <v>2</v>
      </c>
      <c r="I741" s="820">
        <v>26385</v>
      </c>
      <c r="J741" s="118">
        <f>+CUBICACION!J740</f>
        <v>0</v>
      </c>
      <c r="K741" s="118">
        <v>3520</v>
      </c>
      <c r="L741" s="118">
        <f>+CUBICACION!L740</f>
        <v>0</v>
      </c>
      <c r="M741" s="64">
        <f>+CUBICACION!M740</f>
        <v>0</v>
      </c>
      <c r="N741" s="824" t="str">
        <f>+CUBICACION!N740</f>
        <v/>
      </c>
      <c r="O741" s="675">
        <f>+CUBICACION!O740</f>
        <v>0</v>
      </c>
      <c r="P741" s="15">
        <f>IF(O741="Fire Control",VLOOKUP(_xlfn.MINIFS('FIRE CONTROL'!$C$4:$C$37,'FIRE CONTROL'!$C$4:$C$37,"&gt;="&amp;M741),'FIRE CONTROL'!$C$4:$G$37,IF(L741="F-15",2,IF(L741="F-30",3,IF(L741="F-60",4,IF(L741="F-90",5,0)))),0),0)+IF(AND(O741="FIRE TEX 5062",OR(E741="IN",E741="C",E741="Z",E741="L"),J741=3),VLOOKUP(_xlfn.MINIFS('FIRE TEX 5062'!$B$4:$B$34,'FIRE TEX 5062'!$B$4:$B$34,"&gt;="&amp;M741),'FIRE TEX 5062'!$B$4:$F$34,IF(L741="F-15",2,IF(L741="F-30",3,IF(L741="F-60",4,IF(L741="F-90",5,0)))),0),0)+IF(AND(O741="FIRE TEX 5062",OR(E741="IN",E741="C",E741="Z",E741="L"),J741=4),VLOOKUP(_xlfn.MINIFS('FIRE TEX 5062'!$G$4:$G$34,'FIRE TEX 5062'!$G$4:$G$34,"&gt;="&amp;M741),'FIRE TEX 5062'!$G$4:$K$34,IF(L741="F-15",2,IF(L741="F-30",3,IF(L741="F-60",4,IF(L741="F-90",5,0)))),0),0)+IF(AND(O741="FIRE TEX 5062",E741="CJ",J741=3),VLOOKUP(_xlfn.MINIFS('FIRE TEX 5062'!$L$4:$L$34,'FIRE TEX 5062'!$L$4:$L$34,"&gt;="&amp;M741),'FIRE TEX 5062'!$L$4:$P$34,IF(L741="F-15",2,IF(L741="F-30",3,IF(L741="F-60",4,IF(L741="F-90",5,0)))),0),0)+IF(AND(O741="FIRE TEX 5062",E741="CJ",J741=4),VLOOKUP(_xlfn.MINIFS('FIRE TEX 5062'!$Q$3:$Q$34,'FIRE TEX 5062'!$Q$3:$Q$34,"&gt;="&amp;M741),'FIRE TEX 5062'!$Q$3:$U$34,IF(L741="F-15",2,IF(L741="F-30",3,IF(L741="F-60",4,IF(L741="F-90",5,0)))),0),0)+IF(AND(O741="FIRE TEX 5090",OR(E741="IN",E741="C",E741="Z",E741="L"),J741=3),VLOOKUP(_xlfn.MINIFS('FIRE TEX 5090'!$B$5:$B$43,'FIRE TEX 5090'!$B$5:$B$43,"&gt;="&amp;M741),'FIRE TEX 5090'!$B$5:$H$43,IF(L741="F-15",2,IF(L741="F-30",3,IF(L741="F-60",4,IF(L741="F-90",5,IF(L741="F-120",6,IF(L741="F-150",7,0)))))),0),0)+IF(AND(O741="FIRE TEX 5090",OR(E741="IN",E741="C",E741="Z",E741="L"),J741=4),VLOOKUP(_xlfn.MINIFS('FIRE TEX 5090'!$J$5:$J$43,'FIRE TEX 5090'!$J$5:$J$43,"&gt;="&amp;M741),'FIRE TEX 5090'!$J$5:$P$43,IF(L741="F-15",2,IF(L741="F-30",3,IF(L741="F-60",4,IF(L741="F-90",5,IF(L741="F-120",6,IF(L741="F-150",7,0)))))),0),0)+IF(AND(O741="FIRE TEX 5090",E741="CJ",J741=3),VLOOKUP(_xlfn.MINIFS('FIRE TEX 5090'!$R$5:$R$30,'FIRE TEX 5090'!$R$5:$R$30,"&gt;="&amp;M741),'FIRE TEX 5090'!$R$5:$W$30,IF(L741="F-15",2,IF(L741="F-30",3,IF(L741="F-60",4,IF(L741="F-90",5,IF(L741="F-120",6,IF(L741="F-150",7,0)))))),0),0)+IF(AND(O741="FIRE TEX 5090",E741="CJ",J741=4),VLOOKUP(_xlfn.MINIFS('FIRE TEX 5090'!$Y$5:$Y$39,'FIRE TEX 5090'!$Y$5:$Y$39,"&gt;="&amp;M741),'FIRE TEX 5090'!$Y$5:$AD$39,IF(L741="F-15",2,IF(L741="F-30",3,IF(L741="F-60",4,IF(L741="F-90",5,IF(L741="F-120",6,IF(L741="F-150",7,0)))))),0),0)+IF(AND(O741="FIRE TEX 5120",OR(E741="IN",E741="C",E741="Z",E741="L"),J741=3),VLOOKUP(_xlfn.MINIFS('FIRE TEX 5120'!$B$5:$B$40,'FIRE TEX 5120'!$B$5:$B$40,"&gt;="&amp;M741),'FIRE TEX 5120'!$B$5:$G$40,IF(L741="F-15",2,IF(L741="F-30",3,IF(L741="F-60",4,IF(L741="F-90",5,IF(L741="F-120",6,0))))),0),0)+IF(AND(O741="FIRE TEX 5120",OR(E741="IN",E741="C",E741="Z",E741="L"),J741=4),VLOOKUP(_xlfn.MINIFS('FIRE TEX 5120'!$H$4:$H$40,'FIRE TEX 5120'!$H$4:$H$40,"&gt;="&amp;M741),'FIRE TEX 5120'!$H$4:$M$40,IF(L741="F-15",2,IF(L741="F-30",3,IF(L741="F-60",4,IF(L741="F-90",5,IF(L741="F-120",6,0))))),0),0)+IF(AND(O741="FIRE TEX 5120",E741="CJ"),VLOOKUP(_xlfn.MINIFS('FIRE TEX 5120'!$O$5:$O$40,'FIRE TEX 5120'!$O$5:$O$40,"&gt;="&amp;M741),'FIRE TEX 5120'!$O$5:$T$40,IF(L741="F-15",2,IF(L741="F-30",3,IF(L741="F-60",4,IF(L741="F-90",5,IF(L741="F-120",6,0))))),0),0)</f>
        <v>0</v>
      </c>
      <c r="Q741" s="46">
        <f t="shared" si="74"/>
        <v>0</v>
      </c>
      <c r="R741" s="46">
        <f t="shared" si="75"/>
        <v>0</v>
      </c>
      <c r="S741" s="46" t="e">
        <f t="shared" si="76"/>
        <v>#VALUE!</v>
      </c>
      <c r="T741" s="677">
        <f t="shared" si="77"/>
        <v>0</v>
      </c>
      <c r="U741" s="80">
        <f>(IF(O741="Stofire",(S741*#REF!),0))+(IF(O741="Fire Control",(S741*$U$2),0))+(IF(O741="Fire Tex",(S741*$U$3),0))+(IF(O741="WB7",(S741*#REF!),0)+(IF(O741="FX 2003",(S741*$U$5),0)))</f>
        <v>0</v>
      </c>
      <c r="V741" s="651">
        <f t="shared" si="78"/>
        <v>0</v>
      </c>
    </row>
    <row r="742" spans="4:22" x14ac:dyDescent="0.25">
      <c r="D742" s="118">
        <f>+CUBICACION!D741</f>
        <v>0</v>
      </c>
      <c r="E742" s="118">
        <f>+CUBICACION!F741</f>
        <v>0</v>
      </c>
      <c r="F742" s="118">
        <f>+CUBICACION!E741</f>
        <v>0</v>
      </c>
      <c r="G742" s="118">
        <v>12</v>
      </c>
      <c r="H742" s="118">
        <v>2</v>
      </c>
      <c r="I742" s="820">
        <v>26385</v>
      </c>
      <c r="J742" s="118">
        <f>+CUBICACION!J741</f>
        <v>0</v>
      </c>
      <c r="K742" s="118">
        <v>3521</v>
      </c>
      <c r="L742" s="118">
        <f>+CUBICACION!L741</f>
        <v>0</v>
      </c>
      <c r="M742" s="64">
        <f>+CUBICACION!M741</f>
        <v>0</v>
      </c>
      <c r="N742" s="824" t="str">
        <f>+CUBICACION!N741</f>
        <v/>
      </c>
      <c r="O742" s="675">
        <f>+CUBICACION!O741</f>
        <v>0</v>
      </c>
      <c r="P742" s="15">
        <f>IF(O742="Fire Control",VLOOKUP(_xlfn.MINIFS('FIRE CONTROL'!$C$4:$C$37,'FIRE CONTROL'!$C$4:$C$37,"&gt;="&amp;M742),'FIRE CONTROL'!$C$4:$G$37,IF(L742="F-15",2,IF(L742="F-30",3,IF(L742="F-60",4,IF(L742="F-90",5,0)))),0),0)+IF(AND(O742="FIRE TEX 5062",OR(E742="IN",E742="C",E742="Z",E742="L"),J742=3),VLOOKUP(_xlfn.MINIFS('FIRE TEX 5062'!$B$4:$B$34,'FIRE TEX 5062'!$B$4:$B$34,"&gt;="&amp;M742),'FIRE TEX 5062'!$B$4:$F$34,IF(L742="F-15",2,IF(L742="F-30",3,IF(L742="F-60",4,IF(L742="F-90",5,0)))),0),0)+IF(AND(O742="FIRE TEX 5062",OR(E742="IN",E742="C",E742="Z",E742="L"),J742=4),VLOOKUP(_xlfn.MINIFS('FIRE TEX 5062'!$G$4:$G$34,'FIRE TEX 5062'!$G$4:$G$34,"&gt;="&amp;M742),'FIRE TEX 5062'!$G$4:$K$34,IF(L742="F-15",2,IF(L742="F-30",3,IF(L742="F-60",4,IF(L742="F-90",5,0)))),0),0)+IF(AND(O742="FIRE TEX 5062",E742="CJ",J742=3),VLOOKUP(_xlfn.MINIFS('FIRE TEX 5062'!$L$4:$L$34,'FIRE TEX 5062'!$L$4:$L$34,"&gt;="&amp;M742),'FIRE TEX 5062'!$L$4:$P$34,IF(L742="F-15",2,IF(L742="F-30",3,IF(L742="F-60",4,IF(L742="F-90",5,0)))),0),0)+IF(AND(O742="FIRE TEX 5062",E742="CJ",J742=4),VLOOKUP(_xlfn.MINIFS('FIRE TEX 5062'!$Q$3:$Q$34,'FIRE TEX 5062'!$Q$3:$Q$34,"&gt;="&amp;M742),'FIRE TEX 5062'!$Q$3:$U$34,IF(L742="F-15",2,IF(L742="F-30",3,IF(L742="F-60",4,IF(L742="F-90",5,0)))),0),0)+IF(AND(O742="FIRE TEX 5090",OR(E742="IN",E742="C",E742="Z",E742="L"),J742=3),VLOOKUP(_xlfn.MINIFS('FIRE TEX 5090'!$B$5:$B$43,'FIRE TEX 5090'!$B$5:$B$43,"&gt;="&amp;M742),'FIRE TEX 5090'!$B$5:$H$43,IF(L742="F-15",2,IF(L742="F-30",3,IF(L742="F-60",4,IF(L742="F-90",5,IF(L742="F-120",6,IF(L742="F-150",7,0)))))),0),0)+IF(AND(O742="FIRE TEX 5090",OR(E742="IN",E742="C",E742="Z",E742="L"),J742=4),VLOOKUP(_xlfn.MINIFS('FIRE TEX 5090'!$J$5:$J$43,'FIRE TEX 5090'!$J$5:$J$43,"&gt;="&amp;M742),'FIRE TEX 5090'!$J$5:$P$43,IF(L742="F-15",2,IF(L742="F-30",3,IF(L742="F-60",4,IF(L742="F-90",5,IF(L742="F-120",6,IF(L742="F-150",7,0)))))),0),0)+IF(AND(O742="FIRE TEX 5090",E742="CJ",J742=3),VLOOKUP(_xlfn.MINIFS('FIRE TEX 5090'!$R$5:$R$30,'FIRE TEX 5090'!$R$5:$R$30,"&gt;="&amp;M742),'FIRE TEX 5090'!$R$5:$W$30,IF(L742="F-15",2,IF(L742="F-30",3,IF(L742="F-60",4,IF(L742="F-90",5,IF(L742="F-120",6,IF(L742="F-150",7,0)))))),0),0)+IF(AND(O742="FIRE TEX 5090",E742="CJ",J742=4),VLOOKUP(_xlfn.MINIFS('FIRE TEX 5090'!$Y$5:$Y$39,'FIRE TEX 5090'!$Y$5:$Y$39,"&gt;="&amp;M742),'FIRE TEX 5090'!$Y$5:$AD$39,IF(L742="F-15",2,IF(L742="F-30",3,IF(L742="F-60",4,IF(L742="F-90",5,IF(L742="F-120",6,IF(L742="F-150",7,0)))))),0),0)+IF(AND(O742="FIRE TEX 5120",OR(E742="IN",E742="C",E742="Z",E742="L"),J742=3),VLOOKUP(_xlfn.MINIFS('FIRE TEX 5120'!$B$5:$B$40,'FIRE TEX 5120'!$B$5:$B$40,"&gt;="&amp;M742),'FIRE TEX 5120'!$B$5:$G$40,IF(L742="F-15",2,IF(L742="F-30",3,IF(L742="F-60",4,IF(L742="F-90",5,IF(L742="F-120",6,0))))),0),0)+IF(AND(O742="FIRE TEX 5120",OR(E742="IN",E742="C",E742="Z",E742="L"),J742=4),VLOOKUP(_xlfn.MINIFS('FIRE TEX 5120'!$H$4:$H$40,'FIRE TEX 5120'!$H$4:$H$40,"&gt;="&amp;M742),'FIRE TEX 5120'!$H$4:$M$40,IF(L742="F-15",2,IF(L742="F-30",3,IF(L742="F-60",4,IF(L742="F-90",5,IF(L742="F-120",6,0))))),0),0)+IF(AND(O742="FIRE TEX 5120",E742="CJ"),VLOOKUP(_xlfn.MINIFS('FIRE TEX 5120'!$O$5:$O$40,'FIRE TEX 5120'!$O$5:$O$40,"&gt;="&amp;M742),'FIRE TEX 5120'!$O$5:$T$40,IF(L742="F-15",2,IF(L742="F-30",3,IF(L742="F-60",4,IF(L742="F-90",5,IF(L742="F-120",6,0))))),0),0)</f>
        <v>0</v>
      </c>
      <c r="Q742" s="46">
        <f t="shared" si="74"/>
        <v>0</v>
      </c>
      <c r="R742" s="46">
        <f t="shared" si="75"/>
        <v>0</v>
      </c>
      <c r="S742" s="46" t="e">
        <f t="shared" si="76"/>
        <v>#VALUE!</v>
      </c>
      <c r="T742" s="677">
        <f t="shared" si="77"/>
        <v>0</v>
      </c>
      <c r="U742" s="80">
        <f>(IF(O742="Stofire",(S742*#REF!),0))+(IF(O742="Fire Control",(S742*$U$2),0))+(IF(O742="Fire Tex",(S742*$U$3),0))+(IF(O742="WB7",(S742*#REF!),0)+(IF(O742="FX 2003",(S742*$U$5),0)))</f>
        <v>0</v>
      </c>
      <c r="V742" s="651">
        <f t="shared" si="78"/>
        <v>0</v>
      </c>
    </row>
    <row r="743" spans="4:22" x14ac:dyDescent="0.25">
      <c r="D743" s="118">
        <f>+CUBICACION!D742</f>
        <v>0</v>
      </c>
      <c r="E743" s="118">
        <f>+CUBICACION!F742</f>
        <v>0</v>
      </c>
      <c r="F743" s="118">
        <f>+CUBICACION!E742</f>
        <v>0</v>
      </c>
      <c r="G743" s="118">
        <v>12</v>
      </c>
      <c r="H743" s="118">
        <v>2</v>
      </c>
      <c r="I743" s="820">
        <v>26385</v>
      </c>
      <c r="J743" s="118">
        <f>+CUBICACION!J742</f>
        <v>0</v>
      </c>
      <c r="K743" s="118">
        <v>3522</v>
      </c>
      <c r="L743" s="118">
        <f>+CUBICACION!L742</f>
        <v>0</v>
      </c>
      <c r="M743" s="64">
        <f>+CUBICACION!M742</f>
        <v>0</v>
      </c>
      <c r="N743" s="824" t="str">
        <f>+CUBICACION!N742</f>
        <v/>
      </c>
      <c r="O743" s="675">
        <f>+CUBICACION!O742</f>
        <v>0</v>
      </c>
      <c r="P743" s="15">
        <f>IF(O743="Fire Control",VLOOKUP(_xlfn.MINIFS('FIRE CONTROL'!$C$4:$C$37,'FIRE CONTROL'!$C$4:$C$37,"&gt;="&amp;M743),'FIRE CONTROL'!$C$4:$G$37,IF(L743="F-15",2,IF(L743="F-30",3,IF(L743="F-60",4,IF(L743="F-90",5,0)))),0),0)+IF(AND(O743="FIRE TEX 5062",OR(E743="IN",E743="C",E743="Z",E743="L"),J743=3),VLOOKUP(_xlfn.MINIFS('FIRE TEX 5062'!$B$4:$B$34,'FIRE TEX 5062'!$B$4:$B$34,"&gt;="&amp;M743),'FIRE TEX 5062'!$B$4:$F$34,IF(L743="F-15",2,IF(L743="F-30",3,IF(L743="F-60",4,IF(L743="F-90",5,0)))),0),0)+IF(AND(O743="FIRE TEX 5062",OR(E743="IN",E743="C",E743="Z",E743="L"),J743=4),VLOOKUP(_xlfn.MINIFS('FIRE TEX 5062'!$G$4:$G$34,'FIRE TEX 5062'!$G$4:$G$34,"&gt;="&amp;M743),'FIRE TEX 5062'!$G$4:$K$34,IF(L743="F-15",2,IF(L743="F-30",3,IF(L743="F-60",4,IF(L743="F-90",5,0)))),0),0)+IF(AND(O743="FIRE TEX 5062",E743="CJ",J743=3),VLOOKUP(_xlfn.MINIFS('FIRE TEX 5062'!$L$4:$L$34,'FIRE TEX 5062'!$L$4:$L$34,"&gt;="&amp;M743),'FIRE TEX 5062'!$L$4:$P$34,IF(L743="F-15",2,IF(L743="F-30",3,IF(L743="F-60",4,IF(L743="F-90",5,0)))),0),0)+IF(AND(O743="FIRE TEX 5062",E743="CJ",J743=4),VLOOKUP(_xlfn.MINIFS('FIRE TEX 5062'!$Q$3:$Q$34,'FIRE TEX 5062'!$Q$3:$Q$34,"&gt;="&amp;M743),'FIRE TEX 5062'!$Q$3:$U$34,IF(L743="F-15",2,IF(L743="F-30",3,IF(L743="F-60",4,IF(L743="F-90",5,0)))),0),0)+IF(AND(O743="FIRE TEX 5090",OR(E743="IN",E743="C",E743="Z",E743="L"),J743=3),VLOOKUP(_xlfn.MINIFS('FIRE TEX 5090'!$B$5:$B$43,'FIRE TEX 5090'!$B$5:$B$43,"&gt;="&amp;M743),'FIRE TEX 5090'!$B$5:$H$43,IF(L743="F-15",2,IF(L743="F-30",3,IF(L743="F-60",4,IF(L743="F-90",5,IF(L743="F-120",6,IF(L743="F-150",7,0)))))),0),0)+IF(AND(O743="FIRE TEX 5090",OR(E743="IN",E743="C",E743="Z",E743="L"),J743=4),VLOOKUP(_xlfn.MINIFS('FIRE TEX 5090'!$J$5:$J$43,'FIRE TEX 5090'!$J$5:$J$43,"&gt;="&amp;M743),'FIRE TEX 5090'!$J$5:$P$43,IF(L743="F-15",2,IF(L743="F-30",3,IF(L743="F-60",4,IF(L743="F-90",5,IF(L743="F-120",6,IF(L743="F-150",7,0)))))),0),0)+IF(AND(O743="FIRE TEX 5090",E743="CJ",J743=3),VLOOKUP(_xlfn.MINIFS('FIRE TEX 5090'!$R$5:$R$30,'FIRE TEX 5090'!$R$5:$R$30,"&gt;="&amp;M743),'FIRE TEX 5090'!$R$5:$W$30,IF(L743="F-15",2,IF(L743="F-30",3,IF(L743="F-60",4,IF(L743="F-90",5,IF(L743="F-120",6,IF(L743="F-150",7,0)))))),0),0)+IF(AND(O743="FIRE TEX 5090",E743="CJ",J743=4),VLOOKUP(_xlfn.MINIFS('FIRE TEX 5090'!$Y$5:$Y$39,'FIRE TEX 5090'!$Y$5:$Y$39,"&gt;="&amp;M743),'FIRE TEX 5090'!$Y$5:$AD$39,IF(L743="F-15",2,IF(L743="F-30",3,IF(L743="F-60",4,IF(L743="F-90",5,IF(L743="F-120",6,IF(L743="F-150",7,0)))))),0),0)+IF(AND(O743="FIRE TEX 5120",OR(E743="IN",E743="C",E743="Z",E743="L"),J743=3),VLOOKUP(_xlfn.MINIFS('FIRE TEX 5120'!$B$5:$B$40,'FIRE TEX 5120'!$B$5:$B$40,"&gt;="&amp;M743),'FIRE TEX 5120'!$B$5:$G$40,IF(L743="F-15",2,IF(L743="F-30",3,IF(L743="F-60",4,IF(L743="F-90",5,IF(L743="F-120",6,0))))),0),0)+IF(AND(O743="FIRE TEX 5120",OR(E743="IN",E743="C",E743="Z",E743="L"),J743=4),VLOOKUP(_xlfn.MINIFS('FIRE TEX 5120'!$H$4:$H$40,'FIRE TEX 5120'!$H$4:$H$40,"&gt;="&amp;M743),'FIRE TEX 5120'!$H$4:$M$40,IF(L743="F-15",2,IF(L743="F-30",3,IF(L743="F-60",4,IF(L743="F-90",5,IF(L743="F-120",6,0))))),0),0)+IF(AND(O743="FIRE TEX 5120",E743="CJ"),VLOOKUP(_xlfn.MINIFS('FIRE TEX 5120'!$O$5:$O$40,'FIRE TEX 5120'!$O$5:$O$40,"&gt;="&amp;M743),'FIRE TEX 5120'!$O$5:$T$40,IF(L743="F-15",2,IF(L743="F-30",3,IF(L743="F-60",4,IF(L743="F-90",5,IF(L743="F-120",6,0))))),0),0)</f>
        <v>0</v>
      </c>
      <c r="Q743" s="46">
        <f t="shared" si="74"/>
        <v>0</v>
      </c>
      <c r="R743" s="46">
        <f t="shared" si="75"/>
        <v>0</v>
      </c>
      <c r="S743" s="46" t="e">
        <f t="shared" si="76"/>
        <v>#VALUE!</v>
      </c>
      <c r="T743" s="677">
        <f t="shared" si="77"/>
        <v>0</v>
      </c>
      <c r="U743" s="80">
        <f>(IF(O743="Stofire",(S743*#REF!),0))+(IF(O743="Fire Control",(S743*$U$2),0))+(IF(O743="Fire Tex",(S743*$U$3),0))+(IF(O743="WB7",(S743*#REF!),0)+(IF(O743="FX 2003",(S743*$U$5),0)))</f>
        <v>0</v>
      </c>
      <c r="V743" s="651">
        <f t="shared" si="78"/>
        <v>0</v>
      </c>
    </row>
    <row r="744" spans="4:22" x14ac:dyDescent="0.25">
      <c r="D744" s="118">
        <f>+CUBICACION!D743</f>
        <v>0</v>
      </c>
      <c r="E744" s="118">
        <f>+CUBICACION!F743</f>
        <v>0</v>
      </c>
      <c r="F744" s="118">
        <f>+CUBICACION!E743</f>
        <v>0</v>
      </c>
      <c r="G744" s="118">
        <v>12</v>
      </c>
      <c r="H744" s="118">
        <v>2</v>
      </c>
      <c r="I744" s="820">
        <v>26385</v>
      </c>
      <c r="J744" s="118">
        <f>+CUBICACION!J743</f>
        <v>0</v>
      </c>
      <c r="K744" s="118">
        <v>3523</v>
      </c>
      <c r="L744" s="118">
        <f>+CUBICACION!L743</f>
        <v>0</v>
      </c>
      <c r="M744" s="64">
        <f>+CUBICACION!M743</f>
        <v>0</v>
      </c>
      <c r="N744" s="824" t="str">
        <f>+CUBICACION!N743</f>
        <v/>
      </c>
      <c r="O744" s="675">
        <f>+CUBICACION!O743</f>
        <v>0</v>
      </c>
      <c r="P744" s="15">
        <f>IF(O744="Fire Control",VLOOKUP(_xlfn.MINIFS('FIRE CONTROL'!$C$4:$C$37,'FIRE CONTROL'!$C$4:$C$37,"&gt;="&amp;M744),'FIRE CONTROL'!$C$4:$G$37,IF(L744="F-15",2,IF(L744="F-30",3,IF(L744="F-60",4,IF(L744="F-90",5,0)))),0),0)+IF(AND(O744="FIRE TEX 5062",OR(E744="IN",E744="C",E744="Z",E744="L"),J744=3),VLOOKUP(_xlfn.MINIFS('FIRE TEX 5062'!$B$4:$B$34,'FIRE TEX 5062'!$B$4:$B$34,"&gt;="&amp;M744),'FIRE TEX 5062'!$B$4:$F$34,IF(L744="F-15",2,IF(L744="F-30",3,IF(L744="F-60",4,IF(L744="F-90",5,0)))),0),0)+IF(AND(O744="FIRE TEX 5062",OR(E744="IN",E744="C",E744="Z",E744="L"),J744=4),VLOOKUP(_xlfn.MINIFS('FIRE TEX 5062'!$G$4:$G$34,'FIRE TEX 5062'!$G$4:$G$34,"&gt;="&amp;M744),'FIRE TEX 5062'!$G$4:$K$34,IF(L744="F-15",2,IF(L744="F-30",3,IF(L744="F-60",4,IF(L744="F-90",5,0)))),0),0)+IF(AND(O744="FIRE TEX 5062",E744="CJ",J744=3),VLOOKUP(_xlfn.MINIFS('FIRE TEX 5062'!$L$4:$L$34,'FIRE TEX 5062'!$L$4:$L$34,"&gt;="&amp;M744),'FIRE TEX 5062'!$L$4:$P$34,IF(L744="F-15",2,IF(L744="F-30",3,IF(L744="F-60",4,IF(L744="F-90",5,0)))),0),0)+IF(AND(O744="FIRE TEX 5062",E744="CJ",J744=4),VLOOKUP(_xlfn.MINIFS('FIRE TEX 5062'!$Q$3:$Q$34,'FIRE TEX 5062'!$Q$3:$Q$34,"&gt;="&amp;M744),'FIRE TEX 5062'!$Q$3:$U$34,IF(L744="F-15",2,IF(L744="F-30",3,IF(L744="F-60",4,IF(L744="F-90",5,0)))),0),0)+IF(AND(O744="FIRE TEX 5090",OR(E744="IN",E744="C",E744="Z",E744="L"),J744=3),VLOOKUP(_xlfn.MINIFS('FIRE TEX 5090'!$B$5:$B$43,'FIRE TEX 5090'!$B$5:$B$43,"&gt;="&amp;M744),'FIRE TEX 5090'!$B$5:$H$43,IF(L744="F-15",2,IF(L744="F-30",3,IF(L744="F-60",4,IF(L744="F-90",5,IF(L744="F-120",6,IF(L744="F-150",7,0)))))),0),0)+IF(AND(O744="FIRE TEX 5090",OR(E744="IN",E744="C",E744="Z",E744="L"),J744=4),VLOOKUP(_xlfn.MINIFS('FIRE TEX 5090'!$J$5:$J$43,'FIRE TEX 5090'!$J$5:$J$43,"&gt;="&amp;M744),'FIRE TEX 5090'!$J$5:$P$43,IF(L744="F-15",2,IF(L744="F-30",3,IF(L744="F-60",4,IF(L744="F-90",5,IF(L744="F-120",6,IF(L744="F-150",7,0)))))),0),0)+IF(AND(O744="FIRE TEX 5090",E744="CJ",J744=3),VLOOKUP(_xlfn.MINIFS('FIRE TEX 5090'!$R$5:$R$30,'FIRE TEX 5090'!$R$5:$R$30,"&gt;="&amp;M744),'FIRE TEX 5090'!$R$5:$W$30,IF(L744="F-15",2,IF(L744="F-30",3,IF(L744="F-60",4,IF(L744="F-90",5,IF(L744="F-120",6,IF(L744="F-150",7,0)))))),0),0)+IF(AND(O744="FIRE TEX 5090",E744="CJ",J744=4),VLOOKUP(_xlfn.MINIFS('FIRE TEX 5090'!$Y$5:$Y$39,'FIRE TEX 5090'!$Y$5:$Y$39,"&gt;="&amp;M744),'FIRE TEX 5090'!$Y$5:$AD$39,IF(L744="F-15",2,IF(L744="F-30",3,IF(L744="F-60",4,IF(L744="F-90",5,IF(L744="F-120",6,IF(L744="F-150",7,0)))))),0),0)+IF(AND(O744="FIRE TEX 5120",OR(E744="IN",E744="C",E744="Z",E744="L"),J744=3),VLOOKUP(_xlfn.MINIFS('FIRE TEX 5120'!$B$5:$B$40,'FIRE TEX 5120'!$B$5:$B$40,"&gt;="&amp;M744),'FIRE TEX 5120'!$B$5:$G$40,IF(L744="F-15",2,IF(L744="F-30",3,IF(L744="F-60",4,IF(L744="F-90",5,IF(L744="F-120",6,0))))),0),0)+IF(AND(O744="FIRE TEX 5120",OR(E744="IN",E744="C",E744="Z",E744="L"),J744=4),VLOOKUP(_xlfn.MINIFS('FIRE TEX 5120'!$H$4:$H$40,'FIRE TEX 5120'!$H$4:$H$40,"&gt;="&amp;M744),'FIRE TEX 5120'!$H$4:$M$40,IF(L744="F-15",2,IF(L744="F-30",3,IF(L744="F-60",4,IF(L744="F-90",5,IF(L744="F-120",6,0))))),0),0)+IF(AND(O744="FIRE TEX 5120",E744="CJ"),VLOOKUP(_xlfn.MINIFS('FIRE TEX 5120'!$O$5:$O$40,'FIRE TEX 5120'!$O$5:$O$40,"&gt;="&amp;M744),'FIRE TEX 5120'!$O$5:$T$40,IF(L744="F-15",2,IF(L744="F-30",3,IF(L744="F-60",4,IF(L744="F-90",5,IF(L744="F-120",6,0))))),0),0)</f>
        <v>0</v>
      </c>
      <c r="Q744" s="46">
        <f t="shared" si="74"/>
        <v>0</v>
      </c>
      <c r="R744" s="46">
        <f t="shared" si="75"/>
        <v>0</v>
      </c>
      <c r="S744" s="46" t="e">
        <f t="shared" si="76"/>
        <v>#VALUE!</v>
      </c>
      <c r="T744" s="677">
        <f t="shared" si="77"/>
        <v>0</v>
      </c>
      <c r="U744" s="80">
        <f>(IF(O744="Stofire",(S744*#REF!),0))+(IF(O744="Fire Control",(S744*$U$2),0))+(IF(O744="Fire Tex",(S744*$U$3),0))+(IF(O744="WB7",(S744*#REF!),0)+(IF(O744="FX 2003",(S744*$U$5),0)))</f>
        <v>0</v>
      </c>
      <c r="V744" s="651">
        <f t="shared" si="78"/>
        <v>0</v>
      </c>
    </row>
    <row r="745" spans="4:22" x14ac:dyDescent="0.25">
      <c r="D745" s="118">
        <f>+CUBICACION!D744</f>
        <v>0</v>
      </c>
      <c r="E745" s="118">
        <f>+CUBICACION!F744</f>
        <v>0</v>
      </c>
      <c r="F745" s="118">
        <f>+CUBICACION!E744</f>
        <v>0</v>
      </c>
      <c r="G745" s="118">
        <v>12</v>
      </c>
      <c r="H745" s="118">
        <v>2</v>
      </c>
      <c r="I745" s="820">
        <v>26385</v>
      </c>
      <c r="J745" s="118">
        <f>+CUBICACION!J744</f>
        <v>0</v>
      </c>
      <c r="K745" s="118">
        <v>3524</v>
      </c>
      <c r="L745" s="118">
        <f>+CUBICACION!L744</f>
        <v>0</v>
      </c>
      <c r="M745" s="64">
        <f>+CUBICACION!M744</f>
        <v>0</v>
      </c>
      <c r="N745" s="824" t="str">
        <f>+CUBICACION!N744</f>
        <v/>
      </c>
      <c r="O745" s="675">
        <f>+CUBICACION!O744</f>
        <v>0</v>
      </c>
      <c r="P745" s="15">
        <f>IF(O745="Fire Control",VLOOKUP(_xlfn.MINIFS('FIRE CONTROL'!$C$4:$C$37,'FIRE CONTROL'!$C$4:$C$37,"&gt;="&amp;M745),'FIRE CONTROL'!$C$4:$G$37,IF(L745="F-15",2,IF(L745="F-30",3,IF(L745="F-60",4,IF(L745="F-90",5,0)))),0),0)+IF(AND(O745="FIRE TEX 5062",OR(E745="IN",E745="C",E745="Z",E745="L"),J745=3),VLOOKUP(_xlfn.MINIFS('FIRE TEX 5062'!$B$4:$B$34,'FIRE TEX 5062'!$B$4:$B$34,"&gt;="&amp;M745),'FIRE TEX 5062'!$B$4:$F$34,IF(L745="F-15",2,IF(L745="F-30",3,IF(L745="F-60",4,IF(L745="F-90",5,0)))),0),0)+IF(AND(O745="FIRE TEX 5062",OR(E745="IN",E745="C",E745="Z",E745="L"),J745=4),VLOOKUP(_xlfn.MINIFS('FIRE TEX 5062'!$G$4:$G$34,'FIRE TEX 5062'!$G$4:$G$34,"&gt;="&amp;M745),'FIRE TEX 5062'!$G$4:$K$34,IF(L745="F-15",2,IF(L745="F-30",3,IF(L745="F-60",4,IF(L745="F-90",5,0)))),0),0)+IF(AND(O745="FIRE TEX 5062",E745="CJ",J745=3),VLOOKUP(_xlfn.MINIFS('FIRE TEX 5062'!$L$4:$L$34,'FIRE TEX 5062'!$L$4:$L$34,"&gt;="&amp;M745),'FIRE TEX 5062'!$L$4:$P$34,IF(L745="F-15",2,IF(L745="F-30",3,IF(L745="F-60",4,IF(L745="F-90",5,0)))),0),0)+IF(AND(O745="FIRE TEX 5062",E745="CJ",J745=4),VLOOKUP(_xlfn.MINIFS('FIRE TEX 5062'!$Q$3:$Q$34,'FIRE TEX 5062'!$Q$3:$Q$34,"&gt;="&amp;M745),'FIRE TEX 5062'!$Q$3:$U$34,IF(L745="F-15",2,IF(L745="F-30",3,IF(L745="F-60",4,IF(L745="F-90",5,0)))),0),0)+IF(AND(O745="FIRE TEX 5090",OR(E745="IN",E745="C",E745="Z",E745="L"),J745=3),VLOOKUP(_xlfn.MINIFS('FIRE TEX 5090'!$B$5:$B$43,'FIRE TEX 5090'!$B$5:$B$43,"&gt;="&amp;M745),'FIRE TEX 5090'!$B$5:$H$43,IF(L745="F-15",2,IF(L745="F-30",3,IF(L745="F-60",4,IF(L745="F-90",5,IF(L745="F-120",6,IF(L745="F-150",7,0)))))),0),0)+IF(AND(O745="FIRE TEX 5090",OR(E745="IN",E745="C",E745="Z",E745="L"),J745=4),VLOOKUP(_xlfn.MINIFS('FIRE TEX 5090'!$J$5:$J$43,'FIRE TEX 5090'!$J$5:$J$43,"&gt;="&amp;M745),'FIRE TEX 5090'!$J$5:$P$43,IF(L745="F-15",2,IF(L745="F-30",3,IF(L745="F-60",4,IF(L745="F-90",5,IF(L745="F-120",6,IF(L745="F-150",7,0)))))),0),0)+IF(AND(O745="FIRE TEX 5090",E745="CJ",J745=3),VLOOKUP(_xlfn.MINIFS('FIRE TEX 5090'!$R$5:$R$30,'FIRE TEX 5090'!$R$5:$R$30,"&gt;="&amp;M745),'FIRE TEX 5090'!$R$5:$W$30,IF(L745="F-15",2,IF(L745="F-30",3,IF(L745="F-60",4,IF(L745="F-90",5,IF(L745="F-120",6,IF(L745="F-150",7,0)))))),0),0)+IF(AND(O745="FIRE TEX 5090",E745="CJ",J745=4),VLOOKUP(_xlfn.MINIFS('FIRE TEX 5090'!$Y$5:$Y$39,'FIRE TEX 5090'!$Y$5:$Y$39,"&gt;="&amp;M745),'FIRE TEX 5090'!$Y$5:$AD$39,IF(L745="F-15",2,IF(L745="F-30",3,IF(L745="F-60",4,IF(L745="F-90",5,IF(L745="F-120",6,IF(L745="F-150",7,0)))))),0),0)+IF(AND(O745="FIRE TEX 5120",OR(E745="IN",E745="C",E745="Z",E745="L"),J745=3),VLOOKUP(_xlfn.MINIFS('FIRE TEX 5120'!$B$5:$B$40,'FIRE TEX 5120'!$B$5:$B$40,"&gt;="&amp;M745),'FIRE TEX 5120'!$B$5:$G$40,IF(L745="F-15",2,IF(L745="F-30",3,IF(L745="F-60",4,IF(L745="F-90",5,IF(L745="F-120",6,0))))),0),0)+IF(AND(O745="FIRE TEX 5120",OR(E745="IN",E745="C",E745="Z",E745="L"),J745=4),VLOOKUP(_xlfn.MINIFS('FIRE TEX 5120'!$H$4:$H$40,'FIRE TEX 5120'!$H$4:$H$40,"&gt;="&amp;M745),'FIRE TEX 5120'!$H$4:$M$40,IF(L745="F-15",2,IF(L745="F-30",3,IF(L745="F-60",4,IF(L745="F-90",5,IF(L745="F-120",6,0))))),0),0)+IF(AND(O745="FIRE TEX 5120",E745="CJ"),VLOOKUP(_xlfn.MINIFS('FIRE TEX 5120'!$O$5:$O$40,'FIRE TEX 5120'!$O$5:$O$40,"&gt;="&amp;M745),'FIRE TEX 5120'!$O$5:$T$40,IF(L745="F-15",2,IF(L745="F-30",3,IF(L745="F-60",4,IF(L745="F-90",5,IF(L745="F-120",6,0))))),0),0)</f>
        <v>0</v>
      </c>
      <c r="Q745" s="46">
        <f t="shared" si="74"/>
        <v>0</v>
      </c>
      <c r="R745" s="46">
        <f t="shared" si="75"/>
        <v>0</v>
      </c>
      <c r="S745" s="46" t="e">
        <f t="shared" si="76"/>
        <v>#VALUE!</v>
      </c>
      <c r="T745" s="677">
        <f t="shared" si="77"/>
        <v>0</v>
      </c>
      <c r="U745" s="80">
        <f>(IF(O745="Stofire",(S745*#REF!),0))+(IF(O745="Fire Control",(S745*$U$2),0))+(IF(O745="Fire Tex",(S745*$U$3),0))+(IF(O745="WB7",(S745*#REF!),0)+(IF(O745="FX 2003",(S745*$U$5),0)))</f>
        <v>0</v>
      </c>
      <c r="V745" s="651">
        <f t="shared" si="78"/>
        <v>0</v>
      </c>
    </row>
    <row r="746" spans="4:22" x14ac:dyDescent="0.25">
      <c r="D746" s="118">
        <f>+CUBICACION!D745</f>
        <v>0</v>
      </c>
      <c r="E746" s="118">
        <f>+CUBICACION!F745</f>
        <v>0</v>
      </c>
      <c r="F746" s="118">
        <f>+CUBICACION!E745</f>
        <v>0</v>
      </c>
      <c r="G746" s="118">
        <v>12</v>
      </c>
      <c r="H746" s="118">
        <v>2</v>
      </c>
      <c r="I746" s="820">
        <v>26385</v>
      </c>
      <c r="J746" s="118">
        <f>+CUBICACION!J745</f>
        <v>0</v>
      </c>
      <c r="K746" s="118">
        <v>3525</v>
      </c>
      <c r="L746" s="118">
        <f>+CUBICACION!L745</f>
        <v>0</v>
      </c>
      <c r="M746" s="64">
        <f>+CUBICACION!M745</f>
        <v>0</v>
      </c>
      <c r="N746" s="824" t="str">
        <f>+CUBICACION!N745</f>
        <v/>
      </c>
      <c r="O746" s="675">
        <f>+CUBICACION!O745</f>
        <v>0</v>
      </c>
      <c r="P746" s="15">
        <f>IF(O746="Fire Control",VLOOKUP(_xlfn.MINIFS('FIRE CONTROL'!$C$4:$C$37,'FIRE CONTROL'!$C$4:$C$37,"&gt;="&amp;M746),'FIRE CONTROL'!$C$4:$G$37,IF(L746="F-15",2,IF(L746="F-30",3,IF(L746="F-60",4,IF(L746="F-90",5,0)))),0),0)+IF(AND(O746="FIRE TEX 5062",OR(E746="IN",E746="C",E746="Z",E746="L"),J746=3),VLOOKUP(_xlfn.MINIFS('FIRE TEX 5062'!$B$4:$B$34,'FIRE TEX 5062'!$B$4:$B$34,"&gt;="&amp;M746),'FIRE TEX 5062'!$B$4:$F$34,IF(L746="F-15",2,IF(L746="F-30",3,IF(L746="F-60",4,IF(L746="F-90",5,0)))),0),0)+IF(AND(O746="FIRE TEX 5062",OR(E746="IN",E746="C",E746="Z",E746="L"),J746=4),VLOOKUP(_xlfn.MINIFS('FIRE TEX 5062'!$G$4:$G$34,'FIRE TEX 5062'!$G$4:$G$34,"&gt;="&amp;M746),'FIRE TEX 5062'!$G$4:$K$34,IF(L746="F-15",2,IF(L746="F-30",3,IF(L746="F-60",4,IF(L746="F-90",5,0)))),0),0)+IF(AND(O746="FIRE TEX 5062",E746="CJ",J746=3),VLOOKUP(_xlfn.MINIFS('FIRE TEX 5062'!$L$4:$L$34,'FIRE TEX 5062'!$L$4:$L$34,"&gt;="&amp;M746),'FIRE TEX 5062'!$L$4:$P$34,IF(L746="F-15",2,IF(L746="F-30",3,IF(L746="F-60",4,IF(L746="F-90",5,0)))),0),0)+IF(AND(O746="FIRE TEX 5062",E746="CJ",J746=4),VLOOKUP(_xlfn.MINIFS('FIRE TEX 5062'!$Q$3:$Q$34,'FIRE TEX 5062'!$Q$3:$Q$34,"&gt;="&amp;M746),'FIRE TEX 5062'!$Q$3:$U$34,IF(L746="F-15",2,IF(L746="F-30",3,IF(L746="F-60",4,IF(L746="F-90",5,0)))),0),0)+IF(AND(O746="FIRE TEX 5090",OR(E746="IN",E746="C",E746="Z",E746="L"),J746=3),VLOOKUP(_xlfn.MINIFS('FIRE TEX 5090'!$B$5:$B$43,'FIRE TEX 5090'!$B$5:$B$43,"&gt;="&amp;M746),'FIRE TEX 5090'!$B$5:$H$43,IF(L746="F-15",2,IF(L746="F-30",3,IF(L746="F-60",4,IF(L746="F-90",5,IF(L746="F-120",6,IF(L746="F-150",7,0)))))),0),0)+IF(AND(O746="FIRE TEX 5090",OR(E746="IN",E746="C",E746="Z",E746="L"),J746=4),VLOOKUP(_xlfn.MINIFS('FIRE TEX 5090'!$J$5:$J$43,'FIRE TEX 5090'!$J$5:$J$43,"&gt;="&amp;M746),'FIRE TEX 5090'!$J$5:$P$43,IF(L746="F-15",2,IF(L746="F-30",3,IF(L746="F-60",4,IF(L746="F-90",5,IF(L746="F-120",6,IF(L746="F-150",7,0)))))),0),0)+IF(AND(O746="FIRE TEX 5090",E746="CJ",J746=3),VLOOKUP(_xlfn.MINIFS('FIRE TEX 5090'!$R$5:$R$30,'FIRE TEX 5090'!$R$5:$R$30,"&gt;="&amp;M746),'FIRE TEX 5090'!$R$5:$W$30,IF(L746="F-15",2,IF(L746="F-30",3,IF(L746="F-60",4,IF(L746="F-90",5,IF(L746="F-120",6,IF(L746="F-150",7,0)))))),0),0)+IF(AND(O746="FIRE TEX 5090",E746="CJ",J746=4),VLOOKUP(_xlfn.MINIFS('FIRE TEX 5090'!$Y$5:$Y$39,'FIRE TEX 5090'!$Y$5:$Y$39,"&gt;="&amp;M746),'FIRE TEX 5090'!$Y$5:$AD$39,IF(L746="F-15",2,IF(L746="F-30",3,IF(L746="F-60",4,IF(L746="F-90",5,IF(L746="F-120",6,IF(L746="F-150",7,0)))))),0),0)+IF(AND(O746="FIRE TEX 5120",OR(E746="IN",E746="C",E746="Z",E746="L"),J746=3),VLOOKUP(_xlfn.MINIFS('FIRE TEX 5120'!$B$5:$B$40,'FIRE TEX 5120'!$B$5:$B$40,"&gt;="&amp;M746),'FIRE TEX 5120'!$B$5:$G$40,IF(L746="F-15",2,IF(L746="F-30",3,IF(L746="F-60",4,IF(L746="F-90",5,IF(L746="F-120",6,0))))),0),0)+IF(AND(O746="FIRE TEX 5120",OR(E746="IN",E746="C",E746="Z",E746="L"),J746=4),VLOOKUP(_xlfn.MINIFS('FIRE TEX 5120'!$H$4:$H$40,'FIRE TEX 5120'!$H$4:$H$40,"&gt;="&amp;M746),'FIRE TEX 5120'!$H$4:$M$40,IF(L746="F-15",2,IF(L746="F-30",3,IF(L746="F-60",4,IF(L746="F-90",5,IF(L746="F-120",6,0))))),0),0)+IF(AND(O746="FIRE TEX 5120",E746="CJ"),VLOOKUP(_xlfn.MINIFS('FIRE TEX 5120'!$O$5:$O$40,'FIRE TEX 5120'!$O$5:$O$40,"&gt;="&amp;M746),'FIRE TEX 5120'!$O$5:$T$40,IF(L746="F-15",2,IF(L746="F-30",3,IF(L746="F-60",4,IF(L746="F-90",5,IF(L746="F-120",6,0))))),0),0)</f>
        <v>0</v>
      </c>
      <c r="Q746" s="46">
        <f t="shared" si="74"/>
        <v>0</v>
      </c>
      <c r="R746" s="46">
        <f t="shared" si="75"/>
        <v>0</v>
      </c>
      <c r="S746" s="46" t="e">
        <f t="shared" si="76"/>
        <v>#VALUE!</v>
      </c>
      <c r="T746" s="677">
        <f t="shared" si="77"/>
        <v>0</v>
      </c>
      <c r="U746" s="80">
        <f>(IF(O746="Stofire",(S746*#REF!),0))+(IF(O746="Fire Control",(S746*$U$2),0))+(IF(O746="Fire Tex",(S746*$U$3),0))+(IF(O746="WB7",(S746*#REF!),0)+(IF(O746="FX 2003",(S746*$U$5),0)))</f>
        <v>0</v>
      </c>
      <c r="V746" s="651">
        <f t="shared" si="78"/>
        <v>0</v>
      </c>
    </row>
    <row r="747" spans="4:22" x14ac:dyDescent="0.25">
      <c r="D747" s="118">
        <f>+CUBICACION!D746</f>
        <v>0</v>
      </c>
      <c r="E747" s="118">
        <f>+CUBICACION!F746</f>
        <v>0</v>
      </c>
      <c r="F747" s="118">
        <f>+CUBICACION!E746</f>
        <v>0</v>
      </c>
      <c r="G747" s="118">
        <v>12</v>
      </c>
      <c r="H747" s="118">
        <v>2</v>
      </c>
      <c r="I747" s="820">
        <v>26385</v>
      </c>
      <c r="J747" s="118">
        <f>+CUBICACION!J746</f>
        <v>0</v>
      </c>
      <c r="K747" s="118">
        <v>3526</v>
      </c>
      <c r="L747" s="118">
        <f>+CUBICACION!L746</f>
        <v>0</v>
      </c>
      <c r="M747" s="64">
        <f>+CUBICACION!M746</f>
        <v>0</v>
      </c>
      <c r="N747" s="824" t="str">
        <f>+CUBICACION!N746</f>
        <v/>
      </c>
      <c r="O747" s="675">
        <f>+CUBICACION!O746</f>
        <v>0</v>
      </c>
      <c r="P747" s="15">
        <f>IF(O747="Fire Control",VLOOKUP(_xlfn.MINIFS('FIRE CONTROL'!$C$4:$C$37,'FIRE CONTROL'!$C$4:$C$37,"&gt;="&amp;M747),'FIRE CONTROL'!$C$4:$G$37,IF(L747="F-15",2,IF(L747="F-30",3,IF(L747="F-60",4,IF(L747="F-90",5,0)))),0),0)+IF(AND(O747="FIRE TEX 5062",OR(E747="IN",E747="C",E747="Z",E747="L"),J747=3),VLOOKUP(_xlfn.MINIFS('FIRE TEX 5062'!$B$4:$B$34,'FIRE TEX 5062'!$B$4:$B$34,"&gt;="&amp;M747),'FIRE TEX 5062'!$B$4:$F$34,IF(L747="F-15",2,IF(L747="F-30",3,IF(L747="F-60",4,IF(L747="F-90",5,0)))),0),0)+IF(AND(O747="FIRE TEX 5062",OR(E747="IN",E747="C",E747="Z",E747="L"),J747=4),VLOOKUP(_xlfn.MINIFS('FIRE TEX 5062'!$G$4:$G$34,'FIRE TEX 5062'!$G$4:$G$34,"&gt;="&amp;M747),'FIRE TEX 5062'!$G$4:$K$34,IF(L747="F-15",2,IF(L747="F-30",3,IF(L747="F-60",4,IF(L747="F-90",5,0)))),0),0)+IF(AND(O747="FIRE TEX 5062",E747="CJ",J747=3),VLOOKUP(_xlfn.MINIFS('FIRE TEX 5062'!$L$4:$L$34,'FIRE TEX 5062'!$L$4:$L$34,"&gt;="&amp;M747),'FIRE TEX 5062'!$L$4:$P$34,IF(L747="F-15",2,IF(L747="F-30",3,IF(L747="F-60",4,IF(L747="F-90",5,0)))),0),0)+IF(AND(O747="FIRE TEX 5062",E747="CJ",J747=4),VLOOKUP(_xlfn.MINIFS('FIRE TEX 5062'!$Q$3:$Q$34,'FIRE TEX 5062'!$Q$3:$Q$34,"&gt;="&amp;M747),'FIRE TEX 5062'!$Q$3:$U$34,IF(L747="F-15",2,IF(L747="F-30",3,IF(L747="F-60",4,IF(L747="F-90",5,0)))),0),0)+IF(AND(O747="FIRE TEX 5090",OR(E747="IN",E747="C",E747="Z",E747="L"),J747=3),VLOOKUP(_xlfn.MINIFS('FIRE TEX 5090'!$B$5:$B$43,'FIRE TEX 5090'!$B$5:$B$43,"&gt;="&amp;M747),'FIRE TEX 5090'!$B$5:$H$43,IF(L747="F-15",2,IF(L747="F-30",3,IF(L747="F-60",4,IF(L747="F-90",5,IF(L747="F-120",6,IF(L747="F-150",7,0)))))),0),0)+IF(AND(O747="FIRE TEX 5090",OR(E747="IN",E747="C",E747="Z",E747="L"),J747=4),VLOOKUP(_xlfn.MINIFS('FIRE TEX 5090'!$J$5:$J$43,'FIRE TEX 5090'!$J$5:$J$43,"&gt;="&amp;M747),'FIRE TEX 5090'!$J$5:$P$43,IF(L747="F-15",2,IF(L747="F-30",3,IF(L747="F-60",4,IF(L747="F-90",5,IF(L747="F-120",6,IF(L747="F-150",7,0)))))),0),0)+IF(AND(O747="FIRE TEX 5090",E747="CJ",J747=3),VLOOKUP(_xlfn.MINIFS('FIRE TEX 5090'!$R$5:$R$30,'FIRE TEX 5090'!$R$5:$R$30,"&gt;="&amp;M747),'FIRE TEX 5090'!$R$5:$W$30,IF(L747="F-15",2,IF(L747="F-30",3,IF(L747="F-60",4,IF(L747="F-90",5,IF(L747="F-120",6,IF(L747="F-150",7,0)))))),0),0)+IF(AND(O747="FIRE TEX 5090",E747="CJ",J747=4),VLOOKUP(_xlfn.MINIFS('FIRE TEX 5090'!$Y$5:$Y$39,'FIRE TEX 5090'!$Y$5:$Y$39,"&gt;="&amp;M747),'FIRE TEX 5090'!$Y$5:$AD$39,IF(L747="F-15",2,IF(L747="F-30",3,IF(L747="F-60",4,IF(L747="F-90",5,IF(L747="F-120",6,IF(L747="F-150",7,0)))))),0),0)+IF(AND(O747="FIRE TEX 5120",OR(E747="IN",E747="C",E747="Z",E747="L"),J747=3),VLOOKUP(_xlfn.MINIFS('FIRE TEX 5120'!$B$5:$B$40,'FIRE TEX 5120'!$B$5:$B$40,"&gt;="&amp;M747),'FIRE TEX 5120'!$B$5:$G$40,IF(L747="F-15",2,IF(L747="F-30",3,IF(L747="F-60",4,IF(L747="F-90",5,IF(L747="F-120",6,0))))),0),0)+IF(AND(O747="FIRE TEX 5120",OR(E747="IN",E747="C",E747="Z",E747="L"),J747=4),VLOOKUP(_xlfn.MINIFS('FIRE TEX 5120'!$H$4:$H$40,'FIRE TEX 5120'!$H$4:$H$40,"&gt;="&amp;M747),'FIRE TEX 5120'!$H$4:$M$40,IF(L747="F-15",2,IF(L747="F-30",3,IF(L747="F-60",4,IF(L747="F-90",5,IF(L747="F-120",6,0))))),0),0)+IF(AND(O747="FIRE TEX 5120",E747="CJ"),VLOOKUP(_xlfn.MINIFS('FIRE TEX 5120'!$O$5:$O$40,'FIRE TEX 5120'!$O$5:$O$40,"&gt;="&amp;M747),'FIRE TEX 5120'!$O$5:$T$40,IF(L747="F-15",2,IF(L747="F-30",3,IF(L747="F-60",4,IF(L747="F-90",5,IF(L747="F-120",6,0))))),0),0)</f>
        <v>0</v>
      </c>
      <c r="Q747" s="46">
        <f t="shared" si="74"/>
        <v>0</v>
      </c>
      <c r="R747" s="46">
        <f t="shared" si="75"/>
        <v>0</v>
      </c>
      <c r="S747" s="46" t="e">
        <f t="shared" si="76"/>
        <v>#VALUE!</v>
      </c>
      <c r="T747" s="677">
        <f t="shared" si="77"/>
        <v>0</v>
      </c>
      <c r="U747" s="80">
        <f>(IF(O747="Stofire",(S747*#REF!),0))+(IF(O747="Fire Control",(S747*$U$2),0))+(IF(O747="Fire Tex",(S747*$U$3),0))+(IF(O747="WB7",(S747*#REF!),0)+(IF(O747="FX 2003",(S747*$U$5),0)))</f>
        <v>0</v>
      </c>
      <c r="V747" s="651">
        <f t="shared" si="78"/>
        <v>0</v>
      </c>
    </row>
    <row r="748" spans="4:22" x14ac:dyDescent="0.25">
      <c r="D748" s="118">
        <f>+CUBICACION!D747</f>
        <v>0</v>
      </c>
      <c r="E748" s="118">
        <f>+CUBICACION!F747</f>
        <v>0</v>
      </c>
      <c r="F748" s="118">
        <f>+CUBICACION!E747</f>
        <v>0</v>
      </c>
      <c r="G748" s="118">
        <v>12</v>
      </c>
      <c r="H748" s="118">
        <v>2</v>
      </c>
      <c r="I748" s="820">
        <v>26385</v>
      </c>
      <c r="J748" s="118">
        <f>+CUBICACION!J747</f>
        <v>0</v>
      </c>
      <c r="K748" s="118">
        <v>3527</v>
      </c>
      <c r="L748" s="118">
        <f>+CUBICACION!L747</f>
        <v>0</v>
      </c>
      <c r="M748" s="64">
        <f>+CUBICACION!M747</f>
        <v>0</v>
      </c>
      <c r="N748" s="824" t="str">
        <f>+CUBICACION!N747</f>
        <v/>
      </c>
      <c r="O748" s="675">
        <f>+CUBICACION!O747</f>
        <v>0</v>
      </c>
      <c r="P748" s="15">
        <f>IF(O748="Fire Control",VLOOKUP(_xlfn.MINIFS('FIRE CONTROL'!$C$4:$C$37,'FIRE CONTROL'!$C$4:$C$37,"&gt;="&amp;M748),'FIRE CONTROL'!$C$4:$G$37,IF(L748="F-15",2,IF(L748="F-30",3,IF(L748="F-60",4,IF(L748="F-90",5,0)))),0),0)+IF(AND(O748="FIRE TEX 5062",OR(E748="IN",E748="C",E748="Z",E748="L"),J748=3),VLOOKUP(_xlfn.MINIFS('FIRE TEX 5062'!$B$4:$B$34,'FIRE TEX 5062'!$B$4:$B$34,"&gt;="&amp;M748),'FIRE TEX 5062'!$B$4:$F$34,IF(L748="F-15",2,IF(L748="F-30",3,IF(L748="F-60",4,IF(L748="F-90",5,0)))),0),0)+IF(AND(O748="FIRE TEX 5062",OR(E748="IN",E748="C",E748="Z",E748="L"),J748=4),VLOOKUP(_xlfn.MINIFS('FIRE TEX 5062'!$G$4:$G$34,'FIRE TEX 5062'!$G$4:$G$34,"&gt;="&amp;M748),'FIRE TEX 5062'!$G$4:$K$34,IF(L748="F-15",2,IF(L748="F-30",3,IF(L748="F-60",4,IF(L748="F-90",5,0)))),0),0)+IF(AND(O748="FIRE TEX 5062",E748="CJ",J748=3),VLOOKUP(_xlfn.MINIFS('FIRE TEX 5062'!$L$4:$L$34,'FIRE TEX 5062'!$L$4:$L$34,"&gt;="&amp;M748),'FIRE TEX 5062'!$L$4:$P$34,IF(L748="F-15",2,IF(L748="F-30",3,IF(L748="F-60",4,IF(L748="F-90",5,0)))),0),0)+IF(AND(O748="FIRE TEX 5062",E748="CJ",J748=4),VLOOKUP(_xlfn.MINIFS('FIRE TEX 5062'!$Q$3:$Q$34,'FIRE TEX 5062'!$Q$3:$Q$34,"&gt;="&amp;M748),'FIRE TEX 5062'!$Q$3:$U$34,IF(L748="F-15",2,IF(L748="F-30",3,IF(L748="F-60",4,IF(L748="F-90",5,0)))),0),0)+IF(AND(O748="FIRE TEX 5090",OR(E748="IN",E748="C",E748="Z",E748="L"),J748=3),VLOOKUP(_xlfn.MINIFS('FIRE TEX 5090'!$B$5:$B$43,'FIRE TEX 5090'!$B$5:$B$43,"&gt;="&amp;M748),'FIRE TEX 5090'!$B$5:$H$43,IF(L748="F-15",2,IF(L748="F-30",3,IF(L748="F-60",4,IF(L748="F-90",5,IF(L748="F-120",6,IF(L748="F-150",7,0)))))),0),0)+IF(AND(O748="FIRE TEX 5090",OR(E748="IN",E748="C",E748="Z",E748="L"),J748=4),VLOOKUP(_xlfn.MINIFS('FIRE TEX 5090'!$J$5:$J$43,'FIRE TEX 5090'!$J$5:$J$43,"&gt;="&amp;M748),'FIRE TEX 5090'!$J$5:$P$43,IF(L748="F-15",2,IF(L748="F-30",3,IF(L748="F-60",4,IF(L748="F-90",5,IF(L748="F-120",6,IF(L748="F-150",7,0)))))),0),0)+IF(AND(O748="FIRE TEX 5090",E748="CJ",J748=3),VLOOKUP(_xlfn.MINIFS('FIRE TEX 5090'!$R$5:$R$30,'FIRE TEX 5090'!$R$5:$R$30,"&gt;="&amp;M748),'FIRE TEX 5090'!$R$5:$W$30,IF(L748="F-15",2,IF(L748="F-30",3,IF(L748="F-60",4,IF(L748="F-90",5,IF(L748="F-120",6,IF(L748="F-150",7,0)))))),0),0)+IF(AND(O748="FIRE TEX 5090",E748="CJ",J748=4),VLOOKUP(_xlfn.MINIFS('FIRE TEX 5090'!$Y$5:$Y$39,'FIRE TEX 5090'!$Y$5:$Y$39,"&gt;="&amp;M748),'FIRE TEX 5090'!$Y$5:$AD$39,IF(L748="F-15",2,IF(L748="F-30",3,IF(L748="F-60",4,IF(L748="F-90",5,IF(L748="F-120",6,IF(L748="F-150",7,0)))))),0),0)+IF(AND(O748="FIRE TEX 5120",OR(E748="IN",E748="C",E748="Z",E748="L"),J748=3),VLOOKUP(_xlfn.MINIFS('FIRE TEX 5120'!$B$5:$B$40,'FIRE TEX 5120'!$B$5:$B$40,"&gt;="&amp;M748),'FIRE TEX 5120'!$B$5:$G$40,IF(L748="F-15",2,IF(L748="F-30",3,IF(L748="F-60",4,IF(L748="F-90",5,IF(L748="F-120",6,0))))),0),0)+IF(AND(O748="FIRE TEX 5120",OR(E748="IN",E748="C",E748="Z",E748="L"),J748=4),VLOOKUP(_xlfn.MINIFS('FIRE TEX 5120'!$H$4:$H$40,'FIRE TEX 5120'!$H$4:$H$40,"&gt;="&amp;M748),'FIRE TEX 5120'!$H$4:$M$40,IF(L748="F-15",2,IF(L748="F-30",3,IF(L748="F-60",4,IF(L748="F-90",5,IF(L748="F-120",6,0))))),0),0)+IF(AND(O748="FIRE TEX 5120",E748="CJ"),VLOOKUP(_xlfn.MINIFS('FIRE TEX 5120'!$O$5:$O$40,'FIRE TEX 5120'!$O$5:$O$40,"&gt;="&amp;M748),'FIRE TEX 5120'!$O$5:$T$40,IF(L748="F-15",2,IF(L748="F-30",3,IF(L748="F-60",4,IF(L748="F-90",5,IF(L748="F-120",6,0))))),0),0)</f>
        <v>0</v>
      </c>
      <c r="Q748" s="46">
        <f t="shared" si="74"/>
        <v>0</v>
      </c>
      <c r="R748" s="46">
        <f t="shared" si="75"/>
        <v>0</v>
      </c>
      <c r="S748" s="46" t="e">
        <f t="shared" si="76"/>
        <v>#VALUE!</v>
      </c>
      <c r="T748" s="677">
        <f t="shared" si="77"/>
        <v>0</v>
      </c>
      <c r="U748" s="80">
        <f>(IF(O748="Stofire",(S748*#REF!),0))+(IF(O748="Fire Control",(S748*$U$2),0))+(IF(O748="Fire Tex",(S748*$U$3),0))+(IF(O748="WB7",(S748*#REF!),0)+(IF(O748="FX 2003",(S748*$U$5),0)))</f>
        <v>0</v>
      </c>
      <c r="V748" s="651">
        <f t="shared" si="78"/>
        <v>0</v>
      </c>
    </row>
    <row r="749" spans="4:22" x14ac:dyDescent="0.25">
      <c r="D749" s="118">
        <f>+CUBICACION!D748</f>
        <v>0</v>
      </c>
      <c r="E749" s="118">
        <f>+CUBICACION!F748</f>
        <v>0</v>
      </c>
      <c r="F749" s="118">
        <f>+CUBICACION!E748</f>
        <v>0</v>
      </c>
      <c r="G749" s="118">
        <v>12</v>
      </c>
      <c r="H749" s="118">
        <v>2</v>
      </c>
      <c r="I749" s="820">
        <v>26385</v>
      </c>
      <c r="J749" s="118">
        <f>+CUBICACION!J748</f>
        <v>0</v>
      </c>
      <c r="K749" s="118">
        <v>3528</v>
      </c>
      <c r="L749" s="118">
        <f>+CUBICACION!L748</f>
        <v>0</v>
      </c>
      <c r="M749" s="64">
        <f>+CUBICACION!M748</f>
        <v>0</v>
      </c>
      <c r="N749" s="824" t="str">
        <f>+CUBICACION!N748</f>
        <v/>
      </c>
      <c r="O749" s="675">
        <f>+CUBICACION!O748</f>
        <v>0</v>
      </c>
      <c r="P749" s="15">
        <f>IF(O749="Fire Control",VLOOKUP(_xlfn.MINIFS('FIRE CONTROL'!$C$4:$C$37,'FIRE CONTROL'!$C$4:$C$37,"&gt;="&amp;M749),'FIRE CONTROL'!$C$4:$G$37,IF(L749="F-15",2,IF(L749="F-30",3,IF(L749="F-60",4,IF(L749="F-90",5,0)))),0),0)+IF(AND(O749="FIRE TEX 5062",OR(E749="IN",E749="C",E749="Z",E749="L"),J749=3),VLOOKUP(_xlfn.MINIFS('FIRE TEX 5062'!$B$4:$B$34,'FIRE TEX 5062'!$B$4:$B$34,"&gt;="&amp;M749),'FIRE TEX 5062'!$B$4:$F$34,IF(L749="F-15",2,IF(L749="F-30",3,IF(L749="F-60",4,IF(L749="F-90",5,0)))),0),0)+IF(AND(O749="FIRE TEX 5062",OR(E749="IN",E749="C",E749="Z",E749="L"),J749=4),VLOOKUP(_xlfn.MINIFS('FIRE TEX 5062'!$G$4:$G$34,'FIRE TEX 5062'!$G$4:$G$34,"&gt;="&amp;M749),'FIRE TEX 5062'!$G$4:$K$34,IF(L749="F-15",2,IF(L749="F-30",3,IF(L749="F-60",4,IF(L749="F-90",5,0)))),0),0)+IF(AND(O749="FIRE TEX 5062",E749="CJ",J749=3),VLOOKUP(_xlfn.MINIFS('FIRE TEX 5062'!$L$4:$L$34,'FIRE TEX 5062'!$L$4:$L$34,"&gt;="&amp;M749),'FIRE TEX 5062'!$L$4:$P$34,IF(L749="F-15",2,IF(L749="F-30",3,IF(L749="F-60",4,IF(L749="F-90",5,0)))),0),0)+IF(AND(O749="FIRE TEX 5062",E749="CJ",J749=4),VLOOKUP(_xlfn.MINIFS('FIRE TEX 5062'!$Q$3:$Q$34,'FIRE TEX 5062'!$Q$3:$Q$34,"&gt;="&amp;M749),'FIRE TEX 5062'!$Q$3:$U$34,IF(L749="F-15",2,IF(L749="F-30",3,IF(L749="F-60",4,IF(L749="F-90",5,0)))),0),0)+IF(AND(O749="FIRE TEX 5090",OR(E749="IN",E749="C",E749="Z",E749="L"),J749=3),VLOOKUP(_xlfn.MINIFS('FIRE TEX 5090'!$B$5:$B$43,'FIRE TEX 5090'!$B$5:$B$43,"&gt;="&amp;M749),'FIRE TEX 5090'!$B$5:$H$43,IF(L749="F-15",2,IF(L749="F-30",3,IF(L749="F-60",4,IF(L749="F-90",5,IF(L749="F-120",6,IF(L749="F-150",7,0)))))),0),0)+IF(AND(O749="FIRE TEX 5090",OR(E749="IN",E749="C",E749="Z",E749="L"),J749=4),VLOOKUP(_xlfn.MINIFS('FIRE TEX 5090'!$J$5:$J$43,'FIRE TEX 5090'!$J$5:$J$43,"&gt;="&amp;M749),'FIRE TEX 5090'!$J$5:$P$43,IF(L749="F-15",2,IF(L749="F-30",3,IF(L749="F-60",4,IF(L749="F-90",5,IF(L749="F-120",6,IF(L749="F-150",7,0)))))),0),0)+IF(AND(O749="FIRE TEX 5090",E749="CJ",J749=3),VLOOKUP(_xlfn.MINIFS('FIRE TEX 5090'!$R$5:$R$30,'FIRE TEX 5090'!$R$5:$R$30,"&gt;="&amp;M749),'FIRE TEX 5090'!$R$5:$W$30,IF(L749="F-15",2,IF(L749="F-30",3,IF(L749="F-60",4,IF(L749="F-90",5,IF(L749="F-120",6,IF(L749="F-150",7,0)))))),0),0)+IF(AND(O749="FIRE TEX 5090",E749="CJ",J749=4),VLOOKUP(_xlfn.MINIFS('FIRE TEX 5090'!$Y$5:$Y$39,'FIRE TEX 5090'!$Y$5:$Y$39,"&gt;="&amp;M749),'FIRE TEX 5090'!$Y$5:$AD$39,IF(L749="F-15",2,IF(L749="F-30",3,IF(L749="F-60",4,IF(L749="F-90",5,IF(L749="F-120",6,IF(L749="F-150",7,0)))))),0),0)+IF(AND(O749="FIRE TEX 5120",OR(E749="IN",E749="C",E749="Z",E749="L"),J749=3),VLOOKUP(_xlfn.MINIFS('FIRE TEX 5120'!$B$5:$B$40,'FIRE TEX 5120'!$B$5:$B$40,"&gt;="&amp;M749),'FIRE TEX 5120'!$B$5:$G$40,IF(L749="F-15",2,IF(L749="F-30",3,IF(L749="F-60",4,IF(L749="F-90",5,IF(L749="F-120",6,0))))),0),0)+IF(AND(O749="FIRE TEX 5120",OR(E749="IN",E749="C",E749="Z",E749="L"),J749=4),VLOOKUP(_xlfn.MINIFS('FIRE TEX 5120'!$H$4:$H$40,'FIRE TEX 5120'!$H$4:$H$40,"&gt;="&amp;M749),'FIRE TEX 5120'!$H$4:$M$40,IF(L749="F-15",2,IF(L749="F-30",3,IF(L749="F-60",4,IF(L749="F-90",5,IF(L749="F-120",6,0))))),0),0)+IF(AND(O749="FIRE TEX 5120",E749="CJ"),VLOOKUP(_xlfn.MINIFS('FIRE TEX 5120'!$O$5:$O$40,'FIRE TEX 5120'!$O$5:$O$40,"&gt;="&amp;M749),'FIRE TEX 5120'!$O$5:$T$40,IF(L749="F-15",2,IF(L749="F-30",3,IF(L749="F-60",4,IF(L749="F-90",5,IF(L749="F-120",6,0))))),0),0)</f>
        <v>0</v>
      </c>
      <c r="Q749" s="46">
        <f t="shared" ref="Q749:Q812" si="79">IF(P749="","",IF(P749="dar valor","",0.03937*P749))</f>
        <v>0</v>
      </c>
      <c r="R749" s="46">
        <f t="shared" ref="R749:R812" si="80">+(IF(O749="Fire Control",((65*1.5/Q749)*0.75*4),0))+(IF(OR(O749="Fire Tex 5062",O749="Fire Tex 5090",O749="Fire Tex 5120"),((66*1.5/Q749)*0.7*5),0))</f>
        <v>0</v>
      </c>
      <c r="S749" s="46" t="e">
        <f t="shared" ref="S749:S812" si="81">IF(R749="","",+N749/R749)</f>
        <v>#VALUE!</v>
      </c>
      <c r="T749" s="677">
        <f t="shared" ref="T749:T812" si="82">(IF(O749="Stofire",(S749/(7*1)),0))+(IF(O749="Fire Control",(S749/(7*1)),0))+(IF(O749="Fire Tex",(S749/(7*1)),0))+(IF(O749="WB7",(S749/(7*1)),0))+(IF(O749="FX 2003",(S749/(7*1)),0))</f>
        <v>0</v>
      </c>
      <c r="U749" s="80">
        <f>(IF(O749="Stofire",(S749*#REF!),0))+(IF(O749="Fire Control",(S749*$U$2),0))+(IF(O749="Fire Tex",(S749*$U$3),0))+(IF(O749="WB7",(S749*#REF!),0)+(IF(O749="FX 2003",(S749*$U$5),0)))</f>
        <v>0</v>
      </c>
      <c r="V749" s="651">
        <f t="shared" ref="V749:V812" si="83">_xlfn.CEILING.MATH(M749,10)</f>
        <v>0</v>
      </c>
    </row>
    <row r="750" spans="4:22" x14ac:dyDescent="0.25">
      <c r="D750" s="118">
        <f>+CUBICACION!D749</f>
        <v>0</v>
      </c>
      <c r="E750" s="118">
        <f>+CUBICACION!F749</f>
        <v>0</v>
      </c>
      <c r="F750" s="118">
        <f>+CUBICACION!E749</f>
        <v>0</v>
      </c>
      <c r="G750" s="118">
        <v>12</v>
      </c>
      <c r="H750" s="118">
        <v>2</v>
      </c>
      <c r="I750" s="820">
        <v>26385</v>
      </c>
      <c r="J750" s="118">
        <f>+CUBICACION!J749</f>
        <v>0</v>
      </c>
      <c r="K750" s="118">
        <v>3529</v>
      </c>
      <c r="L750" s="118">
        <f>+CUBICACION!L749</f>
        <v>0</v>
      </c>
      <c r="M750" s="64">
        <f>+CUBICACION!M749</f>
        <v>0</v>
      </c>
      <c r="N750" s="824" t="str">
        <f>+CUBICACION!N749</f>
        <v/>
      </c>
      <c r="O750" s="675">
        <f>+CUBICACION!O749</f>
        <v>0</v>
      </c>
      <c r="P750" s="15">
        <f>IF(O750="Fire Control",VLOOKUP(_xlfn.MINIFS('FIRE CONTROL'!$C$4:$C$37,'FIRE CONTROL'!$C$4:$C$37,"&gt;="&amp;M750),'FIRE CONTROL'!$C$4:$G$37,IF(L750="F-15",2,IF(L750="F-30",3,IF(L750="F-60",4,IF(L750="F-90",5,0)))),0),0)+IF(AND(O750="FIRE TEX 5062",OR(E750="IN",E750="C",E750="Z",E750="L"),J750=3),VLOOKUP(_xlfn.MINIFS('FIRE TEX 5062'!$B$4:$B$34,'FIRE TEX 5062'!$B$4:$B$34,"&gt;="&amp;M750),'FIRE TEX 5062'!$B$4:$F$34,IF(L750="F-15",2,IF(L750="F-30",3,IF(L750="F-60",4,IF(L750="F-90",5,0)))),0),0)+IF(AND(O750="FIRE TEX 5062",OR(E750="IN",E750="C",E750="Z",E750="L"),J750=4),VLOOKUP(_xlfn.MINIFS('FIRE TEX 5062'!$G$4:$G$34,'FIRE TEX 5062'!$G$4:$G$34,"&gt;="&amp;M750),'FIRE TEX 5062'!$G$4:$K$34,IF(L750="F-15",2,IF(L750="F-30",3,IF(L750="F-60",4,IF(L750="F-90",5,0)))),0),0)+IF(AND(O750="FIRE TEX 5062",E750="CJ",J750=3),VLOOKUP(_xlfn.MINIFS('FIRE TEX 5062'!$L$4:$L$34,'FIRE TEX 5062'!$L$4:$L$34,"&gt;="&amp;M750),'FIRE TEX 5062'!$L$4:$P$34,IF(L750="F-15",2,IF(L750="F-30",3,IF(L750="F-60",4,IF(L750="F-90",5,0)))),0),0)+IF(AND(O750="FIRE TEX 5062",E750="CJ",J750=4),VLOOKUP(_xlfn.MINIFS('FIRE TEX 5062'!$Q$3:$Q$34,'FIRE TEX 5062'!$Q$3:$Q$34,"&gt;="&amp;M750),'FIRE TEX 5062'!$Q$3:$U$34,IF(L750="F-15",2,IF(L750="F-30",3,IF(L750="F-60",4,IF(L750="F-90",5,0)))),0),0)+IF(AND(O750="FIRE TEX 5090",OR(E750="IN",E750="C",E750="Z",E750="L"),J750=3),VLOOKUP(_xlfn.MINIFS('FIRE TEX 5090'!$B$5:$B$43,'FIRE TEX 5090'!$B$5:$B$43,"&gt;="&amp;M750),'FIRE TEX 5090'!$B$5:$H$43,IF(L750="F-15",2,IF(L750="F-30",3,IF(L750="F-60",4,IF(L750="F-90",5,IF(L750="F-120",6,IF(L750="F-150",7,0)))))),0),0)+IF(AND(O750="FIRE TEX 5090",OR(E750="IN",E750="C",E750="Z",E750="L"),J750=4),VLOOKUP(_xlfn.MINIFS('FIRE TEX 5090'!$J$5:$J$43,'FIRE TEX 5090'!$J$5:$J$43,"&gt;="&amp;M750),'FIRE TEX 5090'!$J$5:$P$43,IF(L750="F-15",2,IF(L750="F-30",3,IF(L750="F-60",4,IF(L750="F-90",5,IF(L750="F-120",6,IF(L750="F-150",7,0)))))),0),0)+IF(AND(O750="FIRE TEX 5090",E750="CJ",J750=3),VLOOKUP(_xlfn.MINIFS('FIRE TEX 5090'!$R$5:$R$30,'FIRE TEX 5090'!$R$5:$R$30,"&gt;="&amp;M750),'FIRE TEX 5090'!$R$5:$W$30,IF(L750="F-15",2,IF(L750="F-30",3,IF(L750="F-60",4,IF(L750="F-90",5,IF(L750="F-120",6,IF(L750="F-150",7,0)))))),0),0)+IF(AND(O750="FIRE TEX 5090",E750="CJ",J750=4),VLOOKUP(_xlfn.MINIFS('FIRE TEX 5090'!$Y$5:$Y$39,'FIRE TEX 5090'!$Y$5:$Y$39,"&gt;="&amp;M750),'FIRE TEX 5090'!$Y$5:$AD$39,IF(L750="F-15",2,IF(L750="F-30",3,IF(L750="F-60",4,IF(L750="F-90",5,IF(L750="F-120",6,IF(L750="F-150",7,0)))))),0),0)+IF(AND(O750="FIRE TEX 5120",OR(E750="IN",E750="C",E750="Z",E750="L"),J750=3),VLOOKUP(_xlfn.MINIFS('FIRE TEX 5120'!$B$5:$B$40,'FIRE TEX 5120'!$B$5:$B$40,"&gt;="&amp;M750),'FIRE TEX 5120'!$B$5:$G$40,IF(L750="F-15",2,IF(L750="F-30",3,IF(L750="F-60",4,IF(L750="F-90",5,IF(L750="F-120",6,0))))),0),0)+IF(AND(O750="FIRE TEX 5120",OR(E750="IN",E750="C",E750="Z",E750="L"),J750=4),VLOOKUP(_xlfn.MINIFS('FIRE TEX 5120'!$H$4:$H$40,'FIRE TEX 5120'!$H$4:$H$40,"&gt;="&amp;M750),'FIRE TEX 5120'!$H$4:$M$40,IF(L750="F-15",2,IF(L750="F-30",3,IF(L750="F-60",4,IF(L750="F-90",5,IF(L750="F-120",6,0))))),0),0)+IF(AND(O750="FIRE TEX 5120",E750="CJ"),VLOOKUP(_xlfn.MINIFS('FIRE TEX 5120'!$O$5:$O$40,'FIRE TEX 5120'!$O$5:$O$40,"&gt;="&amp;M750),'FIRE TEX 5120'!$O$5:$T$40,IF(L750="F-15",2,IF(L750="F-30",3,IF(L750="F-60",4,IF(L750="F-90",5,IF(L750="F-120",6,0))))),0),0)</f>
        <v>0</v>
      </c>
      <c r="Q750" s="46">
        <f t="shared" si="79"/>
        <v>0</v>
      </c>
      <c r="R750" s="46">
        <f t="shared" si="80"/>
        <v>0</v>
      </c>
      <c r="S750" s="46" t="e">
        <f t="shared" si="81"/>
        <v>#VALUE!</v>
      </c>
      <c r="T750" s="677">
        <f t="shared" si="82"/>
        <v>0</v>
      </c>
      <c r="U750" s="80">
        <f>(IF(O750="Stofire",(S750*#REF!),0))+(IF(O750="Fire Control",(S750*$U$2),0))+(IF(O750="Fire Tex",(S750*$U$3),0))+(IF(O750="WB7",(S750*#REF!),0)+(IF(O750="FX 2003",(S750*$U$5),0)))</f>
        <v>0</v>
      </c>
      <c r="V750" s="651">
        <f t="shared" si="83"/>
        <v>0</v>
      </c>
    </row>
    <row r="751" spans="4:22" x14ac:dyDescent="0.25">
      <c r="D751" s="118">
        <f>+CUBICACION!D750</f>
        <v>0</v>
      </c>
      <c r="E751" s="118">
        <f>+CUBICACION!F750</f>
        <v>0</v>
      </c>
      <c r="F751" s="118">
        <f>+CUBICACION!E750</f>
        <v>0</v>
      </c>
      <c r="G751" s="118">
        <v>12</v>
      </c>
      <c r="H751" s="118">
        <v>2</v>
      </c>
      <c r="I751" s="820">
        <v>26385</v>
      </c>
      <c r="J751" s="118">
        <f>+CUBICACION!J750</f>
        <v>0</v>
      </c>
      <c r="K751" s="118">
        <v>3530</v>
      </c>
      <c r="L751" s="118">
        <f>+CUBICACION!L750</f>
        <v>0</v>
      </c>
      <c r="M751" s="64">
        <f>+CUBICACION!M750</f>
        <v>0</v>
      </c>
      <c r="N751" s="824" t="str">
        <f>+CUBICACION!N750</f>
        <v/>
      </c>
      <c r="O751" s="675">
        <f>+CUBICACION!O750</f>
        <v>0</v>
      </c>
      <c r="P751" s="15">
        <f>IF(O751="Fire Control",VLOOKUP(_xlfn.MINIFS('FIRE CONTROL'!$C$4:$C$37,'FIRE CONTROL'!$C$4:$C$37,"&gt;="&amp;M751),'FIRE CONTROL'!$C$4:$G$37,IF(L751="F-15",2,IF(L751="F-30",3,IF(L751="F-60",4,IF(L751="F-90",5,0)))),0),0)+IF(AND(O751="FIRE TEX 5062",OR(E751="IN",E751="C",E751="Z",E751="L"),J751=3),VLOOKUP(_xlfn.MINIFS('FIRE TEX 5062'!$B$4:$B$34,'FIRE TEX 5062'!$B$4:$B$34,"&gt;="&amp;M751),'FIRE TEX 5062'!$B$4:$F$34,IF(L751="F-15",2,IF(L751="F-30",3,IF(L751="F-60",4,IF(L751="F-90",5,0)))),0),0)+IF(AND(O751="FIRE TEX 5062",OR(E751="IN",E751="C",E751="Z",E751="L"),J751=4),VLOOKUP(_xlfn.MINIFS('FIRE TEX 5062'!$G$4:$G$34,'FIRE TEX 5062'!$G$4:$G$34,"&gt;="&amp;M751),'FIRE TEX 5062'!$G$4:$K$34,IF(L751="F-15",2,IF(L751="F-30",3,IF(L751="F-60",4,IF(L751="F-90",5,0)))),0),0)+IF(AND(O751="FIRE TEX 5062",E751="CJ",J751=3),VLOOKUP(_xlfn.MINIFS('FIRE TEX 5062'!$L$4:$L$34,'FIRE TEX 5062'!$L$4:$L$34,"&gt;="&amp;M751),'FIRE TEX 5062'!$L$4:$P$34,IF(L751="F-15",2,IF(L751="F-30",3,IF(L751="F-60",4,IF(L751="F-90",5,0)))),0),0)+IF(AND(O751="FIRE TEX 5062",E751="CJ",J751=4),VLOOKUP(_xlfn.MINIFS('FIRE TEX 5062'!$Q$3:$Q$34,'FIRE TEX 5062'!$Q$3:$Q$34,"&gt;="&amp;M751),'FIRE TEX 5062'!$Q$3:$U$34,IF(L751="F-15",2,IF(L751="F-30",3,IF(L751="F-60",4,IF(L751="F-90",5,0)))),0),0)+IF(AND(O751="FIRE TEX 5090",OR(E751="IN",E751="C",E751="Z",E751="L"),J751=3),VLOOKUP(_xlfn.MINIFS('FIRE TEX 5090'!$B$5:$B$43,'FIRE TEX 5090'!$B$5:$B$43,"&gt;="&amp;M751),'FIRE TEX 5090'!$B$5:$H$43,IF(L751="F-15",2,IF(L751="F-30",3,IF(L751="F-60",4,IF(L751="F-90",5,IF(L751="F-120",6,IF(L751="F-150",7,0)))))),0),0)+IF(AND(O751="FIRE TEX 5090",OR(E751="IN",E751="C",E751="Z",E751="L"),J751=4),VLOOKUP(_xlfn.MINIFS('FIRE TEX 5090'!$J$5:$J$43,'FIRE TEX 5090'!$J$5:$J$43,"&gt;="&amp;M751),'FIRE TEX 5090'!$J$5:$P$43,IF(L751="F-15",2,IF(L751="F-30",3,IF(L751="F-60",4,IF(L751="F-90",5,IF(L751="F-120",6,IF(L751="F-150",7,0)))))),0),0)+IF(AND(O751="FIRE TEX 5090",E751="CJ",J751=3),VLOOKUP(_xlfn.MINIFS('FIRE TEX 5090'!$R$5:$R$30,'FIRE TEX 5090'!$R$5:$R$30,"&gt;="&amp;M751),'FIRE TEX 5090'!$R$5:$W$30,IF(L751="F-15",2,IF(L751="F-30",3,IF(L751="F-60",4,IF(L751="F-90",5,IF(L751="F-120",6,IF(L751="F-150",7,0)))))),0),0)+IF(AND(O751="FIRE TEX 5090",E751="CJ",J751=4),VLOOKUP(_xlfn.MINIFS('FIRE TEX 5090'!$Y$5:$Y$39,'FIRE TEX 5090'!$Y$5:$Y$39,"&gt;="&amp;M751),'FIRE TEX 5090'!$Y$5:$AD$39,IF(L751="F-15",2,IF(L751="F-30",3,IF(L751="F-60",4,IF(L751="F-90",5,IF(L751="F-120",6,IF(L751="F-150",7,0)))))),0),0)+IF(AND(O751="FIRE TEX 5120",OR(E751="IN",E751="C",E751="Z",E751="L"),J751=3),VLOOKUP(_xlfn.MINIFS('FIRE TEX 5120'!$B$5:$B$40,'FIRE TEX 5120'!$B$5:$B$40,"&gt;="&amp;M751),'FIRE TEX 5120'!$B$5:$G$40,IF(L751="F-15",2,IF(L751="F-30",3,IF(L751="F-60",4,IF(L751="F-90",5,IF(L751="F-120",6,0))))),0),0)+IF(AND(O751="FIRE TEX 5120",OR(E751="IN",E751="C",E751="Z",E751="L"),J751=4),VLOOKUP(_xlfn.MINIFS('FIRE TEX 5120'!$H$4:$H$40,'FIRE TEX 5120'!$H$4:$H$40,"&gt;="&amp;M751),'FIRE TEX 5120'!$H$4:$M$40,IF(L751="F-15",2,IF(L751="F-30",3,IF(L751="F-60",4,IF(L751="F-90",5,IF(L751="F-120",6,0))))),0),0)+IF(AND(O751="FIRE TEX 5120",E751="CJ"),VLOOKUP(_xlfn.MINIFS('FIRE TEX 5120'!$O$5:$O$40,'FIRE TEX 5120'!$O$5:$O$40,"&gt;="&amp;M751),'FIRE TEX 5120'!$O$5:$T$40,IF(L751="F-15",2,IF(L751="F-30",3,IF(L751="F-60",4,IF(L751="F-90",5,IF(L751="F-120",6,0))))),0),0)</f>
        <v>0</v>
      </c>
      <c r="Q751" s="46">
        <f t="shared" si="79"/>
        <v>0</v>
      </c>
      <c r="R751" s="46">
        <f t="shared" si="80"/>
        <v>0</v>
      </c>
      <c r="S751" s="46" t="e">
        <f t="shared" si="81"/>
        <v>#VALUE!</v>
      </c>
      <c r="T751" s="677">
        <f t="shared" si="82"/>
        <v>0</v>
      </c>
      <c r="U751" s="80">
        <f>(IF(O751="Stofire",(S751*#REF!),0))+(IF(O751="Fire Control",(S751*$U$2),0))+(IF(O751="Fire Tex",(S751*$U$3),0))+(IF(O751="WB7",(S751*#REF!),0)+(IF(O751="FX 2003",(S751*$U$5),0)))</f>
        <v>0</v>
      </c>
      <c r="V751" s="651">
        <f t="shared" si="83"/>
        <v>0</v>
      </c>
    </row>
    <row r="752" spans="4:22" x14ac:dyDescent="0.25">
      <c r="D752" s="118">
        <f>+CUBICACION!D751</f>
        <v>0</v>
      </c>
      <c r="E752" s="118">
        <f>+CUBICACION!F751</f>
        <v>0</v>
      </c>
      <c r="F752" s="118">
        <f>+CUBICACION!E751</f>
        <v>0</v>
      </c>
      <c r="G752" s="118">
        <v>12</v>
      </c>
      <c r="H752" s="118">
        <v>2</v>
      </c>
      <c r="I752" s="820">
        <v>26385</v>
      </c>
      <c r="J752" s="118">
        <f>+CUBICACION!J751</f>
        <v>0</v>
      </c>
      <c r="K752" s="118">
        <v>3531</v>
      </c>
      <c r="L752" s="118">
        <f>+CUBICACION!L751</f>
        <v>0</v>
      </c>
      <c r="M752" s="64">
        <f>+CUBICACION!M751</f>
        <v>0</v>
      </c>
      <c r="N752" s="824" t="str">
        <f>+CUBICACION!N751</f>
        <v/>
      </c>
      <c r="O752" s="675">
        <f>+CUBICACION!O751</f>
        <v>0</v>
      </c>
      <c r="P752" s="15">
        <f>IF(O752="Fire Control",VLOOKUP(_xlfn.MINIFS('FIRE CONTROL'!$C$4:$C$37,'FIRE CONTROL'!$C$4:$C$37,"&gt;="&amp;M752),'FIRE CONTROL'!$C$4:$G$37,IF(L752="F-15",2,IF(L752="F-30",3,IF(L752="F-60",4,IF(L752="F-90",5,0)))),0),0)+IF(AND(O752="FIRE TEX 5062",OR(E752="IN",E752="C",E752="Z",E752="L"),J752=3),VLOOKUP(_xlfn.MINIFS('FIRE TEX 5062'!$B$4:$B$34,'FIRE TEX 5062'!$B$4:$B$34,"&gt;="&amp;M752),'FIRE TEX 5062'!$B$4:$F$34,IF(L752="F-15",2,IF(L752="F-30",3,IF(L752="F-60",4,IF(L752="F-90",5,0)))),0),0)+IF(AND(O752="FIRE TEX 5062",OR(E752="IN",E752="C",E752="Z",E752="L"),J752=4),VLOOKUP(_xlfn.MINIFS('FIRE TEX 5062'!$G$4:$G$34,'FIRE TEX 5062'!$G$4:$G$34,"&gt;="&amp;M752),'FIRE TEX 5062'!$G$4:$K$34,IF(L752="F-15",2,IF(L752="F-30",3,IF(L752="F-60",4,IF(L752="F-90",5,0)))),0),0)+IF(AND(O752="FIRE TEX 5062",E752="CJ",J752=3),VLOOKUP(_xlfn.MINIFS('FIRE TEX 5062'!$L$4:$L$34,'FIRE TEX 5062'!$L$4:$L$34,"&gt;="&amp;M752),'FIRE TEX 5062'!$L$4:$P$34,IF(L752="F-15",2,IF(L752="F-30",3,IF(L752="F-60",4,IF(L752="F-90",5,0)))),0),0)+IF(AND(O752="FIRE TEX 5062",E752="CJ",J752=4),VLOOKUP(_xlfn.MINIFS('FIRE TEX 5062'!$Q$3:$Q$34,'FIRE TEX 5062'!$Q$3:$Q$34,"&gt;="&amp;M752),'FIRE TEX 5062'!$Q$3:$U$34,IF(L752="F-15",2,IF(L752="F-30",3,IF(L752="F-60",4,IF(L752="F-90",5,0)))),0),0)+IF(AND(O752="FIRE TEX 5090",OR(E752="IN",E752="C",E752="Z",E752="L"),J752=3),VLOOKUP(_xlfn.MINIFS('FIRE TEX 5090'!$B$5:$B$43,'FIRE TEX 5090'!$B$5:$B$43,"&gt;="&amp;M752),'FIRE TEX 5090'!$B$5:$H$43,IF(L752="F-15",2,IF(L752="F-30",3,IF(L752="F-60",4,IF(L752="F-90",5,IF(L752="F-120",6,IF(L752="F-150",7,0)))))),0),0)+IF(AND(O752="FIRE TEX 5090",OR(E752="IN",E752="C",E752="Z",E752="L"),J752=4),VLOOKUP(_xlfn.MINIFS('FIRE TEX 5090'!$J$5:$J$43,'FIRE TEX 5090'!$J$5:$J$43,"&gt;="&amp;M752),'FIRE TEX 5090'!$J$5:$P$43,IF(L752="F-15",2,IF(L752="F-30",3,IF(L752="F-60",4,IF(L752="F-90",5,IF(L752="F-120",6,IF(L752="F-150",7,0)))))),0),0)+IF(AND(O752="FIRE TEX 5090",E752="CJ",J752=3),VLOOKUP(_xlfn.MINIFS('FIRE TEX 5090'!$R$5:$R$30,'FIRE TEX 5090'!$R$5:$R$30,"&gt;="&amp;M752),'FIRE TEX 5090'!$R$5:$W$30,IF(L752="F-15",2,IF(L752="F-30",3,IF(L752="F-60",4,IF(L752="F-90",5,IF(L752="F-120",6,IF(L752="F-150",7,0)))))),0),0)+IF(AND(O752="FIRE TEX 5090",E752="CJ",J752=4),VLOOKUP(_xlfn.MINIFS('FIRE TEX 5090'!$Y$5:$Y$39,'FIRE TEX 5090'!$Y$5:$Y$39,"&gt;="&amp;M752),'FIRE TEX 5090'!$Y$5:$AD$39,IF(L752="F-15",2,IF(L752="F-30",3,IF(L752="F-60",4,IF(L752="F-90",5,IF(L752="F-120",6,IF(L752="F-150",7,0)))))),0),0)+IF(AND(O752="FIRE TEX 5120",OR(E752="IN",E752="C",E752="Z",E752="L"),J752=3),VLOOKUP(_xlfn.MINIFS('FIRE TEX 5120'!$B$5:$B$40,'FIRE TEX 5120'!$B$5:$B$40,"&gt;="&amp;M752),'FIRE TEX 5120'!$B$5:$G$40,IF(L752="F-15",2,IF(L752="F-30",3,IF(L752="F-60",4,IF(L752="F-90",5,IF(L752="F-120",6,0))))),0),0)+IF(AND(O752="FIRE TEX 5120",OR(E752="IN",E752="C",E752="Z",E752="L"),J752=4),VLOOKUP(_xlfn.MINIFS('FIRE TEX 5120'!$H$4:$H$40,'FIRE TEX 5120'!$H$4:$H$40,"&gt;="&amp;M752),'FIRE TEX 5120'!$H$4:$M$40,IF(L752="F-15",2,IF(L752="F-30",3,IF(L752="F-60",4,IF(L752="F-90",5,IF(L752="F-120",6,0))))),0),0)+IF(AND(O752="FIRE TEX 5120",E752="CJ"),VLOOKUP(_xlfn.MINIFS('FIRE TEX 5120'!$O$5:$O$40,'FIRE TEX 5120'!$O$5:$O$40,"&gt;="&amp;M752),'FIRE TEX 5120'!$O$5:$T$40,IF(L752="F-15",2,IF(L752="F-30",3,IF(L752="F-60",4,IF(L752="F-90",5,IF(L752="F-120",6,0))))),0),0)</f>
        <v>0</v>
      </c>
      <c r="Q752" s="46">
        <f t="shared" si="79"/>
        <v>0</v>
      </c>
      <c r="R752" s="46">
        <f t="shared" si="80"/>
        <v>0</v>
      </c>
      <c r="S752" s="46" t="e">
        <f t="shared" si="81"/>
        <v>#VALUE!</v>
      </c>
      <c r="T752" s="677">
        <f t="shared" si="82"/>
        <v>0</v>
      </c>
      <c r="U752" s="80">
        <f>(IF(O752="Stofire",(S752*#REF!),0))+(IF(O752="Fire Control",(S752*$U$2),0))+(IF(O752="Fire Tex",(S752*$U$3),0))+(IF(O752="WB7",(S752*#REF!),0)+(IF(O752="FX 2003",(S752*$U$5),0)))</f>
        <v>0</v>
      </c>
      <c r="V752" s="651">
        <f t="shared" si="83"/>
        <v>0</v>
      </c>
    </row>
    <row r="753" spans="4:22" x14ac:dyDescent="0.25">
      <c r="D753" s="118">
        <f>+CUBICACION!D752</f>
        <v>0</v>
      </c>
      <c r="E753" s="118">
        <f>+CUBICACION!F752</f>
        <v>0</v>
      </c>
      <c r="F753" s="118">
        <f>+CUBICACION!E752</f>
        <v>0</v>
      </c>
      <c r="G753" s="118">
        <v>12</v>
      </c>
      <c r="H753" s="118">
        <v>2</v>
      </c>
      <c r="I753" s="820">
        <v>26385</v>
      </c>
      <c r="J753" s="118">
        <f>+CUBICACION!J752</f>
        <v>0</v>
      </c>
      <c r="K753" s="118">
        <v>3532</v>
      </c>
      <c r="L753" s="118">
        <f>+CUBICACION!L752</f>
        <v>0</v>
      </c>
      <c r="M753" s="64">
        <f>+CUBICACION!M752</f>
        <v>0</v>
      </c>
      <c r="N753" s="824" t="str">
        <f>+CUBICACION!N752</f>
        <v/>
      </c>
      <c r="O753" s="675">
        <f>+CUBICACION!O752</f>
        <v>0</v>
      </c>
      <c r="P753" s="15">
        <f>IF(O753="Fire Control",VLOOKUP(_xlfn.MINIFS('FIRE CONTROL'!$C$4:$C$37,'FIRE CONTROL'!$C$4:$C$37,"&gt;="&amp;M753),'FIRE CONTROL'!$C$4:$G$37,IF(L753="F-15",2,IF(L753="F-30",3,IF(L753="F-60",4,IF(L753="F-90",5,0)))),0),0)+IF(AND(O753="FIRE TEX 5062",OR(E753="IN",E753="C",E753="Z",E753="L"),J753=3),VLOOKUP(_xlfn.MINIFS('FIRE TEX 5062'!$B$4:$B$34,'FIRE TEX 5062'!$B$4:$B$34,"&gt;="&amp;M753),'FIRE TEX 5062'!$B$4:$F$34,IF(L753="F-15",2,IF(L753="F-30",3,IF(L753="F-60",4,IF(L753="F-90",5,0)))),0),0)+IF(AND(O753="FIRE TEX 5062",OR(E753="IN",E753="C",E753="Z",E753="L"),J753=4),VLOOKUP(_xlfn.MINIFS('FIRE TEX 5062'!$G$4:$G$34,'FIRE TEX 5062'!$G$4:$G$34,"&gt;="&amp;M753),'FIRE TEX 5062'!$G$4:$K$34,IF(L753="F-15",2,IF(L753="F-30",3,IF(L753="F-60",4,IF(L753="F-90",5,0)))),0),0)+IF(AND(O753="FIRE TEX 5062",E753="CJ",J753=3),VLOOKUP(_xlfn.MINIFS('FIRE TEX 5062'!$L$4:$L$34,'FIRE TEX 5062'!$L$4:$L$34,"&gt;="&amp;M753),'FIRE TEX 5062'!$L$4:$P$34,IF(L753="F-15",2,IF(L753="F-30",3,IF(L753="F-60",4,IF(L753="F-90",5,0)))),0),0)+IF(AND(O753="FIRE TEX 5062",E753="CJ",J753=4),VLOOKUP(_xlfn.MINIFS('FIRE TEX 5062'!$Q$3:$Q$34,'FIRE TEX 5062'!$Q$3:$Q$34,"&gt;="&amp;M753),'FIRE TEX 5062'!$Q$3:$U$34,IF(L753="F-15",2,IF(L753="F-30",3,IF(L753="F-60",4,IF(L753="F-90",5,0)))),0),0)+IF(AND(O753="FIRE TEX 5090",OR(E753="IN",E753="C",E753="Z",E753="L"),J753=3),VLOOKUP(_xlfn.MINIFS('FIRE TEX 5090'!$B$5:$B$43,'FIRE TEX 5090'!$B$5:$B$43,"&gt;="&amp;M753),'FIRE TEX 5090'!$B$5:$H$43,IF(L753="F-15",2,IF(L753="F-30",3,IF(L753="F-60",4,IF(L753="F-90",5,IF(L753="F-120",6,IF(L753="F-150",7,0)))))),0),0)+IF(AND(O753="FIRE TEX 5090",OR(E753="IN",E753="C",E753="Z",E753="L"),J753=4),VLOOKUP(_xlfn.MINIFS('FIRE TEX 5090'!$J$5:$J$43,'FIRE TEX 5090'!$J$5:$J$43,"&gt;="&amp;M753),'FIRE TEX 5090'!$J$5:$P$43,IF(L753="F-15",2,IF(L753="F-30",3,IF(L753="F-60",4,IF(L753="F-90",5,IF(L753="F-120",6,IF(L753="F-150",7,0)))))),0),0)+IF(AND(O753="FIRE TEX 5090",E753="CJ",J753=3),VLOOKUP(_xlfn.MINIFS('FIRE TEX 5090'!$R$5:$R$30,'FIRE TEX 5090'!$R$5:$R$30,"&gt;="&amp;M753),'FIRE TEX 5090'!$R$5:$W$30,IF(L753="F-15",2,IF(L753="F-30",3,IF(L753="F-60",4,IF(L753="F-90",5,IF(L753="F-120",6,IF(L753="F-150",7,0)))))),0),0)+IF(AND(O753="FIRE TEX 5090",E753="CJ",J753=4),VLOOKUP(_xlfn.MINIFS('FIRE TEX 5090'!$Y$5:$Y$39,'FIRE TEX 5090'!$Y$5:$Y$39,"&gt;="&amp;M753),'FIRE TEX 5090'!$Y$5:$AD$39,IF(L753="F-15",2,IF(L753="F-30",3,IF(L753="F-60",4,IF(L753="F-90",5,IF(L753="F-120",6,IF(L753="F-150",7,0)))))),0),0)+IF(AND(O753="FIRE TEX 5120",OR(E753="IN",E753="C",E753="Z",E753="L"),J753=3),VLOOKUP(_xlfn.MINIFS('FIRE TEX 5120'!$B$5:$B$40,'FIRE TEX 5120'!$B$5:$B$40,"&gt;="&amp;M753),'FIRE TEX 5120'!$B$5:$G$40,IF(L753="F-15",2,IF(L753="F-30",3,IF(L753="F-60",4,IF(L753="F-90",5,IF(L753="F-120",6,0))))),0),0)+IF(AND(O753="FIRE TEX 5120",OR(E753="IN",E753="C",E753="Z",E753="L"),J753=4),VLOOKUP(_xlfn.MINIFS('FIRE TEX 5120'!$H$4:$H$40,'FIRE TEX 5120'!$H$4:$H$40,"&gt;="&amp;M753),'FIRE TEX 5120'!$H$4:$M$40,IF(L753="F-15",2,IF(L753="F-30",3,IF(L753="F-60",4,IF(L753="F-90",5,IF(L753="F-120",6,0))))),0),0)+IF(AND(O753="FIRE TEX 5120",E753="CJ"),VLOOKUP(_xlfn.MINIFS('FIRE TEX 5120'!$O$5:$O$40,'FIRE TEX 5120'!$O$5:$O$40,"&gt;="&amp;M753),'FIRE TEX 5120'!$O$5:$T$40,IF(L753="F-15",2,IF(L753="F-30",3,IF(L753="F-60",4,IF(L753="F-90",5,IF(L753="F-120",6,0))))),0),0)</f>
        <v>0</v>
      </c>
      <c r="Q753" s="46">
        <f t="shared" si="79"/>
        <v>0</v>
      </c>
      <c r="R753" s="46">
        <f t="shared" si="80"/>
        <v>0</v>
      </c>
      <c r="S753" s="46" t="e">
        <f t="shared" si="81"/>
        <v>#VALUE!</v>
      </c>
      <c r="T753" s="677">
        <f t="shared" si="82"/>
        <v>0</v>
      </c>
      <c r="U753" s="80">
        <f>(IF(O753="Stofire",(S753*#REF!),0))+(IF(O753="Fire Control",(S753*$U$2),0))+(IF(O753="Fire Tex",(S753*$U$3),0))+(IF(O753="WB7",(S753*#REF!),0)+(IF(O753="FX 2003",(S753*$U$5),0)))</f>
        <v>0</v>
      </c>
      <c r="V753" s="651">
        <f t="shared" si="83"/>
        <v>0</v>
      </c>
    </row>
    <row r="754" spans="4:22" x14ac:dyDescent="0.25">
      <c r="D754" s="118">
        <f>+CUBICACION!D753</f>
        <v>0</v>
      </c>
      <c r="E754" s="118">
        <f>+CUBICACION!F753</f>
        <v>0</v>
      </c>
      <c r="F754" s="118">
        <f>+CUBICACION!E753</f>
        <v>0</v>
      </c>
      <c r="G754" s="118">
        <v>12</v>
      </c>
      <c r="H754" s="118">
        <v>2</v>
      </c>
      <c r="I754" s="820">
        <v>26385</v>
      </c>
      <c r="J754" s="118">
        <f>+CUBICACION!J753</f>
        <v>0</v>
      </c>
      <c r="K754" s="118">
        <v>3533</v>
      </c>
      <c r="L754" s="118">
        <f>+CUBICACION!L753</f>
        <v>0</v>
      </c>
      <c r="M754" s="64">
        <f>+CUBICACION!M753</f>
        <v>0</v>
      </c>
      <c r="N754" s="824" t="str">
        <f>+CUBICACION!N753</f>
        <v/>
      </c>
      <c r="O754" s="675">
        <f>+CUBICACION!O753</f>
        <v>0</v>
      </c>
      <c r="P754" s="15">
        <f>IF(O754="Fire Control",VLOOKUP(_xlfn.MINIFS('FIRE CONTROL'!$C$4:$C$37,'FIRE CONTROL'!$C$4:$C$37,"&gt;="&amp;M754),'FIRE CONTROL'!$C$4:$G$37,IF(L754="F-15",2,IF(L754="F-30",3,IF(L754="F-60",4,IF(L754="F-90",5,0)))),0),0)+IF(AND(O754="FIRE TEX 5062",OR(E754="IN",E754="C",E754="Z",E754="L"),J754=3),VLOOKUP(_xlfn.MINIFS('FIRE TEX 5062'!$B$4:$B$34,'FIRE TEX 5062'!$B$4:$B$34,"&gt;="&amp;M754),'FIRE TEX 5062'!$B$4:$F$34,IF(L754="F-15",2,IF(L754="F-30",3,IF(L754="F-60",4,IF(L754="F-90",5,0)))),0),0)+IF(AND(O754="FIRE TEX 5062",OR(E754="IN",E754="C",E754="Z",E754="L"),J754=4),VLOOKUP(_xlfn.MINIFS('FIRE TEX 5062'!$G$4:$G$34,'FIRE TEX 5062'!$G$4:$G$34,"&gt;="&amp;M754),'FIRE TEX 5062'!$G$4:$K$34,IF(L754="F-15",2,IF(L754="F-30",3,IF(L754="F-60",4,IF(L754="F-90",5,0)))),0),0)+IF(AND(O754="FIRE TEX 5062",E754="CJ",J754=3),VLOOKUP(_xlfn.MINIFS('FIRE TEX 5062'!$L$4:$L$34,'FIRE TEX 5062'!$L$4:$L$34,"&gt;="&amp;M754),'FIRE TEX 5062'!$L$4:$P$34,IF(L754="F-15",2,IF(L754="F-30",3,IF(L754="F-60",4,IF(L754="F-90",5,0)))),0),0)+IF(AND(O754="FIRE TEX 5062",E754="CJ",J754=4),VLOOKUP(_xlfn.MINIFS('FIRE TEX 5062'!$Q$3:$Q$34,'FIRE TEX 5062'!$Q$3:$Q$34,"&gt;="&amp;M754),'FIRE TEX 5062'!$Q$3:$U$34,IF(L754="F-15",2,IF(L754="F-30",3,IF(L754="F-60",4,IF(L754="F-90",5,0)))),0),0)+IF(AND(O754="FIRE TEX 5090",OR(E754="IN",E754="C",E754="Z",E754="L"),J754=3),VLOOKUP(_xlfn.MINIFS('FIRE TEX 5090'!$B$5:$B$43,'FIRE TEX 5090'!$B$5:$B$43,"&gt;="&amp;M754),'FIRE TEX 5090'!$B$5:$H$43,IF(L754="F-15",2,IF(L754="F-30",3,IF(L754="F-60",4,IF(L754="F-90",5,IF(L754="F-120",6,IF(L754="F-150",7,0)))))),0),0)+IF(AND(O754="FIRE TEX 5090",OR(E754="IN",E754="C",E754="Z",E754="L"),J754=4),VLOOKUP(_xlfn.MINIFS('FIRE TEX 5090'!$J$5:$J$43,'FIRE TEX 5090'!$J$5:$J$43,"&gt;="&amp;M754),'FIRE TEX 5090'!$J$5:$P$43,IF(L754="F-15",2,IF(L754="F-30",3,IF(L754="F-60",4,IF(L754="F-90",5,IF(L754="F-120",6,IF(L754="F-150",7,0)))))),0),0)+IF(AND(O754="FIRE TEX 5090",E754="CJ",J754=3),VLOOKUP(_xlfn.MINIFS('FIRE TEX 5090'!$R$5:$R$30,'FIRE TEX 5090'!$R$5:$R$30,"&gt;="&amp;M754),'FIRE TEX 5090'!$R$5:$W$30,IF(L754="F-15",2,IF(L754="F-30",3,IF(L754="F-60",4,IF(L754="F-90",5,IF(L754="F-120",6,IF(L754="F-150",7,0)))))),0),0)+IF(AND(O754="FIRE TEX 5090",E754="CJ",J754=4),VLOOKUP(_xlfn.MINIFS('FIRE TEX 5090'!$Y$5:$Y$39,'FIRE TEX 5090'!$Y$5:$Y$39,"&gt;="&amp;M754),'FIRE TEX 5090'!$Y$5:$AD$39,IF(L754="F-15",2,IF(L754="F-30",3,IF(L754="F-60",4,IF(L754="F-90",5,IF(L754="F-120",6,IF(L754="F-150",7,0)))))),0),0)+IF(AND(O754="FIRE TEX 5120",OR(E754="IN",E754="C",E754="Z",E754="L"),J754=3),VLOOKUP(_xlfn.MINIFS('FIRE TEX 5120'!$B$5:$B$40,'FIRE TEX 5120'!$B$5:$B$40,"&gt;="&amp;M754),'FIRE TEX 5120'!$B$5:$G$40,IF(L754="F-15",2,IF(L754="F-30",3,IF(L754="F-60",4,IF(L754="F-90",5,IF(L754="F-120",6,0))))),0),0)+IF(AND(O754="FIRE TEX 5120",OR(E754="IN",E754="C",E754="Z",E754="L"),J754=4),VLOOKUP(_xlfn.MINIFS('FIRE TEX 5120'!$H$4:$H$40,'FIRE TEX 5120'!$H$4:$H$40,"&gt;="&amp;M754),'FIRE TEX 5120'!$H$4:$M$40,IF(L754="F-15",2,IF(L754="F-30",3,IF(L754="F-60",4,IF(L754="F-90",5,IF(L754="F-120",6,0))))),0),0)+IF(AND(O754="FIRE TEX 5120",E754="CJ"),VLOOKUP(_xlfn.MINIFS('FIRE TEX 5120'!$O$5:$O$40,'FIRE TEX 5120'!$O$5:$O$40,"&gt;="&amp;M754),'FIRE TEX 5120'!$O$5:$T$40,IF(L754="F-15",2,IF(L754="F-30",3,IF(L754="F-60",4,IF(L754="F-90",5,IF(L754="F-120",6,0))))),0),0)</f>
        <v>0</v>
      </c>
      <c r="Q754" s="46">
        <f t="shared" si="79"/>
        <v>0</v>
      </c>
      <c r="R754" s="46">
        <f t="shared" si="80"/>
        <v>0</v>
      </c>
      <c r="S754" s="46" t="e">
        <f t="shared" si="81"/>
        <v>#VALUE!</v>
      </c>
      <c r="T754" s="677">
        <f t="shared" si="82"/>
        <v>0</v>
      </c>
      <c r="U754" s="80">
        <f>(IF(O754="Stofire",(S754*#REF!),0))+(IF(O754="Fire Control",(S754*$U$2),0))+(IF(O754="Fire Tex",(S754*$U$3),0))+(IF(O754="WB7",(S754*#REF!),0)+(IF(O754="FX 2003",(S754*$U$5),0)))</f>
        <v>0</v>
      </c>
      <c r="V754" s="651">
        <f t="shared" si="83"/>
        <v>0</v>
      </c>
    </row>
    <row r="755" spans="4:22" x14ac:dyDescent="0.25">
      <c r="D755" s="118">
        <f>+CUBICACION!D754</f>
        <v>0</v>
      </c>
      <c r="E755" s="118">
        <f>+CUBICACION!F754</f>
        <v>0</v>
      </c>
      <c r="F755" s="118">
        <f>+CUBICACION!E754</f>
        <v>0</v>
      </c>
      <c r="G755" s="118">
        <v>12</v>
      </c>
      <c r="H755" s="118">
        <v>2</v>
      </c>
      <c r="I755" s="820">
        <v>26385</v>
      </c>
      <c r="J755" s="118">
        <f>+CUBICACION!J754</f>
        <v>0</v>
      </c>
      <c r="K755" s="118">
        <v>3534</v>
      </c>
      <c r="L755" s="118">
        <f>+CUBICACION!L754</f>
        <v>0</v>
      </c>
      <c r="M755" s="64">
        <f>+CUBICACION!M754</f>
        <v>0</v>
      </c>
      <c r="N755" s="824" t="str">
        <f>+CUBICACION!N754</f>
        <v/>
      </c>
      <c r="O755" s="675">
        <f>+CUBICACION!O754</f>
        <v>0</v>
      </c>
      <c r="P755" s="15">
        <f>IF(O755="Fire Control",VLOOKUP(_xlfn.MINIFS('FIRE CONTROL'!$C$4:$C$37,'FIRE CONTROL'!$C$4:$C$37,"&gt;="&amp;M755),'FIRE CONTROL'!$C$4:$G$37,IF(L755="F-15",2,IF(L755="F-30",3,IF(L755="F-60",4,IF(L755="F-90",5,0)))),0),0)+IF(AND(O755="FIRE TEX 5062",OR(E755="IN",E755="C",E755="Z",E755="L"),J755=3),VLOOKUP(_xlfn.MINIFS('FIRE TEX 5062'!$B$4:$B$34,'FIRE TEX 5062'!$B$4:$B$34,"&gt;="&amp;M755),'FIRE TEX 5062'!$B$4:$F$34,IF(L755="F-15",2,IF(L755="F-30",3,IF(L755="F-60",4,IF(L755="F-90",5,0)))),0),0)+IF(AND(O755="FIRE TEX 5062",OR(E755="IN",E755="C",E755="Z",E755="L"),J755=4),VLOOKUP(_xlfn.MINIFS('FIRE TEX 5062'!$G$4:$G$34,'FIRE TEX 5062'!$G$4:$G$34,"&gt;="&amp;M755),'FIRE TEX 5062'!$G$4:$K$34,IF(L755="F-15",2,IF(L755="F-30",3,IF(L755="F-60",4,IF(L755="F-90",5,0)))),0),0)+IF(AND(O755="FIRE TEX 5062",E755="CJ",J755=3),VLOOKUP(_xlfn.MINIFS('FIRE TEX 5062'!$L$4:$L$34,'FIRE TEX 5062'!$L$4:$L$34,"&gt;="&amp;M755),'FIRE TEX 5062'!$L$4:$P$34,IF(L755="F-15",2,IF(L755="F-30",3,IF(L755="F-60",4,IF(L755="F-90",5,0)))),0),0)+IF(AND(O755="FIRE TEX 5062",E755="CJ",J755=4),VLOOKUP(_xlfn.MINIFS('FIRE TEX 5062'!$Q$3:$Q$34,'FIRE TEX 5062'!$Q$3:$Q$34,"&gt;="&amp;M755),'FIRE TEX 5062'!$Q$3:$U$34,IF(L755="F-15",2,IF(L755="F-30",3,IF(L755="F-60",4,IF(L755="F-90",5,0)))),0),0)+IF(AND(O755="FIRE TEX 5090",OR(E755="IN",E755="C",E755="Z",E755="L"),J755=3),VLOOKUP(_xlfn.MINIFS('FIRE TEX 5090'!$B$5:$B$43,'FIRE TEX 5090'!$B$5:$B$43,"&gt;="&amp;M755),'FIRE TEX 5090'!$B$5:$H$43,IF(L755="F-15",2,IF(L755="F-30",3,IF(L755="F-60",4,IF(L755="F-90",5,IF(L755="F-120",6,IF(L755="F-150",7,0)))))),0),0)+IF(AND(O755="FIRE TEX 5090",OR(E755="IN",E755="C",E755="Z",E755="L"),J755=4),VLOOKUP(_xlfn.MINIFS('FIRE TEX 5090'!$J$5:$J$43,'FIRE TEX 5090'!$J$5:$J$43,"&gt;="&amp;M755),'FIRE TEX 5090'!$J$5:$P$43,IF(L755="F-15",2,IF(L755="F-30",3,IF(L755="F-60",4,IF(L755="F-90",5,IF(L755="F-120",6,IF(L755="F-150",7,0)))))),0),0)+IF(AND(O755="FIRE TEX 5090",E755="CJ",J755=3),VLOOKUP(_xlfn.MINIFS('FIRE TEX 5090'!$R$5:$R$30,'FIRE TEX 5090'!$R$5:$R$30,"&gt;="&amp;M755),'FIRE TEX 5090'!$R$5:$W$30,IF(L755="F-15",2,IF(L755="F-30",3,IF(L755="F-60",4,IF(L755="F-90",5,IF(L755="F-120",6,IF(L755="F-150",7,0)))))),0),0)+IF(AND(O755="FIRE TEX 5090",E755="CJ",J755=4),VLOOKUP(_xlfn.MINIFS('FIRE TEX 5090'!$Y$5:$Y$39,'FIRE TEX 5090'!$Y$5:$Y$39,"&gt;="&amp;M755),'FIRE TEX 5090'!$Y$5:$AD$39,IF(L755="F-15",2,IF(L755="F-30",3,IF(L755="F-60",4,IF(L755="F-90",5,IF(L755="F-120",6,IF(L755="F-150",7,0)))))),0),0)+IF(AND(O755="FIRE TEX 5120",OR(E755="IN",E755="C",E755="Z",E755="L"),J755=3),VLOOKUP(_xlfn.MINIFS('FIRE TEX 5120'!$B$5:$B$40,'FIRE TEX 5120'!$B$5:$B$40,"&gt;="&amp;M755),'FIRE TEX 5120'!$B$5:$G$40,IF(L755="F-15",2,IF(L755="F-30",3,IF(L755="F-60",4,IF(L755="F-90",5,IF(L755="F-120",6,0))))),0),0)+IF(AND(O755="FIRE TEX 5120",OR(E755="IN",E755="C",E755="Z",E755="L"),J755=4),VLOOKUP(_xlfn.MINIFS('FIRE TEX 5120'!$H$4:$H$40,'FIRE TEX 5120'!$H$4:$H$40,"&gt;="&amp;M755),'FIRE TEX 5120'!$H$4:$M$40,IF(L755="F-15",2,IF(L755="F-30",3,IF(L755="F-60",4,IF(L755="F-90",5,IF(L755="F-120",6,0))))),0),0)+IF(AND(O755="FIRE TEX 5120",E755="CJ"),VLOOKUP(_xlfn.MINIFS('FIRE TEX 5120'!$O$5:$O$40,'FIRE TEX 5120'!$O$5:$O$40,"&gt;="&amp;M755),'FIRE TEX 5120'!$O$5:$T$40,IF(L755="F-15",2,IF(L755="F-30",3,IF(L755="F-60",4,IF(L755="F-90",5,IF(L755="F-120",6,0))))),0),0)</f>
        <v>0</v>
      </c>
      <c r="Q755" s="46">
        <f t="shared" si="79"/>
        <v>0</v>
      </c>
      <c r="R755" s="46">
        <f t="shared" si="80"/>
        <v>0</v>
      </c>
      <c r="S755" s="46" t="e">
        <f t="shared" si="81"/>
        <v>#VALUE!</v>
      </c>
      <c r="T755" s="677">
        <f t="shared" si="82"/>
        <v>0</v>
      </c>
      <c r="U755" s="80">
        <f>(IF(O755="Stofire",(S755*#REF!),0))+(IF(O755="Fire Control",(S755*$U$2),0))+(IF(O755="Fire Tex",(S755*$U$3),0))+(IF(O755="WB7",(S755*#REF!),0)+(IF(O755="FX 2003",(S755*$U$5),0)))</f>
        <v>0</v>
      </c>
      <c r="V755" s="651">
        <f t="shared" si="83"/>
        <v>0</v>
      </c>
    </row>
    <row r="756" spans="4:22" x14ac:dyDescent="0.25">
      <c r="D756" s="118">
        <f>+CUBICACION!D755</f>
        <v>0</v>
      </c>
      <c r="E756" s="118">
        <f>+CUBICACION!F755</f>
        <v>0</v>
      </c>
      <c r="F756" s="118">
        <f>+CUBICACION!E755</f>
        <v>0</v>
      </c>
      <c r="G756" s="118">
        <v>12</v>
      </c>
      <c r="H756" s="118">
        <v>2</v>
      </c>
      <c r="I756" s="820">
        <v>26385</v>
      </c>
      <c r="J756" s="118">
        <f>+CUBICACION!J755</f>
        <v>0</v>
      </c>
      <c r="K756" s="118">
        <v>3535</v>
      </c>
      <c r="L756" s="118">
        <f>+CUBICACION!L755</f>
        <v>0</v>
      </c>
      <c r="M756" s="64">
        <f>+CUBICACION!M755</f>
        <v>0</v>
      </c>
      <c r="N756" s="824" t="str">
        <f>+CUBICACION!N755</f>
        <v/>
      </c>
      <c r="O756" s="675">
        <f>+CUBICACION!O755</f>
        <v>0</v>
      </c>
      <c r="P756" s="15">
        <f>IF(O756="Fire Control",VLOOKUP(_xlfn.MINIFS('FIRE CONTROL'!$C$4:$C$37,'FIRE CONTROL'!$C$4:$C$37,"&gt;="&amp;M756),'FIRE CONTROL'!$C$4:$G$37,IF(L756="F-15",2,IF(L756="F-30",3,IF(L756="F-60",4,IF(L756="F-90",5,0)))),0),0)+IF(AND(O756="FIRE TEX 5062",OR(E756="IN",E756="C",E756="Z",E756="L"),J756=3),VLOOKUP(_xlfn.MINIFS('FIRE TEX 5062'!$B$4:$B$34,'FIRE TEX 5062'!$B$4:$B$34,"&gt;="&amp;M756),'FIRE TEX 5062'!$B$4:$F$34,IF(L756="F-15",2,IF(L756="F-30",3,IF(L756="F-60",4,IF(L756="F-90",5,0)))),0),0)+IF(AND(O756="FIRE TEX 5062",OR(E756="IN",E756="C",E756="Z",E756="L"),J756=4),VLOOKUP(_xlfn.MINIFS('FIRE TEX 5062'!$G$4:$G$34,'FIRE TEX 5062'!$G$4:$G$34,"&gt;="&amp;M756),'FIRE TEX 5062'!$G$4:$K$34,IF(L756="F-15",2,IF(L756="F-30",3,IF(L756="F-60",4,IF(L756="F-90",5,0)))),0),0)+IF(AND(O756="FIRE TEX 5062",E756="CJ",J756=3),VLOOKUP(_xlfn.MINIFS('FIRE TEX 5062'!$L$4:$L$34,'FIRE TEX 5062'!$L$4:$L$34,"&gt;="&amp;M756),'FIRE TEX 5062'!$L$4:$P$34,IF(L756="F-15",2,IF(L756="F-30",3,IF(L756="F-60",4,IF(L756="F-90",5,0)))),0),0)+IF(AND(O756="FIRE TEX 5062",E756="CJ",J756=4),VLOOKUP(_xlfn.MINIFS('FIRE TEX 5062'!$Q$3:$Q$34,'FIRE TEX 5062'!$Q$3:$Q$34,"&gt;="&amp;M756),'FIRE TEX 5062'!$Q$3:$U$34,IF(L756="F-15",2,IF(L756="F-30",3,IF(L756="F-60",4,IF(L756="F-90",5,0)))),0),0)+IF(AND(O756="FIRE TEX 5090",OR(E756="IN",E756="C",E756="Z",E756="L"),J756=3),VLOOKUP(_xlfn.MINIFS('FIRE TEX 5090'!$B$5:$B$43,'FIRE TEX 5090'!$B$5:$B$43,"&gt;="&amp;M756),'FIRE TEX 5090'!$B$5:$H$43,IF(L756="F-15",2,IF(L756="F-30",3,IF(L756="F-60",4,IF(L756="F-90",5,IF(L756="F-120",6,IF(L756="F-150",7,0)))))),0),0)+IF(AND(O756="FIRE TEX 5090",OR(E756="IN",E756="C",E756="Z",E756="L"),J756=4),VLOOKUP(_xlfn.MINIFS('FIRE TEX 5090'!$J$5:$J$43,'FIRE TEX 5090'!$J$5:$J$43,"&gt;="&amp;M756),'FIRE TEX 5090'!$J$5:$P$43,IF(L756="F-15",2,IF(L756="F-30",3,IF(L756="F-60",4,IF(L756="F-90",5,IF(L756="F-120",6,IF(L756="F-150",7,0)))))),0),0)+IF(AND(O756="FIRE TEX 5090",E756="CJ",J756=3),VLOOKUP(_xlfn.MINIFS('FIRE TEX 5090'!$R$5:$R$30,'FIRE TEX 5090'!$R$5:$R$30,"&gt;="&amp;M756),'FIRE TEX 5090'!$R$5:$W$30,IF(L756="F-15",2,IF(L756="F-30",3,IF(L756="F-60",4,IF(L756="F-90",5,IF(L756="F-120",6,IF(L756="F-150",7,0)))))),0),0)+IF(AND(O756="FIRE TEX 5090",E756="CJ",J756=4),VLOOKUP(_xlfn.MINIFS('FIRE TEX 5090'!$Y$5:$Y$39,'FIRE TEX 5090'!$Y$5:$Y$39,"&gt;="&amp;M756),'FIRE TEX 5090'!$Y$5:$AD$39,IF(L756="F-15",2,IF(L756="F-30",3,IF(L756="F-60",4,IF(L756="F-90",5,IF(L756="F-120",6,IF(L756="F-150",7,0)))))),0),0)+IF(AND(O756="FIRE TEX 5120",OR(E756="IN",E756="C",E756="Z",E756="L"),J756=3),VLOOKUP(_xlfn.MINIFS('FIRE TEX 5120'!$B$5:$B$40,'FIRE TEX 5120'!$B$5:$B$40,"&gt;="&amp;M756),'FIRE TEX 5120'!$B$5:$G$40,IF(L756="F-15",2,IF(L756="F-30",3,IF(L756="F-60",4,IF(L756="F-90",5,IF(L756="F-120",6,0))))),0),0)+IF(AND(O756="FIRE TEX 5120",OR(E756="IN",E756="C",E756="Z",E756="L"),J756=4),VLOOKUP(_xlfn.MINIFS('FIRE TEX 5120'!$H$4:$H$40,'FIRE TEX 5120'!$H$4:$H$40,"&gt;="&amp;M756),'FIRE TEX 5120'!$H$4:$M$40,IF(L756="F-15",2,IF(L756="F-30",3,IF(L756="F-60",4,IF(L756="F-90",5,IF(L756="F-120",6,0))))),0),0)+IF(AND(O756="FIRE TEX 5120",E756="CJ"),VLOOKUP(_xlfn.MINIFS('FIRE TEX 5120'!$O$5:$O$40,'FIRE TEX 5120'!$O$5:$O$40,"&gt;="&amp;M756),'FIRE TEX 5120'!$O$5:$T$40,IF(L756="F-15",2,IF(L756="F-30",3,IF(L756="F-60",4,IF(L756="F-90",5,IF(L756="F-120",6,0))))),0),0)</f>
        <v>0</v>
      </c>
      <c r="Q756" s="46">
        <f t="shared" si="79"/>
        <v>0</v>
      </c>
      <c r="R756" s="46">
        <f t="shared" si="80"/>
        <v>0</v>
      </c>
      <c r="S756" s="46" t="e">
        <f t="shared" si="81"/>
        <v>#VALUE!</v>
      </c>
      <c r="T756" s="677">
        <f t="shared" si="82"/>
        <v>0</v>
      </c>
      <c r="U756" s="80">
        <f>(IF(O756="Stofire",(S756*#REF!),0))+(IF(O756="Fire Control",(S756*$U$2),0))+(IF(O756="Fire Tex",(S756*$U$3),0))+(IF(O756="WB7",(S756*#REF!),0)+(IF(O756="FX 2003",(S756*$U$5),0)))</f>
        <v>0</v>
      </c>
      <c r="V756" s="651">
        <f t="shared" si="83"/>
        <v>0</v>
      </c>
    </row>
    <row r="757" spans="4:22" x14ac:dyDescent="0.25">
      <c r="D757" s="118">
        <f>+CUBICACION!D756</f>
        <v>0</v>
      </c>
      <c r="E757" s="118">
        <f>+CUBICACION!F756</f>
        <v>0</v>
      </c>
      <c r="F757" s="118">
        <f>+CUBICACION!E756</f>
        <v>0</v>
      </c>
      <c r="G757" s="118">
        <v>12</v>
      </c>
      <c r="H757" s="118">
        <v>2</v>
      </c>
      <c r="I757" s="820">
        <v>26385</v>
      </c>
      <c r="J757" s="118">
        <f>+CUBICACION!J756</f>
        <v>0</v>
      </c>
      <c r="K757" s="118">
        <v>3536</v>
      </c>
      <c r="L757" s="118">
        <f>+CUBICACION!L756</f>
        <v>0</v>
      </c>
      <c r="M757" s="64">
        <f>+CUBICACION!M756</f>
        <v>0</v>
      </c>
      <c r="N757" s="824" t="str">
        <f>+CUBICACION!N756</f>
        <v/>
      </c>
      <c r="O757" s="675">
        <f>+CUBICACION!O756</f>
        <v>0</v>
      </c>
      <c r="P757" s="15">
        <f>IF(O757="Fire Control",VLOOKUP(_xlfn.MINIFS('FIRE CONTROL'!$C$4:$C$37,'FIRE CONTROL'!$C$4:$C$37,"&gt;="&amp;M757),'FIRE CONTROL'!$C$4:$G$37,IF(L757="F-15",2,IF(L757="F-30",3,IF(L757="F-60",4,IF(L757="F-90",5,0)))),0),0)+IF(AND(O757="FIRE TEX 5062",OR(E757="IN",E757="C",E757="Z",E757="L"),J757=3),VLOOKUP(_xlfn.MINIFS('FIRE TEX 5062'!$B$4:$B$34,'FIRE TEX 5062'!$B$4:$B$34,"&gt;="&amp;M757),'FIRE TEX 5062'!$B$4:$F$34,IF(L757="F-15",2,IF(L757="F-30",3,IF(L757="F-60",4,IF(L757="F-90",5,0)))),0),0)+IF(AND(O757="FIRE TEX 5062",OR(E757="IN",E757="C",E757="Z",E757="L"),J757=4),VLOOKUP(_xlfn.MINIFS('FIRE TEX 5062'!$G$4:$G$34,'FIRE TEX 5062'!$G$4:$G$34,"&gt;="&amp;M757),'FIRE TEX 5062'!$G$4:$K$34,IF(L757="F-15",2,IF(L757="F-30",3,IF(L757="F-60",4,IF(L757="F-90",5,0)))),0),0)+IF(AND(O757="FIRE TEX 5062",E757="CJ",J757=3),VLOOKUP(_xlfn.MINIFS('FIRE TEX 5062'!$L$4:$L$34,'FIRE TEX 5062'!$L$4:$L$34,"&gt;="&amp;M757),'FIRE TEX 5062'!$L$4:$P$34,IF(L757="F-15",2,IF(L757="F-30",3,IF(L757="F-60",4,IF(L757="F-90",5,0)))),0),0)+IF(AND(O757="FIRE TEX 5062",E757="CJ",J757=4),VLOOKUP(_xlfn.MINIFS('FIRE TEX 5062'!$Q$3:$Q$34,'FIRE TEX 5062'!$Q$3:$Q$34,"&gt;="&amp;M757),'FIRE TEX 5062'!$Q$3:$U$34,IF(L757="F-15",2,IF(L757="F-30",3,IF(L757="F-60",4,IF(L757="F-90",5,0)))),0),0)+IF(AND(O757="FIRE TEX 5090",OR(E757="IN",E757="C",E757="Z",E757="L"),J757=3),VLOOKUP(_xlfn.MINIFS('FIRE TEX 5090'!$B$5:$B$43,'FIRE TEX 5090'!$B$5:$B$43,"&gt;="&amp;M757),'FIRE TEX 5090'!$B$5:$H$43,IF(L757="F-15",2,IF(L757="F-30",3,IF(L757="F-60",4,IF(L757="F-90",5,IF(L757="F-120",6,IF(L757="F-150",7,0)))))),0),0)+IF(AND(O757="FIRE TEX 5090",OR(E757="IN",E757="C",E757="Z",E757="L"),J757=4),VLOOKUP(_xlfn.MINIFS('FIRE TEX 5090'!$J$5:$J$43,'FIRE TEX 5090'!$J$5:$J$43,"&gt;="&amp;M757),'FIRE TEX 5090'!$J$5:$P$43,IF(L757="F-15",2,IF(L757="F-30",3,IF(L757="F-60",4,IF(L757="F-90",5,IF(L757="F-120",6,IF(L757="F-150",7,0)))))),0),0)+IF(AND(O757="FIRE TEX 5090",E757="CJ",J757=3),VLOOKUP(_xlfn.MINIFS('FIRE TEX 5090'!$R$5:$R$30,'FIRE TEX 5090'!$R$5:$R$30,"&gt;="&amp;M757),'FIRE TEX 5090'!$R$5:$W$30,IF(L757="F-15",2,IF(L757="F-30",3,IF(L757="F-60",4,IF(L757="F-90",5,IF(L757="F-120",6,IF(L757="F-150",7,0)))))),0),0)+IF(AND(O757="FIRE TEX 5090",E757="CJ",J757=4),VLOOKUP(_xlfn.MINIFS('FIRE TEX 5090'!$Y$5:$Y$39,'FIRE TEX 5090'!$Y$5:$Y$39,"&gt;="&amp;M757),'FIRE TEX 5090'!$Y$5:$AD$39,IF(L757="F-15",2,IF(L757="F-30",3,IF(L757="F-60",4,IF(L757="F-90",5,IF(L757="F-120",6,IF(L757="F-150",7,0)))))),0),0)+IF(AND(O757="FIRE TEX 5120",OR(E757="IN",E757="C",E757="Z",E757="L"),J757=3),VLOOKUP(_xlfn.MINIFS('FIRE TEX 5120'!$B$5:$B$40,'FIRE TEX 5120'!$B$5:$B$40,"&gt;="&amp;M757),'FIRE TEX 5120'!$B$5:$G$40,IF(L757="F-15",2,IF(L757="F-30",3,IF(L757="F-60",4,IF(L757="F-90",5,IF(L757="F-120",6,0))))),0),0)+IF(AND(O757="FIRE TEX 5120",OR(E757="IN",E757="C",E757="Z",E757="L"),J757=4),VLOOKUP(_xlfn.MINIFS('FIRE TEX 5120'!$H$4:$H$40,'FIRE TEX 5120'!$H$4:$H$40,"&gt;="&amp;M757),'FIRE TEX 5120'!$H$4:$M$40,IF(L757="F-15",2,IF(L757="F-30",3,IF(L757="F-60",4,IF(L757="F-90",5,IF(L757="F-120",6,0))))),0),0)+IF(AND(O757="FIRE TEX 5120",E757="CJ"),VLOOKUP(_xlfn.MINIFS('FIRE TEX 5120'!$O$5:$O$40,'FIRE TEX 5120'!$O$5:$O$40,"&gt;="&amp;M757),'FIRE TEX 5120'!$O$5:$T$40,IF(L757="F-15",2,IF(L757="F-30",3,IF(L757="F-60",4,IF(L757="F-90",5,IF(L757="F-120",6,0))))),0),0)</f>
        <v>0</v>
      </c>
      <c r="Q757" s="46">
        <f t="shared" si="79"/>
        <v>0</v>
      </c>
      <c r="R757" s="46">
        <f t="shared" si="80"/>
        <v>0</v>
      </c>
      <c r="S757" s="46" t="e">
        <f t="shared" si="81"/>
        <v>#VALUE!</v>
      </c>
      <c r="T757" s="677">
        <f t="shared" si="82"/>
        <v>0</v>
      </c>
      <c r="U757" s="80">
        <f>(IF(O757="Stofire",(S757*#REF!),0))+(IF(O757="Fire Control",(S757*$U$2),0))+(IF(O757="Fire Tex",(S757*$U$3),0))+(IF(O757="WB7",(S757*#REF!),0)+(IF(O757="FX 2003",(S757*$U$5),0)))</f>
        <v>0</v>
      </c>
      <c r="V757" s="651">
        <f t="shared" si="83"/>
        <v>0</v>
      </c>
    </row>
    <row r="758" spans="4:22" x14ac:dyDescent="0.25">
      <c r="D758" s="118">
        <f>+CUBICACION!D757</f>
        <v>0</v>
      </c>
      <c r="E758" s="118">
        <f>+CUBICACION!F757</f>
        <v>0</v>
      </c>
      <c r="F758" s="118">
        <f>+CUBICACION!E757</f>
        <v>0</v>
      </c>
      <c r="G758" s="118">
        <v>12</v>
      </c>
      <c r="H758" s="118">
        <v>2</v>
      </c>
      <c r="I758" s="820">
        <v>26385</v>
      </c>
      <c r="J758" s="118">
        <f>+CUBICACION!J757</f>
        <v>0</v>
      </c>
      <c r="K758" s="118">
        <v>3537</v>
      </c>
      <c r="L758" s="118">
        <f>+CUBICACION!L757</f>
        <v>0</v>
      </c>
      <c r="M758" s="64">
        <f>+CUBICACION!M757</f>
        <v>0</v>
      </c>
      <c r="N758" s="824" t="str">
        <f>+CUBICACION!N757</f>
        <v/>
      </c>
      <c r="O758" s="675">
        <f>+CUBICACION!O757</f>
        <v>0</v>
      </c>
      <c r="P758" s="15">
        <f>IF(O758="Fire Control",VLOOKUP(_xlfn.MINIFS('FIRE CONTROL'!$C$4:$C$37,'FIRE CONTROL'!$C$4:$C$37,"&gt;="&amp;M758),'FIRE CONTROL'!$C$4:$G$37,IF(L758="F-15",2,IF(L758="F-30",3,IF(L758="F-60",4,IF(L758="F-90",5,0)))),0),0)+IF(AND(O758="FIRE TEX 5062",OR(E758="IN",E758="C",E758="Z",E758="L"),J758=3),VLOOKUP(_xlfn.MINIFS('FIRE TEX 5062'!$B$4:$B$34,'FIRE TEX 5062'!$B$4:$B$34,"&gt;="&amp;M758),'FIRE TEX 5062'!$B$4:$F$34,IF(L758="F-15",2,IF(L758="F-30",3,IF(L758="F-60",4,IF(L758="F-90",5,0)))),0),0)+IF(AND(O758="FIRE TEX 5062",OR(E758="IN",E758="C",E758="Z",E758="L"),J758=4),VLOOKUP(_xlfn.MINIFS('FIRE TEX 5062'!$G$4:$G$34,'FIRE TEX 5062'!$G$4:$G$34,"&gt;="&amp;M758),'FIRE TEX 5062'!$G$4:$K$34,IF(L758="F-15",2,IF(L758="F-30",3,IF(L758="F-60",4,IF(L758="F-90",5,0)))),0),0)+IF(AND(O758="FIRE TEX 5062",E758="CJ",J758=3),VLOOKUP(_xlfn.MINIFS('FIRE TEX 5062'!$L$4:$L$34,'FIRE TEX 5062'!$L$4:$L$34,"&gt;="&amp;M758),'FIRE TEX 5062'!$L$4:$P$34,IF(L758="F-15",2,IF(L758="F-30",3,IF(L758="F-60",4,IF(L758="F-90",5,0)))),0),0)+IF(AND(O758="FIRE TEX 5062",E758="CJ",J758=4),VLOOKUP(_xlfn.MINIFS('FIRE TEX 5062'!$Q$3:$Q$34,'FIRE TEX 5062'!$Q$3:$Q$34,"&gt;="&amp;M758),'FIRE TEX 5062'!$Q$3:$U$34,IF(L758="F-15",2,IF(L758="F-30",3,IF(L758="F-60",4,IF(L758="F-90",5,0)))),0),0)+IF(AND(O758="FIRE TEX 5090",OR(E758="IN",E758="C",E758="Z",E758="L"),J758=3),VLOOKUP(_xlfn.MINIFS('FIRE TEX 5090'!$B$5:$B$43,'FIRE TEX 5090'!$B$5:$B$43,"&gt;="&amp;M758),'FIRE TEX 5090'!$B$5:$H$43,IF(L758="F-15",2,IF(L758="F-30",3,IF(L758="F-60",4,IF(L758="F-90",5,IF(L758="F-120",6,IF(L758="F-150",7,0)))))),0),0)+IF(AND(O758="FIRE TEX 5090",OR(E758="IN",E758="C",E758="Z",E758="L"),J758=4),VLOOKUP(_xlfn.MINIFS('FIRE TEX 5090'!$J$5:$J$43,'FIRE TEX 5090'!$J$5:$J$43,"&gt;="&amp;M758),'FIRE TEX 5090'!$J$5:$P$43,IF(L758="F-15",2,IF(L758="F-30",3,IF(L758="F-60",4,IF(L758="F-90",5,IF(L758="F-120",6,IF(L758="F-150",7,0)))))),0),0)+IF(AND(O758="FIRE TEX 5090",E758="CJ",J758=3),VLOOKUP(_xlfn.MINIFS('FIRE TEX 5090'!$R$5:$R$30,'FIRE TEX 5090'!$R$5:$R$30,"&gt;="&amp;M758),'FIRE TEX 5090'!$R$5:$W$30,IF(L758="F-15",2,IF(L758="F-30",3,IF(L758="F-60",4,IF(L758="F-90",5,IF(L758="F-120",6,IF(L758="F-150",7,0)))))),0),0)+IF(AND(O758="FIRE TEX 5090",E758="CJ",J758=4),VLOOKUP(_xlfn.MINIFS('FIRE TEX 5090'!$Y$5:$Y$39,'FIRE TEX 5090'!$Y$5:$Y$39,"&gt;="&amp;M758),'FIRE TEX 5090'!$Y$5:$AD$39,IF(L758="F-15",2,IF(L758="F-30",3,IF(L758="F-60",4,IF(L758="F-90",5,IF(L758="F-120",6,IF(L758="F-150",7,0)))))),0),0)+IF(AND(O758="FIRE TEX 5120",OR(E758="IN",E758="C",E758="Z",E758="L"),J758=3),VLOOKUP(_xlfn.MINIFS('FIRE TEX 5120'!$B$5:$B$40,'FIRE TEX 5120'!$B$5:$B$40,"&gt;="&amp;M758),'FIRE TEX 5120'!$B$5:$G$40,IF(L758="F-15",2,IF(L758="F-30",3,IF(L758="F-60",4,IF(L758="F-90",5,IF(L758="F-120",6,0))))),0),0)+IF(AND(O758="FIRE TEX 5120",OR(E758="IN",E758="C",E758="Z",E758="L"),J758=4),VLOOKUP(_xlfn.MINIFS('FIRE TEX 5120'!$H$4:$H$40,'FIRE TEX 5120'!$H$4:$H$40,"&gt;="&amp;M758),'FIRE TEX 5120'!$H$4:$M$40,IF(L758="F-15",2,IF(L758="F-30",3,IF(L758="F-60",4,IF(L758="F-90",5,IF(L758="F-120",6,0))))),0),0)+IF(AND(O758="FIRE TEX 5120",E758="CJ"),VLOOKUP(_xlfn.MINIFS('FIRE TEX 5120'!$O$5:$O$40,'FIRE TEX 5120'!$O$5:$O$40,"&gt;="&amp;M758),'FIRE TEX 5120'!$O$5:$T$40,IF(L758="F-15",2,IF(L758="F-30",3,IF(L758="F-60",4,IF(L758="F-90",5,IF(L758="F-120",6,0))))),0),0)</f>
        <v>0</v>
      </c>
      <c r="Q758" s="46">
        <f t="shared" si="79"/>
        <v>0</v>
      </c>
      <c r="R758" s="46">
        <f t="shared" si="80"/>
        <v>0</v>
      </c>
      <c r="S758" s="46" t="e">
        <f t="shared" si="81"/>
        <v>#VALUE!</v>
      </c>
      <c r="T758" s="677">
        <f t="shared" si="82"/>
        <v>0</v>
      </c>
      <c r="U758" s="80">
        <f>(IF(O758="Stofire",(S758*#REF!),0))+(IF(O758="Fire Control",(S758*$U$2),0))+(IF(O758="Fire Tex",(S758*$U$3),0))+(IF(O758="WB7",(S758*#REF!),0)+(IF(O758="FX 2003",(S758*$U$5),0)))</f>
        <v>0</v>
      </c>
      <c r="V758" s="651">
        <f t="shared" si="83"/>
        <v>0</v>
      </c>
    </row>
    <row r="759" spans="4:22" x14ac:dyDescent="0.25">
      <c r="D759" s="118">
        <f>+CUBICACION!D758</f>
        <v>0</v>
      </c>
      <c r="E759" s="118">
        <f>+CUBICACION!F758</f>
        <v>0</v>
      </c>
      <c r="F759" s="118">
        <f>+CUBICACION!E758</f>
        <v>0</v>
      </c>
      <c r="G759" s="118">
        <v>12</v>
      </c>
      <c r="H759" s="118">
        <v>2</v>
      </c>
      <c r="I759" s="820">
        <v>26385</v>
      </c>
      <c r="J759" s="118">
        <f>+CUBICACION!J758</f>
        <v>0</v>
      </c>
      <c r="K759" s="118">
        <v>3538</v>
      </c>
      <c r="L759" s="118">
        <f>+CUBICACION!L758</f>
        <v>0</v>
      </c>
      <c r="M759" s="64">
        <f>+CUBICACION!M758</f>
        <v>0</v>
      </c>
      <c r="N759" s="824" t="str">
        <f>+CUBICACION!N758</f>
        <v/>
      </c>
      <c r="O759" s="675">
        <f>+CUBICACION!O758</f>
        <v>0</v>
      </c>
      <c r="P759" s="15">
        <f>IF(O759="Fire Control",VLOOKUP(_xlfn.MINIFS('FIRE CONTROL'!$C$4:$C$37,'FIRE CONTROL'!$C$4:$C$37,"&gt;="&amp;M759),'FIRE CONTROL'!$C$4:$G$37,IF(L759="F-15",2,IF(L759="F-30",3,IF(L759="F-60",4,IF(L759="F-90",5,0)))),0),0)+IF(AND(O759="FIRE TEX 5062",OR(E759="IN",E759="C",E759="Z",E759="L"),J759=3),VLOOKUP(_xlfn.MINIFS('FIRE TEX 5062'!$B$4:$B$34,'FIRE TEX 5062'!$B$4:$B$34,"&gt;="&amp;M759),'FIRE TEX 5062'!$B$4:$F$34,IF(L759="F-15",2,IF(L759="F-30",3,IF(L759="F-60",4,IF(L759="F-90",5,0)))),0),0)+IF(AND(O759="FIRE TEX 5062",OR(E759="IN",E759="C",E759="Z",E759="L"),J759=4),VLOOKUP(_xlfn.MINIFS('FIRE TEX 5062'!$G$4:$G$34,'FIRE TEX 5062'!$G$4:$G$34,"&gt;="&amp;M759),'FIRE TEX 5062'!$G$4:$K$34,IF(L759="F-15",2,IF(L759="F-30",3,IF(L759="F-60",4,IF(L759="F-90",5,0)))),0),0)+IF(AND(O759="FIRE TEX 5062",E759="CJ",J759=3),VLOOKUP(_xlfn.MINIFS('FIRE TEX 5062'!$L$4:$L$34,'FIRE TEX 5062'!$L$4:$L$34,"&gt;="&amp;M759),'FIRE TEX 5062'!$L$4:$P$34,IF(L759="F-15",2,IF(L759="F-30",3,IF(L759="F-60",4,IF(L759="F-90",5,0)))),0),0)+IF(AND(O759="FIRE TEX 5062",E759="CJ",J759=4),VLOOKUP(_xlfn.MINIFS('FIRE TEX 5062'!$Q$3:$Q$34,'FIRE TEX 5062'!$Q$3:$Q$34,"&gt;="&amp;M759),'FIRE TEX 5062'!$Q$3:$U$34,IF(L759="F-15",2,IF(L759="F-30",3,IF(L759="F-60",4,IF(L759="F-90",5,0)))),0),0)+IF(AND(O759="FIRE TEX 5090",OR(E759="IN",E759="C",E759="Z",E759="L"),J759=3),VLOOKUP(_xlfn.MINIFS('FIRE TEX 5090'!$B$5:$B$43,'FIRE TEX 5090'!$B$5:$B$43,"&gt;="&amp;M759),'FIRE TEX 5090'!$B$5:$H$43,IF(L759="F-15",2,IF(L759="F-30",3,IF(L759="F-60",4,IF(L759="F-90",5,IF(L759="F-120",6,IF(L759="F-150",7,0)))))),0),0)+IF(AND(O759="FIRE TEX 5090",OR(E759="IN",E759="C",E759="Z",E759="L"),J759=4),VLOOKUP(_xlfn.MINIFS('FIRE TEX 5090'!$J$5:$J$43,'FIRE TEX 5090'!$J$5:$J$43,"&gt;="&amp;M759),'FIRE TEX 5090'!$J$5:$P$43,IF(L759="F-15",2,IF(L759="F-30",3,IF(L759="F-60",4,IF(L759="F-90",5,IF(L759="F-120",6,IF(L759="F-150",7,0)))))),0),0)+IF(AND(O759="FIRE TEX 5090",E759="CJ",J759=3),VLOOKUP(_xlfn.MINIFS('FIRE TEX 5090'!$R$5:$R$30,'FIRE TEX 5090'!$R$5:$R$30,"&gt;="&amp;M759),'FIRE TEX 5090'!$R$5:$W$30,IF(L759="F-15",2,IF(L759="F-30",3,IF(L759="F-60",4,IF(L759="F-90",5,IF(L759="F-120",6,IF(L759="F-150",7,0)))))),0),0)+IF(AND(O759="FIRE TEX 5090",E759="CJ",J759=4),VLOOKUP(_xlfn.MINIFS('FIRE TEX 5090'!$Y$5:$Y$39,'FIRE TEX 5090'!$Y$5:$Y$39,"&gt;="&amp;M759),'FIRE TEX 5090'!$Y$5:$AD$39,IF(L759="F-15",2,IF(L759="F-30",3,IF(L759="F-60",4,IF(L759="F-90",5,IF(L759="F-120",6,IF(L759="F-150",7,0)))))),0),0)+IF(AND(O759="FIRE TEX 5120",OR(E759="IN",E759="C",E759="Z",E759="L"),J759=3),VLOOKUP(_xlfn.MINIFS('FIRE TEX 5120'!$B$5:$B$40,'FIRE TEX 5120'!$B$5:$B$40,"&gt;="&amp;M759),'FIRE TEX 5120'!$B$5:$G$40,IF(L759="F-15",2,IF(L759="F-30",3,IF(L759="F-60",4,IF(L759="F-90",5,IF(L759="F-120",6,0))))),0),0)+IF(AND(O759="FIRE TEX 5120",OR(E759="IN",E759="C",E759="Z",E759="L"),J759=4),VLOOKUP(_xlfn.MINIFS('FIRE TEX 5120'!$H$4:$H$40,'FIRE TEX 5120'!$H$4:$H$40,"&gt;="&amp;M759),'FIRE TEX 5120'!$H$4:$M$40,IF(L759="F-15",2,IF(L759="F-30",3,IF(L759="F-60",4,IF(L759="F-90",5,IF(L759="F-120",6,0))))),0),0)+IF(AND(O759="FIRE TEX 5120",E759="CJ"),VLOOKUP(_xlfn.MINIFS('FIRE TEX 5120'!$O$5:$O$40,'FIRE TEX 5120'!$O$5:$O$40,"&gt;="&amp;M759),'FIRE TEX 5120'!$O$5:$T$40,IF(L759="F-15",2,IF(L759="F-30",3,IF(L759="F-60",4,IF(L759="F-90",5,IF(L759="F-120",6,0))))),0),0)</f>
        <v>0</v>
      </c>
      <c r="Q759" s="46">
        <f t="shared" si="79"/>
        <v>0</v>
      </c>
      <c r="R759" s="46">
        <f t="shared" si="80"/>
        <v>0</v>
      </c>
      <c r="S759" s="46" t="e">
        <f t="shared" si="81"/>
        <v>#VALUE!</v>
      </c>
      <c r="T759" s="677">
        <f t="shared" si="82"/>
        <v>0</v>
      </c>
      <c r="U759" s="80">
        <f>(IF(O759="Stofire",(S759*#REF!),0))+(IF(O759="Fire Control",(S759*$U$2),0))+(IF(O759="Fire Tex",(S759*$U$3),0))+(IF(O759="WB7",(S759*#REF!),0)+(IF(O759="FX 2003",(S759*$U$5),0)))</f>
        <v>0</v>
      </c>
      <c r="V759" s="651">
        <f t="shared" si="83"/>
        <v>0</v>
      </c>
    </row>
    <row r="760" spans="4:22" x14ac:dyDescent="0.25">
      <c r="D760" s="118">
        <f>+CUBICACION!D759</f>
        <v>0</v>
      </c>
      <c r="E760" s="118">
        <f>+CUBICACION!F759</f>
        <v>0</v>
      </c>
      <c r="F760" s="118">
        <f>+CUBICACION!E759</f>
        <v>0</v>
      </c>
      <c r="G760" s="118">
        <v>12</v>
      </c>
      <c r="H760" s="118">
        <v>2</v>
      </c>
      <c r="I760" s="820">
        <v>26385</v>
      </c>
      <c r="J760" s="118">
        <f>+CUBICACION!J759</f>
        <v>0</v>
      </c>
      <c r="K760" s="118">
        <v>3539</v>
      </c>
      <c r="L760" s="118">
        <f>+CUBICACION!L759</f>
        <v>0</v>
      </c>
      <c r="M760" s="64">
        <f>+CUBICACION!M759</f>
        <v>0</v>
      </c>
      <c r="N760" s="824" t="str">
        <f>+CUBICACION!N759</f>
        <v/>
      </c>
      <c r="O760" s="675">
        <f>+CUBICACION!O759</f>
        <v>0</v>
      </c>
      <c r="P760" s="15">
        <f>IF(O760="Fire Control",VLOOKUP(_xlfn.MINIFS('FIRE CONTROL'!$C$4:$C$37,'FIRE CONTROL'!$C$4:$C$37,"&gt;="&amp;M760),'FIRE CONTROL'!$C$4:$G$37,IF(L760="F-15",2,IF(L760="F-30",3,IF(L760="F-60",4,IF(L760="F-90",5,0)))),0),0)+IF(AND(O760="FIRE TEX 5062",OR(E760="IN",E760="C",E760="Z",E760="L"),J760=3),VLOOKUP(_xlfn.MINIFS('FIRE TEX 5062'!$B$4:$B$34,'FIRE TEX 5062'!$B$4:$B$34,"&gt;="&amp;M760),'FIRE TEX 5062'!$B$4:$F$34,IF(L760="F-15",2,IF(L760="F-30",3,IF(L760="F-60",4,IF(L760="F-90",5,0)))),0),0)+IF(AND(O760="FIRE TEX 5062",OR(E760="IN",E760="C",E760="Z",E760="L"),J760=4),VLOOKUP(_xlfn.MINIFS('FIRE TEX 5062'!$G$4:$G$34,'FIRE TEX 5062'!$G$4:$G$34,"&gt;="&amp;M760),'FIRE TEX 5062'!$G$4:$K$34,IF(L760="F-15",2,IF(L760="F-30",3,IF(L760="F-60",4,IF(L760="F-90",5,0)))),0),0)+IF(AND(O760="FIRE TEX 5062",E760="CJ",J760=3),VLOOKUP(_xlfn.MINIFS('FIRE TEX 5062'!$L$4:$L$34,'FIRE TEX 5062'!$L$4:$L$34,"&gt;="&amp;M760),'FIRE TEX 5062'!$L$4:$P$34,IF(L760="F-15",2,IF(L760="F-30",3,IF(L760="F-60",4,IF(L760="F-90",5,0)))),0),0)+IF(AND(O760="FIRE TEX 5062",E760="CJ",J760=4),VLOOKUP(_xlfn.MINIFS('FIRE TEX 5062'!$Q$3:$Q$34,'FIRE TEX 5062'!$Q$3:$Q$34,"&gt;="&amp;M760),'FIRE TEX 5062'!$Q$3:$U$34,IF(L760="F-15",2,IF(L760="F-30",3,IF(L760="F-60",4,IF(L760="F-90",5,0)))),0),0)+IF(AND(O760="FIRE TEX 5090",OR(E760="IN",E760="C",E760="Z",E760="L"),J760=3),VLOOKUP(_xlfn.MINIFS('FIRE TEX 5090'!$B$5:$B$43,'FIRE TEX 5090'!$B$5:$B$43,"&gt;="&amp;M760),'FIRE TEX 5090'!$B$5:$H$43,IF(L760="F-15",2,IF(L760="F-30",3,IF(L760="F-60",4,IF(L760="F-90",5,IF(L760="F-120",6,IF(L760="F-150",7,0)))))),0),0)+IF(AND(O760="FIRE TEX 5090",OR(E760="IN",E760="C",E760="Z",E760="L"),J760=4),VLOOKUP(_xlfn.MINIFS('FIRE TEX 5090'!$J$5:$J$43,'FIRE TEX 5090'!$J$5:$J$43,"&gt;="&amp;M760),'FIRE TEX 5090'!$J$5:$P$43,IF(L760="F-15",2,IF(L760="F-30",3,IF(L760="F-60",4,IF(L760="F-90",5,IF(L760="F-120",6,IF(L760="F-150",7,0)))))),0),0)+IF(AND(O760="FIRE TEX 5090",E760="CJ",J760=3),VLOOKUP(_xlfn.MINIFS('FIRE TEX 5090'!$R$5:$R$30,'FIRE TEX 5090'!$R$5:$R$30,"&gt;="&amp;M760),'FIRE TEX 5090'!$R$5:$W$30,IF(L760="F-15",2,IF(L760="F-30",3,IF(L760="F-60",4,IF(L760="F-90",5,IF(L760="F-120",6,IF(L760="F-150",7,0)))))),0),0)+IF(AND(O760="FIRE TEX 5090",E760="CJ",J760=4),VLOOKUP(_xlfn.MINIFS('FIRE TEX 5090'!$Y$5:$Y$39,'FIRE TEX 5090'!$Y$5:$Y$39,"&gt;="&amp;M760),'FIRE TEX 5090'!$Y$5:$AD$39,IF(L760="F-15",2,IF(L760="F-30",3,IF(L760="F-60",4,IF(L760="F-90",5,IF(L760="F-120",6,IF(L760="F-150",7,0)))))),0),0)+IF(AND(O760="FIRE TEX 5120",OR(E760="IN",E760="C",E760="Z",E760="L"),J760=3),VLOOKUP(_xlfn.MINIFS('FIRE TEX 5120'!$B$5:$B$40,'FIRE TEX 5120'!$B$5:$B$40,"&gt;="&amp;M760),'FIRE TEX 5120'!$B$5:$G$40,IF(L760="F-15",2,IF(L760="F-30",3,IF(L760="F-60",4,IF(L760="F-90",5,IF(L760="F-120",6,0))))),0),0)+IF(AND(O760="FIRE TEX 5120",OR(E760="IN",E760="C",E760="Z",E760="L"),J760=4),VLOOKUP(_xlfn.MINIFS('FIRE TEX 5120'!$H$4:$H$40,'FIRE TEX 5120'!$H$4:$H$40,"&gt;="&amp;M760),'FIRE TEX 5120'!$H$4:$M$40,IF(L760="F-15",2,IF(L760="F-30",3,IF(L760="F-60",4,IF(L760="F-90",5,IF(L760="F-120",6,0))))),0),0)+IF(AND(O760="FIRE TEX 5120",E760="CJ"),VLOOKUP(_xlfn.MINIFS('FIRE TEX 5120'!$O$5:$O$40,'FIRE TEX 5120'!$O$5:$O$40,"&gt;="&amp;M760),'FIRE TEX 5120'!$O$5:$T$40,IF(L760="F-15",2,IF(L760="F-30",3,IF(L760="F-60",4,IF(L760="F-90",5,IF(L760="F-120",6,0))))),0),0)</f>
        <v>0</v>
      </c>
      <c r="Q760" s="46">
        <f t="shared" si="79"/>
        <v>0</v>
      </c>
      <c r="R760" s="46">
        <f t="shared" si="80"/>
        <v>0</v>
      </c>
      <c r="S760" s="46" t="e">
        <f t="shared" si="81"/>
        <v>#VALUE!</v>
      </c>
      <c r="T760" s="677">
        <f t="shared" si="82"/>
        <v>0</v>
      </c>
      <c r="U760" s="80">
        <f>(IF(O760="Stofire",(S760*#REF!),0))+(IF(O760="Fire Control",(S760*$U$2),0))+(IF(O760="Fire Tex",(S760*$U$3),0))+(IF(O760="WB7",(S760*#REF!),0)+(IF(O760="FX 2003",(S760*$U$5),0)))</f>
        <v>0</v>
      </c>
      <c r="V760" s="651">
        <f t="shared" si="83"/>
        <v>0</v>
      </c>
    </row>
    <row r="761" spans="4:22" x14ac:dyDescent="0.25">
      <c r="D761" s="118">
        <f>+CUBICACION!D760</f>
        <v>0</v>
      </c>
      <c r="E761" s="118">
        <f>+CUBICACION!F760</f>
        <v>0</v>
      </c>
      <c r="F761" s="118">
        <f>+CUBICACION!E760</f>
        <v>0</v>
      </c>
      <c r="G761" s="118">
        <v>12</v>
      </c>
      <c r="H761" s="118">
        <v>2</v>
      </c>
      <c r="I761" s="820">
        <v>26385</v>
      </c>
      <c r="J761" s="118">
        <f>+CUBICACION!J760</f>
        <v>0</v>
      </c>
      <c r="K761" s="118">
        <v>3540</v>
      </c>
      <c r="L761" s="118">
        <f>+CUBICACION!L760</f>
        <v>0</v>
      </c>
      <c r="M761" s="64">
        <f>+CUBICACION!M760</f>
        <v>0</v>
      </c>
      <c r="N761" s="824" t="str">
        <f>+CUBICACION!N760</f>
        <v/>
      </c>
      <c r="O761" s="675">
        <f>+CUBICACION!O760</f>
        <v>0</v>
      </c>
      <c r="P761" s="15">
        <f>IF(O761="Fire Control",VLOOKUP(_xlfn.MINIFS('FIRE CONTROL'!$C$4:$C$37,'FIRE CONTROL'!$C$4:$C$37,"&gt;="&amp;M761),'FIRE CONTROL'!$C$4:$G$37,IF(L761="F-15",2,IF(L761="F-30",3,IF(L761="F-60",4,IF(L761="F-90",5,0)))),0),0)+IF(AND(O761="FIRE TEX 5062",OR(E761="IN",E761="C",E761="Z",E761="L"),J761=3),VLOOKUP(_xlfn.MINIFS('FIRE TEX 5062'!$B$4:$B$34,'FIRE TEX 5062'!$B$4:$B$34,"&gt;="&amp;M761),'FIRE TEX 5062'!$B$4:$F$34,IF(L761="F-15",2,IF(L761="F-30",3,IF(L761="F-60",4,IF(L761="F-90",5,0)))),0),0)+IF(AND(O761="FIRE TEX 5062",OR(E761="IN",E761="C",E761="Z",E761="L"),J761=4),VLOOKUP(_xlfn.MINIFS('FIRE TEX 5062'!$G$4:$G$34,'FIRE TEX 5062'!$G$4:$G$34,"&gt;="&amp;M761),'FIRE TEX 5062'!$G$4:$K$34,IF(L761="F-15",2,IF(L761="F-30",3,IF(L761="F-60",4,IF(L761="F-90",5,0)))),0),0)+IF(AND(O761="FIRE TEX 5062",E761="CJ",J761=3),VLOOKUP(_xlfn.MINIFS('FIRE TEX 5062'!$L$4:$L$34,'FIRE TEX 5062'!$L$4:$L$34,"&gt;="&amp;M761),'FIRE TEX 5062'!$L$4:$P$34,IF(L761="F-15",2,IF(L761="F-30",3,IF(L761="F-60",4,IF(L761="F-90",5,0)))),0),0)+IF(AND(O761="FIRE TEX 5062",E761="CJ",J761=4),VLOOKUP(_xlfn.MINIFS('FIRE TEX 5062'!$Q$3:$Q$34,'FIRE TEX 5062'!$Q$3:$Q$34,"&gt;="&amp;M761),'FIRE TEX 5062'!$Q$3:$U$34,IF(L761="F-15",2,IF(L761="F-30",3,IF(L761="F-60",4,IF(L761="F-90",5,0)))),0),0)+IF(AND(O761="FIRE TEX 5090",OR(E761="IN",E761="C",E761="Z",E761="L"),J761=3),VLOOKUP(_xlfn.MINIFS('FIRE TEX 5090'!$B$5:$B$43,'FIRE TEX 5090'!$B$5:$B$43,"&gt;="&amp;M761),'FIRE TEX 5090'!$B$5:$H$43,IF(L761="F-15",2,IF(L761="F-30",3,IF(L761="F-60",4,IF(L761="F-90",5,IF(L761="F-120",6,IF(L761="F-150",7,0)))))),0),0)+IF(AND(O761="FIRE TEX 5090",OR(E761="IN",E761="C",E761="Z",E761="L"),J761=4),VLOOKUP(_xlfn.MINIFS('FIRE TEX 5090'!$J$5:$J$43,'FIRE TEX 5090'!$J$5:$J$43,"&gt;="&amp;M761),'FIRE TEX 5090'!$J$5:$P$43,IF(L761="F-15",2,IF(L761="F-30",3,IF(L761="F-60",4,IF(L761="F-90",5,IF(L761="F-120",6,IF(L761="F-150",7,0)))))),0),0)+IF(AND(O761="FIRE TEX 5090",E761="CJ",J761=3),VLOOKUP(_xlfn.MINIFS('FIRE TEX 5090'!$R$5:$R$30,'FIRE TEX 5090'!$R$5:$R$30,"&gt;="&amp;M761),'FIRE TEX 5090'!$R$5:$W$30,IF(L761="F-15",2,IF(L761="F-30",3,IF(L761="F-60",4,IF(L761="F-90",5,IF(L761="F-120",6,IF(L761="F-150",7,0)))))),0),0)+IF(AND(O761="FIRE TEX 5090",E761="CJ",J761=4),VLOOKUP(_xlfn.MINIFS('FIRE TEX 5090'!$Y$5:$Y$39,'FIRE TEX 5090'!$Y$5:$Y$39,"&gt;="&amp;M761),'FIRE TEX 5090'!$Y$5:$AD$39,IF(L761="F-15",2,IF(L761="F-30",3,IF(L761="F-60",4,IF(L761="F-90",5,IF(L761="F-120",6,IF(L761="F-150",7,0)))))),0),0)+IF(AND(O761="FIRE TEX 5120",OR(E761="IN",E761="C",E761="Z",E761="L"),J761=3),VLOOKUP(_xlfn.MINIFS('FIRE TEX 5120'!$B$5:$B$40,'FIRE TEX 5120'!$B$5:$B$40,"&gt;="&amp;M761),'FIRE TEX 5120'!$B$5:$G$40,IF(L761="F-15",2,IF(L761="F-30",3,IF(L761="F-60",4,IF(L761="F-90",5,IF(L761="F-120",6,0))))),0),0)+IF(AND(O761="FIRE TEX 5120",OR(E761="IN",E761="C",E761="Z",E761="L"),J761=4),VLOOKUP(_xlfn.MINIFS('FIRE TEX 5120'!$H$4:$H$40,'FIRE TEX 5120'!$H$4:$H$40,"&gt;="&amp;M761),'FIRE TEX 5120'!$H$4:$M$40,IF(L761="F-15",2,IF(L761="F-30",3,IF(L761="F-60",4,IF(L761="F-90",5,IF(L761="F-120",6,0))))),0),0)+IF(AND(O761="FIRE TEX 5120",E761="CJ"),VLOOKUP(_xlfn.MINIFS('FIRE TEX 5120'!$O$5:$O$40,'FIRE TEX 5120'!$O$5:$O$40,"&gt;="&amp;M761),'FIRE TEX 5120'!$O$5:$T$40,IF(L761="F-15",2,IF(L761="F-30",3,IF(L761="F-60",4,IF(L761="F-90",5,IF(L761="F-120",6,0))))),0),0)</f>
        <v>0</v>
      </c>
      <c r="Q761" s="46">
        <f t="shared" si="79"/>
        <v>0</v>
      </c>
      <c r="R761" s="46">
        <f t="shared" si="80"/>
        <v>0</v>
      </c>
      <c r="S761" s="46" t="e">
        <f t="shared" si="81"/>
        <v>#VALUE!</v>
      </c>
      <c r="T761" s="677">
        <f t="shared" si="82"/>
        <v>0</v>
      </c>
      <c r="U761" s="80">
        <f>(IF(O761="Stofire",(S761*#REF!),0))+(IF(O761="Fire Control",(S761*$U$2),0))+(IF(O761="Fire Tex",(S761*$U$3),0))+(IF(O761="WB7",(S761*#REF!),0)+(IF(O761="FX 2003",(S761*$U$5),0)))</f>
        <v>0</v>
      </c>
      <c r="V761" s="651">
        <f t="shared" si="83"/>
        <v>0</v>
      </c>
    </row>
    <row r="762" spans="4:22" x14ac:dyDescent="0.25">
      <c r="D762" s="118">
        <f>+CUBICACION!D761</f>
        <v>0</v>
      </c>
      <c r="E762" s="118">
        <f>+CUBICACION!F761</f>
        <v>0</v>
      </c>
      <c r="F762" s="118">
        <f>+CUBICACION!E761</f>
        <v>0</v>
      </c>
      <c r="G762" s="118">
        <v>12</v>
      </c>
      <c r="H762" s="118">
        <v>2</v>
      </c>
      <c r="I762" s="820">
        <v>26385</v>
      </c>
      <c r="J762" s="118">
        <f>+CUBICACION!J761</f>
        <v>0</v>
      </c>
      <c r="K762" s="118">
        <v>3541</v>
      </c>
      <c r="L762" s="118">
        <f>+CUBICACION!L761</f>
        <v>0</v>
      </c>
      <c r="M762" s="64">
        <f>+CUBICACION!M761</f>
        <v>0</v>
      </c>
      <c r="N762" s="824" t="str">
        <f>+CUBICACION!N761</f>
        <v/>
      </c>
      <c r="O762" s="675">
        <f>+CUBICACION!O761</f>
        <v>0</v>
      </c>
      <c r="P762" s="15">
        <f>IF(O762="Fire Control",VLOOKUP(_xlfn.MINIFS('FIRE CONTROL'!$C$4:$C$37,'FIRE CONTROL'!$C$4:$C$37,"&gt;="&amp;M762),'FIRE CONTROL'!$C$4:$G$37,IF(L762="F-15",2,IF(L762="F-30",3,IF(L762="F-60",4,IF(L762="F-90",5,0)))),0),0)+IF(AND(O762="FIRE TEX 5062",OR(E762="IN",E762="C",E762="Z",E762="L"),J762=3),VLOOKUP(_xlfn.MINIFS('FIRE TEX 5062'!$B$4:$B$34,'FIRE TEX 5062'!$B$4:$B$34,"&gt;="&amp;M762),'FIRE TEX 5062'!$B$4:$F$34,IF(L762="F-15",2,IF(L762="F-30",3,IF(L762="F-60",4,IF(L762="F-90",5,0)))),0),0)+IF(AND(O762="FIRE TEX 5062",OR(E762="IN",E762="C",E762="Z",E762="L"),J762=4),VLOOKUP(_xlfn.MINIFS('FIRE TEX 5062'!$G$4:$G$34,'FIRE TEX 5062'!$G$4:$G$34,"&gt;="&amp;M762),'FIRE TEX 5062'!$G$4:$K$34,IF(L762="F-15",2,IF(L762="F-30",3,IF(L762="F-60",4,IF(L762="F-90",5,0)))),0),0)+IF(AND(O762="FIRE TEX 5062",E762="CJ",J762=3),VLOOKUP(_xlfn.MINIFS('FIRE TEX 5062'!$L$4:$L$34,'FIRE TEX 5062'!$L$4:$L$34,"&gt;="&amp;M762),'FIRE TEX 5062'!$L$4:$P$34,IF(L762="F-15",2,IF(L762="F-30",3,IF(L762="F-60",4,IF(L762="F-90",5,0)))),0),0)+IF(AND(O762="FIRE TEX 5062",E762="CJ",J762=4),VLOOKUP(_xlfn.MINIFS('FIRE TEX 5062'!$Q$3:$Q$34,'FIRE TEX 5062'!$Q$3:$Q$34,"&gt;="&amp;M762),'FIRE TEX 5062'!$Q$3:$U$34,IF(L762="F-15",2,IF(L762="F-30",3,IF(L762="F-60",4,IF(L762="F-90",5,0)))),0),0)+IF(AND(O762="FIRE TEX 5090",OR(E762="IN",E762="C",E762="Z",E762="L"),J762=3),VLOOKUP(_xlfn.MINIFS('FIRE TEX 5090'!$B$5:$B$43,'FIRE TEX 5090'!$B$5:$B$43,"&gt;="&amp;M762),'FIRE TEX 5090'!$B$5:$H$43,IF(L762="F-15",2,IF(L762="F-30",3,IF(L762="F-60",4,IF(L762="F-90",5,IF(L762="F-120",6,IF(L762="F-150",7,0)))))),0),0)+IF(AND(O762="FIRE TEX 5090",OR(E762="IN",E762="C",E762="Z",E762="L"),J762=4),VLOOKUP(_xlfn.MINIFS('FIRE TEX 5090'!$J$5:$J$43,'FIRE TEX 5090'!$J$5:$J$43,"&gt;="&amp;M762),'FIRE TEX 5090'!$J$5:$P$43,IF(L762="F-15",2,IF(L762="F-30",3,IF(L762="F-60",4,IF(L762="F-90",5,IF(L762="F-120",6,IF(L762="F-150",7,0)))))),0),0)+IF(AND(O762="FIRE TEX 5090",E762="CJ",J762=3),VLOOKUP(_xlfn.MINIFS('FIRE TEX 5090'!$R$5:$R$30,'FIRE TEX 5090'!$R$5:$R$30,"&gt;="&amp;M762),'FIRE TEX 5090'!$R$5:$W$30,IF(L762="F-15",2,IF(L762="F-30",3,IF(L762="F-60",4,IF(L762="F-90",5,IF(L762="F-120",6,IF(L762="F-150",7,0)))))),0),0)+IF(AND(O762="FIRE TEX 5090",E762="CJ",J762=4),VLOOKUP(_xlfn.MINIFS('FIRE TEX 5090'!$Y$5:$Y$39,'FIRE TEX 5090'!$Y$5:$Y$39,"&gt;="&amp;M762),'FIRE TEX 5090'!$Y$5:$AD$39,IF(L762="F-15",2,IF(L762="F-30",3,IF(L762="F-60",4,IF(L762="F-90",5,IF(L762="F-120",6,IF(L762="F-150",7,0)))))),0),0)+IF(AND(O762="FIRE TEX 5120",OR(E762="IN",E762="C",E762="Z",E762="L"),J762=3),VLOOKUP(_xlfn.MINIFS('FIRE TEX 5120'!$B$5:$B$40,'FIRE TEX 5120'!$B$5:$B$40,"&gt;="&amp;M762),'FIRE TEX 5120'!$B$5:$G$40,IF(L762="F-15",2,IF(L762="F-30",3,IF(L762="F-60",4,IF(L762="F-90",5,IF(L762="F-120",6,0))))),0),0)+IF(AND(O762="FIRE TEX 5120",OR(E762="IN",E762="C",E762="Z",E762="L"),J762=4),VLOOKUP(_xlfn.MINIFS('FIRE TEX 5120'!$H$4:$H$40,'FIRE TEX 5120'!$H$4:$H$40,"&gt;="&amp;M762),'FIRE TEX 5120'!$H$4:$M$40,IF(L762="F-15",2,IF(L762="F-30",3,IF(L762="F-60",4,IF(L762="F-90",5,IF(L762="F-120",6,0))))),0),0)+IF(AND(O762="FIRE TEX 5120",E762="CJ"),VLOOKUP(_xlfn.MINIFS('FIRE TEX 5120'!$O$5:$O$40,'FIRE TEX 5120'!$O$5:$O$40,"&gt;="&amp;M762),'FIRE TEX 5120'!$O$5:$T$40,IF(L762="F-15",2,IF(L762="F-30",3,IF(L762="F-60",4,IF(L762="F-90",5,IF(L762="F-120",6,0))))),0),0)</f>
        <v>0</v>
      </c>
      <c r="Q762" s="46">
        <f t="shared" si="79"/>
        <v>0</v>
      </c>
      <c r="R762" s="46">
        <f t="shared" si="80"/>
        <v>0</v>
      </c>
      <c r="S762" s="46" t="e">
        <f t="shared" si="81"/>
        <v>#VALUE!</v>
      </c>
      <c r="T762" s="677">
        <f t="shared" si="82"/>
        <v>0</v>
      </c>
      <c r="U762" s="80">
        <f>(IF(O762="Stofire",(S762*#REF!),0))+(IF(O762="Fire Control",(S762*$U$2),0))+(IF(O762="Fire Tex",(S762*$U$3),0))+(IF(O762="WB7",(S762*#REF!),0)+(IF(O762="FX 2003",(S762*$U$5),0)))</f>
        <v>0</v>
      </c>
      <c r="V762" s="651">
        <f t="shared" si="83"/>
        <v>0</v>
      </c>
    </row>
    <row r="763" spans="4:22" x14ac:dyDescent="0.25">
      <c r="D763" s="118">
        <f>+CUBICACION!D762</f>
        <v>0</v>
      </c>
      <c r="E763" s="118">
        <f>+CUBICACION!F762</f>
        <v>0</v>
      </c>
      <c r="F763" s="118">
        <f>+CUBICACION!E762</f>
        <v>0</v>
      </c>
      <c r="G763" s="118">
        <v>12</v>
      </c>
      <c r="H763" s="118">
        <v>2</v>
      </c>
      <c r="I763" s="820">
        <v>26385</v>
      </c>
      <c r="J763" s="118">
        <f>+CUBICACION!J762</f>
        <v>0</v>
      </c>
      <c r="K763" s="118">
        <v>3542</v>
      </c>
      <c r="L763" s="118">
        <f>+CUBICACION!L762</f>
        <v>0</v>
      </c>
      <c r="M763" s="64">
        <f>+CUBICACION!M762</f>
        <v>0</v>
      </c>
      <c r="N763" s="824" t="str">
        <f>+CUBICACION!N762</f>
        <v/>
      </c>
      <c r="O763" s="675">
        <f>+CUBICACION!O762</f>
        <v>0</v>
      </c>
      <c r="P763" s="15">
        <f>IF(O763="Fire Control",VLOOKUP(_xlfn.MINIFS('FIRE CONTROL'!$C$4:$C$37,'FIRE CONTROL'!$C$4:$C$37,"&gt;="&amp;M763),'FIRE CONTROL'!$C$4:$G$37,IF(L763="F-15",2,IF(L763="F-30",3,IF(L763="F-60",4,IF(L763="F-90",5,0)))),0),0)+IF(AND(O763="FIRE TEX 5062",OR(E763="IN",E763="C",E763="Z",E763="L"),J763=3),VLOOKUP(_xlfn.MINIFS('FIRE TEX 5062'!$B$4:$B$34,'FIRE TEX 5062'!$B$4:$B$34,"&gt;="&amp;M763),'FIRE TEX 5062'!$B$4:$F$34,IF(L763="F-15",2,IF(L763="F-30",3,IF(L763="F-60",4,IF(L763="F-90",5,0)))),0),0)+IF(AND(O763="FIRE TEX 5062",OR(E763="IN",E763="C",E763="Z",E763="L"),J763=4),VLOOKUP(_xlfn.MINIFS('FIRE TEX 5062'!$G$4:$G$34,'FIRE TEX 5062'!$G$4:$G$34,"&gt;="&amp;M763),'FIRE TEX 5062'!$G$4:$K$34,IF(L763="F-15",2,IF(L763="F-30",3,IF(L763="F-60",4,IF(L763="F-90",5,0)))),0),0)+IF(AND(O763="FIRE TEX 5062",E763="CJ",J763=3),VLOOKUP(_xlfn.MINIFS('FIRE TEX 5062'!$L$4:$L$34,'FIRE TEX 5062'!$L$4:$L$34,"&gt;="&amp;M763),'FIRE TEX 5062'!$L$4:$P$34,IF(L763="F-15",2,IF(L763="F-30",3,IF(L763="F-60",4,IF(L763="F-90",5,0)))),0),0)+IF(AND(O763="FIRE TEX 5062",E763="CJ",J763=4),VLOOKUP(_xlfn.MINIFS('FIRE TEX 5062'!$Q$3:$Q$34,'FIRE TEX 5062'!$Q$3:$Q$34,"&gt;="&amp;M763),'FIRE TEX 5062'!$Q$3:$U$34,IF(L763="F-15",2,IF(L763="F-30",3,IF(L763="F-60",4,IF(L763="F-90",5,0)))),0),0)+IF(AND(O763="FIRE TEX 5090",OR(E763="IN",E763="C",E763="Z",E763="L"),J763=3),VLOOKUP(_xlfn.MINIFS('FIRE TEX 5090'!$B$5:$B$43,'FIRE TEX 5090'!$B$5:$B$43,"&gt;="&amp;M763),'FIRE TEX 5090'!$B$5:$H$43,IF(L763="F-15",2,IF(L763="F-30",3,IF(L763="F-60",4,IF(L763="F-90",5,IF(L763="F-120",6,IF(L763="F-150",7,0)))))),0),0)+IF(AND(O763="FIRE TEX 5090",OR(E763="IN",E763="C",E763="Z",E763="L"),J763=4),VLOOKUP(_xlfn.MINIFS('FIRE TEX 5090'!$J$5:$J$43,'FIRE TEX 5090'!$J$5:$J$43,"&gt;="&amp;M763),'FIRE TEX 5090'!$J$5:$P$43,IF(L763="F-15",2,IF(L763="F-30",3,IF(L763="F-60",4,IF(L763="F-90",5,IF(L763="F-120",6,IF(L763="F-150",7,0)))))),0),0)+IF(AND(O763="FIRE TEX 5090",E763="CJ",J763=3),VLOOKUP(_xlfn.MINIFS('FIRE TEX 5090'!$R$5:$R$30,'FIRE TEX 5090'!$R$5:$R$30,"&gt;="&amp;M763),'FIRE TEX 5090'!$R$5:$W$30,IF(L763="F-15",2,IF(L763="F-30",3,IF(L763="F-60",4,IF(L763="F-90",5,IF(L763="F-120",6,IF(L763="F-150",7,0)))))),0),0)+IF(AND(O763="FIRE TEX 5090",E763="CJ",J763=4),VLOOKUP(_xlfn.MINIFS('FIRE TEX 5090'!$Y$5:$Y$39,'FIRE TEX 5090'!$Y$5:$Y$39,"&gt;="&amp;M763),'FIRE TEX 5090'!$Y$5:$AD$39,IF(L763="F-15",2,IF(L763="F-30",3,IF(L763="F-60",4,IF(L763="F-90",5,IF(L763="F-120",6,IF(L763="F-150",7,0)))))),0),0)+IF(AND(O763="FIRE TEX 5120",OR(E763="IN",E763="C",E763="Z",E763="L"),J763=3),VLOOKUP(_xlfn.MINIFS('FIRE TEX 5120'!$B$5:$B$40,'FIRE TEX 5120'!$B$5:$B$40,"&gt;="&amp;M763),'FIRE TEX 5120'!$B$5:$G$40,IF(L763="F-15",2,IF(L763="F-30",3,IF(L763="F-60",4,IF(L763="F-90",5,IF(L763="F-120",6,0))))),0),0)+IF(AND(O763="FIRE TEX 5120",OR(E763="IN",E763="C",E763="Z",E763="L"),J763=4),VLOOKUP(_xlfn.MINIFS('FIRE TEX 5120'!$H$4:$H$40,'FIRE TEX 5120'!$H$4:$H$40,"&gt;="&amp;M763),'FIRE TEX 5120'!$H$4:$M$40,IF(L763="F-15",2,IF(L763="F-30",3,IF(L763="F-60",4,IF(L763="F-90",5,IF(L763="F-120",6,0))))),0),0)+IF(AND(O763="FIRE TEX 5120",E763="CJ"),VLOOKUP(_xlfn.MINIFS('FIRE TEX 5120'!$O$5:$O$40,'FIRE TEX 5120'!$O$5:$O$40,"&gt;="&amp;M763),'FIRE TEX 5120'!$O$5:$T$40,IF(L763="F-15",2,IF(L763="F-30",3,IF(L763="F-60",4,IF(L763="F-90",5,IF(L763="F-120",6,0))))),0),0)</f>
        <v>0</v>
      </c>
      <c r="Q763" s="46">
        <f t="shared" si="79"/>
        <v>0</v>
      </c>
      <c r="R763" s="46">
        <f t="shared" si="80"/>
        <v>0</v>
      </c>
      <c r="S763" s="46" t="e">
        <f t="shared" si="81"/>
        <v>#VALUE!</v>
      </c>
      <c r="T763" s="677">
        <f t="shared" si="82"/>
        <v>0</v>
      </c>
      <c r="U763" s="80">
        <f>(IF(O763="Stofire",(S763*#REF!),0))+(IF(O763="Fire Control",(S763*$U$2),0))+(IF(O763="Fire Tex",(S763*$U$3),0))+(IF(O763="WB7",(S763*#REF!),0)+(IF(O763="FX 2003",(S763*$U$5),0)))</f>
        <v>0</v>
      </c>
      <c r="V763" s="651">
        <f t="shared" si="83"/>
        <v>0</v>
      </c>
    </row>
    <row r="764" spans="4:22" x14ac:dyDescent="0.25">
      <c r="D764" s="118">
        <f>+CUBICACION!D763</f>
        <v>0</v>
      </c>
      <c r="E764" s="118">
        <f>+CUBICACION!F763</f>
        <v>0</v>
      </c>
      <c r="F764" s="118">
        <f>+CUBICACION!E763</f>
        <v>0</v>
      </c>
      <c r="G764" s="118">
        <v>12</v>
      </c>
      <c r="H764" s="118">
        <v>2</v>
      </c>
      <c r="I764" s="820">
        <v>26385</v>
      </c>
      <c r="J764" s="118">
        <f>+CUBICACION!J763</f>
        <v>0</v>
      </c>
      <c r="K764" s="118">
        <v>3543</v>
      </c>
      <c r="L764" s="118">
        <f>+CUBICACION!L763</f>
        <v>0</v>
      </c>
      <c r="M764" s="64">
        <f>+CUBICACION!M763</f>
        <v>0</v>
      </c>
      <c r="N764" s="824" t="str">
        <f>+CUBICACION!N763</f>
        <v/>
      </c>
      <c r="O764" s="675">
        <f>+CUBICACION!O763</f>
        <v>0</v>
      </c>
      <c r="P764" s="15">
        <f>IF(O764="Fire Control",VLOOKUP(_xlfn.MINIFS('FIRE CONTROL'!$C$4:$C$37,'FIRE CONTROL'!$C$4:$C$37,"&gt;="&amp;M764),'FIRE CONTROL'!$C$4:$G$37,IF(L764="F-15",2,IF(L764="F-30",3,IF(L764="F-60",4,IF(L764="F-90",5,0)))),0),0)+IF(AND(O764="FIRE TEX 5062",OR(E764="IN",E764="C",E764="Z",E764="L"),J764=3),VLOOKUP(_xlfn.MINIFS('FIRE TEX 5062'!$B$4:$B$34,'FIRE TEX 5062'!$B$4:$B$34,"&gt;="&amp;M764),'FIRE TEX 5062'!$B$4:$F$34,IF(L764="F-15",2,IF(L764="F-30",3,IF(L764="F-60",4,IF(L764="F-90",5,0)))),0),0)+IF(AND(O764="FIRE TEX 5062",OR(E764="IN",E764="C",E764="Z",E764="L"),J764=4),VLOOKUP(_xlfn.MINIFS('FIRE TEX 5062'!$G$4:$G$34,'FIRE TEX 5062'!$G$4:$G$34,"&gt;="&amp;M764),'FIRE TEX 5062'!$G$4:$K$34,IF(L764="F-15",2,IF(L764="F-30",3,IF(L764="F-60",4,IF(L764="F-90",5,0)))),0),0)+IF(AND(O764="FIRE TEX 5062",E764="CJ",J764=3),VLOOKUP(_xlfn.MINIFS('FIRE TEX 5062'!$L$4:$L$34,'FIRE TEX 5062'!$L$4:$L$34,"&gt;="&amp;M764),'FIRE TEX 5062'!$L$4:$P$34,IF(L764="F-15",2,IF(L764="F-30",3,IF(L764="F-60",4,IF(L764="F-90",5,0)))),0),0)+IF(AND(O764="FIRE TEX 5062",E764="CJ",J764=4),VLOOKUP(_xlfn.MINIFS('FIRE TEX 5062'!$Q$3:$Q$34,'FIRE TEX 5062'!$Q$3:$Q$34,"&gt;="&amp;M764),'FIRE TEX 5062'!$Q$3:$U$34,IF(L764="F-15",2,IF(L764="F-30",3,IF(L764="F-60",4,IF(L764="F-90",5,0)))),0),0)+IF(AND(O764="FIRE TEX 5090",OR(E764="IN",E764="C",E764="Z",E764="L"),J764=3),VLOOKUP(_xlfn.MINIFS('FIRE TEX 5090'!$B$5:$B$43,'FIRE TEX 5090'!$B$5:$B$43,"&gt;="&amp;M764),'FIRE TEX 5090'!$B$5:$H$43,IF(L764="F-15",2,IF(L764="F-30",3,IF(L764="F-60",4,IF(L764="F-90",5,IF(L764="F-120",6,IF(L764="F-150",7,0)))))),0),0)+IF(AND(O764="FIRE TEX 5090",OR(E764="IN",E764="C",E764="Z",E764="L"),J764=4),VLOOKUP(_xlfn.MINIFS('FIRE TEX 5090'!$J$5:$J$43,'FIRE TEX 5090'!$J$5:$J$43,"&gt;="&amp;M764),'FIRE TEX 5090'!$J$5:$P$43,IF(L764="F-15",2,IF(L764="F-30",3,IF(L764="F-60",4,IF(L764="F-90",5,IF(L764="F-120",6,IF(L764="F-150",7,0)))))),0),0)+IF(AND(O764="FIRE TEX 5090",E764="CJ",J764=3),VLOOKUP(_xlfn.MINIFS('FIRE TEX 5090'!$R$5:$R$30,'FIRE TEX 5090'!$R$5:$R$30,"&gt;="&amp;M764),'FIRE TEX 5090'!$R$5:$W$30,IF(L764="F-15",2,IF(L764="F-30",3,IF(L764="F-60",4,IF(L764="F-90",5,IF(L764="F-120",6,IF(L764="F-150",7,0)))))),0),0)+IF(AND(O764="FIRE TEX 5090",E764="CJ",J764=4),VLOOKUP(_xlfn.MINIFS('FIRE TEX 5090'!$Y$5:$Y$39,'FIRE TEX 5090'!$Y$5:$Y$39,"&gt;="&amp;M764),'FIRE TEX 5090'!$Y$5:$AD$39,IF(L764="F-15",2,IF(L764="F-30",3,IF(L764="F-60",4,IF(L764="F-90",5,IF(L764="F-120",6,IF(L764="F-150",7,0)))))),0),0)+IF(AND(O764="FIRE TEX 5120",OR(E764="IN",E764="C",E764="Z",E764="L"),J764=3),VLOOKUP(_xlfn.MINIFS('FIRE TEX 5120'!$B$5:$B$40,'FIRE TEX 5120'!$B$5:$B$40,"&gt;="&amp;M764),'FIRE TEX 5120'!$B$5:$G$40,IF(L764="F-15",2,IF(L764="F-30",3,IF(L764="F-60",4,IF(L764="F-90",5,IF(L764="F-120",6,0))))),0),0)+IF(AND(O764="FIRE TEX 5120",OR(E764="IN",E764="C",E764="Z",E764="L"),J764=4),VLOOKUP(_xlfn.MINIFS('FIRE TEX 5120'!$H$4:$H$40,'FIRE TEX 5120'!$H$4:$H$40,"&gt;="&amp;M764),'FIRE TEX 5120'!$H$4:$M$40,IF(L764="F-15",2,IF(L764="F-30",3,IF(L764="F-60",4,IF(L764="F-90",5,IF(L764="F-120",6,0))))),0),0)+IF(AND(O764="FIRE TEX 5120",E764="CJ"),VLOOKUP(_xlfn.MINIFS('FIRE TEX 5120'!$O$5:$O$40,'FIRE TEX 5120'!$O$5:$O$40,"&gt;="&amp;M764),'FIRE TEX 5120'!$O$5:$T$40,IF(L764="F-15",2,IF(L764="F-30",3,IF(L764="F-60",4,IF(L764="F-90",5,IF(L764="F-120",6,0))))),0),0)</f>
        <v>0</v>
      </c>
      <c r="Q764" s="46">
        <f t="shared" si="79"/>
        <v>0</v>
      </c>
      <c r="R764" s="46">
        <f t="shared" si="80"/>
        <v>0</v>
      </c>
      <c r="S764" s="46" t="e">
        <f t="shared" si="81"/>
        <v>#VALUE!</v>
      </c>
      <c r="T764" s="677">
        <f t="shared" si="82"/>
        <v>0</v>
      </c>
      <c r="U764" s="80">
        <f>(IF(O764="Stofire",(S764*#REF!),0))+(IF(O764="Fire Control",(S764*$U$2),0))+(IF(O764="Fire Tex",(S764*$U$3),0))+(IF(O764="WB7",(S764*#REF!),0)+(IF(O764="FX 2003",(S764*$U$5),0)))</f>
        <v>0</v>
      </c>
      <c r="V764" s="651">
        <f t="shared" si="83"/>
        <v>0</v>
      </c>
    </row>
    <row r="765" spans="4:22" x14ac:dyDescent="0.25">
      <c r="D765" s="118">
        <f>+CUBICACION!D764</f>
        <v>0</v>
      </c>
      <c r="E765" s="118">
        <f>+CUBICACION!F764</f>
        <v>0</v>
      </c>
      <c r="F765" s="118">
        <f>+CUBICACION!E764</f>
        <v>0</v>
      </c>
      <c r="G765" s="118">
        <v>12</v>
      </c>
      <c r="H765" s="118">
        <v>2</v>
      </c>
      <c r="I765" s="820">
        <v>26385</v>
      </c>
      <c r="J765" s="118">
        <f>+CUBICACION!J764</f>
        <v>0</v>
      </c>
      <c r="K765" s="118">
        <v>3544</v>
      </c>
      <c r="L765" s="118">
        <f>+CUBICACION!L764</f>
        <v>0</v>
      </c>
      <c r="M765" s="64">
        <f>+CUBICACION!M764</f>
        <v>0</v>
      </c>
      <c r="N765" s="824" t="str">
        <f>+CUBICACION!N764</f>
        <v/>
      </c>
      <c r="O765" s="675">
        <f>+CUBICACION!O764</f>
        <v>0</v>
      </c>
      <c r="P765" s="15">
        <f>IF(O765="Fire Control",VLOOKUP(_xlfn.MINIFS('FIRE CONTROL'!$C$4:$C$37,'FIRE CONTROL'!$C$4:$C$37,"&gt;="&amp;M765),'FIRE CONTROL'!$C$4:$G$37,IF(L765="F-15",2,IF(L765="F-30",3,IF(L765="F-60",4,IF(L765="F-90",5,0)))),0),0)+IF(AND(O765="FIRE TEX 5062",OR(E765="IN",E765="C",E765="Z",E765="L"),J765=3),VLOOKUP(_xlfn.MINIFS('FIRE TEX 5062'!$B$4:$B$34,'FIRE TEX 5062'!$B$4:$B$34,"&gt;="&amp;M765),'FIRE TEX 5062'!$B$4:$F$34,IF(L765="F-15",2,IF(L765="F-30",3,IF(L765="F-60",4,IF(L765="F-90",5,0)))),0),0)+IF(AND(O765="FIRE TEX 5062",OR(E765="IN",E765="C",E765="Z",E765="L"),J765=4),VLOOKUP(_xlfn.MINIFS('FIRE TEX 5062'!$G$4:$G$34,'FIRE TEX 5062'!$G$4:$G$34,"&gt;="&amp;M765),'FIRE TEX 5062'!$G$4:$K$34,IF(L765="F-15",2,IF(L765="F-30",3,IF(L765="F-60",4,IF(L765="F-90",5,0)))),0),0)+IF(AND(O765="FIRE TEX 5062",E765="CJ",J765=3),VLOOKUP(_xlfn.MINIFS('FIRE TEX 5062'!$L$4:$L$34,'FIRE TEX 5062'!$L$4:$L$34,"&gt;="&amp;M765),'FIRE TEX 5062'!$L$4:$P$34,IF(L765="F-15",2,IF(L765="F-30",3,IF(L765="F-60",4,IF(L765="F-90",5,0)))),0),0)+IF(AND(O765="FIRE TEX 5062",E765="CJ",J765=4),VLOOKUP(_xlfn.MINIFS('FIRE TEX 5062'!$Q$3:$Q$34,'FIRE TEX 5062'!$Q$3:$Q$34,"&gt;="&amp;M765),'FIRE TEX 5062'!$Q$3:$U$34,IF(L765="F-15",2,IF(L765="F-30",3,IF(L765="F-60",4,IF(L765="F-90",5,0)))),0),0)+IF(AND(O765="FIRE TEX 5090",OR(E765="IN",E765="C",E765="Z",E765="L"),J765=3),VLOOKUP(_xlfn.MINIFS('FIRE TEX 5090'!$B$5:$B$43,'FIRE TEX 5090'!$B$5:$B$43,"&gt;="&amp;M765),'FIRE TEX 5090'!$B$5:$H$43,IF(L765="F-15",2,IF(L765="F-30",3,IF(L765="F-60",4,IF(L765="F-90",5,IF(L765="F-120",6,IF(L765="F-150",7,0)))))),0),0)+IF(AND(O765="FIRE TEX 5090",OR(E765="IN",E765="C",E765="Z",E765="L"),J765=4),VLOOKUP(_xlfn.MINIFS('FIRE TEX 5090'!$J$5:$J$43,'FIRE TEX 5090'!$J$5:$J$43,"&gt;="&amp;M765),'FIRE TEX 5090'!$J$5:$P$43,IF(L765="F-15",2,IF(L765="F-30",3,IF(L765="F-60",4,IF(L765="F-90",5,IF(L765="F-120",6,IF(L765="F-150",7,0)))))),0),0)+IF(AND(O765="FIRE TEX 5090",E765="CJ",J765=3),VLOOKUP(_xlfn.MINIFS('FIRE TEX 5090'!$R$5:$R$30,'FIRE TEX 5090'!$R$5:$R$30,"&gt;="&amp;M765),'FIRE TEX 5090'!$R$5:$W$30,IF(L765="F-15",2,IF(L765="F-30",3,IF(L765="F-60",4,IF(L765="F-90",5,IF(L765="F-120",6,IF(L765="F-150",7,0)))))),0),0)+IF(AND(O765="FIRE TEX 5090",E765="CJ",J765=4),VLOOKUP(_xlfn.MINIFS('FIRE TEX 5090'!$Y$5:$Y$39,'FIRE TEX 5090'!$Y$5:$Y$39,"&gt;="&amp;M765),'FIRE TEX 5090'!$Y$5:$AD$39,IF(L765="F-15",2,IF(L765="F-30",3,IF(L765="F-60",4,IF(L765="F-90",5,IF(L765="F-120",6,IF(L765="F-150",7,0)))))),0),0)+IF(AND(O765="FIRE TEX 5120",OR(E765="IN",E765="C",E765="Z",E765="L"),J765=3),VLOOKUP(_xlfn.MINIFS('FIRE TEX 5120'!$B$5:$B$40,'FIRE TEX 5120'!$B$5:$B$40,"&gt;="&amp;M765),'FIRE TEX 5120'!$B$5:$G$40,IF(L765="F-15",2,IF(L765="F-30",3,IF(L765="F-60",4,IF(L765="F-90",5,IF(L765="F-120",6,0))))),0),0)+IF(AND(O765="FIRE TEX 5120",OR(E765="IN",E765="C",E765="Z",E765="L"),J765=4),VLOOKUP(_xlfn.MINIFS('FIRE TEX 5120'!$H$4:$H$40,'FIRE TEX 5120'!$H$4:$H$40,"&gt;="&amp;M765),'FIRE TEX 5120'!$H$4:$M$40,IF(L765="F-15",2,IF(L765="F-30",3,IF(L765="F-60",4,IF(L765="F-90",5,IF(L765="F-120",6,0))))),0),0)+IF(AND(O765="FIRE TEX 5120",E765="CJ"),VLOOKUP(_xlfn.MINIFS('FIRE TEX 5120'!$O$5:$O$40,'FIRE TEX 5120'!$O$5:$O$40,"&gt;="&amp;M765),'FIRE TEX 5120'!$O$5:$T$40,IF(L765="F-15",2,IF(L765="F-30",3,IF(L765="F-60",4,IF(L765="F-90",5,IF(L765="F-120",6,0))))),0),0)</f>
        <v>0</v>
      </c>
      <c r="Q765" s="46">
        <f t="shared" si="79"/>
        <v>0</v>
      </c>
      <c r="R765" s="46">
        <f t="shared" si="80"/>
        <v>0</v>
      </c>
      <c r="S765" s="46" t="e">
        <f t="shared" si="81"/>
        <v>#VALUE!</v>
      </c>
      <c r="T765" s="677">
        <f t="shared" si="82"/>
        <v>0</v>
      </c>
      <c r="U765" s="80">
        <f>(IF(O765="Stofire",(S765*#REF!),0))+(IF(O765="Fire Control",(S765*$U$2),0))+(IF(O765="Fire Tex",(S765*$U$3),0))+(IF(O765="WB7",(S765*#REF!),0)+(IF(O765="FX 2003",(S765*$U$5),0)))</f>
        <v>0</v>
      </c>
      <c r="V765" s="651">
        <f t="shared" si="83"/>
        <v>0</v>
      </c>
    </row>
    <row r="766" spans="4:22" x14ac:dyDescent="0.25">
      <c r="D766" s="118">
        <f>+CUBICACION!D765</f>
        <v>0</v>
      </c>
      <c r="E766" s="118">
        <f>+CUBICACION!F765</f>
        <v>0</v>
      </c>
      <c r="F766" s="118">
        <f>+CUBICACION!E765</f>
        <v>0</v>
      </c>
      <c r="G766" s="118">
        <v>12</v>
      </c>
      <c r="H766" s="118">
        <v>2</v>
      </c>
      <c r="I766" s="820">
        <v>26385</v>
      </c>
      <c r="J766" s="118">
        <f>+CUBICACION!J765</f>
        <v>0</v>
      </c>
      <c r="K766" s="118">
        <v>3545</v>
      </c>
      <c r="L766" s="118">
        <f>+CUBICACION!L765</f>
        <v>0</v>
      </c>
      <c r="M766" s="64">
        <f>+CUBICACION!M765</f>
        <v>0</v>
      </c>
      <c r="N766" s="824" t="str">
        <f>+CUBICACION!N765</f>
        <v/>
      </c>
      <c r="O766" s="675">
        <f>+CUBICACION!O765</f>
        <v>0</v>
      </c>
      <c r="P766" s="15">
        <f>IF(O766="Fire Control",VLOOKUP(_xlfn.MINIFS('FIRE CONTROL'!$C$4:$C$37,'FIRE CONTROL'!$C$4:$C$37,"&gt;="&amp;M766),'FIRE CONTROL'!$C$4:$G$37,IF(L766="F-15",2,IF(L766="F-30",3,IF(L766="F-60",4,IF(L766="F-90",5,0)))),0),0)+IF(AND(O766="FIRE TEX 5062",OR(E766="IN",E766="C",E766="Z",E766="L"),J766=3),VLOOKUP(_xlfn.MINIFS('FIRE TEX 5062'!$B$4:$B$34,'FIRE TEX 5062'!$B$4:$B$34,"&gt;="&amp;M766),'FIRE TEX 5062'!$B$4:$F$34,IF(L766="F-15",2,IF(L766="F-30",3,IF(L766="F-60",4,IF(L766="F-90",5,0)))),0),0)+IF(AND(O766="FIRE TEX 5062",OR(E766="IN",E766="C",E766="Z",E766="L"),J766=4),VLOOKUP(_xlfn.MINIFS('FIRE TEX 5062'!$G$4:$G$34,'FIRE TEX 5062'!$G$4:$G$34,"&gt;="&amp;M766),'FIRE TEX 5062'!$G$4:$K$34,IF(L766="F-15",2,IF(L766="F-30",3,IF(L766="F-60",4,IF(L766="F-90",5,0)))),0),0)+IF(AND(O766="FIRE TEX 5062",E766="CJ",J766=3),VLOOKUP(_xlfn.MINIFS('FIRE TEX 5062'!$L$4:$L$34,'FIRE TEX 5062'!$L$4:$L$34,"&gt;="&amp;M766),'FIRE TEX 5062'!$L$4:$P$34,IF(L766="F-15",2,IF(L766="F-30",3,IF(L766="F-60",4,IF(L766="F-90",5,0)))),0),0)+IF(AND(O766="FIRE TEX 5062",E766="CJ",J766=4),VLOOKUP(_xlfn.MINIFS('FIRE TEX 5062'!$Q$3:$Q$34,'FIRE TEX 5062'!$Q$3:$Q$34,"&gt;="&amp;M766),'FIRE TEX 5062'!$Q$3:$U$34,IF(L766="F-15",2,IF(L766="F-30",3,IF(L766="F-60",4,IF(L766="F-90",5,0)))),0),0)+IF(AND(O766="FIRE TEX 5090",OR(E766="IN",E766="C",E766="Z",E766="L"),J766=3),VLOOKUP(_xlfn.MINIFS('FIRE TEX 5090'!$B$5:$B$43,'FIRE TEX 5090'!$B$5:$B$43,"&gt;="&amp;M766),'FIRE TEX 5090'!$B$5:$H$43,IF(L766="F-15",2,IF(L766="F-30",3,IF(L766="F-60",4,IF(L766="F-90",5,IF(L766="F-120",6,IF(L766="F-150",7,0)))))),0),0)+IF(AND(O766="FIRE TEX 5090",OR(E766="IN",E766="C",E766="Z",E766="L"),J766=4),VLOOKUP(_xlfn.MINIFS('FIRE TEX 5090'!$J$5:$J$43,'FIRE TEX 5090'!$J$5:$J$43,"&gt;="&amp;M766),'FIRE TEX 5090'!$J$5:$P$43,IF(L766="F-15",2,IF(L766="F-30",3,IF(L766="F-60",4,IF(L766="F-90",5,IF(L766="F-120",6,IF(L766="F-150",7,0)))))),0),0)+IF(AND(O766="FIRE TEX 5090",E766="CJ",J766=3),VLOOKUP(_xlfn.MINIFS('FIRE TEX 5090'!$R$5:$R$30,'FIRE TEX 5090'!$R$5:$R$30,"&gt;="&amp;M766),'FIRE TEX 5090'!$R$5:$W$30,IF(L766="F-15",2,IF(L766="F-30",3,IF(L766="F-60",4,IF(L766="F-90",5,IF(L766="F-120",6,IF(L766="F-150",7,0)))))),0),0)+IF(AND(O766="FIRE TEX 5090",E766="CJ",J766=4),VLOOKUP(_xlfn.MINIFS('FIRE TEX 5090'!$Y$5:$Y$39,'FIRE TEX 5090'!$Y$5:$Y$39,"&gt;="&amp;M766),'FIRE TEX 5090'!$Y$5:$AD$39,IF(L766="F-15",2,IF(L766="F-30",3,IF(L766="F-60",4,IF(L766="F-90",5,IF(L766="F-120",6,IF(L766="F-150",7,0)))))),0),0)+IF(AND(O766="FIRE TEX 5120",OR(E766="IN",E766="C",E766="Z",E766="L"),J766=3),VLOOKUP(_xlfn.MINIFS('FIRE TEX 5120'!$B$5:$B$40,'FIRE TEX 5120'!$B$5:$B$40,"&gt;="&amp;M766),'FIRE TEX 5120'!$B$5:$G$40,IF(L766="F-15",2,IF(L766="F-30",3,IF(L766="F-60",4,IF(L766="F-90",5,IF(L766="F-120",6,0))))),0),0)+IF(AND(O766="FIRE TEX 5120",OR(E766="IN",E766="C",E766="Z",E766="L"),J766=4),VLOOKUP(_xlfn.MINIFS('FIRE TEX 5120'!$H$4:$H$40,'FIRE TEX 5120'!$H$4:$H$40,"&gt;="&amp;M766),'FIRE TEX 5120'!$H$4:$M$40,IF(L766="F-15",2,IF(L766="F-30",3,IF(L766="F-60",4,IF(L766="F-90",5,IF(L766="F-120",6,0))))),0),0)+IF(AND(O766="FIRE TEX 5120",E766="CJ"),VLOOKUP(_xlfn.MINIFS('FIRE TEX 5120'!$O$5:$O$40,'FIRE TEX 5120'!$O$5:$O$40,"&gt;="&amp;M766),'FIRE TEX 5120'!$O$5:$T$40,IF(L766="F-15",2,IF(L766="F-30",3,IF(L766="F-60",4,IF(L766="F-90",5,IF(L766="F-120",6,0))))),0),0)</f>
        <v>0</v>
      </c>
      <c r="Q766" s="46">
        <f t="shared" si="79"/>
        <v>0</v>
      </c>
      <c r="R766" s="46">
        <f t="shared" si="80"/>
        <v>0</v>
      </c>
      <c r="S766" s="46" t="e">
        <f t="shared" si="81"/>
        <v>#VALUE!</v>
      </c>
      <c r="T766" s="677">
        <f t="shared" si="82"/>
        <v>0</v>
      </c>
      <c r="U766" s="80">
        <f>(IF(O766="Stofire",(S766*#REF!),0))+(IF(O766="Fire Control",(S766*$U$2),0))+(IF(O766="Fire Tex",(S766*$U$3),0))+(IF(O766="WB7",(S766*#REF!),0)+(IF(O766="FX 2003",(S766*$U$5),0)))</f>
        <v>0</v>
      </c>
      <c r="V766" s="651">
        <f t="shared" si="83"/>
        <v>0</v>
      </c>
    </row>
    <row r="767" spans="4:22" x14ac:dyDescent="0.25">
      <c r="D767" s="118">
        <f>+CUBICACION!D766</f>
        <v>0</v>
      </c>
      <c r="E767" s="118">
        <f>+CUBICACION!F766</f>
        <v>0</v>
      </c>
      <c r="F767" s="118">
        <f>+CUBICACION!E766</f>
        <v>0</v>
      </c>
      <c r="G767" s="118">
        <v>12</v>
      </c>
      <c r="H767" s="118">
        <v>2</v>
      </c>
      <c r="I767" s="820">
        <v>26385</v>
      </c>
      <c r="J767" s="118">
        <f>+CUBICACION!J766</f>
        <v>0</v>
      </c>
      <c r="K767" s="118">
        <v>3546</v>
      </c>
      <c r="L767" s="118">
        <f>+CUBICACION!L766</f>
        <v>0</v>
      </c>
      <c r="M767" s="64">
        <f>+CUBICACION!M766</f>
        <v>0</v>
      </c>
      <c r="N767" s="824" t="str">
        <f>+CUBICACION!N766</f>
        <v/>
      </c>
      <c r="O767" s="675">
        <f>+CUBICACION!O766</f>
        <v>0</v>
      </c>
      <c r="P767" s="15">
        <f>IF(O767="Fire Control",VLOOKUP(_xlfn.MINIFS('FIRE CONTROL'!$C$4:$C$37,'FIRE CONTROL'!$C$4:$C$37,"&gt;="&amp;M767),'FIRE CONTROL'!$C$4:$G$37,IF(L767="F-15",2,IF(L767="F-30",3,IF(L767="F-60",4,IF(L767="F-90",5,0)))),0),0)+IF(AND(O767="FIRE TEX 5062",OR(E767="IN",E767="C",E767="Z",E767="L"),J767=3),VLOOKUP(_xlfn.MINIFS('FIRE TEX 5062'!$B$4:$B$34,'FIRE TEX 5062'!$B$4:$B$34,"&gt;="&amp;M767),'FIRE TEX 5062'!$B$4:$F$34,IF(L767="F-15",2,IF(L767="F-30",3,IF(L767="F-60",4,IF(L767="F-90",5,0)))),0),0)+IF(AND(O767="FIRE TEX 5062",OR(E767="IN",E767="C",E767="Z",E767="L"),J767=4),VLOOKUP(_xlfn.MINIFS('FIRE TEX 5062'!$G$4:$G$34,'FIRE TEX 5062'!$G$4:$G$34,"&gt;="&amp;M767),'FIRE TEX 5062'!$G$4:$K$34,IF(L767="F-15",2,IF(L767="F-30",3,IF(L767="F-60",4,IF(L767="F-90",5,0)))),0),0)+IF(AND(O767="FIRE TEX 5062",E767="CJ",J767=3),VLOOKUP(_xlfn.MINIFS('FIRE TEX 5062'!$L$4:$L$34,'FIRE TEX 5062'!$L$4:$L$34,"&gt;="&amp;M767),'FIRE TEX 5062'!$L$4:$P$34,IF(L767="F-15",2,IF(L767="F-30",3,IF(L767="F-60",4,IF(L767="F-90",5,0)))),0),0)+IF(AND(O767="FIRE TEX 5062",E767="CJ",J767=4),VLOOKUP(_xlfn.MINIFS('FIRE TEX 5062'!$Q$3:$Q$34,'FIRE TEX 5062'!$Q$3:$Q$34,"&gt;="&amp;M767),'FIRE TEX 5062'!$Q$3:$U$34,IF(L767="F-15",2,IF(L767="F-30",3,IF(L767="F-60",4,IF(L767="F-90",5,0)))),0),0)+IF(AND(O767="FIRE TEX 5090",OR(E767="IN",E767="C",E767="Z",E767="L"),J767=3),VLOOKUP(_xlfn.MINIFS('FIRE TEX 5090'!$B$5:$B$43,'FIRE TEX 5090'!$B$5:$B$43,"&gt;="&amp;M767),'FIRE TEX 5090'!$B$5:$H$43,IF(L767="F-15",2,IF(L767="F-30",3,IF(L767="F-60",4,IF(L767="F-90",5,IF(L767="F-120",6,IF(L767="F-150",7,0)))))),0),0)+IF(AND(O767="FIRE TEX 5090",OR(E767="IN",E767="C",E767="Z",E767="L"),J767=4),VLOOKUP(_xlfn.MINIFS('FIRE TEX 5090'!$J$5:$J$43,'FIRE TEX 5090'!$J$5:$J$43,"&gt;="&amp;M767),'FIRE TEX 5090'!$J$5:$P$43,IF(L767="F-15",2,IF(L767="F-30",3,IF(L767="F-60",4,IF(L767="F-90",5,IF(L767="F-120",6,IF(L767="F-150",7,0)))))),0),0)+IF(AND(O767="FIRE TEX 5090",E767="CJ",J767=3),VLOOKUP(_xlfn.MINIFS('FIRE TEX 5090'!$R$5:$R$30,'FIRE TEX 5090'!$R$5:$R$30,"&gt;="&amp;M767),'FIRE TEX 5090'!$R$5:$W$30,IF(L767="F-15",2,IF(L767="F-30",3,IF(L767="F-60",4,IF(L767="F-90",5,IF(L767="F-120",6,IF(L767="F-150",7,0)))))),0),0)+IF(AND(O767="FIRE TEX 5090",E767="CJ",J767=4),VLOOKUP(_xlfn.MINIFS('FIRE TEX 5090'!$Y$5:$Y$39,'FIRE TEX 5090'!$Y$5:$Y$39,"&gt;="&amp;M767),'FIRE TEX 5090'!$Y$5:$AD$39,IF(L767="F-15",2,IF(L767="F-30",3,IF(L767="F-60",4,IF(L767="F-90",5,IF(L767="F-120",6,IF(L767="F-150",7,0)))))),0),0)+IF(AND(O767="FIRE TEX 5120",OR(E767="IN",E767="C",E767="Z",E767="L"),J767=3),VLOOKUP(_xlfn.MINIFS('FIRE TEX 5120'!$B$5:$B$40,'FIRE TEX 5120'!$B$5:$B$40,"&gt;="&amp;M767),'FIRE TEX 5120'!$B$5:$G$40,IF(L767="F-15",2,IF(L767="F-30",3,IF(L767="F-60",4,IF(L767="F-90",5,IF(L767="F-120",6,0))))),0),0)+IF(AND(O767="FIRE TEX 5120",OR(E767="IN",E767="C",E767="Z",E767="L"),J767=4),VLOOKUP(_xlfn.MINIFS('FIRE TEX 5120'!$H$4:$H$40,'FIRE TEX 5120'!$H$4:$H$40,"&gt;="&amp;M767),'FIRE TEX 5120'!$H$4:$M$40,IF(L767="F-15",2,IF(L767="F-30",3,IF(L767="F-60",4,IF(L767="F-90",5,IF(L767="F-120",6,0))))),0),0)+IF(AND(O767="FIRE TEX 5120",E767="CJ"),VLOOKUP(_xlfn.MINIFS('FIRE TEX 5120'!$O$5:$O$40,'FIRE TEX 5120'!$O$5:$O$40,"&gt;="&amp;M767),'FIRE TEX 5120'!$O$5:$T$40,IF(L767="F-15",2,IF(L767="F-30",3,IF(L767="F-60",4,IF(L767="F-90",5,IF(L767="F-120",6,0))))),0),0)</f>
        <v>0</v>
      </c>
      <c r="Q767" s="46">
        <f t="shared" si="79"/>
        <v>0</v>
      </c>
      <c r="R767" s="46">
        <f t="shared" si="80"/>
        <v>0</v>
      </c>
      <c r="S767" s="46" t="e">
        <f t="shared" si="81"/>
        <v>#VALUE!</v>
      </c>
      <c r="T767" s="677">
        <f t="shared" si="82"/>
        <v>0</v>
      </c>
      <c r="U767" s="80">
        <f>(IF(O767="Stofire",(S767*#REF!),0))+(IF(O767="Fire Control",(S767*$U$2),0))+(IF(O767="Fire Tex",(S767*$U$3),0))+(IF(O767="WB7",(S767*#REF!),0)+(IF(O767="FX 2003",(S767*$U$5),0)))</f>
        <v>0</v>
      </c>
      <c r="V767" s="651">
        <f t="shared" si="83"/>
        <v>0</v>
      </c>
    </row>
    <row r="768" spans="4:22" x14ac:dyDescent="0.25">
      <c r="D768" s="118">
        <f>+CUBICACION!D767</f>
        <v>0</v>
      </c>
      <c r="E768" s="118">
        <f>+CUBICACION!F767</f>
        <v>0</v>
      </c>
      <c r="F768" s="118">
        <f>+CUBICACION!E767</f>
        <v>0</v>
      </c>
      <c r="G768" s="118">
        <v>12</v>
      </c>
      <c r="H768" s="118">
        <v>2</v>
      </c>
      <c r="I768" s="820">
        <v>26385</v>
      </c>
      <c r="J768" s="118">
        <f>+CUBICACION!J767</f>
        <v>0</v>
      </c>
      <c r="K768" s="118">
        <v>3547</v>
      </c>
      <c r="L768" s="118">
        <f>+CUBICACION!L767</f>
        <v>0</v>
      </c>
      <c r="M768" s="64">
        <f>+CUBICACION!M767</f>
        <v>0</v>
      </c>
      <c r="N768" s="824" t="str">
        <f>+CUBICACION!N767</f>
        <v/>
      </c>
      <c r="O768" s="675">
        <f>+CUBICACION!O767</f>
        <v>0</v>
      </c>
      <c r="P768" s="15">
        <f>IF(O768="Fire Control",VLOOKUP(_xlfn.MINIFS('FIRE CONTROL'!$C$4:$C$37,'FIRE CONTROL'!$C$4:$C$37,"&gt;="&amp;M768),'FIRE CONTROL'!$C$4:$G$37,IF(L768="F-15",2,IF(L768="F-30",3,IF(L768="F-60",4,IF(L768="F-90",5,0)))),0),0)+IF(AND(O768="FIRE TEX 5062",OR(E768="IN",E768="C",E768="Z",E768="L"),J768=3),VLOOKUP(_xlfn.MINIFS('FIRE TEX 5062'!$B$4:$B$34,'FIRE TEX 5062'!$B$4:$B$34,"&gt;="&amp;M768),'FIRE TEX 5062'!$B$4:$F$34,IF(L768="F-15",2,IF(L768="F-30",3,IF(L768="F-60",4,IF(L768="F-90",5,0)))),0),0)+IF(AND(O768="FIRE TEX 5062",OR(E768="IN",E768="C",E768="Z",E768="L"),J768=4),VLOOKUP(_xlfn.MINIFS('FIRE TEX 5062'!$G$4:$G$34,'FIRE TEX 5062'!$G$4:$G$34,"&gt;="&amp;M768),'FIRE TEX 5062'!$G$4:$K$34,IF(L768="F-15",2,IF(L768="F-30",3,IF(L768="F-60",4,IF(L768="F-90",5,0)))),0),0)+IF(AND(O768="FIRE TEX 5062",E768="CJ",J768=3),VLOOKUP(_xlfn.MINIFS('FIRE TEX 5062'!$L$4:$L$34,'FIRE TEX 5062'!$L$4:$L$34,"&gt;="&amp;M768),'FIRE TEX 5062'!$L$4:$P$34,IF(L768="F-15",2,IF(L768="F-30",3,IF(L768="F-60",4,IF(L768="F-90",5,0)))),0),0)+IF(AND(O768="FIRE TEX 5062",E768="CJ",J768=4),VLOOKUP(_xlfn.MINIFS('FIRE TEX 5062'!$Q$3:$Q$34,'FIRE TEX 5062'!$Q$3:$Q$34,"&gt;="&amp;M768),'FIRE TEX 5062'!$Q$3:$U$34,IF(L768="F-15",2,IF(L768="F-30",3,IF(L768="F-60",4,IF(L768="F-90",5,0)))),0),0)+IF(AND(O768="FIRE TEX 5090",OR(E768="IN",E768="C",E768="Z",E768="L"),J768=3),VLOOKUP(_xlfn.MINIFS('FIRE TEX 5090'!$B$5:$B$43,'FIRE TEX 5090'!$B$5:$B$43,"&gt;="&amp;M768),'FIRE TEX 5090'!$B$5:$H$43,IF(L768="F-15",2,IF(L768="F-30",3,IF(L768="F-60",4,IF(L768="F-90",5,IF(L768="F-120",6,IF(L768="F-150",7,0)))))),0),0)+IF(AND(O768="FIRE TEX 5090",OR(E768="IN",E768="C",E768="Z",E768="L"),J768=4),VLOOKUP(_xlfn.MINIFS('FIRE TEX 5090'!$J$5:$J$43,'FIRE TEX 5090'!$J$5:$J$43,"&gt;="&amp;M768),'FIRE TEX 5090'!$J$5:$P$43,IF(L768="F-15",2,IF(L768="F-30",3,IF(L768="F-60",4,IF(L768="F-90",5,IF(L768="F-120",6,IF(L768="F-150",7,0)))))),0),0)+IF(AND(O768="FIRE TEX 5090",E768="CJ",J768=3),VLOOKUP(_xlfn.MINIFS('FIRE TEX 5090'!$R$5:$R$30,'FIRE TEX 5090'!$R$5:$R$30,"&gt;="&amp;M768),'FIRE TEX 5090'!$R$5:$W$30,IF(L768="F-15",2,IF(L768="F-30",3,IF(L768="F-60",4,IF(L768="F-90",5,IF(L768="F-120",6,IF(L768="F-150",7,0)))))),0),0)+IF(AND(O768="FIRE TEX 5090",E768="CJ",J768=4),VLOOKUP(_xlfn.MINIFS('FIRE TEX 5090'!$Y$5:$Y$39,'FIRE TEX 5090'!$Y$5:$Y$39,"&gt;="&amp;M768),'FIRE TEX 5090'!$Y$5:$AD$39,IF(L768="F-15",2,IF(L768="F-30",3,IF(L768="F-60",4,IF(L768="F-90",5,IF(L768="F-120",6,IF(L768="F-150",7,0)))))),0),0)+IF(AND(O768="FIRE TEX 5120",OR(E768="IN",E768="C",E768="Z",E768="L"),J768=3),VLOOKUP(_xlfn.MINIFS('FIRE TEX 5120'!$B$5:$B$40,'FIRE TEX 5120'!$B$5:$B$40,"&gt;="&amp;M768),'FIRE TEX 5120'!$B$5:$G$40,IF(L768="F-15",2,IF(L768="F-30",3,IF(L768="F-60",4,IF(L768="F-90",5,IF(L768="F-120",6,0))))),0),0)+IF(AND(O768="FIRE TEX 5120",OR(E768="IN",E768="C",E768="Z",E768="L"),J768=4),VLOOKUP(_xlfn.MINIFS('FIRE TEX 5120'!$H$4:$H$40,'FIRE TEX 5120'!$H$4:$H$40,"&gt;="&amp;M768),'FIRE TEX 5120'!$H$4:$M$40,IF(L768="F-15",2,IF(L768="F-30",3,IF(L768="F-60",4,IF(L768="F-90",5,IF(L768="F-120",6,0))))),0),0)+IF(AND(O768="FIRE TEX 5120",E768="CJ"),VLOOKUP(_xlfn.MINIFS('FIRE TEX 5120'!$O$5:$O$40,'FIRE TEX 5120'!$O$5:$O$40,"&gt;="&amp;M768),'FIRE TEX 5120'!$O$5:$T$40,IF(L768="F-15",2,IF(L768="F-30",3,IF(L768="F-60",4,IF(L768="F-90",5,IF(L768="F-120",6,0))))),0),0)</f>
        <v>0</v>
      </c>
      <c r="Q768" s="46">
        <f t="shared" si="79"/>
        <v>0</v>
      </c>
      <c r="R768" s="46">
        <f t="shared" si="80"/>
        <v>0</v>
      </c>
      <c r="S768" s="46" t="e">
        <f t="shared" si="81"/>
        <v>#VALUE!</v>
      </c>
      <c r="T768" s="677">
        <f t="shared" si="82"/>
        <v>0</v>
      </c>
      <c r="U768" s="80">
        <f>(IF(O768="Stofire",(S768*#REF!),0))+(IF(O768="Fire Control",(S768*$U$2),0))+(IF(O768="Fire Tex",(S768*$U$3),0))+(IF(O768="WB7",(S768*#REF!),0)+(IF(O768="FX 2003",(S768*$U$5),0)))</f>
        <v>0</v>
      </c>
      <c r="V768" s="651">
        <f t="shared" si="83"/>
        <v>0</v>
      </c>
    </row>
    <row r="769" spans="4:22" x14ac:dyDescent="0.25">
      <c r="D769" s="118">
        <f>+CUBICACION!D768</f>
        <v>0</v>
      </c>
      <c r="E769" s="118">
        <f>+CUBICACION!F768</f>
        <v>0</v>
      </c>
      <c r="F769" s="118">
        <f>+CUBICACION!E768</f>
        <v>0</v>
      </c>
      <c r="G769" s="118">
        <v>12</v>
      </c>
      <c r="H769" s="118">
        <v>2</v>
      </c>
      <c r="I769" s="820">
        <v>26385</v>
      </c>
      <c r="J769" s="118">
        <f>+CUBICACION!J768</f>
        <v>0</v>
      </c>
      <c r="K769" s="118">
        <v>3548</v>
      </c>
      <c r="L769" s="118">
        <f>+CUBICACION!L768</f>
        <v>0</v>
      </c>
      <c r="M769" s="64">
        <f>+CUBICACION!M768</f>
        <v>0</v>
      </c>
      <c r="N769" s="824" t="str">
        <f>+CUBICACION!N768</f>
        <v/>
      </c>
      <c r="O769" s="675">
        <f>+CUBICACION!O768</f>
        <v>0</v>
      </c>
      <c r="P769" s="15">
        <f>IF(O769="Fire Control",VLOOKUP(_xlfn.MINIFS('FIRE CONTROL'!$C$4:$C$37,'FIRE CONTROL'!$C$4:$C$37,"&gt;="&amp;M769),'FIRE CONTROL'!$C$4:$G$37,IF(L769="F-15",2,IF(L769="F-30",3,IF(L769="F-60",4,IF(L769="F-90",5,0)))),0),0)+IF(AND(O769="FIRE TEX 5062",OR(E769="IN",E769="C",E769="Z",E769="L"),J769=3),VLOOKUP(_xlfn.MINIFS('FIRE TEX 5062'!$B$4:$B$34,'FIRE TEX 5062'!$B$4:$B$34,"&gt;="&amp;M769),'FIRE TEX 5062'!$B$4:$F$34,IF(L769="F-15",2,IF(L769="F-30",3,IF(L769="F-60",4,IF(L769="F-90",5,0)))),0),0)+IF(AND(O769="FIRE TEX 5062",OR(E769="IN",E769="C",E769="Z",E769="L"),J769=4),VLOOKUP(_xlfn.MINIFS('FIRE TEX 5062'!$G$4:$G$34,'FIRE TEX 5062'!$G$4:$G$34,"&gt;="&amp;M769),'FIRE TEX 5062'!$G$4:$K$34,IF(L769="F-15",2,IF(L769="F-30",3,IF(L769="F-60",4,IF(L769="F-90",5,0)))),0),0)+IF(AND(O769="FIRE TEX 5062",E769="CJ",J769=3),VLOOKUP(_xlfn.MINIFS('FIRE TEX 5062'!$L$4:$L$34,'FIRE TEX 5062'!$L$4:$L$34,"&gt;="&amp;M769),'FIRE TEX 5062'!$L$4:$P$34,IF(L769="F-15",2,IF(L769="F-30",3,IF(L769="F-60",4,IF(L769="F-90",5,0)))),0),0)+IF(AND(O769="FIRE TEX 5062",E769="CJ",J769=4),VLOOKUP(_xlfn.MINIFS('FIRE TEX 5062'!$Q$3:$Q$34,'FIRE TEX 5062'!$Q$3:$Q$34,"&gt;="&amp;M769),'FIRE TEX 5062'!$Q$3:$U$34,IF(L769="F-15",2,IF(L769="F-30",3,IF(L769="F-60",4,IF(L769="F-90",5,0)))),0),0)+IF(AND(O769="FIRE TEX 5090",OR(E769="IN",E769="C",E769="Z",E769="L"),J769=3),VLOOKUP(_xlfn.MINIFS('FIRE TEX 5090'!$B$5:$B$43,'FIRE TEX 5090'!$B$5:$B$43,"&gt;="&amp;M769),'FIRE TEX 5090'!$B$5:$H$43,IF(L769="F-15",2,IF(L769="F-30",3,IF(L769="F-60",4,IF(L769="F-90",5,IF(L769="F-120",6,IF(L769="F-150",7,0)))))),0),0)+IF(AND(O769="FIRE TEX 5090",OR(E769="IN",E769="C",E769="Z",E769="L"),J769=4),VLOOKUP(_xlfn.MINIFS('FIRE TEX 5090'!$J$5:$J$43,'FIRE TEX 5090'!$J$5:$J$43,"&gt;="&amp;M769),'FIRE TEX 5090'!$J$5:$P$43,IF(L769="F-15",2,IF(L769="F-30",3,IF(L769="F-60",4,IF(L769="F-90",5,IF(L769="F-120",6,IF(L769="F-150",7,0)))))),0),0)+IF(AND(O769="FIRE TEX 5090",E769="CJ",J769=3),VLOOKUP(_xlfn.MINIFS('FIRE TEX 5090'!$R$5:$R$30,'FIRE TEX 5090'!$R$5:$R$30,"&gt;="&amp;M769),'FIRE TEX 5090'!$R$5:$W$30,IF(L769="F-15",2,IF(L769="F-30",3,IF(L769="F-60",4,IF(L769="F-90",5,IF(L769="F-120",6,IF(L769="F-150",7,0)))))),0),0)+IF(AND(O769="FIRE TEX 5090",E769="CJ",J769=4),VLOOKUP(_xlfn.MINIFS('FIRE TEX 5090'!$Y$5:$Y$39,'FIRE TEX 5090'!$Y$5:$Y$39,"&gt;="&amp;M769),'FIRE TEX 5090'!$Y$5:$AD$39,IF(L769="F-15",2,IF(L769="F-30",3,IF(L769="F-60",4,IF(L769="F-90",5,IF(L769="F-120",6,IF(L769="F-150",7,0)))))),0),0)+IF(AND(O769="FIRE TEX 5120",OR(E769="IN",E769="C",E769="Z",E769="L"),J769=3),VLOOKUP(_xlfn.MINIFS('FIRE TEX 5120'!$B$5:$B$40,'FIRE TEX 5120'!$B$5:$B$40,"&gt;="&amp;M769),'FIRE TEX 5120'!$B$5:$G$40,IF(L769="F-15",2,IF(L769="F-30",3,IF(L769="F-60",4,IF(L769="F-90",5,IF(L769="F-120",6,0))))),0),0)+IF(AND(O769="FIRE TEX 5120",OR(E769="IN",E769="C",E769="Z",E769="L"),J769=4),VLOOKUP(_xlfn.MINIFS('FIRE TEX 5120'!$H$4:$H$40,'FIRE TEX 5120'!$H$4:$H$40,"&gt;="&amp;M769),'FIRE TEX 5120'!$H$4:$M$40,IF(L769="F-15",2,IF(L769="F-30",3,IF(L769="F-60",4,IF(L769="F-90",5,IF(L769="F-120",6,0))))),0),0)+IF(AND(O769="FIRE TEX 5120",E769="CJ"),VLOOKUP(_xlfn.MINIFS('FIRE TEX 5120'!$O$5:$O$40,'FIRE TEX 5120'!$O$5:$O$40,"&gt;="&amp;M769),'FIRE TEX 5120'!$O$5:$T$40,IF(L769="F-15",2,IF(L769="F-30",3,IF(L769="F-60",4,IF(L769="F-90",5,IF(L769="F-120",6,0))))),0),0)</f>
        <v>0</v>
      </c>
      <c r="Q769" s="46">
        <f t="shared" si="79"/>
        <v>0</v>
      </c>
      <c r="R769" s="46">
        <f t="shared" si="80"/>
        <v>0</v>
      </c>
      <c r="S769" s="46" t="e">
        <f t="shared" si="81"/>
        <v>#VALUE!</v>
      </c>
      <c r="T769" s="677">
        <f t="shared" si="82"/>
        <v>0</v>
      </c>
      <c r="U769" s="80">
        <f>(IF(O769="Stofire",(S769*#REF!),0))+(IF(O769="Fire Control",(S769*$U$2),0))+(IF(O769="Fire Tex",(S769*$U$3),0))+(IF(O769="WB7",(S769*#REF!),0)+(IF(O769="FX 2003",(S769*$U$5),0)))</f>
        <v>0</v>
      </c>
      <c r="V769" s="651">
        <f t="shared" si="83"/>
        <v>0</v>
      </c>
    </row>
    <row r="770" spans="4:22" x14ac:dyDescent="0.25">
      <c r="D770" s="118">
        <f>+CUBICACION!D769</f>
        <v>0</v>
      </c>
      <c r="E770" s="118">
        <f>+CUBICACION!F769</f>
        <v>0</v>
      </c>
      <c r="F770" s="118">
        <f>+CUBICACION!E769</f>
        <v>0</v>
      </c>
      <c r="G770" s="118">
        <v>12</v>
      </c>
      <c r="H770" s="118">
        <v>2</v>
      </c>
      <c r="I770" s="820">
        <v>26385</v>
      </c>
      <c r="J770" s="118">
        <f>+CUBICACION!J769</f>
        <v>0</v>
      </c>
      <c r="K770" s="118">
        <v>3549</v>
      </c>
      <c r="L770" s="118">
        <f>+CUBICACION!L769</f>
        <v>0</v>
      </c>
      <c r="M770" s="64">
        <f>+CUBICACION!M769</f>
        <v>0</v>
      </c>
      <c r="N770" s="824" t="str">
        <f>+CUBICACION!N769</f>
        <v/>
      </c>
      <c r="O770" s="675">
        <f>+CUBICACION!O769</f>
        <v>0</v>
      </c>
      <c r="P770" s="15">
        <f>IF(O770="Fire Control",VLOOKUP(_xlfn.MINIFS('FIRE CONTROL'!$C$4:$C$37,'FIRE CONTROL'!$C$4:$C$37,"&gt;="&amp;M770),'FIRE CONTROL'!$C$4:$G$37,IF(L770="F-15",2,IF(L770="F-30",3,IF(L770="F-60",4,IF(L770="F-90",5,0)))),0),0)+IF(AND(O770="FIRE TEX 5062",OR(E770="IN",E770="C",E770="Z",E770="L"),J770=3),VLOOKUP(_xlfn.MINIFS('FIRE TEX 5062'!$B$4:$B$34,'FIRE TEX 5062'!$B$4:$B$34,"&gt;="&amp;M770),'FIRE TEX 5062'!$B$4:$F$34,IF(L770="F-15",2,IF(L770="F-30",3,IF(L770="F-60",4,IF(L770="F-90",5,0)))),0),0)+IF(AND(O770="FIRE TEX 5062",OR(E770="IN",E770="C",E770="Z",E770="L"),J770=4),VLOOKUP(_xlfn.MINIFS('FIRE TEX 5062'!$G$4:$G$34,'FIRE TEX 5062'!$G$4:$G$34,"&gt;="&amp;M770),'FIRE TEX 5062'!$G$4:$K$34,IF(L770="F-15",2,IF(L770="F-30",3,IF(L770="F-60",4,IF(L770="F-90",5,0)))),0),0)+IF(AND(O770="FIRE TEX 5062",E770="CJ",J770=3),VLOOKUP(_xlfn.MINIFS('FIRE TEX 5062'!$L$4:$L$34,'FIRE TEX 5062'!$L$4:$L$34,"&gt;="&amp;M770),'FIRE TEX 5062'!$L$4:$P$34,IF(L770="F-15",2,IF(L770="F-30",3,IF(L770="F-60",4,IF(L770="F-90",5,0)))),0),0)+IF(AND(O770="FIRE TEX 5062",E770="CJ",J770=4),VLOOKUP(_xlfn.MINIFS('FIRE TEX 5062'!$Q$3:$Q$34,'FIRE TEX 5062'!$Q$3:$Q$34,"&gt;="&amp;M770),'FIRE TEX 5062'!$Q$3:$U$34,IF(L770="F-15",2,IF(L770="F-30",3,IF(L770="F-60",4,IF(L770="F-90",5,0)))),0),0)+IF(AND(O770="FIRE TEX 5090",OR(E770="IN",E770="C",E770="Z",E770="L"),J770=3),VLOOKUP(_xlfn.MINIFS('FIRE TEX 5090'!$B$5:$B$43,'FIRE TEX 5090'!$B$5:$B$43,"&gt;="&amp;M770),'FIRE TEX 5090'!$B$5:$H$43,IF(L770="F-15",2,IF(L770="F-30",3,IF(L770="F-60",4,IF(L770="F-90",5,IF(L770="F-120",6,IF(L770="F-150",7,0)))))),0),0)+IF(AND(O770="FIRE TEX 5090",OR(E770="IN",E770="C",E770="Z",E770="L"),J770=4),VLOOKUP(_xlfn.MINIFS('FIRE TEX 5090'!$J$5:$J$43,'FIRE TEX 5090'!$J$5:$J$43,"&gt;="&amp;M770),'FIRE TEX 5090'!$J$5:$P$43,IF(L770="F-15",2,IF(L770="F-30",3,IF(L770="F-60",4,IF(L770="F-90",5,IF(L770="F-120",6,IF(L770="F-150",7,0)))))),0),0)+IF(AND(O770="FIRE TEX 5090",E770="CJ",J770=3),VLOOKUP(_xlfn.MINIFS('FIRE TEX 5090'!$R$5:$R$30,'FIRE TEX 5090'!$R$5:$R$30,"&gt;="&amp;M770),'FIRE TEX 5090'!$R$5:$W$30,IF(L770="F-15",2,IF(L770="F-30",3,IF(L770="F-60",4,IF(L770="F-90",5,IF(L770="F-120",6,IF(L770="F-150",7,0)))))),0),0)+IF(AND(O770="FIRE TEX 5090",E770="CJ",J770=4),VLOOKUP(_xlfn.MINIFS('FIRE TEX 5090'!$Y$5:$Y$39,'FIRE TEX 5090'!$Y$5:$Y$39,"&gt;="&amp;M770),'FIRE TEX 5090'!$Y$5:$AD$39,IF(L770="F-15",2,IF(L770="F-30",3,IF(L770="F-60",4,IF(L770="F-90",5,IF(L770="F-120",6,IF(L770="F-150",7,0)))))),0),0)+IF(AND(O770="FIRE TEX 5120",OR(E770="IN",E770="C",E770="Z",E770="L"),J770=3),VLOOKUP(_xlfn.MINIFS('FIRE TEX 5120'!$B$5:$B$40,'FIRE TEX 5120'!$B$5:$B$40,"&gt;="&amp;M770),'FIRE TEX 5120'!$B$5:$G$40,IF(L770="F-15",2,IF(L770="F-30",3,IF(L770="F-60",4,IF(L770="F-90",5,IF(L770="F-120",6,0))))),0),0)+IF(AND(O770="FIRE TEX 5120",OR(E770="IN",E770="C",E770="Z",E770="L"),J770=4),VLOOKUP(_xlfn.MINIFS('FIRE TEX 5120'!$H$4:$H$40,'FIRE TEX 5120'!$H$4:$H$40,"&gt;="&amp;M770),'FIRE TEX 5120'!$H$4:$M$40,IF(L770="F-15",2,IF(L770="F-30",3,IF(L770="F-60",4,IF(L770="F-90",5,IF(L770="F-120",6,0))))),0),0)+IF(AND(O770="FIRE TEX 5120",E770="CJ"),VLOOKUP(_xlfn.MINIFS('FIRE TEX 5120'!$O$5:$O$40,'FIRE TEX 5120'!$O$5:$O$40,"&gt;="&amp;M770),'FIRE TEX 5120'!$O$5:$T$40,IF(L770="F-15",2,IF(L770="F-30",3,IF(L770="F-60",4,IF(L770="F-90",5,IF(L770="F-120",6,0))))),0),0)</f>
        <v>0</v>
      </c>
      <c r="Q770" s="46">
        <f t="shared" si="79"/>
        <v>0</v>
      </c>
      <c r="R770" s="46">
        <f t="shared" si="80"/>
        <v>0</v>
      </c>
      <c r="S770" s="46" t="e">
        <f t="shared" si="81"/>
        <v>#VALUE!</v>
      </c>
      <c r="T770" s="677">
        <f t="shared" si="82"/>
        <v>0</v>
      </c>
      <c r="U770" s="80">
        <f>(IF(O770="Stofire",(S770*#REF!),0))+(IF(O770="Fire Control",(S770*$U$2),0))+(IF(O770="Fire Tex",(S770*$U$3),0))+(IF(O770="WB7",(S770*#REF!),0)+(IF(O770="FX 2003",(S770*$U$5),0)))</f>
        <v>0</v>
      </c>
      <c r="V770" s="651">
        <f t="shared" si="83"/>
        <v>0</v>
      </c>
    </row>
    <row r="771" spans="4:22" x14ac:dyDescent="0.25">
      <c r="D771" s="118">
        <f>+CUBICACION!D770</f>
        <v>0</v>
      </c>
      <c r="E771" s="118">
        <f>+CUBICACION!F770</f>
        <v>0</v>
      </c>
      <c r="F771" s="118">
        <f>+CUBICACION!E770</f>
        <v>0</v>
      </c>
      <c r="G771" s="118">
        <v>12</v>
      </c>
      <c r="H771" s="118">
        <v>2</v>
      </c>
      <c r="I771" s="820">
        <v>26385</v>
      </c>
      <c r="J771" s="118">
        <f>+CUBICACION!J770</f>
        <v>0</v>
      </c>
      <c r="K771" s="118">
        <v>3550</v>
      </c>
      <c r="L771" s="118">
        <f>+CUBICACION!L770</f>
        <v>0</v>
      </c>
      <c r="M771" s="64">
        <f>+CUBICACION!M770</f>
        <v>0</v>
      </c>
      <c r="N771" s="824" t="str">
        <f>+CUBICACION!N770</f>
        <v/>
      </c>
      <c r="O771" s="675">
        <f>+CUBICACION!O770</f>
        <v>0</v>
      </c>
      <c r="P771" s="15">
        <f>IF(O771="Fire Control",VLOOKUP(_xlfn.MINIFS('FIRE CONTROL'!$C$4:$C$37,'FIRE CONTROL'!$C$4:$C$37,"&gt;="&amp;M771),'FIRE CONTROL'!$C$4:$G$37,IF(L771="F-15",2,IF(L771="F-30",3,IF(L771="F-60",4,IF(L771="F-90",5,0)))),0),0)+IF(AND(O771="FIRE TEX 5062",OR(E771="IN",E771="C",E771="Z",E771="L"),J771=3),VLOOKUP(_xlfn.MINIFS('FIRE TEX 5062'!$B$4:$B$34,'FIRE TEX 5062'!$B$4:$B$34,"&gt;="&amp;M771),'FIRE TEX 5062'!$B$4:$F$34,IF(L771="F-15",2,IF(L771="F-30",3,IF(L771="F-60",4,IF(L771="F-90",5,0)))),0),0)+IF(AND(O771="FIRE TEX 5062",OR(E771="IN",E771="C",E771="Z",E771="L"),J771=4),VLOOKUP(_xlfn.MINIFS('FIRE TEX 5062'!$G$4:$G$34,'FIRE TEX 5062'!$G$4:$G$34,"&gt;="&amp;M771),'FIRE TEX 5062'!$G$4:$K$34,IF(L771="F-15",2,IF(L771="F-30",3,IF(L771="F-60",4,IF(L771="F-90",5,0)))),0),0)+IF(AND(O771="FIRE TEX 5062",E771="CJ",J771=3),VLOOKUP(_xlfn.MINIFS('FIRE TEX 5062'!$L$4:$L$34,'FIRE TEX 5062'!$L$4:$L$34,"&gt;="&amp;M771),'FIRE TEX 5062'!$L$4:$P$34,IF(L771="F-15",2,IF(L771="F-30",3,IF(L771="F-60",4,IF(L771="F-90",5,0)))),0),0)+IF(AND(O771="FIRE TEX 5062",E771="CJ",J771=4),VLOOKUP(_xlfn.MINIFS('FIRE TEX 5062'!$Q$3:$Q$34,'FIRE TEX 5062'!$Q$3:$Q$34,"&gt;="&amp;M771),'FIRE TEX 5062'!$Q$3:$U$34,IF(L771="F-15",2,IF(L771="F-30",3,IF(L771="F-60",4,IF(L771="F-90",5,0)))),0),0)+IF(AND(O771="FIRE TEX 5090",OR(E771="IN",E771="C",E771="Z",E771="L"),J771=3),VLOOKUP(_xlfn.MINIFS('FIRE TEX 5090'!$B$5:$B$43,'FIRE TEX 5090'!$B$5:$B$43,"&gt;="&amp;M771),'FIRE TEX 5090'!$B$5:$H$43,IF(L771="F-15",2,IF(L771="F-30",3,IF(L771="F-60",4,IF(L771="F-90",5,IF(L771="F-120",6,IF(L771="F-150",7,0)))))),0),0)+IF(AND(O771="FIRE TEX 5090",OR(E771="IN",E771="C",E771="Z",E771="L"),J771=4),VLOOKUP(_xlfn.MINIFS('FIRE TEX 5090'!$J$5:$J$43,'FIRE TEX 5090'!$J$5:$J$43,"&gt;="&amp;M771),'FIRE TEX 5090'!$J$5:$P$43,IF(L771="F-15",2,IF(L771="F-30",3,IF(L771="F-60",4,IF(L771="F-90",5,IF(L771="F-120",6,IF(L771="F-150",7,0)))))),0),0)+IF(AND(O771="FIRE TEX 5090",E771="CJ",J771=3),VLOOKUP(_xlfn.MINIFS('FIRE TEX 5090'!$R$5:$R$30,'FIRE TEX 5090'!$R$5:$R$30,"&gt;="&amp;M771),'FIRE TEX 5090'!$R$5:$W$30,IF(L771="F-15",2,IF(L771="F-30",3,IF(L771="F-60",4,IF(L771="F-90",5,IF(L771="F-120",6,IF(L771="F-150",7,0)))))),0),0)+IF(AND(O771="FIRE TEX 5090",E771="CJ",J771=4),VLOOKUP(_xlfn.MINIFS('FIRE TEX 5090'!$Y$5:$Y$39,'FIRE TEX 5090'!$Y$5:$Y$39,"&gt;="&amp;M771),'FIRE TEX 5090'!$Y$5:$AD$39,IF(L771="F-15",2,IF(L771="F-30",3,IF(L771="F-60",4,IF(L771="F-90",5,IF(L771="F-120",6,IF(L771="F-150",7,0)))))),0),0)+IF(AND(O771="FIRE TEX 5120",OR(E771="IN",E771="C",E771="Z",E771="L"),J771=3),VLOOKUP(_xlfn.MINIFS('FIRE TEX 5120'!$B$5:$B$40,'FIRE TEX 5120'!$B$5:$B$40,"&gt;="&amp;M771),'FIRE TEX 5120'!$B$5:$G$40,IF(L771="F-15",2,IF(L771="F-30",3,IF(L771="F-60",4,IF(L771="F-90",5,IF(L771="F-120",6,0))))),0),0)+IF(AND(O771="FIRE TEX 5120",OR(E771="IN",E771="C",E771="Z",E771="L"),J771=4),VLOOKUP(_xlfn.MINIFS('FIRE TEX 5120'!$H$4:$H$40,'FIRE TEX 5120'!$H$4:$H$40,"&gt;="&amp;M771),'FIRE TEX 5120'!$H$4:$M$40,IF(L771="F-15",2,IF(L771="F-30",3,IF(L771="F-60",4,IF(L771="F-90",5,IF(L771="F-120",6,0))))),0),0)+IF(AND(O771="FIRE TEX 5120",E771="CJ"),VLOOKUP(_xlfn.MINIFS('FIRE TEX 5120'!$O$5:$O$40,'FIRE TEX 5120'!$O$5:$O$40,"&gt;="&amp;M771),'FIRE TEX 5120'!$O$5:$T$40,IF(L771="F-15",2,IF(L771="F-30",3,IF(L771="F-60",4,IF(L771="F-90",5,IF(L771="F-120",6,0))))),0),0)</f>
        <v>0</v>
      </c>
      <c r="Q771" s="46">
        <f t="shared" si="79"/>
        <v>0</v>
      </c>
      <c r="R771" s="46">
        <f t="shared" si="80"/>
        <v>0</v>
      </c>
      <c r="S771" s="46" t="e">
        <f t="shared" si="81"/>
        <v>#VALUE!</v>
      </c>
      <c r="T771" s="677">
        <f t="shared" si="82"/>
        <v>0</v>
      </c>
      <c r="U771" s="80">
        <f>(IF(O771="Stofire",(S771*#REF!),0))+(IF(O771="Fire Control",(S771*$U$2),0))+(IF(O771="Fire Tex",(S771*$U$3),0))+(IF(O771="WB7",(S771*#REF!),0)+(IF(O771="FX 2003",(S771*$U$5),0)))</f>
        <v>0</v>
      </c>
      <c r="V771" s="651">
        <f t="shared" si="83"/>
        <v>0</v>
      </c>
    </row>
    <row r="772" spans="4:22" x14ac:dyDescent="0.25">
      <c r="D772" s="118">
        <f>+CUBICACION!D771</f>
        <v>0</v>
      </c>
      <c r="E772" s="118">
        <f>+CUBICACION!F771</f>
        <v>0</v>
      </c>
      <c r="F772" s="118">
        <f>+CUBICACION!E771</f>
        <v>0</v>
      </c>
      <c r="G772" s="118">
        <v>12</v>
      </c>
      <c r="H772" s="118">
        <v>2</v>
      </c>
      <c r="I772" s="820">
        <v>26385</v>
      </c>
      <c r="J772" s="118">
        <f>+CUBICACION!J771</f>
        <v>0</v>
      </c>
      <c r="K772" s="118">
        <v>3551</v>
      </c>
      <c r="L772" s="118">
        <f>+CUBICACION!L771</f>
        <v>0</v>
      </c>
      <c r="M772" s="64">
        <f>+CUBICACION!M771</f>
        <v>0</v>
      </c>
      <c r="N772" s="824" t="str">
        <f>+CUBICACION!N771</f>
        <v/>
      </c>
      <c r="O772" s="675">
        <f>+CUBICACION!O771</f>
        <v>0</v>
      </c>
      <c r="P772" s="15">
        <f>IF(O772="Fire Control",VLOOKUP(_xlfn.MINIFS('FIRE CONTROL'!$C$4:$C$37,'FIRE CONTROL'!$C$4:$C$37,"&gt;="&amp;M772),'FIRE CONTROL'!$C$4:$G$37,IF(L772="F-15",2,IF(L772="F-30",3,IF(L772="F-60",4,IF(L772="F-90",5,0)))),0),0)+IF(AND(O772="FIRE TEX 5062",OR(E772="IN",E772="C",E772="Z",E772="L"),J772=3),VLOOKUP(_xlfn.MINIFS('FIRE TEX 5062'!$B$4:$B$34,'FIRE TEX 5062'!$B$4:$B$34,"&gt;="&amp;M772),'FIRE TEX 5062'!$B$4:$F$34,IF(L772="F-15",2,IF(L772="F-30",3,IF(L772="F-60",4,IF(L772="F-90",5,0)))),0),0)+IF(AND(O772="FIRE TEX 5062",OR(E772="IN",E772="C",E772="Z",E772="L"),J772=4),VLOOKUP(_xlfn.MINIFS('FIRE TEX 5062'!$G$4:$G$34,'FIRE TEX 5062'!$G$4:$G$34,"&gt;="&amp;M772),'FIRE TEX 5062'!$G$4:$K$34,IF(L772="F-15",2,IF(L772="F-30",3,IF(L772="F-60",4,IF(L772="F-90",5,0)))),0),0)+IF(AND(O772="FIRE TEX 5062",E772="CJ",J772=3),VLOOKUP(_xlfn.MINIFS('FIRE TEX 5062'!$L$4:$L$34,'FIRE TEX 5062'!$L$4:$L$34,"&gt;="&amp;M772),'FIRE TEX 5062'!$L$4:$P$34,IF(L772="F-15",2,IF(L772="F-30",3,IF(L772="F-60",4,IF(L772="F-90",5,0)))),0),0)+IF(AND(O772="FIRE TEX 5062",E772="CJ",J772=4),VLOOKUP(_xlfn.MINIFS('FIRE TEX 5062'!$Q$3:$Q$34,'FIRE TEX 5062'!$Q$3:$Q$34,"&gt;="&amp;M772),'FIRE TEX 5062'!$Q$3:$U$34,IF(L772="F-15",2,IF(L772="F-30",3,IF(L772="F-60",4,IF(L772="F-90",5,0)))),0),0)+IF(AND(O772="FIRE TEX 5090",OR(E772="IN",E772="C",E772="Z",E772="L"),J772=3),VLOOKUP(_xlfn.MINIFS('FIRE TEX 5090'!$B$5:$B$43,'FIRE TEX 5090'!$B$5:$B$43,"&gt;="&amp;M772),'FIRE TEX 5090'!$B$5:$H$43,IF(L772="F-15",2,IF(L772="F-30",3,IF(L772="F-60",4,IF(L772="F-90",5,IF(L772="F-120",6,IF(L772="F-150",7,0)))))),0),0)+IF(AND(O772="FIRE TEX 5090",OR(E772="IN",E772="C",E772="Z",E772="L"),J772=4),VLOOKUP(_xlfn.MINIFS('FIRE TEX 5090'!$J$5:$J$43,'FIRE TEX 5090'!$J$5:$J$43,"&gt;="&amp;M772),'FIRE TEX 5090'!$J$5:$P$43,IF(L772="F-15",2,IF(L772="F-30",3,IF(L772="F-60",4,IF(L772="F-90",5,IF(L772="F-120",6,IF(L772="F-150",7,0)))))),0),0)+IF(AND(O772="FIRE TEX 5090",E772="CJ",J772=3),VLOOKUP(_xlfn.MINIFS('FIRE TEX 5090'!$R$5:$R$30,'FIRE TEX 5090'!$R$5:$R$30,"&gt;="&amp;M772),'FIRE TEX 5090'!$R$5:$W$30,IF(L772="F-15",2,IF(L772="F-30",3,IF(L772="F-60",4,IF(L772="F-90",5,IF(L772="F-120",6,IF(L772="F-150",7,0)))))),0),0)+IF(AND(O772="FIRE TEX 5090",E772="CJ",J772=4),VLOOKUP(_xlfn.MINIFS('FIRE TEX 5090'!$Y$5:$Y$39,'FIRE TEX 5090'!$Y$5:$Y$39,"&gt;="&amp;M772),'FIRE TEX 5090'!$Y$5:$AD$39,IF(L772="F-15",2,IF(L772="F-30",3,IF(L772="F-60",4,IF(L772="F-90",5,IF(L772="F-120",6,IF(L772="F-150",7,0)))))),0),0)+IF(AND(O772="FIRE TEX 5120",OR(E772="IN",E772="C",E772="Z",E772="L"),J772=3),VLOOKUP(_xlfn.MINIFS('FIRE TEX 5120'!$B$5:$B$40,'FIRE TEX 5120'!$B$5:$B$40,"&gt;="&amp;M772),'FIRE TEX 5120'!$B$5:$G$40,IF(L772="F-15",2,IF(L772="F-30",3,IF(L772="F-60",4,IF(L772="F-90",5,IF(L772="F-120",6,0))))),0),0)+IF(AND(O772="FIRE TEX 5120",OR(E772="IN",E772="C",E772="Z",E772="L"),J772=4),VLOOKUP(_xlfn.MINIFS('FIRE TEX 5120'!$H$4:$H$40,'FIRE TEX 5120'!$H$4:$H$40,"&gt;="&amp;M772),'FIRE TEX 5120'!$H$4:$M$40,IF(L772="F-15",2,IF(L772="F-30",3,IF(L772="F-60",4,IF(L772="F-90",5,IF(L772="F-120",6,0))))),0),0)+IF(AND(O772="FIRE TEX 5120",E772="CJ"),VLOOKUP(_xlfn.MINIFS('FIRE TEX 5120'!$O$5:$O$40,'FIRE TEX 5120'!$O$5:$O$40,"&gt;="&amp;M772),'FIRE TEX 5120'!$O$5:$T$40,IF(L772="F-15",2,IF(L772="F-30",3,IF(L772="F-60",4,IF(L772="F-90",5,IF(L772="F-120",6,0))))),0),0)</f>
        <v>0</v>
      </c>
      <c r="Q772" s="46">
        <f t="shared" si="79"/>
        <v>0</v>
      </c>
      <c r="R772" s="46">
        <f t="shared" si="80"/>
        <v>0</v>
      </c>
      <c r="S772" s="46" t="e">
        <f t="shared" si="81"/>
        <v>#VALUE!</v>
      </c>
      <c r="T772" s="677">
        <f t="shared" si="82"/>
        <v>0</v>
      </c>
      <c r="U772" s="80">
        <f>(IF(O772="Stofire",(S772*#REF!),0))+(IF(O772="Fire Control",(S772*$U$2),0))+(IF(O772="Fire Tex",(S772*$U$3),0))+(IF(O772="WB7",(S772*#REF!),0)+(IF(O772="FX 2003",(S772*$U$5),0)))</f>
        <v>0</v>
      </c>
      <c r="V772" s="651">
        <f t="shared" si="83"/>
        <v>0</v>
      </c>
    </row>
    <row r="773" spans="4:22" x14ac:dyDescent="0.25">
      <c r="D773" s="118">
        <f>+CUBICACION!D772</f>
        <v>0</v>
      </c>
      <c r="E773" s="118">
        <f>+CUBICACION!F772</f>
        <v>0</v>
      </c>
      <c r="F773" s="118">
        <f>+CUBICACION!E772</f>
        <v>0</v>
      </c>
      <c r="G773" s="118">
        <v>12</v>
      </c>
      <c r="H773" s="118">
        <v>2</v>
      </c>
      <c r="I773" s="820">
        <v>26385</v>
      </c>
      <c r="J773" s="118">
        <f>+CUBICACION!J772</f>
        <v>0</v>
      </c>
      <c r="K773" s="118">
        <v>3552</v>
      </c>
      <c r="L773" s="118">
        <f>+CUBICACION!L772</f>
        <v>0</v>
      </c>
      <c r="M773" s="64">
        <f>+CUBICACION!M772</f>
        <v>0</v>
      </c>
      <c r="N773" s="824" t="str">
        <f>+CUBICACION!N772</f>
        <v/>
      </c>
      <c r="O773" s="675">
        <f>+CUBICACION!O772</f>
        <v>0</v>
      </c>
      <c r="P773" s="15">
        <f>IF(O773="Fire Control",VLOOKUP(_xlfn.MINIFS('FIRE CONTROL'!$C$4:$C$37,'FIRE CONTROL'!$C$4:$C$37,"&gt;="&amp;M773),'FIRE CONTROL'!$C$4:$G$37,IF(L773="F-15",2,IF(L773="F-30",3,IF(L773="F-60",4,IF(L773="F-90",5,0)))),0),0)+IF(AND(O773="FIRE TEX 5062",OR(E773="IN",E773="C",E773="Z",E773="L"),J773=3),VLOOKUP(_xlfn.MINIFS('FIRE TEX 5062'!$B$4:$B$34,'FIRE TEX 5062'!$B$4:$B$34,"&gt;="&amp;M773),'FIRE TEX 5062'!$B$4:$F$34,IF(L773="F-15",2,IF(L773="F-30",3,IF(L773="F-60",4,IF(L773="F-90",5,0)))),0),0)+IF(AND(O773="FIRE TEX 5062",OR(E773="IN",E773="C",E773="Z",E773="L"),J773=4),VLOOKUP(_xlfn.MINIFS('FIRE TEX 5062'!$G$4:$G$34,'FIRE TEX 5062'!$G$4:$G$34,"&gt;="&amp;M773),'FIRE TEX 5062'!$G$4:$K$34,IF(L773="F-15",2,IF(L773="F-30",3,IF(L773="F-60",4,IF(L773="F-90",5,0)))),0),0)+IF(AND(O773="FIRE TEX 5062",E773="CJ",J773=3),VLOOKUP(_xlfn.MINIFS('FIRE TEX 5062'!$L$4:$L$34,'FIRE TEX 5062'!$L$4:$L$34,"&gt;="&amp;M773),'FIRE TEX 5062'!$L$4:$P$34,IF(L773="F-15",2,IF(L773="F-30",3,IF(L773="F-60",4,IF(L773="F-90",5,0)))),0),0)+IF(AND(O773="FIRE TEX 5062",E773="CJ",J773=4),VLOOKUP(_xlfn.MINIFS('FIRE TEX 5062'!$Q$3:$Q$34,'FIRE TEX 5062'!$Q$3:$Q$34,"&gt;="&amp;M773),'FIRE TEX 5062'!$Q$3:$U$34,IF(L773="F-15",2,IF(L773="F-30",3,IF(L773="F-60",4,IF(L773="F-90",5,0)))),0),0)+IF(AND(O773="FIRE TEX 5090",OR(E773="IN",E773="C",E773="Z",E773="L"),J773=3),VLOOKUP(_xlfn.MINIFS('FIRE TEX 5090'!$B$5:$B$43,'FIRE TEX 5090'!$B$5:$B$43,"&gt;="&amp;M773),'FIRE TEX 5090'!$B$5:$H$43,IF(L773="F-15",2,IF(L773="F-30",3,IF(L773="F-60",4,IF(L773="F-90",5,IF(L773="F-120",6,IF(L773="F-150",7,0)))))),0),0)+IF(AND(O773="FIRE TEX 5090",OR(E773="IN",E773="C",E773="Z",E773="L"),J773=4),VLOOKUP(_xlfn.MINIFS('FIRE TEX 5090'!$J$5:$J$43,'FIRE TEX 5090'!$J$5:$J$43,"&gt;="&amp;M773),'FIRE TEX 5090'!$J$5:$P$43,IF(L773="F-15",2,IF(L773="F-30",3,IF(L773="F-60",4,IF(L773="F-90",5,IF(L773="F-120",6,IF(L773="F-150",7,0)))))),0),0)+IF(AND(O773="FIRE TEX 5090",E773="CJ",J773=3),VLOOKUP(_xlfn.MINIFS('FIRE TEX 5090'!$R$5:$R$30,'FIRE TEX 5090'!$R$5:$R$30,"&gt;="&amp;M773),'FIRE TEX 5090'!$R$5:$W$30,IF(L773="F-15",2,IF(L773="F-30",3,IF(L773="F-60",4,IF(L773="F-90",5,IF(L773="F-120",6,IF(L773="F-150",7,0)))))),0),0)+IF(AND(O773="FIRE TEX 5090",E773="CJ",J773=4),VLOOKUP(_xlfn.MINIFS('FIRE TEX 5090'!$Y$5:$Y$39,'FIRE TEX 5090'!$Y$5:$Y$39,"&gt;="&amp;M773),'FIRE TEX 5090'!$Y$5:$AD$39,IF(L773="F-15",2,IF(L773="F-30",3,IF(L773="F-60",4,IF(L773="F-90",5,IF(L773="F-120",6,IF(L773="F-150",7,0)))))),0),0)+IF(AND(O773="FIRE TEX 5120",OR(E773="IN",E773="C",E773="Z",E773="L"),J773=3),VLOOKUP(_xlfn.MINIFS('FIRE TEX 5120'!$B$5:$B$40,'FIRE TEX 5120'!$B$5:$B$40,"&gt;="&amp;M773),'FIRE TEX 5120'!$B$5:$G$40,IF(L773="F-15",2,IF(L773="F-30",3,IF(L773="F-60",4,IF(L773="F-90",5,IF(L773="F-120",6,0))))),0),0)+IF(AND(O773="FIRE TEX 5120",OR(E773="IN",E773="C",E773="Z",E773="L"),J773=4),VLOOKUP(_xlfn.MINIFS('FIRE TEX 5120'!$H$4:$H$40,'FIRE TEX 5120'!$H$4:$H$40,"&gt;="&amp;M773),'FIRE TEX 5120'!$H$4:$M$40,IF(L773="F-15",2,IF(L773="F-30",3,IF(L773="F-60",4,IF(L773="F-90",5,IF(L773="F-120",6,0))))),0),0)+IF(AND(O773="FIRE TEX 5120",E773="CJ"),VLOOKUP(_xlfn.MINIFS('FIRE TEX 5120'!$O$5:$O$40,'FIRE TEX 5120'!$O$5:$O$40,"&gt;="&amp;M773),'FIRE TEX 5120'!$O$5:$T$40,IF(L773="F-15",2,IF(L773="F-30",3,IF(L773="F-60",4,IF(L773="F-90",5,IF(L773="F-120",6,0))))),0),0)</f>
        <v>0</v>
      </c>
      <c r="Q773" s="46">
        <f t="shared" si="79"/>
        <v>0</v>
      </c>
      <c r="R773" s="46">
        <f t="shared" si="80"/>
        <v>0</v>
      </c>
      <c r="S773" s="46" t="e">
        <f t="shared" si="81"/>
        <v>#VALUE!</v>
      </c>
      <c r="T773" s="677">
        <f t="shared" si="82"/>
        <v>0</v>
      </c>
      <c r="U773" s="80">
        <f>(IF(O773="Stofire",(S773*#REF!),0))+(IF(O773="Fire Control",(S773*$U$2),0))+(IF(O773="Fire Tex",(S773*$U$3),0))+(IF(O773="WB7",(S773*#REF!),0)+(IF(O773="FX 2003",(S773*$U$5),0)))</f>
        <v>0</v>
      </c>
      <c r="V773" s="651">
        <f t="shared" si="83"/>
        <v>0</v>
      </c>
    </row>
    <row r="774" spans="4:22" x14ac:dyDescent="0.25">
      <c r="D774" s="118">
        <f>+CUBICACION!D773</f>
        <v>0</v>
      </c>
      <c r="E774" s="118">
        <f>+CUBICACION!F773</f>
        <v>0</v>
      </c>
      <c r="F774" s="118">
        <f>+CUBICACION!E773</f>
        <v>0</v>
      </c>
      <c r="G774" s="118">
        <v>12</v>
      </c>
      <c r="H774" s="118">
        <v>2</v>
      </c>
      <c r="I774" s="820">
        <v>26385</v>
      </c>
      <c r="J774" s="118">
        <f>+CUBICACION!J773</f>
        <v>0</v>
      </c>
      <c r="K774" s="118">
        <v>3553</v>
      </c>
      <c r="L774" s="118">
        <f>+CUBICACION!L773</f>
        <v>0</v>
      </c>
      <c r="M774" s="64">
        <f>+CUBICACION!M773</f>
        <v>0</v>
      </c>
      <c r="N774" s="824" t="str">
        <f>+CUBICACION!N773</f>
        <v/>
      </c>
      <c r="O774" s="675">
        <f>+CUBICACION!O773</f>
        <v>0</v>
      </c>
      <c r="P774" s="15">
        <f>IF(O774="Fire Control",VLOOKUP(_xlfn.MINIFS('FIRE CONTROL'!$C$4:$C$37,'FIRE CONTROL'!$C$4:$C$37,"&gt;="&amp;M774),'FIRE CONTROL'!$C$4:$G$37,IF(L774="F-15",2,IF(L774="F-30",3,IF(L774="F-60",4,IF(L774="F-90",5,0)))),0),0)+IF(AND(O774="FIRE TEX 5062",OR(E774="IN",E774="C",E774="Z",E774="L"),J774=3),VLOOKUP(_xlfn.MINIFS('FIRE TEX 5062'!$B$4:$B$34,'FIRE TEX 5062'!$B$4:$B$34,"&gt;="&amp;M774),'FIRE TEX 5062'!$B$4:$F$34,IF(L774="F-15",2,IF(L774="F-30",3,IF(L774="F-60",4,IF(L774="F-90",5,0)))),0),0)+IF(AND(O774="FIRE TEX 5062",OR(E774="IN",E774="C",E774="Z",E774="L"),J774=4),VLOOKUP(_xlfn.MINIFS('FIRE TEX 5062'!$G$4:$G$34,'FIRE TEX 5062'!$G$4:$G$34,"&gt;="&amp;M774),'FIRE TEX 5062'!$G$4:$K$34,IF(L774="F-15",2,IF(L774="F-30",3,IF(L774="F-60",4,IF(L774="F-90",5,0)))),0),0)+IF(AND(O774="FIRE TEX 5062",E774="CJ",J774=3),VLOOKUP(_xlfn.MINIFS('FIRE TEX 5062'!$L$4:$L$34,'FIRE TEX 5062'!$L$4:$L$34,"&gt;="&amp;M774),'FIRE TEX 5062'!$L$4:$P$34,IF(L774="F-15",2,IF(L774="F-30",3,IF(L774="F-60",4,IF(L774="F-90",5,0)))),0),0)+IF(AND(O774="FIRE TEX 5062",E774="CJ",J774=4),VLOOKUP(_xlfn.MINIFS('FIRE TEX 5062'!$Q$3:$Q$34,'FIRE TEX 5062'!$Q$3:$Q$34,"&gt;="&amp;M774),'FIRE TEX 5062'!$Q$3:$U$34,IF(L774="F-15",2,IF(L774="F-30",3,IF(L774="F-60",4,IF(L774="F-90",5,0)))),0),0)+IF(AND(O774="FIRE TEX 5090",OR(E774="IN",E774="C",E774="Z",E774="L"),J774=3),VLOOKUP(_xlfn.MINIFS('FIRE TEX 5090'!$B$5:$B$43,'FIRE TEX 5090'!$B$5:$B$43,"&gt;="&amp;M774),'FIRE TEX 5090'!$B$5:$H$43,IF(L774="F-15",2,IF(L774="F-30",3,IF(L774="F-60",4,IF(L774="F-90",5,IF(L774="F-120",6,IF(L774="F-150",7,0)))))),0),0)+IF(AND(O774="FIRE TEX 5090",OR(E774="IN",E774="C",E774="Z",E774="L"),J774=4),VLOOKUP(_xlfn.MINIFS('FIRE TEX 5090'!$J$5:$J$43,'FIRE TEX 5090'!$J$5:$J$43,"&gt;="&amp;M774),'FIRE TEX 5090'!$J$5:$P$43,IF(L774="F-15",2,IF(L774="F-30",3,IF(L774="F-60",4,IF(L774="F-90",5,IF(L774="F-120",6,IF(L774="F-150",7,0)))))),0),0)+IF(AND(O774="FIRE TEX 5090",E774="CJ",J774=3),VLOOKUP(_xlfn.MINIFS('FIRE TEX 5090'!$R$5:$R$30,'FIRE TEX 5090'!$R$5:$R$30,"&gt;="&amp;M774),'FIRE TEX 5090'!$R$5:$W$30,IF(L774="F-15",2,IF(L774="F-30",3,IF(L774="F-60",4,IF(L774="F-90",5,IF(L774="F-120",6,IF(L774="F-150",7,0)))))),0),0)+IF(AND(O774="FIRE TEX 5090",E774="CJ",J774=4),VLOOKUP(_xlfn.MINIFS('FIRE TEX 5090'!$Y$5:$Y$39,'FIRE TEX 5090'!$Y$5:$Y$39,"&gt;="&amp;M774),'FIRE TEX 5090'!$Y$5:$AD$39,IF(L774="F-15",2,IF(L774="F-30",3,IF(L774="F-60",4,IF(L774="F-90",5,IF(L774="F-120",6,IF(L774="F-150",7,0)))))),0),0)+IF(AND(O774="FIRE TEX 5120",OR(E774="IN",E774="C",E774="Z",E774="L"),J774=3),VLOOKUP(_xlfn.MINIFS('FIRE TEX 5120'!$B$5:$B$40,'FIRE TEX 5120'!$B$5:$B$40,"&gt;="&amp;M774),'FIRE TEX 5120'!$B$5:$G$40,IF(L774="F-15",2,IF(L774="F-30",3,IF(L774="F-60",4,IF(L774="F-90",5,IF(L774="F-120",6,0))))),0),0)+IF(AND(O774="FIRE TEX 5120",OR(E774="IN",E774="C",E774="Z",E774="L"),J774=4),VLOOKUP(_xlfn.MINIFS('FIRE TEX 5120'!$H$4:$H$40,'FIRE TEX 5120'!$H$4:$H$40,"&gt;="&amp;M774),'FIRE TEX 5120'!$H$4:$M$40,IF(L774="F-15",2,IF(L774="F-30",3,IF(L774="F-60",4,IF(L774="F-90",5,IF(L774="F-120",6,0))))),0),0)+IF(AND(O774="FIRE TEX 5120",E774="CJ"),VLOOKUP(_xlfn.MINIFS('FIRE TEX 5120'!$O$5:$O$40,'FIRE TEX 5120'!$O$5:$O$40,"&gt;="&amp;M774),'FIRE TEX 5120'!$O$5:$T$40,IF(L774="F-15",2,IF(L774="F-30",3,IF(L774="F-60",4,IF(L774="F-90",5,IF(L774="F-120",6,0))))),0),0)</f>
        <v>0</v>
      </c>
      <c r="Q774" s="46">
        <f t="shared" si="79"/>
        <v>0</v>
      </c>
      <c r="R774" s="46">
        <f t="shared" si="80"/>
        <v>0</v>
      </c>
      <c r="S774" s="46" t="e">
        <f t="shared" si="81"/>
        <v>#VALUE!</v>
      </c>
      <c r="T774" s="677">
        <f t="shared" si="82"/>
        <v>0</v>
      </c>
      <c r="U774" s="80">
        <f>(IF(O774="Stofire",(S774*#REF!),0))+(IF(O774="Fire Control",(S774*$U$2),0))+(IF(O774="Fire Tex",(S774*$U$3),0))+(IF(O774="WB7",(S774*#REF!),0)+(IF(O774="FX 2003",(S774*$U$5),0)))</f>
        <v>0</v>
      </c>
      <c r="V774" s="651">
        <f t="shared" si="83"/>
        <v>0</v>
      </c>
    </row>
    <row r="775" spans="4:22" x14ac:dyDescent="0.25">
      <c r="D775" s="118">
        <f>+CUBICACION!D774</f>
        <v>0</v>
      </c>
      <c r="E775" s="118">
        <f>+CUBICACION!F774</f>
        <v>0</v>
      </c>
      <c r="F775" s="118">
        <f>+CUBICACION!E774</f>
        <v>0</v>
      </c>
      <c r="G775" s="118">
        <v>12</v>
      </c>
      <c r="H775" s="118">
        <v>2</v>
      </c>
      <c r="I775" s="820">
        <v>26385</v>
      </c>
      <c r="J775" s="118">
        <f>+CUBICACION!J774</f>
        <v>0</v>
      </c>
      <c r="K775" s="118">
        <v>3554</v>
      </c>
      <c r="L775" s="118">
        <f>+CUBICACION!L774</f>
        <v>0</v>
      </c>
      <c r="M775" s="64">
        <f>+CUBICACION!M774</f>
        <v>0</v>
      </c>
      <c r="N775" s="824" t="str">
        <f>+CUBICACION!N774</f>
        <v/>
      </c>
      <c r="O775" s="675">
        <f>+CUBICACION!O774</f>
        <v>0</v>
      </c>
      <c r="P775" s="15">
        <f>IF(O775="Fire Control",VLOOKUP(_xlfn.MINIFS('FIRE CONTROL'!$C$4:$C$37,'FIRE CONTROL'!$C$4:$C$37,"&gt;="&amp;M775),'FIRE CONTROL'!$C$4:$G$37,IF(L775="F-15",2,IF(L775="F-30",3,IF(L775="F-60",4,IF(L775="F-90",5,0)))),0),0)+IF(AND(O775="FIRE TEX 5062",OR(E775="IN",E775="C",E775="Z",E775="L"),J775=3),VLOOKUP(_xlfn.MINIFS('FIRE TEX 5062'!$B$4:$B$34,'FIRE TEX 5062'!$B$4:$B$34,"&gt;="&amp;M775),'FIRE TEX 5062'!$B$4:$F$34,IF(L775="F-15",2,IF(L775="F-30",3,IF(L775="F-60",4,IF(L775="F-90",5,0)))),0),0)+IF(AND(O775="FIRE TEX 5062",OR(E775="IN",E775="C",E775="Z",E775="L"),J775=4),VLOOKUP(_xlfn.MINIFS('FIRE TEX 5062'!$G$4:$G$34,'FIRE TEX 5062'!$G$4:$G$34,"&gt;="&amp;M775),'FIRE TEX 5062'!$G$4:$K$34,IF(L775="F-15",2,IF(L775="F-30",3,IF(L775="F-60",4,IF(L775="F-90",5,0)))),0),0)+IF(AND(O775="FIRE TEX 5062",E775="CJ",J775=3),VLOOKUP(_xlfn.MINIFS('FIRE TEX 5062'!$L$4:$L$34,'FIRE TEX 5062'!$L$4:$L$34,"&gt;="&amp;M775),'FIRE TEX 5062'!$L$4:$P$34,IF(L775="F-15",2,IF(L775="F-30",3,IF(L775="F-60",4,IF(L775="F-90",5,0)))),0),0)+IF(AND(O775="FIRE TEX 5062",E775="CJ",J775=4),VLOOKUP(_xlfn.MINIFS('FIRE TEX 5062'!$Q$3:$Q$34,'FIRE TEX 5062'!$Q$3:$Q$34,"&gt;="&amp;M775),'FIRE TEX 5062'!$Q$3:$U$34,IF(L775="F-15",2,IF(L775="F-30",3,IF(L775="F-60",4,IF(L775="F-90",5,0)))),0),0)+IF(AND(O775="FIRE TEX 5090",OR(E775="IN",E775="C",E775="Z",E775="L"),J775=3),VLOOKUP(_xlfn.MINIFS('FIRE TEX 5090'!$B$5:$B$43,'FIRE TEX 5090'!$B$5:$B$43,"&gt;="&amp;M775),'FIRE TEX 5090'!$B$5:$H$43,IF(L775="F-15",2,IF(L775="F-30",3,IF(L775="F-60",4,IF(L775="F-90",5,IF(L775="F-120",6,IF(L775="F-150",7,0)))))),0),0)+IF(AND(O775="FIRE TEX 5090",OR(E775="IN",E775="C",E775="Z",E775="L"),J775=4),VLOOKUP(_xlfn.MINIFS('FIRE TEX 5090'!$J$5:$J$43,'FIRE TEX 5090'!$J$5:$J$43,"&gt;="&amp;M775),'FIRE TEX 5090'!$J$5:$P$43,IF(L775="F-15",2,IF(L775="F-30",3,IF(L775="F-60",4,IF(L775="F-90",5,IF(L775="F-120",6,IF(L775="F-150",7,0)))))),0),0)+IF(AND(O775="FIRE TEX 5090",E775="CJ",J775=3),VLOOKUP(_xlfn.MINIFS('FIRE TEX 5090'!$R$5:$R$30,'FIRE TEX 5090'!$R$5:$R$30,"&gt;="&amp;M775),'FIRE TEX 5090'!$R$5:$W$30,IF(L775="F-15",2,IF(L775="F-30",3,IF(L775="F-60",4,IF(L775="F-90",5,IF(L775="F-120",6,IF(L775="F-150",7,0)))))),0),0)+IF(AND(O775="FIRE TEX 5090",E775="CJ",J775=4),VLOOKUP(_xlfn.MINIFS('FIRE TEX 5090'!$Y$5:$Y$39,'FIRE TEX 5090'!$Y$5:$Y$39,"&gt;="&amp;M775),'FIRE TEX 5090'!$Y$5:$AD$39,IF(L775="F-15",2,IF(L775="F-30",3,IF(L775="F-60",4,IF(L775="F-90",5,IF(L775="F-120",6,IF(L775="F-150",7,0)))))),0),0)+IF(AND(O775="FIRE TEX 5120",OR(E775="IN",E775="C",E775="Z",E775="L"),J775=3),VLOOKUP(_xlfn.MINIFS('FIRE TEX 5120'!$B$5:$B$40,'FIRE TEX 5120'!$B$5:$B$40,"&gt;="&amp;M775),'FIRE TEX 5120'!$B$5:$G$40,IF(L775="F-15",2,IF(L775="F-30",3,IF(L775="F-60",4,IF(L775="F-90",5,IF(L775="F-120",6,0))))),0),0)+IF(AND(O775="FIRE TEX 5120",OR(E775="IN",E775="C",E775="Z",E775="L"),J775=4),VLOOKUP(_xlfn.MINIFS('FIRE TEX 5120'!$H$4:$H$40,'FIRE TEX 5120'!$H$4:$H$40,"&gt;="&amp;M775),'FIRE TEX 5120'!$H$4:$M$40,IF(L775="F-15",2,IF(L775="F-30",3,IF(L775="F-60",4,IF(L775="F-90",5,IF(L775="F-120",6,0))))),0),0)+IF(AND(O775="FIRE TEX 5120",E775="CJ"),VLOOKUP(_xlfn.MINIFS('FIRE TEX 5120'!$O$5:$O$40,'FIRE TEX 5120'!$O$5:$O$40,"&gt;="&amp;M775),'FIRE TEX 5120'!$O$5:$T$40,IF(L775="F-15",2,IF(L775="F-30",3,IF(L775="F-60",4,IF(L775="F-90",5,IF(L775="F-120",6,0))))),0),0)</f>
        <v>0</v>
      </c>
      <c r="Q775" s="46">
        <f t="shared" si="79"/>
        <v>0</v>
      </c>
      <c r="R775" s="46">
        <f t="shared" si="80"/>
        <v>0</v>
      </c>
      <c r="S775" s="46" t="e">
        <f t="shared" si="81"/>
        <v>#VALUE!</v>
      </c>
      <c r="T775" s="677">
        <f t="shared" si="82"/>
        <v>0</v>
      </c>
      <c r="U775" s="80">
        <f>(IF(O775="Stofire",(S775*#REF!),0))+(IF(O775="Fire Control",(S775*$U$2),0))+(IF(O775="Fire Tex",(S775*$U$3),0))+(IF(O775="WB7",(S775*#REF!),0)+(IF(O775="FX 2003",(S775*$U$5),0)))</f>
        <v>0</v>
      </c>
      <c r="V775" s="651">
        <f t="shared" si="83"/>
        <v>0</v>
      </c>
    </row>
    <row r="776" spans="4:22" x14ac:dyDescent="0.25">
      <c r="D776" s="118">
        <f>+CUBICACION!D775</f>
        <v>0</v>
      </c>
      <c r="E776" s="118">
        <f>+CUBICACION!F775</f>
        <v>0</v>
      </c>
      <c r="F776" s="118">
        <f>+CUBICACION!E775</f>
        <v>0</v>
      </c>
      <c r="G776" s="118">
        <v>12</v>
      </c>
      <c r="H776" s="118">
        <v>2</v>
      </c>
      <c r="I776" s="820">
        <v>26385</v>
      </c>
      <c r="J776" s="118">
        <f>+CUBICACION!J775</f>
        <v>0</v>
      </c>
      <c r="K776" s="118">
        <v>3555</v>
      </c>
      <c r="L776" s="118">
        <f>+CUBICACION!L775</f>
        <v>0</v>
      </c>
      <c r="M776" s="64">
        <f>+CUBICACION!M775</f>
        <v>0</v>
      </c>
      <c r="N776" s="824" t="str">
        <f>+CUBICACION!N775</f>
        <v/>
      </c>
      <c r="O776" s="675">
        <f>+CUBICACION!O775</f>
        <v>0</v>
      </c>
      <c r="P776" s="15">
        <f>IF(O776="Fire Control",VLOOKUP(_xlfn.MINIFS('FIRE CONTROL'!$C$4:$C$37,'FIRE CONTROL'!$C$4:$C$37,"&gt;="&amp;M776),'FIRE CONTROL'!$C$4:$G$37,IF(L776="F-15",2,IF(L776="F-30",3,IF(L776="F-60",4,IF(L776="F-90",5,0)))),0),0)+IF(AND(O776="FIRE TEX 5062",OR(E776="IN",E776="C",E776="Z",E776="L"),J776=3),VLOOKUP(_xlfn.MINIFS('FIRE TEX 5062'!$B$4:$B$34,'FIRE TEX 5062'!$B$4:$B$34,"&gt;="&amp;M776),'FIRE TEX 5062'!$B$4:$F$34,IF(L776="F-15",2,IF(L776="F-30",3,IF(L776="F-60",4,IF(L776="F-90",5,0)))),0),0)+IF(AND(O776="FIRE TEX 5062",OR(E776="IN",E776="C",E776="Z",E776="L"),J776=4),VLOOKUP(_xlfn.MINIFS('FIRE TEX 5062'!$G$4:$G$34,'FIRE TEX 5062'!$G$4:$G$34,"&gt;="&amp;M776),'FIRE TEX 5062'!$G$4:$K$34,IF(L776="F-15",2,IF(L776="F-30",3,IF(L776="F-60",4,IF(L776="F-90",5,0)))),0),0)+IF(AND(O776="FIRE TEX 5062",E776="CJ",J776=3),VLOOKUP(_xlfn.MINIFS('FIRE TEX 5062'!$L$4:$L$34,'FIRE TEX 5062'!$L$4:$L$34,"&gt;="&amp;M776),'FIRE TEX 5062'!$L$4:$P$34,IF(L776="F-15",2,IF(L776="F-30",3,IF(L776="F-60",4,IF(L776="F-90",5,0)))),0),0)+IF(AND(O776="FIRE TEX 5062",E776="CJ",J776=4),VLOOKUP(_xlfn.MINIFS('FIRE TEX 5062'!$Q$3:$Q$34,'FIRE TEX 5062'!$Q$3:$Q$34,"&gt;="&amp;M776),'FIRE TEX 5062'!$Q$3:$U$34,IF(L776="F-15",2,IF(L776="F-30",3,IF(L776="F-60",4,IF(L776="F-90",5,0)))),0),0)+IF(AND(O776="FIRE TEX 5090",OR(E776="IN",E776="C",E776="Z",E776="L"),J776=3),VLOOKUP(_xlfn.MINIFS('FIRE TEX 5090'!$B$5:$B$43,'FIRE TEX 5090'!$B$5:$B$43,"&gt;="&amp;M776),'FIRE TEX 5090'!$B$5:$H$43,IF(L776="F-15",2,IF(L776="F-30",3,IF(L776="F-60",4,IF(L776="F-90",5,IF(L776="F-120",6,IF(L776="F-150",7,0)))))),0),0)+IF(AND(O776="FIRE TEX 5090",OR(E776="IN",E776="C",E776="Z",E776="L"),J776=4),VLOOKUP(_xlfn.MINIFS('FIRE TEX 5090'!$J$5:$J$43,'FIRE TEX 5090'!$J$5:$J$43,"&gt;="&amp;M776),'FIRE TEX 5090'!$J$5:$P$43,IF(L776="F-15",2,IF(L776="F-30",3,IF(L776="F-60",4,IF(L776="F-90",5,IF(L776="F-120",6,IF(L776="F-150",7,0)))))),0),0)+IF(AND(O776="FIRE TEX 5090",E776="CJ",J776=3),VLOOKUP(_xlfn.MINIFS('FIRE TEX 5090'!$R$5:$R$30,'FIRE TEX 5090'!$R$5:$R$30,"&gt;="&amp;M776),'FIRE TEX 5090'!$R$5:$W$30,IF(L776="F-15",2,IF(L776="F-30",3,IF(L776="F-60",4,IF(L776="F-90",5,IF(L776="F-120",6,IF(L776="F-150",7,0)))))),0),0)+IF(AND(O776="FIRE TEX 5090",E776="CJ",J776=4),VLOOKUP(_xlfn.MINIFS('FIRE TEX 5090'!$Y$5:$Y$39,'FIRE TEX 5090'!$Y$5:$Y$39,"&gt;="&amp;M776),'FIRE TEX 5090'!$Y$5:$AD$39,IF(L776="F-15",2,IF(L776="F-30",3,IF(L776="F-60",4,IF(L776="F-90",5,IF(L776="F-120",6,IF(L776="F-150",7,0)))))),0),0)+IF(AND(O776="FIRE TEX 5120",OR(E776="IN",E776="C",E776="Z",E776="L"),J776=3),VLOOKUP(_xlfn.MINIFS('FIRE TEX 5120'!$B$5:$B$40,'FIRE TEX 5120'!$B$5:$B$40,"&gt;="&amp;M776),'FIRE TEX 5120'!$B$5:$G$40,IF(L776="F-15",2,IF(L776="F-30",3,IF(L776="F-60",4,IF(L776="F-90",5,IF(L776="F-120",6,0))))),0),0)+IF(AND(O776="FIRE TEX 5120",OR(E776="IN",E776="C",E776="Z",E776="L"),J776=4),VLOOKUP(_xlfn.MINIFS('FIRE TEX 5120'!$H$4:$H$40,'FIRE TEX 5120'!$H$4:$H$40,"&gt;="&amp;M776),'FIRE TEX 5120'!$H$4:$M$40,IF(L776="F-15",2,IF(L776="F-30",3,IF(L776="F-60",4,IF(L776="F-90",5,IF(L776="F-120",6,0))))),0),0)+IF(AND(O776="FIRE TEX 5120",E776="CJ"),VLOOKUP(_xlfn.MINIFS('FIRE TEX 5120'!$O$5:$O$40,'FIRE TEX 5120'!$O$5:$O$40,"&gt;="&amp;M776),'FIRE TEX 5120'!$O$5:$T$40,IF(L776="F-15",2,IF(L776="F-30",3,IF(L776="F-60",4,IF(L776="F-90",5,IF(L776="F-120",6,0))))),0),0)</f>
        <v>0</v>
      </c>
      <c r="Q776" s="46">
        <f t="shared" si="79"/>
        <v>0</v>
      </c>
      <c r="R776" s="46">
        <f t="shared" si="80"/>
        <v>0</v>
      </c>
      <c r="S776" s="46" t="e">
        <f t="shared" si="81"/>
        <v>#VALUE!</v>
      </c>
      <c r="T776" s="677">
        <f t="shared" si="82"/>
        <v>0</v>
      </c>
      <c r="U776" s="80">
        <f>(IF(O776="Stofire",(S776*#REF!),0))+(IF(O776="Fire Control",(S776*$U$2),0))+(IF(O776="Fire Tex",(S776*$U$3),0))+(IF(O776="WB7",(S776*#REF!),0)+(IF(O776="FX 2003",(S776*$U$5),0)))</f>
        <v>0</v>
      </c>
      <c r="V776" s="651">
        <f t="shared" si="83"/>
        <v>0</v>
      </c>
    </row>
    <row r="777" spans="4:22" x14ac:dyDescent="0.25">
      <c r="D777" s="118">
        <f>+CUBICACION!D776</f>
        <v>0</v>
      </c>
      <c r="E777" s="118">
        <f>+CUBICACION!F776</f>
        <v>0</v>
      </c>
      <c r="F777" s="118">
        <f>+CUBICACION!E776</f>
        <v>0</v>
      </c>
      <c r="G777" s="118">
        <v>12</v>
      </c>
      <c r="H777" s="118">
        <v>2</v>
      </c>
      <c r="I777" s="820">
        <v>26385</v>
      </c>
      <c r="J777" s="118">
        <f>+CUBICACION!J776</f>
        <v>0</v>
      </c>
      <c r="K777" s="118">
        <v>3556</v>
      </c>
      <c r="L777" s="118">
        <f>+CUBICACION!L776</f>
        <v>0</v>
      </c>
      <c r="M777" s="64">
        <f>+CUBICACION!M776</f>
        <v>0</v>
      </c>
      <c r="N777" s="824" t="str">
        <f>+CUBICACION!N776</f>
        <v/>
      </c>
      <c r="O777" s="675">
        <f>+CUBICACION!O776</f>
        <v>0</v>
      </c>
      <c r="P777" s="15">
        <f>IF(O777="Fire Control",VLOOKUP(_xlfn.MINIFS('FIRE CONTROL'!$C$4:$C$37,'FIRE CONTROL'!$C$4:$C$37,"&gt;="&amp;M777),'FIRE CONTROL'!$C$4:$G$37,IF(L777="F-15",2,IF(L777="F-30",3,IF(L777="F-60",4,IF(L777="F-90",5,0)))),0),0)+IF(AND(O777="FIRE TEX 5062",OR(E777="IN",E777="C",E777="Z",E777="L"),J777=3),VLOOKUP(_xlfn.MINIFS('FIRE TEX 5062'!$B$4:$B$34,'FIRE TEX 5062'!$B$4:$B$34,"&gt;="&amp;M777),'FIRE TEX 5062'!$B$4:$F$34,IF(L777="F-15",2,IF(L777="F-30",3,IF(L777="F-60",4,IF(L777="F-90",5,0)))),0),0)+IF(AND(O777="FIRE TEX 5062",OR(E777="IN",E777="C",E777="Z",E777="L"),J777=4),VLOOKUP(_xlfn.MINIFS('FIRE TEX 5062'!$G$4:$G$34,'FIRE TEX 5062'!$G$4:$G$34,"&gt;="&amp;M777),'FIRE TEX 5062'!$G$4:$K$34,IF(L777="F-15",2,IF(L777="F-30",3,IF(L777="F-60",4,IF(L777="F-90",5,0)))),0),0)+IF(AND(O777="FIRE TEX 5062",E777="CJ",J777=3),VLOOKUP(_xlfn.MINIFS('FIRE TEX 5062'!$L$4:$L$34,'FIRE TEX 5062'!$L$4:$L$34,"&gt;="&amp;M777),'FIRE TEX 5062'!$L$4:$P$34,IF(L777="F-15",2,IF(L777="F-30",3,IF(L777="F-60",4,IF(L777="F-90",5,0)))),0),0)+IF(AND(O777="FIRE TEX 5062",E777="CJ",J777=4),VLOOKUP(_xlfn.MINIFS('FIRE TEX 5062'!$Q$3:$Q$34,'FIRE TEX 5062'!$Q$3:$Q$34,"&gt;="&amp;M777),'FIRE TEX 5062'!$Q$3:$U$34,IF(L777="F-15",2,IF(L777="F-30",3,IF(L777="F-60",4,IF(L777="F-90",5,0)))),0),0)+IF(AND(O777="FIRE TEX 5090",OR(E777="IN",E777="C",E777="Z",E777="L"),J777=3),VLOOKUP(_xlfn.MINIFS('FIRE TEX 5090'!$B$5:$B$43,'FIRE TEX 5090'!$B$5:$B$43,"&gt;="&amp;M777),'FIRE TEX 5090'!$B$5:$H$43,IF(L777="F-15",2,IF(L777="F-30",3,IF(L777="F-60",4,IF(L777="F-90",5,IF(L777="F-120",6,IF(L777="F-150",7,0)))))),0),0)+IF(AND(O777="FIRE TEX 5090",OR(E777="IN",E777="C",E777="Z",E777="L"),J777=4),VLOOKUP(_xlfn.MINIFS('FIRE TEX 5090'!$J$5:$J$43,'FIRE TEX 5090'!$J$5:$J$43,"&gt;="&amp;M777),'FIRE TEX 5090'!$J$5:$P$43,IF(L777="F-15",2,IF(L777="F-30",3,IF(L777="F-60",4,IF(L777="F-90",5,IF(L777="F-120",6,IF(L777="F-150",7,0)))))),0),0)+IF(AND(O777="FIRE TEX 5090",E777="CJ",J777=3),VLOOKUP(_xlfn.MINIFS('FIRE TEX 5090'!$R$5:$R$30,'FIRE TEX 5090'!$R$5:$R$30,"&gt;="&amp;M777),'FIRE TEX 5090'!$R$5:$W$30,IF(L777="F-15",2,IF(L777="F-30",3,IF(L777="F-60",4,IF(L777="F-90",5,IF(L777="F-120",6,IF(L777="F-150",7,0)))))),0),0)+IF(AND(O777="FIRE TEX 5090",E777="CJ",J777=4),VLOOKUP(_xlfn.MINIFS('FIRE TEX 5090'!$Y$5:$Y$39,'FIRE TEX 5090'!$Y$5:$Y$39,"&gt;="&amp;M777),'FIRE TEX 5090'!$Y$5:$AD$39,IF(L777="F-15",2,IF(L777="F-30",3,IF(L777="F-60",4,IF(L777="F-90",5,IF(L777="F-120",6,IF(L777="F-150",7,0)))))),0),0)+IF(AND(O777="FIRE TEX 5120",OR(E777="IN",E777="C",E777="Z",E777="L"),J777=3),VLOOKUP(_xlfn.MINIFS('FIRE TEX 5120'!$B$5:$B$40,'FIRE TEX 5120'!$B$5:$B$40,"&gt;="&amp;M777),'FIRE TEX 5120'!$B$5:$G$40,IF(L777="F-15",2,IF(L777="F-30",3,IF(L777="F-60",4,IF(L777="F-90",5,IF(L777="F-120",6,0))))),0),0)+IF(AND(O777="FIRE TEX 5120",OR(E777="IN",E777="C",E777="Z",E777="L"),J777=4),VLOOKUP(_xlfn.MINIFS('FIRE TEX 5120'!$H$4:$H$40,'FIRE TEX 5120'!$H$4:$H$40,"&gt;="&amp;M777),'FIRE TEX 5120'!$H$4:$M$40,IF(L777="F-15",2,IF(L777="F-30",3,IF(L777="F-60",4,IF(L777="F-90",5,IF(L777="F-120",6,0))))),0),0)+IF(AND(O777="FIRE TEX 5120",E777="CJ"),VLOOKUP(_xlfn.MINIFS('FIRE TEX 5120'!$O$5:$O$40,'FIRE TEX 5120'!$O$5:$O$40,"&gt;="&amp;M777),'FIRE TEX 5120'!$O$5:$T$40,IF(L777="F-15",2,IF(L777="F-30",3,IF(L777="F-60",4,IF(L777="F-90",5,IF(L777="F-120",6,0))))),0),0)</f>
        <v>0</v>
      </c>
      <c r="Q777" s="46">
        <f t="shared" si="79"/>
        <v>0</v>
      </c>
      <c r="R777" s="46">
        <f t="shared" si="80"/>
        <v>0</v>
      </c>
      <c r="S777" s="46" t="e">
        <f t="shared" si="81"/>
        <v>#VALUE!</v>
      </c>
      <c r="T777" s="677">
        <f t="shared" si="82"/>
        <v>0</v>
      </c>
      <c r="U777" s="80">
        <f>(IF(O777="Stofire",(S777*#REF!),0))+(IF(O777="Fire Control",(S777*$U$2),0))+(IF(O777="Fire Tex",(S777*$U$3),0))+(IF(O777="WB7",(S777*#REF!),0)+(IF(O777="FX 2003",(S777*$U$5),0)))</f>
        <v>0</v>
      </c>
      <c r="V777" s="651">
        <f t="shared" si="83"/>
        <v>0</v>
      </c>
    </row>
    <row r="778" spans="4:22" x14ac:dyDescent="0.25">
      <c r="D778" s="118">
        <f>+CUBICACION!D777</f>
        <v>0</v>
      </c>
      <c r="E778" s="118">
        <f>+CUBICACION!F777</f>
        <v>0</v>
      </c>
      <c r="F778" s="118">
        <f>+CUBICACION!E777</f>
        <v>0</v>
      </c>
      <c r="G778" s="118">
        <v>12</v>
      </c>
      <c r="H778" s="118">
        <v>2</v>
      </c>
      <c r="I778" s="820">
        <v>26385</v>
      </c>
      <c r="J778" s="118">
        <f>+CUBICACION!J777</f>
        <v>0</v>
      </c>
      <c r="K778" s="118">
        <v>3557</v>
      </c>
      <c r="L778" s="118">
        <f>+CUBICACION!L777</f>
        <v>0</v>
      </c>
      <c r="M778" s="64">
        <f>+CUBICACION!M777</f>
        <v>0</v>
      </c>
      <c r="N778" s="824" t="str">
        <f>+CUBICACION!N777</f>
        <v/>
      </c>
      <c r="O778" s="675">
        <f>+CUBICACION!O777</f>
        <v>0</v>
      </c>
      <c r="P778" s="15">
        <f>IF(O778="Fire Control",VLOOKUP(_xlfn.MINIFS('FIRE CONTROL'!$C$4:$C$37,'FIRE CONTROL'!$C$4:$C$37,"&gt;="&amp;M778),'FIRE CONTROL'!$C$4:$G$37,IF(L778="F-15",2,IF(L778="F-30",3,IF(L778="F-60",4,IF(L778="F-90",5,0)))),0),0)+IF(AND(O778="FIRE TEX 5062",OR(E778="IN",E778="C",E778="Z",E778="L"),J778=3),VLOOKUP(_xlfn.MINIFS('FIRE TEX 5062'!$B$4:$B$34,'FIRE TEX 5062'!$B$4:$B$34,"&gt;="&amp;M778),'FIRE TEX 5062'!$B$4:$F$34,IF(L778="F-15",2,IF(L778="F-30",3,IF(L778="F-60",4,IF(L778="F-90",5,0)))),0),0)+IF(AND(O778="FIRE TEX 5062",OR(E778="IN",E778="C",E778="Z",E778="L"),J778=4),VLOOKUP(_xlfn.MINIFS('FIRE TEX 5062'!$G$4:$G$34,'FIRE TEX 5062'!$G$4:$G$34,"&gt;="&amp;M778),'FIRE TEX 5062'!$G$4:$K$34,IF(L778="F-15",2,IF(L778="F-30",3,IF(L778="F-60",4,IF(L778="F-90",5,0)))),0),0)+IF(AND(O778="FIRE TEX 5062",E778="CJ",J778=3),VLOOKUP(_xlfn.MINIFS('FIRE TEX 5062'!$L$4:$L$34,'FIRE TEX 5062'!$L$4:$L$34,"&gt;="&amp;M778),'FIRE TEX 5062'!$L$4:$P$34,IF(L778="F-15",2,IF(L778="F-30",3,IF(L778="F-60",4,IF(L778="F-90",5,0)))),0),0)+IF(AND(O778="FIRE TEX 5062",E778="CJ",J778=4),VLOOKUP(_xlfn.MINIFS('FIRE TEX 5062'!$Q$3:$Q$34,'FIRE TEX 5062'!$Q$3:$Q$34,"&gt;="&amp;M778),'FIRE TEX 5062'!$Q$3:$U$34,IF(L778="F-15",2,IF(L778="F-30",3,IF(L778="F-60",4,IF(L778="F-90",5,0)))),0),0)+IF(AND(O778="FIRE TEX 5090",OR(E778="IN",E778="C",E778="Z",E778="L"),J778=3),VLOOKUP(_xlfn.MINIFS('FIRE TEX 5090'!$B$5:$B$43,'FIRE TEX 5090'!$B$5:$B$43,"&gt;="&amp;M778),'FIRE TEX 5090'!$B$5:$H$43,IF(L778="F-15",2,IF(L778="F-30",3,IF(L778="F-60",4,IF(L778="F-90",5,IF(L778="F-120",6,IF(L778="F-150",7,0)))))),0),0)+IF(AND(O778="FIRE TEX 5090",OR(E778="IN",E778="C",E778="Z",E778="L"),J778=4),VLOOKUP(_xlfn.MINIFS('FIRE TEX 5090'!$J$5:$J$43,'FIRE TEX 5090'!$J$5:$J$43,"&gt;="&amp;M778),'FIRE TEX 5090'!$J$5:$P$43,IF(L778="F-15",2,IF(L778="F-30",3,IF(L778="F-60",4,IF(L778="F-90",5,IF(L778="F-120",6,IF(L778="F-150",7,0)))))),0),0)+IF(AND(O778="FIRE TEX 5090",E778="CJ",J778=3),VLOOKUP(_xlfn.MINIFS('FIRE TEX 5090'!$R$5:$R$30,'FIRE TEX 5090'!$R$5:$R$30,"&gt;="&amp;M778),'FIRE TEX 5090'!$R$5:$W$30,IF(L778="F-15",2,IF(L778="F-30",3,IF(L778="F-60",4,IF(L778="F-90",5,IF(L778="F-120",6,IF(L778="F-150",7,0)))))),0),0)+IF(AND(O778="FIRE TEX 5090",E778="CJ",J778=4),VLOOKUP(_xlfn.MINIFS('FIRE TEX 5090'!$Y$5:$Y$39,'FIRE TEX 5090'!$Y$5:$Y$39,"&gt;="&amp;M778),'FIRE TEX 5090'!$Y$5:$AD$39,IF(L778="F-15",2,IF(L778="F-30",3,IF(L778="F-60",4,IF(L778="F-90",5,IF(L778="F-120",6,IF(L778="F-150",7,0)))))),0),0)+IF(AND(O778="FIRE TEX 5120",OR(E778="IN",E778="C",E778="Z",E778="L"),J778=3),VLOOKUP(_xlfn.MINIFS('FIRE TEX 5120'!$B$5:$B$40,'FIRE TEX 5120'!$B$5:$B$40,"&gt;="&amp;M778),'FIRE TEX 5120'!$B$5:$G$40,IF(L778="F-15",2,IF(L778="F-30",3,IF(L778="F-60",4,IF(L778="F-90",5,IF(L778="F-120",6,0))))),0),0)+IF(AND(O778="FIRE TEX 5120",OR(E778="IN",E778="C",E778="Z",E778="L"),J778=4),VLOOKUP(_xlfn.MINIFS('FIRE TEX 5120'!$H$4:$H$40,'FIRE TEX 5120'!$H$4:$H$40,"&gt;="&amp;M778),'FIRE TEX 5120'!$H$4:$M$40,IF(L778="F-15",2,IF(L778="F-30",3,IF(L778="F-60",4,IF(L778="F-90",5,IF(L778="F-120",6,0))))),0),0)+IF(AND(O778="FIRE TEX 5120",E778="CJ"),VLOOKUP(_xlfn.MINIFS('FIRE TEX 5120'!$O$5:$O$40,'FIRE TEX 5120'!$O$5:$O$40,"&gt;="&amp;M778),'FIRE TEX 5120'!$O$5:$T$40,IF(L778="F-15",2,IF(L778="F-30",3,IF(L778="F-60",4,IF(L778="F-90",5,IF(L778="F-120",6,0))))),0),0)</f>
        <v>0</v>
      </c>
      <c r="Q778" s="46">
        <f t="shared" si="79"/>
        <v>0</v>
      </c>
      <c r="R778" s="46">
        <f t="shared" si="80"/>
        <v>0</v>
      </c>
      <c r="S778" s="46" t="e">
        <f t="shared" si="81"/>
        <v>#VALUE!</v>
      </c>
      <c r="T778" s="677">
        <f t="shared" si="82"/>
        <v>0</v>
      </c>
      <c r="U778" s="80">
        <f>(IF(O778="Stofire",(S778*#REF!),0))+(IF(O778="Fire Control",(S778*$U$2),0))+(IF(O778="Fire Tex",(S778*$U$3),0))+(IF(O778="WB7",(S778*#REF!),0)+(IF(O778="FX 2003",(S778*$U$5),0)))</f>
        <v>0</v>
      </c>
      <c r="V778" s="651">
        <f t="shared" si="83"/>
        <v>0</v>
      </c>
    </row>
    <row r="779" spans="4:22" x14ac:dyDescent="0.25">
      <c r="D779" s="118">
        <f>+CUBICACION!D778</f>
        <v>0</v>
      </c>
      <c r="E779" s="118">
        <f>+CUBICACION!F778</f>
        <v>0</v>
      </c>
      <c r="F779" s="118">
        <f>+CUBICACION!E778</f>
        <v>0</v>
      </c>
      <c r="G779" s="118">
        <v>12</v>
      </c>
      <c r="H779" s="118">
        <v>2</v>
      </c>
      <c r="I779" s="820">
        <v>26385</v>
      </c>
      <c r="J779" s="118">
        <f>+CUBICACION!J778</f>
        <v>0</v>
      </c>
      <c r="K779" s="118">
        <v>3558</v>
      </c>
      <c r="L779" s="118">
        <f>+CUBICACION!L778</f>
        <v>0</v>
      </c>
      <c r="M779" s="64">
        <f>+CUBICACION!M778</f>
        <v>0</v>
      </c>
      <c r="N779" s="824" t="str">
        <f>+CUBICACION!N778</f>
        <v/>
      </c>
      <c r="O779" s="675">
        <f>+CUBICACION!O778</f>
        <v>0</v>
      </c>
      <c r="P779" s="15">
        <f>IF(O779="Fire Control",VLOOKUP(_xlfn.MINIFS('FIRE CONTROL'!$C$4:$C$37,'FIRE CONTROL'!$C$4:$C$37,"&gt;="&amp;M779),'FIRE CONTROL'!$C$4:$G$37,IF(L779="F-15",2,IF(L779="F-30",3,IF(L779="F-60",4,IF(L779="F-90",5,0)))),0),0)+IF(AND(O779="FIRE TEX 5062",OR(E779="IN",E779="C",E779="Z",E779="L"),J779=3),VLOOKUP(_xlfn.MINIFS('FIRE TEX 5062'!$B$4:$B$34,'FIRE TEX 5062'!$B$4:$B$34,"&gt;="&amp;M779),'FIRE TEX 5062'!$B$4:$F$34,IF(L779="F-15",2,IF(L779="F-30",3,IF(L779="F-60",4,IF(L779="F-90",5,0)))),0),0)+IF(AND(O779="FIRE TEX 5062",OR(E779="IN",E779="C",E779="Z",E779="L"),J779=4),VLOOKUP(_xlfn.MINIFS('FIRE TEX 5062'!$G$4:$G$34,'FIRE TEX 5062'!$G$4:$G$34,"&gt;="&amp;M779),'FIRE TEX 5062'!$G$4:$K$34,IF(L779="F-15",2,IF(L779="F-30",3,IF(L779="F-60",4,IF(L779="F-90",5,0)))),0),0)+IF(AND(O779="FIRE TEX 5062",E779="CJ",J779=3),VLOOKUP(_xlfn.MINIFS('FIRE TEX 5062'!$L$4:$L$34,'FIRE TEX 5062'!$L$4:$L$34,"&gt;="&amp;M779),'FIRE TEX 5062'!$L$4:$P$34,IF(L779="F-15",2,IF(L779="F-30",3,IF(L779="F-60",4,IF(L779="F-90",5,0)))),0),0)+IF(AND(O779="FIRE TEX 5062",E779="CJ",J779=4),VLOOKUP(_xlfn.MINIFS('FIRE TEX 5062'!$Q$3:$Q$34,'FIRE TEX 5062'!$Q$3:$Q$34,"&gt;="&amp;M779),'FIRE TEX 5062'!$Q$3:$U$34,IF(L779="F-15",2,IF(L779="F-30",3,IF(L779="F-60",4,IF(L779="F-90",5,0)))),0),0)+IF(AND(O779="FIRE TEX 5090",OR(E779="IN",E779="C",E779="Z",E779="L"),J779=3),VLOOKUP(_xlfn.MINIFS('FIRE TEX 5090'!$B$5:$B$43,'FIRE TEX 5090'!$B$5:$B$43,"&gt;="&amp;M779),'FIRE TEX 5090'!$B$5:$H$43,IF(L779="F-15",2,IF(L779="F-30",3,IF(L779="F-60",4,IF(L779="F-90",5,IF(L779="F-120",6,IF(L779="F-150",7,0)))))),0),0)+IF(AND(O779="FIRE TEX 5090",OR(E779="IN",E779="C",E779="Z",E779="L"),J779=4),VLOOKUP(_xlfn.MINIFS('FIRE TEX 5090'!$J$5:$J$43,'FIRE TEX 5090'!$J$5:$J$43,"&gt;="&amp;M779),'FIRE TEX 5090'!$J$5:$P$43,IF(L779="F-15",2,IF(L779="F-30",3,IF(L779="F-60",4,IF(L779="F-90",5,IF(L779="F-120",6,IF(L779="F-150",7,0)))))),0),0)+IF(AND(O779="FIRE TEX 5090",E779="CJ",J779=3),VLOOKUP(_xlfn.MINIFS('FIRE TEX 5090'!$R$5:$R$30,'FIRE TEX 5090'!$R$5:$R$30,"&gt;="&amp;M779),'FIRE TEX 5090'!$R$5:$W$30,IF(L779="F-15",2,IF(L779="F-30",3,IF(L779="F-60",4,IF(L779="F-90",5,IF(L779="F-120",6,IF(L779="F-150",7,0)))))),0),0)+IF(AND(O779="FIRE TEX 5090",E779="CJ",J779=4),VLOOKUP(_xlfn.MINIFS('FIRE TEX 5090'!$Y$5:$Y$39,'FIRE TEX 5090'!$Y$5:$Y$39,"&gt;="&amp;M779),'FIRE TEX 5090'!$Y$5:$AD$39,IF(L779="F-15",2,IF(L779="F-30",3,IF(L779="F-60",4,IF(L779="F-90",5,IF(L779="F-120",6,IF(L779="F-150",7,0)))))),0),0)+IF(AND(O779="FIRE TEX 5120",OR(E779="IN",E779="C",E779="Z",E779="L"),J779=3),VLOOKUP(_xlfn.MINIFS('FIRE TEX 5120'!$B$5:$B$40,'FIRE TEX 5120'!$B$5:$B$40,"&gt;="&amp;M779),'FIRE TEX 5120'!$B$5:$G$40,IF(L779="F-15",2,IF(L779="F-30",3,IF(L779="F-60",4,IF(L779="F-90",5,IF(L779="F-120",6,0))))),0),0)+IF(AND(O779="FIRE TEX 5120",OR(E779="IN",E779="C",E779="Z",E779="L"),J779=4),VLOOKUP(_xlfn.MINIFS('FIRE TEX 5120'!$H$4:$H$40,'FIRE TEX 5120'!$H$4:$H$40,"&gt;="&amp;M779),'FIRE TEX 5120'!$H$4:$M$40,IF(L779="F-15",2,IF(L779="F-30",3,IF(L779="F-60",4,IF(L779="F-90",5,IF(L779="F-120",6,0))))),0),0)+IF(AND(O779="FIRE TEX 5120",E779="CJ"),VLOOKUP(_xlfn.MINIFS('FIRE TEX 5120'!$O$5:$O$40,'FIRE TEX 5120'!$O$5:$O$40,"&gt;="&amp;M779),'FIRE TEX 5120'!$O$5:$T$40,IF(L779="F-15",2,IF(L779="F-30",3,IF(L779="F-60",4,IF(L779="F-90",5,IF(L779="F-120",6,0))))),0),0)</f>
        <v>0</v>
      </c>
      <c r="Q779" s="46">
        <f t="shared" si="79"/>
        <v>0</v>
      </c>
      <c r="R779" s="46">
        <f t="shared" si="80"/>
        <v>0</v>
      </c>
      <c r="S779" s="46" t="e">
        <f t="shared" si="81"/>
        <v>#VALUE!</v>
      </c>
      <c r="T779" s="677">
        <f t="shared" si="82"/>
        <v>0</v>
      </c>
      <c r="U779" s="80">
        <f>(IF(O779="Stofire",(S779*#REF!),0))+(IF(O779="Fire Control",(S779*$U$2),0))+(IF(O779="Fire Tex",(S779*$U$3),0))+(IF(O779="WB7",(S779*#REF!),0)+(IF(O779="FX 2003",(S779*$U$5),0)))</f>
        <v>0</v>
      </c>
      <c r="V779" s="651">
        <f t="shared" si="83"/>
        <v>0</v>
      </c>
    </row>
    <row r="780" spans="4:22" x14ac:dyDescent="0.25">
      <c r="D780" s="118">
        <f>+CUBICACION!D779</f>
        <v>0</v>
      </c>
      <c r="E780" s="118">
        <f>+CUBICACION!F779</f>
        <v>0</v>
      </c>
      <c r="F780" s="118">
        <f>+CUBICACION!E779</f>
        <v>0</v>
      </c>
      <c r="G780" s="118">
        <v>12</v>
      </c>
      <c r="H780" s="118">
        <v>2</v>
      </c>
      <c r="I780" s="820">
        <v>26385</v>
      </c>
      <c r="J780" s="118">
        <f>+CUBICACION!J779</f>
        <v>0</v>
      </c>
      <c r="K780" s="118">
        <v>3559</v>
      </c>
      <c r="L780" s="118">
        <f>+CUBICACION!L779</f>
        <v>0</v>
      </c>
      <c r="M780" s="64">
        <f>+CUBICACION!M779</f>
        <v>0</v>
      </c>
      <c r="N780" s="824" t="str">
        <f>+CUBICACION!N779</f>
        <v/>
      </c>
      <c r="O780" s="675">
        <f>+CUBICACION!O779</f>
        <v>0</v>
      </c>
      <c r="P780" s="15">
        <f>IF(O780="Fire Control",VLOOKUP(_xlfn.MINIFS('FIRE CONTROL'!$C$4:$C$37,'FIRE CONTROL'!$C$4:$C$37,"&gt;="&amp;M780),'FIRE CONTROL'!$C$4:$G$37,IF(L780="F-15",2,IF(L780="F-30",3,IF(L780="F-60",4,IF(L780="F-90",5,0)))),0),0)+IF(AND(O780="FIRE TEX 5062",OR(E780="IN",E780="C",E780="Z",E780="L"),J780=3),VLOOKUP(_xlfn.MINIFS('FIRE TEX 5062'!$B$4:$B$34,'FIRE TEX 5062'!$B$4:$B$34,"&gt;="&amp;M780),'FIRE TEX 5062'!$B$4:$F$34,IF(L780="F-15",2,IF(L780="F-30",3,IF(L780="F-60",4,IF(L780="F-90",5,0)))),0),0)+IF(AND(O780="FIRE TEX 5062",OR(E780="IN",E780="C",E780="Z",E780="L"),J780=4),VLOOKUP(_xlfn.MINIFS('FIRE TEX 5062'!$G$4:$G$34,'FIRE TEX 5062'!$G$4:$G$34,"&gt;="&amp;M780),'FIRE TEX 5062'!$G$4:$K$34,IF(L780="F-15",2,IF(L780="F-30",3,IF(L780="F-60",4,IF(L780="F-90",5,0)))),0),0)+IF(AND(O780="FIRE TEX 5062",E780="CJ",J780=3),VLOOKUP(_xlfn.MINIFS('FIRE TEX 5062'!$L$4:$L$34,'FIRE TEX 5062'!$L$4:$L$34,"&gt;="&amp;M780),'FIRE TEX 5062'!$L$4:$P$34,IF(L780="F-15",2,IF(L780="F-30",3,IF(L780="F-60",4,IF(L780="F-90",5,0)))),0),0)+IF(AND(O780="FIRE TEX 5062",E780="CJ",J780=4),VLOOKUP(_xlfn.MINIFS('FIRE TEX 5062'!$Q$3:$Q$34,'FIRE TEX 5062'!$Q$3:$Q$34,"&gt;="&amp;M780),'FIRE TEX 5062'!$Q$3:$U$34,IF(L780="F-15",2,IF(L780="F-30",3,IF(L780="F-60",4,IF(L780="F-90",5,0)))),0),0)+IF(AND(O780="FIRE TEX 5090",OR(E780="IN",E780="C",E780="Z",E780="L"),J780=3),VLOOKUP(_xlfn.MINIFS('FIRE TEX 5090'!$B$5:$B$43,'FIRE TEX 5090'!$B$5:$B$43,"&gt;="&amp;M780),'FIRE TEX 5090'!$B$5:$H$43,IF(L780="F-15",2,IF(L780="F-30",3,IF(L780="F-60",4,IF(L780="F-90",5,IF(L780="F-120",6,IF(L780="F-150",7,0)))))),0),0)+IF(AND(O780="FIRE TEX 5090",OR(E780="IN",E780="C",E780="Z",E780="L"),J780=4),VLOOKUP(_xlfn.MINIFS('FIRE TEX 5090'!$J$5:$J$43,'FIRE TEX 5090'!$J$5:$J$43,"&gt;="&amp;M780),'FIRE TEX 5090'!$J$5:$P$43,IF(L780="F-15",2,IF(L780="F-30",3,IF(L780="F-60",4,IF(L780="F-90",5,IF(L780="F-120",6,IF(L780="F-150",7,0)))))),0),0)+IF(AND(O780="FIRE TEX 5090",E780="CJ",J780=3),VLOOKUP(_xlfn.MINIFS('FIRE TEX 5090'!$R$5:$R$30,'FIRE TEX 5090'!$R$5:$R$30,"&gt;="&amp;M780),'FIRE TEX 5090'!$R$5:$W$30,IF(L780="F-15",2,IF(L780="F-30",3,IF(L780="F-60",4,IF(L780="F-90",5,IF(L780="F-120",6,IF(L780="F-150",7,0)))))),0),0)+IF(AND(O780="FIRE TEX 5090",E780="CJ",J780=4),VLOOKUP(_xlfn.MINIFS('FIRE TEX 5090'!$Y$5:$Y$39,'FIRE TEX 5090'!$Y$5:$Y$39,"&gt;="&amp;M780),'FIRE TEX 5090'!$Y$5:$AD$39,IF(L780="F-15",2,IF(L780="F-30",3,IF(L780="F-60",4,IF(L780="F-90",5,IF(L780="F-120",6,IF(L780="F-150",7,0)))))),0),0)+IF(AND(O780="FIRE TEX 5120",OR(E780="IN",E780="C",E780="Z",E780="L"),J780=3),VLOOKUP(_xlfn.MINIFS('FIRE TEX 5120'!$B$5:$B$40,'FIRE TEX 5120'!$B$5:$B$40,"&gt;="&amp;M780),'FIRE TEX 5120'!$B$5:$G$40,IF(L780="F-15",2,IF(L780="F-30",3,IF(L780="F-60",4,IF(L780="F-90",5,IF(L780="F-120",6,0))))),0),0)+IF(AND(O780="FIRE TEX 5120",OR(E780="IN",E780="C",E780="Z",E780="L"),J780=4),VLOOKUP(_xlfn.MINIFS('FIRE TEX 5120'!$H$4:$H$40,'FIRE TEX 5120'!$H$4:$H$40,"&gt;="&amp;M780),'FIRE TEX 5120'!$H$4:$M$40,IF(L780="F-15",2,IF(L780="F-30",3,IF(L780="F-60",4,IF(L780="F-90",5,IF(L780="F-120",6,0))))),0),0)+IF(AND(O780="FIRE TEX 5120",E780="CJ"),VLOOKUP(_xlfn.MINIFS('FIRE TEX 5120'!$O$5:$O$40,'FIRE TEX 5120'!$O$5:$O$40,"&gt;="&amp;M780),'FIRE TEX 5120'!$O$5:$T$40,IF(L780="F-15",2,IF(L780="F-30",3,IF(L780="F-60",4,IF(L780="F-90",5,IF(L780="F-120",6,0))))),0),0)</f>
        <v>0</v>
      </c>
      <c r="Q780" s="46">
        <f t="shared" si="79"/>
        <v>0</v>
      </c>
      <c r="R780" s="46">
        <f t="shared" si="80"/>
        <v>0</v>
      </c>
      <c r="S780" s="46" t="e">
        <f t="shared" si="81"/>
        <v>#VALUE!</v>
      </c>
      <c r="T780" s="677">
        <f t="shared" si="82"/>
        <v>0</v>
      </c>
      <c r="U780" s="80">
        <f>(IF(O780="Stofire",(S780*#REF!),0))+(IF(O780="Fire Control",(S780*$U$2),0))+(IF(O780="Fire Tex",(S780*$U$3),0))+(IF(O780="WB7",(S780*#REF!),0)+(IF(O780="FX 2003",(S780*$U$5),0)))</f>
        <v>0</v>
      </c>
      <c r="V780" s="651">
        <f t="shared" si="83"/>
        <v>0</v>
      </c>
    </row>
    <row r="781" spans="4:22" x14ac:dyDescent="0.25">
      <c r="D781" s="118">
        <f>+CUBICACION!D780</f>
        <v>0</v>
      </c>
      <c r="E781" s="118">
        <f>+CUBICACION!F780</f>
        <v>0</v>
      </c>
      <c r="F781" s="118">
        <f>+CUBICACION!E780</f>
        <v>0</v>
      </c>
      <c r="G781" s="118">
        <v>12</v>
      </c>
      <c r="H781" s="118">
        <v>2</v>
      </c>
      <c r="I781" s="820">
        <v>26385</v>
      </c>
      <c r="J781" s="118">
        <f>+CUBICACION!J780</f>
        <v>0</v>
      </c>
      <c r="K781" s="118">
        <v>3560</v>
      </c>
      <c r="L781" s="118">
        <f>+CUBICACION!L780</f>
        <v>0</v>
      </c>
      <c r="M781" s="64">
        <f>+CUBICACION!M780</f>
        <v>0</v>
      </c>
      <c r="N781" s="824" t="str">
        <f>+CUBICACION!N780</f>
        <v/>
      </c>
      <c r="O781" s="675">
        <f>+CUBICACION!O780</f>
        <v>0</v>
      </c>
      <c r="P781" s="15">
        <f>IF(O781="Fire Control",VLOOKUP(_xlfn.MINIFS('FIRE CONTROL'!$C$4:$C$37,'FIRE CONTROL'!$C$4:$C$37,"&gt;="&amp;M781),'FIRE CONTROL'!$C$4:$G$37,IF(L781="F-15",2,IF(L781="F-30",3,IF(L781="F-60",4,IF(L781="F-90",5,0)))),0),0)+IF(AND(O781="FIRE TEX 5062",OR(E781="IN",E781="C",E781="Z",E781="L"),J781=3),VLOOKUP(_xlfn.MINIFS('FIRE TEX 5062'!$B$4:$B$34,'FIRE TEX 5062'!$B$4:$B$34,"&gt;="&amp;M781),'FIRE TEX 5062'!$B$4:$F$34,IF(L781="F-15",2,IF(L781="F-30",3,IF(L781="F-60",4,IF(L781="F-90",5,0)))),0),0)+IF(AND(O781="FIRE TEX 5062",OR(E781="IN",E781="C",E781="Z",E781="L"),J781=4),VLOOKUP(_xlfn.MINIFS('FIRE TEX 5062'!$G$4:$G$34,'FIRE TEX 5062'!$G$4:$G$34,"&gt;="&amp;M781),'FIRE TEX 5062'!$G$4:$K$34,IF(L781="F-15",2,IF(L781="F-30",3,IF(L781="F-60",4,IF(L781="F-90",5,0)))),0),0)+IF(AND(O781="FIRE TEX 5062",E781="CJ",J781=3),VLOOKUP(_xlfn.MINIFS('FIRE TEX 5062'!$L$4:$L$34,'FIRE TEX 5062'!$L$4:$L$34,"&gt;="&amp;M781),'FIRE TEX 5062'!$L$4:$P$34,IF(L781="F-15",2,IF(L781="F-30",3,IF(L781="F-60",4,IF(L781="F-90",5,0)))),0),0)+IF(AND(O781="FIRE TEX 5062",E781="CJ",J781=4),VLOOKUP(_xlfn.MINIFS('FIRE TEX 5062'!$Q$3:$Q$34,'FIRE TEX 5062'!$Q$3:$Q$34,"&gt;="&amp;M781),'FIRE TEX 5062'!$Q$3:$U$34,IF(L781="F-15",2,IF(L781="F-30",3,IF(L781="F-60",4,IF(L781="F-90",5,0)))),0),0)+IF(AND(O781="FIRE TEX 5090",OR(E781="IN",E781="C",E781="Z",E781="L"),J781=3),VLOOKUP(_xlfn.MINIFS('FIRE TEX 5090'!$B$5:$B$43,'FIRE TEX 5090'!$B$5:$B$43,"&gt;="&amp;M781),'FIRE TEX 5090'!$B$5:$H$43,IF(L781="F-15",2,IF(L781="F-30",3,IF(L781="F-60",4,IF(L781="F-90",5,IF(L781="F-120",6,IF(L781="F-150",7,0)))))),0),0)+IF(AND(O781="FIRE TEX 5090",OR(E781="IN",E781="C",E781="Z",E781="L"),J781=4),VLOOKUP(_xlfn.MINIFS('FIRE TEX 5090'!$J$5:$J$43,'FIRE TEX 5090'!$J$5:$J$43,"&gt;="&amp;M781),'FIRE TEX 5090'!$J$5:$P$43,IF(L781="F-15",2,IF(L781="F-30",3,IF(L781="F-60",4,IF(L781="F-90",5,IF(L781="F-120",6,IF(L781="F-150",7,0)))))),0),0)+IF(AND(O781="FIRE TEX 5090",E781="CJ",J781=3),VLOOKUP(_xlfn.MINIFS('FIRE TEX 5090'!$R$5:$R$30,'FIRE TEX 5090'!$R$5:$R$30,"&gt;="&amp;M781),'FIRE TEX 5090'!$R$5:$W$30,IF(L781="F-15",2,IF(L781="F-30",3,IF(L781="F-60",4,IF(L781="F-90",5,IF(L781="F-120",6,IF(L781="F-150",7,0)))))),0),0)+IF(AND(O781="FIRE TEX 5090",E781="CJ",J781=4),VLOOKUP(_xlfn.MINIFS('FIRE TEX 5090'!$Y$5:$Y$39,'FIRE TEX 5090'!$Y$5:$Y$39,"&gt;="&amp;M781),'FIRE TEX 5090'!$Y$5:$AD$39,IF(L781="F-15",2,IF(L781="F-30",3,IF(L781="F-60",4,IF(L781="F-90",5,IF(L781="F-120",6,IF(L781="F-150",7,0)))))),0),0)+IF(AND(O781="FIRE TEX 5120",OR(E781="IN",E781="C",E781="Z",E781="L"),J781=3),VLOOKUP(_xlfn.MINIFS('FIRE TEX 5120'!$B$5:$B$40,'FIRE TEX 5120'!$B$5:$B$40,"&gt;="&amp;M781),'FIRE TEX 5120'!$B$5:$G$40,IF(L781="F-15",2,IF(L781="F-30",3,IF(L781="F-60",4,IF(L781="F-90",5,IF(L781="F-120",6,0))))),0),0)+IF(AND(O781="FIRE TEX 5120",OR(E781="IN",E781="C",E781="Z",E781="L"),J781=4),VLOOKUP(_xlfn.MINIFS('FIRE TEX 5120'!$H$4:$H$40,'FIRE TEX 5120'!$H$4:$H$40,"&gt;="&amp;M781),'FIRE TEX 5120'!$H$4:$M$40,IF(L781="F-15",2,IF(L781="F-30",3,IF(L781="F-60",4,IF(L781="F-90",5,IF(L781="F-120",6,0))))),0),0)+IF(AND(O781="FIRE TEX 5120",E781="CJ"),VLOOKUP(_xlfn.MINIFS('FIRE TEX 5120'!$O$5:$O$40,'FIRE TEX 5120'!$O$5:$O$40,"&gt;="&amp;M781),'FIRE TEX 5120'!$O$5:$T$40,IF(L781="F-15",2,IF(L781="F-30",3,IF(L781="F-60",4,IF(L781="F-90",5,IF(L781="F-120",6,0))))),0),0)</f>
        <v>0</v>
      </c>
      <c r="Q781" s="46">
        <f t="shared" si="79"/>
        <v>0</v>
      </c>
      <c r="R781" s="46">
        <f t="shared" si="80"/>
        <v>0</v>
      </c>
      <c r="S781" s="46" t="e">
        <f t="shared" si="81"/>
        <v>#VALUE!</v>
      </c>
      <c r="T781" s="677">
        <f t="shared" si="82"/>
        <v>0</v>
      </c>
      <c r="U781" s="80">
        <f>(IF(O781="Stofire",(S781*#REF!),0))+(IF(O781="Fire Control",(S781*$U$2),0))+(IF(O781="Fire Tex",(S781*$U$3),0))+(IF(O781="WB7",(S781*#REF!),0)+(IF(O781="FX 2003",(S781*$U$5),0)))</f>
        <v>0</v>
      </c>
      <c r="V781" s="651">
        <f t="shared" si="83"/>
        <v>0</v>
      </c>
    </row>
    <row r="782" spans="4:22" x14ac:dyDescent="0.25">
      <c r="D782" s="118">
        <f>+CUBICACION!D781</f>
        <v>0</v>
      </c>
      <c r="E782" s="118">
        <f>+CUBICACION!F781</f>
        <v>0</v>
      </c>
      <c r="F782" s="118">
        <f>+CUBICACION!E781</f>
        <v>0</v>
      </c>
      <c r="G782" s="118">
        <v>12</v>
      </c>
      <c r="H782" s="118">
        <v>2</v>
      </c>
      <c r="I782" s="820">
        <v>26385</v>
      </c>
      <c r="J782" s="118">
        <f>+CUBICACION!J781</f>
        <v>0</v>
      </c>
      <c r="K782" s="118">
        <v>3561</v>
      </c>
      <c r="L782" s="118">
        <f>+CUBICACION!L781</f>
        <v>0</v>
      </c>
      <c r="M782" s="64">
        <f>+CUBICACION!M781</f>
        <v>0</v>
      </c>
      <c r="N782" s="824" t="str">
        <f>+CUBICACION!N781</f>
        <v/>
      </c>
      <c r="O782" s="675">
        <f>+CUBICACION!O781</f>
        <v>0</v>
      </c>
      <c r="P782" s="15">
        <f>IF(O782="Fire Control",VLOOKUP(_xlfn.MINIFS('FIRE CONTROL'!$C$4:$C$37,'FIRE CONTROL'!$C$4:$C$37,"&gt;="&amp;M782),'FIRE CONTROL'!$C$4:$G$37,IF(L782="F-15",2,IF(L782="F-30",3,IF(L782="F-60",4,IF(L782="F-90",5,0)))),0),0)+IF(AND(O782="FIRE TEX 5062",OR(E782="IN",E782="C",E782="Z",E782="L"),J782=3),VLOOKUP(_xlfn.MINIFS('FIRE TEX 5062'!$B$4:$B$34,'FIRE TEX 5062'!$B$4:$B$34,"&gt;="&amp;M782),'FIRE TEX 5062'!$B$4:$F$34,IF(L782="F-15",2,IF(L782="F-30",3,IF(L782="F-60",4,IF(L782="F-90",5,0)))),0),0)+IF(AND(O782="FIRE TEX 5062",OR(E782="IN",E782="C",E782="Z",E782="L"),J782=4),VLOOKUP(_xlfn.MINIFS('FIRE TEX 5062'!$G$4:$G$34,'FIRE TEX 5062'!$G$4:$G$34,"&gt;="&amp;M782),'FIRE TEX 5062'!$G$4:$K$34,IF(L782="F-15",2,IF(L782="F-30",3,IF(L782="F-60",4,IF(L782="F-90",5,0)))),0),0)+IF(AND(O782="FIRE TEX 5062",E782="CJ",J782=3),VLOOKUP(_xlfn.MINIFS('FIRE TEX 5062'!$L$4:$L$34,'FIRE TEX 5062'!$L$4:$L$34,"&gt;="&amp;M782),'FIRE TEX 5062'!$L$4:$P$34,IF(L782="F-15",2,IF(L782="F-30",3,IF(L782="F-60",4,IF(L782="F-90",5,0)))),0),0)+IF(AND(O782="FIRE TEX 5062",E782="CJ",J782=4),VLOOKUP(_xlfn.MINIFS('FIRE TEX 5062'!$Q$3:$Q$34,'FIRE TEX 5062'!$Q$3:$Q$34,"&gt;="&amp;M782),'FIRE TEX 5062'!$Q$3:$U$34,IF(L782="F-15",2,IF(L782="F-30",3,IF(L782="F-60",4,IF(L782="F-90",5,0)))),0),0)+IF(AND(O782="FIRE TEX 5090",OR(E782="IN",E782="C",E782="Z",E782="L"),J782=3),VLOOKUP(_xlfn.MINIFS('FIRE TEX 5090'!$B$5:$B$43,'FIRE TEX 5090'!$B$5:$B$43,"&gt;="&amp;M782),'FIRE TEX 5090'!$B$5:$H$43,IF(L782="F-15",2,IF(L782="F-30",3,IF(L782="F-60",4,IF(L782="F-90",5,IF(L782="F-120",6,IF(L782="F-150",7,0)))))),0),0)+IF(AND(O782="FIRE TEX 5090",OR(E782="IN",E782="C",E782="Z",E782="L"),J782=4),VLOOKUP(_xlfn.MINIFS('FIRE TEX 5090'!$J$5:$J$43,'FIRE TEX 5090'!$J$5:$J$43,"&gt;="&amp;M782),'FIRE TEX 5090'!$J$5:$P$43,IF(L782="F-15",2,IF(L782="F-30",3,IF(L782="F-60",4,IF(L782="F-90",5,IF(L782="F-120",6,IF(L782="F-150",7,0)))))),0),0)+IF(AND(O782="FIRE TEX 5090",E782="CJ",J782=3),VLOOKUP(_xlfn.MINIFS('FIRE TEX 5090'!$R$5:$R$30,'FIRE TEX 5090'!$R$5:$R$30,"&gt;="&amp;M782),'FIRE TEX 5090'!$R$5:$W$30,IF(L782="F-15",2,IF(L782="F-30",3,IF(L782="F-60",4,IF(L782="F-90",5,IF(L782="F-120",6,IF(L782="F-150",7,0)))))),0),0)+IF(AND(O782="FIRE TEX 5090",E782="CJ",J782=4),VLOOKUP(_xlfn.MINIFS('FIRE TEX 5090'!$Y$5:$Y$39,'FIRE TEX 5090'!$Y$5:$Y$39,"&gt;="&amp;M782),'FIRE TEX 5090'!$Y$5:$AD$39,IF(L782="F-15",2,IF(L782="F-30",3,IF(L782="F-60",4,IF(L782="F-90",5,IF(L782="F-120",6,IF(L782="F-150",7,0)))))),0),0)+IF(AND(O782="FIRE TEX 5120",OR(E782="IN",E782="C",E782="Z",E782="L"),J782=3),VLOOKUP(_xlfn.MINIFS('FIRE TEX 5120'!$B$5:$B$40,'FIRE TEX 5120'!$B$5:$B$40,"&gt;="&amp;M782),'FIRE TEX 5120'!$B$5:$G$40,IF(L782="F-15",2,IF(L782="F-30",3,IF(L782="F-60",4,IF(L782="F-90",5,IF(L782="F-120",6,0))))),0),0)+IF(AND(O782="FIRE TEX 5120",OR(E782="IN",E782="C",E782="Z",E782="L"),J782=4),VLOOKUP(_xlfn.MINIFS('FIRE TEX 5120'!$H$4:$H$40,'FIRE TEX 5120'!$H$4:$H$40,"&gt;="&amp;M782),'FIRE TEX 5120'!$H$4:$M$40,IF(L782="F-15",2,IF(L782="F-30",3,IF(L782="F-60",4,IF(L782="F-90",5,IF(L782="F-120",6,0))))),0),0)+IF(AND(O782="FIRE TEX 5120",E782="CJ"),VLOOKUP(_xlfn.MINIFS('FIRE TEX 5120'!$O$5:$O$40,'FIRE TEX 5120'!$O$5:$O$40,"&gt;="&amp;M782),'FIRE TEX 5120'!$O$5:$T$40,IF(L782="F-15",2,IF(L782="F-30",3,IF(L782="F-60",4,IF(L782="F-90",5,IF(L782="F-120",6,0))))),0),0)</f>
        <v>0</v>
      </c>
      <c r="Q782" s="46">
        <f t="shared" si="79"/>
        <v>0</v>
      </c>
      <c r="R782" s="46">
        <f t="shared" si="80"/>
        <v>0</v>
      </c>
      <c r="S782" s="46" t="e">
        <f t="shared" si="81"/>
        <v>#VALUE!</v>
      </c>
      <c r="T782" s="677">
        <f t="shared" si="82"/>
        <v>0</v>
      </c>
      <c r="U782" s="80">
        <f>(IF(O782="Stofire",(S782*#REF!),0))+(IF(O782="Fire Control",(S782*$U$2),0))+(IF(O782="Fire Tex",(S782*$U$3),0))+(IF(O782="WB7",(S782*#REF!),0)+(IF(O782="FX 2003",(S782*$U$5),0)))</f>
        <v>0</v>
      </c>
      <c r="V782" s="651">
        <f t="shared" si="83"/>
        <v>0</v>
      </c>
    </row>
    <row r="783" spans="4:22" x14ac:dyDescent="0.25">
      <c r="D783" s="118">
        <f>+CUBICACION!D782</f>
        <v>0</v>
      </c>
      <c r="E783" s="118">
        <f>+CUBICACION!F782</f>
        <v>0</v>
      </c>
      <c r="F783" s="118">
        <f>+CUBICACION!E782</f>
        <v>0</v>
      </c>
      <c r="G783" s="118">
        <v>12</v>
      </c>
      <c r="H783" s="118">
        <v>2</v>
      </c>
      <c r="I783" s="820">
        <v>26385</v>
      </c>
      <c r="J783" s="118">
        <f>+CUBICACION!J782</f>
        <v>0</v>
      </c>
      <c r="K783" s="118">
        <v>3562</v>
      </c>
      <c r="L783" s="118">
        <f>+CUBICACION!L782</f>
        <v>0</v>
      </c>
      <c r="M783" s="64">
        <f>+CUBICACION!M782</f>
        <v>0</v>
      </c>
      <c r="N783" s="824" t="str">
        <f>+CUBICACION!N782</f>
        <v/>
      </c>
      <c r="O783" s="675">
        <f>+CUBICACION!O782</f>
        <v>0</v>
      </c>
      <c r="P783" s="15">
        <f>IF(O783="Fire Control",VLOOKUP(_xlfn.MINIFS('FIRE CONTROL'!$C$4:$C$37,'FIRE CONTROL'!$C$4:$C$37,"&gt;="&amp;M783),'FIRE CONTROL'!$C$4:$G$37,IF(L783="F-15",2,IF(L783="F-30",3,IF(L783="F-60",4,IF(L783="F-90",5,0)))),0),0)+IF(AND(O783="FIRE TEX 5062",OR(E783="IN",E783="C",E783="Z",E783="L"),J783=3),VLOOKUP(_xlfn.MINIFS('FIRE TEX 5062'!$B$4:$B$34,'FIRE TEX 5062'!$B$4:$B$34,"&gt;="&amp;M783),'FIRE TEX 5062'!$B$4:$F$34,IF(L783="F-15",2,IF(L783="F-30",3,IF(L783="F-60",4,IF(L783="F-90",5,0)))),0),0)+IF(AND(O783="FIRE TEX 5062",OR(E783="IN",E783="C",E783="Z",E783="L"),J783=4),VLOOKUP(_xlfn.MINIFS('FIRE TEX 5062'!$G$4:$G$34,'FIRE TEX 5062'!$G$4:$G$34,"&gt;="&amp;M783),'FIRE TEX 5062'!$G$4:$K$34,IF(L783="F-15",2,IF(L783="F-30",3,IF(L783="F-60",4,IF(L783="F-90",5,0)))),0),0)+IF(AND(O783="FIRE TEX 5062",E783="CJ",J783=3),VLOOKUP(_xlfn.MINIFS('FIRE TEX 5062'!$L$4:$L$34,'FIRE TEX 5062'!$L$4:$L$34,"&gt;="&amp;M783),'FIRE TEX 5062'!$L$4:$P$34,IF(L783="F-15",2,IF(L783="F-30",3,IF(L783="F-60",4,IF(L783="F-90",5,0)))),0),0)+IF(AND(O783="FIRE TEX 5062",E783="CJ",J783=4),VLOOKUP(_xlfn.MINIFS('FIRE TEX 5062'!$Q$3:$Q$34,'FIRE TEX 5062'!$Q$3:$Q$34,"&gt;="&amp;M783),'FIRE TEX 5062'!$Q$3:$U$34,IF(L783="F-15",2,IF(L783="F-30",3,IF(L783="F-60",4,IF(L783="F-90",5,0)))),0),0)+IF(AND(O783="FIRE TEX 5090",OR(E783="IN",E783="C",E783="Z",E783="L"),J783=3),VLOOKUP(_xlfn.MINIFS('FIRE TEX 5090'!$B$5:$B$43,'FIRE TEX 5090'!$B$5:$B$43,"&gt;="&amp;M783),'FIRE TEX 5090'!$B$5:$H$43,IF(L783="F-15",2,IF(L783="F-30",3,IF(L783="F-60",4,IF(L783="F-90",5,IF(L783="F-120",6,IF(L783="F-150",7,0)))))),0),0)+IF(AND(O783="FIRE TEX 5090",OR(E783="IN",E783="C",E783="Z",E783="L"),J783=4),VLOOKUP(_xlfn.MINIFS('FIRE TEX 5090'!$J$5:$J$43,'FIRE TEX 5090'!$J$5:$J$43,"&gt;="&amp;M783),'FIRE TEX 5090'!$J$5:$P$43,IF(L783="F-15",2,IF(L783="F-30",3,IF(L783="F-60",4,IF(L783="F-90",5,IF(L783="F-120",6,IF(L783="F-150",7,0)))))),0),0)+IF(AND(O783="FIRE TEX 5090",E783="CJ",J783=3),VLOOKUP(_xlfn.MINIFS('FIRE TEX 5090'!$R$5:$R$30,'FIRE TEX 5090'!$R$5:$R$30,"&gt;="&amp;M783),'FIRE TEX 5090'!$R$5:$W$30,IF(L783="F-15",2,IF(L783="F-30",3,IF(L783="F-60",4,IF(L783="F-90",5,IF(L783="F-120",6,IF(L783="F-150",7,0)))))),0),0)+IF(AND(O783="FIRE TEX 5090",E783="CJ",J783=4),VLOOKUP(_xlfn.MINIFS('FIRE TEX 5090'!$Y$5:$Y$39,'FIRE TEX 5090'!$Y$5:$Y$39,"&gt;="&amp;M783),'FIRE TEX 5090'!$Y$5:$AD$39,IF(L783="F-15",2,IF(L783="F-30",3,IF(L783="F-60",4,IF(L783="F-90",5,IF(L783="F-120",6,IF(L783="F-150",7,0)))))),0),0)+IF(AND(O783="FIRE TEX 5120",OR(E783="IN",E783="C",E783="Z",E783="L"),J783=3),VLOOKUP(_xlfn.MINIFS('FIRE TEX 5120'!$B$5:$B$40,'FIRE TEX 5120'!$B$5:$B$40,"&gt;="&amp;M783),'FIRE TEX 5120'!$B$5:$G$40,IF(L783="F-15",2,IF(L783="F-30",3,IF(L783="F-60",4,IF(L783="F-90",5,IF(L783="F-120",6,0))))),0),0)+IF(AND(O783="FIRE TEX 5120",OR(E783="IN",E783="C",E783="Z",E783="L"),J783=4),VLOOKUP(_xlfn.MINIFS('FIRE TEX 5120'!$H$4:$H$40,'FIRE TEX 5120'!$H$4:$H$40,"&gt;="&amp;M783),'FIRE TEX 5120'!$H$4:$M$40,IF(L783="F-15",2,IF(L783="F-30",3,IF(L783="F-60",4,IF(L783="F-90",5,IF(L783="F-120",6,0))))),0),0)+IF(AND(O783="FIRE TEX 5120",E783="CJ"),VLOOKUP(_xlfn.MINIFS('FIRE TEX 5120'!$O$5:$O$40,'FIRE TEX 5120'!$O$5:$O$40,"&gt;="&amp;M783),'FIRE TEX 5120'!$O$5:$T$40,IF(L783="F-15",2,IF(L783="F-30",3,IF(L783="F-60",4,IF(L783="F-90",5,IF(L783="F-120",6,0))))),0),0)</f>
        <v>0</v>
      </c>
      <c r="Q783" s="46">
        <f t="shared" si="79"/>
        <v>0</v>
      </c>
      <c r="R783" s="46">
        <f t="shared" si="80"/>
        <v>0</v>
      </c>
      <c r="S783" s="46" t="e">
        <f t="shared" si="81"/>
        <v>#VALUE!</v>
      </c>
      <c r="T783" s="677">
        <f t="shared" si="82"/>
        <v>0</v>
      </c>
      <c r="U783" s="80">
        <f>(IF(O783="Stofire",(S783*#REF!),0))+(IF(O783="Fire Control",(S783*$U$2),0))+(IF(O783="Fire Tex",(S783*$U$3),0))+(IF(O783="WB7",(S783*#REF!),0)+(IF(O783="FX 2003",(S783*$U$5),0)))</f>
        <v>0</v>
      </c>
      <c r="V783" s="651">
        <f t="shared" si="83"/>
        <v>0</v>
      </c>
    </row>
    <row r="784" spans="4:22" x14ac:dyDescent="0.25">
      <c r="D784" s="118">
        <f>+CUBICACION!D783</f>
        <v>0</v>
      </c>
      <c r="E784" s="118">
        <f>+CUBICACION!F783</f>
        <v>0</v>
      </c>
      <c r="F784" s="118">
        <f>+CUBICACION!E783</f>
        <v>0</v>
      </c>
      <c r="G784" s="118">
        <v>12</v>
      </c>
      <c r="H784" s="118">
        <v>2</v>
      </c>
      <c r="I784" s="820">
        <v>26385</v>
      </c>
      <c r="J784" s="118">
        <f>+CUBICACION!J783</f>
        <v>0</v>
      </c>
      <c r="K784" s="118">
        <v>3563</v>
      </c>
      <c r="L784" s="118">
        <f>+CUBICACION!L783</f>
        <v>0</v>
      </c>
      <c r="M784" s="64">
        <f>+CUBICACION!M783</f>
        <v>0</v>
      </c>
      <c r="N784" s="824" t="str">
        <f>+CUBICACION!N783</f>
        <v/>
      </c>
      <c r="O784" s="675">
        <f>+CUBICACION!O783</f>
        <v>0</v>
      </c>
      <c r="P784" s="15">
        <f>IF(O784="Fire Control",VLOOKUP(_xlfn.MINIFS('FIRE CONTROL'!$C$4:$C$37,'FIRE CONTROL'!$C$4:$C$37,"&gt;="&amp;M784),'FIRE CONTROL'!$C$4:$G$37,IF(L784="F-15",2,IF(L784="F-30",3,IF(L784="F-60",4,IF(L784="F-90",5,0)))),0),0)+IF(AND(O784="FIRE TEX 5062",OR(E784="IN",E784="C",E784="Z",E784="L"),J784=3),VLOOKUP(_xlfn.MINIFS('FIRE TEX 5062'!$B$4:$B$34,'FIRE TEX 5062'!$B$4:$B$34,"&gt;="&amp;M784),'FIRE TEX 5062'!$B$4:$F$34,IF(L784="F-15",2,IF(L784="F-30",3,IF(L784="F-60",4,IF(L784="F-90",5,0)))),0),0)+IF(AND(O784="FIRE TEX 5062",OR(E784="IN",E784="C",E784="Z",E784="L"),J784=4),VLOOKUP(_xlfn.MINIFS('FIRE TEX 5062'!$G$4:$G$34,'FIRE TEX 5062'!$G$4:$G$34,"&gt;="&amp;M784),'FIRE TEX 5062'!$G$4:$K$34,IF(L784="F-15",2,IF(L784="F-30",3,IF(L784="F-60",4,IF(L784="F-90",5,0)))),0),0)+IF(AND(O784="FIRE TEX 5062",E784="CJ",J784=3),VLOOKUP(_xlfn.MINIFS('FIRE TEX 5062'!$L$4:$L$34,'FIRE TEX 5062'!$L$4:$L$34,"&gt;="&amp;M784),'FIRE TEX 5062'!$L$4:$P$34,IF(L784="F-15",2,IF(L784="F-30",3,IF(L784="F-60",4,IF(L784="F-90",5,0)))),0),0)+IF(AND(O784="FIRE TEX 5062",E784="CJ",J784=4),VLOOKUP(_xlfn.MINIFS('FIRE TEX 5062'!$Q$3:$Q$34,'FIRE TEX 5062'!$Q$3:$Q$34,"&gt;="&amp;M784),'FIRE TEX 5062'!$Q$3:$U$34,IF(L784="F-15",2,IF(L784="F-30",3,IF(L784="F-60",4,IF(L784="F-90",5,0)))),0),0)+IF(AND(O784="FIRE TEX 5090",OR(E784="IN",E784="C",E784="Z",E784="L"),J784=3),VLOOKUP(_xlfn.MINIFS('FIRE TEX 5090'!$B$5:$B$43,'FIRE TEX 5090'!$B$5:$B$43,"&gt;="&amp;M784),'FIRE TEX 5090'!$B$5:$H$43,IF(L784="F-15",2,IF(L784="F-30",3,IF(L784="F-60",4,IF(L784="F-90",5,IF(L784="F-120",6,IF(L784="F-150",7,0)))))),0),0)+IF(AND(O784="FIRE TEX 5090",OR(E784="IN",E784="C",E784="Z",E784="L"),J784=4),VLOOKUP(_xlfn.MINIFS('FIRE TEX 5090'!$J$5:$J$43,'FIRE TEX 5090'!$J$5:$J$43,"&gt;="&amp;M784),'FIRE TEX 5090'!$J$5:$P$43,IF(L784="F-15",2,IF(L784="F-30",3,IF(L784="F-60",4,IF(L784="F-90",5,IF(L784="F-120",6,IF(L784="F-150",7,0)))))),0),0)+IF(AND(O784="FIRE TEX 5090",E784="CJ",J784=3),VLOOKUP(_xlfn.MINIFS('FIRE TEX 5090'!$R$5:$R$30,'FIRE TEX 5090'!$R$5:$R$30,"&gt;="&amp;M784),'FIRE TEX 5090'!$R$5:$W$30,IF(L784="F-15",2,IF(L784="F-30",3,IF(L784="F-60",4,IF(L784="F-90",5,IF(L784="F-120",6,IF(L784="F-150",7,0)))))),0),0)+IF(AND(O784="FIRE TEX 5090",E784="CJ",J784=4),VLOOKUP(_xlfn.MINIFS('FIRE TEX 5090'!$Y$5:$Y$39,'FIRE TEX 5090'!$Y$5:$Y$39,"&gt;="&amp;M784),'FIRE TEX 5090'!$Y$5:$AD$39,IF(L784="F-15",2,IF(L784="F-30",3,IF(L784="F-60",4,IF(L784="F-90",5,IF(L784="F-120",6,IF(L784="F-150",7,0)))))),0),0)+IF(AND(O784="FIRE TEX 5120",OR(E784="IN",E784="C",E784="Z",E784="L"),J784=3),VLOOKUP(_xlfn.MINIFS('FIRE TEX 5120'!$B$5:$B$40,'FIRE TEX 5120'!$B$5:$B$40,"&gt;="&amp;M784),'FIRE TEX 5120'!$B$5:$G$40,IF(L784="F-15",2,IF(L784="F-30",3,IF(L784="F-60",4,IF(L784="F-90",5,IF(L784="F-120",6,0))))),0),0)+IF(AND(O784="FIRE TEX 5120",OR(E784="IN",E784="C",E784="Z",E784="L"),J784=4),VLOOKUP(_xlfn.MINIFS('FIRE TEX 5120'!$H$4:$H$40,'FIRE TEX 5120'!$H$4:$H$40,"&gt;="&amp;M784),'FIRE TEX 5120'!$H$4:$M$40,IF(L784="F-15",2,IF(L784="F-30",3,IF(L784="F-60",4,IF(L784="F-90",5,IF(L784="F-120",6,0))))),0),0)+IF(AND(O784="FIRE TEX 5120",E784="CJ"),VLOOKUP(_xlfn.MINIFS('FIRE TEX 5120'!$O$5:$O$40,'FIRE TEX 5120'!$O$5:$O$40,"&gt;="&amp;M784),'FIRE TEX 5120'!$O$5:$T$40,IF(L784="F-15",2,IF(L784="F-30",3,IF(L784="F-60",4,IF(L784="F-90",5,IF(L784="F-120",6,0))))),0),0)</f>
        <v>0</v>
      </c>
      <c r="Q784" s="46">
        <f t="shared" si="79"/>
        <v>0</v>
      </c>
      <c r="R784" s="46">
        <f t="shared" si="80"/>
        <v>0</v>
      </c>
      <c r="S784" s="46" t="e">
        <f t="shared" si="81"/>
        <v>#VALUE!</v>
      </c>
      <c r="T784" s="677">
        <f t="shared" si="82"/>
        <v>0</v>
      </c>
      <c r="U784" s="80">
        <f>(IF(O784="Stofire",(S784*#REF!),0))+(IF(O784="Fire Control",(S784*$U$2),0))+(IF(O784="Fire Tex",(S784*$U$3),0))+(IF(O784="WB7",(S784*#REF!),0)+(IF(O784="FX 2003",(S784*$U$5),0)))</f>
        <v>0</v>
      </c>
      <c r="V784" s="651">
        <f t="shared" si="83"/>
        <v>0</v>
      </c>
    </row>
    <row r="785" spans="4:22" x14ac:dyDescent="0.25">
      <c r="D785" s="118">
        <f>+CUBICACION!D784</f>
        <v>0</v>
      </c>
      <c r="E785" s="118">
        <f>+CUBICACION!F784</f>
        <v>0</v>
      </c>
      <c r="F785" s="118">
        <f>+CUBICACION!E784</f>
        <v>0</v>
      </c>
      <c r="G785" s="118">
        <v>12</v>
      </c>
      <c r="H785" s="118">
        <v>2</v>
      </c>
      <c r="I785" s="820">
        <v>26385</v>
      </c>
      <c r="J785" s="118">
        <f>+CUBICACION!J784</f>
        <v>0</v>
      </c>
      <c r="K785" s="118">
        <v>3564</v>
      </c>
      <c r="L785" s="118">
        <f>+CUBICACION!L784</f>
        <v>0</v>
      </c>
      <c r="M785" s="64">
        <f>+CUBICACION!M784</f>
        <v>0</v>
      </c>
      <c r="N785" s="824" t="str">
        <f>+CUBICACION!N784</f>
        <v/>
      </c>
      <c r="O785" s="675">
        <f>+CUBICACION!O784</f>
        <v>0</v>
      </c>
      <c r="P785" s="15">
        <f>IF(O785="Fire Control",VLOOKUP(_xlfn.MINIFS('FIRE CONTROL'!$C$4:$C$37,'FIRE CONTROL'!$C$4:$C$37,"&gt;="&amp;M785),'FIRE CONTROL'!$C$4:$G$37,IF(L785="F-15",2,IF(L785="F-30",3,IF(L785="F-60",4,IF(L785="F-90",5,0)))),0),0)+IF(AND(O785="FIRE TEX 5062",OR(E785="IN",E785="C",E785="Z",E785="L"),J785=3),VLOOKUP(_xlfn.MINIFS('FIRE TEX 5062'!$B$4:$B$34,'FIRE TEX 5062'!$B$4:$B$34,"&gt;="&amp;M785),'FIRE TEX 5062'!$B$4:$F$34,IF(L785="F-15",2,IF(L785="F-30",3,IF(L785="F-60",4,IF(L785="F-90",5,0)))),0),0)+IF(AND(O785="FIRE TEX 5062",OR(E785="IN",E785="C",E785="Z",E785="L"),J785=4),VLOOKUP(_xlfn.MINIFS('FIRE TEX 5062'!$G$4:$G$34,'FIRE TEX 5062'!$G$4:$G$34,"&gt;="&amp;M785),'FIRE TEX 5062'!$G$4:$K$34,IF(L785="F-15",2,IF(L785="F-30",3,IF(L785="F-60",4,IF(L785="F-90",5,0)))),0),0)+IF(AND(O785="FIRE TEX 5062",E785="CJ",J785=3),VLOOKUP(_xlfn.MINIFS('FIRE TEX 5062'!$L$4:$L$34,'FIRE TEX 5062'!$L$4:$L$34,"&gt;="&amp;M785),'FIRE TEX 5062'!$L$4:$P$34,IF(L785="F-15",2,IF(L785="F-30",3,IF(L785="F-60",4,IF(L785="F-90",5,0)))),0),0)+IF(AND(O785="FIRE TEX 5062",E785="CJ",J785=4),VLOOKUP(_xlfn.MINIFS('FIRE TEX 5062'!$Q$3:$Q$34,'FIRE TEX 5062'!$Q$3:$Q$34,"&gt;="&amp;M785),'FIRE TEX 5062'!$Q$3:$U$34,IF(L785="F-15",2,IF(L785="F-30",3,IF(L785="F-60",4,IF(L785="F-90",5,0)))),0),0)+IF(AND(O785="FIRE TEX 5090",OR(E785="IN",E785="C",E785="Z",E785="L"),J785=3),VLOOKUP(_xlfn.MINIFS('FIRE TEX 5090'!$B$5:$B$43,'FIRE TEX 5090'!$B$5:$B$43,"&gt;="&amp;M785),'FIRE TEX 5090'!$B$5:$H$43,IF(L785="F-15",2,IF(L785="F-30",3,IF(L785="F-60",4,IF(L785="F-90",5,IF(L785="F-120",6,IF(L785="F-150",7,0)))))),0),0)+IF(AND(O785="FIRE TEX 5090",OR(E785="IN",E785="C",E785="Z",E785="L"),J785=4),VLOOKUP(_xlfn.MINIFS('FIRE TEX 5090'!$J$5:$J$43,'FIRE TEX 5090'!$J$5:$J$43,"&gt;="&amp;M785),'FIRE TEX 5090'!$J$5:$P$43,IF(L785="F-15",2,IF(L785="F-30",3,IF(L785="F-60",4,IF(L785="F-90",5,IF(L785="F-120",6,IF(L785="F-150",7,0)))))),0),0)+IF(AND(O785="FIRE TEX 5090",E785="CJ",J785=3),VLOOKUP(_xlfn.MINIFS('FIRE TEX 5090'!$R$5:$R$30,'FIRE TEX 5090'!$R$5:$R$30,"&gt;="&amp;M785),'FIRE TEX 5090'!$R$5:$W$30,IF(L785="F-15",2,IF(L785="F-30",3,IF(L785="F-60",4,IF(L785="F-90",5,IF(L785="F-120",6,IF(L785="F-150",7,0)))))),0),0)+IF(AND(O785="FIRE TEX 5090",E785="CJ",J785=4),VLOOKUP(_xlfn.MINIFS('FIRE TEX 5090'!$Y$5:$Y$39,'FIRE TEX 5090'!$Y$5:$Y$39,"&gt;="&amp;M785),'FIRE TEX 5090'!$Y$5:$AD$39,IF(L785="F-15",2,IF(L785="F-30",3,IF(L785="F-60",4,IF(L785="F-90",5,IF(L785="F-120",6,IF(L785="F-150",7,0)))))),0),0)+IF(AND(O785="FIRE TEX 5120",OR(E785="IN",E785="C",E785="Z",E785="L"),J785=3),VLOOKUP(_xlfn.MINIFS('FIRE TEX 5120'!$B$5:$B$40,'FIRE TEX 5120'!$B$5:$B$40,"&gt;="&amp;M785),'FIRE TEX 5120'!$B$5:$G$40,IF(L785="F-15",2,IF(L785="F-30",3,IF(L785="F-60",4,IF(L785="F-90",5,IF(L785="F-120",6,0))))),0),0)+IF(AND(O785="FIRE TEX 5120",OR(E785="IN",E785="C",E785="Z",E785="L"),J785=4),VLOOKUP(_xlfn.MINIFS('FIRE TEX 5120'!$H$4:$H$40,'FIRE TEX 5120'!$H$4:$H$40,"&gt;="&amp;M785),'FIRE TEX 5120'!$H$4:$M$40,IF(L785="F-15",2,IF(L785="F-30",3,IF(L785="F-60",4,IF(L785="F-90",5,IF(L785="F-120",6,0))))),0),0)+IF(AND(O785="FIRE TEX 5120",E785="CJ"),VLOOKUP(_xlfn.MINIFS('FIRE TEX 5120'!$O$5:$O$40,'FIRE TEX 5120'!$O$5:$O$40,"&gt;="&amp;M785),'FIRE TEX 5120'!$O$5:$T$40,IF(L785="F-15",2,IF(L785="F-30",3,IF(L785="F-60",4,IF(L785="F-90",5,IF(L785="F-120",6,0))))),0),0)</f>
        <v>0</v>
      </c>
      <c r="Q785" s="46">
        <f t="shared" si="79"/>
        <v>0</v>
      </c>
      <c r="R785" s="46">
        <f t="shared" si="80"/>
        <v>0</v>
      </c>
      <c r="S785" s="46" t="e">
        <f t="shared" si="81"/>
        <v>#VALUE!</v>
      </c>
      <c r="T785" s="677">
        <f t="shared" si="82"/>
        <v>0</v>
      </c>
      <c r="U785" s="80">
        <f>(IF(O785="Stofire",(S785*#REF!),0))+(IF(O785="Fire Control",(S785*$U$2),0))+(IF(O785="Fire Tex",(S785*$U$3),0))+(IF(O785="WB7",(S785*#REF!),0)+(IF(O785="FX 2003",(S785*$U$5),0)))</f>
        <v>0</v>
      </c>
      <c r="V785" s="651">
        <f t="shared" si="83"/>
        <v>0</v>
      </c>
    </row>
    <row r="786" spans="4:22" x14ac:dyDescent="0.25">
      <c r="D786" s="118">
        <f>+CUBICACION!D785</f>
        <v>0</v>
      </c>
      <c r="E786" s="118">
        <f>+CUBICACION!F785</f>
        <v>0</v>
      </c>
      <c r="F786" s="118">
        <f>+CUBICACION!E785</f>
        <v>0</v>
      </c>
      <c r="G786" s="118">
        <v>12</v>
      </c>
      <c r="H786" s="118">
        <v>2</v>
      </c>
      <c r="I786" s="820">
        <v>26385</v>
      </c>
      <c r="J786" s="118">
        <f>+CUBICACION!J785</f>
        <v>0</v>
      </c>
      <c r="K786" s="118">
        <v>3565</v>
      </c>
      <c r="L786" s="118">
        <f>+CUBICACION!L785</f>
        <v>0</v>
      </c>
      <c r="M786" s="64">
        <f>+CUBICACION!M785</f>
        <v>0</v>
      </c>
      <c r="N786" s="824" t="str">
        <f>+CUBICACION!N785</f>
        <v/>
      </c>
      <c r="O786" s="675">
        <f>+CUBICACION!O785</f>
        <v>0</v>
      </c>
      <c r="P786" s="15">
        <f>IF(O786="Fire Control",VLOOKUP(_xlfn.MINIFS('FIRE CONTROL'!$C$4:$C$37,'FIRE CONTROL'!$C$4:$C$37,"&gt;="&amp;M786),'FIRE CONTROL'!$C$4:$G$37,IF(L786="F-15",2,IF(L786="F-30",3,IF(L786="F-60",4,IF(L786="F-90",5,0)))),0),0)+IF(AND(O786="FIRE TEX 5062",OR(E786="IN",E786="C",E786="Z",E786="L"),J786=3),VLOOKUP(_xlfn.MINIFS('FIRE TEX 5062'!$B$4:$B$34,'FIRE TEX 5062'!$B$4:$B$34,"&gt;="&amp;M786),'FIRE TEX 5062'!$B$4:$F$34,IF(L786="F-15",2,IF(L786="F-30",3,IF(L786="F-60",4,IF(L786="F-90",5,0)))),0),0)+IF(AND(O786="FIRE TEX 5062",OR(E786="IN",E786="C",E786="Z",E786="L"),J786=4),VLOOKUP(_xlfn.MINIFS('FIRE TEX 5062'!$G$4:$G$34,'FIRE TEX 5062'!$G$4:$G$34,"&gt;="&amp;M786),'FIRE TEX 5062'!$G$4:$K$34,IF(L786="F-15",2,IF(L786="F-30",3,IF(L786="F-60",4,IF(L786="F-90",5,0)))),0),0)+IF(AND(O786="FIRE TEX 5062",E786="CJ",J786=3),VLOOKUP(_xlfn.MINIFS('FIRE TEX 5062'!$L$4:$L$34,'FIRE TEX 5062'!$L$4:$L$34,"&gt;="&amp;M786),'FIRE TEX 5062'!$L$4:$P$34,IF(L786="F-15",2,IF(L786="F-30",3,IF(L786="F-60",4,IF(L786="F-90",5,0)))),0),0)+IF(AND(O786="FIRE TEX 5062",E786="CJ",J786=4),VLOOKUP(_xlfn.MINIFS('FIRE TEX 5062'!$Q$3:$Q$34,'FIRE TEX 5062'!$Q$3:$Q$34,"&gt;="&amp;M786),'FIRE TEX 5062'!$Q$3:$U$34,IF(L786="F-15",2,IF(L786="F-30",3,IF(L786="F-60",4,IF(L786="F-90",5,0)))),0),0)+IF(AND(O786="FIRE TEX 5090",OR(E786="IN",E786="C",E786="Z",E786="L"),J786=3),VLOOKUP(_xlfn.MINIFS('FIRE TEX 5090'!$B$5:$B$43,'FIRE TEX 5090'!$B$5:$B$43,"&gt;="&amp;M786),'FIRE TEX 5090'!$B$5:$H$43,IF(L786="F-15",2,IF(L786="F-30",3,IF(L786="F-60",4,IF(L786="F-90",5,IF(L786="F-120",6,IF(L786="F-150",7,0)))))),0),0)+IF(AND(O786="FIRE TEX 5090",OR(E786="IN",E786="C",E786="Z",E786="L"),J786=4),VLOOKUP(_xlfn.MINIFS('FIRE TEX 5090'!$J$5:$J$43,'FIRE TEX 5090'!$J$5:$J$43,"&gt;="&amp;M786),'FIRE TEX 5090'!$J$5:$P$43,IF(L786="F-15",2,IF(L786="F-30",3,IF(L786="F-60",4,IF(L786="F-90",5,IF(L786="F-120",6,IF(L786="F-150",7,0)))))),0),0)+IF(AND(O786="FIRE TEX 5090",E786="CJ",J786=3),VLOOKUP(_xlfn.MINIFS('FIRE TEX 5090'!$R$5:$R$30,'FIRE TEX 5090'!$R$5:$R$30,"&gt;="&amp;M786),'FIRE TEX 5090'!$R$5:$W$30,IF(L786="F-15",2,IF(L786="F-30",3,IF(L786="F-60",4,IF(L786="F-90",5,IF(L786="F-120",6,IF(L786="F-150",7,0)))))),0),0)+IF(AND(O786="FIRE TEX 5090",E786="CJ",J786=4),VLOOKUP(_xlfn.MINIFS('FIRE TEX 5090'!$Y$5:$Y$39,'FIRE TEX 5090'!$Y$5:$Y$39,"&gt;="&amp;M786),'FIRE TEX 5090'!$Y$5:$AD$39,IF(L786="F-15",2,IF(L786="F-30",3,IF(L786="F-60",4,IF(L786="F-90",5,IF(L786="F-120",6,IF(L786="F-150",7,0)))))),0),0)+IF(AND(O786="FIRE TEX 5120",OR(E786="IN",E786="C",E786="Z",E786="L"),J786=3),VLOOKUP(_xlfn.MINIFS('FIRE TEX 5120'!$B$5:$B$40,'FIRE TEX 5120'!$B$5:$B$40,"&gt;="&amp;M786),'FIRE TEX 5120'!$B$5:$G$40,IF(L786="F-15",2,IF(L786="F-30",3,IF(L786="F-60",4,IF(L786="F-90",5,IF(L786="F-120",6,0))))),0),0)+IF(AND(O786="FIRE TEX 5120",OR(E786="IN",E786="C",E786="Z",E786="L"),J786=4),VLOOKUP(_xlfn.MINIFS('FIRE TEX 5120'!$H$4:$H$40,'FIRE TEX 5120'!$H$4:$H$40,"&gt;="&amp;M786),'FIRE TEX 5120'!$H$4:$M$40,IF(L786="F-15",2,IF(L786="F-30",3,IF(L786="F-60",4,IF(L786="F-90",5,IF(L786="F-120",6,0))))),0),0)+IF(AND(O786="FIRE TEX 5120",E786="CJ"),VLOOKUP(_xlfn.MINIFS('FIRE TEX 5120'!$O$5:$O$40,'FIRE TEX 5120'!$O$5:$O$40,"&gt;="&amp;M786),'FIRE TEX 5120'!$O$5:$T$40,IF(L786="F-15",2,IF(L786="F-30",3,IF(L786="F-60",4,IF(L786="F-90",5,IF(L786="F-120",6,0))))),0),0)</f>
        <v>0</v>
      </c>
      <c r="Q786" s="46">
        <f t="shared" si="79"/>
        <v>0</v>
      </c>
      <c r="R786" s="46">
        <f t="shared" si="80"/>
        <v>0</v>
      </c>
      <c r="S786" s="46" t="e">
        <f t="shared" si="81"/>
        <v>#VALUE!</v>
      </c>
      <c r="T786" s="677">
        <f t="shared" si="82"/>
        <v>0</v>
      </c>
      <c r="U786" s="80">
        <f>(IF(O786="Stofire",(S786*#REF!),0))+(IF(O786="Fire Control",(S786*$U$2),0))+(IF(O786="Fire Tex",(S786*$U$3),0))+(IF(O786="WB7",(S786*#REF!),0)+(IF(O786="FX 2003",(S786*$U$5),0)))</f>
        <v>0</v>
      </c>
      <c r="V786" s="651">
        <f t="shared" si="83"/>
        <v>0</v>
      </c>
    </row>
    <row r="787" spans="4:22" x14ac:dyDescent="0.25">
      <c r="D787" s="118">
        <f>+CUBICACION!D786</f>
        <v>0</v>
      </c>
      <c r="E787" s="118">
        <f>+CUBICACION!F786</f>
        <v>0</v>
      </c>
      <c r="F787" s="118">
        <f>+CUBICACION!E786</f>
        <v>0</v>
      </c>
      <c r="G787" s="118">
        <v>12</v>
      </c>
      <c r="H787" s="118">
        <v>2</v>
      </c>
      <c r="I787" s="820">
        <v>26385</v>
      </c>
      <c r="J787" s="118">
        <f>+CUBICACION!J786</f>
        <v>0</v>
      </c>
      <c r="K787" s="118">
        <v>3566</v>
      </c>
      <c r="L787" s="118">
        <f>+CUBICACION!L786</f>
        <v>0</v>
      </c>
      <c r="M787" s="64">
        <f>+CUBICACION!M786</f>
        <v>0</v>
      </c>
      <c r="N787" s="824" t="str">
        <f>+CUBICACION!N786</f>
        <v/>
      </c>
      <c r="O787" s="675">
        <f>+CUBICACION!O786</f>
        <v>0</v>
      </c>
      <c r="P787" s="15">
        <f>IF(O787="Fire Control",VLOOKUP(_xlfn.MINIFS('FIRE CONTROL'!$C$4:$C$37,'FIRE CONTROL'!$C$4:$C$37,"&gt;="&amp;M787),'FIRE CONTROL'!$C$4:$G$37,IF(L787="F-15",2,IF(L787="F-30",3,IF(L787="F-60",4,IF(L787="F-90",5,0)))),0),0)+IF(AND(O787="FIRE TEX 5062",OR(E787="IN",E787="C",E787="Z",E787="L"),J787=3),VLOOKUP(_xlfn.MINIFS('FIRE TEX 5062'!$B$4:$B$34,'FIRE TEX 5062'!$B$4:$B$34,"&gt;="&amp;M787),'FIRE TEX 5062'!$B$4:$F$34,IF(L787="F-15",2,IF(L787="F-30",3,IF(L787="F-60",4,IF(L787="F-90",5,0)))),0),0)+IF(AND(O787="FIRE TEX 5062",OR(E787="IN",E787="C",E787="Z",E787="L"),J787=4),VLOOKUP(_xlfn.MINIFS('FIRE TEX 5062'!$G$4:$G$34,'FIRE TEX 5062'!$G$4:$G$34,"&gt;="&amp;M787),'FIRE TEX 5062'!$G$4:$K$34,IF(L787="F-15",2,IF(L787="F-30",3,IF(L787="F-60",4,IF(L787="F-90",5,0)))),0),0)+IF(AND(O787="FIRE TEX 5062",E787="CJ",J787=3),VLOOKUP(_xlfn.MINIFS('FIRE TEX 5062'!$L$4:$L$34,'FIRE TEX 5062'!$L$4:$L$34,"&gt;="&amp;M787),'FIRE TEX 5062'!$L$4:$P$34,IF(L787="F-15",2,IF(L787="F-30",3,IF(L787="F-60",4,IF(L787="F-90",5,0)))),0),0)+IF(AND(O787="FIRE TEX 5062",E787="CJ",J787=4),VLOOKUP(_xlfn.MINIFS('FIRE TEX 5062'!$Q$3:$Q$34,'FIRE TEX 5062'!$Q$3:$Q$34,"&gt;="&amp;M787),'FIRE TEX 5062'!$Q$3:$U$34,IF(L787="F-15",2,IF(L787="F-30",3,IF(L787="F-60",4,IF(L787="F-90",5,0)))),0),0)+IF(AND(O787="FIRE TEX 5090",OR(E787="IN",E787="C",E787="Z",E787="L"),J787=3),VLOOKUP(_xlfn.MINIFS('FIRE TEX 5090'!$B$5:$B$43,'FIRE TEX 5090'!$B$5:$B$43,"&gt;="&amp;M787),'FIRE TEX 5090'!$B$5:$H$43,IF(L787="F-15",2,IF(L787="F-30",3,IF(L787="F-60",4,IF(L787="F-90",5,IF(L787="F-120",6,IF(L787="F-150",7,0)))))),0),0)+IF(AND(O787="FIRE TEX 5090",OR(E787="IN",E787="C",E787="Z",E787="L"),J787=4),VLOOKUP(_xlfn.MINIFS('FIRE TEX 5090'!$J$5:$J$43,'FIRE TEX 5090'!$J$5:$J$43,"&gt;="&amp;M787),'FIRE TEX 5090'!$J$5:$P$43,IF(L787="F-15",2,IF(L787="F-30",3,IF(L787="F-60",4,IF(L787="F-90",5,IF(L787="F-120",6,IF(L787="F-150",7,0)))))),0),0)+IF(AND(O787="FIRE TEX 5090",E787="CJ",J787=3),VLOOKUP(_xlfn.MINIFS('FIRE TEX 5090'!$R$5:$R$30,'FIRE TEX 5090'!$R$5:$R$30,"&gt;="&amp;M787),'FIRE TEX 5090'!$R$5:$W$30,IF(L787="F-15",2,IF(L787="F-30",3,IF(L787="F-60",4,IF(L787="F-90",5,IF(L787="F-120",6,IF(L787="F-150",7,0)))))),0),0)+IF(AND(O787="FIRE TEX 5090",E787="CJ",J787=4),VLOOKUP(_xlfn.MINIFS('FIRE TEX 5090'!$Y$5:$Y$39,'FIRE TEX 5090'!$Y$5:$Y$39,"&gt;="&amp;M787),'FIRE TEX 5090'!$Y$5:$AD$39,IF(L787="F-15",2,IF(L787="F-30",3,IF(L787="F-60",4,IF(L787="F-90",5,IF(L787="F-120",6,IF(L787="F-150",7,0)))))),0),0)+IF(AND(O787="FIRE TEX 5120",OR(E787="IN",E787="C",E787="Z",E787="L"),J787=3),VLOOKUP(_xlfn.MINIFS('FIRE TEX 5120'!$B$5:$B$40,'FIRE TEX 5120'!$B$5:$B$40,"&gt;="&amp;M787),'FIRE TEX 5120'!$B$5:$G$40,IF(L787="F-15",2,IF(L787="F-30",3,IF(L787="F-60",4,IF(L787="F-90",5,IF(L787="F-120",6,0))))),0),0)+IF(AND(O787="FIRE TEX 5120",OR(E787="IN",E787="C",E787="Z",E787="L"),J787=4),VLOOKUP(_xlfn.MINIFS('FIRE TEX 5120'!$H$4:$H$40,'FIRE TEX 5120'!$H$4:$H$40,"&gt;="&amp;M787),'FIRE TEX 5120'!$H$4:$M$40,IF(L787="F-15",2,IF(L787="F-30",3,IF(L787="F-60",4,IF(L787="F-90",5,IF(L787="F-120",6,0))))),0),0)+IF(AND(O787="FIRE TEX 5120",E787="CJ"),VLOOKUP(_xlfn.MINIFS('FIRE TEX 5120'!$O$5:$O$40,'FIRE TEX 5120'!$O$5:$O$40,"&gt;="&amp;M787),'FIRE TEX 5120'!$O$5:$T$40,IF(L787="F-15",2,IF(L787="F-30",3,IF(L787="F-60",4,IF(L787="F-90",5,IF(L787="F-120",6,0))))),0),0)</f>
        <v>0</v>
      </c>
      <c r="Q787" s="46">
        <f t="shared" si="79"/>
        <v>0</v>
      </c>
      <c r="R787" s="46">
        <f t="shared" si="80"/>
        <v>0</v>
      </c>
      <c r="S787" s="46" t="e">
        <f t="shared" si="81"/>
        <v>#VALUE!</v>
      </c>
      <c r="T787" s="677">
        <f t="shared" si="82"/>
        <v>0</v>
      </c>
      <c r="U787" s="80">
        <f>(IF(O787="Stofire",(S787*#REF!),0))+(IF(O787="Fire Control",(S787*$U$2),0))+(IF(O787="Fire Tex",(S787*$U$3),0))+(IF(O787="WB7",(S787*#REF!),0)+(IF(O787="FX 2003",(S787*$U$5),0)))</f>
        <v>0</v>
      </c>
      <c r="V787" s="651">
        <f t="shared" si="83"/>
        <v>0</v>
      </c>
    </row>
    <row r="788" spans="4:22" x14ac:dyDescent="0.25">
      <c r="D788" s="118">
        <f>+CUBICACION!D787</f>
        <v>0</v>
      </c>
      <c r="E788" s="118">
        <f>+CUBICACION!F787</f>
        <v>0</v>
      </c>
      <c r="F788" s="118">
        <f>+CUBICACION!E787</f>
        <v>0</v>
      </c>
      <c r="G788" s="118">
        <v>12</v>
      </c>
      <c r="H788" s="118">
        <v>2</v>
      </c>
      <c r="I788" s="820">
        <v>26385</v>
      </c>
      <c r="J788" s="118">
        <f>+CUBICACION!J787</f>
        <v>0</v>
      </c>
      <c r="K788" s="118">
        <v>3567</v>
      </c>
      <c r="L788" s="118">
        <f>+CUBICACION!L787</f>
        <v>0</v>
      </c>
      <c r="M788" s="64">
        <f>+CUBICACION!M787</f>
        <v>0</v>
      </c>
      <c r="N788" s="824" t="str">
        <f>+CUBICACION!N787</f>
        <v/>
      </c>
      <c r="O788" s="675">
        <f>+CUBICACION!O787</f>
        <v>0</v>
      </c>
      <c r="P788" s="15">
        <f>IF(O788="Fire Control",VLOOKUP(_xlfn.MINIFS('FIRE CONTROL'!$C$4:$C$37,'FIRE CONTROL'!$C$4:$C$37,"&gt;="&amp;M788),'FIRE CONTROL'!$C$4:$G$37,IF(L788="F-15",2,IF(L788="F-30",3,IF(L788="F-60",4,IF(L788="F-90",5,0)))),0),0)+IF(AND(O788="FIRE TEX 5062",OR(E788="IN",E788="C",E788="Z",E788="L"),J788=3),VLOOKUP(_xlfn.MINIFS('FIRE TEX 5062'!$B$4:$B$34,'FIRE TEX 5062'!$B$4:$B$34,"&gt;="&amp;M788),'FIRE TEX 5062'!$B$4:$F$34,IF(L788="F-15",2,IF(L788="F-30",3,IF(L788="F-60",4,IF(L788="F-90",5,0)))),0),0)+IF(AND(O788="FIRE TEX 5062",OR(E788="IN",E788="C",E788="Z",E788="L"),J788=4),VLOOKUP(_xlfn.MINIFS('FIRE TEX 5062'!$G$4:$G$34,'FIRE TEX 5062'!$G$4:$G$34,"&gt;="&amp;M788),'FIRE TEX 5062'!$G$4:$K$34,IF(L788="F-15",2,IF(L788="F-30",3,IF(L788="F-60",4,IF(L788="F-90",5,0)))),0),0)+IF(AND(O788="FIRE TEX 5062",E788="CJ",J788=3),VLOOKUP(_xlfn.MINIFS('FIRE TEX 5062'!$L$4:$L$34,'FIRE TEX 5062'!$L$4:$L$34,"&gt;="&amp;M788),'FIRE TEX 5062'!$L$4:$P$34,IF(L788="F-15",2,IF(L788="F-30",3,IF(L788="F-60",4,IF(L788="F-90",5,0)))),0),0)+IF(AND(O788="FIRE TEX 5062",E788="CJ",J788=4),VLOOKUP(_xlfn.MINIFS('FIRE TEX 5062'!$Q$3:$Q$34,'FIRE TEX 5062'!$Q$3:$Q$34,"&gt;="&amp;M788),'FIRE TEX 5062'!$Q$3:$U$34,IF(L788="F-15",2,IF(L788="F-30",3,IF(L788="F-60",4,IF(L788="F-90",5,0)))),0),0)+IF(AND(O788="FIRE TEX 5090",OR(E788="IN",E788="C",E788="Z",E788="L"),J788=3),VLOOKUP(_xlfn.MINIFS('FIRE TEX 5090'!$B$5:$B$43,'FIRE TEX 5090'!$B$5:$B$43,"&gt;="&amp;M788),'FIRE TEX 5090'!$B$5:$H$43,IF(L788="F-15",2,IF(L788="F-30",3,IF(L788="F-60",4,IF(L788="F-90",5,IF(L788="F-120",6,IF(L788="F-150",7,0)))))),0),0)+IF(AND(O788="FIRE TEX 5090",OR(E788="IN",E788="C",E788="Z",E788="L"),J788=4),VLOOKUP(_xlfn.MINIFS('FIRE TEX 5090'!$J$5:$J$43,'FIRE TEX 5090'!$J$5:$J$43,"&gt;="&amp;M788),'FIRE TEX 5090'!$J$5:$P$43,IF(L788="F-15",2,IF(L788="F-30",3,IF(L788="F-60",4,IF(L788="F-90",5,IF(L788="F-120",6,IF(L788="F-150",7,0)))))),0),0)+IF(AND(O788="FIRE TEX 5090",E788="CJ",J788=3),VLOOKUP(_xlfn.MINIFS('FIRE TEX 5090'!$R$5:$R$30,'FIRE TEX 5090'!$R$5:$R$30,"&gt;="&amp;M788),'FIRE TEX 5090'!$R$5:$W$30,IF(L788="F-15",2,IF(L788="F-30",3,IF(L788="F-60",4,IF(L788="F-90",5,IF(L788="F-120",6,IF(L788="F-150",7,0)))))),0),0)+IF(AND(O788="FIRE TEX 5090",E788="CJ",J788=4),VLOOKUP(_xlfn.MINIFS('FIRE TEX 5090'!$Y$5:$Y$39,'FIRE TEX 5090'!$Y$5:$Y$39,"&gt;="&amp;M788),'FIRE TEX 5090'!$Y$5:$AD$39,IF(L788="F-15",2,IF(L788="F-30",3,IF(L788="F-60",4,IF(L788="F-90",5,IF(L788="F-120",6,IF(L788="F-150",7,0)))))),0),0)+IF(AND(O788="FIRE TEX 5120",OR(E788="IN",E788="C",E788="Z",E788="L"),J788=3),VLOOKUP(_xlfn.MINIFS('FIRE TEX 5120'!$B$5:$B$40,'FIRE TEX 5120'!$B$5:$B$40,"&gt;="&amp;M788),'FIRE TEX 5120'!$B$5:$G$40,IF(L788="F-15",2,IF(L788="F-30",3,IF(L788="F-60",4,IF(L788="F-90",5,IF(L788="F-120",6,0))))),0),0)+IF(AND(O788="FIRE TEX 5120",OR(E788="IN",E788="C",E788="Z",E788="L"),J788=4),VLOOKUP(_xlfn.MINIFS('FIRE TEX 5120'!$H$4:$H$40,'FIRE TEX 5120'!$H$4:$H$40,"&gt;="&amp;M788),'FIRE TEX 5120'!$H$4:$M$40,IF(L788="F-15",2,IF(L788="F-30",3,IF(L788="F-60",4,IF(L788="F-90",5,IF(L788="F-120",6,0))))),0),0)+IF(AND(O788="FIRE TEX 5120",E788="CJ"),VLOOKUP(_xlfn.MINIFS('FIRE TEX 5120'!$O$5:$O$40,'FIRE TEX 5120'!$O$5:$O$40,"&gt;="&amp;M788),'FIRE TEX 5120'!$O$5:$T$40,IF(L788="F-15",2,IF(L788="F-30",3,IF(L788="F-60",4,IF(L788="F-90",5,IF(L788="F-120",6,0))))),0),0)</f>
        <v>0</v>
      </c>
      <c r="Q788" s="46">
        <f t="shared" si="79"/>
        <v>0</v>
      </c>
      <c r="R788" s="46">
        <f t="shared" si="80"/>
        <v>0</v>
      </c>
      <c r="S788" s="46" t="e">
        <f t="shared" si="81"/>
        <v>#VALUE!</v>
      </c>
      <c r="T788" s="677">
        <f t="shared" si="82"/>
        <v>0</v>
      </c>
      <c r="U788" s="80">
        <f>(IF(O788="Stofire",(S788*#REF!),0))+(IF(O788="Fire Control",(S788*$U$2),0))+(IF(O788="Fire Tex",(S788*$U$3),0))+(IF(O788="WB7",(S788*#REF!),0)+(IF(O788="FX 2003",(S788*$U$5),0)))</f>
        <v>0</v>
      </c>
      <c r="V788" s="651">
        <f t="shared" si="83"/>
        <v>0</v>
      </c>
    </row>
    <row r="789" spans="4:22" x14ac:dyDescent="0.25">
      <c r="D789" s="118">
        <f>+CUBICACION!D788</f>
        <v>0</v>
      </c>
      <c r="E789" s="118">
        <f>+CUBICACION!F788</f>
        <v>0</v>
      </c>
      <c r="F789" s="118">
        <f>+CUBICACION!E788</f>
        <v>0</v>
      </c>
      <c r="G789" s="118">
        <v>12</v>
      </c>
      <c r="H789" s="118">
        <v>2</v>
      </c>
      <c r="I789" s="820">
        <v>26385</v>
      </c>
      <c r="J789" s="118">
        <f>+CUBICACION!J788</f>
        <v>0</v>
      </c>
      <c r="K789" s="118">
        <v>3568</v>
      </c>
      <c r="L789" s="118">
        <f>+CUBICACION!L788</f>
        <v>0</v>
      </c>
      <c r="M789" s="64">
        <f>+CUBICACION!M788</f>
        <v>0</v>
      </c>
      <c r="N789" s="824" t="str">
        <f>+CUBICACION!N788</f>
        <v/>
      </c>
      <c r="O789" s="675">
        <f>+CUBICACION!O788</f>
        <v>0</v>
      </c>
      <c r="P789" s="15">
        <f>IF(O789="Fire Control",VLOOKUP(_xlfn.MINIFS('FIRE CONTROL'!$C$4:$C$37,'FIRE CONTROL'!$C$4:$C$37,"&gt;="&amp;M789),'FIRE CONTROL'!$C$4:$G$37,IF(L789="F-15",2,IF(L789="F-30",3,IF(L789="F-60",4,IF(L789="F-90",5,0)))),0),0)+IF(AND(O789="FIRE TEX 5062",OR(E789="IN",E789="C",E789="Z",E789="L"),J789=3),VLOOKUP(_xlfn.MINIFS('FIRE TEX 5062'!$B$4:$B$34,'FIRE TEX 5062'!$B$4:$B$34,"&gt;="&amp;M789),'FIRE TEX 5062'!$B$4:$F$34,IF(L789="F-15",2,IF(L789="F-30",3,IF(L789="F-60",4,IF(L789="F-90",5,0)))),0),0)+IF(AND(O789="FIRE TEX 5062",OR(E789="IN",E789="C",E789="Z",E789="L"),J789=4),VLOOKUP(_xlfn.MINIFS('FIRE TEX 5062'!$G$4:$G$34,'FIRE TEX 5062'!$G$4:$G$34,"&gt;="&amp;M789),'FIRE TEX 5062'!$G$4:$K$34,IF(L789="F-15",2,IF(L789="F-30",3,IF(L789="F-60",4,IF(L789="F-90",5,0)))),0),0)+IF(AND(O789="FIRE TEX 5062",E789="CJ",J789=3),VLOOKUP(_xlfn.MINIFS('FIRE TEX 5062'!$L$4:$L$34,'FIRE TEX 5062'!$L$4:$L$34,"&gt;="&amp;M789),'FIRE TEX 5062'!$L$4:$P$34,IF(L789="F-15",2,IF(L789="F-30",3,IF(L789="F-60",4,IF(L789="F-90",5,0)))),0),0)+IF(AND(O789="FIRE TEX 5062",E789="CJ",J789=4),VLOOKUP(_xlfn.MINIFS('FIRE TEX 5062'!$Q$3:$Q$34,'FIRE TEX 5062'!$Q$3:$Q$34,"&gt;="&amp;M789),'FIRE TEX 5062'!$Q$3:$U$34,IF(L789="F-15",2,IF(L789="F-30",3,IF(L789="F-60",4,IF(L789="F-90",5,0)))),0),0)+IF(AND(O789="FIRE TEX 5090",OR(E789="IN",E789="C",E789="Z",E789="L"),J789=3),VLOOKUP(_xlfn.MINIFS('FIRE TEX 5090'!$B$5:$B$43,'FIRE TEX 5090'!$B$5:$B$43,"&gt;="&amp;M789),'FIRE TEX 5090'!$B$5:$H$43,IF(L789="F-15",2,IF(L789="F-30",3,IF(L789="F-60",4,IF(L789="F-90",5,IF(L789="F-120",6,IF(L789="F-150",7,0)))))),0),0)+IF(AND(O789="FIRE TEX 5090",OR(E789="IN",E789="C",E789="Z",E789="L"),J789=4),VLOOKUP(_xlfn.MINIFS('FIRE TEX 5090'!$J$5:$J$43,'FIRE TEX 5090'!$J$5:$J$43,"&gt;="&amp;M789),'FIRE TEX 5090'!$J$5:$P$43,IF(L789="F-15",2,IF(L789="F-30",3,IF(L789="F-60",4,IF(L789="F-90",5,IF(L789="F-120",6,IF(L789="F-150",7,0)))))),0),0)+IF(AND(O789="FIRE TEX 5090",E789="CJ",J789=3),VLOOKUP(_xlfn.MINIFS('FIRE TEX 5090'!$R$5:$R$30,'FIRE TEX 5090'!$R$5:$R$30,"&gt;="&amp;M789),'FIRE TEX 5090'!$R$5:$W$30,IF(L789="F-15",2,IF(L789="F-30",3,IF(L789="F-60",4,IF(L789="F-90",5,IF(L789="F-120",6,IF(L789="F-150",7,0)))))),0),0)+IF(AND(O789="FIRE TEX 5090",E789="CJ",J789=4),VLOOKUP(_xlfn.MINIFS('FIRE TEX 5090'!$Y$5:$Y$39,'FIRE TEX 5090'!$Y$5:$Y$39,"&gt;="&amp;M789),'FIRE TEX 5090'!$Y$5:$AD$39,IF(L789="F-15",2,IF(L789="F-30",3,IF(L789="F-60",4,IF(L789="F-90",5,IF(L789="F-120",6,IF(L789="F-150",7,0)))))),0),0)+IF(AND(O789="FIRE TEX 5120",OR(E789="IN",E789="C",E789="Z",E789="L"),J789=3),VLOOKUP(_xlfn.MINIFS('FIRE TEX 5120'!$B$5:$B$40,'FIRE TEX 5120'!$B$5:$B$40,"&gt;="&amp;M789),'FIRE TEX 5120'!$B$5:$G$40,IF(L789="F-15",2,IF(L789="F-30",3,IF(L789="F-60",4,IF(L789="F-90",5,IF(L789="F-120",6,0))))),0),0)+IF(AND(O789="FIRE TEX 5120",OR(E789="IN",E789="C",E789="Z",E789="L"),J789=4),VLOOKUP(_xlfn.MINIFS('FIRE TEX 5120'!$H$4:$H$40,'FIRE TEX 5120'!$H$4:$H$40,"&gt;="&amp;M789),'FIRE TEX 5120'!$H$4:$M$40,IF(L789="F-15",2,IF(L789="F-30",3,IF(L789="F-60",4,IF(L789="F-90",5,IF(L789="F-120",6,0))))),0),0)+IF(AND(O789="FIRE TEX 5120",E789="CJ"),VLOOKUP(_xlfn.MINIFS('FIRE TEX 5120'!$O$5:$O$40,'FIRE TEX 5120'!$O$5:$O$40,"&gt;="&amp;M789),'FIRE TEX 5120'!$O$5:$T$40,IF(L789="F-15",2,IF(L789="F-30",3,IF(L789="F-60",4,IF(L789="F-90",5,IF(L789="F-120",6,0))))),0),0)</f>
        <v>0</v>
      </c>
      <c r="Q789" s="46">
        <f t="shared" si="79"/>
        <v>0</v>
      </c>
      <c r="R789" s="46">
        <f t="shared" si="80"/>
        <v>0</v>
      </c>
      <c r="S789" s="46" t="e">
        <f t="shared" si="81"/>
        <v>#VALUE!</v>
      </c>
      <c r="T789" s="677">
        <f t="shared" si="82"/>
        <v>0</v>
      </c>
      <c r="U789" s="80">
        <f>(IF(O789="Stofire",(S789*#REF!),0))+(IF(O789="Fire Control",(S789*$U$2),0))+(IF(O789="Fire Tex",(S789*$U$3),0))+(IF(O789="WB7",(S789*#REF!),0)+(IF(O789="FX 2003",(S789*$U$5),0)))</f>
        <v>0</v>
      </c>
      <c r="V789" s="651">
        <f t="shared" si="83"/>
        <v>0</v>
      </c>
    </row>
    <row r="790" spans="4:22" x14ac:dyDescent="0.25">
      <c r="D790" s="118">
        <f>+CUBICACION!D789</f>
        <v>0</v>
      </c>
      <c r="E790" s="118">
        <f>+CUBICACION!F789</f>
        <v>0</v>
      </c>
      <c r="F790" s="118">
        <f>+CUBICACION!E789</f>
        <v>0</v>
      </c>
      <c r="G790" s="118">
        <v>12</v>
      </c>
      <c r="H790" s="118">
        <v>2</v>
      </c>
      <c r="I790" s="820">
        <v>26385</v>
      </c>
      <c r="J790" s="118">
        <f>+CUBICACION!J789</f>
        <v>0</v>
      </c>
      <c r="K790" s="118">
        <v>3569</v>
      </c>
      <c r="L790" s="118">
        <f>+CUBICACION!L789</f>
        <v>0</v>
      </c>
      <c r="M790" s="64">
        <f>+CUBICACION!M789</f>
        <v>0</v>
      </c>
      <c r="N790" s="824" t="str">
        <f>+CUBICACION!N789</f>
        <v/>
      </c>
      <c r="O790" s="675">
        <f>+CUBICACION!O789</f>
        <v>0</v>
      </c>
      <c r="P790" s="15">
        <f>IF(O790="Fire Control",VLOOKUP(_xlfn.MINIFS('FIRE CONTROL'!$C$4:$C$37,'FIRE CONTROL'!$C$4:$C$37,"&gt;="&amp;M790),'FIRE CONTROL'!$C$4:$G$37,IF(L790="F-15",2,IF(L790="F-30",3,IF(L790="F-60",4,IF(L790="F-90",5,0)))),0),0)+IF(AND(O790="FIRE TEX 5062",OR(E790="IN",E790="C",E790="Z",E790="L"),J790=3),VLOOKUP(_xlfn.MINIFS('FIRE TEX 5062'!$B$4:$B$34,'FIRE TEX 5062'!$B$4:$B$34,"&gt;="&amp;M790),'FIRE TEX 5062'!$B$4:$F$34,IF(L790="F-15",2,IF(L790="F-30",3,IF(L790="F-60",4,IF(L790="F-90",5,0)))),0),0)+IF(AND(O790="FIRE TEX 5062",OR(E790="IN",E790="C",E790="Z",E790="L"),J790=4),VLOOKUP(_xlfn.MINIFS('FIRE TEX 5062'!$G$4:$G$34,'FIRE TEX 5062'!$G$4:$G$34,"&gt;="&amp;M790),'FIRE TEX 5062'!$G$4:$K$34,IF(L790="F-15",2,IF(L790="F-30",3,IF(L790="F-60",4,IF(L790="F-90",5,0)))),0),0)+IF(AND(O790="FIRE TEX 5062",E790="CJ",J790=3),VLOOKUP(_xlfn.MINIFS('FIRE TEX 5062'!$L$4:$L$34,'FIRE TEX 5062'!$L$4:$L$34,"&gt;="&amp;M790),'FIRE TEX 5062'!$L$4:$P$34,IF(L790="F-15",2,IF(L790="F-30",3,IF(L790="F-60",4,IF(L790="F-90",5,0)))),0),0)+IF(AND(O790="FIRE TEX 5062",E790="CJ",J790=4),VLOOKUP(_xlfn.MINIFS('FIRE TEX 5062'!$Q$3:$Q$34,'FIRE TEX 5062'!$Q$3:$Q$34,"&gt;="&amp;M790),'FIRE TEX 5062'!$Q$3:$U$34,IF(L790="F-15",2,IF(L790="F-30",3,IF(L790="F-60",4,IF(L790="F-90",5,0)))),0),0)+IF(AND(O790="FIRE TEX 5090",OR(E790="IN",E790="C",E790="Z",E790="L"),J790=3),VLOOKUP(_xlfn.MINIFS('FIRE TEX 5090'!$B$5:$B$43,'FIRE TEX 5090'!$B$5:$B$43,"&gt;="&amp;M790),'FIRE TEX 5090'!$B$5:$H$43,IF(L790="F-15",2,IF(L790="F-30",3,IF(L790="F-60",4,IF(L790="F-90",5,IF(L790="F-120",6,IF(L790="F-150",7,0)))))),0),0)+IF(AND(O790="FIRE TEX 5090",OR(E790="IN",E790="C",E790="Z",E790="L"),J790=4),VLOOKUP(_xlfn.MINIFS('FIRE TEX 5090'!$J$5:$J$43,'FIRE TEX 5090'!$J$5:$J$43,"&gt;="&amp;M790),'FIRE TEX 5090'!$J$5:$P$43,IF(L790="F-15",2,IF(L790="F-30",3,IF(L790="F-60",4,IF(L790="F-90",5,IF(L790="F-120",6,IF(L790="F-150",7,0)))))),0),0)+IF(AND(O790="FIRE TEX 5090",E790="CJ",J790=3),VLOOKUP(_xlfn.MINIFS('FIRE TEX 5090'!$R$5:$R$30,'FIRE TEX 5090'!$R$5:$R$30,"&gt;="&amp;M790),'FIRE TEX 5090'!$R$5:$W$30,IF(L790="F-15",2,IF(L790="F-30",3,IF(L790="F-60",4,IF(L790="F-90",5,IF(L790="F-120",6,IF(L790="F-150",7,0)))))),0),0)+IF(AND(O790="FIRE TEX 5090",E790="CJ",J790=4),VLOOKUP(_xlfn.MINIFS('FIRE TEX 5090'!$Y$5:$Y$39,'FIRE TEX 5090'!$Y$5:$Y$39,"&gt;="&amp;M790),'FIRE TEX 5090'!$Y$5:$AD$39,IF(L790="F-15",2,IF(L790="F-30",3,IF(L790="F-60",4,IF(L790="F-90",5,IF(L790="F-120",6,IF(L790="F-150",7,0)))))),0),0)+IF(AND(O790="FIRE TEX 5120",OR(E790="IN",E790="C",E790="Z",E790="L"),J790=3),VLOOKUP(_xlfn.MINIFS('FIRE TEX 5120'!$B$5:$B$40,'FIRE TEX 5120'!$B$5:$B$40,"&gt;="&amp;M790),'FIRE TEX 5120'!$B$5:$G$40,IF(L790="F-15",2,IF(L790="F-30",3,IF(L790="F-60",4,IF(L790="F-90",5,IF(L790="F-120",6,0))))),0),0)+IF(AND(O790="FIRE TEX 5120",OR(E790="IN",E790="C",E790="Z",E790="L"),J790=4),VLOOKUP(_xlfn.MINIFS('FIRE TEX 5120'!$H$4:$H$40,'FIRE TEX 5120'!$H$4:$H$40,"&gt;="&amp;M790),'FIRE TEX 5120'!$H$4:$M$40,IF(L790="F-15",2,IF(L790="F-30",3,IF(L790="F-60",4,IF(L790="F-90",5,IF(L790="F-120",6,0))))),0),0)+IF(AND(O790="FIRE TEX 5120",E790="CJ"),VLOOKUP(_xlfn.MINIFS('FIRE TEX 5120'!$O$5:$O$40,'FIRE TEX 5120'!$O$5:$O$40,"&gt;="&amp;M790),'FIRE TEX 5120'!$O$5:$T$40,IF(L790="F-15",2,IF(L790="F-30",3,IF(L790="F-60",4,IF(L790="F-90",5,IF(L790="F-120",6,0))))),0),0)</f>
        <v>0</v>
      </c>
      <c r="Q790" s="46">
        <f t="shared" si="79"/>
        <v>0</v>
      </c>
      <c r="R790" s="46">
        <f t="shared" si="80"/>
        <v>0</v>
      </c>
      <c r="S790" s="46" t="e">
        <f t="shared" si="81"/>
        <v>#VALUE!</v>
      </c>
      <c r="T790" s="677">
        <f t="shared" si="82"/>
        <v>0</v>
      </c>
      <c r="U790" s="80">
        <f>(IF(O790="Stofire",(S790*#REF!),0))+(IF(O790="Fire Control",(S790*$U$2),0))+(IF(O790="Fire Tex",(S790*$U$3),0))+(IF(O790="WB7",(S790*#REF!),0)+(IF(O790="FX 2003",(S790*$U$5),0)))</f>
        <v>0</v>
      </c>
      <c r="V790" s="651">
        <f t="shared" si="83"/>
        <v>0</v>
      </c>
    </row>
    <row r="791" spans="4:22" x14ac:dyDescent="0.25">
      <c r="D791" s="118">
        <f>+CUBICACION!D790</f>
        <v>0</v>
      </c>
      <c r="E791" s="118">
        <f>+CUBICACION!F790</f>
        <v>0</v>
      </c>
      <c r="F791" s="118">
        <f>+CUBICACION!E790</f>
        <v>0</v>
      </c>
      <c r="G791" s="118">
        <v>12</v>
      </c>
      <c r="H791" s="118">
        <v>2</v>
      </c>
      <c r="I791" s="820">
        <v>26385</v>
      </c>
      <c r="J791" s="118">
        <f>+CUBICACION!J790</f>
        <v>0</v>
      </c>
      <c r="K791" s="118">
        <v>3570</v>
      </c>
      <c r="L791" s="118">
        <f>+CUBICACION!L790</f>
        <v>0</v>
      </c>
      <c r="M791" s="64">
        <f>+CUBICACION!M790</f>
        <v>0</v>
      </c>
      <c r="N791" s="824" t="str">
        <f>+CUBICACION!N790</f>
        <v/>
      </c>
      <c r="O791" s="675">
        <f>+CUBICACION!O790</f>
        <v>0</v>
      </c>
      <c r="P791" s="15">
        <f>IF(O791="Fire Control",VLOOKUP(_xlfn.MINIFS('FIRE CONTROL'!$C$4:$C$37,'FIRE CONTROL'!$C$4:$C$37,"&gt;="&amp;M791),'FIRE CONTROL'!$C$4:$G$37,IF(L791="F-15",2,IF(L791="F-30",3,IF(L791="F-60",4,IF(L791="F-90",5,0)))),0),0)+IF(AND(O791="FIRE TEX 5062",OR(E791="IN",E791="C",E791="Z",E791="L"),J791=3),VLOOKUP(_xlfn.MINIFS('FIRE TEX 5062'!$B$4:$B$34,'FIRE TEX 5062'!$B$4:$B$34,"&gt;="&amp;M791),'FIRE TEX 5062'!$B$4:$F$34,IF(L791="F-15",2,IF(L791="F-30",3,IF(L791="F-60",4,IF(L791="F-90",5,0)))),0),0)+IF(AND(O791="FIRE TEX 5062",OR(E791="IN",E791="C",E791="Z",E791="L"),J791=4),VLOOKUP(_xlfn.MINIFS('FIRE TEX 5062'!$G$4:$G$34,'FIRE TEX 5062'!$G$4:$G$34,"&gt;="&amp;M791),'FIRE TEX 5062'!$G$4:$K$34,IF(L791="F-15",2,IF(L791="F-30",3,IF(L791="F-60",4,IF(L791="F-90",5,0)))),0),0)+IF(AND(O791="FIRE TEX 5062",E791="CJ",J791=3),VLOOKUP(_xlfn.MINIFS('FIRE TEX 5062'!$L$4:$L$34,'FIRE TEX 5062'!$L$4:$L$34,"&gt;="&amp;M791),'FIRE TEX 5062'!$L$4:$P$34,IF(L791="F-15",2,IF(L791="F-30",3,IF(L791="F-60",4,IF(L791="F-90",5,0)))),0),0)+IF(AND(O791="FIRE TEX 5062",E791="CJ",J791=4),VLOOKUP(_xlfn.MINIFS('FIRE TEX 5062'!$Q$3:$Q$34,'FIRE TEX 5062'!$Q$3:$Q$34,"&gt;="&amp;M791),'FIRE TEX 5062'!$Q$3:$U$34,IF(L791="F-15",2,IF(L791="F-30",3,IF(L791="F-60",4,IF(L791="F-90",5,0)))),0),0)+IF(AND(O791="FIRE TEX 5090",OR(E791="IN",E791="C",E791="Z",E791="L"),J791=3),VLOOKUP(_xlfn.MINIFS('FIRE TEX 5090'!$B$5:$B$43,'FIRE TEX 5090'!$B$5:$B$43,"&gt;="&amp;M791),'FIRE TEX 5090'!$B$5:$H$43,IF(L791="F-15",2,IF(L791="F-30",3,IF(L791="F-60",4,IF(L791="F-90",5,IF(L791="F-120",6,IF(L791="F-150",7,0)))))),0),0)+IF(AND(O791="FIRE TEX 5090",OR(E791="IN",E791="C",E791="Z",E791="L"),J791=4),VLOOKUP(_xlfn.MINIFS('FIRE TEX 5090'!$J$5:$J$43,'FIRE TEX 5090'!$J$5:$J$43,"&gt;="&amp;M791),'FIRE TEX 5090'!$J$5:$P$43,IF(L791="F-15",2,IF(L791="F-30",3,IF(L791="F-60",4,IF(L791="F-90",5,IF(L791="F-120",6,IF(L791="F-150",7,0)))))),0),0)+IF(AND(O791="FIRE TEX 5090",E791="CJ",J791=3),VLOOKUP(_xlfn.MINIFS('FIRE TEX 5090'!$R$5:$R$30,'FIRE TEX 5090'!$R$5:$R$30,"&gt;="&amp;M791),'FIRE TEX 5090'!$R$5:$W$30,IF(L791="F-15",2,IF(L791="F-30",3,IF(L791="F-60",4,IF(L791="F-90",5,IF(L791="F-120",6,IF(L791="F-150",7,0)))))),0),0)+IF(AND(O791="FIRE TEX 5090",E791="CJ",J791=4),VLOOKUP(_xlfn.MINIFS('FIRE TEX 5090'!$Y$5:$Y$39,'FIRE TEX 5090'!$Y$5:$Y$39,"&gt;="&amp;M791),'FIRE TEX 5090'!$Y$5:$AD$39,IF(L791="F-15",2,IF(L791="F-30",3,IF(L791="F-60",4,IF(L791="F-90",5,IF(L791="F-120",6,IF(L791="F-150",7,0)))))),0),0)+IF(AND(O791="FIRE TEX 5120",OR(E791="IN",E791="C",E791="Z",E791="L"),J791=3),VLOOKUP(_xlfn.MINIFS('FIRE TEX 5120'!$B$5:$B$40,'FIRE TEX 5120'!$B$5:$B$40,"&gt;="&amp;M791),'FIRE TEX 5120'!$B$5:$G$40,IF(L791="F-15",2,IF(L791="F-30",3,IF(L791="F-60",4,IF(L791="F-90",5,IF(L791="F-120",6,0))))),0),0)+IF(AND(O791="FIRE TEX 5120",OR(E791="IN",E791="C",E791="Z",E791="L"),J791=4),VLOOKUP(_xlfn.MINIFS('FIRE TEX 5120'!$H$4:$H$40,'FIRE TEX 5120'!$H$4:$H$40,"&gt;="&amp;M791),'FIRE TEX 5120'!$H$4:$M$40,IF(L791="F-15",2,IF(L791="F-30",3,IF(L791="F-60",4,IF(L791="F-90",5,IF(L791="F-120",6,0))))),0),0)+IF(AND(O791="FIRE TEX 5120",E791="CJ"),VLOOKUP(_xlfn.MINIFS('FIRE TEX 5120'!$O$5:$O$40,'FIRE TEX 5120'!$O$5:$O$40,"&gt;="&amp;M791),'FIRE TEX 5120'!$O$5:$T$40,IF(L791="F-15",2,IF(L791="F-30",3,IF(L791="F-60",4,IF(L791="F-90",5,IF(L791="F-120",6,0))))),0),0)</f>
        <v>0</v>
      </c>
      <c r="Q791" s="46">
        <f t="shared" si="79"/>
        <v>0</v>
      </c>
      <c r="R791" s="46">
        <f t="shared" si="80"/>
        <v>0</v>
      </c>
      <c r="S791" s="46" t="e">
        <f t="shared" si="81"/>
        <v>#VALUE!</v>
      </c>
      <c r="T791" s="677">
        <f t="shared" si="82"/>
        <v>0</v>
      </c>
      <c r="U791" s="80">
        <f>(IF(O791="Stofire",(S791*#REF!),0))+(IF(O791="Fire Control",(S791*$U$2),0))+(IF(O791="Fire Tex",(S791*$U$3),0))+(IF(O791="WB7",(S791*#REF!),0)+(IF(O791="FX 2003",(S791*$U$5),0)))</f>
        <v>0</v>
      </c>
      <c r="V791" s="651">
        <f t="shared" si="83"/>
        <v>0</v>
      </c>
    </row>
    <row r="792" spans="4:22" x14ac:dyDescent="0.25">
      <c r="D792" s="118">
        <f>+CUBICACION!D791</f>
        <v>0</v>
      </c>
      <c r="E792" s="118">
        <f>+CUBICACION!F791</f>
        <v>0</v>
      </c>
      <c r="F792" s="118">
        <f>+CUBICACION!E791</f>
        <v>0</v>
      </c>
      <c r="G792" s="118">
        <v>12</v>
      </c>
      <c r="H792" s="118">
        <v>2</v>
      </c>
      <c r="I792" s="820">
        <v>26385</v>
      </c>
      <c r="J792" s="118">
        <f>+CUBICACION!J791</f>
        <v>0</v>
      </c>
      <c r="K792" s="118">
        <v>3571</v>
      </c>
      <c r="L792" s="118">
        <f>+CUBICACION!L791</f>
        <v>0</v>
      </c>
      <c r="M792" s="64">
        <f>+CUBICACION!M791</f>
        <v>0</v>
      </c>
      <c r="N792" s="824" t="str">
        <f>+CUBICACION!N791</f>
        <v/>
      </c>
      <c r="O792" s="675">
        <f>+CUBICACION!O791</f>
        <v>0</v>
      </c>
      <c r="P792" s="15">
        <f>IF(O792="Fire Control",VLOOKUP(_xlfn.MINIFS('FIRE CONTROL'!$C$4:$C$37,'FIRE CONTROL'!$C$4:$C$37,"&gt;="&amp;M792),'FIRE CONTROL'!$C$4:$G$37,IF(L792="F-15",2,IF(L792="F-30",3,IF(L792="F-60",4,IF(L792="F-90",5,0)))),0),0)+IF(AND(O792="FIRE TEX 5062",OR(E792="IN",E792="C",E792="Z",E792="L"),J792=3),VLOOKUP(_xlfn.MINIFS('FIRE TEX 5062'!$B$4:$B$34,'FIRE TEX 5062'!$B$4:$B$34,"&gt;="&amp;M792),'FIRE TEX 5062'!$B$4:$F$34,IF(L792="F-15",2,IF(L792="F-30",3,IF(L792="F-60",4,IF(L792="F-90",5,0)))),0),0)+IF(AND(O792="FIRE TEX 5062",OR(E792="IN",E792="C",E792="Z",E792="L"),J792=4),VLOOKUP(_xlfn.MINIFS('FIRE TEX 5062'!$G$4:$G$34,'FIRE TEX 5062'!$G$4:$G$34,"&gt;="&amp;M792),'FIRE TEX 5062'!$G$4:$K$34,IF(L792="F-15",2,IF(L792="F-30",3,IF(L792="F-60",4,IF(L792="F-90",5,0)))),0),0)+IF(AND(O792="FIRE TEX 5062",E792="CJ",J792=3),VLOOKUP(_xlfn.MINIFS('FIRE TEX 5062'!$L$4:$L$34,'FIRE TEX 5062'!$L$4:$L$34,"&gt;="&amp;M792),'FIRE TEX 5062'!$L$4:$P$34,IF(L792="F-15",2,IF(L792="F-30",3,IF(L792="F-60",4,IF(L792="F-90",5,0)))),0),0)+IF(AND(O792="FIRE TEX 5062",E792="CJ",J792=4),VLOOKUP(_xlfn.MINIFS('FIRE TEX 5062'!$Q$3:$Q$34,'FIRE TEX 5062'!$Q$3:$Q$34,"&gt;="&amp;M792),'FIRE TEX 5062'!$Q$3:$U$34,IF(L792="F-15",2,IF(L792="F-30",3,IF(L792="F-60",4,IF(L792="F-90",5,0)))),0),0)+IF(AND(O792="FIRE TEX 5090",OR(E792="IN",E792="C",E792="Z",E792="L"),J792=3),VLOOKUP(_xlfn.MINIFS('FIRE TEX 5090'!$B$5:$B$43,'FIRE TEX 5090'!$B$5:$B$43,"&gt;="&amp;M792),'FIRE TEX 5090'!$B$5:$H$43,IF(L792="F-15",2,IF(L792="F-30",3,IF(L792="F-60",4,IF(L792="F-90",5,IF(L792="F-120",6,IF(L792="F-150",7,0)))))),0),0)+IF(AND(O792="FIRE TEX 5090",OR(E792="IN",E792="C",E792="Z",E792="L"),J792=4),VLOOKUP(_xlfn.MINIFS('FIRE TEX 5090'!$J$5:$J$43,'FIRE TEX 5090'!$J$5:$J$43,"&gt;="&amp;M792),'FIRE TEX 5090'!$J$5:$P$43,IF(L792="F-15",2,IF(L792="F-30",3,IF(L792="F-60",4,IF(L792="F-90",5,IF(L792="F-120",6,IF(L792="F-150",7,0)))))),0),0)+IF(AND(O792="FIRE TEX 5090",E792="CJ",J792=3),VLOOKUP(_xlfn.MINIFS('FIRE TEX 5090'!$R$5:$R$30,'FIRE TEX 5090'!$R$5:$R$30,"&gt;="&amp;M792),'FIRE TEX 5090'!$R$5:$W$30,IF(L792="F-15",2,IF(L792="F-30",3,IF(L792="F-60",4,IF(L792="F-90",5,IF(L792="F-120",6,IF(L792="F-150",7,0)))))),0),0)+IF(AND(O792="FIRE TEX 5090",E792="CJ",J792=4),VLOOKUP(_xlfn.MINIFS('FIRE TEX 5090'!$Y$5:$Y$39,'FIRE TEX 5090'!$Y$5:$Y$39,"&gt;="&amp;M792),'FIRE TEX 5090'!$Y$5:$AD$39,IF(L792="F-15",2,IF(L792="F-30",3,IF(L792="F-60",4,IF(L792="F-90",5,IF(L792="F-120",6,IF(L792="F-150",7,0)))))),0),0)+IF(AND(O792="FIRE TEX 5120",OR(E792="IN",E792="C",E792="Z",E792="L"),J792=3),VLOOKUP(_xlfn.MINIFS('FIRE TEX 5120'!$B$5:$B$40,'FIRE TEX 5120'!$B$5:$B$40,"&gt;="&amp;M792),'FIRE TEX 5120'!$B$5:$G$40,IF(L792="F-15",2,IF(L792="F-30",3,IF(L792="F-60",4,IF(L792="F-90",5,IF(L792="F-120",6,0))))),0),0)+IF(AND(O792="FIRE TEX 5120",OR(E792="IN",E792="C",E792="Z",E792="L"),J792=4),VLOOKUP(_xlfn.MINIFS('FIRE TEX 5120'!$H$4:$H$40,'FIRE TEX 5120'!$H$4:$H$40,"&gt;="&amp;M792),'FIRE TEX 5120'!$H$4:$M$40,IF(L792="F-15",2,IF(L792="F-30",3,IF(L792="F-60",4,IF(L792="F-90",5,IF(L792="F-120",6,0))))),0),0)+IF(AND(O792="FIRE TEX 5120",E792="CJ"),VLOOKUP(_xlfn.MINIFS('FIRE TEX 5120'!$O$5:$O$40,'FIRE TEX 5120'!$O$5:$O$40,"&gt;="&amp;M792),'FIRE TEX 5120'!$O$5:$T$40,IF(L792="F-15",2,IF(L792="F-30",3,IF(L792="F-60",4,IF(L792="F-90",5,IF(L792="F-120",6,0))))),0),0)</f>
        <v>0</v>
      </c>
      <c r="Q792" s="46">
        <f t="shared" si="79"/>
        <v>0</v>
      </c>
      <c r="R792" s="46">
        <f t="shared" si="80"/>
        <v>0</v>
      </c>
      <c r="S792" s="46" t="e">
        <f t="shared" si="81"/>
        <v>#VALUE!</v>
      </c>
      <c r="T792" s="677">
        <f t="shared" si="82"/>
        <v>0</v>
      </c>
      <c r="U792" s="80">
        <f>(IF(O792="Stofire",(S792*#REF!),0))+(IF(O792="Fire Control",(S792*$U$2),0))+(IF(O792="Fire Tex",(S792*$U$3),0))+(IF(O792="WB7",(S792*#REF!),0)+(IF(O792="FX 2003",(S792*$U$5),0)))</f>
        <v>0</v>
      </c>
      <c r="V792" s="651">
        <f t="shared" si="83"/>
        <v>0</v>
      </c>
    </row>
    <row r="793" spans="4:22" x14ac:dyDescent="0.25">
      <c r="D793" s="118">
        <f>+CUBICACION!D792</f>
        <v>0</v>
      </c>
      <c r="E793" s="118">
        <f>+CUBICACION!F792</f>
        <v>0</v>
      </c>
      <c r="F793" s="118">
        <f>+CUBICACION!E792</f>
        <v>0</v>
      </c>
      <c r="G793" s="118">
        <v>12</v>
      </c>
      <c r="H793" s="118">
        <v>2</v>
      </c>
      <c r="I793" s="820">
        <v>26385</v>
      </c>
      <c r="J793" s="118">
        <f>+CUBICACION!J792</f>
        <v>0</v>
      </c>
      <c r="K793" s="118">
        <v>3572</v>
      </c>
      <c r="L793" s="118">
        <f>+CUBICACION!L792</f>
        <v>0</v>
      </c>
      <c r="M793" s="64">
        <f>+CUBICACION!M792</f>
        <v>0</v>
      </c>
      <c r="N793" s="824" t="str">
        <f>+CUBICACION!N792</f>
        <v/>
      </c>
      <c r="O793" s="675">
        <f>+CUBICACION!O792</f>
        <v>0</v>
      </c>
      <c r="P793" s="15">
        <f>IF(O793="Fire Control",VLOOKUP(_xlfn.MINIFS('FIRE CONTROL'!$C$4:$C$37,'FIRE CONTROL'!$C$4:$C$37,"&gt;="&amp;M793),'FIRE CONTROL'!$C$4:$G$37,IF(L793="F-15",2,IF(L793="F-30",3,IF(L793="F-60",4,IF(L793="F-90",5,0)))),0),0)+IF(AND(O793="FIRE TEX 5062",OR(E793="IN",E793="C",E793="Z",E793="L"),J793=3),VLOOKUP(_xlfn.MINIFS('FIRE TEX 5062'!$B$4:$B$34,'FIRE TEX 5062'!$B$4:$B$34,"&gt;="&amp;M793),'FIRE TEX 5062'!$B$4:$F$34,IF(L793="F-15",2,IF(L793="F-30",3,IF(L793="F-60",4,IF(L793="F-90",5,0)))),0),0)+IF(AND(O793="FIRE TEX 5062",OR(E793="IN",E793="C",E793="Z",E793="L"),J793=4),VLOOKUP(_xlfn.MINIFS('FIRE TEX 5062'!$G$4:$G$34,'FIRE TEX 5062'!$G$4:$G$34,"&gt;="&amp;M793),'FIRE TEX 5062'!$G$4:$K$34,IF(L793="F-15",2,IF(L793="F-30",3,IF(L793="F-60",4,IF(L793="F-90",5,0)))),0),0)+IF(AND(O793="FIRE TEX 5062",E793="CJ",J793=3),VLOOKUP(_xlfn.MINIFS('FIRE TEX 5062'!$L$4:$L$34,'FIRE TEX 5062'!$L$4:$L$34,"&gt;="&amp;M793),'FIRE TEX 5062'!$L$4:$P$34,IF(L793="F-15",2,IF(L793="F-30",3,IF(L793="F-60",4,IF(L793="F-90",5,0)))),0),0)+IF(AND(O793="FIRE TEX 5062",E793="CJ",J793=4),VLOOKUP(_xlfn.MINIFS('FIRE TEX 5062'!$Q$3:$Q$34,'FIRE TEX 5062'!$Q$3:$Q$34,"&gt;="&amp;M793),'FIRE TEX 5062'!$Q$3:$U$34,IF(L793="F-15",2,IF(L793="F-30",3,IF(L793="F-60",4,IF(L793="F-90",5,0)))),0),0)+IF(AND(O793="FIRE TEX 5090",OR(E793="IN",E793="C",E793="Z",E793="L"),J793=3),VLOOKUP(_xlfn.MINIFS('FIRE TEX 5090'!$B$5:$B$43,'FIRE TEX 5090'!$B$5:$B$43,"&gt;="&amp;M793),'FIRE TEX 5090'!$B$5:$H$43,IF(L793="F-15",2,IF(L793="F-30",3,IF(L793="F-60",4,IF(L793="F-90",5,IF(L793="F-120",6,IF(L793="F-150",7,0)))))),0),0)+IF(AND(O793="FIRE TEX 5090",OR(E793="IN",E793="C",E793="Z",E793="L"),J793=4),VLOOKUP(_xlfn.MINIFS('FIRE TEX 5090'!$J$5:$J$43,'FIRE TEX 5090'!$J$5:$J$43,"&gt;="&amp;M793),'FIRE TEX 5090'!$J$5:$P$43,IF(L793="F-15",2,IF(L793="F-30",3,IF(L793="F-60",4,IF(L793="F-90",5,IF(L793="F-120",6,IF(L793="F-150",7,0)))))),0),0)+IF(AND(O793="FIRE TEX 5090",E793="CJ",J793=3),VLOOKUP(_xlfn.MINIFS('FIRE TEX 5090'!$R$5:$R$30,'FIRE TEX 5090'!$R$5:$R$30,"&gt;="&amp;M793),'FIRE TEX 5090'!$R$5:$W$30,IF(L793="F-15",2,IF(L793="F-30",3,IF(L793="F-60",4,IF(L793="F-90",5,IF(L793="F-120",6,IF(L793="F-150",7,0)))))),0),0)+IF(AND(O793="FIRE TEX 5090",E793="CJ",J793=4),VLOOKUP(_xlfn.MINIFS('FIRE TEX 5090'!$Y$5:$Y$39,'FIRE TEX 5090'!$Y$5:$Y$39,"&gt;="&amp;M793),'FIRE TEX 5090'!$Y$5:$AD$39,IF(L793="F-15",2,IF(L793="F-30",3,IF(L793="F-60",4,IF(L793="F-90",5,IF(L793="F-120",6,IF(L793="F-150",7,0)))))),0),0)+IF(AND(O793="FIRE TEX 5120",OR(E793="IN",E793="C",E793="Z",E793="L"),J793=3),VLOOKUP(_xlfn.MINIFS('FIRE TEX 5120'!$B$5:$B$40,'FIRE TEX 5120'!$B$5:$B$40,"&gt;="&amp;M793),'FIRE TEX 5120'!$B$5:$G$40,IF(L793="F-15",2,IF(L793="F-30",3,IF(L793="F-60",4,IF(L793="F-90",5,IF(L793="F-120",6,0))))),0),0)+IF(AND(O793="FIRE TEX 5120",OR(E793="IN",E793="C",E793="Z",E793="L"),J793=4),VLOOKUP(_xlfn.MINIFS('FIRE TEX 5120'!$H$4:$H$40,'FIRE TEX 5120'!$H$4:$H$40,"&gt;="&amp;M793),'FIRE TEX 5120'!$H$4:$M$40,IF(L793="F-15",2,IF(L793="F-30",3,IF(L793="F-60",4,IF(L793="F-90",5,IF(L793="F-120",6,0))))),0),0)+IF(AND(O793="FIRE TEX 5120",E793="CJ"),VLOOKUP(_xlfn.MINIFS('FIRE TEX 5120'!$O$5:$O$40,'FIRE TEX 5120'!$O$5:$O$40,"&gt;="&amp;M793),'FIRE TEX 5120'!$O$5:$T$40,IF(L793="F-15",2,IF(L793="F-30",3,IF(L793="F-60",4,IF(L793="F-90",5,IF(L793="F-120",6,0))))),0),0)</f>
        <v>0</v>
      </c>
      <c r="Q793" s="46">
        <f t="shared" si="79"/>
        <v>0</v>
      </c>
      <c r="R793" s="46">
        <f t="shared" si="80"/>
        <v>0</v>
      </c>
      <c r="S793" s="46" t="e">
        <f t="shared" si="81"/>
        <v>#VALUE!</v>
      </c>
      <c r="T793" s="677">
        <f t="shared" si="82"/>
        <v>0</v>
      </c>
      <c r="U793" s="80">
        <f>(IF(O793="Stofire",(S793*#REF!),0))+(IF(O793="Fire Control",(S793*$U$2),0))+(IF(O793="Fire Tex",(S793*$U$3),0))+(IF(O793="WB7",(S793*#REF!),0)+(IF(O793="FX 2003",(S793*$U$5),0)))</f>
        <v>0</v>
      </c>
      <c r="V793" s="651">
        <f t="shared" si="83"/>
        <v>0</v>
      </c>
    </row>
    <row r="794" spans="4:22" x14ac:dyDescent="0.25">
      <c r="D794" s="118">
        <f>+CUBICACION!D793</f>
        <v>0</v>
      </c>
      <c r="E794" s="118">
        <f>+CUBICACION!F793</f>
        <v>0</v>
      </c>
      <c r="F794" s="118">
        <f>+CUBICACION!E793</f>
        <v>0</v>
      </c>
      <c r="G794" s="118">
        <v>12</v>
      </c>
      <c r="H794" s="118">
        <v>2</v>
      </c>
      <c r="I794" s="820">
        <v>26385</v>
      </c>
      <c r="J794" s="118">
        <f>+CUBICACION!J793</f>
        <v>0</v>
      </c>
      <c r="K794" s="118">
        <v>3573</v>
      </c>
      <c r="L794" s="118">
        <f>+CUBICACION!L793</f>
        <v>0</v>
      </c>
      <c r="M794" s="64">
        <f>+CUBICACION!M793</f>
        <v>0</v>
      </c>
      <c r="N794" s="824" t="str">
        <f>+CUBICACION!N793</f>
        <v/>
      </c>
      <c r="O794" s="675">
        <f>+CUBICACION!O793</f>
        <v>0</v>
      </c>
      <c r="P794" s="15">
        <f>IF(O794="Fire Control",VLOOKUP(_xlfn.MINIFS('FIRE CONTROL'!$C$4:$C$37,'FIRE CONTROL'!$C$4:$C$37,"&gt;="&amp;M794),'FIRE CONTROL'!$C$4:$G$37,IF(L794="F-15",2,IF(L794="F-30",3,IF(L794="F-60",4,IF(L794="F-90",5,0)))),0),0)+IF(AND(O794="FIRE TEX 5062",OR(E794="IN",E794="C",E794="Z",E794="L"),J794=3),VLOOKUP(_xlfn.MINIFS('FIRE TEX 5062'!$B$4:$B$34,'FIRE TEX 5062'!$B$4:$B$34,"&gt;="&amp;M794),'FIRE TEX 5062'!$B$4:$F$34,IF(L794="F-15",2,IF(L794="F-30",3,IF(L794="F-60",4,IF(L794="F-90",5,0)))),0),0)+IF(AND(O794="FIRE TEX 5062",OR(E794="IN",E794="C",E794="Z",E794="L"),J794=4),VLOOKUP(_xlfn.MINIFS('FIRE TEX 5062'!$G$4:$G$34,'FIRE TEX 5062'!$G$4:$G$34,"&gt;="&amp;M794),'FIRE TEX 5062'!$G$4:$K$34,IF(L794="F-15",2,IF(L794="F-30",3,IF(L794="F-60",4,IF(L794="F-90",5,0)))),0),0)+IF(AND(O794="FIRE TEX 5062",E794="CJ",J794=3),VLOOKUP(_xlfn.MINIFS('FIRE TEX 5062'!$L$4:$L$34,'FIRE TEX 5062'!$L$4:$L$34,"&gt;="&amp;M794),'FIRE TEX 5062'!$L$4:$P$34,IF(L794="F-15",2,IF(L794="F-30",3,IF(L794="F-60",4,IF(L794="F-90",5,0)))),0),0)+IF(AND(O794="FIRE TEX 5062",E794="CJ",J794=4),VLOOKUP(_xlfn.MINIFS('FIRE TEX 5062'!$Q$3:$Q$34,'FIRE TEX 5062'!$Q$3:$Q$34,"&gt;="&amp;M794),'FIRE TEX 5062'!$Q$3:$U$34,IF(L794="F-15",2,IF(L794="F-30",3,IF(L794="F-60",4,IF(L794="F-90",5,0)))),0),0)+IF(AND(O794="FIRE TEX 5090",OR(E794="IN",E794="C",E794="Z",E794="L"),J794=3),VLOOKUP(_xlfn.MINIFS('FIRE TEX 5090'!$B$5:$B$43,'FIRE TEX 5090'!$B$5:$B$43,"&gt;="&amp;M794),'FIRE TEX 5090'!$B$5:$H$43,IF(L794="F-15",2,IF(L794="F-30",3,IF(L794="F-60",4,IF(L794="F-90",5,IF(L794="F-120",6,IF(L794="F-150",7,0)))))),0),0)+IF(AND(O794="FIRE TEX 5090",OR(E794="IN",E794="C",E794="Z",E794="L"),J794=4),VLOOKUP(_xlfn.MINIFS('FIRE TEX 5090'!$J$5:$J$43,'FIRE TEX 5090'!$J$5:$J$43,"&gt;="&amp;M794),'FIRE TEX 5090'!$J$5:$P$43,IF(L794="F-15",2,IF(L794="F-30",3,IF(L794="F-60",4,IF(L794="F-90",5,IF(L794="F-120",6,IF(L794="F-150",7,0)))))),0),0)+IF(AND(O794="FIRE TEX 5090",E794="CJ",J794=3),VLOOKUP(_xlfn.MINIFS('FIRE TEX 5090'!$R$5:$R$30,'FIRE TEX 5090'!$R$5:$R$30,"&gt;="&amp;M794),'FIRE TEX 5090'!$R$5:$W$30,IF(L794="F-15",2,IF(L794="F-30",3,IF(L794="F-60",4,IF(L794="F-90",5,IF(L794="F-120",6,IF(L794="F-150",7,0)))))),0),0)+IF(AND(O794="FIRE TEX 5090",E794="CJ",J794=4),VLOOKUP(_xlfn.MINIFS('FIRE TEX 5090'!$Y$5:$Y$39,'FIRE TEX 5090'!$Y$5:$Y$39,"&gt;="&amp;M794),'FIRE TEX 5090'!$Y$5:$AD$39,IF(L794="F-15",2,IF(L794="F-30",3,IF(L794="F-60",4,IF(L794="F-90",5,IF(L794="F-120",6,IF(L794="F-150",7,0)))))),0),0)+IF(AND(O794="FIRE TEX 5120",OR(E794="IN",E794="C",E794="Z",E794="L"),J794=3),VLOOKUP(_xlfn.MINIFS('FIRE TEX 5120'!$B$5:$B$40,'FIRE TEX 5120'!$B$5:$B$40,"&gt;="&amp;M794),'FIRE TEX 5120'!$B$5:$G$40,IF(L794="F-15",2,IF(L794="F-30",3,IF(L794="F-60",4,IF(L794="F-90",5,IF(L794="F-120",6,0))))),0),0)+IF(AND(O794="FIRE TEX 5120",OR(E794="IN",E794="C",E794="Z",E794="L"),J794=4),VLOOKUP(_xlfn.MINIFS('FIRE TEX 5120'!$H$4:$H$40,'FIRE TEX 5120'!$H$4:$H$40,"&gt;="&amp;M794),'FIRE TEX 5120'!$H$4:$M$40,IF(L794="F-15",2,IF(L794="F-30",3,IF(L794="F-60",4,IF(L794="F-90",5,IF(L794="F-120",6,0))))),0),0)+IF(AND(O794="FIRE TEX 5120",E794="CJ"),VLOOKUP(_xlfn.MINIFS('FIRE TEX 5120'!$O$5:$O$40,'FIRE TEX 5120'!$O$5:$O$40,"&gt;="&amp;M794),'FIRE TEX 5120'!$O$5:$T$40,IF(L794="F-15",2,IF(L794="F-30",3,IF(L794="F-60",4,IF(L794="F-90",5,IF(L794="F-120",6,0))))),0),0)</f>
        <v>0</v>
      </c>
      <c r="Q794" s="46">
        <f t="shared" si="79"/>
        <v>0</v>
      </c>
      <c r="R794" s="46">
        <f t="shared" si="80"/>
        <v>0</v>
      </c>
      <c r="S794" s="46" t="e">
        <f t="shared" si="81"/>
        <v>#VALUE!</v>
      </c>
      <c r="T794" s="677">
        <f t="shared" si="82"/>
        <v>0</v>
      </c>
      <c r="U794" s="80">
        <f>(IF(O794="Stofire",(S794*#REF!),0))+(IF(O794="Fire Control",(S794*$U$2),0))+(IF(O794="Fire Tex",(S794*$U$3),0))+(IF(O794="WB7",(S794*#REF!),0)+(IF(O794="FX 2003",(S794*$U$5),0)))</f>
        <v>0</v>
      </c>
      <c r="V794" s="651">
        <f t="shared" si="83"/>
        <v>0</v>
      </c>
    </row>
    <row r="795" spans="4:22" x14ac:dyDescent="0.25">
      <c r="D795" s="118">
        <f>+CUBICACION!D794</f>
        <v>0</v>
      </c>
      <c r="E795" s="118">
        <f>+CUBICACION!F794</f>
        <v>0</v>
      </c>
      <c r="F795" s="118">
        <f>+CUBICACION!E794</f>
        <v>0</v>
      </c>
      <c r="G795" s="118">
        <v>12</v>
      </c>
      <c r="H795" s="118">
        <v>2</v>
      </c>
      <c r="I795" s="820">
        <v>26385</v>
      </c>
      <c r="J795" s="118">
        <f>+CUBICACION!J794</f>
        <v>0</v>
      </c>
      <c r="K795" s="118">
        <v>3574</v>
      </c>
      <c r="L795" s="118">
        <f>+CUBICACION!L794</f>
        <v>0</v>
      </c>
      <c r="M795" s="64">
        <f>+CUBICACION!M794</f>
        <v>0</v>
      </c>
      <c r="N795" s="824" t="str">
        <f>+CUBICACION!N794</f>
        <v/>
      </c>
      <c r="O795" s="675">
        <f>+CUBICACION!O794</f>
        <v>0</v>
      </c>
      <c r="P795" s="15">
        <f>IF(O795="Fire Control",VLOOKUP(_xlfn.MINIFS('FIRE CONTROL'!$C$4:$C$37,'FIRE CONTROL'!$C$4:$C$37,"&gt;="&amp;M795),'FIRE CONTROL'!$C$4:$G$37,IF(L795="F-15",2,IF(L795="F-30",3,IF(L795="F-60",4,IF(L795="F-90",5,0)))),0),0)+IF(AND(O795="FIRE TEX 5062",OR(E795="IN",E795="C",E795="Z",E795="L"),J795=3),VLOOKUP(_xlfn.MINIFS('FIRE TEX 5062'!$B$4:$B$34,'FIRE TEX 5062'!$B$4:$B$34,"&gt;="&amp;M795),'FIRE TEX 5062'!$B$4:$F$34,IF(L795="F-15",2,IF(L795="F-30",3,IF(L795="F-60",4,IF(L795="F-90",5,0)))),0),0)+IF(AND(O795="FIRE TEX 5062",OR(E795="IN",E795="C",E795="Z",E795="L"),J795=4),VLOOKUP(_xlfn.MINIFS('FIRE TEX 5062'!$G$4:$G$34,'FIRE TEX 5062'!$G$4:$G$34,"&gt;="&amp;M795),'FIRE TEX 5062'!$G$4:$K$34,IF(L795="F-15",2,IF(L795="F-30",3,IF(L795="F-60",4,IF(L795="F-90",5,0)))),0),0)+IF(AND(O795="FIRE TEX 5062",E795="CJ",J795=3),VLOOKUP(_xlfn.MINIFS('FIRE TEX 5062'!$L$4:$L$34,'FIRE TEX 5062'!$L$4:$L$34,"&gt;="&amp;M795),'FIRE TEX 5062'!$L$4:$P$34,IF(L795="F-15",2,IF(L795="F-30",3,IF(L795="F-60",4,IF(L795="F-90",5,0)))),0),0)+IF(AND(O795="FIRE TEX 5062",E795="CJ",J795=4),VLOOKUP(_xlfn.MINIFS('FIRE TEX 5062'!$Q$3:$Q$34,'FIRE TEX 5062'!$Q$3:$Q$34,"&gt;="&amp;M795),'FIRE TEX 5062'!$Q$3:$U$34,IF(L795="F-15",2,IF(L795="F-30",3,IF(L795="F-60",4,IF(L795="F-90",5,0)))),0),0)+IF(AND(O795="FIRE TEX 5090",OR(E795="IN",E795="C",E795="Z",E795="L"),J795=3),VLOOKUP(_xlfn.MINIFS('FIRE TEX 5090'!$B$5:$B$43,'FIRE TEX 5090'!$B$5:$B$43,"&gt;="&amp;M795),'FIRE TEX 5090'!$B$5:$H$43,IF(L795="F-15",2,IF(L795="F-30",3,IF(L795="F-60",4,IF(L795="F-90",5,IF(L795="F-120",6,IF(L795="F-150",7,0)))))),0),0)+IF(AND(O795="FIRE TEX 5090",OR(E795="IN",E795="C",E795="Z",E795="L"),J795=4),VLOOKUP(_xlfn.MINIFS('FIRE TEX 5090'!$J$5:$J$43,'FIRE TEX 5090'!$J$5:$J$43,"&gt;="&amp;M795),'FIRE TEX 5090'!$J$5:$P$43,IF(L795="F-15",2,IF(L795="F-30",3,IF(L795="F-60",4,IF(L795="F-90",5,IF(L795="F-120",6,IF(L795="F-150",7,0)))))),0),0)+IF(AND(O795="FIRE TEX 5090",E795="CJ",J795=3),VLOOKUP(_xlfn.MINIFS('FIRE TEX 5090'!$R$5:$R$30,'FIRE TEX 5090'!$R$5:$R$30,"&gt;="&amp;M795),'FIRE TEX 5090'!$R$5:$W$30,IF(L795="F-15",2,IF(L795="F-30",3,IF(L795="F-60",4,IF(L795="F-90",5,IF(L795="F-120",6,IF(L795="F-150",7,0)))))),0),0)+IF(AND(O795="FIRE TEX 5090",E795="CJ",J795=4),VLOOKUP(_xlfn.MINIFS('FIRE TEX 5090'!$Y$5:$Y$39,'FIRE TEX 5090'!$Y$5:$Y$39,"&gt;="&amp;M795),'FIRE TEX 5090'!$Y$5:$AD$39,IF(L795="F-15",2,IF(L795="F-30",3,IF(L795="F-60",4,IF(L795="F-90",5,IF(L795="F-120",6,IF(L795="F-150",7,0)))))),0),0)+IF(AND(O795="FIRE TEX 5120",OR(E795="IN",E795="C",E795="Z",E795="L"),J795=3),VLOOKUP(_xlfn.MINIFS('FIRE TEX 5120'!$B$5:$B$40,'FIRE TEX 5120'!$B$5:$B$40,"&gt;="&amp;M795),'FIRE TEX 5120'!$B$5:$G$40,IF(L795="F-15",2,IF(L795="F-30",3,IF(L795="F-60",4,IF(L795="F-90",5,IF(L795="F-120",6,0))))),0),0)+IF(AND(O795="FIRE TEX 5120",OR(E795="IN",E795="C",E795="Z",E795="L"),J795=4),VLOOKUP(_xlfn.MINIFS('FIRE TEX 5120'!$H$4:$H$40,'FIRE TEX 5120'!$H$4:$H$40,"&gt;="&amp;M795),'FIRE TEX 5120'!$H$4:$M$40,IF(L795="F-15",2,IF(L795="F-30",3,IF(L795="F-60",4,IF(L795="F-90",5,IF(L795="F-120",6,0))))),0),0)+IF(AND(O795="FIRE TEX 5120",E795="CJ"),VLOOKUP(_xlfn.MINIFS('FIRE TEX 5120'!$O$5:$O$40,'FIRE TEX 5120'!$O$5:$O$40,"&gt;="&amp;M795),'FIRE TEX 5120'!$O$5:$T$40,IF(L795="F-15",2,IF(L795="F-30",3,IF(L795="F-60",4,IF(L795="F-90",5,IF(L795="F-120",6,0))))),0),0)</f>
        <v>0</v>
      </c>
      <c r="Q795" s="46">
        <f t="shared" si="79"/>
        <v>0</v>
      </c>
      <c r="R795" s="46">
        <f t="shared" si="80"/>
        <v>0</v>
      </c>
      <c r="S795" s="46" t="e">
        <f t="shared" si="81"/>
        <v>#VALUE!</v>
      </c>
      <c r="T795" s="677">
        <f t="shared" si="82"/>
        <v>0</v>
      </c>
      <c r="U795" s="80">
        <f>(IF(O795="Stofire",(S795*#REF!),0))+(IF(O795="Fire Control",(S795*$U$2),0))+(IF(O795="Fire Tex",(S795*$U$3),0))+(IF(O795="WB7",(S795*#REF!),0)+(IF(O795="FX 2003",(S795*$U$5),0)))</f>
        <v>0</v>
      </c>
      <c r="V795" s="651">
        <f t="shared" si="83"/>
        <v>0</v>
      </c>
    </row>
    <row r="796" spans="4:22" x14ac:dyDescent="0.25">
      <c r="D796" s="118">
        <f>+CUBICACION!D795</f>
        <v>0</v>
      </c>
      <c r="E796" s="118">
        <f>+CUBICACION!F795</f>
        <v>0</v>
      </c>
      <c r="F796" s="118">
        <f>+CUBICACION!E795</f>
        <v>0</v>
      </c>
      <c r="G796" s="118">
        <v>12</v>
      </c>
      <c r="H796" s="118">
        <v>2</v>
      </c>
      <c r="I796" s="820">
        <v>26385</v>
      </c>
      <c r="J796" s="118">
        <f>+CUBICACION!J795</f>
        <v>0</v>
      </c>
      <c r="K796" s="118">
        <v>3575</v>
      </c>
      <c r="L796" s="118">
        <f>+CUBICACION!L795</f>
        <v>0</v>
      </c>
      <c r="M796" s="64">
        <f>+CUBICACION!M795</f>
        <v>0</v>
      </c>
      <c r="N796" s="824" t="str">
        <f>+CUBICACION!N795</f>
        <v/>
      </c>
      <c r="O796" s="675">
        <f>+CUBICACION!O795</f>
        <v>0</v>
      </c>
      <c r="P796" s="15">
        <f>IF(O796="Fire Control",VLOOKUP(_xlfn.MINIFS('FIRE CONTROL'!$C$4:$C$37,'FIRE CONTROL'!$C$4:$C$37,"&gt;="&amp;M796),'FIRE CONTROL'!$C$4:$G$37,IF(L796="F-15",2,IF(L796="F-30",3,IF(L796="F-60",4,IF(L796="F-90",5,0)))),0),0)+IF(AND(O796="FIRE TEX 5062",OR(E796="IN",E796="C",E796="Z",E796="L"),J796=3),VLOOKUP(_xlfn.MINIFS('FIRE TEX 5062'!$B$4:$B$34,'FIRE TEX 5062'!$B$4:$B$34,"&gt;="&amp;M796),'FIRE TEX 5062'!$B$4:$F$34,IF(L796="F-15",2,IF(L796="F-30",3,IF(L796="F-60",4,IF(L796="F-90",5,0)))),0),0)+IF(AND(O796="FIRE TEX 5062",OR(E796="IN",E796="C",E796="Z",E796="L"),J796=4),VLOOKUP(_xlfn.MINIFS('FIRE TEX 5062'!$G$4:$G$34,'FIRE TEX 5062'!$G$4:$G$34,"&gt;="&amp;M796),'FIRE TEX 5062'!$G$4:$K$34,IF(L796="F-15",2,IF(L796="F-30",3,IF(L796="F-60",4,IF(L796="F-90",5,0)))),0),0)+IF(AND(O796="FIRE TEX 5062",E796="CJ",J796=3),VLOOKUP(_xlfn.MINIFS('FIRE TEX 5062'!$L$4:$L$34,'FIRE TEX 5062'!$L$4:$L$34,"&gt;="&amp;M796),'FIRE TEX 5062'!$L$4:$P$34,IF(L796="F-15",2,IF(L796="F-30",3,IF(L796="F-60",4,IF(L796="F-90",5,0)))),0),0)+IF(AND(O796="FIRE TEX 5062",E796="CJ",J796=4),VLOOKUP(_xlfn.MINIFS('FIRE TEX 5062'!$Q$3:$Q$34,'FIRE TEX 5062'!$Q$3:$Q$34,"&gt;="&amp;M796),'FIRE TEX 5062'!$Q$3:$U$34,IF(L796="F-15",2,IF(L796="F-30",3,IF(L796="F-60",4,IF(L796="F-90",5,0)))),0),0)+IF(AND(O796="FIRE TEX 5090",OR(E796="IN",E796="C",E796="Z",E796="L"),J796=3),VLOOKUP(_xlfn.MINIFS('FIRE TEX 5090'!$B$5:$B$43,'FIRE TEX 5090'!$B$5:$B$43,"&gt;="&amp;M796),'FIRE TEX 5090'!$B$5:$H$43,IF(L796="F-15",2,IF(L796="F-30",3,IF(L796="F-60",4,IF(L796="F-90",5,IF(L796="F-120",6,IF(L796="F-150",7,0)))))),0),0)+IF(AND(O796="FIRE TEX 5090",OR(E796="IN",E796="C",E796="Z",E796="L"),J796=4),VLOOKUP(_xlfn.MINIFS('FIRE TEX 5090'!$J$5:$J$43,'FIRE TEX 5090'!$J$5:$J$43,"&gt;="&amp;M796),'FIRE TEX 5090'!$J$5:$P$43,IF(L796="F-15",2,IF(L796="F-30",3,IF(L796="F-60",4,IF(L796="F-90",5,IF(L796="F-120",6,IF(L796="F-150",7,0)))))),0),0)+IF(AND(O796="FIRE TEX 5090",E796="CJ",J796=3),VLOOKUP(_xlfn.MINIFS('FIRE TEX 5090'!$R$5:$R$30,'FIRE TEX 5090'!$R$5:$R$30,"&gt;="&amp;M796),'FIRE TEX 5090'!$R$5:$W$30,IF(L796="F-15",2,IF(L796="F-30",3,IF(L796="F-60",4,IF(L796="F-90",5,IF(L796="F-120",6,IF(L796="F-150",7,0)))))),0),0)+IF(AND(O796="FIRE TEX 5090",E796="CJ",J796=4),VLOOKUP(_xlfn.MINIFS('FIRE TEX 5090'!$Y$5:$Y$39,'FIRE TEX 5090'!$Y$5:$Y$39,"&gt;="&amp;M796),'FIRE TEX 5090'!$Y$5:$AD$39,IF(L796="F-15",2,IF(L796="F-30",3,IF(L796="F-60",4,IF(L796="F-90",5,IF(L796="F-120",6,IF(L796="F-150",7,0)))))),0),0)+IF(AND(O796="FIRE TEX 5120",OR(E796="IN",E796="C",E796="Z",E796="L"),J796=3),VLOOKUP(_xlfn.MINIFS('FIRE TEX 5120'!$B$5:$B$40,'FIRE TEX 5120'!$B$5:$B$40,"&gt;="&amp;M796),'FIRE TEX 5120'!$B$5:$G$40,IF(L796="F-15",2,IF(L796="F-30",3,IF(L796="F-60",4,IF(L796="F-90",5,IF(L796="F-120",6,0))))),0),0)+IF(AND(O796="FIRE TEX 5120",OR(E796="IN",E796="C",E796="Z",E796="L"),J796=4),VLOOKUP(_xlfn.MINIFS('FIRE TEX 5120'!$H$4:$H$40,'FIRE TEX 5120'!$H$4:$H$40,"&gt;="&amp;M796),'FIRE TEX 5120'!$H$4:$M$40,IF(L796="F-15",2,IF(L796="F-30",3,IF(L796="F-60",4,IF(L796="F-90",5,IF(L796="F-120",6,0))))),0),0)+IF(AND(O796="FIRE TEX 5120",E796="CJ"),VLOOKUP(_xlfn.MINIFS('FIRE TEX 5120'!$O$5:$O$40,'FIRE TEX 5120'!$O$5:$O$40,"&gt;="&amp;M796),'FIRE TEX 5120'!$O$5:$T$40,IF(L796="F-15",2,IF(L796="F-30",3,IF(L796="F-60",4,IF(L796="F-90",5,IF(L796="F-120",6,0))))),0),0)</f>
        <v>0</v>
      </c>
      <c r="Q796" s="46">
        <f t="shared" si="79"/>
        <v>0</v>
      </c>
      <c r="R796" s="46">
        <f t="shared" si="80"/>
        <v>0</v>
      </c>
      <c r="S796" s="46" t="e">
        <f t="shared" si="81"/>
        <v>#VALUE!</v>
      </c>
      <c r="T796" s="677">
        <f t="shared" si="82"/>
        <v>0</v>
      </c>
      <c r="U796" s="80">
        <f>(IF(O796="Stofire",(S796*#REF!),0))+(IF(O796="Fire Control",(S796*$U$2),0))+(IF(O796="Fire Tex",(S796*$U$3),0))+(IF(O796="WB7",(S796*#REF!),0)+(IF(O796="FX 2003",(S796*$U$5),0)))</f>
        <v>0</v>
      </c>
      <c r="V796" s="651">
        <f t="shared" si="83"/>
        <v>0</v>
      </c>
    </row>
    <row r="797" spans="4:22" x14ac:dyDescent="0.25">
      <c r="D797" s="118">
        <f>+CUBICACION!D796</f>
        <v>0</v>
      </c>
      <c r="E797" s="118">
        <f>+CUBICACION!F796</f>
        <v>0</v>
      </c>
      <c r="F797" s="118">
        <f>+CUBICACION!E796</f>
        <v>0</v>
      </c>
      <c r="G797" s="118">
        <v>12</v>
      </c>
      <c r="H797" s="118">
        <v>2</v>
      </c>
      <c r="I797" s="820">
        <v>26385</v>
      </c>
      <c r="J797" s="118">
        <f>+CUBICACION!J796</f>
        <v>0</v>
      </c>
      <c r="K797" s="118">
        <v>3576</v>
      </c>
      <c r="L797" s="118">
        <f>+CUBICACION!L796</f>
        <v>0</v>
      </c>
      <c r="M797" s="64">
        <f>+CUBICACION!M796</f>
        <v>0</v>
      </c>
      <c r="N797" s="824" t="str">
        <f>+CUBICACION!N796</f>
        <v/>
      </c>
      <c r="O797" s="675">
        <f>+CUBICACION!O796</f>
        <v>0</v>
      </c>
      <c r="P797" s="15">
        <f>IF(O797="Fire Control",VLOOKUP(_xlfn.MINIFS('FIRE CONTROL'!$C$4:$C$37,'FIRE CONTROL'!$C$4:$C$37,"&gt;="&amp;M797),'FIRE CONTROL'!$C$4:$G$37,IF(L797="F-15",2,IF(L797="F-30",3,IF(L797="F-60",4,IF(L797="F-90",5,0)))),0),0)+IF(AND(O797="FIRE TEX 5062",OR(E797="IN",E797="C",E797="Z",E797="L"),J797=3),VLOOKUP(_xlfn.MINIFS('FIRE TEX 5062'!$B$4:$B$34,'FIRE TEX 5062'!$B$4:$B$34,"&gt;="&amp;M797),'FIRE TEX 5062'!$B$4:$F$34,IF(L797="F-15",2,IF(L797="F-30",3,IF(L797="F-60",4,IF(L797="F-90",5,0)))),0),0)+IF(AND(O797="FIRE TEX 5062",OR(E797="IN",E797="C",E797="Z",E797="L"),J797=4),VLOOKUP(_xlfn.MINIFS('FIRE TEX 5062'!$G$4:$G$34,'FIRE TEX 5062'!$G$4:$G$34,"&gt;="&amp;M797),'FIRE TEX 5062'!$G$4:$K$34,IF(L797="F-15",2,IF(L797="F-30",3,IF(L797="F-60",4,IF(L797="F-90",5,0)))),0),0)+IF(AND(O797="FIRE TEX 5062",E797="CJ",J797=3),VLOOKUP(_xlfn.MINIFS('FIRE TEX 5062'!$L$4:$L$34,'FIRE TEX 5062'!$L$4:$L$34,"&gt;="&amp;M797),'FIRE TEX 5062'!$L$4:$P$34,IF(L797="F-15",2,IF(L797="F-30",3,IF(L797="F-60",4,IF(L797="F-90",5,0)))),0),0)+IF(AND(O797="FIRE TEX 5062",E797="CJ",J797=4),VLOOKUP(_xlfn.MINIFS('FIRE TEX 5062'!$Q$3:$Q$34,'FIRE TEX 5062'!$Q$3:$Q$34,"&gt;="&amp;M797),'FIRE TEX 5062'!$Q$3:$U$34,IF(L797="F-15",2,IF(L797="F-30",3,IF(L797="F-60",4,IF(L797="F-90",5,0)))),0),0)+IF(AND(O797="FIRE TEX 5090",OR(E797="IN",E797="C",E797="Z",E797="L"),J797=3),VLOOKUP(_xlfn.MINIFS('FIRE TEX 5090'!$B$5:$B$43,'FIRE TEX 5090'!$B$5:$B$43,"&gt;="&amp;M797),'FIRE TEX 5090'!$B$5:$H$43,IF(L797="F-15",2,IF(L797="F-30",3,IF(L797="F-60",4,IF(L797="F-90",5,IF(L797="F-120",6,IF(L797="F-150",7,0)))))),0),0)+IF(AND(O797="FIRE TEX 5090",OR(E797="IN",E797="C",E797="Z",E797="L"),J797=4),VLOOKUP(_xlfn.MINIFS('FIRE TEX 5090'!$J$5:$J$43,'FIRE TEX 5090'!$J$5:$J$43,"&gt;="&amp;M797),'FIRE TEX 5090'!$J$5:$P$43,IF(L797="F-15",2,IF(L797="F-30",3,IF(L797="F-60",4,IF(L797="F-90",5,IF(L797="F-120",6,IF(L797="F-150",7,0)))))),0),0)+IF(AND(O797="FIRE TEX 5090",E797="CJ",J797=3),VLOOKUP(_xlfn.MINIFS('FIRE TEX 5090'!$R$5:$R$30,'FIRE TEX 5090'!$R$5:$R$30,"&gt;="&amp;M797),'FIRE TEX 5090'!$R$5:$W$30,IF(L797="F-15",2,IF(L797="F-30",3,IF(L797="F-60",4,IF(L797="F-90",5,IF(L797="F-120",6,IF(L797="F-150",7,0)))))),0),0)+IF(AND(O797="FIRE TEX 5090",E797="CJ",J797=4),VLOOKUP(_xlfn.MINIFS('FIRE TEX 5090'!$Y$5:$Y$39,'FIRE TEX 5090'!$Y$5:$Y$39,"&gt;="&amp;M797),'FIRE TEX 5090'!$Y$5:$AD$39,IF(L797="F-15",2,IF(L797="F-30",3,IF(L797="F-60",4,IF(L797="F-90",5,IF(L797="F-120",6,IF(L797="F-150",7,0)))))),0),0)+IF(AND(O797="FIRE TEX 5120",OR(E797="IN",E797="C",E797="Z",E797="L"),J797=3),VLOOKUP(_xlfn.MINIFS('FIRE TEX 5120'!$B$5:$B$40,'FIRE TEX 5120'!$B$5:$B$40,"&gt;="&amp;M797),'FIRE TEX 5120'!$B$5:$G$40,IF(L797="F-15",2,IF(L797="F-30",3,IF(L797="F-60",4,IF(L797="F-90",5,IF(L797="F-120",6,0))))),0),0)+IF(AND(O797="FIRE TEX 5120",OR(E797="IN",E797="C",E797="Z",E797="L"),J797=4),VLOOKUP(_xlfn.MINIFS('FIRE TEX 5120'!$H$4:$H$40,'FIRE TEX 5120'!$H$4:$H$40,"&gt;="&amp;M797),'FIRE TEX 5120'!$H$4:$M$40,IF(L797="F-15",2,IF(L797="F-30",3,IF(L797="F-60",4,IF(L797="F-90",5,IF(L797="F-120",6,0))))),0),0)+IF(AND(O797="FIRE TEX 5120",E797="CJ"),VLOOKUP(_xlfn.MINIFS('FIRE TEX 5120'!$O$5:$O$40,'FIRE TEX 5120'!$O$5:$O$40,"&gt;="&amp;M797),'FIRE TEX 5120'!$O$5:$T$40,IF(L797="F-15",2,IF(L797="F-30",3,IF(L797="F-60",4,IF(L797="F-90",5,IF(L797="F-120",6,0))))),0),0)</f>
        <v>0</v>
      </c>
      <c r="Q797" s="46">
        <f t="shared" si="79"/>
        <v>0</v>
      </c>
      <c r="R797" s="46">
        <f t="shared" si="80"/>
        <v>0</v>
      </c>
      <c r="S797" s="46" t="e">
        <f t="shared" si="81"/>
        <v>#VALUE!</v>
      </c>
      <c r="T797" s="677">
        <f t="shared" si="82"/>
        <v>0</v>
      </c>
      <c r="U797" s="80">
        <f>(IF(O797="Stofire",(S797*#REF!),0))+(IF(O797="Fire Control",(S797*$U$2),0))+(IF(O797="Fire Tex",(S797*$U$3),0))+(IF(O797="WB7",(S797*#REF!),0)+(IF(O797="FX 2003",(S797*$U$5),0)))</f>
        <v>0</v>
      </c>
      <c r="V797" s="651">
        <f t="shared" si="83"/>
        <v>0</v>
      </c>
    </row>
    <row r="798" spans="4:22" x14ac:dyDescent="0.25">
      <c r="D798" s="118">
        <f>+CUBICACION!D797</f>
        <v>0</v>
      </c>
      <c r="E798" s="118">
        <f>+CUBICACION!F797</f>
        <v>0</v>
      </c>
      <c r="F798" s="118">
        <f>+CUBICACION!E797</f>
        <v>0</v>
      </c>
      <c r="G798" s="118">
        <v>12</v>
      </c>
      <c r="H798" s="118">
        <v>2</v>
      </c>
      <c r="I798" s="820">
        <v>26385</v>
      </c>
      <c r="J798" s="118">
        <f>+CUBICACION!J797</f>
        <v>0</v>
      </c>
      <c r="K798" s="118">
        <v>3577</v>
      </c>
      <c r="L798" s="118">
        <f>+CUBICACION!L797</f>
        <v>0</v>
      </c>
      <c r="M798" s="64">
        <f>+CUBICACION!M797</f>
        <v>0</v>
      </c>
      <c r="N798" s="824" t="str">
        <f>+CUBICACION!N797</f>
        <v/>
      </c>
      <c r="O798" s="675">
        <f>+CUBICACION!O797</f>
        <v>0</v>
      </c>
      <c r="P798" s="15">
        <f>IF(O798="Fire Control",VLOOKUP(_xlfn.MINIFS('FIRE CONTROL'!$C$4:$C$37,'FIRE CONTROL'!$C$4:$C$37,"&gt;="&amp;M798),'FIRE CONTROL'!$C$4:$G$37,IF(L798="F-15",2,IF(L798="F-30",3,IF(L798="F-60",4,IF(L798="F-90",5,0)))),0),0)+IF(AND(O798="FIRE TEX 5062",OR(E798="IN",E798="C",E798="Z",E798="L"),J798=3),VLOOKUP(_xlfn.MINIFS('FIRE TEX 5062'!$B$4:$B$34,'FIRE TEX 5062'!$B$4:$B$34,"&gt;="&amp;M798),'FIRE TEX 5062'!$B$4:$F$34,IF(L798="F-15",2,IF(L798="F-30",3,IF(L798="F-60",4,IF(L798="F-90",5,0)))),0),0)+IF(AND(O798="FIRE TEX 5062",OR(E798="IN",E798="C",E798="Z",E798="L"),J798=4),VLOOKUP(_xlfn.MINIFS('FIRE TEX 5062'!$G$4:$G$34,'FIRE TEX 5062'!$G$4:$G$34,"&gt;="&amp;M798),'FIRE TEX 5062'!$G$4:$K$34,IF(L798="F-15",2,IF(L798="F-30",3,IF(L798="F-60",4,IF(L798="F-90",5,0)))),0),0)+IF(AND(O798="FIRE TEX 5062",E798="CJ",J798=3),VLOOKUP(_xlfn.MINIFS('FIRE TEX 5062'!$L$4:$L$34,'FIRE TEX 5062'!$L$4:$L$34,"&gt;="&amp;M798),'FIRE TEX 5062'!$L$4:$P$34,IF(L798="F-15",2,IF(L798="F-30",3,IF(L798="F-60",4,IF(L798="F-90",5,0)))),0),0)+IF(AND(O798="FIRE TEX 5062",E798="CJ",J798=4),VLOOKUP(_xlfn.MINIFS('FIRE TEX 5062'!$Q$3:$Q$34,'FIRE TEX 5062'!$Q$3:$Q$34,"&gt;="&amp;M798),'FIRE TEX 5062'!$Q$3:$U$34,IF(L798="F-15",2,IF(L798="F-30",3,IF(L798="F-60",4,IF(L798="F-90",5,0)))),0),0)+IF(AND(O798="FIRE TEX 5090",OR(E798="IN",E798="C",E798="Z",E798="L"),J798=3),VLOOKUP(_xlfn.MINIFS('FIRE TEX 5090'!$B$5:$B$43,'FIRE TEX 5090'!$B$5:$B$43,"&gt;="&amp;M798),'FIRE TEX 5090'!$B$5:$H$43,IF(L798="F-15",2,IF(L798="F-30",3,IF(L798="F-60",4,IF(L798="F-90",5,IF(L798="F-120",6,IF(L798="F-150",7,0)))))),0),0)+IF(AND(O798="FIRE TEX 5090",OR(E798="IN",E798="C",E798="Z",E798="L"),J798=4),VLOOKUP(_xlfn.MINIFS('FIRE TEX 5090'!$J$5:$J$43,'FIRE TEX 5090'!$J$5:$J$43,"&gt;="&amp;M798),'FIRE TEX 5090'!$J$5:$P$43,IF(L798="F-15",2,IF(L798="F-30",3,IF(L798="F-60",4,IF(L798="F-90",5,IF(L798="F-120",6,IF(L798="F-150",7,0)))))),0),0)+IF(AND(O798="FIRE TEX 5090",E798="CJ",J798=3),VLOOKUP(_xlfn.MINIFS('FIRE TEX 5090'!$R$5:$R$30,'FIRE TEX 5090'!$R$5:$R$30,"&gt;="&amp;M798),'FIRE TEX 5090'!$R$5:$W$30,IF(L798="F-15",2,IF(L798="F-30",3,IF(L798="F-60",4,IF(L798="F-90",5,IF(L798="F-120",6,IF(L798="F-150",7,0)))))),0),0)+IF(AND(O798="FIRE TEX 5090",E798="CJ",J798=4),VLOOKUP(_xlfn.MINIFS('FIRE TEX 5090'!$Y$5:$Y$39,'FIRE TEX 5090'!$Y$5:$Y$39,"&gt;="&amp;M798),'FIRE TEX 5090'!$Y$5:$AD$39,IF(L798="F-15",2,IF(L798="F-30",3,IF(L798="F-60",4,IF(L798="F-90",5,IF(L798="F-120",6,IF(L798="F-150",7,0)))))),0),0)+IF(AND(O798="FIRE TEX 5120",OR(E798="IN",E798="C",E798="Z",E798="L"),J798=3),VLOOKUP(_xlfn.MINIFS('FIRE TEX 5120'!$B$5:$B$40,'FIRE TEX 5120'!$B$5:$B$40,"&gt;="&amp;M798),'FIRE TEX 5120'!$B$5:$G$40,IF(L798="F-15",2,IF(L798="F-30",3,IF(L798="F-60",4,IF(L798="F-90",5,IF(L798="F-120",6,0))))),0),0)+IF(AND(O798="FIRE TEX 5120",OR(E798="IN",E798="C",E798="Z",E798="L"),J798=4),VLOOKUP(_xlfn.MINIFS('FIRE TEX 5120'!$H$4:$H$40,'FIRE TEX 5120'!$H$4:$H$40,"&gt;="&amp;M798),'FIRE TEX 5120'!$H$4:$M$40,IF(L798="F-15",2,IF(L798="F-30",3,IF(L798="F-60",4,IF(L798="F-90",5,IF(L798="F-120",6,0))))),0),0)+IF(AND(O798="FIRE TEX 5120",E798="CJ"),VLOOKUP(_xlfn.MINIFS('FIRE TEX 5120'!$O$5:$O$40,'FIRE TEX 5120'!$O$5:$O$40,"&gt;="&amp;M798),'FIRE TEX 5120'!$O$5:$T$40,IF(L798="F-15",2,IF(L798="F-30",3,IF(L798="F-60",4,IF(L798="F-90",5,IF(L798="F-120",6,0))))),0),0)</f>
        <v>0</v>
      </c>
      <c r="Q798" s="46">
        <f t="shared" si="79"/>
        <v>0</v>
      </c>
      <c r="R798" s="46">
        <f t="shared" si="80"/>
        <v>0</v>
      </c>
      <c r="S798" s="46" t="e">
        <f t="shared" si="81"/>
        <v>#VALUE!</v>
      </c>
      <c r="T798" s="677">
        <f t="shared" si="82"/>
        <v>0</v>
      </c>
      <c r="U798" s="80">
        <f>(IF(O798="Stofire",(S798*#REF!),0))+(IF(O798="Fire Control",(S798*$U$2),0))+(IF(O798="Fire Tex",(S798*$U$3),0))+(IF(O798="WB7",(S798*#REF!),0)+(IF(O798="FX 2003",(S798*$U$5),0)))</f>
        <v>0</v>
      </c>
      <c r="V798" s="651">
        <f t="shared" si="83"/>
        <v>0</v>
      </c>
    </row>
    <row r="799" spans="4:22" x14ac:dyDescent="0.25">
      <c r="D799" s="118">
        <f>+CUBICACION!D798</f>
        <v>0</v>
      </c>
      <c r="E799" s="118">
        <f>+CUBICACION!F798</f>
        <v>0</v>
      </c>
      <c r="F799" s="118">
        <f>+CUBICACION!E798</f>
        <v>0</v>
      </c>
      <c r="G799" s="118">
        <v>12</v>
      </c>
      <c r="H799" s="118">
        <v>2</v>
      </c>
      <c r="I799" s="820">
        <v>26385</v>
      </c>
      <c r="J799" s="118">
        <f>+CUBICACION!J798</f>
        <v>0</v>
      </c>
      <c r="K799" s="118">
        <v>3578</v>
      </c>
      <c r="L799" s="118">
        <f>+CUBICACION!L798</f>
        <v>0</v>
      </c>
      <c r="M799" s="64">
        <f>+CUBICACION!M798</f>
        <v>0</v>
      </c>
      <c r="N799" s="824" t="str">
        <f>+CUBICACION!N798</f>
        <v/>
      </c>
      <c r="O799" s="675">
        <f>+CUBICACION!O798</f>
        <v>0</v>
      </c>
      <c r="P799" s="15">
        <f>IF(O799="Fire Control",VLOOKUP(_xlfn.MINIFS('FIRE CONTROL'!$C$4:$C$37,'FIRE CONTROL'!$C$4:$C$37,"&gt;="&amp;M799),'FIRE CONTROL'!$C$4:$G$37,IF(L799="F-15",2,IF(L799="F-30",3,IF(L799="F-60",4,IF(L799="F-90",5,0)))),0),0)+IF(AND(O799="FIRE TEX 5062",OR(E799="IN",E799="C",E799="Z",E799="L"),J799=3),VLOOKUP(_xlfn.MINIFS('FIRE TEX 5062'!$B$4:$B$34,'FIRE TEX 5062'!$B$4:$B$34,"&gt;="&amp;M799),'FIRE TEX 5062'!$B$4:$F$34,IF(L799="F-15",2,IF(L799="F-30",3,IF(L799="F-60",4,IF(L799="F-90",5,0)))),0),0)+IF(AND(O799="FIRE TEX 5062",OR(E799="IN",E799="C",E799="Z",E799="L"),J799=4),VLOOKUP(_xlfn.MINIFS('FIRE TEX 5062'!$G$4:$G$34,'FIRE TEX 5062'!$G$4:$G$34,"&gt;="&amp;M799),'FIRE TEX 5062'!$G$4:$K$34,IF(L799="F-15",2,IF(L799="F-30",3,IF(L799="F-60",4,IF(L799="F-90",5,0)))),0),0)+IF(AND(O799="FIRE TEX 5062",E799="CJ",J799=3),VLOOKUP(_xlfn.MINIFS('FIRE TEX 5062'!$L$4:$L$34,'FIRE TEX 5062'!$L$4:$L$34,"&gt;="&amp;M799),'FIRE TEX 5062'!$L$4:$P$34,IF(L799="F-15",2,IF(L799="F-30",3,IF(L799="F-60",4,IF(L799="F-90",5,0)))),0),0)+IF(AND(O799="FIRE TEX 5062",E799="CJ",J799=4),VLOOKUP(_xlfn.MINIFS('FIRE TEX 5062'!$Q$3:$Q$34,'FIRE TEX 5062'!$Q$3:$Q$34,"&gt;="&amp;M799),'FIRE TEX 5062'!$Q$3:$U$34,IF(L799="F-15",2,IF(L799="F-30",3,IF(L799="F-60",4,IF(L799="F-90",5,0)))),0),0)+IF(AND(O799="FIRE TEX 5090",OR(E799="IN",E799="C",E799="Z",E799="L"),J799=3),VLOOKUP(_xlfn.MINIFS('FIRE TEX 5090'!$B$5:$B$43,'FIRE TEX 5090'!$B$5:$B$43,"&gt;="&amp;M799),'FIRE TEX 5090'!$B$5:$H$43,IF(L799="F-15",2,IF(L799="F-30",3,IF(L799="F-60",4,IF(L799="F-90",5,IF(L799="F-120",6,IF(L799="F-150",7,0)))))),0),0)+IF(AND(O799="FIRE TEX 5090",OR(E799="IN",E799="C",E799="Z",E799="L"),J799=4),VLOOKUP(_xlfn.MINIFS('FIRE TEX 5090'!$J$5:$J$43,'FIRE TEX 5090'!$J$5:$J$43,"&gt;="&amp;M799),'FIRE TEX 5090'!$J$5:$P$43,IF(L799="F-15",2,IF(L799="F-30",3,IF(L799="F-60",4,IF(L799="F-90",5,IF(L799="F-120",6,IF(L799="F-150",7,0)))))),0),0)+IF(AND(O799="FIRE TEX 5090",E799="CJ",J799=3),VLOOKUP(_xlfn.MINIFS('FIRE TEX 5090'!$R$5:$R$30,'FIRE TEX 5090'!$R$5:$R$30,"&gt;="&amp;M799),'FIRE TEX 5090'!$R$5:$W$30,IF(L799="F-15",2,IF(L799="F-30",3,IF(L799="F-60",4,IF(L799="F-90",5,IF(L799="F-120",6,IF(L799="F-150",7,0)))))),0),0)+IF(AND(O799="FIRE TEX 5090",E799="CJ",J799=4),VLOOKUP(_xlfn.MINIFS('FIRE TEX 5090'!$Y$5:$Y$39,'FIRE TEX 5090'!$Y$5:$Y$39,"&gt;="&amp;M799),'FIRE TEX 5090'!$Y$5:$AD$39,IF(L799="F-15",2,IF(L799="F-30",3,IF(L799="F-60",4,IF(L799="F-90",5,IF(L799="F-120",6,IF(L799="F-150",7,0)))))),0),0)+IF(AND(O799="FIRE TEX 5120",OR(E799="IN",E799="C",E799="Z",E799="L"),J799=3),VLOOKUP(_xlfn.MINIFS('FIRE TEX 5120'!$B$5:$B$40,'FIRE TEX 5120'!$B$5:$B$40,"&gt;="&amp;M799),'FIRE TEX 5120'!$B$5:$G$40,IF(L799="F-15",2,IF(L799="F-30",3,IF(L799="F-60",4,IF(L799="F-90",5,IF(L799="F-120",6,0))))),0),0)+IF(AND(O799="FIRE TEX 5120",OR(E799="IN",E799="C",E799="Z",E799="L"),J799=4),VLOOKUP(_xlfn.MINIFS('FIRE TEX 5120'!$H$4:$H$40,'FIRE TEX 5120'!$H$4:$H$40,"&gt;="&amp;M799),'FIRE TEX 5120'!$H$4:$M$40,IF(L799="F-15",2,IF(L799="F-30",3,IF(L799="F-60",4,IF(L799="F-90",5,IF(L799="F-120",6,0))))),0),0)+IF(AND(O799="FIRE TEX 5120",E799="CJ"),VLOOKUP(_xlfn.MINIFS('FIRE TEX 5120'!$O$5:$O$40,'FIRE TEX 5120'!$O$5:$O$40,"&gt;="&amp;M799),'FIRE TEX 5120'!$O$5:$T$40,IF(L799="F-15",2,IF(L799="F-30",3,IF(L799="F-60",4,IF(L799="F-90",5,IF(L799="F-120",6,0))))),0),0)</f>
        <v>0</v>
      </c>
      <c r="Q799" s="46">
        <f t="shared" si="79"/>
        <v>0</v>
      </c>
      <c r="R799" s="46">
        <f t="shared" si="80"/>
        <v>0</v>
      </c>
      <c r="S799" s="46" t="e">
        <f t="shared" si="81"/>
        <v>#VALUE!</v>
      </c>
      <c r="T799" s="677">
        <f t="shared" si="82"/>
        <v>0</v>
      </c>
      <c r="U799" s="80">
        <f>(IF(O799="Stofire",(S799*#REF!),0))+(IF(O799="Fire Control",(S799*$U$2),0))+(IF(O799="Fire Tex",(S799*$U$3),0))+(IF(O799="WB7",(S799*#REF!),0)+(IF(O799="FX 2003",(S799*$U$5),0)))</f>
        <v>0</v>
      </c>
      <c r="V799" s="651">
        <f t="shared" si="83"/>
        <v>0</v>
      </c>
    </row>
    <row r="800" spans="4:22" x14ac:dyDescent="0.25">
      <c r="D800" s="118">
        <f>+CUBICACION!D799</f>
        <v>0</v>
      </c>
      <c r="E800" s="118">
        <f>+CUBICACION!F799</f>
        <v>0</v>
      </c>
      <c r="F800" s="118">
        <f>+CUBICACION!E799</f>
        <v>0</v>
      </c>
      <c r="G800" s="118">
        <v>12</v>
      </c>
      <c r="H800" s="118">
        <v>2</v>
      </c>
      <c r="I800" s="820">
        <v>26385</v>
      </c>
      <c r="J800" s="118">
        <f>+CUBICACION!J799</f>
        <v>0</v>
      </c>
      <c r="K800" s="118">
        <v>3579</v>
      </c>
      <c r="L800" s="118">
        <f>+CUBICACION!L799</f>
        <v>0</v>
      </c>
      <c r="M800" s="64">
        <f>+CUBICACION!M799</f>
        <v>0</v>
      </c>
      <c r="N800" s="824" t="str">
        <f>+CUBICACION!N799</f>
        <v/>
      </c>
      <c r="O800" s="675">
        <f>+CUBICACION!O799</f>
        <v>0</v>
      </c>
      <c r="P800" s="15">
        <f>IF(O800="Fire Control",VLOOKUP(_xlfn.MINIFS('FIRE CONTROL'!$C$4:$C$37,'FIRE CONTROL'!$C$4:$C$37,"&gt;="&amp;M800),'FIRE CONTROL'!$C$4:$G$37,IF(L800="F-15",2,IF(L800="F-30",3,IF(L800="F-60",4,IF(L800="F-90",5,0)))),0),0)+IF(AND(O800="FIRE TEX 5062",OR(E800="IN",E800="C",E800="Z",E800="L"),J800=3),VLOOKUP(_xlfn.MINIFS('FIRE TEX 5062'!$B$4:$B$34,'FIRE TEX 5062'!$B$4:$B$34,"&gt;="&amp;M800),'FIRE TEX 5062'!$B$4:$F$34,IF(L800="F-15",2,IF(L800="F-30",3,IF(L800="F-60",4,IF(L800="F-90",5,0)))),0),0)+IF(AND(O800="FIRE TEX 5062",OR(E800="IN",E800="C",E800="Z",E800="L"),J800=4),VLOOKUP(_xlfn.MINIFS('FIRE TEX 5062'!$G$4:$G$34,'FIRE TEX 5062'!$G$4:$G$34,"&gt;="&amp;M800),'FIRE TEX 5062'!$G$4:$K$34,IF(L800="F-15",2,IF(L800="F-30",3,IF(L800="F-60",4,IF(L800="F-90",5,0)))),0),0)+IF(AND(O800="FIRE TEX 5062",E800="CJ",J800=3),VLOOKUP(_xlfn.MINIFS('FIRE TEX 5062'!$L$4:$L$34,'FIRE TEX 5062'!$L$4:$L$34,"&gt;="&amp;M800),'FIRE TEX 5062'!$L$4:$P$34,IF(L800="F-15",2,IF(L800="F-30",3,IF(L800="F-60",4,IF(L800="F-90",5,0)))),0),0)+IF(AND(O800="FIRE TEX 5062",E800="CJ",J800=4),VLOOKUP(_xlfn.MINIFS('FIRE TEX 5062'!$Q$3:$Q$34,'FIRE TEX 5062'!$Q$3:$Q$34,"&gt;="&amp;M800),'FIRE TEX 5062'!$Q$3:$U$34,IF(L800="F-15",2,IF(L800="F-30",3,IF(L800="F-60",4,IF(L800="F-90",5,0)))),0),0)+IF(AND(O800="FIRE TEX 5090",OR(E800="IN",E800="C",E800="Z",E800="L"),J800=3),VLOOKUP(_xlfn.MINIFS('FIRE TEX 5090'!$B$5:$B$43,'FIRE TEX 5090'!$B$5:$B$43,"&gt;="&amp;M800),'FIRE TEX 5090'!$B$5:$H$43,IF(L800="F-15",2,IF(L800="F-30",3,IF(L800="F-60",4,IF(L800="F-90",5,IF(L800="F-120",6,IF(L800="F-150",7,0)))))),0),0)+IF(AND(O800="FIRE TEX 5090",OR(E800="IN",E800="C",E800="Z",E800="L"),J800=4),VLOOKUP(_xlfn.MINIFS('FIRE TEX 5090'!$J$5:$J$43,'FIRE TEX 5090'!$J$5:$J$43,"&gt;="&amp;M800),'FIRE TEX 5090'!$J$5:$P$43,IF(L800="F-15",2,IF(L800="F-30",3,IF(L800="F-60",4,IF(L800="F-90",5,IF(L800="F-120",6,IF(L800="F-150",7,0)))))),0),0)+IF(AND(O800="FIRE TEX 5090",E800="CJ",J800=3),VLOOKUP(_xlfn.MINIFS('FIRE TEX 5090'!$R$5:$R$30,'FIRE TEX 5090'!$R$5:$R$30,"&gt;="&amp;M800),'FIRE TEX 5090'!$R$5:$W$30,IF(L800="F-15",2,IF(L800="F-30",3,IF(L800="F-60",4,IF(L800="F-90",5,IF(L800="F-120",6,IF(L800="F-150",7,0)))))),0),0)+IF(AND(O800="FIRE TEX 5090",E800="CJ",J800=4),VLOOKUP(_xlfn.MINIFS('FIRE TEX 5090'!$Y$5:$Y$39,'FIRE TEX 5090'!$Y$5:$Y$39,"&gt;="&amp;M800),'FIRE TEX 5090'!$Y$5:$AD$39,IF(L800="F-15",2,IF(L800="F-30",3,IF(L800="F-60",4,IF(L800="F-90",5,IF(L800="F-120",6,IF(L800="F-150",7,0)))))),0),0)+IF(AND(O800="FIRE TEX 5120",OR(E800="IN",E800="C",E800="Z",E800="L"),J800=3),VLOOKUP(_xlfn.MINIFS('FIRE TEX 5120'!$B$5:$B$40,'FIRE TEX 5120'!$B$5:$B$40,"&gt;="&amp;M800),'FIRE TEX 5120'!$B$5:$G$40,IF(L800="F-15",2,IF(L800="F-30",3,IF(L800="F-60",4,IF(L800="F-90",5,IF(L800="F-120",6,0))))),0),0)+IF(AND(O800="FIRE TEX 5120",OR(E800="IN",E800="C",E800="Z",E800="L"),J800=4),VLOOKUP(_xlfn.MINIFS('FIRE TEX 5120'!$H$4:$H$40,'FIRE TEX 5120'!$H$4:$H$40,"&gt;="&amp;M800),'FIRE TEX 5120'!$H$4:$M$40,IF(L800="F-15",2,IF(L800="F-30",3,IF(L800="F-60",4,IF(L800="F-90",5,IF(L800="F-120",6,0))))),0),0)+IF(AND(O800="FIRE TEX 5120",E800="CJ"),VLOOKUP(_xlfn.MINIFS('FIRE TEX 5120'!$O$5:$O$40,'FIRE TEX 5120'!$O$5:$O$40,"&gt;="&amp;M800),'FIRE TEX 5120'!$O$5:$T$40,IF(L800="F-15",2,IF(L800="F-30",3,IF(L800="F-60",4,IF(L800="F-90",5,IF(L800="F-120",6,0))))),0),0)</f>
        <v>0</v>
      </c>
      <c r="Q800" s="46">
        <f t="shared" si="79"/>
        <v>0</v>
      </c>
      <c r="R800" s="46">
        <f t="shared" si="80"/>
        <v>0</v>
      </c>
      <c r="S800" s="46" t="e">
        <f t="shared" si="81"/>
        <v>#VALUE!</v>
      </c>
      <c r="T800" s="677">
        <f t="shared" si="82"/>
        <v>0</v>
      </c>
      <c r="U800" s="80">
        <f>(IF(O800="Stofire",(S800*#REF!),0))+(IF(O800="Fire Control",(S800*$U$2),0))+(IF(O800="Fire Tex",(S800*$U$3),0))+(IF(O800="WB7",(S800*#REF!),0)+(IF(O800="FX 2003",(S800*$U$5),0)))</f>
        <v>0</v>
      </c>
      <c r="V800" s="651">
        <f t="shared" si="83"/>
        <v>0</v>
      </c>
    </row>
    <row r="801" spans="4:22" x14ac:dyDescent="0.25">
      <c r="D801" s="118">
        <f>+CUBICACION!D800</f>
        <v>0</v>
      </c>
      <c r="E801" s="118">
        <f>+CUBICACION!F800</f>
        <v>0</v>
      </c>
      <c r="F801" s="118">
        <f>+CUBICACION!E800</f>
        <v>0</v>
      </c>
      <c r="G801" s="118">
        <v>12</v>
      </c>
      <c r="H801" s="118">
        <v>2</v>
      </c>
      <c r="I801" s="820">
        <v>26385</v>
      </c>
      <c r="J801" s="118">
        <f>+CUBICACION!J800</f>
        <v>0</v>
      </c>
      <c r="K801" s="118">
        <v>3580</v>
      </c>
      <c r="L801" s="118">
        <f>+CUBICACION!L800</f>
        <v>0</v>
      </c>
      <c r="M801" s="64">
        <f>+CUBICACION!M800</f>
        <v>0</v>
      </c>
      <c r="N801" s="824" t="str">
        <f>+CUBICACION!N800</f>
        <v/>
      </c>
      <c r="O801" s="675">
        <f>+CUBICACION!O800</f>
        <v>0</v>
      </c>
      <c r="P801" s="15">
        <f>IF(O801="Fire Control",VLOOKUP(_xlfn.MINIFS('FIRE CONTROL'!$C$4:$C$37,'FIRE CONTROL'!$C$4:$C$37,"&gt;="&amp;M801),'FIRE CONTROL'!$C$4:$G$37,IF(L801="F-15",2,IF(L801="F-30",3,IF(L801="F-60",4,IF(L801="F-90",5,0)))),0),0)+IF(AND(O801="FIRE TEX 5062",OR(E801="IN",E801="C",E801="Z",E801="L"),J801=3),VLOOKUP(_xlfn.MINIFS('FIRE TEX 5062'!$B$4:$B$34,'FIRE TEX 5062'!$B$4:$B$34,"&gt;="&amp;M801),'FIRE TEX 5062'!$B$4:$F$34,IF(L801="F-15",2,IF(L801="F-30",3,IF(L801="F-60",4,IF(L801="F-90",5,0)))),0),0)+IF(AND(O801="FIRE TEX 5062",OR(E801="IN",E801="C",E801="Z",E801="L"),J801=4),VLOOKUP(_xlfn.MINIFS('FIRE TEX 5062'!$G$4:$G$34,'FIRE TEX 5062'!$G$4:$G$34,"&gt;="&amp;M801),'FIRE TEX 5062'!$G$4:$K$34,IF(L801="F-15",2,IF(L801="F-30",3,IF(L801="F-60",4,IF(L801="F-90",5,0)))),0),0)+IF(AND(O801="FIRE TEX 5062",E801="CJ",J801=3),VLOOKUP(_xlfn.MINIFS('FIRE TEX 5062'!$L$4:$L$34,'FIRE TEX 5062'!$L$4:$L$34,"&gt;="&amp;M801),'FIRE TEX 5062'!$L$4:$P$34,IF(L801="F-15",2,IF(L801="F-30",3,IF(L801="F-60",4,IF(L801="F-90",5,0)))),0),0)+IF(AND(O801="FIRE TEX 5062",E801="CJ",J801=4),VLOOKUP(_xlfn.MINIFS('FIRE TEX 5062'!$Q$3:$Q$34,'FIRE TEX 5062'!$Q$3:$Q$34,"&gt;="&amp;M801),'FIRE TEX 5062'!$Q$3:$U$34,IF(L801="F-15",2,IF(L801="F-30",3,IF(L801="F-60",4,IF(L801="F-90",5,0)))),0),0)+IF(AND(O801="FIRE TEX 5090",OR(E801="IN",E801="C",E801="Z",E801="L"),J801=3),VLOOKUP(_xlfn.MINIFS('FIRE TEX 5090'!$B$5:$B$43,'FIRE TEX 5090'!$B$5:$B$43,"&gt;="&amp;M801),'FIRE TEX 5090'!$B$5:$H$43,IF(L801="F-15",2,IF(L801="F-30",3,IF(L801="F-60",4,IF(L801="F-90",5,IF(L801="F-120",6,IF(L801="F-150",7,0)))))),0),0)+IF(AND(O801="FIRE TEX 5090",OR(E801="IN",E801="C",E801="Z",E801="L"),J801=4),VLOOKUP(_xlfn.MINIFS('FIRE TEX 5090'!$J$5:$J$43,'FIRE TEX 5090'!$J$5:$J$43,"&gt;="&amp;M801),'FIRE TEX 5090'!$J$5:$P$43,IF(L801="F-15",2,IF(L801="F-30",3,IF(L801="F-60",4,IF(L801="F-90",5,IF(L801="F-120",6,IF(L801="F-150",7,0)))))),0),0)+IF(AND(O801="FIRE TEX 5090",E801="CJ",J801=3),VLOOKUP(_xlfn.MINIFS('FIRE TEX 5090'!$R$5:$R$30,'FIRE TEX 5090'!$R$5:$R$30,"&gt;="&amp;M801),'FIRE TEX 5090'!$R$5:$W$30,IF(L801="F-15",2,IF(L801="F-30",3,IF(L801="F-60",4,IF(L801="F-90",5,IF(L801="F-120",6,IF(L801="F-150",7,0)))))),0),0)+IF(AND(O801="FIRE TEX 5090",E801="CJ",J801=4),VLOOKUP(_xlfn.MINIFS('FIRE TEX 5090'!$Y$5:$Y$39,'FIRE TEX 5090'!$Y$5:$Y$39,"&gt;="&amp;M801),'FIRE TEX 5090'!$Y$5:$AD$39,IF(L801="F-15",2,IF(L801="F-30",3,IF(L801="F-60",4,IF(L801="F-90",5,IF(L801="F-120",6,IF(L801="F-150",7,0)))))),0),0)+IF(AND(O801="FIRE TEX 5120",OR(E801="IN",E801="C",E801="Z",E801="L"),J801=3),VLOOKUP(_xlfn.MINIFS('FIRE TEX 5120'!$B$5:$B$40,'FIRE TEX 5120'!$B$5:$B$40,"&gt;="&amp;M801),'FIRE TEX 5120'!$B$5:$G$40,IF(L801="F-15",2,IF(L801="F-30",3,IF(L801="F-60",4,IF(L801="F-90",5,IF(L801="F-120",6,0))))),0),0)+IF(AND(O801="FIRE TEX 5120",OR(E801="IN",E801="C",E801="Z",E801="L"),J801=4),VLOOKUP(_xlfn.MINIFS('FIRE TEX 5120'!$H$4:$H$40,'FIRE TEX 5120'!$H$4:$H$40,"&gt;="&amp;M801),'FIRE TEX 5120'!$H$4:$M$40,IF(L801="F-15",2,IF(L801="F-30",3,IF(L801="F-60",4,IF(L801="F-90",5,IF(L801="F-120",6,0))))),0),0)+IF(AND(O801="FIRE TEX 5120",E801="CJ"),VLOOKUP(_xlfn.MINIFS('FIRE TEX 5120'!$O$5:$O$40,'FIRE TEX 5120'!$O$5:$O$40,"&gt;="&amp;M801),'FIRE TEX 5120'!$O$5:$T$40,IF(L801="F-15",2,IF(L801="F-30",3,IF(L801="F-60",4,IF(L801="F-90",5,IF(L801="F-120",6,0))))),0),0)</f>
        <v>0</v>
      </c>
      <c r="Q801" s="46">
        <f t="shared" si="79"/>
        <v>0</v>
      </c>
      <c r="R801" s="46">
        <f t="shared" si="80"/>
        <v>0</v>
      </c>
      <c r="S801" s="46" t="e">
        <f t="shared" si="81"/>
        <v>#VALUE!</v>
      </c>
      <c r="T801" s="677">
        <f t="shared" si="82"/>
        <v>0</v>
      </c>
      <c r="U801" s="80">
        <f>(IF(O801="Stofire",(S801*#REF!),0))+(IF(O801="Fire Control",(S801*$U$2),0))+(IF(O801="Fire Tex",(S801*$U$3),0))+(IF(O801="WB7",(S801*#REF!),0)+(IF(O801="FX 2003",(S801*$U$5),0)))</f>
        <v>0</v>
      </c>
      <c r="V801" s="651">
        <f t="shared" si="83"/>
        <v>0</v>
      </c>
    </row>
    <row r="802" spans="4:22" x14ac:dyDescent="0.25">
      <c r="D802" s="118">
        <f>+CUBICACION!D801</f>
        <v>0</v>
      </c>
      <c r="E802" s="118">
        <f>+CUBICACION!F801</f>
        <v>0</v>
      </c>
      <c r="F802" s="118">
        <f>+CUBICACION!E801</f>
        <v>0</v>
      </c>
      <c r="G802" s="118">
        <v>12</v>
      </c>
      <c r="H802" s="118">
        <v>2</v>
      </c>
      <c r="I802" s="820">
        <v>26385</v>
      </c>
      <c r="J802" s="118">
        <f>+CUBICACION!J801</f>
        <v>0</v>
      </c>
      <c r="K802" s="118">
        <v>3581</v>
      </c>
      <c r="L802" s="118">
        <f>+CUBICACION!L801</f>
        <v>0</v>
      </c>
      <c r="M802" s="64">
        <f>+CUBICACION!M801</f>
        <v>0</v>
      </c>
      <c r="N802" s="824" t="str">
        <f>+CUBICACION!N801</f>
        <v/>
      </c>
      <c r="O802" s="675">
        <f>+CUBICACION!O801</f>
        <v>0</v>
      </c>
      <c r="P802" s="15">
        <f>IF(O802="Fire Control",VLOOKUP(_xlfn.MINIFS('FIRE CONTROL'!$C$4:$C$37,'FIRE CONTROL'!$C$4:$C$37,"&gt;="&amp;M802),'FIRE CONTROL'!$C$4:$G$37,IF(L802="F-15",2,IF(L802="F-30",3,IF(L802="F-60",4,IF(L802="F-90",5,0)))),0),0)+IF(AND(O802="FIRE TEX 5062",OR(E802="IN",E802="C",E802="Z",E802="L"),J802=3),VLOOKUP(_xlfn.MINIFS('FIRE TEX 5062'!$B$4:$B$34,'FIRE TEX 5062'!$B$4:$B$34,"&gt;="&amp;M802),'FIRE TEX 5062'!$B$4:$F$34,IF(L802="F-15",2,IF(L802="F-30",3,IF(L802="F-60",4,IF(L802="F-90",5,0)))),0),0)+IF(AND(O802="FIRE TEX 5062",OR(E802="IN",E802="C",E802="Z",E802="L"),J802=4),VLOOKUP(_xlfn.MINIFS('FIRE TEX 5062'!$G$4:$G$34,'FIRE TEX 5062'!$G$4:$G$34,"&gt;="&amp;M802),'FIRE TEX 5062'!$G$4:$K$34,IF(L802="F-15",2,IF(L802="F-30",3,IF(L802="F-60",4,IF(L802="F-90",5,0)))),0),0)+IF(AND(O802="FIRE TEX 5062",E802="CJ",J802=3),VLOOKUP(_xlfn.MINIFS('FIRE TEX 5062'!$L$4:$L$34,'FIRE TEX 5062'!$L$4:$L$34,"&gt;="&amp;M802),'FIRE TEX 5062'!$L$4:$P$34,IF(L802="F-15",2,IF(L802="F-30",3,IF(L802="F-60",4,IF(L802="F-90",5,0)))),0),0)+IF(AND(O802="FIRE TEX 5062",E802="CJ",J802=4),VLOOKUP(_xlfn.MINIFS('FIRE TEX 5062'!$Q$3:$Q$34,'FIRE TEX 5062'!$Q$3:$Q$34,"&gt;="&amp;M802),'FIRE TEX 5062'!$Q$3:$U$34,IF(L802="F-15",2,IF(L802="F-30",3,IF(L802="F-60",4,IF(L802="F-90",5,0)))),0),0)+IF(AND(O802="FIRE TEX 5090",OR(E802="IN",E802="C",E802="Z",E802="L"),J802=3),VLOOKUP(_xlfn.MINIFS('FIRE TEX 5090'!$B$5:$B$43,'FIRE TEX 5090'!$B$5:$B$43,"&gt;="&amp;M802),'FIRE TEX 5090'!$B$5:$H$43,IF(L802="F-15",2,IF(L802="F-30",3,IF(L802="F-60",4,IF(L802="F-90",5,IF(L802="F-120",6,IF(L802="F-150",7,0)))))),0),0)+IF(AND(O802="FIRE TEX 5090",OR(E802="IN",E802="C",E802="Z",E802="L"),J802=4),VLOOKUP(_xlfn.MINIFS('FIRE TEX 5090'!$J$5:$J$43,'FIRE TEX 5090'!$J$5:$J$43,"&gt;="&amp;M802),'FIRE TEX 5090'!$J$5:$P$43,IF(L802="F-15",2,IF(L802="F-30",3,IF(L802="F-60",4,IF(L802="F-90",5,IF(L802="F-120",6,IF(L802="F-150",7,0)))))),0),0)+IF(AND(O802="FIRE TEX 5090",E802="CJ",J802=3),VLOOKUP(_xlfn.MINIFS('FIRE TEX 5090'!$R$5:$R$30,'FIRE TEX 5090'!$R$5:$R$30,"&gt;="&amp;M802),'FIRE TEX 5090'!$R$5:$W$30,IF(L802="F-15",2,IF(L802="F-30",3,IF(L802="F-60",4,IF(L802="F-90",5,IF(L802="F-120",6,IF(L802="F-150",7,0)))))),0),0)+IF(AND(O802="FIRE TEX 5090",E802="CJ",J802=4),VLOOKUP(_xlfn.MINIFS('FIRE TEX 5090'!$Y$5:$Y$39,'FIRE TEX 5090'!$Y$5:$Y$39,"&gt;="&amp;M802),'FIRE TEX 5090'!$Y$5:$AD$39,IF(L802="F-15",2,IF(L802="F-30",3,IF(L802="F-60",4,IF(L802="F-90",5,IF(L802="F-120",6,IF(L802="F-150",7,0)))))),0),0)+IF(AND(O802="FIRE TEX 5120",OR(E802="IN",E802="C",E802="Z",E802="L"),J802=3),VLOOKUP(_xlfn.MINIFS('FIRE TEX 5120'!$B$5:$B$40,'FIRE TEX 5120'!$B$5:$B$40,"&gt;="&amp;M802),'FIRE TEX 5120'!$B$5:$G$40,IF(L802="F-15",2,IF(L802="F-30",3,IF(L802="F-60",4,IF(L802="F-90",5,IF(L802="F-120",6,0))))),0),0)+IF(AND(O802="FIRE TEX 5120",OR(E802="IN",E802="C",E802="Z",E802="L"),J802=4),VLOOKUP(_xlfn.MINIFS('FIRE TEX 5120'!$H$4:$H$40,'FIRE TEX 5120'!$H$4:$H$40,"&gt;="&amp;M802),'FIRE TEX 5120'!$H$4:$M$40,IF(L802="F-15",2,IF(L802="F-30",3,IF(L802="F-60",4,IF(L802="F-90",5,IF(L802="F-120",6,0))))),0),0)+IF(AND(O802="FIRE TEX 5120",E802="CJ"),VLOOKUP(_xlfn.MINIFS('FIRE TEX 5120'!$O$5:$O$40,'FIRE TEX 5120'!$O$5:$O$40,"&gt;="&amp;M802),'FIRE TEX 5120'!$O$5:$T$40,IF(L802="F-15",2,IF(L802="F-30",3,IF(L802="F-60",4,IF(L802="F-90",5,IF(L802="F-120",6,0))))),0),0)</f>
        <v>0</v>
      </c>
      <c r="Q802" s="46">
        <f t="shared" si="79"/>
        <v>0</v>
      </c>
      <c r="R802" s="46">
        <f t="shared" si="80"/>
        <v>0</v>
      </c>
      <c r="S802" s="46" t="e">
        <f t="shared" si="81"/>
        <v>#VALUE!</v>
      </c>
      <c r="T802" s="677">
        <f t="shared" si="82"/>
        <v>0</v>
      </c>
      <c r="U802" s="80">
        <f>(IF(O802="Stofire",(S802*#REF!),0))+(IF(O802="Fire Control",(S802*$U$2),0))+(IF(O802="Fire Tex",(S802*$U$3),0))+(IF(O802="WB7",(S802*#REF!),0)+(IF(O802="FX 2003",(S802*$U$5),0)))</f>
        <v>0</v>
      </c>
      <c r="V802" s="651">
        <f t="shared" si="83"/>
        <v>0</v>
      </c>
    </row>
    <row r="803" spans="4:22" x14ac:dyDescent="0.25">
      <c r="D803" s="118">
        <f>+CUBICACION!D802</f>
        <v>0</v>
      </c>
      <c r="E803" s="118">
        <f>+CUBICACION!F802</f>
        <v>0</v>
      </c>
      <c r="F803" s="118">
        <f>+CUBICACION!E802</f>
        <v>0</v>
      </c>
      <c r="G803" s="118">
        <v>12</v>
      </c>
      <c r="H803" s="118">
        <v>2</v>
      </c>
      <c r="I803" s="820">
        <v>26385</v>
      </c>
      <c r="J803" s="118">
        <f>+CUBICACION!J802</f>
        <v>0</v>
      </c>
      <c r="K803" s="118">
        <v>3582</v>
      </c>
      <c r="L803" s="118">
        <f>+CUBICACION!L802</f>
        <v>0</v>
      </c>
      <c r="M803" s="64">
        <f>+CUBICACION!M802</f>
        <v>0</v>
      </c>
      <c r="N803" s="824" t="str">
        <f>+CUBICACION!N802</f>
        <v/>
      </c>
      <c r="O803" s="675">
        <f>+CUBICACION!O802</f>
        <v>0</v>
      </c>
      <c r="P803" s="15">
        <f>IF(O803="Fire Control",VLOOKUP(_xlfn.MINIFS('FIRE CONTROL'!$C$4:$C$37,'FIRE CONTROL'!$C$4:$C$37,"&gt;="&amp;M803),'FIRE CONTROL'!$C$4:$G$37,IF(L803="F-15",2,IF(L803="F-30",3,IF(L803="F-60",4,IF(L803="F-90",5,0)))),0),0)+IF(AND(O803="FIRE TEX 5062",OR(E803="IN",E803="C",E803="Z",E803="L"),J803=3),VLOOKUP(_xlfn.MINIFS('FIRE TEX 5062'!$B$4:$B$34,'FIRE TEX 5062'!$B$4:$B$34,"&gt;="&amp;M803),'FIRE TEX 5062'!$B$4:$F$34,IF(L803="F-15",2,IF(L803="F-30",3,IF(L803="F-60",4,IF(L803="F-90",5,0)))),0),0)+IF(AND(O803="FIRE TEX 5062",OR(E803="IN",E803="C",E803="Z",E803="L"),J803=4),VLOOKUP(_xlfn.MINIFS('FIRE TEX 5062'!$G$4:$G$34,'FIRE TEX 5062'!$G$4:$G$34,"&gt;="&amp;M803),'FIRE TEX 5062'!$G$4:$K$34,IF(L803="F-15",2,IF(L803="F-30",3,IF(L803="F-60",4,IF(L803="F-90",5,0)))),0),0)+IF(AND(O803="FIRE TEX 5062",E803="CJ",J803=3),VLOOKUP(_xlfn.MINIFS('FIRE TEX 5062'!$L$4:$L$34,'FIRE TEX 5062'!$L$4:$L$34,"&gt;="&amp;M803),'FIRE TEX 5062'!$L$4:$P$34,IF(L803="F-15",2,IF(L803="F-30",3,IF(L803="F-60",4,IF(L803="F-90",5,0)))),0),0)+IF(AND(O803="FIRE TEX 5062",E803="CJ",J803=4),VLOOKUP(_xlfn.MINIFS('FIRE TEX 5062'!$Q$3:$Q$34,'FIRE TEX 5062'!$Q$3:$Q$34,"&gt;="&amp;M803),'FIRE TEX 5062'!$Q$3:$U$34,IF(L803="F-15",2,IF(L803="F-30",3,IF(L803="F-60",4,IF(L803="F-90",5,0)))),0),0)+IF(AND(O803="FIRE TEX 5090",OR(E803="IN",E803="C",E803="Z",E803="L"),J803=3),VLOOKUP(_xlfn.MINIFS('FIRE TEX 5090'!$B$5:$B$43,'FIRE TEX 5090'!$B$5:$B$43,"&gt;="&amp;M803),'FIRE TEX 5090'!$B$5:$H$43,IF(L803="F-15",2,IF(L803="F-30",3,IF(L803="F-60",4,IF(L803="F-90",5,IF(L803="F-120",6,IF(L803="F-150",7,0)))))),0),0)+IF(AND(O803="FIRE TEX 5090",OR(E803="IN",E803="C",E803="Z",E803="L"),J803=4),VLOOKUP(_xlfn.MINIFS('FIRE TEX 5090'!$J$5:$J$43,'FIRE TEX 5090'!$J$5:$J$43,"&gt;="&amp;M803),'FIRE TEX 5090'!$J$5:$P$43,IF(L803="F-15",2,IF(L803="F-30",3,IF(L803="F-60",4,IF(L803="F-90",5,IF(L803="F-120",6,IF(L803="F-150",7,0)))))),0),0)+IF(AND(O803="FIRE TEX 5090",E803="CJ",J803=3),VLOOKUP(_xlfn.MINIFS('FIRE TEX 5090'!$R$5:$R$30,'FIRE TEX 5090'!$R$5:$R$30,"&gt;="&amp;M803),'FIRE TEX 5090'!$R$5:$W$30,IF(L803="F-15",2,IF(L803="F-30",3,IF(L803="F-60",4,IF(L803="F-90",5,IF(L803="F-120",6,IF(L803="F-150",7,0)))))),0),0)+IF(AND(O803="FIRE TEX 5090",E803="CJ",J803=4),VLOOKUP(_xlfn.MINIFS('FIRE TEX 5090'!$Y$5:$Y$39,'FIRE TEX 5090'!$Y$5:$Y$39,"&gt;="&amp;M803),'FIRE TEX 5090'!$Y$5:$AD$39,IF(L803="F-15",2,IF(L803="F-30",3,IF(L803="F-60",4,IF(L803="F-90",5,IF(L803="F-120",6,IF(L803="F-150",7,0)))))),0),0)+IF(AND(O803="FIRE TEX 5120",OR(E803="IN",E803="C",E803="Z",E803="L"),J803=3),VLOOKUP(_xlfn.MINIFS('FIRE TEX 5120'!$B$5:$B$40,'FIRE TEX 5120'!$B$5:$B$40,"&gt;="&amp;M803),'FIRE TEX 5120'!$B$5:$G$40,IF(L803="F-15",2,IF(L803="F-30",3,IF(L803="F-60",4,IF(L803="F-90",5,IF(L803="F-120",6,0))))),0),0)+IF(AND(O803="FIRE TEX 5120",OR(E803="IN",E803="C",E803="Z",E803="L"),J803=4),VLOOKUP(_xlfn.MINIFS('FIRE TEX 5120'!$H$4:$H$40,'FIRE TEX 5120'!$H$4:$H$40,"&gt;="&amp;M803),'FIRE TEX 5120'!$H$4:$M$40,IF(L803="F-15",2,IF(L803="F-30",3,IF(L803="F-60",4,IF(L803="F-90",5,IF(L803="F-120",6,0))))),0),0)+IF(AND(O803="FIRE TEX 5120",E803="CJ"),VLOOKUP(_xlfn.MINIFS('FIRE TEX 5120'!$O$5:$O$40,'FIRE TEX 5120'!$O$5:$O$40,"&gt;="&amp;M803),'FIRE TEX 5120'!$O$5:$T$40,IF(L803="F-15",2,IF(L803="F-30",3,IF(L803="F-60",4,IF(L803="F-90",5,IF(L803="F-120",6,0))))),0),0)</f>
        <v>0</v>
      </c>
      <c r="Q803" s="46">
        <f t="shared" si="79"/>
        <v>0</v>
      </c>
      <c r="R803" s="46">
        <f t="shared" si="80"/>
        <v>0</v>
      </c>
      <c r="S803" s="46" t="e">
        <f t="shared" si="81"/>
        <v>#VALUE!</v>
      </c>
      <c r="T803" s="677">
        <f t="shared" si="82"/>
        <v>0</v>
      </c>
      <c r="U803" s="80">
        <f>(IF(O803="Stofire",(S803*#REF!),0))+(IF(O803="Fire Control",(S803*$U$2),0))+(IF(O803="Fire Tex",(S803*$U$3),0))+(IF(O803="WB7",(S803*#REF!),0)+(IF(O803="FX 2003",(S803*$U$5),0)))</f>
        <v>0</v>
      </c>
      <c r="V803" s="651">
        <f t="shared" si="83"/>
        <v>0</v>
      </c>
    </row>
    <row r="804" spans="4:22" x14ac:dyDescent="0.25">
      <c r="D804" s="118">
        <f>+CUBICACION!D803</f>
        <v>0</v>
      </c>
      <c r="E804" s="118">
        <f>+CUBICACION!F803</f>
        <v>0</v>
      </c>
      <c r="F804" s="118">
        <f>+CUBICACION!E803</f>
        <v>0</v>
      </c>
      <c r="G804" s="118">
        <v>12</v>
      </c>
      <c r="H804" s="118">
        <v>2</v>
      </c>
      <c r="I804" s="820">
        <v>26385</v>
      </c>
      <c r="J804" s="118">
        <f>+CUBICACION!J803</f>
        <v>0</v>
      </c>
      <c r="K804" s="118">
        <v>3583</v>
      </c>
      <c r="L804" s="118">
        <f>+CUBICACION!L803</f>
        <v>0</v>
      </c>
      <c r="M804" s="64">
        <f>+CUBICACION!M803</f>
        <v>0</v>
      </c>
      <c r="N804" s="824" t="str">
        <f>+CUBICACION!N803</f>
        <v/>
      </c>
      <c r="O804" s="675">
        <f>+CUBICACION!O803</f>
        <v>0</v>
      </c>
      <c r="P804" s="15">
        <f>IF(O804="Fire Control",VLOOKUP(_xlfn.MINIFS('FIRE CONTROL'!$C$4:$C$37,'FIRE CONTROL'!$C$4:$C$37,"&gt;="&amp;M804),'FIRE CONTROL'!$C$4:$G$37,IF(L804="F-15",2,IF(L804="F-30",3,IF(L804="F-60",4,IF(L804="F-90",5,0)))),0),0)+IF(AND(O804="FIRE TEX 5062",OR(E804="IN",E804="C",E804="Z",E804="L"),J804=3),VLOOKUP(_xlfn.MINIFS('FIRE TEX 5062'!$B$4:$B$34,'FIRE TEX 5062'!$B$4:$B$34,"&gt;="&amp;M804),'FIRE TEX 5062'!$B$4:$F$34,IF(L804="F-15",2,IF(L804="F-30",3,IF(L804="F-60",4,IF(L804="F-90",5,0)))),0),0)+IF(AND(O804="FIRE TEX 5062",OR(E804="IN",E804="C",E804="Z",E804="L"),J804=4),VLOOKUP(_xlfn.MINIFS('FIRE TEX 5062'!$G$4:$G$34,'FIRE TEX 5062'!$G$4:$G$34,"&gt;="&amp;M804),'FIRE TEX 5062'!$G$4:$K$34,IF(L804="F-15",2,IF(L804="F-30",3,IF(L804="F-60",4,IF(L804="F-90",5,0)))),0),0)+IF(AND(O804="FIRE TEX 5062",E804="CJ",J804=3),VLOOKUP(_xlfn.MINIFS('FIRE TEX 5062'!$L$4:$L$34,'FIRE TEX 5062'!$L$4:$L$34,"&gt;="&amp;M804),'FIRE TEX 5062'!$L$4:$P$34,IF(L804="F-15",2,IF(L804="F-30",3,IF(L804="F-60",4,IF(L804="F-90",5,0)))),0),0)+IF(AND(O804="FIRE TEX 5062",E804="CJ",J804=4),VLOOKUP(_xlfn.MINIFS('FIRE TEX 5062'!$Q$3:$Q$34,'FIRE TEX 5062'!$Q$3:$Q$34,"&gt;="&amp;M804),'FIRE TEX 5062'!$Q$3:$U$34,IF(L804="F-15",2,IF(L804="F-30",3,IF(L804="F-60",4,IF(L804="F-90",5,0)))),0),0)+IF(AND(O804="FIRE TEX 5090",OR(E804="IN",E804="C",E804="Z",E804="L"),J804=3),VLOOKUP(_xlfn.MINIFS('FIRE TEX 5090'!$B$5:$B$43,'FIRE TEX 5090'!$B$5:$B$43,"&gt;="&amp;M804),'FIRE TEX 5090'!$B$5:$H$43,IF(L804="F-15",2,IF(L804="F-30",3,IF(L804="F-60",4,IF(L804="F-90",5,IF(L804="F-120",6,IF(L804="F-150",7,0)))))),0),0)+IF(AND(O804="FIRE TEX 5090",OR(E804="IN",E804="C",E804="Z",E804="L"),J804=4),VLOOKUP(_xlfn.MINIFS('FIRE TEX 5090'!$J$5:$J$43,'FIRE TEX 5090'!$J$5:$J$43,"&gt;="&amp;M804),'FIRE TEX 5090'!$J$5:$P$43,IF(L804="F-15",2,IF(L804="F-30",3,IF(L804="F-60",4,IF(L804="F-90",5,IF(L804="F-120",6,IF(L804="F-150",7,0)))))),0),0)+IF(AND(O804="FIRE TEX 5090",E804="CJ",J804=3),VLOOKUP(_xlfn.MINIFS('FIRE TEX 5090'!$R$5:$R$30,'FIRE TEX 5090'!$R$5:$R$30,"&gt;="&amp;M804),'FIRE TEX 5090'!$R$5:$W$30,IF(L804="F-15",2,IF(L804="F-30",3,IF(L804="F-60",4,IF(L804="F-90",5,IF(L804="F-120",6,IF(L804="F-150",7,0)))))),0),0)+IF(AND(O804="FIRE TEX 5090",E804="CJ",J804=4),VLOOKUP(_xlfn.MINIFS('FIRE TEX 5090'!$Y$5:$Y$39,'FIRE TEX 5090'!$Y$5:$Y$39,"&gt;="&amp;M804),'FIRE TEX 5090'!$Y$5:$AD$39,IF(L804="F-15",2,IF(L804="F-30",3,IF(L804="F-60",4,IF(L804="F-90",5,IF(L804="F-120",6,IF(L804="F-150",7,0)))))),0),0)+IF(AND(O804="FIRE TEX 5120",OR(E804="IN",E804="C",E804="Z",E804="L"),J804=3),VLOOKUP(_xlfn.MINIFS('FIRE TEX 5120'!$B$5:$B$40,'FIRE TEX 5120'!$B$5:$B$40,"&gt;="&amp;M804),'FIRE TEX 5120'!$B$5:$G$40,IF(L804="F-15",2,IF(L804="F-30",3,IF(L804="F-60",4,IF(L804="F-90",5,IF(L804="F-120",6,0))))),0),0)+IF(AND(O804="FIRE TEX 5120",OR(E804="IN",E804="C",E804="Z",E804="L"),J804=4),VLOOKUP(_xlfn.MINIFS('FIRE TEX 5120'!$H$4:$H$40,'FIRE TEX 5120'!$H$4:$H$40,"&gt;="&amp;M804),'FIRE TEX 5120'!$H$4:$M$40,IF(L804="F-15",2,IF(L804="F-30",3,IF(L804="F-60",4,IF(L804="F-90",5,IF(L804="F-120",6,0))))),0),0)+IF(AND(O804="FIRE TEX 5120",E804="CJ"),VLOOKUP(_xlfn.MINIFS('FIRE TEX 5120'!$O$5:$O$40,'FIRE TEX 5120'!$O$5:$O$40,"&gt;="&amp;M804),'FIRE TEX 5120'!$O$5:$T$40,IF(L804="F-15",2,IF(L804="F-30",3,IF(L804="F-60",4,IF(L804="F-90",5,IF(L804="F-120",6,0))))),0),0)</f>
        <v>0</v>
      </c>
      <c r="Q804" s="46">
        <f t="shared" si="79"/>
        <v>0</v>
      </c>
      <c r="R804" s="46">
        <f t="shared" si="80"/>
        <v>0</v>
      </c>
      <c r="S804" s="46" t="e">
        <f t="shared" si="81"/>
        <v>#VALUE!</v>
      </c>
      <c r="T804" s="677">
        <f t="shared" si="82"/>
        <v>0</v>
      </c>
      <c r="U804" s="80">
        <f>(IF(O804="Stofire",(S804*#REF!),0))+(IF(O804="Fire Control",(S804*$U$2),0))+(IF(O804="Fire Tex",(S804*$U$3),0))+(IF(O804="WB7",(S804*#REF!),0)+(IF(O804="FX 2003",(S804*$U$5),0)))</f>
        <v>0</v>
      </c>
      <c r="V804" s="651">
        <f t="shared" si="83"/>
        <v>0</v>
      </c>
    </row>
    <row r="805" spans="4:22" x14ac:dyDescent="0.25">
      <c r="D805" s="118">
        <f>+CUBICACION!D804</f>
        <v>0</v>
      </c>
      <c r="E805" s="118">
        <f>+CUBICACION!F804</f>
        <v>0</v>
      </c>
      <c r="F805" s="118">
        <f>+CUBICACION!E804</f>
        <v>0</v>
      </c>
      <c r="G805" s="118">
        <v>12</v>
      </c>
      <c r="H805" s="118">
        <v>2</v>
      </c>
      <c r="I805" s="820">
        <v>26385</v>
      </c>
      <c r="J805" s="118">
        <f>+CUBICACION!J804</f>
        <v>0</v>
      </c>
      <c r="K805" s="118">
        <v>3584</v>
      </c>
      <c r="L805" s="118">
        <f>+CUBICACION!L804</f>
        <v>0</v>
      </c>
      <c r="M805" s="64">
        <f>+CUBICACION!M804</f>
        <v>0</v>
      </c>
      <c r="N805" s="824" t="str">
        <f>+CUBICACION!N804</f>
        <v/>
      </c>
      <c r="O805" s="675">
        <f>+CUBICACION!O804</f>
        <v>0</v>
      </c>
      <c r="P805" s="15">
        <f>IF(O805="Fire Control",VLOOKUP(_xlfn.MINIFS('FIRE CONTROL'!$C$4:$C$37,'FIRE CONTROL'!$C$4:$C$37,"&gt;="&amp;M805),'FIRE CONTROL'!$C$4:$G$37,IF(L805="F-15",2,IF(L805="F-30",3,IF(L805="F-60",4,IF(L805="F-90",5,0)))),0),0)+IF(AND(O805="FIRE TEX 5062",OR(E805="IN",E805="C",E805="Z",E805="L"),J805=3),VLOOKUP(_xlfn.MINIFS('FIRE TEX 5062'!$B$4:$B$34,'FIRE TEX 5062'!$B$4:$B$34,"&gt;="&amp;M805),'FIRE TEX 5062'!$B$4:$F$34,IF(L805="F-15",2,IF(L805="F-30",3,IF(L805="F-60",4,IF(L805="F-90",5,0)))),0),0)+IF(AND(O805="FIRE TEX 5062",OR(E805="IN",E805="C",E805="Z",E805="L"),J805=4),VLOOKUP(_xlfn.MINIFS('FIRE TEX 5062'!$G$4:$G$34,'FIRE TEX 5062'!$G$4:$G$34,"&gt;="&amp;M805),'FIRE TEX 5062'!$G$4:$K$34,IF(L805="F-15",2,IF(L805="F-30",3,IF(L805="F-60",4,IF(L805="F-90",5,0)))),0),0)+IF(AND(O805="FIRE TEX 5062",E805="CJ",J805=3),VLOOKUP(_xlfn.MINIFS('FIRE TEX 5062'!$L$4:$L$34,'FIRE TEX 5062'!$L$4:$L$34,"&gt;="&amp;M805),'FIRE TEX 5062'!$L$4:$P$34,IF(L805="F-15",2,IF(L805="F-30",3,IF(L805="F-60",4,IF(L805="F-90",5,0)))),0),0)+IF(AND(O805="FIRE TEX 5062",E805="CJ",J805=4),VLOOKUP(_xlfn.MINIFS('FIRE TEX 5062'!$Q$3:$Q$34,'FIRE TEX 5062'!$Q$3:$Q$34,"&gt;="&amp;M805),'FIRE TEX 5062'!$Q$3:$U$34,IF(L805="F-15",2,IF(L805="F-30",3,IF(L805="F-60",4,IF(L805="F-90",5,0)))),0),0)+IF(AND(O805="FIRE TEX 5090",OR(E805="IN",E805="C",E805="Z",E805="L"),J805=3),VLOOKUP(_xlfn.MINIFS('FIRE TEX 5090'!$B$5:$B$43,'FIRE TEX 5090'!$B$5:$B$43,"&gt;="&amp;M805),'FIRE TEX 5090'!$B$5:$H$43,IF(L805="F-15",2,IF(L805="F-30",3,IF(L805="F-60",4,IF(L805="F-90",5,IF(L805="F-120",6,IF(L805="F-150",7,0)))))),0),0)+IF(AND(O805="FIRE TEX 5090",OR(E805="IN",E805="C",E805="Z",E805="L"),J805=4),VLOOKUP(_xlfn.MINIFS('FIRE TEX 5090'!$J$5:$J$43,'FIRE TEX 5090'!$J$5:$J$43,"&gt;="&amp;M805),'FIRE TEX 5090'!$J$5:$P$43,IF(L805="F-15",2,IF(L805="F-30",3,IF(L805="F-60",4,IF(L805="F-90",5,IF(L805="F-120",6,IF(L805="F-150",7,0)))))),0),0)+IF(AND(O805="FIRE TEX 5090",E805="CJ",J805=3),VLOOKUP(_xlfn.MINIFS('FIRE TEX 5090'!$R$5:$R$30,'FIRE TEX 5090'!$R$5:$R$30,"&gt;="&amp;M805),'FIRE TEX 5090'!$R$5:$W$30,IF(L805="F-15",2,IF(L805="F-30",3,IF(L805="F-60",4,IF(L805="F-90",5,IF(L805="F-120",6,IF(L805="F-150",7,0)))))),0),0)+IF(AND(O805="FIRE TEX 5090",E805="CJ",J805=4),VLOOKUP(_xlfn.MINIFS('FIRE TEX 5090'!$Y$5:$Y$39,'FIRE TEX 5090'!$Y$5:$Y$39,"&gt;="&amp;M805),'FIRE TEX 5090'!$Y$5:$AD$39,IF(L805="F-15",2,IF(L805="F-30",3,IF(L805="F-60",4,IF(L805="F-90",5,IF(L805="F-120",6,IF(L805="F-150",7,0)))))),0),0)+IF(AND(O805="FIRE TEX 5120",OR(E805="IN",E805="C",E805="Z",E805="L"),J805=3),VLOOKUP(_xlfn.MINIFS('FIRE TEX 5120'!$B$5:$B$40,'FIRE TEX 5120'!$B$5:$B$40,"&gt;="&amp;M805),'FIRE TEX 5120'!$B$5:$G$40,IF(L805="F-15",2,IF(L805="F-30",3,IF(L805="F-60",4,IF(L805="F-90",5,IF(L805="F-120",6,0))))),0),0)+IF(AND(O805="FIRE TEX 5120",OR(E805="IN",E805="C",E805="Z",E805="L"),J805=4),VLOOKUP(_xlfn.MINIFS('FIRE TEX 5120'!$H$4:$H$40,'FIRE TEX 5120'!$H$4:$H$40,"&gt;="&amp;M805),'FIRE TEX 5120'!$H$4:$M$40,IF(L805="F-15",2,IF(L805="F-30",3,IF(L805="F-60",4,IF(L805="F-90",5,IF(L805="F-120",6,0))))),0),0)+IF(AND(O805="FIRE TEX 5120",E805="CJ"),VLOOKUP(_xlfn.MINIFS('FIRE TEX 5120'!$O$5:$O$40,'FIRE TEX 5120'!$O$5:$O$40,"&gt;="&amp;M805),'FIRE TEX 5120'!$O$5:$T$40,IF(L805="F-15",2,IF(L805="F-30",3,IF(L805="F-60",4,IF(L805="F-90",5,IF(L805="F-120",6,0))))),0),0)</f>
        <v>0</v>
      </c>
      <c r="Q805" s="46">
        <f t="shared" si="79"/>
        <v>0</v>
      </c>
      <c r="R805" s="46">
        <f t="shared" si="80"/>
        <v>0</v>
      </c>
      <c r="S805" s="46" t="e">
        <f t="shared" si="81"/>
        <v>#VALUE!</v>
      </c>
      <c r="T805" s="677">
        <f t="shared" si="82"/>
        <v>0</v>
      </c>
      <c r="U805" s="80">
        <f>(IF(O805="Stofire",(S805*#REF!),0))+(IF(O805="Fire Control",(S805*$U$2),0))+(IF(O805="Fire Tex",(S805*$U$3),0))+(IF(O805="WB7",(S805*#REF!),0)+(IF(O805="FX 2003",(S805*$U$5),0)))</f>
        <v>0</v>
      </c>
      <c r="V805" s="651">
        <f t="shared" si="83"/>
        <v>0</v>
      </c>
    </row>
    <row r="806" spans="4:22" x14ac:dyDescent="0.25">
      <c r="D806" s="118">
        <f>+CUBICACION!D805</f>
        <v>0</v>
      </c>
      <c r="E806" s="118">
        <f>+CUBICACION!F805</f>
        <v>0</v>
      </c>
      <c r="F806" s="118">
        <f>+CUBICACION!E805</f>
        <v>0</v>
      </c>
      <c r="G806" s="118">
        <v>12</v>
      </c>
      <c r="H806" s="118">
        <v>2</v>
      </c>
      <c r="I806" s="820">
        <v>26385</v>
      </c>
      <c r="J806" s="118">
        <f>+CUBICACION!J805</f>
        <v>0</v>
      </c>
      <c r="K806" s="118">
        <v>3585</v>
      </c>
      <c r="L806" s="118">
        <f>+CUBICACION!L805</f>
        <v>0</v>
      </c>
      <c r="M806" s="64">
        <f>+CUBICACION!M805</f>
        <v>0</v>
      </c>
      <c r="N806" s="824" t="str">
        <f>+CUBICACION!N805</f>
        <v/>
      </c>
      <c r="O806" s="675">
        <f>+CUBICACION!O805</f>
        <v>0</v>
      </c>
      <c r="P806" s="15">
        <f>IF(O806="Fire Control",VLOOKUP(_xlfn.MINIFS('FIRE CONTROL'!$C$4:$C$37,'FIRE CONTROL'!$C$4:$C$37,"&gt;="&amp;M806),'FIRE CONTROL'!$C$4:$G$37,IF(L806="F-15",2,IF(L806="F-30",3,IF(L806="F-60",4,IF(L806="F-90",5,0)))),0),0)+IF(AND(O806="FIRE TEX 5062",OR(E806="IN",E806="C",E806="Z",E806="L"),J806=3),VLOOKUP(_xlfn.MINIFS('FIRE TEX 5062'!$B$4:$B$34,'FIRE TEX 5062'!$B$4:$B$34,"&gt;="&amp;M806),'FIRE TEX 5062'!$B$4:$F$34,IF(L806="F-15",2,IF(L806="F-30",3,IF(L806="F-60",4,IF(L806="F-90",5,0)))),0),0)+IF(AND(O806="FIRE TEX 5062",OR(E806="IN",E806="C",E806="Z",E806="L"),J806=4),VLOOKUP(_xlfn.MINIFS('FIRE TEX 5062'!$G$4:$G$34,'FIRE TEX 5062'!$G$4:$G$34,"&gt;="&amp;M806),'FIRE TEX 5062'!$G$4:$K$34,IF(L806="F-15",2,IF(L806="F-30",3,IF(L806="F-60",4,IF(L806="F-90",5,0)))),0),0)+IF(AND(O806="FIRE TEX 5062",E806="CJ",J806=3),VLOOKUP(_xlfn.MINIFS('FIRE TEX 5062'!$L$4:$L$34,'FIRE TEX 5062'!$L$4:$L$34,"&gt;="&amp;M806),'FIRE TEX 5062'!$L$4:$P$34,IF(L806="F-15",2,IF(L806="F-30",3,IF(L806="F-60",4,IF(L806="F-90",5,0)))),0),0)+IF(AND(O806="FIRE TEX 5062",E806="CJ",J806=4),VLOOKUP(_xlfn.MINIFS('FIRE TEX 5062'!$Q$3:$Q$34,'FIRE TEX 5062'!$Q$3:$Q$34,"&gt;="&amp;M806),'FIRE TEX 5062'!$Q$3:$U$34,IF(L806="F-15",2,IF(L806="F-30",3,IF(L806="F-60",4,IF(L806="F-90",5,0)))),0),0)+IF(AND(O806="FIRE TEX 5090",OR(E806="IN",E806="C",E806="Z",E806="L"),J806=3),VLOOKUP(_xlfn.MINIFS('FIRE TEX 5090'!$B$5:$B$43,'FIRE TEX 5090'!$B$5:$B$43,"&gt;="&amp;M806),'FIRE TEX 5090'!$B$5:$H$43,IF(L806="F-15",2,IF(L806="F-30",3,IF(L806="F-60",4,IF(L806="F-90",5,IF(L806="F-120",6,IF(L806="F-150",7,0)))))),0),0)+IF(AND(O806="FIRE TEX 5090",OR(E806="IN",E806="C",E806="Z",E806="L"),J806=4),VLOOKUP(_xlfn.MINIFS('FIRE TEX 5090'!$J$5:$J$43,'FIRE TEX 5090'!$J$5:$J$43,"&gt;="&amp;M806),'FIRE TEX 5090'!$J$5:$P$43,IF(L806="F-15",2,IF(L806="F-30",3,IF(L806="F-60",4,IF(L806="F-90",5,IF(L806="F-120",6,IF(L806="F-150",7,0)))))),0),0)+IF(AND(O806="FIRE TEX 5090",E806="CJ",J806=3),VLOOKUP(_xlfn.MINIFS('FIRE TEX 5090'!$R$5:$R$30,'FIRE TEX 5090'!$R$5:$R$30,"&gt;="&amp;M806),'FIRE TEX 5090'!$R$5:$W$30,IF(L806="F-15",2,IF(L806="F-30",3,IF(L806="F-60",4,IF(L806="F-90",5,IF(L806="F-120",6,IF(L806="F-150",7,0)))))),0),0)+IF(AND(O806="FIRE TEX 5090",E806="CJ",J806=4),VLOOKUP(_xlfn.MINIFS('FIRE TEX 5090'!$Y$5:$Y$39,'FIRE TEX 5090'!$Y$5:$Y$39,"&gt;="&amp;M806),'FIRE TEX 5090'!$Y$5:$AD$39,IF(L806="F-15",2,IF(L806="F-30",3,IF(L806="F-60",4,IF(L806="F-90",5,IF(L806="F-120",6,IF(L806="F-150",7,0)))))),0),0)+IF(AND(O806="FIRE TEX 5120",OR(E806="IN",E806="C",E806="Z",E806="L"),J806=3),VLOOKUP(_xlfn.MINIFS('FIRE TEX 5120'!$B$5:$B$40,'FIRE TEX 5120'!$B$5:$B$40,"&gt;="&amp;M806),'FIRE TEX 5120'!$B$5:$G$40,IF(L806="F-15",2,IF(L806="F-30",3,IF(L806="F-60",4,IF(L806="F-90",5,IF(L806="F-120",6,0))))),0),0)+IF(AND(O806="FIRE TEX 5120",OR(E806="IN",E806="C",E806="Z",E806="L"),J806=4),VLOOKUP(_xlfn.MINIFS('FIRE TEX 5120'!$H$4:$H$40,'FIRE TEX 5120'!$H$4:$H$40,"&gt;="&amp;M806),'FIRE TEX 5120'!$H$4:$M$40,IF(L806="F-15",2,IF(L806="F-30",3,IF(L806="F-60",4,IF(L806="F-90",5,IF(L806="F-120",6,0))))),0),0)+IF(AND(O806="FIRE TEX 5120",E806="CJ"),VLOOKUP(_xlfn.MINIFS('FIRE TEX 5120'!$O$5:$O$40,'FIRE TEX 5120'!$O$5:$O$40,"&gt;="&amp;M806),'FIRE TEX 5120'!$O$5:$T$40,IF(L806="F-15",2,IF(L806="F-30",3,IF(L806="F-60",4,IF(L806="F-90",5,IF(L806="F-120",6,0))))),0),0)</f>
        <v>0</v>
      </c>
      <c r="Q806" s="46">
        <f t="shared" si="79"/>
        <v>0</v>
      </c>
      <c r="R806" s="46">
        <f t="shared" si="80"/>
        <v>0</v>
      </c>
      <c r="S806" s="46" t="e">
        <f t="shared" si="81"/>
        <v>#VALUE!</v>
      </c>
      <c r="T806" s="677">
        <f t="shared" si="82"/>
        <v>0</v>
      </c>
      <c r="U806" s="80">
        <f>(IF(O806="Stofire",(S806*#REF!),0))+(IF(O806="Fire Control",(S806*$U$2),0))+(IF(O806="Fire Tex",(S806*$U$3),0))+(IF(O806="WB7",(S806*#REF!),0)+(IF(O806="FX 2003",(S806*$U$5),0)))</f>
        <v>0</v>
      </c>
      <c r="V806" s="651">
        <f t="shared" si="83"/>
        <v>0</v>
      </c>
    </row>
    <row r="807" spans="4:22" x14ac:dyDescent="0.25">
      <c r="D807" s="118">
        <f>+CUBICACION!D806</f>
        <v>0</v>
      </c>
      <c r="E807" s="118">
        <f>+CUBICACION!F806</f>
        <v>0</v>
      </c>
      <c r="F807" s="118">
        <f>+CUBICACION!E806</f>
        <v>0</v>
      </c>
      <c r="G807" s="118">
        <v>12</v>
      </c>
      <c r="H807" s="118">
        <v>2</v>
      </c>
      <c r="I807" s="820">
        <v>26385</v>
      </c>
      <c r="J807" s="118">
        <f>+CUBICACION!J806</f>
        <v>0</v>
      </c>
      <c r="K807" s="118">
        <v>3586</v>
      </c>
      <c r="L807" s="118">
        <f>+CUBICACION!L806</f>
        <v>0</v>
      </c>
      <c r="M807" s="64">
        <f>+CUBICACION!M806</f>
        <v>0</v>
      </c>
      <c r="N807" s="824" t="str">
        <f>+CUBICACION!N806</f>
        <v/>
      </c>
      <c r="O807" s="675">
        <f>+CUBICACION!O806</f>
        <v>0</v>
      </c>
      <c r="P807" s="15">
        <f>IF(O807="Fire Control",VLOOKUP(_xlfn.MINIFS('FIRE CONTROL'!$C$4:$C$37,'FIRE CONTROL'!$C$4:$C$37,"&gt;="&amp;M807),'FIRE CONTROL'!$C$4:$G$37,IF(L807="F-15",2,IF(L807="F-30",3,IF(L807="F-60",4,IF(L807="F-90",5,0)))),0),0)+IF(AND(O807="FIRE TEX 5062",OR(E807="IN",E807="C",E807="Z",E807="L"),J807=3),VLOOKUP(_xlfn.MINIFS('FIRE TEX 5062'!$B$4:$B$34,'FIRE TEX 5062'!$B$4:$B$34,"&gt;="&amp;M807),'FIRE TEX 5062'!$B$4:$F$34,IF(L807="F-15",2,IF(L807="F-30",3,IF(L807="F-60",4,IF(L807="F-90",5,0)))),0),0)+IF(AND(O807="FIRE TEX 5062",OR(E807="IN",E807="C",E807="Z",E807="L"),J807=4),VLOOKUP(_xlfn.MINIFS('FIRE TEX 5062'!$G$4:$G$34,'FIRE TEX 5062'!$G$4:$G$34,"&gt;="&amp;M807),'FIRE TEX 5062'!$G$4:$K$34,IF(L807="F-15",2,IF(L807="F-30",3,IF(L807="F-60",4,IF(L807="F-90",5,0)))),0),0)+IF(AND(O807="FIRE TEX 5062",E807="CJ",J807=3),VLOOKUP(_xlfn.MINIFS('FIRE TEX 5062'!$L$4:$L$34,'FIRE TEX 5062'!$L$4:$L$34,"&gt;="&amp;M807),'FIRE TEX 5062'!$L$4:$P$34,IF(L807="F-15",2,IF(L807="F-30",3,IF(L807="F-60",4,IF(L807="F-90",5,0)))),0),0)+IF(AND(O807="FIRE TEX 5062",E807="CJ",J807=4),VLOOKUP(_xlfn.MINIFS('FIRE TEX 5062'!$Q$3:$Q$34,'FIRE TEX 5062'!$Q$3:$Q$34,"&gt;="&amp;M807),'FIRE TEX 5062'!$Q$3:$U$34,IF(L807="F-15",2,IF(L807="F-30",3,IF(L807="F-60",4,IF(L807="F-90",5,0)))),0),0)+IF(AND(O807="FIRE TEX 5090",OR(E807="IN",E807="C",E807="Z",E807="L"),J807=3),VLOOKUP(_xlfn.MINIFS('FIRE TEX 5090'!$B$5:$B$43,'FIRE TEX 5090'!$B$5:$B$43,"&gt;="&amp;M807),'FIRE TEX 5090'!$B$5:$H$43,IF(L807="F-15",2,IF(L807="F-30",3,IF(L807="F-60",4,IF(L807="F-90",5,IF(L807="F-120",6,IF(L807="F-150",7,0)))))),0),0)+IF(AND(O807="FIRE TEX 5090",OR(E807="IN",E807="C",E807="Z",E807="L"),J807=4),VLOOKUP(_xlfn.MINIFS('FIRE TEX 5090'!$J$5:$J$43,'FIRE TEX 5090'!$J$5:$J$43,"&gt;="&amp;M807),'FIRE TEX 5090'!$J$5:$P$43,IF(L807="F-15",2,IF(L807="F-30",3,IF(L807="F-60",4,IF(L807="F-90",5,IF(L807="F-120",6,IF(L807="F-150",7,0)))))),0),0)+IF(AND(O807="FIRE TEX 5090",E807="CJ",J807=3),VLOOKUP(_xlfn.MINIFS('FIRE TEX 5090'!$R$5:$R$30,'FIRE TEX 5090'!$R$5:$R$30,"&gt;="&amp;M807),'FIRE TEX 5090'!$R$5:$W$30,IF(L807="F-15",2,IF(L807="F-30",3,IF(L807="F-60",4,IF(L807="F-90",5,IF(L807="F-120",6,IF(L807="F-150",7,0)))))),0),0)+IF(AND(O807="FIRE TEX 5090",E807="CJ",J807=4),VLOOKUP(_xlfn.MINIFS('FIRE TEX 5090'!$Y$5:$Y$39,'FIRE TEX 5090'!$Y$5:$Y$39,"&gt;="&amp;M807),'FIRE TEX 5090'!$Y$5:$AD$39,IF(L807="F-15",2,IF(L807="F-30",3,IF(L807="F-60",4,IF(L807="F-90",5,IF(L807="F-120",6,IF(L807="F-150",7,0)))))),0),0)+IF(AND(O807="FIRE TEX 5120",OR(E807="IN",E807="C",E807="Z",E807="L"),J807=3),VLOOKUP(_xlfn.MINIFS('FIRE TEX 5120'!$B$5:$B$40,'FIRE TEX 5120'!$B$5:$B$40,"&gt;="&amp;M807),'FIRE TEX 5120'!$B$5:$G$40,IF(L807="F-15",2,IF(L807="F-30",3,IF(L807="F-60",4,IF(L807="F-90",5,IF(L807="F-120",6,0))))),0),0)+IF(AND(O807="FIRE TEX 5120",OR(E807="IN",E807="C",E807="Z",E807="L"),J807=4),VLOOKUP(_xlfn.MINIFS('FIRE TEX 5120'!$H$4:$H$40,'FIRE TEX 5120'!$H$4:$H$40,"&gt;="&amp;M807),'FIRE TEX 5120'!$H$4:$M$40,IF(L807="F-15",2,IF(L807="F-30",3,IF(L807="F-60",4,IF(L807="F-90",5,IF(L807="F-120",6,0))))),0),0)+IF(AND(O807="FIRE TEX 5120",E807="CJ"),VLOOKUP(_xlfn.MINIFS('FIRE TEX 5120'!$O$5:$O$40,'FIRE TEX 5120'!$O$5:$O$40,"&gt;="&amp;M807),'FIRE TEX 5120'!$O$5:$T$40,IF(L807="F-15",2,IF(L807="F-30",3,IF(L807="F-60",4,IF(L807="F-90",5,IF(L807="F-120",6,0))))),0),0)</f>
        <v>0</v>
      </c>
      <c r="Q807" s="46">
        <f t="shared" si="79"/>
        <v>0</v>
      </c>
      <c r="R807" s="46">
        <f t="shared" si="80"/>
        <v>0</v>
      </c>
      <c r="S807" s="46" t="e">
        <f t="shared" si="81"/>
        <v>#VALUE!</v>
      </c>
      <c r="T807" s="677">
        <f t="shared" si="82"/>
        <v>0</v>
      </c>
      <c r="U807" s="80">
        <f>(IF(O807="Stofire",(S807*#REF!),0))+(IF(O807="Fire Control",(S807*$U$2),0))+(IF(O807="Fire Tex",(S807*$U$3),0))+(IF(O807="WB7",(S807*#REF!),0)+(IF(O807="FX 2003",(S807*$U$5),0)))</f>
        <v>0</v>
      </c>
      <c r="V807" s="651">
        <f t="shared" si="83"/>
        <v>0</v>
      </c>
    </row>
    <row r="808" spans="4:22" x14ac:dyDescent="0.25">
      <c r="D808" s="118">
        <f>+CUBICACION!D807</f>
        <v>0</v>
      </c>
      <c r="E808" s="118">
        <f>+CUBICACION!F807</f>
        <v>0</v>
      </c>
      <c r="F808" s="118">
        <f>+CUBICACION!E807</f>
        <v>0</v>
      </c>
      <c r="G808" s="118">
        <v>12</v>
      </c>
      <c r="H808" s="118">
        <v>2</v>
      </c>
      <c r="I808" s="820">
        <v>26385</v>
      </c>
      <c r="J808" s="118">
        <f>+CUBICACION!J807</f>
        <v>0</v>
      </c>
      <c r="K808" s="118">
        <v>3587</v>
      </c>
      <c r="L808" s="118">
        <f>+CUBICACION!L807</f>
        <v>0</v>
      </c>
      <c r="M808" s="64">
        <f>+CUBICACION!M807</f>
        <v>0</v>
      </c>
      <c r="N808" s="824" t="str">
        <f>+CUBICACION!N807</f>
        <v/>
      </c>
      <c r="O808" s="675">
        <f>+CUBICACION!O807</f>
        <v>0</v>
      </c>
      <c r="P808" s="15">
        <f>IF(O808="Fire Control",VLOOKUP(_xlfn.MINIFS('FIRE CONTROL'!$C$4:$C$37,'FIRE CONTROL'!$C$4:$C$37,"&gt;="&amp;M808),'FIRE CONTROL'!$C$4:$G$37,IF(L808="F-15",2,IF(L808="F-30",3,IF(L808="F-60",4,IF(L808="F-90",5,0)))),0),0)+IF(AND(O808="FIRE TEX 5062",OR(E808="IN",E808="C",E808="Z",E808="L"),J808=3),VLOOKUP(_xlfn.MINIFS('FIRE TEX 5062'!$B$4:$B$34,'FIRE TEX 5062'!$B$4:$B$34,"&gt;="&amp;M808),'FIRE TEX 5062'!$B$4:$F$34,IF(L808="F-15",2,IF(L808="F-30",3,IF(L808="F-60",4,IF(L808="F-90",5,0)))),0),0)+IF(AND(O808="FIRE TEX 5062",OR(E808="IN",E808="C",E808="Z",E808="L"),J808=4),VLOOKUP(_xlfn.MINIFS('FIRE TEX 5062'!$G$4:$G$34,'FIRE TEX 5062'!$G$4:$G$34,"&gt;="&amp;M808),'FIRE TEX 5062'!$G$4:$K$34,IF(L808="F-15",2,IF(L808="F-30",3,IF(L808="F-60",4,IF(L808="F-90",5,0)))),0),0)+IF(AND(O808="FIRE TEX 5062",E808="CJ",J808=3),VLOOKUP(_xlfn.MINIFS('FIRE TEX 5062'!$L$4:$L$34,'FIRE TEX 5062'!$L$4:$L$34,"&gt;="&amp;M808),'FIRE TEX 5062'!$L$4:$P$34,IF(L808="F-15",2,IF(L808="F-30",3,IF(L808="F-60",4,IF(L808="F-90",5,0)))),0),0)+IF(AND(O808="FIRE TEX 5062",E808="CJ",J808=4),VLOOKUP(_xlfn.MINIFS('FIRE TEX 5062'!$Q$3:$Q$34,'FIRE TEX 5062'!$Q$3:$Q$34,"&gt;="&amp;M808),'FIRE TEX 5062'!$Q$3:$U$34,IF(L808="F-15",2,IF(L808="F-30",3,IF(L808="F-60",4,IF(L808="F-90",5,0)))),0),0)+IF(AND(O808="FIRE TEX 5090",OR(E808="IN",E808="C",E808="Z",E808="L"),J808=3),VLOOKUP(_xlfn.MINIFS('FIRE TEX 5090'!$B$5:$B$43,'FIRE TEX 5090'!$B$5:$B$43,"&gt;="&amp;M808),'FIRE TEX 5090'!$B$5:$H$43,IF(L808="F-15",2,IF(L808="F-30",3,IF(L808="F-60",4,IF(L808="F-90",5,IF(L808="F-120",6,IF(L808="F-150",7,0)))))),0),0)+IF(AND(O808="FIRE TEX 5090",OR(E808="IN",E808="C",E808="Z",E808="L"),J808=4),VLOOKUP(_xlfn.MINIFS('FIRE TEX 5090'!$J$5:$J$43,'FIRE TEX 5090'!$J$5:$J$43,"&gt;="&amp;M808),'FIRE TEX 5090'!$J$5:$P$43,IF(L808="F-15",2,IF(L808="F-30",3,IF(L808="F-60",4,IF(L808="F-90",5,IF(L808="F-120",6,IF(L808="F-150",7,0)))))),0),0)+IF(AND(O808="FIRE TEX 5090",E808="CJ",J808=3),VLOOKUP(_xlfn.MINIFS('FIRE TEX 5090'!$R$5:$R$30,'FIRE TEX 5090'!$R$5:$R$30,"&gt;="&amp;M808),'FIRE TEX 5090'!$R$5:$W$30,IF(L808="F-15",2,IF(L808="F-30",3,IF(L808="F-60",4,IF(L808="F-90",5,IF(L808="F-120",6,IF(L808="F-150",7,0)))))),0),0)+IF(AND(O808="FIRE TEX 5090",E808="CJ",J808=4),VLOOKUP(_xlfn.MINIFS('FIRE TEX 5090'!$Y$5:$Y$39,'FIRE TEX 5090'!$Y$5:$Y$39,"&gt;="&amp;M808),'FIRE TEX 5090'!$Y$5:$AD$39,IF(L808="F-15",2,IF(L808="F-30",3,IF(L808="F-60",4,IF(L808="F-90",5,IF(L808="F-120",6,IF(L808="F-150",7,0)))))),0),0)+IF(AND(O808="FIRE TEX 5120",OR(E808="IN",E808="C",E808="Z",E808="L"),J808=3),VLOOKUP(_xlfn.MINIFS('FIRE TEX 5120'!$B$5:$B$40,'FIRE TEX 5120'!$B$5:$B$40,"&gt;="&amp;M808),'FIRE TEX 5120'!$B$5:$G$40,IF(L808="F-15",2,IF(L808="F-30",3,IF(L808="F-60",4,IF(L808="F-90",5,IF(L808="F-120",6,0))))),0),0)+IF(AND(O808="FIRE TEX 5120",OR(E808="IN",E808="C",E808="Z",E808="L"),J808=4),VLOOKUP(_xlfn.MINIFS('FIRE TEX 5120'!$H$4:$H$40,'FIRE TEX 5120'!$H$4:$H$40,"&gt;="&amp;M808),'FIRE TEX 5120'!$H$4:$M$40,IF(L808="F-15",2,IF(L808="F-30",3,IF(L808="F-60",4,IF(L808="F-90",5,IF(L808="F-120",6,0))))),0),0)+IF(AND(O808="FIRE TEX 5120",E808="CJ"),VLOOKUP(_xlfn.MINIFS('FIRE TEX 5120'!$O$5:$O$40,'FIRE TEX 5120'!$O$5:$O$40,"&gt;="&amp;M808),'FIRE TEX 5120'!$O$5:$T$40,IF(L808="F-15",2,IF(L808="F-30",3,IF(L808="F-60",4,IF(L808="F-90",5,IF(L808="F-120",6,0))))),0),0)</f>
        <v>0</v>
      </c>
      <c r="Q808" s="46">
        <f t="shared" si="79"/>
        <v>0</v>
      </c>
      <c r="R808" s="46">
        <f t="shared" si="80"/>
        <v>0</v>
      </c>
      <c r="S808" s="46" t="e">
        <f t="shared" si="81"/>
        <v>#VALUE!</v>
      </c>
      <c r="T808" s="677">
        <f t="shared" si="82"/>
        <v>0</v>
      </c>
      <c r="U808" s="80">
        <f>(IF(O808="Stofire",(S808*#REF!),0))+(IF(O808="Fire Control",(S808*$U$2),0))+(IF(O808="Fire Tex",(S808*$U$3),0))+(IF(O808="WB7",(S808*#REF!),0)+(IF(O808="FX 2003",(S808*$U$5),0)))</f>
        <v>0</v>
      </c>
      <c r="V808" s="651">
        <f t="shared" si="83"/>
        <v>0</v>
      </c>
    </row>
    <row r="809" spans="4:22" x14ac:dyDescent="0.25">
      <c r="D809" s="118">
        <f>+CUBICACION!D808</f>
        <v>0</v>
      </c>
      <c r="E809" s="118">
        <f>+CUBICACION!F808</f>
        <v>0</v>
      </c>
      <c r="F809" s="118">
        <f>+CUBICACION!E808</f>
        <v>0</v>
      </c>
      <c r="G809" s="118">
        <v>12</v>
      </c>
      <c r="H809" s="118">
        <v>2</v>
      </c>
      <c r="I809" s="820">
        <v>26385</v>
      </c>
      <c r="J809" s="118">
        <f>+CUBICACION!J808</f>
        <v>0</v>
      </c>
      <c r="K809" s="118">
        <v>3588</v>
      </c>
      <c r="L809" s="118">
        <f>+CUBICACION!L808</f>
        <v>0</v>
      </c>
      <c r="M809" s="64">
        <f>+CUBICACION!M808</f>
        <v>0</v>
      </c>
      <c r="N809" s="824" t="str">
        <f>+CUBICACION!N808</f>
        <v/>
      </c>
      <c r="O809" s="675">
        <f>+CUBICACION!O808</f>
        <v>0</v>
      </c>
      <c r="P809" s="15">
        <f>IF(O809="Fire Control",VLOOKUP(_xlfn.MINIFS('FIRE CONTROL'!$C$4:$C$37,'FIRE CONTROL'!$C$4:$C$37,"&gt;="&amp;M809),'FIRE CONTROL'!$C$4:$G$37,IF(L809="F-15",2,IF(L809="F-30",3,IF(L809="F-60",4,IF(L809="F-90",5,0)))),0),0)+IF(AND(O809="FIRE TEX 5062",OR(E809="IN",E809="C",E809="Z",E809="L"),J809=3),VLOOKUP(_xlfn.MINIFS('FIRE TEX 5062'!$B$4:$B$34,'FIRE TEX 5062'!$B$4:$B$34,"&gt;="&amp;M809),'FIRE TEX 5062'!$B$4:$F$34,IF(L809="F-15",2,IF(L809="F-30",3,IF(L809="F-60",4,IF(L809="F-90",5,0)))),0),0)+IF(AND(O809="FIRE TEX 5062",OR(E809="IN",E809="C",E809="Z",E809="L"),J809=4),VLOOKUP(_xlfn.MINIFS('FIRE TEX 5062'!$G$4:$G$34,'FIRE TEX 5062'!$G$4:$G$34,"&gt;="&amp;M809),'FIRE TEX 5062'!$G$4:$K$34,IF(L809="F-15",2,IF(L809="F-30",3,IF(L809="F-60",4,IF(L809="F-90",5,0)))),0),0)+IF(AND(O809="FIRE TEX 5062",E809="CJ",J809=3),VLOOKUP(_xlfn.MINIFS('FIRE TEX 5062'!$L$4:$L$34,'FIRE TEX 5062'!$L$4:$L$34,"&gt;="&amp;M809),'FIRE TEX 5062'!$L$4:$P$34,IF(L809="F-15",2,IF(L809="F-30",3,IF(L809="F-60",4,IF(L809="F-90",5,0)))),0),0)+IF(AND(O809="FIRE TEX 5062",E809="CJ",J809=4),VLOOKUP(_xlfn.MINIFS('FIRE TEX 5062'!$Q$3:$Q$34,'FIRE TEX 5062'!$Q$3:$Q$34,"&gt;="&amp;M809),'FIRE TEX 5062'!$Q$3:$U$34,IF(L809="F-15",2,IF(L809="F-30",3,IF(L809="F-60",4,IF(L809="F-90",5,0)))),0),0)+IF(AND(O809="FIRE TEX 5090",OR(E809="IN",E809="C",E809="Z",E809="L"),J809=3),VLOOKUP(_xlfn.MINIFS('FIRE TEX 5090'!$B$5:$B$43,'FIRE TEX 5090'!$B$5:$B$43,"&gt;="&amp;M809),'FIRE TEX 5090'!$B$5:$H$43,IF(L809="F-15",2,IF(L809="F-30",3,IF(L809="F-60",4,IF(L809="F-90",5,IF(L809="F-120",6,IF(L809="F-150",7,0)))))),0),0)+IF(AND(O809="FIRE TEX 5090",OR(E809="IN",E809="C",E809="Z",E809="L"),J809=4),VLOOKUP(_xlfn.MINIFS('FIRE TEX 5090'!$J$5:$J$43,'FIRE TEX 5090'!$J$5:$J$43,"&gt;="&amp;M809),'FIRE TEX 5090'!$J$5:$P$43,IF(L809="F-15",2,IF(L809="F-30",3,IF(L809="F-60",4,IF(L809="F-90",5,IF(L809="F-120",6,IF(L809="F-150",7,0)))))),0),0)+IF(AND(O809="FIRE TEX 5090",E809="CJ",J809=3),VLOOKUP(_xlfn.MINIFS('FIRE TEX 5090'!$R$5:$R$30,'FIRE TEX 5090'!$R$5:$R$30,"&gt;="&amp;M809),'FIRE TEX 5090'!$R$5:$W$30,IF(L809="F-15",2,IF(L809="F-30",3,IF(L809="F-60",4,IF(L809="F-90",5,IF(L809="F-120",6,IF(L809="F-150",7,0)))))),0),0)+IF(AND(O809="FIRE TEX 5090",E809="CJ",J809=4),VLOOKUP(_xlfn.MINIFS('FIRE TEX 5090'!$Y$5:$Y$39,'FIRE TEX 5090'!$Y$5:$Y$39,"&gt;="&amp;M809),'FIRE TEX 5090'!$Y$5:$AD$39,IF(L809="F-15",2,IF(L809="F-30",3,IF(L809="F-60",4,IF(L809="F-90",5,IF(L809="F-120",6,IF(L809="F-150",7,0)))))),0),0)+IF(AND(O809="FIRE TEX 5120",OR(E809="IN",E809="C",E809="Z",E809="L"),J809=3),VLOOKUP(_xlfn.MINIFS('FIRE TEX 5120'!$B$5:$B$40,'FIRE TEX 5120'!$B$5:$B$40,"&gt;="&amp;M809),'FIRE TEX 5120'!$B$5:$G$40,IF(L809="F-15",2,IF(L809="F-30",3,IF(L809="F-60",4,IF(L809="F-90",5,IF(L809="F-120",6,0))))),0),0)+IF(AND(O809="FIRE TEX 5120",OR(E809="IN",E809="C",E809="Z",E809="L"),J809=4),VLOOKUP(_xlfn.MINIFS('FIRE TEX 5120'!$H$4:$H$40,'FIRE TEX 5120'!$H$4:$H$40,"&gt;="&amp;M809),'FIRE TEX 5120'!$H$4:$M$40,IF(L809="F-15",2,IF(L809="F-30",3,IF(L809="F-60",4,IF(L809="F-90",5,IF(L809="F-120",6,0))))),0),0)+IF(AND(O809="FIRE TEX 5120",E809="CJ"),VLOOKUP(_xlfn.MINIFS('FIRE TEX 5120'!$O$5:$O$40,'FIRE TEX 5120'!$O$5:$O$40,"&gt;="&amp;M809),'FIRE TEX 5120'!$O$5:$T$40,IF(L809="F-15",2,IF(L809="F-30",3,IF(L809="F-60",4,IF(L809="F-90",5,IF(L809="F-120",6,0))))),0),0)</f>
        <v>0</v>
      </c>
      <c r="Q809" s="46">
        <f t="shared" si="79"/>
        <v>0</v>
      </c>
      <c r="R809" s="46">
        <f t="shared" si="80"/>
        <v>0</v>
      </c>
      <c r="S809" s="46" t="e">
        <f t="shared" si="81"/>
        <v>#VALUE!</v>
      </c>
      <c r="T809" s="677">
        <f t="shared" si="82"/>
        <v>0</v>
      </c>
      <c r="U809" s="80">
        <f>(IF(O809="Stofire",(S809*#REF!),0))+(IF(O809="Fire Control",(S809*$U$2),0))+(IF(O809="Fire Tex",(S809*$U$3),0))+(IF(O809="WB7",(S809*#REF!),0)+(IF(O809="FX 2003",(S809*$U$5),0)))</f>
        <v>0</v>
      </c>
      <c r="V809" s="651">
        <f t="shared" si="83"/>
        <v>0</v>
      </c>
    </row>
    <row r="810" spans="4:22" x14ac:dyDescent="0.25">
      <c r="D810" s="118">
        <f>+CUBICACION!D809</f>
        <v>0</v>
      </c>
      <c r="E810" s="118">
        <f>+CUBICACION!F809</f>
        <v>0</v>
      </c>
      <c r="F810" s="118">
        <f>+CUBICACION!E809</f>
        <v>0</v>
      </c>
      <c r="G810" s="118">
        <v>12</v>
      </c>
      <c r="H810" s="118">
        <v>2</v>
      </c>
      <c r="I810" s="820">
        <v>26385</v>
      </c>
      <c r="J810" s="118">
        <f>+CUBICACION!J809</f>
        <v>0</v>
      </c>
      <c r="K810" s="118">
        <v>3589</v>
      </c>
      <c r="L810" s="118">
        <f>+CUBICACION!L809</f>
        <v>0</v>
      </c>
      <c r="M810" s="64">
        <f>+CUBICACION!M809</f>
        <v>0</v>
      </c>
      <c r="N810" s="824" t="str">
        <f>+CUBICACION!N809</f>
        <v/>
      </c>
      <c r="O810" s="675">
        <f>+CUBICACION!O809</f>
        <v>0</v>
      </c>
      <c r="P810" s="15">
        <f>IF(O810="Fire Control",VLOOKUP(_xlfn.MINIFS('FIRE CONTROL'!$C$4:$C$37,'FIRE CONTROL'!$C$4:$C$37,"&gt;="&amp;M810),'FIRE CONTROL'!$C$4:$G$37,IF(L810="F-15",2,IF(L810="F-30",3,IF(L810="F-60",4,IF(L810="F-90",5,0)))),0),0)+IF(AND(O810="FIRE TEX 5062",OR(E810="IN",E810="C",E810="Z",E810="L"),J810=3),VLOOKUP(_xlfn.MINIFS('FIRE TEX 5062'!$B$4:$B$34,'FIRE TEX 5062'!$B$4:$B$34,"&gt;="&amp;M810),'FIRE TEX 5062'!$B$4:$F$34,IF(L810="F-15",2,IF(L810="F-30",3,IF(L810="F-60",4,IF(L810="F-90",5,0)))),0),0)+IF(AND(O810="FIRE TEX 5062",OR(E810="IN",E810="C",E810="Z",E810="L"),J810=4),VLOOKUP(_xlfn.MINIFS('FIRE TEX 5062'!$G$4:$G$34,'FIRE TEX 5062'!$G$4:$G$34,"&gt;="&amp;M810),'FIRE TEX 5062'!$G$4:$K$34,IF(L810="F-15",2,IF(L810="F-30",3,IF(L810="F-60",4,IF(L810="F-90",5,0)))),0),0)+IF(AND(O810="FIRE TEX 5062",E810="CJ",J810=3),VLOOKUP(_xlfn.MINIFS('FIRE TEX 5062'!$L$4:$L$34,'FIRE TEX 5062'!$L$4:$L$34,"&gt;="&amp;M810),'FIRE TEX 5062'!$L$4:$P$34,IF(L810="F-15",2,IF(L810="F-30",3,IF(L810="F-60",4,IF(L810="F-90",5,0)))),0),0)+IF(AND(O810="FIRE TEX 5062",E810="CJ",J810=4),VLOOKUP(_xlfn.MINIFS('FIRE TEX 5062'!$Q$3:$Q$34,'FIRE TEX 5062'!$Q$3:$Q$34,"&gt;="&amp;M810),'FIRE TEX 5062'!$Q$3:$U$34,IF(L810="F-15",2,IF(L810="F-30",3,IF(L810="F-60",4,IF(L810="F-90",5,0)))),0),0)+IF(AND(O810="FIRE TEX 5090",OR(E810="IN",E810="C",E810="Z",E810="L"),J810=3),VLOOKUP(_xlfn.MINIFS('FIRE TEX 5090'!$B$5:$B$43,'FIRE TEX 5090'!$B$5:$B$43,"&gt;="&amp;M810),'FIRE TEX 5090'!$B$5:$H$43,IF(L810="F-15",2,IF(L810="F-30",3,IF(L810="F-60",4,IF(L810="F-90",5,IF(L810="F-120",6,IF(L810="F-150",7,0)))))),0),0)+IF(AND(O810="FIRE TEX 5090",OR(E810="IN",E810="C",E810="Z",E810="L"),J810=4),VLOOKUP(_xlfn.MINIFS('FIRE TEX 5090'!$J$5:$J$43,'FIRE TEX 5090'!$J$5:$J$43,"&gt;="&amp;M810),'FIRE TEX 5090'!$J$5:$P$43,IF(L810="F-15",2,IF(L810="F-30",3,IF(L810="F-60",4,IF(L810="F-90",5,IF(L810="F-120",6,IF(L810="F-150",7,0)))))),0),0)+IF(AND(O810="FIRE TEX 5090",E810="CJ",J810=3),VLOOKUP(_xlfn.MINIFS('FIRE TEX 5090'!$R$5:$R$30,'FIRE TEX 5090'!$R$5:$R$30,"&gt;="&amp;M810),'FIRE TEX 5090'!$R$5:$W$30,IF(L810="F-15",2,IF(L810="F-30",3,IF(L810="F-60",4,IF(L810="F-90",5,IF(L810="F-120",6,IF(L810="F-150",7,0)))))),0),0)+IF(AND(O810="FIRE TEX 5090",E810="CJ",J810=4),VLOOKUP(_xlfn.MINIFS('FIRE TEX 5090'!$Y$5:$Y$39,'FIRE TEX 5090'!$Y$5:$Y$39,"&gt;="&amp;M810),'FIRE TEX 5090'!$Y$5:$AD$39,IF(L810="F-15",2,IF(L810="F-30",3,IF(L810="F-60",4,IF(L810="F-90",5,IF(L810="F-120",6,IF(L810="F-150",7,0)))))),0),0)+IF(AND(O810="FIRE TEX 5120",OR(E810="IN",E810="C",E810="Z",E810="L"),J810=3),VLOOKUP(_xlfn.MINIFS('FIRE TEX 5120'!$B$5:$B$40,'FIRE TEX 5120'!$B$5:$B$40,"&gt;="&amp;M810),'FIRE TEX 5120'!$B$5:$G$40,IF(L810="F-15",2,IF(L810="F-30",3,IF(L810="F-60",4,IF(L810="F-90",5,IF(L810="F-120",6,0))))),0),0)+IF(AND(O810="FIRE TEX 5120",OR(E810="IN",E810="C",E810="Z",E810="L"),J810=4),VLOOKUP(_xlfn.MINIFS('FIRE TEX 5120'!$H$4:$H$40,'FIRE TEX 5120'!$H$4:$H$40,"&gt;="&amp;M810),'FIRE TEX 5120'!$H$4:$M$40,IF(L810="F-15",2,IF(L810="F-30",3,IF(L810="F-60",4,IF(L810="F-90",5,IF(L810="F-120",6,0))))),0),0)+IF(AND(O810="FIRE TEX 5120",E810="CJ"),VLOOKUP(_xlfn.MINIFS('FIRE TEX 5120'!$O$5:$O$40,'FIRE TEX 5120'!$O$5:$O$40,"&gt;="&amp;M810),'FIRE TEX 5120'!$O$5:$T$40,IF(L810="F-15",2,IF(L810="F-30",3,IF(L810="F-60",4,IF(L810="F-90",5,IF(L810="F-120",6,0))))),0),0)</f>
        <v>0</v>
      </c>
      <c r="Q810" s="46">
        <f t="shared" si="79"/>
        <v>0</v>
      </c>
      <c r="R810" s="46">
        <f t="shared" si="80"/>
        <v>0</v>
      </c>
      <c r="S810" s="46" t="e">
        <f t="shared" si="81"/>
        <v>#VALUE!</v>
      </c>
      <c r="T810" s="677">
        <f t="shared" si="82"/>
        <v>0</v>
      </c>
      <c r="U810" s="80">
        <f>(IF(O810="Stofire",(S810*#REF!),0))+(IF(O810="Fire Control",(S810*$U$2),0))+(IF(O810="Fire Tex",(S810*$U$3),0))+(IF(O810="WB7",(S810*#REF!),0)+(IF(O810="FX 2003",(S810*$U$5),0)))</f>
        <v>0</v>
      </c>
      <c r="V810" s="651">
        <f t="shared" si="83"/>
        <v>0</v>
      </c>
    </row>
    <row r="811" spans="4:22" x14ac:dyDescent="0.25">
      <c r="D811" s="118">
        <f>+CUBICACION!D810</f>
        <v>0</v>
      </c>
      <c r="E811" s="118">
        <f>+CUBICACION!F810</f>
        <v>0</v>
      </c>
      <c r="F811" s="118">
        <f>+CUBICACION!E810</f>
        <v>0</v>
      </c>
      <c r="G811" s="118">
        <v>12</v>
      </c>
      <c r="H811" s="118">
        <v>2</v>
      </c>
      <c r="I811" s="820">
        <v>26385</v>
      </c>
      <c r="J811" s="118">
        <f>+CUBICACION!J810</f>
        <v>0</v>
      </c>
      <c r="K811" s="118">
        <v>3590</v>
      </c>
      <c r="L811" s="118">
        <f>+CUBICACION!L810</f>
        <v>0</v>
      </c>
      <c r="M811" s="64">
        <f>+CUBICACION!M810</f>
        <v>0</v>
      </c>
      <c r="N811" s="824" t="str">
        <f>+CUBICACION!N810</f>
        <v/>
      </c>
      <c r="O811" s="675">
        <f>+CUBICACION!O810</f>
        <v>0</v>
      </c>
      <c r="P811" s="15">
        <f>IF(O811="Fire Control",VLOOKUP(_xlfn.MINIFS('FIRE CONTROL'!$C$4:$C$37,'FIRE CONTROL'!$C$4:$C$37,"&gt;="&amp;M811),'FIRE CONTROL'!$C$4:$G$37,IF(L811="F-15",2,IF(L811="F-30",3,IF(L811="F-60",4,IF(L811="F-90",5,0)))),0),0)+IF(AND(O811="FIRE TEX 5062",OR(E811="IN",E811="C",E811="Z",E811="L"),J811=3),VLOOKUP(_xlfn.MINIFS('FIRE TEX 5062'!$B$4:$B$34,'FIRE TEX 5062'!$B$4:$B$34,"&gt;="&amp;M811),'FIRE TEX 5062'!$B$4:$F$34,IF(L811="F-15",2,IF(L811="F-30",3,IF(L811="F-60",4,IF(L811="F-90",5,0)))),0),0)+IF(AND(O811="FIRE TEX 5062",OR(E811="IN",E811="C",E811="Z",E811="L"),J811=4),VLOOKUP(_xlfn.MINIFS('FIRE TEX 5062'!$G$4:$G$34,'FIRE TEX 5062'!$G$4:$G$34,"&gt;="&amp;M811),'FIRE TEX 5062'!$G$4:$K$34,IF(L811="F-15",2,IF(L811="F-30",3,IF(L811="F-60",4,IF(L811="F-90",5,0)))),0),0)+IF(AND(O811="FIRE TEX 5062",E811="CJ",J811=3),VLOOKUP(_xlfn.MINIFS('FIRE TEX 5062'!$L$4:$L$34,'FIRE TEX 5062'!$L$4:$L$34,"&gt;="&amp;M811),'FIRE TEX 5062'!$L$4:$P$34,IF(L811="F-15",2,IF(L811="F-30",3,IF(L811="F-60",4,IF(L811="F-90",5,0)))),0),0)+IF(AND(O811="FIRE TEX 5062",E811="CJ",J811=4),VLOOKUP(_xlfn.MINIFS('FIRE TEX 5062'!$Q$3:$Q$34,'FIRE TEX 5062'!$Q$3:$Q$34,"&gt;="&amp;M811),'FIRE TEX 5062'!$Q$3:$U$34,IF(L811="F-15",2,IF(L811="F-30",3,IF(L811="F-60",4,IF(L811="F-90",5,0)))),0),0)+IF(AND(O811="FIRE TEX 5090",OR(E811="IN",E811="C",E811="Z",E811="L"),J811=3),VLOOKUP(_xlfn.MINIFS('FIRE TEX 5090'!$B$5:$B$43,'FIRE TEX 5090'!$B$5:$B$43,"&gt;="&amp;M811),'FIRE TEX 5090'!$B$5:$H$43,IF(L811="F-15",2,IF(L811="F-30",3,IF(L811="F-60",4,IF(L811="F-90",5,IF(L811="F-120",6,IF(L811="F-150",7,0)))))),0),0)+IF(AND(O811="FIRE TEX 5090",OR(E811="IN",E811="C",E811="Z",E811="L"),J811=4),VLOOKUP(_xlfn.MINIFS('FIRE TEX 5090'!$J$5:$J$43,'FIRE TEX 5090'!$J$5:$J$43,"&gt;="&amp;M811),'FIRE TEX 5090'!$J$5:$P$43,IF(L811="F-15",2,IF(L811="F-30",3,IF(L811="F-60",4,IF(L811="F-90",5,IF(L811="F-120",6,IF(L811="F-150",7,0)))))),0),0)+IF(AND(O811="FIRE TEX 5090",E811="CJ",J811=3),VLOOKUP(_xlfn.MINIFS('FIRE TEX 5090'!$R$5:$R$30,'FIRE TEX 5090'!$R$5:$R$30,"&gt;="&amp;M811),'FIRE TEX 5090'!$R$5:$W$30,IF(L811="F-15",2,IF(L811="F-30",3,IF(L811="F-60",4,IF(L811="F-90",5,IF(L811="F-120",6,IF(L811="F-150",7,0)))))),0),0)+IF(AND(O811="FIRE TEX 5090",E811="CJ",J811=4),VLOOKUP(_xlfn.MINIFS('FIRE TEX 5090'!$Y$5:$Y$39,'FIRE TEX 5090'!$Y$5:$Y$39,"&gt;="&amp;M811),'FIRE TEX 5090'!$Y$5:$AD$39,IF(L811="F-15",2,IF(L811="F-30",3,IF(L811="F-60",4,IF(L811="F-90",5,IF(L811="F-120",6,IF(L811="F-150",7,0)))))),0),0)+IF(AND(O811="FIRE TEX 5120",OR(E811="IN",E811="C",E811="Z",E811="L"),J811=3),VLOOKUP(_xlfn.MINIFS('FIRE TEX 5120'!$B$5:$B$40,'FIRE TEX 5120'!$B$5:$B$40,"&gt;="&amp;M811),'FIRE TEX 5120'!$B$5:$G$40,IF(L811="F-15",2,IF(L811="F-30",3,IF(L811="F-60",4,IF(L811="F-90",5,IF(L811="F-120",6,0))))),0),0)+IF(AND(O811="FIRE TEX 5120",OR(E811="IN",E811="C",E811="Z",E811="L"),J811=4),VLOOKUP(_xlfn.MINIFS('FIRE TEX 5120'!$H$4:$H$40,'FIRE TEX 5120'!$H$4:$H$40,"&gt;="&amp;M811),'FIRE TEX 5120'!$H$4:$M$40,IF(L811="F-15",2,IF(L811="F-30",3,IF(L811="F-60",4,IF(L811="F-90",5,IF(L811="F-120",6,0))))),0),0)+IF(AND(O811="FIRE TEX 5120",E811="CJ"),VLOOKUP(_xlfn.MINIFS('FIRE TEX 5120'!$O$5:$O$40,'FIRE TEX 5120'!$O$5:$O$40,"&gt;="&amp;M811),'FIRE TEX 5120'!$O$5:$T$40,IF(L811="F-15",2,IF(L811="F-30",3,IF(L811="F-60",4,IF(L811="F-90",5,IF(L811="F-120",6,0))))),0),0)</f>
        <v>0</v>
      </c>
      <c r="Q811" s="46">
        <f t="shared" si="79"/>
        <v>0</v>
      </c>
      <c r="R811" s="46">
        <f t="shared" si="80"/>
        <v>0</v>
      </c>
      <c r="S811" s="46" t="e">
        <f t="shared" si="81"/>
        <v>#VALUE!</v>
      </c>
      <c r="T811" s="677">
        <f t="shared" si="82"/>
        <v>0</v>
      </c>
      <c r="U811" s="80">
        <f>(IF(O811="Stofire",(S811*#REF!),0))+(IF(O811="Fire Control",(S811*$U$2),0))+(IF(O811="Fire Tex",(S811*$U$3),0))+(IF(O811="WB7",(S811*#REF!),0)+(IF(O811="FX 2003",(S811*$U$5),0)))</f>
        <v>0</v>
      </c>
      <c r="V811" s="651">
        <f t="shared" si="83"/>
        <v>0</v>
      </c>
    </row>
    <row r="812" spans="4:22" x14ac:dyDescent="0.25">
      <c r="D812" s="118">
        <f>+CUBICACION!D811</f>
        <v>0</v>
      </c>
      <c r="E812" s="118">
        <f>+CUBICACION!F811</f>
        <v>0</v>
      </c>
      <c r="F812" s="118">
        <f>+CUBICACION!E811</f>
        <v>0</v>
      </c>
      <c r="G812" s="118">
        <v>12</v>
      </c>
      <c r="H812" s="118">
        <v>2</v>
      </c>
      <c r="I812" s="820">
        <v>26385</v>
      </c>
      <c r="J812" s="118">
        <f>+CUBICACION!J811</f>
        <v>0</v>
      </c>
      <c r="K812" s="118">
        <v>3591</v>
      </c>
      <c r="L812" s="118">
        <f>+CUBICACION!L811</f>
        <v>0</v>
      </c>
      <c r="M812" s="64">
        <f>+CUBICACION!M811</f>
        <v>0</v>
      </c>
      <c r="N812" s="824" t="str">
        <f>+CUBICACION!N811</f>
        <v/>
      </c>
      <c r="O812" s="675">
        <f>+CUBICACION!O811</f>
        <v>0</v>
      </c>
      <c r="P812" s="15">
        <f>IF(O812="Fire Control",VLOOKUP(_xlfn.MINIFS('FIRE CONTROL'!$C$4:$C$37,'FIRE CONTROL'!$C$4:$C$37,"&gt;="&amp;M812),'FIRE CONTROL'!$C$4:$G$37,IF(L812="F-15",2,IF(L812="F-30",3,IF(L812="F-60",4,IF(L812="F-90",5,0)))),0),0)+IF(AND(O812="FIRE TEX 5062",OR(E812="IN",E812="C",E812="Z",E812="L"),J812=3),VLOOKUP(_xlfn.MINIFS('FIRE TEX 5062'!$B$4:$B$34,'FIRE TEX 5062'!$B$4:$B$34,"&gt;="&amp;M812),'FIRE TEX 5062'!$B$4:$F$34,IF(L812="F-15",2,IF(L812="F-30",3,IF(L812="F-60",4,IF(L812="F-90",5,0)))),0),0)+IF(AND(O812="FIRE TEX 5062",OR(E812="IN",E812="C",E812="Z",E812="L"),J812=4),VLOOKUP(_xlfn.MINIFS('FIRE TEX 5062'!$G$4:$G$34,'FIRE TEX 5062'!$G$4:$G$34,"&gt;="&amp;M812),'FIRE TEX 5062'!$G$4:$K$34,IF(L812="F-15",2,IF(L812="F-30",3,IF(L812="F-60",4,IF(L812="F-90",5,0)))),0),0)+IF(AND(O812="FIRE TEX 5062",E812="CJ",J812=3),VLOOKUP(_xlfn.MINIFS('FIRE TEX 5062'!$L$4:$L$34,'FIRE TEX 5062'!$L$4:$L$34,"&gt;="&amp;M812),'FIRE TEX 5062'!$L$4:$P$34,IF(L812="F-15",2,IF(L812="F-30",3,IF(L812="F-60",4,IF(L812="F-90",5,0)))),0),0)+IF(AND(O812="FIRE TEX 5062",E812="CJ",J812=4),VLOOKUP(_xlfn.MINIFS('FIRE TEX 5062'!$Q$3:$Q$34,'FIRE TEX 5062'!$Q$3:$Q$34,"&gt;="&amp;M812),'FIRE TEX 5062'!$Q$3:$U$34,IF(L812="F-15",2,IF(L812="F-30",3,IF(L812="F-60",4,IF(L812="F-90",5,0)))),0),0)+IF(AND(O812="FIRE TEX 5090",OR(E812="IN",E812="C",E812="Z",E812="L"),J812=3),VLOOKUP(_xlfn.MINIFS('FIRE TEX 5090'!$B$5:$B$43,'FIRE TEX 5090'!$B$5:$B$43,"&gt;="&amp;M812),'FIRE TEX 5090'!$B$5:$H$43,IF(L812="F-15",2,IF(L812="F-30",3,IF(L812="F-60",4,IF(L812="F-90",5,IF(L812="F-120",6,IF(L812="F-150",7,0)))))),0),0)+IF(AND(O812="FIRE TEX 5090",OR(E812="IN",E812="C",E812="Z",E812="L"),J812=4),VLOOKUP(_xlfn.MINIFS('FIRE TEX 5090'!$J$5:$J$43,'FIRE TEX 5090'!$J$5:$J$43,"&gt;="&amp;M812),'FIRE TEX 5090'!$J$5:$P$43,IF(L812="F-15",2,IF(L812="F-30",3,IF(L812="F-60",4,IF(L812="F-90",5,IF(L812="F-120",6,IF(L812="F-150",7,0)))))),0),0)+IF(AND(O812="FIRE TEX 5090",E812="CJ",J812=3),VLOOKUP(_xlfn.MINIFS('FIRE TEX 5090'!$R$5:$R$30,'FIRE TEX 5090'!$R$5:$R$30,"&gt;="&amp;M812),'FIRE TEX 5090'!$R$5:$W$30,IF(L812="F-15",2,IF(L812="F-30",3,IF(L812="F-60",4,IF(L812="F-90",5,IF(L812="F-120",6,IF(L812="F-150",7,0)))))),0),0)+IF(AND(O812="FIRE TEX 5090",E812="CJ",J812=4),VLOOKUP(_xlfn.MINIFS('FIRE TEX 5090'!$Y$5:$Y$39,'FIRE TEX 5090'!$Y$5:$Y$39,"&gt;="&amp;M812),'FIRE TEX 5090'!$Y$5:$AD$39,IF(L812="F-15",2,IF(L812="F-30",3,IF(L812="F-60",4,IF(L812="F-90",5,IF(L812="F-120",6,IF(L812="F-150",7,0)))))),0),0)+IF(AND(O812="FIRE TEX 5120",OR(E812="IN",E812="C",E812="Z",E812="L"),J812=3),VLOOKUP(_xlfn.MINIFS('FIRE TEX 5120'!$B$5:$B$40,'FIRE TEX 5120'!$B$5:$B$40,"&gt;="&amp;M812),'FIRE TEX 5120'!$B$5:$G$40,IF(L812="F-15",2,IF(L812="F-30",3,IF(L812="F-60",4,IF(L812="F-90",5,IF(L812="F-120",6,0))))),0),0)+IF(AND(O812="FIRE TEX 5120",OR(E812="IN",E812="C",E812="Z",E812="L"),J812=4),VLOOKUP(_xlfn.MINIFS('FIRE TEX 5120'!$H$4:$H$40,'FIRE TEX 5120'!$H$4:$H$40,"&gt;="&amp;M812),'FIRE TEX 5120'!$H$4:$M$40,IF(L812="F-15",2,IF(L812="F-30",3,IF(L812="F-60",4,IF(L812="F-90",5,IF(L812="F-120",6,0))))),0),0)+IF(AND(O812="FIRE TEX 5120",E812="CJ"),VLOOKUP(_xlfn.MINIFS('FIRE TEX 5120'!$O$5:$O$40,'FIRE TEX 5120'!$O$5:$O$40,"&gt;="&amp;M812),'FIRE TEX 5120'!$O$5:$T$40,IF(L812="F-15",2,IF(L812="F-30",3,IF(L812="F-60",4,IF(L812="F-90",5,IF(L812="F-120",6,0))))),0),0)</f>
        <v>0</v>
      </c>
      <c r="Q812" s="46">
        <f t="shared" si="79"/>
        <v>0</v>
      </c>
      <c r="R812" s="46">
        <f t="shared" si="80"/>
        <v>0</v>
      </c>
      <c r="S812" s="46" t="e">
        <f t="shared" si="81"/>
        <v>#VALUE!</v>
      </c>
      <c r="T812" s="677">
        <f t="shared" si="82"/>
        <v>0</v>
      </c>
      <c r="U812" s="80">
        <f>(IF(O812="Stofire",(S812*#REF!),0))+(IF(O812="Fire Control",(S812*$U$2),0))+(IF(O812="Fire Tex",(S812*$U$3),0))+(IF(O812="WB7",(S812*#REF!),0)+(IF(O812="FX 2003",(S812*$U$5),0)))</f>
        <v>0</v>
      </c>
      <c r="V812" s="651">
        <f t="shared" si="83"/>
        <v>0</v>
      </c>
    </row>
    <row r="813" spans="4:22" x14ac:dyDescent="0.25">
      <c r="D813" s="118">
        <f>+CUBICACION!D812</f>
        <v>0</v>
      </c>
      <c r="E813" s="118">
        <f>+CUBICACION!F812</f>
        <v>0</v>
      </c>
      <c r="F813" s="118">
        <f>+CUBICACION!E812</f>
        <v>0</v>
      </c>
      <c r="G813" s="118">
        <v>12</v>
      </c>
      <c r="H813" s="118">
        <v>2</v>
      </c>
      <c r="I813" s="820">
        <v>26385</v>
      </c>
      <c r="J813" s="118">
        <f>+CUBICACION!J812</f>
        <v>0</v>
      </c>
      <c r="K813" s="118">
        <v>3592</v>
      </c>
      <c r="L813" s="118">
        <f>+CUBICACION!L812</f>
        <v>0</v>
      </c>
      <c r="M813" s="64">
        <f>+CUBICACION!M812</f>
        <v>0</v>
      </c>
      <c r="N813" s="824" t="str">
        <f>+CUBICACION!N812</f>
        <v/>
      </c>
      <c r="O813" s="675">
        <f>+CUBICACION!O812</f>
        <v>0</v>
      </c>
      <c r="P813" s="15">
        <f>IF(O813="Fire Control",VLOOKUP(_xlfn.MINIFS('FIRE CONTROL'!$C$4:$C$37,'FIRE CONTROL'!$C$4:$C$37,"&gt;="&amp;M813),'FIRE CONTROL'!$C$4:$G$37,IF(L813="F-15",2,IF(L813="F-30",3,IF(L813="F-60",4,IF(L813="F-90",5,0)))),0),0)+IF(AND(O813="FIRE TEX 5062",OR(E813="IN",E813="C",E813="Z",E813="L"),J813=3),VLOOKUP(_xlfn.MINIFS('FIRE TEX 5062'!$B$4:$B$34,'FIRE TEX 5062'!$B$4:$B$34,"&gt;="&amp;M813),'FIRE TEX 5062'!$B$4:$F$34,IF(L813="F-15",2,IF(L813="F-30",3,IF(L813="F-60",4,IF(L813="F-90",5,0)))),0),0)+IF(AND(O813="FIRE TEX 5062",OR(E813="IN",E813="C",E813="Z",E813="L"),J813=4),VLOOKUP(_xlfn.MINIFS('FIRE TEX 5062'!$G$4:$G$34,'FIRE TEX 5062'!$G$4:$G$34,"&gt;="&amp;M813),'FIRE TEX 5062'!$G$4:$K$34,IF(L813="F-15",2,IF(L813="F-30",3,IF(L813="F-60",4,IF(L813="F-90",5,0)))),0),0)+IF(AND(O813="FIRE TEX 5062",E813="CJ",J813=3),VLOOKUP(_xlfn.MINIFS('FIRE TEX 5062'!$L$4:$L$34,'FIRE TEX 5062'!$L$4:$L$34,"&gt;="&amp;M813),'FIRE TEX 5062'!$L$4:$P$34,IF(L813="F-15",2,IF(L813="F-30",3,IF(L813="F-60",4,IF(L813="F-90",5,0)))),0),0)+IF(AND(O813="FIRE TEX 5062",E813="CJ",J813=4),VLOOKUP(_xlfn.MINIFS('FIRE TEX 5062'!$Q$3:$Q$34,'FIRE TEX 5062'!$Q$3:$Q$34,"&gt;="&amp;M813),'FIRE TEX 5062'!$Q$3:$U$34,IF(L813="F-15",2,IF(L813="F-30",3,IF(L813="F-60",4,IF(L813="F-90",5,0)))),0),0)+IF(AND(O813="FIRE TEX 5090",OR(E813="IN",E813="C",E813="Z",E813="L"),J813=3),VLOOKUP(_xlfn.MINIFS('FIRE TEX 5090'!$B$5:$B$43,'FIRE TEX 5090'!$B$5:$B$43,"&gt;="&amp;M813),'FIRE TEX 5090'!$B$5:$H$43,IF(L813="F-15",2,IF(L813="F-30",3,IF(L813="F-60",4,IF(L813="F-90",5,IF(L813="F-120",6,IF(L813="F-150",7,0)))))),0),0)+IF(AND(O813="FIRE TEX 5090",OR(E813="IN",E813="C",E813="Z",E813="L"),J813=4),VLOOKUP(_xlfn.MINIFS('FIRE TEX 5090'!$J$5:$J$43,'FIRE TEX 5090'!$J$5:$J$43,"&gt;="&amp;M813),'FIRE TEX 5090'!$J$5:$P$43,IF(L813="F-15",2,IF(L813="F-30",3,IF(L813="F-60",4,IF(L813="F-90",5,IF(L813="F-120",6,IF(L813="F-150",7,0)))))),0),0)+IF(AND(O813="FIRE TEX 5090",E813="CJ",J813=3),VLOOKUP(_xlfn.MINIFS('FIRE TEX 5090'!$R$5:$R$30,'FIRE TEX 5090'!$R$5:$R$30,"&gt;="&amp;M813),'FIRE TEX 5090'!$R$5:$W$30,IF(L813="F-15",2,IF(L813="F-30",3,IF(L813="F-60",4,IF(L813="F-90",5,IF(L813="F-120",6,IF(L813="F-150",7,0)))))),0),0)+IF(AND(O813="FIRE TEX 5090",E813="CJ",J813=4),VLOOKUP(_xlfn.MINIFS('FIRE TEX 5090'!$Y$5:$Y$39,'FIRE TEX 5090'!$Y$5:$Y$39,"&gt;="&amp;M813),'FIRE TEX 5090'!$Y$5:$AD$39,IF(L813="F-15",2,IF(L813="F-30",3,IF(L813="F-60",4,IF(L813="F-90",5,IF(L813="F-120",6,IF(L813="F-150",7,0)))))),0),0)+IF(AND(O813="FIRE TEX 5120",OR(E813="IN",E813="C",E813="Z",E813="L"),J813=3),VLOOKUP(_xlfn.MINIFS('FIRE TEX 5120'!$B$5:$B$40,'FIRE TEX 5120'!$B$5:$B$40,"&gt;="&amp;M813),'FIRE TEX 5120'!$B$5:$G$40,IF(L813="F-15",2,IF(L813="F-30",3,IF(L813="F-60",4,IF(L813="F-90",5,IF(L813="F-120",6,0))))),0),0)+IF(AND(O813="FIRE TEX 5120",OR(E813="IN",E813="C",E813="Z",E813="L"),J813=4),VLOOKUP(_xlfn.MINIFS('FIRE TEX 5120'!$H$4:$H$40,'FIRE TEX 5120'!$H$4:$H$40,"&gt;="&amp;M813),'FIRE TEX 5120'!$H$4:$M$40,IF(L813="F-15",2,IF(L813="F-30",3,IF(L813="F-60",4,IF(L813="F-90",5,IF(L813="F-120",6,0))))),0),0)+IF(AND(O813="FIRE TEX 5120",E813="CJ"),VLOOKUP(_xlfn.MINIFS('FIRE TEX 5120'!$O$5:$O$40,'FIRE TEX 5120'!$O$5:$O$40,"&gt;="&amp;M813),'FIRE TEX 5120'!$O$5:$T$40,IF(L813="F-15",2,IF(L813="F-30",3,IF(L813="F-60",4,IF(L813="F-90",5,IF(L813="F-120",6,0))))),0),0)</f>
        <v>0</v>
      </c>
      <c r="Q813" s="46">
        <f t="shared" ref="Q813:Q876" si="84">IF(P813="","",IF(P813="dar valor","",0.03937*P813))</f>
        <v>0</v>
      </c>
      <c r="R813" s="46">
        <f t="shared" ref="R813:R876" si="85">+(IF(O813="Fire Control",((65*1.5/Q813)*0.75*4),0))+(IF(OR(O813="Fire Tex 5062",O813="Fire Tex 5090",O813="Fire Tex 5120"),((66*1.5/Q813)*0.7*5),0))</f>
        <v>0</v>
      </c>
      <c r="S813" s="46" t="e">
        <f t="shared" ref="S813:S876" si="86">IF(R813="","",+N813/R813)</f>
        <v>#VALUE!</v>
      </c>
      <c r="T813" s="677">
        <f t="shared" ref="T813:T876" si="87">(IF(O813="Stofire",(S813/(7*1)),0))+(IF(O813="Fire Control",(S813/(7*1)),0))+(IF(O813="Fire Tex",(S813/(7*1)),0))+(IF(O813="WB7",(S813/(7*1)),0))+(IF(O813="FX 2003",(S813/(7*1)),0))</f>
        <v>0</v>
      </c>
      <c r="U813" s="80">
        <f>(IF(O813="Stofire",(S813*#REF!),0))+(IF(O813="Fire Control",(S813*$U$2),0))+(IF(O813="Fire Tex",(S813*$U$3),0))+(IF(O813="WB7",(S813*#REF!),0)+(IF(O813="FX 2003",(S813*$U$5),0)))</f>
        <v>0</v>
      </c>
      <c r="V813" s="651">
        <f t="shared" ref="V813:V876" si="88">_xlfn.CEILING.MATH(M813,10)</f>
        <v>0</v>
      </c>
    </row>
    <row r="814" spans="4:22" x14ac:dyDescent="0.25">
      <c r="D814" s="118">
        <f>+CUBICACION!D813</f>
        <v>0</v>
      </c>
      <c r="E814" s="118">
        <f>+CUBICACION!F813</f>
        <v>0</v>
      </c>
      <c r="F814" s="118">
        <f>+CUBICACION!E813</f>
        <v>0</v>
      </c>
      <c r="G814" s="118">
        <v>12</v>
      </c>
      <c r="H814" s="118">
        <v>2</v>
      </c>
      <c r="I814" s="820">
        <v>26385</v>
      </c>
      <c r="J814" s="118">
        <f>+CUBICACION!J813</f>
        <v>0</v>
      </c>
      <c r="K814" s="118">
        <v>3593</v>
      </c>
      <c r="L814" s="118">
        <f>+CUBICACION!L813</f>
        <v>0</v>
      </c>
      <c r="M814" s="64">
        <f>+CUBICACION!M813</f>
        <v>0</v>
      </c>
      <c r="N814" s="824" t="str">
        <f>+CUBICACION!N813</f>
        <v/>
      </c>
      <c r="O814" s="675">
        <f>+CUBICACION!O813</f>
        <v>0</v>
      </c>
      <c r="P814" s="15">
        <f>IF(O814="Fire Control",VLOOKUP(_xlfn.MINIFS('FIRE CONTROL'!$C$4:$C$37,'FIRE CONTROL'!$C$4:$C$37,"&gt;="&amp;M814),'FIRE CONTROL'!$C$4:$G$37,IF(L814="F-15",2,IF(L814="F-30",3,IF(L814="F-60",4,IF(L814="F-90",5,0)))),0),0)+IF(AND(O814="FIRE TEX 5062",OR(E814="IN",E814="C",E814="Z",E814="L"),J814=3),VLOOKUP(_xlfn.MINIFS('FIRE TEX 5062'!$B$4:$B$34,'FIRE TEX 5062'!$B$4:$B$34,"&gt;="&amp;M814),'FIRE TEX 5062'!$B$4:$F$34,IF(L814="F-15",2,IF(L814="F-30",3,IF(L814="F-60",4,IF(L814="F-90",5,0)))),0),0)+IF(AND(O814="FIRE TEX 5062",OR(E814="IN",E814="C",E814="Z",E814="L"),J814=4),VLOOKUP(_xlfn.MINIFS('FIRE TEX 5062'!$G$4:$G$34,'FIRE TEX 5062'!$G$4:$G$34,"&gt;="&amp;M814),'FIRE TEX 5062'!$G$4:$K$34,IF(L814="F-15",2,IF(L814="F-30",3,IF(L814="F-60",4,IF(L814="F-90",5,0)))),0),0)+IF(AND(O814="FIRE TEX 5062",E814="CJ",J814=3),VLOOKUP(_xlfn.MINIFS('FIRE TEX 5062'!$L$4:$L$34,'FIRE TEX 5062'!$L$4:$L$34,"&gt;="&amp;M814),'FIRE TEX 5062'!$L$4:$P$34,IF(L814="F-15",2,IF(L814="F-30",3,IF(L814="F-60",4,IF(L814="F-90",5,0)))),0),0)+IF(AND(O814="FIRE TEX 5062",E814="CJ",J814=4),VLOOKUP(_xlfn.MINIFS('FIRE TEX 5062'!$Q$3:$Q$34,'FIRE TEX 5062'!$Q$3:$Q$34,"&gt;="&amp;M814),'FIRE TEX 5062'!$Q$3:$U$34,IF(L814="F-15",2,IF(L814="F-30",3,IF(L814="F-60",4,IF(L814="F-90",5,0)))),0),0)+IF(AND(O814="FIRE TEX 5090",OR(E814="IN",E814="C",E814="Z",E814="L"),J814=3),VLOOKUP(_xlfn.MINIFS('FIRE TEX 5090'!$B$5:$B$43,'FIRE TEX 5090'!$B$5:$B$43,"&gt;="&amp;M814),'FIRE TEX 5090'!$B$5:$H$43,IF(L814="F-15",2,IF(L814="F-30",3,IF(L814="F-60",4,IF(L814="F-90",5,IF(L814="F-120",6,IF(L814="F-150",7,0)))))),0),0)+IF(AND(O814="FIRE TEX 5090",OR(E814="IN",E814="C",E814="Z",E814="L"),J814=4),VLOOKUP(_xlfn.MINIFS('FIRE TEX 5090'!$J$5:$J$43,'FIRE TEX 5090'!$J$5:$J$43,"&gt;="&amp;M814),'FIRE TEX 5090'!$J$5:$P$43,IF(L814="F-15",2,IF(L814="F-30",3,IF(L814="F-60",4,IF(L814="F-90",5,IF(L814="F-120",6,IF(L814="F-150",7,0)))))),0),0)+IF(AND(O814="FIRE TEX 5090",E814="CJ",J814=3),VLOOKUP(_xlfn.MINIFS('FIRE TEX 5090'!$R$5:$R$30,'FIRE TEX 5090'!$R$5:$R$30,"&gt;="&amp;M814),'FIRE TEX 5090'!$R$5:$W$30,IF(L814="F-15",2,IF(L814="F-30",3,IF(L814="F-60",4,IF(L814="F-90",5,IF(L814="F-120",6,IF(L814="F-150",7,0)))))),0),0)+IF(AND(O814="FIRE TEX 5090",E814="CJ",J814=4),VLOOKUP(_xlfn.MINIFS('FIRE TEX 5090'!$Y$5:$Y$39,'FIRE TEX 5090'!$Y$5:$Y$39,"&gt;="&amp;M814),'FIRE TEX 5090'!$Y$5:$AD$39,IF(L814="F-15",2,IF(L814="F-30",3,IF(L814="F-60",4,IF(L814="F-90",5,IF(L814="F-120",6,IF(L814="F-150",7,0)))))),0),0)+IF(AND(O814="FIRE TEX 5120",OR(E814="IN",E814="C",E814="Z",E814="L"),J814=3),VLOOKUP(_xlfn.MINIFS('FIRE TEX 5120'!$B$5:$B$40,'FIRE TEX 5120'!$B$5:$B$40,"&gt;="&amp;M814),'FIRE TEX 5120'!$B$5:$G$40,IF(L814="F-15",2,IF(L814="F-30",3,IF(L814="F-60",4,IF(L814="F-90",5,IF(L814="F-120",6,0))))),0),0)+IF(AND(O814="FIRE TEX 5120",OR(E814="IN",E814="C",E814="Z",E814="L"),J814=4),VLOOKUP(_xlfn.MINIFS('FIRE TEX 5120'!$H$4:$H$40,'FIRE TEX 5120'!$H$4:$H$40,"&gt;="&amp;M814),'FIRE TEX 5120'!$H$4:$M$40,IF(L814="F-15",2,IF(L814="F-30",3,IF(L814="F-60",4,IF(L814="F-90",5,IF(L814="F-120",6,0))))),0),0)+IF(AND(O814="FIRE TEX 5120",E814="CJ"),VLOOKUP(_xlfn.MINIFS('FIRE TEX 5120'!$O$5:$O$40,'FIRE TEX 5120'!$O$5:$O$40,"&gt;="&amp;M814),'FIRE TEX 5120'!$O$5:$T$40,IF(L814="F-15",2,IF(L814="F-30",3,IF(L814="F-60",4,IF(L814="F-90",5,IF(L814="F-120",6,0))))),0),0)</f>
        <v>0</v>
      </c>
      <c r="Q814" s="46">
        <f t="shared" si="84"/>
        <v>0</v>
      </c>
      <c r="R814" s="46">
        <f t="shared" si="85"/>
        <v>0</v>
      </c>
      <c r="S814" s="46" t="e">
        <f t="shared" si="86"/>
        <v>#VALUE!</v>
      </c>
      <c r="T814" s="677">
        <f t="shared" si="87"/>
        <v>0</v>
      </c>
      <c r="U814" s="80">
        <f>(IF(O814="Stofire",(S814*#REF!),0))+(IF(O814="Fire Control",(S814*$U$2),0))+(IF(O814="Fire Tex",(S814*$U$3),0))+(IF(O814="WB7",(S814*#REF!),0)+(IF(O814="FX 2003",(S814*$U$5),0)))</f>
        <v>0</v>
      </c>
      <c r="V814" s="651">
        <f t="shared" si="88"/>
        <v>0</v>
      </c>
    </row>
    <row r="815" spans="4:22" x14ac:dyDescent="0.25">
      <c r="D815" s="118">
        <f>+CUBICACION!D814</f>
        <v>0</v>
      </c>
      <c r="E815" s="118">
        <f>+CUBICACION!F814</f>
        <v>0</v>
      </c>
      <c r="F815" s="118">
        <f>+CUBICACION!E814</f>
        <v>0</v>
      </c>
      <c r="G815" s="118">
        <v>12</v>
      </c>
      <c r="H815" s="118">
        <v>2</v>
      </c>
      <c r="I815" s="820">
        <v>26385</v>
      </c>
      <c r="J815" s="118">
        <f>+CUBICACION!J814</f>
        <v>0</v>
      </c>
      <c r="K815" s="118">
        <v>3594</v>
      </c>
      <c r="L815" s="118">
        <f>+CUBICACION!L814</f>
        <v>0</v>
      </c>
      <c r="M815" s="64">
        <f>+CUBICACION!M814</f>
        <v>0</v>
      </c>
      <c r="N815" s="824" t="str">
        <f>+CUBICACION!N814</f>
        <v/>
      </c>
      <c r="O815" s="675">
        <f>+CUBICACION!O814</f>
        <v>0</v>
      </c>
      <c r="P815" s="15">
        <f>IF(O815="Fire Control",VLOOKUP(_xlfn.MINIFS('FIRE CONTROL'!$C$4:$C$37,'FIRE CONTROL'!$C$4:$C$37,"&gt;="&amp;M815),'FIRE CONTROL'!$C$4:$G$37,IF(L815="F-15",2,IF(L815="F-30",3,IF(L815="F-60",4,IF(L815="F-90",5,0)))),0),0)+IF(AND(O815="FIRE TEX 5062",OR(E815="IN",E815="C",E815="Z",E815="L"),J815=3),VLOOKUP(_xlfn.MINIFS('FIRE TEX 5062'!$B$4:$B$34,'FIRE TEX 5062'!$B$4:$B$34,"&gt;="&amp;M815),'FIRE TEX 5062'!$B$4:$F$34,IF(L815="F-15",2,IF(L815="F-30",3,IF(L815="F-60",4,IF(L815="F-90",5,0)))),0),0)+IF(AND(O815="FIRE TEX 5062",OR(E815="IN",E815="C",E815="Z",E815="L"),J815=4),VLOOKUP(_xlfn.MINIFS('FIRE TEX 5062'!$G$4:$G$34,'FIRE TEX 5062'!$G$4:$G$34,"&gt;="&amp;M815),'FIRE TEX 5062'!$G$4:$K$34,IF(L815="F-15",2,IF(L815="F-30",3,IF(L815="F-60",4,IF(L815="F-90",5,0)))),0),0)+IF(AND(O815="FIRE TEX 5062",E815="CJ",J815=3),VLOOKUP(_xlfn.MINIFS('FIRE TEX 5062'!$L$4:$L$34,'FIRE TEX 5062'!$L$4:$L$34,"&gt;="&amp;M815),'FIRE TEX 5062'!$L$4:$P$34,IF(L815="F-15",2,IF(L815="F-30",3,IF(L815="F-60",4,IF(L815="F-90",5,0)))),0),0)+IF(AND(O815="FIRE TEX 5062",E815="CJ",J815=4),VLOOKUP(_xlfn.MINIFS('FIRE TEX 5062'!$Q$3:$Q$34,'FIRE TEX 5062'!$Q$3:$Q$34,"&gt;="&amp;M815),'FIRE TEX 5062'!$Q$3:$U$34,IF(L815="F-15",2,IF(L815="F-30",3,IF(L815="F-60",4,IF(L815="F-90",5,0)))),0),0)+IF(AND(O815="FIRE TEX 5090",OR(E815="IN",E815="C",E815="Z",E815="L"),J815=3),VLOOKUP(_xlfn.MINIFS('FIRE TEX 5090'!$B$5:$B$43,'FIRE TEX 5090'!$B$5:$B$43,"&gt;="&amp;M815),'FIRE TEX 5090'!$B$5:$H$43,IF(L815="F-15",2,IF(L815="F-30",3,IF(L815="F-60",4,IF(L815="F-90",5,IF(L815="F-120",6,IF(L815="F-150",7,0)))))),0),0)+IF(AND(O815="FIRE TEX 5090",OR(E815="IN",E815="C",E815="Z",E815="L"),J815=4),VLOOKUP(_xlfn.MINIFS('FIRE TEX 5090'!$J$5:$J$43,'FIRE TEX 5090'!$J$5:$J$43,"&gt;="&amp;M815),'FIRE TEX 5090'!$J$5:$P$43,IF(L815="F-15",2,IF(L815="F-30",3,IF(L815="F-60",4,IF(L815="F-90",5,IF(L815="F-120",6,IF(L815="F-150",7,0)))))),0),0)+IF(AND(O815="FIRE TEX 5090",E815="CJ",J815=3),VLOOKUP(_xlfn.MINIFS('FIRE TEX 5090'!$R$5:$R$30,'FIRE TEX 5090'!$R$5:$R$30,"&gt;="&amp;M815),'FIRE TEX 5090'!$R$5:$W$30,IF(L815="F-15",2,IF(L815="F-30",3,IF(L815="F-60",4,IF(L815="F-90",5,IF(L815="F-120",6,IF(L815="F-150",7,0)))))),0),0)+IF(AND(O815="FIRE TEX 5090",E815="CJ",J815=4),VLOOKUP(_xlfn.MINIFS('FIRE TEX 5090'!$Y$5:$Y$39,'FIRE TEX 5090'!$Y$5:$Y$39,"&gt;="&amp;M815),'FIRE TEX 5090'!$Y$5:$AD$39,IF(L815="F-15",2,IF(L815="F-30",3,IF(L815="F-60",4,IF(L815="F-90",5,IF(L815="F-120",6,IF(L815="F-150",7,0)))))),0),0)+IF(AND(O815="FIRE TEX 5120",OR(E815="IN",E815="C",E815="Z",E815="L"),J815=3),VLOOKUP(_xlfn.MINIFS('FIRE TEX 5120'!$B$5:$B$40,'FIRE TEX 5120'!$B$5:$B$40,"&gt;="&amp;M815),'FIRE TEX 5120'!$B$5:$G$40,IF(L815="F-15",2,IF(L815="F-30",3,IF(L815="F-60",4,IF(L815="F-90",5,IF(L815="F-120",6,0))))),0),0)+IF(AND(O815="FIRE TEX 5120",OR(E815="IN",E815="C",E815="Z",E815="L"),J815=4),VLOOKUP(_xlfn.MINIFS('FIRE TEX 5120'!$H$4:$H$40,'FIRE TEX 5120'!$H$4:$H$40,"&gt;="&amp;M815),'FIRE TEX 5120'!$H$4:$M$40,IF(L815="F-15",2,IF(L815="F-30",3,IF(L815="F-60",4,IF(L815="F-90",5,IF(L815="F-120",6,0))))),0),0)+IF(AND(O815="FIRE TEX 5120",E815="CJ"),VLOOKUP(_xlfn.MINIFS('FIRE TEX 5120'!$O$5:$O$40,'FIRE TEX 5120'!$O$5:$O$40,"&gt;="&amp;M815),'FIRE TEX 5120'!$O$5:$T$40,IF(L815="F-15",2,IF(L815="F-30",3,IF(L815="F-60",4,IF(L815="F-90",5,IF(L815="F-120",6,0))))),0),0)</f>
        <v>0</v>
      </c>
      <c r="Q815" s="46">
        <f t="shared" si="84"/>
        <v>0</v>
      </c>
      <c r="R815" s="46">
        <f t="shared" si="85"/>
        <v>0</v>
      </c>
      <c r="S815" s="46" t="e">
        <f t="shared" si="86"/>
        <v>#VALUE!</v>
      </c>
      <c r="T815" s="677">
        <f t="shared" si="87"/>
        <v>0</v>
      </c>
      <c r="U815" s="80">
        <f>(IF(O815="Stofire",(S815*#REF!),0))+(IF(O815="Fire Control",(S815*$U$2),0))+(IF(O815="Fire Tex",(S815*$U$3),0))+(IF(O815="WB7",(S815*#REF!),0)+(IF(O815="FX 2003",(S815*$U$5),0)))</f>
        <v>0</v>
      </c>
      <c r="V815" s="651">
        <f t="shared" si="88"/>
        <v>0</v>
      </c>
    </row>
    <row r="816" spans="4:22" x14ac:dyDescent="0.25">
      <c r="D816" s="118">
        <f>+CUBICACION!D815</f>
        <v>0</v>
      </c>
      <c r="E816" s="118">
        <f>+CUBICACION!F815</f>
        <v>0</v>
      </c>
      <c r="F816" s="118">
        <f>+CUBICACION!E815</f>
        <v>0</v>
      </c>
      <c r="G816" s="118">
        <v>12</v>
      </c>
      <c r="H816" s="118">
        <v>2</v>
      </c>
      <c r="I816" s="820">
        <v>26385</v>
      </c>
      <c r="J816" s="118">
        <f>+CUBICACION!J815</f>
        <v>0</v>
      </c>
      <c r="K816" s="118">
        <v>3595</v>
      </c>
      <c r="L816" s="118">
        <f>+CUBICACION!L815</f>
        <v>0</v>
      </c>
      <c r="M816" s="64">
        <f>+CUBICACION!M815</f>
        <v>0</v>
      </c>
      <c r="N816" s="824" t="str">
        <f>+CUBICACION!N815</f>
        <v/>
      </c>
      <c r="O816" s="675">
        <f>+CUBICACION!O815</f>
        <v>0</v>
      </c>
      <c r="P816" s="15">
        <f>IF(O816="Fire Control",VLOOKUP(_xlfn.MINIFS('FIRE CONTROL'!$C$4:$C$37,'FIRE CONTROL'!$C$4:$C$37,"&gt;="&amp;M816),'FIRE CONTROL'!$C$4:$G$37,IF(L816="F-15",2,IF(L816="F-30",3,IF(L816="F-60",4,IF(L816="F-90",5,0)))),0),0)+IF(AND(O816="FIRE TEX 5062",OR(E816="IN",E816="C",E816="Z",E816="L"),J816=3),VLOOKUP(_xlfn.MINIFS('FIRE TEX 5062'!$B$4:$B$34,'FIRE TEX 5062'!$B$4:$B$34,"&gt;="&amp;M816),'FIRE TEX 5062'!$B$4:$F$34,IF(L816="F-15",2,IF(L816="F-30",3,IF(L816="F-60",4,IF(L816="F-90",5,0)))),0),0)+IF(AND(O816="FIRE TEX 5062",OR(E816="IN",E816="C",E816="Z",E816="L"),J816=4),VLOOKUP(_xlfn.MINIFS('FIRE TEX 5062'!$G$4:$G$34,'FIRE TEX 5062'!$G$4:$G$34,"&gt;="&amp;M816),'FIRE TEX 5062'!$G$4:$K$34,IF(L816="F-15",2,IF(L816="F-30",3,IF(L816="F-60",4,IF(L816="F-90",5,0)))),0),0)+IF(AND(O816="FIRE TEX 5062",E816="CJ",J816=3),VLOOKUP(_xlfn.MINIFS('FIRE TEX 5062'!$L$4:$L$34,'FIRE TEX 5062'!$L$4:$L$34,"&gt;="&amp;M816),'FIRE TEX 5062'!$L$4:$P$34,IF(L816="F-15",2,IF(L816="F-30",3,IF(L816="F-60",4,IF(L816="F-90",5,0)))),0),0)+IF(AND(O816="FIRE TEX 5062",E816="CJ",J816=4),VLOOKUP(_xlfn.MINIFS('FIRE TEX 5062'!$Q$3:$Q$34,'FIRE TEX 5062'!$Q$3:$Q$34,"&gt;="&amp;M816),'FIRE TEX 5062'!$Q$3:$U$34,IF(L816="F-15",2,IF(L816="F-30",3,IF(L816="F-60",4,IF(L816="F-90",5,0)))),0),0)+IF(AND(O816="FIRE TEX 5090",OR(E816="IN",E816="C",E816="Z",E816="L"),J816=3),VLOOKUP(_xlfn.MINIFS('FIRE TEX 5090'!$B$5:$B$43,'FIRE TEX 5090'!$B$5:$B$43,"&gt;="&amp;M816),'FIRE TEX 5090'!$B$5:$H$43,IF(L816="F-15",2,IF(L816="F-30",3,IF(L816="F-60",4,IF(L816="F-90",5,IF(L816="F-120",6,IF(L816="F-150",7,0)))))),0),0)+IF(AND(O816="FIRE TEX 5090",OR(E816="IN",E816="C",E816="Z",E816="L"),J816=4),VLOOKUP(_xlfn.MINIFS('FIRE TEX 5090'!$J$5:$J$43,'FIRE TEX 5090'!$J$5:$J$43,"&gt;="&amp;M816),'FIRE TEX 5090'!$J$5:$P$43,IF(L816="F-15",2,IF(L816="F-30",3,IF(L816="F-60",4,IF(L816="F-90",5,IF(L816="F-120",6,IF(L816="F-150",7,0)))))),0),0)+IF(AND(O816="FIRE TEX 5090",E816="CJ",J816=3),VLOOKUP(_xlfn.MINIFS('FIRE TEX 5090'!$R$5:$R$30,'FIRE TEX 5090'!$R$5:$R$30,"&gt;="&amp;M816),'FIRE TEX 5090'!$R$5:$W$30,IF(L816="F-15",2,IF(L816="F-30",3,IF(L816="F-60",4,IF(L816="F-90",5,IF(L816="F-120",6,IF(L816="F-150",7,0)))))),0),0)+IF(AND(O816="FIRE TEX 5090",E816="CJ",J816=4),VLOOKUP(_xlfn.MINIFS('FIRE TEX 5090'!$Y$5:$Y$39,'FIRE TEX 5090'!$Y$5:$Y$39,"&gt;="&amp;M816),'FIRE TEX 5090'!$Y$5:$AD$39,IF(L816="F-15",2,IF(L816="F-30",3,IF(L816="F-60",4,IF(L816="F-90",5,IF(L816="F-120",6,IF(L816="F-150",7,0)))))),0),0)+IF(AND(O816="FIRE TEX 5120",OR(E816="IN",E816="C",E816="Z",E816="L"),J816=3),VLOOKUP(_xlfn.MINIFS('FIRE TEX 5120'!$B$5:$B$40,'FIRE TEX 5120'!$B$5:$B$40,"&gt;="&amp;M816),'FIRE TEX 5120'!$B$5:$G$40,IF(L816="F-15",2,IF(L816="F-30",3,IF(L816="F-60",4,IF(L816="F-90",5,IF(L816="F-120",6,0))))),0),0)+IF(AND(O816="FIRE TEX 5120",OR(E816="IN",E816="C",E816="Z",E816="L"),J816=4),VLOOKUP(_xlfn.MINIFS('FIRE TEX 5120'!$H$4:$H$40,'FIRE TEX 5120'!$H$4:$H$40,"&gt;="&amp;M816),'FIRE TEX 5120'!$H$4:$M$40,IF(L816="F-15",2,IF(L816="F-30",3,IF(L816="F-60",4,IF(L816="F-90",5,IF(L816="F-120",6,0))))),0),0)+IF(AND(O816="FIRE TEX 5120",E816="CJ"),VLOOKUP(_xlfn.MINIFS('FIRE TEX 5120'!$O$5:$O$40,'FIRE TEX 5120'!$O$5:$O$40,"&gt;="&amp;M816),'FIRE TEX 5120'!$O$5:$T$40,IF(L816="F-15",2,IF(L816="F-30",3,IF(L816="F-60",4,IF(L816="F-90",5,IF(L816="F-120",6,0))))),0),0)</f>
        <v>0</v>
      </c>
      <c r="Q816" s="46">
        <f t="shared" si="84"/>
        <v>0</v>
      </c>
      <c r="R816" s="46">
        <f t="shared" si="85"/>
        <v>0</v>
      </c>
      <c r="S816" s="46" t="e">
        <f t="shared" si="86"/>
        <v>#VALUE!</v>
      </c>
      <c r="T816" s="677">
        <f t="shared" si="87"/>
        <v>0</v>
      </c>
      <c r="U816" s="80">
        <f>(IF(O816="Stofire",(S816*#REF!),0))+(IF(O816="Fire Control",(S816*$U$2),0))+(IF(O816="Fire Tex",(S816*$U$3),0))+(IF(O816="WB7",(S816*#REF!),0)+(IF(O816="FX 2003",(S816*$U$5),0)))</f>
        <v>0</v>
      </c>
      <c r="V816" s="651">
        <f t="shared" si="88"/>
        <v>0</v>
      </c>
    </row>
    <row r="817" spans="4:22" x14ac:dyDescent="0.25">
      <c r="D817" s="118">
        <f>+CUBICACION!D816</f>
        <v>0</v>
      </c>
      <c r="E817" s="118">
        <f>+CUBICACION!F816</f>
        <v>0</v>
      </c>
      <c r="F817" s="118">
        <f>+CUBICACION!E816</f>
        <v>0</v>
      </c>
      <c r="G817" s="118">
        <v>12</v>
      </c>
      <c r="H817" s="118">
        <v>2</v>
      </c>
      <c r="I817" s="820">
        <v>26385</v>
      </c>
      <c r="J817" s="118">
        <f>+CUBICACION!J816</f>
        <v>0</v>
      </c>
      <c r="K817" s="118">
        <v>3596</v>
      </c>
      <c r="L817" s="118">
        <f>+CUBICACION!L816</f>
        <v>0</v>
      </c>
      <c r="M817" s="64">
        <f>+CUBICACION!M816</f>
        <v>0</v>
      </c>
      <c r="N817" s="824" t="str">
        <f>+CUBICACION!N816</f>
        <v/>
      </c>
      <c r="O817" s="675">
        <f>+CUBICACION!O816</f>
        <v>0</v>
      </c>
      <c r="P817" s="15">
        <f>IF(O817="Fire Control",VLOOKUP(_xlfn.MINIFS('FIRE CONTROL'!$C$4:$C$37,'FIRE CONTROL'!$C$4:$C$37,"&gt;="&amp;M817),'FIRE CONTROL'!$C$4:$G$37,IF(L817="F-15",2,IF(L817="F-30",3,IF(L817="F-60",4,IF(L817="F-90",5,0)))),0),0)+IF(AND(O817="FIRE TEX 5062",OR(E817="IN",E817="C",E817="Z",E817="L"),J817=3),VLOOKUP(_xlfn.MINIFS('FIRE TEX 5062'!$B$4:$B$34,'FIRE TEX 5062'!$B$4:$B$34,"&gt;="&amp;M817),'FIRE TEX 5062'!$B$4:$F$34,IF(L817="F-15",2,IF(L817="F-30",3,IF(L817="F-60",4,IF(L817="F-90",5,0)))),0),0)+IF(AND(O817="FIRE TEX 5062",OR(E817="IN",E817="C",E817="Z",E817="L"),J817=4),VLOOKUP(_xlfn.MINIFS('FIRE TEX 5062'!$G$4:$G$34,'FIRE TEX 5062'!$G$4:$G$34,"&gt;="&amp;M817),'FIRE TEX 5062'!$G$4:$K$34,IF(L817="F-15",2,IF(L817="F-30",3,IF(L817="F-60",4,IF(L817="F-90",5,0)))),0),0)+IF(AND(O817="FIRE TEX 5062",E817="CJ",J817=3),VLOOKUP(_xlfn.MINIFS('FIRE TEX 5062'!$L$4:$L$34,'FIRE TEX 5062'!$L$4:$L$34,"&gt;="&amp;M817),'FIRE TEX 5062'!$L$4:$P$34,IF(L817="F-15",2,IF(L817="F-30",3,IF(L817="F-60",4,IF(L817="F-90",5,0)))),0),0)+IF(AND(O817="FIRE TEX 5062",E817="CJ",J817=4),VLOOKUP(_xlfn.MINIFS('FIRE TEX 5062'!$Q$3:$Q$34,'FIRE TEX 5062'!$Q$3:$Q$34,"&gt;="&amp;M817),'FIRE TEX 5062'!$Q$3:$U$34,IF(L817="F-15",2,IF(L817="F-30",3,IF(L817="F-60",4,IF(L817="F-90",5,0)))),0),0)+IF(AND(O817="FIRE TEX 5090",OR(E817="IN",E817="C",E817="Z",E817="L"),J817=3),VLOOKUP(_xlfn.MINIFS('FIRE TEX 5090'!$B$5:$B$43,'FIRE TEX 5090'!$B$5:$B$43,"&gt;="&amp;M817),'FIRE TEX 5090'!$B$5:$H$43,IF(L817="F-15",2,IF(L817="F-30",3,IF(L817="F-60",4,IF(L817="F-90",5,IF(L817="F-120",6,IF(L817="F-150",7,0)))))),0),0)+IF(AND(O817="FIRE TEX 5090",OR(E817="IN",E817="C",E817="Z",E817="L"),J817=4),VLOOKUP(_xlfn.MINIFS('FIRE TEX 5090'!$J$5:$J$43,'FIRE TEX 5090'!$J$5:$J$43,"&gt;="&amp;M817),'FIRE TEX 5090'!$J$5:$P$43,IF(L817="F-15",2,IF(L817="F-30",3,IF(L817="F-60",4,IF(L817="F-90",5,IF(L817="F-120",6,IF(L817="F-150",7,0)))))),0),0)+IF(AND(O817="FIRE TEX 5090",E817="CJ",J817=3),VLOOKUP(_xlfn.MINIFS('FIRE TEX 5090'!$R$5:$R$30,'FIRE TEX 5090'!$R$5:$R$30,"&gt;="&amp;M817),'FIRE TEX 5090'!$R$5:$W$30,IF(L817="F-15",2,IF(L817="F-30",3,IF(L817="F-60",4,IF(L817="F-90",5,IF(L817="F-120",6,IF(L817="F-150",7,0)))))),0),0)+IF(AND(O817="FIRE TEX 5090",E817="CJ",J817=4),VLOOKUP(_xlfn.MINIFS('FIRE TEX 5090'!$Y$5:$Y$39,'FIRE TEX 5090'!$Y$5:$Y$39,"&gt;="&amp;M817),'FIRE TEX 5090'!$Y$5:$AD$39,IF(L817="F-15",2,IF(L817="F-30",3,IF(L817="F-60",4,IF(L817="F-90",5,IF(L817="F-120",6,IF(L817="F-150",7,0)))))),0),0)+IF(AND(O817="FIRE TEX 5120",OR(E817="IN",E817="C",E817="Z",E817="L"),J817=3),VLOOKUP(_xlfn.MINIFS('FIRE TEX 5120'!$B$5:$B$40,'FIRE TEX 5120'!$B$5:$B$40,"&gt;="&amp;M817),'FIRE TEX 5120'!$B$5:$G$40,IF(L817="F-15",2,IF(L817="F-30",3,IF(L817="F-60",4,IF(L817="F-90",5,IF(L817="F-120",6,0))))),0),0)+IF(AND(O817="FIRE TEX 5120",OR(E817="IN",E817="C",E817="Z",E817="L"),J817=4),VLOOKUP(_xlfn.MINIFS('FIRE TEX 5120'!$H$4:$H$40,'FIRE TEX 5120'!$H$4:$H$40,"&gt;="&amp;M817),'FIRE TEX 5120'!$H$4:$M$40,IF(L817="F-15",2,IF(L817="F-30",3,IF(L817="F-60",4,IF(L817="F-90",5,IF(L817="F-120",6,0))))),0),0)+IF(AND(O817="FIRE TEX 5120",E817="CJ"),VLOOKUP(_xlfn.MINIFS('FIRE TEX 5120'!$O$5:$O$40,'FIRE TEX 5120'!$O$5:$O$40,"&gt;="&amp;M817),'FIRE TEX 5120'!$O$5:$T$40,IF(L817="F-15",2,IF(L817="F-30",3,IF(L817="F-60",4,IF(L817="F-90",5,IF(L817="F-120",6,0))))),0),0)</f>
        <v>0</v>
      </c>
      <c r="Q817" s="46">
        <f t="shared" si="84"/>
        <v>0</v>
      </c>
      <c r="R817" s="46">
        <f t="shared" si="85"/>
        <v>0</v>
      </c>
      <c r="S817" s="46" t="e">
        <f t="shared" si="86"/>
        <v>#VALUE!</v>
      </c>
      <c r="T817" s="677">
        <f t="shared" si="87"/>
        <v>0</v>
      </c>
      <c r="U817" s="80">
        <f>(IF(O817="Stofire",(S817*#REF!),0))+(IF(O817="Fire Control",(S817*$U$2),0))+(IF(O817="Fire Tex",(S817*$U$3),0))+(IF(O817="WB7",(S817*#REF!),0)+(IF(O817="FX 2003",(S817*$U$5),0)))</f>
        <v>0</v>
      </c>
      <c r="V817" s="651">
        <f t="shared" si="88"/>
        <v>0</v>
      </c>
    </row>
    <row r="818" spans="4:22" x14ac:dyDescent="0.25">
      <c r="D818" s="118">
        <f>+CUBICACION!D817</f>
        <v>0</v>
      </c>
      <c r="E818" s="118">
        <f>+CUBICACION!F817</f>
        <v>0</v>
      </c>
      <c r="F818" s="118">
        <f>+CUBICACION!E817</f>
        <v>0</v>
      </c>
      <c r="G818" s="118">
        <v>12</v>
      </c>
      <c r="H818" s="118">
        <v>2</v>
      </c>
      <c r="I818" s="820">
        <v>26385</v>
      </c>
      <c r="J818" s="118">
        <f>+CUBICACION!J817</f>
        <v>0</v>
      </c>
      <c r="K818" s="118">
        <v>3597</v>
      </c>
      <c r="L818" s="118">
        <f>+CUBICACION!L817</f>
        <v>0</v>
      </c>
      <c r="M818" s="64">
        <f>+CUBICACION!M817</f>
        <v>0</v>
      </c>
      <c r="N818" s="824" t="str">
        <f>+CUBICACION!N817</f>
        <v/>
      </c>
      <c r="O818" s="675">
        <f>+CUBICACION!O817</f>
        <v>0</v>
      </c>
      <c r="P818" s="15">
        <f>IF(O818="Fire Control",VLOOKUP(_xlfn.MINIFS('FIRE CONTROL'!$C$4:$C$37,'FIRE CONTROL'!$C$4:$C$37,"&gt;="&amp;M818),'FIRE CONTROL'!$C$4:$G$37,IF(L818="F-15",2,IF(L818="F-30",3,IF(L818="F-60",4,IF(L818="F-90",5,0)))),0),0)+IF(AND(O818="FIRE TEX 5062",OR(E818="IN",E818="C",E818="Z",E818="L"),J818=3),VLOOKUP(_xlfn.MINIFS('FIRE TEX 5062'!$B$4:$B$34,'FIRE TEX 5062'!$B$4:$B$34,"&gt;="&amp;M818),'FIRE TEX 5062'!$B$4:$F$34,IF(L818="F-15",2,IF(L818="F-30",3,IF(L818="F-60",4,IF(L818="F-90",5,0)))),0),0)+IF(AND(O818="FIRE TEX 5062",OR(E818="IN",E818="C",E818="Z",E818="L"),J818=4),VLOOKUP(_xlfn.MINIFS('FIRE TEX 5062'!$G$4:$G$34,'FIRE TEX 5062'!$G$4:$G$34,"&gt;="&amp;M818),'FIRE TEX 5062'!$G$4:$K$34,IF(L818="F-15",2,IF(L818="F-30",3,IF(L818="F-60",4,IF(L818="F-90",5,0)))),0),0)+IF(AND(O818="FIRE TEX 5062",E818="CJ",J818=3),VLOOKUP(_xlfn.MINIFS('FIRE TEX 5062'!$L$4:$L$34,'FIRE TEX 5062'!$L$4:$L$34,"&gt;="&amp;M818),'FIRE TEX 5062'!$L$4:$P$34,IF(L818="F-15",2,IF(L818="F-30",3,IF(L818="F-60",4,IF(L818="F-90",5,0)))),0),0)+IF(AND(O818="FIRE TEX 5062",E818="CJ",J818=4),VLOOKUP(_xlfn.MINIFS('FIRE TEX 5062'!$Q$3:$Q$34,'FIRE TEX 5062'!$Q$3:$Q$34,"&gt;="&amp;M818),'FIRE TEX 5062'!$Q$3:$U$34,IF(L818="F-15",2,IF(L818="F-30",3,IF(L818="F-60",4,IF(L818="F-90",5,0)))),0),0)+IF(AND(O818="FIRE TEX 5090",OR(E818="IN",E818="C",E818="Z",E818="L"),J818=3),VLOOKUP(_xlfn.MINIFS('FIRE TEX 5090'!$B$5:$B$43,'FIRE TEX 5090'!$B$5:$B$43,"&gt;="&amp;M818),'FIRE TEX 5090'!$B$5:$H$43,IF(L818="F-15",2,IF(L818="F-30",3,IF(L818="F-60",4,IF(L818="F-90",5,IF(L818="F-120",6,IF(L818="F-150",7,0)))))),0),0)+IF(AND(O818="FIRE TEX 5090",OR(E818="IN",E818="C",E818="Z",E818="L"),J818=4),VLOOKUP(_xlfn.MINIFS('FIRE TEX 5090'!$J$5:$J$43,'FIRE TEX 5090'!$J$5:$J$43,"&gt;="&amp;M818),'FIRE TEX 5090'!$J$5:$P$43,IF(L818="F-15",2,IF(L818="F-30",3,IF(L818="F-60",4,IF(L818="F-90",5,IF(L818="F-120",6,IF(L818="F-150",7,0)))))),0),0)+IF(AND(O818="FIRE TEX 5090",E818="CJ",J818=3),VLOOKUP(_xlfn.MINIFS('FIRE TEX 5090'!$R$5:$R$30,'FIRE TEX 5090'!$R$5:$R$30,"&gt;="&amp;M818),'FIRE TEX 5090'!$R$5:$W$30,IF(L818="F-15",2,IF(L818="F-30",3,IF(L818="F-60",4,IF(L818="F-90",5,IF(L818="F-120",6,IF(L818="F-150",7,0)))))),0),0)+IF(AND(O818="FIRE TEX 5090",E818="CJ",J818=4),VLOOKUP(_xlfn.MINIFS('FIRE TEX 5090'!$Y$5:$Y$39,'FIRE TEX 5090'!$Y$5:$Y$39,"&gt;="&amp;M818),'FIRE TEX 5090'!$Y$5:$AD$39,IF(L818="F-15",2,IF(L818="F-30",3,IF(L818="F-60",4,IF(L818="F-90",5,IF(L818="F-120",6,IF(L818="F-150",7,0)))))),0),0)+IF(AND(O818="FIRE TEX 5120",OR(E818="IN",E818="C",E818="Z",E818="L"),J818=3),VLOOKUP(_xlfn.MINIFS('FIRE TEX 5120'!$B$5:$B$40,'FIRE TEX 5120'!$B$5:$B$40,"&gt;="&amp;M818),'FIRE TEX 5120'!$B$5:$G$40,IF(L818="F-15",2,IF(L818="F-30",3,IF(L818="F-60",4,IF(L818="F-90",5,IF(L818="F-120",6,0))))),0),0)+IF(AND(O818="FIRE TEX 5120",OR(E818="IN",E818="C",E818="Z",E818="L"),J818=4),VLOOKUP(_xlfn.MINIFS('FIRE TEX 5120'!$H$4:$H$40,'FIRE TEX 5120'!$H$4:$H$40,"&gt;="&amp;M818),'FIRE TEX 5120'!$H$4:$M$40,IF(L818="F-15",2,IF(L818="F-30",3,IF(L818="F-60",4,IF(L818="F-90",5,IF(L818="F-120",6,0))))),0),0)+IF(AND(O818="FIRE TEX 5120",E818="CJ"),VLOOKUP(_xlfn.MINIFS('FIRE TEX 5120'!$O$5:$O$40,'FIRE TEX 5120'!$O$5:$O$40,"&gt;="&amp;M818),'FIRE TEX 5120'!$O$5:$T$40,IF(L818="F-15",2,IF(L818="F-30",3,IF(L818="F-60",4,IF(L818="F-90",5,IF(L818="F-120",6,0))))),0),0)</f>
        <v>0</v>
      </c>
      <c r="Q818" s="46">
        <f t="shared" si="84"/>
        <v>0</v>
      </c>
      <c r="R818" s="46">
        <f t="shared" si="85"/>
        <v>0</v>
      </c>
      <c r="S818" s="46" t="e">
        <f t="shared" si="86"/>
        <v>#VALUE!</v>
      </c>
      <c r="T818" s="677">
        <f t="shared" si="87"/>
        <v>0</v>
      </c>
      <c r="U818" s="80">
        <f>(IF(O818="Stofire",(S818*#REF!),0))+(IF(O818="Fire Control",(S818*$U$2),0))+(IF(O818="Fire Tex",(S818*$U$3),0))+(IF(O818="WB7",(S818*#REF!),0)+(IF(O818="FX 2003",(S818*$U$5),0)))</f>
        <v>0</v>
      </c>
      <c r="V818" s="651">
        <f t="shared" si="88"/>
        <v>0</v>
      </c>
    </row>
    <row r="819" spans="4:22" x14ac:dyDescent="0.25">
      <c r="D819" s="118">
        <f>+CUBICACION!D818</f>
        <v>0</v>
      </c>
      <c r="E819" s="118">
        <f>+CUBICACION!F818</f>
        <v>0</v>
      </c>
      <c r="F819" s="118">
        <f>+CUBICACION!E818</f>
        <v>0</v>
      </c>
      <c r="G819" s="118">
        <v>12</v>
      </c>
      <c r="H819" s="118">
        <v>2</v>
      </c>
      <c r="I819" s="820">
        <v>26385</v>
      </c>
      <c r="J819" s="118">
        <f>+CUBICACION!J818</f>
        <v>0</v>
      </c>
      <c r="K819" s="118">
        <v>3598</v>
      </c>
      <c r="L819" s="118">
        <f>+CUBICACION!L818</f>
        <v>0</v>
      </c>
      <c r="M819" s="64">
        <f>+CUBICACION!M818</f>
        <v>0</v>
      </c>
      <c r="N819" s="824" t="str">
        <f>+CUBICACION!N818</f>
        <v/>
      </c>
      <c r="O819" s="675">
        <f>+CUBICACION!O818</f>
        <v>0</v>
      </c>
      <c r="P819" s="15">
        <f>IF(O819="Fire Control",VLOOKUP(_xlfn.MINIFS('FIRE CONTROL'!$C$4:$C$37,'FIRE CONTROL'!$C$4:$C$37,"&gt;="&amp;M819),'FIRE CONTROL'!$C$4:$G$37,IF(L819="F-15",2,IF(L819="F-30",3,IF(L819="F-60",4,IF(L819="F-90",5,0)))),0),0)+IF(AND(O819="FIRE TEX 5062",OR(E819="IN",E819="C",E819="Z",E819="L"),J819=3),VLOOKUP(_xlfn.MINIFS('FIRE TEX 5062'!$B$4:$B$34,'FIRE TEX 5062'!$B$4:$B$34,"&gt;="&amp;M819),'FIRE TEX 5062'!$B$4:$F$34,IF(L819="F-15",2,IF(L819="F-30",3,IF(L819="F-60",4,IF(L819="F-90",5,0)))),0),0)+IF(AND(O819="FIRE TEX 5062",OR(E819="IN",E819="C",E819="Z",E819="L"),J819=4),VLOOKUP(_xlfn.MINIFS('FIRE TEX 5062'!$G$4:$G$34,'FIRE TEX 5062'!$G$4:$G$34,"&gt;="&amp;M819),'FIRE TEX 5062'!$G$4:$K$34,IF(L819="F-15",2,IF(L819="F-30",3,IF(L819="F-60",4,IF(L819="F-90",5,0)))),0),0)+IF(AND(O819="FIRE TEX 5062",E819="CJ",J819=3),VLOOKUP(_xlfn.MINIFS('FIRE TEX 5062'!$L$4:$L$34,'FIRE TEX 5062'!$L$4:$L$34,"&gt;="&amp;M819),'FIRE TEX 5062'!$L$4:$P$34,IF(L819="F-15",2,IF(L819="F-30",3,IF(L819="F-60",4,IF(L819="F-90",5,0)))),0),0)+IF(AND(O819="FIRE TEX 5062",E819="CJ",J819=4),VLOOKUP(_xlfn.MINIFS('FIRE TEX 5062'!$Q$3:$Q$34,'FIRE TEX 5062'!$Q$3:$Q$34,"&gt;="&amp;M819),'FIRE TEX 5062'!$Q$3:$U$34,IF(L819="F-15",2,IF(L819="F-30",3,IF(L819="F-60",4,IF(L819="F-90",5,0)))),0),0)+IF(AND(O819="FIRE TEX 5090",OR(E819="IN",E819="C",E819="Z",E819="L"),J819=3),VLOOKUP(_xlfn.MINIFS('FIRE TEX 5090'!$B$5:$B$43,'FIRE TEX 5090'!$B$5:$B$43,"&gt;="&amp;M819),'FIRE TEX 5090'!$B$5:$H$43,IF(L819="F-15",2,IF(L819="F-30",3,IF(L819="F-60",4,IF(L819="F-90",5,IF(L819="F-120",6,IF(L819="F-150",7,0)))))),0),0)+IF(AND(O819="FIRE TEX 5090",OR(E819="IN",E819="C",E819="Z",E819="L"),J819=4),VLOOKUP(_xlfn.MINIFS('FIRE TEX 5090'!$J$5:$J$43,'FIRE TEX 5090'!$J$5:$J$43,"&gt;="&amp;M819),'FIRE TEX 5090'!$J$5:$P$43,IF(L819="F-15",2,IF(L819="F-30",3,IF(L819="F-60",4,IF(L819="F-90",5,IF(L819="F-120",6,IF(L819="F-150",7,0)))))),0),0)+IF(AND(O819="FIRE TEX 5090",E819="CJ",J819=3),VLOOKUP(_xlfn.MINIFS('FIRE TEX 5090'!$R$5:$R$30,'FIRE TEX 5090'!$R$5:$R$30,"&gt;="&amp;M819),'FIRE TEX 5090'!$R$5:$W$30,IF(L819="F-15",2,IF(L819="F-30",3,IF(L819="F-60",4,IF(L819="F-90",5,IF(L819="F-120",6,IF(L819="F-150",7,0)))))),0),0)+IF(AND(O819="FIRE TEX 5090",E819="CJ",J819=4),VLOOKUP(_xlfn.MINIFS('FIRE TEX 5090'!$Y$5:$Y$39,'FIRE TEX 5090'!$Y$5:$Y$39,"&gt;="&amp;M819),'FIRE TEX 5090'!$Y$5:$AD$39,IF(L819="F-15",2,IF(L819="F-30",3,IF(L819="F-60",4,IF(L819="F-90",5,IF(L819="F-120",6,IF(L819="F-150",7,0)))))),0),0)+IF(AND(O819="FIRE TEX 5120",OR(E819="IN",E819="C",E819="Z",E819="L"),J819=3),VLOOKUP(_xlfn.MINIFS('FIRE TEX 5120'!$B$5:$B$40,'FIRE TEX 5120'!$B$5:$B$40,"&gt;="&amp;M819),'FIRE TEX 5120'!$B$5:$G$40,IF(L819="F-15",2,IF(L819="F-30",3,IF(L819="F-60",4,IF(L819="F-90",5,IF(L819="F-120",6,0))))),0),0)+IF(AND(O819="FIRE TEX 5120",OR(E819="IN",E819="C",E819="Z",E819="L"),J819=4),VLOOKUP(_xlfn.MINIFS('FIRE TEX 5120'!$H$4:$H$40,'FIRE TEX 5120'!$H$4:$H$40,"&gt;="&amp;M819),'FIRE TEX 5120'!$H$4:$M$40,IF(L819="F-15",2,IF(L819="F-30",3,IF(L819="F-60",4,IF(L819="F-90",5,IF(L819="F-120",6,0))))),0),0)+IF(AND(O819="FIRE TEX 5120",E819="CJ"),VLOOKUP(_xlfn.MINIFS('FIRE TEX 5120'!$O$5:$O$40,'FIRE TEX 5120'!$O$5:$O$40,"&gt;="&amp;M819),'FIRE TEX 5120'!$O$5:$T$40,IF(L819="F-15",2,IF(L819="F-30",3,IF(L819="F-60",4,IF(L819="F-90",5,IF(L819="F-120",6,0))))),0),0)</f>
        <v>0</v>
      </c>
      <c r="Q819" s="46">
        <f t="shared" si="84"/>
        <v>0</v>
      </c>
      <c r="R819" s="46">
        <f t="shared" si="85"/>
        <v>0</v>
      </c>
      <c r="S819" s="46" t="e">
        <f t="shared" si="86"/>
        <v>#VALUE!</v>
      </c>
      <c r="T819" s="677">
        <f t="shared" si="87"/>
        <v>0</v>
      </c>
      <c r="U819" s="80">
        <f>(IF(O819="Stofire",(S819*#REF!),0))+(IF(O819="Fire Control",(S819*$U$2),0))+(IF(O819="Fire Tex",(S819*$U$3),0))+(IF(O819="WB7",(S819*#REF!),0)+(IF(O819="FX 2003",(S819*$U$5),0)))</f>
        <v>0</v>
      </c>
      <c r="V819" s="651">
        <f t="shared" si="88"/>
        <v>0</v>
      </c>
    </row>
    <row r="820" spans="4:22" x14ac:dyDescent="0.25">
      <c r="D820" s="118">
        <f>+CUBICACION!D819</f>
        <v>0</v>
      </c>
      <c r="E820" s="118">
        <f>+CUBICACION!F819</f>
        <v>0</v>
      </c>
      <c r="F820" s="118">
        <f>+CUBICACION!E819</f>
        <v>0</v>
      </c>
      <c r="G820" s="118">
        <v>12</v>
      </c>
      <c r="H820" s="118">
        <v>2</v>
      </c>
      <c r="I820" s="820">
        <v>26385</v>
      </c>
      <c r="J820" s="118">
        <f>+CUBICACION!J819</f>
        <v>0</v>
      </c>
      <c r="K820" s="118">
        <v>3599</v>
      </c>
      <c r="L820" s="118">
        <f>+CUBICACION!L819</f>
        <v>0</v>
      </c>
      <c r="M820" s="64">
        <f>+CUBICACION!M819</f>
        <v>0</v>
      </c>
      <c r="N820" s="824" t="str">
        <f>+CUBICACION!N819</f>
        <v/>
      </c>
      <c r="O820" s="675">
        <f>+CUBICACION!O819</f>
        <v>0</v>
      </c>
      <c r="P820" s="15">
        <f>IF(O820="Fire Control",VLOOKUP(_xlfn.MINIFS('FIRE CONTROL'!$C$4:$C$37,'FIRE CONTROL'!$C$4:$C$37,"&gt;="&amp;M820),'FIRE CONTROL'!$C$4:$G$37,IF(L820="F-15",2,IF(L820="F-30",3,IF(L820="F-60",4,IF(L820="F-90",5,0)))),0),0)+IF(AND(O820="FIRE TEX 5062",OR(E820="IN",E820="C",E820="Z",E820="L"),J820=3),VLOOKUP(_xlfn.MINIFS('FIRE TEX 5062'!$B$4:$B$34,'FIRE TEX 5062'!$B$4:$B$34,"&gt;="&amp;M820),'FIRE TEX 5062'!$B$4:$F$34,IF(L820="F-15",2,IF(L820="F-30",3,IF(L820="F-60",4,IF(L820="F-90",5,0)))),0),0)+IF(AND(O820="FIRE TEX 5062",OR(E820="IN",E820="C",E820="Z",E820="L"),J820=4),VLOOKUP(_xlfn.MINIFS('FIRE TEX 5062'!$G$4:$G$34,'FIRE TEX 5062'!$G$4:$G$34,"&gt;="&amp;M820),'FIRE TEX 5062'!$G$4:$K$34,IF(L820="F-15",2,IF(L820="F-30",3,IF(L820="F-60",4,IF(L820="F-90",5,0)))),0),0)+IF(AND(O820="FIRE TEX 5062",E820="CJ",J820=3),VLOOKUP(_xlfn.MINIFS('FIRE TEX 5062'!$L$4:$L$34,'FIRE TEX 5062'!$L$4:$L$34,"&gt;="&amp;M820),'FIRE TEX 5062'!$L$4:$P$34,IF(L820="F-15",2,IF(L820="F-30",3,IF(L820="F-60",4,IF(L820="F-90",5,0)))),0),0)+IF(AND(O820="FIRE TEX 5062",E820="CJ",J820=4),VLOOKUP(_xlfn.MINIFS('FIRE TEX 5062'!$Q$3:$Q$34,'FIRE TEX 5062'!$Q$3:$Q$34,"&gt;="&amp;M820),'FIRE TEX 5062'!$Q$3:$U$34,IF(L820="F-15",2,IF(L820="F-30",3,IF(L820="F-60",4,IF(L820="F-90",5,0)))),0),0)+IF(AND(O820="FIRE TEX 5090",OR(E820="IN",E820="C",E820="Z",E820="L"),J820=3),VLOOKUP(_xlfn.MINIFS('FIRE TEX 5090'!$B$5:$B$43,'FIRE TEX 5090'!$B$5:$B$43,"&gt;="&amp;M820),'FIRE TEX 5090'!$B$5:$H$43,IF(L820="F-15",2,IF(L820="F-30",3,IF(L820="F-60",4,IF(L820="F-90",5,IF(L820="F-120",6,IF(L820="F-150",7,0)))))),0),0)+IF(AND(O820="FIRE TEX 5090",OR(E820="IN",E820="C",E820="Z",E820="L"),J820=4),VLOOKUP(_xlfn.MINIFS('FIRE TEX 5090'!$J$5:$J$43,'FIRE TEX 5090'!$J$5:$J$43,"&gt;="&amp;M820),'FIRE TEX 5090'!$J$5:$P$43,IF(L820="F-15",2,IF(L820="F-30",3,IF(L820="F-60",4,IF(L820="F-90",5,IF(L820="F-120",6,IF(L820="F-150",7,0)))))),0),0)+IF(AND(O820="FIRE TEX 5090",E820="CJ",J820=3),VLOOKUP(_xlfn.MINIFS('FIRE TEX 5090'!$R$5:$R$30,'FIRE TEX 5090'!$R$5:$R$30,"&gt;="&amp;M820),'FIRE TEX 5090'!$R$5:$W$30,IF(L820="F-15",2,IF(L820="F-30",3,IF(L820="F-60",4,IF(L820="F-90",5,IF(L820="F-120",6,IF(L820="F-150",7,0)))))),0),0)+IF(AND(O820="FIRE TEX 5090",E820="CJ",J820=4),VLOOKUP(_xlfn.MINIFS('FIRE TEX 5090'!$Y$5:$Y$39,'FIRE TEX 5090'!$Y$5:$Y$39,"&gt;="&amp;M820),'FIRE TEX 5090'!$Y$5:$AD$39,IF(L820="F-15",2,IF(L820="F-30",3,IF(L820="F-60",4,IF(L820="F-90",5,IF(L820="F-120",6,IF(L820="F-150",7,0)))))),0),0)+IF(AND(O820="FIRE TEX 5120",OR(E820="IN",E820="C",E820="Z",E820="L"),J820=3),VLOOKUP(_xlfn.MINIFS('FIRE TEX 5120'!$B$5:$B$40,'FIRE TEX 5120'!$B$5:$B$40,"&gt;="&amp;M820),'FIRE TEX 5120'!$B$5:$G$40,IF(L820="F-15",2,IF(L820="F-30",3,IF(L820="F-60",4,IF(L820="F-90",5,IF(L820="F-120",6,0))))),0),0)+IF(AND(O820="FIRE TEX 5120",OR(E820="IN",E820="C",E820="Z",E820="L"),J820=4),VLOOKUP(_xlfn.MINIFS('FIRE TEX 5120'!$H$4:$H$40,'FIRE TEX 5120'!$H$4:$H$40,"&gt;="&amp;M820),'FIRE TEX 5120'!$H$4:$M$40,IF(L820="F-15",2,IF(L820="F-30",3,IF(L820="F-60",4,IF(L820="F-90",5,IF(L820="F-120",6,0))))),0),0)+IF(AND(O820="FIRE TEX 5120",E820="CJ"),VLOOKUP(_xlfn.MINIFS('FIRE TEX 5120'!$O$5:$O$40,'FIRE TEX 5120'!$O$5:$O$40,"&gt;="&amp;M820),'FIRE TEX 5120'!$O$5:$T$40,IF(L820="F-15",2,IF(L820="F-30",3,IF(L820="F-60",4,IF(L820="F-90",5,IF(L820="F-120",6,0))))),0),0)</f>
        <v>0</v>
      </c>
      <c r="Q820" s="46">
        <f t="shared" si="84"/>
        <v>0</v>
      </c>
      <c r="R820" s="46">
        <f t="shared" si="85"/>
        <v>0</v>
      </c>
      <c r="S820" s="46" t="e">
        <f t="shared" si="86"/>
        <v>#VALUE!</v>
      </c>
      <c r="T820" s="677">
        <f t="shared" si="87"/>
        <v>0</v>
      </c>
      <c r="U820" s="80">
        <f>(IF(O820="Stofire",(S820*#REF!),0))+(IF(O820="Fire Control",(S820*$U$2),0))+(IF(O820="Fire Tex",(S820*$U$3),0))+(IF(O820="WB7",(S820*#REF!),0)+(IF(O820="FX 2003",(S820*$U$5),0)))</f>
        <v>0</v>
      </c>
      <c r="V820" s="651">
        <f t="shared" si="88"/>
        <v>0</v>
      </c>
    </row>
    <row r="821" spans="4:22" x14ac:dyDescent="0.25">
      <c r="D821" s="118">
        <f>+CUBICACION!D820</f>
        <v>0</v>
      </c>
      <c r="E821" s="118">
        <f>+CUBICACION!F820</f>
        <v>0</v>
      </c>
      <c r="F821" s="118">
        <f>+CUBICACION!E820</f>
        <v>0</v>
      </c>
      <c r="G821" s="118">
        <v>12</v>
      </c>
      <c r="H821" s="118">
        <v>2</v>
      </c>
      <c r="I821" s="820">
        <v>26385</v>
      </c>
      <c r="J821" s="118">
        <f>+CUBICACION!J820</f>
        <v>0</v>
      </c>
      <c r="K821" s="118">
        <v>3600</v>
      </c>
      <c r="L821" s="118">
        <f>+CUBICACION!L820</f>
        <v>0</v>
      </c>
      <c r="M821" s="64">
        <f>+CUBICACION!M820</f>
        <v>0</v>
      </c>
      <c r="N821" s="824" t="str">
        <f>+CUBICACION!N820</f>
        <v/>
      </c>
      <c r="O821" s="675">
        <f>+CUBICACION!O820</f>
        <v>0</v>
      </c>
      <c r="P821" s="15">
        <f>IF(O821="Fire Control",VLOOKUP(_xlfn.MINIFS('FIRE CONTROL'!$C$4:$C$37,'FIRE CONTROL'!$C$4:$C$37,"&gt;="&amp;M821),'FIRE CONTROL'!$C$4:$G$37,IF(L821="F-15",2,IF(L821="F-30",3,IF(L821="F-60",4,IF(L821="F-90",5,0)))),0),0)+IF(AND(O821="FIRE TEX 5062",OR(E821="IN",E821="C",E821="Z",E821="L"),J821=3),VLOOKUP(_xlfn.MINIFS('FIRE TEX 5062'!$B$4:$B$34,'FIRE TEX 5062'!$B$4:$B$34,"&gt;="&amp;M821),'FIRE TEX 5062'!$B$4:$F$34,IF(L821="F-15",2,IF(L821="F-30",3,IF(L821="F-60",4,IF(L821="F-90",5,0)))),0),0)+IF(AND(O821="FIRE TEX 5062",OR(E821="IN",E821="C",E821="Z",E821="L"),J821=4),VLOOKUP(_xlfn.MINIFS('FIRE TEX 5062'!$G$4:$G$34,'FIRE TEX 5062'!$G$4:$G$34,"&gt;="&amp;M821),'FIRE TEX 5062'!$G$4:$K$34,IF(L821="F-15",2,IF(L821="F-30",3,IF(L821="F-60",4,IF(L821="F-90",5,0)))),0),0)+IF(AND(O821="FIRE TEX 5062",E821="CJ",J821=3),VLOOKUP(_xlfn.MINIFS('FIRE TEX 5062'!$L$4:$L$34,'FIRE TEX 5062'!$L$4:$L$34,"&gt;="&amp;M821),'FIRE TEX 5062'!$L$4:$P$34,IF(L821="F-15",2,IF(L821="F-30",3,IF(L821="F-60",4,IF(L821="F-90",5,0)))),0),0)+IF(AND(O821="FIRE TEX 5062",E821="CJ",J821=4),VLOOKUP(_xlfn.MINIFS('FIRE TEX 5062'!$Q$3:$Q$34,'FIRE TEX 5062'!$Q$3:$Q$34,"&gt;="&amp;M821),'FIRE TEX 5062'!$Q$3:$U$34,IF(L821="F-15",2,IF(L821="F-30",3,IF(L821="F-60",4,IF(L821="F-90",5,0)))),0),0)+IF(AND(O821="FIRE TEX 5090",OR(E821="IN",E821="C",E821="Z",E821="L"),J821=3),VLOOKUP(_xlfn.MINIFS('FIRE TEX 5090'!$B$5:$B$43,'FIRE TEX 5090'!$B$5:$B$43,"&gt;="&amp;M821),'FIRE TEX 5090'!$B$5:$H$43,IF(L821="F-15",2,IF(L821="F-30",3,IF(L821="F-60",4,IF(L821="F-90",5,IF(L821="F-120",6,IF(L821="F-150",7,0)))))),0),0)+IF(AND(O821="FIRE TEX 5090",OR(E821="IN",E821="C",E821="Z",E821="L"),J821=4),VLOOKUP(_xlfn.MINIFS('FIRE TEX 5090'!$J$5:$J$43,'FIRE TEX 5090'!$J$5:$J$43,"&gt;="&amp;M821),'FIRE TEX 5090'!$J$5:$P$43,IF(L821="F-15",2,IF(L821="F-30",3,IF(L821="F-60",4,IF(L821="F-90",5,IF(L821="F-120",6,IF(L821="F-150",7,0)))))),0),0)+IF(AND(O821="FIRE TEX 5090",E821="CJ",J821=3),VLOOKUP(_xlfn.MINIFS('FIRE TEX 5090'!$R$5:$R$30,'FIRE TEX 5090'!$R$5:$R$30,"&gt;="&amp;M821),'FIRE TEX 5090'!$R$5:$W$30,IF(L821="F-15",2,IF(L821="F-30",3,IF(L821="F-60",4,IF(L821="F-90",5,IF(L821="F-120",6,IF(L821="F-150",7,0)))))),0),0)+IF(AND(O821="FIRE TEX 5090",E821="CJ",J821=4),VLOOKUP(_xlfn.MINIFS('FIRE TEX 5090'!$Y$5:$Y$39,'FIRE TEX 5090'!$Y$5:$Y$39,"&gt;="&amp;M821),'FIRE TEX 5090'!$Y$5:$AD$39,IF(L821="F-15",2,IF(L821="F-30",3,IF(L821="F-60",4,IF(L821="F-90",5,IF(L821="F-120",6,IF(L821="F-150",7,0)))))),0),0)+IF(AND(O821="FIRE TEX 5120",OR(E821="IN",E821="C",E821="Z",E821="L"),J821=3),VLOOKUP(_xlfn.MINIFS('FIRE TEX 5120'!$B$5:$B$40,'FIRE TEX 5120'!$B$5:$B$40,"&gt;="&amp;M821),'FIRE TEX 5120'!$B$5:$G$40,IF(L821="F-15",2,IF(L821="F-30",3,IF(L821="F-60",4,IF(L821="F-90",5,IF(L821="F-120",6,0))))),0),0)+IF(AND(O821="FIRE TEX 5120",OR(E821="IN",E821="C",E821="Z",E821="L"),J821=4),VLOOKUP(_xlfn.MINIFS('FIRE TEX 5120'!$H$4:$H$40,'FIRE TEX 5120'!$H$4:$H$40,"&gt;="&amp;M821),'FIRE TEX 5120'!$H$4:$M$40,IF(L821="F-15",2,IF(L821="F-30",3,IF(L821="F-60",4,IF(L821="F-90",5,IF(L821="F-120",6,0))))),0),0)+IF(AND(O821="FIRE TEX 5120",E821="CJ"),VLOOKUP(_xlfn.MINIFS('FIRE TEX 5120'!$O$5:$O$40,'FIRE TEX 5120'!$O$5:$O$40,"&gt;="&amp;M821),'FIRE TEX 5120'!$O$5:$T$40,IF(L821="F-15",2,IF(L821="F-30",3,IF(L821="F-60",4,IF(L821="F-90",5,IF(L821="F-120",6,0))))),0),0)</f>
        <v>0</v>
      </c>
      <c r="Q821" s="46">
        <f t="shared" si="84"/>
        <v>0</v>
      </c>
      <c r="R821" s="46">
        <f t="shared" si="85"/>
        <v>0</v>
      </c>
      <c r="S821" s="46" t="e">
        <f t="shared" si="86"/>
        <v>#VALUE!</v>
      </c>
      <c r="T821" s="677">
        <f t="shared" si="87"/>
        <v>0</v>
      </c>
      <c r="U821" s="80">
        <f>(IF(O821="Stofire",(S821*#REF!),0))+(IF(O821="Fire Control",(S821*$U$2),0))+(IF(O821="Fire Tex",(S821*$U$3),0))+(IF(O821="WB7",(S821*#REF!),0)+(IF(O821="FX 2003",(S821*$U$5),0)))</f>
        <v>0</v>
      </c>
      <c r="V821" s="651">
        <f t="shared" si="88"/>
        <v>0</v>
      </c>
    </row>
    <row r="822" spans="4:22" x14ac:dyDescent="0.25">
      <c r="D822" s="118">
        <f>+CUBICACION!D821</f>
        <v>0</v>
      </c>
      <c r="E822" s="118">
        <f>+CUBICACION!F821</f>
        <v>0</v>
      </c>
      <c r="F822" s="118">
        <f>+CUBICACION!E821</f>
        <v>0</v>
      </c>
      <c r="G822" s="118">
        <v>12</v>
      </c>
      <c r="H822" s="118">
        <v>2</v>
      </c>
      <c r="I822" s="820">
        <v>26385</v>
      </c>
      <c r="J822" s="118">
        <f>+CUBICACION!J821</f>
        <v>0</v>
      </c>
      <c r="K822" s="118">
        <v>3601</v>
      </c>
      <c r="L822" s="118">
        <f>+CUBICACION!L821</f>
        <v>0</v>
      </c>
      <c r="M822" s="64">
        <f>+CUBICACION!M821</f>
        <v>0</v>
      </c>
      <c r="N822" s="824" t="str">
        <f>+CUBICACION!N821</f>
        <v/>
      </c>
      <c r="O822" s="675">
        <f>+CUBICACION!O821</f>
        <v>0</v>
      </c>
      <c r="P822" s="15">
        <f>IF(O822="Fire Control",VLOOKUP(_xlfn.MINIFS('FIRE CONTROL'!$C$4:$C$37,'FIRE CONTROL'!$C$4:$C$37,"&gt;="&amp;M822),'FIRE CONTROL'!$C$4:$G$37,IF(L822="F-15",2,IF(L822="F-30",3,IF(L822="F-60",4,IF(L822="F-90",5,0)))),0),0)+IF(AND(O822="FIRE TEX 5062",OR(E822="IN",E822="C",E822="Z",E822="L"),J822=3),VLOOKUP(_xlfn.MINIFS('FIRE TEX 5062'!$B$4:$B$34,'FIRE TEX 5062'!$B$4:$B$34,"&gt;="&amp;M822),'FIRE TEX 5062'!$B$4:$F$34,IF(L822="F-15",2,IF(L822="F-30",3,IF(L822="F-60",4,IF(L822="F-90",5,0)))),0),0)+IF(AND(O822="FIRE TEX 5062",OR(E822="IN",E822="C",E822="Z",E822="L"),J822=4),VLOOKUP(_xlfn.MINIFS('FIRE TEX 5062'!$G$4:$G$34,'FIRE TEX 5062'!$G$4:$G$34,"&gt;="&amp;M822),'FIRE TEX 5062'!$G$4:$K$34,IF(L822="F-15",2,IF(L822="F-30",3,IF(L822="F-60",4,IF(L822="F-90",5,0)))),0),0)+IF(AND(O822="FIRE TEX 5062",E822="CJ",J822=3),VLOOKUP(_xlfn.MINIFS('FIRE TEX 5062'!$L$4:$L$34,'FIRE TEX 5062'!$L$4:$L$34,"&gt;="&amp;M822),'FIRE TEX 5062'!$L$4:$P$34,IF(L822="F-15",2,IF(L822="F-30",3,IF(L822="F-60",4,IF(L822="F-90",5,0)))),0),0)+IF(AND(O822="FIRE TEX 5062",E822="CJ",J822=4),VLOOKUP(_xlfn.MINIFS('FIRE TEX 5062'!$Q$3:$Q$34,'FIRE TEX 5062'!$Q$3:$Q$34,"&gt;="&amp;M822),'FIRE TEX 5062'!$Q$3:$U$34,IF(L822="F-15",2,IF(L822="F-30",3,IF(L822="F-60",4,IF(L822="F-90",5,0)))),0),0)+IF(AND(O822="FIRE TEX 5090",OR(E822="IN",E822="C",E822="Z",E822="L"),J822=3),VLOOKUP(_xlfn.MINIFS('FIRE TEX 5090'!$B$5:$B$43,'FIRE TEX 5090'!$B$5:$B$43,"&gt;="&amp;M822),'FIRE TEX 5090'!$B$5:$H$43,IF(L822="F-15",2,IF(L822="F-30",3,IF(L822="F-60",4,IF(L822="F-90",5,IF(L822="F-120",6,IF(L822="F-150",7,0)))))),0),0)+IF(AND(O822="FIRE TEX 5090",OR(E822="IN",E822="C",E822="Z",E822="L"),J822=4),VLOOKUP(_xlfn.MINIFS('FIRE TEX 5090'!$J$5:$J$43,'FIRE TEX 5090'!$J$5:$J$43,"&gt;="&amp;M822),'FIRE TEX 5090'!$J$5:$P$43,IF(L822="F-15",2,IF(L822="F-30",3,IF(L822="F-60",4,IF(L822="F-90",5,IF(L822="F-120",6,IF(L822="F-150",7,0)))))),0),0)+IF(AND(O822="FIRE TEX 5090",E822="CJ",J822=3),VLOOKUP(_xlfn.MINIFS('FIRE TEX 5090'!$R$5:$R$30,'FIRE TEX 5090'!$R$5:$R$30,"&gt;="&amp;M822),'FIRE TEX 5090'!$R$5:$W$30,IF(L822="F-15",2,IF(L822="F-30",3,IF(L822="F-60",4,IF(L822="F-90",5,IF(L822="F-120",6,IF(L822="F-150",7,0)))))),0),0)+IF(AND(O822="FIRE TEX 5090",E822="CJ",J822=4),VLOOKUP(_xlfn.MINIFS('FIRE TEX 5090'!$Y$5:$Y$39,'FIRE TEX 5090'!$Y$5:$Y$39,"&gt;="&amp;M822),'FIRE TEX 5090'!$Y$5:$AD$39,IF(L822="F-15",2,IF(L822="F-30",3,IF(L822="F-60",4,IF(L822="F-90",5,IF(L822="F-120",6,IF(L822="F-150",7,0)))))),0),0)+IF(AND(O822="FIRE TEX 5120",OR(E822="IN",E822="C",E822="Z",E822="L"),J822=3),VLOOKUP(_xlfn.MINIFS('FIRE TEX 5120'!$B$5:$B$40,'FIRE TEX 5120'!$B$5:$B$40,"&gt;="&amp;M822),'FIRE TEX 5120'!$B$5:$G$40,IF(L822="F-15",2,IF(L822="F-30",3,IF(L822="F-60",4,IF(L822="F-90",5,IF(L822="F-120",6,0))))),0),0)+IF(AND(O822="FIRE TEX 5120",OR(E822="IN",E822="C",E822="Z",E822="L"),J822=4),VLOOKUP(_xlfn.MINIFS('FIRE TEX 5120'!$H$4:$H$40,'FIRE TEX 5120'!$H$4:$H$40,"&gt;="&amp;M822),'FIRE TEX 5120'!$H$4:$M$40,IF(L822="F-15",2,IF(L822="F-30",3,IF(L822="F-60",4,IF(L822="F-90",5,IF(L822="F-120",6,0))))),0),0)+IF(AND(O822="FIRE TEX 5120",E822="CJ"),VLOOKUP(_xlfn.MINIFS('FIRE TEX 5120'!$O$5:$O$40,'FIRE TEX 5120'!$O$5:$O$40,"&gt;="&amp;M822),'FIRE TEX 5120'!$O$5:$T$40,IF(L822="F-15",2,IF(L822="F-30",3,IF(L822="F-60",4,IF(L822="F-90",5,IF(L822="F-120",6,0))))),0),0)</f>
        <v>0</v>
      </c>
      <c r="Q822" s="46">
        <f t="shared" si="84"/>
        <v>0</v>
      </c>
      <c r="R822" s="46">
        <f t="shared" si="85"/>
        <v>0</v>
      </c>
      <c r="S822" s="46" t="e">
        <f t="shared" si="86"/>
        <v>#VALUE!</v>
      </c>
      <c r="T822" s="677">
        <f t="shared" si="87"/>
        <v>0</v>
      </c>
      <c r="U822" s="80">
        <f>(IF(O822="Stofire",(S822*#REF!),0))+(IF(O822="Fire Control",(S822*$U$2),0))+(IF(O822="Fire Tex",(S822*$U$3),0))+(IF(O822="WB7",(S822*#REF!),0)+(IF(O822="FX 2003",(S822*$U$5),0)))</f>
        <v>0</v>
      </c>
      <c r="V822" s="651">
        <f t="shared" si="88"/>
        <v>0</v>
      </c>
    </row>
    <row r="823" spans="4:22" x14ac:dyDescent="0.25">
      <c r="D823" s="118">
        <f>+CUBICACION!D822</f>
        <v>0</v>
      </c>
      <c r="E823" s="118">
        <f>+CUBICACION!F822</f>
        <v>0</v>
      </c>
      <c r="F823" s="118">
        <f>+CUBICACION!E822</f>
        <v>0</v>
      </c>
      <c r="G823" s="118">
        <v>12</v>
      </c>
      <c r="H823" s="118">
        <v>2</v>
      </c>
      <c r="I823" s="820">
        <v>26385</v>
      </c>
      <c r="J823" s="118">
        <f>+CUBICACION!J822</f>
        <v>0</v>
      </c>
      <c r="K823" s="118">
        <v>3602</v>
      </c>
      <c r="L823" s="118">
        <f>+CUBICACION!L822</f>
        <v>0</v>
      </c>
      <c r="M823" s="64">
        <f>+CUBICACION!M822</f>
        <v>0</v>
      </c>
      <c r="N823" s="824" t="str">
        <f>+CUBICACION!N822</f>
        <v/>
      </c>
      <c r="O823" s="675">
        <f>+CUBICACION!O822</f>
        <v>0</v>
      </c>
      <c r="P823" s="15">
        <f>IF(O823="Fire Control",VLOOKUP(_xlfn.MINIFS('FIRE CONTROL'!$C$4:$C$37,'FIRE CONTROL'!$C$4:$C$37,"&gt;="&amp;M823),'FIRE CONTROL'!$C$4:$G$37,IF(L823="F-15",2,IF(L823="F-30",3,IF(L823="F-60",4,IF(L823="F-90",5,0)))),0),0)+IF(AND(O823="FIRE TEX 5062",OR(E823="IN",E823="C",E823="Z",E823="L"),J823=3),VLOOKUP(_xlfn.MINIFS('FIRE TEX 5062'!$B$4:$B$34,'FIRE TEX 5062'!$B$4:$B$34,"&gt;="&amp;M823),'FIRE TEX 5062'!$B$4:$F$34,IF(L823="F-15",2,IF(L823="F-30",3,IF(L823="F-60",4,IF(L823="F-90",5,0)))),0),0)+IF(AND(O823="FIRE TEX 5062",OR(E823="IN",E823="C",E823="Z",E823="L"),J823=4),VLOOKUP(_xlfn.MINIFS('FIRE TEX 5062'!$G$4:$G$34,'FIRE TEX 5062'!$G$4:$G$34,"&gt;="&amp;M823),'FIRE TEX 5062'!$G$4:$K$34,IF(L823="F-15",2,IF(L823="F-30",3,IF(L823="F-60",4,IF(L823="F-90",5,0)))),0),0)+IF(AND(O823="FIRE TEX 5062",E823="CJ",J823=3),VLOOKUP(_xlfn.MINIFS('FIRE TEX 5062'!$L$4:$L$34,'FIRE TEX 5062'!$L$4:$L$34,"&gt;="&amp;M823),'FIRE TEX 5062'!$L$4:$P$34,IF(L823="F-15",2,IF(L823="F-30",3,IF(L823="F-60",4,IF(L823="F-90",5,0)))),0),0)+IF(AND(O823="FIRE TEX 5062",E823="CJ",J823=4),VLOOKUP(_xlfn.MINIFS('FIRE TEX 5062'!$Q$3:$Q$34,'FIRE TEX 5062'!$Q$3:$Q$34,"&gt;="&amp;M823),'FIRE TEX 5062'!$Q$3:$U$34,IF(L823="F-15",2,IF(L823="F-30",3,IF(L823="F-60",4,IF(L823="F-90",5,0)))),0),0)+IF(AND(O823="FIRE TEX 5090",OR(E823="IN",E823="C",E823="Z",E823="L"),J823=3),VLOOKUP(_xlfn.MINIFS('FIRE TEX 5090'!$B$5:$B$43,'FIRE TEX 5090'!$B$5:$B$43,"&gt;="&amp;M823),'FIRE TEX 5090'!$B$5:$H$43,IF(L823="F-15",2,IF(L823="F-30",3,IF(L823="F-60",4,IF(L823="F-90",5,IF(L823="F-120",6,IF(L823="F-150",7,0)))))),0),0)+IF(AND(O823="FIRE TEX 5090",OR(E823="IN",E823="C",E823="Z",E823="L"),J823=4),VLOOKUP(_xlfn.MINIFS('FIRE TEX 5090'!$J$5:$J$43,'FIRE TEX 5090'!$J$5:$J$43,"&gt;="&amp;M823),'FIRE TEX 5090'!$J$5:$P$43,IF(L823="F-15",2,IF(L823="F-30",3,IF(L823="F-60",4,IF(L823="F-90",5,IF(L823="F-120",6,IF(L823="F-150",7,0)))))),0),0)+IF(AND(O823="FIRE TEX 5090",E823="CJ",J823=3),VLOOKUP(_xlfn.MINIFS('FIRE TEX 5090'!$R$5:$R$30,'FIRE TEX 5090'!$R$5:$R$30,"&gt;="&amp;M823),'FIRE TEX 5090'!$R$5:$W$30,IF(L823="F-15",2,IF(L823="F-30",3,IF(L823="F-60",4,IF(L823="F-90",5,IF(L823="F-120",6,IF(L823="F-150",7,0)))))),0),0)+IF(AND(O823="FIRE TEX 5090",E823="CJ",J823=4),VLOOKUP(_xlfn.MINIFS('FIRE TEX 5090'!$Y$5:$Y$39,'FIRE TEX 5090'!$Y$5:$Y$39,"&gt;="&amp;M823),'FIRE TEX 5090'!$Y$5:$AD$39,IF(L823="F-15",2,IF(L823="F-30",3,IF(L823="F-60",4,IF(L823="F-90",5,IF(L823="F-120",6,IF(L823="F-150",7,0)))))),0),0)+IF(AND(O823="FIRE TEX 5120",OR(E823="IN",E823="C",E823="Z",E823="L"),J823=3),VLOOKUP(_xlfn.MINIFS('FIRE TEX 5120'!$B$5:$B$40,'FIRE TEX 5120'!$B$5:$B$40,"&gt;="&amp;M823),'FIRE TEX 5120'!$B$5:$G$40,IF(L823="F-15",2,IF(L823="F-30",3,IF(L823="F-60",4,IF(L823="F-90",5,IF(L823="F-120",6,0))))),0),0)+IF(AND(O823="FIRE TEX 5120",OR(E823="IN",E823="C",E823="Z",E823="L"),J823=4),VLOOKUP(_xlfn.MINIFS('FIRE TEX 5120'!$H$4:$H$40,'FIRE TEX 5120'!$H$4:$H$40,"&gt;="&amp;M823),'FIRE TEX 5120'!$H$4:$M$40,IF(L823="F-15",2,IF(L823="F-30",3,IF(L823="F-60",4,IF(L823="F-90",5,IF(L823="F-120",6,0))))),0),0)+IF(AND(O823="FIRE TEX 5120",E823="CJ"),VLOOKUP(_xlfn.MINIFS('FIRE TEX 5120'!$O$5:$O$40,'FIRE TEX 5120'!$O$5:$O$40,"&gt;="&amp;M823),'FIRE TEX 5120'!$O$5:$T$40,IF(L823="F-15",2,IF(L823="F-30",3,IF(L823="F-60",4,IF(L823="F-90",5,IF(L823="F-120",6,0))))),0),0)</f>
        <v>0</v>
      </c>
      <c r="Q823" s="46">
        <f t="shared" si="84"/>
        <v>0</v>
      </c>
      <c r="R823" s="46">
        <f t="shared" si="85"/>
        <v>0</v>
      </c>
      <c r="S823" s="46" t="e">
        <f t="shared" si="86"/>
        <v>#VALUE!</v>
      </c>
      <c r="T823" s="677">
        <f t="shared" si="87"/>
        <v>0</v>
      </c>
      <c r="U823" s="80">
        <f>(IF(O823="Stofire",(S823*#REF!),0))+(IF(O823="Fire Control",(S823*$U$2),0))+(IF(O823="Fire Tex",(S823*$U$3),0))+(IF(O823="WB7",(S823*#REF!),0)+(IF(O823="FX 2003",(S823*$U$5),0)))</f>
        <v>0</v>
      </c>
      <c r="V823" s="651">
        <f t="shared" si="88"/>
        <v>0</v>
      </c>
    </row>
    <row r="824" spans="4:22" x14ac:dyDescent="0.25">
      <c r="D824" s="118">
        <f>+CUBICACION!D823</f>
        <v>0</v>
      </c>
      <c r="E824" s="118">
        <f>+CUBICACION!F823</f>
        <v>0</v>
      </c>
      <c r="F824" s="118">
        <f>+CUBICACION!E823</f>
        <v>0</v>
      </c>
      <c r="G824" s="118">
        <v>12</v>
      </c>
      <c r="H824" s="118">
        <v>2</v>
      </c>
      <c r="I824" s="820">
        <v>26385</v>
      </c>
      <c r="J824" s="118">
        <f>+CUBICACION!J823</f>
        <v>0</v>
      </c>
      <c r="K824" s="118">
        <v>3603</v>
      </c>
      <c r="L824" s="118">
        <f>+CUBICACION!L823</f>
        <v>0</v>
      </c>
      <c r="M824" s="64">
        <f>+CUBICACION!M823</f>
        <v>0</v>
      </c>
      <c r="N824" s="824" t="str">
        <f>+CUBICACION!N823</f>
        <v/>
      </c>
      <c r="O824" s="675">
        <f>+CUBICACION!O823</f>
        <v>0</v>
      </c>
      <c r="P824" s="15">
        <f>IF(O824="Fire Control",VLOOKUP(_xlfn.MINIFS('FIRE CONTROL'!$C$4:$C$37,'FIRE CONTROL'!$C$4:$C$37,"&gt;="&amp;M824),'FIRE CONTROL'!$C$4:$G$37,IF(L824="F-15",2,IF(L824="F-30",3,IF(L824="F-60",4,IF(L824="F-90",5,0)))),0),0)+IF(AND(O824="FIRE TEX 5062",OR(E824="IN",E824="C",E824="Z",E824="L"),J824=3),VLOOKUP(_xlfn.MINIFS('FIRE TEX 5062'!$B$4:$B$34,'FIRE TEX 5062'!$B$4:$B$34,"&gt;="&amp;M824),'FIRE TEX 5062'!$B$4:$F$34,IF(L824="F-15",2,IF(L824="F-30",3,IF(L824="F-60",4,IF(L824="F-90",5,0)))),0),0)+IF(AND(O824="FIRE TEX 5062",OR(E824="IN",E824="C",E824="Z",E824="L"),J824=4),VLOOKUP(_xlfn.MINIFS('FIRE TEX 5062'!$G$4:$G$34,'FIRE TEX 5062'!$G$4:$G$34,"&gt;="&amp;M824),'FIRE TEX 5062'!$G$4:$K$34,IF(L824="F-15",2,IF(L824="F-30",3,IF(L824="F-60",4,IF(L824="F-90",5,0)))),0),0)+IF(AND(O824="FIRE TEX 5062",E824="CJ",J824=3),VLOOKUP(_xlfn.MINIFS('FIRE TEX 5062'!$L$4:$L$34,'FIRE TEX 5062'!$L$4:$L$34,"&gt;="&amp;M824),'FIRE TEX 5062'!$L$4:$P$34,IF(L824="F-15",2,IF(L824="F-30",3,IF(L824="F-60",4,IF(L824="F-90",5,0)))),0),0)+IF(AND(O824="FIRE TEX 5062",E824="CJ",J824=4),VLOOKUP(_xlfn.MINIFS('FIRE TEX 5062'!$Q$3:$Q$34,'FIRE TEX 5062'!$Q$3:$Q$34,"&gt;="&amp;M824),'FIRE TEX 5062'!$Q$3:$U$34,IF(L824="F-15",2,IF(L824="F-30",3,IF(L824="F-60",4,IF(L824="F-90",5,0)))),0),0)+IF(AND(O824="FIRE TEX 5090",OR(E824="IN",E824="C",E824="Z",E824="L"),J824=3),VLOOKUP(_xlfn.MINIFS('FIRE TEX 5090'!$B$5:$B$43,'FIRE TEX 5090'!$B$5:$B$43,"&gt;="&amp;M824),'FIRE TEX 5090'!$B$5:$H$43,IF(L824="F-15",2,IF(L824="F-30",3,IF(L824="F-60",4,IF(L824="F-90",5,IF(L824="F-120",6,IF(L824="F-150",7,0)))))),0),0)+IF(AND(O824="FIRE TEX 5090",OR(E824="IN",E824="C",E824="Z",E824="L"),J824=4),VLOOKUP(_xlfn.MINIFS('FIRE TEX 5090'!$J$5:$J$43,'FIRE TEX 5090'!$J$5:$J$43,"&gt;="&amp;M824),'FIRE TEX 5090'!$J$5:$P$43,IF(L824="F-15",2,IF(L824="F-30",3,IF(L824="F-60",4,IF(L824="F-90",5,IF(L824="F-120",6,IF(L824="F-150",7,0)))))),0),0)+IF(AND(O824="FIRE TEX 5090",E824="CJ",J824=3),VLOOKUP(_xlfn.MINIFS('FIRE TEX 5090'!$R$5:$R$30,'FIRE TEX 5090'!$R$5:$R$30,"&gt;="&amp;M824),'FIRE TEX 5090'!$R$5:$W$30,IF(L824="F-15",2,IF(L824="F-30",3,IF(L824="F-60",4,IF(L824="F-90",5,IF(L824="F-120",6,IF(L824="F-150",7,0)))))),0),0)+IF(AND(O824="FIRE TEX 5090",E824="CJ",J824=4),VLOOKUP(_xlfn.MINIFS('FIRE TEX 5090'!$Y$5:$Y$39,'FIRE TEX 5090'!$Y$5:$Y$39,"&gt;="&amp;M824),'FIRE TEX 5090'!$Y$5:$AD$39,IF(L824="F-15",2,IF(L824="F-30",3,IF(L824="F-60",4,IF(L824="F-90",5,IF(L824="F-120",6,IF(L824="F-150",7,0)))))),0),0)+IF(AND(O824="FIRE TEX 5120",OR(E824="IN",E824="C",E824="Z",E824="L"),J824=3),VLOOKUP(_xlfn.MINIFS('FIRE TEX 5120'!$B$5:$B$40,'FIRE TEX 5120'!$B$5:$B$40,"&gt;="&amp;M824),'FIRE TEX 5120'!$B$5:$G$40,IF(L824="F-15",2,IF(L824="F-30",3,IF(L824="F-60",4,IF(L824="F-90",5,IF(L824="F-120",6,0))))),0),0)+IF(AND(O824="FIRE TEX 5120",OR(E824="IN",E824="C",E824="Z",E824="L"),J824=4),VLOOKUP(_xlfn.MINIFS('FIRE TEX 5120'!$H$4:$H$40,'FIRE TEX 5120'!$H$4:$H$40,"&gt;="&amp;M824),'FIRE TEX 5120'!$H$4:$M$40,IF(L824="F-15",2,IF(L824="F-30",3,IF(L824="F-60",4,IF(L824="F-90",5,IF(L824="F-120",6,0))))),0),0)+IF(AND(O824="FIRE TEX 5120",E824="CJ"),VLOOKUP(_xlfn.MINIFS('FIRE TEX 5120'!$O$5:$O$40,'FIRE TEX 5120'!$O$5:$O$40,"&gt;="&amp;M824),'FIRE TEX 5120'!$O$5:$T$40,IF(L824="F-15",2,IF(L824="F-30",3,IF(L824="F-60",4,IF(L824="F-90",5,IF(L824="F-120",6,0))))),0),0)</f>
        <v>0</v>
      </c>
      <c r="Q824" s="46">
        <f t="shared" si="84"/>
        <v>0</v>
      </c>
      <c r="R824" s="46">
        <f t="shared" si="85"/>
        <v>0</v>
      </c>
      <c r="S824" s="46" t="e">
        <f t="shared" si="86"/>
        <v>#VALUE!</v>
      </c>
      <c r="T824" s="677">
        <f t="shared" si="87"/>
        <v>0</v>
      </c>
      <c r="U824" s="80">
        <f>(IF(O824="Stofire",(S824*#REF!),0))+(IF(O824="Fire Control",(S824*$U$2),0))+(IF(O824="Fire Tex",(S824*$U$3),0))+(IF(O824="WB7",(S824*#REF!),0)+(IF(O824="FX 2003",(S824*$U$5),0)))</f>
        <v>0</v>
      </c>
      <c r="V824" s="651">
        <f t="shared" si="88"/>
        <v>0</v>
      </c>
    </row>
    <row r="825" spans="4:22" x14ac:dyDescent="0.25">
      <c r="D825" s="118">
        <f>+CUBICACION!D824</f>
        <v>0</v>
      </c>
      <c r="E825" s="118">
        <f>+CUBICACION!F824</f>
        <v>0</v>
      </c>
      <c r="F825" s="118">
        <f>+CUBICACION!E824</f>
        <v>0</v>
      </c>
      <c r="G825" s="118">
        <v>12</v>
      </c>
      <c r="H825" s="118">
        <v>2</v>
      </c>
      <c r="I825" s="820">
        <v>26385</v>
      </c>
      <c r="J825" s="118">
        <f>+CUBICACION!J824</f>
        <v>0</v>
      </c>
      <c r="K825" s="118">
        <v>3604</v>
      </c>
      <c r="L825" s="118">
        <f>+CUBICACION!L824</f>
        <v>0</v>
      </c>
      <c r="M825" s="64">
        <f>+CUBICACION!M824</f>
        <v>0</v>
      </c>
      <c r="N825" s="824" t="str">
        <f>+CUBICACION!N824</f>
        <v/>
      </c>
      <c r="O825" s="675">
        <f>+CUBICACION!O824</f>
        <v>0</v>
      </c>
      <c r="P825" s="15">
        <f>IF(O825="Fire Control",VLOOKUP(_xlfn.MINIFS('FIRE CONTROL'!$C$4:$C$37,'FIRE CONTROL'!$C$4:$C$37,"&gt;="&amp;M825),'FIRE CONTROL'!$C$4:$G$37,IF(L825="F-15",2,IF(L825="F-30",3,IF(L825="F-60",4,IF(L825="F-90",5,0)))),0),0)+IF(AND(O825="FIRE TEX 5062",OR(E825="IN",E825="C",E825="Z",E825="L"),J825=3),VLOOKUP(_xlfn.MINIFS('FIRE TEX 5062'!$B$4:$B$34,'FIRE TEX 5062'!$B$4:$B$34,"&gt;="&amp;M825),'FIRE TEX 5062'!$B$4:$F$34,IF(L825="F-15",2,IF(L825="F-30",3,IF(L825="F-60",4,IF(L825="F-90",5,0)))),0),0)+IF(AND(O825="FIRE TEX 5062",OR(E825="IN",E825="C",E825="Z",E825="L"),J825=4),VLOOKUP(_xlfn.MINIFS('FIRE TEX 5062'!$G$4:$G$34,'FIRE TEX 5062'!$G$4:$G$34,"&gt;="&amp;M825),'FIRE TEX 5062'!$G$4:$K$34,IF(L825="F-15",2,IF(L825="F-30",3,IF(L825="F-60",4,IF(L825="F-90",5,0)))),0),0)+IF(AND(O825="FIRE TEX 5062",E825="CJ",J825=3),VLOOKUP(_xlfn.MINIFS('FIRE TEX 5062'!$L$4:$L$34,'FIRE TEX 5062'!$L$4:$L$34,"&gt;="&amp;M825),'FIRE TEX 5062'!$L$4:$P$34,IF(L825="F-15",2,IF(L825="F-30",3,IF(L825="F-60",4,IF(L825="F-90",5,0)))),0),0)+IF(AND(O825="FIRE TEX 5062",E825="CJ",J825=4),VLOOKUP(_xlfn.MINIFS('FIRE TEX 5062'!$Q$3:$Q$34,'FIRE TEX 5062'!$Q$3:$Q$34,"&gt;="&amp;M825),'FIRE TEX 5062'!$Q$3:$U$34,IF(L825="F-15",2,IF(L825="F-30",3,IF(L825="F-60",4,IF(L825="F-90",5,0)))),0),0)+IF(AND(O825="FIRE TEX 5090",OR(E825="IN",E825="C",E825="Z",E825="L"),J825=3),VLOOKUP(_xlfn.MINIFS('FIRE TEX 5090'!$B$5:$B$43,'FIRE TEX 5090'!$B$5:$B$43,"&gt;="&amp;M825),'FIRE TEX 5090'!$B$5:$H$43,IF(L825="F-15",2,IF(L825="F-30",3,IF(L825="F-60",4,IF(L825="F-90",5,IF(L825="F-120",6,IF(L825="F-150",7,0)))))),0),0)+IF(AND(O825="FIRE TEX 5090",OR(E825="IN",E825="C",E825="Z",E825="L"),J825=4),VLOOKUP(_xlfn.MINIFS('FIRE TEX 5090'!$J$5:$J$43,'FIRE TEX 5090'!$J$5:$J$43,"&gt;="&amp;M825),'FIRE TEX 5090'!$J$5:$P$43,IF(L825="F-15",2,IF(L825="F-30",3,IF(L825="F-60",4,IF(L825="F-90",5,IF(L825="F-120",6,IF(L825="F-150",7,0)))))),0),0)+IF(AND(O825="FIRE TEX 5090",E825="CJ",J825=3),VLOOKUP(_xlfn.MINIFS('FIRE TEX 5090'!$R$5:$R$30,'FIRE TEX 5090'!$R$5:$R$30,"&gt;="&amp;M825),'FIRE TEX 5090'!$R$5:$W$30,IF(L825="F-15",2,IF(L825="F-30",3,IF(L825="F-60",4,IF(L825="F-90",5,IF(L825="F-120",6,IF(L825="F-150",7,0)))))),0),0)+IF(AND(O825="FIRE TEX 5090",E825="CJ",J825=4),VLOOKUP(_xlfn.MINIFS('FIRE TEX 5090'!$Y$5:$Y$39,'FIRE TEX 5090'!$Y$5:$Y$39,"&gt;="&amp;M825),'FIRE TEX 5090'!$Y$5:$AD$39,IF(L825="F-15",2,IF(L825="F-30",3,IF(L825="F-60",4,IF(L825="F-90",5,IF(L825="F-120",6,IF(L825="F-150",7,0)))))),0),0)+IF(AND(O825="FIRE TEX 5120",OR(E825="IN",E825="C",E825="Z",E825="L"),J825=3),VLOOKUP(_xlfn.MINIFS('FIRE TEX 5120'!$B$5:$B$40,'FIRE TEX 5120'!$B$5:$B$40,"&gt;="&amp;M825),'FIRE TEX 5120'!$B$5:$G$40,IF(L825="F-15",2,IF(L825="F-30",3,IF(L825="F-60",4,IF(L825="F-90",5,IF(L825="F-120",6,0))))),0),0)+IF(AND(O825="FIRE TEX 5120",OR(E825="IN",E825="C",E825="Z",E825="L"),J825=4),VLOOKUP(_xlfn.MINIFS('FIRE TEX 5120'!$H$4:$H$40,'FIRE TEX 5120'!$H$4:$H$40,"&gt;="&amp;M825),'FIRE TEX 5120'!$H$4:$M$40,IF(L825="F-15",2,IF(L825="F-30",3,IF(L825="F-60",4,IF(L825="F-90",5,IF(L825="F-120",6,0))))),0),0)+IF(AND(O825="FIRE TEX 5120",E825="CJ"),VLOOKUP(_xlfn.MINIFS('FIRE TEX 5120'!$O$5:$O$40,'FIRE TEX 5120'!$O$5:$O$40,"&gt;="&amp;M825),'FIRE TEX 5120'!$O$5:$T$40,IF(L825="F-15",2,IF(L825="F-30",3,IF(L825="F-60",4,IF(L825="F-90",5,IF(L825="F-120",6,0))))),0),0)</f>
        <v>0</v>
      </c>
      <c r="Q825" s="46">
        <f t="shared" si="84"/>
        <v>0</v>
      </c>
      <c r="R825" s="46">
        <f t="shared" si="85"/>
        <v>0</v>
      </c>
      <c r="S825" s="46" t="e">
        <f t="shared" si="86"/>
        <v>#VALUE!</v>
      </c>
      <c r="T825" s="677">
        <f t="shared" si="87"/>
        <v>0</v>
      </c>
      <c r="U825" s="80">
        <f>(IF(O825="Stofire",(S825*#REF!),0))+(IF(O825="Fire Control",(S825*$U$2),0))+(IF(O825="Fire Tex",(S825*$U$3),0))+(IF(O825="WB7",(S825*#REF!),0)+(IF(O825="FX 2003",(S825*$U$5),0)))</f>
        <v>0</v>
      </c>
      <c r="V825" s="651">
        <f t="shared" si="88"/>
        <v>0</v>
      </c>
    </row>
    <row r="826" spans="4:22" x14ac:dyDescent="0.25">
      <c r="D826" s="118">
        <f>+CUBICACION!D825</f>
        <v>0</v>
      </c>
      <c r="E826" s="118">
        <f>+CUBICACION!F825</f>
        <v>0</v>
      </c>
      <c r="F826" s="118">
        <f>+CUBICACION!E825</f>
        <v>0</v>
      </c>
      <c r="G826" s="118">
        <v>12</v>
      </c>
      <c r="H826" s="118">
        <v>2</v>
      </c>
      <c r="I826" s="820">
        <v>26385</v>
      </c>
      <c r="J826" s="118">
        <f>+CUBICACION!J825</f>
        <v>0</v>
      </c>
      <c r="K826" s="118">
        <v>3605</v>
      </c>
      <c r="L826" s="118">
        <f>+CUBICACION!L825</f>
        <v>0</v>
      </c>
      <c r="M826" s="64">
        <f>+CUBICACION!M825</f>
        <v>0</v>
      </c>
      <c r="N826" s="824" t="str">
        <f>+CUBICACION!N825</f>
        <v/>
      </c>
      <c r="O826" s="675">
        <f>+CUBICACION!O825</f>
        <v>0</v>
      </c>
      <c r="P826" s="15">
        <f>IF(O826="Fire Control",VLOOKUP(_xlfn.MINIFS('FIRE CONTROL'!$C$4:$C$37,'FIRE CONTROL'!$C$4:$C$37,"&gt;="&amp;M826),'FIRE CONTROL'!$C$4:$G$37,IF(L826="F-15",2,IF(L826="F-30",3,IF(L826="F-60",4,IF(L826="F-90",5,0)))),0),0)+IF(AND(O826="FIRE TEX 5062",OR(E826="IN",E826="C",E826="Z",E826="L"),J826=3),VLOOKUP(_xlfn.MINIFS('FIRE TEX 5062'!$B$4:$B$34,'FIRE TEX 5062'!$B$4:$B$34,"&gt;="&amp;M826),'FIRE TEX 5062'!$B$4:$F$34,IF(L826="F-15",2,IF(L826="F-30",3,IF(L826="F-60",4,IF(L826="F-90",5,0)))),0),0)+IF(AND(O826="FIRE TEX 5062",OR(E826="IN",E826="C",E826="Z",E826="L"),J826=4),VLOOKUP(_xlfn.MINIFS('FIRE TEX 5062'!$G$4:$G$34,'FIRE TEX 5062'!$G$4:$G$34,"&gt;="&amp;M826),'FIRE TEX 5062'!$G$4:$K$34,IF(L826="F-15",2,IF(L826="F-30",3,IF(L826="F-60",4,IF(L826="F-90",5,0)))),0),0)+IF(AND(O826="FIRE TEX 5062",E826="CJ",J826=3),VLOOKUP(_xlfn.MINIFS('FIRE TEX 5062'!$L$4:$L$34,'FIRE TEX 5062'!$L$4:$L$34,"&gt;="&amp;M826),'FIRE TEX 5062'!$L$4:$P$34,IF(L826="F-15",2,IF(L826="F-30",3,IF(L826="F-60",4,IF(L826="F-90",5,0)))),0),0)+IF(AND(O826="FIRE TEX 5062",E826="CJ",J826=4),VLOOKUP(_xlfn.MINIFS('FIRE TEX 5062'!$Q$3:$Q$34,'FIRE TEX 5062'!$Q$3:$Q$34,"&gt;="&amp;M826),'FIRE TEX 5062'!$Q$3:$U$34,IF(L826="F-15",2,IF(L826="F-30",3,IF(L826="F-60",4,IF(L826="F-90",5,0)))),0),0)+IF(AND(O826="FIRE TEX 5090",OR(E826="IN",E826="C",E826="Z",E826="L"),J826=3),VLOOKUP(_xlfn.MINIFS('FIRE TEX 5090'!$B$5:$B$43,'FIRE TEX 5090'!$B$5:$B$43,"&gt;="&amp;M826),'FIRE TEX 5090'!$B$5:$H$43,IF(L826="F-15",2,IF(L826="F-30",3,IF(L826="F-60",4,IF(L826="F-90",5,IF(L826="F-120",6,IF(L826="F-150",7,0)))))),0),0)+IF(AND(O826="FIRE TEX 5090",OR(E826="IN",E826="C",E826="Z",E826="L"),J826=4),VLOOKUP(_xlfn.MINIFS('FIRE TEX 5090'!$J$5:$J$43,'FIRE TEX 5090'!$J$5:$J$43,"&gt;="&amp;M826),'FIRE TEX 5090'!$J$5:$P$43,IF(L826="F-15",2,IF(L826="F-30",3,IF(L826="F-60",4,IF(L826="F-90",5,IF(L826="F-120",6,IF(L826="F-150",7,0)))))),0),0)+IF(AND(O826="FIRE TEX 5090",E826="CJ",J826=3),VLOOKUP(_xlfn.MINIFS('FIRE TEX 5090'!$R$5:$R$30,'FIRE TEX 5090'!$R$5:$R$30,"&gt;="&amp;M826),'FIRE TEX 5090'!$R$5:$W$30,IF(L826="F-15",2,IF(L826="F-30",3,IF(L826="F-60",4,IF(L826="F-90",5,IF(L826="F-120",6,IF(L826="F-150",7,0)))))),0),0)+IF(AND(O826="FIRE TEX 5090",E826="CJ",J826=4),VLOOKUP(_xlfn.MINIFS('FIRE TEX 5090'!$Y$5:$Y$39,'FIRE TEX 5090'!$Y$5:$Y$39,"&gt;="&amp;M826),'FIRE TEX 5090'!$Y$5:$AD$39,IF(L826="F-15",2,IF(L826="F-30",3,IF(L826="F-60",4,IF(L826="F-90",5,IF(L826="F-120",6,IF(L826="F-150",7,0)))))),0),0)+IF(AND(O826="FIRE TEX 5120",OR(E826="IN",E826="C",E826="Z",E826="L"),J826=3),VLOOKUP(_xlfn.MINIFS('FIRE TEX 5120'!$B$5:$B$40,'FIRE TEX 5120'!$B$5:$B$40,"&gt;="&amp;M826),'FIRE TEX 5120'!$B$5:$G$40,IF(L826="F-15",2,IF(L826="F-30",3,IF(L826="F-60",4,IF(L826="F-90",5,IF(L826="F-120",6,0))))),0),0)+IF(AND(O826="FIRE TEX 5120",OR(E826="IN",E826="C",E826="Z",E826="L"),J826=4),VLOOKUP(_xlfn.MINIFS('FIRE TEX 5120'!$H$4:$H$40,'FIRE TEX 5120'!$H$4:$H$40,"&gt;="&amp;M826),'FIRE TEX 5120'!$H$4:$M$40,IF(L826="F-15",2,IF(L826="F-30",3,IF(L826="F-60",4,IF(L826="F-90",5,IF(L826="F-120",6,0))))),0),0)+IF(AND(O826="FIRE TEX 5120",E826="CJ"),VLOOKUP(_xlfn.MINIFS('FIRE TEX 5120'!$O$5:$O$40,'FIRE TEX 5120'!$O$5:$O$40,"&gt;="&amp;M826),'FIRE TEX 5120'!$O$5:$T$40,IF(L826="F-15",2,IF(L826="F-30",3,IF(L826="F-60",4,IF(L826="F-90",5,IF(L826="F-120",6,0))))),0),0)</f>
        <v>0</v>
      </c>
      <c r="Q826" s="46">
        <f t="shared" si="84"/>
        <v>0</v>
      </c>
      <c r="R826" s="46">
        <f t="shared" si="85"/>
        <v>0</v>
      </c>
      <c r="S826" s="46" t="e">
        <f t="shared" si="86"/>
        <v>#VALUE!</v>
      </c>
      <c r="T826" s="677">
        <f t="shared" si="87"/>
        <v>0</v>
      </c>
      <c r="U826" s="80">
        <f>(IF(O826="Stofire",(S826*#REF!),0))+(IF(O826="Fire Control",(S826*$U$2),0))+(IF(O826="Fire Tex",(S826*$U$3),0))+(IF(O826="WB7",(S826*#REF!),0)+(IF(O826="FX 2003",(S826*$U$5),0)))</f>
        <v>0</v>
      </c>
      <c r="V826" s="651">
        <f t="shared" si="88"/>
        <v>0</v>
      </c>
    </row>
    <row r="827" spans="4:22" x14ac:dyDescent="0.25">
      <c r="D827" s="118">
        <f>+CUBICACION!D826</f>
        <v>0</v>
      </c>
      <c r="E827" s="118">
        <f>+CUBICACION!F826</f>
        <v>0</v>
      </c>
      <c r="F827" s="118">
        <f>+CUBICACION!E826</f>
        <v>0</v>
      </c>
      <c r="G827" s="118">
        <v>12</v>
      </c>
      <c r="H827" s="118">
        <v>2</v>
      </c>
      <c r="I827" s="820">
        <v>26385</v>
      </c>
      <c r="J827" s="118">
        <f>+CUBICACION!J826</f>
        <v>0</v>
      </c>
      <c r="K827" s="118">
        <v>3606</v>
      </c>
      <c r="L827" s="118">
        <f>+CUBICACION!L826</f>
        <v>0</v>
      </c>
      <c r="M827" s="64">
        <f>+CUBICACION!M826</f>
        <v>0</v>
      </c>
      <c r="N827" s="824" t="str">
        <f>+CUBICACION!N826</f>
        <v/>
      </c>
      <c r="O827" s="675">
        <f>+CUBICACION!O826</f>
        <v>0</v>
      </c>
      <c r="P827" s="15">
        <f>IF(O827="Fire Control",VLOOKUP(_xlfn.MINIFS('FIRE CONTROL'!$C$4:$C$37,'FIRE CONTROL'!$C$4:$C$37,"&gt;="&amp;M827),'FIRE CONTROL'!$C$4:$G$37,IF(L827="F-15",2,IF(L827="F-30",3,IF(L827="F-60",4,IF(L827="F-90",5,0)))),0),0)+IF(AND(O827="FIRE TEX 5062",OR(E827="IN",E827="C",E827="Z",E827="L"),J827=3),VLOOKUP(_xlfn.MINIFS('FIRE TEX 5062'!$B$4:$B$34,'FIRE TEX 5062'!$B$4:$B$34,"&gt;="&amp;M827),'FIRE TEX 5062'!$B$4:$F$34,IF(L827="F-15",2,IF(L827="F-30",3,IF(L827="F-60",4,IF(L827="F-90",5,0)))),0),0)+IF(AND(O827="FIRE TEX 5062",OR(E827="IN",E827="C",E827="Z",E827="L"),J827=4),VLOOKUP(_xlfn.MINIFS('FIRE TEX 5062'!$G$4:$G$34,'FIRE TEX 5062'!$G$4:$G$34,"&gt;="&amp;M827),'FIRE TEX 5062'!$G$4:$K$34,IF(L827="F-15",2,IF(L827="F-30",3,IF(L827="F-60",4,IF(L827="F-90",5,0)))),0),0)+IF(AND(O827="FIRE TEX 5062",E827="CJ",J827=3),VLOOKUP(_xlfn.MINIFS('FIRE TEX 5062'!$L$4:$L$34,'FIRE TEX 5062'!$L$4:$L$34,"&gt;="&amp;M827),'FIRE TEX 5062'!$L$4:$P$34,IF(L827="F-15",2,IF(L827="F-30",3,IF(L827="F-60",4,IF(L827="F-90",5,0)))),0),0)+IF(AND(O827="FIRE TEX 5062",E827="CJ",J827=4),VLOOKUP(_xlfn.MINIFS('FIRE TEX 5062'!$Q$3:$Q$34,'FIRE TEX 5062'!$Q$3:$Q$34,"&gt;="&amp;M827),'FIRE TEX 5062'!$Q$3:$U$34,IF(L827="F-15",2,IF(L827="F-30",3,IF(L827="F-60",4,IF(L827="F-90",5,0)))),0),0)+IF(AND(O827="FIRE TEX 5090",OR(E827="IN",E827="C",E827="Z",E827="L"),J827=3),VLOOKUP(_xlfn.MINIFS('FIRE TEX 5090'!$B$5:$B$43,'FIRE TEX 5090'!$B$5:$B$43,"&gt;="&amp;M827),'FIRE TEX 5090'!$B$5:$H$43,IF(L827="F-15",2,IF(L827="F-30",3,IF(L827="F-60",4,IF(L827="F-90",5,IF(L827="F-120",6,IF(L827="F-150",7,0)))))),0),0)+IF(AND(O827="FIRE TEX 5090",OR(E827="IN",E827="C",E827="Z",E827="L"),J827=4),VLOOKUP(_xlfn.MINIFS('FIRE TEX 5090'!$J$5:$J$43,'FIRE TEX 5090'!$J$5:$J$43,"&gt;="&amp;M827),'FIRE TEX 5090'!$J$5:$P$43,IF(L827="F-15",2,IF(L827="F-30",3,IF(L827="F-60",4,IF(L827="F-90",5,IF(L827="F-120",6,IF(L827="F-150",7,0)))))),0),0)+IF(AND(O827="FIRE TEX 5090",E827="CJ",J827=3),VLOOKUP(_xlfn.MINIFS('FIRE TEX 5090'!$R$5:$R$30,'FIRE TEX 5090'!$R$5:$R$30,"&gt;="&amp;M827),'FIRE TEX 5090'!$R$5:$W$30,IF(L827="F-15",2,IF(L827="F-30",3,IF(L827="F-60",4,IF(L827="F-90",5,IF(L827="F-120",6,IF(L827="F-150",7,0)))))),0),0)+IF(AND(O827="FIRE TEX 5090",E827="CJ",J827=4),VLOOKUP(_xlfn.MINIFS('FIRE TEX 5090'!$Y$5:$Y$39,'FIRE TEX 5090'!$Y$5:$Y$39,"&gt;="&amp;M827),'FIRE TEX 5090'!$Y$5:$AD$39,IF(L827="F-15",2,IF(L827="F-30",3,IF(L827="F-60",4,IF(L827="F-90",5,IF(L827="F-120",6,IF(L827="F-150",7,0)))))),0),0)+IF(AND(O827="FIRE TEX 5120",OR(E827="IN",E827="C",E827="Z",E827="L"),J827=3),VLOOKUP(_xlfn.MINIFS('FIRE TEX 5120'!$B$5:$B$40,'FIRE TEX 5120'!$B$5:$B$40,"&gt;="&amp;M827),'FIRE TEX 5120'!$B$5:$G$40,IF(L827="F-15",2,IF(L827="F-30",3,IF(L827="F-60",4,IF(L827="F-90",5,IF(L827="F-120",6,0))))),0),0)+IF(AND(O827="FIRE TEX 5120",OR(E827="IN",E827="C",E827="Z",E827="L"),J827=4),VLOOKUP(_xlfn.MINIFS('FIRE TEX 5120'!$H$4:$H$40,'FIRE TEX 5120'!$H$4:$H$40,"&gt;="&amp;M827),'FIRE TEX 5120'!$H$4:$M$40,IF(L827="F-15",2,IF(L827="F-30",3,IF(L827="F-60",4,IF(L827="F-90",5,IF(L827="F-120",6,0))))),0),0)+IF(AND(O827="FIRE TEX 5120",E827="CJ"),VLOOKUP(_xlfn.MINIFS('FIRE TEX 5120'!$O$5:$O$40,'FIRE TEX 5120'!$O$5:$O$40,"&gt;="&amp;M827),'FIRE TEX 5120'!$O$5:$T$40,IF(L827="F-15",2,IF(L827="F-30",3,IF(L827="F-60",4,IF(L827="F-90",5,IF(L827="F-120",6,0))))),0),0)</f>
        <v>0</v>
      </c>
      <c r="Q827" s="46">
        <f t="shared" si="84"/>
        <v>0</v>
      </c>
      <c r="R827" s="46">
        <f t="shared" si="85"/>
        <v>0</v>
      </c>
      <c r="S827" s="46" t="e">
        <f t="shared" si="86"/>
        <v>#VALUE!</v>
      </c>
      <c r="T827" s="677">
        <f t="shared" si="87"/>
        <v>0</v>
      </c>
      <c r="U827" s="80">
        <f>(IF(O827="Stofire",(S827*#REF!),0))+(IF(O827="Fire Control",(S827*$U$2),0))+(IF(O827="Fire Tex",(S827*$U$3),0))+(IF(O827="WB7",(S827*#REF!),0)+(IF(O827="FX 2003",(S827*$U$5),0)))</f>
        <v>0</v>
      </c>
      <c r="V827" s="651">
        <f t="shared" si="88"/>
        <v>0</v>
      </c>
    </row>
    <row r="828" spans="4:22" x14ac:dyDescent="0.25">
      <c r="D828" s="118">
        <f>+CUBICACION!D827</f>
        <v>0</v>
      </c>
      <c r="E828" s="118">
        <f>+CUBICACION!F827</f>
        <v>0</v>
      </c>
      <c r="F828" s="118">
        <f>+CUBICACION!E827</f>
        <v>0</v>
      </c>
      <c r="G828" s="118">
        <v>12</v>
      </c>
      <c r="H828" s="118">
        <v>2</v>
      </c>
      <c r="I828" s="820">
        <v>26385</v>
      </c>
      <c r="J828" s="118">
        <f>+CUBICACION!J827</f>
        <v>0</v>
      </c>
      <c r="K828" s="118">
        <v>3607</v>
      </c>
      <c r="L828" s="118">
        <f>+CUBICACION!L827</f>
        <v>0</v>
      </c>
      <c r="M828" s="64">
        <f>+CUBICACION!M827</f>
        <v>0</v>
      </c>
      <c r="N828" s="824" t="str">
        <f>+CUBICACION!N827</f>
        <v/>
      </c>
      <c r="O828" s="675">
        <f>+CUBICACION!O827</f>
        <v>0</v>
      </c>
      <c r="P828" s="15">
        <f>IF(O828="Fire Control",VLOOKUP(_xlfn.MINIFS('FIRE CONTROL'!$C$4:$C$37,'FIRE CONTROL'!$C$4:$C$37,"&gt;="&amp;M828),'FIRE CONTROL'!$C$4:$G$37,IF(L828="F-15",2,IF(L828="F-30",3,IF(L828="F-60",4,IF(L828="F-90",5,0)))),0),0)+IF(AND(O828="FIRE TEX 5062",OR(E828="IN",E828="C",E828="Z",E828="L"),J828=3),VLOOKUP(_xlfn.MINIFS('FIRE TEX 5062'!$B$4:$B$34,'FIRE TEX 5062'!$B$4:$B$34,"&gt;="&amp;M828),'FIRE TEX 5062'!$B$4:$F$34,IF(L828="F-15",2,IF(L828="F-30",3,IF(L828="F-60",4,IF(L828="F-90",5,0)))),0),0)+IF(AND(O828="FIRE TEX 5062",OR(E828="IN",E828="C",E828="Z",E828="L"),J828=4),VLOOKUP(_xlfn.MINIFS('FIRE TEX 5062'!$G$4:$G$34,'FIRE TEX 5062'!$G$4:$G$34,"&gt;="&amp;M828),'FIRE TEX 5062'!$G$4:$K$34,IF(L828="F-15",2,IF(L828="F-30",3,IF(L828="F-60",4,IF(L828="F-90",5,0)))),0),0)+IF(AND(O828="FIRE TEX 5062",E828="CJ",J828=3),VLOOKUP(_xlfn.MINIFS('FIRE TEX 5062'!$L$4:$L$34,'FIRE TEX 5062'!$L$4:$L$34,"&gt;="&amp;M828),'FIRE TEX 5062'!$L$4:$P$34,IF(L828="F-15",2,IF(L828="F-30",3,IF(L828="F-60",4,IF(L828="F-90",5,0)))),0),0)+IF(AND(O828="FIRE TEX 5062",E828="CJ",J828=4),VLOOKUP(_xlfn.MINIFS('FIRE TEX 5062'!$Q$3:$Q$34,'FIRE TEX 5062'!$Q$3:$Q$34,"&gt;="&amp;M828),'FIRE TEX 5062'!$Q$3:$U$34,IF(L828="F-15",2,IF(L828="F-30",3,IF(L828="F-60",4,IF(L828="F-90",5,0)))),0),0)+IF(AND(O828="FIRE TEX 5090",OR(E828="IN",E828="C",E828="Z",E828="L"),J828=3),VLOOKUP(_xlfn.MINIFS('FIRE TEX 5090'!$B$5:$B$43,'FIRE TEX 5090'!$B$5:$B$43,"&gt;="&amp;M828),'FIRE TEX 5090'!$B$5:$H$43,IF(L828="F-15",2,IF(L828="F-30",3,IF(L828="F-60",4,IF(L828="F-90",5,IF(L828="F-120",6,IF(L828="F-150",7,0)))))),0),0)+IF(AND(O828="FIRE TEX 5090",OR(E828="IN",E828="C",E828="Z",E828="L"),J828=4),VLOOKUP(_xlfn.MINIFS('FIRE TEX 5090'!$J$5:$J$43,'FIRE TEX 5090'!$J$5:$J$43,"&gt;="&amp;M828),'FIRE TEX 5090'!$J$5:$P$43,IF(L828="F-15",2,IF(L828="F-30",3,IF(L828="F-60",4,IF(L828="F-90",5,IF(L828="F-120",6,IF(L828="F-150",7,0)))))),0),0)+IF(AND(O828="FIRE TEX 5090",E828="CJ",J828=3),VLOOKUP(_xlfn.MINIFS('FIRE TEX 5090'!$R$5:$R$30,'FIRE TEX 5090'!$R$5:$R$30,"&gt;="&amp;M828),'FIRE TEX 5090'!$R$5:$W$30,IF(L828="F-15",2,IF(L828="F-30",3,IF(L828="F-60",4,IF(L828="F-90",5,IF(L828="F-120",6,IF(L828="F-150",7,0)))))),0),0)+IF(AND(O828="FIRE TEX 5090",E828="CJ",J828=4),VLOOKUP(_xlfn.MINIFS('FIRE TEX 5090'!$Y$5:$Y$39,'FIRE TEX 5090'!$Y$5:$Y$39,"&gt;="&amp;M828),'FIRE TEX 5090'!$Y$5:$AD$39,IF(L828="F-15",2,IF(L828="F-30",3,IF(L828="F-60",4,IF(L828="F-90",5,IF(L828="F-120",6,IF(L828="F-150",7,0)))))),0),0)+IF(AND(O828="FIRE TEX 5120",OR(E828="IN",E828="C",E828="Z",E828="L"),J828=3),VLOOKUP(_xlfn.MINIFS('FIRE TEX 5120'!$B$5:$B$40,'FIRE TEX 5120'!$B$5:$B$40,"&gt;="&amp;M828),'FIRE TEX 5120'!$B$5:$G$40,IF(L828="F-15",2,IF(L828="F-30",3,IF(L828="F-60",4,IF(L828="F-90",5,IF(L828="F-120",6,0))))),0),0)+IF(AND(O828="FIRE TEX 5120",OR(E828="IN",E828="C",E828="Z",E828="L"),J828=4),VLOOKUP(_xlfn.MINIFS('FIRE TEX 5120'!$H$4:$H$40,'FIRE TEX 5120'!$H$4:$H$40,"&gt;="&amp;M828),'FIRE TEX 5120'!$H$4:$M$40,IF(L828="F-15",2,IF(L828="F-30",3,IF(L828="F-60",4,IF(L828="F-90",5,IF(L828="F-120",6,0))))),0),0)+IF(AND(O828="FIRE TEX 5120",E828="CJ"),VLOOKUP(_xlfn.MINIFS('FIRE TEX 5120'!$O$5:$O$40,'FIRE TEX 5120'!$O$5:$O$40,"&gt;="&amp;M828),'FIRE TEX 5120'!$O$5:$T$40,IF(L828="F-15",2,IF(L828="F-30",3,IF(L828="F-60",4,IF(L828="F-90",5,IF(L828="F-120",6,0))))),0),0)</f>
        <v>0</v>
      </c>
      <c r="Q828" s="46">
        <f t="shared" si="84"/>
        <v>0</v>
      </c>
      <c r="R828" s="46">
        <f t="shared" si="85"/>
        <v>0</v>
      </c>
      <c r="S828" s="46" t="e">
        <f t="shared" si="86"/>
        <v>#VALUE!</v>
      </c>
      <c r="T828" s="677">
        <f t="shared" si="87"/>
        <v>0</v>
      </c>
      <c r="U828" s="80">
        <f>(IF(O828="Stofire",(S828*#REF!),0))+(IF(O828="Fire Control",(S828*$U$2),0))+(IF(O828="Fire Tex",(S828*$U$3),0))+(IF(O828="WB7",(S828*#REF!),0)+(IF(O828="FX 2003",(S828*$U$5),0)))</f>
        <v>0</v>
      </c>
      <c r="V828" s="651">
        <f t="shared" si="88"/>
        <v>0</v>
      </c>
    </row>
    <row r="829" spans="4:22" x14ac:dyDescent="0.25">
      <c r="D829" s="118">
        <f>+CUBICACION!D828</f>
        <v>0</v>
      </c>
      <c r="E829" s="118">
        <f>+CUBICACION!F828</f>
        <v>0</v>
      </c>
      <c r="F829" s="118">
        <f>+CUBICACION!E828</f>
        <v>0</v>
      </c>
      <c r="G829" s="118">
        <v>12</v>
      </c>
      <c r="H829" s="118">
        <v>2</v>
      </c>
      <c r="I829" s="820">
        <v>26385</v>
      </c>
      <c r="J829" s="118">
        <f>+CUBICACION!J828</f>
        <v>0</v>
      </c>
      <c r="K829" s="118">
        <v>3608</v>
      </c>
      <c r="L829" s="118">
        <f>+CUBICACION!L828</f>
        <v>0</v>
      </c>
      <c r="M829" s="64">
        <f>+CUBICACION!M828</f>
        <v>0</v>
      </c>
      <c r="N829" s="824" t="str">
        <f>+CUBICACION!N828</f>
        <v/>
      </c>
      <c r="O829" s="675">
        <f>+CUBICACION!O828</f>
        <v>0</v>
      </c>
      <c r="P829" s="15">
        <f>IF(O829="Fire Control",VLOOKUP(_xlfn.MINIFS('FIRE CONTROL'!$C$4:$C$37,'FIRE CONTROL'!$C$4:$C$37,"&gt;="&amp;M829),'FIRE CONTROL'!$C$4:$G$37,IF(L829="F-15",2,IF(L829="F-30",3,IF(L829="F-60",4,IF(L829="F-90",5,0)))),0),0)+IF(AND(O829="FIRE TEX 5062",OR(E829="IN",E829="C",E829="Z",E829="L"),J829=3),VLOOKUP(_xlfn.MINIFS('FIRE TEX 5062'!$B$4:$B$34,'FIRE TEX 5062'!$B$4:$B$34,"&gt;="&amp;M829),'FIRE TEX 5062'!$B$4:$F$34,IF(L829="F-15",2,IF(L829="F-30",3,IF(L829="F-60",4,IF(L829="F-90",5,0)))),0),0)+IF(AND(O829="FIRE TEX 5062",OR(E829="IN",E829="C",E829="Z",E829="L"),J829=4),VLOOKUP(_xlfn.MINIFS('FIRE TEX 5062'!$G$4:$G$34,'FIRE TEX 5062'!$G$4:$G$34,"&gt;="&amp;M829),'FIRE TEX 5062'!$G$4:$K$34,IF(L829="F-15",2,IF(L829="F-30",3,IF(L829="F-60",4,IF(L829="F-90",5,0)))),0),0)+IF(AND(O829="FIRE TEX 5062",E829="CJ",J829=3),VLOOKUP(_xlfn.MINIFS('FIRE TEX 5062'!$L$4:$L$34,'FIRE TEX 5062'!$L$4:$L$34,"&gt;="&amp;M829),'FIRE TEX 5062'!$L$4:$P$34,IF(L829="F-15",2,IF(L829="F-30",3,IF(L829="F-60",4,IF(L829="F-90",5,0)))),0),0)+IF(AND(O829="FIRE TEX 5062",E829="CJ",J829=4),VLOOKUP(_xlfn.MINIFS('FIRE TEX 5062'!$Q$3:$Q$34,'FIRE TEX 5062'!$Q$3:$Q$34,"&gt;="&amp;M829),'FIRE TEX 5062'!$Q$3:$U$34,IF(L829="F-15",2,IF(L829="F-30",3,IF(L829="F-60",4,IF(L829="F-90",5,0)))),0),0)+IF(AND(O829="FIRE TEX 5090",OR(E829="IN",E829="C",E829="Z",E829="L"),J829=3),VLOOKUP(_xlfn.MINIFS('FIRE TEX 5090'!$B$5:$B$43,'FIRE TEX 5090'!$B$5:$B$43,"&gt;="&amp;M829),'FIRE TEX 5090'!$B$5:$H$43,IF(L829="F-15",2,IF(L829="F-30",3,IF(L829="F-60",4,IF(L829="F-90",5,IF(L829="F-120",6,IF(L829="F-150",7,0)))))),0),0)+IF(AND(O829="FIRE TEX 5090",OR(E829="IN",E829="C",E829="Z",E829="L"),J829=4),VLOOKUP(_xlfn.MINIFS('FIRE TEX 5090'!$J$5:$J$43,'FIRE TEX 5090'!$J$5:$J$43,"&gt;="&amp;M829),'FIRE TEX 5090'!$J$5:$P$43,IF(L829="F-15",2,IF(L829="F-30",3,IF(L829="F-60",4,IF(L829="F-90",5,IF(L829="F-120",6,IF(L829="F-150",7,0)))))),0),0)+IF(AND(O829="FIRE TEX 5090",E829="CJ",J829=3),VLOOKUP(_xlfn.MINIFS('FIRE TEX 5090'!$R$5:$R$30,'FIRE TEX 5090'!$R$5:$R$30,"&gt;="&amp;M829),'FIRE TEX 5090'!$R$5:$W$30,IF(L829="F-15",2,IF(L829="F-30",3,IF(L829="F-60",4,IF(L829="F-90",5,IF(L829="F-120",6,IF(L829="F-150",7,0)))))),0),0)+IF(AND(O829="FIRE TEX 5090",E829="CJ",J829=4),VLOOKUP(_xlfn.MINIFS('FIRE TEX 5090'!$Y$5:$Y$39,'FIRE TEX 5090'!$Y$5:$Y$39,"&gt;="&amp;M829),'FIRE TEX 5090'!$Y$5:$AD$39,IF(L829="F-15",2,IF(L829="F-30",3,IF(L829="F-60",4,IF(L829="F-90",5,IF(L829="F-120",6,IF(L829="F-150",7,0)))))),0),0)+IF(AND(O829="FIRE TEX 5120",OR(E829="IN",E829="C",E829="Z",E829="L"),J829=3),VLOOKUP(_xlfn.MINIFS('FIRE TEX 5120'!$B$5:$B$40,'FIRE TEX 5120'!$B$5:$B$40,"&gt;="&amp;M829),'FIRE TEX 5120'!$B$5:$G$40,IF(L829="F-15",2,IF(L829="F-30",3,IF(L829="F-60",4,IF(L829="F-90",5,IF(L829="F-120",6,0))))),0),0)+IF(AND(O829="FIRE TEX 5120",OR(E829="IN",E829="C",E829="Z",E829="L"),J829=4),VLOOKUP(_xlfn.MINIFS('FIRE TEX 5120'!$H$4:$H$40,'FIRE TEX 5120'!$H$4:$H$40,"&gt;="&amp;M829),'FIRE TEX 5120'!$H$4:$M$40,IF(L829="F-15",2,IF(L829="F-30",3,IF(L829="F-60",4,IF(L829="F-90",5,IF(L829="F-120",6,0))))),0),0)+IF(AND(O829="FIRE TEX 5120",E829="CJ"),VLOOKUP(_xlfn.MINIFS('FIRE TEX 5120'!$O$5:$O$40,'FIRE TEX 5120'!$O$5:$O$40,"&gt;="&amp;M829),'FIRE TEX 5120'!$O$5:$T$40,IF(L829="F-15",2,IF(L829="F-30",3,IF(L829="F-60",4,IF(L829="F-90",5,IF(L829="F-120",6,0))))),0),0)</f>
        <v>0</v>
      </c>
      <c r="Q829" s="46">
        <f t="shared" si="84"/>
        <v>0</v>
      </c>
      <c r="R829" s="46">
        <f t="shared" si="85"/>
        <v>0</v>
      </c>
      <c r="S829" s="46" t="e">
        <f t="shared" si="86"/>
        <v>#VALUE!</v>
      </c>
      <c r="T829" s="677">
        <f t="shared" si="87"/>
        <v>0</v>
      </c>
      <c r="U829" s="80">
        <f>(IF(O829="Stofire",(S829*#REF!),0))+(IF(O829="Fire Control",(S829*$U$2),0))+(IF(O829="Fire Tex",(S829*$U$3),0))+(IF(O829="WB7",(S829*#REF!),0)+(IF(O829="FX 2003",(S829*$U$5),0)))</f>
        <v>0</v>
      </c>
      <c r="V829" s="651">
        <f t="shared" si="88"/>
        <v>0</v>
      </c>
    </row>
    <row r="830" spans="4:22" x14ac:dyDescent="0.25">
      <c r="D830" s="118">
        <f>+CUBICACION!D829</f>
        <v>0</v>
      </c>
      <c r="E830" s="118">
        <f>+CUBICACION!F829</f>
        <v>0</v>
      </c>
      <c r="F830" s="118">
        <f>+CUBICACION!E829</f>
        <v>0</v>
      </c>
      <c r="G830" s="118">
        <v>12</v>
      </c>
      <c r="H830" s="118">
        <v>2</v>
      </c>
      <c r="I830" s="820">
        <v>26385</v>
      </c>
      <c r="J830" s="118">
        <f>+CUBICACION!J829</f>
        <v>0</v>
      </c>
      <c r="K830" s="118">
        <v>3609</v>
      </c>
      <c r="L830" s="118">
        <f>+CUBICACION!L829</f>
        <v>0</v>
      </c>
      <c r="M830" s="64">
        <f>+CUBICACION!M829</f>
        <v>0</v>
      </c>
      <c r="N830" s="824" t="str">
        <f>+CUBICACION!N829</f>
        <v/>
      </c>
      <c r="O830" s="675">
        <f>+CUBICACION!O829</f>
        <v>0</v>
      </c>
      <c r="P830" s="15">
        <f>IF(O830="Fire Control",VLOOKUP(_xlfn.MINIFS('FIRE CONTROL'!$C$4:$C$37,'FIRE CONTROL'!$C$4:$C$37,"&gt;="&amp;M830),'FIRE CONTROL'!$C$4:$G$37,IF(L830="F-15",2,IF(L830="F-30",3,IF(L830="F-60",4,IF(L830="F-90",5,0)))),0),0)+IF(AND(O830="FIRE TEX 5062",OR(E830="IN",E830="C",E830="Z",E830="L"),J830=3),VLOOKUP(_xlfn.MINIFS('FIRE TEX 5062'!$B$4:$B$34,'FIRE TEX 5062'!$B$4:$B$34,"&gt;="&amp;M830),'FIRE TEX 5062'!$B$4:$F$34,IF(L830="F-15",2,IF(L830="F-30",3,IF(L830="F-60",4,IF(L830="F-90",5,0)))),0),0)+IF(AND(O830="FIRE TEX 5062",OR(E830="IN",E830="C",E830="Z",E830="L"),J830=4),VLOOKUP(_xlfn.MINIFS('FIRE TEX 5062'!$G$4:$G$34,'FIRE TEX 5062'!$G$4:$G$34,"&gt;="&amp;M830),'FIRE TEX 5062'!$G$4:$K$34,IF(L830="F-15",2,IF(L830="F-30",3,IF(L830="F-60",4,IF(L830="F-90",5,0)))),0),0)+IF(AND(O830="FIRE TEX 5062",E830="CJ",J830=3),VLOOKUP(_xlfn.MINIFS('FIRE TEX 5062'!$L$4:$L$34,'FIRE TEX 5062'!$L$4:$L$34,"&gt;="&amp;M830),'FIRE TEX 5062'!$L$4:$P$34,IF(L830="F-15",2,IF(L830="F-30",3,IF(L830="F-60",4,IF(L830="F-90",5,0)))),0),0)+IF(AND(O830="FIRE TEX 5062",E830="CJ",J830=4),VLOOKUP(_xlfn.MINIFS('FIRE TEX 5062'!$Q$3:$Q$34,'FIRE TEX 5062'!$Q$3:$Q$34,"&gt;="&amp;M830),'FIRE TEX 5062'!$Q$3:$U$34,IF(L830="F-15",2,IF(L830="F-30",3,IF(L830="F-60",4,IF(L830="F-90",5,0)))),0),0)+IF(AND(O830="FIRE TEX 5090",OR(E830="IN",E830="C",E830="Z",E830="L"),J830=3),VLOOKUP(_xlfn.MINIFS('FIRE TEX 5090'!$B$5:$B$43,'FIRE TEX 5090'!$B$5:$B$43,"&gt;="&amp;M830),'FIRE TEX 5090'!$B$5:$H$43,IF(L830="F-15",2,IF(L830="F-30",3,IF(L830="F-60",4,IF(L830="F-90",5,IF(L830="F-120",6,IF(L830="F-150",7,0)))))),0),0)+IF(AND(O830="FIRE TEX 5090",OR(E830="IN",E830="C",E830="Z",E830="L"),J830=4),VLOOKUP(_xlfn.MINIFS('FIRE TEX 5090'!$J$5:$J$43,'FIRE TEX 5090'!$J$5:$J$43,"&gt;="&amp;M830),'FIRE TEX 5090'!$J$5:$P$43,IF(L830="F-15",2,IF(L830="F-30",3,IF(L830="F-60",4,IF(L830="F-90",5,IF(L830="F-120",6,IF(L830="F-150",7,0)))))),0),0)+IF(AND(O830="FIRE TEX 5090",E830="CJ",J830=3),VLOOKUP(_xlfn.MINIFS('FIRE TEX 5090'!$R$5:$R$30,'FIRE TEX 5090'!$R$5:$R$30,"&gt;="&amp;M830),'FIRE TEX 5090'!$R$5:$W$30,IF(L830="F-15",2,IF(L830="F-30",3,IF(L830="F-60",4,IF(L830="F-90",5,IF(L830="F-120",6,IF(L830="F-150",7,0)))))),0),0)+IF(AND(O830="FIRE TEX 5090",E830="CJ",J830=4),VLOOKUP(_xlfn.MINIFS('FIRE TEX 5090'!$Y$5:$Y$39,'FIRE TEX 5090'!$Y$5:$Y$39,"&gt;="&amp;M830),'FIRE TEX 5090'!$Y$5:$AD$39,IF(L830="F-15",2,IF(L830="F-30",3,IF(L830="F-60",4,IF(L830="F-90",5,IF(L830="F-120",6,IF(L830="F-150",7,0)))))),0),0)+IF(AND(O830="FIRE TEX 5120",OR(E830="IN",E830="C",E830="Z",E830="L"),J830=3),VLOOKUP(_xlfn.MINIFS('FIRE TEX 5120'!$B$5:$B$40,'FIRE TEX 5120'!$B$5:$B$40,"&gt;="&amp;M830),'FIRE TEX 5120'!$B$5:$G$40,IF(L830="F-15",2,IF(L830="F-30",3,IF(L830="F-60",4,IF(L830="F-90",5,IF(L830="F-120",6,0))))),0),0)+IF(AND(O830="FIRE TEX 5120",OR(E830="IN",E830="C",E830="Z",E830="L"),J830=4),VLOOKUP(_xlfn.MINIFS('FIRE TEX 5120'!$H$4:$H$40,'FIRE TEX 5120'!$H$4:$H$40,"&gt;="&amp;M830),'FIRE TEX 5120'!$H$4:$M$40,IF(L830="F-15",2,IF(L830="F-30",3,IF(L830="F-60",4,IF(L830="F-90",5,IF(L830="F-120",6,0))))),0),0)+IF(AND(O830="FIRE TEX 5120",E830="CJ"),VLOOKUP(_xlfn.MINIFS('FIRE TEX 5120'!$O$5:$O$40,'FIRE TEX 5120'!$O$5:$O$40,"&gt;="&amp;M830),'FIRE TEX 5120'!$O$5:$T$40,IF(L830="F-15",2,IF(L830="F-30",3,IF(L830="F-60",4,IF(L830="F-90",5,IF(L830="F-120",6,0))))),0),0)</f>
        <v>0</v>
      </c>
      <c r="Q830" s="46">
        <f t="shared" si="84"/>
        <v>0</v>
      </c>
      <c r="R830" s="46">
        <f t="shared" si="85"/>
        <v>0</v>
      </c>
      <c r="S830" s="46" t="e">
        <f t="shared" si="86"/>
        <v>#VALUE!</v>
      </c>
      <c r="T830" s="677">
        <f t="shared" si="87"/>
        <v>0</v>
      </c>
      <c r="U830" s="80">
        <f>(IF(O830="Stofire",(S830*#REF!),0))+(IF(O830="Fire Control",(S830*$U$2),0))+(IF(O830="Fire Tex",(S830*$U$3),0))+(IF(O830="WB7",(S830*#REF!),0)+(IF(O830="FX 2003",(S830*$U$5),0)))</f>
        <v>0</v>
      </c>
      <c r="V830" s="651">
        <f t="shared" si="88"/>
        <v>0</v>
      </c>
    </row>
    <row r="831" spans="4:22" x14ac:dyDescent="0.25">
      <c r="D831" s="118">
        <f>+CUBICACION!D830</f>
        <v>0</v>
      </c>
      <c r="E831" s="118">
        <f>+CUBICACION!F830</f>
        <v>0</v>
      </c>
      <c r="F831" s="118">
        <f>+CUBICACION!E830</f>
        <v>0</v>
      </c>
      <c r="G831" s="118">
        <v>12</v>
      </c>
      <c r="H831" s="118">
        <v>2</v>
      </c>
      <c r="I831" s="820">
        <v>26385</v>
      </c>
      <c r="J831" s="118">
        <f>+CUBICACION!J830</f>
        <v>0</v>
      </c>
      <c r="K831" s="118">
        <v>3610</v>
      </c>
      <c r="L831" s="118">
        <f>+CUBICACION!L830</f>
        <v>0</v>
      </c>
      <c r="M831" s="64">
        <f>+CUBICACION!M830</f>
        <v>0</v>
      </c>
      <c r="N831" s="824" t="str">
        <f>+CUBICACION!N830</f>
        <v/>
      </c>
      <c r="O831" s="675">
        <f>+CUBICACION!O830</f>
        <v>0</v>
      </c>
      <c r="P831" s="15">
        <f>IF(O831="Fire Control",VLOOKUP(_xlfn.MINIFS('FIRE CONTROL'!$C$4:$C$37,'FIRE CONTROL'!$C$4:$C$37,"&gt;="&amp;M831),'FIRE CONTROL'!$C$4:$G$37,IF(L831="F-15",2,IF(L831="F-30",3,IF(L831="F-60",4,IF(L831="F-90",5,0)))),0),0)+IF(AND(O831="FIRE TEX 5062",OR(E831="IN",E831="C",E831="Z",E831="L"),J831=3),VLOOKUP(_xlfn.MINIFS('FIRE TEX 5062'!$B$4:$B$34,'FIRE TEX 5062'!$B$4:$B$34,"&gt;="&amp;M831),'FIRE TEX 5062'!$B$4:$F$34,IF(L831="F-15",2,IF(L831="F-30",3,IF(L831="F-60",4,IF(L831="F-90",5,0)))),0),0)+IF(AND(O831="FIRE TEX 5062",OR(E831="IN",E831="C",E831="Z",E831="L"),J831=4),VLOOKUP(_xlfn.MINIFS('FIRE TEX 5062'!$G$4:$G$34,'FIRE TEX 5062'!$G$4:$G$34,"&gt;="&amp;M831),'FIRE TEX 5062'!$G$4:$K$34,IF(L831="F-15",2,IF(L831="F-30",3,IF(L831="F-60",4,IF(L831="F-90",5,0)))),0),0)+IF(AND(O831="FIRE TEX 5062",E831="CJ",J831=3),VLOOKUP(_xlfn.MINIFS('FIRE TEX 5062'!$L$4:$L$34,'FIRE TEX 5062'!$L$4:$L$34,"&gt;="&amp;M831),'FIRE TEX 5062'!$L$4:$P$34,IF(L831="F-15",2,IF(L831="F-30",3,IF(L831="F-60",4,IF(L831="F-90",5,0)))),0),0)+IF(AND(O831="FIRE TEX 5062",E831="CJ",J831=4),VLOOKUP(_xlfn.MINIFS('FIRE TEX 5062'!$Q$3:$Q$34,'FIRE TEX 5062'!$Q$3:$Q$34,"&gt;="&amp;M831),'FIRE TEX 5062'!$Q$3:$U$34,IF(L831="F-15",2,IF(L831="F-30",3,IF(L831="F-60",4,IF(L831="F-90",5,0)))),0),0)+IF(AND(O831="FIRE TEX 5090",OR(E831="IN",E831="C",E831="Z",E831="L"),J831=3),VLOOKUP(_xlfn.MINIFS('FIRE TEX 5090'!$B$5:$B$43,'FIRE TEX 5090'!$B$5:$B$43,"&gt;="&amp;M831),'FIRE TEX 5090'!$B$5:$H$43,IF(L831="F-15",2,IF(L831="F-30",3,IF(L831="F-60",4,IF(L831="F-90",5,IF(L831="F-120",6,IF(L831="F-150",7,0)))))),0),0)+IF(AND(O831="FIRE TEX 5090",OR(E831="IN",E831="C",E831="Z",E831="L"),J831=4),VLOOKUP(_xlfn.MINIFS('FIRE TEX 5090'!$J$5:$J$43,'FIRE TEX 5090'!$J$5:$J$43,"&gt;="&amp;M831),'FIRE TEX 5090'!$J$5:$P$43,IF(L831="F-15",2,IF(L831="F-30",3,IF(L831="F-60",4,IF(L831="F-90",5,IF(L831="F-120",6,IF(L831="F-150",7,0)))))),0),0)+IF(AND(O831="FIRE TEX 5090",E831="CJ",J831=3),VLOOKUP(_xlfn.MINIFS('FIRE TEX 5090'!$R$5:$R$30,'FIRE TEX 5090'!$R$5:$R$30,"&gt;="&amp;M831),'FIRE TEX 5090'!$R$5:$W$30,IF(L831="F-15",2,IF(L831="F-30",3,IF(L831="F-60",4,IF(L831="F-90",5,IF(L831="F-120",6,IF(L831="F-150",7,0)))))),0),0)+IF(AND(O831="FIRE TEX 5090",E831="CJ",J831=4),VLOOKUP(_xlfn.MINIFS('FIRE TEX 5090'!$Y$5:$Y$39,'FIRE TEX 5090'!$Y$5:$Y$39,"&gt;="&amp;M831),'FIRE TEX 5090'!$Y$5:$AD$39,IF(L831="F-15",2,IF(L831="F-30",3,IF(L831="F-60",4,IF(L831="F-90",5,IF(L831="F-120",6,IF(L831="F-150",7,0)))))),0),0)+IF(AND(O831="FIRE TEX 5120",OR(E831="IN",E831="C",E831="Z",E831="L"),J831=3),VLOOKUP(_xlfn.MINIFS('FIRE TEX 5120'!$B$5:$B$40,'FIRE TEX 5120'!$B$5:$B$40,"&gt;="&amp;M831),'FIRE TEX 5120'!$B$5:$G$40,IF(L831="F-15",2,IF(L831="F-30",3,IF(L831="F-60",4,IF(L831="F-90",5,IF(L831="F-120",6,0))))),0),0)+IF(AND(O831="FIRE TEX 5120",OR(E831="IN",E831="C",E831="Z",E831="L"),J831=4),VLOOKUP(_xlfn.MINIFS('FIRE TEX 5120'!$H$4:$H$40,'FIRE TEX 5120'!$H$4:$H$40,"&gt;="&amp;M831),'FIRE TEX 5120'!$H$4:$M$40,IF(L831="F-15",2,IF(L831="F-30",3,IF(L831="F-60",4,IF(L831="F-90",5,IF(L831="F-120",6,0))))),0),0)+IF(AND(O831="FIRE TEX 5120",E831="CJ"),VLOOKUP(_xlfn.MINIFS('FIRE TEX 5120'!$O$5:$O$40,'FIRE TEX 5120'!$O$5:$O$40,"&gt;="&amp;M831),'FIRE TEX 5120'!$O$5:$T$40,IF(L831="F-15",2,IF(L831="F-30",3,IF(L831="F-60",4,IF(L831="F-90",5,IF(L831="F-120",6,0))))),0),0)</f>
        <v>0</v>
      </c>
      <c r="Q831" s="46">
        <f t="shared" si="84"/>
        <v>0</v>
      </c>
      <c r="R831" s="46">
        <f t="shared" si="85"/>
        <v>0</v>
      </c>
      <c r="S831" s="46" t="e">
        <f t="shared" si="86"/>
        <v>#VALUE!</v>
      </c>
      <c r="T831" s="677">
        <f t="shared" si="87"/>
        <v>0</v>
      </c>
      <c r="U831" s="80">
        <f>(IF(O831="Stofire",(S831*#REF!),0))+(IF(O831="Fire Control",(S831*$U$2),0))+(IF(O831="Fire Tex",(S831*$U$3),0))+(IF(O831="WB7",(S831*#REF!),0)+(IF(O831="FX 2003",(S831*$U$5),0)))</f>
        <v>0</v>
      </c>
      <c r="V831" s="651">
        <f t="shared" si="88"/>
        <v>0</v>
      </c>
    </row>
    <row r="832" spans="4:22" x14ac:dyDescent="0.25">
      <c r="D832" s="118">
        <f>+CUBICACION!D831</f>
        <v>0</v>
      </c>
      <c r="E832" s="118">
        <f>+CUBICACION!F831</f>
        <v>0</v>
      </c>
      <c r="F832" s="118">
        <f>+CUBICACION!E831</f>
        <v>0</v>
      </c>
      <c r="G832" s="118">
        <v>12</v>
      </c>
      <c r="H832" s="118">
        <v>2</v>
      </c>
      <c r="I832" s="820">
        <v>26385</v>
      </c>
      <c r="J832" s="118">
        <f>+CUBICACION!J831</f>
        <v>0</v>
      </c>
      <c r="K832" s="118">
        <v>3611</v>
      </c>
      <c r="L832" s="118">
        <f>+CUBICACION!L831</f>
        <v>0</v>
      </c>
      <c r="M832" s="64">
        <f>+CUBICACION!M831</f>
        <v>0</v>
      </c>
      <c r="N832" s="824" t="str">
        <f>+CUBICACION!N831</f>
        <v/>
      </c>
      <c r="O832" s="675">
        <f>+CUBICACION!O831</f>
        <v>0</v>
      </c>
      <c r="P832" s="15">
        <f>IF(O832="Fire Control",VLOOKUP(_xlfn.MINIFS('FIRE CONTROL'!$C$4:$C$37,'FIRE CONTROL'!$C$4:$C$37,"&gt;="&amp;M832),'FIRE CONTROL'!$C$4:$G$37,IF(L832="F-15",2,IF(L832="F-30",3,IF(L832="F-60",4,IF(L832="F-90",5,0)))),0),0)+IF(AND(O832="FIRE TEX 5062",OR(E832="IN",E832="C",E832="Z",E832="L"),J832=3),VLOOKUP(_xlfn.MINIFS('FIRE TEX 5062'!$B$4:$B$34,'FIRE TEX 5062'!$B$4:$B$34,"&gt;="&amp;M832),'FIRE TEX 5062'!$B$4:$F$34,IF(L832="F-15",2,IF(L832="F-30",3,IF(L832="F-60",4,IF(L832="F-90",5,0)))),0),0)+IF(AND(O832="FIRE TEX 5062",OR(E832="IN",E832="C",E832="Z",E832="L"),J832=4),VLOOKUP(_xlfn.MINIFS('FIRE TEX 5062'!$G$4:$G$34,'FIRE TEX 5062'!$G$4:$G$34,"&gt;="&amp;M832),'FIRE TEX 5062'!$G$4:$K$34,IF(L832="F-15",2,IF(L832="F-30",3,IF(L832="F-60",4,IF(L832="F-90",5,0)))),0),0)+IF(AND(O832="FIRE TEX 5062",E832="CJ",J832=3),VLOOKUP(_xlfn.MINIFS('FIRE TEX 5062'!$L$4:$L$34,'FIRE TEX 5062'!$L$4:$L$34,"&gt;="&amp;M832),'FIRE TEX 5062'!$L$4:$P$34,IF(L832="F-15",2,IF(L832="F-30",3,IF(L832="F-60",4,IF(L832="F-90",5,0)))),0),0)+IF(AND(O832="FIRE TEX 5062",E832="CJ",J832=4),VLOOKUP(_xlfn.MINIFS('FIRE TEX 5062'!$Q$3:$Q$34,'FIRE TEX 5062'!$Q$3:$Q$34,"&gt;="&amp;M832),'FIRE TEX 5062'!$Q$3:$U$34,IF(L832="F-15",2,IF(L832="F-30",3,IF(L832="F-60",4,IF(L832="F-90",5,0)))),0),0)+IF(AND(O832="FIRE TEX 5090",OR(E832="IN",E832="C",E832="Z",E832="L"),J832=3),VLOOKUP(_xlfn.MINIFS('FIRE TEX 5090'!$B$5:$B$43,'FIRE TEX 5090'!$B$5:$B$43,"&gt;="&amp;M832),'FIRE TEX 5090'!$B$5:$H$43,IF(L832="F-15",2,IF(L832="F-30",3,IF(L832="F-60",4,IF(L832="F-90",5,IF(L832="F-120",6,IF(L832="F-150",7,0)))))),0),0)+IF(AND(O832="FIRE TEX 5090",OR(E832="IN",E832="C",E832="Z",E832="L"),J832=4),VLOOKUP(_xlfn.MINIFS('FIRE TEX 5090'!$J$5:$J$43,'FIRE TEX 5090'!$J$5:$J$43,"&gt;="&amp;M832),'FIRE TEX 5090'!$J$5:$P$43,IF(L832="F-15",2,IF(L832="F-30",3,IF(L832="F-60",4,IF(L832="F-90",5,IF(L832="F-120",6,IF(L832="F-150",7,0)))))),0),0)+IF(AND(O832="FIRE TEX 5090",E832="CJ",J832=3),VLOOKUP(_xlfn.MINIFS('FIRE TEX 5090'!$R$5:$R$30,'FIRE TEX 5090'!$R$5:$R$30,"&gt;="&amp;M832),'FIRE TEX 5090'!$R$5:$W$30,IF(L832="F-15",2,IF(L832="F-30",3,IF(L832="F-60",4,IF(L832="F-90",5,IF(L832="F-120",6,IF(L832="F-150",7,0)))))),0),0)+IF(AND(O832="FIRE TEX 5090",E832="CJ",J832=4),VLOOKUP(_xlfn.MINIFS('FIRE TEX 5090'!$Y$5:$Y$39,'FIRE TEX 5090'!$Y$5:$Y$39,"&gt;="&amp;M832),'FIRE TEX 5090'!$Y$5:$AD$39,IF(L832="F-15",2,IF(L832="F-30",3,IF(L832="F-60",4,IF(L832="F-90",5,IF(L832="F-120",6,IF(L832="F-150",7,0)))))),0),0)+IF(AND(O832="FIRE TEX 5120",OR(E832="IN",E832="C",E832="Z",E832="L"),J832=3),VLOOKUP(_xlfn.MINIFS('FIRE TEX 5120'!$B$5:$B$40,'FIRE TEX 5120'!$B$5:$B$40,"&gt;="&amp;M832),'FIRE TEX 5120'!$B$5:$G$40,IF(L832="F-15",2,IF(L832="F-30",3,IF(L832="F-60",4,IF(L832="F-90",5,IF(L832="F-120",6,0))))),0),0)+IF(AND(O832="FIRE TEX 5120",OR(E832="IN",E832="C",E832="Z",E832="L"),J832=4),VLOOKUP(_xlfn.MINIFS('FIRE TEX 5120'!$H$4:$H$40,'FIRE TEX 5120'!$H$4:$H$40,"&gt;="&amp;M832),'FIRE TEX 5120'!$H$4:$M$40,IF(L832="F-15",2,IF(L832="F-30",3,IF(L832="F-60",4,IF(L832="F-90",5,IF(L832="F-120",6,0))))),0),0)+IF(AND(O832="FIRE TEX 5120",E832="CJ"),VLOOKUP(_xlfn.MINIFS('FIRE TEX 5120'!$O$5:$O$40,'FIRE TEX 5120'!$O$5:$O$40,"&gt;="&amp;M832),'FIRE TEX 5120'!$O$5:$T$40,IF(L832="F-15",2,IF(L832="F-30",3,IF(L832="F-60",4,IF(L832="F-90",5,IF(L832="F-120",6,0))))),0),0)</f>
        <v>0</v>
      </c>
      <c r="Q832" s="46">
        <f t="shared" si="84"/>
        <v>0</v>
      </c>
      <c r="R832" s="46">
        <f t="shared" si="85"/>
        <v>0</v>
      </c>
      <c r="S832" s="46" t="e">
        <f t="shared" si="86"/>
        <v>#VALUE!</v>
      </c>
      <c r="T832" s="677">
        <f t="shared" si="87"/>
        <v>0</v>
      </c>
      <c r="U832" s="80">
        <f>(IF(O832="Stofire",(S832*#REF!),0))+(IF(O832="Fire Control",(S832*$U$2),0))+(IF(O832="Fire Tex",(S832*$U$3),0))+(IF(O832="WB7",(S832*#REF!),0)+(IF(O832="FX 2003",(S832*$U$5),0)))</f>
        <v>0</v>
      </c>
      <c r="V832" s="651">
        <f t="shared" si="88"/>
        <v>0</v>
      </c>
    </row>
    <row r="833" spans="4:22" x14ac:dyDescent="0.25">
      <c r="D833" s="118">
        <f>+CUBICACION!D832</f>
        <v>0</v>
      </c>
      <c r="E833" s="118">
        <f>+CUBICACION!F832</f>
        <v>0</v>
      </c>
      <c r="F833" s="118">
        <f>+CUBICACION!E832</f>
        <v>0</v>
      </c>
      <c r="G833" s="118">
        <v>12</v>
      </c>
      <c r="H833" s="118">
        <v>2</v>
      </c>
      <c r="I833" s="820">
        <v>26385</v>
      </c>
      <c r="J833" s="118">
        <f>+CUBICACION!J832</f>
        <v>0</v>
      </c>
      <c r="K833" s="118">
        <v>3612</v>
      </c>
      <c r="L833" s="118">
        <f>+CUBICACION!L832</f>
        <v>0</v>
      </c>
      <c r="M833" s="64">
        <f>+CUBICACION!M832</f>
        <v>0</v>
      </c>
      <c r="N833" s="824" t="str">
        <f>+CUBICACION!N832</f>
        <v/>
      </c>
      <c r="O833" s="675">
        <f>+CUBICACION!O832</f>
        <v>0</v>
      </c>
      <c r="P833" s="15">
        <f>IF(O833="Fire Control",VLOOKUP(_xlfn.MINIFS('FIRE CONTROL'!$C$4:$C$37,'FIRE CONTROL'!$C$4:$C$37,"&gt;="&amp;M833),'FIRE CONTROL'!$C$4:$G$37,IF(L833="F-15",2,IF(L833="F-30",3,IF(L833="F-60",4,IF(L833="F-90",5,0)))),0),0)+IF(AND(O833="FIRE TEX 5062",OR(E833="IN",E833="C",E833="Z",E833="L"),J833=3),VLOOKUP(_xlfn.MINIFS('FIRE TEX 5062'!$B$4:$B$34,'FIRE TEX 5062'!$B$4:$B$34,"&gt;="&amp;M833),'FIRE TEX 5062'!$B$4:$F$34,IF(L833="F-15",2,IF(L833="F-30",3,IF(L833="F-60",4,IF(L833="F-90",5,0)))),0),0)+IF(AND(O833="FIRE TEX 5062",OR(E833="IN",E833="C",E833="Z",E833="L"),J833=4),VLOOKUP(_xlfn.MINIFS('FIRE TEX 5062'!$G$4:$G$34,'FIRE TEX 5062'!$G$4:$G$34,"&gt;="&amp;M833),'FIRE TEX 5062'!$G$4:$K$34,IF(L833="F-15",2,IF(L833="F-30",3,IF(L833="F-60",4,IF(L833="F-90",5,0)))),0),0)+IF(AND(O833="FIRE TEX 5062",E833="CJ",J833=3),VLOOKUP(_xlfn.MINIFS('FIRE TEX 5062'!$L$4:$L$34,'FIRE TEX 5062'!$L$4:$L$34,"&gt;="&amp;M833),'FIRE TEX 5062'!$L$4:$P$34,IF(L833="F-15",2,IF(L833="F-30",3,IF(L833="F-60",4,IF(L833="F-90",5,0)))),0),0)+IF(AND(O833="FIRE TEX 5062",E833="CJ",J833=4),VLOOKUP(_xlfn.MINIFS('FIRE TEX 5062'!$Q$3:$Q$34,'FIRE TEX 5062'!$Q$3:$Q$34,"&gt;="&amp;M833),'FIRE TEX 5062'!$Q$3:$U$34,IF(L833="F-15",2,IF(L833="F-30",3,IF(L833="F-60",4,IF(L833="F-90",5,0)))),0),0)+IF(AND(O833="FIRE TEX 5090",OR(E833="IN",E833="C",E833="Z",E833="L"),J833=3),VLOOKUP(_xlfn.MINIFS('FIRE TEX 5090'!$B$5:$B$43,'FIRE TEX 5090'!$B$5:$B$43,"&gt;="&amp;M833),'FIRE TEX 5090'!$B$5:$H$43,IF(L833="F-15",2,IF(L833="F-30",3,IF(L833="F-60",4,IF(L833="F-90",5,IF(L833="F-120",6,IF(L833="F-150",7,0)))))),0),0)+IF(AND(O833="FIRE TEX 5090",OR(E833="IN",E833="C",E833="Z",E833="L"),J833=4),VLOOKUP(_xlfn.MINIFS('FIRE TEX 5090'!$J$5:$J$43,'FIRE TEX 5090'!$J$5:$J$43,"&gt;="&amp;M833),'FIRE TEX 5090'!$J$5:$P$43,IF(L833="F-15",2,IF(L833="F-30",3,IF(L833="F-60",4,IF(L833="F-90",5,IF(L833="F-120",6,IF(L833="F-150",7,0)))))),0),0)+IF(AND(O833="FIRE TEX 5090",E833="CJ",J833=3),VLOOKUP(_xlfn.MINIFS('FIRE TEX 5090'!$R$5:$R$30,'FIRE TEX 5090'!$R$5:$R$30,"&gt;="&amp;M833),'FIRE TEX 5090'!$R$5:$W$30,IF(L833="F-15",2,IF(L833="F-30",3,IF(L833="F-60",4,IF(L833="F-90",5,IF(L833="F-120",6,IF(L833="F-150",7,0)))))),0),0)+IF(AND(O833="FIRE TEX 5090",E833="CJ",J833=4),VLOOKUP(_xlfn.MINIFS('FIRE TEX 5090'!$Y$5:$Y$39,'FIRE TEX 5090'!$Y$5:$Y$39,"&gt;="&amp;M833),'FIRE TEX 5090'!$Y$5:$AD$39,IF(L833="F-15",2,IF(L833="F-30",3,IF(L833="F-60",4,IF(L833="F-90",5,IF(L833="F-120",6,IF(L833="F-150",7,0)))))),0),0)+IF(AND(O833="FIRE TEX 5120",OR(E833="IN",E833="C",E833="Z",E833="L"),J833=3),VLOOKUP(_xlfn.MINIFS('FIRE TEX 5120'!$B$5:$B$40,'FIRE TEX 5120'!$B$5:$B$40,"&gt;="&amp;M833),'FIRE TEX 5120'!$B$5:$G$40,IF(L833="F-15",2,IF(L833="F-30",3,IF(L833="F-60",4,IF(L833="F-90",5,IF(L833="F-120",6,0))))),0),0)+IF(AND(O833="FIRE TEX 5120",OR(E833="IN",E833="C",E833="Z",E833="L"),J833=4),VLOOKUP(_xlfn.MINIFS('FIRE TEX 5120'!$H$4:$H$40,'FIRE TEX 5120'!$H$4:$H$40,"&gt;="&amp;M833),'FIRE TEX 5120'!$H$4:$M$40,IF(L833="F-15",2,IF(L833="F-30",3,IF(L833="F-60",4,IF(L833="F-90",5,IF(L833="F-120",6,0))))),0),0)+IF(AND(O833="FIRE TEX 5120",E833="CJ"),VLOOKUP(_xlfn.MINIFS('FIRE TEX 5120'!$O$5:$O$40,'FIRE TEX 5120'!$O$5:$O$40,"&gt;="&amp;M833),'FIRE TEX 5120'!$O$5:$T$40,IF(L833="F-15",2,IF(L833="F-30",3,IF(L833="F-60",4,IF(L833="F-90",5,IF(L833="F-120",6,0))))),0),0)</f>
        <v>0</v>
      </c>
      <c r="Q833" s="46">
        <f t="shared" si="84"/>
        <v>0</v>
      </c>
      <c r="R833" s="46">
        <f t="shared" si="85"/>
        <v>0</v>
      </c>
      <c r="S833" s="46" t="e">
        <f t="shared" si="86"/>
        <v>#VALUE!</v>
      </c>
      <c r="T833" s="677">
        <f t="shared" si="87"/>
        <v>0</v>
      </c>
      <c r="U833" s="80">
        <f>(IF(O833="Stofire",(S833*#REF!),0))+(IF(O833="Fire Control",(S833*$U$2),0))+(IF(O833="Fire Tex",(S833*$U$3),0))+(IF(O833="WB7",(S833*#REF!),0)+(IF(O833="FX 2003",(S833*$U$5),0)))</f>
        <v>0</v>
      </c>
      <c r="V833" s="651">
        <f t="shared" si="88"/>
        <v>0</v>
      </c>
    </row>
    <row r="834" spans="4:22" x14ac:dyDescent="0.25">
      <c r="D834" s="118">
        <f>+CUBICACION!D833</f>
        <v>0</v>
      </c>
      <c r="E834" s="118">
        <f>+CUBICACION!F833</f>
        <v>0</v>
      </c>
      <c r="F834" s="118">
        <f>+CUBICACION!E833</f>
        <v>0</v>
      </c>
      <c r="G834" s="118">
        <v>12</v>
      </c>
      <c r="H834" s="118">
        <v>2</v>
      </c>
      <c r="I834" s="820">
        <v>26385</v>
      </c>
      <c r="J834" s="118">
        <f>+CUBICACION!J833</f>
        <v>0</v>
      </c>
      <c r="K834" s="118">
        <v>3613</v>
      </c>
      <c r="L834" s="118">
        <f>+CUBICACION!L833</f>
        <v>0</v>
      </c>
      <c r="M834" s="64">
        <f>+CUBICACION!M833</f>
        <v>0</v>
      </c>
      <c r="N834" s="824" t="str">
        <f>+CUBICACION!N833</f>
        <v/>
      </c>
      <c r="O834" s="675">
        <f>+CUBICACION!O833</f>
        <v>0</v>
      </c>
      <c r="P834" s="15">
        <f>IF(O834="Fire Control",VLOOKUP(_xlfn.MINIFS('FIRE CONTROL'!$C$4:$C$37,'FIRE CONTROL'!$C$4:$C$37,"&gt;="&amp;M834),'FIRE CONTROL'!$C$4:$G$37,IF(L834="F-15",2,IF(L834="F-30",3,IF(L834="F-60",4,IF(L834="F-90",5,0)))),0),0)+IF(AND(O834="FIRE TEX 5062",OR(E834="IN",E834="C",E834="Z",E834="L"),J834=3),VLOOKUP(_xlfn.MINIFS('FIRE TEX 5062'!$B$4:$B$34,'FIRE TEX 5062'!$B$4:$B$34,"&gt;="&amp;M834),'FIRE TEX 5062'!$B$4:$F$34,IF(L834="F-15",2,IF(L834="F-30",3,IF(L834="F-60",4,IF(L834="F-90",5,0)))),0),0)+IF(AND(O834="FIRE TEX 5062",OR(E834="IN",E834="C",E834="Z",E834="L"),J834=4),VLOOKUP(_xlfn.MINIFS('FIRE TEX 5062'!$G$4:$G$34,'FIRE TEX 5062'!$G$4:$G$34,"&gt;="&amp;M834),'FIRE TEX 5062'!$G$4:$K$34,IF(L834="F-15",2,IF(L834="F-30",3,IF(L834="F-60",4,IF(L834="F-90",5,0)))),0),0)+IF(AND(O834="FIRE TEX 5062",E834="CJ",J834=3),VLOOKUP(_xlfn.MINIFS('FIRE TEX 5062'!$L$4:$L$34,'FIRE TEX 5062'!$L$4:$L$34,"&gt;="&amp;M834),'FIRE TEX 5062'!$L$4:$P$34,IF(L834="F-15",2,IF(L834="F-30",3,IF(L834="F-60",4,IF(L834="F-90",5,0)))),0),0)+IF(AND(O834="FIRE TEX 5062",E834="CJ",J834=4),VLOOKUP(_xlfn.MINIFS('FIRE TEX 5062'!$Q$3:$Q$34,'FIRE TEX 5062'!$Q$3:$Q$34,"&gt;="&amp;M834),'FIRE TEX 5062'!$Q$3:$U$34,IF(L834="F-15",2,IF(L834="F-30",3,IF(L834="F-60",4,IF(L834="F-90",5,0)))),0),0)+IF(AND(O834="FIRE TEX 5090",OR(E834="IN",E834="C",E834="Z",E834="L"),J834=3),VLOOKUP(_xlfn.MINIFS('FIRE TEX 5090'!$B$5:$B$43,'FIRE TEX 5090'!$B$5:$B$43,"&gt;="&amp;M834),'FIRE TEX 5090'!$B$5:$H$43,IF(L834="F-15",2,IF(L834="F-30",3,IF(L834="F-60",4,IF(L834="F-90",5,IF(L834="F-120",6,IF(L834="F-150",7,0)))))),0),0)+IF(AND(O834="FIRE TEX 5090",OR(E834="IN",E834="C",E834="Z",E834="L"),J834=4),VLOOKUP(_xlfn.MINIFS('FIRE TEX 5090'!$J$5:$J$43,'FIRE TEX 5090'!$J$5:$J$43,"&gt;="&amp;M834),'FIRE TEX 5090'!$J$5:$P$43,IF(L834="F-15",2,IF(L834="F-30",3,IF(L834="F-60",4,IF(L834="F-90",5,IF(L834="F-120",6,IF(L834="F-150",7,0)))))),0),0)+IF(AND(O834="FIRE TEX 5090",E834="CJ",J834=3),VLOOKUP(_xlfn.MINIFS('FIRE TEX 5090'!$R$5:$R$30,'FIRE TEX 5090'!$R$5:$R$30,"&gt;="&amp;M834),'FIRE TEX 5090'!$R$5:$W$30,IF(L834="F-15",2,IF(L834="F-30",3,IF(L834="F-60",4,IF(L834="F-90",5,IF(L834="F-120",6,IF(L834="F-150",7,0)))))),0),0)+IF(AND(O834="FIRE TEX 5090",E834="CJ",J834=4),VLOOKUP(_xlfn.MINIFS('FIRE TEX 5090'!$Y$5:$Y$39,'FIRE TEX 5090'!$Y$5:$Y$39,"&gt;="&amp;M834),'FIRE TEX 5090'!$Y$5:$AD$39,IF(L834="F-15",2,IF(L834="F-30",3,IF(L834="F-60",4,IF(L834="F-90",5,IF(L834="F-120",6,IF(L834="F-150",7,0)))))),0),0)+IF(AND(O834="FIRE TEX 5120",OR(E834="IN",E834="C",E834="Z",E834="L"),J834=3),VLOOKUP(_xlfn.MINIFS('FIRE TEX 5120'!$B$5:$B$40,'FIRE TEX 5120'!$B$5:$B$40,"&gt;="&amp;M834),'FIRE TEX 5120'!$B$5:$G$40,IF(L834="F-15",2,IF(L834="F-30",3,IF(L834="F-60",4,IF(L834="F-90",5,IF(L834="F-120",6,0))))),0),0)+IF(AND(O834="FIRE TEX 5120",OR(E834="IN",E834="C",E834="Z",E834="L"),J834=4),VLOOKUP(_xlfn.MINIFS('FIRE TEX 5120'!$H$4:$H$40,'FIRE TEX 5120'!$H$4:$H$40,"&gt;="&amp;M834),'FIRE TEX 5120'!$H$4:$M$40,IF(L834="F-15",2,IF(L834="F-30",3,IF(L834="F-60",4,IF(L834="F-90",5,IF(L834="F-120",6,0))))),0),0)+IF(AND(O834="FIRE TEX 5120",E834="CJ"),VLOOKUP(_xlfn.MINIFS('FIRE TEX 5120'!$O$5:$O$40,'FIRE TEX 5120'!$O$5:$O$40,"&gt;="&amp;M834),'FIRE TEX 5120'!$O$5:$T$40,IF(L834="F-15",2,IF(L834="F-30",3,IF(L834="F-60",4,IF(L834="F-90",5,IF(L834="F-120",6,0))))),0),0)</f>
        <v>0</v>
      </c>
      <c r="Q834" s="46">
        <f t="shared" si="84"/>
        <v>0</v>
      </c>
      <c r="R834" s="46">
        <f t="shared" si="85"/>
        <v>0</v>
      </c>
      <c r="S834" s="46" t="e">
        <f t="shared" si="86"/>
        <v>#VALUE!</v>
      </c>
      <c r="T834" s="677">
        <f t="shared" si="87"/>
        <v>0</v>
      </c>
      <c r="U834" s="80">
        <f>(IF(O834="Stofire",(S834*#REF!),0))+(IF(O834="Fire Control",(S834*$U$2),0))+(IF(O834="Fire Tex",(S834*$U$3),0))+(IF(O834="WB7",(S834*#REF!),0)+(IF(O834="FX 2003",(S834*$U$5),0)))</f>
        <v>0</v>
      </c>
      <c r="V834" s="651">
        <f t="shared" si="88"/>
        <v>0</v>
      </c>
    </row>
    <row r="835" spans="4:22" x14ac:dyDescent="0.25">
      <c r="D835" s="118">
        <f>+CUBICACION!D834</f>
        <v>0</v>
      </c>
      <c r="E835" s="118">
        <f>+CUBICACION!F834</f>
        <v>0</v>
      </c>
      <c r="F835" s="118">
        <f>+CUBICACION!E834</f>
        <v>0</v>
      </c>
      <c r="G835" s="118">
        <v>12</v>
      </c>
      <c r="H835" s="118">
        <v>2</v>
      </c>
      <c r="I835" s="820">
        <v>26385</v>
      </c>
      <c r="J835" s="118">
        <f>+CUBICACION!J834</f>
        <v>0</v>
      </c>
      <c r="K835" s="118">
        <v>3614</v>
      </c>
      <c r="L835" s="118">
        <f>+CUBICACION!L834</f>
        <v>0</v>
      </c>
      <c r="M835" s="64">
        <f>+CUBICACION!M834</f>
        <v>0</v>
      </c>
      <c r="N835" s="824" t="str">
        <f>+CUBICACION!N834</f>
        <v/>
      </c>
      <c r="O835" s="675">
        <f>+CUBICACION!O834</f>
        <v>0</v>
      </c>
      <c r="P835" s="15">
        <f>IF(O835="Fire Control",VLOOKUP(_xlfn.MINIFS('FIRE CONTROL'!$C$4:$C$37,'FIRE CONTROL'!$C$4:$C$37,"&gt;="&amp;M835),'FIRE CONTROL'!$C$4:$G$37,IF(L835="F-15",2,IF(L835="F-30",3,IF(L835="F-60",4,IF(L835="F-90",5,0)))),0),0)+IF(AND(O835="FIRE TEX 5062",OR(E835="IN",E835="C",E835="Z",E835="L"),J835=3),VLOOKUP(_xlfn.MINIFS('FIRE TEX 5062'!$B$4:$B$34,'FIRE TEX 5062'!$B$4:$B$34,"&gt;="&amp;M835),'FIRE TEX 5062'!$B$4:$F$34,IF(L835="F-15",2,IF(L835="F-30",3,IF(L835="F-60",4,IF(L835="F-90",5,0)))),0),0)+IF(AND(O835="FIRE TEX 5062",OR(E835="IN",E835="C",E835="Z",E835="L"),J835=4),VLOOKUP(_xlfn.MINIFS('FIRE TEX 5062'!$G$4:$G$34,'FIRE TEX 5062'!$G$4:$G$34,"&gt;="&amp;M835),'FIRE TEX 5062'!$G$4:$K$34,IF(L835="F-15",2,IF(L835="F-30",3,IF(L835="F-60",4,IF(L835="F-90",5,0)))),0),0)+IF(AND(O835="FIRE TEX 5062",E835="CJ",J835=3),VLOOKUP(_xlfn.MINIFS('FIRE TEX 5062'!$L$4:$L$34,'FIRE TEX 5062'!$L$4:$L$34,"&gt;="&amp;M835),'FIRE TEX 5062'!$L$4:$P$34,IF(L835="F-15",2,IF(L835="F-30",3,IF(L835="F-60",4,IF(L835="F-90",5,0)))),0),0)+IF(AND(O835="FIRE TEX 5062",E835="CJ",J835=4),VLOOKUP(_xlfn.MINIFS('FIRE TEX 5062'!$Q$3:$Q$34,'FIRE TEX 5062'!$Q$3:$Q$34,"&gt;="&amp;M835),'FIRE TEX 5062'!$Q$3:$U$34,IF(L835="F-15",2,IF(L835="F-30",3,IF(L835="F-60",4,IF(L835="F-90",5,0)))),0),0)+IF(AND(O835="FIRE TEX 5090",OR(E835="IN",E835="C",E835="Z",E835="L"),J835=3),VLOOKUP(_xlfn.MINIFS('FIRE TEX 5090'!$B$5:$B$43,'FIRE TEX 5090'!$B$5:$B$43,"&gt;="&amp;M835),'FIRE TEX 5090'!$B$5:$H$43,IF(L835="F-15",2,IF(L835="F-30",3,IF(L835="F-60",4,IF(L835="F-90",5,IF(L835="F-120",6,IF(L835="F-150",7,0)))))),0),0)+IF(AND(O835="FIRE TEX 5090",OR(E835="IN",E835="C",E835="Z",E835="L"),J835=4),VLOOKUP(_xlfn.MINIFS('FIRE TEX 5090'!$J$5:$J$43,'FIRE TEX 5090'!$J$5:$J$43,"&gt;="&amp;M835),'FIRE TEX 5090'!$J$5:$P$43,IF(L835="F-15",2,IF(L835="F-30",3,IF(L835="F-60",4,IF(L835="F-90",5,IF(L835="F-120",6,IF(L835="F-150",7,0)))))),0),0)+IF(AND(O835="FIRE TEX 5090",E835="CJ",J835=3),VLOOKUP(_xlfn.MINIFS('FIRE TEX 5090'!$R$5:$R$30,'FIRE TEX 5090'!$R$5:$R$30,"&gt;="&amp;M835),'FIRE TEX 5090'!$R$5:$W$30,IF(L835="F-15",2,IF(L835="F-30",3,IF(L835="F-60",4,IF(L835="F-90",5,IF(L835="F-120",6,IF(L835="F-150",7,0)))))),0),0)+IF(AND(O835="FIRE TEX 5090",E835="CJ",J835=4),VLOOKUP(_xlfn.MINIFS('FIRE TEX 5090'!$Y$5:$Y$39,'FIRE TEX 5090'!$Y$5:$Y$39,"&gt;="&amp;M835),'FIRE TEX 5090'!$Y$5:$AD$39,IF(L835="F-15",2,IF(L835="F-30",3,IF(L835="F-60",4,IF(L835="F-90",5,IF(L835="F-120",6,IF(L835="F-150",7,0)))))),0),0)+IF(AND(O835="FIRE TEX 5120",OR(E835="IN",E835="C",E835="Z",E835="L"),J835=3),VLOOKUP(_xlfn.MINIFS('FIRE TEX 5120'!$B$5:$B$40,'FIRE TEX 5120'!$B$5:$B$40,"&gt;="&amp;M835),'FIRE TEX 5120'!$B$5:$G$40,IF(L835="F-15",2,IF(L835="F-30",3,IF(L835="F-60",4,IF(L835="F-90",5,IF(L835="F-120",6,0))))),0),0)+IF(AND(O835="FIRE TEX 5120",OR(E835="IN",E835="C",E835="Z",E835="L"),J835=4),VLOOKUP(_xlfn.MINIFS('FIRE TEX 5120'!$H$4:$H$40,'FIRE TEX 5120'!$H$4:$H$40,"&gt;="&amp;M835),'FIRE TEX 5120'!$H$4:$M$40,IF(L835="F-15",2,IF(L835="F-30",3,IF(L835="F-60",4,IF(L835="F-90",5,IF(L835="F-120",6,0))))),0),0)+IF(AND(O835="FIRE TEX 5120",E835="CJ"),VLOOKUP(_xlfn.MINIFS('FIRE TEX 5120'!$O$5:$O$40,'FIRE TEX 5120'!$O$5:$O$40,"&gt;="&amp;M835),'FIRE TEX 5120'!$O$5:$T$40,IF(L835="F-15",2,IF(L835="F-30",3,IF(L835="F-60",4,IF(L835="F-90",5,IF(L835="F-120",6,0))))),0),0)</f>
        <v>0</v>
      </c>
      <c r="Q835" s="46">
        <f t="shared" si="84"/>
        <v>0</v>
      </c>
      <c r="R835" s="46">
        <f t="shared" si="85"/>
        <v>0</v>
      </c>
      <c r="S835" s="46" t="e">
        <f t="shared" si="86"/>
        <v>#VALUE!</v>
      </c>
      <c r="T835" s="677">
        <f t="shared" si="87"/>
        <v>0</v>
      </c>
      <c r="U835" s="80">
        <f>(IF(O835="Stofire",(S835*#REF!),0))+(IF(O835="Fire Control",(S835*$U$2),0))+(IF(O835="Fire Tex",(S835*$U$3),0))+(IF(O835="WB7",(S835*#REF!),0)+(IF(O835="FX 2003",(S835*$U$5),0)))</f>
        <v>0</v>
      </c>
      <c r="V835" s="651">
        <f t="shared" si="88"/>
        <v>0</v>
      </c>
    </row>
    <row r="836" spans="4:22" x14ac:dyDescent="0.25">
      <c r="D836" s="118">
        <f>+CUBICACION!D835</f>
        <v>0</v>
      </c>
      <c r="E836" s="118">
        <f>+CUBICACION!F835</f>
        <v>0</v>
      </c>
      <c r="F836" s="118">
        <f>+CUBICACION!E835</f>
        <v>0</v>
      </c>
      <c r="G836" s="118">
        <v>12</v>
      </c>
      <c r="H836" s="118">
        <v>2</v>
      </c>
      <c r="I836" s="820">
        <v>26385</v>
      </c>
      <c r="J836" s="118">
        <f>+CUBICACION!J835</f>
        <v>0</v>
      </c>
      <c r="K836" s="118">
        <v>3615</v>
      </c>
      <c r="L836" s="118">
        <f>+CUBICACION!L835</f>
        <v>0</v>
      </c>
      <c r="M836" s="64">
        <f>+CUBICACION!M835</f>
        <v>0</v>
      </c>
      <c r="N836" s="824" t="str">
        <f>+CUBICACION!N835</f>
        <v/>
      </c>
      <c r="O836" s="675">
        <f>+CUBICACION!O835</f>
        <v>0</v>
      </c>
      <c r="P836" s="15">
        <f>IF(O836="Fire Control",VLOOKUP(_xlfn.MINIFS('FIRE CONTROL'!$C$4:$C$37,'FIRE CONTROL'!$C$4:$C$37,"&gt;="&amp;M836),'FIRE CONTROL'!$C$4:$G$37,IF(L836="F-15",2,IF(L836="F-30",3,IF(L836="F-60",4,IF(L836="F-90",5,0)))),0),0)+IF(AND(O836="FIRE TEX 5062",OR(E836="IN",E836="C",E836="Z",E836="L"),J836=3),VLOOKUP(_xlfn.MINIFS('FIRE TEX 5062'!$B$4:$B$34,'FIRE TEX 5062'!$B$4:$B$34,"&gt;="&amp;M836),'FIRE TEX 5062'!$B$4:$F$34,IF(L836="F-15",2,IF(L836="F-30",3,IF(L836="F-60",4,IF(L836="F-90",5,0)))),0),0)+IF(AND(O836="FIRE TEX 5062",OR(E836="IN",E836="C",E836="Z",E836="L"),J836=4),VLOOKUP(_xlfn.MINIFS('FIRE TEX 5062'!$G$4:$G$34,'FIRE TEX 5062'!$G$4:$G$34,"&gt;="&amp;M836),'FIRE TEX 5062'!$G$4:$K$34,IF(L836="F-15",2,IF(L836="F-30",3,IF(L836="F-60",4,IF(L836="F-90",5,0)))),0),0)+IF(AND(O836="FIRE TEX 5062",E836="CJ",J836=3),VLOOKUP(_xlfn.MINIFS('FIRE TEX 5062'!$L$4:$L$34,'FIRE TEX 5062'!$L$4:$L$34,"&gt;="&amp;M836),'FIRE TEX 5062'!$L$4:$P$34,IF(L836="F-15",2,IF(L836="F-30",3,IF(L836="F-60",4,IF(L836="F-90",5,0)))),0),0)+IF(AND(O836="FIRE TEX 5062",E836="CJ",J836=4),VLOOKUP(_xlfn.MINIFS('FIRE TEX 5062'!$Q$3:$Q$34,'FIRE TEX 5062'!$Q$3:$Q$34,"&gt;="&amp;M836),'FIRE TEX 5062'!$Q$3:$U$34,IF(L836="F-15",2,IF(L836="F-30",3,IF(L836="F-60",4,IF(L836="F-90",5,0)))),0),0)+IF(AND(O836="FIRE TEX 5090",OR(E836="IN",E836="C",E836="Z",E836="L"),J836=3),VLOOKUP(_xlfn.MINIFS('FIRE TEX 5090'!$B$5:$B$43,'FIRE TEX 5090'!$B$5:$B$43,"&gt;="&amp;M836),'FIRE TEX 5090'!$B$5:$H$43,IF(L836="F-15",2,IF(L836="F-30",3,IF(L836="F-60",4,IF(L836="F-90",5,IF(L836="F-120",6,IF(L836="F-150",7,0)))))),0),0)+IF(AND(O836="FIRE TEX 5090",OR(E836="IN",E836="C",E836="Z",E836="L"),J836=4),VLOOKUP(_xlfn.MINIFS('FIRE TEX 5090'!$J$5:$J$43,'FIRE TEX 5090'!$J$5:$J$43,"&gt;="&amp;M836),'FIRE TEX 5090'!$J$5:$P$43,IF(L836="F-15",2,IF(L836="F-30",3,IF(L836="F-60",4,IF(L836="F-90",5,IF(L836="F-120",6,IF(L836="F-150",7,0)))))),0),0)+IF(AND(O836="FIRE TEX 5090",E836="CJ",J836=3),VLOOKUP(_xlfn.MINIFS('FIRE TEX 5090'!$R$5:$R$30,'FIRE TEX 5090'!$R$5:$R$30,"&gt;="&amp;M836),'FIRE TEX 5090'!$R$5:$W$30,IF(L836="F-15",2,IF(L836="F-30",3,IF(L836="F-60",4,IF(L836="F-90",5,IF(L836="F-120",6,IF(L836="F-150",7,0)))))),0),0)+IF(AND(O836="FIRE TEX 5090",E836="CJ",J836=4),VLOOKUP(_xlfn.MINIFS('FIRE TEX 5090'!$Y$5:$Y$39,'FIRE TEX 5090'!$Y$5:$Y$39,"&gt;="&amp;M836),'FIRE TEX 5090'!$Y$5:$AD$39,IF(L836="F-15",2,IF(L836="F-30",3,IF(L836="F-60",4,IF(L836="F-90",5,IF(L836="F-120",6,IF(L836="F-150",7,0)))))),0),0)+IF(AND(O836="FIRE TEX 5120",OR(E836="IN",E836="C",E836="Z",E836="L"),J836=3),VLOOKUP(_xlfn.MINIFS('FIRE TEX 5120'!$B$5:$B$40,'FIRE TEX 5120'!$B$5:$B$40,"&gt;="&amp;M836),'FIRE TEX 5120'!$B$5:$G$40,IF(L836="F-15",2,IF(L836="F-30",3,IF(L836="F-60",4,IF(L836="F-90",5,IF(L836="F-120",6,0))))),0),0)+IF(AND(O836="FIRE TEX 5120",OR(E836="IN",E836="C",E836="Z",E836="L"),J836=4),VLOOKUP(_xlfn.MINIFS('FIRE TEX 5120'!$H$4:$H$40,'FIRE TEX 5120'!$H$4:$H$40,"&gt;="&amp;M836),'FIRE TEX 5120'!$H$4:$M$40,IF(L836="F-15",2,IF(L836="F-30",3,IF(L836="F-60",4,IF(L836="F-90",5,IF(L836="F-120",6,0))))),0),0)+IF(AND(O836="FIRE TEX 5120",E836="CJ"),VLOOKUP(_xlfn.MINIFS('FIRE TEX 5120'!$O$5:$O$40,'FIRE TEX 5120'!$O$5:$O$40,"&gt;="&amp;M836),'FIRE TEX 5120'!$O$5:$T$40,IF(L836="F-15",2,IF(L836="F-30",3,IF(L836="F-60",4,IF(L836="F-90",5,IF(L836="F-120",6,0))))),0),0)</f>
        <v>0</v>
      </c>
      <c r="Q836" s="46">
        <f t="shared" si="84"/>
        <v>0</v>
      </c>
      <c r="R836" s="46">
        <f t="shared" si="85"/>
        <v>0</v>
      </c>
      <c r="S836" s="46" t="e">
        <f t="shared" si="86"/>
        <v>#VALUE!</v>
      </c>
      <c r="T836" s="677">
        <f t="shared" si="87"/>
        <v>0</v>
      </c>
      <c r="U836" s="80">
        <f>(IF(O836="Stofire",(S836*#REF!),0))+(IF(O836="Fire Control",(S836*$U$2),0))+(IF(O836="Fire Tex",(S836*$U$3),0))+(IF(O836="WB7",(S836*#REF!),0)+(IF(O836="FX 2003",(S836*$U$5),0)))</f>
        <v>0</v>
      </c>
      <c r="V836" s="651">
        <f t="shared" si="88"/>
        <v>0</v>
      </c>
    </row>
    <row r="837" spans="4:22" x14ac:dyDescent="0.25">
      <c r="D837" s="118">
        <f>+CUBICACION!D836</f>
        <v>0</v>
      </c>
      <c r="E837" s="118">
        <f>+CUBICACION!F836</f>
        <v>0</v>
      </c>
      <c r="F837" s="118">
        <f>+CUBICACION!E836</f>
        <v>0</v>
      </c>
      <c r="G837" s="118">
        <v>12</v>
      </c>
      <c r="H837" s="118">
        <v>2</v>
      </c>
      <c r="I837" s="820">
        <v>26385</v>
      </c>
      <c r="J837" s="118">
        <f>+CUBICACION!J836</f>
        <v>0</v>
      </c>
      <c r="K837" s="118">
        <v>3616</v>
      </c>
      <c r="L837" s="118">
        <f>+CUBICACION!L836</f>
        <v>0</v>
      </c>
      <c r="M837" s="64">
        <f>+CUBICACION!M836</f>
        <v>0</v>
      </c>
      <c r="N837" s="824" t="str">
        <f>+CUBICACION!N836</f>
        <v/>
      </c>
      <c r="O837" s="675">
        <f>+CUBICACION!O836</f>
        <v>0</v>
      </c>
      <c r="P837" s="15">
        <f>IF(O837="Fire Control",VLOOKUP(_xlfn.MINIFS('FIRE CONTROL'!$C$4:$C$37,'FIRE CONTROL'!$C$4:$C$37,"&gt;="&amp;M837),'FIRE CONTROL'!$C$4:$G$37,IF(L837="F-15",2,IF(L837="F-30",3,IF(L837="F-60",4,IF(L837="F-90",5,0)))),0),0)+IF(AND(O837="FIRE TEX 5062",OR(E837="IN",E837="C",E837="Z",E837="L"),J837=3),VLOOKUP(_xlfn.MINIFS('FIRE TEX 5062'!$B$4:$B$34,'FIRE TEX 5062'!$B$4:$B$34,"&gt;="&amp;M837),'FIRE TEX 5062'!$B$4:$F$34,IF(L837="F-15",2,IF(L837="F-30",3,IF(L837="F-60",4,IF(L837="F-90",5,0)))),0),0)+IF(AND(O837="FIRE TEX 5062",OR(E837="IN",E837="C",E837="Z",E837="L"),J837=4),VLOOKUP(_xlfn.MINIFS('FIRE TEX 5062'!$G$4:$G$34,'FIRE TEX 5062'!$G$4:$G$34,"&gt;="&amp;M837),'FIRE TEX 5062'!$G$4:$K$34,IF(L837="F-15",2,IF(L837="F-30",3,IF(L837="F-60",4,IF(L837="F-90",5,0)))),0),0)+IF(AND(O837="FIRE TEX 5062",E837="CJ",J837=3),VLOOKUP(_xlfn.MINIFS('FIRE TEX 5062'!$L$4:$L$34,'FIRE TEX 5062'!$L$4:$L$34,"&gt;="&amp;M837),'FIRE TEX 5062'!$L$4:$P$34,IF(L837="F-15",2,IF(L837="F-30",3,IF(L837="F-60",4,IF(L837="F-90",5,0)))),0),0)+IF(AND(O837="FIRE TEX 5062",E837="CJ",J837=4),VLOOKUP(_xlfn.MINIFS('FIRE TEX 5062'!$Q$3:$Q$34,'FIRE TEX 5062'!$Q$3:$Q$34,"&gt;="&amp;M837),'FIRE TEX 5062'!$Q$3:$U$34,IF(L837="F-15",2,IF(L837="F-30",3,IF(L837="F-60",4,IF(L837="F-90",5,0)))),0),0)+IF(AND(O837="FIRE TEX 5090",OR(E837="IN",E837="C",E837="Z",E837="L"),J837=3),VLOOKUP(_xlfn.MINIFS('FIRE TEX 5090'!$B$5:$B$43,'FIRE TEX 5090'!$B$5:$B$43,"&gt;="&amp;M837),'FIRE TEX 5090'!$B$5:$H$43,IF(L837="F-15",2,IF(L837="F-30",3,IF(L837="F-60",4,IF(L837="F-90",5,IF(L837="F-120",6,IF(L837="F-150",7,0)))))),0),0)+IF(AND(O837="FIRE TEX 5090",OR(E837="IN",E837="C",E837="Z",E837="L"),J837=4),VLOOKUP(_xlfn.MINIFS('FIRE TEX 5090'!$J$5:$J$43,'FIRE TEX 5090'!$J$5:$J$43,"&gt;="&amp;M837),'FIRE TEX 5090'!$J$5:$P$43,IF(L837="F-15",2,IF(L837="F-30",3,IF(L837="F-60",4,IF(L837="F-90",5,IF(L837="F-120",6,IF(L837="F-150",7,0)))))),0),0)+IF(AND(O837="FIRE TEX 5090",E837="CJ",J837=3),VLOOKUP(_xlfn.MINIFS('FIRE TEX 5090'!$R$5:$R$30,'FIRE TEX 5090'!$R$5:$R$30,"&gt;="&amp;M837),'FIRE TEX 5090'!$R$5:$W$30,IF(L837="F-15",2,IF(L837="F-30",3,IF(L837="F-60",4,IF(L837="F-90",5,IF(L837="F-120",6,IF(L837="F-150",7,0)))))),0),0)+IF(AND(O837="FIRE TEX 5090",E837="CJ",J837=4),VLOOKUP(_xlfn.MINIFS('FIRE TEX 5090'!$Y$5:$Y$39,'FIRE TEX 5090'!$Y$5:$Y$39,"&gt;="&amp;M837),'FIRE TEX 5090'!$Y$5:$AD$39,IF(L837="F-15",2,IF(L837="F-30",3,IF(L837="F-60",4,IF(L837="F-90",5,IF(L837="F-120",6,IF(L837="F-150",7,0)))))),0),0)+IF(AND(O837="FIRE TEX 5120",OR(E837="IN",E837="C",E837="Z",E837="L"),J837=3),VLOOKUP(_xlfn.MINIFS('FIRE TEX 5120'!$B$5:$B$40,'FIRE TEX 5120'!$B$5:$B$40,"&gt;="&amp;M837),'FIRE TEX 5120'!$B$5:$G$40,IF(L837="F-15",2,IF(L837="F-30",3,IF(L837="F-60",4,IF(L837="F-90",5,IF(L837="F-120",6,0))))),0),0)+IF(AND(O837="FIRE TEX 5120",OR(E837="IN",E837="C",E837="Z",E837="L"),J837=4),VLOOKUP(_xlfn.MINIFS('FIRE TEX 5120'!$H$4:$H$40,'FIRE TEX 5120'!$H$4:$H$40,"&gt;="&amp;M837),'FIRE TEX 5120'!$H$4:$M$40,IF(L837="F-15",2,IF(L837="F-30",3,IF(L837="F-60",4,IF(L837="F-90",5,IF(L837="F-120",6,0))))),0),0)+IF(AND(O837="FIRE TEX 5120",E837="CJ"),VLOOKUP(_xlfn.MINIFS('FIRE TEX 5120'!$O$5:$O$40,'FIRE TEX 5120'!$O$5:$O$40,"&gt;="&amp;M837),'FIRE TEX 5120'!$O$5:$T$40,IF(L837="F-15",2,IF(L837="F-30",3,IF(L837="F-60",4,IF(L837="F-90",5,IF(L837="F-120",6,0))))),0),0)</f>
        <v>0</v>
      </c>
      <c r="Q837" s="46">
        <f t="shared" si="84"/>
        <v>0</v>
      </c>
      <c r="R837" s="46">
        <f t="shared" si="85"/>
        <v>0</v>
      </c>
      <c r="S837" s="46" t="e">
        <f t="shared" si="86"/>
        <v>#VALUE!</v>
      </c>
      <c r="T837" s="677">
        <f t="shared" si="87"/>
        <v>0</v>
      </c>
      <c r="U837" s="80">
        <f>(IF(O837="Stofire",(S837*#REF!),0))+(IF(O837="Fire Control",(S837*$U$2),0))+(IF(O837="Fire Tex",(S837*$U$3),0))+(IF(O837="WB7",(S837*#REF!),0)+(IF(O837="FX 2003",(S837*$U$5),0)))</f>
        <v>0</v>
      </c>
      <c r="V837" s="651">
        <f t="shared" si="88"/>
        <v>0</v>
      </c>
    </row>
    <row r="838" spans="4:22" x14ac:dyDescent="0.25">
      <c r="D838" s="118">
        <f>+CUBICACION!D837</f>
        <v>0</v>
      </c>
      <c r="E838" s="118">
        <f>+CUBICACION!F837</f>
        <v>0</v>
      </c>
      <c r="F838" s="118">
        <f>+CUBICACION!E837</f>
        <v>0</v>
      </c>
      <c r="G838" s="118">
        <v>12</v>
      </c>
      <c r="H838" s="118">
        <v>2</v>
      </c>
      <c r="I838" s="820">
        <v>26385</v>
      </c>
      <c r="J838" s="118">
        <f>+CUBICACION!J837</f>
        <v>0</v>
      </c>
      <c r="K838" s="118">
        <v>3617</v>
      </c>
      <c r="L838" s="118">
        <f>+CUBICACION!L837</f>
        <v>0</v>
      </c>
      <c r="M838" s="64">
        <f>+CUBICACION!M837</f>
        <v>0</v>
      </c>
      <c r="N838" s="824" t="str">
        <f>+CUBICACION!N837</f>
        <v/>
      </c>
      <c r="O838" s="675">
        <f>+CUBICACION!O837</f>
        <v>0</v>
      </c>
      <c r="P838" s="15">
        <f>IF(O838="Fire Control",VLOOKUP(_xlfn.MINIFS('FIRE CONTROL'!$C$4:$C$37,'FIRE CONTROL'!$C$4:$C$37,"&gt;="&amp;M838),'FIRE CONTROL'!$C$4:$G$37,IF(L838="F-15",2,IF(L838="F-30",3,IF(L838="F-60",4,IF(L838="F-90",5,0)))),0),0)+IF(AND(O838="FIRE TEX 5062",OR(E838="IN",E838="C",E838="Z",E838="L"),J838=3),VLOOKUP(_xlfn.MINIFS('FIRE TEX 5062'!$B$4:$B$34,'FIRE TEX 5062'!$B$4:$B$34,"&gt;="&amp;M838),'FIRE TEX 5062'!$B$4:$F$34,IF(L838="F-15",2,IF(L838="F-30",3,IF(L838="F-60",4,IF(L838="F-90",5,0)))),0),0)+IF(AND(O838="FIRE TEX 5062",OR(E838="IN",E838="C",E838="Z",E838="L"),J838=4),VLOOKUP(_xlfn.MINIFS('FIRE TEX 5062'!$G$4:$G$34,'FIRE TEX 5062'!$G$4:$G$34,"&gt;="&amp;M838),'FIRE TEX 5062'!$G$4:$K$34,IF(L838="F-15",2,IF(L838="F-30",3,IF(L838="F-60",4,IF(L838="F-90",5,0)))),0),0)+IF(AND(O838="FIRE TEX 5062",E838="CJ",J838=3),VLOOKUP(_xlfn.MINIFS('FIRE TEX 5062'!$L$4:$L$34,'FIRE TEX 5062'!$L$4:$L$34,"&gt;="&amp;M838),'FIRE TEX 5062'!$L$4:$P$34,IF(L838="F-15",2,IF(L838="F-30",3,IF(L838="F-60",4,IF(L838="F-90",5,0)))),0),0)+IF(AND(O838="FIRE TEX 5062",E838="CJ",J838=4),VLOOKUP(_xlfn.MINIFS('FIRE TEX 5062'!$Q$3:$Q$34,'FIRE TEX 5062'!$Q$3:$Q$34,"&gt;="&amp;M838),'FIRE TEX 5062'!$Q$3:$U$34,IF(L838="F-15",2,IF(L838="F-30",3,IF(L838="F-60",4,IF(L838="F-90",5,0)))),0),0)+IF(AND(O838="FIRE TEX 5090",OR(E838="IN",E838="C",E838="Z",E838="L"),J838=3),VLOOKUP(_xlfn.MINIFS('FIRE TEX 5090'!$B$5:$B$43,'FIRE TEX 5090'!$B$5:$B$43,"&gt;="&amp;M838),'FIRE TEX 5090'!$B$5:$H$43,IF(L838="F-15",2,IF(L838="F-30",3,IF(L838="F-60",4,IF(L838="F-90",5,IF(L838="F-120",6,IF(L838="F-150",7,0)))))),0),0)+IF(AND(O838="FIRE TEX 5090",OR(E838="IN",E838="C",E838="Z",E838="L"),J838=4),VLOOKUP(_xlfn.MINIFS('FIRE TEX 5090'!$J$5:$J$43,'FIRE TEX 5090'!$J$5:$J$43,"&gt;="&amp;M838),'FIRE TEX 5090'!$J$5:$P$43,IF(L838="F-15",2,IF(L838="F-30",3,IF(L838="F-60",4,IF(L838="F-90",5,IF(L838="F-120",6,IF(L838="F-150",7,0)))))),0),0)+IF(AND(O838="FIRE TEX 5090",E838="CJ",J838=3),VLOOKUP(_xlfn.MINIFS('FIRE TEX 5090'!$R$5:$R$30,'FIRE TEX 5090'!$R$5:$R$30,"&gt;="&amp;M838),'FIRE TEX 5090'!$R$5:$W$30,IF(L838="F-15",2,IF(L838="F-30",3,IF(L838="F-60",4,IF(L838="F-90",5,IF(L838="F-120",6,IF(L838="F-150",7,0)))))),0),0)+IF(AND(O838="FIRE TEX 5090",E838="CJ",J838=4),VLOOKUP(_xlfn.MINIFS('FIRE TEX 5090'!$Y$5:$Y$39,'FIRE TEX 5090'!$Y$5:$Y$39,"&gt;="&amp;M838),'FIRE TEX 5090'!$Y$5:$AD$39,IF(L838="F-15",2,IF(L838="F-30",3,IF(L838="F-60",4,IF(L838="F-90",5,IF(L838="F-120",6,IF(L838="F-150",7,0)))))),0),0)+IF(AND(O838="FIRE TEX 5120",OR(E838="IN",E838="C",E838="Z",E838="L"),J838=3),VLOOKUP(_xlfn.MINIFS('FIRE TEX 5120'!$B$5:$B$40,'FIRE TEX 5120'!$B$5:$B$40,"&gt;="&amp;M838),'FIRE TEX 5120'!$B$5:$G$40,IF(L838="F-15",2,IF(L838="F-30",3,IF(L838="F-60",4,IF(L838="F-90",5,IF(L838="F-120",6,0))))),0),0)+IF(AND(O838="FIRE TEX 5120",OR(E838="IN",E838="C",E838="Z",E838="L"),J838=4),VLOOKUP(_xlfn.MINIFS('FIRE TEX 5120'!$H$4:$H$40,'FIRE TEX 5120'!$H$4:$H$40,"&gt;="&amp;M838),'FIRE TEX 5120'!$H$4:$M$40,IF(L838="F-15",2,IF(L838="F-30",3,IF(L838="F-60",4,IF(L838="F-90",5,IF(L838="F-120",6,0))))),0),0)+IF(AND(O838="FIRE TEX 5120",E838="CJ"),VLOOKUP(_xlfn.MINIFS('FIRE TEX 5120'!$O$5:$O$40,'FIRE TEX 5120'!$O$5:$O$40,"&gt;="&amp;M838),'FIRE TEX 5120'!$O$5:$T$40,IF(L838="F-15",2,IF(L838="F-30",3,IF(L838="F-60",4,IF(L838="F-90",5,IF(L838="F-120",6,0))))),0),0)</f>
        <v>0</v>
      </c>
      <c r="Q838" s="46">
        <f t="shared" si="84"/>
        <v>0</v>
      </c>
      <c r="R838" s="46">
        <f t="shared" si="85"/>
        <v>0</v>
      </c>
      <c r="S838" s="46" t="e">
        <f t="shared" si="86"/>
        <v>#VALUE!</v>
      </c>
      <c r="T838" s="677">
        <f t="shared" si="87"/>
        <v>0</v>
      </c>
      <c r="U838" s="80">
        <f>(IF(O838="Stofire",(S838*#REF!),0))+(IF(O838="Fire Control",(S838*$U$2),0))+(IF(O838="Fire Tex",(S838*$U$3),0))+(IF(O838="WB7",(S838*#REF!),0)+(IF(O838="FX 2003",(S838*$U$5),0)))</f>
        <v>0</v>
      </c>
      <c r="V838" s="651">
        <f t="shared" si="88"/>
        <v>0</v>
      </c>
    </row>
    <row r="839" spans="4:22" x14ac:dyDescent="0.25">
      <c r="D839" s="118">
        <f>+CUBICACION!D838</f>
        <v>0</v>
      </c>
      <c r="E839" s="118">
        <f>+CUBICACION!F838</f>
        <v>0</v>
      </c>
      <c r="F839" s="118">
        <f>+CUBICACION!E838</f>
        <v>0</v>
      </c>
      <c r="G839" s="118">
        <v>12</v>
      </c>
      <c r="H839" s="118">
        <v>2</v>
      </c>
      <c r="I839" s="820">
        <v>26385</v>
      </c>
      <c r="J839" s="118">
        <f>+CUBICACION!J838</f>
        <v>0</v>
      </c>
      <c r="K839" s="118">
        <v>3618</v>
      </c>
      <c r="L839" s="118">
        <f>+CUBICACION!L838</f>
        <v>0</v>
      </c>
      <c r="M839" s="64">
        <f>+CUBICACION!M838</f>
        <v>0</v>
      </c>
      <c r="N839" s="824" t="str">
        <f>+CUBICACION!N838</f>
        <v/>
      </c>
      <c r="O839" s="675">
        <f>+CUBICACION!O838</f>
        <v>0</v>
      </c>
      <c r="P839" s="15">
        <f>IF(O839="Fire Control",VLOOKUP(_xlfn.MINIFS('FIRE CONTROL'!$C$4:$C$37,'FIRE CONTROL'!$C$4:$C$37,"&gt;="&amp;M839),'FIRE CONTROL'!$C$4:$G$37,IF(L839="F-15",2,IF(L839="F-30",3,IF(L839="F-60",4,IF(L839="F-90",5,0)))),0),0)+IF(AND(O839="FIRE TEX 5062",OR(E839="IN",E839="C",E839="Z",E839="L"),J839=3),VLOOKUP(_xlfn.MINIFS('FIRE TEX 5062'!$B$4:$B$34,'FIRE TEX 5062'!$B$4:$B$34,"&gt;="&amp;M839),'FIRE TEX 5062'!$B$4:$F$34,IF(L839="F-15",2,IF(L839="F-30",3,IF(L839="F-60",4,IF(L839="F-90",5,0)))),0),0)+IF(AND(O839="FIRE TEX 5062",OR(E839="IN",E839="C",E839="Z",E839="L"),J839=4),VLOOKUP(_xlfn.MINIFS('FIRE TEX 5062'!$G$4:$G$34,'FIRE TEX 5062'!$G$4:$G$34,"&gt;="&amp;M839),'FIRE TEX 5062'!$G$4:$K$34,IF(L839="F-15",2,IF(L839="F-30",3,IF(L839="F-60",4,IF(L839="F-90",5,0)))),0),0)+IF(AND(O839="FIRE TEX 5062",E839="CJ",J839=3),VLOOKUP(_xlfn.MINIFS('FIRE TEX 5062'!$L$4:$L$34,'FIRE TEX 5062'!$L$4:$L$34,"&gt;="&amp;M839),'FIRE TEX 5062'!$L$4:$P$34,IF(L839="F-15",2,IF(L839="F-30",3,IF(L839="F-60",4,IF(L839="F-90",5,0)))),0),0)+IF(AND(O839="FIRE TEX 5062",E839="CJ",J839=4),VLOOKUP(_xlfn.MINIFS('FIRE TEX 5062'!$Q$3:$Q$34,'FIRE TEX 5062'!$Q$3:$Q$34,"&gt;="&amp;M839),'FIRE TEX 5062'!$Q$3:$U$34,IF(L839="F-15",2,IF(L839="F-30",3,IF(L839="F-60",4,IF(L839="F-90",5,0)))),0),0)+IF(AND(O839="FIRE TEX 5090",OR(E839="IN",E839="C",E839="Z",E839="L"),J839=3),VLOOKUP(_xlfn.MINIFS('FIRE TEX 5090'!$B$5:$B$43,'FIRE TEX 5090'!$B$5:$B$43,"&gt;="&amp;M839),'FIRE TEX 5090'!$B$5:$H$43,IF(L839="F-15",2,IF(L839="F-30",3,IF(L839="F-60",4,IF(L839="F-90",5,IF(L839="F-120",6,IF(L839="F-150",7,0)))))),0),0)+IF(AND(O839="FIRE TEX 5090",OR(E839="IN",E839="C",E839="Z",E839="L"),J839=4),VLOOKUP(_xlfn.MINIFS('FIRE TEX 5090'!$J$5:$J$43,'FIRE TEX 5090'!$J$5:$J$43,"&gt;="&amp;M839),'FIRE TEX 5090'!$J$5:$P$43,IF(L839="F-15",2,IF(L839="F-30",3,IF(L839="F-60",4,IF(L839="F-90",5,IF(L839="F-120",6,IF(L839="F-150",7,0)))))),0),0)+IF(AND(O839="FIRE TEX 5090",E839="CJ",J839=3),VLOOKUP(_xlfn.MINIFS('FIRE TEX 5090'!$R$5:$R$30,'FIRE TEX 5090'!$R$5:$R$30,"&gt;="&amp;M839),'FIRE TEX 5090'!$R$5:$W$30,IF(L839="F-15",2,IF(L839="F-30",3,IF(L839="F-60",4,IF(L839="F-90",5,IF(L839="F-120",6,IF(L839="F-150",7,0)))))),0),0)+IF(AND(O839="FIRE TEX 5090",E839="CJ",J839=4),VLOOKUP(_xlfn.MINIFS('FIRE TEX 5090'!$Y$5:$Y$39,'FIRE TEX 5090'!$Y$5:$Y$39,"&gt;="&amp;M839),'FIRE TEX 5090'!$Y$5:$AD$39,IF(L839="F-15",2,IF(L839="F-30",3,IF(L839="F-60",4,IF(L839="F-90",5,IF(L839="F-120",6,IF(L839="F-150",7,0)))))),0),0)+IF(AND(O839="FIRE TEX 5120",OR(E839="IN",E839="C",E839="Z",E839="L"),J839=3),VLOOKUP(_xlfn.MINIFS('FIRE TEX 5120'!$B$5:$B$40,'FIRE TEX 5120'!$B$5:$B$40,"&gt;="&amp;M839),'FIRE TEX 5120'!$B$5:$G$40,IF(L839="F-15",2,IF(L839="F-30",3,IF(L839="F-60",4,IF(L839="F-90",5,IF(L839="F-120",6,0))))),0),0)+IF(AND(O839="FIRE TEX 5120",OR(E839="IN",E839="C",E839="Z",E839="L"),J839=4),VLOOKUP(_xlfn.MINIFS('FIRE TEX 5120'!$H$4:$H$40,'FIRE TEX 5120'!$H$4:$H$40,"&gt;="&amp;M839),'FIRE TEX 5120'!$H$4:$M$40,IF(L839="F-15",2,IF(L839="F-30",3,IF(L839="F-60",4,IF(L839="F-90",5,IF(L839="F-120",6,0))))),0),0)+IF(AND(O839="FIRE TEX 5120",E839="CJ"),VLOOKUP(_xlfn.MINIFS('FIRE TEX 5120'!$O$5:$O$40,'FIRE TEX 5120'!$O$5:$O$40,"&gt;="&amp;M839),'FIRE TEX 5120'!$O$5:$T$40,IF(L839="F-15",2,IF(L839="F-30",3,IF(L839="F-60",4,IF(L839="F-90",5,IF(L839="F-120",6,0))))),0),0)</f>
        <v>0</v>
      </c>
      <c r="Q839" s="46">
        <f t="shared" si="84"/>
        <v>0</v>
      </c>
      <c r="R839" s="46">
        <f t="shared" si="85"/>
        <v>0</v>
      </c>
      <c r="S839" s="46" t="e">
        <f t="shared" si="86"/>
        <v>#VALUE!</v>
      </c>
      <c r="T839" s="677">
        <f t="shared" si="87"/>
        <v>0</v>
      </c>
      <c r="U839" s="80">
        <f>(IF(O839="Stofire",(S839*#REF!),0))+(IF(O839="Fire Control",(S839*$U$2),0))+(IF(O839="Fire Tex",(S839*$U$3),0))+(IF(O839="WB7",(S839*#REF!),0)+(IF(O839="FX 2003",(S839*$U$5),0)))</f>
        <v>0</v>
      </c>
      <c r="V839" s="651">
        <f t="shared" si="88"/>
        <v>0</v>
      </c>
    </row>
    <row r="840" spans="4:22" x14ac:dyDescent="0.25">
      <c r="D840" s="118">
        <f>+CUBICACION!D839</f>
        <v>0</v>
      </c>
      <c r="E840" s="118">
        <f>+CUBICACION!F839</f>
        <v>0</v>
      </c>
      <c r="F840" s="118">
        <f>+CUBICACION!E839</f>
        <v>0</v>
      </c>
      <c r="G840" s="118">
        <v>12</v>
      </c>
      <c r="H840" s="118">
        <v>2</v>
      </c>
      <c r="I840" s="820">
        <v>26385</v>
      </c>
      <c r="J840" s="118">
        <f>+CUBICACION!J839</f>
        <v>0</v>
      </c>
      <c r="K840" s="118">
        <v>3619</v>
      </c>
      <c r="L840" s="118">
        <f>+CUBICACION!L839</f>
        <v>0</v>
      </c>
      <c r="M840" s="64">
        <f>+CUBICACION!M839</f>
        <v>0</v>
      </c>
      <c r="N840" s="824" t="str">
        <f>+CUBICACION!N839</f>
        <v/>
      </c>
      <c r="O840" s="675">
        <f>+CUBICACION!O839</f>
        <v>0</v>
      </c>
      <c r="P840" s="15">
        <f>IF(O840="Fire Control",VLOOKUP(_xlfn.MINIFS('FIRE CONTROL'!$C$4:$C$37,'FIRE CONTROL'!$C$4:$C$37,"&gt;="&amp;M840),'FIRE CONTROL'!$C$4:$G$37,IF(L840="F-15",2,IF(L840="F-30",3,IF(L840="F-60",4,IF(L840="F-90",5,0)))),0),0)+IF(AND(O840="FIRE TEX 5062",OR(E840="IN",E840="C",E840="Z",E840="L"),J840=3),VLOOKUP(_xlfn.MINIFS('FIRE TEX 5062'!$B$4:$B$34,'FIRE TEX 5062'!$B$4:$B$34,"&gt;="&amp;M840),'FIRE TEX 5062'!$B$4:$F$34,IF(L840="F-15",2,IF(L840="F-30",3,IF(L840="F-60",4,IF(L840="F-90",5,0)))),0),0)+IF(AND(O840="FIRE TEX 5062",OR(E840="IN",E840="C",E840="Z",E840="L"),J840=4),VLOOKUP(_xlfn.MINIFS('FIRE TEX 5062'!$G$4:$G$34,'FIRE TEX 5062'!$G$4:$G$34,"&gt;="&amp;M840),'FIRE TEX 5062'!$G$4:$K$34,IF(L840="F-15",2,IF(L840="F-30",3,IF(L840="F-60",4,IF(L840="F-90",5,0)))),0),0)+IF(AND(O840="FIRE TEX 5062",E840="CJ",J840=3),VLOOKUP(_xlfn.MINIFS('FIRE TEX 5062'!$L$4:$L$34,'FIRE TEX 5062'!$L$4:$L$34,"&gt;="&amp;M840),'FIRE TEX 5062'!$L$4:$P$34,IF(L840="F-15",2,IF(L840="F-30",3,IF(L840="F-60",4,IF(L840="F-90",5,0)))),0),0)+IF(AND(O840="FIRE TEX 5062",E840="CJ",J840=4),VLOOKUP(_xlfn.MINIFS('FIRE TEX 5062'!$Q$3:$Q$34,'FIRE TEX 5062'!$Q$3:$Q$34,"&gt;="&amp;M840),'FIRE TEX 5062'!$Q$3:$U$34,IF(L840="F-15",2,IF(L840="F-30",3,IF(L840="F-60",4,IF(L840="F-90",5,0)))),0),0)+IF(AND(O840="FIRE TEX 5090",OR(E840="IN",E840="C",E840="Z",E840="L"),J840=3),VLOOKUP(_xlfn.MINIFS('FIRE TEX 5090'!$B$5:$B$43,'FIRE TEX 5090'!$B$5:$B$43,"&gt;="&amp;M840),'FIRE TEX 5090'!$B$5:$H$43,IF(L840="F-15",2,IF(L840="F-30",3,IF(L840="F-60",4,IF(L840="F-90",5,IF(L840="F-120",6,IF(L840="F-150",7,0)))))),0),0)+IF(AND(O840="FIRE TEX 5090",OR(E840="IN",E840="C",E840="Z",E840="L"),J840=4),VLOOKUP(_xlfn.MINIFS('FIRE TEX 5090'!$J$5:$J$43,'FIRE TEX 5090'!$J$5:$J$43,"&gt;="&amp;M840),'FIRE TEX 5090'!$J$5:$P$43,IF(L840="F-15",2,IF(L840="F-30",3,IF(L840="F-60",4,IF(L840="F-90",5,IF(L840="F-120",6,IF(L840="F-150",7,0)))))),0),0)+IF(AND(O840="FIRE TEX 5090",E840="CJ",J840=3),VLOOKUP(_xlfn.MINIFS('FIRE TEX 5090'!$R$5:$R$30,'FIRE TEX 5090'!$R$5:$R$30,"&gt;="&amp;M840),'FIRE TEX 5090'!$R$5:$W$30,IF(L840="F-15",2,IF(L840="F-30",3,IF(L840="F-60",4,IF(L840="F-90",5,IF(L840="F-120",6,IF(L840="F-150",7,0)))))),0),0)+IF(AND(O840="FIRE TEX 5090",E840="CJ",J840=4),VLOOKUP(_xlfn.MINIFS('FIRE TEX 5090'!$Y$5:$Y$39,'FIRE TEX 5090'!$Y$5:$Y$39,"&gt;="&amp;M840),'FIRE TEX 5090'!$Y$5:$AD$39,IF(L840="F-15",2,IF(L840="F-30",3,IF(L840="F-60",4,IF(L840="F-90",5,IF(L840="F-120",6,IF(L840="F-150",7,0)))))),0),0)+IF(AND(O840="FIRE TEX 5120",OR(E840="IN",E840="C",E840="Z",E840="L"),J840=3),VLOOKUP(_xlfn.MINIFS('FIRE TEX 5120'!$B$5:$B$40,'FIRE TEX 5120'!$B$5:$B$40,"&gt;="&amp;M840),'FIRE TEX 5120'!$B$5:$G$40,IF(L840="F-15",2,IF(L840="F-30",3,IF(L840="F-60",4,IF(L840="F-90",5,IF(L840="F-120",6,0))))),0),0)+IF(AND(O840="FIRE TEX 5120",OR(E840="IN",E840="C",E840="Z",E840="L"),J840=4),VLOOKUP(_xlfn.MINIFS('FIRE TEX 5120'!$H$4:$H$40,'FIRE TEX 5120'!$H$4:$H$40,"&gt;="&amp;M840),'FIRE TEX 5120'!$H$4:$M$40,IF(L840="F-15",2,IF(L840="F-30",3,IF(L840="F-60",4,IF(L840="F-90",5,IF(L840="F-120",6,0))))),0),0)+IF(AND(O840="FIRE TEX 5120",E840="CJ"),VLOOKUP(_xlfn.MINIFS('FIRE TEX 5120'!$O$5:$O$40,'FIRE TEX 5120'!$O$5:$O$40,"&gt;="&amp;M840),'FIRE TEX 5120'!$O$5:$T$40,IF(L840="F-15",2,IF(L840="F-30",3,IF(L840="F-60",4,IF(L840="F-90",5,IF(L840="F-120",6,0))))),0),0)</f>
        <v>0</v>
      </c>
      <c r="Q840" s="46">
        <f t="shared" si="84"/>
        <v>0</v>
      </c>
      <c r="R840" s="46">
        <f t="shared" si="85"/>
        <v>0</v>
      </c>
      <c r="S840" s="46" t="e">
        <f t="shared" si="86"/>
        <v>#VALUE!</v>
      </c>
      <c r="T840" s="677">
        <f t="shared" si="87"/>
        <v>0</v>
      </c>
      <c r="U840" s="80">
        <f>(IF(O840="Stofire",(S840*#REF!),0))+(IF(O840="Fire Control",(S840*$U$2),0))+(IF(O840="Fire Tex",(S840*$U$3),0))+(IF(O840="WB7",(S840*#REF!),0)+(IF(O840="FX 2003",(S840*$U$5),0)))</f>
        <v>0</v>
      </c>
      <c r="V840" s="651">
        <f t="shared" si="88"/>
        <v>0</v>
      </c>
    </row>
    <row r="841" spans="4:22" x14ac:dyDescent="0.25">
      <c r="D841" s="118">
        <f>+CUBICACION!D840</f>
        <v>0</v>
      </c>
      <c r="E841" s="118">
        <f>+CUBICACION!F840</f>
        <v>0</v>
      </c>
      <c r="F841" s="118">
        <f>+CUBICACION!E840</f>
        <v>0</v>
      </c>
      <c r="G841" s="118">
        <v>12</v>
      </c>
      <c r="H841" s="118">
        <v>2</v>
      </c>
      <c r="I841" s="820">
        <v>26385</v>
      </c>
      <c r="J841" s="118">
        <f>+CUBICACION!J840</f>
        <v>0</v>
      </c>
      <c r="K841" s="118">
        <v>3620</v>
      </c>
      <c r="L841" s="118">
        <f>+CUBICACION!L840</f>
        <v>0</v>
      </c>
      <c r="M841" s="64">
        <f>+CUBICACION!M840</f>
        <v>0</v>
      </c>
      <c r="N841" s="824" t="str">
        <f>+CUBICACION!N840</f>
        <v/>
      </c>
      <c r="O841" s="675">
        <f>+CUBICACION!O840</f>
        <v>0</v>
      </c>
      <c r="P841" s="15">
        <f>IF(O841="Fire Control",VLOOKUP(_xlfn.MINIFS('FIRE CONTROL'!$C$4:$C$37,'FIRE CONTROL'!$C$4:$C$37,"&gt;="&amp;M841),'FIRE CONTROL'!$C$4:$G$37,IF(L841="F-15",2,IF(L841="F-30",3,IF(L841="F-60",4,IF(L841="F-90",5,0)))),0),0)+IF(AND(O841="FIRE TEX 5062",OR(E841="IN",E841="C",E841="Z",E841="L"),J841=3),VLOOKUP(_xlfn.MINIFS('FIRE TEX 5062'!$B$4:$B$34,'FIRE TEX 5062'!$B$4:$B$34,"&gt;="&amp;M841),'FIRE TEX 5062'!$B$4:$F$34,IF(L841="F-15",2,IF(L841="F-30",3,IF(L841="F-60",4,IF(L841="F-90",5,0)))),0),0)+IF(AND(O841="FIRE TEX 5062",OR(E841="IN",E841="C",E841="Z",E841="L"),J841=4),VLOOKUP(_xlfn.MINIFS('FIRE TEX 5062'!$G$4:$G$34,'FIRE TEX 5062'!$G$4:$G$34,"&gt;="&amp;M841),'FIRE TEX 5062'!$G$4:$K$34,IF(L841="F-15",2,IF(L841="F-30",3,IF(L841="F-60",4,IF(L841="F-90",5,0)))),0),0)+IF(AND(O841="FIRE TEX 5062",E841="CJ",J841=3),VLOOKUP(_xlfn.MINIFS('FIRE TEX 5062'!$L$4:$L$34,'FIRE TEX 5062'!$L$4:$L$34,"&gt;="&amp;M841),'FIRE TEX 5062'!$L$4:$P$34,IF(L841="F-15",2,IF(L841="F-30",3,IF(L841="F-60",4,IF(L841="F-90",5,0)))),0),0)+IF(AND(O841="FIRE TEX 5062",E841="CJ",J841=4),VLOOKUP(_xlfn.MINIFS('FIRE TEX 5062'!$Q$3:$Q$34,'FIRE TEX 5062'!$Q$3:$Q$34,"&gt;="&amp;M841),'FIRE TEX 5062'!$Q$3:$U$34,IF(L841="F-15",2,IF(L841="F-30",3,IF(L841="F-60",4,IF(L841="F-90",5,0)))),0),0)+IF(AND(O841="FIRE TEX 5090",OR(E841="IN",E841="C",E841="Z",E841="L"),J841=3),VLOOKUP(_xlfn.MINIFS('FIRE TEX 5090'!$B$5:$B$43,'FIRE TEX 5090'!$B$5:$B$43,"&gt;="&amp;M841),'FIRE TEX 5090'!$B$5:$H$43,IF(L841="F-15",2,IF(L841="F-30",3,IF(L841="F-60",4,IF(L841="F-90",5,IF(L841="F-120",6,IF(L841="F-150",7,0)))))),0),0)+IF(AND(O841="FIRE TEX 5090",OR(E841="IN",E841="C",E841="Z",E841="L"),J841=4),VLOOKUP(_xlfn.MINIFS('FIRE TEX 5090'!$J$5:$J$43,'FIRE TEX 5090'!$J$5:$J$43,"&gt;="&amp;M841),'FIRE TEX 5090'!$J$5:$P$43,IF(L841="F-15",2,IF(L841="F-30",3,IF(L841="F-60",4,IF(L841="F-90",5,IF(L841="F-120",6,IF(L841="F-150",7,0)))))),0),0)+IF(AND(O841="FIRE TEX 5090",E841="CJ",J841=3),VLOOKUP(_xlfn.MINIFS('FIRE TEX 5090'!$R$5:$R$30,'FIRE TEX 5090'!$R$5:$R$30,"&gt;="&amp;M841),'FIRE TEX 5090'!$R$5:$W$30,IF(L841="F-15",2,IF(L841="F-30",3,IF(L841="F-60",4,IF(L841="F-90",5,IF(L841="F-120",6,IF(L841="F-150",7,0)))))),0),0)+IF(AND(O841="FIRE TEX 5090",E841="CJ",J841=4),VLOOKUP(_xlfn.MINIFS('FIRE TEX 5090'!$Y$5:$Y$39,'FIRE TEX 5090'!$Y$5:$Y$39,"&gt;="&amp;M841),'FIRE TEX 5090'!$Y$5:$AD$39,IF(L841="F-15",2,IF(L841="F-30",3,IF(L841="F-60",4,IF(L841="F-90",5,IF(L841="F-120",6,IF(L841="F-150",7,0)))))),0),0)+IF(AND(O841="FIRE TEX 5120",OR(E841="IN",E841="C",E841="Z",E841="L"),J841=3),VLOOKUP(_xlfn.MINIFS('FIRE TEX 5120'!$B$5:$B$40,'FIRE TEX 5120'!$B$5:$B$40,"&gt;="&amp;M841),'FIRE TEX 5120'!$B$5:$G$40,IF(L841="F-15",2,IF(L841="F-30",3,IF(L841="F-60",4,IF(L841="F-90",5,IF(L841="F-120",6,0))))),0),0)+IF(AND(O841="FIRE TEX 5120",OR(E841="IN",E841="C",E841="Z",E841="L"),J841=4),VLOOKUP(_xlfn.MINIFS('FIRE TEX 5120'!$H$4:$H$40,'FIRE TEX 5120'!$H$4:$H$40,"&gt;="&amp;M841),'FIRE TEX 5120'!$H$4:$M$40,IF(L841="F-15",2,IF(L841="F-30",3,IF(L841="F-60",4,IF(L841="F-90",5,IF(L841="F-120",6,0))))),0),0)+IF(AND(O841="FIRE TEX 5120",E841="CJ"),VLOOKUP(_xlfn.MINIFS('FIRE TEX 5120'!$O$5:$O$40,'FIRE TEX 5120'!$O$5:$O$40,"&gt;="&amp;M841),'FIRE TEX 5120'!$O$5:$T$40,IF(L841="F-15",2,IF(L841="F-30",3,IF(L841="F-60",4,IF(L841="F-90",5,IF(L841="F-120",6,0))))),0),0)</f>
        <v>0</v>
      </c>
      <c r="Q841" s="46">
        <f t="shared" si="84"/>
        <v>0</v>
      </c>
      <c r="R841" s="46">
        <f t="shared" si="85"/>
        <v>0</v>
      </c>
      <c r="S841" s="46" t="e">
        <f t="shared" si="86"/>
        <v>#VALUE!</v>
      </c>
      <c r="T841" s="677">
        <f t="shared" si="87"/>
        <v>0</v>
      </c>
      <c r="U841" s="80">
        <f>(IF(O841="Stofire",(S841*#REF!),0))+(IF(O841="Fire Control",(S841*$U$2),0))+(IF(O841="Fire Tex",(S841*$U$3),0))+(IF(O841="WB7",(S841*#REF!),0)+(IF(O841="FX 2003",(S841*$U$5),0)))</f>
        <v>0</v>
      </c>
      <c r="V841" s="651">
        <f t="shared" si="88"/>
        <v>0</v>
      </c>
    </row>
    <row r="842" spans="4:22" x14ac:dyDescent="0.25">
      <c r="D842" s="118">
        <f>+CUBICACION!D841</f>
        <v>0</v>
      </c>
      <c r="E842" s="118">
        <f>+CUBICACION!F841</f>
        <v>0</v>
      </c>
      <c r="F842" s="118">
        <f>+CUBICACION!E841</f>
        <v>0</v>
      </c>
      <c r="G842" s="118">
        <v>12</v>
      </c>
      <c r="H842" s="118">
        <v>2</v>
      </c>
      <c r="I842" s="820">
        <v>26385</v>
      </c>
      <c r="J842" s="118">
        <f>+CUBICACION!J841</f>
        <v>0</v>
      </c>
      <c r="K842" s="118">
        <v>3621</v>
      </c>
      <c r="L842" s="118">
        <f>+CUBICACION!L841</f>
        <v>0</v>
      </c>
      <c r="M842" s="64">
        <f>+CUBICACION!M841</f>
        <v>0</v>
      </c>
      <c r="N842" s="824" t="str">
        <f>+CUBICACION!N841</f>
        <v/>
      </c>
      <c r="O842" s="675">
        <f>+CUBICACION!O841</f>
        <v>0</v>
      </c>
      <c r="P842" s="15">
        <f>IF(O842="Fire Control",VLOOKUP(_xlfn.MINIFS('FIRE CONTROL'!$C$4:$C$37,'FIRE CONTROL'!$C$4:$C$37,"&gt;="&amp;M842),'FIRE CONTROL'!$C$4:$G$37,IF(L842="F-15",2,IF(L842="F-30",3,IF(L842="F-60",4,IF(L842="F-90",5,0)))),0),0)+IF(AND(O842="FIRE TEX 5062",OR(E842="IN",E842="C",E842="Z",E842="L"),J842=3),VLOOKUP(_xlfn.MINIFS('FIRE TEX 5062'!$B$4:$B$34,'FIRE TEX 5062'!$B$4:$B$34,"&gt;="&amp;M842),'FIRE TEX 5062'!$B$4:$F$34,IF(L842="F-15",2,IF(L842="F-30",3,IF(L842="F-60",4,IF(L842="F-90",5,0)))),0),0)+IF(AND(O842="FIRE TEX 5062",OR(E842="IN",E842="C",E842="Z",E842="L"),J842=4),VLOOKUP(_xlfn.MINIFS('FIRE TEX 5062'!$G$4:$G$34,'FIRE TEX 5062'!$G$4:$G$34,"&gt;="&amp;M842),'FIRE TEX 5062'!$G$4:$K$34,IF(L842="F-15",2,IF(L842="F-30",3,IF(L842="F-60",4,IF(L842="F-90",5,0)))),0),0)+IF(AND(O842="FIRE TEX 5062",E842="CJ",J842=3),VLOOKUP(_xlfn.MINIFS('FIRE TEX 5062'!$L$4:$L$34,'FIRE TEX 5062'!$L$4:$L$34,"&gt;="&amp;M842),'FIRE TEX 5062'!$L$4:$P$34,IF(L842="F-15",2,IF(L842="F-30",3,IF(L842="F-60",4,IF(L842="F-90",5,0)))),0),0)+IF(AND(O842="FIRE TEX 5062",E842="CJ",J842=4),VLOOKUP(_xlfn.MINIFS('FIRE TEX 5062'!$Q$3:$Q$34,'FIRE TEX 5062'!$Q$3:$Q$34,"&gt;="&amp;M842),'FIRE TEX 5062'!$Q$3:$U$34,IF(L842="F-15",2,IF(L842="F-30",3,IF(L842="F-60",4,IF(L842="F-90",5,0)))),0),0)+IF(AND(O842="FIRE TEX 5090",OR(E842="IN",E842="C",E842="Z",E842="L"),J842=3),VLOOKUP(_xlfn.MINIFS('FIRE TEX 5090'!$B$5:$B$43,'FIRE TEX 5090'!$B$5:$B$43,"&gt;="&amp;M842),'FIRE TEX 5090'!$B$5:$H$43,IF(L842="F-15",2,IF(L842="F-30",3,IF(L842="F-60",4,IF(L842="F-90",5,IF(L842="F-120",6,IF(L842="F-150",7,0)))))),0),0)+IF(AND(O842="FIRE TEX 5090",OR(E842="IN",E842="C",E842="Z",E842="L"),J842=4),VLOOKUP(_xlfn.MINIFS('FIRE TEX 5090'!$J$5:$J$43,'FIRE TEX 5090'!$J$5:$J$43,"&gt;="&amp;M842),'FIRE TEX 5090'!$J$5:$P$43,IF(L842="F-15",2,IF(L842="F-30",3,IF(L842="F-60",4,IF(L842="F-90",5,IF(L842="F-120",6,IF(L842="F-150",7,0)))))),0),0)+IF(AND(O842="FIRE TEX 5090",E842="CJ",J842=3),VLOOKUP(_xlfn.MINIFS('FIRE TEX 5090'!$R$5:$R$30,'FIRE TEX 5090'!$R$5:$R$30,"&gt;="&amp;M842),'FIRE TEX 5090'!$R$5:$W$30,IF(L842="F-15",2,IF(L842="F-30",3,IF(L842="F-60",4,IF(L842="F-90",5,IF(L842="F-120",6,IF(L842="F-150",7,0)))))),0),0)+IF(AND(O842="FIRE TEX 5090",E842="CJ",J842=4),VLOOKUP(_xlfn.MINIFS('FIRE TEX 5090'!$Y$5:$Y$39,'FIRE TEX 5090'!$Y$5:$Y$39,"&gt;="&amp;M842),'FIRE TEX 5090'!$Y$5:$AD$39,IF(L842="F-15",2,IF(L842="F-30",3,IF(L842="F-60",4,IF(L842="F-90",5,IF(L842="F-120",6,IF(L842="F-150",7,0)))))),0),0)+IF(AND(O842="FIRE TEX 5120",OR(E842="IN",E842="C",E842="Z",E842="L"),J842=3),VLOOKUP(_xlfn.MINIFS('FIRE TEX 5120'!$B$5:$B$40,'FIRE TEX 5120'!$B$5:$B$40,"&gt;="&amp;M842),'FIRE TEX 5120'!$B$5:$G$40,IF(L842="F-15",2,IF(L842="F-30",3,IF(L842="F-60",4,IF(L842="F-90",5,IF(L842="F-120",6,0))))),0),0)+IF(AND(O842="FIRE TEX 5120",OR(E842="IN",E842="C",E842="Z",E842="L"),J842=4),VLOOKUP(_xlfn.MINIFS('FIRE TEX 5120'!$H$4:$H$40,'FIRE TEX 5120'!$H$4:$H$40,"&gt;="&amp;M842),'FIRE TEX 5120'!$H$4:$M$40,IF(L842="F-15",2,IF(L842="F-30",3,IF(L842="F-60",4,IF(L842="F-90",5,IF(L842="F-120",6,0))))),0),0)+IF(AND(O842="FIRE TEX 5120",E842="CJ"),VLOOKUP(_xlfn.MINIFS('FIRE TEX 5120'!$O$5:$O$40,'FIRE TEX 5120'!$O$5:$O$40,"&gt;="&amp;M842),'FIRE TEX 5120'!$O$5:$T$40,IF(L842="F-15",2,IF(L842="F-30",3,IF(L842="F-60",4,IF(L842="F-90",5,IF(L842="F-120",6,0))))),0),0)</f>
        <v>0</v>
      </c>
      <c r="Q842" s="46">
        <f t="shared" si="84"/>
        <v>0</v>
      </c>
      <c r="R842" s="46">
        <f t="shared" si="85"/>
        <v>0</v>
      </c>
      <c r="S842" s="46" t="e">
        <f t="shared" si="86"/>
        <v>#VALUE!</v>
      </c>
      <c r="T842" s="677">
        <f t="shared" si="87"/>
        <v>0</v>
      </c>
      <c r="U842" s="80">
        <f>(IF(O842="Stofire",(S842*#REF!),0))+(IF(O842="Fire Control",(S842*$U$2),0))+(IF(O842="Fire Tex",(S842*$U$3),0))+(IF(O842="WB7",(S842*#REF!),0)+(IF(O842="FX 2003",(S842*$U$5),0)))</f>
        <v>0</v>
      </c>
      <c r="V842" s="651">
        <f t="shared" si="88"/>
        <v>0</v>
      </c>
    </row>
    <row r="843" spans="4:22" x14ac:dyDescent="0.25">
      <c r="D843" s="118">
        <f>+CUBICACION!D842</f>
        <v>0</v>
      </c>
      <c r="E843" s="118">
        <f>+CUBICACION!F842</f>
        <v>0</v>
      </c>
      <c r="F843" s="118">
        <f>+CUBICACION!E842</f>
        <v>0</v>
      </c>
      <c r="G843" s="118">
        <v>12</v>
      </c>
      <c r="H843" s="118">
        <v>2</v>
      </c>
      <c r="I843" s="820">
        <v>26385</v>
      </c>
      <c r="J843" s="118">
        <f>+CUBICACION!J842</f>
        <v>0</v>
      </c>
      <c r="K843" s="118">
        <v>3622</v>
      </c>
      <c r="L843" s="118">
        <f>+CUBICACION!L842</f>
        <v>0</v>
      </c>
      <c r="M843" s="64">
        <f>+CUBICACION!M842</f>
        <v>0</v>
      </c>
      <c r="N843" s="824" t="str">
        <f>+CUBICACION!N842</f>
        <v/>
      </c>
      <c r="O843" s="675">
        <f>+CUBICACION!O842</f>
        <v>0</v>
      </c>
      <c r="P843" s="15">
        <f>IF(O843="Fire Control",VLOOKUP(_xlfn.MINIFS('FIRE CONTROL'!$C$4:$C$37,'FIRE CONTROL'!$C$4:$C$37,"&gt;="&amp;M843),'FIRE CONTROL'!$C$4:$G$37,IF(L843="F-15",2,IF(L843="F-30",3,IF(L843="F-60",4,IF(L843="F-90",5,0)))),0),0)+IF(AND(O843="FIRE TEX 5062",OR(E843="IN",E843="C",E843="Z",E843="L"),J843=3),VLOOKUP(_xlfn.MINIFS('FIRE TEX 5062'!$B$4:$B$34,'FIRE TEX 5062'!$B$4:$B$34,"&gt;="&amp;M843),'FIRE TEX 5062'!$B$4:$F$34,IF(L843="F-15",2,IF(L843="F-30",3,IF(L843="F-60",4,IF(L843="F-90",5,0)))),0),0)+IF(AND(O843="FIRE TEX 5062",OR(E843="IN",E843="C",E843="Z",E843="L"),J843=4),VLOOKUP(_xlfn.MINIFS('FIRE TEX 5062'!$G$4:$G$34,'FIRE TEX 5062'!$G$4:$G$34,"&gt;="&amp;M843),'FIRE TEX 5062'!$G$4:$K$34,IF(L843="F-15",2,IF(L843="F-30",3,IF(L843="F-60",4,IF(L843="F-90",5,0)))),0),0)+IF(AND(O843="FIRE TEX 5062",E843="CJ",J843=3),VLOOKUP(_xlfn.MINIFS('FIRE TEX 5062'!$L$4:$L$34,'FIRE TEX 5062'!$L$4:$L$34,"&gt;="&amp;M843),'FIRE TEX 5062'!$L$4:$P$34,IF(L843="F-15",2,IF(L843="F-30",3,IF(L843="F-60",4,IF(L843="F-90",5,0)))),0),0)+IF(AND(O843="FIRE TEX 5062",E843="CJ",J843=4),VLOOKUP(_xlfn.MINIFS('FIRE TEX 5062'!$Q$3:$Q$34,'FIRE TEX 5062'!$Q$3:$Q$34,"&gt;="&amp;M843),'FIRE TEX 5062'!$Q$3:$U$34,IF(L843="F-15",2,IF(L843="F-30",3,IF(L843="F-60",4,IF(L843="F-90",5,0)))),0),0)+IF(AND(O843="FIRE TEX 5090",OR(E843="IN",E843="C",E843="Z",E843="L"),J843=3),VLOOKUP(_xlfn.MINIFS('FIRE TEX 5090'!$B$5:$B$43,'FIRE TEX 5090'!$B$5:$B$43,"&gt;="&amp;M843),'FIRE TEX 5090'!$B$5:$H$43,IF(L843="F-15",2,IF(L843="F-30",3,IF(L843="F-60",4,IF(L843="F-90",5,IF(L843="F-120",6,IF(L843="F-150",7,0)))))),0),0)+IF(AND(O843="FIRE TEX 5090",OR(E843="IN",E843="C",E843="Z",E843="L"),J843=4),VLOOKUP(_xlfn.MINIFS('FIRE TEX 5090'!$J$5:$J$43,'FIRE TEX 5090'!$J$5:$J$43,"&gt;="&amp;M843),'FIRE TEX 5090'!$J$5:$P$43,IF(L843="F-15",2,IF(L843="F-30",3,IF(L843="F-60",4,IF(L843="F-90",5,IF(L843="F-120",6,IF(L843="F-150",7,0)))))),0),0)+IF(AND(O843="FIRE TEX 5090",E843="CJ",J843=3),VLOOKUP(_xlfn.MINIFS('FIRE TEX 5090'!$R$5:$R$30,'FIRE TEX 5090'!$R$5:$R$30,"&gt;="&amp;M843),'FIRE TEX 5090'!$R$5:$W$30,IF(L843="F-15",2,IF(L843="F-30",3,IF(L843="F-60",4,IF(L843="F-90",5,IF(L843="F-120",6,IF(L843="F-150",7,0)))))),0),0)+IF(AND(O843="FIRE TEX 5090",E843="CJ",J843=4),VLOOKUP(_xlfn.MINIFS('FIRE TEX 5090'!$Y$5:$Y$39,'FIRE TEX 5090'!$Y$5:$Y$39,"&gt;="&amp;M843),'FIRE TEX 5090'!$Y$5:$AD$39,IF(L843="F-15",2,IF(L843="F-30",3,IF(L843="F-60",4,IF(L843="F-90",5,IF(L843="F-120",6,IF(L843="F-150",7,0)))))),0),0)+IF(AND(O843="FIRE TEX 5120",OR(E843="IN",E843="C",E843="Z",E843="L"),J843=3),VLOOKUP(_xlfn.MINIFS('FIRE TEX 5120'!$B$5:$B$40,'FIRE TEX 5120'!$B$5:$B$40,"&gt;="&amp;M843),'FIRE TEX 5120'!$B$5:$G$40,IF(L843="F-15",2,IF(L843="F-30",3,IF(L843="F-60",4,IF(L843="F-90",5,IF(L843="F-120",6,0))))),0),0)+IF(AND(O843="FIRE TEX 5120",OR(E843="IN",E843="C",E843="Z",E843="L"),J843=4),VLOOKUP(_xlfn.MINIFS('FIRE TEX 5120'!$H$4:$H$40,'FIRE TEX 5120'!$H$4:$H$40,"&gt;="&amp;M843),'FIRE TEX 5120'!$H$4:$M$40,IF(L843="F-15",2,IF(L843="F-30",3,IF(L843="F-60",4,IF(L843="F-90",5,IF(L843="F-120",6,0))))),0),0)+IF(AND(O843="FIRE TEX 5120",E843="CJ"),VLOOKUP(_xlfn.MINIFS('FIRE TEX 5120'!$O$5:$O$40,'FIRE TEX 5120'!$O$5:$O$40,"&gt;="&amp;M843),'FIRE TEX 5120'!$O$5:$T$40,IF(L843="F-15",2,IF(L843="F-30",3,IF(L843="F-60",4,IF(L843="F-90",5,IF(L843="F-120",6,0))))),0),0)</f>
        <v>0</v>
      </c>
      <c r="Q843" s="46">
        <f t="shared" si="84"/>
        <v>0</v>
      </c>
      <c r="R843" s="46">
        <f t="shared" si="85"/>
        <v>0</v>
      </c>
      <c r="S843" s="46" t="e">
        <f t="shared" si="86"/>
        <v>#VALUE!</v>
      </c>
      <c r="T843" s="677">
        <f t="shared" si="87"/>
        <v>0</v>
      </c>
      <c r="U843" s="80">
        <f>(IF(O843="Stofire",(S843*#REF!),0))+(IF(O843="Fire Control",(S843*$U$2),0))+(IF(O843="Fire Tex",(S843*$U$3),0))+(IF(O843="WB7",(S843*#REF!),0)+(IF(O843="FX 2003",(S843*$U$5),0)))</f>
        <v>0</v>
      </c>
      <c r="V843" s="651">
        <f t="shared" si="88"/>
        <v>0</v>
      </c>
    </row>
    <row r="844" spans="4:22" x14ac:dyDescent="0.25">
      <c r="D844" s="118">
        <f>+CUBICACION!D843</f>
        <v>0</v>
      </c>
      <c r="E844" s="118">
        <f>+CUBICACION!F843</f>
        <v>0</v>
      </c>
      <c r="F844" s="118">
        <f>+CUBICACION!E843</f>
        <v>0</v>
      </c>
      <c r="G844" s="118">
        <v>12</v>
      </c>
      <c r="H844" s="118">
        <v>2</v>
      </c>
      <c r="I844" s="820">
        <v>26385</v>
      </c>
      <c r="J844" s="118">
        <f>+CUBICACION!J843</f>
        <v>0</v>
      </c>
      <c r="K844" s="118">
        <v>3623</v>
      </c>
      <c r="L844" s="118">
        <f>+CUBICACION!L843</f>
        <v>0</v>
      </c>
      <c r="M844" s="64">
        <f>+CUBICACION!M843</f>
        <v>0</v>
      </c>
      <c r="N844" s="824" t="str">
        <f>+CUBICACION!N843</f>
        <v/>
      </c>
      <c r="O844" s="675">
        <f>+CUBICACION!O843</f>
        <v>0</v>
      </c>
      <c r="P844" s="15">
        <f>IF(O844="Fire Control",VLOOKUP(_xlfn.MINIFS('FIRE CONTROL'!$C$4:$C$37,'FIRE CONTROL'!$C$4:$C$37,"&gt;="&amp;M844),'FIRE CONTROL'!$C$4:$G$37,IF(L844="F-15",2,IF(L844="F-30",3,IF(L844="F-60",4,IF(L844="F-90",5,0)))),0),0)+IF(AND(O844="FIRE TEX 5062",OR(E844="IN",E844="C",E844="Z",E844="L"),J844=3),VLOOKUP(_xlfn.MINIFS('FIRE TEX 5062'!$B$4:$B$34,'FIRE TEX 5062'!$B$4:$B$34,"&gt;="&amp;M844),'FIRE TEX 5062'!$B$4:$F$34,IF(L844="F-15",2,IF(L844="F-30",3,IF(L844="F-60",4,IF(L844="F-90",5,0)))),0),0)+IF(AND(O844="FIRE TEX 5062",OR(E844="IN",E844="C",E844="Z",E844="L"),J844=4),VLOOKUP(_xlfn.MINIFS('FIRE TEX 5062'!$G$4:$G$34,'FIRE TEX 5062'!$G$4:$G$34,"&gt;="&amp;M844),'FIRE TEX 5062'!$G$4:$K$34,IF(L844="F-15",2,IF(L844="F-30",3,IF(L844="F-60",4,IF(L844="F-90",5,0)))),0),0)+IF(AND(O844="FIRE TEX 5062",E844="CJ",J844=3),VLOOKUP(_xlfn.MINIFS('FIRE TEX 5062'!$L$4:$L$34,'FIRE TEX 5062'!$L$4:$L$34,"&gt;="&amp;M844),'FIRE TEX 5062'!$L$4:$P$34,IF(L844="F-15",2,IF(L844="F-30",3,IF(L844="F-60",4,IF(L844="F-90",5,0)))),0),0)+IF(AND(O844="FIRE TEX 5062",E844="CJ",J844=4),VLOOKUP(_xlfn.MINIFS('FIRE TEX 5062'!$Q$3:$Q$34,'FIRE TEX 5062'!$Q$3:$Q$34,"&gt;="&amp;M844),'FIRE TEX 5062'!$Q$3:$U$34,IF(L844="F-15",2,IF(L844="F-30",3,IF(L844="F-60",4,IF(L844="F-90",5,0)))),0),0)+IF(AND(O844="FIRE TEX 5090",OR(E844="IN",E844="C",E844="Z",E844="L"),J844=3),VLOOKUP(_xlfn.MINIFS('FIRE TEX 5090'!$B$5:$B$43,'FIRE TEX 5090'!$B$5:$B$43,"&gt;="&amp;M844),'FIRE TEX 5090'!$B$5:$H$43,IF(L844="F-15",2,IF(L844="F-30",3,IF(L844="F-60",4,IF(L844="F-90",5,IF(L844="F-120",6,IF(L844="F-150",7,0)))))),0),0)+IF(AND(O844="FIRE TEX 5090",OR(E844="IN",E844="C",E844="Z",E844="L"),J844=4),VLOOKUP(_xlfn.MINIFS('FIRE TEX 5090'!$J$5:$J$43,'FIRE TEX 5090'!$J$5:$J$43,"&gt;="&amp;M844),'FIRE TEX 5090'!$J$5:$P$43,IF(L844="F-15",2,IF(L844="F-30",3,IF(L844="F-60",4,IF(L844="F-90",5,IF(L844="F-120",6,IF(L844="F-150",7,0)))))),0),0)+IF(AND(O844="FIRE TEX 5090",E844="CJ",J844=3),VLOOKUP(_xlfn.MINIFS('FIRE TEX 5090'!$R$5:$R$30,'FIRE TEX 5090'!$R$5:$R$30,"&gt;="&amp;M844),'FIRE TEX 5090'!$R$5:$W$30,IF(L844="F-15",2,IF(L844="F-30",3,IF(L844="F-60",4,IF(L844="F-90",5,IF(L844="F-120",6,IF(L844="F-150",7,0)))))),0),0)+IF(AND(O844="FIRE TEX 5090",E844="CJ",J844=4),VLOOKUP(_xlfn.MINIFS('FIRE TEX 5090'!$Y$5:$Y$39,'FIRE TEX 5090'!$Y$5:$Y$39,"&gt;="&amp;M844),'FIRE TEX 5090'!$Y$5:$AD$39,IF(L844="F-15",2,IF(L844="F-30",3,IF(L844="F-60",4,IF(L844="F-90",5,IF(L844="F-120",6,IF(L844="F-150",7,0)))))),0),0)+IF(AND(O844="FIRE TEX 5120",OR(E844="IN",E844="C",E844="Z",E844="L"),J844=3),VLOOKUP(_xlfn.MINIFS('FIRE TEX 5120'!$B$5:$B$40,'FIRE TEX 5120'!$B$5:$B$40,"&gt;="&amp;M844),'FIRE TEX 5120'!$B$5:$G$40,IF(L844="F-15",2,IF(L844="F-30",3,IF(L844="F-60",4,IF(L844="F-90",5,IF(L844="F-120",6,0))))),0),0)+IF(AND(O844="FIRE TEX 5120",OR(E844="IN",E844="C",E844="Z",E844="L"),J844=4),VLOOKUP(_xlfn.MINIFS('FIRE TEX 5120'!$H$4:$H$40,'FIRE TEX 5120'!$H$4:$H$40,"&gt;="&amp;M844),'FIRE TEX 5120'!$H$4:$M$40,IF(L844="F-15",2,IF(L844="F-30",3,IF(L844="F-60",4,IF(L844="F-90",5,IF(L844="F-120",6,0))))),0),0)+IF(AND(O844="FIRE TEX 5120",E844="CJ"),VLOOKUP(_xlfn.MINIFS('FIRE TEX 5120'!$O$5:$O$40,'FIRE TEX 5120'!$O$5:$O$40,"&gt;="&amp;M844),'FIRE TEX 5120'!$O$5:$T$40,IF(L844="F-15",2,IF(L844="F-30",3,IF(L844="F-60",4,IF(L844="F-90",5,IF(L844="F-120",6,0))))),0),0)</f>
        <v>0</v>
      </c>
      <c r="Q844" s="46">
        <f t="shared" si="84"/>
        <v>0</v>
      </c>
      <c r="R844" s="46">
        <f t="shared" si="85"/>
        <v>0</v>
      </c>
      <c r="S844" s="46" t="e">
        <f t="shared" si="86"/>
        <v>#VALUE!</v>
      </c>
      <c r="T844" s="677">
        <f t="shared" si="87"/>
        <v>0</v>
      </c>
      <c r="U844" s="80">
        <f>(IF(O844="Stofire",(S844*#REF!),0))+(IF(O844="Fire Control",(S844*$U$2),0))+(IF(O844="Fire Tex",(S844*$U$3),0))+(IF(O844="WB7",(S844*#REF!),0)+(IF(O844="FX 2003",(S844*$U$5),0)))</f>
        <v>0</v>
      </c>
      <c r="V844" s="651">
        <f t="shared" si="88"/>
        <v>0</v>
      </c>
    </row>
    <row r="845" spans="4:22" x14ac:dyDescent="0.25">
      <c r="D845" s="118">
        <f>+CUBICACION!D844</f>
        <v>0</v>
      </c>
      <c r="E845" s="118">
        <f>+CUBICACION!F844</f>
        <v>0</v>
      </c>
      <c r="F845" s="118">
        <f>+CUBICACION!E844</f>
        <v>0</v>
      </c>
      <c r="G845" s="118">
        <v>12</v>
      </c>
      <c r="H845" s="118">
        <v>2</v>
      </c>
      <c r="I845" s="820">
        <v>26385</v>
      </c>
      <c r="J845" s="118">
        <f>+CUBICACION!J844</f>
        <v>0</v>
      </c>
      <c r="K845" s="118">
        <v>3624</v>
      </c>
      <c r="L845" s="118">
        <f>+CUBICACION!L844</f>
        <v>0</v>
      </c>
      <c r="M845" s="64">
        <f>+CUBICACION!M844</f>
        <v>0</v>
      </c>
      <c r="N845" s="824" t="str">
        <f>+CUBICACION!N844</f>
        <v/>
      </c>
      <c r="O845" s="675">
        <f>+CUBICACION!O844</f>
        <v>0</v>
      </c>
      <c r="P845" s="15">
        <f>IF(O845="Fire Control",VLOOKUP(_xlfn.MINIFS('FIRE CONTROL'!$C$4:$C$37,'FIRE CONTROL'!$C$4:$C$37,"&gt;="&amp;M845),'FIRE CONTROL'!$C$4:$G$37,IF(L845="F-15",2,IF(L845="F-30",3,IF(L845="F-60",4,IF(L845="F-90",5,0)))),0),0)+IF(AND(O845="FIRE TEX 5062",OR(E845="IN",E845="C",E845="Z",E845="L"),J845=3),VLOOKUP(_xlfn.MINIFS('FIRE TEX 5062'!$B$4:$B$34,'FIRE TEX 5062'!$B$4:$B$34,"&gt;="&amp;M845),'FIRE TEX 5062'!$B$4:$F$34,IF(L845="F-15",2,IF(L845="F-30",3,IF(L845="F-60",4,IF(L845="F-90",5,0)))),0),0)+IF(AND(O845="FIRE TEX 5062",OR(E845="IN",E845="C",E845="Z",E845="L"),J845=4),VLOOKUP(_xlfn.MINIFS('FIRE TEX 5062'!$G$4:$G$34,'FIRE TEX 5062'!$G$4:$G$34,"&gt;="&amp;M845),'FIRE TEX 5062'!$G$4:$K$34,IF(L845="F-15",2,IF(L845="F-30",3,IF(L845="F-60",4,IF(L845="F-90",5,0)))),0),0)+IF(AND(O845="FIRE TEX 5062",E845="CJ",J845=3),VLOOKUP(_xlfn.MINIFS('FIRE TEX 5062'!$L$4:$L$34,'FIRE TEX 5062'!$L$4:$L$34,"&gt;="&amp;M845),'FIRE TEX 5062'!$L$4:$P$34,IF(L845="F-15",2,IF(L845="F-30",3,IF(L845="F-60",4,IF(L845="F-90",5,0)))),0),0)+IF(AND(O845="FIRE TEX 5062",E845="CJ",J845=4),VLOOKUP(_xlfn.MINIFS('FIRE TEX 5062'!$Q$3:$Q$34,'FIRE TEX 5062'!$Q$3:$Q$34,"&gt;="&amp;M845),'FIRE TEX 5062'!$Q$3:$U$34,IF(L845="F-15",2,IF(L845="F-30",3,IF(L845="F-60",4,IF(L845="F-90",5,0)))),0),0)+IF(AND(O845="FIRE TEX 5090",OR(E845="IN",E845="C",E845="Z",E845="L"),J845=3),VLOOKUP(_xlfn.MINIFS('FIRE TEX 5090'!$B$5:$B$43,'FIRE TEX 5090'!$B$5:$B$43,"&gt;="&amp;M845),'FIRE TEX 5090'!$B$5:$H$43,IF(L845="F-15",2,IF(L845="F-30",3,IF(L845="F-60",4,IF(L845="F-90",5,IF(L845="F-120",6,IF(L845="F-150",7,0)))))),0),0)+IF(AND(O845="FIRE TEX 5090",OR(E845="IN",E845="C",E845="Z",E845="L"),J845=4),VLOOKUP(_xlfn.MINIFS('FIRE TEX 5090'!$J$5:$J$43,'FIRE TEX 5090'!$J$5:$J$43,"&gt;="&amp;M845),'FIRE TEX 5090'!$J$5:$P$43,IF(L845="F-15",2,IF(L845="F-30",3,IF(L845="F-60",4,IF(L845="F-90",5,IF(L845="F-120",6,IF(L845="F-150",7,0)))))),0),0)+IF(AND(O845="FIRE TEX 5090",E845="CJ",J845=3),VLOOKUP(_xlfn.MINIFS('FIRE TEX 5090'!$R$5:$R$30,'FIRE TEX 5090'!$R$5:$R$30,"&gt;="&amp;M845),'FIRE TEX 5090'!$R$5:$W$30,IF(L845="F-15",2,IF(L845="F-30",3,IF(L845="F-60",4,IF(L845="F-90",5,IF(L845="F-120",6,IF(L845="F-150",7,0)))))),0),0)+IF(AND(O845="FIRE TEX 5090",E845="CJ",J845=4),VLOOKUP(_xlfn.MINIFS('FIRE TEX 5090'!$Y$5:$Y$39,'FIRE TEX 5090'!$Y$5:$Y$39,"&gt;="&amp;M845),'FIRE TEX 5090'!$Y$5:$AD$39,IF(L845="F-15",2,IF(L845="F-30",3,IF(L845="F-60",4,IF(L845="F-90",5,IF(L845="F-120",6,IF(L845="F-150",7,0)))))),0),0)+IF(AND(O845="FIRE TEX 5120",OR(E845="IN",E845="C",E845="Z",E845="L"),J845=3),VLOOKUP(_xlfn.MINIFS('FIRE TEX 5120'!$B$5:$B$40,'FIRE TEX 5120'!$B$5:$B$40,"&gt;="&amp;M845),'FIRE TEX 5120'!$B$5:$G$40,IF(L845="F-15",2,IF(L845="F-30",3,IF(L845="F-60",4,IF(L845="F-90",5,IF(L845="F-120",6,0))))),0),0)+IF(AND(O845="FIRE TEX 5120",OR(E845="IN",E845="C",E845="Z",E845="L"),J845=4),VLOOKUP(_xlfn.MINIFS('FIRE TEX 5120'!$H$4:$H$40,'FIRE TEX 5120'!$H$4:$H$40,"&gt;="&amp;M845),'FIRE TEX 5120'!$H$4:$M$40,IF(L845="F-15",2,IF(L845="F-30",3,IF(L845="F-60",4,IF(L845="F-90",5,IF(L845="F-120",6,0))))),0),0)+IF(AND(O845="FIRE TEX 5120",E845="CJ"),VLOOKUP(_xlfn.MINIFS('FIRE TEX 5120'!$O$5:$O$40,'FIRE TEX 5120'!$O$5:$O$40,"&gt;="&amp;M845),'FIRE TEX 5120'!$O$5:$T$40,IF(L845="F-15",2,IF(L845="F-30",3,IF(L845="F-60",4,IF(L845="F-90",5,IF(L845="F-120",6,0))))),0),0)</f>
        <v>0</v>
      </c>
      <c r="Q845" s="46">
        <f t="shared" si="84"/>
        <v>0</v>
      </c>
      <c r="R845" s="46">
        <f t="shared" si="85"/>
        <v>0</v>
      </c>
      <c r="S845" s="46" t="e">
        <f t="shared" si="86"/>
        <v>#VALUE!</v>
      </c>
      <c r="T845" s="677">
        <f t="shared" si="87"/>
        <v>0</v>
      </c>
      <c r="U845" s="80">
        <f>(IF(O845="Stofire",(S845*#REF!),0))+(IF(O845="Fire Control",(S845*$U$2),0))+(IF(O845="Fire Tex",(S845*$U$3),0))+(IF(O845="WB7",(S845*#REF!),0)+(IF(O845="FX 2003",(S845*$U$5),0)))</f>
        <v>0</v>
      </c>
      <c r="V845" s="651">
        <f t="shared" si="88"/>
        <v>0</v>
      </c>
    </row>
    <row r="846" spans="4:22" x14ac:dyDescent="0.25">
      <c r="D846" s="118">
        <f>+CUBICACION!D845</f>
        <v>0</v>
      </c>
      <c r="E846" s="118">
        <f>+CUBICACION!F845</f>
        <v>0</v>
      </c>
      <c r="F846" s="118">
        <f>+CUBICACION!E845</f>
        <v>0</v>
      </c>
      <c r="G846" s="118">
        <v>12</v>
      </c>
      <c r="H846" s="118">
        <v>2</v>
      </c>
      <c r="I846" s="820">
        <v>26385</v>
      </c>
      <c r="J846" s="118">
        <f>+CUBICACION!J845</f>
        <v>0</v>
      </c>
      <c r="K846" s="118">
        <v>3625</v>
      </c>
      <c r="L846" s="118">
        <f>+CUBICACION!L845</f>
        <v>0</v>
      </c>
      <c r="M846" s="64">
        <f>+CUBICACION!M845</f>
        <v>0</v>
      </c>
      <c r="N846" s="824" t="str">
        <f>+CUBICACION!N845</f>
        <v/>
      </c>
      <c r="O846" s="675">
        <f>+CUBICACION!O845</f>
        <v>0</v>
      </c>
      <c r="P846" s="15">
        <f>IF(O846="Fire Control",VLOOKUP(_xlfn.MINIFS('FIRE CONTROL'!$C$4:$C$37,'FIRE CONTROL'!$C$4:$C$37,"&gt;="&amp;M846),'FIRE CONTROL'!$C$4:$G$37,IF(L846="F-15",2,IF(L846="F-30",3,IF(L846="F-60",4,IF(L846="F-90",5,0)))),0),0)+IF(AND(O846="FIRE TEX 5062",OR(E846="IN",E846="C",E846="Z",E846="L"),J846=3),VLOOKUP(_xlfn.MINIFS('FIRE TEX 5062'!$B$4:$B$34,'FIRE TEX 5062'!$B$4:$B$34,"&gt;="&amp;M846),'FIRE TEX 5062'!$B$4:$F$34,IF(L846="F-15",2,IF(L846="F-30",3,IF(L846="F-60",4,IF(L846="F-90",5,0)))),0),0)+IF(AND(O846="FIRE TEX 5062",OR(E846="IN",E846="C",E846="Z",E846="L"),J846=4),VLOOKUP(_xlfn.MINIFS('FIRE TEX 5062'!$G$4:$G$34,'FIRE TEX 5062'!$G$4:$G$34,"&gt;="&amp;M846),'FIRE TEX 5062'!$G$4:$K$34,IF(L846="F-15",2,IF(L846="F-30",3,IF(L846="F-60",4,IF(L846="F-90",5,0)))),0),0)+IF(AND(O846="FIRE TEX 5062",E846="CJ",J846=3),VLOOKUP(_xlfn.MINIFS('FIRE TEX 5062'!$L$4:$L$34,'FIRE TEX 5062'!$L$4:$L$34,"&gt;="&amp;M846),'FIRE TEX 5062'!$L$4:$P$34,IF(L846="F-15",2,IF(L846="F-30",3,IF(L846="F-60",4,IF(L846="F-90",5,0)))),0),0)+IF(AND(O846="FIRE TEX 5062",E846="CJ",J846=4),VLOOKUP(_xlfn.MINIFS('FIRE TEX 5062'!$Q$3:$Q$34,'FIRE TEX 5062'!$Q$3:$Q$34,"&gt;="&amp;M846),'FIRE TEX 5062'!$Q$3:$U$34,IF(L846="F-15",2,IF(L846="F-30",3,IF(L846="F-60",4,IF(L846="F-90",5,0)))),0),0)+IF(AND(O846="FIRE TEX 5090",OR(E846="IN",E846="C",E846="Z",E846="L"),J846=3),VLOOKUP(_xlfn.MINIFS('FIRE TEX 5090'!$B$5:$B$43,'FIRE TEX 5090'!$B$5:$B$43,"&gt;="&amp;M846),'FIRE TEX 5090'!$B$5:$H$43,IF(L846="F-15",2,IF(L846="F-30",3,IF(L846="F-60",4,IF(L846="F-90",5,IF(L846="F-120",6,IF(L846="F-150",7,0)))))),0),0)+IF(AND(O846="FIRE TEX 5090",OR(E846="IN",E846="C",E846="Z",E846="L"),J846=4),VLOOKUP(_xlfn.MINIFS('FIRE TEX 5090'!$J$5:$J$43,'FIRE TEX 5090'!$J$5:$J$43,"&gt;="&amp;M846),'FIRE TEX 5090'!$J$5:$P$43,IF(L846="F-15",2,IF(L846="F-30",3,IF(L846="F-60",4,IF(L846="F-90",5,IF(L846="F-120",6,IF(L846="F-150",7,0)))))),0),0)+IF(AND(O846="FIRE TEX 5090",E846="CJ",J846=3),VLOOKUP(_xlfn.MINIFS('FIRE TEX 5090'!$R$5:$R$30,'FIRE TEX 5090'!$R$5:$R$30,"&gt;="&amp;M846),'FIRE TEX 5090'!$R$5:$W$30,IF(L846="F-15",2,IF(L846="F-30",3,IF(L846="F-60",4,IF(L846="F-90",5,IF(L846="F-120",6,IF(L846="F-150",7,0)))))),0),0)+IF(AND(O846="FIRE TEX 5090",E846="CJ",J846=4),VLOOKUP(_xlfn.MINIFS('FIRE TEX 5090'!$Y$5:$Y$39,'FIRE TEX 5090'!$Y$5:$Y$39,"&gt;="&amp;M846),'FIRE TEX 5090'!$Y$5:$AD$39,IF(L846="F-15",2,IF(L846="F-30",3,IF(L846="F-60",4,IF(L846="F-90",5,IF(L846="F-120",6,IF(L846="F-150",7,0)))))),0),0)+IF(AND(O846="FIRE TEX 5120",OR(E846="IN",E846="C",E846="Z",E846="L"),J846=3),VLOOKUP(_xlfn.MINIFS('FIRE TEX 5120'!$B$5:$B$40,'FIRE TEX 5120'!$B$5:$B$40,"&gt;="&amp;M846),'FIRE TEX 5120'!$B$5:$G$40,IF(L846="F-15",2,IF(L846="F-30",3,IF(L846="F-60",4,IF(L846="F-90",5,IF(L846="F-120",6,0))))),0),0)+IF(AND(O846="FIRE TEX 5120",OR(E846="IN",E846="C",E846="Z",E846="L"),J846=4),VLOOKUP(_xlfn.MINIFS('FIRE TEX 5120'!$H$4:$H$40,'FIRE TEX 5120'!$H$4:$H$40,"&gt;="&amp;M846),'FIRE TEX 5120'!$H$4:$M$40,IF(L846="F-15",2,IF(L846="F-30",3,IF(L846="F-60",4,IF(L846="F-90",5,IF(L846="F-120",6,0))))),0),0)+IF(AND(O846="FIRE TEX 5120",E846="CJ"),VLOOKUP(_xlfn.MINIFS('FIRE TEX 5120'!$O$5:$O$40,'FIRE TEX 5120'!$O$5:$O$40,"&gt;="&amp;M846),'FIRE TEX 5120'!$O$5:$T$40,IF(L846="F-15",2,IF(L846="F-30",3,IF(L846="F-60",4,IF(L846="F-90",5,IF(L846="F-120",6,0))))),0),0)</f>
        <v>0</v>
      </c>
      <c r="Q846" s="46">
        <f t="shared" si="84"/>
        <v>0</v>
      </c>
      <c r="R846" s="46">
        <f t="shared" si="85"/>
        <v>0</v>
      </c>
      <c r="S846" s="46" t="e">
        <f t="shared" si="86"/>
        <v>#VALUE!</v>
      </c>
      <c r="T846" s="677">
        <f t="shared" si="87"/>
        <v>0</v>
      </c>
      <c r="U846" s="80">
        <f>(IF(O846="Stofire",(S846*#REF!),0))+(IF(O846="Fire Control",(S846*$U$2),0))+(IF(O846="Fire Tex",(S846*$U$3),0))+(IF(O846="WB7",(S846*#REF!),0)+(IF(O846="FX 2003",(S846*$U$5),0)))</f>
        <v>0</v>
      </c>
      <c r="V846" s="651">
        <f t="shared" si="88"/>
        <v>0</v>
      </c>
    </row>
    <row r="847" spans="4:22" x14ac:dyDescent="0.25">
      <c r="D847" s="118">
        <f>+CUBICACION!D846</f>
        <v>0</v>
      </c>
      <c r="E847" s="118">
        <f>+CUBICACION!F846</f>
        <v>0</v>
      </c>
      <c r="F847" s="118">
        <f>+CUBICACION!E846</f>
        <v>0</v>
      </c>
      <c r="G847" s="118">
        <v>12</v>
      </c>
      <c r="H847" s="118">
        <v>2</v>
      </c>
      <c r="I847" s="820">
        <v>26385</v>
      </c>
      <c r="J847" s="118">
        <f>+CUBICACION!J846</f>
        <v>0</v>
      </c>
      <c r="K847" s="118">
        <v>3626</v>
      </c>
      <c r="L847" s="118">
        <f>+CUBICACION!L846</f>
        <v>0</v>
      </c>
      <c r="M847" s="64">
        <f>+CUBICACION!M846</f>
        <v>0</v>
      </c>
      <c r="N847" s="824" t="str">
        <f>+CUBICACION!N846</f>
        <v/>
      </c>
      <c r="O847" s="675">
        <f>+CUBICACION!O846</f>
        <v>0</v>
      </c>
      <c r="P847" s="15">
        <f>IF(O847="Fire Control",VLOOKUP(_xlfn.MINIFS('FIRE CONTROL'!$C$4:$C$37,'FIRE CONTROL'!$C$4:$C$37,"&gt;="&amp;M847),'FIRE CONTROL'!$C$4:$G$37,IF(L847="F-15",2,IF(L847="F-30",3,IF(L847="F-60",4,IF(L847="F-90",5,0)))),0),0)+IF(AND(O847="FIRE TEX 5062",OR(E847="IN",E847="C",E847="Z",E847="L"),J847=3),VLOOKUP(_xlfn.MINIFS('FIRE TEX 5062'!$B$4:$B$34,'FIRE TEX 5062'!$B$4:$B$34,"&gt;="&amp;M847),'FIRE TEX 5062'!$B$4:$F$34,IF(L847="F-15",2,IF(L847="F-30",3,IF(L847="F-60",4,IF(L847="F-90",5,0)))),0),0)+IF(AND(O847="FIRE TEX 5062",OR(E847="IN",E847="C",E847="Z",E847="L"),J847=4),VLOOKUP(_xlfn.MINIFS('FIRE TEX 5062'!$G$4:$G$34,'FIRE TEX 5062'!$G$4:$G$34,"&gt;="&amp;M847),'FIRE TEX 5062'!$G$4:$K$34,IF(L847="F-15",2,IF(L847="F-30",3,IF(L847="F-60",4,IF(L847="F-90",5,0)))),0),0)+IF(AND(O847="FIRE TEX 5062",E847="CJ",J847=3),VLOOKUP(_xlfn.MINIFS('FIRE TEX 5062'!$L$4:$L$34,'FIRE TEX 5062'!$L$4:$L$34,"&gt;="&amp;M847),'FIRE TEX 5062'!$L$4:$P$34,IF(L847="F-15",2,IF(L847="F-30",3,IF(L847="F-60",4,IF(L847="F-90",5,0)))),0),0)+IF(AND(O847="FIRE TEX 5062",E847="CJ",J847=4),VLOOKUP(_xlfn.MINIFS('FIRE TEX 5062'!$Q$3:$Q$34,'FIRE TEX 5062'!$Q$3:$Q$34,"&gt;="&amp;M847),'FIRE TEX 5062'!$Q$3:$U$34,IF(L847="F-15",2,IF(L847="F-30",3,IF(L847="F-60",4,IF(L847="F-90",5,0)))),0),0)+IF(AND(O847="FIRE TEX 5090",OR(E847="IN",E847="C",E847="Z",E847="L"),J847=3),VLOOKUP(_xlfn.MINIFS('FIRE TEX 5090'!$B$5:$B$43,'FIRE TEX 5090'!$B$5:$B$43,"&gt;="&amp;M847),'FIRE TEX 5090'!$B$5:$H$43,IF(L847="F-15",2,IF(L847="F-30",3,IF(L847="F-60",4,IF(L847="F-90",5,IF(L847="F-120",6,IF(L847="F-150",7,0)))))),0),0)+IF(AND(O847="FIRE TEX 5090",OR(E847="IN",E847="C",E847="Z",E847="L"),J847=4),VLOOKUP(_xlfn.MINIFS('FIRE TEX 5090'!$J$5:$J$43,'FIRE TEX 5090'!$J$5:$J$43,"&gt;="&amp;M847),'FIRE TEX 5090'!$J$5:$P$43,IF(L847="F-15",2,IF(L847="F-30",3,IF(L847="F-60",4,IF(L847="F-90",5,IF(L847="F-120",6,IF(L847="F-150",7,0)))))),0),0)+IF(AND(O847="FIRE TEX 5090",E847="CJ",J847=3),VLOOKUP(_xlfn.MINIFS('FIRE TEX 5090'!$R$5:$R$30,'FIRE TEX 5090'!$R$5:$R$30,"&gt;="&amp;M847),'FIRE TEX 5090'!$R$5:$W$30,IF(L847="F-15",2,IF(L847="F-30",3,IF(L847="F-60",4,IF(L847="F-90",5,IF(L847="F-120",6,IF(L847="F-150",7,0)))))),0),0)+IF(AND(O847="FIRE TEX 5090",E847="CJ",J847=4),VLOOKUP(_xlfn.MINIFS('FIRE TEX 5090'!$Y$5:$Y$39,'FIRE TEX 5090'!$Y$5:$Y$39,"&gt;="&amp;M847),'FIRE TEX 5090'!$Y$5:$AD$39,IF(L847="F-15",2,IF(L847="F-30",3,IF(L847="F-60",4,IF(L847="F-90",5,IF(L847="F-120",6,IF(L847="F-150",7,0)))))),0),0)+IF(AND(O847="FIRE TEX 5120",OR(E847="IN",E847="C",E847="Z",E847="L"),J847=3),VLOOKUP(_xlfn.MINIFS('FIRE TEX 5120'!$B$5:$B$40,'FIRE TEX 5120'!$B$5:$B$40,"&gt;="&amp;M847),'FIRE TEX 5120'!$B$5:$G$40,IF(L847="F-15",2,IF(L847="F-30",3,IF(L847="F-60",4,IF(L847="F-90",5,IF(L847="F-120",6,0))))),0),0)+IF(AND(O847="FIRE TEX 5120",OR(E847="IN",E847="C",E847="Z",E847="L"),J847=4),VLOOKUP(_xlfn.MINIFS('FIRE TEX 5120'!$H$4:$H$40,'FIRE TEX 5120'!$H$4:$H$40,"&gt;="&amp;M847),'FIRE TEX 5120'!$H$4:$M$40,IF(L847="F-15",2,IF(L847="F-30",3,IF(L847="F-60",4,IF(L847="F-90",5,IF(L847="F-120",6,0))))),0),0)+IF(AND(O847="FIRE TEX 5120",E847="CJ"),VLOOKUP(_xlfn.MINIFS('FIRE TEX 5120'!$O$5:$O$40,'FIRE TEX 5120'!$O$5:$O$40,"&gt;="&amp;M847),'FIRE TEX 5120'!$O$5:$T$40,IF(L847="F-15",2,IF(L847="F-30",3,IF(L847="F-60",4,IF(L847="F-90",5,IF(L847="F-120",6,0))))),0),0)</f>
        <v>0</v>
      </c>
      <c r="Q847" s="46">
        <f t="shared" si="84"/>
        <v>0</v>
      </c>
      <c r="R847" s="46">
        <f t="shared" si="85"/>
        <v>0</v>
      </c>
      <c r="S847" s="46" t="e">
        <f t="shared" si="86"/>
        <v>#VALUE!</v>
      </c>
      <c r="T847" s="677">
        <f t="shared" si="87"/>
        <v>0</v>
      </c>
      <c r="U847" s="80">
        <f>(IF(O847="Stofire",(S847*#REF!),0))+(IF(O847="Fire Control",(S847*$U$2),0))+(IF(O847="Fire Tex",(S847*$U$3),0))+(IF(O847="WB7",(S847*#REF!),0)+(IF(O847="FX 2003",(S847*$U$5),0)))</f>
        <v>0</v>
      </c>
      <c r="V847" s="651">
        <f t="shared" si="88"/>
        <v>0</v>
      </c>
    </row>
    <row r="848" spans="4:22" x14ac:dyDescent="0.25">
      <c r="D848" s="118">
        <f>+CUBICACION!D847</f>
        <v>0</v>
      </c>
      <c r="E848" s="118">
        <f>+CUBICACION!F847</f>
        <v>0</v>
      </c>
      <c r="F848" s="118">
        <f>+CUBICACION!E847</f>
        <v>0</v>
      </c>
      <c r="G848" s="118">
        <v>12</v>
      </c>
      <c r="H848" s="118">
        <v>2</v>
      </c>
      <c r="I848" s="820">
        <v>26385</v>
      </c>
      <c r="J848" s="118">
        <f>+CUBICACION!J847</f>
        <v>0</v>
      </c>
      <c r="K848" s="118">
        <v>3627</v>
      </c>
      <c r="L848" s="118">
        <f>+CUBICACION!L847</f>
        <v>0</v>
      </c>
      <c r="M848" s="64">
        <f>+CUBICACION!M847</f>
        <v>0</v>
      </c>
      <c r="N848" s="824" t="str">
        <f>+CUBICACION!N847</f>
        <v/>
      </c>
      <c r="O848" s="675">
        <f>+CUBICACION!O847</f>
        <v>0</v>
      </c>
      <c r="P848" s="15">
        <f>IF(O848="Fire Control",VLOOKUP(_xlfn.MINIFS('FIRE CONTROL'!$C$4:$C$37,'FIRE CONTROL'!$C$4:$C$37,"&gt;="&amp;M848),'FIRE CONTROL'!$C$4:$G$37,IF(L848="F-15",2,IF(L848="F-30",3,IF(L848="F-60",4,IF(L848="F-90",5,0)))),0),0)+IF(AND(O848="FIRE TEX 5062",OR(E848="IN",E848="C",E848="Z",E848="L"),J848=3),VLOOKUP(_xlfn.MINIFS('FIRE TEX 5062'!$B$4:$B$34,'FIRE TEX 5062'!$B$4:$B$34,"&gt;="&amp;M848),'FIRE TEX 5062'!$B$4:$F$34,IF(L848="F-15",2,IF(L848="F-30",3,IF(L848="F-60",4,IF(L848="F-90",5,0)))),0),0)+IF(AND(O848="FIRE TEX 5062",OR(E848="IN",E848="C",E848="Z",E848="L"),J848=4),VLOOKUP(_xlfn.MINIFS('FIRE TEX 5062'!$G$4:$G$34,'FIRE TEX 5062'!$G$4:$G$34,"&gt;="&amp;M848),'FIRE TEX 5062'!$G$4:$K$34,IF(L848="F-15",2,IF(L848="F-30",3,IF(L848="F-60",4,IF(L848="F-90",5,0)))),0),0)+IF(AND(O848="FIRE TEX 5062",E848="CJ",J848=3),VLOOKUP(_xlfn.MINIFS('FIRE TEX 5062'!$L$4:$L$34,'FIRE TEX 5062'!$L$4:$L$34,"&gt;="&amp;M848),'FIRE TEX 5062'!$L$4:$P$34,IF(L848="F-15",2,IF(L848="F-30",3,IF(L848="F-60",4,IF(L848="F-90",5,0)))),0),0)+IF(AND(O848="FIRE TEX 5062",E848="CJ",J848=4),VLOOKUP(_xlfn.MINIFS('FIRE TEX 5062'!$Q$3:$Q$34,'FIRE TEX 5062'!$Q$3:$Q$34,"&gt;="&amp;M848),'FIRE TEX 5062'!$Q$3:$U$34,IF(L848="F-15",2,IF(L848="F-30",3,IF(L848="F-60",4,IF(L848="F-90",5,0)))),0),0)+IF(AND(O848="FIRE TEX 5090",OR(E848="IN",E848="C",E848="Z",E848="L"),J848=3),VLOOKUP(_xlfn.MINIFS('FIRE TEX 5090'!$B$5:$B$43,'FIRE TEX 5090'!$B$5:$B$43,"&gt;="&amp;M848),'FIRE TEX 5090'!$B$5:$H$43,IF(L848="F-15",2,IF(L848="F-30",3,IF(L848="F-60",4,IF(L848="F-90",5,IF(L848="F-120",6,IF(L848="F-150",7,0)))))),0),0)+IF(AND(O848="FIRE TEX 5090",OR(E848="IN",E848="C",E848="Z",E848="L"),J848=4),VLOOKUP(_xlfn.MINIFS('FIRE TEX 5090'!$J$5:$J$43,'FIRE TEX 5090'!$J$5:$J$43,"&gt;="&amp;M848),'FIRE TEX 5090'!$J$5:$P$43,IF(L848="F-15",2,IF(L848="F-30",3,IF(L848="F-60",4,IF(L848="F-90",5,IF(L848="F-120",6,IF(L848="F-150",7,0)))))),0),0)+IF(AND(O848="FIRE TEX 5090",E848="CJ",J848=3),VLOOKUP(_xlfn.MINIFS('FIRE TEX 5090'!$R$5:$R$30,'FIRE TEX 5090'!$R$5:$R$30,"&gt;="&amp;M848),'FIRE TEX 5090'!$R$5:$W$30,IF(L848="F-15",2,IF(L848="F-30",3,IF(L848="F-60",4,IF(L848="F-90",5,IF(L848="F-120",6,IF(L848="F-150",7,0)))))),0),0)+IF(AND(O848="FIRE TEX 5090",E848="CJ",J848=4),VLOOKUP(_xlfn.MINIFS('FIRE TEX 5090'!$Y$5:$Y$39,'FIRE TEX 5090'!$Y$5:$Y$39,"&gt;="&amp;M848),'FIRE TEX 5090'!$Y$5:$AD$39,IF(L848="F-15",2,IF(L848="F-30",3,IF(L848="F-60",4,IF(L848="F-90",5,IF(L848="F-120",6,IF(L848="F-150",7,0)))))),0),0)+IF(AND(O848="FIRE TEX 5120",OR(E848="IN",E848="C",E848="Z",E848="L"),J848=3),VLOOKUP(_xlfn.MINIFS('FIRE TEX 5120'!$B$5:$B$40,'FIRE TEX 5120'!$B$5:$B$40,"&gt;="&amp;M848),'FIRE TEX 5120'!$B$5:$G$40,IF(L848="F-15",2,IF(L848="F-30",3,IF(L848="F-60",4,IF(L848="F-90",5,IF(L848="F-120",6,0))))),0),0)+IF(AND(O848="FIRE TEX 5120",OR(E848="IN",E848="C",E848="Z",E848="L"),J848=4),VLOOKUP(_xlfn.MINIFS('FIRE TEX 5120'!$H$4:$H$40,'FIRE TEX 5120'!$H$4:$H$40,"&gt;="&amp;M848),'FIRE TEX 5120'!$H$4:$M$40,IF(L848="F-15",2,IF(L848="F-30",3,IF(L848="F-60",4,IF(L848="F-90",5,IF(L848="F-120",6,0))))),0),0)+IF(AND(O848="FIRE TEX 5120",E848="CJ"),VLOOKUP(_xlfn.MINIFS('FIRE TEX 5120'!$O$5:$O$40,'FIRE TEX 5120'!$O$5:$O$40,"&gt;="&amp;M848),'FIRE TEX 5120'!$O$5:$T$40,IF(L848="F-15",2,IF(L848="F-30",3,IF(L848="F-60",4,IF(L848="F-90",5,IF(L848="F-120",6,0))))),0),0)</f>
        <v>0</v>
      </c>
      <c r="Q848" s="46">
        <f t="shared" si="84"/>
        <v>0</v>
      </c>
      <c r="R848" s="46">
        <f t="shared" si="85"/>
        <v>0</v>
      </c>
      <c r="S848" s="46" t="e">
        <f t="shared" si="86"/>
        <v>#VALUE!</v>
      </c>
      <c r="T848" s="677">
        <f t="shared" si="87"/>
        <v>0</v>
      </c>
      <c r="U848" s="80">
        <f>(IF(O848="Stofire",(S848*#REF!),0))+(IF(O848="Fire Control",(S848*$U$2),0))+(IF(O848="Fire Tex",(S848*$U$3),0))+(IF(O848="WB7",(S848*#REF!),0)+(IF(O848="FX 2003",(S848*$U$5),0)))</f>
        <v>0</v>
      </c>
      <c r="V848" s="651">
        <f t="shared" si="88"/>
        <v>0</v>
      </c>
    </row>
    <row r="849" spans="4:22" x14ac:dyDescent="0.25">
      <c r="D849" s="118">
        <f>+CUBICACION!D848</f>
        <v>0</v>
      </c>
      <c r="E849" s="118">
        <f>+CUBICACION!F848</f>
        <v>0</v>
      </c>
      <c r="F849" s="118">
        <f>+CUBICACION!E848</f>
        <v>0</v>
      </c>
      <c r="G849" s="118">
        <v>12</v>
      </c>
      <c r="H849" s="118">
        <v>2</v>
      </c>
      <c r="I849" s="820">
        <v>26385</v>
      </c>
      <c r="J849" s="118">
        <f>+CUBICACION!J848</f>
        <v>0</v>
      </c>
      <c r="K849" s="118">
        <v>3628</v>
      </c>
      <c r="L849" s="118">
        <f>+CUBICACION!L848</f>
        <v>0</v>
      </c>
      <c r="M849" s="64">
        <f>+CUBICACION!M848</f>
        <v>0</v>
      </c>
      <c r="N849" s="824" t="str">
        <f>+CUBICACION!N848</f>
        <v/>
      </c>
      <c r="O849" s="675">
        <f>+CUBICACION!O848</f>
        <v>0</v>
      </c>
      <c r="P849" s="15">
        <f>IF(O849="Fire Control",VLOOKUP(_xlfn.MINIFS('FIRE CONTROL'!$C$4:$C$37,'FIRE CONTROL'!$C$4:$C$37,"&gt;="&amp;M849),'FIRE CONTROL'!$C$4:$G$37,IF(L849="F-15",2,IF(L849="F-30",3,IF(L849="F-60",4,IF(L849="F-90",5,0)))),0),0)+IF(AND(O849="FIRE TEX 5062",OR(E849="IN",E849="C",E849="Z",E849="L"),J849=3),VLOOKUP(_xlfn.MINIFS('FIRE TEX 5062'!$B$4:$B$34,'FIRE TEX 5062'!$B$4:$B$34,"&gt;="&amp;M849),'FIRE TEX 5062'!$B$4:$F$34,IF(L849="F-15",2,IF(L849="F-30",3,IF(L849="F-60",4,IF(L849="F-90",5,0)))),0),0)+IF(AND(O849="FIRE TEX 5062",OR(E849="IN",E849="C",E849="Z",E849="L"),J849=4),VLOOKUP(_xlfn.MINIFS('FIRE TEX 5062'!$G$4:$G$34,'FIRE TEX 5062'!$G$4:$G$34,"&gt;="&amp;M849),'FIRE TEX 5062'!$G$4:$K$34,IF(L849="F-15",2,IF(L849="F-30",3,IF(L849="F-60",4,IF(L849="F-90",5,0)))),0),0)+IF(AND(O849="FIRE TEX 5062",E849="CJ",J849=3),VLOOKUP(_xlfn.MINIFS('FIRE TEX 5062'!$L$4:$L$34,'FIRE TEX 5062'!$L$4:$L$34,"&gt;="&amp;M849),'FIRE TEX 5062'!$L$4:$P$34,IF(L849="F-15",2,IF(L849="F-30",3,IF(L849="F-60",4,IF(L849="F-90",5,0)))),0),0)+IF(AND(O849="FIRE TEX 5062",E849="CJ",J849=4),VLOOKUP(_xlfn.MINIFS('FIRE TEX 5062'!$Q$3:$Q$34,'FIRE TEX 5062'!$Q$3:$Q$34,"&gt;="&amp;M849),'FIRE TEX 5062'!$Q$3:$U$34,IF(L849="F-15",2,IF(L849="F-30",3,IF(L849="F-60",4,IF(L849="F-90",5,0)))),0),0)+IF(AND(O849="FIRE TEX 5090",OR(E849="IN",E849="C",E849="Z",E849="L"),J849=3),VLOOKUP(_xlfn.MINIFS('FIRE TEX 5090'!$B$5:$B$43,'FIRE TEX 5090'!$B$5:$B$43,"&gt;="&amp;M849),'FIRE TEX 5090'!$B$5:$H$43,IF(L849="F-15",2,IF(L849="F-30",3,IF(L849="F-60",4,IF(L849="F-90",5,IF(L849="F-120",6,IF(L849="F-150",7,0)))))),0),0)+IF(AND(O849="FIRE TEX 5090",OR(E849="IN",E849="C",E849="Z",E849="L"),J849=4),VLOOKUP(_xlfn.MINIFS('FIRE TEX 5090'!$J$5:$J$43,'FIRE TEX 5090'!$J$5:$J$43,"&gt;="&amp;M849),'FIRE TEX 5090'!$J$5:$P$43,IF(L849="F-15",2,IF(L849="F-30",3,IF(L849="F-60",4,IF(L849="F-90",5,IF(L849="F-120",6,IF(L849="F-150",7,0)))))),0),0)+IF(AND(O849="FIRE TEX 5090",E849="CJ",J849=3),VLOOKUP(_xlfn.MINIFS('FIRE TEX 5090'!$R$5:$R$30,'FIRE TEX 5090'!$R$5:$R$30,"&gt;="&amp;M849),'FIRE TEX 5090'!$R$5:$W$30,IF(L849="F-15",2,IF(L849="F-30",3,IF(L849="F-60",4,IF(L849="F-90",5,IF(L849="F-120",6,IF(L849="F-150",7,0)))))),0),0)+IF(AND(O849="FIRE TEX 5090",E849="CJ",J849=4),VLOOKUP(_xlfn.MINIFS('FIRE TEX 5090'!$Y$5:$Y$39,'FIRE TEX 5090'!$Y$5:$Y$39,"&gt;="&amp;M849),'FIRE TEX 5090'!$Y$5:$AD$39,IF(L849="F-15",2,IF(L849="F-30",3,IF(L849="F-60",4,IF(L849="F-90",5,IF(L849="F-120",6,IF(L849="F-150",7,0)))))),0),0)+IF(AND(O849="FIRE TEX 5120",OR(E849="IN",E849="C",E849="Z",E849="L"),J849=3),VLOOKUP(_xlfn.MINIFS('FIRE TEX 5120'!$B$5:$B$40,'FIRE TEX 5120'!$B$5:$B$40,"&gt;="&amp;M849),'FIRE TEX 5120'!$B$5:$G$40,IF(L849="F-15",2,IF(L849="F-30",3,IF(L849="F-60",4,IF(L849="F-90",5,IF(L849="F-120",6,0))))),0),0)+IF(AND(O849="FIRE TEX 5120",OR(E849="IN",E849="C",E849="Z",E849="L"),J849=4),VLOOKUP(_xlfn.MINIFS('FIRE TEX 5120'!$H$4:$H$40,'FIRE TEX 5120'!$H$4:$H$40,"&gt;="&amp;M849),'FIRE TEX 5120'!$H$4:$M$40,IF(L849="F-15",2,IF(L849="F-30",3,IF(L849="F-60",4,IF(L849="F-90",5,IF(L849="F-120",6,0))))),0),0)+IF(AND(O849="FIRE TEX 5120",E849="CJ"),VLOOKUP(_xlfn.MINIFS('FIRE TEX 5120'!$O$5:$O$40,'FIRE TEX 5120'!$O$5:$O$40,"&gt;="&amp;M849),'FIRE TEX 5120'!$O$5:$T$40,IF(L849="F-15",2,IF(L849="F-30",3,IF(L849="F-60",4,IF(L849="F-90",5,IF(L849="F-120",6,0))))),0),0)</f>
        <v>0</v>
      </c>
      <c r="Q849" s="46">
        <f t="shared" si="84"/>
        <v>0</v>
      </c>
      <c r="R849" s="46">
        <f t="shared" si="85"/>
        <v>0</v>
      </c>
      <c r="S849" s="46" t="e">
        <f t="shared" si="86"/>
        <v>#VALUE!</v>
      </c>
      <c r="T849" s="677">
        <f t="shared" si="87"/>
        <v>0</v>
      </c>
      <c r="U849" s="80">
        <f>(IF(O849="Stofire",(S849*#REF!),0))+(IF(O849="Fire Control",(S849*$U$2),0))+(IF(O849="Fire Tex",(S849*$U$3),0))+(IF(O849="WB7",(S849*#REF!),0)+(IF(O849="FX 2003",(S849*$U$5),0)))</f>
        <v>0</v>
      </c>
      <c r="V849" s="651">
        <f t="shared" si="88"/>
        <v>0</v>
      </c>
    </row>
    <row r="850" spans="4:22" x14ac:dyDescent="0.25">
      <c r="D850" s="118">
        <f>+CUBICACION!D849</f>
        <v>0</v>
      </c>
      <c r="E850" s="118">
        <f>+CUBICACION!F849</f>
        <v>0</v>
      </c>
      <c r="F850" s="118">
        <f>+CUBICACION!E849</f>
        <v>0</v>
      </c>
      <c r="G850" s="118">
        <v>12</v>
      </c>
      <c r="H850" s="118">
        <v>2</v>
      </c>
      <c r="I850" s="820">
        <v>26385</v>
      </c>
      <c r="J850" s="118">
        <f>+CUBICACION!J849</f>
        <v>0</v>
      </c>
      <c r="K850" s="118">
        <v>3629</v>
      </c>
      <c r="L850" s="118">
        <f>+CUBICACION!L849</f>
        <v>0</v>
      </c>
      <c r="M850" s="64">
        <f>+CUBICACION!M849</f>
        <v>0</v>
      </c>
      <c r="N850" s="824" t="str">
        <f>+CUBICACION!N849</f>
        <v/>
      </c>
      <c r="O850" s="675">
        <f>+CUBICACION!O849</f>
        <v>0</v>
      </c>
      <c r="P850" s="15">
        <f>IF(O850="Fire Control",VLOOKUP(_xlfn.MINIFS('FIRE CONTROL'!$C$4:$C$37,'FIRE CONTROL'!$C$4:$C$37,"&gt;="&amp;M850),'FIRE CONTROL'!$C$4:$G$37,IF(L850="F-15",2,IF(L850="F-30",3,IF(L850="F-60",4,IF(L850="F-90",5,0)))),0),0)+IF(AND(O850="FIRE TEX 5062",OR(E850="IN",E850="C",E850="Z",E850="L"),J850=3),VLOOKUP(_xlfn.MINIFS('FIRE TEX 5062'!$B$4:$B$34,'FIRE TEX 5062'!$B$4:$B$34,"&gt;="&amp;M850),'FIRE TEX 5062'!$B$4:$F$34,IF(L850="F-15",2,IF(L850="F-30",3,IF(L850="F-60",4,IF(L850="F-90",5,0)))),0),0)+IF(AND(O850="FIRE TEX 5062",OR(E850="IN",E850="C",E850="Z",E850="L"),J850=4),VLOOKUP(_xlfn.MINIFS('FIRE TEX 5062'!$G$4:$G$34,'FIRE TEX 5062'!$G$4:$G$34,"&gt;="&amp;M850),'FIRE TEX 5062'!$G$4:$K$34,IF(L850="F-15",2,IF(L850="F-30",3,IF(L850="F-60",4,IF(L850="F-90",5,0)))),0),0)+IF(AND(O850="FIRE TEX 5062",E850="CJ",J850=3),VLOOKUP(_xlfn.MINIFS('FIRE TEX 5062'!$L$4:$L$34,'FIRE TEX 5062'!$L$4:$L$34,"&gt;="&amp;M850),'FIRE TEX 5062'!$L$4:$P$34,IF(L850="F-15",2,IF(L850="F-30",3,IF(L850="F-60",4,IF(L850="F-90",5,0)))),0),0)+IF(AND(O850="FIRE TEX 5062",E850="CJ",J850=4),VLOOKUP(_xlfn.MINIFS('FIRE TEX 5062'!$Q$3:$Q$34,'FIRE TEX 5062'!$Q$3:$Q$34,"&gt;="&amp;M850),'FIRE TEX 5062'!$Q$3:$U$34,IF(L850="F-15",2,IF(L850="F-30",3,IF(L850="F-60",4,IF(L850="F-90",5,0)))),0),0)+IF(AND(O850="FIRE TEX 5090",OR(E850="IN",E850="C",E850="Z",E850="L"),J850=3),VLOOKUP(_xlfn.MINIFS('FIRE TEX 5090'!$B$5:$B$43,'FIRE TEX 5090'!$B$5:$B$43,"&gt;="&amp;M850),'FIRE TEX 5090'!$B$5:$H$43,IF(L850="F-15",2,IF(L850="F-30",3,IF(L850="F-60",4,IF(L850="F-90",5,IF(L850="F-120",6,IF(L850="F-150",7,0)))))),0),0)+IF(AND(O850="FIRE TEX 5090",OR(E850="IN",E850="C",E850="Z",E850="L"),J850=4),VLOOKUP(_xlfn.MINIFS('FIRE TEX 5090'!$J$5:$J$43,'FIRE TEX 5090'!$J$5:$J$43,"&gt;="&amp;M850),'FIRE TEX 5090'!$J$5:$P$43,IF(L850="F-15",2,IF(L850="F-30",3,IF(L850="F-60",4,IF(L850="F-90",5,IF(L850="F-120",6,IF(L850="F-150",7,0)))))),0),0)+IF(AND(O850="FIRE TEX 5090",E850="CJ",J850=3),VLOOKUP(_xlfn.MINIFS('FIRE TEX 5090'!$R$5:$R$30,'FIRE TEX 5090'!$R$5:$R$30,"&gt;="&amp;M850),'FIRE TEX 5090'!$R$5:$W$30,IF(L850="F-15",2,IF(L850="F-30",3,IF(L850="F-60",4,IF(L850="F-90",5,IF(L850="F-120",6,IF(L850="F-150",7,0)))))),0),0)+IF(AND(O850="FIRE TEX 5090",E850="CJ",J850=4),VLOOKUP(_xlfn.MINIFS('FIRE TEX 5090'!$Y$5:$Y$39,'FIRE TEX 5090'!$Y$5:$Y$39,"&gt;="&amp;M850),'FIRE TEX 5090'!$Y$5:$AD$39,IF(L850="F-15",2,IF(L850="F-30",3,IF(L850="F-60",4,IF(L850="F-90",5,IF(L850="F-120",6,IF(L850="F-150",7,0)))))),0),0)+IF(AND(O850="FIRE TEX 5120",OR(E850="IN",E850="C",E850="Z",E850="L"),J850=3),VLOOKUP(_xlfn.MINIFS('FIRE TEX 5120'!$B$5:$B$40,'FIRE TEX 5120'!$B$5:$B$40,"&gt;="&amp;M850),'FIRE TEX 5120'!$B$5:$G$40,IF(L850="F-15",2,IF(L850="F-30",3,IF(L850="F-60",4,IF(L850="F-90",5,IF(L850="F-120",6,0))))),0),0)+IF(AND(O850="FIRE TEX 5120",OR(E850="IN",E850="C",E850="Z",E850="L"),J850=4),VLOOKUP(_xlfn.MINIFS('FIRE TEX 5120'!$H$4:$H$40,'FIRE TEX 5120'!$H$4:$H$40,"&gt;="&amp;M850),'FIRE TEX 5120'!$H$4:$M$40,IF(L850="F-15",2,IF(L850="F-30",3,IF(L850="F-60",4,IF(L850="F-90",5,IF(L850="F-120",6,0))))),0),0)+IF(AND(O850="FIRE TEX 5120",E850="CJ"),VLOOKUP(_xlfn.MINIFS('FIRE TEX 5120'!$O$5:$O$40,'FIRE TEX 5120'!$O$5:$O$40,"&gt;="&amp;M850),'FIRE TEX 5120'!$O$5:$T$40,IF(L850="F-15",2,IF(L850="F-30",3,IF(L850="F-60",4,IF(L850="F-90",5,IF(L850="F-120",6,0))))),0),0)</f>
        <v>0</v>
      </c>
      <c r="Q850" s="46">
        <f t="shared" si="84"/>
        <v>0</v>
      </c>
      <c r="R850" s="46">
        <f t="shared" si="85"/>
        <v>0</v>
      </c>
      <c r="S850" s="46" t="e">
        <f t="shared" si="86"/>
        <v>#VALUE!</v>
      </c>
      <c r="T850" s="677">
        <f t="shared" si="87"/>
        <v>0</v>
      </c>
      <c r="U850" s="80">
        <f>(IF(O850="Stofire",(S850*#REF!),0))+(IF(O850="Fire Control",(S850*$U$2),0))+(IF(O850="Fire Tex",(S850*$U$3),0))+(IF(O850="WB7",(S850*#REF!),0)+(IF(O850="FX 2003",(S850*$U$5),0)))</f>
        <v>0</v>
      </c>
      <c r="V850" s="651">
        <f t="shared" si="88"/>
        <v>0</v>
      </c>
    </row>
    <row r="851" spans="4:22" x14ac:dyDescent="0.25">
      <c r="D851" s="118">
        <f>+CUBICACION!D850</f>
        <v>0</v>
      </c>
      <c r="E851" s="118">
        <f>+CUBICACION!F850</f>
        <v>0</v>
      </c>
      <c r="F851" s="118">
        <f>+CUBICACION!E850</f>
        <v>0</v>
      </c>
      <c r="G851" s="118">
        <v>12</v>
      </c>
      <c r="H851" s="118">
        <v>2</v>
      </c>
      <c r="I851" s="820">
        <v>26385</v>
      </c>
      <c r="J851" s="118">
        <f>+CUBICACION!J850</f>
        <v>0</v>
      </c>
      <c r="K851" s="118">
        <v>3630</v>
      </c>
      <c r="L851" s="118">
        <f>+CUBICACION!L850</f>
        <v>0</v>
      </c>
      <c r="M851" s="64">
        <f>+CUBICACION!M850</f>
        <v>0</v>
      </c>
      <c r="N851" s="824" t="str">
        <f>+CUBICACION!N850</f>
        <v/>
      </c>
      <c r="O851" s="675">
        <f>+CUBICACION!O850</f>
        <v>0</v>
      </c>
      <c r="P851" s="15">
        <f>IF(O851="Fire Control",VLOOKUP(_xlfn.MINIFS('FIRE CONTROL'!$C$4:$C$37,'FIRE CONTROL'!$C$4:$C$37,"&gt;="&amp;M851),'FIRE CONTROL'!$C$4:$G$37,IF(L851="F-15",2,IF(L851="F-30",3,IF(L851="F-60",4,IF(L851="F-90",5,0)))),0),0)+IF(AND(O851="FIRE TEX 5062",OR(E851="IN",E851="C",E851="Z",E851="L"),J851=3),VLOOKUP(_xlfn.MINIFS('FIRE TEX 5062'!$B$4:$B$34,'FIRE TEX 5062'!$B$4:$B$34,"&gt;="&amp;M851),'FIRE TEX 5062'!$B$4:$F$34,IF(L851="F-15",2,IF(L851="F-30",3,IF(L851="F-60",4,IF(L851="F-90",5,0)))),0),0)+IF(AND(O851="FIRE TEX 5062",OR(E851="IN",E851="C",E851="Z",E851="L"),J851=4),VLOOKUP(_xlfn.MINIFS('FIRE TEX 5062'!$G$4:$G$34,'FIRE TEX 5062'!$G$4:$G$34,"&gt;="&amp;M851),'FIRE TEX 5062'!$G$4:$K$34,IF(L851="F-15",2,IF(L851="F-30",3,IF(L851="F-60",4,IF(L851="F-90",5,0)))),0),0)+IF(AND(O851="FIRE TEX 5062",E851="CJ",J851=3),VLOOKUP(_xlfn.MINIFS('FIRE TEX 5062'!$L$4:$L$34,'FIRE TEX 5062'!$L$4:$L$34,"&gt;="&amp;M851),'FIRE TEX 5062'!$L$4:$P$34,IF(L851="F-15",2,IF(L851="F-30",3,IF(L851="F-60",4,IF(L851="F-90",5,0)))),0),0)+IF(AND(O851="FIRE TEX 5062",E851="CJ",J851=4),VLOOKUP(_xlfn.MINIFS('FIRE TEX 5062'!$Q$3:$Q$34,'FIRE TEX 5062'!$Q$3:$Q$34,"&gt;="&amp;M851),'FIRE TEX 5062'!$Q$3:$U$34,IF(L851="F-15",2,IF(L851="F-30",3,IF(L851="F-60",4,IF(L851="F-90",5,0)))),0),0)+IF(AND(O851="FIRE TEX 5090",OR(E851="IN",E851="C",E851="Z",E851="L"),J851=3),VLOOKUP(_xlfn.MINIFS('FIRE TEX 5090'!$B$5:$B$43,'FIRE TEX 5090'!$B$5:$B$43,"&gt;="&amp;M851),'FIRE TEX 5090'!$B$5:$H$43,IF(L851="F-15",2,IF(L851="F-30",3,IF(L851="F-60",4,IF(L851="F-90",5,IF(L851="F-120",6,IF(L851="F-150",7,0)))))),0),0)+IF(AND(O851="FIRE TEX 5090",OR(E851="IN",E851="C",E851="Z",E851="L"),J851=4),VLOOKUP(_xlfn.MINIFS('FIRE TEX 5090'!$J$5:$J$43,'FIRE TEX 5090'!$J$5:$J$43,"&gt;="&amp;M851),'FIRE TEX 5090'!$J$5:$P$43,IF(L851="F-15",2,IF(L851="F-30",3,IF(L851="F-60",4,IF(L851="F-90",5,IF(L851="F-120",6,IF(L851="F-150",7,0)))))),0),0)+IF(AND(O851="FIRE TEX 5090",E851="CJ",J851=3),VLOOKUP(_xlfn.MINIFS('FIRE TEX 5090'!$R$5:$R$30,'FIRE TEX 5090'!$R$5:$R$30,"&gt;="&amp;M851),'FIRE TEX 5090'!$R$5:$W$30,IF(L851="F-15",2,IF(L851="F-30",3,IF(L851="F-60",4,IF(L851="F-90",5,IF(L851="F-120",6,IF(L851="F-150",7,0)))))),0),0)+IF(AND(O851="FIRE TEX 5090",E851="CJ",J851=4),VLOOKUP(_xlfn.MINIFS('FIRE TEX 5090'!$Y$5:$Y$39,'FIRE TEX 5090'!$Y$5:$Y$39,"&gt;="&amp;M851),'FIRE TEX 5090'!$Y$5:$AD$39,IF(L851="F-15",2,IF(L851="F-30",3,IF(L851="F-60",4,IF(L851="F-90",5,IF(L851="F-120",6,IF(L851="F-150",7,0)))))),0),0)+IF(AND(O851="FIRE TEX 5120",OR(E851="IN",E851="C",E851="Z",E851="L"),J851=3),VLOOKUP(_xlfn.MINIFS('FIRE TEX 5120'!$B$5:$B$40,'FIRE TEX 5120'!$B$5:$B$40,"&gt;="&amp;M851),'FIRE TEX 5120'!$B$5:$G$40,IF(L851="F-15",2,IF(L851="F-30",3,IF(L851="F-60",4,IF(L851="F-90",5,IF(L851="F-120",6,0))))),0),0)+IF(AND(O851="FIRE TEX 5120",OR(E851="IN",E851="C",E851="Z",E851="L"),J851=4),VLOOKUP(_xlfn.MINIFS('FIRE TEX 5120'!$H$4:$H$40,'FIRE TEX 5120'!$H$4:$H$40,"&gt;="&amp;M851),'FIRE TEX 5120'!$H$4:$M$40,IF(L851="F-15",2,IF(L851="F-30",3,IF(L851="F-60",4,IF(L851="F-90",5,IF(L851="F-120",6,0))))),0),0)+IF(AND(O851="FIRE TEX 5120",E851="CJ"),VLOOKUP(_xlfn.MINIFS('FIRE TEX 5120'!$O$5:$O$40,'FIRE TEX 5120'!$O$5:$O$40,"&gt;="&amp;M851),'FIRE TEX 5120'!$O$5:$T$40,IF(L851="F-15",2,IF(L851="F-30",3,IF(L851="F-60",4,IF(L851="F-90",5,IF(L851="F-120",6,0))))),0),0)</f>
        <v>0</v>
      </c>
      <c r="Q851" s="46">
        <f t="shared" si="84"/>
        <v>0</v>
      </c>
      <c r="R851" s="46">
        <f t="shared" si="85"/>
        <v>0</v>
      </c>
      <c r="S851" s="46" t="e">
        <f t="shared" si="86"/>
        <v>#VALUE!</v>
      </c>
      <c r="T851" s="677">
        <f t="shared" si="87"/>
        <v>0</v>
      </c>
      <c r="U851" s="80">
        <f>(IF(O851="Stofire",(S851*#REF!),0))+(IF(O851="Fire Control",(S851*$U$2),0))+(IF(O851="Fire Tex",(S851*$U$3),0))+(IF(O851="WB7",(S851*#REF!),0)+(IF(O851="FX 2003",(S851*$U$5),0)))</f>
        <v>0</v>
      </c>
      <c r="V851" s="651">
        <f t="shared" si="88"/>
        <v>0</v>
      </c>
    </row>
    <row r="852" spans="4:22" x14ac:dyDescent="0.25">
      <c r="D852" s="118">
        <f>+CUBICACION!D851</f>
        <v>0</v>
      </c>
      <c r="E852" s="118">
        <f>+CUBICACION!F851</f>
        <v>0</v>
      </c>
      <c r="F852" s="118">
        <f>+CUBICACION!E851</f>
        <v>0</v>
      </c>
      <c r="G852" s="118">
        <v>12</v>
      </c>
      <c r="H852" s="118">
        <v>2</v>
      </c>
      <c r="I852" s="820">
        <v>26385</v>
      </c>
      <c r="J852" s="118">
        <f>+CUBICACION!J851</f>
        <v>0</v>
      </c>
      <c r="K852" s="118">
        <v>3631</v>
      </c>
      <c r="L852" s="118">
        <f>+CUBICACION!L851</f>
        <v>0</v>
      </c>
      <c r="M852" s="64">
        <f>+CUBICACION!M851</f>
        <v>0</v>
      </c>
      <c r="N852" s="824" t="str">
        <f>+CUBICACION!N851</f>
        <v/>
      </c>
      <c r="O852" s="675">
        <f>+CUBICACION!O851</f>
        <v>0</v>
      </c>
      <c r="P852" s="15">
        <f>IF(O852="Fire Control",VLOOKUP(_xlfn.MINIFS('FIRE CONTROL'!$C$4:$C$37,'FIRE CONTROL'!$C$4:$C$37,"&gt;="&amp;M852),'FIRE CONTROL'!$C$4:$G$37,IF(L852="F-15",2,IF(L852="F-30",3,IF(L852="F-60",4,IF(L852="F-90",5,0)))),0),0)+IF(AND(O852="FIRE TEX 5062",OR(E852="IN",E852="C",E852="Z",E852="L"),J852=3),VLOOKUP(_xlfn.MINIFS('FIRE TEX 5062'!$B$4:$B$34,'FIRE TEX 5062'!$B$4:$B$34,"&gt;="&amp;M852),'FIRE TEX 5062'!$B$4:$F$34,IF(L852="F-15",2,IF(L852="F-30",3,IF(L852="F-60",4,IF(L852="F-90",5,0)))),0),0)+IF(AND(O852="FIRE TEX 5062",OR(E852="IN",E852="C",E852="Z",E852="L"),J852=4),VLOOKUP(_xlfn.MINIFS('FIRE TEX 5062'!$G$4:$G$34,'FIRE TEX 5062'!$G$4:$G$34,"&gt;="&amp;M852),'FIRE TEX 5062'!$G$4:$K$34,IF(L852="F-15",2,IF(L852="F-30",3,IF(L852="F-60",4,IF(L852="F-90",5,0)))),0),0)+IF(AND(O852="FIRE TEX 5062",E852="CJ",J852=3),VLOOKUP(_xlfn.MINIFS('FIRE TEX 5062'!$L$4:$L$34,'FIRE TEX 5062'!$L$4:$L$34,"&gt;="&amp;M852),'FIRE TEX 5062'!$L$4:$P$34,IF(L852="F-15",2,IF(L852="F-30",3,IF(L852="F-60",4,IF(L852="F-90",5,0)))),0),0)+IF(AND(O852="FIRE TEX 5062",E852="CJ",J852=4),VLOOKUP(_xlfn.MINIFS('FIRE TEX 5062'!$Q$3:$Q$34,'FIRE TEX 5062'!$Q$3:$Q$34,"&gt;="&amp;M852),'FIRE TEX 5062'!$Q$3:$U$34,IF(L852="F-15",2,IF(L852="F-30",3,IF(L852="F-60",4,IF(L852="F-90",5,0)))),0),0)+IF(AND(O852="FIRE TEX 5090",OR(E852="IN",E852="C",E852="Z",E852="L"),J852=3),VLOOKUP(_xlfn.MINIFS('FIRE TEX 5090'!$B$5:$B$43,'FIRE TEX 5090'!$B$5:$B$43,"&gt;="&amp;M852),'FIRE TEX 5090'!$B$5:$H$43,IF(L852="F-15",2,IF(L852="F-30",3,IF(L852="F-60",4,IF(L852="F-90",5,IF(L852="F-120",6,IF(L852="F-150",7,0)))))),0),0)+IF(AND(O852="FIRE TEX 5090",OR(E852="IN",E852="C",E852="Z",E852="L"),J852=4),VLOOKUP(_xlfn.MINIFS('FIRE TEX 5090'!$J$5:$J$43,'FIRE TEX 5090'!$J$5:$J$43,"&gt;="&amp;M852),'FIRE TEX 5090'!$J$5:$P$43,IF(L852="F-15",2,IF(L852="F-30",3,IF(L852="F-60",4,IF(L852="F-90",5,IF(L852="F-120",6,IF(L852="F-150",7,0)))))),0),0)+IF(AND(O852="FIRE TEX 5090",E852="CJ",J852=3),VLOOKUP(_xlfn.MINIFS('FIRE TEX 5090'!$R$5:$R$30,'FIRE TEX 5090'!$R$5:$R$30,"&gt;="&amp;M852),'FIRE TEX 5090'!$R$5:$W$30,IF(L852="F-15",2,IF(L852="F-30",3,IF(L852="F-60",4,IF(L852="F-90",5,IF(L852="F-120",6,IF(L852="F-150",7,0)))))),0),0)+IF(AND(O852="FIRE TEX 5090",E852="CJ",J852=4),VLOOKUP(_xlfn.MINIFS('FIRE TEX 5090'!$Y$5:$Y$39,'FIRE TEX 5090'!$Y$5:$Y$39,"&gt;="&amp;M852),'FIRE TEX 5090'!$Y$5:$AD$39,IF(L852="F-15",2,IF(L852="F-30",3,IF(L852="F-60",4,IF(L852="F-90",5,IF(L852="F-120",6,IF(L852="F-150",7,0)))))),0),0)+IF(AND(O852="FIRE TEX 5120",OR(E852="IN",E852="C",E852="Z",E852="L"),J852=3),VLOOKUP(_xlfn.MINIFS('FIRE TEX 5120'!$B$5:$B$40,'FIRE TEX 5120'!$B$5:$B$40,"&gt;="&amp;M852),'FIRE TEX 5120'!$B$5:$G$40,IF(L852="F-15",2,IF(L852="F-30",3,IF(L852="F-60",4,IF(L852="F-90",5,IF(L852="F-120",6,0))))),0),0)+IF(AND(O852="FIRE TEX 5120",OR(E852="IN",E852="C",E852="Z",E852="L"),J852=4),VLOOKUP(_xlfn.MINIFS('FIRE TEX 5120'!$H$4:$H$40,'FIRE TEX 5120'!$H$4:$H$40,"&gt;="&amp;M852),'FIRE TEX 5120'!$H$4:$M$40,IF(L852="F-15",2,IF(L852="F-30",3,IF(L852="F-60",4,IF(L852="F-90",5,IF(L852="F-120",6,0))))),0),0)+IF(AND(O852="FIRE TEX 5120",E852="CJ"),VLOOKUP(_xlfn.MINIFS('FIRE TEX 5120'!$O$5:$O$40,'FIRE TEX 5120'!$O$5:$O$40,"&gt;="&amp;M852),'FIRE TEX 5120'!$O$5:$T$40,IF(L852="F-15",2,IF(L852="F-30",3,IF(L852="F-60",4,IF(L852="F-90",5,IF(L852="F-120",6,0))))),0),0)</f>
        <v>0</v>
      </c>
      <c r="Q852" s="46">
        <f t="shared" si="84"/>
        <v>0</v>
      </c>
      <c r="R852" s="46">
        <f t="shared" si="85"/>
        <v>0</v>
      </c>
      <c r="S852" s="46" t="e">
        <f t="shared" si="86"/>
        <v>#VALUE!</v>
      </c>
      <c r="T852" s="677">
        <f t="shared" si="87"/>
        <v>0</v>
      </c>
      <c r="U852" s="80">
        <f>(IF(O852="Stofire",(S852*#REF!),0))+(IF(O852="Fire Control",(S852*$U$2),0))+(IF(O852="Fire Tex",(S852*$U$3),0))+(IF(O852="WB7",(S852*#REF!),0)+(IF(O852="FX 2003",(S852*$U$5),0)))</f>
        <v>0</v>
      </c>
      <c r="V852" s="651">
        <f t="shared" si="88"/>
        <v>0</v>
      </c>
    </row>
    <row r="853" spans="4:22" x14ac:dyDescent="0.25">
      <c r="D853" s="118">
        <f>+CUBICACION!D852</f>
        <v>0</v>
      </c>
      <c r="E853" s="118">
        <f>+CUBICACION!F852</f>
        <v>0</v>
      </c>
      <c r="F853" s="118">
        <f>+CUBICACION!E852</f>
        <v>0</v>
      </c>
      <c r="G853" s="118">
        <v>12</v>
      </c>
      <c r="H853" s="118">
        <v>2</v>
      </c>
      <c r="I853" s="820">
        <v>26385</v>
      </c>
      <c r="J853" s="118">
        <f>+CUBICACION!J852</f>
        <v>0</v>
      </c>
      <c r="K853" s="118">
        <v>3632</v>
      </c>
      <c r="L853" s="118">
        <f>+CUBICACION!L852</f>
        <v>0</v>
      </c>
      <c r="M853" s="64">
        <f>+CUBICACION!M852</f>
        <v>0</v>
      </c>
      <c r="N853" s="824" t="str">
        <f>+CUBICACION!N852</f>
        <v/>
      </c>
      <c r="O853" s="675">
        <f>+CUBICACION!O852</f>
        <v>0</v>
      </c>
      <c r="P853" s="15">
        <f>IF(O853="Fire Control",VLOOKUP(_xlfn.MINIFS('FIRE CONTROL'!$C$4:$C$37,'FIRE CONTROL'!$C$4:$C$37,"&gt;="&amp;M853),'FIRE CONTROL'!$C$4:$G$37,IF(L853="F-15",2,IF(L853="F-30",3,IF(L853="F-60",4,IF(L853="F-90",5,0)))),0),0)+IF(AND(O853="FIRE TEX 5062",OR(E853="IN",E853="C",E853="Z",E853="L"),J853=3),VLOOKUP(_xlfn.MINIFS('FIRE TEX 5062'!$B$4:$B$34,'FIRE TEX 5062'!$B$4:$B$34,"&gt;="&amp;M853),'FIRE TEX 5062'!$B$4:$F$34,IF(L853="F-15",2,IF(L853="F-30",3,IF(L853="F-60",4,IF(L853="F-90",5,0)))),0),0)+IF(AND(O853="FIRE TEX 5062",OR(E853="IN",E853="C",E853="Z",E853="L"),J853=4),VLOOKUP(_xlfn.MINIFS('FIRE TEX 5062'!$G$4:$G$34,'FIRE TEX 5062'!$G$4:$G$34,"&gt;="&amp;M853),'FIRE TEX 5062'!$G$4:$K$34,IF(L853="F-15",2,IF(L853="F-30",3,IF(L853="F-60",4,IF(L853="F-90",5,0)))),0),0)+IF(AND(O853="FIRE TEX 5062",E853="CJ",J853=3),VLOOKUP(_xlfn.MINIFS('FIRE TEX 5062'!$L$4:$L$34,'FIRE TEX 5062'!$L$4:$L$34,"&gt;="&amp;M853),'FIRE TEX 5062'!$L$4:$P$34,IF(L853="F-15",2,IF(L853="F-30",3,IF(L853="F-60",4,IF(L853="F-90",5,0)))),0),0)+IF(AND(O853="FIRE TEX 5062",E853="CJ",J853=4),VLOOKUP(_xlfn.MINIFS('FIRE TEX 5062'!$Q$3:$Q$34,'FIRE TEX 5062'!$Q$3:$Q$34,"&gt;="&amp;M853),'FIRE TEX 5062'!$Q$3:$U$34,IF(L853="F-15",2,IF(L853="F-30",3,IF(L853="F-60",4,IF(L853="F-90",5,0)))),0),0)+IF(AND(O853="FIRE TEX 5090",OR(E853="IN",E853="C",E853="Z",E853="L"),J853=3),VLOOKUP(_xlfn.MINIFS('FIRE TEX 5090'!$B$5:$B$43,'FIRE TEX 5090'!$B$5:$B$43,"&gt;="&amp;M853),'FIRE TEX 5090'!$B$5:$H$43,IF(L853="F-15",2,IF(L853="F-30",3,IF(L853="F-60",4,IF(L853="F-90",5,IF(L853="F-120",6,IF(L853="F-150",7,0)))))),0),0)+IF(AND(O853="FIRE TEX 5090",OR(E853="IN",E853="C",E853="Z",E853="L"),J853=4),VLOOKUP(_xlfn.MINIFS('FIRE TEX 5090'!$J$5:$J$43,'FIRE TEX 5090'!$J$5:$J$43,"&gt;="&amp;M853),'FIRE TEX 5090'!$J$5:$P$43,IF(L853="F-15",2,IF(L853="F-30",3,IF(L853="F-60",4,IF(L853="F-90",5,IF(L853="F-120",6,IF(L853="F-150",7,0)))))),0),0)+IF(AND(O853="FIRE TEX 5090",E853="CJ",J853=3),VLOOKUP(_xlfn.MINIFS('FIRE TEX 5090'!$R$5:$R$30,'FIRE TEX 5090'!$R$5:$R$30,"&gt;="&amp;M853),'FIRE TEX 5090'!$R$5:$W$30,IF(L853="F-15",2,IF(L853="F-30",3,IF(L853="F-60",4,IF(L853="F-90",5,IF(L853="F-120",6,IF(L853="F-150",7,0)))))),0),0)+IF(AND(O853="FIRE TEX 5090",E853="CJ",J853=4),VLOOKUP(_xlfn.MINIFS('FIRE TEX 5090'!$Y$5:$Y$39,'FIRE TEX 5090'!$Y$5:$Y$39,"&gt;="&amp;M853),'FIRE TEX 5090'!$Y$5:$AD$39,IF(L853="F-15",2,IF(L853="F-30",3,IF(L853="F-60",4,IF(L853="F-90",5,IF(L853="F-120",6,IF(L853="F-150",7,0)))))),0),0)+IF(AND(O853="FIRE TEX 5120",OR(E853="IN",E853="C",E853="Z",E853="L"),J853=3),VLOOKUP(_xlfn.MINIFS('FIRE TEX 5120'!$B$5:$B$40,'FIRE TEX 5120'!$B$5:$B$40,"&gt;="&amp;M853),'FIRE TEX 5120'!$B$5:$G$40,IF(L853="F-15",2,IF(L853="F-30",3,IF(L853="F-60",4,IF(L853="F-90",5,IF(L853="F-120",6,0))))),0),0)+IF(AND(O853="FIRE TEX 5120",OR(E853="IN",E853="C",E853="Z",E853="L"),J853=4),VLOOKUP(_xlfn.MINIFS('FIRE TEX 5120'!$H$4:$H$40,'FIRE TEX 5120'!$H$4:$H$40,"&gt;="&amp;M853),'FIRE TEX 5120'!$H$4:$M$40,IF(L853="F-15",2,IF(L853="F-30",3,IF(L853="F-60",4,IF(L853="F-90",5,IF(L853="F-120",6,0))))),0),0)+IF(AND(O853="FIRE TEX 5120",E853="CJ"),VLOOKUP(_xlfn.MINIFS('FIRE TEX 5120'!$O$5:$O$40,'FIRE TEX 5120'!$O$5:$O$40,"&gt;="&amp;M853),'FIRE TEX 5120'!$O$5:$T$40,IF(L853="F-15",2,IF(L853="F-30",3,IF(L853="F-60",4,IF(L853="F-90",5,IF(L853="F-120",6,0))))),0),0)</f>
        <v>0</v>
      </c>
      <c r="Q853" s="46">
        <f t="shared" si="84"/>
        <v>0</v>
      </c>
      <c r="R853" s="46">
        <f t="shared" si="85"/>
        <v>0</v>
      </c>
      <c r="S853" s="46" t="e">
        <f t="shared" si="86"/>
        <v>#VALUE!</v>
      </c>
      <c r="T853" s="677">
        <f t="shared" si="87"/>
        <v>0</v>
      </c>
      <c r="U853" s="80">
        <f>(IF(O853="Stofire",(S853*#REF!),0))+(IF(O853="Fire Control",(S853*$U$2),0))+(IF(O853="Fire Tex",(S853*$U$3),0))+(IF(O853="WB7",(S853*#REF!),0)+(IF(O853="FX 2003",(S853*$U$5),0)))</f>
        <v>0</v>
      </c>
      <c r="V853" s="651">
        <f t="shared" si="88"/>
        <v>0</v>
      </c>
    </row>
    <row r="854" spans="4:22" x14ac:dyDescent="0.25">
      <c r="D854" s="118">
        <f>+CUBICACION!D853</f>
        <v>0</v>
      </c>
      <c r="E854" s="118">
        <f>+CUBICACION!F853</f>
        <v>0</v>
      </c>
      <c r="F854" s="118">
        <f>+CUBICACION!E853</f>
        <v>0</v>
      </c>
      <c r="G854" s="118">
        <v>12</v>
      </c>
      <c r="H854" s="118">
        <v>2</v>
      </c>
      <c r="I854" s="820">
        <v>26385</v>
      </c>
      <c r="J854" s="118">
        <f>+CUBICACION!J853</f>
        <v>0</v>
      </c>
      <c r="K854" s="118">
        <v>3633</v>
      </c>
      <c r="L854" s="118">
        <f>+CUBICACION!L853</f>
        <v>0</v>
      </c>
      <c r="M854" s="64">
        <f>+CUBICACION!M853</f>
        <v>0</v>
      </c>
      <c r="N854" s="824" t="str">
        <f>+CUBICACION!N853</f>
        <v/>
      </c>
      <c r="O854" s="675">
        <f>+CUBICACION!O853</f>
        <v>0</v>
      </c>
      <c r="P854" s="15">
        <f>IF(O854="Fire Control",VLOOKUP(_xlfn.MINIFS('FIRE CONTROL'!$C$4:$C$37,'FIRE CONTROL'!$C$4:$C$37,"&gt;="&amp;M854),'FIRE CONTROL'!$C$4:$G$37,IF(L854="F-15",2,IF(L854="F-30",3,IF(L854="F-60",4,IF(L854="F-90",5,0)))),0),0)+IF(AND(O854="FIRE TEX 5062",OR(E854="IN",E854="C",E854="Z",E854="L"),J854=3),VLOOKUP(_xlfn.MINIFS('FIRE TEX 5062'!$B$4:$B$34,'FIRE TEX 5062'!$B$4:$B$34,"&gt;="&amp;M854),'FIRE TEX 5062'!$B$4:$F$34,IF(L854="F-15",2,IF(L854="F-30",3,IF(L854="F-60",4,IF(L854="F-90",5,0)))),0),0)+IF(AND(O854="FIRE TEX 5062",OR(E854="IN",E854="C",E854="Z",E854="L"),J854=4),VLOOKUP(_xlfn.MINIFS('FIRE TEX 5062'!$G$4:$G$34,'FIRE TEX 5062'!$G$4:$G$34,"&gt;="&amp;M854),'FIRE TEX 5062'!$G$4:$K$34,IF(L854="F-15",2,IF(L854="F-30",3,IF(L854="F-60",4,IF(L854="F-90",5,0)))),0),0)+IF(AND(O854="FIRE TEX 5062",E854="CJ",J854=3),VLOOKUP(_xlfn.MINIFS('FIRE TEX 5062'!$L$4:$L$34,'FIRE TEX 5062'!$L$4:$L$34,"&gt;="&amp;M854),'FIRE TEX 5062'!$L$4:$P$34,IF(L854="F-15",2,IF(L854="F-30",3,IF(L854="F-60",4,IF(L854="F-90",5,0)))),0),0)+IF(AND(O854="FIRE TEX 5062",E854="CJ",J854=4),VLOOKUP(_xlfn.MINIFS('FIRE TEX 5062'!$Q$3:$Q$34,'FIRE TEX 5062'!$Q$3:$Q$34,"&gt;="&amp;M854),'FIRE TEX 5062'!$Q$3:$U$34,IF(L854="F-15",2,IF(L854="F-30",3,IF(L854="F-60",4,IF(L854="F-90",5,0)))),0),0)+IF(AND(O854="FIRE TEX 5090",OR(E854="IN",E854="C",E854="Z",E854="L"),J854=3),VLOOKUP(_xlfn.MINIFS('FIRE TEX 5090'!$B$5:$B$43,'FIRE TEX 5090'!$B$5:$B$43,"&gt;="&amp;M854),'FIRE TEX 5090'!$B$5:$H$43,IF(L854="F-15",2,IF(L854="F-30",3,IF(L854="F-60",4,IF(L854="F-90",5,IF(L854="F-120",6,IF(L854="F-150",7,0)))))),0),0)+IF(AND(O854="FIRE TEX 5090",OR(E854="IN",E854="C",E854="Z",E854="L"),J854=4),VLOOKUP(_xlfn.MINIFS('FIRE TEX 5090'!$J$5:$J$43,'FIRE TEX 5090'!$J$5:$J$43,"&gt;="&amp;M854),'FIRE TEX 5090'!$J$5:$P$43,IF(L854="F-15",2,IF(L854="F-30",3,IF(L854="F-60",4,IF(L854="F-90",5,IF(L854="F-120",6,IF(L854="F-150",7,0)))))),0),0)+IF(AND(O854="FIRE TEX 5090",E854="CJ",J854=3),VLOOKUP(_xlfn.MINIFS('FIRE TEX 5090'!$R$5:$R$30,'FIRE TEX 5090'!$R$5:$R$30,"&gt;="&amp;M854),'FIRE TEX 5090'!$R$5:$W$30,IF(L854="F-15",2,IF(L854="F-30",3,IF(L854="F-60",4,IF(L854="F-90",5,IF(L854="F-120",6,IF(L854="F-150",7,0)))))),0),0)+IF(AND(O854="FIRE TEX 5090",E854="CJ",J854=4),VLOOKUP(_xlfn.MINIFS('FIRE TEX 5090'!$Y$5:$Y$39,'FIRE TEX 5090'!$Y$5:$Y$39,"&gt;="&amp;M854),'FIRE TEX 5090'!$Y$5:$AD$39,IF(L854="F-15",2,IF(L854="F-30",3,IF(L854="F-60",4,IF(L854="F-90",5,IF(L854="F-120",6,IF(L854="F-150",7,0)))))),0),0)+IF(AND(O854="FIRE TEX 5120",OR(E854="IN",E854="C",E854="Z",E854="L"),J854=3),VLOOKUP(_xlfn.MINIFS('FIRE TEX 5120'!$B$5:$B$40,'FIRE TEX 5120'!$B$5:$B$40,"&gt;="&amp;M854),'FIRE TEX 5120'!$B$5:$G$40,IF(L854="F-15",2,IF(L854="F-30",3,IF(L854="F-60",4,IF(L854="F-90",5,IF(L854="F-120",6,0))))),0),0)+IF(AND(O854="FIRE TEX 5120",OR(E854="IN",E854="C",E854="Z",E854="L"),J854=4),VLOOKUP(_xlfn.MINIFS('FIRE TEX 5120'!$H$4:$H$40,'FIRE TEX 5120'!$H$4:$H$40,"&gt;="&amp;M854),'FIRE TEX 5120'!$H$4:$M$40,IF(L854="F-15",2,IF(L854="F-30",3,IF(L854="F-60",4,IF(L854="F-90",5,IF(L854="F-120",6,0))))),0),0)+IF(AND(O854="FIRE TEX 5120",E854="CJ"),VLOOKUP(_xlfn.MINIFS('FIRE TEX 5120'!$O$5:$O$40,'FIRE TEX 5120'!$O$5:$O$40,"&gt;="&amp;M854),'FIRE TEX 5120'!$O$5:$T$40,IF(L854="F-15",2,IF(L854="F-30",3,IF(L854="F-60",4,IF(L854="F-90",5,IF(L854="F-120",6,0))))),0),0)</f>
        <v>0</v>
      </c>
      <c r="Q854" s="46">
        <f t="shared" si="84"/>
        <v>0</v>
      </c>
      <c r="R854" s="46">
        <f t="shared" si="85"/>
        <v>0</v>
      </c>
      <c r="S854" s="46" t="e">
        <f t="shared" si="86"/>
        <v>#VALUE!</v>
      </c>
      <c r="T854" s="677">
        <f t="shared" si="87"/>
        <v>0</v>
      </c>
      <c r="U854" s="80">
        <f>(IF(O854="Stofire",(S854*#REF!),0))+(IF(O854="Fire Control",(S854*$U$2),0))+(IF(O854="Fire Tex",(S854*$U$3),0))+(IF(O854="WB7",(S854*#REF!),0)+(IF(O854="FX 2003",(S854*$U$5),0)))</f>
        <v>0</v>
      </c>
      <c r="V854" s="651">
        <f t="shared" si="88"/>
        <v>0</v>
      </c>
    </row>
    <row r="855" spans="4:22" x14ac:dyDescent="0.25">
      <c r="D855" s="118">
        <f>+CUBICACION!D854</f>
        <v>0</v>
      </c>
      <c r="E855" s="118">
        <f>+CUBICACION!F854</f>
        <v>0</v>
      </c>
      <c r="F855" s="118">
        <f>+CUBICACION!E854</f>
        <v>0</v>
      </c>
      <c r="G855" s="118">
        <v>12</v>
      </c>
      <c r="H855" s="118">
        <v>2</v>
      </c>
      <c r="I855" s="820">
        <v>26385</v>
      </c>
      <c r="J855" s="118">
        <f>+CUBICACION!J854</f>
        <v>0</v>
      </c>
      <c r="K855" s="118">
        <v>3634</v>
      </c>
      <c r="L855" s="118">
        <f>+CUBICACION!L854</f>
        <v>0</v>
      </c>
      <c r="M855" s="64">
        <f>+CUBICACION!M854</f>
        <v>0</v>
      </c>
      <c r="N855" s="824" t="str">
        <f>+CUBICACION!N854</f>
        <v/>
      </c>
      <c r="O855" s="675">
        <f>+CUBICACION!O854</f>
        <v>0</v>
      </c>
      <c r="P855" s="15">
        <f>IF(O855="Fire Control",VLOOKUP(_xlfn.MINIFS('FIRE CONTROL'!$C$4:$C$37,'FIRE CONTROL'!$C$4:$C$37,"&gt;="&amp;M855),'FIRE CONTROL'!$C$4:$G$37,IF(L855="F-15",2,IF(L855="F-30",3,IF(L855="F-60",4,IF(L855="F-90",5,0)))),0),0)+IF(AND(O855="FIRE TEX 5062",OR(E855="IN",E855="C",E855="Z",E855="L"),J855=3),VLOOKUP(_xlfn.MINIFS('FIRE TEX 5062'!$B$4:$B$34,'FIRE TEX 5062'!$B$4:$B$34,"&gt;="&amp;M855),'FIRE TEX 5062'!$B$4:$F$34,IF(L855="F-15",2,IF(L855="F-30",3,IF(L855="F-60",4,IF(L855="F-90",5,0)))),0),0)+IF(AND(O855="FIRE TEX 5062",OR(E855="IN",E855="C",E855="Z",E855="L"),J855=4),VLOOKUP(_xlfn.MINIFS('FIRE TEX 5062'!$G$4:$G$34,'FIRE TEX 5062'!$G$4:$G$34,"&gt;="&amp;M855),'FIRE TEX 5062'!$G$4:$K$34,IF(L855="F-15",2,IF(L855="F-30",3,IF(L855="F-60",4,IF(L855="F-90",5,0)))),0),0)+IF(AND(O855="FIRE TEX 5062",E855="CJ",J855=3),VLOOKUP(_xlfn.MINIFS('FIRE TEX 5062'!$L$4:$L$34,'FIRE TEX 5062'!$L$4:$L$34,"&gt;="&amp;M855),'FIRE TEX 5062'!$L$4:$P$34,IF(L855="F-15",2,IF(L855="F-30",3,IF(L855="F-60",4,IF(L855="F-90",5,0)))),0),0)+IF(AND(O855="FIRE TEX 5062",E855="CJ",J855=4),VLOOKUP(_xlfn.MINIFS('FIRE TEX 5062'!$Q$3:$Q$34,'FIRE TEX 5062'!$Q$3:$Q$34,"&gt;="&amp;M855),'FIRE TEX 5062'!$Q$3:$U$34,IF(L855="F-15",2,IF(L855="F-30",3,IF(L855="F-60",4,IF(L855="F-90",5,0)))),0),0)+IF(AND(O855="FIRE TEX 5090",OR(E855="IN",E855="C",E855="Z",E855="L"),J855=3),VLOOKUP(_xlfn.MINIFS('FIRE TEX 5090'!$B$5:$B$43,'FIRE TEX 5090'!$B$5:$B$43,"&gt;="&amp;M855),'FIRE TEX 5090'!$B$5:$H$43,IF(L855="F-15",2,IF(L855="F-30",3,IF(L855="F-60",4,IF(L855="F-90",5,IF(L855="F-120",6,IF(L855="F-150",7,0)))))),0),0)+IF(AND(O855="FIRE TEX 5090",OR(E855="IN",E855="C",E855="Z",E855="L"),J855=4),VLOOKUP(_xlfn.MINIFS('FIRE TEX 5090'!$J$5:$J$43,'FIRE TEX 5090'!$J$5:$J$43,"&gt;="&amp;M855),'FIRE TEX 5090'!$J$5:$P$43,IF(L855="F-15",2,IF(L855="F-30",3,IF(L855="F-60",4,IF(L855="F-90",5,IF(L855="F-120",6,IF(L855="F-150",7,0)))))),0),0)+IF(AND(O855="FIRE TEX 5090",E855="CJ",J855=3),VLOOKUP(_xlfn.MINIFS('FIRE TEX 5090'!$R$5:$R$30,'FIRE TEX 5090'!$R$5:$R$30,"&gt;="&amp;M855),'FIRE TEX 5090'!$R$5:$W$30,IF(L855="F-15",2,IF(L855="F-30",3,IF(L855="F-60",4,IF(L855="F-90",5,IF(L855="F-120",6,IF(L855="F-150",7,0)))))),0),0)+IF(AND(O855="FIRE TEX 5090",E855="CJ",J855=4),VLOOKUP(_xlfn.MINIFS('FIRE TEX 5090'!$Y$5:$Y$39,'FIRE TEX 5090'!$Y$5:$Y$39,"&gt;="&amp;M855),'FIRE TEX 5090'!$Y$5:$AD$39,IF(L855="F-15",2,IF(L855="F-30",3,IF(L855="F-60",4,IF(L855="F-90",5,IF(L855="F-120",6,IF(L855="F-150",7,0)))))),0),0)+IF(AND(O855="FIRE TEX 5120",OR(E855="IN",E855="C",E855="Z",E855="L"),J855=3),VLOOKUP(_xlfn.MINIFS('FIRE TEX 5120'!$B$5:$B$40,'FIRE TEX 5120'!$B$5:$B$40,"&gt;="&amp;M855),'FIRE TEX 5120'!$B$5:$G$40,IF(L855="F-15",2,IF(L855="F-30",3,IF(L855="F-60",4,IF(L855="F-90",5,IF(L855="F-120",6,0))))),0),0)+IF(AND(O855="FIRE TEX 5120",OR(E855="IN",E855="C",E855="Z",E855="L"),J855=4),VLOOKUP(_xlfn.MINIFS('FIRE TEX 5120'!$H$4:$H$40,'FIRE TEX 5120'!$H$4:$H$40,"&gt;="&amp;M855),'FIRE TEX 5120'!$H$4:$M$40,IF(L855="F-15",2,IF(L855="F-30",3,IF(L855="F-60",4,IF(L855="F-90",5,IF(L855="F-120",6,0))))),0),0)+IF(AND(O855="FIRE TEX 5120",E855="CJ"),VLOOKUP(_xlfn.MINIFS('FIRE TEX 5120'!$O$5:$O$40,'FIRE TEX 5120'!$O$5:$O$40,"&gt;="&amp;M855),'FIRE TEX 5120'!$O$5:$T$40,IF(L855="F-15",2,IF(L855="F-30",3,IF(L855="F-60",4,IF(L855="F-90",5,IF(L855="F-120",6,0))))),0),0)</f>
        <v>0</v>
      </c>
      <c r="Q855" s="46">
        <f t="shared" si="84"/>
        <v>0</v>
      </c>
      <c r="R855" s="46">
        <f t="shared" si="85"/>
        <v>0</v>
      </c>
      <c r="S855" s="46" t="e">
        <f t="shared" si="86"/>
        <v>#VALUE!</v>
      </c>
      <c r="T855" s="677">
        <f t="shared" si="87"/>
        <v>0</v>
      </c>
      <c r="U855" s="80">
        <f>(IF(O855="Stofire",(S855*#REF!),0))+(IF(O855="Fire Control",(S855*$U$2),0))+(IF(O855="Fire Tex",(S855*$U$3),0))+(IF(O855="WB7",(S855*#REF!),0)+(IF(O855="FX 2003",(S855*$U$5),0)))</f>
        <v>0</v>
      </c>
      <c r="V855" s="651">
        <f t="shared" si="88"/>
        <v>0</v>
      </c>
    </row>
    <row r="856" spans="4:22" x14ac:dyDescent="0.25">
      <c r="D856" s="118">
        <f>+CUBICACION!D855</f>
        <v>0</v>
      </c>
      <c r="E856" s="118">
        <f>+CUBICACION!F855</f>
        <v>0</v>
      </c>
      <c r="F856" s="118">
        <f>+CUBICACION!E855</f>
        <v>0</v>
      </c>
      <c r="G856" s="118">
        <v>12</v>
      </c>
      <c r="H856" s="118">
        <v>2</v>
      </c>
      <c r="I856" s="820">
        <v>26385</v>
      </c>
      <c r="J856" s="118">
        <f>+CUBICACION!J855</f>
        <v>0</v>
      </c>
      <c r="K856" s="118">
        <v>3635</v>
      </c>
      <c r="L856" s="118">
        <f>+CUBICACION!L855</f>
        <v>0</v>
      </c>
      <c r="M856" s="64">
        <f>+CUBICACION!M855</f>
        <v>0</v>
      </c>
      <c r="N856" s="824" t="str">
        <f>+CUBICACION!N855</f>
        <v/>
      </c>
      <c r="O856" s="675">
        <f>+CUBICACION!O855</f>
        <v>0</v>
      </c>
      <c r="P856" s="15">
        <f>IF(O856="Fire Control",VLOOKUP(_xlfn.MINIFS('FIRE CONTROL'!$C$4:$C$37,'FIRE CONTROL'!$C$4:$C$37,"&gt;="&amp;M856),'FIRE CONTROL'!$C$4:$G$37,IF(L856="F-15",2,IF(L856="F-30",3,IF(L856="F-60",4,IF(L856="F-90",5,0)))),0),0)+IF(AND(O856="FIRE TEX 5062",OR(E856="IN",E856="C",E856="Z",E856="L"),J856=3),VLOOKUP(_xlfn.MINIFS('FIRE TEX 5062'!$B$4:$B$34,'FIRE TEX 5062'!$B$4:$B$34,"&gt;="&amp;M856),'FIRE TEX 5062'!$B$4:$F$34,IF(L856="F-15",2,IF(L856="F-30",3,IF(L856="F-60",4,IF(L856="F-90",5,0)))),0),0)+IF(AND(O856="FIRE TEX 5062",OR(E856="IN",E856="C",E856="Z",E856="L"),J856=4),VLOOKUP(_xlfn.MINIFS('FIRE TEX 5062'!$G$4:$G$34,'FIRE TEX 5062'!$G$4:$G$34,"&gt;="&amp;M856),'FIRE TEX 5062'!$G$4:$K$34,IF(L856="F-15",2,IF(L856="F-30",3,IF(L856="F-60",4,IF(L856="F-90",5,0)))),0),0)+IF(AND(O856="FIRE TEX 5062",E856="CJ",J856=3),VLOOKUP(_xlfn.MINIFS('FIRE TEX 5062'!$L$4:$L$34,'FIRE TEX 5062'!$L$4:$L$34,"&gt;="&amp;M856),'FIRE TEX 5062'!$L$4:$P$34,IF(L856="F-15",2,IF(L856="F-30",3,IF(L856="F-60",4,IF(L856="F-90",5,0)))),0),0)+IF(AND(O856="FIRE TEX 5062",E856="CJ",J856=4),VLOOKUP(_xlfn.MINIFS('FIRE TEX 5062'!$Q$3:$Q$34,'FIRE TEX 5062'!$Q$3:$Q$34,"&gt;="&amp;M856),'FIRE TEX 5062'!$Q$3:$U$34,IF(L856="F-15",2,IF(L856="F-30",3,IF(L856="F-60",4,IF(L856="F-90",5,0)))),0),0)+IF(AND(O856="FIRE TEX 5090",OR(E856="IN",E856="C",E856="Z",E856="L"),J856=3),VLOOKUP(_xlfn.MINIFS('FIRE TEX 5090'!$B$5:$B$43,'FIRE TEX 5090'!$B$5:$B$43,"&gt;="&amp;M856),'FIRE TEX 5090'!$B$5:$H$43,IF(L856="F-15",2,IF(L856="F-30",3,IF(L856="F-60",4,IF(L856="F-90",5,IF(L856="F-120",6,IF(L856="F-150",7,0)))))),0),0)+IF(AND(O856="FIRE TEX 5090",OR(E856="IN",E856="C",E856="Z",E856="L"),J856=4),VLOOKUP(_xlfn.MINIFS('FIRE TEX 5090'!$J$5:$J$43,'FIRE TEX 5090'!$J$5:$J$43,"&gt;="&amp;M856),'FIRE TEX 5090'!$J$5:$P$43,IF(L856="F-15",2,IF(L856="F-30",3,IF(L856="F-60",4,IF(L856="F-90",5,IF(L856="F-120",6,IF(L856="F-150",7,0)))))),0),0)+IF(AND(O856="FIRE TEX 5090",E856="CJ",J856=3),VLOOKUP(_xlfn.MINIFS('FIRE TEX 5090'!$R$5:$R$30,'FIRE TEX 5090'!$R$5:$R$30,"&gt;="&amp;M856),'FIRE TEX 5090'!$R$5:$W$30,IF(L856="F-15",2,IF(L856="F-30",3,IF(L856="F-60",4,IF(L856="F-90",5,IF(L856="F-120",6,IF(L856="F-150",7,0)))))),0),0)+IF(AND(O856="FIRE TEX 5090",E856="CJ",J856=4),VLOOKUP(_xlfn.MINIFS('FIRE TEX 5090'!$Y$5:$Y$39,'FIRE TEX 5090'!$Y$5:$Y$39,"&gt;="&amp;M856),'FIRE TEX 5090'!$Y$5:$AD$39,IF(L856="F-15",2,IF(L856="F-30",3,IF(L856="F-60",4,IF(L856="F-90",5,IF(L856="F-120",6,IF(L856="F-150",7,0)))))),0),0)+IF(AND(O856="FIRE TEX 5120",OR(E856="IN",E856="C",E856="Z",E856="L"),J856=3),VLOOKUP(_xlfn.MINIFS('FIRE TEX 5120'!$B$5:$B$40,'FIRE TEX 5120'!$B$5:$B$40,"&gt;="&amp;M856),'FIRE TEX 5120'!$B$5:$G$40,IF(L856="F-15",2,IF(L856="F-30",3,IF(L856="F-60",4,IF(L856="F-90",5,IF(L856="F-120",6,0))))),0),0)+IF(AND(O856="FIRE TEX 5120",OR(E856="IN",E856="C",E856="Z",E856="L"),J856=4),VLOOKUP(_xlfn.MINIFS('FIRE TEX 5120'!$H$4:$H$40,'FIRE TEX 5120'!$H$4:$H$40,"&gt;="&amp;M856),'FIRE TEX 5120'!$H$4:$M$40,IF(L856="F-15",2,IF(L856="F-30",3,IF(L856="F-60",4,IF(L856="F-90",5,IF(L856="F-120",6,0))))),0),0)+IF(AND(O856="FIRE TEX 5120",E856="CJ"),VLOOKUP(_xlfn.MINIFS('FIRE TEX 5120'!$O$5:$O$40,'FIRE TEX 5120'!$O$5:$O$40,"&gt;="&amp;M856),'FIRE TEX 5120'!$O$5:$T$40,IF(L856="F-15",2,IF(L856="F-30",3,IF(L856="F-60",4,IF(L856="F-90",5,IF(L856="F-120",6,0))))),0),0)</f>
        <v>0</v>
      </c>
      <c r="Q856" s="46">
        <f>IF(P856="","",IF(P856="dar valor","",0.03937*P856))</f>
        <v>0</v>
      </c>
      <c r="R856" s="46">
        <f t="shared" si="85"/>
        <v>0</v>
      </c>
      <c r="S856" s="46" t="e">
        <f t="shared" si="86"/>
        <v>#VALUE!</v>
      </c>
      <c r="T856" s="677">
        <f t="shared" si="87"/>
        <v>0</v>
      </c>
      <c r="U856" s="80">
        <f>(IF(O856="Stofire",(S856*#REF!),0))+(IF(O856="Fire Control",(S856*$U$2),0))+(IF(O856="Fire Tex",(S856*$U$3),0))+(IF(O856="WB7",(S856*#REF!),0)+(IF(O856="FX 2003",(S856*$U$5),0)))</f>
        <v>0</v>
      </c>
      <c r="V856" s="651">
        <f t="shared" si="88"/>
        <v>0</v>
      </c>
    </row>
    <row r="857" spans="4:22" x14ac:dyDescent="0.25">
      <c r="D857" s="118">
        <f>+CUBICACION!D856</f>
        <v>0</v>
      </c>
      <c r="E857" s="118">
        <f>+CUBICACION!F856</f>
        <v>0</v>
      </c>
      <c r="F857" s="118">
        <f>+CUBICACION!E856</f>
        <v>0</v>
      </c>
      <c r="G857" s="118">
        <v>12</v>
      </c>
      <c r="H857" s="118">
        <v>2</v>
      </c>
      <c r="I857" s="820">
        <v>26385</v>
      </c>
      <c r="J857" s="118">
        <f>+CUBICACION!J856</f>
        <v>0</v>
      </c>
      <c r="K857" s="118">
        <v>3636</v>
      </c>
      <c r="L857" s="118">
        <f>+CUBICACION!L856</f>
        <v>0</v>
      </c>
      <c r="M857" s="64">
        <f>+CUBICACION!M856</f>
        <v>0</v>
      </c>
      <c r="N857" s="824" t="str">
        <f>+CUBICACION!N856</f>
        <v/>
      </c>
      <c r="O857" s="675">
        <f>+CUBICACION!O856</f>
        <v>0</v>
      </c>
      <c r="P857" s="15">
        <f>IF(O857="Fire Control",VLOOKUP(_xlfn.MINIFS('FIRE CONTROL'!$C$4:$C$37,'FIRE CONTROL'!$C$4:$C$37,"&gt;="&amp;M857),'FIRE CONTROL'!$C$4:$G$37,IF(L857="F-15",2,IF(L857="F-30",3,IF(L857="F-60",4,IF(L857="F-90",5,0)))),0),0)+IF(AND(O857="FIRE TEX 5062",OR(E857="IN",E857="C",E857="Z",E857="L"),J857=3),VLOOKUP(_xlfn.MINIFS('FIRE TEX 5062'!$B$4:$B$34,'FIRE TEX 5062'!$B$4:$B$34,"&gt;="&amp;M857),'FIRE TEX 5062'!$B$4:$F$34,IF(L857="F-15",2,IF(L857="F-30",3,IF(L857="F-60",4,IF(L857="F-90",5,0)))),0),0)+IF(AND(O857="FIRE TEX 5062",OR(E857="IN",E857="C",E857="Z",E857="L"),J857=4),VLOOKUP(_xlfn.MINIFS('FIRE TEX 5062'!$G$4:$G$34,'FIRE TEX 5062'!$G$4:$G$34,"&gt;="&amp;M857),'FIRE TEX 5062'!$G$4:$K$34,IF(L857="F-15",2,IF(L857="F-30",3,IF(L857="F-60",4,IF(L857="F-90",5,0)))),0),0)+IF(AND(O857="FIRE TEX 5062",E857="CJ",J857=3),VLOOKUP(_xlfn.MINIFS('FIRE TEX 5062'!$L$4:$L$34,'FIRE TEX 5062'!$L$4:$L$34,"&gt;="&amp;M857),'FIRE TEX 5062'!$L$4:$P$34,IF(L857="F-15",2,IF(L857="F-30",3,IF(L857="F-60",4,IF(L857="F-90",5,0)))),0),0)+IF(AND(O857="FIRE TEX 5062",E857="CJ",J857=4),VLOOKUP(_xlfn.MINIFS('FIRE TEX 5062'!$Q$3:$Q$34,'FIRE TEX 5062'!$Q$3:$Q$34,"&gt;="&amp;M857),'FIRE TEX 5062'!$Q$3:$U$34,IF(L857="F-15",2,IF(L857="F-30",3,IF(L857="F-60",4,IF(L857="F-90",5,0)))),0),0)+IF(AND(O857="FIRE TEX 5090",OR(E857="IN",E857="C",E857="Z",E857="L"),J857=3),VLOOKUP(_xlfn.MINIFS('FIRE TEX 5090'!$B$5:$B$43,'FIRE TEX 5090'!$B$5:$B$43,"&gt;="&amp;M857),'FIRE TEX 5090'!$B$5:$H$43,IF(L857="F-15",2,IF(L857="F-30",3,IF(L857="F-60",4,IF(L857="F-90",5,IF(L857="F-120",6,IF(L857="F-150",7,0)))))),0),0)+IF(AND(O857="FIRE TEX 5090",OR(E857="IN",E857="C",E857="Z",E857="L"),J857=4),VLOOKUP(_xlfn.MINIFS('FIRE TEX 5090'!$J$5:$J$43,'FIRE TEX 5090'!$J$5:$J$43,"&gt;="&amp;M857),'FIRE TEX 5090'!$J$5:$P$43,IF(L857="F-15",2,IF(L857="F-30",3,IF(L857="F-60",4,IF(L857="F-90",5,IF(L857="F-120",6,IF(L857="F-150",7,0)))))),0),0)+IF(AND(O857="FIRE TEX 5090",E857="CJ",J857=3),VLOOKUP(_xlfn.MINIFS('FIRE TEX 5090'!$R$5:$R$30,'FIRE TEX 5090'!$R$5:$R$30,"&gt;="&amp;M857),'FIRE TEX 5090'!$R$5:$W$30,IF(L857="F-15",2,IF(L857="F-30",3,IF(L857="F-60",4,IF(L857="F-90",5,IF(L857="F-120",6,IF(L857="F-150",7,0)))))),0),0)+IF(AND(O857="FIRE TEX 5090",E857="CJ",J857=4),VLOOKUP(_xlfn.MINIFS('FIRE TEX 5090'!$Y$5:$Y$39,'FIRE TEX 5090'!$Y$5:$Y$39,"&gt;="&amp;M857),'FIRE TEX 5090'!$Y$5:$AD$39,IF(L857="F-15",2,IF(L857="F-30",3,IF(L857="F-60",4,IF(L857="F-90",5,IF(L857="F-120",6,IF(L857="F-150",7,0)))))),0),0)+IF(AND(O857="FIRE TEX 5120",OR(E857="IN",E857="C",E857="Z",E857="L"),J857=3),VLOOKUP(_xlfn.MINIFS('FIRE TEX 5120'!$B$5:$B$40,'FIRE TEX 5120'!$B$5:$B$40,"&gt;="&amp;M857),'FIRE TEX 5120'!$B$5:$G$40,IF(L857="F-15",2,IF(L857="F-30",3,IF(L857="F-60",4,IF(L857="F-90",5,IF(L857="F-120",6,0))))),0),0)+IF(AND(O857="FIRE TEX 5120",OR(E857="IN",E857="C",E857="Z",E857="L"),J857=4),VLOOKUP(_xlfn.MINIFS('FIRE TEX 5120'!$H$4:$H$40,'FIRE TEX 5120'!$H$4:$H$40,"&gt;="&amp;M857),'FIRE TEX 5120'!$H$4:$M$40,IF(L857="F-15",2,IF(L857="F-30",3,IF(L857="F-60",4,IF(L857="F-90",5,IF(L857="F-120",6,0))))),0),0)+IF(AND(O857="FIRE TEX 5120",E857="CJ"),VLOOKUP(_xlfn.MINIFS('FIRE TEX 5120'!$O$5:$O$40,'FIRE TEX 5120'!$O$5:$O$40,"&gt;="&amp;M857),'FIRE TEX 5120'!$O$5:$T$40,IF(L857="F-15",2,IF(L857="F-30",3,IF(L857="F-60",4,IF(L857="F-90",5,IF(L857="F-120",6,0))))),0),0)</f>
        <v>0</v>
      </c>
      <c r="Q857" s="46">
        <f t="shared" si="84"/>
        <v>0</v>
      </c>
      <c r="R857" s="46">
        <f t="shared" si="85"/>
        <v>0</v>
      </c>
      <c r="S857" s="46" t="e">
        <f t="shared" si="86"/>
        <v>#VALUE!</v>
      </c>
      <c r="T857" s="677">
        <f t="shared" si="87"/>
        <v>0</v>
      </c>
      <c r="U857" s="80">
        <f>(IF(O857="Stofire",(S857*#REF!),0))+(IF(O857="Fire Control",(S857*$U$2),0))+(IF(O857="Fire Tex",(S857*$U$3),0))+(IF(O857="WB7",(S857*#REF!),0)+(IF(O857="FX 2003",(S857*$U$5),0)))</f>
        <v>0</v>
      </c>
      <c r="V857" s="651">
        <f t="shared" si="88"/>
        <v>0</v>
      </c>
    </row>
    <row r="858" spans="4:22" x14ac:dyDescent="0.25">
      <c r="D858" s="118">
        <f>+CUBICACION!D857</f>
        <v>0</v>
      </c>
      <c r="E858" s="118">
        <f>+CUBICACION!F857</f>
        <v>0</v>
      </c>
      <c r="F858" s="118">
        <f>+CUBICACION!E857</f>
        <v>0</v>
      </c>
      <c r="G858" s="118">
        <v>12</v>
      </c>
      <c r="H858" s="118">
        <v>2</v>
      </c>
      <c r="I858" s="820">
        <v>26385</v>
      </c>
      <c r="J858" s="118">
        <f>+CUBICACION!J857</f>
        <v>0</v>
      </c>
      <c r="K858" s="118">
        <v>3637</v>
      </c>
      <c r="L858" s="118">
        <f>+CUBICACION!L857</f>
        <v>0</v>
      </c>
      <c r="M858" s="64">
        <f>+CUBICACION!M857</f>
        <v>0</v>
      </c>
      <c r="N858" s="824" t="str">
        <f>+CUBICACION!N857</f>
        <v/>
      </c>
      <c r="O858" s="675">
        <f>+CUBICACION!O857</f>
        <v>0</v>
      </c>
      <c r="P858" s="15">
        <f>IF(O858="Fire Control",VLOOKUP(_xlfn.MINIFS('FIRE CONTROL'!$C$4:$C$37,'FIRE CONTROL'!$C$4:$C$37,"&gt;="&amp;M858),'FIRE CONTROL'!$C$4:$G$37,IF(L858="F-15",2,IF(L858="F-30",3,IF(L858="F-60",4,IF(L858="F-90",5,0)))),0),0)+IF(AND(O858="FIRE TEX 5062",OR(E858="IN",E858="C",E858="Z",E858="L"),J858=3),VLOOKUP(_xlfn.MINIFS('FIRE TEX 5062'!$B$4:$B$34,'FIRE TEX 5062'!$B$4:$B$34,"&gt;="&amp;M858),'FIRE TEX 5062'!$B$4:$F$34,IF(L858="F-15",2,IF(L858="F-30",3,IF(L858="F-60",4,IF(L858="F-90",5,0)))),0),0)+IF(AND(O858="FIRE TEX 5062",OR(E858="IN",E858="C",E858="Z",E858="L"),J858=4),VLOOKUP(_xlfn.MINIFS('FIRE TEX 5062'!$G$4:$G$34,'FIRE TEX 5062'!$G$4:$G$34,"&gt;="&amp;M858),'FIRE TEX 5062'!$G$4:$K$34,IF(L858="F-15",2,IF(L858="F-30",3,IF(L858="F-60",4,IF(L858="F-90",5,0)))),0),0)+IF(AND(O858="FIRE TEX 5062",E858="CJ",J858=3),VLOOKUP(_xlfn.MINIFS('FIRE TEX 5062'!$L$4:$L$34,'FIRE TEX 5062'!$L$4:$L$34,"&gt;="&amp;M858),'FIRE TEX 5062'!$L$4:$P$34,IF(L858="F-15",2,IF(L858="F-30",3,IF(L858="F-60",4,IF(L858="F-90",5,0)))),0),0)+IF(AND(O858="FIRE TEX 5062",E858="CJ",J858=4),VLOOKUP(_xlfn.MINIFS('FIRE TEX 5062'!$Q$3:$Q$34,'FIRE TEX 5062'!$Q$3:$Q$34,"&gt;="&amp;M858),'FIRE TEX 5062'!$Q$3:$U$34,IF(L858="F-15",2,IF(L858="F-30",3,IF(L858="F-60",4,IF(L858="F-90",5,0)))),0),0)+IF(AND(O858="FIRE TEX 5090",OR(E858="IN",E858="C",E858="Z",E858="L"),J858=3),VLOOKUP(_xlfn.MINIFS('FIRE TEX 5090'!$B$5:$B$43,'FIRE TEX 5090'!$B$5:$B$43,"&gt;="&amp;M858),'FIRE TEX 5090'!$B$5:$H$43,IF(L858="F-15",2,IF(L858="F-30",3,IF(L858="F-60",4,IF(L858="F-90",5,IF(L858="F-120",6,IF(L858="F-150",7,0)))))),0),0)+IF(AND(O858="FIRE TEX 5090",OR(E858="IN",E858="C",E858="Z",E858="L"),J858=4),VLOOKUP(_xlfn.MINIFS('FIRE TEX 5090'!$J$5:$J$43,'FIRE TEX 5090'!$J$5:$J$43,"&gt;="&amp;M858),'FIRE TEX 5090'!$J$5:$P$43,IF(L858="F-15",2,IF(L858="F-30",3,IF(L858="F-60",4,IF(L858="F-90",5,IF(L858="F-120",6,IF(L858="F-150",7,0)))))),0),0)+IF(AND(O858="FIRE TEX 5090",E858="CJ",J858=3),VLOOKUP(_xlfn.MINIFS('FIRE TEX 5090'!$R$5:$R$30,'FIRE TEX 5090'!$R$5:$R$30,"&gt;="&amp;M858),'FIRE TEX 5090'!$R$5:$W$30,IF(L858="F-15",2,IF(L858="F-30",3,IF(L858="F-60",4,IF(L858="F-90",5,IF(L858="F-120",6,IF(L858="F-150",7,0)))))),0),0)+IF(AND(O858="FIRE TEX 5090",E858="CJ",J858=4),VLOOKUP(_xlfn.MINIFS('FIRE TEX 5090'!$Y$5:$Y$39,'FIRE TEX 5090'!$Y$5:$Y$39,"&gt;="&amp;M858),'FIRE TEX 5090'!$Y$5:$AD$39,IF(L858="F-15",2,IF(L858="F-30",3,IF(L858="F-60",4,IF(L858="F-90",5,IF(L858="F-120",6,IF(L858="F-150",7,0)))))),0),0)+IF(AND(O858="FIRE TEX 5120",OR(E858="IN",E858="C",E858="Z",E858="L"),J858=3),VLOOKUP(_xlfn.MINIFS('FIRE TEX 5120'!$B$5:$B$40,'FIRE TEX 5120'!$B$5:$B$40,"&gt;="&amp;M858),'FIRE TEX 5120'!$B$5:$G$40,IF(L858="F-15",2,IF(L858="F-30",3,IF(L858="F-60",4,IF(L858="F-90",5,IF(L858="F-120",6,0))))),0),0)+IF(AND(O858="FIRE TEX 5120",OR(E858="IN",E858="C",E858="Z",E858="L"),J858=4),VLOOKUP(_xlfn.MINIFS('FIRE TEX 5120'!$H$4:$H$40,'FIRE TEX 5120'!$H$4:$H$40,"&gt;="&amp;M858),'FIRE TEX 5120'!$H$4:$M$40,IF(L858="F-15",2,IF(L858="F-30",3,IF(L858="F-60",4,IF(L858="F-90",5,IF(L858="F-120",6,0))))),0),0)+IF(AND(O858="FIRE TEX 5120",E858="CJ"),VLOOKUP(_xlfn.MINIFS('FIRE TEX 5120'!$O$5:$O$40,'FIRE TEX 5120'!$O$5:$O$40,"&gt;="&amp;M858),'FIRE TEX 5120'!$O$5:$T$40,IF(L858="F-15",2,IF(L858="F-30",3,IF(L858="F-60",4,IF(L858="F-90",5,IF(L858="F-120",6,0))))),0),0)</f>
        <v>0</v>
      </c>
      <c r="Q858" s="46">
        <f t="shared" si="84"/>
        <v>0</v>
      </c>
      <c r="R858" s="46">
        <f t="shared" si="85"/>
        <v>0</v>
      </c>
      <c r="S858" s="46" t="e">
        <f t="shared" si="86"/>
        <v>#VALUE!</v>
      </c>
      <c r="T858" s="677">
        <f t="shared" si="87"/>
        <v>0</v>
      </c>
      <c r="U858" s="80">
        <f>(IF(O858="Stofire",(S858*#REF!),0))+(IF(O858="Fire Control",(S858*$U$2),0))+(IF(O858="Fire Tex",(S858*$U$3),0))+(IF(O858="WB7",(S858*#REF!),0)+(IF(O858="FX 2003",(S858*$U$5),0)))</f>
        <v>0</v>
      </c>
      <c r="V858" s="651">
        <f t="shared" si="88"/>
        <v>0</v>
      </c>
    </row>
    <row r="859" spans="4:22" x14ac:dyDescent="0.25">
      <c r="D859" s="118">
        <f>+CUBICACION!D858</f>
        <v>0</v>
      </c>
      <c r="E859" s="118">
        <f>+CUBICACION!F858</f>
        <v>0</v>
      </c>
      <c r="F859" s="118">
        <f>+CUBICACION!E858</f>
        <v>0</v>
      </c>
      <c r="G859" s="118">
        <v>12</v>
      </c>
      <c r="H859" s="118">
        <v>2</v>
      </c>
      <c r="I859" s="820">
        <v>26385</v>
      </c>
      <c r="J859" s="118">
        <f>+CUBICACION!J858</f>
        <v>0</v>
      </c>
      <c r="K859" s="118">
        <v>3638</v>
      </c>
      <c r="L859" s="118">
        <f>+CUBICACION!L858</f>
        <v>0</v>
      </c>
      <c r="M859" s="64">
        <f>+CUBICACION!M858</f>
        <v>0</v>
      </c>
      <c r="N859" s="824" t="str">
        <f>+CUBICACION!N858</f>
        <v/>
      </c>
      <c r="O859" s="675">
        <f>+CUBICACION!O858</f>
        <v>0</v>
      </c>
      <c r="P859" s="15">
        <f>IF(O859="Fire Control",VLOOKUP(_xlfn.MINIFS('FIRE CONTROL'!$C$4:$C$37,'FIRE CONTROL'!$C$4:$C$37,"&gt;="&amp;M859),'FIRE CONTROL'!$C$4:$G$37,IF(L859="F-15",2,IF(L859="F-30",3,IF(L859="F-60",4,IF(L859="F-90",5,0)))),0),0)+IF(AND(O859="FIRE TEX 5062",OR(E859="IN",E859="C",E859="Z",E859="L"),J859=3),VLOOKUP(_xlfn.MINIFS('FIRE TEX 5062'!$B$4:$B$34,'FIRE TEX 5062'!$B$4:$B$34,"&gt;="&amp;M859),'FIRE TEX 5062'!$B$4:$F$34,IF(L859="F-15",2,IF(L859="F-30",3,IF(L859="F-60",4,IF(L859="F-90",5,0)))),0),0)+IF(AND(O859="FIRE TEX 5062",OR(E859="IN",E859="C",E859="Z",E859="L"),J859=4),VLOOKUP(_xlfn.MINIFS('FIRE TEX 5062'!$G$4:$G$34,'FIRE TEX 5062'!$G$4:$G$34,"&gt;="&amp;M859),'FIRE TEX 5062'!$G$4:$K$34,IF(L859="F-15",2,IF(L859="F-30",3,IF(L859="F-60",4,IF(L859="F-90",5,0)))),0),0)+IF(AND(O859="FIRE TEX 5062",E859="CJ",J859=3),VLOOKUP(_xlfn.MINIFS('FIRE TEX 5062'!$L$4:$L$34,'FIRE TEX 5062'!$L$4:$L$34,"&gt;="&amp;M859),'FIRE TEX 5062'!$L$4:$P$34,IF(L859="F-15",2,IF(L859="F-30",3,IF(L859="F-60",4,IF(L859="F-90",5,0)))),0),0)+IF(AND(O859="FIRE TEX 5062",E859="CJ",J859=4),VLOOKUP(_xlfn.MINIFS('FIRE TEX 5062'!$Q$3:$Q$34,'FIRE TEX 5062'!$Q$3:$Q$34,"&gt;="&amp;M859),'FIRE TEX 5062'!$Q$3:$U$34,IF(L859="F-15",2,IF(L859="F-30",3,IF(L859="F-60",4,IF(L859="F-90",5,0)))),0),0)+IF(AND(O859="FIRE TEX 5090",OR(E859="IN",E859="C",E859="Z",E859="L"),J859=3),VLOOKUP(_xlfn.MINIFS('FIRE TEX 5090'!$B$5:$B$43,'FIRE TEX 5090'!$B$5:$B$43,"&gt;="&amp;M859),'FIRE TEX 5090'!$B$5:$H$43,IF(L859="F-15",2,IF(L859="F-30",3,IF(L859="F-60",4,IF(L859="F-90",5,IF(L859="F-120",6,IF(L859="F-150",7,0)))))),0),0)+IF(AND(O859="FIRE TEX 5090",OR(E859="IN",E859="C",E859="Z",E859="L"),J859=4),VLOOKUP(_xlfn.MINIFS('FIRE TEX 5090'!$J$5:$J$43,'FIRE TEX 5090'!$J$5:$J$43,"&gt;="&amp;M859),'FIRE TEX 5090'!$J$5:$P$43,IF(L859="F-15",2,IF(L859="F-30",3,IF(L859="F-60",4,IF(L859="F-90",5,IF(L859="F-120",6,IF(L859="F-150",7,0)))))),0),0)+IF(AND(O859="FIRE TEX 5090",E859="CJ",J859=3),VLOOKUP(_xlfn.MINIFS('FIRE TEX 5090'!$R$5:$R$30,'FIRE TEX 5090'!$R$5:$R$30,"&gt;="&amp;M859),'FIRE TEX 5090'!$R$5:$W$30,IF(L859="F-15",2,IF(L859="F-30",3,IF(L859="F-60",4,IF(L859="F-90",5,IF(L859="F-120",6,IF(L859="F-150",7,0)))))),0),0)+IF(AND(O859="FIRE TEX 5090",E859="CJ",J859=4),VLOOKUP(_xlfn.MINIFS('FIRE TEX 5090'!$Y$5:$Y$39,'FIRE TEX 5090'!$Y$5:$Y$39,"&gt;="&amp;M859),'FIRE TEX 5090'!$Y$5:$AD$39,IF(L859="F-15",2,IF(L859="F-30",3,IF(L859="F-60",4,IF(L859="F-90",5,IF(L859="F-120",6,IF(L859="F-150",7,0)))))),0),0)+IF(AND(O859="FIRE TEX 5120",OR(E859="IN",E859="C",E859="Z",E859="L"),J859=3),VLOOKUP(_xlfn.MINIFS('FIRE TEX 5120'!$B$5:$B$40,'FIRE TEX 5120'!$B$5:$B$40,"&gt;="&amp;M859),'FIRE TEX 5120'!$B$5:$G$40,IF(L859="F-15",2,IF(L859="F-30",3,IF(L859="F-60",4,IF(L859="F-90",5,IF(L859="F-120",6,0))))),0),0)+IF(AND(O859="FIRE TEX 5120",OR(E859="IN",E859="C",E859="Z",E859="L"),J859=4),VLOOKUP(_xlfn.MINIFS('FIRE TEX 5120'!$H$4:$H$40,'FIRE TEX 5120'!$H$4:$H$40,"&gt;="&amp;M859),'FIRE TEX 5120'!$H$4:$M$40,IF(L859="F-15",2,IF(L859="F-30",3,IF(L859="F-60",4,IF(L859="F-90",5,IF(L859="F-120",6,0))))),0),0)+IF(AND(O859="FIRE TEX 5120",E859="CJ"),VLOOKUP(_xlfn.MINIFS('FIRE TEX 5120'!$O$5:$O$40,'FIRE TEX 5120'!$O$5:$O$40,"&gt;="&amp;M859),'FIRE TEX 5120'!$O$5:$T$40,IF(L859="F-15",2,IF(L859="F-30",3,IF(L859="F-60",4,IF(L859="F-90",5,IF(L859="F-120",6,0))))),0),0)</f>
        <v>0</v>
      </c>
      <c r="Q859" s="46">
        <f t="shared" si="84"/>
        <v>0</v>
      </c>
      <c r="R859" s="46">
        <f t="shared" si="85"/>
        <v>0</v>
      </c>
      <c r="S859" s="46" t="e">
        <f t="shared" si="86"/>
        <v>#VALUE!</v>
      </c>
      <c r="T859" s="677">
        <f t="shared" si="87"/>
        <v>0</v>
      </c>
      <c r="U859" s="80">
        <f>(IF(O859="Stofire",(S859*#REF!),0))+(IF(O859="Fire Control",(S859*$U$2),0))+(IF(O859="Fire Tex",(S859*$U$3),0))+(IF(O859="WB7",(S859*#REF!),0)+(IF(O859="FX 2003",(S859*$U$5),0)))</f>
        <v>0</v>
      </c>
      <c r="V859" s="651">
        <f t="shared" si="88"/>
        <v>0</v>
      </c>
    </row>
    <row r="860" spans="4:22" x14ac:dyDescent="0.25">
      <c r="D860" s="118">
        <f>+CUBICACION!D859</f>
        <v>0</v>
      </c>
      <c r="E860" s="118">
        <f>+CUBICACION!F859</f>
        <v>0</v>
      </c>
      <c r="F860" s="118">
        <f>+CUBICACION!E859</f>
        <v>0</v>
      </c>
      <c r="G860" s="118">
        <v>12</v>
      </c>
      <c r="H860" s="118">
        <v>2</v>
      </c>
      <c r="I860" s="820">
        <v>26385</v>
      </c>
      <c r="J860" s="118">
        <f>+CUBICACION!J859</f>
        <v>0</v>
      </c>
      <c r="K860" s="118">
        <v>3639</v>
      </c>
      <c r="L860" s="118">
        <f>+CUBICACION!L859</f>
        <v>0</v>
      </c>
      <c r="M860" s="64">
        <f>+CUBICACION!M859</f>
        <v>0</v>
      </c>
      <c r="N860" s="824" t="str">
        <f>+CUBICACION!N859</f>
        <v/>
      </c>
      <c r="O860" s="675">
        <f>+CUBICACION!O859</f>
        <v>0</v>
      </c>
      <c r="P860" s="15">
        <f>IF(O860="Fire Control",VLOOKUP(_xlfn.MINIFS('FIRE CONTROL'!$C$4:$C$37,'FIRE CONTROL'!$C$4:$C$37,"&gt;="&amp;M860),'FIRE CONTROL'!$C$4:$G$37,IF(L860="F-15",2,IF(L860="F-30",3,IF(L860="F-60",4,IF(L860="F-90",5,0)))),0),0)+IF(AND(O860="FIRE TEX 5062",OR(E860="IN",E860="C",E860="Z",E860="L"),J860=3),VLOOKUP(_xlfn.MINIFS('FIRE TEX 5062'!$B$4:$B$34,'FIRE TEX 5062'!$B$4:$B$34,"&gt;="&amp;M860),'FIRE TEX 5062'!$B$4:$F$34,IF(L860="F-15",2,IF(L860="F-30",3,IF(L860="F-60",4,IF(L860="F-90",5,0)))),0),0)+IF(AND(O860="FIRE TEX 5062",OR(E860="IN",E860="C",E860="Z",E860="L"),J860=4),VLOOKUP(_xlfn.MINIFS('FIRE TEX 5062'!$G$4:$G$34,'FIRE TEX 5062'!$G$4:$G$34,"&gt;="&amp;M860),'FIRE TEX 5062'!$G$4:$K$34,IF(L860="F-15",2,IF(L860="F-30",3,IF(L860="F-60",4,IF(L860="F-90",5,0)))),0),0)+IF(AND(O860="FIRE TEX 5062",E860="CJ",J860=3),VLOOKUP(_xlfn.MINIFS('FIRE TEX 5062'!$L$4:$L$34,'FIRE TEX 5062'!$L$4:$L$34,"&gt;="&amp;M860),'FIRE TEX 5062'!$L$4:$P$34,IF(L860="F-15",2,IF(L860="F-30",3,IF(L860="F-60",4,IF(L860="F-90",5,0)))),0),0)+IF(AND(O860="FIRE TEX 5062",E860="CJ",J860=4),VLOOKUP(_xlfn.MINIFS('FIRE TEX 5062'!$Q$3:$Q$34,'FIRE TEX 5062'!$Q$3:$Q$34,"&gt;="&amp;M860),'FIRE TEX 5062'!$Q$3:$U$34,IF(L860="F-15",2,IF(L860="F-30",3,IF(L860="F-60",4,IF(L860="F-90",5,0)))),0),0)+IF(AND(O860="FIRE TEX 5090",OR(E860="IN",E860="C",E860="Z",E860="L"),J860=3),VLOOKUP(_xlfn.MINIFS('FIRE TEX 5090'!$B$5:$B$43,'FIRE TEX 5090'!$B$5:$B$43,"&gt;="&amp;M860),'FIRE TEX 5090'!$B$5:$H$43,IF(L860="F-15",2,IF(L860="F-30",3,IF(L860="F-60",4,IF(L860="F-90",5,IF(L860="F-120",6,IF(L860="F-150",7,0)))))),0),0)+IF(AND(O860="FIRE TEX 5090",OR(E860="IN",E860="C",E860="Z",E860="L"),J860=4),VLOOKUP(_xlfn.MINIFS('FIRE TEX 5090'!$J$5:$J$43,'FIRE TEX 5090'!$J$5:$J$43,"&gt;="&amp;M860),'FIRE TEX 5090'!$J$5:$P$43,IF(L860="F-15",2,IF(L860="F-30",3,IF(L860="F-60",4,IF(L860="F-90",5,IF(L860="F-120",6,IF(L860="F-150",7,0)))))),0),0)+IF(AND(O860="FIRE TEX 5090",E860="CJ",J860=3),VLOOKUP(_xlfn.MINIFS('FIRE TEX 5090'!$R$5:$R$30,'FIRE TEX 5090'!$R$5:$R$30,"&gt;="&amp;M860),'FIRE TEX 5090'!$R$5:$W$30,IF(L860="F-15",2,IF(L860="F-30",3,IF(L860="F-60",4,IF(L860="F-90",5,IF(L860="F-120",6,IF(L860="F-150",7,0)))))),0),0)+IF(AND(O860="FIRE TEX 5090",E860="CJ",J860=4),VLOOKUP(_xlfn.MINIFS('FIRE TEX 5090'!$Y$5:$Y$39,'FIRE TEX 5090'!$Y$5:$Y$39,"&gt;="&amp;M860),'FIRE TEX 5090'!$Y$5:$AD$39,IF(L860="F-15",2,IF(L860="F-30",3,IF(L860="F-60",4,IF(L860="F-90",5,IF(L860="F-120",6,IF(L860="F-150",7,0)))))),0),0)+IF(AND(O860="FIRE TEX 5120",OR(E860="IN",E860="C",E860="Z",E860="L"),J860=3),VLOOKUP(_xlfn.MINIFS('FIRE TEX 5120'!$B$5:$B$40,'FIRE TEX 5120'!$B$5:$B$40,"&gt;="&amp;M860),'FIRE TEX 5120'!$B$5:$G$40,IF(L860="F-15",2,IF(L860="F-30",3,IF(L860="F-60",4,IF(L860="F-90",5,IF(L860="F-120",6,0))))),0),0)+IF(AND(O860="FIRE TEX 5120",OR(E860="IN",E860="C",E860="Z",E860="L"),J860=4),VLOOKUP(_xlfn.MINIFS('FIRE TEX 5120'!$H$4:$H$40,'FIRE TEX 5120'!$H$4:$H$40,"&gt;="&amp;M860),'FIRE TEX 5120'!$H$4:$M$40,IF(L860="F-15",2,IF(L860="F-30",3,IF(L860="F-60",4,IF(L860="F-90",5,IF(L860="F-120",6,0))))),0),0)+IF(AND(O860="FIRE TEX 5120",E860="CJ"),VLOOKUP(_xlfn.MINIFS('FIRE TEX 5120'!$O$5:$O$40,'FIRE TEX 5120'!$O$5:$O$40,"&gt;="&amp;M860),'FIRE TEX 5120'!$O$5:$T$40,IF(L860="F-15",2,IF(L860="F-30",3,IF(L860="F-60",4,IF(L860="F-90",5,IF(L860="F-120",6,0))))),0),0)</f>
        <v>0</v>
      </c>
      <c r="Q860" s="46">
        <f t="shared" si="84"/>
        <v>0</v>
      </c>
      <c r="R860" s="46">
        <f t="shared" si="85"/>
        <v>0</v>
      </c>
      <c r="S860" s="46" t="e">
        <f t="shared" si="86"/>
        <v>#VALUE!</v>
      </c>
      <c r="T860" s="677">
        <f t="shared" si="87"/>
        <v>0</v>
      </c>
      <c r="U860" s="80">
        <f>(IF(O860="Stofire",(S860*#REF!),0))+(IF(O860="Fire Control",(S860*$U$2),0))+(IF(O860="Fire Tex",(S860*$U$3),0))+(IF(O860="WB7",(S860*#REF!),0)+(IF(O860="FX 2003",(S860*$U$5),0)))</f>
        <v>0</v>
      </c>
      <c r="V860" s="651">
        <f t="shared" si="88"/>
        <v>0</v>
      </c>
    </row>
    <row r="861" spans="4:22" x14ac:dyDescent="0.25">
      <c r="D861" s="118">
        <f>+CUBICACION!D860</f>
        <v>0</v>
      </c>
      <c r="E861" s="118">
        <f>+CUBICACION!F860</f>
        <v>0</v>
      </c>
      <c r="F861" s="118">
        <f>+CUBICACION!E860</f>
        <v>0</v>
      </c>
      <c r="G861" s="118">
        <v>12</v>
      </c>
      <c r="H861" s="118">
        <v>2</v>
      </c>
      <c r="I861" s="820">
        <v>26385</v>
      </c>
      <c r="J861" s="118">
        <f>+CUBICACION!J860</f>
        <v>0</v>
      </c>
      <c r="K861" s="118">
        <v>3640</v>
      </c>
      <c r="L861" s="118">
        <f>+CUBICACION!L860</f>
        <v>0</v>
      </c>
      <c r="M861" s="64">
        <f>+CUBICACION!M860</f>
        <v>0</v>
      </c>
      <c r="N861" s="824" t="str">
        <f>+CUBICACION!N860</f>
        <v/>
      </c>
      <c r="O861" s="675">
        <f>+CUBICACION!O860</f>
        <v>0</v>
      </c>
      <c r="P861" s="15">
        <f>IF(O861="Fire Control",VLOOKUP(_xlfn.MINIFS('FIRE CONTROL'!$C$4:$C$37,'FIRE CONTROL'!$C$4:$C$37,"&gt;="&amp;M861),'FIRE CONTROL'!$C$4:$G$37,IF(L861="F-15",2,IF(L861="F-30",3,IF(L861="F-60",4,IF(L861="F-90",5,0)))),0),0)+IF(AND(O861="FIRE TEX 5062",OR(E861="IN",E861="C",E861="Z",E861="L"),J861=3),VLOOKUP(_xlfn.MINIFS('FIRE TEX 5062'!$B$4:$B$34,'FIRE TEX 5062'!$B$4:$B$34,"&gt;="&amp;M861),'FIRE TEX 5062'!$B$4:$F$34,IF(L861="F-15",2,IF(L861="F-30",3,IF(L861="F-60",4,IF(L861="F-90",5,0)))),0),0)+IF(AND(O861="FIRE TEX 5062",OR(E861="IN",E861="C",E861="Z",E861="L"),J861=4),VLOOKUP(_xlfn.MINIFS('FIRE TEX 5062'!$G$4:$G$34,'FIRE TEX 5062'!$G$4:$G$34,"&gt;="&amp;M861),'FIRE TEX 5062'!$G$4:$K$34,IF(L861="F-15",2,IF(L861="F-30",3,IF(L861="F-60",4,IF(L861="F-90",5,0)))),0),0)+IF(AND(O861="FIRE TEX 5062",E861="CJ",J861=3),VLOOKUP(_xlfn.MINIFS('FIRE TEX 5062'!$L$4:$L$34,'FIRE TEX 5062'!$L$4:$L$34,"&gt;="&amp;M861),'FIRE TEX 5062'!$L$4:$P$34,IF(L861="F-15",2,IF(L861="F-30",3,IF(L861="F-60",4,IF(L861="F-90",5,0)))),0),0)+IF(AND(O861="FIRE TEX 5062",E861="CJ",J861=4),VLOOKUP(_xlfn.MINIFS('FIRE TEX 5062'!$Q$3:$Q$34,'FIRE TEX 5062'!$Q$3:$Q$34,"&gt;="&amp;M861),'FIRE TEX 5062'!$Q$3:$U$34,IF(L861="F-15",2,IF(L861="F-30",3,IF(L861="F-60",4,IF(L861="F-90",5,0)))),0),0)+IF(AND(O861="FIRE TEX 5090",OR(E861="IN",E861="C",E861="Z",E861="L"),J861=3),VLOOKUP(_xlfn.MINIFS('FIRE TEX 5090'!$B$5:$B$43,'FIRE TEX 5090'!$B$5:$B$43,"&gt;="&amp;M861),'FIRE TEX 5090'!$B$5:$H$43,IF(L861="F-15",2,IF(L861="F-30",3,IF(L861="F-60",4,IF(L861="F-90",5,IF(L861="F-120",6,IF(L861="F-150",7,0)))))),0),0)+IF(AND(O861="FIRE TEX 5090",OR(E861="IN",E861="C",E861="Z",E861="L"),J861=4),VLOOKUP(_xlfn.MINIFS('FIRE TEX 5090'!$J$5:$J$43,'FIRE TEX 5090'!$J$5:$J$43,"&gt;="&amp;M861),'FIRE TEX 5090'!$J$5:$P$43,IF(L861="F-15",2,IF(L861="F-30",3,IF(L861="F-60",4,IF(L861="F-90",5,IF(L861="F-120",6,IF(L861="F-150",7,0)))))),0),0)+IF(AND(O861="FIRE TEX 5090",E861="CJ",J861=3),VLOOKUP(_xlfn.MINIFS('FIRE TEX 5090'!$R$5:$R$30,'FIRE TEX 5090'!$R$5:$R$30,"&gt;="&amp;M861),'FIRE TEX 5090'!$R$5:$W$30,IF(L861="F-15",2,IF(L861="F-30",3,IF(L861="F-60",4,IF(L861="F-90",5,IF(L861="F-120",6,IF(L861="F-150",7,0)))))),0),0)+IF(AND(O861="FIRE TEX 5090",E861="CJ",J861=4),VLOOKUP(_xlfn.MINIFS('FIRE TEX 5090'!$Y$5:$Y$39,'FIRE TEX 5090'!$Y$5:$Y$39,"&gt;="&amp;M861),'FIRE TEX 5090'!$Y$5:$AD$39,IF(L861="F-15",2,IF(L861="F-30",3,IF(L861="F-60",4,IF(L861="F-90",5,IF(L861="F-120",6,IF(L861="F-150",7,0)))))),0),0)+IF(AND(O861="FIRE TEX 5120",OR(E861="IN",E861="C",E861="Z",E861="L"),J861=3),VLOOKUP(_xlfn.MINIFS('FIRE TEX 5120'!$B$5:$B$40,'FIRE TEX 5120'!$B$5:$B$40,"&gt;="&amp;M861),'FIRE TEX 5120'!$B$5:$G$40,IF(L861="F-15",2,IF(L861="F-30",3,IF(L861="F-60",4,IF(L861="F-90",5,IF(L861="F-120",6,0))))),0),0)+IF(AND(O861="FIRE TEX 5120",OR(E861="IN",E861="C",E861="Z",E861="L"),J861=4),VLOOKUP(_xlfn.MINIFS('FIRE TEX 5120'!$H$4:$H$40,'FIRE TEX 5120'!$H$4:$H$40,"&gt;="&amp;M861),'FIRE TEX 5120'!$H$4:$M$40,IF(L861="F-15",2,IF(L861="F-30",3,IF(L861="F-60",4,IF(L861="F-90",5,IF(L861="F-120",6,0))))),0),0)+IF(AND(O861="FIRE TEX 5120",E861="CJ"),VLOOKUP(_xlfn.MINIFS('FIRE TEX 5120'!$O$5:$O$40,'FIRE TEX 5120'!$O$5:$O$40,"&gt;="&amp;M861),'FIRE TEX 5120'!$O$5:$T$40,IF(L861="F-15",2,IF(L861="F-30",3,IF(L861="F-60",4,IF(L861="F-90",5,IF(L861="F-120",6,0))))),0),0)</f>
        <v>0</v>
      </c>
      <c r="Q861" s="46">
        <f t="shared" si="84"/>
        <v>0</v>
      </c>
      <c r="R861" s="46">
        <f t="shared" si="85"/>
        <v>0</v>
      </c>
      <c r="S861" s="46" t="e">
        <f t="shared" si="86"/>
        <v>#VALUE!</v>
      </c>
      <c r="T861" s="677">
        <f t="shared" si="87"/>
        <v>0</v>
      </c>
      <c r="U861" s="80">
        <f>(IF(O861="Stofire",(S861*#REF!),0))+(IF(O861="Fire Control",(S861*$U$2),0))+(IF(O861="Fire Tex",(S861*$U$3),0))+(IF(O861="WB7",(S861*#REF!),0)+(IF(O861="FX 2003",(S861*$U$5),0)))</f>
        <v>0</v>
      </c>
      <c r="V861" s="651">
        <f t="shared" si="88"/>
        <v>0</v>
      </c>
    </row>
    <row r="862" spans="4:22" x14ac:dyDescent="0.25">
      <c r="D862" s="118">
        <f>+CUBICACION!D861</f>
        <v>0</v>
      </c>
      <c r="E862" s="118">
        <f>+CUBICACION!F861</f>
        <v>0</v>
      </c>
      <c r="F862" s="118">
        <f>+CUBICACION!E861</f>
        <v>0</v>
      </c>
      <c r="G862" s="118">
        <v>12</v>
      </c>
      <c r="H862" s="118">
        <v>2</v>
      </c>
      <c r="I862" s="820">
        <v>26385</v>
      </c>
      <c r="J862" s="118">
        <f>+CUBICACION!J861</f>
        <v>0</v>
      </c>
      <c r="K862" s="118">
        <v>3641</v>
      </c>
      <c r="L862" s="118">
        <f>+CUBICACION!L861</f>
        <v>0</v>
      </c>
      <c r="M862" s="64">
        <f>+CUBICACION!M861</f>
        <v>0</v>
      </c>
      <c r="N862" s="824" t="str">
        <f>+CUBICACION!N861</f>
        <v/>
      </c>
      <c r="O862" s="675">
        <f>+CUBICACION!O861</f>
        <v>0</v>
      </c>
      <c r="P862" s="15">
        <f>IF(O862="Fire Control",VLOOKUP(_xlfn.MINIFS('FIRE CONTROL'!$C$4:$C$37,'FIRE CONTROL'!$C$4:$C$37,"&gt;="&amp;M862),'FIRE CONTROL'!$C$4:$G$37,IF(L862="F-15",2,IF(L862="F-30",3,IF(L862="F-60",4,IF(L862="F-90",5,0)))),0),0)+IF(AND(O862="FIRE TEX 5062",OR(E862="IN",E862="C",E862="Z",E862="L"),J862=3),VLOOKUP(_xlfn.MINIFS('FIRE TEX 5062'!$B$4:$B$34,'FIRE TEX 5062'!$B$4:$B$34,"&gt;="&amp;M862),'FIRE TEX 5062'!$B$4:$F$34,IF(L862="F-15",2,IF(L862="F-30",3,IF(L862="F-60",4,IF(L862="F-90",5,0)))),0),0)+IF(AND(O862="FIRE TEX 5062",OR(E862="IN",E862="C",E862="Z",E862="L"),J862=4),VLOOKUP(_xlfn.MINIFS('FIRE TEX 5062'!$G$4:$G$34,'FIRE TEX 5062'!$G$4:$G$34,"&gt;="&amp;M862),'FIRE TEX 5062'!$G$4:$K$34,IF(L862="F-15",2,IF(L862="F-30",3,IF(L862="F-60",4,IF(L862="F-90",5,0)))),0),0)+IF(AND(O862="FIRE TEX 5062",E862="CJ",J862=3),VLOOKUP(_xlfn.MINIFS('FIRE TEX 5062'!$L$4:$L$34,'FIRE TEX 5062'!$L$4:$L$34,"&gt;="&amp;M862),'FIRE TEX 5062'!$L$4:$P$34,IF(L862="F-15",2,IF(L862="F-30",3,IF(L862="F-60",4,IF(L862="F-90",5,0)))),0),0)+IF(AND(O862="FIRE TEX 5062",E862="CJ",J862=4),VLOOKUP(_xlfn.MINIFS('FIRE TEX 5062'!$Q$3:$Q$34,'FIRE TEX 5062'!$Q$3:$Q$34,"&gt;="&amp;M862),'FIRE TEX 5062'!$Q$3:$U$34,IF(L862="F-15",2,IF(L862="F-30",3,IF(L862="F-60",4,IF(L862="F-90",5,0)))),0),0)+IF(AND(O862="FIRE TEX 5090",OR(E862="IN",E862="C",E862="Z",E862="L"),J862=3),VLOOKUP(_xlfn.MINIFS('FIRE TEX 5090'!$B$5:$B$43,'FIRE TEX 5090'!$B$5:$B$43,"&gt;="&amp;M862),'FIRE TEX 5090'!$B$5:$H$43,IF(L862="F-15",2,IF(L862="F-30",3,IF(L862="F-60",4,IF(L862="F-90",5,IF(L862="F-120",6,IF(L862="F-150",7,0)))))),0),0)+IF(AND(O862="FIRE TEX 5090",OR(E862="IN",E862="C",E862="Z",E862="L"),J862=4),VLOOKUP(_xlfn.MINIFS('FIRE TEX 5090'!$J$5:$J$43,'FIRE TEX 5090'!$J$5:$J$43,"&gt;="&amp;M862),'FIRE TEX 5090'!$J$5:$P$43,IF(L862="F-15",2,IF(L862="F-30",3,IF(L862="F-60",4,IF(L862="F-90",5,IF(L862="F-120",6,IF(L862="F-150",7,0)))))),0),0)+IF(AND(O862="FIRE TEX 5090",E862="CJ",J862=3),VLOOKUP(_xlfn.MINIFS('FIRE TEX 5090'!$R$5:$R$30,'FIRE TEX 5090'!$R$5:$R$30,"&gt;="&amp;M862),'FIRE TEX 5090'!$R$5:$W$30,IF(L862="F-15",2,IF(L862="F-30",3,IF(L862="F-60",4,IF(L862="F-90",5,IF(L862="F-120",6,IF(L862="F-150",7,0)))))),0),0)+IF(AND(O862="FIRE TEX 5090",E862="CJ",J862=4),VLOOKUP(_xlfn.MINIFS('FIRE TEX 5090'!$Y$5:$Y$39,'FIRE TEX 5090'!$Y$5:$Y$39,"&gt;="&amp;M862),'FIRE TEX 5090'!$Y$5:$AD$39,IF(L862="F-15",2,IF(L862="F-30",3,IF(L862="F-60",4,IF(L862="F-90",5,IF(L862="F-120",6,IF(L862="F-150",7,0)))))),0),0)+IF(AND(O862="FIRE TEX 5120",OR(E862="IN",E862="C",E862="Z",E862="L"),J862=3),VLOOKUP(_xlfn.MINIFS('FIRE TEX 5120'!$B$5:$B$40,'FIRE TEX 5120'!$B$5:$B$40,"&gt;="&amp;M862),'FIRE TEX 5120'!$B$5:$G$40,IF(L862="F-15",2,IF(L862="F-30",3,IF(L862="F-60",4,IF(L862="F-90",5,IF(L862="F-120",6,0))))),0),0)+IF(AND(O862="FIRE TEX 5120",OR(E862="IN",E862="C",E862="Z",E862="L"),J862=4),VLOOKUP(_xlfn.MINIFS('FIRE TEX 5120'!$H$4:$H$40,'FIRE TEX 5120'!$H$4:$H$40,"&gt;="&amp;M862),'FIRE TEX 5120'!$H$4:$M$40,IF(L862="F-15",2,IF(L862="F-30",3,IF(L862="F-60",4,IF(L862="F-90",5,IF(L862="F-120",6,0))))),0),0)+IF(AND(O862="FIRE TEX 5120",E862="CJ"),VLOOKUP(_xlfn.MINIFS('FIRE TEX 5120'!$O$5:$O$40,'FIRE TEX 5120'!$O$5:$O$40,"&gt;="&amp;M862),'FIRE TEX 5120'!$O$5:$T$40,IF(L862="F-15",2,IF(L862="F-30",3,IF(L862="F-60",4,IF(L862="F-90",5,IF(L862="F-120",6,0))))),0),0)</f>
        <v>0</v>
      </c>
      <c r="Q862" s="46">
        <f t="shared" si="84"/>
        <v>0</v>
      </c>
      <c r="R862" s="46">
        <f t="shared" si="85"/>
        <v>0</v>
      </c>
      <c r="S862" s="46" t="e">
        <f t="shared" si="86"/>
        <v>#VALUE!</v>
      </c>
      <c r="T862" s="677">
        <f t="shared" si="87"/>
        <v>0</v>
      </c>
      <c r="U862" s="80">
        <f>(IF(O862="Stofire",(S862*#REF!),0))+(IF(O862="Fire Control",(S862*$U$2),0))+(IF(O862="Fire Tex",(S862*$U$3),0))+(IF(O862="WB7",(S862*#REF!),0)+(IF(O862="FX 2003",(S862*$U$5),0)))</f>
        <v>0</v>
      </c>
      <c r="V862" s="651">
        <f t="shared" si="88"/>
        <v>0</v>
      </c>
    </row>
    <row r="863" spans="4:22" x14ac:dyDescent="0.25">
      <c r="D863" s="118">
        <f>+CUBICACION!D862</f>
        <v>0</v>
      </c>
      <c r="E863" s="118">
        <f>+CUBICACION!F862</f>
        <v>0</v>
      </c>
      <c r="F863" s="118">
        <f>+CUBICACION!E862</f>
        <v>0</v>
      </c>
      <c r="G863" s="118">
        <v>12</v>
      </c>
      <c r="H863" s="118">
        <v>2</v>
      </c>
      <c r="I863" s="820">
        <v>26385</v>
      </c>
      <c r="J863" s="118">
        <f>+CUBICACION!J862</f>
        <v>0</v>
      </c>
      <c r="K863" s="118">
        <v>3642</v>
      </c>
      <c r="L863" s="118">
        <f>+CUBICACION!L862</f>
        <v>0</v>
      </c>
      <c r="M863" s="64">
        <f>+CUBICACION!M862</f>
        <v>0</v>
      </c>
      <c r="N863" s="824" t="str">
        <f>+CUBICACION!N862</f>
        <v/>
      </c>
      <c r="O863" s="675">
        <f>+CUBICACION!O862</f>
        <v>0</v>
      </c>
      <c r="P863" s="15">
        <f>IF(O863="Fire Control",VLOOKUP(_xlfn.MINIFS('FIRE CONTROL'!$C$4:$C$37,'FIRE CONTROL'!$C$4:$C$37,"&gt;="&amp;M863),'FIRE CONTROL'!$C$4:$G$37,IF(L863="F-15",2,IF(L863="F-30",3,IF(L863="F-60",4,IF(L863="F-90",5,0)))),0),0)+IF(AND(O863="FIRE TEX 5062",OR(E863="IN",E863="C",E863="Z",E863="L"),J863=3),VLOOKUP(_xlfn.MINIFS('FIRE TEX 5062'!$B$4:$B$34,'FIRE TEX 5062'!$B$4:$B$34,"&gt;="&amp;M863),'FIRE TEX 5062'!$B$4:$F$34,IF(L863="F-15",2,IF(L863="F-30",3,IF(L863="F-60",4,IF(L863="F-90",5,0)))),0),0)+IF(AND(O863="FIRE TEX 5062",OR(E863="IN",E863="C",E863="Z",E863="L"),J863=4),VLOOKUP(_xlfn.MINIFS('FIRE TEX 5062'!$G$4:$G$34,'FIRE TEX 5062'!$G$4:$G$34,"&gt;="&amp;M863),'FIRE TEX 5062'!$G$4:$K$34,IF(L863="F-15",2,IF(L863="F-30",3,IF(L863="F-60",4,IF(L863="F-90",5,0)))),0),0)+IF(AND(O863="FIRE TEX 5062",E863="CJ",J863=3),VLOOKUP(_xlfn.MINIFS('FIRE TEX 5062'!$L$4:$L$34,'FIRE TEX 5062'!$L$4:$L$34,"&gt;="&amp;M863),'FIRE TEX 5062'!$L$4:$P$34,IF(L863="F-15",2,IF(L863="F-30",3,IF(L863="F-60",4,IF(L863="F-90",5,0)))),0),0)+IF(AND(O863="FIRE TEX 5062",E863="CJ",J863=4),VLOOKUP(_xlfn.MINIFS('FIRE TEX 5062'!$Q$3:$Q$34,'FIRE TEX 5062'!$Q$3:$Q$34,"&gt;="&amp;M863),'FIRE TEX 5062'!$Q$3:$U$34,IF(L863="F-15",2,IF(L863="F-30",3,IF(L863="F-60",4,IF(L863="F-90",5,0)))),0),0)+IF(AND(O863="FIRE TEX 5090",OR(E863="IN",E863="C",E863="Z",E863="L"),J863=3),VLOOKUP(_xlfn.MINIFS('FIRE TEX 5090'!$B$5:$B$43,'FIRE TEX 5090'!$B$5:$B$43,"&gt;="&amp;M863),'FIRE TEX 5090'!$B$5:$H$43,IF(L863="F-15",2,IF(L863="F-30",3,IF(L863="F-60",4,IF(L863="F-90",5,IF(L863="F-120",6,IF(L863="F-150",7,0)))))),0),0)+IF(AND(O863="FIRE TEX 5090",OR(E863="IN",E863="C",E863="Z",E863="L"),J863=4),VLOOKUP(_xlfn.MINIFS('FIRE TEX 5090'!$J$5:$J$43,'FIRE TEX 5090'!$J$5:$J$43,"&gt;="&amp;M863),'FIRE TEX 5090'!$J$5:$P$43,IF(L863="F-15",2,IF(L863="F-30",3,IF(L863="F-60",4,IF(L863="F-90",5,IF(L863="F-120",6,IF(L863="F-150",7,0)))))),0),0)+IF(AND(O863="FIRE TEX 5090",E863="CJ",J863=3),VLOOKUP(_xlfn.MINIFS('FIRE TEX 5090'!$R$5:$R$30,'FIRE TEX 5090'!$R$5:$R$30,"&gt;="&amp;M863),'FIRE TEX 5090'!$R$5:$W$30,IF(L863="F-15",2,IF(L863="F-30",3,IF(L863="F-60",4,IF(L863="F-90",5,IF(L863="F-120",6,IF(L863="F-150",7,0)))))),0),0)+IF(AND(O863="FIRE TEX 5090",E863="CJ",J863=4),VLOOKUP(_xlfn.MINIFS('FIRE TEX 5090'!$Y$5:$Y$39,'FIRE TEX 5090'!$Y$5:$Y$39,"&gt;="&amp;M863),'FIRE TEX 5090'!$Y$5:$AD$39,IF(L863="F-15",2,IF(L863="F-30",3,IF(L863="F-60",4,IF(L863="F-90",5,IF(L863="F-120",6,IF(L863="F-150",7,0)))))),0),0)+IF(AND(O863="FIRE TEX 5120",OR(E863="IN",E863="C",E863="Z",E863="L"),J863=3),VLOOKUP(_xlfn.MINIFS('FIRE TEX 5120'!$B$5:$B$40,'FIRE TEX 5120'!$B$5:$B$40,"&gt;="&amp;M863),'FIRE TEX 5120'!$B$5:$G$40,IF(L863="F-15",2,IF(L863="F-30",3,IF(L863="F-60",4,IF(L863="F-90",5,IF(L863="F-120",6,0))))),0),0)+IF(AND(O863="FIRE TEX 5120",OR(E863="IN",E863="C",E863="Z",E863="L"),J863=4),VLOOKUP(_xlfn.MINIFS('FIRE TEX 5120'!$H$4:$H$40,'FIRE TEX 5120'!$H$4:$H$40,"&gt;="&amp;M863),'FIRE TEX 5120'!$H$4:$M$40,IF(L863="F-15",2,IF(L863="F-30",3,IF(L863="F-60",4,IF(L863="F-90",5,IF(L863="F-120",6,0))))),0),0)+IF(AND(O863="FIRE TEX 5120",E863="CJ"),VLOOKUP(_xlfn.MINIFS('FIRE TEX 5120'!$O$5:$O$40,'FIRE TEX 5120'!$O$5:$O$40,"&gt;="&amp;M863),'FIRE TEX 5120'!$O$5:$T$40,IF(L863="F-15",2,IF(L863="F-30",3,IF(L863="F-60",4,IF(L863="F-90",5,IF(L863="F-120",6,0))))),0),0)</f>
        <v>0</v>
      </c>
      <c r="Q863" s="46">
        <f t="shared" si="84"/>
        <v>0</v>
      </c>
      <c r="R863" s="46">
        <f t="shared" si="85"/>
        <v>0</v>
      </c>
      <c r="S863" s="46" t="e">
        <f t="shared" si="86"/>
        <v>#VALUE!</v>
      </c>
      <c r="T863" s="677">
        <f t="shared" si="87"/>
        <v>0</v>
      </c>
      <c r="U863" s="80">
        <f>(IF(O863="Stofire",(S863*#REF!),0))+(IF(O863="Fire Control",(S863*$U$2),0))+(IF(O863="Fire Tex",(S863*$U$3),0))+(IF(O863="WB7",(S863*#REF!),0)+(IF(O863="FX 2003",(S863*$U$5),0)))</f>
        <v>0</v>
      </c>
      <c r="V863" s="651">
        <f t="shared" si="88"/>
        <v>0</v>
      </c>
    </row>
    <row r="864" spans="4:22" x14ac:dyDescent="0.25">
      <c r="D864" s="118">
        <f>+CUBICACION!D863</f>
        <v>0</v>
      </c>
      <c r="E864" s="118">
        <f>+CUBICACION!F863</f>
        <v>0</v>
      </c>
      <c r="F864" s="118">
        <f>+CUBICACION!E863</f>
        <v>0</v>
      </c>
      <c r="G864" s="118">
        <v>12</v>
      </c>
      <c r="H864" s="118">
        <v>2</v>
      </c>
      <c r="I864" s="820">
        <v>26385</v>
      </c>
      <c r="J864" s="118">
        <f>+CUBICACION!J863</f>
        <v>0</v>
      </c>
      <c r="K864" s="118">
        <v>3643</v>
      </c>
      <c r="L864" s="118">
        <f>+CUBICACION!L863</f>
        <v>0</v>
      </c>
      <c r="M864" s="64">
        <f>+CUBICACION!M863</f>
        <v>0</v>
      </c>
      <c r="N864" s="824" t="str">
        <f>+CUBICACION!N863</f>
        <v/>
      </c>
      <c r="O864" s="675">
        <f>+CUBICACION!O863</f>
        <v>0</v>
      </c>
      <c r="P864" s="15">
        <f>IF(O864="Fire Control",VLOOKUP(_xlfn.MINIFS('FIRE CONTROL'!$C$4:$C$37,'FIRE CONTROL'!$C$4:$C$37,"&gt;="&amp;M864),'FIRE CONTROL'!$C$4:$G$37,IF(L864="F-15",2,IF(L864="F-30",3,IF(L864="F-60",4,IF(L864="F-90",5,0)))),0),0)+IF(AND(O864="FIRE TEX 5062",OR(E864="IN",E864="C",E864="Z",E864="L"),J864=3),VLOOKUP(_xlfn.MINIFS('FIRE TEX 5062'!$B$4:$B$34,'FIRE TEX 5062'!$B$4:$B$34,"&gt;="&amp;M864),'FIRE TEX 5062'!$B$4:$F$34,IF(L864="F-15",2,IF(L864="F-30",3,IF(L864="F-60",4,IF(L864="F-90",5,0)))),0),0)+IF(AND(O864="FIRE TEX 5062",OR(E864="IN",E864="C",E864="Z",E864="L"),J864=4),VLOOKUP(_xlfn.MINIFS('FIRE TEX 5062'!$G$4:$G$34,'FIRE TEX 5062'!$G$4:$G$34,"&gt;="&amp;M864),'FIRE TEX 5062'!$G$4:$K$34,IF(L864="F-15",2,IF(L864="F-30",3,IF(L864="F-60",4,IF(L864="F-90",5,0)))),0),0)+IF(AND(O864="FIRE TEX 5062",E864="CJ",J864=3),VLOOKUP(_xlfn.MINIFS('FIRE TEX 5062'!$L$4:$L$34,'FIRE TEX 5062'!$L$4:$L$34,"&gt;="&amp;M864),'FIRE TEX 5062'!$L$4:$P$34,IF(L864="F-15",2,IF(L864="F-30",3,IF(L864="F-60",4,IF(L864="F-90",5,0)))),0),0)+IF(AND(O864="FIRE TEX 5062",E864="CJ",J864=4),VLOOKUP(_xlfn.MINIFS('FIRE TEX 5062'!$Q$3:$Q$34,'FIRE TEX 5062'!$Q$3:$Q$34,"&gt;="&amp;M864),'FIRE TEX 5062'!$Q$3:$U$34,IF(L864="F-15",2,IF(L864="F-30",3,IF(L864="F-60",4,IF(L864="F-90",5,0)))),0),0)+IF(AND(O864="FIRE TEX 5090",OR(E864="IN",E864="C",E864="Z",E864="L"),J864=3),VLOOKUP(_xlfn.MINIFS('FIRE TEX 5090'!$B$5:$B$43,'FIRE TEX 5090'!$B$5:$B$43,"&gt;="&amp;M864),'FIRE TEX 5090'!$B$5:$H$43,IF(L864="F-15",2,IF(L864="F-30",3,IF(L864="F-60",4,IF(L864="F-90",5,IF(L864="F-120",6,IF(L864="F-150",7,0)))))),0),0)+IF(AND(O864="FIRE TEX 5090",OR(E864="IN",E864="C",E864="Z",E864="L"),J864=4),VLOOKUP(_xlfn.MINIFS('FIRE TEX 5090'!$J$5:$J$43,'FIRE TEX 5090'!$J$5:$J$43,"&gt;="&amp;M864),'FIRE TEX 5090'!$J$5:$P$43,IF(L864="F-15",2,IF(L864="F-30",3,IF(L864="F-60",4,IF(L864="F-90",5,IF(L864="F-120",6,IF(L864="F-150",7,0)))))),0),0)+IF(AND(O864="FIRE TEX 5090",E864="CJ",J864=3),VLOOKUP(_xlfn.MINIFS('FIRE TEX 5090'!$R$5:$R$30,'FIRE TEX 5090'!$R$5:$R$30,"&gt;="&amp;M864),'FIRE TEX 5090'!$R$5:$W$30,IF(L864="F-15",2,IF(L864="F-30",3,IF(L864="F-60",4,IF(L864="F-90",5,IF(L864="F-120",6,IF(L864="F-150",7,0)))))),0),0)+IF(AND(O864="FIRE TEX 5090",E864="CJ",J864=4),VLOOKUP(_xlfn.MINIFS('FIRE TEX 5090'!$Y$5:$Y$39,'FIRE TEX 5090'!$Y$5:$Y$39,"&gt;="&amp;M864),'FIRE TEX 5090'!$Y$5:$AD$39,IF(L864="F-15",2,IF(L864="F-30",3,IF(L864="F-60",4,IF(L864="F-90",5,IF(L864="F-120",6,IF(L864="F-150",7,0)))))),0),0)+IF(AND(O864="FIRE TEX 5120",OR(E864="IN",E864="C",E864="Z",E864="L"),J864=3),VLOOKUP(_xlfn.MINIFS('FIRE TEX 5120'!$B$5:$B$40,'FIRE TEX 5120'!$B$5:$B$40,"&gt;="&amp;M864),'FIRE TEX 5120'!$B$5:$G$40,IF(L864="F-15",2,IF(L864="F-30",3,IF(L864="F-60",4,IF(L864="F-90",5,IF(L864="F-120",6,0))))),0),0)+IF(AND(O864="FIRE TEX 5120",OR(E864="IN",E864="C",E864="Z",E864="L"),J864=4),VLOOKUP(_xlfn.MINIFS('FIRE TEX 5120'!$H$4:$H$40,'FIRE TEX 5120'!$H$4:$H$40,"&gt;="&amp;M864),'FIRE TEX 5120'!$H$4:$M$40,IF(L864="F-15",2,IF(L864="F-30",3,IF(L864="F-60",4,IF(L864="F-90",5,IF(L864="F-120",6,0))))),0),0)+IF(AND(O864="FIRE TEX 5120",E864="CJ"),VLOOKUP(_xlfn.MINIFS('FIRE TEX 5120'!$O$5:$O$40,'FIRE TEX 5120'!$O$5:$O$40,"&gt;="&amp;M864),'FIRE TEX 5120'!$O$5:$T$40,IF(L864="F-15",2,IF(L864="F-30",3,IF(L864="F-60",4,IF(L864="F-90",5,IF(L864="F-120",6,0))))),0),0)</f>
        <v>0</v>
      </c>
      <c r="Q864" s="46">
        <f t="shared" si="84"/>
        <v>0</v>
      </c>
      <c r="R864" s="46">
        <f t="shared" si="85"/>
        <v>0</v>
      </c>
      <c r="S864" s="46" t="e">
        <f t="shared" si="86"/>
        <v>#VALUE!</v>
      </c>
      <c r="T864" s="677">
        <f t="shared" si="87"/>
        <v>0</v>
      </c>
      <c r="U864" s="80">
        <f>(IF(O864="Stofire",(S864*#REF!),0))+(IF(O864="Fire Control",(S864*$U$2),0))+(IF(O864="Fire Tex",(S864*$U$3),0))+(IF(O864="WB7",(S864*#REF!),0)+(IF(O864="FX 2003",(S864*$U$5),0)))</f>
        <v>0</v>
      </c>
      <c r="V864" s="651">
        <f t="shared" si="88"/>
        <v>0</v>
      </c>
    </row>
    <row r="865" spans="4:22" x14ac:dyDescent="0.25">
      <c r="D865" s="118">
        <f>+CUBICACION!D864</f>
        <v>0</v>
      </c>
      <c r="E865" s="118">
        <f>+CUBICACION!F864</f>
        <v>0</v>
      </c>
      <c r="F865" s="118">
        <f>+CUBICACION!E864</f>
        <v>0</v>
      </c>
      <c r="G865" s="118">
        <v>12</v>
      </c>
      <c r="H865" s="118">
        <v>2</v>
      </c>
      <c r="I865" s="820">
        <v>26385</v>
      </c>
      <c r="J865" s="118">
        <f>+CUBICACION!J864</f>
        <v>0</v>
      </c>
      <c r="K865" s="118">
        <v>3644</v>
      </c>
      <c r="L865" s="118">
        <f>+CUBICACION!L864</f>
        <v>0</v>
      </c>
      <c r="M865" s="64">
        <f>+CUBICACION!M864</f>
        <v>0</v>
      </c>
      <c r="N865" s="824" t="str">
        <f>+CUBICACION!N864</f>
        <v/>
      </c>
      <c r="O865" s="675">
        <f>+CUBICACION!O864</f>
        <v>0</v>
      </c>
      <c r="P865" s="15">
        <f>IF(O865="Fire Control",VLOOKUP(_xlfn.MINIFS('FIRE CONTROL'!$C$4:$C$37,'FIRE CONTROL'!$C$4:$C$37,"&gt;="&amp;M865),'FIRE CONTROL'!$C$4:$G$37,IF(L865="F-15",2,IF(L865="F-30",3,IF(L865="F-60",4,IF(L865="F-90",5,0)))),0),0)+IF(AND(O865="FIRE TEX 5062",OR(E865="IN",E865="C",E865="Z",E865="L"),J865=3),VLOOKUP(_xlfn.MINIFS('FIRE TEX 5062'!$B$4:$B$34,'FIRE TEX 5062'!$B$4:$B$34,"&gt;="&amp;M865),'FIRE TEX 5062'!$B$4:$F$34,IF(L865="F-15",2,IF(L865="F-30",3,IF(L865="F-60",4,IF(L865="F-90",5,0)))),0),0)+IF(AND(O865="FIRE TEX 5062",OR(E865="IN",E865="C",E865="Z",E865="L"),J865=4),VLOOKUP(_xlfn.MINIFS('FIRE TEX 5062'!$G$4:$G$34,'FIRE TEX 5062'!$G$4:$G$34,"&gt;="&amp;M865),'FIRE TEX 5062'!$G$4:$K$34,IF(L865="F-15",2,IF(L865="F-30",3,IF(L865="F-60",4,IF(L865="F-90",5,0)))),0),0)+IF(AND(O865="FIRE TEX 5062",E865="CJ",J865=3),VLOOKUP(_xlfn.MINIFS('FIRE TEX 5062'!$L$4:$L$34,'FIRE TEX 5062'!$L$4:$L$34,"&gt;="&amp;M865),'FIRE TEX 5062'!$L$4:$P$34,IF(L865="F-15",2,IF(L865="F-30",3,IF(L865="F-60",4,IF(L865="F-90",5,0)))),0),0)+IF(AND(O865="FIRE TEX 5062",E865="CJ",J865=4),VLOOKUP(_xlfn.MINIFS('FIRE TEX 5062'!$Q$3:$Q$34,'FIRE TEX 5062'!$Q$3:$Q$34,"&gt;="&amp;M865),'FIRE TEX 5062'!$Q$3:$U$34,IF(L865="F-15",2,IF(L865="F-30",3,IF(L865="F-60",4,IF(L865="F-90",5,0)))),0),0)+IF(AND(O865="FIRE TEX 5090",OR(E865="IN",E865="C",E865="Z",E865="L"),J865=3),VLOOKUP(_xlfn.MINIFS('FIRE TEX 5090'!$B$5:$B$43,'FIRE TEX 5090'!$B$5:$B$43,"&gt;="&amp;M865),'FIRE TEX 5090'!$B$5:$H$43,IF(L865="F-15",2,IF(L865="F-30",3,IF(L865="F-60",4,IF(L865="F-90",5,IF(L865="F-120",6,IF(L865="F-150",7,0)))))),0),0)+IF(AND(O865="FIRE TEX 5090",OR(E865="IN",E865="C",E865="Z",E865="L"),J865=4),VLOOKUP(_xlfn.MINIFS('FIRE TEX 5090'!$J$5:$J$43,'FIRE TEX 5090'!$J$5:$J$43,"&gt;="&amp;M865),'FIRE TEX 5090'!$J$5:$P$43,IF(L865="F-15",2,IF(L865="F-30",3,IF(L865="F-60",4,IF(L865="F-90",5,IF(L865="F-120",6,IF(L865="F-150",7,0)))))),0),0)+IF(AND(O865="FIRE TEX 5090",E865="CJ",J865=3),VLOOKUP(_xlfn.MINIFS('FIRE TEX 5090'!$R$5:$R$30,'FIRE TEX 5090'!$R$5:$R$30,"&gt;="&amp;M865),'FIRE TEX 5090'!$R$5:$W$30,IF(L865="F-15",2,IF(L865="F-30",3,IF(L865="F-60",4,IF(L865="F-90",5,IF(L865="F-120",6,IF(L865="F-150",7,0)))))),0),0)+IF(AND(O865="FIRE TEX 5090",E865="CJ",J865=4),VLOOKUP(_xlfn.MINIFS('FIRE TEX 5090'!$Y$5:$Y$39,'FIRE TEX 5090'!$Y$5:$Y$39,"&gt;="&amp;M865),'FIRE TEX 5090'!$Y$5:$AD$39,IF(L865="F-15",2,IF(L865="F-30",3,IF(L865="F-60",4,IF(L865="F-90",5,IF(L865="F-120",6,IF(L865="F-150",7,0)))))),0),0)+IF(AND(O865="FIRE TEX 5120",OR(E865="IN",E865="C",E865="Z",E865="L"),J865=3),VLOOKUP(_xlfn.MINIFS('FIRE TEX 5120'!$B$5:$B$40,'FIRE TEX 5120'!$B$5:$B$40,"&gt;="&amp;M865),'FIRE TEX 5120'!$B$5:$G$40,IF(L865="F-15",2,IF(L865="F-30",3,IF(L865="F-60",4,IF(L865="F-90",5,IF(L865="F-120",6,0))))),0),0)+IF(AND(O865="FIRE TEX 5120",OR(E865="IN",E865="C",E865="Z",E865="L"),J865=4),VLOOKUP(_xlfn.MINIFS('FIRE TEX 5120'!$H$4:$H$40,'FIRE TEX 5120'!$H$4:$H$40,"&gt;="&amp;M865),'FIRE TEX 5120'!$H$4:$M$40,IF(L865="F-15",2,IF(L865="F-30",3,IF(L865="F-60",4,IF(L865="F-90",5,IF(L865="F-120",6,0))))),0),0)+IF(AND(O865="FIRE TEX 5120",E865="CJ"),VLOOKUP(_xlfn.MINIFS('FIRE TEX 5120'!$O$5:$O$40,'FIRE TEX 5120'!$O$5:$O$40,"&gt;="&amp;M865),'FIRE TEX 5120'!$O$5:$T$40,IF(L865="F-15",2,IF(L865="F-30",3,IF(L865="F-60",4,IF(L865="F-90",5,IF(L865="F-120",6,0))))),0),0)</f>
        <v>0</v>
      </c>
      <c r="Q865" s="46">
        <f t="shared" si="84"/>
        <v>0</v>
      </c>
      <c r="R865" s="46">
        <f t="shared" si="85"/>
        <v>0</v>
      </c>
      <c r="S865" s="46" t="e">
        <f t="shared" si="86"/>
        <v>#VALUE!</v>
      </c>
      <c r="T865" s="677">
        <f t="shared" si="87"/>
        <v>0</v>
      </c>
      <c r="U865" s="80">
        <f>(IF(O865="Stofire",(S865*#REF!),0))+(IF(O865="Fire Control",(S865*$U$2),0))+(IF(O865="Fire Tex",(S865*$U$3),0))+(IF(O865="WB7",(S865*#REF!),0)+(IF(O865="FX 2003",(S865*$U$5),0)))</f>
        <v>0</v>
      </c>
      <c r="V865" s="651">
        <f t="shared" si="88"/>
        <v>0</v>
      </c>
    </row>
    <row r="866" spans="4:22" x14ac:dyDescent="0.25">
      <c r="D866" s="118">
        <f>+CUBICACION!D865</f>
        <v>0</v>
      </c>
      <c r="E866" s="118">
        <f>+CUBICACION!F865</f>
        <v>0</v>
      </c>
      <c r="F866" s="118">
        <f>+CUBICACION!E865</f>
        <v>0</v>
      </c>
      <c r="G866" s="118">
        <v>12</v>
      </c>
      <c r="H866" s="118">
        <v>2</v>
      </c>
      <c r="I866" s="820">
        <v>26385</v>
      </c>
      <c r="J866" s="118">
        <f>+CUBICACION!J865</f>
        <v>0</v>
      </c>
      <c r="K866" s="118">
        <v>3645</v>
      </c>
      <c r="L866" s="118">
        <f>+CUBICACION!L865</f>
        <v>0</v>
      </c>
      <c r="M866" s="64">
        <f>+CUBICACION!M865</f>
        <v>0</v>
      </c>
      <c r="N866" s="824" t="str">
        <f>+CUBICACION!N865</f>
        <v/>
      </c>
      <c r="O866" s="675">
        <f>+CUBICACION!O865</f>
        <v>0</v>
      </c>
      <c r="P866" s="15">
        <f>IF(O866="Fire Control",VLOOKUP(_xlfn.MINIFS('FIRE CONTROL'!$C$4:$C$37,'FIRE CONTROL'!$C$4:$C$37,"&gt;="&amp;M866),'FIRE CONTROL'!$C$4:$G$37,IF(L866="F-15",2,IF(L866="F-30",3,IF(L866="F-60",4,IF(L866="F-90",5,0)))),0),0)+IF(AND(O866="FIRE TEX 5062",OR(E866="IN",E866="C",E866="Z",E866="L"),J866=3),VLOOKUP(_xlfn.MINIFS('FIRE TEX 5062'!$B$4:$B$34,'FIRE TEX 5062'!$B$4:$B$34,"&gt;="&amp;M866),'FIRE TEX 5062'!$B$4:$F$34,IF(L866="F-15",2,IF(L866="F-30",3,IF(L866="F-60",4,IF(L866="F-90",5,0)))),0),0)+IF(AND(O866="FIRE TEX 5062",OR(E866="IN",E866="C",E866="Z",E866="L"),J866=4),VLOOKUP(_xlfn.MINIFS('FIRE TEX 5062'!$G$4:$G$34,'FIRE TEX 5062'!$G$4:$G$34,"&gt;="&amp;M866),'FIRE TEX 5062'!$G$4:$K$34,IF(L866="F-15",2,IF(L866="F-30",3,IF(L866="F-60",4,IF(L866="F-90",5,0)))),0),0)+IF(AND(O866="FIRE TEX 5062",E866="CJ",J866=3),VLOOKUP(_xlfn.MINIFS('FIRE TEX 5062'!$L$4:$L$34,'FIRE TEX 5062'!$L$4:$L$34,"&gt;="&amp;M866),'FIRE TEX 5062'!$L$4:$P$34,IF(L866="F-15",2,IF(L866="F-30",3,IF(L866="F-60",4,IF(L866="F-90",5,0)))),0),0)+IF(AND(O866="FIRE TEX 5062",E866="CJ",J866=4),VLOOKUP(_xlfn.MINIFS('FIRE TEX 5062'!$Q$3:$Q$34,'FIRE TEX 5062'!$Q$3:$Q$34,"&gt;="&amp;M866),'FIRE TEX 5062'!$Q$3:$U$34,IF(L866="F-15",2,IF(L866="F-30",3,IF(L866="F-60",4,IF(L866="F-90",5,0)))),0),0)+IF(AND(O866="FIRE TEX 5090",OR(E866="IN",E866="C",E866="Z",E866="L"),J866=3),VLOOKUP(_xlfn.MINIFS('FIRE TEX 5090'!$B$5:$B$43,'FIRE TEX 5090'!$B$5:$B$43,"&gt;="&amp;M866),'FIRE TEX 5090'!$B$5:$H$43,IF(L866="F-15",2,IF(L866="F-30",3,IF(L866="F-60",4,IF(L866="F-90",5,IF(L866="F-120",6,IF(L866="F-150",7,0)))))),0),0)+IF(AND(O866="FIRE TEX 5090",OR(E866="IN",E866="C",E866="Z",E866="L"),J866=4),VLOOKUP(_xlfn.MINIFS('FIRE TEX 5090'!$J$5:$J$43,'FIRE TEX 5090'!$J$5:$J$43,"&gt;="&amp;M866),'FIRE TEX 5090'!$J$5:$P$43,IF(L866="F-15",2,IF(L866="F-30",3,IF(L866="F-60",4,IF(L866="F-90",5,IF(L866="F-120",6,IF(L866="F-150",7,0)))))),0),0)+IF(AND(O866="FIRE TEX 5090",E866="CJ",J866=3),VLOOKUP(_xlfn.MINIFS('FIRE TEX 5090'!$R$5:$R$30,'FIRE TEX 5090'!$R$5:$R$30,"&gt;="&amp;M866),'FIRE TEX 5090'!$R$5:$W$30,IF(L866="F-15",2,IF(L866="F-30",3,IF(L866="F-60",4,IF(L866="F-90",5,IF(L866="F-120",6,IF(L866="F-150",7,0)))))),0),0)+IF(AND(O866="FIRE TEX 5090",E866="CJ",J866=4),VLOOKUP(_xlfn.MINIFS('FIRE TEX 5090'!$Y$5:$Y$39,'FIRE TEX 5090'!$Y$5:$Y$39,"&gt;="&amp;M866),'FIRE TEX 5090'!$Y$5:$AD$39,IF(L866="F-15",2,IF(L866="F-30",3,IF(L866="F-60",4,IF(L866="F-90",5,IF(L866="F-120",6,IF(L866="F-150",7,0)))))),0),0)+IF(AND(O866="FIRE TEX 5120",OR(E866="IN",E866="C",E866="Z",E866="L"),J866=3),VLOOKUP(_xlfn.MINIFS('FIRE TEX 5120'!$B$5:$B$40,'FIRE TEX 5120'!$B$5:$B$40,"&gt;="&amp;M866),'FIRE TEX 5120'!$B$5:$G$40,IF(L866="F-15",2,IF(L866="F-30",3,IF(L866="F-60",4,IF(L866="F-90",5,IF(L866="F-120",6,0))))),0),0)+IF(AND(O866="FIRE TEX 5120",OR(E866="IN",E866="C",E866="Z",E866="L"),J866=4),VLOOKUP(_xlfn.MINIFS('FIRE TEX 5120'!$H$4:$H$40,'FIRE TEX 5120'!$H$4:$H$40,"&gt;="&amp;M866),'FIRE TEX 5120'!$H$4:$M$40,IF(L866="F-15",2,IF(L866="F-30",3,IF(L866="F-60",4,IF(L866="F-90",5,IF(L866="F-120",6,0))))),0),0)+IF(AND(O866="FIRE TEX 5120",E866="CJ"),VLOOKUP(_xlfn.MINIFS('FIRE TEX 5120'!$O$5:$O$40,'FIRE TEX 5120'!$O$5:$O$40,"&gt;="&amp;M866),'FIRE TEX 5120'!$O$5:$T$40,IF(L866="F-15",2,IF(L866="F-30",3,IF(L866="F-60",4,IF(L866="F-90",5,IF(L866="F-120",6,0))))),0),0)</f>
        <v>0</v>
      </c>
      <c r="Q866" s="46">
        <f t="shared" si="84"/>
        <v>0</v>
      </c>
      <c r="R866" s="46">
        <f t="shared" si="85"/>
        <v>0</v>
      </c>
      <c r="S866" s="46" t="e">
        <f t="shared" si="86"/>
        <v>#VALUE!</v>
      </c>
      <c r="T866" s="677">
        <f t="shared" si="87"/>
        <v>0</v>
      </c>
      <c r="U866" s="80">
        <f>(IF(O866="Stofire",(S866*#REF!),0))+(IF(O866="Fire Control",(S866*$U$2),0))+(IF(O866="Fire Tex",(S866*$U$3),0))+(IF(O866="WB7",(S866*#REF!),0)+(IF(O866="FX 2003",(S866*$U$5),0)))</f>
        <v>0</v>
      </c>
      <c r="V866" s="651">
        <f t="shared" si="88"/>
        <v>0</v>
      </c>
    </row>
    <row r="867" spans="4:22" x14ac:dyDescent="0.25">
      <c r="D867" s="118">
        <f>+CUBICACION!D866</f>
        <v>0</v>
      </c>
      <c r="E867" s="118">
        <f>+CUBICACION!F866</f>
        <v>0</v>
      </c>
      <c r="F867" s="118">
        <f>+CUBICACION!E866</f>
        <v>0</v>
      </c>
      <c r="G867" s="118">
        <v>12</v>
      </c>
      <c r="H867" s="118">
        <v>2</v>
      </c>
      <c r="I867" s="820">
        <v>26385</v>
      </c>
      <c r="J867" s="118">
        <f>+CUBICACION!J866</f>
        <v>0</v>
      </c>
      <c r="K867" s="118">
        <v>3646</v>
      </c>
      <c r="L867" s="118">
        <f>+CUBICACION!L866</f>
        <v>0</v>
      </c>
      <c r="M867" s="64">
        <f>+CUBICACION!M866</f>
        <v>0</v>
      </c>
      <c r="N867" s="824" t="str">
        <f>+CUBICACION!N866</f>
        <v/>
      </c>
      <c r="O867" s="675">
        <f>+CUBICACION!O866</f>
        <v>0</v>
      </c>
      <c r="P867" s="15">
        <f>IF(O867="Fire Control",VLOOKUP(_xlfn.MINIFS('FIRE CONTROL'!$C$4:$C$37,'FIRE CONTROL'!$C$4:$C$37,"&gt;="&amp;M867),'FIRE CONTROL'!$C$4:$G$37,IF(L867="F-15",2,IF(L867="F-30",3,IF(L867="F-60",4,IF(L867="F-90",5,0)))),0),0)+IF(AND(O867="FIRE TEX 5062",OR(E867="IN",E867="C",E867="Z",E867="L"),J867=3),VLOOKUP(_xlfn.MINIFS('FIRE TEX 5062'!$B$4:$B$34,'FIRE TEX 5062'!$B$4:$B$34,"&gt;="&amp;M867),'FIRE TEX 5062'!$B$4:$F$34,IF(L867="F-15",2,IF(L867="F-30",3,IF(L867="F-60",4,IF(L867="F-90",5,0)))),0),0)+IF(AND(O867="FIRE TEX 5062",OR(E867="IN",E867="C",E867="Z",E867="L"),J867=4),VLOOKUP(_xlfn.MINIFS('FIRE TEX 5062'!$G$4:$G$34,'FIRE TEX 5062'!$G$4:$G$34,"&gt;="&amp;M867),'FIRE TEX 5062'!$G$4:$K$34,IF(L867="F-15",2,IF(L867="F-30",3,IF(L867="F-60",4,IF(L867="F-90",5,0)))),0),0)+IF(AND(O867="FIRE TEX 5062",E867="CJ",J867=3),VLOOKUP(_xlfn.MINIFS('FIRE TEX 5062'!$L$4:$L$34,'FIRE TEX 5062'!$L$4:$L$34,"&gt;="&amp;M867),'FIRE TEX 5062'!$L$4:$P$34,IF(L867="F-15",2,IF(L867="F-30",3,IF(L867="F-60",4,IF(L867="F-90",5,0)))),0),0)+IF(AND(O867="FIRE TEX 5062",E867="CJ",J867=4),VLOOKUP(_xlfn.MINIFS('FIRE TEX 5062'!$Q$3:$Q$34,'FIRE TEX 5062'!$Q$3:$Q$34,"&gt;="&amp;M867),'FIRE TEX 5062'!$Q$3:$U$34,IF(L867="F-15",2,IF(L867="F-30",3,IF(L867="F-60",4,IF(L867="F-90",5,0)))),0),0)+IF(AND(O867="FIRE TEX 5090",OR(E867="IN",E867="C",E867="Z",E867="L"),J867=3),VLOOKUP(_xlfn.MINIFS('FIRE TEX 5090'!$B$5:$B$43,'FIRE TEX 5090'!$B$5:$B$43,"&gt;="&amp;M867),'FIRE TEX 5090'!$B$5:$H$43,IF(L867="F-15",2,IF(L867="F-30",3,IF(L867="F-60",4,IF(L867="F-90",5,IF(L867="F-120",6,IF(L867="F-150",7,0)))))),0),0)+IF(AND(O867="FIRE TEX 5090",OR(E867="IN",E867="C",E867="Z",E867="L"),J867=4),VLOOKUP(_xlfn.MINIFS('FIRE TEX 5090'!$J$5:$J$43,'FIRE TEX 5090'!$J$5:$J$43,"&gt;="&amp;M867),'FIRE TEX 5090'!$J$5:$P$43,IF(L867="F-15",2,IF(L867="F-30",3,IF(L867="F-60",4,IF(L867="F-90",5,IF(L867="F-120",6,IF(L867="F-150",7,0)))))),0),0)+IF(AND(O867="FIRE TEX 5090",E867="CJ",J867=3),VLOOKUP(_xlfn.MINIFS('FIRE TEX 5090'!$R$5:$R$30,'FIRE TEX 5090'!$R$5:$R$30,"&gt;="&amp;M867),'FIRE TEX 5090'!$R$5:$W$30,IF(L867="F-15",2,IF(L867="F-30",3,IF(L867="F-60",4,IF(L867="F-90",5,IF(L867="F-120",6,IF(L867="F-150",7,0)))))),0),0)+IF(AND(O867="FIRE TEX 5090",E867="CJ",J867=4),VLOOKUP(_xlfn.MINIFS('FIRE TEX 5090'!$Y$5:$Y$39,'FIRE TEX 5090'!$Y$5:$Y$39,"&gt;="&amp;M867),'FIRE TEX 5090'!$Y$5:$AD$39,IF(L867="F-15",2,IF(L867="F-30",3,IF(L867="F-60",4,IF(L867="F-90",5,IF(L867="F-120",6,IF(L867="F-150",7,0)))))),0),0)+IF(AND(O867="FIRE TEX 5120",OR(E867="IN",E867="C",E867="Z",E867="L"),J867=3),VLOOKUP(_xlfn.MINIFS('FIRE TEX 5120'!$B$5:$B$40,'FIRE TEX 5120'!$B$5:$B$40,"&gt;="&amp;M867),'FIRE TEX 5120'!$B$5:$G$40,IF(L867="F-15",2,IF(L867="F-30",3,IF(L867="F-60",4,IF(L867="F-90",5,IF(L867="F-120",6,0))))),0),0)+IF(AND(O867="FIRE TEX 5120",OR(E867="IN",E867="C",E867="Z",E867="L"),J867=4),VLOOKUP(_xlfn.MINIFS('FIRE TEX 5120'!$H$4:$H$40,'FIRE TEX 5120'!$H$4:$H$40,"&gt;="&amp;M867),'FIRE TEX 5120'!$H$4:$M$40,IF(L867="F-15",2,IF(L867="F-30",3,IF(L867="F-60",4,IF(L867="F-90",5,IF(L867="F-120",6,0))))),0),0)+IF(AND(O867="FIRE TEX 5120",E867="CJ"),VLOOKUP(_xlfn.MINIFS('FIRE TEX 5120'!$O$5:$O$40,'FIRE TEX 5120'!$O$5:$O$40,"&gt;="&amp;M867),'FIRE TEX 5120'!$O$5:$T$40,IF(L867="F-15",2,IF(L867="F-30",3,IF(L867="F-60",4,IF(L867="F-90",5,IF(L867="F-120",6,0))))),0),0)</f>
        <v>0</v>
      </c>
      <c r="Q867" s="46">
        <f t="shared" si="84"/>
        <v>0</v>
      </c>
      <c r="R867" s="46">
        <f t="shared" si="85"/>
        <v>0</v>
      </c>
      <c r="S867" s="46" t="e">
        <f t="shared" si="86"/>
        <v>#VALUE!</v>
      </c>
      <c r="T867" s="677">
        <f t="shared" si="87"/>
        <v>0</v>
      </c>
      <c r="U867" s="80">
        <f>(IF(O867="Stofire",(S867*#REF!),0))+(IF(O867="Fire Control",(S867*$U$2),0))+(IF(O867="Fire Tex",(S867*$U$3),0))+(IF(O867="WB7",(S867*#REF!),0)+(IF(O867="FX 2003",(S867*$U$5),0)))</f>
        <v>0</v>
      </c>
      <c r="V867" s="651">
        <f t="shared" si="88"/>
        <v>0</v>
      </c>
    </row>
    <row r="868" spans="4:22" x14ac:dyDescent="0.25">
      <c r="D868" s="118">
        <f>+CUBICACION!D867</f>
        <v>0</v>
      </c>
      <c r="E868" s="118">
        <f>+CUBICACION!F867</f>
        <v>0</v>
      </c>
      <c r="F868" s="118">
        <f>+CUBICACION!E867</f>
        <v>0</v>
      </c>
      <c r="G868" s="118">
        <v>12</v>
      </c>
      <c r="H868" s="118">
        <v>2</v>
      </c>
      <c r="I868" s="820">
        <v>26385</v>
      </c>
      <c r="J868" s="118">
        <f>+CUBICACION!J867</f>
        <v>0</v>
      </c>
      <c r="K868" s="118">
        <v>3647</v>
      </c>
      <c r="L868" s="118">
        <f>+CUBICACION!L867</f>
        <v>0</v>
      </c>
      <c r="M868" s="64">
        <f>+CUBICACION!M867</f>
        <v>0</v>
      </c>
      <c r="N868" s="824" t="str">
        <f>+CUBICACION!N867</f>
        <v/>
      </c>
      <c r="O868" s="675">
        <f>+CUBICACION!O867</f>
        <v>0</v>
      </c>
      <c r="P868" s="15">
        <f>IF(O868="Fire Control",VLOOKUP(_xlfn.MINIFS('FIRE CONTROL'!$C$4:$C$37,'FIRE CONTROL'!$C$4:$C$37,"&gt;="&amp;M868),'FIRE CONTROL'!$C$4:$G$37,IF(L868="F-15",2,IF(L868="F-30",3,IF(L868="F-60",4,IF(L868="F-90",5,0)))),0),0)+IF(AND(O868="FIRE TEX 5062",OR(E868="IN",E868="C",E868="Z",E868="L"),J868=3),VLOOKUP(_xlfn.MINIFS('FIRE TEX 5062'!$B$4:$B$34,'FIRE TEX 5062'!$B$4:$B$34,"&gt;="&amp;M868),'FIRE TEX 5062'!$B$4:$F$34,IF(L868="F-15",2,IF(L868="F-30",3,IF(L868="F-60",4,IF(L868="F-90",5,0)))),0),0)+IF(AND(O868="FIRE TEX 5062",OR(E868="IN",E868="C",E868="Z",E868="L"),J868=4),VLOOKUP(_xlfn.MINIFS('FIRE TEX 5062'!$G$4:$G$34,'FIRE TEX 5062'!$G$4:$G$34,"&gt;="&amp;M868),'FIRE TEX 5062'!$G$4:$K$34,IF(L868="F-15",2,IF(L868="F-30",3,IF(L868="F-60",4,IF(L868="F-90",5,0)))),0),0)+IF(AND(O868="FIRE TEX 5062",E868="CJ",J868=3),VLOOKUP(_xlfn.MINIFS('FIRE TEX 5062'!$L$4:$L$34,'FIRE TEX 5062'!$L$4:$L$34,"&gt;="&amp;M868),'FIRE TEX 5062'!$L$4:$P$34,IF(L868="F-15",2,IF(L868="F-30",3,IF(L868="F-60",4,IF(L868="F-90",5,0)))),0),0)+IF(AND(O868="FIRE TEX 5062",E868="CJ",J868=4),VLOOKUP(_xlfn.MINIFS('FIRE TEX 5062'!$Q$3:$Q$34,'FIRE TEX 5062'!$Q$3:$Q$34,"&gt;="&amp;M868),'FIRE TEX 5062'!$Q$3:$U$34,IF(L868="F-15",2,IF(L868="F-30",3,IF(L868="F-60",4,IF(L868="F-90",5,0)))),0),0)+IF(AND(O868="FIRE TEX 5090",OR(E868="IN",E868="C",E868="Z",E868="L"),J868=3),VLOOKUP(_xlfn.MINIFS('FIRE TEX 5090'!$B$5:$B$43,'FIRE TEX 5090'!$B$5:$B$43,"&gt;="&amp;M868),'FIRE TEX 5090'!$B$5:$H$43,IF(L868="F-15",2,IF(L868="F-30",3,IF(L868="F-60",4,IF(L868="F-90",5,IF(L868="F-120",6,IF(L868="F-150",7,0)))))),0),0)+IF(AND(O868="FIRE TEX 5090",OR(E868="IN",E868="C",E868="Z",E868="L"),J868=4),VLOOKUP(_xlfn.MINIFS('FIRE TEX 5090'!$J$5:$J$43,'FIRE TEX 5090'!$J$5:$J$43,"&gt;="&amp;M868),'FIRE TEX 5090'!$J$5:$P$43,IF(L868="F-15",2,IF(L868="F-30",3,IF(L868="F-60",4,IF(L868="F-90",5,IF(L868="F-120",6,IF(L868="F-150",7,0)))))),0),0)+IF(AND(O868="FIRE TEX 5090",E868="CJ",J868=3),VLOOKUP(_xlfn.MINIFS('FIRE TEX 5090'!$R$5:$R$30,'FIRE TEX 5090'!$R$5:$R$30,"&gt;="&amp;M868),'FIRE TEX 5090'!$R$5:$W$30,IF(L868="F-15",2,IF(L868="F-30",3,IF(L868="F-60",4,IF(L868="F-90",5,IF(L868="F-120",6,IF(L868="F-150",7,0)))))),0),0)+IF(AND(O868="FIRE TEX 5090",E868="CJ",J868=4),VLOOKUP(_xlfn.MINIFS('FIRE TEX 5090'!$Y$5:$Y$39,'FIRE TEX 5090'!$Y$5:$Y$39,"&gt;="&amp;M868),'FIRE TEX 5090'!$Y$5:$AD$39,IF(L868="F-15",2,IF(L868="F-30",3,IF(L868="F-60",4,IF(L868="F-90",5,IF(L868="F-120",6,IF(L868="F-150",7,0)))))),0),0)+IF(AND(O868="FIRE TEX 5120",OR(E868="IN",E868="C",E868="Z",E868="L"),J868=3),VLOOKUP(_xlfn.MINIFS('FIRE TEX 5120'!$B$5:$B$40,'FIRE TEX 5120'!$B$5:$B$40,"&gt;="&amp;M868),'FIRE TEX 5120'!$B$5:$G$40,IF(L868="F-15",2,IF(L868="F-30",3,IF(L868="F-60",4,IF(L868="F-90",5,IF(L868="F-120",6,0))))),0),0)+IF(AND(O868="FIRE TEX 5120",OR(E868="IN",E868="C",E868="Z",E868="L"),J868=4),VLOOKUP(_xlfn.MINIFS('FIRE TEX 5120'!$H$4:$H$40,'FIRE TEX 5120'!$H$4:$H$40,"&gt;="&amp;M868),'FIRE TEX 5120'!$H$4:$M$40,IF(L868="F-15",2,IF(L868="F-30",3,IF(L868="F-60",4,IF(L868="F-90",5,IF(L868="F-120",6,0))))),0),0)+IF(AND(O868="FIRE TEX 5120",E868="CJ"),VLOOKUP(_xlfn.MINIFS('FIRE TEX 5120'!$O$5:$O$40,'FIRE TEX 5120'!$O$5:$O$40,"&gt;="&amp;M868),'FIRE TEX 5120'!$O$5:$T$40,IF(L868="F-15",2,IF(L868="F-30",3,IF(L868="F-60",4,IF(L868="F-90",5,IF(L868="F-120",6,0))))),0),0)</f>
        <v>0</v>
      </c>
      <c r="Q868" s="46">
        <f t="shared" si="84"/>
        <v>0</v>
      </c>
      <c r="R868" s="46">
        <f t="shared" si="85"/>
        <v>0</v>
      </c>
      <c r="S868" s="46" t="e">
        <f t="shared" si="86"/>
        <v>#VALUE!</v>
      </c>
      <c r="T868" s="677">
        <f t="shared" si="87"/>
        <v>0</v>
      </c>
      <c r="U868" s="80">
        <f>(IF(O868="Stofire",(S868*#REF!),0))+(IF(O868="Fire Control",(S868*$U$2),0))+(IF(O868="Fire Tex",(S868*$U$3),0))+(IF(O868="WB7",(S868*#REF!),0)+(IF(O868="FX 2003",(S868*$U$5),0)))</f>
        <v>0</v>
      </c>
      <c r="V868" s="651">
        <f t="shared" si="88"/>
        <v>0</v>
      </c>
    </row>
    <row r="869" spans="4:22" x14ac:dyDescent="0.25">
      <c r="D869" s="118">
        <f>+CUBICACION!D868</f>
        <v>0</v>
      </c>
      <c r="E869" s="118">
        <f>+CUBICACION!F868</f>
        <v>0</v>
      </c>
      <c r="F869" s="118">
        <f>+CUBICACION!E868</f>
        <v>0</v>
      </c>
      <c r="G869" s="118">
        <v>12</v>
      </c>
      <c r="H869" s="118">
        <v>2</v>
      </c>
      <c r="I869" s="820">
        <v>26385</v>
      </c>
      <c r="J869" s="118">
        <f>+CUBICACION!J868</f>
        <v>0</v>
      </c>
      <c r="K869" s="118">
        <v>3648</v>
      </c>
      <c r="L869" s="118">
        <f>+CUBICACION!L868</f>
        <v>0</v>
      </c>
      <c r="M869" s="64">
        <f>+CUBICACION!M868</f>
        <v>0</v>
      </c>
      <c r="N869" s="824" t="str">
        <f>+CUBICACION!N868</f>
        <v/>
      </c>
      <c r="O869" s="675">
        <f>+CUBICACION!O868</f>
        <v>0</v>
      </c>
      <c r="P869" s="15">
        <f>IF(O869="Fire Control",VLOOKUP(_xlfn.MINIFS('FIRE CONTROL'!$C$4:$C$37,'FIRE CONTROL'!$C$4:$C$37,"&gt;="&amp;M869),'FIRE CONTROL'!$C$4:$G$37,IF(L869="F-15",2,IF(L869="F-30",3,IF(L869="F-60",4,IF(L869="F-90",5,0)))),0),0)+IF(AND(O869="FIRE TEX 5062",OR(E869="IN",E869="C",E869="Z",E869="L"),J869=3),VLOOKUP(_xlfn.MINIFS('FIRE TEX 5062'!$B$4:$B$34,'FIRE TEX 5062'!$B$4:$B$34,"&gt;="&amp;M869),'FIRE TEX 5062'!$B$4:$F$34,IF(L869="F-15",2,IF(L869="F-30",3,IF(L869="F-60",4,IF(L869="F-90",5,0)))),0),0)+IF(AND(O869="FIRE TEX 5062",OR(E869="IN",E869="C",E869="Z",E869="L"),J869=4),VLOOKUP(_xlfn.MINIFS('FIRE TEX 5062'!$G$4:$G$34,'FIRE TEX 5062'!$G$4:$G$34,"&gt;="&amp;M869),'FIRE TEX 5062'!$G$4:$K$34,IF(L869="F-15",2,IF(L869="F-30",3,IF(L869="F-60",4,IF(L869="F-90",5,0)))),0),0)+IF(AND(O869="FIRE TEX 5062",E869="CJ",J869=3),VLOOKUP(_xlfn.MINIFS('FIRE TEX 5062'!$L$4:$L$34,'FIRE TEX 5062'!$L$4:$L$34,"&gt;="&amp;M869),'FIRE TEX 5062'!$L$4:$P$34,IF(L869="F-15",2,IF(L869="F-30",3,IF(L869="F-60",4,IF(L869="F-90",5,0)))),0),0)+IF(AND(O869="FIRE TEX 5062",E869="CJ",J869=4),VLOOKUP(_xlfn.MINIFS('FIRE TEX 5062'!$Q$3:$Q$34,'FIRE TEX 5062'!$Q$3:$Q$34,"&gt;="&amp;M869),'FIRE TEX 5062'!$Q$3:$U$34,IF(L869="F-15",2,IF(L869="F-30",3,IF(L869="F-60",4,IF(L869="F-90",5,0)))),0),0)+IF(AND(O869="FIRE TEX 5090",OR(E869="IN",E869="C",E869="Z",E869="L"),J869=3),VLOOKUP(_xlfn.MINIFS('FIRE TEX 5090'!$B$5:$B$43,'FIRE TEX 5090'!$B$5:$B$43,"&gt;="&amp;M869),'FIRE TEX 5090'!$B$5:$H$43,IF(L869="F-15",2,IF(L869="F-30",3,IF(L869="F-60",4,IF(L869="F-90",5,IF(L869="F-120",6,IF(L869="F-150",7,0)))))),0),0)+IF(AND(O869="FIRE TEX 5090",OR(E869="IN",E869="C",E869="Z",E869="L"),J869=4),VLOOKUP(_xlfn.MINIFS('FIRE TEX 5090'!$J$5:$J$43,'FIRE TEX 5090'!$J$5:$J$43,"&gt;="&amp;M869),'FIRE TEX 5090'!$J$5:$P$43,IF(L869="F-15",2,IF(L869="F-30",3,IF(L869="F-60",4,IF(L869="F-90",5,IF(L869="F-120",6,IF(L869="F-150",7,0)))))),0),0)+IF(AND(O869="FIRE TEX 5090",E869="CJ",J869=3),VLOOKUP(_xlfn.MINIFS('FIRE TEX 5090'!$R$5:$R$30,'FIRE TEX 5090'!$R$5:$R$30,"&gt;="&amp;M869),'FIRE TEX 5090'!$R$5:$W$30,IF(L869="F-15",2,IF(L869="F-30",3,IF(L869="F-60",4,IF(L869="F-90",5,IF(L869="F-120",6,IF(L869="F-150",7,0)))))),0),0)+IF(AND(O869="FIRE TEX 5090",E869="CJ",J869=4),VLOOKUP(_xlfn.MINIFS('FIRE TEX 5090'!$Y$5:$Y$39,'FIRE TEX 5090'!$Y$5:$Y$39,"&gt;="&amp;M869),'FIRE TEX 5090'!$Y$5:$AD$39,IF(L869="F-15",2,IF(L869="F-30",3,IF(L869="F-60",4,IF(L869="F-90",5,IF(L869="F-120",6,IF(L869="F-150",7,0)))))),0),0)+IF(AND(O869="FIRE TEX 5120",OR(E869="IN",E869="C",E869="Z",E869="L"),J869=3),VLOOKUP(_xlfn.MINIFS('FIRE TEX 5120'!$B$5:$B$40,'FIRE TEX 5120'!$B$5:$B$40,"&gt;="&amp;M869),'FIRE TEX 5120'!$B$5:$G$40,IF(L869="F-15",2,IF(L869="F-30",3,IF(L869="F-60",4,IF(L869="F-90",5,IF(L869="F-120",6,0))))),0),0)+IF(AND(O869="FIRE TEX 5120",OR(E869="IN",E869="C",E869="Z",E869="L"),J869=4),VLOOKUP(_xlfn.MINIFS('FIRE TEX 5120'!$H$4:$H$40,'FIRE TEX 5120'!$H$4:$H$40,"&gt;="&amp;M869),'FIRE TEX 5120'!$H$4:$M$40,IF(L869="F-15",2,IF(L869="F-30",3,IF(L869="F-60",4,IF(L869="F-90",5,IF(L869="F-120",6,0))))),0),0)+IF(AND(O869="FIRE TEX 5120",E869="CJ"),VLOOKUP(_xlfn.MINIFS('FIRE TEX 5120'!$O$5:$O$40,'FIRE TEX 5120'!$O$5:$O$40,"&gt;="&amp;M869),'FIRE TEX 5120'!$O$5:$T$40,IF(L869="F-15",2,IF(L869="F-30",3,IF(L869="F-60",4,IF(L869="F-90",5,IF(L869="F-120",6,0))))),0),0)</f>
        <v>0</v>
      </c>
      <c r="Q869" s="46">
        <f t="shared" si="84"/>
        <v>0</v>
      </c>
      <c r="R869" s="46">
        <f t="shared" si="85"/>
        <v>0</v>
      </c>
      <c r="S869" s="46" t="e">
        <f t="shared" si="86"/>
        <v>#VALUE!</v>
      </c>
      <c r="T869" s="677">
        <f t="shared" si="87"/>
        <v>0</v>
      </c>
      <c r="U869" s="80">
        <f>(IF(O869="Stofire",(S869*#REF!),0))+(IF(O869="Fire Control",(S869*$U$2),0))+(IF(O869="Fire Tex",(S869*$U$3),0))+(IF(O869="WB7",(S869*#REF!),0)+(IF(O869="FX 2003",(S869*$U$5),0)))</f>
        <v>0</v>
      </c>
      <c r="V869" s="651">
        <f t="shared" si="88"/>
        <v>0</v>
      </c>
    </row>
    <row r="870" spans="4:22" x14ac:dyDescent="0.25">
      <c r="D870" s="118">
        <f>+CUBICACION!D869</f>
        <v>0</v>
      </c>
      <c r="E870" s="118">
        <f>+CUBICACION!F869</f>
        <v>0</v>
      </c>
      <c r="F870" s="118">
        <f>+CUBICACION!E869</f>
        <v>0</v>
      </c>
      <c r="G870" s="118">
        <v>12</v>
      </c>
      <c r="H870" s="118">
        <v>2</v>
      </c>
      <c r="I870" s="820">
        <v>26385</v>
      </c>
      <c r="J870" s="118">
        <f>+CUBICACION!J869</f>
        <v>0</v>
      </c>
      <c r="K870" s="118">
        <v>3649</v>
      </c>
      <c r="L870" s="118">
        <f>+CUBICACION!L869</f>
        <v>0</v>
      </c>
      <c r="M870" s="64">
        <f>+CUBICACION!M869</f>
        <v>0</v>
      </c>
      <c r="N870" s="824" t="str">
        <f>+CUBICACION!N869</f>
        <v/>
      </c>
      <c r="O870" s="675">
        <f>+CUBICACION!O869</f>
        <v>0</v>
      </c>
      <c r="P870" s="15">
        <f>IF(O870="Fire Control",VLOOKUP(_xlfn.MINIFS('FIRE CONTROL'!$C$4:$C$37,'FIRE CONTROL'!$C$4:$C$37,"&gt;="&amp;M870),'FIRE CONTROL'!$C$4:$G$37,IF(L870="F-15",2,IF(L870="F-30",3,IF(L870="F-60",4,IF(L870="F-90",5,0)))),0),0)+IF(AND(O870="FIRE TEX 5062",OR(E870="IN",E870="C",E870="Z",E870="L"),J870=3),VLOOKUP(_xlfn.MINIFS('FIRE TEX 5062'!$B$4:$B$34,'FIRE TEX 5062'!$B$4:$B$34,"&gt;="&amp;M870),'FIRE TEX 5062'!$B$4:$F$34,IF(L870="F-15",2,IF(L870="F-30",3,IF(L870="F-60",4,IF(L870="F-90",5,0)))),0),0)+IF(AND(O870="FIRE TEX 5062",OR(E870="IN",E870="C",E870="Z",E870="L"),J870=4),VLOOKUP(_xlfn.MINIFS('FIRE TEX 5062'!$G$4:$G$34,'FIRE TEX 5062'!$G$4:$G$34,"&gt;="&amp;M870),'FIRE TEX 5062'!$G$4:$K$34,IF(L870="F-15",2,IF(L870="F-30",3,IF(L870="F-60",4,IF(L870="F-90",5,0)))),0),0)+IF(AND(O870="FIRE TEX 5062",E870="CJ",J870=3),VLOOKUP(_xlfn.MINIFS('FIRE TEX 5062'!$L$4:$L$34,'FIRE TEX 5062'!$L$4:$L$34,"&gt;="&amp;M870),'FIRE TEX 5062'!$L$4:$P$34,IF(L870="F-15",2,IF(L870="F-30",3,IF(L870="F-60",4,IF(L870="F-90",5,0)))),0),0)+IF(AND(O870="FIRE TEX 5062",E870="CJ",J870=4),VLOOKUP(_xlfn.MINIFS('FIRE TEX 5062'!$Q$3:$Q$34,'FIRE TEX 5062'!$Q$3:$Q$34,"&gt;="&amp;M870),'FIRE TEX 5062'!$Q$3:$U$34,IF(L870="F-15",2,IF(L870="F-30",3,IF(L870="F-60",4,IF(L870="F-90",5,0)))),0),0)+IF(AND(O870="FIRE TEX 5090",OR(E870="IN",E870="C",E870="Z",E870="L"),J870=3),VLOOKUP(_xlfn.MINIFS('FIRE TEX 5090'!$B$5:$B$43,'FIRE TEX 5090'!$B$5:$B$43,"&gt;="&amp;M870),'FIRE TEX 5090'!$B$5:$H$43,IF(L870="F-15",2,IF(L870="F-30",3,IF(L870="F-60",4,IF(L870="F-90",5,IF(L870="F-120",6,IF(L870="F-150",7,0)))))),0),0)+IF(AND(O870="FIRE TEX 5090",OR(E870="IN",E870="C",E870="Z",E870="L"),J870=4),VLOOKUP(_xlfn.MINIFS('FIRE TEX 5090'!$J$5:$J$43,'FIRE TEX 5090'!$J$5:$J$43,"&gt;="&amp;M870),'FIRE TEX 5090'!$J$5:$P$43,IF(L870="F-15",2,IF(L870="F-30",3,IF(L870="F-60",4,IF(L870="F-90",5,IF(L870="F-120",6,IF(L870="F-150",7,0)))))),0),0)+IF(AND(O870="FIRE TEX 5090",E870="CJ",J870=3),VLOOKUP(_xlfn.MINIFS('FIRE TEX 5090'!$R$5:$R$30,'FIRE TEX 5090'!$R$5:$R$30,"&gt;="&amp;M870),'FIRE TEX 5090'!$R$5:$W$30,IF(L870="F-15",2,IF(L870="F-30",3,IF(L870="F-60",4,IF(L870="F-90",5,IF(L870="F-120",6,IF(L870="F-150",7,0)))))),0),0)+IF(AND(O870="FIRE TEX 5090",E870="CJ",J870=4),VLOOKUP(_xlfn.MINIFS('FIRE TEX 5090'!$Y$5:$Y$39,'FIRE TEX 5090'!$Y$5:$Y$39,"&gt;="&amp;M870),'FIRE TEX 5090'!$Y$5:$AD$39,IF(L870="F-15",2,IF(L870="F-30",3,IF(L870="F-60",4,IF(L870="F-90",5,IF(L870="F-120",6,IF(L870="F-150",7,0)))))),0),0)+IF(AND(O870="FIRE TEX 5120",OR(E870="IN",E870="C",E870="Z",E870="L"),J870=3),VLOOKUP(_xlfn.MINIFS('FIRE TEX 5120'!$B$5:$B$40,'FIRE TEX 5120'!$B$5:$B$40,"&gt;="&amp;M870),'FIRE TEX 5120'!$B$5:$G$40,IF(L870="F-15",2,IF(L870="F-30",3,IF(L870="F-60",4,IF(L870="F-90",5,IF(L870="F-120",6,0))))),0),0)+IF(AND(O870="FIRE TEX 5120",OR(E870="IN",E870="C",E870="Z",E870="L"),J870=4),VLOOKUP(_xlfn.MINIFS('FIRE TEX 5120'!$H$4:$H$40,'FIRE TEX 5120'!$H$4:$H$40,"&gt;="&amp;M870),'FIRE TEX 5120'!$H$4:$M$40,IF(L870="F-15",2,IF(L870="F-30",3,IF(L870="F-60",4,IF(L870="F-90",5,IF(L870="F-120",6,0))))),0),0)+IF(AND(O870="FIRE TEX 5120",E870="CJ"),VLOOKUP(_xlfn.MINIFS('FIRE TEX 5120'!$O$5:$O$40,'FIRE TEX 5120'!$O$5:$O$40,"&gt;="&amp;M870),'FIRE TEX 5120'!$O$5:$T$40,IF(L870="F-15",2,IF(L870="F-30",3,IF(L870="F-60",4,IF(L870="F-90",5,IF(L870="F-120",6,0))))),0),0)</f>
        <v>0</v>
      </c>
      <c r="Q870" s="46">
        <f t="shared" si="84"/>
        <v>0</v>
      </c>
      <c r="R870" s="46">
        <f t="shared" si="85"/>
        <v>0</v>
      </c>
      <c r="S870" s="46" t="e">
        <f t="shared" si="86"/>
        <v>#VALUE!</v>
      </c>
      <c r="T870" s="677">
        <f t="shared" si="87"/>
        <v>0</v>
      </c>
      <c r="U870" s="80">
        <f>(IF(O870="Stofire",(S870*#REF!),0))+(IF(O870="Fire Control",(S870*$U$2),0))+(IF(O870="Fire Tex",(S870*$U$3),0))+(IF(O870="WB7",(S870*#REF!),0)+(IF(O870="FX 2003",(S870*$U$5),0)))</f>
        <v>0</v>
      </c>
      <c r="V870" s="651">
        <f t="shared" si="88"/>
        <v>0</v>
      </c>
    </row>
    <row r="871" spans="4:22" x14ac:dyDescent="0.25">
      <c r="D871" s="118">
        <f>+CUBICACION!D870</f>
        <v>0</v>
      </c>
      <c r="E871" s="118">
        <f>+CUBICACION!F870</f>
        <v>0</v>
      </c>
      <c r="F871" s="118">
        <f>+CUBICACION!E870</f>
        <v>0</v>
      </c>
      <c r="G871" s="118">
        <v>12</v>
      </c>
      <c r="H871" s="118">
        <v>2</v>
      </c>
      <c r="I871" s="820">
        <v>26385</v>
      </c>
      <c r="J871" s="118">
        <f>+CUBICACION!J870</f>
        <v>0</v>
      </c>
      <c r="K871" s="118">
        <v>3650</v>
      </c>
      <c r="L871" s="118">
        <f>+CUBICACION!L870</f>
        <v>0</v>
      </c>
      <c r="M871" s="64">
        <f>+CUBICACION!M870</f>
        <v>0</v>
      </c>
      <c r="N871" s="824" t="str">
        <f>+CUBICACION!N870</f>
        <v/>
      </c>
      <c r="O871" s="675">
        <f>+CUBICACION!O870</f>
        <v>0</v>
      </c>
      <c r="P871" s="15">
        <f>IF(O871="Fire Control",VLOOKUP(_xlfn.MINIFS('FIRE CONTROL'!$C$4:$C$37,'FIRE CONTROL'!$C$4:$C$37,"&gt;="&amp;M871),'FIRE CONTROL'!$C$4:$G$37,IF(L871="F-15",2,IF(L871="F-30",3,IF(L871="F-60",4,IF(L871="F-90",5,0)))),0),0)+IF(AND(O871="FIRE TEX 5062",OR(E871="IN",E871="C",E871="Z",E871="L"),J871=3),VLOOKUP(_xlfn.MINIFS('FIRE TEX 5062'!$B$4:$B$34,'FIRE TEX 5062'!$B$4:$B$34,"&gt;="&amp;M871),'FIRE TEX 5062'!$B$4:$F$34,IF(L871="F-15",2,IF(L871="F-30",3,IF(L871="F-60",4,IF(L871="F-90",5,0)))),0),0)+IF(AND(O871="FIRE TEX 5062",OR(E871="IN",E871="C",E871="Z",E871="L"),J871=4),VLOOKUP(_xlfn.MINIFS('FIRE TEX 5062'!$G$4:$G$34,'FIRE TEX 5062'!$G$4:$G$34,"&gt;="&amp;M871),'FIRE TEX 5062'!$G$4:$K$34,IF(L871="F-15",2,IF(L871="F-30",3,IF(L871="F-60",4,IF(L871="F-90",5,0)))),0),0)+IF(AND(O871="FIRE TEX 5062",E871="CJ",J871=3),VLOOKUP(_xlfn.MINIFS('FIRE TEX 5062'!$L$4:$L$34,'FIRE TEX 5062'!$L$4:$L$34,"&gt;="&amp;M871),'FIRE TEX 5062'!$L$4:$P$34,IF(L871="F-15",2,IF(L871="F-30",3,IF(L871="F-60",4,IF(L871="F-90",5,0)))),0),0)+IF(AND(O871="FIRE TEX 5062",E871="CJ",J871=4),VLOOKUP(_xlfn.MINIFS('FIRE TEX 5062'!$Q$3:$Q$34,'FIRE TEX 5062'!$Q$3:$Q$34,"&gt;="&amp;M871),'FIRE TEX 5062'!$Q$3:$U$34,IF(L871="F-15",2,IF(L871="F-30",3,IF(L871="F-60",4,IF(L871="F-90",5,0)))),0),0)+IF(AND(O871="FIRE TEX 5090",OR(E871="IN",E871="C",E871="Z",E871="L"),J871=3),VLOOKUP(_xlfn.MINIFS('FIRE TEX 5090'!$B$5:$B$43,'FIRE TEX 5090'!$B$5:$B$43,"&gt;="&amp;M871),'FIRE TEX 5090'!$B$5:$H$43,IF(L871="F-15",2,IF(L871="F-30",3,IF(L871="F-60",4,IF(L871="F-90",5,IF(L871="F-120",6,IF(L871="F-150",7,0)))))),0),0)+IF(AND(O871="FIRE TEX 5090",OR(E871="IN",E871="C",E871="Z",E871="L"),J871=4),VLOOKUP(_xlfn.MINIFS('FIRE TEX 5090'!$J$5:$J$43,'FIRE TEX 5090'!$J$5:$J$43,"&gt;="&amp;M871),'FIRE TEX 5090'!$J$5:$P$43,IF(L871="F-15",2,IF(L871="F-30",3,IF(L871="F-60",4,IF(L871="F-90",5,IF(L871="F-120",6,IF(L871="F-150",7,0)))))),0),0)+IF(AND(O871="FIRE TEX 5090",E871="CJ",J871=3),VLOOKUP(_xlfn.MINIFS('FIRE TEX 5090'!$R$5:$R$30,'FIRE TEX 5090'!$R$5:$R$30,"&gt;="&amp;M871),'FIRE TEX 5090'!$R$5:$W$30,IF(L871="F-15",2,IF(L871="F-30",3,IF(L871="F-60",4,IF(L871="F-90",5,IF(L871="F-120",6,IF(L871="F-150",7,0)))))),0),0)+IF(AND(O871="FIRE TEX 5090",E871="CJ",J871=4),VLOOKUP(_xlfn.MINIFS('FIRE TEX 5090'!$Y$5:$Y$39,'FIRE TEX 5090'!$Y$5:$Y$39,"&gt;="&amp;M871),'FIRE TEX 5090'!$Y$5:$AD$39,IF(L871="F-15",2,IF(L871="F-30",3,IF(L871="F-60",4,IF(L871="F-90",5,IF(L871="F-120",6,IF(L871="F-150",7,0)))))),0),0)+IF(AND(O871="FIRE TEX 5120",OR(E871="IN",E871="C",E871="Z",E871="L"),J871=3),VLOOKUP(_xlfn.MINIFS('FIRE TEX 5120'!$B$5:$B$40,'FIRE TEX 5120'!$B$5:$B$40,"&gt;="&amp;M871),'FIRE TEX 5120'!$B$5:$G$40,IF(L871="F-15",2,IF(L871="F-30",3,IF(L871="F-60",4,IF(L871="F-90",5,IF(L871="F-120",6,0))))),0),0)+IF(AND(O871="FIRE TEX 5120",OR(E871="IN",E871="C",E871="Z",E871="L"),J871=4),VLOOKUP(_xlfn.MINIFS('FIRE TEX 5120'!$H$4:$H$40,'FIRE TEX 5120'!$H$4:$H$40,"&gt;="&amp;M871),'FIRE TEX 5120'!$H$4:$M$40,IF(L871="F-15",2,IF(L871="F-30",3,IF(L871="F-60",4,IF(L871="F-90",5,IF(L871="F-120",6,0))))),0),0)+IF(AND(O871="FIRE TEX 5120",E871="CJ"),VLOOKUP(_xlfn.MINIFS('FIRE TEX 5120'!$O$5:$O$40,'FIRE TEX 5120'!$O$5:$O$40,"&gt;="&amp;M871),'FIRE TEX 5120'!$O$5:$T$40,IF(L871="F-15",2,IF(L871="F-30",3,IF(L871="F-60",4,IF(L871="F-90",5,IF(L871="F-120",6,0))))),0),0)</f>
        <v>0</v>
      </c>
      <c r="Q871" s="46">
        <f t="shared" si="84"/>
        <v>0</v>
      </c>
      <c r="R871" s="46">
        <f t="shared" si="85"/>
        <v>0</v>
      </c>
      <c r="S871" s="46" t="e">
        <f t="shared" si="86"/>
        <v>#VALUE!</v>
      </c>
      <c r="T871" s="677">
        <f t="shared" si="87"/>
        <v>0</v>
      </c>
      <c r="U871" s="80">
        <f>(IF(O871="Stofire",(S871*#REF!),0))+(IF(O871="Fire Control",(S871*$U$2),0))+(IF(O871="Fire Tex",(S871*$U$3),0))+(IF(O871="WB7",(S871*#REF!),0)+(IF(O871="FX 2003",(S871*$U$5),0)))</f>
        <v>0</v>
      </c>
      <c r="V871" s="651">
        <f t="shared" si="88"/>
        <v>0</v>
      </c>
    </row>
    <row r="872" spans="4:22" x14ac:dyDescent="0.25">
      <c r="D872" s="118">
        <f>+CUBICACION!D871</f>
        <v>0</v>
      </c>
      <c r="E872" s="118">
        <f>+CUBICACION!F871</f>
        <v>0</v>
      </c>
      <c r="F872" s="118">
        <f>+CUBICACION!E871</f>
        <v>0</v>
      </c>
      <c r="G872" s="118">
        <v>12</v>
      </c>
      <c r="H872" s="118">
        <v>2</v>
      </c>
      <c r="I872" s="820">
        <v>26385</v>
      </c>
      <c r="J872" s="118">
        <f>+CUBICACION!J871</f>
        <v>0</v>
      </c>
      <c r="K872" s="118">
        <v>3651</v>
      </c>
      <c r="L872" s="118">
        <f>+CUBICACION!L871</f>
        <v>0</v>
      </c>
      <c r="M872" s="64">
        <f>+CUBICACION!M871</f>
        <v>0</v>
      </c>
      <c r="N872" s="824" t="str">
        <f>+CUBICACION!N871</f>
        <v/>
      </c>
      <c r="O872" s="675">
        <f>+CUBICACION!O871</f>
        <v>0</v>
      </c>
      <c r="P872" s="15">
        <f>IF(O872="Fire Control",VLOOKUP(_xlfn.MINIFS('FIRE CONTROL'!$C$4:$C$37,'FIRE CONTROL'!$C$4:$C$37,"&gt;="&amp;M872),'FIRE CONTROL'!$C$4:$G$37,IF(L872="F-15",2,IF(L872="F-30",3,IF(L872="F-60",4,IF(L872="F-90",5,0)))),0),0)+IF(AND(O872="FIRE TEX 5062",OR(E872="IN",E872="C",E872="Z",E872="L"),J872=3),VLOOKUP(_xlfn.MINIFS('FIRE TEX 5062'!$B$4:$B$34,'FIRE TEX 5062'!$B$4:$B$34,"&gt;="&amp;M872),'FIRE TEX 5062'!$B$4:$F$34,IF(L872="F-15",2,IF(L872="F-30",3,IF(L872="F-60",4,IF(L872="F-90",5,0)))),0),0)+IF(AND(O872="FIRE TEX 5062",OR(E872="IN",E872="C",E872="Z",E872="L"),J872=4),VLOOKUP(_xlfn.MINIFS('FIRE TEX 5062'!$G$4:$G$34,'FIRE TEX 5062'!$G$4:$G$34,"&gt;="&amp;M872),'FIRE TEX 5062'!$G$4:$K$34,IF(L872="F-15",2,IF(L872="F-30",3,IF(L872="F-60",4,IF(L872="F-90",5,0)))),0),0)+IF(AND(O872="FIRE TEX 5062",E872="CJ",J872=3),VLOOKUP(_xlfn.MINIFS('FIRE TEX 5062'!$L$4:$L$34,'FIRE TEX 5062'!$L$4:$L$34,"&gt;="&amp;M872),'FIRE TEX 5062'!$L$4:$P$34,IF(L872="F-15",2,IF(L872="F-30",3,IF(L872="F-60",4,IF(L872="F-90",5,0)))),0),0)+IF(AND(O872="FIRE TEX 5062",E872="CJ",J872=4),VLOOKUP(_xlfn.MINIFS('FIRE TEX 5062'!$Q$3:$Q$34,'FIRE TEX 5062'!$Q$3:$Q$34,"&gt;="&amp;M872),'FIRE TEX 5062'!$Q$3:$U$34,IF(L872="F-15",2,IF(L872="F-30",3,IF(L872="F-60",4,IF(L872="F-90",5,0)))),0),0)+IF(AND(O872="FIRE TEX 5090",OR(E872="IN",E872="C",E872="Z",E872="L"),J872=3),VLOOKUP(_xlfn.MINIFS('FIRE TEX 5090'!$B$5:$B$43,'FIRE TEX 5090'!$B$5:$B$43,"&gt;="&amp;M872),'FIRE TEX 5090'!$B$5:$H$43,IF(L872="F-15",2,IF(L872="F-30",3,IF(L872="F-60",4,IF(L872="F-90",5,IF(L872="F-120",6,IF(L872="F-150",7,0)))))),0),0)+IF(AND(O872="FIRE TEX 5090",OR(E872="IN",E872="C",E872="Z",E872="L"),J872=4),VLOOKUP(_xlfn.MINIFS('FIRE TEX 5090'!$J$5:$J$43,'FIRE TEX 5090'!$J$5:$J$43,"&gt;="&amp;M872),'FIRE TEX 5090'!$J$5:$P$43,IF(L872="F-15",2,IF(L872="F-30",3,IF(L872="F-60",4,IF(L872="F-90",5,IF(L872="F-120",6,IF(L872="F-150",7,0)))))),0),0)+IF(AND(O872="FIRE TEX 5090",E872="CJ",J872=3),VLOOKUP(_xlfn.MINIFS('FIRE TEX 5090'!$R$5:$R$30,'FIRE TEX 5090'!$R$5:$R$30,"&gt;="&amp;M872),'FIRE TEX 5090'!$R$5:$W$30,IF(L872="F-15",2,IF(L872="F-30",3,IF(L872="F-60",4,IF(L872="F-90",5,IF(L872="F-120",6,IF(L872="F-150",7,0)))))),0),0)+IF(AND(O872="FIRE TEX 5090",E872="CJ",J872=4),VLOOKUP(_xlfn.MINIFS('FIRE TEX 5090'!$Y$5:$Y$39,'FIRE TEX 5090'!$Y$5:$Y$39,"&gt;="&amp;M872),'FIRE TEX 5090'!$Y$5:$AD$39,IF(L872="F-15",2,IF(L872="F-30",3,IF(L872="F-60",4,IF(L872="F-90",5,IF(L872="F-120",6,IF(L872="F-150",7,0)))))),0),0)+IF(AND(O872="FIRE TEX 5120",OR(E872="IN",E872="C",E872="Z",E872="L"),J872=3),VLOOKUP(_xlfn.MINIFS('FIRE TEX 5120'!$B$5:$B$40,'FIRE TEX 5120'!$B$5:$B$40,"&gt;="&amp;M872),'FIRE TEX 5120'!$B$5:$G$40,IF(L872="F-15",2,IF(L872="F-30",3,IF(L872="F-60",4,IF(L872="F-90",5,IF(L872="F-120",6,0))))),0),0)+IF(AND(O872="FIRE TEX 5120",OR(E872="IN",E872="C",E872="Z",E872="L"),J872=4),VLOOKUP(_xlfn.MINIFS('FIRE TEX 5120'!$H$4:$H$40,'FIRE TEX 5120'!$H$4:$H$40,"&gt;="&amp;M872),'FIRE TEX 5120'!$H$4:$M$40,IF(L872="F-15",2,IF(L872="F-30",3,IF(L872="F-60",4,IF(L872="F-90",5,IF(L872="F-120",6,0))))),0),0)+IF(AND(O872="FIRE TEX 5120",E872="CJ"),VLOOKUP(_xlfn.MINIFS('FIRE TEX 5120'!$O$5:$O$40,'FIRE TEX 5120'!$O$5:$O$40,"&gt;="&amp;M872),'FIRE TEX 5120'!$O$5:$T$40,IF(L872="F-15",2,IF(L872="F-30",3,IF(L872="F-60",4,IF(L872="F-90",5,IF(L872="F-120",6,0))))),0),0)</f>
        <v>0</v>
      </c>
      <c r="Q872" s="46">
        <f t="shared" si="84"/>
        <v>0</v>
      </c>
      <c r="R872" s="46">
        <f t="shared" si="85"/>
        <v>0</v>
      </c>
      <c r="S872" s="46" t="e">
        <f t="shared" si="86"/>
        <v>#VALUE!</v>
      </c>
      <c r="T872" s="677">
        <f t="shared" si="87"/>
        <v>0</v>
      </c>
      <c r="U872" s="80">
        <f>(IF(O872="Stofire",(S872*#REF!),0))+(IF(O872="Fire Control",(S872*$U$2),0))+(IF(O872="Fire Tex",(S872*$U$3),0))+(IF(O872="WB7",(S872*#REF!),0)+(IF(O872="FX 2003",(S872*$U$5),0)))</f>
        <v>0</v>
      </c>
      <c r="V872" s="651">
        <f t="shared" si="88"/>
        <v>0</v>
      </c>
    </row>
    <row r="873" spans="4:22" x14ac:dyDescent="0.25">
      <c r="D873" s="118">
        <f>+CUBICACION!D872</f>
        <v>0</v>
      </c>
      <c r="E873" s="118">
        <f>+CUBICACION!F872</f>
        <v>0</v>
      </c>
      <c r="F873" s="118">
        <f>+CUBICACION!E872</f>
        <v>0</v>
      </c>
      <c r="G873" s="118">
        <v>12</v>
      </c>
      <c r="H873" s="118">
        <v>2</v>
      </c>
      <c r="I873" s="820">
        <v>26385</v>
      </c>
      <c r="J873" s="118">
        <f>+CUBICACION!J872</f>
        <v>0</v>
      </c>
      <c r="K873" s="118">
        <v>3652</v>
      </c>
      <c r="L873" s="118">
        <f>+CUBICACION!L872</f>
        <v>0</v>
      </c>
      <c r="M873" s="64">
        <f>+CUBICACION!M872</f>
        <v>0</v>
      </c>
      <c r="N873" s="824" t="str">
        <f>+CUBICACION!N872</f>
        <v/>
      </c>
      <c r="O873" s="675">
        <f>+CUBICACION!O872</f>
        <v>0</v>
      </c>
      <c r="P873" s="15">
        <f>IF(O873="Fire Control",VLOOKUP(_xlfn.MINIFS('FIRE CONTROL'!$C$4:$C$37,'FIRE CONTROL'!$C$4:$C$37,"&gt;="&amp;M873),'FIRE CONTROL'!$C$4:$G$37,IF(L873="F-15",2,IF(L873="F-30",3,IF(L873="F-60",4,IF(L873="F-90",5,0)))),0),0)+IF(AND(O873="FIRE TEX 5062",OR(E873="IN",E873="C",E873="Z",E873="L"),J873=3),VLOOKUP(_xlfn.MINIFS('FIRE TEX 5062'!$B$4:$B$34,'FIRE TEX 5062'!$B$4:$B$34,"&gt;="&amp;M873),'FIRE TEX 5062'!$B$4:$F$34,IF(L873="F-15",2,IF(L873="F-30",3,IF(L873="F-60",4,IF(L873="F-90",5,0)))),0),0)+IF(AND(O873="FIRE TEX 5062",OR(E873="IN",E873="C",E873="Z",E873="L"),J873=4),VLOOKUP(_xlfn.MINIFS('FIRE TEX 5062'!$G$4:$G$34,'FIRE TEX 5062'!$G$4:$G$34,"&gt;="&amp;M873),'FIRE TEX 5062'!$G$4:$K$34,IF(L873="F-15",2,IF(L873="F-30",3,IF(L873="F-60",4,IF(L873="F-90",5,0)))),0),0)+IF(AND(O873="FIRE TEX 5062",E873="CJ",J873=3),VLOOKUP(_xlfn.MINIFS('FIRE TEX 5062'!$L$4:$L$34,'FIRE TEX 5062'!$L$4:$L$34,"&gt;="&amp;M873),'FIRE TEX 5062'!$L$4:$P$34,IF(L873="F-15",2,IF(L873="F-30",3,IF(L873="F-60",4,IF(L873="F-90",5,0)))),0),0)+IF(AND(O873="FIRE TEX 5062",E873="CJ",J873=4),VLOOKUP(_xlfn.MINIFS('FIRE TEX 5062'!$Q$3:$Q$34,'FIRE TEX 5062'!$Q$3:$Q$34,"&gt;="&amp;M873),'FIRE TEX 5062'!$Q$3:$U$34,IF(L873="F-15",2,IF(L873="F-30",3,IF(L873="F-60",4,IF(L873="F-90",5,0)))),0),0)+IF(AND(O873="FIRE TEX 5090",OR(E873="IN",E873="C",E873="Z",E873="L"),J873=3),VLOOKUP(_xlfn.MINIFS('FIRE TEX 5090'!$B$5:$B$43,'FIRE TEX 5090'!$B$5:$B$43,"&gt;="&amp;M873),'FIRE TEX 5090'!$B$5:$H$43,IF(L873="F-15",2,IF(L873="F-30",3,IF(L873="F-60",4,IF(L873="F-90",5,IF(L873="F-120",6,IF(L873="F-150",7,0)))))),0),0)+IF(AND(O873="FIRE TEX 5090",OR(E873="IN",E873="C",E873="Z",E873="L"),J873=4),VLOOKUP(_xlfn.MINIFS('FIRE TEX 5090'!$J$5:$J$43,'FIRE TEX 5090'!$J$5:$J$43,"&gt;="&amp;M873),'FIRE TEX 5090'!$J$5:$P$43,IF(L873="F-15",2,IF(L873="F-30",3,IF(L873="F-60",4,IF(L873="F-90",5,IF(L873="F-120",6,IF(L873="F-150",7,0)))))),0),0)+IF(AND(O873="FIRE TEX 5090",E873="CJ",J873=3),VLOOKUP(_xlfn.MINIFS('FIRE TEX 5090'!$R$5:$R$30,'FIRE TEX 5090'!$R$5:$R$30,"&gt;="&amp;M873),'FIRE TEX 5090'!$R$5:$W$30,IF(L873="F-15",2,IF(L873="F-30",3,IF(L873="F-60",4,IF(L873="F-90",5,IF(L873="F-120",6,IF(L873="F-150",7,0)))))),0),0)+IF(AND(O873="FIRE TEX 5090",E873="CJ",J873=4),VLOOKUP(_xlfn.MINIFS('FIRE TEX 5090'!$Y$5:$Y$39,'FIRE TEX 5090'!$Y$5:$Y$39,"&gt;="&amp;M873),'FIRE TEX 5090'!$Y$5:$AD$39,IF(L873="F-15",2,IF(L873="F-30",3,IF(L873="F-60",4,IF(L873="F-90",5,IF(L873="F-120",6,IF(L873="F-150",7,0)))))),0),0)+IF(AND(O873="FIRE TEX 5120",OR(E873="IN",E873="C",E873="Z",E873="L"),J873=3),VLOOKUP(_xlfn.MINIFS('FIRE TEX 5120'!$B$5:$B$40,'FIRE TEX 5120'!$B$5:$B$40,"&gt;="&amp;M873),'FIRE TEX 5120'!$B$5:$G$40,IF(L873="F-15",2,IF(L873="F-30",3,IF(L873="F-60",4,IF(L873="F-90",5,IF(L873="F-120",6,0))))),0),0)+IF(AND(O873="FIRE TEX 5120",OR(E873="IN",E873="C",E873="Z",E873="L"),J873=4),VLOOKUP(_xlfn.MINIFS('FIRE TEX 5120'!$H$4:$H$40,'FIRE TEX 5120'!$H$4:$H$40,"&gt;="&amp;M873),'FIRE TEX 5120'!$H$4:$M$40,IF(L873="F-15",2,IF(L873="F-30",3,IF(L873="F-60",4,IF(L873="F-90",5,IF(L873="F-120",6,0))))),0),0)+IF(AND(O873="FIRE TEX 5120",E873="CJ"),VLOOKUP(_xlfn.MINIFS('FIRE TEX 5120'!$O$5:$O$40,'FIRE TEX 5120'!$O$5:$O$40,"&gt;="&amp;M873),'FIRE TEX 5120'!$O$5:$T$40,IF(L873="F-15",2,IF(L873="F-30",3,IF(L873="F-60",4,IF(L873="F-90",5,IF(L873="F-120",6,0))))),0),0)</f>
        <v>0</v>
      </c>
      <c r="Q873" s="46">
        <f t="shared" si="84"/>
        <v>0</v>
      </c>
      <c r="R873" s="46">
        <f t="shared" si="85"/>
        <v>0</v>
      </c>
      <c r="S873" s="46" t="e">
        <f t="shared" si="86"/>
        <v>#VALUE!</v>
      </c>
      <c r="T873" s="677">
        <f t="shared" si="87"/>
        <v>0</v>
      </c>
      <c r="U873" s="80">
        <f>(IF(O873="Stofire",(S873*#REF!),0))+(IF(O873="Fire Control",(S873*$U$2),0))+(IF(O873="Fire Tex",(S873*$U$3),0))+(IF(O873="WB7",(S873*#REF!),0)+(IF(O873="FX 2003",(S873*$U$5),0)))</f>
        <v>0</v>
      </c>
      <c r="V873" s="651">
        <f t="shared" si="88"/>
        <v>0</v>
      </c>
    </row>
    <row r="874" spans="4:22" x14ac:dyDescent="0.25">
      <c r="D874" s="118">
        <f>+CUBICACION!D873</f>
        <v>0</v>
      </c>
      <c r="E874" s="118">
        <f>+CUBICACION!F873</f>
        <v>0</v>
      </c>
      <c r="F874" s="118">
        <f>+CUBICACION!E873</f>
        <v>0</v>
      </c>
      <c r="G874" s="118">
        <v>12</v>
      </c>
      <c r="H874" s="118">
        <v>2</v>
      </c>
      <c r="I874" s="820">
        <v>26385</v>
      </c>
      <c r="J874" s="118">
        <f>+CUBICACION!J873</f>
        <v>0</v>
      </c>
      <c r="K874" s="118">
        <v>3653</v>
      </c>
      <c r="L874" s="118">
        <f>+CUBICACION!L873</f>
        <v>0</v>
      </c>
      <c r="M874" s="64">
        <f>+CUBICACION!M873</f>
        <v>0</v>
      </c>
      <c r="N874" s="824" t="str">
        <f>+CUBICACION!N873</f>
        <v/>
      </c>
      <c r="O874" s="675">
        <f>+CUBICACION!O873</f>
        <v>0</v>
      </c>
      <c r="P874" s="15">
        <f>IF(O874="Fire Control",VLOOKUP(_xlfn.MINIFS('FIRE CONTROL'!$C$4:$C$37,'FIRE CONTROL'!$C$4:$C$37,"&gt;="&amp;M874),'FIRE CONTROL'!$C$4:$G$37,IF(L874="F-15",2,IF(L874="F-30",3,IF(L874="F-60",4,IF(L874="F-90",5,0)))),0),0)+IF(AND(O874="FIRE TEX 5062",OR(E874="IN",E874="C",E874="Z",E874="L"),J874=3),VLOOKUP(_xlfn.MINIFS('FIRE TEX 5062'!$B$4:$B$34,'FIRE TEX 5062'!$B$4:$B$34,"&gt;="&amp;M874),'FIRE TEX 5062'!$B$4:$F$34,IF(L874="F-15",2,IF(L874="F-30",3,IF(L874="F-60",4,IF(L874="F-90",5,0)))),0),0)+IF(AND(O874="FIRE TEX 5062",OR(E874="IN",E874="C",E874="Z",E874="L"),J874=4),VLOOKUP(_xlfn.MINIFS('FIRE TEX 5062'!$G$4:$G$34,'FIRE TEX 5062'!$G$4:$G$34,"&gt;="&amp;M874),'FIRE TEX 5062'!$G$4:$K$34,IF(L874="F-15",2,IF(L874="F-30",3,IF(L874="F-60",4,IF(L874="F-90",5,0)))),0),0)+IF(AND(O874="FIRE TEX 5062",E874="CJ",J874=3),VLOOKUP(_xlfn.MINIFS('FIRE TEX 5062'!$L$4:$L$34,'FIRE TEX 5062'!$L$4:$L$34,"&gt;="&amp;M874),'FIRE TEX 5062'!$L$4:$P$34,IF(L874="F-15",2,IF(L874="F-30",3,IF(L874="F-60",4,IF(L874="F-90",5,0)))),0),0)+IF(AND(O874="FIRE TEX 5062",E874="CJ",J874=4),VLOOKUP(_xlfn.MINIFS('FIRE TEX 5062'!$Q$3:$Q$34,'FIRE TEX 5062'!$Q$3:$Q$34,"&gt;="&amp;M874),'FIRE TEX 5062'!$Q$3:$U$34,IF(L874="F-15",2,IF(L874="F-30",3,IF(L874="F-60",4,IF(L874="F-90",5,0)))),0),0)+IF(AND(O874="FIRE TEX 5090",OR(E874="IN",E874="C",E874="Z",E874="L"),J874=3),VLOOKUP(_xlfn.MINIFS('FIRE TEX 5090'!$B$5:$B$43,'FIRE TEX 5090'!$B$5:$B$43,"&gt;="&amp;M874),'FIRE TEX 5090'!$B$5:$H$43,IF(L874="F-15",2,IF(L874="F-30",3,IF(L874="F-60",4,IF(L874="F-90",5,IF(L874="F-120",6,IF(L874="F-150",7,0)))))),0),0)+IF(AND(O874="FIRE TEX 5090",OR(E874="IN",E874="C",E874="Z",E874="L"),J874=4),VLOOKUP(_xlfn.MINIFS('FIRE TEX 5090'!$J$5:$J$43,'FIRE TEX 5090'!$J$5:$J$43,"&gt;="&amp;M874),'FIRE TEX 5090'!$J$5:$P$43,IF(L874="F-15",2,IF(L874="F-30",3,IF(L874="F-60",4,IF(L874="F-90",5,IF(L874="F-120",6,IF(L874="F-150",7,0)))))),0),0)+IF(AND(O874="FIRE TEX 5090",E874="CJ",J874=3),VLOOKUP(_xlfn.MINIFS('FIRE TEX 5090'!$R$5:$R$30,'FIRE TEX 5090'!$R$5:$R$30,"&gt;="&amp;M874),'FIRE TEX 5090'!$R$5:$W$30,IF(L874="F-15",2,IF(L874="F-30",3,IF(L874="F-60",4,IF(L874="F-90",5,IF(L874="F-120",6,IF(L874="F-150",7,0)))))),0),0)+IF(AND(O874="FIRE TEX 5090",E874="CJ",J874=4),VLOOKUP(_xlfn.MINIFS('FIRE TEX 5090'!$Y$5:$Y$39,'FIRE TEX 5090'!$Y$5:$Y$39,"&gt;="&amp;M874),'FIRE TEX 5090'!$Y$5:$AD$39,IF(L874="F-15",2,IF(L874="F-30",3,IF(L874="F-60",4,IF(L874="F-90",5,IF(L874="F-120",6,IF(L874="F-150",7,0)))))),0),0)+IF(AND(O874="FIRE TEX 5120",OR(E874="IN",E874="C",E874="Z",E874="L"),J874=3),VLOOKUP(_xlfn.MINIFS('FIRE TEX 5120'!$B$5:$B$40,'FIRE TEX 5120'!$B$5:$B$40,"&gt;="&amp;M874),'FIRE TEX 5120'!$B$5:$G$40,IF(L874="F-15",2,IF(L874="F-30",3,IF(L874="F-60",4,IF(L874="F-90",5,IF(L874="F-120",6,0))))),0),0)+IF(AND(O874="FIRE TEX 5120",OR(E874="IN",E874="C",E874="Z",E874="L"),J874=4),VLOOKUP(_xlfn.MINIFS('FIRE TEX 5120'!$H$4:$H$40,'FIRE TEX 5120'!$H$4:$H$40,"&gt;="&amp;M874),'FIRE TEX 5120'!$H$4:$M$40,IF(L874="F-15",2,IF(L874="F-30",3,IF(L874="F-60",4,IF(L874="F-90",5,IF(L874="F-120",6,0))))),0),0)+IF(AND(O874="FIRE TEX 5120",E874="CJ"),VLOOKUP(_xlfn.MINIFS('FIRE TEX 5120'!$O$5:$O$40,'FIRE TEX 5120'!$O$5:$O$40,"&gt;="&amp;M874),'FIRE TEX 5120'!$O$5:$T$40,IF(L874="F-15",2,IF(L874="F-30",3,IF(L874="F-60",4,IF(L874="F-90",5,IF(L874="F-120",6,0))))),0),0)</f>
        <v>0</v>
      </c>
      <c r="Q874" s="46">
        <f t="shared" si="84"/>
        <v>0</v>
      </c>
      <c r="R874" s="46">
        <f t="shared" si="85"/>
        <v>0</v>
      </c>
      <c r="S874" s="46" t="e">
        <f t="shared" si="86"/>
        <v>#VALUE!</v>
      </c>
      <c r="T874" s="677">
        <f t="shared" si="87"/>
        <v>0</v>
      </c>
      <c r="U874" s="80">
        <f>(IF(O874="Stofire",(S874*#REF!),0))+(IF(O874="Fire Control",(S874*$U$2),0))+(IF(O874="Fire Tex",(S874*$U$3),0))+(IF(O874="WB7",(S874*#REF!),0)+(IF(O874="FX 2003",(S874*$U$5),0)))</f>
        <v>0</v>
      </c>
      <c r="V874" s="651">
        <f t="shared" si="88"/>
        <v>0</v>
      </c>
    </row>
    <row r="875" spans="4:22" x14ac:dyDescent="0.25">
      <c r="D875" s="118">
        <f>+CUBICACION!D874</f>
        <v>0</v>
      </c>
      <c r="E875" s="118">
        <f>+CUBICACION!F874</f>
        <v>0</v>
      </c>
      <c r="F875" s="118">
        <f>+CUBICACION!E874</f>
        <v>0</v>
      </c>
      <c r="G875" s="118">
        <v>12</v>
      </c>
      <c r="H875" s="118">
        <v>2</v>
      </c>
      <c r="I875" s="820">
        <v>26385</v>
      </c>
      <c r="J875" s="118">
        <f>+CUBICACION!J874</f>
        <v>0</v>
      </c>
      <c r="K875" s="118">
        <v>3654</v>
      </c>
      <c r="L875" s="118">
        <f>+CUBICACION!L874</f>
        <v>0</v>
      </c>
      <c r="M875" s="64">
        <f>+CUBICACION!M874</f>
        <v>0</v>
      </c>
      <c r="N875" s="824" t="str">
        <f>+CUBICACION!N874</f>
        <v/>
      </c>
      <c r="O875" s="675">
        <f>+CUBICACION!O874</f>
        <v>0</v>
      </c>
      <c r="P875" s="15">
        <f>IF(O875="Fire Control",VLOOKUP(_xlfn.MINIFS('FIRE CONTROL'!$C$4:$C$37,'FIRE CONTROL'!$C$4:$C$37,"&gt;="&amp;M875),'FIRE CONTROL'!$C$4:$G$37,IF(L875="F-15",2,IF(L875="F-30",3,IF(L875="F-60",4,IF(L875="F-90",5,0)))),0),0)+IF(AND(O875="FIRE TEX 5062",OR(E875="IN",E875="C",E875="Z",E875="L"),J875=3),VLOOKUP(_xlfn.MINIFS('FIRE TEX 5062'!$B$4:$B$34,'FIRE TEX 5062'!$B$4:$B$34,"&gt;="&amp;M875),'FIRE TEX 5062'!$B$4:$F$34,IF(L875="F-15",2,IF(L875="F-30",3,IF(L875="F-60",4,IF(L875="F-90",5,0)))),0),0)+IF(AND(O875="FIRE TEX 5062",OR(E875="IN",E875="C",E875="Z",E875="L"),J875=4),VLOOKUP(_xlfn.MINIFS('FIRE TEX 5062'!$G$4:$G$34,'FIRE TEX 5062'!$G$4:$G$34,"&gt;="&amp;M875),'FIRE TEX 5062'!$G$4:$K$34,IF(L875="F-15",2,IF(L875="F-30",3,IF(L875="F-60",4,IF(L875="F-90",5,0)))),0),0)+IF(AND(O875="FIRE TEX 5062",E875="CJ",J875=3),VLOOKUP(_xlfn.MINIFS('FIRE TEX 5062'!$L$4:$L$34,'FIRE TEX 5062'!$L$4:$L$34,"&gt;="&amp;M875),'FIRE TEX 5062'!$L$4:$P$34,IF(L875="F-15",2,IF(L875="F-30",3,IF(L875="F-60",4,IF(L875="F-90",5,0)))),0),0)+IF(AND(O875="FIRE TEX 5062",E875="CJ",J875=4),VLOOKUP(_xlfn.MINIFS('FIRE TEX 5062'!$Q$3:$Q$34,'FIRE TEX 5062'!$Q$3:$Q$34,"&gt;="&amp;M875),'FIRE TEX 5062'!$Q$3:$U$34,IF(L875="F-15",2,IF(L875="F-30",3,IF(L875="F-60",4,IF(L875="F-90",5,0)))),0),0)+IF(AND(O875="FIRE TEX 5090",OR(E875="IN",E875="C",E875="Z",E875="L"),J875=3),VLOOKUP(_xlfn.MINIFS('FIRE TEX 5090'!$B$5:$B$43,'FIRE TEX 5090'!$B$5:$B$43,"&gt;="&amp;M875),'FIRE TEX 5090'!$B$5:$H$43,IF(L875="F-15",2,IF(L875="F-30",3,IF(L875="F-60",4,IF(L875="F-90",5,IF(L875="F-120",6,IF(L875="F-150",7,0)))))),0),0)+IF(AND(O875="FIRE TEX 5090",OR(E875="IN",E875="C",E875="Z",E875="L"),J875=4),VLOOKUP(_xlfn.MINIFS('FIRE TEX 5090'!$J$5:$J$43,'FIRE TEX 5090'!$J$5:$J$43,"&gt;="&amp;M875),'FIRE TEX 5090'!$J$5:$P$43,IF(L875="F-15",2,IF(L875="F-30",3,IF(L875="F-60",4,IF(L875="F-90",5,IF(L875="F-120",6,IF(L875="F-150",7,0)))))),0),0)+IF(AND(O875="FIRE TEX 5090",E875="CJ",J875=3),VLOOKUP(_xlfn.MINIFS('FIRE TEX 5090'!$R$5:$R$30,'FIRE TEX 5090'!$R$5:$R$30,"&gt;="&amp;M875),'FIRE TEX 5090'!$R$5:$W$30,IF(L875="F-15",2,IF(L875="F-30",3,IF(L875="F-60",4,IF(L875="F-90",5,IF(L875="F-120",6,IF(L875="F-150",7,0)))))),0),0)+IF(AND(O875="FIRE TEX 5090",E875="CJ",J875=4),VLOOKUP(_xlfn.MINIFS('FIRE TEX 5090'!$Y$5:$Y$39,'FIRE TEX 5090'!$Y$5:$Y$39,"&gt;="&amp;M875),'FIRE TEX 5090'!$Y$5:$AD$39,IF(L875="F-15",2,IF(L875="F-30",3,IF(L875="F-60",4,IF(L875="F-90",5,IF(L875="F-120",6,IF(L875="F-150",7,0)))))),0),0)+IF(AND(O875="FIRE TEX 5120",OR(E875="IN",E875="C",E875="Z",E875="L"),J875=3),VLOOKUP(_xlfn.MINIFS('FIRE TEX 5120'!$B$5:$B$40,'FIRE TEX 5120'!$B$5:$B$40,"&gt;="&amp;M875),'FIRE TEX 5120'!$B$5:$G$40,IF(L875="F-15",2,IF(L875="F-30",3,IF(L875="F-60",4,IF(L875="F-90",5,IF(L875="F-120",6,0))))),0),0)+IF(AND(O875="FIRE TEX 5120",OR(E875="IN",E875="C",E875="Z",E875="L"),J875=4),VLOOKUP(_xlfn.MINIFS('FIRE TEX 5120'!$H$4:$H$40,'FIRE TEX 5120'!$H$4:$H$40,"&gt;="&amp;M875),'FIRE TEX 5120'!$H$4:$M$40,IF(L875="F-15",2,IF(L875="F-30",3,IF(L875="F-60",4,IF(L875="F-90",5,IF(L875="F-120",6,0))))),0),0)+IF(AND(O875="FIRE TEX 5120",E875="CJ"),VLOOKUP(_xlfn.MINIFS('FIRE TEX 5120'!$O$5:$O$40,'FIRE TEX 5120'!$O$5:$O$40,"&gt;="&amp;M875),'FIRE TEX 5120'!$O$5:$T$40,IF(L875="F-15",2,IF(L875="F-30",3,IF(L875="F-60",4,IF(L875="F-90",5,IF(L875="F-120",6,0))))),0),0)</f>
        <v>0</v>
      </c>
      <c r="Q875" s="46">
        <f t="shared" si="84"/>
        <v>0</v>
      </c>
      <c r="R875" s="46">
        <f t="shared" si="85"/>
        <v>0</v>
      </c>
      <c r="S875" s="46" t="e">
        <f t="shared" si="86"/>
        <v>#VALUE!</v>
      </c>
      <c r="T875" s="677">
        <f t="shared" si="87"/>
        <v>0</v>
      </c>
      <c r="U875" s="80">
        <f>(IF(O875="Stofire",(S875*#REF!),0))+(IF(O875="Fire Control",(S875*$U$2),0))+(IF(O875="Fire Tex",(S875*$U$3),0))+(IF(O875="WB7",(S875*#REF!),0)+(IF(O875="FX 2003",(S875*$U$5),0)))</f>
        <v>0</v>
      </c>
      <c r="V875" s="651">
        <f t="shared" si="88"/>
        <v>0</v>
      </c>
    </row>
    <row r="876" spans="4:22" x14ac:dyDescent="0.25">
      <c r="D876" s="118">
        <f>+CUBICACION!D875</f>
        <v>0</v>
      </c>
      <c r="E876" s="118">
        <f>+CUBICACION!F875</f>
        <v>0</v>
      </c>
      <c r="F876" s="118">
        <f>+CUBICACION!E875</f>
        <v>0</v>
      </c>
      <c r="G876" s="118">
        <v>12</v>
      </c>
      <c r="H876" s="118">
        <v>2</v>
      </c>
      <c r="I876" s="820">
        <v>26385</v>
      </c>
      <c r="J876" s="118">
        <f>+CUBICACION!J875</f>
        <v>0</v>
      </c>
      <c r="K876" s="118">
        <v>3655</v>
      </c>
      <c r="L876" s="118">
        <f>+CUBICACION!L875</f>
        <v>0</v>
      </c>
      <c r="M876" s="64">
        <f>+CUBICACION!M875</f>
        <v>0</v>
      </c>
      <c r="N876" s="824" t="str">
        <f>+CUBICACION!N875</f>
        <v/>
      </c>
      <c r="O876" s="675">
        <f>+CUBICACION!O875</f>
        <v>0</v>
      </c>
      <c r="P876" s="15">
        <f>IF(O876="Fire Control",VLOOKUP(_xlfn.MINIFS('FIRE CONTROL'!$C$4:$C$37,'FIRE CONTROL'!$C$4:$C$37,"&gt;="&amp;M876),'FIRE CONTROL'!$C$4:$G$37,IF(L876="F-15",2,IF(L876="F-30",3,IF(L876="F-60",4,IF(L876="F-90",5,0)))),0),0)+IF(AND(O876="FIRE TEX 5062",OR(E876="IN",E876="C",E876="Z",E876="L"),J876=3),VLOOKUP(_xlfn.MINIFS('FIRE TEX 5062'!$B$4:$B$34,'FIRE TEX 5062'!$B$4:$B$34,"&gt;="&amp;M876),'FIRE TEX 5062'!$B$4:$F$34,IF(L876="F-15",2,IF(L876="F-30",3,IF(L876="F-60",4,IF(L876="F-90",5,0)))),0),0)+IF(AND(O876="FIRE TEX 5062",OR(E876="IN",E876="C",E876="Z",E876="L"),J876=4),VLOOKUP(_xlfn.MINIFS('FIRE TEX 5062'!$G$4:$G$34,'FIRE TEX 5062'!$G$4:$G$34,"&gt;="&amp;M876),'FIRE TEX 5062'!$G$4:$K$34,IF(L876="F-15",2,IF(L876="F-30",3,IF(L876="F-60",4,IF(L876="F-90",5,0)))),0),0)+IF(AND(O876="FIRE TEX 5062",E876="CJ",J876=3),VLOOKUP(_xlfn.MINIFS('FIRE TEX 5062'!$L$4:$L$34,'FIRE TEX 5062'!$L$4:$L$34,"&gt;="&amp;M876),'FIRE TEX 5062'!$L$4:$P$34,IF(L876="F-15",2,IF(L876="F-30",3,IF(L876="F-60",4,IF(L876="F-90",5,0)))),0),0)+IF(AND(O876="FIRE TEX 5062",E876="CJ",J876=4),VLOOKUP(_xlfn.MINIFS('FIRE TEX 5062'!$Q$3:$Q$34,'FIRE TEX 5062'!$Q$3:$Q$34,"&gt;="&amp;M876),'FIRE TEX 5062'!$Q$3:$U$34,IF(L876="F-15",2,IF(L876="F-30",3,IF(L876="F-60",4,IF(L876="F-90",5,0)))),0),0)+IF(AND(O876="FIRE TEX 5090",OR(E876="IN",E876="C",E876="Z",E876="L"),J876=3),VLOOKUP(_xlfn.MINIFS('FIRE TEX 5090'!$B$5:$B$43,'FIRE TEX 5090'!$B$5:$B$43,"&gt;="&amp;M876),'FIRE TEX 5090'!$B$5:$H$43,IF(L876="F-15",2,IF(L876="F-30",3,IF(L876="F-60",4,IF(L876="F-90",5,IF(L876="F-120",6,IF(L876="F-150",7,0)))))),0),0)+IF(AND(O876="FIRE TEX 5090",OR(E876="IN",E876="C",E876="Z",E876="L"),J876=4),VLOOKUP(_xlfn.MINIFS('FIRE TEX 5090'!$J$5:$J$43,'FIRE TEX 5090'!$J$5:$J$43,"&gt;="&amp;M876),'FIRE TEX 5090'!$J$5:$P$43,IF(L876="F-15",2,IF(L876="F-30",3,IF(L876="F-60",4,IF(L876="F-90",5,IF(L876="F-120",6,IF(L876="F-150",7,0)))))),0),0)+IF(AND(O876="FIRE TEX 5090",E876="CJ",J876=3),VLOOKUP(_xlfn.MINIFS('FIRE TEX 5090'!$R$5:$R$30,'FIRE TEX 5090'!$R$5:$R$30,"&gt;="&amp;M876),'FIRE TEX 5090'!$R$5:$W$30,IF(L876="F-15",2,IF(L876="F-30",3,IF(L876="F-60",4,IF(L876="F-90",5,IF(L876="F-120",6,IF(L876="F-150",7,0)))))),0),0)+IF(AND(O876="FIRE TEX 5090",E876="CJ",J876=4),VLOOKUP(_xlfn.MINIFS('FIRE TEX 5090'!$Y$5:$Y$39,'FIRE TEX 5090'!$Y$5:$Y$39,"&gt;="&amp;M876),'FIRE TEX 5090'!$Y$5:$AD$39,IF(L876="F-15",2,IF(L876="F-30",3,IF(L876="F-60",4,IF(L876="F-90",5,IF(L876="F-120",6,IF(L876="F-150",7,0)))))),0),0)+IF(AND(O876="FIRE TEX 5120",OR(E876="IN",E876="C",E876="Z",E876="L"),J876=3),VLOOKUP(_xlfn.MINIFS('FIRE TEX 5120'!$B$5:$B$40,'FIRE TEX 5120'!$B$5:$B$40,"&gt;="&amp;M876),'FIRE TEX 5120'!$B$5:$G$40,IF(L876="F-15",2,IF(L876="F-30",3,IF(L876="F-60",4,IF(L876="F-90",5,IF(L876="F-120",6,0))))),0),0)+IF(AND(O876="FIRE TEX 5120",OR(E876="IN",E876="C",E876="Z",E876="L"),J876=4),VLOOKUP(_xlfn.MINIFS('FIRE TEX 5120'!$H$4:$H$40,'FIRE TEX 5120'!$H$4:$H$40,"&gt;="&amp;M876),'FIRE TEX 5120'!$H$4:$M$40,IF(L876="F-15",2,IF(L876="F-30",3,IF(L876="F-60",4,IF(L876="F-90",5,IF(L876="F-120",6,0))))),0),0)+IF(AND(O876="FIRE TEX 5120",E876="CJ"),VLOOKUP(_xlfn.MINIFS('FIRE TEX 5120'!$O$5:$O$40,'FIRE TEX 5120'!$O$5:$O$40,"&gt;="&amp;M876),'FIRE TEX 5120'!$O$5:$T$40,IF(L876="F-15",2,IF(L876="F-30",3,IF(L876="F-60",4,IF(L876="F-90",5,IF(L876="F-120",6,0))))),0),0)</f>
        <v>0</v>
      </c>
      <c r="Q876" s="46">
        <f t="shared" si="84"/>
        <v>0</v>
      </c>
      <c r="R876" s="46">
        <f t="shared" si="85"/>
        <v>0</v>
      </c>
      <c r="S876" s="46" t="e">
        <f t="shared" si="86"/>
        <v>#VALUE!</v>
      </c>
      <c r="T876" s="677">
        <f t="shared" si="87"/>
        <v>0</v>
      </c>
      <c r="U876" s="80">
        <f>(IF(O876="Stofire",(S876*#REF!),0))+(IF(O876="Fire Control",(S876*$U$2),0))+(IF(O876="Fire Tex",(S876*$U$3),0))+(IF(O876="WB7",(S876*#REF!),0)+(IF(O876="FX 2003",(S876*$U$5),0)))</f>
        <v>0</v>
      </c>
      <c r="V876" s="651">
        <f t="shared" si="88"/>
        <v>0</v>
      </c>
    </row>
    <row r="877" spans="4:22" x14ac:dyDescent="0.25">
      <c r="D877" s="118">
        <f>+CUBICACION!D876</f>
        <v>0</v>
      </c>
      <c r="E877" s="118">
        <f>+CUBICACION!F876</f>
        <v>0</v>
      </c>
      <c r="F877" s="118">
        <f>+CUBICACION!E876</f>
        <v>0</v>
      </c>
      <c r="G877" s="118">
        <v>12</v>
      </c>
      <c r="H877" s="118">
        <v>2</v>
      </c>
      <c r="I877" s="820">
        <v>26385</v>
      </c>
      <c r="J877" s="118">
        <f>+CUBICACION!J876</f>
        <v>0</v>
      </c>
      <c r="K877" s="118">
        <v>3656</v>
      </c>
      <c r="L877" s="118">
        <f>+CUBICACION!L876</f>
        <v>0</v>
      </c>
      <c r="M877" s="64">
        <f>+CUBICACION!M876</f>
        <v>0</v>
      </c>
      <c r="N877" s="824" t="str">
        <f>+CUBICACION!N876</f>
        <v/>
      </c>
      <c r="O877" s="675">
        <f>+CUBICACION!O876</f>
        <v>0</v>
      </c>
      <c r="P877" s="15">
        <f>IF(O877="Fire Control",VLOOKUP(_xlfn.MINIFS('FIRE CONTROL'!$C$4:$C$37,'FIRE CONTROL'!$C$4:$C$37,"&gt;="&amp;M877),'FIRE CONTROL'!$C$4:$G$37,IF(L877="F-15",2,IF(L877="F-30",3,IF(L877="F-60",4,IF(L877="F-90",5,0)))),0),0)+IF(AND(O877="FIRE TEX 5062",OR(E877="IN",E877="C",E877="Z",E877="L"),J877=3),VLOOKUP(_xlfn.MINIFS('FIRE TEX 5062'!$B$4:$B$34,'FIRE TEX 5062'!$B$4:$B$34,"&gt;="&amp;M877),'FIRE TEX 5062'!$B$4:$F$34,IF(L877="F-15",2,IF(L877="F-30",3,IF(L877="F-60",4,IF(L877="F-90",5,0)))),0),0)+IF(AND(O877="FIRE TEX 5062",OR(E877="IN",E877="C",E877="Z",E877="L"),J877=4),VLOOKUP(_xlfn.MINIFS('FIRE TEX 5062'!$G$4:$G$34,'FIRE TEX 5062'!$G$4:$G$34,"&gt;="&amp;M877),'FIRE TEX 5062'!$G$4:$K$34,IF(L877="F-15",2,IF(L877="F-30",3,IF(L877="F-60",4,IF(L877="F-90",5,0)))),0),0)+IF(AND(O877="FIRE TEX 5062",E877="CJ",J877=3),VLOOKUP(_xlfn.MINIFS('FIRE TEX 5062'!$L$4:$L$34,'FIRE TEX 5062'!$L$4:$L$34,"&gt;="&amp;M877),'FIRE TEX 5062'!$L$4:$P$34,IF(L877="F-15",2,IF(L877="F-30",3,IF(L877="F-60",4,IF(L877="F-90",5,0)))),0),0)+IF(AND(O877="FIRE TEX 5062",E877="CJ",J877=4),VLOOKUP(_xlfn.MINIFS('FIRE TEX 5062'!$Q$3:$Q$34,'FIRE TEX 5062'!$Q$3:$Q$34,"&gt;="&amp;M877),'FIRE TEX 5062'!$Q$3:$U$34,IF(L877="F-15",2,IF(L877="F-30",3,IF(L877="F-60",4,IF(L877="F-90",5,0)))),0),0)+IF(AND(O877="FIRE TEX 5090",OR(E877="IN",E877="C",E877="Z",E877="L"),J877=3),VLOOKUP(_xlfn.MINIFS('FIRE TEX 5090'!$B$5:$B$43,'FIRE TEX 5090'!$B$5:$B$43,"&gt;="&amp;M877),'FIRE TEX 5090'!$B$5:$H$43,IF(L877="F-15",2,IF(L877="F-30",3,IF(L877="F-60",4,IF(L877="F-90",5,IF(L877="F-120",6,IF(L877="F-150",7,0)))))),0),0)+IF(AND(O877="FIRE TEX 5090",OR(E877="IN",E877="C",E877="Z",E877="L"),J877=4),VLOOKUP(_xlfn.MINIFS('FIRE TEX 5090'!$J$5:$J$43,'FIRE TEX 5090'!$J$5:$J$43,"&gt;="&amp;M877),'FIRE TEX 5090'!$J$5:$P$43,IF(L877="F-15",2,IF(L877="F-30",3,IF(L877="F-60",4,IF(L877="F-90",5,IF(L877="F-120",6,IF(L877="F-150",7,0)))))),0),0)+IF(AND(O877="FIRE TEX 5090",E877="CJ",J877=3),VLOOKUP(_xlfn.MINIFS('FIRE TEX 5090'!$R$5:$R$30,'FIRE TEX 5090'!$R$5:$R$30,"&gt;="&amp;M877),'FIRE TEX 5090'!$R$5:$W$30,IF(L877="F-15",2,IF(L877="F-30",3,IF(L877="F-60",4,IF(L877="F-90",5,IF(L877="F-120",6,IF(L877="F-150",7,0)))))),0),0)+IF(AND(O877="FIRE TEX 5090",E877="CJ",J877=4),VLOOKUP(_xlfn.MINIFS('FIRE TEX 5090'!$Y$5:$Y$39,'FIRE TEX 5090'!$Y$5:$Y$39,"&gt;="&amp;M877),'FIRE TEX 5090'!$Y$5:$AD$39,IF(L877="F-15",2,IF(L877="F-30",3,IF(L877="F-60",4,IF(L877="F-90",5,IF(L877="F-120",6,IF(L877="F-150",7,0)))))),0),0)+IF(AND(O877="FIRE TEX 5120",OR(E877="IN",E877="C",E877="Z",E877="L"),J877=3),VLOOKUP(_xlfn.MINIFS('FIRE TEX 5120'!$B$5:$B$40,'FIRE TEX 5120'!$B$5:$B$40,"&gt;="&amp;M877),'FIRE TEX 5120'!$B$5:$G$40,IF(L877="F-15",2,IF(L877="F-30",3,IF(L877="F-60",4,IF(L877="F-90",5,IF(L877="F-120",6,0))))),0),0)+IF(AND(O877="FIRE TEX 5120",OR(E877="IN",E877="C",E877="Z",E877="L"),J877=4),VLOOKUP(_xlfn.MINIFS('FIRE TEX 5120'!$H$4:$H$40,'FIRE TEX 5120'!$H$4:$H$40,"&gt;="&amp;M877),'FIRE TEX 5120'!$H$4:$M$40,IF(L877="F-15",2,IF(L877="F-30",3,IF(L877="F-60",4,IF(L877="F-90",5,IF(L877="F-120",6,0))))),0),0)+IF(AND(O877="FIRE TEX 5120",E877="CJ"),VLOOKUP(_xlfn.MINIFS('FIRE TEX 5120'!$O$5:$O$40,'FIRE TEX 5120'!$O$5:$O$40,"&gt;="&amp;M877),'FIRE TEX 5120'!$O$5:$T$40,IF(L877="F-15",2,IF(L877="F-30",3,IF(L877="F-60",4,IF(L877="F-90",5,IF(L877="F-120",6,0))))),0),0)</f>
        <v>0</v>
      </c>
      <c r="Q877" s="46">
        <f t="shared" ref="Q877:Q940" si="89">IF(P877="","",IF(P877="dar valor","",0.03937*P877))</f>
        <v>0</v>
      </c>
      <c r="R877" s="46">
        <f t="shared" ref="R877:R940" si="90">+(IF(O877="Fire Control",((65*1.5/Q877)*0.75*4),0))+(IF(OR(O877="Fire Tex 5062",O877="Fire Tex 5090",O877="Fire Tex 5120"),((66*1.5/Q877)*0.7*5),0))</f>
        <v>0</v>
      </c>
      <c r="S877" s="46" t="e">
        <f t="shared" ref="S877:S940" si="91">IF(R877="","",+N877/R877)</f>
        <v>#VALUE!</v>
      </c>
      <c r="T877" s="677">
        <f t="shared" ref="T877:T940" si="92">(IF(O877="Stofire",(S877/(7*1)),0))+(IF(O877="Fire Control",(S877/(7*1)),0))+(IF(O877="Fire Tex",(S877/(7*1)),0))+(IF(O877="WB7",(S877/(7*1)),0))+(IF(O877="FX 2003",(S877/(7*1)),0))</f>
        <v>0</v>
      </c>
      <c r="U877" s="80">
        <f>(IF(O877="Stofire",(S877*#REF!),0))+(IF(O877="Fire Control",(S877*$U$2),0))+(IF(O877="Fire Tex",(S877*$U$3),0))+(IF(O877="WB7",(S877*#REF!),0)+(IF(O877="FX 2003",(S877*$U$5),0)))</f>
        <v>0</v>
      </c>
      <c r="V877" s="651">
        <f t="shared" ref="V877:V940" si="93">_xlfn.CEILING.MATH(M877,10)</f>
        <v>0</v>
      </c>
    </row>
    <row r="878" spans="4:22" x14ac:dyDescent="0.25">
      <c r="D878" s="118">
        <f>+CUBICACION!D877</f>
        <v>0</v>
      </c>
      <c r="E878" s="118">
        <f>+CUBICACION!F877</f>
        <v>0</v>
      </c>
      <c r="F878" s="118">
        <f>+CUBICACION!E877</f>
        <v>0</v>
      </c>
      <c r="G878" s="118">
        <v>12</v>
      </c>
      <c r="H878" s="118">
        <v>2</v>
      </c>
      <c r="I878" s="820">
        <v>26385</v>
      </c>
      <c r="J878" s="118">
        <f>+CUBICACION!J877</f>
        <v>0</v>
      </c>
      <c r="K878" s="118">
        <v>3657</v>
      </c>
      <c r="L878" s="118">
        <f>+CUBICACION!L877</f>
        <v>0</v>
      </c>
      <c r="M878" s="64">
        <f>+CUBICACION!M877</f>
        <v>0</v>
      </c>
      <c r="N878" s="824" t="str">
        <f>+CUBICACION!N877</f>
        <v/>
      </c>
      <c r="O878" s="675">
        <f>+CUBICACION!O877</f>
        <v>0</v>
      </c>
      <c r="P878" s="15">
        <f>IF(O878="Fire Control",VLOOKUP(_xlfn.MINIFS('FIRE CONTROL'!$C$4:$C$37,'FIRE CONTROL'!$C$4:$C$37,"&gt;="&amp;M878),'FIRE CONTROL'!$C$4:$G$37,IF(L878="F-15",2,IF(L878="F-30",3,IF(L878="F-60",4,IF(L878="F-90",5,0)))),0),0)+IF(AND(O878="FIRE TEX 5062",OR(E878="IN",E878="C",E878="Z",E878="L"),J878=3),VLOOKUP(_xlfn.MINIFS('FIRE TEX 5062'!$B$4:$B$34,'FIRE TEX 5062'!$B$4:$B$34,"&gt;="&amp;M878),'FIRE TEX 5062'!$B$4:$F$34,IF(L878="F-15",2,IF(L878="F-30",3,IF(L878="F-60",4,IF(L878="F-90",5,0)))),0),0)+IF(AND(O878="FIRE TEX 5062",OR(E878="IN",E878="C",E878="Z",E878="L"),J878=4),VLOOKUP(_xlfn.MINIFS('FIRE TEX 5062'!$G$4:$G$34,'FIRE TEX 5062'!$G$4:$G$34,"&gt;="&amp;M878),'FIRE TEX 5062'!$G$4:$K$34,IF(L878="F-15",2,IF(L878="F-30",3,IF(L878="F-60",4,IF(L878="F-90",5,0)))),0),0)+IF(AND(O878="FIRE TEX 5062",E878="CJ",J878=3),VLOOKUP(_xlfn.MINIFS('FIRE TEX 5062'!$L$4:$L$34,'FIRE TEX 5062'!$L$4:$L$34,"&gt;="&amp;M878),'FIRE TEX 5062'!$L$4:$P$34,IF(L878="F-15",2,IF(L878="F-30",3,IF(L878="F-60",4,IF(L878="F-90",5,0)))),0),0)+IF(AND(O878="FIRE TEX 5062",E878="CJ",J878=4),VLOOKUP(_xlfn.MINIFS('FIRE TEX 5062'!$Q$3:$Q$34,'FIRE TEX 5062'!$Q$3:$Q$34,"&gt;="&amp;M878),'FIRE TEX 5062'!$Q$3:$U$34,IF(L878="F-15",2,IF(L878="F-30",3,IF(L878="F-60",4,IF(L878="F-90",5,0)))),0),0)+IF(AND(O878="FIRE TEX 5090",OR(E878="IN",E878="C",E878="Z",E878="L"),J878=3),VLOOKUP(_xlfn.MINIFS('FIRE TEX 5090'!$B$5:$B$43,'FIRE TEX 5090'!$B$5:$B$43,"&gt;="&amp;M878),'FIRE TEX 5090'!$B$5:$H$43,IF(L878="F-15",2,IF(L878="F-30",3,IF(L878="F-60",4,IF(L878="F-90",5,IF(L878="F-120",6,IF(L878="F-150",7,0)))))),0),0)+IF(AND(O878="FIRE TEX 5090",OR(E878="IN",E878="C",E878="Z",E878="L"),J878=4),VLOOKUP(_xlfn.MINIFS('FIRE TEX 5090'!$J$5:$J$43,'FIRE TEX 5090'!$J$5:$J$43,"&gt;="&amp;M878),'FIRE TEX 5090'!$J$5:$P$43,IF(L878="F-15",2,IF(L878="F-30",3,IF(L878="F-60",4,IF(L878="F-90",5,IF(L878="F-120",6,IF(L878="F-150",7,0)))))),0),0)+IF(AND(O878="FIRE TEX 5090",E878="CJ",J878=3),VLOOKUP(_xlfn.MINIFS('FIRE TEX 5090'!$R$5:$R$30,'FIRE TEX 5090'!$R$5:$R$30,"&gt;="&amp;M878),'FIRE TEX 5090'!$R$5:$W$30,IF(L878="F-15",2,IF(L878="F-30",3,IF(L878="F-60",4,IF(L878="F-90",5,IF(L878="F-120",6,IF(L878="F-150",7,0)))))),0),0)+IF(AND(O878="FIRE TEX 5090",E878="CJ",J878=4),VLOOKUP(_xlfn.MINIFS('FIRE TEX 5090'!$Y$5:$Y$39,'FIRE TEX 5090'!$Y$5:$Y$39,"&gt;="&amp;M878),'FIRE TEX 5090'!$Y$5:$AD$39,IF(L878="F-15",2,IF(L878="F-30",3,IF(L878="F-60",4,IF(L878="F-90",5,IF(L878="F-120",6,IF(L878="F-150",7,0)))))),0),0)+IF(AND(O878="FIRE TEX 5120",OR(E878="IN",E878="C",E878="Z",E878="L"),J878=3),VLOOKUP(_xlfn.MINIFS('FIRE TEX 5120'!$B$5:$B$40,'FIRE TEX 5120'!$B$5:$B$40,"&gt;="&amp;M878),'FIRE TEX 5120'!$B$5:$G$40,IF(L878="F-15",2,IF(L878="F-30",3,IF(L878="F-60",4,IF(L878="F-90",5,IF(L878="F-120",6,0))))),0),0)+IF(AND(O878="FIRE TEX 5120",OR(E878="IN",E878="C",E878="Z",E878="L"),J878=4),VLOOKUP(_xlfn.MINIFS('FIRE TEX 5120'!$H$4:$H$40,'FIRE TEX 5120'!$H$4:$H$40,"&gt;="&amp;M878),'FIRE TEX 5120'!$H$4:$M$40,IF(L878="F-15",2,IF(L878="F-30",3,IF(L878="F-60",4,IF(L878="F-90",5,IF(L878="F-120",6,0))))),0),0)+IF(AND(O878="FIRE TEX 5120",E878="CJ"),VLOOKUP(_xlfn.MINIFS('FIRE TEX 5120'!$O$5:$O$40,'FIRE TEX 5120'!$O$5:$O$40,"&gt;="&amp;M878),'FIRE TEX 5120'!$O$5:$T$40,IF(L878="F-15",2,IF(L878="F-30",3,IF(L878="F-60",4,IF(L878="F-90",5,IF(L878="F-120",6,0))))),0),0)</f>
        <v>0</v>
      </c>
      <c r="Q878" s="46">
        <f t="shared" si="89"/>
        <v>0</v>
      </c>
      <c r="R878" s="46">
        <f t="shared" si="90"/>
        <v>0</v>
      </c>
      <c r="S878" s="46" t="e">
        <f t="shared" si="91"/>
        <v>#VALUE!</v>
      </c>
      <c r="T878" s="677">
        <f t="shared" si="92"/>
        <v>0</v>
      </c>
      <c r="U878" s="80">
        <f>(IF(O878="Stofire",(S878*#REF!),0))+(IF(O878="Fire Control",(S878*$U$2),0))+(IF(O878="Fire Tex",(S878*$U$3),0))+(IF(O878="WB7",(S878*#REF!),0)+(IF(O878="FX 2003",(S878*$U$5),0)))</f>
        <v>0</v>
      </c>
      <c r="V878" s="651">
        <f t="shared" si="93"/>
        <v>0</v>
      </c>
    </row>
    <row r="879" spans="4:22" x14ac:dyDescent="0.25">
      <c r="D879" s="118">
        <f>+CUBICACION!D878</f>
        <v>0</v>
      </c>
      <c r="E879" s="118">
        <f>+CUBICACION!F878</f>
        <v>0</v>
      </c>
      <c r="F879" s="118">
        <f>+CUBICACION!E878</f>
        <v>0</v>
      </c>
      <c r="G879" s="118">
        <v>12</v>
      </c>
      <c r="H879" s="118">
        <v>2</v>
      </c>
      <c r="I879" s="820">
        <v>26385</v>
      </c>
      <c r="J879" s="118">
        <f>+CUBICACION!J878</f>
        <v>0</v>
      </c>
      <c r="K879" s="118">
        <v>3658</v>
      </c>
      <c r="L879" s="118">
        <f>+CUBICACION!L878</f>
        <v>0</v>
      </c>
      <c r="M879" s="64">
        <f>+CUBICACION!M878</f>
        <v>0</v>
      </c>
      <c r="N879" s="824" t="str">
        <f>+CUBICACION!N878</f>
        <v/>
      </c>
      <c r="O879" s="675">
        <f>+CUBICACION!O878</f>
        <v>0</v>
      </c>
      <c r="P879" s="15">
        <f>IF(O879="Fire Control",VLOOKUP(_xlfn.MINIFS('FIRE CONTROL'!$C$4:$C$37,'FIRE CONTROL'!$C$4:$C$37,"&gt;="&amp;M879),'FIRE CONTROL'!$C$4:$G$37,IF(L879="F-15",2,IF(L879="F-30",3,IF(L879="F-60",4,IF(L879="F-90",5,0)))),0),0)+IF(AND(O879="FIRE TEX 5062",OR(E879="IN",E879="C",E879="Z",E879="L"),J879=3),VLOOKUP(_xlfn.MINIFS('FIRE TEX 5062'!$B$4:$B$34,'FIRE TEX 5062'!$B$4:$B$34,"&gt;="&amp;M879),'FIRE TEX 5062'!$B$4:$F$34,IF(L879="F-15",2,IF(L879="F-30",3,IF(L879="F-60",4,IF(L879="F-90",5,0)))),0),0)+IF(AND(O879="FIRE TEX 5062",OR(E879="IN",E879="C",E879="Z",E879="L"),J879=4),VLOOKUP(_xlfn.MINIFS('FIRE TEX 5062'!$G$4:$G$34,'FIRE TEX 5062'!$G$4:$G$34,"&gt;="&amp;M879),'FIRE TEX 5062'!$G$4:$K$34,IF(L879="F-15",2,IF(L879="F-30",3,IF(L879="F-60",4,IF(L879="F-90",5,0)))),0),0)+IF(AND(O879="FIRE TEX 5062",E879="CJ",J879=3),VLOOKUP(_xlfn.MINIFS('FIRE TEX 5062'!$L$4:$L$34,'FIRE TEX 5062'!$L$4:$L$34,"&gt;="&amp;M879),'FIRE TEX 5062'!$L$4:$P$34,IF(L879="F-15",2,IF(L879="F-30",3,IF(L879="F-60",4,IF(L879="F-90",5,0)))),0),0)+IF(AND(O879="FIRE TEX 5062",E879="CJ",J879=4),VLOOKUP(_xlfn.MINIFS('FIRE TEX 5062'!$Q$3:$Q$34,'FIRE TEX 5062'!$Q$3:$Q$34,"&gt;="&amp;M879),'FIRE TEX 5062'!$Q$3:$U$34,IF(L879="F-15",2,IF(L879="F-30",3,IF(L879="F-60",4,IF(L879="F-90",5,0)))),0),0)+IF(AND(O879="FIRE TEX 5090",OR(E879="IN",E879="C",E879="Z",E879="L"),J879=3),VLOOKUP(_xlfn.MINIFS('FIRE TEX 5090'!$B$5:$B$43,'FIRE TEX 5090'!$B$5:$B$43,"&gt;="&amp;M879),'FIRE TEX 5090'!$B$5:$H$43,IF(L879="F-15",2,IF(L879="F-30",3,IF(L879="F-60",4,IF(L879="F-90",5,IF(L879="F-120",6,IF(L879="F-150",7,0)))))),0),0)+IF(AND(O879="FIRE TEX 5090",OR(E879="IN",E879="C",E879="Z",E879="L"),J879=4),VLOOKUP(_xlfn.MINIFS('FIRE TEX 5090'!$J$5:$J$43,'FIRE TEX 5090'!$J$5:$J$43,"&gt;="&amp;M879),'FIRE TEX 5090'!$J$5:$P$43,IF(L879="F-15",2,IF(L879="F-30",3,IF(L879="F-60",4,IF(L879="F-90",5,IF(L879="F-120",6,IF(L879="F-150",7,0)))))),0),0)+IF(AND(O879="FIRE TEX 5090",E879="CJ",J879=3),VLOOKUP(_xlfn.MINIFS('FIRE TEX 5090'!$R$5:$R$30,'FIRE TEX 5090'!$R$5:$R$30,"&gt;="&amp;M879),'FIRE TEX 5090'!$R$5:$W$30,IF(L879="F-15",2,IF(L879="F-30",3,IF(L879="F-60",4,IF(L879="F-90",5,IF(L879="F-120",6,IF(L879="F-150",7,0)))))),0),0)+IF(AND(O879="FIRE TEX 5090",E879="CJ",J879=4),VLOOKUP(_xlfn.MINIFS('FIRE TEX 5090'!$Y$5:$Y$39,'FIRE TEX 5090'!$Y$5:$Y$39,"&gt;="&amp;M879),'FIRE TEX 5090'!$Y$5:$AD$39,IF(L879="F-15",2,IF(L879="F-30",3,IF(L879="F-60",4,IF(L879="F-90",5,IF(L879="F-120",6,IF(L879="F-150",7,0)))))),0),0)+IF(AND(O879="FIRE TEX 5120",OR(E879="IN",E879="C",E879="Z",E879="L"),J879=3),VLOOKUP(_xlfn.MINIFS('FIRE TEX 5120'!$B$5:$B$40,'FIRE TEX 5120'!$B$5:$B$40,"&gt;="&amp;M879),'FIRE TEX 5120'!$B$5:$G$40,IF(L879="F-15",2,IF(L879="F-30",3,IF(L879="F-60",4,IF(L879="F-90",5,IF(L879="F-120",6,0))))),0),0)+IF(AND(O879="FIRE TEX 5120",OR(E879="IN",E879="C",E879="Z",E879="L"),J879=4),VLOOKUP(_xlfn.MINIFS('FIRE TEX 5120'!$H$4:$H$40,'FIRE TEX 5120'!$H$4:$H$40,"&gt;="&amp;M879),'FIRE TEX 5120'!$H$4:$M$40,IF(L879="F-15",2,IF(L879="F-30",3,IF(L879="F-60",4,IF(L879="F-90",5,IF(L879="F-120",6,0))))),0),0)+IF(AND(O879="FIRE TEX 5120",E879="CJ"),VLOOKUP(_xlfn.MINIFS('FIRE TEX 5120'!$O$5:$O$40,'FIRE TEX 5120'!$O$5:$O$40,"&gt;="&amp;M879),'FIRE TEX 5120'!$O$5:$T$40,IF(L879="F-15",2,IF(L879="F-30",3,IF(L879="F-60",4,IF(L879="F-90",5,IF(L879="F-120",6,0))))),0),0)</f>
        <v>0</v>
      </c>
      <c r="Q879" s="46">
        <f t="shared" si="89"/>
        <v>0</v>
      </c>
      <c r="R879" s="46">
        <f t="shared" si="90"/>
        <v>0</v>
      </c>
      <c r="S879" s="46" t="e">
        <f t="shared" si="91"/>
        <v>#VALUE!</v>
      </c>
      <c r="T879" s="677">
        <f t="shared" si="92"/>
        <v>0</v>
      </c>
      <c r="U879" s="80">
        <f>(IF(O879="Stofire",(S879*#REF!),0))+(IF(O879="Fire Control",(S879*$U$2),0))+(IF(O879="Fire Tex",(S879*$U$3),0))+(IF(O879="WB7",(S879*#REF!),0)+(IF(O879="FX 2003",(S879*$U$5),0)))</f>
        <v>0</v>
      </c>
      <c r="V879" s="651">
        <f t="shared" si="93"/>
        <v>0</v>
      </c>
    </row>
    <row r="880" spans="4:22" x14ac:dyDescent="0.25">
      <c r="D880" s="118">
        <f>+CUBICACION!D879</f>
        <v>0</v>
      </c>
      <c r="E880" s="118">
        <f>+CUBICACION!F879</f>
        <v>0</v>
      </c>
      <c r="F880" s="118">
        <f>+CUBICACION!E879</f>
        <v>0</v>
      </c>
      <c r="G880" s="118">
        <v>12</v>
      </c>
      <c r="H880" s="118">
        <v>2</v>
      </c>
      <c r="I880" s="820">
        <v>26385</v>
      </c>
      <c r="J880" s="118">
        <f>+CUBICACION!J879</f>
        <v>0</v>
      </c>
      <c r="K880" s="118">
        <v>3659</v>
      </c>
      <c r="L880" s="118">
        <f>+CUBICACION!L879</f>
        <v>0</v>
      </c>
      <c r="M880" s="64">
        <f>+CUBICACION!M879</f>
        <v>0</v>
      </c>
      <c r="N880" s="824" t="str">
        <f>+CUBICACION!N879</f>
        <v/>
      </c>
      <c r="O880" s="675">
        <f>+CUBICACION!O879</f>
        <v>0</v>
      </c>
      <c r="P880" s="15">
        <f>IF(O880="Fire Control",VLOOKUP(_xlfn.MINIFS('FIRE CONTROL'!$C$4:$C$37,'FIRE CONTROL'!$C$4:$C$37,"&gt;="&amp;M880),'FIRE CONTROL'!$C$4:$G$37,IF(L880="F-15",2,IF(L880="F-30",3,IF(L880="F-60",4,IF(L880="F-90",5,0)))),0),0)+IF(AND(O880="FIRE TEX 5062",OR(E880="IN",E880="C",E880="Z",E880="L"),J880=3),VLOOKUP(_xlfn.MINIFS('FIRE TEX 5062'!$B$4:$B$34,'FIRE TEX 5062'!$B$4:$B$34,"&gt;="&amp;M880),'FIRE TEX 5062'!$B$4:$F$34,IF(L880="F-15",2,IF(L880="F-30",3,IF(L880="F-60",4,IF(L880="F-90",5,0)))),0),0)+IF(AND(O880="FIRE TEX 5062",OR(E880="IN",E880="C",E880="Z",E880="L"),J880=4),VLOOKUP(_xlfn.MINIFS('FIRE TEX 5062'!$G$4:$G$34,'FIRE TEX 5062'!$G$4:$G$34,"&gt;="&amp;M880),'FIRE TEX 5062'!$G$4:$K$34,IF(L880="F-15",2,IF(L880="F-30",3,IF(L880="F-60",4,IF(L880="F-90",5,0)))),0),0)+IF(AND(O880="FIRE TEX 5062",E880="CJ",J880=3),VLOOKUP(_xlfn.MINIFS('FIRE TEX 5062'!$L$4:$L$34,'FIRE TEX 5062'!$L$4:$L$34,"&gt;="&amp;M880),'FIRE TEX 5062'!$L$4:$P$34,IF(L880="F-15",2,IF(L880="F-30",3,IF(L880="F-60",4,IF(L880="F-90",5,0)))),0),0)+IF(AND(O880="FIRE TEX 5062",E880="CJ",J880=4),VLOOKUP(_xlfn.MINIFS('FIRE TEX 5062'!$Q$3:$Q$34,'FIRE TEX 5062'!$Q$3:$Q$34,"&gt;="&amp;M880),'FIRE TEX 5062'!$Q$3:$U$34,IF(L880="F-15",2,IF(L880="F-30",3,IF(L880="F-60",4,IF(L880="F-90",5,0)))),0),0)+IF(AND(O880="FIRE TEX 5090",OR(E880="IN",E880="C",E880="Z",E880="L"),J880=3),VLOOKUP(_xlfn.MINIFS('FIRE TEX 5090'!$B$5:$B$43,'FIRE TEX 5090'!$B$5:$B$43,"&gt;="&amp;M880),'FIRE TEX 5090'!$B$5:$H$43,IF(L880="F-15",2,IF(L880="F-30",3,IF(L880="F-60",4,IF(L880="F-90",5,IF(L880="F-120",6,IF(L880="F-150",7,0)))))),0),0)+IF(AND(O880="FIRE TEX 5090",OR(E880="IN",E880="C",E880="Z",E880="L"),J880=4),VLOOKUP(_xlfn.MINIFS('FIRE TEX 5090'!$J$5:$J$43,'FIRE TEX 5090'!$J$5:$J$43,"&gt;="&amp;M880),'FIRE TEX 5090'!$J$5:$P$43,IF(L880="F-15",2,IF(L880="F-30",3,IF(L880="F-60",4,IF(L880="F-90",5,IF(L880="F-120",6,IF(L880="F-150",7,0)))))),0),0)+IF(AND(O880="FIRE TEX 5090",E880="CJ",J880=3),VLOOKUP(_xlfn.MINIFS('FIRE TEX 5090'!$R$5:$R$30,'FIRE TEX 5090'!$R$5:$R$30,"&gt;="&amp;M880),'FIRE TEX 5090'!$R$5:$W$30,IF(L880="F-15",2,IF(L880="F-30",3,IF(L880="F-60",4,IF(L880="F-90",5,IF(L880="F-120",6,IF(L880="F-150",7,0)))))),0),0)+IF(AND(O880="FIRE TEX 5090",E880="CJ",J880=4),VLOOKUP(_xlfn.MINIFS('FIRE TEX 5090'!$Y$5:$Y$39,'FIRE TEX 5090'!$Y$5:$Y$39,"&gt;="&amp;M880),'FIRE TEX 5090'!$Y$5:$AD$39,IF(L880="F-15",2,IF(L880="F-30",3,IF(L880="F-60",4,IF(L880="F-90",5,IF(L880="F-120",6,IF(L880="F-150",7,0)))))),0),0)+IF(AND(O880="FIRE TEX 5120",OR(E880="IN",E880="C",E880="Z",E880="L"),J880=3),VLOOKUP(_xlfn.MINIFS('FIRE TEX 5120'!$B$5:$B$40,'FIRE TEX 5120'!$B$5:$B$40,"&gt;="&amp;M880),'FIRE TEX 5120'!$B$5:$G$40,IF(L880="F-15",2,IF(L880="F-30",3,IF(L880="F-60",4,IF(L880="F-90",5,IF(L880="F-120",6,0))))),0),0)+IF(AND(O880="FIRE TEX 5120",OR(E880="IN",E880="C",E880="Z",E880="L"),J880=4),VLOOKUP(_xlfn.MINIFS('FIRE TEX 5120'!$H$4:$H$40,'FIRE TEX 5120'!$H$4:$H$40,"&gt;="&amp;M880),'FIRE TEX 5120'!$H$4:$M$40,IF(L880="F-15",2,IF(L880="F-30",3,IF(L880="F-60",4,IF(L880="F-90",5,IF(L880="F-120",6,0))))),0),0)+IF(AND(O880="FIRE TEX 5120",E880="CJ"),VLOOKUP(_xlfn.MINIFS('FIRE TEX 5120'!$O$5:$O$40,'FIRE TEX 5120'!$O$5:$O$40,"&gt;="&amp;M880),'FIRE TEX 5120'!$O$5:$T$40,IF(L880="F-15",2,IF(L880="F-30",3,IF(L880="F-60",4,IF(L880="F-90",5,IF(L880="F-120",6,0))))),0),0)</f>
        <v>0</v>
      </c>
      <c r="Q880" s="46">
        <f t="shared" si="89"/>
        <v>0</v>
      </c>
      <c r="R880" s="46">
        <f t="shared" si="90"/>
        <v>0</v>
      </c>
      <c r="S880" s="46" t="e">
        <f t="shared" si="91"/>
        <v>#VALUE!</v>
      </c>
      <c r="T880" s="677">
        <f t="shared" si="92"/>
        <v>0</v>
      </c>
      <c r="U880" s="80">
        <f>(IF(O880="Stofire",(S880*#REF!),0))+(IF(O880="Fire Control",(S880*$U$2),0))+(IF(O880="Fire Tex",(S880*$U$3),0))+(IF(O880="WB7",(S880*#REF!),0)+(IF(O880="FX 2003",(S880*$U$5),0)))</f>
        <v>0</v>
      </c>
      <c r="V880" s="651">
        <f t="shared" si="93"/>
        <v>0</v>
      </c>
    </row>
    <row r="881" spans="4:22" x14ac:dyDescent="0.25">
      <c r="D881" s="118">
        <f>+CUBICACION!D880</f>
        <v>0</v>
      </c>
      <c r="E881" s="118">
        <f>+CUBICACION!F880</f>
        <v>0</v>
      </c>
      <c r="F881" s="118">
        <f>+CUBICACION!E880</f>
        <v>0</v>
      </c>
      <c r="G881" s="118">
        <v>12</v>
      </c>
      <c r="H881" s="118">
        <v>2</v>
      </c>
      <c r="I881" s="820">
        <v>26385</v>
      </c>
      <c r="J881" s="118">
        <f>+CUBICACION!J880</f>
        <v>0</v>
      </c>
      <c r="K881" s="118">
        <v>3660</v>
      </c>
      <c r="L881" s="118">
        <f>+CUBICACION!L880</f>
        <v>0</v>
      </c>
      <c r="M881" s="64">
        <f>+CUBICACION!M880</f>
        <v>0</v>
      </c>
      <c r="N881" s="824" t="str">
        <f>+CUBICACION!N880</f>
        <v/>
      </c>
      <c r="O881" s="675">
        <f>+CUBICACION!O880</f>
        <v>0</v>
      </c>
      <c r="P881" s="15">
        <f>IF(O881="Fire Control",VLOOKUP(_xlfn.MINIFS('FIRE CONTROL'!$C$4:$C$37,'FIRE CONTROL'!$C$4:$C$37,"&gt;="&amp;M881),'FIRE CONTROL'!$C$4:$G$37,IF(L881="F-15",2,IF(L881="F-30",3,IF(L881="F-60",4,IF(L881="F-90",5,0)))),0),0)+IF(AND(O881="FIRE TEX 5062",OR(E881="IN",E881="C",E881="Z",E881="L"),J881=3),VLOOKUP(_xlfn.MINIFS('FIRE TEX 5062'!$B$4:$B$34,'FIRE TEX 5062'!$B$4:$B$34,"&gt;="&amp;M881),'FIRE TEX 5062'!$B$4:$F$34,IF(L881="F-15",2,IF(L881="F-30",3,IF(L881="F-60",4,IF(L881="F-90",5,0)))),0),0)+IF(AND(O881="FIRE TEX 5062",OR(E881="IN",E881="C",E881="Z",E881="L"),J881=4),VLOOKUP(_xlfn.MINIFS('FIRE TEX 5062'!$G$4:$G$34,'FIRE TEX 5062'!$G$4:$G$34,"&gt;="&amp;M881),'FIRE TEX 5062'!$G$4:$K$34,IF(L881="F-15",2,IF(L881="F-30",3,IF(L881="F-60",4,IF(L881="F-90",5,0)))),0),0)+IF(AND(O881="FIRE TEX 5062",E881="CJ",J881=3),VLOOKUP(_xlfn.MINIFS('FIRE TEX 5062'!$L$4:$L$34,'FIRE TEX 5062'!$L$4:$L$34,"&gt;="&amp;M881),'FIRE TEX 5062'!$L$4:$P$34,IF(L881="F-15",2,IF(L881="F-30",3,IF(L881="F-60",4,IF(L881="F-90",5,0)))),0),0)+IF(AND(O881="FIRE TEX 5062",E881="CJ",J881=4),VLOOKUP(_xlfn.MINIFS('FIRE TEX 5062'!$Q$3:$Q$34,'FIRE TEX 5062'!$Q$3:$Q$34,"&gt;="&amp;M881),'FIRE TEX 5062'!$Q$3:$U$34,IF(L881="F-15",2,IF(L881="F-30",3,IF(L881="F-60",4,IF(L881="F-90",5,0)))),0),0)+IF(AND(O881="FIRE TEX 5090",OR(E881="IN",E881="C",E881="Z",E881="L"),J881=3),VLOOKUP(_xlfn.MINIFS('FIRE TEX 5090'!$B$5:$B$43,'FIRE TEX 5090'!$B$5:$B$43,"&gt;="&amp;M881),'FIRE TEX 5090'!$B$5:$H$43,IF(L881="F-15",2,IF(L881="F-30",3,IF(L881="F-60",4,IF(L881="F-90",5,IF(L881="F-120",6,IF(L881="F-150",7,0)))))),0),0)+IF(AND(O881="FIRE TEX 5090",OR(E881="IN",E881="C",E881="Z",E881="L"),J881=4),VLOOKUP(_xlfn.MINIFS('FIRE TEX 5090'!$J$5:$J$43,'FIRE TEX 5090'!$J$5:$J$43,"&gt;="&amp;M881),'FIRE TEX 5090'!$J$5:$P$43,IF(L881="F-15",2,IF(L881="F-30",3,IF(L881="F-60",4,IF(L881="F-90",5,IF(L881="F-120",6,IF(L881="F-150",7,0)))))),0),0)+IF(AND(O881="FIRE TEX 5090",E881="CJ",J881=3),VLOOKUP(_xlfn.MINIFS('FIRE TEX 5090'!$R$5:$R$30,'FIRE TEX 5090'!$R$5:$R$30,"&gt;="&amp;M881),'FIRE TEX 5090'!$R$5:$W$30,IF(L881="F-15",2,IF(L881="F-30",3,IF(L881="F-60",4,IF(L881="F-90",5,IF(L881="F-120",6,IF(L881="F-150",7,0)))))),0),0)+IF(AND(O881="FIRE TEX 5090",E881="CJ",J881=4),VLOOKUP(_xlfn.MINIFS('FIRE TEX 5090'!$Y$5:$Y$39,'FIRE TEX 5090'!$Y$5:$Y$39,"&gt;="&amp;M881),'FIRE TEX 5090'!$Y$5:$AD$39,IF(L881="F-15",2,IF(L881="F-30",3,IF(L881="F-60",4,IF(L881="F-90",5,IF(L881="F-120",6,IF(L881="F-150",7,0)))))),0),0)+IF(AND(O881="FIRE TEX 5120",OR(E881="IN",E881="C",E881="Z",E881="L"),J881=3),VLOOKUP(_xlfn.MINIFS('FIRE TEX 5120'!$B$5:$B$40,'FIRE TEX 5120'!$B$5:$B$40,"&gt;="&amp;M881),'FIRE TEX 5120'!$B$5:$G$40,IF(L881="F-15",2,IF(L881="F-30",3,IF(L881="F-60",4,IF(L881="F-90",5,IF(L881="F-120",6,0))))),0),0)+IF(AND(O881="FIRE TEX 5120",OR(E881="IN",E881="C",E881="Z",E881="L"),J881=4),VLOOKUP(_xlfn.MINIFS('FIRE TEX 5120'!$H$4:$H$40,'FIRE TEX 5120'!$H$4:$H$40,"&gt;="&amp;M881),'FIRE TEX 5120'!$H$4:$M$40,IF(L881="F-15",2,IF(L881="F-30",3,IF(L881="F-60",4,IF(L881="F-90",5,IF(L881="F-120",6,0))))),0),0)+IF(AND(O881="FIRE TEX 5120",E881="CJ"),VLOOKUP(_xlfn.MINIFS('FIRE TEX 5120'!$O$5:$O$40,'FIRE TEX 5120'!$O$5:$O$40,"&gt;="&amp;M881),'FIRE TEX 5120'!$O$5:$T$40,IF(L881="F-15",2,IF(L881="F-30",3,IF(L881="F-60",4,IF(L881="F-90",5,IF(L881="F-120",6,0))))),0),0)</f>
        <v>0</v>
      </c>
      <c r="Q881" s="46">
        <f t="shared" si="89"/>
        <v>0</v>
      </c>
      <c r="R881" s="46">
        <f t="shared" si="90"/>
        <v>0</v>
      </c>
      <c r="S881" s="46" t="e">
        <f t="shared" si="91"/>
        <v>#VALUE!</v>
      </c>
      <c r="T881" s="677">
        <f t="shared" si="92"/>
        <v>0</v>
      </c>
      <c r="U881" s="80">
        <f>(IF(O881="Stofire",(S881*#REF!),0))+(IF(O881="Fire Control",(S881*$U$2),0))+(IF(O881="Fire Tex",(S881*$U$3),0))+(IF(O881="WB7",(S881*#REF!),0)+(IF(O881="FX 2003",(S881*$U$5),0)))</f>
        <v>0</v>
      </c>
      <c r="V881" s="651">
        <f t="shared" si="93"/>
        <v>0</v>
      </c>
    </row>
    <row r="882" spans="4:22" x14ac:dyDescent="0.25">
      <c r="D882" s="118">
        <f>+CUBICACION!D881</f>
        <v>0</v>
      </c>
      <c r="E882" s="118">
        <f>+CUBICACION!F881</f>
        <v>0</v>
      </c>
      <c r="F882" s="118">
        <f>+CUBICACION!E881</f>
        <v>0</v>
      </c>
      <c r="G882" s="118">
        <v>12</v>
      </c>
      <c r="H882" s="118">
        <v>2</v>
      </c>
      <c r="I882" s="820">
        <v>26385</v>
      </c>
      <c r="J882" s="118">
        <f>+CUBICACION!J881</f>
        <v>0</v>
      </c>
      <c r="K882" s="118">
        <v>3661</v>
      </c>
      <c r="L882" s="118">
        <f>+CUBICACION!L881</f>
        <v>0</v>
      </c>
      <c r="M882" s="64">
        <f>+CUBICACION!M881</f>
        <v>0</v>
      </c>
      <c r="N882" s="824" t="str">
        <f>+CUBICACION!N881</f>
        <v/>
      </c>
      <c r="O882" s="675">
        <f>+CUBICACION!O881</f>
        <v>0</v>
      </c>
      <c r="P882" s="15">
        <f>IF(O882="Fire Control",VLOOKUP(_xlfn.MINIFS('FIRE CONTROL'!$C$4:$C$37,'FIRE CONTROL'!$C$4:$C$37,"&gt;="&amp;M882),'FIRE CONTROL'!$C$4:$G$37,IF(L882="F-15",2,IF(L882="F-30",3,IF(L882="F-60",4,IF(L882="F-90",5,0)))),0),0)+IF(AND(O882="FIRE TEX 5062",OR(E882="IN",E882="C",E882="Z",E882="L"),J882=3),VLOOKUP(_xlfn.MINIFS('FIRE TEX 5062'!$B$4:$B$34,'FIRE TEX 5062'!$B$4:$B$34,"&gt;="&amp;M882),'FIRE TEX 5062'!$B$4:$F$34,IF(L882="F-15",2,IF(L882="F-30",3,IF(L882="F-60",4,IF(L882="F-90",5,0)))),0),0)+IF(AND(O882="FIRE TEX 5062",OR(E882="IN",E882="C",E882="Z",E882="L"),J882=4),VLOOKUP(_xlfn.MINIFS('FIRE TEX 5062'!$G$4:$G$34,'FIRE TEX 5062'!$G$4:$G$34,"&gt;="&amp;M882),'FIRE TEX 5062'!$G$4:$K$34,IF(L882="F-15",2,IF(L882="F-30",3,IF(L882="F-60",4,IF(L882="F-90",5,0)))),0),0)+IF(AND(O882="FIRE TEX 5062",E882="CJ",J882=3),VLOOKUP(_xlfn.MINIFS('FIRE TEX 5062'!$L$4:$L$34,'FIRE TEX 5062'!$L$4:$L$34,"&gt;="&amp;M882),'FIRE TEX 5062'!$L$4:$P$34,IF(L882="F-15",2,IF(L882="F-30",3,IF(L882="F-60",4,IF(L882="F-90",5,0)))),0),0)+IF(AND(O882="FIRE TEX 5062",E882="CJ",J882=4),VLOOKUP(_xlfn.MINIFS('FIRE TEX 5062'!$Q$3:$Q$34,'FIRE TEX 5062'!$Q$3:$Q$34,"&gt;="&amp;M882),'FIRE TEX 5062'!$Q$3:$U$34,IF(L882="F-15",2,IF(L882="F-30",3,IF(L882="F-60",4,IF(L882="F-90",5,0)))),0),0)+IF(AND(O882="FIRE TEX 5090",OR(E882="IN",E882="C",E882="Z",E882="L"),J882=3),VLOOKUP(_xlfn.MINIFS('FIRE TEX 5090'!$B$5:$B$43,'FIRE TEX 5090'!$B$5:$B$43,"&gt;="&amp;M882),'FIRE TEX 5090'!$B$5:$H$43,IF(L882="F-15",2,IF(L882="F-30",3,IF(L882="F-60",4,IF(L882="F-90",5,IF(L882="F-120",6,IF(L882="F-150",7,0)))))),0),0)+IF(AND(O882="FIRE TEX 5090",OR(E882="IN",E882="C",E882="Z",E882="L"),J882=4),VLOOKUP(_xlfn.MINIFS('FIRE TEX 5090'!$J$5:$J$43,'FIRE TEX 5090'!$J$5:$J$43,"&gt;="&amp;M882),'FIRE TEX 5090'!$J$5:$P$43,IF(L882="F-15",2,IF(L882="F-30",3,IF(L882="F-60",4,IF(L882="F-90",5,IF(L882="F-120",6,IF(L882="F-150",7,0)))))),0),0)+IF(AND(O882="FIRE TEX 5090",E882="CJ",J882=3),VLOOKUP(_xlfn.MINIFS('FIRE TEX 5090'!$R$5:$R$30,'FIRE TEX 5090'!$R$5:$R$30,"&gt;="&amp;M882),'FIRE TEX 5090'!$R$5:$W$30,IF(L882="F-15",2,IF(L882="F-30",3,IF(L882="F-60",4,IF(L882="F-90",5,IF(L882="F-120",6,IF(L882="F-150",7,0)))))),0),0)+IF(AND(O882="FIRE TEX 5090",E882="CJ",J882=4),VLOOKUP(_xlfn.MINIFS('FIRE TEX 5090'!$Y$5:$Y$39,'FIRE TEX 5090'!$Y$5:$Y$39,"&gt;="&amp;M882),'FIRE TEX 5090'!$Y$5:$AD$39,IF(L882="F-15",2,IF(L882="F-30",3,IF(L882="F-60",4,IF(L882="F-90",5,IF(L882="F-120",6,IF(L882="F-150",7,0)))))),0),0)+IF(AND(O882="FIRE TEX 5120",OR(E882="IN",E882="C",E882="Z",E882="L"),J882=3),VLOOKUP(_xlfn.MINIFS('FIRE TEX 5120'!$B$5:$B$40,'FIRE TEX 5120'!$B$5:$B$40,"&gt;="&amp;M882),'FIRE TEX 5120'!$B$5:$G$40,IF(L882="F-15",2,IF(L882="F-30",3,IF(L882="F-60",4,IF(L882="F-90",5,IF(L882="F-120",6,0))))),0),0)+IF(AND(O882="FIRE TEX 5120",OR(E882="IN",E882="C",E882="Z",E882="L"),J882=4),VLOOKUP(_xlfn.MINIFS('FIRE TEX 5120'!$H$4:$H$40,'FIRE TEX 5120'!$H$4:$H$40,"&gt;="&amp;M882),'FIRE TEX 5120'!$H$4:$M$40,IF(L882="F-15",2,IF(L882="F-30",3,IF(L882="F-60",4,IF(L882="F-90",5,IF(L882="F-120",6,0))))),0),0)+IF(AND(O882="FIRE TEX 5120",E882="CJ"),VLOOKUP(_xlfn.MINIFS('FIRE TEX 5120'!$O$5:$O$40,'FIRE TEX 5120'!$O$5:$O$40,"&gt;="&amp;M882),'FIRE TEX 5120'!$O$5:$T$40,IF(L882="F-15",2,IF(L882="F-30",3,IF(L882="F-60",4,IF(L882="F-90",5,IF(L882="F-120",6,0))))),0),0)</f>
        <v>0</v>
      </c>
      <c r="Q882" s="46">
        <f t="shared" si="89"/>
        <v>0</v>
      </c>
      <c r="R882" s="46">
        <f t="shared" si="90"/>
        <v>0</v>
      </c>
      <c r="S882" s="46" t="e">
        <f t="shared" si="91"/>
        <v>#VALUE!</v>
      </c>
      <c r="T882" s="677">
        <f t="shared" si="92"/>
        <v>0</v>
      </c>
      <c r="U882" s="80">
        <f>(IF(O882="Stofire",(S882*#REF!),0))+(IF(O882="Fire Control",(S882*$U$2),0))+(IF(O882="Fire Tex",(S882*$U$3),0))+(IF(O882="WB7",(S882*#REF!),0)+(IF(O882="FX 2003",(S882*$U$5),0)))</f>
        <v>0</v>
      </c>
      <c r="V882" s="651">
        <f t="shared" si="93"/>
        <v>0</v>
      </c>
    </row>
    <row r="883" spans="4:22" x14ac:dyDescent="0.25">
      <c r="D883" s="118">
        <f>+CUBICACION!D882</f>
        <v>0</v>
      </c>
      <c r="E883" s="118">
        <f>+CUBICACION!F882</f>
        <v>0</v>
      </c>
      <c r="F883" s="118">
        <f>+CUBICACION!E882</f>
        <v>0</v>
      </c>
      <c r="G883" s="118">
        <v>12</v>
      </c>
      <c r="H883" s="118">
        <v>2</v>
      </c>
      <c r="I883" s="820">
        <v>26385</v>
      </c>
      <c r="J883" s="118">
        <f>+CUBICACION!J882</f>
        <v>0</v>
      </c>
      <c r="K883" s="118">
        <v>3662</v>
      </c>
      <c r="L883" s="118">
        <f>+CUBICACION!L882</f>
        <v>0</v>
      </c>
      <c r="M883" s="64">
        <f>+CUBICACION!M882</f>
        <v>0</v>
      </c>
      <c r="N883" s="824" t="str">
        <f>+CUBICACION!N882</f>
        <v/>
      </c>
      <c r="O883" s="675">
        <f>+CUBICACION!O882</f>
        <v>0</v>
      </c>
      <c r="P883" s="15">
        <f>IF(O883="Fire Control",VLOOKUP(_xlfn.MINIFS('FIRE CONTROL'!$C$4:$C$37,'FIRE CONTROL'!$C$4:$C$37,"&gt;="&amp;M883),'FIRE CONTROL'!$C$4:$G$37,IF(L883="F-15",2,IF(L883="F-30",3,IF(L883="F-60",4,IF(L883="F-90",5,0)))),0),0)+IF(AND(O883="FIRE TEX 5062",OR(E883="IN",E883="C",E883="Z",E883="L"),J883=3),VLOOKUP(_xlfn.MINIFS('FIRE TEX 5062'!$B$4:$B$34,'FIRE TEX 5062'!$B$4:$B$34,"&gt;="&amp;M883),'FIRE TEX 5062'!$B$4:$F$34,IF(L883="F-15",2,IF(L883="F-30",3,IF(L883="F-60",4,IF(L883="F-90",5,0)))),0),0)+IF(AND(O883="FIRE TEX 5062",OR(E883="IN",E883="C",E883="Z",E883="L"),J883=4),VLOOKUP(_xlfn.MINIFS('FIRE TEX 5062'!$G$4:$G$34,'FIRE TEX 5062'!$G$4:$G$34,"&gt;="&amp;M883),'FIRE TEX 5062'!$G$4:$K$34,IF(L883="F-15",2,IF(L883="F-30",3,IF(L883="F-60",4,IF(L883="F-90",5,0)))),0),0)+IF(AND(O883="FIRE TEX 5062",E883="CJ",J883=3),VLOOKUP(_xlfn.MINIFS('FIRE TEX 5062'!$L$4:$L$34,'FIRE TEX 5062'!$L$4:$L$34,"&gt;="&amp;M883),'FIRE TEX 5062'!$L$4:$P$34,IF(L883="F-15",2,IF(L883="F-30",3,IF(L883="F-60",4,IF(L883="F-90",5,0)))),0),0)+IF(AND(O883="FIRE TEX 5062",E883="CJ",J883=4),VLOOKUP(_xlfn.MINIFS('FIRE TEX 5062'!$Q$3:$Q$34,'FIRE TEX 5062'!$Q$3:$Q$34,"&gt;="&amp;M883),'FIRE TEX 5062'!$Q$3:$U$34,IF(L883="F-15",2,IF(L883="F-30",3,IF(L883="F-60",4,IF(L883="F-90",5,0)))),0),0)+IF(AND(O883="FIRE TEX 5090",OR(E883="IN",E883="C",E883="Z",E883="L"),J883=3),VLOOKUP(_xlfn.MINIFS('FIRE TEX 5090'!$B$5:$B$43,'FIRE TEX 5090'!$B$5:$B$43,"&gt;="&amp;M883),'FIRE TEX 5090'!$B$5:$H$43,IF(L883="F-15",2,IF(L883="F-30",3,IF(L883="F-60",4,IF(L883="F-90",5,IF(L883="F-120",6,IF(L883="F-150",7,0)))))),0),0)+IF(AND(O883="FIRE TEX 5090",OR(E883="IN",E883="C",E883="Z",E883="L"),J883=4),VLOOKUP(_xlfn.MINIFS('FIRE TEX 5090'!$J$5:$J$43,'FIRE TEX 5090'!$J$5:$J$43,"&gt;="&amp;M883),'FIRE TEX 5090'!$J$5:$P$43,IF(L883="F-15",2,IF(L883="F-30",3,IF(L883="F-60",4,IF(L883="F-90",5,IF(L883="F-120",6,IF(L883="F-150",7,0)))))),0),0)+IF(AND(O883="FIRE TEX 5090",E883="CJ",J883=3),VLOOKUP(_xlfn.MINIFS('FIRE TEX 5090'!$R$5:$R$30,'FIRE TEX 5090'!$R$5:$R$30,"&gt;="&amp;M883),'FIRE TEX 5090'!$R$5:$W$30,IF(L883="F-15",2,IF(L883="F-30",3,IF(L883="F-60",4,IF(L883="F-90",5,IF(L883="F-120",6,IF(L883="F-150",7,0)))))),0),0)+IF(AND(O883="FIRE TEX 5090",E883="CJ",J883=4),VLOOKUP(_xlfn.MINIFS('FIRE TEX 5090'!$Y$5:$Y$39,'FIRE TEX 5090'!$Y$5:$Y$39,"&gt;="&amp;M883),'FIRE TEX 5090'!$Y$5:$AD$39,IF(L883="F-15",2,IF(L883="F-30",3,IF(L883="F-60",4,IF(L883="F-90",5,IF(L883="F-120",6,IF(L883="F-150",7,0)))))),0),0)+IF(AND(O883="FIRE TEX 5120",OR(E883="IN",E883="C",E883="Z",E883="L"),J883=3),VLOOKUP(_xlfn.MINIFS('FIRE TEX 5120'!$B$5:$B$40,'FIRE TEX 5120'!$B$5:$B$40,"&gt;="&amp;M883),'FIRE TEX 5120'!$B$5:$G$40,IF(L883="F-15",2,IF(L883="F-30",3,IF(L883="F-60",4,IF(L883="F-90",5,IF(L883="F-120",6,0))))),0),0)+IF(AND(O883="FIRE TEX 5120",OR(E883="IN",E883="C",E883="Z",E883="L"),J883=4),VLOOKUP(_xlfn.MINIFS('FIRE TEX 5120'!$H$4:$H$40,'FIRE TEX 5120'!$H$4:$H$40,"&gt;="&amp;M883),'FIRE TEX 5120'!$H$4:$M$40,IF(L883="F-15",2,IF(L883="F-30",3,IF(L883="F-60",4,IF(L883="F-90",5,IF(L883="F-120",6,0))))),0),0)+IF(AND(O883="FIRE TEX 5120",E883="CJ"),VLOOKUP(_xlfn.MINIFS('FIRE TEX 5120'!$O$5:$O$40,'FIRE TEX 5120'!$O$5:$O$40,"&gt;="&amp;M883),'FIRE TEX 5120'!$O$5:$T$40,IF(L883="F-15",2,IF(L883="F-30",3,IF(L883="F-60",4,IF(L883="F-90",5,IF(L883="F-120",6,0))))),0),0)</f>
        <v>0</v>
      </c>
      <c r="Q883" s="46">
        <f t="shared" si="89"/>
        <v>0</v>
      </c>
      <c r="R883" s="46">
        <f t="shared" si="90"/>
        <v>0</v>
      </c>
      <c r="S883" s="46" t="e">
        <f t="shared" si="91"/>
        <v>#VALUE!</v>
      </c>
      <c r="T883" s="677">
        <f t="shared" si="92"/>
        <v>0</v>
      </c>
      <c r="U883" s="80">
        <f>(IF(O883="Stofire",(S883*#REF!),0))+(IF(O883="Fire Control",(S883*$U$2),0))+(IF(O883="Fire Tex",(S883*$U$3),0))+(IF(O883="WB7",(S883*#REF!),0)+(IF(O883="FX 2003",(S883*$U$5),0)))</f>
        <v>0</v>
      </c>
      <c r="V883" s="651">
        <f t="shared" si="93"/>
        <v>0</v>
      </c>
    </row>
    <row r="884" spans="4:22" x14ac:dyDescent="0.25">
      <c r="D884" s="118">
        <f>+CUBICACION!D883</f>
        <v>0</v>
      </c>
      <c r="E884" s="118">
        <f>+CUBICACION!F883</f>
        <v>0</v>
      </c>
      <c r="F884" s="118">
        <f>+CUBICACION!E883</f>
        <v>0</v>
      </c>
      <c r="G884" s="118">
        <v>12</v>
      </c>
      <c r="H884" s="118">
        <v>2</v>
      </c>
      <c r="I884" s="820">
        <v>26385</v>
      </c>
      <c r="J884" s="118">
        <f>+CUBICACION!J883</f>
        <v>0</v>
      </c>
      <c r="K884" s="118">
        <v>3663</v>
      </c>
      <c r="L884" s="118">
        <f>+CUBICACION!L883</f>
        <v>0</v>
      </c>
      <c r="M884" s="64">
        <f>+CUBICACION!M883</f>
        <v>0</v>
      </c>
      <c r="N884" s="824" t="str">
        <f>+CUBICACION!N883</f>
        <v/>
      </c>
      <c r="O884" s="675">
        <f>+CUBICACION!O883</f>
        <v>0</v>
      </c>
      <c r="P884" s="15">
        <f>IF(O884="Fire Control",VLOOKUP(_xlfn.MINIFS('FIRE CONTROL'!$C$4:$C$37,'FIRE CONTROL'!$C$4:$C$37,"&gt;="&amp;M884),'FIRE CONTROL'!$C$4:$G$37,IF(L884="F-15",2,IF(L884="F-30",3,IF(L884="F-60",4,IF(L884="F-90",5,0)))),0),0)+IF(AND(O884="FIRE TEX 5062",OR(E884="IN",E884="C",E884="Z",E884="L"),J884=3),VLOOKUP(_xlfn.MINIFS('FIRE TEX 5062'!$B$4:$B$34,'FIRE TEX 5062'!$B$4:$B$34,"&gt;="&amp;M884),'FIRE TEX 5062'!$B$4:$F$34,IF(L884="F-15",2,IF(L884="F-30",3,IF(L884="F-60",4,IF(L884="F-90",5,0)))),0),0)+IF(AND(O884="FIRE TEX 5062",OR(E884="IN",E884="C",E884="Z",E884="L"),J884=4),VLOOKUP(_xlfn.MINIFS('FIRE TEX 5062'!$G$4:$G$34,'FIRE TEX 5062'!$G$4:$G$34,"&gt;="&amp;M884),'FIRE TEX 5062'!$G$4:$K$34,IF(L884="F-15",2,IF(L884="F-30",3,IF(L884="F-60",4,IF(L884="F-90",5,0)))),0),0)+IF(AND(O884="FIRE TEX 5062",E884="CJ",J884=3),VLOOKUP(_xlfn.MINIFS('FIRE TEX 5062'!$L$4:$L$34,'FIRE TEX 5062'!$L$4:$L$34,"&gt;="&amp;M884),'FIRE TEX 5062'!$L$4:$P$34,IF(L884="F-15",2,IF(L884="F-30",3,IF(L884="F-60",4,IF(L884="F-90",5,0)))),0),0)+IF(AND(O884="FIRE TEX 5062",E884="CJ",J884=4),VLOOKUP(_xlfn.MINIFS('FIRE TEX 5062'!$Q$3:$Q$34,'FIRE TEX 5062'!$Q$3:$Q$34,"&gt;="&amp;M884),'FIRE TEX 5062'!$Q$3:$U$34,IF(L884="F-15",2,IF(L884="F-30",3,IF(L884="F-60",4,IF(L884="F-90",5,0)))),0),0)+IF(AND(O884="FIRE TEX 5090",OR(E884="IN",E884="C",E884="Z",E884="L"),J884=3),VLOOKUP(_xlfn.MINIFS('FIRE TEX 5090'!$B$5:$B$43,'FIRE TEX 5090'!$B$5:$B$43,"&gt;="&amp;M884),'FIRE TEX 5090'!$B$5:$H$43,IF(L884="F-15",2,IF(L884="F-30",3,IF(L884="F-60",4,IF(L884="F-90",5,IF(L884="F-120",6,IF(L884="F-150",7,0)))))),0),0)+IF(AND(O884="FIRE TEX 5090",OR(E884="IN",E884="C",E884="Z",E884="L"),J884=4),VLOOKUP(_xlfn.MINIFS('FIRE TEX 5090'!$J$5:$J$43,'FIRE TEX 5090'!$J$5:$J$43,"&gt;="&amp;M884),'FIRE TEX 5090'!$J$5:$P$43,IF(L884="F-15",2,IF(L884="F-30",3,IF(L884="F-60",4,IF(L884="F-90",5,IF(L884="F-120",6,IF(L884="F-150",7,0)))))),0),0)+IF(AND(O884="FIRE TEX 5090",E884="CJ",J884=3),VLOOKUP(_xlfn.MINIFS('FIRE TEX 5090'!$R$5:$R$30,'FIRE TEX 5090'!$R$5:$R$30,"&gt;="&amp;M884),'FIRE TEX 5090'!$R$5:$W$30,IF(L884="F-15",2,IF(L884="F-30",3,IF(L884="F-60",4,IF(L884="F-90",5,IF(L884="F-120",6,IF(L884="F-150",7,0)))))),0),0)+IF(AND(O884="FIRE TEX 5090",E884="CJ",J884=4),VLOOKUP(_xlfn.MINIFS('FIRE TEX 5090'!$Y$5:$Y$39,'FIRE TEX 5090'!$Y$5:$Y$39,"&gt;="&amp;M884),'FIRE TEX 5090'!$Y$5:$AD$39,IF(L884="F-15",2,IF(L884="F-30",3,IF(L884="F-60",4,IF(L884="F-90",5,IF(L884="F-120",6,IF(L884="F-150",7,0)))))),0),0)+IF(AND(O884="FIRE TEX 5120",OR(E884="IN",E884="C",E884="Z",E884="L"),J884=3),VLOOKUP(_xlfn.MINIFS('FIRE TEX 5120'!$B$5:$B$40,'FIRE TEX 5120'!$B$5:$B$40,"&gt;="&amp;M884),'FIRE TEX 5120'!$B$5:$G$40,IF(L884="F-15",2,IF(L884="F-30",3,IF(L884="F-60",4,IF(L884="F-90",5,IF(L884="F-120",6,0))))),0),0)+IF(AND(O884="FIRE TEX 5120",OR(E884="IN",E884="C",E884="Z",E884="L"),J884=4),VLOOKUP(_xlfn.MINIFS('FIRE TEX 5120'!$H$4:$H$40,'FIRE TEX 5120'!$H$4:$H$40,"&gt;="&amp;M884),'FIRE TEX 5120'!$H$4:$M$40,IF(L884="F-15",2,IF(L884="F-30",3,IF(L884="F-60",4,IF(L884="F-90",5,IF(L884="F-120",6,0))))),0),0)+IF(AND(O884="FIRE TEX 5120",E884="CJ"),VLOOKUP(_xlfn.MINIFS('FIRE TEX 5120'!$O$5:$O$40,'FIRE TEX 5120'!$O$5:$O$40,"&gt;="&amp;M884),'FIRE TEX 5120'!$O$5:$T$40,IF(L884="F-15",2,IF(L884="F-30",3,IF(L884="F-60",4,IF(L884="F-90",5,IF(L884="F-120",6,0))))),0),0)</f>
        <v>0</v>
      </c>
      <c r="Q884" s="46">
        <f t="shared" si="89"/>
        <v>0</v>
      </c>
      <c r="R884" s="46">
        <f t="shared" si="90"/>
        <v>0</v>
      </c>
      <c r="S884" s="46" t="e">
        <f t="shared" si="91"/>
        <v>#VALUE!</v>
      </c>
      <c r="T884" s="677">
        <f t="shared" si="92"/>
        <v>0</v>
      </c>
      <c r="U884" s="80">
        <f>(IF(O884="Stofire",(S884*#REF!),0))+(IF(O884="Fire Control",(S884*$U$2),0))+(IF(O884="Fire Tex",(S884*$U$3),0))+(IF(O884="WB7",(S884*#REF!),0)+(IF(O884="FX 2003",(S884*$U$5),0)))</f>
        <v>0</v>
      </c>
      <c r="V884" s="651">
        <f t="shared" si="93"/>
        <v>0</v>
      </c>
    </row>
    <row r="885" spans="4:22" x14ac:dyDescent="0.25">
      <c r="D885" s="118">
        <f>+CUBICACION!D884</f>
        <v>0</v>
      </c>
      <c r="E885" s="118">
        <f>+CUBICACION!F884</f>
        <v>0</v>
      </c>
      <c r="F885" s="118">
        <f>+CUBICACION!E884</f>
        <v>0</v>
      </c>
      <c r="G885" s="118">
        <v>12</v>
      </c>
      <c r="H885" s="118">
        <v>2</v>
      </c>
      <c r="I885" s="820">
        <v>26385</v>
      </c>
      <c r="J885" s="118">
        <f>+CUBICACION!J884</f>
        <v>0</v>
      </c>
      <c r="K885" s="118">
        <v>3664</v>
      </c>
      <c r="L885" s="118">
        <f>+CUBICACION!L884</f>
        <v>0</v>
      </c>
      <c r="M885" s="64">
        <f>+CUBICACION!M884</f>
        <v>0</v>
      </c>
      <c r="N885" s="824" t="str">
        <f>+CUBICACION!N884</f>
        <v/>
      </c>
      <c r="O885" s="675">
        <f>+CUBICACION!O884</f>
        <v>0</v>
      </c>
      <c r="P885" s="15">
        <f>IF(O885="Fire Control",VLOOKUP(_xlfn.MINIFS('FIRE CONTROL'!$C$4:$C$37,'FIRE CONTROL'!$C$4:$C$37,"&gt;="&amp;M885),'FIRE CONTROL'!$C$4:$G$37,IF(L885="F-15",2,IF(L885="F-30",3,IF(L885="F-60",4,IF(L885="F-90",5,0)))),0),0)+IF(AND(O885="FIRE TEX 5062",OR(E885="IN",E885="C",E885="Z",E885="L"),J885=3),VLOOKUP(_xlfn.MINIFS('FIRE TEX 5062'!$B$4:$B$34,'FIRE TEX 5062'!$B$4:$B$34,"&gt;="&amp;M885),'FIRE TEX 5062'!$B$4:$F$34,IF(L885="F-15",2,IF(L885="F-30",3,IF(L885="F-60",4,IF(L885="F-90",5,0)))),0),0)+IF(AND(O885="FIRE TEX 5062",OR(E885="IN",E885="C",E885="Z",E885="L"),J885=4),VLOOKUP(_xlfn.MINIFS('FIRE TEX 5062'!$G$4:$G$34,'FIRE TEX 5062'!$G$4:$G$34,"&gt;="&amp;M885),'FIRE TEX 5062'!$G$4:$K$34,IF(L885="F-15",2,IF(L885="F-30",3,IF(L885="F-60",4,IF(L885="F-90",5,0)))),0),0)+IF(AND(O885="FIRE TEX 5062",E885="CJ",J885=3),VLOOKUP(_xlfn.MINIFS('FIRE TEX 5062'!$L$4:$L$34,'FIRE TEX 5062'!$L$4:$L$34,"&gt;="&amp;M885),'FIRE TEX 5062'!$L$4:$P$34,IF(L885="F-15",2,IF(L885="F-30",3,IF(L885="F-60",4,IF(L885="F-90",5,0)))),0),0)+IF(AND(O885="FIRE TEX 5062",E885="CJ",J885=4),VLOOKUP(_xlfn.MINIFS('FIRE TEX 5062'!$Q$3:$Q$34,'FIRE TEX 5062'!$Q$3:$Q$34,"&gt;="&amp;M885),'FIRE TEX 5062'!$Q$3:$U$34,IF(L885="F-15",2,IF(L885="F-30",3,IF(L885="F-60",4,IF(L885="F-90",5,0)))),0),0)+IF(AND(O885="FIRE TEX 5090",OR(E885="IN",E885="C",E885="Z",E885="L"),J885=3),VLOOKUP(_xlfn.MINIFS('FIRE TEX 5090'!$B$5:$B$43,'FIRE TEX 5090'!$B$5:$B$43,"&gt;="&amp;M885),'FIRE TEX 5090'!$B$5:$H$43,IF(L885="F-15",2,IF(L885="F-30",3,IF(L885="F-60",4,IF(L885="F-90",5,IF(L885="F-120",6,IF(L885="F-150",7,0)))))),0),0)+IF(AND(O885="FIRE TEX 5090",OR(E885="IN",E885="C",E885="Z",E885="L"),J885=4),VLOOKUP(_xlfn.MINIFS('FIRE TEX 5090'!$J$5:$J$43,'FIRE TEX 5090'!$J$5:$J$43,"&gt;="&amp;M885),'FIRE TEX 5090'!$J$5:$P$43,IF(L885="F-15",2,IF(L885="F-30",3,IF(L885="F-60",4,IF(L885="F-90",5,IF(L885="F-120",6,IF(L885="F-150",7,0)))))),0),0)+IF(AND(O885="FIRE TEX 5090",E885="CJ",J885=3),VLOOKUP(_xlfn.MINIFS('FIRE TEX 5090'!$R$5:$R$30,'FIRE TEX 5090'!$R$5:$R$30,"&gt;="&amp;M885),'FIRE TEX 5090'!$R$5:$W$30,IF(L885="F-15",2,IF(L885="F-30",3,IF(L885="F-60",4,IF(L885="F-90",5,IF(L885="F-120",6,IF(L885="F-150",7,0)))))),0),0)+IF(AND(O885="FIRE TEX 5090",E885="CJ",J885=4),VLOOKUP(_xlfn.MINIFS('FIRE TEX 5090'!$Y$5:$Y$39,'FIRE TEX 5090'!$Y$5:$Y$39,"&gt;="&amp;M885),'FIRE TEX 5090'!$Y$5:$AD$39,IF(L885="F-15",2,IF(L885="F-30",3,IF(L885="F-60",4,IF(L885="F-90",5,IF(L885="F-120",6,IF(L885="F-150",7,0)))))),0),0)+IF(AND(O885="FIRE TEX 5120",OR(E885="IN",E885="C",E885="Z",E885="L"),J885=3),VLOOKUP(_xlfn.MINIFS('FIRE TEX 5120'!$B$5:$B$40,'FIRE TEX 5120'!$B$5:$B$40,"&gt;="&amp;M885),'FIRE TEX 5120'!$B$5:$G$40,IF(L885="F-15",2,IF(L885="F-30",3,IF(L885="F-60",4,IF(L885="F-90",5,IF(L885="F-120",6,0))))),0),0)+IF(AND(O885="FIRE TEX 5120",OR(E885="IN",E885="C",E885="Z",E885="L"),J885=4),VLOOKUP(_xlfn.MINIFS('FIRE TEX 5120'!$H$4:$H$40,'FIRE TEX 5120'!$H$4:$H$40,"&gt;="&amp;M885),'FIRE TEX 5120'!$H$4:$M$40,IF(L885="F-15",2,IF(L885="F-30",3,IF(L885="F-60",4,IF(L885="F-90",5,IF(L885="F-120",6,0))))),0),0)+IF(AND(O885="FIRE TEX 5120",E885="CJ"),VLOOKUP(_xlfn.MINIFS('FIRE TEX 5120'!$O$5:$O$40,'FIRE TEX 5120'!$O$5:$O$40,"&gt;="&amp;M885),'FIRE TEX 5120'!$O$5:$T$40,IF(L885="F-15",2,IF(L885="F-30",3,IF(L885="F-60",4,IF(L885="F-90",5,IF(L885="F-120",6,0))))),0),0)</f>
        <v>0</v>
      </c>
      <c r="Q885" s="46">
        <f t="shared" si="89"/>
        <v>0</v>
      </c>
      <c r="R885" s="46">
        <f t="shared" si="90"/>
        <v>0</v>
      </c>
      <c r="S885" s="46" t="e">
        <f t="shared" si="91"/>
        <v>#VALUE!</v>
      </c>
      <c r="T885" s="677">
        <f t="shared" si="92"/>
        <v>0</v>
      </c>
      <c r="U885" s="80">
        <f>(IF(O885="Stofire",(S885*#REF!),0))+(IF(O885="Fire Control",(S885*$U$2),0))+(IF(O885="Fire Tex",(S885*$U$3),0))+(IF(O885="WB7",(S885*#REF!),0)+(IF(O885="FX 2003",(S885*$U$5),0)))</f>
        <v>0</v>
      </c>
      <c r="V885" s="651">
        <f t="shared" si="93"/>
        <v>0</v>
      </c>
    </row>
    <row r="886" spans="4:22" x14ac:dyDescent="0.25">
      <c r="D886" s="118">
        <f>+CUBICACION!D885</f>
        <v>0</v>
      </c>
      <c r="E886" s="118">
        <f>+CUBICACION!F885</f>
        <v>0</v>
      </c>
      <c r="F886" s="118">
        <f>+CUBICACION!E885</f>
        <v>0</v>
      </c>
      <c r="G886" s="118">
        <v>12</v>
      </c>
      <c r="H886" s="118">
        <v>2</v>
      </c>
      <c r="I886" s="820">
        <v>26385</v>
      </c>
      <c r="J886" s="118">
        <f>+CUBICACION!J885</f>
        <v>0</v>
      </c>
      <c r="K886" s="118">
        <v>3665</v>
      </c>
      <c r="L886" s="118">
        <f>+CUBICACION!L885</f>
        <v>0</v>
      </c>
      <c r="M886" s="64">
        <f>+CUBICACION!M885</f>
        <v>0</v>
      </c>
      <c r="N886" s="824" t="str">
        <f>+CUBICACION!N885</f>
        <v/>
      </c>
      <c r="O886" s="675">
        <f>+CUBICACION!O885</f>
        <v>0</v>
      </c>
      <c r="P886" s="15">
        <f>IF(O886="Fire Control",VLOOKUP(_xlfn.MINIFS('FIRE CONTROL'!$C$4:$C$37,'FIRE CONTROL'!$C$4:$C$37,"&gt;="&amp;M886),'FIRE CONTROL'!$C$4:$G$37,IF(L886="F-15",2,IF(L886="F-30",3,IF(L886="F-60",4,IF(L886="F-90",5,0)))),0),0)+IF(AND(O886="FIRE TEX 5062",OR(E886="IN",E886="C",E886="Z",E886="L"),J886=3),VLOOKUP(_xlfn.MINIFS('FIRE TEX 5062'!$B$4:$B$34,'FIRE TEX 5062'!$B$4:$B$34,"&gt;="&amp;M886),'FIRE TEX 5062'!$B$4:$F$34,IF(L886="F-15",2,IF(L886="F-30",3,IF(L886="F-60",4,IF(L886="F-90",5,0)))),0),0)+IF(AND(O886="FIRE TEX 5062",OR(E886="IN",E886="C",E886="Z",E886="L"),J886=4),VLOOKUP(_xlfn.MINIFS('FIRE TEX 5062'!$G$4:$G$34,'FIRE TEX 5062'!$G$4:$G$34,"&gt;="&amp;M886),'FIRE TEX 5062'!$G$4:$K$34,IF(L886="F-15",2,IF(L886="F-30",3,IF(L886="F-60",4,IF(L886="F-90",5,0)))),0),0)+IF(AND(O886="FIRE TEX 5062",E886="CJ",J886=3),VLOOKUP(_xlfn.MINIFS('FIRE TEX 5062'!$L$4:$L$34,'FIRE TEX 5062'!$L$4:$L$34,"&gt;="&amp;M886),'FIRE TEX 5062'!$L$4:$P$34,IF(L886="F-15",2,IF(L886="F-30",3,IF(L886="F-60",4,IF(L886="F-90",5,0)))),0),0)+IF(AND(O886="FIRE TEX 5062",E886="CJ",J886=4),VLOOKUP(_xlfn.MINIFS('FIRE TEX 5062'!$Q$3:$Q$34,'FIRE TEX 5062'!$Q$3:$Q$34,"&gt;="&amp;M886),'FIRE TEX 5062'!$Q$3:$U$34,IF(L886="F-15",2,IF(L886="F-30",3,IF(L886="F-60",4,IF(L886="F-90",5,0)))),0),0)+IF(AND(O886="FIRE TEX 5090",OR(E886="IN",E886="C",E886="Z",E886="L"),J886=3),VLOOKUP(_xlfn.MINIFS('FIRE TEX 5090'!$B$5:$B$43,'FIRE TEX 5090'!$B$5:$B$43,"&gt;="&amp;M886),'FIRE TEX 5090'!$B$5:$H$43,IF(L886="F-15",2,IF(L886="F-30",3,IF(L886="F-60",4,IF(L886="F-90",5,IF(L886="F-120",6,IF(L886="F-150",7,0)))))),0),0)+IF(AND(O886="FIRE TEX 5090",OR(E886="IN",E886="C",E886="Z",E886="L"),J886=4),VLOOKUP(_xlfn.MINIFS('FIRE TEX 5090'!$J$5:$J$43,'FIRE TEX 5090'!$J$5:$J$43,"&gt;="&amp;M886),'FIRE TEX 5090'!$J$5:$P$43,IF(L886="F-15",2,IF(L886="F-30",3,IF(L886="F-60",4,IF(L886="F-90",5,IF(L886="F-120",6,IF(L886="F-150",7,0)))))),0),0)+IF(AND(O886="FIRE TEX 5090",E886="CJ",J886=3),VLOOKUP(_xlfn.MINIFS('FIRE TEX 5090'!$R$5:$R$30,'FIRE TEX 5090'!$R$5:$R$30,"&gt;="&amp;M886),'FIRE TEX 5090'!$R$5:$W$30,IF(L886="F-15",2,IF(L886="F-30",3,IF(L886="F-60",4,IF(L886="F-90",5,IF(L886="F-120",6,IF(L886="F-150",7,0)))))),0),0)+IF(AND(O886="FIRE TEX 5090",E886="CJ",J886=4),VLOOKUP(_xlfn.MINIFS('FIRE TEX 5090'!$Y$5:$Y$39,'FIRE TEX 5090'!$Y$5:$Y$39,"&gt;="&amp;M886),'FIRE TEX 5090'!$Y$5:$AD$39,IF(L886="F-15",2,IF(L886="F-30",3,IF(L886="F-60",4,IF(L886="F-90",5,IF(L886="F-120",6,IF(L886="F-150",7,0)))))),0),0)+IF(AND(O886="FIRE TEX 5120",OR(E886="IN",E886="C",E886="Z",E886="L"),J886=3),VLOOKUP(_xlfn.MINIFS('FIRE TEX 5120'!$B$5:$B$40,'FIRE TEX 5120'!$B$5:$B$40,"&gt;="&amp;M886),'FIRE TEX 5120'!$B$5:$G$40,IF(L886="F-15",2,IF(L886="F-30",3,IF(L886="F-60",4,IF(L886="F-90",5,IF(L886="F-120",6,0))))),0),0)+IF(AND(O886="FIRE TEX 5120",OR(E886="IN",E886="C",E886="Z",E886="L"),J886=4),VLOOKUP(_xlfn.MINIFS('FIRE TEX 5120'!$H$4:$H$40,'FIRE TEX 5120'!$H$4:$H$40,"&gt;="&amp;M886),'FIRE TEX 5120'!$H$4:$M$40,IF(L886="F-15",2,IF(L886="F-30",3,IF(L886="F-60",4,IF(L886="F-90",5,IF(L886="F-120",6,0))))),0),0)+IF(AND(O886="FIRE TEX 5120",E886="CJ"),VLOOKUP(_xlfn.MINIFS('FIRE TEX 5120'!$O$5:$O$40,'FIRE TEX 5120'!$O$5:$O$40,"&gt;="&amp;M886),'FIRE TEX 5120'!$O$5:$T$40,IF(L886="F-15",2,IF(L886="F-30",3,IF(L886="F-60",4,IF(L886="F-90",5,IF(L886="F-120",6,0))))),0),0)</f>
        <v>0</v>
      </c>
      <c r="Q886" s="46">
        <f t="shared" si="89"/>
        <v>0</v>
      </c>
      <c r="R886" s="46">
        <f t="shared" si="90"/>
        <v>0</v>
      </c>
      <c r="S886" s="46" t="e">
        <f t="shared" si="91"/>
        <v>#VALUE!</v>
      </c>
      <c r="T886" s="677">
        <f t="shared" si="92"/>
        <v>0</v>
      </c>
      <c r="U886" s="80">
        <f>(IF(O886="Stofire",(S886*#REF!),0))+(IF(O886="Fire Control",(S886*$U$2),0))+(IF(O886="Fire Tex",(S886*$U$3),0))+(IF(O886="WB7",(S886*#REF!),0)+(IF(O886="FX 2003",(S886*$U$5),0)))</f>
        <v>0</v>
      </c>
      <c r="V886" s="651">
        <f t="shared" si="93"/>
        <v>0</v>
      </c>
    </row>
    <row r="887" spans="4:22" x14ac:dyDescent="0.25">
      <c r="D887" s="118">
        <f>+CUBICACION!D886</f>
        <v>0</v>
      </c>
      <c r="E887" s="118">
        <f>+CUBICACION!F886</f>
        <v>0</v>
      </c>
      <c r="F887" s="118">
        <f>+CUBICACION!E886</f>
        <v>0</v>
      </c>
      <c r="G887" s="118">
        <v>12</v>
      </c>
      <c r="H887" s="118">
        <v>2</v>
      </c>
      <c r="I887" s="820">
        <v>26385</v>
      </c>
      <c r="J887" s="118">
        <f>+CUBICACION!J886</f>
        <v>0</v>
      </c>
      <c r="K887" s="118">
        <v>3666</v>
      </c>
      <c r="L887" s="118">
        <f>+CUBICACION!L886</f>
        <v>0</v>
      </c>
      <c r="M887" s="64">
        <f>+CUBICACION!M886</f>
        <v>0</v>
      </c>
      <c r="N887" s="824" t="str">
        <f>+CUBICACION!N886</f>
        <v/>
      </c>
      <c r="O887" s="675">
        <f>+CUBICACION!O886</f>
        <v>0</v>
      </c>
      <c r="P887" s="15">
        <f>IF(O887="Fire Control",VLOOKUP(_xlfn.MINIFS('FIRE CONTROL'!$C$4:$C$37,'FIRE CONTROL'!$C$4:$C$37,"&gt;="&amp;M887),'FIRE CONTROL'!$C$4:$G$37,IF(L887="F-15",2,IF(L887="F-30",3,IF(L887="F-60",4,IF(L887="F-90",5,0)))),0),0)+IF(AND(O887="FIRE TEX 5062",OR(E887="IN",E887="C",E887="Z",E887="L"),J887=3),VLOOKUP(_xlfn.MINIFS('FIRE TEX 5062'!$B$4:$B$34,'FIRE TEX 5062'!$B$4:$B$34,"&gt;="&amp;M887),'FIRE TEX 5062'!$B$4:$F$34,IF(L887="F-15",2,IF(L887="F-30",3,IF(L887="F-60",4,IF(L887="F-90",5,0)))),0),0)+IF(AND(O887="FIRE TEX 5062",OR(E887="IN",E887="C",E887="Z",E887="L"),J887=4),VLOOKUP(_xlfn.MINIFS('FIRE TEX 5062'!$G$4:$G$34,'FIRE TEX 5062'!$G$4:$G$34,"&gt;="&amp;M887),'FIRE TEX 5062'!$G$4:$K$34,IF(L887="F-15",2,IF(L887="F-30",3,IF(L887="F-60",4,IF(L887="F-90",5,0)))),0),0)+IF(AND(O887="FIRE TEX 5062",E887="CJ",J887=3),VLOOKUP(_xlfn.MINIFS('FIRE TEX 5062'!$L$4:$L$34,'FIRE TEX 5062'!$L$4:$L$34,"&gt;="&amp;M887),'FIRE TEX 5062'!$L$4:$P$34,IF(L887="F-15",2,IF(L887="F-30",3,IF(L887="F-60",4,IF(L887="F-90",5,0)))),0),0)+IF(AND(O887="FIRE TEX 5062",E887="CJ",J887=4),VLOOKUP(_xlfn.MINIFS('FIRE TEX 5062'!$Q$3:$Q$34,'FIRE TEX 5062'!$Q$3:$Q$34,"&gt;="&amp;M887),'FIRE TEX 5062'!$Q$3:$U$34,IF(L887="F-15",2,IF(L887="F-30",3,IF(L887="F-60",4,IF(L887="F-90",5,0)))),0),0)+IF(AND(O887="FIRE TEX 5090",OR(E887="IN",E887="C",E887="Z",E887="L"),J887=3),VLOOKUP(_xlfn.MINIFS('FIRE TEX 5090'!$B$5:$B$43,'FIRE TEX 5090'!$B$5:$B$43,"&gt;="&amp;M887),'FIRE TEX 5090'!$B$5:$H$43,IF(L887="F-15",2,IF(L887="F-30",3,IF(L887="F-60",4,IF(L887="F-90",5,IF(L887="F-120",6,IF(L887="F-150",7,0)))))),0),0)+IF(AND(O887="FIRE TEX 5090",OR(E887="IN",E887="C",E887="Z",E887="L"),J887=4),VLOOKUP(_xlfn.MINIFS('FIRE TEX 5090'!$J$5:$J$43,'FIRE TEX 5090'!$J$5:$J$43,"&gt;="&amp;M887),'FIRE TEX 5090'!$J$5:$P$43,IF(L887="F-15",2,IF(L887="F-30",3,IF(L887="F-60",4,IF(L887="F-90",5,IF(L887="F-120",6,IF(L887="F-150",7,0)))))),0),0)+IF(AND(O887="FIRE TEX 5090",E887="CJ",J887=3),VLOOKUP(_xlfn.MINIFS('FIRE TEX 5090'!$R$5:$R$30,'FIRE TEX 5090'!$R$5:$R$30,"&gt;="&amp;M887),'FIRE TEX 5090'!$R$5:$W$30,IF(L887="F-15",2,IF(L887="F-30",3,IF(L887="F-60",4,IF(L887="F-90",5,IF(L887="F-120",6,IF(L887="F-150",7,0)))))),0),0)+IF(AND(O887="FIRE TEX 5090",E887="CJ",J887=4),VLOOKUP(_xlfn.MINIFS('FIRE TEX 5090'!$Y$5:$Y$39,'FIRE TEX 5090'!$Y$5:$Y$39,"&gt;="&amp;M887),'FIRE TEX 5090'!$Y$5:$AD$39,IF(L887="F-15",2,IF(L887="F-30",3,IF(L887="F-60",4,IF(L887="F-90",5,IF(L887="F-120",6,IF(L887="F-150",7,0)))))),0),0)+IF(AND(O887="FIRE TEX 5120",OR(E887="IN",E887="C",E887="Z",E887="L"),J887=3),VLOOKUP(_xlfn.MINIFS('FIRE TEX 5120'!$B$5:$B$40,'FIRE TEX 5120'!$B$5:$B$40,"&gt;="&amp;M887),'FIRE TEX 5120'!$B$5:$G$40,IF(L887="F-15",2,IF(L887="F-30",3,IF(L887="F-60",4,IF(L887="F-90",5,IF(L887="F-120",6,0))))),0),0)+IF(AND(O887="FIRE TEX 5120",OR(E887="IN",E887="C",E887="Z",E887="L"),J887=4),VLOOKUP(_xlfn.MINIFS('FIRE TEX 5120'!$H$4:$H$40,'FIRE TEX 5120'!$H$4:$H$40,"&gt;="&amp;M887),'FIRE TEX 5120'!$H$4:$M$40,IF(L887="F-15",2,IF(L887="F-30",3,IF(L887="F-60",4,IF(L887="F-90",5,IF(L887="F-120",6,0))))),0),0)+IF(AND(O887="FIRE TEX 5120",E887="CJ"),VLOOKUP(_xlfn.MINIFS('FIRE TEX 5120'!$O$5:$O$40,'FIRE TEX 5120'!$O$5:$O$40,"&gt;="&amp;M887),'FIRE TEX 5120'!$O$5:$T$40,IF(L887="F-15",2,IF(L887="F-30",3,IF(L887="F-60",4,IF(L887="F-90",5,IF(L887="F-120",6,0))))),0),0)</f>
        <v>0</v>
      </c>
      <c r="Q887" s="46">
        <f t="shared" si="89"/>
        <v>0</v>
      </c>
      <c r="R887" s="46">
        <f t="shared" si="90"/>
        <v>0</v>
      </c>
      <c r="S887" s="46" t="e">
        <f t="shared" si="91"/>
        <v>#VALUE!</v>
      </c>
      <c r="T887" s="677">
        <f t="shared" si="92"/>
        <v>0</v>
      </c>
      <c r="U887" s="80">
        <f>(IF(O887="Stofire",(S887*#REF!),0))+(IF(O887="Fire Control",(S887*$U$2),0))+(IF(O887="Fire Tex",(S887*$U$3),0))+(IF(O887="WB7",(S887*#REF!),0)+(IF(O887="FX 2003",(S887*$U$5),0)))</f>
        <v>0</v>
      </c>
      <c r="V887" s="651">
        <f t="shared" si="93"/>
        <v>0</v>
      </c>
    </row>
    <row r="888" spans="4:22" x14ac:dyDescent="0.25">
      <c r="D888" s="118">
        <f>+CUBICACION!D887</f>
        <v>0</v>
      </c>
      <c r="E888" s="118">
        <f>+CUBICACION!F887</f>
        <v>0</v>
      </c>
      <c r="F888" s="118">
        <f>+CUBICACION!E887</f>
        <v>0</v>
      </c>
      <c r="G888" s="118">
        <v>12</v>
      </c>
      <c r="H888" s="118">
        <v>2</v>
      </c>
      <c r="I888" s="820">
        <v>26385</v>
      </c>
      <c r="J888" s="118">
        <f>+CUBICACION!J887</f>
        <v>0</v>
      </c>
      <c r="K888" s="118">
        <v>3667</v>
      </c>
      <c r="L888" s="118">
        <f>+CUBICACION!L887</f>
        <v>0</v>
      </c>
      <c r="M888" s="64">
        <f>+CUBICACION!M887</f>
        <v>0</v>
      </c>
      <c r="N888" s="824" t="str">
        <f>+CUBICACION!N887</f>
        <v/>
      </c>
      <c r="O888" s="675">
        <f>+CUBICACION!O887</f>
        <v>0</v>
      </c>
      <c r="P888" s="15">
        <f>IF(O888="Fire Control",VLOOKUP(_xlfn.MINIFS('FIRE CONTROL'!$C$4:$C$37,'FIRE CONTROL'!$C$4:$C$37,"&gt;="&amp;M888),'FIRE CONTROL'!$C$4:$G$37,IF(L888="F-15",2,IF(L888="F-30",3,IF(L888="F-60",4,IF(L888="F-90",5,0)))),0),0)+IF(AND(O888="FIRE TEX 5062",OR(E888="IN",E888="C",E888="Z",E888="L"),J888=3),VLOOKUP(_xlfn.MINIFS('FIRE TEX 5062'!$B$4:$B$34,'FIRE TEX 5062'!$B$4:$B$34,"&gt;="&amp;M888),'FIRE TEX 5062'!$B$4:$F$34,IF(L888="F-15",2,IF(L888="F-30",3,IF(L888="F-60",4,IF(L888="F-90",5,0)))),0),0)+IF(AND(O888="FIRE TEX 5062",OR(E888="IN",E888="C",E888="Z",E888="L"),J888=4),VLOOKUP(_xlfn.MINIFS('FIRE TEX 5062'!$G$4:$G$34,'FIRE TEX 5062'!$G$4:$G$34,"&gt;="&amp;M888),'FIRE TEX 5062'!$G$4:$K$34,IF(L888="F-15",2,IF(L888="F-30",3,IF(L888="F-60",4,IF(L888="F-90",5,0)))),0),0)+IF(AND(O888="FIRE TEX 5062",E888="CJ",J888=3),VLOOKUP(_xlfn.MINIFS('FIRE TEX 5062'!$L$4:$L$34,'FIRE TEX 5062'!$L$4:$L$34,"&gt;="&amp;M888),'FIRE TEX 5062'!$L$4:$P$34,IF(L888="F-15",2,IF(L888="F-30",3,IF(L888="F-60",4,IF(L888="F-90",5,0)))),0),0)+IF(AND(O888="FIRE TEX 5062",E888="CJ",J888=4),VLOOKUP(_xlfn.MINIFS('FIRE TEX 5062'!$Q$3:$Q$34,'FIRE TEX 5062'!$Q$3:$Q$34,"&gt;="&amp;M888),'FIRE TEX 5062'!$Q$3:$U$34,IF(L888="F-15",2,IF(L888="F-30",3,IF(L888="F-60",4,IF(L888="F-90",5,0)))),0),0)+IF(AND(O888="FIRE TEX 5090",OR(E888="IN",E888="C",E888="Z",E888="L"),J888=3),VLOOKUP(_xlfn.MINIFS('FIRE TEX 5090'!$B$5:$B$43,'FIRE TEX 5090'!$B$5:$B$43,"&gt;="&amp;M888),'FIRE TEX 5090'!$B$5:$H$43,IF(L888="F-15",2,IF(L888="F-30",3,IF(L888="F-60",4,IF(L888="F-90",5,IF(L888="F-120",6,IF(L888="F-150",7,0)))))),0),0)+IF(AND(O888="FIRE TEX 5090",OR(E888="IN",E888="C",E888="Z",E888="L"),J888=4),VLOOKUP(_xlfn.MINIFS('FIRE TEX 5090'!$J$5:$J$43,'FIRE TEX 5090'!$J$5:$J$43,"&gt;="&amp;M888),'FIRE TEX 5090'!$J$5:$P$43,IF(L888="F-15",2,IF(L888="F-30",3,IF(L888="F-60",4,IF(L888="F-90",5,IF(L888="F-120",6,IF(L888="F-150",7,0)))))),0),0)+IF(AND(O888="FIRE TEX 5090",E888="CJ",J888=3),VLOOKUP(_xlfn.MINIFS('FIRE TEX 5090'!$R$5:$R$30,'FIRE TEX 5090'!$R$5:$R$30,"&gt;="&amp;M888),'FIRE TEX 5090'!$R$5:$W$30,IF(L888="F-15",2,IF(L888="F-30",3,IF(L888="F-60",4,IF(L888="F-90",5,IF(L888="F-120",6,IF(L888="F-150",7,0)))))),0),0)+IF(AND(O888="FIRE TEX 5090",E888="CJ",J888=4),VLOOKUP(_xlfn.MINIFS('FIRE TEX 5090'!$Y$5:$Y$39,'FIRE TEX 5090'!$Y$5:$Y$39,"&gt;="&amp;M888),'FIRE TEX 5090'!$Y$5:$AD$39,IF(L888="F-15",2,IF(L888="F-30",3,IF(L888="F-60",4,IF(L888="F-90",5,IF(L888="F-120",6,IF(L888="F-150",7,0)))))),0),0)+IF(AND(O888="FIRE TEX 5120",OR(E888="IN",E888="C",E888="Z",E888="L"),J888=3),VLOOKUP(_xlfn.MINIFS('FIRE TEX 5120'!$B$5:$B$40,'FIRE TEX 5120'!$B$5:$B$40,"&gt;="&amp;M888),'FIRE TEX 5120'!$B$5:$G$40,IF(L888="F-15",2,IF(L888="F-30",3,IF(L888="F-60",4,IF(L888="F-90",5,IF(L888="F-120",6,0))))),0),0)+IF(AND(O888="FIRE TEX 5120",OR(E888="IN",E888="C",E888="Z",E888="L"),J888=4),VLOOKUP(_xlfn.MINIFS('FIRE TEX 5120'!$H$4:$H$40,'FIRE TEX 5120'!$H$4:$H$40,"&gt;="&amp;M888),'FIRE TEX 5120'!$H$4:$M$40,IF(L888="F-15",2,IF(L888="F-30",3,IF(L888="F-60",4,IF(L888="F-90",5,IF(L888="F-120",6,0))))),0),0)+IF(AND(O888="FIRE TEX 5120",E888="CJ"),VLOOKUP(_xlfn.MINIFS('FIRE TEX 5120'!$O$5:$O$40,'FIRE TEX 5120'!$O$5:$O$40,"&gt;="&amp;M888),'FIRE TEX 5120'!$O$5:$T$40,IF(L888="F-15",2,IF(L888="F-30",3,IF(L888="F-60",4,IF(L888="F-90",5,IF(L888="F-120",6,0))))),0),0)</f>
        <v>0</v>
      </c>
      <c r="Q888" s="46">
        <f t="shared" si="89"/>
        <v>0</v>
      </c>
      <c r="R888" s="46">
        <f t="shared" si="90"/>
        <v>0</v>
      </c>
      <c r="S888" s="46" t="e">
        <f t="shared" si="91"/>
        <v>#VALUE!</v>
      </c>
      <c r="T888" s="677">
        <f t="shared" si="92"/>
        <v>0</v>
      </c>
      <c r="U888" s="80">
        <f>(IF(O888="Stofire",(S888*#REF!),0))+(IF(O888="Fire Control",(S888*$U$2),0))+(IF(O888="Fire Tex",(S888*$U$3),0))+(IF(O888="WB7",(S888*#REF!),0)+(IF(O888="FX 2003",(S888*$U$5),0)))</f>
        <v>0</v>
      </c>
      <c r="V888" s="651">
        <f t="shared" si="93"/>
        <v>0</v>
      </c>
    </row>
    <row r="889" spans="4:22" x14ac:dyDescent="0.25">
      <c r="D889" s="118">
        <f>+CUBICACION!D888</f>
        <v>0</v>
      </c>
      <c r="E889" s="118">
        <f>+CUBICACION!F888</f>
        <v>0</v>
      </c>
      <c r="F889" s="118">
        <f>+CUBICACION!E888</f>
        <v>0</v>
      </c>
      <c r="G889" s="118">
        <v>12</v>
      </c>
      <c r="H889" s="118">
        <v>2</v>
      </c>
      <c r="I889" s="820">
        <v>26385</v>
      </c>
      <c r="J889" s="118">
        <f>+CUBICACION!J888</f>
        <v>0</v>
      </c>
      <c r="K889" s="118">
        <v>3668</v>
      </c>
      <c r="L889" s="118">
        <f>+CUBICACION!L888</f>
        <v>0</v>
      </c>
      <c r="M889" s="64">
        <f>+CUBICACION!M888</f>
        <v>0</v>
      </c>
      <c r="N889" s="824" t="str">
        <f>+CUBICACION!N888</f>
        <v/>
      </c>
      <c r="O889" s="675">
        <f>+CUBICACION!O888</f>
        <v>0</v>
      </c>
      <c r="P889" s="15">
        <f>IF(O889="Fire Control",VLOOKUP(_xlfn.MINIFS('FIRE CONTROL'!$C$4:$C$37,'FIRE CONTROL'!$C$4:$C$37,"&gt;="&amp;M889),'FIRE CONTROL'!$C$4:$G$37,IF(L889="F-15",2,IF(L889="F-30",3,IF(L889="F-60",4,IF(L889="F-90",5,0)))),0),0)+IF(AND(O889="FIRE TEX 5062",OR(E889="IN",E889="C",E889="Z",E889="L"),J889=3),VLOOKUP(_xlfn.MINIFS('FIRE TEX 5062'!$B$4:$B$34,'FIRE TEX 5062'!$B$4:$B$34,"&gt;="&amp;M889),'FIRE TEX 5062'!$B$4:$F$34,IF(L889="F-15",2,IF(L889="F-30",3,IF(L889="F-60",4,IF(L889="F-90",5,0)))),0),0)+IF(AND(O889="FIRE TEX 5062",OR(E889="IN",E889="C",E889="Z",E889="L"),J889=4),VLOOKUP(_xlfn.MINIFS('FIRE TEX 5062'!$G$4:$G$34,'FIRE TEX 5062'!$G$4:$G$34,"&gt;="&amp;M889),'FIRE TEX 5062'!$G$4:$K$34,IF(L889="F-15",2,IF(L889="F-30",3,IF(L889="F-60",4,IF(L889="F-90",5,0)))),0),0)+IF(AND(O889="FIRE TEX 5062",E889="CJ",J889=3),VLOOKUP(_xlfn.MINIFS('FIRE TEX 5062'!$L$4:$L$34,'FIRE TEX 5062'!$L$4:$L$34,"&gt;="&amp;M889),'FIRE TEX 5062'!$L$4:$P$34,IF(L889="F-15",2,IF(L889="F-30",3,IF(L889="F-60",4,IF(L889="F-90",5,0)))),0),0)+IF(AND(O889="FIRE TEX 5062",E889="CJ",J889=4),VLOOKUP(_xlfn.MINIFS('FIRE TEX 5062'!$Q$3:$Q$34,'FIRE TEX 5062'!$Q$3:$Q$34,"&gt;="&amp;M889),'FIRE TEX 5062'!$Q$3:$U$34,IF(L889="F-15",2,IF(L889="F-30",3,IF(L889="F-60",4,IF(L889="F-90",5,0)))),0),0)+IF(AND(O889="FIRE TEX 5090",OR(E889="IN",E889="C",E889="Z",E889="L"),J889=3),VLOOKUP(_xlfn.MINIFS('FIRE TEX 5090'!$B$5:$B$43,'FIRE TEX 5090'!$B$5:$B$43,"&gt;="&amp;M889),'FIRE TEX 5090'!$B$5:$H$43,IF(L889="F-15",2,IF(L889="F-30",3,IF(L889="F-60",4,IF(L889="F-90",5,IF(L889="F-120",6,IF(L889="F-150",7,0)))))),0),0)+IF(AND(O889="FIRE TEX 5090",OR(E889="IN",E889="C",E889="Z",E889="L"),J889=4),VLOOKUP(_xlfn.MINIFS('FIRE TEX 5090'!$J$5:$J$43,'FIRE TEX 5090'!$J$5:$J$43,"&gt;="&amp;M889),'FIRE TEX 5090'!$J$5:$P$43,IF(L889="F-15",2,IF(L889="F-30",3,IF(L889="F-60",4,IF(L889="F-90",5,IF(L889="F-120",6,IF(L889="F-150",7,0)))))),0),0)+IF(AND(O889="FIRE TEX 5090",E889="CJ",J889=3),VLOOKUP(_xlfn.MINIFS('FIRE TEX 5090'!$R$5:$R$30,'FIRE TEX 5090'!$R$5:$R$30,"&gt;="&amp;M889),'FIRE TEX 5090'!$R$5:$W$30,IF(L889="F-15",2,IF(L889="F-30",3,IF(L889="F-60",4,IF(L889="F-90",5,IF(L889="F-120",6,IF(L889="F-150",7,0)))))),0),0)+IF(AND(O889="FIRE TEX 5090",E889="CJ",J889=4),VLOOKUP(_xlfn.MINIFS('FIRE TEX 5090'!$Y$5:$Y$39,'FIRE TEX 5090'!$Y$5:$Y$39,"&gt;="&amp;M889),'FIRE TEX 5090'!$Y$5:$AD$39,IF(L889="F-15",2,IF(L889="F-30",3,IF(L889="F-60",4,IF(L889="F-90",5,IF(L889="F-120",6,IF(L889="F-150",7,0)))))),0),0)+IF(AND(O889="FIRE TEX 5120",OR(E889="IN",E889="C",E889="Z",E889="L"),J889=3),VLOOKUP(_xlfn.MINIFS('FIRE TEX 5120'!$B$5:$B$40,'FIRE TEX 5120'!$B$5:$B$40,"&gt;="&amp;M889),'FIRE TEX 5120'!$B$5:$G$40,IF(L889="F-15",2,IF(L889="F-30",3,IF(L889="F-60",4,IF(L889="F-90",5,IF(L889="F-120",6,0))))),0),0)+IF(AND(O889="FIRE TEX 5120",OR(E889="IN",E889="C",E889="Z",E889="L"),J889=4),VLOOKUP(_xlfn.MINIFS('FIRE TEX 5120'!$H$4:$H$40,'FIRE TEX 5120'!$H$4:$H$40,"&gt;="&amp;M889),'FIRE TEX 5120'!$H$4:$M$40,IF(L889="F-15",2,IF(L889="F-30",3,IF(L889="F-60",4,IF(L889="F-90",5,IF(L889="F-120",6,0))))),0),0)+IF(AND(O889="FIRE TEX 5120",E889="CJ"),VLOOKUP(_xlfn.MINIFS('FIRE TEX 5120'!$O$5:$O$40,'FIRE TEX 5120'!$O$5:$O$40,"&gt;="&amp;M889),'FIRE TEX 5120'!$O$5:$T$40,IF(L889="F-15",2,IF(L889="F-30",3,IF(L889="F-60",4,IF(L889="F-90",5,IF(L889="F-120",6,0))))),0),0)</f>
        <v>0</v>
      </c>
      <c r="Q889" s="46">
        <f t="shared" si="89"/>
        <v>0</v>
      </c>
      <c r="R889" s="46">
        <f t="shared" si="90"/>
        <v>0</v>
      </c>
      <c r="S889" s="46" t="e">
        <f t="shared" si="91"/>
        <v>#VALUE!</v>
      </c>
      <c r="T889" s="677">
        <f t="shared" si="92"/>
        <v>0</v>
      </c>
      <c r="U889" s="80">
        <f>(IF(O889="Stofire",(S889*#REF!),0))+(IF(O889="Fire Control",(S889*$U$2),0))+(IF(O889="Fire Tex",(S889*$U$3),0))+(IF(O889="WB7",(S889*#REF!),0)+(IF(O889="FX 2003",(S889*$U$5),0)))</f>
        <v>0</v>
      </c>
      <c r="V889" s="651">
        <f t="shared" si="93"/>
        <v>0</v>
      </c>
    </row>
    <row r="890" spans="4:22" x14ac:dyDescent="0.25">
      <c r="D890" s="118">
        <f>+CUBICACION!D889</f>
        <v>0</v>
      </c>
      <c r="E890" s="118">
        <f>+CUBICACION!F889</f>
        <v>0</v>
      </c>
      <c r="F890" s="118">
        <f>+CUBICACION!E889</f>
        <v>0</v>
      </c>
      <c r="G890" s="118">
        <v>12</v>
      </c>
      <c r="H890" s="118">
        <v>2</v>
      </c>
      <c r="I890" s="820">
        <v>26385</v>
      </c>
      <c r="J890" s="118">
        <f>+CUBICACION!J889</f>
        <v>0</v>
      </c>
      <c r="K890" s="118">
        <v>3669</v>
      </c>
      <c r="L890" s="118">
        <f>+CUBICACION!L889</f>
        <v>0</v>
      </c>
      <c r="M890" s="64">
        <f>+CUBICACION!M889</f>
        <v>0</v>
      </c>
      <c r="N890" s="824" t="str">
        <f>+CUBICACION!N889</f>
        <v/>
      </c>
      <c r="O890" s="675">
        <f>+CUBICACION!O889</f>
        <v>0</v>
      </c>
      <c r="P890" s="15">
        <f>IF(O890="Fire Control",VLOOKUP(_xlfn.MINIFS('FIRE CONTROL'!$C$4:$C$37,'FIRE CONTROL'!$C$4:$C$37,"&gt;="&amp;M890),'FIRE CONTROL'!$C$4:$G$37,IF(L890="F-15",2,IF(L890="F-30",3,IF(L890="F-60",4,IF(L890="F-90",5,0)))),0),0)+IF(AND(O890="FIRE TEX 5062",OR(E890="IN",E890="C",E890="Z",E890="L"),J890=3),VLOOKUP(_xlfn.MINIFS('FIRE TEX 5062'!$B$4:$B$34,'FIRE TEX 5062'!$B$4:$B$34,"&gt;="&amp;M890),'FIRE TEX 5062'!$B$4:$F$34,IF(L890="F-15",2,IF(L890="F-30",3,IF(L890="F-60",4,IF(L890="F-90",5,0)))),0),0)+IF(AND(O890="FIRE TEX 5062",OR(E890="IN",E890="C",E890="Z",E890="L"),J890=4),VLOOKUP(_xlfn.MINIFS('FIRE TEX 5062'!$G$4:$G$34,'FIRE TEX 5062'!$G$4:$G$34,"&gt;="&amp;M890),'FIRE TEX 5062'!$G$4:$K$34,IF(L890="F-15",2,IF(L890="F-30",3,IF(L890="F-60",4,IF(L890="F-90",5,0)))),0),0)+IF(AND(O890="FIRE TEX 5062",E890="CJ",J890=3),VLOOKUP(_xlfn.MINIFS('FIRE TEX 5062'!$L$4:$L$34,'FIRE TEX 5062'!$L$4:$L$34,"&gt;="&amp;M890),'FIRE TEX 5062'!$L$4:$P$34,IF(L890="F-15",2,IF(L890="F-30",3,IF(L890="F-60",4,IF(L890="F-90",5,0)))),0),0)+IF(AND(O890="FIRE TEX 5062",E890="CJ",J890=4),VLOOKUP(_xlfn.MINIFS('FIRE TEX 5062'!$Q$3:$Q$34,'FIRE TEX 5062'!$Q$3:$Q$34,"&gt;="&amp;M890),'FIRE TEX 5062'!$Q$3:$U$34,IF(L890="F-15",2,IF(L890="F-30",3,IF(L890="F-60",4,IF(L890="F-90",5,0)))),0),0)+IF(AND(O890="FIRE TEX 5090",OR(E890="IN",E890="C",E890="Z",E890="L"),J890=3),VLOOKUP(_xlfn.MINIFS('FIRE TEX 5090'!$B$5:$B$43,'FIRE TEX 5090'!$B$5:$B$43,"&gt;="&amp;M890),'FIRE TEX 5090'!$B$5:$H$43,IF(L890="F-15",2,IF(L890="F-30",3,IF(L890="F-60",4,IF(L890="F-90",5,IF(L890="F-120",6,IF(L890="F-150",7,0)))))),0),0)+IF(AND(O890="FIRE TEX 5090",OR(E890="IN",E890="C",E890="Z",E890="L"),J890=4),VLOOKUP(_xlfn.MINIFS('FIRE TEX 5090'!$J$5:$J$43,'FIRE TEX 5090'!$J$5:$J$43,"&gt;="&amp;M890),'FIRE TEX 5090'!$J$5:$P$43,IF(L890="F-15",2,IF(L890="F-30",3,IF(L890="F-60",4,IF(L890="F-90",5,IF(L890="F-120",6,IF(L890="F-150",7,0)))))),0),0)+IF(AND(O890="FIRE TEX 5090",E890="CJ",J890=3),VLOOKUP(_xlfn.MINIFS('FIRE TEX 5090'!$R$5:$R$30,'FIRE TEX 5090'!$R$5:$R$30,"&gt;="&amp;M890),'FIRE TEX 5090'!$R$5:$W$30,IF(L890="F-15",2,IF(L890="F-30",3,IF(L890="F-60",4,IF(L890="F-90",5,IF(L890="F-120",6,IF(L890="F-150",7,0)))))),0),0)+IF(AND(O890="FIRE TEX 5090",E890="CJ",J890=4),VLOOKUP(_xlfn.MINIFS('FIRE TEX 5090'!$Y$5:$Y$39,'FIRE TEX 5090'!$Y$5:$Y$39,"&gt;="&amp;M890),'FIRE TEX 5090'!$Y$5:$AD$39,IF(L890="F-15",2,IF(L890="F-30",3,IF(L890="F-60",4,IF(L890="F-90",5,IF(L890="F-120",6,IF(L890="F-150",7,0)))))),0),0)+IF(AND(O890="FIRE TEX 5120",OR(E890="IN",E890="C",E890="Z",E890="L"),J890=3),VLOOKUP(_xlfn.MINIFS('FIRE TEX 5120'!$B$5:$B$40,'FIRE TEX 5120'!$B$5:$B$40,"&gt;="&amp;M890),'FIRE TEX 5120'!$B$5:$G$40,IF(L890="F-15",2,IF(L890="F-30",3,IF(L890="F-60",4,IF(L890="F-90",5,IF(L890="F-120",6,0))))),0),0)+IF(AND(O890="FIRE TEX 5120",OR(E890="IN",E890="C",E890="Z",E890="L"),J890=4),VLOOKUP(_xlfn.MINIFS('FIRE TEX 5120'!$H$4:$H$40,'FIRE TEX 5120'!$H$4:$H$40,"&gt;="&amp;M890),'FIRE TEX 5120'!$H$4:$M$40,IF(L890="F-15",2,IF(L890="F-30",3,IF(L890="F-60",4,IF(L890="F-90",5,IF(L890="F-120",6,0))))),0),0)+IF(AND(O890="FIRE TEX 5120",E890="CJ"),VLOOKUP(_xlfn.MINIFS('FIRE TEX 5120'!$O$5:$O$40,'FIRE TEX 5120'!$O$5:$O$40,"&gt;="&amp;M890),'FIRE TEX 5120'!$O$5:$T$40,IF(L890="F-15",2,IF(L890="F-30",3,IF(L890="F-60",4,IF(L890="F-90",5,IF(L890="F-120",6,0))))),0),0)</f>
        <v>0</v>
      </c>
      <c r="Q890" s="46">
        <f t="shared" si="89"/>
        <v>0</v>
      </c>
      <c r="R890" s="46">
        <f t="shared" si="90"/>
        <v>0</v>
      </c>
      <c r="S890" s="46" t="e">
        <f t="shared" si="91"/>
        <v>#VALUE!</v>
      </c>
      <c r="T890" s="677">
        <f t="shared" si="92"/>
        <v>0</v>
      </c>
      <c r="U890" s="80">
        <f>(IF(O890="Stofire",(S890*#REF!),0))+(IF(O890="Fire Control",(S890*$U$2),0))+(IF(O890="Fire Tex",(S890*$U$3),0))+(IF(O890="WB7",(S890*#REF!),0)+(IF(O890="FX 2003",(S890*$U$5),0)))</f>
        <v>0</v>
      </c>
      <c r="V890" s="651">
        <f t="shared" si="93"/>
        <v>0</v>
      </c>
    </row>
    <row r="891" spans="4:22" x14ac:dyDescent="0.25">
      <c r="D891" s="118">
        <f>+CUBICACION!D890</f>
        <v>0</v>
      </c>
      <c r="E891" s="118">
        <f>+CUBICACION!F890</f>
        <v>0</v>
      </c>
      <c r="F891" s="118">
        <f>+CUBICACION!E890</f>
        <v>0</v>
      </c>
      <c r="G891" s="118">
        <v>12</v>
      </c>
      <c r="H891" s="118">
        <v>2</v>
      </c>
      <c r="I891" s="820">
        <v>26385</v>
      </c>
      <c r="J891" s="118">
        <f>+CUBICACION!J890</f>
        <v>0</v>
      </c>
      <c r="K891" s="118">
        <v>3670</v>
      </c>
      <c r="L891" s="118">
        <f>+CUBICACION!L890</f>
        <v>0</v>
      </c>
      <c r="M891" s="64">
        <f>+CUBICACION!M890</f>
        <v>0</v>
      </c>
      <c r="N891" s="824" t="str">
        <f>+CUBICACION!N890</f>
        <v/>
      </c>
      <c r="O891" s="675">
        <f>+CUBICACION!O890</f>
        <v>0</v>
      </c>
      <c r="P891" s="15">
        <f>IF(O891="Fire Control",VLOOKUP(_xlfn.MINIFS('FIRE CONTROL'!$C$4:$C$37,'FIRE CONTROL'!$C$4:$C$37,"&gt;="&amp;M891),'FIRE CONTROL'!$C$4:$G$37,IF(L891="F-15",2,IF(L891="F-30",3,IF(L891="F-60",4,IF(L891="F-90",5,0)))),0),0)+IF(AND(O891="FIRE TEX 5062",OR(E891="IN",E891="C",E891="Z",E891="L"),J891=3),VLOOKUP(_xlfn.MINIFS('FIRE TEX 5062'!$B$4:$B$34,'FIRE TEX 5062'!$B$4:$B$34,"&gt;="&amp;M891),'FIRE TEX 5062'!$B$4:$F$34,IF(L891="F-15",2,IF(L891="F-30",3,IF(L891="F-60",4,IF(L891="F-90",5,0)))),0),0)+IF(AND(O891="FIRE TEX 5062",OR(E891="IN",E891="C",E891="Z",E891="L"),J891=4),VLOOKUP(_xlfn.MINIFS('FIRE TEX 5062'!$G$4:$G$34,'FIRE TEX 5062'!$G$4:$G$34,"&gt;="&amp;M891),'FIRE TEX 5062'!$G$4:$K$34,IF(L891="F-15",2,IF(L891="F-30",3,IF(L891="F-60",4,IF(L891="F-90",5,0)))),0),0)+IF(AND(O891="FIRE TEX 5062",E891="CJ",J891=3),VLOOKUP(_xlfn.MINIFS('FIRE TEX 5062'!$L$4:$L$34,'FIRE TEX 5062'!$L$4:$L$34,"&gt;="&amp;M891),'FIRE TEX 5062'!$L$4:$P$34,IF(L891="F-15",2,IF(L891="F-30",3,IF(L891="F-60",4,IF(L891="F-90",5,0)))),0),0)+IF(AND(O891="FIRE TEX 5062",E891="CJ",J891=4),VLOOKUP(_xlfn.MINIFS('FIRE TEX 5062'!$Q$3:$Q$34,'FIRE TEX 5062'!$Q$3:$Q$34,"&gt;="&amp;M891),'FIRE TEX 5062'!$Q$3:$U$34,IF(L891="F-15",2,IF(L891="F-30",3,IF(L891="F-60",4,IF(L891="F-90",5,0)))),0),0)+IF(AND(O891="FIRE TEX 5090",OR(E891="IN",E891="C",E891="Z",E891="L"),J891=3),VLOOKUP(_xlfn.MINIFS('FIRE TEX 5090'!$B$5:$B$43,'FIRE TEX 5090'!$B$5:$B$43,"&gt;="&amp;M891),'FIRE TEX 5090'!$B$5:$H$43,IF(L891="F-15",2,IF(L891="F-30",3,IF(L891="F-60",4,IF(L891="F-90",5,IF(L891="F-120",6,IF(L891="F-150",7,0)))))),0),0)+IF(AND(O891="FIRE TEX 5090",OR(E891="IN",E891="C",E891="Z",E891="L"),J891=4),VLOOKUP(_xlfn.MINIFS('FIRE TEX 5090'!$J$5:$J$43,'FIRE TEX 5090'!$J$5:$J$43,"&gt;="&amp;M891),'FIRE TEX 5090'!$J$5:$P$43,IF(L891="F-15",2,IF(L891="F-30",3,IF(L891="F-60",4,IF(L891="F-90",5,IF(L891="F-120",6,IF(L891="F-150",7,0)))))),0),0)+IF(AND(O891="FIRE TEX 5090",E891="CJ",J891=3),VLOOKUP(_xlfn.MINIFS('FIRE TEX 5090'!$R$5:$R$30,'FIRE TEX 5090'!$R$5:$R$30,"&gt;="&amp;M891),'FIRE TEX 5090'!$R$5:$W$30,IF(L891="F-15",2,IF(L891="F-30",3,IF(L891="F-60",4,IF(L891="F-90",5,IF(L891="F-120",6,IF(L891="F-150",7,0)))))),0),0)+IF(AND(O891="FIRE TEX 5090",E891="CJ",J891=4),VLOOKUP(_xlfn.MINIFS('FIRE TEX 5090'!$Y$5:$Y$39,'FIRE TEX 5090'!$Y$5:$Y$39,"&gt;="&amp;M891),'FIRE TEX 5090'!$Y$5:$AD$39,IF(L891="F-15",2,IF(L891="F-30",3,IF(L891="F-60",4,IF(L891="F-90",5,IF(L891="F-120",6,IF(L891="F-150",7,0)))))),0),0)+IF(AND(O891="FIRE TEX 5120",OR(E891="IN",E891="C",E891="Z",E891="L"),J891=3),VLOOKUP(_xlfn.MINIFS('FIRE TEX 5120'!$B$5:$B$40,'FIRE TEX 5120'!$B$5:$B$40,"&gt;="&amp;M891),'FIRE TEX 5120'!$B$5:$G$40,IF(L891="F-15",2,IF(L891="F-30",3,IF(L891="F-60",4,IF(L891="F-90",5,IF(L891="F-120",6,0))))),0),0)+IF(AND(O891="FIRE TEX 5120",OR(E891="IN",E891="C",E891="Z",E891="L"),J891=4),VLOOKUP(_xlfn.MINIFS('FIRE TEX 5120'!$H$4:$H$40,'FIRE TEX 5120'!$H$4:$H$40,"&gt;="&amp;M891),'FIRE TEX 5120'!$H$4:$M$40,IF(L891="F-15",2,IF(L891="F-30",3,IF(L891="F-60",4,IF(L891="F-90",5,IF(L891="F-120",6,0))))),0),0)+IF(AND(O891="FIRE TEX 5120",E891="CJ"),VLOOKUP(_xlfn.MINIFS('FIRE TEX 5120'!$O$5:$O$40,'FIRE TEX 5120'!$O$5:$O$40,"&gt;="&amp;M891),'FIRE TEX 5120'!$O$5:$T$40,IF(L891="F-15",2,IF(L891="F-30",3,IF(L891="F-60",4,IF(L891="F-90",5,IF(L891="F-120",6,0))))),0),0)</f>
        <v>0</v>
      </c>
      <c r="Q891" s="46">
        <f t="shared" si="89"/>
        <v>0</v>
      </c>
      <c r="R891" s="46">
        <f t="shared" si="90"/>
        <v>0</v>
      </c>
      <c r="S891" s="46" t="e">
        <f t="shared" si="91"/>
        <v>#VALUE!</v>
      </c>
      <c r="T891" s="677">
        <f t="shared" si="92"/>
        <v>0</v>
      </c>
      <c r="U891" s="80">
        <f>(IF(O891="Stofire",(S891*#REF!),0))+(IF(O891="Fire Control",(S891*$U$2),0))+(IF(O891="Fire Tex",(S891*$U$3),0))+(IF(O891="WB7",(S891*#REF!),0)+(IF(O891="FX 2003",(S891*$U$5),0)))</f>
        <v>0</v>
      </c>
      <c r="V891" s="651">
        <f t="shared" si="93"/>
        <v>0</v>
      </c>
    </row>
    <row r="892" spans="4:22" x14ac:dyDescent="0.25">
      <c r="D892" s="118">
        <f>+CUBICACION!D891</f>
        <v>0</v>
      </c>
      <c r="E892" s="118">
        <f>+CUBICACION!F891</f>
        <v>0</v>
      </c>
      <c r="F892" s="118">
        <f>+CUBICACION!E891</f>
        <v>0</v>
      </c>
      <c r="G892" s="118">
        <v>12</v>
      </c>
      <c r="H892" s="118">
        <v>2</v>
      </c>
      <c r="I892" s="820">
        <v>26385</v>
      </c>
      <c r="J892" s="118">
        <f>+CUBICACION!J891</f>
        <v>0</v>
      </c>
      <c r="K892" s="118">
        <v>3671</v>
      </c>
      <c r="L892" s="118">
        <f>+CUBICACION!L891</f>
        <v>0</v>
      </c>
      <c r="M892" s="64">
        <f>+CUBICACION!M891</f>
        <v>0</v>
      </c>
      <c r="N892" s="824" t="str">
        <f>+CUBICACION!N891</f>
        <v/>
      </c>
      <c r="O892" s="675">
        <f>+CUBICACION!O891</f>
        <v>0</v>
      </c>
      <c r="P892" s="15">
        <f>IF(O892="Fire Control",VLOOKUP(_xlfn.MINIFS('FIRE CONTROL'!$C$4:$C$37,'FIRE CONTROL'!$C$4:$C$37,"&gt;="&amp;M892),'FIRE CONTROL'!$C$4:$G$37,IF(L892="F-15",2,IF(L892="F-30",3,IF(L892="F-60",4,IF(L892="F-90",5,0)))),0),0)+IF(AND(O892="FIRE TEX 5062",OR(E892="IN",E892="C",E892="Z",E892="L"),J892=3),VLOOKUP(_xlfn.MINIFS('FIRE TEX 5062'!$B$4:$B$34,'FIRE TEX 5062'!$B$4:$B$34,"&gt;="&amp;M892),'FIRE TEX 5062'!$B$4:$F$34,IF(L892="F-15",2,IF(L892="F-30",3,IF(L892="F-60",4,IF(L892="F-90",5,0)))),0),0)+IF(AND(O892="FIRE TEX 5062",OR(E892="IN",E892="C",E892="Z",E892="L"),J892=4),VLOOKUP(_xlfn.MINIFS('FIRE TEX 5062'!$G$4:$G$34,'FIRE TEX 5062'!$G$4:$G$34,"&gt;="&amp;M892),'FIRE TEX 5062'!$G$4:$K$34,IF(L892="F-15",2,IF(L892="F-30",3,IF(L892="F-60",4,IF(L892="F-90",5,0)))),0),0)+IF(AND(O892="FIRE TEX 5062",E892="CJ",J892=3),VLOOKUP(_xlfn.MINIFS('FIRE TEX 5062'!$L$4:$L$34,'FIRE TEX 5062'!$L$4:$L$34,"&gt;="&amp;M892),'FIRE TEX 5062'!$L$4:$P$34,IF(L892="F-15",2,IF(L892="F-30",3,IF(L892="F-60",4,IF(L892="F-90",5,0)))),0),0)+IF(AND(O892="FIRE TEX 5062",E892="CJ",J892=4),VLOOKUP(_xlfn.MINIFS('FIRE TEX 5062'!$Q$3:$Q$34,'FIRE TEX 5062'!$Q$3:$Q$34,"&gt;="&amp;M892),'FIRE TEX 5062'!$Q$3:$U$34,IF(L892="F-15",2,IF(L892="F-30",3,IF(L892="F-60",4,IF(L892="F-90",5,0)))),0),0)+IF(AND(O892="FIRE TEX 5090",OR(E892="IN",E892="C",E892="Z",E892="L"),J892=3),VLOOKUP(_xlfn.MINIFS('FIRE TEX 5090'!$B$5:$B$43,'FIRE TEX 5090'!$B$5:$B$43,"&gt;="&amp;M892),'FIRE TEX 5090'!$B$5:$H$43,IF(L892="F-15",2,IF(L892="F-30",3,IF(L892="F-60",4,IF(L892="F-90",5,IF(L892="F-120",6,IF(L892="F-150",7,0)))))),0),0)+IF(AND(O892="FIRE TEX 5090",OR(E892="IN",E892="C",E892="Z",E892="L"),J892=4),VLOOKUP(_xlfn.MINIFS('FIRE TEX 5090'!$J$5:$J$43,'FIRE TEX 5090'!$J$5:$J$43,"&gt;="&amp;M892),'FIRE TEX 5090'!$J$5:$P$43,IF(L892="F-15",2,IF(L892="F-30",3,IF(L892="F-60",4,IF(L892="F-90",5,IF(L892="F-120",6,IF(L892="F-150",7,0)))))),0),0)+IF(AND(O892="FIRE TEX 5090",E892="CJ",J892=3),VLOOKUP(_xlfn.MINIFS('FIRE TEX 5090'!$R$5:$R$30,'FIRE TEX 5090'!$R$5:$R$30,"&gt;="&amp;M892),'FIRE TEX 5090'!$R$5:$W$30,IF(L892="F-15",2,IF(L892="F-30",3,IF(L892="F-60",4,IF(L892="F-90",5,IF(L892="F-120",6,IF(L892="F-150",7,0)))))),0),0)+IF(AND(O892="FIRE TEX 5090",E892="CJ",J892=4),VLOOKUP(_xlfn.MINIFS('FIRE TEX 5090'!$Y$5:$Y$39,'FIRE TEX 5090'!$Y$5:$Y$39,"&gt;="&amp;M892),'FIRE TEX 5090'!$Y$5:$AD$39,IF(L892="F-15",2,IF(L892="F-30",3,IF(L892="F-60",4,IF(L892="F-90",5,IF(L892="F-120",6,IF(L892="F-150",7,0)))))),0),0)+IF(AND(O892="FIRE TEX 5120",OR(E892="IN",E892="C",E892="Z",E892="L"),J892=3),VLOOKUP(_xlfn.MINIFS('FIRE TEX 5120'!$B$5:$B$40,'FIRE TEX 5120'!$B$5:$B$40,"&gt;="&amp;M892),'FIRE TEX 5120'!$B$5:$G$40,IF(L892="F-15",2,IF(L892="F-30",3,IF(L892="F-60",4,IF(L892="F-90",5,IF(L892="F-120",6,0))))),0),0)+IF(AND(O892="FIRE TEX 5120",OR(E892="IN",E892="C",E892="Z",E892="L"),J892=4),VLOOKUP(_xlfn.MINIFS('FIRE TEX 5120'!$H$4:$H$40,'FIRE TEX 5120'!$H$4:$H$40,"&gt;="&amp;M892),'FIRE TEX 5120'!$H$4:$M$40,IF(L892="F-15",2,IF(L892="F-30",3,IF(L892="F-60",4,IF(L892="F-90",5,IF(L892="F-120",6,0))))),0),0)+IF(AND(O892="FIRE TEX 5120",E892="CJ"),VLOOKUP(_xlfn.MINIFS('FIRE TEX 5120'!$O$5:$O$40,'FIRE TEX 5120'!$O$5:$O$40,"&gt;="&amp;M892),'FIRE TEX 5120'!$O$5:$T$40,IF(L892="F-15",2,IF(L892="F-30",3,IF(L892="F-60",4,IF(L892="F-90",5,IF(L892="F-120",6,0))))),0),0)</f>
        <v>0</v>
      </c>
      <c r="Q892" s="46">
        <f t="shared" si="89"/>
        <v>0</v>
      </c>
      <c r="R892" s="46">
        <f t="shared" si="90"/>
        <v>0</v>
      </c>
      <c r="S892" s="46" t="e">
        <f t="shared" si="91"/>
        <v>#VALUE!</v>
      </c>
      <c r="T892" s="677">
        <f t="shared" si="92"/>
        <v>0</v>
      </c>
      <c r="U892" s="80">
        <f>(IF(O892="Stofire",(S892*#REF!),0))+(IF(O892="Fire Control",(S892*$U$2),0))+(IF(O892="Fire Tex",(S892*$U$3),0))+(IF(O892="WB7",(S892*#REF!),0)+(IF(O892="FX 2003",(S892*$U$5),0)))</f>
        <v>0</v>
      </c>
      <c r="V892" s="651">
        <f t="shared" si="93"/>
        <v>0</v>
      </c>
    </row>
    <row r="893" spans="4:22" x14ac:dyDescent="0.25">
      <c r="D893" s="118">
        <f>+CUBICACION!D892</f>
        <v>0</v>
      </c>
      <c r="E893" s="118">
        <f>+CUBICACION!F892</f>
        <v>0</v>
      </c>
      <c r="F893" s="118">
        <f>+CUBICACION!E892</f>
        <v>0</v>
      </c>
      <c r="G893" s="118">
        <v>12</v>
      </c>
      <c r="H893" s="118">
        <v>2</v>
      </c>
      <c r="I893" s="820">
        <v>26385</v>
      </c>
      <c r="J893" s="118">
        <f>+CUBICACION!J892</f>
        <v>0</v>
      </c>
      <c r="K893" s="118">
        <v>3672</v>
      </c>
      <c r="L893" s="118">
        <f>+CUBICACION!L892</f>
        <v>0</v>
      </c>
      <c r="M893" s="64">
        <f>+CUBICACION!M892</f>
        <v>0</v>
      </c>
      <c r="N893" s="824" t="str">
        <f>+CUBICACION!N892</f>
        <v/>
      </c>
      <c r="O893" s="675">
        <f>+CUBICACION!O892</f>
        <v>0</v>
      </c>
      <c r="P893" s="15">
        <f>IF(O893="Fire Control",VLOOKUP(_xlfn.MINIFS('FIRE CONTROL'!$C$4:$C$37,'FIRE CONTROL'!$C$4:$C$37,"&gt;="&amp;M893),'FIRE CONTROL'!$C$4:$G$37,IF(L893="F-15",2,IF(L893="F-30",3,IF(L893="F-60",4,IF(L893="F-90",5,0)))),0),0)+IF(AND(O893="FIRE TEX 5062",OR(E893="IN",E893="C",E893="Z",E893="L"),J893=3),VLOOKUP(_xlfn.MINIFS('FIRE TEX 5062'!$B$4:$B$34,'FIRE TEX 5062'!$B$4:$B$34,"&gt;="&amp;M893),'FIRE TEX 5062'!$B$4:$F$34,IF(L893="F-15",2,IF(L893="F-30",3,IF(L893="F-60",4,IF(L893="F-90",5,0)))),0),0)+IF(AND(O893="FIRE TEX 5062",OR(E893="IN",E893="C",E893="Z",E893="L"),J893=4),VLOOKUP(_xlfn.MINIFS('FIRE TEX 5062'!$G$4:$G$34,'FIRE TEX 5062'!$G$4:$G$34,"&gt;="&amp;M893),'FIRE TEX 5062'!$G$4:$K$34,IF(L893="F-15",2,IF(L893="F-30",3,IF(L893="F-60",4,IF(L893="F-90",5,0)))),0),0)+IF(AND(O893="FIRE TEX 5062",E893="CJ",J893=3),VLOOKUP(_xlfn.MINIFS('FIRE TEX 5062'!$L$4:$L$34,'FIRE TEX 5062'!$L$4:$L$34,"&gt;="&amp;M893),'FIRE TEX 5062'!$L$4:$P$34,IF(L893="F-15",2,IF(L893="F-30",3,IF(L893="F-60",4,IF(L893="F-90",5,0)))),0),0)+IF(AND(O893="FIRE TEX 5062",E893="CJ",J893=4),VLOOKUP(_xlfn.MINIFS('FIRE TEX 5062'!$Q$3:$Q$34,'FIRE TEX 5062'!$Q$3:$Q$34,"&gt;="&amp;M893),'FIRE TEX 5062'!$Q$3:$U$34,IF(L893="F-15",2,IF(L893="F-30",3,IF(L893="F-60",4,IF(L893="F-90",5,0)))),0),0)+IF(AND(O893="FIRE TEX 5090",OR(E893="IN",E893="C",E893="Z",E893="L"),J893=3),VLOOKUP(_xlfn.MINIFS('FIRE TEX 5090'!$B$5:$B$43,'FIRE TEX 5090'!$B$5:$B$43,"&gt;="&amp;M893),'FIRE TEX 5090'!$B$5:$H$43,IF(L893="F-15",2,IF(L893="F-30",3,IF(L893="F-60",4,IF(L893="F-90",5,IF(L893="F-120",6,IF(L893="F-150",7,0)))))),0),0)+IF(AND(O893="FIRE TEX 5090",OR(E893="IN",E893="C",E893="Z",E893="L"),J893=4),VLOOKUP(_xlfn.MINIFS('FIRE TEX 5090'!$J$5:$J$43,'FIRE TEX 5090'!$J$5:$J$43,"&gt;="&amp;M893),'FIRE TEX 5090'!$J$5:$P$43,IF(L893="F-15",2,IF(L893="F-30",3,IF(L893="F-60",4,IF(L893="F-90",5,IF(L893="F-120",6,IF(L893="F-150",7,0)))))),0),0)+IF(AND(O893="FIRE TEX 5090",E893="CJ",J893=3),VLOOKUP(_xlfn.MINIFS('FIRE TEX 5090'!$R$5:$R$30,'FIRE TEX 5090'!$R$5:$R$30,"&gt;="&amp;M893),'FIRE TEX 5090'!$R$5:$W$30,IF(L893="F-15",2,IF(L893="F-30",3,IF(L893="F-60",4,IF(L893="F-90",5,IF(L893="F-120",6,IF(L893="F-150",7,0)))))),0),0)+IF(AND(O893="FIRE TEX 5090",E893="CJ",J893=4),VLOOKUP(_xlfn.MINIFS('FIRE TEX 5090'!$Y$5:$Y$39,'FIRE TEX 5090'!$Y$5:$Y$39,"&gt;="&amp;M893),'FIRE TEX 5090'!$Y$5:$AD$39,IF(L893="F-15",2,IF(L893="F-30",3,IF(L893="F-60",4,IF(L893="F-90",5,IF(L893="F-120",6,IF(L893="F-150",7,0)))))),0),0)+IF(AND(O893="FIRE TEX 5120",OR(E893="IN",E893="C",E893="Z",E893="L"),J893=3),VLOOKUP(_xlfn.MINIFS('FIRE TEX 5120'!$B$5:$B$40,'FIRE TEX 5120'!$B$5:$B$40,"&gt;="&amp;M893),'FIRE TEX 5120'!$B$5:$G$40,IF(L893="F-15",2,IF(L893="F-30",3,IF(L893="F-60",4,IF(L893="F-90",5,IF(L893="F-120",6,0))))),0),0)+IF(AND(O893="FIRE TEX 5120",OR(E893="IN",E893="C",E893="Z",E893="L"),J893=4),VLOOKUP(_xlfn.MINIFS('FIRE TEX 5120'!$H$4:$H$40,'FIRE TEX 5120'!$H$4:$H$40,"&gt;="&amp;M893),'FIRE TEX 5120'!$H$4:$M$40,IF(L893="F-15",2,IF(L893="F-30",3,IF(L893="F-60",4,IF(L893="F-90",5,IF(L893="F-120",6,0))))),0),0)+IF(AND(O893="FIRE TEX 5120",E893="CJ"),VLOOKUP(_xlfn.MINIFS('FIRE TEX 5120'!$O$5:$O$40,'FIRE TEX 5120'!$O$5:$O$40,"&gt;="&amp;M893),'FIRE TEX 5120'!$O$5:$T$40,IF(L893="F-15",2,IF(L893="F-30",3,IF(L893="F-60",4,IF(L893="F-90",5,IF(L893="F-120",6,0))))),0),0)</f>
        <v>0</v>
      </c>
      <c r="Q893" s="46">
        <f t="shared" si="89"/>
        <v>0</v>
      </c>
      <c r="R893" s="46">
        <f t="shared" si="90"/>
        <v>0</v>
      </c>
      <c r="S893" s="46" t="e">
        <f t="shared" si="91"/>
        <v>#VALUE!</v>
      </c>
      <c r="T893" s="677">
        <f t="shared" si="92"/>
        <v>0</v>
      </c>
      <c r="U893" s="80">
        <f>(IF(O893="Stofire",(S893*#REF!),0))+(IF(O893="Fire Control",(S893*$U$2),0))+(IF(O893="Fire Tex",(S893*$U$3),0))+(IF(O893="WB7",(S893*#REF!),0)+(IF(O893="FX 2003",(S893*$U$5),0)))</f>
        <v>0</v>
      </c>
      <c r="V893" s="651">
        <f t="shared" si="93"/>
        <v>0</v>
      </c>
    </row>
    <row r="894" spans="4:22" x14ac:dyDescent="0.25">
      <c r="D894" s="118">
        <f>+CUBICACION!D893</f>
        <v>0</v>
      </c>
      <c r="E894" s="118">
        <f>+CUBICACION!F893</f>
        <v>0</v>
      </c>
      <c r="F894" s="118">
        <f>+CUBICACION!E893</f>
        <v>0</v>
      </c>
      <c r="G894" s="118">
        <v>12</v>
      </c>
      <c r="H894" s="118">
        <v>2</v>
      </c>
      <c r="I894" s="820">
        <v>26385</v>
      </c>
      <c r="J894" s="118">
        <f>+CUBICACION!J893</f>
        <v>0</v>
      </c>
      <c r="K894" s="118">
        <v>3673</v>
      </c>
      <c r="L894" s="118">
        <f>+CUBICACION!L893</f>
        <v>0</v>
      </c>
      <c r="M894" s="64">
        <f>+CUBICACION!M893</f>
        <v>0</v>
      </c>
      <c r="N894" s="824" t="str">
        <f>+CUBICACION!N893</f>
        <v/>
      </c>
      <c r="O894" s="675">
        <f>+CUBICACION!O893</f>
        <v>0</v>
      </c>
      <c r="P894" s="15">
        <f>IF(O894="Fire Control",VLOOKUP(_xlfn.MINIFS('FIRE CONTROL'!$C$4:$C$37,'FIRE CONTROL'!$C$4:$C$37,"&gt;="&amp;M894),'FIRE CONTROL'!$C$4:$G$37,IF(L894="F-15",2,IF(L894="F-30",3,IF(L894="F-60",4,IF(L894="F-90",5,0)))),0),0)+IF(AND(O894="FIRE TEX 5062",OR(E894="IN",E894="C",E894="Z",E894="L"),J894=3),VLOOKUP(_xlfn.MINIFS('FIRE TEX 5062'!$B$4:$B$34,'FIRE TEX 5062'!$B$4:$B$34,"&gt;="&amp;M894),'FIRE TEX 5062'!$B$4:$F$34,IF(L894="F-15",2,IF(L894="F-30",3,IF(L894="F-60",4,IF(L894="F-90",5,0)))),0),0)+IF(AND(O894="FIRE TEX 5062",OR(E894="IN",E894="C",E894="Z",E894="L"),J894=4),VLOOKUP(_xlfn.MINIFS('FIRE TEX 5062'!$G$4:$G$34,'FIRE TEX 5062'!$G$4:$G$34,"&gt;="&amp;M894),'FIRE TEX 5062'!$G$4:$K$34,IF(L894="F-15",2,IF(L894="F-30",3,IF(L894="F-60",4,IF(L894="F-90",5,0)))),0),0)+IF(AND(O894="FIRE TEX 5062",E894="CJ",J894=3),VLOOKUP(_xlfn.MINIFS('FIRE TEX 5062'!$L$4:$L$34,'FIRE TEX 5062'!$L$4:$L$34,"&gt;="&amp;M894),'FIRE TEX 5062'!$L$4:$P$34,IF(L894="F-15",2,IF(L894="F-30",3,IF(L894="F-60",4,IF(L894="F-90",5,0)))),0),0)+IF(AND(O894="FIRE TEX 5062",E894="CJ",J894=4),VLOOKUP(_xlfn.MINIFS('FIRE TEX 5062'!$Q$3:$Q$34,'FIRE TEX 5062'!$Q$3:$Q$34,"&gt;="&amp;M894),'FIRE TEX 5062'!$Q$3:$U$34,IF(L894="F-15",2,IF(L894="F-30",3,IF(L894="F-60",4,IF(L894="F-90",5,0)))),0),0)+IF(AND(O894="FIRE TEX 5090",OR(E894="IN",E894="C",E894="Z",E894="L"),J894=3),VLOOKUP(_xlfn.MINIFS('FIRE TEX 5090'!$B$5:$B$43,'FIRE TEX 5090'!$B$5:$B$43,"&gt;="&amp;M894),'FIRE TEX 5090'!$B$5:$H$43,IF(L894="F-15",2,IF(L894="F-30",3,IF(L894="F-60",4,IF(L894="F-90",5,IF(L894="F-120",6,IF(L894="F-150",7,0)))))),0),0)+IF(AND(O894="FIRE TEX 5090",OR(E894="IN",E894="C",E894="Z",E894="L"),J894=4),VLOOKUP(_xlfn.MINIFS('FIRE TEX 5090'!$J$5:$J$43,'FIRE TEX 5090'!$J$5:$J$43,"&gt;="&amp;M894),'FIRE TEX 5090'!$J$5:$P$43,IF(L894="F-15",2,IF(L894="F-30",3,IF(L894="F-60",4,IF(L894="F-90",5,IF(L894="F-120",6,IF(L894="F-150",7,0)))))),0),0)+IF(AND(O894="FIRE TEX 5090",E894="CJ",J894=3),VLOOKUP(_xlfn.MINIFS('FIRE TEX 5090'!$R$5:$R$30,'FIRE TEX 5090'!$R$5:$R$30,"&gt;="&amp;M894),'FIRE TEX 5090'!$R$5:$W$30,IF(L894="F-15",2,IF(L894="F-30",3,IF(L894="F-60",4,IF(L894="F-90",5,IF(L894="F-120",6,IF(L894="F-150",7,0)))))),0),0)+IF(AND(O894="FIRE TEX 5090",E894="CJ",J894=4),VLOOKUP(_xlfn.MINIFS('FIRE TEX 5090'!$Y$5:$Y$39,'FIRE TEX 5090'!$Y$5:$Y$39,"&gt;="&amp;M894),'FIRE TEX 5090'!$Y$5:$AD$39,IF(L894="F-15",2,IF(L894="F-30",3,IF(L894="F-60",4,IF(L894="F-90",5,IF(L894="F-120",6,IF(L894="F-150",7,0)))))),0),0)+IF(AND(O894="FIRE TEX 5120",OR(E894="IN",E894="C",E894="Z",E894="L"),J894=3),VLOOKUP(_xlfn.MINIFS('FIRE TEX 5120'!$B$5:$B$40,'FIRE TEX 5120'!$B$5:$B$40,"&gt;="&amp;M894),'FIRE TEX 5120'!$B$5:$G$40,IF(L894="F-15",2,IF(L894="F-30",3,IF(L894="F-60",4,IF(L894="F-90",5,IF(L894="F-120",6,0))))),0),0)+IF(AND(O894="FIRE TEX 5120",OR(E894="IN",E894="C",E894="Z",E894="L"),J894=4),VLOOKUP(_xlfn.MINIFS('FIRE TEX 5120'!$H$4:$H$40,'FIRE TEX 5120'!$H$4:$H$40,"&gt;="&amp;M894),'FIRE TEX 5120'!$H$4:$M$40,IF(L894="F-15",2,IF(L894="F-30",3,IF(L894="F-60",4,IF(L894="F-90",5,IF(L894="F-120",6,0))))),0),0)+IF(AND(O894="FIRE TEX 5120",E894="CJ"),VLOOKUP(_xlfn.MINIFS('FIRE TEX 5120'!$O$5:$O$40,'FIRE TEX 5120'!$O$5:$O$40,"&gt;="&amp;M894),'FIRE TEX 5120'!$O$5:$T$40,IF(L894="F-15",2,IF(L894="F-30",3,IF(L894="F-60",4,IF(L894="F-90",5,IF(L894="F-120",6,0))))),0),0)</f>
        <v>0</v>
      </c>
      <c r="Q894" s="46">
        <f t="shared" si="89"/>
        <v>0</v>
      </c>
      <c r="R894" s="46">
        <f t="shared" si="90"/>
        <v>0</v>
      </c>
      <c r="S894" s="46" t="e">
        <f t="shared" si="91"/>
        <v>#VALUE!</v>
      </c>
      <c r="T894" s="677">
        <f t="shared" si="92"/>
        <v>0</v>
      </c>
      <c r="U894" s="80">
        <f>(IF(O894="Stofire",(S894*#REF!),0))+(IF(O894="Fire Control",(S894*$U$2),0))+(IF(O894="Fire Tex",(S894*$U$3),0))+(IF(O894="WB7",(S894*#REF!),0)+(IF(O894="FX 2003",(S894*$U$5),0)))</f>
        <v>0</v>
      </c>
      <c r="V894" s="651">
        <f t="shared" si="93"/>
        <v>0</v>
      </c>
    </row>
    <row r="895" spans="4:22" x14ac:dyDescent="0.25">
      <c r="D895" s="118">
        <f>+CUBICACION!D894</f>
        <v>0</v>
      </c>
      <c r="E895" s="118">
        <f>+CUBICACION!F894</f>
        <v>0</v>
      </c>
      <c r="F895" s="118">
        <f>+CUBICACION!E894</f>
        <v>0</v>
      </c>
      <c r="G895" s="118">
        <v>12</v>
      </c>
      <c r="H895" s="118">
        <v>2</v>
      </c>
      <c r="I895" s="820">
        <v>26385</v>
      </c>
      <c r="J895" s="118">
        <f>+CUBICACION!J894</f>
        <v>0</v>
      </c>
      <c r="K895" s="118">
        <v>3674</v>
      </c>
      <c r="L895" s="118">
        <f>+CUBICACION!L894</f>
        <v>0</v>
      </c>
      <c r="M895" s="64">
        <f>+CUBICACION!M894</f>
        <v>0</v>
      </c>
      <c r="N895" s="824" t="str">
        <f>+CUBICACION!N894</f>
        <v/>
      </c>
      <c r="O895" s="675">
        <f>+CUBICACION!O894</f>
        <v>0</v>
      </c>
      <c r="P895" s="15">
        <f>IF(O895="Fire Control",VLOOKUP(_xlfn.MINIFS('FIRE CONTROL'!$C$4:$C$37,'FIRE CONTROL'!$C$4:$C$37,"&gt;="&amp;M895),'FIRE CONTROL'!$C$4:$G$37,IF(L895="F-15",2,IF(L895="F-30",3,IF(L895="F-60",4,IF(L895="F-90",5,0)))),0),0)+IF(AND(O895="FIRE TEX 5062",OR(E895="IN",E895="C",E895="Z",E895="L"),J895=3),VLOOKUP(_xlfn.MINIFS('FIRE TEX 5062'!$B$4:$B$34,'FIRE TEX 5062'!$B$4:$B$34,"&gt;="&amp;M895),'FIRE TEX 5062'!$B$4:$F$34,IF(L895="F-15",2,IF(L895="F-30",3,IF(L895="F-60",4,IF(L895="F-90",5,0)))),0),0)+IF(AND(O895="FIRE TEX 5062",OR(E895="IN",E895="C",E895="Z",E895="L"),J895=4),VLOOKUP(_xlfn.MINIFS('FIRE TEX 5062'!$G$4:$G$34,'FIRE TEX 5062'!$G$4:$G$34,"&gt;="&amp;M895),'FIRE TEX 5062'!$G$4:$K$34,IF(L895="F-15",2,IF(L895="F-30",3,IF(L895="F-60",4,IF(L895="F-90",5,0)))),0),0)+IF(AND(O895="FIRE TEX 5062",E895="CJ",J895=3),VLOOKUP(_xlfn.MINIFS('FIRE TEX 5062'!$L$4:$L$34,'FIRE TEX 5062'!$L$4:$L$34,"&gt;="&amp;M895),'FIRE TEX 5062'!$L$4:$P$34,IF(L895="F-15",2,IF(L895="F-30",3,IF(L895="F-60",4,IF(L895="F-90",5,0)))),0),0)+IF(AND(O895="FIRE TEX 5062",E895="CJ",J895=4),VLOOKUP(_xlfn.MINIFS('FIRE TEX 5062'!$Q$3:$Q$34,'FIRE TEX 5062'!$Q$3:$Q$34,"&gt;="&amp;M895),'FIRE TEX 5062'!$Q$3:$U$34,IF(L895="F-15",2,IF(L895="F-30",3,IF(L895="F-60",4,IF(L895="F-90",5,0)))),0),0)+IF(AND(O895="FIRE TEX 5090",OR(E895="IN",E895="C",E895="Z",E895="L"),J895=3),VLOOKUP(_xlfn.MINIFS('FIRE TEX 5090'!$B$5:$B$43,'FIRE TEX 5090'!$B$5:$B$43,"&gt;="&amp;M895),'FIRE TEX 5090'!$B$5:$H$43,IF(L895="F-15",2,IF(L895="F-30",3,IF(L895="F-60",4,IF(L895="F-90",5,IF(L895="F-120",6,IF(L895="F-150",7,0)))))),0),0)+IF(AND(O895="FIRE TEX 5090",OR(E895="IN",E895="C",E895="Z",E895="L"),J895=4),VLOOKUP(_xlfn.MINIFS('FIRE TEX 5090'!$J$5:$J$43,'FIRE TEX 5090'!$J$5:$J$43,"&gt;="&amp;M895),'FIRE TEX 5090'!$J$5:$P$43,IF(L895="F-15",2,IF(L895="F-30",3,IF(L895="F-60",4,IF(L895="F-90",5,IF(L895="F-120",6,IF(L895="F-150",7,0)))))),0),0)+IF(AND(O895="FIRE TEX 5090",E895="CJ",J895=3),VLOOKUP(_xlfn.MINIFS('FIRE TEX 5090'!$R$5:$R$30,'FIRE TEX 5090'!$R$5:$R$30,"&gt;="&amp;M895),'FIRE TEX 5090'!$R$5:$W$30,IF(L895="F-15",2,IF(L895="F-30",3,IF(L895="F-60",4,IF(L895="F-90",5,IF(L895="F-120",6,IF(L895="F-150",7,0)))))),0),0)+IF(AND(O895="FIRE TEX 5090",E895="CJ",J895=4),VLOOKUP(_xlfn.MINIFS('FIRE TEX 5090'!$Y$5:$Y$39,'FIRE TEX 5090'!$Y$5:$Y$39,"&gt;="&amp;M895),'FIRE TEX 5090'!$Y$5:$AD$39,IF(L895="F-15",2,IF(L895="F-30",3,IF(L895="F-60",4,IF(L895="F-90",5,IF(L895="F-120",6,IF(L895="F-150",7,0)))))),0),0)+IF(AND(O895="FIRE TEX 5120",OR(E895="IN",E895="C",E895="Z",E895="L"),J895=3),VLOOKUP(_xlfn.MINIFS('FIRE TEX 5120'!$B$5:$B$40,'FIRE TEX 5120'!$B$5:$B$40,"&gt;="&amp;M895),'FIRE TEX 5120'!$B$5:$G$40,IF(L895="F-15",2,IF(L895="F-30",3,IF(L895="F-60",4,IF(L895="F-90",5,IF(L895="F-120",6,0))))),0),0)+IF(AND(O895="FIRE TEX 5120",OR(E895="IN",E895="C",E895="Z",E895="L"),J895=4),VLOOKUP(_xlfn.MINIFS('FIRE TEX 5120'!$H$4:$H$40,'FIRE TEX 5120'!$H$4:$H$40,"&gt;="&amp;M895),'FIRE TEX 5120'!$H$4:$M$40,IF(L895="F-15",2,IF(L895="F-30",3,IF(L895="F-60",4,IF(L895="F-90",5,IF(L895="F-120",6,0))))),0),0)+IF(AND(O895="FIRE TEX 5120",E895="CJ"),VLOOKUP(_xlfn.MINIFS('FIRE TEX 5120'!$O$5:$O$40,'FIRE TEX 5120'!$O$5:$O$40,"&gt;="&amp;M895),'FIRE TEX 5120'!$O$5:$T$40,IF(L895="F-15",2,IF(L895="F-30",3,IF(L895="F-60",4,IF(L895="F-90",5,IF(L895="F-120",6,0))))),0),0)</f>
        <v>0</v>
      </c>
      <c r="Q895" s="46">
        <f t="shared" si="89"/>
        <v>0</v>
      </c>
      <c r="R895" s="46">
        <f t="shared" si="90"/>
        <v>0</v>
      </c>
      <c r="S895" s="46" t="e">
        <f t="shared" si="91"/>
        <v>#VALUE!</v>
      </c>
      <c r="T895" s="677">
        <f t="shared" si="92"/>
        <v>0</v>
      </c>
      <c r="U895" s="80">
        <f>(IF(O895="Stofire",(S895*#REF!),0))+(IF(O895="Fire Control",(S895*$U$2),0))+(IF(O895="Fire Tex",(S895*$U$3),0))+(IF(O895="WB7",(S895*#REF!),0)+(IF(O895="FX 2003",(S895*$U$5),0)))</f>
        <v>0</v>
      </c>
      <c r="V895" s="651">
        <f t="shared" si="93"/>
        <v>0</v>
      </c>
    </row>
    <row r="896" spans="4:22" x14ac:dyDescent="0.25">
      <c r="D896" s="118">
        <f>+CUBICACION!D895</f>
        <v>0</v>
      </c>
      <c r="E896" s="118">
        <f>+CUBICACION!F895</f>
        <v>0</v>
      </c>
      <c r="F896" s="118">
        <f>+CUBICACION!E895</f>
        <v>0</v>
      </c>
      <c r="G896" s="118">
        <v>12</v>
      </c>
      <c r="H896" s="118">
        <v>2</v>
      </c>
      <c r="I896" s="820">
        <v>26385</v>
      </c>
      <c r="J896" s="118">
        <f>+CUBICACION!J895</f>
        <v>0</v>
      </c>
      <c r="K896" s="118">
        <v>3675</v>
      </c>
      <c r="L896" s="118">
        <f>+CUBICACION!L895</f>
        <v>0</v>
      </c>
      <c r="M896" s="64">
        <f>+CUBICACION!M895</f>
        <v>0</v>
      </c>
      <c r="N896" s="824" t="str">
        <f>+CUBICACION!N895</f>
        <v/>
      </c>
      <c r="O896" s="675">
        <f>+CUBICACION!O895</f>
        <v>0</v>
      </c>
      <c r="P896" s="15">
        <f>IF(O896="Fire Control",VLOOKUP(_xlfn.MINIFS('FIRE CONTROL'!$C$4:$C$37,'FIRE CONTROL'!$C$4:$C$37,"&gt;="&amp;M896),'FIRE CONTROL'!$C$4:$G$37,IF(L896="F-15",2,IF(L896="F-30",3,IF(L896="F-60",4,IF(L896="F-90",5,0)))),0),0)+IF(AND(O896="FIRE TEX 5062",OR(E896="IN",E896="C",E896="Z",E896="L"),J896=3),VLOOKUP(_xlfn.MINIFS('FIRE TEX 5062'!$B$4:$B$34,'FIRE TEX 5062'!$B$4:$B$34,"&gt;="&amp;M896),'FIRE TEX 5062'!$B$4:$F$34,IF(L896="F-15",2,IF(L896="F-30",3,IF(L896="F-60",4,IF(L896="F-90",5,0)))),0),0)+IF(AND(O896="FIRE TEX 5062",OR(E896="IN",E896="C",E896="Z",E896="L"),J896=4),VLOOKUP(_xlfn.MINIFS('FIRE TEX 5062'!$G$4:$G$34,'FIRE TEX 5062'!$G$4:$G$34,"&gt;="&amp;M896),'FIRE TEX 5062'!$G$4:$K$34,IF(L896="F-15",2,IF(L896="F-30",3,IF(L896="F-60",4,IF(L896="F-90",5,0)))),0),0)+IF(AND(O896="FIRE TEX 5062",E896="CJ",J896=3),VLOOKUP(_xlfn.MINIFS('FIRE TEX 5062'!$L$4:$L$34,'FIRE TEX 5062'!$L$4:$L$34,"&gt;="&amp;M896),'FIRE TEX 5062'!$L$4:$P$34,IF(L896="F-15",2,IF(L896="F-30",3,IF(L896="F-60",4,IF(L896="F-90",5,0)))),0),0)+IF(AND(O896="FIRE TEX 5062",E896="CJ",J896=4),VLOOKUP(_xlfn.MINIFS('FIRE TEX 5062'!$Q$3:$Q$34,'FIRE TEX 5062'!$Q$3:$Q$34,"&gt;="&amp;M896),'FIRE TEX 5062'!$Q$3:$U$34,IF(L896="F-15",2,IF(L896="F-30",3,IF(L896="F-60",4,IF(L896="F-90",5,0)))),0),0)+IF(AND(O896="FIRE TEX 5090",OR(E896="IN",E896="C",E896="Z",E896="L"),J896=3),VLOOKUP(_xlfn.MINIFS('FIRE TEX 5090'!$B$5:$B$43,'FIRE TEX 5090'!$B$5:$B$43,"&gt;="&amp;M896),'FIRE TEX 5090'!$B$5:$H$43,IF(L896="F-15",2,IF(L896="F-30",3,IF(L896="F-60",4,IF(L896="F-90",5,IF(L896="F-120",6,IF(L896="F-150",7,0)))))),0),0)+IF(AND(O896="FIRE TEX 5090",OR(E896="IN",E896="C",E896="Z",E896="L"),J896=4),VLOOKUP(_xlfn.MINIFS('FIRE TEX 5090'!$J$5:$J$43,'FIRE TEX 5090'!$J$5:$J$43,"&gt;="&amp;M896),'FIRE TEX 5090'!$J$5:$P$43,IF(L896="F-15",2,IF(L896="F-30",3,IF(L896="F-60",4,IF(L896="F-90",5,IF(L896="F-120",6,IF(L896="F-150",7,0)))))),0),0)+IF(AND(O896="FIRE TEX 5090",E896="CJ",J896=3),VLOOKUP(_xlfn.MINIFS('FIRE TEX 5090'!$R$5:$R$30,'FIRE TEX 5090'!$R$5:$R$30,"&gt;="&amp;M896),'FIRE TEX 5090'!$R$5:$W$30,IF(L896="F-15",2,IF(L896="F-30",3,IF(L896="F-60",4,IF(L896="F-90",5,IF(L896="F-120",6,IF(L896="F-150",7,0)))))),0),0)+IF(AND(O896="FIRE TEX 5090",E896="CJ",J896=4),VLOOKUP(_xlfn.MINIFS('FIRE TEX 5090'!$Y$5:$Y$39,'FIRE TEX 5090'!$Y$5:$Y$39,"&gt;="&amp;M896),'FIRE TEX 5090'!$Y$5:$AD$39,IF(L896="F-15",2,IF(L896="F-30",3,IF(L896="F-60",4,IF(L896="F-90",5,IF(L896="F-120",6,IF(L896="F-150",7,0)))))),0),0)+IF(AND(O896="FIRE TEX 5120",OR(E896="IN",E896="C",E896="Z",E896="L"),J896=3),VLOOKUP(_xlfn.MINIFS('FIRE TEX 5120'!$B$5:$B$40,'FIRE TEX 5120'!$B$5:$B$40,"&gt;="&amp;M896),'FIRE TEX 5120'!$B$5:$G$40,IF(L896="F-15",2,IF(L896="F-30",3,IF(L896="F-60",4,IF(L896="F-90",5,IF(L896="F-120",6,0))))),0),0)+IF(AND(O896="FIRE TEX 5120",OR(E896="IN",E896="C",E896="Z",E896="L"),J896=4),VLOOKUP(_xlfn.MINIFS('FIRE TEX 5120'!$H$4:$H$40,'FIRE TEX 5120'!$H$4:$H$40,"&gt;="&amp;M896),'FIRE TEX 5120'!$H$4:$M$40,IF(L896="F-15",2,IF(L896="F-30",3,IF(L896="F-60",4,IF(L896="F-90",5,IF(L896="F-120",6,0))))),0),0)+IF(AND(O896="FIRE TEX 5120",E896="CJ"),VLOOKUP(_xlfn.MINIFS('FIRE TEX 5120'!$O$5:$O$40,'FIRE TEX 5120'!$O$5:$O$40,"&gt;="&amp;M896),'FIRE TEX 5120'!$O$5:$T$40,IF(L896="F-15",2,IF(L896="F-30",3,IF(L896="F-60",4,IF(L896="F-90",5,IF(L896="F-120",6,0))))),0),0)</f>
        <v>0</v>
      </c>
      <c r="Q896" s="46">
        <f t="shared" si="89"/>
        <v>0</v>
      </c>
      <c r="R896" s="46">
        <f t="shared" si="90"/>
        <v>0</v>
      </c>
      <c r="S896" s="46" t="e">
        <f t="shared" si="91"/>
        <v>#VALUE!</v>
      </c>
      <c r="T896" s="677">
        <f t="shared" si="92"/>
        <v>0</v>
      </c>
      <c r="U896" s="80">
        <f>(IF(O896="Stofire",(S896*#REF!),0))+(IF(O896="Fire Control",(S896*$U$2),0))+(IF(O896="Fire Tex",(S896*$U$3),0))+(IF(O896="WB7",(S896*#REF!),0)+(IF(O896="FX 2003",(S896*$U$5),0)))</f>
        <v>0</v>
      </c>
      <c r="V896" s="651">
        <f t="shared" si="93"/>
        <v>0</v>
      </c>
    </row>
    <row r="897" spans="4:22" x14ac:dyDescent="0.25">
      <c r="D897" s="118">
        <f>+CUBICACION!D896</f>
        <v>0</v>
      </c>
      <c r="E897" s="118">
        <f>+CUBICACION!F896</f>
        <v>0</v>
      </c>
      <c r="F897" s="118">
        <f>+CUBICACION!E896</f>
        <v>0</v>
      </c>
      <c r="G897" s="118">
        <v>12</v>
      </c>
      <c r="H897" s="118">
        <v>2</v>
      </c>
      <c r="I897" s="820">
        <v>26385</v>
      </c>
      <c r="J897" s="118">
        <f>+CUBICACION!J896</f>
        <v>0</v>
      </c>
      <c r="K897" s="118">
        <v>3676</v>
      </c>
      <c r="L897" s="118">
        <f>+CUBICACION!L896</f>
        <v>0</v>
      </c>
      <c r="M897" s="64">
        <f>+CUBICACION!M896</f>
        <v>0</v>
      </c>
      <c r="N897" s="824" t="str">
        <f>+CUBICACION!N896</f>
        <v/>
      </c>
      <c r="O897" s="675">
        <f>+CUBICACION!O896</f>
        <v>0</v>
      </c>
      <c r="P897" s="15">
        <f>IF(O897="Fire Control",VLOOKUP(_xlfn.MINIFS('FIRE CONTROL'!$C$4:$C$37,'FIRE CONTROL'!$C$4:$C$37,"&gt;="&amp;M897),'FIRE CONTROL'!$C$4:$G$37,IF(L897="F-15",2,IF(L897="F-30",3,IF(L897="F-60",4,IF(L897="F-90",5,0)))),0),0)+IF(AND(O897="FIRE TEX 5062",OR(E897="IN",E897="C",E897="Z",E897="L"),J897=3),VLOOKUP(_xlfn.MINIFS('FIRE TEX 5062'!$B$4:$B$34,'FIRE TEX 5062'!$B$4:$B$34,"&gt;="&amp;M897),'FIRE TEX 5062'!$B$4:$F$34,IF(L897="F-15",2,IF(L897="F-30",3,IF(L897="F-60",4,IF(L897="F-90",5,0)))),0),0)+IF(AND(O897="FIRE TEX 5062",OR(E897="IN",E897="C",E897="Z",E897="L"),J897=4),VLOOKUP(_xlfn.MINIFS('FIRE TEX 5062'!$G$4:$G$34,'FIRE TEX 5062'!$G$4:$G$34,"&gt;="&amp;M897),'FIRE TEX 5062'!$G$4:$K$34,IF(L897="F-15",2,IF(L897="F-30",3,IF(L897="F-60",4,IF(L897="F-90",5,0)))),0),0)+IF(AND(O897="FIRE TEX 5062",E897="CJ",J897=3),VLOOKUP(_xlfn.MINIFS('FIRE TEX 5062'!$L$4:$L$34,'FIRE TEX 5062'!$L$4:$L$34,"&gt;="&amp;M897),'FIRE TEX 5062'!$L$4:$P$34,IF(L897="F-15",2,IF(L897="F-30",3,IF(L897="F-60",4,IF(L897="F-90",5,0)))),0),0)+IF(AND(O897="FIRE TEX 5062",E897="CJ",J897=4),VLOOKUP(_xlfn.MINIFS('FIRE TEX 5062'!$Q$3:$Q$34,'FIRE TEX 5062'!$Q$3:$Q$34,"&gt;="&amp;M897),'FIRE TEX 5062'!$Q$3:$U$34,IF(L897="F-15",2,IF(L897="F-30",3,IF(L897="F-60",4,IF(L897="F-90",5,0)))),0),0)+IF(AND(O897="FIRE TEX 5090",OR(E897="IN",E897="C",E897="Z",E897="L"),J897=3),VLOOKUP(_xlfn.MINIFS('FIRE TEX 5090'!$B$5:$B$43,'FIRE TEX 5090'!$B$5:$B$43,"&gt;="&amp;M897),'FIRE TEX 5090'!$B$5:$H$43,IF(L897="F-15",2,IF(L897="F-30",3,IF(L897="F-60",4,IF(L897="F-90",5,IF(L897="F-120",6,IF(L897="F-150",7,0)))))),0),0)+IF(AND(O897="FIRE TEX 5090",OR(E897="IN",E897="C",E897="Z",E897="L"),J897=4),VLOOKUP(_xlfn.MINIFS('FIRE TEX 5090'!$J$5:$J$43,'FIRE TEX 5090'!$J$5:$J$43,"&gt;="&amp;M897),'FIRE TEX 5090'!$J$5:$P$43,IF(L897="F-15",2,IF(L897="F-30",3,IF(L897="F-60",4,IF(L897="F-90",5,IF(L897="F-120",6,IF(L897="F-150",7,0)))))),0),0)+IF(AND(O897="FIRE TEX 5090",E897="CJ",J897=3),VLOOKUP(_xlfn.MINIFS('FIRE TEX 5090'!$R$5:$R$30,'FIRE TEX 5090'!$R$5:$R$30,"&gt;="&amp;M897),'FIRE TEX 5090'!$R$5:$W$30,IF(L897="F-15",2,IF(L897="F-30",3,IF(L897="F-60",4,IF(L897="F-90",5,IF(L897="F-120",6,IF(L897="F-150",7,0)))))),0),0)+IF(AND(O897="FIRE TEX 5090",E897="CJ",J897=4),VLOOKUP(_xlfn.MINIFS('FIRE TEX 5090'!$Y$5:$Y$39,'FIRE TEX 5090'!$Y$5:$Y$39,"&gt;="&amp;M897),'FIRE TEX 5090'!$Y$5:$AD$39,IF(L897="F-15",2,IF(L897="F-30",3,IF(L897="F-60",4,IF(L897="F-90",5,IF(L897="F-120",6,IF(L897="F-150",7,0)))))),0),0)+IF(AND(O897="FIRE TEX 5120",OR(E897="IN",E897="C",E897="Z",E897="L"),J897=3),VLOOKUP(_xlfn.MINIFS('FIRE TEX 5120'!$B$5:$B$40,'FIRE TEX 5120'!$B$5:$B$40,"&gt;="&amp;M897),'FIRE TEX 5120'!$B$5:$G$40,IF(L897="F-15",2,IF(L897="F-30",3,IF(L897="F-60",4,IF(L897="F-90",5,IF(L897="F-120",6,0))))),0),0)+IF(AND(O897="FIRE TEX 5120",OR(E897="IN",E897="C",E897="Z",E897="L"),J897=4),VLOOKUP(_xlfn.MINIFS('FIRE TEX 5120'!$H$4:$H$40,'FIRE TEX 5120'!$H$4:$H$40,"&gt;="&amp;M897),'FIRE TEX 5120'!$H$4:$M$40,IF(L897="F-15",2,IF(L897="F-30",3,IF(L897="F-60",4,IF(L897="F-90",5,IF(L897="F-120",6,0))))),0),0)+IF(AND(O897="FIRE TEX 5120",E897="CJ"),VLOOKUP(_xlfn.MINIFS('FIRE TEX 5120'!$O$5:$O$40,'FIRE TEX 5120'!$O$5:$O$40,"&gt;="&amp;M897),'FIRE TEX 5120'!$O$5:$T$40,IF(L897="F-15",2,IF(L897="F-30",3,IF(L897="F-60",4,IF(L897="F-90",5,IF(L897="F-120",6,0))))),0),0)</f>
        <v>0</v>
      </c>
      <c r="Q897" s="46">
        <f t="shared" si="89"/>
        <v>0</v>
      </c>
      <c r="R897" s="46">
        <f t="shared" si="90"/>
        <v>0</v>
      </c>
      <c r="S897" s="46" t="e">
        <f t="shared" si="91"/>
        <v>#VALUE!</v>
      </c>
      <c r="T897" s="677">
        <f t="shared" si="92"/>
        <v>0</v>
      </c>
      <c r="U897" s="80">
        <f>(IF(O897="Stofire",(S897*#REF!),0))+(IF(O897="Fire Control",(S897*$U$2),0))+(IF(O897="Fire Tex",(S897*$U$3),0))+(IF(O897="WB7",(S897*#REF!),0)+(IF(O897="FX 2003",(S897*$U$5),0)))</f>
        <v>0</v>
      </c>
      <c r="V897" s="651">
        <f t="shared" si="93"/>
        <v>0</v>
      </c>
    </row>
    <row r="898" spans="4:22" x14ac:dyDescent="0.25">
      <c r="D898" s="118">
        <f>+CUBICACION!D897</f>
        <v>0</v>
      </c>
      <c r="E898" s="118">
        <f>+CUBICACION!F897</f>
        <v>0</v>
      </c>
      <c r="F898" s="118">
        <f>+CUBICACION!E897</f>
        <v>0</v>
      </c>
      <c r="G898" s="118">
        <v>12</v>
      </c>
      <c r="H898" s="118">
        <v>2</v>
      </c>
      <c r="I898" s="820">
        <v>26385</v>
      </c>
      <c r="J898" s="118">
        <f>+CUBICACION!J897</f>
        <v>0</v>
      </c>
      <c r="K898" s="118">
        <v>3677</v>
      </c>
      <c r="L898" s="118">
        <f>+CUBICACION!L897</f>
        <v>0</v>
      </c>
      <c r="M898" s="64">
        <f>+CUBICACION!M897</f>
        <v>0</v>
      </c>
      <c r="N898" s="824" t="str">
        <f>+CUBICACION!N897</f>
        <v/>
      </c>
      <c r="O898" s="675">
        <f>+CUBICACION!O897</f>
        <v>0</v>
      </c>
      <c r="P898" s="15">
        <f>IF(O898="Fire Control",VLOOKUP(_xlfn.MINIFS('FIRE CONTROL'!$C$4:$C$37,'FIRE CONTROL'!$C$4:$C$37,"&gt;="&amp;M898),'FIRE CONTROL'!$C$4:$G$37,IF(L898="F-15",2,IF(L898="F-30",3,IF(L898="F-60",4,IF(L898="F-90",5,0)))),0),0)+IF(AND(O898="FIRE TEX 5062",OR(E898="IN",E898="C",E898="Z",E898="L"),J898=3),VLOOKUP(_xlfn.MINIFS('FIRE TEX 5062'!$B$4:$B$34,'FIRE TEX 5062'!$B$4:$B$34,"&gt;="&amp;M898),'FIRE TEX 5062'!$B$4:$F$34,IF(L898="F-15",2,IF(L898="F-30",3,IF(L898="F-60",4,IF(L898="F-90",5,0)))),0),0)+IF(AND(O898="FIRE TEX 5062",OR(E898="IN",E898="C",E898="Z",E898="L"),J898=4),VLOOKUP(_xlfn.MINIFS('FIRE TEX 5062'!$G$4:$G$34,'FIRE TEX 5062'!$G$4:$G$34,"&gt;="&amp;M898),'FIRE TEX 5062'!$G$4:$K$34,IF(L898="F-15",2,IF(L898="F-30",3,IF(L898="F-60",4,IF(L898="F-90",5,0)))),0),0)+IF(AND(O898="FIRE TEX 5062",E898="CJ",J898=3),VLOOKUP(_xlfn.MINIFS('FIRE TEX 5062'!$L$4:$L$34,'FIRE TEX 5062'!$L$4:$L$34,"&gt;="&amp;M898),'FIRE TEX 5062'!$L$4:$P$34,IF(L898="F-15",2,IF(L898="F-30",3,IF(L898="F-60",4,IF(L898="F-90",5,0)))),0),0)+IF(AND(O898="FIRE TEX 5062",E898="CJ",J898=4),VLOOKUP(_xlfn.MINIFS('FIRE TEX 5062'!$Q$3:$Q$34,'FIRE TEX 5062'!$Q$3:$Q$34,"&gt;="&amp;M898),'FIRE TEX 5062'!$Q$3:$U$34,IF(L898="F-15",2,IF(L898="F-30",3,IF(L898="F-60",4,IF(L898="F-90",5,0)))),0),0)+IF(AND(O898="FIRE TEX 5090",OR(E898="IN",E898="C",E898="Z",E898="L"),J898=3),VLOOKUP(_xlfn.MINIFS('FIRE TEX 5090'!$B$5:$B$43,'FIRE TEX 5090'!$B$5:$B$43,"&gt;="&amp;M898),'FIRE TEX 5090'!$B$5:$H$43,IF(L898="F-15",2,IF(L898="F-30",3,IF(L898="F-60",4,IF(L898="F-90",5,IF(L898="F-120",6,IF(L898="F-150",7,0)))))),0),0)+IF(AND(O898="FIRE TEX 5090",OR(E898="IN",E898="C",E898="Z",E898="L"),J898=4),VLOOKUP(_xlfn.MINIFS('FIRE TEX 5090'!$J$5:$J$43,'FIRE TEX 5090'!$J$5:$J$43,"&gt;="&amp;M898),'FIRE TEX 5090'!$J$5:$P$43,IF(L898="F-15",2,IF(L898="F-30",3,IF(L898="F-60",4,IF(L898="F-90",5,IF(L898="F-120",6,IF(L898="F-150",7,0)))))),0),0)+IF(AND(O898="FIRE TEX 5090",E898="CJ",J898=3),VLOOKUP(_xlfn.MINIFS('FIRE TEX 5090'!$R$5:$R$30,'FIRE TEX 5090'!$R$5:$R$30,"&gt;="&amp;M898),'FIRE TEX 5090'!$R$5:$W$30,IF(L898="F-15",2,IF(L898="F-30",3,IF(L898="F-60",4,IF(L898="F-90",5,IF(L898="F-120",6,IF(L898="F-150",7,0)))))),0),0)+IF(AND(O898="FIRE TEX 5090",E898="CJ",J898=4),VLOOKUP(_xlfn.MINIFS('FIRE TEX 5090'!$Y$5:$Y$39,'FIRE TEX 5090'!$Y$5:$Y$39,"&gt;="&amp;M898),'FIRE TEX 5090'!$Y$5:$AD$39,IF(L898="F-15",2,IF(L898="F-30",3,IF(L898="F-60",4,IF(L898="F-90",5,IF(L898="F-120",6,IF(L898="F-150",7,0)))))),0),0)+IF(AND(O898="FIRE TEX 5120",OR(E898="IN",E898="C",E898="Z",E898="L"),J898=3),VLOOKUP(_xlfn.MINIFS('FIRE TEX 5120'!$B$5:$B$40,'FIRE TEX 5120'!$B$5:$B$40,"&gt;="&amp;M898),'FIRE TEX 5120'!$B$5:$G$40,IF(L898="F-15",2,IF(L898="F-30",3,IF(L898="F-60",4,IF(L898="F-90",5,IF(L898="F-120",6,0))))),0),0)+IF(AND(O898="FIRE TEX 5120",OR(E898="IN",E898="C",E898="Z",E898="L"),J898=4),VLOOKUP(_xlfn.MINIFS('FIRE TEX 5120'!$H$4:$H$40,'FIRE TEX 5120'!$H$4:$H$40,"&gt;="&amp;M898),'FIRE TEX 5120'!$H$4:$M$40,IF(L898="F-15",2,IF(L898="F-30",3,IF(L898="F-60",4,IF(L898="F-90",5,IF(L898="F-120",6,0))))),0),0)+IF(AND(O898="FIRE TEX 5120",E898="CJ"),VLOOKUP(_xlfn.MINIFS('FIRE TEX 5120'!$O$5:$O$40,'FIRE TEX 5120'!$O$5:$O$40,"&gt;="&amp;M898),'FIRE TEX 5120'!$O$5:$T$40,IF(L898="F-15",2,IF(L898="F-30",3,IF(L898="F-60",4,IF(L898="F-90",5,IF(L898="F-120",6,0))))),0),0)</f>
        <v>0</v>
      </c>
      <c r="Q898" s="46">
        <f t="shared" si="89"/>
        <v>0</v>
      </c>
      <c r="R898" s="46">
        <f t="shared" si="90"/>
        <v>0</v>
      </c>
      <c r="S898" s="46" t="e">
        <f t="shared" si="91"/>
        <v>#VALUE!</v>
      </c>
      <c r="T898" s="677">
        <f t="shared" si="92"/>
        <v>0</v>
      </c>
      <c r="U898" s="80">
        <f>(IF(O898="Stofire",(S898*#REF!),0))+(IF(O898="Fire Control",(S898*$U$2),0))+(IF(O898="Fire Tex",(S898*$U$3),0))+(IF(O898="WB7",(S898*#REF!),0)+(IF(O898="FX 2003",(S898*$U$5),0)))</f>
        <v>0</v>
      </c>
      <c r="V898" s="651">
        <f t="shared" si="93"/>
        <v>0</v>
      </c>
    </row>
    <row r="899" spans="4:22" x14ac:dyDescent="0.25">
      <c r="D899" s="118">
        <f>+CUBICACION!D898</f>
        <v>0</v>
      </c>
      <c r="E899" s="118">
        <f>+CUBICACION!F898</f>
        <v>0</v>
      </c>
      <c r="F899" s="118">
        <f>+CUBICACION!E898</f>
        <v>0</v>
      </c>
      <c r="G899" s="118">
        <v>12</v>
      </c>
      <c r="H899" s="118">
        <v>2</v>
      </c>
      <c r="I899" s="820">
        <v>26385</v>
      </c>
      <c r="J899" s="118">
        <f>+CUBICACION!J898</f>
        <v>0</v>
      </c>
      <c r="K899" s="118">
        <v>3678</v>
      </c>
      <c r="L899" s="118">
        <f>+CUBICACION!L898</f>
        <v>0</v>
      </c>
      <c r="M899" s="64">
        <f>+CUBICACION!M898</f>
        <v>0</v>
      </c>
      <c r="N899" s="824" t="str">
        <f>+CUBICACION!N898</f>
        <v/>
      </c>
      <c r="O899" s="675">
        <f>+CUBICACION!O898</f>
        <v>0</v>
      </c>
      <c r="P899" s="15">
        <f>IF(O899="Fire Control",VLOOKUP(_xlfn.MINIFS('FIRE CONTROL'!$C$4:$C$37,'FIRE CONTROL'!$C$4:$C$37,"&gt;="&amp;M899),'FIRE CONTROL'!$C$4:$G$37,IF(L899="F-15",2,IF(L899="F-30",3,IF(L899="F-60",4,IF(L899="F-90",5,0)))),0),0)+IF(AND(O899="FIRE TEX 5062",OR(E899="IN",E899="C",E899="Z",E899="L"),J899=3),VLOOKUP(_xlfn.MINIFS('FIRE TEX 5062'!$B$4:$B$34,'FIRE TEX 5062'!$B$4:$B$34,"&gt;="&amp;M899),'FIRE TEX 5062'!$B$4:$F$34,IF(L899="F-15",2,IF(L899="F-30",3,IF(L899="F-60",4,IF(L899="F-90",5,0)))),0),0)+IF(AND(O899="FIRE TEX 5062",OR(E899="IN",E899="C",E899="Z",E899="L"),J899=4),VLOOKUP(_xlfn.MINIFS('FIRE TEX 5062'!$G$4:$G$34,'FIRE TEX 5062'!$G$4:$G$34,"&gt;="&amp;M899),'FIRE TEX 5062'!$G$4:$K$34,IF(L899="F-15",2,IF(L899="F-30",3,IF(L899="F-60",4,IF(L899="F-90",5,0)))),0),0)+IF(AND(O899="FIRE TEX 5062",E899="CJ",J899=3),VLOOKUP(_xlfn.MINIFS('FIRE TEX 5062'!$L$4:$L$34,'FIRE TEX 5062'!$L$4:$L$34,"&gt;="&amp;M899),'FIRE TEX 5062'!$L$4:$P$34,IF(L899="F-15",2,IF(L899="F-30",3,IF(L899="F-60",4,IF(L899="F-90",5,0)))),0),0)+IF(AND(O899="FIRE TEX 5062",E899="CJ",J899=4),VLOOKUP(_xlfn.MINIFS('FIRE TEX 5062'!$Q$3:$Q$34,'FIRE TEX 5062'!$Q$3:$Q$34,"&gt;="&amp;M899),'FIRE TEX 5062'!$Q$3:$U$34,IF(L899="F-15",2,IF(L899="F-30",3,IF(L899="F-60",4,IF(L899="F-90",5,0)))),0),0)+IF(AND(O899="FIRE TEX 5090",OR(E899="IN",E899="C",E899="Z",E899="L"),J899=3),VLOOKUP(_xlfn.MINIFS('FIRE TEX 5090'!$B$5:$B$43,'FIRE TEX 5090'!$B$5:$B$43,"&gt;="&amp;M899),'FIRE TEX 5090'!$B$5:$H$43,IF(L899="F-15",2,IF(L899="F-30",3,IF(L899="F-60",4,IF(L899="F-90",5,IF(L899="F-120",6,IF(L899="F-150",7,0)))))),0),0)+IF(AND(O899="FIRE TEX 5090",OR(E899="IN",E899="C",E899="Z",E899="L"),J899=4),VLOOKUP(_xlfn.MINIFS('FIRE TEX 5090'!$J$5:$J$43,'FIRE TEX 5090'!$J$5:$J$43,"&gt;="&amp;M899),'FIRE TEX 5090'!$J$5:$P$43,IF(L899="F-15",2,IF(L899="F-30",3,IF(L899="F-60",4,IF(L899="F-90",5,IF(L899="F-120",6,IF(L899="F-150",7,0)))))),0),0)+IF(AND(O899="FIRE TEX 5090",E899="CJ",J899=3),VLOOKUP(_xlfn.MINIFS('FIRE TEX 5090'!$R$5:$R$30,'FIRE TEX 5090'!$R$5:$R$30,"&gt;="&amp;M899),'FIRE TEX 5090'!$R$5:$W$30,IF(L899="F-15",2,IF(L899="F-30",3,IF(L899="F-60",4,IF(L899="F-90",5,IF(L899="F-120",6,IF(L899="F-150",7,0)))))),0),0)+IF(AND(O899="FIRE TEX 5090",E899="CJ",J899=4),VLOOKUP(_xlfn.MINIFS('FIRE TEX 5090'!$Y$5:$Y$39,'FIRE TEX 5090'!$Y$5:$Y$39,"&gt;="&amp;M899),'FIRE TEX 5090'!$Y$5:$AD$39,IF(L899="F-15",2,IF(L899="F-30",3,IF(L899="F-60",4,IF(L899="F-90",5,IF(L899="F-120",6,IF(L899="F-150",7,0)))))),0),0)+IF(AND(O899="FIRE TEX 5120",OR(E899="IN",E899="C",E899="Z",E899="L"),J899=3),VLOOKUP(_xlfn.MINIFS('FIRE TEX 5120'!$B$5:$B$40,'FIRE TEX 5120'!$B$5:$B$40,"&gt;="&amp;M899),'FIRE TEX 5120'!$B$5:$G$40,IF(L899="F-15",2,IF(L899="F-30",3,IF(L899="F-60",4,IF(L899="F-90",5,IF(L899="F-120",6,0))))),0),0)+IF(AND(O899="FIRE TEX 5120",OR(E899="IN",E899="C",E899="Z",E899="L"),J899=4),VLOOKUP(_xlfn.MINIFS('FIRE TEX 5120'!$H$4:$H$40,'FIRE TEX 5120'!$H$4:$H$40,"&gt;="&amp;M899),'FIRE TEX 5120'!$H$4:$M$40,IF(L899="F-15",2,IF(L899="F-30",3,IF(L899="F-60",4,IF(L899="F-90",5,IF(L899="F-120",6,0))))),0),0)+IF(AND(O899="FIRE TEX 5120",E899="CJ"),VLOOKUP(_xlfn.MINIFS('FIRE TEX 5120'!$O$5:$O$40,'FIRE TEX 5120'!$O$5:$O$40,"&gt;="&amp;M899),'FIRE TEX 5120'!$O$5:$T$40,IF(L899="F-15",2,IF(L899="F-30",3,IF(L899="F-60",4,IF(L899="F-90",5,IF(L899="F-120",6,0))))),0),0)</f>
        <v>0</v>
      </c>
      <c r="Q899" s="46">
        <f t="shared" si="89"/>
        <v>0</v>
      </c>
      <c r="R899" s="46">
        <f t="shared" si="90"/>
        <v>0</v>
      </c>
      <c r="S899" s="46" t="e">
        <f t="shared" si="91"/>
        <v>#VALUE!</v>
      </c>
      <c r="T899" s="677">
        <f t="shared" si="92"/>
        <v>0</v>
      </c>
      <c r="U899" s="80">
        <f>(IF(O899="Stofire",(S899*#REF!),0))+(IF(O899="Fire Control",(S899*$U$2),0))+(IF(O899="Fire Tex",(S899*$U$3),0))+(IF(O899="WB7",(S899*#REF!),0)+(IF(O899="FX 2003",(S899*$U$5),0)))</f>
        <v>0</v>
      </c>
      <c r="V899" s="651">
        <f t="shared" si="93"/>
        <v>0</v>
      </c>
    </row>
    <row r="900" spans="4:22" x14ac:dyDescent="0.25">
      <c r="D900" s="118">
        <f>+CUBICACION!D899</f>
        <v>0</v>
      </c>
      <c r="E900" s="118">
        <f>+CUBICACION!F899</f>
        <v>0</v>
      </c>
      <c r="F900" s="118">
        <f>+CUBICACION!E899</f>
        <v>0</v>
      </c>
      <c r="G900" s="118">
        <v>12</v>
      </c>
      <c r="H900" s="118">
        <v>2</v>
      </c>
      <c r="I900" s="820">
        <v>26385</v>
      </c>
      <c r="J900" s="118">
        <f>+CUBICACION!J899</f>
        <v>0</v>
      </c>
      <c r="K900" s="118">
        <v>3679</v>
      </c>
      <c r="L900" s="118">
        <f>+CUBICACION!L899</f>
        <v>0</v>
      </c>
      <c r="M900" s="64">
        <f>+CUBICACION!M899</f>
        <v>0</v>
      </c>
      <c r="N900" s="824" t="str">
        <f>+CUBICACION!N899</f>
        <v/>
      </c>
      <c r="O900" s="675">
        <f>+CUBICACION!O899</f>
        <v>0</v>
      </c>
      <c r="P900" s="15">
        <f>IF(O900="Fire Control",VLOOKUP(_xlfn.MINIFS('FIRE CONTROL'!$C$4:$C$37,'FIRE CONTROL'!$C$4:$C$37,"&gt;="&amp;M900),'FIRE CONTROL'!$C$4:$G$37,IF(L900="F-15",2,IF(L900="F-30",3,IF(L900="F-60",4,IF(L900="F-90",5,0)))),0),0)+IF(AND(O900="FIRE TEX 5062",OR(E900="IN",E900="C",E900="Z",E900="L"),J900=3),VLOOKUP(_xlfn.MINIFS('FIRE TEX 5062'!$B$4:$B$34,'FIRE TEX 5062'!$B$4:$B$34,"&gt;="&amp;M900),'FIRE TEX 5062'!$B$4:$F$34,IF(L900="F-15",2,IF(L900="F-30",3,IF(L900="F-60",4,IF(L900="F-90",5,0)))),0),0)+IF(AND(O900="FIRE TEX 5062",OR(E900="IN",E900="C",E900="Z",E900="L"),J900=4),VLOOKUP(_xlfn.MINIFS('FIRE TEX 5062'!$G$4:$G$34,'FIRE TEX 5062'!$G$4:$G$34,"&gt;="&amp;M900),'FIRE TEX 5062'!$G$4:$K$34,IF(L900="F-15",2,IF(L900="F-30",3,IF(L900="F-60",4,IF(L900="F-90",5,0)))),0),0)+IF(AND(O900="FIRE TEX 5062",E900="CJ",J900=3),VLOOKUP(_xlfn.MINIFS('FIRE TEX 5062'!$L$4:$L$34,'FIRE TEX 5062'!$L$4:$L$34,"&gt;="&amp;M900),'FIRE TEX 5062'!$L$4:$P$34,IF(L900="F-15",2,IF(L900="F-30",3,IF(L900="F-60",4,IF(L900="F-90",5,0)))),0),0)+IF(AND(O900="FIRE TEX 5062",E900="CJ",J900=4),VLOOKUP(_xlfn.MINIFS('FIRE TEX 5062'!$Q$3:$Q$34,'FIRE TEX 5062'!$Q$3:$Q$34,"&gt;="&amp;M900),'FIRE TEX 5062'!$Q$3:$U$34,IF(L900="F-15",2,IF(L900="F-30",3,IF(L900="F-60",4,IF(L900="F-90",5,0)))),0),0)+IF(AND(O900="FIRE TEX 5090",OR(E900="IN",E900="C",E900="Z",E900="L"),J900=3),VLOOKUP(_xlfn.MINIFS('FIRE TEX 5090'!$B$5:$B$43,'FIRE TEX 5090'!$B$5:$B$43,"&gt;="&amp;M900),'FIRE TEX 5090'!$B$5:$H$43,IF(L900="F-15",2,IF(L900="F-30",3,IF(L900="F-60",4,IF(L900="F-90",5,IF(L900="F-120",6,IF(L900="F-150",7,0)))))),0),0)+IF(AND(O900="FIRE TEX 5090",OR(E900="IN",E900="C",E900="Z",E900="L"),J900=4),VLOOKUP(_xlfn.MINIFS('FIRE TEX 5090'!$J$5:$J$43,'FIRE TEX 5090'!$J$5:$J$43,"&gt;="&amp;M900),'FIRE TEX 5090'!$J$5:$P$43,IF(L900="F-15",2,IF(L900="F-30",3,IF(L900="F-60",4,IF(L900="F-90",5,IF(L900="F-120",6,IF(L900="F-150",7,0)))))),0),0)+IF(AND(O900="FIRE TEX 5090",E900="CJ",J900=3),VLOOKUP(_xlfn.MINIFS('FIRE TEX 5090'!$R$5:$R$30,'FIRE TEX 5090'!$R$5:$R$30,"&gt;="&amp;M900),'FIRE TEX 5090'!$R$5:$W$30,IF(L900="F-15",2,IF(L900="F-30",3,IF(L900="F-60",4,IF(L900="F-90",5,IF(L900="F-120",6,IF(L900="F-150",7,0)))))),0),0)+IF(AND(O900="FIRE TEX 5090",E900="CJ",J900=4),VLOOKUP(_xlfn.MINIFS('FIRE TEX 5090'!$Y$5:$Y$39,'FIRE TEX 5090'!$Y$5:$Y$39,"&gt;="&amp;M900),'FIRE TEX 5090'!$Y$5:$AD$39,IF(L900="F-15",2,IF(L900="F-30",3,IF(L900="F-60",4,IF(L900="F-90",5,IF(L900="F-120",6,IF(L900="F-150",7,0)))))),0),0)+IF(AND(O900="FIRE TEX 5120",OR(E900="IN",E900="C",E900="Z",E900="L"),J900=3),VLOOKUP(_xlfn.MINIFS('FIRE TEX 5120'!$B$5:$B$40,'FIRE TEX 5120'!$B$5:$B$40,"&gt;="&amp;M900),'FIRE TEX 5120'!$B$5:$G$40,IF(L900="F-15",2,IF(L900="F-30",3,IF(L900="F-60",4,IF(L900="F-90",5,IF(L900="F-120",6,0))))),0),0)+IF(AND(O900="FIRE TEX 5120",OR(E900="IN",E900="C",E900="Z",E900="L"),J900=4),VLOOKUP(_xlfn.MINIFS('FIRE TEX 5120'!$H$4:$H$40,'FIRE TEX 5120'!$H$4:$H$40,"&gt;="&amp;M900),'FIRE TEX 5120'!$H$4:$M$40,IF(L900="F-15",2,IF(L900="F-30",3,IF(L900="F-60",4,IF(L900="F-90",5,IF(L900="F-120",6,0))))),0),0)+IF(AND(O900="FIRE TEX 5120",E900="CJ"),VLOOKUP(_xlfn.MINIFS('FIRE TEX 5120'!$O$5:$O$40,'FIRE TEX 5120'!$O$5:$O$40,"&gt;="&amp;M900),'FIRE TEX 5120'!$O$5:$T$40,IF(L900="F-15",2,IF(L900="F-30",3,IF(L900="F-60",4,IF(L900="F-90",5,IF(L900="F-120",6,0))))),0),0)</f>
        <v>0</v>
      </c>
      <c r="Q900" s="46">
        <f t="shared" si="89"/>
        <v>0</v>
      </c>
      <c r="R900" s="46">
        <f t="shared" si="90"/>
        <v>0</v>
      </c>
      <c r="S900" s="46" t="e">
        <f t="shared" si="91"/>
        <v>#VALUE!</v>
      </c>
      <c r="T900" s="677">
        <f t="shared" si="92"/>
        <v>0</v>
      </c>
      <c r="U900" s="80">
        <f>(IF(O900="Stofire",(S900*#REF!),0))+(IF(O900="Fire Control",(S900*$U$2),0))+(IF(O900="Fire Tex",(S900*$U$3),0))+(IF(O900="WB7",(S900*#REF!),0)+(IF(O900="FX 2003",(S900*$U$5),0)))</f>
        <v>0</v>
      </c>
      <c r="V900" s="651">
        <f t="shared" si="93"/>
        <v>0</v>
      </c>
    </row>
    <row r="901" spans="4:22" x14ac:dyDescent="0.25">
      <c r="D901" s="118">
        <f>+CUBICACION!D900</f>
        <v>0</v>
      </c>
      <c r="E901" s="118">
        <f>+CUBICACION!F900</f>
        <v>0</v>
      </c>
      <c r="F901" s="118">
        <f>+CUBICACION!E900</f>
        <v>0</v>
      </c>
      <c r="G901" s="118">
        <v>12</v>
      </c>
      <c r="H901" s="118">
        <v>2</v>
      </c>
      <c r="I901" s="820">
        <v>26385</v>
      </c>
      <c r="J901" s="118">
        <f>+CUBICACION!J900</f>
        <v>0</v>
      </c>
      <c r="K901" s="118">
        <v>3680</v>
      </c>
      <c r="L901" s="118">
        <f>+CUBICACION!L900</f>
        <v>0</v>
      </c>
      <c r="M901" s="64">
        <f>+CUBICACION!M900</f>
        <v>0</v>
      </c>
      <c r="N901" s="824" t="str">
        <f>+CUBICACION!N900</f>
        <v/>
      </c>
      <c r="O901" s="675">
        <f>+CUBICACION!O900</f>
        <v>0</v>
      </c>
      <c r="P901" s="15">
        <f>IF(O901="Fire Control",VLOOKUP(_xlfn.MINIFS('FIRE CONTROL'!$C$4:$C$37,'FIRE CONTROL'!$C$4:$C$37,"&gt;="&amp;M901),'FIRE CONTROL'!$C$4:$G$37,IF(L901="F-15",2,IF(L901="F-30",3,IF(L901="F-60",4,IF(L901="F-90",5,0)))),0),0)+IF(AND(O901="FIRE TEX 5062",OR(E901="IN",E901="C",E901="Z",E901="L"),J901=3),VLOOKUP(_xlfn.MINIFS('FIRE TEX 5062'!$B$4:$B$34,'FIRE TEX 5062'!$B$4:$B$34,"&gt;="&amp;M901),'FIRE TEX 5062'!$B$4:$F$34,IF(L901="F-15",2,IF(L901="F-30",3,IF(L901="F-60",4,IF(L901="F-90",5,0)))),0),0)+IF(AND(O901="FIRE TEX 5062",OR(E901="IN",E901="C",E901="Z",E901="L"),J901=4),VLOOKUP(_xlfn.MINIFS('FIRE TEX 5062'!$G$4:$G$34,'FIRE TEX 5062'!$G$4:$G$34,"&gt;="&amp;M901),'FIRE TEX 5062'!$G$4:$K$34,IF(L901="F-15",2,IF(L901="F-30",3,IF(L901="F-60",4,IF(L901="F-90",5,0)))),0),0)+IF(AND(O901="FIRE TEX 5062",E901="CJ",J901=3),VLOOKUP(_xlfn.MINIFS('FIRE TEX 5062'!$L$4:$L$34,'FIRE TEX 5062'!$L$4:$L$34,"&gt;="&amp;M901),'FIRE TEX 5062'!$L$4:$P$34,IF(L901="F-15",2,IF(L901="F-30",3,IF(L901="F-60",4,IF(L901="F-90",5,0)))),0),0)+IF(AND(O901="FIRE TEX 5062",E901="CJ",J901=4),VLOOKUP(_xlfn.MINIFS('FIRE TEX 5062'!$Q$3:$Q$34,'FIRE TEX 5062'!$Q$3:$Q$34,"&gt;="&amp;M901),'FIRE TEX 5062'!$Q$3:$U$34,IF(L901="F-15",2,IF(L901="F-30",3,IF(L901="F-60",4,IF(L901="F-90",5,0)))),0),0)+IF(AND(O901="FIRE TEX 5090",OR(E901="IN",E901="C",E901="Z",E901="L"),J901=3),VLOOKUP(_xlfn.MINIFS('FIRE TEX 5090'!$B$5:$B$43,'FIRE TEX 5090'!$B$5:$B$43,"&gt;="&amp;M901),'FIRE TEX 5090'!$B$5:$H$43,IF(L901="F-15",2,IF(L901="F-30",3,IF(L901="F-60",4,IF(L901="F-90",5,IF(L901="F-120",6,IF(L901="F-150",7,0)))))),0),0)+IF(AND(O901="FIRE TEX 5090",OR(E901="IN",E901="C",E901="Z",E901="L"),J901=4),VLOOKUP(_xlfn.MINIFS('FIRE TEX 5090'!$J$5:$J$43,'FIRE TEX 5090'!$J$5:$J$43,"&gt;="&amp;M901),'FIRE TEX 5090'!$J$5:$P$43,IF(L901="F-15",2,IF(L901="F-30",3,IF(L901="F-60",4,IF(L901="F-90",5,IF(L901="F-120",6,IF(L901="F-150",7,0)))))),0),0)+IF(AND(O901="FIRE TEX 5090",E901="CJ",J901=3),VLOOKUP(_xlfn.MINIFS('FIRE TEX 5090'!$R$5:$R$30,'FIRE TEX 5090'!$R$5:$R$30,"&gt;="&amp;M901),'FIRE TEX 5090'!$R$5:$W$30,IF(L901="F-15",2,IF(L901="F-30",3,IF(L901="F-60",4,IF(L901="F-90",5,IF(L901="F-120",6,IF(L901="F-150",7,0)))))),0),0)+IF(AND(O901="FIRE TEX 5090",E901="CJ",J901=4),VLOOKUP(_xlfn.MINIFS('FIRE TEX 5090'!$Y$5:$Y$39,'FIRE TEX 5090'!$Y$5:$Y$39,"&gt;="&amp;M901),'FIRE TEX 5090'!$Y$5:$AD$39,IF(L901="F-15",2,IF(L901="F-30",3,IF(L901="F-60",4,IF(L901="F-90",5,IF(L901="F-120",6,IF(L901="F-150",7,0)))))),0),0)+IF(AND(O901="FIRE TEX 5120",OR(E901="IN",E901="C",E901="Z",E901="L"),J901=3),VLOOKUP(_xlfn.MINIFS('FIRE TEX 5120'!$B$5:$B$40,'FIRE TEX 5120'!$B$5:$B$40,"&gt;="&amp;M901),'FIRE TEX 5120'!$B$5:$G$40,IF(L901="F-15",2,IF(L901="F-30",3,IF(L901="F-60",4,IF(L901="F-90",5,IF(L901="F-120",6,0))))),0),0)+IF(AND(O901="FIRE TEX 5120",OR(E901="IN",E901="C",E901="Z",E901="L"),J901=4),VLOOKUP(_xlfn.MINIFS('FIRE TEX 5120'!$H$4:$H$40,'FIRE TEX 5120'!$H$4:$H$40,"&gt;="&amp;M901),'FIRE TEX 5120'!$H$4:$M$40,IF(L901="F-15",2,IF(L901="F-30",3,IF(L901="F-60",4,IF(L901="F-90",5,IF(L901="F-120",6,0))))),0),0)+IF(AND(O901="FIRE TEX 5120",E901="CJ"),VLOOKUP(_xlfn.MINIFS('FIRE TEX 5120'!$O$5:$O$40,'FIRE TEX 5120'!$O$5:$O$40,"&gt;="&amp;M901),'FIRE TEX 5120'!$O$5:$T$40,IF(L901="F-15",2,IF(L901="F-30",3,IF(L901="F-60",4,IF(L901="F-90",5,IF(L901="F-120",6,0))))),0),0)</f>
        <v>0</v>
      </c>
      <c r="Q901" s="46">
        <f t="shared" si="89"/>
        <v>0</v>
      </c>
      <c r="R901" s="46">
        <f t="shared" si="90"/>
        <v>0</v>
      </c>
      <c r="S901" s="46" t="e">
        <f t="shared" si="91"/>
        <v>#VALUE!</v>
      </c>
      <c r="T901" s="677">
        <f t="shared" si="92"/>
        <v>0</v>
      </c>
      <c r="U901" s="80">
        <f>(IF(O901="Stofire",(S901*#REF!),0))+(IF(O901="Fire Control",(S901*$U$2),0))+(IF(O901="Fire Tex",(S901*$U$3),0))+(IF(O901="WB7",(S901*#REF!),0)+(IF(O901="FX 2003",(S901*$U$5),0)))</f>
        <v>0</v>
      </c>
      <c r="V901" s="651">
        <f t="shared" si="93"/>
        <v>0</v>
      </c>
    </row>
    <row r="902" spans="4:22" x14ac:dyDescent="0.25">
      <c r="D902" s="118">
        <f>+CUBICACION!D901</f>
        <v>0</v>
      </c>
      <c r="E902" s="118">
        <f>+CUBICACION!F901</f>
        <v>0</v>
      </c>
      <c r="F902" s="118">
        <f>+CUBICACION!E901</f>
        <v>0</v>
      </c>
      <c r="G902" s="118">
        <v>12</v>
      </c>
      <c r="H902" s="118">
        <v>2</v>
      </c>
      <c r="I902" s="820">
        <v>26385</v>
      </c>
      <c r="J902" s="118">
        <f>+CUBICACION!J901</f>
        <v>0</v>
      </c>
      <c r="K902" s="118">
        <v>3681</v>
      </c>
      <c r="L902" s="118">
        <f>+CUBICACION!L901</f>
        <v>0</v>
      </c>
      <c r="M902" s="64">
        <f>+CUBICACION!M901</f>
        <v>0</v>
      </c>
      <c r="N902" s="824" t="str">
        <f>+CUBICACION!N901</f>
        <v/>
      </c>
      <c r="O902" s="675">
        <f>+CUBICACION!O901</f>
        <v>0</v>
      </c>
      <c r="P902" s="15">
        <f>IF(O902="Fire Control",VLOOKUP(_xlfn.MINIFS('FIRE CONTROL'!$C$4:$C$37,'FIRE CONTROL'!$C$4:$C$37,"&gt;="&amp;M902),'FIRE CONTROL'!$C$4:$G$37,IF(L902="F-15",2,IF(L902="F-30",3,IF(L902="F-60",4,IF(L902="F-90",5,0)))),0),0)+IF(AND(O902="FIRE TEX 5062",OR(E902="IN",E902="C",E902="Z",E902="L"),J902=3),VLOOKUP(_xlfn.MINIFS('FIRE TEX 5062'!$B$4:$B$34,'FIRE TEX 5062'!$B$4:$B$34,"&gt;="&amp;M902),'FIRE TEX 5062'!$B$4:$F$34,IF(L902="F-15",2,IF(L902="F-30",3,IF(L902="F-60",4,IF(L902="F-90",5,0)))),0),0)+IF(AND(O902="FIRE TEX 5062",OR(E902="IN",E902="C",E902="Z",E902="L"),J902=4),VLOOKUP(_xlfn.MINIFS('FIRE TEX 5062'!$G$4:$G$34,'FIRE TEX 5062'!$G$4:$G$34,"&gt;="&amp;M902),'FIRE TEX 5062'!$G$4:$K$34,IF(L902="F-15",2,IF(L902="F-30",3,IF(L902="F-60",4,IF(L902="F-90",5,0)))),0),0)+IF(AND(O902="FIRE TEX 5062",E902="CJ",J902=3),VLOOKUP(_xlfn.MINIFS('FIRE TEX 5062'!$L$4:$L$34,'FIRE TEX 5062'!$L$4:$L$34,"&gt;="&amp;M902),'FIRE TEX 5062'!$L$4:$P$34,IF(L902="F-15",2,IF(L902="F-30",3,IF(L902="F-60",4,IF(L902="F-90",5,0)))),0),0)+IF(AND(O902="FIRE TEX 5062",E902="CJ",J902=4),VLOOKUP(_xlfn.MINIFS('FIRE TEX 5062'!$Q$3:$Q$34,'FIRE TEX 5062'!$Q$3:$Q$34,"&gt;="&amp;M902),'FIRE TEX 5062'!$Q$3:$U$34,IF(L902="F-15",2,IF(L902="F-30",3,IF(L902="F-60",4,IF(L902="F-90",5,0)))),0),0)+IF(AND(O902="FIRE TEX 5090",OR(E902="IN",E902="C",E902="Z",E902="L"),J902=3),VLOOKUP(_xlfn.MINIFS('FIRE TEX 5090'!$B$5:$B$43,'FIRE TEX 5090'!$B$5:$B$43,"&gt;="&amp;M902),'FIRE TEX 5090'!$B$5:$H$43,IF(L902="F-15",2,IF(L902="F-30",3,IF(L902="F-60",4,IF(L902="F-90",5,IF(L902="F-120",6,IF(L902="F-150",7,0)))))),0),0)+IF(AND(O902="FIRE TEX 5090",OR(E902="IN",E902="C",E902="Z",E902="L"),J902=4),VLOOKUP(_xlfn.MINIFS('FIRE TEX 5090'!$J$5:$J$43,'FIRE TEX 5090'!$J$5:$J$43,"&gt;="&amp;M902),'FIRE TEX 5090'!$J$5:$P$43,IF(L902="F-15",2,IF(L902="F-30",3,IF(L902="F-60",4,IF(L902="F-90",5,IF(L902="F-120",6,IF(L902="F-150",7,0)))))),0),0)+IF(AND(O902="FIRE TEX 5090",E902="CJ",J902=3),VLOOKUP(_xlfn.MINIFS('FIRE TEX 5090'!$R$5:$R$30,'FIRE TEX 5090'!$R$5:$R$30,"&gt;="&amp;M902),'FIRE TEX 5090'!$R$5:$W$30,IF(L902="F-15",2,IF(L902="F-30",3,IF(L902="F-60",4,IF(L902="F-90",5,IF(L902="F-120",6,IF(L902="F-150",7,0)))))),0),0)+IF(AND(O902="FIRE TEX 5090",E902="CJ",J902=4),VLOOKUP(_xlfn.MINIFS('FIRE TEX 5090'!$Y$5:$Y$39,'FIRE TEX 5090'!$Y$5:$Y$39,"&gt;="&amp;M902),'FIRE TEX 5090'!$Y$5:$AD$39,IF(L902="F-15",2,IF(L902="F-30",3,IF(L902="F-60",4,IF(L902="F-90",5,IF(L902="F-120",6,IF(L902="F-150",7,0)))))),0),0)+IF(AND(O902="FIRE TEX 5120",OR(E902="IN",E902="C",E902="Z",E902="L"),J902=3),VLOOKUP(_xlfn.MINIFS('FIRE TEX 5120'!$B$5:$B$40,'FIRE TEX 5120'!$B$5:$B$40,"&gt;="&amp;M902),'FIRE TEX 5120'!$B$5:$G$40,IF(L902="F-15",2,IF(L902="F-30",3,IF(L902="F-60",4,IF(L902="F-90",5,IF(L902="F-120",6,0))))),0),0)+IF(AND(O902="FIRE TEX 5120",OR(E902="IN",E902="C",E902="Z",E902="L"),J902=4),VLOOKUP(_xlfn.MINIFS('FIRE TEX 5120'!$H$4:$H$40,'FIRE TEX 5120'!$H$4:$H$40,"&gt;="&amp;M902),'FIRE TEX 5120'!$H$4:$M$40,IF(L902="F-15",2,IF(L902="F-30",3,IF(L902="F-60",4,IF(L902="F-90",5,IF(L902="F-120",6,0))))),0),0)+IF(AND(O902="FIRE TEX 5120",E902="CJ"),VLOOKUP(_xlfn.MINIFS('FIRE TEX 5120'!$O$5:$O$40,'FIRE TEX 5120'!$O$5:$O$40,"&gt;="&amp;M902),'FIRE TEX 5120'!$O$5:$T$40,IF(L902="F-15",2,IF(L902="F-30",3,IF(L902="F-60",4,IF(L902="F-90",5,IF(L902="F-120",6,0))))),0),0)</f>
        <v>0</v>
      </c>
      <c r="Q902" s="46">
        <f t="shared" si="89"/>
        <v>0</v>
      </c>
      <c r="R902" s="46">
        <f t="shared" si="90"/>
        <v>0</v>
      </c>
      <c r="S902" s="46" t="e">
        <f t="shared" si="91"/>
        <v>#VALUE!</v>
      </c>
      <c r="T902" s="677">
        <f t="shared" si="92"/>
        <v>0</v>
      </c>
      <c r="U902" s="80">
        <f>(IF(O902="Stofire",(S902*#REF!),0))+(IF(O902="Fire Control",(S902*$U$2),0))+(IF(O902="Fire Tex",(S902*$U$3),0))+(IF(O902="WB7",(S902*#REF!),0)+(IF(O902="FX 2003",(S902*$U$5),0)))</f>
        <v>0</v>
      </c>
      <c r="V902" s="651">
        <f t="shared" si="93"/>
        <v>0</v>
      </c>
    </row>
    <row r="903" spans="4:22" x14ac:dyDescent="0.25">
      <c r="D903" s="118">
        <f>+CUBICACION!D902</f>
        <v>0</v>
      </c>
      <c r="E903" s="118">
        <f>+CUBICACION!F902</f>
        <v>0</v>
      </c>
      <c r="F903" s="118">
        <f>+CUBICACION!E902</f>
        <v>0</v>
      </c>
      <c r="G903" s="118">
        <v>12</v>
      </c>
      <c r="H903" s="118">
        <v>2</v>
      </c>
      <c r="I903" s="820">
        <v>26385</v>
      </c>
      <c r="J903" s="118">
        <f>+CUBICACION!J902</f>
        <v>0</v>
      </c>
      <c r="K903" s="118">
        <v>3682</v>
      </c>
      <c r="L903" s="118">
        <f>+CUBICACION!L902</f>
        <v>0</v>
      </c>
      <c r="M903" s="64">
        <f>+CUBICACION!M902</f>
        <v>0</v>
      </c>
      <c r="N903" s="824" t="str">
        <f>+CUBICACION!N902</f>
        <v/>
      </c>
      <c r="O903" s="675">
        <f>+CUBICACION!O902</f>
        <v>0</v>
      </c>
      <c r="P903" s="15">
        <f>IF(O903="Fire Control",VLOOKUP(_xlfn.MINIFS('FIRE CONTROL'!$C$4:$C$37,'FIRE CONTROL'!$C$4:$C$37,"&gt;="&amp;M903),'FIRE CONTROL'!$C$4:$G$37,IF(L903="F-15",2,IF(L903="F-30",3,IF(L903="F-60",4,IF(L903="F-90",5,0)))),0),0)+IF(AND(O903="FIRE TEX 5062",OR(E903="IN",E903="C",E903="Z",E903="L"),J903=3),VLOOKUP(_xlfn.MINIFS('FIRE TEX 5062'!$B$4:$B$34,'FIRE TEX 5062'!$B$4:$B$34,"&gt;="&amp;M903),'FIRE TEX 5062'!$B$4:$F$34,IF(L903="F-15",2,IF(L903="F-30",3,IF(L903="F-60",4,IF(L903="F-90",5,0)))),0),0)+IF(AND(O903="FIRE TEX 5062",OR(E903="IN",E903="C",E903="Z",E903="L"),J903=4),VLOOKUP(_xlfn.MINIFS('FIRE TEX 5062'!$G$4:$G$34,'FIRE TEX 5062'!$G$4:$G$34,"&gt;="&amp;M903),'FIRE TEX 5062'!$G$4:$K$34,IF(L903="F-15",2,IF(L903="F-30",3,IF(L903="F-60",4,IF(L903="F-90",5,0)))),0),0)+IF(AND(O903="FIRE TEX 5062",E903="CJ",J903=3),VLOOKUP(_xlfn.MINIFS('FIRE TEX 5062'!$L$4:$L$34,'FIRE TEX 5062'!$L$4:$L$34,"&gt;="&amp;M903),'FIRE TEX 5062'!$L$4:$P$34,IF(L903="F-15",2,IF(L903="F-30",3,IF(L903="F-60",4,IF(L903="F-90",5,0)))),0),0)+IF(AND(O903="FIRE TEX 5062",E903="CJ",J903=4),VLOOKUP(_xlfn.MINIFS('FIRE TEX 5062'!$Q$3:$Q$34,'FIRE TEX 5062'!$Q$3:$Q$34,"&gt;="&amp;M903),'FIRE TEX 5062'!$Q$3:$U$34,IF(L903="F-15",2,IF(L903="F-30",3,IF(L903="F-60",4,IF(L903="F-90",5,0)))),0),0)+IF(AND(O903="FIRE TEX 5090",OR(E903="IN",E903="C",E903="Z",E903="L"),J903=3),VLOOKUP(_xlfn.MINIFS('FIRE TEX 5090'!$B$5:$B$43,'FIRE TEX 5090'!$B$5:$B$43,"&gt;="&amp;M903),'FIRE TEX 5090'!$B$5:$H$43,IF(L903="F-15",2,IF(L903="F-30",3,IF(L903="F-60",4,IF(L903="F-90",5,IF(L903="F-120",6,IF(L903="F-150",7,0)))))),0),0)+IF(AND(O903="FIRE TEX 5090",OR(E903="IN",E903="C",E903="Z",E903="L"),J903=4),VLOOKUP(_xlfn.MINIFS('FIRE TEX 5090'!$J$5:$J$43,'FIRE TEX 5090'!$J$5:$J$43,"&gt;="&amp;M903),'FIRE TEX 5090'!$J$5:$P$43,IF(L903="F-15",2,IF(L903="F-30",3,IF(L903="F-60",4,IF(L903="F-90",5,IF(L903="F-120",6,IF(L903="F-150",7,0)))))),0),0)+IF(AND(O903="FIRE TEX 5090",E903="CJ",J903=3),VLOOKUP(_xlfn.MINIFS('FIRE TEX 5090'!$R$5:$R$30,'FIRE TEX 5090'!$R$5:$R$30,"&gt;="&amp;M903),'FIRE TEX 5090'!$R$5:$W$30,IF(L903="F-15",2,IF(L903="F-30",3,IF(L903="F-60",4,IF(L903="F-90",5,IF(L903="F-120",6,IF(L903="F-150",7,0)))))),0),0)+IF(AND(O903="FIRE TEX 5090",E903="CJ",J903=4),VLOOKUP(_xlfn.MINIFS('FIRE TEX 5090'!$Y$5:$Y$39,'FIRE TEX 5090'!$Y$5:$Y$39,"&gt;="&amp;M903),'FIRE TEX 5090'!$Y$5:$AD$39,IF(L903="F-15",2,IF(L903="F-30",3,IF(L903="F-60",4,IF(L903="F-90",5,IF(L903="F-120",6,IF(L903="F-150",7,0)))))),0),0)+IF(AND(O903="FIRE TEX 5120",OR(E903="IN",E903="C",E903="Z",E903="L"),J903=3),VLOOKUP(_xlfn.MINIFS('FIRE TEX 5120'!$B$5:$B$40,'FIRE TEX 5120'!$B$5:$B$40,"&gt;="&amp;M903),'FIRE TEX 5120'!$B$5:$G$40,IF(L903="F-15",2,IF(L903="F-30",3,IF(L903="F-60",4,IF(L903="F-90",5,IF(L903="F-120",6,0))))),0),0)+IF(AND(O903="FIRE TEX 5120",OR(E903="IN",E903="C",E903="Z",E903="L"),J903=4),VLOOKUP(_xlfn.MINIFS('FIRE TEX 5120'!$H$4:$H$40,'FIRE TEX 5120'!$H$4:$H$40,"&gt;="&amp;M903),'FIRE TEX 5120'!$H$4:$M$40,IF(L903="F-15",2,IF(L903="F-30",3,IF(L903="F-60",4,IF(L903="F-90",5,IF(L903="F-120",6,0))))),0),0)+IF(AND(O903="FIRE TEX 5120",E903="CJ"),VLOOKUP(_xlfn.MINIFS('FIRE TEX 5120'!$O$5:$O$40,'FIRE TEX 5120'!$O$5:$O$40,"&gt;="&amp;M903),'FIRE TEX 5120'!$O$5:$T$40,IF(L903="F-15",2,IF(L903="F-30",3,IF(L903="F-60",4,IF(L903="F-90",5,IF(L903="F-120",6,0))))),0),0)</f>
        <v>0</v>
      </c>
      <c r="Q903" s="46">
        <f t="shared" si="89"/>
        <v>0</v>
      </c>
      <c r="R903" s="46">
        <f t="shared" si="90"/>
        <v>0</v>
      </c>
      <c r="S903" s="46" t="e">
        <f t="shared" si="91"/>
        <v>#VALUE!</v>
      </c>
      <c r="T903" s="677">
        <f t="shared" si="92"/>
        <v>0</v>
      </c>
      <c r="U903" s="80">
        <f>(IF(O903="Stofire",(S903*#REF!),0))+(IF(O903="Fire Control",(S903*$U$2),0))+(IF(O903="Fire Tex",(S903*$U$3),0))+(IF(O903="WB7",(S903*#REF!),0)+(IF(O903="FX 2003",(S903*$U$5),0)))</f>
        <v>0</v>
      </c>
      <c r="V903" s="651">
        <f t="shared" si="93"/>
        <v>0</v>
      </c>
    </row>
    <row r="904" spans="4:22" x14ac:dyDescent="0.25">
      <c r="D904" s="118">
        <f>+CUBICACION!D903</f>
        <v>0</v>
      </c>
      <c r="E904" s="118">
        <f>+CUBICACION!F903</f>
        <v>0</v>
      </c>
      <c r="F904" s="118">
        <f>+CUBICACION!E903</f>
        <v>0</v>
      </c>
      <c r="G904" s="118">
        <v>12</v>
      </c>
      <c r="H904" s="118">
        <v>2</v>
      </c>
      <c r="I904" s="820">
        <v>26385</v>
      </c>
      <c r="J904" s="118">
        <f>+CUBICACION!J903</f>
        <v>0</v>
      </c>
      <c r="K904" s="118">
        <v>3683</v>
      </c>
      <c r="L904" s="118">
        <f>+CUBICACION!L903</f>
        <v>0</v>
      </c>
      <c r="M904" s="64">
        <f>+CUBICACION!M903</f>
        <v>0</v>
      </c>
      <c r="N904" s="824" t="str">
        <f>+CUBICACION!N903</f>
        <v/>
      </c>
      <c r="O904" s="675">
        <f>+CUBICACION!O903</f>
        <v>0</v>
      </c>
      <c r="P904" s="15">
        <f>IF(O904="Fire Control",VLOOKUP(_xlfn.MINIFS('FIRE CONTROL'!$C$4:$C$37,'FIRE CONTROL'!$C$4:$C$37,"&gt;="&amp;M904),'FIRE CONTROL'!$C$4:$G$37,IF(L904="F-15",2,IF(L904="F-30",3,IF(L904="F-60",4,IF(L904="F-90",5,0)))),0),0)+IF(AND(O904="FIRE TEX 5062",OR(E904="IN",E904="C",E904="Z",E904="L"),J904=3),VLOOKUP(_xlfn.MINIFS('FIRE TEX 5062'!$B$4:$B$34,'FIRE TEX 5062'!$B$4:$B$34,"&gt;="&amp;M904),'FIRE TEX 5062'!$B$4:$F$34,IF(L904="F-15",2,IF(L904="F-30",3,IF(L904="F-60",4,IF(L904="F-90",5,0)))),0),0)+IF(AND(O904="FIRE TEX 5062",OR(E904="IN",E904="C",E904="Z",E904="L"),J904=4),VLOOKUP(_xlfn.MINIFS('FIRE TEX 5062'!$G$4:$G$34,'FIRE TEX 5062'!$G$4:$G$34,"&gt;="&amp;M904),'FIRE TEX 5062'!$G$4:$K$34,IF(L904="F-15",2,IF(L904="F-30",3,IF(L904="F-60",4,IF(L904="F-90",5,0)))),0),0)+IF(AND(O904="FIRE TEX 5062",E904="CJ",J904=3),VLOOKUP(_xlfn.MINIFS('FIRE TEX 5062'!$L$4:$L$34,'FIRE TEX 5062'!$L$4:$L$34,"&gt;="&amp;M904),'FIRE TEX 5062'!$L$4:$P$34,IF(L904="F-15",2,IF(L904="F-30",3,IF(L904="F-60",4,IF(L904="F-90",5,0)))),0),0)+IF(AND(O904="FIRE TEX 5062",E904="CJ",J904=4),VLOOKUP(_xlfn.MINIFS('FIRE TEX 5062'!$Q$3:$Q$34,'FIRE TEX 5062'!$Q$3:$Q$34,"&gt;="&amp;M904),'FIRE TEX 5062'!$Q$3:$U$34,IF(L904="F-15",2,IF(L904="F-30",3,IF(L904="F-60",4,IF(L904="F-90",5,0)))),0),0)+IF(AND(O904="FIRE TEX 5090",OR(E904="IN",E904="C",E904="Z",E904="L"),J904=3),VLOOKUP(_xlfn.MINIFS('FIRE TEX 5090'!$B$5:$B$43,'FIRE TEX 5090'!$B$5:$B$43,"&gt;="&amp;M904),'FIRE TEX 5090'!$B$5:$H$43,IF(L904="F-15",2,IF(L904="F-30",3,IF(L904="F-60",4,IF(L904="F-90",5,IF(L904="F-120",6,IF(L904="F-150",7,0)))))),0),0)+IF(AND(O904="FIRE TEX 5090",OR(E904="IN",E904="C",E904="Z",E904="L"),J904=4),VLOOKUP(_xlfn.MINIFS('FIRE TEX 5090'!$J$5:$J$43,'FIRE TEX 5090'!$J$5:$J$43,"&gt;="&amp;M904),'FIRE TEX 5090'!$J$5:$P$43,IF(L904="F-15",2,IF(L904="F-30",3,IF(L904="F-60",4,IF(L904="F-90",5,IF(L904="F-120",6,IF(L904="F-150",7,0)))))),0),0)+IF(AND(O904="FIRE TEX 5090",E904="CJ",J904=3),VLOOKUP(_xlfn.MINIFS('FIRE TEX 5090'!$R$5:$R$30,'FIRE TEX 5090'!$R$5:$R$30,"&gt;="&amp;M904),'FIRE TEX 5090'!$R$5:$W$30,IF(L904="F-15",2,IF(L904="F-30",3,IF(L904="F-60",4,IF(L904="F-90",5,IF(L904="F-120",6,IF(L904="F-150",7,0)))))),0),0)+IF(AND(O904="FIRE TEX 5090",E904="CJ",J904=4),VLOOKUP(_xlfn.MINIFS('FIRE TEX 5090'!$Y$5:$Y$39,'FIRE TEX 5090'!$Y$5:$Y$39,"&gt;="&amp;M904),'FIRE TEX 5090'!$Y$5:$AD$39,IF(L904="F-15",2,IF(L904="F-30",3,IF(L904="F-60",4,IF(L904="F-90",5,IF(L904="F-120",6,IF(L904="F-150",7,0)))))),0),0)+IF(AND(O904="FIRE TEX 5120",OR(E904="IN",E904="C",E904="Z",E904="L"),J904=3),VLOOKUP(_xlfn.MINIFS('FIRE TEX 5120'!$B$5:$B$40,'FIRE TEX 5120'!$B$5:$B$40,"&gt;="&amp;M904),'FIRE TEX 5120'!$B$5:$G$40,IF(L904="F-15",2,IF(L904="F-30",3,IF(L904="F-60",4,IF(L904="F-90",5,IF(L904="F-120",6,0))))),0),0)+IF(AND(O904="FIRE TEX 5120",OR(E904="IN",E904="C",E904="Z",E904="L"),J904=4),VLOOKUP(_xlfn.MINIFS('FIRE TEX 5120'!$H$4:$H$40,'FIRE TEX 5120'!$H$4:$H$40,"&gt;="&amp;M904),'FIRE TEX 5120'!$H$4:$M$40,IF(L904="F-15",2,IF(L904="F-30",3,IF(L904="F-60",4,IF(L904="F-90",5,IF(L904="F-120",6,0))))),0),0)+IF(AND(O904="FIRE TEX 5120",E904="CJ"),VLOOKUP(_xlfn.MINIFS('FIRE TEX 5120'!$O$5:$O$40,'FIRE TEX 5120'!$O$5:$O$40,"&gt;="&amp;M904),'FIRE TEX 5120'!$O$5:$T$40,IF(L904="F-15",2,IF(L904="F-30",3,IF(L904="F-60",4,IF(L904="F-90",5,IF(L904="F-120",6,0))))),0),0)</f>
        <v>0</v>
      </c>
      <c r="Q904" s="46">
        <f t="shared" si="89"/>
        <v>0</v>
      </c>
      <c r="R904" s="46">
        <f t="shared" si="90"/>
        <v>0</v>
      </c>
      <c r="S904" s="46" t="e">
        <f t="shared" si="91"/>
        <v>#VALUE!</v>
      </c>
      <c r="T904" s="677">
        <f t="shared" si="92"/>
        <v>0</v>
      </c>
      <c r="U904" s="80">
        <f>(IF(O904="Stofire",(S904*#REF!),0))+(IF(O904="Fire Control",(S904*$U$2),0))+(IF(O904="Fire Tex",(S904*$U$3),0))+(IF(O904="WB7",(S904*#REF!),0)+(IF(O904="FX 2003",(S904*$U$5),0)))</f>
        <v>0</v>
      </c>
      <c r="V904" s="651">
        <f t="shared" si="93"/>
        <v>0</v>
      </c>
    </row>
    <row r="905" spans="4:22" x14ac:dyDescent="0.25">
      <c r="D905" s="118">
        <f>+CUBICACION!D904</f>
        <v>0</v>
      </c>
      <c r="E905" s="118">
        <f>+CUBICACION!F904</f>
        <v>0</v>
      </c>
      <c r="F905" s="118">
        <f>+CUBICACION!E904</f>
        <v>0</v>
      </c>
      <c r="G905" s="118">
        <v>12</v>
      </c>
      <c r="H905" s="118">
        <v>2</v>
      </c>
      <c r="I905" s="820">
        <v>26385</v>
      </c>
      <c r="J905" s="118">
        <f>+CUBICACION!J904</f>
        <v>0</v>
      </c>
      <c r="K905" s="118">
        <v>3684</v>
      </c>
      <c r="L905" s="118">
        <f>+CUBICACION!L904</f>
        <v>0</v>
      </c>
      <c r="M905" s="64">
        <f>+CUBICACION!M904</f>
        <v>0</v>
      </c>
      <c r="N905" s="824" t="str">
        <f>+CUBICACION!N904</f>
        <v/>
      </c>
      <c r="O905" s="675">
        <f>+CUBICACION!O904</f>
        <v>0</v>
      </c>
      <c r="P905" s="15">
        <f>IF(O905="Fire Control",VLOOKUP(_xlfn.MINIFS('FIRE CONTROL'!$C$4:$C$37,'FIRE CONTROL'!$C$4:$C$37,"&gt;="&amp;M905),'FIRE CONTROL'!$C$4:$G$37,IF(L905="F-15",2,IF(L905="F-30",3,IF(L905="F-60",4,IF(L905="F-90",5,0)))),0),0)+IF(AND(O905="FIRE TEX 5062",OR(E905="IN",E905="C",E905="Z",E905="L"),J905=3),VLOOKUP(_xlfn.MINIFS('FIRE TEX 5062'!$B$4:$B$34,'FIRE TEX 5062'!$B$4:$B$34,"&gt;="&amp;M905),'FIRE TEX 5062'!$B$4:$F$34,IF(L905="F-15",2,IF(L905="F-30",3,IF(L905="F-60",4,IF(L905="F-90",5,0)))),0),0)+IF(AND(O905="FIRE TEX 5062",OR(E905="IN",E905="C",E905="Z",E905="L"),J905=4),VLOOKUP(_xlfn.MINIFS('FIRE TEX 5062'!$G$4:$G$34,'FIRE TEX 5062'!$G$4:$G$34,"&gt;="&amp;M905),'FIRE TEX 5062'!$G$4:$K$34,IF(L905="F-15",2,IF(L905="F-30",3,IF(L905="F-60",4,IF(L905="F-90",5,0)))),0),0)+IF(AND(O905="FIRE TEX 5062",E905="CJ",J905=3),VLOOKUP(_xlfn.MINIFS('FIRE TEX 5062'!$L$4:$L$34,'FIRE TEX 5062'!$L$4:$L$34,"&gt;="&amp;M905),'FIRE TEX 5062'!$L$4:$P$34,IF(L905="F-15",2,IF(L905="F-30",3,IF(L905="F-60",4,IF(L905="F-90",5,0)))),0),0)+IF(AND(O905="FIRE TEX 5062",E905="CJ",J905=4),VLOOKUP(_xlfn.MINIFS('FIRE TEX 5062'!$Q$3:$Q$34,'FIRE TEX 5062'!$Q$3:$Q$34,"&gt;="&amp;M905),'FIRE TEX 5062'!$Q$3:$U$34,IF(L905="F-15",2,IF(L905="F-30",3,IF(L905="F-60",4,IF(L905="F-90",5,0)))),0),0)+IF(AND(O905="FIRE TEX 5090",OR(E905="IN",E905="C",E905="Z",E905="L"),J905=3),VLOOKUP(_xlfn.MINIFS('FIRE TEX 5090'!$B$5:$B$43,'FIRE TEX 5090'!$B$5:$B$43,"&gt;="&amp;M905),'FIRE TEX 5090'!$B$5:$H$43,IF(L905="F-15",2,IF(L905="F-30",3,IF(L905="F-60",4,IF(L905="F-90",5,IF(L905="F-120",6,IF(L905="F-150",7,0)))))),0),0)+IF(AND(O905="FIRE TEX 5090",OR(E905="IN",E905="C",E905="Z",E905="L"),J905=4),VLOOKUP(_xlfn.MINIFS('FIRE TEX 5090'!$J$5:$J$43,'FIRE TEX 5090'!$J$5:$J$43,"&gt;="&amp;M905),'FIRE TEX 5090'!$J$5:$P$43,IF(L905="F-15",2,IF(L905="F-30",3,IF(L905="F-60",4,IF(L905="F-90",5,IF(L905="F-120",6,IF(L905="F-150",7,0)))))),0),0)+IF(AND(O905="FIRE TEX 5090",E905="CJ",J905=3),VLOOKUP(_xlfn.MINIFS('FIRE TEX 5090'!$R$5:$R$30,'FIRE TEX 5090'!$R$5:$R$30,"&gt;="&amp;M905),'FIRE TEX 5090'!$R$5:$W$30,IF(L905="F-15",2,IF(L905="F-30",3,IF(L905="F-60",4,IF(L905="F-90",5,IF(L905="F-120",6,IF(L905="F-150",7,0)))))),0),0)+IF(AND(O905="FIRE TEX 5090",E905="CJ",J905=4),VLOOKUP(_xlfn.MINIFS('FIRE TEX 5090'!$Y$5:$Y$39,'FIRE TEX 5090'!$Y$5:$Y$39,"&gt;="&amp;M905),'FIRE TEX 5090'!$Y$5:$AD$39,IF(L905="F-15",2,IF(L905="F-30",3,IF(L905="F-60",4,IF(L905="F-90",5,IF(L905="F-120",6,IF(L905="F-150",7,0)))))),0),0)+IF(AND(O905="FIRE TEX 5120",OR(E905="IN",E905="C",E905="Z",E905="L"),J905=3),VLOOKUP(_xlfn.MINIFS('FIRE TEX 5120'!$B$5:$B$40,'FIRE TEX 5120'!$B$5:$B$40,"&gt;="&amp;M905),'FIRE TEX 5120'!$B$5:$G$40,IF(L905="F-15",2,IF(L905="F-30",3,IF(L905="F-60",4,IF(L905="F-90",5,IF(L905="F-120",6,0))))),0),0)+IF(AND(O905="FIRE TEX 5120",OR(E905="IN",E905="C",E905="Z",E905="L"),J905=4),VLOOKUP(_xlfn.MINIFS('FIRE TEX 5120'!$H$4:$H$40,'FIRE TEX 5120'!$H$4:$H$40,"&gt;="&amp;M905),'FIRE TEX 5120'!$H$4:$M$40,IF(L905="F-15",2,IF(L905="F-30",3,IF(L905="F-60",4,IF(L905="F-90",5,IF(L905="F-120",6,0))))),0),0)+IF(AND(O905="FIRE TEX 5120",E905="CJ"),VLOOKUP(_xlfn.MINIFS('FIRE TEX 5120'!$O$5:$O$40,'FIRE TEX 5120'!$O$5:$O$40,"&gt;="&amp;M905),'FIRE TEX 5120'!$O$5:$T$40,IF(L905="F-15",2,IF(L905="F-30",3,IF(L905="F-60",4,IF(L905="F-90",5,IF(L905="F-120",6,0))))),0),0)</f>
        <v>0</v>
      </c>
      <c r="Q905" s="46">
        <f t="shared" si="89"/>
        <v>0</v>
      </c>
      <c r="R905" s="46">
        <f t="shared" si="90"/>
        <v>0</v>
      </c>
      <c r="S905" s="46" t="e">
        <f t="shared" si="91"/>
        <v>#VALUE!</v>
      </c>
      <c r="T905" s="677">
        <f t="shared" si="92"/>
        <v>0</v>
      </c>
      <c r="U905" s="80">
        <f>(IF(O905="Stofire",(S905*#REF!),0))+(IF(O905="Fire Control",(S905*$U$2),0))+(IF(O905="Fire Tex",(S905*$U$3),0))+(IF(O905="WB7",(S905*#REF!),0)+(IF(O905="FX 2003",(S905*$U$5),0)))</f>
        <v>0</v>
      </c>
      <c r="V905" s="651">
        <f t="shared" si="93"/>
        <v>0</v>
      </c>
    </row>
    <row r="906" spans="4:22" x14ac:dyDescent="0.25">
      <c r="D906" s="118">
        <f>+CUBICACION!D905</f>
        <v>0</v>
      </c>
      <c r="E906" s="118">
        <f>+CUBICACION!F905</f>
        <v>0</v>
      </c>
      <c r="F906" s="118">
        <f>+CUBICACION!E905</f>
        <v>0</v>
      </c>
      <c r="G906" s="118">
        <v>12</v>
      </c>
      <c r="H906" s="118">
        <v>2</v>
      </c>
      <c r="I906" s="820">
        <v>26385</v>
      </c>
      <c r="J906" s="118">
        <f>+CUBICACION!J905</f>
        <v>0</v>
      </c>
      <c r="K906" s="118">
        <v>3685</v>
      </c>
      <c r="L906" s="118">
        <f>+CUBICACION!L905</f>
        <v>0</v>
      </c>
      <c r="M906" s="64">
        <f>+CUBICACION!M905</f>
        <v>0</v>
      </c>
      <c r="N906" s="824" t="str">
        <f>+CUBICACION!N905</f>
        <v/>
      </c>
      <c r="O906" s="675">
        <f>+CUBICACION!O905</f>
        <v>0</v>
      </c>
      <c r="P906" s="15">
        <f>IF(O906="Fire Control",VLOOKUP(_xlfn.MINIFS('FIRE CONTROL'!$C$4:$C$37,'FIRE CONTROL'!$C$4:$C$37,"&gt;="&amp;M906),'FIRE CONTROL'!$C$4:$G$37,IF(L906="F-15",2,IF(L906="F-30",3,IF(L906="F-60",4,IF(L906="F-90",5,0)))),0),0)+IF(AND(O906="FIRE TEX 5062",OR(E906="IN",E906="C",E906="Z",E906="L"),J906=3),VLOOKUP(_xlfn.MINIFS('FIRE TEX 5062'!$B$4:$B$34,'FIRE TEX 5062'!$B$4:$B$34,"&gt;="&amp;M906),'FIRE TEX 5062'!$B$4:$F$34,IF(L906="F-15",2,IF(L906="F-30",3,IF(L906="F-60",4,IF(L906="F-90",5,0)))),0),0)+IF(AND(O906="FIRE TEX 5062",OR(E906="IN",E906="C",E906="Z",E906="L"),J906=4),VLOOKUP(_xlfn.MINIFS('FIRE TEX 5062'!$G$4:$G$34,'FIRE TEX 5062'!$G$4:$G$34,"&gt;="&amp;M906),'FIRE TEX 5062'!$G$4:$K$34,IF(L906="F-15",2,IF(L906="F-30",3,IF(L906="F-60",4,IF(L906="F-90",5,0)))),0),0)+IF(AND(O906="FIRE TEX 5062",E906="CJ",J906=3),VLOOKUP(_xlfn.MINIFS('FIRE TEX 5062'!$L$4:$L$34,'FIRE TEX 5062'!$L$4:$L$34,"&gt;="&amp;M906),'FIRE TEX 5062'!$L$4:$P$34,IF(L906="F-15",2,IF(L906="F-30",3,IF(L906="F-60",4,IF(L906="F-90",5,0)))),0),0)+IF(AND(O906="FIRE TEX 5062",E906="CJ",J906=4),VLOOKUP(_xlfn.MINIFS('FIRE TEX 5062'!$Q$3:$Q$34,'FIRE TEX 5062'!$Q$3:$Q$34,"&gt;="&amp;M906),'FIRE TEX 5062'!$Q$3:$U$34,IF(L906="F-15",2,IF(L906="F-30",3,IF(L906="F-60",4,IF(L906="F-90",5,0)))),0),0)+IF(AND(O906="FIRE TEX 5090",OR(E906="IN",E906="C",E906="Z",E906="L"),J906=3),VLOOKUP(_xlfn.MINIFS('FIRE TEX 5090'!$B$5:$B$43,'FIRE TEX 5090'!$B$5:$B$43,"&gt;="&amp;M906),'FIRE TEX 5090'!$B$5:$H$43,IF(L906="F-15",2,IF(L906="F-30",3,IF(L906="F-60",4,IF(L906="F-90",5,IF(L906="F-120",6,IF(L906="F-150",7,0)))))),0),0)+IF(AND(O906="FIRE TEX 5090",OR(E906="IN",E906="C",E906="Z",E906="L"),J906=4),VLOOKUP(_xlfn.MINIFS('FIRE TEX 5090'!$J$5:$J$43,'FIRE TEX 5090'!$J$5:$J$43,"&gt;="&amp;M906),'FIRE TEX 5090'!$J$5:$P$43,IF(L906="F-15",2,IF(L906="F-30",3,IF(L906="F-60",4,IF(L906="F-90",5,IF(L906="F-120",6,IF(L906="F-150",7,0)))))),0),0)+IF(AND(O906="FIRE TEX 5090",E906="CJ",J906=3),VLOOKUP(_xlfn.MINIFS('FIRE TEX 5090'!$R$5:$R$30,'FIRE TEX 5090'!$R$5:$R$30,"&gt;="&amp;M906),'FIRE TEX 5090'!$R$5:$W$30,IF(L906="F-15",2,IF(L906="F-30",3,IF(L906="F-60",4,IF(L906="F-90",5,IF(L906="F-120",6,IF(L906="F-150",7,0)))))),0),0)+IF(AND(O906="FIRE TEX 5090",E906="CJ",J906=4),VLOOKUP(_xlfn.MINIFS('FIRE TEX 5090'!$Y$5:$Y$39,'FIRE TEX 5090'!$Y$5:$Y$39,"&gt;="&amp;M906),'FIRE TEX 5090'!$Y$5:$AD$39,IF(L906="F-15",2,IF(L906="F-30",3,IF(L906="F-60",4,IF(L906="F-90",5,IF(L906="F-120",6,IF(L906="F-150",7,0)))))),0),0)+IF(AND(O906="FIRE TEX 5120",OR(E906="IN",E906="C",E906="Z",E906="L"),J906=3),VLOOKUP(_xlfn.MINIFS('FIRE TEX 5120'!$B$5:$B$40,'FIRE TEX 5120'!$B$5:$B$40,"&gt;="&amp;M906),'FIRE TEX 5120'!$B$5:$G$40,IF(L906="F-15",2,IF(L906="F-30",3,IF(L906="F-60",4,IF(L906="F-90",5,IF(L906="F-120",6,0))))),0),0)+IF(AND(O906="FIRE TEX 5120",OR(E906="IN",E906="C",E906="Z",E906="L"),J906=4),VLOOKUP(_xlfn.MINIFS('FIRE TEX 5120'!$H$4:$H$40,'FIRE TEX 5120'!$H$4:$H$40,"&gt;="&amp;M906),'FIRE TEX 5120'!$H$4:$M$40,IF(L906="F-15",2,IF(L906="F-30",3,IF(L906="F-60",4,IF(L906="F-90",5,IF(L906="F-120",6,0))))),0),0)+IF(AND(O906="FIRE TEX 5120",E906="CJ"),VLOOKUP(_xlfn.MINIFS('FIRE TEX 5120'!$O$5:$O$40,'FIRE TEX 5120'!$O$5:$O$40,"&gt;="&amp;M906),'FIRE TEX 5120'!$O$5:$T$40,IF(L906="F-15",2,IF(L906="F-30",3,IF(L906="F-60",4,IF(L906="F-90",5,IF(L906="F-120",6,0))))),0),0)</f>
        <v>0</v>
      </c>
      <c r="Q906" s="46">
        <f t="shared" si="89"/>
        <v>0</v>
      </c>
      <c r="R906" s="46">
        <f t="shared" si="90"/>
        <v>0</v>
      </c>
      <c r="S906" s="46" t="e">
        <f t="shared" si="91"/>
        <v>#VALUE!</v>
      </c>
      <c r="T906" s="677">
        <f t="shared" si="92"/>
        <v>0</v>
      </c>
      <c r="U906" s="80">
        <f>(IF(O906="Stofire",(S906*#REF!),0))+(IF(O906="Fire Control",(S906*$U$2),0))+(IF(O906="Fire Tex",(S906*$U$3),0))+(IF(O906="WB7",(S906*#REF!),0)+(IF(O906="FX 2003",(S906*$U$5),0)))</f>
        <v>0</v>
      </c>
      <c r="V906" s="651">
        <f t="shared" si="93"/>
        <v>0</v>
      </c>
    </row>
    <row r="907" spans="4:22" x14ac:dyDescent="0.25">
      <c r="D907" s="118">
        <f>+CUBICACION!D906</f>
        <v>0</v>
      </c>
      <c r="E907" s="118">
        <f>+CUBICACION!F906</f>
        <v>0</v>
      </c>
      <c r="F907" s="118">
        <f>+CUBICACION!E906</f>
        <v>0</v>
      </c>
      <c r="G907" s="118">
        <v>12</v>
      </c>
      <c r="H907" s="118">
        <v>2</v>
      </c>
      <c r="I907" s="820">
        <v>26385</v>
      </c>
      <c r="J907" s="118">
        <f>+CUBICACION!J906</f>
        <v>0</v>
      </c>
      <c r="K907" s="118">
        <v>3686</v>
      </c>
      <c r="L907" s="118">
        <f>+CUBICACION!L906</f>
        <v>0</v>
      </c>
      <c r="M907" s="64">
        <f>+CUBICACION!M906</f>
        <v>0</v>
      </c>
      <c r="N907" s="824" t="str">
        <f>+CUBICACION!N906</f>
        <v/>
      </c>
      <c r="O907" s="675">
        <f>+CUBICACION!O906</f>
        <v>0</v>
      </c>
      <c r="P907" s="15">
        <f>IF(O907="Fire Control",VLOOKUP(_xlfn.MINIFS('FIRE CONTROL'!$C$4:$C$37,'FIRE CONTROL'!$C$4:$C$37,"&gt;="&amp;M907),'FIRE CONTROL'!$C$4:$G$37,IF(L907="F-15",2,IF(L907="F-30",3,IF(L907="F-60",4,IF(L907="F-90",5,0)))),0),0)+IF(AND(O907="FIRE TEX 5062",OR(E907="IN",E907="C",E907="Z",E907="L"),J907=3),VLOOKUP(_xlfn.MINIFS('FIRE TEX 5062'!$B$4:$B$34,'FIRE TEX 5062'!$B$4:$B$34,"&gt;="&amp;M907),'FIRE TEX 5062'!$B$4:$F$34,IF(L907="F-15",2,IF(L907="F-30",3,IF(L907="F-60",4,IF(L907="F-90",5,0)))),0),0)+IF(AND(O907="FIRE TEX 5062",OR(E907="IN",E907="C",E907="Z",E907="L"),J907=4),VLOOKUP(_xlfn.MINIFS('FIRE TEX 5062'!$G$4:$G$34,'FIRE TEX 5062'!$G$4:$G$34,"&gt;="&amp;M907),'FIRE TEX 5062'!$G$4:$K$34,IF(L907="F-15",2,IF(L907="F-30",3,IF(L907="F-60",4,IF(L907="F-90",5,0)))),0),0)+IF(AND(O907="FIRE TEX 5062",E907="CJ",J907=3),VLOOKUP(_xlfn.MINIFS('FIRE TEX 5062'!$L$4:$L$34,'FIRE TEX 5062'!$L$4:$L$34,"&gt;="&amp;M907),'FIRE TEX 5062'!$L$4:$P$34,IF(L907="F-15",2,IF(L907="F-30",3,IF(L907="F-60",4,IF(L907="F-90",5,0)))),0),0)+IF(AND(O907="FIRE TEX 5062",E907="CJ",J907=4),VLOOKUP(_xlfn.MINIFS('FIRE TEX 5062'!$Q$3:$Q$34,'FIRE TEX 5062'!$Q$3:$Q$34,"&gt;="&amp;M907),'FIRE TEX 5062'!$Q$3:$U$34,IF(L907="F-15",2,IF(L907="F-30",3,IF(L907="F-60",4,IF(L907="F-90",5,0)))),0),0)+IF(AND(O907="FIRE TEX 5090",OR(E907="IN",E907="C",E907="Z",E907="L"),J907=3),VLOOKUP(_xlfn.MINIFS('FIRE TEX 5090'!$B$5:$B$43,'FIRE TEX 5090'!$B$5:$B$43,"&gt;="&amp;M907),'FIRE TEX 5090'!$B$5:$H$43,IF(L907="F-15",2,IF(L907="F-30",3,IF(L907="F-60",4,IF(L907="F-90",5,IF(L907="F-120",6,IF(L907="F-150",7,0)))))),0),0)+IF(AND(O907="FIRE TEX 5090",OR(E907="IN",E907="C",E907="Z",E907="L"),J907=4),VLOOKUP(_xlfn.MINIFS('FIRE TEX 5090'!$J$5:$J$43,'FIRE TEX 5090'!$J$5:$J$43,"&gt;="&amp;M907),'FIRE TEX 5090'!$J$5:$P$43,IF(L907="F-15",2,IF(L907="F-30",3,IF(L907="F-60",4,IF(L907="F-90",5,IF(L907="F-120",6,IF(L907="F-150",7,0)))))),0),0)+IF(AND(O907="FIRE TEX 5090",E907="CJ",J907=3),VLOOKUP(_xlfn.MINIFS('FIRE TEX 5090'!$R$5:$R$30,'FIRE TEX 5090'!$R$5:$R$30,"&gt;="&amp;M907),'FIRE TEX 5090'!$R$5:$W$30,IF(L907="F-15",2,IF(L907="F-30",3,IF(L907="F-60",4,IF(L907="F-90",5,IF(L907="F-120",6,IF(L907="F-150",7,0)))))),0),0)+IF(AND(O907="FIRE TEX 5090",E907="CJ",J907=4),VLOOKUP(_xlfn.MINIFS('FIRE TEX 5090'!$Y$5:$Y$39,'FIRE TEX 5090'!$Y$5:$Y$39,"&gt;="&amp;M907),'FIRE TEX 5090'!$Y$5:$AD$39,IF(L907="F-15",2,IF(L907="F-30",3,IF(L907="F-60",4,IF(L907="F-90",5,IF(L907="F-120",6,IF(L907="F-150",7,0)))))),0),0)+IF(AND(O907="FIRE TEX 5120",OR(E907="IN",E907="C",E907="Z",E907="L"),J907=3),VLOOKUP(_xlfn.MINIFS('FIRE TEX 5120'!$B$5:$B$40,'FIRE TEX 5120'!$B$5:$B$40,"&gt;="&amp;M907),'FIRE TEX 5120'!$B$5:$G$40,IF(L907="F-15",2,IF(L907="F-30",3,IF(L907="F-60",4,IF(L907="F-90",5,IF(L907="F-120",6,0))))),0),0)+IF(AND(O907="FIRE TEX 5120",OR(E907="IN",E907="C",E907="Z",E907="L"),J907=4),VLOOKUP(_xlfn.MINIFS('FIRE TEX 5120'!$H$4:$H$40,'FIRE TEX 5120'!$H$4:$H$40,"&gt;="&amp;M907),'FIRE TEX 5120'!$H$4:$M$40,IF(L907="F-15",2,IF(L907="F-30",3,IF(L907="F-60",4,IF(L907="F-90",5,IF(L907="F-120",6,0))))),0),0)+IF(AND(O907="FIRE TEX 5120",E907="CJ"),VLOOKUP(_xlfn.MINIFS('FIRE TEX 5120'!$O$5:$O$40,'FIRE TEX 5120'!$O$5:$O$40,"&gt;="&amp;M907),'FIRE TEX 5120'!$O$5:$T$40,IF(L907="F-15",2,IF(L907="F-30",3,IF(L907="F-60",4,IF(L907="F-90",5,IF(L907="F-120",6,0))))),0),0)</f>
        <v>0</v>
      </c>
      <c r="Q907" s="46">
        <f t="shared" si="89"/>
        <v>0</v>
      </c>
      <c r="R907" s="46">
        <f t="shared" si="90"/>
        <v>0</v>
      </c>
      <c r="S907" s="46" t="e">
        <f t="shared" si="91"/>
        <v>#VALUE!</v>
      </c>
      <c r="T907" s="677">
        <f t="shared" si="92"/>
        <v>0</v>
      </c>
      <c r="U907" s="80">
        <f>(IF(O907="Stofire",(S907*#REF!),0))+(IF(O907="Fire Control",(S907*$U$2),0))+(IF(O907="Fire Tex",(S907*$U$3),0))+(IF(O907="WB7",(S907*#REF!),0)+(IF(O907="FX 2003",(S907*$U$5),0)))</f>
        <v>0</v>
      </c>
      <c r="V907" s="651">
        <f t="shared" si="93"/>
        <v>0</v>
      </c>
    </row>
    <row r="908" spans="4:22" x14ac:dyDescent="0.25">
      <c r="D908" s="118">
        <f>+CUBICACION!D907</f>
        <v>0</v>
      </c>
      <c r="E908" s="118">
        <f>+CUBICACION!F907</f>
        <v>0</v>
      </c>
      <c r="F908" s="118">
        <f>+CUBICACION!E907</f>
        <v>0</v>
      </c>
      <c r="G908" s="118">
        <v>12</v>
      </c>
      <c r="H908" s="118">
        <v>2</v>
      </c>
      <c r="I908" s="820">
        <v>26385</v>
      </c>
      <c r="J908" s="118">
        <f>+CUBICACION!J907</f>
        <v>0</v>
      </c>
      <c r="K908" s="118">
        <v>3687</v>
      </c>
      <c r="L908" s="118">
        <f>+CUBICACION!L907</f>
        <v>0</v>
      </c>
      <c r="M908" s="64">
        <f>+CUBICACION!M907</f>
        <v>0</v>
      </c>
      <c r="N908" s="824" t="str">
        <f>+CUBICACION!N907</f>
        <v/>
      </c>
      <c r="O908" s="675">
        <f>+CUBICACION!O907</f>
        <v>0</v>
      </c>
      <c r="P908" s="15">
        <f>IF(O908="Fire Control",VLOOKUP(_xlfn.MINIFS('FIRE CONTROL'!$C$4:$C$37,'FIRE CONTROL'!$C$4:$C$37,"&gt;="&amp;M908),'FIRE CONTROL'!$C$4:$G$37,IF(L908="F-15",2,IF(L908="F-30",3,IF(L908="F-60",4,IF(L908="F-90",5,0)))),0),0)+IF(AND(O908="FIRE TEX 5062",OR(E908="IN",E908="C",E908="Z",E908="L"),J908=3),VLOOKUP(_xlfn.MINIFS('FIRE TEX 5062'!$B$4:$B$34,'FIRE TEX 5062'!$B$4:$B$34,"&gt;="&amp;M908),'FIRE TEX 5062'!$B$4:$F$34,IF(L908="F-15",2,IF(L908="F-30",3,IF(L908="F-60",4,IF(L908="F-90",5,0)))),0),0)+IF(AND(O908="FIRE TEX 5062",OR(E908="IN",E908="C",E908="Z",E908="L"),J908=4),VLOOKUP(_xlfn.MINIFS('FIRE TEX 5062'!$G$4:$G$34,'FIRE TEX 5062'!$G$4:$G$34,"&gt;="&amp;M908),'FIRE TEX 5062'!$G$4:$K$34,IF(L908="F-15",2,IF(L908="F-30",3,IF(L908="F-60",4,IF(L908="F-90",5,0)))),0),0)+IF(AND(O908="FIRE TEX 5062",E908="CJ",J908=3),VLOOKUP(_xlfn.MINIFS('FIRE TEX 5062'!$L$4:$L$34,'FIRE TEX 5062'!$L$4:$L$34,"&gt;="&amp;M908),'FIRE TEX 5062'!$L$4:$P$34,IF(L908="F-15",2,IF(L908="F-30",3,IF(L908="F-60",4,IF(L908="F-90",5,0)))),0),0)+IF(AND(O908="FIRE TEX 5062",E908="CJ",J908=4),VLOOKUP(_xlfn.MINIFS('FIRE TEX 5062'!$Q$3:$Q$34,'FIRE TEX 5062'!$Q$3:$Q$34,"&gt;="&amp;M908),'FIRE TEX 5062'!$Q$3:$U$34,IF(L908="F-15",2,IF(L908="F-30",3,IF(L908="F-60",4,IF(L908="F-90",5,0)))),0),0)+IF(AND(O908="FIRE TEX 5090",OR(E908="IN",E908="C",E908="Z",E908="L"),J908=3),VLOOKUP(_xlfn.MINIFS('FIRE TEX 5090'!$B$5:$B$43,'FIRE TEX 5090'!$B$5:$B$43,"&gt;="&amp;M908),'FIRE TEX 5090'!$B$5:$H$43,IF(L908="F-15",2,IF(L908="F-30",3,IF(L908="F-60",4,IF(L908="F-90",5,IF(L908="F-120",6,IF(L908="F-150",7,0)))))),0),0)+IF(AND(O908="FIRE TEX 5090",OR(E908="IN",E908="C",E908="Z",E908="L"),J908=4),VLOOKUP(_xlfn.MINIFS('FIRE TEX 5090'!$J$5:$J$43,'FIRE TEX 5090'!$J$5:$J$43,"&gt;="&amp;M908),'FIRE TEX 5090'!$J$5:$P$43,IF(L908="F-15",2,IF(L908="F-30",3,IF(L908="F-60",4,IF(L908="F-90",5,IF(L908="F-120",6,IF(L908="F-150",7,0)))))),0),0)+IF(AND(O908="FIRE TEX 5090",E908="CJ",J908=3),VLOOKUP(_xlfn.MINIFS('FIRE TEX 5090'!$R$5:$R$30,'FIRE TEX 5090'!$R$5:$R$30,"&gt;="&amp;M908),'FIRE TEX 5090'!$R$5:$W$30,IF(L908="F-15",2,IF(L908="F-30",3,IF(L908="F-60",4,IF(L908="F-90",5,IF(L908="F-120",6,IF(L908="F-150",7,0)))))),0),0)+IF(AND(O908="FIRE TEX 5090",E908="CJ",J908=4),VLOOKUP(_xlfn.MINIFS('FIRE TEX 5090'!$Y$5:$Y$39,'FIRE TEX 5090'!$Y$5:$Y$39,"&gt;="&amp;M908),'FIRE TEX 5090'!$Y$5:$AD$39,IF(L908="F-15",2,IF(L908="F-30",3,IF(L908="F-60",4,IF(L908="F-90",5,IF(L908="F-120",6,IF(L908="F-150",7,0)))))),0),0)+IF(AND(O908="FIRE TEX 5120",OR(E908="IN",E908="C",E908="Z",E908="L"),J908=3),VLOOKUP(_xlfn.MINIFS('FIRE TEX 5120'!$B$5:$B$40,'FIRE TEX 5120'!$B$5:$B$40,"&gt;="&amp;M908),'FIRE TEX 5120'!$B$5:$G$40,IF(L908="F-15",2,IF(L908="F-30",3,IF(L908="F-60",4,IF(L908="F-90",5,IF(L908="F-120",6,0))))),0),0)+IF(AND(O908="FIRE TEX 5120",OR(E908="IN",E908="C",E908="Z",E908="L"),J908=4),VLOOKUP(_xlfn.MINIFS('FIRE TEX 5120'!$H$4:$H$40,'FIRE TEX 5120'!$H$4:$H$40,"&gt;="&amp;M908),'FIRE TEX 5120'!$H$4:$M$40,IF(L908="F-15",2,IF(L908="F-30",3,IF(L908="F-60",4,IF(L908="F-90",5,IF(L908="F-120",6,0))))),0),0)+IF(AND(O908="FIRE TEX 5120",E908="CJ"),VLOOKUP(_xlfn.MINIFS('FIRE TEX 5120'!$O$5:$O$40,'FIRE TEX 5120'!$O$5:$O$40,"&gt;="&amp;M908),'FIRE TEX 5120'!$O$5:$T$40,IF(L908="F-15",2,IF(L908="F-30",3,IF(L908="F-60",4,IF(L908="F-90",5,IF(L908="F-120",6,0))))),0),0)</f>
        <v>0</v>
      </c>
      <c r="Q908" s="46">
        <f t="shared" si="89"/>
        <v>0</v>
      </c>
      <c r="R908" s="46">
        <f t="shared" si="90"/>
        <v>0</v>
      </c>
      <c r="S908" s="46" t="e">
        <f t="shared" si="91"/>
        <v>#VALUE!</v>
      </c>
      <c r="T908" s="677">
        <f t="shared" si="92"/>
        <v>0</v>
      </c>
      <c r="U908" s="80">
        <f>(IF(O908="Stofire",(S908*#REF!),0))+(IF(O908="Fire Control",(S908*$U$2),0))+(IF(O908="Fire Tex",(S908*$U$3),0))+(IF(O908="WB7",(S908*#REF!),0)+(IF(O908="FX 2003",(S908*$U$5),0)))</f>
        <v>0</v>
      </c>
      <c r="V908" s="651">
        <f t="shared" si="93"/>
        <v>0</v>
      </c>
    </row>
    <row r="909" spans="4:22" x14ac:dyDescent="0.25">
      <c r="D909" s="118">
        <f>+CUBICACION!D908</f>
        <v>0</v>
      </c>
      <c r="E909" s="118">
        <f>+CUBICACION!F908</f>
        <v>0</v>
      </c>
      <c r="F909" s="118">
        <f>+CUBICACION!E908</f>
        <v>0</v>
      </c>
      <c r="G909" s="118">
        <v>12</v>
      </c>
      <c r="H909" s="118">
        <v>2</v>
      </c>
      <c r="I909" s="820">
        <v>26385</v>
      </c>
      <c r="J909" s="118">
        <f>+CUBICACION!J908</f>
        <v>0</v>
      </c>
      <c r="K909" s="118">
        <v>3688</v>
      </c>
      <c r="L909" s="118">
        <f>+CUBICACION!L908</f>
        <v>0</v>
      </c>
      <c r="M909" s="64">
        <f>+CUBICACION!M908</f>
        <v>0</v>
      </c>
      <c r="N909" s="824" t="str">
        <f>+CUBICACION!N908</f>
        <v/>
      </c>
      <c r="O909" s="675">
        <f>+CUBICACION!O908</f>
        <v>0</v>
      </c>
      <c r="P909" s="15">
        <f>IF(O909="Fire Control",VLOOKUP(_xlfn.MINIFS('FIRE CONTROL'!$C$4:$C$37,'FIRE CONTROL'!$C$4:$C$37,"&gt;="&amp;M909),'FIRE CONTROL'!$C$4:$G$37,IF(L909="F-15",2,IF(L909="F-30",3,IF(L909="F-60",4,IF(L909="F-90",5,0)))),0),0)+IF(AND(O909="FIRE TEX 5062",OR(E909="IN",E909="C",E909="Z",E909="L"),J909=3),VLOOKUP(_xlfn.MINIFS('FIRE TEX 5062'!$B$4:$B$34,'FIRE TEX 5062'!$B$4:$B$34,"&gt;="&amp;M909),'FIRE TEX 5062'!$B$4:$F$34,IF(L909="F-15",2,IF(L909="F-30",3,IF(L909="F-60",4,IF(L909="F-90",5,0)))),0),0)+IF(AND(O909="FIRE TEX 5062",OR(E909="IN",E909="C",E909="Z",E909="L"),J909=4),VLOOKUP(_xlfn.MINIFS('FIRE TEX 5062'!$G$4:$G$34,'FIRE TEX 5062'!$G$4:$G$34,"&gt;="&amp;M909),'FIRE TEX 5062'!$G$4:$K$34,IF(L909="F-15",2,IF(L909="F-30",3,IF(L909="F-60",4,IF(L909="F-90",5,0)))),0),0)+IF(AND(O909="FIRE TEX 5062",E909="CJ",J909=3),VLOOKUP(_xlfn.MINIFS('FIRE TEX 5062'!$L$4:$L$34,'FIRE TEX 5062'!$L$4:$L$34,"&gt;="&amp;M909),'FIRE TEX 5062'!$L$4:$P$34,IF(L909="F-15",2,IF(L909="F-30",3,IF(L909="F-60",4,IF(L909="F-90",5,0)))),0),0)+IF(AND(O909="FIRE TEX 5062",E909="CJ",J909=4),VLOOKUP(_xlfn.MINIFS('FIRE TEX 5062'!$Q$3:$Q$34,'FIRE TEX 5062'!$Q$3:$Q$34,"&gt;="&amp;M909),'FIRE TEX 5062'!$Q$3:$U$34,IF(L909="F-15",2,IF(L909="F-30",3,IF(L909="F-60",4,IF(L909="F-90",5,0)))),0),0)+IF(AND(O909="FIRE TEX 5090",OR(E909="IN",E909="C",E909="Z",E909="L"),J909=3),VLOOKUP(_xlfn.MINIFS('FIRE TEX 5090'!$B$5:$B$43,'FIRE TEX 5090'!$B$5:$B$43,"&gt;="&amp;M909),'FIRE TEX 5090'!$B$5:$H$43,IF(L909="F-15",2,IF(L909="F-30",3,IF(L909="F-60",4,IF(L909="F-90",5,IF(L909="F-120",6,IF(L909="F-150",7,0)))))),0),0)+IF(AND(O909="FIRE TEX 5090",OR(E909="IN",E909="C",E909="Z",E909="L"),J909=4),VLOOKUP(_xlfn.MINIFS('FIRE TEX 5090'!$J$5:$J$43,'FIRE TEX 5090'!$J$5:$J$43,"&gt;="&amp;M909),'FIRE TEX 5090'!$J$5:$P$43,IF(L909="F-15",2,IF(L909="F-30",3,IF(L909="F-60",4,IF(L909="F-90",5,IF(L909="F-120",6,IF(L909="F-150",7,0)))))),0),0)+IF(AND(O909="FIRE TEX 5090",E909="CJ",J909=3),VLOOKUP(_xlfn.MINIFS('FIRE TEX 5090'!$R$5:$R$30,'FIRE TEX 5090'!$R$5:$R$30,"&gt;="&amp;M909),'FIRE TEX 5090'!$R$5:$W$30,IF(L909="F-15",2,IF(L909="F-30",3,IF(L909="F-60",4,IF(L909="F-90",5,IF(L909="F-120",6,IF(L909="F-150",7,0)))))),0),0)+IF(AND(O909="FIRE TEX 5090",E909="CJ",J909=4),VLOOKUP(_xlfn.MINIFS('FIRE TEX 5090'!$Y$5:$Y$39,'FIRE TEX 5090'!$Y$5:$Y$39,"&gt;="&amp;M909),'FIRE TEX 5090'!$Y$5:$AD$39,IF(L909="F-15",2,IF(L909="F-30",3,IF(L909="F-60",4,IF(L909="F-90",5,IF(L909="F-120",6,IF(L909="F-150",7,0)))))),0),0)+IF(AND(O909="FIRE TEX 5120",OR(E909="IN",E909="C",E909="Z",E909="L"),J909=3),VLOOKUP(_xlfn.MINIFS('FIRE TEX 5120'!$B$5:$B$40,'FIRE TEX 5120'!$B$5:$B$40,"&gt;="&amp;M909),'FIRE TEX 5120'!$B$5:$G$40,IF(L909="F-15",2,IF(L909="F-30",3,IF(L909="F-60",4,IF(L909="F-90",5,IF(L909="F-120",6,0))))),0),0)+IF(AND(O909="FIRE TEX 5120",OR(E909="IN",E909="C",E909="Z",E909="L"),J909=4),VLOOKUP(_xlfn.MINIFS('FIRE TEX 5120'!$H$4:$H$40,'FIRE TEX 5120'!$H$4:$H$40,"&gt;="&amp;M909),'FIRE TEX 5120'!$H$4:$M$40,IF(L909="F-15",2,IF(L909="F-30",3,IF(L909="F-60",4,IF(L909="F-90",5,IF(L909="F-120",6,0))))),0),0)+IF(AND(O909="FIRE TEX 5120",E909="CJ"),VLOOKUP(_xlfn.MINIFS('FIRE TEX 5120'!$O$5:$O$40,'FIRE TEX 5120'!$O$5:$O$40,"&gt;="&amp;M909),'FIRE TEX 5120'!$O$5:$T$40,IF(L909="F-15",2,IF(L909="F-30",3,IF(L909="F-60",4,IF(L909="F-90",5,IF(L909="F-120",6,0))))),0),0)</f>
        <v>0</v>
      </c>
      <c r="Q909" s="46">
        <f t="shared" si="89"/>
        <v>0</v>
      </c>
      <c r="R909" s="46">
        <f t="shared" si="90"/>
        <v>0</v>
      </c>
      <c r="S909" s="46" t="e">
        <f t="shared" si="91"/>
        <v>#VALUE!</v>
      </c>
      <c r="T909" s="677">
        <f t="shared" si="92"/>
        <v>0</v>
      </c>
      <c r="U909" s="80">
        <f>(IF(O909="Stofire",(S909*#REF!),0))+(IF(O909="Fire Control",(S909*$U$2),0))+(IF(O909="Fire Tex",(S909*$U$3),0))+(IF(O909="WB7",(S909*#REF!),0)+(IF(O909="FX 2003",(S909*$U$5),0)))</f>
        <v>0</v>
      </c>
      <c r="V909" s="651">
        <f t="shared" si="93"/>
        <v>0</v>
      </c>
    </row>
    <row r="910" spans="4:22" x14ac:dyDescent="0.25">
      <c r="D910" s="118">
        <f>+CUBICACION!D909</f>
        <v>0</v>
      </c>
      <c r="E910" s="118">
        <f>+CUBICACION!F909</f>
        <v>0</v>
      </c>
      <c r="F910" s="118">
        <f>+CUBICACION!E909</f>
        <v>0</v>
      </c>
      <c r="G910" s="118">
        <v>12</v>
      </c>
      <c r="H910" s="118">
        <v>2</v>
      </c>
      <c r="I910" s="820">
        <v>26385</v>
      </c>
      <c r="J910" s="118">
        <f>+CUBICACION!J909</f>
        <v>0</v>
      </c>
      <c r="K910" s="118">
        <v>3689</v>
      </c>
      <c r="L910" s="118">
        <f>+CUBICACION!L909</f>
        <v>0</v>
      </c>
      <c r="M910" s="64">
        <f>+CUBICACION!M909</f>
        <v>0</v>
      </c>
      <c r="N910" s="824" t="str">
        <f>+CUBICACION!N909</f>
        <v/>
      </c>
      <c r="O910" s="675">
        <f>+CUBICACION!O909</f>
        <v>0</v>
      </c>
      <c r="P910" s="15">
        <f>IF(O910="Fire Control",VLOOKUP(_xlfn.MINIFS('FIRE CONTROL'!$C$4:$C$37,'FIRE CONTROL'!$C$4:$C$37,"&gt;="&amp;M910),'FIRE CONTROL'!$C$4:$G$37,IF(L910="F-15",2,IF(L910="F-30",3,IF(L910="F-60",4,IF(L910="F-90",5,0)))),0),0)+IF(AND(O910="FIRE TEX 5062",OR(E910="IN",E910="C",E910="Z",E910="L"),J910=3),VLOOKUP(_xlfn.MINIFS('FIRE TEX 5062'!$B$4:$B$34,'FIRE TEX 5062'!$B$4:$B$34,"&gt;="&amp;M910),'FIRE TEX 5062'!$B$4:$F$34,IF(L910="F-15",2,IF(L910="F-30",3,IF(L910="F-60",4,IF(L910="F-90",5,0)))),0),0)+IF(AND(O910="FIRE TEX 5062",OR(E910="IN",E910="C",E910="Z",E910="L"),J910=4),VLOOKUP(_xlfn.MINIFS('FIRE TEX 5062'!$G$4:$G$34,'FIRE TEX 5062'!$G$4:$G$34,"&gt;="&amp;M910),'FIRE TEX 5062'!$G$4:$K$34,IF(L910="F-15",2,IF(L910="F-30",3,IF(L910="F-60",4,IF(L910="F-90",5,0)))),0),0)+IF(AND(O910="FIRE TEX 5062",E910="CJ",J910=3),VLOOKUP(_xlfn.MINIFS('FIRE TEX 5062'!$L$4:$L$34,'FIRE TEX 5062'!$L$4:$L$34,"&gt;="&amp;M910),'FIRE TEX 5062'!$L$4:$P$34,IF(L910="F-15",2,IF(L910="F-30",3,IF(L910="F-60",4,IF(L910="F-90",5,0)))),0),0)+IF(AND(O910="FIRE TEX 5062",E910="CJ",J910=4),VLOOKUP(_xlfn.MINIFS('FIRE TEX 5062'!$Q$3:$Q$34,'FIRE TEX 5062'!$Q$3:$Q$34,"&gt;="&amp;M910),'FIRE TEX 5062'!$Q$3:$U$34,IF(L910="F-15",2,IF(L910="F-30",3,IF(L910="F-60",4,IF(L910="F-90",5,0)))),0),0)+IF(AND(O910="FIRE TEX 5090",OR(E910="IN",E910="C",E910="Z",E910="L"),J910=3),VLOOKUP(_xlfn.MINIFS('FIRE TEX 5090'!$B$5:$B$43,'FIRE TEX 5090'!$B$5:$B$43,"&gt;="&amp;M910),'FIRE TEX 5090'!$B$5:$H$43,IF(L910="F-15",2,IF(L910="F-30",3,IF(L910="F-60",4,IF(L910="F-90",5,IF(L910="F-120",6,IF(L910="F-150",7,0)))))),0),0)+IF(AND(O910="FIRE TEX 5090",OR(E910="IN",E910="C",E910="Z",E910="L"),J910=4),VLOOKUP(_xlfn.MINIFS('FIRE TEX 5090'!$J$5:$J$43,'FIRE TEX 5090'!$J$5:$J$43,"&gt;="&amp;M910),'FIRE TEX 5090'!$J$5:$P$43,IF(L910="F-15",2,IF(L910="F-30",3,IF(L910="F-60",4,IF(L910="F-90",5,IF(L910="F-120",6,IF(L910="F-150",7,0)))))),0),0)+IF(AND(O910="FIRE TEX 5090",E910="CJ",J910=3),VLOOKUP(_xlfn.MINIFS('FIRE TEX 5090'!$R$5:$R$30,'FIRE TEX 5090'!$R$5:$R$30,"&gt;="&amp;M910),'FIRE TEX 5090'!$R$5:$W$30,IF(L910="F-15",2,IF(L910="F-30",3,IF(L910="F-60",4,IF(L910="F-90",5,IF(L910="F-120",6,IF(L910="F-150",7,0)))))),0),0)+IF(AND(O910="FIRE TEX 5090",E910="CJ",J910=4),VLOOKUP(_xlfn.MINIFS('FIRE TEX 5090'!$Y$5:$Y$39,'FIRE TEX 5090'!$Y$5:$Y$39,"&gt;="&amp;M910),'FIRE TEX 5090'!$Y$5:$AD$39,IF(L910="F-15",2,IF(L910="F-30",3,IF(L910="F-60",4,IF(L910="F-90",5,IF(L910="F-120",6,IF(L910="F-150",7,0)))))),0),0)+IF(AND(O910="FIRE TEX 5120",OR(E910="IN",E910="C",E910="Z",E910="L"),J910=3),VLOOKUP(_xlfn.MINIFS('FIRE TEX 5120'!$B$5:$B$40,'FIRE TEX 5120'!$B$5:$B$40,"&gt;="&amp;M910),'FIRE TEX 5120'!$B$5:$G$40,IF(L910="F-15",2,IF(L910="F-30",3,IF(L910="F-60",4,IF(L910="F-90",5,IF(L910="F-120",6,0))))),0),0)+IF(AND(O910="FIRE TEX 5120",OR(E910="IN",E910="C",E910="Z",E910="L"),J910=4),VLOOKUP(_xlfn.MINIFS('FIRE TEX 5120'!$H$4:$H$40,'FIRE TEX 5120'!$H$4:$H$40,"&gt;="&amp;M910),'FIRE TEX 5120'!$H$4:$M$40,IF(L910="F-15",2,IF(L910="F-30",3,IF(L910="F-60",4,IF(L910="F-90",5,IF(L910="F-120",6,0))))),0),0)+IF(AND(O910="FIRE TEX 5120",E910="CJ"),VLOOKUP(_xlfn.MINIFS('FIRE TEX 5120'!$O$5:$O$40,'FIRE TEX 5120'!$O$5:$O$40,"&gt;="&amp;M910),'FIRE TEX 5120'!$O$5:$T$40,IF(L910="F-15",2,IF(L910="F-30",3,IF(L910="F-60",4,IF(L910="F-90",5,IF(L910="F-120",6,0))))),0),0)</f>
        <v>0</v>
      </c>
      <c r="Q910" s="46">
        <f t="shared" si="89"/>
        <v>0</v>
      </c>
      <c r="R910" s="46">
        <f t="shared" si="90"/>
        <v>0</v>
      </c>
      <c r="S910" s="46" t="e">
        <f t="shared" si="91"/>
        <v>#VALUE!</v>
      </c>
      <c r="T910" s="677">
        <f t="shared" si="92"/>
        <v>0</v>
      </c>
      <c r="U910" s="80">
        <f>(IF(O910="Stofire",(S910*#REF!),0))+(IF(O910="Fire Control",(S910*$U$2),0))+(IF(O910="Fire Tex",(S910*$U$3),0))+(IF(O910="WB7",(S910*#REF!),0)+(IF(O910="FX 2003",(S910*$U$5),0)))</f>
        <v>0</v>
      </c>
      <c r="V910" s="651">
        <f t="shared" si="93"/>
        <v>0</v>
      </c>
    </row>
    <row r="911" spans="4:22" x14ac:dyDescent="0.25">
      <c r="D911" s="118">
        <f>+CUBICACION!D910</f>
        <v>0</v>
      </c>
      <c r="E911" s="118">
        <f>+CUBICACION!F910</f>
        <v>0</v>
      </c>
      <c r="F911" s="118">
        <f>+CUBICACION!E910</f>
        <v>0</v>
      </c>
      <c r="G911" s="118">
        <v>12</v>
      </c>
      <c r="H911" s="118">
        <v>2</v>
      </c>
      <c r="I911" s="820">
        <v>26385</v>
      </c>
      <c r="J911" s="118">
        <f>+CUBICACION!J910</f>
        <v>0</v>
      </c>
      <c r="K911" s="118">
        <v>3690</v>
      </c>
      <c r="L911" s="118">
        <f>+CUBICACION!L910</f>
        <v>0</v>
      </c>
      <c r="M911" s="64">
        <f>+CUBICACION!M910</f>
        <v>0</v>
      </c>
      <c r="N911" s="824" t="str">
        <f>+CUBICACION!N910</f>
        <v/>
      </c>
      <c r="O911" s="675">
        <f>+CUBICACION!O910</f>
        <v>0</v>
      </c>
      <c r="P911" s="15">
        <f>IF(O911="Fire Control",VLOOKUP(_xlfn.MINIFS('FIRE CONTROL'!$C$4:$C$37,'FIRE CONTROL'!$C$4:$C$37,"&gt;="&amp;M911),'FIRE CONTROL'!$C$4:$G$37,IF(L911="F-15",2,IF(L911="F-30",3,IF(L911="F-60",4,IF(L911="F-90",5,0)))),0),0)+IF(AND(O911="FIRE TEX 5062",OR(E911="IN",E911="C",E911="Z",E911="L"),J911=3),VLOOKUP(_xlfn.MINIFS('FIRE TEX 5062'!$B$4:$B$34,'FIRE TEX 5062'!$B$4:$B$34,"&gt;="&amp;M911),'FIRE TEX 5062'!$B$4:$F$34,IF(L911="F-15",2,IF(L911="F-30",3,IF(L911="F-60",4,IF(L911="F-90",5,0)))),0),0)+IF(AND(O911="FIRE TEX 5062",OR(E911="IN",E911="C",E911="Z",E911="L"),J911=4),VLOOKUP(_xlfn.MINIFS('FIRE TEX 5062'!$G$4:$G$34,'FIRE TEX 5062'!$G$4:$G$34,"&gt;="&amp;M911),'FIRE TEX 5062'!$G$4:$K$34,IF(L911="F-15",2,IF(L911="F-30",3,IF(L911="F-60",4,IF(L911="F-90",5,0)))),0),0)+IF(AND(O911="FIRE TEX 5062",E911="CJ",J911=3),VLOOKUP(_xlfn.MINIFS('FIRE TEX 5062'!$L$4:$L$34,'FIRE TEX 5062'!$L$4:$L$34,"&gt;="&amp;M911),'FIRE TEX 5062'!$L$4:$P$34,IF(L911="F-15",2,IF(L911="F-30",3,IF(L911="F-60",4,IF(L911="F-90",5,0)))),0),0)+IF(AND(O911="FIRE TEX 5062",E911="CJ",J911=4),VLOOKUP(_xlfn.MINIFS('FIRE TEX 5062'!$Q$3:$Q$34,'FIRE TEX 5062'!$Q$3:$Q$34,"&gt;="&amp;M911),'FIRE TEX 5062'!$Q$3:$U$34,IF(L911="F-15",2,IF(L911="F-30",3,IF(L911="F-60",4,IF(L911="F-90",5,0)))),0),0)+IF(AND(O911="FIRE TEX 5090",OR(E911="IN",E911="C",E911="Z",E911="L"),J911=3),VLOOKUP(_xlfn.MINIFS('FIRE TEX 5090'!$B$5:$B$43,'FIRE TEX 5090'!$B$5:$B$43,"&gt;="&amp;M911),'FIRE TEX 5090'!$B$5:$H$43,IF(L911="F-15",2,IF(L911="F-30",3,IF(L911="F-60",4,IF(L911="F-90",5,IF(L911="F-120",6,IF(L911="F-150",7,0)))))),0),0)+IF(AND(O911="FIRE TEX 5090",OR(E911="IN",E911="C",E911="Z",E911="L"),J911=4),VLOOKUP(_xlfn.MINIFS('FIRE TEX 5090'!$J$5:$J$43,'FIRE TEX 5090'!$J$5:$J$43,"&gt;="&amp;M911),'FIRE TEX 5090'!$J$5:$P$43,IF(L911="F-15",2,IF(L911="F-30",3,IF(L911="F-60",4,IF(L911="F-90",5,IF(L911="F-120",6,IF(L911="F-150",7,0)))))),0),0)+IF(AND(O911="FIRE TEX 5090",E911="CJ",J911=3),VLOOKUP(_xlfn.MINIFS('FIRE TEX 5090'!$R$5:$R$30,'FIRE TEX 5090'!$R$5:$R$30,"&gt;="&amp;M911),'FIRE TEX 5090'!$R$5:$W$30,IF(L911="F-15",2,IF(L911="F-30",3,IF(L911="F-60",4,IF(L911="F-90",5,IF(L911="F-120",6,IF(L911="F-150",7,0)))))),0),0)+IF(AND(O911="FIRE TEX 5090",E911="CJ",J911=4),VLOOKUP(_xlfn.MINIFS('FIRE TEX 5090'!$Y$5:$Y$39,'FIRE TEX 5090'!$Y$5:$Y$39,"&gt;="&amp;M911),'FIRE TEX 5090'!$Y$5:$AD$39,IF(L911="F-15",2,IF(L911="F-30",3,IF(L911="F-60",4,IF(L911="F-90",5,IF(L911="F-120",6,IF(L911="F-150",7,0)))))),0),0)+IF(AND(O911="FIRE TEX 5120",OR(E911="IN",E911="C",E911="Z",E911="L"),J911=3),VLOOKUP(_xlfn.MINIFS('FIRE TEX 5120'!$B$5:$B$40,'FIRE TEX 5120'!$B$5:$B$40,"&gt;="&amp;M911),'FIRE TEX 5120'!$B$5:$G$40,IF(L911="F-15",2,IF(L911="F-30",3,IF(L911="F-60",4,IF(L911="F-90",5,IF(L911="F-120",6,0))))),0),0)+IF(AND(O911="FIRE TEX 5120",OR(E911="IN",E911="C",E911="Z",E911="L"),J911=4),VLOOKUP(_xlfn.MINIFS('FIRE TEX 5120'!$H$4:$H$40,'FIRE TEX 5120'!$H$4:$H$40,"&gt;="&amp;M911),'FIRE TEX 5120'!$H$4:$M$40,IF(L911="F-15",2,IF(L911="F-30",3,IF(L911="F-60",4,IF(L911="F-90",5,IF(L911="F-120",6,0))))),0),0)+IF(AND(O911="FIRE TEX 5120",E911="CJ"),VLOOKUP(_xlfn.MINIFS('FIRE TEX 5120'!$O$5:$O$40,'FIRE TEX 5120'!$O$5:$O$40,"&gt;="&amp;M911),'FIRE TEX 5120'!$O$5:$T$40,IF(L911="F-15",2,IF(L911="F-30",3,IF(L911="F-60",4,IF(L911="F-90",5,IF(L911="F-120",6,0))))),0),0)</f>
        <v>0</v>
      </c>
      <c r="Q911" s="46">
        <f t="shared" si="89"/>
        <v>0</v>
      </c>
      <c r="R911" s="46">
        <f t="shared" si="90"/>
        <v>0</v>
      </c>
      <c r="S911" s="46" t="e">
        <f t="shared" si="91"/>
        <v>#VALUE!</v>
      </c>
      <c r="T911" s="677">
        <f t="shared" si="92"/>
        <v>0</v>
      </c>
      <c r="U911" s="80">
        <f>(IF(O911="Stofire",(S911*#REF!),0))+(IF(O911="Fire Control",(S911*$U$2),0))+(IF(O911="Fire Tex",(S911*$U$3),0))+(IF(O911="WB7",(S911*#REF!),0)+(IF(O911="FX 2003",(S911*$U$5),0)))</f>
        <v>0</v>
      </c>
      <c r="V911" s="651">
        <f t="shared" si="93"/>
        <v>0</v>
      </c>
    </row>
    <row r="912" spans="4:22" x14ac:dyDescent="0.25">
      <c r="D912" s="118">
        <f>+CUBICACION!D911</f>
        <v>0</v>
      </c>
      <c r="E912" s="118">
        <f>+CUBICACION!F911</f>
        <v>0</v>
      </c>
      <c r="F912" s="118">
        <f>+CUBICACION!E911</f>
        <v>0</v>
      </c>
      <c r="G912" s="118">
        <v>12</v>
      </c>
      <c r="H912" s="118">
        <v>2</v>
      </c>
      <c r="I912" s="820">
        <v>26385</v>
      </c>
      <c r="J912" s="118">
        <f>+CUBICACION!J911</f>
        <v>0</v>
      </c>
      <c r="K912" s="118">
        <v>3691</v>
      </c>
      <c r="L912" s="118">
        <f>+CUBICACION!L911</f>
        <v>0</v>
      </c>
      <c r="M912" s="64">
        <f>+CUBICACION!M911</f>
        <v>0</v>
      </c>
      <c r="N912" s="824" t="str">
        <f>+CUBICACION!N911</f>
        <v/>
      </c>
      <c r="O912" s="675">
        <f>+CUBICACION!O911</f>
        <v>0</v>
      </c>
      <c r="P912" s="15">
        <f>IF(O912="Fire Control",VLOOKUP(_xlfn.MINIFS('FIRE CONTROL'!$C$4:$C$37,'FIRE CONTROL'!$C$4:$C$37,"&gt;="&amp;M912),'FIRE CONTROL'!$C$4:$G$37,IF(L912="F-15",2,IF(L912="F-30",3,IF(L912="F-60",4,IF(L912="F-90",5,0)))),0),0)+IF(AND(O912="FIRE TEX 5062",OR(E912="IN",E912="C",E912="Z",E912="L"),J912=3),VLOOKUP(_xlfn.MINIFS('FIRE TEX 5062'!$B$4:$B$34,'FIRE TEX 5062'!$B$4:$B$34,"&gt;="&amp;M912),'FIRE TEX 5062'!$B$4:$F$34,IF(L912="F-15",2,IF(L912="F-30",3,IF(L912="F-60",4,IF(L912="F-90",5,0)))),0),0)+IF(AND(O912="FIRE TEX 5062",OR(E912="IN",E912="C",E912="Z",E912="L"),J912=4),VLOOKUP(_xlfn.MINIFS('FIRE TEX 5062'!$G$4:$G$34,'FIRE TEX 5062'!$G$4:$G$34,"&gt;="&amp;M912),'FIRE TEX 5062'!$G$4:$K$34,IF(L912="F-15",2,IF(L912="F-30",3,IF(L912="F-60",4,IF(L912="F-90",5,0)))),0),0)+IF(AND(O912="FIRE TEX 5062",E912="CJ",J912=3),VLOOKUP(_xlfn.MINIFS('FIRE TEX 5062'!$L$4:$L$34,'FIRE TEX 5062'!$L$4:$L$34,"&gt;="&amp;M912),'FIRE TEX 5062'!$L$4:$P$34,IF(L912="F-15",2,IF(L912="F-30",3,IF(L912="F-60",4,IF(L912="F-90",5,0)))),0),0)+IF(AND(O912="FIRE TEX 5062",E912="CJ",J912=4),VLOOKUP(_xlfn.MINIFS('FIRE TEX 5062'!$Q$3:$Q$34,'FIRE TEX 5062'!$Q$3:$Q$34,"&gt;="&amp;M912),'FIRE TEX 5062'!$Q$3:$U$34,IF(L912="F-15",2,IF(L912="F-30",3,IF(L912="F-60",4,IF(L912="F-90",5,0)))),0),0)+IF(AND(O912="FIRE TEX 5090",OR(E912="IN",E912="C",E912="Z",E912="L"),J912=3),VLOOKUP(_xlfn.MINIFS('FIRE TEX 5090'!$B$5:$B$43,'FIRE TEX 5090'!$B$5:$B$43,"&gt;="&amp;M912),'FIRE TEX 5090'!$B$5:$H$43,IF(L912="F-15",2,IF(L912="F-30",3,IF(L912="F-60",4,IF(L912="F-90",5,IF(L912="F-120",6,IF(L912="F-150",7,0)))))),0),0)+IF(AND(O912="FIRE TEX 5090",OR(E912="IN",E912="C",E912="Z",E912="L"),J912=4),VLOOKUP(_xlfn.MINIFS('FIRE TEX 5090'!$J$5:$J$43,'FIRE TEX 5090'!$J$5:$J$43,"&gt;="&amp;M912),'FIRE TEX 5090'!$J$5:$P$43,IF(L912="F-15",2,IF(L912="F-30",3,IF(L912="F-60",4,IF(L912="F-90",5,IF(L912="F-120",6,IF(L912="F-150",7,0)))))),0),0)+IF(AND(O912="FIRE TEX 5090",E912="CJ",J912=3),VLOOKUP(_xlfn.MINIFS('FIRE TEX 5090'!$R$5:$R$30,'FIRE TEX 5090'!$R$5:$R$30,"&gt;="&amp;M912),'FIRE TEX 5090'!$R$5:$W$30,IF(L912="F-15",2,IF(L912="F-30",3,IF(L912="F-60",4,IF(L912="F-90",5,IF(L912="F-120",6,IF(L912="F-150",7,0)))))),0),0)+IF(AND(O912="FIRE TEX 5090",E912="CJ",J912=4),VLOOKUP(_xlfn.MINIFS('FIRE TEX 5090'!$Y$5:$Y$39,'FIRE TEX 5090'!$Y$5:$Y$39,"&gt;="&amp;M912),'FIRE TEX 5090'!$Y$5:$AD$39,IF(L912="F-15",2,IF(L912="F-30",3,IF(L912="F-60",4,IF(L912="F-90",5,IF(L912="F-120",6,IF(L912="F-150",7,0)))))),0),0)+IF(AND(O912="FIRE TEX 5120",OR(E912="IN",E912="C",E912="Z",E912="L"),J912=3),VLOOKUP(_xlfn.MINIFS('FIRE TEX 5120'!$B$5:$B$40,'FIRE TEX 5120'!$B$5:$B$40,"&gt;="&amp;M912),'FIRE TEX 5120'!$B$5:$G$40,IF(L912="F-15",2,IF(L912="F-30",3,IF(L912="F-60",4,IF(L912="F-90",5,IF(L912="F-120",6,0))))),0),0)+IF(AND(O912="FIRE TEX 5120",OR(E912="IN",E912="C",E912="Z",E912="L"),J912=4),VLOOKUP(_xlfn.MINIFS('FIRE TEX 5120'!$H$4:$H$40,'FIRE TEX 5120'!$H$4:$H$40,"&gt;="&amp;M912),'FIRE TEX 5120'!$H$4:$M$40,IF(L912="F-15",2,IF(L912="F-30",3,IF(L912="F-60",4,IF(L912="F-90",5,IF(L912="F-120",6,0))))),0),0)+IF(AND(O912="FIRE TEX 5120",E912="CJ"),VLOOKUP(_xlfn.MINIFS('FIRE TEX 5120'!$O$5:$O$40,'FIRE TEX 5120'!$O$5:$O$40,"&gt;="&amp;M912),'FIRE TEX 5120'!$O$5:$T$40,IF(L912="F-15",2,IF(L912="F-30",3,IF(L912="F-60",4,IF(L912="F-90",5,IF(L912="F-120",6,0))))),0),0)</f>
        <v>0</v>
      </c>
      <c r="Q912" s="46">
        <f t="shared" si="89"/>
        <v>0</v>
      </c>
      <c r="R912" s="46">
        <f t="shared" si="90"/>
        <v>0</v>
      </c>
      <c r="S912" s="46" t="e">
        <f t="shared" si="91"/>
        <v>#VALUE!</v>
      </c>
      <c r="T912" s="677">
        <f t="shared" si="92"/>
        <v>0</v>
      </c>
      <c r="U912" s="80">
        <f>(IF(O912="Stofire",(S912*#REF!),0))+(IF(O912="Fire Control",(S912*$U$2),0))+(IF(O912="Fire Tex",(S912*$U$3),0))+(IF(O912="WB7",(S912*#REF!),0)+(IF(O912="FX 2003",(S912*$U$5),0)))</f>
        <v>0</v>
      </c>
      <c r="V912" s="651">
        <f t="shared" si="93"/>
        <v>0</v>
      </c>
    </row>
    <row r="913" spans="4:22" x14ac:dyDescent="0.25">
      <c r="D913" s="118">
        <f>+CUBICACION!D912</f>
        <v>0</v>
      </c>
      <c r="E913" s="118">
        <f>+CUBICACION!F912</f>
        <v>0</v>
      </c>
      <c r="F913" s="118">
        <f>+CUBICACION!E912</f>
        <v>0</v>
      </c>
      <c r="G913" s="118">
        <v>12</v>
      </c>
      <c r="H913" s="118">
        <v>2</v>
      </c>
      <c r="I913" s="820">
        <v>26385</v>
      </c>
      <c r="J913" s="118">
        <f>+CUBICACION!J912</f>
        <v>0</v>
      </c>
      <c r="K913" s="118">
        <v>3692</v>
      </c>
      <c r="L913" s="118">
        <f>+CUBICACION!L912</f>
        <v>0</v>
      </c>
      <c r="M913" s="64">
        <f>+CUBICACION!M912</f>
        <v>0</v>
      </c>
      <c r="N913" s="824" t="str">
        <f>+CUBICACION!N912</f>
        <v/>
      </c>
      <c r="O913" s="675">
        <f>+CUBICACION!O912</f>
        <v>0</v>
      </c>
      <c r="P913" s="15">
        <f>IF(O913="Fire Control",VLOOKUP(_xlfn.MINIFS('FIRE CONTROL'!$C$4:$C$37,'FIRE CONTROL'!$C$4:$C$37,"&gt;="&amp;M913),'FIRE CONTROL'!$C$4:$G$37,IF(L913="F-15",2,IF(L913="F-30",3,IF(L913="F-60",4,IF(L913="F-90",5,0)))),0),0)+IF(AND(O913="FIRE TEX 5062",OR(E913="IN",E913="C",E913="Z",E913="L"),J913=3),VLOOKUP(_xlfn.MINIFS('FIRE TEX 5062'!$B$4:$B$34,'FIRE TEX 5062'!$B$4:$B$34,"&gt;="&amp;M913),'FIRE TEX 5062'!$B$4:$F$34,IF(L913="F-15",2,IF(L913="F-30",3,IF(L913="F-60",4,IF(L913="F-90",5,0)))),0),0)+IF(AND(O913="FIRE TEX 5062",OR(E913="IN",E913="C",E913="Z",E913="L"),J913=4),VLOOKUP(_xlfn.MINIFS('FIRE TEX 5062'!$G$4:$G$34,'FIRE TEX 5062'!$G$4:$G$34,"&gt;="&amp;M913),'FIRE TEX 5062'!$G$4:$K$34,IF(L913="F-15",2,IF(L913="F-30",3,IF(L913="F-60",4,IF(L913="F-90",5,0)))),0),0)+IF(AND(O913="FIRE TEX 5062",E913="CJ",J913=3),VLOOKUP(_xlfn.MINIFS('FIRE TEX 5062'!$L$4:$L$34,'FIRE TEX 5062'!$L$4:$L$34,"&gt;="&amp;M913),'FIRE TEX 5062'!$L$4:$P$34,IF(L913="F-15",2,IF(L913="F-30",3,IF(L913="F-60",4,IF(L913="F-90",5,0)))),0),0)+IF(AND(O913="FIRE TEX 5062",E913="CJ",J913=4),VLOOKUP(_xlfn.MINIFS('FIRE TEX 5062'!$Q$3:$Q$34,'FIRE TEX 5062'!$Q$3:$Q$34,"&gt;="&amp;M913),'FIRE TEX 5062'!$Q$3:$U$34,IF(L913="F-15",2,IF(L913="F-30",3,IF(L913="F-60",4,IF(L913="F-90",5,0)))),0),0)+IF(AND(O913="FIRE TEX 5090",OR(E913="IN",E913="C",E913="Z",E913="L"),J913=3),VLOOKUP(_xlfn.MINIFS('FIRE TEX 5090'!$B$5:$B$43,'FIRE TEX 5090'!$B$5:$B$43,"&gt;="&amp;M913),'FIRE TEX 5090'!$B$5:$H$43,IF(L913="F-15",2,IF(L913="F-30",3,IF(L913="F-60",4,IF(L913="F-90",5,IF(L913="F-120",6,IF(L913="F-150",7,0)))))),0),0)+IF(AND(O913="FIRE TEX 5090",OR(E913="IN",E913="C",E913="Z",E913="L"),J913=4),VLOOKUP(_xlfn.MINIFS('FIRE TEX 5090'!$J$5:$J$43,'FIRE TEX 5090'!$J$5:$J$43,"&gt;="&amp;M913),'FIRE TEX 5090'!$J$5:$P$43,IF(L913="F-15",2,IF(L913="F-30",3,IF(L913="F-60",4,IF(L913="F-90",5,IF(L913="F-120",6,IF(L913="F-150",7,0)))))),0),0)+IF(AND(O913="FIRE TEX 5090",E913="CJ",J913=3),VLOOKUP(_xlfn.MINIFS('FIRE TEX 5090'!$R$5:$R$30,'FIRE TEX 5090'!$R$5:$R$30,"&gt;="&amp;M913),'FIRE TEX 5090'!$R$5:$W$30,IF(L913="F-15",2,IF(L913="F-30",3,IF(L913="F-60",4,IF(L913="F-90",5,IF(L913="F-120",6,IF(L913="F-150",7,0)))))),0),0)+IF(AND(O913="FIRE TEX 5090",E913="CJ",J913=4),VLOOKUP(_xlfn.MINIFS('FIRE TEX 5090'!$Y$5:$Y$39,'FIRE TEX 5090'!$Y$5:$Y$39,"&gt;="&amp;M913),'FIRE TEX 5090'!$Y$5:$AD$39,IF(L913="F-15",2,IF(L913="F-30",3,IF(L913="F-60",4,IF(L913="F-90",5,IF(L913="F-120",6,IF(L913="F-150",7,0)))))),0),0)+IF(AND(O913="FIRE TEX 5120",OR(E913="IN",E913="C",E913="Z",E913="L"),J913=3),VLOOKUP(_xlfn.MINIFS('FIRE TEX 5120'!$B$5:$B$40,'FIRE TEX 5120'!$B$5:$B$40,"&gt;="&amp;M913),'FIRE TEX 5120'!$B$5:$G$40,IF(L913="F-15",2,IF(L913="F-30",3,IF(L913="F-60",4,IF(L913="F-90",5,IF(L913="F-120",6,0))))),0),0)+IF(AND(O913="FIRE TEX 5120",OR(E913="IN",E913="C",E913="Z",E913="L"),J913=4),VLOOKUP(_xlfn.MINIFS('FIRE TEX 5120'!$H$4:$H$40,'FIRE TEX 5120'!$H$4:$H$40,"&gt;="&amp;M913),'FIRE TEX 5120'!$H$4:$M$40,IF(L913="F-15",2,IF(L913="F-30",3,IF(L913="F-60",4,IF(L913="F-90",5,IF(L913="F-120",6,0))))),0),0)+IF(AND(O913="FIRE TEX 5120",E913="CJ"),VLOOKUP(_xlfn.MINIFS('FIRE TEX 5120'!$O$5:$O$40,'FIRE TEX 5120'!$O$5:$O$40,"&gt;="&amp;M913),'FIRE TEX 5120'!$O$5:$T$40,IF(L913="F-15",2,IF(L913="F-30",3,IF(L913="F-60",4,IF(L913="F-90",5,IF(L913="F-120",6,0))))),0),0)</f>
        <v>0</v>
      </c>
      <c r="Q913" s="46">
        <f t="shared" si="89"/>
        <v>0</v>
      </c>
      <c r="R913" s="46">
        <f t="shared" si="90"/>
        <v>0</v>
      </c>
      <c r="S913" s="46" t="e">
        <f t="shared" si="91"/>
        <v>#VALUE!</v>
      </c>
      <c r="T913" s="677">
        <f t="shared" si="92"/>
        <v>0</v>
      </c>
      <c r="U913" s="80">
        <f>(IF(O913="Stofire",(S913*#REF!),0))+(IF(O913="Fire Control",(S913*$U$2),0))+(IF(O913="Fire Tex",(S913*$U$3),0))+(IF(O913="WB7",(S913*#REF!),0)+(IF(O913="FX 2003",(S913*$U$5),0)))</f>
        <v>0</v>
      </c>
      <c r="V913" s="651">
        <f t="shared" si="93"/>
        <v>0</v>
      </c>
    </row>
    <row r="914" spans="4:22" x14ac:dyDescent="0.25">
      <c r="D914" s="118">
        <f>+CUBICACION!D913</f>
        <v>0</v>
      </c>
      <c r="E914" s="118">
        <f>+CUBICACION!F913</f>
        <v>0</v>
      </c>
      <c r="F914" s="118">
        <f>+CUBICACION!E913</f>
        <v>0</v>
      </c>
      <c r="G914" s="118">
        <v>12</v>
      </c>
      <c r="H914" s="118">
        <v>2</v>
      </c>
      <c r="I914" s="820">
        <v>26385</v>
      </c>
      <c r="J914" s="118">
        <f>+CUBICACION!J913</f>
        <v>0</v>
      </c>
      <c r="K914" s="118">
        <v>3693</v>
      </c>
      <c r="L914" s="118">
        <f>+CUBICACION!L913</f>
        <v>0</v>
      </c>
      <c r="M914" s="64">
        <f>+CUBICACION!M913</f>
        <v>0</v>
      </c>
      <c r="N914" s="824" t="str">
        <f>+CUBICACION!N913</f>
        <v/>
      </c>
      <c r="O914" s="675">
        <f>+CUBICACION!O913</f>
        <v>0</v>
      </c>
      <c r="P914" s="15">
        <f>IF(O914="Fire Control",VLOOKUP(_xlfn.MINIFS('FIRE CONTROL'!$C$4:$C$37,'FIRE CONTROL'!$C$4:$C$37,"&gt;="&amp;M914),'FIRE CONTROL'!$C$4:$G$37,IF(L914="F-15",2,IF(L914="F-30",3,IF(L914="F-60",4,IF(L914="F-90",5,0)))),0),0)+IF(AND(O914="FIRE TEX 5062",OR(E914="IN",E914="C",E914="Z",E914="L"),J914=3),VLOOKUP(_xlfn.MINIFS('FIRE TEX 5062'!$B$4:$B$34,'FIRE TEX 5062'!$B$4:$B$34,"&gt;="&amp;M914),'FIRE TEX 5062'!$B$4:$F$34,IF(L914="F-15",2,IF(L914="F-30",3,IF(L914="F-60",4,IF(L914="F-90",5,0)))),0),0)+IF(AND(O914="FIRE TEX 5062",OR(E914="IN",E914="C",E914="Z",E914="L"),J914=4),VLOOKUP(_xlfn.MINIFS('FIRE TEX 5062'!$G$4:$G$34,'FIRE TEX 5062'!$G$4:$G$34,"&gt;="&amp;M914),'FIRE TEX 5062'!$G$4:$K$34,IF(L914="F-15",2,IF(L914="F-30",3,IF(L914="F-60",4,IF(L914="F-90",5,0)))),0),0)+IF(AND(O914="FIRE TEX 5062",E914="CJ",J914=3),VLOOKUP(_xlfn.MINIFS('FIRE TEX 5062'!$L$4:$L$34,'FIRE TEX 5062'!$L$4:$L$34,"&gt;="&amp;M914),'FIRE TEX 5062'!$L$4:$P$34,IF(L914="F-15",2,IF(L914="F-30",3,IF(L914="F-60",4,IF(L914="F-90",5,0)))),0),0)+IF(AND(O914="FIRE TEX 5062",E914="CJ",J914=4),VLOOKUP(_xlfn.MINIFS('FIRE TEX 5062'!$Q$3:$Q$34,'FIRE TEX 5062'!$Q$3:$Q$34,"&gt;="&amp;M914),'FIRE TEX 5062'!$Q$3:$U$34,IF(L914="F-15",2,IF(L914="F-30",3,IF(L914="F-60",4,IF(L914="F-90",5,0)))),0),0)+IF(AND(O914="FIRE TEX 5090",OR(E914="IN",E914="C",E914="Z",E914="L"),J914=3),VLOOKUP(_xlfn.MINIFS('FIRE TEX 5090'!$B$5:$B$43,'FIRE TEX 5090'!$B$5:$B$43,"&gt;="&amp;M914),'FIRE TEX 5090'!$B$5:$H$43,IF(L914="F-15",2,IF(L914="F-30",3,IF(L914="F-60",4,IF(L914="F-90",5,IF(L914="F-120",6,IF(L914="F-150",7,0)))))),0),0)+IF(AND(O914="FIRE TEX 5090",OR(E914="IN",E914="C",E914="Z",E914="L"),J914=4),VLOOKUP(_xlfn.MINIFS('FIRE TEX 5090'!$J$5:$J$43,'FIRE TEX 5090'!$J$5:$J$43,"&gt;="&amp;M914),'FIRE TEX 5090'!$J$5:$P$43,IF(L914="F-15",2,IF(L914="F-30",3,IF(L914="F-60",4,IF(L914="F-90",5,IF(L914="F-120",6,IF(L914="F-150",7,0)))))),0),0)+IF(AND(O914="FIRE TEX 5090",E914="CJ",J914=3),VLOOKUP(_xlfn.MINIFS('FIRE TEX 5090'!$R$5:$R$30,'FIRE TEX 5090'!$R$5:$R$30,"&gt;="&amp;M914),'FIRE TEX 5090'!$R$5:$W$30,IF(L914="F-15",2,IF(L914="F-30",3,IF(L914="F-60",4,IF(L914="F-90",5,IF(L914="F-120",6,IF(L914="F-150",7,0)))))),0),0)+IF(AND(O914="FIRE TEX 5090",E914="CJ",J914=4),VLOOKUP(_xlfn.MINIFS('FIRE TEX 5090'!$Y$5:$Y$39,'FIRE TEX 5090'!$Y$5:$Y$39,"&gt;="&amp;M914),'FIRE TEX 5090'!$Y$5:$AD$39,IF(L914="F-15",2,IF(L914="F-30",3,IF(L914="F-60",4,IF(L914="F-90",5,IF(L914="F-120",6,IF(L914="F-150",7,0)))))),0),0)+IF(AND(O914="FIRE TEX 5120",OR(E914="IN",E914="C",E914="Z",E914="L"),J914=3),VLOOKUP(_xlfn.MINIFS('FIRE TEX 5120'!$B$5:$B$40,'FIRE TEX 5120'!$B$5:$B$40,"&gt;="&amp;M914),'FIRE TEX 5120'!$B$5:$G$40,IF(L914="F-15",2,IF(L914="F-30",3,IF(L914="F-60",4,IF(L914="F-90",5,IF(L914="F-120",6,0))))),0),0)+IF(AND(O914="FIRE TEX 5120",OR(E914="IN",E914="C",E914="Z",E914="L"),J914=4),VLOOKUP(_xlfn.MINIFS('FIRE TEX 5120'!$H$4:$H$40,'FIRE TEX 5120'!$H$4:$H$40,"&gt;="&amp;M914),'FIRE TEX 5120'!$H$4:$M$40,IF(L914="F-15",2,IF(L914="F-30",3,IF(L914="F-60",4,IF(L914="F-90",5,IF(L914="F-120",6,0))))),0),0)+IF(AND(O914="FIRE TEX 5120",E914="CJ"),VLOOKUP(_xlfn.MINIFS('FIRE TEX 5120'!$O$5:$O$40,'FIRE TEX 5120'!$O$5:$O$40,"&gt;="&amp;M914),'FIRE TEX 5120'!$O$5:$T$40,IF(L914="F-15",2,IF(L914="F-30",3,IF(L914="F-60",4,IF(L914="F-90",5,IF(L914="F-120",6,0))))),0),0)</f>
        <v>0</v>
      </c>
      <c r="Q914" s="46">
        <f t="shared" si="89"/>
        <v>0</v>
      </c>
      <c r="R914" s="46">
        <f t="shared" si="90"/>
        <v>0</v>
      </c>
      <c r="S914" s="46" t="e">
        <f t="shared" si="91"/>
        <v>#VALUE!</v>
      </c>
      <c r="T914" s="677">
        <f t="shared" si="92"/>
        <v>0</v>
      </c>
      <c r="U914" s="80">
        <f>(IF(O914="Stofire",(S914*#REF!),0))+(IF(O914="Fire Control",(S914*$U$2),0))+(IF(O914="Fire Tex",(S914*$U$3),0))+(IF(O914="WB7",(S914*#REF!),0)+(IF(O914="FX 2003",(S914*$U$5),0)))</f>
        <v>0</v>
      </c>
      <c r="V914" s="651">
        <f t="shared" si="93"/>
        <v>0</v>
      </c>
    </row>
    <row r="915" spans="4:22" x14ac:dyDescent="0.25">
      <c r="D915" s="118">
        <f>+CUBICACION!D914</f>
        <v>0</v>
      </c>
      <c r="E915" s="118">
        <f>+CUBICACION!F914</f>
        <v>0</v>
      </c>
      <c r="F915" s="118">
        <f>+CUBICACION!E914</f>
        <v>0</v>
      </c>
      <c r="G915" s="118">
        <v>12</v>
      </c>
      <c r="H915" s="118">
        <v>2</v>
      </c>
      <c r="I915" s="820">
        <v>26385</v>
      </c>
      <c r="J915" s="118">
        <f>+CUBICACION!J914</f>
        <v>0</v>
      </c>
      <c r="K915" s="118">
        <v>3694</v>
      </c>
      <c r="L915" s="118">
        <f>+CUBICACION!L914</f>
        <v>0</v>
      </c>
      <c r="M915" s="64">
        <f>+CUBICACION!M914</f>
        <v>0</v>
      </c>
      <c r="N915" s="824" t="str">
        <f>+CUBICACION!N914</f>
        <v/>
      </c>
      <c r="O915" s="675">
        <f>+CUBICACION!O914</f>
        <v>0</v>
      </c>
      <c r="P915" s="15">
        <f>IF(O915="Fire Control",VLOOKUP(_xlfn.MINIFS('FIRE CONTROL'!$C$4:$C$37,'FIRE CONTROL'!$C$4:$C$37,"&gt;="&amp;M915),'FIRE CONTROL'!$C$4:$G$37,IF(L915="F-15",2,IF(L915="F-30",3,IF(L915="F-60",4,IF(L915="F-90",5,0)))),0),0)+IF(AND(O915="FIRE TEX 5062",OR(E915="IN",E915="C",E915="Z",E915="L"),J915=3),VLOOKUP(_xlfn.MINIFS('FIRE TEX 5062'!$B$4:$B$34,'FIRE TEX 5062'!$B$4:$B$34,"&gt;="&amp;M915),'FIRE TEX 5062'!$B$4:$F$34,IF(L915="F-15",2,IF(L915="F-30",3,IF(L915="F-60",4,IF(L915="F-90",5,0)))),0),0)+IF(AND(O915="FIRE TEX 5062",OR(E915="IN",E915="C",E915="Z",E915="L"),J915=4),VLOOKUP(_xlfn.MINIFS('FIRE TEX 5062'!$G$4:$G$34,'FIRE TEX 5062'!$G$4:$G$34,"&gt;="&amp;M915),'FIRE TEX 5062'!$G$4:$K$34,IF(L915="F-15",2,IF(L915="F-30",3,IF(L915="F-60",4,IF(L915="F-90",5,0)))),0),0)+IF(AND(O915="FIRE TEX 5062",E915="CJ",J915=3),VLOOKUP(_xlfn.MINIFS('FIRE TEX 5062'!$L$4:$L$34,'FIRE TEX 5062'!$L$4:$L$34,"&gt;="&amp;M915),'FIRE TEX 5062'!$L$4:$P$34,IF(L915="F-15",2,IF(L915="F-30",3,IF(L915="F-60",4,IF(L915="F-90",5,0)))),0),0)+IF(AND(O915="FIRE TEX 5062",E915="CJ",J915=4),VLOOKUP(_xlfn.MINIFS('FIRE TEX 5062'!$Q$3:$Q$34,'FIRE TEX 5062'!$Q$3:$Q$34,"&gt;="&amp;M915),'FIRE TEX 5062'!$Q$3:$U$34,IF(L915="F-15",2,IF(L915="F-30",3,IF(L915="F-60",4,IF(L915="F-90",5,0)))),0),0)+IF(AND(O915="FIRE TEX 5090",OR(E915="IN",E915="C",E915="Z",E915="L"),J915=3),VLOOKUP(_xlfn.MINIFS('FIRE TEX 5090'!$B$5:$B$43,'FIRE TEX 5090'!$B$5:$B$43,"&gt;="&amp;M915),'FIRE TEX 5090'!$B$5:$H$43,IF(L915="F-15",2,IF(L915="F-30",3,IF(L915="F-60",4,IF(L915="F-90",5,IF(L915="F-120",6,IF(L915="F-150",7,0)))))),0),0)+IF(AND(O915="FIRE TEX 5090",OR(E915="IN",E915="C",E915="Z",E915="L"),J915=4),VLOOKUP(_xlfn.MINIFS('FIRE TEX 5090'!$J$5:$J$43,'FIRE TEX 5090'!$J$5:$J$43,"&gt;="&amp;M915),'FIRE TEX 5090'!$J$5:$P$43,IF(L915="F-15",2,IF(L915="F-30",3,IF(L915="F-60",4,IF(L915="F-90",5,IF(L915="F-120",6,IF(L915="F-150",7,0)))))),0),0)+IF(AND(O915="FIRE TEX 5090",E915="CJ",J915=3),VLOOKUP(_xlfn.MINIFS('FIRE TEX 5090'!$R$5:$R$30,'FIRE TEX 5090'!$R$5:$R$30,"&gt;="&amp;M915),'FIRE TEX 5090'!$R$5:$W$30,IF(L915="F-15",2,IF(L915="F-30",3,IF(L915="F-60",4,IF(L915="F-90",5,IF(L915="F-120",6,IF(L915="F-150",7,0)))))),0),0)+IF(AND(O915="FIRE TEX 5090",E915="CJ",J915=4),VLOOKUP(_xlfn.MINIFS('FIRE TEX 5090'!$Y$5:$Y$39,'FIRE TEX 5090'!$Y$5:$Y$39,"&gt;="&amp;M915),'FIRE TEX 5090'!$Y$5:$AD$39,IF(L915="F-15",2,IF(L915="F-30",3,IF(L915="F-60",4,IF(L915="F-90",5,IF(L915="F-120",6,IF(L915="F-150",7,0)))))),0),0)+IF(AND(O915="FIRE TEX 5120",OR(E915="IN",E915="C",E915="Z",E915="L"),J915=3),VLOOKUP(_xlfn.MINIFS('FIRE TEX 5120'!$B$5:$B$40,'FIRE TEX 5120'!$B$5:$B$40,"&gt;="&amp;M915),'FIRE TEX 5120'!$B$5:$G$40,IF(L915="F-15",2,IF(L915="F-30",3,IF(L915="F-60",4,IF(L915="F-90",5,IF(L915="F-120",6,0))))),0),0)+IF(AND(O915="FIRE TEX 5120",OR(E915="IN",E915="C",E915="Z",E915="L"),J915=4),VLOOKUP(_xlfn.MINIFS('FIRE TEX 5120'!$H$4:$H$40,'FIRE TEX 5120'!$H$4:$H$40,"&gt;="&amp;M915),'FIRE TEX 5120'!$H$4:$M$40,IF(L915="F-15",2,IF(L915="F-30",3,IF(L915="F-60",4,IF(L915="F-90",5,IF(L915="F-120",6,0))))),0),0)+IF(AND(O915="FIRE TEX 5120",E915="CJ"),VLOOKUP(_xlfn.MINIFS('FIRE TEX 5120'!$O$5:$O$40,'FIRE TEX 5120'!$O$5:$O$40,"&gt;="&amp;M915),'FIRE TEX 5120'!$O$5:$T$40,IF(L915="F-15",2,IF(L915="F-30",3,IF(L915="F-60",4,IF(L915="F-90",5,IF(L915="F-120",6,0))))),0),0)</f>
        <v>0</v>
      </c>
      <c r="Q915" s="46">
        <f t="shared" si="89"/>
        <v>0</v>
      </c>
      <c r="R915" s="46">
        <f t="shared" si="90"/>
        <v>0</v>
      </c>
      <c r="S915" s="46" t="e">
        <f t="shared" si="91"/>
        <v>#VALUE!</v>
      </c>
      <c r="T915" s="677">
        <f t="shared" si="92"/>
        <v>0</v>
      </c>
      <c r="U915" s="80">
        <f>(IF(O915="Stofire",(S915*#REF!),0))+(IF(O915="Fire Control",(S915*$U$2),0))+(IF(O915="Fire Tex",(S915*$U$3),0))+(IF(O915="WB7",(S915*#REF!),0)+(IF(O915="FX 2003",(S915*$U$5),0)))</f>
        <v>0</v>
      </c>
      <c r="V915" s="651">
        <f t="shared" si="93"/>
        <v>0</v>
      </c>
    </row>
    <row r="916" spans="4:22" x14ac:dyDescent="0.25">
      <c r="D916" s="118">
        <f>+CUBICACION!D915</f>
        <v>0</v>
      </c>
      <c r="E916" s="118">
        <f>+CUBICACION!F915</f>
        <v>0</v>
      </c>
      <c r="F916" s="118">
        <f>+CUBICACION!E915</f>
        <v>0</v>
      </c>
      <c r="G916" s="118">
        <v>12</v>
      </c>
      <c r="H916" s="118">
        <v>2</v>
      </c>
      <c r="I916" s="820">
        <v>26385</v>
      </c>
      <c r="J916" s="118">
        <f>+CUBICACION!J915</f>
        <v>0</v>
      </c>
      <c r="K916" s="118">
        <v>3695</v>
      </c>
      <c r="L916" s="118">
        <f>+CUBICACION!L915</f>
        <v>0</v>
      </c>
      <c r="M916" s="64">
        <f>+CUBICACION!M915</f>
        <v>0</v>
      </c>
      <c r="N916" s="824" t="str">
        <f>+CUBICACION!N915</f>
        <v/>
      </c>
      <c r="O916" s="675">
        <f>+CUBICACION!O915</f>
        <v>0</v>
      </c>
      <c r="P916" s="15">
        <f>IF(O916="Fire Control",VLOOKUP(_xlfn.MINIFS('FIRE CONTROL'!$C$4:$C$37,'FIRE CONTROL'!$C$4:$C$37,"&gt;="&amp;M916),'FIRE CONTROL'!$C$4:$G$37,IF(L916="F-15",2,IF(L916="F-30",3,IF(L916="F-60",4,IF(L916="F-90",5,0)))),0),0)+IF(AND(O916="FIRE TEX 5062",OR(E916="IN",E916="C",E916="Z",E916="L"),J916=3),VLOOKUP(_xlfn.MINIFS('FIRE TEX 5062'!$B$4:$B$34,'FIRE TEX 5062'!$B$4:$B$34,"&gt;="&amp;M916),'FIRE TEX 5062'!$B$4:$F$34,IF(L916="F-15",2,IF(L916="F-30",3,IF(L916="F-60",4,IF(L916="F-90",5,0)))),0),0)+IF(AND(O916="FIRE TEX 5062",OR(E916="IN",E916="C",E916="Z",E916="L"),J916=4),VLOOKUP(_xlfn.MINIFS('FIRE TEX 5062'!$G$4:$G$34,'FIRE TEX 5062'!$G$4:$G$34,"&gt;="&amp;M916),'FIRE TEX 5062'!$G$4:$K$34,IF(L916="F-15",2,IF(L916="F-30",3,IF(L916="F-60",4,IF(L916="F-90",5,0)))),0),0)+IF(AND(O916="FIRE TEX 5062",E916="CJ",J916=3),VLOOKUP(_xlfn.MINIFS('FIRE TEX 5062'!$L$4:$L$34,'FIRE TEX 5062'!$L$4:$L$34,"&gt;="&amp;M916),'FIRE TEX 5062'!$L$4:$P$34,IF(L916="F-15",2,IF(L916="F-30",3,IF(L916="F-60",4,IF(L916="F-90",5,0)))),0),0)+IF(AND(O916="FIRE TEX 5062",E916="CJ",J916=4),VLOOKUP(_xlfn.MINIFS('FIRE TEX 5062'!$Q$3:$Q$34,'FIRE TEX 5062'!$Q$3:$Q$34,"&gt;="&amp;M916),'FIRE TEX 5062'!$Q$3:$U$34,IF(L916="F-15",2,IF(L916="F-30",3,IF(L916="F-60",4,IF(L916="F-90",5,0)))),0),0)+IF(AND(O916="FIRE TEX 5090",OR(E916="IN",E916="C",E916="Z",E916="L"),J916=3),VLOOKUP(_xlfn.MINIFS('FIRE TEX 5090'!$B$5:$B$43,'FIRE TEX 5090'!$B$5:$B$43,"&gt;="&amp;M916),'FIRE TEX 5090'!$B$5:$H$43,IF(L916="F-15",2,IF(L916="F-30",3,IF(L916="F-60",4,IF(L916="F-90",5,IF(L916="F-120",6,IF(L916="F-150",7,0)))))),0),0)+IF(AND(O916="FIRE TEX 5090",OR(E916="IN",E916="C",E916="Z",E916="L"),J916=4),VLOOKUP(_xlfn.MINIFS('FIRE TEX 5090'!$J$5:$J$43,'FIRE TEX 5090'!$J$5:$J$43,"&gt;="&amp;M916),'FIRE TEX 5090'!$J$5:$P$43,IF(L916="F-15",2,IF(L916="F-30",3,IF(L916="F-60",4,IF(L916="F-90",5,IF(L916="F-120",6,IF(L916="F-150",7,0)))))),0),0)+IF(AND(O916="FIRE TEX 5090",E916="CJ",J916=3),VLOOKUP(_xlfn.MINIFS('FIRE TEX 5090'!$R$5:$R$30,'FIRE TEX 5090'!$R$5:$R$30,"&gt;="&amp;M916),'FIRE TEX 5090'!$R$5:$W$30,IF(L916="F-15",2,IF(L916="F-30",3,IF(L916="F-60",4,IF(L916="F-90",5,IF(L916="F-120",6,IF(L916="F-150",7,0)))))),0),0)+IF(AND(O916="FIRE TEX 5090",E916="CJ",J916=4),VLOOKUP(_xlfn.MINIFS('FIRE TEX 5090'!$Y$5:$Y$39,'FIRE TEX 5090'!$Y$5:$Y$39,"&gt;="&amp;M916),'FIRE TEX 5090'!$Y$5:$AD$39,IF(L916="F-15",2,IF(L916="F-30",3,IF(L916="F-60",4,IF(L916="F-90",5,IF(L916="F-120",6,IF(L916="F-150",7,0)))))),0),0)+IF(AND(O916="FIRE TEX 5120",OR(E916="IN",E916="C",E916="Z",E916="L"),J916=3),VLOOKUP(_xlfn.MINIFS('FIRE TEX 5120'!$B$5:$B$40,'FIRE TEX 5120'!$B$5:$B$40,"&gt;="&amp;M916),'FIRE TEX 5120'!$B$5:$G$40,IF(L916="F-15",2,IF(L916="F-30",3,IF(L916="F-60",4,IF(L916="F-90",5,IF(L916="F-120",6,0))))),0),0)+IF(AND(O916="FIRE TEX 5120",OR(E916="IN",E916="C",E916="Z",E916="L"),J916=4),VLOOKUP(_xlfn.MINIFS('FIRE TEX 5120'!$H$4:$H$40,'FIRE TEX 5120'!$H$4:$H$40,"&gt;="&amp;M916),'FIRE TEX 5120'!$H$4:$M$40,IF(L916="F-15",2,IF(L916="F-30",3,IF(L916="F-60",4,IF(L916="F-90",5,IF(L916="F-120",6,0))))),0),0)+IF(AND(O916="FIRE TEX 5120",E916="CJ"),VLOOKUP(_xlfn.MINIFS('FIRE TEX 5120'!$O$5:$O$40,'FIRE TEX 5120'!$O$5:$O$40,"&gt;="&amp;M916),'FIRE TEX 5120'!$O$5:$T$40,IF(L916="F-15",2,IF(L916="F-30",3,IF(L916="F-60",4,IF(L916="F-90",5,IF(L916="F-120",6,0))))),0),0)</f>
        <v>0</v>
      </c>
      <c r="Q916" s="46">
        <f t="shared" si="89"/>
        <v>0</v>
      </c>
      <c r="R916" s="46">
        <f t="shared" si="90"/>
        <v>0</v>
      </c>
      <c r="S916" s="46" t="e">
        <f t="shared" si="91"/>
        <v>#VALUE!</v>
      </c>
      <c r="T916" s="677">
        <f t="shared" si="92"/>
        <v>0</v>
      </c>
      <c r="U916" s="80">
        <f>(IF(O916="Stofire",(S916*#REF!),0))+(IF(O916="Fire Control",(S916*$U$2),0))+(IF(O916="Fire Tex",(S916*$U$3),0))+(IF(O916="WB7",(S916*#REF!),0)+(IF(O916="FX 2003",(S916*$U$5),0)))</f>
        <v>0</v>
      </c>
      <c r="V916" s="651">
        <f t="shared" si="93"/>
        <v>0</v>
      </c>
    </row>
    <row r="917" spans="4:22" x14ac:dyDescent="0.25">
      <c r="D917" s="118">
        <f>+CUBICACION!D916</f>
        <v>0</v>
      </c>
      <c r="E917" s="118">
        <f>+CUBICACION!F916</f>
        <v>0</v>
      </c>
      <c r="F917" s="118">
        <f>+CUBICACION!E916</f>
        <v>0</v>
      </c>
      <c r="G917" s="118">
        <v>12</v>
      </c>
      <c r="H917" s="118">
        <v>2</v>
      </c>
      <c r="I917" s="820">
        <v>26385</v>
      </c>
      <c r="J917" s="118">
        <f>+CUBICACION!J916</f>
        <v>0</v>
      </c>
      <c r="K917" s="118">
        <v>3696</v>
      </c>
      <c r="L917" s="118">
        <f>+CUBICACION!L916</f>
        <v>0</v>
      </c>
      <c r="M917" s="64">
        <f>+CUBICACION!M916</f>
        <v>0</v>
      </c>
      <c r="N917" s="824" t="str">
        <f>+CUBICACION!N916</f>
        <v/>
      </c>
      <c r="O917" s="675">
        <f>+CUBICACION!O916</f>
        <v>0</v>
      </c>
      <c r="P917" s="15">
        <f>IF(O917="Fire Control",VLOOKUP(_xlfn.MINIFS('FIRE CONTROL'!$C$4:$C$37,'FIRE CONTROL'!$C$4:$C$37,"&gt;="&amp;M917),'FIRE CONTROL'!$C$4:$G$37,IF(L917="F-15",2,IF(L917="F-30",3,IF(L917="F-60",4,IF(L917="F-90",5,0)))),0),0)+IF(AND(O917="FIRE TEX 5062",OR(E917="IN",E917="C",E917="Z",E917="L"),J917=3),VLOOKUP(_xlfn.MINIFS('FIRE TEX 5062'!$B$4:$B$34,'FIRE TEX 5062'!$B$4:$B$34,"&gt;="&amp;M917),'FIRE TEX 5062'!$B$4:$F$34,IF(L917="F-15",2,IF(L917="F-30",3,IF(L917="F-60",4,IF(L917="F-90",5,0)))),0),0)+IF(AND(O917="FIRE TEX 5062",OR(E917="IN",E917="C",E917="Z",E917="L"),J917=4),VLOOKUP(_xlfn.MINIFS('FIRE TEX 5062'!$G$4:$G$34,'FIRE TEX 5062'!$G$4:$G$34,"&gt;="&amp;M917),'FIRE TEX 5062'!$G$4:$K$34,IF(L917="F-15",2,IF(L917="F-30",3,IF(L917="F-60",4,IF(L917="F-90",5,0)))),0),0)+IF(AND(O917="FIRE TEX 5062",E917="CJ",J917=3),VLOOKUP(_xlfn.MINIFS('FIRE TEX 5062'!$L$4:$L$34,'FIRE TEX 5062'!$L$4:$L$34,"&gt;="&amp;M917),'FIRE TEX 5062'!$L$4:$P$34,IF(L917="F-15",2,IF(L917="F-30",3,IF(L917="F-60",4,IF(L917="F-90",5,0)))),0),0)+IF(AND(O917="FIRE TEX 5062",E917="CJ",J917=4),VLOOKUP(_xlfn.MINIFS('FIRE TEX 5062'!$Q$3:$Q$34,'FIRE TEX 5062'!$Q$3:$Q$34,"&gt;="&amp;M917),'FIRE TEX 5062'!$Q$3:$U$34,IF(L917="F-15",2,IF(L917="F-30",3,IF(L917="F-60",4,IF(L917="F-90",5,0)))),0),0)+IF(AND(O917="FIRE TEX 5090",OR(E917="IN",E917="C",E917="Z",E917="L"),J917=3),VLOOKUP(_xlfn.MINIFS('FIRE TEX 5090'!$B$5:$B$43,'FIRE TEX 5090'!$B$5:$B$43,"&gt;="&amp;M917),'FIRE TEX 5090'!$B$5:$H$43,IF(L917="F-15",2,IF(L917="F-30",3,IF(L917="F-60",4,IF(L917="F-90",5,IF(L917="F-120",6,IF(L917="F-150",7,0)))))),0),0)+IF(AND(O917="FIRE TEX 5090",OR(E917="IN",E917="C",E917="Z",E917="L"),J917=4),VLOOKUP(_xlfn.MINIFS('FIRE TEX 5090'!$J$5:$J$43,'FIRE TEX 5090'!$J$5:$J$43,"&gt;="&amp;M917),'FIRE TEX 5090'!$J$5:$P$43,IF(L917="F-15",2,IF(L917="F-30",3,IF(L917="F-60",4,IF(L917="F-90",5,IF(L917="F-120",6,IF(L917="F-150",7,0)))))),0),0)+IF(AND(O917="FIRE TEX 5090",E917="CJ",J917=3),VLOOKUP(_xlfn.MINIFS('FIRE TEX 5090'!$R$5:$R$30,'FIRE TEX 5090'!$R$5:$R$30,"&gt;="&amp;M917),'FIRE TEX 5090'!$R$5:$W$30,IF(L917="F-15",2,IF(L917="F-30",3,IF(L917="F-60",4,IF(L917="F-90",5,IF(L917="F-120",6,IF(L917="F-150",7,0)))))),0),0)+IF(AND(O917="FIRE TEX 5090",E917="CJ",J917=4),VLOOKUP(_xlfn.MINIFS('FIRE TEX 5090'!$Y$5:$Y$39,'FIRE TEX 5090'!$Y$5:$Y$39,"&gt;="&amp;M917),'FIRE TEX 5090'!$Y$5:$AD$39,IF(L917="F-15",2,IF(L917="F-30",3,IF(L917="F-60",4,IF(L917="F-90",5,IF(L917="F-120",6,IF(L917="F-150",7,0)))))),0),0)+IF(AND(O917="FIRE TEX 5120",OR(E917="IN",E917="C",E917="Z",E917="L"),J917=3),VLOOKUP(_xlfn.MINIFS('FIRE TEX 5120'!$B$5:$B$40,'FIRE TEX 5120'!$B$5:$B$40,"&gt;="&amp;M917),'FIRE TEX 5120'!$B$5:$G$40,IF(L917="F-15",2,IF(L917="F-30",3,IF(L917="F-60",4,IF(L917="F-90",5,IF(L917="F-120",6,0))))),0),0)+IF(AND(O917="FIRE TEX 5120",OR(E917="IN",E917="C",E917="Z",E917="L"),J917=4),VLOOKUP(_xlfn.MINIFS('FIRE TEX 5120'!$H$4:$H$40,'FIRE TEX 5120'!$H$4:$H$40,"&gt;="&amp;M917),'FIRE TEX 5120'!$H$4:$M$40,IF(L917="F-15",2,IF(L917="F-30",3,IF(L917="F-60",4,IF(L917="F-90",5,IF(L917="F-120",6,0))))),0),0)+IF(AND(O917="FIRE TEX 5120",E917="CJ"),VLOOKUP(_xlfn.MINIFS('FIRE TEX 5120'!$O$5:$O$40,'FIRE TEX 5120'!$O$5:$O$40,"&gt;="&amp;M917),'FIRE TEX 5120'!$O$5:$T$40,IF(L917="F-15",2,IF(L917="F-30",3,IF(L917="F-60",4,IF(L917="F-90",5,IF(L917="F-120",6,0))))),0),0)</f>
        <v>0</v>
      </c>
      <c r="Q917" s="46">
        <f t="shared" si="89"/>
        <v>0</v>
      </c>
      <c r="R917" s="46">
        <f t="shared" si="90"/>
        <v>0</v>
      </c>
      <c r="S917" s="46" t="e">
        <f t="shared" si="91"/>
        <v>#VALUE!</v>
      </c>
      <c r="T917" s="677">
        <f t="shared" si="92"/>
        <v>0</v>
      </c>
      <c r="U917" s="80">
        <f>(IF(O917="Stofire",(S917*#REF!),0))+(IF(O917="Fire Control",(S917*$U$2),0))+(IF(O917="Fire Tex",(S917*$U$3),0))+(IF(O917="WB7",(S917*#REF!),0)+(IF(O917="FX 2003",(S917*$U$5),0)))</f>
        <v>0</v>
      </c>
      <c r="V917" s="651">
        <f t="shared" si="93"/>
        <v>0</v>
      </c>
    </row>
    <row r="918" spans="4:22" x14ac:dyDescent="0.25">
      <c r="D918" s="118">
        <f>+CUBICACION!D917</f>
        <v>0</v>
      </c>
      <c r="E918" s="118">
        <f>+CUBICACION!F917</f>
        <v>0</v>
      </c>
      <c r="F918" s="118">
        <f>+CUBICACION!E917</f>
        <v>0</v>
      </c>
      <c r="G918" s="118">
        <v>12</v>
      </c>
      <c r="H918" s="118">
        <v>2</v>
      </c>
      <c r="I918" s="820">
        <v>26385</v>
      </c>
      <c r="J918" s="118">
        <f>+CUBICACION!J917</f>
        <v>0</v>
      </c>
      <c r="K918" s="118">
        <v>3697</v>
      </c>
      <c r="L918" s="118">
        <f>+CUBICACION!L917</f>
        <v>0</v>
      </c>
      <c r="M918" s="64">
        <f>+CUBICACION!M917</f>
        <v>0</v>
      </c>
      <c r="N918" s="824" t="str">
        <f>+CUBICACION!N917</f>
        <v/>
      </c>
      <c r="O918" s="675">
        <f>+CUBICACION!O917</f>
        <v>0</v>
      </c>
      <c r="P918" s="15">
        <f>IF(O918="Fire Control",VLOOKUP(_xlfn.MINIFS('FIRE CONTROL'!$C$4:$C$37,'FIRE CONTROL'!$C$4:$C$37,"&gt;="&amp;M918),'FIRE CONTROL'!$C$4:$G$37,IF(L918="F-15",2,IF(L918="F-30",3,IF(L918="F-60",4,IF(L918="F-90",5,0)))),0),0)+IF(AND(O918="FIRE TEX 5062",OR(E918="IN",E918="C",E918="Z",E918="L"),J918=3),VLOOKUP(_xlfn.MINIFS('FIRE TEX 5062'!$B$4:$B$34,'FIRE TEX 5062'!$B$4:$B$34,"&gt;="&amp;M918),'FIRE TEX 5062'!$B$4:$F$34,IF(L918="F-15",2,IF(L918="F-30",3,IF(L918="F-60",4,IF(L918="F-90",5,0)))),0),0)+IF(AND(O918="FIRE TEX 5062",OR(E918="IN",E918="C",E918="Z",E918="L"),J918=4),VLOOKUP(_xlfn.MINIFS('FIRE TEX 5062'!$G$4:$G$34,'FIRE TEX 5062'!$G$4:$G$34,"&gt;="&amp;M918),'FIRE TEX 5062'!$G$4:$K$34,IF(L918="F-15",2,IF(L918="F-30",3,IF(L918="F-60",4,IF(L918="F-90",5,0)))),0),0)+IF(AND(O918="FIRE TEX 5062",E918="CJ",J918=3),VLOOKUP(_xlfn.MINIFS('FIRE TEX 5062'!$L$4:$L$34,'FIRE TEX 5062'!$L$4:$L$34,"&gt;="&amp;M918),'FIRE TEX 5062'!$L$4:$P$34,IF(L918="F-15",2,IF(L918="F-30",3,IF(L918="F-60",4,IF(L918="F-90",5,0)))),0),0)+IF(AND(O918="FIRE TEX 5062",E918="CJ",J918=4),VLOOKUP(_xlfn.MINIFS('FIRE TEX 5062'!$Q$3:$Q$34,'FIRE TEX 5062'!$Q$3:$Q$34,"&gt;="&amp;M918),'FIRE TEX 5062'!$Q$3:$U$34,IF(L918="F-15",2,IF(L918="F-30",3,IF(L918="F-60",4,IF(L918="F-90",5,0)))),0),0)+IF(AND(O918="FIRE TEX 5090",OR(E918="IN",E918="C",E918="Z",E918="L"),J918=3),VLOOKUP(_xlfn.MINIFS('FIRE TEX 5090'!$B$5:$B$43,'FIRE TEX 5090'!$B$5:$B$43,"&gt;="&amp;M918),'FIRE TEX 5090'!$B$5:$H$43,IF(L918="F-15",2,IF(L918="F-30",3,IF(L918="F-60",4,IF(L918="F-90",5,IF(L918="F-120",6,IF(L918="F-150",7,0)))))),0),0)+IF(AND(O918="FIRE TEX 5090",OR(E918="IN",E918="C",E918="Z",E918="L"),J918=4),VLOOKUP(_xlfn.MINIFS('FIRE TEX 5090'!$J$5:$J$43,'FIRE TEX 5090'!$J$5:$J$43,"&gt;="&amp;M918),'FIRE TEX 5090'!$J$5:$P$43,IF(L918="F-15",2,IF(L918="F-30",3,IF(L918="F-60",4,IF(L918="F-90",5,IF(L918="F-120",6,IF(L918="F-150",7,0)))))),0),0)+IF(AND(O918="FIRE TEX 5090",E918="CJ",J918=3),VLOOKUP(_xlfn.MINIFS('FIRE TEX 5090'!$R$5:$R$30,'FIRE TEX 5090'!$R$5:$R$30,"&gt;="&amp;M918),'FIRE TEX 5090'!$R$5:$W$30,IF(L918="F-15",2,IF(L918="F-30",3,IF(L918="F-60",4,IF(L918="F-90",5,IF(L918="F-120",6,IF(L918="F-150",7,0)))))),0),0)+IF(AND(O918="FIRE TEX 5090",E918="CJ",J918=4),VLOOKUP(_xlfn.MINIFS('FIRE TEX 5090'!$Y$5:$Y$39,'FIRE TEX 5090'!$Y$5:$Y$39,"&gt;="&amp;M918),'FIRE TEX 5090'!$Y$5:$AD$39,IF(L918="F-15",2,IF(L918="F-30",3,IF(L918="F-60",4,IF(L918="F-90",5,IF(L918="F-120",6,IF(L918="F-150",7,0)))))),0),0)+IF(AND(O918="FIRE TEX 5120",OR(E918="IN",E918="C",E918="Z",E918="L"),J918=3),VLOOKUP(_xlfn.MINIFS('FIRE TEX 5120'!$B$5:$B$40,'FIRE TEX 5120'!$B$5:$B$40,"&gt;="&amp;M918),'FIRE TEX 5120'!$B$5:$G$40,IF(L918="F-15",2,IF(L918="F-30",3,IF(L918="F-60",4,IF(L918="F-90",5,IF(L918="F-120",6,0))))),0),0)+IF(AND(O918="FIRE TEX 5120",OR(E918="IN",E918="C",E918="Z",E918="L"),J918=4),VLOOKUP(_xlfn.MINIFS('FIRE TEX 5120'!$H$4:$H$40,'FIRE TEX 5120'!$H$4:$H$40,"&gt;="&amp;M918),'FIRE TEX 5120'!$H$4:$M$40,IF(L918="F-15",2,IF(L918="F-30",3,IF(L918="F-60",4,IF(L918="F-90",5,IF(L918="F-120",6,0))))),0),0)+IF(AND(O918="FIRE TEX 5120",E918="CJ"),VLOOKUP(_xlfn.MINIFS('FIRE TEX 5120'!$O$5:$O$40,'FIRE TEX 5120'!$O$5:$O$40,"&gt;="&amp;M918),'FIRE TEX 5120'!$O$5:$T$40,IF(L918="F-15",2,IF(L918="F-30",3,IF(L918="F-60",4,IF(L918="F-90",5,IF(L918="F-120",6,0))))),0),0)</f>
        <v>0</v>
      </c>
      <c r="Q918" s="46">
        <f t="shared" si="89"/>
        <v>0</v>
      </c>
      <c r="R918" s="46">
        <f t="shared" si="90"/>
        <v>0</v>
      </c>
      <c r="S918" s="46" t="e">
        <f t="shared" si="91"/>
        <v>#VALUE!</v>
      </c>
      <c r="T918" s="677">
        <f t="shared" si="92"/>
        <v>0</v>
      </c>
      <c r="U918" s="80">
        <f>(IF(O918="Stofire",(S918*#REF!),0))+(IF(O918="Fire Control",(S918*$U$2),0))+(IF(O918="Fire Tex",(S918*$U$3),0))+(IF(O918="WB7",(S918*#REF!),0)+(IF(O918="FX 2003",(S918*$U$5),0)))</f>
        <v>0</v>
      </c>
      <c r="V918" s="651">
        <f t="shared" si="93"/>
        <v>0</v>
      </c>
    </row>
    <row r="919" spans="4:22" x14ac:dyDescent="0.25">
      <c r="D919" s="118">
        <f>+CUBICACION!D918</f>
        <v>0</v>
      </c>
      <c r="E919" s="118">
        <f>+CUBICACION!F918</f>
        <v>0</v>
      </c>
      <c r="F919" s="118">
        <f>+CUBICACION!E918</f>
        <v>0</v>
      </c>
      <c r="G919" s="118">
        <v>12</v>
      </c>
      <c r="H919" s="118">
        <v>2</v>
      </c>
      <c r="I919" s="820">
        <v>26385</v>
      </c>
      <c r="J919" s="118">
        <f>+CUBICACION!J918</f>
        <v>0</v>
      </c>
      <c r="K919" s="118">
        <v>3698</v>
      </c>
      <c r="L919" s="118">
        <f>+CUBICACION!L918</f>
        <v>0</v>
      </c>
      <c r="M919" s="64">
        <f>+CUBICACION!M918</f>
        <v>0</v>
      </c>
      <c r="N919" s="824" t="str">
        <f>+CUBICACION!N918</f>
        <v/>
      </c>
      <c r="O919" s="675">
        <f>+CUBICACION!O918</f>
        <v>0</v>
      </c>
      <c r="P919" s="15">
        <f>IF(O919="Fire Control",VLOOKUP(_xlfn.MINIFS('FIRE CONTROL'!$C$4:$C$37,'FIRE CONTROL'!$C$4:$C$37,"&gt;="&amp;M919),'FIRE CONTROL'!$C$4:$G$37,IF(L919="F-15",2,IF(L919="F-30",3,IF(L919="F-60",4,IF(L919="F-90",5,0)))),0),0)+IF(AND(O919="FIRE TEX 5062",OR(E919="IN",E919="C",E919="Z",E919="L"),J919=3),VLOOKUP(_xlfn.MINIFS('FIRE TEX 5062'!$B$4:$B$34,'FIRE TEX 5062'!$B$4:$B$34,"&gt;="&amp;M919),'FIRE TEX 5062'!$B$4:$F$34,IF(L919="F-15",2,IF(L919="F-30",3,IF(L919="F-60",4,IF(L919="F-90",5,0)))),0),0)+IF(AND(O919="FIRE TEX 5062",OR(E919="IN",E919="C",E919="Z",E919="L"),J919=4),VLOOKUP(_xlfn.MINIFS('FIRE TEX 5062'!$G$4:$G$34,'FIRE TEX 5062'!$G$4:$G$34,"&gt;="&amp;M919),'FIRE TEX 5062'!$G$4:$K$34,IF(L919="F-15",2,IF(L919="F-30",3,IF(L919="F-60",4,IF(L919="F-90",5,0)))),0),0)+IF(AND(O919="FIRE TEX 5062",E919="CJ",J919=3),VLOOKUP(_xlfn.MINIFS('FIRE TEX 5062'!$L$4:$L$34,'FIRE TEX 5062'!$L$4:$L$34,"&gt;="&amp;M919),'FIRE TEX 5062'!$L$4:$P$34,IF(L919="F-15",2,IF(L919="F-30",3,IF(L919="F-60",4,IF(L919="F-90",5,0)))),0),0)+IF(AND(O919="FIRE TEX 5062",E919="CJ",J919=4),VLOOKUP(_xlfn.MINIFS('FIRE TEX 5062'!$Q$3:$Q$34,'FIRE TEX 5062'!$Q$3:$Q$34,"&gt;="&amp;M919),'FIRE TEX 5062'!$Q$3:$U$34,IF(L919="F-15",2,IF(L919="F-30",3,IF(L919="F-60",4,IF(L919="F-90",5,0)))),0),0)+IF(AND(O919="FIRE TEX 5090",OR(E919="IN",E919="C",E919="Z",E919="L"),J919=3),VLOOKUP(_xlfn.MINIFS('FIRE TEX 5090'!$B$5:$B$43,'FIRE TEX 5090'!$B$5:$B$43,"&gt;="&amp;M919),'FIRE TEX 5090'!$B$5:$H$43,IF(L919="F-15",2,IF(L919="F-30",3,IF(L919="F-60",4,IF(L919="F-90",5,IF(L919="F-120",6,IF(L919="F-150",7,0)))))),0),0)+IF(AND(O919="FIRE TEX 5090",OR(E919="IN",E919="C",E919="Z",E919="L"),J919=4),VLOOKUP(_xlfn.MINIFS('FIRE TEX 5090'!$J$5:$J$43,'FIRE TEX 5090'!$J$5:$J$43,"&gt;="&amp;M919),'FIRE TEX 5090'!$J$5:$P$43,IF(L919="F-15",2,IF(L919="F-30",3,IF(L919="F-60",4,IF(L919="F-90",5,IF(L919="F-120",6,IF(L919="F-150",7,0)))))),0),0)+IF(AND(O919="FIRE TEX 5090",E919="CJ",J919=3),VLOOKUP(_xlfn.MINIFS('FIRE TEX 5090'!$R$5:$R$30,'FIRE TEX 5090'!$R$5:$R$30,"&gt;="&amp;M919),'FIRE TEX 5090'!$R$5:$W$30,IF(L919="F-15",2,IF(L919="F-30",3,IF(L919="F-60",4,IF(L919="F-90",5,IF(L919="F-120",6,IF(L919="F-150",7,0)))))),0),0)+IF(AND(O919="FIRE TEX 5090",E919="CJ",J919=4),VLOOKUP(_xlfn.MINIFS('FIRE TEX 5090'!$Y$5:$Y$39,'FIRE TEX 5090'!$Y$5:$Y$39,"&gt;="&amp;M919),'FIRE TEX 5090'!$Y$5:$AD$39,IF(L919="F-15",2,IF(L919="F-30",3,IF(L919="F-60",4,IF(L919="F-90",5,IF(L919="F-120",6,IF(L919="F-150",7,0)))))),0),0)+IF(AND(O919="FIRE TEX 5120",OR(E919="IN",E919="C",E919="Z",E919="L"),J919=3),VLOOKUP(_xlfn.MINIFS('FIRE TEX 5120'!$B$5:$B$40,'FIRE TEX 5120'!$B$5:$B$40,"&gt;="&amp;M919),'FIRE TEX 5120'!$B$5:$G$40,IF(L919="F-15",2,IF(L919="F-30",3,IF(L919="F-60",4,IF(L919="F-90",5,IF(L919="F-120",6,0))))),0),0)+IF(AND(O919="FIRE TEX 5120",OR(E919="IN",E919="C",E919="Z",E919="L"),J919=4),VLOOKUP(_xlfn.MINIFS('FIRE TEX 5120'!$H$4:$H$40,'FIRE TEX 5120'!$H$4:$H$40,"&gt;="&amp;M919),'FIRE TEX 5120'!$H$4:$M$40,IF(L919="F-15",2,IF(L919="F-30",3,IF(L919="F-60",4,IF(L919="F-90",5,IF(L919="F-120",6,0))))),0),0)+IF(AND(O919="FIRE TEX 5120",E919="CJ"),VLOOKUP(_xlfn.MINIFS('FIRE TEX 5120'!$O$5:$O$40,'FIRE TEX 5120'!$O$5:$O$40,"&gt;="&amp;M919),'FIRE TEX 5120'!$O$5:$T$40,IF(L919="F-15",2,IF(L919="F-30",3,IF(L919="F-60",4,IF(L919="F-90",5,IF(L919="F-120",6,0))))),0),0)</f>
        <v>0</v>
      </c>
      <c r="Q919" s="46">
        <f t="shared" si="89"/>
        <v>0</v>
      </c>
      <c r="R919" s="46">
        <f t="shared" si="90"/>
        <v>0</v>
      </c>
      <c r="S919" s="46" t="e">
        <f t="shared" si="91"/>
        <v>#VALUE!</v>
      </c>
      <c r="T919" s="677">
        <f t="shared" si="92"/>
        <v>0</v>
      </c>
      <c r="U919" s="80">
        <f>(IF(O919="Stofire",(S919*#REF!),0))+(IF(O919="Fire Control",(S919*$U$2),0))+(IF(O919="Fire Tex",(S919*$U$3),0))+(IF(O919="WB7",(S919*#REF!),0)+(IF(O919="FX 2003",(S919*$U$5),0)))</f>
        <v>0</v>
      </c>
      <c r="V919" s="651">
        <f t="shared" si="93"/>
        <v>0</v>
      </c>
    </row>
    <row r="920" spans="4:22" x14ac:dyDescent="0.25">
      <c r="D920" s="118">
        <f>+CUBICACION!D919</f>
        <v>0</v>
      </c>
      <c r="E920" s="118">
        <f>+CUBICACION!F919</f>
        <v>0</v>
      </c>
      <c r="F920" s="118">
        <f>+CUBICACION!E919</f>
        <v>0</v>
      </c>
      <c r="G920" s="118">
        <v>12</v>
      </c>
      <c r="H920" s="118">
        <v>2</v>
      </c>
      <c r="I920" s="820">
        <v>26385</v>
      </c>
      <c r="J920" s="118">
        <f>+CUBICACION!J919</f>
        <v>0</v>
      </c>
      <c r="K920" s="118">
        <v>3699</v>
      </c>
      <c r="L920" s="118">
        <f>+CUBICACION!L919</f>
        <v>0</v>
      </c>
      <c r="M920" s="64">
        <f>+CUBICACION!M919</f>
        <v>0</v>
      </c>
      <c r="N920" s="824" t="str">
        <f>+CUBICACION!N919</f>
        <v/>
      </c>
      <c r="O920" s="675">
        <f>+CUBICACION!O919</f>
        <v>0</v>
      </c>
      <c r="P920" s="15">
        <f>IF(O920="Fire Control",VLOOKUP(_xlfn.MINIFS('FIRE CONTROL'!$C$4:$C$37,'FIRE CONTROL'!$C$4:$C$37,"&gt;="&amp;M920),'FIRE CONTROL'!$C$4:$G$37,IF(L920="F-15",2,IF(L920="F-30",3,IF(L920="F-60",4,IF(L920="F-90",5,0)))),0),0)+IF(AND(O920="FIRE TEX 5062",OR(E920="IN",E920="C",E920="Z",E920="L"),J920=3),VLOOKUP(_xlfn.MINIFS('FIRE TEX 5062'!$B$4:$B$34,'FIRE TEX 5062'!$B$4:$B$34,"&gt;="&amp;M920),'FIRE TEX 5062'!$B$4:$F$34,IF(L920="F-15",2,IF(L920="F-30",3,IF(L920="F-60",4,IF(L920="F-90",5,0)))),0),0)+IF(AND(O920="FIRE TEX 5062",OR(E920="IN",E920="C",E920="Z",E920="L"),J920=4),VLOOKUP(_xlfn.MINIFS('FIRE TEX 5062'!$G$4:$G$34,'FIRE TEX 5062'!$G$4:$G$34,"&gt;="&amp;M920),'FIRE TEX 5062'!$G$4:$K$34,IF(L920="F-15",2,IF(L920="F-30",3,IF(L920="F-60",4,IF(L920="F-90",5,0)))),0),0)+IF(AND(O920="FIRE TEX 5062",E920="CJ",J920=3),VLOOKUP(_xlfn.MINIFS('FIRE TEX 5062'!$L$4:$L$34,'FIRE TEX 5062'!$L$4:$L$34,"&gt;="&amp;M920),'FIRE TEX 5062'!$L$4:$P$34,IF(L920="F-15",2,IF(L920="F-30",3,IF(L920="F-60",4,IF(L920="F-90",5,0)))),0),0)+IF(AND(O920="FIRE TEX 5062",E920="CJ",J920=4),VLOOKUP(_xlfn.MINIFS('FIRE TEX 5062'!$Q$3:$Q$34,'FIRE TEX 5062'!$Q$3:$Q$34,"&gt;="&amp;M920),'FIRE TEX 5062'!$Q$3:$U$34,IF(L920="F-15",2,IF(L920="F-30",3,IF(L920="F-60",4,IF(L920="F-90",5,0)))),0),0)+IF(AND(O920="FIRE TEX 5090",OR(E920="IN",E920="C",E920="Z",E920="L"),J920=3),VLOOKUP(_xlfn.MINIFS('FIRE TEX 5090'!$B$5:$B$43,'FIRE TEX 5090'!$B$5:$B$43,"&gt;="&amp;M920),'FIRE TEX 5090'!$B$5:$H$43,IF(L920="F-15",2,IF(L920="F-30",3,IF(L920="F-60",4,IF(L920="F-90",5,IF(L920="F-120",6,IF(L920="F-150",7,0)))))),0),0)+IF(AND(O920="FIRE TEX 5090",OR(E920="IN",E920="C",E920="Z",E920="L"),J920=4),VLOOKUP(_xlfn.MINIFS('FIRE TEX 5090'!$J$5:$J$43,'FIRE TEX 5090'!$J$5:$J$43,"&gt;="&amp;M920),'FIRE TEX 5090'!$J$5:$P$43,IF(L920="F-15",2,IF(L920="F-30",3,IF(L920="F-60",4,IF(L920="F-90",5,IF(L920="F-120",6,IF(L920="F-150",7,0)))))),0),0)+IF(AND(O920="FIRE TEX 5090",E920="CJ",J920=3),VLOOKUP(_xlfn.MINIFS('FIRE TEX 5090'!$R$5:$R$30,'FIRE TEX 5090'!$R$5:$R$30,"&gt;="&amp;M920),'FIRE TEX 5090'!$R$5:$W$30,IF(L920="F-15",2,IF(L920="F-30",3,IF(L920="F-60",4,IF(L920="F-90",5,IF(L920="F-120",6,IF(L920="F-150",7,0)))))),0),0)+IF(AND(O920="FIRE TEX 5090",E920="CJ",J920=4),VLOOKUP(_xlfn.MINIFS('FIRE TEX 5090'!$Y$5:$Y$39,'FIRE TEX 5090'!$Y$5:$Y$39,"&gt;="&amp;M920),'FIRE TEX 5090'!$Y$5:$AD$39,IF(L920="F-15",2,IF(L920="F-30",3,IF(L920="F-60",4,IF(L920="F-90",5,IF(L920="F-120",6,IF(L920="F-150",7,0)))))),0),0)+IF(AND(O920="FIRE TEX 5120",OR(E920="IN",E920="C",E920="Z",E920="L"),J920=3),VLOOKUP(_xlfn.MINIFS('FIRE TEX 5120'!$B$5:$B$40,'FIRE TEX 5120'!$B$5:$B$40,"&gt;="&amp;M920),'FIRE TEX 5120'!$B$5:$G$40,IF(L920="F-15",2,IF(L920="F-30",3,IF(L920="F-60",4,IF(L920="F-90",5,IF(L920="F-120",6,0))))),0),0)+IF(AND(O920="FIRE TEX 5120",OR(E920="IN",E920="C",E920="Z",E920="L"),J920=4),VLOOKUP(_xlfn.MINIFS('FIRE TEX 5120'!$H$4:$H$40,'FIRE TEX 5120'!$H$4:$H$40,"&gt;="&amp;M920),'FIRE TEX 5120'!$H$4:$M$40,IF(L920="F-15",2,IF(L920="F-30",3,IF(L920="F-60",4,IF(L920="F-90",5,IF(L920="F-120",6,0))))),0),0)+IF(AND(O920="FIRE TEX 5120",E920="CJ"),VLOOKUP(_xlfn.MINIFS('FIRE TEX 5120'!$O$5:$O$40,'FIRE TEX 5120'!$O$5:$O$40,"&gt;="&amp;M920),'FIRE TEX 5120'!$O$5:$T$40,IF(L920="F-15",2,IF(L920="F-30",3,IF(L920="F-60",4,IF(L920="F-90",5,IF(L920="F-120",6,0))))),0),0)</f>
        <v>0</v>
      </c>
      <c r="Q920" s="46">
        <f t="shared" si="89"/>
        <v>0</v>
      </c>
      <c r="R920" s="46">
        <f t="shared" si="90"/>
        <v>0</v>
      </c>
      <c r="S920" s="46" t="e">
        <f t="shared" si="91"/>
        <v>#VALUE!</v>
      </c>
      <c r="T920" s="677">
        <f t="shared" si="92"/>
        <v>0</v>
      </c>
      <c r="U920" s="80">
        <f>(IF(O920="Stofire",(S920*#REF!),0))+(IF(O920="Fire Control",(S920*$U$2),0))+(IF(O920="Fire Tex",(S920*$U$3),0))+(IF(O920="WB7",(S920*#REF!),0)+(IF(O920="FX 2003",(S920*$U$5),0)))</f>
        <v>0</v>
      </c>
      <c r="V920" s="651">
        <f t="shared" si="93"/>
        <v>0</v>
      </c>
    </row>
    <row r="921" spans="4:22" x14ac:dyDescent="0.25">
      <c r="D921" s="118">
        <f>+CUBICACION!D920</f>
        <v>0</v>
      </c>
      <c r="E921" s="118">
        <f>+CUBICACION!F920</f>
        <v>0</v>
      </c>
      <c r="F921" s="118">
        <f>+CUBICACION!E920</f>
        <v>0</v>
      </c>
      <c r="G921" s="118">
        <v>12</v>
      </c>
      <c r="H921" s="118">
        <v>2</v>
      </c>
      <c r="I921" s="820">
        <v>26385</v>
      </c>
      <c r="J921" s="118">
        <f>+CUBICACION!J920</f>
        <v>0</v>
      </c>
      <c r="K921" s="118">
        <v>3700</v>
      </c>
      <c r="L921" s="118">
        <f>+CUBICACION!L920</f>
        <v>0</v>
      </c>
      <c r="M921" s="64">
        <f>+CUBICACION!M920</f>
        <v>0</v>
      </c>
      <c r="N921" s="824" t="str">
        <f>+CUBICACION!N920</f>
        <v/>
      </c>
      <c r="O921" s="675">
        <f>+CUBICACION!O920</f>
        <v>0</v>
      </c>
      <c r="P921" s="15">
        <f>IF(O921="Fire Control",VLOOKUP(_xlfn.MINIFS('FIRE CONTROL'!$C$4:$C$37,'FIRE CONTROL'!$C$4:$C$37,"&gt;="&amp;M921),'FIRE CONTROL'!$C$4:$G$37,IF(L921="F-15",2,IF(L921="F-30",3,IF(L921="F-60",4,IF(L921="F-90",5,0)))),0),0)+IF(AND(O921="FIRE TEX 5062",OR(E921="IN",E921="C",E921="Z",E921="L"),J921=3),VLOOKUP(_xlfn.MINIFS('FIRE TEX 5062'!$B$4:$B$34,'FIRE TEX 5062'!$B$4:$B$34,"&gt;="&amp;M921),'FIRE TEX 5062'!$B$4:$F$34,IF(L921="F-15",2,IF(L921="F-30",3,IF(L921="F-60",4,IF(L921="F-90",5,0)))),0),0)+IF(AND(O921="FIRE TEX 5062",OR(E921="IN",E921="C",E921="Z",E921="L"),J921=4),VLOOKUP(_xlfn.MINIFS('FIRE TEX 5062'!$G$4:$G$34,'FIRE TEX 5062'!$G$4:$G$34,"&gt;="&amp;M921),'FIRE TEX 5062'!$G$4:$K$34,IF(L921="F-15",2,IF(L921="F-30",3,IF(L921="F-60",4,IF(L921="F-90",5,0)))),0),0)+IF(AND(O921="FIRE TEX 5062",E921="CJ",J921=3),VLOOKUP(_xlfn.MINIFS('FIRE TEX 5062'!$L$4:$L$34,'FIRE TEX 5062'!$L$4:$L$34,"&gt;="&amp;M921),'FIRE TEX 5062'!$L$4:$P$34,IF(L921="F-15",2,IF(L921="F-30",3,IF(L921="F-60",4,IF(L921="F-90",5,0)))),0),0)+IF(AND(O921="FIRE TEX 5062",E921="CJ",J921=4),VLOOKUP(_xlfn.MINIFS('FIRE TEX 5062'!$Q$3:$Q$34,'FIRE TEX 5062'!$Q$3:$Q$34,"&gt;="&amp;M921),'FIRE TEX 5062'!$Q$3:$U$34,IF(L921="F-15",2,IF(L921="F-30",3,IF(L921="F-60",4,IF(L921="F-90",5,0)))),0),0)+IF(AND(O921="FIRE TEX 5090",OR(E921="IN",E921="C",E921="Z",E921="L"),J921=3),VLOOKUP(_xlfn.MINIFS('FIRE TEX 5090'!$B$5:$B$43,'FIRE TEX 5090'!$B$5:$B$43,"&gt;="&amp;M921),'FIRE TEX 5090'!$B$5:$H$43,IF(L921="F-15",2,IF(L921="F-30",3,IF(L921="F-60",4,IF(L921="F-90",5,IF(L921="F-120",6,IF(L921="F-150",7,0)))))),0),0)+IF(AND(O921="FIRE TEX 5090",OR(E921="IN",E921="C",E921="Z",E921="L"),J921=4),VLOOKUP(_xlfn.MINIFS('FIRE TEX 5090'!$J$5:$J$43,'FIRE TEX 5090'!$J$5:$J$43,"&gt;="&amp;M921),'FIRE TEX 5090'!$J$5:$P$43,IF(L921="F-15",2,IF(L921="F-30",3,IF(L921="F-60",4,IF(L921="F-90",5,IF(L921="F-120",6,IF(L921="F-150",7,0)))))),0),0)+IF(AND(O921="FIRE TEX 5090",E921="CJ",J921=3),VLOOKUP(_xlfn.MINIFS('FIRE TEX 5090'!$R$5:$R$30,'FIRE TEX 5090'!$R$5:$R$30,"&gt;="&amp;M921),'FIRE TEX 5090'!$R$5:$W$30,IF(L921="F-15",2,IF(L921="F-30",3,IF(L921="F-60",4,IF(L921="F-90",5,IF(L921="F-120",6,IF(L921="F-150",7,0)))))),0),0)+IF(AND(O921="FIRE TEX 5090",E921="CJ",J921=4),VLOOKUP(_xlfn.MINIFS('FIRE TEX 5090'!$Y$5:$Y$39,'FIRE TEX 5090'!$Y$5:$Y$39,"&gt;="&amp;M921),'FIRE TEX 5090'!$Y$5:$AD$39,IF(L921="F-15",2,IF(L921="F-30",3,IF(L921="F-60",4,IF(L921="F-90",5,IF(L921="F-120",6,IF(L921="F-150",7,0)))))),0),0)+IF(AND(O921="FIRE TEX 5120",OR(E921="IN",E921="C",E921="Z",E921="L"),J921=3),VLOOKUP(_xlfn.MINIFS('FIRE TEX 5120'!$B$5:$B$40,'FIRE TEX 5120'!$B$5:$B$40,"&gt;="&amp;M921),'FIRE TEX 5120'!$B$5:$G$40,IF(L921="F-15",2,IF(L921="F-30",3,IF(L921="F-60",4,IF(L921="F-90",5,IF(L921="F-120",6,0))))),0),0)+IF(AND(O921="FIRE TEX 5120",OR(E921="IN",E921="C",E921="Z",E921="L"),J921=4),VLOOKUP(_xlfn.MINIFS('FIRE TEX 5120'!$H$4:$H$40,'FIRE TEX 5120'!$H$4:$H$40,"&gt;="&amp;M921),'FIRE TEX 5120'!$H$4:$M$40,IF(L921="F-15",2,IF(L921="F-30",3,IF(L921="F-60",4,IF(L921="F-90",5,IF(L921="F-120",6,0))))),0),0)+IF(AND(O921="FIRE TEX 5120",E921="CJ"),VLOOKUP(_xlfn.MINIFS('FIRE TEX 5120'!$O$5:$O$40,'FIRE TEX 5120'!$O$5:$O$40,"&gt;="&amp;M921),'FIRE TEX 5120'!$O$5:$T$40,IF(L921="F-15",2,IF(L921="F-30",3,IF(L921="F-60",4,IF(L921="F-90",5,IF(L921="F-120",6,0))))),0),0)</f>
        <v>0</v>
      </c>
      <c r="Q921" s="46">
        <f t="shared" si="89"/>
        <v>0</v>
      </c>
      <c r="R921" s="46">
        <f t="shared" si="90"/>
        <v>0</v>
      </c>
      <c r="S921" s="46" t="e">
        <f t="shared" si="91"/>
        <v>#VALUE!</v>
      </c>
      <c r="T921" s="677">
        <f t="shared" si="92"/>
        <v>0</v>
      </c>
      <c r="U921" s="80">
        <f>(IF(O921="Stofire",(S921*#REF!),0))+(IF(O921="Fire Control",(S921*$U$2),0))+(IF(O921="Fire Tex",(S921*$U$3),0))+(IF(O921="WB7",(S921*#REF!),0)+(IF(O921="FX 2003",(S921*$U$5),0)))</f>
        <v>0</v>
      </c>
      <c r="V921" s="651">
        <f t="shared" si="93"/>
        <v>0</v>
      </c>
    </row>
    <row r="922" spans="4:22" x14ac:dyDescent="0.25">
      <c r="D922" s="118">
        <f>+CUBICACION!D921</f>
        <v>0</v>
      </c>
      <c r="E922" s="118">
        <f>+CUBICACION!F921</f>
        <v>0</v>
      </c>
      <c r="F922" s="118">
        <f>+CUBICACION!E921</f>
        <v>0</v>
      </c>
      <c r="G922" s="118">
        <v>12</v>
      </c>
      <c r="H922" s="118">
        <v>2</v>
      </c>
      <c r="I922" s="820">
        <v>26385</v>
      </c>
      <c r="J922" s="118">
        <f>+CUBICACION!J921</f>
        <v>0</v>
      </c>
      <c r="K922" s="118">
        <v>3701</v>
      </c>
      <c r="L922" s="118">
        <f>+CUBICACION!L921</f>
        <v>0</v>
      </c>
      <c r="M922" s="64">
        <f>+CUBICACION!M921</f>
        <v>0</v>
      </c>
      <c r="N922" s="824" t="str">
        <f>+CUBICACION!N921</f>
        <v/>
      </c>
      <c r="O922" s="675">
        <f>+CUBICACION!O921</f>
        <v>0</v>
      </c>
      <c r="P922" s="15">
        <f>IF(O922="Fire Control",VLOOKUP(_xlfn.MINIFS('FIRE CONTROL'!$C$4:$C$37,'FIRE CONTROL'!$C$4:$C$37,"&gt;="&amp;M922),'FIRE CONTROL'!$C$4:$G$37,IF(L922="F-15",2,IF(L922="F-30",3,IF(L922="F-60",4,IF(L922="F-90",5,0)))),0),0)+IF(AND(O922="FIRE TEX 5062",OR(E922="IN",E922="C",E922="Z",E922="L"),J922=3),VLOOKUP(_xlfn.MINIFS('FIRE TEX 5062'!$B$4:$B$34,'FIRE TEX 5062'!$B$4:$B$34,"&gt;="&amp;M922),'FIRE TEX 5062'!$B$4:$F$34,IF(L922="F-15",2,IF(L922="F-30",3,IF(L922="F-60",4,IF(L922="F-90",5,0)))),0),0)+IF(AND(O922="FIRE TEX 5062",OR(E922="IN",E922="C",E922="Z",E922="L"),J922=4),VLOOKUP(_xlfn.MINIFS('FIRE TEX 5062'!$G$4:$G$34,'FIRE TEX 5062'!$G$4:$G$34,"&gt;="&amp;M922),'FIRE TEX 5062'!$G$4:$K$34,IF(L922="F-15",2,IF(L922="F-30",3,IF(L922="F-60",4,IF(L922="F-90",5,0)))),0),0)+IF(AND(O922="FIRE TEX 5062",E922="CJ",J922=3),VLOOKUP(_xlfn.MINIFS('FIRE TEX 5062'!$L$4:$L$34,'FIRE TEX 5062'!$L$4:$L$34,"&gt;="&amp;M922),'FIRE TEX 5062'!$L$4:$P$34,IF(L922="F-15",2,IF(L922="F-30",3,IF(L922="F-60",4,IF(L922="F-90",5,0)))),0),0)+IF(AND(O922="FIRE TEX 5062",E922="CJ",J922=4),VLOOKUP(_xlfn.MINIFS('FIRE TEX 5062'!$Q$3:$Q$34,'FIRE TEX 5062'!$Q$3:$Q$34,"&gt;="&amp;M922),'FIRE TEX 5062'!$Q$3:$U$34,IF(L922="F-15",2,IF(L922="F-30",3,IF(L922="F-60",4,IF(L922="F-90",5,0)))),0),0)+IF(AND(O922="FIRE TEX 5090",OR(E922="IN",E922="C",E922="Z",E922="L"),J922=3),VLOOKUP(_xlfn.MINIFS('FIRE TEX 5090'!$B$5:$B$43,'FIRE TEX 5090'!$B$5:$B$43,"&gt;="&amp;M922),'FIRE TEX 5090'!$B$5:$H$43,IF(L922="F-15",2,IF(L922="F-30",3,IF(L922="F-60",4,IF(L922="F-90",5,IF(L922="F-120",6,IF(L922="F-150",7,0)))))),0),0)+IF(AND(O922="FIRE TEX 5090",OR(E922="IN",E922="C",E922="Z",E922="L"),J922=4),VLOOKUP(_xlfn.MINIFS('FIRE TEX 5090'!$J$5:$J$43,'FIRE TEX 5090'!$J$5:$J$43,"&gt;="&amp;M922),'FIRE TEX 5090'!$J$5:$P$43,IF(L922="F-15",2,IF(L922="F-30",3,IF(L922="F-60",4,IF(L922="F-90",5,IF(L922="F-120",6,IF(L922="F-150",7,0)))))),0),0)+IF(AND(O922="FIRE TEX 5090",E922="CJ",J922=3),VLOOKUP(_xlfn.MINIFS('FIRE TEX 5090'!$R$5:$R$30,'FIRE TEX 5090'!$R$5:$R$30,"&gt;="&amp;M922),'FIRE TEX 5090'!$R$5:$W$30,IF(L922="F-15",2,IF(L922="F-30",3,IF(L922="F-60",4,IF(L922="F-90",5,IF(L922="F-120",6,IF(L922="F-150",7,0)))))),0),0)+IF(AND(O922="FIRE TEX 5090",E922="CJ",J922=4),VLOOKUP(_xlfn.MINIFS('FIRE TEX 5090'!$Y$5:$Y$39,'FIRE TEX 5090'!$Y$5:$Y$39,"&gt;="&amp;M922),'FIRE TEX 5090'!$Y$5:$AD$39,IF(L922="F-15",2,IF(L922="F-30",3,IF(L922="F-60",4,IF(L922="F-90",5,IF(L922="F-120",6,IF(L922="F-150",7,0)))))),0),0)+IF(AND(O922="FIRE TEX 5120",OR(E922="IN",E922="C",E922="Z",E922="L"),J922=3),VLOOKUP(_xlfn.MINIFS('FIRE TEX 5120'!$B$5:$B$40,'FIRE TEX 5120'!$B$5:$B$40,"&gt;="&amp;M922),'FIRE TEX 5120'!$B$5:$G$40,IF(L922="F-15",2,IF(L922="F-30",3,IF(L922="F-60",4,IF(L922="F-90",5,IF(L922="F-120",6,0))))),0),0)+IF(AND(O922="FIRE TEX 5120",OR(E922="IN",E922="C",E922="Z",E922="L"),J922=4),VLOOKUP(_xlfn.MINIFS('FIRE TEX 5120'!$H$4:$H$40,'FIRE TEX 5120'!$H$4:$H$40,"&gt;="&amp;M922),'FIRE TEX 5120'!$H$4:$M$40,IF(L922="F-15",2,IF(L922="F-30",3,IF(L922="F-60",4,IF(L922="F-90",5,IF(L922="F-120",6,0))))),0),0)+IF(AND(O922="FIRE TEX 5120",E922="CJ"),VLOOKUP(_xlfn.MINIFS('FIRE TEX 5120'!$O$5:$O$40,'FIRE TEX 5120'!$O$5:$O$40,"&gt;="&amp;M922),'FIRE TEX 5120'!$O$5:$T$40,IF(L922="F-15",2,IF(L922="F-30",3,IF(L922="F-60",4,IF(L922="F-90",5,IF(L922="F-120",6,0))))),0),0)</f>
        <v>0</v>
      </c>
      <c r="Q922" s="46">
        <f t="shared" si="89"/>
        <v>0</v>
      </c>
      <c r="R922" s="46">
        <f t="shared" si="90"/>
        <v>0</v>
      </c>
      <c r="S922" s="46" t="e">
        <f t="shared" si="91"/>
        <v>#VALUE!</v>
      </c>
      <c r="T922" s="677">
        <f t="shared" si="92"/>
        <v>0</v>
      </c>
      <c r="U922" s="80">
        <f>(IF(O922="Stofire",(S922*#REF!),0))+(IF(O922="Fire Control",(S922*$U$2),0))+(IF(O922="Fire Tex",(S922*$U$3),0))+(IF(O922="WB7",(S922*#REF!),0)+(IF(O922="FX 2003",(S922*$U$5),0)))</f>
        <v>0</v>
      </c>
      <c r="V922" s="651">
        <f t="shared" si="93"/>
        <v>0</v>
      </c>
    </row>
    <row r="923" spans="4:22" x14ac:dyDescent="0.25">
      <c r="D923" s="118">
        <f>+CUBICACION!D922</f>
        <v>0</v>
      </c>
      <c r="E923" s="118">
        <f>+CUBICACION!F922</f>
        <v>0</v>
      </c>
      <c r="F923" s="118">
        <f>+CUBICACION!E922</f>
        <v>0</v>
      </c>
      <c r="G923" s="118">
        <v>12</v>
      </c>
      <c r="H923" s="118">
        <v>2</v>
      </c>
      <c r="I923" s="820">
        <v>26385</v>
      </c>
      <c r="J923" s="118">
        <f>+CUBICACION!J922</f>
        <v>0</v>
      </c>
      <c r="K923" s="118">
        <v>3702</v>
      </c>
      <c r="L923" s="118">
        <f>+CUBICACION!L922</f>
        <v>0</v>
      </c>
      <c r="M923" s="64">
        <f>+CUBICACION!M922</f>
        <v>0</v>
      </c>
      <c r="N923" s="824" t="str">
        <f>+CUBICACION!N922</f>
        <v/>
      </c>
      <c r="O923" s="675">
        <f>+CUBICACION!O922</f>
        <v>0</v>
      </c>
      <c r="P923" s="15">
        <f>IF(O923="Fire Control",VLOOKUP(_xlfn.MINIFS('FIRE CONTROL'!$C$4:$C$37,'FIRE CONTROL'!$C$4:$C$37,"&gt;="&amp;M923),'FIRE CONTROL'!$C$4:$G$37,IF(L923="F-15",2,IF(L923="F-30",3,IF(L923="F-60",4,IF(L923="F-90",5,0)))),0),0)+IF(AND(O923="FIRE TEX 5062",OR(E923="IN",E923="C",E923="Z",E923="L"),J923=3),VLOOKUP(_xlfn.MINIFS('FIRE TEX 5062'!$B$4:$B$34,'FIRE TEX 5062'!$B$4:$B$34,"&gt;="&amp;M923),'FIRE TEX 5062'!$B$4:$F$34,IF(L923="F-15",2,IF(L923="F-30",3,IF(L923="F-60",4,IF(L923="F-90",5,0)))),0),0)+IF(AND(O923="FIRE TEX 5062",OR(E923="IN",E923="C",E923="Z",E923="L"),J923=4),VLOOKUP(_xlfn.MINIFS('FIRE TEX 5062'!$G$4:$G$34,'FIRE TEX 5062'!$G$4:$G$34,"&gt;="&amp;M923),'FIRE TEX 5062'!$G$4:$K$34,IF(L923="F-15",2,IF(L923="F-30",3,IF(L923="F-60",4,IF(L923="F-90",5,0)))),0),0)+IF(AND(O923="FIRE TEX 5062",E923="CJ",J923=3),VLOOKUP(_xlfn.MINIFS('FIRE TEX 5062'!$L$4:$L$34,'FIRE TEX 5062'!$L$4:$L$34,"&gt;="&amp;M923),'FIRE TEX 5062'!$L$4:$P$34,IF(L923="F-15",2,IF(L923="F-30",3,IF(L923="F-60",4,IF(L923="F-90",5,0)))),0),0)+IF(AND(O923="FIRE TEX 5062",E923="CJ",J923=4),VLOOKUP(_xlfn.MINIFS('FIRE TEX 5062'!$Q$3:$Q$34,'FIRE TEX 5062'!$Q$3:$Q$34,"&gt;="&amp;M923),'FIRE TEX 5062'!$Q$3:$U$34,IF(L923="F-15",2,IF(L923="F-30",3,IF(L923="F-60",4,IF(L923="F-90",5,0)))),0),0)+IF(AND(O923="FIRE TEX 5090",OR(E923="IN",E923="C",E923="Z",E923="L"),J923=3),VLOOKUP(_xlfn.MINIFS('FIRE TEX 5090'!$B$5:$B$43,'FIRE TEX 5090'!$B$5:$B$43,"&gt;="&amp;M923),'FIRE TEX 5090'!$B$5:$H$43,IF(L923="F-15",2,IF(L923="F-30",3,IF(L923="F-60",4,IF(L923="F-90",5,IF(L923="F-120",6,IF(L923="F-150",7,0)))))),0),0)+IF(AND(O923="FIRE TEX 5090",OR(E923="IN",E923="C",E923="Z",E923="L"),J923=4),VLOOKUP(_xlfn.MINIFS('FIRE TEX 5090'!$J$5:$J$43,'FIRE TEX 5090'!$J$5:$J$43,"&gt;="&amp;M923),'FIRE TEX 5090'!$J$5:$P$43,IF(L923="F-15",2,IF(L923="F-30",3,IF(L923="F-60",4,IF(L923="F-90",5,IF(L923="F-120",6,IF(L923="F-150",7,0)))))),0),0)+IF(AND(O923="FIRE TEX 5090",E923="CJ",J923=3),VLOOKUP(_xlfn.MINIFS('FIRE TEX 5090'!$R$5:$R$30,'FIRE TEX 5090'!$R$5:$R$30,"&gt;="&amp;M923),'FIRE TEX 5090'!$R$5:$W$30,IF(L923="F-15",2,IF(L923="F-30",3,IF(L923="F-60",4,IF(L923="F-90",5,IF(L923="F-120",6,IF(L923="F-150",7,0)))))),0),0)+IF(AND(O923="FIRE TEX 5090",E923="CJ",J923=4),VLOOKUP(_xlfn.MINIFS('FIRE TEX 5090'!$Y$5:$Y$39,'FIRE TEX 5090'!$Y$5:$Y$39,"&gt;="&amp;M923),'FIRE TEX 5090'!$Y$5:$AD$39,IF(L923="F-15",2,IF(L923="F-30",3,IF(L923="F-60",4,IF(L923="F-90",5,IF(L923="F-120",6,IF(L923="F-150",7,0)))))),0),0)+IF(AND(O923="FIRE TEX 5120",OR(E923="IN",E923="C",E923="Z",E923="L"),J923=3),VLOOKUP(_xlfn.MINIFS('FIRE TEX 5120'!$B$5:$B$40,'FIRE TEX 5120'!$B$5:$B$40,"&gt;="&amp;M923),'FIRE TEX 5120'!$B$5:$G$40,IF(L923="F-15",2,IF(L923="F-30",3,IF(L923="F-60",4,IF(L923="F-90",5,IF(L923="F-120",6,0))))),0),0)+IF(AND(O923="FIRE TEX 5120",OR(E923="IN",E923="C",E923="Z",E923="L"),J923=4),VLOOKUP(_xlfn.MINIFS('FIRE TEX 5120'!$H$4:$H$40,'FIRE TEX 5120'!$H$4:$H$40,"&gt;="&amp;M923),'FIRE TEX 5120'!$H$4:$M$40,IF(L923="F-15",2,IF(L923="F-30",3,IF(L923="F-60",4,IF(L923="F-90",5,IF(L923="F-120",6,0))))),0),0)+IF(AND(O923="FIRE TEX 5120",E923="CJ"),VLOOKUP(_xlfn.MINIFS('FIRE TEX 5120'!$O$5:$O$40,'FIRE TEX 5120'!$O$5:$O$40,"&gt;="&amp;M923),'FIRE TEX 5120'!$O$5:$T$40,IF(L923="F-15",2,IF(L923="F-30",3,IF(L923="F-60",4,IF(L923="F-90",5,IF(L923="F-120",6,0))))),0),0)</f>
        <v>0</v>
      </c>
      <c r="Q923" s="46">
        <f t="shared" si="89"/>
        <v>0</v>
      </c>
      <c r="R923" s="46">
        <f t="shared" si="90"/>
        <v>0</v>
      </c>
      <c r="S923" s="46" t="e">
        <f t="shared" si="91"/>
        <v>#VALUE!</v>
      </c>
      <c r="T923" s="677">
        <f t="shared" si="92"/>
        <v>0</v>
      </c>
      <c r="U923" s="80">
        <f>(IF(O923="Stofire",(S923*#REF!),0))+(IF(O923="Fire Control",(S923*$U$2),0))+(IF(O923="Fire Tex",(S923*$U$3),0))+(IF(O923="WB7",(S923*#REF!),0)+(IF(O923="FX 2003",(S923*$U$5),0)))</f>
        <v>0</v>
      </c>
      <c r="V923" s="651">
        <f t="shared" si="93"/>
        <v>0</v>
      </c>
    </row>
    <row r="924" spans="4:22" x14ac:dyDescent="0.25">
      <c r="D924" s="118">
        <f>+CUBICACION!D923</f>
        <v>0</v>
      </c>
      <c r="E924" s="118">
        <f>+CUBICACION!F923</f>
        <v>0</v>
      </c>
      <c r="F924" s="118">
        <f>+CUBICACION!E923</f>
        <v>0</v>
      </c>
      <c r="G924" s="118">
        <v>12</v>
      </c>
      <c r="H924" s="118">
        <v>2</v>
      </c>
      <c r="I924" s="820">
        <v>26385</v>
      </c>
      <c r="J924" s="118">
        <f>+CUBICACION!J923</f>
        <v>0</v>
      </c>
      <c r="K924" s="118">
        <v>3703</v>
      </c>
      <c r="L924" s="118">
        <f>+CUBICACION!L923</f>
        <v>0</v>
      </c>
      <c r="M924" s="64">
        <f>+CUBICACION!M923</f>
        <v>0</v>
      </c>
      <c r="N924" s="824" t="str">
        <f>+CUBICACION!N923</f>
        <v/>
      </c>
      <c r="O924" s="675">
        <f>+CUBICACION!O923</f>
        <v>0</v>
      </c>
      <c r="P924" s="15">
        <f>IF(O924="Fire Control",VLOOKUP(_xlfn.MINIFS('FIRE CONTROL'!$C$4:$C$37,'FIRE CONTROL'!$C$4:$C$37,"&gt;="&amp;M924),'FIRE CONTROL'!$C$4:$G$37,IF(L924="F-15",2,IF(L924="F-30",3,IF(L924="F-60",4,IF(L924="F-90",5,0)))),0),0)+IF(AND(O924="FIRE TEX 5062",OR(E924="IN",E924="C",E924="Z",E924="L"),J924=3),VLOOKUP(_xlfn.MINIFS('FIRE TEX 5062'!$B$4:$B$34,'FIRE TEX 5062'!$B$4:$B$34,"&gt;="&amp;M924),'FIRE TEX 5062'!$B$4:$F$34,IF(L924="F-15",2,IF(L924="F-30",3,IF(L924="F-60",4,IF(L924="F-90",5,0)))),0),0)+IF(AND(O924="FIRE TEX 5062",OR(E924="IN",E924="C",E924="Z",E924="L"),J924=4),VLOOKUP(_xlfn.MINIFS('FIRE TEX 5062'!$G$4:$G$34,'FIRE TEX 5062'!$G$4:$G$34,"&gt;="&amp;M924),'FIRE TEX 5062'!$G$4:$K$34,IF(L924="F-15",2,IF(L924="F-30",3,IF(L924="F-60",4,IF(L924="F-90",5,0)))),0),0)+IF(AND(O924="FIRE TEX 5062",E924="CJ",J924=3),VLOOKUP(_xlfn.MINIFS('FIRE TEX 5062'!$L$4:$L$34,'FIRE TEX 5062'!$L$4:$L$34,"&gt;="&amp;M924),'FIRE TEX 5062'!$L$4:$P$34,IF(L924="F-15",2,IF(L924="F-30",3,IF(L924="F-60",4,IF(L924="F-90",5,0)))),0),0)+IF(AND(O924="FIRE TEX 5062",E924="CJ",J924=4),VLOOKUP(_xlfn.MINIFS('FIRE TEX 5062'!$Q$3:$Q$34,'FIRE TEX 5062'!$Q$3:$Q$34,"&gt;="&amp;M924),'FIRE TEX 5062'!$Q$3:$U$34,IF(L924="F-15",2,IF(L924="F-30",3,IF(L924="F-60",4,IF(L924="F-90",5,0)))),0),0)+IF(AND(O924="FIRE TEX 5090",OR(E924="IN",E924="C",E924="Z",E924="L"),J924=3),VLOOKUP(_xlfn.MINIFS('FIRE TEX 5090'!$B$5:$B$43,'FIRE TEX 5090'!$B$5:$B$43,"&gt;="&amp;M924),'FIRE TEX 5090'!$B$5:$H$43,IF(L924="F-15",2,IF(L924="F-30",3,IF(L924="F-60",4,IF(L924="F-90",5,IF(L924="F-120",6,IF(L924="F-150",7,0)))))),0),0)+IF(AND(O924="FIRE TEX 5090",OR(E924="IN",E924="C",E924="Z",E924="L"),J924=4),VLOOKUP(_xlfn.MINIFS('FIRE TEX 5090'!$J$5:$J$43,'FIRE TEX 5090'!$J$5:$J$43,"&gt;="&amp;M924),'FIRE TEX 5090'!$J$5:$P$43,IF(L924="F-15",2,IF(L924="F-30",3,IF(L924="F-60",4,IF(L924="F-90",5,IF(L924="F-120",6,IF(L924="F-150",7,0)))))),0),0)+IF(AND(O924="FIRE TEX 5090",E924="CJ",J924=3),VLOOKUP(_xlfn.MINIFS('FIRE TEX 5090'!$R$5:$R$30,'FIRE TEX 5090'!$R$5:$R$30,"&gt;="&amp;M924),'FIRE TEX 5090'!$R$5:$W$30,IF(L924="F-15",2,IF(L924="F-30",3,IF(L924="F-60",4,IF(L924="F-90",5,IF(L924="F-120",6,IF(L924="F-150",7,0)))))),0),0)+IF(AND(O924="FIRE TEX 5090",E924="CJ",J924=4),VLOOKUP(_xlfn.MINIFS('FIRE TEX 5090'!$Y$5:$Y$39,'FIRE TEX 5090'!$Y$5:$Y$39,"&gt;="&amp;M924),'FIRE TEX 5090'!$Y$5:$AD$39,IF(L924="F-15",2,IF(L924="F-30",3,IF(L924="F-60",4,IF(L924="F-90",5,IF(L924="F-120",6,IF(L924="F-150",7,0)))))),0),0)+IF(AND(O924="FIRE TEX 5120",OR(E924="IN",E924="C",E924="Z",E924="L"),J924=3),VLOOKUP(_xlfn.MINIFS('FIRE TEX 5120'!$B$5:$B$40,'FIRE TEX 5120'!$B$5:$B$40,"&gt;="&amp;M924),'FIRE TEX 5120'!$B$5:$G$40,IF(L924="F-15",2,IF(L924="F-30",3,IF(L924="F-60",4,IF(L924="F-90",5,IF(L924="F-120",6,0))))),0),0)+IF(AND(O924="FIRE TEX 5120",OR(E924="IN",E924="C",E924="Z",E924="L"),J924=4),VLOOKUP(_xlfn.MINIFS('FIRE TEX 5120'!$H$4:$H$40,'FIRE TEX 5120'!$H$4:$H$40,"&gt;="&amp;M924),'FIRE TEX 5120'!$H$4:$M$40,IF(L924="F-15",2,IF(L924="F-30",3,IF(L924="F-60",4,IF(L924="F-90",5,IF(L924="F-120",6,0))))),0),0)+IF(AND(O924="FIRE TEX 5120",E924="CJ"),VLOOKUP(_xlfn.MINIFS('FIRE TEX 5120'!$O$5:$O$40,'FIRE TEX 5120'!$O$5:$O$40,"&gt;="&amp;M924),'FIRE TEX 5120'!$O$5:$T$40,IF(L924="F-15",2,IF(L924="F-30",3,IF(L924="F-60",4,IF(L924="F-90",5,IF(L924="F-120",6,0))))),0),0)</f>
        <v>0</v>
      </c>
      <c r="Q924" s="46">
        <f t="shared" si="89"/>
        <v>0</v>
      </c>
      <c r="R924" s="46">
        <f t="shared" si="90"/>
        <v>0</v>
      </c>
      <c r="S924" s="46" t="e">
        <f t="shared" si="91"/>
        <v>#VALUE!</v>
      </c>
      <c r="T924" s="677">
        <f t="shared" si="92"/>
        <v>0</v>
      </c>
      <c r="U924" s="80">
        <f>(IF(O924="Stofire",(S924*#REF!),0))+(IF(O924="Fire Control",(S924*$U$2),0))+(IF(O924="Fire Tex",(S924*$U$3),0))+(IF(O924="WB7",(S924*#REF!),0)+(IF(O924="FX 2003",(S924*$U$5),0)))</f>
        <v>0</v>
      </c>
      <c r="V924" s="651">
        <f t="shared" si="93"/>
        <v>0</v>
      </c>
    </row>
    <row r="925" spans="4:22" x14ac:dyDescent="0.25">
      <c r="D925" s="118">
        <f>+CUBICACION!D924</f>
        <v>0</v>
      </c>
      <c r="E925" s="118">
        <f>+CUBICACION!F924</f>
        <v>0</v>
      </c>
      <c r="F925" s="118">
        <f>+CUBICACION!E924</f>
        <v>0</v>
      </c>
      <c r="G925" s="118">
        <v>12</v>
      </c>
      <c r="H925" s="118">
        <v>2</v>
      </c>
      <c r="I925" s="820">
        <v>26385</v>
      </c>
      <c r="J925" s="118">
        <f>+CUBICACION!J924</f>
        <v>0</v>
      </c>
      <c r="K925" s="118">
        <v>3704</v>
      </c>
      <c r="L925" s="118">
        <f>+CUBICACION!L924</f>
        <v>0</v>
      </c>
      <c r="M925" s="64">
        <f>+CUBICACION!M924</f>
        <v>0</v>
      </c>
      <c r="N925" s="824" t="str">
        <f>+CUBICACION!N924</f>
        <v/>
      </c>
      <c r="O925" s="675">
        <f>+CUBICACION!O924</f>
        <v>0</v>
      </c>
      <c r="P925" s="15">
        <f>IF(O925="Fire Control",VLOOKUP(_xlfn.MINIFS('FIRE CONTROL'!$C$4:$C$37,'FIRE CONTROL'!$C$4:$C$37,"&gt;="&amp;M925),'FIRE CONTROL'!$C$4:$G$37,IF(L925="F-15",2,IF(L925="F-30",3,IF(L925="F-60",4,IF(L925="F-90",5,0)))),0),0)+IF(AND(O925="FIRE TEX 5062",OR(E925="IN",E925="C",E925="Z",E925="L"),J925=3),VLOOKUP(_xlfn.MINIFS('FIRE TEX 5062'!$B$4:$B$34,'FIRE TEX 5062'!$B$4:$B$34,"&gt;="&amp;M925),'FIRE TEX 5062'!$B$4:$F$34,IF(L925="F-15",2,IF(L925="F-30",3,IF(L925="F-60",4,IF(L925="F-90",5,0)))),0),0)+IF(AND(O925="FIRE TEX 5062",OR(E925="IN",E925="C",E925="Z",E925="L"),J925=4),VLOOKUP(_xlfn.MINIFS('FIRE TEX 5062'!$G$4:$G$34,'FIRE TEX 5062'!$G$4:$G$34,"&gt;="&amp;M925),'FIRE TEX 5062'!$G$4:$K$34,IF(L925="F-15",2,IF(L925="F-30",3,IF(L925="F-60",4,IF(L925="F-90",5,0)))),0),0)+IF(AND(O925="FIRE TEX 5062",E925="CJ",J925=3),VLOOKUP(_xlfn.MINIFS('FIRE TEX 5062'!$L$4:$L$34,'FIRE TEX 5062'!$L$4:$L$34,"&gt;="&amp;M925),'FIRE TEX 5062'!$L$4:$P$34,IF(L925="F-15",2,IF(L925="F-30",3,IF(L925="F-60",4,IF(L925="F-90",5,0)))),0),0)+IF(AND(O925="FIRE TEX 5062",E925="CJ",J925=4),VLOOKUP(_xlfn.MINIFS('FIRE TEX 5062'!$Q$3:$Q$34,'FIRE TEX 5062'!$Q$3:$Q$34,"&gt;="&amp;M925),'FIRE TEX 5062'!$Q$3:$U$34,IF(L925="F-15",2,IF(L925="F-30",3,IF(L925="F-60",4,IF(L925="F-90",5,0)))),0),0)+IF(AND(O925="FIRE TEX 5090",OR(E925="IN",E925="C",E925="Z",E925="L"),J925=3),VLOOKUP(_xlfn.MINIFS('FIRE TEX 5090'!$B$5:$B$43,'FIRE TEX 5090'!$B$5:$B$43,"&gt;="&amp;M925),'FIRE TEX 5090'!$B$5:$H$43,IF(L925="F-15",2,IF(L925="F-30",3,IF(L925="F-60",4,IF(L925="F-90",5,IF(L925="F-120",6,IF(L925="F-150",7,0)))))),0),0)+IF(AND(O925="FIRE TEX 5090",OR(E925="IN",E925="C",E925="Z",E925="L"),J925=4),VLOOKUP(_xlfn.MINIFS('FIRE TEX 5090'!$J$5:$J$43,'FIRE TEX 5090'!$J$5:$J$43,"&gt;="&amp;M925),'FIRE TEX 5090'!$J$5:$P$43,IF(L925="F-15",2,IF(L925="F-30",3,IF(L925="F-60",4,IF(L925="F-90",5,IF(L925="F-120",6,IF(L925="F-150",7,0)))))),0),0)+IF(AND(O925="FIRE TEX 5090",E925="CJ",J925=3),VLOOKUP(_xlfn.MINIFS('FIRE TEX 5090'!$R$5:$R$30,'FIRE TEX 5090'!$R$5:$R$30,"&gt;="&amp;M925),'FIRE TEX 5090'!$R$5:$W$30,IF(L925="F-15",2,IF(L925="F-30",3,IF(L925="F-60",4,IF(L925="F-90",5,IF(L925="F-120",6,IF(L925="F-150",7,0)))))),0),0)+IF(AND(O925="FIRE TEX 5090",E925="CJ",J925=4),VLOOKUP(_xlfn.MINIFS('FIRE TEX 5090'!$Y$5:$Y$39,'FIRE TEX 5090'!$Y$5:$Y$39,"&gt;="&amp;M925),'FIRE TEX 5090'!$Y$5:$AD$39,IF(L925="F-15",2,IF(L925="F-30",3,IF(L925="F-60",4,IF(L925="F-90",5,IF(L925="F-120",6,IF(L925="F-150",7,0)))))),0),0)+IF(AND(O925="FIRE TEX 5120",OR(E925="IN",E925="C",E925="Z",E925="L"),J925=3),VLOOKUP(_xlfn.MINIFS('FIRE TEX 5120'!$B$5:$B$40,'FIRE TEX 5120'!$B$5:$B$40,"&gt;="&amp;M925),'FIRE TEX 5120'!$B$5:$G$40,IF(L925="F-15",2,IF(L925="F-30",3,IF(L925="F-60",4,IF(L925="F-90",5,IF(L925="F-120",6,0))))),0),0)+IF(AND(O925="FIRE TEX 5120",OR(E925="IN",E925="C",E925="Z",E925="L"),J925=4),VLOOKUP(_xlfn.MINIFS('FIRE TEX 5120'!$H$4:$H$40,'FIRE TEX 5120'!$H$4:$H$40,"&gt;="&amp;M925),'FIRE TEX 5120'!$H$4:$M$40,IF(L925="F-15",2,IF(L925="F-30",3,IF(L925="F-60",4,IF(L925="F-90",5,IF(L925="F-120",6,0))))),0),0)+IF(AND(O925="FIRE TEX 5120",E925="CJ"),VLOOKUP(_xlfn.MINIFS('FIRE TEX 5120'!$O$5:$O$40,'FIRE TEX 5120'!$O$5:$O$40,"&gt;="&amp;M925),'FIRE TEX 5120'!$O$5:$T$40,IF(L925="F-15",2,IF(L925="F-30",3,IF(L925="F-60",4,IF(L925="F-90",5,IF(L925="F-120",6,0))))),0),0)</f>
        <v>0</v>
      </c>
      <c r="Q925" s="46">
        <f t="shared" si="89"/>
        <v>0</v>
      </c>
      <c r="R925" s="46">
        <f t="shared" si="90"/>
        <v>0</v>
      </c>
      <c r="S925" s="46" t="e">
        <f t="shared" si="91"/>
        <v>#VALUE!</v>
      </c>
      <c r="T925" s="677">
        <f t="shared" si="92"/>
        <v>0</v>
      </c>
      <c r="U925" s="80">
        <f>(IF(O925="Stofire",(S925*#REF!),0))+(IF(O925="Fire Control",(S925*$U$2),0))+(IF(O925="Fire Tex",(S925*$U$3),0))+(IF(O925="WB7",(S925*#REF!),0)+(IF(O925="FX 2003",(S925*$U$5),0)))</f>
        <v>0</v>
      </c>
      <c r="V925" s="651">
        <f t="shared" si="93"/>
        <v>0</v>
      </c>
    </row>
    <row r="926" spans="4:22" x14ac:dyDescent="0.25">
      <c r="D926" s="118">
        <f>+CUBICACION!D925</f>
        <v>0</v>
      </c>
      <c r="E926" s="118">
        <f>+CUBICACION!F925</f>
        <v>0</v>
      </c>
      <c r="F926" s="118">
        <f>+CUBICACION!E925</f>
        <v>0</v>
      </c>
      <c r="G926" s="118">
        <v>12</v>
      </c>
      <c r="H926" s="118">
        <v>2</v>
      </c>
      <c r="I926" s="820">
        <v>26385</v>
      </c>
      <c r="J926" s="118">
        <f>+CUBICACION!J925</f>
        <v>0</v>
      </c>
      <c r="K926" s="118">
        <v>3705</v>
      </c>
      <c r="L926" s="118">
        <f>+CUBICACION!L925</f>
        <v>0</v>
      </c>
      <c r="M926" s="64">
        <f>+CUBICACION!M925</f>
        <v>0</v>
      </c>
      <c r="N926" s="824" t="str">
        <f>+CUBICACION!N925</f>
        <v/>
      </c>
      <c r="O926" s="675">
        <f>+CUBICACION!O925</f>
        <v>0</v>
      </c>
      <c r="P926" s="15">
        <f>IF(O926="Fire Control",VLOOKUP(_xlfn.MINIFS('FIRE CONTROL'!$C$4:$C$37,'FIRE CONTROL'!$C$4:$C$37,"&gt;="&amp;M926),'FIRE CONTROL'!$C$4:$G$37,IF(L926="F-15",2,IF(L926="F-30",3,IF(L926="F-60",4,IF(L926="F-90",5,0)))),0),0)+IF(AND(O926="FIRE TEX 5062",OR(E926="IN",E926="C",E926="Z",E926="L"),J926=3),VLOOKUP(_xlfn.MINIFS('FIRE TEX 5062'!$B$4:$B$34,'FIRE TEX 5062'!$B$4:$B$34,"&gt;="&amp;M926),'FIRE TEX 5062'!$B$4:$F$34,IF(L926="F-15",2,IF(L926="F-30",3,IF(L926="F-60",4,IF(L926="F-90",5,0)))),0),0)+IF(AND(O926="FIRE TEX 5062",OR(E926="IN",E926="C",E926="Z",E926="L"),J926=4),VLOOKUP(_xlfn.MINIFS('FIRE TEX 5062'!$G$4:$G$34,'FIRE TEX 5062'!$G$4:$G$34,"&gt;="&amp;M926),'FIRE TEX 5062'!$G$4:$K$34,IF(L926="F-15",2,IF(L926="F-30",3,IF(L926="F-60",4,IF(L926="F-90",5,0)))),0),0)+IF(AND(O926="FIRE TEX 5062",E926="CJ",J926=3),VLOOKUP(_xlfn.MINIFS('FIRE TEX 5062'!$L$4:$L$34,'FIRE TEX 5062'!$L$4:$L$34,"&gt;="&amp;M926),'FIRE TEX 5062'!$L$4:$P$34,IF(L926="F-15",2,IF(L926="F-30",3,IF(L926="F-60",4,IF(L926="F-90",5,0)))),0),0)+IF(AND(O926="FIRE TEX 5062",E926="CJ",J926=4),VLOOKUP(_xlfn.MINIFS('FIRE TEX 5062'!$Q$3:$Q$34,'FIRE TEX 5062'!$Q$3:$Q$34,"&gt;="&amp;M926),'FIRE TEX 5062'!$Q$3:$U$34,IF(L926="F-15",2,IF(L926="F-30",3,IF(L926="F-60",4,IF(L926="F-90",5,0)))),0),0)+IF(AND(O926="FIRE TEX 5090",OR(E926="IN",E926="C",E926="Z",E926="L"),J926=3),VLOOKUP(_xlfn.MINIFS('FIRE TEX 5090'!$B$5:$B$43,'FIRE TEX 5090'!$B$5:$B$43,"&gt;="&amp;M926),'FIRE TEX 5090'!$B$5:$H$43,IF(L926="F-15",2,IF(L926="F-30",3,IF(L926="F-60",4,IF(L926="F-90",5,IF(L926="F-120",6,IF(L926="F-150",7,0)))))),0),0)+IF(AND(O926="FIRE TEX 5090",OR(E926="IN",E926="C",E926="Z",E926="L"),J926=4),VLOOKUP(_xlfn.MINIFS('FIRE TEX 5090'!$J$5:$J$43,'FIRE TEX 5090'!$J$5:$J$43,"&gt;="&amp;M926),'FIRE TEX 5090'!$J$5:$P$43,IF(L926="F-15",2,IF(L926="F-30",3,IF(L926="F-60",4,IF(L926="F-90",5,IF(L926="F-120",6,IF(L926="F-150",7,0)))))),0),0)+IF(AND(O926="FIRE TEX 5090",E926="CJ",J926=3),VLOOKUP(_xlfn.MINIFS('FIRE TEX 5090'!$R$5:$R$30,'FIRE TEX 5090'!$R$5:$R$30,"&gt;="&amp;M926),'FIRE TEX 5090'!$R$5:$W$30,IF(L926="F-15",2,IF(L926="F-30",3,IF(L926="F-60",4,IF(L926="F-90",5,IF(L926="F-120",6,IF(L926="F-150",7,0)))))),0),0)+IF(AND(O926="FIRE TEX 5090",E926="CJ",J926=4),VLOOKUP(_xlfn.MINIFS('FIRE TEX 5090'!$Y$5:$Y$39,'FIRE TEX 5090'!$Y$5:$Y$39,"&gt;="&amp;M926),'FIRE TEX 5090'!$Y$5:$AD$39,IF(L926="F-15",2,IF(L926="F-30",3,IF(L926="F-60",4,IF(L926="F-90",5,IF(L926="F-120",6,IF(L926="F-150",7,0)))))),0),0)+IF(AND(O926="FIRE TEX 5120",OR(E926="IN",E926="C",E926="Z",E926="L"),J926=3),VLOOKUP(_xlfn.MINIFS('FIRE TEX 5120'!$B$5:$B$40,'FIRE TEX 5120'!$B$5:$B$40,"&gt;="&amp;M926),'FIRE TEX 5120'!$B$5:$G$40,IF(L926="F-15",2,IF(L926="F-30",3,IF(L926="F-60",4,IF(L926="F-90",5,IF(L926="F-120",6,0))))),0),0)+IF(AND(O926="FIRE TEX 5120",OR(E926="IN",E926="C",E926="Z",E926="L"),J926=4),VLOOKUP(_xlfn.MINIFS('FIRE TEX 5120'!$H$4:$H$40,'FIRE TEX 5120'!$H$4:$H$40,"&gt;="&amp;M926),'FIRE TEX 5120'!$H$4:$M$40,IF(L926="F-15",2,IF(L926="F-30",3,IF(L926="F-60",4,IF(L926="F-90",5,IF(L926="F-120",6,0))))),0),0)+IF(AND(O926="FIRE TEX 5120",E926="CJ"),VLOOKUP(_xlfn.MINIFS('FIRE TEX 5120'!$O$5:$O$40,'FIRE TEX 5120'!$O$5:$O$40,"&gt;="&amp;M926),'FIRE TEX 5120'!$O$5:$T$40,IF(L926="F-15",2,IF(L926="F-30",3,IF(L926="F-60",4,IF(L926="F-90",5,IF(L926="F-120",6,0))))),0),0)</f>
        <v>0</v>
      </c>
      <c r="Q926" s="46">
        <f t="shared" si="89"/>
        <v>0</v>
      </c>
      <c r="R926" s="46">
        <f t="shared" si="90"/>
        <v>0</v>
      </c>
      <c r="S926" s="46" t="e">
        <f t="shared" si="91"/>
        <v>#VALUE!</v>
      </c>
      <c r="T926" s="677">
        <f t="shared" si="92"/>
        <v>0</v>
      </c>
      <c r="U926" s="80">
        <f>(IF(O926="Stofire",(S926*#REF!),0))+(IF(O926="Fire Control",(S926*$U$2),0))+(IF(O926="Fire Tex",(S926*$U$3),0))+(IF(O926="WB7",(S926*#REF!),0)+(IF(O926="FX 2003",(S926*$U$5),0)))</f>
        <v>0</v>
      </c>
      <c r="V926" s="651">
        <f t="shared" si="93"/>
        <v>0</v>
      </c>
    </row>
    <row r="927" spans="4:22" x14ac:dyDescent="0.25">
      <c r="D927" s="118">
        <f>+CUBICACION!D926</f>
        <v>0</v>
      </c>
      <c r="E927" s="118">
        <f>+CUBICACION!F926</f>
        <v>0</v>
      </c>
      <c r="F927" s="118">
        <f>+CUBICACION!E926</f>
        <v>0</v>
      </c>
      <c r="G927" s="118">
        <v>12</v>
      </c>
      <c r="H927" s="118">
        <v>2</v>
      </c>
      <c r="I927" s="820">
        <v>26385</v>
      </c>
      <c r="J927" s="118">
        <f>+CUBICACION!J926</f>
        <v>0</v>
      </c>
      <c r="K927" s="118">
        <v>3706</v>
      </c>
      <c r="L927" s="118">
        <f>+CUBICACION!L926</f>
        <v>0</v>
      </c>
      <c r="M927" s="64">
        <f>+CUBICACION!M926</f>
        <v>0</v>
      </c>
      <c r="N927" s="824" t="str">
        <f>+CUBICACION!N926</f>
        <v/>
      </c>
      <c r="O927" s="675">
        <f>+CUBICACION!O926</f>
        <v>0</v>
      </c>
      <c r="P927" s="15">
        <f>IF(O927="Fire Control",VLOOKUP(_xlfn.MINIFS('FIRE CONTROL'!$C$4:$C$37,'FIRE CONTROL'!$C$4:$C$37,"&gt;="&amp;M927),'FIRE CONTROL'!$C$4:$G$37,IF(L927="F-15",2,IF(L927="F-30",3,IF(L927="F-60",4,IF(L927="F-90",5,0)))),0),0)+IF(AND(O927="FIRE TEX 5062",OR(E927="IN",E927="C",E927="Z",E927="L"),J927=3),VLOOKUP(_xlfn.MINIFS('FIRE TEX 5062'!$B$4:$B$34,'FIRE TEX 5062'!$B$4:$B$34,"&gt;="&amp;M927),'FIRE TEX 5062'!$B$4:$F$34,IF(L927="F-15",2,IF(L927="F-30",3,IF(L927="F-60",4,IF(L927="F-90",5,0)))),0),0)+IF(AND(O927="FIRE TEX 5062",OR(E927="IN",E927="C",E927="Z",E927="L"),J927=4),VLOOKUP(_xlfn.MINIFS('FIRE TEX 5062'!$G$4:$G$34,'FIRE TEX 5062'!$G$4:$G$34,"&gt;="&amp;M927),'FIRE TEX 5062'!$G$4:$K$34,IF(L927="F-15",2,IF(L927="F-30",3,IF(L927="F-60",4,IF(L927="F-90",5,0)))),0),0)+IF(AND(O927="FIRE TEX 5062",E927="CJ",J927=3),VLOOKUP(_xlfn.MINIFS('FIRE TEX 5062'!$L$4:$L$34,'FIRE TEX 5062'!$L$4:$L$34,"&gt;="&amp;M927),'FIRE TEX 5062'!$L$4:$P$34,IF(L927="F-15",2,IF(L927="F-30",3,IF(L927="F-60",4,IF(L927="F-90",5,0)))),0),0)+IF(AND(O927="FIRE TEX 5062",E927="CJ",J927=4),VLOOKUP(_xlfn.MINIFS('FIRE TEX 5062'!$Q$3:$Q$34,'FIRE TEX 5062'!$Q$3:$Q$34,"&gt;="&amp;M927),'FIRE TEX 5062'!$Q$3:$U$34,IF(L927="F-15",2,IF(L927="F-30",3,IF(L927="F-60",4,IF(L927="F-90",5,0)))),0),0)+IF(AND(O927="FIRE TEX 5090",OR(E927="IN",E927="C",E927="Z",E927="L"),J927=3),VLOOKUP(_xlfn.MINIFS('FIRE TEX 5090'!$B$5:$B$43,'FIRE TEX 5090'!$B$5:$B$43,"&gt;="&amp;M927),'FIRE TEX 5090'!$B$5:$H$43,IF(L927="F-15",2,IF(L927="F-30",3,IF(L927="F-60",4,IF(L927="F-90",5,IF(L927="F-120",6,IF(L927="F-150",7,0)))))),0),0)+IF(AND(O927="FIRE TEX 5090",OR(E927="IN",E927="C",E927="Z",E927="L"),J927=4),VLOOKUP(_xlfn.MINIFS('FIRE TEX 5090'!$J$5:$J$43,'FIRE TEX 5090'!$J$5:$J$43,"&gt;="&amp;M927),'FIRE TEX 5090'!$J$5:$P$43,IF(L927="F-15",2,IF(L927="F-30",3,IF(L927="F-60",4,IF(L927="F-90",5,IF(L927="F-120",6,IF(L927="F-150",7,0)))))),0),0)+IF(AND(O927="FIRE TEX 5090",E927="CJ",J927=3),VLOOKUP(_xlfn.MINIFS('FIRE TEX 5090'!$R$5:$R$30,'FIRE TEX 5090'!$R$5:$R$30,"&gt;="&amp;M927),'FIRE TEX 5090'!$R$5:$W$30,IF(L927="F-15",2,IF(L927="F-30",3,IF(L927="F-60",4,IF(L927="F-90",5,IF(L927="F-120",6,IF(L927="F-150",7,0)))))),0),0)+IF(AND(O927="FIRE TEX 5090",E927="CJ",J927=4),VLOOKUP(_xlfn.MINIFS('FIRE TEX 5090'!$Y$5:$Y$39,'FIRE TEX 5090'!$Y$5:$Y$39,"&gt;="&amp;M927),'FIRE TEX 5090'!$Y$5:$AD$39,IF(L927="F-15",2,IF(L927="F-30",3,IF(L927="F-60",4,IF(L927="F-90",5,IF(L927="F-120",6,IF(L927="F-150",7,0)))))),0),0)+IF(AND(O927="FIRE TEX 5120",OR(E927="IN",E927="C",E927="Z",E927="L"),J927=3),VLOOKUP(_xlfn.MINIFS('FIRE TEX 5120'!$B$5:$B$40,'FIRE TEX 5120'!$B$5:$B$40,"&gt;="&amp;M927),'FIRE TEX 5120'!$B$5:$G$40,IF(L927="F-15",2,IF(L927="F-30",3,IF(L927="F-60",4,IF(L927="F-90",5,IF(L927="F-120",6,0))))),0),0)+IF(AND(O927="FIRE TEX 5120",OR(E927="IN",E927="C",E927="Z",E927="L"),J927=4),VLOOKUP(_xlfn.MINIFS('FIRE TEX 5120'!$H$4:$H$40,'FIRE TEX 5120'!$H$4:$H$40,"&gt;="&amp;M927),'FIRE TEX 5120'!$H$4:$M$40,IF(L927="F-15",2,IF(L927="F-30",3,IF(L927="F-60",4,IF(L927="F-90",5,IF(L927="F-120",6,0))))),0),0)+IF(AND(O927="FIRE TEX 5120",E927="CJ"),VLOOKUP(_xlfn.MINIFS('FIRE TEX 5120'!$O$5:$O$40,'FIRE TEX 5120'!$O$5:$O$40,"&gt;="&amp;M927),'FIRE TEX 5120'!$O$5:$T$40,IF(L927="F-15",2,IF(L927="F-30",3,IF(L927="F-60",4,IF(L927="F-90",5,IF(L927="F-120",6,0))))),0),0)</f>
        <v>0</v>
      </c>
      <c r="Q927" s="46">
        <f t="shared" si="89"/>
        <v>0</v>
      </c>
      <c r="R927" s="46">
        <f t="shared" si="90"/>
        <v>0</v>
      </c>
      <c r="S927" s="46" t="e">
        <f t="shared" si="91"/>
        <v>#VALUE!</v>
      </c>
      <c r="T927" s="677">
        <f t="shared" si="92"/>
        <v>0</v>
      </c>
      <c r="U927" s="80">
        <f>(IF(O927="Stofire",(S927*#REF!),0))+(IF(O927="Fire Control",(S927*$U$2),0))+(IF(O927="Fire Tex",(S927*$U$3),0))+(IF(O927="WB7",(S927*#REF!),0)+(IF(O927="FX 2003",(S927*$U$5),0)))</f>
        <v>0</v>
      </c>
      <c r="V927" s="651">
        <f t="shared" si="93"/>
        <v>0</v>
      </c>
    </row>
    <row r="928" spans="4:22" x14ac:dyDescent="0.25">
      <c r="D928" s="118">
        <f>+CUBICACION!D927</f>
        <v>0</v>
      </c>
      <c r="E928" s="118">
        <f>+CUBICACION!F927</f>
        <v>0</v>
      </c>
      <c r="F928" s="118">
        <f>+CUBICACION!E927</f>
        <v>0</v>
      </c>
      <c r="G928" s="118">
        <v>12</v>
      </c>
      <c r="H928" s="118">
        <v>2</v>
      </c>
      <c r="I928" s="820">
        <v>26385</v>
      </c>
      <c r="J928" s="118">
        <f>+CUBICACION!J927</f>
        <v>0</v>
      </c>
      <c r="K928" s="118">
        <v>3707</v>
      </c>
      <c r="L928" s="118">
        <f>+CUBICACION!L927</f>
        <v>0</v>
      </c>
      <c r="M928" s="64">
        <f>+CUBICACION!M927</f>
        <v>0</v>
      </c>
      <c r="N928" s="824" t="str">
        <f>+CUBICACION!N927</f>
        <v/>
      </c>
      <c r="O928" s="675">
        <f>+CUBICACION!O927</f>
        <v>0</v>
      </c>
      <c r="P928" s="15">
        <f>IF(O928="Fire Control",VLOOKUP(_xlfn.MINIFS('FIRE CONTROL'!$C$4:$C$37,'FIRE CONTROL'!$C$4:$C$37,"&gt;="&amp;M928),'FIRE CONTROL'!$C$4:$G$37,IF(L928="F-15",2,IF(L928="F-30",3,IF(L928="F-60",4,IF(L928="F-90",5,0)))),0),0)+IF(AND(O928="FIRE TEX 5062",OR(E928="IN",E928="C",E928="Z",E928="L"),J928=3),VLOOKUP(_xlfn.MINIFS('FIRE TEX 5062'!$B$4:$B$34,'FIRE TEX 5062'!$B$4:$B$34,"&gt;="&amp;M928),'FIRE TEX 5062'!$B$4:$F$34,IF(L928="F-15",2,IF(L928="F-30",3,IF(L928="F-60",4,IF(L928="F-90",5,0)))),0),0)+IF(AND(O928="FIRE TEX 5062",OR(E928="IN",E928="C",E928="Z",E928="L"),J928=4),VLOOKUP(_xlfn.MINIFS('FIRE TEX 5062'!$G$4:$G$34,'FIRE TEX 5062'!$G$4:$G$34,"&gt;="&amp;M928),'FIRE TEX 5062'!$G$4:$K$34,IF(L928="F-15",2,IF(L928="F-30",3,IF(L928="F-60",4,IF(L928="F-90",5,0)))),0),0)+IF(AND(O928="FIRE TEX 5062",E928="CJ",J928=3),VLOOKUP(_xlfn.MINIFS('FIRE TEX 5062'!$L$4:$L$34,'FIRE TEX 5062'!$L$4:$L$34,"&gt;="&amp;M928),'FIRE TEX 5062'!$L$4:$P$34,IF(L928="F-15",2,IF(L928="F-30",3,IF(L928="F-60",4,IF(L928="F-90",5,0)))),0),0)+IF(AND(O928="FIRE TEX 5062",E928="CJ",J928=4),VLOOKUP(_xlfn.MINIFS('FIRE TEX 5062'!$Q$3:$Q$34,'FIRE TEX 5062'!$Q$3:$Q$34,"&gt;="&amp;M928),'FIRE TEX 5062'!$Q$3:$U$34,IF(L928="F-15",2,IF(L928="F-30",3,IF(L928="F-60",4,IF(L928="F-90",5,0)))),0),0)+IF(AND(O928="FIRE TEX 5090",OR(E928="IN",E928="C",E928="Z",E928="L"),J928=3),VLOOKUP(_xlfn.MINIFS('FIRE TEX 5090'!$B$5:$B$43,'FIRE TEX 5090'!$B$5:$B$43,"&gt;="&amp;M928),'FIRE TEX 5090'!$B$5:$H$43,IF(L928="F-15",2,IF(L928="F-30",3,IF(L928="F-60",4,IF(L928="F-90",5,IF(L928="F-120",6,IF(L928="F-150",7,0)))))),0),0)+IF(AND(O928="FIRE TEX 5090",OR(E928="IN",E928="C",E928="Z",E928="L"),J928=4),VLOOKUP(_xlfn.MINIFS('FIRE TEX 5090'!$J$5:$J$43,'FIRE TEX 5090'!$J$5:$J$43,"&gt;="&amp;M928),'FIRE TEX 5090'!$J$5:$P$43,IF(L928="F-15",2,IF(L928="F-30",3,IF(L928="F-60",4,IF(L928="F-90",5,IF(L928="F-120",6,IF(L928="F-150",7,0)))))),0),0)+IF(AND(O928="FIRE TEX 5090",E928="CJ",J928=3),VLOOKUP(_xlfn.MINIFS('FIRE TEX 5090'!$R$5:$R$30,'FIRE TEX 5090'!$R$5:$R$30,"&gt;="&amp;M928),'FIRE TEX 5090'!$R$5:$W$30,IF(L928="F-15",2,IF(L928="F-30",3,IF(L928="F-60",4,IF(L928="F-90",5,IF(L928="F-120",6,IF(L928="F-150",7,0)))))),0),0)+IF(AND(O928="FIRE TEX 5090",E928="CJ",J928=4),VLOOKUP(_xlfn.MINIFS('FIRE TEX 5090'!$Y$5:$Y$39,'FIRE TEX 5090'!$Y$5:$Y$39,"&gt;="&amp;M928),'FIRE TEX 5090'!$Y$5:$AD$39,IF(L928="F-15",2,IF(L928="F-30",3,IF(L928="F-60",4,IF(L928="F-90",5,IF(L928="F-120",6,IF(L928="F-150",7,0)))))),0),0)+IF(AND(O928="FIRE TEX 5120",OR(E928="IN",E928="C",E928="Z",E928="L"),J928=3),VLOOKUP(_xlfn.MINIFS('FIRE TEX 5120'!$B$5:$B$40,'FIRE TEX 5120'!$B$5:$B$40,"&gt;="&amp;M928),'FIRE TEX 5120'!$B$5:$G$40,IF(L928="F-15",2,IF(L928="F-30",3,IF(L928="F-60",4,IF(L928="F-90",5,IF(L928="F-120",6,0))))),0),0)+IF(AND(O928="FIRE TEX 5120",OR(E928="IN",E928="C",E928="Z",E928="L"),J928=4),VLOOKUP(_xlfn.MINIFS('FIRE TEX 5120'!$H$4:$H$40,'FIRE TEX 5120'!$H$4:$H$40,"&gt;="&amp;M928),'FIRE TEX 5120'!$H$4:$M$40,IF(L928="F-15",2,IF(L928="F-30",3,IF(L928="F-60",4,IF(L928="F-90",5,IF(L928="F-120",6,0))))),0),0)+IF(AND(O928="FIRE TEX 5120",E928="CJ"),VLOOKUP(_xlfn.MINIFS('FIRE TEX 5120'!$O$5:$O$40,'FIRE TEX 5120'!$O$5:$O$40,"&gt;="&amp;M928),'FIRE TEX 5120'!$O$5:$T$40,IF(L928="F-15",2,IF(L928="F-30",3,IF(L928="F-60",4,IF(L928="F-90",5,IF(L928="F-120",6,0))))),0),0)</f>
        <v>0</v>
      </c>
      <c r="Q928" s="46">
        <f t="shared" si="89"/>
        <v>0</v>
      </c>
      <c r="R928" s="46">
        <f t="shared" si="90"/>
        <v>0</v>
      </c>
      <c r="S928" s="46" t="e">
        <f t="shared" si="91"/>
        <v>#VALUE!</v>
      </c>
      <c r="T928" s="677">
        <f t="shared" si="92"/>
        <v>0</v>
      </c>
      <c r="U928" s="80">
        <f>(IF(O928="Stofire",(S928*#REF!),0))+(IF(O928="Fire Control",(S928*$U$2),0))+(IF(O928="Fire Tex",(S928*$U$3),0))+(IF(O928="WB7",(S928*#REF!),0)+(IF(O928="FX 2003",(S928*$U$5),0)))</f>
        <v>0</v>
      </c>
      <c r="V928" s="651">
        <f t="shared" si="93"/>
        <v>0</v>
      </c>
    </row>
    <row r="929" spans="4:22" x14ac:dyDescent="0.25">
      <c r="D929" s="118">
        <f>+CUBICACION!D928</f>
        <v>0</v>
      </c>
      <c r="E929" s="118">
        <f>+CUBICACION!F928</f>
        <v>0</v>
      </c>
      <c r="F929" s="118">
        <f>+CUBICACION!E928</f>
        <v>0</v>
      </c>
      <c r="G929" s="118">
        <v>12</v>
      </c>
      <c r="H929" s="118">
        <v>2</v>
      </c>
      <c r="I929" s="820">
        <v>26385</v>
      </c>
      <c r="J929" s="118">
        <f>+CUBICACION!J928</f>
        <v>0</v>
      </c>
      <c r="K929" s="118">
        <v>3708</v>
      </c>
      <c r="L929" s="118">
        <f>+CUBICACION!L928</f>
        <v>0</v>
      </c>
      <c r="M929" s="64">
        <f>+CUBICACION!M928</f>
        <v>0</v>
      </c>
      <c r="N929" s="824" t="str">
        <f>+CUBICACION!N928</f>
        <v/>
      </c>
      <c r="O929" s="675">
        <f>+CUBICACION!O928</f>
        <v>0</v>
      </c>
      <c r="P929" s="15">
        <f>IF(O929="Fire Control",VLOOKUP(_xlfn.MINIFS('FIRE CONTROL'!$C$4:$C$37,'FIRE CONTROL'!$C$4:$C$37,"&gt;="&amp;M929),'FIRE CONTROL'!$C$4:$G$37,IF(L929="F-15",2,IF(L929="F-30",3,IF(L929="F-60",4,IF(L929="F-90",5,0)))),0),0)+IF(AND(O929="FIRE TEX 5062",OR(E929="IN",E929="C",E929="Z",E929="L"),J929=3),VLOOKUP(_xlfn.MINIFS('FIRE TEX 5062'!$B$4:$B$34,'FIRE TEX 5062'!$B$4:$B$34,"&gt;="&amp;M929),'FIRE TEX 5062'!$B$4:$F$34,IF(L929="F-15",2,IF(L929="F-30",3,IF(L929="F-60",4,IF(L929="F-90",5,0)))),0),0)+IF(AND(O929="FIRE TEX 5062",OR(E929="IN",E929="C",E929="Z",E929="L"),J929=4),VLOOKUP(_xlfn.MINIFS('FIRE TEX 5062'!$G$4:$G$34,'FIRE TEX 5062'!$G$4:$G$34,"&gt;="&amp;M929),'FIRE TEX 5062'!$G$4:$K$34,IF(L929="F-15",2,IF(L929="F-30",3,IF(L929="F-60",4,IF(L929="F-90",5,0)))),0),0)+IF(AND(O929="FIRE TEX 5062",E929="CJ",J929=3),VLOOKUP(_xlfn.MINIFS('FIRE TEX 5062'!$L$4:$L$34,'FIRE TEX 5062'!$L$4:$L$34,"&gt;="&amp;M929),'FIRE TEX 5062'!$L$4:$P$34,IF(L929="F-15",2,IF(L929="F-30",3,IF(L929="F-60",4,IF(L929="F-90",5,0)))),0),0)+IF(AND(O929="FIRE TEX 5062",E929="CJ",J929=4),VLOOKUP(_xlfn.MINIFS('FIRE TEX 5062'!$Q$3:$Q$34,'FIRE TEX 5062'!$Q$3:$Q$34,"&gt;="&amp;M929),'FIRE TEX 5062'!$Q$3:$U$34,IF(L929="F-15",2,IF(L929="F-30",3,IF(L929="F-60",4,IF(L929="F-90",5,0)))),0),0)+IF(AND(O929="FIRE TEX 5090",OR(E929="IN",E929="C",E929="Z",E929="L"),J929=3),VLOOKUP(_xlfn.MINIFS('FIRE TEX 5090'!$B$5:$B$43,'FIRE TEX 5090'!$B$5:$B$43,"&gt;="&amp;M929),'FIRE TEX 5090'!$B$5:$H$43,IF(L929="F-15",2,IF(L929="F-30",3,IF(L929="F-60",4,IF(L929="F-90",5,IF(L929="F-120",6,IF(L929="F-150",7,0)))))),0),0)+IF(AND(O929="FIRE TEX 5090",OR(E929="IN",E929="C",E929="Z",E929="L"),J929=4),VLOOKUP(_xlfn.MINIFS('FIRE TEX 5090'!$J$5:$J$43,'FIRE TEX 5090'!$J$5:$J$43,"&gt;="&amp;M929),'FIRE TEX 5090'!$J$5:$P$43,IF(L929="F-15",2,IF(L929="F-30",3,IF(L929="F-60",4,IF(L929="F-90",5,IF(L929="F-120",6,IF(L929="F-150",7,0)))))),0),0)+IF(AND(O929="FIRE TEX 5090",E929="CJ",J929=3),VLOOKUP(_xlfn.MINIFS('FIRE TEX 5090'!$R$5:$R$30,'FIRE TEX 5090'!$R$5:$R$30,"&gt;="&amp;M929),'FIRE TEX 5090'!$R$5:$W$30,IF(L929="F-15",2,IF(L929="F-30",3,IF(L929="F-60",4,IF(L929="F-90",5,IF(L929="F-120",6,IF(L929="F-150",7,0)))))),0),0)+IF(AND(O929="FIRE TEX 5090",E929="CJ",J929=4),VLOOKUP(_xlfn.MINIFS('FIRE TEX 5090'!$Y$5:$Y$39,'FIRE TEX 5090'!$Y$5:$Y$39,"&gt;="&amp;M929),'FIRE TEX 5090'!$Y$5:$AD$39,IF(L929="F-15",2,IF(L929="F-30",3,IF(L929="F-60",4,IF(L929="F-90",5,IF(L929="F-120",6,IF(L929="F-150",7,0)))))),0),0)+IF(AND(O929="FIRE TEX 5120",OR(E929="IN",E929="C",E929="Z",E929="L"),J929=3),VLOOKUP(_xlfn.MINIFS('FIRE TEX 5120'!$B$5:$B$40,'FIRE TEX 5120'!$B$5:$B$40,"&gt;="&amp;M929),'FIRE TEX 5120'!$B$5:$G$40,IF(L929="F-15",2,IF(L929="F-30",3,IF(L929="F-60",4,IF(L929="F-90",5,IF(L929="F-120",6,0))))),0),0)+IF(AND(O929="FIRE TEX 5120",OR(E929="IN",E929="C",E929="Z",E929="L"),J929=4),VLOOKUP(_xlfn.MINIFS('FIRE TEX 5120'!$H$4:$H$40,'FIRE TEX 5120'!$H$4:$H$40,"&gt;="&amp;M929),'FIRE TEX 5120'!$H$4:$M$40,IF(L929="F-15",2,IF(L929="F-30",3,IF(L929="F-60",4,IF(L929="F-90",5,IF(L929="F-120",6,0))))),0),0)+IF(AND(O929="FIRE TEX 5120",E929="CJ"),VLOOKUP(_xlfn.MINIFS('FIRE TEX 5120'!$O$5:$O$40,'FIRE TEX 5120'!$O$5:$O$40,"&gt;="&amp;M929),'FIRE TEX 5120'!$O$5:$T$40,IF(L929="F-15",2,IF(L929="F-30",3,IF(L929="F-60",4,IF(L929="F-90",5,IF(L929="F-120",6,0))))),0),0)</f>
        <v>0</v>
      </c>
      <c r="Q929" s="46">
        <f t="shared" si="89"/>
        <v>0</v>
      </c>
      <c r="R929" s="46">
        <f t="shared" si="90"/>
        <v>0</v>
      </c>
      <c r="S929" s="46" t="e">
        <f t="shared" si="91"/>
        <v>#VALUE!</v>
      </c>
      <c r="T929" s="677">
        <f t="shared" si="92"/>
        <v>0</v>
      </c>
      <c r="U929" s="80">
        <f>(IF(O929="Stofire",(S929*#REF!),0))+(IF(O929="Fire Control",(S929*$U$2),0))+(IF(O929="Fire Tex",(S929*$U$3),0))+(IF(O929="WB7",(S929*#REF!),0)+(IF(O929="FX 2003",(S929*$U$5),0)))</f>
        <v>0</v>
      </c>
      <c r="V929" s="651">
        <f t="shared" si="93"/>
        <v>0</v>
      </c>
    </row>
    <row r="930" spans="4:22" x14ac:dyDescent="0.25">
      <c r="D930" s="118">
        <f>+CUBICACION!D929</f>
        <v>0</v>
      </c>
      <c r="E930" s="118">
        <f>+CUBICACION!F929</f>
        <v>0</v>
      </c>
      <c r="F930" s="118">
        <f>+CUBICACION!E929</f>
        <v>0</v>
      </c>
      <c r="G930" s="118">
        <v>12</v>
      </c>
      <c r="H930" s="118">
        <v>2</v>
      </c>
      <c r="I930" s="820">
        <v>26385</v>
      </c>
      <c r="J930" s="118">
        <f>+CUBICACION!J929</f>
        <v>0</v>
      </c>
      <c r="K930" s="118">
        <v>3709</v>
      </c>
      <c r="L930" s="118">
        <f>+CUBICACION!L929</f>
        <v>0</v>
      </c>
      <c r="M930" s="64">
        <f>+CUBICACION!M929</f>
        <v>0</v>
      </c>
      <c r="N930" s="824" t="str">
        <f>+CUBICACION!N929</f>
        <v/>
      </c>
      <c r="O930" s="675">
        <f>+CUBICACION!O929</f>
        <v>0</v>
      </c>
      <c r="P930" s="15">
        <f>IF(O930="Fire Control",VLOOKUP(_xlfn.MINIFS('FIRE CONTROL'!$C$4:$C$37,'FIRE CONTROL'!$C$4:$C$37,"&gt;="&amp;M930),'FIRE CONTROL'!$C$4:$G$37,IF(L930="F-15",2,IF(L930="F-30",3,IF(L930="F-60",4,IF(L930="F-90",5,0)))),0),0)+IF(AND(O930="FIRE TEX 5062",OR(E930="IN",E930="C",E930="Z",E930="L"),J930=3),VLOOKUP(_xlfn.MINIFS('FIRE TEX 5062'!$B$4:$B$34,'FIRE TEX 5062'!$B$4:$B$34,"&gt;="&amp;M930),'FIRE TEX 5062'!$B$4:$F$34,IF(L930="F-15",2,IF(L930="F-30",3,IF(L930="F-60",4,IF(L930="F-90",5,0)))),0),0)+IF(AND(O930="FIRE TEX 5062",OR(E930="IN",E930="C",E930="Z",E930="L"),J930=4),VLOOKUP(_xlfn.MINIFS('FIRE TEX 5062'!$G$4:$G$34,'FIRE TEX 5062'!$G$4:$G$34,"&gt;="&amp;M930),'FIRE TEX 5062'!$G$4:$K$34,IF(L930="F-15",2,IF(L930="F-30",3,IF(L930="F-60",4,IF(L930="F-90",5,0)))),0),0)+IF(AND(O930="FIRE TEX 5062",E930="CJ",J930=3),VLOOKUP(_xlfn.MINIFS('FIRE TEX 5062'!$L$4:$L$34,'FIRE TEX 5062'!$L$4:$L$34,"&gt;="&amp;M930),'FIRE TEX 5062'!$L$4:$P$34,IF(L930="F-15",2,IF(L930="F-30",3,IF(L930="F-60",4,IF(L930="F-90",5,0)))),0),0)+IF(AND(O930="FIRE TEX 5062",E930="CJ",J930=4),VLOOKUP(_xlfn.MINIFS('FIRE TEX 5062'!$Q$3:$Q$34,'FIRE TEX 5062'!$Q$3:$Q$34,"&gt;="&amp;M930),'FIRE TEX 5062'!$Q$3:$U$34,IF(L930="F-15",2,IF(L930="F-30",3,IF(L930="F-60",4,IF(L930="F-90",5,0)))),0),0)+IF(AND(O930="FIRE TEX 5090",OR(E930="IN",E930="C",E930="Z",E930="L"),J930=3),VLOOKUP(_xlfn.MINIFS('FIRE TEX 5090'!$B$5:$B$43,'FIRE TEX 5090'!$B$5:$B$43,"&gt;="&amp;M930),'FIRE TEX 5090'!$B$5:$H$43,IF(L930="F-15",2,IF(L930="F-30",3,IF(L930="F-60",4,IF(L930="F-90",5,IF(L930="F-120",6,IF(L930="F-150",7,0)))))),0),0)+IF(AND(O930="FIRE TEX 5090",OR(E930="IN",E930="C",E930="Z",E930="L"),J930=4),VLOOKUP(_xlfn.MINIFS('FIRE TEX 5090'!$J$5:$J$43,'FIRE TEX 5090'!$J$5:$J$43,"&gt;="&amp;M930),'FIRE TEX 5090'!$J$5:$P$43,IF(L930="F-15",2,IF(L930="F-30",3,IF(L930="F-60",4,IF(L930="F-90",5,IF(L930="F-120",6,IF(L930="F-150",7,0)))))),0),0)+IF(AND(O930="FIRE TEX 5090",E930="CJ",J930=3),VLOOKUP(_xlfn.MINIFS('FIRE TEX 5090'!$R$5:$R$30,'FIRE TEX 5090'!$R$5:$R$30,"&gt;="&amp;M930),'FIRE TEX 5090'!$R$5:$W$30,IF(L930="F-15",2,IF(L930="F-30",3,IF(L930="F-60",4,IF(L930="F-90",5,IF(L930="F-120",6,IF(L930="F-150",7,0)))))),0),0)+IF(AND(O930="FIRE TEX 5090",E930="CJ",J930=4),VLOOKUP(_xlfn.MINIFS('FIRE TEX 5090'!$Y$5:$Y$39,'FIRE TEX 5090'!$Y$5:$Y$39,"&gt;="&amp;M930),'FIRE TEX 5090'!$Y$5:$AD$39,IF(L930="F-15",2,IF(L930="F-30",3,IF(L930="F-60",4,IF(L930="F-90",5,IF(L930="F-120",6,IF(L930="F-150",7,0)))))),0),0)+IF(AND(O930="FIRE TEX 5120",OR(E930="IN",E930="C",E930="Z",E930="L"),J930=3),VLOOKUP(_xlfn.MINIFS('FIRE TEX 5120'!$B$5:$B$40,'FIRE TEX 5120'!$B$5:$B$40,"&gt;="&amp;M930),'FIRE TEX 5120'!$B$5:$G$40,IF(L930="F-15",2,IF(L930="F-30",3,IF(L930="F-60",4,IF(L930="F-90",5,IF(L930="F-120",6,0))))),0),0)+IF(AND(O930="FIRE TEX 5120",OR(E930="IN",E930="C",E930="Z",E930="L"),J930=4),VLOOKUP(_xlfn.MINIFS('FIRE TEX 5120'!$H$4:$H$40,'FIRE TEX 5120'!$H$4:$H$40,"&gt;="&amp;M930),'FIRE TEX 5120'!$H$4:$M$40,IF(L930="F-15",2,IF(L930="F-30",3,IF(L930="F-60",4,IF(L930="F-90",5,IF(L930="F-120",6,0))))),0),0)+IF(AND(O930="FIRE TEX 5120",E930="CJ"),VLOOKUP(_xlfn.MINIFS('FIRE TEX 5120'!$O$5:$O$40,'FIRE TEX 5120'!$O$5:$O$40,"&gt;="&amp;M930),'FIRE TEX 5120'!$O$5:$T$40,IF(L930="F-15",2,IF(L930="F-30",3,IF(L930="F-60",4,IF(L930="F-90",5,IF(L930="F-120",6,0))))),0),0)</f>
        <v>0</v>
      </c>
      <c r="Q930" s="46">
        <f t="shared" si="89"/>
        <v>0</v>
      </c>
      <c r="R930" s="46">
        <f t="shared" si="90"/>
        <v>0</v>
      </c>
      <c r="S930" s="46" t="e">
        <f t="shared" si="91"/>
        <v>#VALUE!</v>
      </c>
      <c r="T930" s="677">
        <f t="shared" si="92"/>
        <v>0</v>
      </c>
      <c r="U930" s="80">
        <f>(IF(O930="Stofire",(S930*#REF!),0))+(IF(O930="Fire Control",(S930*$U$2),0))+(IF(O930="Fire Tex",(S930*$U$3),0))+(IF(O930="WB7",(S930*#REF!),0)+(IF(O930="FX 2003",(S930*$U$5),0)))</f>
        <v>0</v>
      </c>
      <c r="V930" s="651">
        <f t="shared" si="93"/>
        <v>0</v>
      </c>
    </row>
    <row r="931" spans="4:22" x14ac:dyDescent="0.25">
      <c r="D931" s="118">
        <f>+CUBICACION!D930</f>
        <v>0</v>
      </c>
      <c r="E931" s="118">
        <f>+CUBICACION!F930</f>
        <v>0</v>
      </c>
      <c r="F931" s="118">
        <f>+CUBICACION!E930</f>
        <v>0</v>
      </c>
      <c r="G931" s="118">
        <v>12</v>
      </c>
      <c r="H931" s="118">
        <v>2</v>
      </c>
      <c r="I931" s="820">
        <v>26385</v>
      </c>
      <c r="J931" s="118">
        <f>+CUBICACION!J930</f>
        <v>0</v>
      </c>
      <c r="K931" s="118">
        <v>3710</v>
      </c>
      <c r="L931" s="118">
        <f>+CUBICACION!L930</f>
        <v>0</v>
      </c>
      <c r="M931" s="64">
        <f>+CUBICACION!M930</f>
        <v>0</v>
      </c>
      <c r="N931" s="824" t="str">
        <f>+CUBICACION!N930</f>
        <v/>
      </c>
      <c r="O931" s="675">
        <f>+CUBICACION!O930</f>
        <v>0</v>
      </c>
      <c r="P931" s="15">
        <f>IF(O931="Fire Control",VLOOKUP(_xlfn.MINIFS('FIRE CONTROL'!$C$4:$C$37,'FIRE CONTROL'!$C$4:$C$37,"&gt;="&amp;M931),'FIRE CONTROL'!$C$4:$G$37,IF(L931="F-15",2,IF(L931="F-30",3,IF(L931="F-60",4,IF(L931="F-90",5,0)))),0),0)+IF(AND(O931="FIRE TEX 5062",OR(E931="IN",E931="C",E931="Z",E931="L"),J931=3),VLOOKUP(_xlfn.MINIFS('FIRE TEX 5062'!$B$4:$B$34,'FIRE TEX 5062'!$B$4:$B$34,"&gt;="&amp;M931),'FIRE TEX 5062'!$B$4:$F$34,IF(L931="F-15",2,IF(L931="F-30",3,IF(L931="F-60",4,IF(L931="F-90",5,0)))),0),0)+IF(AND(O931="FIRE TEX 5062",OR(E931="IN",E931="C",E931="Z",E931="L"),J931=4),VLOOKUP(_xlfn.MINIFS('FIRE TEX 5062'!$G$4:$G$34,'FIRE TEX 5062'!$G$4:$G$34,"&gt;="&amp;M931),'FIRE TEX 5062'!$G$4:$K$34,IF(L931="F-15",2,IF(L931="F-30",3,IF(L931="F-60",4,IF(L931="F-90",5,0)))),0),0)+IF(AND(O931="FIRE TEX 5062",E931="CJ",J931=3),VLOOKUP(_xlfn.MINIFS('FIRE TEX 5062'!$L$4:$L$34,'FIRE TEX 5062'!$L$4:$L$34,"&gt;="&amp;M931),'FIRE TEX 5062'!$L$4:$P$34,IF(L931="F-15",2,IF(L931="F-30",3,IF(L931="F-60",4,IF(L931="F-90",5,0)))),0),0)+IF(AND(O931="FIRE TEX 5062",E931="CJ",J931=4),VLOOKUP(_xlfn.MINIFS('FIRE TEX 5062'!$Q$3:$Q$34,'FIRE TEX 5062'!$Q$3:$Q$34,"&gt;="&amp;M931),'FIRE TEX 5062'!$Q$3:$U$34,IF(L931="F-15",2,IF(L931="F-30",3,IF(L931="F-60",4,IF(L931="F-90",5,0)))),0),0)+IF(AND(O931="FIRE TEX 5090",OR(E931="IN",E931="C",E931="Z",E931="L"),J931=3),VLOOKUP(_xlfn.MINIFS('FIRE TEX 5090'!$B$5:$B$43,'FIRE TEX 5090'!$B$5:$B$43,"&gt;="&amp;M931),'FIRE TEX 5090'!$B$5:$H$43,IF(L931="F-15",2,IF(L931="F-30",3,IF(L931="F-60",4,IF(L931="F-90",5,IF(L931="F-120",6,IF(L931="F-150",7,0)))))),0),0)+IF(AND(O931="FIRE TEX 5090",OR(E931="IN",E931="C",E931="Z",E931="L"),J931=4),VLOOKUP(_xlfn.MINIFS('FIRE TEX 5090'!$J$5:$J$43,'FIRE TEX 5090'!$J$5:$J$43,"&gt;="&amp;M931),'FIRE TEX 5090'!$J$5:$P$43,IF(L931="F-15",2,IF(L931="F-30",3,IF(L931="F-60",4,IF(L931="F-90",5,IF(L931="F-120",6,IF(L931="F-150",7,0)))))),0),0)+IF(AND(O931="FIRE TEX 5090",E931="CJ",J931=3),VLOOKUP(_xlfn.MINIFS('FIRE TEX 5090'!$R$5:$R$30,'FIRE TEX 5090'!$R$5:$R$30,"&gt;="&amp;M931),'FIRE TEX 5090'!$R$5:$W$30,IF(L931="F-15",2,IF(L931="F-30",3,IF(L931="F-60",4,IF(L931="F-90",5,IF(L931="F-120",6,IF(L931="F-150",7,0)))))),0),0)+IF(AND(O931="FIRE TEX 5090",E931="CJ",J931=4),VLOOKUP(_xlfn.MINIFS('FIRE TEX 5090'!$Y$5:$Y$39,'FIRE TEX 5090'!$Y$5:$Y$39,"&gt;="&amp;M931),'FIRE TEX 5090'!$Y$5:$AD$39,IF(L931="F-15",2,IF(L931="F-30",3,IF(L931="F-60",4,IF(L931="F-90",5,IF(L931="F-120",6,IF(L931="F-150",7,0)))))),0),0)+IF(AND(O931="FIRE TEX 5120",OR(E931="IN",E931="C",E931="Z",E931="L"),J931=3),VLOOKUP(_xlfn.MINIFS('FIRE TEX 5120'!$B$5:$B$40,'FIRE TEX 5120'!$B$5:$B$40,"&gt;="&amp;M931),'FIRE TEX 5120'!$B$5:$G$40,IF(L931="F-15",2,IF(L931="F-30",3,IF(L931="F-60",4,IF(L931="F-90",5,IF(L931="F-120",6,0))))),0),0)+IF(AND(O931="FIRE TEX 5120",OR(E931="IN",E931="C",E931="Z",E931="L"),J931=4),VLOOKUP(_xlfn.MINIFS('FIRE TEX 5120'!$H$4:$H$40,'FIRE TEX 5120'!$H$4:$H$40,"&gt;="&amp;M931),'FIRE TEX 5120'!$H$4:$M$40,IF(L931="F-15",2,IF(L931="F-30",3,IF(L931="F-60",4,IF(L931="F-90",5,IF(L931="F-120",6,0))))),0),0)+IF(AND(O931="FIRE TEX 5120",E931="CJ"),VLOOKUP(_xlfn.MINIFS('FIRE TEX 5120'!$O$5:$O$40,'FIRE TEX 5120'!$O$5:$O$40,"&gt;="&amp;M931),'FIRE TEX 5120'!$O$5:$T$40,IF(L931="F-15",2,IF(L931="F-30",3,IF(L931="F-60",4,IF(L931="F-90",5,IF(L931="F-120",6,0))))),0),0)</f>
        <v>0</v>
      </c>
      <c r="Q931" s="46">
        <f t="shared" si="89"/>
        <v>0</v>
      </c>
      <c r="R931" s="46">
        <f t="shared" si="90"/>
        <v>0</v>
      </c>
      <c r="S931" s="46" t="e">
        <f t="shared" si="91"/>
        <v>#VALUE!</v>
      </c>
      <c r="T931" s="677">
        <f t="shared" si="92"/>
        <v>0</v>
      </c>
      <c r="U931" s="80">
        <f>(IF(O931="Stofire",(S931*#REF!),0))+(IF(O931="Fire Control",(S931*$U$2),0))+(IF(O931="Fire Tex",(S931*$U$3),0))+(IF(O931="WB7",(S931*#REF!),0)+(IF(O931="FX 2003",(S931*$U$5),0)))</f>
        <v>0</v>
      </c>
      <c r="V931" s="651">
        <f t="shared" si="93"/>
        <v>0</v>
      </c>
    </row>
    <row r="932" spans="4:22" x14ac:dyDescent="0.25">
      <c r="D932" s="118">
        <f>+CUBICACION!D931</f>
        <v>0</v>
      </c>
      <c r="E932" s="118">
        <f>+CUBICACION!F931</f>
        <v>0</v>
      </c>
      <c r="F932" s="118">
        <f>+CUBICACION!E931</f>
        <v>0</v>
      </c>
      <c r="G932" s="118">
        <v>12</v>
      </c>
      <c r="H932" s="118">
        <v>2</v>
      </c>
      <c r="I932" s="820">
        <v>26385</v>
      </c>
      <c r="J932" s="118">
        <f>+CUBICACION!J931</f>
        <v>0</v>
      </c>
      <c r="K932" s="118">
        <v>3711</v>
      </c>
      <c r="L932" s="118">
        <f>+CUBICACION!L931</f>
        <v>0</v>
      </c>
      <c r="M932" s="64">
        <f>+CUBICACION!M931</f>
        <v>0</v>
      </c>
      <c r="N932" s="824" t="str">
        <f>+CUBICACION!N931</f>
        <v/>
      </c>
      <c r="O932" s="675">
        <f>+CUBICACION!O931</f>
        <v>0</v>
      </c>
      <c r="P932" s="15">
        <f>IF(O932="Fire Control",VLOOKUP(_xlfn.MINIFS('FIRE CONTROL'!$C$4:$C$37,'FIRE CONTROL'!$C$4:$C$37,"&gt;="&amp;M932),'FIRE CONTROL'!$C$4:$G$37,IF(L932="F-15",2,IF(L932="F-30",3,IF(L932="F-60",4,IF(L932="F-90",5,0)))),0),0)+IF(AND(O932="FIRE TEX 5062",OR(E932="IN",E932="C",E932="Z",E932="L"),J932=3),VLOOKUP(_xlfn.MINIFS('FIRE TEX 5062'!$B$4:$B$34,'FIRE TEX 5062'!$B$4:$B$34,"&gt;="&amp;M932),'FIRE TEX 5062'!$B$4:$F$34,IF(L932="F-15",2,IF(L932="F-30",3,IF(L932="F-60",4,IF(L932="F-90",5,0)))),0),0)+IF(AND(O932="FIRE TEX 5062",OR(E932="IN",E932="C",E932="Z",E932="L"),J932=4),VLOOKUP(_xlfn.MINIFS('FIRE TEX 5062'!$G$4:$G$34,'FIRE TEX 5062'!$G$4:$G$34,"&gt;="&amp;M932),'FIRE TEX 5062'!$G$4:$K$34,IF(L932="F-15",2,IF(L932="F-30",3,IF(L932="F-60",4,IF(L932="F-90",5,0)))),0),0)+IF(AND(O932="FIRE TEX 5062",E932="CJ",J932=3),VLOOKUP(_xlfn.MINIFS('FIRE TEX 5062'!$L$4:$L$34,'FIRE TEX 5062'!$L$4:$L$34,"&gt;="&amp;M932),'FIRE TEX 5062'!$L$4:$P$34,IF(L932="F-15",2,IF(L932="F-30",3,IF(L932="F-60",4,IF(L932="F-90",5,0)))),0),0)+IF(AND(O932="FIRE TEX 5062",E932="CJ",J932=4),VLOOKUP(_xlfn.MINIFS('FIRE TEX 5062'!$Q$3:$Q$34,'FIRE TEX 5062'!$Q$3:$Q$34,"&gt;="&amp;M932),'FIRE TEX 5062'!$Q$3:$U$34,IF(L932="F-15",2,IF(L932="F-30",3,IF(L932="F-60",4,IF(L932="F-90",5,0)))),0),0)+IF(AND(O932="FIRE TEX 5090",OR(E932="IN",E932="C",E932="Z",E932="L"),J932=3),VLOOKUP(_xlfn.MINIFS('FIRE TEX 5090'!$B$5:$B$43,'FIRE TEX 5090'!$B$5:$B$43,"&gt;="&amp;M932),'FIRE TEX 5090'!$B$5:$H$43,IF(L932="F-15",2,IF(L932="F-30",3,IF(L932="F-60",4,IF(L932="F-90",5,IF(L932="F-120",6,IF(L932="F-150",7,0)))))),0),0)+IF(AND(O932="FIRE TEX 5090",OR(E932="IN",E932="C",E932="Z",E932="L"),J932=4),VLOOKUP(_xlfn.MINIFS('FIRE TEX 5090'!$J$5:$J$43,'FIRE TEX 5090'!$J$5:$J$43,"&gt;="&amp;M932),'FIRE TEX 5090'!$J$5:$P$43,IF(L932="F-15",2,IF(L932="F-30",3,IF(L932="F-60",4,IF(L932="F-90",5,IF(L932="F-120",6,IF(L932="F-150",7,0)))))),0),0)+IF(AND(O932="FIRE TEX 5090",E932="CJ",J932=3),VLOOKUP(_xlfn.MINIFS('FIRE TEX 5090'!$R$5:$R$30,'FIRE TEX 5090'!$R$5:$R$30,"&gt;="&amp;M932),'FIRE TEX 5090'!$R$5:$W$30,IF(L932="F-15",2,IF(L932="F-30",3,IF(L932="F-60",4,IF(L932="F-90",5,IF(L932="F-120",6,IF(L932="F-150",7,0)))))),0),0)+IF(AND(O932="FIRE TEX 5090",E932="CJ",J932=4),VLOOKUP(_xlfn.MINIFS('FIRE TEX 5090'!$Y$5:$Y$39,'FIRE TEX 5090'!$Y$5:$Y$39,"&gt;="&amp;M932),'FIRE TEX 5090'!$Y$5:$AD$39,IF(L932="F-15",2,IF(L932="F-30",3,IF(L932="F-60",4,IF(L932="F-90",5,IF(L932="F-120",6,IF(L932="F-150",7,0)))))),0),0)+IF(AND(O932="FIRE TEX 5120",OR(E932="IN",E932="C",E932="Z",E932="L"),J932=3),VLOOKUP(_xlfn.MINIFS('FIRE TEX 5120'!$B$5:$B$40,'FIRE TEX 5120'!$B$5:$B$40,"&gt;="&amp;M932),'FIRE TEX 5120'!$B$5:$G$40,IF(L932="F-15",2,IF(L932="F-30",3,IF(L932="F-60",4,IF(L932="F-90",5,IF(L932="F-120",6,0))))),0),0)+IF(AND(O932="FIRE TEX 5120",OR(E932="IN",E932="C",E932="Z",E932="L"),J932=4),VLOOKUP(_xlfn.MINIFS('FIRE TEX 5120'!$H$4:$H$40,'FIRE TEX 5120'!$H$4:$H$40,"&gt;="&amp;M932),'FIRE TEX 5120'!$H$4:$M$40,IF(L932="F-15",2,IF(L932="F-30",3,IF(L932="F-60",4,IF(L932="F-90",5,IF(L932="F-120",6,0))))),0),0)+IF(AND(O932="FIRE TEX 5120",E932="CJ"),VLOOKUP(_xlfn.MINIFS('FIRE TEX 5120'!$O$5:$O$40,'FIRE TEX 5120'!$O$5:$O$40,"&gt;="&amp;M932),'FIRE TEX 5120'!$O$5:$T$40,IF(L932="F-15",2,IF(L932="F-30",3,IF(L932="F-60",4,IF(L932="F-90",5,IF(L932="F-120",6,0))))),0),0)</f>
        <v>0</v>
      </c>
      <c r="Q932" s="46">
        <f t="shared" si="89"/>
        <v>0</v>
      </c>
      <c r="R932" s="46">
        <f t="shared" si="90"/>
        <v>0</v>
      </c>
      <c r="S932" s="46" t="e">
        <f t="shared" si="91"/>
        <v>#VALUE!</v>
      </c>
      <c r="T932" s="677">
        <f t="shared" si="92"/>
        <v>0</v>
      </c>
      <c r="U932" s="80">
        <f>(IF(O932="Stofire",(S932*#REF!),0))+(IF(O932="Fire Control",(S932*$U$2),0))+(IF(O932="Fire Tex",(S932*$U$3),0))+(IF(O932="WB7",(S932*#REF!),0)+(IF(O932="FX 2003",(S932*$U$5),0)))</f>
        <v>0</v>
      </c>
      <c r="V932" s="651">
        <f t="shared" si="93"/>
        <v>0</v>
      </c>
    </row>
    <row r="933" spans="4:22" x14ac:dyDescent="0.25">
      <c r="D933" s="118">
        <f>+CUBICACION!D932</f>
        <v>0</v>
      </c>
      <c r="E933" s="118">
        <f>+CUBICACION!F932</f>
        <v>0</v>
      </c>
      <c r="F933" s="118">
        <f>+CUBICACION!E932</f>
        <v>0</v>
      </c>
      <c r="G933" s="118">
        <v>12</v>
      </c>
      <c r="H933" s="118">
        <v>2</v>
      </c>
      <c r="I933" s="820">
        <v>26385</v>
      </c>
      <c r="J933" s="118">
        <f>+CUBICACION!J932</f>
        <v>0</v>
      </c>
      <c r="K933" s="118">
        <v>3712</v>
      </c>
      <c r="L933" s="118">
        <f>+CUBICACION!L932</f>
        <v>0</v>
      </c>
      <c r="M933" s="64">
        <f>+CUBICACION!M932</f>
        <v>0</v>
      </c>
      <c r="N933" s="824" t="str">
        <f>+CUBICACION!N932</f>
        <v/>
      </c>
      <c r="O933" s="675">
        <f>+CUBICACION!O932</f>
        <v>0</v>
      </c>
      <c r="P933" s="15">
        <f>IF(O933="Fire Control",VLOOKUP(_xlfn.MINIFS('FIRE CONTROL'!$C$4:$C$37,'FIRE CONTROL'!$C$4:$C$37,"&gt;="&amp;M933),'FIRE CONTROL'!$C$4:$G$37,IF(L933="F-15",2,IF(L933="F-30",3,IF(L933="F-60",4,IF(L933="F-90",5,0)))),0),0)+IF(AND(O933="FIRE TEX 5062",OR(E933="IN",E933="C",E933="Z",E933="L"),J933=3),VLOOKUP(_xlfn.MINIFS('FIRE TEX 5062'!$B$4:$B$34,'FIRE TEX 5062'!$B$4:$B$34,"&gt;="&amp;M933),'FIRE TEX 5062'!$B$4:$F$34,IF(L933="F-15",2,IF(L933="F-30",3,IF(L933="F-60",4,IF(L933="F-90",5,0)))),0),0)+IF(AND(O933="FIRE TEX 5062",OR(E933="IN",E933="C",E933="Z",E933="L"),J933=4),VLOOKUP(_xlfn.MINIFS('FIRE TEX 5062'!$G$4:$G$34,'FIRE TEX 5062'!$G$4:$G$34,"&gt;="&amp;M933),'FIRE TEX 5062'!$G$4:$K$34,IF(L933="F-15",2,IF(L933="F-30",3,IF(L933="F-60",4,IF(L933="F-90",5,0)))),0),0)+IF(AND(O933="FIRE TEX 5062",E933="CJ",J933=3),VLOOKUP(_xlfn.MINIFS('FIRE TEX 5062'!$L$4:$L$34,'FIRE TEX 5062'!$L$4:$L$34,"&gt;="&amp;M933),'FIRE TEX 5062'!$L$4:$P$34,IF(L933="F-15",2,IF(L933="F-30",3,IF(L933="F-60",4,IF(L933="F-90",5,0)))),0),0)+IF(AND(O933="FIRE TEX 5062",E933="CJ",J933=4),VLOOKUP(_xlfn.MINIFS('FIRE TEX 5062'!$Q$3:$Q$34,'FIRE TEX 5062'!$Q$3:$Q$34,"&gt;="&amp;M933),'FIRE TEX 5062'!$Q$3:$U$34,IF(L933="F-15",2,IF(L933="F-30",3,IF(L933="F-60",4,IF(L933="F-90",5,0)))),0),0)+IF(AND(O933="FIRE TEX 5090",OR(E933="IN",E933="C",E933="Z",E933="L"),J933=3),VLOOKUP(_xlfn.MINIFS('FIRE TEX 5090'!$B$5:$B$43,'FIRE TEX 5090'!$B$5:$B$43,"&gt;="&amp;M933),'FIRE TEX 5090'!$B$5:$H$43,IF(L933="F-15",2,IF(L933="F-30",3,IF(L933="F-60",4,IF(L933="F-90",5,IF(L933="F-120",6,IF(L933="F-150",7,0)))))),0),0)+IF(AND(O933="FIRE TEX 5090",OR(E933="IN",E933="C",E933="Z",E933="L"),J933=4),VLOOKUP(_xlfn.MINIFS('FIRE TEX 5090'!$J$5:$J$43,'FIRE TEX 5090'!$J$5:$J$43,"&gt;="&amp;M933),'FIRE TEX 5090'!$J$5:$P$43,IF(L933="F-15",2,IF(L933="F-30",3,IF(L933="F-60",4,IF(L933="F-90",5,IF(L933="F-120",6,IF(L933="F-150",7,0)))))),0),0)+IF(AND(O933="FIRE TEX 5090",E933="CJ",J933=3),VLOOKUP(_xlfn.MINIFS('FIRE TEX 5090'!$R$5:$R$30,'FIRE TEX 5090'!$R$5:$R$30,"&gt;="&amp;M933),'FIRE TEX 5090'!$R$5:$W$30,IF(L933="F-15",2,IF(L933="F-30",3,IF(L933="F-60",4,IF(L933="F-90",5,IF(L933="F-120",6,IF(L933="F-150",7,0)))))),0),0)+IF(AND(O933="FIRE TEX 5090",E933="CJ",J933=4),VLOOKUP(_xlfn.MINIFS('FIRE TEX 5090'!$Y$5:$Y$39,'FIRE TEX 5090'!$Y$5:$Y$39,"&gt;="&amp;M933),'FIRE TEX 5090'!$Y$5:$AD$39,IF(L933="F-15",2,IF(L933="F-30",3,IF(L933="F-60",4,IF(L933="F-90",5,IF(L933="F-120",6,IF(L933="F-150",7,0)))))),0),0)+IF(AND(O933="FIRE TEX 5120",OR(E933="IN",E933="C",E933="Z",E933="L"),J933=3),VLOOKUP(_xlfn.MINIFS('FIRE TEX 5120'!$B$5:$B$40,'FIRE TEX 5120'!$B$5:$B$40,"&gt;="&amp;M933),'FIRE TEX 5120'!$B$5:$G$40,IF(L933="F-15",2,IF(L933="F-30",3,IF(L933="F-60",4,IF(L933="F-90",5,IF(L933="F-120",6,0))))),0),0)+IF(AND(O933="FIRE TEX 5120",OR(E933="IN",E933="C",E933="Z",E933="L"),J933=4),VLOOKUP(_xlfn.MINIFS('FIRE TEX 5120'!$H$4:$H$40,'FIRE TEX 5120'!$H$4:$H$40,"&gt;="&amp;M933),'FIRE TEX 5120'!$H$4:$M$40,IF(L933="F-15",2,IF(L933="F-30",3,IF(L933="F-60",4,IF(L933="F-90",5,IF(L933="F-120",6,0))))),0),0)+IF(AND(O933="FIRE TEX 5120",E933="CJ"),VLOOKUP(_xlfn.MINIFS('FIRE TEX 5120'!$O$5:$O$40,'FIRE TEX 5120'!$O$5:$O$40,"&gt;="&amp;M933),'FIRE TEX 5120'!$O$5:$T$40,IF(L933="F-15",2,IF(L933="F-30",3,IF(L933="F-60",4,IF(L933="F-90",5,IF(L933="F-120",6,0))))),0),0)</f>
        <v>0</v>
      </c>
      <c r="Q933" s="46">
        <f t="shared" si="89"/>
        <v>0</v>
      </c>
      <c r="R933" s="46">
        <f t="shared" si="90"/>
        <v>0</v>
      </c>
      <c r="S933" s="46" t="e">
        <f t="shared" si="91"/>
        <v>#VALUE!</v>
      </c>
      <c r="T933" s="677">
        <f t="shared" si="92"/>
        <v>0</v>
      </c>
      <c r="U933" s="80">
        <f>(IF(O933="Stofire",(S933*#REF!),0))+(IF(O933="Fire Control",(S933*$U$2),0))+(IF(O933="Fire Tex",(S933*$U$3),0))+(IF(O933="WB7",(S933*#REF!),0)+(IF(O933="FX 2003",(S933*$U$5),0)))</f>
        <v>0</v>
      </c>
      <c r="V933" s="651">
        <f t="shared" si="93"/>
        <v>0</v>
      </c>
    </row>
    <row r="934" spans="4:22" x14ac:dyDescent="0.25">
      <c r="D934" s="118">
        <f>+CUBICACION!D933</f>
        <v>0</v>
      </c>
      <c r="E934" s="118">
        <f>+CUBICACION!F933</f>
        <v>0</v>
      </c>
      <c r="F934" s="118">
        <f>+CUBICACION!E933</f>
        <v>0</v>
      </c>
      <c r="G934" s="118">
        <v>12</v>
      </c>
      <c r="H934" s="118">
        <v>2</v>
      </c>
      <c r="I934" s="820">
        <v>26385</v>
      </c>
      <c r="J934" s="118">
        <f>+CUBICACION!J933</f>
        <v>0</v>
      </c>
      <c r="K934" s="118">
        <v>3713</v>
      </c>
      <c r="L934" s="118">
        <f>+CUBICACION!L933</f>
        <v>0</v>
      </c>
      <c r="M934" s="64">
        <f>+CUBICACION!M933</f>
        <v>0</v>
      </c>
      <c r="N934" s="824" t="str">
        <f>+CUBICACION!N933</f>
        <v/>
      </c>
      <c r="O934" s="675">
        <f>+CUBICACION!O933</f>
        <v>0</v>
      </c>
      <c r="P934" s="15">
        <f>IF(O934="Fire Control",VLOOKUP(_xlfn.MINIFS('FIRE CONTROL'!$C$4:$C$37,'FIRE CONTROL'!$C$4:$C$37,"&gt;="&amp;M934),'FIRE CONTROL'!$C$4:$G$37,IF(L934="F-15",2,IF(L934="F-30",3,IF(L934="F-60",4,IF(L934="F-90",5,0)))),0),0)+IF(AND(O934="FIRE TEX 5062",OR(E934="IN",E934="C",E934="Z",E934="L"),J934=3),VLOOKUP(_xlfn.MINIFS('FIRE TEX 5062'!$B$4:$B$34,'FIRE TEX 5062'!$B$4:$B$34,"&gt;="&amp;M934),'FIRE TEX 5062'!$B$4:$F$34,IF(L934="F-15",2,IF(L934="F-30",3,IF(L934="F-60",4,IF(L934="F-90",5,0)))),0),0)+IF(AND(O934="FIRE TEX 5062",OR(E934="IN",E934="C",E934="Z",E934="L"),J934=4),VLOOKUP(_xlfn.MINIFS('FIRE TEX 5062'!$G$4:$G$34,'FIRE TEX 5062'!$G$4:$G$34,"&gt;="&amp;M934),'FIRE TEX 5062'!$G$4:$K$34,IF(L934="F-15",2,IF(L934="F-30",3,IF(L934="F-60",4,IF(L934="F-90",5,0)))),0),0)+IF(AND(O934="FIRE TEX 5062",E934="CJ",J934=3),VLOOKUP(_xlfn.MINIFS('FIRE TEX 5062'!$L$4:$L$34,'FIRE TEX 5062'!$L$4:$L$34,"&gt;="&amp;M934),'FIRE TEX 5062'!$L$4:$P$34,IF(L934="F-15",2,IF(L934="F-30",3,IF(L934="F-60",4,IF(L934="F-90",5,0)))),0),0)+IF(AND(O934="FIRE TEX 5062",E934="CJ",J934=4),VLOOKUP(_xlfn.MINIFS('FIRE TEX 5062'!$Q$3:$Q$34,'FIRE TEX 5062'!$Q$3:$Q$34,"&gt;="&amp;M934),'FIRE TEX 5062'!$Q$3:$U$34,IF(L934="F-15",2,IF(L934="F-30",3,IF(L934="F-60",4,IF(L934="F-90",5,0)))),0),0)+IF(AND(O934="FIRE TEX 5090",OR(E934="IN",E934="C",E934="Z",E934="L"),J934=3),VLOOKUP(_xlfn.MINIFS('FIRE TEX 5090'!$B$5:$B$43,'FIRE TEX 5090'!$B$5:$B$43,"&gt;="&amp;M934),'FIRE TEX 5090'!$B$5:$H$43,IF(L934="F-15",2,IF(L934="F-30",3,IF(L934="F-60",4,IF(L934="F-90",5,IF(L934="F-120",6,IF(L934="F-150",7,0)))))),0),0)+IF(AND(O934="FIRE TEX 5090",OR(E934="IN",E934="C",E934="Z",E934="L"),J934=4),VLOOKUP(_xlfn.MINIFS('FIRE TEX 5090'!$J$5:$J$43,'FIRE TEX 5090'!$J$5:$J$43,"&gt;="&amp;M934),'FIRE TEX 5090'!$J$5:$P$43,IF(L934="F-15",2,IF(L934="F-30",3,IF(L934="F-60",4,IF(L934="F-90",5,IF(L934="F-120",6,IF(L934="F-150",7,0)))))),0),0)+IF(AND(O934="FIRE TEX 5090",E934="CJ",J934=3),VLOOKUP(_xlfn.MINIFS('FIRE TEX 5090'!$R$5:$R$30,'FIRE TEX 5090'!$R$5:$R$30,"&gt;="&amp;M934),'FIRE TEX 5090'!$R$5:$W$30,IF(L934="F-15",2,IF(L934="F-30",3,IF(L934="F-60",4,IF(L934="F-90",5,IF(L934="F-120",6,IF(L934="F-150",7,0)))))),0),0)+IF(AND(O934="FIRE TEX 5090",E934="CJ",J934=4),VLOOKUP(_xlfn.MINIFS('FIRE TEX 5090'!$Y$5:$Y$39,'FIRE TEX 5090'!$Y$5:$Y$39,"&gt;="&amp;M934),'FIRE TEX 5090'!$Y$5:$AD$39,IF(L934="F-15",2,IF(L934="F-30",3,IF(L934="F-60",4,IF(L934="F-90",5,IF(L934="F-120",6,IF(L934="F-150",7,0)))))),0),0)+IF(AND(O934="FIRE TEX 5120",OR(E934="IN",E934="C",E934="Z",E934="L"),J934=3),VLOOKUP(_xlfn.MINIFS('FIRE TEX 5120'!$B$5:$B$40,'FIRE TEX 5120'!$B$5:$B$40,"&gt;="&amp;M934),'FIRE TEX 5120'!$B$5:$G$40,IF(L934="F-15",2,IF(L934="F-30",3,IF(L934="F-60",4,IF(L934="F-90",5,IF(L934="F-120",6,0))))),0),0)+IF(AND(O934="FIRE TEX 5120",OR(E934="IN",E934="C",E934="Z",E934="L"),J934=4),VLOOKUP(_xlfn.MINIFS('FIRE TEX 5120'!$H$4:$H$40,'FIRE TEX 5120'!$H$4:$H$40,"&gt;="&amp;M934),'FIRE TEX 5120'!$H$4:$M$40,IF(L934="F-15",2,IF(L934="F-30",3,IF(L934="F-60",4,IF(L934="F-90",5,IF(L934="F-120",6,0))))),0),0)+IF(AND(O934="FIRE TEX 5120",E934="CJ"),VLOOKUP(_xlfn.MINIFS('FIRE TEX 5120'!$O$5:$O$40,'FIRE TEX 5120'!$O$5:$O$40,"&gt;="&amp;M934),'FIRE TEX 5120'!$O$5:$T$40,IF(L934="F-15",2,IF(L934="F-30",3,IF(L934="F-60",4,IF(L934="F-90",5,IF(L934="F-120",6,0))))),0),0)</f>
        <v>0</v>
      </c>
      <c r="Q934" s="46">
        <f t="shared" si="89"/>
        <v>0</v>
      </c>
      <c r="R934" s="46">
        <f t="shared" si="90"/>
        <v>0</v>
      </c>
      <c r="S934" s="46" t="e">
        <f t="shared" si="91"/>
        <v>#VALUE!</v>
      </c>
      <c r="T934" s="677">
        <f t="shared" si="92"/>
        <v>0</v>
      </c>
      <c r="U934" s="80">
        <f>(IF(O934="Stofire",(S934*#REF!),0))+(IF(O934="Fire Control",(S934*$U$2),0))+(IF(O934="Fire Tex",(S934*$U$3),0))+(IF(O934="WB7",(S934*#REF!),0)+(IF(O934="FX 2003",(S934*$U$5),0)))</f>
        <v>0</v>
      </c>
      <c r="V934" s="651">
        <f t="shared" si="93"/>
        <v>0</v>
      </c>
    </row>
    <row r="935" spans="4:22" x14ac:dyDescent="0.25">
      <c r="D935" s="118">
        <f>+CUBICACION!D934</f>
        <v>0</v>
      </c>
      <c r="E935" s="118">
        <f>+CUBICACION!F934</f>
        <v>0</v>
      </c>
      <c r="F935" s="118">
        <f>+CUBICACION!E934</f>
        <v>0</v>
      </c>
      <c r="G935" s="118">
        <v>12</v>
      </c>
      <c r="H935" s="118">
        <v>2</v>
      </c>
      <c r="I935" s="820">
        <v>26385</v>
      </c>
      <c r="J935" s="118">
        <f>+CUBICACION!J934</f>
        <v>0</v>
      </c>
      <c r="K935" s="118">
        <v>3714</v>
      </c>
      <c r="L935" s="118">
        <f>+CUBICACION!L934</f>
        <v>0</v>
      </c>
      <c r="M935" s="64">
        <f>+CUBICACION!M934</f>
        <v>0</v>
      </c>
      <c r="N935" s="824" t="str">
        <f>+CUBICACION!N934</f>
        <v/>
      </c>
      <c r="O935" s="675">
        <f>+CUBICACION!O934</f>
        <v>0</v>
      </c>
      <c r="P935" s="15">
        <f>IF(O935="Fire Control",VLOOKUP(_xlfn.MINIFS('FIRE CONTROL'!$C$4:$C$37,'FIRE CONTROL'!$C$4:$C$37,"&gt;="&amp;M935),'FIRE CONTROL'!$C$4:$G$37,IF(L935="F-15",2,IF(L935="F-30",3,IF(L935="F-60",4,IF(L935="F-90",5,0)))),0),0)+IF(AND(O935="FIRE TEX 5062",OR(E935="IN",E935="C",E935="Z",E935="L"),J935=3),VLOOKUP(_xlfn.MINIFS('FIRE TEX 5062'!$B$4:$B$34,'FIRE TEX 5062'!$B$4:$B$34,"&gt;="&amp;M935),'FIRE TEX 5062'!$B$4:$F$34,IF(L935="F-15",2,IF(L935="F-30",3,IF(L935="F-60",4,IF(L935="F-90",5,0)))),0),0)+IF(AND(O935="FIRE TEX 5062",OR(E935="IN",E935="C",E935="Z",E935="L"),J935=4),VLOOKUP(_xlfn.MINIFS('FIRE TEX 5062'!$G$4:$G$34,'FIRE TEX 5062'!$G$4:$G$34,"&gt;="&amp;M935),'FIRE TEX 5062'!$G$4:$K$34,IF(L935="F-15",2,IF(L935="F-30",3,IF(L935="F-60",4,IF(L935="F-90",5,0)))),0),0)+IF(AND(O935="FIRE TEX 5062",E935="CJ",J935=3),VLOOKUP(_xlfn.MINIFS('FIRE TEX 5062'!$L$4:$L$34,'FIRE TEX 5062'!$L$4:$L$34,"&gt;="&amp;M935),'FIRE TEX 5062'!$L$4:$P$34,IF(L935="F-15",2,IF(L935="F-30",3,IF(L935="F-60",4,IF(L935="F-90",5,0)))),0),0)+IF(AND(O935="FIRE TEX 5062",E935="CJ",J935=4),VLOOKUP(_xlfn.MINIFS('FIRE TEX 5062'!$Q$3:$Q$34,'FIRE TEX 5062'!$Q$3:$Q$34,"&gt;="&amp;M935),'FIRE TEX 5062'!$Q$3:$U$34,IF(L935="F-15",2,IF(L935="F-30",3,IF(L935="F-60",4,IF(L935="F-90",5,0)))),0),0)+IF(AND(O935="FIRE TEX 5090",OR(E935="IN",E935="C",E935="Z",E935="L"),J935=3),VLOOKUP(_xlfn.MINIFS('FIRE TEX 5090'!$B$5:$B$43,'FIRE TEX 5090'!$B$5:$B$43,"&gt;="&amp;M935),'FIRE TEX 5090'!$B$5:$H$43,IF(L935="F-15",2,IF(L935="F-30",3,IF(L935="F-60",4,IF(L935="F-90",5,IF(L935="F-120",6,IF(L935="F-150",7,0)))))),0),0)+IF(AND(O935="FIRE TEX 5090",OR(E935="IN",E935="C",E935="Z",E935="L"),J935=4),VLOOKUP(_xlfn.MINIFS('FIRE TEX 5090'!$J$5:$J$43,'FIRE TEX 5090'!$J$5:$J$43,"&gt;="&amp;M935),'FIRE TEX 5090'!$J$5:$P$43,IF(L935="F-15",2,IF(L935="F-30",3,IF(L935="F-60",4,IF(L935="F-90",5,IF(L935="F-120",6,IF(L935="F-150",7,0)))))),0),0)+IF(AND(O935="FIRE TEX 5090",E935="CJ",J935=3),VLOOKUP(_xlfn.MINIFS('FIRE TEX 5090'!$R$5:$R$30,'FIRE TEX 5090'!$R$5:$R$30,"&gt;="&amp;M935),'FIRE TEX 5090'!$R$5:$W$30,IF(L935="F-15",2,IF(L935="F-30",3,IF(L935="F-60",4,IF(L935="F-90",5,IF(L935="F-120",6,IF(L935="F-150",7,0)))))),0),0)+IF(AND(O935="FIRE TEX 5090",E935="CJ",J935=4),VLOOKUP(_xlfn.MINIFS('FIRE TEX 5090'!$Y$5:$Y$39,'FIRE TEX 5090'!$Y$5:$Y$39,"&gt;="&amp;M935),'FIRE TEX 5090'!$Y$5:$AD$39,IF(L935="F-15",2,IF(L935="F-30",3,IF(L935="F-60",4,IF(L935="F-90",5,IF(L935="F-120",6,IF(L935="F-150",7,0)))))),0),0)+IF(AND(O935="FIRE TEX 5120",OR(E935="IN",E935="C",E935="Z",E935="L"),J935=3),VLOOKUP(_xlfn.MINIFS('FIRE TEX 5120'!$B$5:$B$40,'FIRE TEX 5120'!$B$5:$B$40,"&gt;="&amp;M935),'FIRE TEX 5120'!$B$5:$G$40,IF(L935="F-15",2,IF(L935="F-30",3,IF(L935="F-60",4,IF(L935="F-90",5,IF(L935="F-120",6,0))))),0),0)+IF(AND(O935="FIRE TEX 5120",OR(E935="IN",E935="C",E935="Z",E935="L"),J935=4),VLOOKUP(_xlfn.MINIFS('FIRE TEX 5120'!$H$4:$H$40,'FIRE TEX 5120'!$H$4:$H$40,"&gt;="&amp;M935),'FIRE TEX 5120'!$H$4:$M$40,IF(L935="F-15",2,IF(L935="F-30",3,IF(L935="F-60",4,IF(L935="F-90",5,IF(L935="F-120",6,0))))),0),0)+IF(AND(O935="FIRE TEX 5120",E935="CJ"),VLOOKUP(_xlfn.MINIFS('FIRE TEX 5120'!$O$5:$O$40,'FIRE TEX 5120'!$O$5:$O$40,"&gt;="&amp;M935),'FIRE TEX 5120'!$O$5:$T$40,IF(L935="F-15",2,IF(L935="F-30",3,IF(L935="F-60",4,IF(L935="F-90",5,IF(L935="F-120",6,0))))),0),0)</f>
        <v>0</v>
      </c>
      <c r="Q935" s="46">
        <f t="shared" si="89"/>
        <v>0</v>
      </c>
      <c r="R935" s="46">
        <f t="shared" si="90"/>
        <v>0</v>
      </c>
      <c r="S935" s="46" t="e">
        <f t="shared" si="91"/>
        <v>#VALUE!</v>
      </c>
      <c r="T935" s="677">
        <f t="shared" si="92"/>
        <v>0</v>
      </c>
      <c r="U935" s="80">
        <f>(IF(O935="Stofire",(S935*#REF!),0))+(IF(O935="Fire Control",(S935*$U$2),0))+(IF(O935="Fire Tex",(S935*$U$3),0))+(IF(O935="WB7",(S935*#REF!),0)+(IF(O935="FX 2003",(S935*$U$5),0)))</f>
        <v>0</v>
      </c>
      <c r="V935" s="651">
        <f t="shared" si="93"/>
        <v>0</v>
      </c>
    </row>
    <row r="936" spans="4:22" x14ac:dyDescent="0.25">
      <c r="D936" s="118">
        <f>+CUBICACION!D935</f>
        <v>0</v>
      </c>
      <c r="E936" s="118">
        <f>+CUBICACION!F935</f>
        <v>0</v>
      </c>
      <c r="F936" s="118">
        <f>+CUBICACION!E935</f>
        <v>0</v>
      </c>
      <c r="G936" s="118">
        <v>12</v>
      </c>
      <c r="H936" s="118">
        <v>2</v>
      </c>
      <c r="I936" s="820">
        <v>26385</v>
      </c>
      <c r="J936" s="118">
        <f>+CUBICACION!J935</f>
        <v>0</v>
      </c>
      <c r="K936" s="118">
        <v>3715</v>
      </c>
      <c r="L936" s="118">
        <f>+CUBICACION!L935</f>
        <v>0</v>
      </c>
      <c r="M936" s="64">
        <f>+CUBICACION!M935</f>
        <v>0</v>
      </c>
      <c r="N936" s="824" t="str">
        <f>+CUBICACION!N935</f>
        <v/>
      </c>
      <c r="O936" s="675">
        <f>+CUBICACION!O935</f>
        <v>0</v>
      </c>
      <c r="P936" s="15">
        <f>IF(O936="Fire Control",VLOOKUP(_xlfn.MINIFS('FIRE CONTROL'!$C$4:$C$37,'FIRE CONTROL'!$C$4:$C$37,"&gt;="&amp;M936),'FIRE CONTROL'!$C$4:$G$37,IF(L936="F-15",2,IF(L936="F-30",3,IF(L936="F-60",4,IF(L936="F-90",5,0)))),0),0)+IF(AND(O936="FIRE TEX 5062",OR(E936="IN",E936="C",E936="Z",E936="L"),J936=3),VLOOKUP(_xlfn.MINIFS('FIRE TEX 5062'!$B$4:$B$34,'FIRE TEX 5062'!$B$4:$B$34,"&gt;="&amp;M936),'FIRE TEX 5062'!$B$4:$F$34,IF(L936="F-15",2,IF(L936="F-30",3,IF(L936="F-60",4,IF(L936="F-90",5,0)))),0),0)+IF(AND(O936="FIRE TEX 5062",OR(E936="IN",E936="C",E936="Z",E936="L"),J936=4),VLOOKUP(_xlfn.MINIFS('FIRE TEX 5062'!$G$4:$G$34,'FIRE TEX 5062'!$G$4:$G$34,"&gt;="&amp;M936),'FIRE TEX 5062'!$G$4:$K$34,IF(L936="F-15",2,IF(L936="F-30",3,IF(L936="F-60",4,IF(L936="F-90",5,0)))),0),0)+IF(AND(O936="FIRE TEX 5062",E936="CJ",J936=3),VLOOKUP(_xlfn.MINIFS('FIRE TEX 5062'!$L$4:$L$34,'FIRE TEX 5062'!$L$4:$L$34,"&gt;="&amp;M936),'FIRE TEX 5062'!$L$4:$P$34,IF(L936="F-15",2,IF(L936="F-30",3,IF(L936="F-60",4,IF(L936="F-90",5,0)))),0),0)+IF(AND(O936="FIRE TEX 5062",E936="CJ",J936=4),VLOOKUP(_xlfn.MINIFS('FIRE TEX 5062'!$Q$3:$Q$34,'FIRE TEX 5062'!$Q$3:$Q$34,"&gt;="&amp;M936),'FIRE TEX 5062'!$Q$3:$U$34,IF(L936="F-15",2,IF(L936="F-30",3,IF(L936="F-60",4,IF(L936="F-90",5,0)))),0),0)+IF(AND(O936="FIRE TEX 5090",OR(E936="IN",E936="C",E936="Z",E936="L"),J936=3),VLOOKUP(_xlfn.MINIFS('FIRE TEX 5090'!$B$5:$B$43,'FIRE TEX 5090'!$B$5:$B$43,"&gt;="&amp;M936),'FIRE TEX 5090'!$B$5:$H$43,IF(L936="F-15",2,IF(L936="F-30",3,IF(L936="F-60",4,IF(L936="F-90",5,IF(L936="F-120",6,IF(L936="F-150",7,0)))))),0),0)+IF(AND(O936="FIRE TEX 5090",OR(E936="IN",E936="C",E936="Z",E936="L"),J936=4),VLOOKUP(_xlfn.MINIFS('FIRE TEX 5090'!$J$5:$J$43,'FIRE TEX 5090'!$J$5:$J$43,"&gt;="&amp;M936),'FIRE TEX 5090'!$J$5:$P$43,IF(L936="F-15",2,IF(L936="F-30",3,IF(L936="F-60",4,IF(L936="F-90",5,IF(L936="F-120",6,IF(L936="F-150",7,0)))))),0),0)+IF(AND(O936="FIRE TEX 5090",E936="CJ",J936=3),VLOOKUP(_xlfn.MINIFS('FIRE TEX 5090'!$R$5:$R$30,'FIRE TEX 5090'!$R$5:$R$30,"&gt;="&amp;M936),'FIRE TEX 5090'!$R$5:$W$30,IF(L936="F-15",2,IF(L936="F-30",3,IF(L936="F-60",4,IF(L936="F-90",5,IF(L936="F-120",6,IF(L936="F-150",7,0)))))),0),0)+IF(AND(O936="FIRE TEX 5090",E936="CJ",J936=4),VLOOKUP(_xlfn.MINIFS('FIRE TEX 5090'!$Y$5:$Y$39,'FIRE TEX 5090'!$Y$5:$Y$39,"&gt;="&amp;M936),'FIRE TEX 5090'!$Y$5:$AD$39,IF(L936="F-15",2,IF(L936="F-30",3,IF(L936="F-60",4,IF(L936="F-90",5,IF(L936="F-120",6,IF(L936="F-150",7,0)))))),0),0)+IF(AND(O936="FIRE TEX 5120",OR(E936="IN",E936="C",E936="Z",E936="L"),J936=3),VLOOKUP(_xlfn.MINIFS('FIRE TEX 5120'!$B$5:$B$40,'FIRE TEX 5120'!$B$5:$B$40,"&gt;="&amp;M936),'FIRE TEX 5120'!$B$5:$G$40,IF(L936="F-15",2,IF(L936="F-30",3,IF(L936="F-60",4,IF(L936="F-90",5,IF(L936="F-120",6,0))))),0),0)+IF(AND(O936="FIRE TEX 5120",OR(E936="IN",E936="C",E936="Z",E936="L"),J936=4),VLOOKUP(_xlfn.MINIFS('FIRE TEX 5120'!$H$4:$H$40,'FIRE TEX 5120'!$H$4:$H$40,"&gt;="&amp;M936),'FIRE TEX 5120'!$H$4:$M$40,IF(L936="F-15",2,IF(L936="F-30",3,IF(L936="F-60",4,IF(L936="F-90",5,IF(L936="F-120",6,0))))),0),0)+IF(AND(O936="FIRE TEX 5120",E936="CJ"),VLOOKUP(_xlfn.MINIFS('FIRE TEX 5120'!$O$5:$O$40,'FIRE TEX 5120'!$O$5:$O$40,"&gt;="&amp;M936),'FIRE TEX 5120'!$O$5:$T$40,IF(L936="F-15",2,IF(L936="F-30",3,IF(L936="F-60",4,IF(L936="F-90",5,IF(L936="F-120",6,0))))),0),0)</f>
        <v>0</v>
      </c>
      <c r="Q936" s="46">
        <f t="shared" si="89"/>
        <v>0</v>
      </c>
      <c r="R936" s="46">
        <f t="shared" si="90"/>
        <v>0</v>
      </c>
      <c r="S936" s="46" t="e">
        <f t="shared" si="91"/>
        <v>#VALUE!</v>
      </c>
      <c r="T936" s="677">
        <f t="shared" si="92"/>
        <v>0</v>
      </c>
      <c r="U936" s="80">
        <f>(IF(O936="Stofire",(S936*#REF!),0))+(IF(O936="Fire Control",(S936*$U$2),0))+(IF(O936="Fire Tex",(S936*$U$3),0))+(IF(O936="WB7",(S936*#REF!),0)+(IF(O936="FX 2003",(S936*$U$5),0)))</f>
        <v>0</v>
      </c>
      <c r="V936" s="651">
        <f t="shared" si="93"/>
        <v>0</v>
      </c>
    </row>
    <row r="937" spans="4:22" x14ac:dyDescent="0.25">
      <c r="D937" s="118">
        <f>+CUBICACION!D936</f>
        <v>0</v>
      </c>
      <c r="E937" s="118">
        <f>+CUBICACION!F936</f>
        <v>0</v>
      </c>
      <c r="F937" s="118">
        <f>+CUBICACION!E936</f>
        <v>0</v>
      </c>
      <c r="G937" s="118">
        <v>12</v>
      </c>
      <c r="H937" s="118">
        <v>2</v>
      </c>
      <c r="I937" s="820">
        <v>26385</v>
      </c>
      <c r="J937" s="118">
        <f>+CUBICACION!J936</f>
        <v>0</v>
      </c>
      <c r="K937" s="118">
        <v>3716</v>
      </c>
      <c r="L937" s="118">
        <f>+CUBICACION!L936</f>
        <v>0</v>
      </c>
      <c r="M937" s="64">
        <f>+CUBICACION!M936</f>
        <v>0</v>
      </c>
      <c r="N937" s="824" t="str">
        <f>+CUBICACION!N936</f>
        <v/>
      </c>
      <c r="O937" s="675">
        <f>+CUBICACION!O936</f>
        <v>0</v>
      </c>
      <c r="P937" s="15">
        <f>IF(O937="Fire Control",VLOOKUP(_xlfn.MINIFS('FIRE CONTROL'!$C$4:$C$37,'FIRE CONTROL'!$C$4:$C$37,"&gt;="&amp;M937),'FIRE CONTROL'!$C$4:$G$37,IF(L937="F-15",2,IF(L937="F-30",3,IF(L937="F-60",4,IF(L937="F-90",5,0)))),0),0)+IF(AND(O937="FIRE TEX 5062",OR(E937="IN",E937="C",E937="Z",E937="L"),J937=3),VLOOKUP(_xlfn.MINIFS('FIRE TEX 5062'!$B$4:$B$34,'FIRE TEX 5062'!$B$4:$B$34,"&gt;="&amp;M937),'FIRE TEX 5062'!$B$4:$F$34,IF(L937="F-15",2,IF(L937="F-30",3,IF(L937="F-60",4,IF(L937="F-90",5,0)))),0),0)+IF(AND(O937="FIRE TEX 5062",OR(E937="IN",E937="C",E937="Z",E937="L"),J937=4),VLOOKUP(_xlfn.MINIFS('FIRE TEX 5062'!$G$4:$G$34,'FIRE TEX 5062'!$G$4:$G$34,"&gt;="&amp;M937),'FIRE TEX 5062'!$G$4:$K$34,IF(L937="F-15",2,IF(L937="F-30",3,IF(L937="F-60",4,IF(L937="F-90",5,0)))),0),0)+IF(AND(O937="FIRE TEX 5062",E937="CJ",J937=3),VLOOKUP(_xlfn.MINIFS('FIRE TEX 5062'!$L$4:$L$34,'FIRE TEX 5062'!$L$4:$L$34,"&gt;="&amp;M937),'FIRE TEX 5062'!$L$4:$P$34,IF(L937="F-15",2,IF(L937="F-30",3,IF(L937="F-60",4,IF(L937="F-90",5,0)))),0),0)+IF(AND(O937="FIRE TEX 5062",E937="CJ",J937=4),VLOOKUP(_xlfn.MINIFS('FIRE TEX 5062'!$Q$3:$Q$34,'FIRE TEX 5062'!$Q$3:$Q$34,"&gt;="&amp;M937),'FIRE TEX 5062'!$Q$3:$U$34,IF(L937="F-15",2,IF(L937="F-30",3,IF(L937="F-60",4,IF(L937="F-90",5,0)))),0),0)+IF(AND(O937="FIRE TEX 5090",OR(E937="IN",E937="C",E937="Z",E937="L"),J937=3),VLOOKUP(_xlfn.MINIFS('FIRE TEX 5090'!$B$5:$B$43,'FIRE TEX 5090'!$B$5:$B$43,"&gt;="&amp;M937),'FIRE TEX 5090'!$B$5:$H$43,IF(L937="F-15",2,IF(L937="F-30",3,IF(L937="F-60",4,IF(L937="F-90",5,IF(L937="F-120",6,IF(L937="F-150",7,0)))))),0),0)+IF(AND(O937="FIRE TEX 5090",OR(E937="IN",E937="C",E937="Z",E937="L"),J937=4),VLOOKUP(_xlfn.MINIFS('FIRE TEX 5090'!$J$5:$J$43,'FIRE TEX 5090'!$J$5:$J$43,"&gt;="&amp;M937),'FIRE TEX 5090'!$J$5:$P$43,IF(L937="F-15",2,IF(L937="F-30",3,IF(L937="F-60",4,IF(L937="F-90",5,IF(L937="F-120",6,IF(L937="F-150",7,0)))))),0),0)+IF(AND(O937="FIRE TEX 5090",E937="CJ",J937=3),VLOOKUP(_xlfn.MINIFS('FIRE TEX 5090'!$R$5:$R$30,'FIRE TEX 5090'!$R$5:$R$30,"&gt;="&amp;M937),'FIRE TEX 5090'!$R$5:$W$30,IF(L937="F-15",2,IF(L937="F-30",3,IF(L937="F-60",4,IF(L937="F-90",5,IF(L937="F-120",6,IF(L937="F-150",7,0)))))),0),0)+IF(AND(O937="FIRE TEX 5090",E937="CJ",J937=4),VLOOKUP(_xlfn.MINIFS('FIRE TEX 5090'!$Y$5:$Y$39,'FIRE TEX 5090'!$Y$5:$Y$39,"&gt;="&amp;M937),'FIRE TEX 5090'!$Y$5:$AD$39,IF(L937="F-15",2,IF(L937="F-30",3,IF(L937="F-60",4,IF(L937="F-90",5,IF(L937="F-120",6,IF(L937="F-150",7,0)))))),0),0)+IF(AND(O937="FIRE TEX 5120",OR(E937="IN",E937="C",E937="Z",E937="L"),J937=3),VLOOKUP(_xlfn.MINIFS('FIRE TEX 5120'!$B$5:$B$40,'FIRE TEX 5120'!$B$5:$B$40,"&gt;="&amp;M937),'FIRE TEX 5120'!$B$5:$G$40,IF(L937="F-15",2,IF(L937="F-30",3,IF(L937="F-60",4,IF(L937="F-90",5,IF(L937="F-120",6,0))))),0),0)+IF(AND(O937="FIRE TEX 5120",OR(E937="IN",E937="C",E937="Z",E937="L"),J937=4),VLOOKUP(_xlfn.MINIFS('FIRE TEX 5120'!$H$4:$H$40,'FIRE TEX 5120'!$H$4:$H$40,"&gt;="&amp;M937),'FIRE TEX 5120'!$H$4:$M$40,IF(L937="F-15",2,IF(L937="F-30",3,IF(L937="F-60",4,IF(L937="F-90",5,IF(L937="F-120",6,0))))),0),0)+IF(AND(O937="FIRE TEX 5120",E937="CJ"),VLOOKUP(_xlfn.MINIFS('FIRE TEX 5120'!$O$5:$O$40,'FIRE TEX 5120'!$O$5:$O$40,"&gt;="&amp;M937),'FIRE TEX 5120'!$O$5:$T$40,IF(L937="F-15",2,IF(L937="F-30",3,IF(L937="F-60",4,IF(L937="F-90",5,IF(L937="F-120",6,0))))),0),0)</f>
        <v>0</v>
      </c>
      <c r="Q937" s="46">
        <f t="shared" si="89"/>
        <v>0</v>
      </c>
      <c r="R937" s="46">
        <f t="shared" si="90"/>
        <v>0</v>
      </c>
      <c r="S937" s="46" t="e">
        <f t="shared" si="91"/>
        <v>#VALUE!</v>
      </c>
      <c r="T937" s="677">
        <f t="shared" si="92"/>
        <v>0</v>
      </c>
      <c r="U937" s="80">
        <f>(IF(O937="Stofire",(S937*#REF!),0))+(IF(O937="Fire Control",(S937*$U$2),0))+(IF(O937="Fire Tex",(S937*$U$3),0))+(IF(O937="WB7",(S937*#REF!),0)+(IF(O937="FX 2003",(S937*$U$5),0)))</f>
        <v>0</v>
      </c>
      <c r="V937" s="651">
        <f t="shared" si="93"/>
        <v>0</v>
      </c>
    </row>
    <row r="938" spans="4:22" x14ac:dyDescent="0.25">
      <c r="D938" s="118">
        <f>+CUBICACION!D937</f>
        <v>0</v>
      </c>
      <c r="E938" s="118">
        <f>+CUBICACION!F937</f>
        <v>0</v>
      </c>
      <c r="F938" s="118">
        <f>+CUBICACION!E937</f>
        <v>0</v>
      </c>
      <c r="G938" s="118">
        <v>12</v>
      </c>
      <c r="H938" s="118">
        <v>2</v>
      </c>
      <c r="I938" s="820">
        <v>26385</v>
      </c>
      <c r="J938" s="118">
        <f>+CUBICACION!J937</f>
        <v>0</v>
      </c>
      <c r="K938" s="118">
        <v>3717</v>
      </c>
      <c r="L938" s="118">
        <f>+CUBICACION!L937</f>
        <v>0</v>
      </c>
      <c r="M938" s="64">
        <f>+CUBICACION!M937</f>
        <v>0</v>
      </c>
      <c r="N938" s="824" t="str">
        <f>+CUBICACION!N937</f>
        <v/>
      </c>
      <c r="O938" s="675">
        <f>+CUBICACION!O937</f>
        <v>0</v>
      </c>
      <c r="P938" s="15">
        <f>IF(O938="Fire Control",VLOOKUP(_xlfn.MINIFS('FIRE CONTROL'!$C$4:$C$37,'FIRE CONTROL'!$C$4:$C$37,"&gt;="&amp;M938),'FIRE CONTROL'!$C$4:$G$37,IF(L938="F-15",2,IF(L938="F-30",3,IF(L938="F-60",4,IF(L938="F-90",5,0)))),0),0)+IF(AND(O938="FIRE TEX 5062",OR(E938="IN",E938="C",E938="Z",E938="L"),J938=3),VLOOKUP(_xlfn.MINIFS('FIRE TEX 5062'!$B$4:$B$34,'FIRE TEX 5062'!$B$4:$B$34,"&gt;="&amp;M938),'FIRE TEX 5062'!$B$4:$F$34,IF(L938="F-15",2,IF(L938="F-30",3,IF(L938="F-60",4,IF(L938="F-90",5,0)))),0),0)+IF(AND(O938="FIRE TEX 5062",OR(E938="IN",E938="C",E938="Z",E938="L"),J938=4),VLOOKUP(_xlfn.MINIFS('FIRE TEX 5062'!$G$4:$G$34,'FIRE TEX 5062'!$G$4:$G$34,"&gt;="&amp;M938),'FIRE TEX 5062'!$G$4:$K$34,IF(L938="F-15",2,IF(L938="F-30",3,IF(L938="F-60",4,IF(L938="F-90",5,0)))),0),0)+IF(AND(O938="FIRE TEX 5062",E938="CJ",J938=3),VLOOKUP(_xlfn.MINIFS('FIRE TEX 5062'!$L$4:$L$34,'FIRE TEX 5062'!$L$4:$L$34,"&gt;="&amp;M938),'FIRE TEX 5062'!$L$4:$P$34,IF(L938="F-15",2,IF(L938="F-30",3,IF(L938="F-60",4,IF(L938="F-90",5,0)))),0),0)+IF(AND(O938="FIRE TEX 5062",E938="CJ",J938=4),VLOOKUP(_xlfn.MINIFS('FIRE TEX 5062'!$Q$3:$Q$34,'FIRE TEX 5062'!$Q$3:$Q$34,"&gt;="&amp;M938),'FIRE TEX 5062'!$Q$3:$U$34,IF(L938="F-15",2,IF(L938="F-30",3,IF(L938="F-60",4,IF(L938="F-90",5,0)))),0),0)+IF(AND(O938="FIRE TEX 5090",OR(E938="IN",E938="C",E938="Z",E938="L"),J938=3),VLOOKUP(_xlfn.MINIFS('FIRE TEX 5090'!$B$5:$B$43,'FIRE TEX 5090'!$B$5:$B$43,"&gt;="&amp;M938),'FIRE TEX 5090'!$B$5:$H$43,IF(L938="F-15",2,IF(L938="F-30",3,IF(L938="F-60",4,IF(L938="F-90",5,IF(L938="F-120",6,IF(L938="F-150",7,0)))))),0),0)+IF(AND(O938="FIRE TEX 5090",OR(E938="IN",E938="C",E938="Z",E938="L"),J938=4),VLOOKUP(_xlfn.MINIFS('FIRE TEX 5090'!$J$5:$J$43,'FIRE TEX 5090'!$J$5:$J$43,"&gt;="&amp;M938),'FIRE TEX 5090'!$J$5:$P$43,IF(L938="F-15",2,IF(L938="F-30",3,IF(L938="F-60",4,IF(L938="F-90",5,IF(L938="F-120",6,IF(L938="F-150",7,0)))))),0),0)+IF(AND(O938="FIRE TEX 5090",E938="CJ",J938=3),VLOOKUP(_xlfn.MINIFS('FIRE TEX 5090'!$R$5:$R$30,'FIRE TEX 5090'!$R$5:$R$30,"&gt;="&amp;M938),'FIRE TEX 5090'!$R$5:$W$30,IF(L938="F-15",2,IF(L938="F-30",3,IF(L938="F-60",4,IF(L938="F-90",5,IF(L938="F-120",6,IF(L938="F-150",7,0)))))),0),0)+IF(AND(O938="FIRE TEX 5090",E938="CJ",J938=4),VLOOKUP(_xlfn.MINIFS('FIRE TEX 5090'!$Y$5:$Y$39,'FIRE TEX 5090'!$Y$5:$Y$39,"&gt;="&amp;M938),'FIRE TEX 5090'!$Y$5:$AD$39,IF(L938="F-15",2,IF(L938="F-30",3,IF(L938="F-60",4,IF(L938="F-90",5,IF(L938="F-120",6,IF(L938="F-150",7,0)))))),0),0)+IF(AND(O938="FIRE TEX 5120",OR(E938="IN",E938="C",E938="Z",E938="L"),J938=3),VLOOKUP(_xlfn.MINIFS('FIRE TEX 5120'!$B$5:$B$40,'FIRE TEX 5120'!$B$5:$B$40,"&gt;="&amp;M938),'FIRE TEX 5120'!$B$5:$G$40,IF(L938="F-15",2,IF(L938="F-30",3,IF(L938="F-60",4,IF(L938="F-90",5,IF(L938="F-120",6,0))))),0),0)+IF(AND(O938="FIRE TEX 5120",OR(E938="IN",E938="C",E938="Z",E938="L"),J938=4),VLOOKUP(_xlfn.MINIFS('FIRE TEX 5120'!$H$4:$H$40,'FIRE TEX 5120'!$H$4:$H$40,"&gt;="&amp;M938),'FIRE TEX 5120'!$H$4:$M$40,IF(L938="F-15",2,IF(L938="F-30",3,IF(L938="F-60",4,IF(L938="F-90",5,IF(L938="F-120",6,0))))),0),0)+IF(AND(O938="FIRE TEX 5120",E938="CJ"),VLOOKUP(_xlfn.MINIFS('FIRE TEX 5120'!$O$5:$O$40,'FIRE TEX 5120'!$O$5:$O$40,"&gt;="&amp;M938),'FIRE TEX 5120'!$O$5:$T$40,IF(L938="F-15",2,IF(L938="F-30",3,IF(L938="F-60",4,IF(L938="F-90",5,IF(L938="F-120",6,0))))),0),0)</f>
        <v>0</v>
      </c>
      <c r="Q938" s="46">
        <f t="shared" si="89"/>
        <v>0</v>
      </c>
      <c r="R938" s="46">
        <f t="shared" si="90"/>
        <v>0</v>
      </c>
      <c r="S938" s="46" t="e">
        <f t="shared" si="91"/>
        <v>#VALUE!</v>
      </c>
      <c r="T938" s="677">
        <f t="shared" si="92"/>
        <v>0</v>
      </c>
      <c r="U938" s="80">
        <f>(IF(O938="Stofire",(S938*#REF!),0))+(IF(O938="Fire Control",(S938*$U$2),0))+(IF(O938="Fire Tex",(S938*$U$3),0))+(IF(O938="WB7",(S938*#REF!),0)+(IF(O938="FX 2003",(S938*$U$5),0)))</f>
        <v>0</v>
      </c>
      <c r="V938" s="651">
        <f t="shared" si="93"/>
        <v>0</v>
      </c>
    </row>
    <row r="939" spans="4:22" x14ac:dyDescent="0.25">
      <c r="D939" s="118">
        <f>+CUBICACION!D938</f>
        <v>0</v>
      </c>
      <c r="E939" s="118">
        <f>+CUBICACION!F938</f>
        <v>0</v>
      </c>
      <c r="F939" s="118">
        <f>+CUBICACION!E938</f>
        <v>0</v>
      </c>
      <c r="G939" s="118">
        <v>12</v>
      </c>
      <c r="H939" s="118">
        <v>2</v>
      </c>
      <c r="I939" s="820">
        <v>26385</v>
      </c>
      <c r="J939" s="118">
        <f>+CUBICACION!J938</f>
        <v>0</v>
      </c>
      <c r="K939" s="118">
        <v>3718</v>
      </c>
      <c r="L939" s="118">
        <f>+CUBICACION!L938</f>
        <v>0</v>
      </c>
      <c r="M939" s="64">
        <f>+CUBICACION!M938</f>
        <v>0</v>
      </c>
      <c r="N939" s="824" t="str">
        <f>+CUBICACION!N938</f>
        <v/>
      </c>
      <c r="O939" s="675">
        <f>+CUBICACION!O938</f>
        <v>0</v>
      </c>
      <c r="P939" s="15">
        <f>IF(O939="Fire Control",VLOOKUP(_xlfn.MINIFS('FIRE CONTROL'!$C$4:$C$37,'FIRE CONTROL'!$C$4:$C$37,"&gt;="&amp;M939),'FIRE CONTROL'!$C$4:$G$37,IF(L939="F-15",2,IF(L939="F-30",3,IF(L939="F-60",4,IF(L939="F-90",5,0)))),0),0)+IF(AND(O939="FIRE TEX 5062",OR(E939="IN",E939="C",E939="Z",E939="L"),J939=3),VLOOKUP(_xlfn.MINIFS('FIRE TEX 5062'!$B$4:$B$34,'FIRE TEX 5062'!$B$4:$B$34,"&gt;="&amp;M939),'FIRE TEX 5062'!$B$4:$F$34,IF(L939="F-15",2,IF(L939="F-30",3,IF(L939="F-60",4,IF(L939="F-90",5,0)))),0),0)+IF(AND(O939="FIRE TEX 5062",OR(E939="IN",E939="C",E939="Z",E939="L"),J939=4),VLOOKUP(_xlfn.MINIFS('FIRE TEX 5062'!$G$4:$G$34,'FIRE TEX 5062'!$G$4:$G$34,"&gt;="&amp;M939),'FIRE TEX 5062'!$G$4:$K$34,IF(L939="F-15",2,IF(L939="F-30",3,IF(L939="F-60",4,IF(L939="F-90",5,0)))),0),0)+IF(AND(O939="FIRE TEX 5062",E939="CJ",J939=3),VLOOKUP(_xlfn.MINIFS('FIRE TEX 5062'!$L$4:$L$34,'FIRE TEX 5062'!$L$4:$L$34,"&gt;="&amp;M939),'FIRE TEX 5062'!$L$4:$P$34,IF(L939="F-15",2,IF(L939="F-30",3,IF(L939="F-60",4,IF(L939="F-90",5,0)))),0),0)+IF(AND(O939="FIRE TEX 5062",E939="CJ",J939=4),VLOOKUP(_xlfn.MINIFS('FIRE TEX 5062'!$Q$3:$Q$34,'FIRE TEX 5062'!$Q$3:$Q$34,"&gt;="&amp;M939),'FIRE TEX 5062'!$Q$3:$U$34,IF(L939="F-15",2,IF(L939="F-30",3,IF(L939="F-60",4,IF(L939="F-90",5,0)))),0),0)+IF(AND(O939="FIRE TEX 5090",OR(E939="IN",E939="C",E939="Z",E939="L"),J939=3),VLOOKUP(_xlfn.MINIFS('FIRE TEX 5090'!$B$5:$B$43,'FIRE TEX 5090'!$B$5:$B$43,"&gt;="&amp;M939),'FIRE TEX 5090'!$B$5:$H$43,IF(L939="F-15",2,IF(L939="F-30",3,IF(L939="F-60",4,IF(L939="F-90",5,IF(L939="F-120",6,IF(L939="F-150",7,0)))))),0),0)+IF(AND(O939="FIRE TEX 5090",OR(E939="IN",E939="C",E939="Z",E939="L"),J939=4),VLOOKUP(_xlfn.MINIFS('FIRE TEX 5090'!$J$5:$J$43,'FIRE TEX 5090'!$J$5:$J$43,"&gt;="&amp;M939),'FIRE TEX 5090'!$J$5:$P$43,IF(L939="F-15",2,IF(L939="F-30",3,IF(L939="F-60",4,IF(L939="F-90",5,IF(L939="F-120",6,IF(L939="F-150",7,0)))))),0),0)+IF(AND(O939="FIRE TEX 5090",E939="CJ",J939=3),VLOOKUP(_xlfn.MINIFS('FIRE TEX 5090'!$R$5:$R$30,'FIRE TEX 5090'!$R$5:$R$30,"&gt;="&amp;M939),'FIRE TEX 5090'!$R$5:$W$30,IF(L939="F-15",2,IF(L939="F-30",3,IF(L939="F-60",4,IF(L939="F-90",5,IF(L939="F-120",6,IF(L939="F-150",7,0)))))),0),0)+IF(AND(O939="FIRE TEX 5090",E939="CJ",J939=4),VLOOKUP(_xlfn.MINIFS('FIRE TEX 5090'!$Y$5:$Y$39,'FIRE TEX 5090'!$Y$5:$Y$39,"&gt;="&amp;M939),'FIRE TEX 5090'!$Y$5:$AD$39,IF(L939="F-15",2,IF(L939="F-30",3,IF(L939="F-60",4,IF(L939="F-90",5,IF(L939="F-120",6,IF(L939="F-150",7,0)))))),0),0)+IF(AND(O939="FIRE TEX 5120",OR(E939="IN",E939="C",E939="Z",E939="L"),J939=3),VLOOKUP(_xlfn.MINIFS('FIRE TEX 5120'!$B$5:$B$40,'FIRE TEX 5120'!$B$5:$B$40,"&gt;="&amp;M939),'FIRE TEX 5120'!$B$5:$G$40,IF(L939="F-15",2,IF(L939="F-30",3,IF(L939="F-60",4,IF(L939="F-90",5,IF(L939="F-120",6,0))))),0),0)+IF(AND(O939="FIRE TEX 5120",OR(E939="IN",E939="C",E939="Z",E939="L"),J939=4),VLOOKUP(_xlfn.MINIFS('FIRE TEX 5120'!$H$4:$H$40,'FIRE TEX 5120'!$H$4:$H$40,"&gt;="&amp;M939),'FIRE TEX 5120'!$H$4:$M$40,IF(L939="F-15",2,IF(L939="F-30",3,IF(L939="F-60",4,IF(L939="F-90",5,IF(L939="F-120",6,0))))),0),0)+IF(AND(O939="FIRE TEX 5120",E939="CJ"),VLOOKUP(_xlfn.MINIFS('FIRE TEX 5120'!$O$5:$O$40,'FIRE TEX 5120'!$O$5:$O$40,"&gt;="&amp;M939),'FIRE TEX 5120'!$O$5:$T$40,IF(L939="F-15",2,IF(L939="F-30",3,IF(L939="F-60",4,IF(L939="F-90",5,IF(L939="F-120",6,0))))),0),0)</f>
        <v>0</v>
      </c>
      <c r="Q939" s="46">
        <f t="shared" si="89"/>
        <v>0</v>
      </c>
      <c r="R939" s="46">
        <f t="shared" si="90"/>
        <v>0</v>
      </c>
      <c r="S939" s="46" t="e">
        <f t="shared" si="91"/>
        <v>#VALUE!</v>
      </c>
      <c r="T939" s="677">
        <f t="shared" si="92"/>
        <v>0</v>
      </c>
      <c r="U939" s="80">
        <f>(IF(O939="Stofire",(S939*#REF!),0))+(IF(O939="Fire Control",(S939*$U$2),0))+(IF(O939="Fire Tex",(S939*$U$3),0))+(IF(O939="WB7",(S939*#REF!),0)+(IF(O939="FX 2003",(S939*$U$5),0)))</f>
        <v>0</v>
      </c>
      <c r="V939" s="651">
        <f t="shared" si="93"/>
        <v>0</v>
      </c>
    </row>
    <row r="940" spans="4:22" x14ac:dyDescent="0.25">
      <c r="D940" s="118">
        <f>+CUBICACION!D939</f>
        <v>0</v>
      </c>
      <c r="E940" s="118">
        <f>+CUBICACION!F939</f>
        <v>0</v>
      </c>
      <c r="F940" s="118">
        <f>+CUBICACION!E939</f>
        <v>0</v>
      </c>
      <c r="G940" s="118">
        <v>12</v>
      </c>
      <c r="H940" s="118">
        <v>2</v>
      </c>
      <c r="I940" s="820">
        <v>26385</v>
      </c>
      <c r="J940" s="118">
        <f>+CUBICACION!J939</f>
        <v>0</v>
      </c>
      <c r="K940" s="118">
        <v>3719</v>
      </c>
      <c r="L940" s="118">
        <f>+CUBICACION!L939</f>
        <v>0</v>
      </c>
      <c r="M940" s="64">
        <f>+CUBICACION!M939</f>
        <v>0</v>
      </c>
      <c r="N940" s="824" t="str">
        <f>+CUBICACION!N939</f>
        <v/>
      </c>
      <c r="O940" s="675">
        <f>+CUBICACION!O939</f>
        <v>0</v>
      </c>
      <c r="P940" s="15">
        <f>IF(O940="Fire Control",VLOOKUP(_xlfn.MINIFS('FIRE CONTROL'!$C$4:$C$37,'FIRE CONTROL'!$C$4:$C$37,"&gt;="&amp;M940),'FIRE CONTROL'!$C$4:$G$37,IF(L940="F-15",2,IF(L940="F-30",3,IF(L940="F-60",4,IF(L940="F-90",5,0)))),0),0)+IF(AND(O940="FIRE TEX 5062",OR(E940="IN",E940="C",E940="Z",E940="L"),J940=3),VLOOKUP(_xlfn.MINIFS('FIRE TEX 5062'!$B$4:$B$34,'FIRE TEX 5062'!$B$4:$B$34,"&gt;="&amp;M940),'FIRE TEX 5062'!$B$4:$F$34,IF(L940="F-15",2,IF(L940="F-30",3,IF(L940="F-60",4,IF(L940="F-90",5,0)))),0),0)+IF(AND(O940="FIRE TEX 5062",OR(E940="IN",E940="C",E940="Z",E940="L"),J940=4),VLOOKUP(_xlfn.MINIFS('FIRE TEX 5062'!$G$4:$G$34,'FIRE TEX 5062'!$G$4:$G$34,"&gt;="&amp;M940),'FIRE TEX 5062'!$G$4:$K$34,IF(L940="F-15",2,IF(L940="F-30",3,IF(L940="F-60",4,IF(L940="F-90",5,0)))),0),0)+IF(AND(O940="FIRE TEX 5062",E940="CJ",J940=3),VLOOKUP(_xlfn.MINIFS('FIRE TEX 5062'!$L$4:$L$34,'FIRE TEX 5062'!$L$4:$L$34,"&gt;="&amp;M940),'FIRE TEX 5062'!$L$4:$P$34,IF(L940="F-15",2,IF(L940="F-30",3,IF(L940="F-60",4,IF(L940="F-90",5,0)))),0),0)+IF(AND(O940="FIRE TEX 5062",E940="CJ",J940=4),VLOOKUP(_xlfn.MINIFS('FIRE TEX 5062'!$Q$3:$Q$34,'FIRE TEX 5062'!$Q$3:$Q$34,"&gt;="&amp;M940),'FIRE TEX 5062'!$Q$3:$U$34,IF(L940="F-15",2,IF(L940="F-30",3,IF(L940="F-60",4,IF(L940="F-90",5,0)))),0),0)+IF(AND(O940="FIRE TEX 5090",OR(E940="IN",E940="C",E940="Z",E940="L"),J940=3),VLOOKUP(_xlfn.MINIFS('FIRE TEX 5090'!$B$5:$B$43,'FIRE TEX 5090'!$B$5:$B$43,"&gt;="&amp;M940),'FIRE TEX 5090'!$B$5:$H$43,IF(L940="F-15",2,IF(L940="F-30",3,IF(L940="F-60",4,IF(L940="F-90",5,IF(L940="F-120",6,IF(L940="F-150",7,0)))))),0),0)+IF(AND(O940="FIRE TEX 5090",OR(E940="IN",E940="C",E940="Z",E940="L"),J940=4),VLOOKUP(_xlfn.MINIFS('FIRE TEX 5090'!$J$5:$J$43,'FIRE TEX 5090'!$J$5:$J$43,"&gt;="&amp;M940),'FIRE TEX 5090'!$J$5:$P$43,IF(L940="F-15",2,IF(L940="F-30",3,IF(L940="F-60",4,IF(L940="F-90",5,IF(L940="F-120",6,IF(L940="F-150",7,0)))))),0),0)+IF(AND(O940="FIRE TEX 5090",E940="CJ",J940=3),VLOOKUP(_xlfn.MINIFS('FIRE TEX 5090'!$R$5:$R$30,'FIRE TEX 5090'!$R$5:$R$30,"&gt;="&amp;M940),'FIRE TEX 5090'!$R$5:$W$30,IF(L940="F-15",2,IF(L940="F-30",3,IF(L940="F-60",4,IF(L940="F-90",5,IF(L940="F-120",6,IF(L940="F-150",7,0)))))),0),0)+IF(AND(O940="FIRE TEX 5090",E940="CJ",J940=4),VLOOKUP(_xlfn.MINIFS('FIRE TEX 5090'!$Y$5:$Y$39,'FIRE TEX 5090'!$Y$5:$Y$39,"&gt;="&amp;M940),'FIRE TEX 5090'!$Y$5:$AD$39,IF(L940="F-15",2,IF(L940="F-30",3,IF(L940="F-60",4,IF(L940="F-90",5,IF(L940="F-120",6,IF(L940="F-150",7,0)))))),0),0)+IF(AND(O940="FIRE TEX 5120",OR(E940="IN",E940="C",E940="Z",E940="L"),J940=3),VLOOKUP(_xlfn.MINIFS('FIRE TEX 5120'!$B$5:$B$40,'FIRE TEX 5120'!$B$5:$B$40,"&gt;="&amp;M940),'FIRE TEX 5120'!$B$5:$G$40,IF(L940="F-15",2,IF(L940="F-30",3,IF(L940="F-60",4,IF(L940="F-90",5,IF(L940="F-120",6,0))))),0),0)+IF(AND(O940="FIRE TEX 5120",OR(E940="IN",E940="C",E940="Z",E940="L"),J940=4),VLOOKUP(_xlfn.MINIFS('FIRE TEX 5120'!$H$4:$H$40,'FIRE TEX 5120'!$H$4:$H$40,"&gt;="&amp;M940),'FIRE TEX 5120'!$H$4:$M$40,IF(L940="F-15",2,IF(L940="F-30",3,IF(L940="F-60",4,IF(L940="F-90",5,IF(L940="F-120",6,0))))),0),0)+IF(AND(O940="FIRE TEX 5120",E940="CJ"),VLOOKUP(_xlfn.MINIFS('FIRE TEX 5120'!$O$5:$O$40,'FIRE TEX 5120'!$O$5:$O$40,"&gt;="&amp;M940),'FIRE TEX 5120'!$O$5:$T$40,IF(L940="F-15",2,IF(L940="F-30",3,IF(L940="F-60",4,IF(L940="F-90",5,IF(L940="F-120",6,0))))),0),0)</f>
        <v>0</v>
      </c>
      <c r="Q940" s="46">
        <f t="shared" si="89"/>
        <v>0</v>
      </c>
      <c r="R940" s="46">
        <f t="shared" si="90"/>
        <v>0</v>
      </c>
      <c r="S940" s="46" t="e">
        <f t="shared" si="91"/>
        <v>#VALUE!</v>
      </c>
      <c r="T940" s="677">
        <f t="shared" si="92"/>
        <v>0</v>
      </c>
      <c r="U940" s="80">
        <f>(IF(O940="Stofire",(S940*#REF!),0))+(IF(O940="Fire Control",(S940*$U$2),0))+(IF(O940="Fire Tex",(S940*$U$3),0))+(IF(O940="WB7",(S940*#REF!),0)+(IF(O940="FX 2003",(S940*$U$5),0)))</f>
        <v>0</v>
      </c>
      <c r="V940" s="651">
        <f t="shared" si="93"/>
        <v>0</v>
      </c>
    </row>
    <row r="941" spans="4:22" x14ac:dyDescent="0.25">
      <c r="D941" s="118">
        <f>+CUBICACION!D940</f>
        <v>0</v>
      </c>
      <c r="E941" s="118">
        <f>+CUBICACION!F940</f>
        <v>0</v>
      </c>
      <c r="F941" s="118">
        <f>+CUBICACION!E940</f>
        <v>0</v>
      </c>
      <c r="G941" s="118">
        <v>12</v>
      </c>
      <c r="H941" s="118">
        <v>2</v>
      </c>
      <c r="I941" s="820">
        <v>26385</v>
      </c>
      <c r="J941" s="118">
        <f>+CUBICACION!J940</f>
        <v>0</v>
      </c>
      <c r="K941" s="118">
        <v>3720</v>
      </c>
      <c r="L941" s="118">
        <f>+CUBICACION!L940</f>
        <v>0</v>
      </c>
      <c r="M941" s="64">
        <f>+CUBICACION!M940</f>
        <v>0</v>
      </c>
      <c r="N941" s="824" t="str">
        <f>+CUBICACION!N940</f>
        <v/>
      </c>
      <c r="O941" s="675">
        <f>+CUBICACION!O940</f>
        <v>0</v>
      </c>
      <c r="P941" s="15">
        <f>IF(O941="Fire Control",VLOOKUP(_xlfn.MINIFS('FIRE CONTROL'!$C$4:$C$37,'FIRE CONTROL'!$C$4:$C$37,"&gt;="&amp;M941),'FIRE CONTROL'!$C$4:$G$37,IF(L941="F-15",2,IF(L941="F-30",3,IF(L941="F-60",4,IF(L941="F-90",5,0)))),0),0)+IF(AND(O941="FIRE TEX 5062",OR(E941="IN",E941="C",E941="Z",E941="L"),J941=3),VLOOKUP(_xlfn.MINIFS('FIRE TEX 5062'!$B$4:$B$34,'FIRE TEX 5062'!$B$4:$B$34,"&gt;="&amp;M941),'FIRE TEX 5062'!$B$4:$F$34,IF(L941="F-15",2,IF(L941="F-30",3,IF(L941="F-60",4,IF(L941="F-90",5,0)))),0),0)+IF(AND(O941="FIRE TEX 5062",OR(E941="IN",E941="C",E941="Z",E941="L"),J941=4),VLOOKUP(_xlfn.MINIFS('FIRE TEX 5062'!$G$4:$G$34,'FIRE TEX 5062'!$G$4:$G$34,"&gt;="&amp;M941),'FIRE TEX 5062'!$G$4:$K$34,IF(L941="F-15",2,IF(L941="F-30",3,IF(L941="F-60",4,IF(L941="F-90",5,0)))),0),0)+IF(AND(O941="FIRE TEX 5062",E941="CJ",J941=3),VLOOKUP(_xlfn.MINIFS('FIRE TEX 5062'!$L$4:$L$34,'FIRE TEX 5062'!$L$4:$L$34,"&gt;="&amp;M941),'FIRE TEX 5062'!$L$4:$P$34,IF(L941="F-15",2,IF(L941="F-30",3,IF(L941="F-60",4,IF(L941="F-90",5,0)))),0),0)+IF(AND(O941="FIRE TEX 5062",E941="CJ",J941=4),VLOOKUP(_xlfn.MINIFS('FIRE TEX 5062'!$Q$3:$Q$34,'FIRE TEX 5062'!$Q$3:$Q$34,"&gt;="&amp;M941),'FIRE TEX 5062'!$Q$3:$U$34,IF(L941="F-15",2,IF(L941="F-30",3,IF(L941="F-60",4,IF(L941="F-90",5,0)))),0),0)+IF(AND(O941="FIRE TEX 5090",OR(E941="IN",E941="C",E941="Z",E941="L"),J941=3),VLOOKUP(_xlfn.MINIFS('FIRE TEX 5090'!$B$5:$B$43,'FIRE TEX 5090'!$B$5:$B$43,"&gt;="&amp;M941),'FIRE TEX 5090'!$B$5:$H$43,IF(L941="F-15",2,IF(L941="F-30",3,IF(L941="F-60",4,IF(L941="F-90",5,IF(L941="F-120",6,IF(L941="F-150",7,0)))))),0),0)+IF(AND(O941="FIRE TEX 5090",OR(E941="IN",E941="C",E941="Z",E941="L"),J941=4),VLOOKUP(_xlfn.MINIFS('FIRE TEX 5090'!$J$5:$J$43,'FIRE TEX 5090'!$J$5:$J$43,"&gt;="&amp;M941),'FIRE TEX 5090'!$J$5:$P$43,IF(L941="F-15",2,IF(L941="F-30",3,IF(L941="F-60",4,IF(L941="F-90",5,IF(L941="F-120",6,IF(L941="F-150",7,0)))))),0),0)+IF(AND(O941="FIRE TEX 5090",E941="CJ",J941=3),VLOOKUP(_xlfn.MINIFS('FIRE TEX 5090'!$R$5:$R$30,'FIRE TEX 5090'!$R$5:$R$30,"&gt;="&amp;M941),'FIRE TEX 5090'!$R$5:$W$30,IF(L941="F-15",2,IF(L941="F-30",3,IF(L941="F-60",4,IF(L941="F-90",5,IF(L941="F-120",6,IF(L941="F-150",7,0)))))),0),0)+IF(AND(O941="FIRE TEX 5090",E941="CJ",J941=4),VLOOKUP(_xlfn.MINIFS('FIRE TEX 5090'!$Y$5:$Y$39,'FIRE TEX 5090'!$Y$5:$Y$39,"&gt;="&amp;M941),'FIRE TEX 5090'!$Y$5:$AD$39,IF(L941="F-15",2,IF(L941="F-30",3,IF(L941="F-60",4,IF(L941="F-90",5,IF(L941="F-120",6,IF(L941="F-150",7,0)))))),0),0)+IF(AND(O941="FIRE TEX 5120",OR(E941="IN",E941="C",E941="Z",E941="L"),J941=3),VLOOKUP(_xlfn.MINIFS('FIRE TEX 5120'!$B$5:$B$40,'FIRE TEX 5120'!$B$5:$B$40,"&gt;="&amp;M941),'FIRE TEX 5120'!$B$5:$G$40,IF(L941="F-15",2,IF(L941="F-30",3,IF(L941="F-60",4,IF(L941="F-90",5,IF(L941="F-120",6,0))))),0),0)+IF(AND(O941="FIRE TEX 5120",OR(E941="IN",E941="C",E941="Z",E941="L"),J941=4),VLOOKUP(_xlfn.MINIFS('FIRE TEX 5120'!$H$4:$H$40,'FIRE TEX 5120'!$H$4:$H$40,"&gt;="&amp;M941),'FIRE TEX 5120'!$H$4:$M$40,IF(L941="F-15",2,IF(L941="F-30",3,IF(L941="F-60",4,IF(L941="F-90",5,IF(L941="F-120",6,0))))),0),0)+IF(AND(O941="FIRE TEX 5120",E941="CJ"),VLOOKUP(_xlfn.MINIFS('FIRE TEX 5120'!$O$5:$O$40,'FIRE TEX 5120'!$O$5:$O$40,"&gt;="&amp;M941),'FIRE TEX 5120'!$O$5:$T$40,IF(L941="F-15",2,IF(L941="F-30",3,IF(L941="F-60",4,IF(L941="F-90",5,IF(L941="F-120",6,0))))),0),0)</f>
        <v>0</v>
      </c>
      <c r="Q941" s="46">
        <f t="shared" ref="Q941:Q1004" si="94">IF(P941="","",IF(P941="dar valor","",0.03937*P941))</f>
        <v>0</v>
      </c>
      <c r="R941" s="46">
        <f t="shared" ref="R941:R1004" si="95">+(IF(O941="Fire Control",((65*1.5/Q941)*0.75*4),0))+(IF(OR(O941="Fire Tex 5062",O941="Fire Tex 5090",O941="Fire Tex 5120"),((66*1.5/Q941)*0.7*5),0))</f>
        <v>0</v>
      </c>
      <c r="S941" s="46" t="e">
        <f t="shared" ref="S941:S1004" si="96">IF(R941="","",+N941/R941)</f>
        <v>#VALUE!</v>
      </c>
      <c r="T941" s="677">
        <f t="shared" ref="T941:T1004" si="97">(IF(O941="Stofire",(S941/(7*1)),0))+(IF(O941="Fire Control",(S941/(7*1)),0))+(IF(O941="Fire Tex",(S941/(7*1)),0))+(IF(O941="WB7",(S941/(7*1)),0))+(IF(O941="FX 2003",(S941/(7*1)),0))</f>
        <v>0</v>
      </c>
      <c r="U941" s="80">
        <f>(IF(O941="Stofire",(S941*#REF!),0))+(IF(O941="Fire Control",(S941*$U$2),0))+(IF(O941="Fire Tex",(S941*$U$3),0))+(IF(O941="WB7",(S941*#REF!),0)+(IF(O941="FX 2003",(S941*$U$5),0)))</f>
        <v>0</v>
      </c>
      <c r="V941" s="651">
        <f t="shared" ref="V941:V1004" si="98">_xlfn.CEILING.MATH(M941,10)</f>
        <v>0</v>
      </c>
    </row>
    <row r="942" spans="4:22" x14ac:dyDescent="0.25">
      <c r="D942" s="118">
        <f>+CUBICACION!D941</f>
        <v>0</v>
      </c>
      <c r="E942" s="118">
        <f>+CUBICACION!F941</f>
        <v>0</v>
      </c>
      <c r="F942" s="118">
        <f>+CUBICACION!E941</f>
        <v>0</v>
      </c>
      <c r="G942" s="118">
        <v>12</v>
      </c>
      <c r="H942" s="118">
        <v>2</v>
      </c>
      <c r="I942" s="820">
        <v>26385</v>
      </c>
      <c r="J942" s="118">
        <f>+CUBICACION!J941</f>
        <v>0</v>
      </c>
      <c r="K942" s="118">
        <v>3721</v>
      </c>
      <c r="L942" s="118">
        <f>+CUBICACION!L941</f>
        <v>0</v>
      </c>
      <c r="M942" s="64">
        <f>+CUBICACION!M941</f>
        <v>0</v>
      </c>
      <c r="N942" s="824" t="str">
        <f>+CUBICACION!N941</f>
        <v/>
      </c>
      <c r="O942" s="675">
        <f>+CUBICACION!O941</f>
        <v>0</v>
      </c>
      <c r="P942" s="15">
        <f>IF(O942="Fire Control",VLOOKUP(_xlfn.MINIFS('FIRE CONTROL'!$C$4:$C$37,'FIRE CONTROL'!$C$4:$C$37,"&gt;="&amp;M942),'FIRE CONTROL'!$C$4:$G$37,IF(L942="F-15",2,IF(L942="F-30",3,IF(L942="F-60",4,IF(L942="F-90",5,0)))),0),0)+IF(AND(O942="FIRE TEX 5062",OR(E942="IN",E942="C",E942="Z",E942="L"),J942=3),VLOOKUP(_xlfn.MINIFS('FIRE TEX 5062'!$B$4:$B$34,'FIRE TEX 5062'!$B$4:$B$34,"&gt;="&amp;M942),'FIRE TEX 5062'!$B$4:$F$34,IF(L942="F-15",2,IF(L942="F-30",3,IF(L942="F-60",4,IF(L942="F-90",5,0)))),0),0)+IF(AND(O942="FIRE TEX 5062",OR(E942="IN",E942="C",E942="Z",E942="L"),J942=4),VLOOKUP(_xlfn.MINIFS('FIRE TEX 5062'!$G$4:$G$34,'FIRE TEX 5062'!$G$4:$G$34,"&gt;="&amp;M942),'FIRE TEX 5062'!$G$4:$K$34,IF(L942="F-15",2,IF(L942="F-30",3,IF(L942="F-60",4,IF(L942="F-90",5,0)))),0),0)+IF(AND(O942="FIRE TEX 5062",E942="CJ",J942=3),VLOOKUP(_xlfn.MINIFS('FIRE TEX 5062'!$L$4:$L$34,'FIRE TEX 5062'!$L$4:$L$34,"&gt;="&amp;M942),'FIRE TEX 5062'!$L$4:$P$34,IF(L942="F-15",2,IF(L942="F-30",3,IF(L942="F-60",4,IF(L942="F-90",5,0)))),0),0)+IF(AND(O942="FIRE TEX 5062",E942="CJ",J942=4),VLOOKUP(_xlfn.MINIFS('FIRE TEX 5062'!$Q$3:$Q$34,'FIRE TEX 5062'!$Q$3:$Q$34,"&gt;="&amp;M942),'FIRE TEX 5062'!$Q$3:$U$34,IF(L942="F-15",2,IF(L942="F-30",3,IF(L942="F-60",4,IF(L942="F-90",5,0)))),0),0)+IF(AND(O942="FIRE TEX 5090",OR(E942="IN",E942="C",E942="Z",E942="L"),J942=3),VLOOKUP(_xlfn.MINIFS('FIRE TEX 5090'!$B$5:$B$43,'FIRE TEX 5090'!$B$5:$B$43,"&gt;="&amp;M942),'FIRE TEX 5090'!$B$5:$H$43,IF(L942="F-15",2,IF(L942="F-30",3,IF(L942="F-60",4,IF(L942="F-90",5,IF(L942="F-120",6,IF(L942="F-150",7,0)))))),0),0)+IF(AND(O942="FIRE TEX 5090",OR(E942="IN",E942="C",E942="Z",E942="L"),J942=4),VLOOKUP(_xlfn.MINIFS('FIRE TEX 5090'!$J$5:$J$43,'FIRE TEX 5090'!$J$5:$J$43,"&gt;="&amp;M942),'FIRE TEX 5090'!$J$5:$P$43,IF(L942="F-15",2,IF(L942="F-30",3,IF(L942="F-60",4,IF(L942="F-90",5,IF(L942="F-120",6,IF(L942="F-150",7,0)))))),0),0)+IF(AND(O942="FIRE TEX 5090",E942="CJ",J942=3),VLOOKUP(_xlfn.MINIFS('FIRE TEX 5090'!$R$5:$R$30,'FIRE TEX 5090'!$R$5:$R$30,"&gt;="&amp;M942),'FIRE TEX 5090'!$R$5:$W$30,IF(L942="F-15",2,IF(L942="F-30",3,IF(L942="F-60",4,IF(L942="F-90",5,IF(L942="F-120",6,IF(L942="F-150",7,0)))))),0),0)+IF(AND(O942="FIRE TEX 5090",E942="CJ",J942=4),VLOOKUP(_xlfn.MINIFS('FIRE TEX 5090'!$Y$5:$Y$39,'FIRE TEX 5090'!$Y$5:$Y$39,"&gt;="&amp;M942),'FIRE TEX 5090'!$Y$5:$AD$39,IF(L942="F-15",2,IF(L942="F-30",3,IF(L942="F-60",4,IF(L942="F-90",5,IF(L942="F-120",6,IF(L942="F-150",7,0)))))),0),0)+IF(AND(O942="FIRE TEX 5120",OR(E942="IN",E942="C",E942="Z",E942="L"),J942=3),VLOOKUP(_xlfn.MINIFS('FIRE TEX 5120'!$B$5:$B$40,'FIRE TEX 5120'!$B$5:$B$40,"&gt;="&amp;M942),'FIRE TEX 5120'!$B$5:$G$40,IF(L942="F-15",2,IF(L942="F-30",3,IF(L942="F-60",4,IF(L942="F-90",5,IF(L942="F-120",6,0))))),0),0)+IF(AND(O942="FIRE TEX 5120",OR(E942="IN",E942="C",E942="Z",E942="L"),J942=4),VLOOKUP(_xlfn.MINIFS('FIRE TEX 5120'!$H$4:$H$40,'FIRE TEX 5120'!$H$4:$H$40,"&gt;="&amp;M942),'FIRE TEX 5120'!$H$4:$M$40,IF(L942="F-15",2,IF(L942="F-30",3,IF(L942="F-60",4,IF(L942="F-90",5,IF(L942="F-120",6,0))))),0),0)+IF(AND(O942="FIRE TEX 5120",E942="CJ"),VLOOKUP(_xlfn.MINIFS('FIRE TEX 5120'!$O$5:$O$40,'FIRE TEX 5120'!$O$5:$O$40,"&gt;="&amp;M942),'FIRE TEX 5120'!$O$5:$T$40,IF(L942="F-15",2,IF(L942="F-30",3,IF(L942="F-60",4,IF(L942="F-90",5,IF(L942="F-120",6,0))))),0),0)</f>
        <v>0</v>
      </c>
      <c r="Q942" s="46">
        <f t="shared" si="94"/>
        <v>0</v>
      </c>
      <c r="R942" s="46">
        <f t="shared" si="95"/>
        <v>0</v>
      </c>
      <c r="S942" s="46" t="e">
        <f t="shared" si="96"/>
        <v>#VALUE!</v>
      </c>
      <c r="T942" s="677">
        <f t="shared" si="97"/>
        <v>0</v>
      </c>
      <c r="U942" s="80">
        <f>(IF(O942="Stofire",(S942*#REF!),0))+(IF(O942="Fire Control",(S942*$U$2),0))+(IF(O942="Fire Tex",(S942*$U$3),0))+(IF(O942="WB7",(S942*#REF!),0)+(IF(O942="FX 2003",(S942*$U$5),0)))</f>
        <v>0</v>
      </c>
      <c r="V942" s="651">
        <f t="shared" si="98"/>
        <v>0</v>
      </c>
    </row>
    <row r="943" spans="4:22" x14ac:dyDescent="0.25">
      <c r="D943" s="118">
        <f>+CUBICACION!D942</f>
        <v>0</v>
      </c>
      <c r="E943" s="118">
        <f>+CUBICACION!F942</f>
        <v>0</v>
      </c>
      <c r="F943" s="118">
        <f>+CUBICACION!E942</f>
        <v>0</v>
      </c>
      <c r="G943" s="118">
        <v>12</v>
      </c>
      <c r="H943" s="118">
        <v>2</v>
      </c>
      <c r="I943" s="820">
        <v>26385</v>
      </c>
      <c r="J943" s="118">
        <f>+CUBICACION!J942</f>
        <v>0</v>
      </c>
      <c r="K943" s="118">
        <v>3722</v>
      </c>
      <c r="L943" s="118">
        <f>+CUBICACION!L942</f>
        <v>0</v>
      </c>
      <c r="M943" s="64">
        <f>+CUBICACION!M942</f>
        <v>0</v>
      </c>
      <c r="N943" s="824" t="str">
        <f>+CUBICACION!N942</f>
        <v/>
      </c>
      <c r="O943" s="675">
        <f>+CUBICACION!O942</f>
        <v>0</v>
      </c>
      <c r="P943" s="15">
        <f>IF(O943="Fire Control",VLOOKUP(_xlfn.MINIFS('FIRE CONTROL'!$C$4:$C$37,'FIRE CONTROL'!$C$4:$C$37,"&gt;="&amp;M943),'FIRE CONTROL'!$C$4:$G$37,IF(L943="F-15",2,IF(L943="F-30",3,IF(L943="F-60",4,IF(L943="F-90",5,0)))),0),0)+IF(AND(O943="FIRE TEX 5062",OR(E943="IN",E943="C",E943="Z",E943="L"),J943=3),VLOOKUP(_xlfn.MINIFS('FIRE TEX 5062'!$B$4:$B$34,'FIRE TEX 5062'!$B$4:$B$34,"&gt;="&amp;M943),'FIRE TEX 5062'!$B$4:$F$34,IF(L943="F-15",2,IF(L943="F-30",3,IF(L943="F-60",4,IF(L943="F-90",5,0)))),0),0)+IF(AND(O943="FIRE TEX 5062",OR(E943="IN",E943="C",E943="Z",E943="L"),J943=4),VLOOKUP(_xlfn.MINIFS('FIRE TEX 5062'!$G$4:$G$34,'FIRE TEX 5062'!$G$4:$G$34,"&gt;="&amp;M943),'FIRE TEX 5062'!$G$4:$K$34,IF(L943="F-15",2,IF(L943="F-30",3,IF(L943="F-60",4,IF(L943="F-90",5,0)))),0),0)+IF(AND(O943="FIRE TEX 5062",E943="CJ",J943=3),VLOOKUP(_xlfn.MINIFS('FIRE TEX 5062'!$L$4:$L$34,'FIRE TEX 5062'!$L$4:$L$34,"&gt;="&amp;M943),'FIRE TEX 5062'!$L$4:$P$34,IF(L943="F-15",2,IF(L943="F-30",3,IF(L943="F-60",4,IF(L943="F-90",5,0)))),0),0)+IF(AND(O943="FIRE TEX 5062",E943="CJ",J943=4),VLOOKUP(_xlfn.MINIFS('FIRE TEX 5062'!$Q$3:$Q$34,'FIRE TEX 5062'!$Q$3:$Q$34,"&gt;="&amp;M943),'FIRE TEX 5062'!$Q$3:$U$34,IF(L943="F-15",2,IF(L943="F-30",3,IF(L943="F-60",4,IF(L943="F-90",5,0)))),0),0)+IF(AND(O943="FIRE TEX 5090",OR(E943="IN",E943="C",E943="Z",E943="L"),J943=3),VLOOKUP(_xlfn.MINIFS('FIRE TEX 5090'!$B$5:$B$43,'FIRE TEX 5090'!$B$5:$B$43,"&gt;="&amp;M943),'FIRE TEX 5090'!$B$5:$H$43,IF(L943="F-15",2,IF(L943="F-30",3,IF(L943="F-60",4,IF(L943="F-90",5,IF(L943="F-120",6,IF(L943="F-150",7,0)))))),0),0)+IF(AND(O943="FIRE TEX 5090",OR(E943="IN",E943="C",E943="Z",E943="L"),J943=4),VLOOKUP(_xlfn.MINIFS('FIRE TEX 5090'!$J$5:$J$43,'FIRE TEX 5090'!$J$5:$J$43,"&gt;="&amp;M943),'FIRE TEX 5090'!$J$5:$P$43,IF(L943="F-15",2,IF(L943="F-30",3,IF(L943="F-60",4,IF(L943="F-90",5,IF(L943="F-120",6,IF(L943="F-150",7,0)))))),0),0)+IF(AND(O943="FIRE TEX 5090",E943="CJ",J943=3),VLOOKUP(_xlfn.MINIFS('FIRE TEX 5090'!$R$5:$R$30,'FIRE TEX 5090'!$R$5:$R$30,"&gt;="&amp;M943),'FIRE TEX 5090'!$R$5:$W$30,IF(L943="F-15",2,IF(L943="F-30",3,IF(L943="F-60",4,IF(L943="F-90",5,IF(L943="F-120",6,IF(L943="F-150",7,0)))))),0),0)+IF(AND(O943="FIRE TEX 5090",E943="CJ",J943=4),VLOOKUP(_xlfn.MINIFS('FIRE TEX 5090'!$Y$5:$Y$39,'FIRE TEX 5090'!$Y$5:$Y$39,"&gt;="&amp;M943),'FIRE TEX 5090'!$Y$5:$AD$39,IF(L943="F-15",2,IF(L943="F-30",3,IF(L943="F-60",4,IF(L943="F-90",5,IF(L943="F-120",6,IF(L943="F-150",7,0)))))),0),0)+IF(AND(O943="FIRE TEX 5120",OR(E943="IN",E943="C",E943="Z",E943="L"),J943=3),VLOOKUP(_xlfn.MINIFS('FIRE TEX 5120'!$B$5:$B$40,'FIRE TEX 5120'!$B$5:$B$40,"&gt;="&amp;M943),'FIRE TEX 5120'!$B$5:$G$40,IF(L943="F-15",2,IF(L943="F-30",3,IF(L943="F-60",4,IF(L943="F-90",5,IF(L943="F-120",6,0))))),0),0)+IF(AND(O943="FIRE TEX 5120",OR(E943="IN",E943="C",E943="Z",E943="L"),J943=4),VLOOKUP(_xlfn.MINIFS('FIRE TEX 5120'!$H$4:$H$40,'FIRE TEX 5120'!$H$4:$H$40,"&gt;="&amp;M943),'FIRE TEX 5120'!$H$4:$M$40,IF(L943="F-15",2,IF(L943="F-30",3,IF(L943="F-60",4,IF(L943="F-90",5,IF(L943="F-120",6,0))))),0),0)+IF(AND(O943="FIRE TEX 5120",E943="CJ"),VLOOKUP(_xlfn.MINIFS('FIRE TEX 5120'!$O$5:$O$40,'FIRE TEX 5120'!$O$5:$O$40,"&gt;="&amp;M943),'FIRE TEX 5120'!$O$5:$T$40,IF(L943="F-15",2,IF(L943="F-30",3,IF(L943="F-60",4,IF(L943="F-90",5,IF(L943="F-120",6,0))))),0),0)</f>
        <v>0</v>
      </c>
      <c r="Q943" s="46">
        <f t="shared" si="94"/>
        <v>0</v>
      </c>
      <c r="R943" s="46">
        <f t="shared" si="95"/>
        <v>0</v>
      </c>
      <c r="S943" s="46" t="e">
        <f t="shared" si="96"/>
        <v>#VALUE!</v>
      </c>
      <c r="T943" s="677">
        <f t="shared" si="97"/>
        <v>0</v>
      </c>
      <c r="U943" s="80">
        <f>(IF(O943="Stofire",(S943*#REF!),0))+(IF(O943="Fire Control",(S943*$U$2),0))+(IF(O943="Fire Tex",(S943*$U$3),0))+(IF(O943="WB7",(S943*#REF!),0)+(IF(O943="FX 2003",(S943*$U$5),0)))</f>
        <v>0</v>
      </c>
      <c r="V943" s="651">
        <f t="shared" si="98"/>
        <v>0</v>
      </c>
    </row>
    <row r="944" spans="4:22" x14ac:dyDescent="0.25">
      <c r="D944" s="118">
        <f>+CUBICACION!D943</f>
        <v>0</v>
      </c>
      <c r="E944" s="118">
        <f>+CUBICACION!F943</f>
        <v>0</v>
      </c>
      <c r="F944" s="118">
        <f>+CUBICACION!E943</f>
        <v>0</v>
      </c>
      <c r="G944" s="118">
        <v>12</v>
      </c>
      <c r="H944" s="118">
        <v>2</v>
      </c>
      <c r="I944" s="820">
        <v>26385</v>
      </c>
      <c r="J944" s="118">
        <f>+CUBICACION!J943</f>
        <v>0</v>
      </c>
      <c r="K944" s="118">
        <v>3723</v>
      </c>
      <c r="L944" s="118">
        <f>+CUBICACION!L943</f>
        <v>0</v>
      </c>
      <c r="M944" s="64">
        <f>+CUBICACION!M943</f>
        <v>0</v>
      </c>
      <c r="N944" s="824" t="str">
        <f>+CUBICACION!N943</f>
        <v/>
      </c>
      <c r="O944" s="675">
        <f>+CUBICACION!O943</f>
        <v>0</v>
      </c>
      <c r="P944" s="15">
        <f>IF(O944="Fire Control",VLOOKUP(_xlfn.MINIFS('FIRE CONTROL'!$C$4:$C$37,'FIRE CONTROL'!$C$4:$C$37,"&gt;="&amp;M944),'FIRE CONTROL'!$C$4:$G$37,IF(L944="F-15",2,IF(L944="F-30",3,IF(L944="F-60",4,IF(L944="F-90",5,0)))),0),0)+IF(AND(O944="FIRE TEX 5062",OR(E944="IN",E944="C",E944="Z",E944="L"),J944=3),VLOOKUP(_xlfn.MINIFS('FIRE TEX 5062'!$B$4:$B$34,'FIRE TEX 5062'!$B$4:$B$34,"&gt;="&amp;M944),'FIRE TEX 5062'!$B$4:$F$34,IF(L944="F-15",2,IF(L944="F-30",3,IF(L944="F-60",4,IF(L944="F-90",5,0)))),0),0)+IF(AND(O944="FIRE TEX 5062",OR(E944="IN",E944="C",E944="Z",E944="L"),J944=4),VLOOKUP(_xlfn.MINIFS('FIRE TEX 5062'!$G$4:$G$34,'FIRE TEX 5062'!$G$4:$G$34,"&gt;="&amp;M944),'FIRE TEX 5062'!$G$4:$K$34,IF(L944="F-15",2,IF(L944="F-30",3,IF(L944="F-60",4,IF(L944="F-90",5,0)))),0),0)+IF(AND(O944="FIRE TEX 5062",E944="CJ",J944=3),VLOOKUP(_xlfn.MINIFS('FIRE TEX 5062'!$L$4:$L$34,'FIRE TEX 5062'!$L$4:$L$34,"&gt;="&amp;M944),'FIRE TEX 5062'!$L$4:$P$34,IF(L944="F-15",2,IF(L944="F-30",3,IF(L944="F-60",4,IF(L944="F-90",5,0)))),0),0)+IF(AND(O944="FIRE TEX 5062",E944="CJ",J944=4),VLOOKUP(_xlfn.MINIFS('FIRE TEX 5062'!$Q$3:$Q$34,'FIRE TEX 5062'!$Q$3:$Q$34,"&gt;="&amp;M944),'FIRE TEX 5062'!$Q$3:$U$34,IF(L944="F-15",2,IF(L944="F-30",3,IF(L944="F-60",4,IF(L944="F-90",5,0)))),0),0)+IF(AND(O944="FIRE TEX 5090",OR(E944="IN",E944="C",E944="Z",E944="L"),J944=3),VLOOKUP(_xlfn.MINIFS('FIRE TEX 5090'!$B$5:$B$43,'FIRE TEX 5090'!$B$5:$B$43,"&gt;="&amp;M944),'FIRE TEX 5090'!$B$5:$H$43,IF(L944="F-15",2,IF(L944="F-30",3,IF(L944="F-60",4,IF(L944="F-90",5,IF(L944="F-120",6,IF(L944="F-150",7,0)))))),0),0)+IF(AND(O944="FIRE TEX 5090",OR(E944="IN",E944="C",E944="Z",E944="L"),J944=4),VLOOKUP(_xlfn.MINIFS('FIRE TEX 5090'!$J$5:$J$43,'FIRE TEX 5090'!$J$5:$J$43,"&gt;="&amp;M944),'FIRE TEX 5090'!$J$5:$P$43,IF(L944="F-15",2,IF(L944="F-30",3,IF(L944="F-60",4,IF(L944="F-90",5,IF(L944="F-120",6,IF(L944="F-150",7,0)))))),0),0)+IF(AND(O944="FIRE TEX 5090",E944="CJ",J944=3),VLOOKUP(_xlfn.MINIFS('FIRE TEX 5090'!$R$5:$R$30,'FIRE TEX 5090'!$R$5:$R$30,"&gt;="&amp;M944),'FIRE TEX 5090'!$R$5:$W$30,IF(L944="F-15",2,IF(L944="F-30",3,IF(L944="F-60",4,IF(L944="F-90",5,IF(L944="F-120",6,IF(L944="F-150",7,0)))))),0),0)+IF(AND(O944="FIRE TEX 5090",E944="CJ",J944=4),VLOOKUP(_xlfn.MINIFS('FIRE TEX 5090'!$Y$5:$Y$39,'FIRE TEX 5090'!$Y$5:$Y$39,"&gt;="&amp;M944),'FIRE TEX 5090'!$Y$5:$AD$39,IF(L944="F-15",2,IF(L944="F-30",3,IF(L944="F-60",4,IF(L944="F-90",5,IF(L944="F-120",6,IF(L944="F-150",7,0)))))),0),0)+IF(AND(O944="FIRE TEX 5120",OR(E944="IN",E944="C",E944="Z",E944="L"),J944=3),VLOOKUP(_xlfn.MINIFS('FIRE TEX 5120'!$B$5:$B$40,'FIRE TEX 5120'!$B$5:$B$40,"&gt;="&amp;M944),'FIRE TEX 5120'!$B$5:$G$40,IF(L944="F-15",2,IF(L944="F-30",3,IF(L944="F-60",4,IF(L944="F-90",5,IF(L944="F-120",6,0))))),0),0)+IF(AND(O944="FIRE TEX 5120",OR(E944="IN",E944="C",E944="Z",E944="L"),J944=4),VLOOKUP(_xlfn.MINIFS('FIRE TEX 5120'!$H$4:$H$40,'FIRE TEX 5120'!$H$4:$H$40,"&gt;="&amp;M944),'FIRE TEX 5120'!$H$4:$M$40,IF(L944="F-15",2,IF(L944="F-30",3,IF(L944="F-60",4,IF(L944="F-90",5,IF(L944="F-120",6,0))))),0),0)+IF(AND(O944="FIRE TEX 5120",E944="CJ"),VLOOKUP(_xlfn.MINIFS('FIRE TEX 5120'!$O$5:$O$40,'FIRE TEX 5120'!$O$5:$O$40,"&gt;="&amp;M944),'FIRE TEX 5120'!$O$5:$T$40,IF(L944="F-15",2,IF(L944="F-30",3,IF(L944="F-60",4,IF(L944="F-90",5,IF(L944="F-120",6,0))))),0),0)</f>
        <v>0</v>
      </c>
      <c r="Q944" s="46">
        <f t="shared" si="94"/>
        <v>0</v>
      </c>
      <c r="R944" s="46">
        <f t="shared" si="95"/>
        <v>0</v>
      </c>
      <c r="S944" s="46" t="e">
        <f t="shared" si="96"/>
        <v>#VALUE!</v>
      </c>
      <c r="T944" s="677">
        <f t="shared" si="97"/>
        <v>0</v>
      </c>
      <c r="U944" s="80">
        <f>(IF(O944="Stofire",(S944*#REF!),0))+(IF(O944="Fire Control",(S944*$U$2),0))+(IF(O944="Fire Tex",(S944*$U$3),0))+(IF(O944="WB7",(S944*#REF!),0)+(IF(O944="FX 2003",(S944*$U$5),0)))</f>
        <v>0</v>
      </c>
      <c r="V944" s="651">
        <f t="shared" si="98"/>
        <v>0</v>
      </c>
    </row>
    <row r="945" spans="4:22" x14ac:dyDescent="0.25">
      <c r="D945" s="118">
        <f>+CUBICACION!D944</f>
        <v>0</v>
      </c>
      <c r="E945" s="118">
        <f>+CUBICACION!F944</f>
        <v>0</v>
      </c>
      <c r="F945" s="118">
        <f>+CUBICACION!E944</f>
        <v>0</v>
      </c>
      <c r="G945" s="118">
        <v>12</v>
      </c>
      <c r="H945" s="118">
        <v>2</v>
      </c>
      <c r="I945" s="820">
        <v>26385</v>
      </c>
      <c r="J945" s="118">
        <f>+CUBICACION!J944</f>
        <v>0</v>
      </c>
      <c r="K945" s="118">
        <v>3724</v>
      </c>
      <c r="L945" s="118">
        <f>+CUBICACION!L944</f>
        <v>0</v>
      </c>
      <c r="M945" s="64">
        <f>+CUBICACION!M944</f>
        <v>0</v>
      </c>
      <c r="N945" s="824" t="str">
        <f>+CUBICACION!N944</f>
        <v/>
      </c>
      <c r="O945" s="675">
        <f>+CUBICACION!O944</f>
        <v>0</v>
      </c>
      <c r="P945" s="15">
        <f>IF(O945="Fire Control",VLOOKUP(_xlfn.MINIFS('FIRE CONTROL'!$C$4:$C$37,'FIRE CONTROL'!$C$4:$C$37,"&gt;="&amp;M945),'FIRE CONTROL'!$C$4:$G$37,IF(L945="F-15",2,IF(L945="F-30",3,IF(L945="F-60",4,IF(L945="F-90",5,0)))),0),0)+IF(AND(O945="FIRE TEX 5062",OR(E945="IN",E945="C",E945="Z",E945="L"),J945=3),VLOOKUP(_xlfn.MINIFS('FIRE TEX 5062'!$B$4:$B$34,'FIRE TEX 5062'!$B$4:$B$34,"&gt;="&amp;M945),'FIRE TEX 5062'!$B$4:$F$34,IF(L945="F-15",2,IF(L945="F-30",3,IF(L945="F-60",4,IF(L945="F-90",5,0)))),0),0)+IF(AND(O945="FIRE TEX 5062",OR(E945="IN",E945="C",E945="Z",E945="L"),J945=4),VLOOKUP(_xlfn.MINIFS('FIRE TEX 5062'!$G$4:$G$34,'FIRE TEX 5062'!$G$4:$G$34,"&gt;="&amp;M945),'FIRE TEX 5062'!$G$4:$K$34,IF(L945="F-15",2,IF(L945="F-30",3,IF(L945="F-60",4,IF(L945="F-90",5,0)))),0),0)+IF(AND(O945="FIRE TEX 5062",E945="CJ",J945=3),VLOOKUP(_xlfn.MINIFS('FIRE TEX 5062'!$L$4:$L$34,'FIRE TEX 5062'!$L$4:$L$34,"&gt;="&amp;M945),'FIRE TEX 5062'!$L$4:$P$34,IF(L945="F-15",2,IF(L945="F-30",3,IF(L945="F-60",4,IF(L945="F-90",5,0)))),0),0)+IF(AND(O945="FIRE TEX 5062",E945="CJ",J945=4),VLOOKUP(_xlfn.MINIFS('FIRE TEX 5062'!$Q$3:$Q$34,'FIRE TEX 5062'!$Q$3:$Q$34,"&gt;="&amp;M945),'FIRE TEX 5062'!$Q$3:$U$34,IF(L945="F-15",2,IF(L945="F-30",3,IF(L945="F-60",4,IF(L945="F-90",5,0)))),0),0)+IF(AND(O945="FIRE TEX 5090",OR(E945="IN",E945="C",E945="Z",E945="L"),J945=3),VLOOKUP(_xlfn.MINIFS('FIRE TEX 5090'!$B$5:$B$43,'FIRE TEX 5090'!$B$5:$B$43,"&gt;="&amp;M945),'FIRE TEX 5090'!$B$5:$H$43,IF(L945="F-15",2,IF(L945="F-30",3,IF(L945="F-60",4,IF(L945="F-90",5,IF(L945="F-120",6,IF(L945="F-150",7,0)))))),0),0)+IF(AND(O945="FIRE TEX 5090",OR(E945="IN",E945="C",E945="Z",E945="L"),J945=4),VLOOKUP(_xlfn.MINIFS('FIRE TEX 5090'!$J$5:$J$43,'FIRE TEX 5090'!$J$5:$J$43,"&gt;="&amp;M945),'FIRE TEX 5090'!$J$5:$P$43,IF(L945="F-15",2,IF(L945="F-30",3,IF(L945="F-60",4,IF(L945="F-90",5,IF(L945="F-120",6,IF(L945="F-150",7,0)))))),0),0)+IF(AND(O945="FIRE TEX 5090",E945="CJ",J945=3),VLOOKUP(_xlfn.MINIFS('FIRE TEX 5090'!$R$5:$R$30,'FIRE TEX 5090'!$R$5:$R$30,"&gt;="&amp;M945),'FIRE TEX 5090'!$R$5:$W$30,IF(L945="F-15",2,IF(L945="F-30",3,IF(L945="F-60",4,IF(L945="F-90",5,IF(L945="F-120",6,IF(L945="F-150",7,0)))))),0),0)+IF(AND(O945="FIRE TEX 5090",E945="CJ",J945=4),VLOOKUP(_xlfn.MINIFS('FIRE TEX 5090'!$Y$5:$Y$39,'FIRE TEX 5090'!$Y$5:$Y$39,"&gt;="&amp;M945),'FIRE TEX 5090'!$Y$5:$AD$39,IF(L945="F-15",2,IF(L945="F-30",3,IF(L945="F-60",4,IF(L945="F-90",5,IF(L945="F-120",6,IF(L945="F-150",7,0)))))),0),0)+IF(AND(O945="FIRE TEX 5120",OR(E945="IN",E945="C",E945="Z",E945="L"),J945=3),VLOOKUP(_xlfn.MINIFS('FIRE TEX 5120'!$B$5:$B$40,'FIRE TEX 5120'!$B$5:$B$40,"&gt;="&amp;M945),'FIRE TEX 5120'!$B$5:$G$40,IF(L945="F-15",2,IF(L945="F-30",3,IF(L945="F-60",4,IF(L945="F-90",5,IF(L945="F-120",6,0))))),0),0)+IF(AND(O945="FIRE TEX 5120",OR(E945="IN",E945="C",E945="Z",E945="L"),J945=4),VLOOKUP(_xlfn.MINIFS('FIRE TEX 5120'!$H$4:$H$40,'FIRE TEX 5120'!$H$4:$H$40,"&gt;="&amp;M945),'FIRE TEX 5120'!$H$4:$M$40,IF(L945="F-15",2,IF(L945="F-30",3,IF(L945="F-60",4,IF(L945="F-90",5,IF(L945="F-120",6,0))))),0),0)+IF(AND(O945="FIRE TEX 5120",E945="CJ"),VLOOKUP(_xlfn.MINIFS('FIRE TEX 5120'!$O$5:$O$40,'FIRE TEX 5120'!$O$5:$O$40,"&gt;="&amp;M945),'FIRE TEX 5120'!$O$5:$T$40,IF(L945="F-15",2,IF(L945="F-30",3,IF(L945="F-60",4,IF(L945="F-90",5,IF(L945="F-120",6,0))))),0),0)</f>
        <v>0</v>
      </c>
      <c r="Q945" s="46">
        <f t="shared" si="94"/>
        <v>0</v>
      </c>
      <c r="R945" s="46">
        <f t="shared" si="95"/>
        <v>0</v>
      </c>
      <c r="S945" s="46" t="e">
        <f t="shared" si="96"/>
        <v>#VALUE!</v>
      </c>
      <c r="T945" s="677">
        <f t="shared" si="97"/>
        <v>0</v>
      </c>
      <c r="U945" s="80">
        <f>(IF(O945="Stofire",(S945*#REF!),0))+(IF(O945="Fire Control",(S945*$U$2),0))+(IF(O945="Fire Tex",(S945*$U$3),0))+(IF(O945="WB7",(S945*#REF!),0)+(IF(O945="FX 2003",(S945*$U$5),0)))</f>
        <v>0</v>
      </c>
      <c r="V945" s="651">
        <f t="shared" si="98"/>
        <v>0</v>
      </c>
    </row>
    <row r="946" spans="4:22" x14ac:dyDescent="0.25">
      <c r="D946" s="118">
        <f>+CUBICACION!D945</f>
        <v>0</v>
      </c>
      <c r="E946" s="118">
        <f>+CUBICACION!F945</f>
        <v>0</v>
      </c>
      <c r="F946" s="118">
        <f>+CUBICACION!E945</f>
        <v>0</v>
      </c>
      <c r="G946" s="118">
        <v>12</v>
      </c>
      <c r="H946" s="118">
        <v>2</v>
      </c>
      <c r="I946" s="820">
        <v>26385</v>
      </c>
      <c r="J946" s="118">
        <f>+CUBICACION!J945</f>
        <v>0</v>
      </c>
      <c r="K946" s="118">
        <v>3725</v>
      </c>
      <c r="L946" s="118">
        <f>+CUBICACION!L945</f>
        <v>0</v>
      </c>
      <c r="M946" s="64">
        <f>+CUBICACION!M945</f>
        <v>0</v>
      </c>
      <c r="N946" s="824" t="str">
        <f>+CUBICACION!N945</f>
        <v/>
      </c>
      <c r="O946" s="675">
        <f>+CUBICACION!O945</f>
        <v>0</v>
      </c>
      <c r="P946" s="15">
        <f>IF(O946="Fire Control",VLOOKUP(_xlfn.MINIFS('FIRE CONTROL'!$C$4:$C$37,'FIRE CONTROL'!$C$4:$C$37,"&gt;="&amp;M946),'FIRE CONTROL'!$C$4:$G$37,IF(L946="F-15",2,IF(L946="F-30",3,IF(L946="F-60",4,IF(L946="F-90",5,0)))),0),0)+IF(AND(O946="FIRE TEX 5062",OR(E946="IN",E946="C",E946="Z",E946="L"),J946=3),VLOOKUP(_xlfn.MINIFS('FIRE TEX 5062'!$B$4:$B$34,'FIRE TEX 5062'!$B$4:$B$34,"&gt;="&amp;M946),'FIRE TEX 5062'!$B$4:$F$34,IF(L946="F-15",2,IF(L946="F-30",3,IF(L946="F-60",4,IF(L946="F-90",5,0)))),0),0)+IF(AND(O946="FIRE TEX 5062",OR(E946="IN",E946="C",E946="Z",E946="L"),J946=4),VLOOKUP(_xlfn.MINIFS('FIRE TEX 5062'!$G$4:$G$34,'FIRE TEX 5062'!$G$4:$G$34,"&gt;="&amp;M946),'FIRE TEX 5062'!$G$4:$K$34,IF(L946="F-15",2,IF(L946="F-30",3,IF(L946="F-60",4,IF(L946="F-90",5,0)))),0),0)+IF(AND(O946="FIRE TEX 5062",E946="CJ",J946=3),VLOOKUP(_xlfn.MINIFS('FIRE TEX 5062'!$L$4:$L$34,'FIRE TEX 5062'!$L$4:$L$34,"&gt;="&amp;M946),'FIRE TEX 5062'!$L$4:$P$34,IF(L946="F-15",2,IF(L946="F-30",3,IF(L946="F-60",4,IF(L946="F-90",5,0)))),0),0)+IF(AND(O946="FIRE TEX 5062",E946="CJ",J946=4),VLOOKUP(_xlfn.MINIFS('FIRE TEX 5062'!$Q$3:$Q$34,'FIRE TEX 5062'!$Q$3:$Q$34,"&gt;="&amp;M946),'FIRE TEX 5062'!$Q$3:$U$34,IF(L946="F-15",2,IF(L946="F-30",3,IF(L946="F-60",4,IF(L946="F-90",5,0)))),0),0)+IF(AND(O946="FIRE TEX 5090",OR(E946="IN",E946="C",E946="Z",E946="L"),J946=3),VLOOKUP(_xlfn.MINIFS('FIRE TEX 5090'!$B$5:$B$43,'FIRE TEX 5090'!$B$5:$B$43,"&gt;="&amp;M946),'FIRE TEX 5090'!$B$5:$H$43,IF(L946="F-15",2,IF(L946="F-30",3,IF(L946="F-60",4,IF(L946="F-90",5,IF(L946="F-120",6,IF(L946="F-150",7,0)))))),0),0)+IF(AND(O946="FIRE TEX 5090",OR(E946="IN",E946="C",E946="Z",E946="L"),J946=4),VLOOKUP(_xlfn.MINIFS('FIRE TEX 5090'!$J$5:$J$43,'FIRE TEX 5090'!$J$5:$J$43,"&gt;="&amp;M946),'FIRE TEX 5090'!$J$5:$P$43,IF(L946="F-15",2,IF(L946="F-30",3,IF(L946="F-60",4,IF(L946="F-90",5,IF(L946="F-120",6,IF(L946="F-150",7,0)))))),0),0)+IF(AND(O946="FIRE TEX 5090",E946="CJ",J946=3),VLOOKUP(_xlfn.MINIFS('FIRE TEX 5090'!$R$5:$R$30,'FIRE TEX 5090'!$R$5:$R$30,"&gt;="&amp;M946),'FIRE TEX 5090'!$R$5:$W$30,IF(L946="F-15",2,IF(L946="F-30",3,IF(L946="F-60",4,IF(L946="F-90",5,IF(L946="F-120",6,IF(L946="F-150",7,0)))))),0),0)+IF(AND(O946="FIRE TEX 5090",E946="CJ",J946=4),VLOOKUP(_xlfn.MINIFS('FIRE TEX 5090'!$Y$5:$Y$39,'FIRE TEX 5090'!$Y$5:$Y$39,"&gt;="&amp;M946),'FIRE TEX 5090'!$Y$5:$AD$39,IF(L946="F-15",2,IF(L946="F-30",3,IF(L946="F-60",4,IF(L946="F-90",5,IF(L946="F-120",6,IF(L946="F-150",7,0)))))),0),0)+IF(AND(O946="FIRE TEX 5120",OR(E946="IN",E946="C",E946="Z",E946="L"),J946=3),VLOOKUP(_xlfn.MINIFS('FIRE TEX 5120'!$B$5:$B$40,'FIRE TEX 5120'!$B$5:$B$40,"&gt;="&amp;M946),'FIRE TEX 5120'!$B$5:$G$40,IF(L946="F-15",2,IF(L946="F-30",3,IF(L946="F-60",4,IF(L946="F-90",5,IF(L946="F-120",6,0))))),0),0)+IF(AND(O946="FIRE TEX 5120",OR(E946="IN",E946="C",E946="Z",E946="L"),J946=4),VLOOKUP(_xlfn.MINIFS('FIRE TEX 5120'!$H$4:$H$40,'FIRE TEX 5120'!$H$4:$H$40,"&gt;="&amp;M946),'FIRE TEX 5120'!$H$4:$M$40,IF(L946="F-15",2,IF(L946="F-30",3,IF(L946="F-60",4,IF(L946="F-90",5,IF(L946="F-120",6,0))))),0),0)+IF(AND(O946="FIRE TEX 5120",E946="CJ"),VLOOKUP(_xlfn.MINIFS('FIRE TEX 5120'!$O$5:$O$40,'FIRE TEX 5120'!$O$5:$O$40,"&gt;="&amp;M946),'FIRE TEX 5120'!$O$5:$T$40,IF(L946="F-15",2,IF(L946="F-30",3,IF(L946="F-60",4,IF(L946="F-90",5,IF(L946="F-120",6,0))))),0),0)</f>
        <v>0</v>
      </c>
      <c r="Q946" s="46">
        <f t="shared" si="94"/>
        <v>0</v>
      </c>
      <c r="R946" s="46">
        <f t="shared" si="95"/>
        <v>0</v>
      </c>
      <c r="S946" s="46" t="e">
        <f t="shared" si="96"/>
        <v>#VALUE!</v>
      </c>
      <c r="T946" s="677">
        <f t="shared" si="97"/>
        <v>0</v>
      </c>
      <c r="U946" s="80">
        <f>(IF(O946="Stofire",(S946*#REF!),0))+(IF(O946="Fire Control",(S946*$U$2),0))+(IF(O946="Fire Tex",(S946*$U$3),0))+(IF(O946="WB7",(S946*#REF!),0)+(IF(O946="FX 2003",(S946*$U$5),0)))</f>
        <v>0</v>
      </c>
      <c r="V946" s="651">
        <f t="shared" si="98"/>
        <v>0</v>
      </c>
    </row>
    <row r="947" spans="4:22" x14ac:dyDescent="0.25">
      <c r="D947" s="118">
        <f>+CUBICACION!D946</f>
        <v>0</v>
      </c>
      <c r="E947" s="118">
        <f>+CUBICACION!F946</f>
        <v>0</v>
      </c>
      <c r="F947" s="118">
        <f>+CUBICACION!E946</f>
        <v>0</v>
      </c>
      <c r="G947" s="118">
        <v>12</v>
      </c>
      <c r="H947" s="118">
        <v>2</v>
      </c>
      <c r="I947" s="820">
        <v>26385</v>
      </c>
      <c r="J947" s="118">
        <f>+CUBICACION!J946</f>
        <v>0</v>
      </c>
      <c r="K947" s="118">
        <v>3726</v>
      </c>
      <c r="L947" s="118">
        <f>+CUBICACION!L946</f>
        <v>0</v>
      </c>
      <c r="M947" s="64">
        <f>+CUBICACION!M946</f>
        <v>0</v>
      </c>
      <c r="N947" s="824" t="str">
        <f>+CUBICACION!N946</f>
        <v/>
      </c>
      <c r="O947" s="675">
        <f>+CUBICACION!O946</f>
        <v>0</v>
      </c>
      <c r="P947" s="15">
        <f>IF(O947="Fire Control",VLOOKUP(_xlfn.MINIFS('FIRE CONTROL'!$C$4:$C$37,'FIRE CONTROL'!$C$4:$C$37,"&gt;="&amp;M947),'FIRE CONTROL'!$C$4:$G$37,IF(L947="F-15",2,IF(L947="F-30",3,IF(L947="F-60",4,IF(L947="F-90",5,0)))),0),0)+IF(AND(O947="FIRE TEX 5062",OR(E947="IN",E947="C",E947="Z",E947="L"),J947=3),VLOOKUP(_xlfn.MINIFS('FIRE TEX 5062'!$B$4:$B$34,'FIRE TEX 5062'!$B$4:$B$34,"&gt;="&amp;M947),'FIRE TEX 5062'!$B$4:$F$34,IF(L947="F-15",2,IF(L947="F-30",3,IF(L947="F-60",4,IF(L947="F-90",5,0)))),0),0)+IF(AND(O947="FIRE TEX 5062",OR(E947="IN",E947="C",E947="Z",E947="L"),J947=4),VLOOKUP(_xlfn.MINIFS('FIRE TEX 5062'!$G$4:$G$34,'FIRE TEX 5062'!$G$4:$G$34,"&gt;="&amp;M947),'FIRE TEX 5062'!$G$4:$K$34,IF(L947="F-15",2,IF(L947="F-30",3,IF(L947="F-60",4,IF(L947="F-90",5,0)))),0),0)+IF(AND(O947="FIRE TEX 5062",E947="CJ",J947=3),VLOOKUP(_xlfn.MINIFS('FIRE TEX 5062'!$L$4:$L$34,'FIRE TEX 5062'!$L$4:$L$34,"&gt;="&amp;M947),'FIRE TEX 5062'!$L$4:$P$34,IF(L947="F-15",2,IF(L947="F-30",3,IF(L947="F-60",4,IF(L947="F-90",5,0)))),0),0)+IF(AND(O947="FIRE TEX 5062",E947="CJ",J947=4),VLOOKUP(_xlfn.MINIFS('FIRE TEX 5062'!$Q$3:$Q$34,'FIRE TEX 5062'!$Q$3:$Q$34,"&gt;="&amp;M947),'FIRE TEX 5062'!$Q$3:$U$34,IF(L947="F-15",2,IF(L947="F-30",3,IF(L947="F-60",4,IF(L947="F-90",5,0)))),0),0)+IF(AND(O947="FIRE TEX 5090",OR(E947="IN",E947="C",E947="Z",E947="L"),J947=3),VLOOKUP(_xlfn.MINIFS('FIRE TEX 5090'!$B$5:$B$43,'FIRE TEX 5090'!$B$5:$B$43,"&gt;="&amp;M947),'FIRE TEX 5090'!$B$5:$H$43,IF(L947="F-15",2,IF(L947="F-30",3,IF(L947="F-60",4,IF(L947="F-90",5,IF(L947="F-120",6,IF(L947="F-150",7,0)))))),0),0)+IF(AND(O947="FIRE TEX 5090",OR(E947="IN",E947="C",E947="Z",E947="L"),J947=4),VLOOKUP(_xlfn.MINIFS('FIRE TEX 5090'!$J$5:$J$43,'FIRE TEX 5090'!$J$5:$J$43,"&gt;="&amp;M947),'FIRE TEX 5090'!$J$5:$P$43,IF(L947="F-15",2,IF(L947="F-30",3,IF(L947="F-60",4,IF(L947="F-90",5,IF(L947="F-120",6,IF(L947="F-150",7,0)))))),0),0)+IF(AND(O947="FIRE TEX 5090",E947="CJ",J947=3),VLOOKUP(_xlfn.MINIFS('FIRE TEX 5090'!$R$5:$R$30,'FIRE TEX 5090'!$R$5:$R$30,"&gt;="&amp;M947),'FIRE TEX 5090'!$R$5:$W$30,IF(L947="F-15",2,IF(L947="F-30",3,IF(L947="F-60",4,IF(L947="F-90",5,IF(L947="F-120",6,IF(L947="F-150",7,0)))))),0),0)+IF(AND(O947="FIRE TEX 5090",E947="CJ",J947=4),VLOOKUP(_xlfn.MINIFS('FIRE TEX 5090'!$Y$5:$Y$39,'FIRE TEX 5090'!$Y$5:$Y$39,"&gt;="&amp;M947),'FIRE TEX 5090'!$Y$5:$AD$39,IF(L947="F-15",2,IF(L947="F-30",3,IF(L947="F-60",4,IF(L947="F-90",5,IF(L947="F-120",6,IF(L947="F-150",7,0)))))),0),0)+IF(AND(O947="FIRE TEX 5120",OR(E947="IN",E947="C",E947="Z",E947="L"),J947=3),VLOOKUP(_xlfn.MINIFS('FIRE TEX 5120'!$B$5:$B$40,'FIRE TEX 5120'!$B$5:$B$40,"&gt;="&amp;M947),'FIRE TEX 5120'!$B$5:$G$40,IF(L947="F-15",2,IF(L947="F-30",3,IF(L947="F-60",4,IF(L947="F-90",5,IF(L947="F-120",6,0))))),0),0)+IF(AND(O947="FIRE TEX 5120",OR(E947="IN",E947="C",E947="Z",E947="L"),J947=4),VLOOKUP(_xlfn.MINIFS('FIRE TEX 5120'!$H$4:$H$40,'FIRE TEX 5120'!$H$4:$H$40,"&gt;="&amp;M947),'FIRE TEX 5120'!$H$4:$M$40,IF(L947="F-15",2,IF(L947="F-30",3,IF(L947="F-60",4,IF(L947="F-90",5,IF(L947="F-120",6,0))))),0),0)+IF(AND(O947="FIRE TEX 5120",E947="CJ"),VLOOKUP(_xlfn.MINIFS('FIRE TEX 5120'!$O$5:$O$40,'FIRE TEX 5120'!$O$5:$O$40,"&gt;="&amp;M947),'FIRE TEX 5120'!$O$5:$T$40,IF(L947="F-15",2,IF(L947="F-30",3,IF(L947="F-60",4,IF(L947="F-90",5,IF(L947="F-120",6,0))))),0),0)</f>
        <v>0</v>
      </c>
      <c r="Q947" s="46">
        <f t="shared" si="94"/>
        <v>0</v>
      </c>
      <c r="R947" s="46">
        <f t="shared" si="95"/>
        <v>0</v>
      </c>
      <c r="S947" s="46" t="e">
        <f t="shared" si="96"/>
        <v>#VALUE!</v>
      </c>
      <c r="T947" s="677">
        <f t="shared" si="97"/>
        <v>0</v>
      </c>
      <c r="U947" s="80">
        <f>(IF(O947="Stofire",(S947*#REF!),0))+(IF(O947="Fire Control",(S947*$U$2),0))+(IF(O947="Fire Tex",(S947*$U$3),0))+(IF(O947="WB7",(S947*#REF!),0)+(IF(O947="FX 2003",(S947*$U$5),0)))</f>
        <v>0</v>
      </c>
      <c r="V947" s="651">
        <f t="shared" si="98"/>
        <v>0</v>
      </c>
    </row>
    <row r="948" spans="4:22" x14ac:dyDescent="0.25">
      <c r="D948" s="118">
        <f>+CUBICACION!D947</f>
        <v>0</v>
      </c>
      <c r="E948" s="118">
        <f>+CUBICACION!F947</f>
        <v>0</v>
      </c>
      <c r="F948" s="118">
        <f>+CUBICACION!E947</f>
        <v>0</v>
      </c>
      <c r="G948" s="118">
        <v>12</v>
      </c>
      <c r="H948" s="118">
        <v>2</v>
      </c>
      <c r="I948" s="820">
        <v>26385</v>
      </c>
      <c r="J948" s="118">
        <f>+CUBICACION!J947</f>
        <v>0</v>
      </c>
      <c r="K948" s="118">
        <v>3727</v>
      </c>
      <c r="L948" s="118">
        <f>+CUBICACION!L947</f>
        <v>0</v>
      </c>
      <c r="M948" s="64">
        <f>+CUBICACION!M947</f>
        <v>0</v>
      </c>
      <c r="N948" s="824" t="str">
        <f>+CUBICACION!N947</f>
        <v/>
      </c>
      <c r="O948" s="675">
        <f>+CUBICACION!O947</f>
        <v>0</v>
      </c>
      <c r="P948" s="15">
        <f>IF(O948="Fire Control",VLOOKUP(_xlfn.MINIFS('FIRE CONTROL'!$C$4:$C$37,'FIRE CONTROL'!$C$4:$C$37,"&gt;="&amp;M948),'FIRE CONTROL'!$C$4:$G$37,IF(L948="F-15",2,IF(L948="F-30",3,IF(L948="F-60",4,IF(L948="F-90",5,0)))),0),0)+IF(AND(O948="FIRE TEX 5062",OR(E948="IN",E948="C",E948="Z",E948="L"),J948=3),VLOOKUP(_xlfn.MINIFS('FIRE TEX 5062'!$B$4:$B$34,'FIRE TEX 5062'!$B$4:$B$34,"&gt;="&amp;M948),'FIRE TEX 5062'!$B$4:$F$34,IF(L948="F-15",2,IF(L948="F-30",3,IF(L948="F-60",4,IF(L948="F-90",5,0)))),0),0)+IF(AND(O948="FIRE TEX 5062",OR(E948="IN",E948="C",E948="Z",E948="L"),J948=4),VLOOKUP(_xlfn.MINIFS('FIRE TEX 5062'!$G$4:$G$34,'FIRE TEX 5062'!$G$4:$G$34,"&gt;="&amp;M948),'FIRE TEX 5062'!$G$4:$K$34,IF(L948="F-15",2,IF(L948="F-30",3,IF(L948="F-60",4,IF(L948="F-90",5,0)))),0),0)+IF(AND(O948="FIRE TEX 5062",E948="CJ",J948=3),VLOOKUP(_xlfn.MINIFS('FIRE TEX 5062'!$L$4:$L$34,'FIRE TEX 5062'!$L$4:$L$34,"&gt;="&amp;M948),'FIRE TEX 5062'!$L$4:$P$34,IF(L948="F-15",2,IF(L948="F-30",3,IF(L948="F-60",4,IF(L948="F-90",5,0)))),0),0)+IF(AND(O948="FIRE TEX 5062",E948="CJ",J948=4),VLOOKUP(_xlfn.MINIFS('FIRE TEX 5062'!$Q$3:$Q$34,'FIRE TEX 5062'!$Q$3:$Q$34,"&gt;="&amp;M948),'FIRE TEX 5062'!$Q$3:$U$34,IF(L948="F-15",2,IF(L948="F-30",3,IF(L948="F-60",4,IF(L948="F-90",5,0)))),0),0)+IF(AND(O948="FIRE TEX 5090",OR(E948="IN",E948="C",E948="Z",E948="L"),J948=3),VLOOKUP(_xlfn.MINIFS('FIRE TEX 5090'!$B$5:$B$43,'FIRE TEX 5090'!$B$5:$B$43,"&gt;="&amp;M948),'FIRE TEX 5090'!$B$5:$H$43,IF(L948="F-15",2,IF(L948="F-30",3,IF(L948="F-60",4,IF(L948="F-90",5,IF(L948="F-120",6,IF(L948="F-150",7,0)))))),0),0)+IF(AND(O948="FIRE TEX 5090",OR(E948="IN",E948="C",E948="Z",E948="L"),J948=4),VLOOKUP(_xlfn.MINIFS('FIRE TEX 5090'!$J$5:$J$43,'FIRE TEX 5090'!$J$5:$J$43,"&gt;="&amp;M948),'FIRE TEX 5090'!$J$5:$P$43,IF(L948="F-15",2,IF(L948="F-30",3,IF(L948="F-60",4,IF(L948="F-90",5,IF(L948="F-120",6,IF(L948="F-150",7,0)))))),0),0)+IF(AND(O948="FIRE TEX 5090",E948="CJ",J948=3),VLOOKUP(_xlfn.MINIFS('FIRE TEX 5090'!$R$5:$R$30,'FIRE TEX 5090'!$R$5:$R$30,"&gt;="&amp;M948),'FIRE TEX 5090'!$R$5:$W$30,IF(L948="F-15",2,IF(L948="F-30",3,IF(L948="F-60",4,IF(L948="F-90",5,IF(L948="F-120",6,IF(L948="F-150",7,0)))))),0),0)+IF(AND(O948="FIRE TEX 5090",E948="CJ",J948=4),VLOOKUP(_xlfn.MINIFS('FIRE TEX 5090'!$Y$5:$Y$39,'FIRE TEX 5090'!$Y$5:$Y$39,"&gt;="&amp;M948),'FIRE TEX 5090'!$Y$5:$AD$39,IF(L948="F-15",2,IF(L948="F-30",3,IF(L948="F-60",4,IF(L948="F-90",5,IF(L948="F-120",6,IF(L948="F-150",7,0)))))),0),0)+IF(AND(O948="FIRE TEX 5120",OR(E948="IN",E948="C",E948="Z",E948="L"),J948=3),VLOOKUP(_xlfn.MINIFS('FIRE TEX 5120'!$B$5:$B$40,'FIRE TEX 5120'!$B$5:$B$40,"&gt;="&amp;M948),'FIRE TEX 5120'!$B$5:$G$40,IF(L948="F-15",2,IF(L948="F-30",3,IF(L948="F-60",4,IF(L948="F-90",5,IF(L948="F-120",6,0))))),0),0)+IF(AND(O948="FIRE TEX 5120",OR(E948="IN",E948="C",E948="Z",E948="L"),J948=4),VLOOKUP(_xlfn.MINIFS('FIRE TEX 5120'!$H$4:$H$40,'FIRE TEX 5120'!$H$4:$H$40,"&gt;="&amp;M948),'FIRE TEX 5120'!$H$4:$M$40,IF(L948="F-15",2,IF(L948="F-30",3,IF(L948="F-60",4,IF(L948="F-90",5,IF(L948="F-120",6,0))))),0),0)+IF(AND(O948="FIRE TEX 5120",E948="CJ"),VLOOKUP(_xlfn.MINIFS('FIRE TEX 5120'!$O$5:$O$40,'FIRE TEX 5120'!$O$5:$O$40,"&gt;="&amp;M948),'FIRE TEX 5120'!$O$5:$T$40,IF(L948="F-15",2,IF(L948="F-30",3,IF(L948="F-60",4,IF(L948="F-90",5,IF(L948="F-120",6,0))))),0),0)</f>
        <v>0</v>
      </c>
      <c r="Q948" s="46">
        <f t="shared" si="94"/>
        <v>0</v>
      </c>
      <c r="R948" s="46">
        <f t="shared" si="95"/>
        <v>0</v>
      </c>
      <c r="S948" s="46" t="e">
        <f t="shared" si="96"/>
        <v>#VALUE!</v>
      </c>
      <c r="T948" s="677">
        <f t="shared" si="97"/>
        <v>0</v>
      </c>
      <c r="U948" s="80">
        <f>(IF(O948="Stofire",(S948*#REF!),0))+(IF(O948="Fire Control",(S948*$U$2),0))+(IF(O948="Fire Tex",(S948*$U$3),0))+(IF(O948="WB7",(S948*#REF!),0)+(IF(O948="FX 2003",(S948*$U$5),0)))</f>
        <v>0</v>
      </c>
      <c r="V948" s="651">
        <f t="shared" si="98"/>
        <v>0</v>
      </c>
    </row>
    <row r="949" spans="4:22" x14ac:dyDescent="0.25">
      <c r="D949" s="118">
        <f>+CUBICACION!D948</f>
        <v>0</v>
      </c>
      <c r="E949" s="118">
        <f>+CUBICACION!F948</f>
        <v>0</v>
      </c>
      <c r="F949" s="118">
        <f>+CUBICACION!E948</f>
        <v>0</v>
      </c>
      <c r="G949" s="118">
        <v>12</v>
      </c>
      <c r="H949" s="118">
        <v>2</v>
      </c>
      <c r="I949" s="820">
        <v>26385</v>
      </c>
      <c r="J949" s="118">
        <f>+CUBICACION!J948</f>
        <v>0</v>
      </c>
      <c r="K949" s="118">
        <v>3728</v>
      </c>
      <c r="L949" s="118">
        <f>+CUBICACION!L948</f>
        <v>0</v>
      </c>
      <c r="M949" s="64">
        <f>+CUBICACION!M948</f>
        <v>0</v>
      </c>
      <c r="N949" s="824" t="str">
        <f>+CUBICACION!N948</f>
        <v/>
      </c>
      <c r="O949" s="675">
        <f>+CUBICACION!O948</f>
        <v>0</v>
      </c>
      <c r="P949" s="15">
        <f>IF(O949="Fire Control",VLOOKUP(_xlfn.MINIFS('FIRE CONTROL'!$C$4:$C$37,'FIRE CONTROL'!$C$4:$C$37,"&gt;="&amp;M949),'FIRE CONTROL'!$C$4:$G$37,IF(L949="F-15",2,IF(L949="F-30",3,IF(L949="F-60",4,IF(L949="F-90",5,0)))),0),0)+IF(AND(O949="FIRE TEX 5062",OR(E949="IN",E949="C",E949="Z",E949="L"),J949=3),VLOOKUP(_xlfn.MINIFS('FIRE TEX 5062'!$B$4:$B$34,'FIRE TEX 5062'!$B$4:$B$34,"&gt;="&amp;M949),'FIRE TEX 5062'!$B$4:$F$34,IF(L949="F-15",2,IF(L949="F-30",3,IF(L949="F-60",4,IF(L949="F-90",5,0)))),0),0)+IF(AND(O949="FIRE TEX 5062",OR(E949="IN",E949="C",E949="Z",E949="L"),J949=4),VLOOKUP(_xlfn.MINIFS('FIRE TEX 5062'!$G$4:$G$34,'FIRE TEX 5062'!$G$4:$G$34,"&gt;="&amp;M949),'FIRE TEX 5062'!$G$4:$K$34,IF(L949="F-15",2,IF(L949="F-30",3,IF(L949="F-60",4,IF(L949="F-90",5,0)))),0),0)+IF(AND(O949="FIRE TEX 5062",E949="CJ",J949=3),VLOOKUP(_xlfn.MINIFS('FIRE TEX 5062'!$L$4:$L$34,'FIRE TEX 5062'!$L$4:$L$34,"&gt;="&amp;M949),'FIRE TEX 5062'!$L$4:$P$34,IF(L949="F-15",2,IF(L949="F-30",3,IF(L949="F-60",4,IF(L949="F-90",5,0)))),0),0)+IF(AND(O949="FIRE TEX 5062",E949="CJ",J949=4),VLOOKUP(_xlfn.MINIFS('FIRE TEX 5062'!$Q$3:$Q$34,'FIRE TEX 5062'!$Q$3:$Q$34,"&gt;="&amp;M949),'FIRE TEX 5062'!$Q$3:$U$34,IF(L949="F-15",2,IF(L949="F-30",3,IF(L949="F-60",4,IF(L949="F-90",5,0)))),0),0)+IF(AND(O949="FIRE TEX 5090",OR(E949="IN",E949="C",E949="Z",E949="L"),J949=3),VLOOKUP(_xlfn.MINIFS('FIRE TEX 5090'!$B$5:$B$43,'FIRE TEX 5090'!$B$5:$B$43,"&gt;="&amp;M949),'FIRE TEX 5090'!$B$5:$H$43,IF(L949="F-15",2,IF(L949="F-30",3,IF(L949="F-60",4,IF(L949="F-90",5,IF(L949="F-120",6,IF(L949="F-150",7,0)))))),0),0)+IF(AND(O949="FIRE TEX 5090",OR(E949="IN",E949="C",E949="Z",E949="L"),J949=4),VLOOKUP(_xlfn.MINIFS('FIRE TEX 5090'!$J$5:$J$43,'FIRE TEX 5090'!$J$5:$J$43,"&gt;="&amp;M949),'FIRE TEX 5090'!$J$5:$P$43,IF(L949="F-15",2,IF(L949="F-30",3,IF(L949="F-60",4,IF(L949="F-90",5,IF(L949="F-120",6,IF(L949="F-150",7,0)))))),0),0)+IF(AND(O949="FIRE TEX 5090",E949="CJ",J949=3),VLOOKUP(_xlfn.MINIFS('FIRE TEX 5090'!$R$5:$R$30,'FIRE TEX 5090'!$R$5:$R$30,"&gt;="&amp;M949),'FIRE TEX 5090'!$R$5:$W$30,IF(L949="F-15",2,IF(L949="F-30",3,IF(L949="F-60",4,IF(L949="F-90",5,IF(L949="F-120",6,IF(L949="F-150",7,0)))))),0),0)+IF(AND(O949="FIRE TEX 5090",E949="CJ",J949=4),VLOOKUP(_xlfn.MINIFS('FIRE TEX 5090'!$Y$5:$Y$39,'FIRE TEX 5090'!$Y$5:$Y$39,"&gt;="&amp;M949),'FIRE TEX 5090'!$Y$5:$AD$39,IF(L949="F-15",2,IF(L949="F-30",3,IF(L949="F-60",4,IF(L949="F-90",5,IF(L949="F-120",6,IF(L949="F-150",7,0)))))),0),0)+IF(AND(O949="FIRE TEX 5120",OR(E949="IN",E949="C",E949="Z",E949="L"),J949=3),VLOOKUP(_xlfn.MINIFS('FIRE TEX 5120'!$B$5:$B$40,'FIRE TEX 5120'!$B$5:$B$40,"&gt;="&amp;M949),'FIRE TEX 5120'!$B$5:$G$40,IF(L949="F-15",2,IF(L949="F-30",3,IF(L949="F-60",4,IF(L949="F-90",5,IF(L949="F-120",6,0))))),0),0)+IF(AND(O949="FIRE TEX 5120",OR(E949="IN",E949="C",E949="Z",E949="L"),J949=4),VLOOKUP(_xlfn.MINIFS('FIRE TEX 5120'!$H$4:$H$40,'FIRE TEX 5120'!$H$4:$H$40,"&gt;="&amp;M949),'FIRE TEX 5120'!$H$4:$M$40,IF(L949="F-15",2,IF(L949="F-30",3,IF(L949="F-60",4,IF(L949="F-90",5,IF(L949="F-120",6,0))))),0),0)+IF(AND(O949="FIRE TEX 5120",E949="CJ"),VLOOKUP(_xlfn.MINIFS('FIRE TEX 5120'!$O$5:$O$40,'FIRE TEX 5120'!$O$5:$O$40,"&gt;="&amp;M949),'FIRE TEX 5120'!$O$5:$T$40,IF(L949="F-15",2,IF(L949="F-30",3,IF(L949="F-60",4,IF(L949="F-90",5,IF(L949="F-120",6,0))))),0),0)</f>
        <v>0</v>
      </c>
      <c r="Q949" s="46">
        <f t="shared" si="94"/>
        <v>0</v>
      </c>
      <c r="R949" s="46">
        <f t="shared" si="95"/>
        <v>0</v>
      </c>
      <c r="S949" s="46" t="e">
        <f t="shared" si="96"/>
        <v>#VALUE!</v>
      </c>
      <c r="T949" s="677">
        <f t="shared" si="97"/>
        <v>0</v>
      </c>
      <c r="U949" s="80">
        <f>(IF(O949="Stofire",(S949*#REF!),0))+(IF(O949="Fire Control",(S949*$U$2),0))+(IF(O949="Fire Tex",(S949*$U$3),0))+(IF(O949="WB7",(S949*#REF!),0)+(IF(O949="FX 2003",(S949*$U$5),0)))</f>
        <v>0</v>
      </c>
      <c r="V949" s="651">
        <f t="shared" si="98"/>
        <v>0</v>
      </c>
    </row>
    <row r="950" spans="4:22" x14ac:dyDescent="0.25">
      <c r="D950" s="118">
        <f>+CUBICACION!D949</f>
        <v>0</v>
      </c>
      <c r="E950" s="118">
        <f>+CUBICACION!F949</f>
        <v>0</v>
      </c>
      <c r="F950" s="118">
        <f>+CUBICACION!E949</f>
        <v>0</v>
      </c>
      <c r="G950" s="118">
        <v>12</v>
      </c>
      <c r="H950" s="118">
        <v>2</v>
      </c>
      <c r="I950" s="820">
        <v>26385</v>
      </c>
      <c r="J950" s="118">
        <f>+CUBICACION!J949</f>
        <v>0</v>
      </c>
      <c r="K950" s="118">
        <v>3729</v>
      </c>
      <c r="L950" s="118">
        <f>+CUBICACION!L949</f>
        <v>0</v>
      </c>
      <c r="M950" s="64">
        <f>+CUBICACION!M949</f>
        <v>0</v>
      </c>
      <c r="N950" s="824" t="str">
        <f>+CUBICACION!N949</f>
        <v/>
      </c>
      <c r="O950" s="675">
        <f>+CUBICACION!O949</f>
        <v>0</v>
      </c>
      <c r="P950" s="15">
        <f>IF(O950="Fire Control",VLOOKUP(_xlfn.MINIFS('FIRE CONTROL'!$C$4:$C$37,'FIRE CONTROL'!$C$4:$C$37,"&gt;="&amp;M950),'FIRE CONTROL'!$C$4:$G$37,IF(L950="F-15",2,IF(L950="F-30",3,IF(L950="F-60",4,IF(L950="F-90",5,0)))),0),0)+IF(AND(O950="FIRE TEX 5062",OR(E950="IN",E950="C",E950="Z",E950="L"),J950=3),VLOOKUP(_xlfn.MINIFS('FIRE TEX 5062'!$B$4:$B$34,'FIRE TEX 5062'!$B$4:$B$34,"&gt;="&amp;M950),'FIRE TEX 5062'!$B$4:$F$34,IF(L950="F-15",2,IF(L950="F-30",3,IF(L950="F-60",4,IF(L950="F-90",5,0)))),0),0)+IF(AND(O950="FIRE TEX 5062",OR(E950="IN",E950="C",E950="Z",E950="L"),J950=4),VLOOKUP(_xlfn.MINIFS('FIRE TEX 5062'!$G$4:$G$34,'FIRE TEX 5062'!$G$4:$G$34,"&gt;="&amp;M950),'FIRE TEX 5062'!$G$4:$K$34,IF(L950="F-15",2,IF(L950="F-30",3,IF(L950="F-60",4,IF(L950="F-90",5,0)))),0),0)+IF(AND(O950="FIRE TEX 5062",E950="CJ",J950=3),VLOOKUP(_xlfn.MINIFS('FIRE TEX 5062'!$L$4:$L$34,'FIRE TEX 5062'!$L$4:$L$34,"&gt;="&amp;M950),'FIRE TEX 5062'!$L$4:$P$34,IF(L950="F-15",2,IF(L950="F-30",3,IF(L950="F-60",4,IF(L950="F-90",5,0)))),0),0)+IF(AND(O950="FIRE TEX 5062",E950="CJ",J950=4),VLOOKUP(_xlfn.MINIFS('FIRE TEX 5062'!$Q$3:$Q$34,'FIRE TEX 5062'!$Q$3:$Q$34,"&gt;="&amp;M950),'FIRE TEX 5062'!$Q$3:$U$34,IF(L950="F-15",2,IF(L950="F-30",3,IF(L950="F-60",4,IF(L950="F-90",5,0)))),0),0)+IF(AND(O950="FIRE TEX 5090",OR(E950="IN",E950="C",E950="Z",E950="L"),J950=3),VLOOKUP(_xlfn.MINIFS('FIRE TEX 5090'!$B$5:$B$43,'FIRE TEX 5090'!$B$5:$B$43,"&gt;="&amp;M950),'FIRE TEX 5090'!$B$5:$H$43,IF(L950="F-15",2,IF(L950="F-30",3,IF(L950="F-60",4,IF(L950="F-90",5,IF(L950="F-120",6,IF(L950="F-150",7,0)))))),0),0)+IF(AND(O950="FIRE TEX 5090",OR(E950="IN",E950="C",E950="Z",E950="L"),J950=4),VLOOKUP(_xlfn.MINIFS('FIRE TEX 5090'!$J$5:$J$43,'FIRE TEX 5090'!$J$5:$J$43,"&gt;="&amp;M950),'FIRE TEX 5090'!$J$5:$P$43,IF(L950="F-15",2,IF(L950="F-30",3,IF(L950="F-60",4,IF(L950="F-90",5,IF(L950="F-120",6,IF(L950="F-150",7,0)))))),0),0)+IF(AND(O950="FIRE TEX 5090",E950="CJ",J950=3),VLOOKUP(_xlfn.MINIFS('FIRE TEX 5090'!$R$5:$R$30,'FIRE TEX 5090'!$R$5:$R$30,"&gt;="&amp;M950),'FIRE TEX 5090'!$R$5:$W$30,IF(L950="F-15",2,IF(L950="F-30",3,IF(L950="F-60",4,IF(L950="F-90",5,IF(L950="F-120",6,IF(L950="F-150",7,0)))))),0),0)+IF(AND(O950="FIRE TEX 5090",E950="CJ",J950=4),VLOOKUP(_xlfn.MINIFS('FIRE TEX 5090'!$Y$5:$Y$39,'FIRE TEX 5090'!$Y$5:$Y$39,"&gt;="&amp;M950),'FIRE TEX 5090'!$Y$5:$AD$39,IF(L950="F-15",2,IF(L950="F-30",3,IF(L950="F-60",4,IF(L950="F-90",5,IF(L950="F-120",6,IF(L950="F-150",7,0)))))),0),0)+IF(AND(O950="FIRE TEX 5120",OR(E950="IN",E950="C",E950="Z",E950="L"),J950=3),VLOOKUP(_xlfn.MINIFS('FIRE TEX 5120'!$B$5:$B$40,'FIRE TEX 5120'!$B$5:$B$40,"&gt;="&amp;M950),'FIRE TEX 5120'!$B$5:$G$40,IF(L950="F-15",2,IF(L950="F-30",3,IF(L950="F-60",4,IF(L950="F-90",5,IF(L950="F-120",6,0))))),0),0)+IF(AND(O950="FIRE TEX 5120",OR(E950="IN",E950="C",E950="Z",E950="L"),J950=4),VLOOKUP(_xlfn.MINIFS('FIRE TEX 5120'!$H$4:$H$40,'FIRE TEX 5120'!$H$4:$H$40,"&gt;="&amp;M950),'FIRE TEX 5120'!$H$4:$M$40,IF(L950="F-15",2,IF(L950="F-30",3,IF(L950="F-60",4,IF(L950="F-90",5,IF(L950="F-120",6,0))))),0),0)+IF(AND(O950="FIRE TEX 5120",E950="CJ"),VLOOKUP(_xlfn.MINIFS('FIRE TEX 5120'!$O$5:$O$40,'FIRE TEX 5120'!$O$5:$O$40,"&gt;="&amp;M950),'FIRE TEX 5120'!$O$5:$T$40,IF(L950="F-15",2,IF(L950="F-30",3,IF(L950="F-60",4,IF(L950="F-90",5,IF(L950="F-120",6,0))))),0),0)</f>
        <v>0</v>
      </c>
      <c r="Q950" s="46">
        <f t="shared" si="94"/>
        <v>0</v>
      </c>
      <c r="R950" s="46">
        <f t="shared" si="95"/>
        <v>0</v>
      </c>
      <c r="S950" s="46" t="e">
        <f t="shared" si="96"/>
        <v>#VALUE!</v>
      </c>
      <c r="T950" s="677">
        <f t="shared" si="97"/>
        <v>0</v>
      </c>
      <c r="U950" s="80">
        <f>(IF(O950="Stofire",(S950*#REF!),0))+(IF(O950="Fire Control",(S950*$U$2),0))+(IF(O950="Fire Tex",(S950*$U$3),0))+(IF(O950="WB7",(S950*#REF!),0)+(IF(O950="FX 2003",(S950*$U$5),0)))</f>
        <v>0</v>
      </c>
      <c r="V950" s="651">
        <f t="shared" si="98"/>
        <v>0</v>
      </c>
    </row>
    <row r="951" spans="4:22" x14ac:dyDescent="0.25">
      <c r="D951" s="118">
        <f>+CUBICACION!D950</f>
        <v>0</v>
      </c>
      <c r="E951" s="118">
        <f>+CUBICACION!F950</f>
        <v>0</v>
      </c>
      <c r="F951" s="118">
        <f>+CUBICACION!E950</f>
        <v>0</v>
      </c>
      <c r="G951" s="118">
        <v>12</v>
      </c>
      <c r="H951" s="118">
        <v>2</v>
      </c>
      <c r="I951" s="820">
        <v>26385</v>
      </c>
      <c r="J951" s="118">
        <f>+CUBICACION!J950</f>
        <v>0</v>
      </c>
      <c r="K951" s="118">
        <v>3730</v>
      </c>
      <c r="L951" s="118">
        <f>+CUBICACION!L950</f>
        <v>0</v>
      </c>
      <c r="M951" s="64">
        <f>+CUBICACION!M950</f>
        <v>0</v>
      </c>
      <c r="N951" s="824" t="str">
        <f>+CUBICACION!N950</f>
        <v/>
      </c>
      <c r="O951" s="675">
        <f>+CUBICACION!O950</f>
        <v>0</v>
      </c>
      <c r="P951" s="15">
        <f>IF(O951="Fire Control",VLOOKUP(_xlfn.MINIFS('FIRE CONTROL'!$C$4:$C$37,'FIRE CONTROL'!$C$4:$C$37,"&gt;="&amp;M951),'FIRE CONTROL'!$C$4:$G$37,IF(L951="F-15",2,IF(L951="F-30",3,IF(L951="F-60",4,IF(L951="F-90",5,0)))),0),0)+IF(AND(O951="FIRE TEX 5062",OR(E951="IN",E951="C",E951="Z",E951="L"),J951=3),VLOOKUP(_xlfn.MINIFS('FIRE TEX 5062'!$B$4:$B$34,'FIRE TEX 5062'!$B$4:$B$34,"&gt;="&amp;M951),'FIRE TEX 5062'!$B$4:$F$34,IF(L951="F-15",2,IF(L951="F-30",3,IF(L951="F-60",4,IF(L951="F-90",5,0)))),0),0)+IF(AND(O951="FIRE TEX 5062",OR(E951="IN",E951="C",E951="Z",E951="L"),J951=4),VLOOKUP(_xlfn.MINIFS('FIRE TEX 5062'!$G$4:$G$34,'FIRE TEX 5062'!$G$4:$G$34,"&gt;="&amp;M951),'FIRE TEX 5062'!$G$4:$K$34,IF(L951="F-15",2,IF(L951="F-30",3,IF(L951="F-60",4,IF(L951="F-90",5,0)))),0),0)+IF(AND(O951="FIRE TEX 5062",E951="CJ",J951=3),VLOOKUP(_xlfn.MINIFS('FIRE TEX 5062'!$L$4:$L$34,'FIRE TEX 5062'!$L$4:$L$34,"&gt;="&amp;M951),'FIRE TEX 5062'!$L$4:$P$34,IF(L951="F-15",2,IF(L951="F-30",3,IF(L951="F-60",4,IF(L951="F-90",5,0)))),0),0)+IF(AND(O951="FIRE TEX 5062",E951="CJ",J951=4),VLOOKUP(_xlfn.MINIFS('FIRE TEX 5062'!$Q$3:$Q$34,'FIRE TEX 5062'!$Q$3:$Q$34,"&gt;="&amp;M951),'FIRE TEX 5062'!$Q$3:$U$34,IF(L951="F-15",2,IF(L951="F-30",3,IF(L951="F-60",4,IF(L951="F-90",5,0)))),0),0)+IF(AND(O951="FIRE TEX 5090",OR(E951="IN",E951="C",E951="Z",E951="L"),J951=3),VLOOKUP(_xlfn.MINIFS('FIRE TEX 5090'!$B$5:$B$43,'FIRE TEX 5090'!$B$5:$B$43,"&gt;="&amp;M951),'FIRE TEX 5090'!$B$5:$H$43,IF(L951="F-15",2,IF(L951="F-30",3,IF(L951="F-60",4,IF(L951="F-90",5,IF(L951="F-120",6,IF(L951="F-150",7,0)))))),0),0)+IF(AND(O951="FIRE TEX 5090",OR(E951="IN",E951="C",E951="Z",E951="L"),J951=4),VLOOKUP(_xlfn.MINIFS('FIRE TEX 5090'!$J$5:$J$43,'FIRE TEX 5090'!$J$5:$J$43,"&gt;="&amp;M951),'FIRE TEX 5090'!$J$5:$P$43,IF(L951="F-15",2,IF(L951="F-30",3,IF(L951="F-60",4,IF(L951="F-90",5,IF(L951="F-120",6,IF(L951="F-150",7,0)))))),0),0)+IF(AND(O951="FIRE TEX 5090",E951="CJ",J951=3),VLOOKUP(_xlfn.MINIFS('FIRE TEX 5090'!$R$5:$R$30,'FIRE TEX 5090'!$R$5:$R$30,"&gt;="&amp;M951),'FIRE TEX 5090'!$R$5:$W$30,IF(L951="F-15",2,IF(L951="F-30",3,IF(L951="F-60",4,IF(L951="F-90",5,IF(L951="F-120",6,IF(L951="F-150",7,0)))))),0),0)+IF(AND(O951="FIRE TEX 5090",E951="CJ",J951=4),VLOOKUP(_xlfn.MINIFS('FIRE TEX 5090'!$Y$5:$Y$39,'FIRE TEX 5090'!$Y$5:$Y$39,"&gt;="&amp;M951),'FIRE TEX 5090'!$Y$5:$AD$39,IF(L951="F-15",2,IF(L951="F-30",3,IF(L951="F-60",4,IF(L951="F-90",5,IF(L951="F-120",6,IF(L951="F-150",7,0)))))),0),0)+IF(AND(O951="FIRE TEX 5120",OR(E951="IN",E951="C",E951="Z",E951="L"),J951=3),VLOOKUP(_xlfn.MINIFS('FIRE TEX 5120'!$B$5:$B$40,'FIRE TEX 5120'!$B$5:$B$40,"&gt;="&amp;M951),'FIRE TEX 5120'!$B$5:$G$40,IF(L951="F-15",2,IF(L951="F-30",3,IF(L951="F-60",4,IF(L951="F-90",5,IF(L951="F-120",6,0))))),0),0)+IF(AND(O951="FIRE TEX 5120",OR(E951="IN",E951="C",E951="Z",E951="L"),J951=4),VLOOKUP(_xlfn.MINIFS('FIRE TEX 5120'!$H$4:$H$40,'FIRE TEX 5120'!$H$4:$H$40,"&gt;="&amp;M951),'FIRE TEX 5120'!$H$4:$M$40,IF(L951="F-15",2,IF(L951="F-30",3,IF(L951="F-60",4,IF(L951="F-90",5,IF(L951="F-120",6,0))))),0),0)+IF(AND(O951="FIRE TEX 5120",E951="CJ"),VLOOKUP(_xlfn.MINIFS('FIRE TEX 5120'!$O$5:$O$40,'FIRE TEX 5120'!$O$5:$O$40,"&gt;="&amp;M951),'FIRE TEX 5120'!$O$5:$T$40,IF(L951="F-15",2,IF(L951="F-30",3,IF(L951="F-60",4,IF(L951="F-90",5,IF(L951="F-120",6,0))))),0),0)</f>
        <v>0</v>
      </c>
      <c r="Q951" s="46">
        <f t="shared" si="94"/>
        <v>0</v>
      </c>
      <c r="R951" s="46">
        <f t="shared" si="95"/>
        <v>0</v>
      </c>
      <c r="S951" s="46" t="e">
        <f t="shared" si="96"/>
        <v>#VALUE!</v>
      </c>
      <c r="T951" s="677">
        <f t="shared" si="97"/>
        <v>0</v>
      </c>
      <c r="U951" s="80">
        <f>(IF(O951="Stofire",(S951*#REF!),0))+(IF(O951="Fire Control",(S951*$U$2),0))+(IF(O951="Fire Tex",(S951*$U$3),0))+(IF(O951="WB7",(S951*#REF!),0)+(IF(O951="FX 2003",(S951*$U$5),0)))</f>
        <v>0</v>
      </c>
      <c r="V951" s="651">
        <f t="shared" si="98"/>
        <v>0</v>
      </c>
    </row>
    <row r="952" spans="4:22" x14ac:dyDescent="0.25">
      <c r="D952" s="118">
        <f>+CUBICACION!D951</f>
        <v>0</v>
      </c>
      <c r="E952" s="118">
        <f>+CUBICACION!F951</f>
        <v>0</v>
      </c>
      <c r="F952" s="118">
        <f>+CUBICACION!E951</f>
        <v>0</v>
      </c>
      <c r="G952" s="118">
        <v>12</v>
      </c>
      <c r="H952" s="118">
        <v>2</v>
      </c>
      <c r="I952" s="820">
        <v>26385</v>
      </c>
      <c r="J952" s="118">
        <f>+CUBICACION!J951</f>
        <v>0</v>
      </c>
      <c r="K952" s="118">
        <v>3731</v>
      </c>
      <c r="L952" s="118">
        <f>+CUBICACION!L951</f>
        <v>0</v>
      </c>
      <c r="M952" s="64">
        <f>+CUBICACION!M951</f>
        <v>0</v>
      </c>
      <c r="N952" s="824" t="str">
        <f>+CUBICACION!N951</f>
        <v/>
      </c>
      <c r="O952" s="675">
        <f>+CUBICACION!O951</f>
        <v>0</v>
      </c>
      <c r="P952" s="15">
        <f>IF(O952="Fire Control",VLOOKUP(_xlfn.MINIFS('FIRE CONTROL'!$C$4:$C$37,'FIRE CONTROL'!$C$4:$C$37,"&gt;="&amp;M952),'FIRE CONTROL'!$C$4:$G$37,IF(L952="F-15",2,IF(L952="F-30",3,IF(L952="F-60",4,IF(L952="F-90",5,0)))),0),0)+IF(AND(O952="FIRE TEX 5062",OR(E952="IN",E952="C",E952="Z",E952="L"),J952=3),VLOOKUP(_xlfn.MINIFS('FIRE TEX 5062'!$B$4:$B$34,'FIRE TEX 5062'!$B$4:$B$34,"&gt;="&amp;M952),'FIRE TEX 5062'!$B$4:$F$34,IF(L952="F-15",2,IF(L952="F-30",3,IF(L952="F-60",4,IF(L952="F-90",5,0)))),0),0)+IF(AND(O952="FIRE TEX 5062",OR(E952="IN",E952="C",E952="Z",E952="L"),J952=4),VLOOKUP(_xlfn.MINIFS('FIRE TEX 5062'!$G$4:$G$34,'FIRE TEX 5062'!$G$4:$G$34,"&gt;="&amp;M952),'FIRE TEX 5062'!$G$4:$K$34,IF(L952="F-15",2,IF(L952="F-30",3,IF(L952="F-60",4,IF(L952="F-90",5,0)))),0),0)+IF(AND(O952="FIRE TEX 5062",E952="CJ",J952=3),VLOOKUP(_xlfn.MINIFS('FIRE TEX 5062'!$L$4:$L$34,'FIRE TEX 5062'!$L$4:$L$34,"&gt;="&amp;M952),'FIRE TEX 5062'!$L$4:$P$34,IF(L952="F-15",2,IF(L952="F-30",3,IF(L952="F-60",4,IF(L952="F-90",5,0)))),0),0)+IF(AND(O952="FIRE TEX 5062",E952="CJ",J952=4),VLOOKUP(_xlfn.MINIFS('FIRE TEX 5062'!$Q$3:$Q$34,'FIRE TEX 5062'!$Q$3:$Q$34,"&gt;="&amp;M952),'FIRE TEX 5062'!$Q$3:$U$34,IF(L952="F-15",2,IF(L952="F-30",3,IF(L952="F-60",4,IF(L952="F-90",5,0)))),0),0)+IF(AND(O952="FIRE TEX 5090",OR(E952="IN",E952="C",E952="Z",E952="L"),J952=3),VLOOKUP(_xlfn.MINIFS('FIRE TEX 5090'!$B$5:$B$43,'FIRE TEX 5090'!$B$5:$B$43,"&gt;="&amp;M952),'FIRE TEX 5090'!$B$5:$H$43,IF(L952="F-15",2,IF(L952="F-30",3,IF(L952="F-60",4,IF(L952="F-90",5,IF(L952="F-120",6,IF(L952="F-150",7,0)))))),0),0)+IF(AND(O952="FIRE TEX 5090",OR(E952="IN",E952="C",E952="Z",E952="L"),J952=4),VLOOKUP(_xlfn.MINIFS('FIRE TEX 5090'!$J$5:$J$43,'FIRE TEX 5090'!$J$5:$J$43,"&gt;="&amp;M952),'FIRE TEX 5090'!$J$5:$P$43,IF(L952="F-15",2,IF(L952="F-30",3,IF(L952="F-60",4,IF(L952="F-90",5,IF(L952="F-120",6,IF(L952="F-150",7,0)))))),0),0)+IF(AND(O952="FIRE TEX 5090",E952="CJ",J952=3),VLOOKUP(_xlfn.MINIFS('FIRE TEX 5090'!$R$5:$R$30,'FIRE TEX 5090'!$R$5:$R$30,"&gt;="&amp;M952),'FIRE TEX 5090'!$R$5:$W$30,IF(L952="F-15",2,IF(L952="F-30",3,IF(L952="F-60",4,IF(L952="F-90",5,IF(L952="F-120",6,IF(L952="F-150",7,0)))))),0),0)+IF(AND(O952="FIRE TEX 5090",E952="CJ",J952=4),VLOOKUP(_xlfn.MINIFS('FIRE TEX 5090'!$Y$5:$Y$39,'FIRE TEX 5090'!$Y$5:$Y$39,"&gt;="&amp;M952),'FIRE TEX 5090'!$Y$5:$AD$39,IF(L952="F-15",2,IF(L952="F-30",3,IF(L952="F-60",4,IF(L952="F-90",5,IF(L952="F-120",6,IF(L952="F-150",7,0)))))),0),0)+IF(AND(O952="FIRE TEX 5120",OR(E952="IN",E952="C",E952="Z",E952="L"),J952=3),VLOOKUP(_xlfn.MINIFS('FIRE TEX 5120'!$B$5:$B$40,'FIRE TEX 5120'!$B$5:$B$40,"&gt;="&amp;M952),'FIRE TEX 5120'!$B$5:$G$40,IF(L952="F-15",2,IF(L952="F-30",3,IF(L952="F-60",4,IF(L952="F-90",5,IF(L952="F-120",6,0))))),0),0)+IF(AND(O952="FIRE TEX 5120",OR(E952="IN",E952="C",E952="Z",E952="L"),J952=4),VLOOKUP(_xlfn.MINIFS('FIRE TEX 5120'!$H$4:$H$40,'FIRE TEX 5120'!$H$4:$H$40,"&gt;="&amp;M952),'FIRE TEX 5120'!$H$4:$M$40,IF(L952="F-15",2,IF(L952="F-30",3,IF(L952="F-60",4,IF(L952="F-90",5,IF(L952="F-120",6,0))))),0),0)+IF(AND(O952="FIRE TEX 5120",E952="CJ"),VLOOKUP(_xlfn.MINIFS('FIRE TEX 5120'!$O$5:$O$40,'FIRE TEX 5120'!$O$5:$O$40,"&gt;="&amp;M952),'FIRE TEX 5120'!$O$5:$T$40,IF(L952="F-15",2,IF(L952="F-30",3,IF(L952="F-60",4,IF(L952="F-90",5,IF(L952="F-120",6,0))))),0),0)</f>
        <v>0</v>
      </c>
      <c r="Q952" s="46">
        <f t="shared" si="94"/>
        <v>0</v>
      </c>
      <c r="R952" s="46">
        <f t="shared" si="95"/>
        <v>0</v>
      </c>
      <c r="S952" s="46" t="e">
        <f t="shared" si="96"/>
        <v>#VALUE!</v>
      </c>
      <c r="T952" s="677">
        <f t="shared" si="97"/>
        <v>0</v>
      </c>
      <c r="U952" s="80">
        <f>(IF(O952="Stofire",(S952*#REF!),0))+(IF(O952="Fire Control",(S952*$U$2),0))+(IF(O952="Fire Tex",(S952*$U$3),0))+(IF(O952="WB7",(S952*#REF!),0)+(IF(O952="FX 2003",(S952*$U$5),0)))</f>
        <v>0</v>
      </c>
      <c r="V952" s="651">
        <f t="shared" si="98"/>
        <v>0</v>
      </c>
    </row>
    <row r="953" spans="4:22" x14ac:dyDescent="0.25">
      <c r="D953" s="118">
        <f>+CUBICACION!D952</f>
        <v>0</v>
      </c>
      <c r="E953" s="118">
        <f>+CUBICACION!F952</f>
        <v>0</v>
      </c>
      <c r="F953" s="118">
        <f>+CUBICACION!E952</f>
        <v>0</v>
      </c>
      <c r="G953" s="118">
        <v>12</v>
      </c>
      <c r="H953" s="118">
        <v>2</v>
      </c>
      <c r="I953" s="820">
        <v>26385</v>
      </c>
      <c r="J953" s="118">
        <f>+CUBICACION!J952</f>
        <v>0</v>
      </c>
      <c r="K953" s="118">
        <v>3732</v>
      </c>
      <c r="L953" s="118">
        <f>+CUBICACION!L952</f>
        <v>0</v>
      </c>
      <c r="M953" s="64">
        <f>+CUBICACION!M952</f>
        <v>0</v>
      </c>
      <c r="N953" s="824" t="str">
        <f>+CUBICACION!N952</f>
        <v/>
      </c>
      <c r="O953" s="675">
        <f>+CUBICACION!O952</f>
        <v>0</v>
      </c>
      <c r="P953" s="15">
        <f>IF(O953="Fire Control",VLOOKUP(_xlfn.MINIFS('FIRE CONTROL'!$C$4:$C$37,'FIRE CONTROL'!$C$4:$C$37,"&gt;="&amp;M953),'FIRE CONTROL'!$C$4:$G$37,IF(L953="F-15",2,IF(L953="F-30",3,IF(L953="F-60",4,IF(L953="F-90",5,0)))),0),0)+IF(AND(O953="FIRE TEX 5062",OR(E953="IN",E953="C",E953="Z",E953="L"),J953=3),VLOOKUP(_xlfn.MINIFS('FIRE TEX 5062'!$B$4:$B$34,'FIRE TEX 5062'!$B$4:$B$34,"&gt;="&amp;M953),'FIRE TEX 5062'!$B$4:$F$34,IF(L953="F-15",2,IF(L953="F-30",3,IF(L953="F-60",4,IF(L953="F-90",5,0)))),0),0)+IF(AND(O953="FIRE TEX 5062",OR(E953="IN",E953="C",E953="Z",E953="L"),J953=4),VLOOKUP(_xlfn.MINIFS('FIRE TEX 5062'!$G$4:$G$34,'FIRE TEX 5062'!$G$4:$G$34,"&gt;="&amp;M953),'FIRE TEX 5062'!$G$4:$K$34,IF(L953="F-15",2,IF(L953="F-30",3,IF(L953="F-60",4,IF(L953="F-90",5,0)))),0),0)+IF(AND(O953="FIRE TEX 5062",E953="CJ",J953=3),VLOOKUP(_xlfn.MINIFS('FIRE TEX 5062'!$L$4:$L$34,'FIRE TEX 5062'!$L$4:$L$34,"&gt;="&amp;M953),'FIRE TEX 5062'!$L$4:$P$34,IF(L953="F-15",2,IF(L953="F-30",3,IF(L953="F-60",4,IF(L953="F-90",5,0)))),0),0)+IF(AND(O953="FIRE TEX 5062",E953="CJ",J953=4),VLOOKUP(_xlfn.MINIFS('FIRE TEX 5062'!$Q$3:$Q$34,'FIRE TEX 5062'!$Q$3:$Q$34,"&gt;="&amp;M953),'FIRE TEX 5062'!$Q$3:$U$34,IF(L953="F-15",2,IF(L953="F-30",3,IF(L953="F-60",4,IF(L953="F-90",5,0)))),0),0)+IF(AND(O953="FIRE TEX 5090",OR(E953="IN",E953="C",E953="Z",E953="L"),J953=3),VLOOKUP(_xlfn.MINIFS('FIRE TEX 5090'!$B$5:$B$43,'FIRE TEX 5090'!$B$5:$B$43,"&gt;="&amp;M953),'FIRE TEX 5090'!$B$5:$H$43,IF(L953="F-15",2,IF(L953="F-30",3,IF(L953="F-60",4,IF(L953="F-90",5,IF(L953="F-120",6,IF(L953="F-150",7,0)))))),0),0)+IF(AND(O953="FIRE TEX 5090",OR(E953="IN",E953="C",E953="Z",E953="L"),J953=4),VLOOKUP(_xlfn.MINIFS('FIRE TEX 5090'!$J$5:$J$43,'FIRE TEX 5090'!$J$5:$J$43,"&gt;="&amp;M953),'FIRE TEX 5090'!$J$5:$P$43,IF(L953="F-15",2,IF(L953="F-30",3,IF(L953="F-60",4,IF(L953="F-90",5,IF(L953="F-120",6,IF(L953="F-150",7,0)))))),0),0)+IF(AND(O953="FIRE TEX 5090",E953="CJ",J953=3),VLOOKUP(_xlfn.MINIFS('FIRE TEX 5090'!$R$5:$R$30,'FIRE TEX 5090'!$R$5:$R$30,"&gt;="&amp;M953),'FIRE TEX 5090'!$R$5:$W$30,IF(L953="F-15",2,IF(L953="F-30",3,IF(L953="F-60",4,IF(L953="F-90",5,IF(L953="F-120",6,IF(L953="F-150",7,0)))))),0),0)+IF(AND(O953="FIRE TEX 5090",E953="CJ",J953=4),VLOOKUP(_xlfn.MINIFS('FIRE TEX 5090'!$Y$5:$Y$39,'FIRE TEX 5090'!$Y$5:$Y$39,"&gt;="&amp;M953),'FIRE TEX 5090'!$Y$5:$AD$39,IF(L953="F-15",2,IF(L953="F-30",3,IF(L953="F-60",4,IF(L953="F-90",5,IF(L953="F-120",6,IF(L953="F-150",7,0)))))),0),0)+IF(AND(O953="FIRE TEX 5120",OR(E953="IN",E953="C",E953="Z",E953="L"),J953=3),VLOOKUP(_xlfn.MINIFS('FIRE TEX 5120'!$B$5:$B$40,'FIRE TEX 5120'!$B$5:$B$40,"&gt;="&amp;M953),'FIRE TEX 5120'!$B$5:$G$40,IF(L953="F-15",2,IF(L953="F-30",3,IF(L953="F-60",4,IF(L953="F-90",5,IF(L953="F-120",6,0))))),0),0)+IF(AND(O953="FIRE TEX 5120",OR(E953="IN",E953="C",E953="Z",E953="L"),J953=4),VLOOKUP(_xlfn.MINIFS('FIRE TEX 5120'!$H$4:$H$40,'FIRE TEX 5120'!$H$4:$H$40,"&gt;="&amp;M953),'FIRE TEX 5120'!$H$4:$M$40,IF(L953="F-15",2,IF(L953="F-30",3,IF(L953="F-60",4,IF(L953="F-90",5,IF(L953="F-120",6,0))))),0),0)+IF(AND(O953="FIRE TEX 5120",E953="CJ"),VLOOKUP(_xlfn.MINIFS('FIRE TEX 5120'!$O$5:$O$40,'FIRE TEX 5120'!$O$5:$O$40,"&gt;="&amp;M953),'FIRE TEX 5120'!$O$5:$T$40,IF(L953="F-15",2,IF(L953="F-30",3,IF(L953="F-60",4,IF(L953="F-90",5,IF(L953="F-120",6,0))))),0),0)</f>
        <v>0</v>
      </c>
      <c r="Q953" s="46">
        <f t="shared" si="94"/>
        <v>0</v>
      </c>
      <c r="R953" s="46">
        <f t="shared" si="95"/>
        <v>0</v>
      </c>
      <c r="S953" s="46" t="e">
        <f t="shared" si="96"/>
        <v>#VALUE!</v>
      </c>
      <c r="T953" s="677">
        <f t="shared" si="97"/>
        <v>0</v>
      </c>
      <c r="U953" s="80">
        <f>(IF(O953="Stofire",(S953*#REF!),0))+(IF(O953="Fire Control",(S953*$U$2),0))+(IF(O953="Fire Tex",(S953*$U$3),0))+(IF(O953="WB7",(S953*#REF!),0)+(IF(O953="FX 2003",(S953*$U$5),0)))</f>
        <v>0</v>
      </c>
      <c r="V953" s="651">
        <f t="shared" si="98"/>
        <v>0</v>
      </c>
    </row>
    <row r="954" spans="4:22" x14ac:dyDescent="0.25">
      <c r="D954" s="118">
        <f>+CUBICACION!D953</f>
        <v>0</v>
      </c>
      <c r="E954" s="118">
        <f>+CUBICACION!F953</f>
        <v>0</v>
      </c>
      <c r="F954" s="118">
        <f>+CUBICACION!E953</f>
        <v>0</v>
      </c>
      <c r="G954" s="118">
        <v>12</v>
      </c>
      <c r="H954" s="118">
        <v>2</v>
      </c>
      <c r="I954" s="820">
        <v>26385</v>
      </c>
      <c r="J954" s="118">
        <f>+CUBICACION!J953</f>
        <v>0</v>
      </c>
      <c r="K954" s="118">
        <v>3733</v>
      </c>
      <c r="L954" s="118">
        <f>+CUBICACION!L953</f>
        <v>0</v>
      </c>
      <c r="M954" s="64">
        <f>+CUBICACION!M953</f>
        <v>0</v>
      </c>
      <c r="N954" s="824" t="str">
        <f>+CUBICACION!N953</f>
        <v/>
      </c>
      <c r="O954" s="675">
        <f>+CUBICACION!O953</f>
        <v>0</v>
      </c>
      <c r="P954" s="15">
        <f>IF(O954="Fire Control",VLOOKUP(_xlfn.MINIFS('FIRE CONTROL'!$C$4:$C$37,'FIRE CONTROL'!$C$4:$C$37,"&gt;="&amp;M954),'FIRE CONTROL'!$C$4:$G$37,IF(L954="F-15",2,IF(L954="F-30",3,IF(L954="F-60",4,IF(L954="F-90",5,0)))),0),0)+IF(AND(O954="FIRE TEX 5062",OR(E954="IN",E954="C",E954="Z",E954="L"),J954=3),VLOOKUP(_xlfn.MINIFS('FIRE TEX 5062'!$B$4:$B$34,'FIRE TEX 5062'!$B$4:$B$34,"&gt;="&amp;M954),'FIRE TEX 5062'!$B$4:$F$34,IF(L954="F-15",2,IF(L954="F-30",3,IF(L954="F-60",4,IF(L954="F-90",5,0)))),0),0)+IF(AND(O954="FIRE TEX 5062",OR(E954="IN",E954="C",E954="Z",E954="L"),J954=4),VLOOKUP(_xlfn.MINIFS('FIRE TEX 5062'!$G$4:$G$34,'FIRE TEX 5062'!$G$4:$G$34,"&gt;="&amp;M954),'FIRE TEX 5062'!$G$4:$K$34,IF(L954="F-15",2,IF(L954="F-30",3,IF(L954="F-60",4,IF(L954="F-90",5,0)))),0),0)+IF(AND(O954="FIRE TEX 5062",E954="CJ",J954=3),VLOOKUP(_xlfn.MINIFS('FIRE TEX 5062'!$L$4:$L$34,'FIRE TEX 5062'!$L$4:$L$34,"&gt;="&amp;M954),'FIRE TEX 5062'!$L$4:$P$34,IF(L954="F-15",2,IF(L954="F-30",3,IF(L954="F-60",4,IF(L954="F-90",5,0)))),0),0)+IF(AND(O954="FIRE TEX 5062",E954="CJ",J954=4),VLOOKUP(_xlfn.MINIFS('FIRE TEX 5062'!$Q$3:$Q$34,'FIRE TEX 5062'!$Q$3:$Q$34,"&gt;="&amp;M954),'FIRE TEX 5062'!$Q$3:$U$34,IF(L954="F-15",2,IF(L954="F-30",3,IF(L954="F-60",4,IF(L954="F-90",5,0)))),0),0)+IF(AND(O954="FIRE TEX 5090",OR(E954="IN",E954="C",E954="Z",E954="L"),J954=3),VLOOKUP(_xlfn.MINIFS('FIRE TEX 5090'!$B$5:$B$43,'FIRE TEX 5090'!$B$5:$B$43,"&gt;="&amp;M954),'FIRE TEX 5090'!$B$5:$H$43,IF(L954="F-15",2,IF(L954="F-30",3,IF(L954="F-60",4,IF(L954="F-90",5,IF(L954="F-120",6,IF(L954="F-150",7,0)))))),0),0)+IF(AND(O954="FIRE TEX 5090",OR(E954="IN",E954="C",E954="Z",E954="L"),J954=4),VLOOKUP(_xlfn.MINIFS('FIRE TEX 5090'!$J$5:$J$43,'FIRE TEX 5090'!$J$5:$J$43,"&gt;="&amp;M954),'FIRE TEX 5090'!$J$5:$P$43,IF(L954="F-15",2,IF(L954="F-30",3,IF(L954="F-60",4,IF(L954="F-90",5,IF(L954="F-120",6,IF(L954="F-150",7,0)))))),0),0)+IF(AND(O954="FIRE TEX 5090",E954="CJ",J954=3),VLOOKUP(_xlfn.MINIFS('FIRE TEX 5090'!$R$5:$R$30,'FIRE TEX 5090'!$R$5:$R$30,"&gt;="&amp;M954),'FIRE TEX 5090'!$R$5:$W$30,IF(L954="F-15",2,IF(L954="F-30",3,IF(L954="F-60",4,IF(L954="F-90",5,IF(L954="F-120",6,IF(L954="F-150",7,0)))))),0),0)+IF(AND(O954="FIRE TEX 5090",E954="CJ",J954=4),VLOOKUP(_xlfn.MINIFS('FIRE TEX 5090'!$Y$5:$Y$39,'FIRE TEX 5090'!$Y$5:$Y$39,"&gt;="&amp;M954),'FIRE TEX 5090'!$Y$5:$AD$39,IF(L954="F-15",2,IF(L954="F-30",3,IF(L954="F-60",4,IF(L954="F-90",5,IF(L954="F-120",6,IF(L954="F-150",7,0)))))),0),0)+IF(AND(O954="FIRE TEX 5120",OR(E954="IN",E954="C",E954="Z",E954="L"),J954=3),VLOOKUP(_xlfn.MINIFS('FIRE TEX 5120'!$B$5:$B$40,'FIRE TEX 5120'!$B$5:$B$40,"&gt;="&amp;M954),'FIRE TEX 5120'!$B$5:$G$40,IF(L954="F-15",2,IF(L954="F-30",3,IF(L954="F-60",4,IF(L954="F-90",5,IF(L954="F-120",6,0))))),0),0)+IF(AND(O954="FIRE TEX 5120",OR(E954="IN",E954="C",E954="Z",E954="L"),J954=4),VLOOKUP(_xlfn.MINIFS('FIRE TEX 5120'!$H$4:$H$40,'FIRE TEX 5120'!$H$4:$H$40,"&gt;="&amp;M954),'FIRE TEX 5120'!$H$4:$M$40,IF(L954="F-15",2,IF(L954="F-30",3,IF(L954="F-60",4,IF(L954="F-90",5,IF(L954="F-120",6,0))))),0),0)+IF(AND(O954="FIRE TEX 5120",E954="CJ"),VLOOKUP(_xlfn.MINIFS('FIRE TEX 5120'!$O$5:$O$40,'FIRE TEX 5120'!$O$5:$O$40,"&gt;="&amp;M954),'FIRE TEX 5120'!$O$5:$T$40,IF(L954="F-15",2,IF(L954="F-30",3,IF(L954="F-60",4,IF(L954="F-90",5,IF(L954="F-120",6,0))))),0),0)</f>
        <v>0</v>
      </c>
      <c r="Q954" s="46">
        <f t="shared" si="94"/>
        <v>0</v>
      </c>
      <c r="R954" s="46">
        <f t="shared" si="95"/>
        <v>0</v>
      </c>
      <c r="S954" s="46" t="e">
        <f t="shared" si="96"/>
        <v>#VALUE!</v>
      </c>
      <c r="T954" s="677">
        <f t="shared" si="97"/>
        <v>0</v>
      </c>
      <c r="U954" s="80">
        <f>(IF(O954="Stofire",(S954*#REF!),0))+(IF(O954="Fire Control",(S954*$U$2),0))+(IF(O954="Fire Tex",(S954*$U$3),0))+(IF(O954="WB7",(S954*#REF!),0)+(IF(O954="FX 2003",(S954*$U$5),0)))</f>
        <v>0</v>
      </c>
      <c r="V954" s="651">
        <f t="shared" si="98"/>
        <v>0</v>
      </c>
    </row>
    <row r="955" spans="4:22" x14ac:dyDescent="0.25">
      <c r="D955" s="118">
        <f>+CUBICACION!D954</f>
        <v>0</v>
      </c>
      <c r="E955" s="118">
        <f>+CUBICACION!F954</f>
        <v>0</v>
      </c>
      <c r="F955" s="118">
        <f>+CUBICACION!E954</f>
        <v>0</v>
      </c>
      <c r="G955" s="118">
        <v>12</v>
      </c>
      <c r="H955" s="118">
        <v>2</v>
      </c>
      <c r="I955" s="820">
        <v>26385</v>
      </c>
      <c r="J955" s="118">
        <f>+CUBICACION!J954</f>
        <v>0</v>
      </c>
      <c r="K955" s="118">
        <v>3734</v>
      </c>
      <c r="L955" s="118">
        <f>+CUBICACION!L954</f>
        <v>0</v>
      </c>
      <c r="M955" s="64">
        <f>+CUBICACION!M954</f>
        <v>0</v>
      </c>
      <c r="N955" s="824" t="str">
        <f>+CUBICACION!N954</f>
        <v/>
      </c>
      <c r="O955" s="675">
        <f>+CUBICACION!O954</f>
        <v>0</v>
      </c>
      <c r="P955" s="15">
        <f>IF(O955="Fire Control",VLOOKUP(_xlfn.MINIFS('FIRE CONTROL'!$C$4:$C$37,'FIRE CONTROL'!$C$4:$C$37,"&gt;="&amp;M955),'FIRE CONTROL'!$C$4:$G$37,IF(L955="F-15",2,IF(L955="F-30",3,IF(L955="F-60",4,IF(L955="F-90",5,0)))),0),0)+IF(AND(O955="FIRE TEX 5062",OR(E955="IN",E955="C",E955="Z",E955="L"),J955=3),VLOOKUP(_xlfn.MINIFS('FIRE TEX 5062'!$B$4:$B$34,'FIRE TEX 5062'!$B$4:$B$34,"&gt;="&amp;M955),'FIRE TEX 5062'!$B$4:$F$34,IF(L955="F-15",2,IF(L955="F-30",3,IF(L955="F-60",4,IF(L955="F-90",5,0)))),0),0)+IF(AND(O955="FIRE TEX 5062",OR(E955="IN",E955="C",E955="Z",E955="L"),J955=4),VLOOKUP(_xlfn.MINIFS('FIRE TEX 5062'!$G$4:$G$34,'FIRE TEX 5062'!$G$4:$G$34,"&gt;="&amp;M955),'FIRE TEX 5062'!$G$4:$K$34,IF(L955="F-15",2,IF(L955="F-30",3,IF(L955="F-60",4,IF(L955="F-90",5,0)))),0),0)+IF(AND(O955="FIRE TEX 5062",E955="CJ",J955=3),VLOOKUP(_xlfn.MINIFS('FIRE TEX 5062'!$L$4:$L$34,'FIRE TEX 5062'!$L$4:$L$34,"&gt;="&amp;M955),'FIRE TEX 5062'!$L$4:$P$34,IF(L955="F-15",2,IF(L955="F-30",3,IF(L955="F-60",4,IF(L955="F-90",5,0)))),0),0)+IF(AND(O955="FIRE TEX 5062",E955="CJ",J955=4),VLOOKUP(_xlfn.MINIFS('FIRE TEX 5062'!$Q$3:$Q$34,'FIRE TEX 5062'!$Q$3:$Q$34,"&gt;="&amp;M955),'FIRE TEX 5062'!$Q$3:$U$34,IF(L955="F-15",2,IF(L955="F-30",3,IF(L955="F-60",4,IF(L955="F-90",5,0)))),0),0)+IF(AND(O955="FIRE TEX 5090",OR(E955="IN",E955="C",E955="Z",E955="L"),J955=3),VLOOKUP(_xlfn.MINIFS('FIRE TEX 5090'!$B$5:$B$43,'FIRE TEX 5090'!$B$5:$B$43,"&gt;="&amp;M955),'FIRE TEX 5090'!$B$5:$H$43,IF(L955="F-15",2,IF(L955="F-30",3,IF(L955="F-60",4,IF(L955="F-90",5,IF(L955="F-120",6,IF(L955="F-150",7,0)))))),0),0)+IF(AND(O955="FIRE TEX 5090",OR(E955="IN",E955="C",E955="Z",E955="L"),J955=4),VLOOKUP(_xlfn.MINIFS('FIRE TEX 5090'!$J$5:$J$43,'FIRE TEX 5090'!$J$5:$J$43,"&gt;="&amp;M955),'FIRE TEX 5090'!$J$5:$P$43,IF(L955="F-15",2,IF(L955="F-30",3,IF(L955="F-60",4,IF(L955="F-90",5,IF(L955="F-120",6,IF(L955="F-150",7,0)))))),0),0)+IF(AND(O955="FIRE TEX 5090",E955="CJ",J955=3),VLOOKUP(_xlfn.MINIFS('FIRE TEX 5090'!$R$5:$R$30,'FIRE TEX 5090'!$R$5:$R$30,"&gt;="&amp;M955),'FIRE TEX 5090'!$R$5:$W$30,IF(L955="F-15",2,IF(L955="F-30",3,IF(L955="F-60",4,IF(L955="F-90",5,IF(L955="F-120",6,IF(L955="F-150",7,0)))))),0),0)+IF(AND(O955="FIRE TEX 5090",E955="CJ",J955=4),VLOOKUP(_xlfn.MINIFS('FIRE TEX 5090'!$Y$5:$Y$39,'FIRE TEX 5090'!$Y$5:$Y$39,"&gt;="&amp;M955),'FIRE TEX 5090'!$Y$5:$AD$39,IF(L955="F-15",2,IF(L955="F-30",3,IF(L955="F-60",4,IF(L955="F-90",5,IF(L955="F-120",6,IF(L955="F-150",7,0)))))),0),0)+IF(AND(O955="FIRE TEX 5120",OR(E955="IN",E955="C",E955="Z",E955="L"),J955=3),VLOOKUP(_xlfn.MINIFS('FIRE TEX 5120'!$B$5:$B$40,'FIRE TEX 5120'!$B$5:$B$40,"&gt;="&amp;M955),'FIRE TEX 5120'!$B$5:$G$40,IF(L955="F-15",2,IF(L955="F-30",3,IF(L955="F-60",4,IF(L955="F-90",5,IF(L955="F-120",6,0))))),0),0)+IF(AND(O955="FIRE TEX 5120",OR(E955="IN",E955="C",E955="Z",E955="L"),J955=4),VLOOKUP(_xlfn.MINIFS('FIRE TEX 5120'!$H$4:$H$40,'FIRE TEX 5120'!$H$4:$H$40,"&gt;="&amp;M955),'FIRE TEX 5120'!$H$4:$M$40,IF(L955="F-15",2,IF(L955="F-30",3,IF(L955="F-60",4,IF(L955="F-90",5,IF(L955="F-120",6,0))))),0),0)+IF(AND(O955="FIRE TEX 5120",E955="CJ"),VLOOKUP(_xlfn.MINIFS('FIRE TEX 5120'!$O$5:$O$40,'FIRE TEX 5120'!$O$5:$O$40,"&gt;="&amp;M955),'FIRE TEX 5120'!$O$5:$T$40,IF(L955="F-15",2,IF(L955="F-30",3,IF(L955="F-60",4,IF(L955="F-90",5,IF(L955="F-120",6,0))))),0),0)</f>
        <v>0</v>
      </c>
      <c r="Q955" s="46">
        <f t="shared" si="94"/>
        <v>0</v>
      </c>
      <c r="R955" s="46">
        <f t="shared" si="95"/>
        <v>0</v>
      </c>
      <c r="S955" s="46" t="e">
        <f t="shared" si="96"/>
        <v>#VALUE!</v>
      </c>
      <c r="T955" s="677">
        <f t="shared" si="97"/>
        <v>0</v>
      </c>
      <c r="U955" s="80">
        <f>(IF(O955="Stofire",(S955*#REF!),0))+(IF(O955="Fire Control",(S955*$U$2),0))+(IF(O955="Fire Tex",(S955*$U$3),0))+(IF(O955="WB7",(S955*#REF!),0)+(IF(O955="FX 2003",(S955*$U$5),0)))</f>
        <v>0</v>
      </c>
      <c r="V955" s="651">
        <f t="shared" si="98"/>
        <v>0</v>
      </c>
    </row>
    <row r="956" spans="4:22" x14ac:dyDescent="0.25">
      <c r="D956" s="118">
        <f>+CUBICACION!D955</f>
        <v>0</v>
      </c>
      <c r="E956" s="118">
        <f>+CUBICACION!F955</f>
        <v>0</v>
      </c>
      <c r="F956" s="118">
        <f>+CUBICACION!E955</f>
        <v>0</v>
      </c>
      <c r="G956" s="118">
        <v>12</v>
      </c>
      <c r="H956" s="118">
        <v>2</v>
      </c>
      <c r="I956" s="820">
        <v>26385</v>
      </c>
      <c r="J956" s="118">
        <f>+CUBICACION!J955</f>
        <v>0</v>
      </c>
      <c r="K956" s="118">
        <v>3735</v>
      </c>
      <c r="L956" s="118">
        <f>+CUBICACION!L955</f>
        <v>0</v>
      </c>
      <c r="M956" s="64">
        <f>+CUBICACION!M955</f>
        <v>0</v>
      </c>
      <c r="N956" s="824" t="str">
        <f>+CUBICACION!N955</f>
        <v/>
      </c>
      <c r="O956" s="675">
        <f>+CUBICACION!O955</f>
        <v>0</v>
      </c>
      <c r="P956" s="15">
        <f>IF(O956="Fire Control",VLOOKUP(_xlfn.MINIFS('FIRE CONTROL'!$C$4:$C$37,'FIRE CONTROL'!$C$4:$C$37,"&gt;="&amp;M956),'FIRE CONTROL'!$C$4:$G$37,IF(L956="F-15",2,IF(L956="F-30",3,IF(L956="F-60",4,IF(L956="F-90",5,0)))),0),0)+IF(AND(O956="FIRE TEX 5062",OR(E956="IN",E956="C",E956="Z",E956="L"),J956=3),VLOOKUP(_xlfn.MINIFS('FIRE TEX 5062'!$B$4:$B$34,'FIRE TEX 5062'!$B$4:$B$34,"&gt;="&amp;M956),'FIRE TEX 5062'!$B$4:$F$34,IF(L956="F-15",2,IF(L956="F-30",3,IF(L956="F-60",4,IF(L956="F-90",5,0)))),0),0)+IF(AND(O956="FIRE TEX 5062",OR(E956="IN",E956="C",E956="Z",E956="L"),J956=4),VLOOKUP(_xlfn.MINIFS('FIRE TEX 5062'!$G$4:$G$34,'FIRE TEX 5062'!$G$4:$G$34,"&gt;="&amp;M956),'FIRE TEX 5062'!$G$4:$K$34,IF(L956="F-15",2,IF(L956="F-30",3,IF(L956="F-60",4,IF(L956="F-90",5,0)))),0),0)+IF(AND(O956="FIRE TEX 5062",E956="CJ",J956=3),VLOOKUP(_xlfn.MINIFS('FIRE TEX 5062'!$L$4:$L$34,'FIRE TEX 5062'!$L$4:$L$34,"&gt;="&amp;M956),'FIRE TEX 5062'!$L$4:$P$34,IF(L956="F-15",2,IF(L956="F-30",3,IF(L956="F-60",4,IF(L956="F-90",5,0)))),0),0)+IF(AND(O956="FIRE TEX 5062",E956="CJ",J956=4),VLOOKUP(_xlfn.MINIFS('FIRE TEX 5062'!$Q$3:$Q$34,'FIRE TEX 5062'!$Q$3:$Q$34,"&gt;="&amp;M956),'FIRE TEX 5062'!$Q$3:$U$34,IF(L956="F-15",2,IF(L956="F-30",3,IF(L956="F-60",4,IF(L956="F-90",5,0)))),0),0)+IF(AND(O956="FIRE TEX 5090",OR(E956="IN",E956="C",E956="Z",E956="L"),J956=3),VLOOKUP(_xlfn.MINIFS('FIRE TEX 5090'!$B$5:$B$43,'FIRE TEX 5090'!$B$5:$B$43,"&gt;="&amp;M956),'FIRE TEX 5090'!$B$5:$H$43,IF(L956="F-15",2,IF(L956="F-30",3,IF(L956="F-60",4,IF(L956="F-90",5,IF(L956="F-120",6,IF(L956="F-150",7,0)))))),0),0)+IF(AND(O956="FIRE TEX 5090",OR(E956="IN",E956="C",E956="Z",E956="L"),J956=4),VLOOKUP(_xlfn.MINIFS('FIRE TEX 5090'!$J$5:$J$43,'FIRE TEX 5090'!$J$5:$J$43,"&gt;="&amp;M956),'FIRE TEX 5090'!$J$5:$P$43,IF(L956="F-15",2,IF(L956="F-30",3,IF(L956="F-60",4,IF(L956="F-90",5,IF(L956="F-120",6,IF(L956="F-150",7,0)))))),0),0)+IF(AND(O956="FIRE TEX 5090",E956="CJ",J956=3),VLOOKUP(_xlfn.MINIFS('FIRE TEX 5090'!$R$5:$R$30,'FIRE TEX 5090'!$R$5:$R$30,"&gt;="&amp;M956),'FIRE TEX 5090'!$R$5:$W$30,IF(L956="F-15",2,IF(L956="F-30",3,IF(L956="F-60",4,IF(L956="F-90",5,IF(L956="F-120",6,IF(L956="F-150",7,0)))))),0),0)+IF(AND(O956="FIRE TEX 5090",E956="CJ",J956=4),VLOOKUP(_xlfn.MINIFS('FIRE TEX 5090'!$Y$5:$Y$39,'FIRE TEX 5090'!$Y$5:$Y$39,"&gt;="&amp;M956),'FIRE TEX 5090'!$Y$5:$AD$39,IF(L956="F-15",2,IF(L956="F-30",3,IF(L956="F-60",4,IF(L956="F-90",5,IF(L956="F-120",6,IF(L956="F-150",7,0)))))),0),0)+IF(AND(O956="FIRE TEX 5120",OR(E956="IN",E956="C",E956="Z",E956="L"),J956=3),VLOOKUP(_xlfn.MINIFS('FIRE TEX 5120'!$B$5:$B$40,'FIRE TEX 5120'!$B$5:$B$40,"&gt;="&amp;M956),'FIRE TEX 5120'!$B$5:$G$40,IF(L956="F-15",2,IF(L956="F-30",3,IF(L956="F-60",4,IF(L956="F-90",5,IF(L956="F-120",6,0))))),0),0)+IF(AND(O956="FIRE TEX 5120",OR(E956="IN",E956="C",E956="Z",E956="L"),J956=4),VLOOKUP(_xlfn.MINIFS('FIRE TEX 5120'!$H$4:$H$40,'FIRE TEX 5120'!$H$4:$H$40,"&gt;="&amp;M956),'FIRE TEX 5120'!$H$4:$M$40,IF(L956="F-15",2,IF(L956="F-30",3,IF(L956="F-60",4,IF(L956="F-90",5,IF(L956="F-120",6,0))))),0),0)+IF(AND(O956="FIRE TEX 5120",E956="CJ"),VLOOKUP(_xlfn.MINIFS('FIRE TEX 5120'!$O$5:$O$40,'FIRE TEX 5120'!$O$5:$O$40,"&gt;="&amp;M956),'FIRE TEX 5120'!$O$5:$T$40,IF(L956="F-15",2,IF(L956="F-30",3,IF(L956="F-60",4,IF(L956="F-90",5,IF(L956="F-120",6,0))))),0),0)</f>
        <v>0</v>
      </c>
      <c r="Q956" s="46">
        <f t="shared" si="94"/>
        <v>0</v>
      </c>
      <c r="R956" s="46">
        <f t="shared" si="95"/>
        <v>0</v>
      </c>
      <c r="S956" s="46" t="e">
        <f t="shared" si="96"/>
        <v>#VALUE!</v>
      </c>
      <c r="T956" s="677">
        <f t="shared" si="97"/>
        <v>0</v>
      </c>
      <c r="U956" s="80">
        <f>(IF(O956="Stofire",(S956*#REF!),0))+(IF(O956="Fire Control",(S956*$U$2),0))+(IF(O956="Fire Tex",(S956*$U$3),0))+(IF(O956="WB7",(S956*#REF!),0)+(IF(O956="FX 2003",(S956*$U$5),0)))</f>
        <v>0</v>
      </c>
      <c r="V956" s="651">
        <f t="shared" si="98"/>
        <v>0</v>
      </c>
    </row>
    <row r="957" spans="4:22" x14ac:dyDescent="0.25">
      <c r="D957" s="118">
        <f>+CUBICACION!D956</f>
        <v>0</v>
      </c>
      <c r="E957" s="118">
        <f>+CUBICACION!F956</f>
        <v>0</v>
      </c>
      <c r="F957" s="118">
        <f>+CUBICACION!E956</f>
        <v>0</v>
      </c>
      <c r="G957" s="118">
        <v>12</v>
      </c>
      <c r="H957" s="118">
        <v>2</v>
      </c>
      <c r="I957" s="820">
        <v>26385</v>
      </c>
      <c r="J957" s="118">
        <f>+CUBICACION!J956</f>
        <v>0</v>
      </c>
      <c r="K957" s="118">
        <v>3736</v>
      </c>
      <c r="L957" s="118">
        <f>+CUBICACION!L956</f>
        <v>0</v>
      </c>
      <c r="M957" s="64">
        <f>+CUBICACION!M956</f>
        <v>0</v>
      </c>
      <c r="N957" s="824" t="str">
        <f>+CUBICACION!N956</f>
        <v/>
      </c>
      <c r="O957" s="675">
        <f>+CUBICACION!O956</f>
        <v>0</v>
      </c>
      <c r="P957" s="15">
        <f>IF(O957="Fire Control",VLOOKUP(_xlfn.MINIFS('FIRE CONTROL'!$C$4:$C$37,'FIRE CONTROL'!$C$4:$C$37,"&gt;="&amp;M957),'FIRE CONTROL'!$C$4:$G$37,IF(L957="F-15",2,IF(L957="F-30",3,IF(L957="F-60",4,IF(L957="F-90",5,0)))),0),0)+IF(AND(O957="FIRE TEX 5062",OR(E957="IN",E957="C",E957="Z",E957="L"),J957=3),VLOOKUP(_xlfn.MINIFS('FIRE TEX 5062'!$B$4:$B$34,'FIRE TEX 5062'!$B$4:$B$34,"&gt;="&amp;M957),'FIRE TEX 5062'!$B$4:$F$34,IF(L957="F-15",2,IF(L957="F-30",3,IF(L957="F-60",4,IF(L957="F-90",5,0)))),0),0)+IF(AND(O957="FIRE TEX 5062",OR(E957="IN",E957="C",E957="Z",E957="L"),J957=4),VLOOKUP(_xlfn.MINIFS('FIRE TEX 5062'!$G$4:$G$34,'FIRE TEX 5062'!$G$4:$G$34,"&gt;="&amp;M957),'FIRE TEX 5062'!$G$4:$K$34,IF(L957="F-15",2,IF(L957="F-30",3,IF(L957="F-60",4,IF(L957="F-90",5,0)))),0),0)+IF(AND(O957="FIRE TEX 5062",E957="CJ",J957=3),VLOOKUP(_xlfn.MINIFS('FIRE TEX 5062'!$L$4:$L$34,'FIRE TEX 5062'!$L$4:$L$34,"&gt;="&amp;M957),'FIRE TEX 5062'!$L$4:$P$34,IF(L957="F-15",2,IF(L957="F-30",3,IF(L957="F-60",4,IF(L957="F-90",5,0)))),0),0)+IF(AND(O957="FIRE TEX 5062",E957="CJ",J957=4),VLOOKUP(_xlfn.MINIFS('FIRE TEX 5062'!$Q$3:$Q$34,'FIRE TEX 5062'!$Q$3:$Q$34,"&gt;="&amp;M957),'FIRE TEX 5062'!$Q$3:$U$34,IF(L957="F-15",2,IF(L957="F-30",3,IF(L957="F-60",4,IF(L957="F-90",5,0)))),0),0)+IF(AND(O957="FIRE TEX 5090",OR(E957="IN",E957="C",E957="Z",E957="L"),J957=3),VLOOKUP(_xlfn.MINIFS('FIRE TEX 5090'!$B$5:$B$43,'FIRE TEX 5090'!$B$5:$B$43,"&gt;="&amp;M957),'FIRE TEX 5090'!$B$5:$H$43,IF(L957="F-15",2,IF(L957="F-30",3,IF(L957="F-60",4,IF(L957="F-90",5,IF(L957="F-120",6,IF(L957="F-150",7,0)))))),0),0)+IF(AND(O957="FIRE TEX 5090",OR(E957="IN",E957="C",E957="Z",E957="L"),J957=4),VLOOKUP(_xlfn.MINIFS('FIRE TEX 5090'!$J$5:$J$43,'FIRE TEX 5090'!$J$5:$J$43,"&gt;="&amp;M957),'FIRE TEX 5090'!$J$5:$P$43,IF(L957="F-15",2,IF(L957="F-30",3,IF(L957="F-60",4,IF(L957="F-90",5,IF(L957="F-120",6,IF(L957="F-150",7,0)))))),0),0)+IF(AND(O957="FIRE TEX 5090",E957="CJ",J957=3),VLOOKUP(_xlfn.MINIFS('FIRE TEX 5090'!$R$5:$R$30,'FIRE TEX 5090'!$R$5:$R$30,"&gt;="&amp;M957),'FIRE TEX 5090'!$R$5:$W$30,IF(L957="F-15",2,IF(L957="F-30",3,IF(L957="F-60",4,IF(L957="F-90",5,IF(L957="F-120",6,IF(L957="F-150",7,0)))))),0),0)+IF(AND(O957="FIRE TEX 5090",E957="CJ",J957=4),VLOOKUP(_xlfn.MINIFS('FIRE TEX 5090'!$Y$5:$Y$39,'FIRE TEX 5090'!$Y$5:$Y$39,"&gt;="&amp;M957),'FIRE TEX 5090'!$Y$5:$AD$39,IF(L957="F-15",2,IF(L957="F-30",3,IF(L957="F-60",4,IF(L957="F-90",5,IF(L957="F-120",6,IF(L957="F-150",7,0)))))),0),0)+IF(AND(O957="FIRE TEX 5120",OR(E957="IN",E957="C",E957="Z",E957="L"),J957=3),VLOOKUP(_xlfn.MINIFS('FIRE TEX 5120'!$B$5:$B$40,'FIRE TEX 5120'!$B$5:$B$40,"&gt;="&amp;M957),'FIRE TEX 5120'!$B$5:$G$40,IF(L957="F-15",2,IF(L957="F-30",3,IF(L957="F-60",4,IF(L957="F-90",5,IF(L957="F-120",6,0))))),0),0)+IF(AND(O957="FIRE TEX 5120",OR(E957="IN",E957="C",E957="Z",E957="L"),J957=4),VLOOKUP(_xlfn.MINIFS('FIRE TEX 5120'!$H$4:$H$40,'FIRE TEX 5120'!$H$4:$H$40,"&gt;="&amp;M957),'FIRE TEX 5120'!$H$4:$M$40,IF(L957="F-15",2,IF(L957="F-30",3,IF(L957="F-60",4,IF(L957="F-90",5,IF(L957="F-120",6,0))))),0),0)+IF(AND(O957="FIRE TEX 5120",E957="CJ"),VLOOKUP(_xlfn.MINIFS('FIRE TEX 5120'!$O$5:$O$40,'FIRE TEX 5120'!$O$5:$O$40,"&gt;="&amp;M957),'FIRE TEX 5120'!$O$5:$T$40,IF(L957="F-15",2,IF(L957="F-30",3,IF(L957="F-60",4,IF(L957="F-90",5,IF(L957="F-120",6,0))))),0),0)</f>
        <v>0</v>
      </c>
      <c r="Q957" s="46">
        <f t="shared" si="94"/>
        <v>0</v>
      </c>
      <c r="R957" s="46">
        <f t="shared" si="95"/>
        <v>0</v>
      </c>
      <c r="S957" s="46" t="e">
        <f t="shared" si="96"/>
        <v>#VALUE!</v>
      </c>
      <c r="T957" s="677">
        <f t="shared" si="97"/>
        <v>0</v>
      </c>
      <c r="U957" s="80">
        <f>(IF(O957="Stofire",(S957*#REF!),0))+(IF(O957="Fire Control",(S957*$U$2),0))+(IF(O957="Fire Tex",(S957*$U$3),0))+(IF(O957="WB7",(S957*#REF!),0)+(IF(O957="FX 2003",(S957*$U$5),0)))</f>
        <v>0</v>
      </c>
      <c r="V957" s="651">
        <f t="shared" si="98"/>
        <v>0</v>
      </c>
    </row>
    <row r="958" spans="4:22" x14ac:dyDescent="0.25">
      <c r="D958" s="118">
        <f>+CUBICACION!D957</f>
        <v>0</v>
      </c>
      <c r="E958" s="118">
        <f>+CUBICACION!F957</f>
        <v>0</v>
      </c>
      <c r="F958" s="118">
        <f>+CUBICACION!E957</f>
        <v>0</v>
      </c>
      <c r="G958" s="118">
        <v>12</v>
      </c>
      <c r="H958" s="118">
        <v>2</v>
      </c>
      <c r="I958" s="820">
        <v>26385</v>
      </c>
      <c r="J958" s="118">
        <f>+CUBICACION!J957</f>
        <v>0</v>
      </c>
      <c r="K958" s="118">
        <v>3737</v>
      </c>
      <c r="L958" s="118">
        <f>+CUBICACION!L957</f>
        <v>0</v>
      </c>
      <c r="M958" s="64">
        <f>+CUBICACION!M957</f>
        <v>0</v>
      </c>
      <c r="N958" s="824" t="str">
        <f>+CUBICACION!N957</f>
        <v/>
      </c>
      <c r="O958" s="675">
        <f>+CUBICACION!O957</f>
        <v>0</v>
      </c>
      <c r="P958" s="15">
        <f>IF(O958="Fire Control",VLOOKUP(_xlfn.MINIFS('FIRE CONTROL'!$C$4:$C$37,'FIRE CONTROL'!$C$4:$C$37,"&gt;="&amp;M958),'FIRE CONTROL'!$C$4:$G$37,IF(L958="F-15",2,IF(L958="F-30",3,IF(L958="F-60",4,IF(L958="F-90",5,0)))),0),0)+IF(AND(O958="FIRE TEX 5062",OR(E958="IN",E958="C",E958="Z",E958="L"),J958=3),VLOOKUP(_xlfn.MINIFS('FIRE TEX 5062'!$B$4:$B$34,'FIRE TEX 5062'!$B$4:$B$34,"&gt;="&amp;M958),'FIRE TEX 5062'!$B$4:$F$34,IF(L958="F-15",2,IF(L958="F-30",3,IF(L958="F-60",4,IF(L958="F-90",5,0)))),0),0)+IF(AND(O958="FIRE TEX 5062",OR(E958="IN",E958="C",E958="Z",E958="L"),J958=4),VLOOKUP(_xlfn.MINIFS('FIRE TEX 5062'!$G$4:$G$34,'FIRE TEX 5062'!$G$4:$G$34,"&gt;="&amp;M958),'FIRE TEX 5062'!$G$4:$K$34,IF(L958="F-15",2,IF(L958="F-30",3,IF(L958="F-60",4,IF(L958="F-90",5,0)))),0),0)+IF(AND(O958="FIRE TEX 5062",E958="CJ",J958=3),VLOOKUP(_xlfn.MINIFS('FIRE TEX 5062'!$L$4:$L$34,'FIRE TEX 5062'!$L$4:$L$34,"&gt;="&amp;M958),'FIRE TEX 5062'!$L$4:$P$34,IF(L958="F-15",2,IF(L958="F-30",3,IF(L958="F-60",4,IF(L958="F-90",5,0)))),0),0)+IF(AND(O958="FIRE TEX 5062",E958="CJ",J958=4),VLOOKUP(_xlfn.MINIFS('FIRE TEX 5062'!$Q$3:$Q$34,'FIRE TEX 5062'!$Q$3:$Q$34,"&gt;="&amp;M958),'FIRE TEX 5062'!$Q$3:$U$34,IF(L958="F-15",2,IF(L958="F-30",3,IF(L958="F-60",4,IF(L958="F-90",5,0)))),0),0)+IF(AND(O958="FIRE TEX 5090",OR(E958="IN",E958="C",E958="Z",E958="L"),J958=3),VLOOKUP(_xlfn.MINIFS('FIRE TEX 5090'!$B$5:$B$43,'FIRE TEX 5090'!$B$5:$B$43,"&gt;="&amp;M958),'FIRE TEX 5090'!$B$5:$H$43,IF(L958="F-15",2,IF(L958="F-30",3,IF(L958="F-60",4,IF(L958="F-90",5,IF(L958="F-120",6,IF(L958="F-150",7,0)))))),0),0)+IF(AND(O958="FIRE TEX 5090",OR(E958="IN",E958="C",E958="Z",E958="L"),J958=4),VLOOKUP(_xlfn.MINIFS('FIRE TEX 5090'!$J$5:$J$43,'FIRE TEX 5090'!$J$5:$J$43,"&gt;="&amp;M958),'FIRE TEX 5090'!$J$5:$P$43,IF(L958="F-15",2,IF(L958="F-30",3,IF(L958="F-60",4,IF(L958="F-90",5,IF(L958="F-120",6,IF(L958="F-150",7,0)))))),0),0)+IF(AND(O958="FIRE TEX 5090",E958="CJ",J958=3),VLOOKUP(_xlfn.MINIFS('FIRE TEX 5090'!$R$5:$R$30,'FIRE TEX 5090'!$R$5:$R$30,"&gt;="&amp;M958),'FIRE TEX 5090'!$R$5:$W$30,IF(L958="F-15",2,IF(L958="F-30",3,IF(L958="F-60",4,IF(L958="F-90",5,IF(L958="F-120",6,IF(L958="F-150",7,0)))))),0),0)+IF(AND(O958="FIRE TEX 5090",E958="CJ",J958=4),VLOOKUP(_xlfn.MINIFS('FIRE TEX 5090'!$Y$5:$Y$39,'FIRE TEX 5090'!$Y$5:$Y$39,"&gt;="&amp;M958),'FIRE TEX 5090'!$Y$5:$AD$39,IF(L958="F-15",2,IF(L958="F-30",3,IF(L958="F-60",4,IF(L958="F-90",5,IF(L958="F-120",6,IF(L958="F-150",7,0)))))),0),0)+IF(AND(O958="FIRE TEX 5120",OR(E958="IN",E958="C",E958="Z",E958="L"),J958=3),VLOOKUP(_xlfn.MINIFS('FIRE TEX 5120'!$B$5:$B$40,'FIRE TEX 5120'!$B$5:$B$40,"&gt;="&amp;M958),'FIRE TEX 5120'!$B$5:$G$40,IF(L958="F-15",2,IF(L958="F-30",3,IF(L958="F-60",4,IF(L958="F-90",5,IF(L958="F-120",6,0))))),0),0)+IF(AND(O958="FIRE TEX 5120",OR(E958="IN",E958="C",E958="Z",E958="L"),J958=4),VLOOKUP(_xlfn.MINIFS('FIRE TEX 5120'!$H$4:$H$40,'FIRE TEX 5120'!$H$4:$H$40,"&gt;="&amp;M958),'FIRE TEX 5120'!$H$4:$M$40,IF(L958="F-15",2,IF(L958="F-30",3,IF(L958="F-60",4,IF(L958="F-90",5,IF(L958="F-120",6,0))))),0),0)+IF(AND(O958="FIRE TEX 5120",E958="CJ"),VLOOKUP(_xlfn.MINIFS('FIRE TEX 5120'!$O$5:$O$40,'FIRE TEX 5120'!$O$5:$O$40,"&gt;="&amp;M958),'FIRE TEX 5120'!$O$5:$T$40,IF(L958="F-15",2,IF(L958="F-30",3,IF(L958="F-60",4,IF(L958="F-90",5,IF(L958="F-120",6,0))))),0),0)</f>
        <v>0</v>
      </c>
      <c r="Q958" s="46">
        <f t="shared" si="94"/>
        <v>0</v>
      </c>
      <c r="R958" s="46">
        <f t="shared" si="95"/>
        <v>0</v>
      </c>
      <c r="S958" s="46" t="e">
        <f t="shared" si="96"/>
        <v>#VALUE!</v>
      </c>
      <c r="T958" s="677">
        <f t="shared" si="97"/>
        <v>0</v>
      </c>
      <c r="U958" s="80">
        <f>(IF(O958="Stofire",(S958*#REF!),0))+(IF(O958="Fire Control",(S958*$U$2),0))+(IF(O958="Fire Tex",(S958*$U$3),0))+(IF(O958="WB7",(S958*#REF!),0)+(IF(O958="FX 2003",(S958*$U$5),0)))</f>
        <v>0</v>
      </c>
      <c r="V958" s="651">
        <f t="shared" si="98"/>
        <v>0</v>
      </c>
    </row>
    <row r="959" spans="4:22" x14ac:dyDescent="0.25">
      <c r="D959" s="118">
        <f>+CUBICACION!D958</f>
        <v>0</v>
      </c>
      <c r="E959" s="118">
        <f>+CUBICACION!F958</f>
        <v>0</v>
      </c>
      <c r="F959" s="118">
        <f>+CUBICACION!E958</f>
        <v>0</v>
      </c>
      <c r="G959" s="118">
        <v>12</v>
      </c>
      <c r="H959" s="118">
        <v>2</v>
      </c>
      <c r="I959" s="820">
        <v>26385</v>
      </c>
      <c r="J959" s="118">
        <f>+CUBICACION!J958</f>
        <v>0</v>
      </c>
      <c r="K959" s="118">
        <v>3738</v>
      </c>
      <c r="L959" s="118">
        <f>+CUBICACION!L958</f>
        <v>0</v>
      </c>
      <c r="M959" s="64">
        <f>+CUBICACION!M958</f>
        <v>0</v>
      </c>
      <c r="N959" s="824" t="str">
        <f>+CUBICACION!N958</f>
        <v/>
      </c>
      <c r="O959" s="675">
        <f>+CUBICACION!O958</f>
        <v>0</v>
      </c>
      <c r="P959" s="15">
        <f>IF(O959="Fire Control",VLOOKUP(_xlfn.MINIFS('FIRE CONTROL'!$C$4:$C$37,'FIRE CONTROL'!$C$4:$C$37,"&gt;="&amp;M959),'FIRE CONTROL'!$C$4:$G$37,IF(L959="F-15",2,IF(L959="F-30",3,IF(L959="F-60",4,IF(L959="F-90",5,0)))),0),0)+IF(AND(O959="FIRE TEX 5062",OR(E959="IN",E959="C",E959="Z",E959="L"),J959=3),VLOOKUP(_xlfn.MINIFS('FIRE TEX 5062'!$B$4:$B$34,'FIRE TEX 5062'!$B$4:$B$34,"&gt;="&amp;M959),'FIRE TEX 5062'!$B$4:$F$34,IF(L959="F-15",2,IF(L959="F-30",3,IF(L959="F-60",4,IF(L959="F-90",5,0)))),0),0)+IF(AND(O959="FIRE TEX 5062",OR(E959="IN",E959="C",E959="Z",E959="L"),J959=4),VLOOKUP(_xlfn.MINIFS('FIRE TEX 5062'!$G$4:$G$34,'FIRE TEX 5062'!$G$4:$G$34,"&gt;="&amp;M959),'FIRE TEX 5062'!$G$4:$K$34,IF(L959="F-15",2,IF(L959="F-30",3,IF(L959="F-60",4,IF(L959="F-90",5,0)))),0),0)+IF(AND(O959="FIRE TEX 5062",E959="CJ",J959=3),VLOOKUP(_xlfn.MINIFS('FIRE TEX 5062'!$L$4:$L$34,'FIRE TEX 5062'!$L$4:$L$34,"&gt;="&amp;M959),'FIRE TEX 5062'!$L$4:$P$34,IF(L959="F-15",2,IF(L959="F-30",3,IF(L959="F-60",4,IF(L959="F-90",5,0)))),0),0)+IF(AND(O959="FIRE TEX 5062",E959="CJ",J959=4),VLOOKUP(_xlfn.MINIFS('FIRE TEX 5062'!$Q$3:$Q$34,'FIRE TEX 5062'!$Q$3:$Q$34,"&gt;="&amp;M959),'FIRE TEX 5062'!$Q$3:$U$34,IF(L959="F-15",2,IF(L959="F-30",3,IF(L959="F-60",4,IF(L959="F-90",5,0)))),0),0)+IF(AND(O959="FIRE TEX 5090",OR(E959="IN",E959="C",E959="Z",E959="L"),J959=3),VLOOKUP(_xlfn.MINIFS('FIRE TEX 5090'!$B$5:$B$43,'FIRE TEX 5090'!$B$5:$B$43,"&gt;="&amp;M959),'FIRE TEX 5090'!$B$5:$H$43,IF(L959="F-15",2,IF(L959="F-30",3,IF(L959="F-60",4,IF(L959="F-90",5,IF(L959="F-120",6,IF(L959="F-150",7,0)))))),0),0)+IF(AND(O959="FIRE TEX 5090",OR(E959="IN",E959="C",E959="Z",E959="L"),J959=4),VLOOKUP(_xlfn.MINIFS('FIRE TEX 5090'!$J$5:$J$43,'FIRE TEX 5090'!$J$5:$J$43,"&gt;="&amp;M959),'FIRE TEX 5090'!$J$5:$P$43,IF(L959="F-15",2,IF(L959="F-30",3,IF(L959="F-60",4,IF(L959="F-90",5,IF(L959="F-120",6,IF(L959="F-150",7,0)))))),0),0)+IF(AND(O959="FIRE TEX 5090",E959="CJ",J959=3),VLOOKUP(_xlfn.MINIFS('FIRE TEX 5090'!$R$5:$R$30,'FIRE TEX 5090'!$R$5:$R$30,"&gt;="&amp;M959),'FIRE TEX 5090'!$R$5:$W$30,IF(L959="F-15",2,IF(L959="F-30",3,IF(L959="F-60",4,IF(L959="F-90",5,IF(L959="F-120",6,IF(L959="F-150",7,0)))))),0),0)+IF(AND(O959="FIRE TEX 5090",E959="CJ",J959=4),VLOOKUP(_xlfn.MINIFS('FIRE TEX 5090'!$Y$5:$Y$39,'FIRE TEX 5090'!$Y$5:$Y$39,"&gt;="&amp;M959),'FIRE TEX 5090'!$Y$5:$AD$39,IF(L959="F-15",2,IF(L959="F-30",3,IF(L959="F-60",4,IF(L959="F-90",5,IF(L959="F-120",6,IF(L959="F-150",7,0)))))),0),0)+IF(AND(O959="FIRE TEX 5120",OR(E959="IN",E959="C",E959="Z",E959="L"),J959=3),VLOOKUP(_xlfn.MINIFS('FIRE TEX 5120'!$B$5:$B$40,'FIRE TEX 5120'!$B$5:$B$40,"&gt;="&amp;M959),'FIRE TEX 5120'!$B$5:$G$40,IF(L959="F-15",2,IF(L959="F-30",3,IF(L959="F-60",4,IF(L959="F-90",5,IF(L959="F-120",6,0))))),0),0)+IF(AND(O959="FIRE TEX 5120",OR(E959="IN",E959="C",E959="Z",E959="L"),J959=4),VLOOKUP(_xlfn.MINIFS('FIRE TEX 5120'!$H$4:$H$40,'FIRE TEX 5120'!$H$4:$H$40,"&gt;="&amp;M959),'FIRE TEX 5120'!$H$4:$M$40,IF(L959="F-15",2,IF(L959="F-30",3,IF(L959="F-60",4,IF(L959="F-90",5,IF(L959="F-120",6,0))))),0),0)+IF(AND(O959="FIRE TEX 5120",E959="CJ"),VLOOKUP(_xlfn.MINIFS('FIRE TEX 5120'!$O$5:$O$40,'FIRE TEX 5120'!$O$5:$O$40,"&gt;="&amp;M959),'FIRE TEX 5120'!$O$5:$T$40,IF(L959="F-15",2,IF(L959="F-30",3,IF(L959="F-60",4,IF(L959="F-90",5,IF(L959="F-120",6,0))))),0),0)</f>
        <v>0</v>
      </c>
      <c r="Q959" s="46">
        <f t="shared" si="94"/>
        <v>0</v>
      </c>
      <c r="R959" s="46">
        <f t="shared" si="95"/>
        <v>0</v>
      </c>
      <c r="S959" s="46" t="e">
        <f t="shared" si="96"/>
        <v>#VALUE!</v>
      </c>
      <c r="T959" s="677">
        <f t="shared" si="97"/>
        <v>0</v>
      </c>
      <c r="U959" s="80">
        <f>(IF(O959="Stofire",(S959*#REF!),0))+(IF(O959="Fire Control",(S959*$U$2),0))+(IF(O959="Fire Tex",(S959*$U$3),0))+(IF(O959="WB7",(S959*#REF!),0)+(IF(O959="FX 2003",(S959*$U$5),0)))</f>
        <v>0</v>
      </c>
      <c r="V959" s="651">
        <f t="shared" si="98"/>
        <v>0</v>
      </c>
    </row>
    <row r="960" spans="4:22" x14ac:dyDescent="0.25">
      <c r="D960" s="118">
        <f>+CUBICACION!D959</f>
        <v>0</v>
      </c>
      <c r="E960" s="118">
        <f>+CUBICACION!F959</f>
        <v>0</v>
      </c>
      <c r="F960" s="118">
        <f>+CUBICACION!E959</f>
        <v>0</v>
      </c>
      <c r="G960" s="118">
        <v>12</v>
      </c>
      <c r="H960" s="118">
        <v>2</v>
      </c>
      <c r="I960" s="820">
        <v>26385</v>
      </c>
      <c r="J960" s="118">
        <f>+CUBICACION!J959</f>
        <v>0</v>
      </c>
      <c r="K960" s="118">
        <v>3739</v>
      </c>
      <c r="L960" s="118">
        <f>+CUBICACION!L959</f>
        <v>0</v>
      </c>
      <c r="M960" s="64">
        <f>+CUBICACION!M959</f>
        <v>0</v>
      </c>
      <c r="N960" s="824" t="str">
        <f>+CUBICACION!N959</f>
        <v/>
      </c>
      <c r="O960" s="675">
        <f>+CUBICACION!O959</f>
        <v>0</v>
      </c>
      <c r="P960" s="15">
        <f>IF(O960="Fire Control",VLOOKUP(_xlfn.MINIFS('FIRE CONTROL'!$C$4:$C$37,'FIRE CONTROL'!$C$4:$C$37,"&gt;="&amp;M960),'FIRE CONTROL'!$C$4:$G$37,IF(L960="F-15",2,IF(L960="F-30",3,IF(L960="F-60",4,IF(L960="F-90",5,0)))),0),0)+IF(AND(O960="FIRE TEX 5062",OR(E960="IN",E960="C",E960="Z",E960="L"),J960=3),VLOOKUP(_xlfn.MINIFS('FIRE TEX 5062'!$B$4:$B$34,'FIRE TEX 5062'!$B$4:$B$34,"&gt;="&amp;M960),'FIRE TEX 5062'!$B$4:$F$34,IF(L960="F-15",2,IF(L960="F-30",3,IF(L960="F-60",4,IF(L960="F-90",5,0)))),0),0)+IF(AND(O960="FIRE TEX 5062",OR(E960="IN",E960="C",E960="Z",E960="L"),J960=4),VLOOKUP(_xlfn.MINIFS('FIRE TEX 5062'!$G$4:$G$34,'FIRE TEX 5062'!$G$4:$G$34,"&gt;="&amp;M960),'FIRE TEX 5062'!$G$4:$K$34,IF(L960="F-15",2,IF(L960="F-30",3,IF(L960="F-60",4,IF(L960="F-90",5,0)))),0),0)+IF(AND(O960="FIRE TEX 5062",E960="CJ",J960=3),VLOOKUP(_xlfn.MINIFS('FIRE TEX 5062'!$L$4:$L$34,'FIRE TEX 5062'!$L$4:$L$34,"&gt;="&amp;M960),'FIRE TEX 5062'!$L$4:$P$34,IF(L960="F-15",2,IF(L960="F-30",3,IF(L960="F-60",4,IF(L960="F-90",5,0)))),0),0)+IF(AND(O960="FIRE TEX 5062",E960="CJ",J960=4),VLOOKUP(_xlfn.MINIFS('FIRE TEX 5062'!$Q$3:$Q$34,'FIRE TEX 5062'!$Q$3:$Q$34,"&gt;="&amp;M960),'FIRE TEX 5062'!$Q$3:$U$34,IF(L960="F-15",2,IF(L960="F-30",3,IF(L960="F-60",4,IF(L960="F-90",5,0)))),0),0)+IF(AND(O960="FIRE TEX 5090",OR(E960="IN",E960="C",E960="Z",E960="L"),J960=3),VLOOKUP(_xlfn.MINIFS('FIRE TEX 5090'!$B$5:$B$43,'FIRE TEX 5090'!$B$5:$B$43,"&gt;="&amp;M960),'FIRE TEX 5090'!$B$5:$H$43,IF(L960="F-15",2,IF(L960="F-30",3,IF(L960="F-60",4,IF(L960="F-90",5,IF(L960="F-120",6,IF(L960="F-150",7,0)))))),0),0)+IF(AND(O960="FIRE TEX 5090",OR(E960="IN",E960="C",E960="Z",E960="L"),J960=4),VLOOKUP(_xlfn.MINIFS('FIRE TEX 5090'!$J$5:$J$43,'FIRE TEX 5090'!$J$5:$J$43,"&gt;="&amp;M960),'FIRE TEX 5090'!$J$5:$P$43,IF(L960="F-15",2,IF(L960="F-30",3,IF(L960="F-60",4,IF(L960="F-90",5,IF(L960="F-120",6,IF(L960="F-150",7,0)))))),0),0)+IF(AND(O960="FIRE TEX 5090",E960="CJ",J960=3),VLOOKUP(_xlfn.MINIFS('FIRE TEX 5090'!$R$5:$R$30,'FIRE TEX 5090'!$R$5:$R$30,"&gt;="&amp;M960),'FIRE TEX 5090'!$R$5:$W$30,IF(L960="F-15",2,IF(L960="F-30",3,IF(L960="F-60",4,IF(L960="F-90",5,IF(L960="F-120",6,IF(L960="F-150",7,0)))))),0),0)+IF(AND(O960="FIRE TEX 5090",E960="CJ",J960=4),VLOOKUP(_xlfn.MINIFS('FIRE TEX 5090'!$Y$5:$Y$39,'FIRE TEX 5090'!$Y$5:$Y$39,"&gt;="&amp;M960),'FIRE TEX 5090'!$Y$5:$AD$39,IF(L960="F-15",2,IF(L960="F-30",3,IF(L960="F-60",4,IF(L960="F-90",5,IF(L960="F-120",6,IF(L960="F-150",7,0)))))),0),0)+IF(AND(O960="FIRE TEX 5120",OR(E960="IN",E960="C",E960="Z",E960="L"),J960=3),VLOOKUP(_xlfn.MINIFS('FIRE TEX 5120'!$B$5:$B$40,'FIRE TEX 5120'!$B$5:$B$40,"&gt;="&amp;M960),'FIRE TEX 5120'!$B$5:$G$40,IF(L960="F-15",2,IF(L960="F-30",3,IF(L960="F-60",4,IF(L960="F-90",5,IF(L960="F-120",6,0))))),0),0)+IF(AND(O960="FIRE TEX 5120",OR(E960="IN",E960="C",E960="Z",E960="L"),J960=4),VLOOKUP(_xlfn.MINIFS('FIRE TEX 5120'!$H$4:$H$40,'FIRE TEX 5120'!$H$4:$H$40,"&gt;="&amp;M960),'FIRE TEX 5120'!$H$4:$M$40,IF(L960="F-15",2,IF(L960="F-30",3,IF(L960="F-60",4,IF(L960="F-90",5,IF(L960="F-120",6,0))))),0),0)+IF(AND(O960="FIRE TEX 5120",E960="CJ"),VLOOKUP(_xlfn.MINIFS('FIRE TEX 5120'!$O$5:$O$40,'FIRE TEX 5120'!$O$5:$O$40,"&gt;="&amp;M960),'FIRE TEX 5120'!$O$5:$T$40,IF(L960="F-15",2,IF(L960="F-30",3,IF(L960="F-60",4,IF(L960="F-90",5,IF(L960="F-120",6,0))))),0),0)</f>
        <v>0</v>
      </c>
      <c r="Q960" s="46">
        <f t="shared" si="94"/>
        <v>0</v>
      </c>
      <c r="R960" s="46">
        <f t="shared" si="95"/>
        <v>0</v>
      </c>
      <c r="S960" s="46" t="e">
        <f t="shared" si="96"/>
        <v>#VALUE!</v>
      </c>
      <c r="T960" s="677">
        <f t="shared" si="97"/>
        <v>0</v>
      </c>
      <c r="U960" s="80">
        <f>(IF(O960="Stofire",(S960*#REF!),0))+(IF(O960="Fire Control",(S960*$U$2),0))+(IF(O960="Fire Tex",(S960*$U$3),0))+(IF(O960="WB7",(S960*#REF!),0)+(IF(O960="FX 2003",(S960*$U$5),0)))</f>
        <v>0</v>
      </c>
      <c r="V960" s="651">
        <f t="shared" si="98"/>
        <v>0</v>
      </c>
    </row>
    <row r="961" spans="4:22" x14ac:dyDescent="0.25">
      <c r="D961" s="118">
        <f>+CUBICACION!D960</f>
        <v>0</v>
      </c>
      <c r="E961" s="118">
        <f>+CUBICACION!F960</f>
        <v>0</v>
      </c>
      <c r="F961" s="118">
        <f>+CUBICACION!E960</f>
        <v>0</v>
      </c>
      <c r="G961" s="118">
        <v>12</v>
      </c>
      <c r="H961" s="118">
        <v>2</v>
      </c>
      <c r="I961" s="820">
        <v>26385</v>
      </c>
      <c r="J961" s="118">
        <f>+CUBICACION!J960</f>
        <v>0</v>
      </c>
      <c r="K961" s="118">
        <v>3740</v>
      </c>
      <c r="L961" s="118">
        <f>+CUBICACION!L960</f>
        <v>0</v>
      </c>
      <c r="M961" s="64">
        <f>+CUBICACION!M960</f>
        <v>0</v>
      </c>
      <c r="N961" s="824" t="str">
        <f>+CUBICACION!N960</f>
        <v/>
      </c>
      <c r="O961" s="675">
        <f>+CUBICACION!O960</f>
        <v>0</v>
      </c>
      <c r="P961" s="15">
        <f>IF(O961="Fire Control",VLOOKUP(_xlfn.MINIFS('FIRE CONTROL'!$C$4:$C$37,'FIRE CONTROL'!$C$4:$C$37,"&gt;="&amp;M961),'FIRE CONTROL'!$C$4:$G$37,IF(L961="F-15",2,IF(L961="F-30",3,IF(L961="F-60",4,IF(L961="F-90",5,0)))),0),0)+IF(AND(O961="FIRE TEX 5062",OR(E961="IN",E961="C",E961="Z",E961="L"),J961=3),VLOOKUP(_xlfn.MINIFS('FIRE TEX 5062'!$B$4:$B$34,'FIRE TEX 5062'!$B$4:$B$34,"&gt;="&amp;M961),'FIRE TEX 5062'!$B$4:$F$34,IF(L961="F-15",2,IF(L961="F-30",3,IF(L961="F-60",4,IF(L961="F-90",5,0)))),0),0)+IF(AND(O961="FIRE TEX 5062",OR(E961="IN",E961="C",E961="Z",E961="L"),J961=4),VLOOKUP(_xlfn.MINIFS('FIRE TEX 5062'!$G$4:$G$34,'FIRE TEX 5062'!$G$4:$G$34,"&gt;="&amp;M961),'FIRE TEX 5062'!$G$4:$K$34,IF(L961="F-15",2,IF(L961="F-30",3,IF(L961="F-60",4,IF(L961="F-90",5,0)))),0),0)+IF(AND(O961="FIRE TEX 5062",E961="CJ",J961=3),VLOOKUP(_xlfn.MINIFS('FIRE TEX 5062'!$L$4:$L$34,'FIRE TEX 5062'!$L$4:$L$34,"&gt;="&amp;M961),'FIRE TEX 5062'!$L$4:$P$34,IF(L961="F-15",2,IF(L961="F-30",3,IF(L961="F-60",4,IF(L961="F-90",5,0)))),0),0)+IF(AND(O961="FIRE TEX 5062",E961="CJ",J961=4),VLOOKUP(_xlfn.MINIFS('FIRE TEX 5062'!$Q$3:$Q$34,'FIRE TEX 5062'!$Q$3:$Q$34,"&gt;="&amp;M961),'FIRE TEX 5062'!$Q$3:$U$34,IF(L961="F-15",2,IF(L961="F-30",3,IF(L961="F-60",4,IF(L961="F-90",5,0)))),0),0)+IF(AND(O961="FIRE TEX 5090",OR(E961="IN",E961="C",E961="Z",E961="L"),J961=3),VLOOKUP(_xlfn.MINIFS('FIRE TEX 5090'!$B$5:$B$43,'FIRE TEX 5090'!$B$5:$B$43,"&gt;="&amp;M961),'FIRE TEX 5090'!$B$5:$H$43,IF(L961="F-15",2,IF(L961="F-30",3,IF(L961="F-60",4,IF(L961="F-90",5,IF(L961="F-120",6,IF(L961="F-150",7,0)))))),0),0)+IF(AND(O961="FIRE TEX 5090",OR(E961="IN",E961="C",E961="Z",E961="L"),J961=4),VLOOKUP(_xlfn.MINIFS('FIRE TEX 5090'!$J$5:$J$43,'FIRE TEX 5090'!$J$5:$J$43,"&gt;="&amp;M961),'FIRE TEX 5090'!$J$5:$P$43,IF(L961="F-15",2,IF(L961="F-30",3,IF(L961="F-60",4,IF(L961="F-90",5,IF(L961="F-120",6,IF(L961="F-150",7,0)))))),0),0)+IF(AND(O961="FIRE TEX 5090",E961="CJ",J961=3),VLOOKUP(_xlfn.MINIFS('FIRE TEX 5090'!$R$5:$R$30,'FIRE TEX 5090'!$R$5:$R$30,"&gt;="&amp;M961),'FIRE TEX 5090'!$R$5:$W$30,IF(L961="F-15",2,IF(L961="F-30",3,IF(L961="F-60",4,IF(L961="F-90",5,IF(L961="F-120",6,IF(L961="F-150",7,0)))))),0),0)+IF(AND(O961="FIRE TEX 5090",E961="CJ",J961=4),VLOOKUP(_xlfn.MINIFS('FIRE TEX 5090'!$Y$5:$Y$39,'FIRE TEX 5090'!$Y$5:$Y$39,"&gt;="&amp;M961),'FIRE TEX 5090'!$Y$5:$AD$39,IF(L961="F-15",2,IF(L961="F-30",3,IF(L961="F-60",4,IF(L961="F-90",5,IF(L961="F-120",6,IF(L961="F-150",7,0)))))),0),0)+IF(AND(O961="FIRE TEX 5120",OR(E961="IN",E961="C",E961="Z",E961="L"),J961=3),VLOOKUP(_xlfn.MINIFS('FIRE TEX 5120'!$B$5:$B$40,'FIRE TEX 5120'!$B$5:$B$40,"&gt;="&amp;M961),'FIRE TEX 5120'!$B$5:$G$40,IF(L961="F-15",2,IF(L961="F-30",3,IF(L961="F-60",4,IF(L961="F-90",5,IF(L961="F-120",6,0))))),0),0)+IF(AND(O961="FIRE TEX 5120",OR(E961="IN",E961="C",E961="Z",E961="L"),J961=4),VLOOKUP(_xlfn.MINIFS('FIRE TEX 5120'!$H$4:$H$40,'FIRE TEX 5120'!$H$4:$H$40,"&gt;="&amp;M961),'FIRE TEX 5120'!$H$4:$M$40,IF(L961="F-15",2,IF(L961="F-30",3,IF(L961="F-60",4,IF(L961="F-90",5,IF(L961="F-120",6,0))))),0),0)+IF(AND(O961="FIRE TEX 5120",E961="CJ"),VLOOKUP(_xlfn.MINIFS('FIRE TEX 5120'!$O$5:$O$40,'FIRE TEX 5120'!$O$5:$O$40,"&gt;="&amp;M961),'FIRE TEX 5120'!$O$5:$T$40,IF(L961="F-15",2,IF(L961="F-30",3,IF(L961="F-60",4,IF(L961="F-90",5,IF(L961="F-120",6,0))))),0),0)</f>
        <v>0</v>
      </c>
      <c r="Q961" s="46">
        <f t="shared" si="94"/>
        <v>0</v>
      </c>
      <c r="R961" s="46">
        <f t="shared" si="95"/>
        <v>0</v>
      </c>
      <c r="S961" s="46" t="e">
        <f t="shared" si="96"/>
        <v>#VALUE!</v>
      </c>
      <c r="T961" s="677">
        <f t="shared" si="97"/>
        <v>0</v>
      </c>
      <c r="U961" s="80">
        <f>(IF(O961="Stofire",(S961*#REF!),0))+(IF(O961="Fire Control",(S961*$U$2),0))+(IF(O961="Fire Tex",(S961*$U$3),0))+(IF(O961="WB7",(S961*#REF!),0)+(IF(O961="FX 2003",(S961*$U$5),0)))</f>
        <v>0</v>
      </c>
      <c r="V961" s="651">
        <f t="shared" si="98"/>
        <v>0</v>
      </c>
    </row>
    <row r="962" spans="4:22" x14ac:dyDescent="0.25">
      <c r="D962" s="118">
        <f>+CUBICACION!D961</f>
        <v>0</v>
      </c>
      <c r="E962" s="118">
        <f>+CUBICACION!F961</f>
        <v>0</v>
      </c>
      <c r="F962" s="118">
        <f>+CUBICACION!E961</f>
        <v>0</v>
      </c>
      <c r="G962" s="118">
        <v>12</v>
      </c>
      <c r="H962" s="118">
        <v>2</v>
      </c>
      <c r="I962" s="820">
        <v>26385</v>
      </c>
      <c r="J962" s="118">
        <f>+CUBICACION!J961</f>
        <v>0</v>
      </c>
      <c r="K962" s="118">
        <v>3741</v>
      </c>
      <c r="L962" s="118">
        <f>+CUBICACION!L961</f>
        <v>0</v>
      </c>
      <c r="M962" s="64">
        <f>+CUBICACION!M961</f>
        <v>0</v>
      </c>
      <c r="N962" s="824" t="str">
        <f>+CUBICACION!N961</f>
        <v/>
      </c>
      <c r="O962" s="675">
        <f>+CUBICACION!O961</f>
        <v>0</v>
      </c>
      <c r="P962" s="15">
        <f>IF(O962="Fire Control",VLOOKUP(_xlfn.MINIFS('FIRE CONTROL'!$C$4:$C$37,'FIRE CONTROL'!$C$4:$C$37,"&gt;="&amp;M962),'FIRE CONTROL'!$C$4:$G$37,IF(L962="F-15",2,IF(L962="F-30",3,IF(L962="F-60",4,IF(L962="F-90",5,0)))),0),0)+IF(AND(O962="FIRE TEX 5062",OR(E962="IN",E962="C",E962="Z",E962="L"),J962=3),VLOOKUP(_xlfn.MINIFS('FIRE TEX 5062'!$B$4:$B$34,'FIRE TEX 5062'!$B$4:$B$34,"&gt;="&amp;M962),'FIRE TEX 5062'!$B$4:$F$34,IF(L962="F-15",2,IF(L962="F-30",3,IF(L962="F-60",4,IF(L962="F-90",5,0)))),0),0)+IF(AND(O962="FIRE TEX 5062",OR(E962="IN",E962="C",E962="Z",E962="L"),J962=4),VLOOKUP(_xlfn.MINIFS('FIRE TEX 5062'!$G$4:$G$34,'FIRE TEX 5062'!$G$4:$G$34,"&gt;="&amp;M962),'FIRE TEX 5062'!$G$4:$K$34,IF(L962="F-15",2,IF(L962="F-30",3,IF(L962="F-60",4,IF(L962="F-90",5,0)))),0),0)+IF(AND(O962="FIRE TEX 5062",E962="CJ",J962=3),VLOOKUP(_xlfn.MINIFS('FIRE TEX 5062'!$L$4:$L$34,'FIRE TEX 5062'!$L$4:$L$34,"&gt;="&amp;M962),'FIRE TEX 5062'!$L$4:$P$34,IF(L962="F-15",2,IF(L962="F-30",3,IF(L962="F-60",4,IF(L962="F-90",5,0)))),0),0)+IF(AND(O962="FIRE TEX 5062",E962="CJ",J962=4),VLOOKUP(_xlfn.MINIFS('FIRE TEX 5062'!$Q$3:$Q$34,'FIRE TEX 5062'!$Q$3:$Q$34,"&gt;="&amp;M962),'FIRE TEX 5062'!$Q$3:$U$34,IF(L962="F-15",2,IF(L962="F-30",3,IF(L962="F-60",4,IF(L962="F-90",5,0)))),0),0)+IF(AND(O962="FIRE TEX 5090",OR(E962="IN",E962="C",E962="Z",E962="L"),J962=3),VLOOKUP(_xlfn.MINIFS('FIRE TEX 5090'!$B$5:$B$43,'FIRE TEX 5090'!$B$5:$B$43,"&gt;="&amp;M962),'FIRE TEX 5090'!$B$5:$H$43,IF(L962="F-15",2,IF(L962="F-30",3,IF(L962="F-60",4,IF(L962="F-90",5,IF(L962="F-120",6,IF(L962="F-150",7,0)))))),0),0)+IF(AND(O962="FIRE TEX 5090",OR(E962="IN",E962="C",E962="Z",E962="L"),J962=4),VLOOKUP(_xlfn.MINIFS('FIRE TEX 5090'!$J$5:$J$43,'FIRE TEX 5090'!$J$5:$J$43,"&gt;="&amp;M962),'FIRE TEX 5090'!$J$5:$P$43,IF(L962="F-15",2,IF(L962="F-30",3,IF(L962="F-60",4,IF(L962="F-90",5,IF(L962="F-120",6,IF(L962="F-150",7,0)))))),0),0)+IF(AND(O962="FIRE TEX 5090",E962="CJ",J962=3),VLOOKUP(_xlfn.MINIFS('FIRE TEX 5090'!$R$5:$R$30,'FIRE TEX 5090'!$R$5:$R$30,"&gt;="&amp;M962),'FIRE TEX 5090'!$R$5:$W$30,IF(L962="F-15",2,IF(L962="F-30",3,IF(L962="F-60",4,IF(L962="F-90",5,IF(L962="F-120",6,IF(L962="F-150",7,0)))))),0),0)+IF(AND(O962="FIRE TEX 5090",E962="CJ",J962=4),VLOOKUP(_xlfn.MINIFS('FIRE TEX 5090'!$Y$5:$Y$39,'FIRE TEX 5090'!$Y$5:$Y$39,"&gt;="&amp;M962),'FIRE TEX 5090'!$Y$5:$AD$39,IF(L962="F-15",2,IF(L962="F-30",3,IF(L962="F-60",4,IF(L962="F-90",5,IF(L962="F-120",6,IF(L962="F-150",7,0)))))),0),0)+IF(AND(O962="FIRE TEX 5120",OR(E962="IN",E962="C",E962="Z",E962="L"),J962=3),VLOOKUP(_xlfn.MINIFS('FIRE TEX 5120'!$B$5:$B$40,'FIRE TEX 5120'!$B$5:$B$40,"&gt;="&amp;M962),'FIRE TEX 5120'!$B$5:$G$40,IF(L962="F-15",2,IF(L962="F-30",3,IF(L962="F-60",4,IF(L962="F-90",5,IF(L962="F-120",6,0))))),0),0)+IF(AND(O962="FIRE TEX 5120",OR(E962="IN",E962="C",E962="Z",E962="L"),J962=4),VLOOKUP(_xlfn.MINIFS('FIRE TEX 5120'!$H$4:$H$40,'FIRE TEX 5120'!$H$4:$H$40,"&gt;="&amp;M962),'FIRE TEX 5120'!$H$4:$M$40,IF(L962="F-15",2,IF(L962="F-30",3,IF(L962="F-60",4,IF(L962="F-90",5,IF(L962="F-120",6,0))))),0),0)+IF(AND(O962="FIRE TEX 5120",E962="CJ"),VLOOKUP(_xlfn.MINIFS('FIRE TEX 5120'!$O$5:$O$40,'FIRE TEX 5120'!$O$5:$O$40,"&gt;="&amp;M962),'FIRE TEX 5120'!$O$5:$T$40,IF(L962="F-15",2,IF(L962="F-30",3,IF(L962="F-60",4,IF(L962="F-90",5,IF(L962="F-120",6,0))))),0),0)</f>
        <v>0</v>
      </c>
      <c r="Q962" s="46">
        <f t="shared" si="94"/>
        <v>0</v>
      </c>
      <c r="R962" s="46">
        <f t="shared" si="95"/>
        <v>0</v>
      </c>
      <c r="S962" s="46" t="e">
        <f t="shared" si="96"/>
        <v>#VALUE!</v>
      </c>
      <c r="T962" s="677">
        <f t="shared" si="97"/>
        <v>0</v>
      </c>
      <c r="U962" s="80">
        <f>(IF(O962="Stofire",(S962*#REF!),0))+(IF(O962="Fire Control",(S962*$U$2),0))+(IF(O962="Fire Tex",(S962*$U$3),0))+(IF(O962="WB7",(S962*#REF!),0)+(IF(O962="FX 2003",(S962*$U$5),0)))</f>
        <v>0</v>
      </c>
      <c r="V962" s="651">
        <f t="shared" si="98"/>
        <v>0</v>
      </c>
    </row>
    <row r="963" spans="4:22" x14ac:dyDescent="0.25">
      <c r="D963" s="118">
        <f>+CUBICACION!D962</f>
        <v>0</v>
      </c>
      <c r="E963" s="118">
        <f>+CUBICACION!F962</f>
        <v>0</v>
      </c>
      <c r="F963" s="118">
        <f>+CUBICACION!E962</f>
        <v>0</v>
      </c>
      <c r="G963" s="118">
        <v>12</v>
      </c>
      <c r="H963" s="118">
        <v>2</v>
      </c>
      <c r="I963" s="820">
        <v>26385</v>
      </c>
      <c r="J963" s="118">
        <f>+CUBICACION!J962</f>
        <v>0</v>
      </c>
      <c r="K963" s="118">
        <v>3742</v>
      </c>
      <c r="L963" s="118">
        <f>+CUBICACION!L962</f>
        <v>0</v>
      </c>
      <c r="M963" s="64">
        <f>+CUBICACION!M962</f>
        <v>0</v>
      </c>
      <c r="N963" s="824" t="str">
        <f>+CUBICACION!N962</f>
        <v/>
      </c>
      <c r="O963" s="675">
        <f>+CUBICACION!O962</f>
        <v>0</v>
      </c>
      <c r="P963" s="15">
        <f>IF(O963="Fire Control",VLOOKUP(_xlfn.MINIFS('FIRE CONTROL'!$C$4:$C$37,'FIRE CONTROL'!$C$4:$C$37,"&gt;="&amp;M963),'FIRE CONTROL'!$C$4:$G$37,IF(L963="F-15",2,IF(L963="F-30",3,IF(L963="F-60",4,IF(L963="F-90",5,0)))),0),0)+IF(AND(O963="FIRE TEX 5062",OR(E963="IN",E963="C",E963="Z",E963="L"),J963=3),VLOOKUP(_xlfn.MINIFS('FIRE TEX 5062'!$B$4:$B$34,'FIRE TEX 5062'!$B$4:$B$34,"&gt;="&amp;M963),'FIRE TEX 5062'!$B$4:$F$34,IF(L963="F-15",2,IF(L963="F-30",3,IF(L963="F-60",4,IF(L963="F-90",5,0)))),0),0)+IF(AND(O963="FIRE TEX 5062",OR(E963="IN",E963="C",E963="Z",E963="L"),J963=4),VLOOKUP(_xlfn.MINIFS('FIRE TEX 5062'!$G$4:$G$34,'FIRE TEX 5062'!$G$4:$G$34,"&gt;="&amp;M963),'FIRE TEX 5062'!$G$4:$K$34,IF(L963="F-15",2,IF(L963="F-30",3,IF(L963="F-60",4,IF(L963="F-90",5,0)))),0),0)+IF(AND(O963="FIRE TEX 5062",E963="CJ",J963=3),VLOOKUP(_xlfn.MINIFS('FIRE TEX 5062'!$L$4:$L$34,'FIRE TEX 5062'!$L$4:$L$34,"&gt;="&amp;M963),'FIRE TEX 5062'!$L$4:$P$34,IF(L963="F-15",2,IF(L963="F-30",3,IF(L963="F-60",4,IF(L963="F-90",5,0)))),0),0)+IF(AND(O963="FIRE TEX 5062",E963="CJ",J963=4),VLOOKUP(_xlfn.MINIFS('FIRE TEX 5062'!$Q$3:$Q$34,'FIRE TEX 5062'!$Q$3:$Q$34,"&gt;="&amp;M963),'FIRE TEX 5062'!$Q$3:$U$34,IF(L963="F-15",2,IF(L963="F-30",3,IF(L963="F-60",4,IF(L963="F-90",5,0)))),0),0)+IF(AND(O963="FIRE TEX 5090",OR(E963="IN",E963="C",E963="Z",E963="L"),J963=3),VLOOKUP(_xlfn.MINIFS('FIRE TEX 5090'!$B$5:$B$43,'FIRE TEX 5090'!$B$5:$B$43,"&gt;="&amp;M963),'FIRE TEX 5090'!$B$5:$H$43,IF(L963="F-15",2,IF(L963="F-30",3,IF(L963="F-60",4,IF(L963="F-90",5,IF(L963="F-120",6,IF(L963="F-150",7,0)))))),0),0)+IF(AND(O963="FIRE TEX 5090",OR(E963="IN",E963="C",E963="Z",E963="L"),J963=4),VLOOKUP(_xlfn.MINIFS('FIRE TEX 5090'!$J$5:$J$43,'FIRE TEX 5090'!$J$5:$J$43,"&gt;="&amp;M963),'FIRE TEX 5090'!$J$5:$P$43,IF(L963="F-15",2,IF(L963="F-30",3,IF(L963="F-60",4,IF(L963="F-90",5,IF(L963="F-120",6,IF(L963="F-150",7,0)))))),0),0)+IF(AND(O963="FIRE TEX 5090",E963="CJ",J963=3),VLOOKUP(_xlfn.MINIFS('FIRE TEX 5090'!$R$5:$R$30,'FIRE TEX 5090'!$R$5:$R$30,"&gt;="&amp;M963),'FIRE TEX 5090'!$R$5:$W$30,IF(L963="F-15",2,IF(L963="F-30",3,IF(L963="F-60",4,IF(L963="F-90",5,IF(L963="F-120",6,IF(L963="F-150",7,0)))))),0),0)+IF(AND(O963="FIRE TEX 5090",E963="CJ",J963=4),VLOOKUP(_xlfn.MINIFS('FIRE TEX 5090'!$Y$5:$Y$39,'FIRE TEX 5090'!$Y$5:$Y$39,"&gt;="&amp;M963),'FIRE TEX 5090'!$Y$5:$AD$39,IF(L963="F-15",2,IF(L963="F-30",3,IF(L963="F-60",4,IF(L963="F-90",5,IF(L963="F-120",6,IF(L963="F-150",7,0)))))),0),0)+IF(AND(O963="FIRE TEX 5120",OR(E963="IN",E963="C",E963="Z",E963="L"),J963=3),VLOOKUP(_xlfn.MINIFS('FIRE TEX 5120'!$B$5:$B$40,'FIRE TEX 5120'!$B$5:$B$40,"&gt;="&amp;M963),'FIRE TEX 5120'!$B$5:$G$40,IF(L963="F-15",2,IF(L963="F-30",3,IF(L963="F-60",4,IF(L963="F-90",5,IF(L963="F-120",6,0))))),0),0)+IF(AND(O963="FIRE TEX 5120",OR(E963="IN",E963="C",E963="Z",E963="L"),J963=4),VLOOKUP(_xlfn.MINIFS('FIRE TEX 5120'!$H$4:$H$40,'FIRE TEX 5120'!$H$4:$H$40,"&gt;="&amp;M963),'FIRE TEX 5120'!$H$4:$M$40,IF(L963="F-15",2,IF(L963="F-30",3,IF(L963="F-60",4,IF(L963="F-90",5,IF(L963="F-120",6,0))))),0),0)+IF(AND(O963="FIRE TEX 5120",E963="CJ"),VLOOKUP(_xlfn.MINIFS('FIRE TEX 5120'!$O$5:$O$40,'FIRE TEX 5120'!$O$5:$O$40,"&gt;="&amp;M963),'FIRE TEX 5120'!$O$5:$T$40,IF(L963="F-15",2,IF(L963="F-30",3,IF(L963="F-60",4,IF(L963="F-90",5,IF(L963="F-120",6,0))))),0),0)</f>
        <v>0</v>
      </c>
      <c r="Q963" s="46">
        <f t="shared" si="94"/>
        <v>0</v>
      </c>
      <c r="R963" s="46">
        <f t="shared" si="95"/>
        <v>0</v>
      </c>
      <c r="S963" s="46" t="e">
        <f t="shared" si="96"/>
        <v>#VALUE!</v>
      </c>
      <c r="T963" s="677">
        <f t="shared" si="97"/>
        <v>0</v>
      </c>
      <c r="U963" s="80">
        <f>(IF(O963="Stofire",(S963*#REF!),0))+(IF(O963="Fire Control",(S963*$U$2),0))+(IF(O963="Fire Tex",(S963*$U$3),0))+(IF(O963="WB7",(S963*#REF!),0)+(IF(O963="FX 2003",(S963*$U$5),0)))</f>
        <v>0</v>
      </c>
      <c r="V963" s="651">
        <f t="shared" si="98"/>
        <v>0</v>
      </c>
    </row>
    <row r="964" spans="4:22" x14ac:dyDescent="0.25">
      <c r="D964" s="118">
        <f>+CUBICACION!D963</f>
        <v>0</v>
      </c>
      <c r="E964" s="118">
        <f>+CUBICACION!F963</f>
        <v>0</v>
      </c>
      <c r="F964" s="118">
        <f>+CUBICACION!E963</f>
        <v>0</v>
      </c>
      <c r="G964" s="118">
        <v>12</v>
      </c>
      <c r="H964" s="118">
        <v>2</v>
      </c>
      <c r="I964" s="820">
        <v>26385</v>
      </c>
      <c r="J964" s="118">
        <f>+CUBICACION!J963</f>
        <v>0</v>
      </c>
      <c r="K964" s="118">
        <v>3743</v>
      </c>
      <c r="L964" s="118">
        <f>+CUBICACION!L963</f>
        <v>0</v>
      </c>
      <c r="M964" s="64">
        <f>+CUBICACION!M963</f>
        <v>0</v>
      </c>
      <c r="N964" s="824" t="str">
        <f>+CUBICACION!N963</f>
        <v/>
      </c>
      <c r="O964" s="675">
        <f>+CUBICACION!O963</f>
        <v>0</v>
      </c>
      <c r="P964" s="15">
        <f>IF(O964="Fire Control",VLOOKUP(_xlfn.MINIFS('FIRE CONTROL'!$C$4:$C$37,'FIRE CONTROL'!$C$4:$C$37,"&gt;="&amp;M964),'FIRE CONTROL'!$C$4:$G$37,IF(L964="F-15",2,IF(L964="F-30",3,IF(L964="F-60",4,IF(L964="F-90",5,0)))),0),0)+IF(AND(O964="FIRE TEX 5062",OR(E964="IN",E964="C",E964="Z",E964="L"),J964=3),VLOOKUP(_xlfn.MINIFS('FIRE TEX 5062'!$B$4:$B$34,'FIRE TEX 5062'!$B$4:$B$34,"&gt;="&amp;M964),'FIRE TEX 5062'!$B$4:$F$34,IF(L964="F-15",2,IF(L964="F-30",3,IF(L964="F-60",4,IF(L964="F-90",5,0)))),0),0)+IF(AND(O964="FIRE TEX 5062",OR(E964="IN",E964="C",E964="Z",E964="L"),J964=4),VLOOKUP(_xlfn.MINIFS('FIRE TEX 5062'!$G$4:$G$34,'FIRE TEX 5062'!$G$4:$G$34,"&gt;="&amp;M964),'FIRE TEX 5062'!$G$4:$K$34,IF(L964="F-15",2,IF(L964="F-30",3,IF(L964="F-60",4,IF(L964="F-90",5,0)))),0),0)+IF(AND(O964="FIRE TEX 5062",E964="CJ",J964=3),VLOOKUP(_xlfn.MINIFS('FIRE TEX 5062'!$L$4:$L$34,'FIRE TEX 5062'!$L$4:$L$34,"&gt;="&amp;M964),'FIRE TEX 5062'!$L$4:$P$34,IF(L964="F-15",2,IF(L964="F-30",3,IF(L964="F-60",4,IF(L964="F-90",5,0)))),0),0)+IF(AND(O964="FIRE TEX 5062",E964="CJ",J964=4),VLOOKUP(_xlfn.MINIFS('FIRE TEX 5062'!$Q$3:$Q$34,'FIRE TEX 5062'!$Q$3:$Q$34,"&gt;="&amp;M964),'FIRE TEX 5062'!$Q$3:$U$34,IF(L964="F-15",2,IF(L964="F-30",3,IF(L964="F-60",4,IF(L964="F-90",5,0)))),0),0)+IF(AND(O964="FIRE TEX 5090",OR(E964="IN",E964="C",E964="Z",E964="L"),J964=3),VLOOKUP(_xlfn.MINIFS('FIRE TEX 5090'!$B$5:$B$43,'FIRE TEX 5090'!$B$5:$B$43,"&gt;="&amp;M964),'FIRE TEX 5090'!$B$5:$H$43,IF(L964="F-15",2,IF(L964="F-30",3,IF(L964="F-60",4,IF(L964="F-90",5,IF(L964="F-120",6,IF(L964="F-150",7,0)))))),0),0)+IF(AND(O964="FIRE TEX 5090",OR(E964="IN",E964="C",E964="Z",E964="L"),J964=4),VLOOKUP(_xlfn.MINIFS('FIRE TEX 5090'!$J$5:$J$43,'FIRE TEX 5090'!$J$5:$J$43,"&gt;="&amp;M964),'FIRE TEX 5090'!$J$5:$P$43,IF(L964="F-15",2,IF(L964="F-30",3,IF(L964="F-60",4,IF(L964="F-90",5,IF(L964="F-120",6,IF(L964="F-150",7,0)))))),0),0)+IF(AND(O964="FIRE TEX 5090",E964="CJ",J964=3),VLOOKUP(_xlfn.MINIFS('FIRE TEX 5090'!$R$5:$R$30,'FIRE TEX 5090'!$R$5:$R$30,"&gt;="&amp;M964),'FIRE TEX 5090'!$R$5:$W$30,IF(L964="F-15",2,IF(L964="F-30",3,IF(L964="F-60",4,IF(L964="F-90",5,IF(L964="F-120",6,IF(L964="F-150",7,0)))))),0),0)+IF(AND(O964="FIRE TEX 5090",E964="CJ",J964=4),VLOOKUP(_xlfn.MINIFS('FIRE TEX 5090'!$Y$5:$Y$39,'FIRE TEX 5090'!$Y$5:$Y$39,"&gt;="&amp;M964),'FIRE TEX 5090'!$Y$5:$AD$39,IF(L964="F-15",2,IF(L964="F-30",3,IF(L964="F-60",4,IF(L964="F-90",5,IF(L964="F-120",6,IF(L964="F-150",7,0)))))),0),0)+IF(AND(O964="FIRE TEX 5120",OR(E964="IN",E964="C",E964="Z",E964="L"),J964=3),VLOOKUP(_xlfn.MINIFS('FIRE TEX 5120'!$B$5:$B$40,'FIRE TEX 5120'!$B$5:$B$40,"&gt;="&amp;M964),'FIRE TEX 5120'!$B$5:$G$40,IF(L964="F-15",2,IF(L964="F-30",3,IF(L964="F-60",4,IF(L964="F-90",5,IF(L964="F-120",6,0))))),0),0)+IF(AND(O964="FIRE TEX 5120",OR(E964="IN",E964="C",E964="Z",E964="L"),J964=4),VLOOKUP(_xlfn.MINIFS('FIRE TEX 5120'!$H$4:$H$40,'FIRE TEX 5120'!$H$4:$H$40,"&gt;="&amp;M964),'FIRE TEX 5120'!$H$4:$M$40,IF(L964="F-15",2,IF(L964="F-30",3,IF(L964="F-60",4,IF(L964="F-90",5,IF(L964="F-120",6,0))))),0),0)+IF(AND(O964="FIRE TEX 5120",E964="CJ"),VLOOKUP(_xlfn.MINIFS('FIRE TEX 5120'!$O$5:$O$40,'FIRE TEX 5120'!$O$5:$O$40,"&gt;="&amp;M964),'FIRE TEX 5120'!$O$5:$T$40,IF(L964="F-15",2,IF(L964="F-30",3,IF(L964="F-60",4,IF(L964="F-90",5,IF(L964="F-120",6,0))))),0),0)</f>
        <v>0</v>
      </c>
      <c r="Q964" s="46">
        <f t="shared" si="94"/>
        <v>0</v>
      </c>
      <c r="R964" s="46">
        <f t="shared" si="95"/>
        <v>0</v>
      </c>
      <c r="S964" s="46" t="e">
        <f t="shared" si="96"/>
        <v>#VALUE!</v>
      </c>
      <c r="T964" s="677">
        <f t="shared" si="97"/>
        <v>0</v>
      </c>
      <c r="U964" s="80">
        <f>(IF(O964="Stofire",(S964*#REF!),0))+(IF(O964="Fire Control",(S964*$U$2),0))+(IF(O964="Fire Tex",(S964*$U$3),0))+(IF(O964="WB7",(S964*#REF!),0)+(IF(O964="FX 2003",(S964*$U$5),0)))</f>
        <v>0</v>
      </c>
      <c r="V964" s="651">
        <f t="shared" si="98"/>
        <v>0</v>
      </c>
    </row>
    <row r="965" spans="4:22" x14ac:dyDescent="0.25">
      <c r="D965" s="118">
        <f>+CUBICACION!D964</f>
        <v>0</v>
      </c>
      <c r="E965" s="118">
        <f>+CUBICACION!F964</f>
        <v>0</v>
      </c>
      <c r="F965" s="118">
        <f>+CUBICACION!E964</f>
        <v>0</v>
      </c>
      <c r="G965" s="118">
        <v>12</v>
      </c>
      <c r="H965" s="118">
        <v>2</v>
      </c>
      <c r="I965" s="820">
        <v>26385</v>
      </c>
      <c r="J965" s="118">
        <f>+CUBICACION!J964</f>
        <v>0</v>
      </c>
      <c r="K965" s="118">
        <v>3744</v>
      </c>
      <c r="L965" s="118">
        <f>+CUBICACION!L964</f>
        <v>0</v>
      </c>
      <c r="M965" s="64">
        <f>+CUBICACION!M964</f>
        <v>0</v>
      </c>
      <c r="N965" s="824" t="str">
        <f>+CUBICACION!N964</f>
        <v/>
      </c>
      <c r="O965" s="675">
        <f>+CUBICACION!O964</f>
        <v>0</v>
      </c>
      <c r="P965" s="15">
        <f>IF(O965="Fire Control",VLOOKUP(_xlfn.MINIFS('FIRE CONTROL'!$C$4:$C$37,'FIRE CONTROL'!$C$4:$C$37,"&gt;="&amp;M965),'FIRE CONTROL'!$C$4:$G$37,IF(L965="F-15",2,IF(L965="F-30",3,IF(L965="F-60",4,IF(L965="F-90",5,0)))),0),0)+IF(AND(O965="FIRE TEX 5062",OR(E965="IN",E965="C",E965="Z",E965="L"),J965=3),VLOOKUP(_xlfn.MINIFS('FIRE TEX 5062'!$B$4:$B$34,'FIRE TEX 5062'!$B$4:$B$34,"&gt;="&amp;M965),'FIRE TEX 5062'!$B$4:$F$34,IF(L965="F-15",2,IF(L965="F-30",3,IF(L965="F-60",4,IF(L965="F-90",5,0)))),0),0)+IF(AND(O965="FIRE TEX 5062",OR(E965="IN",E965="C",E965="Z",E965="L"),J965=4),VLOOKUP(_xlfn.MINIFS('FIRE TEX 5062'!$G$4:$G$34,'FIRE TEX 5062'!$G$4:$G$34,"&gt;="&amp;M965),'FIRE TEX 5062'!$G$4:$K$34,IF(L965="F-15",2,IF(L965="F-30",3,IF(L965="F-60",4,IF(L965="F-90",5,0)))),0),0)+IF(AND(O965="FIRE TEX 5062",E965="CJ",J965=3),VLOOKUP(_xlfn.MINIFS('FIRE TEX 5062'!$L$4:$L$34,'FIRE TEX 5062'!$L$4:$L$34,"&gt;="&amp;M965),'FIRE TEX 5062'!$L$4:$P$34,IF(L965="F-15",2,IF(L965="F-30",3,IF(L965="F-60",4,IF(L965="F-90",5,0)))),0),0)+IF(AND(O965="FIRE TEX 5062",E965="CJ",J965=4),VLOOKUP(_xlfn.MINIFS('FIRE TEX 5062'!$Q$3:$Q$34,'FIRE TEX 5062'!$Q$3:$Q$34,"&gt;="&amp;M965),'FIRE TEX 5062'!$Q$3:$U$34,IF(L965="F-15",2,IF(L965="F-30",3,IF(L965="F-60",4,IF(L965="F-90",5,0)))),0),0)+IF(AND(O965="FIRE TEX 5090",OR(E965="IN",E965="C",E965="Z",E965="L"),J965=3),VLOOKUP(_xlfn.MINIFS('FIRE TEX 5090'!$B$5:$B$43,'FIRE TEX 5090'!$B$5:$B$43,"&gt;="&amp;M965),'FIRE TEX 5090'!$B$5:$H$43,IF(L965="F-15",2,IF(L965="F-30",3,IF(L965="F-60",4,IF(L965="F-90",5,IF(L965="F-120",6,IF(L965="F-150",7,0)))))),0),0)+IF(AND(O965="FIRE TEX 5090",OR(E965="IN",E965="C",E965="Z",E965="L"),J965=4),VLOOKUP(_xlfn.MINIFS('FIRE TEX 5090'!$J$5:$J$43,'FIRE TEX 5090'!$J$5:$J$43,"&gt;="&amp;M965),'FIRE TEX 5090'!$J$5:$P$43,IF(L965="F-15",2,IF(L965="F-30",3,IF(L965="F-60",4,IF(L965="F-90",5,IF(L965="F-120",6,IF(L965="F-150",7,0)))))),0),0)+IF(AND(O965="FIRE TEX 5090",E965="CJ",J965=3),VLOOKUP(_xlfn.MINIFS('FIRE TEX 5090'!$R$5:$R$30,'FIRE TEX 5090'!$R$5:$R$30,"&gt;="&amp;M965),'FIRE TEX 5090'!$R$5:$W$30,IF(L965="F-15",2,IF(L965="F-30",3,IF(L965="F-60",4,IF(L965="F-90",5,IF(L965="F-120",6,IF(L965="F-150",7,0)))))),0),0)+IF(AND(O965="FIRE TEX 5090",E965="CJ",J965=4),VLOOKUP(_xlfn.MINIFS('FIRE TEX 5090'!$Y$5:$Y$39,'FIRE TEX 5090'!$Y$5:$Y$39,"&gt;="&amp;M965),'FIRE TEX 5090'!$Y$5:$AD$39,IF(L965="F-15",2,IF(L965="F-30",3,IF(L965="F-60",4,IF(L965="F-90",5,IF(L965="F-120",6,IF(L965="F-150",7,0)))))),0),0)+IF(AND(O965="FIRE TEX 5120",OR(E965="IN",E965="C",E965="Z",E965="L"),J965=3),VLOOKUP(_xlfn.MINIFS('FIRE TEX 5120'!$B$5:$B$40,'FIRE TEX 5120'!$B$5:$B$40,"&gt;="&amp;M965),'FIRE TEX 5120'!$B$5:$G$40,IF(L965="F-15",2,IF(L965="F-30",3,IF(L965="F-60",4,IF(L965="F-90",5,IF(L965="F-120",6,0))))),0),0)+IF(AND(O965="FIRE TEX 5120",OR(E965="IN",E965="C",E965="Z",E965="L"),J965=4),VLOOKUP(_xlfn.MINIFS('FIRE TEX 5120'!$H$4:$H$40,'FIRE TEX 5120'!$H$4:$H$40,"&gt;="&amp;M965),'FIRE TEX 5120'!$H$4:$M$40,IF(L965="F-15",2,IF(L965="F-30",3,IF(L965="F-60",4,IF(L965="F-90",5,IF(L965="F-120",6,0))))),0),0)+IF(AND(O965="FIRE TEX 5120",E965="CJ"),VLOOKUP(_xlfn.MINIFS('FIRE TEX 5120'!$O$5:$O$40,'FIRE TEX 5120'!$O$5:$O$40,"&gt;="&amp;M965),'FIRE TEX 5120'!$O$5:$T$40,IF(L965="F-15",2,IF(L965="F-30",3,IF(L965="F-60",4,IF(L965="F-90",5,IF(L965="F-120",6,0))))),0),0)</f>
        <v>0</v>
      </c>
      <c r="Q965" s="46">
        <f t="shared" si="94"/>
        <v>0</v>
      </c>
      <c r="R965" s="46">
        <f t="shared" si="95"/>
        <v>0</v>
      </c>
      <c r="S965" s="46" t="e">
        <f t="shared" si="96"/>
        <v>#VALUE!</v>
      </c>
      <c r="T965" s="677">
        <f t="shared" si="97"/>
        <v>0</v>
      </c>
      <c r="U965" s="80">
        <f>(IF(O965="Stofire",(S965*#REF!),0))+(IF(O965="Fire Control",(S965*$U$2),0))+(IF(O965="Fire Tex",(S965*$U$3),0))+(IF(O965="WB7",(S965*#REF!),0)+(IF(O965="FX 2003",(S965*$U$5),0)))</f>
        <v>0</v>
      </c>
      <c r="V965" s="651">
        <f t="shared" si="98"/>
        <v>0</v>
      </c>
    </row>
    <row r="966" spans="4:22" x14ac:dyDescent="0.25">
      <c r="D966" s="118">
        <f>+CUBICACION!D965</f>
        <v>0</v>
      </c>
      <c r="E966" s="118">
        <f>+CUBICACION!F965</f>
        <v>0</v>
      </c>
      <c r="F966" s="118">
        <f>+CUBICACION!E965</f>
        <v>0</v>
      </c>
      <c r="G966" s="118">
        <v>12</v>
      </c>
      <c r="H966" s="118">
        <v>2</v>
      </c>
      <c r="I966" s="820">
        <v>26385</v>
      </c>
      <c r="J966" s="118">
        <f>+CUBICACION!J965</f>
        <v>0</v>
      </c>
      <c r="K966" s="118">
        <v>3745</v>
      </c>
      <c r="L966" s="118">
        <f>+CUBICACION!L965</f>
        <v>0</v>
      </c>
      <c r="M966" s="64">
        <f>+CUBICACION!M965</f>
        <v>0</v>
      </c>
      <c r="N966" s="824" t="str">
        <f>+CUBICACION!N965</f>
        <v/>
      </c>
      <c r="O966" s="675">
        <f>+CUBICACION!O965</f>
        <v>0</v>
      </c>
      <c r="P966" s="15">
        <f>IF(O966="Fire Control",VLOOKUP(_xlfn.MINIFS('FIRE CONTROL'!$C$4:$C$37,'FIRE CONTROL'!$C$4:$C$37,"&gt;="&amp;M966),'FIRE CONTROL'!$C$4:$G$37,IF(L966="F-15",2,IF(L966="F-30",3,IF(L966="F-60",4,IF(L966="F-90",5,0)))),0),0)+IF(AND(O966="FIRE TEX 5062",OR(E966="IN",E966="C",E966="Z",E966="L"),J966=3),VLOOKUP(_xlfn.MINIFS('FIRE TEX 5062'!$B$4:$B$34,'FIRE TEX 5062'!$B$4:$B$34,"&gt;="&amp;M966),'FIRE TEX 5062'!$B$4:$F$34,IF(L966="F-15",2,IF(L966="F-30",3,IF(L966="F-60",4,IF(L966="F-90",5,0)))),0),0)+IF(AND(O966="FIRE TEX 5062",OR(E966="IN",E966="C",E966="Z",E966="L"),J966=4),VLOOKUP(_xlfn.MINIFS('FIRE TEX 5062'!$G$4:$G$34,'FIRE TEX 5062'!$G$4:$G$34,"&gt;="&amp;M966),'FIRE TEX 5062'!$G$4:$K$34,IF(L966="F-15",2,IF(L966="F-30",3,IF(L966="F-60",4,IF(L966="F-90",5,0)))),0),0)+IF(AND(O966="FIRE TEX 5062",E966="CJ",J966=3),VLOOKUP(_xlfn.MINIFS('FIRE TEX 5062'!$L$4:$L$34,'FIRE TEX 5062'!$L$4:$L$34,"&gt;="&amp;M966),'FIRE TEX 5062'!$L$4:$P$34,IF(L966="F-15",2,IF(L966="F-30",3,IF(L966="F-60",4,IF(L966="F-90",5,0)))),0),0)+IF(AND(O966="FIRE TEX 5062",E966="CJ",J966=4),VLOOKUP(_xlfn.MINIFS('FIRE TEX 5062'!$Q$3:$Q$34,'FIRE TEX 5062'!$Q$3:$Q$34,"&gt;="&amp;M966),'FIRE TEX 5062'!$Q$3:$U$34,IF(L966="F-15",2,IF(L966="F-30",3,IF(L966="F-60",4,IF(L966="F-90",5,0)))),0),0)+IF(AND(O966="FIRE TEX 5090",OR(E966="IN",E966="C",E966="Z",E966="L"),J966=3),VLOOKUP(_xlfn.MINIFS('FIRE TEX 5090'!$B$5:$B$43,'FIRE TEX 5090'!$B$5:$B$43,"&gt;="&amp;M966),'FIRE TEX 5090'!$B$5:$H$43,IF(L966="F-15",2,IF(L966="F-30",3,IF(L966="F-60",4,IF(L966="F-90",5,IF(L966="F-120",6,IF(L966="F-150",7,0)))))),0),0)+IF(AND(O966="FIRE TEX 5090",OR(E966="IN",E966="C",E966="Z",E966="L"),J966=4),VLOOKUP(_xlfn.MINIFS('FIRE TEX 5090'!$J$5:$J$43,'FIRE TEX 5090'!$J$5:$J$43,"&gt;="&amp;M966),'FIRE TEX 5090'!$J$5:$P$43,IF(L966="F-15",2,IF(L966="F-30",3,IF(L966="F-60",4,IF(L966="F-90",5,IF(L966="F-120",6,IF(L966="F-150",7,0)))))),0),0)+IF(AND(O966="FIRE TEX 5090",E966="CJ",J966=3),VLOOKUP(_xlfn.MINIFS('FIRE TEX 5090'!$R$5:$R$30,'FIRE TEX 5090'!$R$5:$R$30,"&gt;="&amp;M966),'FIRE TEX 5090'!$R$5:$W$30,IF(L966="F-15",2,IF(L966="F-30",3,IF(L966="F-60",4,IF(L966="F-90",5,IF(L966="F-120",6,IF(L966="F-150",7,0)))))),0),0)+IF(AND(O966="FIRE TEX 5090",E966="CJ",J966=4),VLOOKUP(_xlfn.MINIFS('FIRE TEX 5090'!$Y$5:$Y$39,'FIRE TEX 5090'!$Y$5:$Y$39,"&gt;="&amp;M966),'FIRE TEX 5090'!$Y$5:$AD$39,IF(L966="F-15",2,IF(L966="F-30",3,IF(L966="F-60",4,IF(L966="F-90",5,IF(L966="F-120",6,IF(L966="F-150",7,0)))))),0),0)+IF(AND(O966="FIRE TEX 5120",OR(E966="IN",E966="C",E966="Z",E966="L"),J966=3),VLOOKUP(_xlfn.MINIFS('FIRE TEX 5120'!$B$5:$B$40,'FIRE TEX 5120'!$B$5:$B$40,"&gt;="&amp;M966),'FIRE TEX 5120'!$B$5:$G$40,IF(L966="F-15",2,IF(L966="F-30",3,IF(L966="F-60",4,IF(L966="F-90",5,IF(L966="F-120",6,0))))),0),0)+IF(AND(O966="FIRE TEX 5120",OR(E966="IN",E966="C",E966="Z",E966="L"),J966=4),VLOOKUP(_xlfn.MINIFS('FIRE TEX 5120'!$H$4:$H$40,'FIRE TEX 5120'!$H$4:$H$40,"&gt;="&amp;M966),'FIRE TEX 5120'!$H$4:$M$40,IF(L966="F-15",2,IF(L966="F-30",3,IF(L966="F-60",4,IF(L966="F-90",5,IF(L966="F-120",6,0))))),0),0)+IF(AND(O966="FIRE TEX 5120",E966="CJ"),VLOOKUP(_xlfn.MINIFS('FIRE TEX 5120'!$O$5:$O$40,'FIRE TEX 5120'!$O$5:$O$40,"&gt;="&amp;M966),'FIRE TEX 5120'!$O$5:$T$40,IF(L966="F-15",2,IF(L966="F-30",3,IF(L966="F-60",4,IF(L966="F-90",5,IF(L966="F-120",6,0))))),0),0)</f>
        <v>0</v>
      </c>
      <c r="Q966" s="46">
        <f t="shared" si="94"/>
        <v>0</v>
      </c>
      <c r="R966" s="46">
        <f t="shared" si="95"/>
        <v>0</v>
      </c>
      <c r="S966" s="46" t="e">
        <f t="shared" si="96"/>
        <v>#VALUE!</v>
      </c>
      <c r="T966" s="677">
        <f t="shared" si="97"/>
        <v>0</v>
      </c>
      <c r="U966" s="80">
        <f>(IF(O966="Stofire",(S966*#REF!),0))+(IF(O966="Fire Control",(S966*$U$2),0))+(IF(O966="Fire Tex",(S966*$U$3),0))+(IF(O966="WB7",(S966*#REF!),0)+(IF(O966="FX 2003",(S966*$U$5),0)))</f>
        <v>0</v>
      </c>
      <c r="V966" s="651">
        <f t="shared" si="98"/>
        <v>0</v>
      </c>
    </row>
    <row r="967" spans="4:22" x14ac:dyDescent="0.25">
      <c r="D967" s="118">
        <f>+CUBICACION!D966</f>
        <v>0</v>
      </c>
      <c r="E967" s="118">
        <f>+CUBICACION!F966</f>
        <v>0</v>
      </c>
      <c r="F967" s="118">
        <f>+CUBICACION!E966</f>
        <v>0</v>
      </c>
      <c r="G967" s="118">
        <v>12</v>
      </c>
      <c r="H967" s="118">
        <v>2</v>
      </c>
      <c r="I967" s="820">
        <v>26385</v>
      </c>
      <c r="J967" s="118">
        <f>+CUBICACION!J966</f>
        <v>0</v>
      </c>
      <c r="K967" s="118">
        <v>3746</v>
      </c>
      <c r="L967" s="118">
        <f>+CUBICACION!L966</f>
        <v>0</v>
      </c>
      <c r="M967" s="64">
        <f>+CUBICACION!M966</f>
        <v>0</v>
      </c>
      <c r="N967" s="824" t="str">
        <f>+CUBICACION!N966</f>
        <v/>
      </c>
      <c r="O967" s="675">
        <f>+CUBICACION!O966</f>
        <v>0</v>
      </c>
      <c r="P967" s="15">
        <f>IF(O967="Fire Control",VLOOKUP(_xlfn.MINIFS('FIRE CONTROL'!$C$4:$C$37,'FIRE CONTROL'!$C$4:$C$37,"&gt;="&amp;M967),'FIRE CONTROL'!$C$4:$G$37,IF(L967="F-15",2,IF(L967="F-30",3,IF(L967="F-60",4,IF(L967="F-90",5,0)))),0),0)+IF(AND(O967="FIRE TEX 5062",OR(E967="IN",E967="C",E967="Z",E967="L"),J967=3),VLOOKUP(_xlfn.MINIFS('FIRE TEX 5062'!$B$4:$B$34,'FIRE TEX 5062'!$B$4:$B$34,"&gt;="&amp;M967),'FIRE TEX 5062'!$B$4:$F$34,IF(L967="F-15",2,IF(L967="F-30",3,IF(L967="F-60",4,IF(L967="F-90",5,0)))),0),0)+IF(AND(O967="FIRE TEX 5062",OR(E967="IN",E967="C",E967="Z",E967="L"),J967=4),VLOOKUP(_xlfn.MINIFS('FIRE TEX 5062'!$G$4:$G$34,'FIRE TEX 5062'!$G$4:$G$34,"&gt;="&amp;M967),'FIRE TEX 5062'!$G$4:$K$34,IF(L967="F-15",2,IF(L967="F-30",3,IF(L967="F-60",4,IF(L967="F-90",5,0)))),0),0)+IF(AND(O967="FIRE TEX 5062",E967="CJ",J967=3),VLOOKUP(_xlfn.MINIFS('FIRE TEX 5062'!$L$4:$L$34,'FIRE TEX 5062'!$L$4:$L$34,"&gt;="&amp;M967),'FIRE TEX 5062'!$L$4:$P$34,IF(L967="F-15",2,IF(L967="F-30",3,IF(L967="F-60",4,IF(L967="F-90",5,0)))),0),0)+IF(AND(O967="FIRE TEX 5062",E967="CJ",J967=4),VLOOKUP(_xlfn.MINIFS('FIRE TEX 5062'!$Q$3:$Q$34,'FIRE TEX 5062'!$Q$3:$Q$34,"&gt;="&amp;M967),'FIRE TEX 5062'!$Q$3:$U$34,IF(L967="F-15",2,IF(L967="F-30",3,IF(L967="F-60",4,IF(L967="F-90",5,0)))),0),0)+IF(AND(O967="FIRE TEX 5090",OR(E967="IN",E967="C",E967="Z",E967="L"),J967=3),VLOOKUP(_xlfn.MINIFS('FIRE TEX 5090'!$B$5:$B$43,'FIRE TEX 5090'!$B$5:$B$43,"&gt;="&amp;M967),'FIRE TEX 5090'!$B$5:$H$43,IF(L967="F-15",2,IF(L967="F-30",3,IF(L967="F-60",4,IF(L967="F-90",5,IF(L967="F-120",6,IF(L967="F-150",7,0)))))),0),0)+IF(AND(O967="FIRE TEX 5090",OR(E967="IN",E967="C",E967="Z",E967="L"),J967=4),VLOOKUP(_xlfn.MINIFS('FIRE TEX 5090'!$J$5:$J$43,'FIRE TEX 5090'!$J$5:$J$43,"&gt;="&amp;M967),'FIRE TEX 5090'!$J$5:$P$43,IF(L967="F-15",2,IF(L967="F-30",3,IF(L967="F-60",4,IF(L967="F-90",5,IF(L967="F-120",6,IF(L967="F-150",7,0)))))),0),0)+IF(AND(O967="FIRE TEX 5090",E967="CJ",J967=3),VLOOKUP(_xlfn.MINIFS('FIRE TEX 5090'!$R$5:$R$30,'FIRE TEX 5090'!$R$5:$R$30,"&gt;="&amp;M967),'FIRE TEX 5090'!$R$5:$W$30,IF(L967="F-15",2,IF(L967="F-30",3,IF(L967="F-60",4,IF(L967="F-90",5,IF(L967="F-120",6,IF(L967="F-150",7,0)))))),0),0)+IF(AND(O967="FIRE TEX 5090",E967="CJ",J967=4),VLOOKUP(_xlfn.MINIFS('FIRE TEX 5090'!$Y$5:$Y$39,'FIRE TEX 5090'!$Y$5:$Y$39,"&gt;="&amp;M967),'FIRE TEX 5090'!$Y$5:$AD$39,IF(L967="F-15",2,IF(L967="F-30",3,IF(L967="F-60",4,IF(L967="F-90",5,IF(L967="F-120",6,IF(L967="F-150",7,0)))))),0),0)+IF(AND(O967="FIRE TEX 5120",OR(E967="IN",E967="C",E967="Z",E967="L"),J967=3),VLOOKUP(_xlfn.MINIFS('FIRE TEX 5120'!$B$5:$B$40,'FIRE TEX 5120'!$B$5:$B$40,"&gt;="&amp;M967),'FIRE TEX 5120'!$B$5:$G$40,IF(L967="F-15",2,IF(L967="F-30",3,IF(L967="F-60",4,IF(L967="F-90",5,IF(L967="F-120",6,0))))),0),0)+IF(AND(O967="FIRE TEX 5120",OR(E967="IN",E967="C",E967="Z",E967="L"),J967=4),VLOOKUP(_xlfn.MINIFS('FIRE TEX 5120'!$H$4:$H$40,'FIRE TEX 5120'!$H$4:$H$40,"&gt;="&amp;M967),'FIRE TEX 5120'!$H$4:$M$40,IF(L967="F-15",2,IF(L967="F-30",3,IF(L967="F-60",4,IF(L967="F-90",5,IF(L967="F-120",6,0))))),0),0)+IF(AND(O967="FIRE TEX 5120",E967="CJ"),VLOOKUP(_xlfn.MINIFS('FIRE TEX 5120'!$O$5:$O$40,'FIRE TEX 5120'!$O$5:$O$40,"&gt;="&amp;M967),'FIRE TEX 5120'!$O$5:$T$40,IF(L967="F-15",2,IF(L967="F-30",3,IF(L967="F-60",4,IF(L967="F-90",5,IF(L967="F-120",6,0))))),0),0)</f>
        <v>0</v>
      </c>
      <c r="Q967" s="46">
        <f t="shared" si="94"/>
        <v>0</v>
      </c>
      <c r="R967" s="46">
        <f t="shared" si="95"/>
        <v>0</v>
      </c>
      <c r="S967" s="46" t="e">
        <f t="shared" si="96"/>
        <v>#VALUE!</v>
      </c>
      <c r="T967" s="677">
        <f t="shared" si="97"/>
        <v>0</v>
      </c>
      <c r="U967" s="80">
        <f>(IF(O967="Stofire",(S967*#REF!),0))+(IF(O967="Fire Control",(S967*$U$2),0))+(IF(O967="Fire Tex",(S967*$U$3),0))+(IF(O967="WB7",(S967*#REF!),0)+(IF(O967="FX 2003",(S967*$U$5),0)))</f>
        <v>0</v>
      </c>
      <c r="V967" s="651">
        <f t="shared" si="98"/>
        <v>0</v>
      </c>
    </row>
    <row r="968" spans="4:22" x14ac:dyDescent="0.25">
      <c r="D968" s="118">
        <f>+CUBICACION!D967</f>
        <v>0</v>
      </c>
      <c r="E968" s="118">
        <f>+CUBICACION!F967</f>
        <v>0</v>
      </c>
      <c r="F968" s="118">
        <f>+CUBICACION!E967</f>
        <v>0</v>
      </c>
      <c r="G968" s="118">
        <v>12</v>
      </c>
      <c r="H968" s="118">
        <v>2</v>
      </c>
      <c r="I968" s="820">
        <v>26385</v>
      </c>
      <c r="J968" s="118">
        <f>+CUBICACION!J967</f>
        <v>0</v>
      </c>
      <c r="K968" s="118">
        <v>3747</v>
      </c>
      <c r="L968" s="118">
        <f>+CUBICACION!L967</f>
        <v>0</v>
      </c>
      <c r="M968" s="64">
        <f>+CUBICACION!M967</f>
        <v>0</v>
      </c>
      <c r="N968" s="824" t="str">
        <f>+CUBICACION!N967</f>
        <v/>
      </c>
      <c r="O968" s="675">
        <f>+CUBICACION!O967</f>
        <v>0</v>
      </c>
      <c r="P968" s="15">
        <f>IF(O968="Fire Control",VLOOKUP(_xlfn.MINIFS('FIRE CONTROL'!$C$4:$C$37,'FIRE CONTROL'!$C$4:$C$37,"&gt;="&amp;M968),'FIRE CONTROL'!$C$4:$G$37,IF(L968="F-15",2,IF(L968="F-30",3,IF(L968="F-60",4,IF(L968="F-90",5,0)))),0),0)+IF(AND(O968="FIRE TEX 5062",OR(E968="IN",E968="C",E968="Z",E968="L"),J968=3),VLOOKUP(_xlfn.MINIFS('FIRE TEX 5062'!$B$4:$B$34,'FIRE TEX 5062'!$B$4:$B$34,"&gt;="&amp;M968),'FIRE TEX 5062'!$B$4:$F$34,IF(L968="F-15",2,IF(L968="F-30",3,IF(L968="F-60",4,IF(L968="F-90",5,0)))),0),0)+IF(AND(O968="FIRE TEX 5062",OR(E968="IN",E968="C",E968="Z",E968="L"),J968=4),VLOOKUP(_xlfn.MINIFS('FIRE TEX 5062'!$G$4:$G$34,'FIRE TEX 5062'!$G$4:$G$34,"&gt;="&amp;M968),'FIRE TEX 5062'!$G$4:$K$34,IF(L968="F-15",2,IF(L968="F-30",3,IF(L968="F-60",4,IF(L968="F-90",5,0)))),0),0)+IF(AND(O968="FIRE TEX 5062",E968="CJ",J968=3),VLOOKUP(_xlfn.MINIFS('FIRE TEX 5062'!$L$4:$L$34,'FIRE TEX 5062'!$L$4:$L$34,"&gt;="&amp;M968),'FIRE TEX 5062'!$L$4:$P$34,IF(L968="F-15",2,IF(L968="F-30",3,IF(L968="F-60",4,IF(L968="F-90",5,0)))),0),0)+IF(AND(O968="FIRE TEX 5062",E968="CJ",J968=4),VLOOKUP(_xlfn.MINIFS('FIRE TEX 5062'!$Q$3:$Q$34,'FIRE TEX 5062'!$Q$3:$Q$34,"&gt;="&amp;M968),'FIRE TEX 5062'!$Q$3:$U$34,IF(L968="F-15",2,IF(L968="F-30",3,IF(L968="F-60",4,IF(L968="F-90",5,0)))),0),0)+IF(AND(O968="FIRE TEX 5090",OR(E968="IN",E968="C",E968="Z",E968="L"),J968=3),VLOOKUP(_xlfn.MINIFS('FIRE TEX 5090'!$B$5:$B$43,'FIRE TEX 5090'!$B$5:$B$43,"&gt;="&amp;M968),'FIRE TEX 5090'!$B$5:$H$43,IF(L968="F-15",2,IF(L968="F-30",3,IF(L968="F-60",4,IF(L968="F-90",5,IF(L968="F-120",6,IF(L968="F-150",7,0)))))),0),0)+IF(AND(O968="FIRE TEX 5090",OR(E968="IN",E968="C",E968="Z",E968="L"),J968=4),VLOOKUP(_xlfn.MINIFS('FIRE TEX 5090'!$J$5:$J$43,'FIRE TEX 5090'!$J$5:$J$43,"&gt;="&amp;M968),'FIRE TEX 5090'!$J$5:$P$43,IF(L968="F-15",2,IF(L968="F-30",3,IF(L968="F-60",4,IF(L968="F-90",5,IF(L968="F-120",6,IF(L968="F-150",7,0)))))),0),0)+IF(AND(O968="FIRE TEX 5090",E968="CJ",J968=3),VLOOKUP(_xlfn.MINIFS('FIRE TEX 5090'!$R$5:$R$30,'FIRE TEX 5090'!$R$5:$R$30,"&gt;="&amp;M968),'FIRE TEX 5090'!$R$5:$W$30,IF(L968="F-15",2,IF(L968="F-30",3,IF(L968="F-60",4,IF(L968="F-90",5,IF(L968="F-120",6,IF(L968="F-150",7,0)))))),0),0)+IF(AND(O968="FIRE TEX 5090",E968="CJ",J968=4),VLOOKUP(_xlfn.MINIFS('FIRE TEX 5090'!$Y$5:$Y$39,'FIRE TEX 5090'!$Y$5:$Y$39,"&gt;="&amp;M968),'FIRE TEX 5090'!$Y$5:$AD$39,IF(L968="F-15",2,IF(L968="F-30",3,IF(L968="F-60",4,IF(L968="F-90",5,IF(L968="F-120",6,IF(L968="F-150",7,0)))))),0),0)+IF(AND(O968="FIRE TEX 5120",OR(E968="IN",E968="C",E968="Z",E968="L"),J968=3),VLOOKUP(_xlfn.MINIFS('FIRE TEX 5120'!$B$5:$B$40,'FIRE TEX 5120'!$B$5:$B$40,"&gt;="&amp;M968),'FIRE TEX 5120'!$B$5:$G$40,IF(L968="F-15",2,IF(L968="F-30",3,IF(L968="F-60",4,IF(L968="F-90",5,IF(L968="F-120",6,0))))),0),0)+IF(AND(O968="FIRE TEX 5120",OR(E968="IN",E968="C",E968="Z",E968="L"),J968=4),VLOOKUP(_xlfn.MINIFS('FIRE TEX 5120'!$H$4:$H$40,'FIRE TEX 5120'!$H$4:$H$40,"&gt;="&amp;M968),'FIRE TEX 5120'!$H$4:$M$40,IF(L968="F-15",2,IF(L968="F-30",3,IF(L968="F-60",4,IF(L968="F-90",5,IF(L968="F-120",6,0))))),0),0)+IF(AND(O968="FIRE TEX 5120",E968="CJ"),VLOOKUP(_xlfn.MINIFS('FIRE TEX 5120'!$O$5:$O$40,'FIRE TEX 5120'!$O$5:$O$40,"&gt;="&amp;M968),'FIRE TEX 5120'!$O$5:$T$40,IF(L968="F-15",2,IF(L968="F-30",3,IF(L968="F-60",4,IF(L968="F-90",5,IF(L968="F-120",6,0))))),0),0)</f>
        <v>0</v>
      </c>
      <c r="Q968" s="46">
        <f t="shared" si="94"/>
        <v>0</v>
      </c>
      <c r="R968" s="46">
        <f t="shared" si="95"/>
        <v>0</v>
      </c>
      <c r="S968" s="46" t="e">
        <f t="shared" si="96"/>
        <v>#VALUE!</v>
      </c>
      <c r="T968" s="677">
        <f t="shared" si="97"/>
        <v>0</v>
      </c>
      <c r="U968" s="80">
        <f>(IF(O968="Stofire",(S968*#REF!),0))+(IF(O968="Fire Control",(S968*$U$2),0))+(IF(O968="Fire Tex",(S968*$U$3),0))+(IF(O968="WB7",(S968*#REF!),0)+(IF(O968="FX 2003",(S968*$U$5),0)))</f>
        <v>0</v>
      </c>
      <c r="V968" s="651">
        <f t="shared" si="98"/>
        <v>0</v>
      </c>
    </row>
    <row r="969" spans="4:22" x14ac:dyDescent="0.25">
      <c r="D969" s="118">
        <f>+CUBICACION!D968</f>
        <v>0</v>
      </c>
      <c r="E969" s="118">
        <f>+CUBICACION!F968</f>
        <v>0</v>
      </c>
      <c r="F969" s="118">
        <f>+CUBICACION!E968</f>
        <v>0</v>
      </c>
      <c r="G969" s="118">
        <v>12</v>
      </c>
      <c r="H969" s="118">
        <v>2</v>
      </c>
      <c r="I969" s="820">
        <v>26385</v>
      </c>
      <c r="J969" s="118">
        <f>+CUBICACION!J968</f>
        <v>0</v>
      </c>
      <c r="K969" s="118">
        <v>3748</v>
      </c>
      <c r="L969" s="118">
        <f>+CUBICACION!L968</f>
        <v>0</v>
      </c>
      <c r="M969" s="64">
        <f>+CUBICACION!M968</f>
        <v>0</v>
      </c>
      <c r="N969" s="824" t="str">
        <f>+CUBICACION!N968</f>
        <v/>
      </c>
      <c r="O969" s="675">
        <f>+CUBICACION!O968</f>
        <v>0</v>
      </c>
      <c r="P969" s="15">
        <f>IF(O969="Fire Control",VLOOKUP(_xlfn.MINIFS('FIRE CONTROL'!$C$4:$C$37,'FIRE CONTROL'!$C$4:$C$37,"&gt;="&amp;M969),'FIRE CONTROL'!$C$4:$G$37,IF(L969="F-15",2,IF(L969="F-30",3,IF(L969="F-60",4,IF(L969="F-90",5,0)))),0),0)+IF(AND(O969="FIRE TEX 5062",OR(E969="IN",E969="C",E969="Z",E969="L"),J969=3),VLOOKUP(_xlfn.MINIFS('FIRE TEX 5062'!$B$4:$B$34,'FIRE TEX 5062'!$B$4:$B$34,"&gt;="&amp;M969),'FIRE TEX 5062'!$B$4:$F$34,IF(L969="F-15",2,IF(L969="F-30",3,IF(L969="F-60",4,IF(L969="F-90",5,0)))),0),0)+IF(AND(O969="FIRE TEX 5062",OR(E969="IN",E969="C",E969="Z",E969="L"),J969=4),VLOOKUP(_xlfn.MINIFS('FIRE TEX 5062'!$G$4:$G$34,'FIRE TEX 5062'!$G$4:$G$34,"&gt;="&amp;M969),'FIRE TEX 5062'!$G$4:$K$34,IF(L969="F-15",2,IF(L969="F-30",3,IF(L969="F-60",4,IF(L969="F-90",5,0)))),0),0)+IF(AND(O969="FIRE TEX 5062",E969="CJ",J969=3),VLOOKUP(_xlfn.MINIFS('FIRE TEX 5062'!$L$4:$L$34,'FIRE TEX 5062'!$L$4:$L$34,"&gt;="&amp;M969),'FIRE TEX 5062'!$L$4:$P$34,IF(L969="F-15",2,IF(L969="F-30",3,IF(L969="F-60",4,IF(L969="F-90",5,0)))),0),0)+IF(AND(O969="FIRE TEX 5062",E969="CJ",J969=4),VLOOKUP(_xlfn.MINIFS('FIRE TEX 5062'!$Q$3:$Q$34,'FIRE TEX 5062'!$Q$3:$Q$34,"&gt;="&amp;M969),'FIRE TEX 5062'!$Q$3:$U$34,IF(L969="F-15",2,IF(L969="F-30",3,IF(L969="F-60",4,IF(L969="F-90",5,0)))),0),0)+IF(AND(O969="FIRE TEX 5090",OR(E969="IN",E969="C",E969="Z",E969="L"),J969=3),VLOOKUP(_xlfn.MINIFS('FIRE TEX 5090'!$B$5:$B$43,'FIRE TEX 5090'!$B$5:$B$43,"&gt;="&amp;M969),'FIRE TEX 5090'!$B$5:$H$43,IF(L969="F-15",2,IF(L969="F-30",3,IF(L969="F-60",4,IF(L969="F-90",5,IF(L969="F-120",6,IF(L969="F-150",7,0)))))),0),0)+IF(AND(O969="FIRE TEX 5090",OR(E969="IN",E969="C",E969="Z",E969="L"),J969=4),VLOOKUP(_xlfn.MINIFS('FIRE TEX 5090'!$J$5:$J$43,'FIRE TEX 5090'!$J$5:$J$43,"&gt;="&amp;M969),'FIRE TEX 5090'!$J$5:$P$43,IF(L969="F-15",2,IF(L969="F-30",3,IF(L969="F-60",4,IF(L969="F-90",5,IF(L969="F-120",6,IF(L969="F-150",7,0)))))),0),0)+IF(AND(O969="FIRE TEX 5090",E969="CJ",J969=3),VLOOKUP(_xlfn.MINIFS('FIRE TEX 5090'!$R$5:$R$30,'FIRE TEX 5090'!$R$5:$R$30,"&gt;="&amp;M969),'FIRE TEX 5090'!$R$5:$W$30,IF(L969="F-15",2,IF(L969="F-30",3,IF(L969="F-60",4,IF(L969="F-90",5,IF(L969="F-120",6,IF(L969="F-150",7,0)))))),0),0)+IF(AND(O969="FIRE TEX 5090",E969="CJ",J969=4),VLOOKUP(_xlfn.MINIFS('FIRE TEX 5090'!$Y$5:$Y$39,'FIRE TEX 5090'!$Y$5:$Y$39,"&gt;="&amp;M969),'FIRE TEX 5090'!$Y$5:$AD$39,IF(L969="F-15",2,IF(L969="F-30",3,IF(L969="F-60",4,IF(L969="F-90",5,IF(L969="F-120",6,IF(L969="F-150",7,0)))))),0),0)+IF(AND(O969="FIRE TEX 5120",OR(E969="IN",E969="C",E969="Z",E969="L"),J969=3),VLOOKUP(_xlfn.MINIFS('FIRE TEX 5120'!$B$5:$B$40,'FIRE TEX 5120'!$B$5:$B$40,"&gt;="&amp;M969),'FIRE TEX 5120'!$B$5:$G$40,IF(L969="F-15",2,IF(L969="F-30",3,IF(L969="F-60",4,IF(L969="F-90",5,IF(L969="F-120",6,0))))),0),0)+IF(AND(O969="FIRE TEX 5120",OR(E969="IN",E969="C",E969="Z",E969="L"),J969=4),VLOOKUP(_xlfn.MINIFS('FIRE TEX 5120'!$H$4:$H$40,'FIRE TEX 5120'!$H$4:$H$40,"&gt;="&amp;M969),'FIRE TEX 5120'!$H$4:$M$40,IF(L969="F-15",2,IF(L969="F-30",3,IF(L969="F-60",4,IF(L969="F-90",5,IF(L969="F-120",6,0))))),0),0)+IF(AND(O969="FIRE TEX 5120",E969="CJ"),VLOOKUP(_xlfn.MINIFS('FIRE TEX 5120'!$O$5:$O$40,'FIRE TEX 5120'!$O$5:$O$40,"&gt;="&amp;M969),'FIRE TEX 5120'!$O$5:$T$40,IF(L969="F-15",2,IF(L969="F-30",3,IF(L969="F-60",4,IF(L969="F-90",5,IF(L969="F-120",6,0))))),0),0)</f>
        <v>0</v>
      </c>
      <c r="Q969" s="46">
        <f t="shared" si="94"/>
        <v>0</v>
      </c>
      <c r="R969" s="46">
        <f t="shared" si="95"/>
        <v>0</v>
      </c>
      <c r="S969" s="46" t="e">
        <f t="shared" si="96"/>
        <v>#VALUE!</v>
      </c>
      <c r="T969" s="677">
        <f t="shared" si="97"/>
        <v>0</v>
      </c>
      <c r="U969" s="80">
        <f>(IF(O969="Stofire",(S969*#REF!),0))+(IF(O969="Fire Control",(S969*$U$2),0))+(IF(O969="Fire Tex",(S969*$U$3),0))+(IF(O969="WB7",(S969*#REF!),0)+(IF(O969="FX 2003",(S969*$U$5),0)))</f>
        <v>0</v>
      </c>
      <c r="V969" s="651">
        <f t="shared" si="98"/>
        <v>0</v>
      </c>
    </row>
    <row r="970" spans="4:22" x14ac:dyDescent="0.25">
      <c r="D970" s="118">
        <f>+CUBICACION!D969</f>
        <v>0</v>
      </c>
      <c r="E970" s="118">
        <f>+CUBICACION!F969</f>
        <v>0</v>
      </c>
      <c r="F970" s="118">
        <f>+CUBICACION!E969</f>
        <v>0</v>
      </c>
      <c r="G970" s="118">
        <v>12</v>
      </c>
      <c r="H970" s="118">
        <v>2</v>
      </c>
      <c r="I970" s="820">
        <v>26385</v>
      </c>
      <c r="J970" s="118">
        <f>+CUBICACION!J969</f>
        <v>0</v>
      </c>
      <c r="K970" s="118">
        <v>3749</v>
      </c>
      <c r="L970" s="118">
        <f>+CUBICACION!L969</f>
        <v>0</v>
      </c>
      <c r="M970" s="64">
        <f>+CUBICACION!M969</f>
        <v>0</v>
      </c>
      <c r="N970" s="824" t="str">
        <f>+CUBICACION!N969</f>
        <v/>
      </c>
      <c r="O970" s="675">
        <f>+CUBICACION!O969</f>
        <v>0</v>
      </c>
      <c r="P970" s="15">
        <f>IF(O970="Fire Control",VLOOKUP(_xlfn.MINIFS('FIRE CONTROL'!$C$4:$C$37,'FIRE CONTROL'!$C$4:$C$37,"&gt;="&amp;M970),'FIRE CONTROL'!$C$4:$G$37,IF(L970="F-15",2,IF(L970="F-30",3,IF(L970="F-60",4,IF(L970="F-90",5,0)))),0),0)+IF(AND(O970="FIRE TEX 5062",OR(E970="IN",E970="C",E970="Z",E970="L"),J970=3),VLOOKUP(_xlfn.MINIFS('FIRE TEX 5062'!$B$4:$B$34,'FIRE TEX 5062'!$B$4:$B$34,"&gt;="&amp;M970),'FIRE TEX 5062'!$B$4:$F$34,IF(L970="F-15",2,IF(L970="F-30",3,IF(L970="F-60",4,IF(L970="F-90",5,0)))),0),0)+IF(AND(O970="FIRE TEX 5062",OR(E970="IN",E970="C",E970="Z",E970="L"),J970=4),VLOOKUP(_xlfn.MINIFS('FIRE TEX 5062'!$G$4:$G$34,'FIRE TEX 5062'!$G$4:$G$34,"&gt;="&amp;M970),'FIRE TEX 5062'!$G$4:$K$34,IF(L970="F-15",2,IF(L970="F-30",3,IF(L970="F-60",4,IF(L970="F-90",5,0)))),0),0)+IF(AND(O970="FIRE TEX 5062",E970="CJ",J970=3),VLOOKUP(_xlfn.MINIFS('FIRE TEX 5062'!$L$4:$L$34,'FIRE TEX 5062'!$L$4:$L$34,"&gt;="&amp;M970),'FIRE TEX 5062'!$L$4:$P$34,IF(L970="F-15",2,IF(L970="F-30",3,IF(L970="F-60",4,IF(L970="F-90",5,0)))),0),0)+IF(AND(O970="FIRE TEX 5062",E970="CJ",J970=4),VLOOKUP(_xlfn.MINIFS('FIRE TEX 5062'!$Q$3:$Q$34,'FIRE TEX 5062'!$Q$3:$Q$34,"&gt;="&amp;M970),'FIRE TEX 5062'!$Q$3:$U$34,IF(L970="F-15",2,IF(L970="F-30",3,IF(L970="F-60",4,IF(L970="F-90",5,0)))),0),0)+IF(AND(O970="FIRE TEX 5090",OR(E970="IN",E970="C",E970="Z",E970="L"),J970=3),VLOOKUP(_xlfn.MINIFS('FIRE TEX 5090'!$B$5:$B$43,'FIRE TEX 5090'!$B$5:$B$43,"&gt;="&amp;M970),'FIRE TEX 5090'!$B$5:$H$43,IF(L970="F-15",2,IF(L970="F-30",3,IF(L970="F-60",4,IF(L970="F-90",5,IF(L970="F-120",6,IF(L970="F-150",7,0)))))),0),0)+IF(AND(O970="FIRE TEX 5090",OR(E970="IN",E970="C",E970="Z",E970="L"),J970=4),VLOOKUP(_xlfn.MINIFS('FIRE TEX 5090'!$J$5:$J$43,'FIRE TEX 5090'!$J$5:$J$43,"&gt;="&amp;M970),'FIRE TEX 5090'!$J$5:$P$43,IF(L970="F-15",2,IF(L970="F-30",3,IF(L970="F-60",4,IF(L970="F-90",5,IF(L970="F-120",6,IF(L970="F-150",7,0)))))),0),0)+IF(AND(O970="FIRE TEX 5090",E970="CJ",J970=3),VLOOKUP(_xlfn.MINIFS('FIRE TEX 5090'!$R$5:$R$30,'FIRE TEX 5090'!$R$5:$R$30,"&gt;="&amp;M970),'FIRE TEX 5090'!$R$5:$W$30,IF(L970="F-15",2,IF(L970="F-30",3,IF(L970="F-60",4,IF(L970="F-90",5,IF(L970="F-120",6,IF(L970="F-150",7,0)))))),0),0)+IF(AND(O970="FIRE TEX 5090",E970="CJ",J970=4),VLOOKUP(_xlfn.MINIFS('FIRE TEX 5090'!$Y$5:$Y$39,'FIRE TEX 5090'!$Y$5:$Y$39,"&gt;="&amp;M970),'FIRE TEX 5090'!$Y$5:$AD$39,IF(L970="F-15",2,IF(L970="F-30",3,IF(L970="F-60",4,IF(L970="F-90",5,IF(L970="F-120",6,IF(L970="F-150",7,0)))))),0),0)+IF(AND(O970="FIRE TEX 5120",OR(E970="IN",E970="C",E970="Z",E970="L"),J970=3),VLOOKUP(_xlfn.MINIFS('FIRE TEX 5120'!$B$5:$B$40,'FIRE TEX 5120'!$B$5:$B$40,"&gt;="&amp;M970),'FIRE TEX 5120'!$B$5:$G$40,IF(L970="F-15",2,IF(L970="F-30",3,IF(L970="F-60",4,IF(L970="F-90",5,IF(L970="F-120",6,0))))),0),0)+IF(AND(O970="FIRE TEX 5120",OR(E970="IN",E970="C",E970="Z",E970="L"),J970=4),VLOOKUP(_xlfn.MINIFS('FIRE TEX 5120'!$H$4:$H$40,'FIRE TEX 5120'!$H$4:$H$40,"&gt;="&amp;M970),'FIRE TEX 5120'!$H$4:$M$40,IF(L970="F-15",2,IF(L970="F-30",3,IF(L970="F-60",4,IF(L970="F-90",5,IF(L970="F-120",6,0))))),0),0)+IF(AND(O970="FIRE TEX 5120",E970="CJ"),VLOOKUP(_xlfn.MINIFS('FIRE TEX 5120'!$O$5:$O$40,'FIRE TEX 5120'!$O$5:$O$40,"&gt;="&amp;M970),'FIRE TEX 5120'!$O$5:$T$40,IF(L970="F-15",2,IF(L970="F-30",3,IF(L970="F-60",4,IF(L970="F-90",5,IF(L970="F-120",6,0))))),0),0)</f>
        <v>0</v>
      </c>
      <c r="Q970" s="46">
        <f t="shared" si="94"/>
        <v>0</v>
      </c>
      <c r="R970" s="46">
        <f t="shared" si="95"/>
        <v>0</v>
      </c>
      <c r="S970" s="46" t="e">
        <f t="shared" si="96"/>
        <v>#VALUE!</v>
      </c>
      <c r="T970" s="677">
        <f t="shared" si="97"/>
        <v>0</v>
      </c>
      <c r="U970" s="80">
        <f>(IF(O970="Stofire",(S970*#REF!),0))+(IF(O970="Fire Control",(S970*$U$2),0))+(IF(O970="Fire Tex",(S970*$U$3),0))+(IF(O970="WB7",(S970*#REF!),0)+(IF(O970="FX 2003",(S970*$U$5),0)))</f>
        <v>0</v>
      </c>
      <c r="V970" s="651">
        <f t="shared" si="98"/>
        <v>0</v>
      </c>
    </row>
    <row r="971" spans="4:22" x14ac:dyDescent="0.25">
      <c r="D971" s="118">
        <f>+CUBICACION!D970</f>
        <v>0</v>
      </c>
      <c r="E971" s="118">
        <f>+CUBICACION!F970</f>
        <v>0</v>
      </c>
      <c r="F971" s="118">
        <f>+CUBICACION!E970</f>
        <v>0</v>
      </c>
      <c r="G971" s="118">
        <v>12</v>
      </c>
      <c r="H971" s="118">
        <v>2</v>
      </c>
      <c r="I971" s="820">
        <v>26385</v>
      </c>
      <c r="J971" s="118">
        <f>+CUBICACION!J970</f>
        <v>0</v>
      </c>
      <c r="K971" s="118">
        <v>3750</v>
      </c>
      <c r="L971" s="118">
        <f>+CUBICACION!L970</f>
        <v>0</v>
      </c>
      <c r="M971" s="64">
        <f>+CUBICACION!M970</f>
        <v>0</v>
      </c>
      <c r="N971" s="824" t="str">
        <f>+CUBICACION!N970</f>
        <v/>
      </c>
      <c r="O971" s="675">
        <f>+CUBICACION!O970</f>
        <v>0</v>
      </c>
      <c r="P971" s="15">
        <f>IF(O971="Fire Control",VLOOKUP(_xlfn.MINIFS('FIRE CONTROL'!$C$4:$C$37,'FIRE CONTROL'!$C$4:$C$37,"&gt;="&amp;M971),'FIRE CONTROL'!$C$4:$G$37,IF(L971="F-15",2,IF(L971="F-30",3,IF(L971="F-60",4,IF(L971="F-90",5,0)))),0),0)+IF(AND(O971="FIRE TEX 5062",OR(E971="IN",E971="C",E971="Z",E971="L"),J971=3),VLOOKUP(_xlfn.MINIFS('FIRE TEX 5062'!$B$4:$B$34,'FIRE TEX 5062'!$B$4:$B$34,"&gt;="&amp;M971),'FIRE TEX 5062'!$B$4:$F$34,IF(L971="F-15",2,IF(L971="F-30",3,IF(L971="F-60",4,IF(L971="F-90",5,0)))),0),0)+IF(AND(O971="FIRE TEX 5062",OR(E971="IN",E971="C",E971="Z",E971="L"),J971=4),VLOOKUP(_xlfn.MINIFS('FIRE TEX 5062'!$G$4:$G$34,'FIRE TEX 5062'!$G$4:$G$34,"&gt;="&amp;M971),'FIRE TEX 5062'!$G$4:$K$34,IF(L971="F-15",2,IF(L971="F-30",3,IF(L971="F-60",4,IF(L971="F-90",5,0)))),0),0)+IF(AND(O971="FIRE TEX 5062",E971="CJ",J971=3),VLOOKUP(_xlfn.MINIFS('FIRE TEX 5062'!$L$4:$L$34,'FIRE TEX 5062'!$L$4:$L$34,"&gt;="&amp;M971),'FIRE TEX 5062'!$L$4:$P$34,IF(L971="F-15",2,IF(L971="F-30",3,IF(L971="F-60",4,IF(L971="F-90",5,0)))),0),0)+IF(AND(O971="FIRE TEX 5062",E971="CJ",J971=4),VLOOKUP(_xlfn.MINIFS('FIRE TEX 5062'!$Q$3:$Q$34,'FIRE TEX 5062'!$Q$3:$Q$34,"&gt;="&amp;M971),'FIRE TEX 5062'!$Q$3:$U$34,IF(L971="F-15",2,IF(L971="F-30",3,IF(L971="F-60",4,IF(L971="F-90",5,0)))),0),0)+IF(AND(O971="FIRE TEX 5090",OR(E971="IN",E971="C",E971="Z",E971="L"),J971=3),VLOOKUP(_xlfn.MINIFS('FIRE TEX 5090'!$B$5:$B$43,'FIRE TEX 5090'!$B$5:$B$43,"&gt;="&amp;M971),'FIRE TEX 5090'!$B$5:$H$43,IF(L971="F-15",2,IF(L971="F-30",3,IF(L971="F-60",4,IF(L971="F-90",5,IF(L971="F-120",6,IF(L971="F-150",7,0)))))),0),0)+IF(AND(O971="FIRE TEX 5090",OR(E971="IN",E971="C",E971="Z",E971="L"),J971=4),VLOOKUP(_xlfn.MINIFS('FIRE TEX 5090'!$J$5:$J$43,'FIRE TEX 5090'!$J$5:$J$43,"&gt;="&amp;M971),'FIRE TEX 5090'!$J$5:$P$43,IF(L971="F-15",2,IF(L971="F-30",3,IF(L971="F-60",4,IF(L971="F-90",5,IF(L971="F-120",6,IF(L971="F-150",7,0)))))),0),0)+IF(AND(O971="FIRE TEX 5090",E971="CJ",J971=3),VLOOKUP(_xlfn.MINIFS('FIRE TEX 5090'!$R$5:$R$30,'FIRE TEX 5090'!$R$5:$R$30,"&gt;="&amp;M971),'FIRE TEX 5090'!$R$5:$W$30,IF(L971="F-15",2,IF(L971="F-30",3,IF(L971="F-60",4,IF(L971="F-90",5,IF(L971="F-120",6,IF(L971="F-150",7,0)))))),0),0)+IF(AND(O971="FIRE TEX 5090",E971="CJ",J971=4),VLOOKUP(_xlfn.MINIFS('FIRE TEX 5090'!$Y$5:$Y$39,'FIRE TEX 5090'!$Y$5:$Y$39,"&gt;="&amp;M971),'FIRE TEX 5090'!$Y$5:$AD$39,IF(L971="F-15",2,IF(L971="F-30",3,IF(L971="F-60",4,IF(L971="F-90",5,IF(L971="F-120",6,IF(L971="F-150",7,0)))))),0),0)+IF(AND(O971="FIRE TEX 5120",OR(E971="IN",E971="C",E971="Z",E971="L"),J971=3),VLOOKUP(_xlfn.MINIFS('FIRE TEX 5120'!$B$5:$B$40,'FIRE TEX 5120'!$B$5:$B$40,"&gt;="&amp;M971),'FIRE TEX 5120'!$B$5:$G$40,IF(L971="F-15",2,IF(L971="F-30",3,IF(L971="F-60",4,IF(L971="F-90",5,IF(L971="F-120",6,0))))),0),0)+IF(AND(O971="FIRE TEX 5120",OR(E971="IN",E971="C",E971="Z",E971="L"),J971=4),VLOOKUP(_xlfn.MINIFS('FIRE TEX 5120'!$H$4:$H$40,'FIRE TEX 5120'!$H$4:$H$40,"&gt;="&amp;M971),'FIRE TEX 5120'!$H$4:$M$40,IF(L971="F-15",2,IF(L971="F-30",3,IF(L971="F-60",4,IF(L971="F-90",5,IF(L971="F-120",6,0))))),0),0)+IF(AND(O971="FIRE TEX 5120",E971="CJ"),VLOOKUP(_xlfn.MINIFS('FIRE TEX 5120'!$O$5:$O$40,'FIRE TEX 5120'!$O$5:$O$40,"&gt;="&amp;M971),'FIRE TEX 5120'!$O$5:$T$40,IF(L971="F-15",2,IF(L971="F-30",3,IF(L971="F-60",4,IF(L971="F-90",5,IF(L971="F-120",6,0))))),0),0)</f>
        <v>0</v>
      </c>
      <c r="Q971" s="46">
        <f t="shared" si="94"/>
        <v>0</v>
      </c>
      <c r="R971" s="46">
        <f t="shared" si="95"/>
        <v>0</v>
      </c>
      <c r="S971" s="46" t="e">
        <f t="shared" si="96"/>
        <v>#VALUE!</v>
      </c>
      <c r="T971" s="677">
        <f t="shared" si="97"/>
        <v>0</v>
      </c>
      <c r="U971" s="80">
        <f>(IF(O971="Stofire",(S971*#REF!),0))+(IF(O971="Fire Control",(S971*$U$2),0))+(IF(O971="Fire Tex",(S971*$U$3),0))+(IF(O971="WB7",(S971*#REF!),0)+(IF(O971="FX 2003",(S971*$U$5),0)))</f>
        <v>0</v>
      </c>
      <c r="V971" s="651">
        <f t="shared" si="98"/>
        <v>0</v>
      </c>
    </row>
    <row r="972" spans="4:22" x14ac:dyDescent="0.25">
      <c r="D972" s="118">
        <f>+CUBICACION!D971</f>
        <v>0</v>
      </c>
      <c r="E972" s="118">
        <f>+CUBICACION!F971</f>
        <v>0</v>
      </c>
      <c r="F972" s="118">
        <f>+CUBICACION!E971</f>
        <v>0</v>
      </c>
      <c r="G972" s="118">
        <v>12</v>
      </c>
      <c r="H972" s="118">
        <v>2</v>
      </c>
      <c r="I972" s="820">
        <v>26385</v>
      </c>
      <c r="J972" s="118">
        <f>+CUBICACION!J971</f>
        <v>0</v>
      </c>
      <c r="K972" s="118">
        <v>3751</v>
      </c>
      <c r="L972" s="118">
        <f>+CUBICACION!L971</f>
        <v>0</v>
      </c>
      <c r="M972" s="64">
        <f>+CUBICACION!M971</f>
        <v>0</v>
      </c>
      <c r="N972" s="824" t="str">
        <f>+CUBICACION!N971</f>
        <v/>
      </c>
      <c r="O972" s="675">
        <f>+CUBICACION!O971</f>
        <v>0</v>
      </c>
      <c r="P972" s="15">
        <f>IF(O972="Fire Control",VLOOKUP(_xlfn.MINIFS('FIRE CONTROL'!$C$4:$C$37,'FIRE CONTROL'!$C$4:$C$37,"&gt;="&amp;M972),'FIRE CONTROL'!$C$4:$G$37,IF(L972="F-15",2,IF(L972="F-30",3,IF(L972="F-60",4,IF(L972="F-90",5,0)))),0),0)+IF(AND(O972="FIRE TEX 5062",OR(E972="IN",E972="C",E972="Z",E972="L"),J972=3),VLOOKUP(_xlfn.MINIFS('FIRE TEX 5062'!$B$4:$B$34,'FIRE TEX 5062'!$B$4:$B$34,"&gt;="&amp;M972),'FIRE TEX 5062'!$B$4:$F$34,IF(L972="F-15",2,IF(L972="F-30",3,IF(L972="F-60",4,IF(L972="F-90",5,0)))),0),0)+IF(AND(O972="FIRE TEX 5062",OR(E972="IN",E972="C",E972="Z",E972="L"),J972=4),VLOOKUP(_xlfn.MINIFS('FIRE TEX 5062'!$G$4:$G$34,'FIRE TEX 5062'!$G$4:$G$34,"&gt;="&amp;M972),'FIRE TEX 5062'!$G$4:$K$34,IF(L972="F-15",2,IF(L972="F-30",3,IF(L972="F-60",4,IF(L972="F-90",5,0)))),0),0)+IF(AND(O972="FIRE TEX 5062",E972="CJ",J972=3),VLOOKUP(_xlfn.MINIFS('FIRE TEX 5062'!$L$4:$L$34,'FIRE TEX 5062'!$L$4:$L$34,"&gt;="&amp;M972),'FIRE TEX 5062'!$L$4:$P$34,IF(L972="F-15",2,IF(L972="F-30",3,IF(L972="F-60",4,IF(L972="F-90",5,0)))),0),0)+IF(AND(O972="FIRE TEX 5062",E972="CJ",J972=4),VLOOKUP(_xlfn.MINIFS('FIRE TEX 5062'!$Q$3:$Q$34,'FIRE TEX 5062'!$Q$3:$Q$34,"&gt;="&amp;M972),'FIRE TEX 5062'!$Q$3:$U$34,IF(L972="F-15",2,IF(L972="F-30",3,IF(L972="F-60",4,IF(L972="F-90",5,0)))),0),0)+IF(AND(O972="FIRE TEX 5090",OR(E972="IN",E972="C",E972="Z",E972="L"),J972=3),VLOOKUP(_xlfn.MINIFS('FIRE TEX 5090'!$B$5:$B$43,'FIRE TEX 5090'!$B$5:$B$43,"&gt;="&amp;M972),'FIRE TEX 5090'!$B$5:$H$43,IF(L972="F-15",2,IF(L972="F-30",3,IF(L972="F-60",4,IF(L972="F-90",5,IF(L972="F-120",6,IF(L972="F-150",7,0)))))),0),0)+IF(AND(O972="FIRE TEX 5090",OR(E972="IN",E972="C",E972="Z",E972="L"),J972=4),VLOOKUP(_xlfn.MINIFS('FIRE TEX 5090'!$J$5:$J$43,'FIRE TEX 5090'!$J$5:$J$43,"&gt;="&amp;M972),'FIRE TEX 5090'!$J$5:$P$43,IF(L972="F-15",2,IF(L972="F-30",3,IF(L972="F-60",4,IF(L972="F-90",5,IF(L972="F-120",6,IF(L972="F-150",7,0)))))),0),0)+IF(AND(O972="FIRE TEX 5090",E972="CJ",J972=3),VLOOKUP(_xlfn.MINIFS('FIRE TEX 5090'!$R$5:$R$30,'FIRE TEX 5090'!$R$5:$R$30,"&gt;="&amp;M972),'FIRE TEX 5090'!$R$5:$W$30,IF(L972="F-15",2,IF(L972="F-30",3,IF(L972="F-60",4,IF(L972="F-90",5,IF(L972="F-120",6,IF(L972="F-150",7,0)))))),0),0)+IF(AND(O972="FIRE TEX 5090",E972="CJ",J972=4),VLOOKUP(_xlfn.MINIFS('FIRE TEX 5090'!$Y$5:$Y$39,'FIRE TEX 5090'!$Y$5:$Y$39,"&gt;="&amp;M972),'FIRE TEX 5090'!$Y$5:$AD$39,IF(L972="F-15",2,IF(L972="F-30",3,IF(L972="F-60",4,IF(L972="F-90",5,IF(L972="F-120",6,IF(L972="F-150",7,0)))))),0),0)+IF(AND(O972="FIRE TEX 5120",OR(E972="IN",E972="C",E972="Z",E972="L"),J972=3),VLOOKUP(_xlfn.MINIFS('FIRE TEX 5120'!$B$5:$B$40,'FIRE TEX 5120'!$B$5:$B$40,"&gt;="&amp;M972),'FIRE TEX 5120'!$B$5:$G$40,IF(L972="F-15",2,IF(L972="F-30",3,IF(L972="F-60",4,IF(L972="F-90",5,IF(L972="F-120",6,0))))),0),0)+IF(AND(O972="FIRE TEX 5120",OR(E972="IN",E972="C",E972="Z",E972="L"),J972=4),VLOOKUP(_xlfn.MINIFS('FIRE TEX 5120'!$H$4:$H$40,'FIRE TEX 5120'!$H$4:$H$40,"&gt;="&amp;M972),'FIRE TEX 5120'!$H$4:$M$40,IF(L972="F-15",2,IF(L972="F-30",3,IF(L972="F-60",4,IF(L972="F-90",5,IF(L972="F-120",6,0))))),0),0)+IF(AND(O972="FIRE TEX 5120",E972="CJ"),VLOOKUP(_xlfn.MINIFS('FIRE TEX 5120'!$O$5:$O$40,'FIRE TEX 5120'!$O$5:$O$40,"&gt;="&amp;M972),'FIRE TEX 5120'!$O$5:$T$40,IF(L972="F-15",2,IF(L972="F-30",3,IF(L972="F-60",4,IF(L972="F-90",5,IF(L972="F-120",6,0))))),0),0)</f>
        <v>0</v>
      </c>
      <c r="Q972" s="46">
        <f t="shared" si="94"/>
        <v>0</v>
      </c>
      <c r="R972" s="46">
        <f t="shared" si="95"/>
        <v>0</v>
      </c>
      <c r="S972" s="46" t="e">
        <f t="shared" si="96"/>
        <v>#VALUE!</v>
      </c>
      <c r="T972" s="677">
        <f t="shared" si="97"/>
        <v>0</v>
      </c>
      <c r="U972" s="80">
        <f>(IF(O972="Stofire",(S972*#REF!),0))+(IF(O972="Fire Control",(S972*$U$2),0))+(IF(O972="Fire Tex",(S972*$U$3),0))+(IF(O972="WB7",(S972*#REF!),0)+(IF(O972="FX 2003",(S972*$U$5),0)))</f>
        <v>0</v>
      </c>
      <c r="V972" s="651">
        <f t="shared" si="98"/>
        <v>0</v>
      </c>
    </row>
    <row r="973" spans="4:22" x14ac:dyDescent="0.25">
      <c r="D973" s="118">
        <f>+CUBICACION!D972</f>
        <v>0</v>
      </c>
      <c r="E973" s="118">
        <f>+CUBICACION!F972</f>
        <v>0</v>
      </c>
      <c r="F973" s="118">
        <f>+CUBICACION!E972</f>
        <v>0</v>
      </c>
      <c r="G973" s="118">
        <v>12</v>
      </c>
      <c r="H973" s="118">
        <v>2</v>
      </c>
      <c r="I973" s="820">
        <v>26385</v>
      </c>
      <c r="J973" s="118">
        <f>+CUBICACION!J972</f>
        <v>0</v>
      </c>
      <c r="K973" s="118">
        <v>3752</v>
      </c>
      <c r="L973" s="118">
        <f>+CUBICACION!L972</f>
        <v>0</v>
      </c>
      <c r="M973" s="64">
        <f>+CUBICACION!M972</f>
        <v>0</v>
      </c>
      <c r="N973" s="824" t="str">
        <f>+CUBICACION!N972</f>
        <v/>
      </c>
      <c r="O973" s="675">
        <f>+CUBICACION!O972</f>
        <v>0</v>
      </c>
      <c r="P973" s="15">
        <f>IF(O973="Fire Control",VLOOKUP(_xlfn.MINIFS('FIRE CONTROL'!$C$4:$C$37,'FIRE CONTROL'!$C$4:$C$37,"&gt;="&amp;M973),'FIRE CONTROL'!$C$4:$G$37,IF(L973="F-15",2,IF(L973="F-30",3,IF(L973="F-60",4,IF(L973="F-90",5,0)))),0),0)+IF(AND(O973="FIRE TEX 5062",OR(E973="IN",E973="C",E973="Z",E973="L"),J973=3),VLOOKUP(_xlfn.MINIFS('FIRE TEX 5062'!$B$4:$B$34,'FIRE TEX 5062'!$B$4:$B$34,"&gt;="&amp;M973),'FIRE TEX 5062'!$B$4:$F$34,IF(L973="F-15",2,IF(L973="F-30",3,IF(L973="F-60",4,IF(L973="F-90",5,0)))),0),0)+IF(AND(O973="FIRE TEX 5062",OR(E973="IN",E973="C",E973="Z",E973="L"),J973=4),VLOOKUP(_xlfn.MINIFS('FIRE TEX 5062'!$G$4:$G$34,'FIRE TEX 5062'!$G$4:$G$34,"&gt;="&amp;M973),'FIRE TEX 5062'!$G$4:$K$34,IF(L973="F-15",2,IF(L973="F-30",3,IF(L973="F-60",4,IF(L973="F-90",5,0)))),0),0)+IF(AND(O973="FIRE TEX 5062",E973="CJ",J973=3),VLOOKUP(_xlfn.MINIFS('FIRE TEX 5062'!$L$4:$L$34,'FIRE TEX 5062'!$L$4:$L$34,"&gt;="&amp;M973),'FIRE TEX 5062'!$L$4:$P$34,IF(L973="F-15",2,IF(L973="F-30",3,IF(L973="F-60",4,IF(L973="F-90",5,0)))),0),0)+IF(AND(O973="FIRE TEX 5062",E973="CJ",J973=4),VLOOKUP(_xlfn.MINIFS('FIRE TEX 5062'!$Q$3:$Q$34,'FIRE TEX 5062'!$Q$3:$Q$34,"&gt;="&amp;M973),'FIRE TEX 5062'!$Q$3:$U$34,IF(L973="F-15",2,IF(L973="F-30",3,IF(L973="F-60",4,IF(L973="F-90",5,0)))),0),0)+IF(AND(O973="FIRE TEX 5090",OR(E973="IN",E973="C",E973="Z",E973="L"),J973=3),VLOOKUP(_xlfn.MINIFS('FIRE TEX 5090'!$B$5:$B$43,'FIRE TEX 5090'!$B$5:$B$43,"&gt;="&amp;M973),'FIRE TEX 5090'!$B$5:$H$43,IF(L973="F-15",2,IF(L973="F-30",3,IF(L973="F-60",4,IF(L973="F-90",5,IF(L973="F-120",6,IF(L973="F-150",7,0)))))),0),0)+IF(AND(O973="FIRE TEX 5090",OR(E973="IN",E973="C",E973="Z",E973="L"),J973=4),VLOOKUP(_xlfn.MINIFS('FIRE TEX 5090'!$J$5:$J$43,'FIRE TEX 5090'!$J$5:$J$43,"&gt;="&amp;M973),'FIRE TEX 5090'!$J$5:$P$43,IF(L973="F-15",2,IF(L973="F-30",3,IF(L973="F-60",4,IF(L973="F-90",5,IF(L973="F-120",6,IF(L973="F-150",7,0)))))),0),0)+IF(AND(O973="FIRE TEX 5090",E973="CJ",J973=3),VLOOKUP(_xlfn.MINIFS('FIRE TEX 5090'!$R$5:$R$30,'FIRE TEX 5090'!$R$5:$R$30,"&gt;="&amp;M973),'FIRE TEX 5090'!$R$5:$W$30,IF(L973="F-15",2,IF(L973="F-30",3,IF(L973="F-60",4,IF(L973="F-90",5,IF(L973="F-120",6,IF(L973="F-150",7,0)))))),0),0)+IF(AND(O973="FIRE TEX 5090",E973="CJ",J973=4),VLOOKUP(_xlfn.MINIFS('FIRE TEX 5090'!$Y$5:$Y$39,'FIRE TEX 5090'!$Y$5:$Y$39,"&gt;="&amp;M973),'FIRE TEX 5090'!$Y$5:$AD$39,IF(L973="F-15",2,IF(L973="F-30",3,IF(L973="F-60",4,IF(L973="F-90",5,IF(L973="F-120",6,IF(L973="F-150",7,0)))))),0),0)+IF(AND(O973="FIRE TEX 5120",OR(E973="IN",E973="C",E973="Z",E973="L"),J973=3),VLOOKUP(_xlfn.MINIFS('FIRE TEX 5120'!$B$5:$B$40,'FIRE TEX 5120'!$B$5:$B$40,"&gt;="&amp;M973),'FIRE TEX 5120'!$B$5:$G$40,IF(L973="F-15",2,IF(L973="F-30",3,IF(L973="F-60",4,IF(L973="F-90",5,IF(L973="F-120",6,0))))),0),0)+IF(AND(O973="FIRE TEX 5120",OR(E973="IN",E973="C",E973="Z",E973="L"),J973=4),VLOOKUP(_xlfn.MINIFS('FIRE TEX 5120'!$H$4:$H$40,'FIRE TEX 5120'!$H$4:$H$40,"&gt;="&amp;M973),'FIRE TEX 5120'!$H$4:$M$40,IF(L973="F-15",2,IF(L973="F-30",3,IF(L973="F-60",4,IF(L973="F-90",5,IF(L973="F-120",6,0))))),0),0)+IF(AND(O973="FIRE TEX 5120",E973="CJ"),VLOOKUP(_xlfn.MINIFS('FIRE TEX 5120'!$O$5:$O$40,'FIRE TEX 5120'!$O$5:$O$40,"&gt;="&amp;M973),'FIRE TEX 5120'!$O$5:$T$40,IF(L973="F-15",2,IF(L973="F-30",3,IF(L973="F-60",4,IF(L973="F-90",5,IF(L973="F-120",6,0))))),0),0)</f>
        <v>0</v>
      </c>
      <c r="Q973" s="46">
        <f t="shared" si="94"/>
        <v>0</v>
      </c>
      <c r="R973" s="46">
        <f t="shared" si="95"/>
        <v>0</v>
      </c>
      <c r="S973" s="46" t="e">
        <f t="shared" si="96"/>
        <v>#VALUE!</v>
      </c>
      <c r="T973" s="677">
        <f t="shared" si="97"/>
        <v>0</v>
      </c>
      <c r="U973" s="80">
        <f>(IF(O973="Stofire",(S973*#REF!),0))+(IF(O973="Fire Control",(S973*$U$2),0))+(IF(O973="Fire Tex",(S973*$U$3),0))+(IF(O973="WB7",(S973*#REF!),0)+(IF(O973="FX 2003",(S973*$U$5),0)))</f>
        <v>0</v>
      </c>
      <c r="V973" s="651">
        <f t="shared" si="98"/>
        <v>0</v>
      </c>
    </row>
    <row r="974" spans="4:22" x14ac:dyDescent="0.25">
      <c r="D974" s="118">
        <f>+CUBICACION!D973</f>
        <v>0</v>
      </c>
      <c r="E974" s="118">
        <f>+CUBICACION!F973</f>
        <v>0</v>
      </c>
      <c r="F974" s="118">
        <f>+CUBICACION!E973</f>
        <v>0</v>
      </c>
      <c r="G974" s="118">
        <v>12</v>
      </c>
      <c r="H974" s="118">
        <v>2</v>
      </c>
      <c r="I974" s="820">
        <v>26385</v>
      </c>
      <c r="J974" s="118">
        <f>+CUBICACION!J973</f>
        <v>0</v>
      </c>
      <c r="K974" s="118">
        <v>3753</v>
      </c>
      <c r="L974" s="118">
        <f>+CUBICACION!L973</f>
        <v>0</v>
      </c>
      <c r="M974" s="64">
        <f>+CUBICACION!M973</f>
        <v>0</v>
      </c>
      <c r="N974" s="824" t="str">
        <f>+CUBICACION!N973</f>
        <v/>
      </c>
      <c r="O974" s="675">
        <f>+CUBICACION!O973</f>
        <v>0</v>
      </c>
      <c r="P974" s="15">
        <f>IF(O974="Fire Control",VLOOKUP(_xlfn.MINIFS('FIRE CONTROL'!$C$4:$C$37,'FIRE CONTROL'!$C$4:$C$37,"&gt;="&amp;M974),'FIRE CONTROL'!$C$4:$G$37,IF(L974="F-15",2,IF(L974="F-30",3,IF(L974="F-60",4,IF(L974="F-90",5,0)))),0),0)+IF(AND(O974="FIRE TEX 5062",OR(E974="IN",E974="C",E974="Z",E974="L"),J974=3),VLOOKUP(_xlfn.MINIFS('FIRE TEX 5062'!$B$4:$B$34,'FIRE TEX 5062'!$B$4:$B$34,"&gt;="&amp;M974),'FIRE TEX 5062'!$B$4:$F$34,IF(L974="F-15",2,IF(L974="F-30",3,IF(L974="F-60",4,IF(L974="F-90",5,0)))),0),0)+IF(AND(O974="FIRE TEX 5062",OR(E974="IN",E974="C",E974="Z",E974="L"),J974=4),VLOOKUP(_xlfn.MINIFS('FIRE TEX 5062'!$G$4:$G$34,'FIRE TEX 5062'!$G$4:$G$34,"&gt;="&amp;M974),'FIRE TEX 5062'!$G$4:$K$34,IF(L974="F-15",2,IF(L974="F-30",3,IF(L974="F-60",4,IF(L974="F-90",5,0)))),0),0)+IF(AND(O974="FIRE TEX 5062",E974="CJ",J974=3),VLOOKUP(_xlfn.MINIFS('FIRE TEX 5062'!$L$4:$L$34,'FIRE TEX 5062'!$L$4:$L$34,"&gt;="&amp;M974),'FIRE TEX 5062'!$L$4:$P$34,IF(L974="F-15",2,IF(L974="F-30",3,IF(L974="F-60",4,IF(L974="F-90",5,0)))),0),0)+IF(AND(O974="FIRE TEX 5062",E974="CJ",J974=4),VLOOKUP(_xlfn.MINIFS('FIRE TEX 5062'!$Q$3:$Q$34,'FIRE TEX 5062'!$Q$3:$Q$34,"&gt;="&amp;M974),'FIRE TEX 5062'!$Q$3:$U$34,IF(L974="F-15",2,IF(L974="F-30",3,IF(L974="F-60",4,IF(L974="F-90",5,0)))),0),0)+IF(AND(O974="FIRE TEX 5090",OR(E974="IN",E974="C",E974="Z",E974="L"),J974=3),VLOOKUP(_xlfn.MINIFS('FIRE TEX 5090'!$B$5:$B$43,'FIRE TEX 5090'!$B$5:$B$43,"&gt;="&amp;M974),'FIRE TEX 5090'!$B$5:$H$43,IF(L974="F-15",2,IF(L974="F-30",3,IF(L974="F-60",4,IF(L974="F-90",5,IF(L974="F-120",6,IF(L974="F-150",7,0)))))),0),0)+IF(AND(O974="FIRE TEX 5090",OR(E974="IN",E974="C",E974="Z",E974="L"),J974=4),VLOOKUP(_xlfn.MINIFS('FIRE TEX 5090'!$J$5:$J$43,'FIRE TEX 5090'!$J$5:$J$43,"&gt;="&amp;M974),'FIRE TEX 5090'!$J$5:$P$43,IF(L974="F-15",2,IF(L974="F-30",3,IF(L974="F-60",4,IF(L974="F-90",5,IF(L974="F-120",6,IF(L974="F-150",7,0)))))),0),0)+IF(AND(O974="FIRE TEX 5090",E974="CJ",J974=3),VLOOKUP(_xlfn.MINIFS('FIRE TEX 5090'!$R$5:$R$30,'FIRE TEX 5090'!$R$5:$R$30,"&gt;="&amp;M974),'FIRE TEX 5090'!$R$5:$W$30,IF(L974="F-15",2,IF(L974="F-30",3,IF(L974="F-60",4,IF(L974="F-90",5,IF(L974="F-120",6,IF(L974="F-150",7,0)))))),0),0)+IF(AND(O974="FIRE TEX 5090",E974="CJ",J974=4),VLOOKUP(_xlfn.MINIFS('FIRE TEX 5090'!$Y$5:$Y$39,'FIRE TEX 5090'!$Y$5:$Y$39,"&gt;="&amp;M974),'FIRE TEX 5090'!$Y$5:$AD$39,IF(L974="F-15",2,IF(L974="F-30",3,IF(L974="F-60",4,IF(L974="F-90",5,IF(L974="F-120",6,IF(L974="F-150",7,0)))))),0),0)+IF(AND(O974="FIRE TEX 5120",OR(E974="IN",E974="C",E974="Z",E974="L"),J974=3),VLOOKUP(_xlfn.MINIFS('FIRE TEX 5120'!$B$5:$B$40,'FIRE TEX 5120'!$B$5:$B$40,"&gt;="&amp;M974),'FIRE TEX 5120'!$B$5:$G$40,IF(L974="F-15",2,IF(L974="F-30",3,IF(L974="F-60",4,IF(L974="F-90",5,IF(L974="F-120",6,0))))),0),0)+IF(AND(O974="FIRE TEX 5120",OR(E974="IN",E974="C",E974="Z",E974="L"),J974=4),VLOOKUP(_xlfn.MINIFS('FIRE TEX 5120'!$H$4:$H$40,'FIRE TEX 5120'!$H$4:$H$40,"&gt;="&amp;M974),'FIRE TEX 5120'!$H$4:$M$40,IF(L974="F-15",2,IF(L974="F-30",3,IF(L974="F-60",4,IF(L974="F-90",5,IF(L974="F-120",6,0))))),0),0)+IF(AND(O974="FIRE TEX 5120",E974="CJ"),VLOOKUP(_xlfn.MINIFS('FIRE TEX 5120'!$O$5:$O$40,'FIRE TEX 5120'!$O$5:$O$40,"&gt;="&amp;M974),'FIRE TEX 5120'!$O$5:$T$40,IF(L974="F-15",2,IF(L974="F-30",3,IF(L974="F-60",4,IF(L974="F-90",5,IF(L974="F-120",6,0))))),0),0)</f>
        <v>0</v>
      </c>
      <c r="Q974" s="46">
        <f t="shared" si="94"/>
        <v>0</v>
      </c>
      <c r="R974" s="46">
        <f t="shared" si="95"/>
        <v>0</v>
      </c>
      <c r="S974" s="46" t="e">
        <f t="shared" si="96"/>
        <v>#VALUE!</v>
      </c>
      <c r="T974" s="677">
        <f t="shared" si="97"/>
        <v>0</v>
      </c>
      <c r="U974" s="80">
        <f>(IF(O974="Stofire",(S974*#REF!),0))+(IF(O974="Fire Control",(S974*$U$2),0))+(IF(O974="Fire Tex",(S974*$U$3),0))+(IF(O974="WB7",(S974*#REF!),0)+(IF(O974="FX 2003",(S974*$U$5),0)))</f>
        <v>0</v>
      </c>
      <c r="V974" s="651">
        <f t="shared" si="98"/>
        <v>0</v>
      </c>
    </row>
    <row r="975" spans="4:22" x14ac:dyDescent="0.25">
      <c r="D975" s="118">
        <f>+CUBICACION!D974</f>
        <v>0</v>
      </c>
      <c r="E975" s="118">
        <f>+CUBICACION!F974</f>
        <v>0</v>
      </c>
      <c r="F975" s="118">
        <f>+CUBICACION!E974</f>
        <v>0</v>
      </c>
      <c r="G975" s="118">
        <v>12</v>
      </c>
      <c r="H975" s="118">
        <v>2</v>
      </c>
      <c r="I975" s="820">
        <v>26385</v>
      </c>
      <c r="J975" s="118">
        <f>+CUBICACION!J974</f>
        <v>0</v>
      </c>
      <c r="K975" s="118">
        <v>3754</v>
      </c>
      <c r="L975" s="118">
        <f>+CUBICACION!L974</f>
        <v>0</v>
      </c>
      <c r="M975" s="64">
        <f>+CUBICACION!M974</f>
        <v>0</v>
      </c>
      <c r="N975" s="824" t="str">
        <f>+CUBICACION!N974</f>
        <v/>
      </c>
      <c r="O975" s="675">
        <f>+CUBICACION!O974</f>
        <v>0</v>
      </c>
      <c r="P975" s="15">
        <f>IF(O975="Fire Control",VLOOKUP(_xlfn.MINIFS('FIRE CONTROL'!$C$4:$C$37,'FIRE CONTROL'!$C$4:$C$37,"&gt;="&amp;M975),'FIRE CONTROL'!$C$4:$G$37,IF(L975="F-15",2,IF(L975="F-30",3,IF(L975="F-60",4,IF(L975="F-90",5,0)))),0),0)+IF(AND(O975="FIRE TEX 5062",OR(E975="IN",E975="C",E975="Z",E975="L"),J975=3),VLOOKUP(_xlfn.MINIFS('FIRE TEX 5062'!$B$4:$B$34,'FIRE TEX 5062'!$B$4:$B$34,"&gt;="&amp;M975),'FIRE TEX 5062'!$B$4:$F$34,IF(L975="F-15",2,IF(L975="F-30",3,IF(L975="F-60",4,IF(L975="F-90",5,0)))),0),0)+IF(AND(O975="FIRE TEX 5062",OR(E975="IN",E975="C",E975="Z",E975="L"),J975=4),VLOOKUP(_xlfn.MINIFS('FIRE TEX 5062'!$G$4:$G$34,'FIRE TEX 5062'!$G$4:$G$34,"&gt;="&amp;M975),'FIRE TEX 5062'!$G$4:$K$34,IF(L975="F-15",2,IF(L975="F-30",3,IF(L975="F-60",4,IF(L975="F-90",5,0)))),0),0)+IF(AND(O975="FIRE TEX 5062",E975="CJ",J975=3),VLOOKUP(_xlfn.MINIFS('FIRE TEX 5062'!$L$4:$L$34,'FIRE TEX 5062'!$L$4:$L$34,"&gt;="&amp;M975),'FIRE TEX 5062'!$L$4:$P$34,IF(L975="F-15",2,IF(L975="F-30",3,IF(L975="F-60",4,IF(L975="F-90",5,0)))),0),0)+IF(AND(O975="FIRE TEX 5062",E975="CJ",J975=4),VLOOKUP(_xlfn.MINIFS('FIRE TEX 5062'!$Q$3:$Q$34,'FIRE TEX 5062'!$Q$3:$Q$34,"&gt;="&amp;M975),'FIRE TEX 5062'!$Q$3:$U$34,IF(L975="F-15",2,IF(L975="F-30",3,IF(L975="F-60",4,IF(L975="F-90",5,0)))),0),0)+IF(AND(O975="FIRE TEX 5090",OR(E975="IN",E975="C",E975="Z",E975="L"),J975=3),VLOOKUP(_xlfn.MINIFS('FIRE TEX 5090'!$B$5:$B$43,'FIRE TEX 5090'!$B$5:$B$43,"&gt;="&amp;M975),'FIRE TEX 5090'!$B$5:$H$43,IF(L975="F-15",2,IF(L975="F-30",3,IF(L975="F-60",4,IF(L975="F-90",5,IF(L975="F-120",6,IF(L975="F-150",7,0)))))),0),0)+IF(AND(O975="FIRE TEX 5090",OR(E975="IN",E975="C",E975="Z",E975="L"),J975=4),VLOOKUP(_xlfn.MINIFS('FIRE TEX 5090'!$J$5:$J$43,'FIRE TEX 5090'!$J$5:$J$43,"&gt;="&amp;M975),'FIRE TEX 5090'!$J$5:$P$43,IF(L975="F-15",2,IF(L975="F-30",3,IF(L975="F-60",4,IF(L975="F-90",5,IF(L975="F-120",6,IF(L975="F-150",7,0)))))),0),0)+IF(AND(O975="FIRE TEX 5090",E975="CJ",J975=3),VLOOKUP(_xlfn.MINIFS('FIRE TEX 5090'!$R$5:$R$30,'FIRE TEX 5090'!$R$5:$R$30,"&gt;="&amp;M975),'FIRE TEX 5090'!$R$5:$W$30,IF(L975="F-15",2,IF(L975="F-30",3,IF(L975="F-60",4,IF(L975="F-90",5,IF(L975="F-120",6,IF(L975="F-150",7,0)))))),0),0)+IF(AND(O975="FIRE TEX 5090",E975="CJ",J975=4),VLOOKUP(_xlfn.MINIFS('FIRE TEX 5090'!$Y$5:$Y$39,'FIRE TEX 5090'!$Y$5:$Y$39,"&gt;="&amp;M975),'FIRE TEX 5090'!$Y$5:$AD$39,IF(L975="F-15",2,IF(L975="F-30",3,IF(L975="F-60",4,IF(L975="F-90",5,IF(L975="F-120",6,IF(L975="F-150",7,0)))))),0),0)+IF(AND(O975="FIRE TEX 5120",OR(E975="IN",E975="C",E975="Z",E975="L"),J975=3),VLOOKUP(_xlfn.MINIFS('FIRE TEX 5120'!$B$5:$B$40,'FIRE TEX 5120'!$B$5:$B$40,"&gt;="&amp;M975),'FIRE TEX 5120'!$B$5:$G$40,IF(L975="F-15",2,IF(L975="F-30",3,IF(L975="F-60",4,IF(L975="F-90",5,IF(L975="F-120",6,0))))),0),0)+IF(AND(O975="FIRE TEX 5120",OR(E975="IN",E975="C",E975="Z",E975="L"),J975=4),VLOOKUP(_xlfn.MINIFS('FIRE TEX 5120'!$H$4:$H$40,'FIRE TEX 5120'!$H$4:$H$40,"&gt;="&amp;M975),'FIRE TEX 5120'!$H$4:$M$40,IF(L975="F-15",2,IF(L975="F-30",3,IF(L975="F-60",4,IF(L975="F-90",5,IF(L975="F-120",6,0))))),0),0)+IF(AND(O975="FIRE TEX 5120",E975="CJ"),VLOOKUP(_xlfn.MINIFS('FIRE TEX 5120'!$O$5:$O$40,'FIRE TEX 5120'!$O$5:$O$40,"&gt;="&amp;M975),'FIRE TEX 5120'!$O$5:$T$40,IF(L975="F-15",2,IF(L975="F-30",3,IF(L975="F-60",4,IF(L975="F-90",5,IF(L975="F-120",6,0))))),0),0)</f>
        <v>0</v>
      </c>
      <c r="Q975" s="46">
        <f t="shared" si="94"/>
        <v>0</v>
      </c>
      <c r="R975" s="46">
        <f t="shared" si="95"/>
        <v>0</v>
      </c>
      <c r="S975" s="46" t="e">
        <f t="shared" si="96"/>
        <v>#VALUE!</v>
      </c>
      <c r="T975" s="677">
        <f t="shared" si="97"/>
        <v>0</v>
      </c>
      <c r="U975" s="80">
        <f>(IF(O975="Stofire",(S975*#REF!),0))+(IF(O975="Fire Control",(S975*$U$2),0))+(IF(O975="Fire Tex",(S975*$U$3),0))+(IF(O975="WB7",(S975*#REF!),0)+(IF(O975="FX 2003",(S975*$U$5),0)))</f>
        <v>0</v>
      </c>
      <c r="V975" s="651">
        <f t="shared" si="98"/>
        <v>0</v>
      </c>
    </row>
    <row r="976" spans="4:22" x14ac:dyDescent="0.25">
      <c r="D976" s="118">
        <f>+CUBICACION!D975</f>
        <v>0</v>
      </c>
      <c r="E976" s="118">
        <f>+CUBICACION!F975</f>
        <v>0</v>
      </c>
      <c r="F976" s="118">
        <f>+CUBICACION!E975</f>
        <v>0</v>
      </c>
      <c r="G976" s="118">
        <v>12</v>
      </c>
      <c r="H976" s="118">
        <v>2</v>
      </c>
      <c r="I976" s="820">
        <v>26385</v>
      </c>
      <c r="J976" s="118">
        <f>+CUBICACION!J975</f>
        <v>0</v>
      </c>
      <c r="K976" s="118">
        <v>3755</v>
      </c>
      <c r="L976" s="118">
        <f>+CUBICACION!L975</f>
        <v>0</v>
      </c>
      <c r="M976" s="64">
        <f>+CUBICACION!M975</f>
        <v>0</v>
      </c>
      <c r="N976" s="824" t="str">
        <f>+CUBICACION!N975</f>
        <v/>
      </c>
      <c r="O976" s="675">
        <f>+CUBICACION!O975</f>
        <v>0</v>
      </c>
      <c r="P976" s="15">
        <f>IF(O976="Fire Control",VLOOKUP(_xlfn.MINIFS('FIRE CONTROL'!$C$4:$C$37,'FIRE CONTROL'!$C$4:$C$37,"&gt;="&amp;M976),'FIRE CONTROL'!$C$4:$G$37,IF(L976="F-15",2,IF(L976="F-30",3,IF(L976="F-60",4,IF(L976="F-90",5,0)))),0),0)+IF(AND(O976="FIRE TEX 5062",OR(E976="IN",E976="C",E976="Z",E976="L"),J976=3),VLOOKUP(_xlfn.MINIFS('FIRE TEX 5062'!$B$4:$B$34,'FIRE TEX 5062'!$B$4:$B$34,"&gt;="&amp;M976),'FIRE TEX 5062'!$B$4:$F$34,IF(L976="F-15",2,IF(L976="F-30",3,IF(L976="F-60",4,IF(L976="F-90",5,0)))),0),0)+IF(AND(O976="FIRE TEX 5062",OR(E976="IN",E976="C",E976="Z",E976="L"),J976=4),VLOOKUP(_xlfn.MINIFS('FIRE TEX 5062'!$G$4:$G$34,'FIRE TEX 5062'!$G$4:$G$34,"&gt;="&amp;M976),'FIRE TEX 5062'!$G$4:$K$34,IF(L976="F-15",2,IF(L976="F-30",3,IF(L976="F-60",4,IF(L976="F-90",5,0)))),0),0)+IF(AND(O976="FIRE TEX 5062",E976="CJ",J976=3),VLOOKUP(_xlfn.MINIFS('FIRE TEX 5062'!$L$4:$L$34,'FIRE TEX 5062'!$L$4:$L$34,"&gt;="&amp;M976),'FIRE TEX 5062'!$L$4:$P$34,IF(L976="F-15",2,IF(L976="F-30",3,IF(L976="F-60",4,IF(L976="F-90",5,0)))),0),0)+IF(AND(O976="FIRE TEX 5062",E976="CJ",J976=4),VLOOKUP(_xlfn.MINIFS('FIRE TEX 5062'!$Q$3:$Q$34,'FIRE TEX 5062'!$Q$3:$Q$34,"&gt;="&amp;M976),'FIRE TEX 5062'!$Q$3:$U$34,IF(L976="F-15",2,IF(L976="F-30",3,IF(L976="F-60",4,IF(L976="F-90",5,0)))),0),0)+IF(AND(O976="FIRE TEX 5090",OR(E976="IN",E976="C",E976="Z",E976="L"),J976=3),VLOOKUP(_xlfn.MINIFS('FIRE TEX 5090'!$B$5:$B$43,'FIRE TEX 5090'!$B$5:$B$43,"&gt;="&amp;M976),'FIRE TEX 5090'!$B$5:$H$43,IF(L976="F-15",2,IF(L976="F-30",3,IF(L976="F-60",4,IF(L976="F-90",5,IF(L976="F-120",6,IF(L976="F-150",7,0)))))),0),0)+IF(AND(O976="FIRE TEX 5090",OR(E976="IN",E976="C",E976="Z",E976="L"),J976=4),VLOOKUP(_xlfn.MINIFS('FIRE TEX 5090'!$J$5:$J$43,'FIRE TEX 5090'!$J$5:$J$43,"&gt;="&amp;M976),'FIRE TEX 5090'!$J$5:$P$43,IF(L976="F-15",2,IF(L976="F-30",3,IF(L976="F-60",4,IF(L976="F-90",5,IF(L976="F-120",6,IF(L976="F-150",7,0)))))),0),0)+IF(AND(O976="FIRE TEX 5090",E976="CJ",J976=3),VLOOKUP(_xlfn.MINIFS('FIRE TEX 5090'!$R$5:$R$30,'FIRE TEX 5090'!$R$5:$R$30,"&gt;="&amp;M976),'FIRE TEX 5090'!$R$5:$W$30,IF(L976="F-15",2,IF(L976="F-30",3,IF(L976="F-60",4,IF(L976="F-90",5,IF(L976="F-120",6,IF(L976="F-150",7,0)))))),0),0)+IF(AND(O976="FIRE TEX 5090",E976="CJ",J976=4),VLOOKUP(_xlfn.MINIFS('FIRE TEX 5090'!$Y$5:$Y$39,'FIRE TEX 5090'!$Y$5:$Y$39,"&gt;="&amp;M976),'FIRE TEX 5090'!$Y$5:$AD$39,IF(L976="F-15",2,IF(L976="F-30",3,IF(L976="F-60",4,IF(L976="F-90",5,IF(L976="F-120",6,IF(L976="F-150",7,0)))))),0),0)+IF(AND(O976="FIRE TEX 5120",OR(E976="IN",E976="C",E976="Z",E976="L"),J976=3),VLOOKUP(_xlfn.MINIFS('FIRE TEX 5120'!$B$5:$B$40,'FIRE TEX 5120'!$B$5:$B$40,"&gt;="&amp;M976),'FIRE TEX 5120'!$B$5:$G$40,IF(L976="F-15",2,IF(L976="F-30",3,IF(L976="F-60",4,IF(L976="F-90",5,IF(L976="F-120",6,0))))),0),0)+IF(AND(O976="FIRE TEX 5120",OR(E976="IN",E976="C",E976="Z",E976="L"),J976=4),VLOOKUP(_xlfn.MINIFS('FIRE TEX 5120'!$H$4:$H$40,'FIRE TEX 5120'!$H$4:$H$40,"&gt;="&amp;M976),'FIRE TEX 5120'!$H$4:$M$40,IF(L976="F-15",2,IF(L976="F-30",3,IF(L976="F-60",4,IF(L976="F-90",5,IF(L976="F-120",6,0))))),0),0)+IF(AND(O976="FIRE TEX 5120",E976="CJ"),VLOOKUP(_xlfn.MINIFS('FIRE TEX 5120'!$O$5:$O$40,'FIRE TEX 5120'!$O$5:$O$40,"&gt;="&amp;M976),'FIRE TEX 5120'!$O$5:$T$40,IF(L976="F-15",2,IF(L976="F-30",3,IF(L976="F-60",4,IF(L976="F-90",5,IF(L976="F-120",6,0))))),0),0)</f>
        <v>0</v>
      </c>
      <c r="Q976" s="46">
        <f t="shared" si="94"/>
        <v>0</v>
      </c>
      <c r="R976" s="46">
        <f t="shared" si="95"/>
        <v>0</v>
      </c>
      <c r="S976" s="46" t="e">
        <f t="shared" si="96"/>
        <v>#VALUE!</v>
      </c>
      <c r="T976" s="677">
        <f t="shared" si="97"/>
        <v>0</v>
      </c>
      <c r="U976" s="80">
        <f>(IF(O976="Stofire",(S976*#REF!),0))+(IF(O976="Fire Control",(S976*$U$2),0))+(IF(O976="Fire Tex",(S976*$U$3),0))+(IF(O976="WB7",(S976*#REF!),0)+(IF(O976="FX 2003",(S976*$U$5),0)))</f>
        <v>0</v>
      </c>
      <c r="V976" s="651">
        <f t="shared" si="98"/>
        <v>0</v>
      </c>
    </row>
    <row r="977" spans="4:22" x14ac:dyDescent="0.25">
      <c r="D977" s="118">
        <f>+CUBICACION!D976</f>
        <v>0</v>
      </c>
      <c r="E977" s="118">
        <f>+CUBICACION!F976</f>
        <v>0</v>
      </c>
      <c r="F977" s="118">
        <f>+CUBICACION!E976</f>
        <v>0</v>
      </c>
      <c r="G977" s="118">
        <v>12</v>
      </c>
      <c r="H977" s="118">
        <v>2</v>
      </c>
      <c r="I977" s="820">
        <v>26385</v>
      </c>
      <c r="J977" s="118">
        <f>+CUBICACION!J976</f>
        <v>0</v>
      </c>
      <c r="K977" s="118">
        <v>3756</v>
      </c>
      <c r="L977" s="118">
        <f>+CUBICACION!L976</f>
        <v>0</v>
      </c>
      <c r="M977" s="64">
        <f>+CUBICACION!M976</f>
        <v>0</v>
      </c>
      <c r="N977" s="824" t="str">
        <f>+CUBICACION!N976</f>
        <v/>
      </c>
      <c r="O977" s="675">
        <f>+CUBICACION!O976</f>
        <v>0</v>
      </c>
      <c r="P977" s="15">
        <f>IF(O977="Fire Control",VLOOKUP(_xlfn.MINIFS('FIRE CONTROL'!$C$4:$C$37,'FIRE CONTROL'!$C$4:$C$37,"&gt;="&amp;M977),'FIRE CONTROL'!$C$4:$G$37,IF(L977="F-15",2,IF(L977="F-30",3,IF(L977="F-60",4,IF(L977="F-90",5,0)))),0),0)+IF(AND(O977="FIRE TEX 5062",OR(E977="IN",E977="C",E977="Z",E977="L"),J977=3),VLOOKUP(_xlfn.MINIFS('FIRE TEX 5062'!$B$4:$B$34,'FIRE TEX 5062'!$B$4:$B$34,"&gt;="&amp;M977),'FIRE TEX 5062'!$B$4:$F$34,IF(L977="F-15",2,IF(L977="F-30",3,IF(L977="F-60",4,IF(L977="F-90",5,0)))),0),0)+IF(AND(O977="FIRE TEX 5062",OR(E977="IN",E977="C",E977="Z",E977="L"),J977=4),VLOOKUP(_xlfn.MINIFS('FIRE TEX 5062'!$G$4:$G$34,'FIRE TEX 5062'!$G$4:$G$34,"&gt;="&amp;M977),'FIRE TEX 5062'!$G$4:$K$34,IF(L977="F-15",2,IF(L977="F-30",3,IF(L977="F-60",4,IF(L977="F-90",5,0)))),0),0)+IF(AND(O977="FIRE TEX 5062",E977="CJ",J977=3),VLOOKUP(_xlfn.MINIFS('FIRE TEX 5062'!$L$4:$L$34,'FIRE TEX 5062'!$L$4:$L$34,"&gt;="&amp;M977),'FIRE TEX 5062'!$L$4:$P$34,IF(L977="F-15",2,IF(L977="F-30",3,IF(L977="F-60",4,IF(L977="F-90",5,0)))),0),0)+IF(AND(O977="FIRE TEX 5062",E977="CJ",J977=4),VLOOKUP(_xlfn.MINIFS('FIRE TEX 5062'!$Q$3:$Q$34,'FIRE TEX 5062'!$Q$3:$Q$34,"&gt;="&amp;M977),'FIRE TEX 5062'!$Q$3:$U$34,IF(L977="F-15",2,IF(L977="F-30",3,IF(L977="F-60",4,IF(L977="F-90",5,0)))),0),0)+IF(AND(O977="FIRE TEX 5090",OR(E977="IN",E977="C",E977="Z",E977="L"),J977=3),VLOOKUP(_xlfn.MINIFS('FIRE TEX 5090'!$B$5:$B$43,'FIRE TEX 5090'!$B$5:$B$43,"&gt;="&amp;M977),'FIRE TEX 5090'!$B$5:$H$43,IF(L977="F-15",2,IF(L977="F-30",3,IF(L977="F-60",4,IF(L977="F-90",5,IF(L977="F-120",6,IF(L977="F-150",7,0)))))),0),0)+IF(AND(O977="FIRE TEX 5090",OR(E977="IN",E977="C",E977="Z",E977="L"),J977=4),VLOOKUP(_xlfn.MINIFS('FIRE TEX 5090'!$J$5:$J$43,'FIRE TEX 5090'!$J$5:$J$43,"&gt;="&amp;M977),'FIRE TEX 5090'!$J$5:$P$43,IF(L977="F-15",2,IF(L977="F-30",3,IF(L977="F-60",4,IF(L977="F-90",5,IF(L977="F-120",6,IF(L977="F-150",7,0)))))),0),0)+IF(AND(O977="FIRE TEX 5090",E977="CJ",J977=3),VLOOKUP(_xlfn.MINIFS('FIRE TEX 5090'!$R$5:$R$30,'FIRE TEX 5090'!$R$5:$R$30,"&gt;="&amp;M977),'FIRE TEX 5090'!$R$5:$W$30,IF(L977="F-15",2,IF(L977="F-30",3,IF(L977="F-60",4,IF(L977="F-90",5,IF(L977="F-120",6,IF(L977="F-150",7,0)))))),0),0)+IF(AND(O977="FIRE TEX 5090",E977="CJ",J977=4),VLOOKUP(_xlfn.MINIFS('FIRE TEX 5090'!$Y$5:$Y$39,'FIRE TEX 5090'!$Y$5:$Y$39,"&gt;="&amp;M977),'FIRE TEX 5090'!$Y$5:$AD$39,IF(L977="F-15",2,IF(L977="F-30",3,IF(L977="F-60",4,IF(L977="F-90",5,IF(L977="F-120",6,IF(L977="F-150",7,0)))))),0),0)+IF(AND(O977="FIRE TEX 5120",OR(E977="IN",E977="C",E977="Z",E977="L"),J977=3),VLOOKUP(_xlfn.MINIFS('FIRE TEX 5120'!$B$5:$B$40,'FIRE TEX 5120'!$B$5:$B$40,"&gt;="&amp;M977),'FIRE TEX 5120'!$B$5:$G$40,IF(L977="F-15",2,IF(L977="F-30",3,IF(L977="F-60",4,IF(L977="F-90",5,IF(L977="F-120",6,0))))),0),0)+IF(AND(O977="FIRE TEX 5120",OR(E977="IN",E977="C",E977="Z",E977="L"),J977=4),VLOOKUP(_xlfn.MINIFS('FIRE TEX 5120'!$H$4:$H$40,'FIRE TEX 5120'!$H$4:$H$40,"&gt;="&amp;M977),'FIRE TEX 5120'!$H$4:$M$40,IF(L977="F-15",2,IF(L977="F-30",3,IF(L977="F-60",4,IF(L977="F-90",5,IF(L977="F-120",6,0))))),0),0)+IF(AND(O977="FIRE TEX 5120",E977="CJ"),VLOOKUP(_xlfn.MINIFS('FIRE TEX 5120'!$O$5:$O$40,'FIRE TEX 5120'!$O$5:$O$40,"&gt;="&amp;M977),'FIRE TEX 5120'!$O$5:$T$40,IF(L977="F-15",2,IF(L977="F-30",3,IF(L977="F-60",4,IF(L977="F-90",5,IF(L977="F-120",6,0))))),0),0)</f>
        <v>0</v>
      </c>
      <c r="Q977" s="46">
        <f t="shared" si="94"/>
        <v>0</v>
      </c>
      <c r="R977" s="46">
        <f t="shared" si="95"/>
        <v>0</v>
      </c>
      <c r="S977" s="46" t="e">
        <f t="shared" si="96"/>
        <v>#VALUE!</v>
      </c>
      <c r="T977" s="677">
        <f t="shared" si="97"/>
        <v>0</v>
      </c>
      <c r="U977" s="80">
        <f>(IF(O977="Stofire",(S977*#REF!),0))+(IF(O977="Fire Control",(S977*$U$2),0))+(IF(O977="Fire Tex",(S977*$U$3),0))+(IF(O977="WB7",(S977*#REF!),0)+(IF(O977="FX 2003",(S977*$U$5),0)))</f>
        <v>0</v>
      </c>
      <c r="V977" s="651">
        <f t="shared" si="98"/>
        <v>0</v>
      </c>
    </row>
    <row r="978" spans="4:22" x14ac:dyDescent="0.25">
      <c r="D978" s="118">
        <f>+CUBICACION!D977</f>
        <v>0</v>
      </c>
      <c r="E978" s="118">
        <f>+CUBICACION!F977</f>
        <v>0</v>
      </c>
      <c r="F978" s="118">
        <f>+CUBICACION!E977</f>
        <v>0</v>
      </c>
      <c r="G978" s="118">
        <v>12</v>
      </c>
      <c r="H978" s="118">
        <v>2</v>
      </c>
      <c r="I978" s="820">
        <v>26385</v>
      </c>
      <c r="J978" s="118">
        <f>+CUBICACION!J977</f>
        <v>0</v>
      </c>
      <c r="K978" s="118">
        <v>3757</v>
      </c>
      <c r="L978" s="118">
        <f>+CUBICACION!L977</f>
        <v>0</v>
      </c>
      <c r="M978" s="64">
        <f>+CUBICACION!M977</f>
        <v>0</v>
      </c>
      <c r="N978" s="824" t="str">
        <f>+CUBICACION!N977</f>
        <v/>
      </c>
      <c r="O978" s="675">
        <f>+CUBICACION!O977</f>
        <v>0</v>
      </c>
      <c r="P978" s="15">
        <f>IF(O978="Fire Control",VLOOKUP(_xlfn.MINIFS('FIRE CONTROL'!$C$4:$C$37,'FIRE CONTROL'!$C$4:$C$37,"&gt;="&amp;M978),'FIRE CONTROL'!$C$4:$G$37,IF(L978="F-15",2,IF(L978="F-30",3,IF(L978="F-60",4,IF(L978="F-90",5,0)))),0),0)+IF(AND(O978="FIRE TEX 5062",OR(E978="IN",E978="C",E978="Z",E978="L"),J978=3),VLOOKUP(_xlfn.MINIFS('FIRE TEX 5062'!$B$4:$B$34,'FIRE TEX 5062'!$B$4:$B$34,"&gt;="&amp;M978),'FIRE TEX 5062'!$B$4:$F$34,IF(L978="F-15",2,IF(L978="F-30",3,IF(L978="F-60",4,IF(L978="F-90",5,0)))),0),0)+IF(AND(O978="FIRE TEX 5062",OR(E978="IN",E978="C",E978="Z",E978="L"),J978=4),VLOOKUP(_xlfn.MINIFS('FIRE TEX 5062'!$G$4:$G$34,'FIRE TEX 5062'!$G$4:$G$34,"&gt;="&amp;M978),'FIRE TEX 5062'!$G$4:$K$34,IF(L978="F-15",2,IF(L978="F-30",3,IF(L978="F-60",4,IF(L978="F-90",5,0)))),0),0)+IF(AND(O978="FIRE TEX 5062",E978="CJ",J978=3),VLOOKUP(_xlfn.MINIFS('FIRE TEX 5062'!$L$4:$L$34,'FIRE TEX 5062'!$L$4:$L$34,"&gt;="&amp;M978),'FIRE TEX 5062'!$L$4:$P$34,IF(L978="F-15",2,IF(L978="F-30",3,IF(L978="F-60",4,IF(L978="F-90",5,0)))),0),0)+IF(AND(O978="FIRE TEX 5062",E978="CJ",J978=4),VLOOKUP(_xlfn.MINIFS('FIRE TEX 5062'!$Q$3:$Q$34,'FIRE TEX 5062'!$Q$3:$Q$34,"&gt;="&amp;M978),'FIRE TEX 5062'!$Q$3:$U$34,IF(L978="F-15",2,IF(L978="F-30",3,IF(L978="F-60",4,IF(L978="F-90",5,0)))),0),0)+IF(AND(O978="FIRE TEX 5090",OR(E978="IN",E978="C",E978="Z",E978="L"),J978=3),VLOOKUP(_xlfn.MINIFS('FIRE TEX 5090'!$B$5:$B$43,'FIRE TEX 5090'!$B$5:$B$43,"&gt;="&amp;M978),'FIRE TEX 5090'!$B$5:$H$43,IF(L978="F-15",2,IF(L978="F-30",3,IF(L978="F-60",4,IF(L978="F-90",5,IF(L978="F-120",6,IF(L978="F-150",7,0)))))),0),0)+IF(AND(O978="FIRE TEX 5090",OR(E978="IN",E978="C",E978="Z",E978="L"),J978=4),VLOOKUP(_xlfn.MINIFS('FIRE TEX 5090'!$J$5:$J$43,'FIRE TEX 5090'!$J$5:$J$43,"&gt;="&amp;M978),'FIRE TEX 5090'!$J$5:$P$43,IF(L978="F-15",2,IF(L978="F-30",3,IF(L978="F-60",4,IF(L978="F-90",5,IF(L978="F-120",6,IF(L978="F-150",7,0)))))),0),0)+IF(AND(O978="FIRE TEX 5090",E978="CJ",J978=3),VLOOKUP(_xlfn.MINIFS('FIRE TEX 5090'!$R$5:$R$30,'FIRE TEX 5090'!$R$5:$R$30,"&gt;="&amp;M978),'FIRE TEX 5090'!$R$5:$W$30,IF(L978="F-15",2,IF(L978="F-30",3,IF(L978="F-60",4,IF(L978="F-90",5,IF(L978="F-120",6,IF(L978="F-150",7,0)))))),0),0)+IF(AND(O978="FIRE TEX 5090",E978="CJ",J978=4),VLOOKUP(_xlfn.MINIFS('FIRE TEX 5090'!$Y$5:$Y$39,'FIRE TEX 5090'!$Y$5:$Y$39,"&gt;="&amp;M978),'FIRE TEX 5090'!$Y$5:$AD$39,IF(L978="F-15",2,IF(L978="F-30",3,IF(L978="F-60",4,IF(L978="F-90",5,IF(L978="F-120",6,IF(L978="F-150",7,0)))))),0),0)+IF(AND(O978="FIRE TEX 5120",OR(E978="IN",E978="C",E978="Z",E978="L"),J978=3),VLOOKUP(_xlfn.MINIFS('FIRE TEX 5120'!$B$5:$B$40,'FIRE TEX 5120'!$B$5:$B$40,"&gt;="&amp;M978),'FIRE TEX 5120'!$B$5:$G$40,IF(L978="F-15",2,IF(L978="F-30",3,IF(L978="F-60",4,IF(L978="F-90",5,IF(L978="F-120",6,0))))),0),0)+IF(AND(O978="FIRE TEX 5120",OR(E978="IN",E978="C",E978="Z",E978="L"),J978=4),VLOOKUP(_xlfn.MINIFS('FIRE TEX 5120'!$H$4:$H$40,'FIRE TEX 5120'!$H$4:$H$40,"&gt;="&amp;M978),'FIRE TEX 5120'!$H$4:$M$40,IF(L978="F-15",2,IF(L978="F-30",3,IF(L978="F-60",4,IF(L978="F-90",5,IF(L978="F-120",6,0))))),0),0)+IF(AND(O978="FIRE TEX 5120",E978="CJ"),VLOOKUP(_xlfn.MINIFS('FIRE TEX 5120'!$O$5:$O$40,'FIRE TEX 5120'!$O$5:$O$40,"&gt;="&amp;M978),'FIRE TEX 5120'!$O$5:$T$40,IF(L978="F-15",2,IF(L978="F-30",3,IF(L978="F-60",4,IF(L978="F-90",5,IF(L978="F-120",6,0))))),0),0)</f>
        <v>0</v>
      </c>
      <c r="Q978" s="46">
        <f t="shared" si="94"/>
        <v>0</v>
      </c>
      <c r="R978" s="46">
        <f t="shared" si="95"/>
        <v>0</v>
      </c>
      <c r="S978" s="46" t="e">
        <f t="shared" si="96"/>
        <v>#VALUE!</v>
      </c>
      <c r="T978" s="677">
        <f t="shared" si="97"/>
        <v>0</v>
      </c>
      <c r="U978" s="80">
        <f>(IF(O978="Stofire",(S978*#REF!),0))+(IF(O978="Fire Control",(S978*$U$2),0))+(IF(O978="Fire Tex",(S978*$U$3),0))+(IF(O978="WB7",(S978*#REF!),0)+(IF(O978="FX 2003",(S978*$U$5),0)))</f>
        <v>0</v>
      </c>
      <c r="V978" s="651">
        <f t="shared" si="98"/>
        <v>0</v>
      </c>
    </row>
    <row r="979" spans="4:22" x14ac:dyDescent="0.25">
      <c r="D979" s="118">
        <f>+CUBICACION!D978</f>
        <v>0</v>
      </c>
      <c r="E979" s="118">
        <f>+CUBICACION!F978</f>
        <v>0</v>
      </c>
      <c r="F979" s="118">
        <f>+CUBICACION!E978</f>
        <v>0</v>
      </c>
      <c r="G979" s="118">
        <v>12</v>
      </c>
      <c r="H979" s="118">
        <v>2</v>
      </c>
      <c r="I979" s="820">
        <v>26385</v>
      </c>
      <c r="J979" s="118">
        <f>+CUBICACION!J978</f>
        <v>0</v>
      </c>
      <c r="K979" s="118">
        <v>3758</v>
      </c>
      <c r="L979" s="118">
        <f>+CUBICACION!L978</f>
        <v>0</v>
      </c>
      <c r="M979" s="64">
        <f>+CUBICACION!M978</f>
        <v>0</v>
      </c>
      <c r="N979" s="824" t="str">
        <f>+CUBICACION!N978</f>
        <v/>
      </c>
      <c r="O979" s="675">
        <f>+CUBICACION!O978</f>
        <v>0</v>
      </c>
      <c r="P979" s="15">
        <f>IF(O979="Fire Control",VLOOKUP(_xlfn.MINIFS('FIRE CONTROL'!$C$4:$C$37,'FIRE CONTROL'!$C$4:$C$37,"&gt;="&amp;M979),'FIRE CONTROL'!$C$4:$G$37,IF(L979="F-15",2,IF(L979="F-30",3,IF(L979="F-60",4,IF(L979="F-90",5,0)))),0),0)+IF(AND(O979="FIRE TEX 5062",OR(E979="IN",E979="C",E979="Z",E979="L"),J979=3),VLOOKUP(_xlfn.MINIFS('FIRE TEX 5062'!$B$4:$B$34,'FIRE TEX 5062'!$B$4:$B$34,"&gt;="&amp;M979),'FIRE TEX 5062'!$B$4:$F$34,IF(L979="F-15",2,IF(L979="F-30",3,IF(L979="F-60",4,IF(L979="F-90",5,0)))),0),0)+IF(AND(O979="FIRE TEX 5062",OR(E979="IN",E979="C",E979="Z",E979="L"),J979=4),VLOOKUP(_xlfn.MINIFS('FIRE TEX 5062'!$G$4:$G$34,'FIRE TEX 5062'!$G$4:$G$34,"&gt;="&amp;M979),'FIRE TEX 5062'!$G$4:$K$34,IF(L979="F-15",2,IF(L979="F-30",3,IF(L979="F-60",4,IF(L979="F-90",5,0)))),0),0)+IF(AND(O979="FIRE TEX 5062",E979="CJ",J979=3),VLOOKUP(_xlfn.MINIFS('FIRE TEX 5062'!$L$4:$L$34,'FIRE TEX 5062'!$L$4:$L$34,"&gt;="&amp;M979),'FIRE TEX 5062'!$L$4:$P$34,IF(L979="F-15",2,IF(L979="F-30",3,IF(L979="F-60",4,IF(L979="F-90",5,0)))),0),0)+IF(AND(O979="FIRE TEX 5062",E979="CJ",J979=4),VLOOKUP(_xlfn.MINIFS('FIRE TEX 5062'!$Q$3:$Q$34,'FIRE TEX 5062'!$Q$3:$Q$34,"&gt;="&amp;M979),'FIRE TEX 5062'!$Q$3:$U$34,IF(L979="F-15",2,IF(L979="F-30",3,IF(L979="F-60",4,IF(L979="F-90",5,0)))),0),0)+IF(AND(O979="FIRE TEX 5090",OR(E979="IN",E979="C",E979="Z",E979="L"),J979=3),VLOOKUP(_xlfn.MINIFS('FIRE TEX 5090'!$B$5:$B$43,'FIRE TEX 5090'!$B$5:$B$43,"&gt;="&amp;M979),'FIRE TEX 5090'!$B$5:$H$43,IF(L979="F-15",2,IF(L979="F-30",3,IF(L979="F-60",4,IF(L979="F-90",5,IF(L979="F-120",6,IF(L979="F-150",7,0)))))),0),0)+IF(AND(O979="FIRE TEX 5090",OR(E979="IN",E979="C",E979="Z",E979="L"),J979=4),VLOOKUP(_xlfn.MINIFS('FIRE TEX 5090'!$J$5:$J$43,'FIRE TEX 5090'!$J$5:$J$43,"&gt;="&amp;M979),'FIRE TEX 5090'!$J$5:$P$43,IF(L979="F-15",2,IF(L979="F-30",3,IF(L979="F-60",4,IF(L979="F-90",5,IF(L979="F-120",6,IF(L979="F-150",7,0)))))),0),0)+IF(AND(O979="FIRE TEX 5090",E979="CJ",J979=3),VLOOKUP(_xlfn.MINIFS('FIRE TEX 5090'!$R$5:$R$30,'FIRE TEX 5090'!$R$5:$R$30,"&gt;="&amp;M979),'FIRE TEX 5090'!$R$5:$W$30,IF(L979="F-15",2,IF(L979="F-30",3,IF(L979="F-60",4,IF(L979="F-90",5,IF(L979="F-120",6,IF(L979="F-150",7,0)))))),0),0)+IF(AND(O979="FIRE TEX 5090",E979="CJ",J979=4),VLOOKUP(_xlfn.MINIFS('FIRE TEX 5090'!$Y$5:$Y$39,'FIRE TEX 5090'!$Y$5:$Y$39,"&gt;="&amp;M979),'FIRE TEX 5090'!$Y$5:$AD$39,IF(L979="F-15",2,IF(L979="F-30",3,IF(L979="F-60",4,IF(L979="F-90",5,IF(L979="F-120",6,IF(L979="F-150",7,0)))))),0),0)+IF(AND(O979="FIRE TEX 5120",OR(E979="IN",E979="C",E979="Z",E979="L"),J979=3),VLOOKUP(_xlfn.MINIFS('FIRE TEX 5120'!$B$5:$B$40,'FIRE TEX 5120'!$B$5:$B$40,"&gt;="&amp;M979),'FIRE TEX 5120'!$B$5:$G$40,IF(L979="F-15",2,IF(L979="F-30",3,IF(L979="F-60",4,IF(L979="F-90",5,IF(L979="F-120",6,0))))),0),0)+IF(AND(O979="FIRE TEX 5120",OR(E979="IN",E979="C",E979="Z",E979="L"),J979=4),VLOOKUP(_xlfn.MINIFS('FIRE TEX 5120'!$H$4:$H$40,'FIRE TEX 5120'!$H$4:$H$40,"&gt;="&amp;M979),'FIRE TEX 5120'!$H$4:$M$40,IF(L979="F-15",2,IF(L979="F-30",3,IF(L979="F-60",4,IF(L979="F-90",5,IF(L979="F-120",6,0))))),0),0)+IF(AND(O979="FIRE TEX 5120",E979="CJ"),VLOOKUP(_xlfn.MINIFS('FIRE TEX 5120'!$O$5:$O$40,'FIRE TEX 5120'!$O$5:$O$40,"&gt;="&amp;M979),'FIRE TEX 5120'!$O$5:$T$40,IF(L979="F-15",2,IF(L979="F-30",3,IF(L979="F-60",4,IF(L979="F-90",5,IF(L979="F-120",6,0))))),0),0)</f>
        <v>0</v>
      </c>
      <c r="Q979" s="46">
        <f t="shared" si="94"/>
        <v>0</v>
      </c>
      <c r="R979" s="46">
        <f t="shared" si="95"/>
        <v>0</v>
      </c>
      <c r="S979" s="46" t="e">
        <f t="shared" si="96"/>
        <v>#VALUE!</v>
      </c>
      <c r="T979" s="677">
        <f t="shared" si="97"/>
        <v>0</v>
      </c>
      <c r="U979" s="80">
        <f>(IF(O979="Stofire",(S979*#REF!),0))+(IF(O979="Fire Control",(S979*$U$2),0))+(IF(O979="Fire Tex",(S979*$U$3),0))+(IF(O979="WB7",(S979*#REF!),0)+(IF(O979="FX 2003",(S979*$U$5),0)))</f>
        <v>0</v>
      </c>
      <c r="V979" s="651">
        <f t="shared" si="98"/>
        <v>0</v>
      </c>
    </row>
    <row r="980" spans="4:22" x14ac:dyDescent="0.25">
      <c r="D980" s="118">
        <f>+CUBICACION!D979</f>
        <v>0</v>
      </c>
      <c r="E980" s="118">
        <f>+CUBICACION!F979</f>
        <v>0</v>
      </c>
      <c r="F980" s="118">
        <f>+CUBICACION!E979</f>
        <v>0</v>
      </c>
      <c r="G980" s="118">
        <v>12</v>
      </c>
      <c r="H980" s="118">
        <v>2</v>
      </c>
      <c r="I980" s="820">
        <v>26385</v>
      </c>
      <c r="J980" s="118">
        <f>+CUBICACION!J979</f>
        <v>0</v>
      </c>
      <c r="K980" s="118">
        <v>3759</v>
      </c>
      <c r="L980" s="118">
        <f>+CUBICACION!L979</f>
        <v>0</v>
      </c>
      <c r="M980" s="64">
        <f>+CUBICACION!M979</f>
        <v>0</v>
      </c>
      <c r="N980" s="824" t="str">
        <f>+CUBICACION!N979</f>
        <v/>
      </c>
      <c r="O980" s="675">
        <f>+CUBICACION!O979</f>
        <v>0</v>
      </c>
      <c r="P980" s="15">
        <f>IF(O980="Fire Control",VLOOKUP(_xlfn.MINIFS('FIRE CONTROL'!$C$4:$C$37,'FIRE CONTROL'!$C$4:$C$37,"&gt;="&amp;M980),'FIRE CONTROL'!$C$4:$G$37,IF(L980="F-15",2,IF(L980="F-30",3,IF(L980="F-60",4,IF(L980="F-90",5,0)))),0),0)+IF(AND(O980="FIRE TEX 5062",OR(E980="IN",E980="C",E980="Z",E980="L"),J980=3),VLOOKUP(_xlfn.MINIFS('FIRE TEX 5062'!$B$4:$B$34,'FIRE TEX 5062'!$B$4:$B$34,"&gt;="&amp;M980),'FIRE TEX 5062'!$B$4:$F$34,IF(L980="F-15",2,IF(L980="F-30",3,IF(L980="F-60",4,IF(L980="F-90",5,0)))),0),0)+IF(AND(O980="FIRE TEX 5062",OR(E980="IN",E980="C",E980="Z",E980="L"),J980=4),VLOOKUP(_xlfn.MINIFS('FIRE TEX 5062'!$G$4:$G$34,'FIRE TEX 5062'!$G$4:$G$34,"&gt;="&amp;M980),'FIRE TEX 5062'!$G$4:$K$34,IF(L980="F-15",2,IF(L980="F-30",3,IF(L980="F-60",4,IF(L980="F-90",5,0)))),0),0)+IF(AND(O980="FIRE TEX 5062",E980="CJ",J980=3),VLOOKUP(_xlfn.MINIFS('FIRE TEX 5062'!$L$4:$L$34,'FIRE TEX 5062'!$L$4:$L$34,"&gt;="&amp;M980),'FIRE TEX 5062'!$L$4:$P$34,IF(L980="F-15",2,IF(L980="F-30",3,IF(L980="F-60",4,IF(L980="F-90",5,0)))),0),0)+IF(AND(O980="FIRE TEX 5062",E980="CJ",J980=4),VLOOKUP(_xlfn.MINIFS('FIRE TEX 5062'!$Q$3:$Q$34,'FIRE TEX 5062'!$Q$3:$Q$34,"&gt;="&amp;M980),'FIRE TEX 5062'!$Q$3:$U$34,IF(L980="F-15",2,IF(L980="F-30",3,IF(L980="F-60",4,IF(L980="F-90",5,0)))),0),0)+IF(AND(O980="FIRE TEX 5090",OR(E980="IN",E980="C",E980="Z",E980="L"),J980=3),VLOOKUP(_xlfn.MINIFS('FIRE TEX 5090'!$B$5:$B$43,'FIRE TEX 5090'!$B$5:$B$43,"&gt;="&amp;M980),'FIRE TEX 5090'!$B$5:$H$43,IF(L980="F-15",2,IF(L980="F-30",3,IF(L980="F-60",4,IF(L980="F-90",5,IF(L980="F-120",6,IF(L980="F-150",7,0)))))),0),0)+IF(AND(O980="FIRE TEX 5090",OR(E980="IN",E980="C",E980="Z",E980="L"),J980=4),VLOOKUP(_xlfn.MINIFS('FIRE TEX 5090'!$J$5:$J$43,'FIRE TEX 5090'!$J$5:$J$43,"&gt;="&amp;M980),'FIRE TEX 5090'!$J$5:$P$43,IF(L980="F-15",2,IF(L980="F-30",3,IF(L980="F-60",4,IF(L980="F-90",5,IF(L980="F-120",6,IF(L980="F-150",7,0)))))),0),0)+IF(AND(O980="FIRE TEX 5090",E980="CJ",J980=3),VLOOKUP(_xlfn.MINIFS('FIRE TEX 5090'!$R$5:$R$30,'FIRE TEX 5090'!$R$5:$R$30,"&gt;="&amp;M980),'FIRE TEX 5090'!$R$5:$W$30,IF(L980="F-15",2,IF(L980="F-30",3,IF(L980="F-60",4,IF(L980="F-90",5,IF(L980="F-120",6,IF(L980="F-150",7,0)))))),0),0)+IF(AND(O980="FIRE TEX 5090",E980="CJ",J980=4),VLOOKUP(_xlfn.MINIFS('FIRE TEX 5090'!$Y$5:$Y$39,'FIRE TEX 5090'!$Y$5:$Y$39,"&gt;="&amp;M980),'FIRE TEX 5090'!$Y$5:$AD$39,IF(L980="F-15",2,IF(L980="F-30",3,IF(L980="F-60",4,IF(L980="F-90",5,IF(L980="F-120",6,IF(L980="F-150",7,0)))))),0),0)+IF(AND(O980="FIRE TEX 5120",OR(E980="IN",E980="C",E980="Z",E980="L"),J980=3),VLOOKUP(_xlfn.MINIFS('FIRE TEX 5120'!$B$5:$B$40,'FIRE TEX 5120'!$B$5:$B$40,"&gt;="&amp;M980),'FIRE TEX 5120'!$B$5:$G$40,IF(L980="F-15",2,IF(L980="F-30",3,IF(L980="F-60",4,IF(L980="F-90",5,IF(L980="F-120",6,0))))),0),0)+IF(AND(O980="FIRE TEX 5120",OR(E980="IN",E980="C",E980="Z",E980="L"),J980=4),VLOOKUP(_xlfn.MINIFS('FIRE TEX 5120'!$H$4:$H$40,'FIRE TEX 5120'!$H$4:$H$40,"&gt;="&amp;M980),'FIRE TEX 5120'!$H$4:$M$40,IF(L980="F-15",2,IF(L980="F-30",3,IF(L980="F-60",4,IF(L980="F-90",5,IF(L980="F-120",6,0))))),0),0)+IF(AND(O980="FIRE TEX 5120",E980="CJ"),VLOOKUP(_xlfn.MINIFS('FIRE TEX 5120'!$O$5:$O$40,'FIRE TEX 5120'!$O$5:$O$40,"&gt;="&amp;M980),'FIRE TEX 5120'!$O$5:$T$40,IF(L980="F-15",2,IF(L980="F-30",3,IF(L980="F-60",4,IF(L980="F-90",5,IF(L980="F-120",6,0))))),0),0)</f>
        <v>0</v>
      </c>
      <c r="Q980" s="46">
        <f t="shared" si="94"/>
        <v>0</v>
      </c>
      <c r="R980" s="46">
        <f t="shared" si="95"/>
        <v>0</v>
      </c>
      <c r="S980" s="46" t="e">
        <f t="shared" si="96"/>
        <v>#VALUE!</v>
      </c>
      <c r="T980" s="677">
        <f t="shared" si="97"/>
        <v>0</v>
      </c>
      <c r="U980" s="80">
        <f>(IF(O980="Stofire",(S980*#REF!),0))+(IF(O980="Fire Control",(S980*$U$2),0))+(IF(O980="Fire Tex",(S980*$U$3),0))+(IF(O980="WB7",(S980*#REF!),0)+(IF(O980="FX 2003",(S980*$U$5),0)))</f>
        <v>0</v>
      </c>
      <c r="V980" s="651">
        <f t="shared" si="98"/>
        <v>0</v>
      </c>
    </row>
    <row r="981" spans="4:22" x14ac:dyDescent="0.25">
      <c r="D981" s="118">
        <f>+CUBICACION!D980</f>
        <v>0</v>
      </c>
      <c r="E981" s="118">
        <f>+CUBICACION!F980</f>
        <v>0</v>
      </c>
      <c r="F981" s="118">
        <f>+CUBICACION!E980</f>
        <v>0</v>
      </c>
      <c r="G981" s="118">
        <v>12</v>
      </c>
      <c r="H981" s="118">
        <v>2</v>
      </c>
      <c r="I981" s="820">
        <v>26385</v>
      </c>
      <c r="J981" s="118">
        <f>+CUBICACION!J980</f>
        <v>0</v>
      </c>
      <c r="K981" s="118">
        <v>3760</v>
      </c>
      <c r="L981" s="118">
        <f>+CUBICACION!L980</f>
        <v>0</v>
      </c>
      <c r="M981" s="64">
        <f>+CUBICACION!M980</f>
        <v>0</v>
      </c>
      <c r="N981" s="824" t="str">
        <f>+CUBICACION!N980</f>
        <v/>
      </c>
      <c r="O981" s="675">
        <f>+CUBICACION!O980</f>
        <v>0</v>
      </c>
      <c r="P981" s="15">
        <f>IF(O981="Fire Control",VLOOKUP(_xlfn.MINIFS('FIRE CONTROL'!$C$4:$C$37,'FIRE CONTROL'!$C$4:$C$37,"&gt;="&amp;M981),'FIRE CONTROL'!$C$4:$G$37,IF(L981="F-15",2,IF(L981="F-30",3,IF(L981="F-60",4,IF(L981="F-90",5,0)))),0),0)+IF(AND(O981="FIRE TEX 5062",OR(E981="IN",E981="C",E981="Z",E981="L"),J981=3),VLOOKUP(_xlfn.MINIFS('FIRE TEX 5062'!$B$4:$B$34,'FIRE TEX 5062'!$B$4:$B$34,"&gt;="&amp;M981),'FIRE TEX 5062'!$B$4:$F$34,IF(L981="F-15",2,IF(L981="F-30",3,IF(L981="F-60",4,IF(L981="F-90",5,0)))),0),0)+IF(AND(O981="FIRE TEX 5062",OR(E981="IN",E981="C",E981="Z",E981="L"),J981=4),VLOOKUP(_xlfn.MINIFS('FIRE TEX 5062'!$G$4:$G$34,'FIRE TEX 5062'!$G$4:$G$34,"&gt;="&amp;M981),'FIRE TEX 5062'!$G$4:$K$34,IF(L981="F-15",2,IF(L981="F-30",3,IF(L981="F-60",4,IF(L981="F-90",5,0)))),0),0)+IF(AND(O981="FIRE TEX 5062",E981="CJ",J981=3),VLOOKUP(_xlfn.MINIFS('FIRE TEX 5062'!$L$4:$L$34,'FIRE TEX 5062'!$L$4:$L$34,"&gt;="&amp;M981),'FIRE TEX 5062'!$L$4:$P$34,IF(L981="F-15",2,IF(L981="F-30",3,IF(L981="F-60",4,IF(L981="F-90",5,0)))),0),0)+IF(AND(O981="FIRE TEX 5062",E981="CJ",J981=4),VLOOKUP(_xlfn.MINIFS('FIRE TEX 5062'!$Q$3:$Q$34,'FIRE TEX 5062'!$Q$3:$Q$34,"&gt;="&amp;M981),'FIRE TEX 5062'!$Q$3:$U$34,IF(L981="F-15",2,IF(L981="F-30",3,IF(L981="F-60",4,IF(L981="F-90",5,0)))),0),0)+IF(AND(O981="FIRE TEX 5090",OR(E981="IN",E981="C",E981="Z",E981="L"),J981=3),VLOOKUP(_xlfn.MINIFS('FIRE TEX 5090'!$B$5:$B$43,'FIRE TEX 5090'!$B$5:$B$43,"&gt;="&amp;M981),'FIRE TEX 5090'!$B$5:$H$43,IF(L981="F-15",2,IF(L981="F-30",3,IF(L981="F-60",4,IF(L981="F-90",5,IF(L981="F-120",6,IF(L981="F-150",7,0)))))),0),0)+IF(AND(O981="FIRE TEX 5090",OR(E981="IN",E981="C",E981="Z",E981="L"),J981=4),VLOOKUP(_xlfn.MINIFS('FIRE TEX 5090'!$J$5:$J$43,'FIRE TEX 5090'!$J$5:$J$43,"&gt;="&amp;M981),'FIRE TEX 5090'!$J$5:$P$43,IF(L981="F-15",2,IF(L981="F-30",3,IF(L981="F-60",4,IF(L981="F-90",5,IF(L981="F-120",6,IF(L981="F-150",7,0)))))),0),0)+IF(AND(O981="FIRE TEX 5090",E981="CJ",J981=3),VLOOKUP(_xlfn.MINIFS('FIRE TEX 5090'!$R$5:$R$30,'FIRE TEX 5090'!$R$5:$R$30,"&gt;="&amp;M981),'FIRE TEX 5090'!$R$5:$W$30,IF(L981="F-15",2,IF(L981="F-30",3,IF(L981="F-60",4,IF(L981="F-90",5,IF(L981="F-120",6,IF(L981="F-150",7,0)))))),0),0)+IF(AND(O981="FIRE TEX 5090",E981="CJ",J981=4),VLOOKUP(_xlfn.MINIFS('FIRE TEX 5090'!$Y$5:$Y$39,'FIRE TEX 5090'!$Y$5:$Y$39,"&gt;="&amp;M981),'FIRE TEX 5090'!$Y$5:$AD$39,IF(L981="F-15",2,IF(L981="F-30",3,IF(L981="F-60",4,IF(L981="F-90",5,IF(L981="F-120",6,IF(L981="F-150",7,0)))))),0),0)+IF(AND(O981="FIRE TEX 5120",OR(E981="IN",E981="C",E981="Z",E981="L"),J981=3),VLOOKUP(_xlfn.MINIFS('FIRE TEX 5120'!$B$5:$B$40,'FIRE TEX 5120'!$B$5:$B$40,"&gt;="&amp;M981),'FIRE TEX 5120'!$B$5:$G$40,IF(L981="F-15",2,IF(L981="F-30",3,IF(L981="F-60",4,IF(L981="F-90",5,IF(L981="F-120",6,0))))),0),0)+IF(AND(O981="FIRE TEX 5120",OR(E981="IN",E981="C",E981="Z",E981="L"),J981=4),VLOOKUP(_xlfn.MINIFS('FIRE TEX 5120'!$H$4:$H$40,'FIRE TEX 5120'!$H$4:$H$40,"&gt;="&amp;M981),'FIRE TEX 5120'!$H$4:$M$40,IF(L981="F-15",2,IF(L981="F-30",3,IF(L981="F-60",4,IF(L981="F-90",5,IF(L981="F-120",6,0))))),0),0)+IF(AND(O981="FIRE TEX 5120",E981="CJ"),VLOOKUP(_xlfn.MINIFS('FIRE TEX 5120'!$O$5:$O$40,'FIRE TEX 5120'!$O$5:$O$40,"&gt;="&amp;M981),'FIRE TEX 5120'!$O$5:$T$40,IF(L981="F-15",2,IF(L981="F-30",3,IF(L981="F-60",4,IF(L981="F-90",5,IF(L981="F-120",6,0))))),0),0)</f>
        <v>0</v>
      </c>
      <c r="Q981" s="46">
        <f t="shared" si="94"/>
        <v>0</v>
      </c>
      <c r="R981" s="46">
        <f t="shared" si="95"/>
        <v>0</v>
      </c>
      <c r="S981" s="46" t="e">
        <f t="shared" si="96"/>
        <v>#VALUE!</v>
      </c>
      <c r="T981" s="677">
        <f t="shared" si="97"/>
        <v>0</v>
      </c>
      <c r="U981" s="80">
        <f>(IF(O981="Stofire",(S981*#REF!),0))+(IF(O981="Fire Control",(S981*$U$2),0))+(IF(O981="Fire Tex",(S981*$U$3),0))+(IF(O981="WB7",(S981*#REF!),0)+(IF(O981="FX 2003",(S981*$U$5),0)))</f>
        <v>0</v>
      </c>
      <c r="V981" s="651">
        <f t="shared" si="98"/>
        <v>0</v>
      </c>
    </row>
    <row r="982" spans="4:22" x14ac:dyDescent="0.25">
      <c r="D982" s="118">
        <f>+CUBICACION!D981</f>
        <v>0</v>
      </c>
      <c r="E982" s="118">
        <f>+CUBICACION!F981</f>
        <v>0</v>
      </c>
      <c r="F982" s="118">
        <f>+CUBICACION!E981</f>
        <v>0</v>
      </c>
      <c r="G982" s="118">
        <v>12</v>
      </c>
      <c r="H982" s="118">
        <v>2</v>
      </c>
      <c r="I982" s="820">
        <v>26385</v>
      </c>
      <c r="J982" s="118">
        <f>+CUBICACION!J981</f>
        <v>0</v>
      </c>
      <c r="K982" s="118">
        <v>3761</v>
      </c>
      <c r="L982" s="118">
        <f>+CUBICACION!L981</f>
        <v>0</v>
      </c>
      <c r="M982" s="64">
        <f>+CUBICACION!M981</f>
        <v>0</v>
      </c>
      <c r="N982" s="824" t="str">
        <f>+CUBICACION!N981</f>
        <v/>
      </c>
      <c r="O982" s="675">
        <f>+CUBICACION!O981</f>
        <v>0</v>
      </c>
      <c r="P982" s="15">
        <f>IF(O982="Fire Control",VLOOKUP(_xlfn.MINIFS('FIRE CONTROL'!$C$4:$C$37,'FIRE CONTROL'!$C$4:$C$37,"&gt;="&amp;M982),'FIRE CONTROL'!$C$4:$G$37,IF(L982="F-15",2,IF(L982="F-30",3,IF(L982="F-60",4,IF(L982="F-90",5,0)))),0),0)+IF(AND(O982="FIRE TEX 5062",OR(E982="IN",E982="C",E982="Z",E982="L"),J982=3),VLOOKUP(_xlfn.MINIFS('FIRE TEX 5062'!$B$4:$B$34,'FIRE TEX 5062'!$B$4:$B$34,"&gt;="&amp;M982),'FIRE TEX 5062'!$B$4:$F$34,IF(L982="F-15",2,IF(L982="F-30",3,IF(L982="F-60",4,IF(L982="F-90",5,0)))),0),0)+IF(AND(O982="FIRE TEX 5062",OR(E982="IN",E982="C",E982="Z",E982="L"),J982=4),VLOOKUP(_xlfn.MINIFS('FIRE TEX 5062'!$G$4:$G$34,'FIRE TEX 5062'!$G$4:$G$34,"&gt;="&amp;M982),'FIRE TEX 5062'!$G$4:$K$34,IF(L982="F-15",2,IF(L982="F-30",3,IF(L982="F-60",4,IF(L982="F-90",5,0)))),0),0)+IF(AND(O982="FIRE TEX 5062",E982="CJ",J982=3),VLOOKUP(_xlfn.MINIFS('FIRE TEX 5062'!$L$4:$L$34,'FIRE TEX 5062'!$L$4:$L$34,"&gt;="&amp;M982),'FIRE TEX 5062'!$L$4:$P$34,IF(L982="F-15",2,IF(L982="F-30",3,IF(L982="F-60",4,IF(L982="F-90",5,0)))),0),0)+IF(AND(O982="FIRE TEX 5062",E982="CJ",J982=4),VLOOKUP(_xlfn.MINIFS('FIRE TEX 5062'!$Q$3:$Q$34,'FIRE TEX 5062'!$Q$3:$Q$34,"&gt;="&amp;M982),'FIRE TEX 5062'!$Q$3:$U$34,IF(L982="F-15",2,IF(L982="F-30",3,IF(L982="F-60",4,IF(L982="F-90",5,0)))),0),0)+IF(AND(O982="FIRE TEX 5090",OR(E982="IN",E982="C",E982="Z",E982="L"),J982=3),VLOOKUP(_xlfn.MINIFS('FIRE TEX 5090'!$B$5:$B$43,'FIRE TEX 5090'!$B$5:$B$43,"&gt;="&amp;M982),'FIRE TEX 5090'!$B$5:$H$43,IF(L982="F-15",2,IF(L982="F-30",3,IF(L982="F-60",4,IF(L982="F-90",5,IF(L982="F-120",6,IF(L982="F-150",7,0)))))),0),0)+IF(AND(O982="FIRE TEX 5090",OR(E982="IN",E982="C",E982="Z",E982="L"),J982=4),VLOOKUP(_xlfn.MINIFS('FIRE TEX 5090'!$J$5:$J$43,'FIRE TEX 5090'!$J$5:$J$43,"&gt;="&amp;M982),'FIRE TEX 5090'!$J$5:$P$43,IF(L982="F-15",2,IF(L982="F-30",3,IF(L982="F-60",4,IF(L982="F-90",5,IF(L982="F-120",6,IF(L982="F-150",7,0)))))),0),0)+IF(AND(O982="FIRE TEX 5090",E982="CJ",J982=3),VLOOKUP(_xlfn.MINIFS('FIRE TEX 5090'!$R$5:$R$30,'FIRE TEX 5090'!$R$5:$R$30,"&gt;="&amp;M982),'FIRE TEX 5090'!$R$5:$W$30,IF(L982="F-15",2,IF(L982="F-30",3,IF(L982="F-60",4,IF(L982="F-90",5,IF(L982="F-120",6,IF(L982="F-150",7,0)))))),0),0)+IF(AND(O982="FIRE TEX 5090",E982="CJ",J982=4),VLOOKUP(_xlfn.MINIFS('FIRE TEX 5090'!$Y$5:$Y$39,'FIRE TEX 5090'!$Y$5:$Y$39,"&gt;="&amp;M982),'FIRE TEX 5090'!$Y$5:$AD$39,IF(L982="F-15",2,IF(L982="F-30",3,IF(L982="F-60",4,IF(L982="F-90",5,IF(L982="F-120",6,IF(L982="F-150",7,0)))))),0),0)+IF(AND(O982="FIRE TEX 5120",OR(E982="IN",E982="C",E982="Z",E982="L"),J982=3),VLOOKUP(_xlfn.MINIFS('FIRE TEX 5120'!$B$5:$B$40,'FIRE TEX 5120'!$B$5:$B$40,"&gt;="&amp;M982),'FIRE TEX 5120'!$B$5:$G$40,IF(L982="F-15",2,IF(L982="F-30",3,IF(L982="F-60",4,IF(L982="F-90",5,IF(L982="F-120",6,0))))),0),0)+IF(AND(O982="FIRE TEX 5120",OR(E982="IN",E982="C",E982="Z",E982="L"),J982=4),VLOOKUP(_xlfn.MINIFS('FIRE TEX 5120'!$H$4:$H$40,'FIRE TEX 5120'!$H$4:$H$40,"&gt;="&amp;M982),'FIRE TEX 5120'!$H$4:$M$40,IF(L982="F-15",2,IF(L982="F-30",3,IF(L982="F-60",4,IF(L982="F-90",5,IF(L982="F-120",6,0))))),0),0)+IF(AND(O982="FIRE TEX 5120",E982="CJ"),VLOOKUP(_xlfn.MINIFS('FIRE TEX 5120'!$O$5:$O$40,'FIRE TEX 5120'!$O$5:$O$40,"&gt;="&amp;M982),'FIRE TEX 5120'!$O$5:$T$40,IF(L982="F-15",2,IF(L982="F-30",3,IF(L982="F-60",4,IF(L982="F-90",5,IF(L982="F-120",6,0))))),0),0)</f>
        <v>0</v>
      </c>
      <c r="Q982" s="46">
        <f t="shared" si="94"/>
        <v>0</v>
      </c>
      <c r="R982" s="46">
        <f t="shared" si="95"/>
        <v>0</v>
      </c>
      <c r="S982" s="46" t="e">
        <f t="shared" si="96"/>
        <v>#VALUE!</v>
      </c>
      <c r="T982" s="677">
        <f t="shared" si="97"/>
        <v>0</v>
      </c>
      <c r="U982" s="80">
        <f>(IF(O982="Stofire",(S982*#REF!),0))+(IF(O982="Fire Control",(S982*$U$2),0))+(IF(O982="Fire Tex",(S982*$U$3),0))+(IF(O982="WB7",(S982*#REF!),0)+(IF(O982="FX 2003",(S982*$U$5),0)))</f>
        <v>0</v>
      </c>
      <c r="V982" s="651">
        <f t="shared" si="98"/>
        <v>0</v>
      </c>
    </row>
    <row r="983" spans="4:22" x14ac:dyDescent="0.25">
      <c r="D983" s="118">
        <f>+CUBICACION!D982</f>
        <v>0</v>
      </c>
      <c r="E983" s="118">
        <f>+CUBICACION!F982</f>
        <v>0</v>
      </c>
      <c r="F983" s="118">
        <f>+CUBICACION!E982</f>
        <v>0</v>
      </c>
      <c r="G983" s="118">
        <v>12</v>
      </c>
      <c r="H983" s="118">
        <v>2</v>
      </c>
      <c r="I983" s="820">
        <v>26385</v>
      </c>
      <c r="J983" s="118">
        <f>+CUBICACION!J982</f>
        <v>0</v>
      </c>
      <c r="K983" s="118">
        <v>3762</v>
      </c>
      <c r="L983" s="118">
        <f>+CUBICACION!L982</f>
        <v>0</v>
      </c>
      <c r="M983" s="64">
        <f>+CUBICACION!M982</f>
        <v>0</v>
      </c>
      <c r="N983" s="824" t="str">
        <f>+CUBICACION!N982</f>
        <v/>
      </c>
      <c r="O983" s="675">
        <f>+CUBICACION!O982</f>
        <v>0</v>
      </c>
      <c r="P983" s="15">
        <f>IF(O983="Fire Control",VLOOKUP(_xlfn.MINIFS('FIRE CONTROL'!$C$4:$C$37,'FIRE CONTROL'!$C$4:$C$37,"&gt;="&amp;M983),'FIRE CONTROL'!$C$4:$G$37,IF(L983="F-15",2,IF(L983="F-30",3,IF(L983="F-60",4,IF(L983="F-90",5,0)))),0),0)+IF(AND(O983="FIRE TEX 5062",OR(E983="IN",E983="C",E983="Z",E983="L"),J983=3),VLOOKUP(_xlfn.MINIFS('FIRE TEX 5062'!$B$4:$B$34,'FIRE TEX 5062'!$B$4:$B$34,"&gt;="&amp;M983),'FIRE TEX 5062'!$B$4:$F$34,IF(L983="F-15",2,IF(L983="F-30",3,IF(L983="F-60",4,IF(L983="F-90",5,0)))),0),0)+IF(AND(O983="FIRE TEX 5062",OR(E983="IN",E983="C",E983="Z",E983="L"),J983=4),VLOOKUP(_xlfn.MINIFS('FIRE TEX 5062'!$G$4:$G$34,'FIRE TEX 5062'!$G$4:$G$34,"&gt;="&amp;M983),'FIRE TEX 5062'!$G$4:$K$34,IF(L983="F-15",2,IF(L983="F-30",3,IF(L983="F-60",4,IF(L983="F-90",5,0)))),0),0)+IF(AND(O983="FIRE TEX 5062",E983="CJ",J983=3),VLOOKUP(_xlfn.MINIFS('FIRE TEX 5062'!$L$4:$L$34,'FIRE TEX 5062'!$L$4:$L$34,"&gt;="&amp;M983),'FIRE TEX 5062'!$L$4:$P$34,IF(L983="F-15",2,IF(L983="F-30",3,IF(L983="F-60",4,IF(L983="F-90",5,0)))),0),0)+IF(AND(O983="FIRE TEX 5062",E983="CJ",J983=4),VLOOKUP(_xlfn.MINIFS('FIRE TEX 5062'!$Q$3:$Q$34,'FIRE TEX 5062'!$Q$3:$Q$34,"&gt;="&amp;M983),'FIRE TEX 5062'!$Q$3:$U$34,IF(L983="F-15",2,IF(L983="F-30",3,IF(L983="F-60",4,IF(L983="F-90",5,0)))),0),0)+IF(AND(O983="FIRE TEX 5090",OR(E983="IN",E983="C",E983="Z",E983="L"),J983=3),VLOOKUP(_xlfn.MINIFS('FIRE TEX 5090'!$B$5:$B$43,'FIRE TEX 5090'!$B$5:$B$43,"&gt;="&amp;M983),'FIRE TEX 5090'!$B$5:$H$43,IF(L983="F-15",2,IF(L983="F-30",3,IF(L983="F-60",4,IF(L983="F-90",5,IF(L983="F-120",6,IF(L983="F-150",7,0)))))),0),0)+IF(AND(O983="FIRE TEX 5090",OR(E983="IN",E983="C",E983="Z",E983="L"),J983=4),VLOOKUP(_xlfn.MINIFS('FIRE TEX 5090'!$J$5:$J$43,'FIRE TEX 5090'!$J$5:$J$43,"&gt;="&amp;M983),'FIRE TEX 5090'!$J$5:$P$43,IF(L983="F-15",2,IF(L983="F-30",3,IF(L983="F-60",4,IF(L983="F-90",5,IF(L983="F-120",6,IF(L983="F-150",7,0)))))),0),0)+IF(AND(O983="FIRE TEX 5090",E983="CJ",J983=3),VLOOKUP(_xlfn.MINIFS('FIRE TEX 5090'!$R$5:$R$30,'FIRE TEX 5090'!$R$5:$R$30,"&gt;="&amp;M983),'FIRE TEX 5090'!$R$5:$W$30,IF(L983="F-15",2,IF(L983="F-30",3,IF(L983="F-60",4,IF(L983="F-90",5,IF(L983="F-120",6,IF(L983="F-150",7,0)))))),0),0)+IF(AND(O983="FIRE TEX 5090",E983="CJ",J983=4),VLOOKUP(_xlfn.MINIFS('FIRE TEX 5090'!$Y$5:$Y$39,'FIRE TEX 5090'!$Y$5:$Y$39,"&gt;="&amp;M983),'FIRE TEX 5090'!$Y$5:$AD$39,IF(L983="F-15",2,IF(L983="F-30",3,IF(L983="F-60",4,IF(L983="F-90",5,IF(L983="F-120",6,IF(L983="F-150",7,0)))))),0),0)+IF(AND(O983="FIRE TEX 5120",OR(E983="IN",E983="C",E983="Z",E983="L"),J983=3),VLOOKUP(_xlfn.MINIFS('FIRE TEX 5120'!$B$5:$B$40,'FIRE TEX 5120'!$B$5:$B$40,"&gt;="&amp;M983),'FIRE TEX 5120'!$B$5:$G$40,IF(L983="F-15",2,IF(L983="F-30",3,IF(L983="F-60",4,IF(L983="F-90",5,IF(L983="F-120",6,0))))),0),0)+IF(AND(O983="FIRE TEX 5120",OR(E983="IN",E983="C",E983="Z",E983="L"),J983=4),VLOOKUP(_xlfn.MINIFS('FIRE TEX 5120'!$H$4:$H$40,'FIRE TEX 5120'!$H$4:$H$40,"&gt;="&amp;M983),'FIRE TEX 5120'!$H$4:$M$40,IF(L983="F-15",2,IF(L983="F-30",3,IF(L983="F-60",4,IF(L983="F-90",5,IF(L983="F-120",6,0))))),0),0)+IF(AND(O983="FIRE TEX 5120",E983="CJ"),VLOOKUP(_xlfn.MINIFS('FIRE TEX 5120'!$O$5:$O$40,'FIRE TEX 5120'!$O$5:$O$40,"&gt;="&amp;M983),'FIRE TEX 5120'!$O$5:$T$40,IF(L983="F-15",2,IF(L983="F-30",3,IF(L983="F-60",4,IF(L983="F-90",5,IF(L983="F-120",6,0))))),0),0)</f>
        <v>0</v>
      </c>
      <c r="Q983" s="46">
        <f t="shared" si="94"/>
        <v>0</v>
      </c>
      <c r="R983" s="46">
        <f t="shared" si="95"/>
        <v>0</v>
      </c>
      <c r="S983" s="46" t="e">
        <f t="shared" si="96"/>
        <v>#VALUE!</v>
      </c>
      <c r="T983" s="677">
        <f t="shared" si="97"/>
        <v>0</v>
      </c>
      <c r="U983" s="80">
        <f>(IF(O983="Stofire",(S983*#REF!),0))+(IF(O983="Fire Control",(S983*$U$2),0))+(IF(O983="Fire Tex",(S983*$U$3),0))+(IF(O983="WB7",(S983*#REF!),0)+(IF(O983="FX 2003",(S983*$U$5),0)))</f>
        <v>0</v>
      </c>
      <c r="V983" s="651">
        <f t="shared" si="98"/>
        <v>0</v>
      </c>
    </row>
    <row r="984" spans="4:22" x14ac:dyDescent="0.25">
      <c r="D984" s="118">
        <f>+CUBICACION!D983</f>
        <v>0</v>
      </c>
      <c r="E984" s="118">
        <f>+CUBICACION!F983</f>
        <v>0</v>
      </c>
      <c r="F984" s="118">
        <f>+CUBICACION!E983</f>
        <v>0</v>
      </c>
      <c r="G984" s="118">
        <v>12</v>
      </c>
      <c r="H984" s="118">
        <v>2</v>
      </c>
      <c r="I984" s="820">
        <v>26385</v>
      </c>
      <c r="J984" s="118">
        <f>+CUBICACION!J983</f>
        <v>0</v>
      </c>
      <c r="K984" s="118">
        <v>3763</v>
      </c>
      <c r="L984" s="118">
        <f>+CUBICACION!L983</f>
        <v>0</v>
      </c>
      <c r="M984" s="64">
        <f>+CUBICACION!M983</f>
        <v>0</v>
      </c>
      <c r="N984" s="824" t="str">
        <f>+CUBICACION!N983</f>
        <v/>
      </c>
      <c r="O984" s="675">
        <f>+CUBICACION!O983</f>
        <v>0</v>
      </c>
      <c r="P984" s="15">
        <f>IF(O984="Fire Control",VLOOKUP(_xlfn.MINIFS('FIRE CONTROL'!$C$4:$C$37,'FIRE CONTROL'!$C$4:$C$37,"&gt;="&amp;M984),'FIRE CONTROL'!$C$4:$G$37,IF(L984="F-15",2,IF(L984="F-30",3,IF(L984="F-60",4,IF(L984="F-90",5,0)))),0),0)+IF(AND(O984="FIRE TEX 5062",OR(E984="IN",E984="C",E984="Z",E984="L"),J984=3),VLOOKUP(_xlfn.MINIFS('FIRE TEX 5062'!$B$4:$B$34,'FIRE TEX 5062'!$B$4:$B$34,"&gt;="&amp;M984),'FIRE TEX 5062'!$B$4:$F$34,IF(L984="F-15",2,IF(L984="F-30",3,IF(L984="F-60",4,IF(L984="F-90",5,0)))),0),0)+IF(AND(O984="FIRE TEX 5062",OR(E984="IN",E984="C",E984="Z",E984="L"),J984=4),VLOOKUP(_xlfn.MINIFS('FIRE TEX 5062'!$G$4:$G$34,'FIRE TEX 5062'!$G$4:$G$34,"&gt;="&amp;M984),'FIRE TEX 5062'!$G$4:$K$34,IF(L984="F-15",2,IF(L984="F-30",3,IF(L984="F-60",4,IF(L984="F-90",5,0)))),0),0)+IF(AND(O984="FIRE TEX 5062",E984="CJ",J984=3),VLOOKUP(_xlfn.MINIFS('FIRE TEX 5062'!$L$4:$L$34,'FIRE TEX 5062'!$L$4:$L$34,"&gt;="&amp;M984),'FIRE TEX 5062'!$L$4:$P$34,IF(L984="F-15",2,IF(L984="F-30",3,IF(L984="F-60",4,IF(L984="F-90",5,0)))),0),0)+IF(AND(O984="FIRE TEX 5062",E984="CJ",J984=4),VLOOKUP(_xlfn.MINIFS('FIRE TEX 5062'!$Q$3:$Q$34,'FIRE TEX 5062'!$Q$3:$Q$34,"&gt;="&amp;M984),'FIRE TEX 5062'!$Q$3:$U$34,IF(L984="F-15",2,IF(L984="F-30",3,IF(L984="F-60",4,IF(L984="F-90",5,0)))),0),0)+IF(AND(O984="FIRE TEX 5090",OR(E984="IN",E984="C",E984="Z",E984="L"),J984=3),VLOOKUP(_xlfn.MINIFS('FIRE TEX 5090'!$B$5:$B$43,'FIRE TEX 5090'!$B$5:$B$43,"&gt;="&amp;M984),'FIRE TEX 5090'!$B$5:$H$43,IF(L984="F-15",2,IF(L984="F-30",3,IF(L984="F-60",4,IF(L984="F-90",5,IF(L984="F-120",6,IF(L984="F-150",7,0)))))),0),0)+IF(AND(O984="FIRE TEX 5090",OR(E984="IN",E984="C",E984="Z",E984="L"),J984=4),VLOOKUP(_xlfn.MINIFS('FIRE TEX 5090'!$J$5:$J$43,'FIRE TEX 5090'!$J$5:$J$43,"&gt;="&amp;M984),'FIRE TEX 5090'!$J$5:$P$43,IF(L984="F-15",2,IF(L984="F-30",3,IF(L984="F-60",4,IF(L984="F-90",5,IF(L984="F-120",6,IF(L984="F-150",7,0)))))),0),0)+IF(AND(O984="FIRE TEX 5090",E984="CJ",J984=3),VLOOKUP(_xlfn.MINIFS('FIRE TEX 5090'!$R$5:$R$30,'FIRE TEX 5090'!$R$5:$R$30,"&gt;="&amp;M984),'FIRE TEX 5090'!$R$5:$W$30,IF(L984="F-15",2,IF(L984="F-30",3,IF(L984="F-60",4,IF(L984="F-90",5,IF(L984="F-120",6,IF(L984="F-150",7,0)))))),0),0)+IF(AND(O984="FIRE TEX 5090",E984="CJ",J984=4),VLOOKUP(_xlfn.MINIFS('FIRE TEX 5090'!$Y$5:$Y$39,'FIRE TEX 5090'!$Y$5:$Y$39,"&gt;="&amp;M984),'FIRE TEX 5090'!$Y$5:$AD$39,IF(L984="F-15",2,IF(L984="F-30",3,IF(L984="F-60",4,IF(L984="F-90",5,IF(L984="F-120",6,IF(L984="F-150",7,0)))))),0),0)+IF(AND(O984="FIRE TEX 5120",OR(E984="IN",E984="C",E984="Z",E984="L"),J984=3),VLOOKUP(_xlfn.MINIFS('FIRE TEX 5120'!$B$5:$B$40,'FIRE TEX 5120'!$B$5:$B$40,"&gt;="&amp;M984),'FIRE TEX 5120'!$B$5:$G$40,IF(L984="F-15",2,IF(L984="F-30",3,IF(L984="F-60",4,IF(L984="F-90",5,IF(L984="F-120",6,0))))),0),0)+IF(AND(O984="FIRE TEX 5120",OR(E984="IN",E984="C",E984="Z",E984="L"),J984=4),VLOOKUP(_xlfn.MINIFS('FIRE TEX 5120'!$H$4:$H$40,'FIRE TEX 5120'!$H$4:$H$40,"&gt;="&amp;M984),'FIRE TEX 5120'!$H$4:$M$40,IF(L984="F-15",2,IF(L984="F-30",3,IF(L984="F-60",4,IF(L984="F-90",5,IF(L984="F-120",6,0))))),0),0)+IF(AND(O984="FIRE TEX 5120",E984="CJ"),VLOOKUP(_xlfn.MINIFS('FIRE TEX 5120'!$O$5:$O$40,'FIRE TEX 5120'!$O$5:$O$40,"&gt;="&amp;M984),'FIRE TEX 5120'!$O$5:$T$40,IF(L984="F-15",2,IF(L984="F-30",3,IF(L984="F-60",4,IF(L984="F-90",5,IF(L984="F-120",6,0))))),0),0)</f>
        <v>0</v>
      </c>
      <c r="Q984" s="46">
        <f t="shared" si="94"/>
        <v>0</v>
      </c>
      <c r="R984" s="46">
        <f t="shared" si="95"/>
        <v>0</v>
      </c>
      <c r="S984" s="46" t="e">
        <f t="shared" si="96"/>
        <v>#VALUE!</v>
      </c>
      <c r="T984" s="677">
        <f t="shared" si="97"/>
        <v>0</v>
      </c>
      <c r="U984" s="80">
        <f>(IF(O984="Stofire",(S984*#REF!),0))+(IF(O984="Fire Control",(S984*$U$2),0))+(IF(O984="Fire Tex",(S984*$U$3),0))+(IF(O984="WB7",(S984*#REF!),0)+(IF(O984="FX 2003",(S984*$U$5),0)))</f>
        <v>0</v>
      </c>
      <c r="V984" s="651">
        <f t="shared" si="98"/>
        <v>0</v>
      </c>
    </row>
    <row r="985" spans="4:22" x14ac:dyDescent="0.25">
      <c r="D985" s="118">
        <f>+CUBICACION!D984</f>
        <v>0</v>
      </c>
      <c r="E985" s="118">
        <f>+CUBICACION!F984</f>
        <v>0</v>
      </c>
      <c r="F985" s="118">
        <f>+CUBICACION!E984</f>
        <v>0</v>
      </c>
      <c r="G985" s="118">
        <v>12</v>
      </c>
      <c r="H985" s="118">
        <v>2</v>
      </c>
      <c r="I985" s="820">
        <v>26385</v>
      </c>
      <c r="J985" s="118">
        <f>+CUBICACION!J984</f>
        <v>0</v>
      </c>
      <c r="K985" s="118">
        <v>3764</v>
      </c>
      <c r="L985" s="118">
        <f>+CUBICACION!L984</f>
        <v>0</v>
      </c>
      <c r="M985" s="64">
        <f>+CUBICACION!M984</f>
        <v>0</v>
      </c>
      <c r="N985" s="824" t="str">
        <f>+CUBICACION!N984</f>
        <v/>
      </c>
      <c r="O985" s="675">
        <f>+CUBICACION!O984</f>
        <v>0</v>
      </c>
      <c r="P985" s="15">
        <f>IF(O985="Fire Control",VLOOKUP(_xlfn.MINIFS('FIRE CONTROL'!$C$4:$C$37,'FIRE CONTROL'!$C$4:$C$37,"&gt;="&amp;M985),'FIRE CONTROL'!$C$4:$G$37,IF(L985="F-15",2,IF(L985="F-30",3,IF(L985="F-60",4,IF(L985="F-90",5,0)))),0),0)+IF(AND(O985="FIRE TEX 5062",OR(E985="IN",E985="C",E985="Z",E985="L"),J985=3),VLOOKUP(_xlfn.MINIFS('FIRE TEX 5062'!$B$4:$B$34,'FIRE TEX 5062'!$B$4:$B$34,"&gt;="&amp;M985),'FIRE TEX 5062'!$B$4:$F$34,IF(L985="F-15",2,IF(L985="F-30",3,IF(L985="F-60",4,IF(L985="F-90",5,0)))),0),0)+IF(AND(O985="FIRE TEX 5062",OR(E985="IN",E985="C",E985="Z",E985="L"),J985=4),VLOOKUP(_xlfn.MINIFS('FIRE TEX 5062'!$G$4:$G$34,'FIRE TEX 5062'!$G$4:$G$34,"&gt;="&amp;M985),'FIRE TEX 5062'!$G$4:$K$34,IF(L985="F-15",2,IF(L985="F-30",3,IF(L985="F-60",4,IF(L985="F-90",5,0)))),0),0)+IF(AND(O985="FIRE TEX 5062",E985="CJ",J985=3),VLOOKUP(_xlfn.MINIFS('FIRE TEX 5062'!$L$4:$L$34,'FIRE TEX 5062'!$L$4:$L$34,"&gt;="&amp;M985),'FIRE TEX 5062'!$L$4:$P$34,IF(L985="F-15",2,IF(L985="F-30",3,IF(L985="F-60",4,IF(L985="F-90",5,0)))),0),0)+IF(AND(O985="FIRE TEX 5062",E985="CJ",J985=4),VLOOKUP(_xlfn.MINIFS('FIRE TEX 5062'!$Q$3:$Q$34,'FIRE TEX 5062'!$Q$3:$Q$34,"&gt;="&amp;M985),'FIRE TEX 5062'!$Q$3:$U$34,IF(L985="F-15",2,IF(L985="F-30",3,IF(L985="F-60",4,IF(L985="F-90",5,0)))),0),0)+IF(AND(O985="FIRE TEX 5090",OR(E985="IN",E985="C",E985="Z",E985="L"),J985=3),VLOOKUP(_xlfn.MINIFS('FIRE TEX 5090'!$B$5:$B$43,'FIRE TEX 5090'!$B$5:$B$43,"&gt;="&amp;M985),'FIRE TEX 5090'!$B$5:$H$43,IF(L985="F-15",2,IF(L985="F-30",3,IF(L985="F-60",4,IF(L985="F-90",5,IF(L985="F-120",6,IF(L985="F-150",7,0)))))),0),0)+IF(AND(O985="FIRE TEX 5090",OR(E985="IN",E985="C",E985="Z",E985="L"),J985=4),VLOOKUP(_xlfn.MINIFS('FIRE TEX 5090'!$J$5:$J$43,'FIRE TEX 5090'!$J$5:$J$43,"&gt;="&amp;M985),'FIRE TEX 5090'!$J$5:$P$43,IF(L985="F-15",2,IF(L985="F-30",3,IF(L985="F-60",4,IF(L985="F-90",5,IF(L985="F-120",6,IF(L985="F-150",7,0)))))),0),0)+IF(AND(O985="FIRE TEX 5090",E985="CJ",J985=3),VLOOKUP(_xlfn.MINIFS('FIRE TEX 5090'!$R$5:$R$30,'FIRE TEX 5090'!$R$5:$R$30,"&gt;="&amp;M985),'FIRE TEX 5090'!$R$5:$W$30,IF(L985="F-15",2,IF(L985="F-30",3,IF(L985="F-60",4,IF(L985="F-90",5,IF(L985="F-120",6,IF(L985="F-150",7,0)))))),0),0)+IF(AND(O985="FIRE TEX 5090",E985="CJ",J985=4),VLOOKUP(_xlfn.MINIFS('FIRE TEX 5090'!$Y$5:$Y$39,'FIRE TEX 5090'!$Y$5:$Y$39,"&gt;="&amp;M985),'FIRE TEX 5090'!$Y$5:$AD$39,IF(L985="F-15",2,IF(L985="F-30",3,IF(L985="F-60",4,IF(L985="F-90",5,IF(L985="F-120",6,IF(L985="F-150",7,0)))))),0),0)+IF(AND(O985="FIRE TEX 5120",OR(E985="IN",E985="C",E985="Z",E985="L"),J985=3),VLOOKUP(_xlfn.MINIFS('FIRE TEX 5120'!$B$5:$B$40,'FIRE TEX 5120'!$B$5:$B$40,"&gt;="&amp;M985),'FIRE TEX 5120'!$B$5:$G$40,IF(L985="F-15",2,IF(L985="F-30",3,IF(L985="F-60",4,IF(L985="F-90",5,IF(L985="F-120",6,0))))),0),0)+IF(AND(O985="FIRE TEX 5120",OR(E985="IN",E985="C",E985="Z",E985="L"),J985=4),VLOOKUP(_xlfn.MINIFS('FIRE TEX 5120'!$H$4:$H$40,'FIRE TEX 5120'!$H$4:$H$40,"&gt;="&amp;M985),'FIRE TEX 5120'!$H$4:$M$40,IF(L985="F-15",2,IF(L985="F-30",3,IF(L985="F-60",4,IF(L985="F-90",5,IF(L985="F-120",6,0))))),0),0)+IF(AND(O985="FIRE TEX 5120",E985="CJ"),VLOOKUP(_xlfn.MINIFS('FIRE TEX 5120'!$O$5:$O$40,'FIRE TEX 5120'!$O$5:$O$40,"&gt;="&amp;M985),'FIRE TEX 5120'!$O$5:$T$40,IF(L985="F-15",2,IF(L985="F-30",3,IF(L985="F-60",4,IF(L985="F-90",5,IF(L985="F-120",6,0))))),0),0)</f>
        <v>0</v>
      </c>
      <c r="Q985" s="46">
        <f t="shared" si="94"/>
        <v>0</v>
      </c>
      <c r="R985" s="46">
        <f t="shared" si="95"/>
        <v>0</v>
      </c>
      <c r="S985" s="46" t="e">
        <f t="shared" si="96"/>
        <v>#VALUE!</v>
      </c>
      <c r="T985" s="677">
        <f t="shared" si="97"/>
        <v>0</v>
      </c>
      <c r="U985" s="80">
        <f>(IF(O985="Stofire",(S985*#REF!),0))+(IF(O985="Fire Control",(S985*$U$2),0))+(IF(O985="Fire Tex",(S985*$U$3),0))+(IF(O985="WB7",(S985*#REF!),0)+(IF(O985="FX 2003",(S985*$U$5),0)))</f>
        <v>0</v>
      </c>
      <c r="V985" s="651">
        <f t="shared" si="98"/>
        <v>0</v>
      </c>
    </row>
    <row r="986" spans="4:22" x14ac:dyDescent="0.25">
      <c r="D986" s="118">
        <f>+CUBICACION!D985</f>
        <v>0</v>
      </c>
      <c r="E986" s="118">
        <f>+CUBICACION!F985</f>
        <v>0</v>
      </c>
      <c r="F986" s="118">
        <f>+CUBICACION!E985</f>
        <v>0</v>
      </c>
      <c r="G986" s="118">
        <v>12</v>
      </c>
      <c r="H986" s="118">
        <v>2</v>
      </c>
      <c r="I986" s="820">
        <v>26385</v>
      </c>
      <c r="J986" s="118">
        <f>+CUBICACION!J985</f>
        <v>0</v>
      </c>
      <c r="K986" s="118">
        <v>3765</v>
      </c>
      <c r="L986" s="118">
        <f>+CUBICACION!L985</f>
        <v>0</v>
      </c>
      <c r="M986" s="64">
        <f>+CUBICACION!M985</f>
        <v>0</v>
      </c>
      <c r="N986" s="824" t="str">
        <f>+CUBICACION!N985</f>
        <v/>
      </c>
      <c r="O986" s="675">
        <f>+CUBICACION!O985</f>
        <v>0</v>
      </c>
      <c r="P986" s="15">
        <f>IF(O986="Fire Control",VLOOKUP(_xlfn.MINIFS('FIRE CONTROL'!$C$4:$C$37,'FIRE CONTROL'!$C$4:$C$37,"&gt;="&amp;M986),'FIRE CONTROL'!$C$4:$G$37,IF(L986="F-15",2,IF(L986="F-30",3,IF(L986="F-60",4,IF(L986="F-90",5,0)))),0),0)+IF(AND(O986="FIRE TEX 5062",OR(E986="IN",E986="C",E986="Z",E986="L"),J986=3),VLOOKUP(_xlfn.MINIFS('FIRE TEX 5062'!$B$4:$B$34,'FIRE TEX 5062'!$B$4:$B$34,"&gt;="&amp;M986),'FIRE TEX 5062'!$B$4:$F$34,IF(L986="F-15",2,IF(L986="F-30",3,IF(L986="F-60",4,IF(L986="F-90",5,0)))),0),0)+IF(AND(O986="FIRE TEX 5062",OR(E986="IN",E986="C",E986="Z",E986="L"),J986=4),VLOOKUP(_xlfn.MINIFS('FIRE TEX 5062'!$G$4:$G$34,'FIRE TEX 5062'!$G$4:$G$34,"&gt;="&amp;M986),'FIRE TEX 5062'!$G$4:$K$34,IF(L986="F-15",2,IF(L986="F-30",3,IF(L986="F-60",4,IF(L986="F-90",5,0)))),0),0)+IF(AND(O986="FIRE TEX 5062",E986="CJ",J986=3),VLOOKUP(_xlfn.MINIFS('FIRE TEX 5062'!$L$4:$L$34,'FIRE TEX 5062'!$L$4:$L$34,"&gt;="&amp;M986),'FIRE TEX 5062'!$L$4:$P$34,IF(L986="F-15",2,IF(L986="F-30",3,IF(L986="F-60",4,IF(L986="F-90",5,0)))),0),0)+IF(AND(O986="FIRE TEX 5062",E986="CJ",J986=4),VLOOKUP(_xlfn.MINIFS('FIRE TEX 5062'!$Q$3:$Q$34,'FIRE TEX 5062'!$Q$3:$Q$34,"&gt;="&amp;M986),'FIRE TEX 5062'!$Q$3:$U$34,IF(L986="F-15",2,IF(L986="F-30",3,IF(L986="F-60",4,IF(L986="F-90",5,0)))),0),0)+IF(AND(O986="FIRE TEX 5090",OR(E986="IN",E986="C",E986="Z",E986="L"),J986=3),VLOOKUP(_xlfn.MINIFS('FIRE TEX 5090'!$B$5:$B$43,'FIRE TEX 5090'!$B$5:$B$43,"&gt;="&amp;M986),'FIRE TEX 5090'!$B$5:$H$43,IF(L986="F-15",2,IF(L986="F-30",3,IF(L986="F-60",4,IF(L986="F-90",5,IF(L986="F-120",6,IF(L986="F-150",7,0)))))),0),0)+IF(AND(O986="FIRE TEX 5090",OR(E986="IN",E986="C",E986="Z",E986="L"),J986=4),VLOOKUP(_xlfn.MINIFS('FIRE TEX 5090'!$J$5:$J$43,'FIRE TEX 5090'!$J$5:$J$43,"&gt;="&amp;M986),'FIRE TEX 5090'!$J$5:$P$43,IF(L986="F-15",2,IF(L986="F-30",3,IF(L986="F-60",4,IF(L986="F-90",5,IF(L986="F-120",6,IF(L986="F-150",7,0)))))),0),0)+IF(AND(O986="FIRE TEX 5090",E986="CJ",J986=3),VLOOKUP(_xlfn.MINIFS('FIRE TEX 5090'!$R$5:$R$30,'FIRE TEX 5090'!$R$5:$R$30,"&gt;="&amp;M986),'FIRE TEX 5090'!$R$5:$W$30,IF(L986="F-15",2,IF(L986="F-30",3,IF(L986="F-60",4,IF(L986="F-90",5,IF(L986="F-120",6,IF(L986="F-150",7,0)))))),0),0)+IF(AND(O986="FIRE TEX 5090",E986="CJ",J986=4),VLOOKUP(_xlfn.MINIFS('FIRE TEX 5090'!$Y$5:$Y$39,'FIRE TEX 5090'!$Y$5:$Y$39,"&gt;="&amp;M986),'FIRE TEX 5090'!$Y$5:$AD$39,IF(L986="F-15",2,IF(L986="F-30",3,IF(L986="F-60",4,IF(L986="F-90",5,IF(L986="F-120",6,IF(L986="F-150",7,0)))))),0),0)+IF(AND(O986="FIRE TEX 5120",OR(E986="IN",E986="C",E986="Z",E986="L"),J986=3),VLOOKUP(_xlfn.MINIFS('FIRE TEX 5120'!$B$5:$B$40,'FIRE TEX 5120'!$B$5:$B$40,"&gt;="&amp;M986),'FIRE TEX 5120'!$B$5:$G$40,IF(L986="F-15",2,IF(L986="F-30",3,IF(L986="F-60",4,IF(L986="F-90",5,IF(L986="F-120",6,0))))),0),0)+IF(AND(O986="FIRE TEX 5120",OR(E986="IN",E986="C",E986="Z",E986="L"),J986=4),VLOOKUP(_xlfn.MINIFS('FIRE TEX 5120'!$H$4:$H$40,'FIRE TEX 5120'!$H$4:$H$40,"&gt;="&amp;M986),'FIRE TEX 5120'!$H$4:$M$40,IF(L986="F-15",2,IF(L986="F-30",3,IF(L986="F-60",4,IF(L986="F-90",5,IF(L986="F-120",6,0))))),0),0)+IF(AND(O986="FIRE TEX 5120",E986="CJ"),VLOOKUP(_xlfn.MINIFS('FIRE TEX 5120'!$O$5:$O$40,'FIRE TEX 5120'!$O$5:$O$40,"&gt;="&amp;M986),'FIRE TEX 5120'!$O$5:$T$40,IF(L986="F-15",2,IF(L986="F-30",3,IF(L986="F-60",4,IF(L986="F-90",5,IF(L986="F-120",6,0))))),0),0)</f>
        <v>0</v>
      </c>
      <c r="Q986" s="46">
        <f t="shared" si="94"/>
        <v>0</v>
      </c>
      <c r="R986" s="46">
        <f t="shared" si="95"/>
        <v>0</v>
      </c>
      <c r="S986" s="46" t="e">
        <f t="shared" si="96"/>
        <v>#VALUE!</v>
      </c>
      <c r="T986" s="677">
        <f t="shared" si="97"/>
        <v>0</v>
      </c>
      <c r="U986" s="80">
        <f>(IF(O986="Stofire",(S986*#REF!),0))+(IF(O986="Fire Control",(S986*$U$2),0))+(IF(O986="Fire Tex",(S986*$U$3),0))+(IF(O986="WB7",(S986*#REF!),0)+(IF(O986="FX 2003",(S986*$U$5),0)))</f>
        <v>0</v>
      </c>
      <c r="V986" s="651">
        <f t="shared" si="98"/>
        <v>0</v>
      </c>
    </row>
    <row r="987" spans="4:22" x14ac:dyDescent="0.25">
      <c r="D987" s="118">
        <f>+CUBICACION!D986</f>
        <v>0</v>
      </c>
      <c r="E987" s="118">
        <f>+CUBICACION!F986</f>
        <v>0</v>
      </c>
      <c r="F987" s="118">
        <f>+CUBICACION!E986</f>
        <v>0</v>
      </c>
      <c r="G987" s="118">
        <v>12</v>
      </c>
      <c r="H987" s="118">
        <v>2</v>
      </c>
      <c r="I987" s="820">
        <v>26385</v>
      </c>
      <c r="J987" s="118">
        <f>+CUBICACION!J986</f>
        <v>0</v>
      </c>
      <c r="K987" s="118">
        <v>3766</v>
      </c>
      <c r="L987" s="118">
        <f>+CUBICACION!L986</f>
        <v>0</v>
      </c>
      <c r="M987" s="64">
        <f>+CUBICACION!M986</f>
        <v>0</v>
      </c>
      <c r="N987" s="824" t="str">
        <f>+CUBICACION!N986</f>
        <v/>
      </c>
      <c r="O987" s="675">
        <f>+CUBICACION!O986</f>
        <v>0</v>
      </c>
      <c r="P987" s="15">
        <f>IF(O987="Fire Control",VLOOKUP(_xlfn.MINIFS('FIRE CONTROL'!$C$4:$C$37,'FIRE CONTROL'!$C$4:$C$37,"&gt;="&amp;M987),'FIRE CONTROL'!$C$4:$G$37,IF(L987="F-15",2,IF(L987="F-30",3,IF(L987="F-60",4,IF(L987="F-90",5,0)))),0),0)+IF(AND(O987="FIRE TEX 5062",OR(E987="IN",E987="C",E987="Z",E987="L"),J987=3),VLOOKUP(_xlfn.MINIFS('FIRE TEX 5062'!$B$4:$B$34,'FIRE TEX 5062'!$B$4:$B$34,"&gt;="&amp;M987),'FIRE TEX 5062'!$B$4:$F$34,IF(L987="F-15",2,IF(L987="F-30",3,IF(L987="F-60",4,IF(L987="F-90",5,0)))),0),0)+IF(AND(O987="FIRE TEX 5062",OR(E987="IN",E987="C",E987="Z",E987="L"),J987=4),VLOOKUP(_xlfn.MINIFS('FIRE TEX 5062'!$G$4:$G$34,'FIRE TEX 5062'!$G$4:$G$34,"&gt;="&amp;M987),'FIRE TEX 5062'!$G$4:$K$34,IF(L987="F-15",2,IF(L987="F-30",3,IF(L987="F-60",4,IF(L987="F-90",5,0)))),0),0)+IF(AND(O987="FIRE TEX 5062",E987="CJ",J987=3),VLOOKUP(_xlfn.MINIFS('FIRE TEX 5062'!$L$4:$L$34,'FIRE TEX 5062'!$L$4:$L$34,"&gt;="&amp;M987),'FIRE TEX 5062'!$L$4:$P$34,IF(L987="F-15",2,IF(L987="F-30",3,IF(L987="F-60",4,IF(L987="F-90",5,0)))),0),0)+IF(AND(O987="FIRE TEX 5062",E987="CJ",J987=4),VLOOKUP(_xlfn.MINIFS('FIRE TEX 5062'!$Q$3:$Q$34,'FIRE TEX 5062'!$Q$3:$Q$34,"&gt;="&amp;M987),'FIRE TEX 5062'!$Q$3:$U$34,IF(L987="F-15",2,IF(L987="F-30",3,IF(L987="F-60",4,IF(L987="F-90",5,0)))),0),0)+IF(AND(O987="FIRE TEX 5090",OR(E987="IN",E987="C",E987="Z",E987="L"),J987=3),VLOOKUP(_xlfn.MINIFS('FIRE TEX 5090'!$B$5:$B$43,'FIRE TEX 5090'!$B$5:$B$43,"&gt;="&amp;M987),'FIRE TEX 5090'!$B$5:$H$43,IF(L987="F-15",2,IF(L987="F-30",3,IF(L987="F-60",4,IF(L987="F-90",5,IF(L987="F-120",6,IF(L987="F-150",7,0)))))),0),0)+IF(AND(O987="FIRE TEX 5090",OR(E987="IN",E987="C",E987="Z",E987="L"),J987=4),VLOOKUP(_xlfn.MINIFS('FIRE TEX 5090'!$J$5:$J$43,'FIRE TEX 5090'!$J$5:$J$43,"&gt;="&amp;M987),'FIRE TEX 5090'!$J$5:$P$43,IF(L987="F-15",2,IF(L987="F-30",3,IF(L987="F-60",4,IF(L987="F-90",5,IF(L987="F-120",6,IF(L987="F-150",7,0)))))),0),0)+IF(AND(O987="FIRE TEX 5090",E987="CJ",J987=3),VLOOKUP(_xlfn.MINIFS('FIRE TEX 5090'!$R$5:$R$30,'FIRE TEX 5090'!$R$5:$R$30,"&gt;="&amp;M987),'FIRE TEX 5090'!$R$5:$W$30,IF(L987="F-15",2,IF(L987="F-30",3,IF(L987="F-60",4,IF(L987="F-90",5,IF(L987="F-120",6,IF(L987="F-150",7,0)))))),0),0)+IF(AND(O987="FIRE TEX 5090",E987="CJ",J987=4),VLOOKUP(_xlfn.MINIFS('FIRE TEX 5090'!$Y$5:$Y$39,'FIRE TEX 5090'!$Y$5:$Y$39,"&gt;="&amp;M987),'FIRE TEX 5090'!$Y$5:$AD$39,IF(L987="F-15",2,IF(L987="F-30",3,IF(L987="F-60",4,IF(L987="F-90",5,IF(L987="F-120",6,IF(L987="F-150",7,0)))))),0),0)+IF(AND(O987="FIRE TEX 5120",OR(E987="IN",E987="C",E987="Z",E987="L"),J987=3),VLOOKUP(_xlfn.MINIFS('FIRE TEX 5120'!$B$5:$B$40,'FIRE TEX 5120'!$B$5:$B$40,"&gt;="&amp;M987),'FIRE TEX 5120'!$B$5:$G$40,IF(L987="F-15",2,IF(L987="F-30",3,IF(L987="F-60",4,IF(L987="F-90",5,IF(L987="F-120",6,0))))),0),0)+IF(AND(O987="FIRE TEX 5120",OR(E987="IN",E987="C",E987="Z",E987="L"),J987=4),VLOOKUP(_xlfn.MINIFS('FIRE TEX 5120'!$H$4:$H$40,'FIRE TEX 5120'!$H$4:$H$40,"&gt;="&amp;M987),'FIRE TEX 5120'!$H$4:$M$40,IF(L987="F-15",2,IF(L987="F-30",3,IF(L987="F-60",4,IF(L987="F-90",5,IF(L987="F-120",6,0))))),0),0)+IF(AND(O987="FIRE TEX 5120",E987="CJ"),VLOOKUP(_xlfn.MINIFS('FIRE TEX 5120'!$O$5:$O$40,'FIRE TEX 5120'!$O$5:$O$40,"&gt;="&amp;M987),'FIRE TEX 5120'!$O$5:$T$40,IF(L987="F-15",2,IF(L987="F-30",3,IF(L987="F-60",4,IF(L987="F-90",5,IF(L987="F-120",6,0))))),0),0)</f>
        <v>0</v>
      </c>
      <c r="Q987" s="46">
        <f t="shared" si="94"/>
        <v>0</v>
      </c>
      <c r="R987" s="46">
        <f t="shared" si="95"/>
        <v>0</v>
      </c>
      <c r="S987" s="46" t="e">
        <f t="shared" si="96"/>
        <v>#VALUE!</v>
      </c>
      <c r="T987" s="677">
        <f t="shared" si="97"/>
        <v>0</v>
      </c>
      <c r="U987" s="80">
        <f>(IF(O987="Stofire",(S987*#REF!),0))+(IF(O987="Fire Control",(S987*$U$2),0))+(IF(O987="Fire Tex",(S987*$U$3),0))+(IF(O987="WB7",(S987*#REF!),0)+(IF(O987="FX 2003",(S987*$U$5),0)))</f>
        <v>0</v>
      </c>
      <c r="V987" s="651">
        <f t="shared" si="98"/>
        <v>0</v>
      </c>
    </row>
    <row r="988" spans="4:22" x14ac:dyDescent="0.25">
      <c r="D988" s="118">
        <f>+CUBICACION!D987</f>
        <v>0</v>
      </c>
      <c r="E988" s="118">
        <f>+CUBICACION!F987</f>
        <v>0</v>
      </c>
      <c r="F988" s="118">
        <f>+CUBICACION!E987</f>
        <v>0</v>
      </c>
      <c r="G988" s="118">
        <v>12</v>
      </c>
      <c r="H988" s="118">
        <v>2</v>
      </c>
      <c r="I988" s="820">
        <v>26385</v>
      </c>
      <c r="J988" s="118">
        <f>+CUBICACION!J987</f>
        <v>0</v>
      </c>
      <c r="K988" s="118">
        <v>3767</v>
      </c>
      <c r="L988" s="118">
        <f>+CUBICACION!L987</f>
        <v>0</v>
      </c>
      <c r="M988" s="64">
        <f>+CUBICACION!M987</f>
        <v>0</v>
      </c>
      <c r="N988" s="824" t="str">
        <f>+CUBICACION!N987</f>
        <v/>
      </c>
      <c r="O988" s="675">
        <f>+CUBICACION!O987</f>
        <v>0</v>
      </c>
      <c r="P988" s="15">
        <f>IF(O988="Fire Control",VLOOKUP(_xlfn.MINIFS('FIRE CONTROL'!$C$4:$C$37,'FIRE CONTROL'!$C$4:$C$37,"&gt;="&amp;M988),'FIRE CONTROL'!$C$4:$G$37,IF(L988="F-15",2,IF(L988="F-30",3,IF(L988="F-60",4,IF(L988="F-90",5,0)))),0),0)+IF(AND(O988="FIRE TEX 5062",OR(E988="IN",E988="C",E988="Z",E988="L"),J988=3),VLOOKUP(_xlfn.MINIFS('FIRE TEX 5062'!$B$4:$B$34,'FIRE TEX 5062'!$B$4:$B$34,"&gt;="&amp;M988),'FIRE TEX 5062'!$B$4:$F$34,IF(L988="F-15",2,IF(L988="F-30",3,IF(L988="F-60",4,IF(L988="F-90",5,0)))),0),0)+IF(AND(O988="FIRE TEX 5062",OR(E988="IN",E988="C",E988="Z",E988="L"),J988=4),VLOOKUP(_xlfn.MINIFS('FIRE TEX 5062'!$G$4:$G$34,'FIRE TEX 5062'!$G$4:$G$34,"&gt;="&amp;M988),'FIRE TEX 5062'!$G$4:$K$34,IF(L988="F-15",2,IF(L988="F-30",3,IF(L988="F-60",4,IF(L988="F-90",5,0)))),0),0)+IF(AND(O988="FIRE TEX 5062",E988="CJ",J988=3),VLOOKUP(_xlfn.MINIFS('FIRE TEX 5062'!$L$4:$L$34,'FIRE TEX 5062'!$L$4:$L$34,"&gt;="&amp;M988),'FIRE TEX 5062'!$L$4:$P$34,IF(L988="F-15",2,IF(L988="F-30",3,IF(L988="F-60",4,IF(L988="F-90",5,0)))),0),0)+IF(AND(O988="FIRE TEX 5062",E988="CJ",J988=4),VLOOKUP(_xlfn.MINIFS('FIRE TEX 5062'!$Q$3:$Q$34,'FIRE TEX 5062'!$Q$3:$Q$34,"&gt;="&amp;M988),'FIRE TEX 5062'!$Q$3:$U$34,IF(L988="F-15",2,IF(L988="F-30",3,IF(L988="F-60",4,IF(L988="F-90",5,0)))),0),0)+IF(AND(O988="FIRE TEX 5090",OR(E988="IN",E988="C",E988="Z",E988="L"),J988=3),VLOOKUP(_xlfn.MINIFS('FIRE TEX 5090'!$B$5:$B$43,'FIRE TEX 5090'!$B$5:$B$43,"&gt;="&amp;M988),'FIRE TEX 5090'!$B$5:$H$43,IF(L988="F-15",2,IF(L988="F-30",3,IF(L988="F-60",4,IF(L988="F-90",5,IF(L988="F-120",6,IF(L988="F-150",7,0)))))),0),0)+IF(AND(O988="FIRE TEX 5090",OR(E988="IN",E988="C",E988="Z",E988="L"),J988=4),VLOOKUP(_xlfn.MINIFS('FIRE TEX 5090'!$J$5:$J$43,'FIRE TEX 5090'!$J$5:$J$43,"&gt;="&amp;M988),'FIRE TEX 5090'!$J$5:$P$43,IF(L988="F-15",2,IF(L988="F-30",3,IF(L988="F-60",4,IF(L988="F-90",5,IF(L988="F-120",6,IF(L988="F-150",7,0)))))),0),0)+IF(AND(O988="FIRE TEX 5090",E988="CJ",J988=3),VLOOKUP(_xlfn.MINIFS('FIRE TEX 5090'!$R$5:$R$30,'FIRE TEX 5090'!$R$5:$R$30,"&gt;="&amp;M988),'FIRE TEX 5090'!$R$5:$W$30,IF(L988="F-15",2,IF(L988="F-30",3,IF(L988="F-60",4,IF(L988="F-90",5,IF(L988="F-120",6,IF(L988="F-150",7,0)))))),0),0)+IF(AND(O988="FIRE TEX 5090",E988="CJ",J988=4),VLOOKUP(_xlfn.MINIFS('FIRE TEX 5090'!$Y$5:$Y$39,'FIRE TEX 5090'!$Y$5:$Y$39,"&gt;="&amp;M988),'FIRE TEX 5090'!$Y$5:$AD$39,IF(L988="F-15",2,IF(L988="F-30",3,IF(L988="F-60",4,IF(L988="F-90",5,IF(L988="F-120",6,IF(L988="F-150",7,0)))))),0),0)+IF(AND(O988="FIRE TEX 5120",OR(E988="IN",E988="C",E988="Z",E988="L"),J988=3),VLOOKUP(_xlfn.MINIFS('FIRE TEX 5120'!$B$5:$B$40,'FIRE TEX 5120'!$B$5:$B$40,"&gt;="&amp;M988),'FIRE TEX 5120'!$B$5:$G$40,IF(L988="F-15",2,IF(L988="F-30",3,IF(L988="F-60",4,IF(L988="F-90",5,IF(L988="F-120",6,0))))),0),0)+IF(AND(O988="FIRE TEX 5120",OR(E988="IN",E988="C",E988="Z",E988="L"),J988=4),VLOOKUP(_xlfn.MINIFS('FIRE TEX 5120'!$H$4:$H$40,'FIRE TEX 5120'!$H$4:$H$40,"&gt;="&amp;M988),'FIRE TEX 5120'!$H$4:$M$40,IF(L988="F-15",2,IF(L988="F-30",3,IF(L988="F-60",4,IF(L988="F-90",5,IF(L988="F-120",6,0))))),0),0)+IF(AND(O988="FIRE TEX 5120",E988="CJ"),VLOOKUP(_xlfn.MINIFS('FIRE TEX 5120'!$O$5:$O$40,'FIRE TEX 5120'!$O$5:$O$40,"&gt;="&amp;M988),'FIRE TEX 5120'!$O$5:$T$40,IF(L988="F-15",2,IF(L988="F-30",3,IF(L988="F-60",4,IF(L988="F-90",5,IF(L988="F-120",6,0))))),0),0)</f>
        <v>0</v>
      </c>
      <c r="Q988" s="46">
        <f t="shared" si="94"/>
        <v>0</v>
      </c>
      <c r="R988" s="46">
        <f t="shared" si="95"/>
        <v>0</v>
      </c>
      <c r="S988" s="46" t="e">
        <f t="shared" si="96"/>
        <v>#VALUE!</v>
      </c>
      <c r="T988" s="677">
        <f t="shared" si="97"/>
        <v>0</v>
      </c>
      <c r="U988" s="80">
        <f>(IF(O988="Stofire",(S988*#REF!),0))+(IF(O988="Fire Control",(S988*$U$2),0))+(IF(O988="Fire Tex",(S988*$U$3),0))+(IF(O988="WB7",(S988*#REF!),0)+(IF(O988="FX 2003",(S988*$U$5),0)))</f>
        <v>0</v>
      </c>
      <c r="V988" s="651">
        <f t="shared" si="98"/>
        <v>0</v>
      </c>
    </row>
    <row r="989" spans="4:22" x14ac:dyDescent="0.25">
      <c r="D989" s="118">
        <f>+CUBICACION!D988</f>
        <v>0</v>
      </c>
      <c r="E989" s="118">
        <f>+CUBICACION!F988</f>
        <v>0</v>
      </c>
      <c r="F989" s="118">
        <f>+CUBICACION!E988</f>
        <v>0</v>
      </c>
      <c r="G989" s="118">
        <v>12</v>
      </c>
      <c r="H989" s="118">
        <v>2</v>
      </c>
      <c r="I989" s="820">
        <v>26385</v>
      </c>
      <c r="J989" s="118">
        <f>+CUBICACION!J988</f>
        <v>0</v>
      </c>
      <c r="K989" s="118">
        <v>3768</v>
      </c>
      <c r="L989" s="118">
        <f>+CUBICACION!L988</f>
        <v>0</v>
      </c>
      <c r="M989" s="64">
        <f>+CUBICACION!M988</f>
        <v>0</v>
      </c>
      <c r="N989" s="824" t="str">
        <f>+CUBICACION!N988</f>
        <v/>
      </c>
      <c r="O989" s="675">
        <f>+CUBICACION!O988</f>
        <v>0</v>
      </c>
      <c r="P989" s="15">
        <f>IF(O989="Fire Control",VLOOKUP(_xlfn.MINIFS('FIRE CONTROL'!$C$4:$C$37,'FIRE CONTROL'!$C$4:$C$37,"&gt;="&amp;M989),'FIRE CONTROL'!$C$4:$G$37,IF(L989="F-15",2,IF(L989="F-30",3,IF(L989="F-60",4,IF(L989="F-90",5,0)))),0),0)+IF(AND(O989="FIRE TEX 5062",OR(E989="IN",E989="C",E989="Z",E989="L"),J989=3),VLOOKUP(_xlfn.MINIFS('FIRE TEX 5062'!$B$4:$B$34,'FIRE TEX 5062'!$B$4:$B$34,"&gt;="&amp;M989),'FIRE TEX 5062'!$B$4:$F$34,IF(L989="F-15",2,IF(L989="F-30",3,IF(L989="F-60",4,IF(L989="F-90",5,0)))),0),0)+IF(AND(O989="FIRE TEX 5062",OR(E989="IN",E989="C",E989="Z",E989="L"),J989=4),VLOOKUP(_xlfn.MINIFS('FIRE TEX 5062'!$G$4:$G$34,'FIRE TEX 5062'!$G$4:$G$34,"&gt;="&amp;M989),'FIRE TEX 5062'!$G$4:$K$34,IF(L989="F-15",2,IF(L989="F-30",3,IF(L989="F-60",4,IF(L989="F-90",5,0)))),0),0)+IF(AND(O989="FIRE TEX 5062",E989="CJ",J989=3),VLOOKUP(_xlfn.MINIFS('FIRE TEX 5062'!$L$4:$L$34,'FIRE TEX 5062'!$L$4:$L$34,"&gt;="&amp;M989),'FIRE TEX 5062'!$L$4:$P$34,IF(L989="F-15",2,IF(L989="F-30",3,IF(L989="F-60",4,IF(L989="F-90",5,0)))),0),0)+IF(AND(O989="FIRE TEX 5062",E989="CJ",J989=4),VLOOKUP(_xlfn.MINIFS('FIRE TEX 5062'!$Q$3:$Q$34,'FIRE TEX 5062'!$Q$3:$Q$34,"&gt;="&amp;M989),'FIRE TEX 5062'!$Q$3:$U$34,IF(L989="F-15",2,IF(L989="F-30",3,IF(L989="F-60",4,IF(L989="F-90",5,0)))),0),0)+IF(AND(O989="FIRE TEX 5090",OR(E989="IN",E989="C",E989="Z",E989="L"),J989=3),VLOOKUP(_xlfn.MINIFS('FIRE TEX 5090'!$B$5:$B$43,'FIRE TEX 5090'!$B$5:$B$43,"&gt;="&amp;M989),'FIRE TEX 5090'!$B$5:$H$43,IF(L989="F-15",2,IF(L989="F-30",3,IF(L989="F-60",4,IF(L989="F-90",5,IF(L989="F-120",6,IF(L989="F-150",7,0)))))),0),0)+IF(AND(O989="FIRE TEX 5090",OR(E989="IN",E989="C",E989="Z",E989="L"),J989=4),VLOOKUP(_xlfn.MINIFS('FIRE TEX 5090'!$J$5:$J$43,'FIRE TEX 5090'!$J$5:$J$43,"&gt;="&amp;M989),'FIRE TEX 5090'!$J$5:$P$43,IF(L989="F-15",2,IF(L989="F-30",3,IF(L989="F-60",4,IF(L989="F-90",5,IF(L989="F-120",6,IF(L989="F-150",7,0)))))),0),0)+IF(AND(O989="FIRE TEX 5090",E989="CJ",J989=3),VLOOKUP(_xlfn.MINIFS('FIRE TEX 5090'!$R$5:$R$30,'FIRE TEX 5090'!$R$5:$R$30,"&gt;="&amp;M989),'FIRE TEX 5090'!$R$5:$W$30,IF(L989="F-15",2,IF(L989="F-30",3,IF(L989="F-60",4,IF(L989="F-90",5,IF(L989="F-120",6,IF(L989="F-150",7,0)))))),0),0)+IF(AND(O989="FIRE TEX 5090",E989="CJ",J989=4),VLOOKUP(_xlfn.MINIFS('FIRE TEX 5090'!$Y$5:$Y$39,'FIRE TEX 5090'!$Y$5:$Y$39,"&gt;="&amp;M989),'FIRE TEX 5090'!$Y$5:$AD$39,IF(L989="F-15",2,IF(L989="F-30",3,IF(L989="F-60",4,IF(L989="F-90",5,IF(L989="F-120",6,IF(L989="F-150",7,0)))))),0),0)+IF(AND(O989="FIRE TEX 5120",OR(E989="IN",E989="C",E989="Z",E989="L"),J989=3),VLOOKUP(_xlfn.MINIFS('FIRE TEX 5120'!$B$5:$B$40,'FIRE TEX 5120'!$B$5:$B$40,"&gt;="&amp;M989),'FIRE TEX 5120'!$B$5:$G$40,IF(L989="F-15",2,IF(L989="F-30",3,IF(L989="F-60",4,IF(L989="F-90",5,IF(L989="F-120",6,0))))),0),0)+IF(AND(O989="FIRE TEX 5120",OR(E989="IN",E989="C",E989="Z",E989="L"),J989=4),VLOOKUP(_xlfn.MINIFS('FIRE TEX 5120'!$H$4:$H$40,'FIRE TEX 5120'!$H$4:$H$40,"&gt;="&amp;M989),'FIRE TEX 5120'!$H$4:$M$40,IF(L989="F-15",2,IF(L989="F-30",3,IF(L989="F-60",4,IF(L989="F-90",5,IF(L989="F-120",6,0))))),0),0)+IF(AND(O989="FIRE TEX 5120",E989="CJ"),VLOOKUP(_xlfn.MINIFS('FIRE TEX 5120'!$O$5:$O$40,'FIRE TEX 5120'!$O$5:$O$40,"&gt;="&amp;M989),'FIRE TEX 5120'!$O$5:$T$40,IF(L989="F-15",2,IF(L989="F-30",3,IF(L989="F-60",4,IF(L989="F-90",5,IF(L989="F-120",6,0))))),0),0)</f>
        <v>0</v>
      </c>
      <c r="Q989" s="46">
        <f t="shared" si="94"/>
        <v>0</v>
      </c>
      <c r="R989" s="46">
        <f t="shared" si="95"/>
        <v>0</v>
      </c>
      <c r="S989" s="46" t="e">
        <f t="shared" si="96"/>
        <v>#VALUE!</v>
      </c>
      <c r="T989" s="677">
        <f t="shared" si="97"/>
        <v>0</v>
      </c>
      <c r="U989" s="80">
        <f>(IF(O989="Stofire",(S989*#REF!),0))+(IF(O989="Fire Control",(S989*$U$2),0))+(IF(O989="Fire Tex",(S989*$U$3),0))+(IF(O989="WB7",(S989*#REF!),0)+(IF(O989="FX 2003",(S989*$U$5),0)))</f>
        <v>0</v>
      </c>
      <c r="V989" s="651">
        <f t="shared" si="98"/>
        <v>0</v>
      </c>
    </row>
    <row r="990" spans="4:22" x14ac:dyDescent="0.25">
      <c r="D990" s="118">
        <f>+CUBICACION!D989</f>
        <v>0</v>
      </c>
      <c r="E990" s="118">
        <f>+CUBICACION!F989</f>
        <v>0</v>
      </c>
      <c r="F990" s="118">
        <f>+CUBICACION!E989</f>
        <v>0</v>
      </c>
      <c r="G990" s="118">
        <v>12</v>
      </c>
      <c r="H990" s="118">
        <v>2</v>
      </c>
      <c r="I990" s="820">
        <v>26385</v>
      </c>
      <c r="J990" s="118">
        <f>+CUBICACION!J989</f>
        <v>0</v>
      </c>
      <c r="K990" s="118">
        <v>3769</v>
      </c>
      <c r="L990" s="118">
        <f>+CUBICACION!L989</f>
        <v>0</v>
      </c>
      <c r="M990" s="64">
        <f>+CUBICACION!M989</f>
        <v>0</v>
      </c>
      <c r="N990" s="824" t="str">
        <f>+CUBICACION!N989</f>
        <v/>
      </c>
      <c r="O990" s="675">
        <f>+CUBICACION!O989</f>
        <v>0</v>
      </c>
      <c r="P990" s="15">
        <f>IF(O990="Fire Control",VLOOKUP(_xlfn.MINIFS('FIRE CONTROL'!$C$4:$C$37,'FIRE CONTROL'!$C$4:$C$37,"&gt;="&amp;M990),'FIRE CONTROL'!$C$4:$G$37,IF(L990="F-15",2,IF(L990="F-30",3,IF(L990="F-60",4,IF(L990="F-90",5,0)))),0),0)+IF(AND(O990="FIRE TEX 5062",OR(E990="IN",E990="C",E990="Z",E990="L"),J990=3),VLOOKUP(_xlfn.MINIFS('FIRE TEX 5062'!$B$4:$B$34,'FIRE TEX 5062'!$B$4:$B$34,"&gt;="&amp;M990),'FIRE TEX 5062'!$B$4:$F$34,IF(L990="F-15",2,IF(L990="F-30",3,IF(L990="F-60",4,IF(L990="F-90",5,0)))),0),0)+IF(AND(O990="FIRE TEX 5062",OR(E990="IN",E990="C",E990="Z",E990="L"),J990=4),VLOOKUP(_xlfn.MINIFS('FIRE TEX 5062'!$G$4:$G$34,'FIRE TEX 5062'!$G$4:$G$34,"&gt;="&amp;M990),'FIRE TEX 5062'!$G$4:$K$34,IF(L990="F-15",2,IF(L990="F-30",3,IF(L990="F-60",4,IF(L990="F-90",5,0)))),0),0)+IF(AND(O990="FIRE TEX 5062",E990="CJ",J990=3),VLOOKUP(_xlfn.MINIFS('FIRE TEX 5062'!$L$4:$L$34,'FIRE TEX 5062'!$L$4:$L$34,"&gt;="&amp;M990),'FIRE TEX 5062'!$L$4:$P$34,IF(L990="F-15",2,IF(L990="F-30",3,IF(L990="F-60",4,IF(L990="F-90",5,0)))),0),0)+IF(AND(O990="FIRE TEX 5062",E990="CJ",J990=4),VLOOKUP(_xlfn.MINIFS('FIRE TEX 5062'!$Q$3:$Q$34,'FIRE TEX 5062'!$Q$3:$Q$34,"&gt;="&amp;M990),'FIRE TEX 5062'!$Q$3:$U$34,IF(L990="F-15",2,IF(L990="F-30",3,IF(L990="F-60",4,IF(L990="F-90",5,0)))),0),0)+IF(AND(O990="FIRE TEX 5090",OR(E990="IN",E990="C",E990="Z",E990="L"),J990=3),VLOOKUP(_xlfn.MINIFS('FIRE TEX 5090'!$B$5:$B$43,'FIRE TEX 5090'!$B$5:$B$43,"&gt;="&amp;M990),'FIRE TEX 5090'!$B$5:$H$43,IF(L990="F-15",2,IF(L990="F-30",3,IF(L990="F-60",4,IF(L990="F-90",5,IF(L990="F-120",6,IF(L990="F-150",7,0)))))),0),0)+IF(AND(O990="FIRE TEX 5090",OR(E990="IN",E990="C",E990="Z",E990="L"),J990=4),VLOOKUP(_xlfn.MINIFS('FIRE TEX 5090'!$J$5:$J$43,'FIRE TEX 5090'!$J$5:$J$43,"&gt;="&amp;M990),'FIRE TEX 5090'!$J$5:$P$43,IF(L990="F-15",2,IF(L990="F-30",3,IF(L990="F-60",4,IF(L990="F-90",5,IF(L990="F-120",6,IF(L990="F-150",7,0)))))),0),0)+IF(AND(O990="FIRE TEX 5090",E990="CJ",J990=3),VLOOKUP(_xlfn.MINIFS('FIRE TEX 5090'!$R$5:$R$30,'FIRE TEX 5090'!$R$5:$R$30,"&gt;="&amp;M990),'FIRE TEX 5090'!$R$5:$W$30,IF(L990="F-15",2,IF(L990="F-30",3,IF(L990="F-60",4,IF(L990="F-90",5,IF(L990="F-120",6,IF(L990="F-150",7,0)))))),0),0)+IF(AND(O990="FIRE TEX 5090",E990="CJ",J990=4),VLOOKUP(_xlfn.MINIFS('FIRE TEX 5090'!$Y$5:$Y$39,'FIRE TEX 5090'!$Y$5:$Y$39,"&gt;="&amp;M990),'FIRE TEX 5090'!$Y$5:$AD$39,IF(L990="F-15",2,IF(L990="F-30",3,IF(L990="F-60",4,IF(L990="F-90",5,IF(L990="F-120",6,IF(L990="F-150",7,0)))))),0),0)+IF(AND(O990="FIRE TEX 5120",OR(E990="IN",E990="C",E990="Z",E990="L"),J990=3),VLOOKUP(_xlfn.MINIFS('FIRE TEX 5120'!$B$5:$B$40,'FIRE TEX 5120'!$B$5:$B$40,"&gt;="&amp;M990),'FIRE TEX 5120'!$B$5:$G$40,IF(L990="F-15",2,IF(L990="F-30",3,IF(L990="F-60",4,IF(L990="F-90",5,IF(L990="F-120",6,0))))),0),0)+IF(AND(O990="FIRE TEX 5120",OR(E990="IN",E990="C",E990="Z",E990="L"),J990=4),VLOOKUP(_xlfn.MINIFS('FIRE TEX 5120'!$H$4:$H$40,'FIRE TEX 5120'!$H$4:$H$40,"&gt;="&amp;M990),'FIRE TEX 5120'!$H$4:$M$40,IF(L990="F-15",2,IF(L990="F-30",3,IF(L990="F-60",4,IF(L990="F-90",5,IF(L990="F-120",6,0))))),0),0)+IF(AND(O990="FIRE TEX 5120",E990="CJ"),VLOOKUP(_xlfn.MINIFS('FIRE TEX 5120'!$O$5:$O$40,'FIRE TEX 5120'!$O$5:$O$40,"&gt;="&amp;M990),'FIRE TEX 5120'!$O$5:$T$40,IF(L990="F-15",2,IF(L990="F-30",3,IF(L990="F-60",4,IF(L990="F-90",5,IF(L990="F-120",6,0))))),0),0)</f>
        <v>0</v>
      </c>
      <c r="Q990" s="46">
        <f t="shared" si="94"/>
        <v>0</v>
      </c>
      <c r="R990" s="46">
        <f t="shared" si="95"/>
        <v>0</v>
      </c>
      <c r="S990" s="46" t="e">
        <f t="shared" si="96"/>
        <v>#VALUE!</v>
      </c>
      <c r="T990" s="677">
        <f t="shared" si="97"/>
        <v>0</v>
      </c>
      <c r="U990" s="80">
        <f>(IF(O990="Stofire",(S990*#REF!),0))+(IF(O990="Fire Control",(S990*$U$2),0))+(IF(O990="Fire Tex",(S990*$U$3),0))+(IF(O990="WB7",(S990*#REF!),0)+(IF(O990="FX 2003",(S990*$U$5),0)))</f>
        <v>0</v>
      </c>
      <c r="V990" s="651">
        <f t="shared" si="98"/>
        <v>0</v>
      </c>
    </row>
    <row r="991" spans="4:22" x14ac:dyDescent="0.25">
      <c r="D991" s="118">
        <f>+CUBICACION!D990</f>
        <v>0</v>
      </c>
      <c r="E991" s="118">
        <f>+CUBICACION!F990</f>
        <v>0</v>
      </c>
      <c r="F991" s="118">
        <f>+CUBICACION!E990</f>
        <v>0</v>
      </c>
      <c r="G991" s="118">
        <v>12</v>
      </c>
      <c r="H991" s="118">
        <v>2</v>
      </c>
      <c r="I991" s="820">
        <v>26385</v>
      </c>
      <c r="J991" s="118">
        <f>+CUBICACION!J990</f>
        <v>0</v>
      </c>
      <c r="K991" s="118">
        <v>3770</v>
      </c>
      <c r="L991" s="118">
        <f>+CUBICACION!L990</f>
        <v>0</v>
      </c>
      <c r="M991" s="64">
        <f>+CUBICACION!M990</f>
        <v>0</v>
      </c>
      <c r="N991" s="824" t="str">
        <f>+CUBICACION!N990</f>
        <v/>
      </c>
      <c r="O991" s="675">
        <f>+CUBICACION!O990</f>
        <v>0</v>
      </c>
      <c r="P991" s="15">
        <f>IF(O991="Fire Control",VLOOKUP(_xlfn.MINIFS('FIRE CONTROL'!$C$4:$C$37,'FIRE CONTROL'!$C$4:$C$37,"&gt;="&amp;M991),'FIRE CONTROL'!$C$4:$G$37,IF(L991="F-15",2,IF(L991="F-30",3,IF(L991="F-60",4,IF(L991="F-90",5,0)))),0),0)+IF(AND(O991="FIRE TEX 5062",OR(E991="IN",E991="C",E991="Z",E991="L"),J991=3),VLOOKUP(_xlfn.MINIFS('FIRE TEX 5062'!$B$4:$B$34,'FIRE TEX 5062'!$B$4:$B$34,"&gt;="&amp;M991),'FIRE TEX 5062'!$B$4:$F$34,IF(L991="F-15",2,IF(L991="F-30",3,IF(L991="F-60",4,IF(L991="F-90",5,0)))),0),0)+IF(AND(O991="FIRE TEX 5062",OR(E991="IN",E991="C",E991="Z",E991="L"),J991=4),VLOOKUP(_xlfn.MINIFS('FIRE TEX 5062'!$G$4:$G$34,'FIRE TEX 5062'!$G$4:$G$34,"&gt;="&amp;M991),'FIRE TEX 5062'!$G$4:$K$34,IF(L991="F-15",2,IF(L991="F-30",3,IF(L991="F-60",4,IF(L991="F-90",5,0)))),0),0)+IF(AND(O991="FIRE TEX 5062",E991="CJ",J991=3),VLOOKUP(_xlfn.MINIFS('FIRE TEX 5062'!$L$4:$L$34,'FIRE TEX 5062'!$L$4:$L$34,"&gt;="&amp;M991),'FIRE TEX 5062'!$L$4:$P$34,IF(L991="F-15",2,IF(L991="F-30",3,IF(L991="F-60",4,IF(L991="F-90",5,0)))),0),0)+IF(AND(O991="FIRE TEX 5062",E991="CJ",J991=4),VLOOKUP(_xlfn.MINIFS('FIRE TEX 5062'!$Q$3:$Q$34,'FIRE TEX 5062'!$Q$3:$Q$34,"&gt;="&amp;M991),'FIRE TEX 5062'!$Q$3:$U$34,IF(L991="F-15",2,IF(L991="F-30",3,IF(L991="F-60",4,IF(L991="F-90",5,0)))),0),0)+IF(AND(O991="FIRE TEX 5090",OR(E991="IN",E991="C",E991="Z",E991="L"),J991=3),VLOOKUP(_xlfn.MINIFS('FIRE TEX 5090'!$B$5:$B$43,'FIRE TEX 5090'!$B$5:$B$43,"&gt;="&amp;M991),'FIRE TEX 5090'!$B$5:$H$43,IF(L991="F-15",2,IF(L991="F-30",3,IF(L991="F-60",4,IF(L991="F-90",5,IF(L991="F-120",6,IF(L991="F-150",7,0)))))),0),0)+IF(AND(O991="FIRE TEX 5090",OR(E991="IN",E991="C",E991="Z",E991="L"),J991=4),VLOOKUP(_xlfn.MINIFS('FIRE TEX 5090'!$J$5:$J$43,'FIRE TEX 5090'!$J$5:$J$43,"&gt;="&amp;M991),'FIRE TEX 5090'!$J$5:$P$43,IF(L991="F-15",2,IF(L991="F-30",3,IF(L991="F-60",4,IF(L991="F-90",5,IF(L991="F-120",6,IF(L991="F-150",7,0)))))),0),0)+IF(AND(O991="FIRE TEX 5090",E991="CJ",J991=3),VLOOKUP(_xlfn.MINIFS('FIRE TEX 5090'!$R$5:$R$30,'FIRE TEX 5090'!$R$5:$R$30,"&gt;="&amp;M991),'FIRE TEX 5090'!$R$5:$W$30,IF(L991="F-15",2,IF(L991="F-30",3,IF(L991="F-60",4,IF(L991="F-90",5,IF(L991="F-120",6,IF(L991="F-150",7,0)))))),0),0)+IF(AND(O991="FIRE TEX 5090",E991="CJ",J991=4),VLOOKUP(_xlfn.MINIFS('FIRE TEX 5090'!$Y$5:$Y$39,'FIRE TEX 5090'!$Y$5:$Y$39,"&gt;="&amp;M991),'FIRE TEX 5090'!$Y$5:$AD$39,IF(L991="F-15",2,IF(L991="F-30",3,IF(L991="F-60",4,IF(L991="F-90",5,IF(L991="F-120",6,IF(L991="F-150",7,0)))))),0),0)+IF(AND(O991="FIRE TEX 5120",OR(E991="IN",E991="C",E991="Z",E991="L"),J991=3),VLOOKUP(_xlfn.MINIFS('FIRE TEX 5120'!$B$5:$B$40,'FIRE TEX 5120'!$B$5:$B$40,"&gt;="&amp;M991),'FIRE TEX 5120'!$B$5:$G$40,IF(L991="F-15",2,IF(L991="F-30",3,IF(L991="F-60",4,IF(L991="F-90",5,IF(L991="F-120",6,0))))),0),0)+IF(AND(O991="FIRE TEX 5120",OR(E991="IN",E991="C",E991="Z",E991="L"),J991=4),VLOOKUP(_xlfn.MINIFS('FIRE TEX 5120'!$H$4:$H$40,'FIRE TEX 5120'!$H$4:$H$40,"&gt;="&amp;M991),'FIRE TEX 5120'!$H$4:$M$40,IF(L991="F-15",2,IF(L991="F-30",3,IF(L991="F-60",4,IF(L991="F-90",5,IF(L991="F-120",6,0))))),0),0)+IF(AND(O991="FIRE TEX 5120",E991="CJ"),VLOOKUP(_xlfn.MINIFS('FIRE TEX 5120'!$O$5:$O$40,'FIRE TEX 5120'!$O$5:$O$40,"&gt;="&amp;M991),'FIRE TEX 5120'!$O$5:$T$40,IF(L991="F-15",2,IF(L991="F-30",3,IF(L991="F-60",4,IF(L991="F-90",5,IF(L991="F-120",6,0))))),0),0)</f>
        <v>0</v>
      </c>
      <c r="Q991" s="46">
        <f t="shared" si="94"/>
        <v>0</v>
      </c>
      <c r="R991" s="46">
        <f t="shared" si="95"/>
        <v>0</v>
      </c>
      <c r="S991" s="46" t="e">
        <f t="shared" si="96"/>
        <v>#VALUE!</v>
      </c>
      <c r="T991" s="677">
        <f t="shared" si="97"/>
        <v>0</v>
      </c>
      <c r="U991" s="80">
        <f>(IF(O991="Stofire",(S991*#REF!),0))+(IF(O991="Fire Control",(S991*$U$2),0))+(IF(O991="Fire Tex",(S991*$U$3),0))+(IF(O991="WB7",(S991*#REF!),0)+(IF(O991="FX 2003",(S991*$U$5),0)))</f>
        <v>0</v>
      </c>
      <c r="V991" s="651">
        <f t="shared" si="98"/>
        <v>0</v>
      </c>
    </row>
    <row r="992" spans="4:22" x14ac:dyDescent="0.25">
      <c r="D992" s="118">
        <f>+CUBICACION!D991</f>
        <v>0</v>
      </c>
      <c r="E992" s="118">
        <f>+CUBICACION!F991</f>
        <v>0</v>
      </c>
      <c r="F992" s="118">
        <f>+CUBICACION!E991</f>
        <v>0</v>
      </c>
      <c r="G992" s="118">
        <v>12</v>
      </c>
      <c r="H992" s="118">
        <v>2</v>
      </c>
      <c r="I992" s="820">
        <v>26385</v>
      </c>
      <c r="J992" s="118">
        <f>+CUBICACION!J991</f>
        <v>0</v>
      </c>
      <c r="K992" s="118">
        <v>3771</v>
      </c>
      <c r="L992" s="118">
        <f>+CUBICACION!L991</f>
        <v>0</v>
      </c>
      <c r="M992" s="64">
        <f>+CUBICACION!M991</f>
        <v>0</v>
      </c>
      <c r="N992" s="824" t="str">
        <f>+CUBICACION!N991</f>
        <v/>
      </c>
      <c r="O992" s="675">
        <f>+CUBICACION!O991</f>
        <v>0</v>
      </c>
      <c r="P992" s="15">
        <f>IF(O992="Fire Control",VLOOKUP(_xlfn.MINIFS('FIRE CONTROL'!$C$4:$C$37,'FIRE CONTROL'!$C$4:$C$37,"&gt;="&amp;M992),'FIRE CONTROL'!$C$4:$G$37,IF(L992="F-15",2,IF(L992="F-30",3,IF(L992="F-60",4,IF(L992="F-90",5,0)))),0),0)+IF(AND(O992="FIRE TEX 5062",OR(E992="IN",E992="C",E992="Z",E992="L"),J992=3),VLOOKUP(_xlfn.MINIFS('FIRE TEX 5062'!$B$4:$B$34,'FIRE TEX 5062'!$B$4:$B$34,"&gt;="&amp;M992),'FIRE TEX 5062'!$B$4:$F$34,IF(L992="F-15",2,IF(L992="F-30",3,IF(L992="F-60",4,IF(L992="F-90",5,0)))),0),0)+IF(AND(O992="FIRE TEX 5062",OR(E992="IN",E992="C",E992="Z",E992="L"),J992=4),VLOOKUP(_xlfn.MINIFS('FIRE TEX 5062'!$G$4:$G$34,'FIRE TEX 5062'!$G$4:$G$34,"&gt;="&amp;M992),'FIRE TEX 5062'!$G$4:$K$34,IF(L992="F-15",2,IF(L992="F-30",3,IF(L992="F-60",4,IF(L992="F-90",5,0)))),0),0)+IF(AND(O992="FIRE TEX 5062",E992="CJ",J992=3),VLOOKUP(_xlfn.MINIFS('FIRE TEX 5062'!$L$4:$L$34,'FIRE TEX 5062'!$L$4:$L$34,"&gt;="&amp;M992),'FIRE TEX 5062'!$L$4:$P$34,IF(L992="F-15",2,IF(L992="F-30",3,IF(L992="F-60",4,IF(L992="F-90",5,0)))),0),0)+IF(AND(O992="FIRE TEX 5062",E992="CJ",J992=4),VLOOKUP(_xlfn.MINIFS('FIRE TEX 5062'!$Q$3:$Q$34,'FIRE TEX 5062'!$Q$3:$Q$34,"&gt;="&amp;M992),'FIRE TEX 5062'!$Q$3:$U$34,IF(L992="F-15",2,IF(L992="F-30",3,IF(L992="F-60",4,IF(L992="F-90",5,0)))),0),0)+IF(AND(O992="FIRE TEX 5090",OR(E992="IN",E992="C",E992="Z",E992="L"),J992=3),VLOOKUP(_xlfn.MINIFS('FIRE TEX 5090'!$B$5:$B$43,'FIRE TEX 5090'!$B$5:$B$43,"&gt;="&amp;M992),'FIRE TEX 5090'!$B$5:$H$43,IF(L992="F-15",2,IF(L992="F-30",3,IF(L992="F-60",4,IF(L992="F-90",5,IF(L992="F-120",6,IF(L992="F-150",7,0)))))),0),0)+IF(AND(O992="FIRE TEX 5090",OR(E992="IN",E992="C",E992="Z",E992="L"),J992=4),VLOOKUP(_xlfn.MINIFS('FIRE TEX 5090'!$J$5:$J$43,'FIRE TEX 5090'!$J$5:$J$43,"&gt;="&amp;M992),'FIRE TEX 5090'!$J$5:$P$43,IF(L992="F-15",2,IF(L992="F-30",3,IF(L992="F-60",4,IF(L992="F-90",5,IF(L992="F-120",6,IF(L992="F-150",7,0)))))),0),0)+IF(AND(O992="FIRE TEX 5090",E992="CJ",J992=3),VLOOKUP(_xlfn.MINIFS('FIRE TEX 5090'!$R$5:$R$30,'FIRE TEX 5090'!$R$5:$R$30,"&gt;="&amp;M992),'FIRE TEX 5090'!$R$5:$W$30,IF(L992="F-15",2,IF(L992="F-30",3,IF(L992="F-60",4,IF(L992="F-90",5,IF(L992="F-120",6,IF(L992="F-150",7,0)))))),0),0)+IF(AND(O992="FIRE TEX 5090",E992="CJ",J992=4),VLOOKUP(_xlfn.MINIFS('FIRE TEX 5090'!$Y$5:$Y$39,'FIRE TEX 5090'!$Y$5:$Y$39,"&gt;="&amp;M992),'FIRE TEX 5090'!$Y$5:$AD$39,IF(L992="F-15",2,IF(L992="F-30",3,IF(L992="F-60",4,IF(L992="F-90",5,IF(L992="F-120",6,IF(L992="F-150",7,0)))))),0),0)+IF(AND(O992="FIRE TEX 5120",OR(E992="IN",E992="C",E992="Z",E992="L"),J992=3),VLOOKUP(_xlfn.MINIFS('FIRE TEX 5120'!$B$5:$B$40,'FIRE TEX 5120'!$B$5:$B$40,"&gt;="&amp;M992),'FIRE TEX 5120'!$B$5:$G$40,IF(L992="F-15",2,IF(L992="F-30",3,IF(L992="F-60",4,IF(L992="F-90",5,IF(L992="F-120",6,0))))),0),0)+IF(AND(O992="FIRE TEX 5120",OR(E992="IN",E992="C",E992="Z",E992="L"),J992=4),VLOOKUP(_xlfn.MINIFS('FIRE TEX 5120'!$H$4:$H$40,'FIRE TEX 5120'!$H$4:$H$40,"&gt;="&amp;M992),'FIRE TEX 5120'!$H$4:$M$40,IF(L992="F-15",2,IF(L992="F-30",3,IF(L992="F-60",4,IF(L992="F-90",5,IF(L992="F-120",6,0))))),0),0)+IF(AND(O992="FIRE TEX 5120",E992="CJ"),VLOOKUP(_xlfn.MINIFS('FIRE TEX 5120'!$O$5:$O$40,'FIRE TEX 5120'!$O$5:$O$40,"&gt;="&amp;M992),'FIRE TEX 5120'!$O$5:$T$40,IF(L992="F-15",2,IF(L992="F-30",3,IF(L992="F-60",4,IF(L992="F-90",5,IF(L992="F-120",6,0))))),0),0)</f>
        <v>0</v>
      </c>
      <c r="Q992" s="46">
        <f t="shared" si="94"/>
        <v>0</v>
      </c>
      <c r="R992" s="46">
        <f t="shared" si="95"/>
        <v>0</v>
      </c>
      <c r="S992" s="46" t="e">
        <f t="shared" si="96"/>
        <v>#VALUE!</v>
      </c>
      <c r="T992" s="677">
        <f t="shared" si="97"/>
        <v>0</v>
      </c>
      <c r="U992" s="80">
        <f>(IF(O992="Stofire",(S992*#REF!),0))+(IF(O992="Fire Control",(S992*$U$2),0))+(IF(O992="Fire Tex",(S992*$U$3),0))+(IF(O992="WB7",(S992*#REF!),0)+(IF(O992="FX 2003",(S992*$U$5),0)))</f>
        <v>0</v>
      </c>
      <c r="V992" s="651">
        <f t="shared" si="98"/>
        <v>0</v>
      </c>
    </row>
    <row r="993" spans="4:22" x14ac:dyDescent="0.25">
      <c r="D993" s="118">
        <f>+CUBICACION!D992</f>
        <v>0</v>
      </c>
      <c r="E993" s="118">
        <f>+CUBICACION!F992</f>
        <v>0</v>
      </c>
      <c r="F993" s="118">
        <f>+CUBICACION!E992</f>
        <v>0</v>
      </c>
      <c r="G993" s="118">
        <v>12</v>
      </c>
      <c r="H993" s="118">
        <v>2</v>
      </c>
      <c r="I993" s="820">
        <v>26385</v>
      </c>
      <c r="J993" s="118">
        <f>+CUBICACION!J992</f>
        <v>0</v>
      </c>
      <c r="K993" s="118">
        <v>3772</v>
      </c>
      <c r="L993" s="118">
        <f>+CUBICACION!L992</f>
        <v>0</v>
      </c>
      <c r="M993" s="64">
        <f>+CUBICACION!M992</f>
        <v>0</v>
      </c>
      <c r="N993" s="824" t="str">
        <f>+CUBICACION!N992</f>
        <v/>
      </c>
      <c r="O993" s="675">
        <f>+CUBICACION!O992</f>
        <v>0</v>
      </c>
      <c r="P993" s="15">
        <f>IF(O993="Fire Control",VLOOKUP(_xlfn.MINIFS('FIRE CONTROL'!$C$4:$C$37,'FIRE CONTROL'!$C$4:$C$37,"&gt;="&amp;M993),'FIRE CONTROL'!$C$4:$G$37,IF(L993="F-15",2,IF(L993="F-30",3,IF(L993="F-60",4,IF(L993="F-90",5,0)))),0),0)+IF(AND(O993="FIRE TEX 5062",OR(E993="IN",E993="C",E993="Z",E993="L"),J993=3),VLOOKUP(_xlfn.MINIFS('FIRE TEX 5062'!$B$4:$B$34,'FIRE TEX 5062'!$B$4:$B$34,"&gt;="&amp;M993),'FIRE TEX 5062'!$B$4:$F$34,IF(L993="F-15",2,IF(L993="F-30",3,IF(L993="F-60",4,IF(L993="F-90",5,0)))),0),0)+IF(AND(O993="FIRE TEX 5062",OR(E993="IN",E993="C",E993="Z",E993="L"),J993=4),VLOOKUP(_xlfn.MINIFS('FIRE TEX 5062'!$G$4:$G$34,'FIRE TEX 5062'!$G$4:$G$34,"&gt;="&amp;M993),'FIRE TEX 5062'!$G$4:$K$34,IF(L993="F-15",2,IF(L993="F-30",3,IF(L993="F-60",4,IF(L993="F-90",5,0)))),0),0)+IF(AND(O993="FIRE TEX 5062",E993="CJ",J993=3),VLOOKUP(_xlfn.MINIFS('FIRE TEX 5062'!$L$4:$L$34,'FIRE TEX 5062'!$L$4:$L$34,"&gt;="&amp;M993),'FIRE TEX 5062'!$L$4:$P$34,IF(L993="F-15",2,IF(L993="F-30",3,IF(L993="F-60",4,IF(L993="F-90",5,0)))),0),0)+IF(AND(O993="FIRE TEX 5062",E993="CJ",J993=4),VLOOKUP(_xlfn.MINIFS('FIRE TEX 5062'!$Q$3:$Q$34,'FIRE TEX 5062'!$Q$3:$Q$34,"&gt;="&amp;M993),'FIRE TEX 5062'!$Q$3:$U$34,IF(L993="F-15",2,IF(L993="F-30",3,IF(L993="F-60",4,IF(L993="F-90",5,0)))),0),0)+IF(AND(O993="FIRE TEX 5090",OR(E993="IN",E993="C",E993="Z",E993="L"),J993=3),VLOOKUP(_xlfn.MINIFS('FIRE TEX 5090'!$B$5:$B$43,'FIRE TEX 5090'!$B$5:$B$43,"&gt;="&amp;M993),'FIRE TEX 5090'!$B$5:$H$43,IF(L993="F-15",2,IF(L993="F-30",3,IF(L993="F-60",4,IF(L993="F-90",5,IF(L993="F-120",6,IF(L993="F-150",7,0)))))),0),0)+IF(AND(O993="FIRE TEX 5090",OR(E993="IN",E993="C",E993="Z",E993="L"),J993=4),VLOOKUP(_xlfn.MINIFS('FIRE TEX 5090'!$J$5:$J$43,'FIRE TEX 5090'!$J$5:$J$43,"&gt;="&amp;M993),'FIRE TEX 5090'!$J$5:$P$43,IF(L993="F-15",2,IF(L993="F-30",3,IF(L993="F-60",4,IF(L993="F-90",5,IF(L993="F-120",6,IF(L993="F-150",7,0)))))),0),0)+IF(AND(O993="FIRE TEX 5090",E993="CJ",J993=3),VLOOKUP(_xlfn.MINIFS('FIRE TEX 5090'!$R$5:$R$30,'FIRE TEX 5090'!$R$5:$R$30,"&gt;="&amp;M993),'FIRE TEX 5090'!$R$5:$W$30,IF(L993="F-15",2,IF(L993="F-30",3,IF(L993="F-60",4,IF(L993="F-90",5,IF(L993="F-120",6,IF(L993="F-150",7,0)))))),0),0)+IF(AND(O993="FIRE TEX 5090",E993="CJ",J993=4),VLOOKUP(_xlfn.MINIFS('FIRE TEX 5090'!$Y$5:$Y$39,'FIRE TEX 5090'!$Y$5:$Y$39,"&gt;="&amp;M993),'FIRE TEX 5090'!$Y$5:$AD$39,IF(L993="F-15",2,IF(L993="F-30",3,IF(L993="F-60",4,IF(L993="F-90",5,IF(L993="F-120",6,IF(L993="F-150",7,0)))))),0),0)+IF(AND(O993="FIRE TEX 5120",OR(E993="IN",E993="C",E993="Z",E993="L"),J993=3),VLOOKUP(_xlfn.MINIFS('FIRE TEX 5120'!$B$5:$B$40,'FIRE TEX 5120'!$B$5:$B$40,"&gt;="&amp;M993),'FIRE TEX 5120'!$B$5:$G$40,IF(L993="F-15",2,IF(L993="F-30",3,IF(L993="F-60",4,IF(L993="F-90",5,IF(L993="F-120",6,0))))),0),0)+IF(AND(O993="FIRE TEX 5120",OR(E993="IN",E993="C",E993="Z",E993="L"),J993=4),VLOOKUP(_xlfn.MINIFS('FIRE TEX 5120'!$H$4:$H$40,'FIRE TEX 5120'!$H$4:$H$40,"&gt;="&amp;M993),'FIRE TEX 5120'!$H$4:$M$40,IF(L993="F-15",2,IF(L993="F-30",3,IF(L993="F-60",4,IF(L993="F-90",5,IF(L993="F-120",6,0))))),0),0)+IF(AND(O993="FIRE TEX 5120",E993="CJ"),VLOOKUP(_xlfn.MINIFS('FIRE TEX 5120'!$O$5:$O$40,'FIRE TEX 5120'!$O$5:$O$40,"&gt;="&amp;M993),'FIRE TEX 5120'!$O$5:$T$40,IF(L993="F-15",2,IF(L993="F-30",3,IF(L993="F-60",4,IF(L993="F-90",5,IF(L993="F-120",6,0))))),0),0)</f>
        <v>0</v>
      </c>
      <c r="Q993" s="46">
        <f t="shared" si="94"/>
        <v>0</v>
      </c>
      <c r="R993" s="46">
        <f t="shared" si="95"/>
        <v>0</v>
      </c>
      <c r="S993" s="46" t="e">
        <f t="shared" si="96"/>
        <v>#VALUE!</v>
      </c>
      <c r="T993" s="677">
        <f t="shared" si="97"/>
        <v>0</v>
      </c>
      <c r="U993" s="80">
        <f>(IF(O993="Stofire",(S993*#REF!),0))+(IF(O993="Fire Control",(S993*$U$2),0))+(IF(O993="Fire Tex",(S993*$U$3),0))+(IF(O993="WB7",(S993*#REF!),0)+(IF(O993="FX 2003",(S993*$U$5),0)))</f>
        <v>0</v>
      </c>
      <c r="V993" s="651">
        <f t="shared" si="98"/>
        <v>0</v>
      </c>
    </row>
    <row r="994" spans="4:22" x14ac:dyDescent="0.25">
      <c r="D994" s="118">
        <f>+CUBICACION!D993</f>
        <v>0</v>
      </c>
      <c r="E994" s="118">
        <f>+CUBICACION!F993</f>
        <v>0</v>
      </c>
      <c r="F994" s="118">
        <f>+CUBICACION!E993</f>
        <v>0</v>
      </c>
      <c r="G994" s="118">
        <v>12</v>
      </c>
      <c r="H994" s="118">
        <v>2</v>
      </c>
      <c r="I994" s="820">
        <v>26385</v>
      </c>
      <c r="J994" s="118">
        <f>+CUBICACION!J993</f>
        <v>0</v>
      </c>
      <c r="K994" s="118">
        <v>3773</v>
      </c>
      <c r="L994" s="118">
        <f>+CUBICACION!L993</f>
        <v>0</v>
      </c>
      <c r="M994" s="64">
        <f>+CUBICACION!M993</f>
        <v>0</v>
      </c>
      <c r="N994" s="824" t="str">
        <f>+CUBICACION!N993</f>
        <v/>
      </c>
      <c r="O994" s="675">
        <f>+CUBICACION!O993</f>
        <v>0</v>
      </c>
      <c r="P994" s="15">
        <f>IF(O994="Fire Control",VLOOKUP(_xlfn.MINIFS('FIRE CONTROL'!$C$4:$C$37,'FIRE CONTROL'!$C$4:$C$37,"&gt;="&amp;M994),'FIRE CONTROL'!$C$4:$G$37,IF(L994="F-15",2,IF(L994="F-30",3,IF(L994="F-60",4,IF(L994="F-90",5,0)))),0),0)+IF(AND(O994="FIRE TEX 5062",OR(E994="IN",E994="C",E994="Z",E994="L"),J994=3),VLOOKUP(_xlfn.MINIFS('FIRE TEX 5062'!$B$4:$B$34,'FIRE TEX 5062'!$B$4:$B$34,"&gt;="&amp;M994),'FIRE TEX 5062'!$B$4:$F$34,IF(L994="F-15",2,IF(L994="F-30",3,IF(L994="F-60",4,IF(L994="F-90",5,0)))),0),0)+IF(AND(O994="FIRE TEX 5062",OR(E994="IN",E994="C",E994="Z",E994="L"),J994=4),VLOOKUP(_xlfn.MINIFS('FIRE TEX 5062'!$G$4:$G$34,'FIRE TEX 5062'!$G$4:$G$34,"&gt;="&amp;M994),'FIRE TEX 5062'!$G$4:$K$34,IF(L994="F-15",2,IF(L994="F-30",3,IF(L994="F-60",4,IF(L994="F-90",5,0)))),0),0)+IF(AND(O994="FIRE TEX 5062",E994="CJ",J994=3),VLOOKUP(_xlfn.MINIFS('FIRE TEX 5062'!$L$4:$L$34,'FIRE TEX 5062'!$L$4:$L$34,"&gt;="&amp;M994),'FIRE TEX 5062'!$L$4:$P$34,IF(L994="F-15",2,IF(L994="F-30",3,IF(L994="F-60",4,IF(L994="F-90",5,0)))),0),0)+IF(AND(O994="FIRE TEX 5062",E994="CJ",J994=4),VLOOKUP(_xlfn.MINIFS('FIRE TEX 5062'!$Q$3:$Q$34,'FIRE TEX 5062'!$Q$3:$Q$34,"&gt;="&amp;M994),'FIRE TEX 5062'!$Q$3:$U$34,IF(L994="F-15",2,IF(L994="F-30",3,IF(L994="F-60",4,IF(L994="F-90",5,0)))),0),0)+IF(AND(O994="FIRE TEX 5090",OR(E994="IN",E994="C",E994="Z",E994="L"),J994=3),VLOOKUP(_xlfn.MINIFS('FIRE TEX 5090'!$B$5:$B$43,'FIRE TEX 5090'!$B$5:$B$43,"&gt;="&amp;M994),'FIRE TEX 5090'!$B$5:$H$43,IF(L994="F-15",2,IF(L994="F-30",3,IF(L994="F-60",4,IF(L994="F-90",5,IF(L994="F-120",6,IF(L994="F-150",7,0)))))),0),0)+IF(AND(O994="FIRE TEX 5090",OR(E994="IN",E994="C",E994="Z",E994="L"),J994=4),VLOOKUP(_xlfn.MINIFS('FIRE TEX 5090'!$J$5:$J$43,'FIRE TEX 5090'!$J$5:$J$43,"&gt;="&amp;M994),'FIRE TEX 5090'!$J$5:$P$43,IF(L994="F-15",2,IF(L994="F-30",3,IF(L994="F-60",4,IF(L994="F-90",5,IF(L994="F-120",6,IF(L994="F-150",7,0)))))),0),0)+IF(AND(O994="FIRE TEX 5090",E994="CJ",J994=3),VLOOKUP(_xlfn.MINIFS('FIRE TEX 5090'!$R$5:$R$30,'FIRE TEX 5090'!$R$5:$R$30,"&gt;="&amp;M994),'FIRE TEX 5090'!$R$5:$W$30,IF(L994="F-15",2,IF(L994="F-30",3,IF(L994="F-60",4,IF(L994="F-90",5,IF(L994="F-120",6,IF(L994="F-150",7,0)))))),0),0)+IF(AND(O994="FIRE TEX 5090",E994="CJ",J994=4),VLOOKUP(_xlfn.MINIFS('FIRE TEX 5090'!$Y$5:$Y$39,'FIRE TEX 5090'!$Y$5:$Y$39,"&gt;="&amp;M994),'FIRE TEX 5090'!$Y$5:$AD$39,IF(L994="F-15",2,IF(L994="F-30",3,IF(L994="F-60",4,IF(L994="F-90",5,IF(L994="F-120",6,IF(L994="F-150",7,0)))))),0),0)+IF(AND(O994="FIRE TEX 5120",OR(E994="IN",E994="C",E994="Z",E994="L"),J994=3),VLOOKUP(_xlfn.MINIFS('FIRE TEX 5120'!$B$5:$B$40,'FIRE TEX 5120'!$B$5:$B$40,"&gt;="&amp;M994),'FIRE TEX 5120'!$B$5:$G$40,IF(L994="F-15",2,IF(L994="F-30",3,IF(L994="F-60",4,IF(L994="F-90",5,IF(L994="F-120",6,0))))),0),0)+IF(AND(O994="FIRE TEX 5120",OR(E994="IN",E994="C",E994="Z",E994="L"),J994=4),VLOOKUP(_xlfn.MINIFS('FIRE TEX 5120'!$H$4:$H$40,'FIRE TEX 5120'!$H$4:$H$40,"&gt;="&amp;M994),'FIRE TEX 5120'!$H$4:$M$40,IF(L994="F-15",2,IF(L994="F-30",3,IF(L994="F-60",4,IF(L994="F-90",5,IF(L994="F-120",6,0))))),0),0)+IF(AND(O994="FIRE TEX 5120",E994="CJ"),VLOOKUP(_xlfn.MINIFS('FIRE TEX 5120'!$O$5:$O$40,'FIRE TEX 5120'!$O$5:$O$40,"&gt;="&amp;M994),'FIRE TEX 5120'!$O$5:$T$40,IF(L994="F-15",2,IF(L994="F-30",3,IF(L994="F-60",4,IF(L994="F-90",5,IF(L994="F-120",6,0))))),0),0)</f>
        <v>0</v>
      </c>
      <c r="Q994" s="46">
        <f t="shared" si="94"/>
        <v>0</v>
      </c>
      <c r="R994" s="46">
        <f t="shared" si="95"/>
        <v>0</v>
      </c>
      <c r="S994" s="46" t="e">
        <f t="shared" si="96"/>
        <v>#VALUE!</v>
      </c>
      <c r="T994" s="677">
        <f t="shared" si="97"/>
        <v>0</v>
      </c>
      <c r="U994" s="80">
        <f>(IF(O994="Stofire",(S994*#REF!),0))+(IF(O994="Fire Control",(S994*$U$2),0))+(IF(O994="Fire Tex",(S994*$U$3),0))+(IF(O994="WB7",(S994*#REF!),0)+(IF(O994="FX 2003",(S994*$U$5),0)))</f>
        <v>0</v>
      </c>
      <c r="V994" s="651">
        <f t="shared" si="98"/>
        <v>0</v>
      </c>
    </row>
    <row r="995" spans="4:22" x14ac:dyDescent="0.25">
      <c r="D995" s="118">
        <f>+CUBICACION!D994</f>
        <v>0</v>
      </c>
      <c r="E995" s="118">
        <f>+CUBICACION!F994</f>
        <v>0</v>
      </c>
      <c r="F995" s="118">
        <f>+CUBICACION!E994</f>
        <v>0</v>
      </c>
      <c r="G995" s="118">
        <v>12</v>
      </c>
      <c r="H995" s="118">
        <v>2</v>
      </c>
      <c r="I995" s="820">
        <v>26385</v>
      </c>
      <c r="J995" s="118">
        <f>+CUBICACION!J994</f>
        <v>0</v>
      </c>
      <c r="K995" s="118">
        <v>3774</v>
      </c>
      <c r="L995" s="118">
        <f>+CUBICACION!L994</f>
        <v>0</v>
      </c>
      <c r="M995" s="64">
        <f>+CUBICACION!M994</f>
        <v>0</v>
      </c>
      <c r="N995" s="824" t="str">
        <f>+CUBICACION!N994</f>
        <v/>
      </c>
      <c r="O995" s="675">
        <f>+CUBICACION!O994</f>
        <v>0</v>
      </c>
      <c r="P995" s="15">
        <f>IF(O995="Fire Control",VLOOKUP(_xlfn.MINIFS('FIRE CONTROL'!$C$4:$C$37,'FIRE CONTROL'!$C$4:$C$37,"&gt;="&amp;M995),'FIRE CONTROL'!$C$4:$G$37,IF(L995="F-15",2,IF(L995="F-30",3,IF(L995="F-60",4,IF(L995="F-90",5,0)))),0),0)+IF(AND(O995="FIRE TEX 5062",OR(E995="IN",E995="C",E995="Z",E995="L"),J995=3),VLOOKUP(_xlfn.MINIFS('FIRE TEX 5062'!$B$4:$B$34,'FIRE TEX 5062'!$B$4:$B$34,"&gt;="&amp;M995),'FIRE TEX 5062'!$B$4:$F$34,IF(L995="F-15",2,IF(L995="F-30",3,IF(L995="F-60",4,IF(L995="F-90",5,0)))),0),0)+IF(AND(O995="FIRE TEX 5062",OR(E995="IN",E995="C",E995="Z",E995="L"),J995=4),VLOOKUP(_xlfn.MINIFS('FIRE TEX 5062'!$G$4:$G$34,'FIRE TEX 5062'!$G$4:$G$34,"&gt;="&amp;M995),'FIRE TEX 5062'!$G$4:$K$34,IF(L995="F-15",2,IF(L995="F-30",3,IF(L995="F-60",4,IF(L995="F-90",5,0)))),0),0)+IF(AND(O995="FIRE TEX 5062",E995="CJ",J995=3),VLOOKUP(_xlfn.MINIFS('FIRE TEX 5062'!$L$4:$L$34,'FIRE TEX 5062'!$L$4:$L$34,"&gt;="&amp;M995),'FIRE TEX 5062'!$L$4:$P$34,IF(L995="F-15",2,IF(L995="F-30",3,IF(L995="F-60",4,IF(L995="F-90",5,0)))),0),0)+IF(AND(O995="FIRE TEX 5062",E995="CJ",J995=4),VLOOKUP(_xlfn.MINIFS('FIRE TEX 5062'!$Q$3:$Q$34,'FIRE TEX 5062'!$Q$3:$Q$34,"&gt;="&amp;M995),'FIRE TEX 5062'!$Q$3:$U$34,IF(L995="F-15",2,IF(L995="F-30",3,IF(L995="F-60",4,IF(L995="F-90",5,0)))),0),0)+IF(AND(O995="FIRE TEX 5090",OR(E995="IN",E995="C",E995="Z",E995="L"),J995=3),VLOOKUP(_xlfn.MINIFS('FIRE TEX 5090'!$B$5:$B$43,'FIRE TEX 5090'!$B$5:$B$43,"&gt;="&amp;M995),'FIRE TEX 5090'!$B$5:$H$43,IF(L995="F-15",2,IF(L995="F-30",3,IF(L995="F-60",4,IF(L995="F-90",5,IF(L995="F-120",6,IF(L995="F-150",7,0)))))),0),0)+IF(AND(O995="FIRE TEX 5090",OR(E995="IN",E995="C",E995="Z",E995="L"),J995=4),VLOOKUP(_xlfn.MINIFS('FIRE TEX 5090'!$J$5:$J$43,'FIRE TEX 5090'!$J$5:$J$43,"&gt;="&amp;M995),'FIRE TEX 5090'!$J$5:$P$43,IF(L995="F-15",2,IF(L995="F-30",3,IF(L995="F-60",4,IF(L995="F-90",5,IF(L995="F-120",6,IF(L995="F-150",7,0)))))),0),0)+IF(AND(O995="FIRE TEX 5090",E995="CJ",J995=3),VLOOKUP(_xlfn.MINIFS('FIRE TEX 5090'!$R$5:$R$30,'FIRE TEX 5090'!$R$5:$R$30,"&gt;="&amp;M995),'FIRE TEX 5090'!$R$5:$W$30,IF(L995="F-15",2,IF(L995="F-30",3,IF(L995="F-60",4,IF(L995="F-90",5,IF(L995="F-120",6,IF(L995="F-150",7,0)))))),0),0)+IF(AND(O995="FIRE TEX 5090",E995="CJ",J995=4),VLOOKUP(_xlfn.MINIFS('FIRE TEX 5090'!$Y$5:$Y$39,'FIRE TEX 5090'!$Y$5:$Y$39,"&gt;="&amp;M995),'FIRE TEX 5090'!$Y$5:$AD$39,IF(L995="F-15",2,IF(L995="F-30",3,IF(L995="F-60",4,IF(L995="F-90",5,IF(L995="F-120",6,IF(L995="F-150",7,0)))))),0),0)+IF(AND(O995="FIRE TEX 5120",OR(E995="IN",E995="C",E995="Z",E995="L"),J995=3),VLOOKUP(_xlfn.MINIFS('FIRE TEX 5120'!$B$5:$B$40,'FIRE TEX 5120'!$B$5:$B$40,"&gt;="&amp;M995),'FIRE TEX 5120'!$B$5:$G$40,IF(L995="F-15",2,IF(L995="F-30",3,IF(L995="F-60",4,IF(L995="F-90",5,IF(L995="F-120",6,0))))),0),0)+IF(AND(O995="FIRE TEX 5120",OR(E995="IN",E995="C",E995="Z",E995="L"),J995=4),VLOOKUP(_xlfn.MINIFS('FIRE TEX 5120'!$H$4:$H$40,'FIRE TEX 5120'!$H$4:$H$40,"&gt;="&amp;M995),'FIRE TEX 5120'!$H$4:$M$40,IF(L995="F-15",2,IF(L995="F-30",3,IF(L995="F-60",4,IF(L995="F-90",5,IF(L995="F-120",6,0))))),0),0)+IF(AND(O995="FIRE TEX 5120",E995="CJ"),VLOOKUP(_xlfn.MINIFS('FIRE TEX 5120'!$O$5:$O$40,'FIRE TEX 5120'!$O$5:$O$40,"&gt;="&amp;M995),'FIRE TEX 5120'!$O$5:$T$40,IF(L995="F-15",2,IF(L995="F-30",3,IF(L995="F-60",4,IF(L995="F-90",5,IF(L995="F-120",6,0))))),0),0)</f>
        <v>0</v>
      </c>
      <c r="Q995" s="46">
        <f t="shared" si="94"/>
        <v>0</v>
      </c>
      <c r="R995" s="46">
        <f t="shared" si="95"/>
        <v>0</v>
      </c>
      <c r="S995" s="46" t="e">
        <f t="shared" si="96"/>
        <v>#VALUE!</v>
      </c>
      <c r="T995" s="677">
        <f t="shared" si="97"/>
        <v>0</v>
      </c>
      <c r="U995" s="80">
        <f>(IF(O995="Stofire",(S995*#REF!),0))+(IF(O995="Fire Control",(S995*$U$2),0))+(IF(O995="Fire Tex",(S995*$U$3),0))+(IF(O995="WB7",(S995*#REF!),0)+(IF(O995="FX 2003",(S995*$U$5),0)))</f>
        <v>0</v>
      </c>
      <c r="V995" s="651">
        <f t="shared" si="98"/>
        <v>0</v>
      </c>
    </row>
    <row r="996" spans="4:22" x14ac:dyDescent="0.25">
      <c r="D996" s="118">
        <f>+CUBICACION!D995</f>
        <v>0</v>
      </c>
      <c r="E996" s="118">
        <f>+CUBICACION!F995</f>
        <v>0</v>
      </c>
      <c r="F996" s="118">
        <f>+CUBICACION!E995</f>
        <v>0</v>
      </c>
      <c r="G996" s="118">
        <v>12</v>
      </c>
      <c r="H996" s="118">
        <v>2</v>
      </c>
      <c r="I996" s="820">
        <v>26385</v>
      </c>
      <c r="J996" s="118">
        <f>+CUBICACION!J995</f>
        <v>0</v>
      </c>
      <c r="K996" s="118">
        <v>3775</v>
      </c>
      <c r="L996" s="118">
        <f>+CUBICACION!L995</f>
        <v>0</v>
      </c>
      <c r="M996" s="64">
        <f>+CUBICACION!M995</f>
        <v>0</v>
      </c>
      <c r="N996" s="824" t="str">
        <f>+CUBICACION!N995</f>
        <v/>
      </c>
      <c r="O996" s="675">
        <f>+CUBICACION!O995</f>
        <v>0</v>
      </c>
      <c r="P996" s="15">
        <f>IF(O996="Fire Control",VLOOKUP(_xlfn.MINIFS('FIRE CONTROL'!$C$4:$C$37,'FIRE CONTROL'!$C$4:$C$37,"&gt;="&amp;M996),'FIRE CONTROL'!$C$4:$G$37,IF(L996="F-15",2,IF(L996="F-30",3,IF(L996="F-60",4,IF(L996="F-90",5,0)))),0),0)+IF(AND(O996="FIRE TEX 5062",OR(E996="IN",E996="C",E996="Z",E996="L"),J996=3),VLOOKUP(_xlfn.MINIFS('FIRE TEX 5062'!$B$4:$B$34,'FIRE TEX 5062'!$B$4:$B$34,"&gt;="&amp;M996),'FIRE TEX 5062'!$B$4:$F$34,IF(L996="F-15",2,IF(L996="F-30",3,IF(L996="F-60",4,IF(L996="F-90",5,0)))),0),0)+IF(AND(O996="FIRE TEX 5062",OR(E996="IN",E996="C",E996="Z",E996="L"),J996=4),VLOOKUP(_xlfn.MINIFS('FIRE TEX 5062'!$G$4:$G$34,'FIRE TEX 5062'!$G$4:$G$34,"&gt;="&amp;M996),'FIRE TEX 5062'!$G$4:$K$34,IF(L996="F-15",2,IF(L996="F-30",3,IF(L996="F-60",4,IF(L996="F-90",5,0)))),0),0)+IF(AND(O996="FIRE TEX 5062",E996="CJ",J996=3),VLOOKUP(_xlfn.MINIFS('FIRE TEX 5062'!$L$4:$L$34,'FIRE TEX 5062'!$L$4:$L$34,"&gt;="&amp;M996),'FIRE TEX 5062'!$L$4:$P$34,IF(L996="F-15",2,IF(L996="F-30",3,IF(L996="F-60",4,IF(L996="F-90",5,0)))),0),0)+IF(AND(O996="FIRE TEX 5062",E996="CJ",J996=4),VLOOKUP(_xlfn.MINIFS('FIRE TEX 5062'!$Q$3:$Q$34,'FIRE TEX 5062'!$Q$3:$Q$34,"&gt;="&amp;M996),'FIRE TEX 5062'!$Q$3:$U$34,IF(L996="F-15",2,IF(L996="F-30",3,IF(L996="F-60",4,IF(L996="F-90",5,0)))),0),0)+IF(AND(O996="FIRE TEX 5090",OR(E996="IN",E996="C",E996="Z",E996="L"),J996=3),VLOOKUP(_xlfn.MINIFS('FIRE TEX 5090'!$B$5:$B$43,'FIRE TEX 5090'!$B$5:$B$43,"&gt;="&amp;M996),'FIRE TEX 5090'!$B$5:$H$43,IF(L996="F-15",2,IF(L996="F-30",3,IF(L996="F-60",4,IF(L996="F-90",5,IF(L996="F-120",6,IF(L996="F-150",7,0)))))),0),0)+IF(AND(O996="FIRE TEX 5090",OR(E996="IN",E996="C",E996="Z",E996="L"),J996=4),VLOOKUP(_xlfn.MINIFS('FIRE TEX 5090'!$J$5:$J$43,'FIRE TEX 5090'!$J$5:$J$43,"&gt;="&amp;M996),'FIRE TEX 5090'!$J$5:$P$43,IF(L996="F-15",2,IF(L996="F-30",3,IF(L996="F-60",4,IF(L996="F-90",5,IF(L996="F-120",6,IF(L996="F-150",7,0)))))),0),0)+IF(AND(O996="FIRE TEX 5090",E996="CJ",J996=3),VLOOKUP(_xlfn.MINIFS('FIRE TEX 5090'!$R$5:$R$30,'FIRE TEX 5090'!$R$5:$R$30,"&gt;="&amp;M996),'FIRE TEX 5090'!$R$5:$W$30,IF(L996="F-15",2,IF(L996="F-30",3,IF(L996="F-60",4,IF(L996="F-90",5,IF(L996="F-120",6,IF(L996="F-150",7,0)))))),0),0)+IF(AND(O996="FIRE TEX 5090",E996="CJ",J996=4),VLOOKUP(_xlfn.MINIFS('FIRE TEX 5090'!$Y$5:$Y$39,'FIRE TEX 5090'!$Y$5:$Y$39,"&gt;="&amp;M996),'FIRE TEX 5090'!$Y$5:$AD$39,IF(L996="F-15",2,IF(L996="F-30",3,IF(L996="F-60",4,IF(L996="F-90",5,IF(L996="F-120",6,IF(L996="F-150",7,0)))))),0),0)+IF(AND(O996="FIRE TEX 5120",OR(E996="IN",E996="C",E996="Z",E996="L"),J996=3),VLOOKUP(_xlfn.MINIFS('FIRE TEX 5120'!$B$5:$B$40,'FIRE TEX 5120'!$B$5:$B$40,"&gt;="&amp;M996),'FIRE TEX 5120'!$B$5:$G$40,IF(L996="F-15",2,IF(L996="F-30",3,IF(L996="F-60",4,IF(L996="F-90",5,IF(L996="F-120",6,0))))),0),0)+IF(AND(O996="FIRE TEX 5120",OR(E996="IN",E996="C",E996="Z",E996="L"),J996=4),VLOOKUP(_xlfn.MINIFS('FIRE TEX 5120'!$H$4:$H$40,'FIRE TEX 5120'!$H$4:$H$40,"&gt;="&amp;M996),'FIRE TEX 5120'!$H$4:$M$40,IF(L996="F-15",2,IF(L996="F-30",3,IF(L996="F-60",4,IF(L996="F-90",5,IF(L996="F-120",6,0))))),0),0)+IF(AND(O996="FIRE TEX 5120",E996="CJ"),VLOOKUP(_xlfn.MINIFS('FIRE TEX 5120'!$O$5:$O$40,'FIRE TEX 5120'!$O$5:$O$40,"&gt;="&amp;M996),'FIRE TEX 5120'!$O$5:$T$40,IF(L996="F-15",2,IF(L996="F-30",3,IF(L996="F-60",4,IF(L996="F-90",5,IF(L996="F-120",6,0))))),0),0)</f>
        <v>0</v>
      </c>
      <c r="Q996" s="46">
        <f t="shared" si="94"/>
        <v>0</v>
      </c>
      <c r="R996" s="46">
        <f t="shared" si="95"/>
        <v>0</v>
      </c>
      <c r="S996" s="46" t="e">
        <f t="shared" si="96"/>
        <v>#VALUE!</v>
      </c>
      <c r="T996" s="677">
        <f t="shared" si="97"/>
        <v>0</v>
      </c>
      <c r="U996" s="80">
        <f>(IF(O996="Stofire",(S996*#REF!),0))+(IF(O996="Fire Control",(S996*$U$2),0))+(IF(O996="Fire Tex",(S996*$U$3),0))+(IF(O996="WB7",(S996*#REF!),0)+(IF(O996="FX 2003",(S996*$U$5),0)))</f>
        <v>0</v>
      </c>
      <c r="V996" s="651">
        <f t="shared" si="98"/>
        <v>0</v>
      </c>
    </row>
    <row r="997" spans="4:22" x14ac:dyDescent="0.25">
      <c r="D997" s="118">
        <f>+CUBICACION!D996</f>
        <v>0</v>
      </c>
      <c r="E997" s="118">
        <f>+CUBICACION!F996</f>
        <v>0</v>
      </c>
      <c r="F997" s="118">
        <f>+CUBICACION!E996</f>
        <v>0</v>
      </c>
      <c r="G997" s="118">
        <v>12</v>
      </c>
      <c r="H997" s="118">
        <v>2</v>
      </c>
      <c r="I997" s="820">
        <v>26385</v>
      </c>
      <c r="J997" s="118">
        <f>+CUBICACION!J996</f>
        <v>0</v>
      </c>
      <c r="K997" s="118">
        <v>3776</v>
      </c>
      <c r="L997" s="118">
        <f>+CUBICACION!L996</f>
        <v>0</v>
      </c>
      <c r="M997" s="64">
        <f>+CUBICACION!M996</f>
        <v>0</v>
      </c>
      <c r="N997" s="824" t="str">
        <f>+CUBICACION!N996</f>
        <v/>
      </c>
      <c r="O997" s="675">
        <f>+CUBICACION!O996</f>
        <v>0</v>
      </c>
      <c r="P997" s="15">
        <f>IF(O997="Fire Control",VLOOKUP(_xlfn.MINIFS('FIRE CONTROL'!$C$4:$C$37,'FIRE CONTROL'!$C$4:$C$37,"&gt;="&amp;M997),'FIRE CONTROL'!$C$4:$G$37,IF(L997="F-15",2,IF(L997="F-30",3,IF(L997="F-60",4,IF(L997="F-90",5,0)))),0),0)+IF(AND(O997="FIRE TEX 5062",OR(E997="IN",E997="C",E997="Z",E997="L"),J997=3),VLOOKUP(_xlfn.MINIFS('FIRE TEX 5062'!$B$4:$B$34,'FIRE TEX 5062'!$B$4:$B$34,"&gt;="&amp;M997),'FIRE TEX 5062'!$B$4:$F$34,IF(L997="F-15",2,IF(L997="F-30",3,IF(L997="F-60",4,IF(L997="F-90",5,0)))),0),0)+IF(AND(O997="FIRE TEX 5062",OR(E997="IN",E997="C",E997="Z",E997="L"),J997=4),VLOOKUP(_xlfn.MINIFS('FIRE TEX 5062'!$G$4:$G$34,'FIRE TEX 5062'!$G$4:$G$34,"&gt;="&amp;M997),'FIRE TEX 5062'!$G$4:$K$34,IF(L997="F-15",2,IF(L997="F-30",3,IF(L997="F-60",4,IF(L997="F-90",5,0)))),0),0)+IF(AND(O997="FIRE TEX 5062",E997="CJ",J997=3),VLOOKUP(_xlfn.MINIFS('FIRE TEX 5062'!$L$4:$L$34,'FIRE TEX 5062'!$L$4:$L$34,"&gt;="&amp;M997),'FIRE TEX 5062'!$L$4:$P$34,IF(L997="F-15",2,IF(L997="F-30",3,IF(L997="F-60",4,IF(L997="F-90",5,0)))),0),0)+IF(AND(O997="FIRE TEX 5062",E997="CJ",J997=4),VLOOKUP(_xlfn.MINIFS('FIRE TEX 5062'!$Q$3:$Q$34,'FIRE TEX 5062'!$Q$3:$Q$34,"&gt;="&amp;M997),'FIRE TEX 5062'!$Q$3:$U$34,IF(L997="F-15",2,IF(L997="F-30",3,IF(L997="F-60",4,IF(L997="F-90",5,0)))),0),0)+IF(AND(O997="FIRE TEX 5090",OR(E997="IN",E997="C",E997="Z",E997="L"),J997=3),VLOOKUP(_xlfn.MINIFS('FIRE TEX 5090'!$B$5:$B$43,'FIRE TEX 5090'!$B$5:$B$43,"&gt;="&amp;M997),'FIRE TEX 5090'!$B$5:$H$43,IF(L997="F-15",2,IF(L997="F-30",3,IF(L997="F-60",4,IF(L997="F-90",5,IF(L997="F-120",6,IF(L997="F-150",7,0)))))),0),0)+IF(AND(O997="FIRE TEX 5090",OR(E997="IN",E997="C",E997="Z",E997="L"),J997=4),VLOOKUP(_xlfn.MINIFS('FIRE TEX 5090'!$J$5:$J$43,'FIRE TEX 5090'!$J$5:$J$43,"&gt;="&amp;M997),'FIRE TEX 5090'!$J$5:$P$43,IF(L997="F-15",2,IF(L997="F-30",3,IF(L997="F-60",4,IF(L997="F-90",5,IF(L997="F-120",6,IF(L997="F-150",7,0)))))),0),0)+IF(AND(O997="FIRE TEX 5090",E997="CJ",J997=3),VLOOKUP(_xlfn.MINIFS('FIRE TEX 5090'!$R$5:$R$30,'FIRE TEX 5090'!$R$5:$R$30,"&gt;="&amp;M997),'FIRE TEX 5090'!$R$5:$W$30,IF(L997="F-15",2,IF(L997="F-30",3,IF(L997="F-60",4,IF(L997="F-90",5,IF(L997="F-120",6,IF(L997="F-150",7,0)))))),0),0)+IF(AND(O997="FIRE TEX 5090",E997="CJ",J997=4),VLOOKUP(_xlfn.MINIFS('FIRE TEX 5090'!$Y$5:$Y$39,'FIRE TEX 5090'!$Y$5:$Y$39,"&gt;="&amp;M997),'FIRE TEX 5090'!$Y$5:$AD$39,IF(L997="F-15",2,IF(L997="F-30",3,IF(L997="F-60",4,IF(L997="F-90",5,IF(L997="F-120",6,IF(L997="F-150",7,0)))))),0),0)+IF(AND(O997="FIRE TEX 5120",OR(E997="IN",E997="C",E997="Z",E997="L"),J997=3),VLOOKUP(_xlfn.MINIFS('FIRE TEX 5120'!$B$5:$B$40,'FIRE TEX 5120'!$B$5:$B$40,"&gt;="&amp;M997),'FIRE TEX 5120'!$B$5:$G$40,IF(L997="F-15",2,IF(L997="F-30",3,IF(L997="F-60",4,IF(L997="F-90",5,IF(L997="F-120",6,0))))),0),0)+IF(AND(O997="FIRE TEX 5120",OR(E997="IN",E997="C",E997="Z",E997="L"),J997=4),VLOOKUP(_xlfn.MINIFS('FIRE TEX 5120'!$H$4:$H$40,'FIRE TEX 5120'!$H$4:$H$40,"&gt;="&amp;M997),'FIRE TEX 5120'!$H$4:$M$40,IF(L997="F-15",2,IF(L997="F-30",3,IF(L997="F-60",4,IF(L997="F-90",5,IF(L997="F-120",6,0))))),0),0)+IF(AND(O997="FIRE TEX 5120",E997="CJ"),VLOOKUP(_xlfn.MINIFS('FIRE TEX 5120'!$O$5:$O$40,'FIRE TEX 5120'!$O$5:$O$40,"&gt;="&amp;M997),'FIRE TEX 5120'!$O$5:$T$40,IF(L997="F-15",2,IF(L997="F-30",3,IF(L997="F-60",4,IF(L997="F-90",5,IF(L997="F-120",6,0))))),0),0)</f>
        <v>0</v>
      </c>
      <c r="Q997" s="46">
        <f t="shared" si="94"/>
        <v>0</v>
      </c>
      <c r="R997" s="46">
        <f t="shared" si="95"/>
        <v>0</v>
      </c>
      <c r="S997" s="46" t="e">
        <f t="shared" si="96"/>
        <v>#VALUE!</v>
      </c>
      <c r="T997" s="677">
        <f t="shared" si="97"/>
        <v>0</v>
      </c>
      <c r="U997" s="80">
        <f>(IF(O997="Stofire",(S997*#REF!),0))+(IF(O997="Fire Control",(S997*$U$2),0))+(IF(O997="Fire Tex",(S997*$U$3),0))+(IF(O997="WB7",(S997*#REF!),0)+(IF(O997="FX 2003",(S997*$U$5),0)))</f>
        <v>0</v>
      </c>
      <c r="V997" s="651">
        <f t="shared" si="98"/>
        <v>0</v>
      </c>
    </row>
    <row r="998" spans="4:22" x14ac:dyDescent="0.25">
      <c r="D998" s="118">
        <f>+CUBICACION!D997</f>
        <v>0</v>
      </c>
      <c r="E998" s="118">
        <f>+CUBICACION!F997</f>
        <v>0</v>
      </c>
      <c r="F998" s="118">
        <f>+CUBICACION!E997</f>
        <v>0</v>
      </c>
      <c r="G998" s="118">
        <v>12</v>
      </c>
      <c r="H998" s="118">
        <v>2</v>
      </c>
      <c r="I998" s="820">
        <v>26385</v>
      </c>
      <c r="J998" s="118">
        <f>+CUBICACION!J997</f>
        <v>0</v>
      </c>
      <c r="K998" s="118">
        <v>3777</v>
      </c>
      <c r="L998" s="118">
        <f>+CUBICACION!L997</f>
        <v>0</v>
      </c>
      <c r="M998" s="64">
        <f>+CUBICACION!M997</f>
        <v>0</v>
      </c>
      <c r="N998" s="824" t="str">
        <f>+CUBICACION!N997</f>
        <v/>
      </c>
      <c r="O998" s="675">
        <f>+CUBICACION!O997</f>
        <v>0</v>
      </c>
      <c r="P998" s="15">
        <f>IF(O998="Fire Control",VLOOKUP(_xlfn.MINIFS('FIRE CONTROL'!$C$4:$C$37,'FIRE CONTROL'!$C$4:$C$37,"&gt;="&amp;M998),'FIRE CONTROL'!$C$4:$G$37,IF(L998="F-15",2,IF(L998="F-30",3,IF(L998="F-60",4,IF(L998="F-90",5,0)))),0),0)+IF(AND(O998="FIRE TEX 5062",OR(E998="IN",E998="C",E998="Z",E998="L"),J998=3),VLOOKUP(_xlfn.MINIFS('FIRE TEX 5062'!$B$4:$B$34,'FIRE TEX 5062'!$B$4:$B$34,"&gt;="&amp;M998),'FIRE TEX 5062'!$B$4:$F$34,IF(L998="F-15",2,IF(L998="F-30",3,IF(L998="F-60",4,IF(L998="F-90",5,0)))),0),0)+IF(AND(O998="FIRE TEX 5062",OR(E998="IN",E998="C",E998="Z",E998="L"),J998=4),VLOOKUP(_xlfn.MINIFS('FIRE TEX 5062'!$G$4:$G$34,'FIRE TEX 5062'!$G$4:$G$34,"&gt;="&amp;M998),'FIRE TEX 5062'!$G$4:$K$34,IF(L998="F-15",2,IF(L998="F-30",3,IF(L998="F-60",4,IF(L998="F-90",5,0)))),0),0)+IF(AND(O998="FIRE TEX 5062",E998="CJ",J998=3),VLOOKUP(_xlfn.MINIFS('FIRE TEX 5062'!$L$4:$L$34,'FIRE TEX 5062'!$L$4:$L$34,"&gt;="&amp;M998),'FIRE TEX 5062'!$L$4:$P$34,IF(L998="F-15",2,IF(L998="F-30",3,IF(L998="F-60",4,IF(L998="F-90",5,0)))),0),0)+IF(AND(O998="FIRE TEX 5062",E998="CJ",J998=4),VLOOKUP(_xlfn.MINIFS('FIRE TEX 5062'!$Q$3:$Q$34,'FIRE TEX 5062'!$Q$3:$Q$34,"&gt;="&amp;M998),'FIRE TEX 5062'!$Q$3:$U$34,IF(L998="F-15",2,IF(L998="F-30",3,IF(L998="F-60",4,IF(L998="F-90",5,0)))),0),0)+IF(AND(O998="FIRE TEX 5090",OR(E998="IN",E998="C",E998="Z",E998="L"),J998=3),VLOOKUP(_xlfn.MINIFS('FIRE TEX 5090'!$B$5:$B$43,'FIRE TEX 5090'!$B$5:$B$43,"&gt;="&amp;M998),'FIRE TEX 5090'!$B$5:$H$43,IF(L998="F-15",2,IF(L998="F-30",3,IF(L998="F-60",4,IF(L998="F-90",5,IF(L998="F-120",6,IF(L998="F-150",7,0)))))),0),0)+IF(AND(O998="FIRE TEX 5090",OR(E998="IN",E998="C",E998="Z",E998="L"),J998=4),VLOOKUP(_xlfn.MINIFS('FIRE TEX 5090'!$J$5:$J$43,'FIRE TEX 5090'!$J$5:$J$43,"&gt;="&amp;M998),'FIRE TEX 5090'!$J$5:$P$43,IF(L998="F-15",2,IF(L998="F-30",3,IF(L998="F-60",4,IF(L998="F-90",5,IF(L998="F-120",6,IF(L998="F-150",7,0)))))),0),0)+IF(AND(O998="FIRE TEX 5090",E998="CJ",J998=3),VLOOKUP(_xlfn.MINIFS('FIRE TEX 5090'!$R$5:$R$30,'FIRE TEX 5090'!$R$5:$R$30,"&gt;="&amp;M998),'FIRE TEX 5090'!$R$5:$W$30,IF(L998="F-15",2,IF(L998="F-30",3,IF(L998="F-60",4,IF(L998="F-90",5,IF(L998="F-120",6,IF(L998="F-150",7,0)))))),0),0)+IF(AND(O998="FIRE TEX 5090",E998="CJ",J998=4),VLOOKUP(_xlfn.MINIFS('FIRE TEX 5090'!$Y$5:$Y$39,'FIRE TEX 5090'!$Y$5:$Y$39,"&gt;="&amp;M998),'FIRE TEX 5090'!$Y$5:$AD$39,IF(L998="F-15",2,IF(L998="F-30",3,IF(L998="F-60",4,IF(L998="F-90",5,IF(L998="F-120",6,IF(L998="F-150",7,0)))))),0),0)+IF(AND(O998="FIRE TEX 5120",OR(E998="IN",E998="C",E998="Z",E998="L"),J998=3),VLOOKUP(_xlfn.MINIFS('FIRE TEX 5120'!$B$5:$B$40,'FIRE TEX 5120'!$B$5:$B$40,"&gt;="&amp;M998),'FIRE TEX 5120'!$B$5:$G$40,IF(L998="F-15",2,IF(L998="F-30",3,IF(L998="F-60",4,IF(L998="F-90",5,IF(L998="F-120",6,0))))),0),0)+IF(AND(O998="FIRE TEX 5120",OR(E998="IN",E998="C",E998="Z",E998="L"),J998=4),VLOOKUP(_xlfn.MINIFS('FIRE TEX 5120'!$H$4:$H$40,'FIRE TEX 5120'!$H$4:$H$40,"&gt;="&amp;M998),'FIRE TEX 5120'!$H$4:$M$40,IF(L998="F-15",2,IF(L998="F-30",3,IF(L998="F-60",4,IF(L998="F-90",5,IF(L998="F-120",6,0))))),0),0)+IF(AND(O998="FIRE TEX 5120",E998="CJ"),VLOOKUP(_xlfn.MINIFS('FIRE TEX 5120'!$O$5:$O$40,'FIRE TEX 5120'!$O$5:$O$40,"&gt;="&amp;M998),'FIRE TEX 5120'!$O$5:$T$40,IF(L998="F-15",2,IF(L998="F-30",3,IF(L998="F-60",4,IF(L998="F-90",5,IF(L998="F-120",6,0))))),0),0)</f>
        <v>0</v>
      </c>
      <c r="Q998" s="46">
        <f t="shared" si="94"/>
        <v>0</v>
      </c>
      <c r="R998" s="46">
        <f t="shared" si="95"/>
        <v>0</v>
      </c>
      <c r="S998" s="46" t="e">
        <f t="shared" si="96"/>
        <v>#VALUE!</v>
      </c>
      <c r="T998" s="677">
        <f t="shared" si="97"/>
        <v>0</v>
      </c>
      <c r="U998" s="80">
        <f>(IF(O998="Stofire",(S998*#REF!),0))+(IF(O998="Fire Control",(S998*$U$2),0))+(IF(O998="Fire Tex",(S998*$U$3),0))+(IF(O998="WB7",(S998*#REF!),0)+(IF(O998="FX 2003",(S998*$U$5),0)))</f>
        <v>0</v>
      </c>
      <c r="V998" s="651">
        <f t="shared" si="98"/>
        <v>0</v>
      </c>
    </row>
    <row r="999" spans="4:22" x14ac:dyDescent="0.25">
      <c r="D999" s="118">
        <f>+CUBICACION!D998</f>
        <v>0</v>
      </c>
      <c r="E999" s="118">
        <f>+CUBICACION!F998</f>
        <v>0</v>
      </c>
      <c r="F999" s="118">
        <f>+CUBICACION!E998</f>
        <v>0</v>
      </c>
      <c r="G999" s="118">
        <v>12</v>
      </c>
      <c r="H999" s="118">
        <v>2</v>
      </c>
      <c r="I999" s="820">
        <v>26385</v>
      </c>
      <c r="J999" s="118">
        <f>+CUBICACION!J998</f>
        <v>0</v>
      </c>
      <c r="K999" s="118">
        <v>3778</v>
      </c>
      <c r="L999" s="118">
        <f>+CUBICACION!L998</f>
        <v>0</v>
      </c>
      <c r="M999" s="64">
        <f>+CUBICACION!M998</f>
        <v>0</v>
      </c>
      <c r="N999" s="824" t="str">
        <f>+CUBICACION!N998</f>
        <v/>
      </c>
      <c r="O999" s="675">
        <f>+CUBICACION!O998</f>
        <v>0</v>
      </c>
      <c r="P999" s="15">
        <f>IF(O999="Fire Control",VLOOKUP(_xlfn.MINIFS('FIRE CONTROL'!$C$4:$C$37,'FIRE CONTROL'!$C$4:$C$37,"&gt;="&amp;M999),'FIRE CONTROL'!$C$4:$G$37,IF(L999="F-15",2,IF(L999="F-30",3,IF(L999="F-60",4,IF(L999="F-90",5,0)))),0),0)+IF(AND(O999="FIRE TEX 5062",OR(E999="IN",E999="C",E999="Z",E999="L"),J999=3),VLOOKUP(_xlfn.MINIFS('FIRE TEX 5062'!$B$4:$B$34,'FIRE TEX 5062'!$B$4:$B$34,"&gt;="&amp;M999),'FIRE TEX 5062'!$B$4:$F$34,IF(L999="F-15",2,IF(L999="F-30",3,IF(L999="F-60",4,IF(L999="F-90",5,0)))),0),0)+IF(AND(O999="FIRE TEX 5062",OR(E999="IN",E999="C",E999="Z",E999="L"),J999=4),VLOOKUP(_xlfn.MINIFS('FIRE TEX 5062'!$G$4:$G$34,'FIRE TEX 5062'!$G$4:$G$34,"&gt;="&amp;M999),'FIRE TEX 5062'!$G$4:$K$34,IF(L999="F-15",2,IF(L999="F-30",3,IF(L999="F-60",4,IF(L999="F-90",5,0)))),0),0)+IF(AND(O999="FIRE TEX 5062",E999="CJ",J999=3),VLOOKUP(_xlfn.MINIFS('FIRE TEX 5062'!$L$4:$L$34,'FIRE TEX 5062'!$L$4:$L$34,"&gt;="&amp;M999),'FIRE TEX 5062'!$L$4:$P$34,IF(L999="F-15",2,IF(L999="F-30",3,IF(L999="F-60",4,IF(L999="F-90",5,0)))),0),0)+IF(AND(O999="FIRE TEX 5062",E999="CJ",J999=4),VLOOKUP(_xlfn.MINIFS('FIRE TEX 5062'!$Q$3:$Q$34,'FIRE TEX 5062'!$Q$3:$Q$34,"&gt;="&amp;M999),'FIRE TEX 5062'!$Q$3:$U$34,IF(L999="F-15",2,IF(L999="F-30",3,IF(L999="F-60",4,IF(L999="F-90",5,0)))),0),0)+IF(AND(O999="FIRE TEX 5090",OR(E999="IN",E999="C",E999="Z",E999="L"),J999=3),VLOOKUP(_xlfn.MINIFS('FIRE TEX 5090'!$B$5:$B$43,'FIRE TEX 5090'!$B$5:$B$43,"&gt;="&amp;M999),'FIRE TEX 5090'!$B$5:$H$43,IF(L999="F-15",2,IF(L999="F-30",3,IF(L999="F-60",4,IF(L999="F-90",5,IF(L999="F-120",6,IF(L999="F-150",7,0)))))),0),0)+IF(AND(O999="FIRE TEX 5090",OR(E999="IN",E999="C",E999="Z",E999="L"),J999=4),VLOOKUP(_xlfn.MINIFS('FIRE TEX 5090'!$J$5:$J$43,'FIRE TEX 5090'!$J$5:$J$43,"&gt;="&amp;M999),'FIRE TEX 5090'!$J$5:$P$43,IF(L999="F-15",2,IF(L999="F-30",3,IF(L999="F-60",4,IF(L999="F-90",5,IF(L999="F-120",6,IF(L999="F-150",7,0)))))),0),0)+IF(AND(O999="FIRE TEX 5090",E999="CJ",J999=3),VLOOKUP(_xlfn.MINIFS('FIRE TEX 5090'!$R$5:$R$30,'FIRE TEX 5090'!$R$5:$R$30,"&gt;="&amp;M999),'FIRE TEX 5090'!$R$5:$W$30,IF(L999="F-15",2,IF(L999="F-30",3,IF(L999="F-60",4,IF(L999="F-90",5,IF(L999="F-120",6,IF(L999="F-150",7,0)))))),0),0)+IF(AND(O999="FIRE TEX 5090",E999="CJ",J999=4),VLOOKUP(_xlfn.MINIFS('FIRE TEX 5090'!$Y$5:$Y$39,'FIRE TEX 5090'!$Y$5:$Y$39,"&gt;="&amp;M999),'FIRE TEX 5090'!$Y$5:$AD$39,IF(L999="F-15",2,IF(L999="F-30",3,IF(L999="F-60",4,IF(L999="F-90",5,IF(L999="F-120",6,IF(L999="F-150",7,0)))))),0),0)+IF(AND(O999="FIRE TEX 5120",OR(E999="IN",E999="C",E999="Z",E999="L"),J999=3),VLOOKUP(_xlfn.MINIFS('FIRE TEX 5120'!$B$5:$B$40,'FIRE TEX 5120'!$B$5:$B$40,"&gt;="&amp;M999),'FIRE TEX 5120'!$B$5:$G$40,IF(L999="F-15",2,IF(L999="F-30",3,IF(L999="F-60",4,IF(L999="F-90",5,IF(L999="F-120",6,0))))),0),0)+IF(AND(O999="FIRE TEX 5120",OR(E999="IN",E999="C",E999="Z",E999="L"),J999=4),VLOOKUP(_xlfn.MINIFS('FIRE TEX 5120'!$H$4:$H$40,'FIRE TEX 5120'!$H$4:$H$40,"&gt;="&amp;M999),'FIRE TEX 5120'!$H$4:$M$40,IF(L999="F-15",2,IF(L999="F-30",3,IF(L999="F-60",4,IF(L999="F-90",5,IF(L999="F-120",6,0))))),0),0)+IF(AND(O999="FIRE TEX 5120",E999="CJ"),VLOOKUP(_xlfn.MINIFS('FIRE TEX 5120'!$O$5:$O$40,'FIRE TEX 5120'!$O$5:$O$40,"&gt;="&amp;M999),'FIRE TEX 5120'!$O$5:$T$40,IF(L999="F-15",2,IF(L999="F-30",3,IF(L999="F-60",4,IF(L999="F-90",5,IF(L999="F-120",6,0))))),0),0)</f>
        <v>0</v>
      </c>
      <c r="Q999" s="46">
        <f t="shared" si="94"/>
        <v>0</v>
      </c>
      <c r="R999" s="46">
        <f t="shared" si="95"/>
        <v>0</v>
      </c>
      <c r="S999" s="46" t="e">
        <f t="shared" si="96"/>
        <v>#VALUE!</v>
      </c>
      <c r="T999" s="677">
        <f t="shared" si="97"/>
        <v>0</v>
      </c>
      <c r="U999" s="80">
        <f>(IF(O999="Stofire",(S999*#REF!),0))+(IF(O999="Fire Control",(S999*$U$2),0))+(IF(O999="Fire Tex",(S999*$U$3),0))+(IF(O999="WB7",(S999*#REF!),0)+(IF(O999="FX 2003",(S999*$U$5),0)))</f>
        <v>0</v>
      </c>
      <c r="V999" s="651">
        <f t="shared" si="98"/>
        <v>0</v>
      </c>
    </row>
    <row r="1000" spans="4:22" x14ac:dyDescent="0.25">
      <c r="D1000" s="118">
        <f>+CUBICACION!D999</f>
        <v>0</v>
      </c>
      <c r="E1000" s="118">
        <f>+CUBICACION!F999</f>
        <v>0</v>
      </c>
      <c r="F1000" s="118">
        <f>+CUBICACION!E999</f>
        <v>0</v>
      </c>
      <c r="G1000" s="118">
        <v>12</v>
      </c>
      <c r="H1000" s="118">
        <v>2</v>
      </c>
      <c r="I1000" s="820">
        <v>26385</v>
      </c>
      <c r="J1000" s="118">
        <f>+CUBICACION!J999</f>
        <v>0</v>
      </c>
      <c r="K1000" s="118">
        <v>3779</v>
      </c>
      <c r="L1000" s="118">
        <f>+CUBICACION!L999</f>
        <v>0</v>
      </c>
      <c r="M1000" s="64">
        <f>+CUBICACION!M999</f>
        <v>0</v>
      </c>
      <c r="N1000" s="824" t="str">
        <f>+CUBICACION!N999</f>
        <v/>
      </c>
      <c r="O1000" s="675">
        <f>+CUBICACION!O999</f>
        <v>0</v>
      </c>
      <c r="P1000" s="15">
        <f>IF(O1000="Fire Control",VLOOKUP(_xlfn.MINIFS('FIRE CONTROL'!$C$4:$C$37,'FIRE CONTROL'!$C$4:$C$37,"&gt;="&amp;M1000),'FIRE CONTROL'!$C$4:$G$37,IF(L1000="F-15",2,IF(L1000="F-30",3,IF(L1000="F-60",4,IF(L1000="F-90",5,0)))),0),0)+IF(AND(O1000="FIRE TEX 5062",OR(E1000="IN",E1000="C",E1000="Z",E1000="L"),J1000=3),VLOOKUP(_xlfn.MINIFS('FIRE TEX 5062'!$B$4:$B$34,'FIRE TEX 5062'!$B$4:$B$34,"&gt;="&amp;M1000),'FIRE TEX 5062'!$B$4:$F$34,IF(L1000="F-15",2,IF(L1000="F-30",3,IF(L1000="F-60",4,IF(L1000="F-90",5,0)))),0),0)+IF(AND(O1000="FIRE TEX 5062",OR(E1000="IN",E1000="C",E1000="Z",E1000="L"),J1000=4),VLOOKUP(_xlfn.MINIFS('FIRE TEX 5062'!$G$4:$G$34,'FIRE TEX 5062'!$G$4:$G$34,"&gt;="&amp;M1000),'FIRE TEX 5062'!$G$4:$K$34,IF(L1000="F-15",2,IF(L1000="F-30",3,IF(L1000="F-60",4,IF(L1000="F-90",5,0)))),0),0)+IF(AND(O1000="FIRE TEX 5062",E1000="CJ",J1000=3),VLOOKUP(_xlfn.MINIFS('FIRE TEX 5062'!$L$4:$L$34,'FIRE TEX 5062'!$L$4:$L$34,"&gt;="&amp;M1000),'FIRE TEX 5062'!$L$4:$P$34,IF(L1000="F-15",2,IF(L1000="F-30",3,IF(L1000="F-60",4,IF(L1000="F-90",5,0)))),0),0)+IF(AND(O1000="FIRE TEX 5062",E1000="CJ",J1000=4),VLOOKUP(_xlfn.MINIFS('FIRE TEX 5062'!$Q$3:$Q$34,'FIRE TEX 5062'!$Q$3:$Q$34,"&gt;="&amp;M1000),'FIRE TEX 5062'!$Q$3:$U$34,IF(L1000="F-15",2,IF(L1000="F-30",3,IF(L1000="F-60",4,IF(L1000="F-90",5,0)))),0),0)+IF(AND(O1000="FIRE TEX 5090",OR(E1000="IN",E1000="C",E1000="Z",E1000="L"),J1000=3),VLOOKUP(_xlfn.MINIFS('FIRE TEX 5090'!$B$5:$B$43,'FIRE TEX 5090'!$B$5:$B$43,"&gt;="&amp;M1000),'FIRE TEX 5090'!$B$5:$H$43,IF(L1000="F-15",2,IF(L1000="F-30",3,IF(L1000="F-60",4,IF(L1000="F-90",5,IF(L1000="F-120",6,IF(L1000="F-150",7,0)))))),0),0)+IF(AND(O1000="FIRE TEX 5090",OR(E1000="IN",E1000="C",E1000="Z",E1000="L"),J1000=4),VLOOKUP(_xlfn.MINIFS('FIRE TEX 5090'!$J$5:$J$43,'FIRE TEX 5090'!$J$5:$J$43,"&gt;="&amp;M1000),'FIRE TEX 5090'!$J$5:$P$43,IF(L1000="F-15",2,IF(L1000="F-30",3,IF(L1000="F-60",4,IF(L1000="F-90",5,IF(L1000="F-120",6,IF(L1000="F-150",7,0)))))),0),0)+IF(AND(O1000="FIRE TEX 5090",E1000="CJ",J1000=3),VLOOKUP(_xlfn.MINIFS('FIRE TEX 5090'!$R$5:$R$30,'FIRE TEX 5090'!$R$5:$R$30,"&gt;="&amp;M1000),'FIRE TEX 5090'!$R$5:$W$30,IF(L1000="F-15",2,IF(L1000="F-30",3,IF(L1000="F-60",4,IF(L1000="F-90",5,IF(L1000="F-120",6,IF(L1000="F-150",7,0)))))),0),0)+IF(AND(O1000="FIRE TEX 5090",E1000="CJ",J1000=4),VLOOKUP(_xlfn.MINIFS('FIRE TEX 5090'!$Y$5:$Y$39,'FIRE TEX 5090'!$Y$5:$Y$39,"&gt;="&amp;M1000),'FIRE TEX 5090'!$Y$5:$AD$39,IF(L1000="F-15",2,IF(L1000="F-30",3,IF(L1000="F-60",4,IF(L1000="F-90",5,IF(L1000="F-120",6,IF(L1000="F-150",7,0)))))),0),0)+IF(AND(O1000="FIRE TEX 5120",OR(E1000="IN",E1000="C",E1000="Z",E1000="L"),J1000=3),VLOOKUP(_xlfn.MINIFS('FIRE TEX 5120'!$B$5:$B$40,'FIRE TEX 5120'!$B$5:$B$40,"&gt;="&amp;M1000),'FIRE TEX 5120'!$B$5:$G$40,IF(L1000="F-15",2,IF(L1000="F-30",3,IF(L1000="F-60",4,IF(L1000="F-90",5,IF(L1000="F-120",6,0))))),0),0)+IF(AND(O1000="FIRE TEX 5120",OR(E1000="IN",E1000="C",E1000="Z",E1000="L"),J1000=4),VLOOKUP(_xlfn.MINIFS('FIRE TEX 5120'!$H$4:$H$40,'FIRE TEX 5120'!$H$4:$H$40,"&gt;="&amp;M1000),'FIRE TEX 5120'!$H$4:$M$40,IF(L1000="F-15",2,IF(L1000="F-30",3,IF(L1000="F-60",4,IF(L1000="F-90",5,IF(L1000="F-120",6,0))))),0),0)+IF(AND(O1000="FIRE TEX 5120",E1000="CJ"),VLOOKUP(_xlfn.MINIFS('FIRE TEX 5120'!$O$5:$O$40,'FIRE TEX 5120'!$O$5:$O$40,"&gt;="&amp;M1000),'FIRE TEX 5120'!$O$5:$T$40,IF(L1000="F-15",2,IF(L1000="F-30",3,IF(L1000="F-60",4,IF(L1000="F-90",5,IF(L1000="F-120",6,0))))),0),0)</f>
        <v>0</v>
      </c>
      <c r="Q1000" s="46">
        <f t="shared" si="94"/>
        <v>0</v>
      </c>
      <c r="R1000" s="46">
        <f t="shared" si="95"/>
        <v>0</v>
      </c>
      <c r="S1000" s="46" t="e">
        <f t="shared" si="96"/>
        <v>#VALUE!</v>
      </c>
      <c r="T1000" s="677">
        <f t="shared" si="97"/>
        <v>0</v>
      </c>
      <c r="U1000" s="80">
        <f>(IF(O1000="Stofire",(S1000*#REF!),0))+(IF(O1000="Fire Control",(S1000*$U$2),0))+(IF(O1000="Fire Tex",(S1000*$U$3),0))+(IF(O1000="WB7",(S1000*#REF!),0)+(IF(O1000="FX 2003",(S1000*$U$5),0)))</f>
        <v>0</v>
      </c>
      <c r="V1000" s="651">
        <f t="shared" si="98"/>
        <v>0</v>
      </c>
    </row>
    <row r="1001" spans="4:22" x14ac:dyDescent="0.25">
      <c r="D1001" s="118">
        <f>+CUBICACION!D1000</f>
        <v>0</v>
      </c>
      <c r="E1001" s="118">
        <f>+CUBICACION!F1000</f>
        <v>0</v>
      </c>
      <c r="F1001" s="118">
        <f>+CUBICACION!E1000</f>
        <v>0</v>
      </c>
      <c r="G1001" s="118">
        <v>12</v>
      </c>
      <c r="H1001" s="118">
        <v>2</v>
      </c>
      <c r="I1001" s="820">
        <v>26385</v>
      </c>
      <c r="J1001" s="118">
        <f>+CUBICACION!J1000</f>
        <v>0</v>
      </c>
      <c r="K1001" s="118">
        <v>3780</v>
      </c>
      <c r="L1001" s="118">
        <f>+CUBICACION!L1000</f>
        <v>0</v>
      </c>
      <c r="M1001" s="64">
        <f>+CUBICACION!M1000</f>
        <v>0</v>
      </c>
      <c r="N1001" s="824" t="str">
        <f>+CUBICACION!N1000</f>
        <v/>
      </c>
      <c r="O1001" s="675">
        <f>+CUBICACION!O1000</f>
        <v>0</v>
      </c>
      <c r="P1001" s="15">
        <f>IF(O1001="Fire Control",VLOOKUP(_xlfn.MINIFS('FIRE CONTROL'!$C$4:$C$37,'FIRE CONTROL'!$C$4:$C$37,"&gt;="&amp;M1001),'FIRE CONTROL'!$C$4:$G$37,IF(L1001="F-15",2,IF(L1001="F-30",3,IF(L1001="F-60",4,IF(L1001="F-90",5,0)))),0),0)+IF(AND(O1001="FIRE TEX 5062",OR(E1001="IN",E1001="C",E1001="Z",E1001="L"),J1001=3),VLOOKUP(_xlfn.MINIFS('FIRE TEX 5062'!$B$4:$B$34,'FIRE TEX 5062'!$B$4:$B$34,"&gt;="&amp;M1001),'FIRE TEX 5062'!$B$4:$F$34,IF(L1001="F-15",2,IF(L1001="F-30",3,IF(L1001="F-60",4,IF(L1001="F-90",5,0)))),0),0)+IF(AND(O1001="FIRE TEX 5062",OR(E1001="IN",E1001="C",E1001="Z",E1001="L"),J1001=4),VLOOKUP(_xlfn.MINIFS('FIRE TEX 5062'!$G$4:$G$34,'FIRE TEX 5062'!$G$4:$G$34,"&gt;="&amp;M1001),'FIRE TEX 5062'!$G$4:$K$34,IF(L1001="F-15",2,IF(L1001="F-30",3,IF(L1001="F-60",4,IF(L1001="F-90",5,0)))),0),0)+IF(AND(O1001="FIRE TEX 5062",E1001="CJ",J1001=3),VLOOKUP(_xlfn.MINIFS('FIRE TEX 5062'!$L$4:$L$34,'FIRE TEX 5062'!$L$4:$L$34,"&gt;="&amp;M1001),'FIRE TEX 5062'!$L$4:$P$34,IF(L1001="F-15",2,IF(L1001="F-30",3,IF(L1001="F-60",4,IF(L1001="F-90",5,0)))),0),0)+IF(AND(O1001="FIRE TEX 5062",E1001="CJ",J1001=4),VLOOKUP(_xlfn.MINIFS('FIRE TEX 5062'!$Q$3:$Q$34,'FIRE TEX 5062'!$Q$3:$Q$34,"&gt;="&amp;M1001),'FIRE TEX 5062'!$Q$3:$U$34,IF(L1001="F-15",2,IF(L1001="F-30",3,IF(L1001="F-60",4,IF(L1001="F-90",5,0)))),0),0)+IF(AND(O1001="FIRE TEX 5090",OR(E1001="IN",E1001="C",E1001="Z",E1001="L"),J1001=3),VLOOKUP(_xlfn.MINIFS('FIRE TEX 5090'!$B$5:$B$43,'FIRE TEX 5090'!$B$5:$B$43,"&gt;="&amp;M1001),'FIRE TEX 5090'!$B$5:$H$43,IF(L1001="F-15",2,IF(L1001="F-30",3,IF(L1001="F-60",4,IF(L1001="F-90",5,IF(L1001="F-120",6,IF(L1001="F-150",7,0)))))),0),0)+IF(AND(O1001="FIRE TEX 5090",OR(E1001="IN",E1001="C",E1001="Z",E1001="L"),J1001=4),VLOOKUP(_xlfn.MINIFS('FIRE TEX 5090'!$J$5:$J$43,'FIRE TEX 5090'!$J$5:$J$43,"&gt;="&amp;M1001),'FIRE TEX 5090'!$J$5:$P$43,IF(L1001="F-15",2,IF(L1001="F-30",3,IF(L1001="F-60",4,IF(L1001="F-90",5,IF(L1001="F-120",6,IF(L1001="F-150",7,0)))))),0),0)+IF(AND(O1001="FIRE TEX 5090",E1001="CJ",J1001=3),VLOOKUP(_xlfn.MINIFS('FIRE TEX 5090'!$R$5:$R$30,'FIRE TEX 5090'!$R$5:$R$30,"&gt;="&amp;M1001),'FIRE TEX 5090'!$R$5:$W$30,IF(L1001="F-15",2,IF(L1001="F-30",3,IF(L1001="F-60",4,IF(L1001="F-90",5,IF(L1001="F-120",6,IF(L1001="F-150",7,0)))))),0),0)+IF(AND(O1001="FIRE TEX 5090",E1001="CJ",J1001=4),VLOOKUP(_xlfn.MINIFS('FIRE TEX 5090'!$Y$5:$Y$39,'FIRE TEX 5090'!$Y$5:$Y$39,"&gt;="&amp;M1001),'FIRE TEX 5090'!$Y$5:$AD$39,IF(L1001="F-15",2,IF(L1001="F-30",3,IF(L1001="F-60",4,IF(L1001="F-90",5,IF(L1001="F-120",6,IF(L1001="F-150",7,0)))))),0),0)+IF(AND(O1001="FIRE TEX 5120",OR(E1001="IN",E1001="C",E1001="Z",E1001="L"),J1001=3),VLOOKUP(_xlfn.MINIFS('FIRE TEX 5120'!$B$5:$B$40,'FIRE TEX 5120'!$B$5:$B$40,"&gt;="&amp;M1001),'FIRE TEX 5120'!$B$5:$G$40,IF(L1001="F-15",2,IF(L1001="F-30",3,IF(L1001="F-60",4,IF(L1001="F-90",5,IF(L1001="F-120",6,0))))),0),0)+IF(AND(O1001="FIRE TEX 5120",OR(E1001="IN",E1001="C",E1001="Z",E1001="L"),J1001=4),VLOOKUP(_xlfn.MINIFS('FIRE TEX 5120'!$H$4:$H$40,'FIRE TEX 5120'!$H$4:$H$40,"&gt;="&amp;M1001),'FIRE TEX 5120'!$H$4:$M$40,IF(L1001="F-15",2,IF(L1001="F-30",3,IF(L1001="F-60",4,IF(L1001="F-90",5,IF(L1001="F-120",6,0))))),0),0)+IF(AND(O1001="FIRE TEX 5120",E1001="CJ"),VLOOKUP(_xlfn.MINIFS('FIRE TEX 5120'!$O$5:$O$40,'FIRE TEX 5120'!$O$5:$O$40,"&gt;="&amp;M1001),'FIRE TEX 5120'!$O$5:$T$40,IF(L1001="F-15",2,IF(L1001="F-30",3,IF(L1001="F-60",4,IF(L1001="F-90",5,IF(L1001="F-120",6,0))))),0),0)</f>
        <v>0</v>
      </c>
      <c r="Q1001" s="46">
        <f t="shared" si="94"/>
        <v>0</v>
      </c>
      <c r="R1001" s="46">
        <f t="shared" si="95"/>
        <v>0</v>
      </c>
      <c r="S1001" s="46" t="e">
        <f t="shared" si="96"/>
        <v>#VALUE!</v>
      </c>
      <c r="T1001" s="677">
        <f t="shared" si="97"/>
        <v>0</v>
      </c>
      <c r="U1001" s="80">
        <f>(IF(O1001="Stofire",(S1001*#REF!),0))+(IF(O1001="Fire Control",(S1001*$U$2),0))+(IF(O1001="Fire Tex",(S1001*$U$3),0))+(IF(O1001="WB7",(S1001*#REF!),0)+(IF(O1001="FX 2003",(S1001*$U$5),0)))</f>
        <v>0</v>
      </c>
      <c r="V1001" s="651">
        <f t="shared" si="98"/>
        <v>0</v>
      </c>
    </row>
    <row r="1002" spans="4:22" x14ac:dyDescent="0.25">
      <c r="D1002" s="118">
        <f>+CUBICACION!D1001</f>
        <v>0</v>
      </c>
      <c r="E1002" s="118">
        <f>+CUBICACION!F1001</f>
        <v>0</v>
      </c>
      <c r="F1002" s="118">
        <f>+CUBICACION!E1001</f>
        <v>0</v>
      </c>
      <c r="G1002" s="118">
        <v>12</v>
      </c>
      <c r="H1002" s="118">
        <v>2</v>
      </c>
      <c r="I1002" s="820">
        <v>26385</v>
      </c>
      <c r="J1002" s="118">
        <f>+CUBICACION!J1001</f>
        <v>0</v>
      </c>
      <c r="K1002" s="118">
        <v>3781</v>
      </c>
      <c r="L1002" s="118">
        <f>+CUBICACION!L1001</f>
        <v>0</v>
      </c>
      <c r="M1002" s="64">
        <f>+CUBICACION!M1001</f>
        <v>0</v>
      </c>
      <c r="N1002" s="824" t="str">
        <f>+CUBICACION!N1001</f>
        <v/>
      </c>
      <c r="O1002" s="675">
        <f>+CUBICACION!O1001</f>
        <v>0</v>
      </c>
      <c r="P1002" s="15">
        <f>IF(O1002="Fire Control",VLOOKUP(_xlfn.MINIFS('FIRE CONTROL'!$C$4:$C$37,'FIRE CONTROL'!$C$4:$C$37,"&gt;="&amp;M1002),'FIRE CONTROL'!$C$4:$G$37,IF(L1002="F-15",2,IF(L1002="F-30",3,IF(L1002="F-60",4,IF(L1002="F-90",5,0)))),0),0)+IF(AND(O1002="FIRE TEX 5062",OR(E1002="IN",E1002="C",E1002="Z",E1002="L"),J1002=3),VLOOKUP(_xlfn.MINIFS('FIRE TEX 5062'!$B$4:$B$34,'FIRE TEX 5062'!$B$4:$B$34,"&gt;="&amp;M1002),'FIRE TEX 5062'!$B$4:$F$34,IF(L1002="F-15",2,IF(L1002="F-30",3,IF(L1002="F-60",4,IF(L1002="F-90",5,0)))),0),0)+IF(AND(O1002="FIRE TEX 5062",OR(E1002="IN",E1002="C",E1002="Z",E1002="L"),J1002=4),VLOOKUP(_xlfn.MINIFS('FIRE TEX 5062'!$G$4:$G$34,'FIRE TEX 5062'!$G$4:$G$34,"&gt;="&amp;M1002),'FIRE TEX 5062'!$G$4:$K$34,IF(L1002="F-15",2,IF(L1002="F-30",3,IF(L1002="F-60",4,IF(L1002="F-90",5,0)))),0),0)+IF(AND(O1002="FIRE TEX 5062",E1002="CJ",J1002=3),VLOOKUP(_xlfn.MINIFS('FIRE TEX 5062'!$L$4:$L$34,'FIRE TEX 5062'!$L$4:$L$34,"&gt;="&amp;M1002),'FIRE TEX 5062'!$L$4:$P$34,IF(L1002="F-15",2,IF(L1002="F-30",3,IF(L1002="F-60",4,IF(L1002="F-90",5,0)))),0),0)+IF(AND(O1002="FIRE TEX 5062",E1002="CJ",J1002=4),VLOOKUP(_xlfn.MINIFS('FIRE TEX 5062'!$Q$3:$Q$34,'FIRE TEX 5062'!$Q$3:$Q$34,"&gt;="&amp;M1002),'FIRE TEX 5062'!$Q$3:$U$34,IF(L1002="F-15",2,IF(L1002="F-30",3,IF(L1002="F-60",4,IF(L1002="F-90",5,0)))),0),0)+IF(AND(O1002="FIRE TEX 5090",OR(E1002="IN",E1002="C",E1002="Z",E1002="L"),J1002=3),VLOOKUP(_xlfn.MINIFS('FIRE TEX 5090'!$B$5:$B$43,'FIRE TEX 5090'!$B$5:$B$43,"&gt;="&amp;M1002),'FIRE TEX 5090'!$B$5:$H$43,IF(L1002="F-15",2,IF(L1002="F-30",3,IF(L1002="F-60",4,IF(L1002="F-90",5,IF(L1002="F-120",6,IF(L1002="F-150",7,0)))))),0),0)+IF(AND(O1002="FIRE TEX 5090",OR(E1002="IN",E1002="C",E1002="Z",E1002="L"),J1002=4),VLOOKUP(_xlfn.MINIFS('FIRE TEX 5090'!$J$5:$J$43,'FIRE TEX 5090'!$J$5:$J$43,"&gt;="&amp;M1002),'FIRE TEX 5090'!$J$5:$P$43,IF(L1002="F-15",2,IF(L1002="F-30",3,IF(L1002="F-60",4,IF(L1002="F-90",5,IF(L1002="F-120",6,IF(L1002="F-150",7,0)))))),0),0)+IF(AND(O1002="FIRE TEX 5090",E1002="CJ",J1002=3),VLOOKUP(_xlfn.MINIFS('FIRE TEX 5090'!$R$5:$R$30,'FIRE TEX 5090'!$R$5:$R$30,"&gt;="&amp;M1002),'FIRE TEX 5090'!$R$5:$W$30,IF(L1002="F-15",2,IF(L1002="F-30",3,IF(L1002="F-60",4,IF(L1002="F-90",5,IF(L1002="F-120",6,IF(L1002="F-150",7,0)))))),0),0)+IF(AND(O1002="FIRE TEX 5090",E1002="CJ",J1002=4),VLOOKUP(_xlfn.MINIFS('FIRE TEX 5090'!$Y$5:$Y$39,'FIRE TEX 5090'!$Y$5:$Y$39,"&gt;="&amp;M1002),'FIRE TEX 5090'!$Y$5:$AD$39,IF(L1002="F-15",2,IF(L1002="F-30",3,IF(L1002="F-60",4,IF(L1002="F-90",5,IF(L1002="F-120",6,IF(L1002="F-150",7,0)))))),0),0)+IF(AND(O1002="FIRE TEX 5120",OR(E1002="IN",E1002="C",E1002="Z",E1002="L"),J1002=3),VLOOKUP(_xlfn.MINIFS('FIRE TEX 5120'!$B$5:$B$40,'FIRE TEX 5120'!$B$5:$B$40,"&gt;="&amp;M1002),'FIRE TEX 5120'!$B$5:$G$40,IF(L1002="F-15",2,IF(L1002="F-30",3,IF(L1002="F-60",4,IF(L1002="F-90",5,IF(L1002="F-120",6,0))))),0),0)+IF(AND(O1002="FIRE TEX 5120",OR(E1002="IN",E1002="C",E1002="Z",E1002="L"),J1002=4),VLOOKUP(_xlfn.MINIFS('FIRE TEX 5120'!$H$4:$H$40,'FIRE TEX 5120'!$H$4:$H$40,"&gt;="&amp;M1002),'FIRE TEX 5120'!$H$4:$M$40,IF(L1002="F-15",2,IF(L1002="F-30",3,IF(L1002="F-60",4,IF(L1002="F-90",5,IF(L1002="F-120",6,0))))),0),0)+IF(AND(O1002="FIRE TEX 5120",E1002="CJ"),VLOOKUP(_xlfn.MINIFS('FIRE TEX 5120'!$O$5:$O$40,'FIRE TEX 5120'!$O$5:$O$40,"&gt;="&amp;M1002),'FIRE TEX 5120'!$O$5:$T$40,IF(L1002="F-15",2,IF(L1002="F-30",3,IF(L1002="F-60",4,IF(L1002="F-90",5,IF(L1002="F-120",6,0))))),0),0)</f>
        <v>0</v>
      </c>
      <c r="Q1002" s="46">
        <f t="shared" si="94"/>
        <v>0</v>
      </c>
      <c r="R1002" s="46">
        <f t="shared" si="95"/>
        <v>0</v>
      </c>
      <c r="S1002" s="46" t="e">
        <f t="shared" si="96"/>
        <v>#VALUE!</v>
      </c>
      <c r="T1002" s="677">
        <f t="shared" si="97"/>
        <v>0</v>
      </c>
      <c r="U1002" s="80">
        <f>(IF(O1002="Stofire",(S1002*#REF!),0))+(IF(O1002="Fire Control",(S1002*$U$2),0))+(IF(O1002="Fire Tex",(S1002*$U$3),0))+(IF(O1002="WB7",(S1002*#REF!),0)+(IF(O1002="FX 2003",(S1002*$U$5),0)))</f>
        <v>0</v>
      </c>
      <c r="V1002" s="651">
        <f t="shared" si="98"/>
        <v>0</v>
      </c>
    </row>
    <row r="1003" spans="4:22" x14ac:dyDescent="0.25">
      <c r="D1003" s="118">
        <f>+CUBICACION!D1002</f>
        <v>0</v>
      </c>
      <c r="E1003" s="118">
        <f>+CUBICACION!F1002</f>
        <v>0</v>
      </c>
      <c r="F1003" s="118">
        <f>+CUBICACION!E1002</f>
        <v>0</v>
      </c>
      <c r="G1003" s="118">
        <v>12</v>
      </c>
      <c r="H1003" s="118">
        <v>2</v>
      </c>
      <c r="I1003" s="820">
        <v>26385</v>
      </c>
      <c r="J1003" s="118">
        <f>+CUBICACION!J1002</f>
        <v>0</v>
      </c>
      <c r="K1003" s="118">
        <v>3782</v>
      </c>
      <c r="L1003" s="118">
        <f>+CUBICACION!L1002</f>
        <v>0</v>
      </c>
      <c r="M1003" s="64">
        <f>+CUBICACION!M1002</f>
        <v>0</v>
      </c>
      <c r="N1003" s="824" t="str">
        <f>+CUBICACION!N1002</f>
        <v/>
      </c>
      <c r="O1003" s="675">
        <f>+CUBICACION!O1002</f>
        <v>0</v>
      </c>
      <c r="P1003" s="15">
        <f>IF(O1003="Fire Control",VLOOKUP(_xlfn.MINIFS('FIRE CONTROL'!$C$4:$C$37,'FIRE CONTROL'!$C$4:$C$37,"&gt;="&amp;M1003),'FIRE CONTROL'!$C$4:$G$37,IF(L1003="F-15",2,IF(L1003="F-30",3,IF(L1003="F-60",4,IF(L1003="F-90",5,0)))),0),0)+IF(AND(O1003="FIRE TEX 5062",OR(E1003="IN",E1003="C",E1003="Z",E1003="L"),J1003=3),VLOOKUP(_xlfn.MINIFS('FIRE TEX 5062'!$B$4:$B$34,'FIRE TEX 5062'!$B$4:$B$34,"&gt;="&amp;M1003),'FIRE TEX 5062'!$B$4:$F$34,IF(L1003="F-15",2,IF(L1003="F-30",3,IF(L1003="F-60",4,IF(L1003="F-90",5,0)))),0),0)+IF(AND(O1003="FIRE TEX 5062",OR(E1003="IN",E1003="C",E1003="Z",E1003="L"),J1003=4),VLOOKUP(_xlfn.MINIFS('FIRE TEX 5062'!$G$4:$G$34,'FIRE TEX 5062'!$G$4:$G$34,"&gt;="&amp;M1003),'FIRE TEX 5062'!$G$4:$K$34,IF(L1003="F-15",2,IF(L1003="F-30",3,IF(L1003="F-60",4,IF(L1003="F-90",5,0)))),0),0)+IF(AND(O1003="FIRE TEX 5062",E1003="CJ",J1003=3),VLOOKUP(_xlfn.MINIFS('FIRE TEX 5062'!$L$4:$L$34,'FIRE TEX 5062'!$L$4:$L$34,"&gt;="&amp;M1003),'FIRE TEX 5062'!$L$4:$P$34,IF(L1003="F-15",2,IF(L1003="F-30",3,IF(L1003="F-60",4,IF(L1003="F-90",5,0)))),0),0)+IF(AND(O1003="FIRE TEX 5062",E1003="CJ",J1003=4),VLOOKUP(_xlfn.MINIFS('FIRE TEX 5062'!$Q$3:$Q$34,'FIRE TEX 5062'!$Q$3:$Q$34,"&gt;="&amp;M1003),'FIRE TEX 5062'!$Q$3:$U$34,IF(L1003="F-15",2,IF(L1003="F-30",3,IF(L1003="F-60",4,IF(L1003="F-90",5,0)))),0),0)+IF(AND(O1003="FIRE TEX 5090",OR(E1003="IN",E1003="C",E1003="Z",E1003="L"),J1003=3),VLOOKUP(_xlfn.MINIFS('FIRE TEX 5090'!$B$5:$B$43,'FIRE TEX 5090'!$B$5:$B$43,"&gt;="&amp;M1003),'FIRE TEX 5090'!$B$5:$H$43,IF(L1003="F-15",2,IF(L1003="F-30",3,IF(L1003="F-60",4,IF(L1003="F-90",5,IF(L1003="F-120",6,IF(L1003="F-150",7,0)))))),0),0)+IF(AND(O1003="FIRE TEX 5090",OR(E1003="IN",E1003="C",E1003="Z",E1003="L"),J1003=4),VLOOKUP(_xlfn.MINIFS('FIRE TEX 5090'!$J$5:$J$43,'FIRE TEX 5090'!$J$5:$J$43,"&gt;="&amp;M1003),'FIRE TEX 5090'!$J$5:$P$43,IF(L1003="F-15",2,IF(L1003="F-30",3,IF(L1003="F-60",4,IF(L1003="F-90",5,IF(L1003="F-120",6,IF(L1003="F-150",7,0)))))),0),0)+IF(AND(O1003="FIRE TEX 5090",E1003="CJ",J1003=3),VLOOKUP(_xlfn.MINIFS('FIRE TEX 5090'!$R$5:$R$30,'FIRE TEX 5090'!$R$5:$R$30,"&gt;="&amp;M1003),'FIRE TEX 5090'!$R$5:$W$30,IF(L1003="F-15",2,IF(L1003="F-30",3,IF(L1003="F-60",4,IF(L1003="F-90",5,IF(L1003="F-120",6,IF(L1003="F-150",7,0)))))),0),0)+IF(AND(O1003="FIRE TEX 5090",E1003="CJ",J1003=4),VLOOKUP(_xlfn.MINIFS('FIRE TEX 5090'!$Y$5:$Y$39,'FIRE TEX 5090'!$Y$5:$Y$39,"&gt;="&amp;M1003),'FIRE TEX 5090'!$Y$5:$AD$39,IF(L1003="F-15",2,IF(L1003="F-30",3,IF(L1003="F-60",4,IF(L1003="F-90",5,IF(L1003="F-120",6,IF(L1003="F-150",7,0)))))),0),0)+IF(AND(O1003="FIRE TEX 5120",OR(E1003="IN",E1003="C",E1003="Z",E1003="L"),J1003=3),VLOOKUP(_xlfn.MINIFS('FIRE TEX 5120'!$B$5:$B$40,'FIRE TEX 5120'!$B$5:$B$40,"&gt;="&amp;M1003),'FIRE TEX 5120'!$B$5:$G$40,IF(L1003="F-15",2,IF(L1003="F-30",3,IF(L1003="F-60",4,IF(L1003="F-90",5,IF(L1003="F-120",6,0))))),0),0)+IF(AND(O1003="FIRE TEX 5120",OR(E1003="IN",E1003="C",E1003="Z",E1003="L"),J1003=4),VLOOKUP(_xlfn.MINIFS('FIRE TEX 5120'!$H$4:$H$40,'FIRE TEX 5120'!$H$4:$H$40,"&gt;="&amp;M1003),'FIRE TEX 5120'!$H$4:$M$40,IF(L1003="F-15",2,IF(L1003="F-30",3,IF(L1003="F-60",4,IF(L1003="F-90",5,IF(L1003="F-120",6,0))))),0),0)+IF(AND(O1003="FIRE TEX 5120",E1003="CJ"),VLOOKUP(_xlfn.MINIFS('FIRE TEX 5120'!$O$5:$O$40,'FIRE TEX 5120'!$O$5:$O$40,"&gt;="&amp;M1003),'FIRE TEX 5120'!$O$5:$T$40,IF(L1003="F-15",2,IF(L1003="F-30",3,IF(L1003="F-60",4,IF(L1003="F-90",5,IF(L1003="F-120",6,0))))),0),0)</f>
        <v>0</v>
      </c>
      <c r="Q1003" s="46">
        <f t="shared" si="94"/>
        <v>0</v>
      </c>
      <c r="R1003" s="46">
        <f t="shared" si="95"/>
        <v>0</v>
      </c>
      <c r="S1003" s="46" t="e">
        <f t="shared" si="96"/>
        <v>#VALUE!</v>
      </c>
      <c r="T1003" s="677">
        <f t="shared" si="97"/>
        <v>0</v>
      </c>
      <c r="U1003" s="80">
        <f>(IF(O1003="Stofire",(S1003*#REF!),0))+(IF(O1003="Fire Control",(S1003*$U$2),0))+(IF(O1003="Fire Tex",(S1003*$U$3),0))+(IF(O1003="WB7",(S1003*#REF!),0)+(IF(O1003="FX 2003",(S1003*$U$5),0)))</f>
        <v>0</v>
      </c>
      <c r="V1003" s="651">
        <f t="shared" si="98"/>
        <v>0</v>
      </c>
    </row>
    <row r="1004" spans="4:22" x14ac:dyDescent="0.25">
      <c r="D1004" s="118">
        <f>+CUBICACION!D1003</f>
        <v>0</v>
      </c>
      <c r="E1004" s="118">
        <f>+CUBICACION!F1003</f>
        <v>0</v>
      </c>
      <c r="F1004" s="118">
        <f>+CUBICACION!E1003</f>
        <v>0</v>
      </c>
      <c r="G1004" s="118">
        <v>12</v>
      </c>
      <c r="H1004" s="118">
        <v>2</v>
      </c>
      <c r="I1004" s="820">
        <v>26385</v>
      </c>
      <c r="J1004" s="118">
        <f>+CUBICACION!J1003</f>
        <v>0</v>
      </c>
      <c r="K1004" s="118">
        <v>3783</v>
      </c>
      <c r="L1004" s="118">
        <f>+CUBICACION!L1003</f>
        <v>0</v>
      </c>
      <c r="M1004" s="64">
        <f>+CUBICACION!M1003</f>
        <v>0</v>
      </c>
      <c r="N1004" s="824" t="str">
        <f>+CUBICACION!N1003</f>
        <v/>
      </c>
      <c r="O1004" s="675">
        <f>+CUBICACION!O1003</f>
        <v>0</v>
      </c>
      <c r="P1004" s="15">
        <f>IF(O1004="Fire Control",VLOOKUP(_xlfn.MINIFS('FIRE CONTROL'!$C$4:$C$37,'FIRE CONTROL'!$C$4:$C$37,"&gt;="&amp;M1004),'FIRE CONTROL'!$C$4:$G$37,IF(L1004="F-15",2,IF(L1004="F-30",3,IF(L1004="F-60",4,IF(L1004="F-90",5,0)))),0),0)+IF(AND(O1004="FIRE TEX 5062",OR(E1004="IN",E1004="C",E1004="Z",E1004="L"),J1004=3),VLOOKUP(_xlfn.MINIFS('FIRE TEX 5062'!$B$4:$B$34,'FIRE TEX 5062'!$B$4:$B$34,"&gt;="&amp;M1004),'FIRE TEX 5062'!$B$4:$F$34,IF(L1004="F-15",2,IF(L1004="F-30",3,IF(L1004="F-60",4,IF(L1004="F-90",5,0)))),0),0)+IF(AND(O1004="FIRE TEX 5062",OR(E1004="IN",E1004="C",E1004="Z",E1004="L"),J1004=4),VLOOKUP(_xlfn.MINIFS('FIRE TEX 5062'!$G$4:$G$34,'FIRE TEX 5062'!$G$4:$G$34,"&gt;="&amp;M1004),'FIRE TEX 5062'!$G$4:$K$34,IF(L1004="F-15",2,IF(L1004="F-30",3,IF(L1004="F-60",4,IF(L1004="F-90",5,0)))),0),0)+IF(AND(O1004="FIRE TEX 5062",E1004="CJ",J1004=3),VLOOKUP(_xlfn.MINIFS('FIRE TEX 5062'!$L$4:$L$34,'FIRE TEX 5062'!$L$4:$L$34,"&gt;="&amp;M1004),'FIRE TEX 5062'!$L$4:$P$34,IF(L1004="F-15",2,IF(L1004="F-30",3,IF(L1004="F-60",4,IF(L1004="F-90",5,0)))),0),0)+IF(AND(O1004="FIRE TEX 5062",E1004="CJ",J1004=4),VLOOKUP(_xlfn.MINIFS('FIRE TEX 5062'!$Q$3:$Q$34,'FIRE TEX 5062'!$Q$3:$Q$34,"&gt;="&amp;M1004),'FIRE TEX 5062'!$Q$3:$U$34,IF(L1004="F-15",2,IF(L1004="F-30",3,IF(L1004="F-60",4,IF(L1004="F-90",5,0)))),0),0)+IF(AND(O1004="FIRE TEX 5090",OR(E1004="IN",E1004="C",E1004="Z",E1004="L"),J1004=3),VLOOKUP(_xlfn.MINIFS('FIRE TEX 5090'!$B$5:$B$43,'FIRE TEX 5090'!$B$5:$B$43,"&gt;="&amp;M1004),'FIRE TEX 5090'!$B$5:$H$43,IF(L1004="F-15",2,IF(L1004="F-30",3,IF(L1004="F-60",4,IF(L1004="F-90",5,IF(L1004="F-120",6,IF(L1004="F-150",7,0)))))),0),0)+IF(AND(O1004="FIRE TEX 5090",OR(E1004="IN",E1004="C",E1004="Z",E1004="L"),J1004=4),VLOOKUP(_xlfn.MINIFS('FIRE TEX 5090'!$J$5:$J$43,'FIRE TEX 5090'!$J$5:$J$43,"&gt;="&amp;M1004),'FIRE TEX 5090'!$J$5:$P$43,IF(L1004="F-15",2,IF(L1004="F-30",3,IF(L1004="F-60",4,IF(L1004="F-90",5,IF(L1004="F-120",6,IF(L1004="F-150",7,0)))))),0),0)+IF(AND(O1004="FIRE TEX 5090",E1004="CJ",J1004=3),VLOOKUP(_xlfn.MINIFS('FIRE TEX 5090'!$R$5:$R$30,'FIRE TEX 5090'!$R$5:$R$30,"&gt;="&amp;M1004),'FIRE TEX 5090'!$R$5:$W$30,IF(L1004="F-15",2,IF(L1004="F-30",3,IF(L1004="F-60",4,IF(L1004="F-90",5,IF(L1004="F-120",6,IF(L1004="F-150",7,0)))))),0),0)+IF(AND(O1004="FIRE TEX 5090",E1004="CJ",J1004=4),VLOOKUP(_xlfn.MINIFS('FIRE TEX 5090'!$Y$5:$Y$39,'FIRE TEX 5090'!$Y$5:$Y$39,"&gt;="&amp;M1004),'FIRE TEX 5090'!$Y$5:$AD$39,IF(L1004="F-15",2,IF(L1004="F-30",3,IF(L1004="F-60",4,IF(L1004="F-90",5,IF(L1004="F-120",6,IF(L1004="F-150",7,0)))))),0),0)+IF(AND(O1004="FIRE TEX 5120",OR(E1004="IN",E1004="C",E1004="Z",E1004="L"),J1004=3),VLOOKUP(_xlfn.MINIFS('FIRE TEX 5120'!$B$5:$B$40,'FIRE TEX 5120'!$B$5:$B$40,"&gt;="&amp;M1004),'FIRE TEX 5120'!$B$5:$G$40,IF(L1004="F-15",2,IF(L1004="F-30",3,IF(L1004="F-60",4,IF(L1004="F-90",5,IF(L1004="F-120",6,0))))),0),0)+IF(AND(O1004="FIRE TEX 5120",OR(E1004="IN",E1004="C",E1004="Z",E1004="L"),J1004=4),VLOOKUP(_xlfn.MINIFS('FIRE TEX 5120'!$H$4:$H$40,'FIRE TEX 5120'!$H$4:$H$40,"&gt;="&amp;M1004),'FIRE TEX 5120'!$H$4:$M$40,IF(L1004="F-15",2,IF(L1004="F-30",3,IF(L1004="F-60",4,IF(L1004="F-90",5,IF(L1004="F-120",6,0))))),0),0)+IF(AND(O1004="FIRE TEX 5120",E1004="CJ"),VLOOKUP(_xlfn.MINIFS('FIRE TEX 5120'!$O$5:$O$40,'FIRE TEX 5120'!$O$5:$O$40,"&gt;="&amp;M1004),'FIRE TEX 5120'!$O$5:$T$40,IF(L1004="F-15",2,IF(L1004="F-30",3,IF(L1004="F-60",4,IF(L1004="F-90",5,IF(L1004="F-120",6,0))))),0),0)</f>
        <v>0</v>
      </c>
      <c r="Q1004" s="46">
        <f t="shared" si="94"/>
        <v>0</v>
      </c>
      <c r="R1004" s="46">
        <f t="shared" si="95"/>
        <v>0</v>
      </c>
      <c r="S1004" s="46" t="e">
        <f t="shared" si="96"/>
        <v>#VALUE!</v>
      </c>
      <c r="T1004" s="677">
        <f t="shared" si="97"/>
        <v>0</v>
      </c>
      <c r="U1004" s="80">
        <f>(IF(O1004="Stofire",(S1004*#REF!),0))+(IF(O1004="Fire Control",(S1004*$U$2),0))+(IF(O1004="Fire Tex",(S1004*$U$3),0))+(IF(O1004="WB7",(S1004*#REF!),0)+(IF(O1004="FX 2003",(S1004*$U$5),0)))</f>
        <v>0</v>
      </c>
      <c r="V1004" s="651">
        <f t="shared" si="98"/>
        <v>0</v>
      </c>
    </row>
    <row r="1005" spans="4:22" x14ac:dyDescent="0.25">
      <c r="D1005" s="118">
        <f>+CUBICACION!D1004</f>
        <v>0</v>
      </c>
      <c r="E1005" s="118">
        <f>+CUBICACION!F1004</f>
        <v>0</v>
      </c>
      <c r="F1005" s="118">
        <f>+CUBICACION!E1004</f>
        <v>0</v>
      </c>
      <c r="G1005" s="118">
        <v>12</v>
      </c>
      <c r="H1005" s="118">
        <v>2</v>
      </c>
      <c r="I1005" s="820">
        <v>26385</v>
      </c>
      <c r="J1005" s="118">
        <f>+CUBICACION!J1004</f>
        <v>0</v>
      </c>
      <c r="K1005" s="118">
        <v>3784</v>
      </c>
      <c r="L1005" s="118">
        <f>+CUBICACION!L1004</f>
        <v>0</v>
      </c>
      <c r="M1005" s="64">
        <f>+CUBICACION!M1004</f>
        <v>0</v>
      </c>
      <c r="N1005" s="824" t="str">
        <f>+CUBICACION!N1004</f>
        <v/>
      </c>
      <c r="O1005" s="675">
        <f>+CUBICACION!O1004</f>
        <v>0</v>
      </c>
      <c r="P1005" s="15">
        <f>IF(O1005="Fire Control",VLOOKUP(_xlfn.MINIFS('FIRE CONTROL'!$C$4:$C$37,'FIRE CONTROL'!$C$4:$C$37,"&gt;="&amp;M1005),'FIRE CONTROL'!$C$4:$G$37,IF(L1005="F-15",2,IF(L1005="F-30",3,IF(L1005="F-60",4,IF(L1005="F-90",5,0)))),0),0)+IF(AND(O1005="FIRE TEX 5062",OR(E1005="IN",E1005="C",E1005="Z",E1005="L"),J1005=3),VLOOKUP(_xlfn.MINIFS('FIRE TEX 5062'!$B$4:$B$34,'FIRE TEX 5062'!$B$4:$B$34,"&gt;="&amp;M1005),'FIRE TEX 5062'!$B$4:$F$34,IF(L1005="F-15",2,IF(L1005="F-30",3,IF(L1005="F-60",4,IF(L1005="F-90",5,0)))),0),0)+IF(AND(O1005="FIRE TEX 5062",OR(E1005="IN",E1005="C",E1005="Z",E1005="L"),J1005=4),VLOOKUP(_xlfn.MINIFS('FIRE TEX 5062'!$G$4:$G$34,'FIRE TEX 5062'!$G$4:$G$34,"&gt;="&amp;M1005),'FIRE TEX 5062'!$G$4:$K$34,IF(L1005="F-15",2,IF(L1005="F-30",3,IF(L1005="F-60",4,IF(L1005="F-90",5,0)))),0),0)+IF(AND(O1005="FIRE TEX 5062",E1005="CJ",J1005=3),VLOOKUP(_xlfn.MINIFS('FIRE TEX 5062'!$L$4:$L$34,'FIRE TEX 5062'!$L$4:$L$34,"&gt;="&amp;M1005),'FIRE TEX 5062'!$L$4:$P$34,IF(L1005="F-15",2,IF(L1005="F-30",3,IF(L1005="F-60",4,IF(L1005="F-90",5,0)))),0),0)+IF(AND(O1005="FIRE TEX 5062",E1005="CJ",J1005=4),VLOOKUP(_xlfn.MINIFS('FIRE TEX 5062'!$Q$3:$Q$34,'FIRE TEX 5062'!$Q$3:$Q$34,"&gt;="&amp;M1005),'FIRE TEX 5062'!$Q$3:$U$34,IF(L1005="F-15",2,IF(L1005="F-30",3,IF(L1005="F-60",4,IF(L1005="F-90",5,0)))),0),0)+IF(AND(O1005="FIRE TEX 5090",OR(E1005="IN",E1005="C",E1005="Z",E1005="L"),J1005=3),VLOOKUP(_xlfn.MINIFS('FIRE TEX 5090'!$B$5:$B$43,'FIRE TEX 5090'!$B$5:$B$43,"&gt;="&amp;M1005),'FIRE TEX 5090'!$B$5:$H$43,IF(L1005="F-15",2,IF(L1005="F-30",3,IF(L1005="F-60",4,IF(L1005="F-90",5,IF(L1005="F-120",6,IF(L1005="F-150",7,0)))))),0),0)+IF(AND(O1005="FIRE TEX 5090",OR(E1005="IN",E1005="C",E1005="Z",E1005="L"),J1005=4),VLOOKUP(_xlfn.MINIFS('FIRE TEX 5090'!$J$5:$J$43,'FIRE TEX 5090'!$J$5:$J$43,"&gt;="&amp;M1005),'FIRE TEX 5090'!$J$5:$P$43,IF(L1005="F-15",2,IF(L1005="F-30",3,IF(L1005="F-60",4,IF(L1005="F-90",5,IF(L1005="F-120",6,IF(L1005="F-150",7,0)))))),0),0)+IF(AND(O1005="FIRE TEX 5090",E1005="CJ",J1005=3),VLOOKUP(_xlfn.MINIFS('FIRE TEX 5090'!$R$5:$R$30,'FIRE TEX 5090'!$R$5:$R$30,"&gt;="&amp;M1005),'FIRE TEX 5090'!$R$5:$W$30,IF(L1005="F-15",2,IF(L1005="F-30",3,IF(L1005="F-60",4,IF(L1005="F-90",5,IF(L1005="F-120",6,IF(L1005="F-150",7,0)))))),0),0)+IF(AND(O1005="FIRE TEX 5090",E1005="CJ",J1005=4),VLOOKUP(_xlfn.MINIFS('FIRE TEX 5090'!$Y$5:$Y$39,'FIRE TEX 5090'!$Y$5:$Y$39,"&gt;="&amp;M1005),'FIRE TEX 5090'!$Y$5:$AD$39,IF(L1005="F-15",2,IF(L1005="F-30",3,IF(L1005="F-60",4,IF(L1005="F-90",5,IF(L1005="F-120",6,IF(L1005="F-150",7,0)))))),0),0)+IF(AND(O1005="FIRE TEX 5120",OR(E1005="IN",E1005="C",E1005="Z",E1005="L"),J1005=3),VLOOKUP(_xlfn.MINIFS('FIRE TEX 5120'!$B$5:$B$40,'FIRE TEX 5120'!$B$5:$B$40,"&gt;="&amp;M1005),'FIRE TEX 5120'!$B$5:$G$40,IF(L1005="F-15",2,IF(L1005="F-30",3,IF(L1005="F-60",4,IF(L1005="F-90",5,IF(L1005="F-120",6,0))))),0),0)+IF(AND(O1005="FIRE TEX 5120",OR(E1005="IN",E1005="C",E1005="Z",E1005="L"),J1005=4),VLOOKUP(_xlfn.MINIFS('FIRE TEX 5120'!$H$4:$H$40,'FIRE TEX 5120'!$H$4:$H$40,"&gt;="&amp;M1005),'FIRE TEX 5120'!$H$4:$M$40,IF(L1005="F-15",2,IF(L1005="F-30",3,IF(L1005="F-60",4,IF(L1005="F-90",5,IF(L1005="F-120",6,0))))),0),0)+IF(AND(O1005="FIRE TEX 5120",E1005="CJ"),VLOOKUP(_xlfn.MINIFS('FIRE TEX 5120'!$O$5:$O$40,'FIRE TEX 5120'!$O$5:$O$40,"&gt;="&amp;M1005),'FIRE TEX 5120'!$O$5:$T$40,IF(L1005="F-15",2,IF(L1005="F-30",3,IF(L1005="F-60",4,IF(L1005="F-90",5,IF(L1005="F-120",6,0))))),0),0)</f>
        <v>0</v>
      </c>
      <c r="Q1005" s="46">
        <f t="shared" ref="Q1005:Q1068" si="99">IF(P1005="","",IF(P1005="dar valor","",0.03937*P1005))</f>
        <v>0</v>
      </c>
      <c r="R1005" s="46">
        <f t="shared" ref="R1005:R1068" si="100">+(IF(O1005="Fire Control",((65*1.5/Q1005)*0.75*4),0))+(IF(OR(O1005="Fire Tex 5062",O1005="Fire Tex 5090",O1005="Fire Tex 5120"),((66*1.5/Q1005)*0.7*5),0))</f>
        <v>0</v>
      </c>
      <c r="S1005" s="46" t="e">
        <f t="shared" ref="S1005:S1068" si="101">IF(R1005="","",+N1005/R1005)</f>
        <v>#VALUE!</v>
      </c>
      <c r="T1005" s="677">
        <f t="shared" ref="T1005:T1068" si="102">(IF(O1005="Stofire",(S1005/(7*1)),0))+(IF(O1005="Fire Control",(S1005/(7*1)),0))+(IF(O1005="Fire Tex",(S1005/(7*1)),0))+(IF(O1005="WB7",(S1005/(7*1)),0))+(IF(O1005="FX 2003",(S1005/(7*1)),0))</f>
        <v>0</v>
      </c>
      <c r="U1005" s="80">
        <f>(IF(O1005="Stofire",(S1005*#REF!),0))+(IF(O1005="Fire Control",(S1005*$U$2),0))+(IF(O1005="Fire Tex",(S1005*$U$3),0))+(IF(O1005="WB7",(S1005*#REF!),0)+(IF(O1005="FX 2003",(S1005*$U$5),0)))</f>
        <v>0</v>
      </c>
      <c r="V1005" s="651">
        <f t="shared" ref="V1005:V1068" si="103">_xlfn.CEILING.MATH(M1005,10)</f>
        <v>0</v>
      </c>
    </row>
    <row r="1006" spans="4:22" x14ac:dyDescent="0.25">
      <c r="D1006" s="118">
        <f>+CUBICACION!D1005</f>
        <v>0</v>
      </c>
      <c r="E1006" s="118">
        <f>+CUBICACION!F1005</f>
        <v>0</v>
      </c>
      <c r="F1006" s="118">
        <f>+CUBICACION!E1005</f>
        <v>0</v>
      </c>
      <c r="G1006" s="118">
        <v>12</v>
      </c>
      <c r="H1006" s="118">
        <v>2</v>
      </c>
      <c r="I1006" s="820">
        <v>26385</v>
      </c>
      <c r="J1006" s="118">
        <f>+CUBICACION!J1005</f>
        <v>0</v>
      </c>
      <c r="K1006" s="118">
        <v>3785</v>
      </c>
      <c r="L1006" s="118">
        <f>+CUBICACION!L1005</f>
        <v>0</v>
      </c>
      <c r="M1006" s="64">
        <f>+CUBICACION!M1005</f>
        <v>0</v>
      </c>
      <c r="N1006" s="824" t="str">
        <f>+CUBICACION!N1005</f>
        <v/>
      </c>
      <c r="O1006" s="675">
        <f>+CUBICACION!O1005</f>
        <v>0</v>
      </c>
      <c r="P1006" s="15">
        <f>IF(O1006="Fire Control",VLOOKUP(_xlfn.MINIFS('FIRE CONTROL'!$C$4:$C$37,'FIRE CONTROL'!$C$4:$C$37,"&gt;="&amp;M1006),'FIRE CONTROL'!$C$4:$G$37,IF(L1006="F-15",2,IF(L1006="F-30",3,IF(L1006="F-60",4,IF(L1006="F-90",5,0)))),0),0)+IF(AND(O1006="FIRE TEX 5062",OR(E1006="IN",E1006="C",E1006="Z",E1006="L"),J1006=3),VLOOKUP(_xlfn.MINIFS('FIRE TEX 5062'!$B$4:$B$34,'FIRE TEX 5062'!$B$4:$B$34,"&gt;="&amp;M1006),'FIRE TEX 5062'!$B$4:$F$34,IF(L1006="F-15",2,IF(L1006="F-30",3,IF(L1006="F-60",4,IF(L1006="F-90",5,0)))),0),0)+IF(AND(O1006="FIRE TEX 5062",OR(E1006="IN",E1006="C",E1006="Z",E1006="L"),J1006=4),VLOOKUP(_xlfn.MINIFS('FIRE TEX 5062'!$G$4:$G$34,'FIRE TEX 5062'!$G$4:$G$34,"&gt;="&amp;M1006),'FIRE TEX 5062'!$G$4:$K$34,IF(L1006="F-15",2,IF(L1006="F-30",3,IF(L1006="F-60",4,IF(L1006="F-90",5,0)))),0),0)+IF(AND(O1006="FIRE TEX 5062",E1006="CJ",J1006=3),VLOOKUP(_xlfn.MINIFS('FIRE TEX 5062'!$L$4:$L$34,'FIRE TEX 5062'!$L$4:$L$34,"&gt;="&amp;M1006),'FIRE TEX 5062'!$L$4:$P$34,IF(L1006="F-15",2,IF(L1006="F-30",3,IF(L1006="F-60",4,IF(L1006="F-90",5,0)))),0),0)+IF(AND(O1006="FIRE TEX 5062",E1006="CJ",J1006=4),VLOOKUP(_xlfn.MINIFS('FIRE TEX 5062'!$Q$3:$Q$34,'FIRE TEX 5062'!$Q$3:$Q$34,"&gt;="&amp;M1006),'FIRE TEX 5062'!$Q$3:$U$34,IF(L1006="F-15",2,IF(L1006="F-30",3,IF(L1006="F-60",4,IF(L1006="F-90",5,0)))),0),0)+IF(AND(O1006="FIRE TEX 5090",OR(E1006="IN",E1006="C",E1006="Z",E1006="L"),J1006=3),VLOOKUP(_xlfn.MINIFS('FIRE TEX 5090'!$B$5:$B$43,'FIRE TEX 5090'!$B$5:$B$43,"&gt;="&amp;M1006),'FIRE TEX 5090'!$B$5:$H$43,IF(L1006="F-15",2,IF(L1006="F-30",3,IF(L1006="F-60",4,IF(L1006="F-90",5,IF(L1006="F-120",6,IF(L1006="F-150",7,0)))))),0),0)+IF(AND(O1006="FIRE TEX 5090",OR(E1006="IN",E1006="C",E1006="Z",E1006="L"),J1006=4),VLOOKUP(_xlfn.MINIFS('FIRE TEX 5090'!$J$5:$J$43,'FIRE TEX 5090'!$J$5:$J$43,"&gt;="&amp;M1006),'FIRE TEX 5090'!$J$5:$P$43,IF(L1006="F-15",2,IF(L1006="F-30",3,IF(L1006="F-60",4,IF(L1006="F-90",5,IF(L1006="F-120",6,IF(L1006="F-150",7,0)))))),0),0)+IF(AND(O1006="FIRE TEX 5090",E1006="CJ",J1006=3),VLOOKUP(_xlfn.MINIFS('FIRE TEX 5090'!$R$5:$R$30,'FIRE TEX 5090'!$R$5:$R$30,"&gt;="&amp;M1006),'FIRE TEX 5090'!$R$5:$W$30,IF(L1006="F-15",2,IF(L1006="F-30",3,IF(L1006="F-60",4,IF(L1006="F-90",5,IF(L1006="F-120",6,IF(L1006="F-150",7,0)))))),0),0)+IF(AND(O1006="FIRE TEX 5090",E1006="CJ",J1006=4),VLOOKUP(_xlfn.MINIFS('FIRE TEX 5090'!$Y$5:$Y$39,'FIRE TEX 5090'!$Y$5:$Y$39,"&gt;="&amp;M1006),'FIRE TEX 5090'!$Y$5:$AD$39,IF(L1006="F-15",2,IF(L1006="F-30",3,IF(L1006="F-60",4,IF(L1006="F-90",5,IF(L1006="F-120",6,IF(L1006="F-150",7,0)))))),0),0)+IF(AND(O1006="FIRE TEX 5120",OR(E1006="IN",E1006="C",E1006="Z",E1006="L"),J1006=3),VLOOKUP(_xlfn.MINIFS('FIRE TEX 5120'!$B$5:$B$40,'FIRE TEX 5120'!$B$5:$B$40,"&gt;="&amp;M1006),'FIRE TEX 5120'!$B$5:$G$40,IF(L1006="F-15",2,IF(L1006="F-30",3,IF(L1006="F-60",4,IF(L1006="F-90",5,IF(L1006="F-120",6,0))))),0),0)+IF(AND(O1006="FIRE TEX 5120",OR(E1006="IN",E1006="C",E1006="Z",E1006="L"),J1006=4),VLOOKUP(_xlfn.MINIFS('FIRE TEX 5120'!$H$4:$H$40,'FIRE TEX 5120'!$H$4:$H$40,"&gt;="&amp;M1006),'FIRE TEX 5120'!$H$4:$M$40,IF(L1006="F-15",2,IF(L1006="F-30",3,IF(L1006="F-60",4,IF(L1006="F-90",5,IF(L1006="F-120",6,0))))),0),0)+IF(AND(O1006="FIRE TEX 5120",E1006="CJ"),VLOOKUP(_xlfn.MINIFS('FIRE TEX 5120'!$O$5:$O$40,'FIRE TEX 5120'!$O$5:$O$40,"&gt;="&amp;M1006),'FIRE TEX 5120'!$O$5:$T$40,IF(L1006="F-15",2,IF(L1006="F-30",3,IF(L1006="F-60",4,IF(L1006="F-90",5,IF(L1006="F-120",6,0))))),0),0)</f>
        <v>0</v>
      </c>
      <c r="Q1006" s="46">
        <f t="shared" si="99"/>
        <v>0</v>
      </c>
      <c r="R1006" s="46">
        <f t="shared" si="100"/>
        <v>0</v>
      </c>
      <c r="S1006" s="46" t="e">
        <f t="shared" si="101"/>
        <v>#VALUE!</v>
      </c>
      <c r="T1006" s="677">
        <f t="shared" si="102"/>
        <v>0</v>
      </c>
      <c r="U1006" s="80">
        <f>(IF(O1006="Stofire",(S1006*#REF!),0))+(IF(O1006="Fire Control",(S1006*$U$2),0))+(IF(O1006="Fire Tex",(S1006*$U$3),0))+(IF(O1006="WB7",(S1006*#REF!),0)+(IF(O1006="FX 2003",(S1006*$U$5),0)))</f>
        <v>0</v>
      </c>
      <c r="V1006" s="651">
        <f t="shared" si="103"/>
        <v>0</v>
      </c>
    </row>
    <row r="1007" spans="4:22" x14ac:dyDescent="0.25">
      <c r="D1007" s="118">
        <f>+CUBICACION!D1006</f>
        <v>0</v>
      </c>
      <c r="E1007" s="118">
        <f>+CUBICACION!F1006</f>
        <v>0</v>
      </c>
      <c r="F1007" s="118">
        <f>+CUBICACION!E1006</f>
        <v>0</v>
      </c>
      <c r="G1007" s="118">
        <v>12</v>
      </c>
      <c r="H1007" s="118">
        <v>2</v>
      </c>
      <c r="I1007" s="820">
        <v>26385</v>
      </c>
      <c r="J1007" s="118">
        <f>+CUBICACION!J1006</f>
        <v>0</v>
      </c>
      <c r="K1007" s="118">
        <v>3786</v>
      </c>
      <c r="L1007" s="118">
        <f>+CUBICACION!L1006</f>
        <v>0</v>
      </c>
      <c r="M1007" s="64">
        <f>+CUBICACION!M1006</f>
        <v>0</v>
      </c>
      <c r="N1007" s="824" t="str">
        <f>+CUBICACION!N1006</f>
        <v/>
      </c>
      <c r="O1007" s="675">
        <f>+CUBICACION!O1006</f>
        <v>0</v>
      </c>
      <c r="P1007" s="15">
        <f>IF(O1007="Fire Control",VLOOKUP(_xlfn.MINIFS('FIRE CONTROL'!$C$4:$C$37,'FIRE CONTROL'!$C$4:$C$37,"&gt;="&amp;M1007),'FIRE CONTROL'!$C$4:$G$37,IF(L1007="F-15",2,IF(L1007="F-30",3,IF(L1007="F-60",4,IF(L1007="F-90",5,0)))),0),0)+IF(AND(O1007="FIRE TEX 5062",OR(E1007="IN",E1007="C",E1007="Z",E1007="L"),J1007=3),VLOOKUP(_xlfn.MINIFS('FIRE TEX 5062'!$B$4:$B$34,'FIRE TEX 5062'!$B$4:$B$34,"&gt;="&amp;M1007),'FIRE TEX 5062'!$B$4:$F$34,IF(L1007="F-15",2,IF(L1007="F-30",3,IF(L1007="F-60",4,IF(L1007="F-90",5,0)))),0),0)+IF(AND(O1007="FIRE TEX 5062",OR(E1007="IN",E1007="C",E1007="Z",E1007="L"),J1007=4),VLOOKUP(_xlfn.MINIFS('FIRE TEX 5062'!$G$4:$G$34,'FIRE TEX 5062'!$G$4:$G$34,"&gt;="&amp;M1007),'FIRE TEX 5062'!$G$4:$K$34,IF(L1007="F-15",2,IF(L1007="F-30",3,IF(L1007="F-60",4,IF(L1007="F-90",5,0)))),0),0)+IF(AND(O1007="FIRE TEX 5062",E1007="CJ",J1007=3),VLOOKUP(_xlfn.MINIFS('FIRE TEX 5062'!$L$4:$L$34,'FIRE TEX 5062'!$L$4:$L$34,"&gt;="&amp;M1007),'FIRE TEX 5062'!$L$4:$P$34,IF(L1007="F-15",2,IF(L1007="F-30",3,IF(L1007="F-60",4,IF(L1007="F-90",5,0)))),0),0)+IF(AND(O1007="FIRE TEX 5062",E1007="CJ",J1007=4),VLOOKUP(_xlfn.MINIFS('FIRE TEX 5062'!$Q$3:$Q$34,'FIRE TEX 5062'!$Q$3:$Q$34,"&gt;="&amp;M1007),'FIRE TEX 5062'!$Q$3:$U$34,IF(L1007="F-15",2,IF(L1007="F-30",3,IF(L1007="F-60",4,IF(L1007="F-90",5,0)))),0),0)+IF(AND(O1007="FIRE TEX 5090",OR(E1007="IN",E1007="C",E1007="Z",E1007="L"),J1007=3),VLOOKUP(_xlfn.MINIFS('FIRE TEX 5090'!$B$5:$B$43,'FIRE TEX 5090'!$B$5:$B$43,"&gt;="&amp;M1007),'FIRE TEX 5090'!$B$5:$H$43,IF(L1007="F-15",2,IF(L1007="F-30",3,IF(L1007="F-60",4,IF(L1007="F-90",5,IF(L1007="F-120",6,IF(L1007="F-150",7,0)))))),0),0)+IF(AND(O1007="FIRE TEX 5090",OR(E1007="IN",E1007="C",E1007="Z",E1007="L"),J1007=4),VLOOKUP(_xlfn.MINIFS('FIRE TEX 5090'!$J$5:$J$43,'FIRE TEX 5090'!$J$5:$J$43,"&gt;="&amp;M1007),'FIRE TEX 5090'!$J$5:$P$43,IF(L1007="F-15",2,IF(L1007="F-30",3,IF(L1007="F-60",4,IF(L1007="F-90",5,IF(L1007="F-120",6,IF(L1007="F-150",7,0)))))),0),0)+IF(AND(O1007="FIRE TEX 5090",E1007="CJ",J1007=3),VLOOKUP(_xlfn.MINIFS('FIRE TEX 5090'!$R$5:$R$30,'FIRE TEX 5090'!$R$5:$R$30,"&gt;="&amp;M1007),'FIRE TEX 5090'!$R$5:$W$30,IF(L1007="F-15",2,IF(L1007="F-30",3,IF(L1007="F-60",4,IF(L1007="F-90",5,IF(L1007="F-120",6,IF(L1007="F-150",7,0)))))),0),0)+IF(AND(O1007="FIRE TEX 5090",E1007="CJ",J1007=4),VLOOKUP(_xlfn.MINIFS('FIRE TEX 5090'!$Y$5:$Y$39,'FIRE TEX 5090'!$Y$5:$Y$39,"&gt;="&amp;M1007),'FIRE TEX 5090'!$Y$5:$AD$39,IF(L1007="F-15",2,IF(L1007="F-30",3,IF(L1007="F-60",4,IF(L1007="F-90",5,IF(L1007="F-120",6,IF(L1007="F-150",7,0)))))),0),0)+IF(AND(O1007="FIRE TEX 5120",OR(E1007="IN",E1007="C",E1007="Z",E1007="L"),J1007=3),VLOOKUP(_xlfn.MINIFS('FIRE TEX 5120'!$B$5:$B$40,'FIRE TEX 5120'!$B$5:$B$40,"&gt;="&amp;M1007),'FIRE TEX 5120'!$B$5:$G$40,IF(L1007="F-15",2,IF(L1007="F-30",3,IF(L1007="F-60",4,IF(L1007="F-90",5,IF(L1007="F-120",6,0))))),0),0)+IF(AND(O1007="FIRE TEX 5120",OR(E1007="IN",E1007="C",E1007="Z",E1007="L"),J1007=4),VLOOKUP(_xlfn.MINIFS('FIRE TEX 5120'!$H$4:$H$40,'FIRE TEX 5120'!$H$4:$H$40,"&gt;="&amp;M1007),'FIRE TEX 5120'!$H$4:$M$40,IF(L1007="F-15",2,IF(L1007="F-30",3,IF(L1007="F-60",4,IF(L1007="F-90",5,IF(L1007="F-120",6,0))))),0),0)+IF(AND(O1007="FIRE TEX 5120",E1007="CJ"),VLOOKUP(_xlfn.MINIFS('FIRE TEX 5120'!$O$5:$O$40,'FIRE TEX 5120'!$O$5:$O$40,"&gt;="&amp;M1007),'FIRE TEX 5120'!$O$5:$T$40,IF(L1007="F-15",2,IF(L1007="F-30",3,IF(L1007="F-60",4,IF(L1007="F-90",5,IF(L1007="F-120",6,0))))),0),0)</f>
        <v>0</v>
      </c>
      <c r="Q1007" s="46">
        <f t="shared" si="99"/>
        <v>0</v>
      </c>
      <c r="R1007" s="46">
        <f t="shared" si="100"/>
        <v>0</v>
      </c>
      <c r="S1007" s="46" t="e">
        <f t="shared" si="101"/>
        <v>#VALUE!</v>
      </c>
      <c r="T1007" s="677">
        <f t="shared" si="102"/>
        <v>0</v>
      </c>
      <c r="U1007" s="80">
        <f>(IF(O1007="Stofire",(S1007*#REF!),0))+(IF(O1007="Fire Control",(S1007*$U$2),0))+(IF(O1007="Fire Tex",(S1007*$U$3),0))+(IF(O1007="WB7",(S1007*#REF!),0)+(IF(O1007="FX 2003",(S1007*$U$5),0)))</f>
        <v>0</v>
      </c>
      <c r="V1007" s="651">
        <f t="shared" si="103"/>
        <v>0</v>
      </c>
    </row>
    <row r="1008" spans="4:22" x14ac:dyDescent="0.25">
      <c r="D1008" s="118">
        <f>+CUBICACION!D1007</f>
        <v>0</v>
      </c>
      <c r="E1008" s="118">
        <f>+CUBICACION!F1007</f>
        <v>0</v>
      </c>
      <c r="F1008" s="118">
        <f>+CUBICACION!E1007</f>
        <v>0</v>
      </c>
      <c r="G1008" s="118">
        <v>12</v>
      </c>
      <c r="H1008" s="118">
        <v>2</v>
      </c>
      <c r="I1008" s="820">
        <v>26385</v>
      </c>
      <c r="J1008" s="118">
        <f>+CUBICACION!J1007</f>
        <v>0</v>
      </c>
      <c r="K1008" s="118">
        <v>3787</v>
      </c>
      <c r="L1008" s="118">
        <f>+CUBICACION!L1007</f>
        <v>0</v>
      </c>
      <c r="M1008" s="64">
        <f>+CUBICACION!M1007</f>
        <v>0</v>
      </c>
      <c r="N1008" s="824" t="str">
        <f>+CUBICACION!N1007</f>
        <v/>
      </c>
      <c r="O1008" s="675">
        <f>+CUBICACION!O1007</f>
        <v>0</v>
      </c>
      <c r="P1008" s="15">
        <f>IF(O1008="Fire Control",VLOOKUP(_xlfn.MINIFS('FIRE CONTROL'!$C$4:$C$37,'FIRE CONTROL'!$C$4:$C$37,"&gt;="&amp;M1008),'FIRE CONTROL'!$C$4:$G$37,IF(L1008="F-15",2,IF(L1008="F-30",3,IF(L1008="F-60",4,IF(L1008="F-90",5,0)))),0),0)+IF(AND(O1008="FIRE TEX 5062",OR(E1008="IN",E1008="C",E1008="Z",E1008="L"),J1008=3),VLOOKUP(_xlfn.MINIFS('FIRE TEX 5062'!$B$4:$B$34,'FIRE TEX 5062'!$B$4:$B$34,"&gt;="&amp;M1008),'FIRE TEX 5062'!$B$4:$F$34,IF(L1008="F-15",2,IF(L1008="F-30",3,IF(L1008="F-60",4,IF(L1008="F-90",5,0)))),0),0)+IF(AND(O1008="FIRE TEX 5062",OR(E1008="IN",E1008="C",E1008="Z",E1008="L"),J1008=4),VLOOKUP(_xlfn.MINIFS('FIRE TEX 5062'!$G$4:$G$34,'FIRE TEX 5062'!$G$4:$G$34,"&gt;="&amp;M1008),'FIRE TEX 5062'!$G$4:$K$34,IF(L1008="F-15",2,IF(L1008="F-30",3,IF(L1008="F-60",4,IF(L1008="F-90",5,0)))),0),0)+IF(AND(O1008="FIRE TEX 5062",E1008="CJ",J1008=3),VLOOKUP(_xlfn.MINIFS('FIRE TEX 5062'!$L$4:$L$34,'FIRE TEX 5062'!$L$4:$L$34,"&gt;="&amp;M1008),'FIRE TEX 5062'!$L$4:$P$34,IF(L1008="F-15",2,IF(L1008="F-30",3,IF(L1008="F-60",4,IF(L1008="F-90",5,0)))),0),0)+IF(AND(O1008="FIRE TEX 5062",E1008="CJ",J1008=4),VLOOKUP(_xlfn.MINIFS('FIRE TEX 5062'!$Q$3:$Q$34,'FIRE TEX 5062'!$Q$3:$Q$34,"&gt;="&amp;M1008),'FIRE TEX 5062'!$Q$3:$U$34,IF(L1008="F-15",2,IF(L1008="F-30",3,IF(L1008="F-60",4,IF(L1008="F-90",5,0)))),0),0)+IF(AND(O1008="FIRE TEX 5090",OR(E1008="IN",E1008="C",E1008="Z",E1008="L"),J1008=3),VLOOKUP(_xlfn.MINIFS('FIRE TEX 5090'!$B$5:$B$43,'FIRE TEX 5090'!$B$5:$B$43,"&gt;="&amp;M1008),'FIRE TEX 5090'!$B$5:$H$43,IF(L1008="F-15",2,IF(L1008="F-30",3,IF(L1008="F-60",4,IF(L1008="F-90",5,IF(L1008="F-120",6,IF(L1008="F-150",7,0)))))),0),0)+IF(AND(O1008="FIRE TEX 5090",OR(E1008="IN",E1008="C",E1008="Z",E1008="L"),J1008=4),VLOOKUP(_xlfn.MINIFS('FIRE TEX 5090'!$J$5:$J$43,'FIRE TEX 5090'!$J$5:$J$43,"&gt;="&amp;M1008),'FIRE TEX 5090'!$J$5:$P$43,IF(L1008="F-15",2,IF(L1008="F-30",3,IF(L1008="F-60",4,IF(L1008="F-90",5,IF(L1008="F-120",6,IF(L1008="F-150",7,0)))))),0),0)+IF(AND(O1008="FIRE TEX 5090",E1008="CJ",J1008=3),VLOOKUP(_xlfn.MINIFS('FIRE TEX 5090'!$R$5:$R$30,'FIRE TEX 5090'!$R$5:$R$30,"&gt;="&amp;M1008),'FIRE TEX 5090'!$R$5:$W$30,IF(L1008="F-15",2,IF(L1008="F-30",3,IF(L1008="F-60",4,IF(L1008="F-90",5,IF(L1008="F-120",6,IF(L1008="F-150",7,0)))))),0),0)+IF(AND(O1008="FIRE TEX 5090",E1008="CJ",J1008=4),VLOOKUP(_xlfn.MINIFS('FIRE TEX 5090'!$Y$5:$Y$39,'FIRE TEX 5090'!$Y$5:$Y$39,"&gt;="&amp;M1008),'FIRE TEX 5090'!$Y$5:$AD$39,IF(L1008="F-15",2,IF(L1008="F-30",3,IF(L1008="F-60",4,IF(L1008="F-90",5,IF(L1008="F-120",6,IF(L1008="F-150",7,0)))))),0),0)+IF(AND(O1008="FIRE TEX 5120",OR(E1008="IN",E1008="C",E1008="Z",E1008="L"),J1008=3),VLOOKUP(_xlfn.MINIFS('FIRE TEX 5120'!$B$5:$B$40,'FIRE TEX 5120'!$B$5:$B$40,"&gt;="&amp;M1008),'FIRE TEX 5120'!$B$5:$G$40,IF(L1008="F-15",2,IF(L1008="F-30",3,IF(L1008="F-60",4,IF(L1008="F-90",5,IF(L1008="F-120",6,0))))),0),0)+IF(AND(O1008="FIRE TEX 5120",OR(E1008="IN",E1008="C",E1008="Z",E1008="L"),J1008=4),VLOOKUP(_xlfn.MINIFS('FIRE TEX 5120'!$H$4:$H$40,'FIRE TEX 5120'!$H$4:$H$40,"&gt;="&amp;M1008),'FIRE TEX 5120'!$H$4:$M$40,IF(L1008="F-15",2,IF(L1008="F-30",3,IF(L1008="F-60",4,IF(L1008="F-90",5,IF(L1008="F-120",6,0))))),0),0)+IF(AND(O1008="FIRE TEX 5120",E1008="CJ"),VLOOKUP(_xlfn.MINIFS('FIRE TEX 5120'!$O$5:$O$40,'FIRE TEX 5120'!$O$5:$O$40,"&gt;="&amp;M1008),'FIRE TEX 5120'!$O$5:$T$40,IF(L1008="F-15",2,IF(L1008="F-30",3,IF(L1008="F-60",4,IF(L1008="F-90",5,IF(L1008="F-120",6,0))))),0),0)</f>
        <v>0</v>
      </c>
      <c r="Q1008" s="46">
        <f t="shared" si="99"/>
        <v>0</v>
      </c>
      <c r="R1008" s="46">
        <f t="shared" si="100"/>
        <v>0</v>
      </c>
      <c r="S1008" s="46" t="e">
        <f t="shared" si="101"/>
        <v>#VALUE!</v>
      </c>
      <c r="T1008" s="677">
        <f t="shared" si="102"/>
        <v>0</v>
      </c>
      <c r="U1008" s="80">
        <f>(IF(O1008="Stofire",(S1008*#REF!),0))+(IF(O1008="Fire Control",(S1008*$U$2),0))+(IF(O1008="Fire Tex",(S1008*$U$3),0))+(IF(O1008="WB7",(S1008*#REF!),0)+(IF(O1008="FX 2003",(S1008*$U$5),0)))</f>
        <v>0</v>
      </c>
      <c r="V1008" s="651">
        <f t="shared" si="103"/>
        <v>0</v>
      </c>
    </row>
    <row r="1009" spans="4:22" x14ac:dyDescent="0.25">
      <c r="D1009" s="118">
        <f>+CUBICACION!D1008</f>
        <v>0</v>
      </c>
      <c r="E1009" s="118">
        <f>+CUBICACION!F1008</f>
        <v>0</v>
      </c>
      <c r="F1009" s="118">
        <f>+CUBICACION!E1008</f>
        <v>0</v>
      </c>
      <c r="G1009" s="118">
        <v>12</v>
      </c>
      <c r="H1009" s="118">
        <v>2</v>
      </c>
      <c r="I1009" s="820">
        <v>26385</v>
      </c>
      <c r="J1009" s="118">
        <f>+CUBICACION!J1008</f>
        <v>0</v>
      </c>
      <c r="K1009" s="118">
        <v>3788</v>
      </c>
      <c r="L1009" s="118">
        <f>+CUBICACION!L1008</f>
        <v>0</v>
      </c>
      <c r="M1009" s="64">
        <f>+CUBICACION!M1008</f>
        <v>0</v>
      </c>
      <c r="N1009" s="824" t="str">
        <f>+CUBICACION!N1008</f>
        <v/>
      </c>
      <c r="O1009" s="675">
        <f>+CUBICACION!O1008</f>
        <v>0</v>
      </c>
      <c r="P1009" s="15">
        <f>IF(O1009="Fire Control",VLOOKUP(_xlfn.MINIFS('FIRE CONTROL'!$C$4:$C$37,'FIRE CONTROL'!$C$4:$C$37,"&gt;="&amp;M1009),'FIRE CONTROL'!$C$4:$G$37,IF(L1009="F-15",2,IF(L1009="F-30",3,IF(L1009="F-60",4,IF(L1009="F-90",5,0)))),0),0)+IF(AND(O1009="FIRE TEX 5062",OR(E1009="IN",E1009="C",E1009="Z",E1009="L"),J1009=3),VLOOKUP(_xlfn.MINIFS('FIRE TEX 5062'!$B$4:$B$34,'FIRE TEX 5062'!$B$4:$B$34,"&gt;="&amp;M1009),'FIRE TEX 5062'!$B$4:$F$34,IF(L1009="F-15",2,IF(L1009="F-30",3,IF(L1009="F-60",4,IF(L1009="F-90",5,0)))),0),0)+IF(AND(O1009="FIRE TEX 5062",OR(E1009="IN",E1009="C",E1009="Z",E1009="L"),J1009=4),VLOOKUP(_xlfn.MINIFS('FIRE TEX 5062'!$G$4:$G$34,'FIRE TEX 5062'!$G$4:$G$34,"&gt;="&amp;M1009),'FIRE TEX 5062'!$G$4:$K$34,IF(L1009="F-15",2,IF(L1009="F-30",3,IF(L1009="F-60",4,IF(L1009="F-90",5,0)))),0),0)+IF(AND(O1009="FIRE TEX 5062",E1009="CJ",J1009=3),VLOOKUP(_xlfn.MINIFS('FIRE TEX 5062'!$L$4:$L$34,'FIRE TEX 5062'!$L$4:$L$34,"&gt;="&amp;M1009),'FIRE TEX 5062'!$L$4:$P$34,IF(L1009="F-15",2,IF(L1009="F-30",3,IF(L1009="F-60",4,IF(L1009="F-90",5,0)))),0),0)+IF(AND(O1009="FIRE TEX 5062",E1009="CJ",J1009=4),VLOOKUP(_xlfn.MINIFS('FIRE TEX 5062'!$Q$3:$Q$34,'FIRE TEX 5062'!$Q$3:$Q$34,"&gt;="&amp;M1009),'FIRE TEX 5062'!$Q$3:$U$34,IF(L1009="F-15",2,IF(L1009="F-30",3,IF(L1009="F-60",4,IF(L1009="F-90",5,0)))),0),0)+IF(AND(O1009="FIRE TEX 5090",OR(E1009="IN",E1009="C",E1009="Z",E1009="L"),J1009=3),VLOOKUP(_xlfn.MINIFS('FIRE TEX 5090'!$B$5:$B$43,'FIRE TEX 5090'!$B$5:$B$43,"&gt;="&amp;M1009),'FIRE TEX 5090'!$B$5:$H$43,IF(L1009="F-15",2,IF(L1009="F-30",3,IF(L1009="F-60",4,IF(L1009="F-90",5,IF(L1009="F-120",6,IF(L1009="F-150",7,0)))))),0),0)+IF(AND(O1009="FIRE TEX 5090",OR(E1009="IN",E1009="C",E1009="Z",E1009="L"),J1009=4),VLOOKUP(_xlfn.MINIFS('FIRE TEX 5090'!$J$5:$J$43,'FIRE TEX 5090'!$J$5:$J$43,"&gt;="&amp;M1009),'FIRE TEX 5090'!$J$5:$P$43,IF(L1009="F-15",2,IF(L1009="F-30",3,IF(L1009="F-60",4,IF(L1009="F-90",5,IF(L1009="F-120",6,IF(L1009="F-150",7,0)))))),0),0)+IF(AND(O1009="FIRE TEX 5090",E1009="CJ",J1009=3),VLOOKUP(_xlfn.MINIFS('FIRE TEX 5090'!$R$5:$R$30,'FIRE TEX 5090'!$R$5:$R$30,"&gt;="&amp;M1009),'FIRE TEX 5090'!$R$5:$W$30,IF(L1009="F-15",2,IF(L1009="F-30",3,IF(L1009="F-60",4,IF(L1009="F-90",5,IF(L1009="F-120",6,IF(L1009="F-150",7,0)))))),0),0)+IF(AND(O1009="FIRE TEX 5090",E1009="CJ",J1009=4),VLOOKUP(_xlfn.MINIFS('FIRE TEX 5090'!$Y$5:$Y$39,'FIRE TEX 5090'!$Y$5:$Y$39,"&gt;="&amp;M1009),'FIRE TEX 5090'!$Y$5:$AD$39,IF(L1009="F-15",2,IF(L1009="F-30",3,IF(L1009="F-60",4,IF(L1009="F-90",5,IF(L1009="F-120",6,IF(L1009="F-150",7,0)))))),0),0)+IF(AND(O1009="FIRE TEX 5120",OR(E1009="IN",E1009="C",E1009="Z",E1009="L"),J1009=3),VLOOKUP(_xlfn.MINIFS('FIRE TEX 5120'!$B$5:$B$40,'FIRE TEX 5120'!$B$5:$B$40,"&gt;="&amp;M1009),'FIRE TEX 5120'!$B$5:$G$40,IF(L1009="F-15",2,IF(L1009="F-30",3,IF(L1009="F-60",4,IF(L1009="F-90",5,IF(L1009="F-120",6,0))))),0),0)+IF(AND(O1009="FIRE TEX 5120",OR(E1009="IN",E1009="C",E1009="Z",E1009="L"),J1009=4),VLOOKUP(_xlfn.MINIFS('FIRE TEX 5120'!$H$4:$H$40,'FIRE TEX 5120'!$H$4:$H$40,"&gt;="&amp;M1009),'FIRE TEX 5120'!$H$4:$M$40,IF(L1009="F-15",2,IF(L1009="F-30",3,IF(L1009="F-60",4,IF(L1009="F-90",5,IF(L1009="F-120",6,0))))),0),0)+IF(AND(O1009="FIRE TEX 5120",E1009="CJ"),VLOOKUP(_xlfn.MINIFS('FIRE TEX 5120'!$O$5:$O$40,'FIRE TEX 5120'!$O$5:$O$40,"&gt;="&amp;M1009),'FIRE TEX 5120'!$O$5:$T$40,IF(L1009="F-15",2,IF(L1009="F-30",3,IF(L1009="F-60",4,IF(L1009="F-90",5,IF(L1009="F-120",6,0))))),0),0)</f>
        <v>0</v>
      </c>
      <c r="Q1009" s="46">
        <f t="shared" si="99"/>
        <v>0</v>
      </c>
      <c r="R1009" s="46">
        <f t="shared" si="100"/>
        <v>0</v>
      </c>
      <c r="S1009" s="46" t="e">
        <f t="shared" si="101"/>
        <v>#VALUE!</v>
      </c>
      <c r="T1009" s="677">
        <f t="shared" si="102"/>
        <v>0</v>
      </c>
      <c r="U1009" s="80">
        <f>(IF(O1009="Stofire",(S1009*#REF!),0))+(IF(O1009="Fire Control",(S1009*$U$2),0))+(IF(O1009="Fire Tex",(S1009*$U$3),0))+(IF(O1009="WB7",(S1009*#REF!),0)+(IF(O1009="FX 2003",(S1009*$U$5),0)))</f>
        <v>0</v>
      </c>
      <c r="V1009" s="651">
        <f t="shared" si="103"/>
        <v>0</v>
      </c>
    </row>
    <row r="1010" spans="4:22" x14ac:dyDescent="0.25">
      <c r="D1010" s="118">
        <f>+CUBICACION!D1009</f>
        <v>0</v>
      </c>
      <c r="E1010" s="118">
        <f>+CUBICACION!F1009</f>
        <v>0</v>
      </c>
      <c r="F1010" s="118">
        <f>+CUBICACION!E1009</f>
        <v>0</v>
      </c>
      <c r="G1010" s="118">
        <v>12</v>
      </c>
      <c r="H1010" s="118">
        <v>2</v>
      </c>
      <c r="I1010" s="820">
        <v>26385</v>
      </c>
      <c r="J1010" s="118">
        <f>+CUBICACION!J1009</f>
        <v>0</v>
      </c>
      <c r="K1010" s="118">
        <v>3789</v>
      </c>
      <c r="L1010" s="118">
        <f>+CUBICACION!L1009</f>
        <v>0</v>
      </c>
      <c r="M1010" s="64">
        <f>+CUBICACION!M1009</f>
        <v>0</v>
      </c>
      <c r="N1010" s="824" t="str">
        <f>+CUBICACION!N1009</f>
        <v/>
      </c>
      <c r="O1010" s="675">
        <f>+CUBICACION!O1009</f>
        <v>0</v>
      </c>
      <c r="P1010" s="15">
        <f>IF(O1010="Fire Control",VLOOKUP(_xlfn.MINIFS('FIRE CONTROL'!$C$4:$C$37,'FIRE CONTROL'!$C$4:$C$37,"&gt;="&amp;M1010),'FIRE CONTROL'!$C$4:$G$37,IF(L1010="F-15",2,IF(L1010="F-30",3,IF(L1010="F-60",4,IF(L1010="F-90",5,0)))),0),0)+IF(AND(O1010="FIRE TEX 5062",OR(E1010="IN",E1010="C",E1010="Z",E1010="L"),J1010=3),VLOOKUP(_xlfn.MINIFS('FIRE TEX 5062'!$B$4:$B$34,'FIRE TEX 5062'!$B$4:$B$34,"&gt;="&amp;M1010),'FIRE TEX 5062'!$B$4:$F$34,IF(L1010="F-15",2,IF(L1010="F-30",3,IF(L1010="F-60",4,IF(L1010="F-90",5,0)))),0),0)+IF(AND(O1010="FIRE TEX 5062",OR(E1010="IN",E1010="C",E1010="Z",E1010="L"),J1010=4),VLOOKUP(_xlfn.MINIFS('FIRE TEX 5062'!$G$4:$G$34,'FIRE TEX 5062'!$G$4:$G$34,"&gt;="&amp;M1010),'FIRE TEX 5062'!$G$4:$K$34,IF(L1010="F-15",2,IF(L1010="F-30",3,IF(L1010="F-60",4,IF(L1010="F-90",5,0)))),0),0)+IF(AND(O1010="FIRE TEX 5062",E1010="CJ",J1010=3),VLOOKUP(_xlfn.MINIFS('FIRE TEX 5062'!$L$4:$L$34,'FIRE TEX 5062'!$L$4:$L$34,"&gt;="&amp;M1010),'FIRE TEX 5062'!$L$4:$P$34,IF(L1010="F-15",2,IF(L1010="F-30",3,IF(L1010="F-60",4,IF(L1010="F-90",5,0)))),0),0)+IF(AND(O1010="FIRE TEX 5062",E1010="CJ",J1010=4),VLOOKUP(_xlfn.MINIFS('FIRE TEX 5062'!$Q$3:$Q$34,'FIRE TEX 5062'!$Q$3:$Q$34,"&gt;="&amp;M1010),'FIRE TEX 5062'!$Q$3:$U$34,IF(L1010="F-15",2,IF(L1010="F-30",3,IF(L1010="F-60",4,IF(L1010="F-90",5,0)))),0),0)+IF(AND(O1010="FIRE TEX 5090",OR(E1010="IN",E1010="C",E1010="Z",E1010="L"),J1010=3),VLOOKUP(_xlfn.MINIFS('FIRE TEX 5090'!$B$5:$B$43,'FIRE TEX 5090'!$B$5:$B$43,"&gt;="&amp;M1010),'FIRE TEX 5090'!$B$5:$H$43,IF(L1010="F-15",2,IF(L1010="F-30",3,IF(L1010="F-60",4,IF(L1010="F-90",5,IF(L1010="F-120",6,IF(L1010="F-150",7,0)))))),0),0)+IF(AND(O1010="FIRE TEX 5090",OR(E1010="IN",E1010="C",E1010="Z",E1010="L"),J1010=4),VLOOKUP(_xlfn.MINIFS('FIRE TEX 5090'!$J$5:$J$43,'FIRE TEX 5090'!$J$5:$J$43,"&gt;="&amp;M1010),'FIRE TEX 5090'!$J$5:$P$43,IF(L1010="F-15",2,IF(L1010="F-30",3,IF(L1010="F-60",4,IF(L1010="F-90",5,IF(L1010="F-120",6,IF(L1010="F-150",7,0)))))),0),0)+IF(AND(O1010="FIRE TEX 5090",E1010="CJ",J1010=3),VLOOKUP(_xlfn.MINIFS('FIRE TEX 5090'!$R$5:$R$30,'FIRE TEX 5090'!$R$5:$R$30,"&gt;="&amp;M1010),'FIRE TEX 5090'!$R$5:$W$30,IF(L1010="F-15",2,IF(L1010="F-30",3,IF(L1010="F-60",4,IF(L1010="F-90",5,IF(L1010="F-120",6,IF(L1010="F-150",7,0)))))),0),0)+IF(AND(O1010="FIRE TEX 5090",E1010="CJ",J1010=4),VLOOKUP(_xlfn.MINIFS('FIRE TEX 5090'!$Y$5:$Y$39,'FIRE TEX 5090'!$Y$5:$Y$39,"&gt;="&amp;M1010),'FIRE TEX 5090'!$Y$5:$AD$39,IF(L1010="F-15",2,IF(L1010="F-30",3,IF(L1010="F-60",4,IF(L1010="F-90",5,IF(L1010="F-120",6,IF(L1010="F-150",7,0)))))),0),0)+IF(AND(O1010="FIRE TEX 5120",OR(E1010="IN",E1010="C",E1010="Z",E1010="L"),J1010=3),VLOOKUP(_xlfn.MINIFS('FIRE TEX 5120'!$B$5:$B$40,'FIRE TEX 5120'!$B$5:$B$40,"&gt;="&amp;M1010),'FIRE TEX 5120'!$B$5:$G$40,IF(L1010="F-15",2,IF(L1010="F-30",3,IF(L1010="F-60",4,IF(L1010="F-90",5,IF(L1010="F-120",6,0))))),0),0)+IF(AND(O1010="FIRE TEX 5120",OR(E1010="IN",E1010="C",E1010="Z",E1010="L"),J1010=4),VLOOKUP(_xlfn.MINIFS('FIRE TEX 5120'!$H$4:$H$40,'FIRE TEX 5120'!$H$4:$H$40,"&gt;="&amp;M1010),'FIRE TEX 5120'!$H$4:$M$40,IF(L1010="F-15",2,IF(L1010="F-30",3,IF(L1010="F-60",4,IF(L1010="F-90",5,IF(L1010="F-120",6,0))))),0),0)+IF(AND(O1010="FIRE TEX 5120",E1010="CJ"),VLOOKUP(_xlfn.MINIFS('FIRE TEX 5120'!$O$5:$O$40,'FIRE TEX 5120'!$O$5:$O$40,"&gt;="&amp;M1010),'FIRE TEX 5120'!$O$5:$T$40,IF(L1010="F-15",2,IF(L1010="F-30",3,IF(L1010="F-60",4,IF(L1010="F-90",5,IF(L1010="F-120",6,0))))),0),0)</f>
        <v>0</v>
      </c>
      <c r="Q1010" s="46">
        <f t="shared" si="99"/>
        <v>0</v>
      </c>
      <c r="R1010" s="46">
        <f t="shared" si="100"/>
        <v>0</v>
      </c>
      <c r="S1010" s="46" t="e">
        <f t="shared" si="101"/>
        <v>#VALUE!</v>
      </c>
      <c r="T1010" s="677">
        <f t="shared" si="102"/>
        <v>0</v>
      </c>
      <c r="U1010" s="80">
        <f>(IF(O1010="Stofire",(S1010*#REF!),0))+(IF(O1010="Fire Control",(S1010*$U$2),0))+(IF(O1010="Fire Tex",(S1010*$U$3),0))+(IF(O1010="WB7",(S1010*#REF!),0)+(IF(O1010="FX 2003",(S1010*$U$5),0)))</f>
        <v>0</v>
      </c>
      <c r="V1010" s="651">
        <f t="shared" si="103"/>
        <v>0</v>
      </c>
    </row>
    <row r="1011" spans="4:22" x14ac:dyDescent="0.25">
      <c r="D1011" s="118">
        <f>+CUBICACION!D1010</f>
        <v>0</v>
      </c>
      <c r="E1011" s="118">
        <f>+CUBICACION!F1010</f>
        <v>0</v>
      </c>
      <c r="F1011" s="118">
        <f>+CUBICACION!E1010</f>
        <v>0</v>
      </c>
      <c r="G1011" s="118">
        <v>12</v>
      </c>
      <c r="H1011" s="118">
        <v>2</v>
      </c>
      <c r="I1011" s="820">
        <v>26385</v>
      </c>
      <c r="J1011" s="118">
        <f>+CUBICACION!J1010</f>
        <v>0</v>
      </c>
      <c r="K1011" s="118">
        <v>3790</v>
      </c>
      <c r="L1011" s="118">
        <f>+CUBICACION!L1010</f>
        <v>0</v>
      </c>
      <c r="M1011" s="64">
        <f>+CUBICACION!M1010</f>
        <v>0</v>
      </c>
      <c r="N1011" s="824" t="str">
        <f>+CUBICACION!N1010</f>
        <v/>
      </c>
      <c r="O1011" s="675">
        <f>+CUBICACION!O1010</f>
        <v>0</v>
      </c>
      <c r="P1011" s="15">
        <f>IF(O1011="Fire Control",VLOOKUP(_xlfn.MINIFS('FIRE CONTROL'!$C$4:$C$37,'FIRE CONTROL'!$C$4:$C$37,"&gt;="&amp;M1011),'FIRE CONTROL'!$C$4:$G$37,IF(L1011="F-15",2,IF(L1011="F-30",3,IF(L1011="F-60",4,IF(L1011="F-90",5,0)))),0),0)+IF(AND(O1011="FIRE TEX 5062",OR(E1011="IN",E1011="C",E1011="Z",E1011="L"),J1011=3),VLOOKUP(_xlfn.MINIFS('FIRE TEX 5062'!$B$4:$B$34,'FIRE TEX 5062'!$B$4:$B$34,"&gt;="&amp;M1011),'FIRE TEX 5062'!$B$4:$F$34,IF(L1011="F-15",2,IF(L1011="F-30",3,IF(L1011="F-60",4,IF(L1011="F-90",5,0)))),0),0)+IF(AND(O1011="FIRE TEX 5062",OR(E1011="IN",E1011="C",E1011="Z",E1011="L"),J1011=4),VLOOKUP(_xlfn.MINIFS('FIRE TEX 5062'!$G$4:$G$34,'FIRE TEX 5062'!$G$4:$G$34,"&gt;="&amp;M1011),'FIRE TEX 5062'!$G$4:$K$34,IF(L1011="F-15",2,IF(L1011="F-30",3,IF(L1011="F-60",4,IF(L1011="F-90",5,0)))),0),0)+IF(AND(O1011="FIRE TEX 5062",E1011="CJ",J1011=3),VLOOKUP(_xlfn.MINIFS('FIRE TEX 5062'!$L$4:$L$34,'FIRE TEX 5062'!$L$4:$L$34,"&gt;="&amp;M1011),'FIRE TEX 5062'!$L$4:$P$34,IF(L1011="F-15",2,IF(L1011="F-30",3,IF(L1011="F-60",4,IF(L1011="F-90",5,0)))),0),0)+IF(AND(O1011="FIRE TEX 5062",E1011="CJ",J1011=4),VLOOKUP(_xlfn.MINIFS('FIRE TEX 5062'!$Q$3:$Q$34,'FIRE TEX 5062'!$Q$3:$Q$34,"&gt;="&amp;M1011),'FIRE TEX 5062'!$Q$3:$U$34,IF(L1011="F-15",2,IF(L1011="F-30",3,IF(L1011="F-60",4,IF(L1011="F-90",5,0)))),0),0)+IF(AND(O1011="FIRE TEX 5090",OR(E1011="IN",E1011="C",E1011="Z",E1011="L"),J1011=3),VLOOKUP(_xlfn.MINIFS('FIRE TEX 5090'!$B$5:$B$43,'FIRE TEX 5090'!$B$5:$B$43,"&gt;="&amp;M1011),'FIRE TEX 5090'!$B$5:$H$43,IF(L1011="F-15",2,IF(L1011="F-30",3,IF(L1011="F-60",4,IF(L1011="F-90",5,IF(L1011="F-120",6,IF(L1011="F-150",7,0)))))),0),0)+IF(AND(O1011="FIRE TEX 5090",OR(E1011="IN",E1011="C",E1011="Z",E1011="L"),J1011=4),VLOOKUP(_xlfn.MINIFS('FIRE TEX 5090'!$J$5:$J$43,'FIRE TEX 5090'!$J$5:$J$43,"&gt;="&amp;M1011),'FIRE TEX 5090'!$J$5:$P$43,IF(L1011="F-15",2,IF(L1011="F-30",3,IF(L1011="F-60",4,IF(L1011="F-90",5,IF(L1011="F-120",6,IF(L1011="F-150",7,0)))))),0),0)+IF(AND(O1011="FIRE TEX 5090",E1011="CJ",J1011=3),VLOOKUP(_xlfn.MINIFS('FIRE TEX 5090'!$R$5:$R$30,'FIRE TEX 5090'!$R$5:$R$30,"&gt;="&amp;M1011),'FIRE TEX 5090'!$R$5:$W$30,IF(L1011="F-15",2,IF(L1011="F-30",3,IF(L1011="F-60",4,IF(L1011="F-90",5,IF(L1011="F-120",6,IF(L1011="F-150",7,0)))))),0),0)+IF(AND(O1011="FIRE TEX 5090",E1011="CJ",J1011=4),VLOOKUP(_xlfn.MINIFS('FIRE TEX 5090'!$Y$5:$Y$39,'FIRE TEX 5090'!$Y$5:$Y$39,"&gt;="&amp;M1011),'FIRE TEX 5090'!$Y$5:$AD$39,IF(L1011="F-15",2,IF(L1011="F-30",3,IF(L1011="F-60",4,IF(L1011="F-90",5,IF(L1011="F-120",6,IF(L1011="F-150",7,0)))))),0),0)+IF(AND(O1011="FIRE TEX 5120",OR(E1011="IN",E1011="C",E1011="Z",E1011="L"),J1011=3),VLOOKUP(_xlfn.MINIFS('FIRE TEX 5120'!$B$5:$B$40,'FIRE TEX 5120'!$B$5:$B$40,"&gt;="&amp;M1011),'FIRE TEX 5120'!$B$5:$G$40,IF(L1011="F-15",2,IF(L1011="F-30",3,IF(L1011="F-60",4,IF(L1011="F-90",5,IF(L1011="F-120",6,0))))),0),0)+IF(AND(O1011="FIRE TEX 5120",OR(E1011="IN",E1011="C",E1011="Z",E1011="L"),J1011=4),VLOOKUP(_xlfn.MINIFS('FIRE TEX 5120'!$H$4:$H$40,'FIRE TEX 5120'!$H$4:$H$40,"&gt;="&amp;M1011),'FIRE TEX 5120'!$H$4:$M$40,IF(L1011="F-15",2,IF(L1011="F-30",3,IF(L1011="F-60",4,IF(L1011="F-90",5,IF(L1011="F-120",6,0))))),0),0)+IF(AND(O1011="FIRE TEX 5120",E1011="CJ"),VLOOKUP(_xlfn.MINIFS('FIRE TEX 5120'!$O$5:$O$40,'FIRE TEX 5120'!$O$5:$O$40,"&gt;="&amp;M1011),'FIRE TEX 5120'!$O$5:$T$40,IF(L1011="F-15",2,IF(L1011="F-30",3,IF(L1011="F-60",4,IF(L1011="F-90",5,IF(L1011="F-120",6,0))))),0),0)</f>
        <v>0</v>
      </c>
      <c r="Q1011" s="46">
        <f t="shared" si="99"/>
        <v>0</v>
      </c>
      <c r="R1011" s="46">
        <f t="shared" si="100"/>
        <v>0</v>
      </c>
      <c r="S1011" s="46" t="e">
        <f t="shared" si="101"/>
        <v>#VALUE!</v>
      </c>
      <c r="T1011" s="677">
        <f t="shared" si="102"/>
        <v>0</v>
      </c>
      <c r="U1011" s="80">
        <f>(IF(O1011="Stofire",(S1011*#REF!),0))+(IF(O1011="Fire Control",(S1011*$U$2),0))+(IF(O1011="Fire Tex",(S1011*$U$3),0))+(IF(O1011="WB7",(S1011*#REF!),0)+(IF(O1011="FX 2003",(S1011*$U$5),0)))</f>
        <v>0</v>
      </c>
      <c r="V1011" s="651">
        <f t="shared" si="103"/>
        <v>0</v>
      </c>
    </row>
    <row r="1012" spans="4:22" x14ac:dyDescent="0.25">
      <c r="D1012" s="118">
        <f>+CUBICACION!D1011</f>
        <v>0</v>
      </c>
      <c r="E1012" s="118">
        <f>+CUBICACION!F1011</f>
        <v>0</v>
      </c>
      <c r="F1012" s="118">
        <f>+CUBICACION!E1011</f>
        <v>0</v>
      </c>
      <c r="G1012" s="118">
        <v>12</v>
      </c>
      <c r="H1012" s="118">
        <v>2</v>
      </c>
      <c r="I1012" s="820">
        <v>26385</v>
      </c>
      <c r="J1012" s="118">
        <f>+CUBICACION!J1011</f>
        <v>0</v>
      </c>
      <c r="K1012" s="118">
        <v>3791</v>
      </c>
      <c r="L1012" s="118">
        <f>+CUBICACION!L1011</f>
        <v>0</v>
      </c>
      <c r="M1012" s="64">
        <f>+CUBICACION!M1011</f>
        <v>0</v>
      </c>
      <c r="N1012" s="824" t="str">
        <f>+CUBICACION!N1011</f>
        <v/>
      </c>
      <c r="O1012" s="675">
        <f>+CUBICACION!O1011</f>
        <v>0</v>
      </c>
      <c r="P1012" s="15">
        <f>IF(O1012="Fire Control",VLOOKUP(_xlfn.MINIFS('FIRE CONTROL'!$C$4:$C$37,'FIRE CONTROL'!$C$4:$C$37,"&gt;="&amp;M1012),'FIRE CONTROL'!$C$4:$G$37,IF(L1012="F-15",2,IF(L1012="F-30",3,IF(L1012="F-60",4,IF(L1012="F-90",5,0)))),0),0)+IF(AND(O1012="FIRE TEX 5062",OR(E1012="IN",E1012="C",E1012="Z",E1012="L"),J1012=3),VLOOKUP(_xlfn.MINIFS('FIRE TEX 5062'!$B$4:$B$34,'FIRE TEX 5062'!$B$4:$B$34,"&gt;="&amp;M1012),'FIRE TEX 5062'!$B$4:$F$34,IF(L1012="F-15",2,IF(L1012="F-30",3,IF(L1012="F-60",4,IF(L1012="F-90",5,0)))),0),0)+IF(AND(O1012="FIRE TEX 5062",OR(E1012="IN",E1012="C",E1012="Z",E1012="L"),J1012=4),VLOOKUP(_xlfn.MINIFS('FIRE TEX 5062'!$G$4:$G$34,'FIRE TEX 5062'!$G$4:$G$34,"&gt;="&amp;M1012),'FIRE TEX 5062'!$G$4:$K$34,IF(L1012="F-15",2,IF(L1012="F-30",3,IF(L1012="F-60",4,IF(L1012="F-90",5,0)))),0),0)+IF(AND(O1012="FIRE TEX 5062",E1012="CJ",J1012=3),VLOOKUP(_xlfn.MINIFS('FIRE TEX 5062'!$L$4:$L$34,'FIRE TEX 5062'!$L$4:$L$34,"&gt;="&amp;M1012),'FIRE TEX 5062'!$L$4:$P$34,IF(L1012="F-15",2,IF(L1012="F-30",3,IF(L1012="F-60",4,IF(L1012="F-90",5,0)))),0),0)+IF(AND(O1012="FIRE TEX 5062",E1012="CJ",J1012=4),VLOOKUP(_xlfn.MINIFS('FIRE TEX 5062'!$Q$3:$Q$34,'FIRE TEX 5062'!$Q$3:$Q$34,"&gt;="&amp;M1012),'FIRE TEX 5062'!$Q$3:$U$34,IF(L1012="F-15",2,IF(L1012="F-30",3,IF(L1012="F-60",4,IF(L1012="F-90",5,0)))),0),0)+IF(AND(O1012="FIRE TEX 5090",OR(E1012="IN",E1012="C",E1012="Z",E1012="L"),J1012=3),VLOOKUP(_xlfn.MINIFS('FIRE TEX 5090'!$B$5:$B$43,'FIRE TEX 5090'!$B$5:$B$43,"&gt;="&amp;M1012),'FIRE TEX 5090'!$B$5:$H$43,IF(L1012="F-15",2,IF(L1012="F-30",3,IF(L1012="F-60",4,IF(L1012="F-90",5,IF(L1012="F-120",6,IF(L1012="F-150",7,0)))))),0),0)+IF(AND(O1012="FIRE TEX 5090",OR(E1012="IN",E1012="C",E1012="Z",E1012="L"),J1012=4),VLOOKUP(_xlfn.MINIFS('FIRE TEX 5090'!$J$5:$J$43,'FIRE TEX 5090'!$J$5:$J$43,"&gt;="&amp;M1012),'FIRE TEX 5090'!$J$5:$P$43,IF(L1012="F-15",2,IF(L1012="F-30",3,IF(L1012="F-60",4,IF(L1012="F-90",5,IF(L1012="F-120",6,IF(L1012="F-150",7,0)))))),0),0)+IF(AND(O1012="FIRE TEX 5090",E1012="CJ",J1012=3),VLOOKUP(_xlfn.MINIFS('FIRE TEX 5090'!$R$5:$R$30,'FIRE TEX 5090'!$R$5:$R$30,"&gt;="&amp;M1012),'FIRE TEX 5090'!$R$5:$W$30,IF(L1012="F-15",2,IF(L1012="F-30",3,IF(L1012="F-60",4,IF(L1012="F-90",5,IF(L1012="F-120",6,IF(L1012="F-150",7,0)))))),0),0)+IF(AND(O1012="FIRE TEX 5090",E1012="CJ",J1012=4),VLOOKUP(_xlfn.MINIFS('FIRE TEX 5090'!$Y$5:$Y$39,'FIRE TEX 5090'!$Y$5:$Y$39,"&gt;="&amp;M1012),'FIRE TEX 5090'!$Y$5:$AD$39,IF(L1012="F-15",2,IF(L1012="F-30",3,IF(L1012="F-60",4,IF(L1012="F-90",5,IF(L1012="F-120",6,IF(L1012="F-150",7,0)))))),0),0)+IF(AND(O1012="FIRE TEX 5120",OR(E1012="IN",E1012="C",E1012="Z",E1012="L"),J1012=3),VLOOKUP(_xlfn.MINIFS('FIRE TEX 5120'!$B$5:$B$40,'FIRE TEX 5120'!$B$5:$B$40,"&gt;="&amp;M1012),'FIRE TEX 5120'!$B$5:$G$40,IF(L1012="F-15",2,IF(L1012="F-30",3,IF(L1012="F-60",4,IF(L1012="F-90",5,IF(L1012="F-120",6,0))))),0),0)+IF(AND(O1012="FIRE TEX 5120",OR(E1012="IN",E1012="C",E1012="Z",E1012="L"),J1012=4),VLOOKUP(_xlfn.MINIFS('FIRE TEX 5120'!$H$4:$H$40,'FIRE TEX 5120'!$H$4:$H$40,"&gt;="&amp;M1012),'FIRE TEX 5120'!$H$4:$M$40,IF(L1012="F-15",2,IF(L1012="F-30",3,IF(L1012="F-60",4,IF(L1012="F-90",5,IF(L1012="F-120",6,0))))),0),0)+IF(AND(O1012="FIRE TEX 5120",E1012="CJ"),VLOOKUP(_xlfn.MINIFS('FIRE TEX 5120'!$O$5:$O$40,'FIRE TEX 5120'!$O$5:$O$40,"&gt;="&amp;M1012),'FIRE TEX 5120'!$O$5:$T$40,IF(L1012="F-15",2,IF(L1012="F-30",3,IF(L1012="F-60",4,IF(L1012="F-90",5,IF(L1012="F-120",6,0))))),0),0)</f>
        <v>0</v>
      </c>
      <c r="Q1012" s="46">
        <f t="shared" si="99"/>
        <v>0</v>
      </c>
      <c r="R1012" s="46">
        <f t="shared" si="100"/>
        <v>0</v>
      </c>
      <c r="S1012" s="46" t="e">
        <f t="shared" si="101"/>
        <v>#VALUE!</v>
      </c>
      <c r="T1012" s="677">
        <f t="shared" si="102"/>
        <v>0</v>
      </c>
      <c r="U1012" s="80">
        <f>(IF(O1012="Stofire",(S1012*#REF!),0))+(IF(O1012="Fire Control",(S1012*$U$2),0))+(IF(O1012="Fire Tex",(S1012*$U$3),0))+(IF(O1012="WB7",(S1012*#REF!),0)+(IF(O1012="FX 2003",(S1012*$U$5),0)))</f>
        <v>0</v>
      </c>
      <c r="V1012" s="651">
        <f t="shared" si="103"/>
        <v>0</v>
      </c>
    </row>
    <row r="1013" spans="4:22" x14ac:dyDescent="0.25">
      <c r="D1013" s="118">
        <f>+CUBICACION!D1012</f>
        <v>0</v>
      </c>
      <c r="E1013" s="118">
        <f>+CUBICACION!F1012</f>
        <v>0</v>
      </c>
      <c r="F1013" s="118">
        <f>+CUBICACION!E1012</f>
        <v>0</v>
      </c>
      <c r="G1013" s="118">
        <v>12</v>
      </c>
      <c r="H1013" s="118">
        <v>2</v>
      </c>
      <c r="I1013" s="820">
        <v>26385</v>
      </c>
      <c r="J1013" s="118">
        <f>+CUBICACION!J1012</f>
        <v>0</v>
      </c>
      <c r="K1013" s="118">
        <v>3792</v>
      </c>
      <c r="L1013" s="118">
        <f>+CUBICACION!L1012</f>
        <v>0</v>
      </c>
      <c r="M1013" s="64">
        <f>+CUBICACION!M1012</f>
        <v>0</v>
      </c>
      <c r="N1013" s="824" t="str">
        <f>+CUBICACION!N1012</f>
        <v/>
      </c>
      <c r="O1013" s="675">
        <f>+CUBICACION!O1012</f>
        <v>0</v>
      </c>
      <c r="P1013" s="15">
        <f>IF(O1013="Fire Control",VLOOKUP(_xlfn.MINIFS('FIRE CONTROL'!$C$4:$C$37,'FIRE CONTROL'!$C$4:$C$37,"&gt;="&amp;M1013),'FIRE CONTROL'!$C$4:$G$37,IF(L1013="F-15",2,IF(L1013="F-30",3,IF(L1013="F-60",4,IF(L1013="F-90",5,0)))),0),0)+IF(AND(O1013="FIRE TEX 5062",OR(E1013="IN",E1013="C",E1013="Z",E1013="L"),J1013=3),VLOOKUP(_xlfn.MINIFS('FIRE TEX 5062'!$B$4:$B$34,'FIRE TEX 5062'!$B$4:$B$34,"&gt;="&amp;M1013),'FIRE TEX 5062'!$B$4:$F$34,IF(L1013="F-15",2,IF(L1013="F-30",3,IF(L1013="F-60",4,IF(L1013="F-90",5,0)))),0),0)+IF(AND(O1013="FIRE TEX 5062",OR(E1013="IN",E1013="C",E1013="Z",E1013="L"),J1013=4),VLOOKUP(_xlfn.MINIFS('FIRE TEX 5062'!$G$4:$G$34,'FIRE TEX 5062'!$G$4:$G$34,"&gt;="&amp;M1013),'FIRE TEX 5062'!$G$4:$K$34,IF(L1013="F-15",2,IF(L1013="F-30",3,IF(L1013="F-60",4,IF(L1013="F-90",5,0)))),0),0)+IF(AND(O1013="FIRE TEX 5062",E1013="CJ",J1013=3),VLOOKUP(_xlfn.MINIFS('FIRE TEX 5062'!$L$4:$L$34,'FIRE TEX 5062'!$L$4:$L$34,"&gt;="&amp;M1013),'FIRE TEX 5062'!$L$4:$P$34,IF(L1013="F-15",2,IF(L1013="F-30",3,IF(L1013="F-60",4,IF(L1013="F-90",5,0)))),0),0)+IF(AND(O1013="FIRE TEX 5062",E1013="CJ",J1013=4),VLOOKUP(_xlfn.MINIFS('FIRE TEX 5062'!$Q$3:$Q$34,'FIRE TEX 5062'!$Q$3:$Q$34,"&gt;="&amp;M1013),'FIRE TEX 5062'!$Q$3:$U$34,IF(L1013="F-15",2,IF(L1013="F-30",3,IF(L1013="F-60",4,IF(L1013="F-90",5,0)))),0),0)+IF(AND(O1013="FIRE TEX 5090",OR(E1013="IN",E1013="C",E1013="Z",E1013="L"),J1013=3),VLOOKUP(_xlfn.MINIFS('FIRE TEX 5090'!$B$5:$B$43,'FIRE TEX 5090'!$B$5:$B$43,"&gt;="&amp;M1013),'FIRE TEX 5090'!$B$5:$H$43,IF(L1013="F-15",2,IF(L1013="F-30",3,IF(L1013="F-60",4,IF(L1013="F-90",5,IF(L1013="F-120",6,IF(L1013="F-150",7,0)))))),0),0)+IF(AND(O1013="FIRE TEX 5090",OR(E1013="IN",E1013="C",E1013="Z",E1013="L"),J1013=4),VLOOKUP(_xlfn.MINIFS('FIRE TEX 5090'!$J$5:$J$43,'FIRE TEX 5090'!$J$5:$J$43,"&gt;="&amp;M1013),'FIRE TEX 5090'!$J$5:$P$43,IF(L1013="F-15",2,IF(L1013="F-30",3,IF(L1013="F-60",4,IF(L1013="F-90",5,IF(L1013="F-120",6,IF(L1013="F-150",7,0)))))),0),0)+IF(AND(O1013="FIRE TEX 5090",E1013="CJ",J1013=3),VLOOKUP(_xlfn.MINIFS('FIRE TEX 5090'!$R$5:$R$30,'FIRE TEX 5090'!$R$5:$R$30,"&gt;="&amp;M1013),'FIRE TEX 5090'!$R$5:$W$30,IF(L1013="F-15",2,IF(L1013="F-30",3,IF(L1013="F-60",4,IF(L1013="F-90",5,IF(L1013="F-120",6,IF(L1013="F-150",7,0)))))),0),0)+IF(AND(O1013="FIRE TEX 5090",E1013="CJ",J1013=4),VLOOKUP(_xlfn.MINIFS('FIRE TEX 5090'!$Y$5:$Y$39,'FIRE TEX 5090'!$Y$5:$Y$39,"&gt;="&amp;M1013),'FIRE TEX 5090'!$Y$5:$AD$39,IF(L1013="F-15",2,IF(L1013="F-30",3,IF(L1013="F-60",4,IF(L1013="F-90",5,IF(L1013="F-120",6,IF(L1013="F-150",7,0)))))),0),0)+IF(AND(O1013="FIRE TEX 5120",OR(E1013="IN",E1013="C",E1013="Z",E1013="L"),J1013=3),VLOOKUP(_xlfn.MINIFS('FIRE TEX 5120'!$B$5:$B$40,'FIRE TEX 5120'!$B$5:$B$40,"&gt;="&amp;M1013),'FIRE TEX 5120'!$B$5:$G$40,IF(L1013="F-15",2,IF(L1013="F-30",3,IF(L1013="F-60",4,IF(L1013="F-90",5,IF(L1013="F-120",6,0))))),0),0)+IF(AND(O1013="FIRE TEX 5120",OR(E1013="IN",E1013="C",E1013="Z",E1013="L"),J1013=4),VLOOKUP(_xlfn.MINIFS('FIRE TEX 5120'!$H$4:$H$40,'FIRE TEX 5120'!$H$4:$H$40,"&gt;="&amp;M1013),'FIRE TEX 5120'!$H$4:$M$40,IF(L1013="F-15",2,IF(L1013="F-30",3,IF(L1013="F-60",4,IF(L1013="F-90",5,IF(L1013="F-120",6,0))))),0),0)+IF(AND(O1013="FIRE TEX 5120",E1013="CJ"),VLOOKUP(_xlfn.MINIFS('FIRE TEX 5120'!$O$5:$O$40,'FIRE TEX 5120'!$O$5:$O$40,"&gt;="&amp;M1013),'FIRE TEX 5120'!$O$5:$T$40,IF(L1013="F-15",2,IF(L1013="F-30",3,IF(L1013="F-60",4,IF(L1013="F-90",5,IF(L1013="F-120",6,0))))),0),0)</f>
        <v>0</v>
      </c>
      <c r="Q1013" s="46">
        <f t="shared" si="99"/>
        <v>0</v>
      </c>
      <c r="R1013" s="46">
        <f t="shared" si="100"/>
        <v>0</v>
      </c>
      <c r="S1013" s="46" t="e">
        <f t="shared" si="101"/>
        <v>#VALUE!</v>
      </c>
      <c r="T1013" s="677">
        <f t="shared" si="102"/>
        <v>0</v>
      </c>
      <c r="U1013" s="80">
        <f>(IF(O1013="Stofire",(S1013*#REF!),0))+(IF(O1013="Fire Control",(S1013*$U$2),0))+(IF(O1013="Fire Tex",(S1013*$U$3),0))+(IF(O1013="WB7",(S1013*#REF!),0)+(IF(O1013="FX 2003",(S1013*$U$5),0)))</f>
        <v>0</v>
      </c>
      <c r="V1013" s="651">
        <f t="shared" si="103"/>
        <v>0</v>
      </c>
    </row>
    <row r="1014" spans="4:22" x14ac:dyDescent="0.25">
      <c r="D1014" s="118">
        <f>+CUBICACION!D1013</f>
        <v>0</v>
      </c>
      <c r="E1014" s="118">
        <f>+CUBICACION!F1013</f>
        <v>0</v>
      </c>
      <c r="F1014" s="118">
        <f>+CUBICACION!E1013</f>
        <v>0</v>
      </c>
      <c r="G1014" s="118">
        <v>12</v>
      </c>
      <c r="H1014" s="118">
        <v>2</v>
      </c>
      <c r="I1014" s="820">
        <v>26385</v>
      </c>
      <c r="J1014" s="118">
        <f>+CUBICACION!J1013</f>
        <v>0</v>
      </c>
      <c r="K1014" s="118">
        <v>3793</v>
      </c>
      <c r="L1014" s="118">
        <f>+CUBICACION!L1013</f>
        <v>0</v>
      </c>
      <c r="M1014" s="64">
        <f>+CUBICACION!M1013</f>
        <v>0</v>
      </c>
      <c r="N1014" s="824" t="str">
        <f>+CUBICACION!N1013</f>
        <v/>
      </c>
      <c r="O1014" s="675">
        <f>+CUBICACION!O1013</f>
        <v>0</v>
      </c>
      <c r="P1014" s="15">
        <f>IF(O1014="Fire Control",VLOOKUP(_xlfn.MINIFS('FIRE CONTROL'!$C$4:$C$37,'FIRE CONTROL'!$C$4:$C$37,"&gt;="&amp;M1014),'FIRE CONTROL'!$C$4:$G$37,IF(L1014="F-15",2,IF(L1014="F-30",3,IF(L1014="F-60",4,IF(L1014="F-90",5,0)))),0),0)+IF(AND(O1014="FIRE TEX 5062",OR(E1014="IN",E1014="C",E1014="Z",E1014="L"),J1014=3),VLOOKUP(_xlfn.MINIFS('FIRE TEX 5062'!$B$4:$B$34,'FIRE TEX 5062'!$B$4:$B$34,"&gt;="&amp;M1014),'FIRE TEX 5062'!$B$4:$F$34,IF(L1014="F-15",2,IF(L1014="F-30",3,IF(L1014="F-60",4,IF(L1014="F-90",5,0)))),0),0)+IF(AND(O1014="FIRE TEX 5062",OR(E1014="IN",E1014="C",E1014="Z",E1014="L"),J1014=4),VLOOKUP(_xlfn.MINIFS('FIRE TEX 5062'!$G$4:$G$34,'FIRE TEX 5062'!$G$4:$G$34,"&gt;="&amp;M1014),'FIRE TEX 5062'!$G$4:$K$34,IF(L1014="F-15",2,IF(L1014="F-30",3,IF(L1014="F-60",4,IF(L1014="F-90",5,0)))),0),0)+IF(AND(O1014="FIRE TEX 5062",E1014="CJ",J1014=3),VLOOKUP(_xlfn.MINIFS('FIRE TEX 5062'!$L$4:$L$34,'FIRE TEX 5062'!$L$4:$L$34,"&gt;="&amp;M1014),'FIRE TEX 5062'!$L$4:$P$34,IF(L1014="F-15",2,IF(L1014="F-30",3,IF(L1014="F-60",4,IF(L1014="F-90",5,0)))),0),0)+IF(AND(O1014="FIRE TEX 5062",E1014="CJ",J1014=4),VLOOKUP(_xlfn.MINIFS('FIRE TEX 5062'!$Q$3:$Q$34,'FIRE TEX 5062'!$Q$3:$Q$34,"&gt;="&amp;M1014),'FIRE TEX 5062'!$Q$3:$U$34,IF(L1014="F-15",2,IF(L1014="F-30",3,IF(L1014="F-60",4,IF(L1014="F-90",5,0)))),0),0)+IF(AND(O1014="FIRE TEX 5090",OR(E1014="IN",E1014="C",E1014="Z",E1014="L"),J1014=3),VLOOKUP(_xlfn.MINIFS('FIRE TEX 5090'!$B$5:$B$43,'FIRE TEX 5090'!$B$5:$B$43,"&gt;="&amp;M1014),'FIRE TEX 5090'!$B$5:$H$43,IF(L1014="F-15",2,IF(L1014="F-30",3,IF(L1014="F-60",4,IF(L1014="F-90",5,IF(L1014="F-120",6,IF(L1014="F-150",7,0)))))),0),0)+IF(AND(O1014="FIRE TEX 5090",OR(E1014="IN",E1014="C",E1014="Z",E1014="L"),J1014=4),VLOOKUP(_xlfn.MINIFS('FIRE TEX 5090'!$J$5:$J$43,'FIRE TEX 5090'!$J$5:$J$43,"&gt;="&amp;M1014),'FIRE TEX 5090'!$J$5:$P$43,IF(L1014="F-15",2,IF(L1014="F-30",3,IF(L1014="F-60",4,IF(L1014="F-90",5,IF(L1014="F-120",6,IF(L1014="F-150",7,0)))))),0),0)+IF(AND(O1014="FIRE TEX 5090",E1014="CJ",J1014=3),VLOOKUP(_xlfn.MINIFS('FIRE TEX 5090'!$R$5:$R$30,'FIRE TEX 5090'!$R$5:$R$30,"&gt;="&amp;M1014),'FIRE TEX 5090'!$R$5:$W$30,IF(L1014="F-15",2,IF(L1014="F-30",3,IF(L1014="F-60",4,IF(L1014="F-90",5,IF(L1014="F-120",6,IF(L1014="F-150",7,0)))))),0),0)+IF(AND(O1014="FIRE TEX 5090",E1014="CJ",J1014=4),VLOOKUP(_xlfn.MINIFS('FIRE TEX 5090'!$Y$5:$Y$39,'FIRE TEX 5090'!$Y$5:$Y$39,"&gt;="&amp;M1014),'FIRE TEX 5090'!$Y$5:$AD$39,IF(L1014="F-15",2,IF(L1014="F-30",3,IF(L1014="F-60",4,IF(L1014="F-90",5,IF(L1014="F-120",6,IF(L1014="F-150",7,0)))))),0),0)+IF(AND(O1014="FIRE TEX 5120",OR(E1014="IN",E1014="C",E1014="Z",E1014="L"),J1014=3),VLOOKUP(_xlfn.MINIFS('FIRE TEX 5120'!$B$5:$B$40,'FIRE TEX 5120'!$B$5:$B$40,"&gt;="&amp;M1014),'FIRE TEX 5120'!$B$5:$G$40,IF(L1014="F-15",2,IF(L1014="F-30",3,IF(L1014="F-60",4,IF(L1014="F-90",5,IF(L1014="F-120",6,0))))),0),0)+IF(AND(O1014="FIRE TEX 5120",OR(E1014="IN",E1014="C",E1014="Z",E1014="L"),J1014=4),VLOOKUP(_xlfn.MINIFS('FIRE TEX 5120'!$H$4:$H$40,'FIRE TEX 5120'!$H$4:$H$40,"&gt;="&amp;M1014),'FIRE TEX 5120'!$H$4:$M$40,IF(L1014="F-15",2,IF(L1014="F-30",3,IF(L1014="F-60",4,IF(L1014="F-90",5,IF(L1014="F-120",6,0))))),0),0)+IF(AND(O1014="FIRE TEX 5120",E1014="CJ"),VLOOKUP(_xlfn.MINIFS('FIRE TEX 5120'!$O$5:$O$40,'FIRE TEX 5120'!$O$5:$O$40,"&gt;="&amp;M1014),'FIRE TEX 5120'!$O$5:$T$40,IF(L1014="F-15",2,IF(L1014="F-30",3,IF(L1014="F-60",4,IF(L1014="F-90",5,IF(L1014="F-120",6,0))))),0),0)</f>
        <v>0</v>
      </c>
      <c r="Q1014" s="46">
        <f t="shared" si="99"/>
        <v>0</v>
      </c>
      <c r="R1014" s="46">
        <f t="shared" si="100"/>
        <v>0</v>
      </c>
      <c r="S1014" s="46" t="e">
        <f t="shared" si="101"/>
        <v>#VALUE!</v>
      </c>
      <c r="T1014" s="677">
        <f t="shared" si="102"/>
        <v>0</v>
      </c>
      <c r="U1014" s="80">
        <f>(IF(O1014="Stofire",(S1014*#REF!),0))+(IF(O1014="Fire Control",(S1014*$U$2),0))+(IF(O1014="Fire Tex",(S1014*$U$3),0))+(IF(O1014="WB7",(S1014*#REF!),0)+(IF(O1014="FX 2003",(S1014*$U$5),0)))</f>
        <v>0</v>
      </c>
      <c r="V1014" s="651">
        <f t="shared" si="103"/>
        <v>0</v>
      </c>
    </row>
    <row r="1015" spans="4:22" x14ac:dyDescent="0.25">
      <c r="D1015" s="118">
        <f>+CUBICACION!D1014</f>
        <v>0</v>
      </c>
      <c r="E1015" s="118">
        <f>+CUBICACION!F1014</f>
        <v>0</v>
      </c>
      <c r="F1015" s="118">
        <f>+CUBICACION!E1014</f>
        <v>0</v>
      </c>
      <c r="G1015" s="118">
        <v>12</v>
      </c>
      <c r="H1015" s="118">
        <v>2</v>
      </c>
      <c r="I1015" s="820">
        <v>26385</v>
      </c>
      <c r="J1015" s="118">
        <f>+CUBICACION!J1014</f>
        <v>0</v>
      </c>
      <c r="K1015" s="118">
        <v>3794</v>
      </c>
      <c r="L1015" s="118">
        <f>+CUBICACION!L1014</f>
        <v>0</v>
      </c>
      <c r="M1015" s="64">
        <f>+CUBICACION!M1014</f>
        <v>0</v>
      </c>
      <c r="N1015" s="824" t="str">
        <f>+CUBICACION!N1014</f>
        <v/>
      </c>
      <c r="O1015" s="675">
        <f>+CUBICACION!O1014</f>
        <v>0</v>
      </c>
      <c r="P1015" s="15">
        <f>IF(O1015="Fire Control",VLOOKUP(_xlfn.MINIFS('FIRE CONTROL'!$C$4:$C$37,'FIRE CONTROL'!$C$4:$C$37,"&gt;="&amp;M1015),'FIRE CONTROL'!$C$4:$G$37,IF(L1015="F-15",2,IF(L1015="F-30",3,IF(L1015="F-60",4,IF(L1015="F-90",5,0)))),0),0)+IF(AND(O1015="FIRE TEX 5062",OR(E1015="IN",E1015="C",E1015="Z",E1015="L"),J1015=3),VLOOKUP(_xlfn.MINIFS('FIRE TEX 5062'!$B$4:$B$34,'FIRE TEX 5062'!$B$4:$B$34,"&gt;="&amp;M1015),'FIRE TEX 5062'!$B$4:$F$34,IF(L1015="F-15",2,IF(L1015="F-30",3,IF(L1015="F-60",4,IF(L1015="F-90",5,0)))),0),0)+IF(AND(O1015="FIRE TEX 5062",OR(E1015="IN",E1015="C",E1015="Z",E1015="L"),J1015=4),VLOOKUP(_xlfn.MINIFS('FIRE TEX 5062'!$G$4:$G$34,'FIRE TEX 5062'!$G$4:$G$34,"&gt;="&amp;M1015),'FIRE TEX 5062'!$G$4:$K$34,IF(L1015="F-15",2,IF(L1015="F-30",3,IF(L1015="F-60",4,IF(L1015="F-90",5,0)))),0),0)+IF(AND(O1015="FIRE TEX 5062",E1015="CJ",J1015=3),VLOOKUP(_xlfn.MINIFS('FIRE TEX 5062'!$L$4:$L$34,'FIRE TEX 5062'!$L$4:$L$34,"&gt;="&amp;M1015),'FIRE TEX 5062'!$L$4:$P$34,IF(L1015="F-15",2,IF(L1015="F-30",3,IF(L1015="F-60",4,IF(L1015="F-90",5,0)))),0),0)+IF(AND(O1015="FIRE TEX 5062",E1015="CJ",J1015=4),VLOOKUP(_xlfn.MINIFS('FIRE TEX 5062'!$Q$3:$Q$34,'FIRE TEX 5062'!$Q$3:$Q$34,"&gt;="&amp;M1015),'FIRE TEX 5062'!$Q$3:$U$34,IF(L1015="F-15",2,IF(L1015="F-30",3,IF(L1015="F-60",4,IF(L1015="F-90",5,0)))),0),0)+IF(AND(O1015="FIRE TEX 5090",OR(E1015="IN",E1015="C",E1015="Z",E1015="L"),J1015=3),VLOOKUP(_xlfn.MINIFS('FIRE TEX 5090'!$B$5:$B$43,'FIRE TEX 5090'!$B$5:$B$43,"&gt;="&amp;M1015),'FIRE TEX 5090'!$B$5:$H$43,IF(L1015="F-15",2,IF(L1015="F-30",3,IF(L1015="F-60",4,IF(L1015="F-90",5,IF(L1015="F-120",6,IF(L1015="F-150",7,0)))))),0),0)+IF(AND(O1015="FIRE TEX 5090",OR(E1015="IN",E1015="C",E1015="Z",E1015="L"),J1015=4),VLOOKUP(_xlfn.MINIFS('FIRE TEX 5090'!$J$5:$J$43,'FIRE TEX 5090'!$J$5:$J$43,"&gt;="&amp;M1015),'FIRE TEX 5090'!$J$5:$P$43,IF(L1015="F-15",2,IF(L1015="F-30",3,IF(L1015="F-60",4,IF(L1015="F-90",5,IF(L1015="F-120",6,IF(L1015="F-150",7,0)))))),0),0)+IF(AND(O1015="FIRE TEX 5090",E1015="CJ",J1015=3),VLOOKUP(_xlfn.MINIFS('FIRE TEX 5090'!$R$5:$R$30,'FIRE TEX 5090'!$R$5:$R$30,"&gt;="&amp;M1015),'FIRE TEX 5090'!$R$5:$W$30,IF(L1015="F-15",2,IF(L1015="F-30",3,IF(L1015="F-60",4,IF(L1015="F-90",5,IF(L1015="F-120",6,IF(L1015="F-150",7,0)))))),0),0)+IF(AND(O1015="FIRE TEX 5090",E1015="CJ",J1015=4),VLOOKUP(_xlfn.MINIFS('FIRE TEX 5090'!$Y$5:$Y$39,'FIRE TEX 5090'!$Y$5:$Y$39,"&gt;="&amp;M1015),'FIRE TEX 5090'!$Y$5:$AD$39,IF(L1015="F-15",2,IF(L1015="F-30",3,IF(L1015="F-60",4,IF(L1015="F-90",5,IF(L1015="F-120",6,IF(L1015="F-150",7,0)))))),0),0)+IF(AND(O1015="FIRE TEX 5120",OR(E1015="IN",E1015="C",E1015="Z",E1015="L"),J1015=3),VLOOKUP(_xlfn.MINIFS('FIRE TEX 5120'!$B$5:$B$40,'FIRE TEX 5120'!$B$5:$B$40,"&gt;="&amp;M1015),'FIRE TEX 5120'!$B$5:$G$40,IF(L1015="F-15",2,IF(L1015="F-30",3,IF(L1015="F-60",4,IF(L1015="F-90",5,IF(L1015="F-120",6,0))))),0),0)+IF(AND(O1015="FIRE TEX 5120",OR(E1015="IN",E1015="C",E1015="Z",E1015="L"),J1015=4),VLOOKUP(_xlfn.MINIFS('FIRE TEX 5120'!$H$4:$H$40,'FIRE TEX 5120'!$H$4:$H$40,"&gt;="&amp;M1015),'FIRE TEX 5120'!$H$4:$M$40,IF(L1015="F-15",2,IF(L1015="F-30",3,IF(L1015="F-60",4,IF(L1015="F-90",5,IF(L1015="F-120",6,0))))),0),0)+IF(AND(O1015="FIRE TEX 5120",E1015="CJ"),VLOOKUP(_xlfn.MINIFS('FIRE TEX 5120'!$O$5:$O$40,'FIRE TEX 5120'!$O$5:$O$40,"&gt;="&amp;M1015),'FIRE TEX 5120'!$O$5:$T$40,IF(L1015="F-15",2,IF(L1015="F-30",3,IF(L1015="F-60",4,IF(L1015="F-90",5,IF(L1015="F-120",6,0))))),0),0)</f>
        <v>0</v>
      </c>
      <c r="Q1015" s="46">
        <f t="shared" si="99"/>
        <v>0</v>
      </c>
      <c r="R1015" s="46">
        <f t="shared" si="100"/>
        <v>0</v>
      </c>
      <c r="S1015" s="46" t="e">
        <f t="shared" si="101"/>
        <v>#VALUE!</v>
      </c>
      <c r="T1015" s="677">
        <f t="shared" si="102"/>
        <v>0</v>
      </c>
      <c r="U1015" s="80">
        <f>(IF(O1015="Stofire",(S1015*#REF!),0))+(IF(O1015="Fire Control",(S1015*$U$2),0))+(IF(O1015="Fire Tex",(S1015*$U$3),0))+(IF(O1015="WB7",(S1015*#REF!),0)+(IF(O1015="FX 2003",(S1015*$U$5),0)))</f>
        <v>0</v>
      </c>
      <c r="V1015" s="651">
        <f t="shared" si="103"/>
        <v>0</v>
      </c>
    </row>
    <row r="1016" spans="4:22" x14ac:dyDescent="0.25">
      <c r="D1016" s="118">
        <f>+CUBICACION!D1015</f>
        <v>0</v>
      </c>
      <c r="E1016" s="118">
        <f>+CUBICACION!F1015</f>
        <v>0</v>
      </c>
      <c r="F1016" s="118">
        <f>+CUBICACION!E1015</f>
        <v>0</v>
      </c>
      <c r="G1016" s="118">
        <v>12</v>
      </c>
      <c r="H1016" s="118">
        <v>2</v>
      </c>
      <c r="I1016" s="820">
        <v>26385</v>
      </c>
      <c r="J1016" s="118">
        <f>+CUBICACION!J1015</f>
        <v>0</v>
      </c>
      <c r="K1016" s="118">
        <v>3795</v>
      </c>
      <c r="L1016" s="118">
        <f>+CUBICACION!L1015</f>
        <v>0</v>
      </c>
      <c r="M1016" s="64">
        <f>+CUBICACION!M1015</f>
        <v>0</v>
      </c>
      <c r="N1016" s="824" t="str">
        <f>+CUBICACION!N1015</f>
        <v/>
      </c>
      <c r="O1016" s="675">
        <f>+CUBICACION!O1015</f>
        <v>0</v>
      </c>
      <c r="P1016" s="15">
        <f>IF(O1016="Fire Control",VLOOKUP(_xlfn.MINIFS('FIRE CONTROL'!$C$4:$C$37,'FIRE CONTROL'!$C$4:$C$37,"&gt;="&amp;M1016),'FIRE CONTROL'!$C$4:$G$37,IF(L1016="F-15",2,IF(L1016="F-30",3,IF(L1016="F-60",4,IF(L1016="F-90",5,0)))),0),0)+IF(AND(O1016="FIRE TEX 5062",OR(E1016="IN",E1016="C",E1016="Z",E1016="L"),J1016=3),VLOOKUP(_xlfn.MINIFS('FIRE TEX 5062'!$B$4:$B$34,'FIRE TEX 5062'!$B$4:$B$34,"&gt;="&amp;M1016),'FIRE TEX 5062'!$B$4:$F$34,IF(L1016="F-15",2,IF(L1016="F-30",3,IF(L1016="F-60",4,IF(L1016="F-90",5,0)))),0),0)+IF(AND(O1016="FIRE TEX 5062",OR(E1016="IN",E1016="C",E1016="Z",E1016="L"),J1016=4),VLOOKUP(_xlfn.MINIFS('FIRE TEX 5062'!$G$4:$G$34,'FIRE TEX 5062'!$G$4:$G$34,"&gt;="&amp;M1016),'FIRE TEX 5062'!$G$4:$K$34,IF(L1016="F-15",2,IF(L1016="F-30",3,IF(L1016="F-60",4,IF(L1016="F-90",5,0)))),0),0)+IF(AND(O1016="FIRE TEX 5062",E1016="CJ",J1016=3),VLOOKUP(_xlfn.MINIFS('FIRE TEX 5062'!$L$4:$L$34,'FIRE TEX 5062'!$L$4:$L$34,"&gt;="&amp;M1016),'FIRE TEX 5062'!$L$4:$P$34,IF(L1016="F-15",2,IF(L1016="F-30",3,IF(L1016="F-60",4,IF(L1016="F-90",5,0)))),0),0)+IF(AND(O1016="FIRE TEX 5062",E1016="CJ",J1016=4),VLOOKUP(_xlfn.MINIFS('FIRE TEX 5062'!$Q$3:$Q$34,'FIRE TEX 5062'!$Q$3:$Q$34,"&gt;="&amp;M1016),'FIRE TEX 5062'!$Q$3:$U$34,IF(L1016="F-15",2,IF(L1016="F-30",3,IF(L1016="F-60",4,IF(L1016="F-90",5,0)))),0),0)+IF(AND(O1016="FIRE TEX 5090",OR(E1016="IN",E1016="C",E1016="Z",E1016="L"),J1016=3),VLOOKUP(_xlfn.MINIFS('FIRE TEX 5090'!$B$5:$B$43,'FIRE TEX 5090'!$B$5:$B$43,"&gt;="&amp;M1016),'FIRE TEX 5090'!$B$5:$H$43,IF(L1016="F-15",2,IF(L1016="F-30",3,IF(L1016="F-60",4,IF(L1016="F-90",5,IF(L1016="F-120",6,IF(L1016="F-150",7,0)))))),0),0)+IF(AND(O1016="FIRE TEX 5090",OR(E1016="IN",E1016="C",E1016="Z",E1016="L"),J1016=4),VLOOKUP(_xlfn.MINIFS('FIRE TEX 5090'!$J$5:$J$43,'FIRE TEX 5090'!$J$5:$J$43,"&gt;="&amp;M1016),'FIRE TEX 5090'!$J$5:$P$43,IF(L1016="F-15",2,IF(L1016="F-30",3,IF(L1016="F-60",4,IF(L1016="F-90",5,IF(L1016="F-120",6,IF(L1016="F-150",7,0)))))),0),0)+IF(AND(O1016="FIRE TEX 5090",E1016="CJ",J1016=3),VLOOKUP(_xlfn.MINIFS('FIRE TEX 5090'!$R$5:$R$30,'FIRE TEX 5090'!$R$5:$R$30,"&gt;="&amp;M1016),'FIRE TEX 5090'!$R$5:$W$30,IF(L1016="F-15",2,IF(L1016="F-30",3,IF(L1016="F-60",4,IF(L1016="F-90",5,IF(L1016="F-120",6,IF(L1016="F-150",7,0)))))),0),0)+IF(AND(O1016="FIRE TEX 5090",E1016="CJ",J1016=4),VLOOKUP(_xlfn.MINIFS('FIRE TEX 5090'!$Y$5:$Y$39,'FIRE TEX 5090'!$Y$5:$Y$39,"&gt;="&amp;M1016),'FIRE TEX 5090'!$Y$5:$AD$39,IF(L1016="F-15",2,IF(L1016="F-30",3,IF(L1016="F-60",4,IF(L1016="F-90",5,IF(L1016="F-120",6,IF(L1016="F-150",7,0)))))),0),0)+IF(AND(O1016="FIRE TEX 5120",OR(E1016="IN",E1016="C",E1016="Z",E1016="L"),J1016=3),VLOOKUP(_xlfn.MINIFS('FIRE TEX 5120'!$B$5:$B$40,'FIRE TEX 5120'!$B$5:$B$40,"&gt;="&amp;M1016),'FIRE TEX 5120'!$B$5:$G$40,IF(L1016="F-15",2,IF(L1016="F-30",3,IF(L1016="F-60",4,IF(L1016="F-90",5,IF(L1016="F-120",6,0))))),0),0)+IF(AND(O1016="FIRE TEX 5120",OR(E1016="IN",E1016="C",E1016="Z",E1016="L"),J1016=4),VLOOKUP(_xlfn.MINIFS('FIRE TEX 5120'!$H$4:$H$40,'FIRE TEX 5120'!$H$4:$H$40,"&gt;="&amp;M1016),'FIRE TEX 5120'!$H$4:$M$40,IF(L1016="F-15",2,IF(L1016="F-30",3,IF(L1016="F-60",4,IF(L1016="F-90",5,IF(L1016="F-120",6,0))))),0),0)+IF(AND(O1016="FIRE TEX 5120",E1016="CJ"),VLOOKUP(_xlfn.MINIFS('FIRE TEX 5120'!$O$5:$O$40,'FIRE TEX 5120'!$O$5:$O$40,"&gt;="&amp;M1016),'FIRE TEX 5120'!$O$5:$T$40,IF(L1016="F-15",2,IF(L1016="F-30",3,IF(L1016="F-60",4,IF(L1016="F-90",5,IF(L1016="F-120",6,0))))),0),0)</f>
        <v>0</v>
      </c>
      <c r="Q1016" s="46">
        <f t="shared" si="99"/>
        <v>0</v>
      </c>
      <c r="R1016" s="46">
        <f t="shared" si="100"/>
        <v>0</v>
      </c>
      <c r="S1016" s="46" t="e">
        <f t="shared" si="101"/>
        <v>#VALUE!</v>
      </c>
      <c r="T1016" s="677">
        <f t="shared" si="102"/>
        <v>0</v>
      </c>
      <c r="U1016" s="80">
        <f>(IF(O1016="Stofire",(S1016*#REF!),0))+(IF(O1016="Fire Control",(S1016*$U$2),0))+(IF(O1016="Fire Tex",(S1016*$U$3),0))+(IF(O1016="WB7",(S1016*#REF!),0)+(IF(O1016="FX 2003",(S1016*$U$5),0)))</f>
        <v>0</v>
      </c>
      <c r="V1016" s="651">
        <f t="shared" si="103"/>
        <v>0</v>
      </c>
    </row>
    <row r="1017" spans="4:22" x14ac:dyDescent="0.25">
      <c r="D1017" s="118">
        <f>+CUBICACION!D1016</f>
        <v>0</v>
      </c>
      <c r="E1017" s="118">
        <f>+CUBICACION!F1016</f>
        <v>0</v>
      </c>
      <c r="F1017" s="118">
        <f>+CUBICACION!E1016</f>
        <v>0</v>
      </c>
      <c r="G1017" s="118">
        <v>12</v>
      </c>
      <c r="H1017" s="118">
        <v>2</v>
      </c>
      <c r="I1017" s="820">
        <v>26385</v>
      </c>
      <c r="J1017" s="118">
        <f>+CUBICACION!J1016</f>
        <v>0</v>
      </c>
      <c r="K1017" s="118">
        <v>3796</v>
      </c>
      <c r="L1017" s="118">
        <f>+CUBICACION!L1016</f>
        <v>0</v>
      </c>
      <c r="M1017" s="64">
        <f>+CUBICACION!M1016</f>
        <v>0</v>
      </c>
      <c r="N1017" s="824" t="str">
        <f>+CUBICACION!N1016</f>
        <v/>
      </c>
      <c r="O1017" s="675">
        <f>+CUBICACION!O1016</f>
        <v>0</v>
      </c>
      <c r="P1017" s="15">
        <f>IF(O1017="Fire Control",VLOOKUP(_xlfn.MINIFS('FIRE CONTROL'!$C$4:$C$37,'FIRE CONTROL'!$C$4:$C$37,"&gt;="&amp;M1017),'FIRE CONTROL'!$C$4:$G$37,IF(L1017="F-15",2,IF(L1017="F-30",3,IF(L1017="F-60",4,IF(L1017="F-90",5,0)))),0),0)+IF(AND(O1017="FIRE TEX 5062",OR(E1017="IN",E1017="C",E1017="Z",E1017="L"),J1017=3),VLOOKUP(_xlfn.MINIFS('FIRE TEX 5062'!$B$4:$B$34,'FIRE TEX 5062'!$B$4:$B$34,"&gt;="&amp;M1017),'FIRE TEX 5062'!$B$4:$F$34,IF(L1017="F-15",2,IF(L1017="F-30",3,IF(L1017="F-60",4,IF(L1017="F-90",5,0)))),0),0)+IF(AND(O1017="FIRE TEX 5062",OR(E1017="IN",E1017="C",E1017="Z",E1017="L"),J1017=4),VLOOKUP(_xlfn.MINIFS('FIRE TEX 5062'!$G$4:$G$34,'FIRE TEX 5062'!$G$4:$G$34,"&gt;="&amp;M1017),'FIRE TEX 5062'!$G$4:$K$34,IF(L1017="F-15",2,IF(L1017="F-30",3,IF(L1017="F-60",4,IF(L1017="F-90",5,0)))),0),0)+IF(AND(O1017="FIRE TEX 5062",E1017="CJ",J1017=3),VLOOKUP(_xlfn.MINIFS('FIRE TEX 5062'!$L$4:$L$34,'FIRE TEX 5062'!$L$4:$L$34,"&gt;="&amp;M1017),'FIRE TEX 5062'!$L$4:$P$34,IF(L1017="F-15",2,IF(L1017="F-30",3,IF(L1017="F-60",4,IF(L1017="F-90",5,0)))),0),0)+IF(AND(O1017="FIRE TEX 5062",E1017="CJ",J1017=4),VLOOKUP(_xlfn.MINIFS('FIRE TEX 5062'!$Q$3:$Q$34,'FIRE TEX 5062'!$Q$3:$Q$34,"&gt;="&amp;M1017),'FIRE TEX 5062'!$Q$3:$U$34,IF(L1017="F-15",2,IF(L1017="F-30",3,IF(L1017="F-60",4,IF(L1017="F-90",5,0)))),0),0)+IF(AND(O1017="FIRE TEX 5090",OR(E1017="IN",E1017="C",E1017="Z",E1017="L"),J1017=3),VLOOKUP(_xlfn.MINIFS('FIRE TEX 5090'!$B$5:$B$43,'FIRE TEX 5090'!$B$5:$B$43,"&gt;="&amp;M1017),'FIRE TEX 5090'!$B$5:$H$43,IF(L1017="F-15",2,IF(L1017="F-30",3,IF(L1017="F-60",4,IF(L1017="F-90",5,IF(L1017="F-120",6,IF(L1017="F-150",7,0)))))),0),0)+IF(AND(O1017="FIRE TEX 5090",OR(E1017="IN",E1017="C",E1017="Z",E1017="L"),J1017=4),VLOOKUP(_xlfn.MINIFS('FIRE TEX 5090'!$J$5:$J$43,'FIRE TEX 5090'!$J$5:$J$43,"&gt;="&amp;M1017),'FIRE TEX 5090'!$J$5:$P$43,IF(L1017="F-15",2,IF(L1017="F-30",3,IF(L1017="F-60",4,IF(L1017="F-90",5,IF(L1017="F-120",6,IF(L1017="F-150",7,0)))))),0),0)+IF(AND(O1017="FIRE TEX 5090",E1017="CJ",J1017=3),VLOOKUP(_xlfn.MINIFS('FIRE TEX 5090'!$R$5:$R$30,'FIRE TEX 5090'!$R$5:$R$30,"&gt;="&amp;M1017),'FIRE TEX 5090'!$R$5:$W$30,IF(L1017="F-15",2,IF(L1017="F-30",3,IF(L1017="F-60",4,IF(L1017="F-90",5,IF(L1017="F-120",6,IF(L1017="F-150",7,0)))))),0),0)+IF(AND(O1017="FIRE TEX 5090",E1017="CJ",J1017=4),VLOOKUP(_xlfn.MINIFS('FIRE TEX 5090'!$Y$5:$Y$39,'FIRE TEX 5090'!$Y$5:$Y$39,"&gt;="&amp;M1017),'FIRE TEX 5090'!$Y$5:$AD$39,IF(L1017="F-15",2,IF(L1017="F-30",3,IF(L1017="F-60",4,IF(L1017="F-90",5,IF(L1017="F-120",6,IF(L1017="F-150",7,0)))))),0),0)+IF(AND(O1017="FIRE TEX 5120",OR(E1017="IN",E1017="C",E1017="Z",E1017="L"),J1017=3),VLOOKUP(_xlfn.MINIFS('FIRE TEX 5120'!$B$5:$B$40,'FIRE TEX 5120'!$B$5:$B$40,"&gt;="&amp;M1017),'FIRE TEX 5120'!$B$5:$G$40,IF(L1017="F-15",2,IF(L1017="F-30",3,IF(L1017="F-60",4,IF(L1017="F-90",5,IF(L1017="F-120",6,0))))),0),0)+IF(AND(O1017="FIRE TEX 5120",OR(E1017="IN",E1017="C",E1017="Z",E1017="L"),J1017=4),VLOOKUP(_xlfn.MINIFS('FIRE TEX 5120'!$H$4:$H$40,'FIRE TEX 5120'!$H$4:$H$40,"&gt;="&amp;M1017),'FIRE TEX 5120'!$H$4:$M$40,IF(L1017="F-15",2,IF(L1017="F-30",3,IF(L1017="F-60",4,IF(L1017="F-90",5,IF(L1017="F-120",6,0))))),0),0)+IF(AND(O1017="FIRE TEX 5120",E1017="CJ"),VLOOKUP(_xlfn.MINIFS('FIRE TEX 5120'!$O$5:$O$40,'FIRE TEX 5120'!$O$5:$O$40,"&gt;="&amp;M1017),'FIRE TEX 5120'!$O$5:$T$40,IF(L1017="F-15",2,IF(L1017="F-30",3,IF(L1017="F-60",4,IF(L1017="F-90",5,IF(L1017="F-120",6,0))))),0),0)</f>
        <v>0</v>
      </c>
      <c r="Q1017" s="46">
        <f t="shared" si="99"/>
        <v>0</v>
      </c>
      <c r="R1017" s="46">
        <f t="shared" si="100"/>
        <v>0</v>
      </c>
      <c r="S1017" s="46" t="e">
        <f t="shared" si="101"/>
        <v>#VALUE!</v>
      </c>
      <c r="T1017" s="677">
        <f t="shared" si="102"/>
        <v>0</v>
      </c>
      <c r="U1017" s="80">
        <f>(IF(O1017="Stofire",(S1017*#REF!),0))+(IF(O1017="Fire Control",(S1017*$U$2),0))+(IF(O1017="Fire Tex",(S1017*$U$3),0))+(IF(O1017="WB7",(S1017*#REF!),0)+(IF(O1017="FX 2003",(S1017*$U$5),0)))</f>
        <v>0</v>
      </c>
      <c r="V1017" s="651">
        <f t="shared" si="103"/>
        <v>0</v>
      </c>
    </row>
    <row r="1018" spans="4:22" x14ac:dyDescent="0.25">
      <c r="D1018" s="118">
        <f>+CUBICACION!D1017</f>
        <v>0</v>
      </c>
      <c r="E1018" s="118">
        <f>+CUBICACION!F1017</f>
        <v>0</v>
      </c>
      <c r="F1018" s="118">
        <f>+CUBICACION!E1017</f>
        <v>0</v>
      </c>
      <c r="G1018" s="118">
        <v>12</v>
      </c>
      <c r="H1018" s="118">
        <v>2</v>
      </c>
      <c r="I1018" s="820">
        <v>26385</v>
      </c>
      <c r="J1018" s="118">
        <f>+CUBICACION!J1017</f>
        <v>0</v>
      </c>
      <c r="K1018" s="118">
        <v>3797</v>
      </c>
      <c r="L1018" s="118">
        <f>+CUBICACION!L1017</f>
        <v>0</v>
      </c>
      <c r="M1018" s="64">
        <f>+CUBICACION!M1017</f>
        <v>0</v>
      </c>
      <c r="N1018" s="824" t="str">
        <f>+CUBICACION!N1017</f>
        <v/>
      </c>
      <c r="O1018" s="675">
        <f>+CUBICACION!O1017</f>
        <v>0</v>
      </c>
      <c r="P1018" s="15">
        <f>IF(O1018="Fire Control",VLOOKUP(_xlfn.MINIFS('FIRE CONTROL'!$C$4:$C$37,'FIRE CONTROL'!$C$4:$C$37,"&gt;="&amp;M1018),'FIRE CONTROL'!$C$4:$G$37,IF(L1018="F-15",2,IF(L1018="F-30",3,IF(L1018="F-60",4,IF(L1018="F-90",5,0)))),0),0)+IF(AND(O1018="FIRE TEX 5062",OR(E1018="IN",E1018="C",E1018="Z",E1018="L"),J1018=3),VLOOKUP(_xlfn.MINIFS('FIRE TEX 5062'!$B$4:$B$34,'FIRE TEX 5062'!$B$4:$B$34,"&gt;="&amp;M1018),'FIRE TEX 5062'!$B$4:$F$34,IF(L1018="F-15",2,IF(L1018="F-30",3,IF(L1018="F-60",4,IF(L1018="F-90",5,0)))),0),0)+IF(AND(O1018="FIRE TEX 5062",OR(E1018="IN",E1018="C",E1018="Z",E1018="L"),J1018=4),VLOOKUP(_xlfn.MINIFS('FIRE TEX 5062'!$G$4:$G$34,'FIRE TEX 5062'!$G$4:$G$34,"&gt;="&amp;M1018),'FIRE TEX 5062'!$G$4:$K$34,IF(L1018="F-15",2,IF(L1018="F-30",3,IF(L1018="F-60",4,IF(L1018="F-90",5,0)))),0),0)+IF(AND(O1018="FIRE TEX 5062",E1018="CJ",J1018=3),VLOOKUP(_xlfn.MINIFS('FIRE TEX 5062'!$L$4:$L$34,'FIRE TEX 5062'!$L$4:$L$34,"&gt;="&amp;M1018),'FIRE TEX 5062'!$L$4:$P$34,IF(L1018="F-15",2,IF(L1018="F-30",3,IF(L1018="F-60",4,IF(L1018="F-90",5,0)))),0),0)+IF(AND(O1018="FIRE TEX 5062",E1018="CJ",J1018=4),VLOOKUP(_xlfn.MINIFS('FIRE TEX 5062'!$Q$3:$Q$34,'FIRE TEX 5062'!$Q$3:$Q$34,"&gt;="&amp;M1018),'FIRE TEX 5062'!$Q$3:$U$34,IF(L1018="F-15",2,IF(L1018="F-30",3,IF(L1018="F-60",4,IF(L1018="F-90",5,0)))),0),0)+IF(AND(O1018="FIRE TEX 5090",OR(E1018="IN",E1018="C",E1018="Z",E1018="L"),J1018=3),VLOOKUP(_xlfn.MINIFS('FIRE TEX 5090'!$B$5:$B$43,'FIRE TEX 5090'!$B$5:$B$43,"&gt;="&amp;M1018),'FIRE TEX 5090'!$B$5:$H$43,IF(L1018="F-15",2,IF(L1018="F-30",3,IF(L1018="F-60",4,IF(L1018="F-90",5,IF(L1018="F-120",6,IF(L1018="F-150",7,0)))))),0),0)+IF(AND(O1018="FIRE TEX 5090",OR(E1018="IN",E1018="C",E1018="Z",E1018="L"),J1018=4),VLOOKUP(_xlfn.MINIFS('FIRE TEX 5090'!$J$5:$J$43,'FIRE TEX 5090'!$J$5:$J$43,"&gt;="&amp;M1018),'FIRE TEX 5090'!$J$5:$P$43,IF(L1018="F-15",2,IF(L1018="F-30",3,IF(L1018="F-60",4,IF(L1018="F-90",5,IF(L1018="F-120",6,IF(L1018="F-150",7,0)))))),0),0)+IF(AND(O1018="FIRE TEX 5090",E1018="CJ",J1018=3),VLOOKUP(_xlfn.MINIFS('FIRE TEX 5090'!$R$5:$R$30,'FIRE TEX 5090'!$R$5:$R$30,"&gt;="&amp;M1018),'FIRE TEX 5090'!$R$5:$W$30,IF(L1018="F-15",2,IF(L1018="F-30",3,IF(L1018="F-60",4,IF(L1018="F-90",5,IF(L1018="F-120",6,IF(L1018="F-150",7,0)))))),0),0)+IF(AND(O1018="FIRE TEX 5090",E1018="CJ",J1018=4),VLOOKUP(_xlfn.MINIFS('FIRE TEX 5090'!$Y$5:$Y$39,'FIRE TEX 5090'!$Y$5:$Y$39,"&gt;="&amp;M1018),'FIRE TEX 5090'!$Y$5:$AD$39,IF(L1018="F-15",2,IF(L1018="F-30",3,IF(L1018="F-60",4,IF(L1018="F-90",5,IF(L1018="F-120",6,IF(L1018="F-150",7,0)))))),0),0)+IF(AND(O1018="FIRE TEX 5120",OR(E1018="IN",E1018="C",E1018="Z",E1018="L"),J1018=3),VLOOKUP(_xlfn.MINIFS('FIRE TEX 5120'!$B$5:$B$40,'FIRE TEX 5120'!$B$5:$B$40,"&gt;="&amp;M1018),'FIRE TEX 5120'!$B$5:$G$40,IF(L1018="F-15",2,IF(L1018="F-30",3,IF(L1018="F-60",4,IF(L1018="F-90",5,IF(L1018="F-120",6,0))))),0),0)+IF(AND(O1018="FIRE TEX 5120",OR(E1018="IN",E1018="C",E1018="Z",E1018="L"),J1018=4),VLOOKUP(_xlfn.MINIFS('FIRE TEX 5120'!$H$4:$H$40,'FIRE TEX 5120'!$H$4:$H$40,"&gt;="&amp;M1018),'FIRE TEX 5120'!$H$4:$M$40,IF(L1018="F-15",2,IF(L1018="F-30",3,IF(L1018="F-60",4,IF(L1018="F-90",5,IF(L1018="F-120",6,0))))),0),0)+IF(AND(O1018="FIRE TEX 5120",E1018="CJ"),VLOOKUP(_xlfn.MINIFS('FIRE TEX 5120'!$O$5:$O$40,'FIRE TEX 5120'!$O$5:$O$40,"&gt;="&amp;M1018),'FIRE TEX 5120'!$O$5:$T$40,IF(L1018="F-15",2,IF(L1018="F-30",3,IF(L1018="F-60",4,IF(L1018="F-90",5,IF(L1018="F-120",6,0))))),0),0)</f>
        <v>0</v>
      </c>
      <c r="Q1018" s="46">
        <f t="shared" si="99"/>
        <v>0</v>
      </c>
      <c r="R1018" s="46">
        <f t="shared" si="100"/>
        <v>0</v>
      </c>
      <c r="S1018" s="46" t="e">
        <f t="shared" si="101"/>
        <v>#VALUE!</v>
      </c>
      <c r="T1018" s="677">
        <f t="shared" si="102"/>
        <v>0</v>
      </c>
      <c r="U1018" s="80">
        <f>(IF(O1018="Stofire",(S1018*#REF!),0))+(IF(O1018="Fire Control",(S1018*$U$2),0))+(IF(O1018="Fire Tex",(S1018*$U$3),0))+(IF(O1018="WB7",(S1018*#REF!),0)+(IF(O1018="FX 2003",(S1018*$U$5),0)))</f>
        <v>0</v>
      </c>
      <c r="V1018" s="651">
        <f t="shared" si="103"/>
        <v>0</v>
      </c>
    </row>
    <row r="1019" spans="4:22" x14ac:dyDescent="0.25">
      <c r="D1019" s="118">
        <f>+CUBICACION!D1018</f>
        <v>0</v>
      </c>
      <c r="E1019" s="118">
        <f>+CUBICACION!F1018</f>
        <v>0</v>
      </c>
      <c r="F1019" s="118">
        <f>+CUBICACION!E1018</f>
        <v>0</v>
      </c>
      <c r="G1019" s="118">
        <v>12</v>
      </c>
      <c r="H1019" s="118">
        <v>2</v>
      </c>
      <c r="I1019" s="820">
        <v>26385</v>
      </c>
      <c r="J1019" s="118">
        <f>+CUBICACION!J1018</f>
        <v>0</v>
      </c>
      <c r="K1019" s="118">
        <v>3798</v>
      </c>
      <c r="L1019" s="118">
        <f>+CUBICACION!L1018</f>
        <v>0</v>
      </c>
      <c r="M1019" s="64">
        <f>+CUBICACION!M1018</f>
        <v>0</v>
      </c>
      <c r="N1019" s="824" t="str">
        <f>+CUBICACION!N1018</f>
        <v/>
      </c>
      <c r="O1019" s="675">
        <f>+CUBICACION!O1018</f>
        <v>0</v>
      </c>
      <c r="P1019" s="15">
        <f>IF(O1019="Fire Control",VLOOKUP(_xlfn.MINIFS('FIRE CONTROL'!$C$4:$C$37,'FIRE CONTROL'!$C$4:$C$37,"&gt;="&amp;M1019),'FIRE CONTROL'!$C$4:$G$37,IF(L1019="F-15",2,IF(L1019="F-30",3,IF(L1019="F-60",4,IF(L1019="F-90",5,0)))),0),0)+IF(AND(O1019="FIRE TEX 5062",OR(E1019="IN",E1019="C",E1019="Z",E1019="L"),J1019=3),VLOOKUP(_xlfn.MINIFS('FIRE TEX 5062'!$B$4:$B$34,'FIRE TEX 5062'!$B$4:$B$34,"&gt;="&amp;M1019),'FIRE TEX 5062'!$B$4:$F$34,IF(L1019="F-15",2,IF(L1019="F-30",3,IF(L1019="F-60",4,IF(L1019="F-90",5,0)))),0),0)+IF(AND(O1019="FIRE TEX 5062",OR(E1019="IN",E1019="C",E1019="Z",E1019="L"),J1019=4),VLOOKUP(_xlfn.MINIFS('FIRE TEX 5062'!$G$4:$G$34,'FIRE TEX 5062'!$G$4:$G$34,"&gt;="&amp;M1019),'FIRE TEX 5062'!$G$4:$K$34,IF(L1019="F-15",2,IF(L1019="F-30",3,IF(L1019="F-60",4,IF(L1019="F-90",5,0)))),0),0)+IF(AND(O1019="FIRE TEX 5062",E1019="CJ",J1019=3),VLOOKUP(_xlfn.MINIFS('FIRE TEX 5062'!$L$4:$L$34,'FIRE TEX 5062'!$L$4:$L$34,"&gt;="&amp;M1019),'FIRE TEX 5062'!$L$4:$P$34,IF(L1019="F-15",2,IF(L1019="F-30",3,IF(L1019="F-60",4,IF(L1019="F-90",5,0)))),0),0)+IF(AND(O1019="FIRE TEX 5062",E1019="CJ",J1019=4),VLOOKUP(_xlfn.MINIFS('FIRE TEX 5062'!$Q$3:$Q$34,'FIRE TEX 5062'!$Q$3:$Q$34,"&gt;="&amp;M1019),'FIRE TEX 5062'!$Q$3:$U$34,IF(L1019="F-15",2,IF(L1019="F-30",3,IF(L1019="F-60",4,IF(L1019="F-90",5,0)))),0),0)+IF(AND(O1019="FIRE TEX 5090",OR(E1019="IN",E1019="C",E1019="Z",E1019="L"),J1019=3),VLOOKUP(_xlfn.MINIFS('FIRE TEX 5090'!$B$5:$B$43,'FIRE TEX 5090'!$B$5:$B$43,"&gt;="&amp;M1019),'FIRE TEX 5090'!$B$5:$H$43,IF(L1019="F-15",2,IF(L1019="F-30",3,IF(L1019="F-60",4,IF(L1019="F-90",5,IF(L1019="F-120",6,IF(L1019="F-150",7,0)))))),0),0)+IF(AND(O1019="FIRE TEX 5090",OR(E1019="IN",E1019="C",E1019="Z",E1019="L"),J1019=4),VLOOKUP(_xlfn.MINIFS('FIRE TEX 5090'!$J$5:$J$43,'FIRE TEX 5090'!$J$5:$J$43,"&gt;="&amp;M1019),'FIRE TEX 5090'!$J$5:$P$43,IF(L1019="F-15",2,IF(L1019="F-30",3,IF(L1019="F-60",4,IF(L1019="F-90",5,IF(L1019="F-120",6,IF(L1019="F-150",7,0)))))),0),0)+IF(AND(O1019="FIRE TEX 5090",E1019="CJ",J1019=3),VLOOKUP(_xlfn.MINIFS('FIRE TEX 5090'!$R$5:$R$30,'FIRE TEX 5090'!$R$5:$R$30,"&gt;="&amp;M1019),'FIRE TEX 5090'!$R$5:$W$30,IF(L1019="F-15",2,IF(L1019="F-30",3,IF(L1019="F-60",4,IF(L1019="F-90",5,IF(L1019="F-120",6,IF(L1019="F-150",7,0)))))),0),0)+IF(AND(O1019="FIRE TEX 5090",E1019="CJ",J1019=4),VLOOKUP(_xlfn.MINIFS('FIRE TEX 5090'!$Y$5:$Y$39,'FIRE TEX 5090'!$Y$5:$Y$39,"&gt;="&amp;M1019),'FIRE TEX 5090'!$Y$5:$AD$39,IF(L1019="F-15",2,IF(L1019="F-30",3,IF(L1019="F-60",4,IF(L1019="F-90",5,IF(L1019="F-120",6,IF(L1019="F-150",7,0)))))),0),0)+IF(AND(O1019="FIRE TEX 5120",OR(E1019="IN",E1019="C",E1019="Z",E1019="L"),J1019=3),VLOOKUP(_xlfn.MINIFS('FIRE TEX 5120'!$B$5:$B$40,'FIRE TEX 5120'!$B$5:$B$40,"&gt;="&amp;M1019),'FIRE TEX 5120'!$B$5:$G$40,IF(L1019="F-15",2,IF(L1019="F-30",3,IF(L1019="F-60",4,IF(L1019="F-90",5,IF(L1019="F-120",6,0))))),0),0)+IF(AND(O1019="FIRE TEX 5120",OR(E1019="IN",E1019="C",E1019="Z",E1019="L"),J1019=4),VLOOKUP(_xlfn.MINIFS('FIRE TEX 5120'!$H$4:$H$40,'FIRE TEX 5120'!$H$4:$H$40,"&gt;="&amp;M1019),'FIRE TEX 5120'!$H$4:$M$40,IF(L1019="F-15",2,IF(L1019="F-30",3,IF(L1019="F-60",4,IF(L1019="F-90",5,IF(L1019="F-120",6,0))))),0),0)+IF(AND(O1019="FIRE TEX 5120",E1019="CJ"),VLOOKUP(_xlfn.MINIFS('FIRE TEX 5120'!$O$5:$O$40,'FIRE TEX 5120'!$O$5:$O$40,"&gt;="&amp;M1019),'FIRE TEX 5120'!$O$5:$T$40,IF(L1019="F-15",2,IF(L1019="F-30",3,IF(L1019="F-60",4,IF(L1019="F-90",5,IF(L1019="F-120",6,0))))),0),0)</f>
        <v>0</v>
      </c>
      <c r="Q1019" s="46">
        <f t="shared" si="99"/>
        <v>0</v>
      </c>
      <c r="R1019" s="46">
        <f t="shared" si="100"/>
        <v>0</v>
      </c>
      <c r="S1019" s="46" t="e">
        <f t="shared" si="101"/>
        <v>#VALUE!</v>
      </c>
      <c r="T1019" s="677">
        <f t="shared" si="102"/>
        <v>0</v>
      </c>
      <c r="U1019" s="80">
        <f>(IF(O1019="Stofire",(S1019*#REF!),0))+(IF(O1019="Fire Control",(S1019*$U$2),0))+(IF(O1019="Fire Tex",(S1019*$U$3),0))+(IF(O1019="WB7",(S1019*#REF!),0)+(IF(O1019="FX 2003",(S1019*$U$5),0)))</f>
        <v>0</v>
      </c>
      <c r="V1019" s="651">
        <f t="shared" si="103"/>
        <v>0</v>
      </c>
    </row>
    <row r="1020" spans="4:22" x14ac:dyDescent="0.25">
      <c r="D1020" s="118">
        <f>+CUBICACION!D1019</f>
        <v>0</v>
      </c>
      <c r="E1020" s="118">
        <f>+CUBICACION!F1019</f>
        <v>0</v>
      </c>
      <c r="F1020" s="118">
        <f>+CUBICACION!E1019</f>
        <v>0</v>
      </c>
      <c r="G1020" s="118">
        <v>12</v>
      </c>
      <c r="H1020" s="118">
        <v>2</v>
      </c>
      <c r="I1020" s="820">
        <v>26385</v>
      </c>
      <c r="J1020" s="118">
        <f>+CUBICACION!J1019</f>
        <v>0</v>
      </c>
      <c r="K1020" s="118">
        <v>3799</v>
      </c>
      <c r="L1020" s="118">
        <f>+CUBICACION!L1019</f>
        <v>0</v>
      </c>
      <c r="M1020" s="64">
        <f>+CUBICACION!M1019</f>
        <v>0</v>
      </c>
      <c r="N1020" s="824" t="str">
        <f>+CUBICACION!N1019</f>
        <v/>
      </c>
      <c r="O1020" s="675">
        <f>+CUBICACION!O1019</f>
        <v>0</v>
      </c>
      <c r="P1020" s="15">
        <f>IF(O1020="Fire Control",VLOOKUP(_xlfn.MINIFS('FIRE CONTROL'!$C$4:$C$37,'FIRE CONTROL'!$C$4:$C$37,"&gt;="&amp;M1020),'FIRE CONTROL'!$C$4:$G$37,IF(L1020="F-15",2,IF(L1020="F-30",3,IF(L1020="F-60",4,IF(L1020="F-90",5,0)))),0),0)+IF(AND(O1020="FIRE TEX 5062",OR(E1020="IN",E1020="C",E1020="Z",E1020="L"),J1020=3),VLOOKUP(_xlfn.MINIFS('FIRE TEX 5062'!$B$4:$B$34,'FIRE TEX 5062'!$B$4:$B$34,"&gt;="&amp;M1020),'FIRE TEX 5062'!$B$4:$F$34,IF(L1020="F-15",2,IF(L1020="F-30",3,IF(L1020="F-60",4,IF(L1020="F-90",5,0)))),0),0)+IF(AND(O1020="FIRE TEX 5062",OR(E1020="IN",E1020="C",E1020="Z",E1020="L"),J1020=4),VLOOKUP(_xlfn.MINIFS('FIRE TEX 5062'!$G$4:$G$34,'FIRE TEX 5062'!$G$4:$G$34,"&gt;="&amp;M1020),'FIRE TEX 5062'!$G$4:$K$34,IF(L1020="F-15",2,IF(L1020="F-30",3,IF(L1020="F-60",4,IF(L1020="F-90",5,0)))),0),0)+IF(AND(O1020="FIRE TEX 5062",E1020="CJ",J1020=3),VLOOKUP(_xlfn.MINIFS('FIRE TEX 5062'!$L$4:$L$34,'FIRE TEX 5062'!$L$4:$L$34,"&gt;="&amp;M1020),'FIRE TEX 5062'!$L$4:$P$34,IF(L1020="F-15",2,IF(L1020="F-30",3,IF(L1020="F-60",4,IF(L1020="F-90",5,0)))),0),0)+IF(AND(O1020="FIRE TEX 5062",E1020="CJ",J1020=4),VLOOKUP(_xlfn.MINIFS('FIRE TEX 5062'!$Q$3:$Q$34,'FIRE TEX 5062'!$Q$3:$Q$34,"&gt;="&amp;M1020),'FIRE TEX 5062'!$Q$3:$U$34,IF(L1020="F-15",2,IF(L1020="F-30",3,IF(L1020="F-60",4,IF(L1020="F-90",5,0)))),0),0)+IF(AND(O1020="FIRE TEX 5090",OR(E1020="IN",E1020="C",E1020="Z",E1020="L"),J1020=3),VLOOKUP(_xlfn.MINIFS('FIRE TEX 5090'!$B$5:$B$43,'FIRE TEX 5090'!$B$5:$B$43,"&gt;="&amp;M1020),'FIRE TEX 5090'!$B$5:$H$43,IF(L1020="F-15",2,IF(L1020="F-30",3,IF(L1020="F-60",4,IF(L1020="F-90",5,IF(L1020="F-120",6,IF(L1020="F-150",7,0)))))),0),0)+IF(AND(O1020="FIRE TEX 5090",OR(E1020="IN",E1020="C",E1020="Z",E1020="L"),J1020=4),VLOOKUP(_xlfn.MINIFS('FIRE TEX 5090'!$J$5:$J$43,'FIRE TEX 5090'!$J$5:$J$43,"&gt;="&amp;M1020),'FIRE TEX 5090'!$J$5:$P$43,IF(L1020="F-15",2,IF(L1020="F-30",3,IF(L1020="F-60",4,IF(L1020="F-90",5,IF(L1020="F-120",6,IF(L1020="F-150",7,0)))))),0),0)+IF(AND(O1020="FIRE TEX 5090",E1020="CJ",J1020=3),VLOOKUP(_xlfn.MINIFS('FIRE TEX 5090'!$R$5:$R$30,'FIRE TEX 5090'!$R$5:$R$30,"&gt;="&amp;M1020),'FIRE TEX 5090'!$R$5:$W$30,IF(L1020="F-15",2,IF(L1020="F-30",3,IF(L1020="F-60",4,IF(L1020="F-90",5,IF(L1020="F-120",6,IF(L1020="F-150",7,0)))))),0),0)+IF(AND(O1020="FIRE TEX 5090",E1020="CJ",J1020=4),VLOOKUP(_xlfn.MINIFS('FIRE TEX 5090'!$Y$5:$Y$39,'FIRE TEX 5090'!$Y$5:$Y$39,"&gt;="&amp;M1020),'FIRE TEX 5090'!$Y$5:$AD$39,IF(L1020="F-15",2,IF(L1020="F-30",3,IF(L1020="F-60",4,IF(L1020="F-90",5,IF(L1020="F-120",6,IF(L1020="F-150",7,0)))))),0),0)+IF(AND(O1020="FIRE TEX 5120",OR(E1020="IN",E1020="C",E1020="Z",E1020="L"),J1020=3),VLOOKUP(_xlfn.MINIFS('FIRE TEX 5120'!$B$5:$B$40,'FIRE TEX 5120'!$B$5:$B$40,"&gt;="&amp;M1020),'FIRE TEX 5120'!$B$5:$G$40,IF(L1020="F-15",2,IF(L1020="F-30",3,IF(L1020="F-60",4,IF(L1020="F-90",5,IF(L1020="F-120",6,0))))),0),0)+IF(AND(O1020="FIRE TEX 5120",OR(E1020="IN",E1020="C",E1020="Z",E1020="L"),J1020=4),VLOOKUP(_xlfn.MINIFS('FIRE TEX 5120'!$H$4:$H$40,'FIRE TEX 5120'!$H$4:$H$40,"&gt;="&amp;M1020),'FIRE TEX 5120'!$H$4:$M$40,IF(L1020="F-15",2,IF(L1020="F-30",3,IF(L1020="F-60",4,IF(L1020="F-90",5,IF(L1020="F-120",6,0))))),0),0)+IF(AND(O1020="FIRE TEX 5120",E1020="CJ"),VLOOKUP(_xlfn.MINIFS('FIRE TEX 5120'!$O$5:$O$40,'FIRE TEX 5120'!$O$5:$O$40,"&gt;="&amp;M1020),'FIRE TEX 5120'!$O$5:$T$40,IF(L1020="F-15",2,IF(L1020="F-30",3,IF(L1020="F-60",4,IF(L1020="F-90",5,IF(L1020="F-120",6,0))))),0),0)</f>
        <v>0</v>
      </c>
      <c r="Q1020" s="46">
        <f t="shared" si="99"/>
        <v>0</v>
      </c>
      <c r="R1020" s="46">
        <f t="shared" si="100"/>
        <v>0</v>
      </c>
      <c r="S1020" s="46" t="e">
        <f t="shared" si="101"/>
        <v>#VALUE!</v>
      </c>
      <c r="T1020" s="677">
        <f t="shared" si="102"/>
        <v>0</v>
      </c>
      <c r="U1020" s="80">
        <f>(IF(O1020="Stofire",(S1020*#REF!),0))+(IF(O1020="Fire Control",(S1020*$U$2),0))+(IF(O1020="Fire Tex",(S1020*$U$3),0))+(IF(O1020="WB7",(S1020*#REF!),0)+(IF(O1020="FX 2003",(S1020*$U$5),0)))</f>
        <v>0</v>
      </c>
      <c r="V1020" s="651">
        <f t="shared" si="103"/>
        <v>0</v>
      </c>
    </row>
    <row r="1021" spans="4:22" x14ac:dyDescent="0.25">
      <c r="D1021" s="118">
        <f>+CUBICACION!D1020</f>
        <v>0</v>
      </c>
      <c r="E1021" s="118">
        <f>+CUBICACION!F1020</f>
        <v>0</v>
      </c>
      <c r="F1021" s="118">
        <f>+CUBICACION!E1020</f>
        <v>0</v>
      </c>
      <c r="G1021" s="118">
        <v>12</v>
      </c>
      <c r="H1021" s="118">
        <v>2</v>
      </c>
      <c r="I1021" s="820">
        <v>26385</v>
      </c>
      <c r="J1021" s="118">
        <f>+CUBICACION!J1020</f>
        <v>0</v>
      </c>
      <c r="K1021" s="118">
        <v>3800</v>
      </c>
      <c r="L1021" s="118">
        <f>+CUBICACION!L1020</f>
        <v>0</v>
      </c>
      <c r="M1021" s="64">
        <f>+CUBICACION!M1020</f>
        <v>0</v>
      </c>
      <c r="N1021" s="824" t="str">
        <f>+CUBICACION!N1020</f>
        <v/>
      </c>
      <c r="O1021" s="675">
        <f>+CUBICACION!O1020</f>
        <v>0</v>
      </c>
      <c r="P1021" s="15">
        <f>IF(O1021="Fire Control",VLOOKUP(_xlfn.MINIFS('FIRE CONTROL'!$C$4:$C$37,'FIRE CONTROL'!$C$4:$C$37,"&gt;="&amp;M1021),'FIRE CONTROL'!$C$4:$G$37,IF(L1021="F-15",2,IF(L1021="F-30",3,IF(L1021="F-60",4,IF(L1021="F-90",5,0)))),0),0)+IF(AND(O1021="FIRE TEX 5062",OR(E1021="IN",E1021="C",E1021="Z",E1021="L"),J1021=3),VLOOKUP(_xlfn.MINIFS('FIRE TEX 5062'!$B$4:$B$34,'FIRE TEX 5062'!$B$4:$B$34,"&gt;="&amp;M1021),'FIRE TEX 5062'!$B$4:$F$34,IF(L1021="F-15",2,IF(L1021="F-30",3,IF(L1021="F-60",4,IF(L1021="F-90",5,0)))),0),0)+IF(AND(O1021="FIRE TEX 5062",OR(E1021="IN",E1021="C",E1021="Z",E1021="L"),J1021=4),VLOOKUP(_xlfn.MINIFS('FIRE TEX 5062'!$G$4:$G$34,'FIRE TEX 5062'!$G$4:$G$34,"&gt;="&amp;M1021),'FIRE TEX 5062'!$G$4:$K$34,IF(L1021="F-15",2,IF(L1021="F-30",3,IF(L1021="F-60",4,IF(L1021="F-90",5,0)))),0),0)+IF(AND(O1021="FIRE TEX 5062",E1021="CJ",J1021=3),VLOOKUP(_xlfn.MINIFS('FIRE TEX 5062'!$L$4:$L$34,'FIRE TEX 5062'!$L$4:$L$34,"&gt;="&amp;M1021),'FIRE TEX 5062'!$L$4:$P$34,IF(L1021="F-15",2,IF(L1021="F-30",3,IF(L1021="F-60",4,IF(L1021="F-90",5,0)))),0),0)+IF(AND(O1021="FIRE TEX 5062",E1021="CJ",J1021=4),VLOOKUP(_xlfn.MINIFS('FIRE TEX 5062'!$Q$3:$Q$34,'FIRE TEX 5062'!$Q$3:$Q$34,"&gt;="&amp;M1021),'FIRE TEX 5062'!$Q$3:$U$34,IF(L1021="F-15",2,IF(L1021="F-30",3,IF(L1021="F-60",4,IF(L1021="F-90",5,0)))),0),0)+IF(AND(O1021="FIRE TEX 5090",OR(E1021="IN",E1021="C",E1021="Z",E1021="L"),J1021=3),VLOOKUP(_xlfn.MINIFS('FIRE TEX 5090'!$B$5:$B$43,'FIRE TEX 5090'!$B$5:$B$43,"&gt;="&amp;M1021),'FIRE TEX 5090'!$B$5:$H$43,IF(L1021="F-15",2,IF(L1021="F-30",3,IF(L1021="F-60",4,IF(L1021="F-90",5,IF(L1021="F-120",6,IF(L1021="F-150",7,0)))))),0),0)+IF(AND(O1021="FIRE TEX 5090",OR(E1021="IN",E1021="C",E1021="Z",E1021="L"),J1021=4),VLOOKUP(_xlfn.MINIFS('FIRE TEX 5090'!$J$5:$J$43,'FIRE TEX 5090'!$J$5:$J$43,"&gt;="&amp;M1021),'FIRE TEX 5090'!$J$5:$P$43,IF(L1021="F-15",2,IF(L1021="F-30",3,IF(L1021="F-60",4,IF(L1021="F-90",5,IF(L1021="F-120",6,IF(L1021="F-150",7,0)))))),0),0)+IF(AND(O1021="FIRE TEX 5090",E1021="CJ",J1021=3),VLOOKUP(_xlfn.MINIFS('FIRE TEX 5090'!$R$5:$R$30,'FIRE TEX 5090'!$R$5:$R$30,"&gt;="&amp;M1021),'FIRE TEX 5090'!$R$5:$W$30,IF(L1021="F-15",2,IF(L1021="F-30",3,IF(L1021="F-60",4,IF(L1021="F-90",5,IF(L1021="F-120",6,IF(L1021="F-150",7,0)))))),0),0)+IF(AND(O1021="FIRE TEX 5090",E1021="CJ",J1021=4),VLOOKUP(_xlfn.MINIFS('FIRE TEX 5090'!$Y$5:$Y$39,'FIRE TEX 5090'!$Y$5:$Y$39,"&gt;="&amp;M1021),'FIRE TEX 5090'!$Y$5:$AD$39,IF(L1021="F-15",2,IF(L1021="F-30",3,IF(L1021="F-60",4,IF(L1021="F-90",5,IF(L1021="F-120",6,IF(L1021="F-150",7,0)))))),0),0)+IF(AND(O1021="FIRE TEX 5120",OR(E1021="IN",E1021="C",E1021="Z",E1021="L"),J1021=3),VLOOKUP(_xlfn.MINIFS('FIRE TEX 5120'!$B$5:$B$40,'FIRE TEX 5120'!$B$5:$B$40,"&gt;="&amp;M1021),'FIRE TEX 5120'!$B$5:$G$40,IF(L1021="F-15",2,IF(L1021="F-30",3,IF(L1021="F-60",4,IF(L1021="F-90",5,IF(L1021="F-120",6,0))))),0),0)+IF(AND(O1021="FIRE TEX 5120",OR(E1021="IN",E1021="C",E1021="Z",E1021="L"),J1021=4),VLOOKUP(_xlfn.MINIFS('FIRE TEX 5120'!$H$4:$H$40,'FIRE TEX 5120'!$H$4:$H$40,"&gt;="&amp;M1021),'FIRE TEX 5120'!$H$4:$M$40,IF(L1021="F-15",2,IF(L1021="F-30",3,IF(L1021="F-60",4,IF(L1021="F-90",5,IF(L1021="F-120",6,0))))),0),0)+IF(AND(O1021="FIRE TEX 5120",E1021="CJ"),VLOOKUP(_xlfn.MINIFS('FIRE TEX 5120'!$O$5:$O$40,'FIRE TEX 5120'!$O$5:$O$40,"&gt;="&amp;M1021),'FIRE TEX 5120'!$O$5:$T$40,IF(L1021="F-15",2,IF(L1021="F-30",3,IF(L1021="F-60",4,IF(L1021="F-90",5,IF(L1021="F-120",6,0))))),0),0)</f>
        <v>0</v>
      </c>
      <c r="Q1021" s="46">
        <f t="shared" si="99"/>
        <v>0</v>
      </c>
      <c r="R1021" s="46">
        <f t="shared" si="100"/>
        <v>0</v>
      </c>
      <c r="S1021" s="46" t="e">
        <f t="shared" si="101"/>
        <v>#VALUE!</v>
      </c>
      <c r="T1021" s="677">
        <f t="shared" si="102"/>
        <v>0</v>
      </c>
      <c r="U1021" s="80">
        <f>(IF(O1021="Stofire",(S1021*#REF!),0))+(IF(O1021="Fire Control",(S1021*$U$2),0))+(IF(O1021="Fire Tex",(S1021*$U$3),0))+(IF(O1021="WB7",(S1021*#REF!),0)+(IF(O1021="FX 2003",(S1021*$U$5),0)))</f>
        <v>0</v>
      </c>
      <c r="V1021" s="651">
        <f t="shared" si="103"/>
        <v>0</v>
      </c>
    </row>
    <row r="1022" spans="4:22" x14ac:dyDescent="0.25">
      <c r="D1022" s="118">
        <f>+CUBICACION!D1021</f>
        <v>0</v>
      </c>
      <c r="E1022" s="118">
        <f>+CUBICACION!F1021</f>
        <v>0</v>
      </c>
      <c r="F1022" s="118">
        <f>+CUBICACION!E1021</f>
        <v>0</v>
      </c>
      <c r="G1022" s="118">
        <v>12</v>
      </c>
      <c r="H1022" s="118">
        <v>2</v>
      </c>
      <c r="I1022" s="820">
        <v>26385</v>
      </c>
      <c r="J1022" s="118">
        <f>+CUBICACION!J1021</f>
        <v>0</v>
      </c>
      <c r="K1022" s="118">
        <v>3801</v>
      </c>
      <c r="L1022" s="118">
        <f>+CUBICACION!L1021</f>
        <v>0</v>
      </c>
      <c r="M1022" s="64">
        <f>+CUBICACION!M1021</f>
        <v>0</v>
      </c>
      <c r="N1022" s="824" t="str">
        <f>+CUBICACION!N1021</f>
        <v/>
      </c>
      <c r="O1022" s="675">
        <f>+CUBICACION!O1021</f>
        <v>0</v>
      </c>
      <c r="P1022" s="15">
        <f>IF(O1022="Fire Control",VLOOKUP(_xlfn.MINIFS('FIRE CONTROL'!$C$4:$C$37,'FIRE CONTROL'!$C$4:$C$37,"&gt;="&amp;M1022),'FIRE CONTROL'!$C$4:$G$37,IF(L1022="F-15",2,IF(L1022="F-30",3,IF(L1022="F-60",4,IF(L1022="F-90",5,0)))),0),0)+IF(AND(O1022="FIRE TEX 5062",OR(E1022="IN",E1022="C",E1022="Z",E1022="L"),J1022=3),VLOOKUP(_xlfn.MINIFS('FIRE TEX 5062'!$B$4:$B$34,'FIRE TEX 5062'!$B$4:$B$34,"&gt;="&amp;M1022),'FIRE TEX 5062'!$B$4:$F$34,IF(L1022="F-15",2,IF(L1022="F-30",3,IF(L1022="F-60",4,IF(L1022="F-90",5,0)))),0),0)+IF(AND(O1022="FIRE TEX 5062",OR(E1022="IN",E1022="C",E1022="Z",E1022="L"),J1022=4),VLOOKUP(_xlfn.MINIFS('FIRE TEX 5062'!$G$4:$G$34,'FIRE TEX 5062'!$G$4:$G$34,"&gt;="&amp;M1022),'FIRE TEX 5062'!$G$4:$K$34,IF(L1022="F-15",2,IF(L1022="F-30",3,IF(L1022="F-60",4,IF(L1022="F-90",5,0)))),0),0)+IF(AND(O1022="FIRE TEX 5062",E1022="CJ",J1022=3),VLOOKUP(_xlfn.MINIFS('FIRE TEX 5062'!$L$4:$L$34,'FIRE TEX 5062'!$L$4:$L$34,"&gt;="&amp;M1022),'FIRE TEX 5062'!$L$4:$P$34,IF(L1022="F-15",2,IF(L1022="F-30",3,IF(L1022="F-60",4,IF(L1022="F-90",5,0)))),0),0)+IF(AND(O1022="FIRE TEX 5062",E1022="CJ",J1022=4),VLOOKUP(_xlfn.MINIFS('FIRE TEX 5062'!$Q$3:$Q$34,'FIRE TEX 5062'!$Q$3:$Q$34,"&gt;="&amp;M1022),'FIRE TEX 5062'!$Q$3:$U$34,IF(L1022="F-15",2,IF(L1022="F-30",3,IF(L1022="F-60",4,IF(L1022="F-90",5,0)))),0),0)+IF(AND(O1022="FIRE TEX 5090",OR(E1022="IN",E1022="C",E1022="Z",E1022="L"),J1022=3),VLOOKUP(_xlfn.MINIFS('FIRE TEX 5090'!$B$5:$B$43,'FIRE TEX 5090'!$B$5:$B$43,"&gt;="&amp;M1022),'FIRE TEX 5090'!$B$5:$H$43,IF(L1022="F-15",2,IF(L1022="F-30",3,IF(L1022="F-60",4,IF(L1022="F-90",5,IF(L1022="F-120",6,IF(L1022="F-150",7,0)))))),0),0)+IF(AND(O1022="FIRE TEX 5090",OR(E1022="IN",E1022="C",E1022="Z",E1022="L"),J1022=4),VLOOKUP(_xlfn.MINIFS('FIRE TEX 5090'!$J$5:$J$43,'FIRE TEX 5090'!$J$5:$J$43,"&gt;="&amp;M1022),'FIRE TEX 5090'!$J$5:$P$43,IF(L1022="F-15",2,IF(L1022="F-30",3,IF(L1022="F-60",4,IF(L1022="F-90",5,IF(L1022="F-120",6,IF(L1022="F-150",7,0)))))),0),0)+IF(AND(O1022="FIRE TEX 5090",E1022="CJ",J1022=3),VLOOKUP(_xlfn.MINIFS('FIRE TEX 5090'!$R$5:$R$30,'FIRE TEX 5090'!$R$5:$R$30,"&gt;="&amp;M1022),'FIRE TEX 5090'!$R$5:$W$30,IF(L1022="F-15",2,IF(L1022="F-30",3,IF(L1022="F-60",4,IF(L1022="F-90",5,IF(L1022="F-120",6,IF(L1022="F-150",7,0)))))),0),0)+IF(AND(O1022="FIRE TEX 5090",E1022="CJ",J1022=4),VLOOKUP(_xlfn.MINIFS('FIRE TEX 5090'!$Y$5:$Y$39,'FIRE TEX 5090'!$Y$5:$Y$39,"&gt;="&amp;M1022),'FIRE TEX 5090'!$Y$5:$AD$39,IF(L1022="F-15",2,IF(L1022="F-30",3,IF(L1022="F-60",4,IF(L1022="F-90",5,IF(L1022="F-120",6,IF(L1022="F-150",7,0)))))),0),0)+IF(AND(O1022="FIRE TEX 5120",OR(E1022="IN",E1022="C",E1022="Z",E1022="L"),J1022=3),VLOOKUP(_xlfn.MINIFS('FIRE TEX 5120'!$B$5:$B$40,'FIRE TEX 5120'!$B$5:$B$40,"&gt;="&amp;M1022),'FIRE TEX 5120'!$B$5:$G$40,IF(L1022="F-15",2,IF(L1022="F-30",3,IF(L1022="F-60",4,IF(L1022="F-90",5,IF(L1022="F-120",6,0))))),0),0)+IF(AND(O1022="FIRE TEX 5120",OR(E1022="IN",E1022="C",E1022="Z",E1022="L"),J1022=4),VLOOKUP(_xlfn.MINIFS('FIRE TEX 5120'!$H$4:$H$40,'FIRE TEX 5120'!$H$4:$H$40,"&gt;="&amp;M1022),'FIRE TEX 5120'!$H$4:$M$40,IF(L1022="F-15",2,IF(L1022="F-30",3,IF(L1022="F-60",4,IF(L1022="F-90",5,IF(L1022="F-120",6,0))))),0),0)+IF(AND(O1022="FIRE TEX 5120",E1022="CJ"),VLOOKUP(_xlfn.MINIFS('FIRE TEX 5120'!$O$5:$O$40,'FIRE TEX 5120'!$O$5:$O$40,"&gt;="&amp;M1022),'FIRE TEX 5120'!$O$5:$T$40,IF(L1022="F-15",2,IF(L1022="F-30",3,IF(L1022="F-60",4,IF(L1022="F-90",5,IF(L1022="F-120",6,0))))),0),0)</f>
        <v>0</v>
      </c>
      <c r="Q1022" s="46">
        <f t="shared" si="99"/>
        <v>0</v>
      </c>
      <c r="R1022" s="46">
        <f t="shared" si="100"/>
        <v>0</v>
      </c>
      <c r="S1022" s="46" t="e">
        <f t="shared" si="101"/>
        <v>#VALUE!</v>
      </c>
      <c r="T1022" s="677">
        <f t="shared" si="102"/>
        <v>0</v>
      </c>
      <c r="U1022" s="80">
        <f>(IF(O1022="Stofire",(S1022*#REF!),0))+(IF(O1022="Fire Control",(S1022*$U$2),0))+(IF(O1022="Fire Tex",(S1022*$U$3),0))+(IF(O1022="WB7",(S1022*#REF!),0)+(IF(O1022="FX 2003",(S1022*$U$5),0)))</f>
        <v>0</v>
      </c>
      <c r="V1022" s="651">
        <f t="shared" si="103"/>
        <v>0</v>
      </c>
    </row>
    <row r="1023" spans="4:22" x14ac:dyDescent="0.25">
      <c r="D1023" s="118">
        <f>+CUBICACION!D1022</f>
        <v>0</v>
      </c>
      <c r="E1023" s="118">
        <f>+CUBICACION!F1022</f>
        <v>0</v>
      </c>
      <c r="F1023" s="118">
        <f>+CUBICACION!E1022</f>
        <v>0</v>
      </c>
      <c r="G1023" s="118">
        <v>12</v>
      </c>
      <c r="H1023" s="118">
        <v>2</v>
      </c>
      <c r="I1023" s="820">
        <v>26385</v>
      </c>
      <c r="J1023" s="118">
        <f>+CUBICACION!J1022</f>
        <v>0</v>
      </c>
      <c r="K1023" s="118">
        <v>3802</v>
      </c>
      <c r="L1023" s="118">
        <f>+CUBICACION!L1022</f>
        <v>0</v>
      </c>
      <c r="M1023" s="64">
        <f>+CUBICACION!M1022</f>
        <v>0</v>
      </c>
      <c r="N1023" s="824" t="str">
        <f>+CUBICACION!N1022</f>
        <v/>
      </c>
      <c r="O1023" s="675">
        <f>+CUBICACION!O1022</f>
        <v>0</v>
      </c>
      <c r="P1023" s="15">
        <f>IF(O1023="Fire Control",VLOOKUP(_xlfn.MINIFS('FIRE CONTROL'!$C$4:$C$37,'FIRE CONTROL'!$C$4:$C$37,"&gt;="&amp;M1023),'FIRE CONTROL'!$C$4:$G$37,IF(L1023="F-15",2,IF(L1023="F-30",3,IF(L1023="F-60",4,IF(L1023="F-90",5,0)))),0),0)+IF(AND(O1023="FIRE TEX 5062",OR(E1023="IN",E1023="C",E1023="Z",E1023="L"),J1023=3),VLOOKUP(_xlfn.MINIFS('FIRE TEX 5062'!$B$4:$B$34,'FIRE TEX 5062'!$B$4:$B$34,"&gt;="&amp;M1023),'FIRE TEX 5062'!$B$4:$F$34,IF(L1023="F-15",2,IF(L1023="F-30",3,IF(L1023="F-60",4,IF(L1023="F-90",5,0)))),0),0)+IF(AND(O1023="FIRE TEX 5062",OR(E1023="IN",E1023="C",E1023="Z",E1023="L"),J1023=4),VLOOKUP(_xlfn.MINIFS('FIRE TEX 5062'!$G$4:$G$34,'FIRE TEX 5062'!$G$4:$G$34,"&gt;="&amp;M1023),'FIRE TEX 5062'!$G$4:$K$34,IF(L1023="F-15",2,IF(L1023="F-30",3,IF(L1023="F-60",4,IF(L1023="F-90",5,0)))),0),0)+IF(AND(O1023="FIRE TEX 5062",E1023="CJ",J1023=3),VLOOKUP(_xlfn.MINIFS('FIRE TEX 5062'!$L$4:$L$34,'FIRE TEX 5062'!$L$4:$L$34,"&gt;="&amp;M1023),'FIRE TEX 5062'!$L$4:$P$34,IF(L1023="F-15",2,IF(L1023="F-30",3,IF(L1023="F-60",4,IF(L1023="F-90",5,0)))),0),0)+IF(AND(O1023="FIRE TEX 5062",E1023="CJ",J1023=4),VLOOKUP(_xlfn.MINIFS('FIRE TEX 5062'!$Q$3:$Q$34,'FIRE TEX 5062'!$Q$3:$Q$34,"&gt;="&amp;M1023),'FIRE TEX 5062'!$Q$3:$U$34,IF(L1023="F-15",2,IF(L1023="F-30",3,IF(L1023="F-60",4,IF(L1023="F-90",5,0)))),0),0)+IF(AND(O1023="FIRE TEX 5090",OR(E1023="IN",E1023="C",E1023="Z",E1023="L"),J1023=3),VLOOKUP(_xlfn.MINIFS('FIRE TEX 5090'!$B$5:$B$43,'FIRE TEX 5090'!$B$5:$B$43,"&gt;="&amp;M1023),'FIRE TEX 5090'!$B$5:$H$43,IF(L1023="F-15",2,IF(L1023="F-30",3,IF(L1023="F-60",4,IF(L1023="F-90",5,IF(L1023="F-120",6,IF(L1023="F-150",7,0)))))),0),0)+IF(AND(O1023="FIRE TEX 5090",OR(E1023="IN",E1023="C",E1023="Z",E1023="L"),J1023=4),VLOOKUP(_xlfn.MINIFS('FIRE TEX 5090'!$J$5:$J$43,'FIRE TEX 5090'!$J$5:$J$43,"&gt;="&amp;M1023),'FIRE TEX 5090'!$J$5:$P$43,IF(L1023="F-15",2,IF(L1023="F-30",3,IF(L1023="F-60",4,IF(L1023="F-90",5,IF(L1023="F-120",6,IF(L1023="F-150",7,0)))))),0),0)+IF(AND(O1023="FIRE TEX 5090",E1023="CJ",J1023=3),VLOOKUP(_xlfn.MINIFS('FIRE TEX 5090'!$R$5:$R$30,'FIRE TEX 5090'!$R$5:$R$30,"&gt;="&amp;M1023),'FIRE TEX 5090'!$R$5:$W$30,IF(L1023="F-15",2,IF(L1023="F-30",3,IF(L1023="F-60",4,IF(L1023="F-90",5,IF(L1023="F-120",6,IF(L1023="F-150",7,0)))))),0),0)+IF(AND(O1023="FIRE TEX 5090",E1023="CJ",J1023=4),VLOOKUP(_xlfn.MINIFS('FIRE TEX 5090'!$Y$5:$Y$39,'FIRE TEX 5090'!$Y$5:$Y$39,"&gt;="&amp;M1023),'FIRE TEX 5090'!$Y$5:$AD$39,IF(L1023="F-15",2,IF(L1023="F-30",3,IF(L1023="F-60",4,IF(L1023="F-90",5,IF(L1023="F-120",6,IF(L1023="F-150",7,0)))))),0),0)+IF(AND(O1023="FIRE TEX 5120",OR(E1023="IN",E1023="C",E1023="Z",E1023="L"),J1023=3),VLOOKUP(_xlfn.MINIFS('FIRE TEX 5120'!$B$5:$B$40,'FIRE TEX 5120'!$B$5:$B$40,"&gt;="&amp;M1023),'FIRE TEX 5120'!$B$5:$G$40,IF(L1023="F-15",2,IF(L1023="F-30",3,IF(L1023="F-60",4,IF(L1023="F-90",5,IF(L1023="F-120",6,0))))),0),0)+IF(AND(O1023="FIRE TEX 5120",OR(E1023="IN",E1023="C",E1023="Z",E1023="L"),J1023=4),VLOOKUP(_xlfn.MINIFS('FIRE TEX 5120'!$H$4:$H$40,'FIRE TEX 5120'!$H$4:$H$40,"&gt;="&amp;M1023),'FIRE TEX 5120'!$H$4:$M$40,IF(L1023="F-15",2,IF(L1023="F-30",3,IF(L1023="F-60",4,IF(L1023="F-90",5,IF(L1023="F-120",6,0))))),0),0)+IF(AND(O1023="FIRE TEX 5120",E1023="CJ"),VLOOKUP(_xlfn.MINIFS('FIRE TEX 5120'!$O$5:$O$40,'FIRE TEX 5120'!$O$5:$O$40,"&gt;="&amp;M1023),'FIRE TEX 5120'!$O$5:$T$40,IF(L1023="F-15",2,IF(L1023="F-30",3,IF(L1023="F-60",4,IF(L1023="F-90",5,IF(L1023="F-120",6,0))))),0),0)</f>
        <v>0</v>
      </c>
      <c r="Q1023" s="46">
        <f t="shared" si="99"/>
        <v>0</v>
      </c>
      <c r="R1023" s="46">
        <f t="shared" si="100"/>
        <v>0</v>
      </c>
      <c r="S1023" s="46" t="e">
        <f t="shared" si="101"/>
        <v>#VALUE!</v>
      </c>
      <c r="T1023" s="677">
        <f t="shared" si="102"/>
        <v>0</v>
      </c>
      <c r="U1023" s="80">
        <f>(IF(O1023="Stofire",(S1023*#REF!),0))+(IF(O1023="Fire Control",(S1023*$U$2),0))+(IF(O1023="Fire Tex",(S1023*$U$3),0))+(IF(O1023="WB7",(S1023*#REF!),0)+(IF(O1023="FX 2003",(S1023*$U$5),0)))</f>
        <v>0</v>
      </c>
      <c r="V1023" s="651">
        <f t="shared" si="103"/>
        <v>0</v>
      </c>
    </row>
    <row r="1024" spans="4:22" x14ac:dyDescent="0.25">
      <c r="D1024" s="118">
        <f>+CUBICACION!D1023</f>
        <v>0</v>
      </c>
      <c r="E1024" s="118">
        <f>+CUBICACION!F1023</f>
        <v>0</v>
      </c>
      <c r="F1024" s="118">
        <f>+CUBICACION!E1023</f>
        <v>0</v>
      </c>
      <c r="G1024" s="118">
        <v>12</v>
      </c>
      <c r="H1024" s="118">
        <v>2</v>
      </c>
      <c r="I1024" s="820">
        <v>26385</v>
      </c>
      <c r="J1024" s="118">
        <f>+CUBICACION!J1023</f>
        <v>0</v>
      </c>
      <c r="K1024" s="118">
        <v>3803</v>
      </c>
      <c r="L1024" s="118">
        <f>+CUBICACION!L1023</f>
        <v>0</v>
      </c>
      <c r="M1024" s="64">
        <f>+CUBICACION!M1023</f>
        <v>0</v>
      </c>
      <c r="N1024" s="824" t="str">
        <f>+CUBICACION!N1023</f>
        <v/>
      </c>
      <c r="O1024" s="675">
        <f>+CUBICACION!O1023</f>
        <v>0</v>
      </c>
      <c r="P1024" s="15">
        <f>IF(O1024="Fire Control",VLOOKUP(_xlfn.MINIFS('FIRE CONTROL'!$C$4:$C$37,'FIRE CONTROL'!$C$4:$C$37,"&gt;="&amp;M1024),'FIRE CONTROL'!$C$4:$G$37,IF(L1024="F-15",2,IF(L1024="F-30",3,IF(L1024="F-60",4,IF(L1024="F-90",5,0)))),0),0)+IF(AND(O1024="FIRE TEX 5062",OR(E1024="IN",E1024="C",E1024="Z",E1024="L"),J1024=3),VLOOKUP(_xlfn.MINIFS('FIRE TEX 5062'!$B$4:$B$34,'FIRE TEX 5062'!$B$4:$B$34,"&gt;="&amp;M1024),'FIRE TEX 5062'!$B$4:$F$34,IF(L1024="F-15",2,IF(L1024="F-30",3,IF(L1024="F-60",4,IF(L1024="F-90",5,0)))),0),0)+IF(AND(O1024="FIRE TEX 5062",OR(E1024="IN",E1024="C",E1024="Z",E1024="L"),J1024=4),VLOOKUP(_xlfn.MINIFS('FIRE TEX 5062'!$G$4:$G$34,'FIRE TEX 5062'!$G$4:$G$34,"&gt;="&amp;M1024),'FIRE TEX 5062'!$G$4:$K$34,IF(L1024="F-15",2,IF(L1024="F-30",3,IF(L1024="F-60",4,IF(L1024="F-90",5,0)))),0),0)+IF(AND(O1024="FIRE TEX 5062",E1024="CJ",J1024=3),VLOOKUP(_xlfn.MINIFS('FIRE TEX 5062'!$L$4:$L$34,'FIRE TEX 5062'!$L$4:$L$34,"&gt;="&amp;M1024),'FIRE TEX 5062'!$L$4:$P$34,IF(L1024="F-15",2,IF(L1024="F-30",3,IF(L1024="F-60",4,IF(L1024="F-90",5,0)))),0),0)+IF(AND(O1024="FIRE TEX 5062",E1024="CJ",J1024=4),VLOOKUP(_xlfn.MINIFS('FIRE TEX 5062'!$Q$3:$Q$34,'FIRE TEX 5062'!$Q$3:$Q$34,"&gt;="&amp;M1024),'FIRE TEX 5062'!$Q$3:$U$34,IF(L1024="F-15",2,IF(L1024="F-30",3,IF(L1024="F-60",4,IF(L1024="F-90",5,0)))),0),0)+IF(AND(O1024="FIRE TEX 5090",OR(E1024="IN",E1024="C",E1024="Z",E1024="L"),J1024=3),VLOOKUP(_xlfn.MINIFS('FIRE TEX 5090'!$B$5:$B$43,'FIRE TEX 5090'!$B$5:$B$43,"&gt;="&amp;M1024),'FIRE TEX 5090'!$B$5:$H$43,IF(L1024="F-15",2,IF(L1024="F-30",3,IF(L1024="F-60",4,IF(L1024="F-90",5,IF(L1024="F-120",6,IF(L1024="F-150",7,0)))))),0),0)+IF(AND(O1024="FIRE TEX 5090",OR(E1024="IN",E1024="C",E1024="Z",E1024="L"),J1024=4),VLOOKUP(_xlfn.MINIFS('FIRE TEX 5090'!$J$5:$J$43,'FIRE TEX 5090'!$J$5:$J$43,"&gt;="&amp;M1024),'FIRE TEX 5090'!$J$5:$P$43,IF(L1024="F-15",2,IF(L1024="F-30",3,IF(L1024="F-60",4,IF(L1024="F-90",5,IF(L1024="F-120",6,IF(L1024="F-150",7,0)))))),0),0)+IF(AND(O1024="FIRE TEX 5090",E1024="CJ",J1024=3),VLOOKUP(_xlfn.MINIFS('FIRE TEX 5090'!$R$5:$R$30,'FIRE TEX 5090'!$R$5:$R$30,"&gt;="&amp;M1024),'FIRE TEX 5090'!$R$5:$W$30,IF(L1024="F-15",2,IF(L1024="F-30",3,IF(L1024="F-60",4,IF(L1024="F-90",5,IF(L1024="F-120",6,IF(L1024="F-150",7,0)))))),0),0)+IF(AND(O1024="FIRE TEX 5090",E1024="CJ",J1024=4),VLOOKUP(_xlfn.MINIFS('FIRE TEX 5090'!$Y$5:$Y$39,'FIRE TEX 5090'!$Y$5:$Y$39,"&gt;="&amp;M1024),'FIRE TEX 5090'!$Y$5:$AD$39,IF(L1024="F-15",2,IF(L1024="F-30",3,IF(L1024="F-60",4,IF(L1024="F-90",5,IF(L1024="F-120",6,IF(L1024="F-150",7,0)))))),0),0)+IF(AND(O1024="FIRE TEX 5120",OR(E1024="IN",E1024="C",E1024="Z",E1024="L"),J1024=3),VLOOKUP(_xlfn.MINIFS('FIRE TEX 5120'!$B$5:$B$40,'FIRE TEX 5120'!$B$5:$B$40,"&gt;="&amp;M1024),'FIRE TEX 5120'!$B$5:$G$40,IF(L1024="F-15",2,IF(L1024="F-30",3,IF(L1024="F-60",4,IF(L1024="F-90",5,IF(L1024="F-120",6,0))))),0),0)+IF(AND(O1024="FIRE TEX 5120",OR(E1024="IN",E1024="C",E1024="Z",E1024="L"),J1024=4),VLOOKUP(_xlfn.MINIFS('FIRE TEX 5120'!$H$4:$H$40,'FIRE TEX 5120'!$H$4:$H$40,"&gt;="&amp;M1024),'FIRE TEX 5120'!$H$4:$M$40,IF(L1024="F-15",2,IF(L1024="F-30",3,IF(L1024="F-60",4,IF(L1024="F-90",5,IF(L1024="F-120",6,0))))),0),0)+IF(AND(O1024="FIRE TEX 5120",E1024="CJ"),VLOOKUP(_xlfn.MINIFS('FIRE TEX 5120'!$O$5:$O$40,'FIRE TEX 5120'!$O$5:$O$40,"&gt;="&amp;M1024),'FIRE TEX 5120'!$O$5:$T$40,IF(L1024="F-15",2,IF(L1024="F-30",3,IF(L1024="F-60",4,IF(L1024="F-90",5,IF(L1024="F-120",6,0))))),0),0)</f>
        <v>0</v>
      </c>
      <c r="Q1024" s="46">
        <f t="shared" si="99"/>
        <v>0</v>
      </c>
      <c r="R1024" s="46">
        <f t="shared" si="100"/>
        <v>0</v>
      </c>
      <c r="S1024" s="46" t="e">
        <f t="shared" si="101"/>
        <v>#VALUE!</v>
      </c>
      <c r="T1024" s="677">
        <f t="shared" si="102"/>
        <v>0</v>
      </c>
      <c r="U1024" s="80">
        <f>(IF(O1024="Stofire",(S1024*#REF!),0))+(IF(O1024="Fire Control",(S1024*$U$2),0))+(IF(O1024="Fire Tex",(S1024*$U$3),0))+(IF(O1024="WB7",(S1024*#REF!),0)+(IF(O1024="FX 2003",(S1024*$U$5),0)))</f>
        <v>0</v>
      </c>
      <c r="V1024" s="651">
        <f t="shared" si="103"/>
        <v>0</v>
      </c>
    </row>
    <row r="1025" spans="4:22" x14ac:dyDescent="0.25">
      <c r="D1025" s="118">
        <f>+CUBICACION!D1024</f>
        <v>0</v>
      </c>
      <c r="E1025" s="118">
        <f>+CUBICACION!F1024</f>
        <v>0</v>
      </c>
      <c r="F1025" s="118">
        <f>+CUBICACION!E1024</f>
        <v>0</v>
      </c>
      <c r="G1025" s="118">
        <v>12</v>
      </c>
      <c r="H1025" s="118">
        <v>2</v>
      </c>
      <c r="I1025" s="820">
        <v>26385</v>
      </c>
      <c r="J1025" s="118">
        <f>+CUBICACION!J1024</f>
        <v>0</v>
      </c>
      <c r="K1025" s="118">
        <v>3804</v>
      </c>
      <c r="L1025" s="118">
        <f>+CUBICACION!L1024</f>
        <v>0</v>
      </c>
      <c r="M1025" s="64">
        <f>+CUBICACION!M1024</f>
        <v>0</v>
      </c>
      <c r="N1025" s="824" t="str">
        <f>+CUBICACION!N1024</f>
        <v/>
      </c>
      <c r="O1025" s="675">
        <f>+CUBICACION!O1024</f>
        <v>0</v>
      </c>
      <c r="P1025" s="15">
        <f>IF(O1025="Fire Control",VLOOKUP(_xlfn.MINIFS('FIRE CONTROL'!$C$4:$C$37,'FIRE CONTROL'!$C$4:$C$37,"&gt;="&amp;M1025),'FIRE CONTROL'!$C$4:$G$37,IF(L1025="F-15",2,IF(L1025="F-30",3,IF(L1025="F-60",4,IF(L1025="F-90",5,0)))),0),0)+IF(AND(O1025="FIRE TEX 5062",OR(E1025="IN",E1025="C",E1025="Z",E1025="L"),J1025=3),VLOOKUP(_xlfn.MINIFS('FIRE TEX 5062'!$B$4:$B$34,'FIRE TEX 5062'!$B$4:$B$34,"&gt;="&amp;M1025),'FIRE TEX 5062'!$B$4:$F$34,IF(L1025="F-15",2,IF(L1025="F-30",3,IF(L1025="F-60",4,IF(L1025="F-90",5,0)))),0),0)+IF(AND(O1025="FIRE TEX 5062",OR(E1025="IN",E1025="C",E1025="Z",E1025="L"),J1025=4),VLOOKUP(_xlfn.MINIFS('FIRE TEX 5062'!$G$4:$G$34,'FIRE TEX 5062'!$G$4:$G$34,"&gt;="&amp;M1025),'FIRE TEX 5062'!$G$4:$K$34,IF(L1025="F-15",2,IF(L1025="F-30",3,IF(L1025="F-60",4,IF(L1025="F-90",5,0)))),0),0)+IF(AND(O1025="FIRE TEX 5062",E1025="CJ",J1025=3),VLOOKUP(_xlfn.MINIFS('FIRE TEX 5062'!$L$4:$L$34,'FIRE TEX 5062'!$L$4:$L$34,"&gt;="&amp;M1025),'FIRE TEX 5062'!$L$4:$P$34,IF(L1025="F-15",2,IF(L1025="F-30",3,IF(L1025="F-60",4,IF(L1025="F-90",5,0)))),0),0)+IF(AND(O1025="FIRE TEX 5062",E1025="CJ",J1025=4),VLOOKUP(_xlfn.MINIFS('FIRE TEX 5062'!$Q$3:$Q$34,'FIRE TEX 5062'!$Q$3:$Q$34,"&gt;="&amp;M1025),'FIRE TEX 5062'!$Q$3:$U$34,IF(L1025="F-15",2,IF(L1025="F-30",3,IF(L1025="F-60",4,IF(L1025="F-90",5,0)))),0),0)+IF(AND(O1025="FIRE TEX 5090",OR(E1025="IN",E1025="C",E1025="Z",E1025="L"),J1025=3),VLOOKUP(_xlfn.MINIFS('FIRE TEX 5090'!$B$5:$B$43,'FIRE TEX 5090'!$B$5:$B$43,"&gt;="&amp;M1025),'FIRE TEX 5090'!$B$5:$H$43,IF(L1025="F-15",2,IF(L1025="F-30",3,IF(L1025="F-60",4,IF(L1025="F-90",5,IF(L1025="F-120",6,IF(L1025="F-150",7,0)))))),0),0)+IF(AND(O1025="FIRE TEX 5090",OR(E1025="IN",E1025="C",E1025="Z",E1025="L"),J1025=4),VLOOKUP(_xlfn.MINIFS('FIRE TEX 5090'!$J$5:$J$43,'FIRE TEX 5090'!$J$5:$J$43,"&gt;="&amp;M1025),'FIRE TEX 5090'!$J$5:$P$43,IF(L1025="F-15",2,IF(L1025="F-30",3,IF(L1025="F-60",4,IF(L1025="F-90",5,IF(L1025="F-120",6,IF(L1025="F-150",7,0)))))),0),0)+IF(AND(O1025="FIRE TEX 5090",E1025="CJ",J1025=3),VLOOKUP(_xlfn.MINIFS('FIRE TEX 5090'!$R$5:$R$30,'FIRE TEX 5090'!$R$5:$R$30,"&gt;="&amp;M1025),'FIRE TEX 5090'!$R$5:$W$30,IF(L1025="F-15",2,IF(L1025="F-30",3,IF(L1025="F-60",4,IF(L1025="F-90",5,IF(L1025="F-120",6,IF(L1025="F-150",7,0)))))),0),0)+IF(AND(O1025="FIRE TEX 5090",E1025="CJ",J1025=4),VLOOKUP(_xlfn.MINIFS('FIRE TEX 5090'!$Y$5:$Y$39,'FIRE TEX 5090'!$Y$5:$Y$39,"&gt;="&amp;M1025),'FIRE TEX 5090'!$Y$5:$AD$39,IF(L1025="F-15",2,IF(L1025="F-30",3,IF(L1025="F-60",4,IF(L1025="F-90",5,IF(L1025="F-120",6,IF(L1025="F-150",7,0)))))),0),0)+IF(AND(O1025="FIRE TEX 5120",OR(E1025="IN",E1025="C",E1025="Z",E1025="L"),J1025=3),VLOOKUP(_xlfn.MINIFS('FIRE TEX 5120'!$B$5:$B$40,'FIRE TEX 5120'!$B$5:$B$40,"&gt;="&amp;M1025),'FIRE TEX 5120'!$B$5:$G$40,IF(L1025="F-15",2,IF(L1025="F-30",3,IF(L1025="F-60",4,IF(L1025="F-90",5,IF(L1025="F-120",6,0))))),0),0)+IF(AND(O1025="FIRE TEX 5120",OR(E1025="IN",E1025="C",E1025="Z",E1025="L"),J1025=4),VLOOKUP(_xlfn.MINIFS('FIRE TEX 5120'!$H$4:$H$40,'FIRE TEX 5120'!$H$4:$H$40,"&gt;="&amp;M1025),'FIRE TEX 5120'!$H$4:$M$40,IF(L1025="F-15",2,IF(L1025="F-30",3,IF(L1025="F-60",4,IF(L1025="F-90",5,IF(L1025="F-120",6,0))))),0),0)+IF(AND(O1025="FIRE TEX 5120",E1025="CJ"),VLOOKUP(_xlfn.MINIFS('FIRE TEX 5120'!$O$5:$O$40,'FIRE TEX 5120'!$O$5:$O$40,"&gt;="&amp;M1025),'FIRE TEX 5120'!$O$5:$T$40,IF(L1025="F-15",2,IF(L1025="F-30",3,IF(L1025="F-60",4,IF(L1025="F-90",5,IF(L1025="F-120",6,0))))),0),0)</f>
        <v>0</v>
      </c>
      <c r="Q1025" s="46">
        <f t="shared" si="99"/>
        <v>0</v>
      </c>
      <c r="R1025" s="46">
        <f t="shared" si="100"/>
        <v>0</v>
      </c>
      <c r="S1025" s="46" t="e">
        <f t="shared" si="101"/>
        <v>#VALUE!</v>
      </c>
      <c r="T1025" s="677">
        <f t="shared" si="102"/>
        <v>0</v>
      </c>
      <c r="U1025" s="80">
        <f>(IF(O1025="Stofire",(S1025*#REF!),0))+(IF(O1025="Fire Control",(S1025*$U$2),0))+(IF(O1025="Fire Tex",(S1025*$U$3),0))+(IF(O1025="WB7",(S1025*#REF!),0)+(IF(O1025="FX 2003",(S1025*$U$5),0)))</f>
        <v>0</v>
      </c>
      <c r="V1025" s="651">
        <f t="shared" si="103"/>
        <v>0</v>
      </c>
    </row>
    <row r="1026" spans="4:22" x14ac:dyDescent="0.25">
      <c r="D1026" s="118">
        <f>+CUBICACION!D1025</f>
        <v>0</v>
      </c>
      <c r="E1026" s="118">
        <f>+CUBICACION!F1025</f>
        <v>0</v>
      </c>
      <c r="F1026" s="118">
        <f>+CUBICACION!E1025</f>
        <v>0</v>
      </c>
      <c r="G1026" s="118">
        <v>12</v>
      </c>
      <c r="H1026" s="118">
        <v>2</v>
      </c>
      <c r="I1026" s="820">
        <v>26385</v>
      </c>
      <c r="J1026" s="118">
        <f>+CUBICACION!J1025</f>
        <v>0</v>
      </c>
      <c r="K1026" s="118">
        <v>3805</v>
      </c>
      <c r="L1026" s="118">
        <f>+CUBICACION!L1025</f>
        <v>0</v>
      </c>
      <c r="M1026" s="64">
        <f>+CUBICACION!M1025</f>
        <v>0</v>
      </c>
      <c r="N1026" s="824" t="str">
        <f>+CUBICACION!N1025</f>
        <v/>
      </c>
      <c r="O1026" s="675">
        <f>+CUBICACION!O1025</f>
        <v>0</v>
      </c>
      <c r="P1026" s="15">
        <f>IF(O1026="Fire Control",VLOOKUP(_xlfn.MINIFS('FIRE CONTROL'!$C$4:$C$37,'FIRE CONTROL'!$C$4:$C$37,"&gt;="&amp;M1026),'FIRE CONTROL'!$C$4:$G$37,IF(L1026="F-15",2,IF(L1026="F-30",3,IF(L1026="F-60",4,IF(L1026="F-90",5,0)))),0),0)+IF(AND(O1026="FIRE TEX 5062",OR(E1026="IN",E1026="C",E1026="Z",E1026="L"),J1026=3),VLOOKUP(_xlfn.MINIFS('FIRE TEX 5062'!$B$4:$B$34,'FIRE TEX 5062'!$B$4:$B$34,"&gt;="&amp;M1026),'FIRE TEX 5062'!$B$4:$F$34,IF(L1026="F-15",2,IF(L1026="F-30",3,IF(L1026="F-60",4,IF(L1026="F-90",5,0)))),0),0)+IF(AND(O1026="FIRE TEX 5062",OR(E1026="IN",E1026="C",E1026="Z",E1026="L"),J1026=4),VLOOKUP(_xlfn.MINIFS('FIRE TEX 5062'!$G$4:$G$34,'FIRE TEX 5062'!$G$4:$G$34,"&gt;="&amp;M1026),'FIRE TEX 5062'!$G$4:$K$34,IF(L1026="F-15",2,IF(L1026="F-30",3,IF(L1026="F-60",4,IF(L1026="F-90",5,0)))),0),0)+IF(AND(O1026="FIRE TEX 5062",E1026="CJ",J1026=3),VLOOKUP(_xlfn.MINIFS('FIRE TEX 5062'!$L$4:$L$34,'FIRE TEX 5062'!$L$4:$L$34,"&gt;="&amp;M1026),'FIRE TEX 5062'!$L$4:$P$34,IF(L1026="F-15",2,IF(L1026="F-30",3,IF(L1026="F-60",4,IF(L1026="F-90",5,0)))),0),0)+IF(AND(O1026="FIRE TEX 5062",E1026="CJ",J1026=4),VLOOKUP(_xlfn.MINIFS('FIRE TEX 5062'!$Q$3:$Q$34,'FIRE TEX 5062'!$Q$3:$Q$34,"&gt;="&amp;M1026),'FIRE TEX 5062'!$Q$3:$U$34,IF(L1026="F-15",2,IF(L1026="F-30",3,IF(L1026="F-60",4,IF(L1026="F-90",5,0)))),0),0)+IF(AND(O1026="FIRE TEX 5090",OR(E1026="IN",E1026="C",E1026="Z",E1026="L"),J1026=3),VLOOKUP(_xlfn.MINIFS('FIRE TEX 5090'!$B$5:$B$43,'FIRE TEX 5090'!$B$5:$B$43,"&gt;="&amp;M1026),'FIRE TEX 5090'!$B$5:$H$43,IF(L1026="F-15",2,IF(L1026="F-30",3,IF(L1026="F-60",4,IF(L1026="F-90",5,IF(L1026="F-120",6,IF(L1026="F-150",7,0)))))),0),0)+IF(AND(O1026="FIRE TEX 5090",OR(E1026="IN",E1026="C",E1026="Z",E1026="L"),J1026=4),VLOOKUP(_xlfn.MINIFS('FIRE TEX 5090'!$J$5:$J$43,'FIRE TEX 5090'!$J$5:$J$43,"&gt;="&amp;M1026),'FIRE TEX 5090'!$J$5:$P$43,IF(L1026="F-15",2,IF(L1026="F-30",3,IF(L1026="F-60",4,IF(L1026="F-90",5,IF(L1026="F-120",6,IF(L1026="F-150",7,0)))))),0),0)+IF(AND(O1026="FIRE TEX 5090",E1026="CJ",J1026=3),VLOOKUP(_xlfn.MINIFS('FIRE TEX 5090'!$R$5:$R$30,'FIRE TEX 5090'!$R$5:$R$30,"&gt;="&amp;M1026),'FIRE TEX 5090'!$R$5:$W$30,IF(L1026="F-15",2,IF(L1026="F-30",3,IF(L1026="F-60",4,IF(L1026="F-90",5,IF(L1026="F-120",6,IF(L1026="F-150",7,0)))))),0),0)+IF(AND(O1026="FIRE TEX 5090",E1026="CJ",J1026=4),VLOOKUP(_xlfn.MINIFS('FIRE TEX 5090'!$Y$5:$Y$39,'FIRE TEX 5090'!$Y$5:$Y$39,"&gt;="&amp;M1026),'FIRE TEX 5090'!$Y$5:$AD$39,IF(L1026="F-15",2,IF(L1026="F-30",3,IF(L1026="F-60",4,IF(L1026="F-90",5,IF(L1026="F-120",6,IF(L1026="F-150",7,0)))))),0),0)+IF(AND(O1026="FIRE TEX 5120",OR(E1026="IN",E1026="C",E1026="Z",E1026="L"),J1026=3),VLOOKUP(_xlfn.MINIFS('FIRE TEX 5120'!$B$5:$B$40,'FIRE TEX 5120'!$B$5:$B$40,"&gt;="&amp;M1026),'FIRE TEX 5120'!$B$5:$G$40,IF(L1026="F-15",2,IF(L1026="F-30",3,IF(L1026="F-60",4,IF(L1026="F-90",5,IF(L1026="F-120",6,0))))),0),0)+IF(AND(O1026="FIRE TEX 5120",OR(E1026="IN",E1026="C",E1026="Z",E1026="L"),J1026=4),VLOOKUP(_xlfn.MINIFS('FIRE TEX 5120'!$H$4:$H$40,'FIRE TEX 5120'!$H$4:$H$40,"&gt;="&amp;M1026),'FIRE TEX 5120'!$H$4:$M$40,IF(L1026="F-15",2,IF(L1026="F-30",3,IF(L1026="F-60",4,IF(L1026="F-90",5,IF(L1026="F-120",6,0))))),0),0)+IF(AND(O1026="FIRE TEX 5120",E1026="CJ"),VLOOKUP(_xlfn.MINIFS('FIRE TEX 5120'!$O$5:$O$40,'FIRE TEX 5120'!$O$5:$O$40,"&gt;="&amp;M1026),'FIRE TEX 5120'!$O$5:$T$40,IF(L1026="F-15",2,IF(L1026="F-30",3,IF(L1026="F-60",4,IF(L1026="F-90",5,IF(L1026="F-120",6,0))))),0),0)</f>
        <v>0</v>
      </c>
      <c r="Q1026" s="46">
        <f t="shared" si="99"/>
        <v>0</v>
      </c>
      <c r="R1026" s="46">
        <f t="shared" si="100"/>
        <v>0</v>
      </c>
      <c r="S1026" s="46" t="e">
        <f t="shared" si="101"/>
        <v>#VALUE!</v>
      </c>
      <c r="T1026" s="677">
        <f t="shared" si="102"/>
        <v>0</v>
      </c>
      <c r="U1026" s="80">
        <f>(IF(O1026="Stofire",(S1026*#REF!),0))+(IF(O1026="Fire Control",(S1026*$U$2),0))+(IF(O1026="Fire Tex",(S1026*$U$3),0))+(IF(O1026="WB7",(S1026*#REF!),0)+(IF(O1026="FX 2003",(S1026*$U$5),0)))</f>
        <v>0</v>
      </c>
      <c r="V1026" s="651">
        <f t="shared" si="103"/>
        <v>0</v>
      </c>
    </row>
    <row r="1027" spans="4:22" x14ac:dyDescent="0.25">
      <c r="D1027" s="118">
        <f>+CUBICACION!D1026</f>
        <v>0</v>
      </c>
      <c r="E1027" s="118">
        <f>+CUBICACION!F1026</f>
        <v>0</v>
      </c>
      <c r="F1027" s="118">
        <f>+CUBICACION!E1026</f>
        <v>0</v>
      </c>
      <c r="G1027" s="118">
        <v>12</v>
      </c>
      <c r="H1027" s="118">
        <v>2</v>
      </c>
      <c r="I1027" s="820">
        <v>26385</v>
      </c>
      <c r="J1027" s="118">
        <f>+CUBICACION!J1026</f>
        <v>0</v>
      </c>
      <c r="K1027" s="118">
        <v>3806</v>
      </c>
      <c r="L1027" s="118">
        <f>+CUBICACION!L1026</f>
        <v>0</v>
      </c>
      <c r="M1027" s="64">
        <f>+CUBICACION!M1026</f>
        <v>0</v>
      </c>
      <c r="N1027" s="824" t="str">
        <f>+CUBICACION!N1026</f>
        <v/>
      </c>
      <c r="O1027" s="675">
        <f>+CUBICACION!O1026</f>
        <v>0</v>
      </c>
      <c r="P1027" s="15">
        <f>IF(O1027="Fire Control",VLOOKUP(_xlfn.MINIFS('FIRE CONTROL'!$C$4:$C$37,'FIRE CONTROL'!$C$4:$C$37,"&gt;="&amp;M1027),'FIRE CONTROL'!$C$4:$G$37,IF(L1027="F-15",2,IF(L1027="F-30",3,IF(L1027="F-60",4,IF(L1027="F-90",5,0)))),0),0)+IF(AND(O1027="FIRE TEX 5062",OR(E1027="IN",E1027="C",E1027="Z",E1027="L"),J1027=3),VLOOKUP(_xlfn.MINIFS('FIRE TEX 5062'!$B$4:$B$34,'FIRE TEX 5062'!$B$4:$B$34,"&gt;="&amp;M1027),'FIRE TEX 5062'!$B$4:$F$34,IF(L1027="F-15",2,IF(L1027="F-30",3,IF(L1027="F-60",4,IF(L1027="F-90",5,0)))),0),0)+IF(AND(O1027="FIRE TEX 5062",OR(E1027="IN",E1027="C",E1027="Z",E1027="L"),J1027=4),VLOOKUP(_xlfn.MINIFS('FIRE TEX 5062'!$G$4:$G$34,'FIRE TEX 5062'!$G$4:$G$34,"&gt;="&amp;M1027),'FIRE TEX 5062'!$G$4:$K$34,IF(L1027="F-15",2,IF(L1027="F-30",3,IF(L1027="F-60",4,IF(L1027="F-90",5,0)))),0),0)+IF(AND(O1027="FIRE TEX 5062",E1027="CJ",J1027=3),VLOOKUP(_xlfn.MINIFS('FIRE TEX 5062'!$L$4:$L$34,'FIRE TEX 5062'!$L$4:$L$34,"&gt;="&amp;M1027),'FIRE TEX 5062'!$L$4:$P$34,IF(L1027="F-15",2,IF(L1027="F-30",3,IF(L1027="F-60",4,IF(L1027="F-90",5,0)))),0),0)+IF(AND(O1027="FIRE TEX 5062",E1027="CJ",J1027=4),VLOOKUP(_xlfn.MINIFS('FIRE TEX 5062'!$Q$3:$Q$34,'FIRE TEX 5062'!$Q$3:$Q$34,"&gt;="&amp;M1027),'FIRE TEX 5062'!$Q$3:$U$34,IF(L1027="F-15",2,IF(L1027="F-30",3,IF(L1027="F-60",4,IF(L1027="F-90",5,0)))),0),0)+IF(AND(O1027="FIRE TEX 5090",OR(E1027="IN",E1027="C",E1027="Z",E1027="L"),J1027=3),VLOOKUP(_xlfn.MINIFS('FIRE TEX 5090'!$B$5:$B$43,'FIRE TEX 5090'!$B$5:$B$43,"&gt;="&amp;M1027),'FIRE TEX 5090'!$B$5:$H$43,IF(L1027="F-15",2,IF(L1027="F-30",3,IF(L1027="F-60",4,IF(L1027="F-90",5,IF(L1027="F-120",6,IF(L1027="F-150",7,0)))))),0),0)+IF(AND(O1027="FIRE TEX 5090",OR(E1027="IN",E1027="C",E1027="Z",E1027="L"),J1027=4),VLOOKUP(_xlfn.MINIFS('FIRE TEX 5090'!$J$5:$J$43,'FIRE TEX 5090'!$J$5:$J$43,"&gt;="&amp;M1027),'FIRE TEX 5090'!$J$5:$P$43,IF(L1027="F-15",2,IF(L1027="F-30",3,IF(L1027="F-60",4,IF(L1027="F-90",5,IF(L1027="F-120",6,IF(L1027="F-150",7,0)))))),0),0)+IF(AND(O1027="FIRE TEX 5090",E1027="CJ",J1027=3),VLOOKUP(_xlfn.MINIFS('FIRE TEX 5090'!$R$5:$R$30,'FIRE TEX 5090'!$R$5:$R$30,"&gt;="&amp;M1027),'FIRE TEX 5090'!$R$5:$W$30,IF(L1027="F-15",2,IF(L1027="F-30",3,IF(L1027="F-60",4,IF(L1027="F-90",5,IF(L1027="F-120",6,IF(L1027="F-150",7,0)))))),0),0)+IF(AND(O1027="FIRE TEX 5090",E1027="CJ",J1027=4),VLOOKUP(_xlfn.MINIFS('FIRE TEX 5090'!$Y$5:$Y$39,'FIRE TEX 5090'!$Y$5:$Y$39,"&gt;="&amp;M1027),'FIRE TEX 5090'!$Y$5:$AD$39,IF(L1027="F-15",2,IF(L1027="F-30",3,IF(L1027="F-60",4,IF(L1027="F-90",5,IF(L1027="F-120",6,IF(L1027="F-150",7,0)))))),0),0)+IF(AND(O1027="FIRE TEX 5120",OR(E1027="IN",E1027="C",E1027="Z",E1027="L"),J1027=3),VLOOKUP(_xlfn.MINIFS('FIRE TEX 5120'!$B$5:$B$40,'FIRE TEX 5120'!$B$5:$B$40,"&gt;="&amp;M1027),'FIRE TEX 5120'!$B$5:$G$40,IF(L1027="F-15",2,IF(L1027="F-30",3,IF(L1027="F-60",4,IF(L1027="F-90",5,IF(L1027="F-120",6,0))))),0),0)+IF(AND(O1027="FIRE TEX 5120",OR(E1027="IN",E1027="C",E1027="Z",E1027="L"),J1027=4),VLOOKUP(_xlfn.MINIFS('FIRE TEX 5120'!$H$4:$H$40,'FIRE TEX 5120'!$H$4:$H$40,"&gt;="&amp;M1027),'FIRE TEX 5120'!$H$4:$M$40,IF(L1027="F-15",2,IF(L1027="F-30",3,IF(L1027="F-60",4,IF(L1027="F-90",5,IF(L1027="F-120",6,0))))),0),0)+IF(AND(O1027="FIRE TEX 5120",E1027="CJ"),VLOOKUP(_xlfn.MINIFS('FIRE TEX 5120'!$O$5:$O$40,'FIRE TEX 5120'!$O$5:$O$40,"&gt;="&amp;M1027),'FIRE TEX 5120'!$O$5:$T$40,IF(L1027="F-15",2,IF(L1027="F-30",3,IF(L1027="F-60",4,IF(L1027="F-90",5,IF(L1027="F-120",6,0))))),0),0)</f>
        <v>0</v>
      </c>
      <c r="Q1027" s="46">
        <f t="shared" si="99"/>
        <v>0</v>
      </c>
      <c r="R1027" s="46">
        <f t="shared" si="100"/>
        <v>0</v>
      </c>
      <c r="S1027" s="46" t="e">
        <f t="shared" si="101"/>
        <v>#VALUE!</v>
      </c>
      <c r="T1027" s="677">
        <f t="shared" si="102"/>
        <v>0</v>
      </c>
      <c r="U1027" s="80">
        <f>(IF(O1027="Stofire",(S1027*#REF!),0))+(IF(O1027="Fire Control",(S1027*$U$2),0))+(IF(O1027="Fire Tex",(S1027*$U$3),0))+(IF(O1027="WB7",(S1027*#REF!),0)+(IF(O1027="FX 2003",(S1027*$U$5),0)))</f>
        <v>0</v>
      </c>
      <c r="V1027" s="651">
        <f t="shared" si="103"/>
        <v>0</v>
      </c>
    </row>
    <row r="1028" spans="4:22" x14ac:dyDescent="0.25">
      <c r="D1028" s="118">
        <f>+CUBICACION!D1027</f>
        <v>0</v>
      </c>
      <c r="E1028" s="118">
        <f>+CUBICACION!F1027</f>
        <v>0</v>
      </c>
      <c r="F1028" s="118">
        <f>+CUBICACION!E1027</f>
        <v>0</v>
      </c>
      <c r="G1028" s="118">
        <v>12</v>
      </c>
      <c r="H1028" s="118">
        <v>2</v>
      </c>
      <c r="I1028" s="820">
        <v>26385</v>
      </c>
      <c r="J1028" s="118">
        <f>+CUBICACION!J1027</f>
        <v>0</v>
      </c>
      <c r="K1028" s="118">
        <v>3807</v>
      </c>
      <c r="L1028" s="118">
        <f>+CUBICACION!L1027</f>
        <v>0</v>
      </c>
      <c r="M1028" s="64">
        <f>+CUBICACION!M1027</f>
        <v>0</v>
      </c>
      <c r="N1028" s="824" t="str">
        <f>+CUBICACION!N1027</f>
        <v/>
      </c>
      <c r="O1028" s="675">
        <f>+CUBICACION!O1027</f>
        <v>0</v>
      </c>
      <c r="P1028" s="15">
        <f>IF(O1028="Fire Control",VLOOKUP(_xlfn.MINIFS('FIRE CONTROL'!$C$4:$C$37,'FIRE CONTROL'!$C$4:$C$37,"&gt;="&amp;M1028),'FIRE CONTROL'!$C$4:$G$37,IF(L1028="F-15",2,IF(L1028="F-30",3,IF(L1028="F-60",4,IF(L1028="F-90",5,0)))),0),0)+IF(AND(O1028="FIRE TEX 5062",OR(E1028="IN",E1028="C",E1028="Z",E1028="L"),J1028=3),VLOOKUP(_xlfn.MINIFS('FIRE TEX 5062'!$B$4:$B$34,'FIRE TEX 5062'!$B$4:$B$34,"&gt;="&amp;M1028),'FIRE TEX 5062'!$B$4:$F$34,IF(L1028="F-15",2,IF(L1028="F-30",3,IF(L1028="F-60",4,IF(L1028="F-90",5,0)))),0),0)+IF(AND(O1028="FIRE TEX 5062",OR(E1028="IN",E1028="C",E1028="Z",E1028="L"),J1028=4),VLOOKUP(_xlfn.MINIFS('FIRE TEX 5062'!$G$4:$G$34,'FIRE TEX 5062'!$G$4:$G$34,"&gt;="&amp;M1028),'FIRE TEX 5062'!$G$4:$K$34,IF(L1028="F-15",2,IF(L1028="F-30",3,IF(L1028="F-60",4,IF(L1028="F-90",5,0)))),0),0)+IF(AND(O1028="FIRE TEX 5062",E1028="CJ",J1028=3),VLOOKUP(_xlfn.MINIFS('FIRE TEX 5062'!$L$4:$L$34,'FIRE TEX 5062'!$L$4:$L$34,"&gt;="&amp;M1028),'FIRE TEX 5062'!$L$4:$P$34,IF(L1028="F-15",2,IF(L1028="F-30",3,IF(L1028="F-60",4,IF(L1028="F-90",5,0)))),0),0)+IF(AND(O1028="FIRE TEX 5062",E1028="CJ",J1028=4),VLOOKUP(_xlfn.MINIFS('FIRE TEX 5062'!$Q$3:$Q$34,'FIRE TEX 5062'!$Q$3:$Q$34,"&gt;="&amp;M1028),'FIRE TEX 5062'!$Q$3:$U$34,IF(L1028="F-15",2,IF(L1028="F-30",3,IF(L1028="F-60",4,IF(L1028="F-90",5,0)))),0),0)+IF(AND(O1028="FIRE TEX 5090",OR(E1028="IN",E1028="C",E1028="Z",E1028="L"),J1028=3),VLOOKUP(_xlfn.MINIFS('FIRE TEX 5090'!$B$5:$B$43,'FIRE TEX 5090'!$B$5:$B$43,"&gt;="&amp;M1028),'FIRE TEX 5090'!$B$5:$H$43,IF(L1028="F-15",2,IF(L1028="F-30",3,IF(L1028="F-60",4,IF(L1028="F-90",5,IF(L1028="F-120",6,IF(L1028="F-150",7,0)))))),0),0)+IF(AND(O1028="FIRE TEX 5090",OR(E1028="IN",E1028="C",E1028="Z",E1028="L"),J1028=4),VLOOKUP(_xlfn.MINIFS('FIRE TEX 5090'!$J$5:$J$43,'FIRE TEX 5090'!$J$5:$J$43,"&gt;="&amp;M1028),'FIRE TEX 5090'!$J$5:$P$43,IF(L1028="F-15",2,IF(L1028="F-30",3,IF(L1028="F-60",4,IF(L1028="F-90",5,IF(L1028="F-120",6,IF(L1028="F-150",7,0)))))),0),0)+IF(AND(O1028="FIRE TEX 5090",E1028="CJ",J1028=3),VLOOKUP(_xlfn.MINIFS('FIRE TEX 5090'!$R$5:$R$30,'FIRE TEX 5090'!$R$5:$R$30,"&gt;="&amp;M1028),'FIRE TEX 5090'!$R$5:$W$30,IF(L1028="F-15",2,IF(L1028="F-30",3,IF(L1028="F-60",4,IF(L1028="F-90",5,IF(L1028="F-120",6,IF(L1028="F-150",7,0)))))),0),0)+IF(AND(O1028="FIRE TEX 5090",E1028="CJ",J1028=4),VLOOKUP(_xlfn.MINIFS('FIRE TEX 5090'!$Y$5:$Y$39,'FIRE TEX 5090'!$Y$5:$Y$39,"&gt;="&amp;M1028),'FIRE TEX 5090'!$Y$5:$AD$39,IF(L1028="F-15",2,IF(L1028="F-30",3,IF(L1028="F-60",4,IF(L1028="F-90",5,IF(L1028="F-120",6,IF(L1028="F-150",7,0)))))),0),0)+IF(AND(O1028="FIRE TEX 5120",OR(E1028="IN",E1028="C",E1028="Z",E1028="L"),J1028=3),VLOOKUP(_xlfn.MINIFS('FIRE TEX 5120'!$B$5:$B$40,'FIRE TEX 5120'!$B$5:$B$40,"&gt;="&amp;M1028),'FIRE TEX 5120'!$B$5:$G$40,IF(L1028="F-15",2,IF(L1028="F-30",3,IF(L1028="F-60",4,IF(L1028="F-90",5,IF(L1028="F-120",6,0))))),0),0)+IF(AND(O1028="FIRE TEX 5120",OR(E1028="IN",E1028="C",E1028="Z",E1028="L"),J1028=4),VLOOKUP(_xlfn.MINIFS('FIRE TEX 5120'!$H$4:$H$40,'FIRE TEX 5120'!$H$4:$H$40,"&gt;="&amp;M1028),'FIRE TEX 5120'!$H$4:$M$40,IF(L1028="F-15",2,IF(L1028="F-30",3,IF(L1028="F-60",4,IF(L1028="F-90",5,IF(L1028="F-120",6,0))))),0),0)+IF(AND(O1028="FIRE TEX 5120",E1028="CJ"),VLOOKUP(_xlfn.MINIFS('FIRE TEX 5120'!$O$5:$O$40,'FIRE TEX 5120'!$O$5:$O$40,"&gt;="&amp;M1028),'FIRE TEX 5120'!$O$5:$T$40,IF(L1028="F-15",2,IF(L1028="F-30",3,IF(L1028="F-60",4,IF(L1028="F-90",5,IF(L1028="F-120",6,0))))),0),0)</f>
        <v>0</v>
      </c>
      <c r="Q1028" s="46">
        <f t="shared" si="99"/>
        <v>0</v>
      </c>
      <c r="R1028" s="46">
        <f t="shared" si="100"/>
        <v>0</v>
      </c>
      <c r="S1028" s="46" t="e">
        <f t="shared" si="101"/>
        <v>#VALUE!</v>
      </c>
      <c r="T1028" s="677">
        <f t="shared" si="102"/>
        <v>0</v>
      </c>
      <c r="U1028" s="80">
        <f>(IF(O1028="Stofire",(S1028*#REF!),0))+(IF(O1028="Fire Control",(S1028*$U$2),0))+(IF(O1028="Fire Tex",(S1028*$U$3),0))+(IF(O1028="WB7",(S1028*#REF!),0)+(IF(O1028="FX 2003",(S1028*$U$5),0)))</f>
        <v>0</v>
      </c>
      <c r="V1028" s="651">
        <f t="shared" si="103"/>
        <v>0</v>
      </c>
    </row>
    <row r="1029" spans="4:22" x14ac:dyDescent="0.25">
      <c r="D1029" s="118">
        <f>+CUBICACION!D1028</f>
        <v>0</v>
      </c>
      <c r="E1029" s="118">
        <f>+CUBICACION!F1028</f>
        <v>0</v>
      </c>
      <c r="F1029" s="118">
        <f>+CUBICACION!E1028</f>
        <v>0</v>
      </c>
      <c r="G1029" s="118">
        <v>12</v>
      </c>
      <c r="H1029" s="118">
        <v>2</v>
      </c>
      <c r="I1029" s="820">
        <v>26385</v>
      </c>
      <c r="J1029" s="118">
        <f>+CUBICACION!J1028</f>
        <v>0</v>
      </c>
      <c r="K1029" s="118">
        <v>3808</v>
      </c>
      <c r="L1029" s="118">
        <f>+CUBICACION!L1028</f>
        <v>0</v>
      </c>
      <c r="M1029" s="64">
        <f>+CUBICACION!M1028</f>
        <v>0</v>
      </c>
      <c r="N1029" s="824" t="str">
        <f>+CUBICACION!N1028</f>
        <v/>
      </c>
      <c r="O1029" s="675">
        <f>+CUBICACION!O1028</f>
        <v>0</v>
      </c>
      <c r="P1029" s="15">
        <f>IF(O1029="Fire Control",VLOOKUP(_xlfn.MINIFS('FIRE CONTROL'!$C$4:$C$37,'FIRE CONTROL'!$C$4:$C$37,"&gt;="&amp;M1029),'FIRE CONTROL'!$C$4:$G$37,IF(L1029="F-15",2,IF(L1029="F-30",3,IF(L1029="F-60",4,IF(L1029="F-90",5,0)))),0),0)+IF(AND(O1029="FIRE TEX 5062",OR(E1029="IN",E1029="C",E1029="Z",E1029="L"),J1029=3),VLOOKUP(_xlfn.MINIFS('FIRE TEX 5062'!$B$4:$B$34,'FIRE TEX 5062'!$B$4:$B$34,"&gt;="&amp;M1029),'FIRE TEX 5062'!$B$4:$F$34,IF(L1029="F-15",2,IF(L1029="F-30",3,IF(L1029="F-60",4,IF(L1029="F-90",5,0)))),0),0)+IF(AND(O1029="FIRE TEX 5062",OR(E1029="IN",E1029="C",E1029="Z",E1029="L"),J1029=4),VLOOKUP(_xlfn.MINIFS('FIRE TEX 5062'!$G$4:$G$34,'FIRE TEX 5062'!$G$4:$G$34,"&gt;="&amp;M1029),'FIRE TEX 5062'!$G$4:$K$34,IF(L1029="F-15",2,IF(L1029="F-30",3,IF(L1029="F-60",4,IF(L1029="F-90",5,0)))),0),0)+IF(AND(O1029="FIRE TEX 5062",E1029="CJ",J1029=3),VLOOKUP(_xlfn.MINIFS('FIRE TEX 5062'!$L$4:$L$34,'FIRE TEX 5062'!$L$4:$L$34,"&gt;="&amp;M1029),'FIRE TEX 5062'!$L$4:$P$34,IF(L1029="F-15",2,IF(L1029="F-30",3,IF(L1029="F-60",4,IF(L1029="F-90",5,0)))),0),0)+IF(AND(O1029="FIRE TEX 5062",E1029="CJ",J1029=4),VLOOKUP(_xlfn.MINIFS('FIRE TEX 5062'!$Q$3:$Q$34,'FIRE TEX 5062'!$Q$3:$Q$34,"&gt;="&amp;M1029),'FIRE TEX 5062'!$Q$3:$U$34,IF(L1029="F-15",2,IF(L1029="F-30",3,IF(L1029="F-60",4,IF(L1029="F-90",5,0)))),0),0)+IF(AND(O1029="FIRE TEX 5090",OR(E1029="IN",E1029="C",E1029="Z",E1029="L"),J1029=3),VLOOKUP(_xlfn.MINIFS('FIRE TEX 5090'!$B$5:$B$43,'FIRE TEX 5090'!$B$5:$B$43,"&gt;="&amp;M1029),'FIRE TEX 5090'!$B$5:$H$43,IF(L1029="F-15",2,IF(L1029="F-30",3,IF(L1029="F-60",4,IF(L1029="F-90",5,IF(L1029="F-120",6,IF(L1029="F-150",7,0)))))),0),0)+IF(AND(O1029="FIRE TEX 5090",OR(E1029="IN",E1029="C",E1029="Z",E1029="L"),J1029=4),VLOOKUP(_xlfn.MINIFS('FIRE TEX 5090'!$J$5:$J$43,'FIRE TEX 5090'!$J$5:$J$43,"&gt;="&amp;M1029),'FIRE TEX 5090'!$J$5:$P$43,IF(L1029="F-15",2,IF(L1029="F-30",3,IF(L1029="F-60",4,IF(L1029="F-90",5,IF(L1029="F-120",6,IF(L1029="F-150",7,0)))))),0),0)+IF(AND(O1029="FIRE TEX 5090",E1029="CJ",J1029=3),VLOOKUP(_xlfn.MINIFS('FIRE TEX 5090'!$R$5:$R$30,'FIRE TEX 5090'!$R$5:$R$30,"&gt;="&amp;M1029),'FIRE TEX 5090'!$R$5:$W$30,IF(L1029="F-15",2,IF(L1029="F-30",3,IF(L1029="F-60",4,IF(L1029="F-90",5,IF(L1029="F-120",6,IF(L1029="F-150",7,0)))))),0),0)+IF(AND(O1029="FIRE TEX 5090",E1029="CJ",J1029=4),VLOOKUP(_xlfn.MINIFS('FIRE TEX 5090'!$Y$5:$Y$39,'FIRE TEX 5090'!$Y$5:$Y$39,"&gt;="&amp;M1029),'FIRE TEX 5090'!$Y$5:$AD$39,IF(L1029="F-15",2,IF(L1029="F-30",3,IF(L1029="F-60",4,IF(L1029="F-90",5,IF(L1029="F-120",6,IF(L1029="F-150",7,0)))))),0),0)+IF(AND(O1029="FIRE TEX 5120",OR(E1029="IN",E1029="C",E1029="Z",E1029="L"),J1029=3),VLOOKUP(_xlfn.MINIFS('FIRE TEX 5120'!$B$5:$B$40,'FIRE TEX 5120'!$B$5:$B$40,"&gt;="&amp;M1029),'FIRE TEX 5120'!$B$5:$G$40,IF(L1029="F-15",2,IF(L1029="F-30",3,IF(L1029="F-60",4,IF(L1029="F-90",5,IF(L1029="F-120",6,0))))),0),0)+IF(AND(O1029="FIRE TEX 5120",OR(E1029="IN",E1029="C",E1029="Z",E1029="L"),J1029=4),VLOOKUP(_xlfn.MINIFS('FIRE TEX 5120'!$H$4:$H$40,'FIRE TEX 5120'!$H$4:$H$40,"&gt;="&amp;M1029),'FIRE TEX 5120'!$H$4:$M$40,IF(L1029="F-15",2,IF(L1029="F-30",3,IF(L1029="F-60",4,IF(L1029="F-90",5,IF(L1029="F-120",6,0))))),0),0)+IF(AND(O1029="FIRE TEX 5120",E1029="CJ"),VLOOKUP(_xlfn.MINIFS('FIRE TEX 5120'!$O$5:$O$40,'FIRE TEX 5120'!$O$5:$O$40,"&gt;="&amp;M1029),'FIRE TEX 5120'!$O$5:$T$40,IF(L1029="F-15",2,IF(L1029="F-30",3,IF(L1029="F-60",4,IF(L1029="F-90",5,IF(L1029="F-120",6,0))))),0),0)</f>
        <v>0</v>
      </c>
      <c r="Q1029" s="46">
        <f t="shared" si="99"/>
        <v>0</v>
      </c>
      <c r="R1029" s="46">
        <f t="shared" si="100"/>
        <v>0</v>
      </c>
      <c r="S1029" s="46" t="e">
        <f t="shared" si="101"/>
        <v>#VALUE!</v>
      </c>
      <c r="T1029" s="677">
        <f t="shared" si="102"/>
        <v>0</v>
      </c>
      <c r="U1029" s="80">
        <f>(IF(O1029="Stofire",(S1029*#REF!),0))+(IF(O1029="Fire Control",(S1029*$U$2),0))+(IF(O1029="Fire Tex",(S1029*$U$3),0))+(IF(O1029="WB7",(S1029*#REF!),0)+(IF(O1029="FX 2003",(S1029*$U$5),0)))</f>
        <v>0</v>
      </c>
      <c r="V1029" s="651">
        <f t="shared" si="103"/>
        <v>0</v>
      </c>
    </row>
    <row r="1030" spans="4:22" x14ac:dyDescent="0.25">
      <c r="D1030" s="118">
        <f>+CUBICACION!D1029</f>
        <v>0</v>
      </c>
      <c r="E1030" s="118">
        <f>+CUBICACION!F1029</f>
        <v>0</v>
      </c>
      <c r="F1030" s="118">
        <f>+CUBICACION!E1029</f>
        <v>0</v>
      </c>
      <c r="G1030" s="118">
        <v>12</v>
      </c>
      <c r="H1030" s="118">
        <v>2</v>
      </c>
      <c r="I1030" s="820">
        <v>26385</v>
      </c>
      <c r="J1030" s="118">
        <f>+CUBICACION!J1029</f>
        <v>0</v>
      </c>
      <c r="K1030" s="118">
        <v>3809</v>
      </c>
      <c r="L1030" s="118">
        <f>+CUBICACION!L1029</f>
        <v>0</v>
      </c>
      <c r="M1030" s="64">
        <f>+CUBICACION!M1029</f>
        <v>0</v>
      </c>
      <c r="N1030" s="824" t="str">
        <f>+CUBICACION!N1029</f>
        <v/>
      </c>
      <c r="O1030" s="675">
        <f>+CUBICACION!O1029</f>
        <v>0</v>
      </c>
      <c r="P1030" s="15">
        <f>IF(O1030="Fire Control",VLOOKUP(_xlfn.MINIFS('FIRE CONTROL'!$C$4:$C$37,'FIRE CONTROL'!$C$4:$C$37,"&gt;="&amp;M1030),'FIRE CONTROL'!$C$4:$G$37,IF(L1030="F-15",2,IF(L1030="F-30",3,IF(L1030="F-60",4,IF(L1030="F-90",5,0)))),0),0)+IF(AND(O1030="FIRE TEX 5062",OR(E1030="IN",E1030="C",E1030="Z",E1030="L"),J1030=3),VLOOKUP(_xlfn.MINIFS('FIRE TEX 5062'!$B$4:$B$34,'FIRE TEX 5062'!$B$4:$B$34,"&gt;="&amp;M1030),'FIRE TEX 5062'!$B$4:$F$34,IF(L1030="F-15",2,IF(L1030="F-30",3,IF(L1030="F-60",4,IF(L1030="F-90",5,0)))),0),0)+IF(AND(O1030="FIRE TEX 5062",OR(E1030="IN",E1030="C",E1030="Z",E1030="L"),J1030=4),VLOOKUP(_xlfn.MINIFS('FIRE TEX 5062'!$G$4:$G$34,'FIRE TEX 5062'!$G$4:$G$34,"&gt;="&amp;M1030),'FIRE TEX 5062'!$G$4:$K$34,IF(L1030="F-15",2,IF(L1030="F-30",3,IF(L1030="F-60",4,IF(L1030="F-90",5,0)))),0),0)+IF(AND(O1030="FIRE TEX 5062",E1030="CJ",J1030=3),VLOOKUP(_xlfn.MINIFS('FIRE TEX 5062'!$L$4:$L$34,'FIRE TEX 5062'!$L$4:$L$34,"&gt;="&amp;M1030),'FIRE TEX 5062'!$L$4:$P$34,IF(L1030="F-15",2,IF(L1030="F-30",3,IF(L1030="F-60",4,IF(L1030="F-90",5,0)))),0),0)+IF(AND(O1030="FIRE TEX 5062",E1030="CJ",J1030=4),VLOOKUP(_xlfn.MINIFS('FIRE TEX 5062'!$Q$3:$Q$34,'FIRE TEX 5062'!$Q$3:$Q$34,"&gt;="&amp;M1030),'FIRE TEX 5062'!$Q$3:$U$34,IF(L1030="F-15",2,IF(L1030="F-30",3,IF(L1030="F-60",4,IF(L1030="F-90",5,0)))),0),0)+IF(AND(O1030="FIRE TEX 5090",OR(E1030="IN",E1030="C",E1030="Z",E1030="L"),J1030=3),VLOOKUP(_xlfn.MINIFS('FIRE TEX 5090'!$B$5:$B$43,'FIRE TEX 5090'!$B$5:$B$43,"&gt;="&amp;M1030),'FIRE TEX 5090'!$B$5:$H$43,IF(L1030="F-15",2,IF(L1030="F-30",3,IF(L1030="F-60",4,IF(L1030="F-90",5,IF(L1030="F-120",6,IF(L1030="F-150",7,0)))))),0),0)+IF(AND(O1030="FIRE TEX 5090",OR(E1030="IN",E1030="C",E1030="Z",E1030="L"),J1030=4),VLOOKUP(_xlfn.MINIFS('FIRE TEX 5090'!$J$5:$J$43,'FIRE TEX 5090'!$J$5:$J$43,"&gt;="&amp;M1030),'FIRE TEX 5090'!$J$5:$P$43,IF(L1030="F-15",2,IF(L1030="F-30",3,IF(L1030="F-60",4,IF(L1030="F-90",5,IF(L1030="F-120",6,IF(L1030="F-150",7,0)))))),0),0)+IF(AND(O1030="FIRE TEX 5090",E1030="CJ",J1030=3),VLOOKUP(_xlfn.MINIFS('FIRE TEX 5090'!$R$5:$R$30,'FIRE TEX 5090'!$R$5:$R$30,"&gt;="&amp;M1030),'FIRE TEX 5090'!$R$5:$W$30,IF(L1030="F-15",2,IF(L1030="F-30",3,IF(L1030="F-60",4,IF(L1030="F-90",5,IF(L1030="F-120",6,IF(L1030="F-150",7,0)))))),0),0)+IF(AND(O1030="FIRE TEX 5090",E1030="CJ",J1030=4),VLOOKUP(_xlfn.MINIFS('FIRE TEX 5090'!$Y$5:$Y$39,'FIRE TEX 5090'!$Y$5:$Y$39,"&gt;="&amp;M1030),'FIRE TEX 5090'!$Y$5:$AD$39,IF(L1030="F-15",2,IF(L1030="F-30",3,IF(L1030="F-60",4,IF(L1030="F-90",5,IF(L1030="F-120",6,IF(L1030="F-150",7,0)))))),0),0)+IF(AND(O1030="FIRE TEX 5120",OR(E1030="IN",E1030="C",E1030="Z",E1030="L"),J1030=3),VLOOKUP(_xlfn.MINIFS('FIRE TEX 5120'!$B$5:$B$40,'FIRE TEX 5120'!$B$5:$B$40,"&gt;="&amp;M1030),'FIRE TEX 5120'!$B$5:$G$40,IF(L1030="F-15",2,IF(L1030="F-30",3,IF(L1030="F-60",4,IF(L1030="F-90",5,IF(L1030="F-120",6,0))))),0),0)+IF(AND(O1030="FIRE TEX 5120",OR(E1030="IN",E1030="C",E1030="Z",E1030="L"),J1030=4),VLOOKUP(_xlfn.MINIFS('FIRE TEX 5120'!$H$4:$H$40,'FIRE TEX 5120'!$H$4:$H$40,"&gt;="&amp;M1030),'FIRE TEX 5120'!$H$4:$M$40,IF(L1030="F-15",2,IF(L1030="F-30",3,IF(L1030="F-60",4,IF(L1030="F-90",5,IF(L1030="F-120",6,0))))),0),0)+IF(AND(O1030="FIRE TEX 5120",E1030="CJ"),VLOOKUP(_xlfn.MINIFS('FIRE TEX 5120'!$O$5:$O$40,'FIRE TEX 5120'!$O$5:$O$40,"&gt;="&amp;M1030),'FIRE TEX 5120'!$O$5:$T$40,IF(L1030="F-15",2,IF(L1030="F-30",3,IF(L1030="F-60",4,IF(L1030="F-90",5,IF(L1030="F-120",6,0))))),0),0)</f>
        <v>0</v>
      </c>
      <c r="Q1030" s="46">
        <f t="shared" si="99"/>
        <v>0</v>
      </c>
      <c r="R1030" s="46">
        <f t="shared" si="100"/>
        <v>0</v>
      </c>
      <c r="S1030" s="46" t="e">
        <f t="shared" si="101"/>
        <v>#VALUE!</v>
      </c>
      <c r="T1030" s="677">
        <f t="shared" si="102"/>
        <v>0</v>
      </c>
      <c r="U1030" s="80">
        <f>(IF(O1030="Stofire",(S1030*#REF!),0))+(IF(O1030="Fire Control",(S1030*$U$2),0))+(IF(O1030="Fire Tex",(S1030*$U$3),0))+(IF(O1030="WB7",(S1030*#REF!),0)+(IF(O1030="FX 2003",(S1030*$U$5),0)))</f>
        <v>0</v>
      </c>
      <c r="V1030" s="651">
        <f t="shared" si="103"/>
        <v>0</v>
      </c>
    </row>
    <row r="1031" spans="4:22" x14ac:dyDescent="0.25">
      <c r="D1031" s="118">
        <f>+CUBICACION!D1030</f>
        <v>0</v>
      </c>
      <c r="E1031" s="118">
        <f>+CUBICACION!F1030</f>
        <v>0</v>
      </c>
      <c r="F1031" s="118">
        <f>+CUBICACION!E1030</f>
        <v>0</v>
      </c>
      <c r="G1031" s="118">
        <v>12</v>
      </c>
      <c r="H1031" s="118">
        <v>2</v>
      </c>
      <c r="I1031" s="820">
        <v>26385</v>
      </c>
      <c r="J1031" s="118">
        <f>+CUBICACION!J1030</f>
        <v>0</v>
      </c>
      <c r="K1031" s="118">
        <v>3810</v>
      </c>
      <c r="L1031" s="118">
        <f>+CUBICACION!L1030</f>
        <v>0</v>
      </c>
      <c r="M1031" s="64">
        <f>+CUBICACION!M1030</f>
        <v>0</v>
      </c>
      <c r="N1031" s="824" t="str">
        <f>+CUBICACION!N1030</f>
        <v/>
      </c>
      <c r="O1031" s="675">
        <f>+CUBICACION!O1030</f>
        <v>0</v>
      </c>
      <c r="P1031" s="15">
        <f>IF(O1031="Fire Control",VLOOKUP(_xlfn.MINIFS('FIRE CONTROL'!$C$4:$C$37,'FIRE CONTROL'!$C$4:$C$37,"&gt;="&amp;M1031),'FIRE CONTROL'!$C$4:$G$37,IF(L1031="F-15",2,IF(L1031="F-30",3,IF(L1031="F-60",4,IF(L1031="F-90",5,0)))),0),0)+IF(AND(O1031="FIRE TEX 5062",OR(E1031="IN",E1031="C",E1031="Z",E1031="L"),J1031=3),VLOOKUP(_xlfn.MINIFS('FIRE TEX 5062'!$B$4:$B$34,'FIRE TEX 5062'!$B$4:$B$34,"&gt;="&amp;M1031),'FIRE TEX 5062'!$B$4:$F$34,IF(L1031="F-15",2,IF(L1031="F-30",3,IF(L1031="F-60",4,IF(L1031="F-90",5,0)))),0),0)+IF(AND(O1031="FIRE TEX 5062",OR(E1031="IN",E1031="C",E1031="Z",E1031="L"),J1031=4),VLOOKUP(_xlfn.MINIFS('FIRE TEX 5062'!$G$4:$G$34,'FIRE TEX 5062'!$G$4:$G$34,"&gt;="&amp;M1031),'FIRE TEX 5062'!$G$4:$K$34,IF(L1031="F-15",2,IF(L1031="F-30",3,IF(L1031="F-60",4,IF(L1031="F-90",5,0)))),0),0)+IF(AND(O1031="FIRE TEX 5062",E1031="CJ",J1031=3),VLOOKUP(_xlfn.MINIFS('FIRE TEX 5062'!$L$4:$L$34,'FIRE TEX 5062'!$L$4:$L$34,"&gt;="&amp;M1031),'FIRE TEX 5062'!$L$4:$P$34,IF(L1031="F-15",2,IF(L1031="F-30",3,IF(L1031="F-60",4,IF(L1031="F-90",5,0)))),0),0)+IF(AND(O1031="FIRE TEX 5062",E1031="CJ",J1031=4),VLOOKUP(_xlfn.MINIFS('FIRE TEX 5062'!$Q$3:$Q$34,'FIRE TEX 5062'!$Q$3:$Q$34,"&gt;="&amp;M1031),'FIRE TEX 5062'!$Q$3:$U$34,IF(L1031="F-15",2,IF(L1031="F-30",3,IF(L1031="F-60",4,IF(L1031="F-90",5,0)))),0),0)+IF(AND(O1031="FIRE TEX 5090",OR(E1031="IN",E1031="C",E1031="Z",E1031="L"),J1031=3),VLOOKUP(_xlfn.MINIFS('FIRE TEX 5090'!$B$5:$B$43,'FIRE TEX 5090'!$B$5:$B$43,"&gt;="&amp;M1031),'FIRE TEX 5090'!$B$5:$H$43,IF(L1031="F-15",2,IF(L1031="F-30",3,IF(L1031="F-60",4,IF(L1031="F-90",5,IF(L1031="F-120",6,IF(L1031="F-150",7,0)))))),0),0)+IF(AND(O1031="FIRE TEX 5090",OR(E1031="IN",E1031="C",E1031="Z",E1031="L"),J1031=4),VLOOKUP(_xlfn.MINIFS('FIRE TEX 5090'!$J$5:$J$43,'FIRE TEX 5090'!$J$5:$J$43,"&gt;="&amp;M1031),'FIRE TEX 5090'!$J$5:$P$43,IF(L1031="F-15",2,IF(L1031="F-30",3,IF(L1031="F-60",4,IF(L1031="F-90",5,IF(L1031="F-120",6,IF(L1031="F-150",7,0)))))),0),0)+IF(AND(O1031="FIRE TEX 5090",E1031="CJ",J1031=3),VLOOKUP(_xlfn.MINIFS('FIRE TEX 5090'!$R$5:$R$30,'FIRE TEX 5090'!$R$5:$R$30,"&gt;="&amp;M1031),'FIRE TEX 5090'!$R$5:$W$30,IF(L1031="F-15",2,IF(L1031="F-30",3,IF(L1031="F-60",4,IF(L1031="F-90",5,IF(L1031="F-120",6,IF(L1031="F-150",7,0)))))),0),0)+IF(AND(O1031="FIRE TEX 5090",E1031="CJ",J1031=4),VLOOKUP(_xlfn.MINIFS('FIRE TEX 5090'!$Y$5:$Y$39,'FIRE TEX 5090'!$Y$5:$Y$39,"&gt;="&amp;M1031),'FIRE TEX 5090'!$Y$5:$AD$39,IF(L1031="F-15",2,IF(L1031="F-30",3,IF(L1031="F-60",4,IF(L1031="F-90",5,IF(L1031="F-120",6,IF(L1031="F-150",7,0)))))),0),0)+IF(AND(O1031="FIRE TEX 5120",OR(E1031="IN",E1031="C",E1031="Z",E1031="L"),J1031=3),VLOOKUP(_xlfn.MINIFS('FIRE TEX 5120'!$B$5:$B$40,'FIRE TEX 5120'!$B$5:$B$40,"&gt;="&amp;M1031),'FIRE TEX 5120'!$B$5:$G$40,IF(L1031="F-15",2,IF(L1031="F-30",3,IF(L1031="F-60",4,IF(L1031="F-90",5,IF(L1031="F-120",6,0))))),0),0)+IF(AND(O1031="FIRE TEX 5120",OR(E1031="IN",E1031="C",E1031="Z",E1031="L"),J1031=4),VLOOKUP(_xlfn.MINIFS('FIRE TEX 5120'!$H$4:$H$40,'FIRE TEX 5120'!$H$4:$H$40,"&gt;="&amp;M1031),'FIRE TEX 5120'!$H$4:$M$40,IF(L1031="F-15",2,IF(L1031="F-30",3,IF(L1031="F-60",4,IF(L1031="F-90",5,IF(L1031="F-120",6,0))))),0),0)+IF(AND(O1031="FIRE TEX 5120",E1031="CJ"),VLOOKUP(_xlfn.MINIFS('FIRE TEX 5120'!$O$5:$O$40,'FIRE TEX 5120'!$O$5:$O$40,"&gt;="&amp;M1031),'FIRE TEX 5120'!$O$5:$T$40,IF(L1031="F-15",2,IF(L1031="F-30",3,IF(L1031="F-60",4,IF(L1031="F-90",5,IF(L1031="F-120",6,0))))),0),0)</f>
        <v>0</v>
      </c>
      <c r="Q1031" s="46">
        <f t="shared" si="99"/>
        <v>0</v>
      </c>
      <c r="R1031" s="46">
        <f t="shared" si="100"/>
        <v>0</v>
      </c>
      <c r="S1031" s="46" t="e">
        <f t="shared" si="101"/>
        <v>#VALUE!</v>
      </c>
      <c r="T1031" s="677">
        <f t="shared" si="102"/>
        <v>0</v>
      </c>
      <c r="U1031" s="80">
        <f>(IF(O1031="Stofire",(S1031*#REF!),0))+(IF(O1031="Fire Control",(S1031*$U$2),0))+(IF(O1031="Fire Tex",(S1031*$U$3),0))+(IF(O1031="WB7",(S1031*#REF!),0)+(IF(O1031="FX 2003",(S1031*$U$5),0)))</f>
        <v>0</v>
      </c>
      <c r="V1031" s="651">
        <f t="shared" si="103"/>
        <v>0</v>
      </c>
    </row>
    <row r="1032" spans="4:22" x14ac:dyDescent="0.25">
      <c r="D1032" s="118">
        <f>+CUBICACION!D1031</f>
        <v>0</v>
      </c>
      <c r="E1032" s="118">
        <f>+CUBICACION!F1031</f>
        <v>0</v>
      </c>
      <c r="F1032" s="118">
        <f>+CUBICACION!E1031</f>
        <v>0</v>
      </c>
      <c r="G1032" s="118">
        <v>12</v>
      </c>
      <c r="H1032" s="118">
        <v>2</v>
      </c>
      <c r="I1032" s="820">
        <v>26385</v>
      </c>
      <c r="J1032" s="118">
        <f>+CUBICACION!J1031</f>
        <v>0</v>
      </c>
      <c r="K1032" s="118">
        <v>3811</v>
      </c>
      <c r="L1032" s="118">
        <f>+CUBICACION!L1031</f>
        <v>0</v>
      </c>
      <c r="M1032" s="64">
        <f>+CUBICACION!M1031</f>
        <v>0</v>
      </c>
      <c r="N1032" s="824" t="str">
        <f>+CUBICACION!N1031</f>
        <v/>
      </c>
      <c r="O1032" s="675">
        <f>+CUBICACION!O1031</f>
        <v>0</v>
      </c>
      <c r="P1032" s="15">
        <f>IF(O1032="Fire Control",VLOOKUP(_xlfn.MINIFS('FIRE CONTROL'!$C$4:$C$37,'FIRE CONTROL'!$C$4:$C$37,"&gt;="&amp;M1032),'FIRE CONTROL'!$C$4:$G$37,IF(L1032="F-15",2,IF(L1032="F-30",3,IF(L1032="F-60",4,IF(L1032="F-90",5,0)))),0),0)+IF(AND(O1032="FIRE TEX 5062",OR(E1032="IN",E1032="C",E1032="Z",E1032="L"),J1032=3),VLOOKUP(_xlfn.MINIFS('FIRE TEX 5062'!$B$4:$B$34,'FIRE TEX 5062'!$B$4:$B$34,"&gt;="&amp;M1032),'FIRE TEX 5062'!$B$4:$F$34,IF(L1032="F-15",2,IF(L1032="F-30",3,IF(L1032="F-60",4,IF(L1032="F-90",5,0)))),0),0)+IF(AND(O1032="FIRE TEX 5062",OR(E1032="IN",E1032="C",E1032="Z",E1032="L"),J1032=4),VLOOKUP(_xlfn.MINIFS('FIRE TEX 5062'!$G$4:$G$34,'FIRE TEX 5062'!$G$4:$G$34,"&gt;="&amp;M1032),'FIRE TEX 5062'!$G$4:$K$34,IF(L1032="F-15",2,IF(L1032="F-30",3,IF(L1032="F-60",4,IF(L1032="F-90",5,0)))),0),0)+IF(AND(O1032="FIRE TEX 5062",E1032="CJ",J1032=3),VLOOKUP(_xlfn.MINIFS('FIRE TEX 5062'!$L$4:$L$34,'FIRE TEX 5062'!$L$4:$L$34,"&gt;="&amp;M1032),'FIRE TEX 5062'!$L$4:$P$34,IF(L1032="F-15",2,IF(L1032="F-30",3,IF(L1032="F-60",4,IF(L1032="F-90",5,0)))),0),0)+IF(AND(O1032="FIRE TEX 5062",E1032="CJ",J1032=4),VLOOKUP(_xlfn.MINIFS('FIRE TEX 5062'!$Q$3:$Q$34,'FIRE TEX 5062'!$Q$3:$Q$34,"&gt;="&amp;M1032),'FIRE TEX 5062'!$Q$3:$U$34,IF(L1032="F-15",2,IF(L1032="F-30",3,IF(L1032="F-60",4,IF(L1032="F-90",5,0)))),0),0)+IF(AND(O1032="FIRE TEX 5090",OR(E1032="IN",E1032="C",E1032="Z",E1032="L"),J1032=3),VLOOKUP(_xlfn.MINIFS('FIRE TEX 5090'!$B$5:$B$43,'FIRE TEX 5090'!$B$5:$B$43,"&gt;="&amp;M1032),'FIRE TEX 5090'!$B$5:$H$43,IF(L1032="F-15",2,IF(L1032="F-30",3,IF(L1032="F-60",4,IF(L1032="F-90",5,IF(L1032="F-120",6,IF(L1032="F-150",7,0)))))),0),0)+IF(AND(O1032="FIRE TEX 5090",OR(E1032="IN",E1032="C",E1032="Z",E1032="L"),J1032=4),VLOOKUP(_xlfn.MINIFS('FIRE TEX 5090'!$J$5:$J$43,'FIRE TEX 5090'!$J$5:$J$43,"&gt;="&amp;M1032),'FIRE TEX 5090'!$J$5:$P$43,IF(L1032="F-15",2,IF(L1032="F-30",3,IF(L1032="F-60",4,IF(L1032="F-90",5,IF(L1032="F-120",6,IF(L1032="F-150",7,0)))))),0),0)+IF(AND(O1032="FIRE TEX 5090",E1032="CJ",J1032=3),VLOOKUP(_xlfn.MINIFS('FIRE TEX 5090'!$R$5:$R$30,'FIRE TEX 5090'!$R$5:$R$30,"&gt;="&amp;M1032),'FIRE TEX 5090'!$R$5:$W$30,IF(L1032="F-15",2,IF(L1032="F-30",3,IF(L1032="F-60",4,IF(L1032="F-90",5,IF(L1032="F-120",6,IF(L1032="F-150",7,0)))))),0),0)+IF(AND(O1032="FIRE TEX 5090",E1032="CJ",J1032=4),VLOOKUP(_xlfn.MINIFS('FIRE TEX 5090'!$Y$5:$Y$39,'FIRE TEX 5090'!$Y$5:$Y$39,"&gt;="&amp;M1032),'FIRE TEX 5090'!$Y$5:$AD$39,IF(L1032="F-15",2,IF(L1032="F-30",3,IF(L1032="F-60",4,IF(L1032="F-90",5,IF(L1032="F-120",6,IF(L1032="F-150",7,0)))))),0),0)+IF(AND(O1032="FIRE TEX 5120",OR(E1032="IN",E1032="C",E1032="Z",E1032="L"),J1032=3),VLOOKUP(_xlfn.MINIFS('FIRE TEX 5120'!$B$5:$B$40,'FIRE TEX 5120'!$B$5:$B$40,"&gt;="&amp;M1032),'FIRE TEX 5120'!$B$5:$G$40,IF(L1032="F-15",2,IF(L1032="F-30",3,IF(L1032="F-60",4,IF(L1032="F-90",5,IF(L1032="F-120",6,0))))),0),0)+IF(AND(O1032="FIRE TEX 5120",OR(E1032="IN",E1032="C",E1032="Z",E1032="L"),J1032=4),VLOOKUP(_xlfn.MINIFS('FIRE TEX 5120'!$H$4:$H$40,'FIRE TEX 5120'!$H$4:$H$40,"&gt;="&amp;M1032),'FIRE TEX 5120'!$H$4:$M$40,IF(L1032="F-15",2,IF(L1032="F-30",3,IF(L1032="F-60",4,IF(L1032="F-90",5,IF(L1032="F-120",6,0))))),0),0)+IF(AND(O1032="FIRE TEX 5120",E1032="CJ"),VLOOKUP(_xlfn.MINIFS('FIRE TEX 5120'!$O$5:$O$40,'FIRE TEX 5120'!$O$5:$O$40,"&gt;="&amp;M1032),'FIRE TEX 5120'!$O$5:$T$40,IF(L1032="F-15",2,IF(L1032="F-30",3,IF(L1032="F-60",4,IF(L1032="F-90",5,IF(L1032="F-120",6,0))))),0),0)</f>
        <v>0</v>
      </c>
      <c r="Q1032" s="46">
        <f t="shared" si="99"/>
        <v>0</v>
      </c>
      <c r="R1032" s="46">
        <f t="shared" si="100"/>
        <v>0</v>
      </c>
      <c r="S1032" s="46" t="e">
        <f t="shared" si="101"/>
        <v>#VALUE!</v>
      </c>
      <c r="T1032" s="677">
        <f t="shared" si="102"/>
        <v>0</v>
      </c>
      <c r="U1032" s="80">
        <f>(IF(O1032="Stofire",(S1032*#REF!),0))+(IF(O1032="Fire Control",(S1032*$U$2),0))+(IF(O1032="Fire Tex",(S1032*$U$3),0))+(IF(O1032="WB7",(S1032*#REF!),0)+(IF(O1032="FX 2003",(S1032*$U$5),0)))</f>
        <v>0</v>
      </c>
      <c r="V1032" s="651">
        <f t="shared" si="103"/>
        <v>0</v>
      </c>
    </row>
    <row r="1033" spans="4:22" x14ac:dyDescent="0.25">
      <c r="D1033" s="118">
        <f>+CUBICACION!D1032</f>
        <v>0</v>
      </c>
      <c r="E1033" s="118">
        <f>+CUBICACION!F1032</f>
        <v>0</v>
      </c>
      <c r="F1033" s="118">
        <f>+CUBICACION!E1032</f>
        <v>0</v>
      </c>
      <c r="G1033" s="118">
        <v>12</v>
      </c>
      <c r="H1033" s="118">
        <v>2</v>
      </c>
      <c r="I1033" s="820">
        <v>26385</v>
      </c>
      <c r="J1033" s="118">
        <f>+CUBICACION!J1032</f>
        <v>0</v>
      </c>
      <c r="K1033" s="118">
        <v>3812</v>
      </c>
      <c r="L1033" s="118">
        <f>+CUBICACION!L1032</f>
        <v>0</v>
      </c>
      <c r="M1033" s="64">
        <f>+CUBICACION!M1032</f>
        <v>0</v>
      </c>
      <c r="N1033" s="824" t="str">
        <f>+CUBICACION!N1032</f>
        <v/>
      </c>
      <c r="O1033" s="675">
        <f>+CUBICACION!O1032</f>
        <v>0</v>
      </c>
      <c r="P1033" s="15">
        <f>IF(O1033="Fire Control",VLOOKUP(_xlfn.MINIFS('FIRE CONTROL'!$C$4:$C$37,'FIRE CONTROL'!$C$4:$C$37,"&gt;="&amp;M1033),'FIRE CONTROL'!$C$4:$G$37,IF(L1033="F-15",2,IF(L1033="F-30",3,IF(L1033="F-60",4,IF(L1033="F-90",5,0)))),0),0)+IF(AND(O1033="FIRE TEX 5062",OR(E1033="IN",E1033="C",E1033="Z",E1033="L"),J1033=3),VLOOKUP(_xlfn.MINIFS('FIRE TEX 5062'!$B$4:$B$34,'FIRE TEX 5062'!$B$4:$B$34,"&gt;="&amp;M1033),'FIRE TEX 5062'!$B$4:$F$34,IF(L1033="F-15",2,IF(L1033="F-30",3,IF(L1033="F-60",4,IF(L1033="F-90",5,0)))),0),0)+IF(AND(O1033="FIRE TEX 5062",OR(E1033="IN",E1033="C",E1033="Z",E1033="L"),J1033=4),VLOOKUP(_xlfn.MINIFS('FIRE TEX 5062'!$G$4:$G$34,'FIRE TEX 5062'!$G$4:$G$34,"&gt;="&amp;M1033),'FIRE TEX 5062'!$G$4:$K$34,IF(L1033="F-15",2,IF(L1033="F-30",3,IF(L1033="F-60",4,IF(L1033="F-90",5,0)))),0),0)+IF(AND(O1033="FIRE TEX 5062",E1033="CJ",J1033=3),VLOOKUP(_xlfn.MINIFS('FIRE TEX 5062'!$L$4:$L$34,'FIRE TEX 5062'!$L$4:$L$34,"&gt;="&amp;M1033),'FIRE TEX 5062'!$L$4:$P$34,IF(L1033="F-15",2,IF(L1033="F-30",3,IF(L1033="F-60",4,IF(L1033="F-90",5,0)))),0),0)+IF(AND(O1033="FIRE TEX 5062",E1033="CJ",J1033=4),VLOOKUP(_xlfn.MINIFS('FIRE TEX 5062'!$Q$3:$Q$34,'FIRE TEX 5062'!$Q$3:$Q$34,"&gt;="&amp;M1033),'FIRE TEX 5062'!$Q$3:$U$34,IF(L1033="F-15",2,IF(L1033="F-30",3,IF(L1033="F-60",4,IF(L1033="F-90",5,0)))),0),0)+IF(AND(O1033="FIRE TEX 5090",OR(E1033="IN",E1033="C",E1033="Z",E1033="L"),J1033=3),VLOOKUP(_xlfn.MINIFS('FIRE TEX 5090'!$B$5:$B$43,'FIRE TEX 5090'!$B$5:$B$43,"&gt;="&amp;M1033),'FIRE TEX 5090'!$B$5:$H$43,IF(L1033="F-15",2,IF(L1033="F-30",3,IF(L1033="F-60",4,IF(L1033="F-90",5,IF(L1033="F-120",6,IF(L1033="F-150",7,0)))))),0),0)+IF(AND(O1033="FIRE TEX 5090",OR(E1033="IN",E1033="C",E1033="Z",E1033="L"),J1033=4),VLOOKUP(_xlfn.MINIFS('FIRE TEX 5090'!$J$5:$J$43,'FIRE TEX 5090'!$J$5:$J$43,"&gt;="&amp;M1033),'FIRE TEX 5090'!$J$5:$P$43,IF(L1033="F-15",2,IF(L1033="F-30",3,IF(L1033="F-60",4,IF(L1033="F-90",5,IF(L1033="F-120",6,IF(L1033="F-150",7,0)))))),0),0)+IF(AND(O1033="FIRE TEX 5090",E1033="CJ",J1033=3),VLOOKUP(_xlfn.MINIFS('FIRE TEX 5090'!$R$5:$R$30,'FIRE TEX 5090'!$R$5:$R$30,"&gt;="&amp;M1033),'FIRE TEX 5090'!$R$5:$W$30,IF(L1033="F-15",2,IF(L1033="F-30",3,IF(L1033="F-60",4,IF(L1033="F-90",5,IF(L1033="F-120",6,IF(L1033="F-150",7,0)))))),0),0)+IF(AND(O1033="FIRE TEX 5090",E1033="CJ",J1033=4),VLOOKUP(_xlfn.MINIFS('FIRE TEX 5090'!$Y$5:$Y$39,'FIRE TEX 5090'!$Y$5:$Y$39,"&gt;="&amp;M1033),'FIRE TEX 5090'!$Y$5:$AD$39,IF(L1033="F-15",2,IF(L1033="F-30",3,IF(L1033="F-60",4,IF(L1033="F-90",5,IF(L1033="F-120",6,IF(L1033="F-150",7,0)))))),0),0)+IF(AND(O1033="FIRE TEX 5120",OR(E1033="IN",E1033="C",E1033="Z",E1033="L"),J1033=3),VLOOKUP(_xlfn.MINIFS('FIRE TEX 5120'!$B$5:$B$40,'FIRE TEX 5120'!$B$5:$B$40,"&gt;="&amp;M1033),'FIRE TEX 5120'!$B$5:$G$40,IF(L1033="F-15",2,IF(L1033="F-30",3,IF(L1033="F-60",4,IF(L1033="F-90",5,IF(L1033="F-120",6,0))))),0),0)+IF(AND(O1033="FIRE TEX 5120",OR(E1033="IN",E1033="C",E1033="Z",E1033="L"),J1033=4),VLOOKUP(_xlfn.MINIFS('FIRE TEX 5120'!$H$4:$H$40,'FIRE TEX 5120'!$H$4:$H$40,"&gt;="&amp;M1033),'FIRE TEX 5120'!$H$4:$M$40,IF(L1033="F-15",2,IF(L1033="F-30",3,IF(L1033="F-60",4,IF(L1033="F-90",5,IF(L1033="F-120",6,0))))),0),0)+IF(AND(O1033="FIRE TEX 5120",E1033="CJ"),VLOOKUP(_xlfn.MINIFS('FIRE TEX 5120'!$O$5:$O$40,'FIRE TEX 5120'!$O$5:$O$40,"&gt;="&amp;M1033),'FIRE TEX 5120'!$O$5:$T$40,IF(L1033="F-15",2,IF(L1033="F-30",3,IF(L1033="F-60",4,IF(L1033="F-90",5,IF(L1033="F-120",6,0))))),0),0)</f>
        <v>0</v>
      </c>
      <c r="Q1033" s="46">
        <f t="shared" si="99"/>
        <v>0</v>
      </c>
      <c r="R1033" s="46">
        <f t="shared" si="100"/>
        <v>0</v>
      </c>
      <c r="S1033" s="46" t="e">
        <f t="shared" si="101"/>
        <v>#VALUE!</v>
      </c>
      <c r="T1033" s="677">
        <f t="shared" si="102"/>
        <v>0</v>
      </c>
      <c r="U1033" s="80">
        <f>(IF(O1033="Stofire",(S1033*#REF!),0))+(IF(O1033="Fire Control",(S1033*$U$2),0))+(IF(O1033="Fire Tex",(S1033*$U$3),0))+(IF(O1033="WB7",(S1033*#REF!),0)+(IF(O1033="FX 2003",(S1033*$U$5),0)))</f>
        <v>0</v>
      </c>
      <c r="V1033" s="651">
        <f t="shared" si="103"/>
        <v>0</v>
      </c>
    </row>
    <row r="1034" spans="4:22" x14ac:dyDescent="0.25">
      <c r="D1034" s="118">
        <f>+CUBICACION!D1033</f>
        <v>0</v>
      </c>
      <c r="E1034" s="118">
        <f>+CUBICACION!F1033</f>
        <v>0</v>
      </c>
      <c r="F1034" s="118">
        <f>+CUBICACION!E1033</f>
        <v>0</v>
      </c>
      <c r="G1034" s="118">
        <v>12</v>
      </c>
      <c r="H1034" s="118">
        <v>2</v>
      </c>
      <c r="I1034" s="820">
        <v>26385</v>
      </c>
      <c r="J1034" s="118">
        <f>+CUBICACION!J1033</f>
        <v>0</v>
      </c>
      <c r="K1034" s="118">
        <v>3813</v>
      </c>
      <c r="L1034" s="118">
        <f>+CUBICACION!L1033</f>
        <v>0</v>
      </c>
      <c r="M1034" s="64">
        <f>+CUBICACION!M1033</f>
        <v>0</v>
      </c>
      <c r="N1034" s="824" t="str">
        <f>+CUBICACION!N1033</f>
        <v/>
      </c>
      <c r="O1034" s="675">
        <f>+CUBICACION!O1033</f>
        <v>0</v>
      </c>
      <c r="P1034" s="15">
        <f>IF(O1034="Fire Control",VLOOKUP(_xlfn.MINIFS('FIRE CONTROL'!$C$4:$C$37,'FIRE CONTROL'!$C$4:$C$37,"&gt;="&amp;M1034),'FIRE CONTROL'!$C$4:$G$37,IF(L1034="F-15",2,IF(L1034="F-30",3,IF(L1034="F-60",4,IF(L1034="F-90",5,0)))),0),0)+IF(AND(O1034="FIRE TEX 5062",OR(E1034="IN",E1034="C",E1034="Z",E1034="L"),J1034=3),VLOOKUP(_xlfn.MINIFS('FIRE TEX 5062'!$B$4:$B$34,'FIRE TEX 5062'!$B$4:$B$34,"&gt;="&amp;M1034),'FIRE TEX 5062'!$B$4:$F$34,IF(L1034="F-15",2,IF(L1034="F-30",3,IF(L1034="F-60",4,IF(L1034="F-90",5,0)))),0),0)+IF(AND(O1034="FIRE TEX 5062",OR(E1034="IN",E1034="C",E1034="Z",E1034="L"),J1034=4),VLOOKUP(_xlfn.MINIFS('FIRE TEX 5062'!$G$4:$G$34,'FIRE TEX 5062'!$G$4:$G$34,"&gt;="&amp;M1034),'FIRE TEX 5062'!$G$4:$K$34,IF(L1034="F-15",2,IF(L1034="F-30",3,IF(L1034="F-60",4,IF(L1034="F-90",5,0)))),0),0)+IF(AND(O1034="FIRE TEX 5062",E1034="CJ",J1034=3),VLOOKUP(_xlfn.MINIFS('FIRE TEX 5062'!$L$4:$L$34,'FIRE TEX 5062'!$L$4:$L$34,"&gt;="&amp;M1034),'FIRE TEX 5062'!$L$4:$P$34,IF(L1034="F-15",2,IF(L1034="F-30",3,IF(L1034="F-60",4,IF(L1034="F-90",5,0)))),0),0)+IF(AND(O1034="FIRE TEX 5062",E1034="CJ",J1034=4),VLOOKUP(_xlfn.MINIFS('FIRE TEX 5062'!$Q$3:$Q$34,'FIRE TEX 5062'!$Q$3:$Q$34,"&gt;="&amp;M1034),'FIRE TEX 5062'!$Q$3:$U$34,IF(L1034="F-15",2,IF(L1034="F-30",3,IF(L1034="F-60",4,IF(L1034="F-90",5,0)))),0),0)+IF(AND(O1034="FIRE TEX 5090",OR(E1034="IN",E1034="C",E1034="Z",E1034="L"),J1034=3),VLOOKUP(_xlfn.MINIFS('FIRE TEX 5090'!$B$5:$B$43,'FIRE TEX 5090'!$B$5:$B$43,"&gt;="&amp;M1034),'FIRE TEX 5090'!$B$5:$H$43,IF(L1034="F-15",2,IF(L1034="F-30",3,IF(L1034="F-60",4,IF(L1034="F-90",5,IF(L1034="F-120",6,IF(L1034="F-150",7,0)))))),0),0)+IF(AND(O1034="FIRE TEX 5090",OR(E1034="IN",E1034="C",E1034="Z",E1034="L"),J1034=4),VLOOKUP(_xlfn.MINIFS('FIRE TEX 5090'!$J$5:$J$43,'FIRE TEX 5090'!$J$5:$J$43,"&gt;="&amp;M1034),'FIRE TEX 5090'!$J$5:$P$43,IF(L1034="F-15",2,IF(L1034="F-30",3,IF(L1034="F-60",4,IF(L1034="F-90",5,IF(L1034="F-120",6,IF(L1034="F-150",7,0)))))),0),0)+IF(AND(O1034="FIRE TEX 5090",E1034="CJ",J1034=3),VLOOKUP(_xlfn.MINIFS('FIRE TEX 5090'!$R$5:$R$30,'FIRE TEX 5090'!$R$5:$R$30,"&gt;="&amp;M1034),'FIRE TEX 5090'!$R$5:$W$30,IF(L1034="F-15",2,IF(L1034="F-30",3,IF(L1034="F-60",4,IF(L1034="F-90",5,IF(L1034="F-120",6,IF(L1034="F-150",7,0)))))),0),0)+IF(AND(O1034="FIRE TEX 5090",E1034="CJ",J1034=4),VLOOKUP(_xlfn.MINIFS('FIRE TEX 5090'!$Y$5:$Y$39,'FIRE TEX 5090'!$Y$5:$Y$39,"&gt;="&amp;M1034),'FIRE TEX 5090'!$Y$5:$AD$39,IF(L1034="F-15",2,IF(L1034="F-30",3,IF(L1034="F-60",4,IF(L1034="F-90",5,IF(L1034="F-120",6,IF(L1034="F-150",7,0)))))),0),0)+IF(AND(O1034="FIRE TEX 5120",OR(E1034="IN",E1034="C",E1034="Z",E1034="L"),J1034=3),VLOOKUP(_xlfn.MINIFS('FIRE TEX 5120'!$B$5:$B$40,'FIRE TEX 5120'!$B$5:$B$40,"&gt;="&amp;M1034),'FIRE TEX 5120'!$B$5:$G$40,IF(L1034="F-15",2,IF(L1034="F-30",3,IF(L1034="F-60",4,IF(L1034="F-90",5,IF(L1034="F-120",6,0))))),0),0)+IF(AND(O1034="FIRE TEX 5120",OR(E1034="IN",E1034="C",E1034="Z",E1034="L"),J1034=4),VLOOKUP(_xlfn.MINIFS('FIRE TEX 5120'!$H$4:$H$40,'FIRE TEX 5120'!$H$4:$H$40,"&gt;="&amp;M1034),'FIRE TEX 5120'!$H$4:$M$40,IF(L1034="F-15",2,IF(L1034="F-30",3,IF(L1034="F-60",4,IF(L1034="F-90",5,IF(L1034="F-120",6,0))))),0),0)+IF(AND(O1034="FIRE TEX 5120",E1034="CJ"),VLOOKUP(_xlfn.MINIFS('FIRE TEX 5120'!$O$5:$O$40,'FIRE TEX 5120'!$O$5:$O$40,"&gt;="&amp;M1034),'FIRE TEX 5120'!$O$5:$T$40,IF(L1034="F-15",2,IF(L1034="F-30",3,IF(L1034="F-60",4,IF(L1034="F-90",5,IF(L1034="F-120",6,0))))),0),0)</f>
        <v>0</v>
      </c>
      <c r="Q1034" s="46">
        <f t="shared" si="99"/>
        <v>0</v>
      </c>
      <c r="R1034" s="46">
        <f t="shared" si="100"/>
        <v>0</v>
      </c>
      <c r="S1034" s="46" t="e">
        <f t="shared" si="101"/>
        <v>#VALUE!</v>
      </c>
      <c r="T1034" s="677">
        <f t="shared" si="102"/>
        <v>0</v>
      </c>
      <c r="U1034" s="80">
        <f>(IF(O1034="Stofire",(S1034*#REF!),0))+(IF(O1034="Fire Control",(S1034*$U$2),0))+(IF(O1034="Fire Tex",(S1034*$U$3),0))+(IF(O1034="WB7",(S1034*#REF!),0)+(IF(O1034="FX 2003",(S1034*$U$5),0)))</f>
        <v>0</v>
      </c>
      <c r="V1034" s="651">
        <f t="shared" si="103"/>
        <v>0</v>
      </c>
    </row>
    <row r="1035" spans="4:22" x14ac:dyDescent="0.25">
      <c r="D1035" s="118">
        <f>+CUBICACION!D1034</f>
        <v>0</v>
      </c>
      <c r="E1035" s="118">
        <f>+CUBICACION!F1034</f>
        <v>0</v>
      </c>
      <c r="F1035" s="118">
        <f>+CUBICACION!E1034</f>
        <v>0</v>
      </c>
      <c r="G1035" s="118">
        <v>12</v>
      </c>
      <c r="H1035" s="118">
        <v>2</v>
      </c>
      <c r="I1035" s="820">
        <v>26385</v>
      </c>
      <c r="J1035" s="118">
        <f>+CUBICACION!J1034</f>
        <v>0</v>
      </c>
      <c r="K1035" s="118">
        <v>3814</v>
      </c>
      <c r="L1035" s="118">
        <f>+CUBICACION!L1034</f>
        <v>0</v>
      </c>
      <c r="M1035" s="64">
        <f>+CUBICACION!M1034</f>
        <v>0</v>
      </c>
      <c r="N1035" s="824" t="str">
        <f>+CUBICACION!N1034</f>
        <v/>
      </c>
      <c r="O1035" s="675">
        <f>+CUBICACION!O1034</f>
        <v>0</v>
      </c>
      <c r="P1035" s="15">
        <f>IF(O1035="Fire Control",VLOOKUP(_xlfn.MINIFS('FIRE CONTROL'!$C$4:$C$37,'FIRE CONTROL'!$C$4:$C$37,"&gt;="&amp;M1035),'FIRE CONTROL'!$C$4:$G$37,IF(L1035="F-15",2,IF(L1035="F-30",3,IF(L1035="F-60",4,IF(L1035="F-90",5,0)))),0),0)+IF(AND(O1035="FIRE TEX 5062",OR(E1035="IN",E1035="C",E1035="Z",E1035="L"),J1035=3),VLOOKUP(_xlfn.MINIFS('FIRE TEX 5062'!$B$4:$B$34,'FIRE TEX 5062'!$B$4:$B$34,"&gt;="&amp;M1035),'FIRE TEX 5062'!$B$4:$F$34,IF(L1035="F-15",2,IF(L1035="F-30",3,IF(L1035="F-60",4,IF(L1035="F-90",5,0)))),0),0)+IF(AND(O1035="FIRE TEX 5062",OR(E1035="IN",E1035="C",E1035="Z",E1035="L"),J1035=4),VLOOKUP(_xlfn.MINIFS('FIRE TEX 5062'!$G$4:$G$34,'FIRE TEX 5062'!$G$4:$G$34,"&gt;="&amp;M1035),'FIRE TEX 5062'!$G$4:$K$34,IF(L1035="F-15",2,IF(L1035="F-30",3,IF(L1035="F-60",4,IF(L1035="F-90",5,0)))),0),0)+IF(AND(O1035="FIRE TEX 5062",E1035="CJ",J1035=3),VLOOKUP(_xlfn.MINIFS('FIRE TEX 5062'!$L$4:$L$34,'FIRE TEX 5062'!$L$4:$L$34,"&gt;="&amp;M1035),'FIRE TEX 5062'!$L$4:$P$34,IF(L1035="F-15",2,IF(L1035="F-30",3,IF(L1035="F-60",4,IF(L1035="F-90",5,0)))),0),0)+IF(AND(O1035="FIRE TEX 5062",E1035="CJ",J1035=4),VLOOKUP(_xlfn.MINIFS('FIRE TEX 5062'!$Q$3:$Q$34,'FIRE TEX 5062'!$Q$3:$Q$34,"&gt;="&amp;M1035),'FIRE TEX 5062'!$Q$3:$U$34,IF(L1035="F-15",2,IF(L1035="F-30",3,IF(L1035="F-60",4,IF(L1035="F-90",5,0)))),0),0)+IF(AND(O1035="FIRE TEX 5090",OR(E1035="IN",E1035="C",E1035="Z",E1035="L"),J1035=3),VLOOKUP(_xlfn.MINIFS('FIRE TEX 5090'!$B$5:$B$43,'FIRE TEX 5090'!$B$5:$B$43,"&gt;="&amp;M1035),'FIRE TEX 5090'!$B$5:$H$43,IF(L1035="F-15",2,IF(L1035="F-30",3,IF(L1035="F-60",4,IF(L1035="F-90",5,IF(L1035="F-120",6,IF(L1035="F-150",7,0)))))),0),0)+IF(AND(O1035="FIRE TEX 5090",OR(E1035="IN",E1035="C",E1035="Z",E1035="L"),J1035=4),VLOOKUP(_xlfn.MINIFS('FIRE TEX 5090'!$J$5:$J$43,'FIRE TEX 5090'!$J$5:$J$43,"&gt;="&amp;M1035),'FIRE TEX 5090'!$J$5:$P$43,IF(L1035="F-15",2,IF(L1035="F-30",3,IF(L1035="F-60",4,IF(L1035="F-90",5,IF(L1035="F-120",6,IF(L1035="F-150",7,0)))))),0),0)+IF(AND(O1035="FIRE TEX 5090",E1035="CJ",J1035=3),VLOOKUP(_xlfn.MINIFS('FIRE TEX 5090'!$R$5:$R$30,'FIRE TEX 5090'!$R$5:$R$30,"&gt;="&amp;M1035),'FIRE TEX 5090'!$R$5:$W$30,IF(L1035="F-15",2,IF(L1035="F-30",3,IF(L1035="F-60",4,IF(L1035="F-90",5,IF(L1035="F-120",6,IF(L1035="F-150",7,0)))))),0),0)+IF(AND(O1035="FIRE TEX 5090",E1035="CJ",J1035=4),VLOOKUP(_xlfn.MINIFS('FIRE TEX 5090'!$Y$5:$Y$39,'FIRE TEX 5090'!$Y$5:$Y$39,"&gt;="&amp;M1035),'FIRE TEX 5090'!$Y$5:$AD$39,IF(L1035="F-15",2,IF(L1035="F-30",3,IF(L1035="F-60",4,IF(L1035="F-90",5,IF(L1035="F-120",6,IF(L1035="F-150",7,0)))))),0),0)+IF(AND(O1035="FIRE TEX 5120",OR(E1035="IN",E1035="C",E1035="Z",E1035="L"),J1035=3),VLOOKUP(_xlfn.MINIFS('FIRE TEX 5120'!$B$5:$B$40,'FIRE TEX 5120'!$B$5:$B$40,"&gt;="&amp;M1035),'FIRE TEX 5120'!$B$5:$G$40,IF(L1035="F-15",2,IF(L1035="F-30",3,IF(L1035="F-60",4,IF(L1035="F-90",5,IF(L1035="F-120",6,0))))),0),0)+IF(AND(O1035="FIRE TEX 5120",OR(E1035="IN",E1035="C",E1035="Z",E1035="L"),J1035=4),VLOOKUP(_xlfn.MINIFS('FIRE TEX 5120'!$H$4:$H$40,'FIRE TEX 5120'!$H$4:$H$40,"&gt;="&amp;M1035),'FIRE TEX 5120'!$H$4:$M$40,IF(L1035="F-15",2,IF(L1035="F-30",3,IF(L1035="F-60",4,IF(L1035="F-90",5,IF(L1035="F-120",6,0))))),0),0)+IF(AND(O1035="FIRE TEX 5120",E1035="CJ"),VLOOKUP(_xlfn.MINIFS('FIRE TEX 5120'!$O$5:$O$40,'FIRE TEX 5120'!$O$5:$O$40,"&gt;="&amp;M1035),'FIRE TEX 5120'!$O$5:$T$40,IF(L1035="F-15",2,IF(L1035="F-30",3,IF(L1035="F-60",4,IF(L1035="F-90",5,IF(L1035="F-120",6,0))))),0),0)</f>
        <v>0</v>
      </c>
      <c r="Q1035" s="46">
        <f t="shared" si="99"/>
        <v>0</v>
      </c>
      <c r="R1035" s="46">
        <f t="shared" si="100"/>
        <v>0</v>
      </c>
      <c r="S1035" s="46" t="e">
        <f t="shared" si="101"/>
        <v>#VALUE!</v>
      </c>
      <c r="T1035" s="677">
        <f t="shared" si="102"/>
        <v>0</v>
      </c>
      <c r="U1035" s="80">
        <f>(IF(O1035="Stofire",(S1035*#REF!),0))+(IF(O1035="Fire Control",(S1035*$U$2),0))+(IF(O1035="Fire Tex",(S1035*$U$3),0))+(IF(O1035="WB7",(S1035*#REF!),0)+(IF(O1035="FX 2003",(S1035*$U$5),0)))</f>
        <v>0</v>
      </c>
      <c r="V1035" s="651">
        <f t="shared" si="103"/>
        <v>0</v>
      </c>
    </row>
    <row r="1036" spans="4:22" x14ac:dyDescent="0.25">
      <c r="D1036" s="118">
        <f>+CUBICACION!D1035</f>
        <v>0</v>
      </c>
      <c r="E1036" s="118">
        <f>+CUBICACION!F1035</f>
        <v>0</v>
      </c>
      <c r="F1036" s="118">
        <f>+CUBICACION!E1035</f>
        <v>0</v>
      </c>
      <c r="G1036" s="118">
        <v>12</v>
      </c>
      <c r="H1036" s="118">
        <v>2</v>
      </c>
      <c r="I1036" s="820">
        <v>26385</v>
      </c>
      <c r="J1036" s="118">
        <f>+CUBICACION!J1035</f>
        <v>0</v>
      </c>
      <c r="K1036" s="118">
        <v>3815</v>
      </c>
      <c r="L1036" s="118">
        <f>+CUBICACION!L1035</f>
        <v>0</v>
      </c>
      <c r="M1036" s="64">
        <f>+CUBICACION!M1035</f>
        <v>0</v>
      </c>
      <c r="N1036" s="824" t="str">
        <f>+CUBICACION!N1035</f>
        <v/>
      </c>
      <c r="O1036" s="675">
        <f>+CUBICACION!O1035</f>
        <v>0</v>
      </c>
      <c r="P1036" s="15">
        <f>IF(O1036="Fire Control",VLOOKUP(_xlfn.MINIFS('FIRE CONTROL'!$C$4:$C$37,'FIRE CONTROL'!$C$4:$C$37,"&gt;="&amp;M1036),'FIRE CONTROL'!$C$4:$G$37,IF(L1036="F-15",2,IF(L1036="F-30",3,IF(L1036="F-60",4,IF(L1036="F-90",5,0)))),0),0)+IF(AND(O1036="FIRE TEX 5062",OR(E1036="IN",E1036="C",E1036="Z",E1036="L"),J1036=3),VLOOKUP(_xlfn.MINIFS('FIRE TEX 5062'!$B$4:$B$34,'FIRE TEX 5062'!$B$4:$B$34,"&gt;="&amp;M1036),'FIRE TEX 5062'!$B$4:$F$34,IF(L1036="F-15",2,IF(L1036="F-30",3,IF(L1036="F-60",4,IF(L1036="F-90",5,0)))),0),0)+IF(AND(O1036="FIRE TEX 5062",OR(E1036="IN",E1036="C",E1036="Z",E1036="L"),J1036=4),VLOOKUP(_xlfn.MINIFS('FIRE TEX 5062'!$G$4:$G$34,'FIRE TEX 5062'!$G$4:$G$34,"&gt;="&amp;M1036),'FIRE TEX 5062'!$G$4:$K$34,IF(L1036="F-15",2,IF(L1036="F-30",3,IF(L1036="F-60",4,IF(L1036="F-90",5,0)))),0),0)+IF(AND(O1036="FIRE TEX 5062",E1036="CJ",J1036=3),VLOOKUP(_xlfn.MINIFS('FIRE TEX 5062'!$L$4:$L$34,'FIRE TEX 5062'!$L$4:$L$34,"&gt;="&amp;M1036),'FIRE TEX 5062'!$L$4:$P$34,IF(L1036="F-15",2,IF(L1036="F-30",3,IF(L1036="F-60",4,IF(L1036="F-90",5,0)))),0),0)+IF(AND(O1036="FIRE TEX 5062",E1036="CJ",J1036=4),VLOOKUP(_xlfn.MINIFS('FIRE TEX 5062'!$Q$3:$Q$34,'FIRE TEX 5062'!$Q$3:$Q$34,"&gt;="&amp;M1036),'FIRE TEX 5062'!$Q$3:$U$34,IF(L1036="F-15",2,IF(L1036="F-30",3,IF(L1036="F-60",4,IF(L1036="F-90",5,0)))),0),0)+IF(AND(O1036="FIRE TEX 5090",OR(E1036="IN",E1036="C",E1036="Z",E1036="L"),J1036=3),VLOOKUP(_xlfn.MINIFS('FIRE TEX 5090'!$B$5:$B$43,'FIRE TEX 5090'!$B$5:$B$43,"&gt;="&amp;M1036),'FIRE TEX 5090'!$B$5:$H$43,IF(L1036="F-15",2,IF(L1036="F-30",3,IF(L1036="F-60",4,IF(L1036="F-90",5,IF(L1036="F-120",6,IF(L1036="F-150",7,0)))))),0),0)+IF(AND(O1036="FIRE TEX 5090",OR(E1036="IN",E1036="C",E1036="Z",E1036="L"),J1036=4),VLOOKUP(_xlfn.MINIFS('FIRE TEX 5090'!$J$5:$J$43,'FIRE TEX 5090'!$J$5:$J$43,"&gt;="&amp;M1036),'FIRE TEX 5090'!$J$5:$P$43,IF(L1036="F-15",2,IF(L1036="F-30",3,IF(L1036="F-60",4,IF(L1036="F-90",5,IF(L1036="F-120",6,IF(L1036="F-150",7,0)))))),0),0)+IF(AND(O1036="FIRE TEX 5090",E1036="CJ",J1036=3),VLOOKUP(_xlfn.MINIFS('FIRE TEX 5090'!$R$5:$R$30,'FIRE TEX 5090'!$R$5:$R$30,"&gt;="&amp;M1036),'FIRE TEX 5090'!$R$5:$W$30,IF(L1036="F-15",2,IF(L1036="F-30",3,IF(L1036="F-60",4,IF(L1036="F-90",5,IF(L1036="F-120",6,IF(L1036="F-150",7,0)))))),0),0)+IF(AND(O1036="FIRE TEX 5090",E1036="CJ",J1036=4),VLOOKUP(_xlfn.MINIFS('FIRE TEX 5090'!$Y$5:$Y$39,'FIRE TEX 5090'!$Y$5:$Y$39,"&gt;="&amp;M1036),'FIRE TEX 5090'!$Y$5:$AD$39,IF(L1036="F-15",2,IF(L1036="F-30",3,IF(L1036="F-60",4,IF(L1036="F-90",5,IF(L1036="F-120",6,IF(L1036="F-150",7,0)))))),0),0)+IF(AND(O1036="FIRE TEX 5120",OR(E1036="IN",E1036="C",E1036="Z",E1036="L"),J1036=3),VLOOKUP(_xlfn.MINIFS('FIRE TEX 5120'!$B$5:$B$40,'FIRE TEX 5120'!$B$5:$B$40,"&gt;="&amp;M1036),'FIRE TEX 5120'!$B$5:$G$40,IF(L1036="F-15",2,IF(L1036="F-30",3,IF(L1036="F-60",4,IF(L1036="F-90",5,IF(L1036="F-120",6,0))))),0),0)+IF(AND(O1036="FIRE TEX 5120",OR(E1036="IN",E1036="C",E1036="Z",E1036="L"),J1036=4),VLOOKUP(_xlfn.MINIFS('FIRE TEX 5120'!$H$4:$H$40,'FIRE TEX 5120'!$H$4:$H$40,"&gt;="&amp;M1036),'FIRE TEX 5120'!$H$4:$M$40,IF(L1036="F-15",2,IF(L1036="F-30",3,IF(L1036="F-60",4,IF(L1036="F-90",5,IF(L1036="F-120",6,0))))),0),0)+IF(AND(O1036="FIRE TEX 5120",E1036="CJ"),VLOOKUP(_xlfn.MINIFS('FIRE TEX 5120'!$O$5:$O$40,'FIRE TEX 5120'!$O$5:$O$40,"&gt;="&amp;M1036),'FIRE TEX 5120'!$O$5:$T$40,IF(L1036="F-15",2,IF(L1036="F-30",3,IF(L1036="F-60",4,IF(L1036="F-90",5,IF(L1036="F-120",6,0))))),0),0)</f>
        <v>0</v>
      </c>
      <c r="Q1036" s="46">
        <f t="shared" si="99"/>
        <v>0</v>
      </c>
      <c r="R1036" s="46">
        <f t="shared" si="100"/>
        <v>0</v>
      </c>
      <c r="S1036" s="46" t="e">
        <f t="shared" si="101"/>
        <v>#VALUE!</v>
      </c>
      <c r="T1036" s="677">
        <f t="shared" si="102"/>
        <v>0</v>
      </c>
      <c r="U1036" s="80">
        <f>(IF(O1036="Stofire",(S1036*#REF!),0))+(IF(O1036="Fire Control",(S1036*$U$2),0))+(IF(O1036="Fire Tex",(S1036*$U$3),0))+(IF(O1036="WB7",(S1036*#REF!),0)+(IF(O1036="FX 2003",(S1036*$U$5),0)))</f>
        <v>0</v>
      </c>
      <c r="V1036" s="651">
        <f t="shared" si="103"/>
        <v>0</v>
      </c>
    </row>
    <row r="1037" spans="4:22" x14ac:dyDescent="0.25">
      <c r="D1037" s="118">
        <f>+CUBICACION!D1036</f>
        <v>0</v>
      </c>
      <c r="E1037" s="118">
        <f>+CUBICACION!F1036</f>
        <v>0</v>
      </c>
      <c r="F1037" s="118">
        <f>+CUBICACION!E1036</f>
        <v>0</v>
      </c>
      <c r="G1037" s="118">
        <v>12</v>
      </c>
      <c r="H1037" s="118">
        <v>2</v>
      </c>
      <c r="I1037" s="820">
        <v>26385</v>
      </c>
      <c r="J1037" s="118">
        <f>+CUBICACION!J1036</f>
        <v>0</v>
      </c>
      <c r="K1037" s="118">
        <v>3816</v>
      </c>
      <c r="L1037" s="118">
        <f>+CUBICACION!L1036</f>
        <v>0</v>
      </c>
      <c r="M1037" s="64">
        <f>+CUBICACION!M1036</f>
        <v>0</v>
      </c>
      <c r="N1037" s="824" t="str">
        <f>+CUBICACION!N1036</f>
        <v/>
      </c>
      <c r="O1037" s="675">
        <f>+CUBICACION!O1036</f>
        <v>0</v>
      </c>
      <c r="P1037" s="15">
        <f>IF(O1037="Fire Control",VLOOKUP(_xlfn.MINIFS('FIRE CONTROL'!$C$4:$C$37,'FIRE CONTROL'!$C$4:$C$37,"&gt;="&amp;M1037),'FIRE CONTROL'!$C$4:$G$37,IF(L1037="F-15",2,IF(L1037="F-30",3,IF(L1037="F-60",4,IF(L1037="F-90",5,0)))),0),0)+IF(AND(O1037="FIRE TEX 5062",OR(E1037="IN",E1037="C",E1037="Z",E1037="L"),J1037=3),VLOOKUP(_xlfn.MINIFS('FIRE TEX 5062'!$B$4:$B$34,'FIRE TEX 5062'!$B$4:$B$34,"&gt;="&amp;M1037),'FIRE TEX 5062'!$B$4:$F$34,IF(L1037="F-15",2,IF(L1037="F-30",3,IF(L1037="F-60",4,IF(L1037="F-90",5,0)))),0),0)+IF(AND(O1037="FIRE TEX 5062",OR(E1037="IN",E1037="C",E1037="Z",E1037="L"),J1037=4),VLOOKUP(_xlfn.MINIFS('FIRE TEX 5062'!$G$4:$G$34,'FIRE TEX 5062'!$G$4:$G$34,"&gt;="&amp;M1037),'FIRE TEX 5062'!$G$4:$K$34,IF(L1037="F-15",2,IF(L1037="F-30",3,IF(L1037="F-60",4,IF(L1037="F-90",5,0)))),0),0)+IF(AND(O1037="FIRE TEX 5062",E1037="CJ",J1037=3),VLOOKUP(_xlfn.MINIFS('FIRE TEX 5062'!$L$4:$L$34,'FIRE TEX 5062'!$L$4:$L$34,"&gt;="&amp;M1037),'FIRE TEX 5062'!$L$4:$P$34,IF(L1037="F-15",2,IF(L1037="F-30",3,IF(L1037="F-60",4,IF(L1037="F-90",5,0)))),0),0)+IF(AND(O1037="FIRE TEX 5062",E1037="CJ",J1037=4),VLOOKUP(_xlfn.MINIFS('FIRE TEX 5062'!$Q$3:$Q$34,'FIRE TEX 5062'!$Q$3:$Q$34,"&gt;="&amp;M1037),'FIRE TEX 5062'!$Q$3:$U$34,IF(L1037="F-15",2,IF(L1037="F-30",3,IF(L1037="F-60",4,IF(L1037="F-90",5,0)))),0),0)+IF(AND(O1037="FIRE TEX 5090",OR(E1037="IN",E1037="C",E1037="Z",E1037="L"),J1037=3),VLOOKUP(_xlfn.MINIFS('FIRE TEX 5090'!$B$5:$B$43,'FIRE TEX 5090'!$B$5:$B$43,"&gt;="&amp;M1037),'FIRE TEX 5090'!$B$5:$H$43,IF(L1037="F-15",2,IF(L1037="F-30",3,IF(L1037="F-60",4,IF(L1037="F-90",5,IF(L1037="F-120",6,IF(L1037="F-150",7,0)))))),0),0)+IF(AND(O1037="FIRE TEX 5090",OR(E1037="IN",E1037="C",E1037="Z",E1037="L"),J1037=4),VLOOKUP(_xlfn.MINIFS('FIRE TEX 5090'!$J$5:$J$43,'FIRE TEX 5090'!$J$5:$J$43,"&gt;="&amp;M1037),'FIRE TEX 5090'!$J$5:$P$43,IF(L1037="F-15",2,IF(L1037="F-30",3,IF(L1037="F-60",4,IF(L1037="F-90",5,IF(L1037="F-120",6,IF(L1037="F-150",7,0)))))),0),0)+IF(AND(O1037="FIRE TEX 5090",E1037="CJ",J1037=3),VLOOKUP(_xlfn.MINIFS('FIRE TEX 5090'!$R$5:$R$30,'FIRE TEX 5090'!$R$5:$R$30,"&gt;="&amp;M1037),'FIRE TEX 5090'!$R$5:$W$30,IF(L1037="F-15",2,IF(L1037="F-30",3,IF(L1037="F-60",4,IF(L1037="F-90",5,IF(L1037="F-120",6,IF(L1037="F-150",7,0)))))),0),0)+IF(AND(O1037="FIRE TEX 5090",E1037="CJ",J1037=4),VLOOKUP(_xlfn.MINIFS('FIRE TEX 5090'!$Y$5:$Y$39,'FIRE TEX 5090'!$Y$5:$Y$39,"&gt;="&amp;M1037),'FIRE TEX 5090'!$Y$5:$AD$39,IF(L1037="F-15",2,IF(L1037="F-30",3,IF(L1037="F-60",4,IF(L1037="F-90",5,IF(L1037="F-120",6,IF(L1037="F-150",7,0)))))),0),0)+IF(AND(O1037="FIRE TEX 5120",OR(E1037="IN",E1037="C",E1037="Z",E1037="L"),J1037=3),VLOOKUP(_xlfn.MINIFS('FIRE TEX 5120'!$B$5:$B$40,'FIRE TEX 5120'!$B$5:$B$40,"&gt;="&amp;M1037),'FIRE TEX 5120'!$B$5:$G$40,IF(L1037="F-15",2,IF(L1037="F-30",3,IF(L1037="F-60",4,IF(L1037="F-90",5,IF(L1037="F-120",6,0))))),0),0)+IF(AND(O1037="FIRE TEX 5120",OR(E1037="IN",E1037="C",E1037="Z",E1037="L"),J1037=4),VLOOKUP(_xlfn.MINIFS('FIRE TEX 5120'!$H$4:$H$40,'FIRE TEX 5120'!$H$4:$H$40,"&gt;="&amp;M1037),'FIRE TEX 5120'!$H$4:$M$40,IF(L1037="F-15",2,IF(L1037="F-30",3,IF(L1037="F-60",4,IF(L1037="F-90",5,IF(L1037="F-120",6,0))))),0),0)+IF(AND(O1037="FIRE TEX 5120",E1037="CJ"),VLOOKUP(_xlfn.MINIFS('FIRE TEX 5120'!$O$5:$O$40,'FIRE TEX 5120'!$O$5:$O$40,"&gt;="&amp;M1037),'FIRE TEX 5120'!$O$5:$T$40,IF(L1037="F-15",2,IF(L1037="F-30",3,IF(L1037="F-60",4,IF(L1037="F-90",5,IF(L1037="F-120",6,0))))),0),0)</f>
        <v>0</v>
      </c>
      <c r="Q1037" s="46">
        <f t="shared" si="99"/>
        <v>0</v>
      </c>
      <c r="R1037" s="46">
        <f t="shared" si="100"/>
        <v>0</v>
      </c>
      <c r="S1037" s="46" t="e">
        <f t="shared" si="101"/>
        <v>#VALUE!</v>
      </c>
      <c r="T1037" s="677">
        <f t="shared" si="102"/>
        <v>0</v>
      </c>
      <c r="U1037" s="80">
        <f>(IF(O1037="Stofire",(S1037*#REF!),0))+(IF(O1037="Fire Control",(S1037*$U$2),0))+(IF(O1037="Fire Tex",(S1037*$U$3),0))+(IF(O1037="WB7",(S1037*#REF!),0)+(IF(O1037="FX 2003",(S1037*$U$5),0)))</f>
        <v>0</v>
      </c>
      <c r="V1037" s="651">
        <f t="shared" si="103"/>
        <v>0</v>
      </c>
    </row>
    <row r="1038" spans="4:22" x14ac:dyDescent="0.25">
      <c r="D1038" s="118">
        <f>+CUBICACION!D1037</f>
        <v>0</v>
      </c>
      <c r="E1038" s="118">
        <f>+CUBICACION!F1037</f>
        <v>0</v>
      </c>
      <c r="F1038" s="118">
        <f>+CUBICACION!E1037</f>
        <v>0</v>
      </c>
      <c r="G1038" s="118">
        <v>12</v>
      </c>
      <c r="H1038" s="118">
        <v>2</v>
      </c>
      <c r="I1038" s="820">
        <v>26385</v>
      </c>
      <c r="J1038" s="118">
        <f>+CUBICACION!J1037</f>
        <v>0</v>
      </c>
      <c r="K1038" s="118">
        <v>3817</v>
      </c>
      <c r="L1038" s="118">
        <f>+CUBICACION!L1037</f>
        <v>0</v>
      </c>
      <c r="M1038" s="64">
        <f>+CUBICACION!M1037</f>
        <v>0</v>
      </c>
      <c r="N1038" s="824" t="str">
        <f>+CUBICACION!N1037</f>
        <v/>
      </c>
      <c r="O1038" s="675">
        <f>+CUBICACION!O1037</f>
        <v>0</v>
      </c>
      <c r="P1038" s="15">
        <f>IF(O1038="Fire Control",VLOOKUP(_xlfn.MINIFS('FIRE CONTROL'!$C$4:$C$37,'FIRE CONTROL'!$C$4:$C$37,"&gt;="&amp;M1038),'FIRE CONTROL'!$C$4:$G$37,IF(L1038="F-15",2,IF(L1038="F-30",3,IF(L1038="F-60",4,IF(L1038="F-90",5,0)))),0),0)+IF(AND(O1038="FIRE TEX 5062",OR(E1038="IN",E1038="C",E1038="Z",E1038="L"),J1038=3),VLOOKUP(_xlfn.MINIFS('FIRE TEX 5062'!$B$4:$B$34,'FIRE TEX 5062'!$B$4:$B$34,"&gt;="&amp;M1038),'FIRE TEX 5062'!$B$4:$F$34,IF(L1038="F-15",2,IF(L1038="F-30",3,IF(L1038="F-60",4,IF(L1038="F-90",5,0)))),0),0)+IF(AND(O1038="FIRE TEX 5062",OR(E1038="IN",E1038="C",E1038="Z",E1038="L"),J1038=4),VLOOKUP(_xlfn.MINIFS('FIRE TEX 5062'!$G$4:$G$34,'FIRE TEX 5062'!$G$4:$G$34,"&gt;="&amp;M1038),'FIRE TEX 5062'!$G$4:$K$34,IF(L1038="F-15",2,IF(L1038="F-30",3,IF(L1038="F-60",4,IF(L1038="F-90",5,0)))),0),0)+IF(AND(O1038="FIRE TEX 5062",E1038="CJ",J1038=3),VLOOKUP(_xlfn.MINIFS('FIRE TEX 5062'!$L$4:$L$34,'FIRE TEX 5062'!$L$4:$L$34,"&gt;="&amp;M1038),'FIRE TEX 5062'!$L$4:$P$34,IF(L1038="F-15",2,IF(L1038="F-30",3,IF(L1038="F-60",4,IF(L1038="F-90",5,0)))),0),0)+IF(AND(O1038="FIRE TEX 5062",E1038="CJ",J1038=4),VLOOKUP(_xlfn.MINIFS('FIRE TEX 5062'!$Q$3:$Q$34,'FIRE TEX 5062'!$Q$3:$Q$34,"&gt;="&amp;M1038),'FIRE TEX 5062'!$Q$3:$U$34,IF(L1038="F-15",2,IF(L1038="F-30",3,IF(L1038="F-60",4,IF(L1038="F-90",5,0)))),0),0)+IF(AND(O1038="FIRE TEX 5090",OR(E1038="IN",E1038="C",E1038="Z",E1038="L"),J1038=3),VLOOKUP(_xlfn.MINIFS('FIRE TEX 5090'!$B$5:$B$43,'FIRE TEX 5090'!$B$5:$B$43,"&gt;="&amp;M1038),'FIRE TEX 5090'!$B$5:$H$43,IF(L1038="F-15",2,IF(L1038="F-30",3,IF(L1038="F-60",4,IF(L1038="F-90",5,IF(L1038="F-120",6,IF(L1038="F-150",7,0)))))),0),0)+IF(AND(O1038="FIRE TEX 5090",OR(E1038="IN",E1038="C",E1038="Z",E1038="L"),J1038=4),VLOOKUP(_xlfn.MINIFS('FIRE TEX 5090'!$J$5:$J$43,'FIRE TEX 5090'!$J$5:$J$43,"&gt;="&amp;M1038),'FIRE TEX 5090'!$J$5:$P$43,IF(L1038="F-15",2,IF(L1038="F-30",3,IF(L1038="F-60",4,IF(L1038="F-90",5,IF(L1038="F-120",6,IF(L1038="F-150",7,0)))))),0),0)+IF(AND(O1038="FIRE TEX 5090",E1038="CJ",J1038=3),VLOOKUP(_xlfn.MINIFS('FIRE TEX 5090'!$R$5:$R$30,'FIRE TEX 5090'!$R$5:$R$30,"&gt;="&amp;M1038),'FIRE TEX 5090'!$R$5:$W$30,IF(L1038="F-15",2,IF(L1038="F-30",3,IF(L1038="F-60",4,IF(L1038="F-90",5,IF(L1038="F-120",6,IF(L1038="F-150",7,0)))))),0),0)+IF(AND(O1038="FIRE TEX 5090",E1038="CJ",J1038=4),VLOOKUP(_xlfn.MINIFS('FIRE TEX 5090'!$Y$5:$Y$39,'FIRE TEX 5090'!$Y$5:$Y$39,"&gt;="&amp;M1038),'FIRE TEX 5090'!$Y$5:$AD$39,IF(L1038="F-15",2,IF(L1038="F-30",3,IF(L1038="F-60",4,IF(L1038="F-90",5,IF(L1038="F-120",6,IF(L1038="F-150",7,0)))))),0),0)+IF(AND(O1038="FIRE TEX 5120",OR(E1038="IN",E1038="C",E1038="Z",E1038="L"),J1038=3),VLOOKUP(_xlfn.MINIFS('FIRE TEX 5120'!$B$5:$B$40,'FIRE TEX 5120'!$B$5:$B$40,"&gt;="&amp;M1038),'FIRE TEX 5120'!$B$5:$G$40,IF(L1038="F-15",2,IF(L1038="F-30",3,IF(L1038="F-60",4,IF(L1038="F-90",5,IF(L1038="F-120",6,0))))),0),0)+IF(AND(O1038="FIRE TEX 5120",OR(E1038="IN",E1038="C",E1038="Z",E1038="L"),J1038=4),VLOOKUP(_xlfn.MINIFS('FIRE TEX 5120'!$H$4:$H$40,'FIRE TEX 5120'!$H$4:$H$40,"&gt;="&amp;M1038),'FIRE TEX 5120'!$H$4:$M$40,IF(L1038="F-15",2,IF(L1038="F-30",3,IF(L1038="F-60",4,IF(L1038="F-90",5,IF(L1038="F-120",6,0))))),0),0)+IF(AND(O1038="FIRE TEX 5120",E1038="CJ"),VLOOKUP(_xlfn.MINIFS('FIRE TEX 5120'!$O$5:$O$40,'FIRE TEX 5120'!$O$5:$O$40,"&gt;="&amp;M1038),'FIRE TEX 5120'!$O$5:$T$40,IF(L1038="F-15",2,IF(L1038="F-30",3,IF(L1038="F-60",4,IF(L1038="F-90",5,IF(L1038="F-120",6,0))))),0),0)</f>
        <v>0</v>
      </c>
      <c r="Q1038" s="46">
        <f t="shared" si="99"/>
        <v>0</v>
      </c>
      <c r="R1038" s="46">
        <f t="shared" si="100"/>
        <v>0</v>
      </c>
      <c r="S1038" s="46" t="e">
        <f t="shared" si="101"/>
        <v>#VALUE!</v>
      </c>
      <c r="T1038" s="677">
        <f t="shared" si="102"/>
        <v>0</v>
      </c>
      <c r="U1038" s="80">
        <f>(IF(O1038="Stofire",(S1038*#REF!),0))+(IF(O1038="Fire Control",(S1038*$U$2),0))+(IF(O1038="Fire Tex",(S1038*$U$3),0))+(IF(O1038="WB7",(S1038*#REF!),0)+(IF(O1038="FX 2003",(S1038*$U$5),0)))</f>
        <v>0</v>
      </c>
      <c r="V1038" s="651">
        <f t="shared" si="103"/>
        <v>0</v>
      </c>
    </row>
    <row r="1039" spans="4:22" x14ac:dyDescent="0.25">
      <c r="D1039" s="118">
        <f>+CUBICACION!D1038</f>
        <v>0</v>
      </c>
      <c r="E1039" s="118">
        <f>+CUBICACION!F1038</f>
        <v>0</v>
      </c>
      <c r="F1039" s="118">
        <f>+CUBICACION!E1038</f>
        <v>0</v>
      </c>
      <c r="G1039" s="118">
        <v>12</v>
      </c>
      <c r="H1039" s="118">
        <v>2</v>
      </c>
      <c r="I1039" s="820">
        <v>26385</v>
      </c>
      <c r="J1039" s="118">
        <f>+CUBICACION!J1038</f>
        <v>0</v>
      </c>
      <c r="K1039" s="118">
        <v>3818</v>
      </c>
      <c r="L1039" s="118">
        <f>+CUBICACION!L1038</f>
        <v>0</v>
      </c>
      <c r="M1039" s="64">
        <f>+CUBICACION!M1038</f>
        <v>0</v>
      </c>
      <c r="N1039" s="824" t="str">
        <f>+CUBICACION!N1038</f>
        <v/>
      </c>
      <c r="O1039" s="675">
        <f>+CUBICACION!O1038</f>
        <v>0</v>
      </c>
      <c r="P1039" s="15">
        <f>IF(O1039="Fire Control",VLOOKUP(_xlfn.MINIFS('FIRE CONTROL'!$C$4:$C$37,'FIRE CONTROL'!$C$4:$C$37,"&gt;="&amp;M1039),'FIRE CONTROL'!$C$4:$G$37,IF(L1039="F-15",2,IF(L1039="F-30",3,IF(L1039="F-60",4,IF(L1039="F-90",5,0)))),0),0)+IF(AND(O1039="FIRE TEX 5062",OR(E1039="IN",E1039="C",E1039="Z",E1039="L"),J1039=3),VLOOKUP(_xlfn.MINIFS('FIRE TEX 5062'!$B$4:$B$34,'FIRE TEX 5062'!$B$4:$B$34,"&gt;="&amp;M1039),'FIRE TEX 5062'!$B$4:$F$34,IF(L1039="F-15",2,IF(L1039="F-30",3,IF(L1039="F-60",4,IF(L1039="F-90",5,0)))),0),0)+IF(AND(O1039="FIRE TEX 5062",OR(E1039="IN",E1039="C",E1039="Z",E1039="L"),J1039=4),VLOOKUP(_xlfn.MINIFS('FIRE TEX 5062'!$G$4:$G$34,'FIRE TEX 5062'!$G$4:$G$34,"&gt;="&amp;M1039),'FIRE TEX 5062'!$G$4:$K$34,IF(L1039="F-15",2,IF(L1039="F-30",3,IF(L1039="F-60",4,IF(L1039="F-90",5,0)))),0),0)+IF(AND(O1039="FIRE TEX 5062",E1039="CJ",J1039=3),VLOOKUP(_xlfn.MINIFS('FIRE TEX 5062'!$L$4:$L$34,'FIRE TEX 5062'!$L$4:$L$34,"&gt;="&amp;M1039),'FIRE TEX 5062'!$L$4:$P$34,IF(L1039="F-15",2,IF(L1039="F-30",3,IF(L1039="F-60",4,IF(L1039="F-90",5,0)))),0),0)+IF(AND(O1039="FIRE TEX 5062",E1039="CJ",J1039=4),VLOOKUP(_xlfn.MINIFS('FIRE TEX 5062'!$Q$3:$Q$34,'FIRE TEX 5062'!$Q$3:$Q$34,"&gt;="&amp;M1039),'FIRE TEX 5062'!$Q$3:$U$34,IF(L1039="F-15",2,IF(L1039="F-30",3,IF(L1039="F-60",4,IF(L1039="F-90",5,0)))),0),0)+IF(AND(O1039="FIRE TEX 5090",OR(E1039="IN",E1039="C",E1039="Z",E1039="L"),J1039=3),VLOOKUP(_xlfn.MINIFS('FIRE TEX 5090'!$B$5:$B$43,'FIRE TEX 5090'!$B$5:$B$43,"&gt;="&amp;M1039),'FIRE TEX 5090'!$B$5:$H$43,IF(L1039="F-15",2,IF(L1039="F-30",3,IF(L1039="F-60",4,IF(L1039="F-90",5,IF(L1039="F-120",6,IF(L1039="F-150",7,0)))))),0),0)+IF(AND(O1039="FIRE TEX 5090",OR(E1039="IN",E1039="C",E1039="Z",E1039="L"),J1039=4),VLOOKUP(_xlfn.MINIFS('FIRE TEX 5090'!$J$5:$J$43,'FIRE TEX 5090'!$J$5:$J$43,"&gt;="&amp;M1039),'FIRE TEX 5090'!$J$5:$P$43,IF(L1039="F-15",2,IF(L1039="F-30",3,IF(L1039="F-60",4,IF(L1039="F-90",5,IF(L1039="F-120",6,IF(L1039="F-150",7,0)))))),0),0)+IF(AND(O1039="FIRE TEX 5090",E1039="CJ",J1039=3),VLOOKUP(_xlfn.MINIFS('FIRE TEX 5090'!$R$5:$R$30,'FIRE TEX 5090'!$R$5:$R$30,"&gt;="&amp;M1039),'FIRE TEX 5090'!$R$5:$W$30,IF(L1039="F-15",2,IF(L1039="F-30",3,IF(L1039="F-60",4,IF(L1039="F-90",5,IF(L1039="F-120",6,IF(L1039="F-150",7,0)))))),0),0)+IF(AND(O1039="FIRE TEX 5090",E1039="CJ",J1039=4),VLOOKUP(_xlfn.MINIFS('FIRE TEX 5090'!$Y$5:$Y$39,'FIRE TEX 5090'!$Y$5:$Y$39,"&gt;="&amp;M1039),'FIRE TEX 5090'!$Y$5:$AD$39,IF(L1039="F-15",2,IF(L1039="F-30",3,IF(L1039="F-60",4,IF(L1039="F-90",5,IF(L1039="F-120",6,IF(L1039="F-150",7,0)))))),0),0)+IF(AND(O1039="FIRE TEX 5120",OR(E1039="IN",E1039="C",E1039="Z",E1039="L"),J1039=3),VLOOKUP(_xlfn.MINIFS('FIRE TEX 5120'!$B$5:$B$40,'FIRE TEX 5120'!$B$5:$B$40,"&gt;="&amp;M1039),'FIRE TEX 5120'!$B$5:$G$40,IF(L1039="F-15",2,IF(L1039="F-30",3,IF(L1039="F-60",4,IF(L1039="F-90",5,IF(L1039="F-120",6,0))))),0),0)+IF(AND(O1039="FIRE TEX 5120",OR(E1039="IN",E1039="C",E1039="Z",E1039="L"),J1039=4),VLOOKUP(_xlfn.MINIFS('FIRE TEX 5120'!$H$4:$H$40,'FIRE TEX 5120'!$H$4:$H$40,"&gt;="&amp;M1039),'FIRE TEX 5120'!$H$4:$M$40,IF(L1039="F-15",2,IF(L1039="F-30",3,IF(L1039="F-60",4,IF(L1039="F-90",5,IF(L1039="F-120",6,0))))),0),0)+IF(AND(O1039="FIRE TEX 5120",E1039="CJ"),VLOOKUP(_xlfn.MINIFS('FIRE TEX 5120'!$O$5:$O$40,'FIRE TEX 5120'!$O$5:$O$40,"&gt;="&amp;M1039),'FIRE TEX 5120'!$O$5:$T$40,IF(L1039="F-15",2,IF(L1039="F-30",3,IF(L1039="F-60",4,IF(L1039="F-90",5,IF(L1039="F-120",6,0))))),0),0)</f>
        <v>0</v>
      </c>
      <c r="Q1039" s="46">
        <f t="shared" si="99"/>
        <v>0</v>
      </c>
      <c r="R1039" s="46">
        <f t="shared" si="100"/>
        <v>0</v>
      </c>
      <c r="S1039" s="46" t="e">
        <f t="shared" si="101"/>
        <v>#VALUE!</v>
      </c>
      <c r="T1039" s="677">
        <f t="shared" si="102"/>
        <v>0</v>
      </c>
      <c r="U1039" s="80">
        <f>(IF(O1039="Stofire",(S1039*#REF!),0))+(IF(O1039="Fire Control",(S1039*$U$2),0))+(IF(O1039="Fire Tex",(S1039*$U$3),0))+(IF(O1039="WB7",(S1039*#REF!),0)+(IF(O1039="FX 2003",(S1039*$U$5),0)))</f>
        <v>0</v>
      </c>
      <c r="V1039" s="651">
        <f t="shared" si="103"/>
        <v>0</v>
      </c>
    </row>
    <row r="1040" spans="4:22" x14ac:dyDescent="0.25">
      <c r="D1040" s="118">
        <f>+CUBICACION!D1039</f>
        <v>0</v>
      </c>
      <c r="E1040" s="118">
        <f>+CUBICACION!F1039</f>
        <v>0</v>
      </c>
      <c r="F1040" s="118">
        <f>+CUBICACION!E1039</f>
        <v>0</v>
      </c>
      <c r="G1040" s="118">
        <v>12</v>
      </c>
      <c r="H1040" s="118">
        <v>2</v>
      </c>
      <c r="I1040" s="820">
        <v>26385</v>
      </c>
      <c r="J1040" s="118">
        <f>+CUBICACION!J1039</f>
        <v>0</v>
      </c>
      <c r="K1040" s="118">
        <v>3819</v>
      </c>
      <c r="L1040" s="118">
        <f>+CUBICACION!L1039</f>
        <v>0</v>
      </c>
      <c r="M1040" s="64">
        <f>+CUBICACION!M1039</f>
        <v>0</v>
      </c>
      <c r="N1040" s="824" t="str">
        <f>+CUBICACION!N1039</f>
        <v/>
      </c>
      <c r="O1040" s="675">
        <f>+CUBICACION!O1039</f>
        <v>0</v>
      </c>
      <c r="P1040" s="15">
        <f>IF(O1040="Fire Control",VLOOKUP(_xlfn.MINIFS('FIRE CONTROL'!$C$4:$C$37,'FIRE CONTROL'!$C$4:$C$37,"&gt;="&amp;M1040),'FIRE CONTROL'!$C$4:$G$37,IF(L1040="F-15",2,IF(L1040="F-30",3,IF(L1040="F-60",4,IF(L1040="F-90",5,0)))),0),0)+IF(AND(O1040="FIRE TEX 5062",OR(E1040="IN",E1040="C",E1040="Z",E1040="L"),J1040=3),VLOOKUP(_xlfn.MINIFS('FIRE TEX 5062'!$B$4:$B$34,'FIRE TEX 5062'!$B$4:$B$34,"&gt;="&amp;M1040),'FIRE TEX 5062'!$B$4:$F$34,IF(L1040="F-15",2,IF(L1040="F-30",3,IF(L1040="F-60",4,IF(L1040="F-90",5,0)))),0),0)+IF(AND(O1040="FIRE TEX 5062",OR(E1040="IN",E1040="C",E1040="Z",E1040="L"),J1040=4),VLOOKUP(_xlfn.MINIFS('FIRE TEX 5062'!$G$4:$G$34,'FIRE TEX 5062'!$G$4:$G$34,"&gt;="&amp;M1040),'FIRE TEX 5062'!$G$4:$K$34,IF(L1040="F-15",2,IF(L1040="F-30",3,IF(L1040="F-60",4,IF(L1040="F-90",5,0)))),0),0)+IF(AND(O1040="FIRE TEX 5062",E1040="CJ",J1040=3),VLOOKUP(_xlfn.MINIFS('FIRE TEX 5062'!$L$4:$L$34,'FIRE TEX 5062'!$L$4:$L$34,"&gt;="&amp;M1040),'FIRE TEX 5062'!$L$4:$P$34,IF(L1040="F-15",2,IF(L1040="F-30",3,IF(L1040="F-60",4,IF(L1040="F-90",5,0)))),0),0)+IF(AND(O1040="FIRE TEX 5062",E1040="CJ",J1040=4),VLOOKUP(_xlfn.MINIFS('FIRE TEX 5062'!$Q$3:$Q$34,'FIRE TEX 5062'!$Q$3:$Q$34,"&gt;="&amp;M1040),'FIRE TEX 5062'!$Q$3:$U$34,IF(L1040="F-15",2,IF(L1040="F-30",3,IF(L1040="F-60",4,IF(L1040="F-90",5,0)))),0),0)+IF(AND(O1040="FIRE TEX 5090",OR(E1040="IN",E1040="C",E1040="Z",E1040="L"),J1040=3),VLOOKUP(_xlfn.MINIFS('FIRE TEX 5090'!$B$5:$B$43,'FIRE TEX 5090'!$B$5:$B$43,"&gt;="&amp;M1040),'FIRE TEX 5090'!$B$5:$H$43,IF(L1040="F-15",2,IF(L1040="F-30",3,IF(L1040="F-60",4,IF(L1040="F-90",5,IF(L1040="F-120",6,IF(L1040="F-150",7,0)))))),0),0)+IF(AND(O1040="FIRE TEX 5090",OR(E1040="IN",E1040="C",E1040="Z",E1040="L"),J1040=4),VLOOKUP(_xlfn.MINIFS('FIRE TEX 5090'!$J$5:$J$43,'FIRE TEX 5090'!$J$5:$J$43,"&gt;="&amp;M1040),'FIRE TEX 5090'!$J$5:$P$43,IF(L1040="F-15",2,IF(L1040="F-30",3,IF(L1040="F-60",4,IF(L1040="F-90",5,IF(L1040="F-120",6,IF(L1040="F-150",7,0)))))),0),0)+IF(AND(O1040="FIRE TEX 5090",E1040="CJ",J1040=3),VLOOKUP(_xlfn.MINIFS('FIRE TEX 5090'!$R$5:$R$30,'FIRE TEX 5090'!$R$5:$R$30,"&gt;="&amp;M1040),'FIRE TEX 5090'!$R$5:$W$30,IF(L1040="F-15",2,IF(L1040="F-30",3,IF(L1040="F-60",4,IF(L1040="F-90",5,IF(L1040="F-120",6,IF(L1040="F-150",7,0)))))),0),0)+IF(AND(O1040="FIRE TEX 5090",E1040="CJ",J1040=4),VLOOKUP(_xlfn.MINIFS('FIRE TEX 5090'!$Y$5:$Y$39,'FIRE TEX 5090'!$Y$5:$Y$39,"&gt;="&amp;M1040),'FIRE TEX 5090'!$Y$5:$AD$39,IF(L1040="F-15",2,IF(L1040="F-30",3,IF(L1040="F-60",4,IF(L1040="F-90",5,IF(L1040="F-120",6,IF(L1040="F-150",7,0)))))),0),0)+IF(AND(O1040="FIRE TEX 5120",OR(E1040="IN",E1040="C",E1040="Z",E1040="L"),J1040=3),VLOOKUP(_xlfn.MINIFS('FIRE TEX 5120'!$B$5:$B$40,'FIRE TEX 5120'!$B$5:$B$40,"&gt;="&amp;M1040),'FIRE TEX 5120'!$B$5:$G$40,IF(L1040="F-15",2,IF(L1040="F-30",3,IF(L1040="F-60",4,IF(L1040="F-90",5,IF(L1040="F-120",6,0))))),0),0)+IF(AND(O1040="FIRE TEX 5120",OR(E1040="IN",E1040="C",E1040="Z",E1040="L"),J1040=4),VLOOKUP(_xlfn.MINIFS('FIRE TEX 5120'!$H$4:$H$40,'FIRE TEX 5120'!$H$4:$H$40,"&gt;="&amp;M1040),'FIRE TEX 5120'!$H$4:$M$40,IF(L1040="F-15",2,IF(L1040="F-30",3,IF(L1040="F-60",4,IF(L1040="F-90",5,IF(L1040="F-120",6,0))))),0),0)+IF(AND(O1040="FIRE TEX 5120",E1040="CJ"),VLOOKUP(_xlfn.MINIFS('FIRE TEX 5120'!$O$5:$O$40,'FIRE TEX 5120'!$O$5:$O$40,"&gt;="&amp;M1040),'FIRE TEX 5120'!$O$5:$T$40,IF(L1040="F-15",2,IF(L1040="F-30",3,IF(L1040="F-60",4,IF(L1040="F-90",5,IF(L1040="F-120",6,0))))),0),0)</f>
        <v>0</v>
      </c>
      <c r="Q1040" s="46">
        <f t="shared" si="99"/>
        <v>0</v>
      </c>
      <c r="R1040" s="46">
        <f t="shared" si="100"/>
        <v>0</v>
      </c>
      <c r="S1040" s="46" t="e">
        <f t="shared" si="101"/>
        <v>#VALUE!</v>
      </c>
      <c r="T1040" s="677">
        <f t="shared" si="102"/>
        <v>0</v>
      </c>
      <c r="U1040" s="80">
        <f>(IF(O1040="Stofire",(S1040*#REF!),0))+(IF(O1040="Fire Control",(S1040*$U$2),0))+(IF(O1040="Fire Tex",(S1040*$U$3),0))+(IF(O1040="WB7",(S1040*#REF!),0)+(IF(O1040="FX 2003",(S1040*$U$5),0)))</f>
        <v>0</v>
      </c>
      <c r="V1040" s="651">
        <f t="shared" si="103"/>
        <v>0</v>
      </c>
    </row>
    <row r="1041" spans="4:22" x14ac:dyDescent="0.25">
      <c r="D1041" s="118">
        <f>+CUBICACION!D1040</f>
        <v>0</v>
      </c>
      <c r="E1041" s="118">
        <f>+CUBICACION!F1040</f>
        <v>0</v>
      </c>
      <c r="F1041" s="118">
        <f>+CUBICACION!E1040</f>
        <v>0</v>
      </c>
      <c r="G1041" s="118">
        <v>12</v>
      </c>
      <c r="H1041" s="118">
        <v>2</v>
      </c>
      <c r="I1041" s="820">
        <v>26385</v>
      </c>
      <c r="J1041" s="118">
        <f>+CUBICACION!J1040</f>
        <v>0</v>
      </c>
      <c r="K1041" s="118">
        <v>3820</v>
      </c>
      <c r="L1041" s="118">
        <f>+CUBICACION!L1040</f>
        <v>0</v>
      </c>
      <c r="M1041" s="64">
        <f>+CUBICACION!M1040</f>
        <v>0</v>
      </c>
      <c r="N1041" s="824" t="str">
        <f>+CUBICACION!N1040</f>
        <v/>
      </c>
      <c r="O1041" s="675">
        <f>+CUBICACION!O1040</f>
        <v>0</v>
      </c>
      <c r="P1041" s="15">
        <f>IF(O1041="Fire Control",VLOOKUP(_xlfn.MINIFS('FIRE CONTROL'!$C$4:$C$37,'FIRE CONTROL'!$C$4:$C$37,"&gt;="&amp;M1041),'FIRE CONTROL'!$C$4:$G$37,IF(L1041="F-15",2,IF(L1041="F-30",3,IF(L1041="F-60",4,IF(L1041="F-90",5,0)))),0),0)+IF(AND(O1041="FIRE TEX 5062",OR(E1041="IN",E1041="C",E1041="Z",E1041="L"),J1041=3),VLOOKUP(_xlfn.MINIFS('FIRE TEX 5062'!$B$4:$B$34,'FIRE TEX 5062'!$B$4:$B$34,"&gt;="&amp;M1041),'FIRE TEX 5062'!$B$4:$F$34,IF(L1041="F-15",2,IF(L1041="F-30",3,IF(L1041="F-60",4,IF(L1041="F-90",5,0)))),0),0)+IF(AND(O1041="FIRE TEX 5062",OR(E1041="IN",E1041="C",E1041="Z",E1041="L"),J1041=4),VLOOKUP(_xlfn.MINIFS('FIRE TEX 5062'!$G$4:$G$34,'FIRE TEX 5062'!$G$4:$G$34,"&gt;="&amp;M1041),'FIRE TEX 5062'!$G$4:$K$34,IF(L1041="F-15",2,IF(L1041="F-30",3,IF(L1041="F-60",4,IF(L1041="F-90",5,0)))),0),0)+IF(AND(O1041="FIRE TEX 5062",E1041="CJ",J1041=3),VLOOKUP(_xlfn.MINIFS('FIRE TEX 5062'!$L$4:$L$34,'FIRE TEX 5062'!$L$4:$L$34,"&gt;="&amp;M1041),'FIRE TEX 5062'!$L$4:$P$34,IF(L1041="F-15",2,IF(L1041="F-30",3,IF(L1041="F-60",4,IF(L1041="F-90",5,0)))),0),0)+IF(AND(O1041="FIRE TEX 5062",E1041="CJ",J1041=4),VLOOKUP(_xlfn.MINIFS('FIRE TEX 5062'!$Q$3:$Q$34,'FIRE TEX 5062'!$Q$3:$Q$34,"&gt;="&amp;M1041),'FIRE TEX 5062'!$Q$3:$U$34,IF(L1041="F-15",2,IF(L1041="F-30",3,IF(L1041="F-60",4,IF(L1041="F-90",5,0)))),0),0)+IF(AND(O1041="FIRE TEX 5090",OR(E1041="IN",E1041="C",E1041="Z",E1041="L"),J1041=3),VLOOKUP(_xlfn.MINIFS('FIRE TEX 5090'!$B$5:$B$43,'FIRE TEX 5090'!$B$5:$B$43,"&gt;="&amp;M1041),'FIRE TEX 5090'!$B$5:$H$43,IF(L1041="F-15",2,IF(L1041="F-30",3,IF(L1041="F-60",4,IF(L1041="F-90",5,IF(L1041="F-120",6,IF(L1041="F-150",7,0)))))),0),0)+IF(AND(O1041="FIRE TEX 5090",OR(E1041="IN",E1041="C",E1041="Z",E1041="L"),J1041=4),VLOOKUP(_xlfn.MINIFS('FIRE TEX 5090'!$J$5:$J$43,'FIRE TEX 5090'!$J$5:$J$43,"&gt;="&amp;M1041),'FIRE TEX 5090'!$J$5:$P$43,IF(L1041="F-15",2,IF(L1041="F-30",3,IF(L1041="F-60",4,IF(L1041="F-90",5,IF(L1041="F-120",6,IF(L1041="F-150",7,0)))))),0),0)+IF(AND(O1041="FIRE TEX 5090",E1041="CJ",J1041=3),VLOOKUP(_xlfn.MINIFS('FIRE TEX 5090'!$R$5:$R$30,'FIRE TEX 5090'!$R$5:$R$30,"&gt;="&amp;M1041),'FIRE TEX 5090'!$R$5:$W$30,IF(L1041="F-15",2,IF(L1041="F-30",3,IF(L1041="F-60",4,IF(L1041="F-90",5,IF(L1041="F-120",6,IF(L1041="F-150",7,0)))))),0),0)+IF(AND(O1041="FIRE TEX 5090",E1041="CJ",J1041=4),VLOOKUP(_xlfn.MINIFS('FIRE TEX 5090'!$Y$5:$Y$39,'FIRE TEX 5090'!$Y$5:$Y$39,"&gt;="&amp;M1041),'FIRE TEX 5090'!$Y$5:$AD$39,IF(L1041="F-15",2,IF(L1041="F-30",3,IF(L1041="F-60",4,IF(L1041="F-90",5,IF(L1041="F-120",6,IF(L1041="F-150",7,0)))))),0),0)+IF(AND(O1041="FIRE TEX 5120",OR(E1041="IN",E1041="C",E1041="Z",E1041="L"),J1041=3),VLOOKUP(_xlfn.MINIFS('FIRE TEX 5120'!$B$5:$B$40,'FIRE TEX 5120'!$B$5:$B$40,"&gt;="&amp;M1041),'FIRE TEX 5120'!$B$5:$G$40,IF(L1041="F-15",2,IF(L1041="F-30",3,IF(L1041="F-60",4,IF(L1041="F-90",5,IF(L1041="F-120",6,0))))),0),0)+IF(AND(O1041="FIRE TEX 5120",OR(E1041="IN",E1041="C",E1041="Z",E1041="L"),J1041=4),VLOOKUP(_xlfn.MINIFS('FIRE TEX 5120'!$H$4:$H$40,'FIRE TEX 5120'!$H$4:$H$40,"&gt;="&amp;M1041),'FIRE TEX 5120'!$H$4:$M$40,IF(L1041="F-15",2,IF(L1041="F-30",3,IF(L1041="F-60",4,IF(L1041="F-90",5,IF(L1041="F-120",6,0))))),0),0)+IF(AND(O1041="FIRE TEX 5120",E1041="CJ"),VLOOKUP(_xlfn.MINIFS('FIRE TEX 5120'!$O$5:$O$40,'FIRE TEX 5120'!$O$5:$O$40,"&gt;="&amp;M1041),'FIRE TEX 5120'!$O$5:$T$40,IF(L1041="F-15",2,IF(L1041="F-30",3,IF(L1041="F-60",4,IF(L1041="F-90",5,IF(L1041="F-120",6,0))))),0),0)</f>
        <v>0</v>
      </c>
      <c r="Q1041" s="46">
        <f t="shared" si="99"/>
        <v>0</v>
      </c>
      <c r="R1041" s="46">
        <f t="shared" si="100"/>
        <v>0</v>
      </c>
      <c r="S1041" s="46" t="e">
        <f t="shared" si="101"/>
        <v>#VALUE!</v>
      </c>
      <c r="T1041" s="677">
        <f t="shared" si="102"/>
        <v>0</v>
      </c>
      <c r="U1041" s="80">
        <f>(IF(O1041="Stofire",(S1041*#REF!),0))+(IF(O1041="Fire Control",(S1041*$U$2),0))+(IF(O1041="Fire Tex",(S1041*$U$3),0))+(IF(O1041="WB7",(S1041*#REF!),0)+(IF(O1041="FX 2003",(S1041*$U$5),0)))</f>
        <v>0</v>
      </c>
      <c r="V1041" s="651">
        <f t="shared" si="103"/>
        <v>0</v>
      </c>
    </row>
    <row r="1042" spans="4:22" x14ac:dyDescent="0.25">
      <c r="D1042" s="118">
        <f>+CUBICACION!D1041</f>
        <v>0</v>
      </c>
      <c r="E1042" s="118">
        <f>+CUBICACION!F1041</f>
        <v>0</v>
      </c>
      <c r="F1042" s="118">
        <f>+CUBICACION!E1041</f>
        <v>0</v>
      </c>
      <c r="G1042" s="118">
        <v>12</v>
      </c>
      <c r="H1042" s="118">
        <v>2</v>
      </c>
      <c r="I1042" s="820">
        <v>26385</v>
      </c>
      <c r="J1042" s="118">
        <f>+CUBICACION!J1041</f>
        <v>0</v>
      </c>
      <c r="K1042" s="118">
        <v>3821</v>
      </c>
      <c r="L1042" s="118">
        <f>+CUBICACION!L1041</f>
        <v>0</v>
      </c>
      <c r="M1042" s="64">
        <f>+CUBICACION!M1041</f>
        <v>0</v>
      </c>
      <c r="N1042" s="824" t="str">
        <f>+CUBICACION!N1041</f>
        <v/>
      </c>
      <c r="O1042" s="675">
        <f>+CUBICACION!O1041</f>
        <v>0</v>
      </c>
      <c r="P1042" s="15">
        <f>IF(O1042="Fire Control",VLOOKUP(_xlfn.MINIFS('FIRE CONTROL'!$C$4:$C$37,'FIRE CONTROL'!$C$4:$C$37,"&gt;="&amp;M1042),'FIRE CONTROL'!$C$4:$G$37,IF(L1042="F-15",2,IF(L1042="F-30",3,IF(L1042="F-60",4,IF(L1042="F-90",5,0)))),0),0)+IF(AND(O1042="FIRE TEX 5062",OR(E1042="IN",E1042="C",E1042="Z",E1042="L"),J1042=3),VLOOKUP(_xlfn.MINIFS('FIRE TEX 5062'!$B$4:$B$34,'FIRE TEX 5062'!$B$4:$B$34,"&gt;="&amp;M1042),'FIRE TEX 5062'!$B$4:$F$34,IF(L1042="F-15",2,IF(L1042="F-30",3,IF(L1042="F-60",4,IF(L1042="F-90",5,0)))),0),0)+IF(AND(O1042="FIRE TEX 5062",OR(E1042="IN",E1042="C",E1042="Z",E1042="L"),J1042=4),VLOOKUP(_xlfn.MINIFS('FIRE TEX 5062'!$G$4:$G$34,'FIRE TEX 5062'!$G$4:$G$34,"&gt;="&amp;M1042),'FIRE TEX 5062'!$G$4:$K$34,IF(L1042="F-15",2,IF(L1042="F-30",3,IF(L1042="F-60",4,IF(L1042="F-90",5,0)))),0),0)+IF(AND(O1042="FIRE TEX 5062",E1042="CJ",J1042=3),VLOOKUP(_xlfn.MINIFS('FIRE TEX 5062'!$L$4:$L$34,'FIRE TEX 5062'!$L$4:$L$34,"&gt;="&amp;M1042),'FIRE TEX 5062'!$L$4:$P$34,IF(L1042="F-15",2,IF(L1042="F-30",3,IF(L1042="F-60",4,IF(L1042="F-90",5,0)))),0),0)+IF(AND(O1042="FIRE TEX 5062",E1042="CJ",J1042=4),VLOOKUP(_xlfn.MINIFS('FIRE TEX 5062'!$Q$3:$Q$34,'FIRE TEX 5062'!$Q$3:$Q$34,"&gt;="&amp;M1042),'FIRE TEX 5062'!$Q$3:$U$34,IF(L1042="F-15",2,IF(L1042="F-30",3,IF(L1042="F-60",4,IF(L1042="F-90",5,0)))),0),0)+IF(AND(O1042="FIRE TEX 5090",OR(E1042="IN",E1042="C",E1042="Z",E1042="L"),J1042=3),VLOOKUP(_xlfn.MINIFS('FIRE TEX 5090'!$B$5:$B$43,'FIRE TEX 5090'!$B$5:$B$43,"&gt;="&amp;M1042),'FIRE TEX 5090'!$B$5:$H$43,IF(L1042="F-15",2,IF(L1042="F-30",3,IF(L1042="F-60",4,IF(L1042="F-90",5,IF(L1042="F-120",6,IF(L1042="F-150",7,0)))))),0),0)+IF(AND(O1042="FIRE TEX 5090",OR(E1042="IN",E1042="C",E1042="Z",E1042="L"),J1042=4),VLOOKUP(_xlfn.MINIFS('FIRE TEX 5090'!$J$5:$J$43,'FIRE TEX 5090'!$J$5:$J$43,"&gt;="&amp;M1042),'FIRE TEX 5090'!$J$5:$P$43,IF(L1042="F-15",2,IF(L1042="F-30",3,IF(L1042="F-60",4,IF(L1042="F-90",5,IF(L1042="F-120",6,IF(L1042="F-150",7,0)))))),0),0)+IF(AND(O1042="FIRE TEX 5090",E1042="CJ",J1042=3),VLOOKUP(_xlfn.MINIFS('FIRE TEX 5090'!$R$5:$R$30,'FIRE TEX 5090'!$R$5:$R$30,"&gt;="&amp;M1042),'FIRE TEX 5090'!$R$5:$W$30,IF(L1042="F-15",2,IF(L1042="F-30",3,IF(L1042="F-60",4,IF(L1042="F-90",5,IF(L1042="F-120",6,IF(L1042="F-150",7,0)))))),0),0)+IF(AND(O1042="FIRE TEX 5090",E1042="CJ",J1042=4),VLOOKUP(_xlfn.MINIFS('FIRE TEX 5090'!$Y$5:$Y$39,'FIRE TEX 5090'!$Y$5:$Y$39,"&gt;="&amp;M1042),'FIRE TEX 5090'!$Y$5:$AD$39,IF(L1042="F-15",2,IF(L1042="F-30",3,IF(L1042="F-60",4,IF(L1042="F-90",5,IF(L1042="F-120",6,IF(L1042="F-150",7,0)))))),0),0)+IF(AND(O1042="FIRE TEX 5120",OR(E1042="IN",E1042="C",E1042="Z",E1042="L"),J1042=3),VLOOKUP(_xlfn.MINIFS('FIRE TEX 5120'!$B$5:$B$40,'FIRE TEX 5120'!$B$5:$B$40,"&gt;="&amp;M1042),'FIRE TEX 5120'!$B$5:$G$40,IF(L1042="F-15",2,IF(L1042="F-30",3,IF(L1042="F-60",4,IF(L1042="F-90",5,IF(L1042="F-120",6,0))))),0),0)+IF(AND(O1042="FIRE TEX 5120",OR(E1042="IN",E1042="C",E1042="Z",E1042="L"),J1042=4),VLOOKUP(_xlfn.MINIFS('FIRE TEX 5120'!$H$4:$H$40,'FIRE TEX 5120'!$H$4:$H$40,"&gt;="&amp;M1042),'FIRE TEX 5120'!$H$4:$M$40,IF(L1042="F-15",2,IF(L1042="F-30",3,IF(L1042="F-60",4,IF(L1042="F-90",5,IF(L1042="F-120",6,0))))),0),0)+IF(AND(O1042="FIRE TEX 5120",E1042="CJ"),VLOOKUP(_xlfn.MINIFS('FIRE TEX 5120'!$O$5:$O$40,'FIRE TEX 5120'!$O$5:$O$40,"&gt;="&amp;M1042),'FIRE TEX 5120'!$O$5:$T$40,IF(L1042="F-15",2,IF(L1042="F-30",3,IF(L1042="F-60",4,IF(L1042="F-90",5,IF(L1042="F-120",6,0))))),0),0)</f>
        <v>0</v>
      </c>
      <c r="Q1042" s="46">
        <f t="shared" si="99"/>
        <v>0</v>
      </c>
      <c r="R1042" s="46">
        <f t="shared" si="100"/>
        <v>0</v>
      </c>
      <c r="S1042" s="46" t="e">
        <f t="shared" si="101"/>
        <v>#VALUE!</v>
      </c>
      <c r="T1042" s="677">
        <f t="shared" si="102"/>
        <v>0</v>
      </c>
      <c r="U1042" s="80">
        <f>(IF(O1042="Stofire",(S1042*#REF!),0))+(IF(O1042="Fire Control",(S1042*$U$2),0))+(IF(O1042="Fire Tex",(S1042*$U$3),0))+(IF(O1042="WB7",(S1042*#REF!),0)+(IF(O1042="FX 2003",(S1042*$U$5),0)))</f>
        <v>0</v>
      </c>
      <c r="V1042" s="651">
        <f t="shared" si="103"/>
        <v>0</v>
      </c>
    </row>
    <row r="1043" spans="4:22" x14ac:dyDescent="0.25">
      <c r="D1043" s="118">
        <f>+CUBICACION!D1042</f>
        <v>0</v>
      </c>
      <c r="E1043" s="118">
        <f>+CUBICACION!F1042</f>
        <v>0</v>
      </c>
      <c r="F1043" s="118">
        <f>+CUBICACION!E1042</f>
        <v>0</v>
      </c>
      <c r="G1043" s="118">
        <v>12</v>
      </c>
      <c r="H1043" s="118">
        <v>2</v>
      </c>
      <c r="I1043" s="820">
        <v>26385</v>
      </c>
      <c r="J1043" s="118">
        <f>+CUBICACION!J1042</f>
        <v>0</v>
      </c>
      <c r="K1043" s="118">
        <v>3822</v>
      </c>
      <c r="L1043" s="118">
        <f>+CUBICACION!L1042</f>
        <v>0</v>
      </c>
      <c r="M1043" s="64">
        <f>+CUBICACION!M1042</f>
        <v>0</v>
      </c>
      <c r="N1043" s="824" t="str">
        <f>+CUBICACION!N1042</f>
        <v/>
      </c>
      <c r="O1043" s="675">
        <f>+CUBICACION!O1042</f>
        <v>0</v>
      </c>
      <c r="P1043" s="15">
        <f>IF(O1043="Fire Control",VLOOKUP(_xlfn.MINIFS('FIRE CONTROL'!$C$4:$C$37,'FIRE CONTROL'!$C$4:$C$37,"&gt;="&amp;M1043),'FIRE CONTROL'!$C$4:$G$37,IF(L1043="F-15",2,IF(L1043="F-30",3,IF(L1043="F-60",4,IF(L1043="F-90",5,0)))),0),0)+IF(AND(O1043="FIRE TEX 5062",OR(E1043="IN",E1043="C",E1043="Z",E1043="L"),J1043=3),VLOOKUP(_xlfn.MINIFS('FIRE TEX 5062'!$B$4:$B$34,'FIRE TEX 5062'!$B$4:$B$34,"&gt;="&amp;M1043),'FIRE TEX 5062'!$B$4:$F$34,IF(L1043="F-15",2,IF(L1043="F-30",3,IF(L1043="F-60",4,IF(L1043="F-90",5,0)))),0),0)+IF(AND(O1043="FIRE TEX 5062",OR(E1043="IN",E1043="C",E1043="Z",E1043="L"),J1043=4),VLOOKUP(_xlfn.MINIFS('FIRE TEX 5062'!$G$4:$G$34,'FIRE TEX 5062'!$G$4:$G$34,"&gt;="&amp;M1043),'FIRE TEX 5062'!$G$4:$K$34,IF(L1043="F-15",2,IF(L1043="F-30",3,IF(L1043="F-60",4,IF(L1043="F-90",5,0)))),0),0)+IF(AND(O1043="FIRE TEX 5062",E1043="CJ",J1043=3),VLOOKUP(_xlfn.MINIFS('FIRE TEX 5062'!$L$4:$L$34,'FIRE TEX 5062'!$L$4:$L$34,"&gt;="&amp;M1043),'FIRE TEX 5062'!$L$4:$P$34,IF(L1043="F-15",2,IF(L1043="F-30",3,IF(L1043="F-60",4,IF(L1043="F-90",5,0)))),0),0)+IF(AND(O1043="FIRE TEX 5062",E1043="CJ",J1043=4),VLOOKUP(_xlfn.MINIFS('FIRE TEX 5062'!$Q$3:$Q$34,'FIRE TEX 5062'!$Q$3:$Q$34,"&gt;="&amp;M1043),'FIRE TEX 5062'!$Q$3:$U$34,IF(L1043="F-15",2,IF(L1043="F-30",3,IF(L1043="F-60",4,IF(L1043="F-90",5,0)))),0),0)+IF(AND(O1043="FIRE TEX 5090",OR(E1043="IN",E1043="C",E1043="Z",E1043="L"),J1043=3),VLOOKUP(_xlfn.MINIFS('FIRE TEX 5090'!$B$5:$B$43,'FIRE TEX 5090'!$B$5:$B$43,"&gt;="&amp;M1043),'FIRE TEX 5090'!$B$5:$H$43,IF(L1043="F-15",2,IF(L1043="F-30",3,IF(L1043="F-60",4,IF(L1043="F-90",5,IF(L1043="F-120",6,IF(L1043="F-150",7,0)))))),0),0)+IF(AND(O1043="FIRE TEX 5090",OR(E1043="IN",E1043="C",E1043="Z",E1043="L"),J1043=4),VLOOKUP(_xlfn.MINIFS('FIRE TEX 5090'!$J$5:$J$43,'FIRE TEX 5090'!$J$5:$J$43,"&gt;="&amp;M1043),'FIRE TEX 5090'!$J$5:$P$43,IF(L1043="F-15",2,IF(L1043="F-30",3,IF(L1043="F-60",4,IF(L1043="F-90",5,IF(L1043="F-120",6,IF(L1043="F-150",7,0)))))),0),0)+IF(AND(O1043="FIRE TEX 5090",E1043="CJ",J1043=3),VLOOKUP(_xlfn.MINIFS('FIRE TEX 5090'!$R$5:$R$30,'FIRE TEX 5090'!$R$5:$R$30,"&gt;="&amp;M1043),'FIRE TEX 5090'!$R$5:$W$30,IF(L1043="F-15",2,IF(L1043="F-30",3,IF(L1043="F-60",4,IF(L1043="F-90",5,IF(L1043="F-120",6,IF(L1043="F-150",7,0)))))),0),0)+IF(AND(O1043="FIRE TEX 5090",E1043="CJ",J1043=4),VLOOKUP(_xlfn.MINIFS('FIRE TEX 5090'!$Y$5:$Y$39,'FIRE TEX 5090'!$Y$5:$Y$39,"&gt;="&amp;M1043),'FIRE TEX 5090'!$Y$5:$AD$39,IF(L1043="F-15",2,IF(L1043="F-30",3,IF(L1043="F-60",4,IF(L1043="F-90",5,IF(L1043="F-120",6,IF(L1043="F-150",7,0)))))),0),0)+IF(AND(O1043="FIRE TEX 5120",OR(E1043="IN",E1043="C",E1043="Z",E1043="L"),J1043=3),VLOOKUP(_xlfn.MINIFS('FIRE TEX 5120'!$B$5:$B$40,'FIRE TEX 5120'!$B$5:$B$40,"&gt;="&amp;M1043),'FIRE TEX 5120'!$B$5:$G$40,IF(L1043="F-15",2,IF(L1043="F-30",3,IF(L1043="F-60",4,IF(L1043="F-90",5,IF(L1043="F-120",6,0))))),0),0)+IF(AND(O1043="FIRE TEX 5120",OR(E1043="IN",E1043="C",E1043="Z",E1043="L"),J1043=4),VLOOKUP(_xlfn.MINIFS('FIRE TEX 5120'!$H$4:$H$40,'FIRE TEX 5120'!$H$4:$H$40,"&gt;="&amp;M1043),'FIRE TEX 5120'!$H$4:$M$40,IF(L1043="F-15",2,IF(L1043="F-30",3,IF(L1043="F-60",4,IF(L1043="F-90",5,IF(L1043="F-120",6,0))))),0),0)+IF(AND(O1043="FIRE TEX 5120",E1043="CJ"),VLOOKUP(_xlfn.MINIFS('FIRE TEX 5120'!$O$5:$O$40,'FIRE TEX 5120'!$O$5:$O$40,"&gt;="&amp;M1043),'FIRE TEX 5120'!$O$5:$T$40,IF(L1043="F-15",2,IF(L1043="F-30",3,IF(L1043="F-60",4,IF(L1043="F-90",5,IF(L1043="F-120",6,0))))),0),0)</f>
        <v>0</v>
      </c>
      <c r="Q1043" s="46">
        <f t="shared" si="99"/>
        <v>0</v>
      </c>
      <c r="R1043" s="46">
        <f t="shared" si="100"/>
        <v>0</v>
      </c>
      <c r="S1043" s="46" t="e">
        <f t="shared" si="101"/>
        <v>#VALUE!</v>
      </c>
      <c r="T1043" s="677">
        <f t="shared" si="102"/>
        <v>0</v>
      </c>
      <c r="U1043" s="80">
        <f>(IF(O1043="Stofire",(S1043*#REF!),0))+(IF(O1043="Fire Control",(S1043*$U$2),0))+(IF(O1043="Fire Tex",(S1043*$U$3),0))+(IF(O1043="WB7",(S1043*#REF!),0)+(IF(O1043="FX 2003",(S1043*$U$5),0)))</f>
        <v>0</v>
      </c>
      <c r="V1043" s="651">
        <f t="shared" si="103"/>
        <v>0</v>
      </c>
    </row>
    <row r="1044" spans="4:22" x14ac:dyDescent="0.25">
      <c r="D1044" s="118">
        <f>+CUBICACION!D1043</f>
        <v>0</v>
      </c>
      <c r="E1044" s="118">
        <f>+CUBICACION!F1043</f>
        <v>0</v>
      </c>
      <c r="F1044" s="118">
        <f>+CUBICACION!E1043</f>
        <v>0</v>
      </c>
      <c r="G1044" s="118">
        <v>12</v>
      </c>
      <c r="H1044" s="118">
        <v>2</v>
      </c>
      <c r="I1044" s="820">
        <v>26385</v>
      </c>
      <c r="J1044" s="118">
        <f>+CUBICACION!J1043</f>
        <v>0</v>
      </c>
      <c r="K1044" s="118">
        <v>3823</v>
      </c>
      <c r="L1044" s="118">
        <f>+CUBICACION!L1043</f>
        <v>0</v>
      </c>
      <c r="M1044" s="64">
        <f>+CUBICACION!M1043</f>
        <v>0</v>
      </c>
      <c r="N1044" s="824" t="str">
        <f>+CUBICACION!N1043</f>
        <v/>
      </c>
      <c r="O1044" s="675">
        <f>+CUBICACION!O1043</f>
        <v>0</v>
      </c>
      <c r="P1044" s="15">
        <f>IF(O1044="Fire Control",VLOOKUP(_xlfn.MINIFS('FIRE CONTROL'!$C$4:$C$37,'FIRE CONTROL'!$C$4:$C$37,"&gt;="&amp;M1044),'FIRE CONTROL'!$C$4:$G$37,IF(L1044="F-15",2,IF(L1044="F-30",3,IF(L1044="F-60",4,IF(L1044="F-90",5,0)))),0),0)+IF(AND(O1044="FIRE TEX 5062",OR(E1044="IN",E1044="C",E1044="Z",E1044="L"),J1044=3),VLOOKUP(_xlfn.MINIFS('FIRE TEX 5062'!$B$4:$B$34,'FIRE TEX 5062'!$B$4:$B$34,"&gt;="&amp;M1044),'FIRE TEX 5062'!$B$4:$F$34,IF(L1044="F-15",2,IF(L1044="F-30",3,IF(L1044="F-60",4,IF(L1044="F-90",5,0)))),0),0)+IF(AND(O1044="FIRE TEX 5062",OR(E1044="IN",E1044="C",E1044="Z",E1044="L"),J1044=4),VLOOKUP(_xlfn.MINIFS('FIRE TEX 5062'!$G$4:$G$34,'FIRE TEX 5062'!$G$4:$G$34,"&gt;="&amp;M1044),'FIRE TEX 5062'!$G$4:$K$34,IF(L1044="F-15",2,IF(L1044="F-30",3,IF(L1044="F-60",4,IF(L1044="F-90",5,0)))),0),0)+IF(AND(O1044="FIRE TEX 5062",E1044="CJ",J1044=3),VLOOKUP(_xlfn.MINIFS('FIRE TEX 5062'!$L$4:$L$34,'FIRE TEX 5062'!$L$4:$L$34,"&gt;="&amp;M1044),'FIRE TEX 5062'!$L$4:$P$34,IF(L1044="F-15",2,IF(L1044="F-30",3,IF(L1044="F-60",4,IF(L1044="F-90",5,0)))),0),0)+IF(AND(O1044="FIRE TEX 5062",E1044="CJ",J1044=4),VLOOKUP(_xlfn.MINIFS('FIRE TEX 5062'!$Q$3:$Q$34,'FIRE TEX 5062'!$Q$3:$Q$34,"&gt;="&amp;M1044),'FIRE TEX 5062'!$Q$3:$U$34,IF(L1044="F-15",2,IF(L1044="F-30",3,IF(L1044="F-60",4,IF(L1044="F-90",5,0)))),0),0)+IF(AND(O1044="FIRE TEX 5090",OR(E1044="IN",E1044="C",E1044="Z",E1044="L"),J1044=3),VLOOKUP(_xlfn.MINIFS('FIRE TEX 5090'!$B$5:$B$43,'FIRE TEX 5090'!$B$5:$B$43,"&gt;="&amp;M1044),'FIRE TEX 5090'!$B$5:$H$43,IF(L1044="F-15",2,IF(L1044="F-30",3,IF(L1044="F-60",4,IF(L1044="F-90",5,IF(L1044="F-120",6,IF(L1044="F-150",7,0)))))),0),0)+IF(AND(O1044="FIRE TEX 5090",OR(E1044="IN",E1044="C",E1044="Z",E1044="L"),J1044=4),VLOOKUP(_xlfn.MINIFS('FIRE TEX 5090'!$J$5:$J$43,'FIRE TEX 5090'!$J$5:$J$43,"&gt;="&amp;M1044),'FIRE TEX 5090'!$J$5:$P$43,IF(L1044="F-15",2,IF(L1044="F-30",3,IF(L1044="F-60",4,IF(L1044="F-90",5,IF(L1044="F-120",6,IF(L1044="F-150",7,0)))))),0),0)+IF(AND(O1044="FIRE TEX 5090",E1044="CJ",J1044=3),VLOOKUP(_xlfn.MINIFS('FIRE TEX 5090'!$R$5:$R$30,'FIRE TEX 5090'!$R$5:$R$30,"&gt;="&amp;M1044),'FIRE TEX 5090'!$R$5:$W$30,IF(L1044="F-15",2,IF(L1044="F-30",3,IF(L1044="F-60",4,IF(L1044="F-90",5,IF(L1044="F-120",6,IF(L1044="F-150",7,0)))))),0),0)+IF(AND(O1044="FIRE TEX 5090",E1044="CJ",J1044=4),VLOOKUP(_xlfn.MINIFS('FIRE TEX 5090'!$Y$5:$Y$39,'FIRE TEX 5090'!$Y$5:$Y$39,"&gt;="&amp;M1044),'FIRE TEX 5090'!$Y$5:$AD$39,IF(L1044="F-15",2,IF(L1044="F-30",3,IF(L1044="F-60",4,IF(L1044="F-90",5,IF(L1044="F-120",6,IF(L1044="F-150",7,0)))))),0),0)+IF(AND(O1044="FIRE TEX 5120",OR(E1044="IN",E1044="C",E1044="Z",E1044="L"),J1044=3),VLOOKUP(_xlfn.MINIFS('FIRE TEX 5120'!$B$5:$B$40,'FIRE TEX 5120'!$B$5:$B$40,"&gt;="&amp;M1044),'FIRE TEX 5120'!$B$5:$G$40,IF(L1044="F-15",2,IF(L1044="F-30",3,IF(L1044="F-60",4,IF(L1044="F-90",5,IF(L1044="F-120",6,0))))),0),0)+IF(AND(O1044="FIRE TEX 5120",OR(E1044="IN",E1044="C",E1044="Z",E1044="L"),J1044=4),VLOOKUP(_xlfn.MINIFS('FIRE TEX 5120'!$H$4:$H$40,'FIRE TEX 5120'!$H$4:$H$40,"&gt;="&amp;M1044),'FIRE TEX 5120'!$H$4:$M$40,IF(L1044="F-15",2,IF(L1044="F-30",3,IF(L1044="F-60",4,IF(L1044="F-90",5,IF(L1044="F-120",6,0))))),0),0)+IF(AND(O1044="FIRE TEX 5120",E1044="CJ"),VLOOKUP(_xlfn.MINIFS('FIRE TEX 5120'!$O$5:$O$40,'FIRE TEX 5120'!$O$5:$O$40,"&gt;="&amp;M1044),'FIRE TEX 5120'!$O$5:$T$40,IF(L1044="F-15",2,IF(L1044="F-30",3,IF(L1044="F-60",4,IF(L1044="F-90",5,IF(L1044="F-120",6,0))))),0),0)</f>
        <v>0</v>
      </c>
      <c r="Q1044" s="46">
        <f t="shared" si="99"/>
        <v>0</v>
      </c>
      <c r="R1044" s="46">
        <f t="shared" si="100"/>
        <v>0</v>
      </c>
      <c r="S1044" s="46" t="e">
        <f t="shared" si="101"/>
        <v>#VALUE!</v>
      </c>
      <c r="T1044" s="677">
        <f t="shared" si="102"/>
        <v>0</v>
      </c>
      <c r="U1044" s="80">
        <f>(IF(O1044="Stofire",(S1044*#REF!),0))+(IF(O1044="Fire Control",(S1044*$U$2),0))+(IF(O1044="Fire Tex",(S1044*$U$3),0))+(IF(O1044="WB7",(S1044*#REF!),0)+(IF(O1044="FX 2003",(S1044*$U$5),0)))</f>
        <v>0</v>
      </c>
      <c r="V1044" s="651">
        <f t="shared" si="103"/>
        <v>0</v>
      </c>
    </row>
    <row r="1045" spans="4:22" x14ac:dyDescent="0.25">
      <c r="D1045" s="118">
        <f>+CUBICACION!D1044</f>
        <v>0</v>
      </c>
      <c r="E1045" s="118">
        <f>+CUBICACION!F1044</f>
        <v>0</v>
      </c>
      <c r="F1045" s="118">
        <f>+CUBICACION!E1044</f>
        <v>0</v>
      </c>
      <c r="G1045" s="118">
        <v>12</v>
      </c>
      <c r="H1045" s="118">
        <v>2</v>
      </c>
      <c r="I1045" s="820">
        <v>26385</v>
      </c>
      <c r="J1045" s="118">
        <f>+CUBICACION!J1044</f>
        <v>0</v>
      </c>
      <c r="K1045" s="118">
        <v>3824</v>
      </c>
      <c r="L1045" s="118">
        <f>+CUBICACION!L1044</f>
        <v>0</v>
      </c>
      <c r="M1045" s="64">
        <f>+CUBICACION!M1044</f>
        <v>0</v>
      </c>
      <c r="N1045" s="824" t="str">
        <f>+CUBICACION!N1044</f>
        <v/>
      </c>
      <c r="O1045" s="675">
        <f>+CUBICACION!O1044</f>
        <v>0</v>
      </c>
      <c r="P1045" s="15">
        <f>IF(O1045="Fire Control",VLOOKUP(_xlfn.MINIFS('FIRE CONTROL'!$C$4:$C$37,'FIRE CONTROL'!$C$4:$C$37,"&gt;="&amp;M1045),'FIRE CONTROL'!$C$4:$G$37,IF(L1045="F-15",2,IF(L1045="F-30",3,IF(L1045="F-60",4,IF(L1045="F-90",5,0)))),0),0)+IF(AND(O1045="FIRE TEX 5062",OR(E1045="IN",E1045="C",E1045="Z",E1045="L"),J1045=3),VLOOKUP(_xlfn.MINIFS('FIRE TEX 5062'!$B$4:$B$34,'FIRE TEX 5062'!$B$4:$B$34,"&gt;="&amp;M1045),'FIRE TEX 5062'!$B$4:$F$34,IF(L1045="F-15",2,IF(L1045="F-30",3,IF(L1045="F-60",4,IF(L1045="F-90",5,0)))),0),0)+IF(AND(O1045="FIRE TEX 5062",OR(E1045="IN",E1045="C",E1045="Z",E1045="L"),J1045=4),VLOOKUP(_xlfn.MINIFS('FIRE TEX 5062'!$G$4:$G$34,'FIRE TEX 5062'!$G$4:$G$34,"&gt;="&amp;M1045),'FIRE TEX 5062'!$G$4:$K$34,IF(L1045="F-15",2,IF(L1045="F-30",3,IF(L1045="F-60",4,IF(L1045="F-90",5,0)))),0),0)+IF(AND(O1045="FIRE TEX 5062",E1045="CJ",J1045=3),VLOOKUP(_xlfn.MINIFS('FIRE TEX 5062'!$L$4:$L$34,'FIRE TEX 5062'!$L$4:$L$34,"&gt;="&amp;M1045),'FIRE TEX 5062'!$L$4:$P$34,IF(L1045="F-15",2,IF(L1045="F-30",3,IF(L1045="F-60",4,IF(L1045="F-90",5,0)))),0),0)+IF(AND(O1045="FIRE TEX 5062",E1045="CJ",J1045=4),VLOOKUP(_xlfn.MINIFS('FIRE TEX 5062'!$Q$3:$Q$34,'FIRE TEX 5062'!$Q$3:$Q$34,"&gt;="&amp;M1045),'FIRE TEX 5062'!$Q$3:$U$34,IF(L1045="F-15",2,IF(L1045="F-30",3,IF(L1045="F-60",4,IF(L1045="F-90",5,0)))),0),0)+IF(AND(O1045="FIRE TEX 5090",OR(E1045="IN",E1045="C",E1045="Z",E1045="L"),J1045=3),VLOOKUP(_xlfn.MINIFS('FIRE TEX 5090'!$B$5:$B$43,'FIRE TEX 5090'!$B$5:$B$43,"&gt;="&amp;M1045),'FIRE TEX 5090'!$B$5:$H$43,IF(L1045="F-15",2,IF(L1045="F-30",3,IF(L1045="F-60",4,IF(L1045="F-90",5,IF(L1045="F-120",6,IF(L1045="F-150",7,0)))))),0),0)+IF(AND(O1045="FIRE TEX 5090",OR(E1045="IN",E1045="C",E1045="Z",E1045="L"),J1045=4),VLOOKUP(_xlfn.MINIFS('FIRE TEX 5090'!$J$5:$J$43,'FIRE TEX 5090'!$J$5:$J$43,"&gt;="&amp;M1045),'FIRE TEX 5090'!$J$5:$P$43,IF(L1045="F-15",2,IF(L1045="F-30",3,IF(L1045="F-60",4,IF(L1045="F-90",5,IF(L1045="F-120",6,IF(L1045="F-150",7,0)))))),0),0)+IF(AND(O1045="FIRE TEX 5090",E1045="CJ",J1045=3),VLOOKUP(_xlfn.MINIFS('FIRE TEX 5090'!$R$5:$R$30,'FIRE TEX 5090'!$R$5:$R$30,"&gt;="&amp;M1045),'FIRE TEX 5090'!$R$5:$W$30,IF(L1045="F-15",2,IF(L1045="F-30",3,IF(L1045="F-60",4,IF(L1045="F-90",5,IF(L1045="F-120",6,IF(L1045="F-150",7,0)))))),0),0)+IF(AND(O1045="FIRE TEX 5090",E1045="CJ",J1045=4),VLOOKUP(_xlfn.MINIFS('FIRE TEX 5090'!$Y$5:$Y$39,'FIRE TEX 5090'!$Y$5:$Y$39,"&gt;="&amp;M1045),'FIRE TEX 5090'!$Y$5:$AD$39,IF(L1045="F-15",2,IF(L1045="F-30",3,IF(L1045="F-60",4,IF(L1045="F-90",5,IF(L1045="F-120",6,IF(L1045="F-150",7,0)))))),0),0)+IF(AND(O1045="FIRE TEX 5120",OR(E1045="IN",E1045="C",E1045="Z",E1045="L"),J1045=3),VLOOKUP(_xlfn.MINIFS('FIRE TEX 5120'!$B$5:$B$40,'FIRE TEX 5120'!$B$5:$B$40,"&gt;="&amp;M1045),'FIRE TEX 5120'!$B$5:$G$40,IF(L1045="F-15",2,IF(L1045="F-30",3,IF(L1045="F-60",4,IF(L1045="F-90",5,IF(L1045="F-120",6,0))))),0),0)+IF(AND(O1045="FIRE TEX 5120",OR(E1045="IN",E1045="C",E1045="Z",E1045="L"),J1045=4),VLOOKUP(_xlfn.MINIFS('FIRE TEX 5120'!$H$4:$H$40,'FIRE TEX 5120'!$H$4:$H$40,"&gt;="&amp;M1045),'FIRE TEX 5120'!$H$4:$M$40,IF(L1045="F-15",2,IF(L1045="F-30",3,IF(L1045="F-60",4,IF(L1045="F-90",5,IF(L1045="F-120",6,0))))),0),0)+IF(AND(O1045="FIRE TEX 5120",E1045="CJ"),VLOOKUP(_xlfn.MINIFS('FIRE TEX 5120'!$O$5:$O$40,'FIRE TEX 5120'!$O$5:$O$40,"&gt;="&amp;M1045),'FIRE TEX 5120'!$O$5:$T$40,IF(L1045="F-15",2,IF(L1045="F-30",3,IF(L1045="F-60",4,IF(L1045="F-90",5,IF(L1045="F-120",6,0))))),0),0)</f>
        <v>0</v>
      </c>
      <c r="Q1045" s="46">
        <f t="shared" si="99"/>
        <v>0</v>
      </c>
      <c r="R1045" s="46">
        <f t="shared" si="100"/>
        <v>0</v>
      </c>
      <c r="S1045" s="46" t="e">
        <f t="shared" si="101"/>
        <v>#VALUE!</v>
      </c>
      <c r="T1045" s="677">
        <f t="shared" si="102"/>
        <v>0</v>
      </c>
      <c r="U1045" s="80">
        <f>(IF(O1045="Stofire",(S1045*#REF!),0))+(IF(O1045="Fire Control",(S1045*$U$2),0))+(IF(O1045="Fire Tex",(S1045*$U$3),0))+(IF(O1045="WB7",(S1045*#REF!),0)+(IF(O1045="FX 2003",(S1045*$U$5),0)))</f>
        <v>0</v>
      </c>
      <c r="V1045" s="651">
        <f t="shared" si="103"/>
        <v>0</v>
      </c>
    </row>
    <row r="1046" spans="4:22" x14ac:dyDescent="0.25">
      <c r="D1046" s="118">
        <f>+CUBICACION!D1045</f>
        <v>0</v>
      </c>
      <c r="E1046" s="118">
        <f>+CUBICACION!F1045</f>
        <v>0</v>
      </c>
      <c r="F1046" s="118">
        <f>+CUBICACION!E1045</f>
        <v>0</v>
      </c>
      <c r="G1046" s="118">
        <v>12</v>
      </c>
      <c r="H1046" s="118">
        <v>2</v>
      </c>
      <c r="I1046" s="820">
        <v>26385</v>
      </c>
      <c r="J1046" s="118">
        <f>+CUBICACION!J1045</f>
        <v>0</v>
      </c>
      <c r="K1046" s="118">
        <v>3825</v>
      </c>
      <c r="L1046" s="118">
        <f>+CUBICACION!L1045</f>
        <v>0</v>
      </c>
      <c r="M1046" s="64">
        <f>+CUBICACION!M1045</f>
        <v>0</v>
      </c>
      <c r="N1046" s="824" t="str">
        <f>+CUBICACION!N1045</f>
        <v/>
      </c>
      <c r="O1046" s="675">
        <f>+CUBICACION!O1045</f>
        <v>0</v>
      </c>
      <c r="P1046" s="15">
        <f>IF(O1046="Fire Control",VLOOKUP(_xlfn.MINIFS('FIRE CONTROL'!$C$4:$C$37,'FIRE CONTROL'!$C$4:$C$37,"&gt;="&amp;M1046),'FIRE CONTROL'!$C$4:$G$37,IF(L1046="F-15",2,IF(L1046="F-30",3,IF(L1046="F-60",4,IF(L1046="F-90",5,0)))),0),0)+IF(AND(O1046="FIRE TEX 5062",OR(E1046="IN",E1046="C",E1046="Z",E1046="L"),J1046=3),VLOOKUP(_xlfn.MINIFS('FIRE TEX 5062'!$B$4:$B$34,'FIRE TEX 5062'!$B$4:$B$34,"&gt;="&amp;M1046),'FIRE TEX 5062'!$B$4:$F$34,IF(L1046="F-15",2,IF(L1046="F-30",3,IF(L1046="F-60",4,IF(L1046="F-90",5,0)))),0),0)+IF(AND(O1046="FIRE TEX 5062",OR(E1046="IN",E1046="C",E1046="Z",E1046="L"),J1046=4),VLOOKUP(_xlfn.MINIFS('FIRE TEX 5062'!$G$4:$G$34,'FIRE TEX 5062'!$G$4:$G$34,"&gt;="&amp;M1046),'FIRE TEX 5062'!$G$4:$K$34,IF(L1046="F-15",2,IF(L1046="F-30",3,IF(L1046="F-60",4,IF(L1046="F-90",5,0)))),0),0)+IF(AND(O1046="FIRE TEX 5062",E1046="CJ",J1046=3),VLOOKUP(_xlfn.MINIFS('FIRE TEX 5062'!$L$4:$L$34,'FIRE TEX 5062'!$L$4:$L$34,"&gt;="&amp;M1046),'FIRE TEX 5062'!$L$4:$P$34,IF(L1046="F-15",2,IF(L1046="F-30",3,IF(L1046="F-60",4,IF(L1046="F-90",5,0)))),0),0)+IF(AND(O1046="FIRE TEX 5062",E1046="CJ",J1046=4),VLOOKUP(_xlfn.MINIFS('FIRE TEX 5062'!$Q$3:$Q$34,'FIRE TEX 5062'!$Q$3:$Q$34,"&gt;="&amp;M1046),'FIRE TEX 5062'!$Q$3:$U$34,IF(L1046="F-15",2,IF(L1046="F-30",3,IF(L1046="F-60",4,IF(L1046="F-90",5,0)))),0),0)+IF(AND(O1046="FIRE TEX 5090",OR(E1046="IN",E1046="C",E1046="Z",E1046="L"),J1046=3),VLOOKUP(_xlfn.MINIFS('FIRE TEX 5090'!$B$5:$B$43,'FIRE TEX 5090'!$B$5:$B$43,"&gt;="&amp;M1046),'FIRE TEX 5090'!$B$5:$H$43,IF(L1046="F-15",2,IF(L1046="F-30",3,IF(L1046="F-60",4,IF(L1046="F-90",5,IF(L1046="F-120",6,IF(L1046="F-150",7,0)))))),0),0)+IF(AND(O1046="FIRE TEX 5090",OR(E1046="IN",E1046="C",E1046="Z",E1046="L"),J1046=4),VLOOKUP(_xlfn.MINIFS('FIRE TEX 5090'!$J$5:$J$43,'FIRE TEX 5090'!$J$5:$J$43,"&gt;="&amp;M1046),'FIRE TEX 5090'!$J$5:$P$43,IF(L1046="F-15",2,IF(L1046="F-30",3,IF(L1046="F-60",4,IF(L1046="F-90",5,IF(L1046="F-120",6,IF(L1046="F-150",7,0)))))),0),0)+IF(AND(O1046="FIRE TEX 5090",E1046="CJ",J1046=3),VLOOKUP(_xlfn.MINIFS('FIRE TEX 5090'!$R$5:$R$30,'FIRE TEX 5090'!$R$5:$R$30,"&gt;="&amp;M1046),'FIRE TEX 5090'!$R$5:$W$30,IF(L1046="F-15",2,IF(L1046="F-30",3,IF(L1046="F-60",4,IF(L1046="F-90",5,IF(L1046="F-120",6,IF(L1046="F-150",7,0)))))),0),0)+IF(AND(O1046="FIRE TEX 5090",E1046="CJ",J1046=4),VLOOKUP(_xlfn.MINIFS('FIRE TEX 5090'!$Y$5:$Y$39,'FIRE TEX 5090'!$Y$5:$Y$39,"&gt;="&amp;M1046),'FIRE TEX 5090'!$Y$5:$AD$39,IF(L1046="F-15",2,IF(L1046="F-30",3,IF(L1046="F-60",4,IF(L1046="F-90",5,IF(L1046="F-120",6,IF(L1046="F-150",7,0)))))),0),0)+IF(AND(O1046="FIRE TEX 5120",OR(E1046="IN",E1046="C",E1046="Z",E1046="L"),J1046=3),VLOOKUP(_xlfn.MINIFS('FIRE TEX 5120'!$B$5:$B$40,'FIRE TEX 5120'!$B$5:$B$40,"&gt;="&amp;M1046),'FIRE TEX 5120'!$B$5:$G$40,IF(L1046="F-15",2,IF(L1046="F-30",3,IF(L1046="F-60",4,IF(L1046="F-90",5,IF(L1046="F-120",6,0))))),0),0)+IF(AND(O1046="FIRE TEX 5120",OR(E1046="IN",E1046="C",E1046="Z",E1046="L"),J1046=4),VLOOKUP(_xlfn.MINIFS('FIRE TEX 5120'!$H$4:$H$40,'FIRE TEX 5120'!$H$4:$H$40,"&gt;="&amp;M1046),'FIRE TEX 5120'!$H$4:$M$40,IF(L1046="F-15",2,IF(L1046="F-30",3,IF(L1046="F-60",4,IF(L1046="F-90",5,IF(L1046="F-120",6,0))))),0),0)+IF(AND(O1046="FIRE TEX 5120",E1046="CJ"),VLOOKUP(_xlfn.MINIFS('FIRE TEX 5120'!$O$5:$O$40,'FIRE TEX 5120'!$O$5:$O$40,"&gt;="&amp;M1046),'FIRE TEX 5120'!$O$5:$T$40,IF(L1046="F-15",2,IF(L1046="F-30",3,IF(L1046="F-60",4,IF(L1046="F-90",5,IF(L1046="F-120",6,0))))),0),0)</f>
        <v>0</v>
      </c>
      <c r="Q1046" s="46">
        <f t="shared" si="99"/>
        <v>0</v>
      </c>
      <c r="R1046" s="46">
        <f t="shared" si="100"/>
        <v>0</v>
      </c>
      <c r="S1046" s="46" t="e">
        <f t="shared" si="101"/>
        <v>#VALUE!</v>
      </c>
      <c r="T1046" s="677">
        <f t="shared" si="102"/>
        <v>0</v>
      </c>
      <c r="U1046" s="80">
        <f>(IF(O1046="Stofire",(S1046*#REF!),0))+(IF(O1046="Fire Control",(S1046*$U$2),0))+(IF(O1046="Fire Tex",(S1046*$U$3),0))+(IF(O1046="WB7",(S1046*#REF!),0)+(IF(O1046="FX 2003",(S1046*$U$5),0)))</f>
        <v>0</v>
      </c>
      <c r="V1046" s="651">
        <f t="shared" si="103"/>
        <v>0</v>
      </c>
    </row>
    <row r="1047" spans="4:22" x14ac:dyDescent="0.25">
      <c r="D1047" s="118">
        <f>+CUBICACION!D1046</f>
        <v>0</v>
      </c>
      <c r="E1047" s="118">
        <f>+CUBICACION!F1046</f>
        <v>0</v>
      </c>
      <c r="F1047" s="118">
        <f>+CUBICACION!E1046</f>
        <v>0</v>
      </c>
      <c r="G1047" s="118">
        <v>12</v>
      </c>
      <c r="H1047" s="118">
        <v>2</v>
      </c>
      <c r="I1047" s="820">
        <v>26385</v>
      </c>
      <c r="J1047" s="118">
        <f>+CUBICACION!J1046</f>
        <v>0</v>
      </c>
      <c r="K1047" s="118">
        <v>3826</v>
      </c>
      <c r="L1047" s="118">
        <f>+CUBICACION!L1046</f>
        <v>0</v>
      </c>
      <c r="M1047" s="64">
        <f>+CUBICACION!M1046</f>
        <v>0</v>
      </c>
      <c r="N1047" s="824" t="str">
        <f>+CUBICACION!N1046</f>
        <v/>
      </c>
      <c r="O1047" s="675">
        <f>+CUBICACION!O1046</f>
        <v>0</v>
      </c>
      <c r="P1047" s="15">
        <f>IF(O1047="Fire Control",VLOOKUP(_xlfn.MINIFS('FIRE CONTROL'!$C$4:$C$37,'FIRE CONTROL'!$C$4:$C$37,"&gt;="&amp;M1047),'FIRE CONTROL'!$C$4:$G$37,IF(L1047="F-15",2,IF(L1047="F-30",3,IF(L1047="F-60",4,IF(L1047="F-90",5,0)))),0),0)+IF(AND(O1047="FIRE TEX 5062",OR(E1047="IN",E1047="C",E1047="Z",E1047="L"),J1047=3),VLOOKUP(_xlfn.MINIFS('FIRE TEX 5062'!$B$4:$B$34,'FIRE TEX 5062'!$B$4:$B$34,"&gt;="&amp;M1047),'FIRE TEX 5062'!$B$4:$F$34,IF(L1047="F-15",2,IF(L1047="F-30",3,IF(L1047="F-60",4,IF(L1047="F-90",5,0)))),0),0)+IF(AND(O1047="FIRE TEX 5062",OR(E1047="IN",E1047="C",E1047="Z",E1047="L"),J1047=4),VLOOKUP(_xlfn.MINIFS('FIRE TEX 5062'!$G$4:$G$34,'FIRE TEX 5062'!$G$4:$G$34,"&gt;="&amp;M1047),'FIRE TEX 5062'!$G$4:$K$34,IF(L1047="F-15",2,IF(L1047="F-30",3,IF(L1047="F-60",4,IF(L1047="F-90",5,0)))),0),0)+IF(AND(O1047="FIRE TEX 5062",E1047="CJ",J1047=3),VLOOKUP(_xlfn.MINIFS('FIRE TEX 5062'!$L$4:$L$34,'FIRE TEX 5062'!$L$4:$L$34,"&gt;="&amp;M1047),'FIRE TEX 5062'!$L$4:$P$34,IF(L1047="F-15",2,IF(L1047="F-30",3,IF(L1047="F-60",4,IF(L1047="F-90",5,0)))),0),0)+IF(AND(O1047="FIRE TEX 5062",E1047="CJ",J1047=4),VLOOKUP(_xlfn.MINIFS('FIRE TEX 5062'!$Q$3:$Q$34,'FIRE TEX 5062'!$Q$3:$Q$34,"&gt;="&amp;M1047),'FIRE TEX 5062'!$Q$3:$U$34,IF(L1047="F-15",2,IF(L1047="F-30",3,IF(L1047="F-60",4,IF(L1047="F-90",5,0)))),0),0)+IF(AND(O1047="FIRE TEX 5090",OR(E1047="IN",E1047="C",E1047="Z",E1047="L"),J1047=3),VLOOKUP(_xlfn.MINIFS('FIRE TEX 5090'!$B$5:$B$43,'FIRE TEX 5090'!$B$5:$B$43,"&gt;="&amp;M1047),'FIRE TEX 5090'!$B$5:$H$43,IF(L1047="F-15",2,IF(L1047="F-30",3,IF(L1047="F-60",4,IF(L1047="F-90",5,IF(L1047="F-120",6,IF(L1047="F-150",7,0)))))),0),0)+IF(AND(O1047="FIRE TEX 5090",OR(E1047="IN",E1047="C",E1047="Z",E1047="L"),J1047=4),VLOOKUP(_xlfn.MINIFS('FIRE TEX 5090'!$J$5:$J$43,'FIRE TEX 5090'!$J$5:$J$43,"&gt;="&amp;M1047),'FIRE TEX 5090'!$J$5:$P$43,IF(L1047="F-15",2,IF(L1047="F-30",3,IF(L1047="F-60",4,IF(L1047="F-90",5,IF(L1047="F-120",6,IF(L1047="F-150",7,0)))))),0),0)+IF(AND(O1047="FIRE TEX 5090",E1047="CJ",J1047=3),VLOOKUP(_xlfn.MINIFS('FIRE TEX 5090'!$R$5:$R$30,'FIRE TEX 5090'!$R$5:$R$30,"&gt;="&amp;M1047),'FIRE TEX 5090'!$R$5:$W$30,IF(L1047="F-15",2,IF(L1047="F-30",3,IF(L1047="F-60",4,IF(L1047="F-90",5,IF(L1047="F-120",6,IF(L1047="F-150",7,0)))))),0),0)+IF(AND(O1047="FIRE TEX 5090",E1047="CJ",J1047=4),VLOOKUP(_xlfn.MINIFS('FIRE TEX 5090'!$Y$5:$Y$39,'FIRE TEX 5090'!$Y$5:$Y$39,"&gt;="&amp;M1047),'FIRE TEX 5090'!$Y$5:$AD$39,IF(L1047="F-15",2,IF(L1047="F-30",3,IF(L1047="F-60",4,IF(L1047="F-90",5,IF(L1047="F-120",6,IF(L1047="F-150",7,0)))))),0),0)+IF(AND(O1047="FIRE TEX 5120",OR(E1047="IN",E1047="C",E1047="Z",E1047="L"),J1047=3),VLOOKUP(_xlfn.MINIFS('FIRE TEX 5120'!$B$5:$B$40,'FIRE TEX 5120'!$B$5:$B$40,"&gt;="&amp;M1047),'FIRE TEX 5120'!$B$5:$G$40,IF(L1047="F-15",2,IF(L1047="F-30",3,IF(L1047="F-60",4,IF(L1047="F-90",5,IF(L1047="F-120",6,0))))),0),0)+IF(AND(O1047="FIRE TEX 5120",OR(E1047="IN",E1047="C",E1047="Z",E1047="L"),J1047=4),VLOOKUP(_xlfn.MINIFS('FIRE TEX 5120'!$H$4:$H$40,'FIRE TEX 5120'!$H$4:$H$40,"&gt;="&amp;M1047),'FIRE TEX 5120'!$H$4:$M$40,IF(L1047="F-15",2,IF(L1047="F-30",3,IF(L1047="F-60",4,IF(L1047="F-90",5,IF(L1047="F-120",6,0))))),0),0)+IF(AND(O1047="FIRE TEX 5120",E1047="CJ"),VLOOKUP(_xlfn.MINIFS('FIRE TEX 5120'!$O$5:$O$40,'FIRE TEX 5120'!$O$5:$O$40,"&gt;="&amp;M1047),'FIRE TEX 5120'!$O$5:$T$40,IF(L1047="F-15",2,IF(L1047="F-30",3,IF(L1047="F-60",4,IF(L1047="F-90",5,IF(L1047="F-120",6,0))))),0),0)</f>
        <v>0</v>
      </c>
      <c r="Q1047" s="46">
        <f t="shared" si="99"/>
        <v>0</v>
      </c>
      <c r="R1047" s="46">
        <f t="shared" si="100"/>
        <v>0</v>
      </c>
      <c r="S1047" s="46" t="e">
        <f t="shared" si="101"/>
        <v>#VALUE!</v>
      </c>
      <c r="T1047" s="677">
        <f t="shared" si="102"/>
        <v>0</v>
      </c>
      <c r="U1047" s="80">
        <f>(IF(O1047="Stofire",(S1047*#REF!),0))+(IF(O1047="Fire Control",(S1047*$U$2),0))+(IF(O1047="Fire Tex",(S1047*$U$3),0))+(IF(O1047="WB7",(S1047*#REF!),0)+(IF(O1047="FX 2003",(S1047*$U$5),0)))</f>
        <v>0</v>
      </c>
      <c r="V1047" s="651">
        <f t="shared" si="103"/>
        <v>0</v>
      </c>
    </row>
    <row r="1048" spans="4:22" x14ac:dyDescent="0.25">
      <c r="D1048" s="118">
        <f>+CUBICACION!D1047</f>
        <v>0</v>
      </c>
      <c r="E1048" s="118">
        <f>+CUBICACION!F1047</f>
        <v>0</v>
      </c>
      <c r="F1048" s="118">
        <f>+CUBICACION!E1047</f>
        <v>0</v>
      </c>
      <c r="G1048" s="118">
        <v>12</v>
      </c>
      <c r="H1048" s="118">
        <v>2</v>
      </c>
      <c r="I1048" s="820">
        <v>26385</v>
      </c>
      <c r="J1048" s="118">
        <f>+CUBICACION!J1047</f>
        <v>0</v>
      </c>
      <c r="K1048" s="118">
        <v>3827</v>
      </c>
      <c r="L1048" s="118">
        <f>+CUBICACION!L1047</f>
        <v>0</v>
      </c>
      <c r="M1048" s="64">
        <f>+CUBICACION!M1047</f>
        <v>0</v>
      </c>
      <c r="N1048" s="824" t="str">
        <f>+CUBICACION!N1047</f>
        <v/>
      </c>
      <c r="O1048" s="675">
        <f>+CUBICACION!O1047</f>
        <v>0</v>
      </c>
      <c r="P1048" s="15">
        <f>IF(O1048="Fire Control",VLOOKUP(_xlfn.MINIFS('FIRE CONTROL'!$C$4:$C$37,'FIRE CONTROL'!$C$4:$C$37,"&gt;="&amp;M1048),'FIRE CONTROL'!$C$4:$G$37,IF(L1048="F-15",2,IF(L1048="F-30",3,IF(L1048="F-60",4,IF(L1048="F-90",5,0)))),0),0)+IF(AND(O1048="FIRE TEX 5062",OR(E1048="IN",E1048="C",E1048="Z",E1048="L"),J1048=3),VLOOKUP(_xlfn.MINIFS('FIRE TEX 5062'!$B$4:$B$34,'FIRE TEX 5062'!$B$4:$B$34,"&gt;="&amp;M1048),'FIRE TEX 5062'!$B$4:$F$34,IF(L1048="F-15",2,IF(L1048="F-30",3,IF(L1048="F-60",4,IF(L1048="F-90",5,0)))),0),0)+IF(AND(O1048="FIRE TEX 5062",OR(E1048="IN",E1048="C",E1048="Z",E1048="L"),J1048=4),VLOOKUP(_xlfn.MINIFS('FIRE TEX 5062'!$G$4:$G$34,'FIRE TEX 5062'!$G$4:$G$34,"&gt;="&amp;M1048),'FIRE TEX 5062'!$G$4:$K$34,IF(L1048="F-15",2,IF(L1048="F-30",3,IF(L1048="F-60",4,IF(L1048="F-90",5,0)))),0),0)+IF(AND(O1048="FIRE TEX 5062",E1048="CJ",J1048=3),VLOOKUP(_xlfn.MINIFS('FIRE TEX 5062'!$L$4:$L$34,'FIRE TEX 5062'!$L$4:$L$34,"&gt;="&amp;M1048),'FIRE TEX 5062'!$L$4:$P$34,IF(L1048="F-15",2,IF(L1048="F-30",3,IF(L1048="F-60",4,IF(L1048="F-90",5,0)))),0),0)+IF(AND(O1048="FIRE TEX 5062",E1048="CJ",J1048=4),VLOOKUP(_xlfn.MINIFS('FIRE TEX 5062'!$Q$3:$Q$34,'FIRE TEX 5062'!$Q$3:$Q$34,"&gt;="&amp;M1048),'FIRE TEX 5062'!$Q$3:$U$34,IF(L1048="F-15",2,IF(L1048="F-30",3,IF(L1048="F-60",4,IF(L1048="F-90",5,0)))),0),0)+IF(AND(O1048="FIRE TEX 5090",OR(E1048="IN",E1048="C",E1048="Z",E1048="L"),J1048=3),VLOOKUP(_xlfn.MINIFS('FIRE TEX 5090'!$B$5:$B$43,'FIRE TEX 5090'!$B$5:$B$43,"&gt;="&amp;M1048),'FIRE TEX 5090'!$B$5:$H$43,IF(L1048="F-15",2,IF(L1048="F-30",3,IF(L1048="F-60",4,IF(L1048="F-90",5,IF(L1048="F-120",6,IF(L1048="F-150",7,0)))))),0),0)+IF(AND(O1048="FIRE TEX 5090",OR(E1048="IN",E1048="C",E1048="Z",E1048="L"),J1048=4),VLOOKUP(_xlfn.MINIFS('FIRE TEX 5090'!$J$5:$J$43,'FIRE TEX 5090'!$J$5:$J$43,"&gt;="&amp;M1048),'FIRE TEX 5090'!$J$5:$P$43,IF(L1048="F-15",2,IF(L1048="F-30",3,IF(L1048="F-60",4,IF(L1048="F-90",5,IF(L1048="F-120",6,IF(L1048="F-150",7,0)))))),0),0)+IF(AND(O1048="FIRE TEX 5090",E1048="CJ",J1048=3),VLOOKUP(_xlfn.MINIFS('FIRE TEX 5090'!$R$5:$R$30,'FIRE TEX 5090'!$R$5:$R$30,"&gt;="&amp;M1048),'FIRE TEX 5090'!$R$5:$W$30,IF(L1048="F-15",2,IF(L1048="F-30",3,IF(L1048="F-60",4,IF(L1048="F-90",5,IF(L1048="F-120",6,IF(L1048="F-150",7,0)))))),0),0)+IF(AND(O1048="FIRE TEX 5090",E1048="CJ",J1048=4),VLOOKUP(_xlfn.MINIFS('FIRE TEX 5090'!$Y$5:$Y$39,'FIRE TEX 5090'!$Y$5:$Y$39,"&gt;="&amp;M1048),'FIRE TEX 5090'!$Y$5:$AD$39,IF(L1048="F-15",2,IF(L1048="F-30",3,IF(L1048="F-60",4,IF(L1048="F-90",5,IF(L1048="F-120",6,IF(L1048="F-150",7,0)))))),0),0)+IF(AND(O1048="FIRE TEX 5120",OR(E1048="IN",E1048="C",E1048="Z",E1048="L"),J1048=3),VLOOKUP(_xlfn.MINIFS('FIRE TEX 5120'!$B$5:$B$40,'FIRE TEX 5120'!$B$5:$B$40,"&gt;="&amp;M1048),'FIRE TEX 5120'!$B$5:$G$40,IF(L1048="F-15",2,IF(L1048="F-30",3,IF(L1048="F-60",4,IF(L1048="F-90",5,IF(L1048="F-120",6,0))))),0),0)+IF(AND(O1048="FIRE TEX 5120",OR(E1048="IN",E1048="C",E1048="Z",E1048="L"),J1048=4),VLOOKUP(_xlfn.MINIFS('FIRE TEX 5120'!$H$4:$H$40,'FIRE TEX 5120'!$H$4:$H$40,"&gt;="&amp;M1048),'FIRE TEX 5120'!$H$4:$M$40,IF(L1048="F-15",2,IF(L1048="F-30",3,IF(L1048="F-60",4,IF(L1048="F-90",5,IF(L1048="F-120",6,0))))),0),0)+IF(AND(O1048="FIRE TEX 5120",E1048="CJ"),VLOOKUP(_xlfn.MINIFS('FIRE TEX 5120'!$O$5:$O$40,'FIRE TEX 5120'!$O$5:$O$40,"&gt;="&amp;M1048),'FIRE TEX 5120'!$O$5:$T$40,IF(L1048="F-15",2,IF(L1048="F-30",3,IF(L1048="F-60",4,IF(L1048="F-90",5,IF(L1048="F-120",6,0))))),0),0)</f>
        <v>0</v>
      </c>
      <c r="Q1048" s="46">
        <f t="shared" si="99"/>
        <v>0</v>
      </c>
      <c r="R1048" s="46">
        <f t="shared" si="100"/>
        <v>0</v>
      </c>
      <c r="S1048" s="46" t="e">
        <f t="shared" si="101"/>
        <v>#VALUE!</v>
      </c>
      <c r="T1048" s="677">
        <f t="shared" si="102"/>
        <v>0</v>
      </c>
      <c r="U1048" s="80">
        <f>(IF(O1048="Stofire",(S1048*#REF!),0))+(IF(O1048="Fire Control",(S1048*$U$2),0))+(IF(O1048="Fire Tex",(S1048*$U$3),0))+(IF(O1048="WB7",(S1048*#REF!),0)+(IF(O1048="FX 2003",(S1048*$U$5),0)))</f>
        <v>0</v>
      </c>
      <c r="V1048" s="651">
        <f t="shared" si="103"/>
        <v>0</v>
      </c>
    </row>
    <row r="1049" spans="4:22" x14ac:dyDescent="0.25">
      <c r="D1049" s="118">
        <f>+CUBICACION!D1048</f>
        <v>0</v>
      </c>
      <c r="E1049" s="118">
        <f>+CUBICACION!F1048</f>
        <v>0</v>
      </c>
      <c r="F1049" s="118">
        <f>+CUBICACION!E1048</f>
        <v>0</v>
      </c>
      <c r="G1049" s="118">
        <v>12</v>
      </c>
      <c r="H1049" s="118">
        <v>2</v>
      </c>
      <c r="I1049" s="820">
        <v>26385</v>
      </c>
      <c r="J1049" s="118">
        <f>+CUBICACION!J1048</f>
        <v>0</v>
      </c>
      <c r="K1049" s="118">
        <v>3828</v>
      </c>
      <c r="L1049" s="118">
        <f>+CUBICACION!L1048</f>
        <v>0</v>
      </c>
      <c r="M1049" s="64">
        <f>+CUBICACION!M1048</f>
        <v>0</v>
      </c>
      <c r="N1049" s="824" t="str">
        <f>+CUBICACION!N1048</f>
        <v/>
      </c>
      <c r="O1049" s="675">
        <f>+CUBICACION!O1048</f>
        <v>0</v>
      </c>
      <c r="P1049" s="15">
        <f>IF(O1049="Fire Control",VLOOKUP(_xlfn.MINIFS('FIRE CONTROL'!$C$4:$C$37,'FIRE CONTROL'!$C$4:$C$37,"&gt;="&amp;M1049),'FIRE CONTROL'!$C$4:$G$37,IF(L1049="F-15",2,IF(L1049="F-30",3,IF(L1049="F-60",4,IF(L1049="F-90",5,0)))),0),0)+IF(AND(O1049="FIRE TEX 5062",OR(E1049="IN",E1049="C",E1049="Z",E1049="L"),J1049=3),VLOOKUP(_xlfn.MINIFS('FIRE TEX 5062'!$B$4:$B$34,'FIRE TEX 5062'!$B$4:$B$34,"&gt;="&amp;M1049),'FIRE TEX 5062'!$B$4:$F$34,IF(L1049="F-15",2,IF(L1049="F-30",3,IF(L1049="F-60",4,IF(L1049="F-90",5,0)))),0),0)+IF(AND(O1049="FIRE TEX 5062",OR(E1049="IN",E1049="C",E1049="Z",E1049="L"),J1049=4),VLOOKUP(_xlfn.MINIFS('FIRE TEX 5062'!$G$4:$G$34,'FIRE TEX 5062'!$G$4:$G$34,"&gt;="&amp;M1049),'FIRE TEX 5062'!$G$4:$K$34,IF(L1049="F-15",2,IF(L1049="F-30",3,IF(L1049="F-60",4,IF(L1049="F-90",5,0)))),0),0)+IF(AND(O1049="FIRE TEX 5062",E1049="CJ",J1049=3),VLOOKUP(_xlfn.MINIFS('FIRE TEX 5062'!$L$4:$L$34,'FIRE TEX 5062'!$L$4:$L$34,"&gt;="&amp;M1049),'FIRE TEX 5062'!$L$4:$P$34,IF(L1049="F-15",2,IF(L1049="F-30",3,IF(L1049="F-60",4,IF(L1049="F-90",5,0)))),0),0)+IF(AND(O1049="FIRE TEX 5062",E1049="CJ",J1049=4),VLOOKUP(_xlfn.MINIFS('FIRE TEX 5062'!$Q$3:$Q$34,'FIRE TEX 5062'!$Q$3:$Q$34,"&gt;="&amp;M1049),'FIRE TEX 5062'!$Q$3:$U$34,IF(L1049="F-15",2,IF(L1049="F-30",3,IF(L1049="F-60",4,IF(L1049="F-90",5,0)))),0),0)+IF(AND(O1049="FIRE TEX 5090",OR(E1049="IN",E1049="C",E1049="Z",E1049="L"),J1049=3),VLOOKUP(_xlfn.MINIFS('FIRE TEX 5090'!$B$5:$B$43,'FIRE TEX 5090'!$B$5:$B$43,"&gt;="&amp;M1049),'FIRE TEX 5090'!$B$5:$H$43,IF(L1049="F-15",2,IF(L1049="F-30",3,IF(L1049="F-60",4,IF(L1049="F-90",5,IF(L1049="F-120",6,IF(L1049="F-150",7,0)))))),0),0)+IF(AND(O1049="FIRE TEX 5090",OR(E1049="IN",E1049="C",E1049="Z",E1049="L"),J1049=4),VLOOKUP(_xlfn.MINIFS('FIRE TEX 5090'!$J$5:$J$43,'FIRE TEX 5090'!$J$5:$J$43,"&gt;="&amp;M1049),'FIRE TEX 5090'!$J$5:$P$43,IF(L1049="F-15",2,IF(L1049="F-30",3,IF(L1049="F-60",4,IF(L1049="F-90",5,IF(L1049="F-120",6,IF(L1049="F-150",7,0)))))),0),0)+IF(AND(O1049="FIRE TEX 5090",E1049="CJ",J1049=3),VLOOKUP(_xlfn.MINIFS('FIRE TEX 5090'!$R$5:$R$30,'FIRE TEX 5090'!$R$5:$R$30,"&gt;="&amp;M1049),'FIRE TEX 5090'!$R$5:$W$30,IF(L1049="F-15",2,IF(L1049="F-30",3,IF(L1049="F-60",4,IF(L1049="F-90",5,IF(L1049="F-120",6,IF(L1049="F-150",7,0)))))),0),0)+IF(AND(O1049="FIRE TEX 5090",E1049="CJ",J1049=4),VLOOKUP(_xlfn.MINIFS('FIRE TEX 5090'!$Y$5:$Y$39,'FIRE TEX 5090'!$Y$5:$Y$39,"&gt;="&amp;M1049),'FIRE TEX 5090'!$Y$5:$AD$39,IF(L1049="F-15",2,IF(L1049="F-30",3,IF(L1049="F-60",4,IF(L1049="F-90",5,IF(L1049="F-120",6,IF(L1049="F-150",7,0)))))),0),0)+IF(AND(O1049="FIRE TEX 5120",OR(E1049="IN",E1049="C",E1049="Z",E1049="L"),J1049=3),VLOOKUP(_xlfn.MINIFS('FIRE TEX 5120'!$B$5:$B$40,'FIRE TEX 5120'!$B$5:$B$40,"&gt;="&amp;M1049),'FIRE TEX 5120'!$B$5:$G$40,IF(L1049="F-15",2,IF(L1049="F-30",3,IF(L1049="F-60",4,IF(L1049="F-90",5,IF(L1049="F-120",6,0))))),0),0)+IF(AND(O1049="FIRE TEX 5120",OR(E1049="IN",E1049="C",E1049="Z",E1049="L"),J1049=4),VLOOKUP(_xlfn.MINIFS('FIRE TEX 5120'!$H$4:$H$40,'FIRE TEX 5120'!$H$4:$H$40,"&gt;="&amp;M1049),'FIRE TEX 5120'!$H$4:$M$40,IF(L1049="F-15",2,IF(L1049="F-30",3,IF(L1049="F-60",4,IF(L1049="F-90",5,IF(L1049="F-120",6,0))))),0),0)+IF(AND(O1049="FIRE TEX 5120",E1049="CJ"),VLOOKUP(_xlfn.MINIFS('FIRE TEX 5120'!$O$5:$O$40,'FIRE TEX 5120'!$O$5:$O$40,"&gt;="&amp;M1049),'FIRE TEX 5120'!$O$5:$T$40,IF(L1049="F-15",2,IF(L1049="F-30",3,IF(L1049="F-60",4,IF(L1049="F-90",5,IF(L1049="F-120",6,0))))),0),0)</f>
        <v>0</v>
      </c>
      <c r="Q1049" s="46">
        <f t="shared" si="99"/>
        <v>0</v>
      </c>
      <c r="R1049" s="46">
        <f t="shared" si="100"/>
        <v>0</v>
      </c>
      <c r="S1049" s="46" t="e">
        <f t="shared" si="101"/>
        <v>#VALUE!</v>
      </c>
      <c r="T1049" s="677">
        <f t="shared" si="102"/>
        <v>0</v>
      </c>
      <c r="U1049" s="80">
        <f>(IF(O1049="Stofire",(S1049*#REF!),0))+(IF(O1049="Fire Control",(S1049*$U$2),0))+(IF(O1049="Fire Tex",(S1049*$U$3),0))+(IF(O1049="WB7",(S1049*#REF!),0)+(IF(O1049="FX 2003",(S1049*$U$5),0)))</f>
        <v>0</v>
      </c>
      <c r="V1049" s="651">
        <f t="shared" si="103"/>
        <v>0</v>
      </c>
    </row>
    <row r="1050" spans="4:22" x14ac:dyDescent="0.25">
      <c r="D1050" s="118">
        <f>+CUBICACION!D1049</f>
        <v>0</v>
      </c>
      <c r="E1050" s="118">
        <f>+CUBICACION!F1049</f>
        <v>0</v>
      </c>
      <c r="F1050" s="118">
        <f>+CUBICACION!E1049</f>
        <v>0</v>
      </c>
      <c r="G1050" s="118">
        <v>12</v>
      </c>
      <c r="H1050" s="118">
        <v>2</v>
      </c>
      <c r="I1050" s="820">
        <v>26385</v>
      </c>
      <c r="J1050" s="118">
        <f>+CUBICACION!J1049</f>
        <v>0</v>
      </c>
      <c r="K1050" s="118">
        <v>3829</v>
      </c>
      <c r="L1050" s="118">
        <f>+CUBICACION!L1049</f>
        <v>0</v>
      </c>
      <c r="M1050" s="64">
        <f>+CUBICACION!M1049</f>
        <v>0</v>
      </c>
      <c r="N1050" s="824" t="str">
        <f>+CUBICACION!N1049</f>
        <v/>
      </c>
      <c r="O1050" s="675">
        <f>+CUBICACION!O1049</f>
        <v>0</v>
      </c>
      <c r="P1050" s="15">
        <f>IF(O1050="Fire Control",VLOOKUP(_xlfn.MINIFS('FIRE CONTROL'!$C$4:$C$37,'FIRE CONTROL'!$C$4:$C$37,"&gt;="&amp;M1050),'FIRE CONTROL'!$C$4:$G$37,IF(L1050="F-15",2,IF(L1050="F-30",3,IF(L1050="F-60",4,IF(L1050="F-90",5,0)))),0),0)+IF(AND(O1050="FIRE TEX 5062",OR(E1050="IN",E1050="C",E1050="Z",E1050="L"),J1050=3),VLOOKUP(_xlfn.MINIFS('FIRE TEX 5062'!$B$4:$B$34,'FIRE TEX 5062'!$B$4:$B$34,"&gt;="&amp;M1050),'FIRE TEX 5062'!$B$4:$F$34,IF(L1050="F-15",2,IF(L1050="F-30",3,IF(L1050="F-60",4,IF(L1050="F-90",5,0)))),0),0)+IF(AND(O1050="FIRE TEX 5062",OR(E1050="IN",E1050="C",E1050="Z",E1050="L"),J1050=4),VLOOKUP(_xlfn.MINIFS('FIRE TEX 5062'!$G$4:$G$34,'FIRE TEX 5062'!$G$4:$G$34,"&gt;="&amp;M1050),'FIRE TEX 5062'!$G$4:$K$34,IF(L1050="F-15",2,IF(L1050="F-30",3,IF(L1050="F-60",4,IF(L1050="F-90",5,0)))),0),0)+IF(AND(O1050="FIRE TEX 5062",E1050="CJ",J1050=3),VLOOKUP(_xlfn.MINIFS('FIRE TEX 5062'!$L$4:$L$34,'FIRE TEX 5062'!$L$4:$L$34,"&gt;="&amp;M1050),'FIRE TEX 5062'!$L$4:$P$34,IF(L1050="F-15",2,IF(L1050="F-30",3,IF(L1050="F-60",4,IF(L1050="F-90",5,0)))),0),0)+IF(AND(O1050="FIRE TEX 5062",E1050="CJ",J1050=4),VLOOKUP(_xlfn.MINIFS('FIRE TEX 5062'!$Q$3:$Q$34,'FIRE TEX 5062'!$Q$3:$Q$34,"&gt;="&amp;M1050),'FIRE TEX 5062'!$Q$3:$U$34,IF(L1050="F-15",2,IF(L1050="F-30",3,IF(L1050="F-60",4,IF(L1050="F-90",5,0)))),0),0)+IF(AND(O1050="FIRE TEX 5090",OR(E1050="IN",E1050="C",E1050="Z",E1050="L"),J1050=3),VLOOKUP(_xlfn.MINIFS('FIRE TEX 5090'!$B$5:$B$43,'FIRE TEX 5090'!$B$5:$B$43,"&gt;="&amp;M1050),'FIRE TEX 5090'!$B$5:$H$43,IF(L1050="F-15",2,IF(L1050="F-30",3,IF(L1050="F-60",4,IF(L1050="F-90",5,IF(L1050="F-120",6,IF(L1050="F-150",7,0)))))),0),0)+IF(AND(O1050="FIRE TEX 5090",OR(E1050="IN",E1050="C",E1050="Z",E1050="L"),J1050=4),VLOOKUP(_xlfn.MINIFS('FIRE TEX 5090'!$J$5:$J$43,'FIRE TEX 5090'!$J$5:$J$43,"&gt;="&amp;M1050),'FIRE TEX 5090'!$J$5:$P$43,IF(L1050="F-15",2,IF(L1050="F-30",3,IF(L1050="F-60",4,IF(L1050="F-90",5,IF(L1050="F-120",6,IF(L1050="F-150",7,0)))))),0),0)+IF(AND(O1050="FIRE TEX 5090",E1050="CJ",J1050=3),VLOOKUP(_xlfn.MINIFS('FIRE TEX 5090'!$R$5:$R$30,'FIRE TEX 5090'!$R$5:$R$30,"&gt;="&amp;M1050),'FIRE TEX 5090'!$R$5:$W$30,IF(L1050="F-15",2,IF(L1050="F-30",3,IF(L1050="F-60",4,IF(L1050="F-90",5,IF(L1050="F-120",6,IF(L1050="F-150",7,0)))))),0),0)+IF(AND(O1050="FIRE TEX 5090",E1050="CJ",J1050=4),VLOOKUP(_xlfn.MINIFS('FIRE TEX 5090'!$Y$5:$Y$39,'FIRE TEX 5090'!$Y$5:$Y$39,"&gt;="&amp;M1050),'FIRE TEX 5090'!$Y$5:$AD$39,IF(L1050="F-15",2,IF(L1050="F-30",3,IF(L1050="F-60",4,IF(L1050="F-90",5,IF(L1050="F-120",6,IF(L1050="F-150",7,0)))))),0),0)+IF(AND(O1050="FIRE TEX 5120",OR(E1050="IN",E1050="C",E1050="Z",E1050="L"),J1050=3),VLOOKUP(_xlfn.MINIFS('FIRE TEX 5120'!$B$5:$B$40,'FIRE TEX 5120'!$B$5:$B$40,"&gt;="&amp;M1050),'FIRE TEX 5120'!$B$5:$G$40,IF(L1050="F-15",2,IF(L1050="F-30",3,IF(L1050="F-60",4,IF(L1050="F-90",5,IF(L1050="F-120",6,0))))),0),0)+IF(AND(O1050="FIRE TEX 5120",OR(E1050="IN",E1050="C",E1050="Z",E1050="L"),J1050=4),VLOOKUP(_xlfn.MINIFS('FIRE TEX 5120'!$H$4:$H$40,'FIRE TEX 5120'!$H$4:$H$40,"&gt;="&amp;M1050),'FIRE TEX 5120'!$H$4:$M$40,IF(L1050="F-15",2,IF(L1050="F-30",3,IF(L1050="F-60",4,IF(L1050="F-90",5,IF(L1050="F-120",6,0))))),0),0)+IF(AND(O1050="FIRE TEX 5120",E1050="CJ"),VLOOKUP(_xlfn.MINIFS('FIRE TEX 5120'!$O$5:$O$40,'FIRE TEX 5120'!$O$5:$O$40,"&gt;="&amp;M1050),'FIRE TEX 5120'!$O$5:$T$40,IF(L1050="F-15",2,IF(L1050="F-30",3,IF(L1050="F-60",4,IF(L1050="F-90",5,IF(L1050="F-120",6,0))))),0),0)</f>
        <v>0</v>
      </c>
      <c r="Q1050" s="46">
        <f t="shared" si="99"/>
        <v>0</v>
      </c>
      <c r="R1050" s="46">
        <f t="shared" si="100"/>
        <v>0</v>
      </c>
      <c r="S1050" s="46" t="e">
        <f t="shared" si="101"/>
        <v>#VALUE!</v>
      </c>
      <c r="T1050" s="677">
        <f t="shared" si="102"/>
        <v>0</v>
      </c>
      <c r="U1050" s="80">
        <f>(IF(O1050="Stofire",(S1050*#REF!),0))+(IF(O1050="Fire Control",(S1050*$U$2),0))+(IF(O1050="Fire Tex",(S1050*$U$3),0))+(IF(O1050="WB7",(S1050*#REF!),0)+(IF(O1050="FX 2003",(S1050*$U$5),0)))</f>
        <v>0</v>
      </c>
      <c r="V1050" s="651">
        <f t="shared" si="103"/>
        <v>0</v>
      </c>
    </row>
    <row r="1051" spans="4:22" x14ac:dyDescent="0.25">
      <c r="D1051" s="118">
        <f>+CUBICACION!D1050</f>
        <v>0</v>
      </c>
      <c r="E1051" s="118">
        <f>+CUBICACION!F1050</f>
        <v>0</v>
      </c>
      <c r="F1051" s="118">
        <f>+CUBICACION!E1050</f>
        <v>0</v>
      </c>
      <c r="G1051" s="118">
        <v>12</v>
      </c>
      <c r="H1051" s="118">
        <v>2</v>
      </c>
      <c r="I1051" s="820">
        <v>26385</v>
      </c>
      <c r="J1051" s="118">
        <f>+CUBICACION!J1050</f>
        <v>0</v>
      </c>
      <c r="K1051" s="118">
        <v>3830</v>
      </c>
      <c r="L1051" s="118">
        <f>+CUBICACION!L1050</f>
        <v>0</v>
      </c>
      <c r="M1051" s="64">
        <f>+CUBICACION!M1050</f>
        <v>0</v>
      </c>
      <c r="N1051" s="824" t="str">
        <f>+CUBICACION!N1050</f>
        <v/>
      </c>
      <c r="O1051" s="675">
        <f>+CUBICACION!O1050</f>
        <v>0</v>
      </c>
      <c r="P1051" s="15">
        <f>IF(O1051="Fire Control",VLOOKUP(_xlfn.MINIFS('FIRE CONTROL'!$C$4:$C$37,'FIRE CONTROL'!$C$4:$C$37,"&gt;="&amp;M1051),'FIRE CONTROL'!$C$4:$G$37,IF(L1051="F-15",2,IF(L1051="F-30",3,IF(L1051="F-60",4,IF(L1051="F-90",5,0)))),0),0)+IF(AND(O1051="FIRE TEX 5062",OR(E1051="IN",E1051="C",E1051="Z",E1051="L"),J1051=3),VLOOKUP(_xlfn.MINIFS('FIRE TEX 5062'!$B$4:$B$34,'FIRE TEX 5062'!$B$4:$B$34,"&gt;="&amp;M1051),'FIRE TEX 5062'!$B$4:$F$34,IF(L1051="F-15",2,IF(L1051="F-30",3,IF(L1051="F-60",4,IF(L1051="F-90",5,0)))),0),0)+IF(AND(O1051="FIRE TEX 5062",OR(E1051="IN",E1051="C",E1051="Z",E1051="L"),J1051=4),VLOOKUP(_xlfn.MINIFS('FIRE TEX 5062'!$G$4:$G$34,'FIRE TEX 5062'!$G$4:$G$34,"&gt;="&amp;M1051),'FIRE TEX 5062'!$G$4:$K$34,IF(L1051="F-15",2,IF(L1051="F-30",3,IF(L1051="F-60",4,IF(L1051="F-90",5,0)))),0),0)+IF(AND(O1051="FIRE TEX 5062",E1051="CJ",J1051=3),VLOOKUP(_xlfn.MINIFS('FIRE TEX 5062'!$L$4:$L$34,'FIRE TEX 5062'!$L$4:$L$34,"&gt;="&amp;M1051),'FIRE TEX 5062'!$L$4:$P$34,IF(L1051="F-15",2,IF(L1051="F-30",3,IF(L1051="F-60",4,IF(L1051="F-90",5,0)))),0),0)+IF(AND(O1051="FIRE TEX 5062",E1051="CJ",J1051=4),VLOOKUP(_xlfn.MINIFS('FIRE TEX 5062'!$Q$3:$Q$34,'FIRE TEX 5062'!$Q$3:$Q$34,"&gt;="&amp;M1051),'FIRE TEX 5062'!$Q$3:$U$34,IF(L1051="F-15",2,IF(L1051="F-30",3,IF(L1051="F-60",4,IF(L1051="F-90",5,0)))),0),0)+IF(AND(O1051="FIRE TEX 5090",OR(E1051="IN",E1051="C",E1051="Z",E1051="L"),J1051=3),VLOOKUP(_xlfn.MINIFS('FIRE TEX 5090'!$B$5:$B$43,'FIRE TEX 5090'!$B$5:$B$43,"&gt;="&amp;M1051),'FIRE TEX 5090'!$B$5:$H$43,IF(L1051="F-15",2,IF(L1051="F-30",3,IF(L1051="F-60",4,IF(L1051="F-90",5,IF(L1051="F-120",6,IF(L1051="F-150",7,0)))))),0),0)+IF(AND(O1051="FIRE TEX 5090",OR(E1051="IN",E1051="C",E1051="Z",E1051="L"),J1051=4),VLOOKUP(_xlfn.MINIFS('FIRE TEX 5090'!$J$5:$J$43,'FIRE TEX 5090'!$J$5:$J$43,"&gt;="&amp;M1051),'FIRE TEX 5090'!$J$5:$P$43,IF(L1051="F-15",2,IF(L1051="F-30",3,IF(L1051="F-60",4,IF(L1051="F-90",5,IF(L1051="F-120",6,IF(L1051="F-150",7,0)))))),0),0)+IF(AND(O1051="FIRE TEX 5090",E1051="CJ",J1051=3),VLOOKUP(_xlfn.MINIFS('FIRE TEX 5090'!$R$5:$R$30,'FIRE TEX 5090'!$R$5:$R$30,"&gt;="&amp;M1051),'FIRE TEX 5090'!$R$5:$W$30,IF(L1051="F-15",2,IF(L1051="F-30",3,IF(L1051="F-60",4,IF(L1051="F-90",5,IF(L1051="F-120",6,IF(L1051="F-150",7,0)))))),0),0)+IF(AND(O1051="FIRE TEX 5090",E1051="CJ",J1051=4),VLOOKUP(_xlfn.MINIFS('FIRE TEX 5090'!$Y$5:$Y$39,'FIRE TEX 5090'!$Y$5:$Y$39,"&gt;="&amp;M1051),'FIRE TEX 5090'!$Y$5:$AD$39,IF(L1051="F-15",2,IF(L1051="F-30",3,IF(L1051="F-60",4,IF(L1051="F-90",5,IF(L1051="F-120",6,IF(L1051="F-150",7,0)))))),0),0)+IF(AND(O1051="FIRE TEX 5120",OR(E1051="IN",E1051="C",E1051="Z",E1051="L"),J1051=3),VLOOKUP(_xlfn.MINIFS('FIRE TEX 5120'!$B$5:$B$40,'FIRE TEX 5120'!$B$5:$B$40,"&gt;="&amp;M1051),'FIRE TEX 5120'!$B$5:$G$40,IF(L1051="F-15",2,IF(L1051="F-30",3,IF(L1051="F-60",4,IF(L1051="F-90",5,IF(L1051="F-120",6,0))))),0),0)+IF(AND(O1051="FIRE TEX 5120",OR(E1051="IN",E1051="C",E1051="Z",E1051="L"),J1051=4),VLOOKUP(_xlfn.MINIFS('FIRE TEX 5120'!$H$4:$H$40,'FIRE TEX 5120'!$H$4:$H$40,"&gt;="&amp;M1051),'FIRE TEX 5120'!$H$4:$M$40,IF(L1051="F-15",2,IF(L1051="F-30",3,IF(L1051="F-60",4,IF(L1051="F-90",5,IF(L1051="F-120",6,0))))),0),0)+IF(AND(O1051="FIRE TEX 5120",E1051="CJ"),VLOOKUP(_xlfn.MINIFS('FIRE TEX 5120'!$O$5:$O$40,'FIRE TEX 5120'!$O$5:$O$40,"&gt;="&amp;M1051),'FIRE TEX 5120'!$O$5:$T$40,IF(L1051="F-15",2,IF(L1051="F-30",3,IF(L1051="F-60",4,IF(L1051="F-90",5,IF(L1051="F-120",6,0))))),0),0)</f>
        <v>0</v>
      </c>
      <c r="Q1051" s="46">
        <f t="shared" si="99"/>
        <v>0</v>
      </c>
      <c r="R1051" s="46">
        <f t="shared" si="100"/>
        <v>0</v>
      </c>
      <c r="S1051" s="46" t="e">
        <f t="shared" si="101"/>
        <v>#VALUE!</v>
      </c>
      <c r="T1051" s="677">
        <f t="shared" si="102"/>
        <v>0</v>
      </c>
      <c r="U1051" s="80">
        <f>(IF(O1051="Stofire",(S1051*#REF!),0))+(IF(O1051="Fire Control",(S1051*$U$2),0))+(IF(O1051="Fire Tex",(S1051*$U$3),0))+(IF(O1051="WB7",(S1051*#REF!),0)+(IF(O1051="FX 2003",(S1051*$U$5),0)))</f>
        <v>0</v>
      </c>
      <c r="V1051" s="651">
        <f t="shared" si="103"/>
        <v>0</v>
      </c>
    </row>
    <row r="1052" spans="4:22" x14ac:dyDescent="0.25">
      <c r="D1052" s="118">
        <f>+CUBICACION!D1051</f>
        <v>0</v>
      </c>
      <c r="E1052" s="118">
        <f>+CUBICACION!F1051</f>
        <v>0</v>
      </c>
      <c r="F1052" s="118">
        <f>+CUBICACION!E1051</f>
        <v>0</v>
      </c>
      <c r="G1052" s="118">
        <v>12</v>
      </c>
      <c r="H1052" s="118">
        <v>2</v>
      </c>
      <c r="I1052" s="820">
        <v>26385</v>
      </c>
      <c r="J1052" s="118">
        <f>+CUBICACION!J1051</f>
        <v>0</v>
      </c>
      <c r="K1052" s="118">
        <v>3831</v>
      </c>
      <c r="L1052" s="118">
        <f>+CUBICACION!L1051</f>
        <v>0</v>
      </c>
      <c r="M1052" s="64">
        <f>+CUBICACION!M1051</f>
        <v>0</v>
      </c>
      <c r="N1052" s="824" t="str">
        <f>+CUBICACION!N1051</f>
        <v/>
      </c>
      <c r="O1052" s="675">
        <f>+CUBICACION!O1051</f>
        <v>0</v>
      </c>
      <c r="P1052" s="15">
        <f>IF(O1052="Fire Control",VLOOKUP(_xlfn.MINIFS('FIRE CONTROL'!$C$4:$C$37,'FIRE CONTROL'!$C$4:$C$37,"&gt;="&amp;M1052),'FIRE CONTROL'!$C$4:$G$37,IF(L1052="F-15",2,IF(L1052="F-30",3,IF(L1052="F-60",4,IF(L1052="F-90",5,0)))),0),0)+IF(AND(O1052="FIRE TEX 5062",OR(E1052="IN",E1052="C",E1052="Z",E1052="L"),J1052=3),VLOOKUP(_xlfn.MINIFS('FIRE TEX 5062'!$B$4:$B$34,'FIRE TEX 5062'!$B$4:$B$34,"&gt;="&amp;M1052),'FIRE TEX 5062'!$B$4:$F$34,IF(L1052="F-15",2,IF(L1052="F-30",3,IF(L1052="F-60",4,IF(L1052="F-90",5,0)))),0),0)+IF(AND(O1052="FIRE TEX 5062",OR(E1052="IN",E1052="C",E1052="Z",E1052="L"),J1052=4),VLOOKUP(_xlfn.MINIFS('FIRE TEX 5062'!$G$4:$G$34,'FIRE TEX 5062'!$G$4:$G$34,"&gt;="&amp;M1052),'FIRE TEX 5062'!$G$4:$K$34,IF(L1052="F-15",2,IF(L1052="F-30",3,IF(L1052="F-60",4,IF(L1052="F-90",5,0)))),0),0)+IF(AND(O1052="FIRE TEX 5062",E1052="CJ",J1052=3),VLOOKUP(_xlfn.MINIFS('FIRE TEX 5062'!$L$4:$L$34,'FIRE TEX 5062'!$L$4:$L$34,"&gt;="&amp;M1052),'FIRE TEX 5062'!$L$4:$P$34,IF(L1052="F-15",2,IF(L1052="F-30",3,IF(L1052="F-60",4,IF(L1052="F-90",5,0)))),0),0)+IF(AND(O1052="FIRE TEX 5062",E1052="CJ",J1052=4),VLOOKUP(_xlfn.MINIFS('FIRE TEX 5062'!$Q$3:$Q$34,'FIRE TEX 5062'!$Q$3:$Q$34,"&gt;="&amp;M1052),'FIRE TEX 5062'!$Q$3:$U$34,IF(L1052="F-15",2,IF(L1052="F-30",3,IF(L1052="F-60",4,IF(L1052="F-90",5,0)))),0),0)+IF(AND(O1052="FIRE TEX 5090",OR(E1052="IN",E1052="C",E1052="Z",E1052="L"),J1052=3),VLOOKUP(_xlfn.MINIFS('FIRE TEX 5090'!$B$5:$B$43,'FIRE TEX 5090'!$B$5:$B$43,"&gt;="&amp;M1052),'FIRE TEX 5090'!$B$5:$H$43,IF(L1052="F-15",2,IF(L1052="F-30",3,IF(L1052="F-60",4,IF(L1052="F-90",5,IF(L1052="F-120",6,IF(L1052="F-150",7,0)))))),0),0)+IF(AND(O1052="FIRE TEX 5090",OR(E1052="IN",E1052="C",E1052="Z",E1052="L"),J1052=4),VLOOKUP(_xlfn.MINIFS('FIRE TEX 5090'!$J$5:$J$43,'FIRE TEX 5090'!$J$5:$J$43,"&gt;="&amp;M1052),'FIRE TEX 5090'!$J$5:$P$43,IF(L1052="F-15",2,IF(L1052="F-30",3,IF(L1052="F-60",4,IF(L1052="F-90",5,IF(L1052="F-120",6,IF(L1052="F-150",7,0)))))),0),0)+IF(AND(O1052="FIRE TEX 5090",E1052="CJ",J1052=3),VLOOKUP(_xlfn.MINIFS('FIRE TEX 5090'!$R$5:$R$30,'FIRE TEX 5090'!$R$5:$R$30,"&gt;="&amp;M1052),'FIRE TEX 5090'!$R$5:$W$30,IF(L1052="F-15",2,IF(L1052="F-30",3,IF(L1052="F-60",4,IF(L1052="F-90",5,IF(L1052="F-120",6,IF(L1052="F-150",7,0)))))),0),0)+IF(AND(O1052="FIRE TEX 5090",E1052="CJ",J1052=4),VLOOKUP(_xlfn.MINIFS('FIRE TEX 5090'!$Y$5:$Y$39,'FIRE TEX 5090'!$Y$5:$Y$39,"&gt;="&amp;M1052),'FIRE TEX 5090'!$Y$5:$AD$39,IF(L1052="F-15",2,IF(L1052="F-30",3,IF(L1052="F-60",4,IF(L1052="F-90",5,IF(L1052="F-120",6,IF(L1052="F-150",7,0)))))),0),0)+IF(AND(O1052="FIRE TEX 5120",OR(E1052="IN",E1052="C",E1052="Z",E1052="L"),J1052=3),VLOOKUP(_xlfn.MINIFS('FIRE TEX 5120'!$B$5:$B$40,'FIRE TEX 5120'!$B$5:$B$40,"&gt;="&amp;M1052),'FIRE TEX 5120'!$B$5:$G$40,IF(L1052="F-15",2,IF(L1052="F-30",3,IF(L1052="F-60",4,IF(L1052="F-90",5,IF(L1052="F-120",6,0))))),0),0)+IF(AND(O1052="FIRE TEX 5120",OR(E1052="IN",E1052="C",E1052="Z",E1052="L"),J1052=4),VLOOKUP(_xlfn.MINIFS('FIRE TEX 5120'!$H$4:$H$40,'FIRE TEX 5120'!$H$4:$H$40,"&gt;="&amp;M1052),'FIRE TEX 5120'!$H$4:$M$40,IF(L1052="F-15",2,IF(L1052="F-30",3,IF(L1052="F-60",4,IF(L1052="F-90",5,IF(L1052="F-120",6,0))))),0),0)+IF(AND(O1052="FIRE TEX 5120",E1052="CJ"),VLOOKUP(_xlfn.MINIFS('FIRE TEX 5120'!$O$5:$O$40,'FIRE TEX 5120'!$O$5:$O$40,"&gt;="&amp;M1052),'FIRE TEX 5120'!$O$5:$T$40,IF(L1052="F-15",2,IF(L1052="F-30",3,IF(L1052="F-60",4,IF(L1052="F-90",5,IF(L1052="F-120",6,0))))),0),0)</f>
        <v>0</v>
      </c>
      <c r="Q1052" s="46">
        <f t="shared" si="99"/>
        <v>0</v>
      </c>
      <c r="R1052" s="46">
        <f t="shared" si="100"/>
        <v>0</v>
      </c>
      <c r="S1052" s="46" t="e">
        <f t="shared" si="101"/>
        <v>#VALUE!</v>
      </c>
      <c r="T1052" s="677">
        <f t="shared" si="102"/>
        <v>0</v>
      </c>
      <c r="U1052" s="80">
        <f>(IF(O1052="Stofire",(S1052*#REF!),0))+(IF(O1052="Fire Control",(S1052*$U$2),0))+(IF(O1052="Fire Tex",(S1052*$U$3),0))+(IF(O1052="WB7",(S1052*#REF!),0)+(IF(O1052="FX 2003",(S1052*$U$5),0)))</f>
        <v>0</v>
      </c>
      <c r="V1052" s="651">
        <f t="shared" si="103"/>
        <v>0</v>
      </c>
    </row>
    <row r="1053" spans="4:22" x14ac:dyDescent="0.25">
      <c r="D1053" s="118">
        <f>+CUBICACION!D1052</f>
        <v>0</v>
      </c>
      <c r="E1053" s="118">
        <f>+CUBICACION!F1052</f>
        <v>0</v>
      </c>
      <c r="F1053" s="118">
        <f>+CUBICACION!E1052</f>
        <v>0</v>
      </c>
      <c r="G1053" s="118">
        <v>12</v>
      </c>
      <c r="H1053" s="118">
        <v>2</v>
      </c>
      <c r="I1053" s="820">
        <v>26385</v>
      </c>
      <c r="J1053" s="118">
        <f>+CUBICACION!J1052</f>
        <v>0</v>
      </c>
      <c r="K1053" s="118">
        <v>3832</v>
      </c>
      <c r="L1053" s="118">
        <f>+CUBICACION!L1052</f>
        <v>0</v>
      </c>
      <c r="M1053" s="64">
        <f>+CUBICACION!M1052</f>
        <v>0</v>
      </c>
      <c r="N1053" s="824" t="str">
        <f>+CUBICACION!N1052</f>
        <v/>
      </c>
      <c r="O1053" s="675">
        <f>+CUBICACION!O1052</f>
        <v>0</v>
      </c>
      <c r="P1053" s="15">
        <f>IF(O1053="Fire Control",VLOOKUP(_xlfn.MINIFS('FIRE CONTROL'!$C$4:$C$37,'FIRE CONTROL'!$C$4:$C$37,"&gt;="&amp;M1053),'FIRE CONTROL'!$C$4:$G$37,IF(L1053="F-15",2,IF(L1053="F-30",3,IF(L1053="F-60",4,IF(L1053="F-90",5,0)))),0),0)+IF(AND(O1053="FIRE TEX 5062",OR(E1053="IN",E1053="C",E1053="Z",E1053="L"),J1053=3),VLOOKUP(_xlfn.MINIFS('FIRE TEX 5062'!$B$4:$B$34,'FIRE TEX 5062'!$B$4:$B$34,"&gt;="&amp;M1053),'FIRE TEX 5062'!$B$4:$F$34,IF(L1053="F-15",2,IF(L1053="F-30",3,IF(L1053="F-60",4,IF(L1053="F-90",5,0)))),0),0)+IF(AND(O1053="FIRE TEX 5062",OR(E1053="IN",E1053="C",E1053="Z",E1053="L"),J1053=4),VLOOKUP(_xlfn.MINIFS('FIRE TEX 5062'!$G$4:$G$34,'FIRE TEX 5062'!$G$4:$G$34,"&gt;="&amp;M1053),'FIRE TEX 5062'!$G$4:$K$34,IF(L1053="F-15",2,IF(L1053="F-30",3,IF(L1053="F-60",4,IF(L1053="F-90",5,0)))),0),0)+IF(AND(O1053="FIRE TEX 5062",E1053="CJ",J1053=3),VLOOKUP(_xlfn.MINIFS('FIRE TEX 5062'!$L$4:$L$34,'FIRE TEX 5062'!$L$4:$L$34,"&gt;="&amp;M1053),'FIRE TEX 5062'!$L$4:$P$34,IF(L1053="F-15",2,IF(L1053="F-30",3,IF(L1053="F-60",4,IF(L1053="F-90",5,0)))),0),0)+IF(AND(O1053="FIRE TEX 5062",E1053="CJ",J1053=4),VLOOKUP(_xlfn.MINIFS('FIRE TEX 5062'!$Q$3:$Q$34,'FIRE TEX 5062'!$Q$3:$Q$34,"&gt;="&amp;M1053),'FIRE TEX 5062'!$Q$3:$U$34,IF(L1053="F-15",2,IF(L1053="F-30",3,IF(L1053="F-60",4,IF(L1053="F-90",5,0)))),0),0)+IF(AND(O1053="FIRE TEX 5090",OR(E1053="IN",E1053="C",E1053="Z",E1053="L"),J1053=3),VLOOKUP(_xlfn.MINIFS('FIRE TEX 5090'!$B$5:$B$43,'FIRE TEX 5090'!$B$5:$B$43,"&gt;="&amp;M1053),'FIRE TEX 5090'!$B$5:$H$43,IF(L1053="F-15",2,IF(L1053="F-30",3,IF(L1053="F-60",4,IF(L1053="F-90",5,IF(L1053="F-120",6,IF(L1053="F-150",7,0)))))),0),0)+IF(AND(O1053="FIRE TEX 5090",OR(E1053="IN",E1053="C",E1053="Z",E1053="L"),J1053=4),VLOOKUP(_xlfn.MINIFS('FIRE TEX 5090'!$J$5:$J$43,'FIRE TEX 5090'!$J$5:$J$43,"&gt;="&amp;M1053),'FIRE TEX 5090'!$J$5:$P$43,IF(L1053="F-15",2,IF(L1053="F-30",3,IF(L1053="F-60",4,IF(L1053="F-90",5,IF(L1053="F-120",6,IF(L1053="F-150",7,0)))))),0),0)+IF(AND(O1053="FIRE TEX 5090",E1053="CJ",J1053=3),VLOOKUP(_xlfn.MINIFS('FIRE TEX 5090'!$R$5:$R$30,'FIRE TEX 5090'!$R$5:$R$30,"&gt;="&amp;M1053),'FIRE TEX 5090'!$R$5:$W$30,IF(L1053="F-15",2,IF(L1053="F-30",3,IF(L1053="F-60",4,IF(L1053="F-90",5,IF(L1053="F-120",6,IF(L1053="F-150",7,0)))))),0),0)+IF(AND(O1053="FIRE TEX 5090",E1053="CJ",J1053=4),VLOOKUP(_xlfn.MINIFS('FIRE TEX 5090'!$Y$5:$Y$39,'FIRE TEX 5090'!$Y$5:$Y$39,"&gt;="&amp;M1053),'FIRE TEX 5090'!$Y$5:$AD$39,IF(L1053="F-15",2,IF(L1053="F-30",3,IF(L1053="F-60",4,IF(L1053="F-90",5,IF(L1053="F-120",6,IF(L1053="F-150",7,0)))))),0),0)+IF(AND(O1053="FIRE TEX 5120",OR(E1053="IN",E1053="C",E1053="Z",E1053="L"),J1053=3),VLOOKUP(_xlfn.MINIFS('FIRE TEX 5120'!$B$5:$B$40,'FIRE TEX 5120'!$B$5:$B$40,"&gt;="&amp;M1053),'FIRE TEX 5120'!$B$5:$G$40,IF(L1053="F-15",2,IF(L1053="F-30",3,IF(L1053="F-60",4,IF(L1053="F-90",5,IF(L1053="F-120",6,0))))),0),0)+IF(AND(O1053="FIRE TEX 5120",OR(E1053="IN",E1053="C",E1053="Z",E1053="L"),J1053=4),VLOOKUP(_xlfn.MINIFS('FIRE TEX 5120'!$H$4:$H$40,'FIRE TEX 5120'!$H$4:$H$40,"&gt;="&amp;M1053),'FIRE TEX 5120'!$H$4:$M$40,IF(L1053="F-15",2,IF(L1053="F-30",3,IF(L1053="F-60",4,IF(L1053="F-90",5,IF(L1053="F-120",6,0))))),0),0)+IF(AND(O1053="FIRE TEX 5120",E1053="CJ"),VLOOKUP(_xlfn.MINIFS('FIRE TEX 5120'!$O$5:$O$40,'FIRE TEX 5120'!$O$5:$O$40,"&gt;="&amp;M1053),'FIRE TEX 5120'!$O$5:$T$40,IF(L1053="F-15",2,IF(L1053="F-30",3,IF(L1053="F-60",4,IF(L1053="F-90",5,IF(L1053="F-120",6,0))))),0),0)</f>
        <v>0</v>
      </c>
      <c r="Q1053" s="46">
        <f t="shared" si="99"/>
        <v>0</v>
      </c>
      <c r="R1053" s="46">
        <f t="shared" si="100"/>
        <v>0</v>
      </c>
      <c r="S1053" s="46" t="e">
        <f t="shared" si="101"/>
        <v>#VALUE!</v>
      </c>
      <c r="T1053" s="677">
        <f t="shared" si="102"/>
        <v>0</v>
      </c>
      <c r="U1053" s="80">
        <f>(IF(O1053="Stofire",(S1053*#REF!),0))+(IF(O1053="Fire Control",(S1053*$U$2),0))+(IF(O1053="Fire Tex",(S1053*$U$3),0))+(IF(O1053="WB7",(S1053*#REF!),0)+(IF(O1053="FX 2003",(S1053*$U$5),0)))</f>
        <v>0</v>
      </c>
      <c r="V1053" s="651">
        <f t="shared" si="103"/>
        <v>0</v>
      </c>
    </row>
    <row r="1054" spans="4:22" x14ac:dyDescent="0.25">
      <c r="D1054" s="118">
        <f>+CUBICACION!D1053</f>
        <v>0</v>
      </c>
      <c r="E1054" s="118">
        <f>+CUBICACION!F1053</f>
        <v>0</v>
      </c>
      <c r="F1054" s="118">
        <f>+CUBICACION!E1053</f>
        <v>0</v>
      </c>
      <c r="G1054" s="118">
        <v>12</v>
      </c>
      <c r="H1054" s="118">
        <v>2</v>
      </c>
      <c r="I1054" s="820">
        <v>26385</v>
      </c>
      <c r="J1054" s="118">
        <f>+CUBICACION!J1053</f>
        <v>0</v>
      </c>
      <c r="K1054" s="118">
        <v>3833</v>
      </c>
      <c r="L1054" s="118">
        <f>+CUBICACION!L1053</f>
        <v>0</v>
      </c>
      <c r="M1054" s="64">
        <f>+CUBICACION!M1053</f>
        <v>0</v>
      </c>
      <c r="N1054" s="824" t="str">
        <f>+CUBICACION!N1053</f>
        <v/>
      </c>
      <c r="O1054" s="675">
        <f>+CUBICACION!O1053</f>
        <v>0</v>
      </c>
      <c r="P1054" s="15">
        <f>IF(O1054="Fire Control",VLOOKUP(_xlfn.MINIFS('FIRE CONTROL'!$C$4:$C$37,'FIRE CONTROL'!$C$4:$C$37,"&gt;="&amp;M1054),'FIRE CONTROL'!$C$4:$G$37,IF(L1054="F-15",2,IF(L1054="F-30",3,IF(L1054="F-60",4,IF(L1054="F-90",5,0)))),0),0)+IF(AND(O1054="FIRE TEX 5062",OR(E1054="IN",E1054="C",E1054="Z",E1054="L"),J1054=3),VLOOKUP(_xlfn.MINIFS('FIRE TEX 5062'!$B$4:$B$34,'FIRE TEX 5062'!$B$4:$B$34,"&gt;="&amp;M1054),'FIRE TEX 5062'!$B$4:$F$34,IF(L1054="F-15",2,IF(L1054="F-30",3,IF(L1054="F-60",4,IF(L1054="F-90",5,0)))),0),0)+IF(AND(O1054="FIRE TEX 5062",OR(E1054="IN",E1054="C",E1054="Z",E1054="L"),J1054=4),VLOOKUP(_xlfn.MINIFS('FIRE TEX 5062'!$G$4:$G$34,'FIRE TEX 5062'!$G$4:$G$34,"&gt;="&amp;M1054),'FIRE TEX 5062'!$G$4:$K$34,IF(L1054="F-15",2,IF(L1054="F-30",3,IF(L1054="F-60",4,IF(L1054="F-90",5,0)))),0),0)+IF(AND(O1054="FIRE TEX 5062",E1054="CJ",J1054=3),VLOOKUP(_xlfn.MINIFS('FIRE TEX 5062'!$L$4:$L$34,'FIRE TEX 5062'!$L$4:$L$34,"&gt;="&amp;M1054),'FIRE TEX 5062'!$L$4:$P$34,IF(L1054="F-15",2,IF(L1054="F-30",3,IF(L1054="F-60",4,IF(L1054="F-90",5,0)))),0),0)+IF(AND(O1054="FIRE TEX 5062",E1054="CJ",J1054=4),VLOOKUP(_xlfn.MINIFS('FIRE TEX 5062'!$Q$3:$Q$34,'FIRE TEX 5062'!$Q$3:$Q$34,"&gt;="&amp;M1054),'FIRE TEX 5062'!$Q$3:$U$34,IF(L1054="F-15",2,IF(L1054="F-30",3,IF(L1054="F-60",4,IF(L1054="F-90",5,0)))),0),0)+IF(AND(O1054="FIRE TEX 5090",OR(E1054="IN",E1054="C",E1054="Z",E1054="L"),J1054=3),VLOOKUP(_xlfn.MINIFS('FIRE TEX 5090'!$B$5:$B$43,'FIRE TEX 5090'!$B$5:$B$43,"&gt;="&amp;M1054),'FIRE TEX 5090'!$B$5:$H$43,IF(L1054="F-15",2,IF(L1054="F-30",3,IF(L1054="F-60",4,IF(L1054="F-90",5,IF(L1054="F-120",6,IF(L1054="F-150",7,0)))))),0),0)+IF(AND(O1054="FIRE TEX 5090",OR(E1054="IN",E1054="C",E1054="Z",E1054="L"),J1054=4),VLOOKUP(_xlfn.MINIFS('FIRE TEX 5090'!$J$5:$J$43,'FIRE TEX 5090'!$J$5:$J$43,"&gt;="&amp;M1054),'FIRE TEX 5090'!$J$5:$P$43,IF(L1054="F-15",2,IF(L1054="F-30",3,IF(L1054="F-60",4,IF(L1054="F-90",5,IF(L1054="F-120",6,IF(L1054="F-150",7,0)))))),0),0)+IF(AND(O1054="FIRE TEX 5090",E1054="CJ",J1054=3),VLOOKUP(_xlfn.MINIFS('FIRE TEX 5090'!$R$5:$R$30,'FIRE TEX 5090'!$R$5:$R$30,"&gt;="&amp;M1054),'FIRE TEX 5090'!$R$5:$W$30,IF(L1054="F-15",2,IF(L1054="F-30",3,IF(L1054="F-60",4,IF(L1054="F-90",5,IF(L1054="F-120",6,IF(L1054="F-150",7,0)))))),0),0)+IF(AND(O1054="FIRE TEX 5090",E1054="CJ",J1054=4),VLOOKUP(_xlfn.MINIFS('FIRE TEX 5090'!$Y$5:$Y$39,'FIRE TEX 5090'!$Y$5:$Y$39,"&gt;="&amp;M1054),'FIRE TEX 5090'!$Y$5:$AD$39,IF(L1054="F-15",2,IF(L1054="F-30",3,IF(L1054="F-60",4,IF(L1054="F-90",5,IF(L1054="F-120",6,IF(L1054="F-150",7,0)))))),0),0)+IF(AND(O1054="FIRE TEX 5120",OR(E1054="IN",E1054="C",E1054="Z",E1054="L"),J1054=3),VLOOKUP(_xlfn.MINIFS('FIRE TEX 5120'!$B$5:$B$40,'FIRE TEX 5120'!$B$5:$B$40,"&gt;="&amp;M1054),'FIRE TEX 5120'!$B$5:$G$40,IF(L1054="F-15",2,IF(L1054="F-30",3,IF(L1054="F-60",4,IF(L1054="F-90",5,IF(L1054="F-120",6,0))))),0),0)+IF(AND(O1054="FIRE TEX 5120",OR(E1054="IN",E1054="C",E1054="Z",E1054="L"),J1054=4),VLOOKUP(_xlfn.MINIFS('FIRE TEX 5120'!$H$4:$H$40,'FIRE TEX 5120'!$H$4:$H$40,"&gt;="&amp;M1054),'FIRE TEX 5120'!$H$4:$M$40,IF(L1054="F-15",2,IF(L1054="F-30",3,IF(L1054="F-60",4,IF(L1054="F-90",5,IF(L1054="F-120",6,0))))),0),0)+IF(AND(O1054="FIRE TEX 5120",E1054="CJ"),VLOOKUP(_xlfn.MINIFS('FIRE TEX 5120'!$O$5:$O$40,'FIRE TEX 5120'!$O$5:$O$40,"&gt;="&amp;M1054),'FIRE TEX 5120'!$O$5:$T$40,IF(L1054="F-15",2,IF(L1054="F-30",3,IF(L1054="F-60",4,IF(L1054="F-90",5,IF(L1054="F-120",6,0))))),0),0)</f>
        <v>0</v>
      </c>
      <c r="Q1054" s="46">
        <f t="shared" si="99"/>
        <v>0</v>
      </c>
      <c r="R1054" s="46">
        <f t="shared" si="100"/>
        <v>0</v>
      </c>
      <c r="S1054" s="46" t="e">
        <f t="shared" si="101"/>
        <v>#VALUE!</v>
      </c>
      <c r="T1054" s="677">
        <f t="shared" si="102"/>
        <v>0</v>
      </c>
      <c r="U1054" s="80">
        <f>(IF(O1054="Stofire",(S1054*#REF!),0))+(IF(O1054="Fire Control",(S1054*$U$2),0))+(IF(O1054="Fire Tex",(S1054*$U$3),0))+(IF(O1054="WB7",(S1054*#REF!),0)+(IF(O1054="FX 2003",(S1054*$U$5),0)))</f>
        <v>0</v>
      </c>
      <c r="V1054" s="651">
        <f t="shared" si="103"/>
        <v>0</v>
      </c>
    </row>
    <row r="1055" spans="4:22" x14ac:dyDescent="0.25">
      <c r="D1055" s="118">
        <f>+CUBICACION!D1054</f>
        <v>0</v>
      </c>
      <c r="E1055" s="118">
        <f>+CUBICACION!F1054</f>
        <v>0</v>
      </c>
      <c r="F1055" s="118">
        <f>+CUBICACION!E1054</f>
        <v>0</v>
      </c>
      <c r="G1055" s="118">
        <v>12</v>
      </c>
      <c r="H1055" s="118">
        <v>2</v>
      </c>
      <c r="I1055" s="820">
        <v>26385</v>
      </c>
      <c r="J1055" s="118">
        <f>+CUBICACION!J1054</f>
        <v>0</v>
      </c>
      <c r="K1055" s="118">
        <v>3834</v>
      </c>
      <c r="L1055" s="118">
        <f>+CUBICACION!L1054</f>
        <v>0</v>
      </c>
      <c r="M1055" s="64">
        <f>+CUBICACION!M1054</f>
        <v>0</v>
      </c>
      <c r="N1055" s="824" t="str">
        <f>+CUBICACION!N1054</f>
        <v/>
      </c>
      <c r="O1055" s="675">
        <f>+CUBICACION!O1054</f>
        <v>0</v>
      </c>
      <c r="P1055" s="15">
        <f>IF(O1055="Fire Control",VLOOKUP(_xlfn.MINIFS('FIRE CONTROL'!$C$4:$C$37,'FIRE CONTROL'!$C$4:$C$37,"&gt;="&amp;M1055),'FIRE CONTROL'!$C$4:$G$37,IF(L1055="F-15",2,IF(L1055="F-30",3,IF(L1055="F-60",4,IF(L1055="F-90",5,0)))),0),0)+IF(AND(O1055="FIRE TEX 5062",OR(E1055="IN",E1055="C",E1055="Z",E1055="L"),J1055=3),VLOOKUP(_xlfn.MINIFS('FIRE TEX 5062'!$B$4:$B$34,'FIRE TEX 5062'!$B$4:$B$34,"&gt;="&amp;M1055),'FIRE TEX 5062'!$B$4:$F$34,IF(L1055="F-15",2,IF(L1055="F-30",3,IF(L1055="F-60",4,IF(L1055="F-90",5,0)))),0),0)+IF(AND(O1055="FIRE TEX 5062",OR(E1055="IN",E1055="C",E1055="Z",E1055="L"),J1055=4),VLOOKUP(_xlfn.MINIFS('FIRE TEX 5062'!$G$4:$G$34,'FIRE TEX 5062'!$G$4:$G$34,"&gt;="&amp;M1055),'FIRE TEX 5062'!$G$4:$K$34,IF(L1055="F-15",2,IF(L1055="F-30",3,IF(L1055="F-60",4,IF(L1055="F-90",5,0)))),0),0)+IF(AND(O1055="FIRE TEX 5062",E1055="CJ",J1055=3),VLOOKUP(_xlfn.MINIFS('FIRE TEX 5062'!$L$4:$L$34,'FIRE TEX 5062'!$L$4:$L$34,"&gt;="&amp;M1055),'FIRE TEX 5062'!$L$4:$P$34,IF(L1055="F-15",2,IF(L1055="F-30",3,IF(L1055="F-60",4,IF(L1055="F-90",5,0)))),0),0)+IF(AND(O1055="FIRE TEX 5062",E1055="CJ",J1055=4),VLOOKUP(_xlfn.MINIFS('FIRE TEX 5062'!$Q$3:$Q$34,'FIRE TEX 5062'!$Q$3:$Q$34,"&gt;="&amp;M1055),'FIRE TEX 5062'!$Q$3:$U$34,IF(L1055="F-15",2,IF(L1055="F-30",3,IF(L1055="F-60",4,IF(L1055="F-90",5,0)))),0),0)+IF(AND(O1055="FIRE TEX 5090",OR(E1055="IN",E1055="C",E1055="Z",E1055="L"),J1055=3),VLOOKUP(_xlfn.MINIFS('FIRE TEX 5090'!$B$5:$B$43,'FIRE TEX 5090'!$B$5:$B$43,"&gt;="&amp;M1055),'FIRE TEX 5090'!$B$5:$H$43,IF(L1055="F-15",2,IF(L1055="F-30",3,IF(L1055="F-60",4,IF(L1055="F-90",5,IF(L1055="F-120",6,IF(L1055="F-150",7,0)))))),0),0)+IF(AND(O1055="FIRE TEX 5090",OR(E1055="IN",E1055="C",E1055="Z",E1055="L"),J1055=4),VLOOKUP(_xlfn.MINIFS('FIRE TEX 5090'!$J$5:$J$43,'FIRE TEX 5090'!$J$5:$J$43,"&gt;="&amp;M1055),'FIRE TEX 5090'!$J$5:$P$43,IF(L1055="F-15",2,IF(L1055="F-30",3,IF(L1055="F-60",4,IF(L1055="F-90",5,IF(L1055="F-120",6,IF(L1055="F-150",7,0)))))),0),0)+IF(AND(O1055="FIRE TEX 5090",E1055="CJ",J1055=3),VLOOKUP(_xlfn.MINIFS('FIRE TEX 5090'!$R$5:$R$30,'FIRE TEX 5090'!$R$5:$R$30,"&gt;="&amp;M1055),'FIRE TEX 5090'!$R$5:$W$30,IF(L1055="F-15",2,IF(L1055="F-30",3,IF(L1055="F-60",4,IF(L1055="F-90",5,IF(L1055="F-120",6,IF(L1055="F-150",7,0)))))),0),0)+IF(AND(O1055="FIRE TEX 5090",E1055="CJ",J1055=4),VLOOKUP(_xlfn.MINIFS('FIRE TEX 5090'!$Y$5:$Y$39,'FIRE TEX 5090'!$Y$5:$Y$39,"&gt;="&amp;M1055),'FIRE TEX 5090'!$Y$5:$AD$39,IF(L1055="F-15",2,IF(L1055="F-30",3,IF(L1055="F-60",4,IF(L1055="F-90",5,IF(L1055="F-120",6,IF(L1055="F-150",7,0)))))),0),0)+IF(AND(O1055="FIRE TEX 5120",OR(E1055="IN",E1055="C",E1055="Z",E1055="L"),J1055=3),VLOOKUP(_xlfn.MINIFS('FIRE TEX 5120'!$B$5:$B$40,'FIRE TEX 5120'!$B$5:$B$40,"&gt;="&amp;M1055),'FIRE TEX 5120'!$B$5:$G$40,IF(L1055="F-15",2,IF(L1055="F-30",3,IF(L1055="F-60",4,IF(L1055="F-90",5,IF(L1055="F-120",6,0))))),0),0)+IF(AND(O1055="FIRE TEX 5120",OR(E1055="IN",E1055="C",E1055="Z",E1055="L"),J1055=4),VLOOKUP(_xlfn.MINIFS('FIRE TEX 5120'!$H$4:$H$40,'FIRE TEX 5120'!$H$4:$H$40,"&gt;="&amp;M1055),'FIRE TEX 5120'!$H$4:$M$40,IF(L1055="F-15",2,IF(L1055="F-30",3,IF(L1055="F-60",4,IF(L1055="F-90",5,IF(L1055="F-120",6,0))))),0),0)+IF(AND(O1055="FIRE TEX 5120",E1055="CJ"),VLOOKUP(_xlfn.MINIFS('FIRE TEX 5120'!$O$5:$O$40,'FIRE TEX 5120'!$O$5:$O$40,"&gt;="&amp;M1055),'FIRE TEX 5120'!$O$5:$T$40,IF(L1055="F-15",2,IF(L1055="F-30",3,IF(L1055="F-60",4,IF(L1055="F-90",5,IF(L1055="F-120",6,0))))),0),0)</f>
        <v>0</v>
      </c>
      <c r="Q1055" s="46">
        <f t="shared" si="99"/>
        <v>0</v>
      </c>
      <c r="R1055" s="46">
        <f t="shared" si="100"/>
        <v>0</v>
      </c>
      <c r="S1055" s="46" t="e">
        <f t="shared" si="101"/>
        <v>#VALUE!</v>
      </c>
      <c r="T1055" s="677">
        <f t="shared" si="102"/>
        <v>0</v>
      </c>
      <c r="U1055" s="80">
        <f>(IF(O1055="Stofire",(S1055*#REF!),0))+(IF(O1055="Fire Control",(S1055*$U$2),0))+(IF(O1055="Fire Tex",(S1055*$U$3),0))+(IF(O1055="WB7",(S1055*#REF!),0)+(IF(O1055="FX 2003",(S1055*$U$5),0)))</f>
        <v>0</v>
      </c>
      <c r="V1055" s="651">
        <f t="shared" si="103"/>
        <v>0</v>
      </c>
    </row>
    <row r="1056" spans="4:22" x14ac:dyDescent="0.25">
      <c r="D1056" s="118">
        <f>+CUBICACION!D1055</f>
        <v>0</v>
      </c>
      <c r="E1056" s="118">
        <f>+CUBICACION!F1055</f>
        <v>0</v>
      </c>
      <c r="F1056" s="118">
        <f>+CUBICACION!E1055</f>
        <v>0</v>
      </c>
      <c r="G1056" s="118">
        <v>12</v>
      </c>
      <c r="H1056" s="118">
        <v>2</v>
      </c>
      <c r="I1056" s="820">
        <v>26385</v>
      </c>
      <c r="J1056" s="118">
        <f>+CUBICACION!J1055</f>
        <v>0</v>
      </c>
      <c r="K1056" s="118">
        <v>3835</v>
      </c>
      <c r="L1056" s="118">
        <f>+CUBICACION!L1055</f>
        <v>0</v>
      </c>
      <c r="M1056" s="64">
        <f>+CUBICACION!M1055</f>
        <v>0</v>
      </c>
      <c r="N1056" s="824" t="str">
        <f>+CUBICACION!N1055</f>
        <v/>
      </c>
      <c r="O1056" s="675">
        <f>+CUBICACION!O1055</f>
        <v>0</v>
      </c>
      <c r="P1056" s="15">
        <f>IF(O1056="Fire Control",VLOOKUP(_xlfn.MINIFS('FIRE CONTROL'!$C$4:$C$37,'FIRE CONTROL'!$C$4:$C$37,"&gt;="&amp;M1056),'FIRE CONTROL'!$C$4:$G$37,IF(L1056="F-15",2,IF(L1056="F-30",3,IF(L1056="F-60",4,IF(L1056="F-90",5,0)))),0),0)+IF(AND(O1056="FIRE TEX 5062",OR(E1056="IN",E1056="C",E1056="Z",E1056="L"),J1056=3),VLOOKUP(_xlfn.MINIFS('FIRE TEX 5062'!$B$4:$B$34,'FIRE TEX 5062'!$B$4:$B$34,"&gt;="&amp;M1056),'FIRE TEX 5062'!$B$4:$F$34,IF(L1056="F-15",2,IF(L1056="F-30",3,IF(L1056="F-60",4,IF(L1056="F-90",5,0)))),0),0)+IF(AND(O1056="FIRE TEX 5062",OR(E1056="IN",E1056="C",E1056="Z",E1056="L"),J1056=4),VLOOKUP(_xlfn.MINIFS('FIRE TEX 5062'!$G$4:$G$34,'FIRE TEX 5062'!$G$4:$G$34,"&gt;="&amp;M1056),'FIRE TEX 5062'!$G$4:$K$34,IF(L1056="F-15",2,IF(L1056="F-30",3,IF(L1056="F-60",4,IF(L1056="F-90",5,0)))),0),0)+IF(AND(O1056="FIRE TEX 5062",E1056="CJ",J1056=3),VLOOKUP(_xlfn.MINIFS('FIRE TEX 5062'!$L$4:$L$34,'FIRE TEX 5062'!$L$4:$L$34,"&gt;="&amp;M1056),'FIRE TEX 5062'!$L$4:$P$34,IF(L1056="F-15",2,IF(L1056="F-30",3,IF(L1056="F-60",4,IF(L1056="F-90",5,0)))),0),0)+IF(AND(O1056="FIRE TEX 5062",E1056="CJ",J1056=4),VLOOKUP(_xlfn.MINIFS('FIRE TEX 5062'!$Q$3:$Q$34,'FIRE TEX 5062'!$Q$3:$Q$34,"&gt;="&amp;M1056),'FIRE TEX 5062'!$Q$3:$U$34,IF(L1056="F-15",2,IF(L1056="F-30",3,IF(L1056="F-60",4,IF(L1056="F-90",5,0)))),0),0)+IF(AND(O1056="FIRE TEX 5090",OR(E1056="IN",E1056="C",E1056="Z",E1056="L"),J1056=3),VLOOKUP(_xlfn.MINIFS('FIRE TEX 5090'!$B$5:$B$43,'FIRE TEX 5090'!$B$5:$B$43,"&gt;="&amp;M1056),'FIRE TEX 5090'!$B$5:$H$43,IF(L1056="F-15",2,IF(L1056="F-30",3,IF(L1056="F-60",4,IF(L1056="F-90",5,IF(L1056="F-120",6,IF(L1056="F-150",7,0)))))),0),0)+IF(AND(O1056="FIRE TEX 5090",OR(E1056="IN",E1056="C",E1056="Z",E1056="L"),J1056=4),VLOOKUP(_xlfn.MINIFS('FIRE TEX 5090'!$J$5:$J$43,'FIRE TEX 5090'!$J$5:$J$43,"&gt;="&amp;M1056),'FIRE TEX 5090'!$J$5:$P$43,IF(L1056="F-15",2,IF(L1056="F-30",3,IF(L1056="F-60",4,IF(L1056="F-90",5,IF(L1056="F-120",6,IF(L1056="F-150",7,0)))))),0),0)+IF(AND(O1056="FIRE TEX 5090",E1056="CJ",J1056=3),VLOOKUP(_xlfn.MINIFS('FIRE TEX 5090'!$R$5:$R$30,'FIRE TEX 5090'!$R$5:$R$30,"&gt;="&amp;M1056),'FIRE TEX 5090'!$R$5:$W$30,IF(L1056="F-15",2,IF(L1056="F-30",3,IF(L1056="F-60",4,IF(L1056="F-90",5,IF(L1056="F-120",6,IF(L1056="F-150",7,0)))))),0),0)+IF(AND(O1056="FIRE TEX 5090",E1056="CJ",J1056=4),VLOOKUP(_xlfn.MINIFS('FIRE TEX 5090'!$Y$5:$Y$39,'FIRE TEX 5090'!$Y$5:$Y$39,"&gt;="&amp;M1056),'FIRE TEX 5090'!$Y$5:$AD$39,IF(L1056="F-15",2,IF(L1056="F-30",3,IF(L1056="F-60",4,IF(L1056="F-90",5,IF(L1056="F-120",6,IF(L1056="F-150",7,0)))))),0),0)+IF(AND(O1056="FIRE TEX 5120",OR(E1056="IN",E1056="C",E1056="Z",E1056="L"),J1056=3),VLOOKUP(_xlfn.MINIFS('FIRE TEX 5120'!$B$5:$B$40,'FIRE TEX 5120'!$B$5:$B$40,"&gt;="&amp;M1056),'FIRE TEX 5120'!$B$5:$G$40,IF(L1056="F-15",2,IF(L1056="F-30",3,IF(L1056="F-60",4,IF(L1056="F-90",5,IF(L1056="F-120",6,0))))),0),0)+IF(AND(O1056="FIRE TEX 5120",OR(E1056="IN",E1056="C",E1056="Z",E1056="L"),J1056=4),VLOOKUP(_xlfn.MINIFS('FIRE TEX 5120'!$H$4:$H$40,'FIRE TEX 5120'!$H$4:$H$40,"&gt;="&amp;M1056),'FIRE TEX 5120'!$H$4:$M$40,IF(L1056="F-15",2,IF(L1056="F-30",3,IF(L1056="F-60",4,IF(L1056="F-90",5,IF(L1056="F-120",6,0))))),0),0)+IF(AND(O1056="FIRE TEX 5120",E1056="CJ"),VLOOKUP(_xlfn.MINIFS('FIRE TEX 5120'!$O$5:$O$40,'FIRE TEX 5120'!$O$5:$O$40,"&gt;="&amp;M1056),'FIRE TEX 5120'!$O$5:$T$40,IF(L1056="F-15",2,IF(L1056="F-30",3,IF(L1056="F-60",4,IF(L1056="F-90",5,IF(L1056="F-120",6,0))))),0),0)</f>
        <v>0</v>
      </c>
      <c r="Q1056" s="46">
        <f t="shared" si="99"/>
        <v>0</v>
      </c>
      <c r="R1056" s="46">
        <f t="shared" si="100"/>
        <v>0</v>
      </c>
      <c r="S1056" s="46" t="e">
        <f t="shared" si="101"/>
        <v>#VALUE!</v>
      </c>
      <c r="T1056" s="677">
        <f t="shared" si="102"/>
        <v>0</v>
      </c>
      <c r="U1056" s="80">
        <f>(IF(O1056="Stofire",(S1056*#REF!),0))+(IF(O1056="Fire Control",(S1056*$U$2),0))+(IF(O1056="Fire Tex",(S1056*$U$3),0))+(IF(O1056="WB7",(S1056*#REF!),0)+(IF(O1056="FX 2003",(S1056*$U$5),0)))</f>
        <v>0</v>
      </c>
      <c r="V1056" s="651">
        <f t="shared" si="103"/>
        <v>0</v>
      </c>
    </row>
    <row r="1057" spans="4:22" x14ac:dyDescent="0.25">
      <c r="D1057" s="118">
        <f>+CUBICACION!D1056</f>
        <v>0</v>
      </c>
      <c r="E1057" s="118">
        <f>+CUBICACION!F1056</f>
        <v>0</v>
      </c>
      <c r="F1057" s="118">
        <f>+CUBICACION!E1056</f>
        <v>0</v>
      </c>
      <c r="G1057" s="118">
        <v>12</v>
      </c>
      <c r="H1057" s="118">
        <v>2</v>
      </c>
      <c r="I1057" s="820">
        <v>26385</v>
      </c>
      <c r="J1057" s="118">
        <f>+CUBICACION!J1056</f>
        <v>0</v>
      </c>
      <c r="K1057" s="118">
        <v>3836</v>
      </c>
      <c r="L1057" s="118">
        <f>+CUBICACION!L1056</f>
        <v>0</v>
      </c>
      <c r="M1057" s="64">
        <f>+CUBICACION!M1056</f>
        <v>0</v>
      </c>
      <c r="N1057" s="824" t="str">
        <f>+CUBICACION!N1056</f>
        <v/>
      </c>
      <c r="O1057" s="675">
        <f>+CUBICACION!O1056</f>
        <v>0</v>
      </c>
      <c r="P1057" s="15">
        <f>IF(O1057="Fire Control",VLOOKUP(_xlfn.MINIFS('FIRE CONTROL'!$C$4:$C$37,'FIRE CONTROL'!$C$4:$C$37,"&gt;="&amp;M1057),'FIRE CONTROL'!$C$4:$G$37,IF(L1057="F-15",2,IF(L1057="F-30",3,IF(L1057="F-60",4,IF(L1057="F-90",5,0)))),0),0)+IF(AND(O1057="FIRE TEX 5062",OR(E1057="IN",E1057="C",E1057="Z",E1057="L"),J1057=3),VLOOKUP(_xlfn.MINIFS('FIRE TEX 5062'!$B$4:$B$34,'FIRE TEX 5062'!$B$4:$B$34,"&gt;="&amp;M1057),'FIRE TEX 5062'!$B$4:$F$34,IF(L1057="F-15",2,IF(L1057="F-30",3,IF(L1057="F-60",4,IF(L1057="F-90",5,0)))),0),0)+IF(AND(O1057="FIRE TEX 5062",OR(E1057="IN",E1057="C",E1057="Z",E1057="L"),J1057=4),VLOOKUP(_xlfn.MINIFS('FIRE TEX 5062'!$G$4:$G$34,'FIRE TEX 5062'!$G$4:$G$34,"&gt;="&amp;M1057),'FIRE TEX 5062'!$G$4:$K$34,IF(L1057="F-15",2,IF(L1057="F-30",3,IF(L1057="F-60",4,IF(L1057="F-90",5,0)))),0),0)+IF(AND(O1057="FIRE TEX 5062",E1057="CJ",J1057=3),VLOOKUP(_xlfn.MINIFS('FIRE TEX 5062'!$L$4:$L$34,'FIRE TEX 5062'!$L$4:$L$34,"&gt;="&amp;M1057),'FIRE TEX 5062'!$L$4:$P$34,IF(L1057="F-15",2,IF(L1057="F-30",3,IF(L1057="F-60",4,IF(L1057="F-90",5,0)))),0),0)+IF(AND(O1057="FIRE TEX 5062",E1057="CJ",J1057=4),VLOOKUP(_xlfn.MINIFS('FIRE TEX 5062'!$Q$3:$Q$34,'FIRE TEX 5062'!$Q$3:$Q$34,"&gt;="&amp;M1057),'FIRE TEX 5062'!$Q$3:$U$34,IF(L1057="F-15",2,IF(L1057="F-30",3,IF(L1057="F-60",4,IF(L1057="F-90",5,0)))),0),0)+IF(AND(O1057="FIRE TEX 5090",OR(E1057="IN",E1057="C",E1057="Z",E1057="L"),J1057=3),VLOOKUP(_xlfn.MINIFS('FIRE TEX 5090'!$B$5:$B$43,'FIRE TEX 5090'!$B$5:$B$43,"&gt;="&amp;M1057),'FIRE TEX 5090'!$B$5:$H$43,IF(L1057="F-15",2,IF(L1057="F-30",3,IF(L1057="F-60",4,IF(L1057="F-90",5,IF(L1057="F-120",6,IF(L1057="F-150",7,0)))))),0),0)+IF(AND(O1057="FIRE TEX 5090",OR(E1057="IN",E1057="C",E1057="Z",E1057="L"),J1057=4),VLOOKUP(_xlfn.MINIFS('FIRE TEX 5090'!$J$5:$J$43,'FIRE TEX 5090'!$J$5:$J$43,"&gt;="&amp;M1057),'FIRE TEX 5090'!$J$5:$P$43,IF(L1057="F-15",2,IF(L1057="F-30",3,IF(L1057="F-60",4,IF(L1057="F-90",5,IF(L1057="F-120",6,IF(L1057="F-150",7,0)))))),0),0)+IF(AND(O1057="FIRE TEX 5090",E1057="CJ",J1057=3),VLOOKUP(_xlfn.MINIFS('FIRE TEX 5090'!$R$5:$R$30,'FIRE TEX 5090'!$R$5:$R$30,"&gt;="&amp;M1057),'FIRE TEX 5090'!$R$5:$W$30,IF(L1057="F-15",2,IF(L1057="F-30",3,IF(L1057="F-60",4,IF(L1057="F-90",5,IF(L1057="F-120",6,IF(L1057="F-150",7,0)))))),0),0)+IF(AND(O1057="FIRE TEX 5090",E1057="CJ",J1057=4),VLOOKUP(_xlfn.MINIFS('FIRE TEX 5090'!$Y$5:$Y$39,'FIRE TEX 5090'!$Y$5:$Y$39,"&gt;="&amp;M1057),'FIRE TEX 5090'!$Y$5:$AD$39,IF(L1057="F-15",2,IF(L1057="F-30",3,IF(L1057="F-60",4,IF(L1057="F-90",5,IF(L1057="F-120",6,IF(L1057="F-150",7,0)))))),0),0)+IF(AND(O1057="FIRE TEX 5120",OR(E1057="IN",E1057="C",E1057="Z",E1057="L"),J1057=3),VLOOKUP(_xlfn.MINIFS('FIRE TEX 5120'!$B$5:$B$40,'FIRE TEX 5120'!$B$5:$B$40,"&gt;="&amp;M1057),'FIRE TEX 5120'!$B$5:$G$40,IF(L1057="F-15",2,IF(L1057="F-30",3,IF(L1057="F-60",4,IF(L1057="F-90",5,IF(L1057="F-120",6,0))))),0),0)+IF(AND(O1057="FIRE TEX 5120",OR(E1057="IN",E1057="C",E1057="Z",E1057="L"),J1057=4),VLOOKUP(_xlfn.MINIFS('FIRE TEX 5120'!$H$4:$H$40,'FIRE TEX 5120'!$H$4:$H$40,"&gt;="&amp;M1057),'FIRE TEX 5120'!$H$4:$M$40,IF(L1057="F-15",2,IF(L1057="F-30",3,IF(L1057="F-60",4,IF(L1057="F-90",5,IF(L1057="F-120",6,0))))),0),0)+IF(AND(O1057="FIRE TEX 5120",E1057="CJ"),VLOOKUP(_xlfn.MINIFS('FIRE TEX 5120'!$O$5:$O$40,'FIRE TEX 5120'!$O$5:$O$40,"&gt;="&amp;M1057),'FIRE TEX 5120'!$O$5:$T$40,IF(L1057="F-15",2,IF(L1057="F-30",3,IF(L1057="F-60",4,IF(L1057="F-90",5,IF(L1057="F-120",6,0))))),0),0)</f>
        <v>0</v>
      </c>
      <c r="Q1057" s="46">
        <f t="shared" si="99"/>
        <v>0</v>
      </c>
      <c r="R1057" s="46">
        <f t="shared" si="100"/>
        <v>0</v>
      </c>
      <c r="S1057" s="46" t="e">
        <f t="shared" si="101"/>
        <v>#VALUE!</v>
      </c>
      <c r="T1057" s="677">
        <f t="shared" si="102"/>
        <v>0</v>
      </c>
      <c r="U1057" s="80">
        <f>(IF(O1057="Stofire",(S1057*#REF!),0))+(IF(O1057="Fire Control",(S1057*$U$2),0))+(IF(O1057="Fire Tex",(S1057*$U$3),0))+(IF(O1057="WB7",(S1057*#REF!),0)+(IF(O1057="FX 2003",(S1057*$U$5),0)))</f>
        <v>0</v>
      </c>
      <c r="V1057" s="651">
        <f t="shared" si="103"/>
        <v>0</v>
      </c>
    </row>
    <row r="1058" spans="4:22" x14ac:dyDescent="0.25">
      <c r="D1058" s="118">
        <f>+CUBICACION!D1057</f>
        <v>0</v>
      </c>
      <c r="E1058" s="118">
        <f>+CUBICACION!F1057</f>
        <v>0</v>
      </c>
      <c r="F1058" s="118">
        <f>+CUBICACION!E1057</f>
        <v>0</v>
      </c>
      <c r="G1058" s="118">
        <v>12</v>
      </c>
      <c r="H1058" s="118">
        <v>2</v>
      </c>
      <c r="I1058" s="820">
        <v>26385</v>
      </c>
      <c r="J1058" s="118">
        <f>+CUBICACION!J1057</f>
        <v>0</v>
      </c>
      <c r="K1058" s="118">
        <v>3837</v>
      </c>
      <c r="L1058" s="118">
        <f>+CUBICACION!L1057</f>
        <v>0</v>
      </c>
      <c r="M1058" s="64">
        <f>+CUBICACION!M1057</f>
        <v>0</v>
      </c>
      <c r="N1058" s="824" t="str">
        <f>+CUBICACION!N1057</f>
        <v/>
      </c>
      <c r="O1058" s="675">
        <f>+CUBICACION!O1057</f>
        <v>0</v>
      </c>
      <c r="P1058" s="15">
        <f>IF(O1058="Fire Control",VLOOKUP(_xlfn.MINIFS('FIRE CONTROL'!$C$4:$C$37,'FIRE CONTROL'!$C$4:$C$37,"&gt;="&amp;M1058),'FIRE CONTROL'!$C$4:$G$37,IF(L1058="F-15",2,IF(L1058="F-30",3,IF(L1058="F-60",4,IF(L1058="F-90",5,0)))),0),0)+IF(AND(O1058="FIRE TEX 5062",OR(E1058="IN",E1058="C",E1058="Z",E1058="L"),J1058=3),VLOOKUP(_xlfn.MINIFS('FIRE TEX 5062'!$B$4:$B$34,'FIRE TEX 5062'!$B$4:$B$34,"&gt;="&amp;M1058),'FIRE TEX 5062'!$B$4:$F$34,IF(L1058="F-15",2,IF(L1058="F-30",3,IF(L1058="F-60",4,IF(L1058="F-90",5,0)))),0),0)+IF(AND(O1058="FIRE TEX 5062",OR(E1058="IN",E1058="C",E1058="Z",E1058="L"),J1058=4),VLOOKUP(_xlfn.MINIFS('FIRE TEX 5062'!$G$4:$G$34,'FIRE TEX 5062'!$G$4:$G$34,"&gt;="&amp;M1058),'FIRE TEX 5062'!$G$4:$K$34,IF(L1058="F-15",2,IF(L1058="F-30",3,IF(L1058="F-60",4,IF(L1058="F-90",5,0)))),0),0)+IF(AND(O1058="FIRE TEX 5062",E1058="CJ",J1058=3),VLOOKUP(_xlfn.MINIFS('FIRE TEX 5062'!$L$4:$L$34,'FIRE TEX 5062'!$L$4:$L$34,"&gt;="&amp;M1058),'FIRE TEX 5062'!$L$4:$P$34,IF(L1058="F-15",2,IF(L1058="F-30",3,IF(L1058="F-60",4,IF(L1058="F-90",5,0)))),0),0)+IF(AND(O1058="FIRE TEX 5062",E1058="CJ",J1058=4),VLOOKUP(_xlfn.MINIFS('FIRE TEX 5062'!$Q$3:$Q$34,'FIRE TEX 5062'!$Q$3:$Q$34,"&gt;="&amp;M1058),'FIRE TEX 5062'!$Q$3:$U$34,IF(L1058="F-15",2,IF(L1058="F-30",3,IF(L1058="F-60",4,IF(L1058="F-90",5,0)))),0),0)+IF(AND(O1058="FIRE TEX 5090",OR(E1058="IN",E1058="C",E1058="Z",E1058="L"),J1058=3),VLOOKUP(_xlfn.MINIFS('FIRE TEX 5090'!$B$5:$B$43,'FIRE TEX 5090'!$B$5:$B$43,"&gt;="&amp;M1058),'FIRE TEX 5090'!$B$5:$H$43,IF(L1058="F-15",2,IF(L1058="F-30",3,IF(L1058="F-60",4,IF(L1058="F-90",5,IF(L1058="F-120",6,IF(L1058="F-150",7,0)))))),0),0)+IF(AND(O1058="FIRE TEX 5090",OR(E1058="IN",E1058="C",E1058="Z",E1058="L"),J1058=4),VLOOKUP(_xlfn.MINIFS('FIRE TEX 5090'!$J$5:$J$43,'FIRE TEX 5090'!$J$5:$J$43,"&gt;="&amp;M1058),'FIRE TEX 5090'!$J$5:$P$43,IF(L1058="F-15",2,IF(L1058="F-30",3,IF(L1058="F-60",4,IF(L1058="F-90",5,IF(L1058="F-120",6,IF(L1058="F-150",7,0)))))),0),0)+IF(AND(O1058="FIRE TEX 5090",E1058="CJ",J1058=3),VLOOKUP(_xlfn.MINIFS('FIRE TEX 5090'!$R$5:$R$30,'FIRE TEX 5090'!$R$5:$R$30,"&gt;="&amp;M1058),'FIRE TEX 5090'!$R$5:$W$30,IF(L1058="F-15",2,IF(L1058="F-30",3,IF(L1058="F-60",4,IF(L1058="F-90",5,IF(L1058="F-120",6,IF(L1058="F-150",7,0)))))),0),0)+IF(AND(O1058="FIRE TEX 5090",E1058="CJ",J1058=4),VLOOKUP(_xlfn.MINIFS('FIRE TEX 5090'!$Y$5:$Y$39,'FIRE TEX 5090'!$Y$5:$Y$39,"&gt;="&amp;M1058),'FIRE TEX 5090'!$Y$5:$AD$39,IF(L1058="F-15",2,IF(L1058="F-30",3,IF(L1058="F-60",4,IF(L1058="F-90",5,IF(L1058="F-120",6,IF(L1058="F-150",7,0)))))),0),0)+IF(AND(O1058="FIRE TEX 5120",OR(E1058="IN",E1058="C",E1058="Z",E1058="L"),J1058=3),VLOOKUP(_xlfn.MINIFS('FIRE TEX 5120'!$B$5:$B$40,'FIRE TEX 5120'!$B$5:$B$40,"&gt;="&amp;M1058),'FIRE TEX 5120'!$B$5:$G$40,IF(L1058="F-15",2,IF(L1058="F-30",3,IF(L1058="F-60",4,IF(L1058="F-90",5,IF(L1058="F-120",6,0))))),0),0)+IF(AND(O1058="FIRE TEX 5120",OR(E1058="IN",E1058="C",E1058="Z",E1058="L"),J1058=4),VLOOKUP(_xlfn.MINIFS('FIRE TEX 5120'!$H$4:$H$40,'FIRE TEX 5120'!$H$4:$H$40,"&gt;="&amp;M1058),'FIRE TEX 5120'!$H$4:$M$40,IF(L1058="F-15",2,IF(L1058="F-30",3,IF(L1058="F-60",4,IF(L1058="F-90",5,IF(L1058="F-120",6,0))))),0),0)+IF(AND(O1058="FIRE TEX 5120",E1058="CJ"),VLOOKUP(_xlfn.MINIFS('FIRE TEX 5120'!$O$5:$O$40,'FIRE TEX 5120'!$O$5:$O$40,"&gt;="&amp;M1058),'FIRE TEX 5120'!$O$5:$T$40,IF(L1058="F-15",2,IF(L1058="F-30",3,IF(L1058="F-60",4,IF(L1058="F-90",5,IF(L1058="F-120",6,0))))),0),0)</f>
        <v>0</v>
      </c>
      <c r="Q1058" s="46">
        <f t="shared" si="99"/>
        <v>0</v>
      </c>
      <c r="R1058" s="46">
        <f t="shared" si="100"/>
        <v>0</v>
      </c>
      <c r="S1058" s="46" t="e">
        <f t="shared" si="101"/>
        <v>#VALUE!</v>
      </c>
      <c r="T1058" s="677">
        <f t="shared" si="102"/>
        <v>0</v>
      </c>
      <c r="U1058" s="80">
        <f>(IF(O1058="Stofire",(S1058*#REF!),0))+(IF(O1058="Fire Control",(S1058*$U$2),0))+(IF(O1058="Fire Tex",(S1058*$U$3),0))+(IF(O1058="WB7",(S1058*#REF!),0)+(IF(O1058="FX 2003",(S1058*$U$5),0)))</f>
        <v>0</v>
      </c>
      <c r="V1058" s="651">
        <f t="shared" si="103"/>
        <v>0</v>
      </c>
    </row>
    <row r="1059" spans="4:22" x14ac:dyDescent="0.25">
      <c r="D1059" s="118">
        <f>+CUBICACION!D1058</f>
        <v>0</v>
      </c>
      <c r="E1059" s="118">
        <f>+CUBICACION!F1058</f>
        <v>0</v>
      </c>
      <c r="F1059" s="118">
        <f>+CUBICACION!E1058</f>
        <v>0</v>
      </c>
      <c r="G1059" s="118">
        <v>12</v>
      </c>
      <c r="H1059" s="118">
        <v>2</v>
      </c>
      <c r="I1059" s="820">
        <v>26385</v>
      </c>
      <c r="J1059" s="118">
        <f>+CUBICACION!J1058</f>
        <v>0</v>
      </c>
      <c r="K1059" s="118">
        <v>3838</v>
      </c>
      <c r="L1059" s="118">
        <f>+CUBICACION!L1058</f>
        <v>0</v>
      </c>
      <c r="M1059" s="64">
        <f>+CUBICACION!M1058</f>
        <v>0</v>
      </c>
      <c r="N1059" s="824" t="str">
        <f>+CUBICACION!N1058</f>
        <v/>
      </c>
      <c r="O1059" s="675">
        <f>+CUBICACION!O1058</f>
        <v>0</v>
      </c>
      <c r="P1059" s="15">
        <f>IF(O1059="Fire Control",VLOOKUP(_xlfn.MINIFS('FIRE CONTROL'!$C$4:$C$37,'FIRE CONTROL'!$C$4:$C$37,"&gt;="&amp;M1059),'FIRE CONTROL'!$C$4:$G$37,IF(L1059="F-15",2,IF(L1059="F-30",3,IF(L1059="F-60",4,IF(L1059="F-90",5,0)))),0),0)+IF(AND(O1059="FIRE TEX 5062",OR(E1059="IN",E1059="C",E1059="Z",E1059="L"),J1059=3),VLOOKUP(_xlfn.MINIFS('FIRE TEX 5062'!$B$4:$B$34,'FIRE TEX 5062'!$B$4:$B$34,"&gt;="&amp;M1059),'FIRE TEX 5062'!$B$4:$F$34,IF(L1059="F-15",2,IF(L1059="F-30",3,IF(L1059="F-60",4,IF(L1059="F-90",5,0)))),0),0)+IF(AND(O1059="FIRE TEX 5062",OR(E1059="IN",E1059="C",E1059="Z",E1059="L"),J1059=4),VLOOKUP(_xlfn.MINIFS('FIRE TEX 5062'!$G$4:$G$34,'FIRE TEX 5062'!$G$4:$G$34,"&gt;="&amp;M1059),'FIRE TEX 5062'!$G$4:$K$34,IF(L1059="F-15",2,IF(L1059="F-30",3,IF(L1059="F-60",4,IF(L1059="F-90",5,0)))),0),0)+IF(AND(O1059="FIRE TEX 5062",E1059="CJ",J1059=3),VLOOKUP(_xlfn.MINIFS('FIRE TEX 5062'!$L$4:$L$34,'FIRE TEX 5062'!$L$4:$L$34,"&gt;="&amp;M1059),'FIRE TEX 5062'!$L$4:$P$34,IF(L1059="F-15",2,IF(L1059="F-30",3,IF(L1059="F-60",4,IF(L1059="F-90",5,0)))),0),0)+IF(AND(O1059="FIRE TEX 5062",E1059="CJ",J1059=4),VLOOKUP(_xlfn.MINIFS('FIRE TEX 5062'!$Q$3:$Q$34,'FIRE TEX 5062'!$Q$3:$Q$34,"&gt;="&amp;M1059),'FIRE TEX 5062'!$Q$3:$U$34,IF(L1059="F-15",2,IF(L1059="F-30",3,IF(L1059="F-60",4,IF(L1059="F-90",5,0)))),0),0)+IF(AND(O1059="FIRE TEX 5090",OR(E1059="IN",E1059="C",E1059="Z",E1059="L"),J1059=3),VLOOKUP(_xlfn.MINIFS('FIRE TEX 5090'!$B$5:$B$43,'FIRE TEX 5090'!$B$5:$B$43,"&gt;="&amp;M1059),'FIRE TEX 5090'!$B$5:$H$43,IF(L1059="F-15",2,IF(L1059="F-30",3,IF(L1059="F-60",4,IF(L1059="F-90",5,IF(L1059="F-120",6,IF(L1059="F-150",7,0)))))),0),0)+IF(AND(O1059="FIRE TEX 5090",OR(E1059="IN",E1059="C",E1059="Z",E1059="L"),J1059=4),VLOOKUP(_xlfn.MINIFS('FIRE TEX 5090'!$J$5:$J$43,'FIRE TEX 5090'!$J$5:$J$43,"&gt;="&amp;M1059),'FIRE TEX 5090'!$J$5:$P$43,IF(L1059="F-15",2,IF(L1059="F-30",3,IF(L1059="F-60",4,IF(L1059="F-90",5,IF(L1059="F-120",6,IF(L1059="F-150",7,0)))))),0),0)+IF(AND(O1059="FIRE TEX 5090",E1059="CJ",J1059=3),VLOOKUP(_xlfn.MINIFS('FIRE TEX 5090'!$R$5:$R$30,'FIRE TEX 5090'!$R$5:$R$30,"&gt;="&amp;M1059),'FIRE TEX 5090'!$R$5:$W$30,IF(L1059="F-15",2,IF(L1059="F-30",3,IF(L1059="F-60",4,IF(L1059="F-90",5,IF(L1059="F-120",6,IF(L1059="F-150",7,0)))))),0),0)+IF(AND(O1059="FIRE TEX 5090",E1059="CJ",J1059=4),VLOOKUP(_xlfn.MINIFS('FIRE TEX 5090'!$Y$5:$Y$39,'FIRE TEX 5090'!$Y$5:$Y$39,"&gt;="&amp;M1059),'FIRE TEX 5090'!$Y$5:$AD$39,IF(L1059="F-15",2,IF(L1059="F-30",3,IF(L1059="F-60",4,IF(L1059="F-90",5,IF(L1059="F-120",6,IF(L1059="F-150",7,0)))))),0),0)+IF(AND(O1059="FIRE TEX 5120",OR(E1059="IN",E1059="C",E1059="Z",E1059="L"),J1059=3),VLOOKUP(_xlfn.MINIFS('FIRE TEX 5120'!$B$5:$B$40,'FIRE TEX 5120'!$B$5:$B$40,"&gt;="&amp;M1059),'FIRE TEX 5120'!$B$5:$G$40,IF(L1059="F-15",2,IF(L1059="F-30",3,IF(L1059="F-60",4,IF(L1059="F-90",5,IF(L1059="F-120",6,0))))),0),0)+IF(AND(O1059="FIRE TEX 5120",OR(E1059="IN",E1059="C",E1059="Z",E1059="L"),J1059=4),VLOOKUP(_xlfn.MINIFS('FIRE TEX 5120'!$H$4:$H$40,'FIRE TEX 5120'!$H$4:$H$40,"&gt;="&amp;M1059),'FIRE TEX 5120'!$H$4:$M$40,IF(L1059="F-15",2,IF(L1059="F-30",3,IF(L1059="F-60",4,IF(L1059="F-90",5,IF(L1059="F-120",6,0))))),0),0)+IF(AND(O1059="FIRE TEX 5120",E1059="CJ"),VLOOKUP(_xlfn.MINIFS('FIRE TEX 5120'!$O$5:$O$40,'FIRE TEX 5120'!$O$5:$O$40,"&gt;="&amp;M1059),'FIRE TEX 5120'!$O$5:$T$40,IF(L1059="F-15",2,IF(L1059="F-30",3,IF(L1059="F-60",4,IF(L1059="F-90",5,IF(L1059="F-120",6,0))))),0),0)</f>
        <v>0</v>
      </c>
      <c r="Q1059" s="46">
        <f t="shared" si="99"/>
        <v>0</v>
      </c>
      <c r="R1059" s="46">
        <f t="shared" si="100"/>
        <v>0</v>
      </c>
      <c r="S1059" s="46" t="e">
        <f t="shared" si="101"/>
        <v>#VALUE!</v>
      </c>
      <c r="T1059" s="677">
        <f t="shared" si="102"/>
        <v>0</v>
      </c>
      <c r="U1059" s="80">
        <f>(IF(O1059="Stofire",(S1059*#REF!),0))+(IF(O1059="Fire Control",(S1059*$U$2),0))+(IF(O1059="Fire Tex",(S1059*$U$3),0))+(IF(O1059="WB7",(S1059*#REF!),0)+(IF(O1059="FX 2003",(S1059*$U$5),0)))</f>
        <v>0</v>
      </c>
      <c r="V1059" s="651">
        <f t="shared" si="103"/>
        <v>0</v>
      </c>
    </row>
    <row r="1060" spans="4:22" x14ac:dyDescent="0.25">
      <c r="D1060" s="118">
        <f>+CUBICACION!D1059</f>
        <v>0</v>
      </c>
      <c r="E1060" s="118">
        <f>+CUBICACION!F1059</f>
        <v>0</v>
      </c>
      <c r="F1060" s="118">
        <f>+CUBICACION!E1059</f>
        <v>0</v>
      </c>
      <c r="G1060" s="118">
        <v>12</v>
      </c>
      <c r="H1060" s="118">
        <v>2</v>
      </c>
      <c r="I1060" s="820">
        <v>26385</v>
      </c>
      <c r="J1060" s="118">
        <f>+CUBICACION!J1059</f>
        <v>0</v>
      </c>
      <c r="K1060" s="118">
        <v>3839</v>
      </c>
      <c r="L1060" s="118">
        <f>+CUBICACION!L1059</f>
        <v>0</v>
      </c>
      <c r="M1060" s="64">
        <f>+CUBICACION!M1059</f>
        <v>0</v>
      </c>
      <c r="N1060" s="824" t="str">
        <f>+CUBICACION!N1059</f>
        <v/>
      </c>
      <c r="O1060" s="675">
        <f>+CUBICACION!O1059</f>
        <v>0</v>
      </c>
      <c r="P1060" s="15">
        <f>IF(O1060="Fire Control",VLOOKUP(_xlfn.MINIFS('FIRE CONTROL'!$C$4:$C$37,'FIRE CONTROL'!$C$4:$C$37,"&gt;="&amp;M1060),'FIRE CONTROL'!$C$4:$G$37,IF(L1060="F-15",2,IF(L1060="F-30",3,IF(L1060="F-60",4,IF(L1060="F-90",5,0)))),0),0)+IF(AND(O1060="FIRE TEX 5062",OR(E1060="IN",E1060="C",E1060="Z",E1060="L"),J1060=3),VLOOKUP(_xlfn.MINIFS('FIRE TEX 5062'!$B$4:$B$34,'FIRE TEX 5062'!$B$4:$B$34,"&gt;="&amp;M1060),'FIRE TEX 5062'!$B$4:$F$34,IF(L1060="F-15",2,IF(L1060="F-30",3,IF(L1060="F-60",4,IF(L1060="F-90",5,0)))),0),0)+IF(AND(O1060="FIRE TEX 5062",OR(E1060="IN",E1060="C",E1060="Z",E1060="L"),J1060=4),VLOOKUP(_xlfn.MINIFS('FIRE TEX 5062'!$G$4:$G$34,'FIRE TEX 5062'!$G$4:$G$34,"&gt;="&amp;M1060),'FIRE TEX 5062'!$G$4:$K$34,IF(L1060="F-15",2,IF(L1060="F-30",3,IF(L1060="F-60",4,IF(L1060="F-90",5,0)))),0),0)+IF(AND(O1060="FIRE TEX 5062",E1060="CJ",J1060=3),VLOOKUP(_xlfn.MINIFS('FIRE TEX 5062'!$L$4:$L$34,'FIRE TEX 5062'!$L$4:$L$34,"&gt;="&amp;M1060),'FIRE TEX 5062'!$L$4:$P$34,IF(L1060="F-15",2,IF(L1060="F-30",3,IF(L1060="F-60",4,IF(L1060="F-90",5,0)))),0),0)+IF(AND(O1060="FIRE TEX 5062",E1060="CJ",J1060=4),VLOOKUP(_xlfn.MINIFS('FIRE TEX 5062'!$Q$3:$Q$34,'FIRE TEX 5062'!$Q$3:$Q$34,"&gt;="&amp;M1060),'FIRE TEX 5062'!$Q$3:$U$34,IF(L1060="F-15",2,IF(L1060="F-30",3,IF(L1060="F-60",4,IF(L1060="F-90",5,0)))),0),0)+IF(AND(O1060="FIRE TEX 5090",OR(E1060="IN",E1060="C",E1060="Z",E1060="L"),J1060=3),VLOOKUP(_xlfn.MINIFS('FIRE TEX 5090'!$B$5:$B$43,'FIRE TEX 5090'!$B$5:$B$43,"&gt;="&amp;M1060),'FIRE TEX 5090'!$B$5:$H$43,IF(L1060="F-15",2,IF(L1060="F-30",3,IF(L1060="F-60",4,IF(L1060="F-90",5,IF(L1060="F-120",6,IF(L1060="F-150",7,0)))))),0),0)+IF(AND(O1060="FIRE TEX 5090",OR(E1060="IN",E1060="C",E1060="Z",E1060="L"),J1060=4),VLOOKUP(_xlfn.MINIFS('FIRE TEX 5090'!$J$5:$J$43,'FIRE TEX 5090'!$J$5:$J$43,"&gt;="&amp;M1060),'FIRE TEX 5090'!$J$5:$P$43,IF(L1060="F-15",2,IF(L1060="F-30",3,IF(L1060="F-60",4,IF(L1060="F-90",5,IF(L1060="F-120",6,IF(L1060="F-150",7,0)))))),0),0)+IF(AND(O1060="FIRE TEX 5090",E1060="CJ",J1060=3),VLOOKUP(_xlfn.MINIFS('FIRE TEX 5090'!$R$5:$R$30,'FIRE TEX 5090'!$R$5:$R$30,"&gt;="&amp;M1060),'FIRE TEX 5090'!$R$5:$W$30,IF(L1060="F-15",2,IF(L1060="F-30",3,IF(L1060="F-60",4,IF(L1060="F-90",5,IF(L1060="F-120",6,IF(L1060="F-150",7,0)))))),0),0)+IF(AND(O1060="FIRE TEX 5090",E1060="CJ",J1060=4),VLOOKUP(_xlfn.MINIFS('FIRE TEX 5090'!$Y$5:$Y$39,'FIRE TEX 5090'!$Y$5:$Y$39,"&gt;="&amp;M1060),'FIRE TEX 5090'!$Y$5:$AD$39,IF(L1060="F-15",2,IF(L1060="F-30",3,IF(L1060="F-60",4,IF(L1060="F-90",5,IF(L1060="F-120",6,IF(L1060="F-150",7,0)))))),0),0)+IF(AND(O1060="FIRE TEX 5120",OR(E1060="IN",E1060="C",E1060="Z",E1060="L"),J1060=3),VLOOKUP(_xlfn.MINIFS('FIRE TEX 5120'!$B$5:$B$40,'FIRE TEX 5120'!$B$5:$B$40,"&gt;="&amp;M1060),'FIRE TEX 5120'!$B$5:$G$40,IF(L1060="F-15",2,IF(L1060="F-30",3,IF(L1060="F-60",4,IF(L1060="F-90",5,IF(L1060="F-120",6,0))))),0),0)+IF(AND(O1060="FIRE TEX 5120",OR(E1060="IN",E1060="C",E1060="Z",E1060="L"),J1060=4),VLOOKUP(_xlfn.MINIFS('FIRE TEX 5120'!$H$4:$H$40,'FIRE TEX 5120'!$H$4:$H$40,"&gt;="&amp;M1060),'FIRE TEX 5120'!$H$4:$M$40,IF(L1060="F-15",2,IF(L1060="F-30",3,IF(L1060="F-60",4,IF(L1060="F-90",5,IF(L1060="F-120",6,0))))),0),0)+IF(AND(O1060="FIRE TEX 5120",E1060="CJ"),VLOOKUP(_xlfn.MINIFS('FIRE TEX 5120'!$O$5:$O$40,'FIRE TEX 5120'!$O$5:$O$40,"&gt;="&amp;M1060),'FIRE TEX 5120'!$O$5:$T$40,IF(L1060="F-15",2,IF(L1060="F-30",3,IF(L1060="F-60",4,IF(L1060="F-90",5,IF(L1060="F-120",6,0))))),0),0)</f>
        <v>0</v>
      </c>
      <c r="Q1060" s="46">
        <f t="shared" si="99"/>
        <v>0</v>
      </c>
      <c r="R1060" s="46">
        <f t="shared" si="100"/>
        <v>0</v>
      </c>
      <c r="S1060" s="46" t="e">
        <f t="shared" si="101"/>
        <v>#VALUE!</v>
      </c>
      <c r="T1060" s="677">
        <f t="shared" si="102"/>
        <v>0</v>
      </c>
      <c r="U1060" s="80">
        <f>(IF(O1060="Stofire",(S1060*#REF!),0))+(IF(O1060="Fire Control",(S1060*$U$2),0))+(IF(O1060="Fire Tex",(S1060*$U$3),0))+(IF(O1060="WB7",(S1060*#REF!),0)+(IF(O1060="FX 2003",(S1060*$U$5),0)))</f>
        <v>0</v>
      </c>
      <c r="V1060" s="651">
        <f t="shared" si="103"/>
        <v>0</v>
      </c>
    </row>
    <row r="1061" spans="4:22" x14ac:dyDescent="0.25">
      <c r="D1061" s="118">
        <f>+CUBICACION!D1060</f>
        <v>0</v>
      </c>
      <c r="E1061" s="118">
        <f>+CUBICACION!F1060</f>
        <v>0</v>
      </c>
      <c r="F1061" s="118">
        <f>+CUBICACION!E1060</f>
        <v>0</v>
      </c>
      <c r="G1061" s="118">
        <v>12</v>
      </c>
      <c r="H1061" s="118">
        <v>2</v>
      </c>
      <c r="I1061" s="820">
        <v>26385</v>
      </c>
      <c r="J1061" s="118">
        <f>+CUBICACION!J1060</f>
        <v>0</v>
      </c>
      <c r="K1061" s="118">
        <v>3840</v>
      </c>
      <c r="L1061" s="118">
        <f>+CUBICACION!L1060</f>
        <v>0</v>
      </c>
      <c r="M1061" s="64">
        <f>+CUBICACION!M1060</f>
        <v>0</v>
      </c>
      <c r="N1061" s="824" t="str">
        <f>+CUBICACION!N1060</f>
        <v/>
      </c>
      <c r="O1061" s="675">
        <f>+CUBICACION!O1060</f>
        <v>0</v>
      </c>
      <c r="P1061" s="15">
        <f>IF(O1061="Fire Control",VLOOKUP(_xlfn.MINIFS('FIRE CONTROL'!$C$4:$C$37,'FIRE CONTROL'!$C$4:$C$37,"&gt;="&amp;M1061),'FIRE CONTROL'!$C$4:$G$37,IF(L1061="F-15",2,IF(L1061="F-30",3,IF(L1061="F-60",4,IF(L1061="F-90",5,0)))),0),0)+IF(AND(O1061="FIRE TEX 5062",OR(E1061="IN",E1061="C",E1061="Z",E1061="L"),J1061=3),VLOOKUP(_xlfn.MINIFS('FIRE TEX 5062'!$B$4:$B$34,'FIRE TEX 5062'!$B$4:$B$34,"&gt;="&amp;M1061),'FIRE TEX 5062'!$B$4:$F$34,IF(L1061="F-15",2,IF(L1061="F-30",3,IF(L1061="F-60",4,IF(L1061="F-90",5,0)))),0),0)+IF(AND(O1061="FIRE TEX 5062",OR(E1061="IN",E1061="C",E1061="Z",E1061="L"),J1061=4),VLOOKUP(_xlfn.MINIFS('FIRE TEX 5062'!$G$4:$G$34,'FIRE TEX 5062'!$G$4:$G$34,"&gt;="&amp;M1061),'FIRE TEX 5062'!$G$4:$K$34,IF(L1061="F-15",2,IF(L1061="F-30",3,IF(L1061="F-60",4,IF(L1061="F-90",5,0)))),0),0)+IF(AND(O1061="FIRE TEX 5062",E1061="CJ",J1061=3),VLOOKUP(_xlfn.MINIFS('FIRE TEX 5062'!$L$4:$L$34,'FIRE TEX 5062'!$L$4:$L$34,"&gt;="&amp;M1061),'FIRE TEX 5062'!$L$4:$P$34,IF(L1061="F-15",2,IF(L1061="F-30",3,IF(L1061="F-60",4,IF(L1061="F-90",5,0)))),0),0)+IF(AND(O1061="FIRE TEX 5062",E1061="CJ",J1061=4),VLOOKUP(_xlfn.MINIFS('FIRE TEX 5062'!$Q$3:$Q$34,'FIRE TEX 5062'!$Q$3:$Q$34,"&gt;="&amp;M1061),'FIRE TEX 5062'!$Q$3:$U$34,IF(L1061="F-15",2,IF(L1061="F-30",3,IF(L1061="F-60",4,IF(L1061="F-90",5,0)))),0),0)+IF(AND(O1061="FIRE TEX 5090",OR(E1061="IN",E1061="C",E1061="Z",E1061="L"),J1061=3),VLOOKUP(_xlfn.MINIFS('FIRE TEX 5090'!$B$5:$B$43,'FIRE TEX 5090'!$B$5:$B$43,"&gt;="&amp;M1061),'FIRE TEX 5090'!$B$5:$H$43,IF(L1061="F-15",2,IF(L1061="F-30",3,IF(L1061="F-60",4,IF(L1061="F-90",5,IF(L1061="F-120",6,IF(L1061="F-150",7,0)))))),0),0)+IF(AND(O1061="FIRE TEX 5090",OR(E1061="IN",E1061="C",E1061="Z",E1061="L"),J1061=4),VLOOKUP(_xlfn.MINIFS('FIRE TEX 5090'!$J$5:$J$43,'FIRE TEX 5090'!$J$5:$J$43,"&gt;="&amp;M1061),'FIRE TEX 5090'!$J$5:$P$43,IF(L1061="F-15",2,IF(L1061="F-30",3,IF(L1061="F-60",4,IF(L1061="F-90",5,IF(L1061="F-120",6,IF(L1061="F-150",7,0)))))),0),0)+IF(AND(O1061="FIRE TEX 5090",E1061="CJ",J1061=3),VLOOKUP(_xlfn.MINIFS('FIRE TEX 5090'!$R$5:$R$30,'FIRE TEX 5090'!$R$5:$R$30,"&gt;="&amp;M1061),'FIRE TEX 5090'!$R$5:$W$30,IF(L1061="F-15",2,IF(L1061="F-30",3,IF(L1061="F-60",4,IF(L1061="F-90",5,IF(L1061="F-120",6,IF(L1061="F-150",7,0)))))),0),0)+IF(AND(O1061="FIRE TEX 5090",E1061="CJ",J1061=4),VLOOKUP(_xlfn.MINIFS('FIRE TEX 5090'!$Y$5:$Y$39,'FIRE TEX 5090'!$Y$5:$Y$39,"&gt;="&amp;M1061),'FIRE TEX 5090'!$Y$5:$AD$39,IF(L1061="F-15",2,IF(L1061="F-30",3,IF(L1061="F-60",4,IF(L1061="F-90",5,IF(L1061="F-120",6,IF(L1061="F-150",7,0)))))),0),0)+IF(AND(O1061="FIRE TEX 5120",OR(E1061="IN",E1061="C",E1061="Z",E1061="L"),J1061=3),VLOOKUP(_xlfn.MINIFS('FIRE TEX 5120'!$B$5:$B$40,'FIRE TEX 5120'!$B$5:$B$40,"&gt;="&amp;M1061),'FIRE TEX 5120'!$B$5:$G$40,IF(L1061="F-15",2,IF(L1061="F-30",3,IF(L1061="F-60",4,IF(L1061="F-90",5,IF(L1061="F-120",6,0))))),0),0)+IF(AND(O1061="FIRE TEX 5120",OR(E1061="IN",E1061="C",E1061="Z",E1061="L"),J1061=4),VLOOKUP(_xlfn.MINIFS('FIRE TEX 5120'!$H$4:$H$40,'FIRE TEX 5120'!$H$4:$H$40,"&gt;="&amp;M1061),'FIRE TEX 5120'!$H$4:$M$40,IF(L1061="F-15",2,IF(L1061="F-30",3,IF(L1061="F-60",4,IF(L1061="F-90",5,IF(L1061="F-120",6,0))))),0),0)+IF(AND(O1061="FIRE TEX 5120",E1061="CJ"),VLOOKUP(_xlfn.MINIFS('FIRE TEX 5120'!$O$5:$O$40,'FIRE TEX 5120'!$O$5:$O$40,"&gt;="&amp;M1061),'FIRE TEX 5120'!$O$5:$T$40,IF(L1061="F-15",2,IF(L1061="F-30",3,IF(L1061="F-60",4,IF(L1061="F-90",5,IF(L1061="F-120",6,0))))),0),0)</f>
        <v>0</v>
      </c>
      <c r="Q1061" s="46">
        <f t="shared" si="99"/>
        <v>0</v>
      </c>
      <c r="R1061" s="46">
        <f t="shared" si="100"/>
        <v>0</v>
      </c>
      <c r="S1061" s="46" t="e">
        <f t="shared" si="101"/>
        <v>#VALUE!</v>
      </c>
      <c r="T1061" s="677">
        <f t="shared" si="102"/>
        <v>0</v>
      </c>
      <c r="U1061" s="80">
        <f>(IF(O1061="Stofire",(S1061*#REF!),0))+(IF(O1061="Fire Control",(S1061*$U$2),0))+(IF(O1061="Fire Tex",(S1061*$U$3),0))+(IF(O1061="WB7",(S1061*#REF!),0)+(IF(O1061="FX 2003",(S1061*$U$5),0)))</f>
        <v>0</v>
      </c>
      <c r="V1061" s="651">
        <f t="shared" si="103"/>
        <v>0</v>
      </c>
    </row>
    <row r="1062" spans="4:22" x14ac:dyDescent="0.25">
      <c r="D1062" s="118">
        <f>+CUBICACION!D1061</f>
        <v>0</v>
      </c>
      <c r="E1062" s="118">
        <f>+CUBICACION!F1061</f>
        <v>0</v>
      </c>
      <c r="F1062" s="118">
        <f>+CUBICACION!E1061</f>
        <v>0</v>
      </c>
      <c r="G1062" s="118">
        <v>12</v>
      </c>
      <c r="H1062" s="118">
        <v>2</v>
      </c>
      <c r="I1062" s="820">
        <v>26385</v>
      </c>
      <c r="J1062" s="118">
        <f>+CUBICACION!J1061</f>
        <v>0</v>
      </c>
      <c r="K1062" s="118">
        <v>3841</v>
      </c>
      <c r="L1062" s="118">
        <f>+CUBICACION!L1061</f>
        <v>0</v>
      </c>
      <c r="M1062" s="64">
        <f>+CUBICACION!M1061</f>
        <v>0</v>
      </c>
      <c r="N1062" s="824" t="str">
        <f>+CUBICACION!N1061</f>
        <v/>
      </c>
      <c r="O1062" s="675">
        <f>+CUBICACION!O1061</f>
        <v>0</v>
      </c>
      <c r="P1062" s="15">
        <f>IF(O1062="Fire Control",VLOOKUP(_xlfn.MINIFS('FIRE CONTROL'!$C$4:$C$37,'FIRE CONTROL'!$C$4:$C$37,"&gt;="&amp;M1062),'FIRE CONTROL'!$C$4:$G$37,IF(L1062="F-15",2,IF(L1062="F-30",3,IF(L1062="F-60",4,IF(L1062="F-90",5,0)))),0),0)+IF(AND(O1062="FIRE TEX 5062",OR(E1062="IN",E1062="C",E1062="Z",E1062="L"),J1062=3),VLOOKUP(_xlfn.MINIFS('FIRE TEX 5062'!$B$4:$B$34,'FIRE TEX 5062'!$B$4:$B$34,"&gt;="&amp;M1062),'FIRE TEX 5062'!$B$4:$F$34,IF(L1062="F-15",2,IF(L1062="F-30",3,IF(L1062="F-60",4,IF(L1062="F-90",5,0)))),0),0)+IF(AND(O1062="FIRE TEX 5062",OR(E1062="IN",E1062="C",E1062="Z",E1062="L"),J1062=4),VLOOKUP(_xlfn.MINIFS('FIRE TEX 5062'!$G$4:$G$34,'FIRE TEX 5062'!$G$4:$G$34,"&gt;="&amp;M1062),'FIRE TEX 5062'!$G$4:$K$34,IF(L1062="F-15",2,IF(L1062="F-30",3,IF(L1062="F-60",4,IF(L1062="F-90",5,0)))),0),0)+IF(AND(O1062="FIRE TEX 5062",E1062="CJ",J1062=3),VLOOKUP(_xlfn.MINIFS('FIRE TEX 5062'!$L$4:$L$34,'FIRE TEX 5062'!$L$4:$L$34,"&gt;="&amp;M1062),'FIRE TEX 5062'!$L$4:$P$34,IF(L1062="F-15",2,IF(L1062="F-30",3,IF(L1062="F-60",4,IF(L1062="F-90",5,0)))),0),0)+IF(AND(O1062="FIRE TEX 5062",E1062="CJ",J1062=4),VLOOKUP(_xlfn.MINIFS('FIRE TEX 5062'!$Q$3:$Q$34,'FIRE TEX 5062'!$Q$3:$Q$34,"&gt;="&amp;M1062),'FIRE TEX 5062'!$Q$3:$U$34,IF(L1062="F-15",2,IF(L1062="F-30",3,IF(L1062="F-60",4,IF(L1062="F-90",5,0)))),0),0)+IF(AND(O1062="FIRE TEX 5090",OR(E1062="IN",E1062="C",E1062="Z",E1062="L"),J1062=3),VLOOKUP(_xlfn.MINIFS('FIRE TEX 5090'!$B$5:$B$43,'FIRE TEX 5090'!$B$5:$B$43,"&gt;="&amp;M1062),'FIRE TEX 5090'!$B$5:$H$43,IF(L1062="F-15",2,IF(L1062="F-30",3,IF(L1062="F-60",4,IF(L1062="F-90",5,IF(L1062="F-120",6,IF(L1062="F-150",7,0)))))),0),0)+IF(AND(O1062="FIRE TEX 5090",OR(E1062="IN",E1062="C",E1062="Z",E1062="L"),J1062=4),VLOOKUP(_xlfn.MINIFS('FIRE TEX 5090'!$J$5:$J$43,'FIRE TEX 5090'!$J$5:$J$43,"&gt;="&amp;M1062),'FIRE TEX 5090'!$J$5:$P$43,IF(L1062="F-15",2,IF(L1062="F-30",3,IF(L1062="F-60",4,IF(L1062="F-90",5,IF(L1062="F-120",6,IF(L1062="F-150",7,0)))))),0),0)+IF(AND(O1062="FIRE TEX 5090",E1062="CJ",J1062=3),VLOOKUP(_xlfn.MINIFS('FIRE TEX 5090'!$R$5:$R$30,'FIRE TEX 5090'!$R$5:$R$30,"&gt;="&amp;M1062),'FIRE TEX 5090'!$R$5:$W$30,IF(L1062="F-15",2,IF(L1062="F-30",3,IF(L1062="F-60",4,IF(L1062="F-90",5,IF(L1062="F-120",6,IF(L1062="F-150",7,0)))))),0),0)+IF(AND(O1062="FIRE TEX 5090",E1062="CJ",J1062=4),VLOOKUP(_xlfn.MINIFS('FIRE TEX 5090'!$Y$5:$Y$39,'FIRE TEX 5090'!$Y$5:$Y$39,"&gt;="&amp;M1062),'FIRE TEX 5090'!$Y$5:$AD$39,IF(L1062="F-15",2,IF(L1062="F-30",3,IF(L1062="F-60",4,IF(L1062="F-90",5,IF(L1062="F-120",6,IF(L1062="F-150",7,0)))))),0),0)+IF(AND(O1062="FIRE TEX 5120",OR(E1062="IN",E1062="C",E1062="Z",E1062="L"),J1062=3),VLOOKUP(_xlfn.MINIFS('FIRE TEX 5120'!$B$5:$B$40,'FIRE TEX 5120'!$B$5:$B$40,"&gt;="&amp;M1062),'FIRE TEX 5120'!$B$5:$G$40,IF(L1062="F-15",2,IF(L1062="F-30",3,IF(L1062="F-60",4,IF(L1062="F-90",5,IF(L1062="F-120",6,0))))),0),0)+IF(AND(O1062="FIRE TEX 5120",OR(E1062="IN",E1062="C",E1062="Z",E1062="L"),J1062=4),VLOOKUP(_xlfn.MINIFS('FIRE TEX 5120'!$H$4:$H$40,'FIRE TEX 5120'!$H$4:$H$40,"&gt;="&amp;M1062),'FIRE TEX 5120'!$H$4:$M$40,IF(L1062="F-15",2,IF(L1062="F-30",3,IF(L1062="F-60",4,IF(L1062="F-90",5,IF(L1062="F-120",6,0))))),0),0)+IF(AND(O1062="FIRE TEX 5120",E1062="CJ"),VLOOKUP(_xlfn.MINIFS('FIRE TEX 5120'!$O$5:$O$40,'FIRE TEX 5120'!$O$5:$O$40,"&gt;="&amp;M1062),'FIRE TEX 5120'!$O$5:$T$40,IF(L1062="F-15",2,IF(L1062="F-30",3,IF(L1062="F-60",4,IF(L1062="F-90",5,IF(L1062="F-120",6,0))))),0),0)</f>
        <v>0</v>
      </c>
      <c r="Q1062" s="46">
        <f t="shared" si="99"/>
        <v>0</v>
      </c>
      <c r="R1062" s="46">
        <f t="shared" si="100"/>
        <v>0</v>
      </c>
      <c r="S1062" s="46" t="e">
        <f t="shared" si="101"/>
        <v>#VALUE!</v>
      </c>
      <c r="T1062" s="677">
        <f t="shared" si="102"/>
        <v>0</v>
      </c>
      <c r="U1062" s="80">
        <f>(IF(O1062="Stofire",(S1062*#REF!),0))+(IF(O1062="Fire Control",(S1062*$U$2),0))+(IF(O1062="Fire Tex",(S1062*$U$3),0))+(IF(O1062="WB7",(S1062*#REF!),0)+(IF(O1062="FX 2003",(S1062*$U$5),0)))</f>
        <v>0</v>
      </c>
      <c r="V1062" s="651">
        <f t="shared" si="103"/>
        <v>0</v>
      </c>
    </row>
    <row r="1063" spans="4:22" x14ac:dyDescent="0.25">
      <c r="D1063" s="118">
        <f>+CUBICACION!D1062</f>
        <v>0</v>
      </c>
      <c r="E1063" s="118">
        <f>+CUBICACION!F1062</f>
        <v>0</v>
      </c>
      <c r="F1063" s="118">
        <f>+CUBICACION!E1062</f>
        <v>0</v>
      </c>
      <c r="G1063" s="118">
        <v>12</v>
      </c>
      <c r="H1063" s="118">
        <v>2</v>
      </c>
      <c r="I1063" s="820">
        <v>26385</v>
      </c>
      <c r="J1063" s="118">
        <f>+CUBICACION!J1062</f>
        <v>0</v>
      </c>
      <c r="K1063" s="118">
        <v>3842</v>
      </c>
      <c r="L1063" s="118">
        <f>+CUBICACION!L1062</f>
        <v>0</v>
      </c>
      <c r="M1063" s="64">
        <f>+CUBICACION!M1062</f>
        <v>0</v>
      </c>
      <c r="N1063" s="824" t="str">
        <f>+CUBICACION!N1062</f>
        <v/>
      </c>
      <c r="O1063" s="675">
        <f>+CUBICACION!O1062</f>
        <v>0</v>
      </c>
      <c r="P1063" s="15">
        <f>IF(O1063="Fire Control",VLOOKUP(_xlfn.MINIFS('FIRE CONTROL'!$C$4:$C$37,'FIRE CONTROL'!$C$4:$C$37,"&gt;="&amp;M1063),'FIRE CONTROL'!$C$4:$G$37,IF(L1063="F-15",2,IF(L1063="F-30",3,IF(L1063="F-60",4,IF(L1063="F-90",5,0)))),0),0)+IF(AND(O1063="FIRE TEX 5062",OR(E1063="IN",E1063="C",E1063="Z",E1063="L"),J1063=3),VLOOKUP(_xlfn.MINIFS('FIRE TEX 5062'!$B$4:$B$34,'FIRE TEX 5062'!$B$4:$B$34,"&gt;="&amp;M1063),'FIRE TEX 5062'!$B$4:$F$34,IF(L1063="F-15",2,IF(L1063="F-30",3,IF(L1063="F-60",4,IF(L1063="F-90",5,0)))),0),0)+IF(AND(O1063="FIRE TEX 5062",OR(E1063="IN",E1063="C",E1063="Z",E1063="L"),J1063=4),VLOOKUP(_xlfn.MINIFS('FIRE TEX 5062'!$G$4:$G$34,'FIRE TEX 5062'!$G$4:$G$34,"&gt;="&amp;M1063),'FIRE TEX 5062'!$G$4:$K$34,IF(L1063="F-15",2,IF(L1063="F-30",3,IF(L1063="F-60",4,IF(L1063="F-90",5,0)))),0),0)+IF(AND(O1063="FIRE TEX 5062",E1063="CJ",J1063=3),VLOOKUP(_xlfn.MINIFS('FIRE TEX 5062'!$L$4:$L$34,'FIRE TEX 5062'!$L$4:$L$34,"&gt;="&amp;M1063),'FIRE TEX 5062'!$L$4:$P$34,IF(L1063="F-15",2,IF(L1063="F-30",3,IF(L1063="F-60",4,IF(L1063="F-90",5,0)))),0),0)+IF(AND(O1063="FIRE TEX 5062",E1063="CJ",J1063=4),VLOOKUP(_xlfn.MINIFS('FIRE TEX 5062'!$Q$3:$Q$34,'FIRE TEX 5062'!$Q$3:$Q$34,"&gt;="&amp;M1063),'FIRE TEX 5062'!$Q$3:$U$34,IF(L1063="F-15",2,IF(L1063="F-30",3,IF(L1063="F-60",4,IF(L1063="F-90",5,0)))),0),0)+IF(AND(O1063="FIRE TEX 5090",OR(E1063="IN",E1063="C",E1063="Z",E1063="L"),J1063=3),VLOOKUP(_xlfn.MINIFS('FIRE TEX 5090'!$B$5:$B$43,'FIRE TEX 5090'!$B$5:$B$43,"&gt;="&amp;M1063),'FIRE TEX 5090'!$B$5:$H$43,IF(L1063="F-15",2,IF(L1063="F-30",3,IF(L1063="F-60",4,IF(L1063="F-90",5,IF(L1063="F-120",6,IF(L1063="F-150",7,0)))))),0),0)+IF(AND(O1063="FIRE TEX 5090",OR(E1063="IN",E1063="C",E1063="Z",E1063="L"),J1063=4),VLOOKUP(_xlfn.MINIFS('FIRE TEX 5090'!$J$5:$J$43,'FIRE TEX 5090'!$J$5:$J$43,"&gt;="&amp;M1063),'FIRE TEX 5090'!$J$5:$P$43,IF(L1063="F-15",2,IF(L1063="F-30",3,IF(L1063="F-60",4,IF(L1063="F-90",5,IF(L1063="F-120",6,IF(L1063="F-150",7,0)))))),0),0)+IF(AND(O1063="FIRE TEX 5090",E1063="CJ",J1063=3),VLOOKUP(_xlfn.MINIFS('FIRE TEX 5090'!$R$5:$R$30,'FIRE TEX 5090'!$R$5:$R$30,"&gt;="&amp;M1063),'FIRE TEX 5090'!$R$5:$W$30,IF(L1063="F-15",2,IF(L1063="F-30",3,IF(L1063="F-60",4,IF(L1063="F-90",5,IF(L1063="F-120",6,IF(L1063="F-150",7,0)))))),0),0)+IF(AND(O1063="FIRE TEX 5090",E1063="CJ",J1063=4),VLOOKUP(_xlfn.MINIFS('FIRE TEX 5090'!$Y$5:$Y$39,'FIRE TEX 5090'!$Y$5:$Y$39,"&gt;="&amp;M1063),'FIRE TEX 5090'!$Y$5:$AD$39,IF(L1063="F-15",2,IF(L1063="F-30",3,IF(L1063="F-60",4,IF(L1063="F-90",5,IF(L1063="F-120",6,IF(L1063="F-150",7,0)))))),0),0)+IF(AND(O1063="FIRE TEX 5120",OR(E1063="IN",E1063="C",E1063="Z",E1063="L"),J1063=3),VLOOKUP(_xlfn.MINIFS('FIRE TEX 5120'!$B$5:$B$40,'FIRE TEX 5120'!$B$5:$B$40,"&gt;="&amp;M1063),'FIRE TEX 5120'!$B$5:$G$40,IF(L1063="F-15",2,IF(L1063="F-30",3,IF(L1063="F-60",4,IF(L1063="F-90",5,IF(L1063="F-120",6,0))))),0),0)+IF(AND(O1063="FIRE TEX 5120",OR(E1063="IN",E1063="C",E1063="Z",E1063="L"),J1063=4),VLOOKUP(_xlfn.MINIFS('FIRE TEX 5120'!$H$4:$H$40,'FIRE TEX 5120'!$H$4:$H$40,"&gt;="&amp;M1063),'FIRE TEX 5120'!$H$4:$M$40,IF(L1063="F-15",2,IF(L1063="F-30",3,IF(L1063="F-60",4,IF(L1063="F-90",5,IF(L1063="F-120",6,0))))),0),0)+IF(AND(O1063="FIRE TEX 5120",E1063="CJ"),VLOOKUP(_xlfn.MINIFS('FIRE TEX 5120'!$O$5:$O$40,'FIRE TEX 5120'!$O$5:$O$40,"&gt;="&amp;M1063),'FIRE TEX 5120'!$O$5:$T$40,IF(L1063="F-15",2,IF(L1063="F-30",3,IF(L1063="F-60",4,IF(L1063="F-90",5,IF(L1063="F-120",6,0))))),0),0)</f>
        <v>0</v>
      </c>
      <c r="Q1063" s="46">
        <f t="shared" si="99"/>
        <v>0</v>
      </c>
      <c r="R1063" s="46">
        <f t="shared" si="100"/>
        <v>0</v>
      </c>
      <c r="S1063" s="46" t="e">
        <f t="shared" si="101"/>
        <v>#VALUE!</v>
      </c>
      <c r="T1063" s="677">
        <f t="shared" si="102"/>
        <v>0</v>
      </c>
      <c r="U1063" s="80">
        <f>(IF(O1063="Stofire",(S1063*#REF!),0))+(IF(O1063="Fire Control",(S1063*$U$2),0))+(IF(O1063="Fire Tex",(S1063*$U$3),0))+(IF(O1063="WB7",(S1063*#REF!),0)+(IF(O1063="FX 2003",(S1063*$U$5),0)))</f>
        <v>0</v>
      </c>
      <c r="V1063" s="651">
        <f t="shared" si="103"/>
        <v>0</v>
      </c>
    </row>
    <row r="1064" spans="4:22" x14ac:dyDescent="0.25">
      <c r="D1064" s="118">
        <f>+CUBICACION!D1063</f>
        <v>0</v>
      </c>
      <c r="E1064" s="118">
        <f>+CUBICACION!F1063</f>
        <v>0</v>
      </c>
      <c r="F1064" s="118">
        <f>+CUBICACION!E1063</f>
        <v>0</v>
      </c>
      <c r="G1064" s="118">
        <v>12</v>
      </c>
      <c r="H1064" s="118">
        <v>2</v>
      </c>
      <c r="I1064" s="820">
        <v>26385</v>
      </c>
      <c r="J1064" s="118">
        <f>+CUBICACION!J1063</f>
        <v>0</v>
      </c>
      <c r="K1064" s="118">
        <v>3843</v>
      </c>
      <c r="L1064" s="118">
        <f>+CUBICACION!L1063</f>
        <v>0</v>
      </c>
      <c r="M1064" s="64">
        <f>+CUBICACION!M1063</f>
        <v>0</v>
      </c>
      <c r="N1064" s="824" t="str">
        <f>+CUBICACION!N1063</f>
        <v/>
      </c>
      <c r="O1064" s="675">
        <f>+CUBICACION!O1063</f>
        <v>0</v>
      </c>
      <c r="P1064" s="15">
        <f>IF(O1064="Fire Control",VLOOKUP(_xlfn.MINIFS('FIRE CONTROL'!$C$4:$C$37,'FIRE CONTROL'!$C$4:$C$37,"&gt;="&amp;M1064),'FIRE CONTROL'!$C$4:$G$37,IF(L1064="F-15",2,IF(L1064="F-30",3,IF(L1064="F-60",4,IF(L1064="F-90",5,0)))),0),0)+IF(AND(O1064="FIRE TEX 5062",OR(E1064="IN",E1064="C",E1064="Z",E1064="L"),J1064=3),VLOOKUP(_xlfn.MINIFS('FIRE TEX 5062'!$B$4:$B$34,'FIRE TEX 5062'!$B$4:$B$34,"&gt;="&amp;M1064),'FIRE TEX 5062'!$B$4:$F$34,IF(L1064="F-15",2,IF(L1064="F-30",3,IF(L1064="F-60",4,IF(L1064="F-90",5,0)))),0),0)+IF(AND(O1064="FIRE TEX 5062",OR(E1064="IN",E1064="C",E1064="Z",E1064="L"),J1064=4),VLOOKUP(_xlfn.MINIFS('FIRE TEX 5062'!$G$4:$G$34,'FIRE TEX 5062'!$G$4:$G$34,"&gt;="&amp;M1064),'FIRE TEX 5062'!$G$4:$K$34,IF(L1064="F-15",2,IF(L1064="F-30",3,IF(L1064="F-60",4,IF(L1064="F-90",5,0)))),0),0)+IF(AND(O1064="FIRE TEX 5062",E1064="CJ",J1064=3),VLOOKUP(_xlfn.MINIFS('FIRE TEX 5062'!$L$4:$L$34,'FIRE TEX 5062'!$L$4:$L$34,"&gt;="&amp;M1064),'FIRE TEX 5062'!$L$4:$P$34,IF(L1064="F-15",2,IF(L1064="F-30",3,IF(L1064="F-60",4,IF(L1064="F-90",5,0)))),0),0)+IF(AND(O1064="FIRE TEX 5062",E1064="CJ",J1064=4),VLOOKUP(_xlfn.MINIFS('FIRE TEX 5062'!$Q$3:$Q$34,'FIRE TEX 5062'!$Q$3:$Q$34,"&gt;="&amp;M1064),'FIRE TEX 5062'!$Q$3:$U$34,IF(L1064="F-15",2,IF(L1064="F-30",3,IF(L1064="F-60",4,IF(L1064="F-90",5,0)))),0),0)+IF(AND(O1064="FIRE TEX 5090",OR(E1064="IN",E1064="C",E1064="Z",E1064="L"),J1064=3),VLOOKUP(_xlfn.MINIFS('FIRE TEX 5090'!$B$5:$B$43,'FIRE TEX 5090'!$B$5:$B$43,"&gt;="&amp;M1064),'FIRE TEX 5090'!$B$5:$H$43,IF(L1064="F-15",2,IF(L1064="F-30",3,IF(L1064="F-60",4,IF(L1064="F-90",5,IF(L1064="F-120",6,IF(L1064="F-150",7,0)))))),0),0)+IF(AND(O1064="FIRE TEX 5090",OR(E1064="IN",E1064="C",E1064="Z",E1064="L"),J1064=4),VLOOKUP(_xlfn.MINIFS('FIRE TEX 5090'!$J$5:$J$43,'FIRE TEX 5090'!$J$5:$J$43,"&gt;="&amp;M1064),'FIRE TEX 5090'!$J$5:$P$43,IF(L1064="F-15",2,IF(L1064="F-30",3,IF(L1064="F-60",4,IF(L1064="F-90",5,IF(L1064="F-120",6,IF(L1064="F-150",7,0)))))),0),0)+IF(AND(O1064="FIRE TEX 5090",E1064="CJ",J1064=3),VLOOKUP(_xlfn.MINIFS('FIRE TEX 5090'!$R$5:$R$30,'FIRE TEX 5090'!$R$5:$R$30,"&gt;="&amp;M1064),'FIRE TEX 5090'!$R$5:$W$30,IF(L1064="F-15",2,IF(L1064="F-30",3,IF(L1064="F-60",4,IF(L1064="F-90",5,IF(L1064="F-120",6,IF(L1064="F-150",7,0)))))),0),0)+IF(AND(O1064="FIRE TEX 5090",E1064="CJ",J1064=4),VLOOKUP(_xlfn.MINIFS('FIRE TEX 5090'!$Y$5:$Y$39,'FIRE TEX 5090'!$Y$5:$Y$39,"&gt;="&amp;M1064),'FIRE TEX 5090'!$Y$5:$AD$39,IF(L1064="F-15",2,IF(L1064="F-30",3,IF(L1064="F-60",4,IF(L1064="F-90",5,IF(L1064="F-120",6,IF(L1064="F-150",7,0)))))),0),0)+IF(AND(O1064="FIRE TEX 5120",OR(E1064="IN",E1064="C",E1064="Z",E1064="L"),J1064=3),VLOOKUP(_xlfn.MINIFS('FIRE TEX 5120'!$B$5:$B$40,'FIRE TEX 5120'!$B$5:$B$40,"&gt;="&amp;M1064),'FIRE TEX 5120'!$B$5:$G$40,IF(L1064="F-15",2,IF(L1064="F-30",3,IF(L1064="F-60",4,IF(L1064="F-90",5,IF(L1064="F-120",6,0))))),0),0)+IF(AND(O1064="FIRE TEX 5120",OR(E1064="IN",E1064="C",E1064="Z",E1064="L"),J1064=4),VLOOKUP(_xlfn.MINIFS('FIRE TEX 5120'!$H$4:$H$40,'FIRE TEX 5120'!$H$4:$H$40,"&gt;="&amp;M1064),'FIRE TEX 5120'!$H$4:$M$40,IF(L1064="F-15",2,IF(L1064="F-30",3,IF(L1064="F-60",4,IF(L1064="F-90",5,IF(L1064="F-120",6,0))))),0),0)+IF(AND(O1064="FIRE TEX 5120",E1064="CJ"),VLOOKUP(_xlfn.MINIFS('FIRE TEX 5120'!$O$5:$O$40,'FIRE TEX 5120'!$O$5:$O$40,"&gt;="&amp;M1064),'FIRE TEX 5120'!$O$5:$T$40,IF(L1064="F-15",2,IF(L1064="F-30",3,IF(L1064="F-60",4,IF(L1064="F-90",5,IF(L1064="F-120",6,0))))),0),0)</f>
        <v>0</v>
      </c>
      <c r="Q1064" s="46">
        <f t="shared" si="99"/>
        <v>0</v>
      </c>
      <c r="R1064" s="46">
        <f t="shared" si="100"/>
        <v>0</v>
      </c>
      <c r="S1064" s="46" t="e">
        <f t="shared" si="101"/>
        <v>#VALUE!</v>
      </c>
      <c r="T1064" s="677">
        <f t="shared" si="102"/>
        <v>0</v>
      </c>
      <c r="U1064" s="80">
        <f>(IF(O1064="Stofire",(S1064*#REF!),0))+(IF(O1064="Fire Control",(S1064*$U$2),0))+(IF(O1064="Fire Tex",(S1064*$U$3),0))+(IF(O1064="WB7",(S1064*#REF!),0)+(IF(O1064="FX 2003",(S1064*$U$5),0)))</f>
        <v>0</v>
      </c>
      <c r="V1064" s="651">
        <f t="shared" si="103"/>
        <v>0</v>
      </c>
    </row>
    <row r="1065" spans="4:22" x14ac:dyDescent="0.25">
      <c r="D1065" s="118">
        <f>+CUBICACION!D1064</f>
        <v>0</v>
      </c>
      <c r="E1065" s="118">
        <f>+CUBICACION!F1064</f>
        <v>0</v>
      </c>
      <c r="F1065" s="118">
        <f>+CUBICACION!E1064</f>
        <v>0</v>
      </c>
      <c r="G1065" s="118">
        <v>12</v>
      </c>
      <c r="H1065" s="118">
        <v>2</v>
      </c>
      <c r="I1065" s="820">
        <v>26385</v>
      </c>
      <c r="J1065" s="118">
        <f>+CUBICACION!J1064</f>
        <v>0</v>
      </c>
      <c r="K1065" s="118">
        <v>3844</v>
      </c>
      <c r="L1065" s="118">
        <f>+CUBICACION!L1064</f>
        <v>0</v>
      </c>
      <c r="M1065" s="64">
        <f>+CUBICACION!M1064</f>
        <v>0</v>
      </c>
      <c r="N1065" s="824" t="str">
        <f>+CUBICACION!N1064</f>
        <v/>
      </c>
      <c r="O1065" s="675">
        <f>+CUBICACION!O1064</f>
        <v>0</v>
      </c>
      <c r="P1065" s="15">
        <f>IF(O1065="Fire Control",VLOOKUP(_xlfn.MINIFS('FIRE CONTROL'!$C$4:$C$37,'FIRE CONTROL'!$C$4:$C$37,"&gt;="&amp;M1065),'FIRE CONTROL'!$C$4:$G$37,IF(L1065="F-15",2,IF(L1065="F-30",3,IF(L1065="F-60",4,IF(L1065="F-90",5,0)))),0),0)+IF(AND(O1065="FIRE TEX 5062",OR(E1065="IN",E1065="C",E1065="Z",E1065="L"),J1065=3),VLOOKUP(_xlfn.MINIFS('FIRE TEX 5062'!$B$4:$B$34,'FIRE TEX 5062'!$B$4:$B$34,"&gt;="&amp;M1065),'FIRE TEX 5062'!$B$4:$F$34,IF(L1065="F-15",2,IF(L1065="F-30",3,IF(L1065="F-60",4,IF(L1065="F-90",5,0)))),0),0)+IF(AND(O1065="FIRE TEX 5062",OR(E1065="IN",E1065="C",E1065="Z",E1065="L"),J1065=4),VLOOKUP(_xlfn.MINIFS('FIRE TEX 5062'!$G$4:$G$34,'FIRE TEX 5062'!$G$4:$G$34,"&gt;="&amp;M1065),'FIRE TEX 5062'!$G$4:$K$34,IF(L1065="F-15",2,IF(L1065="F-30",3,IF(L1065="F-60",4,IF(L1065="F-90",5,0)))),0),0)+IF(AND(O1065="FIRE TEX 5062",E1065="CJ",J1065=3),VLOOKUP(_xlfn.MINIFS('FIRE TEX 5062'!$L$4:$L$34,'FIRE TEX 5062'!$L$4:$L$34,"&gt;="&amp;M1065),'FIRE TEX 5062'!$L$4:$P$34,IF(L1065="F-15",2,IF(L1065="F-30",3,IF(L1065="F-60",4,IF(L1065="F-90",5,0)))),0),0)+IF(AND(O1065="FIRE TEX 5062",E1065="CJ",J1065=4),VLOOKUP(_xlfn.MINIFS('FIRE TEX 5062'!$Q$3:$Q$34,'FIRE TEX 5062'!$Q$3:$Q$34,"&gt;="&amp;M1065),'FIRE TEX 5062'!$Q$3:$U$34,IF(L1065="F-15",2,IF(L1065="F-30",3,IF(L1065="F-60",4,IF(L1065="F-90",5,0)))),0),0)+IF(AND(O1065="FIRE TEX 5090",OR(E1065="IN",E1065="C",E1065="Z",E1065="L"),J1065=3),VLOOKUP(_xlfn.MINIFS('FIRE TEX 5090'!$B$5:$B$43,'FIRE TEX 5090'!$B$5:$B$43,"&gt;="&amp;M1065),'FIRE TEX 5090'!$B$5:$H$43,IF(L1065="F-15",2,IF(L1065="F-30",3,IF(L1065="F-60",4,IF(L1065="F-90",5,IF(L1065="F-120",6,IF(L1065="F-150",7,0)))))),0),0)+IF(AND(O1065="FIRE TEX 5090",OR(E1065="IN",E1065="C",E1065="Z",E1065="L"),J1065=4),VLOOKUP(_xlfn.MINIFS('FIRE TEX 5090'!$J$5:$J$43,'FIRE TEX 5090'!$J$5:$J$43,"&gt;="&amp;M1065),'FIRE TEX 5090'!$J$5:$P$43,IF(L1065="F-15",2,IF(L1065="F-30",3,IF(L1065="F-60",4,IF(L1065="F-90",5,IF(L1065="F-120",6,IF(L1065="F-150",7,0)))))),0),0)+IF(AND(O1065="FIRE TEX 5090",E1065="CJ",J1065=3),VLOOKUP(_xlfn.MINIFS('FIRE TEX 5090'!$R$5:$R$30,'FIRE TEX 5090'!$R$5:$R$30,"&gt;="&amp;M1065),'FIRE TEX 5090'!$R$5:$W$30,IF(L1065="F-15",2,IF(L1065="F-30",3,IF(L1065="F-60",4,IF(L1065="F-90",5,IF(L1065="F-120",6,IF(L1065="F-150",7,0)))))),0),0)+IF(AND(O1065="FIRE TEX 5090",E1065="CJ",J1065=4),VLOOKUP(_xlfn.MINIFS('FIRE TEX 5090'!$Y$5:$Y$39,'FIRE TEX 5090'!$Y$5:$Y$39,"&gt;="&amp;M1065),'FIRE TEX 5090'!$Y$5:$AD$39,IF(L1065="F-15",2,IF(L1065="F-30",3,IF(L1065="F-60",4,IF(L1065="F-90",5,IF(L1065="F-120",6,IF(L1065="F-150",7,0)))))),0),0)+IF(AND(O1065="FIRE TEX 5120",OR(E1065="IN",E1065="C",E1065="Z",E1065="L"),J1065=3),VLOOKUP(_xlfn.MINIFS('FIRE TEX 5120'!$B$5:$B$40,'FIRE TEX 5120'!$B$5:$B$40,"&gt;="&amp;M1065),'FIRE TEX 5120'!$B$5:$G$40,IF(L1065="F-15",2,IF(L1065="F-30",3,IF(L1065="F-60",4,IF(L1065="F-90",5,IF(L1065="F-120",6,0))))),0),0)+IF(AND(O1065="FIRE TEX 5120",OR(E1065="IN",E1065="C",E1065="Z",E1065="L"),J1065=4),VLOOKUP(_xlfn.MINIFS('FIRE TEX 5120'!$H$4:$H$40,'FIRE TEX 5120'!$H$4:$H$40,"&gt;="&amp;M1065),'FIRE TEX 5120'!$H$4:$M$40,IF(L1065="F-15",2,IF(L1065="F-30",3,IF(L1065="F-60",4,IF(L1065="F-90",5,IF(L1065="F-120",6,0))))),0),0)+IF(AND(O1065="FIRE TEX 5120",E1065="CJ"),VLOOKUP(_xlfn.MINIFS('FIRE TEX 5120'!$O$5:$O$40,'FIRE TEX 5120'!$O$5:$O$40,"&gt;="&amp;M1065),'FIRE TEX 5120'!$O$5:$T$40,IF(L1065="F-15",2,IF(L1065="F-30",3,IF(L1065="F-60",4,IF(L1065="F-90",5,IF(L1065="F-120",6,0))))),0),0)</f>
        <v>0</v>
      </c>
      <c r="Q1065" s="46">
        <f t="shared" si="99"/>
        <v>0</v>
      </c>
      <c r="R1065" s="46">
        <f t="shared" si="100"/>
        <v>0</v>
      </c>
      <c r="S1065" s="46" t="e">
        <f t="shared" si="101"/>
        <v>#VALUE!</v>
      </c>
      <c r="T1065" s="677">
        <f t="shared" si="102"/>
        <v>0</v>
      </c>
      <c r="U1065" s="80">
        <f>(IF(O1065="Stofire",(S1065*#REF!),0))+(IF(O1065="Fire Control",(S1065*$U$2),0))+(IF(O1065="Fire Tex",(S1065*$U$3),0))+(IF(O1065="WB7",(S1065*#REF!),0)+(IF(O1065="FX 2003",(S1065*$U$5),0)))</f>
        <v>0</v>
      </c>
      <c r="V1065" s="651">
        <f t="shared" si="103"/>
        <v>0</v>
      </c>
    </row>
    <row r="1066" spans="4:22" x14ac:dyDescent="0.25">
      <c r="D1066" s="118">
        <f>+CUBICACION!D1065</f>
        <v>0</v>
      </c>
      <c r="E1066" s="118">
        <f>+CUBICACION!F1065</f>
        <v>0</v>
      </c>
      <c r="F1066" s="118">
        <f>+CUBICACION!E1065</f>
        <v>0</v>
      </c>
      <c r="G1066" s="118">
        <v>12</v>
      </c>
      <c r="H1066" s="118">
        <v>2</v>
      </c>
      <c r="I1066" s="820">
        <v>26385</v>
      </c>
      <c r="J1066" s="118">
        <f>+CUBICACION!J1065</f>
        <v>0</v>
      </c>
      <c r="K1066" s="118">
        <v>3845</v>
      </c>
      <c r="L1066" s="118">
        <f>+CUBICACION!L1065</f>
        <v>0</v>
      </c>
      <c r="M1066" s="64">
        <f>+CUBICACION!M1065</f>
        <v>0</v>
      </c>
      <c r="N1066" s="824" t="str">
        <f>+CUBICACION!N1065</f>
        <v/>
      </c>
      <c r="O1066" s="675">
        <f>+CUBICACION!O1065</f>
        <v>0</v>
      </c>
      <c r="P1066" s="15">
        <f>IF(O1066="Fire Control",VLOOKUP(_xlfn.MINIFS('FIRE CONTROL'!$C$4:$C$37,'FIRE CONTROL'!$C$4:$C$37,"&gt;="&amp;M1066),'FIRE CONTROL'!$C$4:$G$37,IF(L1066="F-15",2,IF(L1066="F-30",3,IF(L1066="F-60",4,IF(L1066="F-90",5,0)))),0),0)+IF(AND(O1066="FIRE TEX 5062",OR(E1066="IN",E1066="C",E1066="Z",E1066="L"),J1066=3),VLOOKUP(_xlfn.MINIFS('FIRE TEX 5062'!$B$4:$B$34,'FIRE TEX 5062'!$B$4:$B$34,"&gt;="&amp;M1066),'FIRE TEX 5062'!$B$4:$F$34,IF(L1066="F-15",2,IF(L1066="F-30",3,IF(L1066="F-60",4,IF(L1066="F-90",5,0)))),0),0)+IF(AND(O1066="FIRE TEX 5062",OR(E1066="IN",E1066="C",E1066="Z",E1066="L"),J1066=4),VLOOKUP(_xlfn.MINIFS('FIRE TEX 5062'!$G$4:$G$34,'FIRE TEX 5062'!$G$4:$G$34,"&gt;="&amp;M1066),'FIRE TEX 5062'!$G$4:$K$34,IF(L1066="F-15",2,IF(L1066="F-30",3,IF(L1066="F-60",4,IF(L1066="F-90",5,0)))),0),0)+IF(AND(O1066="FIRE TEX 5062",E1066="CJ",J1066=3),VLOOKUP(_xlfn.MINIFS('FIRE TEX 5062'!$L$4:$L$34,'FIRE TEX 5062'!$L$4:$L$34,"&gt;="&amp;M1066),'FIRE TEX 5062'!$L$4:$P$34,IF(L1066="F-15",2,IF(L1066="F-30",3,IF(L1066="F-60",4,IF(L1066="F-90",5,0)))),0),0)+IF(AND(O1066="FIRE TEX 5062",E1066="CJ",J1066=4),VLOOKUP(_xlfn.MINIFS('FIRE TEX 5062'!$Q$3:$Q$34,'FIRE TEX 5062'!$Q$3:$Q$34,"&gt;="&amp;M1066),'FIRE TEX 5062'!$Q$3:$U$34,IF(L1066="F-15",2,IF(L1066="F-30",3,IF(L1066="F-60",4,IF(L1066="F-90",5,0)))),0),0)+IF(AND(O1066="FIRE TEX 5090",OR(E1066="IN",E1066="C",E1066="Z",E1066="L"),J1066=3),VLOOKUP(_xlfn.MINIFS('FIRE TEX 5090'!$B$5:$B$43,'FIRE TEX 5090'!$B$5:$B$43,"&gt;="&amp;M1066),'FIRE TEX 5090'!$B$5:$H$43,IF(L1066="F-15",2,IF(L1066="F-30",3,IF(L1066="F-60",4,IF(L1066="F-90",5,IF(L1066="F-120",6,IF(L1066="F-150",7,0)))))),0),0)+IF(AND(O1066="FIRE TEX 5090",OR(E1066="IN",E1066="C",E1066="Z",E1066="L"),J1066=4),VLOOKUP(_xlfn.MINIFS('FIRE TEX 5090'!$J$5:$J$43,'FIRE TEX 5090'!$J$5:$J$43,"&gt;="&amp;M1066),'FIRE TEX 5090'!$J$5:$P$43,IF(L1066="F-15",2,IF(L1066="F-30",3,IF(L1066="F-60",4,IF(L1066="F-90",5,IF(L1066="F-120",6,IF(L1066="F-150",7,0)))))),0),0)+IF(AND(O1066="FIRE TEX 5090",E1066="CJ",J1066=3),VLOOKUP(_xlfn.MINIFS('FIRE TEX 5090'!$R$5:$R$30,'FIRE TEX 5090'!$R$5:$R$30,"&gt;="&amp;M1066),'FIRE TEX 5090'!$R$5:$W$30,IF(L1066="F-15",2,IF(L1066="F-30",3,IF(L1066="F-60",4,IF(L1066="F-90",5,IF(L1066="F-120",6,IF(L1066="F-150",7,0)))))),0),0)+IF(AND(O1066="FIRE TEX 5090",E1066="CJ",J1066=4),VLOOKUP(_xlfn.MINIFS('FIRE TEX 5090'!$Y$5:$Y$39,'FIRE TEX 5090'!$Y$5:$Y$39,"&gt;="&amp;M1066),'FIRE TEX 5090'!$Y$5:$AD$39,IF(L1066="F-15",2,IF(L1066="F-30",3,IF(L1066="F-60",4,IF(L1066="F-90",5,IF(L1066="F-120",6,IF(L1066="F-150",7,0)))))),0),0)+IF(AND(O1066="FIRE TEX 5120",OR(E1066="IN",E1066="C",E1066="Z",E1066="L"),J1066=3),VLOOKUP(_xlfn.MINIFS('FIRE TEX 5120'!$B$5:$B$40,'FIRE TEX 5120'!$B$5:$B$40,"&gt;="&amp;M1066),'FIRE TEX 5120'!$B$5:$G$40,IF(L1066="F-15",2,IF(L1066="F-30",3,IF(L1066="F-60",4,IF(L1066="F-90",5,IF(L1066="F-120",6,0))))),0),0)+IF(AND(O1066="FIRE TEX 5120",OR(E1066="IN",E1066="C",E1066="Z",E1066="L"),J1066=4),VLOOKUP(_xlfn.MINIFS('FIRE TEX 5120'!$H$4:$H$40,'FIRE TEX 5120'!$H$4:$H$40,"&gt;="&amp;M1066),'FIRE TEX 5120'!$H$4:$M$40,IF(L1066="F-15",2,IF(L1066="F-30",3,IF(L1066="F-60",4,IF(L1066="F-90",5,IF(L1066="F-120",6,0))))),0),0)+IF(AND(O1066="FIRE TEX 5120",E1066="CJ"),VLOOKUP(_xlfn.MINIFS('FIRE TEX 5120'!$O$5:$O$40,'FIRE TEX 5120'!$O$5:$O$40,"&gt;="&amp;M1066),'FIRE TEX 5120'!$O$5:$T$40,IF(L1066="F-15",2,IF(L1066="F-30",3,IF(L1066="F-60",4,IF(L1066="F-90",5,IF(L1066="F-120",6,0))))),0),0)</f>
        <v>0</v>
      </c>
      <c r="Q1066" s="46">
        <f t="shared" si="99"/>
        <v>0</v>
      </c>
      <c r="R1066" s="46">
        <f t="shared" si="100"/>
        <v>0</v>
      </c>
      <c r="S1066" s="46" t="e">
        <f t="shared" si="101"/>
        <v>#VALUE!</v>
      </c>
      <c r="T1066" s="677">
        <f t="shared" si="102"/>
        <v>0</v>
      </c>
      <c r="U1066" s="80">
        <f>(IF(O1066="Stofire",(S1066*#REF!),0))+(IF(O1066="Fire Control",(S1066*$U$2),0))+(IF(O1066="Fire Tex",(S1066*$U$3),0))+(IF(O1066="WB7",(S1066*#REF!),0)+(IF(O1066="FX 2003",(S1066*$U$5),0)))</f>
        <v>0</v>
      </c>
      <c r="V1066" s="651">
        <f t="shared" si="103"/>
        <v>0</v>
      </c>
    </row>
    <row r="1067" spans="4:22" x14ac:dyDescent="0.25">
      <c r="D1067" s="118">
        <f>+CUBICACION!D1066</f>
        <v>0</v>
      </c>
      <c r="E1067" s="118">
        <f>+CUBICACION!F1066</f>
        <v>0</v>
      </c>
      <c r="F1067" s="118">
        <f>+CUBICACION!E1066</f>
        <v>0</v>
      </c>
      <c r="G1067" s="118">
        <v>12</v>
      </c>
      <c r="H1067" s="118">
        <v>2</v>
      </c>
      <c r="I1067" s="820">
        <v>26385</v>
      </c>
      <c r="J1067" s="118">
        <f>+CUBICACION!J1066</f>
        <v>0</v>
      </c>
      <c r="K1067" s="118">
        <v>3846</v>
      </c>
      <c r="L1067" s="118">
        <f>+CUBICACION!L1066</f>
        <v>0</v>
      </c>
      <c r="M1067" s="64">
        <f>+CUBICACION!M1066</f>
        <v>0</v>
      </c>
      <c r="N1067" s="824" t="str">
        <f>+CUBICACION!N1066</f>
        <v/>
      </c>
      <c r="O1067" s="675">
        <f>+CUBICACION!O1066</f>
        <v>0</v>
      </c>
      <c r="P1067" s="15">
        <f>IF(O1067="Fire Control",VLOOKUP(_xlfn.MINIFS('FIRE CONTROL'!$C$4:$C$37,'FIRE CONTROL'!$C$4:$C$37,"&gt;="&amp;M1067),'FIRE CONTROL'!$C$4:$G$37,IF(L1067="F-15",2,IF(L1067="F-30",3,IF(L1067="F-60",4,IF(L1067="F-90",5,0)))),0),0)+IF(AND(O1067="FIRE TEX 5062",OR(E1067="IN",E1067="C",E1067="Z",E1067="L"),J1067=3),VLOOKUP(_xlfn.MINIFS('FIRE TEX 5062'!$B$4:$B$34,'FIRE TEX 5062'!$B$4:$B$34,"&gt;="&amp;M1067),'FIRE TEX 5062'!$B$4:$F$34,IF(L1067="F-15",2,IF(L1067="F-30",3,IF(L1067="F-60",4,IF(L1067="F-90",5,0)))),0),0)+IF(AND(O1067="FIRE TEX 5062",OR(E1067="IN",E1067="C",E1067="Z",E1067="L"),J1067=4),VLOOKUP(_xlfn.MINIFS('FIRE TEX 5062'!$G$4:$G$34,'FIRE TEX 5062'!$G$4:$G$34,"&gt;="&amp;M1067),'FIRE TEX 5062'!$G$4:$K$34,IF(L1067="F-15",2,IF(L1067="F-30",3,IF(L1067="F-60",4,IF(L1067="F-90",5,0)))),0),0)+IF(AND(O1067="FIRE TEX 5062",E1067="CJ",J1067=3),VLOOKUP(_xlfn.MINIFS('FIRE TEX 5062'!$L$4:$L$34,'FIRE TEX 5062'!$L$4:$L$34,"&gt;="&amp;M1067),'FIRE TEX 5062'!$L$4:$P$34,IF(L1067="F-15",2,IF(L1067="F-30",3,IF(L1067="F-60",4,IF(L1067="F-90",5,0)))),0),0)+IF(AND(O1067="FIRE TEX 5062",E1067="CJ",J1067=4),VLOOKUP(_xlfn.MINIFS('FIRE TEX 5062'!$Q$3:$Q$34,'FIRE TEX 5062'!$Q$3:$Q$34,"&gt;="&amp;M1067),'FIRE TEX 5062'!$Q$3:$U$34,IF(L1067="F-15",2,IF(L1067="F-30",3,IF(L1067="F-60",4,IF(L1067="F-90",5,0)))),0),0)+IF(AND(O1067="FIRE TEX 5090",OR(E1067="IN",E1067="C",E1067="Z",E1067="L"),J1067=3),VLOOKUP(_xlfn.MINIFS('FIRE TEX 5090'!$B$5:$B$43,'FIRE TEX 5090'!$B$5:$B$43,"&gt;="&amp;M1067),'FIRE TEX 5090'!$B$5:$H$43,IF(L1067="F-15",2,IF(L1067="F-30",3,IF(L1067="F-60",4,IF(L1067="F-90",5,IF(L1067="F-120",6,IF(L1067="F-150",7,0)))))),0),0)+IF(AND(O1067="FIRE TEX 5090",OR(E1067="IN",E1067="C",E1067="Z",E1067="L"),J1067=4),VLOOKUP(_xlfn.MINIFS('FIRE TEX 5090'!$J$5:$J$43,'FIRE TEX 5090'!$J$5:$J$43,"&gt;="&amp;M1067),'FIRE TEX 5090'!$J$5:$P$43,IF(L1067="F-15",2,IF(L1067="F-30",3,IF(L1067="F-60",4,IF(L1067="F-90",5,IF(L1067="F-120",6,IF(L1067="F-150",7,0)))))),0),0)+IF(AND(O1067="FIRE TEX 5090",E1067="CJ",J1067=3),VLOOKUP(_xlfn.MINIFS('FIRE TEX 5090'!$R$5:$R$30,'FIRE TEX 5090'!$R$5:$R$30,"&gt;="&amp;M1067),'FIRE TEX 5090'!$R$5:$W$30,IF(L1067="F-15",2,IF(L1067="F-30",3,IF(L1067="F-60",4,IF(L1067="F-90",5,IF(L1067="F-120",6,IF(L1067="F-150",7,0)))))),0),0)+IF(AND(O1067="FIRE TEX 5090",E1067="CJ",J1067=4),VLOOKUP(_xlfn.MINIFS('FIRE TEX 5090'!$Y$5:$Y$39,'FIRE TEX 5090'!$Y$5:$Y$39,"&gt;="&amp;M1067),'FIRE TEX 5090'!$Y$5:$AD$39,IF(L1067="F-15",2,IF(L1067="F-30",3,IF(L1067="F-60",4,IF(L1067="F-90",5,IF(L1067="F-120",6,IF(L1067="F-150",7,0)))))),0),0)+IF(AND(O1067="FIRE TEX 5120",OR(E1067="IN",E1067="C",E1067="Z",E1067="L"),J1067=3),VLOOKUP(_xlfn.MINIFS('FIRE TEX 5120'!$B$5:$B$40,'FIRE TEX 5120'!$B$5:$B$40,"&gt;="&amp;M1067),'FIRE TEX 5120'!$B$5:$G$40,IF(L1067="F-15",2,IF(L1067="F-30",3,IF(L1067="F-60",4,IF(L1067="F-90",5,IF(L1067="F-120",6,0))))),0),0)+IF(AND(O1067="FIRE TEX 5120",OR(E1067="IN",E1067="C",E1067="Z",E1067="L"),J1067=4),VLOOKUP(_xlfn.MINIFS('FIRE TEX 5120'!$H$4:$H$40,'FIRE TEX 5120'!$H$4:$H$40,"&gt;="&amp;M1067),'FIRE TEX 5120'!$H$4:$M$40,IF(L1067="F-15",2,IF(L1067="F-30",3,IF(L1067="F-60",4,IF(L1067="F-90",5,IF(L1067="F-120",6,0))))),0),0)+IF(AND(O1067="FIRE TEX 5120",E1067="CJ"),VLOOKUP(_xlfn.MINIFS('FIRE TEX 5120'!$O$5:$O$40,'FIRE TEX 5120'!$O$5:$O$40,"&gt;="&amp;M1067),'FIRE TEX 5120'!$O$5:$T$40,IF(L1067="F-15",2,IF(L1067="F-30",3,IF(L1067="F-60",4,IF(L1067="F-90",5,IF(L1067="F-120",6,0))))),0),0)</f>
        <v>0</v>
      </c>
      <c r="Q1067" s="46">
        <f t="shared" si="99"/>
        <v>0</v>
      </c>
      <c r="R1067" s="46">
        <f t="shared" si="100"/>
        <v>0</v>
      </c>
      <c r="S1067" s="46" t="e">
        <f t="shared" si="101"/>
        <v>#VALUE!</v>
      </c>
      <c r="T1067" s="677">
        <f t="shared" si="102"/>
        <v>0</v>
      </c>
      <c r="U1067" s="80">
        <f>(IF(O1067="Stofire",(S1067*#REF!),0))+(IF(O1067="Fire Control",(S1067*$U$2),0))+(IF(O1067="Fire Tex",(S1067*$U$3),0))+(IF(O1067="WB7",(S1067*#REF!),0)+(IF(O1067="FX 2003",(S1067*$U$5),0)))</f>
        <v>0</v>
      </c>
      <c r="V1067" s="651">
        <f t="shared" si="103"/>
        <v>0</v>
      </c>
    </row>
    <row r="1068" spans="4:22" x14ac:dyDescent="0.25">
      <c r="D1068" s="118">
        <f>+CUBICACION!D1067</f>
        <v>0</v>
      </c>
      <c r="E1068" s="118">
        <f>+CUBICACION!F1067</f>
        <v>0</v>
      </c>
      <c r="F1068" s="118">
        <f>+CUBICACION!E1067</f>
        <v>0</v>
      </c>
      <c r="G1068" s="118">
        <v>12</v>
      </c>
      <c r="H1068" s="118">
        <v>2</v>
      </c>
      <c r="I1068" s="820">
        <v>26385</v>
      </c>
      <c r="J1068" s="118">
        <f>+CUBICACION!J1067</f>
        <v>0</v>
      </c>
      <c r="K1068" s="118">
        <v>3847</v>
      </c>
      <c r="L1068" s="118">
        <f>+CUBICACION!L1067</f>
        <v>0</v>
      </c>
      <c r="M1068" s="64">
        <f>+CUBICACION!M1067</f>
        <v>0</v>
      </c>
      <c r="N1068" s="824" t="str">
        <f>+CUBICACION!N1067</f>
        <v/>
      </c>
      <c r="O1068" s="675">
        <f>+CUBICACION!O1067</f>
        <v>0</v>
      </c>
      <c r="P1068" s="15">
        <f>IF(O1068="Fire Control",VLOOKUP(_xlfn.MINIFS('FIRE CONTROL'!$C$4:$C$37,'FIRE CONTROL'!$C$4:$C$37,"&gt;="&amp;M1068),'FIRE CONTROL'!$C$4:$G$37,IF(L1068="F-15",2,IF(L1068="F-30",3,IF(L1068="F-60",4,IF(L1068="F-90",5,0)))),0),0)+IF(AND(O1068="FIRE TEX 5062",OR(E1068="IN",E1068="C",E1068="Z",E1068="L"),J1068=3),VLOOKUP(_xlfn.MINIFS('FIRE TEX 5062'!$B$4:$B$34,'FIRE TEX 5062'!$B$4:$B$34,"&gt;="&amp;M1068),'FIRE TEX 5062'!$B$4:$F$34,IF(L1068="F-15",2,IF(L1068="F-30",3,IF(L1068="F-60",4,IF(L1068="F-90",5,0)))),0),0)+IF(AND(O1068="FIRE TEX 5062",OR(E1068="IN",E1068="C",E1068="Z",E1068="L"),J1068=4),VLOOKUP(_xlfn.MINIFS('FIRE TEX 5062'!$G$4:$G$34,'FIRE TEX 5062'!$G$4:$G$34,"&gt;="&amp;M1068),'FIRE TEX 5062'!$G$4:$K$34,IF(L1068="F-15",2,IF(L1068="F-30",3,IF(L1068="F-60",4,IF(L1068="F-90",5,0)))),0),0)+IF(AND(O1068="FIRE TEX 5062",E1068="CJ",J1068=3),VLOOKUP(_xlfn.MINIFS('FIRE TEX 5062'!$L$4:$L$34,'FIRE TEX 5062'!$L$4:$L$34,"&gt;="&amp;M1068),'FIRE TEX 5062'!$L$4:$P$34,IF(L1068="F-15",2,IF(L1068="F-30",3,IF(L1068="F-60",4,IF(L1068="F-90",5,0)))),0),0)+IF(AND(O1068="FIRE TEX 5062",E1068="CJ",J1068=4),VLOOKUP(_xlfn.MINIFS('FIRE TEX 5062'!$Q$3:$Q$34,'FIRE TEX 5062'!$Q$3:$Q$34,"&gt;="&amp;M1068),'FIRE TEX 5062'!$Q$3:$U$34,IF(L1068="F-15",2,IF(L1068="F-30",3,IF(L1068="F-60",4,IF(L1068="F-90",5,0)))),0),0)+IF(AND(O1068="FIRE TEX 5090",OR(E1068="IN",E1068="C",E1068="Z",E1068="L"),J1068=3),VLOOKUP(_xlfn.MINIFS('FIRE TEX 5090'!$B$5:$B$43,'FIRE TEX 5090'!$B$5:$B$43,"&gt;="&amp;M1068),'FIRE TEX 5090'!$B$5:$H$43,IF(L1068="F-15",2,IF(L1068="F-30",3,IF(L1068="F-60",4,IF(L1068="F-90",5,IF(L1068="F-120",6,IF(L1068="F-150",7,0)))))),0),0)+IF(AND(O1068="FIRE TEX 5090",OR(E1068="IN",E1068="C",E1068="Z",E1068="L"),J1068=4),VLOOKUP(_xlfn.MINIFS('FIRE TEX 5090'!$J$5:$J$43,'FIRE TEX 5090'!$J$5:$J$43,"&gt;="&amp;M1068),'FIRE TEX 5090'!$J$5:$P$43,IF(L1068="F-15",2,IF(L1068="F-30",3,IF(L1068="F-60",4,IF(L1068="F-90",5,IF(L1068="F-120",6,IF(L1068="F-150",7,0)))))),0),0)+IF(AND(O1068="FIRE TEX 5090",E1068="CJ",J1068=3),VLOOKUP(_xlfn.MINIFS('FIRE TEX 5090'!$R$5:$R$30,'FIRE TEX 5090'!$R$5:$R$30,"&gt;="&amp;M1068),'FIRE TEX 5090'!$R$5:$W$30,IF(L1068="F-15",2,IF(L1068="F-30",3,IF(L1068="F-60",4,IF(L1068="F-90",5,IF(L1068="F-120",6,IF(L1068="F-150",7,0)))))),0),0)+IF(AND(O1068="FIRE TEX 5090",E1068="CJ",J1068=4),VLOOKUP(_xlfn.MINIFS('FIRE TEX 5090'!$Y$5:$Y$39,'FIRE TEX 5090'!$Y$5:$Y$39,"&gt;="&amp;M1068),'FIRE TEX 5090'!$Y$5:$AD$39,IF(L1068="F-15",2,IF(L1068="F-30",3,IF(L1068="F-60",4,IF(L1068="F-90",5,IF(L1068="F-120",6,IF(L1068="F-150",7,0)))))),0),0)+IF(AND(O1068="FIRE TEX 5120",OR(E1068="IN",E1068="C",E1068="Z",E1068="L"),J1068=3),VLOOKUP(_xlfn.MINIFS('FIRE TEX 5120'!$B$5:$B$40,'FIRE TEX 5120'!$B$5:$B$40,"&gt;="&amp;M1068),'FIRE TEX 5120'!$B$5:$G$40,IF(L1068="F-15",2,IF(L1068="F-30",3,IF(L1068="F-60",4,IF(L1068="F-90",5,IF(L1068="F-120",6,0))))),0),0)+IF(AND(O1068="FIRE TEX 5120",OR(E1068="IN",E1068="C",E1068="Z",E1068="L"),J1068=4),VLOOKUP(_xlfn.MINIFS('FIRE TEX 5120'!$H$4:$H$40,'FIRE TEX 5120'!$H$4:$H$40,"&gt;="&amp;M1068),'FIRE TEX 5120'!$H$4:$M$40,IF(L1068="F-15",2,IF(L1068="F-30",3,IF(L1068="F-60",4,IF(L1068="F-90",5,IF(L1068="F-120",6,0))))),0),0)+IF(AND(O1068="FIRE TEX 5120",E1068="CJ"),VLOOKUP(_xlfn.MINIFS('FIRE TEX 5120'!$O$5:$O$40,'FIRE TEX 5120'!$O$5:$O$40,"&gt;="&amp;M1068),'FIRE TEX 5120'!$O$5:$T$40,IF(L1068="F-15",2,IF(L1068="F-30",3,IF(L1068="F-60",4,IF(L1068="F-90",5,IF(L1068="F-120",6,0))))),0),0)</f>
        <v>0</v>
      </c>
      <c r="Q1068" s="46">
        <f t="shared" si="99"/>
        <v>0</v>
      </c>
      <c r="R1068" s="46">
        <f t="shared" si="100"/>
        <v>0</v>
      </c>
      <c r="S1068" s="46" t="e">
        <f t="shared" si="101"/>
        <v>#VALUE!</v>
      </c>
      <c r="T1068" s="677">
        <f t="shared" si="102"/>
        <v>0</v>
      </c>
      <c r="U1068" s="80">
        <f>(IF(O1068="Stofire",(S1068*#REF!),0))+(IF(O1068="Fire Control",(S1068*$U$2),0))+(IF(O1068="Fire Tex",(S1068*$U$3),0))+(IF(O1068="WB7",(S1068*#REF!),0)+(IF(O1068="FX 2003",(S1068*$U$5),0)))</f>
        <v>0</v>
      </c>
      <c r="V1068" s="651">
        <f t="shared" si="103"/>
        <v>0</v>
      </c>
    </row>
    <row r="1069" spans="4:22" x14ac:dyDescent="0.25">
      <c r="D1069" s="118">
        <f>+CUBICACION!D1068</f>
        <v>0</v>
      </c>
      <c r="E1069" s="118">
        <f>+CUBICACION!F1068</f>
        <v>0</v>
      </c>
      <c r="F1069" s="118">
        <f>+CUBICACION!E1068</f>
        <v>0</v>
      </c>
      <c r="G1069" s="118">
        <v>12</v>
      </c>
      <c r="H1069" s="118">
        <v>2</v>
      </c>
      <c r="I1069" s="820">
        <v>26385</v>
      </c>
      <c r="J1069" s="118">
        <f>+CUBICACION!J1068</f>
        <v>0</v>
      </c>
      <c r="K1069" s="118">
        <v>3848</v>
      </c>
      <c r="L1069" s="118">
        <f>+CUBICACION!L1068</f>
        <v>0</v>
      </c>
      <c r="M1069" s="64">
        <f>+CUBICACION!M1068</f>
        <v>0</v>
      </c>
      <c r="N1069" s="824" t="str">
        <f>+CUBICACION!N1068</f>
        <v/>
      </c>
      <c r="O1069" s="675">
        <f>+CUBICACION!O1068</f>
        <v>0</v>
      </c>
      <c r="P1069" s="15">
        <f>IF(O1069="Fire Control",VLOOKUP(_xlfn.MINIFS('FIRE CONTROL'!$C$4:$C$37,'FIRE CONTROL'!$C$4:$C$37,"&gt;="&amp;M1069),'FIRE CONTROL'!$C$4:$G$37,IF(L1069="F-15",2,IF(L1069="F-30",3,IF(L1069="F-60",4,IF(L1069="F-90",5,0)))),0),0)+IF(AND(O1069="FIRE TEX 5062",OR(E1069="IN",E1069="C",E1069="Z",E1069="L"),J1069=3),VLOOKUP(_xlfn.MINIFS('FIRE TEX 5062'!$B$4:$B$34,'FIRE TEX 5062'!$B$4:$B$34,"&gt;="&amp;M1069),'FIRE TEX 5062'!$B$4:$F$34,IF(L1069="F-15",2,IF(L1069="F-30",3,IF(L1069="F-60",4,IF(L1069="F-90",5,0)))),0),0)+IF(AND(O1069="FIRE TEX 5062",OR(E1069="IN",E1069="C",E1069="Z",E1069="L"),J1069=4),VLOOKUP(_xlfn.MINIFS('FIRE TEX 5062'!$G$4:$G$34,'FIRE TEX 5062'!$G$4:$G$34,"&gt;="&amp;M1069),'FIRE TEX 5062'!$G$4:$K$34,IF(L1069="F-15",2,IF(L1069="F-30",3,IF(L1069="F-60",4,IF(L1069="F-90",5,0)))),0),0)+IF(AND(O1069="FIRE TEX 5062",E1069="CJ",J1069=3),VLOOKUP(_xlfn.MINIFS('FIRE TEX 5062'!$L$4:$L$34,'FIRE TEX 5062'!$L$4:$L$34,"&gt;="&amp;M1069),'FIRE TEX 5062'!$L$4:$P$34,IF(L1069="F-15",2,IF(L1069="F-30",3,IF(L1069="F-60",4,IF(L1069="F-90",5,0)))),0),0)+IF(AND(O1069="FIRE TEX 5062",E1069="CJ",J1069=4),VLOOKUP(_xlfn.MINIFS('FIRE TEX 5062'!$Q$3:$Q$34,'FIRE TEX 5062'!$Q$3:$Q$34,"&gt;="&amp;M1069),'FIRE TEX 5062'!$Q$3:$U$34,IF(L1069="F-15",2,IF(L1069="F-30",3,IF(L1069="F-60",4,IF(L1069="F-90",5,0)))),0),0)+IF(AND(O1069="FIRE TEX 5090",OR(E1069="IN",E1069="C",E1069="Z",E1069="L"),J1069=3),VLOOKUP(_xlfn.MINIFS('FIRE TEX 5090'!$B$5:$B$43,'FIRE TEX 5090'!$B$5:$B$43,"&gt;="&amp;M1069),'FIRE TEX 5090'!$B$5:$H$43,IF(L1069="F-15",2,IF(L1069="F-30",3,IF(L1069="F-60",4,IF(L1069="F-90",5,IF(L1069="F-120",6,IF(L1069="F-150",7,0)))))),0),0)+IF(AND(O1069="FIRE TEX 5090",OR(E1069="IN",E1069="C",E1069="Z",E1069="L"),J1069=4),VLOOKUP(_xlfn.MINIFS('FIRE TEX 5090'!$J$5:$J$43,'FIRE TEX 5090'!$J$5:$J$43,"&gt;="&amp;M1069),'FIRE TEX 5090'!$J$5:$P$43,IF(L1069="F-15",2,IF(L1069="F-30",3,IF(L1069="F-60",4,IF(L1069="F-90",5,IF(L1069="F-120",6,IF(L1069="F-150",7,0)))))),0),0)+IF(AND(O1069="FIRE TEX 5090",E1069="CJ",J1069=3),VLOOKUP(_xlfn.MINIFS('FIRE TEX 5090'!$R$5:$R$30,'FIRE TEX 5090'!$R$5:$R$30,"&gt;="&amp;M1069),'FIRE TEX 5090'!$R$5:$W$30,IF(L1069="F-15",2,IF(L1069="F-30",3,IF(L1069="F-60",4,IF(L1069="F-90",5,IF(L1069="F-120",6,IF(L1069="F-150",7,0)))))),0),0)+IF(AND(O1069="FIRE TEX 5090",E1069="CJ",J1069=4),VLOOKUP(_xlfn.MINIFS('FIRE TEX 5090'!$Y$5:$Y$39,'FIRE TEX 5090'!$Y$5:$Y$39,"&gt;="&amp;M1069),'FIRE TEX 5090'!$Y$5:$AD$39,IF(L1069="F-15",2,IF(L1069="F-30",3,IF(L1069="F-60",4,IF(L1069="F-90",5,IF(L1069="F-120",6,IF(L1069="F-150",7,0)))))),0),0)+IF(AND(O1069="FIRE TEX 5120",OR(E1069="IN",E1069="C",E1069="Z",E1069="L"),J1069=3),VLOOKUP(_xlfn.MINIFS('FIRE TEX 5120'!$B$5:$B$40,'FIRE TEX 5120'!$B$5:$B$40,"&gt;="&amp;M1069),'FIRE TEX 5120'!$B$5:$G$40,IF(L1069="F-15",2,IF(L1069="F-30",3,IF(L1069="F-60",4,IF(L1069="F-90",5,IF(L1069="F-120",6,0))))),0),0)+IF(AND(O1069="FIRE TEX 5120",OR(E1069="IN",E1069="C",E1069="Z",E1069="L"),J1069=4),VLOOKUP(_xlfn.MINIFS('FIRE TEX 5120'!$H$4:$H$40,'FIRE TEX 5120'!$H$4:$H$40,"&gt;="&amp;M1069),'FIRE TEX 5120'!$H$4:$M$40,IF(L1069="F-15",2,IF(L1069="F-30",3,IF(L1069="F-60",4,IF(L1069="F-90",5,IF(L1069="F-120",6,0))))),0),0)+IF(AND(O1069="FIRE TEX 5120",E1069="CJ"),VLOOKUP(_xlfn.MINIFS('FIRE TEX 5120'!$O$5:$O$40,'FIRE TEX 5120'!$O$5:$O$40,"&gt;="&amp;M1069),'FIRE TEX 5120'!$O$5:$T$40,IF(L1069="F-15",2,IF(L1069="F-30",3,IF(L1069="F-60",4,IF(L1069="F-90",5,IF(L1069="F-120",6,0))))),0),0)</f>
        <v>0</v>
      </c>
      <c r="Q1069" s="46">
        <f t="shared" ref="Q1069:Q1132" si="104">IF(P1069="","",IF(P1069="dar valor","",0.03937*P1069))</f>
        <v>0</v>
      </c>
      <c r="R1069" s="46">
        <f t="shared" ref="R1069:R1132" si="105">+(IF(O1069="Fire Control",((65*1.5/Q1069)*0.75*4),0))+(IF(OR(O1069="Fire Tex 5062",O1069="Fire Tex 5090",O1069="Fire Tex 5120"),((66*1.5/Q1069)*0.7*5),0))</f>
        <v>0</v>
      </c>
      <c r="S1069" s="46" t="e">
        <f t="shared" ref="S1069:S1132" si="106">IF(R1069="","",+N1069/R1069)</f>
        <v>#VALUE!</v>
      </c>
      <c r="T1069" s="677">
        <f t="shared" ref="T1069:T1132" si="107">(IF(O1069="Stofire",(S1069/(7*1)),0))+(IF(O1069="Fire Control",(S1069/(7*1)),0))+(IF(O1069="Fire Tex",(S1069/(7*1)),0))+(IF(O1069="WB7",(S1069/(7*1)),0))+(IF(O1069="FX 2003",(S1069/(7*1)),0))</f>
        <v>0</v>
      </c>
      <c r="U1069" s="80">
        <f>(IF(O1069="Stofire",(S1069*#REF!),0))+(IF(O1069="Fire Control",(S1069*$U$2),0))+(IF(O1069="Fire Tex",(S1069*$U$3),0))+(IF(O1069="WB7",(S1069*#REF!),0)+(IF(O1069="FX 2003",(S1069*$U$5),0)))</f>
        <v>0</v>
      </c>
      <c r="V1069" s="651">
        <f t="shared" ref="V1069:V1132" si="108">_xlfn.CEILING.MATH(M1069,10)</f>
        <v>0</v>
      </c>
    </row>
    <row r="1070" spans="4:22" x14ac:dyDescent="0.25">
      <c r="D1070" s="118">
        <f>+CUBICACION!D1069</f>
        <v>0</v>
      </c>
      <c r="E1070" s="118">
        <f>+CUBICACION!F1069</f>
        <v>0</v>
      </c>
      <c r="F1070" s="118">
        <f>+CUBICACION!E1069</f>
        <v>0</v>
      </c>
      <c r="G1070" s="118">
        <v>12</v>
      </c>
      <c r="H1070" s="118">
        <v>2</v>
      </c>
      <c r="I1070" s="820">
        <v>26385</v>
      </c>
      <c r="J1070" s="118">
        <f>+CUBICACION!J1069</f>
        <v>0</v>
      </c>
      <c r="K1070" s="118">
        <v>3849</v>
      </c>
      <c r="L1070" s="118">
        <f>+CUBICACION!L1069</f>
        <v>0</v>
      </c>
      <c r="M1070" s="64">
        <f>+CUBICACION!M1069</f>
        <v>0</v>
      </c>
      <c r="N1070" s="824" t="str">
        <f>+CUBICACION!N1069</f>
        <v/>
      </c>
      <c r="O1070" s="675">
        <f>+CUBICACION!O1069</f>
        <v>0</v>
      </c>
      <c r="P1070" s="15">
        <f>IF(O1070="Fire Control",VLOOKUP(_xlfn.MINIFS('FIRE CONTROL'!$C$4:$C$37,'FIRE CONTROL'!$C$4:$C$37,"&gt;="&amp;M1070),'FIRE CONTROL'!$C$4:$G$37,IF(L1070="F-15",2,IF(L1070="F-30",3,IF(L1070="F-60",4,IF(L1070="F-90",5,0)))),0),0)+IF(AND(O1070="FIRE TEX 5062",OR(E1070="IN",E1070="C",E1070="Z",E1070="L"),J1070=3),VLOOKUP(_xlfn.MINIFS('FIRE TEX 5062'!$B$4:$B$34,'FIRE TEX 5062'!$B$4:$B$34,"&gt;="&amp;M1070),'FIRE TEX 5062'!$B$4:$F$34,IF(L1070="F-15",2,IF(L1070="F-30",3,IF(L1070="F-60",4,IF(L1070="F-90",5,0)))),0),0)+IF(AND(O1070="FIRE TEX 5062",OR(E1070="IN",E1070="C",E1070="Z",E1070="L"),J1070=4),VLOOKUP(_xlfn.MINIFS('FIRE TEX 5062'!$G$4:$G$34,'FIRE TEX 5062'!$G$4:$G$34,"&gt;="&amp;M1070),'FIRE TEX 5062'!$G$4:$K$34,IF(L1070="F-15",2,IF(L1070="F-30",3,IF(L1070="F-60",4,IF(L1070="F-90",5,0)))),0),0)+IF(AND(O1070="FIRE TEX 5062",E1070="CJ",J1070=3),VLOOKUP(_xlfn.MINIFS('FIRE TEX 5062'!$L$4:$L$34,'FIRE TEX 5062'!$L$4:$L$34,"&gt;="&amp;M1070),'FIRE TEX 5062'!$L$4:$P$34,IF(L1070="F-15",2,IF(L1070="F-30",3,IF(L1070="F-60",4,IF(L1070="F-90",5,0)))),0),0)+IF(AND(O1070="FIRE TEX 5062",E1070="CJ",J1070=4),VLOOKUP(_xlfn.MINIFS('FIRE TEX 5062'!$Q$3:$Q$34,'FIRE TEX 5062'!$Q$3:$Q$34,"&gt;="&amp;M1070),'FIRE TEX 5062'!$Q$3:$U$34,IF(L1070="F-15",2,IF(L1070="F-30",3,IF(L1070="F-60",4,IF(L1070="F-90",5,0)))),0),0)+IF(AND(O1070="FIRE TEX 5090",OR(E1070="IN",E1070="C",E1070="Z",E1070="L"),J1070=3),VLOOKUP(_xlfn.MINIFS('FIRE TEX 5090'!$B$5:$B$43,'FIRE TEX 5090'!$B$5:$B$43,"&gt;="&amp;M1070),'FIRE TEX 5090'!$B$5:$H$43,IF(L1070="F-15",2,IF(L1070="F-30",3,IF(L1070="F-60",4,IF(L1070="F-90",5,IF(L1070="F-120",6,IF(L1070="F-150",7,0)))))),0),0)+IF(AND(O1070="FIRE TEX 5090",OR(E1070="IN",E1070="C",E1070="Z",E1070="L"),J1070=4),VLOOKUP(_xlfn.MINIFS('FIRE TEX 5090'!$J$5:$J$43,'FIRE TEX 5090'!$J$5:$J$43,"&gt;="&amp;M1070),'FIRE TEX 5090'!$J$5:$P$43,IF(L1070="F-15",2,IF(L1070="F-30",3,IF(L1070="F-60",4,IF(L1070="F-90",5,IF(L1070="F-120",6,IF(L1070="F-150",7,0)))))),0),0)+IF(AND(O1070="FIRE TEX 5090",E1070="CJ",J1070=3),VLOOKUP(_xlfn.MINIFS('FIRE TEX 5090'!$R$5:$R$30,'FIRE TEX 5090'!$R$5:$R$30,"&gt;="&amp;M1070),'FIRE TEX 5090'!$R$5:$W$30,IF(L1070="F-15",2,IF(L1070="F-30",3,IF(L1070="F-60",4,IF(L1070="F-90",5,IF(L1070="F-120",6,IF(L1070="F-150",7,0)))))),0),0)+IF(AND(O1070="FIRE TEX 5090",E1070="CJ",J1070=4),VLOOKUP(_xlfn.MINIFS('FIRE TEX 5090'!$Y$5:$Y$39,'FIRE TEX 5090'!$Y$5:$Y$39,"&gt;="&amp;M1070),'FIRE TEX 5090'!$Y$5:$AD$39,IF(L1070="F-15",2,IF(L1070="F-30",3,IF(L1070="F-60",4,IF(L1070="F-90",5,IF(L1070="F-120",6,IF(L1070="F-150",7,0)))))),0),0)+IF(AND(O1070="FIRE TEX 5120",OR(E1070="IN",E1070="C",E1070="Z",E1070="L"),J1070=3),VLOOKUP(_xlfn.MINIFS('FIRE TEX 5120'!$B$5:$B$40,'FIRE TEX 5120'!$B$5:$B$40,"&gt;="&amp;M1070),'FIRE TEX 5120'!$B$5:$G$40,IF(L1070="F-15",2,IF(L1070="F-30",3,IF(L1070="F-60",4,IF(L1070="F-90",5,IF(L1070="F-120",6,0))))),0),0)+IF(AND(O1070="FIRE TEX 5120",OR(E1070="IN",E1070="C",E1070="Z",E1070="L"),J1070=4),VLOOKUP(_xlfn.MINIFS('FIRE TEX 5120'!$H$4:$H$40,'FIRE TEX 5120'!$H$4:$H$40,"&gt;="&amp;M1070),'FIRE TEX 5120'!$H$4:$M$40,IF(L1070="F-15",2,IF(L1070="F-30",3,IF(L1070="F-60",4,IF(L1070="F-90",5,IF(L1070="F-120",6,0))))),0),0)+IF(AND(O1070="FIRE TEX 5120",E1070="CJ"),VLOOKUP(_xlfn.MINIFS('FIRE TEX 5120'!$O$5:$O$40,'FIRE TEX 5120'!$O$5:$O$40,"&gt;="&amp;M1070),'FIRE TEX 5120'!$O$5:$T$40,IF(L1070="F-15",2,IF(L1070="F-30",3,IF(L1070="F-60",4,IF(L1070="F-90",5,IF(L1070="F-120",6,0))))),0),0)</f>
        <v>0</v>
      </c>
      <c r="Q1070" s="46">
        <f t="shared" si="104"/>
        <v>0</v>
      </c>
      <c r="R1070" s="46">
        <f t="shared" si="105"/>
        <v>0</v>
      </c>
      <c r="S1070" s="46" t="e">
        <f t="shared" si="106"/>
        <v>#VALUE!</v>
      </c>
      <c r="T1070" s="677">
        <f t="shared" si="107"/>
        <v>0</v>
      </c>
      <c r="U1070" s="80">
        <f>(IF(O1070="Stofire",(S1070*#REF!),0))+(IF(O1070="Fire Control",(S1070*$U$2),0))+(IF(O1070="Fire Tex",(S1070*$U$3),0))+(IF(O1070="WB7",(S1070*#REF!),0)+(IF(O1070="FX 2003",(S1070*$U$5),0)))</f>
        <v>0</v>
      </c>
      <c r="V1070" s="651">
        <f t="shared" si="108"/>
        <v>0</v>
      </c>
    </row>
    <row r="1071" spans="4:22" x14ac:dyDescent="0.25">
      <c r="D1071" s="118">
        <f>+CUBICACION!D1070</f>
        <v>0</v>
      </c>
      <c r="E1071" s="118">
        <f>+CUBICACION!F1070</f>
        <v>0</v>
      </c>
      <c r="F1071" s="118">
        <f>+CUBICACION!E1070</f>
        <v>0</v>
      </c>
      <c r="G1071" s="118">
        <v>12</v>
      </c>
      <c r="H1071" s="118">
        <v>2</v>
      </c>
      <c r="I1071" s="820">
        <v>26385</v>
      </c>
      <c r="J1071" s="118">
        <f>+CUBICACION!J1070</f>
        <v>0</v>
      </c>
      <c r="K1071" s="118">
        <v>3850</v>
      </c>
      <c r="L1071" s="118">
        <f>+CUBICACION!L1070</f>
        <v>0</v>
      </c>
      <c r="M1071" s="64">
        <f>+CUBICACION!M1070</f>
        <v>0</v>
      </c>
      <c r="N1071" s="824" t="str">
        <f>+CUBICACION!N1070</f>
        <v/>
      </c>
      <c r="O1071" s="675">
        <f>+CUBICACION!O1070</f>
        <v>0</v>
      </c>
      <c r="P1071" s="15">
        <f>IF(O1071="Fire Control",VLOOKUP(_xlfn.MINIFS('FIRE CONTROL'!$C$4:$C$37,'FIRE CONTROL'!$C$4:$C$37,"&gt;="&amp;M1071),'FIRE CONTROL'!$C$4:$G$37,IF(L1071="F-15",2,IF(L1071="F-30",3,IF(L1071="F-60",4,IF(L1071="F-90",5,0)))),0),0)+IF(AND(O1071="FIRE TEX 5062",OR(E1071="IN",E1071="C",E1071="Z",E1071="L"),J1071=3),VLOOKUP(_xlfn.MINIFS('FIRE TEX 5062'!$B$4:$B$34,'FIRE TEX 5062'!$B$4:$B$34,"&gt;="&amp;M1071),'FIRE TEX 5062'!$B$4:$F$34,IF(L1071="F-15",2,IF(L1071="F-30",3,IF(L1071="F-60",4,IF(L1071="F-90",5,0)))),0),0)+IF(AND(O1071="FIRE TEX 5062",OR(E1071="IN",E1071="C",E1071="Z",E1071="L"),J1071=4),VLOOKUP(_xlfn.MINIFS('FIRE TEX 5062'!$G$4:$G$34,'FIRE TEX 5062'!$G$4:$G$34,"&gt;="&amp;M1071),'FIRE TEX 5062'!$G$4:$K$34,IF(L1071="F-15",2,IF(L1071="F-30",3,IF(L1071="F-60",4,IF(L1071="F-90",5,0)))),0),0)+IF(AND(O1071="FIRE TEX 5062",E1071="CJ",J1071=3),VLOOKUP(_xlfn.MINIFS('FIRE TEX 5062'!$L$4:$L$34,'FIRE TEX 5062'!$L$4:$L$34,"&gt;="&amp;M1071),'FIRE TEX 5062'!$L$4:$P$34,IF(L1071="F-15",2,IF(L1071="F-30",3,IF(L1071="F-60",4,IF(L1071="F-90",5,0)))),0),0)+IF(AND(O1071="FIRE TEX 5062",E1071="CJ",J1071=4),VLOOKUP(_xlfn.MINIFS('FIRE TEX 5062'!$Q$3:$Q$34,'FIRE TEX 5062'!$Q$3:$Q$34,"&gt;="&amp;M1071),'FIRE TEX 5062'!$Q$3:$U$34,IF(L1071="F-15",2,IF(L1071="F-30",3,IF(L1071="F-60",4,IF(L1071="F-90",5,0)))),0),0)+IF(AND(O1071="FIRE TEX 5090",OR(E1071="IN",E1071="C",E1071="Z",E1071="L"),J1071=3),VLOOKUP(_xlfn.MINIFS('FIRE TEX 5090'!$B$5:$B$43,'FIRE TEX 5090'!$B$5:$B$43,"&gt;="&amp;M1071),'FIRE TEX 5090'!$B$5:$H$43,IF(L1071="F-15",2,IF(L1071="F-30",3,IF(L1071="F-60",4,IF(L1071="F-90",5,IF(L1071="F-120",6,IF(L1071="F-150",7,0)))))),0),0)+IF(AND(O1071="FIRE TEX 5090",OR(E1071="IN",E1071="C",E1071="Z",E1071="L"),J1071=4),VLOOKUP(_xlfn.MINIFS('FIRE TEX 5090'!$J$5:$J$43,'FIRE TEX 5090'!$J$5:$J$43,"&gt;="&amp;M1071),'FIRE TEX 5090'!$J$5:$P$43,IF(L1071="F-15",2,IF(L1071="F-30",3,IF(L1071="F-60",4,IF(L1071="F-90",5,IF(L1071="F-120",6,IF(L1071="F-150",7,0)))))),0),0)+IF(AND(O1071="FIRE TEX 5090",E1071="CJ",J1071=3),VLOOKUP(_xlfn.MINIFS('FIRE TEX 5090'!$R$5:$R$30,'FIRE TEX 5090'!$R$5:$R$30,"&gt;="&amp;M1071),'FIRE TEX 5090'!$R$5:$W$30,IF(L1071="F-15",2,IF(L1071="F-30",3,IF(L1071="F-60",4,IF(L1071="F-90",5,IF(L1071="F-120",6,IF(L1071="F-150",7,0)))))),0),0)+IF(AND(O1071="FIRE TEX 5090",E1071="CJ",J1071=4),VLOOKUP(_xlfn.MINIFS('FIRE TEX 5090'!$Y$5:$Y$39,'FIRE TEX 5090'!$Y$5:$Y$39,"&gt;="&amp;M1071),'FIRE TEX 5090'!$Y$5:$AD$39,IF(L1071="F-15",2,IF(L1071="F-30",3,IF(L1071="F-60",4,IF(L1071="F-90",5,IF(L1071="F-120",6,IF(L1071="F-150",7,0)))))),0),0)+IF(AND(O1071="FIRE TEX 5120",OR(E1071="IN",E1071="C",E1071="Z",E1071="L"),J1071=3),VLOOKUP(_xlfn.MINIFS('FIRE TEX 5120'!$B$5:$B$40,'FIRE TEX 5120'!$B$5:$B$40,"&gt;="&amp;M1071),'FIRE TEX 5120'!$B$5:$G$40,IF(L1071="F-15",2,IF(L1071="F-30",3,IF(L1071="F-60",4,IF(L1071="F-90",5,IF(L1071="F-120",6,0))))),0),0)+IF(AND(O1071="FIRE TEX 5120",OR(E1071="IN",E1071="C",E1071="Z",E1071="L"),J1071=4),VLOOKUP(_xlfn.MINIFS('FIRE TEX 5120'!$H$4:$H$40,'FIRE TEX 5120'!$H$4:$H$40,"&gt;="&amp;M1071),'FIRE TEX 5120'!$H$4:$M$40,IF(L1071="F-15",2,IF(L1071="F-30",3,IF(L1071="F-60",4,IF(L1071="F-90",5,IF(L1071="F-120",6,0))))),0),0)+IF(AND(O1071="FIRE TEX 5120",E1071="CJ"),VLOOKUP(_xlfn.MINIFS('FIRE TEX 5120'!$O$5:$O$40,'FIRE TEX 5120'!$O$5:$O$40,"&gt;="&amp;M1071),'FIRE TEX 5120'!$O$5:$T$40,IF(L1071="F-15",2,IF(L1071="F-30",3,IF(L1071="F-60",4,IF(L1071="F-90",5,IF(L1071="F-120",6,0))))),0),0)</f>
        <v>0</v>
      </c>
      <c r="Q1071" s="46">
        <f t="shared" si="104"/>
        <v>0</v>
      </c>
      <c r="R1071" s="46">
        <f t="shared" si="105"/>
        <v>0</v>
      </c>
      <c r="S1071" s="46" t="e">
        <f t="shared" si="106"/>
        <v>#VALUE!</v>
      </c>
      <c r="T1071" s="677">
        <f t="shared" si="107"/>
        <v>0</v>
      </c>
      <c r="U1071" s="80">
        <f>(IF(O1071="Stofire",(S1071*#REF!),0))+(IF(O1071="Fire Control",(S1071*$U$2),0))+(IF(O1071="Fire Tex",(S1071*$U$3),0))+(IF(O1071="WB7",(S1071*#REF!),0)+(IF(O1071="FX 2003",(S1071*$U$5),0)))</f>
        <v>0</v>
      </c>
      <c r="V1071" s="651">
        <f t="shared" si="108"/>
        <v>0</v>
      </c>
    </row>
    <row r="1072" spans="4:22" x14ac:dyDescent="0.25">
      <c r="D1072" s="118">
        <f>+CUBICACION!D1071</f>
        <v>0</v>
      </c>
      <c r="E1072" s="118">
        <f>+CUBICACION!F1071</f>
        <v>0</v>
      </c>
      <c r="F1072" s="118">
        <f>+CUBICACION!E1071</f>
        <v>0</v>
      </c>
      <c r="G1072" s="118">
        <v>12</v>
      </c>
      <c r="H1072" s="118">
        <v>2</v>
      </c>
      <c r="I1072" s="820">
        <v>26385</v>
      </c>
      <c r="J1072" s="118">
        <f>+CUBICACION!J1071</f>
        <v>0</v>
      </c>
      <c r="K1072" s="118">
        <v>3851</v>
      </c>
      <c r="L1072" s="118">
        <f>+CUBICACION!L1071</f>
        <v>0</v>
      </c>
      <c r="M1072" s="64">
        <f>+CUBICACION!M1071</f>
        <v>0</v>
      </c>
      <c r="N1072" s="824" t="str">
        <f>+CUBICACION!N1071</f>
        <v/>
      </c>
      <c r="O1072" s="675">
        <f>+CUBICACION!O1071</f>
        <v>0</v>
      </c>
      <c r="P1072" s="15">
        <f>IF(O1072="Fire Control",VLOOKUP(_xlfn.MINIFS('FIRE CONTROL'!$C$4:$C$37,'FIRE CONTROL'!$C$4:$C$37,"&gt;="&amp;M1072),'FIRE CONTROL'!$C$4:$G$37,IF(L1072="F-15",2,IF(L1072="F-30",3,IF(L1072="F-60",4,IF(L1072="F-90",5,0)))),0),0)+IF(AND(O1072="FIRE TEX 5062",OR(E1072="IN",E1072="C",E1072="Z",E1072="L"),J1072=3),VLOOKUP(_xlfn.MINIFS('FIRE TEX 5062'!$B$4:$B$34,'FIRE TEX 5062'!$B$4:$B$34,"&gt;="&amp;M1072),'FIRE TEX 5062'!$B$4:$F$34,IF(L1072="F-15",2,IF(L1072="F-30",3,IF(L1072="F-60",4,IF(L1072="F-90",5,0)))),0),0)+IF(AND(O1072="FIRE TEX 5062",OR(E1072="IN",E1072="C",E1072="Z",E1072="L"),J1072=4),VLOOKUP(_xlfn.MINIFS('FIRE TEX 5062'!$G$4:$G$34,'FIRE TEX 5062'!$G$4:$G$34,"&gt;="&amp;M1072),'FIRE TEX 5062'!$G$4:$K$34,IF(L1072="F-15",2,IF(L1072="F-30",3,IF(L1072="F-60",4,IF(L1072="F-90",5,0)))),0),0)+IF(AND(O1072="FIRE TEX 5062",E1072="CJ",J1072=3),VLOOKUP(_xlfn.MINIFS('FIRE TEX 5062'!$L$4:$L$34,'FIRE TEX 5062'!$L$4:$L$34,"&gt;="&amp;M1072),'FIRE TEX 5062'!$L$4:$P$34,IF(L1072="F-15",2,IF(L1072="F-30",3,IF(L1072="F-60",4,IF(L1072="F-90",5,0)))),0),0)+IF(AND(O1072="FIRE TEX 5062",E1072="CJ",J1072=4),VLOOKUP(_xlfn.MINIFS('FIRE TEX 5062'!$Q$3:$Q$34,'FIRE TEX 5062'!$Q$3:$Q$34,"&gt;="&amp;M1072),'FIRE TEX 5062'!$Q$3:$U$34,IF(L1072="F-15",2,IF(L1072="F-30",3,IF(L1072="F-60",4,IF(L1072="F-90",5,0)))),0),0)+IF(AND(O1072="FIRE TEX 5090",OR(E1072="IN",E1072="C",E1072="Z",E1072="L"),J1072=3),VLOOKUP(_xlfn.MINIFS('FIRE TEX 5090'!$B$5:$B$43,'FIRE TEX 5090'!$B$5:$B$43,"&gt;="&amp;M1072),'FIRE TEX 5090'!$B$5:$H$43,IF(L1072="F-15",2,IF(L1072="F-30",3,IF(L1072="F-60",4,IF(L1072="F-90",5,IF(L1072="F-120",6,IF(L1072="F-150",7,0)))))),0),0)+IF(AND(O1072="FIRE TEX 5090",OR(E1072="IN",E1072="C",E1072="Z",E1072="L"),J1072=4),VLOOKUP(_xlfn.MINIFS('FIRE TEX 5090'!$J$5:$J$43,'FIRE TEX 5090'!$J$5:$J$43,"&gt;="&amp;M1072),'FIRE TEX 5090'!$J$5:$P$43,IF(L1072="F-15",2,IF(L1072="F-30",3,IF(L1072="F-60",4,IF(L1072="F-90",5,IF(L1072="F-120",6,IF(L1072="F-150",7,0)))))),0),0)+IF(AND(O1072="FIRE TEX 5090",E1072="CJ",J1072=3),VLOOKUP(_xlfn.MINIFS('FIRE TEX 5090'!$R$5:$R$30,'FIRE TEX 5090'!$R$5:$R$30,"&gt;="&amp;M1072),'FIRE TEX 5090'!$R$5:$W$30,IF(L1072="F-15",2,IF(L1072="F-30",3,IF(L1072="F-60",4,IF(L1072="F-90",5,IF(L1072="F-120",6,IF(L1072="F-150",7,0)))))),0),0)+IF(AND(O1072="FIRE TEX 5090",E1072="CJ",J1072=4),VLOOKUP(_xlfn.MINIFS('FIRE TEX 5090'!$Y$5:$Y$39,'FIRE TEX 5090'!$Y$5:$Y$39,"&gt;="&amp;M1072),'FIRE TEX 5090'!$Y$5:$AD$39,IF(L1072="F-15",2,IF(L1072="F-30",3,IF(L1072="F-60",4,IF(L1072="F-90",5,IF(L1072="F-120",6,IF(L1072="F-150",7,0)))))),0),0)+IF(AND(O1072="FIRE TEX 5120",OR(E1072="IN",E1072="C",E1072="Z",E1072="L"),J1072=3),VLOOKUP(_xlfn.MINIFS('FIRE TEX 5120'!$B$5:$B$40,'FIRE TEX 5120'!$B$5:$B$40,"&gt;="&amp;M1072),'FIRE TEX 5120'!$B$5:$G$40,IF(L1072="F-15",2,IF(L1072="F-30",3,IF(L1072="F-60",4,IF(L1072="F-90",5,IF(L1072="F-120",6,0))))),0),0)+IF(AND(O1072="FIRE TEX 5120",OR(E1072="IN",E1072="C",E1072="Z",E1072="L"),J1072=4),VLOOKUP(_xlfn.MINIFS('FIRE TEX 5120'!$H$4:$H$40,'FIRE TEX 5120'!$H$4:$H$40,"&gt;="&amp;M1072),'FIRE TEX 5120'!$H$4:$M$40,IF(L1072="F-15",2,IF(L1072="F-30",3,IF(L1072="F-60",4,IF(L1072="F-90",5,IF(L1072="F-120",6,0))))),0),0)+IF(AND(O1072="FIRE TEX 5120",E1072="CJ"),VLOOKUP(_xlfn.MINIFS('FIRE TEX 5120'!$O$5:$O$40,'FIRE TEX 5120'!$O$5:$O$40,"&gt;="&amp;M1072),'FIRE TEX 5120'!$O$5:$T$40,IF(L1072="F-15",2,IF(L1072="F-30",3,IF(L1072="F-60",4,IF(L1072="F-90",5,IF(L1072="F-120",6,0))))),0),0)</f>
        <v>0</v>
      </c>
      <c r="Q1072" s="46">
        <f t="shared" si="104"/>
        <v>0</v>
      </c>
      <c r="R1072" s="46">
        <f t="shared" si="105"/>
        <v>0</v>
      </c>
      <c r="S1072" s="46" t="e">
        <f t="shared" si="106"/>
        <v>#VALUE!</v>
      </c>
      <c r="T1072" s="677">
        <f t="shared" si="107"/>
        <v>0</v>
      </c>
      <c r="U1072" s="80">
        <f>(IF(O1072="Stofire",(S1072*#REF!),0))+(IF(O1072="Fire Control",(S1072*$U$2),0))+(IF(O1072="Fire Tex",(S1072*$U$3),0))+(IF(O1072="WB7",(S1072*#REF!),0)+(IF(O1072="FX 2003",(S1072*$U$5),0)))</f>
        <v>0</v>
      </c>
      <c r="V1072" s="651">
        <f t="shared" si="108"/>
        <v>0</v>
      </c>
    </row>
    <row r="1073" spans="4:22" x14ac:dyDescent="0.25">
      <c r="D1073" s="118">
        <f>+CUBICACION!D1072</f>
        <v>0</v>
      </c>
      <c r="E1073" s="118">
        <f>+CUBICACION!F1072</f>
        <v>0</v>
      </c>
      <c r="F1073" s="118">
        <f>+CUBICACION!E1072</f>
        <v>0</v>
      </c>
      <c r="G1073" s="118">
        <v>12</v>
      </c>
      <c r="H1073" s="118">
        <v>2</v>
      </c>
      <c r="I1073" s="820">
        <v>26385</v>
      </c>
      <c r="J1073" s="118">
        <f>+CUBICACION!J1072</f>
        <v>0</v>
      </c>
      <c r="K1073" s="118">
        <v>3852</v>
      </c>
      <c r="L1073" s="118">
        <f>+CUBICACION!L1072</f>
        <v>0</v>
      </c>
      <c r="M1073" s="64">
        <f>+CUBICACION!M1072</f>
        <v>0</v>
      </c>
      <c r="N1073" s="824" t="str">
        <f>+CUBICACION!N1072</f>
        <v/>
      </c>
      <c r="O1073" s="675">
        <f>+CUBICACION!O1072</f>
        <v>0</v>
      </c>
      <c r="P1073" s="15">
        <f>IF(O1073="Fire Control",VLOOKUP(_xlfn.MINIFS('FIRE CONTROL'!$C$4:$C$37,'FIRE CONTROL'!$C$4:$C$37,"&gt;="&amp;M1073),'FIRE CONTROL'!$C$4:$G$37,IF(L1073="F-15",2,IF(L1073="F-30",3,IF(L1073="F-60",4,IF(L1073="F-90",5,0)))),0),0)+IF(AND(O1073="FIRE TEX 5062",OR(E1073="IN",E1073="C",E1073="Z",E1073="L"),J1073=3),VLOOKUP(_xlfn.MINIFS('FIRE TEX 5062'!$B$4:$B$34,'FIRE TEX 5062'!$B$4:$B$34,"&gt;="&amp;M1073),'FIRE TEX 5062'!$B$4:$F$34,IF(L1073="F-15",2,IF(L1073="F-30",3,IF(L1073="F-60",4,IF(L1073="F-90",5,0)))),0),0)+IF(AND(O1073="FIRE TEX 5062",OR(E1073="IN",E1073="C",E1073="Z",E1073="L"),J1073=4),VLOOKUP(_xlfn.MINIFS('FIRE TEX 5062'!$G$4:$G$34,'FIRE TEX 5062'!$G$4:$G$34,"&gt;="&amp;M1073),'FIRE TEX 5062'!$G$4:$K$34,IF(L1073="F-15",2,IF(L1073="F-30",3,IF(L1073="F-60",4,IF(L1073="F-90",5,0)))),0),0)+IF(AND(O1073="FIRE TEX 5062",E1073="CJ",J1073=3),VLOOKUP(_xlfn.MINIFS('FIRE TEX 5062'!$L$4:$L$34,'FIRE TEX 5062'!$L$4:$L$34,"&gt;="&amp;M1073),'FIRE TEX 5062'!$L$4:$P$34,IF(L1073="F-15",2,IF(L1073="F-30",3,IF(L1073="F-60",4,IF(L1073="F-90",5,0)))),0),0)+IF(AND(O1073="FIRE TEX 5062",E1073="CJ",J1073=4),VLOOKUP(_xlfn.MINIFS('FIRE TEX 5062'!$Q$3:$Q$34,'FIRE TEX 5062'!$Q$3:$Q$34,"&gt;="&amp;M1073),'FIRE TEX 5062'!$Q$3:$U$34,IF(L1073="F-15",2,IF(L1073="F-30",3,IF(L1073="F-60",4,IF(L1073="F-90",5,0)))),0),0)+IF(AND(O1073="FIRE TEX 5090",OR(E1073="IN",E1073="C",E1073="Z",E1073="L"),J1073=3),VLOOKUP(_xlfn.MINIFS('FIRE TEX 5090'!$B$5:$B$43,'FIRE TEX 5090'!$B$5:$B$43,"&gt;="&amp;M1073),'FIRE TEX 5090'!$B$5:$H$43,IF(L1073="F-15",2,IF(L1073="F-30",3,IF(L1073="F-60",4,IF(L1073="F-90",5,IF(L1073="F-120",6,IF(L1073="F-150",7,0)))))),0),0)+IF(AND(O1073="FIRE TEX 5090",OR(E1073="IN",E1073="C",E1073="Z",E1073="L"),J1073=4),VLOOKUP(_xlfn.MINIFS('FIRE TEX 5090'!$J$5:$J$43,'FIRE TEX 5090'!$J$5:$J$43,"&gt;="&amp;M1073),'FIRE TEX 5090'!$J$5:$P$43,IF(L1073="F-15",2,IF(L1073="F-30",3,IF(L1073="F-60",4,IF(L1073="F-90",5,IF(L1073="F-120",6,IF(L1073="F-150",7,0)))))),0),0)+IF(AND(O1073="FIRE TEX 5090",E1073="CJ",J1073=3),VLOOKUP(_xlfn.MINIFS('FIRE TEX 5090'!$R$5:$R$30,'FIRE TEX 5090'!$R$5:$R$30,"&gt;="&amp;M1073),'FIRE TEX 5090'!$R$5:$W$30,IF(L1073="F-15",2,IF(L1073="F-30",3,IF(L1073="F-60",4,IF(L1073="F-90",5,IF(L1073="F-120",6,IF(L1073="F-150",7,0)))))),0),0)+IF(AND(O1073="FIRE TEX 5090",E1073="CJ",J1073=4),VLOOKUP(_xlfn.MINIFS('FIRE TEX 5090'!$Y$5:$Y$39,'FIRE TEX 5090'!$Y$5:$Y$39,"&gt;="&amp;M1073),'FIRE TEX 5090'!$Y$5:$AD$39,IF(L1073="F-15",2,IF(L1073="F-30",3,IF(L1073="F-60",4,IF(L1073="F-90",5,IF(L1073="F-120",6,IF(L1073="F-150",7,0)))))),0),0)+IF(AND(O1073="FIRE TEX 5120",OR(E1073="IN",E1073="C",E1073="Z",E1073="L"),J1073=3),VLOOKUP(_xlfn.MINIFS('FIRE TEX 5120'!$B$5:$B$40,'FIRE TEX 5120'!$B$5:$B$40,"&gt;="&amp;M1073),'FIRE TEX 5120'!$B$5:$G$40,IF(L1073="F-15",2,IF(L1073="F-30",3,IF(L1073="F-60",4,IF(L1073="F-90",5,IF(L1073="F-120",6,0))))),0),0)+IF(AND(O1073="FIRE TEX 5120",OR(E1073="IN",E1073="C",E1073="Z",E1073="L"),J1073=4),VLOOKUP(_xlfn.MINIFS('FIRE TEX 5120'!$H$4:$H$40,'FIRE TEX 5120'!$H$4:$H$40,"&gt;="&amp;M1073),'FIRE TEX 5120'!$H$4:$M$40,IF(L1073="F-15",2,IF(L1073="F-30",3,IF(L1073="F-60",4,IF(L1073="F-90",5,IF(L1073="F-120",6,0))))),0),0)+IF(AND(O1073="FIRE TEX 5120",E1073="CJ"),VLOOKUP(_xlfn.MINIFS('FIRE TEX 5120'!$O$5:$O$40,'FIRE TEX 5120'!$O$5:$O$40,"&gt;="&amp;M1073),'FIRE TEX 5120'!$O$5:$T$40,IF(L1073="F-15",2,IF(L1073="F-30",3,IF(L1073="F-60",4,IF(L1073="F-90",5,IF(L1073="F-120",6,0))))),0),0)</f>
        <v>0</v>
      </c>
      <c r="Q1073" s="46">
        <f t="shared" si="104"/>
        <v>0</v>
      </c>
      <c r="R1073" s="46">
        <f t="shared" si="105"/>
        <v>0</v>
      </c>
      <c r="S1073" s="46" t="e">
        <f t="shared" si="106"/>
        <v>#VALUE!</v>
      </c>
      <c r="T1073" s="677">
        <f t="shared" si="107"/>
        <v>0</v>
      </c>
      <c r="U1073" s="80">
        <f>(IF(O1073="Stofire",(S1073*#REF!),0))+(IF(O1073="Fire Control",(S1073*$U$2),0))+(IF(O1073="Fire Tex",(S1073*$U$3),0))+(IF(O1073="WB7",(S1073*#REF!),0)+(IF(O1073="FX 2003",(S1073*$U$5),0)))</f>
        <v>0</v>
      </c>
      <c r="V1073" s="651">
        <f t="shared" si="108"/>
        <v>0</v>
      </c>
    </row>
    <row r="1074" spans="4:22" x14ac:dyDescent="0.25">
      <c r="D1074" s="118">
        <f>+CUBICACION!D1073</f>
        <v>0</v>
      </c>
      <c r="E1074" s="118">
        <f>+CUBICACION!F1073</f>
        <v>0</v>
      </c>
      <c r="F1074" s="118">
        <f>+CUBICACION!E1073</f>
        <v>0</v>
      </c>
      <c r="G1074" s="118">
        <v>12</v>
      </c>
      <c r="H1074" s="118">
        <v>2</v>
      </c>
      <c r="I1074" s="820">
        <v>26385</v>
      </c>
      <c r="J1074" s="118">
        <f>+CUBICACION!J1073</f>
        <v>0</v>
      </c>
      <c r="K1074" s="118">
        <v>3853</v>
      </c>
      <c r="L1074" s="118">
        <f>+CUBICACION!L1073</f>
        <v>0</v>
      </c>
      <c r="M1074" s="64">
        <f>+CUBICACION!M1073</f>
        <v>0</v>
      </c>
      <c r="N1074" s="824" t="str">
        <f>+CUBICACION!N1073</f>
        <v/>
      </c>
      <c r="O1074" s="675">
        <f>+CUBICACION!O1073</f>
        <v>0</v>
      </c>
      <c r="P1074" s="15">
        <f>IF(O1074="Fire Control",VLOOKUP(_xlfn.MINIFS('FIRE CONTROL'!$C$4:$C$37,'FIRE CONTROL'!$C$4:$C$37,"&gt;="&amp;M1074),'FIRE CONTROL'!$C$4:$G$37,IF(L1074="F-15",2,IF(L1074="F-30",3,IF(L1074="F-60",4,IF(L1074="F-90",5,0)))),0),0)+IF(AND(O1074="FIRE TEX 5062",OR(E1074="IN",E1074="C",E1074="Z",E1074="L"),J1074=3),VLOOKUP(_xlfn.MINIFS('FIRE TEX 5062'!$B$4:$B$34,'FIRE TEX 5062'!$B$4:$B$34,"&gt;="&amp;M1074),'FIRE TEX 5062'!$B$4:$F$34,IF(L1074="F-15",2,IF(L1074="F-30",3,IF(L1074="F-60",4,IF(L1074="F-90",5,0)))),0),0)+IF(AND(O1074="FIRE TEX 5062",OR(E1074="IN",E1074="C",E1074="Z",E1074="L"),J1074=4),VLOOKUP(_xlfn.MINIFS('FIRE TEX 5062'!$G$4:$G$34,'FIRE TEX 5062'!$G$4:$G$34,"&gt;="&amp;M1074),'FIRE TEX 5062'!$G$4:$K$34,IF(L1074="F-15",2,IF(L1074="F-30",3,IF(L1074="F-60",4,IF(L1074="F-90",5,0)))),0),0)+IF(AND(O1074="FIRE TEX 5062",E1074="CJ",J1074=3),VLOOKUP(_xlfn.MINIFS('FIRE TEX 5062'!$L$4:$L$34,'FIRE TEX 5062'!$L$4:$L$34,"&gt;="&amp;M1074),'FIRE TEX 5062'!$L$4:$P$34,IF(L1074="F-15",2,IF(L1074="F-30",3,IF(L1074="F-60",4,IF(L1074="F-90",5,0)))),0),0)+IF(AND(O1074="FIRE TEX 5062",E1074="CJ",J1074=4),VLOOKUP(_xlfn.MINIFS('FIRE TEX 5062'!$Q$3:$Q$34,'FIRE TEX 5062'!$Q$3:$Q$34,"&gt;="&amp;M1074),'FIRE TEX 5062'!$Q$3:$U$34,IF(L1074="F-15",2,IF(L1074="F-30",3,IF(L1074="F-60",4,IF(L1074="F-90",5,0)))),0),0)+IF(AND(O1074="FIRE TEX 5090",OR(E1074="IN",E1074="C",E1074="Z",E1074="L"),J1074=3),VLOOKUP(_xlfn.MINIFS('FIRE TEX 5090'!$B$5:$B$43,'FIRE TEX 5090'!$B$5:$B$43,"&gt;="&amp;M1074),'FIRE TEX 5090'!$B$5:$H$43,IF(L1074="F-15",2,IF(L1074="F-30",3,IF(L1074="F-60",4,IF(L1074="F-90",5,IF(L1074="F-120",6,IF(L1074="F-150",7,0)))))),0),0)+IF(AND(O1074="FIRE TEX 5090",OR(E1074="IN",E1074="C",E1074="Z",E1074="L"),J1074=4),VLOOKUP(_xlfn.MINIFS('FIRE TEX 5090'!$J$5:$J$43,'FIRE TEX 5090'!$J$5:$J$43,"&gt;="&amp;M1074),'FIRE TEX 5090'!$J$5:$P$43,IF(L1074="F-15",2,IF(L1074="F-30",3,IF(L1074="F-60",4,IF(L1074="F-90",5,IF(L1074="F-120",6,IF(L1074="F-150",7,0)))))),0),0)+IF(AND(O1074="FIRE TEX 5090",E1074="CJ",J1074=3),VLOOKUP(_xlfn.MINIFS('FIRE TEX 5090'!$R$5:$R$30,'FIRE TEX 5090'!$R$5:$R$30,"&gt;="&amp;M1074),'FIRE TEX 5090'!$R$5:$W$30,IF(L1074="F-15",2,IF(L1074="F-30",3,IF(L1074="F-60",4,IF(L1074="F-90",5,IF(L1074="F-120",6,IF(L1074="F-150",7,0)))))),0),0)+IF(AND(O1074="FIRE TEX 5090",E1074="CJ",J1074=4),VLOOKUP(_xlfn.MINIFS('FIRE TEX 5090'!$Y$5:$Y$39,'FIRE TEX 5090'!$Y$5:$Y$39,"&gt;="&amp;M1074),'FIRE TEX 5090'!$Y$5:$AD$39,IF(L1074="F-15",2,IF(L1074="F-30",3,IF(L1074="F-60",4,IF(L1074="F-90",5,IF(L1074="F-120",6,IF(L1074="F-150",7,0)))))),0),0)+IF(AND(O1074="FIRE TEX 5120",OR(E1074="IN",E1074="C",E1074="Z",E1074="L"),J1074=3),VLOOKUP(_xlfn.MINIFS('FIRE TEX 5120'!$B$5:$B$40,'FIRE TEX 5120'!$B$5:$B$40,"&gt;="&amp;M1074),'FIRE TEX 5120'!$B$5:$G$40,IF(L1074="F-15",2,IF(L1074="F-30",3,IF(L1074="F-60",4,IF(L1074="F-90",5,IF(L1074="F-120",6,0))))),0),0)+IF(AND(O1074="FIRE TEX 5120",OR(E1074="IN",E1074="C",E1074="Z",E1074="L"),J1074=4),VLOOKUP(_xlfn.MINIFS('FIRE TEX 5120'!$H$4:$H$40,'FIRE TEX 5120'!$H$4:$H$40,"&gt;="&amp;M1074),'FIRE TEX 5120'!$H$4:$M$40,IF(L1074="F-15",2,IF(L1074="F-30",3,IF(L1074="F-60",4,IF(L1074="F-90",5,IF(L1074="F-120",6,0))))),0),0)+IF(AND(O1074="FIRE TEX 5120",E1074="CJ"),VLOOKUP(_xlfn.MINIFS('FIRE TEX 5120'!$O$5:$O$40,'FIRE TEX 5120'!$O$5:$O$40,"&gt;="&amp;M1074),'FIRE TEX 5120'!$O$5:$T$40,IF(L1074="F-15",2,IF(L1074="F-30",3,IF(L1074="F-60",4,IF(L1074="F-90",5,IF(L1074="F-120",6,0))))),0),0)</f>
        <v>0</v>
      </c>
      <c r="Q1074" s="46">
        <f t="shared" si="104"/>
        <v>0</v>
      </c>
      <c r="R1074" s="46">
        <f t="shared" si="105"/>
        <v>0</v>
      </c>
      <c r="S1074" s="46" t="e">
        <f t="shared" si="106"/>
        <v>#VALUE!</v>
      </c>
      <c r="T1074" s="677">
        <f t="shared" si="107"/>
        <v>0</v>
      </c>
      <c r="U1074" s="80">
        <f>(IF(O1074="Stofire",(S1074*#REF!),0))+(IF(O1074="Fire Control",(S1074*$U$2),0))+(IF(O1074="Fire Tex",(S1074*$U$3),0))+(IF(O1074="WB7",(S1074*#REF!),0)+(IF(O1074="FX 2003",(S1074*$U$5),0)))</f>
        <v>0</v>
      </c>
      <c r="V1074" s="651">
        <f t="shared" si="108"/>
        <v>0</v>
      </c>
    </row>
    <row r="1075" spans="4:22" x14ac:dyDescent="0.25">
      <c r="D1075" s="118">
        <f>+CUBICACION!D1074</f>
        <v>0</v>
      </c>
      <c r="E1075" s="118">
        <f>+CUBICACION!F1074</f>
        <v>0</v>
      </c>
      <c r="F1075" s="118">
        <f>+CUBICACION!E1074</f>
        <v>0</v>
      </c>
      <c r="G1075" s="118">
        <v>12</v>
      </c>
      <c r="H1075" s="118">
        <v>2</v>
      </c>
      <c r="I1075" s="820">
        <v>26385</v>
      </c>
      <c r="J1075" s="118">
        <f>+CUBICACION!J1074</f>
        <v>0</v>
      </c>
      <c r="K1075" s="118">
        <v>3854</v>
      </c>
      <c r="L1075" s="118">
        <f>+CUBICACION!L1074</f>
        <v>0</v>
      </c>
      <c r="M1075" s="64">
        <f>+CUBICACION!M1074</f>
        <v>0</v>
      </c>
      <c r="N1075" s="824" t="str">
        <f>+CUBICACION!N1074</f>
        <v/>
      </c>
      <c r="O1075" s="675">
        <f>+CUBICACION!O1074</f>
        <v>0</v>
      </c>
      <c r="P1075" s="15">
        <f>IF(O1075="Fire Control",VLOOKUP(_xlfn.MINIFS('FIRE CONTROL'!$C$4:$C$37,'FIRE CONTROL'!$C$4:$C$37,"&gt;="&amp;M1075),'FIRE CONTROL'!$C$4:$G$37,IF(L1075="F-15",2,IF(L1075="F-30",3,IF(L1075="F-60",4,IF(L1075="F-90",5,0)))),0),0)+IF(AND(O1075="FIRE TEX 5062",OR(E1075="IN",E1075="C",E1075="Z",E1075="L"),J1075=3),VLOOKUP(_xlfn.MINIFS('FIRE TEX 5062'!$B$4:$B$34,'FIRE TEX 5062'!$B$4:$B$34,"&gt;="&amp;M1075),'FIRE TEX 5062'!$B$4:$F$34,IF(L1075="F-15",2,IF(L1075="F-30",3,IF(L1075="F-60",4,IF(L1075="F-90",5,0)))),0),0)+IF(AND(O1075="FIRE TEX 5062",OR(E1075="IN",E1075="C",E1075="Z",E1075="L"),J1075=4),VLOOKUP(_xlfn.MINIFS('FIRE TEX 5062'!$G$4:$G$34,'FIRE TEX 5062'!$G$4:$G$34,"&gt;="&amp;M1075),'FIRE TEX 5062'!$G$4:$K$34,IF(L1075="F-15",2,IF(L1075="F-30",3,IF(L1075="F-60",4,IF(L1075="F-90",5,0)))),0),0)+IF(AND(O1075="FIRE TEX 5062",E1075="CJ",J1075=3),VLOOKUP(_xlfn.MINIFS('FIRE TEX 5062'!$L$4:$L$34,'FIRE TEX 5062'!$L$4:$L$34,"&gt;="&amp;M1075),'FIRE TEX 5062'!$L$4:$P$34,IF(L1075="F-15",2,IF(L1075="F-30",3,IF(L1075="F-60",4,IF(L1075="F-90",5,0)))),0),0)+IF(AND(O1075="FIRE TEX 5062",E1075="CJ",J1075=4),VLOOKUP(_xlfn.MINIFS('FIRE TEX 5062'!$Q$3:$Q$34,'FIRE TEX 5062'!$Q$3:$Q$34,"&gt;="&amp;M1075),'FIRE TEX 5062'!$Q$3:$U$34,IF(L1075="F-15",2,IF(L1075="F-30",3,IF(L1075="F-60",4,IF(L1075="F-90",5,0)))),0),0)+IF(AND(O1075="FIRE TEX 5090",OR(E1075="IN",E1075="C",E1075="Z",E1075="L"),J1075=3),VLOOKUP(_xlfn.MINIFS('FIRE TEX 5090'!$B$5:$B$43,'FIRE TEX 5090'!$B$5:$B$43,"&gt;="&amp;M1075),'FIRE TEX 5090'!$B$5:$H$43,IF(L1075="F-15",2,IF(L1075="F-30",3,IF(L1075="F-60",4,IF(L1075="F-90",5,IF(L1075="F-120",6,IF(L1075="F-150",7,0)))))),0),0)+IF(AND(O1075="FIRE TEX 5090",OR(E1075="IN",E1075="C",E1075="Z",E1075="L"),J1075=4),VLOOKUP(_xlfn.MINIFS('FIRE TEX 5090'!$J$5:$J$43,'FIRE TEX 5090'!$J$5:$J$43,"&gt;="&amp;M1075),'FIRE TEX 5090'!$J$5:$P$43,IF(L1075="F-15",2,IF(L1075="F-30",3,IF(L1075="F-60",4,IF(L1075="F-90",5,IF(L1075="F-120",6,IF(L1075="F-150",7,0)))))),0),0)+IF(AND(O1075="FIRE TEX 5090",E1075="CJ",J1075=3),VLOOKUP(_xlfn.MINIFS('FIRE TEX 5090'!$R$5:$R$30,'FIRE TEX 5090'!$R$5:$R$30,"&gt;="&amp;M1075),'FIRE TEX 5090'!$R$5:$W$30,IF(L1075="F-15",2,IF(L1075="F-30",3,IF(L1075="F-60",4,IF(L1075="F-90",5,IF(L1075="F-120",6,IF(L1075="F-150",7,0)))))),0),0)+IF(AND(O1075="FIRE TEX 5090",E1075="CJ",J1075=4),VLOOKUP(_xlfn.MINIFS('FIRE TEX 5090'!$Y$5:$Y$39,'FIRE TEX 5090'!$Y$5:$Y$39,"&gt;="&amp;M1075),'FIRE TEX 5090'!$Y$5:$AD$39,IF(L1075="F-15",2,IF(L1075="F-30",3,IF(L1075="F-60",4,IF(L1075="F-90",5,IF(L1075="F-120",6,IF(L1075="F-150",7,0)))))),0),0)+IF(AND(O1075="FIRE TEX 5120",OR(E1075="IN",E1075="C",E1075="Z",E1075="L"),J1075=3),VLOOKUP(_xlfn.MINIFS('FIRE TEX 5120'!$B$5:$B$40,'FIRE TEX 5120'!$B$5:$B$40,"&gt;="&amp;M1075),'FIRE TEX 5120'!$B$5:$G$40,IF(L1075="F-15",2,IF(L1075="F-30",3,IF(L1075="F-60",4,IF(L1075="F-90",5,IF(L1075="F-120",6,0))))),0),0)+IF(AND(O1075="FIRE TEX 5120",OR(E1075="IN",E1075="C",E1075="Z",E1075="L"),J1075=4),VLOOKUP(_xlfn.MINIFS('FIRE TEX 5120'!$H$4:$H$40,'FIRE TEX 5120'!$H$4:$H$40,"&gt;="&amp;M1075),'FIRE TEX 5120'!$H$4:$M$40,IF(L1075="F-15",2,IF(L1075="F-30",3,IF(L1075="F-60",4,IF(L1075="F-90",5,IF(L1075="F-120",6,0))))),0),0)+IF(AND(O1075="FIRE TEX 5120",E1075="CJ"),VLOOKUP(_xlfn.MINIFS('FIRE TEX 5120'!$O$5:$O$40,'FIRE TEX 5120'!$O$5:$O$40,"&gt;="&amp;M1075),'FIRE TEX 5120'!$O$5:$T$40,IF(L1075="F-15",2,IF(L1075="F-30",3,IF(L1075="F-60",4,IF(L1075="F-90",5,IF(L1075="F-120",6,0))))),0),0)</f>
        <v>0</v>
      </c>
      <c r="Q1075" s="46">
        <f t="shared" si="104"/>
        <v>0</v>
      </c>
      <c r="R1075" s="46">
        <f t="shared" si="105"/>
        <v>0</v>
      </c>
      <c r="S1075" s="46" t="e">
        <f t="shared" si="106"/>
        <v>#VALUE!</v>
      </c>
      <c r="T1075" s="677">
        <f t="shared" si="107"/>
        <v>0</v>
      </c>
      <c r="U1075" s="80">
        <f>(IF(O1075="Stofire",(S1075*#REF!),0))+(IF(O1075="Fire Control",(S1075*$U$2),0))+(IF(O1075="Fire Tex",(S1075*$U$3),0))+(IF(O1075="WB7",(S1075*#REF!),0)+(IF(O1075="FX 2003",(S1075*$U$5),0)))</f>
        <v>0</v>
      </c>
      <c r="V1075" s="651">
        <f t="shared" si="108"/>
        <v>0</v>
      </c>
    </row>
    <row r="1076" spans="4:22" x14ac:dyDescent="0.25">
      <c r="D1076" s="118">
        <f>+CUBICACION!D1075</f>
        <v>0</v>
      </c>
      <c r="E1076" s="118">
        <f>+CUBICACION!F1075</f>
        <v>0</v>
      </c>
      <c r="F1076" s="118">
        <f>+CUBICACION!E1075</f>
        <v>0</v>
      </c>
      <c r="G1076" s="118">
        <v>12</v>
      </c>
      <c r="H1076" s="118">
        <v>2</v>
      </c>
      <c r="I1076" s="820">
        <v>26385</v>
      </c>
      <c r="J1076" s="118">
        <f>+CUBICACION!J1075</f>
        <v>0</v>
      </c>
      <c r="K1076" s="118">
        <v>3855</v>
      </c>
      <c r="L1076" s="118">
        <f>+CUBICACION!L1075</f>
        <v>0</v>
      </c>
      <c r="M1076" s="64">
        <f>+CUBICACION!M1075</f>
        <v>0</v>
      </c>
      <c r="N1076" s="824" t="str">
        <f>+CUBICACION!N1075</f>
        <v/>
      </c>
      <c r="O1076" s="675">
        <f>+CUBICACION!O1075</f>
        <v>0</v>
      </c>
      <c r="P1076" s="15">
        <f>IF(O1076="Fire Control",VLOOKUP(_xlfn.MINIFS('FIRE CONTROL'!$C$4:$C$37,'FIRE CONTROL'!$C$4:$C$37,"&gt;="&amp;M1076),'FIRE CONTROL'!$C$4:$G$37,IF(L1076="F-15",2,IF(L1076="F-30",3,IF(L1076="F-60",4,IF(L1076="F-90",5,0)))),0),0)+IF(AND(O1076="FIRE TEX 5062",OR(E1076="IN",E1076="C",E1076="Z",E1076="L"),J1076=3),VLOOKUP(_xlfn.MINIFS('FIRE TEX 5062'!$B$4:$B$34,'FIRE TEX 5062'!$B$4:$B$34,"&gt;="&amp;M1076),'FIRE TEX 5062'!$B$4:$F$34,IF(L1076="F-15",2,IF(L1076="F-30",3,IF(L1076="F-60",4,IF(L1076="F-90",5,0)))),0),0)+IF(AND(O1076="FIRE TEX 5062",OR(E1076="IN",E1076="C",E1076="Z",E1076="L"),J1076=4),VLOOKUP(_xlfn.MINIFS('FIRE TEX 5062'!$G$4:$G$34,'FIRE TEX 5062'!$G$4:$G$34,"&gt;="&amp;M1076),'FIRE TEX 5062'!$G$4:$K$34,IF(L1076="F-15",2,IF(L1076="F-30",3,IF(L1076="F-60",4,IF(L1076="F-90",5,0)))),0),0)+IF(AND(O1076="FIRE TEX 5062",E1076="CJ",J1076=3),VLOOKUP(_xlfn.MINIFS('FIRE TEX 5062'!$L$4:$L$34,'FIRE TEX 5062'!$L$4:$L$34,"&gt;="&amp;M1076),'FIRE TEX 5062'!$L$4:$P$34,IF(L1076="F-15",2,IF(L1076="F-30",3,IF(L1076="F-60",4,IF(L1076="F-90",5,0)))),0),0)+IF(AND(O1076="FIRE TEX 5062",E1076="CJ",J1076=4),VLOOKUP(_xlfn.MINIFS('FIRE TEX 5062'!$Q$3:$Q$34,'FIRE TEX 5062'!$Q$3:$Q$34,"&gt;="&amp;M1076),'FIRE TEX 5062'!$Q$3:$U$34,IF(L1076="F-15",2,IF(L1076="F-30",3,IF(L1076="F-60",4,IF(L1076="F-90",5,0)))),0),0)+IF(AND(O1076="FIRE TEX 5090",OR(E1076="IN",E1076="C",E1076="Z",E1076="L"),J1076=3),VLOOKUP(_xlfn.MINIFS('FIRE TEX 5090'!$B$5:$B$43,'FIRE TEX 5090'!$B$5:$B$43,"&gt;="&amp;M1076),'FIRE TEX 5090'!$B$5:$H$43,IF(L1076="F-15",2,IF(L1076="F-30",3,IF(L1076="F-60",4,IF(L1076="F-90",5,IF(L1076="F-120",6,IF(L1076="F-150",7,0)))))),0),0)+IF(AND(O1076="FIRE TEX 5090",OR(E1076="IN",E1076="C",E1076="Z",E1076="L"),J1076=4),VLOOKUP(_xlfn.MINIFS('FIRE TEX 5090'!$J$5:$J$43,'FIRE TEX 5090'!$J$5:$J$43,"&gt;="&amp;M1076),'FIRE TEX 5090'!$J$5:$P$43,IF(L1076="F-15",2,IF(L1076="F-30",3,IF(L1076="F-60",4,IF(L1076="F-90",5,IF(L1076="F-120",6,IF(L1076="F-150",7,0)))))),0),0)+IF(AND(O1076="FIRE TEX 5090",E1076="CJ",J1076=3),VLOOKUP(_xlfn.MINIFS('FIRE TEX 5090'!$R$5:$R$30,'FIRE TEX 5090'!$R$5:$R$30,"&gt;="&amp;M1076),'FIRE TEX 5090'!$R$5:$W$30,IF(L1076="F-15",2,IF(L1076="F-30",3,IF(L1076="F-60",4,IF(L1076="F-90",5,IF(L1076="F-120",6,IF(L1076="F-150",7,0)))))),0),0)+IF(AND(O1076="FIRE TEX 5090",E1076="CJ",J1076=4),VLOOKUP(_xlfn.MINIFS('FIRE TEX 5090'!$Y$5:$Y$39,'FIRE TEX 5090'!$Y$5:$Y$39,"&gt;="&amp;M1076),'FIRE TEX 5090'!$Y$5:$AD$39,IF(L1076="F-15",2,IF(L1076="F-30",3,IF(L1076="F-60",4,IF(L1076="F-90",5,IF(L1076="F-120",6,IF(L1076="F-150",7,0)))))),0),0)+IF(AND(O1076="FIRE TEX 5120",OR(E1076="IN",E1076="C",E1076="Z",E1076="L"),J1076=3),VLOOKUP(_xlfn.MINIFS('FIRE TEX 5120'!$B$5:$B$40,'FIRE TEX 5120'!$B$5:$B$40,"&gt;="&amp;M1076),'FIRE TEX 5120'!$B$5:$G$40,IF(L1076="F-15",2,IF(L1076="F-30",3,IF(L1076="F-60",4,IF(L1076="F-90",5,IF(L1076="F-120",6,0))))),0),0)+IF(AND(O1076="FIRE TEX 5120",OR(E1076="IN",E1076="C",E1076="Z",E1076="L"),J1076=4),VLOOKUP(_xlfn.MINIFS('FIRE TEX 5120'!$H$4:$H$40,'FIRE TEX 5120'!$H$4:$H$40,"&gt;="&amp;M1076),'FIRE TEX 5120'!$H$4:$M$40,IF(L1076="F-15",2,IF(L1076="F-30",3,IF(L1076="F-60",4,IF(L1076="F-90",5,IF(L1076="F-120",6,0))))),0),0)+IF(AND(O1076="FIRE TEX 5120",E1076="CJ"),VLOOKUP(_xlfn.MINIFS('FIRE TEX 5120'!$O$5:$O$40,'FIRE TEX 5120'!$O$5:$O$40,"&gt;="&amp;M1076),'FIRE TEX 5120'!$O$5:$T$40,IF(L1076="F-15",2,IF(L1076="F-30",3,IF(L1076="F-60",4,IF(L1076="F-90",5,IF(L1076="F-120",6,0))))),0),0)</f>
        <v>0</v>
      </c>
      <c r="Q1076" s="46">
        <f t="shared" si="104"/>
        <v>0</v>
      </c>
      <c r="R1076" s="46">
        <f t="shared" si="105"/>
        <v>0</v>
      </c>
      <c r="S1076" s="46" t="e">
        <f t="shared" si="106"/>
        <v>#VALUE!</v>
      </c>
      <c r="T1076" s="677">
        <f t="shared" si="107"/>
        <v>0</v>
      </c>
      <c r="U1076" s="80">
        <f>(IF(O1076="Stofire",(S1076*#REF!),0))+(IF(O1076="Fire Control",(S1076*$U$2),0))+(IF(O1076="Fire Tex",(S1076*$U$3),0))+(IF(O1076="WB7",(S1076*#REF!),0)+(IF(O1076="FX 2003",(S1076*$U$5),0)))</f>
        <v>0</v>
      </c>
      <c r="V1076" s="651">
        <f t="shared" si="108"/>
        <v>0</v>
      </c>
    </row>
    <row r="1077" spans="4:22" x14ac:dyDescent="0.25">
      <c r="D1077" s="118">
        <f>+CUBICACION!D1076</f>
        <v>0</v>
      </c>
      <c r="E1077" s="118">
        <f>+CUBICACION!F1076</f>
        <v>0</v>
      </c>
      <c r="F1077" s="118">
        <f>+CUBICACION!E1076</f>
        <v>0</v>
      </c>
      <c r="G1077" s="118">
        <v>12</v>
      </c>
      <c r="H1077" s="118">
        <v>2</v>
      </c>
      <c r="I1077" s="820">
        <v>26385</v>
      </c>
      <c r="J1077" s="118">
        <f>+CUBICACION!J1076</f>
        <v>0</v>
      </c>
      <c r="K1077" s="118">
        <v>3856</v>
      </c>
      <c r="L1077" s="118">
        <f>+CUBICACION!L1076</f>
        <v>0</v>
      </c>
      <c r="M1077" s="64">
        <f>+CUBICACION!M1076</f>
        <v>0</v>
      </c>
      <c r="N1077" s="824" t="str">
        <f>+CUBICACION!N1076</f>
        <v/>
      </c>
      <c r="O1077" s="675">
        <f>+CUBICACION!O1076</f>
        <v>0</v>
      </c>
      <c r="P1077" s="15">
        <f>IF(O1077="Fire Control",VLOOKUP(_xlfn.MINIFS('FIRE CONTROL'!$C$4:$C$37,'FIRE CONTROL'!$C$4:$C$37,"&gt;="&amp;M1077),'FIRE CONTROL'!$C$4:$G$37,IF(L1077="F-15",2,IF(L1077="F-30",3,IF(L1077="F-60",4,IF(L1077="F-90",5,0)))),0),0)+IF(AND(O1077="FIRE TEX 5062",OR(E1077="IN",E1077="C",E1077="Z",E1077="L"),J1077=3),VLOOKUP(_xlfn.MINIFS('FIRE TEX 5062'!$B$4:$B$34,'FIRE TEX 5062'!$B$4:$B$34,"&gt;="&amp;M1077),'FIRE TEX 5062'!$B$4:$F$34,IF(L1077="F-15",2,IF(L1077="F-30",3,IF(L1077="F-60",4,IF(L1077="F-90",5,0)))),0),0)+IF(AND(O1077="FIRE TEX 5062",OR(E1077="IN",E1077="C",E1077="Z",E1077="L"),J1077=4),VLOOKUP(_xlfn.MINIFS('FIRE TEX 5062'!$G$4:$G$34,'FIRE TEX 5062'!$G$4:$G$34,"&gt;="&amp;M1077),'FIRE TEX 5062'!$G$4:$K$34,IF(L1077="F-15",2,IF(L1077="F-30",3,IF(L1077="F-60",4,IF(L1077="F-90",5,0)))),0),0)+IF(AND(O1077="FIRE TEX 5062",E1077="CJ",J1077=3),VLOOKUP(_xlfn.MINIFS('FIRE TEX 5062'!$L$4:$L$34,'FIRE TEX 5062'!$L$4:$L$34,"&gt;="&amp;M1077),'FIRE TEX 5062'!$L$4:$P$34,IF(L1077="F-15",2,IF(L1077="F-30",3,IF(L1077="F-60",4,IF(L1077="F-90",5,0)))),0),0)+IF(AND(O1077="FIRE TEX 5062",E1077="CJ",J1077=4),VLOOKUP(_xlfn.MINIFS('FIRE TEX 5062'!$Q$3:$Q$34,'FIRE TEX 5062'!$Q$3:$Q$34,"&gt;="&amp;M1077),'FIRE TEX 5062'!$Q$3:$U$34,IF(L1077="F-15",2,IF(L1077="F-30",3,IF(L1077="F-60",4,IF(L1077="F-90",5,0)))),0),0)+IF(AND(O1077="FIRE TEX 5090",OR(E1077="IN",E1077="C",E1077="Z",E1077="L"),J1077=3),VLOOKUP(_xlfn.MINIFS('FIRE TEX 5090'!$B$5:$B$43,'FIRE TEX 5090'!$B$5:$B$43,"&gt;="&amp;M1077),'FIRE TEX 5090'!$B$5:$H$43,IF(L1077="F-15",2,IF(L1077="F-30",3,IF(L1077="F-60",4,IF(L1077="F-90",5,IF(L1077="F-120",6,IF(L1077="F-150",7,0)))))),0),0)+IF(AND(O1077="FIRE TEX 5090",OR(E1077="IN",E1077="C",E1077="Z",E1077="L"),J1077=4),VLOOKUP(_xlfn.MINIFS('FIRE TEX 5090'!$J$5:$J$43,'FIRE TEX 5090'!$J$5:$J$43,"&gt;="&amp;M1077),'FIRE TEX 5090'!$J$5:$P$43,IF(L1077="F-15",2,IF(L1077="F-30",3,IF(L1077="F-60",4,IF(L1077="F-90",5,IF(L1077="F-120",6,IF(L1077="F-150",7,0)))))),0),0)+IF(AND(O1077="FIRE TEX 5090",E1077="CJ",J1077=3),VLOOKUP(_xlfn.MINIFS('FIRE TEX 5090'!$R$5:$R$30,'FIRE TEX 5090'!$R$5:$R$30,"&gt;="&amp;M1077),'FIRE TEX 5090'!$R$5:$W$30,IF(L1077="F-15",2,IF(L1077="F-30",3,IF(L1077="F-60",4,IF(L1077="F-90",5,IF(L1077="F-120",6,IF(L1077="F-150",7,0)))))),0),0)+IF(AND(O1077="FIRE TEX 5090",E1077="CJ",J1077=4),VLOOKUP(_xlfn.MINIFS('FIRE TEX 5090'!$Y$5:$Y$39,'FIRE TEX 5090'!$Y$5:$Y$39,"&gt;="&amp;M1077),'FIRE TEX 5090'!$Y$5:$AD$39,IF(L1077="F-15",2,IF(L1077="F-30",3,IF(L1077="F-60",4,IF(L1077="F-90",5,IF(L1077="F-120",6,IF(L1077="F-150",7,0)))))),0),0)+IF(AND(O1077="FIRE TEX 5120",OR(E1077="IN",E1077="C",E1077="Z",E1077="L"),J1077=3),VLOOKUP(_xlfn.MINIFS('FIRE TEX 5120'!$B$5:$B$40,'FIRE TEX 5120'!$B$5:$B$40,"&gt;="&amp;M1077),'FIRE TEX 5120'!$B$5:$G$40,IF(L1077="F-15",2,IF(L1077="F-30",3,IF(L1077="F-60",4,IF(L1077="F-90",5,IF(L1077="F-120",6,0))))),0),0)+IF(AND(O1077="FIRE TEX 5120",OR(E1077="IN",E1077="C",E1077="Z",E1077="L"),J1077=4),VLOOKUP(_xlfn.MINIFS('FIRE TEX 5120'!$H$4:$H$40,'FIRE TEX 5120'!$H$4:$H$40,"&gt;="&amp;M1077),'FIRE TEX 5120'!$H$4:$M$40,IF(L1077="F-15",2,IF(L1077="F-30",3,IF(L1077="F-60",4,IF(L1077="F-90",5,IF(L1077="F-120",6,0))))),0),0)+IF(AND(O1077="FIRE TEX 5120",E1077="CJ"),VLOOKUP(_xlfn.MINIFS('FIRE TEX 5120'!$O$5:$O$40,'FIRE TEX 5120'!$O$5:$O$40,"&gt;="&amp;M1077),'FIRE TEX 5120'!$O$5:$T$40,IF(L1077="F-15",2,IF(L1077="F-30",3,IF(L1077="F-60",4,IF(L1077="F-90",5,IF(L1077="F-120",6,0))))),0),0)</f>
        <v>0</v>
      </c>
      <c r="Q1077" s="46">
        <f t="shared" si="104"/>
        <v>0</v>
      </c>
      <c r="R1077" s="46">
        <f t="shared" si="105"/>
        <v>0</v>
      </c>
      <c r="S1077" s="46" t="e">
        <f t="shared" si="106"/>
        <v>#VALUE!</v>
      </c>
      <c r="T1077" s="677">
        <f t="shared" si="107"/>
        <v>0</v>
      </c>
      <c r="U1077" s="80">
        <f>(IF(O1077="Stofire",(S1077*#REF!),0))+(IF(O1077="Fire Control",(S1077*$U$2),0))+(IF(O1077="Fire Tex",(S1077*$U$3),0))+(IF(O1077="WB7",(S1077*#REF!),0)+(IF(O1077="FX 2003",(S1077*$U$5),0)))</f>
        <v>0</v>
      </c>
      <c r="V1077" s="651">
        <f t="shared" si="108"/>
        <v>0</v>
      </c>
    </row>
    <row r="1078" spans="4:22" x14ac:dyDescent="0.25">
      <c r="D1078" s="118">
        <f>+CUBICACION!D1077</f>
        <v>0</v>
      </c>
      <c r="E1078" s="118">
        <f>+CUBICACION!F1077</f>
        <v>0</v>
      </c>
      <c r="F1078" s="118">
        <f>+CUBICACION!E1077</f>
        <v>0</v>
      </c>
      <c r="G1078" s="118">
        <v>12</v>
      </c>
      <c r="H1078" s="118">
        <v>2</v>
      </c>
      <c r="I1078" s="820">
        <v>26385</v>
      </c>
      <c r="J1078" s="118">
        <f>+CUBICACION!J1077</f>
        <v>0</v>
      </c>
      <c r="K1078" s="118">
        <v>3857</v>
      </c>
      <c r="L1078" s="118">
        <f>+CUBICACION!L1077</f>
        <v>0</v>
      </c>
      <c r="M1078" s="64">
        <f>+CUBICACION!M1077</f>
        <v>0</v>
      </c>
      <c r="N1078" s="824" t="str">
        <f>+CUBICACION!N1077</f>
        <v/>
      </c>
      <c r="O1078" s="675">
        <f>+CUBICACION!O1077</f>
        <v>0</v>
      </c>
      <c r="P1078" s="15">
        <f>IF(O1078="Fire Control",VLOOKUP(_xlfn.MINIFS('FIRE CONTROL'!$C$4:$C$37,'FIRE CONTROL'!$C$4:$C$37,"&gt;="&amp;M1078),'FIRE CONTROL'!$C$4:$G$37,IF(L1078="F-15",2,IF(L1078="F-30",3,IF(L1078="F-60",4,IF(L1078="F-90",5,0)))),0),0)+IF(AND(O1078="FIRE TEX 5062",OR(E1078="IN",E1078="C",E1078="Z",E1078="L"),J1078=3),VLOOKUP(_xlfn.MINIFS('FIRE TEX 5062'!$B$4:$B$34,'FIRE TEX 5062'!$B$4:$B$34,"&gt;="&amp;M1078),'FIRE TEX 5062'!$B$4:$F$34,IF(L1078="F-15",2,IF(L1078="F-30",3,IF(L1078="F-60",4,IF(L1078="F-90",5,0)))),0),0)+IF(AND(O1078="FIRE TEX 5062",OR(E1078="IN",E1078="C",E1078="Z",E1078="L"),J1078=4),VLOOKUP(_xlfn.MINIFS('FIRE TEX 5062'!$G$4:$G$34,'FIRE TEX 5062'!$G$4:$G$34,"&gt;="&amp;M1078),'FIRE TEX 5062'!$G$4:$K$34,IF(L1078="F-15",2,IF(L1078="F-30",3,IF(L1078="F-60",4,IF(L1078="F-90",5,0)))),0),0)+IF(AND(O1078="FIRE TEX 5062",E1078="CJ",J1078=3),VLOOKUP(_xlfn.MINIFS('FIRE TEX 5062'!$L$4:$L$34,'FIRE TEX 5062'!$L$4:$L$34,"&gt;="&amp;M1078),'FIRE TEX 5062'!$L$4:$P$34,IF(L1078="F-15",2,IF(L1078="F-30",3,IF(L1078="F-60",4,IF(L1078="F-90",5,0)))),0),0)+IF(AND(O1078="FIRE TEX 5062",E1078="CJ",J1078=4),VLOOKUP(_xlfn.MINIFS('FIRE TEX 5062'!$Q$3:$Q$34,'FIRE TEX 5062'!$Q$3:$Q$34,"&gt;="&amp;M1078),'FIRE TEX 5062'!$Q$3:$U$34,IF(L1078="F-15",2,IF(L1078="F-30",3,IF(L1078="F-60",4,IF(L1078="F-90",5,0)))),0),0)+IF(AND(O1078="FIRE TEX 5090",OR(E1078="IN",E1078="C",E1078="Z",E1078="L"),J1078=3),VLOOKUP(_xlfn.MINIFS('FIRE TEX 5090'!$B$5:$B$43,'FIRE TEX 5090'!$B$5:$B$43,"&gt;="&amp;M1078),'FIRE TEX 5090'!$B$5:$H$43,IF(L1078="F-15",2,IF(L1078="F-30",3,IF(L1078="F-60",4,IF(L1078="F-90",5,IF(L1078="F-120",6,IF(L1078="F-150",7,0)))))),0),0)+IF(AND(O1078="FIRE TEX 5090",OR(E1078="IN",E1078="C",E1078="Z",E1078="L"),J1078=4),VLOOKUP(_xlfn.MINIFS('FIRE TEX 5090'!$J$5:$J$43,'FIRE TEX 5090'!$J$5:$J$43,"&gt;="&amp;M1078),'FIRE TEX 5090'!$J$5:$P$43,IF(L1078="F-15",2,IF(L1078="F-30",3,IF(L1078="F-60",4,IF(L1078="F-90",5,IF(L1078="F-120",6,IF(L1078="F-150",7,0)))))),0),0)+IF(AND(O1078="FIRE TEX 5090",E1078="CJ",J1078=3),VLOOKUP(_xlfn.MINIFS('FIRE TEX 5090'!$R$5:$R$30,'FIRE TEX 5090'!$R$5:$R$30,"&gt;="&amp;M1078),'FIRE TEX 5090'!$R$5:$W$30,IF(L1078="F-15",2,IF(L1078="F-30",3,IF(L1078="F-60",4,IF(L1078="F-90",5,IF(L1078="F-120",6,IF(L1078="F-150",7,0)))))),0),0)+IF(AND(O1078="FIRE TEX 5090",E1078="CJ",J1078=4),VLOOKUP(_xlfn.MINIFS('FIRE TEX 5090'!$Y$5:$Y$39,'FIRE TEX 5090'!$Y$5:$Y$39,"&gt;="&amp;M1078),'FIRE TEX 5090'!$Y$5:$AD$39,IF(L1078="F-15",2,IF(L1078="F-30",3,IF(L1078="F-60",4,IF(L1078="F-90",5,IF(L1078="F-120",6,IF(L1078="F-150",7,0)))))),0),0)+IF(AND(O1078="FIRE TEX 5120",OR(E1078="IN",E1078="C",E1078="Z",E1078="L"),J1078=3),VLOOKUP(_xlfn.MINIFS('FIRE TEX 5120'!$B$5:$B$40,'FIRE TEX 5120'!$B$5:$B$40,"&gt;="&amp;M1078),'FIRE TEX 5120'!$B$5:$G$40,IF(L1078="F-15",2,IF(L1078="F-30",3,IF(L1078="F-60",4,IF(L1078="F-90",5,IF(L1078="F-120",6,0))))),0),0)+IF(AND(O1078="FIRE TEX 5120",OR(E1078="IN",E1078="C",E1078="Z",E1078="L"),J1078=4),VLOOKUP(_xlfn.MINIFS('FIRE TEX 5120'!$H$4:$H$40,'FIRE TEX 5120'!$H$4:$H$40,"&gt;="&amp;M1078),'FIRE TEX 5120'!$H$4:$M$40,IF(L1078="F-15",2,IF(L1078="F-30",3,IF(L1078="F-60",4,IF(L1078="F-90",5,IF(L1078="F-120",6,0))))),0),0)+IF(AND(O1078="FIRE TEX 5120",E1078="CJ"),VLOOKUP(_xlfn.MINIFS('FIRE TEX 5120'!$O$5:$O$40,'FIRE TEX 5120'!$O$5:$O$40,"&gt;="&amp;M1078),'FIRE TEX 5120'!$O$5:$T$40,IF(L1078="F-15",2,IF(L1078="F-30",3,IF(L1078="F-60",4,IF(L1078="F-90",5,IF(L1078="F-120",6,0))))),0),0)</f>
        <v>0</v>
      </c>
      <c r="Q1078" s="46">
        <f t="shared" si="104"/>
        <v>0</v>
      </c>
      <c r="R1078" s="46">
        <f t="shared" si="105"/>
        <v>0</v>
      </c>
      <c r="S1078" s="46" t="e">
        <f t="shared" si="106"/>
        <v>#VALUE!</v>
      </c>
      <c r="T1078" s="677">
        <f t="shared" si="107"/>
        <v>0</v>
      </c>
      <c r="U1078" s="80">
        <f>(IF(O1078="Stofire",(S1078*#REF!),0))+(IF(O1078="Fire Control",(S1078*$U$2),0))+(IF(O1078="Fire Tex",(S1078*$U$3),0))+(IF(O1078="WB7",(S1078*#REF!),0)+(IF(O1078="FX 2003",(S1078*$U$5),0)))</f>
        <v>0</v>
      </c>
      <c r="V1078" s="651">
        <f t="shared" si="108"/>
        <v>0</v>
      </c>
    </row>
    <row r="1079" spans="4:22" x14ac:dyDescent="0.25">
      <c r="D1079" s="118">
        <f>+CUBICACION!D1078</f>
        <v>0</v>
      </c>
      <c r="E1079" s="118">
        <f>+CUBICACION!F1078</f>
        <v>0</v>
      </c>
      <c r="F1079" s="118">
        <f>+CUBICACION!E1078</f>
        <v>0</v>
      </c>
      <c r="G1079" s="118">
        <v>12</v>
      </c>
      <c r="H1079" s="118">
        <v>2</v>
      </c>
      <c r="I1079" s="820">
        <v>26385</v>
      </c>
      <c r="J1079" s="118">
        <f>+CUBICACION!J1078</f>
        <v>0</v>
      </c>
      <c r="K1079" s="118">
        <v>3858</v>
      </c>
      <c r="L1079" s="118">
        <f>+CUBICACION!L1078</f>
        <v>0</v>
      </c>
      <c r="M1079" s="64">
        <f>+CUBICACION!M1078</f>
        <v>0</v>
      </c>
      <c r="N1079" s="824" t="str">
        <f>+CUBICACION!N1078</f>
        <v/>
      </c>
      <c r="O1079" s="675">
        <f>+CUBICACION!O1078</f>
        <v>0</v>
      </c>
      <c r="P1079" s="15">
        <f>IF(O1079="Fire Control",VLOOKUP(_xlfn.MINIFS('FIRE CONTROL'!$C$4:$C$37,'FIRE CONTROL'!$C$4:$C$37,"&gt;="&amp;M1079),'FIRE CONTROL'!$C$4:$G$37,IF(L1079="F-15",2,IF(L1079="F-30",3,IF(L1079="F-60",4,IF(L1079="F-90",5,0)))),0),0)+IF(AND(O1079="FIRE TEX 5062",OR(E1079="IN",E1079="C",E1079="Z",E1079="L"),J1079=3),VLOOKUP(_xlfn.MINIFS('FIRE TEX 5062'!$B$4:$B$34,'FIRE TEX 5062'!$B$4:$B$34,"&gt;="&amp;M1079),'FIRE TEX 5062'!$B$4:$F$34,IF(L1079="F-15",2,IF(L1079="F-30",3,IF(L1079="F-60",4,IF(L1079="F-90",5,0)))),0),0)+IF(AND(O1079="FIRE TEX 5062",OR(E1079="IN",E1079="C",E1079="Z",E1079="L"),J1079=4),VLOOKUP(_xlfn.MINIFS('FIRE TEX 5062'!$G$4:$G$34,'FIRE TEX 5062'!$G$4:$G$34,"&gt;="&amp;M1079),'FIRE TEX 5062'!$G$4:$K$34,IF(L1079="F-15",2,IF(L1079="F-30",3,IF(L1079="F-60",4,IF(L1079="F-90",5,0)))),0),0)+IF(AND(O1079="FIRE TEX 5062",E1079="CJ",J1079=3),VLOOKUP(_xlfn.MINIFS('FIRE TEX 5062'!$L$4:$L$34,'FIRE TEX 5062'!$L$4:$L$34,"&gt;="&amp;M1079),'FIRE TEX 5062'!$L$4:$P$34,IF(L1079="F-15",2,IF(L1079="F-30",3,IF(L1079="F-60",4,IF(L1079="F-90",5,0)))),0),0)+IF(AND(O1079="FIRE TEX 5062",E1079="CJ",J1079=4),VLOOKUP(_xlfn.MINIFS('FIRE TEX 5062'!$Q$3:$Q$34,'FIRE TEX 5062'!$Q$3:$Q$34,"&gt;="&amp;M1079),'FIRE TEX 5062'!$Q$3:$U$34,IF(L1079="F-15",2,IF(L1079="F-30",3,IF(L1079="F-60",4,IF(L1079="F-90",5,0)))),0),0)+IF(AND(O1079="FIRE TEX 5090",OR(E1079="IN",E1079="C",E1079="Z",E1079="L"),J1079=3),VLOOKUP(_xlfn.MINIFS('FIRE TEX 5090'!$B$5:$B$43,'FIRE TEX 5090'!$B$5:$B$43,"&gt;="&amp;M1079),'FIRE TEX 5090'!$B$5:$H$43,IF(L1079="F-15",2,IF(L1079="F-30",3,IF(L1079="F-60",4,IF(L1079="F-90",5,IF(L1079="F-120",6,IF(L1079="F-150",7,0)))))),0),0)+IF(AND(O1079="FIRE TEX 5090",OR(E1079="IN",E1079="C",E1079="Z",E1079="L"),J1079=4),VLOOKUP(_xlfn.MINIFS('FIRE TEX 5090'!$J$5:$J$43,'FIRE TEX 5090'!$J$5:$J$43,"&gt;="&amp;M1079),'FIRE TEX 5090'!$J$5:$P$43,IF(L1079="F-15",2,IF(L1079="F-30",3,IF(L1079="F-60",4,IF(L1079="F-90",5,IF(L1079="F-120",6,IF(L1079="F-150",7,0)))))),0),0)+IF(AND(O1079="FIRE TEX 5090",E1079="CJ",J1079=3),VLOOKUP(_xlfn.MINIFS('FIRE TEX 5090'!$R$5:$R$30,'FIRE TEX 5090'!$R$5:$R$30,"&gt;="&amp;M1079),'FIRE TEX 5090'!$R$5:$W$30,IF(L1079="F-15",2,IF(L1079="F-30",3,IF(L1079="F-60",4,IF(L1079="F-90",5,IF(L1079="F-120",6,IF(L1079="F-150",7,0)))))),0),0)+IF(AND(O1079="FIRE TEX 5090",E1079="CJ",J1079=4),VLOOKUP(_xlfn.MINIFS('FIRE TEX 5090'!$Y$5:$Y$39,'FIRE TEX 5090'!$Y$5:$Y$39,"&gt;="&amp;M1079),'FIRE TEX 5090'!$Y$5:$AD$39,IF(L1079="F-15",2,IF(L1079="F-30",3,IF(L1079="F-60",4,IF(L1079="F-90",5,IF(L1079="F-120",6,IF(L1079="F-150",7,0)))))),0),0)+IF(AND(O1079="FIRE TEX 5120",OR(E1079="IN",E1079="C",E1079="Z",E1079="L"),J1079=3),VLOOKUP(_xlfn.MINIFS('FIRE TEX 5120'!$B$5:$B$40,'FIRE TEX 5120'!$B$5:$B$40,"&gt;="&amp;M1079),'FIRE TEX 5120'!$B$5:$G$40,IF(L1079="F-15",2,IF(L1079="F-30",3,IF(L1079="F-60",4,IF(L1079="F-90",5,IF(L1079="F-120",6,0))))),0),0)+IF(AND(O1079="FIRE TEX 5120",OR(E1079="IN",E1079="C",E1079="Z",E1079="L"),J1079=4),VLOOKUP(_xlfn.MINIFS('FIRE TEX 5120'!$H$4:$H$40,'FIRE TEX 5120'!$H$4:$H$40,"&gt;="&amp;M1079),'FIRE TEX 5120'!$H$4:$M$40,IF(L1079="F-15",2,IF(L1079="F-30",3,IF(L1079="F-60",4,IF(L1079="F-90",5,IF(L1079="F-120",6,0))))),0),0)+IF(AND(O1079="FIRE TEX 5120",E1079="CJ"),VLOOKUP(_xlfn.MINIFS('FIRE TEX 5120'!$O$5:$O$40,'FIRE TEX 5120'!$O$5:$O$40,"&gt;="&amp;M1079),'FIRE TEX 5120'!$O$5:$T$40,IF(L1079="F-15",2,IF(L1079="F-30",3,IF(L1079="F-60",4,IF(L1079="F-90",5,IF(L1079="F-120",6,0))))),0),0)</f>
        <v>0</v>
      </c>
      <c r="Q1079" s="46">
        <f t="shared" si="104"/>
        <v>0</v>
      </c>
      <c r="R1079" s="46">
        <f t="shared" si="105"/>
        <v>0</v>
      </c>
      <c r="S1079" s="46" t="e">
        <f t="shared" si="106"/>
        <v>#VALUE!</v>
      </c>
      <c r="T1079" s="677">
        <f t="shared" si="107"/>
        <v>0</v>
      </c>
      <c r="U1079" s="80">
        <f>(IF(O1079="Stofire",(S1079*#REF!),0))+(IF(O1079="Fire Control",(S1079*$U$2),0))+(IF(O1079="Fire Tex",(S1079*$U$3),0))+(IF(O1079="WB7",(S1079*#REF!),0)+(IF(O1079="FX 2003",(S1079*$U$5),0)))</f>
        <v>0</v>
      </c>
      <c r="V1079" s="651">
        <f t="shared" si="108"/>
        <v>0</v>
      </c>
    </row>
    <row r="1080" spans="4:22" x14ac:dyDescent="0.25">
      <c r="D1080" s="118">
        <f>+CUBICACION!D1079</f>
        <v>0</v>
      </c>
      <c r="E1080" s="118">
        <f>+CUBICACION!F1079</f>
        <v>0</v>
      </c>
      <c r="F1080" s="118">
        <f>+CUBICACION!E1079</f>
        <v>0</v>
      </c>
      <c r="G1080" s="118">
        <v>12</v>
      </c>
      <c r="H1080" s="118">
        <v>2</v>
      </c>
      <c r="I1080" s="820">
        <v>26385</v>
      </c>
      <c r="J1080" s="118">
        <f>+CUBICACION!J1079</f>
        <v>0</v>
      </c>
      <c r="K1080" s="118">
        <v>3859</v>
      </c>
      <c r="L1080" s="118">
        <f>+CUBICACION!L1079</f>
        <v>0</v>
      </c>
      <c r="M1080" s="64">
        <f>+CUBICACION!M1079</f>
        <v>0</v>
      </c>
      <c r="N1080" s="824" t="str">
        <f>+CUBICACION!N1079</f>
        <v/>
      </c>
      <c r="O1080" s="675">
        <f>+CUBICACION!O1079</f>
        <v>0</v>
      </c>
      <c r="P1080" s="15">
        <f>IF(O1080="Fire Control",VLOOKUP(_xlfn.MINIFS('FIRE CONTROL'!$C$4:$C$37,'FIRE CONTROL'!$C$4:$C$37,"&gt;="&amp;M1080),'FIRE CONTROL'!$C$4:$G$37,IF(L1080="F-15",2,IF(L1080="F-30",3,IF(L1080="F-60",4,IF(L1080="F-90",5,0)))),0),0)+IF(AND(O1080="FIRE TEX 5062",OR(E1080="IN",E1080="C",E1080="Z",E1080="L"),J1080=3),VLOOKUP(_xlfn.MINIFS('FIRE TEX 5062'!$B$4:$B$34,'FIRE TEX 5062'!$B$4:$B$34,"&gt;="&amp;M1080),'FIRE TEX 5062'!$B$4:$F$34,IF(L1080="F-15",2,IF(L1080="F-30",3,IF(L1080="F-60",4,IF(L1080="F-90",5,0)))),0),0)+IF(AND(O1080="FIRE TEX 5062",OR(E1080="IN",E1080="C",E1080="Z",E1080="L"),J1080=4),VLOOKUP(_xlfn.MINIFS('FIRE TEX 5062'!$G$4:$G$34,'FIRE TEX 5062'!$G$4:$G$34,"&gt;="&amp;M1080),'FIRE TEX 5062'!$G$4:$K$34,IF(L1080="F-15",2,IF(L1080="F-30",3,IF(L1080="F-60",4,IF(L1080="F-90",5,0)))),0),0)+IF(AND(O1080="FIRE TEX 5062",E1080="CJ",J1080=3),VLOOKUP(_xlfn.MINIFS('FIRE TEX 5062'!$L$4:$L$34,'FIRE TEX 5062'!$L$4:$L$34,"&gt;="&amp;M1080),'FIRE TEX 5062'!$L$4:$P$34,IF(L1080="F-15",2,IF(L1080="F-30",3,IF(L1080="F-60",4,IF(L1080="F-90",5,0)))),0),0)+IF(AND(O1080="FIRE TEX 5062",E1080="CJ",J1080=4),VLOOKUP(_xlfn.MINIFS('FIRE TEX 5062'!$Q$3:$Q$34,'FIRE TEX 5062'!$Q$3:$Q$34,"&gt;="&amp;M1080),'FIRE TEX 5062'!$Q$3:$U$34,IF(L1080="F-15",2,IF(L1080="F-30",3,IF(L1080="F-60",4,IF(L1080="F-90",5,0)))),0),0)+IF(AND(O1080="FIRE TEX 5090",OR(E1080="IN",E1080="C",E1080="Z",E1080="L"),J1080=3),VLOOKUP(_xlfn.MINIFS('FIRE TEX 5090'!$B$5:$B$43,'FIRE TEX 5090'!$B$5:$B$43,"&gt;="&amp;M1080),'FIRE TEX 5090'!$B$5:$H$43,IF(L1080="F-15",2,IF(L1080="F-30",3,IF(L1080="F-60",4,IF(L1080="F-90",5,IF(L1080="F-120",6,IF(L1080="F-150",7,0)))))),0),0)+IF(AND(O1080="FIRE TEX 5090",OR(E1080="IN",E1080="C",E1080="Z",E1080="L"),J1080=4),VLOOKUP(_xlfn.MINIFS('FIRE TEX 5090'!$J$5:$J$43,'FIRE TEX 5090'!$J$5:$J$43,"&gt;="&amp;M1080),'FIRE TEX 5090'!$J$5:$P$43,IF(L1080="F-15",2,IF(L1080="F-30",3,IF(L1080="F-60",4,IF(L1080="F-90",5,IF(L1080="F-120",6,IF(L1080="F-150",7,0)))))),0),0)+IF(AND(O1080="FIRE TEX 5090",E1080="CJ",J1080=3),VLOOKUP(_xlfn.MINIFS('FIRE TEX 5090'!$R$5:$R$30,'FIRE TEX 5090'!$R$5:$R$30,"&gt;="&amp;M1080),'FIRE TEX 5090'!$R$5:$W$30,IF(L1080="F-15",2,IF(L1080="F-30",3,IF(L1080="F-60",4,IF(L1080="F-90",5,IF(L1080="F-120",6,IF(L1080="F-150",7,0)))))),0),0)+IF(AND(O1080="FIRE TEX 5090",E1080="CJ",J1080=4),VLOOKUP(_xlfn.MINIFS('FIRE TEX 5090'!$Y$5:$Y$39,'FIRE TEX 5090'!$Y$5:$Y$39,"&gt;="&amp;M1080),'FIRE TEX 5090'!$Y$5:$AD$39,IF(L1080="F-15",2,IF(L1080="F-30",3,IF(L1080="F-60",4,IF(L1080="F-90",5,IF(L1080="F-120",6,IF(L1080="F-150",7,0)))))),0),0)+IF(AND(O1080="FIRE TEX 5120",OR(E1080="IN",E1080="C",E1080="Z",E1080="L"),J1080=3),VLOOKUP(_xlfn.MINIFS('FIRE TEX 5120'!$B$5:$B$40,'FIRE TEX 5120'!$B$5:$B$40,"&gt;="&amp;M1080),'FIRE TEX 5120'!$B$5:$G$40,IF(L1080="F-15",2,IF(L1080="F-30",3,IF(L1080="F-60",4,IF(L1080="F-90",5,IF(L1080="F-120",6,0))))),0),0)+IF(AND(O1080="FIRE TEX 5120",OR(E1080="IN",E1080="C",E1080="Z",E1080="L"),J1080=4),VLOOKUP(_xlfn.MINIFS('FIRE TEX 5120'!$H$4:$H$40,'FIRE TEX 5120'!$H$4:$H$40,"&gt;="&amp;M1080),'FIRE TEX 5120'!$H$4:$M$40,IF(L1080="F-15",2,IF(L1080="F-30",3,IF(L1080="F-60",4,IF(L1080="F-90",5,IF(L1080="F-120",6,0))))),0),0)+IF(AND(O1080="FIRE TEX 5120",E1080="CJ"),VLOOKUP(_xlfn.MINIFS('FIRE TEX 5120'!$O$5:$O$40,'FIRE TEX 5120'!$O$5:$O$40,"&gt;="&amp;M1080),'FIRE TEX 5120'!$O$5:$T$40,IF(L1080="F-15",2,IF(L1080="F-30",3,IF(L1080="F-60",4,IF(L1080="F-90",5,IF(L1080="F-120",6,0))))),0),0)</f>
        <v>0</v>
      </c>
      <c r="Q1080" s="46">
        <f t="shared" si="104"/>
        <v>0</v>
      </c>
      <c r="R1080" s="46">
        <f t="shared" si="105"/>
        <v>0</v>
      </c>
      <c r="S1080" s="46" t="e">
        <f t="shared" si="106"/>
        <v>#VALUE!</v>
      </c>
      <c r="T1080" s="677">
        <f t="shared" si="107"/>
        <v>0</v>
      </c>
      <c r="U1080" s="80">
        <f>(IF(O1080="Stofire",(S1080*#REF!),0))+(IF(O1080="Fire Control",(S1080*$U$2),0))+(IF(O1080="Fire Tex",(S1080*$U$3),0))+(IF(O1080="WB7",(S1080*#REF!),0)+(IF(O1080="FX 2003",(S1080*$U$5),0)))</f>
        <v>0</v>
      </c>
      <c r="V1080" s="651">
        <f t="shared" si="108"/>
        <v>0</v>
      </c>
    </row>
    <row r="1081" spans="4:22" x14ac:dyDescent="0.25">
      <c r="D1081" s="118">
        <f>+CUBICACION!D1080</f>
        <v>0</v>
      </c>
      <c r="E1081" s="118">
        <f>+CUBICACION!F1080</f>
        <v>0</v>
      </c>
      <c r="F1081" s="118">
        <f>+CUBICACION!E1080</f>
        <v>0</v>
      </c>
      <c r="G1081" s="118">
        <v>12</v>
      </c>
      <c r="H1081" s="118">
        <v>2</v>
      </c>
      <c r="I1081" s="820">
        <v>26385</v>
      </c>
      <c r="J1081" s="118">
        <f>+CUBICACION!J1080</f>
        <v>0</v>
      </c>
      <c r="K1081" s="118">
        <v>3860</v>
      </c>
      <c r="L1081" s="118">
        <f>+CUBICACION!L1080</f>
        <v>0</v>
      </c>
      <c r="M1081" s="64">
        <f>+CUBICACION!M1080</f>
        <v>0</v>
      </c>
      <c r="N1081" s="824" t="str">
        <f>+CUBICACION!N1080</f>
        <v/>
      </c>
      <c r="O1081" s="675">
        <f>+CUBICACION!O1080</f>
        <v>0</v>
      </c>
      <c r="P1081" s="15">
        <f>IF(O1081="Fire Control",VLOOKUP(_xlfn.MINIFS('FIRE CONTROL'!$C$4:$C$37,'FIRE CONTROL'!$C$4:$C$37,"&gt;="&amp;M1081),'FIRE CONTROL'!$C$4:$G$37,IF(L1081="F-15",2,IF(L1081="F-30",3,IF(L1081="F-60",4,IF(L1081="F-90",5,0)))),0),0)+IF(AND(O1081="FIRE TEX 5062",OR(E1081="IN",E1081="C",E1081="Z",E1081="L"),J1081=3),VLOOKUP(_xlfn.MINIFS('FIRE TEX 5062'!$B$4:$B$34,'FIRE TEX 5062'!$B$4:$B$34,"&gt;="&amp;M1081),'FIRE TEX 5062'!$B$4:$F$34,IF(L1081="F-15",2,IF(L1081="F-30",3,IF(L1081="F-60",4,IF(L1081="F-90",5,0)))),0),0)+IF(AND(O1081="FIRE TEX 5062",OR(E1081="IN",E1081="C",E1081="Z",E1081="L"),J1081=4),VLOOKUP(_xlfn.MINIFS('FIRE TEX 5062'!$G$4:$G$34,'FIRE TEX 5062'!$G$4:$G$34,"&gt;="&amp;M1081),'FIRE TEX 5062'!$G$4:$K$34,IF(L1081="F-15",2,IF(L1081="F-30",3,IF(L1081="F-60",4,IF(L1081="F-90",5,0)))),0),0)+IF(AND(O1081="FIRE TEX 5062",E1081="CJ",J1081=3),VLOOKUP(_xlfn.MINIFS('FIRE TEX 5062'!$L$4:$L$34,'FIRE TEX 5062'!$L$4:$L$34,"&gt;="&amp;M1081),'FIRE TEX 5062'!$L$4:$P$34,IF(L1081="F-15",2,IF(L1081="F-30",3,IF(L1081="F-60",4,IF(L1081="F-90",5,0)))),0),0)+IF(AND(O1081="FIRE TEX 5062",E1081="CJ",J1081=4),VLOOKUP(_xlfn.MINIFS('FIRE TEX 5062'!$Q$3:$Q$34,'FIRE TEX 5062'!$Q$3:$Q$34,"&gt;="&amp;M1081),'FIRE TEX 5062'!$Q$3:$U$34,IF(L1081="F-15",2,IF(L1081="F-30",3,IF(L1081="F-60",4,IF(L1081="F-90",5,0)))),0),0)+IF(AND(O1081="FIRE TEX 5090",OR(E1081="IN",E1081="C",E1081="Z",E1081="L"),J1081=3),VLOOKUP(_xlfn.MINIFS('FIRE TEX 5090'!$B$5:$B$43,'FIRE TEX 5090'!$B$5:$B$43,"&gt;="&amp;M1081),'FIRE TEX 5090'!$B$5:$H$43,IF(L1081="F-15",2,IF(L1081="F-30",3,IF(L1081="F-60",4,IF(L1081="F-90",5,IF(L1081="F-120",6,IF(L1081="F-150",7,0)))))),0),0)+IF(AND(O1081="FIRE TEX 5090",OR(E1081="IN",E1081="C",E1081="Z",E1081="L"),J1081=4),VLOOKUP(_xlfn.MINIFS('FIRE TEX 5090'!$J$5:$J$43,'FIRE TEX 5090'!$J$5:$J$43,"&gt;="&amp;M1081),'FIRE TEX 5090'!$J$5:$P$43,IF(L1081="F-15",2,IF(L1081="F-30",3,IF(L1081="F-60",4,IF(L1081="F-90",5,IF(L1081="F-120",6,IF(L1081="F-150",7,0)))))),0),0)+IF(AND(O1081="FIRE TEX 5090",E1081="CJ",J1081=3),VLOOKUP(_xlfn.MINIFS('FIRE TEX 5090'!$R$5:$R$30,'FIRE TEX 5090'!$R$5:$R$30,"&gt;="&amp;M1081),'FIRE TEX 5090'!$R$5:$W$30,IF(L1081="F-15",2,IF(L1081="F-30",3,IF(L1081="F-60",4,IF(L1081="F-90",5,IF(L1081="F-120",6,IF(L1081="F-150",7,0)))))),0),0)+IF(AND(O1081="FIRE TEX 5090",E1081="CJ",J1081=4),VLOOKUP(_xlfn.MINIFS('FIRE TEX 5090'!$Y$5:$Y$39,'FIRE TEX 5090'!$Y$5:$Y$39,"&gt;="&amp;M1081),'FIRE TEX 5090'!$Y$5:$AD$39,IF(L1081="F-15",2,IF(L1081="F-30",3,IF(L1081="F-60",4,IF(L1081="F-90",5,IF(L1081="F-120",6,IF(L1081="F-150",7,0)))))),0),0)+IF(AND(O1081="FIRE TEX 5120",OR(E1081="IN",E1081="C",E1081="Z",E1081="L"),J1081=3),VLOOKUP(_xlfn.MINIFS('FIRE TEX 5120'!$B$5:$B$40,'FIRE TEX 5120'!$B$5:$B$40,"&gt;="&amp;M1081),'FIRE TEX 5120'!$B$5:$G$40,IF(L1081="F-15",2,IF(L1081="F-30",3,IF(L1081="F-60",4,IF(L1081="F-90",5,IF(L1081="F-120",6,0))))),0),0)+IF(AND(O1081="FIRE TEX 5120",OR(E1081="IN",E1081="C",E1081="Z",E1081="L"),J1081=4),VLOOKUP(_xlfn.MINIFS('FIRE TEX 5120'!$H$4:$H$40,'FIRE TEX 5120'!$H$4:$H$40,"&gt;="&amp;M1081),'FIRE TEX 5120'!$H$4:$M$40,IF(L1081="F-15",2,IF(L1081="F-30",3,IF(L1081="F-60",4,IF(L1081="F-90",5,IF(L1081="F-120",6,0))))),0),0)+IF(AND(O1081="FIRE TEX 5120",E1081="CJ"),VLOOKUP(_xlfn.MINIFS('FIRE TEX 5120'!$O$5:$O$40,'FIRE TEX 5120'!$O$5:$O$40,"&gt;="&amp;M1081),'FIRE TEX 5120'!$O$5:$T$40,IF(L1081="F-15",2,IF(L1081="F-30",3,IF(L1081="F-60",4,IF(L1081="F-90",5,IF(L1081="F-120",6,0))))),0),0)</f>
        <v>0</v>
      </c>
      <c r="Q1081" s="46">
        <f t="shared" si="104"/>
        <v>0</v>
      </c>
      <c r="R1081" s="46">
        <f t="shared" si="105"/>
        <v>0</v>
      </c>
      <c r="S1081" s="46" t="e">
        <f t="shared" si="106"/>
        <v>#VALUE!</v>
      </c>
      <c r="T1081" s="677">
        <f t="shared" si="107"/>
        <v>0</v>
      </c>
      <c r="U1081" s="80">
        <f>(IF(O1081="Stofire",(S1081*#REF!),0))+(IF(O1081="Fire Control",(S1081*$U$2),0))+(IF(O1081="Fire Tex",(S1081*$U$3),0))+(IF(O1081="WB7",(S1081*#REF!),0)+(IF(O1081="FX 2003",(S1081*$U$5),0)))</f>
        <v>0</v>
      </c>
      <c r="V1081" s="651">
        <f t="shared" si="108"/>
        <v>0</v>
      </c>
    </row>
    <row r="1082" spans="4:22" x14ac:dyDescent="0.25">
      <c r="D1082" s="118">
        <f>+CUBICACION!D1081</f>
        <v>0</v>
      </c>
      <c r="E1082" s="118">
        <f>+CUBICACION!F1081</f>
        <v>0</v>
      </c>
      <c r="F1082" s="118">
        <f>+CUBICACION!E1081</f>
        <v>0</v>
      </c>
      <c r="G1082" s="118">
        <v>12</v>
      </c>
      <c r="H1082" s="118">
        <v>2</v>
      </c>
      <c r="I1082" s="820">
        <v>26385</v>
      </c>
      <c r="J1082" s="118">
        <f>+CUBICACION!J1081</f>
        <v>0</v>
      </c>
      <c r="K1082" s="118">
        <v>3861</v>
      </c>
      <c r="L1082" s="118">
        <f>+CUBICACION!L1081</f>
        <v>0</v>
      </c>
      <c r="M1082" s="64">
        <f>+CUBICACION!M1081</f>
        <v>0</v>
      </c>
      <c r="N1082" s="824" t="str">
        <f>+CUBICACION!N1081</f>
        <v/>
      </c>
      <c r="O1082" s="675">
        <f>+CUBICACION!O1081</f>
        <v>0</v>
      </c>
      <c r="P1082" s="15">
        <f>IF(O1082="Fire Control",VLOOKUP(_xlfn.MINIFS('FIRE CONTROL'!$C$4:$C$37,'FIRE CONTROL'!$C$4:$C$37,"&gt;="&amp;M1082),'FIRE CONTROL'!$C$4:$G$37,IF(L1082="F-15",2,IF(L1082="F-30",3,IF(L1082="F-60",4,IF(L1082="F-90",5,0)))),0),0)+IF(AND(O1082="FIRE TEX 5062",OR(E1082="IN",E1082="C",E1082="Z",E1082="L"),J1082=3),VLOOKUP(_xlfn.MINIFS('FIRE TEX 5062'!$B$4:$B$34,'FIRE TEX 5062'!$B$4:$B$34,"&gt;="&amp;M1082),'FIRE TEX 5062'!$B$4:$F$34,IF(L1082="F-15",2,IF(L1082="F-30",3,IF(L1082="F-60",4,IF(L1082="F-90",5,0)))),0),0)+IF(AND(O1082="FIRE TEX 5062",OR(E1082="IN",E1082="C",E1082="Z",E1082="L"),J1082=4),VLOOKUP(_xlfn.MINIFS('FIRE TEX 5062'!$G$4:$G$34,'FIRE TEX 5062'!$G$4:$G$34,"&gt;="&amp;M1082),'FIRE TEX 5062'!$G$4:$K$34,IF(L1082="F-15",2,IF(L1082="F-30",3,IF(L1082="F-60",4,IF(L1082="F-90",5,0)))),0),0)+IF(AND(O1082="FIRE TEX 5062",E1082="CJ",J1082=3),VLOOKUP(_xlfn.MINIFS('FIRE TEX 5062'!$L$4:$L$34,'FIRE TEX 5062'!$L$4:$L$34,"&gt;="&amp;M1082),'FIRE TEX 5062'!$L$4:$P$34,IF(L1082="F-15",2,IF(L1082="F-30",3,IF(L1082="F-60",4,IF(L1082="F-90",5,0)))),0),0)+IF(AND(O1082="FIRE TEX 5062",E1082="CJ",J1082=4),VLOOKUP(_xlfn.MINIFS('FIRE TEX 5062'!$Q$3:$Q$34,'FIRE TEX 5062'!$Q$3:$Q$34,"&gt;="&amp;M1082),'FIRE TEX 5062'!$Q$3:$U$34,IF(L1082="F-15",2,IF(L1082="F-30",3,IF(L1082="F-60",4,IF(L1082="F-90",5,0)))),0),0)+IF(AND(O1082="FIRE TEX 5090",OR(E1082="IN",E1082="C",E1082="Z",E1082="L"),J1082=3),VLOOKUP(_xlfn.MINIFS('FIRE TEX 5090'!$B$5:$B$43,'FIRE TEX 5090'!$B$5:$B$43,"&gt;="&amp;M1082),'FIRE TEX 5090'!$B$5:$H$43,IF(L1082="F-15",2,IF(L1082="F-30",3,IF(L1082="F-60",4,IF(L1082="F-90",5,IF(L1082="F-120",6,IF(L1082="F-150",7,0)))))),0),0)+IF(AND(O1082="FIRE TEX 5090",OR(E1082="IN",E1082="C",E1082="Z",E1082="L"),J1082=4),VLOOKUP(_xlfn.MINIFS('FIRE TEX 5090'!$J$5:$J$43,'FIRE TEX 5090'!$J$5:$J$43,"&gt;="&amp;M1082),'FIRE TEX 5090'!$J$5:$P$43,IF(L1082="F-15",2,IF(L1082="F-30",3,IF(L1082="F-60",4,IF(L1082="F-90",5,IF(L1082="F-120",6,IF(L1082="F-150",7,0)))))),0),0)+IF(AND(O1082="FIRE TEX 5090",E1082="CJ",J1082=3),VLOOKUP(_xlfn.MINIFS('FIRE TEX 5090'!$R$5:$R$30,'FIRE TEX 5090'!$R$5:$R$30,"&gt;="&amp;M1082),'FIRE TEX 5090'!$R$5:$W$30,IF(L1082="F-15",2,IF(L1082="F-30",3,IF(L1082="F-60",4,IF(L1082="F-90",5,IF(L1082="F-120",6,IF(L1082="F-150",7,0)))))),0),0)+IF(AND(O1082="FIRE TEX 5090",E1082="CJ",J1082=4),VLOOKUP(_xlfn.MINIFS('FIRE TEX 5090'!$Y$5:$Y$39,'FIRE TEX 5090'!$Y$5:$Y$39,"&gt;="&amp;M1082),'FIRE TEX 5090'!$Y$5:$AD$39,IF(L1082="F-15",2,IF(L1082="F-30",3,IF(L1082="F-60",4,IF(L1082="F-90",5,IF(L1082="F-120",6,IF(L1082="F-150",7,0)))))),0),0)+IF(AND(O1082="FIRE TEX 5120",OR(E1082="IN",E1082="C",E1082="Z",E1082="L"),J1082=3),VLOOKUP(_xlfn.MINIFS('FIRE TEX 5120'!$B$5:$B$40,'FIRE TEX 5120'!$B$5:$B$40,"&gt;="&amp;M1082),'FIRE TEX 5120'!$B$5:$G$40,IF(L1082="F-15",2,IF(L1082="F-30",3,IF(L1082="F-60",4,IF(L1082="F-90",5,IF(L1082="F-120",6,0))))),0),0)+IF(AND(O1082="FIRE TEX 5120",OR(E1082="IN",E1082="C",E1082="Z",E1082="L"),J1082=4),VLOOKUP(_xlfn.MINIFS('FIRE TEX 5120'!$H$4:$H$40,'FIRE TEX 5120'!$H$4:$H$40,"&gt;="&amp;M1082),'FIRE TEX 5120'!$H$4:$M$40,IF(L1082="F-15",2,IF(L1082="F-30",3,IF(L1082="F-60",4,IF(L1082="F-90",5,IF(L1082="F-120",6,0))))),0),0)+IF(AND(O1082="FIRE TEX 5120",E1082="CJ"),VLOOKUP(_xlfn.MINIFS('FIRE TEX 5120'!$O$5:$O$40,'FIRE TEX 5120'!$O$5:$O$40,"&gt;="&amp;M1082),'FIRE TEX 5120'!$O$5:$T$40,IF(L1082="F-15",2,IF(L1082="F-30",3,IF(L1082="F-60",4,IF(L1082="F-90",5,IF(L1082="F-120",6,0))))),0),0)</f>
        <v>0</v>
      </c>
      <c r="Q1082" s="46">
        <f t="shared" si="104"/>
        <v>0</v>
      </c>
      <c r="R1082" s="46">
        <f t="shared" si="105"/>
        <v>0</v>
      </c>
      <c r="S1082" s="46" t="e">
        <f t="shared" si="106"/>
        <v>#VALUE!</v>
      </c>
      <c r="T1082" s="677">
        <f t="shared" si="107"/>
        <v>0</v>
      </c>
      <c r="U1082" s="80">
        <f>(IF(O1082="Stofire",(S1082*#REF!),0))+(IF(O1082="Fire Control",(S1082*$U$2),0))+(IF(O1082="Fire Tex",(S1082*$U$3),0))+(IF(O1082="WB7",(S1082*#REF!),0)+(IF(O1082="FX 2003",(S1082*$U$5),0)))</f>
        <v>0</v>
      </c>
      <c r="V1082" s="651">
        <f t="shared" si="108"/>
        <v>0</v>
      </c>
    </row>
    <row r="1083" spans="4:22" x14ac:dyDescent="0.25">
      <c r="D1083" s="118">
        <f>+CUBICACION!D1082</f>
        <v>0</v>
      </c>
      <c r="E1083" s="118">
        <f>+CUBICACION!F1082</f>
        <v>0</v>
      </c>
      <c r="F1083" s="118">
        <f>+CUBICACION!E1082</f>
        <v>0</v>
      </c>
      <c r="G1083" s="118">
        <v>12</v>
      </c>
      <c r="H1083" s="118">
        <v>2</v>
      </c>
      <c r="I1083" s="820">
        <v>26385</v>
      </c>
      <c r="J1083" s="118">
        <f>+CUBICACION!J1082</f>
        <v>0</v>
      </c>
      <c r="K1083" s="118">
        <v>3862</v>
      </c>
      <c r="L1083" s="118">
        <f>+CUBICACION!L1082</f>
        <v>0</v>
      </c>
      <c r="M1083" s="64">
        <f>+CUBICACION!M1082</f>
        <v>0</v>
      </c>
      <c r="N1083" s="824" t="str">
        <f>+CUBICACION!N1082</f>
        <v/>
      </c>
      <c r="O1083" s="675">
        <f>+CUBICACION!O1082</f>
        <v>0</v>
      </c>
      <c r="P1083" s="15">
        <f>IF(O1083="Fire Control",VLOOKUP(_xlfn.MINIFS('FIRE CONTROL'!$C$4:$C$37,'FIRE CONTROL'!$C$4:$C$37,"&gt;="&amp;M1083),'FIRE CONTROL'!$C$4:$G$37,IF(L1083="F-15",2,IF(L1083="F-30",3,IF(L1083="F-60",4,IF(L1083="F-90",5,0)))),0),0)+IF(AND(O1083="FIRE TEX 5062",OR(E1083="IN",E1083="C",E1083="Z",E1083="L"),J1083=3),VLOOKUP(_xlfn.MINIFS('FIRE TEX 5062'!$B$4:$B$34,'FIRE TEX 5062'!$B$4:$B$34,"&gt;="&amp;M1083),'FIRE TEX 5062'!$B$4:$F$34,IF(L1083="F-15",2,IF(L1083="F-30",3,IF(L1083="F-60",4,IF(L1083="F-90",5,0)))),0),0)+IF(AND(O1083="FIRE TEX 5062",OR(E1083="IN",E1083="C",E1083="Z",E1083="L"),J1083=4),VLOOKUP(_xlfn.MINIFS('FIRE TEX 5062'!$G$4:$G$34,'FIRE TEX 5062'!$G$4:$G$34,"&gt;="&amp;M1083),'FIRE TEX 5062'!$G$4:$K$34,IF(L1083="F-15",2,IF(L1083="F-30",3,IF(L1083="F-60",4,IF(L1083="F-90",5,0)))),0),0)+IF(AND(O1083="FIRE TEX 5062",E1083="CJ",J1083=3),VLOOKUP(_xlfn.MINIFS('FIRE TEX 5062'!$L$4:$L$34,'FIRE TEX 5062'!$L$4:$L$34,"&gt;="&amp;M1083),'FIRE TEX 5062'!$L$4:$P$34,IF(L1083="F-15",2,IF(L1083="F-30",3,IF(L1083="F-60",4,IF(L1083="F-90",5,0)))),0),0)+IF(AND(O1083="FIRE TEX 5062",E1083="CJ",J1083=4),VLOOKUP(_xlfn.MINIFS('FIRE TEX 5062'!$Q$3:$Q$34,'FIRE TEX 5062'!$Q$3:$Q$34,"&gt;="&amp;M1083),'FIRE TEX 5062'!$Q$3:$U$34,IF(L1083="F-15",2,IF(L1083="F-30",3,IF(L1083="F-60",4,IF(L1083="F-90",5,0)))),0),0)+IF(AND(O1083="FIRE TEX 5090",OR(E1083="IN",E1083="C",E1083="Z",E1083="L"),J1083=3),VLOOKUP(_xlfn.MINIFS('FIRE TEX 5090'!$B$5:$B$43,'FIRE TEX 5090'!$B$5:$B$43,"&gt;="&amp;M1083),'FIRE TEX 5090'!$B$5:$H$43,IF(L1083="F-15",2,IF(L1083="F-30",3,IF(L1083="F-60",4,IF(L1083="F-90",5,IF(L1083="F-120",6,IF(L1083="F-150",7,0)))))),0),0)+IF(AND(O1083="FIRE TEX 5090",OR(E1083="IN",E1083="C",E1083="Z",E1083="L"),J1083=4),VLOOKUP(_xlfn.MINIFS('FIRE TEX 5090'!$J$5:$J$43,'FIRE TEX 5090'!$J$5:$J$43,"&gt;="&amp;M1083),'FIRE TEX 5090'!$J$5:$P$43,IF(L1083="F-15",2,IF(L1083="F-30",3,IF(L1083="F-60",4,IF(L1083="F-90",5,IF(L1083="F-120",6,IF(L1083="F-150",7,0)))))),0),0)+IF(AND(O1083="FIRE TEX 5090",E1083="CJ",J1083=3),VLOOKUP(_xlfn.MINIFS('FIRE TEX 5090'!$R$5:$R$30,'FIRE TEX 5090'!$R$5:$R$30,"&gt;="&amp;M1083),'FIRE TEX 5090'!$R$5:$W$30,IF(L1083="F-15",2,IF(L1083="F-30",3,IF(L1083="F-60",4,IF(L1083="F-90",5,IF(L1083="F-120",6,IF(L1083="F-150",7,0)))))),0),0)+IF(AND(O1083="FIRE TEX 5090",E1083="CJ",J1083=4),VLOOKUP(_xlfn.MINIFS('FIRE TEX 5090'!$Y$5:$Y$39,'FIRE TEX 5090'!$Y$5:$Y$39,"&gt;="&amp;M1083),'FIRE TEX 5090'!$Y$5:$AD$39,IF(L1083="F-15",2,IF(L1083="F-30",3,IF(L1083="F-60",4,IF(L1083="F-90",5,IF(L1083="F-120",6,IF(L1083="F-150",7,0)))))),0),0)+IF(AND(O1083="FIRE TEX 5120",OR(E1083="IN",E1083="C",E1083="Z",E1083="L"),J1083=3),VLOOKUP(_xlfn.MINIFS('FIRE TEX 5120'!$B$5:$B$40,'FIRE TEX 5120'!$B$5:$B$40,"&gt;="&amp;M1083),'FIRE TEX 5120'!$B$5:$G$40,IF(L1083="F-15",2,IF(L1083="F-30",3,IF(L1083="F-60",4,IF(L1083="F-90",5,IF(L1083="F-120",6,0))))),0),0)+IF(AND(O1083="FIRE TEX 5120",OR(E1083="IN",E1083="C",E1083="Z",E1083="L"),J1083=4),VLOOKUP(_xlfn.MINIFS('FIRE TEX 5120'!$H$4:$H$40,'FIRE TEX 5120'!$H$4:$H$40,"&gt;="&amp;M1083),'FIRE TEX 5120'!$H$4:$M$40,IF(L1083="F-15",2,IF(L1083="F-30",3,IF(L1083="F-60",4,IF(L1083="F-90",5,IF(L1083="F-120",6,0))))),0),0)+IF(AND(O1083="FIRE TEX 5120",E1083="CJ"),VLOOKUP(_xlfn.MINIFS('FIRE TEX 5120'!$O$5:$O$40,'FIRE TEX 5120'!$O$5:$O$40,"&gt;="&amp;M1083),'FIRE TEX 5120'!$O$5:$T$40,IF(L1083="F-15",2,IF(L1083="F-30",3,IF(L1083="F-60",4,IF(L1083="F-90",5,IF(L1083="F-120",6,0))))),0),0)</f>
        <v>0</v>
      </c>
      <c r="Q1083" s="46">
        <f t="shared" si="104"/>
        <v>0</v>
      </c>
      <c r="R1083" s="46">
        <f t="shared" si="105"/>
        <v>0</v>
      </c>
      <c r="S1083" s="46" t="e">
        <f t="shared" si="106"/>
        <v>#VALUE!</v>
      </c>
      <c r="T1083" s="677">
        <f t="shared" si="107"/>
        <v>0</v>
      </c>
      <c r="U1083" s="80">
        <f>(IF(O1083="Stofire",(S1083*#REF!),0))+(IF(O1083="Fire Control",(S1083*$U$2),0))+(IF(O1083="Fire Tex",(S1083*$U$3),0))+(IF(O1083="WB7",(S1083*#REF!),0)+(IF(O1083="FX 2003",(S1083*$U$5),0)))</f>
        <v>0</v>
      </c>
      <c r="V1083" s="651">
        <f t="shared" si="108"/>
        <v>0</v>
      </c>
    </row>
    <row r="1084" spans="4:22" x14ac:dyDescent="0.25">
      <c r="D1084" s="118">
        <f>+CUBICACION!D1083</f>
        <v>0</v>
      </c>
      <c r="E1084" s="118">
        <f>+CUBICACION!F1083</f>
        <v>0</v>
      </c>
      <c r="F1084" s="118">
        <f>+CUBICACION!E1083</f>
        <v>0</v>
      </c>
      <c r="G1084" s="118">
        <v>12</v>
      </c>
      <c r="H1084" s="118">
        <v>2</v>
      </c>
      <c r="I1084" s="820">
        <v>26385</v>
      </c>
      <c r="J1084" s="118">
        <f>+CUBICACION!J1083</f>
        <v>0</v>
      </c>
      <c r="K1084" s="118">
        <v>3863</v>
      </c>
      <c r="L1084" s="118">
        <f>+CUBICACION!L1083</f>
        <v>0</v>
      </c>
      <c r="M1084" s="64">
        <f>+CUBICACION!M1083</f>
        <v>0</v>
      </c>
      <c r="N1084" s="824" t="str">
        <f>+CUBICACION!N1083</f>
        <v/>
      </c>
      <c r="O1084" s="675">
        <f>+CUBICACION!O1083</f>
        <v>0</v>
      </c>
      <c r="P1084" s="15">
        <f>IF(O1084="Fire Control",VLOOKUP(_xlfn.MINIFS('FIRE CONTROL'!$C$4:$C$37,'FIRE CONTROL'!$C$4:$C$37,"&gt;="&amp;M1084),'FIRE CONTROL'!$C$4:$G$37,IF(L1084="F-15",2,IF(L1084="F-30",3,IF(L1084="F-60",4,IF(L1084="F-90",5,0)))),0),0)+IF(AND(O1084="FIRE TEX 5062",OR(E1084="IN",E1084="C",E1084="Z",E1084="L"),J1084=3),VLOOKUP(_xlfn.MINIFS('FIRE TEX 5062'!$B$4:$B$34,'FIRE TEX 5062'!$B$4:$B$34,"&gt;="&amp;M1084),'FIRE TEX 5062'!$B$4:$F$34,IF(L1084="F-15",2,IF(L1084="F-30",3,IF(L1084="F-60",4,IF(L1084="F-90",5,0)))),0),0)+IF(AND(O1084="FIRE TEX 5062",OR(E1084="IN",E1084="C",E1084="Z",E1084="L"),J1084=4),VLOOKUP(_xlfn.MINIFS('FIRE TEX 5062'!$G$4:$G$34,'FIRE TEX 5062'!$G$4:$G$34,"&gt;="&amp;M1084),'FIRE TEX 5062'!$G$4:$K$34,IF(L1084="F-15",2,IF(L1084="F-30",3,IF(L1084="F-60",4,IF(L1084="F-90",5,0)))),0),0)+IF(AND(O1084="FIRE TEX 5062",E1084="CJ",J1084=3),VLOOKUP(_xlfn.MINIFS('FIRE TEX 5062'!$L$4:$L$34,'FIRE TEX 5062'!$L$4:$L$34,"&gt;="&amp;M1084),'FIRE TEX 5062'!$L$4:$P$34,IF(L1084="F-15",2,IF(L1084="F-30",3,IF(L1084="F-60",4,IF(L1084="F-90",5,0)))),0),0)+IF(AND(O1084="FIRE TEX 5062",E1084="CJ",J1084=4),VLOOKUP(_xlfn.MINIFS('FIRE TEX 5062'!$Q$3:$Q$34,'FIRE TEX 5062'!$Q$3:$Q$34,"&gt;="&amp;M1084),'FIRE TEX 5062'!$Q$3:$U$34,IF(L1084="F-15",2,IF(L1084="F-30",3,IF(L1084="F-60",4,IF(L1084="F-90",5,0)))),0),0)+IF(AND(O1084="FIRE TEX 5090",OR(E1084="IN",E1084="C",E1084="Z",E1084="L"),J1084=3),VLOOKUP(_xlfn.MINIFS('FIRE TEX 5090'!$B$5:$B$43,'FIRE TEX 5090'!$B$5:$B$43,"&gt;="&amp;M1084),'FIRE TEX 5090'!$B$5:$H$43,IF(L1084="F-15",2,IF(L1084="F-30",3,IF(L1084="F-60",4,IF(L1084="F-90",5,IF(L1084="F-120",6,IF(L1084="F-150",7,0)))))),0),0)+IF(AND(O1084="FIRE TEX 5090",OR(E1084="IN",E1084="C",E1084="Z",E1084="L"),J1084=4),VLOOKUP(_xlfn.MINIFS('FIRE TEX 5090'!$J$5:$J$43,'FIRE TEX 5090'!$J$5:$J$43,"&gt;="&amp;M1084),'FIRE TEX 5090'!$J$5:$P$43,IF(L1084="F-15",2,IF(L1084="F-30",3,IF(L1084="F-60",4,IF(L1084="F-90",5,IF(L1084="F-120",6,IF(L1084="F-150",7,0)))))),0),0)+IF(AND(O1084="FIRE TEX 5090",E1084="CJ",J1084=3),VLOOKUP(_xlfn.MINIFS('FIRE TEX 5090'!$R$5:$R$30,'FIRE TEX 5090'!$R$5:$R$30,"&gt;="&amp;M1084),'FIRE TEX 5090'!$R$5:$W$30,IF(L1084="F-15",2,IF(L1084="F-30",3,IF(L1084="F-60",4,IF(L1084="F-90",5,IF(L1084="F-120",6,IF(L1084="F-150",7,0)))))),0),0)+IF(AND(O1084="FIRE TEX 5090",E1084="CJ",J1084=4),VLOOKUP(_xlfn.MINIFS('FIRE TEX 5090'!$Y$5:$Y$39,'FIRE TEX 5090'!$Y$5:$Y$39,"&gt;="&amp;M1084),'FIRE TEX 5090'!$Y$5:$AD$39,IF(L1084="F-15",2,IF(L1084="F-30",3,IF(L1084="F-60",4,IF(L1084="F-90",5,IF(L1084="F-120",6,IF(L1084="F-150",7,0)))))),0),0)+IF(AND(O1084="FIRE TEX 5120",OR(E1084="IN",E1084="C",E1084="Z",E1084="L"),J1084=3),VLOOKUP(_xlfn.MINIFS('FIRE TEX 5120'!$B$5:$B$40,'FIRE TEX 5120'!$B$5:$B$40,"&gt;="&amp;M1084),'FIRE TEX 5120'!$B$5:$G$40,IF(L1084="F-15",2,IF(L1084="F-30",3,IF(L1084="F-60",4,IF(L1084="F-90",5,IF(L1084="F-120",6,0))))),0),0)+IF(AND(O1084="FIRE TEX 5120",OR(E1084="IN",E1084="C",E1084="Z",E1084="L"),J1084=4),VLOOKUP(_xlfn.MINIFS('FIRE TEX 5120'!$H$4:$H$40,'FIRE TEX 5120'!$H$4:$H$40,"&gt;="&amp;M1084),'FIRE TEX 5120'!$H$4:$M$40,IF(L1084="F-15",2,IF(L1084="F-30",3,IF(L1084="F-60",4,IF(L1084="F-90",5,IF(L1084="F-120",6,0))))),0),0)+IF(AND(O1084="FIRE TEX 5120",E1084="CJ"),VLOOKUP(_xlfn.MINIFS('FIRE TEX 5120'!$O$5:$O$40,'FIRE TEX 5120'!$O$5:$O$40,"&gt;="&amp;M1084),'FIRE TEX 5120'!$O$5:$T$40,IF(L1084="F-15",2,IF(L1084="F-30",3,IF(L1084="F-60",4,IF(L1084="F-90",5,IF(L1084="F-120",6,0))))),0),0)</f>
        <v>0</v>
      </c>
      <c r="Q1084" s="46">
        <f t="shared" si="104"/>
        <v>0</v>
      </c>
      <c r="R1084" s="46">
        <f t="shared" si="105"/>
        <v>0</v>
      </c>
      <c r="S1084" s="46" t="e">
        <f t="shared" si="106"/>
        <v>#VALUE!</v>
      </c>
      <c r="T1084" s="677">
        <f t="shared" si="107"/>
        <v>0</v>
      </c>
      <c r="U1084" s="80">
        <f>(IF(O1084="Stofire",(S1084*#REF!),0))+(IF(O1084="Fire Control",(S1084*$U$2),0))+(IF(O1084="Fire Tex",(S1084*$U$3),0))+(IF(O1084="WB7",(S1084*#REF!),0)+(IF(O1084="FX 2003",(S1084*$U$5),0)))</f>
        <v>0</v>
      </c>
      <c r="V1084" s="651">
        <f t="shared" si="108"/>
        <v>0</v>
      </c>
    </row>
    <row r="1085" spans="4:22" x14ac:dyDescent="0.25">
      <c r="D1085" s="118">
        <f>+CUBICACION!D1084</f>
        <v>0</v>
      </c>
      <c r="E1085" s="118">
        <f>+CUBICACION!F1084</f>
        <v>0</v>
      </c>
      <c r="F1085" s="118">
        <f>+CUBICACION!E1084</f>
        <v>0</v>
      </c>
      <c r="G1085" s="118">
        <v>12</v>
      </c>
      <c r="H1085" s="118">
        <v>2</v>
      </c>
      <c r="I1085" s="820">
        <v>26385</v>
      </c>
      <c r="J1085" s="118">
        <f>+CUBICACION!J1084</f>
        <v>0</v>
      </c>
      <c r="K1085" s="118">
        <v>3864</v>
      </c>
      <c r="L1085" s="118">
        <f>+CUBICACION!L1084</f>
        <v>0</v>
      </c>
      <c r="M1085" s="64">
        <f>+CUBICACION!M1084</f>
        <v>0</v>
      </c>
      <c r="N1085" s="824" t="str">
        <f>+CUBICACION!N1084</f>
        <v/>
      </c>
      <c r="O1085" s="675">
        <f>+CUBICACION!O1084</f>
        <v>0</v>
      </c>
      <c r="P1085" s="15">
        <f>IF(O1085="Fire Control",VLOOKUP(_xlfn.MINIFS('FIRE CONTROL'!$C$4:$C$37,'FIRE CONTROL'!$C$4:$C$37,"&gt;="&amp;M1085),'FIRE CONTROL'!$C$4:$G$37,IF(L1085="F-15",2,IF(L1085="F-30",3,IF(L1085="F-60",4,IF(L1085="F-90",5,0)))),0),0)+IF(AND(O1085="FIRE TEX 5062",OR(E1085="IN",E1085="C",E1085="Z",E1085="L"),J1085=3),VLOOKUP(_xlfn.MINIFS('FIRE TEX 5062'!$B$4:$B$34,'FIRE TEX 5062'!$B$4:$B$34,"&gt;="&amp;M1085),'FIRE TEX 5062'!$B$4:$F$34,IF(L1085="F-15",2,IF(L1085="F-30",3,IF(L1085="F-60",4,IF(L1085="F-90",5,0)))),0),0)+IF(AND(O1085="FIRE TEX 5062",OR(E1085="IN",E1085="C",E1085="Z",E1085="L"),J1085=4),VLOOKUP(_xlfn.MINIFS('FIRE TEX 5062'!$G$4:$G$34,'FIRE TEX 5062'!$G$4:$G$34,"&gt;="&amp;M1085),'FIRE TEX 5062'!$G$4:$K$34,IF(L1085="F-15",2,IF(L1085="F-30",3,IF(L1085="F-60",4,IF(L1085="F-90",5,0)))),0),0)+IF(AND(O1085="FIRE TEX 5062",E1085="CJ",J1085=3),VLOOKUP(_xlfn.MINIFS('FIRE TEX 5062'!$L$4:$L$34,'FIRE TEX 5062'!$L$4:$L$34,"&gt;="&amp;M1085),'FIRE TEX 5062'!$L$4:$P$34,IF(L1085="F-15",2,IF(L1085="F-30",3,IF(L1085="F-60",4,IF(L1085="F-90",5,0)))),0),0)+IF(AND(O1085="FIRE TEX 5062",E1085="CJ",J1085=4),VLOOKUP(_xlfn.MINIFS('FIRE TEX 5062'!$Q$3:$Q$34,'FIRE TEX 5062'!$Q$3:$Q$34,"&gt;="&amp;M1085),'FIRE TEX 5062'!$Q$3:$U$34,IF(L1085="F-15",2,IF(L1085="F-30",3,IF(L1085="F-60",4,IF(L1085="F-90",5,0)))),0),0)+IF(AND(O1085="FIRE TEX 5090",OR(E1085="IN",E1085="C",E1085="Z",E1085="L"),J1085=3),VLOOKUP(_xlfn.MINIFS('FIRE TEX 5090'!$B$5:$B$43,'FIRE TEX 5090'!$B$5:$B$43,"&gt;="&amp;M1085),'FIRE TEX 5090'!$B$5:$H$43,IF(L1085="F-15",2,IF(L1085="F-30",3,IF(L1085="F-60",4,IF(L1085="F-90",5,IF(L1085="F-120",6,IF(L1085="F-150",7,0)))))),0),0)+IF(AND(O1085="FIRE TEX 5090",OR(E1085="IN",E1085="C",E1085="Z",E1085="L"),J1085=4),VLOOKUP(_xlfn.MINIFS('FIRE TEX 5090'!$J$5:$J$43,'FIRE TEX 5090'!$J$5:$J$43,"&gt;="&amp;M1085),'FIRE TEX 5090'!$J$5:$P$43,IF(L1085="F-15",2,IF(L1085="F-30",3,IF(L1085="F-60",4,IF(L1085="F-90",5,IF(L1085="F-120",6,IF(L1085="F-150",7,0)))))),0),0)+IF(AND(O1085="FIRE TEX 5090",E1085="CJ",J1085=3),VLOOKUP(_xlfn.MINIFS('FIRE TEX 5090'!$R$5:$R$30,'FIRE TEX 5090'!$R$5:$R$30,"&gt;="&amp;M1085),'FIRE TEX 5090'!$R$5:$W$30,IF(L1085="F-15",2,IF(L1085="F-30",3,IF(L1085="F-60",4,IF(L1085="F-90",5,IF(L1085="F-120",6,IF(L1085="F-150",7,0)))))),0),0)+IF(AND(O1085="FIRE TEX 5090",E1085="CJ",J1085=4),VLOOKUP(_xlfn.MINIFS('FIRE TEX 5090'!$Y$5:$Y$39,'FIRE TEX 5090'!$Y$5:$Y$39,"&gt;="&amp;M1085),'FIRE TEX 5090'!$Y$5:$AD$39,IF(L1085="F-15",2,IF(L1085="F-30",3,IF(L1085="F-60",4,IF(L1085="F-90",5,IF(L1085="F-120",6,IF(L1085="F-150",7,0)))))),0),0)+IF(AND(O1085="FIRE TEX 5120",OR(E1085="IN",E1085="C",E1085="Z",E1085="L"),J1085=3),VLOOKUP(_xlfn.MINIFS('FIRE TEX 5120'!$B$5:$B$40,'FIRE TEX 5120'!$B$5:$B$40,"&gt;="&amp;M1085),'FIRE TEX 5120'!$B$5:$G$40,IF(L1085="F-15",2,IF(L1085="F-30",3,IF(L1085="F-60",4,IF(L1085="F-90",5,IF(L1085="F-120",6,0))))),0),0)+IF(AND(O1085="FIRE TEX 5120",OR(E1085="IN",E1085="C",E1085="Z",E1085="L"),J1085=4),VLOOKUP(_xlfn.MINIFS('FIRE TEX 5120'!$H$4:$H$40,'FIRE TEX 5120'!$H$4:$H$40,"&gt;="&amp;M1085),'FIRE TEX 5120'!$H$4:$M$40,IF(L1085="F-15",2,IF(L1085="F-30",3,IF(L1085="F-60",4,IF(L1085="F-90",5,IF(L1085="F-120",6,0))))),0),0)+IF(AND(O1085="FIRE TEX 5120",E1085="CJ"),VLOOKUP(_xlfn.MINIFS('FIRE TEX 5120'!$O$5:$O$40,'FIRE TEX 5120'!$O$5:$O$40,"&gt;="&amp;M1085),'FIRE TEX 5120'!$O$5:$T$40,IF(L1085="F-15",2,IF(L1085="F-30",3,IF(L1085="F-60",4,IF(L1085="F-90",5,IF(L1085="F-120",6,0))))),0),0)</f>
        <v>0</v>
      </c>
      <c r="Q1085" s="46">
        <f t="shared" si="104"/>
        <v>0</v>
      </c>
      <c r="R1085" s="46">
        <f t="shared" si="105"/>
        <v>0</v>
      </c>
      <c r="S1085" s="46" t="e">
        <f t="shared" si="106"/>
        <v>#VALUE!</v>
      </c>
      <c r="T1085" s="677">
        <f t="shared" si="107"/>
        <v>0</v>
      </c>
      <c r="U1085" s="80">
        <f>(IF(O1085="Stofire",(S1085*#REF!),0))+(IF(O1085="Fire Control",(S1085*$U$2),0))+(IF(O1085="Fire Tex",(S1085*$U$3),0))+(IF(O1085="WB7",(S1085*#REF!),0)+(IF(O1085="FX 2003",(S1085*$U$5),0)))</f>
        <v>0</v>
      </c>
      <c r="V1085" s="651">
        <f t="shared" si="108"/>
        <v>0</v>
      </c>
    </row>
    <row r="1086" spans="4:22" x14ac:dyDescent="0.25">
      <c r="D1086" s="118">
        <f>+CUBICACION!D1085</f>
        <v>0</v>
      </c>
      <c r="E1086" s="118">
        <f>+CUBICACION!F1085</f>
        <v>0</v>
      </c>
      <c r="F1086" s="118">
        <f>+CUBICACION!E1085</f>
        <v>0</v>
      </c>
      <c r="G1086" s="118">
        <v>12</v>
      </c>
      <c r="H1086" s="118">
        <v>2</v>
      </c>
      <c r="I1086" s="820">
        <v>26385</v>
      </c>
      <c r="J1086" s="118">
        <f>+CUBICACION!J1085</f>
        <v>0</v>
      </c>
      <c r="K1086" s="118">
        <v>3865</v>
      </c>
      <c r="L1086" s="118">
        <f>+CUBICACION!L1085</f>
        <v>0</v>
      </c>
      <c r="M1086" s="64">
        <f>+CUBICACION!M1085</f>
        <v>0</v>
      </c>
      <c r="N1086" s="824" t="str">
        <f>+CUBICACION!N1085</f>
        <v/>
      </c>
      <c r="O1086" s="675">
        <f>+CUBICACION!O1085</f>
        <v>0</v>
      </c>
      <c r="P1086" s="15">
        <f>IF(O1086="Fire Control",VLOOKUP(_xlfn.MINIFS('FIRE CONTROL'!$C$4:$C$37,'FIRE CONTROL'!$C$4:$C$37,"&gt;="&amp;M1086),'FIRE CONTROL'!$C$4:$G$37,IF(L1086="F-15",2,IF(L1086="F-30",3,IF(L1086="F-60",4,IF(L1086="F-90",5,0)))),0),0)+IF(AND(O1086="FIRE TEX 5062",OR(E1086="IN",E1086="C",E1086="Z",E1086="L"),J1086=3),VLOOKUP(_xlfn.MINIFS('FIRE TEX 5062'!$B$4:$B$34,'FIRE TEX 5062'!$B$4:$B$34,"&gt;="&amp;M1086),'FIRE TEX 5062'!$B$4:$F$34,IF(L1086="F-15",2,IF(L1086="F-30",3,IF(L1086="F-60",4,IF(L1086="F-90",5,0)))),0),0)+IF(AND(O1086="FIRE TEX 5062",OR(E1086="IN",E1086="C",E1086="Z",E1086="L"),J1086=4),VLOOKUP(_xlfn.MINIFS('FIRE TEX 5062'!$G$4:$G$34,'FIRE TEX 5062'!$G$4:$G$34,"&gt;="&amp;M1086),'FIRE TEX 5062'!$G$4:$K$34,IF(L1086="F-15",2,IF(L1086="F-30",3,IF(L1086="F-60",4,IF(L1086="F-90",5,0)))),0),0)+IF(AND(O1086="FIRE TEX 5062",E1086="CJ",J1086=3),VLOOKUP(_xlfn.MINIFS('FIRE TEX 5062'!$L$4:$L$34,'FIRE TEX 5062'!$L$4:$L$34,"&gt;="&amp;M1086),'FIRE TEX 5062'!$L$4:$P$34,IF(L1086="F-15",2,IF(L1086="F-30",3,IF(L1086="F-60",4,IF(L1086="F-90",5,0)))),0),0)+IF(AND(O1086="FIRE TEX 5062",E1086="CJ",J1086=4),VLOOKUP(_xlfn.MINIFS('FIRE TEX 5062'!$Q$3:$Q$34,'FIRE TEX 5062'!$Q$3:$Q$34,"&gt;="&amp;M1086),'FIRE TEX 5062'!$Q$3:$U$34,IF(L1086="F-15",2,IF(L1086="F-30",3,IF(L1086="F-60",4,IF(L1086="F-90",5,0)))),0),0)+IF(AND(O1086="FIRE TEX 5090",OR(E1086="IN",E1086="C",E1086="Z",E1086="L"),J1086=3),VLOOKUP(_xlfn.MINIFS('FIRE TEX 5090'!$B$5:$B$43,'FIRE TEX 5090'!$B$5:$B$43,"&gt;="&amp;M1086),'FIRE TEX 5090'!$B$5:$H$43,IF(L1086="F-15",2,IF(L1086="F-30",3,IF(L1086="F-60",4,IF(L1086="F-90",5,IF(L1086="F-120",6,IF(L1086="F-150",7,0)))))),0),0)+IF(AND(O1086="FIRE TEX 5090",OR(E1086="IN",E1086="C",E1086="Z",E1086="L"),J1086=4),VLOOKUP(_xlfn.MINIFS('FIRE TEX 5090'!$J$5:$J$43,'FIRE TEX 5090'!$J$5:$J$43,"&gt;="&amp;M1086),'FIRE TEX 5090'!$J$5:$P$43,IF(L1086="F-15",2,IF(L1086="F-30",3,IF(L1086="F-60",4,IF(L1086="F-90",5,IF(L1086="F-120",6,IF(L1086="F-150",7,0)))))),0),0)+IF(AND(O1086="FIRE TEX 5090",E1086="CJ",J1086=3),VLOOKUP(_xlfn.MINIFS('FIRE TEX 5090'!$R$5:$R$30,'FIRE TEX 5090'!$R$5:$R$30,"&gt;="&amp;M1086),'FIRE TEX 5090'!$R$5:$W$30,IF(L1086="F-15",2,IF(L1086="F-30",3,IF(L1086="F-60",4,IF(L1086="F-90",5,IF(L1086="F-120",6,IF(L1086="F-150",7,0)))))),0),0)+IF(AND(O1086="FIRE TEX 5090",E1086="CJ",J1086=4),VLOOKUP(_xlfn.MINIFS('FIRE TEX 5090'!$Y$5:$Y$39,'FIRE TEX 5090'!$Y$5:$Y$39,"&gt;="&amp;M1086),'FIRE TEX 5090'!$Y$5:$AD$39,IF(L1086="F-15",2,IF(L1086="F-30",3,IF(L1086="F-60",4,IF(L1086="F-90",5,IF(L1086="F-120",6,IF(L1086="F-150",7,0)))))),0),0)+IF(AND(O1086="FIRE TEX 5120",OR(E1086="IN",E1086="C",E1086="Z",E1086="L"),J1086=3),VLOOKUP(_xlfn.MINIFS('FIRE TEX 5120'!$B$5:$B$40,'FIRE TEX 5120'!$B$5:$B$40,"&gt;="&amp;M1086),'FIRE TEX 5120'!$B$5:$G$40,IF(L1086="F-15",2,IF(L1086="F-30",3,IF(L1086="F-60",4,IF(L1086="F-90",5,IF(L1086="F-120",6,0))))),0),0)+IF(AND(O1086="FIRE TEX 5120",OR(E1086="IN",E1086="C",E1086="Z",E1086="L"),J1086=4),VLOOKUP(_xlfn.MINIFS('FIRE TEX 5120'!$H$4:$H$40,'FIRE TEX 5120'!$H$4:$H$40,"&gt;="&amp;M1086),'FIRE TEX 5120'!$H$4:$M$40,IF(L1086="F-15",2,IF(L1086="F-30",3,IF(L1086="F-60",4,IF(L1086="F-90",5,IF(L1086="F-120",6,0))))),0),0)+IF(AND(O1086="FIRE TEX 5120",E1086="CJ"),VLOOKUP(_xlfn.MINIFS('FIRE TEX 5120'!$O$5:$O$40,'FIRE TEX 5120'!$O$5:$O$40,"&gt;="&amp;M1086),'FIRE TEX 5120'!$O$5:$T$40,IF(L1086="F-15",2,IF(L1086="F-30",3,IF(L1086="F-60",4,IF(L1086="F-90",5,IF(L1086="F-120",6,0))))),0),0)</f>
        <v>0</v>
      </c>
      <c r="Q1086" s="46">
        <f t="shared" si="104"/>
        <v>0</v>
      </c>
      <c r="R1086" s="46">
        <f t="shared" si="105"/>
        <v>0</v>
      </c>
      <c r="S1086" s="46" t="e">
        <f t="shared" si="106"/>
        <v>#VALUE!</v>
      </c>
      <c r="T1086" s="677">
        <f t="shared" si="107"/>
        <v>0</v>
      </c>
      <c r="U1086" s="80">
        <f>(IF(O1086="Stofire",(S1086*#REF!),0))+(IF(O1086="Fire Control",(S1086*$U$2),0))+(IF(O1086="Fire Tex",(S1086*$U$3),0))+(IF(O1086="WB7",(S1086*#REF!),0)+(IF(O1086="FX 2003",(S1086*$U$5),0)))</f>
        <v>0</v>
      </c>
      <c r="V1086" s="651">
        <f t="shared" si="108"/>
        <v>0</v>
      </c>
    </row>
    <row r="1087" spans="4:22" x14ac:dyDescent="0.25">
      <c r="D1087" s="118">
        <f>+CUBICACION!D1086</f>
        <v>0</v>
      </c>
      <c r="E1087" s="118">
        <f>+CUBICACION!F1086</f>
        <v>0</v>
      </c>
      <c r="F1087" s="118">
        <f>+CUBICACION!E1086</f>
        <v>0</v>
      </c>
      <c r="G1087" s="118">
        <v>12</v>
      </c>
      <c r="H1087" s="118">
        <v>2</v>
      </c>
      <c r="I1087" s="820">
        <v>26385</v>
      </c>
      <c r="J1087" s="118">
        <f>+CUBICACION!J1086</f>
        <v>0</v>
      </c>
      <c r="K1087" s="118">
        <v>3866</v>
      </c>
      <c r="L1087" s="118">
        <f>+CUBICACION!L1086</f>
        <v>0</v>
      </c>
      <c r="M1087" s="64">
        <f>+CUBICACION!M1086</f>
        <v>0</v>
      </c>
      <c r="N1087" s="824" t="str">
        <f>+CUBICACION!N1086</f>
        <v/>
      </c>
      <c r="O1087" s="675">
        <f>+CUBICACION!O1086</f>
        <v>0</v>
      </c>
      <c r="P1087" s="15">
        <f>IF(O1087="Fire Control",VLOOKUP(_xlfn.MINIFS('FIRE CONTROL'!$C$4:$C$37,'FIRE CONTROL'!$C$4:$C$37,"&gt;="&amp;M1087),'FIRE CONTROL'!$C$4:$G$37,IF(L1087="F-15",2,IF(L1087="F-30",3,IF(L1087="F-60",4,IF(L1087="F-90",5,0)))),0),0)+IF(AND(O1087="FIRE TEX 5062",OR(E1087="IN",E1087="C",E1087="Z",E1087="L"),J1087=3),VLOOKUP(_xlfn.MINIFS('FIRE TEX 5062'!$B$4:$B$34,'FIRE TEX 5062'!$B$4:$B$34,"&gt;="&amp;M1087),'FIRE TEX 5062'!$B$4:$F$34,IF(L1087="F-15",2,IF(L1087="F-30",3,IF(L1087="F-60",4,IF(L1087="F-90",5,0)))),0),0)+IF(AND(O1087="FIRE TEX 5062",OR(E1087="IN",E1087="C",E1087="Z",E1087="L"),J1087=4),VLOOKUP(_xlfn.MINIFS('FIRE TEX 5062'!$G$4:$G$34,'FIRE TEX 5062'!$G$4:$G$34,"&gt;="&amp;M1087),'FIRE TEX 5062'!$G$4:$K$34,IF(L1087="F-15",2,IF(L1087="F-30",3,IF(L1087="F-60",4,IF(L1087="F-90",5,0)))),0),0)+IF(AND(O1087="FIRE TEX 5062",E1087="CJ",J1087=3),VLOOKUP(_xlfn.MINIFS('FIRE TEX 5062'!$L$4:$L$34,'FIRE TEX 5062'!$L$4:$L$34,"&gt;="&amp;M1087),'FIRE TEX 5062'!$L$4:$P$34,IF(L1087="F-15",2,IF(L1087="F-30",3,IF(L1087="F-60",4,IF(L1087="F-90",5,0)))),0),0)+IF(AND(O1087="FIRE TEX 5062",E1087="CJ",J1087=4),VLOOKUP(_xlfn.MINIFS('FIRE TEX 5062'!$Q$3:$Q$34,'FIRE TEX 5062'!$Q$3:$Q$34,"&gt;="&amp;M1087),'FIRE TEX 5062'!$Q$3:$U$34,IF(L1087="F-15",2,IF(L1087="F-30",3,IF(L1087="F-60",4,IF(L1087="F-90",5,0)))),0),0)+IF(AND(O1087="FIRE TEX 5090",OR(E1087="IN",E1087="C",E1087="Z",E1087="L"),J1087=3),VLOOKUP(_xlfn.MINIFS('FIRE TEX 5090'!$B$5:$B$43,'FIRE TEX 5090'!$B$5:$B$43,"&gt;="&amp;M1087),'FIRE TEX 5090'!$B$5:$H$43,IF(L1087="F-15",2,IF(L1087="F-30",3,IF(L1087="F-60",4,IF(L1087="F-90",5,IF(L1087="F-120",6,IF(L1087="F-150",7,0)))))),0),0)+IF(AND(O1087="FIRE TEX 5090",OR(E1087="IN",E1087="C",E1087="Z",E1087="L"),J1087=4),VLOOKUP(_xlfn.MINIFS('FIRE TEX 5090'!$J$5:$J$43,'FIRE TEX 5090'!$J$5:$J$43,"&gt;="&amp;M1087),'FIRE TEX 5090'!$J$5:$P$43,IF(L1087="F-15",2,IF(L1087="F-30",3,IF(L1087="F-60",4,IF(L1087="F-90",5,IF(L1087="F-120",6,IF(L1087="F-150",7,0)))))),0),0)+IF(AND(O1087="FIRE TEX 5090",E1087="CJ",J1087=3),VLOOKUP(_xlfn.MINIFS('FIRE TEX 5090'!$R$5:$R$30,'FIRE TEX 5090'!$R$5:$R$30,"&gt;="&amp;M1087),'FIRE TEX 5090'!$R$5:$W$30,IF(L1087="F-15",2,IF(L1087="F-30",3,IF(L1087="F-60",4,IF(L1087="F-90",5,IF(L1087="F-120",6,IF(L1087="F-150",7,0)))))),0),0)+IF(AND(O1087="FIRE TEX 5090",E1087="CJ",J1087=4),VLOOKUP(_xlfn.MINIFS('FIRE TEX 5090'!$Y$5:$Y$39,'FIRE TEX 5090'!$Y$5:$Y$39,"&gt;="&amp;M1087),'FIRE TEX 5090'!$Y$5:$AD$39,IF(L1087="F-15",2,IF(L1087="F-30",3,IF(L1087="F-60",4,IF(L1087="F-90",5,IF(L1087="F-120",6,IF(L1087="F-150",7,0)))))),0),0)+IF(AND(O1087="FIRE TEX 5120",OR(E1087="IN",E1087="C",E1087="Z",E1087="L"),J1087=3),VLOOKUP(_xlfn.MINIFS('FIRE TEX 5120'!$B$5:$B$40,'FIRE TEX 5120'!$B$5:$B$40,"&gt;="&amp;M1087),'FIRE TEX 5120'!$B$5:$G$40,IF(L1087="F-15",2,IF(L1087="F-30",3,IF(L1087="F-60",4,IF(L1087="F-90",5,IF(L1087="F-120",6,0))))),0),0)+IF(AND(O1087="FIRE TEX 5120",OR(E1087="IN",E1087="C",E1087="Z",E1087="L"),J1087=4),VLOOKUP(_xlfn.MINIFS('FIRE TEX 5120'!$H$4:$H$40,'FIRE TEX 5120'!$H$4:$H$40,"&gt;="&amp;M1087),'FIRE TEX 5120'!$H$4:$M$40,IF(L1087="F-15",2,IF(L1087="F-30",3,IF(L1087="F-60",4,IF(L1087="F-90",5,IF(L1087="F-120",6,0))))),0),0)+IF(AND(O1087="FIRE TEX 5120",E1087="CJ"),VLOOKUP(_xlfn.MINIFS('FIRE TEX 5120'!$O$5:$O$40,'FIRE TEX 5120'!$O$5:$O$40,"&gt;="&amp;M1087),'FIRE TEX 5120'!$O$5:$T$40,IF(L1087="F-15",2,IF(L1087="F-30",3,IF(L1087="F-60",4,IF(L1087="F-90",5,IF(L1087="F-120",6,0))))),0),0)</f>
        <v>0</v>
      </c>
      <c r="Q1087" s="46">
        <f t="shared" si="104"/>
        <v>0</v>
      </c>
      <c r="R1087" s="46">
        <f t="shared" si="105"/>
        <v>0</v>
      </c>
      <c r="S1087" s="46" t="e">
        <f t="shared" si="106"/>
        <v>#VALUE!</v>
      </c>
      <c r="T1087" s="677">
        <f t="shared" si="107"/>
        <v>0</v>
      </c>
      <c r="U1087" s="80">
        <f>(IF(O1087="Stofire",(S1087*#REF!),0))+(IF(O1087="Fire Control",(S1087*$U$2),0))+(IF(O1087="Fire Tex",(S1087*$U$3),0))+(IF(O1087="WB7",(S1087*#REF!),0)+(IF(O1087="FX 2003",(S1087*$U$5),0)))</f>
        <v>0</v>
      </c>
      <c r="V1087" s="651">
        <f t="shared" si="108"/>
        <v>0</v>
      </c>
    </row>
    <row r="1088" spans="4:22" x14ac:dyDescent="0.25">
      <c r="D1088" s="118">
        <f>+CUBICACION!D1087</f>
        <v>0</v>
      </c>
      <c r="E1088" s="118">
        <f>+CUBICACION!F1087</f>
        <v>0</v>
      </c>
      <c r="F1088" s="118">
        <f>+CUBICACION!E1087</f>
        <v>0</v>
      </c>
      <c r="G1088" s="118">
        <v>12</v>
      </c>
      <c r="H1088" s="118">
        <v>2</v>
      </c>
      <c r="I1088" s="820">
        <v>26385</v>
      </c>
      <c r="J1088" s="118">
        <f>+CUBICACION!J1087</f>
        <v>0</v>
      </c>
      <c r="K1088" s="118">
        <v>3867</v>
      </c>
      <c r="L1088" s="118">
        <f>+CUBICACION!L1087</f>
        <v>0</v>
      </c>
      <c r="M1088" s="64">
        <f>+CUBICACION!M1087</f>
        <v>0</v>
      </c>
      <c r="N1088" s="824" t="str">
        <f>+CUBICACION!N1087</f>
        <v/>
      </c>
      <c r="O1088" s="675">
        <f>+CUBICACION!O1087</f>
        <v>0</v>
      </c>
      <c r="P1088" s="15">
        <f>IF(O1088="Fire Control",VLOOKUP(_xlfn.MINIFS('FIRE CONTROL'!$C$4:$C$37,'FIRE CONTROL'!$C$4:$C$37,"&gt;="&amp;M1088),'FIRE CONTROL'!$C$4:$G$37,IF(L1088="F-15",2,IF(L1088="F-30",3,IF(L1088="F-60",4,IF(L1088="F-90",5,0)))),0),0)+IF(AND(O1088="FIRE TEX 5062",OR(E1088="IN",E1088="C",E1088="Z",E1088="L"),J1088=3),VLOOKUP(_xlfn.MINIFS('FIRE TEX 5062'!$B$4:$B$34,'FIRE TEX 5062'!$B$4:$B$34,"&gt;="&amp;M1088),'FIRE TEX 5062'!$B$4:$F$34,IF(L1088="F-15",2,IF(L1088="F-30",3,IF(L1088="F-60",4,IF(L1088="F-90",5,0)))),0),0)+IF(AND(O1088="FIRE TEX 5062",OR(E1088="IN",E1088="C",E1088="Z",E1088="L"),J1088=4),VLOOKUP(_xlfn.MINIFS('FIRE TEX 5062'!$G$4:$G$34,'FIRE TEX 5062'!$G$4:$G$34,"&gt;="&amp;M1088),'FIRE TEX 5062'!$G$4:$K$34,IF(L1088="F-15",2,IF(L1088="F-30",3,IF(L1088="F-60",4,IF(L1088="F-90",5,0)))),0),0)+IF(AND(O1088="FIRE TEX 5062",E1088="CJ",J1088=3),VLOOKUP(_xlfn.MINIFS('FIRE TEX 5062'!$L$4:$L$34,'FIRE TEX 5062'!$L$4:$L$34,"&gt;="&amp;M1088),'FIRE TEX 5062'!$L$4:$P$34,IF(L1088="F-15",2,IF(L1088="F-30",3,IF(L1088="F-60",4,IF(L1088="F-90",5,0)))),0),0)+IF(AND(O1088="FIRE TEX 5062",E1088="CJ",J1088=4),VLOOKUP(_xlfn.MINIFS('FIRE TEX 5062'!$Q$3:$Q$34,'FIRE TEX 5062'!$Q$3:$Q$34,"&gt;="&amp;M1088),'FIRE TEX 5062'!$Q$3:$U$34,IF(L1088="F-15",2,IF(L1088="F-30",3,IF(L1088="F-60",4,IF(L1088="F-90",5,0)))),0),0)+IF(AND(O1088="FIRE TEX 5090",OR(E1088="IN",E1088="C",E1088="Z",E1088="L"),J1088=3),VLOOKUP(_xlfn.MINIFS('FIRE TEX 5090'!$B$5:$B$43,'FIRE TEX 5090'!$B$5:$B$43,"&gt;="&amp;M1088),'FIRE TEX 5090'!$B$5:$H$43,IF(L1088="F-15",2,IF(L1088="F-30",3,IF(L1088="F-60",4,IF(L1088="F-90",5,IF(L1088="F-120",6,IF(L1088="F-150",7,0)))))),0),0)+IF(AND(O1088="FIRE TEX 5090",OR(E1088="IN",E1088="C",E1088="Z",E1088="L"),J1088=4),VLOOKUP(_xlfn.MINIFS('FIRE TEX 5090'!$J$5:$J$43,'FIRE TEX 5090'!$J$5:$J$43,"&gt;="&amp;M1088),'FIRE TEX 5090'!$J$5:$P$43,IF(L1088="F-15",2,IF(L1088="F-30",3,IF(L1088="F-60",4,IF(L1088="F-90",5,IF(L1088="F-120",6,IF(L1088="F-150",7,0)))))),0),0)+IF(AND(O1088="FIRE TEX 5090",E1088="CJ",J1088=3),VLOOKUP(_xlfn.MINIFS('FIRE TEX 5090'!$R$5:$R$30,'FIRE TEX 5090'!$R$5:$R$30,"&gt;="&amp;M1088),'FIRE TEX 5090'!$R$5:$W$30,IF(L1088="F-15",2,IF(L1088="F-30",3,IF(L1088="F-60",4,IF(L1088="F-90",5,IF(L1088="F-120",6,IF(L1088="F-150",7,0)))))),0),0)+IF(AND(O1088="FIRE TEX 5090",E1088="CJ",J1088=4),VLOOKUP(_xlfn.MINIFS('FIRE TEX 5090'!$Y$5:$Y$39,'FIRE TEX 5090'!$Y$5:$Y$39,"&gt;="&amp;M1088),'FIRE TEX 5090'!$Y$5:$AD$39,IF(L1088="F-15",2,IF(L1088="F-30",3,IF(L1088="F-60",4,IF(L1088="F-90",5,IF(L1088="F-120",6,IF(L1088="F-150",7,0)))))),0),0)+IF(AND(O1088="FIRE TEX 5120",OR(E1088="IN",E1088="C",E1088="Z",E1088="L"),J1088=3),VLOOKUP(_xlfn.MINIFS('FIRE TEX 5120'!$B$5:$B$40,'FIRE TEX 5120'!$B$5:$B$40,"&gt;="&amp;M1088),'FIRE TEX 5120'!$B$5:$G$40,IF(L1088="F-15",2,IF(L1088="F-30",3,IF(L1088="F-60",4,IF(L1088="F-90",5,IF(L1088="F-120",6,0))))),0),0)+IF(AND(O1088="FIRE TEX 5120",OR(E1088="IN",E1088="C",E1088="Z",E1088="L"),J1088=4),VLOOKUP(_xlfn.MINIFS('FIRE TEX 5120'!$H$4:$H$40,'FIRE TEX 5120'!$H$4:$H$40,"&gt;="&amp;M1088),'FIRE TEX 5120'!$H$4:$M$40,IF(L1088="F-15",2,IF(L1088="F-30",3,IF(L1088="F-60",4,IF(L1088="F-90",5,IF(L1088="F-120",6,0))))),0),0)+IF(AND(O1088="FIRE TEX 5120",E1088="CJ"),VLOOKUP(_xlfn.MINIFS('FIRE TEX 5120'!$O$5:$O$40,'FIRE TEX 5120'!$O$5:$O$40,"&gt;="&amp;M1088),'FIRE TEX 5120'!$O$5:$T$40,IF(L1088="F-15",2,IF(L1088="F-30",3,IF(L1088="F-60",4,IF(L1088="F-90",5,IF(L1088="F-120",6,0))))),0),0)</f>
        <v>0</v>
      </c>
      <c r="Q1088" s="46">
        <f t="shared" si="104"/>
        <v>0</v>
      </c>
      <c r="R1088" s="46">
        <f t="shared" si="105"/>
        <v>0</v>
      </c>
      <c r="S1088" s="46" t="e">
        <f t="shared" si="106"/>
        <v>#VALUE!</v>
      </c>
      <c r="T1088" s="677">
        <f t="shared" si="107"/>
        <v>0</v>
      </c>
      <c r="U1088" s="80">
        <f>(IF(O1088="Stofire",(S1088*#REF!),0))+(IF(O1088="Fire Control",(S1088*$U$2),0))+(IF(O1088="Fire Tex",(S1088*$U$3),0))+(IF(O1088="WB7",(S1088*#REF!),0)+(IF(O1088="FX 2003",(S1088*$U$5),0)))</f>
        <v>0</v>
      </c>
      <c r="V1088" s="651">
        <f t="shared" si="108"/>
        <v>0</v>
      </c>
    </row>
    <row r="1089" spans="4:22" x14ac:dyDescent="0.25">
      <c r="D1089" s="118">
        <f>+CUBICACION!D1088</f>
        <v>0</v>
      </c>
      <c r="E1089" s="118">
        <f>+CUBICACION!F1088</f>
        <v>0</v>
      </c>
      <c r="F1089" s="118">
        <f>+CUBICACION!E1088</f>
        <v>0</v>
      </c>
      <c r="G1089" s="118">
        <v>12</v>
      </c>
      <c r="H1089" s="118">
        <v>2</v>
      </c>
      <c r="I1089" s="820">
        <v>26385</v>
      </c>
      <c r="J1089" s="118">
        <f>+CUBICACION!J1088</f>
        <v>0</v>
      </c>
      <c r="K1089" s="118">
        <v>3868</v>
      </c>
      <c r="L1089" s="118">
        <f>+CUBICACION!L1088</f>
        <v>0</v>
      </c>
      <c r="M1089" s="64">
        <f>+CUBICACION!M1088</f>
        <v>0</v>
      </c>
      <c r="N1089" s="824" t="str">
        <f>+CUBICACION!N1088</f>
        <v/>
      </c>
      <c r="O1089" s="675">
        <f>+CUBICACION!O1088</f>
        <v>0</v>
      </c>
      <c r="P1089" s="15">
        <f>IF(O1089="Fire Control",VLOOKUP(_xlfn.MINIFS('FIRE CONTROL'!$C$4:$C$37,'FIRE CONTROL'!$C$4:$C$37,"&gt;="&amp;M1089),'FIRE CONTROL'!$C$4:$G$37,IF(L1089="F-15",2,IF(L1089="F-30",3,IF(L1089="F-60",4,IF(L1089="F-90",5,0)))),0),0)+IF(AND(O1089="FIRE TEX 5062",OR(E1089="IN",E1089="C",E1089="Z",E1089="L"),J1089=3),VLOOKUP(_xlfn.MINIFS('FIRE TEX 5062'!$B$4:$B$34,'FIRE TEX 5062'!$B$4:$B$34,"&gt;="&amp;M1089),'FIRE TEX 5062'!$B$4:$F$34,IF(L1089="F-15",2,IF(L1089="F-30",3,IF(L1089="F-60",4,IF(L1089="F-90",5,0)))),0),0)+IF(AND(O1089="FIRE TEX 5062",OR(E1089="IN",E1089="C",E1089="Z",E1089="L"),J1089=4),VLOOKUP(_xlfn.MINIFS('FIRE TEX 5062'!$G$4:$G$34,'FIRE TEX 5062'!$G$4:$G$34,"&gt;="&amp;M1089),'FIRE TEX 5062'!$G$4:$K$34,IF(L1089="F-15",2,IF(L1089="F-30",3,IF(L1089="F-60",4,IF(L1089="F-90",5,0)))),0),0)+IF(AND(O1089="FIRE TEX 5062",E1089="CJ",J1089=3),VLOOKUP(_xlfn.MINIFS('FIRE TEX 5062'!$L$4:$L$34,'FIRE TEX 5062'!$L$4:$L$34,"&gt;="&amp;M1089),'FIRE TEX 5062'!$L$4:$P$34,IF(L1089="F-15",2,IF(L1089="F-30",3,IF(L1089="F-60",4,IF(L1089="F-90",5,0)))),0),0)+IF(AND(O1089="FIRE TEX 5062",E1089="CJ",J1089=4),VLOOKUP(_xlfn.MINIFS('FIRE TEX 5062'!$Q$3:$Q$34,'FIRE TEX 5062'!$Q$3:$Q$34,"&gt;="&amp;M1089),'FIRE TEX 5062'!$Q$3:$U$34,IF(L1089="F-15",2,IF(L1089="F-30",3,IF(L1089="F-60",4,IF(L1089="F-90",5,0)))),0),0)+IF(AND(O1089="FIRE TEX 5090",OR(E1089="IN",E1089="C",E1089="Z",E1089="L"),J1089=3),VLOOKUP(_xlfn.MINIFS('FIRE TEX 5090'!$B$5:$B$43,'FIRE TEX 5090'!$B$5:$B$43,"&gt;="&amp;M1089),'FIRE TEX 5090'!$B$5:$H$43,IF(L1089="F-15",2,IF(L1089="F-30",3,IF(L1089="F-60",4,IF(L1089="F-90",5,IF(L1089="F-120",6,IF(L1089="F-150",7,0)))))),0),0)+IF(AND(O1089="FIRE TEX 5090",OR(E1089="IN",E1089="C",E1089="Z",E1089="L"),J1089=4),VLOOKUP(_xlfn.MINIFS('FIRE TEX 5090'!$J$5:$J$43,'FIRE TEX 5090'!$J$5:$J$43,"&gt;="&amp;M1089),'FIRE TEX 5090'!$J$5:$P$43,IF(L1089="F-15",2,IF(L1089="F-30",3,IF(L1089="F-60",4,IF(L1089="F-90",5,IF(L1089="F-120",6,IF(L1089="F-150",7,0)))))),0),0)+IF(AND(O1089="FIRE TEX 5090",E1089="CJ",J1089=3),VLOOKUP(_xlfn.MINIFS('FIRE TEX 5090'!$R$5:$R$30,'FIRE TEX 5090'!$R$5:$R$30,"&gt;="&amp;M1089),'FIRE TEX 5090'!$R$5:$W$30,IF(L1089="F-15",2,IF(L1089="F-30",3,IF(L1089="F-60",4,IF(L1089="F-90",5,IF(L1089="F-120",6,IF(L1089="F-150",7,0)))))),0),0)+IF(AND(O1089="FIRE TEX 5090",E1089="CJ",J1089=4),VLOOKUP(_xlfn.MINIFS('FIRE TEX 5090'!$Y$5:$Y$39,'FIRE TEX 5090'!$Y$5:$Y$39,"&gt;="&amp;M1089),'FIRE TEX 5090'!$Y$5:$AD$39,IF(L1089="F-15",2,IF(L1089="F-30",3,IF(L1089="F-60",4,IF(L1089="F-90",5,IF(L1089="F-120",6,IF(L1089="F-150",7,0)))))),0),0)+IF(AND(O1089="FIRE TEX 5120",OR(E1089="IN",E1089="C",E1089="Z",E1089="L"),J1089=3),VLOOKUP(_xlfn.MINIFS('FIRE TEX 5120'!$B$5:$B$40,'FIRE TEX 5120'!$B$5:$B$40,"&gt;="&amp;M1089),'FIRE TEX 5120'!$B$5:$G$40,IF(L1089="F-15",2,IF(L1089="F-30",3,IF(L1089="F-60",4,IF(L1089="F-90",5,IF(L1089="F-120",6,0))))),0),0)+IF(AND(O1089="FIRE TEX 5120",OR(E1089="IN",E1089="C",E1089="Z",E1089="L"),J1089=4),VLOOKUP(_xlfn.MINIFS('FIRE TEX 5120'!$H$4:$H$40,'FIRE TEX 5120'!$H$4:$H$40,"&gt;="&amp;M1089),'FIRE TEX 5120'!$H$4:$M$40,IF(L1089="F-15",2,IF(L1089="F-30",3,IF(L1089="F-60",4,IF(L1089="F-90",5,IF(L1089="F-120",6,0))))),0),0)+IF(AND(O1089="FIRE TEX 5120",E1089="CJ"),VLOOKUP(_xlfn.MINIFS('FIRE TEX 5120'!$O$5:$O$40,'FIRE TEX 5120'!$O$5:$O$40,"&gt;="&amp;M1089),'FIRE TEX 5120'!$O$5:$T$40,IF(L1089="F-15",2,IF(L1089="F-30",3,IF(L1089="F-60",4,IF(L1089="F-90",5,IF(L1089="F-120",6,0))))),0),0)</f>
        <v>0</v>
      </c>
      <c r="Q1089" s="46">
        <f t="shared" si="104"/>
        <v>0</v>
      </c>
      <c r="R1089" s="46">
        <f t="shared" si="105"/>
        <v>0</v>
      </c>
      <c r="S1089" s="46" t="e">
        <f t="shared" si="106"/>
        <v>#VALUE!</v>
      </c>
      <c r="T1089" s="677">
        <f t="shared" si="107"/>
        <v>0</v>
      </c>
      <c r="U1089" s="80">
        <f>(IF(O1089="Stofire",(S1089*#REF!),0))+(IF(O1089="Fire Control",(S1089*$U$2),0))+(IF(O1089="Fire Tex",(S1089*$U$3),0))+(IF(O1089="WB7",(S1089*#REF!),0)+(IF(O1089="FX 2003",(S1089*$U$5),0)))</f>
        <v>0</v>
      </c>
      <c r="V1089" s="651">
        <f t="shared" si="108"/>
        <v>0</v>
      </c>
    </row>
    <row r="1090" spans="4:22" x14ac:dyDescent="0.25">
      <c r="D1090" s="118">
        <f>+CUBICACION!D1089</f>
        <v>0</v>
      </c>
      <c r="E1090" s="118">
        <f>+CUBICACION!F1089</f>
        <v>0</v>
      </c>
      <c r="F1090" s="118">
        <f>+CUBICACION!E1089</f>
        <v>0</v>
      </c>
      <c r="G1090" s="118">
        <v>12</v>
      </c>
      <c r="H1090" s="118">
        <v>2</v>
      </c>
      <c r="I1090" s="820">
        <v>26385</v>
      </c>
      <c r="J1090" s="118">
        <f>+CUBICACION!J1089</f>
        <v>0</v>
      </c>
      <c r="K1090" s="118">
        <v>3869</v>
      </c>
      <c r="L1090" s="118">
        <f>+CUBICACION!L1089</f>
        <v>0</v>
      </c>
      <c r="M1090" s="64">
        <f>+CUBICACION!M1089</f>
        <v>0</v>
      </c>
      <c r="N1090" s="824" t="str">
        <f>+CUBICACION!N1089</f>
        <v/>
      </c>
      <c r="O1090" s="675">
        <f>+CUBICACION!O1089</f>
        <v>0</v>
      </c>
      <c r="P1090" s="15">
        <f>IF(O1090="Fire Control",VLOOKUP(_xlfn.MINIFS('FIRE CONTROL'!$C$4:$C$37,'FIRE CONTROL'!$C$4:$C$37,"&gt;="&amp;M1090),'FIRE CONTROL'!$C$4:$G$37,IF(L1090="F-15",2,IF(L1090="F-30",3,IF(L1090="F-60",4,IF(L1090="F-90",5,0)))),0),0)+IF(AND(O1090="FIRE TEX 5062",OR(E1090="IN",E1090="C",E1090="Z",E1090="L"),J1090=3),VLOOKUP(_xlfn.MINIFS('FIRE TEX 5062'!$B$4:$B$34,'FIRE TEX 5062'!$B$4:$B$34,"&gt;="&amp;M1090),'FIRE TEX 5062'!$B$4:$F$34,IF(L1090="F-15",2,IF(L1090="F-30",3,IF(L1090="F-60",4,IF(L1090="F-90",5,0)))),0),0)+IF(AND(O1090="FIRE TEX 5062",OR(E1090="IN",E1090="C",E1090="Z",E1090="L"),J1090=4),VLOOKUP(_xlfn.MINIFS('FIRE TEX 5062'!$G$4:$G$34,'FIRE TEX 5062'!$G$4:$G$34,"&gt;="&amp;M1090),'FIRE TEX 5062'!$G$4:$K$34,IF(L1090="F-15",2,IF(L1090="F-30",3,IF(L1090="F-60",4,IF(L1090="F-90",5,0)))),0),0)+IF(AND(O1090="FIRE TEX 5062",E1090="CJ",J1090=3),VLOOKUP(_xlfn.MINIFS('FIRE TEX 5062'!$L$4:$L$34,'FIRE TEX 5062'!$L$4:$L$34,"&gt;="&amp;M1090),'FIRE TEX 5062'!$L$4:$P$34,IF(L1090="F-15",2,IF(L1090="F-30",3,IF(L1090="F-60",4,IF(L1090="F-90",5,0)))),0),0)+IF(AND(O1090="FIRE TEX 5062",E1090="CJ",J1090=4),VLOOKUP(_xlfn.MINIFS('FIRE TEX 5062'!$Q$3:$Q$34,'FIRE TEX 5062'!$Q$3:$Q$34,"&gt;="&amp;M1090),'FIRE TEX 5062'!$Q$3:$U$34,IF(L1090="F-15",2,IF(L1090="F-30",3,IF(L1090="F-60",4,IF(L1090="F-90",5,0)))),0),0)+IF(AND(O1090="FIRE TEX 5090",OR(E1090="IN",E1090="C",E1090="Z",E1090="L"),J1090=3),VLOOKUP(_xlfn.MINIFS('FIRE TEX 5090'!$B$5:$B$43,'FIRE TEX 5090'!$B$5:$B$43,"&gt;="&amp;M1090),'FIRE TEX 5090'!$B$5:$H$43,IF(L1090="F-15",2,IF(L1090="F-30",3,IF(L1090="F-60",4,IF(L1090="F-90",5,IF(L1090="F-120",6,IF(L1090="F-150",7,0)))))),0),0)+IF(AND(O1090="FIRE TEX 5090",OR(E1090="IN",E1090="C",E1090="Z",E1090="L"),J1090=4),VLOOKUP(_xlfn.MINIFS('FIRE TEX 5090'!$J$5:$J$43,'FIRE TEX 5090'!$J$5:$J$43,"&gt;="&amp;M1090),'FIRE TEX 5090'!$J$5:$P$43,IF(L1090="F-15",2,IF(L1090="F-30",3,IF(L1090="F-60",4,IF(L1090="F-90",5,IF(L1090="F-120",6,IF(L1090="F-150",7,0)))))),0),0)+IF(AND(O1090="FIRE TEX 5090",E1090="CJ",J1090=3),VLOOKUP(_xlfn.MINIFS('FIRE TEX 5090'!$R$5:$R$30,'FIRE TEX 5090'!$R$5:$R$30,"&gt;="&amp;M1090),'FIRE TEX 5090'!$R$5:$W$30,IF(L1090="F-15",2,IF(L1090="F-30",3,IF(L1090="F-60",4,IF(L1090="F-90",5,IF(L1090="F-120",6,IF(L1090="F-150",7,0)))))),0),0)+IF(AND(O1090="FIRE TEX 5090",E1090="CJ",J1090=4),VLOOKUP(_xlfn.MINIFS('FIRE TEX 5090'!$Y$5:$Y$39,'FIRE TEX 5090'!$Y$5:$Y$39,"&gt;="&amp;M1090),'FIRE TEX 5090'!$Y$5:$AD$39,IF(L1090="F-15",2,IF(L1090="F-30",3,IF(L1090="F-60",4,IF(L1090="F-90",5,IF(L1090="F-120",6,IF(L1090="F-150",7,0)))))),0),0)+IF(AND(O1090="FIRE TEX 5120",OR(E1090="IN",E1090="C",E1090="Z",E1090="L"),J1090=3),VLOOKUP(_xlfn.MINIFS('FIRE TEX 5120'!$B$5:$B$40,'FIRE TEX 5120'!$B$5:$B$40,"&gt;="&amp;M1090),'FIRE TEX 5120'!$B$5:$G$40,IF(L1090="F-15",2,IF(L1090="F-30",3,IF(L1090="F-60",4,IF(L1090="F-90",5,IF(L1090="F-120",6,0))))),0),0)+IF(AND(O1090="FIRE TEX 5120",OR(E1090="IN",E1090="C",E1090="Z",E1090="L"),J1090=4),VLOOKUP(_xlfn.MINIFS('FIRE TEX 5120'!$H$4:$H$40,'FIRE TEX 5120'!$H$4:$H$40,"&gt;="&amp;M1090),'FIRE TEX 5120'!$H$4:$M$40,IF(L1090="F-15",2,IF(L1090="F-30",3,IF(L1090="F-60",4,IF(L1090="F-90",5,IF(L1090="F-120",6,0))))),0),0)+IF(AND(O1090="FIRE TEX 5120",E1090="CJ"),VLOOKUP(_xlfn.MINIFS('FIRE TEX 5120'!$O$5:$O$40,'FIRE TEX 5120'!$O$5:$O$40,"&gt;="&amp;M1090),'FIRE TEX 5120'!$O$5:$T$40,IF(L1090="F-15",2,IF(L1090="F-30",3,IF(L1090="F-60",4,IF(L1090="F-90",5,IF(L1090="F-120",6,0))))),0),0)</f>
        <v>0</v>
      </c>
      <c r="Q1090" s="46">
        <f t="shared" si="104"/>
        <v>0</v>
      </c>
      <c r="R1090" s="46">
        <f t="shared" si="105"/>
        <v>0</v>
      </c>
      <c r="S1090" s="46" t="e">
        <f t="shared" si="106"/>
        <v>#VALUE!</v>
      </c>
      <c r="T1090" s="677">
        <f t="shared" si="107"/>
        <v>0</v>
      </c>
      <c r="U1090" s="80">
        <f>(IF(O1090="Stofire",(S1090*#REF!),0))+(IF(O1090="Fire Control",(S1090*$U$2),0))+(IF(O1090="Fire Tex",(S1090*$U$3),0))+(IF(O1090="WB7",(S1090*#REF!),0)+(IF(O1090="FX 2003",(S1090*$U$5),0)))</f>
        <v>0</v>
      </c>
      <c r="V1090" s="651">
        <f t="shared" si="108"/>
        <v>0</v>
      </c>
    </row>
    <row r="1091" spans="4:22" x14ac:dyDescent="0.25">
      <c r="D1091" s="118">
        <f>+CUBICACION!D1090</f>
        <v>0</v>
      </c>
      <c r="E1091" s="118">
        <f>+CUBICACION!F1090</f>
        <v>0</v>
      </c>
      <c r="F1091" s="118">
        <f>+CUBICACION!E1090</f>
        <v>0</v>
      </c>
      <c r="G1091" s="118">
        <v>12</v>
      </c>
      <c r="H1091" s="118">
        <v>2</v>
      </c>
      <c r="I1091" s="820">
        <v>26385</v>
      </c>
      <c r="J1091" s="118">
        <f>+CUBICACION!J1090</f>
        <v>0</v>
      </c>
      <c r="K1091" s="118">
        <v>3870</v>
      </c>
      <c r="L1091" s="118">
        <f>+CUBICACION!L1090</f>
        <v>0</v>
      </c>
      <c r="M1091" s="64">
        <f>+CUBICACION!M1090</f>
        <v>0</v>
      </c>
      <c r="N1091" s="824" t="str">
        <f>+CUBICACION!N1090</f>
        <v/>
      </c>
      <c r="O1091" s="675">
        <f>+CUBICACION!O1090</f>
        <v>0</v>
      </c>
      <c r="P1091" s="15">
        <f>IF(O1091="Fire Control",VLOOKUP(_xlfn.MINIFS('FIRE CONTROL'!$C$4:$C$37,'FIRE CONTROL'!$C$4:$C$37,"&gt;="&amp;M1091),'FIRE CONTROL'!$C$4:$G$37,IF(L1091="F-15",2,IF(L1091="F-30",3,IF(L1091="F-60",4,IF(L1091="F-90",5,0)))),0),0)+IF(AND(O1091="FIRE TEX 5062",OR(E1091="IN",E1091="C",E1091="Z",E1091="L"),J1091=3),VLOOKUP(_xlfn.MINIFS('FIRE TEX 5062'!$B$4:$B$34,'FIRE TEX 5062'!$B$4:$B$34,"&gt;="&amp;M1091),'FIRE TEX 5062'!$B$4:$F$34,IF(L1091="F-15",2,IF(L1091="F-30",3,IF(L1091="F-60",4,IF(L1091="F-90",5,0)))),0),0)+IF(AND(O1091="FIRE TEX 5062",OR(E1091="IN",E1091="C",E1091="Z",E1091="L"),J1091=4),VLOOKUP(_xlfn.MINIFS('FIRE TEX 5062'!$G$4:$G$34,'FIRE TEX 5062'!$G$4:$G$34,"&gt;="&amp;M1091),'FIRE TEX 5062'!$G$4:$K$34,IF(L1091="F-15",2,IF(L1091="F-30",3,IF(L1091="F-60",4,IF(L1091="F-90",5,0)))),0),0)+IF(AND(O1091="FIRE TEX 5062",E1091="CJ",J1091=3),VLOOKUP(_xlfn.MINIFS('FIRE TEX 5062'!$L$4:$L$34,'FIRE TEX 5062'!$L$4:$L$34,"&gt;="&amp;M1091),'FIRE TEX 5062'!$L$4:$P$34,IF(L1091="F-15",2,IF(L1091="F-30",3,IF(L1091="F-60",4,IF(L1091="F-90",5,0)))),0),0)+IF(AND(O1091="FIRE TEX 5062",E1091="CJ",J1091=4),VLOOKUP(_xlfn.MINIFS('FIRE TEX 5062'!$Q$3:$Q$34,'FIRE TEX 5062'!$Q$3:$Q$34,"&gt;="&amp;M1091),'FIRE TEX 5062'!$Q$3:$U$34,IF(L1091="F-15",2,IF(L1091="F-30",3,IF(L1091="F-60",4,IF(L1091="F-90",5,0)))),0),0)+IF(AND(O1091="FIRE TEX 5090",OR(E1091="IN",E1091="C",E1091="Z",E1091="L"),J1091=3),VLOOKUP(_xlfn.MINIFS('FIRE TEX 5090'!$B$5:$B$43,'FIRE TEX 5090'!$B$5:$B$43,"&gt;="&amp;M1091),'FIRE TEX 5090'!$B$5:$H$43,IF(L1091="F-15",2,IF(L1091="F-30",3,IF(L1091="F-60",4,IF(L1091="F-90",5,IF(L1091="F-120",6,IF(L1091="F-150",7,0)))))),0),0)+IF(AND(O1091="FIRE TEX 5090",OR(E1091="IN",E1091="C",E1091="Z",E1091="L"),J1091=4),VLOOKUP(_xlfn.MINIFS('FIRE TEX 5090'!$J$5:$J$43,'FIRE TEX 5090'!$J$5:$J$43,"&gt;="&amp;M1091),'FIRE TEX 5090'!$J$5:$P$43,IF(L1091="F-15",2,IF(L1091="F-30",3,IF(L1091="F-60",4,IF(L1091="F-90",5,IF(L1091="F-120",6,IF(L1091="F-150",7,0)))))),0),0)+IF(AND(O1091="FIRE TEX 5090",E1091="CJ",J1091=3),VLOOKUP(_xlfn.MINIFS('FIRE TEX 5090'!$R$5:$R$30,'FIRE TEX 5090'!$R$5:$R$30,"&gt;="&amp;M1091),'FIRE TEX 5090'!$R$5:$W$30,IF(L1091="F-15",2,IF(L1091="F-30",3,IF(L1091="F-60",4,IF(L1091="F-90",5,IF(L1091="F-120",6,IF(L1091="F-150",7,0)))))),0),0)+IF(AND(O1091="FIRE TEX 5090",E1091="CJ",J1091=4),VLOOKUP(_xlfn.MINIFS('FIRE TEX 5090'!$Y$5:$Y$39,'FIRE TEX 5090'!$Y$5:$Y$39,"&gt;="&amp;M1091),'FIRE TEX 5090'!$Y$5:$AD$39,IF(L1091="F-15",2,IF(L1091="F-30",3,IF(L1091="F-60",4,IF(L1091="F-90",5,IF(L1091="F-120",6,IF(L1091="F-150",7,0)))))),0),0)+IF(AND(O1091="FIRE TEX 5120",OR(E1091="IN",E1091="C",E1091="Z",E1091="L"),J1091=3),VLOOKUP(_xlfn.MINIFS('FIRE TEX 5120'!$B$5:$B$40,'FIRE TEX 5120'!$B$5:$B$40,"&gt;="&amp;M1091),'FIRE TEX 5120'!$B$5:$G$40,IF(L1091="F-15",2,IF(L1091="F-30",3,IF(L1091="F-60",4,IF(L1091="F-90",5,IF(L1091="F-120",6,0))))),0),0)+IF(AND(O1091="FIRE TEX 5120",OR(E1091="IN",E1091="C",E1091="Z",E1091="L"),J1091=4),VLOOKUP(_xlfn.MINIFS('FIRE TEX 5120'!$H$4:$H$40,'FIRE TEX 5120'!$H$4:$H$40,"&gt;="&amp;M1091),'FIRE TEX 5120'!$H$4:$M$40,IF(L1091="F-15",2,IF(L1091="F-30",3,IF(L1091="F-60",4,IF(L1091="F-90",5,IF(L1091="F-120",6,0))))),0),0)+IF(AND(O1091="FIRE TEX 5120",E1091="CJ"),VLOOKUP(_xlfn.MINIFS('FIRE TEX 5120'!$O$5:$O$40,'FIRE TEX 5120'!$O$5:$O$40,"&gt;="&amp;M1091),'FIRE TEX 5120'!$O$5:$T$40,IF(L1091="F-15",2,IF(L1091="F-30",3,IF(L1091="F-60",4,IF(L1091="F-90",5,IF(L1091="F-120",6,0))))),0),0)</f>
        <v>0</v>
      </c>
      <c r="Q1091" s="46">
        <f t="shared" si="104"/>
        <v>0</v>
      </c>
      <c r="R1091" s="46">
        <f t="shared" si="105"/>
        <v>0</v>
      </c>
      <c r="S1091" s="46" t="e">
        <f t="shared" si="106"/>
        <v>#VALUE!</v>
      </c>
      <c r="T1091" s="677">
        <f t="shared" si="107"/>
        <v>0</v>
      </c>
      <c r="U1091" s="80">
        <f>(IF(O1091="Stofire",(S1091*#REF!),0))+(IF(O1091="Fire Control",(S1091*$U$2),0))+(IF(O1091="Fire Tex",(S1091*$U$3),0))+(IF(O1091="WB7",(S1091*#REF!),0)+(IF(O1091="FX 2003",(S1091*$U$5),0)))</f>
        <v>0</v>
      </c>
      <c r="V1091" s="651">
        <f t="shared" si="108"/>
        <v>0</v>
      </c>
    </row>
    <row r="1092" spans="4:22" x14ac:dyDescent="0.25">
      <c r="D1092" s="118">
        <f>+CUBICACION!D1091</f>
        <v>0</v>
      </c>
      <c r="E1092" s="118">
        <f>+CUBICACION!F1091</f>
        <v>0</v>
      </c>
      <c r="F1092" s="118">
        <f>+CUBICACION!E1091</f>
        <v>0</v>
      </c>
      <c r="G1092" s="118">
        <v>12</v>
      </c>
      <c r="H1092" s="118">
        <v>2</v>
      </c>
      <c r="I1092" s="820">
        <v>26385</v>
      </c>
      <c r="J1092" s="118">
        <f>+CUBICACION!J1091</f>
        <v>0</v>
      </c>
      <c r="K1092" s="118">
        <v>3871</v>
      </c>
      <c r="L1092" s="118">
        <f>+CUBICACION!L1091</f>
        <v>0</v>
      </c>
      <c r="M1092" s="64">
        <f>+CUBICACION!M1091</f>
        <v>0</v>
      </c>
      <c r="N1092" s="824" t="str">
        <f>+CUBICACION!N1091</f>
        <v/>
      </c>
      <c r="O1092" s="675">
        <f>+CUBICACION!O1091</f>
        <v>0</v>
      </c>
      <c r="P1092" s="15">
        <f>IF(O1092="Fire Control",VLOOKUP(_xlfn.MINIFS('FIRE CONTROL'!$C$4:$C$37,'FIRE CONTROL'!$C$4:$C$37,"&gt;="&amp;M1092),'FIRE CONTROL'!$C$4:$G$37,IF(L1092="F-15",2,IF(L1092="F-30",3,IF(L1092="F-60",4,IF(L1092="F-90",5,0)))),0),0)+IF(AND(O1092="FIRE TEX 5062",OR(E1092="IN",E1092="C",E1092="Z",E1092="L"),J1092=3),VLOOKUP(_xlfn.MINIFS('FIRE TEX 5062'!$B$4:$B$34,'FIRE TEX 5062'!$B$4:$B$34,"&gt;="&amp;M1092),'FIRE TEX 5062'!$B$4:$F$34,IF(L1092="F-15",2,IF(L1092="F-30",3,IF(L1092="F-60",4,IF(L1092="F-90",5,0)))),0),0)+IF(AND(O1092="FIRE TEX 5062",OR(E1092="IN",E1092="C",E1092="Z",E1092="L"),J1092=4),VLOOKUP(_xlfn.MINIFS('FIRE TEX 5062'!$G$4:$G$34,'FIRE TEX 5062'!$G$4:$G$34,"&gt;="&amp;M1092),'FIRE TEX 5062'!$G$4:$K$34,IF(L1092="F-15",2,IF(L1092="F-30",3,IF(L1092="F-60",4,IF(L1092="F-90",5,0)))),0),0)+IF(AND(O1092="FIRE TEX 5062",E1092="CJ",J1092=3),VLOOKUP(_xlfn.MINIFS('FIRE TEX 5062'!$L$4:$L$34,'FIRE TEX 5062'!$L$4:$L$34,"&gt;="&amp;M1092),'FIRE TEX 5062'!$L$4:$P$34,IF(L1092="F-15",2,IF(L1092="F-30",3,IF(L1092="F-60",4,IF(L1092="F-90",5,0)))),0),0)+IF(AND(O1092="FIRE TEX 5062",E1092="CJ",J1092=4),VLOOKUP(_xlfn.MINIFS('FIRE TEX 5062'!$Q$3:$Q$34,'FIRE TEX 5062'!$Q$3:$Q$34,"&gt;="&amp;M1092),'FIRE TEX 5062'!$Q$3:$U$34,IF(L1092="F-15",2,IF(L1092="F-30",3,IF(L1092="F-60",4,IF(L1092="F-90",5,0)))),0),0)+IF(AND(O1092="FIRE TEX 5090",OR(E1092="IN",E1092="C",E1092="Z",E1092="L"),J1092=3),VLOOKUP(_xlfn.MINIFS('FIRE TEX 5090'!$B$5:$B$43,'FIRE TEX 5090'!$B$5:$B$43,"&gt;="&amp;M1092),'FIRE TEX 5090'!$B$5:$H$43,IF(L1092="F-15",2,IF(L1092="F-30",3,IF(L1092="F-60",4,IF(L1092="F-90",5,IF(L1092="F-120",6,IF(L1092="F-150",7,0)))))),0),0)+IF(AND(O1092="FIRE TEX 5090",OR(E1092="IN",E1092="C",E1092="Z",E1092="L"),J1092=4),VLOOKUP(_xlfn.MINIFS('FIRE TEX 5090'!$J$5:$J$43,'FIRE TEX 5090'!$J$5:$J$43,"&gt;="&amp;M1092),'FIRE TEX 5090'!$J$5:$P$43,IF(L1092="F-15",2,IF(L1092="F-30",3,IF(L1092="F-60",4,IF(L1092="F-90",5,IF(L1092="F-120",6,IF(L1092="F-150",7,0)))))),0),0)+IF(AND(O1092="FIRE TEX 5090",E1092="CJ",J1092=3),VLOOKUP(_xlfn.MINIFS('FIRE TEX 5090'!$R$5:$R$30,'FIRE TEX 5090'!$R$5:$R$30,"&gt;="&amp;M1092),'FIRE TEX 5090'!$R$5:$W$30,IF(L1092="F-15",2,IF(L1092="F-30",3,IF(L1092="F-60",4,IF(L1092="F-90",5,IF(L1092="F-120",6,IF(L1092="F-150",7,0)))))),0),0)+IF(AND(O1092="FIRE TEX 5090",E1092="CJ",J1092=4),VLOOKUP(_xlfn.MINIFS('FIRE TEX 5090'!$Y$5:$Y$39,'FIRE TEX 5090'!$Y$5:$Y$39,"&gt;="&amp;M1092),'FIRE TEX 5090'!$Y$5:$AD$39,IF(L1092="F-15",2,IF(L1092="F-30",3,IF(L1092="F-60",4,IF(L1092="F-90",5,IF(L1092="F-120",6,IF(L1092="F-150",7,0)))))),0),0)+IF(AND(O1092="FIRE TEX 5120",OR(E1092="IN",E1092="C",E1092="Z",E1092="L"),J1092=3),VLOOKUP(_xlfn.MINIFS('FIRE TEX 5120'!$B$5:$B$40,'FIRE TEX 5120'!$B$5:$B$40,"&gt;="&amp;M1092),'FIRE TEX 5120'!$B$5:$G$40,IF(L1092="F-15",2,IF(L1092="F-30",3,IF(L1092="F-60",4,IF(L1092="F-90",5,IF(L1092="F-120",6,0))))),0),0)+IF(AND(O1092="FIRE TEX 5120",OR(E1092="IN",E1092="C",E1092="Z",E1092="L"),J1092=4),VLOOKUP(_xlfn.MINIFS('FIRE TEX 5120'!$H$4:$H$40,'FIRE TEX 5120'!$H$4:$H$40,"&gt;="&amp;M1092),'FIRE TEX 5120'!$H$4:$M$40,IF(L1092="F-15",2,IF(L1092="F-30",3,IF(L1092="F-60",4,IF(L1092="F-90",5,IF(L1092="F-120",6,0))))),0),0)+IF(AND(O1092="FIRE TEX 5120",E1092="CJ"),VLOOKUP(_xlfn.MINIFS('FIRE TEX 5120'!$O$5:$O$40,'FIRE TEX 5120'!$O$5:$O$40,"&gt;="&amp;M1092),'FIRE TEX 5120'!$O$5:$T$40,IF(L1092="F-15",2,IF(L1092="F-30",3,IF(L1092="F-60",4,IF(L1092="F-90",5,IF(L1092="F-120",6,0))))),0),0)</f>
        <v>0</v>
      </c>
      <c r="Q1092" s="46">
        <f t="shared" si="104"/>
        <v>0</v>
      </c>
      <c r="R1092" s="46">
        <f t="shared" si="105"/>
        <v>0</v>
      </c>
      <c r="S1092" s="46" t="e">
        <f t="shared" si="106"/>
        <v>#VALUE!</v>
      </c>
      <c r="T1092" s="677">
        <f t="shared" si="107"/>
        <v>0</v>
      </c>
      <c r="U1092" s="80">
        <f>(IF(O1092="Stofire",(S1092*#REF!),0))+(IF(O1092="Fire Control",(S1092*$U$2),0))+(IF(O1092="Fire Tex",(S1092*$U$3),0))+(IF(O1092="WB7",(S1092*#REF!),0)+(IF(O1092="FX 2003",(S1092*$U$5),0)))</f>
        <v>0</v>
      </c>
      <c r="V1092" s="651">
        <f t="shared" si="108"/>
        <v>0</v>
      </c>
    </row>
    <row r="1093" spans="4:22" x14ac:dyDescent="0.25">
      <c r="D1093" s="118">
        <f>+CUBICACION!D1092</f>
        <v>0</v>
      </c>
      <c r="E1093" s="118">
        <f>+CUBICACION!F1092</f>
        <v>0</v>
      </c>
      <c r="F1093" s="118">
        <f>+CUBICACION!E1092</f>
        <v>0</v>
      </c>
      <c r="G1093" s="118">
        <v>12</v>
      </c>
      <c r="H1093" s="118">
        <v>2</v>
      </c>
      <c r="I1093" s="820">
        <v>26385</v>
      </c>
      <c r="J1093" s="118">
        <f>+CUBICACION!J1092</f>
        <v>0</v>
      </c>
      <c r="K1093" s="118">
        <v>3872</v>
      </c>
      <c r="L1093" s="118">
        <f>+CUBICACION!L1092</f>
        <v>0</v>
      </c>
      <c r="M1093" s="64">
        <f>+CUBICACION!M1092</f>
        <v>0</v>
      </c>
      <c r="N1093" s="824" t="str">
        <f>+CUBICACION!N1092</f>
        <v/>
      </c>
      <c r="O1093" s="675">
        <f>+CUBICACION!O1092</f>
        <v>0</v>
      </c>
      <c r="P1093" s="15">
        <f>IF(O1093="Fire Control",VLOOKUP(_xlfn.MINIFS('FIRE CONTROL'!$C$4:$C$37,'FIRE CONTROL'!$C$4:$C$37,"&gt;="&amp;M1093),'FIRE CONTROL'!$C$4:$G$37,IF(L1093="F-15",2,IF(L1093="F-30",3,IF(L1093="F-60",4,IF(L1093="F-90",5,0)))),0),0)+IF(AND(O1093="FIRE TEX 5062",OR(E1093="IN",E1093="C",E1093="Z",E1093="L"),J1093=3),VLOOKUP(_xlfn.MINIFS('FIRE TEX 5062'!$B$4:$B$34,'FIRE TEX 5062'!$B$4:$B$34,"&gt;="&amp;M1093),'FIRE TEX 5062'!$B$4:$F$34,IF(L1093="F-15",2,IF(L1093="F-30",3,IF(L1093="F-60",4,IF(L1093="F-90",5,0)))),0),0)+IF(AND(O1093="FIRE TEX 5062",OR(E1093="IN",E1093="C",E1093="Z",E1093="L"),J1093=4),VLOOKUP(_xlfn.MINIFS('FIRE TEX 5062'!$G$4:$G$34,'FIRE TEX 5062'!$G$4:$G$34,"&gt;="&amp;M1093),'FIRE TEX 5062'!$G$4:$K$34,IF(L1093="F-15",2,IF(L1093="F-30",3,IF(L1093="F-60",4,IF(L1093="F-90",5,0)))),0),0)+IF(AND(O1093="FIRE TEX 5062",E1093="CJ",J1093=3),VLOOKUP(_xlfn.MINIFS('FIRE TEX 5062'!$L$4:$L$34,'FIRE TEX 5062'!$L$4:$L$34,"&gt;="&amp;M1093),'FIRE TEX 5062'!$L$4:$P$34,IF(L1093="F-15",2,IF(L1093="F-30",3,IF(L1093="F-60",4,IF(L1093="F-90",5,0)))),0),0)+IF(AND(O1093="FIRE TEX 5062",E1093="CJ",J1093=4),VLOOKUP(_xlfn.MINIFS('FIRE TEX 5062'!$Q$3:$Q$34,'FIRE TEX 5062'!$Q$3:$Q$34,"&gt;="&amp;M1093),'FIRE TEX 5062'!$Q$3:$U$34,IF(L1093="F-15",2,IF(L1093="F-30",3,IF(L1093="F-60",4,IF(L1093="F-90",5,0)))),0),0)+IF(AND(O1093="FIRE TEX 5090",OR(E1093="IN",E1093="C",E1093="Z",E1093="L"),J1093=3),VLOOKUP(_xlfn.MINIFS('FIRE TEX 5090'!$B$5:$B$43,'FIRE TEX 5090'!$B$5:$B$43,"&gt;="&amp;M1093),'FIRE TEX 5090'!$B$5:$H$43,IF(L1093="F-15",2,IF(L1093="F-30",3,IF(L1093="F-60",4,IF(L1093="F-90",5,IF(L1093="F-120",6,IF(L1093="F-150",7,0)))))),0),0)+IF(AND(O1093="FIRE TEX 5090",OR(E1093="IN",E1093="C",E1093="Z",E1093="L"),J1093=4),VLOOKUP(_xlfn.MINIFS('FIRE TEX 5090'!$J$5:$J$43,'FIRE TEX 5090'!$J$5:$J$43,"&gt;="&amp;M1093),'FIRE TEX 5090'!$J$5:$P$43,IF(L1093="F-15",2,IF(L1093="F-30",3,IF(L1093="F-60",4,IF(L1093="F-90",5,IF(L1093="F-120",6,IF(L1093="F-150",7,0)))))),0),0)+IF(AND(O1093="FIRE TEX 5090",E1093="CJ",J1093=3),VLOOKUP(_xlfn.MINIFS('FIRE TEX 5090'!$R$5:$R$30,'FIRE TEX 5090'!$R$5:$R$30,"&gt;="&amp;M1093),'FIRE TEX 5090'!$R$5:$W$30,IF(L1093="F-15",2,IF(L1093="F-30",3,IF(L1093="F-60",4,IF(L1093="F-90",5,IF(L1093="F-120",6,IF(L1093="F-150",7,0)))))),0),0)+IF(AND(O1093="FIRE TEX 5090",E1093="CJ",J1093=4),VLOOKUP(_xlfn.MINIFS('FIRE TEX 5090'!$Y$5:$Y$39,'FIRE TEX 5090'!$Y$5:$Y$39,"&gt;="&amp;M1093),'FIRE TEX 5090'!$Y$5:$AD$39,IF(L1093="F-15",2,IF(L1093="F-30",3,IF(L1093="F-60",4,IF(L1093="F-90",5,IF(L1093="F-120",6,IF(L1093="F-150",7,0)))))),0),0)+IF(AND(O1093="FIRE TEX 5120",OR(E1093="IN",E1093="C",E1093="Z",E1093="L"),J1093=3),VLOOKUP(_xlfn.MINIFS('FIRE TEX 5120'!$B$5:$B$40,'FIRE TEX 5120'!$B$5:$B$40,"&gt;="&amp;M1093),'FIRE TEX 5120'!$B$5:$G$40,IF(L1093="F-15",2,IF(L1093="F-30",3,IF(L1093="F-60",4,IF(L1093="F-90",5,IF(L1093="F-120",6,0))))),0),0)+IF(AND(O1093="FIRE TEX 5120",OR(E1093="IN",E1093="C",E1093="Z",E1093="L"),J1093=4),VLOOKUP(_xlfn.MINIFS('FIRE TEX 5120'!$H$4:$H$40,'FIRE TEX 5120'!$H$4:$H$40,"&gt;="&amp;M1093),'FIRE TEX 5120'!$H$4:$M$40,IF(L1093="F-15",2,IF(L1093="F-30",3,IF(L1093="F-60",4,IF(L1093="F-90",5,IF(L1093="F-120",6,0))))),0),0)+IF(AND(O1093="FIRE TEX 5120",E1093="CJ"),VLOOKUP(_xlfn.MINIFS('FIRE TEX 5120'!$O$5:$O$40,'FIRE TEX 5120'!$O$5:$O$40,"&gt;="&amp;M1093),'FIRE TEX 5120'!$O$5:$T$40,IF(L1093="F-15",2,IF(L1093="F-30",3,IF(L1093="F-60",4,IF(L1093="F-90",5,IF(L1093="F-120",6,0))))),0),0)</f>
        <v>0</v>
      </c>
      <c r="Q1093" s="46">
        <f t="shared" si="104"/>
        <v>0</v>
      </c>
      <c r="R1093" s="46">
        <f t="shared" si="105"/>
        <v>0</v>
      </c>
      <c r="S1093" s="46" t="e">
        <f t="shared" si="106"/>
        <v>#VALUE!</v>
      </c>
      <c r="T1093" s="677">
        <f t="shared" si="107"/>
        <v>0</v>
      </c>
      <c r="U1093" s="80">
        <f>(IF(O1093="Stofire",(S1093*#REF!),0))+(IF(O1093="Fire Control",(S1093*$U$2),0))+(IF(O1093="Fire Tex",(S1093*$U$3),0))+(IF(O1093="WB7",(S1093*#REF!),0)+(IF(O1093="FX 2003",(S1093*$U$5),0)))</f>
        <v>0</v>
      </c>
      <c r="V1093" s="651">
        <f t="shared" si="108"/>
        <v>0</v>
      </c>
    </row>
    <row r="1094" spans="4:22" x14ac:dyDescent="0.25">
      <c r="D1094" s="118">
        <f>+CUBICACION!D1093</f>
        <v>0</v>
      </c>
      <c r="E1094" s="118">
        <f>+CUBICACION!F1093</f>
        <v>0</v>
      </c>
      <c r="F1094" s="118">
        <f>+CUBICACION!E1093</f>
        <v>0</v>
      </c>
      <c r="G1094" s="118">
        <v>12</v>
      </c>
      <c r="H1094" s="118">
        <v>2</v>
      </c>
      <c r="I1094" s="820">
        <v>26385</v>
      </c>
      <c r="J1094" s="118">
        <f>+CUBICACION!J1093</f>
        <v>0</v>
      </c>
      <c r="K1094" s="118">
        <v>3873</v>
      </c>
      <c r="L1094" s="118">
        <f>+CUBICACION!L1093</f>
        <v>0</v>
      </c>
      <c r="M1094" s="64">
        <f>+CUBICACION!M1093</f>
        <v>0</v>
      </c>
      <c r="N1094" s="824" t="str">
        <f>+CUBICACION!N1093</f>
        <v/>
      </c>
      <c r="O1094" s="675">
        <f>+CUBICACION!O1093</f>
        <v>0</v>
      </c>
      <c r="P1094" s="15">
        <f>IF(O1094="Fire Control",VLOOKUP(_xlfn.MINIFS('FIRE CONTROL'!$C$4:$C$37,'FIRE CONTROL'!$C$4:$C$37,"&gt;="&amp;M1094),'FIRE CONTROL'!$C$4:$G$37,IF(L1094="F-15",2,IF(L1094="F-30",3,IF(L1094="F-60",4,IF(L1094="F-90",5,0)))),0),0)+IF(AND(O1094="FIRE TEX 5062",OR(E1094="IN",E1094="C",E1094="Z",E1094="L"),J1094=3),VLOOKUP(_xlfn.MINIFS('FIRE TEX 5062'!$B$4:$B$34,'FIRE TEX 5062'!$B$4:$B$34,"&gt;="&amp;M1094),'FIRE TEX 5062'!$B$4:$F$34,IF(L1094="F-15",2,IF(L1094="F-30",3,IF(L1094="F-60",4,IF(L1094="F-90",5,0)))),0),0)+IF(AND(O1094="FIRE TEX 5062",OR(E1094="IN",E1094="C",E1094="Z",E1094="L"),J1094=4),VLOOKUP(_xlfn.MINIFS('FIRE TEX 5062'!$G$4:$G$34,'FIRE TEX 5062'!$G$4:$G$34,"&gt;="&amp;M1094),'FIRE TEX 5062'!$G$4:$K$34,IF(L1094="F-15",2,IF(L1094="F-30",3,IF(L1094="F-60",4,IF(L1094="F-90",5,0)))),0),0)+IF(AND(O1094="FIRE TEX 5062",E1094="CJ",J1094=3),VLOOKUP(_xlfn.MINIFS('FIRE TEX 5062'!$L$4:$L$34,'FIRE TEX 5062'!$L$4:$L$34,"&gt;="&amp;M1094),'FIRE TEX 5062'!$L$4:$P$34,IF(L1094="F-15",2,IF(L1094="F-30",3,IF(L1094="F-60",4,IF(L1094="F-90",5,0)))),0),0)+IF(AND(O1094="FIRE TEX 5062",E1094="CJ",J1094=4),VLOOKUP(_xlfn.MINIFS('FIRE TEX 5062'!$Q$3:$Q$34,'FIRE TEX 5062'!$Q$3:$Q$34,"&gt;="&amp;M1094),'FIRE TEX 5062'!$Q$3:$U$34,IF(L1094="F-15",2,IF(L1094="F-30",3,IF(L1094="F-60",4,IF(L1094="F-90",5,0)))),0),0)+IF(AND(O1094="FIRE TEX 5090",OR(E1094="IN",E1094="C",E1094="Z",E1094="L"),J1094=3),VLOOKUP(_xlfn.MINIFS('FIRE TEX 5090'!$B$5:$B$43,'FIRE TEX 5090'!$B$5:$B$43,"&gt;="&amp;M1094),'FIRE TEX 5090'!$B$5:$H$43,IF(L1094="F-15",2,IF(L1094="F-30",3,IF(L1094="F-60",4,IF(L1094="F-90",5,IF(L1094="F-120",6,IF(L1094="F-150",7,0)))))),0),0)+IF(AND(O1094="FIRE TEX 5090",OR(E1094="IN",E1094="C",E1094="Z",E1094="L"),J1094=4),VLOOKUP(_xlfn.MINIFS('FIRE TEX 5090'!$J$5:$J$43,'FIRE TEX 5090'!$J$5:$J$43,"&gt;="&amp;M1094),'FIRE TEX 5090'!$J$5:$P$43,IF(L1094="F-15",2,IF(L1094="F-30",3,IF(L1094="F-60",4,IF(L1094="F-90",5,IF(L1094="F-120",6,IF(L1094="F-150",7,0)))))),0),0)+IF(AND(O1094="FIRE TEX 5090",E1094="CJ",J1094=3),VLOOKUP(_xlfn.MINIFS('FIRE TEX 5090'!$R$5:$R$30,'FIRE TEX 5090'!$R$5:$R$30,"&gt;="&amp;M1094),'FIRE TEX 5090'!$R$5:$W$30,IF(L1094="F-15",2,IF(L1094="F-30",3,IF(L1094="F-60",4,IF(L1094="F-90",5,IF(L1094="F-120",6,IF(L1094="F-150",7,0)))))),0),0)+IF(AND(O1094="FIRE TEX 5090",E1094="CJ",J1094=4),VLOOKUP(_xlfn.MINIFS('FIRE TEX 5090'!$Y$5:$Y$39,'FIRE TEX 5090'!$Y$5:$Y$39,"&gt;="&amp;M1094),'FIRE TEX 5090'!$Y$5:$AD$39,IF(L1094="F-15",2,IF(L1094="F-30",3,IF(L1094="F-60",4,IF(L1094="F-90",5,IF(L1094="F-120",6,IF(L1094="F-150",7,0)))))),0),0)+IF(AND(O1094="FIRE TEX 5120",OR(E1094="IN",E1094="C",E1094="Z",E1094="L"),J1094=3),VLOOKUP(_xlfn.MINIFS('FIRE TEX 5120'!$B$5:$B$40,'FIRE TEX 5120'!$B$5:$B$40,"&gt;="&amp;M1094),'FIRE TEX 5120'!$B$5:$G$40,IF(L1094="F-15",2,IF(L1094="F-30",3,IF(L1094="F-60",4,IF(L1094="F-90",5,IF(L1094="F-120",6,0))))),0),0)+IF(AND(O1094="FIRE TEX 5120",OR(E1094="IN",E1094="C",E1094="Z",E1094="L"),J1094=4),VLOOKUP(_xlfn.MINIFS('FIRE TEX 5120'!$H$4:$H$40,'FIRE TEX 5120'!$H$4:$H$40,"&gt;="&amp;M1094),'FIRE TEX 5120'!$H$4:$M$40,IF(L1094="F-15",2,IF(L1094="F-30",3,IF(L1094="F-60",4,IF(L1094="F-90",5,IF(L1094="F-120",6,0))))),0),0)+IF(AND(O1094="FIRE TEX 5120",E1094="CJ"),VLOOKUP(_xlfn.MINIFS('FIRE TEX 5120'!$O$5:$O$40,'FIRE TEX 5120'!$O$5:$O$40,"&gt;="&amp;M1094),'FIRE TEX 5120'!$O$5:$T$40,IF(L1094="F-15",2,IF(L1094="F-30",3,IF(L1094="F-60",4,IF(L1094="F-90",5,IF(L1094="F-120",6,0))))),0),0)</f>
        <v>0</v>
      </c>
      <c r="Q1094" s="46">
        <f t="shared" si="104"/>
        <v>0</v>
      </c>
      <c r="R1094" s="46">
        <f t="shared" si="105"/>
        <v>0</v>
      </c>
      <c r="S1094" s="46" t="e">
        <f t="shared" si="106"/>
        <v>#VALUE!</v>
      </c>
      <c r="T1094" s="677">
        <f t="shared" si="107"/>
        <v>0</v>
      </c>
      <c r="U1094" s="80">
        <f>(IF(O1094="Stofire",(S1094*#REF!),0))+(IF(O1094="Fire Control",(S1094*$U$2),0))+(IF(O1094="Fire Tex",(S1094*$U$3),0))+(IF(O1094="WB7",(S1094*#REF!),0)+(IF(O1094="FX 2003",(S1094*$U$5),0)))</f>
        <v>0</v>
      </c>
      <c r="V1094" s="651">
        <f t="shared" si="108"/>
        <v>0</v>
      </c>
    </row>
    <row r="1095" spans="4:22" x14ac:dyDescent="0.25">
      <c r="D1095" s="118">
        <f>+CUBICACION!D1094</f>
        <v>0</v>
      </c>
      <c r="E1095" s="118">
        <f>+CUBICACION!F1094</f>
        <v>0</v>
      </c>
      <c r="F1095" s="118">
        <f>+CUBICACION!E1094</f>
        <v>0</v>
      </c>
      <c r="G1095" s="118">
        <v>12</v>
      </c>
      <c r="H1095" s="118">
        <v>2</v>
      </c>
      <c r="I1095" s="820">
        <v>26385</v>
      </c>
      <c r="J1095" s="118">
        <f>+CUBICACION!J1094</f>
        <v>0</v>
      </c>
      <c r="K1095" s="118">
        <v>3874</v>
      </c>
      <c r="L1095" s="118">
        <f>+CUBICACION!L1094</f>
        <v>0</v>
      </c>
      <c r="M1095" s="64">
        <f>+CUBICACION!M1094</f>
        <v>0</v>
      </c>
      <c r="N1095" s="824" t="str">
        <f>+CUBICACION!N1094</f>
        <v/>
      </c>
      <c r="O1095" s="675">
        <f>+CUBICACION!O1094</f>
        <v>0</v>
      </c>
      <c r="P1095" s="15">
        <f>IF(O1095="Fire Control",VLOOKUP(_xlfn.MINIFS('FIRE CONTROL'!$C$4:$C$37,'FIRE CONTROL'!$C$4:$C$37,"&gt;="&amp;M1095),'FIRE CONTROL'!$C$4:$G$37,IF(L1095="F-15",2,IF(L1095="F-30",3,IF(L1095="F-60",4,IF(L1095="F-90",5,0)))),0),0)+IF(AND(O1095="FIRE TEX 5062",OR(E1095="IN",E1095="C",E1095="Z",E1095="L"),J1095=3),VLOOKUP(_xlfn.MINIFS('FIRE TEX 5062'!$B$4:$B$34,'FIRE TEX 5062'!$B$4:$B$34,"&gt;="&amp;M1095),'FIRE TEX 5062'!$B$4:$F$34,IF(L1095="F-15",2,IF(L1095="F-30",3,IF(L1095="F-60",4,IF(L1095="F-90",5,0)))),0),0)+IF(AND(O1095="FIRE TEX 5062",OR(E1095="IN",E1095="C",E1095="Z",E1095="L"),J1095=4),VLOOKUP(_xlfn.MINIFS('FIRE TEX 5062'!$G$4:$G$34,'FIRE TEX 5062'!$G$4:$G$34,"&gt;="&amp;M1095),'FIRE TEX 5062'!$G$4:$K$34,IF(L1095="F-15",2,IF(L1095="F-30",3,IF(L1095="F-60",4,IF(L1095="F-90",5,0)))),0),0)+IF(AND(O1095="FIRE TEX 5062",E1095="CJ",J1095=3),VLOOKUP(_xlfn.MINIFS('FIRE TEX 5062'!$L$4:$L$34,'FIRE TEX 5062'!$L$4:$L$34,"&gt;="&amp;M1095),'FIRE TEX 5062'!$L$4:$P$34,IF(L1095="F-15",2,IF(L1095="F-30",3,IF(L1095="F-60",4,IF(L1095="F-90",5,0)))),0),0)+IF(AND(O1095="FIRE TEX 5062",E1095="CJ",J1095=4),VLOOKUP(_xlfn.MINIFS('FIRE TEX 5062'!$Q$3:$Q$34,'FIRE TEX 5062'!$Q$3:$Q$34,"&gt;="&amp;M1095),'FIRE TEX 5062'!$Q$3:$U$34,IF(L1095="F-15",2,IF(L1095="F-30",3,IF(L1095="F-60",4,IF(L1095="F-90",5,0)))),0),0)+IF(AND(O1095="FIRE TEX 5090",OR(E1095="IN",E1095="C",E1095="Z",E1095="L"),J1095=3),VLOOKUP(_xlfn.MINIFS('FIRE TEX 5090'!$B$5:$B$43,'FIRE TEX 5090'!$B$5:$B$43,"&gt;="&amp;M1095),'FIRE TEX 5090'!$B$5:$H$43,IF(L1095="F-15",2,IF(L1095="F-30",3,IF(L1095="F-60",4,IF(L1095="F-90",5,IF(L1095="F-120",6,IF(L1095="F-150",7,0)))))),0),0)+IF(AND(O1095="FIRE TEX 5090",OR(E1095="IN",E1095="C",E1095="Z",E1095="L"),J1095=4),VLOOKUP(_xlfn.MINIFS('FIRE TEX 5090'!$J$5:$J$43,'FIRE TEX 5090'!$J$5:$J$43,"&gt;="&amp;M1095),'FIRE TEX 5090'!$J$5:$P$43,IF(L1095="F-15",2,IF(L1095="F-30",3,IF(L1095="F-60",4,IF(L1095="F-90",5,IF(L1095="F-120",6,IF(L1095="F-150",7,0)))))),0),0)+IF(AND(O1095="FIRE TEX 5090",E1095="CJ",J1095=3),VLOOKUP(_xlfn.MINIFS('FIRE TEX 5090'!$R$5:$R$30,'FIRE TEX 5090'!$R$5:$R$30,"&gt;="&amp;M1095),'FIRE TEX 5090'!$R$5:$W$30,IF(L1095="F-15",2,IF(L1095="F-30",3,IF(L1095="F-60",4,IF(L1095="F-90",5,IF(L1095="F-120",6,IF(L1095="F-150",7,0)))))),0),0)+IF(AND(O1095="FIRE TEX 5090",E1095="CJ",J1095=4),VLOOKUP(_xlfn.MINIFS('FIRE TEX 5090'!$Y$5:$Y$39,'FIRE TEX 5090'!$Y$5:$Y$39,"&gt;="&amp;M1095),'FIRE TEX 5090'!$Y$5:$AD$39,IF(L1095="F-15",2,IF(L1095="F-30",3,IF(L1095="F-60",4,IF(L1095="F-90",5,IF(L1095="F-120",6,IF(L1095="F-150",7,0)))))),0),0)+IF(AND(O1095="FIRE TEX 5120",OR(E1095="IN",E1095="C",E1095="Z",E1095="L"),J1095=3),VLOOKUP(_xlfn.MINIFS('FIRE TEX 5120'!$B$5:$B$40,'FIRE TEX 5120'!$B$5:$B$40,"&gt;="&amp;M1095),'FIRE TEX 5120'!$B$5:$G$40,IF(L1095="F-15",2,IF(L1095="F-30",3,IF(L1095="F-60",4,IF(L1095="F-90",5,IF(L1095="F-120",6,0))))),0),0)+IF(AND(O1095="FIRE TEX 5120",OR(E1095="IN",E1095="C",E1095="Z",E1095="L"),J1095=4),VLOOKUP(_xlfn.MINIFS('FIRE TEX 5120'!$H$4:$H$40,'FIRE TEX 5120'!$H$4:$H$40,"&gt;="&amp;M1095),'FIRE TEX 5120'!$H$4:$M$40,IF(L1095="F-15",2,IF(L1095="F-30",3,IF(L1095="F-60",4,IF(L1095="F-90",5,IF(L1095="F-120",6,0))))),0),0)+IF(AND(O1095="FIRE TEX 5120",E1095="CJ"),VLOOKUP(_xlfn.MINIFS('FIRE TEX 5120'!$O$5:$O$40,'FIRE TEX 5120'!$O$5:$O$40,"&gt;="&amp;M1095),'FIRE TEX 5120'!$O$5:$T$40,IF(L1095="F-15",2,IF(L1095="F-30",3,IF(L1095="F-60",4,IF(L1095="F-90",5,IF(L1095="F-120",6,0))))),0),0)</f>
        <v>0</v>
      </c>
      <c r="Q1095" s="46">
        <f t="shared" si="104"/>
        <v>0</v>
      </c>
      <c r="R1095" s="46">
        <f t="shared" si="105"/>
        <v>0</v>
      </c>
      <c r="S1095" s="46" t="e">
        <f t="shared" si="106"/>
        <v>#VALUE!</v>
      </c>
      <c r="T1095" s="677">
        <f t="shared" si="107"/>
        <v>0</v>
      </c>
      <c r="U1095" s="80">
        <f>(IF(O1095="Stofire",(S1095*#REF!),0))+(IF(O1095="Fire Control",(S1095*$U$2),0))+(IF(O1095="Fire Tex",(S1095*$U$3),0))+(IF(O1095="WB7",(S1095*#REF!),0)+(IF(O1095="FX 2003",(S1095*$U$5),0)))</f>
        <v>0</v>
      </c>
      <c r="V1095" s="651">
        <f t="shared" si="108"/>
        <v>0</v>
      </c>
    </row>
    <row r="1096" spans="4:22" x14ac:dyDescent="0.25">
      <c r="D1096" s="118">
        <f>+CUBICACION!D1095</f>
        <v>0</v>
      </c>
      <c r="E1096" s="118">
        <f>+CUBICACION!F1095</f>
        <v>0</v>
      </c>
      <c r="F1096" s="118">
        <f>+CUBICACION!E1095</f>
        <v>0</v>
      </c>
      <c r="G1096" s="118">
        <v>12</v>
      </c>
      <c r="H1096" s="118">
        <v>2</v>
      </c>
      <c r="I1096" s="820">
        <v>26385</v>
      </c>
      <c r="J1096" s="118">
        <f>+CUBICACION!J1095</f>
        <v>0</v>
      </c>
      <c r="K1096" s="118">
        <v>3875</v>
      </c>
      <c r="L1096" s="118">
        <f>+CUBICACION!L1095</f>
        <v>0</v>
      </c>
      <c r="M1096" s="64">
        <f>+CUBICACION!M1095</f>
        <v>0</v>
      </c>
      <c r="N1096" s="824" t="str">
        <f>+CUBICACION!N1095</f>
        <v/>
      </c>
      <c r="O1096" s="675">
        <f>+CUBICACION!O1095</f>
        <v>0</v>
      </c>
      <c r="P1096" s="15">
        <f>IF(O1096="Fire Control",VLOOKUP(_xlfn.MINIFS('FIRE CONTROL'!$C$4:$C$37,'FIRE CONTROL'!$C$4:$C$37,"&gt;="&amp;M1096),'FIRE CONTROL'!$C$4:$G$37,IF(L1096="F-15",2,IF(L1096="F-30",3,IF(L1096="F-60",4,IF(L1096="F-90",5,0)))),0),0)+IF(AND(O1096="FIRE TEX 5062",OR(E1096="IN",E1096="C",E1096="Z",E1096="L"),J1096=3),VLOOKUP(_xlfn.MINIFS('FIRE TEX 5062'!$B$4:$B$34,'FIRE TEX 5062'!$B$4:$B$34,"&gt;="&amp;M1096),'FIRE TEX 5062'!$B$4:$F$34,IF(L1096="F-15",2,IF(L1096="F-30",3,IF(L1096="F-60",4,IF(L1096="F-90",5,0)))),0),0)+IF(AND(O1096="FIRE TEX 5062",OR(E1096="IN",E1096="C",E1096="Z",E1096="L"),J1096=4),VLOOKUP(_xlfn.MINIFS('FIRE TEX 5062'!$G$4:$G$34,'FIRE TEX 5062'!$G$4:$G$34,"&gt;="&amp;M1096),'FIRE TEX 5062'!$G$4:$K$34,IF(L1096="F-15",2,IF(L1096="F-30",3,IF(L1096="F-60",4,IF(L1096="F-90",5,0)))),0),0)+IF(AND(O1096="FIRE TEX 5062",E1096="CJ",J1096=3),VLOOKUP(_xlfn.MINIFS('FIRE TEX 5062'!$L$4:$L$34,'FIRE TEX 5062'!$L$4:$L$34,"&gt;="&amp;M1096),'FIRE TEX 5062'!$L$4:$P$34,IF(L1096="F-15",2,IF(L1096="F-30",3,IF(L1096="F-60",4,IF(L1096="F-90",5,0)))),0),0)+IF(AND(O1096="FIRE TEX 5062",E1096="CJ",J1096=4),VLOOKUP(_xlfn.MINIFS('FIRE TEX 5062'!$Q$3:$Q$34,'FIRE TEX 5062'!$Q$3:$Q$34,"&gt;="&amp;M1096),'FIRE TEX 5062'!$Q$3:$U$34,IF(L1096="F-15",2,IF(L1096="F-30",3,IF(L1096="F-60",4,IF(L1096="F-90",5,0)))),0),0)+IF(AND(O1096="FIRE TEX 5090",OR(E1096="IN",E1096="C",E1096="Z",E1096="L"),J1096=3),VLOOKUP(_xlfn.MINIFS('FIRE TEX 5090'!$B$5:$B$43,'FIRE TEX 5090'!$B$5:$B$43,"&gt;="&amp;M1096),'FIRE TEX 5090'!$B$5:$H$43,IF(L1096="F-15",2,IF(L1096="F-30",3,IF(L1096="F-60",4,IF(L1096="F-90",5,IF(L1096="F-120",6,IF(L1096="F-150",7,0)))))),0),0)+IF(AND(O1096="FIRE TEX 5090",OR(E1096="IN",E1096="C",E1096="Z",E1096="L"),J1096=4),VLOOKUP(_xlfn.MINIFS('FIRE TEX 5090'!$J$5:$J$43,'FIRE TEX 5090'!$J$5:$J$43,"&gt;="&amp;M1096),'FIRE TEX 5090'!$J$5:$P$43,IF(L1096="F-15",2,IF(L1096="F-30",3,IF(L1096="F-60",4,IF(L1096="F-90",5,IF(L1096="F-120",6,IF(L1096="F-150",7,0)))))),0),0)+IF(AND(O1096="FIRE TEX 5090",E1096="CJ",J1096=3),VLOOKUP(_xlfn.MINIFS('FIRE TEX 5090'!$R$5:$R$30,'FIRE TEX 5090'!$R$5:$R$30,"&gt;="&amp;M1096),'FIRE TEX 5090'!$R$5:$W$30,IF(L1096="F-15",2,IF(L1096="F-30",3,IF(L1096="F-60",4,IF(L1096="F-90",5,IF(L1096="F-120",6,IF(L1096="F-150",7,0)))))),0),0)+IF(AND(O1096="FIRE TEX 5090",E1096="CJ",J1096=4),VLOOKUP(_xlfn.MINIFS('FIRE TEX 5090'!$Y$5:$Y$39,'FIRE TEX 5090'!$Y$5:$Y$39,"&gt;="&amp;M1096),'FIRE TEX 5090'!$Y$5:$AD$39,IF(L1096="F-15",2,IF(L1096="F-30",3,IF(L1096="F-60",4,IF(L1096="F-90",5,IF(L1096="F-120",6,IF(L1096="F-150",7,0)))))),0),0)+IF(AND(O1096="FIRE TEX 5120",OR(E1096="IN",E1096="C",E1096="Z",E1096="L"),J1096=3),VLOOKUP(_xlfn.MINIFS('FIRE TEX 5120'!$B$5:$B$40,'FIRE TEX 5120'!$B$5:$B$40,"&gt;="&amp;M1096),'FIRE TEX 5120'!$B$5:$G$40,IF(L1096="F-15",2,IF(L1096="F-30",3,IF(L1096="F-60",4,IF(L1096="F-90",5,IF(L1096="F-120",6,0))))),0),0)+IF(AND(O1096="FIRE TEX 5120",OR(E1096="IN",E1096="C",E1096="Z",E1096="L"),J1096=4),VLOOKUP(_xlfn.MINIFS('FIRE TEX 5120'!$H$4:$H$40,'FIRE TEX 5120'!$H$4:$H$40,"&gt;="&amp;M1096),'FIRE TEX 5120'!$H$4:$M$40,IF(L1096="F-15",2,IF(L1096="F-30",3,IF(L1096="F-60",4,IF(L1096="F-90",5,IF(L1096="F-120",6,0))))),0),0)+IF(AND(O1096="FIRE TEX 5120",E1096="CJ"),VLOOKUP(_xlfn.MINIFS('FIRE TEX 5120'!$O$5:$O$40,'FIRE TEX 5120'!$O$5:$O$40,"&gt;="&amp;M1096),'FIRE TEX 5120'!$O$5:$T$40,IF(L1096="F-15",2,IF(L1096="F-30",3,IF(L1096="F-60",4,IF(L1096="F-90",5,IF(L1096="F-120",6,0))))),0),0)</f>
        <v>0</v>
      </c>
      <c r="Q1096" s="46">
        <f t="shared" si="104"/>
        <v>0</v>
      </c>
      <c r="R1096" s="46">
        <f t="shared" si="105"/>
        <v>0</v>
      </c>
      <c r="S1096" s="46" t="e">
        <f t="shared" si="106"/>
        <v>#VALUE!</v>
      </c>
      <c r="T1096" s="677">
        <f t="shared" si="107"/>
        <v>0</v>
      </c>
      <c r="U1096" s="80">
        <f>(IF(O1096="Stofire",(S1096*#REF!),0))+(IF(O1096="Fire Control",(S1096*$U$2),0))+(IF(O1096="Fire Tex",(S1096*$U$3),0))+(IF(O1096="WB7",(S1096*#REF!),0)+(IF(O1096="FX 2003",(S1096*$U$5),0)))</f>
        <v>0</v>
      </c>
      <c r="V1096" s="651">
        <f t="shared" si="108"/>
        <v>0</v>
      </c>
    </row>
    <row r="1097" spans="4:22" x14ac:dyDescent="0.25">
      <c r="D1097" s="118">
        <f>+CUBICACION!D1096</f>
        <v>0</v>
      </c>
      <c r="E1097" s="118">
        <f>+CUBICACION!F1096</f>
        <v>0</v>
      </c>
      <c r="F1097" s="118">
        <f>+CUBICACION!E1096</f>
        <v>0</v>
      </c>
      <c r="G1097" s="118">
        <v>12</v>
      </c>
      <c r="H1097" s="118">
        <v>2</v>
      </c>
      <c r="I1097" s="820">
        <v>26385</v>
      </c>
      <c r="J1097" s="118">
        <f>+CUBICACION!J1096</f>
        <v>0</v>
      </c>
      <c r="K1097" s="118">
        <v>3876</v>
      </c>
      <c r="L1097" s="118">
        <f>+CUBICACION!L1096</f>
        <v>0</v>
      </c>
      <c r="M1097" s="64">
        <f>+CUBICACION!M1096</f>
        <v>0</v>
      </c>
      <c r="N1097" s="824" t="str">
        <f>+CUBICACION!N1096</f>
        <v/>
      </c>
      <c r="O1097" s="675">
        <f>+CUBICACION!O1096</f>
        <v>0</v>
      </c>
      <c r="P1097" s="15">
        <f>IF(O1097="Fire Control",VLOOKUP(_xlfn.MINIFS('FIRE CONTROL'!$C$4:$C$37,'FIRE CONTROL'!$C$4:$C$37,"&gt;="&amp;M1097),'FIRE CONTROL'!$C$4:$G$37,IF(L1097="F-15",2,IF(L1097="F-30",3,IF(L1097="F-60",4,IF(L1097="F-90",5,0)))),0),0)+IF(AND(O1097="FIRE TEX 5062",OR(E1097="IN",E1097="C",E1097="Z",E1097="L"),J1097=3),VLOOKUP(_xlfn.MINIFS('FIRE TEX 5062'!$B$4:$B$34,'FIRE TEX 5062'!$B$4:$B$34,"&gt;="&amp;M1097),'FIRE TEX 5062'!$B$4:$F$34,IF(L1097="F-15",2,IF(L1097="F-30",3,IF(L1097="F-60",4,IF(L1097="F-90",5,0)))),0),0)+IF(AND(O1097="FIRE TEX 5062",OR(E1097="IN",E1097="C",E1097="Z",E1097="L"),J1097=4),VLOOKUP(_xlfn.MINIFS('FIRE TEX 5062'!$G$4:$G$34,'FIRE TEX 5062'!$G$4:$G$34,"&gt;="&amp;M1097),'FIRE TEX 5062'!$G$4:$K$34,IF(L1097="F-15",2,IF(L1097="F-30",3,IF(L1097="F-60",4,IF(L1097="F-90",5,0)))),0),0)+IF(AND(O1097="FIRE TEX 5062",E1097="CJ",J1097=3),VLOOKUP(_xlfn.MINIFS('FIRE TEX 5062'!$L$4:$L$34,'FIRE TEX 5062'!$L$4:$L$34,"&gt;="&amp;M1097),'FIRE TEX 5062'!$L$4:$P$34,IF(L1097="F-15",2,IF(L1097="F-30",3,IF(L1097="F-60",4,IF(L1097="F-90",5,0)))),0),0)+IF(AND(O1097="FIRE TEX 5062",E1097="CJ",J1097=4),VLOOKUP(_xlfn.MINIFS('FIRE TEX 5062'!$Q$3:$Q$34,'FIRE TEX 5062'!$Q$3:$Q$34,"&gt;="&amp;M1097),'FIRE TEX 5062'!$Q$3:$U$34,IF(L1097="F-15",2,IF(L1097="F-30",3,IF(L1097="F-60",4,IF(L1097="F-90",5,0)))),0),0)+IF(AND(O1097="FIRE TEX 5090",OR(E1097="IN",E1097="C",E1097="Z",E1097="L"),J1097=3),VLOOKUP(_xlfn.MINIFS('FIRE TEX 5090'!$B$5:$B$43,'FIRE TEX 5090'!$B$5:$B$43,"&gt;="&amp;M1097),'FIRE TEX 5090'!$B$5:$H$43,IF(L1097="F-15",2,IF(L1097="F-30",3,IF(L1097="F-60",4,IF(L1097="F-90",5,IF(L1097="F-120",6,IF(L1097="F-150",7,0)))))),0),0)+IF(AND(O1097="FIRE TEX 5090",OR(E1097="IN",E1097="C",E1097="Z",E1097="L"),J1097=4),VLOOKUP(_xlfn.MINIFS('FIRE TEX 5090'!$J$5:$J$43,'FIRE TEX 5090'!$J$5:$J$43,"&gt;="&amp;M1097),'FIRE TEX 5090'!$J$5:$P$43,IF(L1097="F-15",2,IF(L1097="F-30",3,IF(L1097="F-60",4,IF(L1097="F-90",5,IF(L1097="F-120",6,IF(L1097="F-150",7,0)))))),0),0)+IF(AND(O1097="FIRE TEX 5090",E1097="CJ",J1097=3),VLOOKUP(_xlfn.MINIFS('FIRE TEX 5090'!$R$5:$R$30,'FIRE TEX 5090'!$R$5:$R$30,"&gt;="&amp;M1097),'FIRE TEX 5090'!$R$5:$W$30,IF(L1097="F-15",2,IF(L1097="F-30",3,IF(L1097="F-60",4,IF(L1097="F-90",5,IF(L1097="F-120",6,IF(L1097="F-150",7,0)))))),0),0)+IF(AND(O1097="FIRE TEX 5090",E1097="CJ",J1097=4),VLOOKUP(_xlfn.MINIFS('FIRE TEX 5090'!$Y$5:$Y$39,'FIRE TEX 5090'!$Y$5:$Y$39,"&gt;="&amp;M1097),'FIRE TEX 5090'!$Y$5:$AD$39,IF(L1097="F-15",2,IF(L1097="F-30",3,IF(L1097="F-60",4,IF(L1097="F-90",5,IF(L1097="F-120",6,IF(L1097="F-150",7,0)))))),0),0)+IF(AND(O1097="FIRE TEX 5120",OR(E1097="IN",E1097="C",E1097="Z",E1097="L"),J1097=3),VLOOKUP(_xlfn.MINIFS('FIRE TEX 5120'!$B$5:$B$40,'FIRE TEX 5120'!$B$5:$B$40,"&gt;="&amp;M1097),'FIRE TEX 5120'!$B$5:$G$40,IF(L1097="F-15",2,IF(L1097="F-30",3,IF(L1097="F-60",4,IF(L1097="F-90",5,IF(L1097="F-120",6,0))))),0),0)+IF(AND(O1097="FIRE TEX 5120",OR(E1097="IN",E1097="C",E1097="Z",E1097="L"),J1097=4),VLOOKUP(_xlfn.MINIFS('FIRE TEX 5120'!$H$4:$H$40,'FIRE TEX 5120'!$H$4:$H$40,"&gt;="&amp;M1097),'FIRE TEX 5120'!$H$4:$M$40,IF(L1097="F-15",2,IF(L1097="F-30",3,IF(L1097="F-60",4,IF(L1097="F-90",5,IF(L1097="F-120",6,0))))),0),0)+IF(AND(O1097="FIRE TEX 5120",E1097="CJ"),VLOOKUP(_xlfn.MINIFS('FIRE TEX 5120'!$O$5:$O$40,'FIRE TEX 5120'!$O$5:$O$40,"&gt;="&amp;M1097),'FIRE TEX 5120'!$O$5:$T$40,IF(L1097="F-15",2,IF(L1097="F-30",3,IF(L1097="F-60",4,IF(L1097="F-90",5,IF(L1097="F-120",6,0))))),0),0)</f>
        <v>0</v>
      </c>
      <c r="Q1097" s="46">
        <f t="shared" si="104"/>
        <v>0</v>
      </c>
      <c r="R1097" s="46">
        <f t="shared" si="105"/>
        <v>0</v>
      </c>
      <c r="S1097" s="46" t="e">
        <f t="shared" si="106"/>
        <v>#VALUE!</v>
      </c>
      <c r="T1097" s="677">
        <f t="shared" si="107"/>
        <v>0</v>
      </c>
      <c r="U1097" s="80">
        <f>(IF(O1097="Stofire",(S1097*#REF!),0))+(IF(O1097="Fire Control",(S1097*$U$2),0))+(IF(O1097="Fire Tex",(S1097*$U$3),0))+(IF(O1097="WB7",(S1097*#REF!),0)+(IF(O1097="FX 2003",(S1097*$U$5),0)))</f>
        <v>0</v>
      </c>
      <c r="V1097" s="651">
        <f t="shared" si="108"/>
        <v>0</v>
      </c>
    </row>
    <row r="1098" spans="4:22" x14ac:dyDescent="0.25">
      <c r="D1098" s="118">
        <f>+CUBICACION!D1097</f>
        <v>0</v>
      </c>
      <c r="E1098" s="118">
        <f>+CUBICACION!F1097</f>
        <v>0</v>
      </c>
      <c r="F1098" s="118">
        <f>+CUBICACION!E1097</f>
        <v>0</v>
      </c>
      <c r="G1098" s="118">
        <v>12</v>
      </c>
      <c r="H1098" s="118">
        <v>2</v>
      </c>
      <c r="I1098" s="820">
        <v>26385</v>
      </c>
      <c r="J1098" s="118">
        <f>+CUBICACION!J1097</f>
        <v>0</v>
      </c>
      <c r="K1098" s="118">
        <v>3877</v>
      </c>
      <c r="L1098" s="118">
        <f>+CUBICACION!L1097</f>
        <v>0</v>
      </c>
      <c r="M1098" s="64">
        <f>+CUBICACION!M1097</f>
        <v>0</v>
      </c>
      <c r="N1098" s="824" t="str">
        <f>+CUBICACION!N1097</f>
        <v/>
      </c>
      <c r="O1098" s="675">
        <f>+CUBICACION!O1097</f>
        <v>0</v>
      </c>
      <c r="P1098" s="15">
        <f>IF(O1098="Fire Control",VLOOKUP(_xlfn.MINIFS('FIRE CONTROL'!$C$4:$C$37,'FIRE CONTROL'!$C$4:$C$37,"&gt;="&amp;M1098),'FIRE CONTROL'!$C$4:$G$37,IF(L1098="F-15",2,IF(L1098="F-30",3,IF(L1098="F-60",4,IF(L1098="F-90",5,0)))),0),0)+IF(AND(O1098="FIRE TEX 5062",OR(E1098="IN",E1098="C",E1098="Z",E1098="L"),J1098=3),VLOOKUP(_xlfn.MINIFS('FIRE TEX 5062'!$B$4:$B$34,'FIRE TEX 5062'!$B$4:$B$34,"&gt;="&amp;M1098),'FIRE TEX 5062'!$B$4:$F$34,IF(L1098="F-15",2,IF(L1098="F-30",3,IF(L1098="F-60",4,IF(L1098="F-90",5,0)))),0),0)+IF(AND(O1098="FIRE TEX 5062",OR(E1098="IN",E1098="C",E1098="Z",E1098="L"),J1098=4),VLOOKUP(_xlfn.MINIFS('FIRE TEX 5062'!$G$4:$G$34,'FIRE TEX 5062'!$G$4:$G$34,"&gt;="&amp;M1098),'FIRE TEX 5062'!$G$4:$K$34,IF(L1098="F-15",2,IF(L1098="F-30",3,IF(L1098="F-60",4,IF(L1098="F-90",5,0)))),0),0)+IF(AND(O1098="FIRE TEX 5062",E1098="CJ",J1098=3),VLOOKUP(_xlfn.MINIFS('FIRE TEX 5062'!$L$4:$L$34,'FIRE TEX 5062'!$L$4:$L$34,"&gt;="&amp;M1098),'FIRE TEX 5062'!$L$4:$P$34,IF(L1098="F-15",2,IF(L1098="F-30",3,IF(L1098="F-60",4,IF(L1098="F-90",5,0)))),0),0)+IF(AND(O1098="FIRE TEX 5062",E1098="CJ",J1098=4),VLOOKUP(_xlfn.MINIFS('FIRE TEX 5062'!$Q$3:$Q$34,'FIRE TEX 5062'!$Q$3:$Q$34,"&gt;="&amp;M1098),'FIRE TEX 5062'!$Q$3:$U$34,IF(L1098="F-15",2,IF(L1098="F-30",3,IF(L1098="F-60",4,IF(L1098="F-90",5,0)))),0),0)+IF(AND(O1098="FIRE TEX 5090",OR(E1098="IN",E1098="C",E1098="Z",E1098="L"),J1098=3),VLOOKUP(_xlfn.MINIFS('FIRE TEX 5090'!$B$5:$B$43,'FIRE TEX 5090'!$B$5:$B$43,"&gt;="&amp;M1098),'FIRE TEX 5090'!$B$5:$H$43,IF(L1098="F-15",2,IF(L1098="F-30",3,IF(L1098="F-60",4,IF(L1098="F-90",5,IF(L1098="F-120",6,IF(L1098="F-150",7,0)))))),0),0)+IF(AND(O1098="FIRE TEX 5090",OR(E1098="IN",E1098="C",E1098="Z",E1098="L"),J1098=4),VLOOKUP(_xlfn.MINIFS('FIRE TEX 5090'!$J$5:$J$43,'FIRE TEX 5090'!$J$5:$J$43,"&gt;="&amp;M1098),'FIRE TEX 5090'!$J$5:$P$43,IF(L1098="F-15",2,IF(L1098="F-30",3,IF(L1098="F-60",4,IF(L1098="F-90",5,IF(L1098="F-120",6,IF(L1098="F-150",7,0)))))),0),0)+IF(AND(O1098="FIRE TEX 5090",E1098="CJ",J1098=3),VLOOKUP(_xlfn.MINIFS('FIRE TEX 5090'!$R$5:$R$30,'FIRE TEX 5090'!$R$5:$R$30,"&gt;="&amp;M1098),'FIRE TEX 5090'!$R$5:$W$30,IF(L1098="F-15",2,IF(L1098="F-30",3,IF(L1098="F-60",4,IF(L1098="F-90",5,IF(L1098="F-120",6,IF(L1098="F-150",7,0)))))),0),0)+IF(AND(O1098="FIRE TEX 5090",E1098="CJ",J1098=4),VLOOKUP(_xlfn.MINIFS('FIRE TEX 5090'!$Y$5:$Y$39,'FIRE TEX 5090'!$Y$5:$Y$39,"&gt;="&amp;M1098),'FIRE TEX 5090'!$Y$5:$AD$39,IF(L1098="F-15",2,IF(L1098="F-30",3,IF(L1098="F-60",4,IF(L1098="F-90",5,IF(L1098="F-120",6,IF(L1098="F-150",7,0)))))),0),0)+IF(AND(O1098="FIRE TEX 5120",OR(E1098="IN",E1098="C",E1098="Z",E1098="L"),J1098=3),VLOOKUP(_xlfn.MINIFS('FIRE TEX 5120'!$B$5:$B$40,'FIRE TEX 5120'!$B$5:$B$40,"&gt;="&amp;M1098),'FIRE TEX 5120'!$B$5:$G$40,IF(L1098="F-15",2,IF(L1098="F-30",3,IF(L1098="F-60",4,IF(L1098="F-90",5,IF(L1098="F-120",6,0))))),0),0)+IF(AND(O1098="FIRE TEX 5120",OR(E1098="IN",E1098="C",E1098="Z",E1098="L"),J1098=4),VLOOKUP(_xlfn.MINIFS('FIRE TEX 5120'!$H$4:$H$40,'FIRE TEX 5120'!$H$4:$H$40,"&gt;="&amp;M1098),'FIRE TEX 5120'!$H$4:$M$40,IF(L1098="F-15",2,IF(L1098="F-30",3,IF(L1098="F-60",4,IF(L1098="F-90",5,IF(L1098="F-120",6,0))))),0),0)+IF(AND(O1098="FIRE TEX 5120",E1098="CJ"),VLOOKUP(_xlfn.MINIFS('FIRE TEX 5120'!$O$5:$O$40,'FIRE TEX 5120'!$O$5:$O$40,"&gt;="&amp;M1098),'FIRE TEX 5120'!$O$5:$T$40,IF(L1098="F-15",2,IF(L1098="F-30",3,IF(L1098="F-60",4,IF(L1098="F-90",5,IF(L1098="F-120",6,0))))),0),0)</f>
        <v>0</v>
      </c>
      <c r="Q1098" s="46">
        <f t="shared" si="104"/>
        <v>0</v>
      </c>
      <c r="R1098" s="46">
        <f t="shared" si="105"/>
        <v>0</v>
      </c>
      <c r="S1098" s="46" t="e">
        <f t="shared" si="106"/>
        <v>#VALUE!</v>
      </c>
      <c r="T1098" s="677">
        <f t="shared" si="107"/>
        <v>0</v>
      </c>
      <c r="U1098" s="80">
        <f>(IF(O1098="Stofire",(S1098*#REF!),0))+(IF(O1098="Fire Control",(S1098*$U$2),0))+(IF(O1098="Fire Tex",(S1098*$U$3),0))+(IF(O1098="WB7",(S1098*#REF!),0)+(IF(O1098="FX 2003",(S1098*$U$5),0)))</f>
        <v>0</v>
      </c>
      <c r="V1098" s="651">
        <f t="shared" si="108"/>
        <v>0</v>
      </c>
    </row>
    <row r="1099" spans="4:22" x14ac:dyDescent="0.25">
      <c r="D1099" s="118">
        <f>+CUBICACION!D1098</f>
        <v>0</v>
      </c>
      <c r="E1099" s="118">
        <f>+CUBICACION!F1098</f>
        <v>0</v>
      </c>
      <c r="F1099" s="118">
        <f>+CUBICACION!E1098</f>
        <v>0</v>
      </c>
      <c r="G1099" s="118">
        <v>12</v>
      </c>
      <c r="H1099" s="118">
        <v>2</v>
      </c>
      <c r="I1099" s="820">
        <v>26385</v>
      </c>
      <c r="J1099" s="118">
        <f>+CUBICACION!J1098</f>
        <v>0</v>
      </c>
      <c r="K1099" s="118">
        <v>3878</v>
      </c>
      <c r="L1099" s="118">
        <f>+CUBICACION!L1098</f>
        <v>0</v>
      </c>
      <c r="M1099" s="64">
        <f>+CUBICACION!M1098</f>
        <v>0</v>
      </c>
      <c r="N1099" s="824" t="str">
        <f>+CUBICACION!N1098</f>
        <v/>
      </c>
      <c r="O1099" s="675">
        <f>+CUBICACION!O1098</f>
        <v>0</v>
      </c>
      <c r="P1099" s="15">
        <f>IF(O1099="Fire Control",VLOOKUP(_xlfn.MINIFS('FIRE CONTROL'!$C$4:$C$37,'FIRE CONTROL'!$C$4:$C$37,"&gt;="&amp;M1099),'FIRE CONTROL'!$C$4:$G$37,IF(L1099="F-15",2,IF(L1099="F-30",3,IF(L1099="F-60",4,IF(L1099="F-90",5,0)))),0),0)+IF(AND(O1099="FIRE TEX 5062",OR(E1099="IN",E1099="C",E1099="Z",E1099="L"),J1099=3),VLOOKUP(_xlfn.MINIFS('FIRE TEX 5062'!$B$4:$B$34,'FIRE TEX 5062'!$B$4:$B$34,"&gt;="&amp;M1099),'FIRE TEX 5062'!$B$4:$F$34,IF(L1099="F-15",2,IF(L1099="F-30",3,IF(L1099="F-60",4,IF(L1099="F-90",5,0)))),0),0)+IF(AND(O1099="FIRE TEX 5062",OR(E1099="IN",E1099="C",E1099="Z",E1099="L"),J1099=4),VLOOKUP(_xlfn.MINIFS('FIRE TEX 5062'!$G$4:$G$34,'FIRE TEX 5062'!$G$4:$G$34,"&gt;="&amp;M1099),'FIRE TEX 5062'!$G$4:$K$34,IF(L1099="F-15",2,IF(L1099="F-30",3,IF(L1099="F-60",4,IF(L1099="F-90",5,0)))),0),0)+IF(AND(O1099="FIRE TEX 5062",E1099="CJ",J1099=3),VLOOKUP(_xlfn.MINIFS('FIRE TEX 5062'!$L$4:$L$34,'FIRE TEX 5062'!$L$4:$L$34,"&gt;="&amp;M1099),'FIRE TEX 5062'!$L$4:$P$34,IF(L1099="F-15",2,IF(L1099="F-30",3,IF(L1099="F-60",4,IF(L1099="F-90",5,0)))),0),0)+IF(AND(O1099="FIRE TEX 5062",E1099="CJ",J1099=4),VLOOKUP(_xlfn.MINIFS('FIRE TEX 5062'!$Q$3:$Q$34,'FIRE TEX 5062'!$Q$3:$Q$34,"&gt;="&amp;M1099),'FIRE TEX 5062'!$Q$3:$U$34,IF(L1099="F-15",2,IF(L1099="F-30",3,IF(L1099="F-60",4,IF(L1099="F-90",5,0)))),0),0)+IF(AND(O1099="FIRE TEX 5090",OR(E1099="IN",E1099="C",E1099="Z",E1099="L"),J1099=3),VLOOKUP(_xlfn.MINIFS('FIRE TEX 5090'!$B$5:$B$43,'FIRE TEX 5090'!$B$5:$B$43,"&gt;="&amp;M1099),'FIRE TEX 5090'!$B$5:$H$43,IF(L1099="F-15",2,IF(L1099="F-30",3,IF(L1099="F-60",4,IF(L1099="F-90",5,IF(L1099="F-120",6,IF(L1099="F-150",7,0)))))),0),0)+IF(AND(O1099="FIRE TEX 5090",OR(E1099="IN",E1099="C",E1099="Z",E1099="L"),J1099=4),VLOOKUP(_xlfn.MINIFS('FIRE TEX 5090'!$J$5:$J$43,'FIRE TEX 5090'!$J$5:$J$43,"&gt;="&amp;M1099),'FIRE TEX 5090'!$J$5:$P$43,IF(L1099="F-15",2,IF(L1099="F-30",3,IF(L1099="F-60",4,IF(L1099="F-90",5,IF(L1099="F-120",6,IF(L1099="F-150",7,0)))))),0),0)+IF(AND(O1099="FIRE TEX 5090",E1099="CJ",J1099=3),VLOOKUP(_xlfn.MINIFS('FIRE TEX 5090'!$R$5:$R$30,'FIRE TEX 5090'!$R$5:$R$30,"&gt;="&amp;M1099),'FIRE TEX 5090'!$R$5:$W$30,IF(L1099="F-15",2,IF(L1099="F-30",3,IF(L1099="F-60",4,IF(L1099="F-90",5,IF(L1099="F-120",6,IF(L1099="F-150",7,0)))))),0),0)+IF(AND(O1099="FIRE TEX 5090",E1099="CJ",J1099=4),VLOOKUP(_xlfn.MINIFS('FIRE TEX 5090'!$Y$5:$Y$39,'FIRE TEX 5090'!$Y$5:$Y$39,"&gt;="&amp;M1099),'FIRE TEX 5090'!$Y$5:$AD$39,IF(L1099="F-15",2,IF(L1099="F-30",3,IF(L1099="F-60",4,IF(L1099="F-90",5,IF(L1099="F-120",6,IF(L1099="F-150",7,0)))))),0),0)+IF(AND(O1099="FIRE TEX 5120",OR(E1099="IN",E1099="C",E1099="Z",E1099="L"),J1099=3),VLOOKUP(_xlfn.MINIFS('FIRE TEX 5120'!$B$5:$B$40,'FIRE TEX 5120'!$B$5:$B$40,"&gt;="&amp;M1099),'FIRE TEX 5120'!$B$5:$G$40,IF(L1099="F-15",2,IF(L1099="F-30",3,IF(L1099="F-60",4,IF(L1099="F-90",5,IF(L1099="F-120",6,0))))),0),0)+IF(AND(O1099="FIRE TEX 5120",OR(E1099="IN",E1099="C",E1099="Z",E1099="L"),J1099=4),VLOOKUP(_xlfn.MINIFS('FIRE TEX 5120'!$H$4:$H$40,'FIRE TEX 5120'!$H$4:$H$40,"&gt;="&amp;M1099),'FIRE TEX 5120'!$H$4:$M$40,IF(L1099="F-15",2,IF(L1099="F-30",3,IF(L1099="F-60",4,IF(L1099="F-90",5,IF(L1099="F-120",6,0))))),0),0)+IF(AND(O1099="FIRE TEX 5120",E1099="CJ"),VLOOKUP(_xlfn.MINIFS('FIRE TEX 5120'!$O$5:$O$40,'FIRE TEX 5120'!$O$5:$O$40,"&gt;="&amp;M1099),'FIRE TEX 5120'!$O$5:$T$40,IF(L1099="F-15",2,IF(L1099="F-30",3,IF(L1099="F-60",4,IF(L1099="F-90",5,IF(L1099="F-120",6,0))))),0),0)</f>
        <v>0</v>
      </c>
      <c r="Q1099" s="46">
        <f t="shared" si="104"/>
        <v>0</v>
      </c>
      <c r="R1099" s="46">
        <f t="shared" si="105"/>
        <v>0</v>
      </c>
      <c r="S1099" s="46" t="e">
        <f t="shared" si="106"/>
        <v>#VALUE!</v>
      </c>
      <c r="T1099" s="677">
        <f t="shared" si="107"/>
        <v>0</v>
      </c>
      <c r="U1099" s="80">
        <f>(IF(O1099="Stofire",(S1099*#REF!),0))+(IF(O1099="Fire Control",(S1099*$U$2),0))+(IF(O1099="Fire Tex",(S1099*$U$3),0))+(IF(O1099="WB7",(S1099*#REF!),0)+(IF(O1099="FX 2003",(S1099*$U$5),0)))</f>
        <v>0</v>
      </c>
      <c r="V1099" s="651">
        <f t="shared" si="108"/>
        <v>0</v>
      </c>
    </row>
    <row r="1100" spans="4:22" x14ac:dyDescent="0.25">
      <c r="D1100" s="118">
        <f>+CUBICACION!D1099</f>
        <v>0</v>
      </c>
      <c r="E1100" s="118">
        <f>+CUBICACION!F1099</f>
        <v>0</v>
      </c>
      <c r="F1100" s="118">
        <f>+CUBICACION!E1099</f>
        <v>0</v>
      </c>
      <c r="G1100" s="118">
        <v>12</v>
      </c>
      <c r="H1100" s="118">
        <v>2</v>
      </c>
      <c r="I1100" s="820">
        <v>26385</v>
      </c>
      <c r="J1100" s="118">
        <f>+CUBICACION!J1099</f>
        <v>0</v>
      </c>
      <c r="K1100" s="118">
        <v>3879</v>
      </c>
      <c r="L1100" s="118">
        <f>+CUBICACION!L1099</f>
        <v>0</v>
      </c>
      <c r="M1100" s="64">
        <f>+CUBICACION!M1099</f>
        <v>0</v>
      </c>
      <c r="N1100" s="824" t="str">
        <f>+CUBICACION!N1099</f>
        <v/>
      </c>
      <c r="O1100" s="675">
        <f>+CUBICACION!O1099</f>
        <v>0</v>
      </c>
      <c r="P1100" s="15">
        <f>IF(O1100="Fire Control",VLOOKUP(_xlfn.MINIFS('FIRE CONTROL'!$C$4:$C$37,'FIRE CONTROL'!$C$4:$C$37,"&gt;="&amp;M1100),'FIRE CONTROL'!$C$4:$G$37,IF(L1100="F-15",2,IF(L1100="F-30",3,IF(L1100="F-60",4,IF(L1100="F-90",5,0)))),0),0)+IF(AND(O1100="FIRE TEX 5062",OR(E1100="IN",E1100="C",E1100="Z",E1100="L"),J1100=3),VLOOKUP(_xlfn.MINIFS('FIRE TEX 5062'!$B$4:$B$34,'FIRE TEX 5062'!$B$4:$B$34,"&gt;="&amp;M1100),'FIRE TEX 5062'!$B$4:$F$34,IF(L1100="F-15",2,IF(L1100="F-30",3,IF(L1100="F-60",4,IF(L1100="F-90",5,0)))),0),0)+IF(AND(O1100="FIRE TEX 5062",OR(E1100="IN",E1100="C",E1100="Z",E1100="L"),J1100=4),VLOOKUP(_xlfn.MINIFS('FIRE TEX 5062'!$G$4:$G$34,'FIRE TEX 5062'!$G$4:$G$34,"&gt;="&amp;M1100),'FIRE TEX 5062'!$G$4:$K$34,IF(L1100="F-15",2,IF(L1100="F-30",3,IF(L1100="F-60",4,IF(L1100="F-90",5,0)))),0),0)+IF(AND(O1100="FIRE TEX 5062",E1100="CJ",J1100=3),VLOOKUP(_xlfn.MINIFS('FIRE TEX 5062'!$L$4:$L$34,'FIRE TEX 5062'!$L$4:$L$34,"&gt;="&amp;M1100),'FIRE TEX 5062'!$L$4:$P$34,IF(L1100="F-15",2,IF(L1100="F-30",3,IF(L1100="F-60",4,IF(L1100="F-90",5,0)))),0),0)+IF(AND(O1100="FIRE TEX 5062",E1100="CJ",J1100=4),VLOOKUP(_xlfn.MINIFS('FIRE TEX 5062'!$Q$3:$Q$34,'FIRE TEX 5062'!$Q$3:$Q$34,"&gt;="&amp;M1100),'FIRE TEX 5062'!$Q$3:$U$34,IF(L1100="F-15",2,IF(L1100="F-30",3,IF(L1100="F-60",4,IF(L1100="F-90",5,0)))),0),0)+IF(AND(O1100="FIRE TEX 5090",OR(E1100="IN",E1100="C",E1100="Z",E1100="L"),J1100=3),VLOOKUP(_xlfn.MINIFS('FIRE TEX 5090'!$B$5:$B$43,'FIRE TEX 5090'!$B$5:$B$43,"&gt;="&amp;M1100),'FIRE TEX 5090'!$B$5:$H$43,IF(L1100="F-15",2,IF(L1100="F-30",3,IF(L1100="F-60",4,IF(L1100="F-90",5,IF(L1100="F-120",6,IF(L1100="F-150",7,0)))))),0),0)+IF(AND(O1100="FIRE TEX 5090",OR(E1100="IN",E1100="C",E1100="Z",E1100="L"),J1100=4),VLOOKUP(_xlfn.MINIFS('FIRE TEX 5090'!$J$5:$J$43,'FIRE TEX 5090'!$J$5:$J$43,"&gt;="&amp;M1100),'FIRE TEX 5090'!$J$5:$P$43,IF(L1100="F-15",2,IF(L1100="F-30",3,IF(L1100="F-60",4,IF(L1100="F-90",5,IF(L1100="F-120",6,IF(L1100="F-150",7,0)))))),0),0)+IF(AND(O1100="FIRE TEX 5090",E1100="CJ",J1100=3),VLOOKUP(_xlfn.MINIFS('FIRE TEX 5090'!$R$5:$R$30,'FIRE TEX 5090'!$R$5:$R$30,"&gt;="&amp;M1100),'FIRE TEX 5090'!$R$5:$W$30,IF(L1100="F-15",2,IF(L1100="F-30",3,IF(L1100="F-60",4,IF(L1100="F-90",5,IF(L1100="F-120",6,IF(L1100="F-150",7,0)))))),0),0)+IF(AND(O1100="FIRE TEX 5090",E1100="CJ",J1100=4),VLOOKUP(_xlfn.MINIFS('FIRE TEX 5090'!$Y$5:$Y$39,'FIRE TEX 5090'!$Y$5:$Y$39,"&gt;="&amp;M1100),'FIRE TEX 5090'!$Y$5:$AD$39,IF(L1100="F-15",2,IF(L1100="F-30",3,IF(L1100="F-60",4,IF(L1100="F-90",5,IF(L1100="F-120",6,IF(L1100="F-150",7,0)))))),0),0)+IF(AND(O1100="FIRE TEX 5120",OR(E1100="IN",E1100="C",E1100="Z",E1100="L"),J1100=3),VLOOKUP(_xlfn.MINIFS('FIRE TEX 5120'!$B$5:$B$40,'FIRE TEX 5120'!$B$5:$B$40,"&gt;="&amp;M1100),'FIRE TEX 5120'!$B$5:$G$40,IF(L1100="F-15",2,IF(L1100="F-30",3,IF(L1100="F-60",4,IF(L1100="F-90",5,IF(L1100="F-120",6,0))))),0),0)+IF(AND(O1100="FIRE TEX 5120",OR(E1100="IN",E1100="C",E1100="Z",E1100="L"),J1100=4),VLOOKUP(_xlfn.MINIFS('FIRE TEX 5120'!$H$4:$H$40,'FIRE TEX 5120'!$H$4:$H$40,"&gt;="&amp;M1100),'FIRE TEX 5120'!$H$4:$M$40,IF(L1100="F-15",2,IF(L1100="F-30",3,IF(L1100="F-60",4,IF(L1100="F-90",5,IF(L1100="F-120",6,0))))),0),0)+IF(AND(O1100="FIRE TEX 5120",E1100="CJ"),VLOOKUP(_xlfn.MINIFS('FIRE TEX 5120'!$O$5:$O$40,'FIRE TEX 5120'!$O$5:$O$40,"&gt;="&amp;M1100),'FIRE TEX 5120'!$O$5:$T$40,IF(L1100="F-15",2,IF(L1100="F-30",3,IF(L1100="F-60",4,IF(L1100="F-90",5,IF(L1100="F-120",6,0))))),0),0)</f>
        <v>0</v>
      </c>
      <c r="Q1100" s="46">
        <f t="shared" si="104"/>
        <v>0</v>
      </c>
      <c r="R1100" s="46">
        <f t="shared" si="105"/>
        <v>0</v>
      </c>
      <c r="S1100" s="46" t="e">
        <f t="shared" si="106"/>
        <v>#VALUE!</v>
      </c>
      <c r="T1100" s="677">
        <f t="shared" si="107"/>
        <v>0</v>
      </c>
      <c r="U1100" s="80">
        <f>(IF(O1100="Stofire",(S1100*#REF!),0))+(IF(O1100="Fire Control",(S1100*$U$2),0))+(IF(O1100="Fire Tex",(S1100*$U$3),0))+(IF(O1100="WB7",(S1100*#REF!),0)+(IF(O1100="FX 2003",(S1100*$U$5),0)))</f>
        <v>0</v>
      </c>
      <c r="V1100" s="651">
        <f t="shared" si="108"/>
        <v>0</v>
      </c>
    </row>
    <row r="1101" spans="4:22" x14ac:dyDescent="0.25">
      <c r="D1101" s="118">
        <f>+CUBICACION!D1100</f>
        <v>0</v>
      </c>
      <c r="E1101" s="118">
        <f>+CUBICACION!F1100</f>
        <v>0</v>
      </c>
      <c r="F1101" s="118">
        <f>+CUBICACION!E1100</f>
        <v>0</v>
      </c>
      <c r="G1101" s="118">
        <v>12</v>
      </c>
      <c r="H1101" s="118">
        <v>2</v>
      </c>
      <c r="I1101" s="820">
        <v>26385</v>
      </c>
      <c r="J1101" s="118">
        <f>+CUBICACION!J1100</f>
        <v>0</v>
      </c>
      <c r="K1101" s="118">
        <v>3880</v>
      </c>
      <c r="L1101" s="118">
        <f>+CUBICACION!L1100</f>
        <v>0</v>
      </c>
      <c r="M1101" s="64">
        <f>+CUBICACION!M1100</f>
        <v>0</v>
      </c>
      <c r="N1101" s="824" t="str">
        <f>+CUBICACION!N1100</f>
        <v/>
      </c>
      <c r="O1101" s="675">
        <f>+CUBICACION!O1100</f>
        <v>0</v>
      </c>
      <c r="P1101" s="15">
        <f>IF(O1101="Fire Control",VLOOKUP(_xlfn.MINIFS('FIRE CONTROL'!$C$4:$C$37,'FIRE CONTROL'!$C$4:$C$37,"&gt;="&amp;M1101),'FIRE CONTROL'!$C$4:$G$37,IF(L1101="F-15",2,IF(L1101="F-30",3,IF(L1101="F-60",4,IF(L1101="F-90",5,0)))),0),0)+IF(AND(O1101="FIRE TEX 5062",OR(E1101="IN",E1101="C",E1101="Z",E1101="L"),J1101=3),VLOOKUP(_xlfn.MINIFS('FIRE TEX 5062'!$B$4:$B$34,'FIRE TEX 5062'!$B$4:$B$34,"&gt;="&amp;M1101),'FIRE TEX 5062'!$B$4:$F$34,IF(L1101="F-15",2,IF(L1101="F-30",3,IF(L1101="F-60",4,IF(L1101="F-90",5,0)))),0),0)+IF(AND(O1101="FIRE TEX 5062",OR(E1101="IN",E1101="C",E1101="Z",E1101="L"),J1101=4),VLOOKUP(_xlfn.MINIFS('FIRE TEX 5062'!$G$4:$G$34,'FIRE TEX 5062'!$G$4:$G$34,"&gt;="&amp;M1101),'FIRE TEX 5062'!$G$4:$K$34,IF(L1101="F-15",2,IF(L1101="F-30",3,IF(L1101="F-60",4,IF(L1101="F-90",5,0)))),0),0)+IF(AND(O1101="FIRE TEX 5062",E1101="CJ",J1101=3),VLOOKUP(_xlfn.MINIFS('FIRE TEX 5062'!$L$4:$L$34,'FIRE TEX 5062'!$L$4:$L$34,"&gt;="&amp;M1101),'FIRE TEX 5062'!$L$4:$P$34,IF(L1101="F-15",2,IF(L1101="F-30",3,IF(L1101="F-60",4,IF(L1101="F-90",5,0)))),0),0)+IF(AND(O1101="FIRE TEX 5062",E1101="CJ",J1101=4),VLOOKUP(_xlfn.MINIFS('FIRE TEX 5062'!$Q$3:$Q$34,'FIRE TEX 5062'!$Q$3:$Q$34,"&gt;="&amp;M1101),'FIRE TEX 5062'!$Q$3:$U$34,IF(L1101="F-15",2,IF(L1101="F-30",3,IF(L1101="F-60",4,IF(L1101="F-90",5,0)))),0),0)+IF(AND(O1101="FIRE TEX 5090",OR(E1101="IN",E1101="C",E1101="Z",E1101="L"),J1101=3),VLOOKUP(_xlfn.MINIFS('FIRE TEX 5090'!$B$5:$B$43,'FIRE TEX 5090'!$B$5:$B$43,"&gt;="&amp;M1101),'FIRE TEX 5090'!$B$5:$H$43,IF(L1101="F-15",2,IF(L1101="F-30",3,IF(L1101="F-60",4,IF(L1101="F-90",5,IF(L1101="F-120",6,IF(L1101="F-150",7,0)))))),0),0)+IF(AND(O1101="FIRE TEX 5090",OR(E1101="IN",E1101="C",E1101="Z",E1101="L"),J1101=4),VLOOKUP(_xlfn.MINIFS('FIRE TEX 5090'!$J$5:$J$43,'FIRE TEX 5090'!$J$5:$J$43,"&gt;="&amp;M1101),'FIRE TEX 5090'!$J$5:$P$43,IF(L1101="F-15",2,IF(L1101="F-30",3,IF(L1101="F-60",4,IF(L1101="F-90",5,IF(L1101="F-120",6,IF(L1101="F-150",7,0)))))),0),0)+IF(AND(O1101="FIRE TEX 5090",E1101="CJ",J1101=3),VLOOKUP(_xlfn.MINIFS('FIRE TEX 5090'!$R$5:$R$30,'FIRE TEX 5090'!$R$5:$R$30,"&gt;="&amp;M1101),'FIRE TEX 5090'!$R$5:$W$30,IF(L1101="F-15",2,IF(L1101="F-30",3,IF(L1101="F-60",4,IF(L1101="F-90",5,IF(L1101="F-120",6,IF(L1101="F-150",7,0)))))),0),0)+IF(AND(O1101="FIRE TEX 5090",E1101="CJ",J1101=4),VLOOKUP(_xlfn.MINIFS('FIRE TEX 5090'!$Y$5:$Y$39,'FIRE TEX 5090'!$Y$5:$Y$39,"&gt;="&amp;M1101),'FIRE TEX 5090'!$Y$5:$AD$39,IF(L1101="F-15",2,IF(L1101="F-30",3,IF(L1101="F-60",4,IF(L1101="F-90",5,IF(L1101="F-120",6,IF(L1101="F-150",7,0)))))),0),0)+IF(AND(O1101="FIRE TEX 5120",OR(E1101="IN",E1101="C",E1101="Z",E1101="L"),J1101=3),VLOOKUP(_xlfn.MINIFS('FIRE TEX 5120'!$B$5:$B$40,'FIRE TEX 5120'!$B$5:$B$40,"&gt;="&amp;M1101),'FIRE TEX 5120'!$B$5:$G$40,IF(L1101="F-15",2,IF(L1101="F-30",3,IF(L1101="F-60",4,IF(L1101="F-90",5,IF(L1101="F-120",6,0))))),0),0)+IF(AND(O1101="FIRE TEX 5120",OR(E1101="IN",E1101="C",E1101="Z",E1101="L"),J1101=4),VLOOKUP(_xlfn.MINIFS('FIRE TEX 5120'!$H$4:$H$40,'FIRE TEX 5120'!$H$4:$H$40,"&gt;="&amp;M1101),'FIRE TEX 5120'!$H$4:$M$40,IF(L1101="F-15",2,IF(L1101="F-30",3,IF(L1101="F-60",4,IF(L1101="F-90",5,IF(L1101="F-120",6,0))))),0),0)+IF(AND(O1101="FIRE TEX 5120",E1101="CJ"),VLOOKUP(_xlfn.MINIFS('FIRE TEX 5120'!$O$5:$O$40,'FIRE TEX 5120'!$O$5:$O$40,"&gt;="&amp;M1101),'FIRE TEX 5120'!$O$5:$T$40,IF(L1101="F-15",2,IF(L1101="F-30",3,IF(L1101="F-60",4,IF(L1101="F-90",5,IF(L1101="F-120",6,0))))),0),0)</f>
        <v>0</v>
      </c>
      <c r="Q1101" s="46">
        <f t="shared" si="104"/>
        <v>0</v>
      </c>
      <c r="R1101" s="46">
        <f t="shared" si="105"/>
        <v>0</v>
      </c>
      <c r="S1101" s="46" t="e">
        <f t="shared" si="106"/>
        <v>#VALUE!</v>
      </c>
      <c r="T1101" s="677">
        <f t="shared" si="107"/>
        <v>0</v>
      </c>
      <c r="U1101" s="80">
        <f>(IF(O1101="Stofire",(S1101*#REF!),0))+(IF(O1101="Fire Control",(S1101*$U$2),0))+(IF(O1101="Fire Tex",(S1101*$U$3),0))+(IF(O1101="WB7",(S1101*#REF!),0)+(IF(O1101="FX 2003",(S1101*$U$5),0)))</f>
        <v>0</v>
      </c>
      <c r="V1101" s="651">
        <f t="shared" si="108"/>
        <v>0</v>
      </c>
    </row>
    <row r="1102" spans="4:22" x14ac:dyDescent="0.25">
      <c r="D1102" s="118">
        <f>+CUBICACION!D1101</f>
        <v>0</v>
      </c>
      <c r="E1102" s="118">
        <f>+CUBICACION!F1101</f>
        <v>0</v>
      </c>
      <c r="F1102" s="118">
        <f>+CUBICACION!E1101</f>
        <v>0</v>
      </c>
      <c r="G1102" s="118">
        <v>12</v>
      </c>
      <c r="H1102" s="118">
        <v>2</v>
      </c>
      <c r="I1102" s="820">
        <v>26385</v>
      </c>
      <c r="J1102" s="118">
        <f>+CUBICACION!J1101</f>
        <v>0</v>
      </c>
      <c r="K1102" s="118">
        <v>3881</v>
      </c>
      <c r="L1102" s="118">
        <f>+CUBICACION!L1101</f>
        <v>0</v>
      </c>
      <c r="M1102" s="64">
        <f>+CUBICACION!M1101</f>
        <v>0</v>
      </c>
      <c r="N1102" s="824" t="str">
        <f>+CUBICACION!N1101</f>
        <v/>
      </c>
      <c r="O1102" s="675">
        <f>+CUBICACION!O1101</f>
        <v>0</v>
      </c>
      <c r="P1102" s="15">
        <f>IF(O1102="Fire Control",VLOOKUP(_xlfn.MINIFS('FIRE CONTROL'!$C$4:$C$37,'FIRE CONTROL'!$C$4:$C$37,"&gt;="&amp;M1102),'FIRE CONTROL'!$C$4:$G$37,IF(L1102="F-15",2,IF(L1102="F-30",3,IF(L1102="F-60",4,IF(L1102="F-90",5,0)))),0),0)+IF(AND(O1102="FIRE TEX 5062",OR(E1102="IN",E1102="C",E1102="Z",E1102="L"),J1102=3),VLOOKUP(_xlfn.MINIFS('FIRE TEX 5062'!$B$4:$B$34,'FIRE TEX 5062'!$B$4:$B$34,"&gt;="&amp;M1102),'FIRE TEX 5062'!$B$4:$F$34,IF(L1102="F-15",2,IF(L1102="F-30",3,IF(L1102="F-60",4,IF(L1102="F-90",5,0)))),0),0)+IF(AND(O1102="FIRE TEX 5062",OR(E1102="IN",E1102="C",E1102="Z",E1102="L"),J1102=4),VLOOKUP(_xlfn.MINIFS('FIRE TEX 5062'!$G$4:$G$34,'FIRE TEX 5062'!$G$4:$G$34,"&gt;="&amp;M1102),'FIRE TEX 5062'!$G$4:$K$34,IF(L1102="F-15",2,IF(L1102="F-30",3,IF(L1102="F-60",4,IF(L1102="F-90",5,0)))),0),0)+IF(AND(O1102="FIRE TEX 5062",E1102="CJ",J1102=3),VLOOKUP(_xlfn.MINIFS('FIRE TEX 5062'!$L$4:$L$34,'FIRE TEX 5062'!$L$4:$L$34,"&gt;="&amp;M1102),'FIRE TEX 5062'!$L$4:$P$34,IF(L1102="F-15",2,IF(L1102="F-30",3,IF(L1102="F-60",4,IF(L1102="F-90",5,0)))),0),0)+IF(AND(O1102="FIRE TEX 5062",E1102="CJ",J1102=4),VLOOKUP(_xlfn.MINIFS('FIRE TEX 5062'!$Q$3:$Q$34,'FIRE TEX 5062'!$Q$3:$Q$34,"&gt;="&amp;M1102),'FIRE TEX 5062'!$Q$3:$U$34,IF(L1102="F-15",2,IF(L1102="F-30",3,IF(L1102="F-60",4,IF(L1102="F-90",5,0)))),0),0)+IF(AND(O1102="FIRE TEX 5090",OR(E1102="IN",E1102="C",E1102="Z",E1102="L"),J1102=3),VLOOKUP(_xlfn.MINIFS('FIRE TEX 5090'!$B$5:$B$43,'FIRE TEX 5090'!$B$5:$B$43,"&gt;="&amp;M1102),'FIRE TEX 5090'!$B$5:$H$43,IF(L1102="F-15",2,IF(L1102="F-30",3,IF(L1102="F-60",4,IF(L1102="F-90",5,IF(L1102="F-120",6,IF(L1102="F-150",7,0)))))),0),0)+IF(AND(O1102="FIRE TEX 5090",OR(E1102="IN",E1102="C",E1102="Z",E1102="L"),J1102=4),VLOOKUP(_xlfn.MINIFS('FIRE TEX 5090'!$J$5:$J$43,'FIRE TEX 5090'!$J$5:$J$43,"&gt;="&amp;M1102),'FIRE TEX 5090'!$J$5:$P$43,IF(L1102="F-15",2,IF(L1102="F-30",3,IF(L1102="F-60",4,IF(L1102="F-90",5,IF(L1102="F-120",6,IF(L1102="F-150",7,0)))))),0),0)+IF(AND(O1102="FIRE TEX 5090",E1102="CJ",J1102=3),VLOOKUP(_xlfn.MINIFS('FIRE TEX 5090'!$R$5:$R$30,'FIRE TEX 5090'!$R$5:$R$30,"&gt;="&amp;M1102),'FIRE TEX 5090'!$R$5:$W$30,IF(L1102="F-15",2,IF(L1102="F-30",3,IF(L1102="F-60",4,IF(L1102="F-90",5,IF(L1102="F-120",6,IF(L1102="F-150",7,0)))))),0),0)+IF(AND(O1102="FIRE TEX 5090",E1102="CJ",J1102=4),VLOOKUP(_xlfn.MINIFS('FIRE TEX 5090'!$Y$5:$Y$39,'FIRE TEX 5090'!$Y$5:$Y$39,"&gt;="&amp;M1102),'FIRE TEX 5090'!$Y$5:$AD$39,IF(L1102="F-15",2,IF(L1102="F-30",3,IF(L1102="F-60",4,IF(L1102="F-90",5,IF(L1102="F-120",6,IF(L1102="F-150",7,0)))))),0),0)+IF(AND(O1102="FIRE TEX 5120",OR(E1102="IN",E1102="C",E1102="Z",E1102="L"),J1102=3),VLOOKUP(_xlfn.MINIFS('FIRE TEX 5120'!$B$5:$B$40,'FIRE TEX 5120'!$B$5:$B$40,"&gt;="&amp;M1102),'FIRE TEX 5120'!$B$5:$G$40,IF(L1102="F-15",2,IF(L1102="F-30",3,IF(L1102="F-60",4,IF(L1102="F-90",5,IF(L1102="F-120",6,0))))),0),0)+IF(AND(O1102="FIRE TEX 5120",OR(E1102="IN",E1102="C",E1102="Z",E1102="L"),J1102=4),VLOOKUP(_xlfn.MINIFS('FIRE TEX 5120'!$H$4:$H$40,'FIRE TEX 5120'!$H$4:$H$40,"&gt;="&amp;M1102),'FIRE TEX 5120'!$H$4:$M$40,IF(L1102="F-15",2,IF(L1102="F-30",3,IF(L1102="F-60",4,IF(L1102="F-90",5,IF(L1102="F-120",6,0))))),0),0)+IF(AND(O1102="FIRE TEX 5120",E1102="CJ"),VLOOKUP(_xlfn.MINIFS('FIRE TEX 5120'!$O$5:$O$40,'FIRE TEX 5120'!$O$5:$O$40,"&gt;="&amp;M1102),'FIRE TEX 5120'!$O$5:$T$40,IF(L1102="F-15",2,IF(L1102="F-30",3,IF(L1102="F-60",4,IF(L1102="F-90",5,IF(L1102="F-120",6,0))))),0),0)</f>
        <v>0</v>
      </c>
      <c r="Q1102" s="46">
        <f t="shared" si="104"/>
        <v>0</v>
      </c>
      <c r="R1102" s="46">
        <f t="shared" si="105"/>
        <v>0</v>
      </c>
      <c r="S1102" s="46" t="e">
        <f t="shared" si="106"/>
        <v>#VALUE!</v>
      </c>
      <c r="T1102" s="677">
        <f t="shared" si="107"/>
        <v>0</v>
      </c>
      <c r="U1102" s="80">
        <f>(IF(O1102="Stofire",(S1102*#REF!),0))+(IF(O1102="Fire Control",(S1102*$U$2),0))+(IF(O1102="Fire Tex",(S1102*$U$3),0))+(IF(O1102="WB7",(S1102*#REF!),0)+(IF(O1102="FX 2003",(S1102*$U$5),0)))</f>
        <v>0</v>
      </c>
      <c r="V1102" s="651">
        <f t="shared" si="108"/>
        <v>0</v>
      </c>
    </row>
    <row r="1103" spans="4:22" x14ac:dyDescent="0.25">
      <c r="D1103" s="118">
        <f>+CUBICACION!D1102</f>
        <v>0</v>
      </c>
      <c r="E1103" s="118">
        <f>+CUBICACION!F1102</f>
        <v>0</v>
      </c>
      <c r="F1103" s="118">
        <f>+CUBICACION!E1102</f>
        <v>0</v>
      </c>
      <c r="G1103" s="118">
        <v>12</v>
      </c>
      <c r="H1103" s="118">
        <v>2</v>
      </c>
      <c r="I1103" s="820">
        <v>26385</v>
      </c>
      <c r="J1103" s="118">
        <f>+CUBICACION!J1102</f>
        <v>0</v>
      </c>
      <c r="K1103" s="118">
        <v>3882</v>
      </c>
      <c r="L1103" s="118">
        <f>+CUBICACION!L1102</f>
        <v>0</v>
      </c>
      <c r="M1103" s="64">
        <f>+CUBICACION!M1102</f>
        <v>0</v>
      </c>
      <c r="N1103" s="824" t="str">
        <f>+CUBICACION!N1102</f>
        <v/>
      </c>
      <c r="O1103" s="675">
        <f>+CUBICACION!O1102</f>
        <v>0</v>
      </c>
      <c r="P1103" s="15">
        <f>IF(O1103="Fire Control",VLOOKUP(_xlfn.MINIFS('FIRE CONTROL'!$C$4:$C$37,'FIRE CONTROL'!$C$4:$C$37,"&gt;="&amp;M1103),'FIRE CONTROL'!$C$4:$G$37,IF(L1103="F-15",2,IF(L1103="F-30",3,IF(L1103="F-60",4,IF(L1103="F-90",5,0)))),0),0)+IF(AND(O1103="FIRE TEX 5062",OR(E1103="IN",E1103="C",E1103="Z",E1103="L"),J1103=3),VLOOKUP(_xlfn.MINIFS('FIRE TEX 5062'!$B$4:$B$34,'FIRE TEX 5062'!$B$4:$B$34,"&gt;="&amp;M1103),'FIRE TEX 5062'!$B$4:$F$34,IF(L1103="F-15",2,IF(L1103="F-30",3,IF(L1103="F-60",4,IF(L1103="F-90",5,0)))),0),0)+IF(AND(O1103="FIRE TEX 5062",OR(E1103="IN",E1103="C",E1103="Z",E1103="L"),J1103=4),VLOOKUP(_xlfn.MINIFS('FIRE TEX 5062'!$G$4:$G$34,'FIRE TEX 5062'!$G$4:$G$34,"&gt;="&amp;M1103),'FIRE TEX 5062'!$G$4:$K$34,IF(L1103="F-15",2,IF(L1103="F-30",3,IF(L1103="F-60",4,IF(L1103="F-90",5,0)))),0),0)+IF(AND(O1103="FIRE TEX 5062",E1103="CJ",J1103=3),VLOOKUP(_xlfn.MINIFS('FIRE TEX 5062'!$L$4:$L$34,'FIRE TEX 5062'!$L$4:$L$34,"&gt;="&amp;M1103),'FIRE TEX 5062'!$L$4:$P$34,IF(L1103="F-15",2,IF(L1103="F-30",3,IF(L1103="F-60",4,IF(L1103="F-90",5,0)))),0),0)+IF(AND(O1103="FIRE TEX 5062",E1103="CJ",J1103=4),VLOOKUP(_xlfn.MINIFS('FIRE TEX 5062'!$Q$3:$Q$34,'FIRE TEX 5062'!$Q$3:$Q$34,"&gt;="&amp;M1103),'FIRE TEX 5062'!$Q$3:$U$34,IF(L1103="F-15",2,IF(L1103="F-30",3,IF(L1103="F-60",4,IF(L1103="F-90",5,0)))),0),0)+IF(AND(O1103="FIRE TEX 5090",OR(E1103="IN",E1103="C",E1103="Z",E1103="L"),J1103=3),VLOOKUP(_xlfn.MINIFS('FIRE TEX 5090'!$B$5:$B$43,'FIRE TEX 5090'!$B$5:$B$43,"&gt;="&amp;M1103),'FIRE TEX 5090'!$B$5:$H$43,IF(L1103="F-15",2,IF(L1103="F-30",3,IF(L1103="F-60",4,IF(L1103="F-90",5,IF(L1103="F-120",6,IF(L1103="F-150",7,0)))))),0),0)+IF(AND(O1103="FIRE TEX 5090",OR(E1103="IN",E1103="C",E1103="Z",E1103="L"),J1103=4),VLOOKUP(_xlfn.MINIFS('FIRE TEX 5090'!$J$5:$J$43,'FIRE TEX 5090'!$J$5:$J$43,"&gt;="&amp;M1103),'FIRE TEX 5090'!$J$5:$P$43,IF(L1103="F-15",2,IF(L1103="F-30",3,IF(L1103="F-60",4,IF(L1103="F-90",5,IF(L1103="F-120",6,IF(L1103="F-150",7,0)))))),0),0)+IF(AND(O1103="FIRE TEX 5090",E1103="CJ",J1103=3),VLOOKUP(_xlfn.MINIFS('FIRE TEX 5090'!$R$5:$R$30,'FIRE TEX 5090'!$R$5:$R$30,"&gt;="&amp;M1103),'FIRE TEX 5090'!$R$5:$W$30,IF(L1103="F-15",2,IF(L1103="F-30",3,IF(L1103="F-60",4,IF(L1103="F-90",5,IF(L1103="F-120",6,IF(L1103="F-150",7,0)))))),0),0)+IF(AND(O1103="FIRE TEX 5090",E1103="CJ",J1103=4),VLOOKUP(_xlfn.MINIFS('FIRE TEX 5090'!$Y$5:$Y$39,'FIRE TEX 5090'!$Y$5:$Y$39,"&gt;="&amp;M1103),'FIRE TEX 5090'!$Y$5:$AD$39,IF(L1103="F-15",2,IF(L1103="F-30",3,IF(L1103="F-60",4,IF(L1103="F-90",5,IF(L1103="F-120",6,IF(L1103="F-150",7,0)))))),0),0)+IF(AND(O1103="FIRE TEX 5120",OR(E1103="IN",E1103="C",E1103="Z",E1103="L"),J1103=3),VLOOKUP(_xlfn.MINIFS('FIRE TEX 5120'!$B$5:$B$40,'FIRE TEX 5120'!$B$5:$B$40,"&gt;="&amp;M1103),'FIRE TEX 5120'!$B$5:$G$40,IF(L1103="F-15",2,IF(L1103="F-30",3,IF(L1103="F-60",4,IF(L1103="F-90",5,IF(L1103="F-120",6,0))))),0),0)+IF(AND(O1103="FIRE TEX 5120",OR(E1103="IN",E1103="C",E1103="Z",E1103="L"),J1103=4),VLOOKUP(_xlfn.MINIFS('FIRE TEX 5120'!$H$4:$H$40,'FIRE TEX 5120'!$H$4:$H$40,"&gt;="&amp;M1103),'FIRE TEX 5120'!$H$4:$M$40,IF(L1103="F-15",2,IF(L1103="F-30",3,IF(L1103="F-60",4,IF(L1103="F-90",5,IF(L1103="F-120",6,0))))),0),0)+IF(AND(O1103="FIRE TEX 5120",E1103="CJ"),VLOOKUP(_xlfn.MINIFS('FIRE TEX 5120'!$O$5:$O$40,'FIRE TEX 5120'!$O$5:$O$40,"&gt;="&amp;M1103),'FIRE TEX 5120'!$O$5:$T$40,IF(L1103="F-15",2,IF(L1103="F-30",3,IF(L1103="F-60",4,IF(L1103="F-90",5,IF(L1103="F-120",6,0))))),0),0)</f>
        <v>0</v>
      </c>
      <c r="Q1103" s="46">
        <f t="shared" si="104"/>
        <v>0</v>
      </c>
      <c r="R1103" s="46">
        <f t="shared" si="105"/>
        <v>0</v>
      </c>
      <c r="S1103" s="46" t="e">
        <f t="shared" si="106"/>
        <v>#VALUE!</v>
      </c>
      <c r="T1103" s="677">
        <f t="shared" si="107"/>
        <v>0</v>
      </c>
      <c r="U1103" s="80">
        <f>(IF(O1103="Stofire",(S1103*#REF!),0))+(IF(O1103="Fire Control",(S1103*$U$2),0))+(IF(O1103="Fire Tex",(S1103*$U$3),0))+(IF(O1103="WB7",(S1103*#REF!),0)+(IF(O1103="FX 2003",(S1103*$U$5),0)))</f>
        <v>0</v>
      </c>
      <c r="V1103" s="651">
        <f t="shared" si="108"/>
        <v>0</v>
      </c>
    </row>
    <row r="1104" spans="4:22" x14ac:dyDescent="0.25">
      <c r="D1104" s="118">
        <f>+CUBICACION!D1103</f>
        <v>0</v>
      </c>
      <c r="E1104" s="118">
        <f>+CUBICACION!F1103</f>
        <v>0</v>
      </c>
      <c r="F1104" s="118">
        <f>+CUBICACION!E1103</f>
        <v>0</v>
      </c>
      <c r="G1104" s="118">
        <v>12</v>
      </c>
      <c r="H1104" s="118">
        <v>2</v>
      </c>
      <c r="I1104" s="820">
        <v>26385</v>
      </c>
      <c r="J1104" s="118">
        <f>+CUBICACION!J1103</f>
        <v>0</v>
      </c>
      <c r="K1104" s="118">
        <v>3883</v>
      </c>
      <c r="L1104" s="118">
        <f>+CUBICACION!L1103</f>
        <v>0</v>
      </c>
      <c r="M1104" s="64">
        <f>+CUBICACION!M1103</f>
        <v>0</v>
      </c>
      <c r="N1104" s="824" t="str">
        <f>+CUBICACION!N1103</f>
        <v/>
      </c>
      <c r="O1104" s="675">
        <f>+CUBICACION!O1103</f>
        <v>0</v>
      </c>
      <c r="P1104" s="15">
        <f>IF(O1104="Fire Control",VLOOKUP(_xlfn.MINIFS('FIRE CONTROL'!$C$4:$C$37,'FIRE CONTROL'!$C$4:$C$37,"&gt;="&amp;M1104),'FIRE CONTROL'!$C$4:$G$37,IF(L1104="F-15",2,IF(L1104="F-30",3,IF(L1104="F-60",4,IF(L1104="F-90",5,0)))),0),0)+IF(AND(O1104="FIRE TEX 5062",OR(E1104="IN",E1104="C",E1104="Z",E1104="L"),J1104=3),VLOOKUP(_xlfn.MINIFS('FIRE TEX 5062'!$B$4:$B$34,'FIRE TEX 5062'!$B$4:$B$34,"&gt;="&amp;M1104),'FIRE TEX 5062'!$B$4:$F$34,IF(L1104="F-15",2,IF(L1104="F-30",3,IF(L1104="F-60",4,IF(L1104="F-90",5,0)))),0),0)+IF(AND(O1104="FIRE TEX 5062",OR(E1104="IN",E1104="C",E1104="Z",E1104="L"),J1104=4),VLOOKUP(_xlfn.MINIFS('FIRE TEX 5062'!$G$4:$G$34,'FIRE TEX 5062'!$G$4:$G$34,"&gt;="&amp;M1104),'FIRE TEX 5062'!$G$4:$K$34,IF(L1104="F-15",2,IF(L1104="F-30",3,IF(L1104="F-60",4,IF(L1104="F-90",5,0)))),0),0)+IF(AND(O1104="FIRE TEX 5062",E1104="CJ",J1104=3),VLOOKUP(_xlfn.MINIFS('FIRE TEX 5062'!$L$4:$L$34,'FIRE TEX 5062'!$L$4:$L$34,"&gt;="&amp;M1104),'FIRE TEX 5062'!$L$4:$P$34,IF(L1104="F-15",2,IF(L1104="F-30",3,IF(L1104="F-60",4,IF(L1104="F-90",5,0)))),0),0)+IF(AND(O1104="FIRE TEX 5062",E1104="CJ",J1104=4),VLOOKUP(_xlfn.MINIFS('FIRE TEX 5062'!$Q$3:$Q$34,'FIRE TEX 5062'!$Q$3:$Q$34,"&gt;="&amp;M1104),'FIRE TEX 5062'!$Q$3:$U$34,IF(L1104="F-15",2,IF(L1104="F-30",3,IF(L1104="F-60",4,IF(L1104="F-90",5,0)))),0),0)+IF(AND(O1104="FIRE TEX 5090",OR(E1104="IN",E1104="C",E1104="Z",E1104="L"),J1104=3),VLOOKUP(_xlfn.MINIFS('FIRE TEX 5090'!$B$5:$B$43,'FIRE TEX 5090'!$B$5:$B$43,"&gt;="&amp;M1104),'FIRE TEX 5090'!$B$5:$H$43,IF(L1104="F-15",2,IF(L1104="F-30",3,IF(L1104="F-60",4,IF(L1104="F-90",5,IF(L1104="F-120",6,IF(L1104="F-150",7,0)))))),0),0)+IF(AND(O1104="FIRE TEX 5090",OR(E1104="IN",E1104="C",E1104="Z",E1104="L"),J1104=4),VLOOKUP(_xlfn.MINIFS('FIRE TEX 5090'!$J$5:$J$43,'FIRE TEX 5090'!$J$5:$J$43,"&gt;="&amp;M1104),'FIRE TEX 5090'!$J$5:$P$43,IF(L1104="F-15",2,IF(L1104="F-30",3,IF(L1104="F-60",4,IF(L1104="F-90",5,IF(L1104="F-120",6,IF(L1104="F-150",7,0)))))),0),0)+IF(AND(O1104="FIRE TEX 5090",E1104="CJ",J1104=3),VLOOKUP(_xlfn.MINIFS('FIRE TEX 5090'!$R$5:$R$30,'FIRE TEX 5090'!$R$5:$R$30,"&gt;="&amp;M1104),'FIRE TEX 5090'!$R$5:$W$30,IF(L1104="F-15",2,IF(L1104="F-30",3,IF(L1104="F-60",4,IF(L1104="F-90",5,IF(L1104="F-120",6,IF(L1104="F-150",7,0)))))),0),0)+IF(AND(O1104="FIRE TEX 5090",E1104="CJ",J1104=4),VLOOKUP(_xlfn.MINIFS('FIRE TEX 5090'!$Y$5:$Y$39,'FIRE TEX 5090'!$Y$5:$Y$39,"&gt;="&amp;M1104),'FIRE TEX 5090'!$Y$5:$AD$39,IF(L1104="F-15",2,IF(L1104="F-30",3,IF(L1104="F-60",4,IF(L1104="F-90",5,IF(L1104="F-120",6,IF(L1104="F-150",7,0)))))),0),0)+IF(AND(O1104="FIRE TEX 5120",OR(E1104="IN",E1104="C",E1104="Z",E1104="L"),J1104=3),VLOOKUP(_xlfn.MINIFS('FIRE TEX 5120'!$B$5:$B$40,'FIRE TEX 5120'!$B$5:$B$40,"&gt;="&amp;M1104),'FIRE TEX 5120'!$B$5:$G$40,IF(L1104="F-15",2,IF(L1104="F-30",3,IF(L1104="F-60",4,IF(L1104="F-90",5,IF(L1104="F-120",6,0))))),0),0)+IF(AND(O1104="FIRE TEX 5120",OR(E1104="IN",E1104="C",E1104="Z",E1104="L"),J1104=4),VLOOKUP(_xlfn.MINIFS('FIRE TEX 5120'!$H$4:$H$40,'FIRE TEX 5120'!$H$4:$H$40,"&gt;="&amp;M1104),'FIRE TEX 5120'!$H$4:$M$40,IF(L1104="F-15",2,IF(L1104="F-30",3,IF(L1104="F-60",4,IF(L1104="F-90",5,IF(L1104="F-120",6,0))))),0),0)+IF(AND(O1104="FIRE TEX 5120",E1104="CJ"),VLOOKUP(_xlfn.MINIFS('FIRE TEX 5120'!$O$5:$O$40,'FIRE TEX 5120'!$O$5:$O$40,"&gt;="&amp;M1104),'FIRE TEX 5120'!$O$5:$T$40,IF(L1104="F-15",2,IF(L1104="F-30",3,IF(L1104="F-60",4,IF(L1104="F-90",5,IF(L1104="F-120",6,0))))),0),0)</f>
        <v>0</v>
      </c>
      <c r="Q1104" s="46">
        <f t="shared" si="104"/>
        <v>0</v>
      </c>
      <c r="R1104" s="46">
        <f t="shared" si="105"/>
        <v>0</v>
      </c>
      <c r="S1104" s="46" t="e">
        <f t="shared" si="106"/>
        <v>#VALUE!</v>
      </c>
      <c r="T1104" s="677">
        <f t="shared" si="107"/>
        <v>0</v>
      </c>
      <c r="U1104" s="80">
        <f>(IF(O1104="Stofire",(S1104*#REF!),0))+(IF(O1104="Fire Control",(S1104*$U$2),0))+(IF(O1104="Fire Tex",(S1104*$U$3),0))+(IF(O1104="WB7",(S1104*#REF!),0)+(IF(O1104="FX 2003",(S1104*$U$5),0)))</f>
        <v>0</v>
      </c>
      <c r="V1104" s="651">
        <f t="shared" si="108"/>
        <v>0</v>
      </c>
    </row>
    <row r="1105" spans="4:22" x14ac:dyDescent="0.25">
      <c r="D1105" s="118">
        <f>+CUBICACION!D1104</f>
        <v>0</v>
      </c>
      <c r="E1105" s="118">
        <f>+CUBICACION!F1104</f>
        <v>0</v>
      </c>
      <c r="F1105" s="118">
        <f>+CUBICACION!E1104</f>
        <v>0</v>
      </c>
      <c r="G1105" s="118">
        <v>12</v>
      </c>
      <c r="H1105" s="118">
        <v>2</v>
      </c>
      <c r="I1105" s="820">
        <v>26385</v>
      </c>
      <c r="J1105" s="118">
        <f>+CUBICACION!J1104</f>
        <v>0</v>
      </c>
      <c r="K1105" s="118">
        <v>3884</v>
      </c>
      <c r="L1105" s="118">
        <f>+CUBICACION!L1104</f>
        <v>0</v>
      </c>
      <c r="M1105" s="64">
        <f>+CUBICACION!M1104</f>
        <v>0</v>
      </c>
      <c r="N1105" s="824" t="str">
        <f>+CUBICACION!N1104</f>
        <v/>
      </c>
      <c r="O1105" s="675">
        <f>+CUBICACION!O1104</f>
        <v>0</v>
      </c>
      <c r="P1105" s="15">
        <f>IF(O1105="Fire Control",VLOOKUP(_xlfn.MINIFS('FIRE CONTROL'!$C$4:$C$37,'FIRE CONTROL'!$C$4:$C$37,"&gt;="&amp;M1105),'FIRE CONTROL'!$C$4:$G$37,IF(L1105="F-15",2,IF(L1105="F-30",3,IF(L1105="F-60",4,IF(L1105="F-90",5,0)))),0),0)+IF(AND(O1105="FIRE TEX 5062",OR(E1105="IN",E1105="C",E1105="Z",E1105="L"),J1105=3),VLOOKUP(_xlfn.MINIFS('FIRE TEX 5062'!$B$4:$B$34,'FIRE TEX 5062'!$B$4:$B$34,"&gt;="&amp;M1105),'FIRE TEX 5062'!$B$4:$F$34,IF(L1105="F-15",2,IF(L1105="F-30",3,IF(L1105="F-60",4,IF(L1105="F-90",5,0)))),0),0)+IF(AND(O1105="FIRE TEX 5062",OR(E1105="IN",E1105="C",E1105="Z",E1105="L"),J1105=4),VLOOKUP(_xlfn.MINIFS('FIRE TEX 5062'!$G$4:$G$34,'FIRE TEX 5062'!$G$4:$G$34,"&gt;="&amp;M1105),'FIRE TEX 5062'!$G$4:$K$34,IF(L1105="F-15",2,IF(L1105="F-30",3,IF(L1105="F-60",4,IF(L1105="F-90",5,0)))),0),0)+IF(AND(O1105="FIRE TEX 5062",E1105="CJ",J1105=3),VLOOKUP(_xlfn.MINIFS('FIRE TEX 5062'!$L$4:$L$34,'FIRE TEX 5062'!$L$4:$L$34,"&gt;="&amp;M1105),'FIRE TEX 5062'!$L$4:$P$34,IF(L1105="F-15",2,IF(L1105="F-30",3,IF(L1105="F-60",4,IF(L1105="F-90",5,0)))),0),0)+IF(AND(O1105="FIRE TEX 5062",E1105="CJ",J1105=4),VLOOKUP(_xlfn.MINIFS('FIRE TEX 5062'!$Q$3:$Q$34,'FIRE TEX 5062'!$Q$3:$Q$34,"&gt;="&amp;M1105),'FIRE TEX 5062'!$Q$3:$U$34,IF(L1105="F-15",2,IF(L1105="F-30",3,IF(L1105="F-60",4,IF(L1105="F-90",5,0)))),0),0)+IF(AND(O1105="FIRE TEX 5090",OR(E1105="IN",E1105="C",E1105="Z",E1105="L"),J1105=3),VLOOKUP(_xlfn.MINIFS('FIRE TEX 5090'!$B$5:$B$43,'FIRE TEX 5090'!$B$5:$B$43,"&gt;="&amp;M1105),'FIRE TEX 5090'!$B$5:$H$43,IF(L1105="F-15",2,IF(L1105="F-30",3,IF(L1105="F-60",4,IF(L1105="F-90",5,IF(L1105="F-120",6,IF(L1105="F-150",7,0)))))),0),0)+IF(AND(O1105="FIRE TEX 5090",OR(E1105="IN",E1105="C",E1105="Z",E1105="L"),J1105=4),VLOOKUP(_xlfn.MINIFS('FIRE TEX 5090'!$J$5:$J$43,'FIRE TEX 5090'!$J$5:$J$43,"&gt;="&amp;M1105),'FIRE TEX 5090'!$J$5:$P$43,IF(L1105="F-15",2,IF(L1105="F-30",3,IF(L1105="F-60",4,IF(L1105="F-90",5,IF(L1105="F-120",6,IF(L1105="F-150",7,0)))))),0),0)+IF(AND(O1105="FIRE TEX 5090",E1105="CJ",J1105=3),VLOOKUP(_xlfn.MINIFS('FIRE TEX 5090'!$R$5:$R$30,'FIRE TEX 5090'!$R$5:$R$30,"&gt;="&amp;M1105),'FIRE TEX 5090'!$R$5:$W$30,IF(L1105="F-15",2,IF(L1105="F-30",3,IF(L1105="F-60",4,IF(L1105="F-90",5,IF(L1105="F-120",6,IF(L1105="F-150",7,0)))))),0),0)+IF(AND(O1105="FIRE TEX 5090",E1105="CJ",J1105=4),VLOOKUP(_xlfn.MINIFS('FIRE TEX 5090'!$Y$5:$Y$39,'FIRE TEX 5090'!$Y$5:$Y$39,"&gt;="&amp;M1105),'FIRE TEX 5090'!$Y$5:$AD$39,IF(L1105="F-15",2,IF(L1105="F-30",3,IF(L1105="F-60",4,IF(L1105="F-90",5,IF(L1105="F-120",6,IF(L1105="F-150",7,0)))))),0),0)+IF(AND(O1105="FIRE TEX 5120",OR(E1105="IN",E1105="C",E1105="Z",E1105="L"),J1105=3),VLOOKUP(_xlfn.MINIFS('FIRE TEX 5120'!$B$5:$B$40,'FIRE TEX 5120'!$B$5:$B$40,"&gt;="&amp;M1105),'FIRE TEX 5120'!$B$5:$G$40,IF(L1105="F-15",2,IF(L1105="F-30",3,IF(L1105="F-60",4,IF(L1105="F-90",5,IF(L1105="F-120",6,0))))),0),0)+IF(AND(O1105="FIRE TEX 5120",OR(E1105="IN",E1105="C",E1105="Z",E1105="L"),J1105=4),VLOOKUP(_xlfn.MINIFS('FIRE TEX 5120'!$H$4:$H$40,'FIRE TEX 5120'!$H$4:$H$40,"&gt;="&amp;M1105),'FIRE TEX 5120'!$H$4:$M$40,IF(L1105="F-15",2,IF(L1105="F-30",3,IF(L1105="F-60",4,IF(L1105="F-90",5,IF(L1105="F-120",6,0))))),0),0)+IF(AND(O1105="FIRE TEX 5120",E1105="CJ"),VLOOKUP(_xlfn.MINIFS('FIRE TEX 5120'!$O$5:$O$40,'FIRE TEX 5120'!$O$5:$O$40,"&gt;="&amp;M1105),'FIRE TEX 5120'!$O$5:$T$40,IF(L1105="F-15",2,IF(L1105="F-30",3,IF(L1105="F-60",4,IF(L1105="F-90",5,IF(L1105="F-120",6,0))))),0),0)</f>
        <v>0</v>
      </c>
      <c r="Q1105" s="46">
        <f t="shared" si="104"/>
        <v>0</v>
      </c>
      <c r="R1105" s="46">
        <f t="shared" si="105"/>
        <v>0</v>
      </c>
      <c r="S1105" s="46" t="e">
        <f t="shared" si="106"/>
        <v>#VALUE!</v>
      </c>
      <c r="T1105" s="677">
        <f t="shared" si="107"/>
        <v>0</v>
      </c>
      <c r="U1105" s="80">
        <f>(IF(O1105="Stofire",(S1105*#REF!),0))+(IF(O1105="Fire Control",(S1105*$U$2),0))+(IF(O1105="Fire Tex",(S1105*$U$3),0))+(IF(O1105="WB7",(S1105*#REF!),0)+(IF(O1105="FX 2003",(S1105*$U$5),0)))</f>
        <v>0</v>
      </c>
      <c r="V1105" s="651">
        <f t="shared" si="108"/>
        <v>0</v>
      </c>
    </row>
    <row r="1106" spans="4:22" x14ac:dyDescent="0.25">
      <c r="D1106" s="118">
        <f>+CUBICACION!D1105</f>
        <v>0</v>
      </c>
      <c r="E1106" s="118">
        <f>+CUBICACION!F1105</f>
        <v>0</v>
      </c>
      <c r="F1106" s="118">
        <f>+CUBICACION!E1105</f>
        <v>0</v>
      </c>
      <c r="G1106" s="118">
        <v>12</v>
      </c>
      <c r="H1106" s="118">
        <v>2</v>
      </c>
      <c r="I1106" s="820">
        <v>26385</v>
      </c>
      <c r="J1106" s="118">
        <f>+CUBICACION!J1105</f>
        <v>0</v>
      </c>
      <c r="K1106" s="118">
        <v>3885</v>
      </c>
      <c r="L1106" s="118">
        <f>+CUBICACION!L1105</f>
        <v>0</v>
      </c>
      <c r="M1106" s="64">
        <f>+CUBICACION!M1105</f>
        <v>0</v>
      </c>
      <c r="N1106" s="824" t="str">
        <f>+CUBICACION!N1105</f>
        <v/>
      </c>
      <c r="O1106" s="675">
        <f>+CUBICACION!O1105</f>
        <v>0</v>
      </c>
      <c r="P1106" s="15">
        <f>IF(O1106="Fire Control",VLOOKUP(_xlfn.MINIFS('FIRE CONTROL'!$C$4:$C$37,'FIRE CONTROL'!$C$4:$C$37,"&gt;="&amp;M1106),'FIRE CONTROL'!$C$4:$G$37,IF(L1106="F-15",2,IF(L1106="F-30",3,IF(L1106="F-60",4,IF(L1106="F-90",5,0)))),0),0)+IF(AND(O1106="FIRE TEX 5062",OR(E1106="IN",E1106="C",E1106="Z",E1106="L"),J1106=3),VLOOKUP(_xlfn.MINIFS('FIRE TEX 5062'!$B$4:$B$34,'FIRE TEX 5062'!$B$4:$B$34,"&gt;="&amp;M1106),'FIRE TEX 5062'!$B$4:$F$34,IF(L1106="F-15",2,IF(L1106="F-30",3,IF(L1106="F-60",4,IF(L1106="F-90",5,0)))),0),0)+IF(AND(O1106="FIRE TEX 5062",OR(E1106="IN",E1106="C",E1106="Z",E1106="L"),J1106=4),VLOOKUP(_xlfn.MINIFS('FIRE TEX 5062'!$G$4:$G$34,'FIRE TEX 5062'!$G$4:$G$34,"&gt;="&amp;M1106),'FIRE TEX 5062'!$G$4:$K$34,IF(L1106="F-15",2,IF(L1106="F-30",3,IF(L1106="F-60",4,IF(L1106="F-90",5,0)))),0),0)+IF(AND(O1106="FIRE TEX 5062",E1106="CJ",J1106=3),VLOOKUP(_xlfn.MINIFS('FIRE TEX 5062'!$L$4:$L$34,'FIRE TEX 5062'!$L$4:$L$34,"&gt;="&amp;M1106),'FIRE TEX 5062'!$L$4:$P$34,IF(L1106="F-15",2,IF(L1106="F-30",3,IF(L1106="F-60",4,IF(L1106="F-90",5,0)))),0),0)+IF(AND(O1106="FIRE TEX 5062",E1106="CJ",J1106=4),VLOOKUP(_xlfn.MINIFS('FIRE TEX 5062'!$Q$3:$Q$34,'FIRE TEX 5062'!$Q$3:$Q$34,"&gt;="&amp;M1106),'FIRE TEX 5062'!$Q$3:$U$34,IF(L1106="F-15",2,IF(L1106="F-30",3,IF(L1106="F-60",4,IF(L1106="F-90",5,0)))),0),0)+IF(AND(O1106="FIRE TEX 5090",OR(E1106="IN",E1106="C",E1106="Z",E1106="L"),J1106=3),VLOOKUP(_xlfn.MINIFS('FIRE TEX 5090'!$B$5:$B$43,'FIRE TEX 5090'!$B$5:$B$43,"&gt;="&amp;M1106),'FIRE TEX 5090'!$B$5:$H$43,IF(L1106="F-15",2,IF(L1106="F-30",3,IF(L1106="F-60",4,IF(L1106="F-90",5,IF(L1106="F-120",6,IF(L1106="F-150",7,0)))))),0),0)+IF(AND(O1106="FIRE TEX 5090",OR(E1106="IN",E1106="C",E1106="Z",E1106="L"),J1106=4),VLOOKUP(_xlfn.MINIFS('FIRE TEX 5090'!$J$5:$J$43,'FIRE TEX 5090'!$J$5:$J$43,"&gt;="&amp;M1106),'FIRE TEX 5090'!$J$5:$P$43,IF(L1106="F-15",2,IF(L1106="F-30",3,IF(L1106="F-60",4,IF(L1106="F-90",5,IF(L1106="F-120",6,IF(L1106="F-150",7,0)))))),0),0)+IF(AND(O1106="FIRE TEX 5090",E1106="CJ",J1106=3),VLOOKUP(_xlfn.MINIFS('FIRE TEX 5090'!$R$5:$R$30,'FIRE TEX 5090'!$R$5:$R$30,"&gt;="&amp;M1106),'FIRE TEX 5090'!$R$5:$W$30,IF(L1106="F-15",2,IF(L1106="F-30",3,IF(L1106="F-60",4,IF(L1106="F-90",5,IF(L1106="F-120",6,IF(L1106="F-150",7,0)))))),0),0)+IF(AND(O1106="FIRE TEX 5090",E1106="CJ",J1106=4),VLOOKUP(_xlfn.MINIFS('FIRE TEX 5090'!$Y$5:$Y$39,'FIRE TEX 5090'!$Y$5:$Y$39,"&gt;="&amp;M1106),'FIRE TEX 5090'!$Y$5:$AD$39,IF(L1106="F-15",2,IF(L1106="F-30",3,IF(L1106="F-60",4,IF(L1106="F-90",5,IF(L1106="F-120",6,IF(L1106="F-150",7,0)))))),0),0)+IF(AND(O1106="FIRE TEX 5120",OR(E1106="IN",E1106="C",E1106="Z",E1106="L"),J1106=3),VLOOKUP(_xlfn.MINIFS('FIRE TEX 5120'!$B$5:$B$40,'FIRE TEX 5120'!$B$5:$B$40,"&gt;="&amp;M1106),'FIRE TEX 5120'!$B$5:$G$40,IF(L1106="F-15",2,IF(L1106="F-30",3,IF(L1106="F-60",4,IF(L1106="F-90",5,IF(L1106="F-120",6,0))))),0),0)+IF(AND(O1106="FIRE TEX 5120",OR(E1106="IN",E1106="C",E1106="Z",E1106="L"),J1106=4),VLOOKUP(_xlfn.MINIFS('FIRE TEX 5120'!$H$4:$H$40,'FIRE TEX 5120'!$H$4:$H$40,"&gt;="&amp;M1106),'FIRE TEX 5120'!$H$4:$M$40,IF(L1106="F-15",2,IF(L1106="F-30",3,IF(L1106="F-60",4,IF(L1106="F-90",5,IF(L1106="F-120",6,0))))),0),0)+IF(AND(O1106="FIRE TEX 5120",E1106="CJ"),VLOOKUP(_xlfn.MINIFS('FIRE TEX 5120'!$O$5:$O$40,'FIRE TEX 5120'!$O$5:$O$40,"&gt;="&amp;M1106),'FIRE TEX 5120'!$O$5:$T$40,IF(L1106="F-15",2,IF(L1106="F-30",3,IF(L1106="F-60",4,IF(L1106="F-90",5,IF(L1106="F-120",6,0))))),0),0)</f>
        <v>0</v>
      </c>
      <c r="Q1106" s="46">
        <f t="shared" si="104"/>
        <v>0</v>
      </c>
      <c r="R1106" s="46">
        <f t="shared" si="105"/>
        <v>0</v>
      </c>
      <c r="S1106" s="46" t="e">
        <f t="shared" si="106"/>
        <v>#VALUE!</v>
      </c>
      <c r="T1106" s="677">
        <f t="shared" si="107"/>
        <v>0</v>
      </c>
      <c r="U1106" s="80">
        <f>(IF(O1106="Stofire",(S1106*#REF!),0))+(IF(O1106="Fire Control",(S1106*$U$2),0))+(IF(O1106="Fire Tex",(S1106*$U$3),0))+(IF(O1106="WB7",(S1106*#REF!),0)+(IF(O1106="FX 2003",(S1106*$U$5),0)))</f>
        <v>0</v>
      </c>
      <c r="V1106" s="651">
        <f t="shared" si="108"/>
        <v>0</v>
      </c>
    </row>
    <row r="1107" spans="4:22" x14ac:dyDescent="0.25">
      <c r="D1107" s="118">
        <f>+CUBICACION!D1106</f>
        <v>0</v>
      </c>
      <c r="E1107" s="118">
        <f>+CUBICACION!F1106</f>
        <v>0</v>
      </c>
      <c r="F1107" s="118">
        <f>+CUBICACION!E1106</f>
        <v>0</v>
      </c>
      <c r="G1107" s="118">
        <v>12</v>
      </c>
      <c r="H1107" s="118">
        <v>2</v>
      </c>
      <c r="I1107" s="820">
        <v>26385</v>
      </c>
      <c r="J1107" s="118">
        <f>+CUBICACION!J1106</f>
        <v>0</v>
      </c>
      <c r="K1107" s="118">
        <v>3886</v>
      </c>
      <c r="L1107" s="118">
        <f>+CUBICACION!L1106</f>
        <v>0</v>
      </c>
      <c r="M1107" s="64">
        <f>+CUBICACION!M1106</f>
        <v>0</v>
      </c>
      <c r="N1107" s="824" t="str">
        <f>+CUBICACION!N1106</f>
        <v/>
      </c>
      <c r="O1107" s="675">
        <f>+CUBICACION!O1106</f>
        <v>0</v>
      </c>
      <c r="P1107" s="15">
        <f>IF(O1107="Fire Control",VLOOKUP(_xlfn.MINIFS('FIRE CONTROL'!$C$4:$C$37,'FIRE CONTROL'!$C$4:$C$37,"&gt;="&amp;M1107),'FIRE CONTROL'!$C$4:$G$37,IF(L1107="F-15",2,IF(L1107="F-30",3,IF(L1107="F-60",4,IF(L1107="F-90",5,0)))),0),0)+IF(AND(O1107="FIRE TEX 5062",OR(E1107="IN",E1107="C",E1107="Z",E1107="L"),J1107=3),VLOOKUP(_xlfn.MINIFS('FIRE TEX 5062'!$B$4:$B$34,'FIRE TEX 5062'!$B$4:$B$34,"&gt;="&amp;M1107),'FIRE TEX 5062'!$B$4:$F$34,IF(L1107="F-15",2,IF(L1107="F-30",3,IF(L1107="F-60",4,IF(L1107="F-90",5,0)))),0),0)+IF(AND(O1107="FIRE TEX 5062",OR(E1107="IN",E1107="C",E1107="Z",E1107="L"),J1107=4),VLOOKUP(_xlfn.MINIFS('FIRE TEX 5062'!$G$4:$G$34,'FIRE TEX 5062'!$G$4:$G$34,"&gt;="&amp;M1107),'FIRE TEX 5062'!$G$4:$K$34,IF(L1107="F-15",2,IF(L1107="F-30",3,IF(L1107="F-60",4,IF(L1107="F-90",5,0)))),0),0)+IF(AND(O1107="FIRE TEX 5062",E1107="CJ",J1107=3),VLOOKUP(_xlfn.MINIFS('FIRE TEX 5062'!$L$4:$L$34,'FIRE TEX 5062'!$L$4:$L$34,"&gt;="&amp;M1107),'FIRE TEX 5062'!$L$4:$P$34,IF(L1107="F-15",2,IF(L1107="F-30",3,IF(L1107="F-60",4,IF(L1107="F-90",5,0)))),0),0)+IF(AND(O1107="FIRE TEX 5062",E1107="CJ",J1107=4),VLOOKUP(_xlfn.MINIFS('FIRE TEX 5062'!$Q$3:$Q$34,'FIRE TEX 5062'!$Q$3:$Q$34,"&gt;="&amp;M1107),'FIRE TEX 5062'!$Q$3:$U$34,IF(L1107="F-15",2,IF(L1107="F-30",3,IF(L1107="F-60",4,IF(L1107="F-90",5,0)))),0),0)+IF(AND(O1107="FIRE TEX 5090",OR(E1107="IN",E1107="C",E1107="Z",E1107="L"),J1107=3),VLOOKUP(_xlfn.MINIFS('FIRE TEX 5090'!$B$5:$B$43,'FIRE TEX 5090'!$B$5:$B$43,"&gt;="&amp;M1107),'FIRE TEX 5090'!$B$5:$H$43,IF(L1107="F-15",2,IF(L1107="F-30",3,IF(L1107="F-60",4,IF(L1107="F-90",5,IF(L1107="F-120",6,IF(L1107="F-150",7,0)))))),0),0)+IF(AND(O1107="FIRE TEX 5090",OR(E1107="IN",E1107="C",E1107="Z",E1107="L"),J1107=4),VLOOKUP(_xlfn.MINIFS('FIRE TEX 5090'!$J$5:$J$43,'FIRE TEX 5090'!$J$5:$J$43,"&gt;="&amp;M1107),'FIRE TEX 5090'!$J$5:$P$43,IF(L1107="F-15",2,IF(L1107="F-30",3,IF(L1107="F-60",4,IF(L1107="F-90",5,IF(L1107="F-120",6,IF(L1107="F-150",7,0)))))),0),0)+IF(AND(O1107="FIRE TEX 5090",E1107="CJ",J1107=3),VLOOKUP(_xlfn.MINIFS('FIRE TEX 5090'!$R$5:$R$30,'FIRE TEX 5090'!$R$5:$R$30,"&gt;="&amp;M1107),'FIRE TEX 5090'!$R$5:$W$30,IF(L1107="F-15",2,IF(L1107="F-30",3,IF(L1107="F-60",4,IF(L1107="F-90",5,IF(L1107="F-120",6,IF(L1107="F-150",7,0)))))),0),0)+IF(AND(O1107="FIRE TEX 5090",E1107="CJ",J1107=4),VLOOKUP(_xlfn.MINIFS('FIRE TEX 5090'!$Y$5:$Y$39,'FIRE TEX 5090'!$Y$5:$Y$39,"&gt;="&amp;M1107),'FIRE TEX 5090'!$Y$5:$AD$39,IF(L1107="F-15",2,IF(L1107="F-30",3,IF(L1107="F-60",4,IF(L1107="F-90",5,IF(L1107="F-120",6,IF(L1107="F-150",7,0)))))),0),0)+IF(AND(O1107="FIRE TEX 5120",OR(E1107="IN",E1107="C",E1107="Z",E1107="L"),J1107=3),VLOOKUP(_xlfn.MINIFS('FIRE TEX 5120'!$B$5:$B$40,'FIRE TEX 5120'!$B$5:$B$40,"&gt;="&amp;M1107),'FIRE TEX 5120'!$B$5:$G$40,IF(L1107="F-15",2,IF(L1107="F-30",3,IF(L1107="F-60",4,IF(L1107="F-90",5,IF(L1107="F-120",6,0))))),0),0)+IF(AND(O1107="FIRE TEX 5120",OR(E1107="IN",E1107="C",E1107="Z",E1107="L"),J1107=4),VLOOKUP(_xlfn.MINIFS('FIRE TEX 5120'!$H$4:$H$40,'FIRE TEX 5120'!$H$4:$H$40,"&gt;="&amp;M1107),'FIRE TEX 5120'!$H$4:$M$40,IF(L1107="F-15",2,IF(L1107="F-30",3,IF(L1107="F-60",4,IF(L1107="F-90",5,IF(L1107="F-120",6,0))))),0),0)+IF(AND(O1107="FIRE TEX 5120",E1107="CJ"),VLOOKUP(_xlfn.MINIFS('FIRE TEX 5120'!$O$5:$O$40,'FIRE TEX 5120'!$O$5:$O$40,"&gt;="&amp;M1107),'FIRE TEX 5120'!$O$5:$T$40,IF(L1107="F-15",2,IF(L1107="F-30",3,IF(L1107="F-60",4,IF(L1107="F-90",5,IF(L1107="F-120",6,0))))),0),0)</f>
        <v>0</v>
      </c>
      <c r="Q1107" s="46">
        <f t="shared" si="104"/>
        <v>0</v>
      </c>
      <c r="R1107" s="46">
        <f t="shared" si="105"/>
        <v>0</v>
      </c>
      <c r="S1107" s="46" t="e">
        <f t="shared" si="106"/>
        <v>#VALUE!</v>
      </c>
      <c r="T1107" s="677">
        <f t="shared" si="107"/>
        <v>0</v>
      </c>
      <c r="U1107" s="80">
        <f>(IF(O1107="Stofire",(S1107*#REF!),0))+(IF(O1107="Fire Control",(S1107*$U$2),0))+(IF(O1107="Fire Tex",(S1107*$U$3),0))+(IF(O1107="WB7",(S1107*#REF!),0)+(IF(O1107="FX 2003",(S1107*$U$5),0)))</f>
        <v>0</v>
      </c>
      <c r="V1107" s="651">
        <f t="shared" si="108"/>
        <v>0</v>
      </c>
    </row>
    <row r="1108" spans="4:22" x14ac:dyDescent="0.25">
      <c r="D1108" s="118">
        <f>+CUBICACION!D1107</f>
        <v>0</v>
      </c>
      <c r="E1108" s="118">
        <f>+CUBICACION!F1107</f>
        <v>0</v>
      </c>
      <c r="F1108" s="118">
        <f>+CUBICACION!E1107</f>
        <v>0</v>
      </c>
      <c r="G1108" s="118">
        <v>12</v>
      </c>
      <c r="H1108" s="118">
        <v>2</v>
      </c>
      <c r="I1108" s="820">
        <v>26385</v>
      </c>
      <c r="J1108" s="118">
        <f>+CUBICACION!J1107</f>
        <v>0</v>
      </c>
      <c r="K1108" s="118">
        <v>3887</v>
      </c>
      <c r="L1108" s="118">
        <f>+CUBICACION!L1107</f>
        <v>0</v>
      </c>
      <c r="M1108" s="64">
        <f>+CUBICACION!M1107</f>
        <v>0</v>
      </c>
      <c r="N1108" s="824" t="str">
        <f>+CUBICACION!N1107</f>
        <v/>
      </c>
      <c r="O1108" s="675">
        <f>+CUBICACION!O1107</f>
        <v>0</v>
      </c>
      <c r="P1108" s="15">
        <f>IF(O1108="Fire Control",VLOOKUP(_xlfn.MINIFS('FIRE CONTROL'!$C$4:$C$37,'FIRE CONTROL'!$C$4:$C$37,"&gt;="&amp;M1108),'FIRE CONTROL'!$C$4:$G$37,IF(L1108="F-15",2,IF(L1108="F-30",3,IF(L1108="F-60",4,IF(L1108="F-90",5,0)))),0),0)+IF(AND(O1108="FIRE TEX 5062",OR(E1108="IN",E1108="C",E1108="Z",E1108="L"),J1108=3),VLOOKUP(_xlfn.MINIFS('FIRE TEX 5062'!$B$4:$B$34,'FIRE TEX 5062'!$B$4:$B$34,"&gt;="&amp;M1108),'FIRE TEX 5062'!$B$4:$F$34,IF(L1108="F-15",2,IF(L1108="F-30",3,IF(L1108="F-60",4,IF(L1108="F-90",5,0)))),0),0)+IF(AND(O1108="FIRE TEX 5062",OR(E1108="IN",E1108="C",E1108="Z",E1108="L"),J1108=4),VLOOKUP(_xlfn.MINIFS('FIRE TEX 5062'!$G$4:$G$34,'FIRE TEX 5062'!$G$4:$G$34,"&gt;="&amp;M1108),'FIRE TEX 5062'!$G$4:$K$34,IF(L1108="F-15",2,IF(L1108="F-30",3,IF(L1108="F-60",4,IF(L1108="F-90",5,0)))),0),0)+IF(AND(O1108="FIRE TEX 5062",E1108="CJ",J1108=3),VLOOKUP(_xlfn.MINIFS('FIRE TEX 5062'!$L$4:$L$34,'FIRE TEX 5062'!$L$4:$L$34,"&gt;="&amp;M1108),'FIRE TEX 5062'!$L$4:$P$34,IF(L1108="F-15",2,IF(L1108="F-30",3,IF(L1108="F-60",4,IF(L1108="F-90",5,0)))),0),0)+IF(AND(O1108="FIRE TEX 5062",E1108="CJ",J1108=4),VLOOKUP(_xlfn.MINIFS('FIRE TEX 5062'!$Q$3:$Q$34,'FIRE TEX 5062'!$Q$3:$Q$34,"&gt;="&amp;M1108),'FIRE TEX 5062'!$Q$3:$U$34,IF(L1108="F-15",2,IF(L1108="F-30",3,IF(L1108="F-60",4,IF(L1108="F-90",5,0)))),0),0)+IF(AND(O1108="FIRE TEX 5090",OR(E1108="IN",E1108="C",E1108="Z",E1108="L"),J1108=3),VLOOKUP(_xlfn.MINIFS('FIRE TEX 5090'!$B$5:$B$43,'FIRE TEX 5090'!$B$5:$B$43,"&gt;="&amp;M1108),'FIRE TEX 5090'!$B$5:$H$43,IF(L1108="F-15",2,IF(L1108="F-30",3,IF(L1108="F-60",4,IF(L1108="F-90",5,IF(L1108="F-120",6,IF(L1108="F-150",7,0)))))),0),0)+IF(AND(O1108="FIRE TEX 5090",OR(E1108="IN",E1108="C",E1108="Z",E1108="L"),J1108=4),VLOOKUP(_xlfn.MINIFS('FIRE TEX 5090'!$J$5:$J$43,'FIRE TEX 5090'!$J$5:$J$43,"&gt;="&amp;M1108),'FIRE TEX 5090'!$J$5:$P$43,IF(L1108="F-15",2,IF(L1108="F-30",3,IF(L1108="F-60",4,IF(L1108="F-90",5,IF(L1108="F-120",6,IF(L1108="F-150",7,0)))))),0),0)+IF(AND(O1108="FIRE TEX 5090",E1108="CJ",J1108=3),VLOOKUP(_xlfn.MINIFS('FIRE TEX 5090'!$R$5:$R$30,'FIRE TEX 5090'!$R$5:$R$30,"&gt;="&amp;M1108),'FIRE TEX 5090'!$R$5:$W$30,IF(L1108="F-15",2,IF(L1108="F-30",3,IF(L1108="F-60",4,IF(L1108="F-90",5,IF(L1108="F-120",6,IF(L1108="F-150",7,0)))))),0),0)+IF(AND(O1108="FIRE TEX 5090",E1108="CJ",J1108=4),VLOOKUP(_xlfn.MINIFS('FIRE TEX 5090'!$Y$5:$Y$39,'FIRE TEX 5090'!$Y$5:$Y$39,"&gt;="&amp;M1108),'FIRE TEX 5090'!$Y$5:$AD$39,IF(L1108="F-15",2,IF(L1108="F-30",3,IF(L1108="F-60",4,IF(L1108="F-90",5,IF(L1108="F-120",6,IF(L1108="F-150",7,0)))))),0),0)+IF(AND(O1108="FIRE TEX 5120",OR(E1108="IN",E1108="C",E1108="Z",E1108="L"),J1108=3),VLOOKUP(_xlfn.MINIFS('FIRE TEX 5120'!$B$5:$B$40,'FIRE TEX 5120'!$B$5:$B$40,"&gt;="&amp;M1108),'FIRE TEX 5120'!$B$5:$G$40,IF(L1108="F-15",2,IF(L1108="F-30",3,IF(L1108="F-60",4,IF(L1108="F-90",5,IF(L1108="F-120",6,0))))),0),0)+IF(AND(O1108="FIRE TEX 5120",OR(E1108="IN",E1108="C",E1108="Z",E1108="L"),J1108=4),VLOOKUP(_xlfn.MINIFS('FIRE TEX 5120'!$H$4:$H$40,'FIRE TEX 5120'!$H$4:$H$40,"&gt;="&amp;M1108),'FIRE TEX 5120'!$H$4:$M$40,IF(L1108="F-15",2,IF(L1108="F-30",3,IF(L1108="F-60",4,IF(L1108="F-90",5,IF(L1108="F-120",6,0))))),0),0)+IF(AND(O1108="FIRE TEX 5120",E1108="CJ"),VLOOKUP(_xlfn.MINIFS('FIRE TEX 5120'!$O$5:$O$40,'FIRE TEX 5120'!$O$5:$O$40,"&gt;="&amp;M1108),'FIRE TEX 5120'!$O$5:$T$40,IF(L1108="F-15",2,IF(L1108="F-30",3,IF(L1108="F-60",4,IF(L1108="F-90",5,IF(L1108="F-120",6,0))))),0),0)</f>
        <v>0</v>
      </c>
      <c r="Q1108" s="46">
        <f t="shared" si="104"/>
        <v>0</v>
      </c>
      <c r="R1108" s="46">
        <f t="shared" si="105"/>
        <v>0</v>
      </c>
      <c r="S1108" s="46" t="e">
        <f t="shared" si="106"/>
        <v>#VALUE!</v>
      </c>
      <c r="T1108" s="677">
        <f t="shared" si="107"/>
        <v>0</v>
      </c>
      <c r="U1108" s="80">
        <f>(IF(O1108="Stofire",(S1108*#REF!),0))+(IF(O1108="Fire Control",(S1108*$U$2),0))+(IF(O1108="Fire Tex",(S1108*$U$3),0))+(IF(O1108="WB7",(S1108*#REF!),0)+(IF(O1108="FX 2003",(S1108*$U$5),0)))</f>
        <v>0</v>
      </c>
      <c r="V1108" s="651">
        <f t="shared" si="108"/>
        <v>0</v>
      </c>
    </row>
    <row r="1109" spans="4:22" x14ac:dyDescent="0.25">
      <c r="D1109" s="118">
        <f>+CUBICACION!D1108</f>
        <v>0</v>
      </c>
      <c r="E1109" s="118">
        <f>+CUBICACION!F1108</f>
        <v>0</v>
      </c>
      <c r="F1109" s="118">
        <f>+CUBICACION!E1108</f>
        <v>0</v>
      </c>
      <c r="G1109" s="118">
        <v>12</v>
      </c>
      <c r="H1109" s="118">
        <v>2</v>
      </c>
      <c r="I1109" s="820">
        <v>26385</v>
      </c>
      <c r="J1109" s="118">
        <f>+CUBICACION!J1108</f>
        <v>0</v>
      </c>
      <c r="K1109" s="118">
        <v>3888</v>
      </c>
      <c r="L1109" s="118">
        <f>+CUBICACION!L1108</f>
        <v>0</v>
      </c>
      <c r="M1109" s="64">
        <f>+CUBICACION!M1108</f>
        <v>0</v>
      </c>
      <c r="N1109" s="824" t="str">
        <f>+CUBICACION!N1108</f>
        <v/>
      </c>
      <c r="O1109" s="675">
        <f>+CUBICACION!O1108</f>
        <v>0</v>
      </c>
      <c r="P1109" s="15">
        <f>IF(O1109="Fire Control",VLOOKUP(_xlfn.MINIFS('FIRE CONTROL'!$C$4:$C$37,'FIRE CONTROL'!$C$4:$C$37,"&gt;="&amp;M1109),'FIRE CONTROL'!$C$4:$G$37,IF(L1109="F-15",2,IF(L1109="F-30",3,IF(L1109="F-60",4,IF(L1109="F-90",5,0)))),0),0)+IF(AND(O1109="FIRE TEX 5062",OR(E1109="IN",E1109="C",E1109="Z",E1109="L"),J1109=3),VLOOKUP(_xlfn.MINIFS('FIRE TEX 5062'!$B$4:$B$34,'FIRE TEX 5062'!$B$4:$B$34,"&gt;="&amp;M1109),'FIRE TEX 5062'!$B$4:$F$34,IF(L1109="F-15",2,IF(L1109="F-30",3,IF(L1109="F-60",4,IF(L1109="F-90",5,0)))),0),0)+IF(AND(O1109="FIRE TEX 5062",OR(E1109="IN",E1109="C",E1109="Z",E1109="L"),J1109=4),VLOOKUP(_xlfn.MINIFS('FIRE TEX 5062'!$G$4:$G$34,'FIRE TEX 5062'!$G$4:$G$34,"&gt;="&amp;M1109),'FIRE TEX 5062'!$G$4:$K$34,IF(L1109="F-15",2,IF(L1109="F-30",3,IF(L1109="F-60",4,IF(L1109="F-90",5,0)))),0),0)+IF(AND(O1109="FIRE TEX 5062",E1109="CJ",J1109=3),VLOOKUP(_xlfn.MINIFS('FIRE TEX 5062'!$L$4:$L$34,'FIRE TEX 5062'!$L$4:$L$34,"&gt;="&amp;M1109),'FIRE TEX 5062'!$L$4:$P$34,IF(L1109="F-15",2,IF(L1109="F-30",3,IF(L1109="F-60",4,IF(L1109="F-90",5,0)))),0),0)+IF(AND(O1109="FIRE TEX 5062",E1109="CJ",J1109=4),VLOOKUP(_xlfn.MINIFS('FIRE TEX 5062'!$Q$3:$Q$34,'FIRE TEX 5062'!$Q$3:$Q$34,"&gt;="&amp;M1109),'FIRE TEX 5062'!$Q$3:$U$34,IF(L1109="F-15",2,IF(L1109="F-30",3,IF(L1109="F-60",4,IF(L1109="F-90",5,0)))),0),0)+IF(AND(O1109="FIRE TEX 5090",OR(E1109="IN",E1109="C",E1109="Z",E1109="L"),J1109=3),VLOOKUP(_xlfn.MINIFS('FIRE TEX 5090'!$B$5:$B$43,'FIRE TEX 5090'!$B$5:$B$43,"&gt;="&amp;M1109),'FIRE TEX 5090'!$B$5:$H$43,IF(L1109="F-15",2,IF(L1109="F-30",3,IF(L1109="F-60",4,IF(L1109="F-90",5,IF(L1109="F-120",6,IF(L1109="F-150",7,0)))))),0),0)+IF(AND(O1109="FIRE TEX 5090",OR(E1109="IN",E1109="C",E1109="Z",E1109="L"),J1109=4),VLOOKUP(_xlfn.MINIFS('FIRE TEX 5090'!$J$5:$J$43,'FIRE TEX 5090'!$J$5:$J$43,"&gt;="&amp;M1109),'FIRE TEX 5090'!$J$5:$P$43,IF(L1109="F-15",2,IF(L1109="F-30",3,IF(L1109="F-60",4,IF(L1109="F-90",5,IF(L1109="F-120",6,IF(L1109="F-150",7,0)))))),0),0)+IF(AND(O1109="FIRE TEX 5090",E1109="CJ",J1109=3),VLOOKUP(_xlfn.MINIFS('FIRE TEX 5090'!$R$5:$R$30,'FIRE TEX 5090'!$R$5:$R$30,"&gt;="&amp;M1109),'FIRE TEX 5090'!$R$5:$W$30,IF(L1109="F-15",2,IF(L1109="F-30",3,IF(L1109="F-60",4,IF(L1109="F-90",5,IF(L1109="F-120",6,IF(L1109="F-150",7,0)))))),0),0)+IF(AND(O1109="FIRE TEX 5090",E1109="CJ",J1109=4),VLOOKUP(_xlfn.MINIFS('FIRE TEX 5090'!$Y$5:$Y$39,'FIRE TEX 5090'!$Y$5:$Y$39,"&gt;="&amp;M1109),'FIRE TEX 5090'!$Y$5:$AD$39,IF(L1109="F-15",2,IF(L1109="F-30",3,IF(L1109="F-60",4,IF(L1109="F-90",5,IF(L1109="F-120",6,IF(L1109="F-150",7,0)))))),0),0)+IF(AND(O1109="FIRE TEX 5120",OR(E1109="IN",E1109="C",E1109="Z",E1109="L"),J1109=3),VLOOKUP(_xlfn.MINIFS('FIRE TEX 5120'!$B$5:$B$40,'FIRE TEX 5120'!$B$5:$B$40,"&gt;="&amp;M1109),'FIRE TEX 5120'!$B$5:$G$40,IF(L1109="F-15",2,IF(L1109="F-30",3,IF(L1109="F-60",4,IF(L1109="F-90",5,IF(L1109="F-120",6,0))))),0),0)+IF(AND(O1109="FIRE TEX 5120",OR(E1109="IN",E1109="C",E1109="Z",E1109="L"),J1109=4),VLOOKUP(_xlfn.MINIFS('FIRE TEX 5120'!$H$4:$H$40,'FIRE TEX 5120'!$H$4:$H$40,"&gt;="&amp;M1109),'FIRE TEX 5120'!$H$4:$M$40,IF(L1109="F-15",2,IF(L1109="F-30",3,IF(L1109="F-60",4,IF(L1109="F-90",5,IF(L1109="F-120",6,0))))),0),0)+IF(AND(O1109="FIRE TEX 5120",E1109="CJ"),VLOOKUP(_xlfn.MINIFS('FIRE TEX 5120'!$O$5:$O$40,'FIRE TEX 5120'!$O$5:$O$40,"&gt;="&amp;M1109),'FIRE TEX 5120'!$O$5:$T$40,IF(L1109="F-15",2,IF(L1109="F-30",3,IF(L1109="F-60",4,IF(L1109="F-90",5,IF(L1109="F-120",6,0))))),0),0)</f>
        <v>0</v>
      </c>
      <c r="Q1109" s="46">
        <f t="shared" si="104"/>
        <v>0</v>
      </c>
      <c r="R1109" s="46">
        <f t="shared" si="105"/>
        <v>0</v>
      </c>
      <c r="S1109" s="46" t="e">
        <f t="shared" si="106"/>
        <v>#VALUE!</v>
      </c>
      <c r="T1109" s="677">
        <f t="shared" si="107"/>
        <v>0</v>
      </c>
      <c r="U1109" s="80">
        <f>(IF(O1109="Stofire",(S1109*#REF!),0))+(IF(O1109="Fire Control",(S1109*$U$2),0))+(IF(O1109="Fire Tex",(S1109*$U$3),0))+(IF(O1109="WB7",(S1109*#REF!),0)+(IF(O1109="FX 2003",(S1109*$U$5),0)))</f>
        <v>0</v>
      </c>
      <c r="V1109" s="651">
        <f t="shared" si="108"/>
        <v>0</v>
      </c>
    </row>
    <row r="1110" spans="4:22" x14ac:dyDescent="0.25">
      <c r="D1110" s="118">
        <f>+CUBICACION!D1109</f>
        <v>0</v>
      </c>
      <c r="E1110" s="118">
        <f>+CUBICACION!F1109</f>
        <v>0</v>
      </c>
      <c r="F1110" s="118">
        <f>+CUBICACION!E1109</f>
        <v>0</v>
      </c>
      <c r="G1110" s="118">
        <v>12</v>
      </c>
      <c r="H1110" s="118">
        <v>2</v>
      </c>
      <c r="I1110" s="820">
        <v>26385</v>
      </c>
      <c r="J1110" s="118">
        <f>+CUBICACION!J1109</f>
        <v>0</v>
      </c>
      <c r="K1110" s="118">
        <v>3889</v>
      </c>
      <c r="L1110" s="118">
        <f>+CUBICACION!L1109</f>
        <v>0</v>
      </c>
      <c r="M1110" s="64">
        <f>+CUBICACION!M1109</f>
        <v>0</v>
      </c>
      <c r="N1110" s="824" t="str">
        <f>+CUBICACION!N1109</f>
        <v/>
      </c>
      <c r="O1110" s="675">
        <f>+CUBICACION!O1109</f>
        <v>0</v>
      </c>
      <c r="P1110" s="15">
        <f>IF(O1110="Fire Control",VLOOKUP(_xlfn.MINIFS('FIRE CONTROL'!$C$4:$C$37,'FIRE CONTROL'!$C$4:$C$37,"&gt;="&amp;M1110),'FIRE CONTROL'!$C$4:$G$37,IF(L1110="F-15",2,IF(L1110="F-30",3,IF(L1110="F-60",4,IF(L1110="F-90",5,0)))),0),0)+IF(AND(O1110="FIRE TEX 5062",OR(E1110="IN",E1110="C",E1110="Z",E1110="L"),J1110=3),VLOOKUP(_xlfn.MINIFS('FIRE TEX 5062'!$B$4:$B$34,'FIRE TEX 5062'!$B$4:$B$34,"&gt;="&amp;M1110),'FIRE TEX 5062'!$B$4:$F$34,IF(L1110="F-15",2,IF(L1110="F-30",3,IF(L1110="F-60",4,IF(L1110="F-90",5,0)))),0),0)+IF(AND(O1110="FIRE TEX 5062",OR(E1110="IN",E1110="C",E1110="Z",E1110="L"),J1110=4),VLOOKUP(_xlfn.MINIFS('FIRE TEX 5062'!$G$4:$G$34,'FIRE TEX 5062'!$G$4:$G$34,"&gt;="&amp;M1110),'FIRE TEX 5062'!$G$4:$K$34,IF(L1110="F-15",2,IF(L1110="F-30",3,IF(L1110="F-60",4,IF(L1110="F-90",5,0)))),0),0)+IF(AND(O1110="FIRE TEX 5062",E1110="CJ",J1110=3),VLOOKUP(_xlfn.MINIFS('FIRE TEX 5062'!$L$4:$L$34,'FIRE TEX 5062'!$L$4:$L$34,"&gt;="&amp;M1110),'FIRE TEX 5062'!$L$4:$P$34,IF(L1110="F-15",2,IF(L1110="F-30",3,IF(L1110="F-60",4,IF(L1110="F-90",5,0)))),0),0)+IF(AND(O1110="FIRE TEX 5062",E1110="CJ",J1110=4),VLOOKUP(_xlfn.MINIFS('FIRE TEX 5062'!$Q$3:$Q$34,'FIRE TEX 5062'!$Q$3:$Q$34,"&gt;="&amp;M1110),'FIRE TEX 5062'!$Q$3:$U$34,IF(L1110="F-15",2,IF(L1110="F-30",3,IF(L1110="F-60",4,IF(L1110="F-90",5,0)))),0),0)+IF(AND(O1110="FIRE TEX 5090",OR(E1110="IN",E1110="C",E1110="Z",E1110="L"),J1110=3),VLOOKUP(_xlfn.MINIFS('FIRE TEX 5090'!$B$5:$B$43,'FIRE TEX 5090'!$B$5:$B$43,"&gt;="&amp;M1110),'FIRE TEX 5090'!$B$5:$H$43,IF(L1110="F-15",2,IF(L1110="F-30",3,IF(L1110="F-60",4,IF(L1110="F-90",5,IF(L1110="F-120",6,IF(L1110="F-150",7,0)))))),0),0)+IF(AND(O1110="FIRE TEX 5090",OR(E1110="IN",E1110="C",E1110="Z",E1110="L"),J1110=4),VLOOKUP(_xlfn.MINIFS('FIRE TEX 5090'!$J$5:$J$43,'FIRE TEX 5090'!$J$5:$J$43,"&gt;="&amp;M1110),'FIRE TEX 5090'!$J$5:$P$43,IF(L1110="F-15",2,IF(L1110="F-30",3,IF(L1110="F-60",4,IF(L1110="F-90",5,IF(L1110="F-120",6,IF(L1110="F-150",7,0)))))),0),0)+IF(AND(O1110="FIRE TEX 5090",E1110="CJ",J1110=3),VLOOKUP(_xlfn.MINIFS('FIRE TEX 5090'!$R$5:$R$30,'FIRE TEX 5090'!$R$5:$R$30,"&gt;="&amp;M1110),'FIRE TEX 5090'!$R$5:$W$30,IF(L1110="F-15",2,IF(L1110="F-30",3,IF(L1110="F-60",4,IF(L1110="F-90",5,IF(L1110="F-120",6,IF(L1110="F-150",7,0)))))),0),0)+IF(AND(O1110="FIRE TEX 5090",E1110="CJ",J1110=4),VLOOKUP(_xlfn.MINIFS('FIRE TEX 5090'!$Y$5:$Y$39,'FIRE TEX 5090'!$Y$5:$Y$39,"&gt;="&amp;M1110),'FIRE TEX 5090'!$Y$5:$AD$39,IF(L1110="F-15",2,IF(L1110="F-30",3,IF(L1110="F-60",4,IF(L1110="F-90",5,IF(L1110="F-120",6,IF(L1110="F-150",7,0)))))),0),0)+IF(AND(O1110="FIRE TEX 5120",OR(E1110="IN",E1110="C",E1110="Z",E1110="L"),J1110=3),VLOOKUP(_xlfn.MINIFS('FIRE TEX 5120'!$B$5:$B$40,'FIRE TEX 5120'!$B$5:$B$40,"&gt;="&amp;M1110),'FIRE TEX 5120'!$B$5:$G$40,IF(L1110="F-15",2,IF(L1110="F-30",3,IF(L1110="F-60",4,IF(L1110="F-90",5,IF(L1110="F-120",6,0))))),0),0)+IF(AND(O1110="FIRE TEX 5120",OR(E1110="IN",E1110="C",E1110="Z",E1110="L"),J1110=4),VLOOKUP(_xlfn.MINIFS('FIRE TEX 5120'!$H$4:$H$40,'FIRE TEX 5120'!$H$4:$H$40,"&gt;="&amp;M1110),'FIRE TEX 5120'!$H$4:$M$40,IF(L1110="F-15",2,IF(L1110="F-30",3,IF(L1110="F-60",4,IF(L1110="F-90",5,IF(L1110="F-120",6,0))))),0),0)+IF(AND(O1110="FIRE TEX 5120",E1110="CJ"),VLOOKUP(_xlfn.MINIFS('FIRE TEX 5120'!$O$5:$O$40,'FIRE TEX 5120'!$O$5:$O$40,"&gt;="&amp;M1110),'FIRE TEX 5120'!$O$5:$T$40,IF(L1110="F-15",2,IF(L1110="F-30",3,IF(L1110="F-60",4,IF(L1110="F-90",5,IF(L1110="F-120",6,0))))),0),0)</f>
        <v>0</v>
      </c>
      <c r="Q1110" s="46">
        <f t="shared" si="104"/>
        <v>0</v>
      </c>
      <c r="R1110" s="46">
        <f t="shared" si="105"/>
        <v>0</v>
      </c>
      <c r="S1110" s="46" t="e">
        <f t="shared" si="106"/>
        <v>#VALUE!</v>
      </c>
      <c r="T1110" s="677">
        <f t="shared" si="107"/>
        <v>0</v>
      </c>
      <c r="U1110" s="80">
        <f>(IF(O1110="Stofire",(S1110*#REF!),0))+(IF(O1110="Fire Control",(S1110*$U$2),0))+(IF(O1110="Fire Tex",(S1110*$U$3),0))+(IF(O1110="WB7",(S1110*#REF!),0)+(IF(O1110="FX 2003",(S1110*$U$5),0)))</f>
        <v>0</v>
      </c>
      <c r="V1110" s="651">
        <f t="shared" si="108"/>
        <v>0</v>
      </c>
    </row>
    <row r="1111" spans="4:22" x14ac:dyDescent="0.25">
      <c r="D1111" s="118">
        <f>+CUBICACION!D1110</f>
        <v>0</v>
      </c>
      <c r="E1111" s="118">
        <f>+CUBICACION!F1110</f>
        <v>0</v>
      </c>
      <c r="F1111" s="118">
        <f>+CUBICACION!E1110</f>
        <v>0</v>
      </c>
      <c r="G1111" s="118">
        <v>12</v>
      </c>
      <c r="H1111" s="118">
        <v>2</v>
      </c>
      <c r="I1111" s="820">
        <v>26385</v>
      </c>
      <c r="J1111" s="118">
        <f>+CUBICACION!J1110</f>
        <v>0</v>
      </c>
      <c r="K1111" s="118">
        <v>3890</v>
      </c>
      <c r="L1111" s="118">
        <f>+CUBICACION!L1110</f>
        <v>0</v>
      </c>
      <c r="M1111" s="64">
        <f>+CUBICACION!M1110</f>
        <v>0</v>
      </c>
      <c r="N1111" s="824" t="str">
        <f>+CUBICACION!N1110</f>
        <v/>
      </c>
      <c r="O1111" s="675">
        <f>+CUBICACION!O1110</f>
        <v>0</v>
      </c>
      <c r="P1111" s="15">
        <f>IF(O1111="Fire Control",VLOOKUP(_xlfn.MINIFS('FIRE CONTROL'!$C$4:$C$37,'FIRE CONTROL'!$C$4:$C$37,"&gt;="&amp;M1111),'FIRE CONTROL'!$C$4:$G$37,IF(L1111="F-15",2,IF(L1111="F-30",3,IF(L1111="F-60",4,IF(L1111="F-90",5,0)))),0),0)+IF(AND(O1111="FIRE TEX 5062",OR(E1111="IN",E1111="C",E1111="Z",E1111="L"),J1111=3),VLOOKUP(_xlfn.MINIFS('FIRE TEX 5062'!$B$4:$B$34,'FIRE TEX 5062'!$B$4:$B$34,"&gt;="&amp;M1111),'FIRE TEX 5062'!$B$4:$F$34,IF(L1111="F-15",2,IF(L1111="F-30",3,IF(L1111="F-60",4,IF(L1111="F-90",5,0)))),0),0)+IF(AND(O1111="FIRE TEX 5062",OR(E1111="IN",E1111="C",E1111="Z",E1111="L"),J1111=4),VLOOKUP(_xlfn.MINIFS('FIRE TEX 5062'!$G$4:$G$34,'FIRE TEX 5062'!$G$4:$G$34,"&gt;="&amp;M1111),'FIRE TEX 5062'!$G$4:$K$34,IF(L1111="F-15",2,IF(L1111="F-30",3,IF(L1111="F-60",4,IF(L1111="F-90",5,0)))),0),0)+IF(AND(O1111="FIRE TEX 5062",E1111="CJ",J1111=3),VLOOKUP(_xlfn.MINIFS('FIRE TEX 5062'!$L$4:$L$34,'FIRE TEX 5062'!$L$4:$L$34,"&gt;="&amp;M1111),'FIRE TEX 5062'!$L$4:$P$34,IF(L1111="F-15",2,IF(L1111="F-30",3,IF(L1111="F-60",4,IF(L1111="F-90",5,0)))),0),0)+IF(AND(O1111="FIRE TEX 5062",E1111="CJ",J1111=4),VLOOKUP(_xlfn.MINIFS('FIRE TEX 5062'!$Q$3:$Q$34,'FIRE TEX 5062'!$Q$3:$Q$34,"&gt;="&amp;M1111),'FIRE TEX 5062'!$Q$3:$U$34,IF(L1111="F-15",2,IF(L1111="F-30",3,IF(L1111="F-60",4,IF(L1111="F-90",5,0)))),0),0)+IF(AND(O1111="FIRE TEX 5090",OR(E1111="IN",E1111="C",E1111="Z",E1111="L"),J1111=3),VLOOKUP(_xlfn.MINIFS('FIRE TEX 5090'!$B$5:$B$43,'FIRE TEX 5090'!$B$5:$B$43,"&gt;="&amp;M1111),'FIRE TEX 5090'!$B$5:$H$43,IF(L1111="F-15",2,IF(L1111="F-30",3,IF(L1111="F-60",4,IF(L1111="F-90",5,IF(L1111="F-120",6,IF(L1111="F-150",7,0)))))),0),0)+IF(AND(O1111="FIRE TEX 5090",OR(E1111="IN",E1111="C",E1111="Z",E1111="L"),J1111=4),VLOOKUP(_xlfn.MINIFS('FIRE TEX 5090'!$J$5:$J$43,'FIRE TEX 5090'!$J$5:$J$43,"&gt;="&amp;M1111),'FIRE TEX 5090'!$J$5:$P$43,IF(L1111="F-15",2,IF(L1111="F-30",3,IF(L1111="F-60",4,IF(L1111="F-90",5,IF(L1111="F-120",6,IF(L1111="F-150",7,0)))))),0),0)+IF(AND(O1111="FIRE TEX 5090",E1111="CJ",J1111=3),VLOOKUP(_xlfn.MINIFS('FIRE TEX 5090'!$R$5:$R$30,'FIRE TEX 5090'!$R$5:$R$30,"&gt;="&amp;M1111),'FIRE TEX 5090'!$R$5:$W$30,IF(L1111="F-15",2,IF(L1111="F-30",3,IF(L1111="F-60",4,IF(L1111="F-90",5,IF(L1111="F-120",6,IF(L1111="F-150",7,0)))))),0),0)+IF(AND(O1111="FIRE TEX 5090",E1111="CJ",J1111=4),VLOOKUP(_xlfn.MINIFS('FIRE TEX 5090'!$Y$5:$Y$39,'FIRE TEX 5090'!$Y$5:$Y$39,"&gt;="&amp;M1111),'FIRE TEX 5090'!$Y$5:$AD$39,IF(L1111="F-15",2,IF(L1111="F-30",3,IF(L1111="F-60",4,IF(L1111="F-90",5,IF(L1111="F-120",6,IF(L1111="F-150",7,0)))))),0),0)+IF(AND(O1111="FIRE TEX 5120",OR(E1111="IN",E1111="C",E1111="Z",E1111="L"),J1111=3),VLOOKUP(_xlfn.MINIFS('FIRE TEX 5120'!$B$5:$B$40,'FIRE TEX 5120'!$B$5:$B$40,"&gt;="&amp;M1111),'FIRE TEX 5120'!$B$5:$G$40,IF(L1111="F-15",2,IF(L1111="F-30",3,IF(L1111="F-60",4,IF(L1111="F-90",5,IF(L1111="F-120",6,0))))),0),0)+IF(AND(O1111="FIRE TEX 5120",OR(E1111="IN",E1111="C",E1111="Z",E1111="L"),J1111=4),VLOOKUP(_xlfn.MINIFS('FIRE TEX 5120'!$H$4:$H$40,'FIRE TEX 5120'!$H$4:$H$40,"&gt;="&amp;M1111),'FIRE TEX 5120'!$H$4:$M$40,IF(L1111="F-15",2,IF(L1111="F-30",3,IF(L1111="F-60",4,IF(L1111="F-90",5,IF(L1111="F-120",6,0))))),0),0)+IF(AND(O1111="FIRE TEX 5120",E1111="CJ"),VLOOKUP(_xlfn.MINIFS('FIRE TEX 5120'!$O$5:$O$40,'FIRE TEX 5120'!$O$5:$O$40,"&gt;="&amp;M1111),'FIRE TEX 5120'!$O$5:$T$40,IF(L1111="F-15",2,IF(L1111="F-30",3,IF(L1111="F-60",4,IF(L1111="F-90",5,IF(L1111="F-120",6,0))))),0),0)</f>
        <v>0</v>
      </c>
      <c r="Q1111" s="46">
        <f t="shared" si="104"/>
        <v>0</v>
      </c>
      <c r="R1111" s="46">
        <f t="shared" si="105"/>
        <v>0</v>
      </c>
      <c r="S1111" s="46" t="e">
        <f t="shared" si="106"/>
        <v>#VALUE!</v>
      </c>
      <c r="T1111" s="677">
        <f t="shared" si="107"/>
        <v>0</v>
      </c>
      <c r="U1111" s="80">
        <f>(IF(O1111="Stofire",(S1111*#REF!),0))+(IF(O1111="Fire Control",(S1111*$U$2),0))+(IF(O1111="Fire Tex",(S1111*$U$3),0))+(IF(O1111="WB7",(S1111*#REF!),0)+(IF(O1111="FX 2003",(S1111*$U$5),0)))</f>
        <v>0</v>
      </c>
      <c r="V1111" s="651">
        <f t="shared" si="108"/>
        <v>0</v>
      </c>
    </row>
    <row r="1112" spans="4:22" x14ac:dyDescent="0.25">
      <c r="D1112" s="118">
        <f>+CUBICACION!D1111</f>
        <v>0</v>
      </c>
      <c r="E1112" s="118">
        <f>+CUBICACION!F1111</f>
        <v>0</v>
      </c>
      <c r="F1112" s="118">
        <f>+CUBICACION!E1111</f>
        <v>0</v>
      </c>
      <c r="G1112" s="118">
        <v>12</v>
      </c>
      <c r="H1112" s="118">
        <v>2</v>
      </c>
      <c r="I1112" s="820">
        <v>26385</v>
      </c>
      <c r="J1112" s="118">
        <f>+CUBICACION!J1111</f>
        <v>0</v>
      </c>
      <c r="K1112" s="118">
        <v>3891</v>
      </c>
      <c r="L1112" s="118">
        <f>+CUBICACION!L1111</f>
        <v>0</v>
      </c>
      <c r="M1112" s="64">
        <f>+CUBICACION!M1111</f>
        <v>0</v>
      </c>
      <c r="N1112" s="824" t="str">
        <f>+CUBICACION!N1111</f>
        <v/>
      </c>
      <c r="O1112" s="675">
        <f>+CUBICACION!O1111</f>
        <v>0</v>
      </c>
      <c r="P1112" s="15">
        <f>IF(O1112="Fire Control",VLOOKUP(_xlfn.MINIFS('FIRE CONTROL'!$C$4:$C$37,'FIRE CONTROL'!$C$4:$C$37,"&gt;="&amp;M1112),'FIRE CONTROL'!$C$4:$G$37,IF(L1112="F-15",2,IF(L1112="F-30",3,IF(L1112="F-60",4,IF(L1112="F-90",5,0)))),0),0)+IF(AND(O1112="FIRE TEX 5062",OR(E1112="IN",E1112="C",E1112="Z",E1112="L"),J1112=3),VLOOKUP(_xlfn.MINIFS('FIRE TEX 5062'!$B$4:$B$34,'FIRE TEX 5062'!$B$4:$B$34,"&gt;="&amp;M1112),'FIRE TEX 5062'!$B$4:$F$34,IF(L1112="F-15",2,IF(L1112="F-30",3,IF(L1112="F-60",4,IF(L1112="F-90",5,0)))),0),0)+IF(AND(O1112="FIRE TEX 5062",OR(E1112="IN",E1112="C",E1112="Z",E1112="L"),J1112=4),VLOOKUP(_xlfn.MINIFS('FIRE TEX 5062'!$G$4:$G$34,'FIRE TEX 5062'!$G$4:$G$34,"&gt;="&amp;M1112),'FIRE TEX 5062'!$G$4:$K$34,IF(L1112="F-15",2,IF(L1112="F-30",3,IF(L1112="F-60",4,IF(L1112="F-90",5,0)))),0),0)+IF(AND(O1112="FIRE TEX 5062",E1112="CJ",J1112=3),VLOOKUP(_xlfn.MINIFS('FIRE TEX 5062'!$L$4:$L$34,'FIRE TEX 5062'!$L$4:$L$34,"&gt;="&amp;M1112),'FIRE TEX 5062'!$L$4:$P$34,IF(L1112="F-15",2,IF(L1112="F-30",3,IF(L1112="F-60",4,IF(L1112="F-90",5,0)))),0),0)+IF(AND(O1112="FIRE TEX 5062",E1112="CJ",J1112=4),VLOOKUP(_xlfn.MINIFS('FIRE TEX 5062'!$Q$3:$Q$34,'FIRE TEX 5062'!$Q$3:$Q$34,"&gt;="&amp;M1112),'FIRE TEX 5062'!$Q$3:$U$34,IF(L1112="F-15",2,IF(L1112="F-30",3,IF(L1112="F-60",4,IF(L1112="F-90",5,0)))),0),0)+IF(AND(O1112="FIRE TEX 5090",OR(E1112="IN",E1112="C",E1112="Z",E1112="L"),J1112=3),VLOOKUP(_xlfn.MINIFS('FIRE TEX 5090'!$B$5:$B$43,'FIRE TEX 5090'!$B$5:$B$43,"&gt;="&amp;M1112),'FIRE TEX 5090'!$B$5:$H$43,IF(L1112="F-15",2,IF(L1112="F-30",3,IF(L1112="F-60",4,IF(L1112="F-90",5,IF(L1112="F-120",6,IF(L1112="F-150",7,0)))))),0),0)+IF(AND(O1112="FIRE TEX 5090",OR(E1112="IN",E1112="C",E1112="Z",E1112="L"),J1112=4),VLOOKUP(_xlfn.MINIFS('FIRE TEX 5090'!$J$5:$J$43,'FIRE TEX 5090'!$J$5:$J$43,"&gt;="&amp;M1112),'FIRE TEX 5090'!$J$5:$P$43,IF(L1112="F-15",2,IF(L1112="F-30",3,IF(L1112="F-60",4,IF(L1112="F-90",5,IF(L1112="F-120",6,IF(L1112="F-150",7,0)))))),0),0)+IF(AND(O1112="FIRE TEX 5090",E1112="CJ",J1112=3),VLOOKUP(_xlfn.MINIFS('FIRE TEX 5090'!$R$5:$R$30,'FIRE TEX 5090'!$R$5:$R$30,"&gt;="&amp;M1112),'FIRE TEX 5090'!$R$5:$W$30,IF(L1112="F-15",2,IF(L1112="F-30",3,IF(L1112="F-60",4,IF(L1112="F-90",5,IF(L1112="F-120",6,IF(L1112="F-150",7,0)))))),0),0)+IF(AND(O1112="FIRE TEX 5090",E1112="CJ",J1112=4),VLOOKUP(_xlfn.MINIFS('FIRE TEX 5090'!$Y$5:$Y$39,'FIRE TEX 5090'!$Y$5:$Y$39,"&gt;="&amp;M1112),'FIRE TEX 5090'!$Y$5:$AD$39,IF(L1112="F-15",2,IF(L1112="F-30",3,IF(L1112="F-60",4,IF(L1112="F-90",5,IF(L1112="F-120",6,IF(L1112="F-150",7,0)))))),0),0)+IF(AND(O1112="FIRE TEX 5120",OR(E1112="IN",E1112="C",E1112="Z",E1112="L"),J1112=3),VLOOKUP(_xlfn.MINIFS('FIRE TEX 5120'!$B$5:$B$40,'FIRE TEX 5120'!$B$5:$B$40,"&gt;="&amp;M1112),'FIRE TEX 5120'!$B$5:$G$40,IF(L1112="F-15",2,IF(L1112="F-30",3,IF(L1112="F-60",4,IF(L1112="F-90",5,IF(L1112="F-120",6,0))))),0),0)+IF(AND(O1112="FIRE TEX 5120",OR(E1112="IN",E1112="C",E1112="Z",E1112="L"),J1112=4),VLOOKUP(_xlfn.MINIFS('FIRE TEX 5120'!$H$4:$H$40,'FIRE TEX 5120'!$H$4:$H$40,"&gt;="&amp;M1112),'FIRE TEX 5120'!$H$4:$M$40,IF(L1112="F-15",2,IF(L1112="F-30",3,IF(L1112="F-60",4,IF(L1112="F-90",5,IF(L1112="F-120",6,0))))),0),0)+IF(AND(O1112="FIRE TEX 5120",E1112="CJ"),VLOOKUP(_xlfn.MINIFS('FIRE TEX 5120'!$O$5:$O$40,'FIRE TEX 5120'!$O$5:$O$40,"&gt;="&amp;M1112),'FIRE TEX 5120'!$O$5:$T$40,IF(L1112="F-15",2,IF(L1112="F-30",3,IF(L1112="F-60",4,IF(L1112="F-90",5,IF(L1112="F-120",6,0))))),0),0)</f>
        <v>0</v>
      </c>
      <c r="Q1112" s="46">
        <f t="shared" si="104"/>
        <v>0</v>
      </c>
      <c r="R1112" s="46">
        <f t="shared" si="105"/>
        <v>0</v>
      </c>
      <c r="S1112" s="46" t="e">
        <f t="shared" si="106"/>
        <v>#VALUE!</v>
      </c>
      <c r="T1112" s="677">
        <f t="shared" si="107"/>
        <v>0</v>
      </c>
      <c r="U1112" s="80">
        <f>(IF(O1112="Stofire",(S1112*#REF!),0))+(IF(O1112="Fire Control",(S1112*$U$2),0))+(IF(O1112="Fire Tex",(S1112*$U$3),0))+(IF(O1112="WB7",(S1112*#REF!),0)+(IF(O1112="FX 2003",(S1112*$U$5),0)))</f>
        <v>0</v>
      </c>
      <c r="V1112" s="651">
        <f t="shared" si="108"/>
        <v>0</v>
      </c>
    </row>
    <row r="1113" spans="4:22" x14ac:dyDescent="0.25">
      <c r="D1113" s="118">
        <f>+CUBICACION!D1112</f>
        <v>0</v>
      </c>
      <c r="E1113" s="118">
        <f>+CUBICACION!F1112</f>
        <v>0</v>
      </c>
      <c r="F1113" s="118">
        <f>+CUBICACION!E1112</f>
        <v>0</v>
      </c>
      <c r="G1113" s="118">
        <v>12</v>
      </c>
      <c r="H1113" s="118">
        <v>2</v>
      </c>
      <c r="I1113" s="820">
        <v>26385</v>
      </c>
      <c r="J1113" s="118">
        <f>+CUBICACION!J1112</f>
        <v>0</v>
      </c>
      <c r="K1113" s="118">
        <v>3892</v>
      </c>
      <c r="L1113" s="118">
        <f>+CUBICACION!L1112</f>
        <v>0</v>
      </c>
      <c r="M1113" s="64">
        <f>+CUBICACION!M1112</f>
        <v>0</v>
      </c>
      <c r="N1113" s="824" t="str">
        <f>+CUBICACION!N1112</f>
        <v/>
      </c>
      <c r="O1113" s="675">
        <f>+CUBICACION!O1112</f>
        <v>0</v>
      </c>
      <c r="P1113" s="15">
        <f>IF(O1113="Fire Control",VLOOKUP(_xlfn.MINIFS('FIRE CONTROL'!$C$4:$C$37,'FIRE CONTROL'!$C$4:$C$37,"&gt;="&amp;M1113),'FIRE CONTROL'!$C$4:$G$37,IF(L1113="F-15",2,IF(L1113="F-30",3,IF(L1113="F-60",4,IF(L1113="F-90",5,0)))),0),0)+IF(AND(O1113="FIRE TEX 5062",OR(E1113="IN",E1113="C",E1113="Z",E1113="L"),J1113=3),VLOOKUP(_xlfn.MINIFS('FIRE TEX 5062'!$B$4:$B$34,'FIRE TEX 5062'!$B$4:$B$34,"&gt;="&amp;M1113),'FIRE TEX 5062'!$B$4:$F$34,IF(L1113="F-15",2,IF(L1113="F-30",3,IF(L1113="F-60",4,IF(L1113="F-90",5,0)))),0),0)+IF(AND(O1113="FIRE TEX 5062",OR(E1113="IN",E1113="C",E1113="Z",E1113="L"),J1113=4),VLOOKUP(_xlfn.MINIFS('FIRE TEX 5062'!$G$4:$G$34,'FIRE TEX 5062'!$G$4:$G$34,"&gt;="&amp;M1113),'FIRE TEX 5062'!$G$4:$K$34,IF(L1113="F-15",2,IF(L1113="F-30",3,IF(L1113="F-60",4,IF(L1113="F-90",5,0)))),0),0)+IF(AND(O1113="FIRE TEX 5062",E1113="CJ",J1113=3),VLOOKUP(_xlfn.MINIFS('FIRE TEX 5062'!$L$4:$L$34,'FIRE TEX 5062'!$L$4:$L$34,"&gt;="&amp;M1113),'FIRE TEX 5062'!$L$4:$P$34,IF(L1113="F-15",2,IF(L1113="F-30",3,IF(L1113="F-60",4,IF(L1113="F-90",5,0)))),0),0)+IF(AND(O1113="FIRE TEX 5062",E1113="CJ",J1113=4),VLOOKUP(_xlfn.MINIFS('FIRE TEX 5062'!$Q$3:$Q$34,'FIRE TEX 5062'!$Q$3:$Q$34,"&gt;="&amp;M1113),'FIRE TEX 5062'!$Q$3:$U$34,IF(L1113="F-15",2,IF(L1113="F-30",3,IF(L1113="F-60",4,IF(L1113="F-90",5,0)))),0),0)+IF(AND(O1113="FIRE TEX 5090",OR(E1113="IN",E1113="C",E1113="Z",E1113="L"),J1113=3),VLOOKUP(_xlfn.MINIFS('FIRE TEX 5090'!$B$5:$B$43,'FIRE TEX 5090'!$B$5:$B$43,"&gt;="&amp;M1113),'FIRE TEX 5090'!$B$5:$H$43,IF(L1113="F-15",2,IF(L1113="F-30",3,IF(L1113="F-60",4,IF(L1113="F-90",5,IF(L1113="F-120",6,IF(L1113="F-150",7,0)))))),0),0)+IF(AND(O1113="FIRE TEX 5090",OR(E1113="IN",E1113="C",E1113="Z",E1113="L"),J1113=4),VLOOKUP(_xlfn.MINIFS('FIRE TEX 5090'!$J$5:$J$43,'FIRE TEX 5090'!$J$5:$J$43,"&gt;="&amp;M1113),'FIRE TEX 5090'!$J$5:$P$43,IF(L1113="F-15",2,IF(L1113="F-30",3,IF(L1113="F-60",4,IF(L1113="F-90",5,IF(L1113="F-120",6,IF(L1113="F-150",7,0)))))),0),0)+IF(AND(O1113="FIRE TEX 5090",E1113="CJ",J1113=3),VLOOKUP(_xlfn.MINIFS('FIRE TEX 5090'!$R$5:$R$30,'FIRE TEX 5090'!$R$5:$R$30,"&gt;="&amp;M1113),'FIRE TEX 5090'!$R$5:$W$30,IF(L1113="F-15",2,IF(L1113="F-30",3,IF(L1113="F-60",4,IF(L1113="F-90",5,IF(L1113="F-120",6,IF(L1113="F-150",7,0)))))),0),0)+IF(AND(O1113="FIRE TEX 5090",E1113="CJ",J1113=4),VLOOKUP(_xlfn.MINIFS('FIRE TEX 5090'!$Y$5:$Y$39,'FIRE TEX 5090'!$Y$5:$Y$39,"&gt;="&amp;M1113),'FIRE TEX 5090'!$Y$5:$AD$39,IF(L1113="F-15",2,IF(L1113="F-30",3,IF(L1113="F-60",4,IF(L1113="F-90",5,IF(L1113="F-120",6,IF(L1113="F-150",7,0)))))),0),0)+IF(AND(O1113="FIRE TEX 5120",OR(E1113="IN",E1113="C",E1113="Z",E1113="L"),J1113=3),VLOOKUP(_xlfn.MINIFS('FIRE TEX 5120'!$B$5:$B$40,'FIRE TEX 5120'!$B$5:$B$40,"&gt;="&amp;M1113),'FIRE TEX 5120'!$B$5:$G$40,IF(L1113="F-15",2,IF(L1113="F-30",3,IF(L1113="F-60",4,IF(L1113="F-90",5,IF(L1113="F-120",6,0))))),0),0)+IF(AND(O1113="FIRE TEX 5120",OR(E1113="IN",E1113="C",E1113="Z",E1113="L"),J1113=4),VLOOKUP(_xlfn.MINIFS('FIRE TEX 5120'!$H$4:$H$40,'FIRE TEX 5120'!$H$4:$H$40,"&gt;="&amp;M1113),'FIRE TEX 5120'!$H$4:$M$40,IF(L1113="F-15",2,IF(L1113="F-30",3,IF(L1113="F-60",4,IF(L1113="F-90",5,IF(L1113="F-120",6,0))))),0),0)+IF(AND(O1113="FIRE TEX 5120",E1113="CJ"),VLOOKUP(_xlfn.MINIFS('FIRE TEX 5120'!$O$5:$O$40,'FIRE TEX 5120'!$O$5:$O$40,"&gt;="&amp;M1113),'FIRE TEX 5120'!$O$5:$T$40,IF(L1113="F-15",2,IF(L1113="F-30",3,IF(L1113="F-60",4,IF(L1113="F-90",5,IF(L1113="F-120",6,0))))),0),0)</f>
        <v>0</v>
      </c>
      <c r="Q1113" s="46">
        <f t="shared" si="104"/>
        <v>0</v>
      </c>
      <c r="R1113" s="46">
        <f t="shared" si="105"/>
        <v>0</v>
      </c>
      <c r="S1113" s="46" t="e">
        <f t="shared" si="106"/>
        <v>#VALUE!</v>
      </c>
      <c r="T1113" s="677">
        <f t="shared" si="107"/>
        <v>0</v>
      </c>
      <c r="U1113" s="80">
        <f>(IF(O1113="Stofire",(S1113*#REF!),0))+(IF(O1113="Fire Control",(S1113*$U$2),0))+(IF(O1113="Fire Tex",(S1113*$U$3),0))+(IF(O1113="WB7",(S1113*#REF!),0)+(IF(O1113="FX 2003",(S1113*$U$5),0)))</f>
        <v>0</v>
      </c>
      <c r="V1113" s="651">
        <f t="shared" si="108"/>
        <v>0</v>
      </c>
    </row>
    <row r="1114" spans="4:22" x14ac:dyDescent="0.25">
      <c r="D1114" s="118">
        <f>+CUBICACION!D1113</f>
        <v>0</v>
      </c>
      <c r="E1114" s="118">
        <f>+CUBICACION!F1113</f>
        <v>0</v>
      </c>
      <c r="F1114" s="118">
        <f>+CUBICACION!E1113</f>
        <v>0</v>
      </c>
      <c r="G1114" s="118">
        <v>12</v>
      </c>
      <c r="H1114" s="118">
        <v>2</v>
      </c>
      <c r="I1114" s="820">
        <v>26385</v>
      </c>
      <c r="J1114" s="118">
        <f>+CUBICACION!J1113</f>
        <v>0</v>
      </c>
      <c r="K1114" s="118">
        <v>3893</v>
      </c>
      <c r="L1114" s="118">
        <f>+CUBICACION!L1113</f>
        <v>0</v>
      </c>
      <c r="M1114" s="64">
        <f>+CUBICACION!M1113</f>
        <v>0</v>
      </c>
      <c r="N1114" s="824" t="str">
        <f>+CUBICACION!N1113</f>
        <v/>
      </c>
      <c r="O1114" s="675">
        <f>+CUBICACION!O1113</f>
        <v>0</v>
      </c>
      <c r="P1114" s="15">
        <f>IF(O1114="Fire Control",VLOOKUP(_xlfn.MINIFS('FIRE CONTROL'!$C$4:$C$37,'FIRE CONTROL'!$C$4:$C$37,"&gt;="&amp;M1114),'FIRE CONTROL'!$C$4:$G$37,IF(L1114="F-15",2,IF(L1114="F-30",3,IF(L1114="F-60",4,IF(L1114="F-90",5,0)))),0),0)+IF(AND(O1114="FIRE TEX 5062",OR(E1114="IN",E1114="C",E1114="Z",E1114="L"),J1114=3),VLOOKUP(_xlfn.MINIFS('FIRE TEX 5062'!$B$4:$B$34,'FIRE TEX 5062'!$B$4:$B$34,"&gt;="&amp;M1114),'FIRE TEX 5062'!$B$4:$F$34,IF(L1114="F-15",2,IF(L1114="F-30",3,IF(L1114="F-60",4,IF(L1114="F-90",5,0)))),0),0)+IF(AND(O1114="FIRE TEX 5062",OR(E1114="IN",E1114="C",E1114="Z",E1114="L"),J1114=4),VLOOKUP(_xlfn.MINIFS('FIRE TEX 5062'!$G$4:$G$34,'FIRE TEX 5062'!$G$4:$G$34,"&gt;="&amp;M1114),'FIRE TEX 5062'!$G$4:$K$34,IF(L1114="F-15",2,IF(L1114="F-30",3,IF(L1114="F-60",4,IF(L1114="F-90",5,0)))),0),0)+IF(AND(O1114="FIRE TEX 5062",E1114="CJ",J1114=3),VLOOKUP(_xlfn.MINIFS('FIRE TEX 5062'!$L$4:$L$34,'FIRE TEX 5062'!$L$4:$L$34,"&gt;="&amp;M1114),'FIRE TEX 5062'!$L$4:$P$34,IF(L1114="F-15",2,IF(L1114="F-30",3,IF(L1114="F-60",4,IF(L1114="F-90",5,0)))),0),0)+IF(AND(O1114="FIRE TEX 5062",E1114="CJ",J1114=4),VLOOKUP(_xlfn.MINIFS('FIRE TEX 5062'!$Q$3:$Q$34,'FIRE TEX 5062'!$Q$3:$Q$34,"&gt;="&amp;M1114),'FIRE TEX 5062'!$Q$3:$U$34,IF(L1114="F-15",2,IF(L1114="F-30",3,IF(L1114="F-60",4,IF(L1114="F-90",5,0)))),0),0)+IF(AND(O1114="FIRE TEX 5090",OR(E1114="IN",E1114="C",E1114="Z",E1114="L"),J1114=3),VLOOKUP(_xlfn.MINIFS('FIRE TEX 5090'!$B$5:$B$43,'FIRE TEX 5090'!$B$5:$B$43,"&gt;="&amp;M1114),'FIRE TEX 5090'!$B$5:$H$43,IF(L1114="F-15",2,IF(L1114="F-30",3,IF(L1114="F-60",4,IF(L1114="F-90",5,IF(L1114="F-120",6,IF(L1114="F-150",7,0)))))),0),0)+IF(AND(O1114="FIRE TEX 5090",OR(E1114="IN",E1114="C",E1114="Z",E1114="L"),J1114=4),VLOOKUP(_xlfn.MINIFS('FIRE TEX 5090'!$J$5:$J$43,'FIRE TEX 5090'!$J$5:$J$43,"&gt;="&amp;M1114),'FIRE TEX 5090'!$J$5:$P$43,IF(L1114="F-15",2,IF(L1114="F-30",3,IF(L1114="F-60",4,IF(L1114="F-90",5,IF(L1114="F-120",6,IF(L1114="F-150",7,0)))))),0),0)+IF(AND(O1114="FIRE TEX 5090",E1114="CJ",J1114=3),VLOOKUP(_xlfn.MINIFS('FIRE TEX 5090'!$R$5:$R$30,'FIRE TEX 5090'!$R$5:$R$30,"&gt;="&amp;M1114),'FIRE TEX 5090'!$R$5:$W$30,IF(L1114="F-15",2,IF(L1114="F-30",3,IF(L1114="F-60",4,IF(L1114="F-90",5,IF(L1114="F-120",6,IF(L1114="F-150",7,0)))))),0),0)+IF(AND(O1114="FIRE TEX 5090",E1114="CJ",J1114=4),VLOOKUP(_xlfn.MINIFS('FIRE TEX 5090'!$Y$5:$Y$39,'FIRE TEX 5090'!$Y$5:$Y$39,"&gt;="&amp;M1114),'FIRE TEX 5090'!$Y$5:$AD$39,IF(L1114="F-15",2,IF(L1114="F-30",3,IF(L1114="F-60",4,IF(L1114="F-90",5,IF(L1114="F-120",6,IF(L1114="F-150",7,0)))))),0),0)+IF(AND(O1114="FIRE TEX 5120",OR(E1114="IN",E1114="C",E1114="Z",E1114="L"),J1114=3),VLOOKUP(_xlfn.MINIFS('FIRE TEX 5120'!$B$5:$B$40,'FIRE TEX 5120'!$B$5:$B$40,"&gt;="&amp;M1114),'FIRE TEX 5120'!$B$5:$G$40,IF(L1114="F-15",2,IF(L1114="F-30",3,IF(L1114="F-60",4,IF(L1114="F-90",5,IF(L1114="F-120",6,0))))),0),0)+IF(AND(O1114="FIRE TEX 5120",OR(E1114="IN",E1114="C",E1114="Z",E1114="L"),J1114=4),VLOOKUP(_xlfn.MINIFS('FIRE TEX 5120'!$H$4:$H$40,'FIRE TEX 5120'!$H$4:$H$40,"&gt;="&amp;M1114),'FIRE TEX 5120'!$H$4:$M$40,IF(L1114="F-15",2,IF(L1114="F-30",3,IF(L1114="F-60",4,IF(L1114="F-90",5,IF(L1114="F-120",6,0))))),0),0)+IF(AND(O1114="FIRE TEX 5120",E1114="CJ"),VLOOKUP(_xlfn.MINIFS('FIRE TEX 5120'!$O$5:$O$40,'FIRE TEX 5120'!$O$5:$O$40,"&gt;="&amp;M1114),'FIRE TEX 5120'!$O$5:$T$40,IF(L1114="F-15",2,IF(L1114="F-30",3,IF(L1114="F-60",4,IF(L1114="F-90",5,IF(L1114="F-120",6,0))))),0),0)</f>
        <v>0</v>
      </c>
      <c r="Q1114" s="46">
        <f t="shared" si="104"/>
        <v>0</v>
      </c>
      <c r="R1114" s="46">
        <f t="shared" si="105"/>
        <v>0</v>
      </c>
      <c r="S1114" s="46" t="e">
        <f t="shared" si="106"/>
        <v>#VALUE!</v>
      </c>
      <c r="T1114" s="677">
        <f t="shared" si="107"/>
        <v>0</v>
      </c>
      <c r="U1114" s="80">
        <f>(IF(O1114="Stofire",(S1114*#REF!),0))+(IF(O1114="Fire Control",(S1114*$U$2),0))+(IF(O1114="Fire Tex",(S1114*$U$3),0))+(IF(O1114="WB7",(S1114*#REF!),0)+(IF(O1114="FX 2003",(S1114*$U$5),0)))</f>
        <v>0</v>
      </c>
      <c r="V1114" s="651">
        <f t="shared" si="108"/>
        <v>0</v>
      </c>
    </row>
    <row r="1115" spans="4:22" x14ac:dyDescent="0.25">
      <c r="D1115" s="118">
        <f>+CUBICACION!D1114</f>
        <v>0</v>
      </c>
      <c r="E1115" s="118">
        <f>+CUBICACION!F1114</f>
        <v>0</v>
      </c>
      <c r="F1115" s="118">
        <f>+CUBICACION!E1114</f>
        <v>0</v>
      </c>
      <c r="G1115" s="118">
        <v>12</v>
      </c>
      <c r="H1115" s="118">
        <v>2</v>
      </c>
      <c r="I1115" s="820">
        <v>26385</v>
      </c>
      <c r="J1115" s="118">
        <f>+CUBICACION!J1114</f>
        <v>0</v>
      </c>
      <c r="K1115" s="118">
        <v>3894</v>
      </c>
      <c r="L1115" s="118">
        <f>+CUBICACION!L1114</f>
        <v>0</v>
      </c>
      <c r="M1115" s="64">
        <f>+CUBICACION!M1114</f>
        <v>0</v>
      </c>
      <c r="N1115" s="824" t="str">
        <f>+CUBICACION!N1114</f>
        <v/>
      </c>
      <c r="O1115" s="675">
        <f>+CUBICACION!O1114</f>
        <v>0</v>
      </c>
      <c r="P1115" s="15">
        <f>IF(O1115="Fire Control",VLOOKUP(_xlfn.MINIFS('FIRE CONTROL'!$C$4:$C$37,'FIRE CONTROL'!$C$4:$C$37,"&gt;="&amp;M1115),'FIRE CONTROL'!$C$4:$G$37,IF(L1115="F-15",2,IF(L1115="F-30",3,IF(L1115="F-60",4,IF(L1115="F-90",5,0)))),0),0)+IF(AND(O1115="FIRE TEX 5062",OR(E1115="IN",E1115="C",E1115="Z",E1115="L"),J1115=3),VLOOKUP(_xlfn.MINIFS('FIRE TEX 5062'!$B$4:$B$34,'FIRE TEX 5062'!$B$4:$B$34,"&gt;="&amp;M1115),'FIRE TEX 5062'!$B$4:$F$34,IF(L1115="F-15",2,IF(L1115="F-30",3,IF(L1115="F-60",4,IF(L1115="F-90",5,0)))),0),0)+IF(AND(O1115="FIRE TEX 5062",OR(E1115="IN",E1115="C",E1115="Z",E1115="L"),J1115=4),VLOOKUP(_xlfn.MINIFS('FIRE TEX 5062'!$G$4:$G$34,'FIRE TEX 5062'!$G$4:$G$34,"&gt;="&amp;M1115),'FIRE TEX 5062'!$G$4:$K$34,IF(L1115="F-15",2,IF(L1115="F-30",3,IF(L1115="F-60",4,IF(L1115="F-90",5,0)))),0),0)+IF(AND(O1115="FIRE TEX 5062",E1115="CJ",J1115=3),VLOOKUP(_xlfn.MINIFS('FIRE TEX 5062'!$L$4:$L$34,'FIRE TEX 5062'!$L$4:$L$34,"&gt;="&amp;M1115),'FIRE TEX 5062'!$L$4:$P$34,IF(L1115="F-15",2,IF(L1115="F-30",3,IF(L1115="F-60",4,IF(L1115="F-90",5,0)))),0),0)+IF(AND(O1115="FIRE TEX 5062",E1115="CJ",J1115=4),VLOOKUP(_xlfn.MINIFS('FIRE TEX 5062'!$Q$3:$Q$34,'FIRE TEX 5062'!$Q$3:$Q$34,"&gt;="&amp;M1115),'FIRE TEX 5062'!$Q$3:$U$34,IF(L1115="F-15",2,IF(L1115="F-30",3,IF(L1115="F-60",4,IF(L1115="F-90",5,0)))),0),0)+IF(AND(O1115="FIRE TEX 5090",OR(E1115="IN",E1115="C",E1115="Z",E1115="L"),J1115=3),VLOOKUP(_xlfn.MINIFS('FIRE TEX 5090'!$B$5:$B$43,'FIRE TEX 5090'!$B$5:$B$43,"&gt;="&amp;M1115),'FIRE TEX 5090'!$B$5:$H$43,IF(L1115="F-15",2,IF(L1115="F-30",3,IF(L1115="F-60",4,IF(L1115="F-90",5,IF(L1115="F-120",6,IF(L1115="F-150",7,0)))))),0),0)+IF(AND(O1115="FIRE TEX 5090",OR(E1115="IN",E1115="C",E1115="Z",E1115="L"),J1115=4),VLOOKUP(_xlfn.MINIFS('FIRE TEX 5090'!$J$5:$J$43,'FIRE TEX 5090'!$J$5:$J$43,"&gt;="&amp;M1115),'FIRE TEX 5090'!$J$5:$P$43,IF(L1115="F-15",2,IF(L1115="F-30",3,IF(L1115="F-60",4,IF(L1115="F-90",5,IF(L1115="F-120",6,IF(L1115="F-150",7,0)))))),0),0)+IF(AND(O1115="FIRE TEX 5090",E1115="CJ",J1115=3),VLOOKUP(_xlfn.MINIFS('FIRE TEX 5090'!$R$5:$R$30,'FIRE TEX 5090'!$R$5:$R$30,"&gt;="&amp;M1115),'FIRE TEX 5090'!$R$5:$W$30,IF(L1115="F-15",2,IF(L1115="F-30",3,IF(L1115="F-60",4,IF(L1115="F-90",5,IF(L1115="F-120",6,IF(L1115="F-150",7,0)))))),0),0)+IF(AND(O1115="FIRE TEX 5090",E1115="CJ",J1115=4),VLOOKUP(_xlfn.MINIFS('FIRE TEX 5090'!$Y$5:$Y$39,'FIRE TEX 5090'!$Y$5:$Y$39,"&gt;="&amp;M1115),'FIRE TEX 5090'!$Y$5:$AD$39,IF(L1115="F-15",2,IF(L1115="F-30",3,IF(L1115="F-60",4,IF(L1115="F-90",5,IF(L1115="F-120",6,IF(L1115="F-150",7,0)))))),0),0)+IF(AND(O1115="FIRE TEX 5120",OR(E1115="IN",E1115="C",E1115="Z",E1115="L"),J1115=3),VLOOKUP(_xlfn.MINIFS('FIRE TEX 5120'!$B$5:$B$40,'FIRE TEX 5120'!$B$5:$B$40,"&gt;="&amp;M1115),'FIRE TEX 5120'!$B$5:$G$40,IF(L1115="F-15",2,IF(L1115="F-30",3,IF(L1115="F-60",4,IF(L1115="F-90",5,IF(L1115="F-120",6,0))))),0),0)+IF(AND(O1115="FIRE TEX 5120",OR(E1115="IN",E1115="C",E1115="Z",E1115="L"),J1115=4),VLOOKUP(_xlfn.MINIFS('FIRE TEX 5120'!$H$4:$H$40,'FIRE TEX 5120'!$H$4:$H$40,"&gt;="&amp;M1115),'FIRE TEX 5120'!$H$4:$M$40,IF(L1115="F-15",2,IF(L1115="F-30",3,IF(L1115="F-60",4,IF(L1115="F-90",5,IF(L1115="F-120",6,0))))),0),0)+IF(AND(O1115="FIRE TEX 5120",E1115="CJ"),VLOOKUP(_xlfn.MINIFS('FIRE TEX 5120'!$O$5:$O$40,'FIRE TEX 5120'!$O$5:$O$40,"&gt;="&amp;M1115),'FIRE TEX 5120'!$O$5:$T$40,IF(L1115="F-15",2,IF(L1115="F-30",3,IF(L1115="F-60",4,IF(L1115="F-90",5,IF(L1115="F-120",6,0))))),0),0)</f>
        <v>0</v>
      </c>
      <c r="Q1115" s="46">
        <f t="shared" si="104"/>
        <v>0</v>
      </c>
      <c r="R1115" s="46">
        <f t="shared" si="105"/>
        <v>0</v>
      </c>
      <c r="S1115" s="46" t="e">
        <f t="shared" si="106"/>
        <v>#VALUE!</v>
      </c>
      <c r="T1115" s="677">
        <f t="shared" si="107"/>
        <v>0</v>
      </c>
      <c r="U1115" s="80">
        <f>(IF(O1115="Stofire",(S1115*#REF!),0))+(IF(O1115="Fire Control",(S1115*$U$2),0))+(IF(O1115="Fire Tex",(S1115*$U$3),0))+(IF(O1115="WB7",(S1115*#REF!),0)+(IF(O1115="FX 2003",(S1115*$U$5),0)))</f>
        <v>0</v>
      </c>
      <c r="V1115" s="651">
        <f t="shared" si="108"/>
        <v>0</v>
      </c>
    </row>
    <row r="1116" spans="4:22" x14ac:dyDescent="0.25">
      <c r="D1116" s="118">
        <f>+CUBICACION!D1115</f>
        <v>0</v>
      </c>
      <c r="E1116" s="118">
        <f>+CUBICACION!F1115</f>
        <v>0</v>
      </c>
      <c r="F1116" s="118">
        <f>+CUBICACION!E1115</f>
        <v>0</v>
      </c>
      <c r="G1116" s="118">
        <v>12</v>
      </c>
      <c r="H1116" s="118">
        <v>2</v>
      </c>
      <c r="I1116" s="820">
        <v>26385</v>
      </c>
      <c r="J1116" s="118">
        <f>+CUBICACION!J1115</f>
        <v>0</v>
      </c>
      <c r="K1116" s="118">
        <v>3895</v>
      </c>
      <c r="L1116" s="118">
        <f>+CUBICACION!L1115</f>
        <v>0</v>
      </c>
      <c r="M1116" s="64">
        <f>+CUBICACION!M1115</f>
        <v>0</v>
      </c>
      <c r="N1116" s="824" t="str">
        <f>+CUBICACION!N1115</f>
        <v/>
      </c>
      <c r="O1116" s="675">
        <f>+CUBICACION!O1115</f>
        <v>0</v>
      </c>
      <c r="P1116" s="15">
        <f>IF(O1116="Fire Control",VLOOKUP(_xlfn.MINIFS('FIRE CONTROL'!$C$4:$C$37,'FIRE CONTROL'!$C$4:$C$37,"&gt;="&amp;M1116),'FIRE CONTROL'!$C$4:$G$37,IF(L1116="F-15",2,IF(L1116="F-30",3,IF(L1116="F-60",4,IF(L1116="F-90",5,0)))),0),0)+IF(AND(O1116="FIRE TEX 5062",OR(E1116="IN",E1116="C",E1116="Z",E1116="L"),J1116=3),VLOOKUP(_xlfn.MINIFS('FIRE TEX 5062'!$B$4:$B$34,'FIRE TEX 5062'!$B$4:$B$34,"&gt;="&amp;M1116),'FIRE TEX 5062'!$B$4:$F$34,IF(L1116="F-15",2,IF(L1116="F-30",3,IF(L1116="F-60",4,IF(L1116="F-90",5,0)))),0),0)+IF(AND(O1116="FIRE TEX 5062",OR(E1116="IN",E1116="C",E1116="Z",E1116="L"),J1116=4),VLOOKUP(_xlfn.MINIFS('FIRE TEX 5062'!$G$4:$G$34,'FIRE TEX 5062'!$G$4:$G$34,"&gt;="&amp;M1116),'FIRE TEX 5062'!$G$4:$K$34,IF(L1116="F-15",2,IF(L1116="F-30",3,IF(L1116="F-60",4,IF(L1116="F-90",5,0)))),0),0)+IF(AND(O1116="FIRE TEX 5062",E1116="CJ",J1116=3),VLOOKUP(_xlfn.MINIFS('FIRE TEX 5062'!$L$4:$L$34,'FIRE TEX 5062'!$L$4:$L$34,"&gt;="&amp;M1116),'FIRE TEX 5062'!$L$4:$P$34,IF(L1116="F-15",2,IF(L1116="F-30",3,IF(L1116="F-60",4,IF(L1116="F-90",5,0)))),0),0)+IF(AND(O1116="FIRE TEX 5062",E1116="CJ",J1116=4),VLOOKUP(_xlfn.MINIFS('FIRE TEX 5062'!$Q$3:$Q$34,'FIRE TEX 5062'!$Q$3:$Q$34,"&gt;="&amp;M1116),'FIRE TEX 5062'!$Q$3:$U$34,IF(L1116="F-15",2,IF(L1116="F-30",3,IF(L1116="F-60",4,IF(L1116="F-90",5,0)))),0),0)+IF(AND(O1116="FIRE TEX 5090",OR(E1116="IN",E1116="C",E1116="Z",E1116="L"),J1116=3),VLOOKUP(_xlfn.MINIFS('FIRE TEX 5090'!$B$5:$B$43,'FIRE TEX 5090'!$B$5:$B$43,"&gt;="&amp;M1116),'FIRE TEX 5090'!$B$5:$H$43,IF(L1116="F-15",2,IF(L1116="F-30",3,IF(L1116="F-60",4,IF(L1116="F-90",5,IF(L1116="F-120",6,IF(L1116="F-150",7,0)))))),0),0)+IF(AND(O1116="FIRE TEX 5090",OR(E1116="IN",E1116="C",E1116="Z",E1116="L"),J1116=4),VLOOKUP(_xlfn.MINIFS('FIRE TEX 5090'!$J$5:$J$43,'FIRE TEX 5090'!$J$5:$J$43,"&gt;="&amp;M1116),'FIRE TEX 5090'!$J$5:$P$43,IF(L1116="F-15",2,IF(L1116="F-30",3,IF(L1116="F-60",4,IF(L1116="F-90",5,IF(L1116="F-120",6,IF(L1116="F-150",7,0)))))),0),0)+IF(AND(O1116="FIRE TEX 5090",E1116="CJ",J1116=3),VLOOKUP(_xlfn.MINIFS('FIRE TEX 5090'!$R$5:$R$30,'FIRE TEX 5090'!$R$5:$R$30,"&gt;="&amp;M1116),'FIRE TEX 5090'!$R$5:$W$30,IF(L1116="F-15",2,IF(L1116="F-30",3,IF(L1116="F-60",4,IF(L1116="F-90",5,IF(L1116="F-120",6,IF(L1116="F-150",7,0)))))),0),0)+IF(AND(O1116="FIRE TEX 5090",E1116="CJ",J1116=4),VLOOKUP(_xlfn.MINIFS('FIRE TEX 5090'!$Y$5:$Y$39,'FIRE TEX 5090'!$Y$5:$Y$39,"&gt;="&amp;M1116),'FIRE TEX 5090'!$Y$5:$AD$39,IF(L1116="F-15",2,IF(L1116="F-30",3,IF(L1116="F-60",4,IF(L1116="F-90",5,IF(L1116="F-120",6,IF(L1116="F-150",7,0)))))),0),0)+IF(AND(O1116="FIRE TEX 5120",OR(E1116="IN",E1116="C",E1116="Z",E1116="L"),J1116=3),VLOOKUP(_xlfn.MINIFS('FIRE TEX 5120'!$B$5:$B$40,'FIRE TEX 5120'!$B$5:$B$40,"&gt;="&amp;M1116),'FIRE TEX 5120'!$B$5:$G$40,IF(L1116="F-15",2,IF(L1116="F-30",3,IF(L1116="F-60",4,IF(L1116="F-90",5,IF(L1116="F-120",6,0))))),0),0)+IF(AND(O1116="FIRE TEX 5120",OR(E1116="IN",E1116="C",E1116="Z",E1116="L"),J1116=4),VLOOKUP(_xlfn.MINIFS('FIRE TEX 5120'!$H$4:$H$40,'FIRE TEX 5120'!$H$4:$H$40,"&gt;="&amp;M1116),'FIRE TEX 5120'!$H$4:$M$40,IF(L1116="F-15",2,IF(L1116="F-30",3,IF(L1116="F-60",4,IF(L1116="F-90",5,IF(L1116="F-120",6,0))))),0),0)+IF(AND(O1116="FIRE TEX 5120",E1116="CJ"),VLOOKUP(_xlfn.MINIFS('FIRE TEX 5120'!$O$5:$O$40,'FIRE TEX 5120'!$O$5:$O$40,"&gt;="&amp;M1116),'FIRE TEX 5120'!$O$5:$T$40,IF(L1116="F-15",2,IF(L1116="F-30",3,IF(L1116="F-60",4,IF(L1116="F-90",5,IF(L1116="F-120",6,0))))),0),0)</f>
        <v>0</v>
      </c>
      <c r="Q1116" s="46">
        <f t="shared" si="104"/>
        <v>0</v>
      </c>
      <c r="R1116" s="46">
        <f t="shared" si="105"/>
        <v>0</v>
      </c>
      <c r="S1116" s="46" t="e">
        <f t="shared" si="106"/>
        <v>#VALUE!</v>
      </c>
      <c r="T1116" s="677">
        <f t="shared" si="107"/>
        <v>0</v>
      </c>
      <c r="U1116" s="80">
        <f>(IF(O1116="Stofire",(S1116*#REF!),0))+(IF(O1116="Fire Control",(S1116*$U$2),0))+(IF(O1116="Fire Tex",(S1116*$U$3),0))+(IF(O1116="WB7",(S1116*#REF!),0)+(IF(O1116="FX 2003",(S1116*$U$5),0)))</f>
        <v>0</v>
      </c>
      <c r="V1116" s="651">
        <f t="shared" si="108"/>
        <v>0</v>
      </c>
    </row>
    <row r="1117" spans="4:22" x14ac:dyDescent="0.25">
      <c r="D1117" s="118">
        <f>+CUBICACION!D1116</f>
        <v>0</v>
      </c>
      <c r="E1117" s="118">
        <f>+CUBICACION!F1116</f>
        <v>0</v>
      </c>
      <c r="F1117" s="118">
        <f>+CUBICACION!E1116</f>
        <v>0</v>
      </c>
      <c r="G1117" s="118">
        <v>12</v>
      </c>
      <c r="H1117" s="118">
        <v>2</v>
      </c>
      <c r="I1117" s="820">
        <v>26385</v>
      </c>
      <c r="J1117" s="118">
        <f>+CUBICACION!J1116</f>
        <v>0</v>
      </c>
      <c r="K1117" s="118">
        <v>3896</v>
      </c>
      <c r="L1117" s="118">
        <f>+CUBICACION!L1116</f>
        <v>0</v>
      </c>
      <c r="M1117" s="64">
        <f>+CUBICACION!M1116</f>
        <v>0</v>
      </c>
      <c r="N1117" s="824" t="str">
        <f>+CUBICACION!N1116</f>
        <v/>
      </c>
      <c r="O1117" s="675">
        <f>+CUBICACION!O1116</f>
        <v>0</v>
      </c>
      <c r="P1117" s="15">
        <f>IF(O1117="Fire Control",VLOOKUP(_xlfn.MINIFS('FIRE CONTROL'!$C$4:$C$37,'FIRE CONTROL'!$C$4:$C$37,"&gt;="&amp;M1117),'FIRE CONTROL'!$C$4:$G$37,IF(L1117="F-15",2,IF(L1117="F-30",3,IF(L1117="F-60",4,IF(L1117="F-90",5,0)))),0),0)+IF(AND(O1117="FIRE TEX 5062",OR(E1117="IN",E1117="C",E1117="Z",E1117="L"),J1117=3),VLOOKUP(_xlfn.MINIFS('FIRE TEX 5062'!$B$4:$B$34,'FIRE TEX 5062'!$B$4:$B$34,"&gt;="&amp;M1117),'FIRE TEX 5062'!$B$4:$F$34,IF(L1117="F-15",2,IF(L1117="F-30",3,IF(L1117="F-60",4,IF(L1117="F-90",5,0)))),0),0)+IF(AND(O1117="FIRE TEX 5062",OR(E1117="IN",E1117="C",E1117="Z",E1117="L"),J1117=4),VLOOKUP(_xlfn.MINIFS('FIRE TEX 5062'!$G$4:$G$34,'FIRE TEX 5062'!$G$4:$G$34,"&gt;="&amp;M1117),'FIRE TEX 5062'!$G$4:$K$34,IF(L1117="F-15",2,IF(L1117="F-30",3,IF(L1117="F-60",4,IF(L1117="F-90",5,0)))),0),0)+IF(AND(O1117="FIRE TEX 5062",E1117="CJ",J1117=3),VLOOKUP(_xlfn.MINIFS('FIRE TEX 5062'!$L$4:$L$34,'FIRE TEX 5062'!$L$4:$L$34,"&gt;="&amp;M1117),'FIRE TEX 5062'!$L$4:$P$34,IF(L1117="F-15",2,IF(L1117="F-30",3,IF(L1117="F-60",4,IF(L1117="F-90",5,0)))),0),0)+IF(AND(O1117="FIRE TEX 5062",E1117="CJ",J1117=4),VLOOKUP(_xlfn.MINIFS('FIRE TEX 5062'!$Q$3:$Q$34,'FIRE TEX 5062'!$Q$3:$Q$34,"&gt;="&amp;M1117),'FIRE TEX 5062'!$Q$3:$U$34,IF(L1117="F-15",2,IF(L1117="F-30",3,IF(L1117="F-60",4,IF(L1117="F-90",5,0)))),0),0)+IF(AND(O1117="FIRE TEX 5090",OR(E1117="IN",E1117="C",E1117="Z",E1117="L"),J1117=3),VLOOKUP(_xlfn.MINIFS('FIRE TEX 5090'!$B$5:$B$43,'FIRE TEX 5090'!$B$5:$B$43,"&gt;="&amp;M1117),'FIRE TEX 5090'!$B$5:$H$43,IF(L1117="F-15",2,IF(L1117="F-30",3,IF(L1117="F-60",4,IF(L1117="F-90",5,IF(L1117="F-120",6,IF(L1117="F-150",7,0)))))),0),0)+IF(AND(O1117="FIRE TEX 5090",OR(E1117="IN",E1117="C",E1117="Z",E1117="L"),J1117=4),VLOOKUP(_xlfn.MINIFS('FIRE TEX 5090'!$J$5:$J$43,'FIRE TEX 5090'!$J$5:$J$43,"&gt;="&amp;M1117),'FIRE TEX 5090'!$J$5:$P$43,IF(L1117="F-15",2,IF(L1117="F-30",3,IF(L1117="F-60",4,IF(L1117="F-90",5,IF(L1117="F-120",6,IF(L1117="F-150",7,0)))))),0),0)+IF(AND(O1117="FIRE TEX 5090",E1117="CJ",J1117=3),VLOOKUP(_xlfn.MINIFS('FIRE TEX 5090'!$R$5:$R$30,'FIRE TEX 5090'!$R$5:$R$30,"&gt;="&amp;M1117),'FIRE TEX 5090'!$R$5:$W$30,IF(L1117="F-15",2,IF(L1117="F-30",3,IF(L1117="F-60",4,IF(L1117="F-90",5,IF(L1117="F-120",6,IF(L1117="F-150",7,0)))))),0),0)+IF(AND(O1117="FIRE TEX 5090",E1117="CJ",J1117=4),VLOOKUP(_xlfn.MINIFS('FIRE TEX 5090'!$Y$5:$Y$39,'FIRE TEX 5090'!$Y$5:$Y$39,"&gt;="&amp;M1117),'FIRE TEX 5090'!$Y$5:$AD$39,IF(L1117="F-15",2,IF(L1117="F-30",3,IF(L1117="F-60",4,IF(L1117="F-90",5,IF(L1117="F-120",6,IF(L1117="F-150",7,0)))))),0),0)+IF(AND(O1117="FIRE TEX 5120",OR(E1117="IN",E1117="C",E1117="Z",E1117="L"),J1117=3),VLOOKUP(_xlfn.MINIFS('FIRE TEX 5120'!$B$5:$B$40,'FIRE TEX 5120'!$B$5:$B$40,"&gt;="&amp;M1117),'FIRE TEX 5120'!$B$5:$G$40,IF(L1117="F-15",2,IF(L1117="F-30",3,IF(L1117="F-60",4,IF(L1117="F-90",5,IF(L1117="F-120",6,0))))),0),0)+IF(AND(O1117="FIRE TEX 5120",OR(E1117="IN",E1117="C",E1117="Z",E1117="L"),J1117=4),VLOOKUP(_xlfn.MINIFS('FIRE TEX 5120'!$H$4:$H$40,'FIRE TEX 5120'!$H$4:$H$40,"&gt;="&amp;M1117),'FIRE TEX 5120'!$H$4:$M$40,IF(L1117="F-15",2,IF(L1117="F-30",3,IF(L1117="F-60",4,IF(L1117="F-90",5,IF(L1117="F-120",6,0))))),0),0)+IF(AND(O1117="FIRE TEX 5120",E1117="CJ"),VLOOKUP(_xlfn.MINIFS('FIRE TEX 5120'!$O$5:$O$40,'FIRE TEX 5120'!$O$5:$O$40,"&gt;="&amp;M1117),'FIRE TEX 5120'!$O$5:$T$40,IF(L1117="F-15",2,IF(L1117="F-30",3,IF(L1117="F-60",4,IF(L1117="F-90",5,IF(L1117="F-120",6,0))))),0),0)</f>
        <v>0</v>
      </c>
      <c r="Q1117" s="46">
        <f t="shared" si="104"/>
        <v>0</v>
      </c>
      <c r="R1117" s="46">
        <f t="shared" si="105"/>
        <v>0</v>
      </c>
      <c r="S1117" s="46" t="e">
        <f t="shared" si="106"/>
        <v>#VALUE!</v>
      </c>
      <c r="T1117" s="677">
        <f t="shared" si="107"/>
        <v>0</v>
      </c>
      <c r="U1117" s="80">
        <f>(IF(O1117="Stofire",(S1117*#REF!),0))+(IF(O1117="Fire Control",(S1117*$U$2),0))+(IF(O1117="Fire Tex",(S1117*$U$3),0))+(IF(O1117="WB7",(S1117*#REF!),0)+(IF(O1117="FX 2003",(S1117*$U$5),0)))</f>
        <v>0</v>
      </c>
      <c r="V1117" s="651">
        <f t="shared" si="108"/>
        <v>0</v>
      </c>
    </row>
    <row r="1118" spans="4:22" x14ac:dyDescent="0.25">
      <c r="D1118" s="118">
        <f>+CUBICACION!D1117</f>
        <v>0</v>
      </c>
      <c r="E1118" s="118">
        <f>+CUBICACION!F1117</f>
        <v>0</v>
      </c>
      <c r="F1118" s="118">
        <f>+CUBICACION!E1117</f>
        <v>0</v>
      </c>
      <c r="G1118" s="118">
        <v>12</v>
      </c>
      <c r="H1118" s="118">
        <v>2</v>
      </c>
      <c r="I1118" s="820">
        <v>26385</v>
      </c>
      <c r="J1118" s="118">
        <f>+CUBICACION!J1117</f>
        <v>0</v>
      </c>
      <c r="K1118" s="118">
        <v>3897</v>
      </c>
      <c r="L1118" s="118">
        <f>+CUBICACION!L1117</f>
        <v>0</v>
      </c>
      <c r="M1118" s="64">
        <f>+CUBICACION!M1117</f>
        <v>0</v>
      </c>
      <c r="N1118" s="824" t="str">
        <f>+CUBICACION!N1117</f>
        <v/>
      </c>
      <c r="O1118" s="675">
        <f>+CUBICACION!O1117</f>
        <v>0</v>
      </c>
      <c r="P1118" s="15">
        <f>IF(O1118="Fire Control",VLOOKUP(_xlfn.MINIFS('FIRE CONTROL'!$C$4:$C$37,'FIRE CONTROL'!$C$4:$C$37,"&gt;="&amp;M1118),'FIRE CONTROL'!$C$4:$G$37,IF(L1118="F-15",2,IF(L1118="F-30",3,IF(L1118="F-60",4,IF(L1118="F-90",5,0)))),0),0)+IF(AND(O1118="FIRE TEX 5062",OR(E1118="IN",E1118="C",E1118="Z",E1118="L"),J1118=3),VLOOKUP(_xlfn.MINIFS('FIRE TEX 5062'!$B$4:$B$34,'FIRE TEX 5062'!$B$4:$B$34,"&gt;="&amp;M1118),'FIRE TEX 5062'!$B$4:$F$34,IF(L1118="F-15",2,IF(L1118="F-30",3,IF(L1118="F-60",4,IF(L1118="F-90",5,0)))),0),0)+IF(AND(O1118="FIRE TEX 5062",OR(E1118="IN",E1118="C",E1118="Z",E1118="L"),J1118=4),VLOOKUP(_xlfn.MINIFS('FIRE TEX 5062'!$G$4:$G$34,'FIRE TEX 5062'!$G$4:$G$34,"&gt;="&amp;M1118),'FIRE TEX 5062'!$G$4:$K$34,IF(L1118="F-15",2,IF(L1118="F-30",3,IF(L1118="F-60",4,IF(L1118="F-90",5,0)))),0),0)+IF(AND(O1118="FIRE TEX 5062",E1118="CJ",J1118=3),VLOOKUP(_xlfn.MINIFS('FIRE TEX 5062'!$L$4:$L$34,'FIRE TEX 5062'!$L$4:$L$34,"&gt;="&amp;M1118),'FIRE TEX 5062'!$L$4:$P$34,IF(L1118="F-15",2,IF(L1118="F-30",3,IF(L1118="F-60",4,IF(L1118="F-90",5,0)))),0),0)+IF(AND(O1118="FIRE TEX 5062",E1118="CJ",J1118=4),VLOOKUP(_xlfn.MINIFS('FIRE TEX 5062'!$Q$3:$Q$34,'FIRE TEX 5062'!$Q$3:$Q$34,"&gt;="&amp;M1118),'FIRE TEX 5062'!$Q$3:$U$34,IF(L1118="F-15",2,IF(L1118="F-30",3,IF(L1118="F-60",4,IF(L1118="F-90",5,0)))),0),0)+IF(AND(O1118="FIRE TEX 5090",OR(E1118="IN",E1118="C",E1118="Z",E1118="L"),J1118=3),VLOOKUP(_xlfn.MINIFS('FIRE TEX 5090'!$B$5:$B$43,'FIRE TEX 5090'!$B$5:$B$43,"&gt;="&amp;M1118),'FIRE TEX 5090'!$B$5:$H$43,IF(L1118="F-15",2,IF(L1118="F-30",3,IF(L1118="F-60",4,IF(L1118="F-90",5,IF(L1118="F-120",6,IF(L1118="F-150",7,0)))))),0),0)+IF(AND(O1118="FIRE TEX 5090",OR(E1118="IN",E1118="C",E1118="Z",E1118="L"),J1118=4),VLOOKUP(_xlfn.MINIFS('FIRE TEX 5090'!$J$5:$J$43,'FIRE TEX 5090'!$J$5:$J$43,"&gt;="&amp;M1118),'FIRE TEX 5090'!$J$5:$P$43,IF(L1118="F-15",2,IF(L1118="F-30",3,IF(L1118="F-60",4,IF(L1118="F-90",5,IF(L1118="F-120",6,IF(L1118="F-150",7,0)))))),0),0)+IF(AND(O1118="FIRE TEX 5090",E1118="CJ",J1118=3),VLOOKUP(_xlfn.MINIFS('FIRE TEX 5090'!$R$5:$R$30,'FIRE TEX 5090'!$R$5:$R$30,"&gt;="&amp;M1118),'FIRE TEX 5090'!$R$5:$W$30,IF(L1118="F-15",2,IF(L1118="F-30",3,IF(L1118="F-60",4,IF(L1118="F-90",5,IF(L1118="F-120",6,IF(L1118="F-150",7,0)))))),0),0)+IF(AND(O1118="FIRE TEX 5090",E1118="CJ",J1118=4),VLOOKUP(_xlfn.MINIFS('FIRE TEX 5090'!$Y$5:$Y$39,'FIRE TEX 5090'!$Y$5:$Y$39,"&gt;="&amp;M1118),'FIRE TEX 5090'!$Y$5:$AD$39,IF(L1118="F-15",2,IF(L1118="F-30",3,IF(L1118="F-60",4,IF(L1118="F-90",5,IF(L1118="F-120",6,IF(L1118="F-150",7,0)))))),0),0)+IF(AND(O1118="FIRE TEX 5120",OR(E1118="IN",E1118="C",E1118="Z",E1118="L"),J1118=3),VLOOKUP(_xlfn.MINIFS('FIRE TEX 5120'!$B$5:$B$40,'FIRE TEX 5120'!$B$5:$B$40,"&gt;="&amp;M1118),'FIRE TEX 5120'!$B$5:$G$40,IF(L1118="F-15",2,IF(L1118="F-30",3,IF(L1118="F-60",4,IF(L1118="F-90",5,IF(L1118="F-120",6,0))))),0),0)+IF(AND(O1118="FIRE TEX 5120",OR(E1118="IN",E1118="C",E1118="Z",E1118="L"),J1118=4),VLOOKUP(_xlfn.MINIFS('FIRE TEX 5120'!$H$4:$H$40,'FIRE TEX 5120'!$H$4:$H$40,"&gt;="&amp;M1118),'FIRE TEX 5120'!$H$4:$M$40,IF(L1118="F-15",2,IF(L1118="F-30",3,IF(L1118="F-60",4,IF(L1118="F-90",5,IF(L1118="F-120",6,0))))),0),0)+IF(AND(O1118="FIRE TEX 5120",E1118="CJ"),VLOOKUP(_xlfn.MINIFS('FIRE TEX 5120'!$O$5:$O$40,'FIRE TEX 5120'!$O$5:$O$40,"&gt;="&amp;M1118),'FIRE TEX 5120'!$O$5:$T$40,IF(L1118="F-15",2,IF(L1118="F-30",3,IF(L1118="F-60",4,IF(L1118="F-90",5,IF(L1118="F-120",6,0))))),0),0)</f>
        <v>0</v>
      </c>
      <c r="Q1118" s="46">
        <f t="shared" si="104"/>
        <v>0</v>
      </c>
      <c r="R1118" s="46">
        <f t="shared" si="105"/>
        <v>0</v>
      </c>
      <c r="S1118" s="46" t="e">
        <f t="shared" si="106"/>
        <v>#VALUE!</v>
      </c>
      <c r="T1118" s="677">
        <f t="shared" si="107"/>
        <v>0</v>
      </c>
      <c r="U1118" s="80">
        <f>(IF(O1118="Stofire",(S1118*#REF!),0))+(IF(O1118="Fire Control",(S1118*$U$2),0))+(IF(O1118="Fire Tex",(S1118*$U$3),0))+(IF(O1118="WB7",(S1118*#REF!),0)+(IF(O1118="FX 2003",(S1118*$U$5),0)))</f>
        <v>0</v>
      </c>
      <c r="V1118" s="651">
        <f t="shared" si="108"/>
        <v>0</v>
      </c>
    </row>
    <row r="1119" spans="4:22" x14ac:dyDescent="0.25">
      <c r="D1119" s="118">
        <f>+CUBICACION!D1118</f>
        <v>0</v>
      </c>
      <c r="E1119" s="118">
        <f>+CUBICACION!F1118</f>
        <v>0</v>
      </c>
      <c r="F1119" s="118">
        <f>+CUBICACION!E1118</f>
        <v>0</v>
      </c>
      <c r="G1119" s="118">
        <v>12</v>
      </c>
      <c r="H1119" s="118">
        <v>2</v>
      </c>
      <c r="I1119" s="820">
        <v>26385</v>
      </c>
      <c r="J1119" s="118">
        <f>+CUBICACION!J1118</f>
        <v>0</v>
      </c>
      <c r="K1119" s="118">
        <v>3898</v>
      </c>
      <c r="L1119" s="118">
        <f>+CUBICACION!L1118</f>
        <v>0</v>
      </c>
      <c r="M1119" s="64">
        <f>+CUBICACION!M1118</f>
        <v>0</v>
      </c>
      <c r="N1119" s="824" t="str">
        <f>+CUBICACION!N1118</f>
        <v/>
      </c>
      <c r="O1119" s="675">
        <f>+CUBICACION!O1118</f>
        <v>0</v>
      </c>
      <c r="P1119" s="15">
        <f>IF(O1119="Fire Control",VLOOKUP(_xlfn.MINIFS('FIRE CONTROL'!$C$4:$C$37,'FIRE CONTROL'!$C$4:$C$37,"&gt;="&amp;M1119),'FIRE CONTROL'!$C$4:$G$37,IF(L1119="F-15",2,IF(L1119="F-30",3,IF(L1119="F-60",4,IF(L1119="F-90",5,0)))),0),0)+IF(AND(O1119="FIRE TEX 5062",OR(E1119="IN",E1119="C",E1119="Z",E1119="L"),J1119=3),VLOOKUP(_xlfn.MINIFS('FIRE TEX 5062'!$B$4:$B$34,'FIRE TEX 5062'!$B$4:$B$34,"&gt;="&amp;M1119),'FIRE TEX 5062'!$B$4:$F$34,IF(L1119="F-15",2,IF(L1119="F-30",3,IF(L1119="F-60",4,IF(L1119="F-90",5,0)))),0),0)+IF(AND(O1119="FIRE TEX 5062",OR(E1119="IN",E1119="C",E1119="Z",E1119="L"),J1119=4),VLOOKUP(_xlfn.MINIFS('FIRE TEX 5062'!$G$4:$G$34,'FIRE TEX 5062'!$G$4:$G$34,"&gt;="&amp;M1119),'FIRE TEX 5062'!$G$4:$K$34,IF(L1119="F-15",2,IF(L1119="F-30",3,IF(L1119="F-60",4,IF(L1119="F-90",5,0)))),0),0)+IF(AND(O1119="FIRE TEX 5062",E1119="CJ",J1119=3),VLOOKUP(_xlfn.MINIFS('FIRE TEX 5062'!$L$4:$L$34,'FIRE TEX 5062'!$L$4:$L$34,"&gt;="&amp;M1119),'FIRE TEX 5062'!$L$4:$P$34,IF(L1119="F-15",2,IF(L1119="F-30",3,IF(L1119="F-60",4,IF(L1119="F-90",5,0)))),0),0)+IF(AND(O1119="FIRE TEX 5062",E1119="CJ",J1119=4),VLOOKUP(_xlfn.MINIFS('FIRE TEX 5062'!$Q$3:$Q$34,'FIRE TEX 5062'!$Q$3:$Q$34,"&gt;="&amp;M1119),'FIRE TEX 5062'!$Q$3:$U$34,IF(L1119="F-15",2,IF(L1119="F-30",3,IF(L1119="F-60",4,IF(L1119="F-90",5,0)))),0),0)+IF(AND(O1119="FIRE TEX 5090",OR(E1119="IN",E1119="C",E1119="Z",E1119="L"),J1119=3),VLOOKUP(_xlfn.MINIFS('FIRE TEX 5090'!$B$5:$B$43,'FIRE TEX 5090'!$B$5:$B$43,"&gt;="&amp;M1119),'FIRE TEX 5090'!$B$5:$H$43,IF(L1119="F-15",2,IF(L1119="F-30",3,IF(L1119="F-60",4,IF(L1119="F-90",5,IF(L1119="F-120",6,IF(L1119="F-150",7,0)))))),0),0)+IF(AND(O1119="FIRE TEX 5090",OR(E1119="IN",E1119="C",E1119="Z",E1119="L"),J1119=4),VLOOKUP(_xlfn.MINIFS('FIRE TEX 5090'!$J$5:$J$43,'FIRE TEX 5090'!$J$5:$J$43,"&gt;="&amp;M1119),'FIRE TEX 5090'!$J$5:$P$43,IF(L1119="F-15",2,IF(L1119="F-30",3,IF(L1119="F-60",4,IF(L1119="F-90",5,IF(L1119="F-120",6,IF(L1119="F-150",7,0)))))),0),0)+IF(AND(O1119="FIRE TEX 5090",E1119="CJ",J1119=3),VLOOKUP(_xlfn.MINIFS('FIRE TEX 5090'!$R$5:$R$30,'FIRE TEX 5090'!$R$5:$R$30,"&gt;="&amp;M1119),'FIRE TEX 5090'!$R$5:$W$30,IF(L1119="F-15",2,IF(L1119="F-30",3,IF(L1119="F-60",4,IF(L1119="F-90",5,IF(L1119="F-120",6,IF(L1119="F-150",7,0)))))),0),0)+IF(AND(O1119="FIRE TEX 5090",E1119="CJ",J1119=4),VLOOKUP(_xlfn.MINIFS('FIRE TEX 5090'!$Y$5:$Y$39,'FIRE TEX 5090'!$Y$5:$Y$39,"&gt;="&amp;M1119),'FIRE TEX 5090'!$Y$5:$AD$39,IF(L1119="F-15",2,IF(L1119="F-30",3,IF(L1119="F-60",4,IF(L1119="F-90",5,IF(L1119="F-120",6,IF(L1119="F-150",7,0)))))),0),0)+IF(AND(O1119="FIRE TEX 5120",OR(E1119="IN",E1119="C",E1119="Z",E1119="L"),J1119=3),VLOOKUP(_xlfn.MINIFS('FIRE TEX 5120'!$B$5:$B$40,'FIRE TEX 5120'!$B$5:$B$40,"&gt;="&amp;M1119),'FIRE TEX 5120'!$B$5:$G$40,IF(L1119="F-15",2,IF(L1119="F-30",3,IF(L1119="F-60",4,IF(L1119="F-90",5,IF(L1119="F-120",6,0))))),0),0)+IF(AND(O1119="FIRE TEX 5120",OR(E1119="IN",E1119="C",E1119="Z",E1119="L"),J1119=4),VLOOKUP(_xlfn.MINIFS('FIRE TEX 5120'!$H$4:$H$40,'FIRE TEX 5120'!$H$4:$H$40,"&gt;="&amp;M1119),'FIRE TEX 5120'!$H$4:$M$40,IF(L1119="F-15",2,IF(L1119="F-30",3,IF(L1119="F-60",4,IF(L1119="F-90",5,IF(L1119="F-120",6,0))))),0),0)+IF(AND(O1119="FIRE TEX 5120",E1119="CJ"),VLOOKUP(_xlfn.MINIFS('FIRE TEX 5120'!$O$5:$O$40,'FIRE TEX 5120'!$O$5:$O$40,"&gt;="&amp;M1119),'FIRE TEX 5120'!$O$5:$T$40,IF(L1119="F-15",2,IF(L1119="F-30",3,IF(L1119="F-60",4,IF(L1119="F-90",5,IF(L1119="F-120",6,0))))),0),0)</f>
        <v>0</v>
      </c>
      <c r="Q1119" s="46">
        <f t="shared" si="104"/>
        <v>0</v>
      </c>
      <c r="R1119" s="46">
        <f t="shared" si="105"/>
        <v>0</v>
      </c>
      <c r="S1119" s="46" t="e">
        <f t="shared" si="106"/>
        <v>#VALUE!</v>
      </c>
      <c r="T1119" s="677">
        <f t="shared" si="107"/>
        <v>0</v>
      </c>
      <c r="U1119" s="80">
        <f>(IF(O1119="Stofire",(S1119*#REF!),0))+(IF(O1119="Fire Control",(S1119*$U$2),0))+(IF(O1119="Fire Tex",(S1119*$U$3),0))+(IF(O1119="WB7",(S1119*#REF!),0)+(IF(O1119="FX 2003",(S1119*$U$5),0)))</f>
        <v>0</v>
      </c>
      <c r="V1119" s="651">
        <f t="shared" si="108"/>
        <v>0</v>
      </c>
    </row>
    <row r="1120" spans="4:22" x14ac:dyDescent="0.25">
      <c r="D1120" s="118">
        <f>+CUBICACION!D1119</f>
        <v>0</v>
      </c>
      <c r="E1120" s="118">
        <f>+CUBICACION!F1119</f>
        <v>0</v>
      </c>
      <c r="F1120" s="118">
        <f>+CUBICACION!E1119</f>
        <v>0</v>
      </c>
      <c r="G1120" s="118">
        <v>12</v>
      </c>
      <c r="H1120" s="118">
        <v>2</v>
      </c>
      <c r="I1120" s="820">
        <v>26385</v>
      </c>
      <c r="J1120" s="118">
        <f>+CUBICACION!J1119</f>
        <v>0</v>
      </c>
      <c r="K1120" s="118">
        <v>3899</v>
      </c>
      <c r="L1120" s="118">
        <f>+CUBICACION!L1119</f>
        <v>0</v>
      </c>
      <c r="M1120" s="64">
        <f>+CUBICACION!M1119</f>
        <v>0</v>
      </c>
      <c r="N1120" s="824" t="str">
        <f>+CUBICACION!N1119</f>
        <v/>
      </c>
      <c r="O1120" s="675">
        <f>+CUBICACION!O1119</f>
        <v>0</v>
      </c>
      <c r="P1120" s="15">
        <f>IF(O1120="Fire Control",VLOOKUP(_xlfn.MINIFS('FIRE CONTROL'!$C$4:$C$37,'FIRE CONTROL'!$C$4:$C$37,"&gt;="&amp;M1120),'FIRE CONTROL'!$C$4:$G$37,IF(L1120="F-15",2,IF(L1120="F-30",3,IF(L1120="F-60",4,IF(L1120="F-90",5,0)))),0),0)+IF(AND(O1120="FIRE TEX 5062",OR(E1120="IN",E1120="C",E1120="Z",E1120="L"),J1120=3),VLOOKUP(_xlfn.MINIFS('FIRE TEX 5062'!$B$4:$B$34,'FIRE TEX 5062'!$B$4:$B$34,"&gt;="&amp;M1120),'FIRE TEX 5062'!$B$4:$F$34,IF(L1120="F-15",2,IF(L1120="F-30",3,IF(L1120="F-60",4,IF(L1120="F-90",5,0)))),0),0)+IF(AND(O1120="FIRE TEX 5062",OR(E1120="IN",E1120="C",E1120="Z",E1120="L"),J1120=4),VLOOKUP(_xlfn.MINIFS('FIRE TEX 5062'!$G$4:$G$34,'FIRE TEX 5062'!$G$4:$G$34,"&gt;="&amp;M1120),'FIRE TEX 5062'!$G$4:$K$34,IF(L1120="F-15",2,IF(L1120="F-30",3,IF(L1120="F-60",4,IF(L1120="F-90",5,0)))),0),0)+IF(AND(O1120="FIRE TEX 5062",E1120="CJ",J1120=3),VLOOKUP(_xlfn.MINIFS('FIRE TEX 5062'!$L$4:$L$34,'FIRE TEX 5062'!$L$4:$L$34,"&gt;="&amp;M1120),'FIRE TEX 5062'!$L$4:$P$34,IF(L1120="F-15",2,IF(L1120="F-30",3,IF(L1120="F-60",4,IF(L1120="F-90",5,0)))),0),0)+IF(AND(O1120="FIRE TEX 5062",E1120="CJ",J1120=4),VLOOKUP(_xlfn.MINIFS('FIRE TEX 5062'!$Q$3:$Q$34,'FIRE TEX 5062'!$Q$3:$Q$34,"&gt;="&amp;M1120),'FIRE TEX 5062'!$Q$3:$U$34,IF(L1120="F-15",2,IF(L1120="F-30",3,IF(L1120="F-60",4,IF(L1120="F-90",5,0)))),0),0)+IF(AND(O1120="FIRE TEX 5090",OR(E1120="IN",E1120="C",E1120="Z",E1120="L"),J1120=3),VLOOKUP(_xlfn.MINIFS('FIRE TEX 5090'!$B$5:$B$43,'FIRE TEX 5090'!$B$5:$B$43,"&gt;="&amp;M1120),'FIRE TEX 5090'!$B$5:$H$43,IF(L1120="F-15",2,IF(L1120="F-30",3,IF(L1120="F-60",4,IF(L1120="F-90",5,IF(L1120="F-120",6,IF(L1120="F-150",7,0)))))),0),0)+IF(AND(O1120="FIRE TEX 5090",OR(E1120="IN",E1120="C",E1120="Z",E1120="L"),J1120=4),VLOOKUP(_xlfn.MINIFS('FIRE TEX 5090'!$J$5:$J$43,'FIRE TEX 5090'!$J$5:$J$43,"&gt;="&amp;M1120),'FIRE TEX 5090'!$J$5:$P$43,IF(L1120="F-15",2,IF(L1120="F-30",3,IF(L1120="F-60",4,IF(L1120="F-90",5,IF(L1120="F-120",6,IF(L1120="F-150",7,0)))))),0),0)+IF(AND(O1120="FIRE TEX 5090",E1120="CJ",J1120=3),VLOOKUP(_xlfn.MINIFS('FIRE TEX 5090'!$R$5:$R$30,'FIRE TEX 5090'!$R$5:$R$30,"&gt;="&amp;M1120),'FIRE TEX 5090'!$R$5:$W$30,IF(L1120="F-15",2,IF(L1120="F-30",3,IF(L1120="F-60",4,IF(L1120="F-90",5,IF(L1120="F-120",6,IF(L1120="F-150",7,0)))))),0),0)+IF(AND(O1120="FIRE TEX 5090",E1120="CJ",J1120=4),VLOOKUP(_xlfn.MINIFS('FIRE TEX 5090'!$Y$5:$Y$39,'FIRE TEX 5090'!$Y$5:$Y$39,"&gt;="&amp;M1120),'FIRE TEX 5090'!$Y$5:$AD$39,IF(L1120="F-15",2,IF(L1120="F-30",3,IF(L1120="F-60",4,IF(L1120="F-90",5,IF(L1120="F-120",6,IF(L1120="F-150",7,0)))))),0),0)+IF(AND(O1120="FIRE TEX 5120",OR(E1120="IN",E1120="C",E1120="Z",E1120="L"),J1120=3),VLOOKUP(_xlfn.MINIFS('FIRE TEX 5120'!$B$5:$B$40,'FIRE TEX 5120'!$B$5:$B$40,"&gt;="&amp;M1120),'FIRE TEX 5120'!$B$5:$G$40,IF(L1120="F-15",2,IF(L1120="F-30",3,IF(L1120="F-60",4,IF(L1120="F-90",5,IF(L1120="F-120",6,0))))),0),0)+IF(AND(O1120="FIRE TEX 5120",OR(E1120="IN",E1120="C",E1120="Z",E1120="L"),J1120=4),VLOOKUP(_xlfn.MINIFS('FIRE TEX 5120'!$H$4:$H$40,'FIRE TEX 5120'!$H$4:$H$40,"&gt;="&amp;M1120),'FIRE TEX 5120'!$H$4:$M$40,IF(L1120="F-15",2,IF(L1120="F-30",3,IF(L1120="F-60",4,IF(L1120="F-90",5,IF(L1120="F-120",6,0))))),0),0)+IF(AND(O1120="FIRE TEX 5120",E1120="CJ"),VLOOKUP(_xlfn.MINIFS('FIRE TEX 5120'!$O$5:$O$40,'FIRE TEX 5120'!$O$5:$O$40,"&gt;="&amp;M1120),'FIRE TEX 5120'!$O$5:$T$40,IF(L1120="F-15",2,IF(L1120="F-30",3,IF(L1120="F-60",4,IF(L1120="F-90",5,IF(L1120="F-120",6,0))))),0),0)</f>
        <v>0</v>
      </c>
      <c r="Q1120" s="46">
        <f t="shared" si="104"/>
        <v>0</v>
      </c>
      <c r="R1120" s="46">
        <f t="shared" si="105"/>
        <v>0</v>
      </c>
      <c r="S1120" s="46" t="e">
        <f t="shared" si="106"/>
        <v>#VALUE!</v>
      </c>
      <c r="T1120" s="677">
        <f t="shared" si="107"/>
        <v>0</v>
      </c>
      <c r="U1120" s="80">
        <f>(IF(O1120="Stofire",(S1120*#REF!),0))+(IF(O1120="Fire Control",(S1120*$U$2),0))+(IF(O1120="Fire Tex",(S1120*$U$3),0))+(IF(O1120="WB7",(S1120*#REF!),0)+(IF(O1120="FX 2003",(S1120*$U$5),0)))</f>
        <v>0</v>
      </c>
      <c r="V1120" s="651">
        <f t="shared" si="108"/>
        <v>0</v>
      </c>
    </row>
    <row r="1121" spans="4:22" x14ac:dyDescent="0.25">
      <c r="D1121" s="118">
        <f>+CUBICACION!D1120</f>
        <v>0</v>
      </c>
      <c r="E1121" s="118">
        <f>+CUBICACION!F1120</f>
        <v>0</v>
      </c>
      <c r="F1121" s="118">
        <f>+CUBICACION!E1120</f>
        <v>0</v>
      </c>
      <c r="G1121" s="118">
        <v>12</v>
      </c>
      <c r="H1121" s="118">
        <v>2</v>
      </c>
      <c r="I1121" s="820">
        <v>26385</v>
      </c>
      <c r="J1121" s="118">
        <f>+CUBICACION!J1120</f>
        <v>0</v>
      </c>
      <c r="K1121" s="118">
        <v>3900</v>
      </c>
      <c r="L1121" s="118">
        <f>+CUBICACION!L1120</f>
        <v>0</v>
      </c>
      <c r="M1121" s="64">
        <f>+CUBICACION!M1120</f>
        <v>0</v>
      </c>
      <c r="N1121" s="824" t="str">
        <f>+CUBICACION!N1120</f>
        <v/>
      </c>
      <c r="O1121" s="675">
        <f>+CUBICACION!O1120</f>
        <v>0</v>
      </c>
      <c r="P1121" s="15">
        <f>IF(O1121="Fire Control",VLOOKUP(_xlfn.MINIFS('FIRE CONTROL'!$C$4:$C$37,'FIRE CONTROL'!$C$4:$C$37,"&gt;="&amp;M1121),'FIRE CONTROL'!$C$4:$G$37,IF(L1121="F-15",2,IF(L1121="F-30",3,IF(L1121="F-60",4,IF(L1121="F-90",5,0)))),0),0)+IF(AND(O1121="FIRE TEX 5062",OR(E1121="IN",E1121="C",E1121="Z",E1121="L"),J1121=3),VLOOKUP(_xlfn.MINIFS('FIRE TEX 5062'!$B$4:$B$34,'FIRE TEX 5062'!$B$4:$B$34,"&gt;="&amp;M1121),'FIRE TEX 5062'!$B$4:$F$34,IF(L1121="F-15",2,IF(L1121="F-30",3,IF(L1121="F-60",4,IF(L1121="F-90",5,0)))),0),0)+IF(AND(O1121="FIRE TEX 5062",OR(E1121="IN",E1121="C",E1121="Z",E1121="L"),J1121=4),VLOOKUP(_xlfn.MINIFS('FIRE TEX 5062'!$G$4:$G$34,'FIRE TEX 5062'!$G$4:$G$34,"&gt;="&amp;M1121),'FIRE TEX 5062'!$G$4:$K$34,IF(L1121="F-15",2,IF(L1121="F-30",3,IF(L1121="F-60",4,IF(L1121="F-90",5,0)))),0),0)+IF(AND(O1121="FIRE TEX 5062",E1121="CJ",J1121=3),VLOOKUP(_xlfn.MINIFS('FIRE TEX 5062'!$L$4:$L$34,'FIRE TEX 5062'!$L$4:$L$34,"&gt;="&amp;M1121),'FIRE TEX 5062'!$L$4:$P$34,IF(L1121="F-15",2,IF(L1121="F-30",3,IF(L1121="F-60",4,IF(L1121="F-90",5,0)))),0),0)+IF(AND(O1121="FIRE TEX 5062",E1121="CJ",J1121=4),VLOOKUP(_xlfn.MINIFS('FIRE TEX 5062'!$Q$3:$Q$34,'FIRE TEX 5062'!$Q$3:$Q$34,"&gt;="&amp;M1121),'FIRE TEX 5062'!$Q$3:$U$34,IF(L1121="F-15",2,IF(L1121="F-30",3,IF(L1121="F-60",4,IF(L1121="F-90",5,0)))),0),0)+IF(AND(O1121="FIRE TEX 5090",OR(E1121="IN",E1121="C",E1121="Z",E1121="L"),J1121=3),VLOOKUP(_xlfn.MINIFS('FIRE TEX 5090'!$B$5:$B$43,'FIRE TEX 5090'!$B$5:$B$43,"&gt;="&amp;M1121),'FIRE TEX 5090'!$B$5:$H$43,IF(L1121="F-15",2,IF(L1121="F-30",3,IF(L1121="F-60",4,IF(L1121="F-90",5,IF(L1121="F-120",6,IF(L1121="F-150",7,0)))))),0),0)+IF(AND(O1121="FIRE TEX 5090",OR(E1121="IN",E1121="C",E1121="Z",E1121="L"),J1121=4),VLOOKUP(_xlfn.MINIFS('FIRE TEX 5090'!$J$5:$J$43,'FIRE TEX 5090'!$J$5:$J$43,"&gt;="&amp;M1121),'FIRE TEX 5090'!$J$5:$P$43,IF(L1121="F-15",2,IF(L1121="F-30",3,IF(L1121="F-60",4,IF(L1121="F-90",5,IF(L1121="F-120",6,IF(L1121="F-150",7,0)))))),0),0)+IF(AND(O1121="FIRE TEX 5090",E1121="CJ",J1121=3),VLOOKUP(_xlfn.MINIFS('FIRE TEX 5090'!$R$5:$R$30,'FIRE TEX 5090'!$R$5:$R$30,"&gt;="&amp;M1121),'FIRE TEX 5090'!$R$5:$W$30,IF(L1121="F-15",2,IF(L1121="F-30",3,IF(L1121="F-60",4,IF(L1121="F-90",5,IF(L1121="F-120",6,IF(L1121="F-150",7,0)))))),0),0)+IF(AND(O1121="FIRE TEX 5090",E1121="CJ",J1121=4),VLOOKUP(_xlfn.MINIFS('FIRE TEX 5090'!$Y$5:$Y$39,'FIRE TEX 5090'!$Y$5:$Y$39,"&gt;="&amp;M1121),'FIRE TEX 5090'!$Y$5:$AD$39,IF(L1121="F-15",2,IF(L1121="F-30",3,IF(L1121="F-60",4,IF(L1121="F-90",5,IF(L1121="F-120",6,IF(L1121="F-150",7,0)))))),0),0)+IF(AND(O1121="FIRE TEX 5120",OR(E1121="IN",E1121="C",E1121="Z",E1121="L"),J1121=3),VLOOKUP(_xlfn.MINIFS('FIRE TEX 5120'!$B$5:$B$40,'FIRE TEX 5120'!$B$5:$B$40,"&gt;="&amp;M1121),'FIRE TEX 5120'!$B$5:$G$40,IF(L1121="F-15",2,IF(L1121="F-30",3,IF(L1121="F-60",4,IF(L1121="F-90",5,IF(L1121="F-120",6,0))))),0),0)+IF(AND(O1121="FIRE TEX 5120",OR(E1121="IN",E1121="C",E1121="Z",E1121="L"),J1121=4),VLOOKUP(_xlfn.MINIFS('FIRE TEX 5120'!$H$4:$H$40,'FIRE TEX 5120'!$H$4:$H$40,"&gt;="&amp;M1121),'FIRE TEX 5120'!$H$4:$M$40,IF(L1121="F-15",2,IF(L1121="F-30",3,IF(L1121="F-60",4,IF(L1121="F-90",5,IF(L1121="F-120",6,0))))),0),0)+IF(AND(O1121="FIRE TEX 5120",E1121="CJ"),VLOOKUP(_xlfn.MINIFS('FIRE TEX 5120'!$O$5:$O$40,'FIRE TEX 5120'!$O$5:$O$40,"&gt;="&amp;M1121),'FIRE TEX 5120'!$O$5:$T$40,IF(L1121="F-15",2,IF(L1121="F-30",3,IF(L1121="F-60",4,IF(L1121="F-90",5,IF(L1121="F-120",6,0))))),0),0)</f>
        <v>0</v>
      </c>
      <c r="Q1121" s="46">
        <f t="shared" si="104"/>
        <v>0</v>
      </c>
      <c r="R1121" s="46">
        <f t="shared" si="105"/>
        <v>0</v>
      </c>
      <c r="S1121" s="46" t="e">
        <f t="shared" si="106"/>
        <v>#VALUE!</v>
      </c>
      <c r="T1121" s="677">
        <f t="shared" si="107"/>
        <v>0</v>
      </c>
      <c r="U1121" s="80">
        <f>(IF(O1121="Stofire",(S1121*#REF!),0))+(IF(O1121="Fire Control",(S1121*$U$2),0))+(IF(O1121="Fire Tex",(S1121*$U$3),0))+(IF(O1121="WB7",(S1121*#REF!),0)+(IF(O1121="FX 2003",(S1121*$U$5),0)))</f>
        <v>0</v>
      </c>
      <c r="V1121" s="651">
        <f t="shared" si="108"/>
        <v>0</v>
      </c>
    </row>
    <row r="1122" spans="4:22" x14ac:dyDescent="0.25">
      <c r="D1122" s="118">
        <f>+CUBICACION!D1121</f>
        <v>0</v>
      </c>
      <c r="E1122" s="118">
        <f>+CUBICACION!F1121</f>
        <v>0</v>
      </c>
      <c r="F1122" s="118">
        <f>+CUBICACION!E1121</f>
        <v>0</v>
      </c>
      <c r="G1122" s="118">
        <v>12</v>
      </c>
      <c r="H1122" s="118">
        <v>2</v>
      </c>
      <c r="I1122" s="820">
        <v>26385</v>
      </c>
      <c r="J1122" s="118">
        <f>+CUBICACION!J1121</f>
        <v>0</v>
      </c>
      <c r="K1122" s="118">
        <v>3901</v>
      </c>
      <c r="L1122" s="118">
        <f>+CUBICACION!L1121</f>
        <v>0</v>
      </c>
      <c r="M1122" s="64">
        <f>+CUBICACION!M1121</f>
        <v>0</v>
      </c>
      <c r="N1122" s="824" t="str">
        <f>+CUBICACION!N1121</f>
        <v/>
      </c>
      <c r="O1122" s="675">
        <f>+CUBICACION!O1121</f>
        <v>0</v>
      </c>
      <c r="P1122" s="15">
        <f>IF(O1122="Fire Control",VLOOKUP(_xlfn.MINIFS('FIRE CONTROL'!$C$4:$C$37,'FIRE CONTROL'!$C$4:$C$37,"&gt;="&amp;M1122),'FIRE CONTROL'!$C$4:$G$37,IF(L1122="F-15",2,IF(L1122="F-30",3,IF(L1122="F-60",4,IF(L1122="F-90",5,0)))),0),0)+IF(AND(O1122="FIRE TEX 5062",OR(E1122="IN",E1122="C",E1122="Z",E1122="L"),J1122=3),VLOOKUP(_xlfn.MINIFS('FIRE TEX 5062'!$B$4:$B$34,'FIRE TEX 5062'!$B$4:$B$34,"&gt;="&amp;M1122),'FIRE TEX 5062'!$B$4:$F$34,IF(L1122="F-15",2,IF(L1122="F-30",3,IF(L1122="F-60",4,IF(L1122="F-90",5,0)))),0),0)+IF(AND(O1122="FIRE TEX 5062",OR(E1122="IN",E1122="C",E1122="Z",E1122="L"),J1122=4),VLOOKUP(_xlfn.MINIFS('FIRE TEX 5062'!$G$4:$G$34,'FIRE TEX 5062'!$G$4:$G$34,"&gt;="&amp;M1122),'FIRE TEX 5062'!$G$4:$K$34,IF(L1122="F-15",2,IF(L1122="F-30",3,IF(L1122="F-60",4,IF(L1122="F-90",5,0)))),0),0)+IF(AND(O1122="FIRE TEX 5062",E1122="CJ",J1122=3),VLOOKUP(_xlfn.MINIFS('FIRE TEX 5062'!$L$4:$L$34,'FIRE TEX 5062'!$L$4:$L$34,"&gt;="&amp;M1122),'FIRE TEX 5062'!$L$4:$P$34,IF(L1122="F-15",2,IF(L1122="F-30",3,IF(L1122="F-60",4,IF(L1122="F-90",5,0)))),0),0)+IF(AND(O1122="FIRE TEX 5062",E1122="CJ",J1122=4),VLOOKUP(_xlfn.MINIFS('FIRE TEX 5062'!$Q$3:$Q$34,'FIRE TEX 5062'!$Q$3:$Q$34,"&gt;="&amp;M1122),'FIRE TEX 5062'!$Q$3:$U$34,IF(L1122="F-15",2,IF(L1122="F-30",3,IF(L1122="F-60",4,IF(L1122="F-90",5,0)))),0),0)+IF(AND(O1122="FIRE TEX 5090",OR(E1122="IN",E1122="C",E1122="Z",E1122="L"),J1122=3),VLOOKUP(_xlfn.MINIFS('FIRE TEX 5090'!$B$5:$B$43,'FIRE TEX 5090'!$B$5:$B$43,"&gt;="&amp;M1122),'FIRE TEX 5090'!$B$5:$H$43,IF(L1122="F-15",2,IF(L1122="F-30",3,IF(L1122="F-60",4,IF(L1122="F-90",5,IF(L1122="F-120",6,IF(L1122="F-150",7,0)))))),0),0)+IF(AND(O1122="FIRE TEX 5090",OR(E1122="IN",E1122="C",E1122="Z",E1122="L"),J1122=4),VLOOKUP(_xlfn.MINIFS('FIRE TEX 5090'!$J$5:$J$43,'FIRE TEX 5090'!$J$5:$J$43,"&gt;="&amp;M1122),'FIRE TEX 5090'!$J$5:$P$43,IF(L1122="F-15",2,IF(L1122="F-30",3,IF(L1122="F-60",4,IF(L1122="F-90",5,IF(L1122="F-120",6,IF(L1122="F-150",7,0)))))),0),0)+IF(AND(O1122="FIRE TEX 5090",E1122="CJ",J1122=3),VLOOKUP(_xlfn.MINIFS('FIRE TEX 5090'!$R$5:$R$30,'FIRE TEX 5090'!$R$5:$R$30,"&gt;="&amp;M1122),'FIRE TEX 5090'!$R$5:$W$30,IF(L1122="F-15",2,IF(L1122="F-30",3,IF(L1122="F-60",4,IF(L1122="F-90",5,IF(L1122="F-120",6,IF(L1122="F-150",7,0)))))),0),0)+IF(AND(O1122="FIRE TEX 5090",E1122="CJ",J1122=4),VLOOKUP(_xlfn.MINIFS('FIRE TEX 5090'!$Y$5:$Y$39,'FIRE TEX 5090'!$Y$5:$Y$39,"&gt;="&amp;M1122),'FIRE TEX 5090'!$Y$5:$AD$39,IF(L1122="F-15",2,IF(L1122="F-30",3,IF(L1122="F-60",4,IF(L1122="F-90",5,IF(L1122="F-120",6,IF(L1122="F-150",7,0)))))),0),0)+IF(AND(O1122="FIRE TEX 5120",OR(E1122="IN",E1122="C",E1122="Z",E1122="L"),J1122=3),VLOOKUP(_xlfn.MINIFS('FIRE TEX 5120'!$B$5:$B$40,'FIRE TEX 5120'!$B$5:$B$40,"&gt;="&amp;M1122),'FIRE TEX 5120'!$B$5:$G$40,IF(L1122="F-15",2,IF(L1122="F-30",3,IF(L1122="F-60",4,IF(L1122="F-90",5,IF(L1122="F-120",6,0))))),0),0)+IF(AND(O1122="FIRE TEX 5120",OR(E1122="IN",E1122="C",E1122="Z",E1122="L"),J1122=4),VLOOKUP(_xlfn.MINIFS('FIRE TEX 5120'!$H$4:$H$40,'FIRE TEX 5120'!$H$4:$H$40,"&gt;="&amp;M1122),'FIRE TEX 5120'!$H$4:$M$40,IF(L1122="F-15",2,IF(L1122="F-30",3,IF(L1122="F-60",4,IF(L1122="F-90",5,IF(L1122="F-120",6,0))))),0),0)+IF(AND(O1122="FIRE TEX 5120",E1122="CJ"),VLOOKUP(_xlfn.MINIFS('FIRE TEX 5120'!$O$5:$O$40,'FIRE TEX 5120'!$O$5:$O$40,"&gt;="&amp;M1122),'FIRE TEX 5120'!$O$5:$T$40,IF(L1122="F-15",2,IF(L1122="F-30",3,IF(L1122="F-60",4,IF(L1122="F-90",5,IF(L1122="F-120",6,0))))),0),0)</f>
        <v>0</v>
      </c>
      <c r="Q1122" s="46">
        <f t="shared" si="104"/>
        <v>0</v>
      </c>
      <c r="R1122" s="46">
        <f t="shared" si="105"/>
        <v>0</v>
      </c>
      <c r="S1122" s="46" t="e">
        <f t="shared" si="106"/>
        <v>#VALUE!</v>
      </c>
      <c r="T1122" s="677">
        <f t="shared" si="107"/>
        <v>0</v>
      </c>
      <c r="U1122" s="80">
        <f>(IF(O1122="Stofire",(S1122*#REF!),0))+(IF(O1122="Fire Control",(S1122*$U$2),0))+(IF(O1122="Fire Tex",(S1122*$U$3),0))+(IF(O1122="WB7",(S1122*#REF!),0)+(IF(O1122="FX 2003",(S1122*$U$5),0)))</f>
        <v>0</v>
      </c>
      <c r="V1122" s="651">
        <f t="shared" si="108"/>
        <v>0</v>
      </c>
    </row>
    <row r="1123" spans="4:22" x14ac:dyDescent="0.25">
      <c r="D1123" s="118">
        <f>+CUBICACION!D1122</f>
        <v>0</v>
      </c>
      <c r="E1123" s="118">
        <f>+CUBICACION!F1122</f>
        <v>0</v>
      </c>
      <c r="F1123" s="118">
        <f>+CUBICACION!E1122</f>
        <v>0</v>
      </c>
      <c r="G1123" s="118">
        <v>12</v>
      </c>
      <c r="H1123" s="118">
        <v>2</v>
      </c>
      <c r="I1123" s="820">
        <v>26385</v>
      </c>
      <c r="J1123" s="118">
        <f>+CUBICACION!J1122</f>
        <v>0</v>
      </c>
      <c r="K1123" s="118">
        <v>3902</v>
      </c>
      <c r="L1123" s="118">
        <f>+CUBICACION!L1122</f>
        <v>0</v>
      </c>
      <c r="M1123" s="64">
        <f>+CUBICACION!M1122</f>
        <v>0</v>
      </c>
      <c r="N1123" s="824" t="str">
        <f>+CUBICACION!N1122</f>
        <v/>
      </c>
      <c r="O1123" s="675">
        <f>+CUBICACION!O1122</f>
        <v>0</v>
      </c>
      <c r="P1123" s="15">
        <f>IF(O1123="Fire Control",VLOOKUP(_xlfn.MINIFS('FIRE CONTROL'!$C$4:$C$37,'FIRE CONTROL'!$C$4:$C$37,"&gt;="&amp;M1123),'FIRE CONTROL'!$C$4:$G$37,IF(L1123="F-15",2,IF(L1123="F-30",3,IF(L1123="F-60",4,IF(L1123="F-90",5,0)))),0),0)+IF(AND(O1123="FIRE TEX 5062",OR(E1123="IN",E1123="C",E1123="Z",E1123="L"),J1123=3),VLOOKUP(_xlfn.MINIFS('FIRE TEX 5062'!$B$4:$B$34,'FIRE TEX 5062'!$B$4:$B$34,"&gt;="&amp;M1123),'FIRE TEX 5062'!$B$4:$F$34,IF(L1123="F-15",2,IF(L1123="F-30",3,IF(L1123="F-60",4,IF(L1123="F-90",5,0)))),0),0)+IF(AND(O1123="FIRE TEX 5062",OR(E1123="IN",E1123="C",E1123="Z",E1123="L"),J1123=4),VLOOKUP(_xlfn.MINIFS('FIRE TEX 5062'!$G$4:$G$34,'FIRE TEX 5062'!$G$4:$G$34,"&gt;="&amp;M1123),'FIRE TEX 5062'!$G$4:$K$34,IF(L1123="F-15",2,IF(L1123="F-30",3,IF(L1123="F-60",4,IF(L1123="F-90",5,0)))),0),0)+IF(AND(O1123="FIRE TEX 5062",E1123="CJ",J1123=3),VLOOKUP(_xlfn.MINIFS('FIRE TEX 5062'!$L$4:$L$34,'FIRE TEX 5062'!$L$4:$L$34,"&gt;="&amp;M1123),'FIRE TEX 5062'!$L$4:$P$34,IF(L1123="F-15",2,IF(L1123="F-30",3,IF(L1123="F-60",4,IF(L1123="F-90",5,0)))),0),0)+IF(AND(O1123="FIRE TEX 5062",E1123="CJ",J1123=4),VLOOKUP(_xlfn.MINIFS('FIRE TEX 5062'!$Q$3:$Q$34,'FIRE TEX 5062'!$Q$3:$Q$34,"&gt;="&amp;M1123),'FIRE TEX 5062'!$Q$3:$U$34,IF(L1123="F-15",2,IF(L1123="F-30",3,IF(L1123="F-60",4,IF(L1123="F-90",5,0)))),0),0)+IF(AND(O1123="FIRE TEX 5090",OR(E1123="IN",E1123="C",E1123="Z",E1123="L"),J1123=3),VLOOKUP(_xlfn.MINIFS('FIRE TEX 5090'!$B$5:$B$43,'FIRE TEX 5090'!$B$5:$B$43,"&gt;="&amp;M1123),'FIRE TEX 5090'!$B$5:$H$43,IF(L1123="F-15",2,IF(L1123="F-30",3,IF(L1123="F-60",4,IF(L1123="F-90",5,IF(L1123="F-120",6,IF(L1123="F-150",7,0)))))),0),0)+IF(AND(O1123="FIRE TEX 5090",OR(E1123="IN",E1123="C",E1123="Z",E1123="L"),J1123=4),VLOOKUP(_xlfn.MINIFS('FIRE TEX 5090'!$J$5:$J$43,'FIRE TEX 5090'!$J$5:$J$43,"&gt;="&amp;M1123),'FIRE TEX 5090'!$J$5:$P$43,IF(L1123="F-15",2,IF(L1123="F-30",3,IF(L1123="F-60",4,IF(L1123="F-90",5,IF(L1123="F-120",6,IF(L1123="F-150",7,0)))))),0),0)+IF(AND(O1123="FIRE TEX 5090",E1123="CJ",J1123=3),VLOOKUP(_xlfn.MINIFS('FIRE TEX 5090'!$R$5:$R$30,'FIRE TEX 5090'!$R$5:$R$30,"&gt;="&amp;M1123),'FIRE TEX 5090'!$R$5:$W$30,IF(L1123="F-15",2,IF(L1123="F-30",3,IF(L1123="F-60",4,IF(L1123="F-90",5,IF(L1123="F-120",6,IF(L1123="F-150",7,0)))))),0),0)+IF(AND(O1123="FIRE TEX 5090",E1123="CJ",J1123=4),VLOOKUP(_xlfn.MINIFS('FIRE TEX 5090'!$Y$5:$Y$39,'FIRE TEX 5090'!$Y$5:$Y$39,"&gt;="&amp;M1123),'FIRE TEX 5090'!$Y$5:$AD$39,IF(L1123="F-15",2,IF(L1123="F-30",3,IF(L1123="F-60",4,IF(L1123="F-90",5,IF(L1123="F-120",6,IF(L1123="F-150",7,0)))))),0),0)+IF(AND(O1123="FIRE TEX 5120",OR(E1123="IN",E1123="C",E1123="Z",E1123="L"),J1123=3),VLOOKUP(_xlfn.MINIFS('FIRE TEX 5120'!$B$5:$B$40,'FIRE TEX 5120'!$B$5:$B$40,"&gt;="&amp;M1123),'FIRE TEX 5120'!$B$5:$G$40,IF(L1123="F-15",2,IF(L1123="F-30",3,IF(L1123="F-60",4,IF(L1123="F-90",5,IF(L1123="F-120",6,0))))),0),0)+IF(AND(O1123="FIRE TEX 5120",OR(E1123="IN",E1123="C",E1123="Z",E1123="L"),J1123=4),VLOOKUP(_xlfn.MINIFS('FIRE TEX 5120'!$H$4:$H$40,'FIRE TEX 5120'!$H$4:$H$40,"&gt;="&amp;M1123),'FIRE TEX 5120'!$H$4:$M$40,IF(L1123="F-15",2,IF(L1123="F-30",3,IF(L1123="F-60",4,IF(L1123="F-90",5,IF(L1123="F-120",6,0))))),0),0)+IF(AND(O1123="FIRE TEX 5120",E1123="CJ"),VLOOKUP(_xlfn.MINIFS('FIRE TEX 5120'!$O$5:$O$40,'FIRE TEX 5120'!$O$5:$O$40,"&gt;="&amp;M1123),'FIRE TEX 5120'!$O$5:$T$40,IF(L1123="F-15",2,IF(L1123="F-30",3,IF(L1123="F-60",4,IF(L1123="F-90",5,IF(L1123="F-120",6,0))))),0),0)</f>
        <v>0</v>
      </c>
      <c r="Q1123" s="46">
        <f t="shared" si="104"/>
        <v>0</v>
      </c>
      <c r="R1123" s="46">
        <f t="shared" si="105"/>
        <v>0</v>
      </c>
      <c r="S1123" s="46" t="e">
        <f t="shared" si="106"/>
        <v>#VALUE!</v>
      </c>
      <c r="T1123" s="677">
        <f t="shared" si="107"/>
        <v>0</v>
      </c>
      <c r="U1123" s="80">
        <f>(IF(O1123="Stofire",(S1123*#REF!),0))+(IF(O1123="Fire Control",(S1123*$U$2),0))+(IF(O1123="Fire Tex",(S1123*$U$3),0))+(IF(O1123="WB7",(S1123*#REF!),0)+(IF(O1123="FX 2003",(S1123*$U$5),0)))</f>
        <v>0</v>
      </c>
      <c r="V1123" s="651">
        <f t="shared" si="108"/>
        <v>0</v>
      </c>
    </row>
    <row r="1124" spans="4:22" x14ac:dyDescent="0.25">
      <c r="D1124" s="118">
        <f>+CUBICACION!D1123</f>
        <v>0</v>
      </c>
      <c r="E1124" s="118">
        <f>+CUBICACION!F1123</f>
        <v>0</v>
      </c>
      <c r="F1124" s="118">
        <f>+CUBICACION!E1123</f>
        <v>0</v>
      </c>
      <c r="G1124" s="118">
        <v>12</v>
      </c>
      <c r="H1124" s="118">
        <v>2</v>
      </c>
      <c r="I1124" s="820">
        <v>26385</v>
      </c>
      <c r="J1124" s="118">
        <f>+CUBICACION!J1123</f>
        <v>0</v>
      </c>
      <c r="K1124" s="118">
        <v>3903</v>
      </c>
      <c r="L1124" s="118">
        <f>+CUBICACION!L1123</f>
        <v>0</v>
      </c>
      <c r="M1124" s="64">
        <f>+CUBICACION!M1123</f>
        <v>0</v>
      </c>
      <c r="N1124" s="824" t="str">
        <f>+CUBICACION!N1123</f>
        <v/>
      </c>
      <c r="O1124" s="675">
        <f>+CUBICACION!O1123</f>
        <v>0</v>
      </c>
      <c r="P1124" s="15">
        <f>IF(O1124="Fire Control",VLOOKUP(_xlfn.MINIFS('FIRE CONTROL'!$C$4:$C$37,'FIRE CONTROL'!$C$4:$C$37,"&gt;="&amp;M1124),'FIRE CONTROL'!$C$4:$G$37,IF(L1124="F-15",2,IF(L1124="F-30",3,IF(L1124="F-60",4,IF(L1124="F-90",5,0)))),0),0)+IF(AND(O1124="FIRE TEX 5062",OR(E1124="IN",E1124="C",E1124="Z",E1124="L"),J1124=3),VLOOKUP(_xlfn.MINIFS('FIRE TEX 5062'!$B$4:$B$34,'FIRE TEX 5062'!$B$4:$B$34,"&gt;="&amp;M1124),'FIRE TEX 5062'!$B$4:$F$34,IF(L1124="F-15",2,IF(L1124="F-30",3,IF(L1124="F-60",4,IF(L1124="F-90",5,0)))),0),0)+IF(AND(O1124="FIRE TEX 5062",OR(E1124="IN",E1124="C",E1124="Z",E1124="L"),J1124=4),VLOOKUP(_xlfn.MINIFS('FIRE TEX 5062'!$G$4:$G$34,'FIRE TEX 5062'!$G$4:$G$34,"&gt;="&amp;M1124),'FIRE TEX 5062'!$G$4:$K$34,IF(L1124="F-15",2,IF(L1124="F-30",3,IF(L1124="F-60",4,IF(L1124="F-90",5,0)))),0),0)+IF(AND(O1124="FIRE TEX 5062",E1124="CJ",J1124=3),VLOOKUP(_xlfn.MINIFS('FIRE TEX 5062'!$L$4:$L$34,'FIRE TEX 5062'!$L$4:$L$34,"&gt;="&amp;M1124),'FIRE TEX 5062'!$L$4:$P$34,IF(L1124="F-15",2,IF(L1124="F-30",3,IF(L1124="F-60",4,IF(L1124="F-90",5,0)))),0),0)+IF(AND(O1124="FIRE TEX 5062",E1124="CJ",J1124=4),VLOOKUP(_xlfn.MINIFS('FIRE TEX 5062'!$Q$3:$Q$34,'FIRE TEX 5062'!$Q$3:$Q$34,"&gt;="&amp;M1124),'FIRE TEX 5062'!$Q$3:$U$34,IF(L1124="F-15",2,IF(L1124="F-30",3,IF(L1124="F-60",4,IF(L1124="F-90",5,0)))),0),0)+IF(AND(O1124="FIRE TEX 5090",OR(E1124="IN",E1124="C",E1124="Z",E1124="L"),J1124=3),VLOOKUP(_xlfn.MINIFS('FIRE TEX 5090'!$B$5:$B$43,'FIRE TEX 5090'!$B$5:$B$43,"&gt;="&amp;M1124),'FIRE TEX 5090'!$B$5:$H$43,IF(L1124="F-15",2,IF(L1124="F-30",3,IF(L1124="F-60",4,IF(L1124="F-90",5,IF(L1124="F-120",6,IF(L1124="F-150",7,0)))))),0),0)+IF(AND(O1124="FIRE TEX 5090",OR(E1124="IN",E1124="C",E1124="Z",E1124="L"),J1124=4),VLOOKUP(_xlfn.MINIFS('FIRE TEX 5090'!$J$5:$J$43,'FIRE TEX 5090'!$J$5:$J$43,"&gt;="&amp;M1124),'FIRE TEX 5090'!$J$5:$P$43,IF(L1124="F-15",2,IF(L1124="F-30",3,IF(L1124="F-60",4,IF(L1124="F-90",5,IF(L1124="F-120",6,IF(L1124="F-150",7,0)))))),0),0)+IF(AND(O1124="FIRE TEX 5090",E1124="CJ",J1124=3),VLOOKUP(_xlfn.MINIFS('FIRE TEX 5090'!$R$5:$R$30,'FIRE TEX 5090'!$R$5:$R$30,"&gt;="&amp;M1124),'FIRE TEX 5090'!$R$5:$W$30,IF(L1124="F-15",2,IF(L1124="F-30",3,IF(L1124="F-60",4,IF(L1124="F-90",5,IF(L1124="F-120",6,IF(L1124="F-150",7,0)))))),0),0)+IF(AND(O1124="FIRE TEX 5090",E1124="CJ",J1124=4),VLOOKUP(_xlfn.MINIFS('FIRE TEX 5090'!$Y$5:$Y$39,'FIRE TEX 5090'!$Y$5:$Y$39,"&gt;="&amp;M1124),'FIRE TEX 5090'!$Y$5:$AD$39,IF(L1124="F-15",2,IF(L1124="F-30",3,IF(L1124="F-60",4,IF(L1124="F-90",5,IF(L1124="F-120",6,IF(L1124="F-150",7,0)))))),0),0)+IF(AND(O1124="FIRE TEX 5120",OR(E1124="IN",E1124="C",E1124="Z",E1124="L"),J1124=3),VLOOKUP(_xlfn.MINIFS('FIRE TEX 5120'!$B$5:$B$40,'FIRE TEX 5120'!$B$5:$B$40,"&gt;="&amp;M1124),'FIRE TEX 5120'!$B$5:$G$40,IF(L1124="F-15",2,IF(L1124="F-30",3,IF(L1124="F-60",4,IF(L1124="F-90",5,IF(L1124="F-120",6,0))))),0),0)+IF(AND(O1124="FIRE TEX 5120",OR(E1124="IN",E1124="C",E1124="Z",E1124="L"),J1124=4),VLOOKUP(_xlfn.MINIFS('FIRE TEX 5120'!$H$4:$H$40,'FIRE TEX 5120'!$H$4:$H$40,"&gt;="&amp;M1124),'FIRE TEX 5120'!$H$4:$M$40,IF(L1124="F-15",2,IF(L1124="F-30",3,IF(L1124="F-60",4,IF(L1124="F-90",5,IF(L1124="F-120",6,0))))),0),0)+IF(AND(O1124="FIRE TEX 5120",E1124="CJ"),VLOOKUP(_xlfn.MINIFS('FIRE TEX 5120'!$O$5:$O$40,'FIRE TEX 5120'!$O$5:$O$40,"&gt;="&amp;M1124),'FIRE TEX 5120'!$O$5:$T$40,IF(L1124="F-15",2,IF(L1124="F-30",3,IF(L1124="F-60",4,IF(L1124="F-90",5,IF(L1124="F-120",6,0))))),0),0)</f>
        <v>0</v>
      </c>
      <c r="Q1124" s="46">
        <f t="shared" si="104"/>
        <v>0</v>
      </c>
      <c r="R1124" s="46">
        <f t="shared" si="105"/>
        <v>0</v>
      </c>
      <c r="S1124" s="46" t="e">
        <f t="shared" si="106"/>
        <v>#VALUE!</v>
      </c>
      <c r="T1124" s="677">
        <f t="shared" si="107"/>
        <v>0</v>
      </c>
      <c r="U1124" s="80">
        <f>(IF(O1124="Stofire",(S1124*#REF!),0))+(IF(O1124="Fire Control",(S1124*$U$2),0))+(IF(O1124="Fire Tex",(S1124*$U$3),0))+(IF(O1124="WB7",(S1124*#REF!),0)+(IF(O1124="FX 2003",(S1124*$U$5),0)))</f>
        <v>0</v>
      </c>
      <c r="V1124" s="651">
        <f t="shared" si="108"/>
        <v>0</v>
      </c>
    </row>
    <row r="1125" spans="4:22" x14ac:dyDescent="0.25">
      <c r="D1125" s="118">
        <f>+CUBICACION!D1124</f>
        <v>0</v>
      </c>
      <c r="E1125" s="118">
        <f>+CUBICACION!F1124</f>
        <v>0</v>
      </c>
      <c r="F1125" s="118">
        <f>+CUBICACION!E1124</f>
        <v>0</v>
      </c>
      <c r="G1125" s="118">
        <v>12</v>
      </c>
      <c r="H1125" s="118">
        <v>2</v>
      </c>
      <c r="I1125" s="820">
        <v>26385</v>
      </c>
      <c r="J1125" s="118">
        <f>+CUBICACION!J1124</f>
        <v>0</v>
      </c>
      <c r="K1125" s="118">
        <v>3904</v>
      </c>
      <c r="L1125" s="118">
        <f>+CUBICACION!L1124</f>
        <v>0</v>
      </c>
      <c r="M1125" s="64">
        <f>+CUBICACION!M1124</f>
        <v>0</v>
      </c>
      <c r="N1125" s="824" t="str">
        <f>+CUBICACION!N1124</f>
        <v/>
      </c>
      <c r="O1125" s="675">
        <f>+CUBICACION!O1124</f>
        <v>0</v>
      </c>
      <c r="P1125" s="15">
        <f>IF(O1125="Fire Control",VLOOKUP(_xlfn.MINIFS('FIRE CONTROL'!$C$4:$C$37,'FIRE CONTROL'!$C$4:$C$37,"&gt;="&amp;M1125),'FIRE CONTROL'!$C$4:$G$37,IF(L1125="F-15",2,IF(L1125="F-30",3,IF(L1125="F-60",4,IF(L1125="F-90",5,0)))),0),0)+IF(AND(O1125="FIRE TEX 5062",OR(E1125="IN",E1125="C",E1125="Z",E1125="L"),J1125=3),VLOOKUP(_xlfn.MINIFS('FIRE TEX 5062'!$B$4:$B$34,'FIRE TEX 5062'!$B$4:$B$34,"&gt;="&amp;M1125),'FIRE TEX 5062'!$B$4:$F$34,IF(L1125="F-15",2,IF(L1125="F-30",3,IF(L1125="F-60",4,IF(L1125="F-90",5,0)))),0),0)+IF(AND(O1125="FIRE TEX 5062",OR(E1125="IN",E1125="C",E1125="Z",E1125="L"),J1125=4),VLOOKUP(_xlfn.MINIFS('FIRE TEX 5062'!$G$4:$G$34,'FIRE TEX 5062'!$G$4:$G$34,"&gt;="&amp;M1125),'FIRE TEX 5062'!$G$4:$K$34,IF(L1125="F-15",2,IF(L1125="F-30",3,IF(L1125="F-60",4,IF(L1125="F-90",5,0)))),0),0)+IF(AND(O1125="FIRE TEX 5062",E1125="CJ",J1125=3),VLOOKUP(_xlfn.MINIFS('FIRE TEX 5062'!$L$4:$L$34,'FIRE TEX 5062'!$L$4:$L$34,"&gt;="&amp;M1125),'FIRE TEX 5062'!$L$4:$P$34,IF(L1125="F-15",2,IF(L1125="F-30",3,IF(L1125="F-60",4,IF(L1125="F-90",5,0)))),0),0)+IF(AND(O1125="FIRE TEX 5062",E1125="CJ",J1125=4),VLOOKUP(_xlfn.MINIFS('FIRE TEX 5062'!$Q$3:$Q$34,'FIRE TEX 5062'!$Q$3:$Q$34,"&gt;="&amp;M1125),'FIRE TEX 5062'!$Q$3:$U$34,IF(L1125="F-15",2,IF(L1125="F-30",3,IF(L1125="F-60",4,IF(L1125="F-90",5,0)))),0),0)+IF(AND(O1125="FIRE TEX 5090",OR(E1125="IN",E1125="C",E1125="Z",E1125="L"),J1125=3),VLOOKUP(_xlfn.MINIFS('FIRE TEX 5090'!$B$5:$B$43,'FIRE TEX 5090'!$B$5:$B$43,"&gt;="&amp;M1125),'FIRE TEX 5090'!$B$5:$H$43,IF(L1125="F-15",2,IF(L1125="F-30",3,IF(L1125="F-60",4,IF(L1125="F-90",5,IF(L1125="F-120",6,IF(L1125="F-150",7,0)))))),0),0)+IF(AND(O1125="FIRE TEX 5090",OR(E1125="IN",E1125="C",E1125="Z",E1125="L"),J1125=4),VLOOKUP(_xlfn.MINIFS('FIRE TEX 5090'!$J$5:$J$43,'FIRE TEX 5090'!$J$5:$J$43,"&gt;="&amp;M1125),'FIRE TEX 5090'!$J$5:$P$43,IF(L1125="F-15",2,IF(L1125="F-30",3,IF(L1125="F-60",4,IF(L1125="F-90",5,IF(L1125="F-120",6,IF(L1125="F-150",7,0)))))),0),0)+IF(AND(O1125="FIRE TEX 5090",E1125="CJ",J1125=3),VLOOKUP(_xlfn.MINIFS('FIRE TEX 5090'!$R$5:$R$30,'FIRE TEX 5090'!$R$5:$R$30,"&gt;="&amp;M1125),'FIRE TEX 5090'!$R$5:$W$30,IF(L1125="F-15",2,IF(L1125="F-30",3,IF(L1125="F-60",4,IF(L1125="F-90",5,IF(L1125="F-120",6,IF(L1125="F-150",7,0)))))),0),0)+IF(AND(O1125="FIRE TEX 5090",E1125="CJ",J1125=4),VLOOKUP(_xlfn.MINIFS('FIRE TEX 5090'!$Y$5:$Y$39,'FIRE TEX 5090'!$Y$5:$Y$39,"&gt;="&amp;M1125),'FIRE TEX 5090'!$Y$5:$AD$39,IF(L1125="F-15",2,IF(L1125="F-30",3,IF(L1125="F-60",4,IF(L1125="F-90",5,IF(L1125="F-120",6,IF(L1125="F-150",7,0)))))),0),0)+IF(AND(O1125="FIRE TEX 5120",OR(E1125="IN",E1125="C",E1125="Z",E1125="L"),J1125=3),VLOOKUP(_xlfn.MINIFS('FIRE TEX 5120'!$B$5:$B$40,'FIRE TEX 5120'!$B$5:$B$40,"&gt;="&amp;M1125),'FIRE TEX 5120'!$B$5:$G$40,IF(L1125="F-15",2,IF(L1125="F-30",3,IF(L1125="F-60",4,IF(L1125="F-90",5,IF(L1125="F-120",6,0))))),0),0)+IF(AND(O1125="FIRE TEX 5120",OR(E1125="IN",E1125="C",E1125="Z",E1125="L"),J1125=4),VLOOKUP(_xlfn.MINIFS('FIRE TEX 5120'!$H$4:$H$40,'FIRE TEX 5120'!$H$4:$H$40,"&gt;="&amp;M1125),'FIRE TEX 5120'!$H$4:$M$40,IF(L1125="F-15",2,IF(L1125="F-30",3,IF(L1125="F-60",4,IF(L1125="F-90",5,IF(L1125="F-120",6,0))))),0),0)+IF(AND(O1125="FIRE TEX 5120",E1125="CJ"),VLOOKUP(_xlfn.MINIFS('FIRE TEX 5120'!$O$5:$O$40,'FIRE TEX 5120'!$O$5:$O$40,"&gt;="&amp;M1125),'FIRE TEX 5120'!$O$5:$T$40,IF(L1125="F-15",2,IF(L1125="F-30",3,IF(L1125="F-60",4,IF(L1125="F-90",5,IF(L1125="F-120",6,0))))),0),0)</f>
        <v>0</v>
      </c>
      <c r="Q1125" s="46">
        <f t="shared" si="104"/>
        <v>0</v>
      </c>
      <c r="R1125" s="46">
        <f t="shared" si="105"/>
        <v>0</v>
      </c>
      <c r="S1125" s="46" t="e">
        <f t="shared" si="106"/>
        <v>#VALUE!</v>
      </c>
      <c r="T1125" s="677">
        <f t="shared" si="107"/>
        <v>0</v>
      </c>
      <c r="U1125" s="80">
        <f>(IF(O1125="Stofire",(S1125*#REF!),0))+(IF(O1125="Fire Control",(S1125*$U$2),0))+(IF(O1125="Fire Tex",(S1125*$U$3),0))+(IF(O1125="WB7",(S1125*#REF!),0)+(IF(O1125="FX 2003",(S1125*$U$5),0)))</f>
        <v>0</v>
      </c>
      <c r="V1125" s="651">
        <f t="shared" si="108"/>
        <v>0</v>
      </c>
    </row>
    <row r="1126" spans="4:22" x14ac:dyDescent="0.25">
      <c r="D1126" s="118">
        <f>+CUBICACION!D1125</f>
        <v>0</v>
      </c>
      <c r="E1126" s="118">
        <f>+CUBICACION!F1125</f>
        <v>0</v>
      </c>
      <c r="F1126" s="118">
        <f>+CUBICACION!E1125</f>
        <v>0</v>
      </c>
      <c r="G1126" s="118">
        <v>12</v>
      </c>
      <c r="H1126" s="118">
        <v>2</v>
      </c>
      <c r="I1126" s="820">
        <v>26385</v>
      </c>
      <c r="J1126" s="118">
        <f>+CUBICACION!J1125</f>
        <v>0</v>
      </c>
      <c r="K1126" s="118">
        <v>3905</v>
      </c>
      <c r="L1126" s="118">
        <f>+CUBICACION!L1125</f>
        <v>0</v>
      </c>
      <c r="M1126" s="64">
        <f>+CUBICACION!M1125</f>
        <v>0</v>
      </c>
      <c r="N1126" s="824" t="str">
        <f>+CUBICACION!N1125</f>
        <v/>
      </c>
      <c r="O1126" s="675">
        <f>+CUBICACION!O1125</f>
        <v>0</v>
      </c>
      <c r="P1126" s="15">
        <f>IF(O1126="Fire Control",VLOOKUP(_xlfn.MINIFS('FIRE CONTROL'!$C$4:$C$37,'FIRE CONTROL'!$C$4:$C$37,"&gt;="&amp;M1126),'FIRE CONTROL'!$C$4:$G$37,IF(L1126="F-15",2,IF(L1126="F-30",3,IF(L1126="F-60",4,IF(L1126="F-90",5,0)))),0),0)+IF(AND(O1126="FIRE TEX 5062",OR(E1126="IN",E1126="C",E1126="Z",E1126="L"),J1126=3),VLOOKUP(_xlfn.MINIFS('FIRE TEX 5062'!$B$4:$B$34,'FIRE TEX 5062'!$B$4:$B$34,"&gt;="&amp;M1126),'FIRE TEX 5062'!$B$4:$F$34,IF(L1126="F-15",2,IF(L1126="F-30",3,IF(L1126="F-60",4,IF(L1126="F-90",5,0)))),0),0)+IF(AND(O1126="FIRE TEX 5062",OR(E1126="IN",E1126="C",E1126="Z",E1126="L"),J1126=4),VLOOKUP(_xlfn.MINIFS('FIRE TEX 5062'!$G$4:$G$34,'FIRE TEX 5062'!$G$4:$G$34,"&gt;="&amp;M1126),'FIRE TEX 5062'!$G$4:$K$34,IF(L1126="F-15",2,IF(L1126="F-30",3,IF(L1126="F-60",4,IF(L1126="F-90",5,0)))),0),0)+IF(AND(O1126="FIRE TEX 5062",E1126="CJ",J1126=3),VLOOKUP(_xlfn.MINIFS('FIRE TEX 5062'!$L$4:$L$34,'FIRE TEX 5062'!$L$4:$L$34,"&gt;="&amp;M1126),'FIRE TEX 5062'!$L$4:$P$34,IF(L1126="F-15",2,IF(L1126="F-30",3,IF(L1126="F-60",4,IF(L1126="F-90",5,0)))),0),0)+IF(AND(O1126="FIRE TEX 5062",E1126="CJ",J1126=4),VLOOKUP(_xlfn.MINIFS('FIRE TEX 5062'!$Q$3:$Q$34,'FIRE TEX 5062'!$Q$3:$Q$34,"&gt;="&amp;M1126),'FIRE TEX 5062'!$Q$3:$U$34,IF(L1126="F-15",2,IF(L1126="F-30",3,IF(L1126="F-60",4,IF(L1126="F-90",5,0)))),0),0)+IF(AND(O1126="FIRE TEX 5090",OR(E1126="IN",E1126="C",E1126="Z",E1126="L"),J1126=3),VLOOKUP(_xlfn.MINIFS('FIRE TEX 5090'!$B$5:$B$43,'FIRE TEX 5090'!$B$5:$B$43,"&gt;="&amp;M1126),'FIRE TEX 5090'!$B$5:$H$43,IF(L1126="F-15",2,IF(L1126="F-30",3,IF(L1126="F-60",4,IF(L1126="F-90",5,IF(L1126="F-120",6,IF(L1126="F-150",7,0)))))),0),0)+IF(AND(O1126="FIRE TEX 5090",OR(E1126="IN",E1126="C",E1126="Z",E1126="L"),J1126=4),VLOOKUP(_xlfn.MINIFS('FIRE TEX 5090'!$J$5:$J$43,'FIRE TEX 5090'!$J$5:$J$43,"&gt;="&amp;M1126),'FIRE TEX 5090'!$J$5:$P$43,IF(L1126="F-15",2,IF(L1126="F-30",3,IF(L1126="F-60",4,IF(L1126="F-90",5,IF(L1126="F-120",6,IF(L1126="F-150",7,0)))))),0),0)+IF(AND(O1126="FIRE TEX 5090",E1126="CJ",J1126=3),VLOOKUP(_xlfn.MINIFS('FIRE TEX 5090'!$R$5:$R$30,'FIRE TEX 5090'!$R$5:$R$30,"&gt;="&amp;M1126),'FIRE TEX 5090'!$R$5:$W$30,IF(L1126="F-15",2,IF(L1126="F-30",3,IF(L1126="F-60",4,IF(L1126="F-90",5,IF(L1126="F-120",6,IF(L1126="F-150",7,0)))))),0),0)+IF(AND(O1126="FIRE TEX 5090",E1126="CJ",J1126=4),VLOOKUP(_xlfn.MINIFS('FIRE TEX 5090'!$Y$5:$Y$39,'FIRE TEX 5090'!$Y$5:$Y$39,"&gt;="&amp;M1126),'FIRE TEX 5090'!$Y$5:$AD$39,IF(L1126="F-15",2,IF(L1126="F-30",3,IF(L1126="F-60",4,IF(L1126="F-90",5,IF(L1126="F-120",6,IF(L1126="F-150",7,0)))))),0),0)+IF(AND(O1126="FIRE TEX 5120",OR(E1126="IN",E1126="C",E1126="Z",E1126="L"),J1126=3),VLOOKUP(_xlfn.MINIFS('FIRE TEX 5120'!$B$5:$B$40,'FIRE TEX 5120'!$B$5:$B$40,"&gt;="&amp;M1126),'FIRE TEX 5120'!$B$5:$G$40,IF(L1126="F-15",2,IF(L1126="F-30",3,IF(L1126="F-60",4,IF(L1126="F-90",5,IF(L1126="F-120",6,0))))),0),0)+IF(AND(O1126="FIRE TEX 5120",OR(E1126="IN",E1126="C",E1126="Z",E1126="L"),J1126=4),VLOOKUP(_xlfn.MINIFS('FIRE TEX 5120'!$H$4:$H$40,'FIRE TEX 5120'!$H$4:$H$40,"&gt;="&amp;M1126),'FIRE TEX 5120'!$H$4:$M$40,IF(L1126="F-15",2,IF(L1126="F-30",3,IF(L1126="F-60",4,IF(L1126="F-90",5,IF(L1126="F-120",6,0))))),0),0)+IF(AND(O1126="FIRE TEX 5120",E1126="CJ"),VLOOKUP(_xlfn.MINIFS('FIRE TEX 5120'!$O$5:$O$40,'FIRE TEX 5120'!$O$5:$O$40,"&gt;="&amp;M1126),'FIRE TEX 5120'!$O$5:$T$40,IF(L1126="F-15",2,IF(L1126="F-30",3,IF(L1126="F-60",4,IF(L1126="F-90",5,IF(L1126="F-120",6,0))))),0),0)</f>
        <v>0</v>
      </c>
      <c r="Q1126" s="46">
        <f t="shared" si="104"/>
        <v>0</v>
      </c>
      <c r="R1126" s="46">
        <f t="shared" si="105"/>
        <v>0</v>
      </c>
      <c r="S1126" s="46" t="e">
        <f t="shared" si="106"/>
        <v>#VALUE!</v>
      </c>
      <c r="T1126" s="677">
        <f t="shared" si="107"/>
        <v>0</v>
      </c>
      <c r="U1126" s="80">
        <f>(IF(O1126="Stofire",(S1126*#REF!),0))+(IF(O1126="Fire Control",(S1126*$U$2),0))+(IF(O1126="Fire Tex",(S1126*$U$3),0))+(IF(O1126="WB7",(S1126*#REF!),0)+(IF(O1126="FX 2003",(S1126*$U$5),0)))</f>
        <v>0</v>
      </c>
      <c r="V1126" s="651">
        <f t="shared" si="108"/>
        <v>0</v>
      </c>
    </row>
    <row r="1127" spans="4:22" x14ac:dyDescent="0.25">
      <c r="D1127" s="118">
        <f>+CUBICACION!D1126</f>
        <v>0</v>
      </c>
      <c r="E1127" s="118">
        <f>+CUBICACION!F1126</f>
        <v>0</v>
      </c>
      <c r="F1127" s="118">
        <f>+CUBICACION!E1126</f>
        <v>0</v>
      </c>
      <c r="G1127" s="118">
        <v>12</v>
      </c>
      <c r="H1127" s="118">
        <v>2</v>
      </c>
      <c r="I1127" s="820">
        <v>26385</v>
      </c>
      <c r="J1127" s="118">
        <f>+CUBICACION!J1126</f>
        <v>0</v>
      </c>
      <c r="K1127" s="118">
        <v>3906</v>
      </c>
      <c r="L1127" s="118">
        <f>+CUBICACION!L1126</f>
        <v>0</v>
      </c>
      <c r="M1127" s="64">
        <f>+CUBICACION!M1126</f>
        <v>0</v>
      </c>
      <c r="N1127" s="824" t="str">
        <f>+CUBICACION!N1126</f>
        <v/>
      </c>
      <c r="O1127" s="675">
        <f>+CUBICACION!O1126</f>
        <v>0</v>
      </c>
      <c r="P1127" s="15">
        <f>IF(O1127="Fire Control",VLOOKUP(_xlfn.MINIFS('FIRE CONTROL'!$C$4:$C$37,'FIRE CONTROL'!$C$4:$C$37,"&gt;="&amp;M1127),'FIRE CONTROL'!$C$4:$G$37,IF(L1127="F-15",2,IF(L1127="F-30",3,IF(L1127="F-60",4,IF(L1127="F-90",5,0)))),0),0)+IF(AND(O1127="FIRE TEX 5062",OR(E1127="IN",E1127="C",E1127="Z",E1127="L"),J1127=3),VLOOKUP(_xlfn.MINIFS('FIRE TEX 5062'!$B$4:$B$34,'FIRE TEX 5062'!$B$4:$B$34,"&gt;="&amp;M1127),'FIRE TEX 5062'!$B$4:$F$34,IF(L1127="F-15",2,IF(L1127="F-30",3,IF(L1127="F-60",4,IF(L1127="F-90",5,0)))),0),0)+IF(AND(O1127="FIRE TEX 5062",OR(E1127="IN",E1127="C",E1127="Z",E1127="L"),J1127=4),VLOOKUP(_xlfn.MINIFS('FIRE TEX 5062'!$G$4:$G$34,'FIRE TEX 5062'!$G$4:$G$34,"&gt;="&amp;M1127),'FIRE TEX 5062'!$G$4:$K$34,IF(L1127="F-15",2,IF(L1127="F-30",3,IF(L1127="F-60",4,IF(L1127="F-90",5,0)))),0),0)+IF(AND(O1127="FIRE TEX 5062",E1127="CJ",J1127=3),VLOOKUP(_xlfn.MINIFS('FIRE TEX 5062'!$L$4:$L$34,'FIRE TEX 5062'!$L$4:$L$34,"&gt;="&amp;M1127),'FIRE TEX 5062'!$L$4:$P$34,IF(L1127="F-15",2,IF(L1127="F-30",3,IF(L1127="F-60",4,IF(L1127="F-90",5,0)))),0),0)+IF(AND(O1127="FIRE TEX 5062",E1127="CJ",J1127=4),VLOOKUP(_xlfn.MINIFS('FIRE TEX 5062'!$Q$3:$Q$34,'FIRE TEX 5062'!$Q$3:$Q$34,"&gt;="&amp;M1127),'FIRE TEX 5062'!$Q$3:$U$34,IF(L1127="F-15",2,IF(L1127="F-30",3,IF(L1127="F-60",4,IF(L1127="F-90",5,0)))),0),0)+IF(AND(O1127="FIRE TEX 5090",OR(E1127="IN",E1127="C",E1127="Z",E1127="L"),J1127=3),VLOOKUP(_xlfn.MINIFS('FIRE TEX 5090'!$B$5:$B$43,'FIRE TEX 5090'!$B$5:$B$43,"&gt;="&amp;M1127),'FIRE TEX 5090'!$B$5:$H$43,IF(L1127="F-15",2,IF(L1127="F-30",3,IF(L1127="F-60",4,IF(L1127="F-90",5,IF(L1127="F-120",6,IF(L1127="F-150",7,0)))))),0),0)+IF(AND(O1127="FIRE TEX 5090",OR(E1127="IN",E1127="C",E1127="Z",E1127="L"),J1127=4),VLOOKUP(_xlfn.MINIFS('FIRE TEX 5090'!$J$5:$J$43,'FIRE TEX 5090'!$J$5:$J$43,"&gt;="&amp;M1127),'FIRE TEX 5090'!$J$5:$P$43,IF(L1127="F-15",2,IF(L1127="F-30",3,IF(L1127="F-60",4,IF(L1127="F-90",5,IF(L1127="F-120",6,IF(L1127="F-150",7,0)))))),0),0)+IF(AND(O1127="FIRE TEX 5090",E1127="CJ",J1127=3),VLOOKUP(_xlfn.MINIFS('FIRE TEX 5090'!$R$5:$R$30,'FIRE TEX 5090'!$R$5:$R$30,"&gt;="&amp;M1127),'FIRE TEX 5090'!$R$5:$W$30,IF(L1127="F-15",2,IF(L1127="F-30",3,IF(L1127="F-60",4,IF(L1127="F-90",5,IF(L1127="F-120",6,IF(L1127="F-150",7,0)))))),0),0)+IF(AND(O1127="FIRE TEX 5090",E1127="CJ",J1127=4),VLOOKUP(_xlfn.MINIFS('FIRE TEX 5090'!$Y$5:$Y$39,'FIRE TEX 5090'!$Y$5:$Y$39,"&gt;="&amp;M1127),'FIRE TEX 5090'!$Y$5:$AD$39,IF(L1127="F-15",2,IF(L1127="F-30",3,IF(L1127="F-60",4,IF(L1127="F-90",5,IF(L1127="F-120",6,IF(L1127="F-150",7,0)))))),0),0)+IF(AND(O1127="FIRE TEX 5120",OR(E1127="IN",E1127="C",E1127="Z",E1127="L"),J1127=3),VLOOKUP(_xlfn.MINIFS('FIRE TEX 5120'!$B$5:$B$40,'FIRE TEX 5120'!$B$5:$B$40,"&gt;="&amp;M1127),'FIRE TEX 5120'!$B$5:$G$40,IF(L1127="F-15",2,IF(L1127="F-30",3,IF(L1127="F-60",4,IF(L1127="F-90",5,IF(L1127="F-120",6,0))))),0),0)+IF(AND(O1127="FIRE TEX 5120",OR(E1127="IN",E1127="C",E1127="Z",E1127="L"),J1127=4),VLOOKUP(_xlfn.MINIFS('FIRE TEX 5120'!$H$4:$H$40,'FIRE TEX 5120'!$H$4:$H$40,"&gt;="&amp;M1127),'FIRE TEX 5120'!$H$4:$M$40,IF(L1127="F-15",2,IF(L1127="F-30",3,IF(L1127="F-60",4,IF(L1127="F-90",5,IF(L1127="F-120",6,0))))),0),0)+IF(AND(O1127="FIRE TEX 5120",E1127="CJ"),VLOOKUP(_xlfn.MINIFS('FIRE TEX 5120'!$O$5:$O$40,'FIRE TEX 5120'!$O$5:$O$40,"&gt;="&amp;M1127),'FIRE TEX 5120'!$O$5:$T$40,IF(L1127="F-15",2,IF(L1127="F-30",3,IF(L1127="F-60",4,IF(L1127="F-90",5,IF(L1127="F-120",6,0))))),0),0)</f>
        <v>0</v>
      </c>
      <c r="Q1127" s="46">
        <f t="shared" si="104"/>
        <v>0</v>
      </c>
      <c r="R1127" s="46">
        <f t="shared" si="105"/>
        <v>0</v>
      </c>
      <c r="S1127" s="46" t="e">
        <f t="shared" si="106"/>
        <v>#VALUE!</v>
      </c>
      <c r="T1127" s="677">
        <f t="shared" si="107"/>
        <v>0</v>
      </c>
      <c r="U1127" s="80">
        <f>(IF(O1127="Stofire",(S1127*#REF!),0))+(IF(O1127="Fire Control",(S1127*$U$2),0))+(IF(O1127="Fire Tex",(S1127*$U$3),0))+(IF(O1127="WB7",(S1127*#REF!),0)+(IF(O1127="FX 2003",(S1127*$U$5),0)))</f>
        <v>0</v>
      </c>
      <c r="V1127" s="651">
        <f t="shared" si="108"/>
        <v>0</v>
      </c>
    </row>
    <row r="1128" spans="4:22" x14ac:dyDescent="0.25">
      <c r="D1128" s="118">
        <f>+CUBICACION!D1127</f>
        <v>0</v>
      </c>
      <c r="E1128" s="118">
        <f>+CUBICACION!F1127</f>
        <v>0</v>
      </c>
      <c r="F1128" s="118">
        <f>+CUBICACION!E1127</f>
        <v>0</v>
      </c>
      <c r="G1128" s="118">
        <v>12</v>
      </c>
      <c r="H1128" s="118">
        <v>2</v>
      </c>
      <c r="I1128" s="820">
        <v>26385</v>
      </c>
      <c r="J1128" s="118">
        <f>+CUBICACION!J1127</f>
        <v>0</v>
      </c>
      <c r="K1128" s="118">
        <v>3907</v>
      </c>
      <c r="L1128" s="118">
        <f>+CUBICACION!L1127</f>
        <v>0</v>
      </c>
      <c r="M1128" s="64">
        <f>+CUBICACION!M1127</f>
        <v>0</v>
      </c>
      <c r="N1128" s="824" t="str">
        <f>+CUBICACION!N1127</f>
        <v/>
      </c>
      <c r="O1128" s="675">
        <f>+CUBICACION!O1127</f>
        <v>0</v>
      </c>
      <c r="P1128" s="15">
        <f>IF(O1128="Fire Control",VLOOKUP(_xlfn.MINIFS('FIRE CONTROL'!$C$4:$C$37,'FIRE CONTROL'!$C$4:$C$37,"&gt;="&amp;M1128),'FIRE CONTROL'!$C$4:$G$37,IF(L1128="F-15",2,IF(L1128="F-30",3,IF(L1128="F-60",4,IF(L1128="F-90",5,0)))),0),0)+IF(AND(O1128="FIRE TEX 5062",OR(E1128="IN",E1128="C",E1128="Z",E1128="L"),J1128=3),VLOOKUP(_xlfn.MINIFS('FIRE TEX 5062'!$B$4:$B$34,'FIRE TEX 5062'!$B$4:$B$34,"&gt;="&amp;M1128),'FIRE TEX 5062'!$B$4:$F$34,IF(L1128="F-15",2,IF(L1128="F-30",3,IF(L1128="F-60",4,IF(L1128="F-90",5,0)))),0),0)+IF(AND(O1128="FIRE TEX 5062",OR(E1128="IN",E1128="C",E1128="Z",E1128="L"),J1128=4),VLOOKUP(_xlfn.MINIFS('FIRE TEX 5062'!$G$4:$G$34,'FIRE TEX 5062'!$G$4:$G$34,"&gt;="&amp;M1128),'FIRE TEX 5062'!$G$4:$K$34,IF(L1128="F-15",2,IF(L1128="F-30",3,IF(L1128="F-60",4,IF(L1128="F-90",5,0)))),0),0)+IF(AND(O1128="FIRE TEX 5062",E1128="CJ",J1128=3),VLOOKUP(_xlfn.MINIFS('FIRE TEX 5062'!$L$4:$L$34,'FIRE TEX 5062'!$L$4:$L$34,"&gt;="&amp;M1128),'FIRE TEX 5062'!$L$4:$P$34,IF(L1128="F-15",2,IF(L1128="F-30",3,IF(L1128="F-60",4,IF(L1128="F-90",5,0)))),0),0)+IF(AND(O1128="FIRE TEX 5062",E1128="CJ",J1128=4),VLOOKUP(_xlfn.MINIFS('FIRE TEX 5062'!$Q$3:$Q$34,'FIRE TEX 5062'!$Q$3:$Q$34,"&gt;="&amp;M1128),'FIRE TEX 5062'!$Q$3:$U$34,IF(L1128="F-15",2,IF(L1128="F-30",3,IF(L1128="F-60",4,IF(L1128="F-90",5,0)))),0),0)+IF(AND(O1128="FIRE TEX 5090",OR(E1128="IN",E1128="C",E1128="Z",E1128="L"),J1128=3),VLOOKUP(_xlfn.MINIFS('FIRE TEX 5090'!$B$5:$B$43,'FIRE TEX 5090'!$B$5:$B$43,"&gt;="&amp;M1128),'FIRE TEX 5090'!$B$5:$H$43,IF(L1128="F-15",2,IF(L1128="F-30",3,IF(L1128="F-60",4,IF(L1128="F-90",5,IF(L1128="F-120",6,IF(L1128="F-150",7,0)))))),0),0)+IF(AND(O1128="FIRE TEX 5090",OR(E1128="IN",E1128="C",E1128="Z",E1128="L"),J1128=4),VLOOKUP(_xlfn.MINIFS('FIRE TEX 5090'!$J$5:$J$43,'FIRE TEX 5090'!$J$5:$J$43,"&gt;="&amp;M1128),'FIRE TEX 5090'!$J$5:$P$43,IF(L1128="F-15",2,IF(L1128="F-30",3,IF(L1128="F-60",4,IF(L1128="F-90",5,IF(L1128="F-120",6,IF(L1128="F-150",7,0)))))),0),0)+IF(AND(O1128="FIRE TEX 5090",E1128="CJ",J1128=3),VLOOKUP(_xlfn.MINIFS('FIRE TEX 5090'!$R$5:$R$30,'FIRE TEX 5090'!$R$5:$R$30,"&gt;="&amp;M1128),'FIRE TEX 5090'!$R$5:$W$30,IF(L1128="F-15",2,IF(L1128="F-30",3,IF(L1128="F-60",4,IF(L1128="F-90",5,IF(L1128="F-120",6,IF(L1128="F-150",7,0)))))),0),0)+IF(AND(O1128="FIRE TEX 5090",E1128="CJ",J1128=4),VLOOKUP(_xlfn.MINIFS('FIRE TEX 5090'!$Y$5:$Y$39,'FIRE TEX 5090'!$Y$5:$Y$39,"&gt;="&amp;M1128),'FIRE TEX 5090'!$Y$5:$AD$39,IF(L1128="F-15",2,IF(L1128="F-30",3,IF(L1128="F-60",4,IF(L1128="F-90",5,IF(L1128="F-120",6,IF(L1128="F-150",7,0)))))),0),0)+IF(AND(O1128="FIRE TEX 5120",OR(E1128="IN",E1128="C",E1128="Z",E1128="L"),J1128=3),VLOOKUP(_xlfn.MINIFS('FIRE TEX 5120'!$B$5:$B$40,'FIRE TEX 5120'!$B$5:$B$40,"&gt;="&amp;M1128),'FIRE TEX 5120'!$B$5:$G$40,IF(L1128="F-15",2,IF(L1128="F-30",3,IF(L1128="F-60",4,IF(L1128="F-90",5,IF(L1128="F-120",6,0))))),0),0)+IF(AND(O1128="FIRE TEX 5120",OR(E1128="IN",E1128="C",E1128="Z",E1128="L"),J1128=4),VLOOKUP(_xlfn.MINIFS('FIRE TEX 5120'!$H$4:$H$40,'FIRE TEX 5120'!$H$4:$H$40,"&gt;="&amp;M1128),'FIRE TEX 5120'!$H$4:$M$40,IF(L1128="F-15",2,IF(L1128="F-30",3,IF(L1128="F-60",4,IF(L1128="F-90",5,IF(L1128="F-120",6,0))))),0),0)+IF(AND(O1128="FIRE TEX 5120",E1128="CJ"),VLOOKUP(_xlfn.MINIFS('FIRE TEX 5120'!$O$5:$O$40,'FIRE TEX 5120'!$O$5:$O$40,"&gt;="&amp;M1128),'FIRE TEX 5120'!$O$5:$T$40,IF(L1128="F-15",2,IF(L1128="F-30",3,IF(L1128="F-60",4,IF(L1128="F-90",5,IF(L1128="F-120",6,0))))),0),0)</f>
        <v>0</v>
      </c>
      <c r="Q1128" s="46">
        <f t="shared" si="104"/>
        <v>0</v>
      </c>
      <c r="R1128" s="46">
        <f t="shared" si="105"/>
        <v>0</v>
      </c>
      <c r="S1128" s="46" t="e">
        <f t="shared" si="106"/>
        <v>#VALUE!</v>
      </c>
      <c r="T1128" s="677">
        <f t="shared" si="107"/>
        <v>0</v>
      </c>
      <c r="U1128" s="80">
        <f>(IF(O1128="Stofire",(S1128*#REF!),0))+(IF(O1128="Fire Control",(S1128*$U$2),0))+(IF(O1128="Fire Tex",(S1128*$U$3),0))+(IF(O1128="WB7",(S1128*#REF!),0)+(IF(O1128="FX 2003",(S1128*$U$5),0)))</f>
        <v>0</v>
      </c>
      <c r="V1128" s="651">
        <f t="shared" si="108"/>
        <v>0</v>
      </c>
    </row>
    <row r="1129" spans="4:22" x14ac:dyDescent="0.25">
      <c r="D1129" s="118">
        <f>+CUBICACION!D1128</f>
        <v>0</v>
      </c>
      <c r="E1129" s="118">
        <f>+CUBICACION!F1128</f>
        <v>0</v>
      </c>
      <c r="F1129" s="118">
        <f>+CUBICACION!E1128</f>
        <v>0</v>
      </c>
      <c r="G1129" s="118">
        <v>12</v>
      </c>
      <c r="H1129" s="118">
        <v>2</v>
      </c>
      <c r="I1129" s="820">
        <v>26385</v>
      </c>
      <c r="J1129" s="118">
        <f>+CUBICACION!J1128</f>
        <v>0</v>
      </c>
      <c r="K1129" s="118">
        <v>3908</v>
      </c>
      <c r="L1129" s="118">
        <f>+CUBICACION!L1128</f>
        <v>0</v>
      </c>
      <c r="M1129" s="64">
        <f>+CUBICACION!M1128</f>
        <v>0</v>
      </c>
      <c r="N1129" s="824" t="str">
        <f>+CUBICACION!N1128</f>
        <v/>
      </c>
      <c r="O1129" s="675">
        <f>+CUBICACION!O1128</f>
        <v>0</v>
      </c>
      <c r="P1129" s="15">
        <f>IF(O1129="Fire Control",VLOOKUP(_xlfn.MINIFS('FIRE CONTROL'!$C$4:$C$37,'FIRE CONTROL'!$C$4:$C$37,"&gt;="&amp;M1129),'FIRE CONTROL'!$C$4:$G$37,IF(L1129="F-15",2,IF(L1129="F-30",3,IF(L1129="F-60",4,IF(L1129="F-90",5,0)))),0),0)+IF(AND(O1129="FIRE TEX 5062",OR(E1129="IN",E1129="C",E1129="Z",E1129="L"),J1129=3),VLOOKUP(_xlfn.MINIFS('FIRE TEX 5062'!$B$4:$B$34,'FIRE TEX 5062'!$B$4:$B$34,"&gt;="&amp;M1129),'FIRE TEX 5062'!$B$4:$F$34,IF(L1129="F-15",2,IF(L1129="F-30",3,IF(L1129="F-60",4,IF(L1129="F-90",5,0)))),0),0)+IF(AND(O1129="FIRE TEX 5062",OR(E1129="IN",E1129="C",E1129="Z",E1129="L"),J1129=4),VLOOKUP(_xlfn.MINIFS('FIRE TEX 5062'!$G$4:$G$34,'FIRE TEX 5062'!$G$4:$G$34,"&gt;="&amp;M1129),'FIRE TEX 5062'!$G$4:$K$34,IF(L1129="F-15",2,IF(L1129="F-30",3,IF(L1129="F-60",4,IF(L1129="F-90",5,0)))),0),0)+IF(AND(O1129="FIRE TEX 5062",E1129="CJ",J1129=3),VLOOKUP(_xlfn.MINIFS('FIRE TEX 5062'!$L$4:$L$34,'FIRE TEX 5062'!$L$4:$L$34,"&gt;="&amp;M1129),'FIRE TEX 5062'!$L$4:$P$34,IF(L1129="F-15",2,IF(L1129="F-30",3,IF(L1129="F-60",4,IF(L1129="F-90",5,0)))),0),0)+IF(AND(O1129="FIRE TEX 5062",E1129="CJ",J1129=4),VLOOKUP(_xlfn.MINIFS('FIRE TEX 5062'!$Q$3:$Q$34,'FIRE TEX 5062'!$Q$3:$Q$34,"&gt;="&amp;M1129),'FIRE TEX 5062'!$Q$3:$U$34,IF(L1129="F-15",2,IF(L1129="F-30",3,IF(L1129="F-60",4,IF(L1129="F-90",5,0)))),0),0)+IF(AND(O1129="FIRE TEX 5090",OR(E1129="IN",E1129="C",E1129="Z",E1129="L"),J1129=3),VLOOKUP(_xlfn.MINIFS('FIRE TEX 5090'!$B$5:$B$43,'FIRE TEX 5090'!$B$5:$B$43,"&gt;="&amp;M1129),'FIRE TEX 5090'!$B$5:$H$43,IF(L1129="F-15",2,IF(L1129="F-30",3,IF(L1129="F-60",4,IF(L1129="F-90",5,IF(L1129="F-120",6,IF(L1129="F-150",7,0)))))),0),0)+IF(AND(O1129="FIRE TEX 5090",OR(E1129="IN",E1129="C",E1129="Z",E1129="L"),J1129=4),VLOOKUP(_xlfn.MINIFS('FIRE TEX 5090'!$J$5:$J$43,'FIRE TEX 5090'!$J$5:$J$43,"&gt;="&amp;M1129),'FIRE TEX 5090'!$J$5:$P$43,IF(L1129="F-15",2,IF(L1129="F-30",3,IF(L1129="F-60",4,IF(L1129="F-90",5,IF(L1129="F-120",6,IF(L1129="F-150",7,0)))))),0),0)+IF(AND(O1129="FIRE TEX 5090",E1129="CJ",J1129=3),VLOOKUP(_xlfn.MINIFS('FIRE TEX 5090'!$R$5:$R$30,'FIRE TEX 5090'!$R$5:$R$30,"&gt;="&amp;M1129),'FIRE TEX 5090'!$R$5:$W$30,IF(L1129="F-15",2,IF(L1129="F-30",3,IF(L1129="F-60",4,IF(L1129="F-90",5,IF(L1129="F-120",6,IF(L1129="F-150",7,0)))))),0),0)+IF(AND(O1129="FIRE TEX 5090",E1129="CJ",J1129=4),VLOOKUP(_xlfn.MINIFS('FIRE TEX 5090'!$Y$5:$Y$39,'FIRE TEX 5090'!$Y$5:$Y$39,"&gt;="&amp;M1129),'FIRE TEX 5090'!$Y$5:$AD$39,IF(L1129="F-15",2,IF(L1129="F-30",3,IF(L1129="F-60",4,IF(L1129="F-90",5,IF(L1129="F-120",6,IF(L1129="F-150",7,0)))))),0),0)+IF(AND(O1129="FIRE TEX 5120",OR(E1129="IN",E1129="C",E1129="Z",E1129="L"),J1129=3),VLOOKUP(_xlfn.MINIFS('FIRE TEX 5120'!$B$5:$B$40,'FIRE TEX 5120'!$B$5:$B$40,"&gt;="&amp;M1129),'FIRE TEX 5120'!$B$5:$G$40,IF(L1129="F-15",2,IF(L1129="F-30",3,IF(L1129="F-60",4,IF(L1129="F-90",5,IF(L1129="F-120",6,0))))),0),0)+IF(AND(O1129="FIRE TEX 5120",OR(E1129="IN",E1129="C",E1129="Z",E1129="L"),J1129=4),VLOOKUP(_xlfn.MINIFS('FIRE TEX 5120'!$H$4:$H$40,'FIRE TEX 5120'!$H$4:$H$40,"&gt;="&amp;M1129),'FIRE TEX 5120'!$H$4:$M$40,IF(L1129="F-15",2,IF(L1129="F-30",3,IF(L1129="F-60",4,IF(L1129="F-90",5,IF(L1129="F-120",6,0))))),0),0)+IF(AND(O1129="FIRE TEX 5120",E1129="CJ"),VLOOKUP(_xlfn.MINIFS('FIRE TEX 5120'!$O$5:$O$40,'FIRE TEX 5120'!$O$5:$O$40,"&gt;="&amp;M1129),'FIRE TEX 5120'!$O$5:$T$40,IF(L1129="F-15",2,IF(L1129="F-30",3,IF(L1129="F-60",4,IF(L1129="F-90",5,IF(L1129="F-120",6,0))))),0),0)</f>
        <v>0</v>
      </c>
      <c r="Q1129" s="46">
        <f t="shared" si="104"/>
        <v>0</v>
      </c>
      <c r="R1129" s="46">
        <f t="shared" si="105"/>
        <v>0</v>
      </c>
      <c r="S1129" s="46" t="e">
        <f t="shared" si="106"/>
        <v>#VALUE!</v>
      </c>
      <c r="T1129" s="677">
        <f t="shared" si="107"/>
        <v>0</v>
      </c>
      <c r="U1129" s="80">
        <f>(IF(O1129="Stofire",(S1129*#REF!),0))+(IF(O1129="Fire Control",(S1129*$U$2),0))+(IF(O1129="Fire Tex",(S1129*$U$3),0))+(IF(O1129="WB7",(S1129*#REF!),0)+(IF(O1129="FX 2003",(S1129*$U$5),0)))</f>
        <v>0</v>
      </c>
      <c r="V1129" s="651">
        <f t="shared" si="108"/>
        <v>0</v>
      </c>
    </row>
    <row r="1130" spans="4:22" x14ac:dyDescent="0.25">
      <c r="D1130" s="118">
        <f>+CUBICACION!D1129</f>
        <v>0</v>
      </c>
      <c r="E1130" s="118">
        <f>+CUBICACION!F1129</f>
        <v>0</v>
      </c>
      <c r="F1130" s="118">
        <f>+CUBICACION!E1129</f>
        <v>0</v>
      </c>
      <c r="G1130" s="118">
        <v>12</v>
      </c>
      <c r="H1130" s="118">
        <v>2</v>
      </c>
      <c r="I1130" s="820">
        <v>26385</v>
      </c>
      <c r="J1130" s="118">
        <f>+CUBICACION!J1129</f>
        <v>0</v>
      </c>
      <c r="K1130" s="118">
        <v>3909</v>
      </c>
      <c r="L1130" s="118">
        <f>+CUBICACION!L1129</f>
        <v>0</v>
      </c>
      <c r="M1130" s="64">
        <f>+CUBICACION!M1129</f>
        <v>0</v>
      </c>
      <c r="N1130" s="824" t="str">
        <f>+CUBICACION!N1129</f>
        <v/>
      </c>
      <c r="O1130" s="675">
        <f>+CUBICACION!O1129</f>
        <v>0</v>
      </c>
      <c r="P1130" s="15">
        <f>IF(O1130="Fire Control",VLOOKUP(_xlfn.MINIFS('FIRE CONTROL'!$C$4:$C$37,'FIRE CONTROL'!$C$4:$C$37,"&gt;="&amp;M1130),'FIRE CONTROL'!$C$4:$G$37,IF(L1130="F-15",2,IF(L1130="F-30",3,IF(L1130="F-60",4,IF(L1130="F-90",5,0)))),0),0)+IF(AND(O1130="FIRE TEX 5062",OR(E1130="IN",E1130="C",E1130="Z",E1130="L"),J1130=3),VLOOKUP(_xlfn.MINIFS('FIRE TEX 5062'!$B$4:$B$34,'FIRE TEX 5062'!$B$4:$B$34,"&gt;="&amp;M1130),'FIRE TEX 5062'!$B$4:$F$34,IF(L1130="F-15",2,IF(L1130="F-30",3,IF(L1130="F-60",4,IF(L1130="F-90",5,0)))),0),0)+IF(AND(O1130="FIRE TEX 5062",OR(E1130="IN",E1130="C",E1130="Z",E1130="L"),J1130=4),VLOOKUP(_xlfn.MINIFS('FIRE TEX 5062'!$G$4:$G$34,'FIRE TEX 5062'!$G$4:$G$34,"&gt;="&amp;M1130),'FIRE TEX 5062'!$G$4:$K$34,IF(L1130="F-15",2,IF(L1130="F-30",3,IF(L1130="F-60",4,IF(L1130="F-90",5,0)))),0),0)+IF(AND(O1130="FIRE TEX 5062",E1130="CJ",J1130=3),VLOOKUP(_xlfn.MINIFS('FIRE TEX 5062'!$L$4:$L$34,'FIRE TEX 5062'!$L$4:$L$34,"&gt;="&amp;M1130),'FIRE TEX 5062'!$L$4:$P$34,IF(L1130="F-15",2,IF(L1130="F-30",3,IF(L1130="F-60",4,IF(L1130="F-90",5,0)))),0),0)+IF(AND(O1130="FIRE TEX 5062",E1130="CJ",J1130=4),VLOOKUP(_xlfn.MINIFS('FIRE TEX 5062'!$Q$3:$Q$34,'FIRE TEX 5062'!$Q$3:$Q$34,"&gt;="&amp;M1130),'FIRE TEX 5062'!$Q$3:$U$34,IF(L1130="F-15",2,IF(L1130="F-30",3,IF(L1130="F-60",4,IF(L1130="F-90",5,0)))),0),0)+IF(AND(O1130="FIRE TEX 5090",OR(E1130="IN",E1130="C",E1130="Z",E1130="L"),J1130=3),VLOOKUP(_xlfn.MINIFS('FIRE TEX 5090'!$B$5:$B$43,'FIRE TEX 5090'!$B$5:$B$43,"&gt;="&amp;M1130),'FIRE TEX 5090'!$B$5:$H$43,IF(L1130="F-15",2,IF(L1130="F-30",3,IF(L1130="F-60",4,IF(L1130="F-90",5,IF(L1130="F-120",6,IF(L1130="F-150",7,0)))))),0),0)+IF(AND(O1130="FIRE TEX 5090",OR(E1130="IN",E1130="C",E1130="Z",E1130="L"),J1130=4),VLOOKUP(_xlfn.MINIFS('FIRE TEX 5090'!$J$5:$J$43,'FIRE TEX 5090'!$J$5:$J$43,"&gt;="&amp;M1130),'FIRE TEX 5090'!$J$5:$P$43,IF(L1130="F-15",2,IF(L1130="F-30",3,IF(L1130="F-60",4,IF(L1130="F-90",5,IF(L1130="F-120",6,IF(L1130="F-150",7,0)))))),0),0)+IF(AND(O1130="FIRE TEX 5090",E1130="CJ",J1130=3),VLOOKUP(_xlfn.MINIFS('FIRE TEX 5090'!$R$5:$R$30,'FIRE TEX 5090'!$R$5:$R$30,"&gt;="&amp;M1130),'FIRE TEX 5090'!$R$5:$W$30,IF(L1130="F-15",2,IF(L1130="F-30",3,IF(L1130="F-60",4,IF(L1130="F-90",5,IF(L1130="F-120",6,IF(L1130="F-150",7,0)))))),0),0)+IF(AND(O1130="FIRE TEX 5090",E1130="CJ",J1130=4),VLOOKUP(_xlfn.MINIFS('FIRE TEX 5090'!$Y$5:$Y$39,'FIRE TEX 5090'!$Y$5:$Y$39,"&gt;="&amp;M1130),'FIRE TEX 5090'!$Y$5:$AD$39,IF(L1130="F-15",2,IF(L1130="F-30",3,IF(L1130="F-60",4,IF(L1130="F-90",5,IF(L1130="F-120",6,IF(L1130="F-150",7,0)))))),0),0)+IF(AND(O1130="FIRE TEX 5120",OR(E1130="IN",E1130="C",E1130="Z",E1130="L"),J1130=3),VLOOKUP(_xlfn.MINIFS('FIRE TEX 5120'!$B$5:$B$40,'FIRE TEX 5120'!$B$5:$B$40,"&gt;="&amp;M1130),'FIRE TEX 5120'!$B$5:$G$40,IF(L1130="F-15",2,IF(L1130="F-30",3,IF(L1130="F-60",4,IF(L1130="F-90",5,IF(L1130="F-120",6,0))))),0),0)+IF(AND(O1130="FIRE TEX 5120",OR(E1130="IN",E1130="C",E1130="Z",E1130="L"),J1130=4),VLOOKUP(_xlfn.MINIFS('FIRE TEX 5120'!$H$4:$H$40,'FIRE TEX 5120'!$H$4:$H$40,"&gt;="&amp;M1130),'FIRE TEX 5120'!$H$4:$M$40,IF(L1130="F-15",2,IF(L1130="F-30",3,IF(L1130="F-60",4,IF(L1130="F-90",5,IF(L1130="F-120",6,0))))),0),0)+IF(AND(O1130="FIRE TEX 5120",E1130="CJ"),VLOOKUP(_xlfn.MINIFS('FIRE TEX 5120'!$O$5:$O$40,'FIRE TEX 5120'!$O$5:$O$40,"&gt;="&amp;M1130),'FIRE TEX 5120'!$O$5:$T$40,IF(L1130="F-15",2,IF(L1130="F-30",3,IF(L1130="F-60",4,IF(L1130="F-90",5,IF(L1130="F-120",6,0))))),0),0)</f>
        <v>0</v>
      </c>
      <c r="Q1130" s="46">
        <f t="shared" si="104"/>
        <v>0</v>
      </c>
      <c r="R1130" s="46">
        <f t="shared" si="105"/>
        <v>0</v>
      </c>
      <c r="S1130" s="46" t="e">
        <f t="shared" si="106"/>
        <v>#VALUE!</v>
      </c>
      <c r="T1130" s="677">
        <f t="shared" si="107"/>
        <v>0</v>
      </c>
      <c r="U1130" s="80">
        <f>(IF(O1130="Stofire",(S1130*#REF!),0))+(IF(O1130="Fire Control",(S1130*$U$2),0))+(IF(O1130="Fire Tex",(S1130*$U$3),0))+(IF(O1130="WB7",(S1130*#REF!),0)+(IF(O1130="FX 2003",(S1130*$U$5),0)))</f>
        <v>0</v>
      </c>
      <c r="V1130" s="651">
        <f t="shared" si="108"/>
        <v>0</v>
      </c>
    </row>
    <row r="1131" spans="4:22" x14ac:dyDescent="0.25">
      <c r="D1131" s="118">
        <f>+CUBICACION!D1130</f>
        <v>0</v>
      </c>
      <c r="E1131" s="118">
        <f>+CUBICACION!F1130</f>
        <v>0</v>
      </c>
      <c r="F1131" s="118">
        <f>+CUBICACION!E1130</f>
        <v>0</v>
      </c>
      <c r="G1131" s="118">
        <v>12</v>
      </c>
      <c r="H1131" s="118">
        <v>2</v>
      </c>
      <c r="I1131" s="820">
        <v>26385</v>
      </c>
      <c r="J1131" s="118">
        <f>+CUBICACION!J1130</f>
        <v>0</v>
      </c>
      <c r="K1131" s="118">
        <v>3910</v>
      </c>
      <c r="L1131" s="118">
        <f>+CUBICACION!L1130</f>
        <v>0</v>
      </c>
      <c r="M1131" s="64">
        <f>+CUBICACION!M1130</f>
        <v>0</v>
      </c>
      <c r="N1131" s="824" t="str">
        <f>+CUBICACION!N1130</f>
        <v/>
      </c>
      <c r="O1131" s="675">
        <f>+CUBICACION!O1130</f>
        <v>0</v>
      </c>
      <c r="P1131" s="15">
        <f>IF(O1131="Fire Control",VLOOKUP(_xlfn.MINIFS('FIRE CONTROL'!$C$4:$C$37,'FIRE CONTROL'!$C$4:$C$37,"&gt;="&amp;M1131),'FIRE CONTROL'!$C$4:$G$37,IF(L1131="F-15",2,IF(L1131="F-30",3,IF(L1131="F-60",4,IF(L1131="F-90",5,0)))),0),0)+IF(AND(O1131="FIRE TEX 5062",OR(E1131="IN",E1131="C",E1131="Z",E1131="L"),J1131=3),VLOOKUP(_xlfn.MINIFS('FIRE TEX 5062'!$B$4:$B$34,'FIRE TEX 5062'!$B$4:$B$34,"&gt;="&amp;M1131),'FIRE TEX 5062'!$B$4:$F$34,IF(L1131="F-15",2,IF(L1131="F-30",3,IF(L1131="F-60",4,IF(L1131="F-90",5,0)))),0),0)+IF(AND(O1131="FIRE TEX 5062",OR(E1131="IN",E1131="C",E1131="Z",E1131="L"),J1131=4),VLOOKUP(_xlfn.MINIFS('FIRE TEX 5062'!$G$4:$G$34,'FIRE TEX 5062'!$G$4:$G$34,"&gt;="&amp;M1131),'FIRE TEX 5062'!$G$4:$K$34,IF(L1131="F-15",2,IF(L1131="F-30",3,IF(L1131="F-60",4,IF(L1131="F-90",5,0)))),0),0)+IF(AND(O1131="FIRE TEX 5062",E1131="CJ",J1131=3),VLOOKUP(_xlfn.MINIFS('FIRE TEX 5062'!$L$4:$L$34,'FIRE TEX 5062'!$L$4:$L$34,"&gt;="&amp;M1131),'FIRE TEX 5062'!$L$4:$P$34,IF(L1131="F-15",2,IF(L1131="F-30",3,IF(L1131="F-60",4,IF(L1131="F-90",5,0)))),0),0)+IF(AND(O1131="FIRE TEX 5062",E1131="CJ",J1131=4),VLOOKUP(_xlfn.MINIFS('FIRE TEX 5062'!$Q$3:$Q$34,'FIRE TEX 5062'!$Q$3:$Q$34,"&gt;="&amp;M1131),'FIRE TEX 5062'!$Q$3:$U$34,IF(L1131="F-15",2,IF(L1131="F-30",3,IF(L1131="F-60",4,IF(L1131="F-90",5,0)))),0),0)+IF(AND(O1131="FIRE TEX 5090",OR(E1131="IN",E1131="C",E1131="Z",E1131="L"),J1131=3),VLOOKUP(_xlfn.MINIFS('FIRE TEX 5090'!$B$5:$B$43,'FIRE TEX 5090'!$B$5:$B$43,"&gt;="&amp;M1131),'FIRE TEX 5090'!$B$5:$H$43,IF(L1131="F-15",2,IF(L1131="F-30",3,IF(L1131="F-60",4,IF(L1131="F-90",5,IF(L1131="F-120",6,IF(L1131="F-150",7,0)))))),0),0)+IF(AND(O1131="FIRE TEX 5090",OR(E1131="IN",E1131="C",E1131="Z",E1131="L"),J1131=4),VLOOKUP(_xlfn.MINIFS('FIRE TEX 5090'!$J$5:$J$43,'FIRE TEX 5090'!$J$5:$J$43,"&gt;="&amp;M1131),'FIRE TEX 5090'!$J$5:$P$43,IF(L1131="F-15",2,IF(L1131="F-30",3,IF(L1131="F-60",4,IF(L1131="F-90",5,IF(L1131="F-120",6,IF(L1131="F-150",7,0)))))),0),0)+IF(AND(O1131="FIRE TEX 5090",E1131="CJ",J1131=3),VLOOKUP(_xlfn.MINIFS('FIRE TEX 5090'!$R$5:$R$30,'FIRE TEX 5090'!$R$5:$R$30,"&gt;="&amp;M1131),'FIRE TEX 5090'!$R$5:$W$30,IF(L1131="F-15",2,IF(L1131="F-30",3,IF(L1131="F-60",4,IF(L1131="F-90",5,IF(L1131="F-120",6,IF(L1131="F-150",7,0)))))),0),0)+IF(AND(O1131="FIRE TEX 5090",E1131="CJ",J1131=4),VLOOKUP(_xlfn.MINIFS('FIRE TEX 5090'!$Y$5:$Y$39,'FIRE TEX 5090'!$Y$5:$Y$39,"&gt;="&amp;M1131),'FIRE TEX 5090'!$Y$5:$AD$39,IF(L1131="F-15",2,IF(L1131="F-30",3,IF(L1131="F-60",4,IF(L1131="F-90",5,IF(L1131="F-120",6,IF(L1131="F-150",7,0)))))),0),0)+IF(AND(O1131="FIRE TEX 5120",OR(E1131="IN",E1131="C",E1131="Z",E1131="L"),J1131=3),VLOOKUP(_xlfn.MINIFS('FIRE TEX 5120'!$B$5:$B$40,'FIRE TEX 5120'!$B$5:$B$40,"&gt;="&amp;M1131),'FIRE TEX 5120'!$B$5:$G$40,IF(L1131="F-15",2,IF(L1131="F-30",3,IF(L1131="F-60",4,IF(L1131="F-90",5,IF(L1131="F-120",6,0))))),0),0)+IF(AND(O1131="FIRE TEX 5120",OR(E1131="IN",E1131="C",E1131="Z",E1131="L"),J1131=4),VLOOKUP(_xlfn.MINIFS('FIRE TEX 5120'!$H$4:$H$40,'FIRE TEX 5120'!$H$4:$H$40,"&gt;="&amp;M1131),'FIRE TEX 5120'!$H$4:$M$40,IF(L1131="F-15",2,IF(L1131="F-30",3,IF(L1131="F-60",4,IF(L1131="F-90",5,IF(L1131="F-120",6,0))))),0),0)+IF(AND(O1131="FIRE TEX 5120",E1131="CJ"),VLOOKUP(_xlfn.MINIFS('FIRE TEX 5120'!$O$5:$O$40,'FIRE TEX 5120'!$O$5:$O$40,"&gt;="&amp;M1131),'FIRE TEX 5120'!$O$5:$T$40,IF(L1131="F-15",2,IF(L1131="F-30",3,IF(L1131="F-60",4,IF(L1131="F-90",5,IF(L1131="F-120",6,0))))),0),0)</f>
        <v>0</v>
      </c>
      <c r="Q1131" s="46">
        <f t="shared" si="104"/>
        <v>0</v>
      </c>
      <c r="R1131" s="46">
        <f t="shared" si="105"/>
        <v>0</v>
      </c>
      <c r="S1131" s="46" t="e">
        <f t="shared" si="106"/>
        <v>#VALUE!</v>
      </c>
      <c r="T1131" s="677">
        <f t="shared" si="107"/>
        <v>0</v>
      </c>
      <c r="U1131" s="80">
        <f>(IF(O1131="Stofire",(S1131*#REF!),0))+(IF(O1131="Fire Control",(S1131*$U$2),0))+(IF(O1131="Fire Tex",(S1131*$U$3),0))+(IF(O1131="WB7",(S1131*#REF!),0)+(IF(O1131="FX 2003",(S1131*$U$5),0)))</f>
        <v>0</v>
      </c>
      <c r="V1131" s="651">
        <f t="shared" si="108"/>
        <v>0</v>
      </c>
    </row>
    <row r="1132" spans="4:22" x14ac:dyDescent="0.25">
      <c r="D1132" s="118">
        <f>+CUBICACION!D1131</f>
        <v>0</v>
      </c>
      <c r="E1132" s="118">
        <f>+CUBICACION!F1131</f>
        <v>0</v>
      </c>
      <c r="F1132" s="118">
        <f>+CUBICACION!E1131</f>
        <v>0</v>
      </c>
      <c r="G1132" s="118">
        <v>12</v>
      </c>
      <c r="H1132" s="118">
        <v>2</v>
      </c>
      <c r="I1132" s="820">
        <v>26385</v>
      </c>
      <c r="J1132" s="118">
        <f>+CUBICACION!J1131</f>
        <v>0</v>
      </c>
      <c r="K1132" s="118">
        <v>3911</v>
      </c>
      <c r="L1132" s="118">
        <f>+CUBICACION!L1131</f>
        <v>0</v>
      </c>
      <c r="M1132" s="64">
        <f>+CUBICACION!M1131</f>
        <v>0</v>
      </c>
      <c r="N1132" s="824" t="str">
        <f>+CUBICACION!N1131</f>
        <v/>
      </c>
      <c r="O1132" s="675">
        <f>+CUBICACION!O1131</f>
        <v>0</v>
      </c>
      <c r="P1132" s="15">
        <f>IF(O1132="Fire Control",VLOOKUP(_xlfn.MINIFS('FIRE CONTROL'!$C$4:$C$37,'FIRE CONTROL'!$C$4:$C$37,"&gt;="&amp;M1132),'FIRE CONTROL'!$C$4:$G$37,IF(L1132="F-15",2,IF(L1132="F-30",3,IF(L1132="F-60",4,IF(L1132="F-90",5,0)))),0),0)+IF(AND(O1132="FIRE TEX 5062",OR(E1132="IN",E1132="C",E1132="Z",E1132="L"),J1132=3),VLOOKUP(_xlfn.MINIFS('FIRE TEX 5062'!$B$4:$B$34,'FIRE TEX 5062'!$B$4:$B$34,"&gt;="&amp;M1132),'FIRE TEX 5062'!$B$4:$F$34,IF(L1132="F-15",2,IF(L1132="F-30",3,IF(L1132="F-60",4,IF(L1132="F-90",5,0)))),0),0)+IF(AND(O1132="FIRE TEX 5062",OR(E1132="IN",E1132="C",E1132="Z",E1132="L"),J1132=4),VLOOKUP(_xlfn.MINIFS('FIRE TEX 5062'!$G$4:$G$34,'FIRE TEX 5062'!$G$4:$G$34,"&gt;="&amp;M1132),'FIRE TEX 5062'!$G$4:$K$34,IF(L1132="F-15",2,IF(L1132="F-30",3,IF(L1132="F-60",4,IF(L1132="F-90",5,0)))),0),0)+IF(AND(O1132="FIRE TEX 5062",E1132="CJ",J1132=3),VLOOKUP(_xlfn.MINIFS('FIRE TEX 5062'!$L$4:$L$34,'FIRE TEX 5062'!$L$4:$L$34,"&gt;="&amp;M1132),'FIRE TEX 5062'!$L$4:$P$34,IF(L1132="F-15",2,IF(L1132="F-30",3,IF(L1132="F-60",4,IF(L1132="F-90",5,0)))),0),0)+IF(AND(O1132="FIRE TEX 5062",E1132="CJ",J1132=4),VLOOKUP(_xlfn.MINIFS('FIRE TEX 5062'!$Q$3:$Q$34,'FIRE TEX 5062'!$Q$3:$Q$34,"&gt;="&amp;M1132),'FIRE TEX 5062'!$Q$3:$U$34,IF(L1132="F-15",2,IF(L1132="F-30",3,IF(L1132="F-60",4,IF(L1132="F-90",5,0)))),0),0)+IF(AND(O1132="FIRE TEX 5090",OR(E1132="IN",E1132="C",E1132="Z",E1132="L"),J1132=3),VLOOKUP(_xlfn.MINIFS('FIRE TEX 5090'!$B$5:$B$43,'FIRE TEX 5090'!$B$5:$B$43,"&gt;="&amp;M1132),'FIRE TEX 5090'!$B$5:$H$43,IF(L1132="F-15",2,IF(L1132="F-30",3,IF(L1132="F-60",4,IF(L1132="F-90",5,IF(L1132="F-120",6,IF(L1132="F-150",7,0)))))),0),0)+IF(AND(O1132="FIRE TEX 5090",OR(E1132="IN",E1132="C",E1132="Z",E1132="L"),J1132=4),VLOOKUP(_xlfn.MINIFS('FIRE TEX 5090'!$J$5:$J$43,'FIRE TEX 5090'!$J$5:$J$43,"&gt;="&amp;M1132),'FIRE TEX 5090'!$J$5:$P$43,IF(L1132="F-15",2,IF(L1132="F-30",3,IF(L1132="F-60",4,IF(L1132="F-90",5,IF(L1132="F-120",6,IF(L1132="F-150",7,0)))))),0),0)+IF(AND(O1132="FIRE TEX 5090",E1132="CJ",J1132=3),VLOOKUP(_xlfn.MINIFS('FIRE TEX 5090'!$R$5:$R$30,'FIRE TEX 5090'!$R$5:$R$30,"&gt;="&amp;M1132),'FIRE TEX 5090'!$R$5:$W$30,IF(L1132="F-15",2,IF(L1132="F-30",3,IF(L1132="F-60",4,IF(L1132="F-90",5,IF(L1132="F-120",6,IF(L1132="F-150",7,0)))))),0),0)+IF(AND(O1132="FIRE TEX 5090",E1132="CJ",J1132=4),VLOOKUP(_xlfn.MINIFS('FIRE TEX 5090'!$Y$5:$Y$39,'FIRE TEX 5090'!$Y$5:$Y$39,"&gt;="&amp;M1132),'FIRE TEX 5090'!$Y$5:$AD$39,IF(L1132="F-15",2,IF(L1132="F-30",3,IF(L1132="F-60",4,IF(L1132="F-90",5,IF(L1132="F-120",6,IF(L1132="F-150",7,0)))))),0),0)+IF(AND(O1132="FIRE TEX 5120",OR(E1132="IN",E1132="C",E1132="Z",E1132="L"),J1132=3),VLOOKUP(_xlfn.MINIFS('FIRE TEX 5120'!$B$5:$B$40,'FIRE TEX 5120'!$B$5:$B$40,"&gt;="&amp;M1132),'FIRE TEX 5120'!$B$5:$G$40,IF(L1132="F-15",2,IF(L1132="F-30",3,IF(L1132="F-60",4,IF(L1132="F-90",5,IF(L1132="F-120",6,0))))),0),0)+IF(AND(O1132="FIRE TEX 5120",OR(E1132="IN",E1132="C",E1132="Z",E1132="L"),J1132=4),VLOOKUP(_xlfn.MINIFS('FIRE TEX 5120'!$H$4:$H$40,'FIRE TEX 5120'!$H$4:$H$40,"&gt;="&amp;M1132),'FIRE TEX 5120'!$H$4:$M$40,IF(L1132="F-15",2,IF(L1132="F-30",3,IF(L1132="F-60",4,IF(L1132="F-90",5,IF(L1132="F-120",6,0))))),0),0)+IF(AND(O1132="FIRE TEX 5120",E1132="CJ"),VLOOKUP(_xlfn.MINIFS('FIRE TEX 5120'!$O$5:$O$40,'FIRE TEX 5120'!$O$5:$O$40,"&gt;="&amp;M1132),'FIRE TEX 5120'!$O$5:$T$40,IF(L1132="F-15",2,IF(L1132="F-30",3,IF(L1132="F-60",4,IF(L1132="F-90",5,IF(L1132="F-120",6,0))))),0),0)</f>
        <v>0</v>
      </c>
      <c r="Q1132" s="46">
        <f t="shared" si="104"/>
        <v>0</v>
      </c>
      <c r="R1132" s="46">
        <f t="shared" si="105"/>
        <v>0</v>
      </c>
      <c r="S1132" s="46" t="e">
        <f t="shared" si="106"/>
        <v>#VALUE!</v>
      </c>
      <c r="T1132" s="677">
        <f t="shared" si="107"/>
        <v>0</v>
      </c>
      <c r="U1132" s="80">
        <f>(IF(O1132="Stofire",(S1132*#REF!),0))+(IF(O1132="Fire Control",(S1132*$U$2),0))+(IF(O1132="Fire Tex",(S1132*$U$3),0))+(IF(O1132="WB7",(S1132*#REF!),0)+(IF(O1132="FX 2003",(S1132*$U$5),0)))</f>
        <v>0</v>
      </c>
      <c r="V1132" s="651">
        <f t="shared" si="108"/>
        <v>0</v>
      </c>
    </row>
    <row r="1133" spans="4:22" x14ac:dyDescent="0.25">
      <c r="D1133" s="118">
        <f>+CUBICACION!D1132</f>
        <v>0</v>
      </c>
      <c r="E1133" s="118">
        <f>+CUBICACION!F1132</f>
        <v>0</v>
      </c>
      <c r="F1133" s="118">
        <f>+CUBICACION!E1132</f>
        <v>0</v>
      </c>
      <c r="G1133" s="118">
        <v>12</v>
      </c>
      <c r="H1133" s="118">
        <v>2</v>
      </c>
      <c r="I1133" s="820">
        <v>26385</v>
      </c>
      <c r="J1133" s="118">
        <f>+CUBICACION!J1132</f>
        <v>0</v>
      </c>
      <c r="K1133" s="118">
        <v>3912</v>
      </c>
      <c r="L1133" s="118">
        <f>+CUBICACION!L1132</f>
        <v>0</v>
      </c>
      <c r="M1133" s="64">
        <f>+CUBICACION!M1132</f>
        <v>0</v>
      </c>
      <c r="N1133" s="824" t="str">
        <f>+CUBICACION!N1132</f>
        <v/>
      </c>
      <c r="O1133" s="675">
        <f>+CUBICACION!O1132</f>
        <v>0</v>
      </c>
      <c r="P1133" s="15">
        <f>IF(O1133="Fire Control",VLOOKUP(_xlfn.MINIFS('FIRE CONTROL'!$C$4:$C$37,'FIRE CONTROL'!$C$4:$C$37,"&gt;="&amp;M1133),'FIRE CONTROL'!$C$4:$G$37,IF(L1133="F-15",2,IF(L1133="F-30",3,IF(L1133="F-60",4,IF(L1133="F-90",5,0)))),0),0)+IF(AND(O1133="FIRE TEX 5062",OR(E1133="IN",E1133="C",E1133="Z",E1133="L"),J1133=3),VLOOKUP(_xlfn.MINIFS('FIRE TEX 5062'!$B$4:$B$34,'FIRE TEX 5062'!$B$4:$B$34,"&gt;="&amp;M1133),'FIRE TEX 5062'!$B$4:$F$34,IF(L1133="F-15",2,IF(L1133="F-30",3,IF(L1133="F-60",4,IF(L1133="F-90",5,0)))),0),0)+IF(AND(O1133="FIRE TEX 5062",OR(E1133="IN",E1133="C",E1133="Z",E1133="L"),J1133=4),VLOOKUP(_xlfn.MINIFS('FIRE TEX 5062'!$G$4:$G$34,'FIRE TEX 5062'!$G$4:$G$34,"&gt;="&amp;M1133),'FIRE TEX 5062'!$G$4:$K$34,IF(L1133="F-15",2,IF(L1133="F-30",3,IF(L1133="F-60",4,IF(L1133="F-90",5,0)))),0),0)+IF(AND(O1133="FIRE TEX 5062",E1133="CJ",J1133=3),VLOOKUP(_xlfn.MINIFS('FIRE TEX 5062'!$L$4:$L$34,'FIRE TEX 5062'!$L$4:$L$34,"&gt;="&amp;M1133),'FIRE TEX 5062'!$L$4:$P$34,IF(L1133="F-15",2,IF(L1133="F-30",3,IF(L1133="F-60",4,IF(L1133="F-90",5,0)))),0),0)+IF(AND(O1133="FIRE TEX 5062",E1133="CJ",J1133=4),VLOOKUP(_xlfn.MINIFS('FIRE TEX 5062'!$Q$3:$Q$34,'FIRE TEX 5062'!$Q$3:$Q$34,"&gt;="&amp;M1133),'FIRE TEX 5062'!$Q$3:$U$34,IF(L1133="F-15",2,IF(L1133="F-30",3,IF(L1133="F-60",4,IF(L1133="F-90",5,0)))),0),0)+IF(AND(O1133="FIRE TEX 5090",OR(E1133="IN",E1133="C",E1133="Z",E1133="L"),J1133=3),VLOOKUP(_xlfn.MINIFS('FIRE TEX 5090'!$B$5:$B$43,'FIRE TEX 5090'!$B$5:$B$43,"&gt;="&amp;M1133),'FIRE TEX 5090'!$B$5:$H$43,IF(L1133="F-15",2,IF(L1133="F-30",3,IF(L1133="F-60",4,IF(L1133="F-90",5,IF(L1133="F-120",6,IF(L1133="F-150",7,0)))))),0),0)+IF(AND(O1133="FIRE TEX 5090",OR(E1133="IN",E1133="C",E1133="Z",E1133="L"),J1133=4),VLOOKUP(_xlfn.MINIFS('FIRE TEX 5090'!$J$5:$J$43,'FIRE TEX 5090'!$J$5:$J$43,"&gt;="&amp;M1133),'FIRE TEX 5090'!$J$5:$P$43,IF(L1133="F-15",2,IF(L1133="F-30",3,IF(L1133="F-60",4,IF(L1133="F-90",5,IF(L1133="F-120",6,IF(L1133="F-150",7,0)))))),0),0)+IF(AND(O1133="FIRE TEX 5090",E1133="CJ",J1133=3),VLOOKUP(_xlfn.MINIFS('FIRE TEX 5090'!$R$5:$R$30,'FIRE TEX 5090'!$R$5:$R$30,"&gt;="&amp;M1133),'FIRE TEX 5090'!$R$5:$W$30,IF(L1133="F-15",2,IF(L1133="F-30",3,IF(L1133="F-60",4,IF(L1133="F-90",5,IF(L1133="F-120",6,IF(L1133="F-150",7,0)))))),0),0)+IF(AND(O1133="FIRE TEX 5090",E1133="CJ",J1133=4),VLOOKUP(_xlfn.MINIFS('FIRE TEX 5090'!$Y$5:$Y$39,'FIRE TEX 5090'!$Y$5:$Y$39,"&gt;="&amp;M1133),'FIRE TEX 5090'!$Y$5:$AD$39,IF(L1133="F-15",2,IF(L1133="F-30",3,IF(L1133="F-60",4,IF(L1133="F-90",5,IF(L1133="F-120",6,IF(L1133="F-150",7,0)))))),0),0)+IF(AND(O1133="FIRE TEX 5120",OR(E1133="IN",E1133="C",E1133="Z",E1133="L"),J1133=3),VLOOKUP(_xlfn.MINIFS('FIRE TEX 5120'!$B$5:$B$40,'FIRE TEX 5120'!$B$5:$B$40,"&gt;="&amp;M1133),'FIRE TEX 5120'!$B$5:$G$40,IF(L1133="F-15",2,IF(L1133="F-30",3,IF(L1133="F-60",4,IF(L1133="F-90",5,IF(L1133="F-120",6,0))))),0),0)+IF(AND(O1133="FIRE TEX 5120",OR(E1133="IN",E1133="C",E1133="Z",E1133="L"),J1133=4),VLOOKUP(_xlfn.MINIFS('FIRE TEX 5120'!$H$4:$H$40,'FIRE TEX 5120'!$H$4:$H$40,"&gt;="&amp;M1133),'FIRE TEX 5120'!$H$4:$M$40,IF(L1133="F-15",2,IF(L1133="F-30",3,IF(L1133="F-60",4,IF(L1133="F-90",5,IF(L1133="F-120",6,0))))),0),0)+IF(AND(O1133="FIRE TEX 5120",E1133="CJ"),VLOOKUP(_xlfn.MINIFS('FIRE TEX 5120'!$O$5:$O$40,'FIRE TEX 5120'!$O$5:$O$40,"&gt;="&amp;M1133),'FIRE TEX 5120'!$O$5:$T$40,IF(L1133="F-15",2,IF(L1133="F-30",3,IF(L1133="F-60",4,IF(L1133="F-90",5,IF(L1133="F-120",6,0))))),0),0)</f>
        <v>0</v>
      </c>
      <c r="Q1133" s="46">
        <f t="shared" ref="Q1133:Q1196" si="109">IF(P1133="","",IF(P1133="dar valor","",0.03937*P1133))</f>
        <v>0</v>
      </c>
      <c r="R1133" s="46">
        <f t="shared" ref="R1133:R1196" si="110">+(IF(O1133="Fire Control",((65*1.5/Q1133)*0.75*4),0))+(IF(OR(O1133="Fire Tex 5062",O1133="Fire Tex 5090",O1133="Fire Tex 5120"),((66*1.5/Q1133)*0.7*5),0))</f>
        <v>0</v>
      </c>
      <c r="S1133" s="46" t="e">
        <f t="shared" ref="S1133:S1196" si="111">IF(R1133="","",+N1133/R1133)</f>
        <v>#VALUE!</v>
      </c>
      <c r="T1133" s="677">
        <f t="shared" ref="T1133:T1196" si="112">(IF(O1133="Stofire",(S1133/(7*1)),0))+(IF(O1133="Fire Control",(S1133/(7*1)),0))+(IF(O1133="Fire Tex",(S1133/(7*1)),0))+(IF(O1133="WB7",(S1133/(7*1)),0))+(IF(O1133="FX 2003",(S1133/(7*1)),0))</f>
        <v>0</v>
      </c>
      <c r="U1133" s="80">
        <f>(IF(O1133="Stofire",(S1133*#REF!),0))+(IF(O1133="Fire Control",(S1133*$U$2),0))+(IF(O1133="Fire Tex",(S1133*$U$3),0))+(IF(O1133="WB7",(S1133*#REF!),0)+(IF(O1133="FX 2003",(S1133*$U$5),0)))</f>
        <v>0</v>
      </c>
      <c r="V1133" s="651">
        <f t="shared" ref="V1133:V1196" si="113">_xlfn.CEILING.MATH(M1133,10)</f>
        <v>0</v>
      </c>
    </row>
    <row r="1134" spans="4:22" x14ac:dyDescent="0.25">
      <c r="D1134" s="118">
        <f>+CUBICACION!D1133</f>
        <v>0</v>
      </c>
      <c r="E1134" s="118">
        <f>+CUBICACION!F1133</f>
        <v>0</v>
      </c>
      <c r="F1134" s="118">
        <f>+CUBICACION!E1133</f>
        <v>0</v>
      </c>
      <c r="G1134" s="118">
        <v>12</v>
      </c>
      <c r="H1134" s="118">
        <v>2</v>
      </c>
      <c r="I1134" s="820">
        <v>26385</v>
      </c>
      <c r="J1134" s="118">
        <f>+CUBICACION!J1133</f>
        <v>0</v>
      </c>
      <c r="K1134" s="118">
        <v>3913</v>
      </c>
      <c r="L1134" s="118">
        <f>+CUBICACION!L1133</f>
        <v>0</v>
      </c>
      <c r="M1134" s="64">
        <f>+CUBICACION!M1133</f>
        <v>0</v>
      </c>
      <c r="N1134" s="824" t="str">
        <f>+CUBICACION!N1133</f>
        <v/>
      </c>
      <c r="O1134" s="675">
        <f>+CUBICACION!O1133</f>
        <v>0</v>
      </c>
      <c r="P1134" s="15">
        <f>IF(O1134="Fire Control",VLOOKUP(_xlfn.MINIFS('FIRE CONTROL'!$C$4:$C$37,'FIRE CONTROL'!$C$4:$C$37,"&gt;="&amp;M1134),'FIRE CONTROL'!$C$4:$G$37,IF(L1134="F-15",2,IF(L1134="F-30",3,IF(L1134="F-60",4,IF(L1134="F-90",5,0)))),0),0)+IF(AND(O1134="FIRE TEX 5062",OR(E1134="IN",E1134="C",E1134="Z",E1134="L"),J1134=3),VLOOKUP(_xlfn.MINIFS('FIRE TEX 5062'!$B$4:$B$34,'FIRE TEX 5062'!$B$4:$B$34,"&gt;="&amp;M1134),'FIRE TEX 5062'!$B$4:$F$34,IF(L1134="F-15",2,IF(L1134="F-30",3,IF(L1134="F-60",4,IF(L1134="F-90",5,0)))),0),0)+IF(AND(O1134="FIRE TEX 5062",OR(E1134="IN",E1134="C",E1134="Z",E1134="L"),J1134=4),VLOOKUP(_xlfn.MINIFS('FIRE TEX 5062'!$G$4:$G$34,'FIRE TEX 5062'!$G$4:$G$34,"&gt;="&amp;M1134),'FIRE TEX 5062'!$G$4:$K$34,IF(L1134="F-15",2,IF(L1134="F-30",3,IF(L1134="F-60",4,IF(L1134="F-90",5,0)))),0),0)+IF(AND(O1134="FIRE TEX 5062",E1134="CJ",J1134=3),VLOOKUP(_xlfn.MINIFS('FIRE TEX 5062'!$L$4:$L$34,'FIRE TEX 5062'!$L$4:$L$34,"&gt;="&amp;M1134),'FIRE TEX 5062'!$L$4:$P$34,IF(L1134="F-15",2,IF(L1134="F-30",3,IF(L1134="F-60",4,IF(L1134="F-90",5,0)))),0),0)+IF(AND(O1134="FIRE TEX 5062",E1134="CJ",J1134=4),VLOOKUP(_xlfn.MINIFS('FIRE TEX 5062'!$Q$3:$Q$34,'FIRE TEX 5062'!$Q$3:$Q$34,"&gt;="&amp;M1134),'FIRE TEX 5062'!$Q$3:$U$34,IF(L1134="F-15",2,IF(L1134="F-30",3,IF(L1134="F-60",4,IF(L1134="F-90",5,0)))),0),0)+IF(AND(O1134="FIRE TEX 5090",OR(E1134="IN",E1134="C",E1134="Z",E1134="L"),J1134=3),VLOOKUP(_xlfn.MINIFS('FIRE TEX 5090'!$B$5:$B$43,'FIRE TEX 5090'!$B$5:$B$43,"&gt;="&amp;M1134),'FIRE TEX 5090'!$B$5:$H$43,IF(L1134="F-15",2,IF(L1134="F-30",3,IF(L1134="F-60",4,IF(L1134="F-90",5,IF(L1134="F-120",6,IF(L1134="F-150",7,0)))))),0),0)+IF(AND(O1134="FIRE TEX 5090",OR(E1134="IN",E1134="C",E1134="Z",E1134="L"),J1134=4),VLOOKUP(_xlfn.MINIFS('FIRE TEX 5090'!$J$5:$J$43,'FIRE TEX 5090'!$J$5:$J$43,"&gt;="&amp;M1134),'FIRE TEX 5090'!$J$5:$P$43,IF(L1134="F-15",2,IF(L1134="F-30",3,IF(L1134="F-60",4,IF(L1134="F-90",5,IF(L1134="F-120",6,IF(L1134="F-150",7,0)))))),0),0)+IF(AND(O1134="FIRE TEX 5090",E1134="CJ",J1134=3),VLOOKUP(_xlfn.MINIFS('FIRE TEX 5090'!$R$5:$R$30,'FIRE TEX 5090'!$R$5:$R$30,"&gt;="&amp;M1134),'FIRE TEX 5090'!$R$5:$W$30,IF(L1134="F-15",2,IF(L1134="F-30",3,IF(L1134="F-60",4,IF(L1134="F-90",5,IF(L1134="F-120",6,IF(L1134="F-150",7,0)))))),0),0)+IF(AND(O1134="FIRE TEX 5090",E1134="CJ",J1134=4),VLOOKUP(_xlfn.MINIFS('FIRE TEX 5090'!$Y$5:$Y$39,'FIRE TEX 5090'!$Y$5:$Y$39,"&gt;="&amp;M1134),'FIRE TEX 5090'!$Y$5:$AD$39,IF(L1134="F-15",2,IF(L1134="F-30",3,IF(L1134="F-60",4,IF(L1134="F-90",5,IF(L1134="F-120",6,IF(L1134="F-150",7,0)))))),0),0)+IF(AND(O1134="FIRE TEX 5120",OR(E1134="IN",E1134="C",E1134="Z",E1134="L"),J1134=3),VLOOKUP(_xlfn.MINIFS('FIRE TEX 5120'!$B$5:$B$40,'FIRE TEX 5120'!$B$5:$B$40,"&gt;="&amp;M1134),'FIRE TEX 5120'!$B$5:$G$40,IF(L1134="F-15",2,IF(L1134="F-30",3,IF(L1134="F-60",4,IF(L1134="F-90",5,IF(L1134="F-120",6,0))))),0),0)+IF(AND(O1134="FIRE TEX 5120",OR(E1134="IN",E1134="C",E1134="Z",E1134="L"),J1134=4),VLOOKUP(_xlfn.MINIFS('FIRE TEX 5120'!$H$4:$H$40,'FIRE TEX 5120'!$H$4:$H$40,"&gt;="&amp;M1134),'FIRE TEX 5120'!$H$4:$M$40,IF(L1134="F-15",2,IF(L1134="F-30",3,IF(L1134="F-60",4,IF(L1134="F-90",5,IF(L1134="F-120",6,0))))),0),0)+IF(AND(O1134="FIRE TEX 5120",E1134="CJ"),VLOOKUP(_xlfn.MINIFS('FIRE TEX 5120'!$O$5:$O$40,'FIRE TEX 5120'!$O$5:$O$40,"&gt;="&amp;M1134),'FIRE TEX 5120'!$O$5:$T$40,IF(L1134="F-15",2,IF(L1134="F-30",3,IF(L1134="F-60",4,IF(L1134="F-90",5,IF(L1134="F-120",6,0))))),0),0)</f>
        <v>0</v>
      </c>
      <c r="Q1134" s="46">
        <f t="shared" si="109"/>
        <v>0</v>
      </c>
      <c r="R1134" s="46">
        <f t="shared" si="110"/>
        <v>0</v>
      </c>
      <c r="S1134" s="46" t="e">
        <f t="shared" si="111"/>
        <v>#VALUE!</v>
      </c>
      <c r="T1134" s="677">
        <f t="shared" si="112"/>
        <v>0</v>
      </c>
      <c r="U1134" s="80">
        <f>(IF(O1134="Stofire",(S1134*#REF!),0))+(IF(O1134="Fire Control",(S1134*$U$2),0))+(IF(O1134="Fire Tex",(S1134*$U$3),0))+(IF(O1134="WB7",(S1134*#REF!),0)+(IF(O1134="FX 2003",(S1134*$U$5),0)))</f>
        <v>0</v>
      </c>
      <c r="V1134" s="651">
        <f t="shared" si="113"/>
        <v>0</v>
      </c>
    </row>
    <row r="1135" spans="4:22" x14ac:dyDescent="0.25">
      <c r="D1135" s="118">
        <f>+CUBICACION!D1134</f>
        <v>0</v>
      </c>
      <c r="E1135" s="118">
        <f>+CUBICACION!F1134</f>
        <v>0</v>
      </c>
      <c r="F1135" s="118">
        <f>+CUBICACION!E1134</f>
        <v>0</v>
      </c>
      <c r="G1135" s="118">
        <v>12</v>
      </c>
      <c r="H1135" s="118">
        <v>2</v>
      </c>
      <c r="I1135" s="820">
        <v>26385</v>
      </c>
      <c r="J1135" s="118">
        <f>+CUBICACION!J1134</f>
        <v>0</v>
      </c>
      <c r="K1135" s="118">
        <v>3914</v>
      </c>
      <c r="L1135" s="118">
        <f>+CUBICACION!L1134</f>
        <v>0</v>
      </c>
      <c r="M1135" s="64">
        <f>+CUBICACION!M1134</f>
        <v>0</v>
      </c>
      <c r="N1135" s="824" t="str">
        <f>+CUBICACION!N1134</f>
        <v/>
      </c>
      <c r="O1135" s="675">
        <f>+CUBICACION!O1134</f>
        <v>0</v>
      </c>
      <c r="P1135" s="15">
        <f>IF(O1135="Fire Control",VLOOKUP(_xlfn.MINIFS('FIRE CONTROL'!$C$4:$C$37,'FIRE CONTROL'!$C$4:$C$37,"&gt;="&amp;M1135),'FIRE CONTROL'!$C$4:$G$37,IF(L1135="F-15",2,IF(L1135="F-30",3,IF(L1135="F-60",4,IF(L1135="F-90",5,0)))),0),0)+IF(AND(O1135="FIRE TEX 5062",OR(E1135="IN",E1135="C",E1135="Z",E1135="L"),J1135=3),VLOOKUP(_xlfn.MINIFS('FIRE TEX 5062'!$B$4:$B$34,'FIRE TEX 5062'!$B$4:$B$34,"&gt;="&amp;M1135),'FIRE TEX 5062'!$B$4:$F$34,IF(L1135="F-15",2,IF(L1135="F-30",3,IF(L1135="F-60",4,IF(L1135="F-90",5,0)))),0),0)+IF(AND(O1135="FIRE TEX 5062",OR(E1135="IN",E1135="C",E1135="Z",E1135="L"),J1135=4),VLOOKUP(_xlfn.MINIFS('FIRE TEX 5062'!$G$4:$G$34,'FIRE TEX 5062'!$G$4:$G$34,"&gt;="&amp;M1135),'FIRE TEX 5062'!$G$4:$K$34,IF(L1135="F-15",2,IF(L1135="F-30",3,IF(L1135="F-60",4,IF(L1135="F-90",5,0)))),0),0)+IF(AND(O1135="FIRE TEX 5062",E1135="CJ",J1135=3),VLOOKUP(_xlfn.MINIFS('FIRE TEX 5062'!$L$4:$L$34,'FIRE TEX 5062'!$L$4:$L$34,"&gt;="&amp;M1135),'FIRE TEX 5062'!$L$4:$P$34,IF(L1135="F-15",2,IF(L1135="F-30",3,IF(L1135="F-60",4,IF(L1135="F-90",5,0)))),0),0)+IF(AND(O1135="FIRE TEX 5062",E1135="CJ",J1135=4),VLOOKUP(_xlfn.MINIFS('FIRE TEX 5062'!$Q$3:$Q$34,'FIRE TEX 5062'!$Q$3:$Q$34,"&gt;="&amp;M1135),'FIRE TEX 5062'!$Q$3:$U$34,IF(L1135="F-15",2,IF(L1135="F-30",3,IF(L1135="F-60",4,IF(L1135="F-90",5,0)))),0),0)+IF(AND(O1135="FIRE TEX 5090",OR(E1135="IN",E1135="C",E1135="Z",E1135="L"),J1135=3),VLOOKUP(_xlfn.MINIFS('FIRE TEX 5090'!$B$5:$B$43,'FIRE TEX 5090'!$B$5:$B$43,"&gt;="&amp;M1135),'FIRE TEX 5090'!$B$5:$H$43,IF(L1135="F-15",2,IF(L1135="F-30",3,IF(L1135="F-60",4,IF(L1135="F-90",5,IF(L1135="F-120",6,IF(L1135="F-150",7,0)))))),0),0)+IF(AND(O1135="FIRE TEX 5090",OR(E1135="IN",E1135="C",E1135="Z",E1135="L"),J1135=4),VLOOKUP(_xlfn.MINIFS('FIRE TEX 5090'!$J$5:$J$43,'FIRE TEX 5090'!$J$5:$J$43,"&gt;="&amp;M1135),'FIRE TEX 5090'!$J$5:$P$43,IF(L1135="F-15",2,IF(L1135="F-30",3,IF(L1135="F-60",4,IF(L1135="F-90",5,IF(L1135="F-120",6,IF(L1135="F-150",7,0)))))),0),0)+IF(AND(O1135="FIRE TEX 5090",E1135="CJ",J1135=3),VLOOKUP(_xlfn.MINIFS('FIRE TEX 5090'!$R$5:$R$30,'FIRE TEX 5090'!$R$5:$R$30,"&gt;="&amp;M1135),'FIRE TEX 5090'!$R$5:$W$30,IF(L1135="F-15",2,IF(L1135="F-30",3,IF(L1135="F-60",4,IF(L1135="F-90",5,IF(L1135="F-120",6,IF(L1135="F-150",7,0)))))),0),0)+IF(AND(O1135="FIRE TEX 5090",E1135="CJ",J1135=4),VLOOKUP(_xlfn.MINIFS('FIRE TEX 5090'!$Y$5:$Y$39,'FIRE TEX 5090'!$Y$5:$Y$39,"&gt;="&amp;M1135),'FIRE TEX 5090'!$Y$5:$AD$39,IF(L1135="F-15",2,IF(L1135="F-30",3,IF(L1135="F-60",4,IF(L1135="F-90",5,IF(L1135="F-120",6,IF(L1135="F-150",7,0)))))),0),0)+IF(AND(O1135="FIRE TEX 5120",OR(E1135="IN",E1135="C",E1135="Z",E1135="L"),J1135=3),VLOOKUP(_xlfn.MINIFS('FIRE TEX 5120'!$B$5:$B$40,'FIRE TEX 5120'!$B$5:$B$40,"&gt;="&amp;M1135),'FIRE TEX 5120'!$B$5:$G$40,IF(L1135="F-15",2,IF(L1135="F-30",3,IF(L1135="F-60",4,IF(L1135="F-90",5,IF(L1135="F-120",6,0))))),0),0)+IF(AND(O1135="FIRE TEX 5120",OR(E1135="IN",E1135="C",E1135="Z",E1135="L"),J1135=4),VLOOKUP(_xlfn.MINIFS('FIRE TEX 5120'!$H$4:$H$40,'FIRE TEX 5120'!$H$4:$H$40,"&gt;="&amp;M1135),'FIRE TEX 5120'!$H$4:$M$40,IF(L1135="F-15",2,IF(L1135="F-30",3,IF(L1135="F-60",4,IF(L1135="F-90",5,IF(L1135="F-120",6,0))))),0),0)+IF(AND(O1135="FIRE TEX 5120",E1135="CJ"),VLOOKUP(_xlfn.MINIFS('FIRE TEX 5120'!$O$5:$O$40,'FIRE TEX 5120'!$O$5:$O$40,"&gt;="&amp;M1135),'FIRE TEX 5120'!$O$5:$T$40,IF(L1135="F-15",2,IF(L1135="F-30",3,IF(L1135="F-60",4,IF(L1135="F-90",5,IF(L1135="F-120",6,0))))),0),0)</f>
        <v>0</v>
      </c>
      <c r="Q1135" s="46">
        <f t="shared" si="109"/>
        <v>0</v>
      </c>
      <c r="R1135" s="46">
        <f t="shared" si="110"/>
        <v>0</v>
      </c>
      <c r="S1135" s="46" t="e">
        <f t="shared" si="111"/>
        <v>#VALUE!</v>
      </c>
      <c r="T1135" s="677">
        <f t="shared" si="112"/>
        <v>0</v>
      </c>
      <c r="U1135" s="80">
        <f>(IF(O1135="Stofire",(S1135*#REF!),0))+(IF(O1135="Fire Control",(S1135*$U$2),0))+(IF(O1135="Fire Tex",(S1135*$U$3),0))+(IF(O1135="WB7",(S1135*#REF!),0)+(IF(O1135="FX 2003",(S1135*$U$5),0)))</f>
        <v>0</v>
      </c>
      <c r="V1135" s="651">
        <f t="shared" si="113"/>
        <v>0</v>
      </c>
    </row>
    <row r="1136" spans="4:22" x14ac:dyDescent="0.25">
      <c r="D1136" s="118">
        <f>+CUBICACION!D1135</f>
        <v>0</v>
      </c>
      <c r="E1136" s="118">
        <f>+CUBICACION!F1135</f>
        <v>0</v>
      </c>
      <c r="F1136" s="118">
        <f>+CUBICACION!E1135</f>
        <v>0</v>
      </c>
      <c r="G1136" s="118">
        <v>12</v>
      </c>
      <c r="H1136" s="118">
        <v>2</v>
      </c>
      <c r="I1136" s="820">
        <v>26385</v>
      </c>
      <c r="J1136" s="118">
        <f>+CUBICACION!J1135</f>
        <v>0</v>
      </c>
      <c r="K1136" s="118">
        <v>3915</v>
      </c>
      <c r="L1136" s="118">
        <f>+CUBICACION!L1135</f>
        <v>0</v>
      </c>
      <c r="M1136" s="64">
        <f>+CUBICACION!M1135</f>
        <v>0</v>
      </c>
      <c r="N1136" s="824" t="str">
        <f>+CUBICACION!N1135</f>
        <v/>
      </c>
      <c r="O1136" s="675">
        <f>+CUBICACION!O1135</f>
        <v>0</v>
      </c>
      <c r="P1136" s="15">
        <f>IF(O1136="Fire Control",VLOOKUP(_xlfn.MINIFS('FIRE CONTROL'!$C$4:$C$37,'FIRE CONTROL'!$C$4:$C$37,"&gt;="&amp;M1136),'FIRE CONTROL'!$C$4:$G$37,IF(L1136="F-15",2,IF(L1136="F-30",3,IF(L1136="F-60",4,IF(L1136="F-90",5,0)))),0),0)+IF(AND(O1136="FIRE TEX 5062",OR(E1136="IN",E1136="C",E1136="Z",E1136="L"),J1136=3),VLOOKUP(_xlfn.MINIFS('FIRE TEX 5062'!$B$4:$B$34,'FIRE TEX 5062'!$B$4:$B$34,"&gt;="&amp;M1136),'FIRE TEX 5062'!$B$4:$F$34,IF(L1136="F-15",2,IF(L1136="F-30",3,IF(L1136="F-60",4,IF(L1136="F-90",5,0)))),0),0)+IF(AND(O1136="FIRE TEX 5062",OR(E1136="IN",E1136="C",E1136="Z",E1136="L"),J1136=4),VLOOKUP(_xlfn.MINIFS('FIRE TEX 5062'!$G$4:$G$34,'FIRE TEX 5062'!$G$4:$G$34,"&gt;="&amp;M1136),'FIRE TEX 5062'!$G$4:$K$34,IF(L1136="F-15",2,IF(L1136="F-30",3,IF(L1136="F-60",4,IF(L1136="F-90",5,0)))),0),0)+IF(AND(O1136="FIRE TEX 5062",E1136="CJ",J1136=3),VLOOKUP(_xlfn.MINIFS('FIRE TEX 5062'!$L$4:$L$34,'FIRE TEX 5062'!$L$4:$L$34,"&gt;="&amp;M1136),'FIRE TEX 5062'!$L$4:$P$34,IF(L1136="F-15",2,IF(L1136="F-30",3,IF(L1136="F-60",4,IF(L1136="F-90",5,0)))),0),0)+IF(AND(O1136="FIRE TEX 5062",E1136="CJ",J1136=4),VLOOKUP(_xlfn.MINIFS('FIRE TEX 5062'!$Q$3:$Q$34,'FIRE TEX 5062'!$Q$3:$Q$34,"&gt;="&amp;M1136),'FIRE TEX 5062'!$Q$3:$U$34,IF(L1136="F-15",2,IF(L1136="F-30",3,IF(L1136="F-60",4,IF(L1136="F-90",5,0)))),0),0)+IF(AND(O1136="FIRE TEX 5090",OR(E1136="IN",E1136="C",E1136="Z",E1136="L"),J1136=3),VLOOKUP(_xlfn.MINIFS('FIRE TEX 5090'!$B$5:$B$43,'FIRE TEX 5090'!$B$5:$B$43,"&gt;="&amp;M1136),'FIRE TEX 5090'!$B$5:$H$43,IF(L1136="F-15",2,IF(L1136="F-30",3,IF(L1136="F-60",4,IF(L1136="F-90",5,IF(L1136="F-120",6,IF(L1136="F-150",7,0)))))),0),0)+IF(AND(O1136="FIRE TEX 5090",OR(E1136="IN",E1136="C",E1136="Z",E1136="L"),J1136=4),VLOOKUP(_xlfn.MINIFS('FIRE TEX 5090'!$J$5:$J$43,'FIRE TEX 5090'!$J$5:$J$43,"&gt;="&amp;M1136),'FIRE TEX 5090'!$J$5:$P$43,IF(L1136="F-15",2,IF(L1136="F-30",3,IF(L1136="F-60",4,IF(L1136="F-90",5,IF(L1136="F-120",6,IF(L1136="F-150",7,0)))))),0),0)+IF(AND(O1136="FIRE TEX 5090",E1136="CJ",J1136=3),VLOOKUP(_xlfn.MINIFS('FIRE TEX 5090'!$R$5:$R$30,'FIRE TEX 5090'!$R$5:$R$30,"&gt;="&amp;M1136),'FIRE TEX 5090'!$R$5:$W$30,IF(L1136="F-15",2,IF(L1136="F-30",3,IF(L1136="F-60",4,IF(L1136="F-90",5,IF(L1136="F-120",6,IF(L1136="F-150",7,0)))))),0),0)+IF(AND(O1136="FIRE TEX 5090",E1136="CJ",J1136=4),VLOOKUP(_xlfn.MINIFS('FIRE TEX 5090'!$Y$5:$Y$39,'FIRE TEX 5090'!$Y$5:$Y$39,"&gt;="&amp;M1136),'FIRE TEX 5090'!$Y$5:$AD$39,IF(L1136="F-15",2,IF(L1136="F-30",3,IF(L1136="F-60",4,IF(L1136="F-90",5,IF(L1136="F-120",6,IF(L1136="F-150",7,0)))))),0),0)+IF(AND(O1136="FIRE TEX 5120",OR(E1136="IN",E1136="C",E1136="Z",E1136="L"),J1136=3),VLOOKUP(_xlfn.MINIFS('FIRE TEX 5120'!$B$5:$B$40,'FIRE TEX 5120'!$B$5:$B$40,"&gt;="&amp;M1136),'FIRE TEX 5120'!$B$5:$G$40,IF(L1136="F-15",2,IF(L1136="F-30",3,IF(L1136="F-60",4,IF(L1136="F-90",5,IF(L1136="F-120",6,0))))),0),0)+IF(AND(O1136="FIRE TEX 5120",OR(E1136="IN",E1136="C",E1136="Z",E1136="L"),J1136=4),VLOOKUP(_xlfn.MINIFS('FIRE TEX 5120'!$H$4:$H$40,'FIRE TEX 5120'!$H$4:$H$40,"&gt;="&amp;M1136),'FIRE TEX 5120'!$H$4:$M$40,IF(L1136="F-15",2,IF(L1136="F-30",3,IF(L1136="F-60",4,IF(L1136="F-90",5,IF(L1136="F-120",6,0))))),0),0)+IF(AND(O1136="FIRE TEX 5120",E1136="CJ"),VLOOKUP(_xlfn.MINIFS('FIRE TEX 5120'!$O$5:$O$40,'FIRE TEX 5120'!$O$5:$O$40,"&gt;="&amp;M1136),'FIRE TEX 5120'!$O$5:$T$40,IF(L1136="F-15",2,IF(L1136="F-30",3,IF(L1136="F-60",4,IF(L1136="F-90",5,IF(L1136="F-120",6,0))))),0),0)</f>
        <v>0</v>
      </c>
      <c r="Q1136" s="46">
        <f t="shared" si="109"/>
        <v>0</v>
      </c>
      <c r="R1136" s="46">
        <f t="shared" si="110"/>
        <v>0</v>
      </c>
      <c r="S1136" s="46" t="e">
        <f t="shared" si="111"/>
        <v>#VALUE!</v>
      </c>
      <c r="T1136" s="677">
        <f t="shared" si="112"/>
        <v>0</v>
      </c>
      <c r="U1136" s="80">
        <f>(IF(O1136="Stofire",(S1136*#REF!),0))+(IF(O1136="Fire Control",(S1136*$U$2),0))+(IF(O1136="Fire Tex",(S1136*$U$3),0))+(IF(O1136="WB7",(S1136*#REF!),0)+(IF(O1136="FX 2003",(S1136*$U$5),0)))</f>
        <v>0</v>
      </c>
      <c r="V1136" s="651">
        <f t="shared" si="113"/>
        <v>0</v>
      </c>
    </row>
    <row r="1137" spans="4:22" x14ac:dyDescent="0.25">
      <c r="D1137" s="118">
        <f>+CUBICACION!D1136</f>
        <v>0</v>
      </c>
      <c r="E1137" s="118">
        <f>+CUBICACION!F1136</f>
        <v>0</v>
      </c>
      <c r="F1137" s="118">
        <f>+CUBICACION!E1136</f>
        <v>0</v>
      </c>
      <c r="G1137" s="118">
        <v>12</v>
      </c>
      <c r="H1137" s="118">
        <v>2</v>
      </c>
      <c r="I1137" s="820">
        <v>26385</v>
      </c>
      <c r="J1137" s="118">
        <f>+CUBICACION!J1136</f>
        <v>0</v>
      </c>
      <c r="K1137" s="118">
        <v>3916</v>
      </c>
      <c r="L1137" s="118">
        <f>+CUBICACION!L1136</f>
        <v>0</v>
      </c>
      <c r="M1137" s="64">
        <f>+CUBICACION!M1136</f>
        <v>0</v>
      </c>
      <c r="N1137" s="824" t="str">
        <f>+CUBICACION!N1136</f>
        <v/>
      </c>
      <c r="O1137" s="675">
        <f>+CUBICACION!O1136</f>
        <v>0</v>
      </c>
      <c r="P1137" s="15">
        <f>IF(O1137="Fire Control",VLOOKUP(_xlfn.MINIFS('FIRE CONTROL'!$C$4:$C$37,'FIRE CONTROL'!$C$4:$C$37,"&gt;="&amp;M1137),'FIRE CONTROL'!$C$4:$G$37,IF(L1137="F-15",2,IF(L1137="F-30",3,IF(L1137="F-60",4,IF(L1137="F-90",5,0)))),0),0)+IF(AND(O1137="FIRE TEX 5062",OR(E1137="IN",E1137="C",E1137="Z",E1137="L"),J1137=3),VLOOKUP(_xlfn.MINIFS('FIRE TEX 5062'!$B$4:$B$34,'FIRE TEX 5062'!$B$4:$B$34,"&gt;="&amp;M1137),'FIRE TEX 5062'!$B$4:$F$34,IF(L1137="F-15",2,IF(L1137="F-30",3,IF(L1137="F-60",4,IF(L1137="F-90",5,0)))),0),0)+IF(AND(O1137="FIRE TEX 5062",OR(E1137="IN",E1137="C",E1137="Z",E1137="L"),J1137=4),VLOOKUP(_xlfn.MINIFS('FIRE TEX 5062'!$G$4:$G$34,'FIRE TEX 5062'!$G$4:$G$34,"&gt;="&amp;M1137),'FIRE TEX 5062'!$G$4:$K$34,IF(L1137="F-15",2,IF(L1137="F-30",3,IF(L1137="F-60",4,IF(L1137="F-90",5,0)))),0),0)+IF(AND(O1137="FIRE TEX 5062",E1137="CJ",J1137=3),VLOOKUP(_xlfn.MINIFS('FIRE TEX 5062'!$L$4:$L$34,'FIRE TEX 5062'!$L$4:$L$34,"&gt;="&amp;M1137),'FIRE TEX 5062'!$L$4:$P$34,IF(L1137="F-15",2,IF(L1137="F-30",3,IF(L1137="F-60",4,IF(L1137="F-90",5,0)))),0),0)+IF(AND(O1137="FIRE TEX 5062",E1137="CJ",J1137=4),VLOOKUP(_xlfn.MINIFS('FIRE TEX 5062'!$Q$3:$Q$34,'FIRE TEX 5062'!$Q$3:$Q$34,"&gt;="&amp;M1137),'FIRE TEX 5062'!$Q$3:$U$34,IF(L1137="F-15",2,IF(L1137="F-30",3,IF(L1137="F-60",4,IF(L1137="F-90",5,0)))),0),0)+IF(AND(O1137="FIRE TEX 5090",OR(E1137="IN",E1137="C",E1137="Z",E1137="L"),J1137=3),VLOOKUP(_xlfn.MINIFS('FIRE TEX 5090'!$B$5:$B$43,'FIRE TEX 5090'!$B$5:$B$43,"&gt;="&amp;M1137),'FIRE TEX 5090'!$B$5:$H$43,IF(L1137="F-15",2,IF(L1137="F-30",3,IF(L1137="F-60",4,IF(L1137="F-90",5,IF(L1137="F-120",6,IF(L1137="F-150",7,0)))))),0),0)+IF(AND(O1137="FIRE TEX 5090",OR(E1137="IN",E1137="C",E1137="Z",E1137="L"),J1137=4),VLOOKUP(_xlfn.MINIFS('FIRE TEX 5090'!$J$5:$J$43,'FIRE TEX 5090'!$J$5:$J$43,"&gt;="&amp;M1137),'FIRE TEX 5090'!$J$5:$P$43,IF(L1137="F-15",2,IF(L1137="F-30",3,IF(L1137="F-60",4,IF(L1137="F-90",5,IF(L1137="F-120",6,IF(L1137="F-150",7,0)))))),0),0)+IF(AND(O1137="FIRE TEX 5090",E1137="CJ",J1137=3),VLOOKUP(_xlfn.MINIFS('FIRE TEX 5090'!$R$5:$R$30,'FIRE TEX 5090'!$R$5:$R$30,"&gt;="&amp;M1137),'FIRE TEX 5090'!$R$5:$W$30,IF(L1137="F-15",2,IF(L1137="F-30",3,IF(L1137="F-60",4,IF(L1137="F-90",5,IF(L1137="F-120",6,IF(L1137="F-150",7,0)))))),0),0)+IF(AND(O1137="FIRE TEX 5090",E1137="CJ",J1137=4),VLOOKUP(_xlfn.MINIFS('FIRE TEX 5090'!$Y$5:$Y$39,'FIRE TEX 5090'!$Y$5:$Y$39,"&gt;="&amp;M1137),'FIRE TEX 5090'!$Y$5:$AD$39,IF(L1137="F-15",2,IF(L1137="F-30",3,IF(L1137="F-60",4,IF(L1137="F-90",5,IF(L1137="F-120",6,IF(L1137="F-150",7,0)))))),0),0)+IF(AND(O1137="FIRE TEX 5120",OR(E1137="IN",E1137="C",E1137="Z",E1137="L"),J1137=3),VLOOKUP(_xlfn.MINIFS('FIRE TEX 5120'!$B$5:$B$40,'FIRE TEX 5120'!$B$5:$B$40,"&gt;="&amp;M1137),'FIRE TEX 5120'!$B$5:$G$40,IF(L1137="F-15",2,IF(L1137="F-30",3,IF(L1137="F-60",4,IF(L1137="F-90",5,IF(L1137="F-120",6,0))))),0),0)+IF(AND(O1137="FIRE TEX 5120",OR(E1137="IN",E1137="C",E1137="Z",E1137="L"),J1137=4),VLOOKUP(_xlfn.MINIFS('FIRE TEX 5120'!$H$4:$H$40,'FIRE TEX 5120'!$H$4:$H$40,"&gt;="&amp;M1137),'FIRE TEX 5120'!$H$4:$M$40,IF(L1137="F-15",2,IF(L1137="F-30",3,IF(L1137="F-60",4,IF(L1137="F-90",5,IF(L1137="F-120",6,0))))),0),0)+IF(AND(O1137="FIRE TEX 5120",E1137="CJ"),VLOOKUP(_xlfn.MINIFS('FIRE TEX 5120'!$O$5:$O$40,'FIRE TEX 5120'!$O$5:$O$40,"&gt;="&amp;M1137),'FIRE TEX 5120'!$O$5:$T$40,IF(L1137="F-15",2,IF(L1137="F-30",3,IF(L1137="F-60",4,IF(L1137="F-90",5,IF(L1137="F-120",6,0))))),0),0)</f>
        <v>0</v>
      </c>
      <c r="Q1137" s="46">
        <f t="shared" si="109"/>
        <v>0</v>
      </c>
      <c r="R1137" s="46">
        <f t="shared" si="110"/>
        <v>0</v>
      </c>
      <c r="S1137" s="46" t="e">
        <f t="shared" si="111"/>
        <v>#VALUE!</v>
      </c>
      <c r="T1137" s="677">
        <f t="shared" si="112"/>
        <v>0</v>
      </c>
      <c r="U1137" s="80">
        <f>(IF(O1137="Stofire",(S1137*#REF!),0))+(IF(O1137="Fire Control",(S1137*$U$2),0))+(IF(O1137="Fire Tex",(S1137*$U$3),0))+(IF(O1137="WB7",(S1137*#REF!),0)+(IF(O1137="FX 2003",(S1137*$U$5),0)))</f>
        <v>0</v>
      </c>
      <c r="V1137" s="651">
        <f t="shared" si="113"/>
        <v>0</v>
      </c>
    </row>
    <row r="1138" spans="4:22" x14ac:dyDescent="0.25">
      <c r="D1138" s="118">
        <f>+CUBICACION!D1137</f>
        <v>0</v>
      </c>
      <c r="E1138" s="118">
        <f>+CUBICACION!F1137</f>
        <v>0</v>
      </c>
      <c r="F1138" s="118">
        <f>+CUBICACION!E1137</f>
        <v>0</v>
      </c>
      <c r="G1138" s="118">
        <v>12</v>
      </c>
      <c r="H1138" s="118">
        <v>2</v>
      </c>
      <c r="I1138" s="820">
        <v>26385</v>
      </c>
      <c r="J1138" s="118">
        <f>+CUBICACION!J1137</f>
        <v>0</v>
      </c>
      <c r="K1138" s="118">
        <v>3917</v>
      </c>
      <c r="L1138" s="118">
        <f>+CUBICACION!L1137</f>
        <v>0</v>
      </c>
      <c r="M1138" s="64">
        <f>+CUBICACION!M1137</f>
        <v>0</v>
      </c>
      <c r="N1138" s="824" t="str">
        <f>+CUBICACION!N1137</f>
        <v/>
      </c>
      <c r="O1138" s="675">
        <f>+CUBICACION!O1137</f>
        <v>0</v>
      </c>
      <c r="P1138" s="15">
        <f>IF(O1138="Fire Control",VLOOKUP(_xlfn.MINIFS('FIRE CONTROL'!$C$4:$C$37,'FIRE CONTROL'!$C$4:$C$37,"&gt;="&amp;M1138),'FIRE CONTROL'!$C$4:$G$37,IF(L1138="F-15",2,IF(L1138="F-30",3,IF(L1138="F-60",4,IF(L1138="F-90",5,0)))),0),0)+IF(AND(O1138="FIRE TEX 5062",OR(E1138="IN",E1138="C",E1138="Z",E1138="L"),J1138=3),VLOOKUP(_xlfn.MINIFS('FIRE TEX 5062'!$B$4:$B$34,'FIRE TEX 5062'!$B$4:$B$34,"&gt;="&amp;M1138),'FIRE TEX 5062'!$B$4:$F$34,IF(L1138="F-15",2,IF(L1138="F-30",3,IF(L1138="F-60",4,IF(L1138="F-90",5,0)))),0),0)+IF(AND(O1138="FIRE TEX 5062",OR(E1138="IN",E1138="C",E1138="Z",E1138="L"),J1138=4),VLOOKUP(_xlfn.MINIFS('FIRE TEX 5062'!$G$4:$G$34,'FIRE TEX 5062'!$G$4:$G$34,"&gt;="&amp;M1138),'FIRE TEX 5062'!$G$4:$K$34,IF(L1138="F-15",2,IF(L1138="F-30",3,IF(L1138="F-60",4,IF(L1138="F-90",5,0)))),0),0)+IF(AND(O1138="FIRE TEX 5062",E1138="CJ",J1138=3),VLOOKUP(_xlfn.MINIFS('FIRE TEX 5062'!$L$4:$L$34,'FIRE TEX 5062'!$L$4:$L$34,"&gt;="&amp;M1138),'FIRE TEX 5062'!$L$4:$P$34,IF(L1138="F-15",2,IF(L1138="F-30",3,IF(L1138="F-60",4,IF(L1138="F-90",5,0)))),0),0)+IF(AND(O1138="FIRE TEX 5062",E1138="CJ",J1138=4),VLOOKUP(_xlfn.MINIFS('FIRE TEX 5062'!$Q$3:$Q$34,'FIRE TEX 5062'!$Q$3:$Q$34,"&gt;="&amp;M1138),'FIRE TEX 5062'!$Q$3:$U$34,IF(L1138="F-15",2,IF(L1138="F-30",3,IF(L1138="F-60",4,IF(L1138="F-90",5,0)))),0),0)+IF(AND(O1138="FIRE TEX 5090",OR(E1138="IN",E1138="C",E1138="Z",E1138="L"),J1138=3),VLOOKUP(_xlfn.MINIFS('FIRE TEX 5090'!$B$5:$B$43,'FIRE TEX 5090'!$B$5:$B$43,"&gt;="&amp;M1138),'FIRE TEX 5090'!$B$5:$H$43,IF(L1138="F-15",2,IF(L1138="F-30",3,IF(L1138="F-60",4,IF(L1138="F-90",5,IF(L1138="F-120",6,IF(L1138="F-150",7,0)))))),0),0)+IF(AND(O1138="FIRE TEX 5090",OR(E1138="IN",E1138="C",E1138="Z",E1138="L"),J1138=4),VLOOKUP(_xlfn.MINIFS('FIRE TEX 5090'!$J$5:$J$43,'FIRE TEX 5090'!$J$5:$J$43,"&gt;="&amp;M1138),'FIRE TEX 5090'!$J$5:$P$43,IF(L1138="F-15",2,IF(L1138="F-30",3,IF(L1138="F-60",4,IF(L1138="F-90",5,IF(L1138="F-120",6,IF(L1138="F-150",7,0)))))),0),0)+IF(AND(O1138="FIRE TEX 5090",E1138="CJ",J1138=3),VLOOKUP(_xlfn.MINIFS('FIRE TEX 5090'!$R$5:$R$30,'FIRE TEX 5090'!$R$5:$R$30,"&gt;="&amp;M1138),'FIRE TEX 5090'!$R$5:$W$30,IF(L1138="F-15",2,IF(L1138="F-30",3,IF(L1138="F-60",4,IF(L1138="F-90",5,IF(L1138="F-120",6,IF(L1138="F-150",7,0)))))),0),0)+IF(AND(O1138="FIRE TEX 5090",E1138="CJ",J1138=4),VLOOKUP(_xlfn.MINIFS('FIRE TEX 5090'!$Y$5:$Y$39,'FIRE TEX 5090'!$Y$5:$Y$39,"&gt;="&amp;M1138),'FIRE TEX 5090'!$Y$5:$AD$39,IF(L1138="F-15",2,IF(L1138="F-30",3,IF(L1138="F-60",4,IF(L1138="F-90",5,IF(L1138="F-120",6,IF(L1138="F-150",7,0)))))),0),0)+IF(AND(O1138="FIRE TEX 5120",OR(E1138="IN",E1138="C",E1138="Z",E1138="L"),J1138=3),VLOOKUP(_xlfn.MINIFS('FIRE TEX 5120'!$B$5:$B$40,'FIRE TEX 5120'!$B$5:$B$40,"&gt;="&amp;M1138),'FIRE TEX 5120'!$B$5:$G$40,IF(L1138="F-15",2,IF(L1138="F-30",3,IF(L1138="F-60",4,IF(L1138="F-90",5,IF(L1138="F-120",6,0))))),0),0)+IF(AND(O1138="FIRE TEX 5120",OR(E1138="IN",E1138="C",E1138="Z",E1138="L"),J1138=4),VLOOKUP(_xlfn.MINIFS('FIRE TEX 5120'!$H$4:$H$40,'FIRE TEX 5120'!$H$4:$H$40,"&gt;="&amp;M1138),'FIRE TEX 5120'!$H$4:$M$40,IF(L1138="F-15",2,IF(L1138="F-30",3,IF(L1138="F-60",4,IF(L1138="F-90",5,IF(L1138="F-120",6,0))))),0),0)+IF(AND(O1138="FIRE TEX 5120",E1138="CJ"),VLOOKUP(_xlfn.MINIFS('FIRE TEX 5120'!$O$5:$O$40,'FIRE TEX 5120'!$O$5:$O$40,"&gt;="&amp;M1138),'FIRE TEX 5120'!$O$5:$T$40,IF(L1138="F-15",2,IF(L1138="F-30",3,IF(L1138="F-60",4,IF(L1138="F-90",5,IF(L1138="F-120",6,0))))),0),0)</f>
        <v>0</v>
      </c>
      <c r="Q1138" s="46">
        <f t="shared" si="109"/>
        <v>0</v>
      </c>
      <c r="R1138" s="46">
        <f t="shared" si="110"/>
        <v>0</v>
      </c>
      <c r="S1138" s="46" t="e">
        <f t="shared" si="111"/>
        <v>#VALUE!</v>
      </c>
      <c r="T1138" s="677">
        <f t="shared" si="112"/>
        <v>0</v>
      </c>
      <c r="U1138" s="80">
        <f>(IF(O1138="Stofire",(S1138*#REF!),0))+(IF(O1138="Fire Control",(S1138*$U$2),0))+(IF(O1138="Fire Tex",(S1138*$U$3),0))+(IF(O1138="WB7",(S1138*#REF!),0)+(IF(O1138="FX 2003",(S1138*$U$5),0)))</f>
        <v>0</v>
      </c>
      <c r="V1138" s="651">
        <f t="shared" si="113"/>
        <v>0</v>
      </c>
    </row>
    <row r="1139" spans="4:22" x14ac:dyDescent="0.25">
      <c r="D1139" s="118">
        <f>+CUBICACION!D1138</f>
        <v>0</v>
      </c>
      <c r="E1139" s="118">
        <f>+CUBICACION!F1138</f>
        <v>0</v>
      </c>
      <c r="F1139" s="118">
        <f>+CUBICACION!E1138</f>
        <v>0</v>
      </c>
      <c r="G1139" s="118">
        <v>12</v>
      </c>
      <c r="H1139" s="118">
        <v>2</v>
      </c>
      <c r="I1139" s="820">
        <v>26385</v>
      </c>
      <c r="J1139" s="118">
        <f>+CUBICACION!J1138</f>
        <v>0</v>
      </c>
      <c r="K1139" s="118">
        <v>3918</v>
      </c>
      <c r="L1139" s="118">
        <f>+CUBICACION!L1138</f>
        <v>0</v>
      </c>
      <c r="M1139" s="64">
        <f>+CUBICACION!M1138</f>
        <v>0</v>
      </c>
      <c r="N1139" s="824" t="str">
        <f>+CUBICACION!N1138</f>
        <v/>
      </c>
      <c r="O1139" s="675">
        <f>+CUBICACION!O1138</f>
        <v>0</v>
      </c>
      <c r="P1139" s="15">
        <f>IF(O1139="Fire Control",VLOOKUP(_xlfn.MINIFS('FIRE CONTROL'!$C$4:$C$37,'FIRE CONTROL'!$C$4:$C$37,"&gt;="&amp;M1139),'FIRE CONTROL'!$C$4:$G$37,IF(L1139="F-15",2,IF(L1139="F-30",3,IF(L1139="F-60",4,IF(L1139="F-90",5,0)))),0),0)+IF(AND(O1139="FIRE TEX 5062",OR(E1139="IN",E1139="C",E1139="Z",E1139="L"),J1139=3),VLOOKUP(_xlfn.MINIFS('FIRE TEX 5062'!$B$4:$B$34,'FIRE TEX 5062'!$B$4:$B$34,"&gt;="&amp;M1139),'FIRE TEX 5062'!$B$4:$F$34,IF(L1139="F-15",2,IF(L1139="F-30",3,IF(L1139="F-60",4,IF(L1139="F-90",5,0)))),0),0)+IF(AND(O1139="FIRE TEX 5062",OR(E1139="IN",E1139="C",E1139="Z",E1139="L"),J1139=4),VLOOKUP(_xlfn.MINIFS('FIRE TEX 5062'!$G$4:$G$34,'FIRE TEX 5062'!$G$4:$G$34,"&gt;="&amp;M1139),'FIRE TEX 5062'!$G$4:$K$34,IF(L1139="F-15",2,IF(L1139="F-30",3,IF(L1139="F-60",4,IF(L1139="F-90",5,0)))),0),0)+IF(AND(O1139="FIRE TEX 5062",E1139="CJ",J1139=3),VLOOKUP(_xlfn.MINIFS('FIRE TEX 5062'!$L$4:$L$34,'FIRE TEX 5062'!$L$4:$L$34,"&gt;="&amp;M1139),'FIRE TEX 5062'!$L$4:$P$34,IF(L1139="F-15",2,IF(L1139="F-30",3,IF(L1139="F-60",4,IF(L1139="F-90",5,0)))),0),0)+IF(AND(O1139="FIRE TEX 5062",E1139="CJ",J1139=4),VLOOKUP(_xlfn.MINIFS('FIRE TEX 5062'!$Q$3:$Q$34,'FIRE TEX 5062'!$Q$3:$Q$34,"&gt;="&amp;M1139),'FIRE TEX 5062'!$Q$3:$U$34,IF(L1139="F-15",2,IF(L1139="F-30",3,IF(L1139="F-60",4,IF(L1139="F-90",5,0)))),0),0)+IF(AND(O1139="FIRE TEX 5090",OR(E1139="IN",E1139="C",E1139="Z",E1139="L"),J1139=3),VLOOKUP(_xlfn.MINIFS('FIRE TEX 5090'!$B$5:$B$43,'FIRE TEX 5090'!$B$5:$B$43,"&gt;="&amp;M1139),'FIRE TEX 5090'!$B$5:$H$43,IF(L1139="F-15",2,IF(L1139="F-30",3,IF(L1139="F-60",4,IF(L1139="F-90",5,IF(L1139="F-120",6,IF(L1139="F-150",7,0)))))),0),0)+IF(AND(O1139="FIRE TEX 5090",OR(E1139="IN",E1139="C",E1139="Z",E1139="L"),J1139=4),VLOOKUP(_xlfn.MINIFS('FIRE TEX 5090'!$J$5:$J$43,'FIRE TEX 5090'!$J$5:$J$43,"&gt;="&amp;M1139),'FIRE TEX 5090'!$J$5:$P$43,IF(L1139="F-15",2,IF(L1139="F-30",3,IF(L1139="F-60",4,IF(L1139="F-90",5,IF(L1139="F-120",6,IF(L1139="F-150",7,0)))))),0),0)+IF(AND(O1139="FIRE TEX 5090",E1139="CJ",J1139=3),VLOOKUP(_xlfn.MINIFS('FIRE TEX 5090'!$R$5:$R$30,'FIRE TEX 5090'!$R$5:$R$30,"&gt;="&amp;M1139),'FIRE TEX 5090'!$R$5:$W$30,IF(L1139="F-15",2,IF(L1139="F-30",3,IF(L1139="F-60",4,IF(L1139="F-90",5,IF(L1139="F-120",6,IF(L1139="F-150",7,0)))))),0),0)+IF(AND(O1139="FIRE TEX 5090",E1139="CJ",J1139=4),VLOOKUP(_xlfn.MINIFS('FIRE TEX 5090'!$Y$5:$Y$39,'FIRE TEX 5090'!$Y$5:$Y$39,"&gt;="&amp;M1139),'FIRE TEX 5090'!$Y$5:$AD$39,IF(L1139="F-15",2,IF(L1139="F-30",3,IF(L1139="F-60",4,IF(L1139="F-90",5,IF(L1139="F-120",6,IF(L1139="F-150",7,0)))))),0),0)+IF(AND(O1139="FIRE TEX 5120",OR(E1139="IN",E1139="C",E1139="Z",E1139="L"),J1139=3),VLOOKUP(_xlfn.MINIFS('FIRE TEX 5120'!$B$5:$B$40,'FIRE TEX 5120'!$B$5:$B$40,"&gt;="&amp;M1139),'FIRE TEX 5120'!$B$5:$G$40,IF(L1139="F-15",2,IF(L1139="F-30",3,IF(L1139="F-60",4,IF(L1139="F-90",5,IF(L1139="F-120",6,0))))),0),0)+IF(AND(O1139="FIRE TEX 5120",OR(E1139="IN",E1139="C",E1139="Z",E1139="L"),J1139=4),VLOOKUP(_xlfn.MINIFS('FIRE TEX 5120'!$H$4:$H$40,'FIRE TEX 5120'!$H$4:$H$40,"&gt;="&amp;M1139),'FIRE TEX 5120'!$H$4:$M$40,IF(L1139="F-15",2,IF(L1139="F-30",3,IF(L1139="F-60",4,IF(L1139="F-90",5,IF(L1139="F-120",6,0))))),0),0)+IF(AND(O1139="FIRE TEX 5120",E1139="CJ"),VLOOKUP(_xlfn.MINIFS('FIRE TEX 5120'!$O$5:$O$40,'FIRE TEX 5120'!$O$5:$O$40,"&gt;="&amp;M1139),'FIRE TEX 5120'!$O$5:$T$40,IF(L1139="F-15",2,IF(L1139="F-30",3,IF(L1139="F-60",4,IF(L1139="F-90",5,IF(L1139="F-120",6,0))))),0),0)</f>
        <v>0</v>
      </c>
      <c r="Q1139" s="46">
        <f t="shared" si="109"/>
        <v>0</v>
      </c>
      <c r="R1139" s="46">
        <f t="shared" si="110"/>
        <v>0</v>
      </c>
      <c r="S1139" s="46" t="e">
        <f t="shared" si="111"/>
        <v>#VALUE!</v>
      </c>
      <c r="T1139" s="677">
        <f t="shared" si="112"/>
        <v>0</v>
      </c>
      <c r="U1139" s="80">
        <f>(IF(O1139="Stofire",(S1139*#REF!),0))+(IF(O1139="Fire Control",(S1139*$U$2),0))+(IF(O1139="Fire Tex",(S1139*$U$3),0))+(IF(O1139="WB7",(S1139*#REF!),0)+(IF(O1139="FX 2003",(S1139*$U$5),0)))</f>
        <v>0</v>
      </c>
      <c r="V1139" s="651">
        <f t="shared" si="113"/>
        <v>0</v>
      </c>
    </row>
    <row r="1140" spans="4:22" x14ac:dyDescent="0.25">
      <c r="D1140" s="118">
        <f>+CUBICACION!D1139</f>
        <v>0</v>
      </c>
      <c r="E1140" s="118">
        <f>+CUBICACION!F1139</f>
        <v>0</v>
      </c>
      <c r="F1140" s="118">
        <f>+CUBICACION!E1139</f>
        <v>0</v>
      </c>
      <c r="G1140" s="118">
        <v>12</v>
      </c>
      <c r="H1140" s="118">
        <v>2</v>
      </c>
      <c r="I1140" s="820">
        <v>26385</v>
      </c>
      <c r="J1140" s="118">
        <f>+CUBICACION!J1139</f>
        <v>0</v>
      </c>
      <c r="K1140" s="118">
        <v>3919</v>
      </c>
      <c r="L1140" s="118">
        <f>+CUBICACION!L1139</f>
        <v>0</v>
      </c>
      <c r="M1140" s="64">
        <f>+CUBICACION!M1139</f>
        <v>0</v>
      </c>
      <c r="N1140" s="824" t="str">
        <f>+CUBICACION!N1139</f>
        <v/>
      </c>
      <c r="O1140" s="675">
        <f>+CUBICACION!O1139</f>
        <v>0</v>
      </c>
      <c r="P1140" s="15">
        <f>IF(O1140="Fire Control",VLOOKUP(_xlfn.MINIFS('FIRE CONTROL'!$C$4:$C$37,'FIRE CONTROL'!$C$4:$C$37,"&gt;="&amp;M1140),'FIRE CONTROL'!$C$4:$G$37,IF(L1140="F-15",2,IF(L1140="F-30",3,IF(L1140="F-60",4,IF(L1140="F-90",5,0)))),0),0)+IF(AND(O1140="FIRE TEX 5062",OR(E1140="IN",E1140="C",E1140="Z",E1140="L"),J1140=3),VLOOKUP(_xlfn.MINIFS('FIRE TEX 5062'!$B$4:$B$34,'FIRE TEX 5062'!$B$4:$B$34,"&gt;="&amp;M1140),'FIRE TEX 5062'!$B$4:$F$34,IF(L1140="F-15",2,IF(L1140="F-30",3,IF(L1140="F-60",4,IF(L1140="F-90",5,0)))),0),0)+IF(AND(O1140="FIRE TEX 5062",OR(E1140="IN",E1140="C",E1140="Z",E1140="L"),J1140=4),VLOOKUP(_xlfn.MINIFS('FIRE TEX 5062'!$G$4:$G$34,'FIRE TEX 5062'!$G$4:$G$34,"&gt;="&amp;M1140),'FIRE TEX 5062'!$G$4:$K$34,IF(L1140="F-15",2,IF(L1140="F-30",3,IF(L1140="F-60",4,IF(L1140="F-90",5,0)))),0),0)+IF(AND(O1140="FIRE TEX 5062",E1140="CJ",J1140=3),VLOOKUP(_xlfn.MINIFS('FIRE TEX 5062'!$L$4:$L$34,'FIRE TEX 5062'!$L$4:$L$34,"&gt;="&amp;M1140),'FIRE TEX 5062'!$L$4:$P$34,IF(L1140="F-15",2,IF(L1140="F-30",3,IF(L1140="F-60",4,IF(L1140="F-90",5,0)))),0),0)+IF(AND(O1140="FIRE TEX 5062",E1140="CJ",J1140=4),VLOOKUP(_xlfn.MINIFS('FIRE TEX 5062'!$Q$3:$Q$34,'FIRE TEX 5062'!$Q$3:$Q$34,"&gt;="&amp;M1140),'FIRE TEX 5062'!$Q$3:$U$34,IF(L1140="F-15",2,IF(L1140="F-30",3,IF(L1140="F-60",4,IF(L1140="F-90",5,0)))),0),0)+IF(AND(O1140="FIRE TEX 5090",OR(E1140="IN",E1140="C",E1140="Z",E1140="L"),J1140=3),VLOOKUP(_xlfn.MINIFS('FIRE TEX 5090'!$B$5:$B$43,'FIRE TEX 5090'!$B$5:$B$43,"&gt;="&amp;M1140),'FIRE TEX 5090'!$B$5:$H$43,IF(L1140="F-15",2,IF(L1140="F-30",3,IF(L1140="F-60",4,IF(L1140="F-90",5,IF(L1140="F-120",6,IF(L1140="F-150",7,0)))))),0),0)+IF(AND(O1140="FIRE TEX 5090",OR(E1140="IN",E1140="C",E1140="Z",E1140="L"),J1140=4),VLOOKUP(_xlfn.MINIFS('FIRE TEX 5090'!$J$5:$J$43,'FIRE TEX 5090'!$J$5:$J$43,"&gt;="&amp;M1140),'FIRE TEX 5090'!$J$5:$P$43,IF(L1140="F-15",2,IF(L1140="F-30",3,IF(L1140="F-60",4,IF(L1140="F-90",5,IF(L1140="F-120",6,IF(L1140="F-150",7,0)))))),0),0)+IF(AND(O1140="FIRE TEX 5090",E1140="CJ",J1140=3),VLOOKUP(_xlfn.MINIFS('FIRE TEX 5090'!$R$5:$R$30,'FIRE TEX 5090'!$R$5:$R$30,"&gt;="&amp;M1140),'FIRE TEX 5090'!$R$5:$W$30,IF(L1140="F-15",2,IF(L1140="F-30",3,IF(L1140="F-60",4,IF(L1140="F-90",5,IF(L1140="F-120",6,IF(L1140="F-150",7,0)))))),0),0)+IF(AND(O1140="FIRE TEX 5090",E1140="CJ",J1140=4),VLOOKUP(_xlfn.MINIFS('FIRE TEX 5090'!$Y$5:$Y$39,'FIRE TEX 5090'!$Y$5:$Y$39,"&gt;="&amp;M1140),'FIRE TEX 5090'!$Y$5:$AD$39,IF(L1140="F-15",2,IF(L1140="F-30",3,IF(L1140="F-60",4,IF(L1140="F-90",5,IF(L1140="F-120",6,IF(L1140="F-150",7,0)))))),0),0)+IF(AND(O1140="FIRE TEX 5120",OR(E1140="IN",E1140="C",E1140="Z",E1140="L"),J1140=3),VLOOKUP(_xlfn.MINIFS('FIRE TEX 5120'!$B$5:$B$40,'FIRE TEX 5120'!$B$5:$B$40,"&gt;="&amp;M1140),'FIRE TEX 5120'!$B$5:$G$40,IF(L1140="F-15",2,IF(L1140="F-30",3,IF(L1140="F-60",4,IF(L1140="F-90",5,IF(L1140="F-120",6,0))))),0),0)+IF(AND(O1140="FIRE TEX 5120",OR(E1140="IN",E1140="C",E1140="Z",E1140="L"),J1140=4),VLOOKUP(_xlfn.MINIFS('FIRE TEX 5120'!$H$4:$H$40,'FIRE TEX 5120'!$H$4:$H$40,"&gt;="&amp;M1140),'FIRE TEX 5120'!$H$4:$M$40,IF(L1140="F-15",2,IF(L1140="F-30",3,IF(L1140="F-60",4,IF(L1140="F-90",5,IF(L1140="F-120",6,0))))),0),0)+IF(AND(O1140="FIRE TEX 5120",E1140="CJ"),VLOOKUP(_xlfn.MINIFS('FIRE TEX 5120'!$O$5:$O$40,'FIRE TEX 5120'!$O$5:$O$40,"&gt;="&amp;M1140),'FIRE TEX 5120'!$O$5:$T$40,IF(L1140="F-15",2,IF(L1140="F-30",3,IF(L1140="F-60",4,IF(L1140="F-90",5,IF(L1140="F-120",6,0))))),0),0)</f>
        <v>0</v>
      </c>
      <c r="Q1140" s="46">
        <f t="shared" si="109"/>
        <v>0</v>
      </c>
      <c r="R1140" s="46">
        <f t="shared" si="110"/>
        <v>0</v>
      </c>
      <c r="S1140" s="46" t="e">
        <f t="shared" si="111"/>
        <v>#VALUE!</v>
      </c>
      <c r="T1140" s="677">
        <f t="shared" si="112"/>
        <v>0</v>
      </c>
      <c r="U1140" s="80">
        <f>(IF(O1140="Stofire",(S1140*#REF!),0))+(IF(O1140="Fire Control",(S1140*$U$2),0))+(IF(O1140="Fire Tex",(S1140*$U$3),0))+(IF(O1140="WB7",(S1140*#REF!),0)+(IF(O1140="FX 2003",(S1140*$U$5),0)))</f>
        <v>0</v>
      </c>
      <c r="V1140" s="651">
        <f t="shared" si="113"/>
        <v>0</v>
      </c>
    </row>
    <row r="1141" spans="4:22" x14ac:dyDescent="0.25">
      <c r="D1141" s="118">
        <f>+CUBICACION!D1140</f>
        <v>0</v>
      </c>
      <c r="E1141" s="118">
        <f>+CUBICACION!F1140</f>
        <v>0</v>
      </c>
      <c r="F1141" s="118">
        <f>+CUBICACION!E1140</f>
        <v>0</v>
      </c>
      <c r="G1141" s="118">
        <v>12</v>
      </c>
      <c r="H1141" s="118">
        <v>2</v>
      </c>
      <c r="I1141" s="820">
        <v>26385</v>
      </c>
      <c r="J1141" s="118">
        <f>+CUBICACION!J1140</f>
        <v>0</v>
      </c>
      <c r="K1141" s="118">
        <v>3920</v>
      </c>
      <c r="L1141" s="118">
        <f>+CUBICACION!L1140</f>
        <v>0</v>
      </c>
      <c r="M1141" s="64">
        <f>+CUBICACION!M1140</f>
        <v>0</v>
      </c>
      <c r="N1141" s="824" t="str">
        <f>+CUBICACION!N1140</f>
        <v/>
      </c>
      <c r="O1141" s="675">
        <f>+CUBICACION!O1140</f>
        <v>0</v>
      </c>
      <c r="P1141" s="15">
        <f>IF(O1141="Fire Control",VLOOKUP(_xlfn.MINIFS('FIRE CONTROL'!$C$4:$C$37,'FIRE CONTROL'!$C$4:$C$37,"&gt;="&amp;M1141),'FIRE CONTROL'!$C$4:$G$37,IF(L1141="F-15",2,IF(L1141="F-30",3,IF(L1141="F-60",4,IF(L1141="F-90",5,0)))),0),0)+IF(AND(O1141="FIRE TEX 5062",OR(E1141="IN",E1141="C",E1141="Z",E1141="L"),J1141=3),VLOOKUP(_xlfn.MINIFS('FIRE TEX 5062'!$B$4:$B$34,'FIRE TEX 5062'!$B$4:$B$34,"&gt;="&amp;M1141),'FIRE TEX 5062'!$B$4:$F$34,IF(L1141="F-15",2,IF(L1141="F-30",3,IF(L1141="F-60",4,IF(L1141="F-90",5,0)))),0),0)+IF(AND(O1141="FIRE TEX 5062",OR(E1141="IN",E1141="C",E1141="Z",E1141="L"),J1141=4),VLOOKUP(_xlfn.MINIFS('FIRE TEX 5062'!$G$4:$G$34,'FIRE TEX 5062'!$G$4:$G$34,"&gt;="&amp;M1141),'FIRE TEX 5062'!$G$4:$K$34,IF(L1141="F-15",2,IF(L1141="F-30",3,IF(L1141="F-60",4,IF(L1141="F-90",5,0)))),0),0)+IF(AND(O1141="FIRE TEX 5062",E1141="CJ",J1141=3),VLOOKUP(_xlfn.MINIFS('FIRE TEX 5062'!$L$4:$L$34,'FIRE TEX 5062'!$L$4:$L$34,"&gt;="&amp;M1141),'FIRE TEX 5062'!$L$4:$P$34,IF(L1141="F-15",2,IF(L1141="F-30",3,IF(L1141="F-60",4,IF(L1141="F-90",5,0)))),0),0)+IF(AND(O1141="FIRE TEX 5062",E1141="CJ",J1141=4),VLOOKUP(_xlfn.MINIFS('FIRE TEX 5062'!$Q$3:$Q$34,'FIRE TEX 5062'!$Q$3:$Q$34,"&gt;="&amp;M1141),'FIRE TEX 5062'!$Q$3:$U$34,IF(L1141="F-15",2,IF(L1141="F-30",3,IF(L1141="F-60",4,IF(L1141="F-90",5,0)))),0),0)+IF(AND(O1141="FIRE TEX 5090",OR(E1141="IN",E1141="C",E1141="Z",E1141="L"),J1141=3),VLOOKUP(_xlfn.MINIFS('FIRE TEX 5090'!$B$5:$B$43,'FIRE TEX 5090'!$B$5:$B$43,"&gt;="&amp;M1141),'FIRE TEX 5090'!$B$5:$H$43,IF(L1141="F-15",2,IF(L1141="F-30",3,IF(L1141="F-60",4,IF(L1141="F-90",5,IF(L1141="F-120",6,IF(L1141="F-150",7,0)))))),0),0)+IF(AND(O1141="FIRE TEX 5090",OR(E1141="IN",E1141="C",E1141="Z",E1141="L"),J1141=4),VLOOKUP(_xlfn.MINIFS('FIRE TEX 5090'!$J$5:$J$43,'FIRE TEX 5090'!$J$5:$J$43,"&gt;="&amp;M1141),'FIRE TEX 5090'!$J$5:$P$43,IF(L1141="F-15",2,IF(L1141="F-30",3,IF(L1141="F-60",4,IF(L1141="F-90",5,IF(L1141="F-120",6,IF(L1141="F-150",7,0)))))),0),0)+IF(AND(O1141="FIRE TEX 5090",E1141="CJ",J1141=3),VLOOKUP(_xlfn.MINIFS('FIRE TEX 5090'!$R$5:$R$30,'FIRE TEX 5090'!$R$5:$R$30,"&gt;="&amp;M1141),'FIRE TEX 5090'!$R$5:$W$30,IF(L1141="F-15",2,IF(L1141="F-30",3,IF(L1141="F-60",4,IF(L1141="F-90",5,IF(L1141="F-120",6,IF(L1141="F-150",7,0)))))),0),0)+IF(AND(O1141="FIRE TEX 5090",E1141="CJ",J1141=4),VLOOKUP(_xlfn.MINIFS('FIRE TEX 5090'!$Y$5:$Y$39,'FIRE TEX 5090'!$Y$5:$Y$39,"&gt;="&amp;M1141),'FIRE TEX 5090'!$Y$5:$AD$39,IF(L1141="F-15",2,IF(L1141="F-30",3,IF(L1141="F-60",4,IF(L1141="F-90",5,IF(L1141="F-120",6,IF(L1141="F-150",7,0)))))),0),0)+IF(AND(O1141="FIRE TEX 5120",OR(E1141="IN",E1141="C",E1141="Z",E1141="L"),J1141=3),VLOOKUP(_xlfn.MINIFS('FIRE TEX 5120'!$B$5:$B$40,'FIRE TEX 5120'!$B$5:$B$40,"&gt;="&amp;M1141),'FIRE TEX 5120'!$B$5:$G$40,IF(L1141="F-15",2,IF(L1141="F-30",3,IF(L1141="F-60",4,IF(L1141="F-90",5,IF(L1141="F-120",6,0))))),0),0)+IF(AND(O1141="FIRE TEX 5120",OR(E1141="IN",E1141="C",E1141="Z",E1141="L"),J1141=4),VLOOKUP(_xlfn.MINIFS('FIRE TEX 5120'!$H$4:$H$40,'FIRE TEX 5120'!$H$4:$H$40,"&gt;="&amp;M1141),'FIRE TEX 5120'!$H$4:$M$40,IF(L1141="F-15",2,IF(L1141="F-30",3,IF(L1141="F-60",4,IF(L1141="F-90",5,IF(L1141="F-120",6,0))))),0),0)+IF(AND(O1141="FIRE TEX 5120",E1141="CJ"),VLOOKUP(_xlfn.MINIFS('FIRE TEX 5120'!$O$5:$O$40,'FIRE TEX 5120'!$O$5:$O$40,"&gt;="&amp;M1141),'FIRE TEX 5120'!$O$5:$T$40,IF(L1141="F-15",2,IF(L1141="F-30",3,IF(L1141="F-60",4,IF(L1141="F-90",5,IF(L1141="F-120",6,0))))),0),0)</f>
        <v>0</v>
      </c>
      <c r="Q1141" s="46">
        <f t="shared" si="109"/>
        <v>0</v>
      </c>
      <c r="R1141" s="46">
        <f t="shared" si="110"/>
        <v>0</v>
      </c>
      <c r="S1141" s="46" t="e">
        <f t="shared" si="111"/>
        <v>#VALUE!</v>
      </c>
      <c r="T1141" s="677">
        <f t="shared" si="112"/>
        <v>0</v>
      </c>
      <c r="U1141" s="80">
        <f>(IF(O1141="Stofire",(S1141*#REF!),0))+(IF(O1141="Fire Control",(S1141*$U$2),0))+(IF(O1141="Fire Tex",(S1141*$U$3),0))+(IF(O1141="WB7",(S1141*#REF!),0)+(IF(O1141="FX 2003",(S1141*$U$5),0)))</f>
        <v>0</v>
      </c>
      <c r="V1141" s="651">
        <f t="shared" si="113"/>
        <v>0</v>
      </c>
    </row>
    <row r="1142" spans="4:22" x14ac:dyDescent="0.25">
      <c r="D1142" s="118">
        <f>+CUBICACION!D1141</f>
        <v>0</v>
      </c>
      <c r="E1142" s="118">
        <f>+CUBICACION!F1141</f>
        <v>0</v>
      </c>
      <c r="F1142" s="118">
        <f>+CUBICACION!E1141</f>
        <v>0</v>
      </c>
      <c r="G1142" s="118">
        <v>12</v>
      </c>
      <c r="H1142" s="118">
        <v>2</v>
      </c>
      <c r="I1142" s="820">
        <v>26385</v>
      </c>
      <c r="J1142" s="118">
        <f>+CUBICACION!J1141</f>
        <v>0</v>
      </c>
      <c r="K1142" s="118">
        <v>3921</v>
      </c>
      <c r="L1142" s="118">
        <f>+CUBICACION!L1141</f>
        <v>0</v>
      </c>
      <c r="M1142" s="64">
        <f>+CUBICACION!M1141</f>
        <v>0</v>
      </c>
      <c r="N1142" s="824" t="str">
        <f>+CUBICACION!N1141</f>
        <v/>
      </c>
      <c r="O1142" s="675">
        <f>+CUBICACION!O1141</f>
        <v>0</v>
      </c>
      <c r="P1142" s="15">
        <f>IF(O1142="Fire Control",VLOOKUP(_xlfn.MINIFS('FIRE CONTROL'!$C$4:$C$37,'FIRE CONTROL'!$C$4:$C$37,"&gt;="&amp;M1142),'FIRE CONTROL'!$C$4:$G$37,IF(L1142="F-15",2,IF(L1142="F-30",3,IF(L1142="F-60",4,IF(L1142="F-90",5,0)))),0),0)+IF(AND(O1142="FIRE TEX 5062",OR(E1142="IN",E1142="C",E1142="Z",E1142="L"),J1142=3),VLOOKUP(_xlfn.MINIFS('FIRE TEX 5062'!$B$4:$B$34,'FIRE TEX 5062'!$B$4:$B$34,"&gt;="&amp;M1142),'FIRE TEX 5062'!$B$4:$F$34,IF(L1142="F-15",2,IF(L1142="F-30",3,IF(L1142="F-60",4,IF(L1142="F-90",5,0)))),0),0)+IF(AND(O1142="FIRE TEX 5062",OR(E1142="IN",E1142="C",E1142="Z",E1142="L"),J1142=4),VLOOKUP(_xlfn.MINIFS('FIRE TEX 5062'!$G$4:$G$34,'FIRE TEX 5062'!$G$4:$G$34,"&gt;="&amp;M1142),'FIRE TEX 5062'!$G$4:$K$34,IF(L1142="F-15",2,IF(L1142="F-30",3,IF(L1142="F-60",4,IF(L1142="F-90",5,0)))),0),0)+IF(AND(O1142="FIRE TEX 5062",E1142="CJ",J1142=3),VLOOKUP(_xlfn.MINIFS('FIRE TEX 5062'!$L$4:$L$34,'FIRE TEX 5062'!$L$4:$L$34,"&gt;="&amp;M1142),'FIRE TEX 5062'!$L$4:$P$34,IF(L1142="F-15",2,IF(L1142="F-30",3,IF(L1142="F-60",4,IF(L1142="F-90",5,0)))),0),0)+IF(AND(O1142="FIRE TEX 5062",E1142="CJ",J1142=4),VLOOKUP(_xlfn.MINIFS('FIRE TEX 5062'!$Q$3:$Q$34,'FIRE TEX 5062'!$Q$3:$Q$34,"&gt;="&amp;M1142),'FIRE TEX 5062'!$Q$3:$U$34,IF(L1142="F-15",2,IF(L1142="F-30",3,IF(L1142="F-60",4,IF(L1142="F-90",5,0)))),0),0)+IF(AND(O1142="FIRE TEX 5090",OR(E1142="IN",E1142="C",E1142="Z",E1142="L"),J1142=3),VLOOKUP(_xlfn.MINIFS('FIRE TEX 5090'!$B$5:$B$43,'FIRE TEX 5090'!$B$5:$B$43,"&gt;="&amp;M1142),'FIRE TEX 5090'!$B$5:$H$43,IF(L1142="F-15",2,IF(L1142="F-30",3,IF(L1142="F-60",4,IF(L1142="F-90",5,IF(L1142="F-120",6,IF(L1142="F-150",7,0)))))),0),0)+IF(AND(O1142="FIRE TEX 5090",OR(E1142="IN",E1142="C",E1142="Z",E1142="L"),J1142=4),VLOOKUP(_xlfn.MINIFS('FIRE TEX 5090'!$J$5:$J$43,'FIRE TEX 5090'!$J$5:$J$43,"&gt;="&amp;M1142),'FIRE TEX 5090'!$J$5:$P$43,IF(L1142="F-15",2,IF(L1142="F-30",3,IF(L1142="F-60",4,IF(L1142="F-90",5,IF(L1142="F-120",6,IF(L1142="F-150",7,0)))))),0),0)+IF(AND(O1142="FIRE TEX 5090",E1142="CJ",J1142=3),VLOOKUP(_xlfn.MINIFS('FIRE TEX 5090'!$R$5:$R$30,'FIRE TEX 5090'!$R$5:$R$30,"&gt;="&amp;M1142),'FIRE TEX 5090'!$R$5:$W$30,IF(L1142="F-15",2,IF(L1142="F-30",3,IF(L1142="F-60",4,IF(L1142="F-90",5,IF(L1142="F-120",6,IF(L1142="F-150",7,0)))))),0),0)+IF(AND(O1142="FIRE TEX 5090",E1142="CJ",J1142=4),VLOOKUP(_xlfn.MINIFS('FIRE TEX 5090'!$Y$5:$Y$39,'FIRE TEX 5090'!$Y$5:$Y$39,"&gt;="&amp;M1142),'FIRE TEX 5090'!$Y$5:$AD$39,IF(L1142="F-15",2,IF(L1142="F-30",3,IF(L1142="F-60",4,IF(L1142="F-90",5,IF(L1142="F-120",6,IF(L1142="F-150",7,0)))))),0),0)+IF(AND(O1142="FIRE TEX 5120",OR(E1142="IN",E1142="C",E1142="Z",E1142="L"),J1142=3),VLOOKUP(_xlfn.MINIFS('FIRE TEX 5120'!$B$5:$B$40,'FIRE TEX 5120'!$B$5:$B$40,"&gt;="&amp;M1142),'FIRE TEX 5120'!$B$5:$G$40,IF(L1142="F-15",2,IF(L1142="F-30",3,IF(L1142="F-60",4,IF(L1142="F-90",5,IF(L1142="F-120",6,0))))),0),0)+IF(AND(O1142="FIRE TEX 5120",OR(E1142="IN",E1142="C",E1142="Z",E1142="L"),J1142=4),VLOOKUP(_xlfn.MINIFS('FIRE TEX 5120'!$H$4:$H$40,'FIRE TEX 5120'!$H$4:$H$40,"&gt;="&amp;M1142),'FIRE TEX 5120'!$H$4:$M$40,IF(L1142="F-15",2,IF(L1142="F-30",3,IF(L1142="F-60",4,IF(L1142="F-90",5,IF(L1142="F-120",6,0))))),0),0)+IF(AND(O1142="FIRE TEX 5120",E1142="CJ"),VLOOKUP(_xlfn.MINIFS('FIRE TEX 5120'!$O$5:$O$40,'FIRE TEX 5120'!$O$5:$O$40,"&gt;="&amp;M1142),'FIRE TEX 5120'!$O$5:$T$40,IF(L1142="F-15",2,IF(L1142="F-30",3,IF(L1142="F-60",4,IF(L1142="F-90",5,IF(L1142="F-120",6,0))))),0),0)</f>
        <v>0</v>
      </c>
      <c r="Q1142" s="46">
        <f t="shared" si="109"/>
        <v>0</v>
      </c>
      <c r="R1142" s="46">
        <f t="shared" si="110"/>
        <v>0</v>
      </c>
      <c r="S1142" s="46" t="e">
        <f t="shared" si="111"/>
        <v>#VALUE!</v>
      </c>
      <c r="T1142" s="677">
        <f t="shared" si="112"/>
        <v>0</v>
      </c>
      <c r="U1142" s="80">
        <f>(IF(O1142="Stofire",(S1142*#REF!),0))+(IF(O1142="Fire Control",(S1142*$U$2),0))+(IF(O1142="Fire Tex",(S1142*$U$3),0))+(IF(O1142="WB7",(S1142*#REF!),0)+(IF(O1142="FX 2003",(S1142*$U$5),0)))</f>
        <v>0</v>
      </c>
      <c r="V1142" s="651">
        <f t="shared" si="113"/>
        <v>0</v>
      </c>
    </row>
    <row r="1143" spans="4:22" x14ac:dyDescent="0.25">
      <c r="D1143" s="118">
        <f>+CUBICACION!D1142</f>
        <v>0</v>
      </c>
      <c r="E1143" s="118">
        <f>+CUBICACION!F1142</f>
        <v>0</v>
      </c>
      <c r="F1143" s="118">
        <f>+CUBICACION!E1142</f>
        <v>0</v>
      </c>
      <c r="G1143" s="118">
        <v>12</v>
      </c>
      <c r="H1143" s="118">
        <v>2</v>
      </c>
      <c r="I1143" s="820">
        <v>26385</v>
      </c>
      <c r="J1143" s="118">
        <f>+CUBICACION!J1142</f>
        <v>0</v>
      </c>
      <c r="K1143" s="118">
        <v>3922</v>
      </c>
      <c r="L1143" s="118">
        <f>+CUBICACION!L1142</f>
        <v>0</v>
      </c>
      <c r="M1143" s="64">
        <f>+CUBICACION!M1142</f>
        <v>0</v>
      </c>
      <c r="N1143" s="824" t="str">
        <f>+CUBICACION!N1142</f>
        <v/>
      </c>
      <c r="O1143" s="675">
        <f>+CUBICACION!O1142</f>
        <v>0</v>
      </c>
      <c r="P1143" s="15">
        <f>IF(O1143="Fire Control",VLOOKUP(_xlfn.MINIFS('FIRE CONTROL'!$C$4:$C$37,'FIRE CONTROL'!$C$4:$C$37,"&gt;="&amp;M1143),'FIRE CONTROL'!$C$4:$G$37,IF(L1143="F-15",2,IF(L1143="F-30",3,IF(L1143="F-60",4,IF(L1143="F-90",5,0)))),0),0)+IF(AND(O1143="FIRE TEX 5062",OR(E1143="IN",E1143="C",E1143="Z",E1143="L"),J1143=3),VLOOKUP(_xlfn.MINIFS('FIRE TEX 5062'!$B$4:$B$34,'FIRE TEX 5062'!$B$4:$B$34,"&gt;="&amp;M1143),'FIRE TEX 5062'!$B$4:$F$34,IF(L1143="F-15",2,IF(L1143="F-30",3,IF(L1143="F-60",4,IF(L1143="F-90",5,0)))),0),0)+IF(AND(O1143="FIRE TEX 5062",OR(E1143="IN",E1143="C",E1143="Z",E1143="L"),J1143=4),VLOOKUP(_xlfn.MINIFS('FIRE TEX 5062'!$G$4:$G$34,'FIRE TEX 5062'!$G$4:$G$34,"&gt;="&amp;M1143),'FIRE TEX 5062'!$G$4:$K$34,IF(L1143="F-15",2,IF(L1143="F-30",3,IF(L1143="F-60",4,IF(L1143="F-90",5,0)))),0),0)+IF(AND(O1143="FIRE TEX 5062",E1143="CJ",J1143=3),VLOOKUP(_xlfn.MINIFS('FIRE TEX 5062'!$L$4:$L$34,'FIRE TEX 5062'!$L$4:$L$34,"&gt;="&amp;M1143),'FIRE TEX 5062'!$L$4:$P$34,IF(L1143="F-15",2,IF(L1143="F-30",3,IF(L1143="F-60",4,IF(L1143="F-90",5,0)))),0),0)+IF(AND(O1143="FIRE TEX 5062",E1143="CJ",J1143=4),VLOOKUP(_xlfn.MINIFS('FIRE TEX 5062'!$Q$3:$Q$34,'FIRE TEX 5062'!$Q$3:$Q$34,"&gt;="&amp;M1143),'FIRE TEX 5062'!$Q$3:$U$34,IF(L1143="F-15",2,IF(L1143="F-30",3,IF(L1143="F-60",4,IF(L1143="F-90",5,0)))),0),0)+IF(AND(O1143="FIRE TEX 5090",OR(E1143="IN",E1143="C",E1143="Z",E1143="L"),J1143=3),VLOOKUP(_xlfn.MINIFS('FIRE TEX 5090'!$B$5:$B$43,'FIRE TEX 5090'!$B$5:$B$43,"&gt;="&amp;M1143),'FIRE TEX 5090'!$B$5:$H$43,IF(L1143="F-15",2,IF(L1143="F-30",3,IF(L1143="F-60",4,IF(L1143="F-90",5,IF(L1143="F-120",6,IF(L1143="F-150",7,0)))))),0),0)+IF(AND(O1143="FIRE TEX 5090",OR(E1143="IN",E1143="C",E1143="Z",E1143="L"),J1143=4),VLOOKUP(_xlfn.MINIFS('FIRE TEX 5090'!$J$5:$J$43,'FIRE TEX 5090'!$J$5:$J$43,"&gt;="&amp;M1143),'FIRE TEX 5090'!$J$5:$P$43,IF(L1143="F-15",2,IF(L1143="F-30",3,IF(L1143="F-60",4,IF(L1143="F-90",5,IF(L1143="F-120",6,IF(L1143="F-150",7,0)))))),0),0)+IF(AND(O1143="FIRE TEX 5090",E1143="CJ",J1143=3),VLOOKUP(_xlfn.MINIFS('FIRE TEX 5090'!$R$5:$R$30,'FIRE TEX 5090'!$R$5:$R$30,"&gt;="&amp;M1143),'FIRE TEX 5090'!$R$5:$W$30,IF(L1143="F-15",2,IF(L1143="F-30",3,IF(L1143="F-60",4,IF(L1143="F-90",5,IF(L1143="F-120",6,IF(L1143="F-150",7,0)))))),0),0)+IF(AND(O1143="FIRE TEX 5090",E1143="CJ",J1143=4),VLOOKUP(_xlfn.MINIFS('FIRE TEX 5090'!$Y$5:$Y$39,'FIRE TEX 5090'!$Y$5:$Y$39,"&gt;="&amp;M1143),'FIRE TEX 5090'!$Y$5:$AD$39,IF(L1143="F-15",2,IF(L1143="F-30",3,IF(L1143="F-60",4,IF(L1143="F-90",5,IF(L1143="F-120",6,IF(L1143="F-150",7,0)))))),0),0)+IF(AND(O1143="FIRE TEX 5120",OR(E1143="IN",E1143="C",E1143="Z",E1143="L"),J1143=3),VLOOKUP(_xlfn.MINIFS('FIRE TEX 5120'!$B$5:$B$40,'FIRE TEX 5120'!$B$5:$B$40,"&gt;="&amp;M1143),'FIRE TEX 5120'!$B$5:$G$40,IF(L1143="F-15",2,IF(L1143="F-30",3,IF(L1143="F-60",4,IF(L1143="F-90",5,IF(L1143="F-120",6,0))))),0),0)+IF(AND(O1143="FIRE TEX 5120",OR(E1143="IN",E1143="C",E1143="Z",E1143="L"),J1143=4),VLOOKUP(_xlfn.MINIFS('FIRE TEX 5120'!$H$4:$H$40,'FIRE TEX 5120'!$H$4:$H$40,"&gt;="&amp;M1143),'FIRE TEX 5120'!$H$4:$M$40,IF(L1143="F-15",2,IF(L1143="F-30",3,IF(L1143="F-60",4,IF(L1143="F-90",5,IF(L1143="F-120",6,0))))),0),0)+IF(AND(O1143="FIRE TEX 5120",E1143="CJ"),VLOOKUP(_xlfn.MINIFS('FIRE TEX 5120'!$O$5:$O$40,'FIRE TEX 5120'!$O$5:$O$40,"&gt;="&amp;M1143),'FIRE TEX 5120'!$O$5:$T$40,IF(L1143="F-15",2,IF(L1143="F-30",3,IF(L1143="F-60",4,IF(L1143="F-90",5,IF(L1143="F-120",6,0))))),0),0)</f>
        <v>0</v>
      </c>
      <c r="Q1143" s="46">
        <f t="shared" si="109"/>
        <v>0</v>
      </c>
      <c r="R1143" s="46">
        <f t="shared" si="110"/>
        <v>0</v>
      </c>
      <c r="S1143" s="46" t="e">
        <f t="shared" si="111"/>
        <v>#VALUE!</v>
      </c>
      <c r="T1143" s="677">
        <f t="shared" si="112"/>
        <v>0</v>
      </c>
      <c r="U1143" s="80">
        <f>(IF(O1143="Stofire",(S1143*#REF!),0))+(IF(O1143="Fire Control",(S1143*$U$2),0))+(IF(O1143="Fire Tex",(S1143*$U$3),0))+(IF(O1143="WB7",(S1143*#REF!),0)+(IF(O1143="FX 2003",(S1143*$U$5),0)))</f>
        <v>0</v>
      </c>
      <c r="V1143" s="651">
        <f t="shared" si="113"/>
        <v>0</v>
      </c>
    </row>
    <row r="1144" spans="4:22" x14ac:dyDescent="0.25">
      <c r="D1144" s="118">
        <f>+CUBICACION!D1143</f>
        <v>0</v>
      </c>
      <c r="E1144" s="118">
        <f>+CUBICACION!F1143</f>
        <v>0</v>
      </c>
      <c r="F1144" s="118">
        <f>+CUBICACION!E1143</f>
        <v>0</v>
      </c>
      <c r="G1144" s="118">
        <v>12</v>
      </c>
      <c r="H1144" s="118">
        <v>2</v>
      </c>
      <c r="I1144" s="820">
        <v>26385</v>
      </c>
      <c r="J1144" s="118">
        <f>+CUBICACION!J1143</f>
        <v>0</v>
      </c>
      <c r="K1144" s="118">
        <v>3923</v>
      </c>
      <c r="L1144" s="118">
        <f>+CUBICACION!L1143</f>
        <v>0</v>
      </c>
      <c r="M1144" s="64">
        <f>+CUBICACION!M1143</f>
        <v>0</v>
      </c>
      <c r="N1144" s="824" t="str">
        <f>+CUBICACION!N1143</f>
        <v/>
      </c>
      <c r="O1144" s="675">
        <f>+CUBICACION!O1143</f>
        <v>0</v>
      </c>
      <c r="P1144" s="15">
        <f>IF(O1144="Fire Control",VLOOKUP(_xlfn.MINIFS('FIRE CONTROL'!$C$4:$C$37,'FIRE CONTROL'!$C$4:$C$37,"&gt;="&amp;M1144),'FIRE CONTROL'!$C$4:$G$37,IF(L1144="F-15",2,IF(L1144="F-30",3,IF(L1144="F-60",4,IF(L1144="F-90",5,0)))),0),0)+IF(AND(O1144="FIRE TEX 5062",OR(E1144="IN",E1144="C",E1144="Z",E1144="L"),J1144=3),VLOOKUP(_xlfn.MINIFS('FIRE TEX 5062'!$B$4:$B$34,'FIRE TEX 5062'!$B$4:$B$34,"&gt;="&amp;M1144),'FIRE TEX 5062'!$B$4:$F$34,IF(L1144="F-15",2,IF(L1144="F-30",3,IF(L1144="F-60",4,IF(L1144="F-90",5,0)))),0),0)+IF(AND(O1144="FIRE TEX 5062",OR(E1144="IN",E1144="C",E1144="Z",E1144="L"),J1144=4),VLOOKUP(_xlfn.MINIFS('FIRE TEX 5062'!$G$4:$G$34,'FIRE TEX 5062'!$G$4:$G$34,"&gt;="&amp;M1144),'FIRE TEX 5062'!$G$4:$K$34,IF(L1144="F-15",2,IF(L1144="F-30",3,IF(L1144="F-60",4,IF(L1144="F-90",5,0)))),0),0)+IF(AND(O1144="FIRE TEX 5062",E1144="CJ",J1144=3),VLOOKUP(_xlfn.MINIFS('FIRE TEX 5062'!$L$4:$L$34,'FIRE TEX 5062'!$L$4:$L$34,"&gt;="&amp;M1144),'FIRE TEX 5062'!$L$4:$P$34,IF(L1144="F-15",2,IF(L1144="F-30",3,IF(L1144="F-60",4,IF(L1144="F-90",5,0)))),0),0)+IF(AND(O1144="FIRE TEX 5062",E1144="CJ",J1144=4),VLOOKUP(_xlfn.MINIFS('FIRE TEX 5062'!$Q$3:$Q$34,'FIRE TEX 5062'!$Q$3:$Q$34,"&gt;="&amp;M1144),'FIRE TEX 5062'!$Q$3:$U$34,IF(L1144="F-15",2,IF(L1144="F-30",3,IF(L1144="F-60",4,IF(L1144="F-90",5,0)))),0),0)+IF(AND(O1144="FIRE TEX 5090",OR(E1144="IN",E1144="C",E1144="Z",E1144="L"),J1144=3),VLOOKUP(_xlfn.MINIFS('FIRE TEX 5090'!$B$5:$B$43,'FIRE TEX 5090'!$B$5:$B$43,"&gt;="&amp;M1144),'FIRE TEX 5090'!$B$5:$H$43,IF(L1144="F-15",2,IF(L1144="F-30",3,IF(L1144="F-60",4,IF(L1144="F-90",5,IF(L1144="F-120",6,IF(L1144="F-150",7,0)))))),0),0)+IF(AND(O1144="FIRE TEX 5090",OR(E1144="IN",E1144="C",E1144="Z",E1144="L"),J1144=4),VLOOKUP(_xlfn.MINIFS('FIRE TEX 5090'!$J$5:$J$43,'FIRE TEX 5090'!$J$5:$J$43,"&gt;="&amp;M1144),'FIRE TEX 5090'!$J$5:$P$43,IF(L1144="F-15",2,IF(L1144="F-30",3,IF(L1144="F-60",4,IF(L1144="F-90",5,IF(L1144="F-120",6,IF(L1144="F-150",7,0)))))),0),0)+IF(AND(O1144="FIRE TEX 5090",E1144="CJ",J1144=3),VLOOKUP(_xlfn.MINIFS('FIRE TEX 5090'!$R$5:$R$30,'FIRE TEX 5090'!$R$5:$R$30,"&gt;="&amp;M1144),'FIRE TEX 5090'!$R$5:$W$30,IF(L1144="F-15",2,IF(L1144="F-30",3,IF(L1144="F-60",4,IF(L1144="F-90",5,IF(L1144="F-120",6,IF(L1144="F-150",7,0)))))),0),0)+IF(AND(O1144="FIRE TEX 5090",E1144="CJ",J1144=4),VLOOKUP(_xlfn.MINIFS('FIRE TEX 5090'!$Y$5:$Y$39,'FIRE TEX 5090'!$Y$5:$Y$39,"&gt;="&amp;M1144),'FIRE TEX 5090'!$Y$5:$AD$39,IF(L1144="F-15",2,IF(L1144="F-30",3,IF(L1144="F-60",4,IF(L1144="F-90",5,IF(L1144="F-120",6,IF(L1144="F-150",7,0)))))),0),0)+IF(AND(O1144="FIRE TEX 5120",OR(E1144="IN",E1144="C",E1144="Z",E1144="L"),J1144=3),VLOOKUP(_xlfn.MINIFS('FIRE TEX 5120'!$B$5:$B$40,'FIRE TEX 5120'!$B$5:$B$40,"&gt;="&amp;M1144),'FIRE TEX 5120'!$B$5:$G$40,IF(L1144="F-15",2,IF(L1144="F-30",3,IF(L1144="F-60",4,IF(L1144="F-90",5,IF(L1144="F-120",6,0))))),0),0)+IF(AND(O1144="FIRE TEX 5120",OR(E1144="IN",E1144="C",E1144="Z",E1144="L"),J1144=4),VLOOKUP(_xlfn.MINIFS('FIRE TEX 5120'!$H$4:$H$40,'FIRE TEX 5120'!$H$4:$H$40,"&gt;="&amp;M1144),'FIRE TEX 5120'!$H$4:$M$40,IF(L1144="F-15",2,IF(L1144="F-30",3,IF(L1144="F-60",4,IF(L1144="F-90",5,IF(L1144="F-120",6,0))))),0),0)+IF(AND(O1144="FIRE TEX 5120",E1144="CJ"),VLOOKUP(_xlfn.MINIFS('FIRE TEX 5120'!$O$5:$O$40,'FIRE TEX 5120'!$O$5:$O$40,"&gt;="&amp;M1144),'FIRE TEX 5120'!$O$5:$T$40,IF(L1144="F-15",2,IF(L1144="F-30",3,IF(L1144="F-60",4,IF(L1144="F-90",5,IF(L1144="F-120",6,0))))),0),0)</f>
        <v>0</v>
      </c>
      <c r="Q1144" s="46">
        <f t="shared" si="109"/>
        <v>0</v>
      </c>
      <c r="R1144" s="46">
        <f t="shared" si="110"/>
        <v>0</v>
      </c>
      <c r="S1144" s="46" t="e">
        <f t="shared" si="111"/>
        <v>#VALUE!</v>
      </c>
      <c r="T1144" s="677">
        <f t="shared" si="112"/>
        <v>0</v>
      </c>
      <c r="U1144" s="80">
        <f>(IF(O1144="Stofire",(S1144*#REF!),0))+(IF(O1144="Fire Control",(S1144*$U$2),0))+(IF(O1144="Fire Tex",(S1144*$U$3),0))+(IF(O1144="WB7",(S1144*#REF!),0)+(IF(O1144="FX 2003",(S1144*$U$5),0)))</f>
        <v>0</v>
      </c>
      <c r="V1144" s="651">
        <f t="shared" si="113"/>
        <v>0</v>
      </c>
    </row>
    <row r="1145" spans="4:22" x14ac:dyDescent="0.25">
      <c r="D1145" s="118">
        <f>+CUBICACION!D1144</f>
        <v>0</v>
      </c>
      <c r="E1145" s="118">
        <f>+CUBICACION!F1144</f>
        <v>0</v>
      </c>
      <c r="F1145" s="118">
        <f>+CUBICACION!E1144</f>
        <v>0</v>
      </c>
      <c r="G1145" s="118">
        <v>12</v>
      </c>
      <c r="H1145" s="118">
        <v>2</v>
      </c>
      <c r="I1145" s="820">
        <v>26385</v>
      </c>
      <c r="J1145" s="118">
        <f>+CUBICACION!J1144</f>
        <v>0</v>
      </c>
      <c r="K1145" s="118">
        <v>3924</v>
      </c>
      <c r="L1145" s="118">
        <f>+CUBICACION!L1144</f>
        <v>0</v>
      </c>
      <c r="M1145" s="64">
        <f>+CUBICACION!M1144</f>
        <v>0</v>
      </c>
      <c r="N1145" s="824" t="str">
        <f>+CUBICACION!N1144</f>
        <v/>
      </c>
      <c r="O1145" s="675">
        <f>+CUBICACION!O1144</f>
        <v>0</v>
      </c>
      <c r="P1145" s="15">
        <f>IF(O1145="Fire Control",VLOOKUP(_xlfn.MINIFS('FIRE CONTROL'!$C$4:$C$37,'FIRE CONTROL'!$C$4:$C$37,"&gt;="&amp;M1145),'FIRE CONTROL'!$C$4:$G$37,IF(L1145="F-15",2,IF(L1145="F-30",3,IF(L1145="F-60",4,IF(L1145="F-90",5,0)))),0),0)+IF(AND(O1145="FIRE TEX 5062",OR(E1145="IN",E1145="C",E1145="Z",E1145="L"),J1145=3),VLOOKUP(_xlfn.MINIFS('FIRE TEX 5062'!$B$4:$B$34,'FIRE TEX 5062'!$B$4:$B$34,"&gt;="&amp;M1145),'FIRE TEX 5062'!$B$4:$F$34,IF(L1145="F-15",2,IF(L1145="F-30",3,IF(L1145="F-60",4,IF(L1145="F-90",5,0)))),0),0)+IF(AND(O1145="FIRE TEX 5062",OR(E1145="IN",E1145="C",E1145="Z",E1145="L"),J1145=4),VLOOKUP(_xlfn.MINIFS('FIRE TEX 5062'!$G$4:$G$34,'FIRE TEX 5062'!$G$4:$G$34,"&gt;="&amp;M1145),'FIRE TEX 5062'!$G$4:$K$34,IF(L1145="F-15",2,IF(L1145="F-30",3,IF(L1145="F-60",4,IF(L1145="F-90",5,0)))),0),0)+IF(AND(O1145="FIRE TEX 5062",E1145="CJ",J1145=3),VLOOKUP(_xlfn.MINIFS('FIRE TEX 5062'!$L$4:$L$34,'FIRE TEX 5062'!$L$4:$L$34,"&gt;="&amp;M1145),'FIRE TEX 5062'!$L$4:$P$34,IF(L1145="F-15",2,IF(L1145="F-30",3,IF(L1145="F-60",4,IF(L1145="F-90",5,0)))),0),0)+IF(AND(O1145="FIRE TEX 5062",E1145="CJ",J1145=4),VLOOKUP(_xlfn.MINIFS('FIRE TEX 5062'!$Q$3:$Q$34,'FIRE TEX 5062'!$Q$3:$Q$34,"&gt;="&amp;M1145),'FIRE TEX 5062'!$Q$3:$U$34,IF(L1145="F-15",2,IF(L1145="F-30",3,IF(L1145="F-60",4,IF(L1145="F-90",5,0)))),0),0)+IF(AND(O1145="FIRE TEX 5090",OR(E1145="IN",E1145="C",E1145="Z",E1145="L"),J1145=3),VLOOKUP(_xlfn.MINIFS('FIRE TEX 5090'!$B$5:$B$43,'FIRE TEX 5090'!$B$5:$B$43,"&gt;="&amp;M1145),'FIRE TEX 5090'!$B$5:$H$43,IF(L1145="F-15",2,IF(L1145="F-30",3,IF(L1145="F-60",4,IF(L1145="F-90",5,IF(L1145="F-120",6,IF(L1145="F-150",7,0)))))),0),0)+IF(AND(O1145="FIRE TEX 5090",OR(E1145="IN",E1145="C",E1145="Z",E1145="L"),J1145=4),VLOOKUP(_xlfn.MINIFS('FIRE TEX 5090'!$J$5:$J$43,'FIRE TEX 5090'!$J$5:$J$43,"&gt;="&amp;M1145),'FIRE TEX 5090'!$J$5:$P$43,IF(L1145="F-15",2,IF(L1145="F-30",3,IF(L1145="F-60",4,IF(L1145="F-90",5,IF(L1145="F-120",6,IF(L1145="F-150",7,0)))))),0),0)+IF(AND(O1145="FIRE TEX 5090",E1145="CJ",J1145=3),VLOOKUP(_xlfn.MINIFS('FIRE TEX 5090'!$R$5:$R$30,'FIRE TEX 5090'!$R$5:$R$30,"&gt;="&amp;M1145),'FIRE TEX 5090'!$R$5:$W$30,IF(L1145="F-15",2,IF(L1145="F-30",3,IF(L1145="F-60",4,IF(L1145="F-90",5,IF(L1145="F-120",6,IF(L1145="F-150",7,0)))))),0),0)+IF(AND(O1145="FIRE TEX 5090",E1145="CJ",J1145=4),VLOOKUP(_xlfn.MINIFS('FIRE TEX 5090'!$Y$5:$Y$39,'FIRE TEX 5090'!$Y$5:$Y$39,"&gt;="&amp;M1145),'FIRE TEX 5090'!$Y$5:$AD$39,IF(L1145="F-15",2,IF(L1145="F-30",3,IF(L1145="F-60",4,IF(L1145="F-90",5,IF(L1145="F-120",6,IF(L1145="F-150",7,0)))))),0),0)+IF(AND(O1145="FIRE TEX 5120",OR(E1145="IN",E1145="C",E1145="Z",E1145="L"),J1145=3),VLOOKUP(_xlfn.MINIFS('FIRE TEX 5120'!$B$5:$B$40,'FIRE TEX 5120'!$B$5:$B$40,"&gt;="&amp;M1145),'FIRE TEX 5120'!$B$5:$G$40,IF(L1145="F-15",2,IF(L1145="F-30",3,IF(L1145="F-60",4,IF(L1145="F-90",5,IF(L1145="F-120",6,0))))),0),0)+IF(AND(O1145="FIRE TEX 5120",OR(E1145="IN",E1145="C",E1145="Z",E1145="L"),J1145=4),VLOOKUP(_xlfn.MINIFS('FIRE TEX 5120'!$H$4:$H$40,'FIRE TEX 5120'!$H$4:$H$40,"&gt;="&amp;M1145),'FIRE TEX 5120'!$H$4:$M$40,IF(L1145="F-15",2,IF(L1145="F-30",3,IF(L1145="F-60",4,IF(L1145="F-90",5,IF(L1145="F-120",6,0))))),0),0)+IF(AND(O1145="FIRE TEX 5120",E1145="CJ"),VLOOKUP(_xlfn.MINIFS('FIRE TEX 5120'!$O$5:$O$40,'FIRE TEX 5120'!$O$5:$O$40,"&gt;="&amp;M1145),'FIRE TEX 5120'!$O$5:$T$40,IF(L1145="F-15",2,IF(L1145="F-30",3,IF(L1145="F-60",4,IF(L1145="F-90",5,IF(L1145="F-120",6,0))))),0),0)</f>
        <v>0</v>
      </c>
      <c r="Q1145" s="46">
        <f t="shared" si="109"/>
        <v>0</v>
      </c>
      <c r="R1145" s="46">
        <f t="shared" si="110"/>
        <v>0</v>
      </c>
      <c r="S1145" s="46" t="e">
        <f t="shared" si="111"/>
        <v>#VALUE!</v>
      </c>
      <c r="T1145" s="677">
        <f t="shared" si="112"/>
        <v>0</v>
      </c>
      <c r="U1145" s="80">
        <f>(IF(O1145="Stofire",(S1145*#REF!),0))+(IF(O1145="Fire Control",(S1145*$U$2),0))+(IF(O1145="Fire Tex",(S1145*$U$3),0))+(IF(O1145="WB7",(S1145*#REF!),0)+(IF(O1145="FX 2003",(S1145*$U$5),0)))</f>
        <v>0</v>
      </c>
      <c r="V1145" s="651">
        <f t="shared" si="113"/>
        <v>0</v>
      </c>
    </row>
    <row r="1146" spans="4:22" x14ac:dyDescent="0.25">
      <c r="D1146" s="118">
        <f>+CUBICACION!D1145</f>
        <v>0</v>
      </c>
      <c r="E1146" s="118">
        <f>+CUBICACION!F1145</f>
        <v>0</v>
      </c>
      <c r="F1146" s="118">
        <f>+CUBICACION!E1145</f>
        <v>0</v>
      </c>
      <c r="G1146" s="118">
        <v>12</v>
      </c>
      <c r="H1146" s="118">
        <v>2</v>
      </c>
      <c r="I1146" s="820">
        <v>26385</v>
      </c>
      <c r="J1146" s="118">
        <f>+CUBICACION!J1145</f>
        <v>0</v>
      </c>
      <c r="K1146" s="118">
        <v>3925</v>
      </c>
      <c r="L1146" s="118">
        <f>+CUBICACION!L1145</f>
        <v>0</v>
      </c>
      <c r="M1146" s="64">
        <f>+CUBICACION!M1145</f>
        <v>0</v>
      </c>
      <c r="N1146" s="824" t="str">
        <f>+CUBICACION!N1145</f>
        <v/>
      </c>
      <c r="O1146" s="675">
        <f>+CUBICACION!O1145</f>
        <v>0</v>
      </c>
      <c r="P1146" s="15">
        <f>IF(O1146="Fire Control",VLOOKUP(_xlfn.MINIFS('FIRE CONTROL'!$C$4:$C$37,'FIRE CONTROL'!$C$4:$C$37,"&gt;="&amp;M1146),'FIRE CONTROL'!$C$4:$G$37,IF(L1146="F-15",2,IF(L1146="F-30",3,IF(L1146="F-60",4,IF(L1146="F-90",5,0)))),0),0)+IF(AND(O1146="FIRE TEX 5062",OR(E1146="IN",E1146="C",E1146="Z",E1146="L"),J1146=3),VLOOKUP(_xlfn.MINIFS('FIRE TEX 5062'!$B$4:$B$34,'FIRE TEX 5062'!$B$4:$B$34,"&gt;="&amp;M1146),'FIRE TEX 5062'!$B$4:$F$34,IF(L1146="F-15",2,IF(L1146="F-30",3,IF(L1146="F-60",4,IF(L1146="F-90",5,0)))),0),0)+IF(AND(O1146="FIRE TEX 5062",OR(E1146="IN",E1146="C",E1146="Z",E1146="L"),J1146=4),VLOOKUP(_xlfn.MINIFS('FIRE TEX 5062'!$G$4:$G$34,'FIRE TEX 5062'!$G$4:$G$34,"&gt;="&amp;M1146),'FIRE TEX 5062'!$G$4:$K$34,IF(L1146="F-15",2,IF(L1146="F-30",3,IF(L1146="F-60",4,IF(L1146="F-90",5,0)))),0),0)+IF(AND(O1146="FIRE TEX 5062",E1146="CJ",J1146=3),VLOOKUP(_xlfn.MINIFS('FIRE TEX 5062'!$L$4:$L$34,'FIRE TEX 5062'!$L$4:$L$34,"&gt;="&amp;M1146),'FIRE TEX 5062'!$L$4:$P$34,IF(L1146="F-15",2,IF(L1146="F-30",3,IF(L1146="F-60",4,IF(L1146="F-90",5,0)))),0),0)+IF(AND(O1146="FIRE TEX 5062",E1146="CJ",J1146=4),VLOOKUP(_xlfn.MINIFS('FIRE TEX 5062'!$Q$3:$Q$34,'FIRE TEX 5062'!$Q$3:$Q$34,"&gt;="&amp;M1146),'FIRE TEX 5062'!$Q$3:$U$34,IF(L1146="F-15",2,IF(L1146="F-30",3,IF(L1146="F-60",4,IF(L1146="F-90",5,0)))),0),0)+IF(AND(O1146="FIRE TEX 5090",OR(E1146="IN",E1146="C",E1146="Z",E1146="L"),J1146=3),VLOOKUP(_xlfn.MINIFS('FIRE TEX 5090'!$B$5:$B$43,'FIRE TEX 5090'!$B$5:$B$43,"&gt;="&amp;M1146),'FIRE TEX 5090'!$B$5:$H$43,IF(L1146="F-15",2,IF(L1146="F-30",3,IF(L1146="F-60",4,IF(L1146="F-90",5,IF(L1146="F-120",6,IF(L1146="F-150",7,0)))))),0),0)+IF(AND(O1146="FIRE TEX 5090",OR(E1146="IN",E1146="C",E1146="Z",E1146="L"),J1146=4),VLOOKUP(_xlfn.MINIFS('FIRE TEX 5090'!$J$5:$J$43,'FIRE TEX 5090'!$J$5:$J$43,"&gt;="&amp;M1146),'FIRE TEX 5090'!$J$5:$P$43,IF(L1146="F-15",2,IF(L1146="F-30",3,IF(L1146="F-60",4,IF(L1146="F-90",5,IF(L1146="F-120",6,IF(L1146="F-150",7,0)))))),0),0)+IF(AND(O1146="FIRE TEX 5090",E1146="CJ",J1146=3),VLOOKUP(_xlfn.MINIFS('FIRE TEX 5090'!$R$5:$R$30,'FIRE TEX 5090'!$R$5:$R$30,"&gt;="&amp;M1146),'FIRE TEX 5090'!$R$5:$W$30,IF(L1146="F-15",2,IF(L1146="F-30",3,IF(L1146="F-60",4,IF(L1146="F-90",5,IF(L1146="F-120",6,IF(L1146="F-150",7,0)))))),0),0)+IF(AND(O1146="FIRE TEX 5090",E1146="CJ",J1146=4),VLOOKUP(_xlfn.MINIFS('FIRE TEX 5090'!$Y$5:$Y$39,'FIRE TEX 5090'!$Y$5:$Y$39,"&gt;="&amp;M1146),'FIRE TEX 5090'!$Y$5:$AD$39,IF(L1146="F-15",2,IF(L1146="F-30",3,IF(L1146="F-60",4,IF(L1146="F-90",5,IF(L1146="F-120",6,IF(L1146="F-150",7,0)))))),0),0)+IF(AND(O1146="FIRE TEX 5120",OR(E1146="IN",E1146="C",E1146="Z",E1146="L"),J1146=3),VLOOKUP(_xlfn.MINIFS('FIRE TEX 5120'!$B$5:$B$40,'FIRE TEX 5120'!$B$5:$B$40,"&gt;="&amp;M1146),'FIRE TEX 5120'!$B$5:$G$40,IF(L1146="F-15",2,IF(L1146="F-30",3,IF(L1146="F-60",4,IF(L1146="F-90",5,IF(L1146="F-120",6,0))))),0),0)+IF(AND(O1146="FIRE TEX 5120",OR(E1146="IN",E1146="C",E1146="Z",E1146="L"),J1146=4),VLOOKUP(_xlfn.MINIFS('FIRE TEX 5120'!$H$4:$H$40,'FIRE TEX 5120'!$H$4:$H$40,"&gt;="&amp;M1146),'FIRE TEX 5120'!$H$4:$M$40,IF(L1146="F-15",2,IF(L1146="F-30",3,IF(L1146="F-60",4,IF(L1146="F-90",5,IF(L1146="F-120",6,0))))),0),0)+IF(AND(O1146="FIRE TEX 5120",E1146="CJ"),VLOOKUP(_xlfn.MINIFS('FIRE TEX 5120'!$O$5:$O$40,'FIRE TEX 5120'!$O$5:$O$40,"&gt;="&amp;M1146),'FIRE TEX 5120'!$O$5:$T$40,IF(L1146="F-15",2,IF(L1146="F-30",3,IF(L1146="F-60",4,IF(L1146="F-90",5,IF(L1146="F-120",6,0))))),0),0)</f>
        <v>0</v>
      </c>
      <c r="Q1146" s="46">
        <f t="shared" si="109"/>
        <v>0</v>
      </c>
      <c r="R1146" s="46">
        <f t="shared" si="110"/>
        <v>0</v>
      </c>
      <c r="S1146" s="46" t="e">
        <f t="shared" si="111"/>
        <v>#VALUE!</v>
      </c>
      <c r="T1146" s="677">
        <f t="shared" si="112"/>
        <v>0</v>
      </c>
      <c r="U1146" s="80">
        <f>(IF(O1146="Stofire",(S1146*#REF!),0))+(IF(O1146="Fire Control",(S1146*$U$2),0))+(IF(O1146="Fire Tex",(S1146*$U$3),0))+(IF(O1146="WB7",(S1146*#REF!),0)+(IF(O1146="FX 2003",(S1146*$U$5),0)))</f>
        <v>0</v>
      </c>
      <c r="V1146" s="651">
        <f t="shared" si="113"/>
        <v>0</v>
      </c>
    </row>
    <row r="1147" spans="4:22" x14ac:dyDescent="0.25">
      <c r="D1147" s="118">
        <f>+CUBICACION!D1146</f>
        <v>0</v>
      </c>
      <c r="E1147" s="118">
        <f>+CUBICACION!F1146</f>
        <v>0</v>
      </c>
      <c r="F1147" s="118">
        <f>+CUBICACION!E1146</f>
        <v>0</v>
      </c>
      <c r="G1147" s="118">
        <v>12</v>
      </c>
      <c r="H1147" s="118">
        <v>2</v>
      </c>
      <c r="I1147" s="820">
        <v>26385</v>
      </c>
      <c r="J1147" s="118">
        <f>+CUBICACION!J1146</f>
        <v>0</v>
      </c>
      <c r="K1147" s="118">
        <v>3926</v>
      </c>
      <c r="L1147" s="118">
        <f>+CUBICACION!L1146</f>
        <v>0</v>
      </c>
      <c r="M1147" s="64">
        <f>+CUBICACION!M1146</f>
        <v>0</v>
      </c>
      <c r="N1147" s="824" t="str">
        <f>+CUBICACION!N1146</f>
        <v/>
      </c>
      <c r="O1147" s="675">
        <f>+CUBICACION!O1146</f>
        <v>0</v>
      </c>
      <c r="P1147" s="15">
        <f>IF(O1147="Fire Control",VLOOKUP(_xlfn.MINIFS('FIRE CONTROL'!$C$4:$C$37,'FIRE CONTROL'!$C$4:$C$37,"&gt;="&amp;M1147),'FIRE CONTROL'!$C$4:$G$37,IF(L1147="F-15",2,IF(L1147="F-30",3,IF(L1147="F-60",4,IF(L1147="F-90",5,0)))),0),0)+IF(AND(O1147="FIRE TEX 5062",OR(E1147="IN",E1147="C",E1147="Z",E1147="L"),J1147=3),VLOOKUP(_xlfn.MINIFS('FIRE TEX 5062'!$B$4:$B$34,'FIRE TEX 5062'!$B$4:$B$34,"&gt;="&amp;M1147),'FIRE TEX 5062'!$B$4:$F$34,IF(L1147="F-15",2,IF(L1147="F-30",3,IF(L1147="F-60",4,IF(L1147="F-90",5,0)))),0),0)+IF(AND(O1147="FIRE TEX 5062",OR(E1147="IN",E1147="C",E1147="Z",E1147="L"),J1147=4),VLOOKUP(_xlfn.MINIFS('FIRE TEX 5062'!$G$4:$G$34,'FIRE TEX 5062'!$G$4:$G$34,"&gt;="&amp;M1147),'FIRE TEX 5062'!$G$4:$K$34,IF(L1147="F-15",2,IF(L1147="F-30",3,IF(L1147="F-60",4,IF(L1147="F-90",5,0)))),0),0)+IF(AND(O1147="FIRE TEX 5062",E1147="CJ",J1147=3),VLOOKUP(_xlfn.MINIFS('FIRE TEX 5062'!$L$4:$L$34,'FIRE TEX 5062'!$L$4:$L$34,"&gt;="&amp;M1147),'FIRE TEX 5062'!$L$4:$P$34,IF(L1147="F-15",2,IF(L1147="F-30",3,IF(L1147="F-60",4,IF(L1147="F-90",5,0)))),0),0)+IF(AND(O1147="FIRE TEX 5062",E1147="CJ",J1147=4),VLOOKUP(_xlfn.MINIFS('FIRE TEX 5062'!$Q$3:$Q$34,'FIRE TEX 5062'!$Q$3:$Q$34,"&gt;="&amp;M1147),'FIRE TEX 5062'!$Q$3:$U$34,IF(L1147="F-15",2,IF(L1147="F-30",3,IF(L1147="F-60",4,IF(L1147="F-90",5,0)))),0),0)+IF(AND(O1147="FIRE TEX 5090",OR(E1147="IN",E1147="C",E1147="Z",E1147="L"),J1147=3),VLOOKUP(_xlfn.MINIFS('FIRE TEX 5090'!$B$5:$B$43,'FIRE TEX 5090'!$B$5:$B$43,"&gt;="&amp;M1147),'FIRE TEX 5090'!$B$5:$H$43,IF(L1147="F-15",2,IF(L1147="F-30",3,IF(L1147="F-60",4,IF(L1147="F-90",5,IF(L1147="F-120",6,IF(L1147="F-150",7,0)))))),0),0)+IF(AND(O1147="FIRE TEX 5090",OR(E1147="IN",E1147="C",E1147="Z",E1147="L"),J1147=4),VLOOKUP(_xlfn.MINIFS('FIRE TEX 5090'!$J$5:$J$43,'FIRE TEX 5090'!$J$5:$J$43,"&gt;="&amp;M1147),'FIRE TEX 5090'!$J$5:$P$43,IF(L1147="F-15",2,IF(L1147="F-30",3,IF(L1147="F-60",4,IF(L1147="F-90",5,IF(L1147="F-120",6,IF(L1147="F-150",7,0)))))),0),0)+IF(AND(O1147="FIRE TEX 5090",E1147="CJ",J1147=3),VLOOKUP(_xlfn.MINIFS('FIRE TEX 5090'!$R$5:$R$30,'FIRE TEX 5090'!$R$5:$R$30,"&gt;="&amp;M1147),'FIRE TEX 5090'!$R$5:$W$30,IF(L1147="F-15",2,IF(L1147="F-30",3,IF(L1147="F-60",4,IF(L1147="F-90",5,IF(L1147="F-120",6,IF(L1147="F-150",7,0)))))),0),0)+IF(AND(O1147="FIRE TEX 5090",E1147="CJ",J1147=4),VLOOKUP(_xlfn.MINIFS('FIRE TEX 5090'!$Y$5:$Y$39,'FIRE TEX 5090'!$Y$5:$Y$39,"&gt;="&amp;M1147),'FIRE TEX 5090'!$Y$5:$AD$39,IF(L1147="F-15",2,IF(L1147="F-30",3,IF(L1147="F-60",4,IF(L1147="F-90",5,IF(L1147="F-120",6,IF(L1147="F-150",7,0)))))),0),0)+IF(AND(O1147="FIRE TEX 5120",OR(E1147="IN",E1147="C",E1147="Z",E1147="L"),J1147=3),VLOOKUP(_xlfn.MINIFS('FIRE TEX 5120'!$B$5:$B$40,'FIRE TEX 5120'!$B$5:$B$40,"&gt;="&amp;M1147),'FIRE TEX 5120'!$B$5:$G$40,IF(L1147="F-15",2,IF(L1147="F-30",3,IF(L1147="F-60",4,IF(L1147="F-90",5,IF(L1147="F-120",6,0))))),0),0)+IF(AND(O1147="FIRE TEX 5120",OR(E1147="IN",E1147="C",E1147="Z",E1147="L"),J1147=4),VLOOKUP(_xlfn.MINIFS('FIRE TEX 5120'!$H$4:$H$40,'FIRE TEX 5120'!$H$4:$H$40,"&gt;="&amp;M1147),'FIRE TEX 5120'!$H$4:$M$40,IF(L1147="F-15",2,IF(L1147="F-30",3,IF(L1147="F-60",4,IF(L1147="F-90",5,IF(L1147="F-120",6,0))))),0),0)+IF(AND(O1147="FIRE TEX 5120",E1147="CJ"),VLOOKUP(_xlfn.MINIFS('FIRE TEX 5120'!$O$5:$O$40,'FIRE TEX 5120'!$O$5:$O$40,"&gt;="&amp;M1147),'FIRE TEX 5120'!$O$5:$T$40,IF(L1147="F-15",2,IF(L1147="F-30",3,IF(L1147="F-60",4,IF(L1147="F-90",5,IF(L1147="F-120",6,0))))),0),0)</f>
        <v>0</v>
      </c>
      <c r="Q1147" s="46">
        <f t="shared" si="109"/>
        <v>0</v>
      </c>
      <c r="R1147" s="46">
        <f t="shared" si="110"/>
        <v>0</v>
      </c>
      <c r="S1147" s="46" t="e">
        <f t="shared" si="111"/>
        <v>#VALUE!</v>
      </c>
      <c r="T1147" s="677">
        <f t="shared" si="112"/>
        <v>0</v>
      </c>
      <c r="U1147" s="80">
        <f>(IF(O1147="Stofire",(S1147*#REF!),0))+(IF(O1147="Fire Control",(S1147*$U$2),0))+(IF(O1147="Fire Tex",(S1147*$U$3),0))+(IF(O1147="WB7",(S1147*#REF!),0)+(IF(O1147="FX 2003",(S1147*$U$5),0)))</f>
        <v>0</v>
      </c>
      <c r="V1147" s="651">
        <f t="shared" si="113"/>
        <v>0</v>
      </c>
    </row>
    <row r="1148" spans="4:22" x14ac:dyDescent="0.25">
      <c r="D1148" s="118">
        <f>+CUBICACION!D1147</f>
        <v>0</v>
      </c>
      <c r="E1148" s="118">
        <f>+CUBICACION!F1147</f>
        <v>0</v>
      </c>
      <c r="F1148" s="118">
        <f>+CUBICACION!E1147</f>
        <v>0</v>
      </c>
      <c r="G1148" s="118">
        <v>12</v>
      </c>
      <c r="H1148" s="118">
        <v>2</v>
      </c>
      <c r="I1148" s="820">
        <v>26385</v>
      </c>
      <c r="J1148" s="118">
        <f>+CUBICACION!J1147</f>
        <v>0</v>
      </c>
      <c r="K1148" s="118">
        <v>3927</v>
      </c>
      <c r="L1148" s="118">
        <f>+CUBICACION!L1147</f>
        <v>0</v>
      </c>
      <c r="M1148" s="64">
        <f>+CUBICACION!M1147</f>
        <v>0</v>
      </c>
      <c r="N1148" s="824" t="str">
        <f>+CUBICACION!N1147</f>
        <v/>
      </c>
      <c r="O1148" s="675">
        <f>+CUBICACION!O1147</f>
        <v>0</v>
      </c>
      <c r="P1148" s="15">
        <f>IF(O1148="Fire Control",VLOOKUP(_xlfn.MINIFS('FIRE CONTROL'!$C$4:$C$37,'FIRE CONTROL'!$C$4:$C$37,"&gt;="&amp;M1148),'FIRE CONTROL'!$C$4:$G$37,IF(L1148="F-15",2,IF(L1148="F-30",3,IF(L1148="F-60",4,IF(L1148="F-90",5,0)))),0),0)+IF(AND(O1148="FIRE TEX 5062",OR(E1148="IN",E1148="C",E1148="Z",E1148="L"),J1148=3),VLOOKUP(_xlfn.MINIFS('FIRE TEX 5062'!$B$4:$B$34,'FIRE TEX 5062'!$B$4:$B$34,"&gt;="&amp;M1148),'FIRE TEX 5062'!$B$4:$F$34,IF(L1148="F-15",2,IF(L1148="F-30",3,IF(L1148="F-60",4,IF(L1148="F-90",5,0)))),0),0)+IF(AND(O1148="FIRE TEX 5062",OR(E1148="IN",E1148="C",E1148="Z",E1148="L"),J1148=4),VLOOKUP(_xlfn.MINIFS('FIRE TEX 5062'!$G$4:$G$34,'FIRE TEX 5062'!$G$4:$G$34,"&gt;="&amp;M1148),'FIRE TEX 5062'!$G$4:$K$34,IF(L1148="F-15",2,IF(L1148="F-30",3,IF(L1148="F-60",4,IF(L1148="F-90",5,0)))),0),0)+IF(AND(O1148="FIRE TEX 5062",E1148="CJ",J1148=3),VLOOKUP(_xlfn.MINIFS('FIRE TEX 5062'!$L$4:$L$34,'FIRE TEX 5062'!$L$4:$L$34,"&gt;="&amp;M1148),'FIRE TEX 5062'!$L$4:$P$34,IF(L1148="F-15",2,IF(L1148="F-30",3,IF(L1148="F-60",4,IF(L1148="F-90",5,0)))),0),0)+IF(AND(O1148="FIRE TEX 5062",E1148="CJ",J1148=4),VLOOKUP(_xlfn.MINIFS('FIRE TEX 5062'!$Q$3:$Q$34,'FIRE TEX 5062'!$Q$3:$Q$34,"&gt;="&amp;M1148),'FIRE TEX 5062'!$Q$3:$U$34,IF(L1148="F-15",2,IF(L1148="F-30",3,IF(L1148="F-60",4,IF(L1148="F-90",5,0)))),0),0)+IF(AND(O1148="FIRE TEX 5090",OR(E1148="IN",E1148="C",E1148="Z",E1148="L"),J1148=3),VLOOKUP(_xlfn.MINIFS('FIRE TEX 5090'!$B$5:$B$43,'FIRE TEX 5090'!$B$5:$B$43,"&gt;="&amp;M1148),'FIRE TEX 5090'!$B$5:$H$43,IF(L1148="F-15",2,IF(L1148="F-30",3,IF(L1148="F-60",4,IF(L1148="F-90",5,IF(L1148="F-120",6,IF(L1148="F-150",7,0)))))),0),0)+IF(AND(O1148="FIRE TEX 5090",OR(E1148="IN",E1148="C",E1148="Z",E1148="L"),J1148=4),VLOOKUP(_xlfn.MINIFS('FIRE TEX 5090'!$J$5:$J$43,'FIRE TEX 5090'!$J$5:$J$43,"&gt;="&amp;M1148),'FIRE TEX 5090'!$J$5:$P$43,IF(L1148="F-15",2,IF(L1148="F-30",3,IF(L1148="F-60",4,IF(L1148="F-90",5,IF(L1148="F-120",6,IF(L1148="F-150",7,0)))))),0),0)+IF(AND(O1148="FIRE TEX 5090",E1148="CJ",J1148=3),VLOOKUP(_xlfn.MINIFS('FIRE TEX 5090'!$R$5:$R$30,'FIRE TEX 5090'!$R$5:$R$30,"&gt;="&amp;M1148),'FIRE TEX 5090'!$R$5:$W$30,IF(L1148="F-15",2,IF(L1148="F-30",3,IF(L1148="F-60",4,IF(L1148="F-90",5,IF(L1148="F-120",6,IF(L1148="F-150",7,0)))))),0),0)+IF(AND(O1148="FIRE TEX 5090",E1148="CJ",J1148=4),VLOOKUP(_xlfn.MINIFS('FIRE TEX 5090'!$Y$5:$Y$39,'FIRE TEX 5090'!$Y$5:$Y$39,"&gt;="&amp;M1148),'FIRE TEX 5090'!$Y$5:$AD$39,IF(L1148="F-15",2,IF(L1148="F-30",3,IF(L1148="F-60",4,IF(L1148="F-90",5,IF(L1148="F-120",6,IF(L1148="F-150",7,0)))))),0),0)+IF(AND(O1148="FIRE TEX 5120",OR(E1148="IN",E1148="C",E1148="Z",E1148="L"),J1148=3),VLOOKUP(_xlfn.MINIFS('FIRE TEX 5120'!$B$5:$B$40,'FIRE TEX 5120'!$B$5:$B$40,"&gt;="&amp;M1148),'FIRE TEX 5120'!$B$5:$G$40,IF(L1148="F-15",2,IF(L1148="F-30",3,IF(L1148="F-60",4,IF(L1148="F-90",5,IF(L1148="F-120",6,0))))),0),0)+IF(AND(O1148="FIRE TEX 5120",OR(E1148="IN",E1148="C",E1148="Z",E1148="L"),J1148=4),VLOOKUP(_xlfn.MINIFS('FIRE TEX 5120'!$H$4:$H$40,'FIRE TEX 5120'!$H$4:$H$40,"&gt;="&amp;M1148),'FIRE TEX 5120'!$H$4:$M$40,IF(L1148="F-15",2,IF(L1148="F-30",3,IF(L1148="F-60",4,IF(L1148="F-90",5,IF(L1148="F-120",6,0))))),0),0)+IF(AND(O1148="FIRE TEX 5120",E1148="CJ"),VLOOKUP(_xlfn.MINIFS('FIRE TEX 5120'!$O$5:$O$40,'FIRE TEX 5120'!$O$5:$O$40,"&gt;="&amp;M1148),'FIRE TEX 5120'!$O$5:$T$40,IF(L1148="F-15",2,IF(L1148="F-30",3,IF(L1148="F-60",4,IF(L1148="F-90",5,IF(L1148="F-120",6,0))))),0),0)</f>
        <v>0</v>
      </c>
      <c r="Q1148" s="46">
        <f t="shared" si="109"/>
        <v>0</v>
      </c>
      <c r="R1148" s="46">
        <f t="shared" si="110"/>
        <v>0</v>
      </c>
      <c r="S1148" s="46" t="e">
        <f t="shared" si="111"/>
        <v>#VALUE!</v>
      </c>
      <c r="T1148" s="677">
        <f t="shared" si="112"/>
        <v>0</v>
      </c>
      <c r="U1148" s="80">
        <f>(IF(O1148="Stofire",(S1148*#REF!),0))+(IF(O1148="Fire Control",(S1148*$U$2),0))+(IF(O1148="Fire Tex",(S1148*$U$3),0))+(IF(O1148="WB7",(S1148*#REF!),0)+(IF(O1148="FX 2003",(S1148*$U$5),0)))</f>
        <v>0</v>
      </c>
      <c r="V1148" s="651">
        <f t="shared" si="113"/>
        <v>0</v>
      </c>
    </row>
    <row r="1149" spans="4:22" x14ac:dyDescent="0.25">
      <c r="D1149" s="118">
        <f>+CUBICACION!D1148</f>
        <v>0</v>
      </c>
      <c r="E1149" s="118">
        <f>+CUBICACION!F1148</f>
        <v>0</v>
      </c>
      <c r="F1149" s="118">
        <f>+CUBICACION!E1148</f>
        <v>0</v>
      </c>
      <c r="G1149" s="118">
        <v>12</v>
      </c>
      <c r="H1149" s="118">
        <v>2</v>
      </c>
      <c r="I1149" s="820">
        <v>26385</v>
      </c>
      <c r="J1149" s="118">
        <f>+CUBICACION!J1148</f>
        <v>0</v>
      </c>
      <c r="K1149" s="118">
        <v>3928</v>
      </c>
      <c r="L1149" s="118">
        <f>+CUBICACION!L1148</f>
        <v>0</v>
      </c>
      <c r="M1149" s="64">
        <f>+CUBICACION!M1148</f>
        <v>0</v>
      </c>
      <c r="N1149" s="824" t="str">
        <f>+CUBICACION!N1148</f>
        <v/>
      </c>
      <c r="O1149" s="675">
        <f>+CUBICACION!O1148</f>
        <v>0</v>
      </c>
      <c r="P1149" s="15">
        <f>IF(O1149="Fire Control",VLOOKUP(_xlfn.MINIFS('FIRE CONTROL'!$C$4:$C$37,'FIRE CONTROL'!$C$4:$C$37,"&gt;="&amp;M1149),'FIRE CONTROL'!$C$4:$G$37,IF(L1149="F-15",2,IF(L1149="F-30",3,IF(L1149="F-60",4,IF(L1149="F-90",5,0)))),0),0)+IF(AND(O1149="FIRE TEX 5062",OR(E1149="IN",E1149="C",E1149="Z",E1149="L"),J1149=3),VLOOKUP(_xlfn.MINIFS('FIRE TEX 5062'!$B$4:$B$34,'FIRE TEX 5062'!$B$4:$B$34,"&gt;="&amp;M1149),'FIRE TEX 5062'!$B$4:$F$34,IF(L1149="F-15",2,IF(L1149="F-30",3,IF(L1149="F-60",4,IF(L1149="F-90",5,0)))),0),0)+IF(AND(O1149="FIRE TEX 5062",OR(E1149="IN",E1149="C",E1149="Z",E1149="L"),J1149=4),VLOOKUP(_xlfn.MINIFS('FIRE TEX 5062'!$G$4:$G$34,'FIRE TEX 5062'!$G$4:$G$34,"&gt;="&amp;M1149),'FIRE TEX 5062'!$G$4:$K$34,IF(L1149="F-15",2,IF(L1149="F-30",3,IF(L1149="F-60",4,IF(L1149="F-90",5,0)))),0),0)+IF(AND(O1149="FIRE TEX 5062",E1149="CJ",J1149=3),VLOOKUP(_xlfn.MINIFS('FIRE TEX 5062'!$L$4:$L$34,'FIRE TEX 5062'!$L$4:$L$34,"&gt;="&amp;M1149),'FIRE TEX 5062'!$L$4:$P$34,IF(L1149="F-15",2,IF(L1149="F-30",3,IF(L1149="F-60",4,IF(L1149="F-90",5,0)))),0),0)+IF(AND(O1149="FIRE TEX 5062",E1149="CJ",J1149=4),VLOOKUP(_xlfn.MINIFS('FIRE TEX 5062'!$Q$3:$Q$34,'FIRE TEX 5062'!$Q$3:$Q$34,"&gt;="&amp;M1149),'FIRE TEX 5062'!$Q$3:$U$34,IF(L1149="F-15",2,IF(L1149="F-30",3,IF(L1149="F-60",4,IF(L1149="F-90",5,0)))),0),0)+IF(AND(O1149="FIRE TEX 5090",OR(E1149="IN",E1149="C",E1149="Z",E1149="L"),J1149=3),VLOOKUP(_xlfn.MINIFS('FIRE TEX 5090'!$B$5:$B$43,'FIRE TEX 5090'!$B$5:$B$43,"&gt;="&amp;M1149),'FIRE TEX 5090'!$B$5:$H$43,IF(L1149="F-15",2,IF(L1149="F-30",3,IF(L1149="F-60",4,IF(L1149="F-90",5,IF(L1149="F-120",6,IF(L1149="F-150",7,0)))))),0),0)+IF(AND(O1149="FIRE TEX 5090",OR(E1149="IN",E1149="C",E1149="Z",E1149="L"),J1149=4),VLOOKUP(_xlfn.MINIFS('FIRE TEX 5090'!$J$5:$J$43,'FIRE TEX 5090'!$J$5:$J$43,"&gt;="&amp;M1149),'FIRE TEX 5090'!$J$5:$P$43,IF(L1149="F-15",2,IF(L1149="F-30",3,IF(L1149="F-60",4,IF(L1149="F-90",5,IF(L1149="F-120",6,IF(L1149="F-150",7,0)))))),0),0)+IF(AND(O1149="FIRE TEX 5090",E1149="CJ",J1149=3),VLOOKUP(_xlfn.MINIFS('FIRE TEX 5090'!$R$5:$R$30,'FIRE TEX 5090'!$R$5:$R$30,"&gt;="&amp;M1149),'FIRE TEX 5090'!$R$5:$W$30,IF(L1149="F-15",2,IF(L1149="F-30",3,IF(L1149="F-60",4,IF(L1149="F-90",5,IF(L1149="F-120",6,IF(L1149="F-150",7,0)))))),0),0)+IF(AND(O1149="FIRE TEX 5090",E1149="CJ",J1149=4),VLOOKUP(_xlfn.MINIFS('FIRE TEX 5090'!$Y$5:$Y$39,'FIRE TEX 5090'!$Y$5:$Y$39,"&gt;="&amp;M1149),'FIRE TEX 5090'!$Y$5:$AD$39,IF(L1149="F-15",2,IF(L1149="F-30",3,IF(L1149="F-60",4,IF(L1149="F-90",5,IF(L1149="F-120",6,IF(L1149="F-150",7,0)))))),0),0)+IF(AND(O1149="FIRE TEX 5120",OR(E1149="IN",E1149="C",E1149="Z",E1149="L"),J1149=3),VLOOKUP(_xlfn.MINIFS('FIRE TEX 5120'!$B$5:$B$40,'FIRE TEX 5120'!$B$5:$B$40,"&gt;="&amp;M1149),'FIRE TEX 5120'!$B$5:$G$40,IF(L1149="F-15",2,IF(L1149="F-30",3,IF(L1149="F-60",4,IF(L1149="F-90",5,IF(L1149="F-120",6,0))))),0),0)+IF(AND(O1149="FIRE TEX 5120",OR(E1149="IN",E1149="C",E1149="Z",E1149="L"),J1149=4),VLOOKUP(_xlfn.MINIFS('FIRE TEX 5120'!$H$4:$H$40,'FIRE TEX 5120'!$H$4:$H$40,"&gt;="&amp;M1149),'FIRE TEX 5120'!$H$4:$M$40,IF(L1149="F-15",2,IF(L1149="F-30",3,IF(L1149="F-60",4,IF(L1149="F-90",5,IF(L1149="F-120",6,0))))),0),0)+IF(AND(O1149="FIRE TEX 5120",E1149="CJ"),VLOOKUP(_xlfn.MINIFS('FIRE TEX 5120'!$O$5:$O$40,'FIRE TEX 5120'!$O$5:$O$40,"&gt;="&amp;M1149),'FIRE TEX 5120'!$O$5:$T$40,IF(L1149="F-15",2,IF(L1149="F-30",3,IF(L1149="F-60",4,IF(L1149="F-90",5,IF(L1149="F-120",6,0))))),0),0)</f>
        <v>0</v>
      </c>
      <c r="Q1149" s="46">
        <f t="shared" si="109"/>
        <v>0</v>
      </c>
      <c r="R1149" s="46">
        <f t="shared" si="110"/>
        <v>0</v>
      </c>
      <c r="S1149" s="46" t="e">
        <f t="shared" si="111"/>
        <v>#VALUE!</v>
      </c>
      <c r="T1149" s="677">
        <f t="shared" si="112"/>
        <v>0</v>
      </c>
      <c r="U1149" s="80">
        <f>(IF(O1149="Stofire",(S1149*#REF!),0))+(IF(O1149="Fire Control",(S1149*$U$2),0))+(IF(O1149="Fire Tex",(S1149*$U$3),0))+(IF(O1149="WB7",(S1149*#REF!),0)+(IF(O1149="FX 2003",(S1149*$U$5),0)))</f>
        <v>0</v>
      </c>
      <c r="V1149" s="651">
        <f t="shared" si="113"/>
        <v>0</v>
      </c>
    </row>
    <row r="1150" spans="4:22" x14ac:dyDescent="0.25">
      <c r="D1150" s="118">
        <f>+CUBICACION!D1149</f>
        <v>0</v>
      </c>
      <c r="E1150" s="118">
        <f>+CUBICACION!F1149</f>
        <v>0</v>
      </c>
      <c r="F1150" s="118">
        <f>+CUBICACION!E1149</f>
        <v>0</v>
      </c>
      <c r="G1150" s="118">
        <v>12</v>
      </c>
      <c r="H1150" s="118">
        <v>2</v>
      </c>
      <c r="I1150" s="820">
        <v>26385</v>
      </c>
      <c r="J1150" s="118">
        <f>+CUBICACION!J1149</f>
        <v>0</v>
      </c>
      <c r="K1150" s="118">
        <v>3929</v>
      </c>
      <c r="L1150" s="118">
        <f>+CUBICACION!L1149</f>
        <v>0</v>
      </c>
      <c r="M1150" s="64">
        <f>+CUBICACION!M1149</f>
        <v>0</v>
      </c>
      <c r="N1150" s="824" t="str">
        <f>+CUBICACION!N1149</f>
        <v/>
      </c>
      <c r="O1150" s="675">
        <f>+CUBICACION!O1149</f>
        <v>0</v>
      </c>
      <c r="P1150" s="15">
        <f>IF(O1150="Fire Control",VLOOKUP(_xlfn.MINIFS('FIRE CONTROL'!$C$4:$C$37,'FIRE CONTROL'!$C$4:$C$37,"&gt;="&amp;M1150),'FIRE CONTROL'!$C$4:$G$37,IF(L1150="F-15",2,IF(L1150="F-30",3,IF(L1150="F-60",4,IF(L1150="F-90",5,0)))),0),0)+IF(AND(O1150="FIRE TEX 5062",OR(E1150="IN",E1150="C",E1150="Z",E1150="L"),J1150=3),VLOOKUP(_xlfn.MINIFS('FIRE TEX 5062'!$B$4:$B$34,'FIRE TEX 5062'!$B$4:$B$34,"&gt;="&amp;M1150),'FIRE TEX 5062'!$B$4:$F$34,IF(L1150="F-15",2,IF(L1150="F-30",3,IF(L1150="F-60",4,IF(L1150="F-90",5,0)))),0),0)+IF(AND(O1150="FIRE TEX 5062",OR(E1150="IN",E1150="C",E1150="Z",E1150="L"),J1150=4),VLOOKUP(_xlfn.MINIFS('FIRE TEX 5062'!$G$4:$G$34,'FIRE TEX 5062'!$G$4:$G$34,"&gt;="&amp;M1150),'FIRE TEX 5062'!$G$4:$K$34,IF(L1150="F-15",2,IF(L1150="F-30",3,IF(L1150="F-60",4,IF(L1150="F-90",5,0)))),0),0)+IF(AND(O1150="FIRE TEX 5062",E1150="CJ",J1150=3),VLOOKUP(_xlfn.MINIFS('FIRE TEX 5062'!$L$4:$L$34,'FIRE TEX 5062'!$L$4:$L$34,"&gt;="&amp;M1150),'FIRE TEX 5062'!$L$4:$P$34,IF(L1150="F-15",2,IF(L1150="F-30",3,IF(L1150="F-60",4,IF(L1150="F-90",5,0)))),0),0)+IF(AND(O1150="FIRE TEX 5062",E1150="CJ",J1150=4),VLOOKUP(_xlfn.MINIFS('FIRE TEX 5062'!$Q$3:$Q$34,'FIRE TEX 5062'!$Q$3:$Q$34,"&gt;="&amp;M1150),'FIRE TEX 5062'!$Q$3:$U$34,IF(L1150="F-15",2,IF(L1150="F-30",3,IF(L1150="F-60",4,IF(L1150="F-90",5,0)))),0),0)+IF(AND(O1150="FIRE TEX 5090",OR(E1150="IN",E1150="C",E1150="Z",E1150="L"),J1150=3),VLOOKUP(_xlfn.MINIFS('FIRE TEX 5090'!$B$5:$B$43,'FIRE TEX 5090'!$B$5:$B$43,"&gt;="&amp;M1150),'FIRE TEX 5090'!$B$5:$H$43,IF(L1150="F-15",2,IF(L1150="F-30",3,IF(L1150="F-60",4,IF(L1150="F-90",5,IF(L1150="F-120",6,IF(L1150="F-150",7,0)))))),0),0)+IF(AND(O1150="FIRE TEX 5090",OR(E1150="IN",E1150="C",E1150="Z",E1150="L"),J1150=4),VLOOKUP(_xlfn.MINIFS('FIRE TEX 5090'!$J$5:$J$43,'FIRE TEX 5090'!$J$5:$J$43,"&gt;="&amp;M1150),'FIRE TEX 5090'!$J$5:$P$43,IF(L1150="F-15",2,IF(L1150="F-30",3,IF(L1150="F-60",4,IF(L1150="F-90",5,IF(L1150="F-120",6,IF(L1150="F-150",7,0)))))),0),0)+IF(AND(O1150="FIRE TEX 5090",E1150="CJ",J1150=3),VLOOKUP(_xlfn.MINIFS('FIRE TEX 5090'!$R$5:$R$30,'FIRE TEX 5090'!$R$5:$R$30,"&gt;="&amp;M1150),'FIRE TEX 5090'!$R$5:$W$30,IF(L1150="F-15",2,IF(L1150="F-30",3,IF(L1150="F-60",4,IF(L1150="F-90",5,IF(L1150="F-120",6,IF(L1150="F-150",7,0)))))),0),0)+IF(AND(O1150="FIRE TEX 5090",E1150="CJ",J1150=4),VLOOKUP(_xlfn.MINIFS('FIRE TEX 5090'!$Y$5:$Y$39,'FIRE TEX 5090'!$Y$5:$Y$39,"&gt;="&amp;M1150),'FIRE TEX 5090'!$Y$5:$AD$39,IF(L1150="F-15",2,IF(L1150="F-30",3,IF(L1150="F-60",4,IF(L1150="F-90",5,IF(L1150="F-120",6,IF(L1150="F-150",7,0)))))),0),0)+IF(AND(O1150="FIRE TEX 5120",OR(E1150="IN",E1150="C",E1150="Z",E1150="L"),J1150=3),VLOOKUP(_xlfn.MINIFS('FIRE TEX 5120'!$B$5:$B$40,'FIRE TEX 5120'!$B$5:$B$40,"&gt;="&amp;M1150),'FIRE TEX 5120'!$B$5:$G$40,IF(L1150="F-15",2,IF(L1150="F-30",3,IF(L1150="F-60",4,IF(L1150="F-90",5,IF(L1150="F-120",6,0))))),0),0)+IF(AND(O1150="FIRE TEX 5120",OR(E1150="IN",E1150="C",E1150="Z",E1150="L"),J1150=4),VLOOKUP(_xlfn.MINIFS('FIRE TEX 5120'!$H$4:$H$40,'FIRE TEX 5120'!$H$4:$H$40,"&gt;="&amp;M1150),'FIRE TEX 5120'!$H$4:$M$40,IF(L1150="F-15",2,IF(L1150="F-30",3,IF(L1150="F-60",4,IF(L1150="F-90",5,IF(L1150="F-120",6,0))))),0),0)+IF(AND(O1150="FIRE TEX 5120",E1150="CJ"),VLOOKUP(_xlfn.MINIFS('FIRE TEX 5120'!$O$5:$O$40,'FIRE TEX 5120'!$O$5:$O$40,"&gt;="&amp;M1150),'FIRE TEX 5120'!$O$5:$T$40,IF(L1150="F-15",2,IF(L1150="F-30",3,IF(L1150="F-60",4,IF(L1150="F-90",5,IF(L1150="F-120",6,0))))),0),0)</f>
        <v>0</v>
      </c>
      <c r="Q1150" s="46">
        <f t="shared" si="109"/>
        <v>0</v>
      </c>
      <c r="R1150" s="46">
        <f t="shared" si="110"/>
        <v>0</v>
      </c>
      <c r="S1150" s="46" t="e">
        <f t="shared" si="111"/>
        <v>#VALUE!</v>
      </c>
      <c r="T1150" s="677">
        <f t="shared" si="112"/>
        <v>0</v>
      </c>
      <c r="U1150" s="80">
        <f>(IF(O1150="Stofire",(S1150*#REF!),0))+(IF(O1150="Fire Control",(S1150*$U$2),0))+(IF(O1150="Fire Tex",(S1150*$U$3),0))+(IF(O1150="WB7",(S1150*#REF!),0)+(IF(O1150="FX 2003",(S1150*$U$5),0)))</f>
        <v>0</v>
      </c>
      <c r="V1150" s="651">
        <f t="shared" si="113"/>
        <v>0</v>
      </c>
    </row>
    <row r="1151" spans="4:22" x14ac:dyDescent="0.25">
      <c r="D1151" s="118">
        <f>+CUBICACION!D1150</f>
        <v>0</v>
      </c>
      <c r="E1151" s="118">
        <f>+CUBICACION!F1150</f>
        <v>0</v>
      </c>
      <c r="F1151" s="118">
        <f>+CUBICACION!E1150</f>
        <v>0</v>
      </c>
      <c r="G1151" s="118">
        <v>12</v>
      </c>
      <c r="H1151" s="118">
        <v>2</v>
      </c>
      <c r="I1151" s="820">
        <v>26385</v>
      </c>
      <c r="J1151" s="118">
        <f>+CUBICACION!J1150</f>
        <v>0</v>
      </c>
      <c r="K1151" s="118">
        <v>3930</v>
      </c>
      <c r="L1151" s="118">
        <f>+CUBICACION!L1150</f>
        <v>0</v>
      </c>
      <c r="M1151" s="64">
        <f>+CUBICACION!M1150</f>
        <v>0</v>
      </c>
      <c r="N1151" s="824" t="str">
        <f>+CUBICACION!N1150</f>
        <v/>
      </c>
      <c r="O1151" s="675">
        <f>+CUBICACION!O1150</f>
        <v>0</v>
      </c>
      <c r="P1151" s="15">
        <f>IF(O1151="Fire Control",VLOOKUP(_xlfn.MINIFS('FIRE CONTROL'!$C$4:$C$37,'FIRE CONTROL'!$C$4:$C$37,"&gt;="&amp;M1151),'FIRE CONTROL'!$C$4:$G$37,IF(L1151="F-15",2,IF(L1151="F-30",3,IF(L1151="F-60",4,IF(L1151="F-90",5,0)))),0),0)+IF(AND(O1151="FIRE TEX 5062",OR(E1151="IN",E1151="C",E1151="Z",E1151="L"),J1151=3),VLOOKUP(_xlfn.MINIFS('FIRE TEX 5062'!$B$4:$B$34,'FIRE TEX 5062'!$B$4:$B$34,"&gt;="&amp;M1151),'FIRE TEX 5062'!$B$4:$F$34,IF(L1151="F-15",2,IF(L1151="F-30",3,IF(L1151="F-60",4,IF(L1151="F-90",5,0)))),0),0)+IF(AND(O1151="FIRE TEX 5062",OR(E1151="IN",E1151="C",E1151="Z",E1151="L"),J1151=4),VLOOKUP(_xlfn.MINIFS('FIRE TEX 5062'!$G$4:$G$34,'FIRE TEX 5062'!$G$4:$G$34,"&gt;="&amp;M1151),'FIRE TEX 5062'!$G$4:$K$34,IF(L1151="F-15",2,IF(L1151="F-30",3,IF(L1151="F-60",4,IF(L1151="F-90",5,0)))),0),0)+IF(AND(O1151="FIRE TEX 5062",E1151="CJ",J1151=3),VLOOKUP(_xlfn.MINIFS('FIRE TEX 5062'!$L$4:$L$34,'FIRE TEX 5062'!$L$4:$L$34,"&gt;="&amp;M1151),'FIRE TEX 5062'!$L$4:$P$34,IF(L1151="F-15",2,IF(L1151="F-30",3,IF(L1151="F-60",4,IF(L1151="F-90",5,0)))),0),0)+IF(AND(O1151="FIRE TEX 5062",E1151="CJ",J1151=4),VLOOKUP(_xlfn.MINIFS('FIRE TEX 5062'!$Q$3:$Q$34,'FIRE TEX 5062'!$Q$3:$Q$34,"&gt;="&amp;M1151),'FIRE TEX 5062'!$Q$3:$U$34,IF(L1151="F-15",2,IF(L1151="F-30",3,IF(L1151="F-60",4,IF(L1151="F-90",5,0)))),0),0)+IF(AND(O1151="FIRE TEX 5090",OR(E1151="IN",E1151="C",E1151="Z",E1151="L"),J1151=3),VLOOKUP(_xlfn.MINIFS('FIRE TEX 5090'!$B$5:$B$43,'FIRE TEX 5090'!$B$5:$B$43,"&gt;="&amp;M1151),'FIRE TEX 5090'!$B$5:$H$43,IF(L1151="F-15",2,IF(L1151="F-30",3,IF(L1151="F-60",4,IF(L1151="F-90",5,IF(L1151="F-120",6,IF(L1151="F-150",7,0)))))),0),0)+IF(AND(O1151="FIRE TEX 5090",OR(E1151="IN",E1151="C",E1151="Z",E1151="L"),J1151=4),VLOOKUP(_xlfn.MINIFS('FIRE TEX 5090'!$J$5:$J$43,'FIRE TEX 5090'!$J$5:$J$43,"&gt;="&amp;M1151),'FIRE TEX 5090'!$J$5:$P$43,IF(L1151="F-15",2,IF(L1151="F-30",3,IF(L1151="F-60",4,IF(L1151="F-90",5,IF(L1151="F-120",6,IF(L1151="F-150",7,0)))))),0),0)+IF(AND(O1151="FIRE TEX 5090",E1151="CJ",J1151=3),VLOOKUP(_xlfn.MINIFS('FIRE TEX 5090'!$R$5:$R$30,'FIRE TEX 5090'!$R$5:$R$30,"&gt;="&amp;M1151),'FIRE TEX 5090'!$R$5:$W$30,IF(L1151="F-15",2,IF(L1151="F-30",3,IF(L1151="F-60",4,IF(L1151="F-90",5,IF(L1151="F-120",6,IF(L1151="F-150",7,0)))))),0),0)+IF(AND(O1151="FIRE TEX 5090",E1151="CJ",J1151=4),VLOOKUP(_xlfn.MINIFS('FIRE TEX 5090'!$Y$5:$Y$39,'FIRE TEX 5090'!$Y$5:$Y$39,"&gt;="&amp;M1151),'FIRE TEX 5090'!$Y$5:$AD$39,IF(L1151="F-15",2,IF(L1151="F-30",3,IF(L1151="F-60",4,IF(L1151="F-90",5,IF(L1151="F-120",6,IF(L1151="F-150",7,0)))))),0),0)+IF(AND(O1151="FIRE TEX 5120",OR(E1151="IN",E1151="C",E1151="Z",E1151="L"),J1151=3),VLOOKUP(_xlfn.MINIFS('FIRE TEX 5120'!$B$5:$B$40,'FIRE TEX 5120'!$B$5:$B$40,"&gt;="&amp;M1151),'FIRE TEX 5120'!$B$5:$G$40,IF(L1151="F-15",2,IF(L1151="F-30",3,IF(L1151="F-60",4,IF(L1151="F-90",5,IF(L1151="F-120",6,0))))),0),0)+IF(AND(O1151="FIRE TEX 5120",OR(E1151="IN",E1151="C",E1151="Z",E1151="L"),J1151=4),VLOOKUP(_xlfn.MINIFS('FIRE TEX 5120'!$H$4:$H$40,'FIRE TEX 5120'!$H$4:$H$40,"&gt;="&amp;M1151),'FIRE TEX 5120'!$H$4:$M$40,IF(L1151="F-15",2,IF(L1151="F-30",3,IF(L1151="F-60",4,IF(L1151="F-90",5,IF(L1151="F-120",6,0))))),0),0)+IF(AND(O1151="FIRE TEX 5120",E1151="CJ"),VLOOKUP(_xlfn.MINIFS('FIRE TEX 5120'!$O$5:$O$40,'FIRE TEX 5120'!$O$5:$O$40,"&gt;="&amp;M1151),'FIRE TEX 5120'!$O$5:$T$40,IF(L1151="F-15",2,IF(L1151="F-30",3,IF(L1151="F-60",4,IF(L1151="F-90",5,IF(L1151="F-120",6,0))))),0),0)</f>
        <v>0</v>
      </c>
      <c r="Q1151" s="46">
        <f t="shared" si="109"/>
        <v>0</v>
      </c>
      <c r="R1151" s="46">
        <f t="shared" si="110"/>
        <v>0</v>
      </c>
      <c r="S1151" s="46" t="e">
        <f t="shared" si="111"/>
        <v>#VALUE!</v>
      </c>
      <c r="T1151" s="677">
        <f t="shared" si="112"/>
        <v>0</v>
      </c>
      <c r="U1151" s="80">
        <f>(IF(O1151="Stofire",(S1151*#REF!),0))+(IF(O1151="Fire Control",(S1151*$U$2),0))+(IF(O1151="Fire Tex",(S1151*$U$3),0))+(IF(O1151="WB7",(S1151*#REF!),0)+(IF(O1151="FX 2003",(S1151*$U$5),0)))</f>
        <v>0</v>
      </c>
      <c r="V1151" s="651">
        <f t="shared" si="113"/>
        <v>0</v>
      </c>
    </row>
    <row r="1152" spans="4:22" x14ac:dyDescent="0.25">
      <c r="D1152" s="118">
        <f>+CUBICACION!D1151</f>
        <v>0</v>
      </c>
      <c r="E1152" s="118">
        <f>+CUBICACION!F1151</f>
        <v>0</v>
      </c>
      <c r="F1152" s="118">
        <f>+CUBICACION!E1151</f>
        <v>0</v>
      </c>
      <c r="G1152" s="118">
        <v>12</v>
      </c>
      <c r="H1152" s="118">
        <v>2</v>
      </c>
      <c r="I1152" s="820">
        <v>26385</v>
      </c>
      <c r="J1152" s="118">
        <f>+CUBICACION!J1151</f>
        <v>0</v>
      </c>
      <c r="K1152" s="118">
        <v>3931</v>
      </c>
      <c r="L1152" s="118">
        <f>+CUBICACION!L1151</f>
        <v>0</v>
      </c>
      <c r="M1152" s="64">
        <f>+CUBICACION!M1151</f>
        <v>0</v>
      </c>
      <c r="N1152" s="824" t="str">
        <f>+CUBICACION!N1151</f>
        <v/>
      </c>
      <c r="O1152" s="675">
        <f>+CUBICACION!O1151</f>
        <v>0</v>
      </c>
      <c r="P1152" s="15">
        <f>IF(O1152="Fire Control",VLOOKUP(_xlfn.MINIFS('FIRE CONTROL'!$C$4:$C$37,'FIRE CONTROL'!$C$4:$C$37,"&gt;="&amp;M1152),'FIRE CONTROL'!$C$4:$G$37,IF(L1152="F-15",2,IF(L1152="F-30",3,IF(L1152="F-60",4,IF(L1152="F-90",5,0)))),0),0)+IF(AND(O1152="FIRE TEX 5062",OR(E1152="IN",E1152="C",E1152="Z",E1152="L"),J1152=3),VLOOKUP(_xlfn.MINIFS('FIRE TEX 5062'!$B$4:$B$34,'FIRE TEX 5062'!$B$4:$B$34,"&gt;="&amp;M1152),'FIRE TEX 5062'!$B$4:$F$34,IF(L1152="F-15",2,IF(L1152="F-30",3,IF(L1152="F-60",4,IF(L1152="F-90",5,0)))),0),0)+IF(AND(O1152="FIRE TEX 5062",OR(E1152="IN",E1152="C",E1152="Z",E1152="L"),J1152=4),VLOOKUP(_xlfn.MINIFS('FIRE TEX 5062'!$G$4:$G$34,'FIRE TEX 5062'!$G$4:$G$34,"&gt;="&amp;M1152),'FIRE TEX 5062'!$G$4:$K$34,IF(L1152="F-15",2,IF(L1152="F-30",3,IF(L1152="F-60",4,IF(L1152="F-90",5,0)))),0),0)+IF(AND(O1152="FIRE TEX 5062",E1152="CJ",J1152=3),VLOOKUP(_xlfn.MINIFS('FIRE TEX 5062'!$L$4:$L$34,'FIRE TEX 5062'!$L$4:$L$34,"&gt;="&amp;M1152),'FIRE TEX 5062'!$L$4:$P$34,IF(L1152="F-15",2,IF(L1152="F-30",3,IF(L1152="F-60",4,IF(L1152="F-90",5,0)))),0),0)+IF(AND(O1152="FIRE TEX 5062",E1152="CJ",J1152=4),VLOOKUP(_xlfn.MINIFS('FIRE TEX 5062'!$Q$3:$Q$34,'FIRE TEX 5062'!$Q$3:$Q$34,"&gt;="&amp;M1152),'FIRE TEX 5062'!$Q$3:$U$34,IF(L1152="F-15",2,IF(L1152="F-30",3,IF(L1152="F-60",4,IF(L1152="F-90",5,0)))),0),0)+IF(AND(O1152="FIRE TEX 5090",OR(E1152="IN",E1152="C",E1152="Z",E1152="L"),J1152=3),VLOOKUP(_xlfn.MINIFS('FIRE TEX 5090'!$B$5:$B$43,'FIRE TEX 5090'!$B$5:$B$43,"&gt;="&amp;M1152),'FIRE TEX 5090'!$B$5:$H$43,IF(L1152="F-15",2,IF(L1152="F-30",3,IF(L1152="F-60",4,IF(L1152="F-90",5,IF(L1152="F-120",6,IF(L1152="F-150",7,0)))))),0),0)+IF(AND(O1152="FIRE TEX 5090",OR(E1152="IN",E1152="C",E1152="Z",E1152="L"),J1152=4),VLOOKUP(_xlfn.MINIFS('FIRE TEX 5090'!$J$5:$J$43,'FIRE TEX 5090'!$J$5:$J$43,"&gt;="&amp;M1152),'FIRE TEX 5090'!$J$5:$P$43,IF(L1152="F-15",2,IF(L1152="F-30",3,IF(L1152="F-60",4,IF(L1152="F-90",5,IF(L1152="F-120",6,IF(L1152="F-150",7,0)))))),0),0)+IF(AND(O1152="FIRE TEX 5090",E1152="CJ",J1152=3),VLOOKUP(_xlfn.MINIFS('FIRE TEX 5090'!$R$5:$R$30,'FIRE TEX 5090'!$R$5:$R$30,"&gt;="&amp;M1152),'FIRE TEX 5090'!$R$5:$W$30,IF(L1152="F-15",2,IF(L1152="F-30",3,IF(L1152="F-60",4,IF(L1152="F-90",5,IF(L1152="F-120",6,IF(L1152="F-150",7,0)))))),0),0)+IF(AND(O1152="FIRE TEX 5090",E1152="CJ",J1152=4),VLOOKUP(_xlfn.MINIFS('FIRE TEX 5090'!$Y$5:$Y$39,'FIRE TEX 5090'!$Y$5:$Y$39,"&gt;="&amp;M1152),'FIRE TEX 5090'!$Y$5:$AD$39,IF(L1152="F-15",2,IF(L1152="F-30",3,IF(L1152="F-60",4,IF(L1152="F-90",5,IF(L1152="F-120",6,IF(L1152="F-150",7,0)))))),0),0)+IF(AND(O1152="FIRE TEX 5120",OR(E1152="IN",E1152="C",E1152="Z",E1152="L"),J1152=3),VLOOKUP(_xlfn.MINIFS('FIRE TEX 5120'!$B$5:$B$40,'FIRE TEX 5120'!$B$5:$B$40,"&gt;="&amp;M1152),'FIRE TEX 5120'!$B$5:$G$40,IF(L1152="F-15",2,IF(L1152="F-30",3,IF(L1152="F-60",4,IF(L1152="F-90",5,IF(L1152="F-120",6,0))))),0),0)+IF(AND(O1152="FIRE TEX 5120",OR(E1152="IN",E1152="C",E1152="Z",E1152="L"),J1152=4),VLOOKUP(_xlfn.MINIFS('FIRE TEX 5120'!$H$4:$H$40,'FIRE TEX 5120'!$H$4:$H$40,"&gt;="&amp;M1152),'FIRE TEX 5120'!$H$4:$M$40,IF(L1152="F-15",2,IF(L1152="F-30",3,IF(L1152="F-60",4,IF(L1152="F-90",5,IF(L1152="F-120",6,0))))),0),0)+IF(AND(O1152="FIRE TEX 5120",E1152="CJ"),VLOOKUP(_xlfn.MINIFS('FIRE TEX 5120'!$O$5:$O$40,'FIRE TEX 5120'!$O$5:$O$40,"&gt;="&amp;M1152),'FIRE TEX 5120'!$O$5:$T$40,IF(L1152="F-15",2,IF(L1152="F-30",3,IF(L1152="F-60",4,IF(L1152="F-90",5,IF(L1152="F-120",6,0))))),0),0)</f>
        <v>0</v>
      </c>
      <c r="Q1152" s="46">
        <f t="shared" si="109"/>
        <v>0</v>
      </c>
      <c r="R1152" s="46">
        <f t="shared" si="110"/>
        <v>0</v>
      </c>
      <c r="S1152" s="46" t="e">
        <f t="shared" si="111"/>
        <v>#VALUE!</v>
      </c>
      <c r="T1152" s="677">
        <f t="shared" si="112"/>
        <v>0</v>
      </c>
      <c r="U1152" s="80">
        <f>(IF(O1152="Stofire",(S1152*#REF!),0))+(IF(O1152="Fire Control",(S1152*$U$2),0))+(IF(O1152="Fire Tex",(S1152*$U$3),0))+(IF(O1152="WB7",(S1152*#REF!),0)+(IF(O1152="FX 2003",(S1152*$U$5),0)))</f>
        <v>0</v>
      </c>
      <c r="V1152" s="651">
        <f t="shared" si="113"/>
        <v>0</v>
      </c>
    </row>
    <row r="1153" spans="4:22" x14ac:dyDescent="0.25">
      <c r="D1153" s="118">
        <f>+CUBICACION!D1152</f>
        <v>0</v>
      </c>
      <c r="E1153" s="118">
        <f>+CUBICACION!F1152</f>
        <v>0</v>
      </c>
      <c r="F1153" s="118">
        <f>+CUBICACION!E1152</f>
        <v>0</v>
      </c>
      <c r="G1153" s="118">
        <v>12</v>
      </c>
      <c r="H1153" s="118">
        <v>2</v>
      </c>
      <c r="I1153" s="820">
        <v>26385</v>
      </c>
      <c r="J1153" s="118">
        <f>+CUBICACION!J1152</f>
        <v>0</v>
      </c>
      <c r="K1153" s="118">
        <v>3932</v>
      </c>
      <c r="L1153" s="118">
        <f>+CUBICACION!L1152</f>
        <v>0</v>
      </c>
      <c r="M1153" s="64">
        <f>+CUBICACION!M1152</f>
        <v>0</v>
      </c>
      <c r="N1153" s="824" t="str">
        <f>+CUBICACION!N1152</f>
        <v/>
      </c>
      <c r="O1153" s="675">
        <f>+CUBICACION!O1152</f>
        <v>0</v>
      </c>
      <c r="P1153" s="15">
        <f>IF(O1153="Fire Control",VLOOKUP(_xlfn.MINIFS('FIRE CONTROL'!$C$4:$C$37,'FIRE CONTROL'!$C$4:$C$37,"&gt;="&amp;M1153),'FIRE CONTROL'!$C$4:$G$37,IF(L1153="F-15",2,IF(L1153="F-30",3,IF(L1153="F-60",4,IF(L1153="F-90",5,0)))),0),0)+IF(AND(O1153="FIRE TEX 5062",OR(E1153="IN",E1153="C",E1153="Z",E1153="L"),J1153=3),VLOOKUP(_xlfn.MINIFS('FIRE TEX 5062'!$B$4:$B$34,'FIRE TEX 5062'!$B$4:$B$34,"&gt;="&amp;M1153),'FIRE TEX 5062'!$B$4:$F$34,IF(L1153="F-15",2,IF(L1153="F-30",3,IF(L1153="F-60",4,IF(L1153="F-90",5,0)))),0),0)+IF(AND(O1153="FIRE TEX 5062",OR(E1153="IN",E1153="C",E1153="Z",E1153="L"),J1153=4),VLOOKUP(_xlfn.MINIFS('FIRE TEX 5062'!$G$4:$G$34,'FIRE TEX 5062'!$G$4:$G$34,"&gt;="&amp;M1153),'FIRE TEX 5062'!$G$4:$K$34,IF(L1153="F-15",2,IF(L1153="F-30",3,IF(L1153="F-60",4,IF(L1153="F-90",5,0)))),0),0)+IF(AND(O1153="FIRE TEX 5062",E1153="CJ",J1153=3),VLOOKUP(_xlfn.MINIFS('FIRE TEX 5062'!$L$4:$L$34,'FIRE TEX 5062'!$L$4:$L$34,"&gt;="&amp;M1153),'FIRE TEX 5062'!$L$4:$P$34,IF(L1153="F-15",2,IF(L1153="F-30",3,IF(L1153="F-60",4,IF(L1153="F-90",5,0)))),0),0)+IF(AND(O1153="FIRE TEX 5062",E1153="CJ",J1153=4),VLOOKUP(_xlfn.MINIFS('FIRE TEX 5062'!$Q$3:$Q$34,'FIRE TEX 5062'!$Q$3:$Q$34,"&gt;="&amp;M1153),'FIRE TEX 5062'!$Q$3:$U$34,IF(L1153="F-15",2,IF(L1153="F-30",3,IF(L1153="F-60",4,IF(L1153="F-90",5,0)))),0),0)+IF(AND(O1153="FIRE TEX 5090",OR(E1153="IN",E1153="C",E1153="Z",E1153="L"),J1153=3),VLOOKUP(_xlfn.MINIFS('FIRE TEX 5090'!$B$5:$B$43,'FIRE TEX 5090'!$B$5:$B$43,"&gt;="&amp;M1153),'FIRE TEX 5090'!$B$5:$H$43,IF(L1153="F-15",2,IF(L1153="F-30",3,IF(L1153="F-60",4,IF(L1153="F-90",5,IF(L1153="F-120",6,IF(L1153="F-150",7,0)))))),0),0)+IF(AND(O1153="FIRE TEX 5090",OR(E1153="IN",E1153="C",E1153="Z",E1153="L"),J1153=4),VLOOKUP(_xlfn.MINIFS('FIRE TEX 5090'!$J$5:$J$43,'FIRE TEX 5090'!$J$5:$J$43,"&gt;="&amp;M1153),'FIRE TEX 5090'!$J$5:$P$43,IF(L1153="F-15",2,IF(L1153="F-30",3,IF(L1153="F-60",4,IF(L1153="F-90",5,IF(L1153="F-120",6,IF(L1153="F-150",7,0)))))),0),0)+IF(AND(O1153="FIRE TEX 5090",E1153="CJ",J1153=3),VLOOKUP(_xlfn.MINIFS('FIRE TEX 5090'!$R$5:$R$30,'FIRE TEX 5090'!$R$5:$R$30,"&gt;="&amp;M1153),'FIRE TEX 5090'!$R$5:$W$30,IF(L1153="F-15",2,IF(L1153="F-30",3,IF(L1153="F-60",4,IF(L1153="F-90",5,IF(L1153="F-120",6,IF(L1153="F-150",7,0)))))),0),0)+IF(AND(O1153="FIRE TEX 5090",E1153="CJ",J1153=4),VLOOKUP(_xlfn.MINIFS('FIRE TEX 5090'!$Y$5:$Y$39,'FIRE TEX 5090'!$Y$5:$Y$39,"&gt;="&amp;M1153),'FIRE TEX 5090'!$Y$5:$AD$39,IF(L1153="F-15",2,IF(L1153="F-30",3,IF(L1153="F-60",4,IF(L1153="F-90",5,IF(L1153="F-120",6,IF(L1153="F-150",7,0)))))),0),0)+IF(AND(O1153="FIRE TEX 5120",OR(E1153="IN",E1153="C",E1153="Z",E1153="L"),J1153=3),VLOOKUP(_xlfn.MINIFS('FIRE TEX 5120'!$B$5:$B$40,'FIRE TEX 5120'!$B$5:$B$40,"&gt;="&amp;M1153),'FIRE TEX 5120'!$B$5:$G$40,IF(L1153="F-15",2,IF(L1153="F-30",3,IF(L1153="F-60",4,IF(L1153="F-90",5,IF(L1153="F-120",6,0))))),0),0)+IF(AND(O1153="FIRE TEX 5120",OR(E1153="IN",E1153="C",E1153="Z",E1153="L"),J1153=4),VLOOKUP(_xlfn.MINIFS('FIRE TEX 5120'!$H$4:$H$40,'FIRE TEX 5120'!$H$4:$H$40,"&gt;="&amp;M1153),'FIRE TEX 5120'!$H$4:$M$40,IF(L1153="F-15",2,IF(L1153="F-30",3,IF(L1153="F-60",4,IF(L1153="F-90",5,IF(L1153="F-120",6,0))))),0),0)+IF(AND(O1153="FIRE TEX 5120",E1153="CJ"),VLOOKUP(_xlfn.MINIFS('FIRE TEX 5120'!$O$5:$O$40,'FIRE TEX 5120'!$O$5:$O$40,"&gt;="&amp;M1153),'FIRE TEX 5120'!$O$5:$T$40,IF(L1153="F-15",2,IF(L1153="F-30",3,IF(L1153="F-60",4,IF(L1153="F-90",5,IF(L1153="F-120",6,0))))),0),0)</f>
        <v>0</v>
      </c>
      <c r="Q1153" s="46">
        <f t="shared" si="109"/>
        <v>0</v>
      </c>
      <c r="R1153" s="46">
        <f t="shared" si="110"/>
        <v>0</v>
      </c>
      <c r="S1153" s="46" t="e">
        <f t="shared" si="111"/>
        <v>#VALUE!</v>
      </c>
      <c r="T1153" s="677">
        <f t="shared" si="112"/>
        <v>0</v>
      </c>
      <c r="U1153" s="80">
        <f>(IF(O1153="Stofire",(S1153*#REF!),0))+(IF(O1153="Fire Control",(S1153*$U$2),0))+(IF(O1153="Fire Tex",(S1153*$U$3),0))+(IF(O1153="WB7",(S1153*#REF!),0)+(IF(O1153="FX 2003",(S1153*$U$5),0)))</f>
        <v>0</v>
      </c>
      <c r="V1153" s="651">
        <f t="shared" si="113"/>
        <v>0</v>
      </c>
    </row>
    <row r="1154" spans="4:22" x14ac:dyDescent="0.25">
      <c r="D1154" s="118">
        <f>+CUBICACION!D1153</f>
        <v>0</v>
      </c>
      <c r="E1154" s="118">
        <f>+CUBICACION!F1153</f>
        <v>0</v>
      </c>
      <c r="F1154" s="118">
        <f>+CUBICACION!E1153</f>
        <v>0</v>
      </c>
      <c r="G1154" s="118">
        <v>12</v>
      </c>
      <c r="H1154" s="118">
        <v>2</v>
      </c>
      <c r="I1154" s="820">
        <v>26385</v>
      </c>
      <c r="J1154" s="118">
        <f>+CUBICACION!J1153</f>
        <v>0</v>
      </c>
      <c r="K1154" s="118">
        <v>3933</v>
      </c>
      <c r="L1154" s="118">
        <f>+CUBICACION!L1153</f>
        <v>0</v>
      </c>
      <c r="M1154" s="64">
        <f>+CUBICACION!M1153</f>
        <v>0</v>
      </c>
      <c r="N1154" s="824" t="str">
        <f>+CUBICACION!N1153</f>
        <v/>
      </c>
      <c r="O1154" s="675">
        <f>+CUBICACION!O1153</f>
        <v>0</v>
      </c>
      <c r="P1154" s="15">
        <f>IF(O1154="Fire Control",VLOOKUP(_xlfn.MINIFS('FIRE CONTROL'!$C$4:$C$37,'FIRE CONTROL'!$C$4:$C$37,"&gt;="&amp;M1154),'FIRE CONTROL'!$C$4:$G$37,IF(L1154="F-15",2,IF(L1154="F-30",3,IF(L1154="F-60",4,IF(L1154="F-90",5,0)))),0),0)+IF(AND(O1154="FIRE TEX 5062",OR(E1154="IN",E1154="C",E1154="Z",E1154="L"),J1154=3),VLOOKUP(_xlfn.MINIFS('FIRE TEX 5062'!$B$4:$B$34,'FIRE TEX 5062'!$B$4:$B$34,"&gt;="&amp;M1154),'FIRE TEX 5062'!$B$4:$F$34,IF(L1154="F-15",2,IF(L1154="F-30",3,IF(L1154="F-60",4,IF(L1154="F-90",5,0)))),0),0)+IF(AND(O1154="FIRE TEX 5062",OR(E1154="IN",E1154="C",E1154="Z",E1154="L"),J1154=4),VLOOKUP(_xlfn.MINIFS('FIRE TEX 5062'!$G$4:$G$34,'FIRE TEX 5062'!$G$4:$G$34,"&gt;="&amp;M1154),'FIRE TEX 5062'!$G$4:$K$34,IF(L1154="F-15",2,IF(L1154="F-30",3,IF(L1154="F-60",4,IF(L1154="F-90",5,0)))),0),0)+IF(AND(O1154="FIRE TEX 5062",E1154="CJ",J1154=3),VLOOKUP(_xlfn.MINIFS('FIRE TEX 5062'!$L$4:$L$34,'FIRE TEX 5062'!$L$4:$L$34,"&gt;="&amp;M1154),'FIRE TEX 5062'!$L$4:$P$34,IF(L1154="F-15",2,IF(L1154="F-30",3,IF(L1154="F-60",4,IF(L1154="F-90",5,0)))),0),0)+IF(AND(O1154="FIRE TEX 5062",E1154="CJ",J1154=4),VLOOKUP(_xlfn.MINIFS('FIRE TEX 5062'!$Q$3:$Q$34,'FIRE TEX 5062'!$Q$3:$Q$34,"&gt;="&amp;M1154),'FIRE TEX 5062'!$Q$3:$U$34,IF(L1154="F-15",2,IF(L1154="F-30",3,IF(L1154="F-60",4,IF(L1154="F-90",5,0)))),0),0)+IF(AND(O1154="FIRE TEX 5090",OR(E1154="IN",E1154="C",E1154="Z",E1154="L"),J1154=3),VLOOKUP(_xlfn.MINIFS('FIRE TEX 5090'!$B$5:$B$43,'FIRE TEX 5090'!$B$5:$B$43,"&gt;="&amp;M1154),'FIRE TEX 5090'!$B$5:$H$43,IF(L1154="F-15",2,IF(L1154="F-30",3,IF(L1154="F-60",4,IF(L1154="F-90",5,IF(L1154="F-120",6,IF(L1154="F-150",7,0)))))),0),0)+IF(AND(O1154="FIRE TEX 5090",OR(E1154="IN",E1154="C",E1154="Z",E1154="L"),J1154=4),VLOOKUP(_xlfn.MINIFS('FIRE TEX 5090'!$J$5:$J$43,'FIRE TEX 5090'!$J$5:$J$43,"&gt;="&amp;M1154),'FIRE TEX 5090'!$J$5:$P$43,IF(L1154="F-15",2,IF(L1154="F-30",3,IF(L1154="F-60",4,IF(L1154="F-90",5,IF(L1154="F-120",6,IF(L1154="F-150",7,0)))))),0),0)+IF(AND(O1154="FIRE TEX 5090",E1154="CJ",J1154=3),VLOOKUP(_xlfn.MINIFS('FIRE TEX 5090'!$R$5:$R$30,'FIRE TEX 5090'!$R$5:$R$30,"&gt;="&amp;M1154),'FIRE TEX 5090'!$R$5:$W$30,IF(L1154="F-15",2,IF(L1154="F-30",3,IF(L1154="F-60",4,IF(L1154="F-90",5,IF(L1154="F-120",6,IF(L1154="F-150",7,0)))))),0),0)+IF(AND(O1154="FIRE TEX 5090",E1154="CJ",J1154=4),VLOOKUP(_xlfn.MINIFS('FIRE TEX 5090'!$Y$5:$Y$39,'FIRE TEX 5090'!$Y$5:$Y$39,"&gt;="&amp;M1154),'FIRE TEX 5090'!$Y$5:$AD$39,IF(L1154="F-15",2,IF(L1154="F-30",3,IF(L1154="F-60",4,IF(L1154="F-90",5,IF(L1154="F-120",6,IF(L1154="F-150",7,0)))))),0),0)+IF(AND(O1154="FIRE TEX 5120",OR(E1154="IN",E1154="C",E1154="Z",E1154="L"),J1154=3),VLOOKUP(_xlfn.MINIFS('FIRE TEX 5120'!$B$5:$B$40,'FIRE TEX 5120'!$B$5:$B$40,"&gt;="&amp;M1154),'FIRE TEX 5120'!$B$5:$G$40,IF(L1154="F-15",2,IF(L1154="F-30",3,IF(L1154="F-60",4,IF(L1154="F-90",5,IF(L1154="F-120",6,0))))),0),0)+IF(AND(O1154="FIRE TEX 5120",OR(E1154="IN",E1154="C",E1154="Z",E1154="L"),J1154=4),VLOOKUP(_xlfn.MINIFS('FIRE TEX 5120'!$H$4:$H$40,'FIRE TEX 5120'!$H$4:$H$40,"&gt;="&amp;M1154),'FIRE TEX 5120'!$H$4:$M$40,IF(L1154="F-15",2,IF(L1154="F-30",3,IF(L1154="F-60",4,IF(L1154="F-90",5,IF(L1154="F-120",6,0))))),0),0)+IF(AND(O1154="FIRE TEX 5120",E1154="CJ"),VLOOKUP(_xlfn.MINIFS('FIRE TEX 5120'!$O$5:$O$40,'FIRE TEX 5120'!$O$5:$O$40,"&gt;="&amp;M1154),'FIRE TEX 5120'!$O$5:$T$40,IF(L1154="F-15",2,IF(L1154="F-30",3,IF(L1154="F-60",4,IF(L1154="F-90",5,IF(L1154="F-120",6,0))))),0),0)</f>
        <v>0</v>
      </c>
      <c r="Q1154" s="46">
        <f t="shared" si="109"/>
        <v>0</v>
      </c>
      <c r="R1154" s="46">
        <f t="shared" si="110"/>
        <v>0</v>
      </c>
      <c r="S1154" s="46" t="e">
        <f t="shared" si="111"/>
        <v>#VALUE!</v>
      </c>
      <c r="T1154" s="677">
        <f t="shared" si="112"/>
        <v>0</v>
      </c>
      <c r="U1154" s="80">
        <f>(IF(O1154="Stofire",(S1154*#REF!),0))+(IF(O1154="Fire Control",(S1154*$U$2),0))+(IF(O1154="Fire Tex",(S1154*$U$3),0))+(IF(O1154="WB7",(S1154*#REF!),0)+(IF(O1154="FX 2003",(S1154*$U$5),0)))</f>
        <v>0</v>
      </c>
      <c r="V1154" s="651">
        <f t="shared" si="113"/>
        <v>0</v>
      </c>
    </row>
    <row r="1155" spans="4:22" x14ac:dyDescent="0.25">
      <c r="D1155" s="118">
        <f>+CUBICACION!D1154</f>
        <v>0</v>
      </c>
      <c r="E1155" s="118">
        <f>+CUBICACION!F1154</f>
        <v>0</v>
      </c>
      <c r="F1155" s="118">
        <f>+CUBICACION!E1154</f>
        <v>0</v>
      </c>
      <c r="G1155" s="118">
        <v>12</v>
      </c>
      <c r="H1155" s="118">
        <v>2</v>
      </c>
      <c r="I1155" s="820">
        <v>26385</v>
      </c>
      <c r="J1155" s="118">
        <f>+CUBICACION!J1154</f>
        <v>0</v>
      </c>
      <c r="K1155" s="118">
        <v>3934</v>
      </c>
      <c r="L1155" s="118">
        <f>+CUBICACION!L1154</f>
        <v>0</v>
      </c>
      <c r="M1155" s="64">
        <f>+CUBICACION!M1154</f>
        <v>0</v>
      </c>
      <c r="N1155" s="824" t="str">
        <f>+CUBICACION!N1154</f>
        <v/>
      </c>
      <c r="O1155" s="675">
        <f>+CUBICACION!O1154</f>
        <v>0</v>
      </c>
      <c r="P1155" s="15">
        <f>IF(O1155="Fire Control",VLOOKUP(_xlfn.MINIFS('FIRE CONTROL'!$C$4:$C$37,'FIRE CONTROL'!$C$4:$C$37,"&gt;="&amp;M1155),'FIRE CONTROL'!$C$4:$G$37,IF(L1155="F-15",2,IF(L1155="F-30",3,IF(L1155="F-60",4,IF(L1155="F-90",5,0)))),0),0)+IF(AND(O1155="FIRE TEX 5062",OR(E1155="IN",E1155="C",E1155="Z",E1155="L"),J1155=3),VLOOKUP(_xlfn.MINIFS('FIRE TEX 5062'!$B$4:$B$34,'FIRE TEX 5062'!$B$4:$B$34,"&gt;="&amp;M1155),'FIRE TEX 5062'!$B$4:$F$34,IF(L1155="F-15",2,IF(L1155="F-30",3,IF(L1155="F-60",4,IF(L1155="F-90",5,0)))),0),0)+IF(AND(O1155="FIRE TEX 5062",OR(E1155="IN",E1155="C",E1155="Z",E1155="L"),J1155=4),VLOOKUP(_xlfn.MINIFS('FIRE TEX 5062'!$G$4:$G$34,'FIRE TEX 5062'!$G$4:$G$34,"&gt;="&amp;M1155),'FIRE TEX 5062'!$G$4:$K$34,IF(L1155="F-15",2,IF(L1155="F-30",3,IF(L1155="F-60",4,IF(L1155="F-90",5,0)))),0),0)+IF(AND(O1155="FIRE TEX 5062",E1155="CJ",J1155=3),VLOOKUP(_xlfn.MINIFS('FIRE TEX 5062'!$L$4:$L$34,'FIRE TEX 5062'!$L$4:$L$34,"&gt;="&amp;M1155),'FIRE TEX 5062'!$L$4:$P$34,IF(L1155="F-15",2,IF(L1155="F-30",3,IF(L1155="F-60",4,IF(L1155="F-90",5,0)))),0),0)+IF(AND(O1155="FIRE TEX 5062",E1155="CJ",J1155=4),VLOOKUP(_xlfn.MINIFS('FIRE TEX 5062'!$Q$3:$Q$34,'FIRE TEX 5062'!$Q$3:$Q$34,"&gt;="&amp;M1155),'FIRE TEX 5062'!$Q$3:$U$34,IF(L1155="F-15",2,IF(L1155="F-30",3,IF(L1155="F-60",4,IF(L1155="F-90",5,0)))),0),0)+IF(AND(O1155="FIRE TEX 5090",OR(E1155="IN",E1155="C",E1155="Z",E1155="L"),J1155=3),VLOOKUP(_xlfn.MINIFS('FIRE TEX 5090'!$B$5:$B$43,'FIRE TEX 5090'!$B$5:$B$43,"&gt;="&amp;M1155),'FIRE TEX 5090'!$B$5:$H$43,IF(L1155="F-15",2,IF(L1155="F-30",3,IF(L1155="F-60",4,IF(L1155="F-90",5,IF(L1155="F-120",6,IF(L1155="F-150",7,0)))))),0),0)+IF(AND(O1155="FIRE TEX 5090",OR(E1155="IN",E1155="C",E1155="Z",E1155="L"),J1155=4),VLOOKUP(_xlfn.MINIFS('FIRE TEX 5090'!$J$5:$J$43,'FIRE TEX 5090'!$J$5:$J$43,"&gt;="&amp;M1155),'FIRE TEX 5090'!$J$5:$P$43,IF(L1155="F-15",2,IF(L1155="F-30",3,IF(L1155="F-60",4,IF(L1155="F-90",5,IF(L1155="F-120",6,IF(L1155="F-150",7,0)))))),0),0)+IF(AND(O1155="FIRE TEX 5090",E1155="CJ",J1155=3),VLOOKUP(_xlfn.MINIFS('FIRE TEX 5090'!$R$5:$R$30,'FIRE TEX 5090'!$R$5:$R$30,"&gt;="&amp;M1155),'FIRE TEX 5090'!$R$5:$W$30,IF(L1155="F-15",2,IF(L1155="F-30",3,IF(L1155="F-60",4,IF(L1155="F-90",5,IF(L1155="F-120",6,IF(L1155="F-150",7,0)))))),0),0)+IF(AND(O1155="FIRE TEX 5090",E1155="CJ",J1155=4),VLOOKUP(_xlfn.MINIFS('FIRE TEX 5090'!$Y$5:$Y$39,'FIRE TEX 5090'!$Y$5:$Y$39,"&gt;="&amp;M1155),'FIRE TEX 5090'!$Y$5:$AD$39,IF(L1155="F-15",2,IF(L1155="F-30",3,IF(L1155="F-60",4,IF(L1155="F-90",5,IF(L1155="F-120",6,IF(L1155="F-150",7,0)))))),0),0)+IF(AND(O1155="FIRE TEX 5120",OR(E1155="IN",E1155="C",E1155="Z",E1155="L"),J1155=3),VLOOKUP(_xlfn.MINIFS('FIRE TEX 5120'!$B$5:$B$40,'FIRE TEX 5120'!$B$5:$B$40,"&gt;="&amp;M1155),'FIRE TEX 5120'!$B$5:$G$40,IF(L1155="F-15",2,IF(L1155="F-30",3,IF(L1155="F-60",4,IF(L1155="F-90",5,IF(L1155="F-120",6,0))))),0),0)+IF(AND(O1155="FIRE TEX 5120",OR(E1155="IN",E1155="C",E1155="Z",E1155="L"),J1155=4),VLOOKUP(_xlfn.MINIFS('FIRE TEX 5120'!$H$4:$H$40,'FIRE TEX 5120'!$H$4:$H$40,"&gt;="&amp;M1155),'FIRE TEX 5120'!$H$4:$M$40,IF(L1155="F-15",2,IF(L1155="F-30",3,IF(L1155="F-60",4,IF(L1155="F-90",5,IF(L1155="F-120",6,0))))),0),0)+IF(AND(O1155="FIRE TEX 5120",E1155="CJ"),VLOOKUP(_xlfn.MINIFS('FIRE TEX 5120'!$O$5:$O$40,'FIRE TEX 5120'!$O$5:$O$40,"&gt;="&amp;M1155),'FIRE TEX 5120'!$O$5:$T$40,IF(L1155="F-15",2,IF(L1155="F-30",3,IF(L1155="F-60",4,IF(L1155="F-90",5,IF(L1155="F-120",6,0))))),0),0)</f>
        <v>0</v>
      </c>
      <c r="Q1155" s="46">
        <f t="shared" si="109"/>
        <v>0</v>
      </c>
      <c r="R1155" s="46">
        <f t="shared" si="110"/>
        <v>0</v>
      </c>
      <c r="S1155" s="46" t="e">
        <f t="shared" si="111"/>
        <v>#VALUE!</v>
      </c>
      <c r="T1155" s="677">
        <f t="shared" si="112"/>
        <v>0</v>
      </c>
      <c r="U1155" s="80">
        <f>(IF(O1155="Stofire",(S1155*#REF!),0))+(IF(O1155="Fire Control",(S1155*$U$2),0))+(IF(O1155="Fire Tex",(S1155*$U$3),0))+(IF(O1155="WB7",(S1155*#REF!),0)+(IF(O1155="FX 2003",(S1155*$U$5),0)))</f>
        <v>0</v>
      </c>
      <c r="V1155" s="651">
        <f t="shared" si="113"/>
        <v>0</v>
      </c>
    </row>
    <row r="1156" spans="4:22" x14ac:dyDescent="0.25">
      <c r="D1156" s="118">
        <f>+CUBICACION!D1155</f>
        <v>0</v>
      </c>
      <c r="E1156" s="118">
        <f>+CUBICACION!F1155</f>
        <v>0</v>
      </c>
      <c r="F1156" s="118">
        <f>+CUBICACION!E1155</f>
        <v>0</v>
      </c>
      <c r="G1156" s="118">
        <v>12</v>
      </c>
      <c r="H1156" s="118">
        <v>2</v>
      </c>
      <c r="I1156" s="820">
        <v>26385</v>
      </c>
      <c r="J1156" s="118">
        <f>+CUBICACION!J1155</f>
        <v>0</v>
      </c>
      <c r="K1156" s="118">
        <v>3935</v>
      </c>
      <c r="L1156" s="118">
        <f>+CUBICACION!L1155</f>
        <v>0</v>
      </c>
      <c r="M1156" s="64">
        <f>+CUBICACION!M1155</f>
        <v>0</v>
      </c>
      <c r="N1156" s="824" t="str">
        <f>+CUBICACION!N1155</f>
        <v/>
      </c>
      <c r="O1156" s="675">
        <f>+CUBICACION!O1155</f>
        <v>0</v>
      </c>
      <c r="P1156" s="15">
        <f>IF(O1156="Fire Control",VLOOKUP(_xlfn.MINIFS('FIRE CONTROL'!$C$4:$C$37,'FIRE CONTROL'!$C$4:$C$37,"&gt;="&amp;M1156),'FIRE CONTROL'!$C$4:$G$37,IF(L1156="F-15",2,IF(L1156="F-30",3,IF(L1156="F-60",4,IF(L1156="F-90",5,0)))),0),0)+IF(AND(O1156="FIRE TEX 5062",OR(E1156="IN",E1156="C",E1156="Z",E1156="L"),J1156=3),VLOOKUP(_xlfn.MINIFS('FIRE TEX 5062'!$B$4:$B$34,'FIRE TEX 5062'!$B$4:$B$34,"&gt;="&amp;M1156),'FIRE TEX 5062'!$B$4:$F$34,IF(L1156="F-15",2,IF(L1156="F-30",3,IF(L1156="F-60",4,IF(L1156="F-90",5,0)))),0),0)+IF(AND(O1156="FIRE TEX 5062",OR(E1156="IN",E1156="C",E1156="Z",E1156="L"),J1156=4),VLOOKUP(_xlfn.MINIFS('FIRE TEX 5062'!$G$4:$G$34,'FIRE TEX 5062'!$G$4:$G$34,"&gt;="&amp;M1156),'FIRE TEX 5062'!$G$4:$K$34,IF(L1156="F-15",2,IF(L1156="F-30",3,IF(L1156="F-60",4,IF(L1156="F-90",5,0)))),0),0)+IF(AND(O1156="FIRE TEX 5062",E1156="CJ",J1156=3),VLOOKUP(_xlfn.MINIFS('FIRE TEX 5062'!$L$4:$L$34,'FIRE TEX 5062'!$L$4:$L$34,"&gt;="&amp;M1156),'FIRE TEX 5062'!$L$4:$P$34,IF(L1156="F-15",2,IF(L1156="F-30",3,IF(L1156="F-60",4,IF(L1156="F-90",5,0)))),0),0)+IF(AND(O1156="FIRE TEX 5062",E1156="CJ",J1156=4),VLOOKUP(_xlfn.MINIFS('FIRE TEX 5062'!$Q$3:$Q$34,'FIRE TEX 5062'!$Q$3:$Q$34,"&gt;="&amp;M1156),'FIRE TEX 5062'!$Q$3:$U$34,IF(L1156="F-15",2,IF(L1156="F-30",3,IF(L1156="F-60",4,IF(L1156="F-90",5,0)))),0),0)+IF(AND(O1156="FIRE TEX 5090",OR(E1156="IN",E1156="C",E1156="Z",E1156="L"),J1156=3),VLOOKUP(_xlfn.MINIFS('FIRE TEX 5090'!$B$5:$B$43,'FIRE TEX 5090'!$B$5:$B$43,"&gt;="&amp;M1156),'FIRE TEX 5090'!$B$5:$H$43,IF(L1156="F-15",2,IF(L1156="F-30",3,IF(L1156="F-60",4,IF(L1156="F-90",5,IF(L1156="F-120",6,IF(L1156="F-150",7,0)))))),0),0)+IF(AND(O1156="FIRE TEX 5090",OR(E1156="IN",E1156="C",E1156="Z",E1156="L"),J1156=4),VLOOKUP(_xlfn.MINIFS('FIRE TEX 5090'!$J$5:$J$43,'FIRE TEX 5090'!$J$5:$J$43,"&gt;="&amp;M1156),'FIRE TEX 5090'!$J$5:$P$43,IF(L1156="F-15",2,IF(L1156="F-30",3,IF(L1156="F-60",4,IF(L1156="F-90",5,IF(L1156="F-120",6,IF(L1156="F-150",7,0)))))),0),0)+IF(AND(O1156="FIRE TEX 5090",E1156="CJ",J1156=3),VLOOKUP(_xlfn.MINIFS('FIRE TEX 5090'!$R$5:$R$30,'FIRE TEX 5090'!$R$5:$R$30,"&gt;="&amp;M1156),'FIRE TEX 5090'!$R$5:$W$30,IF(L1156="F-15",2,IF(L1156="F-30",3,IF(L1156="F-60",4,IF(L1156="F-90",5,IF(L1156="F-120",6,IF(L1156="F-150",7,0)))))),0),0)+IF(AND(O1156="FIRE TEX 5090",E1156="CJ",J1156=4),VLOOKUP(_xlfn.MINIFS('FIRE TEX 5090'!$Y$5:$Y$39,'FIRE TEX 5090'!$Y$5:$Y$39,"&gt;="&amp;M1156),'FIRE TEX 5090'!$Y$5:$AD$39,IF(L1156="F-15",2,IF(L1156="F-30",3,IF(L1156="F-60",4,IF(L1156="F-90",5,IF(L1156="F-120",6,IF(L1156="F-150",7,0)))))),0),0)+IF(AND(O1156="FIRE TEX 5120",OR(E1156="IN",E1156="C",E1156="Z",E1156="L"),J1156=3),VLOOKUP(_xlfn.MINIFS('FIRE TEX 5120'!$B$5:$B$40,'FIRE TEX 5120'!$B$5:$B$40,"&gt;="&amp;M1156),'FIRE TEX 5120'!$B$5:$G$40,IF(L1156="F-15",2,IF(L1156="F-30",3,IF(L1156="F-60",4,IF(L1156="F-90",5,IF(L1156="F-120",6,0))))),0),0)+IF(AND(O1156="FIRE TEX 5120",OR(E1156="IN",E1156="C",E1156="Z",E1156="L"),J1156=4),VLOOKUP(_xlfn.MINIFS('FIRE TEX 5120'!$H$4:$H$40,'FIRE TEX 5120'!$H$4:$H$40,"&gt;="&amp;M1156),'FIRE TEX 5120'!$H$4:$M$40,IF(L1156="F-15",2,IF(L1156="F-30",3,IF(L1156="F-60",4,IF(L1156="F-90",5,IF(L1156="F-120",6,0))))),0),0)+IF(AND(O1156="FIRE TEX 5120",E1156="CJ"),VLOOKUP(_xlfn.MINIFS('FIRE TEX 5120'!$O$5:$O$40,'FIRE TEX 5120'!$O$5:$O$40,"&gt;="&amp;M1156),'FIRE TEX 5120'!$O$5:$T$40,IF(L1156="F-15",2,IF(L1156="F-30",3,IF(L1156="F-60",4,IF(L1156="F-90",5,IF(L1156="F-120",6,0))))),0),0)</f>
        <v>0</v>
      </c>
      <c r="Q1156" s="46">
        <f t="shared" si="109"/>
        <v>0</v>
      </c>
      <c r="R1156" s="46">
        <f t="shared" si="110"/>
        <v>0</v>
      </c>
      <c r="S1156" s="46" t="e">
        <f t="shared" si="111"/>
        <v>#VALUE!</v>
      </c>
      <c r="T1156" s="677">
        <f t="shared" si="112"/>
        <v>0</v>
      </c>
      <c r="U1156" s="80">
        <f>(IF(O1156="Stofire",(S1156*#REF!),0))+(IF(O1156="Fire Control",(S1156*$U$2),0))+(IF(O1156="Fire Tex",(S1156*$U$3),0))+(IF(O1156="WB7",(S1156*#REF!),0)+(IF(O1156="FX 2003",(S1156*$U$5),0)))</f>
        <v>0</v>
      </c>
      <c r="V1156" s="651">
        <f t="shared" si="113"/>
        <v>0</v>
      </c>
    </row>
    <row r="1157" spans="4:22" x14ac:dyDescent="0.25">
      <c r="D1157" s="118">
        <f>+CUBICACION!D1156</f>
        <v>0</v>
      </c>
      <c r="E1157" s="118">
        <f>+CUBICACION!F1156</f>
        <v>0</v>
      </c>
      <c r="F1157" s="118">
        <f>+CUBICACION!E1156</f>
        <v>0</v>
      </c>
      <c r="G1157" s="118">
        <v>12</v>
      </c>
      <c r="H1157" s="118">
        <v>2</v>
      </c>
      <c r="I1157" s="820">
        <v>26385</v>
      </c>
      <c r="J1157" s="118">
        <f>+CUBICACION!J1156</f>
        <v>0</v>
      </c>
      <c r="K1157" s="118">
        <v>3936</v>
      </c>
      <c r="L1157" s="118">
        <f>+CUBICACION!L1156</f>
        <v>0</v>
      </c>
      <c r="M1157" s="64">
        <f>+CUBICACION!M1156</f>
        <v>0</v>
      </c>
      <c r="N1157" s="824" t="str">
        <f>+CUBICACION!N1156</f>
        <v/>
      </c>
      <c r="O1157" s="675">
        <f>+CUBICACION!O1156</f>
        <v>0</v>
      </c>
      <c r="P1157" s="15">
        <f>IF(O1157="Fire Control",VLOOKUP(_xlfn.MINIFS('FIRE CONTROL'!$C$4:$C$37,'FIRE CONTROL'!$C$4:$C$37,"&gt;="&amp;M1157),'FIRE CONTROL'!$C$4:$G$37,IF(L1157="F-15",2,IF(L1157="F-30",3,IF(L1157="F-60",4,IF(L1157="F-90",5,0)))),0),0)+IF(AND(O1157="FIRE TEX 5062",OR(E1157="IN",E1157="C",E1157="Z",E1157="L"),J1157=3),VLOOKUP(_xlfn.MINIFS('FIRE TEX 5062'!$B$4:$B$34,'FIRE TEX 5062'!$B$4:$B$34,"&gt;="&amp;M1157),'FIRE TEX 5062'!$B$4:$F$34,IF(L1157="F-15",2,IF(L1157="F-30",3,IF(L1157="F-60",4,IF(L1157="F-90",5,0)))),0),0)+IF(AND(O1157="FIRE TEX 5062",OR(E1157="IN",E1157="C",E1157="Z",E1157="L"),J1157=4),VLOOKUP(_xlfn.MINIFS('FIRE TEX 5062'!$G$4:$G$34,'FIRE TEX 5062'!$G$4:$G$34,"&gt;="&amp;M1157),'FIRE TEX 5062'!$G$4:$K$34,IF(L1157="F-15",2,IF(L1157="F-30",3,IF(L1157="F-60",4,IF(L1157="F-90",5,0)))),0),0)+IF(AND(O1157="FIRE TEX 5062",E1157="CJ",J1157=3),VLOOKUP(_xlfn.MINIFS('FIRE TEX 5062'!$L$4:$L$34,'FIRE TEX 5062'!$L$4:$L$34,"&gt;="&amp;M1157),'FIRE TEX 5062'!$L$4:$P$34,IF(L1157="F-15",2,IF(L1157="F-30",3,IF(L1157="F-60",4,IF(L1157="F-90",5,0)))),0),0)+IF(AND(O1157="FIRE TEX 5062",E1157="CJ",J1157=4),VLOOKUP(_xlfn.MINIFS('FIRE TEX 5062'!$Q$3:$Q$34,'FIRE TEX 5062'!$Q$3:$Q$34,"&gt;="&amp;M1157),'FIRE TEX 5062'!$Q$3:$U$34,IF(L1157="F-15",2,IF(L1157="F-30",3,IF(L1157="F-60",4,IF(L1157="F-90",5,0)))),0),0)+IF(AND(O1157="FIRE TEX 5090",OR(E1157="IN",E1157="C",E1157="Z",E1157="L"),J1157=3),VLOOKUP(_xlfn.MINIFS('FIRE TEX 5090'!$B$5:$B$43,'FIRE TEX 5090'!$B$5:$B$43,"&gt;="&amp;M1157),'FIRE TEX 5090'!$B$5:$H$43,IF(L1157="F-15",2,IF(L1157="F-30",3,IF(L1157="F-60",4,IF(L1157="F-90",5,IF(L1157="F-120",6,IF(L1157="F-150",7,0)))))),0),0)+IF(AND(O1157="FIRE TEX 5090",OR(E1157="IN",E1157="C",E1157="Z",E1157="L"),J1157=4),VLOOKUP(_xlfn.MINIFS('FIRE TEX 5090'!$J$5:$J$43,'FIRE TEX 5090'!$J$5:$J$43,"&gt;="&amp;M1157),'FIRE TEX 5090'!$J$5:$P$43,IF(L1157="F-15",2,IF(L1157="F-30",3,IF(L1157="F-60",4,IF(L1157="F-90",5,IF(L1157="F-120",6,IF(L1157="F-150",7,0)))))),0),0)+IF(AND(O1157="FIRE TEX 5090",E1157="CJ",J1157=3),VLOOKUP(_xlfn.MINIFS('FIRE TEX 5090'!$R$5:$R$30,'FIRE TEX 5090'!$R$5:$R$30,"&gt;="&amp;M1157),'FIRE TEX 5090'!$R$5:$W$30,IF(L1157="F-15",2,IF(L1157="F-30",3,IF(L1157="F-60",4,IF(L1157="F-90",5,IF(L1157="F-120",6,IF(L1157="F-150",7,0)))))),0),0)+IF(AND(O1157="FIRE TEX 5090",E1157="CJ",J1157=4),VLOOKUP(_xlfn.MINIFS('FIRE TEX 5090'!$Y$5:$Y$39,'FIRE TEX 5090'!$Y$5:$Y$39,"&gt;="&amp;M1157),'FIRE TEX 5090'!$Y$5:$AD$39,IF(L1157="F-15",2,IF(L1157="F-30",3,IF(L1157="F-60",4,IF(L1157="F-90",5,IF(L1157="F-120",6,IF(L1157="F-150",7,0)))))),0),0)+IF(AND(O1157="FIRE TEX 5120",OR(E1157="IN",E1157="C",E1157="Z",E1157="L"),J1157=3),VLOOKUP(_xlfn.MINIFS('FIRE TEX 5120'!$B$5:$B$40,'FIRE TEX 5120'!$B$5:$B$40,"&gt;="&amp;M1157),'FIRE TEX 5120'!$B$5:$G$40,IF(L1157="F-15",2,IF(L1157="F-30",3,IF(L1157="F-60",4,IF(L1157="F-90",5,IF(L1157="F-120",6,0))))),0),0)+IF(AND(O1157="FIRE TEX 5120",OR(E1157="IN",E1157="C",E1157="Z",E1157="L"),J1157=4),VLOOKUP(_xlfn.MINIFS('FIRE TEX 5120'!$H$4:$H$40,'FIRE TEX 5120'!$H$4:$H$40,"&gt;="&amp;M1157),'FIRE TEX 5120'!$H$4:$M$40,IF(L1157="F-15",2,IF(L1157="F-30",3,IF(L1157="F-60",4,IF(L1157="F-90",5,IF(L1157="F-120",6,0))))),0),0)+IF(AND(O1157="FIRE TEX 5120",E1157="CJ"),VLOOKUP(_xlfn.MINIFS('FIRE TEX 5120'!$O$5:$O$40,'FIRE TEX 5120'!$O$5:$O$40,"&gt;="&amp;M1157),'FIRE TEX 5120'!$O$5:$T$40,IF(L1157="F-15",2,IF(L1157="F-30",3,IF(L1157="F-60",4,IF(L1157="F-90",5,IF(L1157="F-120",6,0))))),0),0)</f>
        <v>0</v>
      </c>
      <c r="Q1157" s="46">
        <f t="shared" si="109"/>
        <v>0</v>
      </c>
      <c r="R1157" s="46">
        <f t="shared" si="110"/>
        <v>0</v>
      </c>
      <c r="S1157" s="46" t="e">
        <f t="shared" si="111"/>
        <v>#VALUE!</v>
      </c>
      <c r="T1157" s="677">
        <f t="shared" si="112"/>
        <v>0</v>
      </c>
      <c r="U1157" s="80">
        <f>(IF(O1157="Stofire",(S1157*#REF!),0))+(IF(O1157="Fire Control",(S1157*$U$2),0))+(IF(O1157="Fire Tex",(S1157*$U$3),0))+(IF(O1157="WB7",(S1157*#REF!),0)+(IF(O1157="FX 2003",(S1157*$U$5),0)))</f>
        <v>0</v>
      </c>
      <c r="V1157" s="651">
        <f t="shared" si="113"/>
        <v>0</v>
      </c>
    </row>
    <row r="1158" spans="4:22" x14ac:dyDescent="0.25">
      <c r="D1158" s="118">
        <f>+CUBICACION!D1157</f>
        <v>0</v>
      </c>
      <c r="E1158" s="118">
        <f>+CUBICACION!F1157</f>
        <v>0</v>
      </c>
      <c r="F1158" s="118">
        <f>+CUBICACION!E1157</f>
        <v>0</v>
      </c>
      <c r="G1158" s="118">
        <v>12</v>
      </c>
      <c r="H1158" s="118">
        <v>2</v>
      </c>
      <c r="I1158" s="820">
        <v>26385</v>
      </c>
      <c r="J1158" s="118">
        <f>+CUBICACION!J1157</f>
        <v>0</v>
      </c>
      <c r="K1158" s="118">
        <v>3937</v>
      </c>
      <c r="L1158" s="118">
        <f>+CUBICACION!L1157</f>
        <v>0</v>
      </c>
      <c r="M1158" s="64">
        <f>+CUBICACION!M1157</f>
        <v>0</v>
      </c>
      <c r="N1158" s="824" t="str">
        <f>+CUBICACION!N1157</f>
        <v/>
      </c>
      <c r="O1158" s="675">
        <f>+CUBICACION!O1157</f>
        <v>0</v>
      </c>
      <c r="P1158" s="15">
        <f>IF(O1158="Fire Control",VLOOKUP(_xlfn.MINIFS('FIRE CONTROL'!$C$4:$C$37,'FIRE CONTROL'!$C$4:$C$37,"&gt;="&amp;M1158),'FIRE CONTROL'!$C$4:$G$37,IF(L1158="F-15",2,IF(L1158="F-30",3,IF(L1158="F-60",4,IF(L1158="F-90",5,0)))),0),0)+IF(AND(O1158="FIRE TEX 5062",OR(E1158="IN",E1158="C",E1158="Z",E1158="L"),J1158=3),VLOOKUP(_xlfn.MINIFS('FIRE TEX 5062'!$B$4:$B$34,'FIRE TEX 5062'!$B$4:$B$34,"&gt;="&amp;M1158),'FIRE TEX 5062'!$B$4:$F$34,IF(L1158="F-15",2,IF(L1158="F-30",3,IF(L1158="F-60",4,IF(L1158="F-90",5,0)))),0),0)+IF(AND(O1158="FIRE TEX 5062",OR(E1158="IN",E1158="C",E1158="Z",E1158="L"),J1158=4),VLOOKUP(_xlfn.MINIFS('FIRE TEX 5062'!$G$4:$G$34,'FIRE TEX 5062'!$G$4:$G$34,"&gt;="&amp;M1158),'FIRE TEX 5062'!$G$4:$K$34,IF(L1158="F-15",2,IF(L1158="F-30",3,IF(L1158="F-60",4,IF(L1158="F-90",5,0)))),0),0)+IF(AND(O1158="FIRE TEX 5062",E1158="CJ",J1158=3),VLOOKUP(_xlfn.MINIFS('FIRE TEX 5062'!$L$4:$L$34,'FIRE TEX 5062'!$L$4:$L$34,"&gt;="&amp;M1158),'FIRE TEX 5062'!$L$4:$P$34,IF(L1158="F-15",2,IF(L1158="F-30",3,IF(L1158="F-60",4,IF(L1158="F-90",5,0)))),0),0)+IF(AND(O1158="FIRE TEX 5062",E1158="CJ",J1158=4),VLOOKUP(_xlfn.MINIFS('FIRE TEX 5062'!$Q$3:$Q$34,'FIRE TEX 5062'!$Q$3:$Q$34,"&gt;="&amp;M1158),'FIRE TEX 5062'!$Q$3:$U$34,IF(L1158="F-15",2,IF(L1158="F-30",3,IF(L1158="F-60",4,IF(L1158="F-90",5,0)))),0),0)+IF(AND(O1158="FIRE TEX 5090",OR(E1158="IN",E1158="C",E1158="Z",E1158="L"),J1158=3),VLOOKUP(_xlfn.MINIFS('FIRE TEX 5090'!$B$5:$B$43,'FIRE TEX 5090'!$B$5:$B$43,"&gt;="&amp;M1158),'FIRE TEX 5090'!$B$5:$H$43,IF(L1158="F-15",2,IF(L1158="F-30",3,IF(L1158="F-60",4,IF(L1158="F-90",5,IF(L1158="F-120",6,IF(L1158="F-150",7,0)))))),0),0)+IF(AND(O1158="FIRE TEX 5090",OR(E1158="IN",E1158="C",E1158="Z",E1158="L"),J1158=4),VLOOKUP(_xlfn.MINIFS('FIRE TEX 5090'!$J$5:$J$43,'FIRE TEX 5090'!$J$5:$J$43,"&gt;="&amp;M1158),'FIRE TEX 5090'!$J$5:$P$43,IF(L1158="F-15",2,IF(L1158="F-30",3,IF(L1158="F-60",4,IF(L1158="F-90",5,IF(L1158="F-120",6,IF(L1158="F-150",7,0)))))),0),0)+IF(AND(O1158="FIRE TEX 5090",E1158="CJ",J1158=3),VLOOKUP(_xlfn.MINIFS('FIRE TEX 5090'!$R$5:$R$30,'FIRE TEX 5090'!$R$5:$R$30,"&gt;="&amp;M1158),'FIRE TEX 5090'!$R$5:$W$30,IF(L1158="F-15",2,IF(L1158="F-30",3,IF(L1158="F-60",4,IF(L1158="F-90",5,IF(L1158="F-120",6,IF(L1158="F-150",7,0)))))),0),0)+IF(AND(O1158="FIRE TEX 5090",E1158="CJ",J1158=4),VLOOKUP(_xlfn.MINIFS('FIRE TEX 5090'!$Y$5:$Y$39,'FIRE TEX 5090'!$Y$5:$Y$39,"&gt;="&amp;M1158),'FIRE TEX 5090'!$Y$5:$AD$39,IF(L1158="F-15",2,IF(L1158="F-30",3,IF(L1158="F-60",4,IF(L1158="F-90",5,IF(L1158="F-120",6,IF(L1158="F-150",7,0)))))),0),0)+IF(AND(O1158="FIRE TEX 5120",OR(E1158="IN",E1158="C",E1158="Z",E1158="L"),J1158=3),VLOOKUP(_xlfn.MINIFS('FIRE TEX 5120'!$B$5:$B$40,'FIRE TEX 5120'!$B$5:$B$40,"&gt;="&amp;M1158),'FIRE TEX 5120'!$B$5:$G$40,IF(L1158="F-15",2,IF(L1158="F-30",3,IF(L1158="F-60",4,IF(L1158="F-90",5,IF(L1158="F-120",6,0))))),0),0)+IF(AND(O1158="FIRE TEX 5120",OR(E1158="IN",E1158="C",E1158="Z",E1158="L"),J1158=4),VLOOKUP(_xlfn.MINIFS('FIRE TEX 5120'!$H$4:$H$40,'FIRE TEX 5120'!$H$4:$H$40,"&gt;="&amp;M1158),'FIRE TEX 5120'!$H$4:$M$40,IF(L1158="F-15",2,IF(L1158="F-30",3,IF(L1158="F-60",4,IF(L1158="F-90",5,IF(L1158="F-120",6,0))))),0),0)+IF(AND(O1158="FIRE TEX 5120",E1158="CJ"),VLOOKUP(_xlfn.MINIFS('FIRE TEX 5120'!$O$5:$O$40,'FIRE TEX 5120'!$O$5:$O$40,"&gt;="&amp;M1158),'FIRE TEX 5120'!$O$5:$T$40,IF(L1158="F-15",2,IF(L1158="F-30",3,IF(L1158="F-60",4,IF(L1158="F-90",5,IF(L1158="F-120",6,0))))),0),0)</f>
        <v>0</v>
      </c>
      <c r="Q1158" s="46">
        <f t="shared" si="109"/>
        <v>0</v>
      </c>
      <c r="R1158" s="46">
        <f t="shared" si="110"/>
        <v>0</v>
      </c>
      <c r="S1158" s="46" t="e">
        <f t="shared" si="111"/>
        <v>#VALUE!</v>
      </c>
      <c r="T1158" s="677">
        <f t="shared" si="112"/>
        <v>0</v>
      </c>
      <c r="U1158" s="80">
        <f>(IF(O1158="Stofire",(S1158*#REF!),0))+(IF(O1158="Fire Control",(S1158*$U$2),0))+(IF(O1158="Fire Tex",(S1158*$U$3),0))+(IF(O1158="WB7",(S1158*#REF!),0)+(IF(O1158="FX 2003",(S1158*$U$5),0)))</f>
        <v>0</v>
      </c>
      <c r="V1158" s="651">
        <f t="shared" si="113"/>
        <v>0</v>
      </c>
    </row>
    <row r="1159" spans="4:22" x14ac:dyDescent="0.25">
      <c r="D1159" s="118">
        <f>+CUBICACION!D1158</f>
        <v>0</v>
      </c>
      <c r="E1159" s="118">
        <f>+CUBICACION!F1158</f>
        <v>0</v>
      </c>
      <c r="F1159" s="118">
        <f>+CUBICACION!E1158</f>
        <v>0</v>
      </c>
      <c r="G1159" s="118">
        <v>12</v>
      </c>
      <c r="H1159" s="118">
        <v>2</v>
      </c>
      <c r="I1159" s="820">
        <v>26385</v>
      </c>
      <c r="J1159" s="118">
        <f>+CUBICACION!J1158</f>
        <v>0</v>
      </c>
      <c r="K1159" s="118">
        <v>3938</v>
      </c>
      <c r="L1159" s="118">
        <f>+CUBICACION!L1158</f>
        <v>0</v>
      </c>
      <c r="M1159" s="64">
        <f>+CUBICACION!M1158</f>
        <v>0</v>
      </c>
      <c r="N1159" s="824" t="str">
        <f>+CUBICACION!N1158</f>
        <v/>
      </c>
      <c r="O1159" s="675">
        <f>+CUBICACION!O1158</f>
        <v>0</v>
      </c>
      <c r="P1159" s="15">
        <f>IF(O1159="Fire Control",VLOOKUP(_xlfn.MINIFS('FIRE CONTROL'!$C$4:$C$37,'FIRE CONTROL'!$C$4:$C$37,"&gt;="&amp;M1159),'FIRE CONTROL'!$C$4:$G$37,IF(L1159="F-15",2,IF(L1159="F-30",3,IF(L1159="F-60",4,IF(L1159="F-90",5,0)))),0),0)+IF(AND(O1159="FIRE TEX 5062",OR(E1159="IN",E1159="C",E1159="Z",E1159="L"),J1159=3),VLOOKUP(_xlfn.MINIFS('FIRE TEX 5062'!$B$4:$B$34,'FIRE TEX 5062'!$B$4:$B$34,"&gt;="&amp;M1159),'FIRE TEX 5062'!$B$4:$F$34,IF(L1159="F-15",2,IF(L1159="F-30",3,IF(L1159="F-60",4,IF(L1159="F-90",5,0)))),0),0)+IF(AND(O1159="FIRE TEX 5062",OR(E1159="IN",E1159="C",E1159="Z",E1159="L"),J1159=4),VLOOKUP(_xlfn.MINIFS('FIRE TEX 5062'!$G$4:$G$34,'FIRE TEX 5062'!$G$4:$G$34,"&gt;="&amp;M1159),'FIRE TEX 5062'!$G$4:$K$34,IF(L1159="F-15",2,IF(L1159="F-30",3,IF(L1159="F-60",4,IF(L1159="F-90",5,0)))),0),0)+IF(AND(O1159="FIRE TEX 5062",E1159="CJ",J1159=3),VLOOKUP(_xlfn.MINIFS('FIRE TEX 5062'!$L$4:$L$34,'FIRE TEX 5062'!$L$4:$L$34,"&gt;="&amp;M1159),'FIRE TEX 5062'!$L$4:$P$34,IF(L1159="F-15",2,IF(L1159="F-30",3,IF(L1159="F-60",4,IF(L1159="F-90",5,0)))),0),0)+IF(AND(O1159="FIRE TEX 5062",E1159="CJ",J1159=4),VLOOKUP(_xlfn.MINIFS('FIRE TEX 5062'!$Q$3:$Q$34,'FIRE TEX 5062'!$Q$3:$Q$34,"&gt;="&amp;M1159),'FIRE TEX 5062'!$Q$3:$U$34,IF(L1159="F-15",2,IF(L1159="F-30",3,IF(L1159="F-60",4,IF(L1159="F-90",5,0)))),0),0)+IF(AND(O1159="FIRE TEX 5090",OR(E1159="IN",E1159="C",E1159="Z",E1159="L"),J1159=3),VLOOKUP(_xlfn.MINIFS('FIRE TEX 5090'!$B$5:$B$43,'FIRE TEX 5090'!$B$5:$B$43,"&gt;="&amp;M1159),'FIRE TEX 5090'!$B$5:$H$43,IF(L1159="F-15",2,IF(L1159="F-30",3,IF(L1159="F-60",4,IF(L1159="F-90",5,IF(L1159="F-120",6,IF(L1159="F-150",7,0)))))),0),0)+IF(AND(O1159="FIRE TEX 5090",OR(E1159="IN",E1159="C",E1159="Z",E1159="L"),J1159=4),VLOOKUP(_xlfn.MINIFS('FIRE TEX 5090'!$J$5:$J$43,'FIRE TEX 5090'!$J$5:$J$43,"&gt;="&amp;M1159),'FIRE TEX 5090'!$J$5:$P$43,IF(L1159="F-15",2,IF(L1159="F-30",3,IF(L1159="F-60",4,IF(L1159="F-90",5,IF(L1159="F-120",6,IF(L1159="F-150",7,0)))))),0),0)+IF(AND(O1159="FIRE TEX 5090",E1159="CJ",J1159=3),VLOOKUP(_xlfn.MINIFS('FIRE TEX 5090'!$R$5:$R$30,'FIRE TEX 5090'!$R$5:$R$30,"&gt;="&amp;M1159),'FIRE TEX 5090'!$R$5:$W$30,IF(L1159="F-15",2,IF(L1159="F-30",3,IF(L1159="F-60",4,IF(L1159="F-90",5,IF(L1159="F-120",6,IF(L1159="F-150",7,0)))))),0),0)+IF(AND(O1159="FIRE TEX 5090",E1159="CJ",J1159=4),VLOOKUP(_xlfn.MINIFS('FIRE TEX 5090'!$Y$5:$Y$39,'FIRE TEX 5090'!$Y$5:$Y$39,"&gt;="&amp;M1159),'FIRE TEX 5090'!$Y$5:$AD$39,IF(L1159="F-15",2,IF(L1159="F-30",3,IF(L1159="F-60",4,IF(L1159="F-90",5,IF(L1159="F-120",6,IF(L1159="F-150",7,0)))))),0),0)+IF(AND(O1159="FIRE TEX 5120",OR(E1159="IN",E1159="C",E1159="Z",E1159="L"),J1159=3),VLOOKUP(_xlfn.MINIFS('FIRE TEX 5120'!$B$5:$B$40,'FIRE TEX 5120'!$B$5:$B$40,"&gt;="&amp;M1159),'FIRE TEX 5120'!$B$5:$G$40,IF(L1159="F-15",2,IF(L1159="F-30",3,IF(L1159="F-60",4,IF(L1159="F-90",5,IF(L1159="F-120",6,0))))),0),0)+IF(AND(O1159="FIRE TEX 5120",OR(E1159="IN",E1159="C",E1159="Z",E1159="L"),J1159=4),VLOOKUP(_xlfn.MINIFS('FIRE TEX 5120'!$H$4:$H$40,'FIRE TEX 5120'!$H$4:$H$40,"&gt;="&amp;M1159),'FIRE TEX 5120'!$H$4:$M$40,IF(L1159="F-15",2,IF(L1159="F-30",3,IF(L1159="F-60",4,IF(L1159="F-90",5,IF(L1159="F-120",6,0))))),0),0)+IF(AND(O1159="FIRE TEX 5120",E1159="CJ"),VLOOKUP(_xlfn.MINIFS('FIRE TEX 5120'!$O$5:$O$40,'FIRE TEX 5120'!$O$5:$O$40,"&gt;="&amp;M1159),'FIRE TEX 5120'!$O$5:$T$40,IF(L1159="F-15",2,IF(L1159="F-30",3,IF(L1159="F-60",4,IF(L1159="F-90",5,IF(L1159="F-120",6,0))))),0),0)</f>
        <v>0</v>
      </c>
      <c r="Q1159" s="46">
        <f t="shared" si="109"/>
        <v>0</v>
      </c>
      <c r="R1159" s="46">
        <f t="shared" si="110"/>
        <v>0</v>
      </c>
      <c r="S1159" s="46" t="e">
        <f t="shared" si="111"/>
        <v>#VALUE!</v>
      </c>
      <c r="T1159" s="677">
        <f t="shared" si="112"/>
        <v>0</v>
      </c>
      <c r="U1159" s="80">
        <f>(IF(O1159="Stofire",(S1159*#REF!),0))+(IF(O1159="Fire Control",(S1159*$U$2),0))+(IF(O1159="Fire Tex",(S1159*$U$3),0))+(IF(O1159="WB7",(S1159*#REF!),0)+(IF(O1159="FX 2003",(S1159*$U$5),0)))</f>
        <v>0</v>
      </c>
      <c r="V1159" s="651">
        <f t="shared" si="113"/>
        <v>0</v>
      </c>
    </row>
    <row r="1160" spans="4:22" x14ac:dyDescent="0.25">
      <c r="D1160" s="118">
        <f>+CUBICACION!D1159</f>
        <v>0</v>
      </c>
      <c r="E1160" s="118">
        <f>+CUBICACION!F1159</f>
        <v>0</v>
      </c>
      <c r="F1160" s="118">
        <f>+CUBICACION!E1159</f>
        <v>0</v>
      </c>
      <c r="G1160" s="118">
        <v>12</v>
      </c>
      <c r="H1160" s="118">
        <v>2</v>
      </c>
      <c r="I1160" s="820">
        <v>26385</v>
      </c>
      <c r="J1160" s="118">
        <f>+CUBICACION!J1159</f>
        <v>0</v>
      </c>
      <c r="K1160" s="118">
        <v>3939</v>
      </c>
      <c r="L1160" s="118">
        <f>+CUBICACION!L1159</f>
        <v>0</v>
      </c>
      <c r="M1160" s="64">
        <f>+CUBICACION!M1159</f>
        <v>0</v>
      </c>
      <c r="N1160" s="824" t="str">
        <f>+CUBICACION!N1159</f>
        <v/>
      </c>
      <c r="O1160" s="675">
        <f>+CUBICACION!O1159</f>
        <v>0</v>
      </c>
      <c r="P1160" s="15">
        <f>IF(O1160="Fire Control",VLOOKUP(_xlfn.MINIFS('FIRE CONTROL'!$C$4:$C$37,'FIRE CONTROL'!$C$4:$C$37,"&gt;="&amp;M1160),'FIRE CONTROL'!$C$4:$G$37,IF(L1160="F-15",2,IF(L1160="F-30",3,IF(L1160="F-60",4,IF(L1160="F-90",5,0)))),0),0)+IF(AND(O1160="FIRE TEX 5062",OR(E1160="IN",E1160="C",E1160="Z",E1160="L"),J1160=3),VLOOKUP(_xlfn.MINIFS('FIRE TEX 5062'!$B$4:$B$34,'FIRE TEX 5062'!$B$4:$B$34,"&gt;="&amp;M1160),'FIRE TEX 5062'!$B$4:$F$34,IF(L1160="F-15",2,IF(L1160="F-30",3,IF(L1160="F-60",4,IF(L1160="F-90",5,0)))),0),0)+IF(AND(O1160="FIRE TEX 5062",OR(E1160="IN",E1160="C",E1160="Z",E1160="L"),J1160=4),VLOOKUP(_xlfn.MINIFS('FIRE TEX 5062'!$G$4:$G$34,'FIRE TEX 5062'!$G$4:$G$34,"&gt;="&amp;M1160),'FIRE TEX 5062'!$G$4:$K$34,IF(L1160="F-15",2,IF(L1160="F-30",3,IF(L1160="F-60",4,IF(L1160="F-90",5,0)))),0),0)+IF(AND(O1160="FIRE TEX 5062",E1160="CJ",J1160=3),VLOOKUP(_xlfn.MINIFS('FIRE TEX 5062'!$L$4:$L$34,'FIRE TEX 5062'!$L$4:$L$34,"&gt;="&amp;M1160),'FIRE TEX 5062'!$L$4:$P$34,IF(L1160="F-15",2,IF(L1160="F-30",3,IF(L1160="F-60",4,IF(L1160="F-90",5,0)))),0),0)+IF(AND(O1160="FIRE TEX 5062",E1160="CJ",J1160=4),VLOOKUP(_xlfn.MINIFS('FIRE TEX 5062'!$Q$3:$Q$34,'FIRE TEX 5062'!$Q$3:$Q$34,"&gt;="&amp;M1160),'FIRE TEX 5062'!$Q$3:$U$34,IF(L1160="F-15",2,IF(L1160="F-30",3,IF(L1160="F-60",4,IF(L1160="F-90",5,0)))),0),0)+IF(AND(O1160="FIRE TEX 5090",OR(E1160="IN",E1160="C",E1160="Z",E1160="L"),J1160=3),VLOOKUP(_xlfn.MINIFS('FIRE TEX 5090'!$B$5:$B$43,'FIRE TEX 5090'!$B$5:$B$43,"&gt;="&amp;M1160),'FIRE TEX 5090'!$B$5:$H$43,IF(L1160="F-15",2,IF(L1160="F-30",3,IF(L1160="F-60",4,IF(L1160="F-90",5,IF(L1160="F-120",6,IF(L1160="F-150",7,0)))))),0),0)+IF(AND(O1160="FIRE TEX 5090",OR(E1160="IN",E1160="C",E1160="Z",E1160="L"),J1160=4),VLOOKUP(_xlfn.MINIFS('FIRE TEX 5090'!$J$5:$J$43,'FIRE TEX 5090'!$J$5:$J$43,"&gt;="&amp;M1160),'FIRE TEX 5090'!$J$5:$P$43,IF(L1160="F-15",2,IF(L1160="F-30",3,IF(L1160="F-60",4,IF(L1160="F-90",5,IF(L1160="F-120",6,IF(L1160="F-150",7,0)))))),0),0)+IF(AND(O1160="FIRE TEX 5090",E1160="CJ",J1160=3),VLOOKUP(_xlfn.MINIFS('FIRE TEX 5090'!$R$5:$R$30,'FIRE TEX 5090'!$R$5:$R$30,"&gt;="&amp;M1160),'FIRE TEX 5090'!$R$5:$W$30,IF(L1160="F-15",2,IF(L1160="F-30",3,IF(L1160="F-60",4,IF(L1160="F-90",5,IF(L1160="F-120",6,IF(L1160="F-150",7,0)))))),0),0)+IF(AND(O1160="FIRE TEX 5090",E1160="CJ",J1160=4),VLOOKUP(_xlfn.MINIFS('FIRE TEX 5090'!$Y$5:$Y$39,'FIRE TEX 5090'!$Y$5:$Y$39,"&gt;="&amp;M1160),'FIRE TEX 5090'!$Y$5:$AD$39,IF(L1160="F-15",2,IF(L1160="F-30",3,IF(L1160="F-60",4,IF(L1160="F-90",5,IF(L1160="F-120",6,IF(L1160="F-150",7,0)))))),0),0)+IF(AND(O1160="FIRE TEX 5120",OR(E1160="IN",E1160="C",E1160="Z",E1160="L"),J1160=3),VLOOKUP(_xlfn.MINIFS('FIRE TEX 5120'!$B$5:$B$40,'FIRE TEX 5120'!$B$5:$B$40,"&gt;="&amp;M1160),'FIRE TEX 5120'!$B$5:$G$40,IF(L1160="F-15",2,IF(L1160="F-30",3,IF(L1160="F-60",4,IF(L1160="F-90",5,IF(L1160="F-120",6,0))))),0),0)+IF(AND(O1160="FIRE TEX 5120",OR(E1160="IN",E1160="C",E1160="Z",E1160="L"),J1160=4),VLOOKUP(_xlfn.MINIFS('FIRE TEX 5120'!$H$4:$H$40,'FIRE TEX 5120'!$H$4:$H$40,"&gt;="&amp;M1160),'FIRE TEX 5120'!$H$4:$M$40,IF(L1160="F-15",2,IF(L1160="F-30",3,IF(L1160="F-60",4,IF(L1160="F-90",5,IF(L1160="F-120",6,0))))),0),0)+IF(AND(O1160="FIRE TEX 5120",E1160="CJ"),VLOOKUP(_xlfn.MINIFS('FIRE TEX 5120'!$O$5:$O$40,'FIRE TEX 5120'!$O$5:$O$40,"&gt;="&amp;M1160),'FIRE TEX 5120'!$O$5:$T$40,IF(L1160="F-15",2,IF(L1160="F-30",3,IF(L1160="F-60",4,IF(L1160="F-90",5,IF(L1160="F-120",6,0))))),0),0)</f>
        <v>0</v>
      </c>
      <c r="Q1160" s="46">
        <f t="shared" si="109"/>
        <v>0</v>
      </c>
      <c r="R1160" s="46">
        <f t="shared" si="110"/>
        <v>0</v>
      </c>
      <c r="S1160" s="46" t="e">
        <f t="shared" si="111"/>
        <v>#VALUE!</v>
      </c>
      <c r="T1160" s="677">
        <f t="shared" si="112"/>
        <v>0</v>
      </c>
      <c r="U1160" s="80">
        <f>(IF(O1160="Stofire",(S1160*#REF!),0))+(IF(O1160="Fire Control",(S1160*$U$2),0))+(IF(O1160="Fire Tex",(S1160*$U$3),0))+(IF(O1160="WB7",(S1160*#REF!),0)+(IF(O1160="FX 2003",(S1160*$U$5),0)))</f>
        <v>0</v>
      </c>
      <c r="V1160" s="651">
        <f t="shared" si="113"/>
        <v>0</v>
      </c>
    </row>
    <row r="1161" spans="4:22" x14ac:dyDescent="0.25">
      <c r="D1161" s="118">
        <f>+CUBICACION!D1160</f>
        <v>0</v>
      </c>
      <c r="E1161" s="118">
        <f>+CUBICACION!F1160</f>
        <v>0</v>
      </c>
      <c r="F1161" s="118">
        <f>+CUBICACION!E1160</f>
        <v>0</v>
      </c>
      <c r="G1161" s="118">
        <v>12</v>
      </c>
      <c r="H1161" s="118">
        <v>2</v>
      </c>
      <c r="I1161" s="820">
        <v>26385</v>
      </c>
      <c r="J1161" s="118">
        <f>+CUBICACION!J1160</f>
        <v>0</v>
      </c>
      <c r="K1161" s="118">
        <v>3940</v>
      </c>
      <c r="L1161" s="118">
        <f>+CUBICACION!L1160</f>
        <v>0</v>
      </c>
      <c r="M1161" s="64">
        <f>+CUBICACION!M1160</f>
        <v>0</v>
      </c>
      <c r="N1161" s="824" t="str">
        <f>+CUBICACION!N1160</f>
        <v/>
      </c>
      <c r="O1161" s="675">
        <f>+CUBICACION!O1160</f>
        <v>0</v>
      </c>
      <c r="P1161" s="15">
        <f>IF(O1161="Fire Control",VLOOKUP(_xlfn.MINIFS('FIRE CONTROL'!$C$4:$C$37,'FIRE CONTROL'!$C$4:$C$37,"&gt;="&amp;M1161),'FIRE CONTROL'!$C$4:$G$37,IF(L1161="F-15",2,IF(L1161="F-30",3,IF(L1161="F-60",4,IF(L1161="F-90",5,0)))),0),0)+IF(AND(O1161="FIRE TEX 5062",OR(E1161="IN",E1161="C",E1161="Z",E1161="L"),J1161=3),VLOOKUP(_xlfn.MINIFS('FIRE TEX 5062'!$B$4:$B$34,'FIRE TEX 5062'!$B$4:$B$34,"&gt;="&amp;M1161),'FIRE TEX 5062'!$B$4:$F$34,IF(L1161="F-15",2,IF(L1161="F-30",3,IF(L1161="F-60",4,IF(L1161="F-90",5,0)))),0),0)+IF(AND(O1161="FIRE TEX 5062",OR(E1161="IN",E1161="C",E1161="Z",E1161="L"),J1161=4),VLOOKUP(_xlfn.MINIFS('FIRE TEX 5062'!$G$4:$G$34,'FIRE TEX 5062'!$G$4:$G$34,"&gt;="&amp;M1161),'FIRE TEX 5062'!$G$4:$K$34,IF(L1161="F-15",2,IF(L1161="F-30",3,IF(L1161="F-60",4,IF(L1161="F-90",5,0)))),0),0)+IF(AND(O1161="FIRE TEX 5062",E1161="CJ",J1161=3),VLOOKUP(_xlfn.MINIFS('FIRE TEX 5062'!$L$4:$L$34,'FIRE TEX 5062'!$L$4:$L$34,"&gt;="&amp;M1161),'FIRE TEX 5062'!$L$4:$P$34,IF(L1161="F-15",2,IF(L1161="F-30",3,IF(L1161="F-60",4,IF(L1161="F-90",5,0)))),0),0)+IF(AND(O1161="FIRE TEX 5062",E1161="CJ",J1161=4),VLOOKUP(_xlfn.MINIFS('FIRE TEX 5062'!$Q$3:$Q$34,'FIRE TEX 5062'!$Q$3:$Q$34,"&gt;="&amp;M1161),'FIRE TEX 5062'!$Q$3:$U$34,IF(L1161="F-15",2,IF(L1161="F-30",3,IF(L1161="F-60",4,IF(L1161="F-90",5,0)))),0),0)+IF(AND(O1161="FIRE TEX 5090",OR(E1161="IN",E1161="C",E1161="Z",E1161="L"),J1161=3),VLOOKUP(_xlfn.MINIFS('FIRE TEX 5090'!$B$5:$B$43,'FIRE TEX 5090'!$B$5:$B$43,"&gt;="&amp;M1161),'FIRE TEX 5090'!$B$5:$H$43,IF(L1161="F-15",2,IF(L1161="F-30",3,IF(L1161="F-60",4,IF(L1161="F-90",5,IF(L1161="F-120",6,IF(L1161="F-150",7,0)))))),0),0)+IF(AND(O1161="FIRE TEX 5090",OR(E1161="IN",E1161="C",E1161="Z",E1161="L"),J1161=4),VLOOKUP(_xlfn.MINIFS('FIRE TEX 5090'!$J$5:$J$43,'FIRE TEX 5090'!$J$5:$J$43,"&gt;="&amp;M1161),'FIRE TEX 5090'!$J$5:$P$43,IF(L1161="F-15",2,IF(L1161="F-30",3,IF(L1161="F-60",4,IF(L1161="F-90",5,IF(L1161="F-120",6,IF(L1161="F-150",7,0)))))),0),0)+IF(AND(O1161="FIRE TEX 5090",E1161="CJ",J1161=3),VLOOKUP(_xlfn.MINIFS('FIRE TEX 5090'!$R$5:$R$30,'FIRE TEX 5090'!$R$5:$R$30,"&gt;="&amp;M1161),'FIRE TEX 5090'!$R$5:$W$30,IF(L1161="F-15",2,IF(L1161="F-30",3,IF(L1161="F-60",4,IF(L1161="F-90",5,IF(L1161="F-120",6,IF(L1161="F-150",7,0)))))),0),0)+IF(AND(O1161="FIRE TEX 5090",E1161="CJ",J1161=4),VLOOKUP(_xlfn.MINIFS('FIRE TEX 5090'!$Y$5:$Y$39,'FIRE TEX 5090'!$Y$5:$Y$39,"&gt;="&amp;M1161),'FIRE TEX 5090'!$Y$5:$AD$39,IF(L1161="F-15",2,IF(L1161="F-30",3,IF(L1161="F-60",4,IF(L1161="F-90",5,IF(L1161="F-120",6,IF(L1161="F-150",7,0)))))),0),0)+IF(AND(O1161="FIRE TEX 5120",OR(E1161="IN",E1161="C",E1161="Z",E1161="L"),J1161=3),VLOOKUP(_xlfn.MINIFS('FIRE TEX 5120'!$B$5:$B$40,'FIRE TEX 5120'!$B$5:$B$40,"&gt;="&amp;M1161),'FIRE TEX 5120'!$B$5:$G$40,IF(L1161="F-15",2,IF(L1161="F-30",3,IF(L1161="F-60",4,IF(L1161="F-90",5,IF(L1161="F-120",6,0))))),0),0)+IF(AND(O1161="FIRE TEX 5120",OR(E1161="IN",E1161="C",E1161="Z",E1161="L"),J1161=4),VLOOKUP(_xlfn.MINIFS('FIRE TEX 5120'!$H$4:$H$40,'FIRE TEX 5120'!$H$4:$H$40,"&gt;="&amp;M1161),'FIRE TEX 5120'!$H$4:$M$40,IF(L1161="F-15",2,IF(L1161="F-30",3,IF(L1161="F-60",4,IF(L1161="F-90",5,IF(L1161="F-120",6,0))))),0),0)+IF(AND(O1161="FIRE TEX 5120",E1161="CJ"),VLOOKUP(_xlfn.MINIFS('FIRE TEX 5120'!$O$5:$O$40,'FIRE TEX 5120'!$O$5:$O$40,"&gt;="&amp;M1161),'FIRE TEX 5120'!$O$5:$T$40,IF(L1161="F-15",2,IF(L1161="F-30",3,IF(L1161="F-60",4,IF(L1161="F-90",5,IF(L1161="F-120",6,0))))),0),0)</f>
        <v>0</v>
      </c>
      <c r="Q1161" s="46">
        <f t="shared" si="109"/>
        <v>0</v>
      </c>
      <c r="R1161" s="46">
        <f t="shared" si="110"/>
        <v>0</v>
      </c>
      <c r="S1161" s="46" t="e">
        <f t="shared" si="111"/>
        <v>#VALUE!</v>
      </c>
      <c r="T1161" s="677">
        <f t="shared" si="112"/>
        <v>0</v>
      </c>
      <c r="U1161" s="80">
        <f>(IF(O1161="Stofire",(S1161*#REF!),0))+(IF(O1161="Fire Control",(S1161*$U$2),0))+(IF(O1161="Fire Tex",(S1161*$U$3),0))+(IF(O1161="WB7",(S1161*#REF!),0)+(IF(O1161="FX 2003",(S1161*$U$5),0)))</f>
        <v>0</v>
      </c>
      <c r="V1161" s="651">
        <f t="shared" si="113"/>
        <v>0</v>
      </c>
    </row>
    <row r="1162" spans="4:22" x14ac:dyDescent="0.25">
      <c r="D1162" s="118">
        <f>+CUBICACION!D1161</f>
        <v>0</v>
      </c>
      <c r="E1162" s="118">
        <f>+CUBICACION!F1161</f>
        <v>0</v>
      </c>
      <c r="F1162" s="118">
        <f>+CUBICACION!E1161</f>
        <v>0</v>
      </c>
      <c r="G1162" s="118">
        <v>12</v>
      </c>
      <c r="H1162" s="118">
        <v>2</v>
      </c>
      <c r="I1162" s="820">
        <v>26385</v>
      </c>
      <c r="J1162" s="118">
        <f>+CUBICACION!J1161</f>
        <v>0</v>
      </c>
      <c r="K1162" s="118">
        <v>3941</v>
      </c>
      <c r="L1162" s="118">
        <f>+CUBICACION!L1161</f>
        <v>0</v>
      </c>
      <c r="M1162" s="64">
        <f>+CUBICACION!M1161</f>
        <v>0</v>
      </c>
      <c r="N1162" s="824" t="str">
        <f>+CUBICACION!N1161</f>
        <v/>
      </c>
      <c r="O1162" s="675">
        <f>+CUBICACION!O1161</f>
        <v>0</v>
      </c>
      <c r="P1162" s="15">
        <f>IF(O1162="Fire Control",VLOOKUP(_xlfn.MINIFS('FIRE CONTROL'!$C$4:$C$37,'FIRE CONTROL'!$C$4:$C$37,"&gt;="&amp;M1162),'FIRE CONTROL'!$C$4:$G$37,IF(L1162="F-15",2,IF(L1162="F-30",3,IF(L1162="F-60",4,IF(L1162="F-90",5,0)))),0),0)+IF(AND(O1162="FIRE TEX 5062",OR(E1162="IN",E1162="C",E1162="Z",E1162="L"),J1162=3),VLOOKUP(_xlfn.MINIFS('FIRE TEX 5062'!$B$4:$B$34,'FIRE TEX 5062'!$B$4:$B$34,"&gt;="&amp;M1162),'FIRE TEX 5062'!$B$4:$F$34,IF(L1162="F-15",2,IF(L1162="F-30",3,IF(L1162="F-60",4,IF(L1162="F-90",5,0)))),0),0)+IF(AND(O1162="FIRE TEX 5062",OR(E1162="IN",E1162="C",E1162="Z",E1162="L"),J1162=4),VLOOKUP(_xlfn.MINIFS('FIRE TEX 5062'!$G$4:$G$34,'FIRE TEX 5062'!$G$4:$G$34,"&gt;="&amp;M1162),'FIRE TEX 5062'!$G$4:$K$34,IF(L1162="F-15",2,IF(L1162="F-30",3,IF(L1162="F-60",4,IF(L1162="F-90",5,0)))),0),0)+IF(AND(O1162="FIRE TEX 5062",E1162="CJ",J1162=3),VLOOKUP(_xlfn.MINIFS('FIRE TEX 5062'!$L$4:$L$34,'FIRE TEX 5062'!$L$4:$L$34,"&gt;="&amp;M1162),'FIRE TEX 5062'!$L$4:$P$34,IF(L1162="F-15",2,IF(L1162="F-30",3,IF(L1162="F-60",4,IF(L1162="F-90",5,0)))),0),0)+IF(AND(O1162="FIRE TEX 5062",E1162="CJ",J1162=4),VLOOKUP(_xlfn.MINIFS('FIRE TEX 5062'!$Q$3:$Q$34,'FIRE TEX 5062'!$Q$3:$Q$34,"&gt;="&amp;M1162),'FIRE TEX 5062'!$Q$3:$U$34,IF(L1162="F-15",2,IF(L1162="F-30",3,IF(L1162="F-60",4,IF(L1162="F-90",5,0)))),0),0)+IF(AND(O1162="FIRE TEX 5090",OR(E1162="IN",E1162="C",E1162="Z",E1162="L"),J1162=3),VLOOKUP(_xlfn.MINIFS('FIRE TEX 5090'!$B$5:$B$43,'FIRE TEX 5090'!$B$5:$B$43,"&gt;="&amp;M1162),'FIRE TEX 5090'!$B$5:$H$43,IF(L1162="F-15",2,IF(L1162="F-30",3,IF(L1162="F-60",4,IF(L1162="F-90",5,IF(L1162="F-120",6,IF(L1162="F-150",7,0)))))),0),0)+IF(AND(O1162="FIRE TEX 5090",OR(E1162="IN",E1162="C",E1162="Z",E1162="L"),J1162=4),VLOOKUP(_xlfn.MINIFS('FIRE TEX 5090'!$J$5:$J$43,'FIRE TEX 5090'!$J$5:$J$43,"&gt;="&amp;M1162),'FIRE TEX 5090'!$J$5:$P$43,IF(L1162="F-15",2,IF(L1162="F-30",3,IF(L1162="F-60",4,IF(L1162="F-90",5,IF(L1162="F-120",6,IF(L1162="F-150",7,0)))))),0),0)+IF(AND(O1162="FIRE TEX 5090",E1162="CJ",J1162=3),VLOOKUP(_xlfn.MINIFS('FIRE TEX 5090'!$R$5:$R$30,'FIRE TEX 5090'!$R$5:$R$30,"&gt;="&amp;M1162),'FIRE TEX 5090'!$R$5:$W$30,IF(L1162="F-15",2,IF(L1162="F-30",3,IF(L1162="F-60",4,IF(L1162="F-90",5,IF(L1162="F-120",6,IF(L1162="F-150",7,0)))))),0),0)+IF(AND(O1162="FIRE TEX 5090",E1162="CJ",J1162=4),VLOOKUP(_xlfn.MINIFS('FIRE TEX 5090'!$Y$5:$Y$39,'FIRE TEX 5090'!$Y$5:$Y$39,"&gt;="&amp;M1162),'FIRE TEX 5090'!$Y$5:$AD$39,IF(L1162="F-15",2,IF(L1162="F-30",3,IF(L1162="F-60",4,IF(L1162="F-90",5,IF(L1162="F-120",6,IF(L1162="F-150",7,0)))))),0),0)+IF(AND(O1162="FIRE TEX 5120",OR(E1162="IN",E1162="C",E1162="Z",E1162="L"),J1162=3),VLOOKUP(_xlfn.MINIFS('FIRE TEX 5120'!$B$5:$B$40,'FIRE TEX 5120'!$B$5:$B$40,"&gt;="&amp;M1162),'FIRE TEX 5120'!$B$5:$G$40,IF(L1162="F-15",2,IF(L1162="F-30",3,IF(L1162="F-60",4,IF(L1162="F-90",5,IF(L1162="F-120",6,0))))),0),0)+IF(AND(O1162="FIRE TEX 5120",OR(E1162="IN",E1162="C",E1162="Z",E1162="L"),J1162=4),VLOOKUP(_xlfn.MINIFS('FIRE TEX 5120'!$H$4:$H$40,'FIRE TEX 5120'!$H$4:$H$40,"&gt;="&amp;M1162),'FIRE TEX 5120'!$H$4:$M$40,IF(L1162="F-15",2,IF(L1162="F-30",3,IF(L1162="F-60",4,IF(L1162="F-90",5,IF(L1162="F-120",6,0))))),0),0)+IF(AND(O1162="FIRE TEX 5120",E1162="CJ"),VLOOKUP(_xlfn.MINIFS('FIRE TEX 5120'!$O$5:$O$40,'FIRE TEX 5120'!$O$5:$O$40,"&gt;="&amp;M1162),'FIRE TEX 5120'!$O$5:$T$40,IF(L1162="F-15",2,IF(L1162="F-30",3,IF(L1162="F-60",4,IF(L1162="F-90",5,IF(L1162="F-120",6,0))))),0),0)</f>
        <v>0</v>
      </c>
      <c r="Q1162" s="46">
        <f t="shared" si="109"/>
        <v>0</v>
      </c>
      <c r="R1162" s="46">
        <f t="shared" si="110"/>
        <v>0</v>
      </c>
      <c r="S1162" s="46" t="e">
        <f t="shared" si="111"/>
        <v>#VALUE!</v>
      </c>
      <c r="T1162" s="677">
        <f t="shared" si="112"/>
        <v>0</v>
      </c>
      <c r="U1162" s="80">
        <f>(IF(O1162="Stofire",(S1162*#REF!),0))+(IF(O1162="Fire Control",(S1162*$U$2),0))+(IF(O1162="Fire Tex",(S1162*$U$3),0))+(IF(O1162="WB7",(S1162*#REF!),0)+(IF(O1162="FX 2003",(S1162*$U$5),0)))</f>
        <v>0</v>
      </c>
      <c r="V1162" s="651">
        <f t="shared" si="113"/>
        <v>0</v>
      </c>
    </row>
    <row r="1163" spans="4:22" x14ac:dyDescent="0.25">
      <c r="D1163" s="118">
        <f>+CUBICACION!D1162</f>
        <v>0</v>
      </c>
      <c r="E1163" s="118">
        <f>+CUBICACION!F1162</f>
        <v>0</v>
      </c>
      <c r="F1163" s="118">
        <f>+CUBICACION!E1162</f>
        <v>0</v>
      </c>
      <c r="G1163" s="118">
        <v>12</v>
      </c>
      <c r="H1163" s="118">
        <v>2</v>
      </c>
      <c r="I1163" s="820">
        <v>26385</v>
      </c>
      <c r="J1163" s="118">
        <f>+CUBICACION!J1162</f>
        <v>0</v>
      </c>
      <c r="K1163" s="118">
        <v>3942</v>
      </c>
      <c r="L1163" s="118">
        <f>+CUBICACION!L1162</f>
        <v>0</v>
      </c>
      <c r="M1163" s="64">
        <f>+CUBICACION!M1162</f>
        <v>0</v>
      </c>
      <c r="N1163" s="824" t="str">
        <f>+CUBICACION!N1162</f>
        <v/>
      </c>
      <c r="O1163" s="675">
        <f>+CUBICACION!O1162</f>
        <v>0</v>
      </c>
      <c r="P1163" s="15">
        <f>IF(O1163="Fire Control",VLOOKUP(_xlfn.MINIFS('FIRE CONTROL'!$C$4:$C$37,'FIRE CONTROL'!$C$4:$C$37,"&gt;="&amp;M1163),'FIRE CONTROL'!$C$4:$G$37,IF(L1163="F-15",2,IF(L1163="F-30",3,IF(L1163="F-60",4,IF(L1163="F-90",5,0)))),0),0)+IF(AND(O1163="FIRE TEX 5062",OR(E1163="IN",E1163="C",E1163="Z",E1163="L"),J1163=3),VLOOKUP(_xlfn.MINIFS('FIRE TEX 5062'!$B$4:$B$34,'FIRE TEX 5062'!$B$4:$B$34,"&gt;="&amp;M1163),'FIRE TEX 5062'!$B$4:$F$34,IF(L1163="F-15",2,IF(L1163="F-30",3,IF(L1163="F-60",4,IF(L1163="F-90",5,0)))),0),0)+IF(AND(O1163="FIRE TEX 5062",OR(E1163="IN",E1163="C",E1163="Z",E1163="L"),J1163=4),VLOOKUP(_xlfn.MINIFS('FIRE TEX 5062'!$G$4:$G$34,'FIRE TEX 5062'!$G$4:$G$34,"&gt;="&amp;M1163),'FIRE TEX 5062'!$G$4:$K$34,IF(L1163="F-15",2,IF(L1163="F-30",3,IF(L1163="F-60",4,IF(L1163="F-90",5,0)))),0),0)+IF(AND(O1163="FIRE TEX 5062",E1163="CJ",J1163=3),VLOOKUP(_xlfn.MINIFS('FIRE TEX 5062'!$L$4:$L$34,'FIRE TEX 5062'!$L$4:$L$34,"&gt;="&amp;M1163),'FIRE TEX 5062'!$L$4:$P$34,IF(L1163="F-15",2,IF(L1163="F-30",3,IF(L1163="F-60",4,IF(L1163="F-90",5,0)))),0),0)+IF(AND(O1163="FIRE TEX 5062",E1163="CJ",J1163=4),VLOOKUP(_xlfn.MINIFS('FIRE TEX 5062'!$Q$3:$Q$34,'FIRE TEX 5062'!$Q$3:$Q$34,"&gt;="&amp;M1163),'FIRE TEX 5062'!$Q$3:$U$34,IF(L1163="F-15",2,IF(L1163="F-30",3,IF(L1163="F-60",4,IF(L1163="F-90",5,0)))),0),0)+IF(AND(O1163="FIRE TEX 5090",OR(E1163="IN",E1163="C",E1163="Z",E1163="L"),J1163=3),VLOOKUP(_xlfn.MINIFS('FIRE TEX 5090'!$B$5:$B$43,'FIRE TEX 5090'!$B$5:$B$43,"&gt;="&amp;M1163),'FIRE TEX 5090'!$B$5:$H$43,IF(L1163="F-15",2,IF(L1163="F-30",3,IF(L1163="F-60",4,IF(L1163="F-90",5,IF(L1163="F-120",6,IF(L1163="F-150",7,0)))))),0),0)+IF(AND(O1163="FIRE TEX 5090",OR(E1163="IN",E1163="C",E1163="Z",E1163="L"),J1163=4),VLOOKUP(_xlfn.MINIFS('FIRE TEX 5090'!$J$5:$J$43,'FIRE TEX 5090'!$J$5:$J$43,"&gt;="&amp;M1163),'FIRE TEX 5090'!$J$5:$P$43,IF(L1163="F-15",2,IF(L1163="F-30",3,IF(L1163="F-60",4,IF(L1163="F-90",5,IF(L1163="F-120",6,IF(L1163="F-150",7,0)))))),0),0)+IF(AND(O1163="FIRE TEX 5090",E1163="CJ",J1163=3),VLOOKUP(_xlfn.MINIFS('FIRE TEX 5090'!$R$5:$R$30,'FIRE TEX 5090'!$R$5:$R$30,"&gt;="&amp;M1163),'FIRE TEX 5090'!$R$5:$W$30,IF(L1163="F-15",2,IF(L1163="F-30",3,IF(L1163="F-60",4,IF(L1163="F-90",5,IF(L1163="F-120",6,IF(L1163="F-150",7,0)))))),0),0)+IF(AND(O1163="FIRE TEX 5090",E1163="CJ",J1163=4),VLOOKUP(_xlfn.MINIFS('FIRE TEX 5090'!$Y$5:$Y$39,'FIRE TEX 5090'!$Y$5:$Y$39,"&gt;="&amp;M1163),'FIRE TEX 5090'!$Y$5:$AD$39,IF(L1163="F-15",2,IF(L1163="F-30",3,IF(L1163="F-60",4,IF(L1163="F-90",5,IF(L1163="F-120",6,IF(L1163="F-150",7,0)))))),0),0)+IF(AND(O1163="FIRE TEX 5120",OR(E1163="IN",E1163="C",E1163="Z",E1163="L"),J1163=3),VLOOKUP(_xlfn.MINIFS('FIRE TEX 5120'!$B$5:$B$40,'FIRE TEX 5120'!$B$5:$B$40,"&gt;="&amp;M1163),'FIRE TEX 5120'!$B$5:$G$40,IF(L1163="F-15",2,IF(L1163="F-30",3,IF(L1163="F-60",4,IF(L1163="F-90",5,IF(L1163="F-120",6,0))))),0),0)+IF(AND(O1163="FIRE TEX 5120",OR(E1163="IN",E1163="C",E1163="Z",E1163="L"),J1163=4),VLOOKUP(_xlfn.MINIFS('FIRE TEX 5120'!$H$4:$H$40,'FIRE TEX 5120'!$H$4:$H$40,"&gt;="&amp;M1163),'FIRE TEX 5120'!$H$4:$M$40,IF(L1163="F-15",2,IF(L1163="F-30",3,IF(L1163="F-60",4,IF(L1163="F-90",5,IF(L1163="F-120",6,0))))),0),0)+IF(AND(O1163="FIRE TEX 5120",E1163="CJ"),VLOOKUP(_xlfn.MINIFS('FIRE TEX 5120'!$O$5:$O$40,'FIRE TEX 5120'!$O$5:$O$40,"&gt;="&amp;M1163),'FIRE TEX 5120'!$O$5:$T$40,IF(L1163="F-15",2,IF(L1163="F-30",3,IF(L1163="F-60",4,IF(L1163="F-90",5,IF(L1163="F-120",6,0))))),0),0)</f>
        <v>0</v>
      </c>
      <c r="Q1163" s="46">
        <f t="shared" si="109"/>
        <v>0</v>
      </c>
      <c r="R1163" s="46">
        <f t="shared" si="110"/>
        <v>0</v>
      </c>
      <c r="S1163" s="46" t="e">
        <f t="shared" si="111"/>
        <v>#VALUE!</v>
      </c>
      <c r="T1163" s="677">
        <f t="shared" si="112"/>
        <v>0</v>
      </c>
      <c r="U1163" s="80">
        <f>(IF(O1163="Stofire",(S1163*#REF!),0))+(IF(O1163="Fire Control",(S1163*$U$2),0))+(IF(O1163="Fire Tex",(S1163*$U$3),0))+(IF(O1163="WB7",(S1163*#REF!),0)+(IF(O1163="FX 2003",(S1163*$U$5),0)))</f>
        <v>0</v>
      </c>
      <c r="V1163" s="651">
        <f t="shared" si="113"/>
        <v>0</v>
      </c>
    </row>
    <row r="1164" spans="4:22" x14ac:dyDescent="0.25">
      <c r="D1164" s="118">
        <f>+CUBICACION!D1163</f>
        <v>0</v>
      </c>
      <c r="E1164" s="118">
        <f>+CUBICACION!F1163</f>
        <v>0</v>
      </c>
      <c r="F1164" s="118">
        <f>+CUBICACION!E1163</f>
        <v>0</v>
      </c>
      <c r="G1164" s="118">
        <v>12</v>
      </c>
      <c r="H1164" s="118">
        <v>2</v>
      </c>
      <c r="I1164" s="820">
        <v>26385</v>
      </c>
      <c r="J1164" s="118">
        <f>+CUBICACION!J1163</f>
        <v>0</v>
      </c>
      <c r="K1164" s="118">
        <v>3943</v>
      </c>
      <c r="L1164" s="118">
        <f>+CUBICACION!L1163</f>
        <v>0</v>
      </c>
      <c r="M1164" s="64">
        <f>+CUBICACION!M1163</f>
        <v>0</v>
      </c>
      <c r="N1164" s="824" t="str">
        <f>+CUBICACION!N1163</f>
        <v/>
      </c>
      <c r="O1164" s="675">
        <f>+CUBICACION!O1163</f>
        <v>0</v>
      </c>
      <c r="P1164" s="15">
        <f>IF(O1164="Fire Control",VLOOKUP(_xlfn.MINIFS('FIRE CONTROL'!$C$4:$C$37,'FIRE CONTROL'!$C$4:$C$37,"&gt;="&amp;M1164),'FIRE CONTROL'!$C$4:$G$37,IF(L1164="F-15",2,IF(L1164="F-30",3,IF(L1164="F-60",4,IF(L1164="F-90",5,0)))),0),0)+IF(AND(O1164="FIRE TEX 5062",OR(E1164="IN",E1164="C",E1164="Z",E1164="L"),J1164=3),VLOOKUP(_xlfn.MINIFS('FIRE TEX 5062'!$B$4:$B$34,'FIRE TEX 5062'!$B$4:$B$34,"&gt;="&amp;M1164),'FIRE TEX 5062'!$B$4:$F$34,IF(L1164="F-15",2,IF(L1164="F-30",3,IF(L1164="F-60",4,IF(L1164="F-90",5,0)))),0),0)+IF(AND(O1164="FIRE TEX 5062",OR(E1164="IN",E1164="C",E1164="Z",E1164="L"),J1164=4),VLOOKUP(_xlfn.MINIFS('FIRE TEX 5062'!$G$4:$G$34,'FIRE TEX 5062'!$G$4:$G$34,"&gt;="&amp;M1164),'FIRE TEX 5062'!$G$4:$K$34,IF(L1164="F-15",2,IF(L1164="F-30",3,IF(L1164="F-60",4,IF(L1164="F-90",5,0)))),0),0)+IF(AND(O1164="FIRE TEX 5062",E1164="CJ",J1164=3),VLOOKUP(_xlfn.MINIFS('FIRE TEX 5062'!$L$4:$L$34,'FIRE TEX 5062'!$L$4:$L$34,"&gt;="&amp;M1164),'FIRE TEX 5062'!$L$4:$P$34,IF(L1164="F-15",2,IF(L1164="F-30",3,IF(L1164="F-60",4,IF(L1164="F-90",5,0)))),0),0)+IF(AND(O1164="FIRE TEX 5062",E1164="CJ",J1164=4),VLOOKUP(_xlfn.MINIFS('FIRE TEX 5062'!$Q$3:$Q$34,'FIRE TEX 5062'!$Q$3:$Q$34,"&gt;="&amp;M1164),'FIRE TEX 5062'!$Q$3:$U$34,IF(L1164="F-15",2,IF(L1164="F-30",3,IF(L1164="F-60",4,IF(L1164="F-90",5,0)))),0),0)+IF(AND(O1164="FIRE TEX 5090",OR(E1164="IN",E1164="C",E1164="Z",E1164="L"),J1164=3),VLOOKUP(_xlfn.MINIFS('FIRE TEX 5090'!$B$5:$B$43,'FIRE TEX 5090'!$B$5:$B$43,"&gt;="&amp;M1164),'FIRE TEX 5090'!$B$5:$H$43,IF(L1164="F-15",2,IF(L1164="F-30",3,IF(L1164="F-60",4,IF(L1164="F-90",5,IF(L1164="F-120",6,IF(L1164="F-150",7,0)))))),0),0)+IF(AND(O1164="FIRE TEX 5090",OR(E1164="IN",E1164="C",E1164="Z",E1164="L"),J1164=4),VLOOKUP(_xlfn.MINIFS('FIRE TEX 5090'!$J$5:$J$43,'FIRE TEX 5090'!$J$5:$J$43,"&gt;="&amp;M1164),'FIRE TEX 5090'!$J$5:$P$43,IF(L1164="F-15",2,IF(L1164="F-30",3,IF(L1164="F-60",4,IF(L1164="F-90",5,IF(L1164="F-120",6,IF(L1164="F-150",7,0)))))),0),0)+IF(AND(O1164="FIRE TEX 5090",E1164="CJ",J1164=3),VLOOKUP(_xlfn.MINIFS('FIRE TEX 5090'!$R$5:$R$30,'FIRE TEX 5090'!$R$5:$R$30,"&gt;="&amp;M1164),'FIRE TEX 5090'!$R$5:$W$30,IF(L1164="F-15",2,IF(L1164="F-30",3,IF(L1164="F-60",4,IF(L1164="F-90",5,IF(L1164="F-120",6,IF(L1164="F-150",7,0)))))),0),0)+IF(AND(O1164="FIRE TEX 5090",E1164="CJ",J1164=4),VLOOKUP(_xlfn.MINIFS('FIRE TEX 5090'!$Y$5:$Y$39,'FIRE TEX 5090'!$Y$5:$Y$39,"&gt;="&amp;M1164),'FIRE TEX 5090'!$Y$5:$AD$39,IF(L1164="F-15",2,IF(L1164="F-30",3,IF(L1164="F-60",4,IF(L1164="F-90",5,IF(L1164="F-120",6,IF(L1164="F-150",7,0)))))),0),0)+IF(AND(O1164="FIRE TEX 5120",OR(E1164="IN",E1164="C",E1164="Z",E1164="L"),J1164=3),VLOOKUP(_xlfn.MINIFS('FIRE TEX 5120'!$B$5:$B$40,'FIRE TEX 5120'!$B$5:$B$40,"&gt;="&amp;M1164),'FIRE TEX 5120'!$B$5:$G$40,IF(L1164="F-15",2,IF(L1164="F-30",3,IF(L1164="F-60",4,IF(L1164="F-90",5,IF(L1164="F-120",6,0))))),0),0)+IF(AND(O1164="FIRE TEX 5120",OR(E1164="IN",E1164="C",E1164="Z",E1164="L"),J1164=4),VLOOKUP(_xlfn.MINIFS('FIRE TEX 5120'!$H$4:$H$40,'FIRE TEX 5120'!$H$4:$H$40,"&gt;="&amp;M1164),'FIRE TEX 5120'!$H$4:$M$40,IF(L1164="F-15",2,IF(L1164="F-30",3,IF(L1164="F-60",4,IF(L1164="F-90",5,IF(L1164="F-120",6,0))))),0),0)+IF(AND(O1164="FIRE TEX 5120",E1164="CJ"),VLOOKUP(_xlfn.MINIFS('FIRE TEX 5120'!$O$5:$O$40,'FIRE TEX 5120'!$O$5:$O$40,"&gt;="&amp;M1164),'FIRE TEX 5120'!$O$5:$T$40,IF(L1164="F-15",2,IF(L1164="F-30",3,IF(L1164="F-60",4,IF(L1164="F-90",5,IF(L1164="F-120",6,0))))),0),0)</f>
        <v>0</v>
      </c>
      <c r="Q1164" s="46">
        <f t="shared" si="109"/>
        <v>0</v>
      </c>
      <c r="R1164" s="46">
        <f t="shared" si="110"/>
        <v>0</v>
      </c>
      <c r="S1164" s="46" t="e">
        <f t="shared" si="111"/>
        <v>#VALUE!</v>
      </c>
      <c r="T1164" s="677">
        <f t="shared" si="112"/>
        <v>0</v>
      </c>
      <c r="U1164" s="80">
        <f>(IF(O1164="Stofire",(S1164*#REF!),0))+(IF(O1164="Fire Control",(S1164*$U$2),0))+(IF(O1164="Fire Tex",(S1164*$U$3),0))+(IF(O1164="WB7",(S1164*#REF!),0)+(IF(O1164="FX 2003",(S1164*$U$5),0)))</f>
        <v>0</v>
      </c>
      <c r="V1164" s="651">
        <f t="shared" si="113"/>
        <v>0</v>
      </c>
    </row>
    <row r="1165" spans="4:22" x14ac:dyDescent="0.25">
      <c r="D1165" s="118">
        <f>+CUBICACION!D1164</f>
        <v>0</v>
      </c>
      <c r="E1165" s="118">
        <f>+CUBICACION!F1164</f>
        <v>0</v>
      </c>
      <c r="F1165" s="118">
        <f>+CUBICACION!E1164</f>
        <v>0</v>
      </c>
      <c r="G1165" s="118">
        <v>12</v>
      </c>
      <c r="H1165" s="118">
        <v>2</v>
      </c>
      <c r="I1165" s="820">
        <v>26385</v>
      </c>
      <c r="J1165" s="118">
        <f>+CUBICACION!J1164</f>
        <v>0</v>
      </c>
      <c r="K1165" s="118">
        <v>3944</v>
      </c>
      <c r="L1165" s="118">
        <f>+CUBICACION!L1164</f>
        <v>0</v>
      </c>
      <c r="M1165" s="64">
        <f>+CUBICACION!M1164</f>
        <v>0</v>
      </c>
      <c r="N1165" s="824" t="str">
        <f>+CUBICACION!N1164</f>
        <v/>
      </c>
      <c r="O1165" s="675">
        <f>+CUBICACION!O1164</f>
        <v>0</v>
      </c>
      <c r="P1165" s="15">
        <f>IF(O1165="Fire Control",VLOOKUP(_xlfn.MINIFS('FIRE CONTROL'!$C$4:$C$37,'FIRE CONTROL'!$C$4:$C$37,"&gt;="&amp;M1165),'FIRE CONTROL'!$C$4:$G$37,IF(L1165="F-15",2,IF(L1165="F-30",3,IF(L1165="F-60",4,IF(L1165="F-90",5,0)))),0),0)+IF(AND(O1165="FIRE TEX 5062",OR(E1165="IN",E1165="C",E1165="Z",E1165="L"),J1165=3),VLOOKUP(_xlfn.MINIFS('FIRE TEX 5062'!$B$4:$B$34,'FIRE TEX 5062'!$B$4:$B$34,"&gt;="&amp;M1165),'FIRE TEX 5062'!$B$4:$F$34,IF(L1165="F-15",2,IF(L1165="F-30",3,IF(L1165="F-60",4,IF(L1165="F-90",5,0)))),0),0)+IF(AND(O1165="FIRE TEX 5062",OR(E1165="IN",E1165="C",E1165="Z",E1165="L"),J1165=4),VLOOKUP(_xlfn.MINIFS('FIRE TEX 5062'!$G$4:$G$34,'FIRE TEX 5062'!$G$4:$G$34,"&gt;="&amp;M1165),'FIRE TEX 5062'!$G$4:$K$34,IF(L1165="F-15",2,IF(L1165="F-30",3,IF(L1165="F-60",4,IF(L1165="F-90",5,0)))),0),0)+IF(AND(O1165="FIRE TEX 5062",E1165="CJ",J1165=3),VLOOKUP(_xlfn.MINIFS('FIRE TEX 5062'!$L$4:$L$34,'FIRE TEX 5062'!$L$4:$L$34,"&gt;="&amp;M1165),'FIRE TEX 5062'!$L$4:$P$34,IF(L1165="F-15",2,IF(L1165="F-30",3,IF(L1165="F-60",4,IF(L1165="F-90",5,0)))),0),0)+IF(AND(O1165="FIRE TEX 5062",E1165="CJ",J1165=4),VLOOKUP(_xlfn.MINIFS('FIRE TEX 5062'!$Q$3:$Q$34,'FIRE TEX 5062'!$Q$3:$Q$34,"&gt;="&amp;M1165),'FIRE TEX 5062'!$Q$3:$U$34,IF(L1165="F-15",2,IF(L1165="F-30",3,IF(L1165="F-60",4,IF(L1165="F-90",5,0)))),0),0)+IF(AND(O1165="FIRE TEX 5090",OR(E1165="IN",E1165="C",E1165="Z",E1165="L"),J1165=3),VLOOKUP(_xlfn.MINIFS('FIRE TEX 5090'!$B$5:$B$43,'FIRE TEX 5090'!$B$5:$B$43,"&gt;="&amp;M1165),'FIRE TEX 5090'!$B$5:$H$43,IF(L1165="F-15",2,IF(L1165="F-30",3,IF(L1165="F-60",4,IF(L1165="F-90",5,IF(L1165="F-120",6,IF(L1165="F-150",7,0)))))),0),0)+IF(AND(O1165="FIRE TEX 5090",OR(E1165="IN",E1165="C",E1165="Z",E1165="L"),J1165=4),VLOOKUP(_xlfn.MINIFS('FIRE TEX 5090'!$J$5:$J$43,'FIRE TEX 5090'!$J$5:$J$43,"&gt;="&amp;M1165),'FIRE TEX 5090'!$J$5:$P$43,IF(L1165="F-15",2,IF(L1165="F-30",3,IF(L1165="F-60",4,IF(L1165="F-90",5,IF(L1165="F-120",6,IF(L1165="F-150",7,0)))))),0),0)+IF(AND(O1165="FIRE TEX 5090",E1165="CJ",J1165=3),VLOOKUP(_xlfn.MINIFS('FIRE TEX 5090'!$R$5:$R$30,'FIRE TEX 5090'!$R$5:$R$30,"&gt;="&amp;M1165),'FIRE TEX 5090'!$R$5:$W$30,IF(L1165="F-15",2,IF(L1165="F-30",3,IF(L1165="F-60",4,IF(L1165="F-90",5,IF(L1165="F-120",6,IF(L1165="F-150",7,0)))))),0),0)+IF(AND(O1165="FIRE TEX 5090",E1165="CJ",J1165=4),VLOOKUP(_xlfn.MINIFS('FIRE TEX 5090'!$Y$5:$Y$39,'FIRE TEX 5090'!$Y$5:$Y$39,"&gt;="&amp;M1165),'FIRE TEX 5090'!$Y$5:$AD$39,IF(L1165="F-15",2,IF(L1165="F-30",3,IF(L1165="F-60",4,IF(L1165="F-90",5,IF(L1165="F-120",6,IF(L1165="F-150",7,0)))))),0),0)+IF(AND(O1165="FIRE TEX 5120",OR(E1165="IN",E1165="C",E1165="Z",E1165="L"),J1165=3),VLOOKUP(_xlfn.MINIFS('FIRE TEX 5120'!$B$5:$B$40,'FIRE TEX 5120'!$B$5:$B$40,"&gt;="&amp;M1165),'FIRE TEX 5120'!$B$5:$G$40,IF(L1165="F-15",2,IF(L1165="F-30",3,IF(L1165="F-60",4,IF(L1165="F-90",5,IF(L1165="F-120",6,0))))),0),0)+IF(AND(O1165="FIRE TEX 5120",OR(E1165="IN",E1165="C",E1165="Z",E1165="L"),J1165=4),VLOOKUP(_xlfn.MINIFS('FIRE TEX 5120'!$H$4:$H$40,'FIRE TEX 5120'!$H$4:$H$40,"&gt;="&amp;M1165),'FIRE TEX 5120'!$H$4:$M$40,IF(L1165="F-15",2,IF(L1165="F-30",3,IF(L1165="F-60",4,IF(L1165="F-90",5,IF(L1165="F-120",6,0))))),0),0)+IF(AND(O1165="FIRE TEX 5120",E1165="CJ"),VLOOKUP(_xlfn.MINIFS('FIRE TEX 5120'!$O$5:$O$40,'FIRE TEX 5120'!$O$5:$O$40,"&gt;="&amp;M1165),'FIRE TEX 5120'!$O$5:$T$40,IF(L1165="F-15",2,IF(L1165="F-30",3,IF(L1165="F-60",4,IF(L1165="F-90",5,IF(L1165="F-120",6,0))))),0),0)</f>
        <v>0</v>
      </c>
      <c r="Q1165" s="46">
        <f t="shared" si="109"/>
        <v>0</v>
      </c>
      <c r="R1165" s="46">
        <f t="shared" si="110"/>
        <v>0</v>
      </c>
      <c r="S1165" s="46" t="e">
        <f t="shared" si="111"/>
        <v>#VALUE!</v>
      </c>
      <c r="T1165" s="677">
        <f t="shared" si="112"/>
        <v>0</v>
      </c>
      <c r="U1165" s="80">
        <f>(IF(O1165="Stofire",(S1165*#REF!),0))+(IF(O1165="Fire Control",(S1165*$U$2),0))+(IF(O1165="Fire Tex",(S1165*$U$3),0))+(IF(O1165="WB7",(S1165*#REF!),0)+(IF(O1165="FX 2003",(S1165*$U$5),0)))</f>
        <v>0</v>
      </c>
      <c r="V1165" s="651">
        <f t="shared" si="113"/>
        <v>0</v>
      </c>
    </row>
    <row r="1166" spans="4:22" x14ac:dyDescent="0.25">
      <c r="D1166" s="118">
        <f>+CUBICACION!D1165</f>
        <v>0</v>
      </c>
      <c r="E1166" s="118">
        <f>+CUBICACION!F1165</f>
        <v>0</v>
      </c>
      <c r="F1166" s="118">
        <f>+CUBICACION!E1165</f>
        <v>0</v>
      </c>
      <c r="G1166" s="118">
        <v>12</v>
      </c>
      <c r="H1166" s="118">
        <v>2</v>
      </c>
      <c r="I1166" s="820">
        <v>26385</v>
      </c>
      <c r="J1166" s="118">
        <f>+CUBICACION!J1165</f>
        <v>0</v>
      </c>
      <c r="K1166" s="118">
        <v>3945</v>
      </c>
      <c r="L1166" s="118">
        <f>+CUBICACION!L1165</f>
        <v>0</v>
      </c>
      <c r="M1166" s="64">
        <f>+CUBICACION!M1165</f>
        <v>0</v>
      </c>
      <c r="N1166" s="824" t="str">
        <f>+CUBICACION!N1165</f>
        <v/>
      </c>
      <c r="O1166" s="675">
        <f>+CUBICACION!O1165</f>
        <v>0</v>
      </c>
      <c r="P1166" s="15">
        <f>IF(O1166="Fire Control",VLOOKUP(_xlfn.MINIFS('FIRE CONTROL'!$C$4:$C$37,'FIRE CONTROL'!$C$4:$C$37,"&gt;="&amp;M1166),'FIRE CONTROL'!$C$4:$G$37,IF(L1166="F-15",2,IF(L1166="F-30",3,IF(L1166="F-60",4,IF(L1166="F-90",5,0)))),0),0)+IF(AND(O1166="FIRE TEX 5062",OR(E1166="IN",E1166="C",E1166="Z",E1166="L"),J1166=3),VLOOKUP(_xlfn.MINIFS('FIRE TEX 5062'!$B$4:$B$34,'FIRE TEX 5062'!$B$4:$B$34,"&gt;="&amp;M1166),'FIRE TEX 5062'!$B$4:$F$34,IF(L1166="F-15",2,IF(L1166="F-30",3,IF(L1166="F-60",4,IF(L1166="F-90",5,0)))),0),0)+IF(AND(O1166="FIRE TEX 5062",OR(E1166="IN",E1166="C",E1166="Z",E1166="L"),J1166=4),VLOOKUP(_xlfn.MINIFS('FIRE TEX 5062'!$G$4:$G$34,'FIRE TEX 5062'!$G$4:$G$34,"&gt;="&amp;M1166),'FIRE TEX 5062'!$G$4:$K$34,IF(L1166="F-15",2,IF(L1166="F-30",3,IF(L1166="F-60",4,IF(L1166="F-90",5,0)))),0),0)+IF(AND(O1166="FIRE TEX 5062",E1166="CJ",J1166=3),VLOOKUP(_xlfn.MINIFS('FIRE TEX 5062'!$L$4:$L$34,'FIRE TEX 5062'!$L$4:$L$34,"&gt;="&amp;M1166),'FIRE TEX 5062'!$L$4:$P$34,IF(L1166="F-15",2,IF(L1166="F-30",3,IF(L1166="F-60",4,IF(L1166="F-90",5,0)))),0),0)+IF(AND(O1166="FIRE TEX 5062",E1166="CJ",J1166=4),VLOOKUP(_xlfn.MINIFS('FIRE TEX 5062'!$Q$3:$Q$34,'FIRE TEX 5062'!$Q$3:$Q$34,"&gt;="&amp;M1166),'FIRE TEX 5062'!$Q$3:$U$34,IF(L1166="F-15",2,IF(L1166="F-30",3,IF(L1166="F-60",4,IF(L1166="F-90",5,0)))),0),0)+IF(AND(O1166="FIRE TEX 5090",OR(E1166="IN",E1166="C",E1166="Z",E1166="L"),J1166=3),VLOOKUP(_xlfn.MINIFS('FIRE TEX 5090'!$B$5:$B$43,'FIRE TEX 5090'!$B$5:$B$43,"&gt;="&amp;M1166),'FIRE TEX 5090'!$B$5:$H$43,IF(L1166="F-15",2,IF(L1166="F-30",3,IF(L1166="F-60",4,IF(L1166="F-90",5,IF(L1166="F-120",6,IF(L1166="F-150",7,0)))))),0),0)+IF(AND(O1166="FIRE TEX 5090",OR(E1166="IN",E1166="C",E1166="Z",E1166="L"),J1166=4),VLOOKUP(_xlfn.MINIFS('FIRE TEX 5090'!$J$5:$J$43,'FIRE TEX 5090'!$J$5:$J$43,"&gt;="&amp;M1166),'FIRE TEX 5090'!$J$5:$P$43,IF(L1166="F-15",2,IF(L1166="F-30",3,IF(L1166="F-60",4,IF(L1166="F-90",5,IF(L1166="F-120",6,IF(L1166="F-150",7,0)))))),0),0)+IF(AND(O1166="FIRE TEX 5090",E1166="CJ",J1166=3),VLOOKUP(_xlfn.MINIFS('FIRE TEX 5090'!$R$5:$R$30,'FIRE TEX 5090'!$R$5:$R$30,"&gt;="&amp;M1166),'FIRE TEX 5090'!$R$5:$W$30,IF(L1166="F-15",2,IF(L1166="F-30",3,IF(L1166="F-60",4,IF(L1166="F-90",5,IF(L1166="F-120",6,IF(L1166="F-150",7,0)))))),0),0)+IF(AND(O1166="FIRE TEX 5090",E1166="CJ",J1166=4),VLOOKUP(_xlfn.MINIFS('FIRE TEX 5090'!$Y$5:$Y$39,'FIRE TEX 5090'!$Y$5:$Y$39,"&gt;="&amp;M1166),'FIRE TEX 5090'!$Y$5:$AD$39,IF(L1166="F-15",2,IF(L1166="F-30",3,IF(L1166="F-60",4,IF(L1166="F-90",5,IF(L1166="F-120",6,IF(L1166="F-150",7,0)))))),0),0)+IF(AND(O1166="FIRE TEX 5120",OR(E1166="IN",E1166="C",E1166="Z",E1166="L"),J1166=3),VLOOKUP(_xlfn.MINIFS('FIRE TEX 5120'!$B$5:$B$40,'FIRE TEX 5120'!$B$5:$B$40,"&gt;="&amp;M1166),'FIRE TEX 5120'!$B$5:$G$40,IF(L1166="F-15",2,IF(L1166="F-30",3,IF(L1166="F-60",4,IF(L1166="F-90",5,IF(L1166="F-120",6,0))))),0),0)+IF(AND(O1166="FIRE TEX 5120",OR(E1166="IN",E1166="C",E1166="Z",E1166="L"),J1166=4),VLOOKUP(_xlfn.MINIFS('FIRE TEX 5120'!$H$4:$H$40,'FIRE TEX 5120'!$H$4:$H$40,"&gt;="&amp;M1166),'FIRE TEX 5120'!$H$4:$M$40,IF(L1166="F-15",2,IF(L1166="F-30",3,IF(L1166="F-60",4,IF(L1166="F-90",5,IF(L1166="F-120",6,0))))),0),0)+IF(AND(O1166="FIRE TEX 5120",E1166="CJ"),VLOOKUP(_xlfn.MINIFS('FIRE TEX 5120'!$O$5:$O$40,'FIRE TEX 5120'!$O$5:$O$40,"&gt;="&amp;M1166),'FIRE TEX 5120'!$O$5:$T$40,IF(L1166="F-15",2,IF(L1166="F-30",3,IF(L1166="F-60",4,IF(L1166="F-90",5,IF(L1166="F-120",6,0))))),0),0)</f>
        <v>0</v>
      </c>
      <c r="Q1166" s="46">
        <f t="shared" si="109"/>
        <v>0</v>
      </c>
      <c r="R1166" s="46">
        <f t="shared" si="110"/>
        <v>0</v>
      </c>
      <c r="S1166" s="46" t="e">
        <f t="shared" si="111"/>
        <v>#VALUE!</v>
      </c>
      <c r="T1166" s="677">
        <f t="shared" si="112"/>
        <v>0</v>
      </c>
      <c r="U1166" s="80">
        <f>(IF(O1166="Stofire",(S1166*#REF!),0))+(IF(O1166="Fire Control",(S1166*$U$2),0))+(IF(O1166="Fire Tex",(S1166*$U$3),0))+(IF(O1166="WB7",(S1166*#REF!),0)+(IF(O1166="FX 2003",(S1166*$U$5),0)))</f>
        <v>0</v>
      </c>
      <c r="V1166" s="651">
        <f t="shared" si="113"/>
        <v>0</v>
      </c>
    </row>
    <row r="1167" spans="4:22" x14ac:dyDescent="0.25">
      <c r="D1167" s="118">
        <f>+CUBICACION!D1166</f>
        <v>0</v>
      </c>
      <c r="E1167" s="118">
        <f>+CUBICACION!F1166</f>
        <v>0</v>
      </c>
      <c r="F1167" s="118">
        <f>+CUBICACION!E1166</f>
        <v>0</v>
      </c>
      <c r="G1167" s="118">
        <v>12</v>
      </c>
      <c r="H1167" s="118">
        <v>2</v>
      </c>
      <c r="I1167" s="820">
        <v>26385</v>
      </c>
      <c r="J1167" s="118">
        <f>+CUBICACION!J1166</f>
        <v>0</v>
      </c>
      <c r="K1167" s="118">
        <v>3946</v>
      </c>
      <c r="L1167" s="118">
        <f>+CUBICACION!L1166</f>
        <v>0</v>
      </c>
      <c r="M1167" s="64">
        <f>+CUBICACION!M1166</f>
        <v>0</v>
      </c>
      <c r="N1167" s="824" t="str">
        <f>+CUBICACION!N1166</f>
        <v/>
      </c>
      <c r="O1167" s="675">
        <f>+CUBICACION!O1166</f>
        <v>0</v>
      </c>
      <c r="P1167" s="15">
        <f>IF(O1167="Fire Control",VLOOKUP(_xlfn.MINIFS('FIRE CONTROL'!$C$4:$C$37,'FIRE CONTROL'!$C$4:$C$37,"&gt;="&amp;M1167),'FIRE CONTROL'!$C$4:$G$37,IF(L1167="F-15",2,IF(L1167="F-30",3,IF(L1167="F-60",4,IF(L1167="F-90",5,0)))),0),0)+IF(AND(O1167="FIRE TEX 5062",OR(E1167="IN",E1167="C",E1167="Z",E1167="L"),J1167=3),VLOOKUP(_xlfn.MINIFS('FIRE TEX 5062'!$B$4:$B$34,'FIRE TEX 5062'!$B$4:$B$34,"&gt;="&amp;M1167),'FIRE TEX 5062'!$B$4:$F$34,IF(L1167="F-15",2,IF(L1167="F-30",3,IF(L1167="F-60",4,IF(L1167="F-90",5,0)))),0),0)+IF(AND(O1167="FIRE TEX 5062",OR(E1167="IN",E1167="C",E1167="Z",E1167="L"),J1167=4),VLOOKUP(_xlfn.MINIFS('FIRE TEX 5062'!$G$4:$G$34,'FIRE TEX 5062'!$G$4:$G$34,"&gt;="&amp;M1167),'FIRE TEX 5062'!$G$4:$K$34,IF(L1167="F-15",2,IF(L1167="F-30",3,IF(L1167="F-60",4,IF(L1167="F-90",5,0)))),0),0)+IF(AND(O1167="FIRE TEX 5062",E1167="CJ",J1167=3),VLOOKUP(_xlfn.MINIFS('FIRE TEX 5062'!$L$4:$L$34,'FIRE TEX 5062'!$L$4:$L$34,"&gt;="&amp;M1167),'FIRE TEX 5062'!$L$4:$P$34,IF(L1167="F-15",2,IF(L1167="F-30",3,IF(L1167="F-60",4,IF(L1167="F-90",5,0)))),0),0)+IF(AND(O1167="FIRE TEX 5062",E1167="CJ",J1167=4),VLOOKUP(_xlfn.MINIFS('FIRE TEX 5062'!$Q$3:$Q$34,'FIRE TEX 5062'!$Q$3:$Q$34,"&gt;="&amp;M1167),'FIRE TEX 5062'!$Q$3:$U$34,IF(L1167="F-15",2,IF(L1167="F-30",3,IF(L1167="F-60",4,IF(L1167="F-90",5,0)))),0),0)+IF(AND(O1167="FIRE TEX 5090",OR(E1167="IN",E1167="C",E1167="Z",E1167="L"),J1167=3),VLOOKUP(_xlfn.MINIFS('FIRE TEX 5090'!$B$5:$B$43,'FIRE TEX 5090'!$B$5:$B$43,"&gt;="&amp;M1167),'FIRE TEX 5090'!$B$5:$H$43,IF(L1167="F-15",2,IF(L1167="F-30",3,IF(L1167="F-60",4,IF(L1167="F-90",5,IF(L1167="F-120",6,IF(L1167="F-150",7,0)))))),0),0)+IF(AND(O1167="FIRE TEX 5090",OR(E1167="IN",E1167="C",E1167="Z",E1167="L"),J1167=4),VLOOKUP(_xlfn.MINIFS('FIRE TEX 5090'!$J$5:$J$43,'FIRE TEX 5090'!$J$5:$J$43,"&gt;="&amp;M1167),'FIRE TEX 5090'!$J$5:$P$43,IF(L1167="F-15",2,IF(L1167="F-30",3,IF(L1167="F-60",4,IF(L1167="F-90",5,IF(L1167="F-120",6,IF(L1167="F-150",7,0)))))),0),0)+IF(AND(O1167="FIRE TEX 5090",E1167="CJ",J1167=3),VLOOKUP(_xlfn.MINIFS('FIRE TEX 5090'!$R$5:$R$30,'FIRE TEX 5090'!$R$5:$R$30,"&gt;="&amp;M1167),'FIRE TEX 5090'!$R$5:$W$30,IF(L1167="F-15",2,IF(L1167="F-30",3,IF(L1167="F-60",4,IF(L1167="F-90",5,IF(L1167="F-120",6,IF(L1167="F-150",7,0)))))),0),0)+IF(AND(O1167="FIRE TEX 5090",E1167="CJ",J1167=4),VLOOKUP(_xlfn.MINIFS('FIRE TEX 5090'!$Y$5:$Y$39,'FIRE TEX 5090'!$Y$5:$Y$39,"&gt;="&amp;M1167),'FIRE TEX 5090'!$Y$5:$AD$39,IF(L1167="F-15",2,IF(L1167="F-30",3,IF(L1167="F-60",4,IF(L1167="F-90",5,IF(L1167="F-120",6,IF(L1167="F-150",7,0)))))),0),0)+IF(AND(O1167="FIRE TEX 5120",OR(E1167="IN",E1167="C",E1167="Z",E1167="L"),J1167=3),VLOOKUP(_xlfn.MINIFS('FIRE TEX 5120'!$B$5:$B$40,'FIRE TEX 5120'!$B$5:$B$40,"&gt;="&amp;M1167),'FIRE TEX 5120'!$B$5:$G$40,IF(L1167="F-15",2,IF(L1167="F-30",3,IF(L1167="F-60",4,IF(L1167="F-90",5,IF(L1167="F-120",6,0))))),0),0)+IF(AND(O1167="FIRE TEX 5120",OR(E1167="IN",E1167="C",E1167="Z",E1167="L"),J1167=4),VLOOKUP(_xlfn.MINIFS('FIRE TEX 5120'!$H$4:$H$40,'FIRE TEX 5120'!$H$4:$H$40,"&gt;="&amp;M1167),'FIRE TEX 5120'!$H$4:$M$40,IF(L1167="F-15",2,IF(L1167="F-30",3,IF(L1167="F-60",4,IF(L1167="F-90",5,IF(L1167="F-120",6,0))))),0),0)+IF(AND(O1167="FIRE TEX 5120",E1167="CJ"),VLOOKUP(_xlfn.MINIFS('FIRE TEX 5120'!$O$5:$O$40,'FIRE TEX 5120'!$O$5:$O$40,"&gt;="&amp;M1167),'FIRE TEX 5120'!$O$5:$T$40,IF(L1167="F-15",2,IF(L1167="F-30",3,IF(L1167="F-60",4,IF(L1167="F-90",5,IF(L1167="F-120",6,0))))),0),0)</f>
        <v>0</v>
      </c>
      <c r="Q1167" s="46">
        <f t="shared" si="109"/>
        <v>0</v>
      </c>
      <c r="R1167" s="46">
        <f t="shared" si="110"/>
        <v>0</v>
      </c>
      <c r="S1167" s="46" t="e">
        <f t="shared" si="111"/>
        <v>#VALUE!</v>
      </c>
      <c r="T1167" s="677">
        <f t="shared" si="112"/>
        <v>0</v>
      </c>
      <c r="U1167" s="80">
        <f>(IF(O1167="Stofire",(S1167*#REF!),0))+(IF(O1167="Fire Control",(S1167*$U$2),0))+(IF(O1167="Fire Tex",(S1167*$U$3),0))+(IF(O1167="WB7",(S1167*#REF!),0)+(IF(O1167="FX 2003",(S1167*$U$5),0)))</f>
        <v>0</v>
      </c>
      <c r="V1167" s="651">
        <f t="shared" si="113"/>
        <v>0</v>
      </c>
    </row>
    <row r="1168" spans="4:22" x14ac:dyDescent="0.25">
      <c r="D1168" s="118">
        <f>+CUBICACION!D1167</f>
        <v>0</v>
      </c>
      <c r="E1168" s="118">
        <f>+CUBICACION!F1167</f>
        <v>0</v>
      </c>
      <c r="F1168" s="118">
        <f>+CUBICACION!E1167</f>
        <v>0</v>
      </c>
      <c r="G1168" s="118">
        <v>12</v>
      </c>
      <c r="H1168" s="118">
        <v>2</v>
      </c>
      <c r="I1168" s="820">
        <v>26385</v>
      </c>
      <c r="J1168" s="118">
        <f>+CUBICACION!J1167</f>
        <v>0</v>
      </c>
      <c r="K1168" s="118">
        <v>3947</v>
      </c>
      <c r="L1168" s="118">
        <f>+CUBICACION!L1167</f>
        <v>0</v>
      </c>
      <c r="M1168" s="64">
        <f>+CUBICACION!M1167</f>
        <v>0</v>
      </c>
      <c r="N1168" s="824" t="str">
        <f>+CUBICACION!N1167</f>
        <v/>
      </c>
      <c r="O1168" s="675">
        <f>+CUBICACION!O1167</f>
        <v>0</v>
      </c>
      <c r="P1168" s="15">
        <f>IF(O1168="Fire Control",VLOOKUP(_xlfn.MINIFS('FIRE CONTROL'!$C$4:$C$37,'FIRE CONTROL'!$C$4:$C$37,"&gt;="&amp;M1168),'FIRE CONTROL'!$C$4:$G$37,IF(L1168="F-15",2,IF(L1168="F-30",3,IF(L1168="F-60",4,IF(L1168="F-90",5,0)))),0),0)+IF(AND(O1168="FIRE TEX 5062",OR(E1168="IN",E1168="C",E1168="Z",E1168="L"),J1168=3),VLOOKUP(_xlfn.MINIFS('FIRE TEX 5062'!$B$4:$B$34,'FIRE TEX 5062'!$B$4:$B$34,"&gt;="&amp;M1168),'FIRE TEX 5062'!$B$4:$F$34,IF(L1168="F-15",2,IF(L1168="F-30",3,IF(L1168="F-60",4,IF(L1168="F-90",5,0)))),0),0)+IF(AND(O1168="FIRE TEX 5062",OR(E1168="IN",E1168="C",E1168="Z",E1168="L"),J1168=4),VLOOKUP(_xlfn.MINIFS('FIRE TEX 5062'!$G$4:$G$34,'FIRE TEX 5062'!$G$4:$G$34,"&gt;="&amp;M1168),'FIRE TEX 5062'!$G$4:$K$34,IF(L1168="F-15",2,IF(L1168="F-30",3,IF(L1168="F-60",4,IF(L1168="F-90",5,0)))),0),0)+IF(AND(O1168="FIRE TEX 5062",E1168="CJ",J1168=3),VLOOKUP(_xlfn.MINIFS('FIRE TEX 5062'!$L$4:$L$34,'FIRE TEX 5062'!$L$4:$L$34,"&gt;="&amp;M1168),'FIRE TEX 5062'!$L$4:$P$34,IF(L1168="F-15",2,IF(L1168="F-30",3,IF(L1168="F-60",4,IF(L1168="F-90",5,0)))),0),0)+IF(AND(O1168="FIRE TEX 5062",E1168="CJ",J1168=4),VLOOKUP(_xlfn.MINIFS('FIRE TEX 5062'!$Q$3:$Q$34,'FIRE TEX 5062'!$Q$3:$Q$34,"&gt;="&amp;M1168),'FIRE TEX 5062'!$Q$3:$U$34,IF(L1168="F-15",2,IF(L1168="F-30",3,IF(L1168="F-60",4,IF(L1168="F-90",5,0)))),0),0)+IF(AND(O1168="FIRE TEX 5090",OR(E1168="IN",E1168="C",E1168="Z",E1168="L"),J1168=3),VLOOKUP(_xlfn.MINIFS('FIRE TEX 5090'!$B$5:$B$43,'FIRE TEX 5090'!$B$5:$B$43,"&gt;="&amp;M1168),'FIRE TEX 5090'!$B$5:$H$43,IF(L1168="F-15",2,IF(L1168="F-30",3,IF(L1168="F-60",4,IF(L1168="F-90",5,IF(L1168="F-120",6,IF(L1168="F-150",7,0)))))),0),0)+IF(AND(O1168="FIRE TEX 5090",OR(E1168="IN",E1168="C",E1168="Z",E1168="L"),J1168=4),VLOOKUP(_xlfn.MINIFS('FIRE TEX 5090'!$J$5:$J$43,'FIRE TEX 5090'!$J$5:$J$43,"&gt;="&amp;M1168),'FIRE TEX 5090'!$J$5:$P$43,IF(L1168="F-15",2,IF(L1168="F-30",3,IF(L1168="F-60",4,IF(L1168="F-90",5,IF(L1168="F-120",6,IF(L1168="F-150",7,0)))))),0),0)+IF(AND(O1168="FIRE TEX 5090",E1168="CJ",J1168=3),VLOOKUP(_xlfn.MINIFS('FIRE TEX 5090'!$R$5:$R$30,'FIRE TEX 5090'!$R$5:$R$30,"&gt;="&amp;M1168),'FIRE TEX 5090'!$R$5:$W$30,IF(L1168="F-15",2,IF(L1168="F-30",3,IF(L1168="F-60",4,IF(L1168="F-90",5,IF(L1168="F-120",6,IF(L1168="F-150",7,0)))))),0),0)+IF(AND(O1168="FIRE TEX 5090",E1168="CJ",J1168=4),VLOOKUP(_xlfn.MINIFS('FIRE TEX 5090'!$Y$5:$Y$39,'FIRE TEX 5090'!$Y$5:$Y$39,"&gt;="&amp;M1168),'FIRE TEX 5090'!$Y$5:$AD$39,IF(L1168="F-15",2,IF(L1168="F-30",3,IF(L1168="F-60",4,IF(L1168="F-90",5,IF(L1168="F-120",6,IF(L1168="F-150",7,0)))))),0),0)+IF(AND(O1168="FIRE TEX 5120",OR(E1168="IN",E1168="C",E1168="Z",E1168="L"),J1168=3),VLOOKUP(_xlfn.MINIFS('FIRE TEX 5120'!$B$5:$B$40,'FIRE TEX 5120'!$B$5:$B$40,"&gt;="&amp;M1168),'FIRE TEX 5120'!$B$5:$G$40,IF(L1168="F-15",2,IF(L1168="F-30",3,IF(L1168="F-60",4,IF(L1168="F-90",5,IF(L1168="F-120",6,0))))),0),0)+IF(AND(O1168="FIRE TEX 5120",OR(E1168="IN",E1168="C",E1168="Z",E1168="L"),J1168=4),VLOOKUP(_xlfn.MINIFS('FIRE TEX 5120'!$H$4:$H$40,'FIRE TEX 5120'!$H$4:$H$40,"&gt;="&amp;M1168),'FIRE TEX 5120'!$H$4:$M$40,IF(L1168="F-15",2,IF(L1168="F-30",3,IF(L1168="F-60",4,IF(L1168="F-90",5,IF(L1168="F-120",6,0))))),0),0)+IF(AND(O1168="FIRE TEX 5120",E1168="CJ"),VLOOKUP(_xlfn.MINIFS('FIRE TEX 5120'!$O$5:$O$40,'FIRE TEX 5120'!$O$5:$O$40,"&gt;="&amp;M1168),'FIRE TEX 5120'!$O$5:$T$40,IF(L1168="F-15",2,IF(L1168="F-30",3,IF(L1168="F-60",4,IF(L1168="F-90",5,IF(L1168="F-120",6,0))))),0),0)</f>
        <v>0</v>
      </c>
      <c r="Q1168" s="46">
        <f t="shared" si="109"/>
        <v>0</v>
      </c>
      <c r="R1168" s="46">
        <f t="shared" si="110"/>
        <v>0</v>
      </c>
      <c r="S1168" s="46" t="e">
        <f t="shared" si="111"/>
        <v>#VALUE!</v>
      </c>
      <c r="T1168" s="677">
        <f t="shared" si="112"/>
        <v>0</v>
      </c>
      <c r="U1168" s="80">
        <f>(IF(O1168="Stofire",(S1168*#REF!),0))+(IF(O1168="Fire Control",(S1168*$U$2),0))+(IF(O1168="Fire Tex",(S1168*$U$3),0))+(IF(O1168="WB7",(S1168*#REF!),0)+(IF(O1168="FX 2003",(S1168*$U$5),0)))</f>
        <v>0</v>
      </c>
      <c r="V1168" s="651">
        <f t="shared" si="113"/>
        <v>0</v>
      </c>
    </row>
    <row r="1169" spans="4:22" x14ac:dyDescent="0.25">
      <c r="D1169" s="118">
        <f>+CUBICACION!D1168</f>
        <v>0</v>
      </c>
      <c r="E1169" s="118">
        <f>+CUBICACION!F1168</f>
        <v>0</v>
      </c>
      <c r="F1169" s="118">
        <f>+CUBICACION!E1168</f>
        <v>0</v>
      </c>
      <c r="G1169" s="118">
        <v>12</v>
      </c>
      <c r="H1169" s="118">
        <v>2</v>
      </c>
      <c r="I1169" s="820">
        <v>26385</v>
      </c>
      <c r="J1169" s="118">
        <f>+CUBICACION!J1168</f>
        <v>0</v>
      </c>
      <c r="K1169" s="118">
        <v>3948</v>
      </c>
      <c r="L1169" s="118">
        <f>+CUBICACION!L1168</f>
        <v>0</v>
      </c>
      <c r="M1169" s="64">
        <f>+CUBICACION!M1168</f>
        <v>0</v>
      </c>
      <c r="N1169" s="824" t="str">
        <f>+CUBICACION!N1168</f>
        <v/>
      </c>
      <c r="O1169" s="675">
        <f>+CUBICACION!O1168</f>
        <v>0</v>
      </c>
      <c r="P1169" s="15">
        <f>IF(O1169="Fire Control",VLOOKUP(_xlfn.MINIFS('FIRE CONTROL'!$C$4:$C$37,'FIRE CONTROL'!$C$4:$C$37,"&gt;="&amp;M1169),'FIRE CONTROL'!$C$4:$G$37,IF(L1169="F-15",2,IF(L1169="F-30",3,IF(L1169="F-60",4,IF(L1169="F-90",5,0)))),0),0)+IF(AND(O1169="FIRE TEX 5062",OR(E1169="IN",E1169="C",E1169="Z",E1169="L"),J1169=3),VLOOKUP(_xlfn.MINIFS('FIRE TEX 5062'!$B$4:$B$34,'FIRE TEX 5062'!$B$4:$B$34,"&gt;="&amp;M1169),'FIRE TEX 5062'!$B$4:$F$34,IF(L1169="F-15",2,IF(L1169="F-30",3,IF(L1169="F-60",4,IF(L1169="F-90",5,0)))),0),0)+IF(AND(O1169="FIRE TEX 5062",OR(E1169="IN",E1169="C",E1169="Z",E1169="L"),J1169=4),VLOOKUP(_xlfn.MINIFS('FIRE TEX 5062'!$G$4:$G$34,'FIRE TEX 5062'!$G$4:$G$34,"&gt;="&amp;M1169),'FIRE TEX 5062'!$G$4:$K$34,IF(L1169="F-15",2,IF(L1169="F-30",3,IF(L1169="F-60",4,IF(L1169="F-90",5,0)))),0),0)+IF(AND(O1169="FIRE TEX 5062",E1169="CJ",J1169=3),VLOOKUP(_xlfn.MINIFS('FIRE TEX 5062'!$L$4:$L$34,'FIRE TEX 5062'!$L$4:$L$34,"&gt;="&amp;M1169),'FIRE TEX 5062'!$L$4:$P$34,IF(L1169="F-15",2,IF(L1169="F-30",3,IF(L1169="F-60",4,IF(L1169="F-90",5,0)))),0),0)+IF(AND(O1169="FIRE TEX 5062",E1169="CJ",J1169=4),VLOOKUP(_xlfn.MINIFS('FIRE TEX 5062'!$Q$3:$Q$34,'FIRE TEX 5062'!$Q$3:$Q$34,"&gt;="&amp;M1169),'FIRE TEX 5062'!$Q$3:$U$34,IF(L1169="F-15",2,IF(L1169="F-30",3,IF(L1169="F-60",4,IF(L1169="F-90",5,0)))),0),0)+IF(AND(O1169="FIRE TEX 5090",OR(E1169="IN",E1169="C",E1169="Z",E1169="L"),J1169=3),VLOOKUP(_xlfn.MINIFS('FIRE TEX 5090'!$B$5:$B$43,'FIRE TEX 5090'!$B$5:$B$43,"&gt;="&amp;M1169),'FIRE TEX 5090'!$B$5:$H$43,IF(L1169="F-15",2,IF(L1169="F-30",3,IF(L1169="F-60",4,IF(L1169="F-90",5,IF(L1169="F-120",6,IF(L1169="F-150",7,0)))))),0),0)+IF(AND(O1169="FIRE TEX 5090",OR(E1169="IN",E1169="C",E1169="Z",E1169="L"),J1169=4),VLOOKUP(_xlfn.MINIFS('FIRE TEX 5090'!$J$5:$J$43,'FIRE TEX 5090'!$J$5:$J$43,"&gt;="&amp;M1169),'FIRE TEX 5090'!$J$5:$P$43,IF(L1169="F-15",2,IF(L1169="F-30",3,IF(L1169="F-60",4,IF(L1169="F-90",5,IF(L1169="F-120",6,IF(L1169="F-150",7,0)))))),0),0)+IF(AND(O1169="FIRE TEX 5090",E1169="CJ",J1169=3),VLOOKUP(_xlfn.MINIFS('FIRE TEX 5090'!$R$5:$R$30,'FIRE TEX 5090'!$R$5:$R$30,"&gt;="&amp;M1169),'FIRE TEX 5090'!$R$5:$W$30,IF(L1169="F-15",2,IF(L1169="F-30",3,IF(L1169="F-60",4,IF(L1169="F-90",5,IF(L1169="F-120",6,IF(L1169="F-150",7,0)))))),0),0)+IF(AND(O1169="FIRE TEX 5090",E1169="CJ",J1169=4),VLOOKUP(_xlfn.MINIFS('FIRE TEX 5090'!$Y$5:$Y$39,'FIRE TEX 5090'!$Y$5:$Y$39,"&gt;="&amp;M1169),'FIRE TEX 5090'!$Y$5:$AD$39,IF(L1169="F-15",2,IF(L1169="F-30",3,IF(L1169="F-60",4,IF(L1169="F-90",5,IF(L1169="F-120",6,IF(L1169="F-150",7,0)))))),0),0)+IF(AND(O1169="FIRE TEX 5120",OR(E1169="IN",E1169="C",E1169="Z",E1169="L"),J1169=3),VLOOKUP(_xlfn.MINIFS('FIRE TEX 5120'!$B$5:$B$40,'FIRE TEX 5120'!$B$5:$B$40,"&gt;="&amp;M1169),'FIRE TEX 5120'!$B$5:$G$40,IF(L1169="F-15",2,IF(L1169="F-30",3,IF(L1169="F-60",4,IF(L1169="F-90",5,IF(L1169="F-120",6,0))))),0),0)+IF(AND(O1169="FIRE TEX 5120",OR(E1169="IN",E1169="C",E1169="Z",E1169="L"),J1169=4),VLOOKUP(_xlfn.MINIFS('FIRE TEX 5120'!$H$4:$H$40,'FIRE TEX 5120'!$H$4:$H$40,"&gt;="&amp;M1169),'FIRE TEX 5120'!$H$4:$M$40,IF(L1169="F-15",2,IF(L1169="F-30",3,IF(L1169="F-60",4,IF(L1169="F-90",5,IF(L1169="F-120",6,0))))),0),0)+IF(AND(O1169="FIRE TEX 5120",E1169="CJ"),VLOOKUP(_xlfn.MINIFS('FIRE TEX 5120'!$O$5:$O$40,'FIRE TEX 5120'!$O$5:$O$40,"&gt;="&amp;M1169),'FIRE TEX 5120'!$O$5:$T$40,IF(L1169="F-15",2,IF(L1169="F-30",3,IF(L1169="F-60",4,IF(L1169="F-90",5,IF(L1169="F-120",6,0))))),0),0)</f>
        <v>0</v>
      </c>
      <c r="Q1169" s="46">
        <f t="shared" si="109"/>
        <v>0</v>
      </c>
      <c r="R1169" s="46">
        <f t="shared" si="110"/>
        <v>0</v>
      </c>
      <c r="S1169" s="46" t="e">
        <f t="shared" si="111"/>
        <v>#VALUE!</v>
      </c>
      <c r="T1169" s="677">
        <f t="shared" si="112"/>
        <v>0</v>
      </c>
      <c r="U1169" s="80">
        <f>(IF(O1169="Stofire",(S1169*#REF!),0))+(IF(O1169="Fire Control",(S1169*$U$2),0))+(IF(O1169="Fire Tex",(S1169*$U$3),0))+(IF(O1169="WB7",(S1169*#REF!),0)+(IF(O1169="FX 2003",(S1169*$U$5),0)))</f>
        <v>0</v>
      </c>
      <c r="V1169" s="651">
        <f t="shared" si="113"/>
        <v>0</v>
      </c>
    </row>
    <row r="1170" spans="4:22" x14ac:dyDescent="0.25">
      <c r="D1170" s="118">
        <f>+CUBICACION!D1169</f>
        <v>0</v>
      </c>
      <c r="E1170" s="118">
        <f>+CUBICACION!F1169</f>
        <v>0</v>
      </c>
      <c r="F1170" s="118">
        <f>+CUBICACION!E1169</f>
        <v>0</v>
      </c>
      <c r="G1170" s="118">
        <v>12</v>
      </c>
      <c r="H1170" s="118">
        <v>2</v>
      </c>
      <c r="I1170" s="820">
        <v>26385</v>
      </c>
      <c r="J1170" s="118">
        <f>+CUBICACION!J1169</f>
        <v>0</v>
      </c>
      <c r="K1170" s="118">
        <v>3949</v>
      </c>
      <c r="L1170" s="118">
        <f>+CUBICACION!L1169</f>
        <v>0</v>
      </c>
      <c r="M1170" s="64">
        <f>+CUBICACION!M1169</f>
        <v>0</v>
      </c>
      <c r="N1170" s="824" t="str">
        <f>+CUBICACION!N1169</f>
        <v/>
      </c>
      <c r="O1170" s="675">
        <f>+CUBICACION!O1169</f>
        <v>0</v>
      </c>
      <c r="P1170" s="15">
        <f>IF(O1170="Fire Control",VLOOKUP(_xlfn.MINIFS('FIRE CONTROL'!$C$4:$C$37,'FIRE CONTROL'!$C$4:$C$37,"&gt;="&amp;M1170),'FIRE CONTROL'!$C$4:$G$37,IF(L1170="F-15",2,IF(L1170="F-30",3,IF(L1170="F-60",4,IF(L1170="F-90",5,0)))),0),0)+IF(AND(O1170="FIRE TEX 5062",OR(E1170="IN",E1170="C",E1170="Z",E1170="L"),J1170=3),VLOOKUP(_xlfn.MINIFS('FIRE TEX 5062'!$B$4:$B$34,'FIRE TEX 5062'!$B$4:$B$34,"&gt;="&amp;M1170),'FIRE TEX 5062'!$B$4:$F$34,IF(L1170="F-15",2,IF(L1170="F-30",3,IF(L1170="F-60",4,IF(L1170="F-90",5,0)))),0),0)+IF(AND(O1170="FIRE TEX 5062",OR(E1170="IN",E1170="C",E1170="Z",E1170="L"),J1170=4),VLOOKUP(_xlfn.MINIFS('FIRE TEX 5062'!$G$4:$G$34,'FIRE TEX 5062'!$G$4:$G$34,"&gt;="&amp;M1170),'FIRE TEX 5062'!$G$4:$K$34,IF(L1170="F-15",2,IF(L1170="F-30",3,IF(L1170="F-60",4,IF(L1170="F-90",5,0)))),0),0)+IF(AND(O1170="FIRE TEX 5062",E1170="CJ",J1170=3),VLOOKUP(_xlfn.MINIFS('FIRE TEX 5062'!$L$4:$L$34,'FIRE TEX 5062'!$L$4:$L$34,"&gt;="&amp;M1170),'FIRE TEX 5062'!$L$4:$P$34,IF(L1170="F-15",2,IF(L1170="F-30",3,IF(L1170="F-60",4,IF(L1170="F-90",5,0)))),0),0)+IF(AND(O1170="FIRE TEX 5062",E1170="CJ",J1170=4),VLOOKUP(_xlfn.MINIFS('FIRE TEX 5062'!$Q$3:$Q$34,'FIRE TEX 5062'!$Q$3:$Q$34,"&gt;="&amp;M1170),'FIRE TEX 5062'!$Q$3:$U$34,IF(L1170="F-15",2,IF(L1170="F-30",3,IF(L1170="F-60",4,IF(L1170="F-90",5,0)))),0),0)+IF(AND(O1170="FIRE TEX 5090",OR(E1170="IN",E1170="C",E1170="Z",E1170="L"),J1170=3),VLOOKUP(_xlfn.MINIFS('FIRE TEX 5090'!$B$5:$B$43,'FIRE TEX 5090'!$B$5:$B$43,"&gt;="&amp;M1170),'FIRE TEX 5090'!$B$5:$H$43,IF(L1170="F-15",2,IF(L1170="F-30",3,IF(L1170="F-60",4,IF(L1170="F-90",5,IF(L1170="F-120",6,IF(L1170="F-150",7,0)))))),0),0)+IF(AND(O1170="FIRE TEX 5090",OR(E1170="IN",E1170="C",E1170="Z",E1170="L"),J1170=4),VLOOKUP(_xlfn.MINIFS('FIRE TEX 5090'!$J$5:$J$43,'FIRE TEX 5090'!$J$5:$J$43,"&gt;="&amp;M1170),'FIRE TEX 5090'!$J$5:$P$43,IF(L1170="F-15",2,IF(L1170="F-30",3,IF(L1170="F-60",4,IF(L1170="F-90",5,IF(L1170="F-120",6,IF(L1170="F-150",7,0)))))),0),0)+IF(AND(O1170="FIRE TEX 5090",E1170="CJ",J1170=3),VLOOKUP(_xlfn.MINIFS('FIRE TEX 5090'!$R$5:$R$30,'FIRE TEX 5090'!$R$5:$R$30,"&gt;="&amp;M1170),'FIRE TEX 5090'!$R$5:$W$30,IF(L1170="F-15",2,IF(L1170="F-30",3,IF(L1170="F-60",4,IF(L1170="F-90",5,IF(L1170="F-120",6,IF(L1170="F-150",7,0)))))),0),0)+IF(AND(O1170="FIRE TEX 5090",E1170="CJ",J1170=4),VLOOKUP(_xlfn.MINIFS('FIRE TEX 5090'!$Y$5:$Y$39,'FIRE TEX 5090'!$Y$5:$Y$39,"&gt;="&amp;M1170),'FIRE TEX 5090'!$Y$5:$AD$39,IF(L1170="F-15",2,IF(L1170="F-30",3,IF(L1170="F-60",4,IF(L1170="F-90",5,IF(L1170="F-120",6,IF(L1170="F-150",7,0)))))),0),0)+IF(AND(O1170="FIRE TEX 5120",OR(E1170="IN",E1170="C",E1170="Z",E1170="L"),J1170=3),VLOOKUP(_xlfn.MINIFS('FIRE TEX 5120'!$B$5:$B$40,'FIRE TEX 5120'!$B$5:$B$40,"&gt;="&amp;M1170),'FIRE TEX 5120'!$B$5:$G$40,IF(L1170="F-15",2,IF(L1170="F-30",3,IF(L1170="F-60",4,IF(L1170="F-90",5,IF(L1170="F-120",6,0))))),0),0)+IF(AND(O1170="FIRE TEX 5120",OR(E1170="IN",E1170="C",E1170="Z",E1170="L"),J1170=4),VLOOKUP(_xlfn.MINIFS('FIRE TEX 5120'!$H$4:$H$40,'FIRE TEX 5120'!$H$4:$H$40,"&gt;="&amp;M1170),'FIRE TEX 5120'!$H$4:$M$40,IF(L1170="F-15",2,IF(L1170="F-30",3,IF(L1170="F-60",4,IF(L1170="F-90",5,IF(L1170="F-120",6,0))))),0),0)+IF(AND(O1170="FIRE TEX 5120",E1170="CJ"),VLOOKUP(_xlfn.MINIFS('FIRE TEX 5120'!$O$5:$O$40,'FIRE TEX 5120'!$O$5:$O$40,"&gt;="&amp;M1170),'FIRE TEX 5120'!$O$5:$T$40,IF(L1170="F-15",2,IF(L1170="F-30",3,IF(L1170="F-60",4,IF(L1170="F-90",5,IF(L1170="F-120",6,0))))),0),0)</f>
        <v>0</v>
      </c>
      <c r="Q1170" s="46">
        <f t="shared" si="109"/>
        <v>0</v>
      </c>
      <c r="R1170" s="46">
        <f t="shared" si="110"/>
        <v>0</v>
      </c>
      <c r="S1170" s="46" t="e">
        <f t="shared" si="111"/>
        <v>#VALUE!</v>
      </c>
      <c r="T1170" s="677">
        <f t="shared" si="112"/>
        <v>0</v>
      </c>
      <c r="U1170" s="80">
        <f>(IF(O1170="Stofire",(S1170*#REF!),0))+(IF(O1170="Fire Control",(S1170*$U$2),0))+(IF(O1170="Fire Tex",(S1170*$U$3),0))+(IF(O1170="WB7",(S1170*#REF!),0)+(IF(O1170="FX 2003",(S1170*$U$5),0)))</f>
        <v>0</v>
      </c>
      <c r="V1170" s="651">
        <f t="shared" si="113"/>
        <v>0</v>
      </c>
    </row>
    <row r="1171" spans="4:22" x14ac:dyDescent="0.25">
      <c r="D1171" s="118">
        <f>+CUBICACION!D1170</f>
        <v>0</v>
      </c>
      <c r="E1171" s="118">
        <f>+CUBICACION!F1170</f>
        <v>0</v>
      </c>
      <c r="F1171" s="118">
        <f>+CUBICACION!E1170</f>
        <v>0</v>
      </c>
      <c r="G1171" s="118">
        <v>12</v>
      </c>
      <c r="H1171" s="118">
        <v>2</v>
      </c>
      <c r="I1171" s="820">
        <v>26385</v>
      </c>
      <c r="J1171" s="118">
        <f>+CUBICACION!J1170</f>
        <v>0</v>
      </c>
      <c r="K1171" s="118">
        <v>3950</v>
      </c>
      <c r="L1171" s="118">
        <f>+CUBICACION!L1170</f>
        <v>0</v>
      </c>
      <c r="M1171" s="64">
        <f>+CUBICACION!M1170</f>
        <v>0</v>
      </c>
      <c r="N1171" s="824" t="str">
        <f>+CUBICACION!N1170</f>
        <v/>
      </c>
      <c r="O1171" s="675">
        <f>+CUBICACION!O1170</f>
        <v>0</v>
      </c>
      <c r="P1171" s="15">
        <f>IF(O1171="Fire Control",VLOOKUP(_xlfn.MINIFS('FIRE CONTROL'!$C$4:$C$37,'FIRE CONTROL'!$C$4:$C$37,"&gt;="&amp;M1171),'FIRE CONTROL'!$C$4:$G$37,IF(L1171="F-15",2,IF(L1171="F-30",3,IF(L1171="F-60",4,IF(L1171="F-90",5,0)))),0),0)+IF(AND(O1171="FIRE TEX 5062",OR(E1171="IN",E1171="C",E1171="Z",E1171="L"),J1171=3),VLOOKUP(_xlfn.MINIFS('FIRE TEX 5062'!$B$4:$B$34,'FIRE TEX 5062'!$B$4:$B$34,"&gt;="&amp;M1171),'FIRE TEX 5062'!$B$4:$F$34,IF(L1171="F-15",2,IF(L1171="F-30",3,IF(L1171="F-60",4,IF(L1171="F-90",5,0)))),0),0)+IF(AND(O1171="FIRE TEX 5062",OR(E1171="IN",E1171="C",E1171="Z",E1171="L"),J1171=4),VLOOKUP(_xlfn.MINIFS('FIRE TEX 5062'!$G$4:$G$34,'FIRE TEX 5062'!$G$4:$G$34,"&gt;="&amp;M1171),'FIRE TEX 5062'!$G$4:$K$34,IF(L1171="F-15",2,IF(L1171="F-30",3,IF(L1171="F-60",4,IF(L1171="F-90",5,0)))),0),0)+IF(AND(O1171="FIRE TEX 5062",E1171="CJ",J1171=3),VLOOKUP(_xlfn.MINIFS('FIRE TEX 5062'!$L$4:$L$34,'FIRE TEX 5062'!$L$4:$L$34,"&gt;="&amp;M1171),'FIRE TEX 5062'!$L$4:$P$34,IF(L1171="F-15",2,IF(L1171="F-30",3,IF(L1171="F-60",4,IF(L1171="F-90",5,0)))),0),0)+IF(AND(O1171="FIRE TEX 5062",E1171="CJ",J1171=4),VLOOKUP(_xlfn.MINIFS('FIRE TEX 5062'!$Q$3:$Q$34,'FIRE TEX 5062'!$Q$3:$Q$34,"&gt;="&amp;M1171),'FIRE TEX 5062'!$Q$3:$U$34,IF(L1171="F-15",2,IF(L1171="F-30",3,IF(L1171="F-60",4,IF(L1171="F-90",5,0)))),0),0)+IF(AND(O1171="FIRE TEX 5090",OR(E1171="IN",E1171="C",E1171="Z",E1171="L"),J1171=3),VLOOKUP(_xlfn.MINIFS('FIRE TEX 5090'!$B$5:$B$43,'FIRE TEX 5090'!$B$5:$B$43,"&gt;="&amp;M1171),'FIRE TEX 5090'!$B$5:$H$43,IF(L1171="F-15",2,IF(L1171="F-30",3,IF(L1171="F-60",4,IF(L1171="F-90",5,IF(L1171="F-120",6,IF(L1171="F-150",7,0)))))),0),0)+IF(AND(O1171="FIRE TEX 5090",OR(E1171="IN",E1171="C",E1171="Z",E1171="L"),J1171=4),VLOOKUP(_xlfn.MINIFS('FIRE TEX 5090'!$J$5:$J$43,'FIRE TEX 5090'!$J$5:$J$43,"&gt;="&amp;M1171),'FIRE TEX 5090'!$J$5:$P$43,IF(L1171="F-15",2,IF(L1171="F-30",3,IF(L1171="F-60",4,IF(L1171="F-90",5,IF(L1171="F-120",6,IF(L1171="F-150",7,0)))))),0),0)+IF(AND(O1171="FIRE TEX 5090",E1171="CJ",J1171=3),VLOOKUP(_xlfn.MINIFS('FIRE TEX 5090'!$R$5:$R$30,'FIRE TEX 5090'!$R$5:$R$30,"&gt;="&amp;M1171),'FIRE TEX 5090'!$R$5:$W$30,IF(L1171="F-15",2,IF(L1171="F-30",3,IF(L1171="F-60",4,IF(L1171="F-90",5,IF(L1171="F-120",6,IF(L1171="F-150",7,0)))))),0),0)+IF(AND(O1171="FIRE TEX 5090",E1171="CJ",J1171=4),VLOOKUP(_xlfn.MINIFS('FIRE TEX 5090'!$Y$5:$Y$39,'FIRE TEX 5090'!$Y$5:$Y$39,"&gt;="&amp;M1171),'FIRE TEX 5090'!$Y$5:$AD$39,IF(L1171="F-15",2,IF(L1171="F-30",3,IF(L1171="F-60",4,IF(L1171="F-90",5,IF(L1171="F-120",6,IF(L1171="F-150",7,0)))))),0),0)+IF(AND(O1171="FIRE TEX 5120",OR(E1171="IN",E1171="C",E1171="Z",E1171="L"),J1171=3),VLOOKUP(_xlfn.MINIFS('FIRE TEX 5120'!$B$5:$B$40,'FIRE TEX 5120'!$B$5:$B$40,"&gt;="&amp;M1171),'FIRE TEX 5120'!$B$5:$G$40,IF(L1171="F-15",2,IF(L1171="F-30",3,IF(L1171="F-60",4,IF(L1171="F-90",5,IF(L1171="F-120",6,0))))),0),0)+IF(AND(O1171="FIRE TEX 5120",OR(E1171="IN",E1171="C",E1171="Z",E1171="L"),J1171=4),VLOOKUP(_xlfn.MINIFS('FIRE TEX 5120'!$H$4:$H$40,'FIRE TEX 5120'!$H$4:$H$40,"&gt;="&amp;M1171),'FIRE TEX 5120'!$H$4:$M$40,IF(L1171="F-15",2,IF(L1171="F-30",3,IF(L1171="F-60",4,IF(L1171="F-90",5,IF(L1171="F-120",6,0))))),0),0)+IF(AND(O1171="FIRE TEX 5120",E1171="CJ"),VLOOKUP(_xlfn.MINIFS('FIRE TEX 5120'!$O$5:$O$40,'FIRE TEX 5120'!$O$5:$O$40,"&gt;="&amp;M1171),'FIRE TEX 5120'!$O$5:$T$40,IF(L1171="F-15",2,IF(L1171="F-30",3,IF(L1171="F-60",4,IF(L1171="F-90",5,IF(L1171="F-120",6,0))))),0),0)</f>
        <v>0</v>
      </c>
      <c r="Q1171" s="46">
        <f t="shared" si="109"/>
        <v>0</v>
      </c>
      <c r="R1171" s="46">
        <f t="shared" si="110"/>
        <v>0</v>
      </c>
      <c r="S1171" s="46" t="e">
        <f t="shared" si="111"/>
        <v>#VALUE!</v>
      </c>
      <c r="T1171" s="677">
        <f t="shared" si="112"/>
        <v>0</v>
      </c>
      <c r="U1171" s="80">
        <f>(IF(O1171="Stofire",(S1171*#REF!),0))+(IF(O1171="Fire Control",(S1171*$U$2),0))+(IF(O1171="Fire Tex",(S1171*$U$3),0))+(IF(O1171="WB7",(S1171*#REF!),0)+(IF(O1171="FX 2003",(S1171*$U$5),0)))</f>
        <v>0</v>
      </c>
      <c r="V1171" s="651">
        <f t="shared" si="113"/>
        <v>0</v>
      </c>
    </row>
    <row r="1172" spans="4:22" x14ac:dyDescent="0.25">
      <c r="D1172" s="118">
        <f>+CUBICACION!D1171</f>
        <v>0</v>
      </c>
      <c r="E1172" s="118">
        <f>+CUBICACION!F1171</f>
        <v>0</v>
      </c>
      <c r="F1172" s="118">
        <f>+CUBICACION!E1171</f>
        <v>0</v>
      </c>
      <c r="G1172" s="118">
        <v>12</v>
      </c>
      <c r="H1172" s="118">
        <v>2</v>
      </c>
      <c r="I1172" s="820">
        <v>26385</v>
      </c>
      <c r="J1172" s="118">
        <f>+CUBICACION!J1171</f>
        <v>0</v>
      </c>
      <c r="K1172" s="118">
        <v>3951</v>
      </c>
      <c r="L1172" s="118">
        <f>+CUBICACION!L1171</f>
        <v>0</v>
      </c>
      <c r="M1172" s="64">
        <f>+CUBICACION!M1171</f>
        <v>0</v>
      </c>
      <c r="N1172" s="824" t="str">
        <f>+CUBICACION!N1171</f>
        <v/>
      </c>
      <c r="O1172" s="675">
        <f>+CUBICACION!O1171</f>
        <v>0</v>
      </c>
      <c r="P1172" s="15">
        <f>IF(O1172="Fire Control",VLOOKUP(_xlfn.MINIFS('FIRE CONTROL'!$C$4:$C$37,'FIRE CONTROL'!$C$4:$C$37,"&gt;="&amp;M1172),'FIRE CONTROL'!$C$4:$G$37,IF(L1172="F-15",2,IF(L1172="F-30",3,IF(L1172="F-60",4,IF(L1172="F-90",5,0)))),0),0)+IF(AND(O1172="FIRE TEX 5062",OR(E1172="IN",E1172="C",E1172="Z",E1172="L"),J1172=3),VLOOKUP(_xlfn.MINIFS('FIRE TEX 5062'!$B$4:$B$34,'FIRE TEX 5062'!$B$4:$B$34,"&gt;="&amp;M1172),'FIRE TEX 5062'!$B$4:$F$34,IF(L1172="F-15",2,IF(L1172="F-30",3,IF(L1172="F-60",4,IF(L1172="F-90",5,0)))),0),0)+IF(AND(O1172="FIRE TEX 5062",OR(E1172="IN",E1172="C",E1172="Z",E1172="L"),J1172=4),VLOOKUP(_xlfn.MINIFS('FIRE TEX 5062'!$G$4:$G$34,'FIRE TEX 5062'!$G$4:$G$34,"&gt;="&amp;M1172),'FIRE TEX 5062'!$G$4:$K$34,IF(L1172="F-15",2,IF(L1172="F-30",3,IF(L1172="F-60",4,IF(L1172="F-90",5,0)))),0),0)+IF(AND(O1172="FIRE TEX 5062",E1172="CJ",J1172=3),VLOOKUP(_xlfn.MINIFS('FIRE TEX 5062'!$L$4:$L$34,'FIRE TEX 5062'!$L$4:$L$34,"&gt;="&amp;M1172),'FIRE TEX 5062'!$L$4:$P$34,IF(L1172="F-15",2,IF(L1172="F-30",3,IF(L1172="F-60",4,IF(L1172="F-90",5,0)))),0),0)+IF(AND(O1172="FIRE TEX 5062",E1172="CJ",J1172=4),VLOOKUP(_xlfn.MINIFS('FIRE TEX 5062'!$Q$3:$Q$34,'FIRE TEX 5062'!$Q$3:$Q$34,"&gt;="&amp;M1172),'FIRE TEX 5062'!$Q$3:$U$34,IF(L1172="F-15",2,IF(L1172="F-30",3,IF(L1172="F-60",4,IF(L1172="F-90",5,0)))),0),0)+IF(AND(O1172="FIRE TEX 5090",OR(E1172="IN",E1172="C",E1172="Z",E1172="L"),J1172=3),VLOOKUP(_xlfn.MINIFS('FIRE TEX 5090'!$B$5:$B$43,'FIRE TEX 5090'!$B$5:$B$43,"&gt;="&amp;M1172),'FIRE TEX 5090'!$B$5:$H$43,IF(L1172="F-15",2,IF(L1172="F-30",3,IF(L1172="F-60",4,IF(L1172="F-90",5,IF(L1172="F-120",6,IF(L1172="F-150",7,0)))))),0),0)+IF(AND(O1172="FIRE TEX 5090",OR(E1172="IN",E1172="C",E1172="Z",E1172="L"),J1172=4),VLOOKUP(_xlfn.MINIFS('FIRE TEX 5090'!$J$5:$J$43,'FIRE TEX 5090'!$J$5:$J$43,"&gt;="&amp;M1172),'FIRE TEX 5090'!$J$5:$P$43,IF(L1172="F-15",2,IF(L1172="F-30",3,IF(L1172="F-60",4,IF(L1172="F-90",5,IF(L1172="F-120",6,IF(L1172="F-150",7,0)))))),0),0)+IF(AND(O1172="FIRE TEX 5090",E1172="CJ",J1172=3),VLOOKUP(_xlfn.MINIFS('FIRE TEX 5090'!$R$5:$R$30,'FIRE TEX 5090'!$R$5:$R$30,"&gt;="&amp;M1172),'FIRE TEX 5090'!$R$5:$W$30,IF(L1172="F-15",2,IF(L1172="F-30",3,IF(L1172="F-60",4,IF(L1172="F-90",5,IF(L1172="F-120",6,IF(L1172="F-150",7,0)))))),0),0)+IF(AND(O1172="FIRE TEX 5090",E1172="CJ",J1172=4),VLOOKUP(_xlfn.MINIFS('FIRE TEX 5090'!$Y$5:$Y$39,'FIRE TEX 5090'!$Y$5:$Y$39,"&gt;="&amp;M1172),'FIRE TEX 5090'!$Y$5:$AD$39,IF(L1172="F-15",2,IF(L1172="F-30",3,IF(L1172="F-60",4,IF(L1172="F-90",5,IF(L1172="F-120",6,IF(L1172="F-150",7,0)))))),0),0)+IF(AND(O1172="FIRE TEX 5120",OR(E1172="IN",E1172="C",E1172="Z",E1172="L"),J1172=3),VLOOKUP(_xlfn.MINIFS('FIRE TEX 5120'!$B$5:$B$40,'FIRE TEX 5120'!$B$5:$B$40,"&gt;="&amp;M1172),'FIRE TEX 5120'!$B$5:$G$40,IF(L1172="F-15",2,IF(L1172="F-30",3,IF(L1172="F-60",4,IF(L1172="F-90",5,IF(L1172="F-120",6,0))))),0),0)+IF(AND(O1172="FIRE TEX 5120",OR(E1172="IN",E1172="C",E1172="Z",E1172="L"),J1172=4),VLOOKUP(_xlfn.MINIFS('FIRE TEX 5120'!$H$4:$H$40,'FIRE TEX 5120'!$H$4:$H$40,"&gt;="&amp;M1172),'FIRE TEX 5120'!$H$4:$M$40,IF(L1172="F-15",2,IF(L1172="F-30",3,IF(L1172="F-60",4,IF(L1172="F-90",5,IF(L1172="F-120",6,0))))),0),0)+IF(AND(O1172="FIRE TEX 5120",E1172="CJ"),VLOOKUP(_xlfn.MINIFS('FIRE TEX 5120'!$O$5:$O$40,'FIRE TEX 5120'!$O$5:$O$40,"&gt;="&amp;M1172),'FIRE TEX 5120'!$O$5:$T$40,IF(L1172="F-15",2,IF(L1172="F-30",3,IF(L1172="F-60",4,IF(L1172="F-90",5,IF(L1172="F-120",6,0))))),0),0)</f>
        <v>0</v>
      </c>
      <c r="Q1172" s="46">
        <f t="shared" si="109"/>
        <v>0</v>
      </c>
      <c r="R1172" s="46">
        <f t="shared" si="110"/>
        <v>0</v>
      </c>
      <c r="S1172" s="46" t="e">
        <f t="shared" si="111"/>
        <v>#VALUE!</v>
      </c>
      <c r="T1172" s="677">
        <f t="shared" si="112"/>
        <v>0</v>
      </c>
      <c r="U1172" s="80">
        <f>(IF(O1172="Stofire",(S1172*#REF!),0))+(IF(O1172="Fire Control",(S1172*$U$2),0))+(IF(O1172="Fire Tex",(S1172*$U$3),0))+(IF(O1172="WB7",(S1172*#REF!),0)+(IF(O1172="FX 2003",(S1172*$U$5),0)))</f>
        <v>0</v>
      </c>
      <c r="V1172" s="651">
        <f t="shared" si="113"/>
        <v>0</v>
      </c>
    </row>
    <row r="1173" spans="4:22" x14ac:dyDescent="0.25">
      <c r="D1173" s="118">
        <f>+CUBICACION!D1172</f>
        <v>0</v>
      </c>
      <c r="E1173" s="118">
        <f>+CUBICACION!F1172</f>
        <v>0</v>
      </c>
      <c r="F1173" s="118">
        <f>+CUBICACION!E1172</f>
        <v>0</v>
      </c>
      <c r="G1173" s="118">
        <v>12</v>
      </c>
      <c r="H1173" s="118">
        <v>2</v>
      </c>
      <c r="I1173" s="820">
        <v>26385</v>
      </c>
      <c r="J1173" s="118">
        <f>+CUBICACION!J1172</f>
        <v>0</v>
      </c>
      <c r="K1173" s="118">
        <v>3952</v>
      </c>
      <c r="L1173" s="118">
        <f>+CUBICACION!L1172</f>
        <v>0</v>
      </c>
      <c r="M1173" s="64">
        <f>+CUBICACION!M1172</f>
        <v>0</v>
      </c>
      <c r="N1173" s="824" t="str">
        <f>+CUBICACION!N1172</f>
        <v/>
      </c>
      <c r="O1173" s="675">
        <f>+CUBICACION!O1172</f>
        <v>0</v>
      </c>
      <c r="P1173" s="15">
        <f>IF(O1173="Fire Control",VLOOKUP(_xlfn.MINIFS('FIRE CONTROL'!$C$4:$C$37,'FIRE CONTROL'!$C$4:$C$37,"&gt;="&amp;M1173),'FIRE CONTROL'!$C$4:$G$37,IF(L1173="F-15",2,IF(L1173="F-30",3,IF(L1173="F-60",4,IF(L1173="F-90",5,0)))),0),0)+IF(AND(O1173="FIRE TEX 5062",OR(E1173="IN",E1173="C",E1173="Z",E1173="L"),J1173=3),VLOOKUP(_xlfn.MINIFS('FIRE TEX 5062'!$B$4:$B$34,'FIRE TEX 5062'!$B$4:$B$34,"&gt;="&amp;M1173),'FIRE TEX 5062'!$B$4:$F$34,IF(L1173="F-15",2,IF(L1173="F-30",3,IF(L1173="F-60",4,IF(L1173="F-90",5,0)))),0),0)+IF(AND(O1173="FIRE TEX 5062",OR(E1173="IN",E1173="C",E1173="Z",E1173="L"),J1173=4),VLOOKUP(_xlfn.MINIFS('FIRE TEX 5062'!$G$4:$G$34,'FIRE TEX 5062'!$G$4:$G$34,"&gt;="&amp;M1173),'FIRE TEX 5062'!$G$4:$K$34,IF(L1173="F-15",2,IF(L1173="F-30",3,IF(L1173="F-60",4,IF(L1173="F-90",5,0)))),0),0)+IF(AND(O1173="FIRE TEX 5062",E1173="CJ",J1173=3),VLOOKUP(_xlfn.MINIFS('FIRE TEX 5062'!$L$4:$L$34,'FIRE TEX 5062'!$L$4:$L$34,"&gt;="&amp;M1173),'FIRE TEX 5062'!$L$4:$P$34,IF(L1173="F-15",2,IF(L1173="F-30",3,IF(L1173="F-60",4,IF(L1173="F-90",5,0)))),0),0)+IF(AND(O1173="FIRE TEX 5062",E1173="CJ",J1173=4),VLOOKUP(_xlfn.MINIFS('FIRE TEX 5062'!$Q$3:$Q$34,'FIRE TEX 5062'!$Q$3:$Q$34,"&gt;="&amp;M1173),'FIRE TEX 5062'!$Q$3:$U$34,IF(L1173="F-15",2,IF(L1173="F-30",3,IF(L1173="F-60",4,IF(L1173="F-90",5,0)))),0),0)+IF(AND(O1173="FIRE TEX 5090",OR(E1173="IN",E1173="C",E1173="Z",E1173="L"),J1173=3),VLOOKUP(_xlfn.MINIFS('FIRE TEX 5090'!$B$5:$B$43,'FIRE TEX 5090'!$B$5:$B$43,"&gt;="&amp;M1173),'FIRE TEX 5090'!$B$5:$H$43,IF(L1173="F-15",2,IF(L1173="F-30",3,IF(L1173="F-60",4,IF(L1173="F-90",5,IF(L1173="F-120",6,IF(L1173="F-150",7,0)))))),0),0)+IF(AND(O1173="FIRE TEX 5090",OR(E1173="IN",E1173="C",E1173="Z",E1173="L"),J1173=4),VLOOKUP(_xlfn.MINIFS('FIRE TEX 5090'!$J$5:$J$43,'FIRE TEX 5090'!$J$5:$J$43,"&gt;="&amp;M1173),'FIRE TEX 5090'!$J$5:$P$43,IF(L1173="F-15",2,IF(L1173="F-30",3,IF(L1173="F-60",4,IF(L1173="F-90",5,IF(L1173="F-120",6,IF(L1173="F-150",7,0)))))),0),0)+IF(AND(O1173="FIRE TEX 5090",E1173="CJ",J1173=3),VLOOKUP(_xlfn.MINIFS('FIRE TEX 5090'!$R$5:$R$30,'FIRE TEX 5090'!$R$5:$R$30,"&gt;="&amp;M1173),'FIRE TEX 5090'!$R$5:$W$30,IF(L1173="F-15",2,IF(L1173="F-30",3,IF(L1173="F-60",4,IF(L1173="F-90",5,IF(L1173="F-120",6,IF(L1173="F-150",7,0)))))),0),0)+IF(AND(O1173="FIRE TEX 5090",E1173="CJ",J1173=4),VLOOKUP(_xlfn.MINIFS('FIRE TEX 5090'!$Y$5:$Y$39,'FIRE TEX 5090'!$Y$5:$Y$39,"&gt;="&amp;M1173),'FIRE TEX 5090'!$Y$5:$AD$39,IF(L1173="F-15",2,IF(L1173="F-30",3,IF(L1173="F-60",4,IF(L1173="F-90",5,IF(L1173="F-120",6,IF(L1173="F-150",7,0)))))),0),0)+IF(AND(O1173="FIRE TEX 5120",OR(E1173="IN",E1173="C",E1173="Z",E1173="L"),J1173=3),VLOOKUP(_xlfn.MINIFS('FIRE TEX 5120'!$B$5:$B$40,'FIRE TEX 5120'!$B$5:$B$40,"&gt;="&amp;M1173),'FIRE TEX 5120'!$B$5:$G$40,IF(L1173="F-15",2,IF(L1173="F-30",3,IF(L1173="F-60",4,IF(L1173="F-90",5,IF(L1173="F-120",6,0))))),0),0)+IF(AND(O1173="FIRE TEX 5120",OR(E1173="IN",E1173="C",E1173="Z",E1173="L"),J1173=4),VLOOKUP(_xlfn.MINIFS('FIRE TEX 5120'!$H$4:$H$40,'FIRE TEX 5120'!$H$4:$H$40,"&gt;="&amp;M1173),'FIRE TEX 5120'!$H$4:$M$40,IF(L1173="F-15",2,IF(L1173="F-30",3,IF(L1173="F-60",4,IF(L1173="F-90",5,IF(L1173="F-120",6,0))))),0),0)+IF(AND(O1173="FIRE TEX 5120",E1173="CJ"),VLOOKUP(_xlfn.MINIFS('FIRE TEX 5120'!$O$5:$O$40,'FIRE TEX 5120'!$O$5:$O$40,"&gt;="&amp;M1173),'FIRE TEX 5120'!$O$5:$T$40,IF(L1173="F-15",2,IF(L1173="F-30",3,IF(L1173="F-60",4,IF(L1173="F-90",5,IF(L1173="F-120",6,0))))),0),0)</f>
        <v>0</v>
      </c>
      <c r="Q1173" s="46">
        <f t="shared" si="109"/>
        <v>0</v>
      </c>
      <c r="R1173" s="46">
        <f t="shared" si="110"/>
        <v>0</v>
      </c>
      <c r="S1173" s="46" t="e">
        <f t="shared" si="111"/>
        <v>#VALUE!</v>
      </c>
      <c r="T1173" s="677">
        <f t="shared" si="112"/>
        <v>0</v>
      </c>
      <c r="U1173" s="80">
        <f>(IF(O1173="Stofire",(S1173*#REF!),0))+(IF(O1173="Fire Control",(S1173*$U$2),0))+(IF(O1173="Fire Tex",(S1173*$U$3),0))+(IF(O1173="WB7",(S1173*#REF!),0)+(IF(O1173="FX 2003",(S1173*$U$5),0)))</f>
        <v>0</v>
      </c>
      <c r="V1173" s="651">
        <f t="shared" si="113"/>
        <v>0</v>
      </c>
    </row>
    <row r="1174" spans="4:22" x14ac:dyDescent="0.25">
      <c r="D1174" s="118">
        <f>+CUBICACION!D1173</f>
        <v>0</v>
      </c>
      <c r="E1174" s="118">
        <f>+CUBICACION!F1173</f>
        <v>0</v>
      </c>
      <c r="F1174" s="118">
        <f>+CUBICACION!E1173</f>
        <v>0</v>
      </c>
      <c r="G1174" s="118">
        <v>12</v>
      </c>
      <c r="H1174" s="118">
        <v>2</v>
      </c>
      <c r="I1174" s="820">
        <v>26385</v>
      </c>
      <c r="J1174" s="118">
        <f>+CUBICACION!J1173</f>
        <v>0</v>
      </c>
      <c r="K1174" s="118">
        <v>3953</v>
      </c>
      <c r="L1174" s="118">
        <f>+CUBICACION!L1173</f>
        <v>0</v>
      </c>
      <c r="M1174" s="64">
        <f>+CUBICACION!M1173</f>
        <v>0</v>
      </c>
      <c r="N1174" s="824" t="str">
        <f>+CUBICACION!N1173</f>
        <v/>
      </c>
      <c r="O1174" s="675">
        <f>+CUBICACION!O1173</f>
        <v>0</v>
      </c>
      <c r="P1174" s="15">
        <f>IF(O1174="Fire Control",VLOOKUP(_xlfn.MINIFS('FIRE CONTROL'!$C$4:$C$37,'FIRE CONTROL'!$C$4:$C$37,"&gt;="&amp;M1174),'FIRE CONTROL'!$C$4:$G$37,IF(L1174="F-15",2,IF(L1174="F-30",3,IF(L1174="F-60",4,IF(L1174="F-90",5,0)))),0),0)+IF(AND(O1174="FIRE TEX 5062",OR(E1174="IN",E1174="C",E1174="Z",E1174="L"),J1174=3),VLOOKUP(_xlfn.MINIFS('FIRE TEX 5062'!$B$4:$B$34,'FIRE TEX 5062'!$B$4:$B$34,"&gt;="&amp;M1174),'FIRE TEX 5062'!$B$4:$F$34,IF(L1174="F-15",2,IF(L1174="F-30",3,IF(L1174="F-60",4,IF(L1174="F-90",5,0)))),0),0)+IF(AND(O1174="FIRE TEX 5062",OR(E1174="IN",E1174="C",E1174="Z",E1174="L"),J1174=4),VLOOKUP(_xlfn.MINIFS('FIRE TEX 5062'!$G$4:$G$34,'FIRE TEX 5062'!$G$4:$G$34,"&gt;="&amp;M1174),'FIRE TEX 5062'!$G$4:$K$34,IF(L1174="F-15",2,IF(L1174="F-30",3,IF(L1174="F-60",4,IF(L1174="F-90",5,0)))),0),0)+IF(AND(O1174="FIRE TEX 5062",E1174="CJ",J1174=3),VLOOKUP(_xlfn.MINIFS('FIRE TEX 5062'!$L$4:$L$34,'FIRE TEX 5062'!$L$4:$L$34,"&gt;="&amp;M1174),'FIRE TEX 5062'!$L$4:$P$34,IF(L1174="F-15",2,IF(L1174="F-30",3,IF(L1174="F-60",4,IF(L1174="F-90",5,0)))),0),0)+IF(AND(O1174="FIRE TEX 5062",E1174="CJ",J1174=4),VLOOKUP(_xlfn.MINIFS('FIRE TEX 5062'!$Q$3:$Q$34,'FIRE TEX 5062'!$Q$3:$Q$34,"&gt;="&amp;M1174),'FIRE TEX 5062'!$Q$3:$U$34,IF(L1174="F-15",2,IF(L1174="F-30",3,IF(L1174="F-60",4,IF(L1174="F-90",5,0)))),0),0)+IF(AND(O1174="FIRE TEX 5090",OR(E1174="IN",E1174="C",E1174="Z",E1174="L"),J1174=3),VLOOKUP(_xlfn.MINIFS('FIRE TEX 5090'!$B$5:$B$43,'FIRE TEX 5090'!$B$5:$B$43,"&gt;="&amp;M1174),'FIRE TEX 5090'!$B$5:$H$43,IF(L1174="F-15",2,IF(L1174="F-30",3,IF(L1174="F-60",4,IF(L1174="F-90",5,IF(L1174="F-120",6,IF(L1174="F-150",7,0)))))),0),0)+IF(AND(O1174="FIRE TEX 5090",OR(E1174="IN",E1174="C",E1174="Z",E1174="L"),J1174=4),VLOOKUP(_xlfn.MINIFS('FIRE TEX 5090'!$J$5:$J$43,'FIRE TEX 5090'!$J$5:$J$43,"&gt;="&amp;M1174),'FIRE TEX 5090'!$J$5:$P$43,IF(L1174="F-15",2,IF(L1174="F-30",3,IF(L1174="F-60",4,IF(L1174="F-90",5,IF(L1174="F-120",6,IF(L1174="F-150",7,0)))))),0),0)+IF(AND(O1174="FIRE TEX 5090",E1174="CJ",J1174=3),VLOOKUP(_xlfn.MINIFS('FIRE TEX 5090'!$R$5:$R$30,'FIRE TEX 5090'!$R$5:$R$30,"&gt;="&amp;M1174),'FIRE TEX 5090'!$R$5:$W$30,IF(L1174="F-15",2,IF(L1174="F-30",3,IF(L1174="F-60",4,IF(L1174="F-90",5,IF(L1174="F-120",6,IF(L1174="F-150",7,0)))))),0),0)+IF(AND(O1174="FIRE TEX 5090",E1174="CJ",J1174=4),VLOOKUP(_xlfn.MINIFS('FIRE TEX 5090'!$Y$5:$Y$39,'FIRE TEX 5090'!$Y$5:$Y$39,"&gt;="&amp;M1174),'FIRE TEX 5090'!$Y$5:$AD$39,IF(L1174="F-15",2,IF(L1174="F-30",3,IF(L1174="F-60",4,IF(L1174="F-90",5,IF(L1174="F-120",6,IF(L1174="F-150",7,0)))))),0),0)+IF(AND(O1174="FIRE TEX 5120",OR(E1174="IN",E1174="C",E1174="Z",E1174="L"),J1174=3),VLOOKUP(_xlfn.MINIFS('FIRE TEX 5120'!$B$5:$B$40,'FIRE TEX 5120'!$B$5:$B$40,"&gt;="&amp;M1174),'FIRE TEX 5120'!$B$5:$G$40,IF(L1174="F-15",2,IF(L1174="F-30",3,IF(L1174="F-60",4,IF(L1174="F-90",5,IF(L1174="F-120",6,0))))),0),0)+IF(AND(O1174="FIRE TEX 5120",OR(E1174="IN",E1174="C",E1174="Z",E1174="L"),J1174=4),VLOOKUP(_xlfn.MINIFS('FIRE TEX 5120'!$H$4:$H$40,'FIRE TEX 5120'!$H$4:$H$40,"&gt;="&amp;M1174),'FIRE TEX 5120'!$H$4:$M$40,IF(L1174="F-15",2,IF(L1174="F-30",3,IF(L1174="F-60",4,IF(L1174="F-90",5,IF(L1174="F-120",6,0))))),0),0)+IF(AND(O1174="FIRE TEX 5120",E1174="CJ"),VLOOKUP(_xlfn.MINIFS('FIRE TEX 5120'!$O$5:$O$40,'FIRE TEX 5120'!$O$5:$O$40,"&gt;="&amp;M1174),'FIRE TEX 5120'!$O$5:$T$40,IF(L1174="F-15",2,IF(L1174="F-30",3,IF(L1174="F-60",4,IF(L1174="F-90",5,IF(L1174="F-120",6,0))))),0),0)</f>
        <v>0</v>
      </c>
      <c r="Q1174" s="46">
        <f t="shared" si="109"/>
        <v>0</v>
      </c>
      <c r="R1174" s="46">
        <f t="shared" si="110"/>
        <v>0</v>
      </c>
      <c r="S1174" s="46" t="e">
        <f t="shared" si="111"/>
        <v>#VALUE!</v>
      </c>
      <c r="T1174" s="677">
        <f t="shared" si="112"/>
        <v>0</v>
      </c>
      <c r="U1174" s="80">
        <f>(IF(O1174="Stofire",(S1174*#REF!),0))+(IF(O1174="Fire Control",(S1174*$U$2),0))+(IF(O1174="Fire Tex",(S1174*$U$3),0))+(IF(O1174="WB7",(S1174*#REF!),0)+(IF(O1174="FX 2003",(S1174*$U$5),0)))</f>
        <v>0</v>
      </c>
      <c r="V1174" s="651">
        <f t="shared" si="113"/>
        <v>0</v>
      </c>
    </row>
    <row r="1175" spans="4:22" x14ac:dyDescent="0.25">
      <c r="D1175" s="118">
        <f>+CUBICACION!D1174</f>
        <v>0</v>
      </c>
      <c r="E1175" s="118">
        <f>+CUBICACION!F1174</f>
        <v>0</v>
      </c>
      <c r="F1175" s="118">
        <f>+CUBICACION!E1174</f>
        <v>0</v>
      </c>
      <c r="G1175" s="118">
        <v>12</v>
      </c>
      <c r="H1175" s="118">
        <v>2</v>
      </c>
      <c r="I1175" s="820">
        <v>26385</v>
      </c>
      <c r="J1175" s="118">
        <f>+CUBICACION!J1174</f>
        <v>0</v>
      </c>
      <c r="K1175" s="118">
        <v>3954</v>
      </c>
      <c r="L1175" s="118">
        <f>+CUBICACION!L1174</f>
        <v>0</v>
      </c>
      <c r="M1175" s="64">
        <f>+CUBICACION!M1174</f>
        <v>0</v>
      </c>
      <c r="N1175" s="824" t="str">
        <f>+CUBICACION!N1174</f>
        <v/>
      </c>
      <c r="O1175" s="675">
        <f>+CUBICACION!O1174</f>
        <v>0</v>
      </c>
      <c r="P1175" s="15">
        <f>IF(O1175="Fire Control",VLOOKUP(_xlfn.MINIFS('FIRE CONTROL'!$C$4:$C$37,'FIRE CONTROL'!$C$4:$C$37,"&gt;="&amp;M1175),'FIRE CONTROL'!$C$4:$G$37,IF(L1175="F-15",2,IF(L1175="F-30",3,IF(L1175="F-60",4,IF(L1175="F-90",5,0)))),0),0)+IF(AND(O1175="FIRE TEX 5062",OR(E1175="IN",E1175="C",E1175="Z",E1175="L"),J1175=3),VLOOKUP(_xlfn.MINIFS('FIRE TEX 5062'!$B$4:$B$34,'FIRE TEX 5062'!$B$4:$B$34,"&gt;="&amp;M1175),'FIRE TEX 5062'!$B$4:$F$34,IF(L1175="F-15",2,IF(L1175="F-30",3,IF(L1175="F-60",4,IF(L1175="F-90",5,0)))),0),0)+IF(AND(O1175="FIRE TEX 5062",OR(E1175="IN",E1175="C",E1175="Z",E1175="L"),J1175=4),VLOOKUP(_xlfn.MINIFS('FIRE TEX 5062'!$G$4:$G$34,'FIRE TEX 5062'!$G$4:$G$34,"&gt;="&amp;M1175),'FIRE TEX 5062'!$G$4:$K$34,IF(L1175="F-15",2,IF(L1175="F-30",3,IF(L1175="F-60",4,IF(L1175="F-90",5,0)))),0),0)+IF(AND(O1175="FIRE TEX 5062",E1175="CJ",J1175=3),VLOOKUP(_xlfn.MINIFS('FIRE TEX 5062'!$L$4:$L$34,'FIRE TEX 5062'!$L$4:$L$34,"&gt;="&amp;M1175),'FIRE TEX 5062'!$L$4:$P$34,IF(L1175="F-15",2,IF(L1175="F-30",3,IF(L1175="F-60",4,IF(L1175="F-90",5,0)))),0),0)+IF(AND(O1175="FIRE TEX 5062",E1175="CJ",J1175=4),VLOOKUP(_xlfn.MINIFS('FIRE TEX 5062'!$Q$3:$Q$34,'FIRE TEX 5062'!$Q$3:$Q$34,"&gt;="&amp;M1175),'FIRE TEX 5062'!$Q$3:$U$34,IF(L1175="F-15",2,IF(L1175="F-30",3,IF(L1175="F-60",4,IF(L1175="F-90",5,0)))),0),0)+IF(AND(O1175="FIRE TEX 5090",OR(E1175="IN",E1175="C",E1175="Z",E1175="L"),J1175=3),VLOOKUP(_xlfn.MINIFS('FIRE TEX 5090'!$B$5:$B$43,'FIRE TEX 5090'!$B$5:$B$43,"&gt;="&amp;M1175),'FIRE TEX 5090'!$B$5:$H$43,IF(L1175="F-15",2,IF(L1175="F-30",3,IF(L1175="F-60",4,IF(L1175="F-90",5,IF(L1175="F-120",6,IF(L1175="F-150",7,0)))))),0),0)+IF(AND(O1175="FIRE TEX 5090",OR(E1175="IN",E1175="C",E1175="Z",E1175="L"),J1175=4),VLOOKUP(_xlfn.MINIFS('FIRE TEX 5090'!$J$5:$J$43,'FIRE TEX 5090'!$J$5:$J$43,"&gt;="&amp;M1175),'FIRE TEX 5090'!$J$5:$P$43,IF(L1175="F-15",2,IF(L1175="F-30",3,IF(L1175="F-60",4,IF(L1175="F-90",5,IF(L1175="F-120",6,IF(L1175="F-150",7,0)))))),0),0)+IF(AND(O1175="FIRE TEX 5090",E1175="CJ",J1175=3),VLOOKUP(_xlfn.MINIFS('FIRE TEX 5090'!$R$5:$R$30,'FIRE TEX 5090'!$R$5:$R$30,"&gt;="&amp;M1175),'FIRE TEX 5090'!$R$5:$W$30,IF(L1175="F-15",2,IF(L1175="F-30",3,IF(L1175="F-60",4,IF(L1175="F-90",5,IF(L1175="F-120",6,IF(L1175="F-150",7,0)))))),0),0)+IF(AND(O1175="FIRE TEX 5090",E1175="CJ",J1175=4),VLOOKUP(_xlfn.MINIFS('FIRE TEX 5090'!$Y$5:$Y$39,'FIRE TEX 5090'!$Y$5:$Y$39,"&gt;="&amp;M1175),'FIRE TEX 5090'!$Y$5:$AD$39,IF(L1175="F-15",2,IF(L1175="F-30",3,IF(L1175="F-60",4,IF(L1175="F-90",5,IF(L1175="F-120",6,IF(L1175="F-150",7,0)))))),0),0)+IF(AND(O1175="FIRE TEX 5120",OR(E1175="IN",E1175="C",E1175="Z",E1175="L"),J1175=3),VLOOKUP(_xlfn.MINIFS('FIRE TEX 5120'!$B$5:$B$40,'FIRE TEX 5120'!$B$5:$B$40,"&gt;="&amp;M1175),'FIRE TEX 5120'!$B$5:$G$40,IF(L1175="F-15",2,IF(L1175="F-30",3,IF(L1175="F-60",4,IF(L1175="F-90",5,IF(L1175="F-120",6,0))))),0),0)+IF(AND(O1175="FIRE TEX 5120",OR(E1175="IN",E1175="C",E1175="Z",E1175="L"),J1175=4),VLOOKUP(_xlfn.MINIFS('FIRE TEX 5120'!$H$4:$H$40,'FIRE TEX 5120'!$H$4:$H$40,"&gt;="&amp;M1175),'FIRE TEX 5120'!$H$4:$M$40,IF(L1175="F-15",2,IF(L1175="F-30",3,IF(L1175="F-60",4,IF(L1175="F-90",5,IF(L1175="F-120",6,0))))),0),0)+IF(AND(O1175="FIRE TEX 5120",E1175="CJ"),VLOOKUP(_xlfn.MINIFS('FIRE TEX 5120'!$O$5:$O$40,'FIRE TEX 5120'!$O$5:$O$40,"&gt;="&amp;M1175),'FIRE TEX 5120'!$O$5:$T$40,IF(L1175="F-15",2,IF(L1175="F-30",3,IF(L1175="F-60",4,IF(L1175="F-90",5,IF(L1175="F-120",6,0))))),0),0)</f>
        <v>0</v>
      </c>
      <c r="Q1175" s="46">
        <f t="shared" si="109"/>
        <v>0</v>
      </c>
      <c r="R1175" s="46">
        <f t="shared" si="110"/>
        <v>0</v>
      </c>
      <c r="S1175" s="46" t="e">
        <f t="shared" si="111"/>
        <v>#VALUE!</v>
      </c>
      <c r="T1175" s="677">
        <f t="shared" si="112"/>
        <v>0</v>
      </c>
      <c r="U1175" s="80">
        <f>(IF(O1175="Stofire",(S1175*#REF!),0))+(IF(O1175="Fire Control",(S1175*$U$2),0))+(IF(O1175="Fire Tex",(S1175*$U$3),0))+(IF(O1175="WB7",(S1175*#REF!),0)+(IF(O1175="FX 2003",(S1175*$U$5),0)))</f>
        <v>0</v>
      </c>
      <c r="V1175" s="651">
        <f t="shared" si="113"/>
        <v>0</v>
      </c>
    </row>
    <row r="1176" spans="4:22" x14ac:dyDescent="0.25">
      <c r="D1176" s="118">
        <f>+CUBICACION!D1175</f>
        <v>0</v>
      </c>
      <c r="E1176" s="118">
        <f>+CUBICACION!F1175</f>
        <v>0</v>
      </c>
      <c r="F1176" s="118">
        <f>+CUBICACION!E1175</f>
        <v>0</v>
      </c>
      <c r="G1176" s="118">
        <v>12</v>
      </c>
      <c r="H1176" s="118">
        <v>2</v>
      </c>
      <c r="I1176" s="820">
        <v>26385</v>
      </c>
      <c r="J1176" s="118">
        <f>+CUBICACION!J1175</f>
        <v>0</v>
      </c>
      <c r="K1176" s="118">
        <v>3955</v>
      </c>
      <c r="L1176" s="118">
        <f>+CUBICACION!L1175</f>
        <v>0</v>
      </c>
      <c r="M1176" s="64">
        <f>+CUBICACION!M1175</f>
        <v>0</v>
      </c>
      <c r="N1176" s="824" t="str">
        <f>+CUBICACION!N1175</f>
        <v/>
      </c>
      <c r="O1176" s="675">
        <f>+CUBICACION!O1175</f>
        <v>0</v>
      </c>
      <c r="P1176" s="15">
        <f>IF(O1176="Fire Control",VLOOKUP(_xlfn.MINIFS('FIRE CONTROL'!$C$4:$C$37,'FIRE CONTROL'!$C$4:$C$37,"&gt;="&amp;M1176),'FIRE CONTROL'!$C$4:$G$37,IF(L1176="F-15",2,IF(L1176="F-30",3,IF(L1176="F-60",4,IF(L1176="F-90",5,0)))),0),0)+IF(AND(O1176="FIRE TEX 5062",OR(E1176="IN",E1176="C",E1176="Z",E1176="L"),J1176=3),VLOOKUP(_xlfn.MINIFS('FIRE TEX 5062'!$B$4:$B$34,'FIRE TEX 5062'!$B$4:$B$34,"&gt;="&amp;M1176),'FIRE TEX 5062'!$B$4:$F$34,IF(L1176="F-15",2,IF(L1176="F-30",3,IF(L1176="F-60",4,IF(L1176="F-90",5,0)))),0),0)+IF(AND(O1176="FIRE TEX 5062",OR(E1176="IN",E1176="C",E1176="Z",E1176="L"),J1176=4),VLOOKUP(_xlfn.MINIFS('FIRE TEX 5062'!$G$4:$G$34,'FIRE TEX 5062'!$G$4:$G$34,"&gt;="&amp;M1176),'FIRE TEX 5062'!$G$4:$K$34,IF(L1176="F-15",2,IF(L1176="F-30",3,IF(L1176="F-60",4,IF(L1176="F-90",5,0)))),0),0)+IF(AND(O1176="FIRE TEX 5062",E1176="CJ",J1176=3),VLOOKUP(_xlfn.MINIFS('FIRE TEX 5062'!$L$4:$L$34,'FIRE TEX 5062'!$L$4:$L$34,"&gt;="&amp;M1176),'FIRE TEX 5062'!$L$4:$P$34,IF(L1176="F-15",2,IF(L1176="F-30",3,IF(L1176="F-60",4,IF(L1176="F-90",5,0)))),0),0)+IF(AND(O1176="FIRE TEX 5062",E1176="CJ",J1176=4),VLOOKUP(_xlfn.MINIFS('FIRE TEX 5062'!$Q$3:$Q$34,'FIRE TEX 5062'!$Q$3:$Q$34,"&gt;="&amp;M1176),'FIRE TEX 5062'!$Q$3:$U$34,IF(L1176="F-15",2,IF(L1176="F-30",3,IF(L1176="F-60",4,IF(L1176="F-90",5,0)))),0),0)+IF(AND(O1176="FIRE TEX 5090",OR(E1176="IN",E1176="C",E1176="Z",E1176="L"),J1176=3),VLOOKUP(_xlfn.MINIFS('FIRE TEX 5090'!$B$5:$B$43,'FIRE TEX 5090'!$B$5:$B$43,"&gt;="&amp;M1176),'FIRE TEX 5090'!$B$5:$H$43,IF(L1176="F-15",2,IF(L1176="F-30",3,IF(L1176="F-60",4,IF(L1176="F-90",5,IF(L1176="F-120",6,IF(L1176="F-150",7,0)))))),0),0)+IF(AND(O1176="FIRE TEX 5090",OR(E1176="IN",E1176="C",E1176="Z",E1176="L"),J1176=4),VLOOKUP(_xlfn.MINIFS('FIRE TEX 5090'!$J$5:$J$43,'FIRE TEX 5090'!$J$5:$J$43,"&gt;="&amp;M1176),'FIRE TEX 5090'!$J$5:$P$43,IF(L1176="F-15",2,IF(L1176="F-30",3,IF(L1176="F-60",4,IF(L1176="F-90",5,IF(L1176="F-120",6,IF(L1176="F-150",7,0)))))),0),0)+IF(AND(O1176="FIRE TEX 5090",E1176="CJ",J1176=3),VLOOKUP(_xlfn.MINIFS('FIRE TEX 5090'!$R$5:$R$30,'FIRE TEX 5090'!$R$5:$R$30,"&gt;="&amp;M1176),'FIRE TEX 5090'!$R$5:$W$30,IF(L1176="F-15",2,IF(L1176="F-30",3,IF(L1176="F-60",4,IF(L1176="F-90",5,IF(L1176="F-120",6,IF(L1176="F-150",7,0)))))),0),0)+IF(AND(O1176="FIRE TEX 5090",E1176="CJ",J1176=4),VLOOKUP(_xlfn.MINIFS('FIRE TEX 5090'!$Y$5:$Y$39,'FIRE TEX 5090'!$Y$5:$Y$39,"&gt;="&amp;M1176),'FIRE TEX 5090'!$Y$5:$AD$39,IF(L1176="F-15",2,IF(L1176="F-30",3,IF(L1176="F-60",4,IF(L1176="F-90",5,IF(L1176="F-120",6,IF(L1176="F-150",7,0)))))),0),0)+IF(AND(O1176="FIRE TEX 5120",OR(E1176="IN",E1176="C",E1176="Z",E1176="L"),J1176=3),VLOOKUP(_xlfn.MINIFS('FIRE TEX 5120'!$B$5:$B$40,'FIRE TEX 5120'!$B$5:$B$40,"&gt;="&amp;M1176),'FIRE TEX 5120'!$B$5:$G$40,IF(L1176="F-15",2,IF(L1176="F-30",3,IF(L1176="F-60",4,IF(L1176="F-90",5,IF(L1176="F-120",6,0))))),0),0)+IF(AND(O1176="FIRE TEX 5120",OR(E1176="IN",E1176="C",E1176="Z",E1176="L"),J1176=4),VLOOKUP(_xlfn.MINIFS('FIRE TEX 5120'!$H$4:$H$40,'FIRE TEX 5120'!$H$4:$H$40,"&gt;="&amp;M1176),'FIRE TEX 5120'!$H$4:$M$40,IF(L1176="F-15",2,IF(L1176="F-30",3,IF(L1176="F-60",4,IF(L1176="F-90",5,IF(L1176="F-120",6,0))))),0),0)+IF(AND(O1176="FIRE TEX 5120",E1176="CJ"),VLOOKUP(_xlfn.MINIFS('FIRE TEX 5120'!$O$5:$O$40,'FIRE TEX 5120'!$O$5:$O$40,"&gt;="&amp;M1176),'FIRE TEX 5120'!$O$5:$T$40,IF(L1176="F-15",2,IF(L1176="F-30",3,IF(L1176="F-60",4,IF(L1176="F-90",5,IF(L1176="F-120",6,0))))),0),0)</f>
        <v>0</v>
      </c>
      <c r="Q1176" s="46">
        <f t="shared" si="109"/>
        <v>0</v>
      </c>
      <c r="R1176" s="46">
        <f t="shared" si="110"/>
        <v>0</v>
      </c>
      <c r="S1176" s="46" t="e">
        <f t="shared" si="111"/>
        <v>#VALUE!</v>
      </c>
      <c r="T1176" s="677">
        <f t="shared" si="112"/>
        <v>0</v>
      </c>
      <c r="U1176" s="80">
        <f>(IF(O1176="Stofire",(S1176*#REF!),0))+(IF(O1176="Fire Control",(S1176*$U$2),0))+(IF(O1176="Fire Tex",(S1176*$U$3),0))+(IF(O1176="WB7",(S1176*#REF!),0)+(IF(O1176="FX 2003",(S1176*$U$5),0)))</f>
        <v>0</v>
      </c>
      <c r="V1176" s="651">
        <f t="shared" si="113"/>
        <v>0</v>
      </c>
    </row>
    <row r="1177" spans="4:22" x14ac:dyDescent="0.25">
      <c r="D1177" s="118">
        <f>+CUBICACION!D1176</f>
        <v>0</v>
      </c>
      <c r="E1177" s="118">
        <f>+CUBICACION!F1176</f>
        <v>0</v>
      </c>
      <c r="F1177" s="118">
        <f>+CUBICACION!E1176</f>
        <v>0</v>
      </c>
      <c r="G1177" s="118">
        <v>12</v>
      </c>
      <c r="H1177" s="118">
        <v>2</v>
      </c>
      <c r="I1177" s="820">
        <v>26385</v>
      </c>
      <c r="J1177" s="118">
        <f>+CUBICACION!J1176</f>
        <v>0</v>
      </c>
      <c r="K1177" s="118">
        <v>3956</v>
      </c>
      <c r="L1177" s="118">
        <f>+CUBICACION!L1176</f>
        <v>0</v>
      </c>
      <c r="M1177" s="64">
        <f>+CUBICACION!M1176</f>
        <v>0</v>
      </c>
      <c r="N1177" s="824" t="str">
        <f>+CUBICACION!N1176</f>
        <v/>
      </c>
      <c r="O1177" s="675">
        <f>+CUBICACION!O1176</f>
        <v>0</v>
      </c>
      <c r="P1177" s="15">
        <f>IF(O1177="Fire Control",VLOOKUP(_xlfn.MINIFS('FIRE CONTROL'!$C$4:$C$37,'FIRE CONTROL'!$C$4:$C$37,"&gt;="&amp;M1177),'FIRE CONTROL'!$C$4:$G$37,IF(L1177="F-15",2,IF(L1177="F-30",3,IF(L1177="F-60",4,IF(L1177="F-90",5,0)))),0),0)+IF(AND(O1177="FIRE TEX 5062",OR(E1177="IN",E1177="C",E1177="Z",E1177="L"),J1177=3),VLOOKUP(_xlfn.MINIFS('FIRE TEX 5062'!$B$4:$B$34,'FIRE TEX 5062'!$B$4:$B$34,"&gt;="&amp;M1177),'FIRE TEX 5062'!$B$4:$F$34,IF(L1177="F-15",2,IF(L1177="F-30",3,IF(L1177="F-60",4,IF(L1177="F-90",5,0)))),0),0)+IF(AND(O1177="FIRE TEX 5062",OR(E1177="IN",E1177="C",E1177="Z",E1177="L"),J1177=4),VLOOKUP(_xlfn.MINIFS('FIRE TEX 5062'!$G$4:$G$34,'FIRE TEX 5062'!$G$4:$G$34,"&gt;="&amp;M1177),'FIRE TEX 5062'!$G$4:$K$34,IF(L1177="F-15",2,IF(L1177="F-30",3,IF(L1177="F-60",4,IF(L1177="F-90",5,0)))),0),0)+IF(AND(O1177="FIRE TEX 5062",E1177="CJ",J1177=3),VLOOKUP(_xlfn.MINIFS('FIRE TEX 5062'!$L$4:$L$34,'FIRE TEX 5062'!$L$4:$L$34,"&gt;="&amp;M1177),'FIRE TEX 5062'!$L$4:$P$34,IF(L1177="F-15",2,IF(L1177="F-30",3,IF(L1177="F-60",4,IF(L1177="F-90",5,0)))),0),0)+IF(AND(O1177="FIRE TEX 5062",E1177="CJ",J1177=4),VLOOKUP(_xlfn.MINIFS('FIRE TEX 5062'!$Q$3:$Q$34,'FIRE TEX 5062'!$Q$3:$Q$34,"&gt;="&amp;M1177),'FIRE TEX 5062'!$Q$3:$U$34,IF(L1177="F-15",2,IF(L1177="F-30",3,IF(L1177="F-60",4,IF(L1177="F-90",5,0)))),0),0)+IF(AND(O1177="FIRE TEX 5090",OR(E1177="IN",E1177="C",E1177="Z",E1177="L"),J1177=3),VLOOKUP(_xlfn.MINIFS('FIRE TEX 5090'!$B$5:$B$43,'FIRE TEX 5090'!$B$5:$B$43,"&gt;="&amp;M1177),'FIRE TEX 5090'!$B$5:$H$43,IF(L1177="F-15",2,IF(L1177="F-30",3,IF(L1177="F-60",4,IF(L1177="F-90",5,IF(L1177="F-120",6,IF(L1177="F-150",7,0)))))),0),0)+IF(AND(O1177="FIRE TEX 5090",OR(E1177="IN",E1177="C",E1177="Z",E1177="L"),J1177=4),VLOOKUP(_xlfn.MINIFS('FIRE TEX 5090'!$J$5:$J$43,'FIRE TEX 5090'!$J$5:$J$43,"&gt;="&amp;M1177),'FIRE TEX 5090'!$J$5:$P$43,IF(L1177="F-15",2,IF(L1177="F-30",3,IF(L1177="F-60",4,IF(L1177="F-90",5,IF(L1177="F-120",6,IF(L1177="F-150",7,0)))))),0),0)+IF(AND(O1177="FIRE TEX 5090",E1177="CJ",J1177=3),VLOOKUP(_xlfn.MINIFS('FIRE TEX 5090'!$R$5:$R$30,'FIRE TEX 5090'!$R$5:$R$30,"&gt;="&amp;M1177),'FIRE TEX 5090'!$R$5:$W$30,IF(L1177="F-15",2,IF(L1177="F-30",3,IF(L1177="F-60",4,IF(L1177="F-90",5,IF(L1177="F-120",6,IF(L1177="F-150",7,0)))))),0),0)+IF(AND(O1177="FIRE TEX 5090",E1177="CJ",J1177=4),VLOOKUP(_xlfn.MINIFS('FIRE TEX 5090'!$Y$5:$Y$39,'FIRE TEX 5090'!$Y$5:$Y$39,"&gt;="&amp;M1177),'FIRE TEX 5090'!$Y$5:$AD$39,IF(L1177="F-15",2,IF(L1177="F-30",3,IF(L1177="F-60",4,IF(L1177="F-90",5,IF(L1177="F-120",6,IF(L1177="F-150",7,0)))))),0),0)+IF(AND(O1177="FIRE TEX 5120",OR(E1177="IN",E1177="C",E1177="Z",E1177="L"),J1177=3),VLOOKUP(_xlfn.MINIFS('FIRE TEX 5120'!$B$5:$B$40,'FIRE TEX 5120'!$B$5:$B$40,"&gt;="&amp;M1177),'FIRE TEX 5120'!$B$5:$G$40,IF(L1177="F-15",2,IF(L1177="F-30",3,IF(L1177="F-60",4,IF(L1177="F-90",5,IF(L1177="F-120",6,0))))),0),0)+IF(AND(O1177="FIRE TEX 5120",OR(E1177="IN",E1177="C",E1177="Z",E1177="L"),J1177=4),VLOOKUP(_xlfn.MINIFS('FIRE TEX 5120'!$H$4:$H$40,'FIRE TEX 5120'!$H$4:$H$40,"&gt;="&amp;M1177),'FIRE TEX 5120'!$H$4:$M$40,IF(L1177="F-15",2,IF(L1177="F-30",3,IF(L1177="F-60",4,IF(L1177="F-90",5,IF(L1177="F-120",6,0))))),0),0)+IF(AND(O1177="FIRE TEX 5120",E1177="CJ"),VLOOKUP(_xlfn.MINIFS('FIRE TEX 5120'!$O$5:$O$40,'FIRE TEX 5120'!$O$5:$O$40,"&gt;="&amp;M1177),'FIRE TEX 5120'!$O$5:$T$40,IF(L1177="F-15",2,IF(L1177="F-30",3,IF(L1177="F-60",4,IF(L1177="F-90",5,IF(L1177="F-120",6,0))))),0),0)</f>
        <v>0</v>
      </c>
      <c r="Q1177" s="46">
        <f t="shared" si="109"/>
        <v>0</v>
      </c>
      <c r="R1177" s="46">
        <f t="shared" si="110"/>
        <v>0</v>
      </c>
      <c r="S1177" s="46" t="e">
        <f t="shared" si="111"/>
        <v>#VALUE!</v>
      </c>
      <c r="T1177" s="677">
        <f t="shared" si="112"/>
        <v>0</v>
      </c>
      <c r="U1177" s="80">
        <f>(IF(O1177="Stofire",(S1177*#REF!),0))+(IF(O1177="Fire Control",(S1177*$U$2),0))+(IF(O1177="Fire Tex",(S1177*$U$3),0))+(IF(O1177="WB7",(S1177*#REF!),0)+(IF(O1177="FX 2003",(S1177*$U$5),0)))</f>
        <v>0</v>
      </c>
      <c r="V1177" s="651">
        <f t="shared" si="113"/>
        <v>0</v>
      </c>
    </row>
    <row r="1178" spans="4:22" x14ac:dyDescent="0.25">
      <c r="D1178" s="118">
        <f>+CUBICACION!D1177</f>
        <v>0</v>
      </c>
      <c r="E1178" s="118">
        <f>+CUBICACION!F1177</f>
        <v>0</v>
      </c>
      <c r="F1178" s="118">
        <f>+CUBICACION!E1177</f>
        <v>0</v>
      </c>
      <c r="G1178" s="118">
        <v>12</v>
      </c>
      <c r="H1178" s="118">
        <v>2</v>
      </c>
      <c r="I1178" s="820">
        <v>26385</v>
      </c>
      <c r="J1178" s="118">
        <f>+CUBICACION!J1177</f>
        <v>0</v>
      </c>
      <c r="K1178" s="118">
        <v>3957</v>
      </c>
      <c r="L1178" s="118">
        <f>+CUBICACION!L1177</f>
        <v>0</v>
      </c>
      <c r="M1178" s="64">
        <f>+CUBICACION!M1177</f>
        <v>0</v>
      </c>
      <c r="N1178" s="824" t="str">
        <f>+CUBICACION!N1177</f>
        <v/>
      </c>
      <c r="O1178" s="675">
        <f>+CUBICACION!O1177</f>
        <v>0</v>
      </c>
      <c r="P1178" s="15">
        <f>IF(O1178="Fire Control",VLOOKUP(_xlfn.MINIFS('FIRE CONTROL'!$C$4:$C$37,'FIRE CONTROL'!$C$4:$C$37,"&gt;="&amp;M1178),'FIRE CONTROL'!$C$4:$G$37,IF(L1178="F-15",2,IF(L1178="F-30",3,IF(L1178="F-60",4,IF(L1178="F-90",5,0)))),0),0)+IF(AND(O1178="FIRE TEX 5062",OR(E1178="IN",E1178="C",E1178="Z",E1178="L"),J1178=3),VLOOKUP(_xlfn.MINIFS('FIRE TEX 5062'!$B$4:$B$34,'FIRE TEX 5062'!$B$4:$B$34,"&gt;="&amp;M1178),'FIRE TEX 5062'!$B$4:$F$34,IF(L1178="F-15",2,IF(L1178="F-30",3,IF(L1178="F-60",4,IF(L1178="F-90",5,0)))),0),0)+IF(AND(O1178="FIRE TEX 5062",OR(E1178="IN",E1178="C",E1178="Z",E1178="L"),J1178=4),VLOOKUP(_xlfn.MINIFS('FIRE TEX 5062'!$G$4:$G$34,'FIRE TEX 5062'!$G$4:$G$34,"&gt;="&amp;M1178),'FIRE TEX 5062'!$G$4:$K$34,IF(L1178="F-15",2,IF(L1178="F-30",3,IF(L1178="F-60",4,IF(L1178="F-90",5,0)))),0),0)+IF(AND(O1178="FIRE TEX 5062",E1178="CJ",J1178=3),VLOOKUP(_xlfn.MINIFS('FIRE TEX 5062'!$L$4:$L$34,'FIRE TEX 5062'!$L$4:$L$34,"&gt;="&amp;M1178),'FIRE TEX 5062'!$L$4:$P$34,IF(L1178="F-15",2,IF(L1178="F-30",3,IF(L1178="F-60",4,IF(L1178="F-90",5,0)))),0),0)+IF(AND(O1178="FIRE TEX 5062",E1178="CJ",J1178=4),VLOOKUP(_xlfn.MINIFS('FIRE TEX 5062'!$Q$3:$Q$34,'FIRE TEX 5062'!$Q$3:$Q$34,"&gt;="&amp;M1178),'FIRE TEX 5062'!$Q$3:$U$34,IF(L1178="F-15",2,IF(L1178="F-30",3,IF(L1178="F-60",4,IF(L1178="F-90",5,0)))),0),0)+IF(AND(O1178="FIRE TEX 5090",OR(E1178="IN",E1178="C",E1178="Z",E1178="L"),J1178=3),VLOOKUP(_xlfn.MINIFS('FIRE TEX 5090'!$B$5:$B$43,'FIRE TEX 5090'!$B$5:$B$43,"&gt;="&amp;M1178),'FIRE TEX 5090'!$B$5:$H$43,IF(L1178="F-15",2,IF(L1178="F-30",3,IF(L1178="F-60",4,IF(L1178="F-90",5,IF(L1178="F-120",6,IF(L1178="F-150",7,0)))))),0),0)+IF(AND(O1178="FIRE TEX 5090",OR(E1178="IN",E1178="C",E1178="Z",E1178="L"),J1178=4),VLOOKUP(_xlfn.MINIFS('FIRE TEX 5090'!$J$5:$J$43,'FIRE TEX 5090'!$J$5:$J$43,"&gt;="&amp;M1178),'FIRE TEX 5090'!$J$5:$P$43,IF(L1178="F-15",2,IF(L1178="F-30",3,IF(L1178="F-60",4,IF(L1178="F-90",5,IF(L1178="F-120",6,IF(L1178="F-150",7,0)))))),0),0)+IF(AND(O1178="FIRE TEX 5090",E1178="CJ",J1178=3),VLOOKUP(_xlfn.MINIFS('FIRE TEX 5090'!$R$5:$R$30,'FIRE TEX 5090'!$R$5:$R$30,"&gt;="&amp;M1178),'FIRE TEX 5090'!$R$5:$W$30,IF(L1178="F-15",2,IF(L1178="F-30",3,IF(L1178="F-60",4,IF(L1178="F-90",5,IF(L1178="F-120",6,IF(L1178="F-150",7,0)))))),0),0)+IF(AND(O1178="FIRE TEX 5090",E1178="CJ",J1178=4),VLOOKUP(_xlfn.MINIFS('FIRE TEX 5090'!$Y$5:$Y$39,'FIRE TEX 5090'!$Y$5:$Y$39,"&gt;="&amp;M1178),'FIRE TEX 5090'!$Y$5:$AD$39,IF(L1178="F-15",2,IF(L1178="F-30",3,IF(L1178="F-60",4,IF(L1178="F-90",5,IF(L1178="F-120",6,IF(L1178="F-150",7,0)))))),0),0)+IF(AND(O1178="FIRE TEX 5120",OR(E1178="IN",E1178="C",E1178="Z",E1178="L"),J1178=3),VLOOKUP(_xlfn.MINIFS('FIRE TEX 5120'!$B$5:$B$40,'FIRE TEX 5120'!$B$5:$B$40,"&gt;="&amp;M1178),'FIRE TEX 5120'!$B$5:$G$40,IF(L1178="F-15",2,IF(L1178="F-30",3,IF(L1178="F-60",4,IF(L1178="F-90",5,IF(L1178="F-120",6,0))))),0),0)+IF(AND(O1178="FIRE TEX 5120",OR(E1178="IN",E1178="C",E1178="Z",E1178="L"),J1178=4),VLOOKUP(_xlfn.MINIFS('FIRE TEX 5120'!$H$4:$H$40,'FIRE TEX 5120'!$H$4:$H$40,"&gt;="&amp;M1178),'FIRE TEX 5120'!$H$4:$M$40,IF(L1178="F-15",2,IF(L1178="F-30",3,IF(L1178="F-60",4,IF(L1178="F-90",5,IF(L1178="F-120",6,0))))),0),0)+IF(AND(O1178="FIRE TEX 5120",E1178="CJ"),VLOOKUP(_xlfn.MINIFS('FIRE TEX 5120'!$O$5:$O$40,'FIRE TEX 5120'!$O$5:$O$40,"&gt;="&amp;M1178),'FIRE TEX 5120'!$O$5:$T$40,IF(L1178="F-15",2,IF(L1178="F-30",3,IF(L1178="F-60",4,IF(L1178="F-90",5,IF(L1178="F-120",6,0))))),0),0)</f>
        <v>0</v>
      </c>
      <c r="Q1178" s="46">
        <f t="shared" si="109"/>
        <v>0</v>
      </c>
      <c r="R1178" s="46">
        <f t="shared" si="110"/>
        <v>0</v>
      </c>
      <c r="S1178" s="46" t="e">
        <f t="shared" si="111"/>
        <v>#VALUE!</v>
      </c>
      <c r="T1178" s="677">
        <f t="shared" si="112"/>
        <v>0</v>
      </c>
      <c r="U1178" s="80">
        <f>(IF(O1178="Stofire",(S1178*#REF!),0))+(IF(O1178="Fire Control",(S1178*$U$2),0))+(IF(O1178="Fire Tex",(S1178*$U$3),0))+(IF(O1178="WB7",(S1178*#REF!),0)+(IF(O1178="FX 2003",(S1178*$U$5),0)))</f>
        <v>0</v>
      </c>
      <c r="V1178" s="651">
        <f t="shared" si="113"/>
        <v>0</v>
      </c>
    </row>
    <row r="1179" spans="4:22" x14ac:dyDescent="0.25">
      <c r="D1179" s="118">
        <f>+CUBICACION!D1178</f>
        <v>0</v>
      </c>
      <c r="E1179" s="118">
        <f>+CUBICACION!F1178</f>
        <v>0</v>
      </c>
      <c r="F1179" s="118">
        <f>+CUBICACION!E1178</f>
        <v>0</v>
      </c>
      <c r="G1179" s="118">
        <v>12</v>
      </c>
      <c r="H1179" s="118">
        <v>2</v>
      </c>
      <c r="I1179" s="820">
        <v>26385</v>
      </c>
      <c r="J1179" s="118">
        <f>+CUBICACION!J1178</f>
        <v>0</v>
      </c>
      <c r="K1179" s="118">
        <v>3958</v>
      </c>
      <c r="L1179" s="118">
        <f>+CUBICACION!L1178</f>
        <v>0</v>
      </c>
      <c r="M1179" s="64">
        <f>+CUBICACION!M1178</f>
        <v>0</v>
      </c>
      <c r="N1179" s="824" t="str">
        <f>+CUBICACION!N1178</f>
        <v/>
      </c>
      <c r="O1179" s="675">
        <f>+CUBICACION!O1178</f>
        <v>0</v>
      </c>
      <c r="P1179" s="15">
        <f>IF(O1179="Fire Control",VLOOKUP(_xlfn.MINIFS('FIRE CONTROL'!$C$4:$C$37,'FIRE CONTROL'!$C$4:$C$37,"&gt;="&amp;M1179),'FIRE CONTROL'!$C$4:$G$37,IF(L1179="F-15",2,IF(L1179="F-30",3,IF(L1179="F-60",4,IF(L1179="F-90",5,0)))),0),0)+IF(AND(O1179="FIRE TEX 5062",OR(E1179="IN",E1179="C",E1179="Z",E1179="L"),J1179=3),VLOOKUP(_xlfn.MINIFS('FIRE TEX 5062'!$B$4:$B$34,'FIRE TEX 5062'!$B$4:$B$34,"&gt;="&amp;M1179),'FIRE TEX 5062'!$B$4:$F$34,IF(L1179="F-15",2,IF(L1179="F-30",3,IF(L1179="F-60",4,IF(L1179="F-90",5,0)))),0),0)+IF(AND(O1179="FIRE TEX 5062",OR(E1179="IN",E1179="C",E1179="Z",E1179="L"),J1179=4),VLOOKUP(_xlfn.MINIFS('FIRE TEX 5062'!$G$4:$G$34,'FIRE TEX 5062'!$G$4:$G$34,"&gt;="&amp;M1179),'FIRE TEX 5062'!$G$4:$K$34,IF(L1179="F-15",2,IF(L1179="F-30",3,IF(L1179="F-60",4,IF(L1179="F-90",5,0)))),0),0)+IF(AND(O1179="FIRE TEX 5062",E1179="CJ",J1179=3),VLOOKUP(_xlfn.MINIFS('FIRE TEX 5062'!$L$4:$L$34,'FIRE TEX 5062'!$L$4:$L$34,"&gt;="&amp;M1179),'FIRE TEX 5062'!$L$4:$P$34,IF(L1179="F-15",2,IF(L1179="F-30",3,IF(L1179="F-60",4,IF(L1179="F-90",5,0)))),0),0)+IF(AND(O1179="FIRE TEX 5062",E1179="CJ",J1179=4),VLOOKUP(_xlfn.MINIFS('FIRE TEX 5062'!$Q$3:$Q$34,'FIRE TEX 5062'!$Q$3:$Q$34,"&gt;="&amp;M1179),'FIRE TEX 5062'!$Q$3:$U$34,IF(L1179="F-15",2,IF(L1179="F-30",3,IF(L1179="F-60",4,IF(L1179="F-90",5,0)))),0),0)+IF(AND(O1179="FIRE TEX 5090",OR(E1179="IN",E1179="C",E1179="Z",E1179="L"),J1179=3),VLOOKUP(_xlfn.MINIFS('FIRE TEX 5090'!$B$5:$B$43,'FIRE TEX 5090'!$B$5:$B$43,"&gt;="&amp;M1179),'FIRE TEX 5090'!$B$5:$H$43,IF(L1179="F-15",2,IF(L1179="F-30",3,IF(L1179="F-60",4,IF(L1179="F-90",5,IF(L1179="F-120",6,IF(L1179="F-150",7,0)))))),0),0)+IF(AND(O1179="FIRE TEX 5090",OR(E1179="IN",E1179="C",E1179="Z",E1179="L"),J1179=4),VLOOKUP(_xlfn.MINIFS('FIRE TEX 5090'!$J$5:$J$43,'FIRE TEX 5090'!$J$5:$J$43,"&gt;="&amp;M1179),'FIRE TEX 5090'!$J$5:$P$43,IF(L1179="F-15",2,IF(L1179="F-30",3,IF(L1179="F-60",4,IF(L1179="F-90",5,IF(L1179="F-120",6,IF(L1179="F-150",7,0)))))),0),0)+IF(AND(O1179="FIRE TEX 5090",E1179="CJ",J1179=3),VLOOKUP(_xlfn.MINIFS('FIRE TEX 5090'!$R$5:$R$30,'FIRE TEX 5090'!$R$5:$R$30,"&gt;="&amp;M1179),'FIRE TEX 5090'!$R$5:$W$30,IF(L1179="F-15",2,IF(L1179="F-30",3,IF(L1179="F-60",4,IF(L1179="F-90",5,IF(L1179="F-120",6,IF(L1179="F-150",7,0)))))),0),0)+IF(AND(O1179="FIRE TEX 5090",E1179="CJ",J1179=4),VLOOKUP(_xlfn.MINIFS('FIRE TEX 5090'!$Y$5:$Y$39,'FIRE TEX 5090'!$Y$5:$Y$39,"&gt;="&amp;M1179),'FIRE TEX 5090'!$Y$5:$AD$39,IF(L1179="F-15",2,IF(L1179="F-30",3,IF(L1179="F-60",4,IF(L1179="F-90",5,IF(L1179="F-120",6,IF(L1179="F-150",7,0)))))),0),0)+IF(AND(O1179="FIRE TEX 5120",OR(E1179="IN",E1179="C",E1179="Z",E1179="L"),J1179=3),VLOOKUP(_xlfn.MINIFS('FIRE TEX 5120'!$B$5:$B$40,'FIRE TEX 5120'!$B$5:$B$40,"&gt;="&amp;M1179),'FIRE TEX 5120'!$B$5:$G$40,IF(L1179="F-15",2,IF(L1179="F-30",3,IF(L1179="F-60",4,IF(L1179="F-90",5,IF(L1179="F-120",6,0))))),0),0)+IF(AND(O1179="FIRE TEX 5120",OR(E1179="IN",E1179="C",E1179="Z",E1179="L"),J1179=4),VLOOKUP(_xlfn.MINIFS('FIRE TEX 5120'!$H$4:$H$40,'FIRE TEX 5120'!$H$4:$H$40,"&gt;="&amp;M1179),'FIRE TEX 5120'!$H$4:$M$40,IF(L1179="F-15",2,IF(L1179="F-30",3,IF(L1179="F-60",4,IF(L1179="F-90",5,IF(L1179="F-120",6,0))))),0),0)+IF(AND(O1179="FIRE TEX 5120",E1179="CJ"),VLOOKUP(_xlfn.MINIFS('FIRE TEX 5120'!$O$5:$O$40,'FIRE TEX 5120'!$O$5:$O$40,"&gt;="&amp;M1179),'FIRE TEX 5120'!$O$5:$T$40,IF(L1179="F-15",2,IF(L1179="F-30",3,IF(L1179="F-60",4,IF(L1179="F-90",5,IF(L1179="F-120",6,0))))),0),0)</f>
        <v>0</v>
      </c>
      <c r="Q1179" s="46">
        <f t="shared" si="109"/>
        <v>0</v>
      </c>
      <c r="R1179" s="46">
        <f t="shared" si="110"/>
        <v>0</v>
      </c>
      <c r="S1179" s="46" t="e">
        <f t="shared" si="111"/>
        <v>#VALUE!</v>
      </c>
      <c r="T1179" s="677">
        <f t="shared" si="112"/>
        <v>0</v>
      </c>
      <c r="U1179" s="80">
        <f>(IF(O1179="Stofire",(S1179*#REF!),0))+(IF(O1179="Fire Control",(S1179*$U$2),0))+(IF(O1179="Fire Tex",(S1179*$U$3),0))+(IF(O1179="WB7",(S1179*#REF!),0)+(IF(O1179="FX 2003",(S1179*$U$5),0)))</f>
        <v>0</v>
      </c>
      <c r="V1179" s="651">
        <f t="shared" si="113"/>
        <v>0</v>
      </c>
    </row>
    <row r="1180" spans="4:22" x14ac:dyDescent="0.25">
      <c r="D1180" s="118">
        <f>+CUBICACION!D1179</f>
        <v>0</v>
      </c>
      <c r="E1180" s="118">
        <f>+CUBICACION!F1179</f>
        <v>0</v>
      </c>
      <c r="F1180" s="118">
        <f>+CUBICACION!E1179</f>
        <v>0</v>
      </c>
      <c r="G1180" s="118">
        <v>12</v>
      </c>
      <c r="H1180" s="118">
        <v>2</v>
      </c>
      <c r="I1180" s="820">
        <v>26385</v>
      </c>
      <c r="J1180" s="118">
        <f>+CUBICACION!J1179</f>
        <v>0</v>
      </c>
      <c r="K1180" s="118">
        <v>3959</v>
      </c>
      <c r="L1180" s="118">
        <f>+CUBICACION!L1179</f>
        <v>0</v>
      </c>
      <c r="M1180" s="64">
        <f>+CUBICACION!M1179</f>
        <v>0</v>
      </c>
      <c r="N1180" s="824" t="str">
        <f>+CUBICACION!N1179</f>
        <v/>
      </c>
      <c r="O1180" s="675">
        <f>+CUBICACION!O1179</f>
        <v>0</v>
      </c>
      <c r="P1180" s="15">
        <f>IF(O1180="Fire Control",VLOOKUP(_xlfn.MINIFS('FIRE CONTROL'!$C$4:$C$37,'FIRE CONTROL'!$C$4:$C$37,"&gt;="&amp;M1180),'FIRE CONTROL'!$C$4:$G$37,IF(L1180="F-15",2,IF(L1180="F-30",3,IF(L1180="F-60",4,IF(L1180="F-90",5,0)))),0),0)+IF(AND(O1180="FIRE TEX 5062",OR(E1180="IN",E1180="C",E1180="Z",E1180="L"),J1180=3),VLOOKUP(_xlfn.MINIFS('FIRE TEX 5062'!$B$4:$B$34,'FIRE TEX 5062'!$B$4:$B$34,"&gt;="&amp;M1180),'FIRE TEX 5062'!$B$4:$F$34,IF(L1180="F-15",2,IF(L1180="F-30",3,IF(L1180="F-60",4,IF(L1180="F-90",5,0)))),0),0)+IF(AND(O1180="FIRE TEX 5062",OR(E1180="IN",E1180="C",E1180="Z",E1180="L"),J1180=4),VLOOKUP(_xlfn.MINIFS('FIRE TEX 5062'!$G$4:$G$34,'FIRE TEX 5062'!$G$4:$G$34,"&gt;="&amp;M1180),'FIRE TEX 5062'!$G$4:$K$34,IF(L1180="F-15",2,IF(L1180="F-30",3,IF(L1180="F-60",4,IF(L1180="F-90",5,0)))),0),0)+IF(AND(O1180="FIRE TEX 5062",E1180="CJ",J1180=3),VLOOKUP(_xlfn.MINIFS('FIRE TEX 5062'!$L$4:$L$34,'FIRE TEX 5062'!$L$4:$L$34,"&gt;="&amp;M1180),'FIRE TEX 5062'!$L$4:$P$34,IF(L1180="F-15",2,IF(L1180="F-30",3,IF(L1180="F-60",4,IF(L1180="F-90",5,0)))),0),0)+IF(AND(O1180="FIRE TEX 5062",E1180="CJ",J1180=4),VLOOKUP(_xlfn.MINIFS('FIRE TEX 5062'!$Q$3:$Q$34,'FIRE TEX 5062'!$Q$3:$Q$34,"&gt;="&amp;M1180),'FIRE TEX 5062'!$Q$3:$U$34,IF(L1180="F-15",2,IF(L1180="F-30",3,IF(L1180="F-60",4,IF(L1180="F-90",5,0)))),0),0)+IF(AND(O1180="FIRE TEX 5090",OR(E1180="IN",E1180="C",E1180="Z",E1180="L"),J1180=3),VLOOKUP(_xlfn.MINIFS('FIRE TEX 5090'!$B$5:$B$43,'FIRE TEX 5090'!$B$5:$B$43,"&gt;="&amp;M1180),'FIRE TEX 5090'!$B$5:$H$43,IF(L1180="F-15",2,IF(L1180="F-30",3,IF(L1180="F-60",4,IF(L1180="F-90",5,IF(L1180="F-120",6,IF(L1180="F-150",7,0)))))),0),0)+IF(AND(O1180="FIRE TEX 5090",OR(E1180="IN",E1180="C",E1180="Z",E1180="L"),J1180=4),VLOOKUP(_xlfn.MINIFS('FIRE TEX 5090'!$J$5:$J$43,'FIRE TEX 5090'!$J$5:$J$43,"&gt;="&amp;M1180),'FIRE TEX 5090'!$J$5:$P$43,IF(L1180="F-15",2,IF(L1180="F-30",3,IF(L1180="F-60",4,IF(L1180="F-90",5,IF(L1180="F-120",6,IF(L1180="F-150",7,0)))))),0),0)+IF(AND(O1180="FIRE TEX 5090",E1180="CJ",J1180=3),VLOOKUP(_xlfn.MINIFS('FIRE TEX 5090'!$R$5:$R$30,'FIRE TEX 5090'!$R$5:$R$30,"&gt;="&amp;M1180),'FIRE TEX 5090'!$R$5:$W$30,IF(L1180="F-15",2,IF(L1180="F-30",3,IF(L1180="F-60",4,IF(L1180="F-90",5,IF(L1180="F-120",6,IF(L1180="F-150",7,0)))))),0),0)+IF(AND(O1180="FIRE TEX 5090",E1180="CJ",J1180=4),VLOOKUP(_xlfn.MINIFS('FIRE TEX 5090'!$Y$5:$Y$39,'FIRE TEX 5090'!$Y$5:$Y$39,"&gt;="&amp;M1180),'FIRE TEX 5090'!$Y$5:$AD$39,IF(L1180="F-15",2,IF(L1180="F-30",3,IF(L1180="F-60",4,IF(L1180="F-90",5,IF(L1180="F-120",6,IF(L1180="F-150",7,0)))))),0),0)+IF(AND(O1180="FIRE TEX 5120",OR(E1180="IN",E1180="C",E1180="Z",E1180="L"),J1180=3),VLOOKUP(_xlfn.MINIFS('FIRE TEX 5120'!$B$5:$B$40,'FIRE TEX 5120'!$B$5:$B$40,"&gt;="&amp;M1180),'FIRE TEX 5120'!$B$5:$G$40,IF(L1180="F-15",2,IF(L1180="F-30",3,IF(L1180="F-60",4,IF(L1180="F-90",5,IF(L1180="F-120",6,0))))),0),0)+IF(AND(O1180="FIRE TEX 5120",OR(E1180="IN",E1180="C",E1180="Z",E1180="L"),J1180=4),VLOOKUP(_xlfn.MINIFS('FIRE TEX 5120'!$H$4:$H$40,'FIRE TEX 5120'!$H$4:$H$40,"&gt;="&amp;M1180),'FIRE TEX 5120'!$H$4:$M$40,IF(L1180="F-15",2,IF(L1180="F-30",3,IF(L1180="F-60",4,IF(L1180="F-90",5,IF(L1180="F-120",6,0))))),0),0)+IF(AND(O1180="FIRE TEX 5120",E1180="CJ"),VLOOKUP(_xlfn.MINIFS('FIRE TEX 5120'!$O$5:$O$40,'FIRE TEX 5120'!$O$5:$O$40,"&gt;="&amp;M1180),'FIRE TEX 5120'!$O$5:$T$40,IF(L1180="F-15",2,IF(L1180="F-30",3,IF(L1180="F-60",4,IF(L1180="F-90",5,IF(L1180="F-120",6,0))))),0),0)</f>
        <v>0</v>
      </c>
      <c r="Q1180" s="46">
        <f t="shared" si="109"/>
        <v>0</v>
      </c>
      <c r="R1180" s="46">
        <f t="shared" si="110"/>
        <v>0</v>
      </c>
      <c r="S1180" s="46" t="e">
        <f t="shared" si="111"/>
        <v>#VALUE!</v>
      </c>
      <c r="T1180" s="677">
        <f t="shared" si="112"/>
        <v>0</v>
      </c>
      <c r="U1180" s="80">
        <f>(IF(O1180="Stofire",(S1180*#REF!),0))+(IF(O1180="Fire Control",(S1180*$U$2),0))+(IF(O1180="Fire Tex",(S1180*$U$3),0))+(IF(O1180="WB7",(S1180*#REF!),0)+(IF(O1180="FX 2003",(S1180*$U$5),0)))</f>
        <v>0</v>
      </c>
      <c r="V1180" s="651">
        <f t="shared" si="113"/>
        <v>0</v>
      </c>
    </row>
    <row r="1181" spans="4:22" x14ac:dyDescent="0.25">
      <c r="D1181" s="118">
        <f>+CUBICACION!D1180</f>
        <v>0</v>
      </c>
      <c r="E1181" s="118">
        <f>+CUBICACION!F1180</f>
        <v>0</v>
      </c>
      <c r="F1181" s="118">
        <f>+CUBICACION!E1180</f>
        <v>0</v>
      </c>
      <c r="G1181" s="118">
        <v>12</v>
      </c>
      <c r="H1181" s="118">
        <v>2</v>
      </c>
      <c r="I1181" s="820">
        <v>26385</v>
      </c>
      <c r="J1181" s="118">
        <f>+CUBICACION!J1180</f>
        <v>0</v>
      </c>
      <c r="K1181" s="118">
        <v>3960</v>
      </c>
      <c r="L1181" s="118">
        <f>+CUBICACION!L1180</f>
        <v>0</v>
      </c>
      <c r="M1181" s="64">
        <f>+CUBICACION!M1180</f>
        <v>0</v>
      </c>
      <c r="N1181" s="824" t="str">
        <f>+CUBICACION!N1180</f>
        <v/>
      </c>
      <c r="O1181" s="675">
        <f>+CUBICACION!O1180</f>
        <v>0</v>
      </c>
      <c r="P1181" s="15">
        <f>IF(O1181="Fire Control",VLOOKUP(_xlfn.MINIFS('FIRE CONTROL'!$C$4:$C$37,'FIRE CONTROL'!$C$4:$C$37,"&gt;="&amp;M1181),'FIRE CONTROL'!$C$4:$G$37,IF(L1181="F-15",2,IF(L1181="F-30",3,IF(L1181="F-60",4,IF(L1181="F-90",5,0)))),0),0)+IF(AND(O1181="FIRE TEX 5062",OR(E1181="IN",E1181="C",E1181="Z",E1181="L"),J1181=3),VLOOKUP(_xlfn.MINIFS('FIRE TEX 5062'!$B$4:$B$34,'FIRE TEX 5062'!$B$4:$B$34,"&gt;="&amp;M1181),'FIRE TEX 5062'!$B$4:$F$34,IF(L1181="F-15",2,IF(L1181="F-30",3,IF(L1181="F-60",4,IF(L1181="F-90",5,0)))),0),0)+IF(AND(O1181="FIRE TEX 5062",OR(E1181="IN",E1181="C",E1181="Z",E1181="L"),J1181=4),VLOOKUP(_xlfn.MINIFS('FIRE TEX 5062'!$G$4:$G$34,'FIRE TEX 5062'!$G$4:$G$34,"&gt;="&amp;M1181),'FIRE TEX 5062'!$G$4:$K$34,IF(L1181="F-15",2,IF(L1181="F-30",3,IF(L1181="F-60",4,IF(L1181="F-90",5,0)))),0),0)+IF(AND(O1181="FIRE TEX 5062",E1181="CJ",J1181=3),VLOOKUP(_xlfn.MINIFS('FIRE TEX 5062'!$L$4:$L$34,'FIRE TEX 5062'!$L$4:$L$34,"&gt;="&amp;M1181),'FIRE TEX 5062'!$L$4:$P$34,IF(L1181="F-15",2,IF(L1181="F-30",3,IF(L1181="F-60",4,IF(L1181="F-90",5,0)))),0),0)+IF(AND(O1181="FIRE TEX 5062",E1181="CJ",J1181=4),VLOOKUP(_xlfn.MINIFS('FIRE TEX 5062'!$Q$3:$Q$34,'FIRE TEX 5062'!$Q$3:$Q$34,"&gt;="&amp;M1181),'FIRE TEX 5062'!$Q$3:$U$34,IF(L1181="F-15",2,IF(L1181="F-30",3,IF(L1181="F-60",4,IF(L1181="F-90",5,0)))),0),0)+IF(AND(O1181="FIRE TEX 5090",OR(E1181="IN",E1181="C",E1181="Z",E1181="L"),J1181=3),VLOOKUP(_xlfn.MINIFS('FIRE TEX 5090'!$B$5:$B$43,'FIRE TEX 5090'!$B$5:$B$43,"&gt;="&amp;M1181),'FIRE TEX 5090'!$B$5:$H$43,IF(L1181="F-15",2,IF(L1181="F-30",3,IF(L1181="F-60",4,IF(L1181="F-90",5,IF(L1181="F-120",6,IF(L1181="F-150",7,0)))))),0),0)+IF(AND(O1181="FIRE TEX 5090",OR(E1181="IN",E1181="C",E1181="Z",E1181="L"),J1181=4),VLOOKUP(_xlfn.MINIFS('FIRE TEX 5090'!$J$5:$J$43,'FIRE TEX 5090'!$J$5:$J$43,"&gt;="&amp;M1181),'FIRE TEX 5090'!$J$5:$P$43,IF(L1181="F-15",2,IF(L1181="F-30",3,IF(L1181="F-60",4,IF(L1181="F-90",5,IF(L1181="F-120",6,IF(L1181="F-150",7,0)))))),0),0)+IF(AND(O1181="FIRE TEX 5090",E1181="CJ",J1181=3),VLOOKUP(_xlfn.MINIFS('FIRE TEX 5090'!$R$5:$R$30,'FIRE TEX 5090'!$R$5:$R$30,"&gt;="&amp;M1181),'FIRE TEX 5090'!$R$5:$W$30,IF(L1181="F-15",2,IF(L1181="F-30",3,IF(L1181="F-60",4,IF(L1181="F-90",5,IF(L1181="F-120",6,IF(L1181="F-150",7,0)))))),0),0)+IF(AND(O1181="FIRE TEX 5090",E1181="CJ",J1181=4),VLOOKUP(_xlfn.MINIFS('FIRE TEX 5090'!$Y$5:$Y$39,'FIRE TEX 5090'!$Y$5:$Y$39,"&gt;="&amp;M1181),'FIRE TEX 5090'!$Y$5:$AD$39,IF(L1181="F-15",2,IF(L1181="F-30",3,IF(L1181="F-60",4,IF(L1181="F-90",5,IF(L1181="F-120",6,IF(L1181="F-150",7,0)))))),0),0)+IF(AND(O1181="FIRE TEX 5120",OR(E1181="IN",E1181="C",E1181="Z",E1181="L"),J1181=3),VLOOKUP(_xlfn.MINIFS('FIRE TEX 5120'!$B$5:$B$40,'FIRE TEX 5120'!$B$5:$B$40,"&gt;="&amp;M1181),'FIRE TEX 5120'!$B$5:$G$40,IF(L1181="F-15",2,IF(L1181="F-30",3,IF(L1181="F-60",4,IF(L1181="F-90",5,IF(L1181="F-120",6,0))))),0),0)+IF(AND(O1181="FIRE TEX 5120",OR(E1181="IN",E1181="C",E1181="Z",E1181="L"),J1181=4),VLOOKUP(_xlfn.MINIFS('FIRE TEX 5120'!$H$4:$H$40,'FIRE TEX 5120'!$H$4:$H$40,"&gt;="&amp;M1181),'FIRE TEX 5120'!$H$4:$M$40,IF(L1181="F-15",2,IF(L1181="F-30",3,IF(L1181="F-60",4,IF(L1181="F-90",5,IF(L1181="F-120",6,0))))),0),0)+IF(AND(O1181="FIRE TEX 5120",E1181="CJ"),VLOOKUP(_xlfn.MINIFS('FIRE TEX 5120'!$O$5:$O$40,'FIRE TEX 5120'!$O$5:$O$40,"&gt;="&amp;M1181),'FIRE TEX 5120'!$O$5:$T$40,IF(L1181="F-15",2,IF(L1181="F-30",3,IF(L1181="F-60",4,IF(L1181="F-90",5,IF(L1181="F-120",6,0))))),0),0)</f>
        <v>0</v>
      </c>
      <c r="Q1181" s="46">
        <f t="shared" si="109"/>
        <v>0</v>
      </c>
      <c r="R1181" s="46">
        <f t="shared" si="110"/>
        <v>0</v>
      </c>
      <c r="S1181" s="46" t="e">
        <f t="shared" si="111"/>
        <v>#VALUE!</v>
      </c>
      <c r="T1181" s="677">
        <f t="shared" si="112"/>
        <v>0</v>
      </c>
      <c r="U1181" s="80">
        <f>(IF(O1181="Stofire",(S1181*#REF!),0))+(IF(O1181="Fire Control",(S1181*$U$2),0))+(IF(O1181="Fire Tex",(S1181*$U$3),0))+(IF(O1181="WB7",(S1181*#REF!),0)+(IF(O1181="FX 2003",(S1181*$U$5),0)))</f>
        <v>0</v>
      </c>
      <c r="V1181" s="651">
        <f t="shared" si="113"/>
        <v>0</v>
      </c>
    </row>
    <row r="1182" spans="4:22" x14ac:dyDescent="0.25">
      <c r="D1182" s="118">
        <f>+CUBICACION!D1181</f>
        <v>0</v>
      </c>
      <c r="E1182" s="118">
        <f>+CUBICACION!F1181</f>
        <v>0</v>
      </c>
      <c r="F1182" s="118">
        <f>+CUBICACION!E1181</f>
        <v>0</v>
      </c>
      <c r="G1182" s="118">
        <v>12</v>
      </c>
      <c r="H1182" s="118">
        <v>2</v>
      </c>
      <c r="I1182" s="820">
        <v>26385</v>
      </c>
      <c r="J1182" s="118">
        <f>+CUBICACION!J1181</f>
        <v>0</v>
      </c>
      <c r="K1182" s="118">
        <v>3961</v>
      </c>
      <c r="L1182" s="118">
        <f>+CUBICACION!L1181</f>
        <v>0</v>
      </c>
      <c r="M1182" s="64">
        <f>+CUBICACION!M1181</f>
        <v>0</v>
      </c>
      <c r="N1182" s="824" t="str">
        <f>+CUBICACION!N1181</f>
        <v/>
      </c>
      <c r="O1182" s="675">
        <f>+CUBICACION!O1181</f>
        <v>0</v>
      </c>
      <c r="P1182" s="15">
        <f>IF(O1182="Fire Control",VLOOKUP(_xlfn.MINIFS('FIRE CONTROL'!$C$4:$C$37,'FIRE CONTROL'!$C$4:$C$37,"&gt;="&amp;M1182),'FIRE CONTROL'!$C$4:$G$37,IF(L1182="F-15",2,IF(L1182="F-30",3,IF(L1182="F-60",4,IF(L1182="F-90",5,0)))),0),0)+IF(AND(O1182="FIRE TEX 5062",OR(E1182="IN",E1182="C",E1182="Z",E1182="L"),J1182=3),VLOOKUP(_xlfn.MINIFS('FIRE TEX 5062'!$B$4:$B$34,'FIRE TEX 5062'!$B$4:$B$34,"&gt;="&amp;M1182),'FIRE TEX 5062'!$B$4:$F$34,IF(L1182="F-15",2,IF(L1182="F-30",3,IF(L1182="F-60",4,IF(L1182="F-90",5,0)))),0),0)+IF(AND(O1182="FIRE TEX 5062",OR(E1182="IN",E1182="C",E1182="Z",E1182="L"),J1182=4),VLOOKUP(_xlfn.MINIFS('FIRE TEX 5062'!$G$4:$G$34,'FIRE TEX 5062'!$G$4:$G$34,"&gt;="&amp;M1182),'FIRE TEX 5062'!$G$4:$K$34,IF(L1182="F-15",2,IF(L1182="F-30",3,IF(L1182="F-60",4,IF(L1182="F-90",5,0)))),0),0)+IF(AND(O1182="FIRE TEX 5062",E1182="CJ",J1182=3),VLOOKUP(_xlfn.MINIFS('FIRE TEX 5062'!$L$4:$L$34,'FIRE TEX 5062'!$L$4:$L$34,"&gt;="&amp;M1182),'FIRE TEX 5062'!$L$4:$P$34,IF(L1182="F-15",2,IF(L1182="F-30",3,IF(L1182="F-60",4,IF(L1182="F-90",5,0)))),0),0)+IF(AND(O1182="FIRE TEX 5062",E1182="CJ",J1182=4),VLOOKUP(_xlfn.MINIFS('FIRE TEX 5062'!$Q$3:$Q$34,'FIRE TEX 5062'!$Q$3:$Q$34,"&gt;="&amp;M1182),'FIRE TEX 5062'!$Q$3:$U$34,IF(L1182="F-15",2,IF(L1182="F-30",3,IF(L1182="F-60",4,IF(L1182="F-90",5,0)))),0),0)+IF(AND(O1182="FIRE TEX 5090",OR(E1182="IN",E1182="C",E1182="Z",E1182="L"),J1182=3),VLOOKUP(_xlfn.MINIFS('FIRE TEX 5090'!$B$5:$B$43,'FIRE TEX 5090'!$B$5:$B$43,"&gt;="&amp;M1182),'FIRE TEX 5090'!$B$5:$H$43,IF(L1182="F-15",2,IF(L1182="F-30",3,IF(L1182="F-60",4,IF(L1182="F-90",5,IF(L1182="F-120",6,IF(L1182="F-150",7,0)))))),0),0)+IF(AND(O1182="FIRE TEX 5090",OR(E1182="IN",E1182="C",E1182="Z",E1182="L"),J1182=4),VLOOKUP(_xlfn.MINIFS('FIRE TEX 5090'!$J$5:$J$43,'FIRE TEX 5090'!$J$5:$J$43,"&gt;="&amp;M1182),'FIRE TEX 5090'!$J$5:$P$43,IF(L1182="F-15",2,IF(L1182="F-30",3,IF(L1182="F-60",4,IF(L1182="F-90",5,IF(L1182="F-120",6,IF(L1182="F-150",7,0)))))),0),0)+IF(AND(O1182="FIRE TEX 5090",E1182="CJ",J1182=3),VLOOKUP(_xlfn.MINIFS('FIRE TEX 5090'!$R$5:$R$30,'FIRE TEX 5090'!$R$5:$R$30,"&gt;="&amp;M1182),'FIRE TEX 5090'!$R$5:$W$30,IF(L1182="F-15",2,IF(L1182="F-30",3,IF(L1182="F-60",4,IF(L1182="F-90",5,IF(L1182="F-120",6,IF(L1182="F-150",7,0)))))),0),0)+IF(AND(O1182="FIRE TEX 5090",E1182="CJ",J1182=4),VLOOKUP(_xlfn.MINIFS('FIRE TEX 5090'!$Y$5:$Y$39,'FIRE TEX 5090'!$Y$5:$Y$39,"&gt;="&amp;M1182),'FIRE TEX 5090'!$Y$5:$AD$39,IF(L1182="F-15",2,IF(L1182="F-30",3,IF(L1182="F-60",4,IF(L1182="F-90",5,IF(L1182="F-120",6,IF(L1182="F-150",7,0)))))),0),0)+IF(AND(O1182="FIRE TEX 5120",OR(E1182="IN",E1182="C",E1182="Z",E1182="L"),J1182=3),VLOOKUP(_xlfn.MINIFS('FIRE TEX 5120'!$B$5:$B$40,'FIRE TEX 5120'!$B$5:$B$40,"&gt;="&amp;M1182),'FIRE TEX 5120'!$B$5:$G$40,IF(L1182="F-15",2,IF(L1182="F-30",3,IF(L1182="F-60",4,IF(L1182="F-90",5,IF(L1182="F-120",6,0))))),0),0)+IF(AND(O1182="FIRE TEX 5120",OR(E1182="IN",E1182="C",E1182="Z",E1182="L"),J1182=4),VLOOKUP(_xlfn.MINIFS('FIRE TEX 5120'!$H$4:$H$40,'FIRE TEX 5120'!$H$4:$H$40,"&gt;="&amp;M1182),'FIRE TEX 5120'!$H$4:$M$40,IF(L1182="F-15",2,IF(L1182="F-30",3,IF(L1182="F-60",4,IF(L1182="F-90",5,IF(L1182="F-120",6,0))))),0),0)+IF(AND(O1182="FIRE TEX 5120",E1182="CJ"),VLOOKUP(_xlfn.MINIFS('FIRE TEX 5120'!$O$5:$O$40,'FIRE TEX 5120'!$O$5:$O$40,"&gt;="&amp;M1182),'FIRE TEX 5120'!$O$5:$T$40,IF(L1182="F-15",2,IF(L1182="F-30",3,IF(L1182="F-60",4,IF(L1182="F-90",5,IF(L1182="F-120",6,0))))),0),0)</f>
        <v>0</v>
      </c>
      <c r="Q1182" s="46">
        <f t="shared" si="109"/>
        <v>0</v>
      </c>
      <c r="R1182" s="46">
        <f t="shared" si="110"/>
        <v>0</v>
      </c>
      <c r="S1182" s="46" t="e">
        <f t="shared" si="111"/>
        <v>#VALUE!</v>
      </c>
      <c r="T1182" s="677">
        <f t="shared" si="112"/>
        <v>0</v>
      </c>
      <c r="U1182" s="80">
        <f>(IF(O1182="Stofire",(S1182*#REF!),0))+(IF(O1182="Fire Control",(S1182*$U$2),0))+(IF(O1182="Fire Tex",(S1182*$U$3),0))+(IF(O1182="WB7",(S1182*#REF!),0)+(IF(O1182="FX 2003",(S1182*$U$5),0)))</f>
        <v>0</v>
      </c>
      <c r="V1182" s="651">
        <f t="shared" si="113"/>
        <v>0</v>
      </c>
    </row>
    <row r="1183" spans="4:22" x14ac:dyDescent="0.25">
      <c r="D1183" s="118">
        <f>+CUBICACION!D1182</f>
        <v>0</v>
      </c>
      <c r="E1183" s="118">
        <f>+CUBICACION!F1182</f>
        <v>0</v>
      </c>
      <c r="F1183" s="118">
        <f>+CUBICACION!E1182</f>
        <v>0</v>
      </c>
      <c r="G1183" s="118">
        <v>12</v>
      </c>
      <c r="H1183" s="118">
        <v>2</v>
      </c>
      <c r="I1183" s="820">
        <v>26385</v>
      </c>
      <c r="J1183" s="118">
        <f>+CUBICACION!J1182</f>
        <v>0</v>
      </c>
      <c r="K1183" s="118">
        <v>3962</v>
      </c>
      <c r="L1183" s="118">
        <f>+CUBICACION!L1182</f>
        <v>0</v>
      </c>
      <c r="M1183" s="64">
        <f>+CUBICACION!M1182</f>
        <v>0</v>
      </c>
      <c r="N1183" s="824" t="str">
        <f>+CUBICACION!N1182</f>
        <v/>
      </c>
      <c r="O1183" s="675">
        <f>+CUBICACION!O1182</f>
        <v>0</v>
      </c>
      <c r="P1183" s="15">
        <f>IF(O1183="Fire Control",VLOOKUP(_xlfn.MINIFS('FIRE CONTROL'!$C$4:$C$37,'FIRE CONTROL'!$C$4:$C$37,"&gt;="&amp;M1183),'FIRE CONTROL'!$C$4:$G$37,IF(L1183="F-15",2,IF(L1183="F-30",3,IF(L1183="F-60",4,IF(L1183="F-90",5,0)))),0),0)+IF(AND(O1183="FIRE TEX 5062",OR(E1183="IN",E1183="C",E1183="Z",E1183="L"),J1183=3),VLOOKUP(_xlfn.MINIFS('FIRE TEX 5062'!$B$4:$B$34,'FIRE TEX 5062'!$B$4:$B$34,"&gt;="&amp;M1183),'FIRE TEX 5062'!$B$4:$F$34,IF(L1183="F-15",2,IF(L1183="F-30",3,IF(L1183="F-60",4,IF(L1183="F-90",5,0)))),0),0)+IF(AND(O1183="FIRE TEX 5062",OR(E1183="IN",E1183="C",E1183="Z",E1183="L"),J1183=4),VLOOKUP(_xlfn.MINIFS('FIRE TEX 5062'!$G$4:$G$34,'FIRE TEX 5062'!$G$4:$G$34,"&gt;="&amp;M1183),'FIRE TEX 5062'!$G$4:$K$34,IF(L1183="F-15",2,IF(L1183="F-30",3,IF(L1183="F-60",4,IF(L1183="F-90",5,0)))),0),0)+IF(AND(O1183="FIRE TEX 5062",E1183="CJ",J1183=3),VLOOKUP(_xlfn.MINIFS('FIRE TEX 5062'!$L$4:$L$34,'FIRE TEX 5062'!$L$4:$L$34,"&gt;="&amp;M1183),'FIRE TEX 5062'!$L$4:$P$34,IF(L1183="F-15",2,IF(L1183="F-30",3,IF(L1183="F-60",4,IF(L1183="F-90",5,0)))),0),0)+IF(AND(O1183="FIRE TEX 5062",E1183="CJ",J1183=4),VLOOKUP(_xlfn.MINIFS('FIRE TEX 5062'!$Q$3:$Q$34,'FIRE TEX 5062'!$Q$3:$Q$34,"&gt;="&amp;M1183),'FIRE TEX 5062'!$Q$3:$U$34,IF(L1183="F-15",2,IF(L1183="F-30",3,IF(L1183="F-60",4,IF(L1183="F-90",5,0)))),0),0)+IF(AND(O1183="FIRE TEX 5090",OR(E1183="IN",E1183="C",E1183="Z",E1183="L"),J1183=3),VLOOKUP(_xlfn.MINIFS('FIRE TEX 5090'!$B$5:$B$43,'FIRE TEX 5090'!$B$5:$B$43,"&gt;="&amp;M1183),'FIRE TEX 5090'!$B$5:$H$43,IF(L1183="F-15",2,IF(L1183="F-30",3,IF(L1183="F-60",4,IF(L1183="F-90",5,IF(L1183="F-120",6,IF(L1183="F-150",7,0)))))),0),0)+IF(AND(O1183="FIRE TEX 5090",OR(E1183="IN",E1183="C",E1183="Z",E1183="L"),J1183=4),VLOOKUP(_xlfn.MINIFS('FIRE TEX 5090'!$J$5:$J$43,'FIRE TEX 5090'!$J$5:$J$43,"&gt;="&amp;M1183),'FIRE TEX 5090'!$J$5:$P$43,IF(L1183="F-15",2,IF(L1183="F-30",3,IF(L1183="F-60",4,IF(L1183="F-90",5,IF(L1183="F-120",6,IF(L1183="F-150",7,0)))))),0),0)+IF(AND(O1183="FIRE TEX 5090",E1183="CJ",J1183=3),VLOOKUP(_xlfn.MINIFS('FIRE TEX 5090'!$R$5:$R$30,'FIRE TEX 5090'!$R$5:$R$30,"&gt;="&amp;M1183),'FIRE TEX 5090'!$R$5:$W$30,IF(L1183="F-15",2,IF(L1183="F-30",3,IF(L1183="F-60",4,IF(L1183="F-90",5,IF(L1183="F-120",6,IF(L1183="F-150",7,0)))))),0),0)+IF(AND(O1183="FIRE TEX 5090",E1183="CJ",J1183=4),VLOOKUP(_xlfn.MINIFS('FIRE TEX 5090'!$Y$5:$Y$39,'FIRE TEX 5090'!$Y$5:$Y$39,"&gt;="&amp;M1183),'FIRE TEX 5090'!$Y$5:$AD$39,IF(L1183="F-15",2,IF(L1183="F-30",3,IF(L1183="F-60",4,IF(L1183="F-90",5,IF(L1183="F-120",6,IF(L1183="F-150",7,0)))))),0),0)+IF(AND(O1183="FIRE TEX 5120",OR(E1183="IN",E1183="C",E1183="Z",E1183="L"),J1183=3),VLOOKUP(_xlfn.MINIFS('FIRE TEX 5120'!$B$5:$B$40,'FIRE TEX 5120'!$B$5:$B$40,"&gt;="&amp;M1183),'FIRE TEX 5120'!$B$5:$G$40,IF(L1183="F-15",2,IF(L1183="F-30",3,IF(L1183="F-60",4,IF(L1183="F-90",5,IF(L1183="F-120",6,0))))),0),0)+IF(AND(O1183="FIRE TEX 5120",OR(E1183="IN",E1183="C",E1183="Z",E1183="L"),J1183=4),VLOOKUP(_xlfn.MINIFS('FIRE TEX 5120'!$H$4:$H$40,'FIRE TEX 5120'!$H$4:$H$40,"&gt;="&amp;M1183),'FIRE TEX 5120'!$H$4:$M$40,IF(L1183="F-15",2,IF(L1183="F-30",3,IF(L1183="F-60",4,IF(L1183="F-90",5,IF(L1183="F-120",6,0))))),0),0)+IF(AND(O1183="FIRE TEX 5120",E1183="CJ"),VLOOKUP(_xlfn.MINIFS('FIRE TEX 5120'!$O$5:$O$40,'FIRE TEX 5120'!$O$5:$O$40,"&gt;="&amp;M1183),'FIRE TEX 5120'!$O$5:$T$40,IF(L1183="F-15",2,IF(L1183="F-30",3,IF(L1183="F-60",4,IF(L1183="F-90",5,IF(L1183="F-120",6,0))))),0),0)</f>
        <v>0</v>
      </c>
      <c r="Q1183" s="46">
        <f t="shared" si="109"/>
        <v>0</v>
      </c>
      <c r="R1183" s="46">
        <f t="shared" si="110"/>
        <v>0</v>
      </c>
      <c r="S1183" s="46" t="e">
        <f t="shared" si="111"/>
        <v>#VALUE!</v>
      </c>
      <c r="T1183" s="677">
        <f t="shared" si="112"/>
        <v>0</v>
      </c>
      <c r="U1183" s="80">
        <f>(IF(O1183="Stofire",(S1183*#REF!),0))+(IF(O1183="Fire Control",(S1183*$U$2),0))+(IF(O1183="Fire Tex",(S1183*$U$3),0))+(IF(O1183="WB7",(S1183*#REF!),0)+(IF(O1183="FX 2003",(S1183*$U$5),0)))</f>
        <v>0</v>
      </c>
      <c r="V1183" s="651">
        <f t="shared" si="113"/>
        <v>0</v>
      </c>
    </row>
    <row r="1184" spans="4:22" x14ac:dyDescent="0.25">
      <c r="D1184" s="118">
        <f>+CUBICACION!D1183</f>
        <v>0</v>
      </c>
      <c r="E1184" s="118">
        <f>+CUBICACION!F1183</f>
        <v>0</v>
      </c>
      <c r="F1184" s="118">
        <f>+CUBICACION!E1183</f>
        <v>0</v>
      </c>
      <c r="G1184" s="118">
        <v>12</v>
      </c>
      <c r="H1184" s="118">
        <v>2</v>
      </c>
      <c r="I1184" s="820">
        <v>26385</v>
      </c>
      <c r="J1184" s="118">
        <f>+CUBICACION!J1183</f>
        <v>0</v>
      </c>
      <c r="K1184" s="118">
        <v>3963</v>
      </c>
      <c r="L1184" s="118">
        <f>+CUBICACION!L1183</f>
        <v>0</v>
      </c>
      <c r="M1184" s="64">
        <f>+CUBICACION!M1183</f>
        <v>0</v>
      </c>
      <c r="N1184" s="824" t="str">
        <f>+CUBICACION!N1183</f>
        <v/>
      </c>
      <c r="O1184" s="675">
        <f>+CUBICACION!O1183</f>
        <v>0</v>
      </c>
      <c r="P1184" s="15">
        <f>IF(O1184="Fire Control",VLOOKUP(_xlfn.MINIFS('FIRE CONTROL'!$C$4:$C$37,'FIRE CONTROL'!$C$4:$C$37,"&gt;="&amp;M1184),'FIRE CONTROL'!$C$4:$G$37,IF(L1184="F-15",2,IF(L1184="F-30",3,IF(L1184="F-60",4,IF(L1184="F-90",5,0)))),0),0)+IF(AND(O1184="FIRE TEX 5062",OR(E1184="IN",E1184="C",E1184="Z",E1184="L"),J1184=3),VLOOKUP(_xlfn.MINIFS('FIRE TEX 5062'!$B$4:$B$34,'FIRE TEX 5062'!$B$4:$B$34,"&gt;="&amp;M1184),'FIRE TEX 5062'!$B$4:$F$34,IF(L1184="F-15",2,IF(L1184="F-30",3,IF(L1184="F-60",4,IF(L1184="F-90",5,0)))),0),0)+IF(AND(O1184="FIRE TEX 5062",OR(E1184="IN",E1184="C",E1184="Z",E1184="L"),J1184=4),VLOOKUP(_xlfn.MINIFS('FIRE TEX 5062'!$G$4:$G$34,'FIRE TEX 5062'!$G$4:$G$34,"&gt;="&amp;M1184),'FIRE TEX 5062'!$G$4:$K$34,IF(L1184="F-15",2,IF(L1184="F-30",3,IF(L1184="F-60",4,IF(L1184="F-90",5,0)))),0),0)+IF(AND(O1184="FIRE TEX 5062",E1184="CJ",J1184=3),VLOOKUP(_xlfn.MINIFS('FIRE TEX 5062'!$L$4:$L$34,'FIRE TEX 5062'!$L$4:$L$34,"&gt;="&amp;M1184),'FIRE TEX 5062'!$L$4:$P$34,IF(L1184="F-15",2,IF(L1184="F-30",3,IF(L1184="F-60",4,IF(L1184="F-90",5,0)))),0),0)+IF(AND(O1184="FIRE TEX 5062",E1184="CJ",J1184=4),VLOOKUP(_xlfn.MINIFS('FIRE TEX 5062'!$Q$3:$Q$34,'FIRE TEX 5062'!$Q$3:$Q$34,"&gt;="&amp;M1184),'FIRE TEX 5062'!$Q$3:$U$34,IF(L1184="F-15",2,IF(L1184="F-30",3,IF(L1184="F-60",4,IF(L1184="F-90",5,0)))),0),0)+IF(AND(O1184="FIRE TEX 5090",OR(E1184="IN",E1184="C",E1184="Z",E1184="L"),J1184=3),VLOOKUP(_xlfn.MINIFS('FIRE TEX 5090'!$B$5:$B$43,'FIRE TEX 5090'!$B$5:$B$43,"&gt;="&amp;M1184),'FIRE TEX 5090'!$B$5:$H$43,IF(L1184="F-15",2,IF(L1184="F-30",3,IF(L1184="F-60",4,IF(L1184="F-90",5,IF(L1184="F-120",6,IF(L1184="F-150",7,0)))))),0),0)+IF(AND(O1184="FIRE TEX 5090",OR(E1184="IN",E1184="C",E1184="Z",E1184="L"),J1184=4),VLOOKUP(_xlfn.MINIFS('FIRE TEX 5090'!$J$5:$J$43,'FIRE TEX 5090'!$J$5:$J$43,"&gt;="&amp;M1184),'FIRE TEX 5090'!$J$5:$P$43,IF(L1184="F-15",2,IF(L1184="F-30",3,IF(L1184="F-60",4,IF(L1184="F-90",5,IF(L1184="F-120",6,IF(L1184="F-150",7,0)))))),0),0)+IF(AND(O1184="FIRE TEX 5090",E1184="CJ",J1184=3),VLOOKUP(_xlfn.MINIFS('FIRE TEX 5090'!$R$5:$R$30,'FIRE TEX 5090'!$R$5:$R$30,"&gt;="&amp;M1184),'FIRE TEX 5090'!$R$5:$W$30,IF(L1184="F-15",2,IF(L1184="F-30",3,IF(L1184="F-60",4,IF(L1184="F-90",5,IF(L1184="F-120",6,IF(L1184="F-150",7,0)))))),0),0)+IF(AND(O1184="FIRE TEX 5090",E1184="CJ",J1184=4),VLOOKUP(_xlfn.MINIFS('FIRE TEX 5090'!$Y$5:$Y$39,'FIRE TEX 5090'!$Y$5:$Y$39,"&gt;="&amp;M1184),'FIRE TEX 5090'!$Y$5:$AD$39,IF(L1184="F-15",2,IF(L1184="F-30",3,IF(L1184="F-60",4,IF(L1184="F-90",5,IF(L1184="F-120",6,IF(L1184="F-150",7,0)))))),0),0)+IF(AND(O1184="FIRE TEX 5120",OR(E1184="IN",E1184="C",E1184="Z",E1184="L"),J1184=3),VLOOKUP(_xlfn.MINIFS('FIRE TEX 5120'!$B$5:$B$40,'FIRE TEX 5120'!$B$5:$B$40,"&gt;="&amp;M1184),'FIRE TEX 5120'!$B$5:$G$40,IF(L1184="F-15",2,IF(L1184="F-30",3,IF(L1184="F-60",4,IF(L1184="F-90",5,IF(L1184="F-120",6,0))))),0),0)+IF(AND(O1184="FIRE TEX 5120",OR(E1184="IN",E1184="C",E1184="Z",E1184="L"),J1184=4),VLOOKUP(_xlfn.MINIFS('FIRE TEX 5120'!$H$4:$H$40,'FIRE TEX 5120'!$H$4:$H$40,"&gt;="&amp;M1184),'FIRE TEX 5120'!$H$4:$M$40,IF(L1184="F-15",2,IF(L1184="F-30",3,IF(L1184="F-60",4,IF(L1184="F-90",5,IF(L1184="F-120",6,0))))),0),0)+IF(AND(O1184="FIRE TEX 5120",E1184="CJ"),VLOOKUP(_xlfn.MINIFS('FIRE TEX 5120'!$O$5:$O$40,'FIRE TEX 5120'!$O$5:$O$40,"&gt;="&amp;M1184),'FIRE TEX 5120'!$O$5:$T$40,IF(L1184="F-15",2,IF(L1184="F-30",3,IF(L1184="F-60",4,IF(L1184="F-90",5,IF(L1184="F-120",6,0))))),0),0)</f>
        <v>0</v>
      </c>
      <c r="Q1184" s="46">
        <f t="shared" si="109"/>
        <v>0</v>
      </c>
      <c r="R1184" s="46">
        <f t="shared" si="110"/>
        <v>0</v>
      </c>
      <c r="S1184" s="46" t="e">
        <f t="shared" si="111"/>
        <v>#VALUE!</v>
      </c>
      <c r="T1184" s="677">
        <f t="shared" si="112"/>
        <v>0</v>
      </c>
      <c r="U1184" s="80">
        <f>(IF(O1184="Stofire",(S1184*#REF!),0))+(IF(O1184="Fire Control",(S1184*$U$2),0))+(IF(O1184="Fire Tex",(S1184*$U$3),0))+(IF(O1184="WB7",(S1184*#REF!),0)+(IF(O1184="FX 2003",(S1184*$U$5),0)))</f>
        <v>0</v>
      </c>
      <c r="V1184" s="651">
        <f t="shared" si="113"/>
        <v>0</v>
      </c>
    </row>
    <row r="1185" spans="4:22" x14ac:dyDescent="0.25">
      <c r="D1185" s="118">
        <f>+CUBICACION!D1184</f>
        <v>0</v>
      </c>
      <c r="E1185" s="118">
        <f>+CUBICACION!F1184</f>
        <v>0</v>
      </c>
      <c r="F1185" s="118">
        <f>+CUBICACION!E1184</f>
        <v>0</v>
      </c>
      <c r="G1185" s="118">
        <v>12</v>
      </c>
      <c r="H1185" s="118">
        <v>2</v>
      </c>
      <c r="I1185" s="820">
        <v>26385</v>
      </c>
      <c r="J1185" s="118">
        <f>+CUBICACION!J1184</f>
        <v>0</v>
      </c>
      <c r="K1185" s="118">
        <v>3964</v>
      </c>
      <c r="L1185" s="118">
        <f>+CUBICACION!L1184</f>
        <v>0</v>
      </c>
      <c r="M1185" s="64">
        <f>+CUBICACION!M1184</f>
        <v>0</v>
      </c>
      <c r="N1185" s="824" t="str">
        <f>+CUBICACION!N1184</f>
        <v/>
      </c>
      <c r="O1185" s="675">
        <f>+CUBICACION!O1184</f>
        <v>0</v>
      </c>
      <c r="P1185" s="15">
        <f>IF(O1185="Fire Control",VLOOKUP(_xlfn.MINIFS('FIRE CONTROL'!$C$4:$C$37,'FIRE CONTROL'!$C$4:$C$37,"&gt;="&amp;M1185),'FIRE CONTROL'!$C$4:$G$37,IF(L1185="F-15",2,IF(L1185="F-30",3,IF(L1185="F-60",4,IF(L1185="F-90",5,0)))),0),0)+IF(AND(O1185="FIRE TEX 5062",OR(E1185="IN",E1185="C",E1185="Z",E1185="L"),J1185=3),VLOOKUP(_xlfn.MINIFS('FIRE TEX 5062'!$B$4:$B$34,'FIRE TEX 5062'!$B$4:$B$34,"&gt;="&amp;M1185),'FIRE TEX 5062'!$B$4:$F$34,IF(L1185="F-15",2,IF(L1185="F-30",3,IF(L1185="F-60",4,IF(L1185="F-90",5,0)))),0),0)+IF(AND(O1185="FIRE TEX 5062",OR(E1185="IN",E1185="C",E1185="Z",E1185="L"),J1185=4),VLOOKUP(_xlfn.MINIFS('FIRE TEX 5062'!$G$4:$G$34,'FIRE TEX 5062'!$G$4:$G$34,"&gt;="&amp;M1185),'FIRE TEX 5062'!$G$4:$K$34,IF(L1185="F-15",2,IF(L1185="F-30",3,IF(L1185="F-60",4,IF(L1185="F-90",5,0)))),0),0)+IF(AND(O1185="FIRE TEX 5062",E1185="CJ",J1185=3),VLOOKUP(_xlfn.MINIFS('FIRE TEX 5062'!$L$4:$L$34,'FIRE TEX 5062'!$L$4:$L$34,"&gt;="&amp;M1185),'FIRE TEX 5062'!$L$4:$P$34,IF(L1185="F-15",2,IF(L1185="F-30",3,IF(L1185="F-60",4,IF(L1185="F-90",5,0)))),0),0)+IF(AND(O1185="FIRE TEX 5062",E1185="CJ",J1185=4),VLOOKUP(_xlfn.MINIFS('FIRE TEX 5062'!$Q$3:$Q$34,'FIRE TEX 5062'!$Q$3:$Q$34,"&gt;="&amp;M1185),'FIRE TEX 5062'!$Q$3:$U$34,IF(L1185="F-15",2,IF(L1185="F-30",3,IF(L1185="F-60",4,IF(L1185="F-90",5,0)))),0),0)+IF(AND(O1185="FIRE TEX 5090",OR(E1185="IN",E1185="C",E1185="Z",E1185="L"),J1185=3),VLOOKUP(_xlfn.MINIFS('FIRE TEX 5090'!$B$5:$B$43,'FIRE TEX 5090'!$B$5:$B$43,"&gt;="&amp;M1185),'FIRE TEX 5090'!$B$5:$H$43,IF(L1185="F-15",2,IF(L1185="F-30",3,IF(L1185="F-60",4,IF(L1185="F-90",5,IF(L1185="F-120",6,IF(L1185="F-150",7,0)))))),0),0)+IF(AND(O1185="FIRE TEX 5090",OR(E1185="IN",E1185="C",E1185="Z",E1185="L"),J1185=4),VLOOKUP(_xlfn.MINIFS('FIRE TEX 5090'!$J$5:$J$43,'FIRE TEX 5090'!$J$5:$J$43,"&gt;="&amp;M1185),'FIRE TEX 5090'!$J$5:$P$43,IF(L1185="F-15",2,IF(L1185="F-30",3,IF(L1185="F-60",4,IF(L1185="F-90",5,IF(L1185="F-120",6,IF(L1185="F-150",7,0)))))),0),0)+IF(AND(O1185="FIRE TEX 5090",E1185="CJ",J1185=3),VLOOKUP(_xlfn.MINIFS('FIRE TEX 5090'!$R$5:$R$30,'FIRE TEX 5090'!$R$5:$R$30,"&gt;="&amp;M1185),'FIRE TEX 5090'!$R$5:$W$30,IF(L1185="F-15",2,IF(L1185="F-30",3,IF(L1185="F-60",4,IF(L1185="F-90",5,IF(L1185="F-120",6,IF(L1185="F-150",7,0)))))),0),0)+IF(AND(O1185="FIRE TEX 5090",E1185="CJ",J1185=4),VLOOKUP(_xlfn.MINIFS('FIRE TEX 5090'!$Y$5:$Y$39,'FIRE TEX 5090'!$Y$5:$Y$39,"&gt;="&amp;M1185),'FIRE TEX 5090'!$Y$5:$AD$39,IF(L1185="F-15",2,IF(L1185="F-30",3,IF(L1185="F-60",4,IF(L1185="F-90",5,IF(L1185="F-120",6,IF(L1185="F-150",7,0)))))),0),0)+IF(AND(O1185="FIRE TEX 5120",OR(E1185="IN",E1185="C",E1185="Z",E1185="L"),J1185=3),VLOOKUP(_xlfn.MINIFS('FIRE TEX 5120'!$B$5:$B$40,'FIRE TEX 5120'!$B$5:$B$40,"&gt;="&amp;M1185),'FIRE TEX 5120'!$B$5:$G$40,IF(L1185="F-15",2,IF(L1185="F-30",3,IF(L1185="F-60",4,IF(L1185="F-90",5,IF(L1185="F-120",6,0))))),0),0)+IF(AND(O1185="FIRE TEX 5120",OR(E1185="IN",E1185="C",E1185="Z",E1185="L"),J1185=4),VLOOKUP(_xlfn.MINIFS('FIRE TEX 5120'!$H$4:$H$40,'FIRE TEX 5120'!$H$4:$H$40,"&gt;="&amp;M1185),'FIRE TEX 5120'!$H$4:$M$40,IF(L1185="F-15",2,IF(L1185="F-30",3,IF(L1185="F-60",4,IF(L1185="F-90",5,IF(L1185="F-120",6,0))))),0),0)+IF(AND(O1185="FIRE TEX 5120",E1185="CJ"),VLOOKUP(_xlfn.MINIFS('FIRE TEX 5120'!$O$5:$O$40,'FIRE TEX 5120'!$O$5:$O$40,"&gt;="&amp;M1185),'FIRE TEX 5120'!$O$5:$T$40,IF(L1185="F-15",2,IF(L1185="F-30",3,IF(L1185="F-60",4,IF(L1185="F-90",5,IF(L1185="F-120",6,0))))),0),0)</f>
        <v>0</v>
      </c>
      <c r="Q1185" s="46">
        <f t="shared" si="109"/>
        <v>0</v>
      </c>
      <c r="R1185" s="46">
        <f t="shared" si="110"/>
        <v>0</v>
      </c>
      <c r="S1185" s="46" t="e">
        <f t="shared" si="111"/>
        <v>#VALUE!</v>
      </c>
      <c r="T1185" s="677">
        <f t="shared" si="112"/>
        <v>0</v>
      </c>
      <c r="U1185" s="80">
        <f>(IF(O1185="Stofire",(S1185*#REF!),0))+(IF(O1185="Fire Control",(S1185*$U$2),0))+(IF(O1185="Fire Tex",(S1185*$U$3),0))+(IF(O1185="WB7",(S1185*#REF!),0)+(IF(O1185="FX 2003",(S1185*$U$5),0)))</f>
        <v>0</v>
      </c>
      <c r="V1185" s="651">
        <f t="shared" si="113"/>
        <v>0</v>
      </c>
    </row>
    <row r="1186" spans="4:22" x14ac:dyDescent="0.25">
      <c r="D1186" s="118">
        <f>+CUBICACION!D1185</f>
        <v>0</v>
      </c>
      <c r="E1186" s="118">
        <f>+CUBICACION!F1185</f>
        <v>0</v>
      </c>
      <c r="F1186" s="118">
        <f>+CUBICACION!E1185</f>
        <v>0</v>
      </c>
      <c r="G1186" s="118">
        <v>12</v>
      </c>
      <c r="H1186" s="118">
        <v>2</v>
      </c>
      <c r="I1186" s="820">
        <v>26385</v>
      </c>
      <c r="J1186" s="118">
        <f>+CUBICACION!J1185</f>
        <v>0</v>
      </c>
      <c r="K1186" s="118">
        <v>3965</v>
      </c>
      <c r="L1186" s="118">
        <f>+CUBICACION!L1185</f>
        <v>0</v>
      </c>
      <c r="M1186" s="64">
        <f>+CUBICACION!M1185</f>
        <v>0</v>
      </c>
      <c r="N1186" s="824" t="str">
        <f>+CUBICACION!N1185</f>
        <v/>
      </c>
      <c r="O1186" s="675">
        <f>+CUBICACION!O1185</f>
        <v>0</v>
      </c>
      <c r="P1186" s="15">
        <f>IF(O1186="Fire Control",VLOOKUP(_xlfn.MINIFS('FIRE CONTROL'!$C$4:$C$37,'FIRE CONTROL'!$C$4:$C$37,"&gt;="&amp;M1186),'FIRE CONTROL'!$C$4:$G$37,IF(L1186="F-15",2,IF(L1186="F-30",3,IF(L1186="F-60",4,IF(L1186="F-90",5,0)))),0),0)+IF(AND(O1186="FIRE TEX 5062",OR(E1186="IN",E1186="C",E1186="Z",E1186="L"),J1186=3),VLOOKUP(_xlfn.MINIFS('FIRE TEX 5062'!$B$4:$B$34,'FIRE TEX 5062'!$B$4:$B$34,"&gt;="&amp;M1186),'FIRE TEX 5062'!$B$4:$F$34,IF(L1186="F-15",2,IF(L1186="F-30",3,IF(L1186="F-60",4,IF(L1186="F-90",5,0)))),0),0)+IF(AND(O1186="FIRE TEX 5062",OR(E1186="IN",E1186="C",E1186="Z",E1186="L"),J1186=4),VLOOKUP(_xlfn.MINIFS('FIRE TEX 5062'!$G$4:$G$34,'FIRE TEX 5062'!$G$4:$G$34,"&gt;="&amp;M1186),'FIRE TEX 5062'!$G$4:$K$34,IF(L1186="F-15",2,IF(L1186="F-30",3,IF(L1186="F-60",4,IF(L1186="F-90",5,0)))),0),0)+IF(AND(O1186="FIRE TEX 5062",E1186="CJ",J1186=3),VLOOKUP(_xlfn.MINIFS('FIRE TEX 5062'!$L$4:$L$34,'FIRE TEX 5062'!$L$4:$L$34,"&gt;="&amp;M1186),'FIRE TEX 5062'!$L$4:$P$34,IF(L1186="F-15",2,IF(L1186="F-30",3,IF(L1186="F-60",4,IF(L1186="F-90",5,0)))),0),0)+IF(AND(O1186="FIRE TEX 5062",E1186="CJ",J1186=4),VLOOKUP(_xlfn.MINIFS('FIRE TEX 5062'!$Q$3:$Q$34,'FIRE TEX 5062'!$Q$3:$Q$34,"&gt;="&amp;M1186),'FIRE TEX 5062'!$Q$3:$U$34,IF(L1186="F-15",2,IF(L1186="F-30",3,IF(L1186="F-60",4,IF(L1186="F-90",5,0)))),0),0)+IF(AND(O1186="FIRE TEX 5090",OR(E1186="IN",E1186="C",E1186="Z",E1186="L"),J1186=3),VLOOKUP(_xlfn.MINIFS('FIRE TEX 5090'!$B$5:$B$43,'FIRE TEX 5090'!$B$5:$B$43,"&gt;="&amp;M1186),'FIRE TEX 5090'!$B$5:$H$43,IF(L1186="F-15",2,IF(L1186="F-30",3,IF(L1186="F-60",4,IF(L1186="F-90",5,IF(L1186="F-120",6,IF(L1186="F-150",7,0)))))),0),0)+IF(AND(O1186="FIRE TEX 5090",OR(E1186="IN",E1186="C",E1186="Z",E1186="L"),J1186=4),VLOOKUP(_xlfn.MINIFS('FIRE TEX 5090'!$J$5:$J$43,'FIRE TEX 5090'!$J$5:$J$43,"&gt;="&amp;M1186),'FIRE TEX 5090'!$J$5:$P$43,IF(L1186="F-15",2,IF(L1186="F-30",3,IF(L1186="F-60",4,IF(L1186="F-90",5,IF(L1186="F-120",6,IF(L1186="F-150",7,0)))))),0),0)+IF(AND(O1186="FIRE TEX 5090",E1186="CJ",J1186=3),VLOOKUP(_xlfn.MINIFS('FIRE TEX 5090'!$R$5:$R$30,'FIRE TEX 5090'!$R$5:$R$30,"&gt;="&amp;M1186),'FIRE TEX 5090'!$R$5:$W$30,IF(L1186="F-15",2,IF(L1186="F-30",3,IF(L1186="F-60",4,IF(L1186="F-90",5,IF(L1186="F-120",6,IF(L1186="F-150",7,0)))))),0),0)+IF(AND(O1186="FIRE TEX 5090",E1186="CJ",J1186=4),VLOOKUP(_xlfn.MINIFS('FIRE TEX 5090'!$Y$5:$Y$39,'FIRE TEX 5090'!$Y$5:$Y$39,"&gt;="&amp;M1186),'FIRE TEX 5090'!$Y$5:$AD$39,IF(L1186="F-15",2,IF(L1186="F-30",3,IF(L1186="F-60",4,IF(L1186="F-90",5,IF(L1186="F-120",6,IF(L1186="F-150",7,0)))))),0),0)+IF(AND(O1186="FIRE TEX 5120",OR(E1186="IN",E1186="C",E1186="Z",E1186="L"),J1186=3),VLOOKUP(_xlfn.MINIFS('FIRE TEX 5120'!$B$5:$B$40,'FIRE TEX 5120'!$B$5:$B$40,"&gt;="&amp;M1186),'FIRE TEX 5120'!$B$5:$G$40,IF(L1186="F-15",2,IF(L1186="F-30",3,IF(L1186="F-60",4,IF(L1186="F-90",5,IF(L1186="F-120",6,0))))),0),0)+IF(AND(O1186="FIRE TEX 5120",OR(E1186="IN",E1186="C",E1186="Z",E1186="L"),J1186=4),VLOOKUP(_xlfn.MINIFS('FIRE TEX 5120'!$H$4:$H$40,'FIRE TEX 5120'!$H$4:$H$40,"&gt;="&amp;M1186),'FIRE TEX 5120'!$H$4:$M$40,IF(L1186="F-15",2,IF(L1186="F-30",3,IF(L1186="F-60",4,IF(L1186="F-90",5,IF(L1186="F-120",6,0))))),0),0)+IF(AND(O1186="FIRE TEX 5120",E1186="CJ"),VLOOKUP(_xlfn.MINIFS('FIRE TEX 5120'!$O$5:$O$40,'FIRE TEX 5120'!$O$5:$O$40,"&gt;="&amp;M1186),'FIRE TEX 5120'!$O$5:$T$40,IF(L1186="F-15",2,IF(L1186="F-30",3,IF(L1186="F-60",4,IF(L1186="F-90",5,IF(L1186="F-120",6,0))))),0),0)</f>
        <v>0</v>
      </c>
      <c r="Q1186" s="46">
        <f t="shared" si="109"/>
        <v>0</v>
      </c>
      <c r="R1186" s="46">
        <f t="shared" si="110"/>
        <v>0</v>
      </c>
      <c r="S1186" s="46" t="e">
        <f t="shared" si="111"/>
        <v>#VALUE!</v>
      </c>
      <c r="T1186" s="677">
        <f t="shared" si="112"/>
        <v>0</v>
      </c>
      <c r="U1186" s="80">
        <f>(IF(O1186="Stofire",(S1186*#REF!),0))+(IF(O1186="Fire Control",(S1186*$U$2),0))+(IF(O1186="Fire Tex",(S1186*$U$3),0))+(IF(O1186="WB7",(S1186*#REF!),0)+(IF(O1186="FX 2003",(S1186*$U$5),0)))</f>
        <v>0</v>
      </c>
      <c r="V1186" s="651">
        <f t="shared" si="113"/>
        <v>0</v>
      </c>
    </row>
    <row r="1187" spans="4:22" x14ac:dyDescent="0.25">
      <c r="D1187" s="118">
        <f>+CUBICACION!D1186</f>
        <v>0</v>
      </c>
      <c r="E1187" s="118">
        <f>+CUBICACION!F1186</f>
        <v>0</v>
      </c>
      <c r="F1187" s="118">
        <f>+CUBICACION!E1186</f>
        <v>0</v>
      </c>
      <c r="G1187" s="118">
        <v>12</v>
      </c>
      <c r="H1187" s="118">
        <v>2</v>
      </c>
      <c r="I1187" s="820">
        <v>26385</v>
      </c>
      <c r="J1187" s="118">
        <f>+CUBICACION!J1186</f>
        <v>0</v>
      </c>
      <c r="K1187" s="118">
        <v>3966</v>
      </c>
      <c r="L1187" s="118">
        <f>+CUBICACION!L1186</f>
        <v>0</v>
      </c>
      <c r="M1187" s="64">
        <f>+CUBICACION!M1186</f>
        <v>0</v>
      </c>
      <c r="N1187" s="824" t="str">
        <f>+CUBICACION!N1186</f>
        <v/>
      </c>
      <c r="O1187" s="675">
        <f>+CUBICACION!O1186</f>
        <v>0</v>
      </c>
      <c r="P1187" s="15">
        <f>IF(O1187="Fire Control",VLOOKUP(_xlfn.MINIFS('FIRE CONTROL'!$C$4:$C$37,'FIRE CONTROL'!$C$4:$C$37,"&gt;="&amp;M1187),'FIRE CONTROL'!$C$4:$G$37,IF(L1187="F-15",2,IF(L1187="F-30",3,IF(L1187="F-60",4,IF(L1187="F-90",5,0)))),0),0)+IF(AND(O1187="FIRE TEX 5062",OR(E1187="IN",E1187="C",E1187="Z",E1187="L"),J1187=3),VLOOKUP(_xlfn.MINIFS('FIRE TEX 5062'!$B$4:$B$34,'FIRE TEX 5062'!$B$4:$B$34,"&gt;="&amp;M1187),'FIRE TEX 5062'!$B$4:$F$34,IF(L1187="F-15",2,IF(L1187="F-30",3,IF(L1187="F-60",4,IF(L1187="F-90",5,0)))),0),0)+IF(AND(O1187="FIRE TEX 5062",OR(E1187="IN",E1187="C",E1187="Z",E1187="L"),J1187=4),VLOOKUP(_xlfn.MINIFS('FIRE TEX 5062'!$G$4:$G$34,'FIRE TEX 5062'!$G$4:$G$34,"&gt;="&amp;M1187),'FIRE TEX 5062'!$G$4:$K$34,IF(L1187="F-15",2,IF(L1187="F-30",3,IF(L1187="F-60",4,IF(L1187="F-90",5,0)))),0),0)+IF(AND(O1187="FIRE TEX 5062",E1187="CJ",J1187=3),VLOOKUP(_xlfn.MINIFS('FIRE TEX 5062'!$L$4:$L$34,'FIRE TEX 5062'!$L$4:$L$34,"&gt;="&amp;M1187),'FIRE TEX 5062'!$L$4:$P$34,IF(L1187="F-15",2,IF(L1187="F-30",3,IF(L1187="F-60",4,IF(L1187="F-90",5,0)))),0),0)+IF(AND(O1187="FIRE TEX 5062",E1187="CJ",J1187=4),VLOOKUP(_xlfn.MINIFS('FIRE TEX 5062'!$Q$3:$Q$34,'FIRE TEX 5062'!$Q$3:$Q$34,"&gt;="&amp;M1187),'FIRE TEX 5062'!$Q$3:$U$34,IF(L1187="F-15",2,IF(L1187="F-30",3,IF(L1187="F-60",4,IF(L1187="F-90",5,0)))),0),0)+IF(AND(O1187="FIRE TEX 5090",OR(E1187="IN",E1187="C",E1187="Z",E1187="L"),J1187=3),VLOOKUP(_xlfn.MINIFS('FIRE TEX 5090'!$B$5:$B$43,'FIRE TEX 5090'!$B$5:$B$43,"&gt;="&amp;M1187),'FIRE TEX 5090'!$B$5:$H$43,IF(L1187="F-15",2,IF(L1187="F-30",3,IF(L1187="F-60",4,IF(L1187="F-90",5,IF(L1187="F-120",6,IF(L1187="F-150",7,0)))))),0),0)+IF(AND(O1187="FIRE TEX 5090",OR(E1187="IN",E1187="C",E1187="Z",E1187="L"),J1187=4),VLOOKUP(_xlfn.MINIFS('FIRE TEX 5090'!$J$5:$J$43,'FIRE TEX 5090'!$J$5:$J$43,"&gt;="&amp;M1187),'FIRE TEX 5090'!$J$5:$P$43,IF(L1187="F-15",2,IF(L1187="F-30",3,IF(L1187="F-60",4,IF(L1187="F-90",5,IF(L1187="F-120",6,IF(L1187="F-150",7,0)))))),0),0)+IF(AND(O1187="FIRE TEX 5090",E1187="CJ",J1187=3),VLOOKUP(_xlfn.MINIFS('FIRE TEX 5090'!$R$5:$R$30,'FIRE TEX 5090'!$R$5:$R$30,"&gt;="&amp;M1187),'FIRE TEX 5090'!$R$5:$W$30,IF(L1187="F-15",2,IF(L1187="F-30",3,IF(L1187="F-60",4,IF(L1187="F-90",5,IF(L1187="F-120",6,IF(L1187="F-150",7,0)))))),0),0)+IF(AND(O1187="FIRE TEX 5090",E1187="CJ",J1187=4),VLOOKUP(_xlfn.MINIFS('FIRE TEX 5090'!$Y$5:$Y$39,'FIRE TEX 5090'!$Y$5:$Y$39,"&gt;="&amp;M1187),'FIRE TEX 5090'!$Y$5:$AD$39,IF(L1187="F-15",2,IF(L1187="F-30",3,IF(L1187="F-60",4,IF(L1187="F-90",5,IF(L1187="F-120",6,IF(L1187="F-150",7,0)))))),0),0)+IF(AND(O1187="FIRE TEX 5120",OR(E1187="IN",E1187="C",E1187="Z",E1187="L"),J1187=3),VLOOKUP(_xlfn.MINIFS('FIRE TEX 5120'!$B$5:$B$40,'FIRE TEX 5120'!$B$5:$B$40,"&gt;="&amp;M1187),'FIRE TEX 5120'!$B$5:$G$40,IF(L1187="F-15",2,IF(L1187="F-30",3,IF(L1187="F-60",4,IF(L1187="F-90",5,IF(L1187="F-120",6,0))))),0),0)+IF(AND(O1187="FIRE TEX 5120",OR(E1187="IN",E1187="C",E1187="Z",E1187="L"),J1187=4),VLOOKUP(_xlfn.MINIFS('FIRE TEX 5120'!$H$4:$H$40,'FIRE TEX 5120'!$H$4:$H$40,"&gt;="&amp;M1187),'FIRE TEX 5120'!$H$4:$M$40,IF(L1187="F-15",2,IF(L1187="F-30",3,IF(L1187="F-60",4,IF(L1187="F-90",5,IF(L1187="F-120",6,0))))),0),0)+IF(AND(O1187="FIRE TEX 5120",E1187="CJ"),VLOOKUP(_xlfn.MINIFS('FIRE TEX 5120'!$O$5:$O$40,'FIRE TEX 5120'!$O$5:$O$40,"&gt;="&amp;M1187),'FIRE TEX 5120'!$O$5:$T$40,IF(L1187="F-15",2,IF(L1187="F-30",3,IF(L1187="F-60",4,IF(L1187="F-90",5,IF(L1187="F-120",6,0))))),0),0)</f>
        <v>0</v>
      </c>
      <c r="Q1187" s="46">
        <f t="shared" si="109"/>
        <v>0</v>
      </c>
      <c r="R1187" s="46">
        <f t="shared" si="110"/>
        <v>0</v>
      </c>
      <c r="S1187" s="46" t="e">
        <f t="shared" si="111"/>
        <v>#VALUE!</v>
      </c>
      <c r="T1187" s="677">
        <f t="shared" si="112"/>
        <v>0</v>
      </c>
      <c r="U1187" s="80">
        <f>(IF(O1187="Stofire",(S1187*#REF!),0))+(IF(O1187="Fire Control",(S1187*$U$2),0))+(IF(O1187="Fire Tex",(S1187*$U$3),0))+(IF(O1187="WB7",(S1187*#REF!),0)+(IF(O1187="FX 2003",(S1187*$U$5),0)))</f>
        <v>0</v>
      </c>
      <c r="V1187" s="651">
        <f t="shared" si="113"/>
        <v>0</v>
      </c>
    </row>
    <row r="1188" spans="4:22" x14ac:dyDescent="0.25">
      <c r="D1188" s="118">
        <f>+CUBICACION!D1187</f>
        <v>0</v>
      </c>
      <c r="E1188" s="118">
        <f>+CUBICACION!F1187</f>
        <v>0</v>
      </c>
      <c r="F1188" s="118">
        <f>+CUBICACION!E1187</f>
        <v>0</v>
      </c>
      <c r="G1188" s="118">
        <v>12</v>
      </c>
      <c r="H1188" s="118">
        <v>2</v>
      </c>
      <c r="I1188" s="820">
        <v>26385</v>
      </c>
      <c r="J1188" s="118">
        <f>+CUBICACION!J1187</f>
        <v>0</v>
      </c>
      <c r="K1188" s="118">
        <v>3967</v>
      </c>
      <c r="L1188" s="118">
        <f>+CUBICACION!L1187</f>
        <v>0</v>
      </c>
      <c r="M1188" s="64">
        <f>+CUBICACION!M1187</f>
        <v>0</v>
      </c>
      <c r="N1188" s="824" t="str">
        <f>+CUBICACION!N1187</f>
        <v/>
      </c>
      <c r="O1188" s="675">
        <f>+CUBICACION!O1187</f>
        <v>0</v>
      </c>
      <c r="P1188" s="15">
        <f>IF(O1188="Fire Control",VLOOKUP(_xlfn.MINIFS('FIRE CONTROL'!$C$4:$C$37,'FIRE CONTROL'!$C$4:$C$37,"&gt;="&amp;M1188),'FIRE CONTROL'!$C$4:$G$37,IF(L1188="F-15",2,IF(L1188="F-30",3,IF(L1188="F-60",4,IF(L1188="F-90",5,0)))),0),0)+IF(AND(O1188="FIRE TEX 5062",OR(E1188="IN",E1188="C",E1188="Z",E1188="L"),J1188=3),VLOOKUP(_xlfn.MINIFS('FIRE TEX 5062'!$B$4:$B$34,'FIRE TEX 5062'!$B$4:$B$34,"&gt;="&amp;M1188),'FIRE TEX 5062'!$B$4:$F$34,IF(L1188="F-15",2,IF(L1188="F-30",3,IF(L1188="F-60",4,IF(L1188="F-90",5,0)))),0),0)+IF(AND(O1188="FIRE TEX 5062",OR(E1188="IN",E1188="C",E1188="Z",E1188="L"),J1188=4),VLOOKUP(_xlfn.MINIFS('FIRE TEX 5062'!$G$4:$G$34,'FIRE TEX 5062'!$G$4:$G$34,"&gt;="&amp;M1188),'FIRE TEX 5062'!$G$4:$K$34,IF(L1188="F-15",2,IF(L1188="F-30",3,IF(L1188="F-60",4,IF(L1188="F-90",5,0)))),0),0)+IF(AND(O1188="FIRE TEX 5062",E1188="CJ",J1188=3),VLOOKUP(_xlfn.MINIFS('FIRE TEX 5062'!$L$4:$L$34,'FIRE TEX 5062'!$L$4:$L$34,"&gt;="&amp;M1188),'FIRE TEX 5062'!$L$4:$P$34,IF(L1188="F-15",2,IF(L1188="F-30",3,IF(L1188="F-60",4,IF(L1188="F-90",5,0)))),0),0)+IF(AND(O1188="FIRE TEX 5062",E1188="CJ",J1188=4),VLOOKUP(_xlfn.MINIFS('FIRE TEX 5062'!$Q$3:$Q$34,'FIRE TEX 5062'!$Q$3:$Q$34,"&gt;="&amp;M1188),'FIRE TEX 5062'!$Q$3:$U$34,IF(L1188="F-15",2,IF(L1188="F-30",3,IF(L1188="F-60",4,IF(L1188="F-90",5,0)))),0),0)+IF(AND(O1188="FIRE TEX 5090",OR(E1188="IN",E1188="C",E1188="Z",E1188="L"),J1188=3),VLOOKUP(_xlfn.MINIFS('FIRE TEX 5090'!$B$5:$B$43,'FIRE TEX 5090'!$B$5:$B$43,"&gt;="&amp;M1188),'FIRE TEX 5090'!$B$5:$H$43,IF(L1188="F-15",2,IF(L1188="F-30",3,IF(L1188="F-60",4,IF(L1188="F-90",5,IF(L1188="F-120",6,IF(L1188="F-150",7,0)))))),0),0)+IF(AND(O1188="FIRE TEX 5090",OR(E1188="IN",E1188="C",E1188="Z",E1188="L"),J1188=4),VLOOKUP(_xlfn.MINIFS('FIRE TEX 5090'!$J$5:$J$43,'FIRE TEX 5090'!$J$5:$J$43,"&gt;="&amp;M1188),'FIRE TEX 5090'!$J$5:$P$43,IF(L1188="F-15",2,IF(L1188="F-30",3,IF(L1188="F-60",4,IF(L1188="F-90",5,IF(L1188="F-120",6,IF(L1188="F-150",7,0)))))),0),0)+IF(AND(O1188="FIRE TEX 5090",E1188="CJ",J1188=3),VLOOKUP(_xlfn.MINIFS('FIRE TEX 5090'!$R$5:$R$30,'FIRE TEX 5090'!$R$5:$R$30,"&gt;="&amp;M1188),'FIRE TEX 5090'!$R$5:$W$30,IF(L1188="F-15",2,IF(L1188="F-30",3,IF(L1188="F-60",4,IF(L1188="F-90",5,IF(L1188="F-120",6,IF(L1188="F-150",7,0)))))),0),0)+IF(AND(O1188="FIRE TEX 5090",E1188="CJ",J1188=4),VLOOKUP(_xlfn.MINIFS('FIRE TEX 5090'!$Y$5:$Y$39,'FIRE TEX 5090'!$Y$5:$Y$39,"&gt;="&amp;M1188),'FIRE TEX 5090'!$Y$5:$AD$39,IF(L1188="F-15",2,IF(L1188="F-30",3,IF(L1188="F-60",4,IF(L1188="F-90",5,IF(L1188="F-120",6,IF(L1188="F-150",7,0)))))),0),0)+IF(AND(O1188="FIRE TEX 5120",OR(E1188="IN",E1188="C",E1188="Z",E1188="L"),J1188=3),VLOOKUP(_xlfn.MINIFS('FIRE TEX 5120'!$B$5:$B$40,'FIRE TEX 5120'!$B$5:$B$40,"&gt;="&amp;M1188),'FIRE TEX 5120'!$B$5:$G$40,IF(L1188="F-15",2,IF(L1188="F-30",3,IF(L1188="F-60",4,IF(L1188="F-90",5,IF(L1188="F-120",6,0))))),0),0)+IF(AND(O1188="FIRE TEX 5120",OR(E1188="IN",E1188="C",E1188="Z",E1188="L"),J1188=4),VLOOKUP(_xlfn.MINIFS('FIRE TEX 5120'!$H$4:$H$40,'FIRE TEX 5120'!$H$4:$H$40,"&gt;="&amp;M1188),'FIRE TEX 5120'!$H$4:$M$40,IF(L1188="F-15",2,IF(L1188="F-30",3,IF(L1188="F-60",4,IF(L1188="F-90",5,IF(L1188="F-120",6,0))))),0),0)+IF(AND(O1188="FIRE TEX 5120",E1188="CJ"),VLOOKUP(_xlfn.MINIFS('FIRE TEX 5120'!$O$5:$O$40,'FIRE TEX 5120'!$O$5:$O$40,"&gt;="&amp;M1188),'FIRE TEX 5120'!$O$5:$T$40,IF(L1188="F-15",2,IF(L1188="F-30",3,IF(L1188="F-60",4,IF(L1188="F-90",5,IF(L1188="F-120",6,0))))),0),0)</f>
        <v>0</v>
      </c>
      <c r="Q1188" s="46">
        <f t="shared" si="109"/>
        <v>0</v>
      </c>
      <c r="R1188" s="46">
        <f t="shared" si="110"/>
        <v>0</v>
      </c>
      <c r="S1188" s="46" t="e">
        <f t="shared" si="111"/>
        <v>#VALUE!</v>
      </c>
      <c r="T1188" s="677">
        <f t="shared" si="112"/>
        <v>0</v>
      </c>
      <c r="U1188" s="80">
        <f>(IF(O1188="Stofire",(S1188*#REF!),0))+(IF(O1188="Fire Control",(S1188*$U$2),0))+(IF(O1188="Fire Tex",(S1188*$U$3),0))+(IF(O1188="WB7",(S1188*#REF!),0)+(IF(O1188="FX 2003",(S1188*$U$5),0)))</f>
        <v>0</v>
      </c>
      <c r="V1188" s="651">
        <f t="shared" si="113"/>
        <v>0</v>
      </c>
    </row>
    <row r="1189" spans="4:22" x14ac:dyDescent="0.25">
      <c r="D1189" s="118">
        <f>+CUBICACION!D1188</f>
        <v>0</v>
      </c>
      <c r="E1189" s="118">
        <f>+CUBICACION!F1188</f>
        <v>0</v>
      </c>
      <c r="F1189" s="118">
        <f>+CUBICACION!E1188</f>
        <v>0</v>
      </c>
      <c r="G1189" s="118">
        <v>12</v>
      </c>
      <c r="H1189" s="118">
        <v>2</v>
      </c>
      <c r="I1189" s="820">
        <v>26385</v>
      </c>
      <c r="J1189" s="118">
        <f>+CUBICACION!J1188</f>
        <v>0</v>
      </c>
      <c r="K1189" s="118">
        <v>3968</v>
      </c>
      <c r="L1189" s="118">
        <f>+CUBICACION!L1188</f>
        <v>0</v>
      </c>
      <c r="M1189" s="64">
        <f>+CUBICACION!M1188</f>
        <v>0</v>
      </c>
      <c r="N1189" s="824" t="str">
        <f>+CUBICACION!N1188</f>
        <v/>
      </c>
      <c r="O1189" s="675">
        <f>+CUBICACION!O1188</f>
        <v>0</v>
      </c>
      <c r="P1189" s="15">
        <f>IF(O1189="Fire Control",VLOOKUP(_xlfn.MINIFS('FIRE CONTROL'!$C$4:$C$37,'FIRE CONTROL'!$C$4:$C$37,"&gt;="&amp;M1189),'FIRE CONTROL'!$C$4:$G$37,IF(L1189="F-15",2,IF(L1189="F-30",3,IF(L1189="F-60",4,IF(L1189="F-90",5,0)))),0),0)+IF(AND(O1189="FIRE TEX 5062",OR(E1189="IN",E1189="C",E1189="Z",E1189="L"),J1189=3),VLOOKUP(_xlfn.MINIFS('FIRE TEX 5062'!$B$4:$B$34,'FIRE TEX 5062'!$B$4:$B$34,"&gt;="&amp;M1189),'FIRE TEX 5062'!$B$4:$F$34,IF(L1189="F-15",2,IF(L1189="F-30",3,IF(L1189="F-60",4,IF(L1189="F-90",5,0)))),0),0)+IF(AND(O1189="FIRE TEX 5062",OR(E1189="IN",E1189="C",E1189="Z",E1189="L"),J1189=4),VLOOKUP(_xlfn.MINIFS('FIRE TEX 5062'!$G$4:$G$34,'FIRE TEX 5062'!$G$4:$G$34,"&gt;="&amp;M1189),'FIRE TEX 5062'!$G$4:$K$34,IF(L1189="F-15",2,IF(L1189="F-30",3,IF(L1189="F-60",4,IF(L1189="F-90",5,0)))),0),0)+IF(AND(O1189="FIRE TEX 5062",E1189="CJ",J1189=3),VLOOKUP(_xlfn.MINIFS('FIRE TEX 5062'!$L$4:$L$34,'FIRE TEX 5062'!$L$4:$L$34,"&gt;="&amp;M1189),'FIRE TEX 5062'!$L$4:$P$34,IF(L1189="F-15",2,IF(L1189="F-30",3,IF(L1189="F-60",4,IF(L1189="F-90",5,0)))),0),0)+IF(AND(O1189="FIRE TEX 5062",E1189="CJ",J1189=4),VLOOKUP(_xlfn.MINIFS('FIRE TEX 5062'!$Q$3:$Q$34,'FIRE TEX 5062'!$Q$3:$Q$34,"&gt;="&amp;M1189),'FIRE TEX 5062'!$Q$3:$U$34,IF(L1189="F-15",2,IF(L1189="F-30",3,IF(L1189="F-60",4,IF(L1189="F-90",5,0)))),0),0)+IF(AND(O1189="FIRE TEX 5090",OR(E1189="IN",E1189="C",E1189="Z",E1189="L"),J1189=3),VLOOKUP(_xlfn.MINIFS('FIRE TEX 5090'!$B$5:$B$43,'FIRE TEX 5090'!$B$5:$B$43,"&gt;="&amp;M1189),'FIRE TEX 5090'!$B$5:$H$43,IF(L1189="F-15",2,IF(L1189="F-30",3,IF(L1189="F-60",4,IF(L1189="F-90",5,IF(L1189="F-120",6,IF(L1189="F-150",7,0)))))),0),0)+IF(AND(O1189="FIRE TEX 5090",OR(E1189="IN",E1189="C",E1189="Z",E1189="L"),J1189=4),VLOOKUP(_xlfn.MINIFS('FIRE TEX 5090'!$J$5:$J$43,'FIRE TEX 5090'!$J$5:$J$43,"&gt;="&amp;M1189),'FIRE TEX 5090'!$J$5:$P$43,IF(L1189="F-15",2,IF(L1189="F-30",3,IF(L1189="F-60",4,IF(L1189="F-90",5,IF(L1189="F-120",6,IF(L1189="F-150",7,0)))))),0),0)+IF(AND(O1189="FIRE TEX 5090",E1189="CJ",J1189=3),VLOOKUP(_xlfn.MINIFS('FIRE TEX 5090'!$R$5:$R$30,'FIRE TEX 5090'!$R$5:$R$30,"&gt;="&amp;M1189),'FIRE TEX 5090'!$R$5:$W$30,IF(L1189="F-15",2,IF(L1189="F-30",3,IF(L1189="F-60",4,IF(L1189="F-90",5,IF(L1189="F-120",6,IF(L1189="F-150",7,0)))))),0),0)+IF(AND(O1189="FIRE TEX 5090",E1189="CJ",J1189=4),VLOOKUP(_xlfn.MINIFS('FIRE TEX 5090'!$Y$5:$Y$39,'FIRE TEX 5090'!$Y$5:$Y$39,"&gt;="&amp;M1189),'FIRE TEX 5090'!$Y$5:$AD$39,IF(L1189="F-15",2,IF(L1189="F-30",3,IF(L1189="F-60",4,IF(L1189="F-90",5,IF(L1189="F-120",6,IF(L1189="F-150",7,0)))))),0),0)+IF(AND(O1189="FIRE TEX 5120",OR(E1189="IN",E1189="C",E1189="Z",E1189="L"),J1189=3),VLOOKUP(_xlfn.MINIFS('FIRE TEX 5120'!$B$5:$B$40,'FIRE TEX 5120'!$B$5:$B$40,"&gt;="&amp;M1189),'FIRE TEX 5120'!$B$5:$G$40,IF(L1189="F-15",2,IF(L1189="F-30",3,IF(L1189="F-60",4,IF(L1189="F-90",5,IF(L1189="F-120",6,0))))),0),0)+IF(AND(O1189="FIRE TEX 5120",OR(E1189="IN",E1189="C",E1189="Z",E1189="L"),J1189=4),VLOOKUP(_xlfn.MINIFS('FIRE TEX 5120'!$H$4:$H$40,'FIRE TEX 5120'!$H$4:$H$40,"&gt;="&amp;M1189),'FIRE TEX 5120'!$H$4:$M$40,IF(L1189="F-15",2,IF(L1189="F-30",3,IF(L1189="F-60",4,IF(L1189="F-90",5,IF(L1189="F-120",6,0))))),0),0)+IF(AND(O1189="FIRE TEX 5120",E1189="CJ"),VLOOKUP(_xlfn.MINIFS('FIRE TEX 5120'!$O$5:$O$40,'FIRE TEX 5120'!$O$5:$O$40,"&gt;="&amp;M1189),'FIRE TEX 5120'!$O$5:$T$40,IF(L1189="F-15",2,IF(L1189="F-30",3,IF(L1189="F-60",4,IF(L1189="F-90",5,IF(L1189="F-120",6,0))))),0),0)</f>
        <v>0</v>
      </c>
      <c r="Q1189" s="46">
        <f t="shared" si="109"/>
        <v>0</v>
      </c>
      <c r="R1189" s="46">
        <f t="shared" si="110"/>
        <v>0</v>
      </c>
      <c r="S1189" s="46" t="e">
        <f t="shared" si="111"/>
        <v>#VALUE!</v>
      </c>
      <c r="T1189" s="677">
        <f t="shared" si="112"/>
        <v>0</v>
      </c>
      <c r="U1189" s="80">
        <f>(IF(O1189="Stofire",(S1189*#REF!),0))+(IF(O1189="Fire Control",(S1189*$U$2),0))+(IF(O1189="Fire Tex",(S1189*$U$3),0))+(IF(O1189="WB7",(S1189*#REF!),0)+(IF(O1189="FX 2003",(S1189*$U$5),0)))</f>
        <v>0</v>
      </c>
      <c r="V1189" s="651">
        <f t="shared" si="113"/>
        <v>0</v>
      </c>
    </row>
    <row r="1190" spans="4:22" x14ac:dyDescent="0.25">
      <c r="D1190" s="118">
        <f>+CUBICACION!D1189</f>
        <v>0</v>
      </c>
      <c r="E1190" s="118">
        <f>+CUBICACION!F1189</f>
        <v>0</v>
      </c>
      <c r="F1190" s="118">
        <f>+CUBICACION!E1189</f>
        <v>0</v>
      </c>
      <c r="G1190" s="118">
        <v>12</v>
      </c>
      <c r="H1190" s="118">
        <v>2</v>
      </c>
      <c r="I1190" s="820">
        <v>26385</v>
      </c>
      <c r="J1190" s="118">
        <f>+CUBICACION!J1189</f>
        <v>0</v>
      </c>
      <c r="K1190" s="118">
        <v>3969</v>
      </c>
      <c r="L1190" s="118">
        <f>+CUBICACION!L1189</f>
        <v>0</v>
      </c>
      <c r="M1190" s="64">
        <f>+CUBICACION!M1189</f>
        <v>0</v>
      </c>
      <c r="N1190" s="824" t="str">
        <f>+CUBICACION!N1189</f>
        <v/>
      </c>
      <c r="O1190" s="675">
        <f>+CUBICACION!O1189</f>
        <v>0</v>
      </c>
      <c r="P1190" s="15">
        <f>IF(O1190="Fire Control",VLOOKUP(_xlfn.MINIFS('FIRE CONTROL'!$C$4:$C$37,'FIRE CONTROL'!$C$4:$C$37,"&gt;="&amp;M1190),'FIRE CONTROL'!$C$4:$G$37,IF(L1190="F-15",2,IF(L1190="F-30",3,IF(L1190="F-60",4,IF(L1190="F-90",5,0)))),0),0)+IF(AND(O1190="FIRE TEX 5062",OR(E1190="IN",E1190="C",E1190="Z",E1190="L"),J1190=3),VLOOKUP(_xlfn.MINIFS('FIRE TEX 5062'!$B$4:$B$34,'FIRE TEX 5062'!$B$4:$B$34,"&gt;="&amp;M1190),'FIRE TEX 5062'!$B$4:$F$34,IF(L1190="F-15",2,IF(L1190="F-30",3,IF(L1190="F-60",4,IF(L1190="F-90",5,0)))),0),0)+IF(AND(O1190="FIRE TEX 5062",OR(E1190="IN",E1190="C",E1190="Z",E1190="L"),J1190=4),VLOOKUP(_xlfn.MINIFS('FIRE TEX 5062'!$G$4:$G$34,'FIRE TEX 5062'!$G$4:$G$34,"&gt;="&amp;M1190),'FIRE TEX 5062'!$G$4:$K$34,IF(L1190="F-15",2,IF(L1190="F-30",3,IF(L1190="F-60",4,IF(L1190="F-90",5,0)))),0),0)+IF(AND(O1190="FIRE TEX 5062",E1190="CJ",J1190=3),VLOOKUP(_xlfn.MINIFS('FIRE TEX 5062'!$L$4:$L$34,'FIRE TEX 5062'!$L$4:$L$34,"&gt;="&amp;M1190),'FIRE TEX 5062'!$L$4:$P$34,IF(L1190="F-15",2,IF(L1190="F-30",3,IF(L1190="F-60",4,IF(L1190="F-90",5,0)))),0),0)+IF(AND(O1190="FIRE TEX 5062",E1190="CJ",J1190=4),VLOOKUP(_xlfn.MINIFS('FIRE TEX 5062'!$Q$3:$Q$34,'FIRE TEX 5062'!$Q$3:$Q$34,"&gt;="&amp;M1190),'FIRE TEX 5062'!$Q$3:$U$34,IF(L1190="F-15",2,IF(L1190="F-30",3,IF(L1190="F-60",4,IF(L1190="F-90",5,0)))),0),0)+IF(AND(O1190="FIRE TEX 5090",OR(E1190="IN",E1190="C",E1190="Z",E1190="L"),J1190=3),VLOOKUP(_xlfn.MINIFS('FIRE TEX 5090'!$B$5:$B$43,'FIRE TEX 5090'!$B$5:$B$43,"&gt;="&amp;M1190),'FIRE TEX 5090'!$B$5:$H$43,IF(L1190="F-15",2,IF(L1190="F-30",3,IF(L1190="F-60",4,IF(L1190="F-90",5,IF(L1190="F-120",6,IF(L1190="F-150",7,0)))))),0),0)+IF(AND(O1190="FIRE TEX 5090",OR(E1190="IN",E1190="C",E1190="Z",E1190="L"),J1190=4),VLOOKUP(_xlfn.MINIFS('FIRE TEX 5090'!$J$5:$J$43,'FIRE TEX 5090'!$J$5:$J$43,"&gt;="&amp;M1190),'FIRE TEX 5090'!$J$5:$P$43,IF(L1190="F-15",2,IF(L1190="F-30",3,IF(L1190="F-60",4,IF(L1190="F-90",5,IF(L1190="F-120",6,IF(L1190="F-150",7,0)))))),0),0)+IF(AND(O1190="FIRE TEX 5090",E1190="CJ",J1190=3),VLOOKUP(_xlfn.MINIFS('FIRE TEX 5090'!$R$5:$R$30,'FIRE TEX 5090'!$R$5:$R$30,"&gt;="&amp;M1190),'FIRE TEX 5090'!$R$5:$W$30,IF(L1190="F-15",2,IF(L1190="F-30",3,IF(L1190="F-60",4,IF(L1190="F-90",5,IF(L1190="F-120",6,IF(L1190="F-150",7,0)))))),0),0)+IF(AND(O1190="FIRE TEX 5090",E1190="CJ",J1190=4),VLOOKUP(_xlfn.MINIFS('FIRE TEX 5090'!$Y$5:$Y$39,'FIRE TEX 5090'!$Y$5:$Y$39,"&gt;="&amp;M1190),'FIRE TEX 5090'!$Y$5:$AD$39,IF(L1190="F-15",2,IF(L1190="F-30",3,IF(L1190="F-60",4,IF(L1190="F-90",5,IF(L1190="F-120",6,IF(L1190="F-150",7,0)))))),0),0)+IF(AND(O1190="FIRE TEX 5120",OR(E1190="IN",E1190="C",E1190="Z",E1190="L"),J1190=3),VLOOKUP(_xlfn.MINIFS('FIRE TEX 5120'!$B$5:$B$40,'FIRE TEX 5120'!$B$5:$B$40,"&gt;="&amp;M1190),'FIRE TEX 5120'!$B$5:$G$40,IF(L1190="F-15",2,IF(L1190="F-30",3,IF(L1190="F-60",4,IF(L1190="F-90",5,IF(L1190="F-120",6,0))))),0),0)+IF(AND(O1190="FIRE TEX 5120",OR(E1190="IN",E1190="C",E1190="Z",E1190="L"),J1190=4),VLOOKUP(_xlfn.MINIFS('FIRE TEX 5120'!$H$4:$H$40,'FIRE TEX 5120'!$H$4:$H$40,"&gt;="&amp;M1190),'FIRE TEX 5120'!$H$4:$M$40,IF(L1190="F-15",2,IF(L1190="F-30",3,IF(L1190="F-60",4,IF(L1190="F-90",5,IF(L1190="F-120",6,0))))),0),0)+IF(AND(O1190="FIRE TEX 5120",E1190="CJ"),VLOOKUP(_xlfn.MINIFS('FIRE TEX 5120'!$O$5:$O$40,'FIRE TEX 5120'!$O$5:$O$40,"&gt;="&amp;M1190),'FIRE TEX 5120'!$O$5:$T$40,IF(L1190="F-15",2,IF(L1190="F-30",3,IF(L1190="F-60",4,IF(L1190="F-90",5,IF(L1190="F-120",6,0))))),0),0)</f>
        <v>0</v>
      </c>
      <c r="Q1190" s="46">
        <f t="shared" si="109"/>
        <v>0</v>
      </c>
      <c r="R1190" s="46">
        <f t="shared" si="110"/>
        <v>0</v>
      </c>
      <c r="S1190" s="46" t="e">
        <f t="shared" si="111"/>
        <v>#VALUE!</v>
      </c>
      <c r="T1190" s="677">
        <f t="shared" si="112"/>
        <v>0</v>
      </c>
      <c r="U1190" s="80">
        <f>(IF(O1190="Stofire",(S1190*#REF!),0))+(IF(O1190="Fire Control",(S1190*$U$2),0))+(IF(O1190="Fire Tex",(S1190*$U$3),0))+(IF(O1190="WB7",(S1190*#REF!),0)+(IF(O1190="FX 2003",(S1190*$U$5),0)))</f>
        <v>0</v>
      </c>
      <c r="V1190" s="651">
        <f t="shared" si="113"/>
        <v>0</v>
      </c>
    </row>
    <row r="1191" spans="4:22" x14ac:dyDescent="0.25">
      <c r="D1191" s="118">
        <f>+CUBICACION!D1190</f>
        <v>0</v>
      </c>
      <c r="E1191" s="118">
        <f>+CUBICACION!F1190</f>
        <v>0</v>
      </c>
      <c r="F1191" s="118">
        <f>+CUBICACION!E1190</f>
        <v>0</v>
      </c>
      <c r="G1191" s="118">
        <v>12</v>
      </c>
      <c r="H1191" s="118">
        <v>2</v>
      </c>
      <c r="I1191" s="820">
        <v>26385</v>
      </c>
      <c r="J1191" s="118">
        <f>+CUBICACION!J1190</f>
        <v>0</v>
      </c>
      <c r="K1191" s="118">
        <v>3970</v>
      </c>
      <c r="L1191" s="118">
        <f>+CUBICACION!L1190</f>
        <v>0</v>
      </c>
      <c r="M1191" s="64">
        <f>+CUBICACION!M1190</f>
        <v>0</v>
      </c>
      <c r="N1191" s="824" t="str">
        <f>+CUBICACION!N1190</f>
        <v/>
      </c>
      <c r="O1191" s="675">
        <f>+CUBICACION!O1190</f>
        <v>0</v>
      </c>
      <c r="P1191" s="15">
        <f>IF(O1191="Fire Control",VLOOKUP(_xlfn.MINIFS('FIRE CONTROL'!$C$4:$C$37,'FIRE CONTROL'!$C$4:$C$37,"&gt;="&amp;M1191),'FIRE CONTROL'!$C$4:$G$37,IF(L1191="F-15",2,IF(L1191="F-30",3,IF(L1191="F-60",4,IF(L1191="F-90",5,0)))),0),0)+IF(AND(O1191="FIRE TEX 5062",OR(E1191="IN",E1191="C",E1191="Z",E1191="L"),J1191=3),VLOOKUP(_xlfn.MINIFS('FIRE TEX 5062'!$B$4:$B$34,'FIRE TEX 5062'!$B$4:$B$34,"&gt;="&amp;M1191),'FIRE TEX 5062'!$B$4:$F$34,IF(L1191="F-15",2,IF(L1191="F-30",3,IF(L1191="F-60",4,IF(L1191="F-90",5,0)))),0),0)+IF(AND(O1191="FIRE TEX 5062",OR(E1191="IN",E1191="C",E1191="Z",E1191="L"),J1191=4),VLOOKUP(_xlfn.MINIFS('FIRE TEX 5062'!$G$4:$G$34,'FIRE TEX 5062'!$G$4:$G$34,"&gt;="&amp;M1191),'FIRE TEX 5062'!$G$4:$K$34,IF(L1191="F-15",2,IF(L1191="F-30",3,IF(L1191="F-60",4,IF(L1191="F-90",5,0)))),0),0)+IF(AND(O1191="FIRE TEX 5062",E1191="CJ",J1191=3),VLOOKUP(_xlfn.MINIFS('FIRE TEX 5062'!$L$4:$L$34,'FIRE TEX 5062'!$L$4:$L$34,"&gt;="&amp;M1191),'FIRE TEX 5062'!$L$4:$P$34,IF(L1191="F-15",2,IF(L1191="F-30",3,IF(L1191="F-60",4,IF(L1191="F-90",5,0)))),0),0)+IF(AND(O1191="FIRE TEX 5062",E1191="CJ",J1191=4),VLOOKUP(_xlfn.MINIFS('FIRE TEX 5062'!$Q$3:$Q$34,'FIRE TEX 5062'!$Q$3:$Q$34,"&gt;="&amp;M1191),'FIRE TEX 5062'!$Q$3:$U$34,IF(L1191="F-15",2,IF(L1191="F-30",3,IF(L1191="F-60",4,IF(L1191="F-90",5,0)))),0),0)+IF(AND(O1191="FIRE TEX 5090",OR(E1191="IN",E1191="C",E1191="Z",E1191="L"),J1191=3),VLOOKUP(_xlfn.MINIFS('FIRE TEX 5090'!$B$5:$B$43,'FIRE TEX 5090'!$B$5:$B$43,"&gt;="&amp;M1191),'FIRE TEX 5090'!$B$5:$H$43,IF(L1191="F-15",2,IF(L1191="F-30",3,IF(L1191="F-60",4,IF(L1191="F-90",5,IF(L1191="F-120",6,IF(L1191="F-150",7,0)))))),0),0)+IF(AND(O1191="FIRE TEX 5090",OR(E1191="IN",E1191="C",E1191="Z",E1191="L"),J1191=4),VLOOKUP(_xlfn.MINIFS('FIRE TEX 5090'!$J$5:$J$43,'FIRE TEX 5090'!$J$5:$J$43,"&gt;="&amp;M1191),'FIRE TEX 5090'!$J$5:$P$43,IF(L1191="F-15",2,IF(L1191="F-30",3,IF(L1191="F-60",4,IF(L1191="F-90",5,IF(L1191="F-120",6,IF(L1191="F-150",7,0)))))),0),0)+IF(AND(O1191="FIRE TEX 5090",E1191="CJ",J1191=3),VLOOKUP(_xlfn.MINIFS('FIRE TEX 5090'!$R$5:$R$30,'FIRE TEX 5090'!$R$5:$R$30,"&gt;="&amp;M1191),'FIRE TEX 5090'!$R$5:$W$30,IF(L1191="F-15",2,IF(L1191="F-30",3,IF(L1191="F-60",4,IF(L1191="F-90",5,IF(L1191="F-120",6,IF(L1191="F-150",7,0)))))),0),0)+IF(AND(O1191="FIRE TEX 5090",E1191="CJ",J1191=4),VLOOKUP(_xlfn.MINIFS('FIRE TEX 5090'!$Y$5:$Y$39,'FIRE TEX 5090'!$Y$5:$Y$39,"&gt;="&amp;M1191),'FIRE TEX 5090'!$Y$5:$AD$39,IF(L1191="F-15",2,IF(L1191="F-30",3,IF(L1191="F-60",4,IF(L1191="F-90",5,IF(L1191="F-120",6,IF(L1191="F-150",7,0)))))),0),0)+IF(AND(O1191="FIRE TEX 5120",OR(E1191="IN",E1191="C",E1191="Z",E1191="L"),J1191=3),VLOOKUP(_xlfn.MINIFS('FIRE TEX 5120'!$B$5:$B$40,'FIRE TEX 5120'!$B$5:$B$40,"&gt;="&amp;M1191),'FIRE TEX 5120'!$B$5:$G$40,IF(L1191="F-15",2,IF(L1191="F-30",3,IF(L1191="F-60",4,IF(L1191="F-90",5,IF(L1191="F-120",6,0))))),0),0)+IF(AND(O1191="FIRE TEX 5120",OR(E1191="IN",E1191="C",E1191="Z",E1191="L"),J1191=4),VLOOKUP(_xlfn.MINIFS('FIRE TEX 5120'!$H$4:$H$40,'FIRE TEX 5120'!$H$4:$H$40,"&gt;="&amp;M1191),'FIRE TEX 5120'!$H$4:$M$40,IF(L1191="F-15",2,IF(L1191="F-30",3,IF(L1191="F-60",4,IF(L1191="F-90",5,IF(L1191="F-120",6,0))))),0),0)+IF(AND(O1191="FIRE TEX 5120",E1191="CJ"),VLOOKUP(_xlfn.MINIFS('FIRE TEX 5120'!$O$5:$O$40,'FIRE TEX 5120'!$O$5:$O$40,"&gt;="&amp;M1191),'FIRE TEX 5120'!$O$5:$T$40,IF(L1191="F-15",2,IF(L1191="F-30",3,IF(L1191="F-60",4,IF(L1191="F-90",5,IF(L1191="F-120",6,0))))),0),0)</f>
        <v>0</v>
      </c>
      <c r="Q1191" s="46">
        <f t="shared" si="109"/>
        <v>0</v>
      </c>
      <c r="R1191" s="46">
        <f t="shared" si="110"/>
        <v>0</v>
      </c>
      <c r="S1191" s="46" t="e">
        <f t="shared" si="111"/>
        <v>#VALUE!</v>
      </c>
      <c r="T1191" s="677">
        <f t="shared" si="112"/>
        <v>0</v>
      </c>
      <c r="U1191" s="80">
        <f>(IF(O1191="Stofire",(S1191*#REF!),0))+(IF(O1191="Fire Control",(S1191*$U$2),0))+(IF(O1191="Fire Tex",(S1191*$U$3),0))+(IF(O1191="WB7",(S1191*#REF!),0)+(IF(O1191="FX 2003",(S1191*$U$5),0)))</f>
        <v>0</v>
      </c>
      <c r="V1191" s="651">
        <f t="shared" si="113"/>
        <v>0</v>
      </c>
    </row>
    <row r="1192" spans="4:22" x14ac:dyDescent="0.25">
      <c r="D1192" s="118">
        <f>+CUBICACION!D1191</f>
        <v>0</v>
      </c>
      <c r="E1192" s="118">
        <f>+CUBICACION!F1191</f>
        <v>0</v>
      </c>
      <c r="F1192" s="118">
        <f>+CUBICACION!E1191</f>
        <v>0</v>
      </c>
      <c r="G1192" s="118">
        <v>12</v>
      </c>
      <c r="H1192" s="118">
        <v>2</v>
      </c>
      <c r="I1192" s="820">
        <v>26385</v>
      </c>
      <c r="J1192" s="118">
        <f>+CUBICACION!J1191</f>
        <v>0</v>
      </c>
      <c r="K1192" s="118">
        <v>3971</v>
      </c>
      <c r="L1192" s="118">
        <f>+CUBICACION!L1191</f>
        <v>0</v>
      </c>
      <c r="M1192" s="64">
        <f>+CUBICACION!M1191</f>
        <v>0</v>
      </c>
      <c r="N1192" s="824" t="str">
        <f>+CUBICACION!N1191</f>
        <v/>
      </c>
      <c r="O1192" s="675">
        <f>+CUBICACION!O1191</f>
        <v>0</v>
      </c>
      <c r="P1192" s="15">
        <f>IF(O1192="Fire Control",VLOOKUP(_xlfn.MINIFS('FIRE CONTROL'!$C$4:$C$37,'FIRE CONTROL'!$C$4:$C$37,"&gt;="&amp;M1192),'FIRE CONTROL'!$C$4:$G$37,IF(L1192="F-15",2,IF(L1192="F-30",3,IF(L1192="F-60",4,IF(L1192="F-90",5,0)))),0),0)+IF(AND(O1192="FIRE TEX 5062",OR(E1192="IN",E1192="C",E1192="Z",E1192="L"),J1192=3),VLOOKUP(_xlfn.MINIFS('FIRE TEX 5062'!$B$4:$B$34,'FIRE TEX 5062'!$B$4:$B$34,"&gt;="&amp;M1192),'FIRE TEX 5062'!$B$4:$F$34,IF(L1192="F-15",2,IF(L1192="F-30",3,IF(L1192="F-60",4,IF(L1192="F-90",5,0)))),0),0)+IF(AND(O1192="FIRE TEX 5062",OR(E1192="IN",E1192="C",E1192="Z",E1192="L"),J1192=4),VLOOKUP(_xlfn.MINIFS('FIRE TEX 5062'!$G$4:$G$34,'FIRE TEX 5062'!$G$4:$G$34,"&gt;="&amp;M1192),'FIRE TEX 5062'!$G$4:$K$34,IF(L1192="F-15",2,IF(L1192="F-30",3,IF(L1192="F-60",4,IF(L1192="F-90",5,0)))),0),0)+IF(AND(O1192="FIRE TEX 5062",E1192="CJ",J1192=3),VLOOKUP(_xlfn.MINIFS('FIRE TEX 5062'!$L$4:$L$34,'FIRE TEX 5062'!$L$4:$L$34,"&gt;="&amp;M1192),'FIRE TEX 5062'!$L$4:$P$34,IF(L1192="F-15",2,IF(L1192="F-30",3,IF(L1192="F-60",4,IF(L1192="F-90",5,0)))),0),0)+IF(AND(O1192="FIRE TEX 5062",E1192="CJ",J1192=4),VLOOKUP(_xlfn.MINIFS('FIRE TEX 5062'!$Q$3:$Q$34,'FIRE TEX 5062'!$Q$3:$Q$34,"&gt;="&amp;M1192),'FIRE TEX 5062'!$Q$3:$U$34,IF(L1192="F-15",2,IF(L1192="F-30",3,IF(L1192="F-60",4,IF(L1192="F-90",5,0)))),0),0)+IF(AND(O1192="FIRE TEX 5090",OR(E1192="IN",E1192="C",E1192="Z",E1192="L"),J1192=3),VLOOKUP(_xlfn.MINIFS('FIRE TEX 5090'!$B$5:$B$43,'FIRE TEX 5090'!$B$5:$B$43,"&gt;="&amp;M1192),'FIRE TEX 5090'!$B$5:$H$43,IF(L1192="F-15",2,IF(L1192="F-30",3,IF(L1192="F-60",4,IF(L1192="F-90",5,IF(L1192="F-120",6,IF(L1192="F-150",7,0)))))),0),0)+IF(AND(O1192="FIRE TEX 5090",OR(E1192="IN",E1192="C",E1192="Z",E1192="L"),J1192=4),VLOOKUP(_xlfn.MINIFS('FIRE TEX 5090'!$J$5:$J$43,'FIRE TEX 5090'!$J$5:$J$43,"&gt;="&amp;M1192),'FIRE TEX 5090'!$J$5:$P$43,IF(L1192="F-15",2,IF(L1192="F-30",3,IF(L1192="F-60",4,IF(L1192="F-90",5,IF(L1192="F-120",6,IF(L1192="F-150",7,0)))))),0),0)+IF(AND(O1192="FIRE TEX 5090",E1192="CJ",J1192=3),VLOOKUP(_xlfn.MINIFS('FIRE TEX 5090'!$R$5:$R$30,'FIRE TEX 5090'!$R$5:$R$30,"&gt;="&amp;M1192),'FIRE TEX 5090'!$R$5:$W$30,IF(L1192="F-15",2,IF(L1192="F-30",3,IF(L1192="F-60",4,IF(L1192="F-90",5,IF(L1192="F-120",6,IF(L1192="F-150",7,0)))))),0),0)+IF(AND(O1192="FIRE TEX 5090",E1192="CJ",J1192=4),VLOOKUP(_xlfn.MINIFS('FIRE TEX 5090'!$Y$5:$Y$39,'FIRE TEX 5090'!$Y$5:$Y$39,"&gt;="&amp;M1192),'FIRE TEX 5090'!$Y$5:$AD$39,IF(L1192="F-15",2,IF(L1192="F-30",3,IF(L1192="F-60",4,IF(L1192="F-90",5,IF(L1192="F-120",6,IF(L1192="F-150",7,0)))))),0),0)+IF(AND(O1192="FIRE TEX 5120",OR(E1192="IN",E1192="C",E1192="Z",E1192="L"),J1192=3),VLOOKUP(_xlfn.MINIFS('FIRE TEX 5120'!$B$5:$B$40,'FIRE TEX 5120'!$B$5:$B$40,"&gt;="&amp;M1192),'FIRE TEX 5120'!$B$5:$G$40,IF(L1192="F-15",2,IF(L1192="F-30",3,IF(L1192="F-60",4,IF(L1192="F-90",5,IF(L1192="F-120",6,0))))),0),0)+IF(AND(O1192="FIRE TEX 5120",OR(E1192="IN",E1192="C",E1192="Z",E1192="L"),J1192=4),VLOOKUP(_xlfn.MINIFS('FIRE TEX 5120'!$H$4:$H$40,'FIRE TEX 5120'!$H$4:$H$40,"&gt;="&amp;M1192),'FIRE TEX 5120'!$H$4:$M$40,IF(L1192="F-15",2,IF(L1192="F-30",3,IF(L1192="F-60",4,IF(L1192="F-90",5,IF(L1192="F-120",6,0))))),0),0)+IF(AND(O1192="FIRE TEX 5120",E1192="CJ"),VLOOKUP(_xlfn.MINIFS('FIRE TEX 5120'!$O$5:$O$40,'FIRE TEX 5120'!$O$5:$O$40,"&gt;="&amp;M1192),'FIRE TEX 5120'!$O$5:$T$40,IF(L1192="F-15",2,IF(L1192="F-30",3,IF(L1192="F-60",4,IF(L1192="F-90",5,IF(L1192="F-120",6,0))))),0),0)</f>
        <v>0</v>
      </c>
      <c r="Q1192" s="46">
        <f t="shared" si="109"/>
        <v>0</v>
      </c>
      <c r="R1192" s="46">
        <f t="shared" si="110"/>
        <v>0</v>
      </c>
      <c r="S1192" s="46" t="e">
        <f t="shared" si="111"/>
        <v>#VALUE!</v>
      </c>
      <c r="T1192" s="677">
        <f t="shared" si="112"/>
        <v>0</v>
      </c>
      <c r="U1192" s="80">
        <f>(IF(O1192="Stofire",(S1192*#REF!),0))+(IF(O1192="Fire Control",(S1192*$U$2),0))+(IF(O1192="Fire Tex",(S1192*$U$3),0))+(IF(O1192="WB7",(S1192*#REF!),0)+(IF(O1192="FX 2003",(S1192*$U$5),0)))</f>
        <v>0</v>
      </c>
      <c r="V1192" s="651">
        <f t="shared" si="113"/>
        <v>0</v>
      </c>
    </row>
    <row r="1193" spans="4:22" x14ac:dyDescent="0.25">
      <c r="D1193" s="118">
        <f>+CUBICACION!D1192</f>
        <v>0</v>
      </c>
      <c r="E1193" s="118">
        <f>+CUBICACION!F1192</f>
        <v>0</v>
      </c>
      <c r="F1193" s="118">
        <f>+CUBICACION!E1192</f>
        <v>0</v>
      </c>
      <c r="G1193" s="118">
        <v>12</v>
      </c>
      <c r="H1193" s="118">
        <v>2</v>
      </c>
      <c r="I1193" s="820">
        <v>26385</v>
      </c>
      <c r="J1193" s="118">
        <f>+CUBICACION!J1192</f>
        <v>0</v>
      </c>
      <c r="K1193" s="118">
        <v>3972</v>
      </c>
      <c r="L1193" s="118">
        <f>+CUBICACION!L1192</f>
        <v>0</v>
      </c>
      <c r="M1193" s="64">
        <f>+CUBICACION!M1192</f>
        <v>0</v>
      </c>
      <c r="N1193" s="824" t="str">
        <f>+CUBICACION!N1192</f>
        <v/>
      </c>
      <c r="O1193" s="675">
        <f>+CUBICACION!O1192</f>
        <v>0</v>
      </c>
      <c r="P1193" s="15">
        <f>IF(O1193="Fire Control",VLOOKUP(_xlfn.MINIFS('FIRE CONTROL'!$C$4:$C$37,'FIRE CONTROL'!$C$4:$C$37,"&gt;="&amp;M1193),'FIRE CONTROL'!$C$4:$G$37,IF(L1193="F-15",2,IF(L1193="F-30",3,IF(L1193="F-60",4,IF(L1193="F-90",5,0)))),0),0)+IF(AND(O1193="FIRE TEX 5062",OR(E1193="IN",E1193="C",E1193="Z",E1193="L"),J1193=3),VLOOKUP(_xlfn.MINIFS('FIRE TEX 5062'!$B$4:$B$34,'FIRE TEX 5062'!$B$4:$B$34,"&gt;="&amp;M1193),'FIRE TEX 5062'!$B$4:$F$34,IF(L1193="F-15",2,IF(L1193="F-30",3,IF(L1193="F-60",4,IF(L1193="F-90",5,0)))),0),0)+IF(AND(O1193="FIRE TEX 5062",OR(E1193="IN",E1193="C",E1193="Z",E1193="L"),J1193=4),VLOOKUP(_xlfn.MINIFS('FIRE TEX 5062'!$G$4:$G$34,'FIRE TEX 5062'!$G$4:$G$34,"&gt;="&amp;M1193),'FIRE TEX 5062'!$G$4:$K$34,IF(L1193="F-15",2,IF(L1193="F-30",3,IF(L1193="F-60",4,IF(L1193="F-90",5,0)))),0),0)+IF(AND(O1193="FIRE TEX 5062",E1193="CJ",J1193=3),VLOOKUP(_xlfn.MINIFS('FIRE TEX 5062'!$L$4:$L$34,'FIRE TEX 5062'!$L$4:$L$34,"&gt;="&amp;M1193),'FIRE TEX 5062'!$L$4:$P$34,IF(L1193="F-15",2,IF(L1193="F-30",3,IF(L1193="F-60",4,IF(L1193="F-90",5,0)))),0),0)+IF(AND(O1193="FIRE TEX 5062",E1193="CJ",J1193=4),VLOOKUP(_xlfn.MINIFS('FIRE TEX 5062'!$Q$3:$Q$34,'FIRE TEX 5062'!$Q$3:$Q$34,"&gt;="&amp;M1193),'FIRE TEX 5062'!$Q$3:$U$34,IF(L1193="F-15",2,IF(L1193="F-30",3,IF(L1193="F-60",4,IF(L1193="F-90",5,0)))),0),0)+IF(AND(O1193="FIRE TEX 5090",OR(E1193="IN",E1193="C",E1193="Z",E1193="L"),J1193=3),VLOOKUP(_xlfn.MINIFS('FIRE TEX 5090'!$B$5:$B$43,'FIRE TEX 5090'!$B$5:$B$43,"&gt;="&amp;M1193),'FIRE TEX 5090'!$B$5:$H$43,IF(L1193="F-15",2,IF(L1193="F-30",3,IF(L1193="F-60",4,IF(L1193="F-90",5,IF(L1193="F-120",6,IF(L1193="F-150",7,0)))))),0),0)+IF(AND(O1193="FIRE TEX 5090",OR(E1193="IN",E1193="C",E1193="Z",E1193="L"),J1193=4),VLOOKUP(_xlfn.MINIFS('FIRE TEX 5090'!$J$5:$J$43,'FIRE TEX 5090'!$J$5:$J$43,"&gt;="&amp;M1193),'FIRE TEX 5090'!$J$5:$P$43,IF(L1193="F-15",2,IF(L1193="F-30",3,IF(L1193="F-60",4,IF(L1193="F-90",5,IF(L1193="F-120",6,IF(L1193="F-150",7,0)))))),0),0)+IF(AND(O1193="FIRE TEX 5090",E1193="CJ",J1193=3),VLOOKUP(_xlfn.MINIFS('FIRE TEX 5090'!$R$5:$R$30,'FIRE TEX 5090'!$R$5:$R$30,"&gt;="&amp;M1193),'FIRE TEX 5090'!$R$5:$W$30,IF(L1193="F-15",2,IF(L1193="F-30",3,IF(L1193="F-60",4,IF(L1193="F-90",5,IF(L1193="F-120",6,IF(L1193="F-150",7,0)))))),0),0)+IF(AND(O1193="FIRE TEX 5090",E1193="CJ",J1193=4),VLOOKUP(_xlfn.MINIFS('FIRE TEX 5090'!$Y$5:$Y$39,'FIRE TEX 5090'!$Y$5:$Y$39,"&gt;="&amp;M1193),'FIRE TEX 5090'!$Y$5:$AD$39,IF(L1193="F-15",2,IF(L1193="F-30",3,IF(L1193="F-60",4,IF(L1193="F-90",5,IF(L1193="F-120",6,IF(L1193="F-150",7,0)))))),0),0)+IF(AND(O1193="FIRE TEX 5120",OR(E1193="IN",E1193="C",E1193="Z",E1193="L"),J1193=3),VLOOKUP(_xlfn.MINIFS('FIRE TEX 5120'!$B$5:$B$40,'FIRE TEX 5120'!$B$5:$B$40,"&gt;="&amp;M1193),'FIRE TEX 5120'!$B$5:$G$40,IF(L1193="F-15",2,IF(L1193="F-30",3,IF(L1193="F-60",4,IF(L1193="F-90",5,IF(L1193="F-120",6,0))))),0),0)+IF(AND(O1193="FIRE TEX 5120",OR(E1193="IN",E1193="C",E1193="Z",E1193="L"),J1193=4),VLOOKUP(_xlfn.MINIFS('FIRE TEX 5120'!$H$4:$H$40,'FIRE TEX 5120'!$H$4:$H$40,"&gt;="&amp;M1193),'FIRE TEX 5120'!$H$4:$M$40,IF(L1193="F-15",2,IF(L1193="F-30",3,IF(L1193="F-60",4,IF(L1193="F-90",5,IF(L1193="F-120",6,0))))),0),0)+IF(AND(O1193="FIRE TEX 5120",E1193="CJ"),VLOOKUP(_xlfn.MINIFS('FIRE TEX 5120'!$O$5:$O$40,'FIRE TEX 5120'!$O$5:$O$40,"&gt;="&amp;M1193),'FIRE TEX 5120'!$O$5:$T$40,IF(L1193="F-15",2,IF(L1193="F-30",3,IF(L1193="F-60",4,IF(L1193="F-90",5,IF(L1193="F-120",6,0))))),0),0)</f>
        <v>0</v>
      </c>
      <c r="Q1193" s="46">
        <f t="shared" si="109"/>
        <v>0</v>
      </c>
      <c r="R1193" s="46">
        <f t="shared" si="110"/>
        <v>0</v>
      </c>
      <c r="S1193" s="46" t="e">
        <f t="shared" si="111"/>
        <v>#VALUE!</v>
      </c>
      <c r="T1193" s="677">
        <f t="shared" si="112"/>
        <v>0</v>
      </c>
      <c r="U1193" s="80">
        <f>(IF(O1193="Stofire",(S1193*#REF!),0))+(IF(O1193="Fire Control",(S1193*$U$2),0))+(IF(O1193="Fire Tex",(S1193*$U$3),0))+(IF(O1193="WB7",(S1193*#REF!),0)+(IF(O1193="FX 2003",(S1193*$U$5),0)))</f>
        <v>0</v>
      </c>
      <c r="V1193" s="651">
        <f t="shared" si="113"/>
        <v>0</v>
      </c>
    </row>
    <row r="1194" spans="4:22" x14ac:dyDescent="0.25">
      <c r="D1194" s="118">
        <f>+CUBICACION!D1193</f>
        <v>0</v>
      </c>
      <c r="E1194" s="118">
        <f>+CUBICACION!F1193</f>
        <v>0</v>
      </c>
      <c r="F1194" s="118">
        <f>+CUBICACION!E1193</f>
        <v>0</v>
      </c>
      <c r="G1194" s="118">
        <v>12</v>
      </c>
      <c r="H1194" s="118">
        <v>2</v>
      </c>
      <c r="I1194" s="820">
        <v>26385</v>
      </c>
      <c r="J1194" s="118">
        <f>+CUBICACION!J1193</f>
        <v>0</v>
      </c>
      <c r="K1194" s="118">
        <v>3973</v>
      </c>
      <c r="L1194" s="118">
        <f>+CUBICACION!L1193</f>
        <v>0</v>
      </c>
      <c r="M1194" s="64">
        <f>+CUBICACION!M1193</f>
        <v>0</v>
      </c>
      <c r="N1194" s="824" t="str">
        <f>+CUBICACION!N1193</f>
        <v/>
      </c>
      <c r="O1194" s="675">
        <f>+CUBICACION!O1193</f>
        <v>0</v>
      </c>
      <c r="P1194" s="15">
        <f>IF(O1194="Fire Control",VLOOKUP(_xlfn.MINIFS('FIRE CONTROL'!$C$4:$C$37,'FIRE CONTROL'!$C$4:$C$37,"&gt;="&amp;M1194),'FIRE CONTROL'!$C$4:$G$37,IF(L1194="F-15",2,IF(L1194="F-30",3,IF(L1194="F-60",4,IF(L1194="F-90",5,0)))),0),0)+IF(AND(O1194="FIRE TEX 5062",OR(E1194="IN",E1194="C",E1194="Z",E1194="L"),J1194=3),VLOOKUP(_xlfn.MINIFS('FIRE TEX 5062'!$B$4:$B$34,'FIRE TEX 5062'!$B$4:$B$34,"&gt;="&amp;M1194),'FIRE TEX 5062'!$B$4:$F$34,IF(L1194="F-15",2,IF(L1194="F-30",3,IF(L1194="F-60",4,IF(L1194="F-90",5,0)))),0),0)+IF(AND(O1194="FIRE TEX 5062",OR(E1194="IN",E1194="C",E1194="Z",E1194="L"),J1194=4),VLOOKUP(_xlfn.MINIFS('FIRE TEX 5062'!$G$4:$G$34,'FIRE TEX 5062'!$G$4:$G$34,"&gt;="&amp;M1194),'FIRE TEX 5062'!$G$4:$K$34,IF(L1194="F-15",2,IF(L1194="F-30",3,IF(L1194="F-60",4,IF(L1194="F-90",5,0)))),0),0)+IF(AND(O1194="FIRE TEX 5062",E1194="CJ",J1194=3),VLOOKUP(_xlfn.MINIFS('FIRE TEX 5062'!$L$4:$L$34,'FIRE TEX 5062'!$L$4:$L$34,"&gt;="&amp;M1194),'FIRE TEX 5062'!$L$4:$P$34,IF(L1194="F-15",2,IF(L1194="F-30",3,IF(L1194="F-60",4,IF(L1194="F-90",5,0)))),0),0)+IF(AND(O1194="FIRE TEX 5062",E1194="CJ",J1194=4),VLOOKUP(_xlfn.MINIFS('FIRE TEX 5062'!$Q$3:$Q$34,'FIRE TEX 5062'!$Q$3:$Q$34,"&gt;="&amp;M1194),'FIRE TEX 5062'!$Q$3:$U$34,IF(L1194="F-15",2,IF(L1194="F-30",3,IF(L1194="F-60",4,IF(L1194="F-90",5,0)))),0),0)+IF(AND(O1194="FIRE TEX 5090",OR(E1194="IN",E1194="C",E1194="Z",E1194="L"),J1194=3),VLOOKUP(_xlfn.MINIFS('FIRE TEX 5090'!$B$5:$B$43,'FIRE TEX 5090'!$B$5:$B$43,"&gt;="&amp;M1194),'FIRE TEX 5090'!$B$5:$H$43,IF(L1194="F-15",2,IF(L1194="F-30",3,IF(L1194="F-60",4,IF(L1194="F-90",5,IF(L1194="F-120",6,IF(L1194="F-150",7,0)))))),0),0)+IF(AND(O1194="FIRE TEX 5090",OR(E1194="IN",E1194="C",E1194="Z",E1194="L"),J1194=4),VLOOKUP(_xlfn.MINIFS('FIRE TEX 5090'!$J$5:$J$43,'FIRE TEX 5090'!$J$5:$J$43,"&gt;="&amp;M1194),'FIRE TEX 5090'!$J$5:$P$43,IF(L1194="F-15",2,IF(L1194="F-30",3,IF(L1194="F-60",4,IF(L1194="F-90",5,IF(L1194="F-120",6,IF(L1194="F-150",7,0)))))),0),0)+IF(AND(O1194="FIRE TEX 5090",E1194="CJ",J1194=3),VLOOKUP(_xlfn.MINIFS('FIRE TEX 5090'!$R$5:$R$30,'FIRE TEX 5090'!$R$5:$R$30,"&gt;="&amp;M1194),'FIRE TEX 5090'!$R$5:$W$30,IF(L1194="F-15",2,IF(L1194="F-30",3,IF(L1194="F-60",4,IF(L1194="F-90",5,IF(L1194="F-120",6,IF(L1194="F-150",7,0)))))),0),0)+IF(AND(O1194="FIRE TEX 5090",E1194="CJ",J1194=4),VLOOKUP(_xlfn.MINIFS('FIRE TEX 5090'!$Y$5:$Y$39,'FIRE TEX 5090'!$Y$5:$Y$39,"&gt;="&amp;M1194),'FIRE TEX 5090'!$Y$5:$AD$39,IF(L1194="F-15",2,IF(L1194="F-30",3,IF(L1194="F-60",4,IF(L1194="F-90",5,IF(L1194="F-120",6,IF(L1194="F-150",7,0)))))),0),0)+IF(AND(O1194="FIRE TEX 5120",OR(E1194="IN",E1194="C",E1194="Z",E1194="L"),J1194=3),VLOOKUP(_xlfn.MINIFS('FIRE TEX 5120'!$B$5:$B$40,'FIRE TEX 5120'!$B$5:$B$40,"&gt;="&amp;M1194),'FIRE TEX 5120'!$B$5:$G$40,IF(L1194="F-15",2,IF(L1194="F-30",3,IF(L1194="F-60",4,IF(L1194="F-90",5,IF(L1194="F-120",6,0))))),0),0)+IF(AND(O1194="FIRE TEX 5120",OR(E1194="IN",E1194="C",E1194="Z",E1194="L"),J1194=4),VLOOKUP(_xlfn.MINIFS('FIRE TEX 5120'!$H$4:$H$40,'FIRE TEX 5120'!$H$4:$H$40,"&gt;="&amp;M1194),'FIRE TEX 5120'!$H$4:$M$40,IF(L1194="F-15",2,IF(L1194="F-30",3,IF(L1194="F-60",4,IF(L1194="F-90",5,IF(L1194="F-120",6,0))))),0),0)+IF(AND(O1194="FIRE TEX 5120",E1194="CJ"),VLOOKUP(_xlfn.MINIFS('FIRE TEX 5120'!$O$5:$O$40,'FIRE TEX 5120'!$O$5:$O$40,"&gt;="&amp;M1194),'FIRE TEX 5120'!$O$5:$T$40,IF(L1194="F-15",2,IF(L1194="F-30",3,IF(L1194="F-60",4,IF(L1194="F-90",5,IF(L1194="F-120",6,0))))),0),0)</f>
        <v>0</v>
      </c>
      <c r="Q1194" s="46">
        <f t="shared" si="109"/>
        <v>0</v>
      </c>
      <c r="R1194" s="46">
        <f t="shared" si="110"/>
        <v>0</v>
      </c>
      <c r="S1194" s="46" t="e">
        <f t="shared" si="111"/>
        <v>#VALUE!</v>
      </c>
      <c r="T1194" s="677">
        <f t="shared" si="112"/>
        <v>0</v>
      </c>
      <c r="U1194" s="80">
        <f>(IF(O1194="Stofire",(S1194*#REF!),0))+(IF(O1194="Fire Control",(S1194*$U$2),0))+(IF(O1194="Fire Tex",(S1194*$U$3),0))+(IF(O1194="WB7",(S1194*#REF!),0)+(IF(O1194="FX 2003",(S1194*$U$5),0)))</f>
        <v>0</v>
      </c>
      <c r="V1194" s="651">
        <f t="shared" si="113"/>
        <v>0</v>
      </c>
    </row>
    <row r="1195" spans="4:22" x14ac:dyDescent="0.25">
      <c r="D1195" s="118">
        <f>+CUBICACION!D1194</f>
        <v>0</v>
      </c>
      <c r="E1195" s="118">
        <f>+CUBICACION!F1194</f>
        <v>0</v>
      </c>
      <c r="F1195" s="118">
        <f>+CUBICACION!E1194</f>
        <v>0</v>
      </c>
      <c r="G1195" s="118">
        <v>12</v>
      </c>
      <c r="H1195" s="118">
        <v>2</v>
      </c>
      <c r="I1195" s="820">
        <v>26385</v>
      </c>
      <c r="J1195" s="118">
        <f>+CUBICACION!J1194</f>
        <v>0</v>
      </c>
      <c r="K1195" s="118">
        <v>3974</v>
      </c>
      <c r="L1195" s="118">
        <f>+CUBICACION!L1194</f>
        <v>0</v>
      </c>
      <c r="M1195" s="64">
        <f>+CUBICACION!M1194</f>
        <v>0</v>
      </c>
      <c r="N1195" s="824" t="str">
        <f>+CUBICACION!N1194</f>
        <v/>
      </c>
      <c r="O1195" s="675">
        <f>+CUBICACION!O1194</f>
        <v>0</v>
      </c>
      <c r="P1195" s="15">
        <f>IF(O1195="Fire Control",VLOOKUP(_xlfn.MINIFS('FIRE CONTROL'!$C$4:$C$37,'FIRE CONTROL'!$C$4:$C$37,"&gt;="&amp;M1195),'FIRE CONTROL'!$C$4:$G$37,IF(L1195="F-15",2,IF(L1195="F-30",3,IF(L1195="F-60",4,IF(L1195="F-90",5,0)))),0),0)+IF(AND(O1195="FIRE TEX 5062",OR(E1195="IN",E1195="C",E1195="Z",E1195="L"),J1195=3),VLOOKUP(_xlfn.MINIFS('FIRE TEX 5062'!$B$4:$B$34,'FIRE TEX 5062'!$B$4:$B$34,"&gt;="&amp;M1195),'FIRE TEX 5062'!$B$4:$F$34,IF(L1195="F-15",2,IF(L1195="F-30",3,IF(L1195="F-60",4,IF(L1195="F-90",5,0)))),0),0)+IF(AND(O1195="FIRE TEX 5062",OR(E1195="IN",E1195="C",E1195="Z",E1195="L"),J1195=4),VLOOKUP(_xlfn.MINIFS('FIRE TEX 5062'!$G$4:$G$34,'FIRE TEX 5062'!$G$4:$G$34,"&gt;="&amp;M1195),'FIRE TEX 5062'!$G$4:$K$34,IF(L1195="F-15",2,IF(L1195="F-30",3,IF(L1195="F-60",4,IF(L1195="F-90",5,0)))),0),0)+IF(AND(O1195="FIRE TEX 5062",E1195="CJ",J1195=3),VLOOKUP(_xlfn.MINIFS('FIRE TEX 5062'!$L$4:$L$34,'FIRE TEX 5062'!$L$4:$L$34,"&gt;="&amp;M1195),'FIRE TEX 5062'!$L$4:$P$34,IF(L1195="F-15",2,IF(L1195="F-30",3,IF(L1195="F-60",4,IF(L1195="F-90",5,0)))),0),0)+IF(AND(O1195="FIRE TEX 5062",E1195="CJ",J1195=4),VLOOKUP(_xlfn.MINIFS('FIRE TEX 5062'!$Q$3:$Q$34,'FIRE TEX 5062'!$Q$3:$Q$34,"&gt;="&amp;M1195),'FIRE TEX 5062'!$Q$3:$U$34,IF(L1195="F-15",2,IF(L1195="F-30",3,IF(L1195="F-60",4,IF(L1195="F-90",5,0)))),0),0)+IF(AND(O1195="FIRE TEX 5090",OR(E1195="IN",E1195="C",E1195="Z",E1195="L"),J1195=3),VLOOKUP(_xlfn.MINIFS('FIRE TEX 5090'!$B$5:$B$43,'FIRE TEX 5090'!$B$5:$B$43,"&gt;="&amp;M1195),'FIRE TEX 5090'!$B$5:$H$43,IF(L1195="F-15",2,IF(L1195="F-30",3,IF(L1195="F-60",4,IF(L1195="F-90",5,IF(L1195="F-120",6,IF(L1195="F-150",7,0)))))),0),0)+IF(AND(O1195="FIRE TEX 5090",OR(E1195="IN",E1195="C",E1195="Z",E1195="L"),J1195=4),VLOOKUP(_xlfn.MINIFS('FIRE TEX 5090'!$J$5:$J$43,'FIRE TEX 5090'!$J$5:$J$43,"&gt;="&amp;M1195),'FIRE TEX 5090'!$J$5:$P$43,IF(L1195="F-15",2,IF(L1195="F-30",3,IF(L1195="F-60",4,IF(L1195="F-90",5,IF(L1195="F-120",6,IF(L1195="F-150",7,0)))))),0),0)+IF(AND(O1195="FIRE TEX 5090",E1195="CJ",J1195=3),VLOOKUP(_xlfn.MINIFS('FIRE TEX 5090'!$R$5:$R$30,'FIRE TEX 5090'!$R$5:$R$30,"&gt;="&amp;M1195),'FIRE TEX 5090'!$R$5:$W$30,IF(L1195="F-15",2,IF(L1195="F-30",3,IF(L1195="F-60",4,IF(L1195="F-90",5,IF(L1195="F-120",6,IF(L1195="F-150",7,0)))))),0),0)+IF(AND(O1195="FIRE TEX 5090",E1195="CJ",J1195=4),VLOOKUP(_xlfn.MINIFS('FIRE TEX 5090'!$Y$5:$Y$39,'FIRE TEX 5090'!$Y$5:$Y$39,"&gt;="&amp;M1195),'FIRE TEX 5090'!$Y$5:$AD$39,IF(L1195="F-15",2,IF(L1195="F-30",3,IF(L1195="F-60",4,IF(L1195="F-90",5,IF(L1195="F-120",6,IF(L1195="F-150",7,0)))))),0),0)+IF(AND(O1195="FIRE TEX 5120",OR(E1195="IN",E1195="C",E1195="Z",E1195="L"),J1195=3),VLOOKUP(_xlfn.MINIFS('FIRE TEX 5120'!$B$5:$B$40,'FIRE TEX 5120'!$B$5:$B$40,"&gt;="&amp;M1195),'FIRE TEX 5120'!$B$5:$G$40,IF(L1195="F-15",2,IF(L1195="F-30",3,IF(L1195="F-60",4,IF(L1195="F-90",5,IF(L1195="F-120",6,0))))),0),0)+IF(AND(O1195="FIRE TEX 5120",OR(E1195="IN",E1195="C",E1195="Z",E1195="L"),J1195=4),VLOOKUP(_xlfn.MINIFS('FIRE TEX 5120'!$H$4:$H$40,'FIRE TEX 5120'!$H$4:$H$40,"&gt;="&amp;M1195),'FIRE TEX 5120'!$H$4:$M$40,IF(L1195="F-15",2,IF(L1195="F-30",3,IF(L1195="F-60",4,IF(L1195="F-90",5,IF(L1195="F-120",6,0))))),0),0)+IF(AND(O1195="FIRE TEX 5120",E1195="CJ"),VLOOKUP(_xlfn.MINIFS('FIRE TEX 5120'!$O$5:$O$40,'FIRE TEX 5120'!$O$5:$O$40,"&gt;="&amp;M1195),'FIRE TEX 5120'!$O$5:$T$40,IF(L1195="F-15",2,IF(L1195="F-30",3,IF(L1195="F-60",4,IF(L1195="F-90",5,IF(L1195="F-120",6,0))))),0),0)</f>
        <v>0</v>
      </c>
      <c r="Q1195" s="46">
        <f t="shared" si="109"/>
        <v>0</v>
      </c>
      <c r="R1195" s="46">
        <f t="shared" si="110"/>
        <v>0</v>
      </c>
      <c r="S1195" s="46" t="e">
        <f t="shared" si="111"/>
        <v>#VALUE!</v>
      </c>
      <c r="T1195" s="677">
        <f t="shared" si="112"/>
        <v>0</v>
      </c>
      <c r="U1195" s="80">
        <f>(IF(O1195="Stofire",(S1195*#REF!),0))+(IF(O1195="Fire Control",(S1195*$U$2),0))+(IF(O1195="Fire Tex",(S1195*$U$3),0))+(IF(O1195="WB7",(S1195*#REF!),0)+(IF(O1195="FX 2003",(S1195*$U$5),0)))</f>
        <v>0</v>
      </c>
      <c r="V1195" s="651">
        <f t="shared" si="113"/>
        <v>0</v>
      </c>
    </row>
    <row r="1196" spans="4:22" x14ac:dyDescent="0.25">
      <c r="D1196" s="118">
        <f>+CUBICACION!D1195</f>
        <v>0</v>
      </c>
      <c r="E1196" s="118">
        <f>+CUBICACION!F1195</f>
        <v>0</v>
      </c>
      <c r="F1196" s="118">
        <f>+CUBICACION!E1195</f>
        <v>0</v>
      </c>
      <c r="G1196" s="118">
        <v>12</v>
      </c>
      <c r="H1196" s="118">
        <v>2</v>
      </c>
      <c r="I1196" s="820">
        <v>26385</v>
      </c>
      <c r="J1196" s="118">
        <f>+CUBICACION!J1195</f>
        <v>0</v>
      </c>
      <c r="K1196" s="118">
        <v>3975</v>
      </c>
      <c r="L1196" s="118">
        <f>+CUBICACION!L1195</f>
        <v>0</v>
      </c>
      <c r="M1196" s="64">
        <f>+CUBICACION!M1195</f>
        <v>0</v>
      </c>
      <c r="N1196" s="824" t="str">
        <f>+CUBICACION!N1195</f>
        <v/>
      </c>
      <c r="O1196" s="675">
        <f>+CUBICACION!O1195</f>
        <v>0</v>
      </c>
      <c r="P1196" s="15">
        <f>IF(O1196="Fire Control",VLOOKUP(_xlfn.MINIFS('FIRE CONTROL'!$C$4:$C$37,'FIRE CONTROL'!$C$4:$C$37,"&gt;="&amp;M1196),'FIRE CONTROL'!$C$4:$G$37,IF(L1196="F-15",2,IF(L1196="F-30",3,IF(L1196="F-60",4,IF(L1196="F-90",5,0)))),0),0)+IF(AND(O1196="FIRE TEX 5062",OR(E1196="IN",E1196="C",E1196="Z",E1196="L"),J1196=3),VLOOKUP(_xlfn.MINIFS('FIRE TEX 5062'!$B$4:$B$34,'FIRE TEX 5062'!$B$4:$B$34,"&gt;="&amp;M1196),'FIRE TEX 5062'!$B$4:$F$34,IF(L1196="F-15",2,IF(L1196="F-30",3,IF(L1196="F-60",4,IF(L1196="F-90",5,0)))),0),0)+IF(AND(O1196="FIRE TEX 5062",OR(E1196="IN",E1196="C",E1196="Z",E1196="L"),J1196=4),VLOOKUP(_xlfn.MINIFS('FIRE TEX 5062'!$G$4:$G$34,'FIRE TEX 5062'!$G$4:$G$34,"&gt;="&amp;M1196),'FIRE TEX 5062'!$G$4:$K$34,IF(L1196="F-15",2,IF(L1196="F-30",3,IF(L1196="F-60",4,IF(L1196="F-90",5,0)))),0),0)+IF(AND(O1196="FIRE TEX 5062",E1196="CJ",J1196=3),VLOOKUP(_xlfn.MINIFS('FIRE TEX 5062'!$L$4:$L$34,'FIRE TEX 5062'!$L$4:$L$34,"&gt;="&amp;M1196),'FIRE TEX 5062'!$L$4:$P$34,IF(L1196="F-15",2,IF(L1196="F-30",3,IF(L1196="F-60",4,IF(L1196="F-90",5,0)))),0),0)+IF(AND(O1196="FIRE TEX 5062",E1196="CJ",J1196=4),VLOOKUP(_xlfn.MINIFS('FIRE TEX 5062'!$Q$3:$Q$34,'FIRE TEX 5062'!$Q$3:$Q$34,"&gt;="&amp;M1196),'FIRE TEX 5062'!$Q$3:$U$34,IF(L1196="F-15",2,IF(L1196="F-30",3,IF(L1196="F-60",4,IF(L1196="F-90",5,0)))),0),0)+IF(AND(O1196="FIRE TEX 5090",OR(E1196="IN",E1196="C",E1196="Z",E1196="L"),J1196=3),VLOOKUP(_xlfn.MINIFS('FIRE TEX 5090'!$B$5:$B$43,'FIRE TEX 5090'!$B$5:$B$43,"&gt;="&amp;M1196),'FIRE TEX 5090'!$B$5:$H$43,IF(L1196="F-15",2,IF(L1196="F-30",3,IF(L1196="F-60",4,IF(L1196="F-90",5,IF(L1196="F-120",6,IF(L1196="F-150",7,0)))))),0),0)+IF(AND(O1196="FIRE TEX 5090",OR(E1196="IN",E1196="C",E1196="Z",E1196="L"),J1196=4),VLOOKUP(_xlfn.MINIFS('FIRE TEX 5090'!$J$5:$J$43,'FIRE TEX 5090'!$J$5:$J$43,"&gt;="&amp;M1196),'FIRE TEX 5090'!$J$5:$P$43,IF(L1196="F-15",2,IF(L1196="F-30",3,IF(L1196="F-60",4,IF(L1196="F-90",5,IF(L1196="F-120",6,IF(L1196="F-150",7,0)))))),0),0)+IF(AND(O1196="FIRE TEX 5090",E1196="CJ",J1196=3),VLOOKUP(_xlfn.MINIFS('FIRE TEX 5090'!$R$5:$R$30,'FIRE TEX 5090'!$R$5:$R$30,"&gt;="&amp;M1196),'FIRE TEX 5090'!$R$5:$W$30,IF(L1196="F-15",2,IF(L1196="F-30",3,IF(L1196="F-60",4,IF(L1196="F-90",5,IF(L1196="F-120",6,IF(L1196="F-150",7,0)))))),0),0)+IF(AND(O1196="FIRE TEX 5090",E1196="CJ",J1196=4),VLOOKUP(_xlfn.MINIFS('FIRE TEX 5090'!$Y$5:$Y$39,'FIRE TEX 5090'!$Y$5:$Y$39,"&gt;="&amp;M1196),'FIRE TEX 5090'!$Y$5:$AD$39,IF(L1196="F-15",2,IF(L1196="F-30",3,IF(L1196="F-60",4,IF(L1196="F-90",5,IF(L1196="F-120",6,IF(L1196="F-150",7,0)))))),0),0)+IF(AND(O1196="FIRE TEX 5120",OR(E1196="IN",E1196="C",E1196="Z",E1196="L"),J1196=3),VLOOKUP(_xlfn.MINIFS('FIRE TEX 5120'!$B$5:$B$40,'FIRE TEX 5120'!$B$5:$B$40,"&gt;="&amp;M1196),'FIRE TEX 5120'!$B$5:$G$40,IF(L1196="F-15",2,IF(L1196="F-30",3,IF(L1196="F-60",4,IF(L1196="F-90",5,IF(L1196="F-120",6,0))))),0),0)+IF(AND(O1196="FIRE TEX 5120",OR(E1196="IN",E1196="C",E1196="Z",E1196="L"),J1196=4),VLOOKUP(_xlfn.MINIFS('FIRE TEX 5120'!$H$4:$H$40,'FIRE TEX 5120'!$H$4:$H$40,"&gt;="&amp;M1196),'FIRE TEX 5120'!$H$4:$M$40,IF(L1196="F-15",2,IF(L1196="F-30",3,IF(L1196="F-60",4,IF(L1196="F-90",5,IF(L1196="F-120",6,0))))),0),0)+IF(AND(O1196="FIRE TEX 5120",E1196="CJ"),VLOOKUP(_xlfn.MINIFS('FIRE TEX 5120'!$O$5:$O$40,'FIRE TEX 5120'!$O$5:$O$40,"&gt;="&amp;M1196),'FIRE TEX 5120'!$O$5:$T$40,IF(L1196="F-15",2,IF(L1196="F-30",3,IF(L1196="F-60",4,IF(L1196="F-90",5,IF(L1196="F-120",6,0))))),0),0)</f>
        <v>0</v>
      </c>
      <c r="Q1196" s="46">
        <f t="shared" si="109"/>
        <v>0</v>
      </c>
      <c r="R1196" s="46">
        <f t="shared" si="110"/>
        <v>0</v>
      </c>
      <c r="S1196" s="46" t="e">
        <f t="shared" si="111"/>
        <v>#VALUE!</v>
      </c>
      <c r="T1196" s="677">
        <f t="shared" si="112"/>
        <v>0</v>
      </c>
      <c r="U1196" s="80">
        <f>(IF(O1196="Stofire",(S1196*#REF!),0))+(IF(O1196="Fire Control",(S1196*$U$2),0))+(IF(O1196="Fire Tex",(S1196*$U$3),0))+(IF(O1196="WB7",(S1196*#REF!),0)+(IF(O1196="FX 2003",(S1196*$U$5),0)))</f>
        <v>0</v>
      </c>
      <c r="V1196" s="651">
        <f t="shared" si="113"/>
        <v>0</v>
      </c>
    </row>
    <row r="1197" spans="4:22" x14ac:dyDescent="0.25">
      <c r="D1197" s="118">
        <f>+CUBICACION!D1196</f>
        <v>0</v>
      </c>
      <c r="E1197" s="118">
        <f>+CUBICACION!F1196</f>
        <v>0</v>
      </c>
      <c r="F1197" s="118">
        <f>+CUBICACION!E1196</f>
        <v>0</v>
      </c>
      <c r="G1197" s="118">
        <v>12</v>
      </c>
      <c r="H1197" s="118">
        <v>2</v>
      </c>
      <c r="I1197" s="820">
        <v>26385</v>
      </c>
      <c r="J1197" s="118">
        <f>+CUBICACION!J1196</f>
        <v>0</v>
      </c>
      <c r="K1197" s="118">
        <v>3976</v>
      </c>
      <c r="L1197" s="118">
        <f>+CUBICACION!L1196</f>
        <v>0</v>
      </c>
      <c r="M1197" s="64">
        <f>+CUBICACION!M1196</f>
        <v>0</v>
      </c>
      <c r="N1197" s="824" t="str">
        <f>+CUBICACION!N1196</f>
        <v/>
      </c>
      <c r="O1197" s="675">
        <f>+CUBICACION!O1196</f>
        <v>0</v>
      </c>
      <c r="P1197" s="15">
        <f>IF(O1197="Fire Control",VLOOKUP(_xlfn.MINIFS('FIRE CONTROL'!$C$4:$C$37,'FIRE CONTROL'!$C$4:$C$37,"&gt;="&amp;M1197),'FIRE CONTROL'!$C$4:$G$37,IF(L1197="F-15",2,IF(L1197="F-30",3,IF(L1197="F-60",4,IF(L1197="F-90",5,0)))),0),0)+IF(AND(O1197="FIRE TEX 5062",OR(E1197="IN",E1197="C",E1197="Z",E1197="L"),J1197=3),VLOOKUP(_xlfn.MINIFS('FIRE TEX 5062'!$B$4:$B$34,'FIRE TEX 5062'!$B$4:$B$34,"&gt;="&amp;M1197),'FIRE TEX 5062'!$B$4:$F$34,IF(L1197="F-15",2,IF(L1197="F-30",3,IF(L1197="F-60",4,IF(L1197="F-90",5,0)))),0),0)+IF(AND(O1197="FIRE TEX 5062",OR(E1197="IN",E1197="C",E1197="Z",E1197="L"),J1197=4),VLOOKUP(_xlfn.MINIFS('FIRE TEX 5062'!$G$4:$G$34,'FIRE TEX 5062'!$G$4:$G$34,"&gt;="&amp;M1197),'FIRE TEX 5062'!$G$4:$K$34,IF(L1197="F-15",2,IF(L1197="F-30",3,IF(L1197="F-60",4,IF(L1197="F-90",5,0)))),0),0)+IF(AND(O1197="FIRE TEX 5062",E1197="CJ",J1197=3),VLOOKUP(_xlfn.MINIFS('FIRE TEX 5062'!$L$4:$L$34,'FIRE TEX 5062'!$L$4:$L$34,"&gt;="&amp;M1197),'FIRE TEX 5062'!$L$4:$P$34,IF(L1197="F-15",2,IF(L1197="F-30",3,IF(L1197="F-60",4,IF(L1197="F-90",5,0)))),0),0)+IF(AND(O1197="FIRE TEX 5062",E1197="CJ",J1197=4),VLOOKUP(_xlfn.MINIFS('FIRE TEX 5062'!$Q$3:$Q$34,'FIRE TEX 5062'!$Q$3:$Q$34,"&gt;="&amp;M1197),'FIRE TEX 5062'!$Q$3:$U$34,IF(L1197="F-15",2,IF(L1197="F-30",3,IF(L1197="F-60",4,IF(L1197="F-90",5,0)))),0),0)+IF(AND(O1197="FIRE TEX 5090",OR(E1197="IN",E1197="C",E1197="Z",E1197="L"),J1197=3),VLOOKUP(_xlfn.MINIFS('FIRE TEX 5090'!$B$5:$B$43,'FIRE TEX 5090'!$B$5:$B$43,"&gt;="&amp;M1197),'FIRE TEX 5090'!$B$5:$H$43,IF(L1197="F-15",2,IF(L1197="F-30",3,IF(L1197="F-60",4,IF(L1197="F-90",5,IF(L1197="F-120",6,IF(L1197="F-150",7,0)))))),0),0)+IF(AND(O1197="FIRE TEX 5090",OR(E1197="IN",E1197="C",E1197="Z",E1197="L"),J1197=4),VLOOKUP(_xlfn.MINIFS('FIRE TEX 5090'!$J$5:$J$43,'FIRE TEX 5090'!$J$5:$J$43,"&gt;="&amp;M1197),'FIRE TEX 5090'!$J$5:$P$43,IF(L1197="F-15",2,IF(L1197="F-30",3,IF(L1197="F-60",4,IF(L1197="F-90",5,IF(L1197="F-120",6,IF(L1197="F-150",7,0)))))),0),0)+IF(AND(O1197="FIRE TEX 5090",E1197="CJ",J1197=3),VLOOKUP(_xlfn.MINIFS('FIRE TEX 5090'!$R$5:$R$30,'FIRE TEX 5090'!$R$5:$R$30,"&gt;="&amp;M1197),'FIRE TEX 5090'!$R$5:$W$30,IF(L1197="F-15",2,IF(L1197="F-30",3,IF(L1197="F-60",4,IF(L1197="F-90",5,IF(L1197="F-120",6,IF(L1197="F-150",7,0)))))),0),0)+IF(AND(O1197="FIRE TEX 5090",E1197="CJ",J1197=4),VLOOKUP(_xlfn.MINIFS('FIRE TEX 5090'!$Y$5:$Y$39,'FIRE TEX 5090'!$Y$5:$Y$39,"&gt;="&amp;M1197),'FIRE TEX 5090'!$Y$5:$AD$39,IF(L1197="F-15",2,IF(L1197="F-30",3,IF(L1197="F-60",4,IF(L1197="F-90",5,IF(L1197="F-120",6,IF(L1197="F-150",7,0)))))),0),0)+IF(AND(O1197="FIRE TEX 5120",OR(E1197="IN",E1197="C",E1197="Z",E1197="L"),J1197=3),VLOOKUP(_xlfn.MINIFS('FIRE TEX 5120'!$B$5:$B$40,'FIRE TEX 5120'!$B$5:$B$40,"&gt;="&amp;M1197),'FIRE TEX 5120'!$B$5:$G$40,IF(L1197="F-15",2,IF(L1197="F-30",3,IF(L1197="F-60",4,IF(L1197="F-90",5,IF(L1197="F-120",6,0))))),0),0)+IF(AND(O1197="FIRE TEX 5120",OR(E1197="IN",E1197="C",E1197="Z",E1197="L"),J1197=4),VLOOKUP(_xlfn.MINIFS('FIRE TEX 5120'!$H$4:$H$40,'FIRE TEX 5120'!$H$4:$H$40,"&gt;="&amp;M1197),'FIRE TEX 5120'!$H$4:$M$40,IF(L1197="F-15",2,IF(L1197="F-30",3,IF(L1197="F-60",4,IF(L1197="F-90",5,IF(L1197="F-120",6,0))))),0),0)+IF(AND(O1197="FIRE TEX 5120",E1197="CJ"),VLOOKUP(_xlfn.MINIFS('FIRE TEX 5120'!$O$5:$O$40,'FIRE TEX 5120'!$O$5:$O$40,"&gt;="&amp;M1197),'FIRE TEX 5120'!$O$5:$T$40,IF(L1197="F-15",2,IF(L1197="F-30",3,IF(L1197="F-60",4,IF(L1197="F-90",5,IF(L1197="F-120",6,0))))),0),0)</f>
        <v>0</v>
      </c>
      <c r="Q1197" s="46">
        <f t="shared" ref="Q1197:Q1260" si="114">IF(P1197="","",IF(P1197="dar valor","",0.03937*P1197))</f>
        <v>0</v>
      </c>
      <c r="R1197" s="46">
        <f t="shared" ref="R1197:R1260" si="115">+(IF(O1197="Fire Control",((65*1.5/Q1197)*0.75*4),0))+(IF(OR(O1197="Fire Tex 5062",O1197="Fire Tex 5090",O1197="Fire Tex 5120"),((66*1.5/Q1197)*0.7*5),0))</f>
        <v>0</v>
      </c>
      <c r="S1197" s="46" t="e">
        <f t="shared" ref="S1197:S1260" si="116">IF(R1197="","",+N1197/R1197)</f>
        <v>#VALUE!</v>
      </c>
      <c r="T1197" s="677">
        <f t="shared" ref="T1197:T1260" si="117">(IF(O1197="Stofire",(S1197/(7*1)),0))+(IF(O1197="Fire Control",(S1197/(7*1)),0))+(IF(O1197="Fire Tex",(S1197/(7*1)),0))+(IF(O1197="WB7",(S1197/(7*1)),0))+(IF(O1197="FX 2003",(S1197/(7*1)),0))</f>
        <v>0</v>
      </c>
      <c r="U1197" s="80">
        <f>(IF(O1197="Stofire",(S1197*#REF!),0))+(IF(O1197="Fire Control",(S1197*$U$2),0))+(IF(O1197="Fire Tex",(S1197*$U$3),0))+(IF(O1197="WB7",(S1197*#REF!),0)+(IF(O1197="FX 2003",(S1197*$U$5),0)))</f>
        <v>0</v>
      </c>
      <c r="V1197" s="651">
        <f t="shared" ref="V1197:V1260" si="118">_xlfn.CEILING.MATH(M1197,10)</f>
        <v>0</v>
      </c>
    </row>
    <row r="1198" spans="4:22" x14ac:dyDescent="0.25">
      <c r="D1198" s="118">
        <f>+CUBICACION!D1197</f>
        <v>0</v>
      </c>
      <c r="E1198" s="118">
        <f>+CUBICACION!F1197</f>
        <v>0</v>
      </c>
      <c r="F1198" s="118">
        <f>+CUBICACION!E1197</f>
        <v>0</v>
      </c>
      <c r="G1198" s="118">
        <v>12</v>
      </c>
      <c r="H1198" s="118">
        <v>2</v>
      </c>
      <c r="I1198" s="820">
        <v>26385</v>
      </c>
      <c r="J1198" s="118">
        <f>+CUBICACION!J1197</f>
        <v>0</v>
      </c>
      <c r="K1198" s="118">
        <v>3977</v>
      </c>
      <c r="L1198" s="118">
        <f>+CUBICACION!L1197</f>
        <v>0</v>
      </c>
      <c r="M1198" s="64">
        <f>+CUBICACION!M1197</f>
        <v>0</v>
      </c>
      <c r="N1198" s="824" t="str">
        <f>+CUBICACION!N1197</f>
        <v/>
      </c>
      <c r="O1198" s="675">
        <f>+CUBICACION!O1197</f>
        <v>0</v>
      </c>
      <c r="P1198" s="15">
        <f>IF(O1198="Fire Control",VLOOKUP(_xlfn.MINIFS('FIRE CONTROL'!$C$4:$C$37,'FIRE CONTROL'!$C$4:$C$37,"&gt;="&amp;M1198),'FIRE CONTROL'!$C$4:$G$37,IF(L1198="F-15",2,IF(L1198="F-30",3,IF(L1198="F-60",4,IF(L1198="F-90",5,0)))),0),0)+IF(AND(O1198="FIRE TEX 5062",OR(E1198="IN",E1198="C",E1198="Z",E1198="L"),J1198=3),VLOOKUP(_xlfn.MINIFS('FIRE TEX 5062'!$B$4:$B$34,'FIRE TEX 5062'!$B$4:$B$34,"&gt;="&amp;M1198),'FIRE TEX 5062'!$B$4:$F$34,IF(L1198="F-15",2,IF(L1198="F-30",3,IF(L1198="F-60",4,IF(L1198="F-90",5,0)))),0),0)+IF(AND(O1198="FIRE TEX 5062",OR(E1198="IN",E1198="C",E1198="Z",E1198="L"),J1198=4),VLOOKUP(_xlfn.MINIFS('FIRE TEX 5062'!$G$4:$G$34,'FIRE TEX 5062'!$G$4:$G$34,"&gt;="&amp;M1198),'FIRE TEX 5062'!$G$4:$K$34,IF(L1198="F-15",2,IF(L1198="F-30",3,IF(L1198="F-60",4,IF(L1198="F-90",5,0)))),0),0)+IF(AND(O1198="FIRE TEX 5062",E1198="CJ",J1198=3),VLOOKUP(_xlfn.MINIFS('FIRE TEX 5062'!$L$4:$L$34,'FIRE TEX 5062'!$L$4:$L$34,"&gt;="&amp;M1198),'FIRE TEX 5062'!$L$4:$P$34,IF(L1198="F-15",2,IF(L1198="F-30",3,IF(L1198="F-60",4,IF(L1198="F-90",5,0)))),0),0)+IF(AND(O1198="FIRE TEX 5062",E1198="CJ",J1198=4),VLOOKUP(_xlfn.MINIFS('FIRE TEX 5062'!$Q$3:$Q$34,'FIRE TEX 5062'!$Q$3:$Q$34,"&gt;="&amp;M1198),'FIRE TEX 5062'!$Q$3:$U$34,IF(L1198="F-15",2,IF(L1198="F-30",3,IF(L1198="F-60",4,IF(L1198="F-90",5,0)))),0),0)+IF(AND(O1198="FIRE TEX 5090",OR(E1198="IN",E1198="C",E1198="Z",E1198="L"),J1198=3),VLOOKUP(_xlfn.MINIFS('FIRE TEX 5090'!$B$5:$B$43,'FIRE TEX 5090'!$B$5:$B$43,"&gt;="&amp;M1198),'FIRE TEX 5090'!$B$5:$H$43,IF(L1198="F-15",2,IF(L1198="F-30",3,IF(L1198="F-60",4,IF(L1198="F-90",5,IF(L1198="F-120",6,IF(L1198="F-150",7,0)))))),0),0)+IF(AND(O1198="FIRE TEX 5090",OR(E1198="IN",E1198="C",E1198="Z",E1198="L"),J1198=4),VLOOKUP(_xlfn.MINIFS('FIRE TEX 5090'!$J$5:$J$43,'FIRE TEX 5090'!$J$5:$J$43,"&gt;="&amp;M1198),'FIRE TEX 5090'!$J$5:$P$43,IF(L1198="F-15",2,IF(L1198="F-30",3,IF(L1198="F-60",4,IF(L1198="F-90",5,IF(L1198="F-120",6,IF(L1198="F-150",7,0)))))),0),0)+IF(AND(O1198="FIRE TEX 5090",E1198="CJ",J1198=3),VLOOKUP(_xlfn.MINIFS('FIRE TEX 5090'!$R$5:$R$30,'FIRE TEX 5090'!$R$5:$R$30,"&gt;="&amp;M1198),'FIRE TEX 5090'!$R$5:$W$30,IF(L1198="F-15",2,IF(L1198="F-30",3,IF(L1198="F-60",4,IF(L1198="F-90",5,IF(L1198="F-120",6,IF(L1198="F-150",7,0)))))),0),0)+IF(AND(O1198="FIRE TEX 5090",E1198="CJ",J1198=4),VLOOKUP(_xlfn.MINIFS('FIRE TEX 5090'!$Y$5:$Y$39,'FIRE TEX 5090'!$Y$5:$Y$39,"&gt;="&amp;M1198),'FIRE TEX 5090'!$Y$5:$AD$39,IF(L1198="F-15",2,IF(L1198="F-30",3,IF(L1198="F-60",4,IF(L1198="F-90",5,IF(L1198="F-120",6,IF(L1198="F-150",7,0)))))),0),0)+IF(AND(O1198="FIRE TEX 5120",OR(E1198="IN",E1198="C",E1198="Z",E1198="L"),J1198=3),VLOOKUP(_xlfn.MINIFS('FIRE TEX 5120'!$B$5:$B$40,'FIRE TEX 5120'!$B$5:$B$40,"&gt;="&amp;M1198),'FIRE TEX 5120'!$B$5:$G$40,IF(L1198="F-15",2,IF(L1198="F-30",3,IF(L1198="F-60",4,IF(L1198="F-90",5,IF(L1198="F-120",6,0))))),0),0)+IF(AND(O1198="FIRE TEX 5120",OR(E1198="IN",E1198="C",E1198="Z",E1198="L"),J1198=4),VLOOKUP(_xlfn.MINIFS('FIRE TEX 5120'!$H$4:$H$40,'FIRE TEX 5120'!$H$4:$H$40,"&gt;="&amp;M1198),'FIRE TEX 5120'!$H$4:$M$40,IF(L1198="F-15",2,IF(L1198="F-30",3,IF(L1198="F-60",4,IF(L1198="F-90",5,IF(L1198="F-120",6,0))))),0),0)+IF(AND(O1198="FIRE TEX 5120",E1198="CJ"),VLOOKUP(_xlfn.MINIFS('FIRE TEX 5120'!$O$5:$O$40,'FIRE TEX 5120'!$O$5:$O$40,"&gt;="&amp;M1198),'FIRE TEX 5120'!$O$5:$T$40,IF(L1198="F-15",2,IF(L1198="F-30",3,IF(L1198="F-60",4,IF(L1198="F-90",5,IF(L1198="F-120",6,0))))),0),0)</f>
        <v>0</v>
      </c>
      <c r="Q1198" s="46">
        <f t="shared" si="114"/>
        <v>0</v>
      </c>
      <c r="R1198" s="46">
        <f t="shared" si="115"/>
        <v>0</v>
      </c>
      <c r="S1198" s="46" t="e">
        <f t="shared" si="116"/>
        <v>#VALUE!</v>
      </c>
      <c r="T1198" s="677">
        <f t="shared" si="117"/>
        <v>0</v>
      </c>
      <c r="U1198" s="80">
        <f>(IF(O1198="Stofire",(S1198*#REF!),0))+(IF(O1198="Fire Control",(S1198*$U$2),0))+(IF(O1198="Fire Tex",(S1198*$U$3),0))+(IF(O1198="WB7",(S1198*#REF!),0)+(IF(O1198="FX 2003",(S1198*$U$5),0)))</f>
        <v>0</v>
      </c>
      <c r="V1198" s="651">
        <f t="shared" si="118"/>
        <v>0</v>
      </c>
    </row>
    <row r="1199" spans="4:22" x14ac:dyDescent="0.25">
      <c r="D1199" s="118">
        <f>+CUBICACION!D1198</f>
        <v>0</v>
      </c>
      <c r="E1199" s="118">
        <f>+CUBICACION!F1198</f>
        <v>0</v>
      </c>
      <c r="F1199" s="118">
        <f>+CUBICACION!E1198</f>
        <v>0</v>
      </c>
      <c r="G1199" s="118">
        <v>12</v>
      </c>
      <c r="H1199" s="118">
        <v>2</v>
      </c>
      <c r="I1199" s="820">
        <v>26385</v>
      </c>
      <c r="J1199" s="118">
        <f>+CUBICACION!J1198</f>
        <v>0</v>
      </c>
      <c r="K1199" s="118">
        <v>3978</v>
      </c>
      <c r="L1199" s="118">
        <f>+CUBICACION!L1198</f>
        <v>0</v>
      </c>
      <c r="M1199" s="64">
        <f>+CUBICACION!M1198</f>
        <v>0</v>
      </c>
      <c r="N1199" s="824" t="str">
        <f>+CUBICACION!N1198</f>
        <v/>
      </c>
      <c r="O1199" s="675">
        <f>+CUBICACION!O1198</f>
        <v>0</v>
      </c>
      <c r="P1199" s="15">
        <f>IF(O1199="Fire Control",VLOOKUP(_xlfn.MINIFS('FIRE CONTROL'!$C$4:$C$37,'FIRE CONTROL'!$C$4:$C$37,"&gt;="&amp;M1199),'FIRE CONTROL'!$C$4:$G$37,IF(L1199="F-15",2,IF(L1199="F-30",3,IF(L1199="F-60",4,IF(L1199="F-90",5,0)))),0),0)+IF(AND(O1199="FIRE TEX 5062",OR(E1199="IN",E1199="C",E1199="Z",E1199="L"),J1199=3),VLOOKUP(_xlfn.MINIFS('FIRE TEX 5062'!$B$4:$B$34,'FIRE TEX 5062'!$B$4:$B$34,"&gt;="&amp;M1199),'FIRE TEX 5062'!$B$4:$F$34,IF(L1199="F-15",2,IF(L1199="F-30",3,IF(L1199="F-60",4,IF(L1199="F-90",5,0)))),0),0)+IF(AND(O1199="FIRE TEX 5062",OR(E1199="IN",E1199="C",E1199="Z",E1199="L"),J1199=4),VLOOKUP(_xlfn.MINIFS('FIRE TEX 5062'!$G$4:$G$34,'FIRE TEX 5062'!$G$4:$G$34,"&gt;="&amp;M1199),'FIRE TEX 5062'!$G$4:$K$34,IF(L1199="F-15",2,IF(L1199="F-30",3,IF(L1199="F-60",4,IF(L1199="F-90",5,0)))),0),0)+IF(AND(O1199="FIRE TEX 5062",E1199="CJ",J1199=3),VLOOKUP(_xlfn.MINIFS('FIRE TEX 5062'!$L$4:$L$34,'FIRE TEX 5062'!$L$4:$L$34,"&gt;="&amp;M1199),'FIRE TEX 5062'!$L$4:$P$34,IF(L1199="F-15",2,IF(L1199="F-30",3,IF(L1199="F-60",4,IF(L1199="F-90",5,0)))),0),0)+IF(AND(O1199="FIRE TEX 5062",E1199="CJ",J1199=4),VLOOKUP(_xlfn.MINIFS('FIRE TEX 5062'!$Q$3:$Q$34,'FIRE TEX 5062'!$Q$3:$Q$34,"&gt;="&amp;M1199),'FIRE TEX 5062'!$Q$3:$U$34,IF(L1199="F-15",2,IF(L1199="F-30",3,IF(L1199="F-60",4,IF(L1199="F-90",5,0)))),0),0)+IF(AND(O1199="FIRE TEX 5090",OR(E1199="IN",E1199="C",E1199="Z",E1199="L"),J1199=3),VLOOKUP(_xlfn.MINIFS('FIRE TEX 5090'!$B$5:$B$43,'FIRE TEX 5090'!$B$5:$B$43,"&gt;="&amp;M1199),'FIRE TEX 5090'!$B$5:$H$43,IF(L1199="F-15",2,IF(L1199="F-30",3,IF(L1199="F-60",4,IF(L1199="F-90",5,IF(L1199="F-120",6,IF(L1199="F-150",7,0)))))),0),0)+IF(AND(O1199="FIRE TEX 5090",OR(E1199="IN",E1199="C",E1199="Z",E1199="L"),J1199=4),VLOOKUP(_xlfn.MINIFS('FIRE TEX 5090'!$J$5:$J$43,'FIRE TEX 5090'!$J$5:$J$43,"&gt;="&amp;M1199),'FIRE TEX 5090'!$J$5:$P$43,IF(L1199="F-15",2,IF(L1199="F-30",3,IF(L1199="F-60",4,IF(L1199="F-90",5,IF(L1199="F-120",6,IF(L1199="F-150",7,0)))))),0),0)+IF(AND(O1199="FIRE TEX 5090",E1199="CJ",J1199=3),VLOOKUP(_xlfn.MINIFS('FIRE TEX 5090'!$R$5:$R$30,'FIRE TEX 5090'!$R$5:$R$30,"&gt;="&amp;M1199),'FIRE TEX 5090'!$R$5:$W$30,IF(L1199="F-15",2,IF(L1199="F-30",3,IF(L1199="F-60",4,IF(L1199="F-90",5,IF(L1199="F-120",6,IF(L1199="F-150",7,0)))))),0),0)+IF(AND(O1199="FIRE TEX 5090",E1199="CJ",J1199=4),VLOOKUP(_xlfn.MINIFS('FIRE TEX 5090'!$Y$5:$Y$39,'FIRE TEX 5090'!$Y$5:$Y$39,"&gt;="&amp;M1199),'FIRE TEX 5090'!$Y$5:$AD$39,IF(L1199="F-15",2,IF(L1199="F-30",3,IF(L1199="F-60",4,IF(L1199="F-90",5,IF(L1199="F-120",6,IF(L1199="F-150",7,0)))))),0),0)+IF(AND(O1199="FIRE TEX 5120",OR(E1199="IN",E1199="C",E1199="Z",E1199="L"),J1199=3),VLOOKUP(_xlfn.MINIFS('FIRE TEX 5120'!$B$5:$B$40,'FIRE TEX 5120'!$B$5:$B$40,"&gt;="&amp;M1199),'FIRE TEX 5120'!$B$5:$G$40,IF(L1199="F-15",2,IF(L1199="F-30",3,IF(L1199="F-60",4,IF(L1199="F-90",5,IF(L1199="F-120",6,0))))),0),0)+IF(AND(O1199="FIRE TEX 5120",OR(E1199="IN",E1199="C",E1199="Z",E1199="L"),J1199=4),VLOOKUP(_xlfn.MINIFS('FIRE TEX 5120'!$H$4:$H$40,'FIRE TEX 5120'!$H$4:$H$40,"&gt;="&amp;M1199),'FIRE TEX 5120'!$H$4:$M$40,IF(L1199="F-15",2,IF(L1199="F-30",3,IF(L1199="F-60",4,IF(L1199="F-90",5,IF(L1199="F-120",6,0))))),0),0)+IF(AND(O1199="FIRE TEX 5120",E1199="CJ"),VLOOKUP(_xlfn.MINIFS('FIRE TEX 5120'!$O$5:$O$40,'FIRE TEX 5120'!$O$5:$O$40,"&gt;="&amp;M1199),'FIRE TEX 5120'!$O$5:$T$40,IF(L1199="F-15",2,IF(L1199="F-30",3,IF(L1199="F-60",4,IF(L1199="F-90",5,IF(L1199="F-120",6,0))))),0),0)</f>
        <v>0</v>
      </c>
      <c r="Q1199" s="46">
        <f t="shared" si="114"/>
        <v>0</v>
      </c>
      <c r="R1199" s="46">
        <f t="shared" si="115"/>
        <v>0</v>
      </c>
      <c r="S1199" s="46" t="e">
        <f t="shared" si="116"/>
        <v>#VALUE!</v>
      </c>
      <c r="T1199" s="677">
        <f t="shared" si="117"/>
        <v>0</v>
      </c>
      <c r="U1199" s="80">
        <f>(IF(O1199="Stofire",(S1199*#REF!),0))+(IF(O1199="Fire Control",(S1199*$U$2),0))+(IF(O1199="Fire Tex",(S1199*$U$3),0))+(IF(O1199="WB7",(S1199*#REF!),0)+(IF(O1199="FX 2003",(S1199*$U$5),0)))</f>
        <v>0</v>
      </c>
      <c r="V1199" s="651">
        <f t="shared" si="118"/>
        <v>0</v>
      </c>
    </row>
    <row r="1200" spans="4:22" x14ac:dyDescent="0.25">
      <c r="D1200" s="118">
        <f>+CUBICACION!D1199</f>
        <v>0</v>
      </c>
      <c r="E1200" s="118">
        <f>+CUBICACION!F1199</f>
        <v>0</v>
      </c>
      <c r="F1200" s="118">
        <f>+CUBICACION!E1199</f>
        <v>0</v>
      </c>
      <c r="G1200" s="118">
        <v>12</v>
      </c>
      <c r="H1200" s="118">
        <v>2</v>
      </c>
      <c r="I1200" s="820">
        <v>26385</v>
      </c>
      <c r="J1200" s="118">
        <f>+CUBICACION!J1199</f>
        <v>0</v>
      </c>
      <c r="K1200" s="118">
        <v>3979</v>
      </c>
      <c r="L1200" s="118">
        <f>+CUBICACION!L1199</f>
        <v>0</v>
      </c>
      <c r="M1200" s="64">
        <f>+CUBICACION!M1199</f>
        <v>0</v>
      </c>
      <c r="N1200" s="824" t="str">
        <f>+CUBICACION!N1199</f>
        <v/>
      </c>
      <c r="O1200" s="675">
        <f>+CUBICACION!O1199</f>
        <v>0</v>
      </c>
      <c r="P1200" s="15">
        <f>IF(O1200="Fire Control",VLOOKUP(_xlfn.MINIFS('FIRE CONTROL'!$C$4:$C$37,'FIRE CONTROL'!$C$4:$C$37,"&gt;="&amp;M1200),'FIRE CONTROL'!$C$4:$G$37,IF(L1200="F-15",2,IF(L1200="F-30",3,IF(L1200="F-60",4,IF(L1200="F-90",5,0)))),0),0)+IF(AND(O1200="FIRE TEX 5062",OR(E1200="IN",E1200="C",E1200="Z",E1200="L"),J1200=3),VLOOKUP(_xlfn.MINIFS('FIRE TEX 5062'!$B$4:$B$34,'FIRE TEX 5062'!$B$4:$B$34,"&gt;="&amp;M1200),'FIRE TEX 5062'!$B$4:$F$34,IF(L1200="F-15",2,IF(L1200="F-30",3,IF(L1200="F-60",4,IF(L1200="F-90",5,0)))),0),0)+IF(AND(O1200="FIRE TEX 5062",OR(E1200="IN",E1200="C",E1200="Z",E1200="L"),J1200=4),VLOOKUP(_xlfn.MINIFS('FIRE TEX 5062'!$G$4:$G$34,'FIRE TEX 5062'!$G$4:$G$34,"&gt;="&amp;M1200),'FIRE TEX 5062'!$G$4:$K$34,IF(L1200="F-15",2,IF(L1200="F-30",3,IF(L1200="F-60",4,IF(L1200="F-90",5,0)))),0),0)+IF(AND(O1200="FIRE TEX 5062",E1200="CJ",J1200=3),VLOOKUP(_xlfn.MINIFS('FIRE TEX 5062'!$L$4:$L$34,'FIRE TEX 5062'!$L$4:$L$34,"&gt;="&amp;M1200),'FIRE TEX 5062'!$L$4:$P$34,IF(L1200="F-15",2,IF(L1200="F-30",3,IF(L1200="F-60",4,IF(L1200="F-90",5,0)))),0),0)+IF(AND(O1200="FIRE TEX 5062",E1200="CJ",J1200=4),VLOOKUP(_xlfn.MINIFS('FIRE TEX 5062'!$Q$3:$Q$34,'FIRE TEX 5062'!$Q$3:$Q$34,"&gt;="&amp;M1200),'FIRE TEX 5062'!$Q$3:$U$34,IF(L1200="F-15",2,IF(L1200="F-30",3,IF(L1200="F-60",4,IF(L1200="F-90",5,0)))),0),0)+IF(AND(O1200="FIRE TEX 5090",OR(E1200="IN",E1200="C",E1200="Z",E1200="L"),J1200=3),VLOOKUP(_xlfn.MINIFS('FIRE TEX 5090'!$B$5:$B$43,'FIRE TEX 5090'!$B$5:$B$43,"&gt;="&amp;M1200),'FIRE TEX 5090'!$B$5:$H$43,IF(L1200="F-15",2,IF(L1200="F-30",3,IF(L1200="F-60",4,IF(L1200="F-90",5,IF(L1200="F-120",6,IF(L1200="F-150",7,0)))))),0),0)+IF(AND(O1200="FIRE TEX 5090",OR(E1200="IN",E1200="C",E1200="Z",E1200="L"),J1200=4),VLOOKUP(_xlfn.MINIFS('FIRE TEX 5090'!$J$5:$J$43,'FIRE TEX 5090'!$J$5:$J$43,"&gt;="&amp;M1200),'FIRE TEX 5090'!$J$5:$P$43,IF(L1200="F-15",2,IF(L1200="F-30",3,IF(L1200="F-60",4,IF(L1200="F-90",5,IF(L1200="F-120",6,IF(L1200="F-150",7,0)))))),0),0)+IF(AND(O1200="FIRE TEX 5090",E1200="CJ",J1200=3),VLOOKUP(_xlfn.MINIFS('FIRE TEX 5090'!$R$5:$R$30,'FIRE TEX 5090'!$R$5:$R$30,"&gt;="&amp;M1200),'FIRE TEX 5090'!$R$5:$W$30,IF(L1200="F-15",2,IF(L1200="F-30",3,IF(L1200="F-60",4,IF(L1200="F-90",5,IF(L1200="F-120",6,IF(L1200="F-150",7,0)))))),0),0)+IF(AND(O1200="FIRE TEX 5090",E1200="CJ",J1200=4),VLOOKUP(_xlfn.MINIFS('FIRE TEX 5090'!$Y$5:$Y$39,'FIRE TEX 5090'!$Y$5:$Y$39,"&gt;="&amp;M1200),'FIRE TEX 5090'!$Y$5:$AD$39,IF(L1200="F-15",2,IF(L1200="F-30",3,IF(L1200="F-60",4,IF(L1200="F-90",5,IF(L1200="F-120",6,IF(L1200="F-150",7,0)))))),0),0)+IF(AND(O1200="FIRE TEX 5120",OR(E1200="IN",E1200="C",E1200="Z",E1200="L"),J1200=3),VLOOKUP(_xlfn.MINIFS('FIRE TEX 5120'!$B$5:$B$40,'FIRE TEX 5120'!$B$5:$B$40,"&gt;="&amp;M1200),'FIRE TEX 5120'!$B$5:$G$40,IF(L1200="F-15",2,IF(L1200="F-30",3,IF(L1200="F-60",4,IF(L1200="F-90",5,IF(L1200="F-120",6,0))))),0),0)+IF(AND(O1200="FIRE TEX 5120",OR(E1200="IN",E1200="C",E1200="Z",E1200="L"),J1200=4),VLOOKUP(_xlfn.MINIFS('FIRE TEX 5120'!$H$4:$H$40,'FIRE TEX 5120'!$H$4:$H$40,"&gt;="&amp;M1200),'FIRE TEX 5120'!$H$4:$M$40,IF(L1200="F-15",2,IF(L1200="F-30",3,IF(L1200="F-60",4,IF(L1200="F-90",5,IF(L1200="F-120",6,0))))),0),0)+IF(AND(O1200="FIRE TEX 5120",E1200="CJ"),VLOOKUP(_xlfn.MINIFS('FIRE TEX 5120'!$O$5:$O$40,'FIRE TEX 5120'!$O$5:$O$40,"&gt;="&amp;M1200),'FIRE TEX 5120'!$O$5:$T$40,IF(L1200="F-15",2,IF(L1200="F-30",3,IF(L1200="F-60",4,IF(L1200="F-90",5,IF(L1200="F-120",6,0))))),0),0)</f>
        <v>0</v>
      </c>
      <c r="Q1200" s="46">
        <f t="shared" si="114"/>
        <v>0</v>
      </c>
      <c r="R1200" s="46">
        <f t="shared" si="115"/>
        <v>0</v>
      </c>
      <c r="S1200" s="46" t="e">
        <f t="shared" si="116"/>
        <v>#VALUE!</v>
      </c>
      <c r="T1200" s="677">
        <f t="shared" si="117"/>
        <v>0</v>
      </c>
      <c r="U1200" s="80">
        <f>(IF(O1200="Stofire",(S1200*#REF!),0))+(IF(O1200="Fire Control",(S1200*$U$2),0))+(IF(O1200="Fire Tex",(S1200*$U$3),0))+(IF(O1200="WB7",(S1200*#REF!),0)+(IF(O1200="FX 2003",(S1200*$U$5),0)))</f>
        <v>0</v>
      </c>
      <c r="V1200" s="651">
        <f t="shared" si="118"/>
        <v>0</v>
      </c>
    </row>
    <row r="1201" spans="4:22" x14ac:dyDescent="0.25">
      <c r="D1201" s="118">
        <f>+CUBICACION!D1200</f>
        <v>0</v>
      </c>
      <c r="E1201" s="118">
        <f>+CUBICACION!F1200</f>
        <v>0</v>
      </c>
      <c r="F1201" s="118">
        <f>+CUBICACION!E1200</f>
        <v>0</v>
      </c>
      <c r="G1201" s="118">
        <v>12</v>
      </c>
      <c r="H1201" s="118">
        <v>2</v>
      </c>
      <c r="I1201" s="820">
        <v>26385</v>
      </c>
      <c r="J1201" s="118">
        <f>+CUBICACION!J1200</f>
        <v>0</v>
      </c>
      <c r="K1201" s="118">
        <v>3980</v>
      </c>
      <c r="L1201" s="118">
        <f>+CUBICACION!L1200</f>
        <v>0</v>
      </c>
      <c r="M1201" s="64">
        <f>+CUBICACION!M1200</f>
        <v>0</v>
      </c>
      <c r="N1201" s="824" t="str">
        <f>+CUBICACION!N1200</f>
        <v/>
      </c>
      <c r="O1201" s="675">
        <f>+CUBICACION!O1200</f>
        <v>0</v>
      </c>
      <c r="P1201" s="15">
        <f>IF(O1201="Fire Control",VLOOKUP(_xlfn.MINIFS('FIRE CONTROL'!$C$4:$C$37,'FIRE CONTROL'!$C$4:$C$37,"&gt;="&amp;M1201),'FIRE CONTROL'!$C$4:$G$37,IF(L1201="F-15",2,IF(L1201="F-30",3,IF(L1201="F-60",4,IF(L1201="F-90",5,0)))),0),0)+IF(AND(O1201="FIRE TEX 5062",OR(E1201="IN",E1201="C",E1201="Z",E1201="L"),J1201=3),VLOOKUP(_xlfn.MINIFS('FIRE TEX 5062'!$B$4:$B$34,'FIRE TEX 5062'!$B$4:$B$34,"&gt;="&amp;M1201),'FIRE TEX 5062'!$B$4:$F$34,IF(L1201="F-15",2,IF(L1201="F-30",3,IF(L1201="F-60",4,IF(L1201="F-90",5,0)))),0),0)+IF(AND(O1201="FIRE TEX 5062",OR(E1201="IN",E1201="C",E1201="Z",E1201="L"),J1201=4),VLOOKUP(_xlfn.MINIFS('FIRE TEX 5062'!$G$4:$G$34,'FIRE TEX 5062'!$G$4:$G$34,"&gt;="&amp;M1201),'FIRE TEX 5062'!$G$4:$K$34,IF(L1201="F-15",2,IF(L1201="F-30",3,IF(L1201="F-60",4,IF(L1201="F-90",5,0)))),0),0)+IF(AND(O1201="FIRE TEX 5062",E1201="CJ",J1201=3),VLOOKUP(_xlfn.MINIFS('FIRE TEX 5062'!$L$4:$L$34,'FIRE TEX 5062'!$L$4:$L$34,"&gt;="&amp;M1201),'FIRE TEX 5062'!$L$4:$P$34,IF(L1201="F-15",2,IF(L1201="F-30",3,IF(L1201="F-60",4,IF(L1201="F-90",5,0)))),0),0)+IF(AND(O1201="FIRE TEX 5062",E1201="CJ",J1201=4),VLOOKUP(_xlfn.MINIFS('FIRE TEX 5062'!$Q$3:$Q$34,'FIRE TEX 5062'!$Q$3:$Q$34,"&gt;="&amp;M1201),'FIRE TEX 5062'!$Q$3:$U$34,IF(L1201="F-15",2,IF(L1201="F-30",3,IF(L1201="F-60",4,IF(L1201="F-90",5,0)))),0),0)+IF(AND(O1201="FIRE TEX 5090",OR(E1201="IN",E1201="C",E1201="Z",E1201="L"),J1201=3),VLOOKUP(_xlfn.MINIFS('FIRE TEX 5090'!$B$5:$B$43,'FIRE TEX 5090'!$B$5:$B$43,"&gt;="&amp;M1201),'FIRE TEX 5090'!$B$5:$H$43,IF(L1201="F-15",2,IF(L1201="F-30",3,IF(L1201="F-60",4,IF(L1201="F-90",5,IF(L1201="F-120",6,IF(L1201="F-150",7,0)))))),0),0)+IF(AND(O1201="FIRE TEX 5090",OR(E1201="IN",E1201="C",E1201="Z",E1201="L"),J1201=4),VLOOKUP(_xlfn.MINIFS('FIRE TEX 5090'!$J$5:$J$43,'FIRE TEX 5090'!$J$5:$J$43,"&gt;="&amp;M1201),'FIRE TEX 5090'!$J$5:$P$43,IF(L1201="F-15",2,IF(L1201="F-30",3,IF(L1201="F-60",4,IF(L1201="F-90",5,IF(L1201="F-120",6,IF(L1201="F-150",7,0)))))),0),0)+IF(AND(O1201="FIRE TEX 5090",E1201="CJ",J1201=3),VLOOKUP(_xlfn.MINIFS('FIRE TEX 5090'!$R$5:$R$30,'FIRE TEX 5090'!$R$5:$R$30,"&gt;="&amp;M1201),'FIRE TEX 5090'!$R$5:$W$30,IF(L1201="F-15",2,IF(L1201="F-30",3,IF(L1201="F-60",4,IF(L1201="F-90",5,IF(L1201="F-120",6,IF(L1201="F-150",7,0)))))),0),0)+IF(AND(O1201="FIRE TEX 5090",E1201="CJ",J1201=4),VLOOKUP(_xlfn.MINIFS('FIRE TEX 5090'!$Y$5:$Y$39,'FIRE TEX 5090'!$Y$5:$Y$39,"&gt;="&amp;M1201),'FIRE TEX 5090'!$Y$5:$AD$39,IF(L1201="F-15",2,IF(L1201="F-30",3,IF(L1201="F-60",4,IF(L1201="F-90",5,IF(L1201="F-120",6,IF(L1201="F-150",7,0)))))),0),0)+IF(AND(O1201="FIRE TEX 5120",OR(E1201="IN",E1201="C",E1201="Z",E1201="L"),J1201=3),VLOOKUP(_xlfn.MINIFS('FIRE TEX 5120'!$B$5:$B$40,'FIRE TEX 5120'!$B$5:$B$40,"&gt;="&amp;M1201),'FIRE TEX 5120'!$B$5:$G$40,IF(L1201="F-15",2,IF(L1201="F-30",3,IF(L1201="F-60",4,IF(L1201="F-90",5,IF(L1201="F-120",6,0))))),0),0)+IF(AND(O1201="FIRE TEX 5120",OR(E1201="IN",E1201="C",E1201="Z",E1201="L"),J1201=4),VLOOKUP(_xlfn.MINIFS('FIRE TEX 5120'!$H$4:$H$40,'FIRE TEX 5120'!$H$4:$H$40,"&gt;="&amp;M1201),'FIRE TEX 5120'!$H$4:$M$40,IF(L1201="F-15",2,IF(L1201="F-30",3,IF(L1201="F-60",4,IF(L1201="F-90",5,IF(L1201="F-120",6,0))))),0),0)+IF(AND(O1201="FIRE TEX 5120",E1201="CJ"),VLOOKUP(_xlfn.MINIFS('FIRE TEX 5120'!$O$5:$O$40,'FIRE TEX 5120'!$O$5:$O$40,"&gt;="&amp;M1201),'FIRE TEX 5120'!$O$5:$T$40,IF(L1201="F-15",2,IF(L1201="F-30",3,IF(L1201="F-60",4,IF(L1201="F-90",5,IF(L1201="F-120",6,0))))),0),0)</f>
        <v>0</v>
      </c>
      <c r="Q1201" s="46">
        <f t="shared" si="114"/>
        <v>0</v>
      </c>
      <c r="R1201" s="46">
        <f t="shared" si="115"/>
        <v>0</v>
      </c>
      <c r="S1201" s="46" t="e">
        <f t="shared" si="116"/>
        <v>#VALUE!</v>
      </c>
      <c r="T1201" s="677">
        <f t="shared" si="117"/>
        <v>0</v>
      </c>
      <c r="U1201" s="80">
        <f>(IF(O1201="Stofire",(S1201*#REF!),0))+(IF(O1201="Fire Control",(S1201*$U$2),0))+(IF(O1201="Fire Tex",(S1201*$U$3),0))+(IF(O1201="WB7",(S1201*#REF!),0)+(IF(O1201="FX 2003",(S1201*$U$5),0)))</f>
        <v>0</v>
      </c>
      <c r="V1201" s="651">
        <f t="shared" si="118"/>
        <v>0</v>
      </c>
    </row>
    <row r="1202" spans="4:22" x14ac:dyDescent="0.25">
      <c r="D1202" s="118">
        <f>+CUBICACION!D1201</f>
        <v>0</v>
      </c>
      <c r="E1202" s="118">
        <f>+CUBICACION!F1201</f>
        <v>0</v>
      </c>
      <c r="F1202" s="118">
        <f>+CUBICACION!E1201</f>
        <v>0</v>
      </c>
      <c r="G1202" s="118">
        <v>12</v>
      </c>
      <c r="H1202" s="118">
        <v>2</v>
      </c>
      <c r="I1202" s="820">
        <v>26385</v>
      </c>
      <c r="J1202" s="118">
        <f>+CUBICACION!J1201</f>
        <v>0</v>
      </c>
      <c r="K1202" s="118">
        <v>3981</v>
      </c>
      <c r="L1202" s="118">
        <f>+CUBICACION!L1201</f>
        <v>0</v>
      </c>
      <c r="M1202" s="64">
        <f>+CUBICACION!M1201</f>
        <v>0</v>
      </c>
      <c r="N1202" s="824" t="str">
        <f>+CUBICACION!N1201</f>
        <v/>
      </c>
      <c r="O1202" s="675">
        <f>+CUBICACION!O1201</f>
        <v>0</v>
      </c>
      <c r="P1202" s="15">
        <f>IF(O1202="Fire Control",VLOOKUP(_xlfn.MINIFS('FIRE CONTROL'!$C$4:$C$37,'FIRE CONTROL'!$C$4:$C$37,"&gt;="&amp;M1202),'FIRE CONTROL'!$C$4:$G$37,IF(L1202="F-15",2,IF(L1202="F-30",3,IF(L1202="F-60",4,IF(L1202="F-90",5,0)))),0),0)+IF(AND(O1202="FIRE TEX 5062",OR(E1202="IN",E1202="C",E1202="Z",E1202="L"),J1202=3),VLOOKUP(_xlfn.MINIFS('FIRE TEX 5062'!$B$4:$B$34,'FIRE TEX 5062'!$B$4:$B$34,"&gt;="&amp;M1202),'FIRE TEX 5062'!$B$4:$F$34,IF(L1202="F-15",2,IF(L1202="F-30",3,IF(L1202="F-60",4,IF(L1202="F-90",5,0)))),0),0)+IF(AND(O1202="FIRE TEX 5062",OR(E1202="IN",E1202="C",E1202="Z",E1202="L"),J1202=4),VLOOKUP(_xlfn.MINIFS('FIRE TEX 5062'!$G$4:$G$34,'FIRE TEX 5062'!$G$4:$G$34,"&gt;="&amp;M1202),'FIRE TEX 5062'!$G$4:$K$34,IF(L1202="F-15",2,IF(L1202="F-30",3,IF(L1202="F-60",4,IF(L1202="F-90",5,0)))),0),0)+IF(AND(O1202="FIRE TEX 5062",E1202="CJ",J1202=3),VLOOKUP(_xlfn.MINIFS('FIRE TEX 5062'!$L$4:$L$34,'FIRE TEX 5062'!$L$4:$L$34,"&gt;="&amp;M1202),'FIRE TEX 5062'!$L$4:$P$34,IF(L1202="F-15",2,IF(L1202="F-30",3,IF(L1202="F-60",4,IF(L1202="F-90",5,0)))),0),0)+IF(AND(O1202="FIRE TEX 5062",E1202="CJ",J1202=4),VLOOKUP(_xlfn.MINIFS('FIRE TEX 5062'!$Q$3:$Q$34,'FIRE TEX 5062'!$Q$3:$Q$34,"&gt;="&amp;M1202),'FIRE TEX 5062'!$Q$3:$U$34,IF(L1202="F-15",2,IF(L1202="F-30",3,IF(L1202="F-60",4,IF(L1202="F-90",5,0)))),0),0)+IF(AND(O1202="FIRE TEX 5090",OR(E1202="IN",E1202="C",E1202="Z",E1202="L"),J1202=3),VLOOKUP(_xlfn.MINIFS('FIRE TEX 5090'!$B$5:$B$43,'FIRE TEX 5090'!$B$5:$B$43,"&gt;="&amp;M1202),'FIRE TEX 5090'!$B$5:$H$43,IF(L1202="F-15",2,IF(L1202="F-30",3,IF(L1202="F-60",4,IF(L1202="F-90",5,IF(L1202="F-120",6,IF(L1202="F-150",7,0)))))),0),0)+IF(AND(O1202="FIRE TEX 5090",OR(E1202="IN",E1202="C",E1202="Z",E1202="L"),J1202=4),VLOOKUP(_xlfn.MINIFS('FIRE TEX 5090'!$J$5:$J$43,'FIRE TEX 5090'!$J$5:$J$43,"&gt;="&amp;M1202),'FIRE TEX 5090'!$J$5:$P$43,IF(L1202="F-15",2,IF(L1202="F-30",3,IF(L1202="F-60",4,IF(L1202="F-90",5,IF(L1202="F-120",6,IF(L1202="F-150",7,0)))))),0),0)+IF(AND(O1202="FIRE TEX 5090",E1202="CJ",J1202=3),VLOOKUP(_xlfn.MINIFS('FIRE TEX 5090'!$R$5:$R$30,'FIRE TEX 5090'!$R$5:$R$30,"&gt;="&amp;M1202),'FIRE TEX 5090'!$R$5:$W$30,IF(L1202="F-15",2,IF(L1202="F-30",3,IF(L1202="F-60",4,IF(L1202="F-90",5,IF(L1202="F-120",6,IF(L1202="F-150",7,0)))))),0),0)+IF(AND(O1202="FIRE TEX 5090",E1202="CJ",J1202=4),VLOOKUP(_xlfn.MINIFS('FIRE TEX 5090'!$Y$5:$Y$39,'FIRE TEX 5090'!$Y$5:$Y$39,"&gt;="&amp;M1202),'FIRE TEX 5090'!$Y$5:$AD$39,IF(L1202="F-15",2,IF(L1202="F-30",3,IF(L1202="F-60",4,IF(L1202="F-90",5,IF(L1202="F-120",6,IF(L1202="F-150",7,0)))))),0),0)+IF(AND(O1202="FIRE TEX 5120",OR(E1202="IN",E1202="C",E1202="Z",E1202="L"),J1202=3),VLOOKUP(_xlfn.MINIFS('FIRE TEX 5120'!$B$5:$B$40,'FIRE TEX 5120'!$B$5:$B$40,"&gt;="&amp;M1202),'FIRE TEX 5120'!$B$5:$G$40,IF(L1202="F-15",2,IF(L1202="F-30",3,IF(L1202="F-60",4,IF(L1202="F-90",5,IF(L1202="F-120",6,0))))),0),0)+IF(AND(O1202="FIRE TEX 5120",OR(E1202="IN",E1202="C",E1202="Z",E1202="L"),J1202=4),VLOOKUP(_xlfn.MINIFS('FIRE TEX 5120'!$H$4:$H$40,'FIRE TEX 5120'!$H$4:$H$40,"&gt;="&amp;M1202),'FIRE TEX 5120'!$H$4:$M$40,IF(L1202="F-15",2,IF(L1202="F-30",3,IF(L1202="F-60",4,IF(L1202="F-90",5,IF(L1202="F-120",6,0))))),0),0)+IF(AND(O1202="FIRE TEX 5120",E1202="CJ"),VLOOKUP(_xlfn.MINIFS('FIRE TEX 5120'!$O$5:$O$40,'FIRE TEX 5120'!$O$5:$O$40,"&gt;="&amp;M1202),'FIRE TEX 5120'!$O$5:$T$40,IF(L1202="F-15",2,IF(L1202="F-30",3,IF(L1202="F-60",4,IF(L1202="F-90",5,IF(L1202="F-120",6,0))))),0),0)</f>
        <v>0</v>
      </c>
      <c r="Q1202" s="46">
        <f t="shared" si="114"/>
        <v>0</v>
      </c>
      <c r="R1202" s="46">
        <f t="shared" si="115"/>
        <v>0</v>
      </c>
      <c r="S1202" s="46" t="e">
        <f t="shared" si="116"/>
        <v>#VALUE!</v>
      </c>
      <c r="T1202" s="677">
        <f t="shared" si="117"/>
        <v>0</v>
      </c>
      <c r="U1202" s="80">
        <f>(IF(O1202="Stofire",(S1202*#REF!),0))+(IF(O1202="Fire Control",(S1202*$U$2),0))+(IF(O1202="Fire Tex",(S1202*$U$3),0))+(IF(O1202="WB7",(S1202*#REF!),0)+(IF(O1202="FX 2003",(S1202*$U$5),0)))</f>
        <v>0</v>
      </c>
      <c r="V1202" s="651">
        <f t="shared" si="118"/>
        <v>0</v>
      </c>
    </row>
    <row r="1203" spans="4:22" x14ac:dyDescent="0.25">
      <c r="D1203" s="118">
        <f>+CUBICACION!D1202</f>
        <v>0</v>
      </c>
      <c r="E1203" s="118">
        <f>+CUBICACION!F1202</f>
        <v>0</v>
      </c>
      <c r="F1203" s="118">
        <f>+CUBICACION!E1202</f>
        <v>0</v>
      </c>
      <c r="G1203" s="118">
        <v>12</v>
      </c>
      <c r="H1203" s="118">
        <v>2</v>
      </c>
      <c r="I1203" s="820">
        <v>26385</v>
      </c>
      <c r="J1203" s="118">
        <f>+CUBICACION!J1202</f>
        <v>0</v>
      </c>
      <c r="K1203" s="118">
        <v>3982</v>
      </c>
      <c r="L1203" s="118">
        <f>+CUBICACION!L1202</f>
        <v>0</v>
      </c>
      <c r="M1203" s="64">
        <f>+CUBICACION!M1202</f>
        <v>0</v>
      </c>
      <c r="N1203" s="824" t="str">
        <f>+CUBICACION!N1202</f>
        <v/>
      </c>
      <c r="O1203" s="675">
        <f>+CUBICACION!O1202</f>
        <v>0</v>
      </c>
      <c r="P1203" s="15">
        <f>IF(O1203="Fire Control",VLOOKUP(_xlfn.MINIFS('FIRE CONTROL'!$C$4:$C$37,'FIRE CONTROL'!$C$4:$C$37,"&gt;="&amp;M1203),'FIRE CONTROL'!$C$4:$G$37,IF(L1203="F-15",2,IF(L1203="F-30",3,IF(L1203="F-60",4,IF(L1203="F-90",5,0)))),0),0)+IF(AND(O1203="FIRE TEX 5062",OR(E1203="IN",E1203="C",E1203="Z",E1203="L"),J1203=3),VLOOKUP(_xlfn.MINIFS('FIRE TEX 5062'!$B$4:$B$34,'FIRE TEX 5062'!$B$4:$B$34,"&gt;="&amp;M1203),'FIRE TEX 5062'!$B$4:$F$34,IF(L1203="F-15",2,IF(L1203="F-30",3,IF(L1203="F-60",4,IF(L1203="F-90",5,0)))),0),0)+IF(AND(O1203="FIRE TEX 5062",OR(E1203="IN",E1203="C",E1203="Z",E1203="L"),J1203=4),VLOOKUP(_xlfn.MINIFS('FIRE TEX 5062'!$G$4:$G$34,'FIRE TEX 5062'!$G$4:$G$34,"&gt;="&amp;M1203),'FIRE TEX 5062'!$G$4:$K$34,IF(L1203="F-15",2,IF(L1203="F-30",3,IF(L1203="F-60",4,IF(L1203="F-90",5,0)))),0),0)+IF(AND(O1203="FIRE TEX 5062",E1203="CJ",J1203=3),VLOOKUP(_xlfn.MINIFS('FIRE TEX 5062'!$L$4:$L$34,'FIRE TEX 5062'!$L$4:$L$34,"&gt;="&amp;M1203),'FIRE TEX 5062'!$L$4:$P$34,IF(L1203="F-15",2,IF(L1203="F-30",3,IF(L1203="F-60",4,IF(L1203="F-90",5,0)))),0),0)+IF(AND(O1203="FIRE TEX 5062",E1203="CJ",J1203=4),VLOOKUP(_xlfn.MINIFS('FIRE TEX 5062'!$Q$3:$Q$34,'FIRE TEX 5062'!$Q$3:$Q$34,"&gt;="&amp;M1203),'FIRE TEX 5062'!$Q$3:$U$34,IF(L1203="F-15",2,IF(L1203="F-30",3,IF(L1203="F-60",4,IF(L1203="F-90",5,0)))),0),0)+IF(AND(O1203="FIRE TEX 5090",OR(E1203="IN",E1203="C",E1203="Z",E1203="L"),J1203=3),VLOOKUP(_xlfn.MINIFS('FIRE TEX 5090'!$B$5:$B$43,'FIRE TEX 5090'!$B$5:$B$43,"&gt;="&amp;M1203),'FIRE TEX 5090'!$B$5:$H$43,IF(L1203="F-15",2,IF(L1203="F-30",3,IF(L1203="F-60",4,IF(L1203="F-90",5,IF(L1203="F-120",6,IF(L1203="F-150",7,0)))))),0),0)+IF(AND(O1203="FIRE TEX 5090",OR(E1203="IN",E1203="C",E1203="Z",E1203="L"),J1203=4),VLOOKUP(_xlfn.MINIFS('FIRE TEX 5090'!$J$5:$J$43,'FIRE TEX 5090'!$J$5:$J$43,"&gt;="&amp;M1203),'FIRE TEX 5090'!$J$5:$P$43,IF(L1203="F-15",2,IF(L1203="F-30",3,IF(L1203="F-60",4,IF(L1203="F-90",5,IF(L1203="F-120",6,IF(L1203="F-150",7,0)))))),0),0)+IF(AND(O1203="FIRE TEX 5090",E1203="CJ",J1203=3),VLOOKUP(_xlfn.MINIFS('FIRE TEX 5090'!$R$5:$R$30,'FIRE TEX 5090'!$R$5:$R$30,"&gt;="&amp;M1203),'FIRE TEX 5090'!$R$5:$W$30,IF(L1203="F-15",2,IF(L1203="F-30",3,IF(L1203="F-60",4,IF(L1203="F-90",5,IF(L1203="F-120",6,IF(L1203="F-150",7,0)))))),0),0)+IF(AND(O1203="FIRE TEX 5090",E1203="CJ",J1203=4),VLOOKUP(_xlfn.MINIFS('FIRE TEX 5090'!$Y$5:$Y$39,'FIRE TEX 5090'!$Y$5:$Y$39,"&gt;="&amp;M1203),'FIRE TEX 5090'!$Y$5:$AD$39,IF(L1203="F-15",2,IF(L1203="F-30",3,IF(L1203="F-60",4,IF(L1203="F-90",5,IF(L1203="F-120",6,IF(L1203="F-150",7,0)))))),0),0)+IF(AND(O1203="FIRE TEX 5120",OR(E1203="IN",E1203="C",E1203="Z",E1203="L"),J1203=3),VLOOKUP(_xlfn.MINIFS('FIRE TEX 5120'!$B$5:$B$40,'FIRE TEX 5120'!$B$5:$B$40,"&gt;="&amp;M1203),'FIRE TEX 5120'!$B$5:$G$40,IF(L1203="F-15",2,IF(L1203="F-30",3,IF(L1203="F-60",4,IF(L1203="F-90",5,IF(L1203="F-120",6,0))))),0),0)+IF(AND(O1203="FIRE TEX 5120",OR(E1203="IN",E1203="C",E1203="Z",E1203="L"),J1203=4),VLOOKUP(_xlfn.MINIFS('FIRE TEX 5120'!$H$4:$H$40,'FIRE TEX 5120'!$H$4:$H$40,"&gt;="&amp;M1203),'FIRE TEX 5120'!$H$4:$M$40,IF(L1203="F-15",2,IF(L1203="F-30",3,IF(L1203="F-60",4,IF(L1203="F-90",5,IF(L1203="F-120",6,0))))),0),0)+IF(AND(O1203="FIRE TEX 5120",E1203="CJ"),VLOOKUP(_xlfn.MINIFS('FIRE TEX 5120'!$O$5:$O$40,'FIRE TEX 5120'!$O$5:$O$40,"&gt;="&amp;M1203),'FIRE TEX 5120'!$O$5:$T$40,IF(L1203="F-15",2,IF(L1203="F-30",3,IF(L1203="F-60",4,IF(L1203="F-90",5,IF(L1203="F-120",6,0))))),0),0)</f>
        <v>0</v>
      </c>
      <c r="Q1203" s="46">
        <f t="shared" si="114"/>
        <v>0</v>
      </c>
      <c r="R1203" s="46">
        <f t="shared" si="115"/>
        <v>0</v>
      </c>
      <c r="S1203" s="46" t="e">
        <f t="shared" si="116"/>
        <v>#VALUE!</v>
      </c>
      <c r="T1203" s="677">
        <f t="shared" si="117"/>
        <v>0</v>
      </c>
      <c r="U1203" s="80">
        <f>(IF(O1203="Stofire",(S1203*#REF!),0))+(IF(O1203="Fire Control",(S1203*$U$2),0))+(IF(O1203="Fire Tex",(S1203*$U$3),0))+(IF(O1203="WB7",(S1203*#REF!),0)+(IF(O1203="FX 2003",(S1203*$U$5),0)))</f>
        <v>0</v>
      </c>
      <c r="V1203" s="651">
        <f t="shared" si="118"/>
        <v>0</v>
      </c>
    </row>
    <row r="1204" spans="4:22" x14ac:dyDescent="0.25">
      <c r="D1204" s="118">
        <f>+CUBICACION!D1203</f>
        <v>0</v>
      </c>
      <c r="E1204" s="118">
        <f>+CUBICACION!F1203</f>
        <v>0</v>
      </c>
      <c r="F1204" s="118">
        <f>+CUBICACION!E1203</f>
        <v>0</v>
      </c>
      <c r="G1204" s="118">
        <v>12</v>
      </c>
      <c r="H1204" s="118">
        <v>2</v>
      </c>
      <c r="I1204" s="820">
        <v>26385</v>
      </c>
      <c r="J1204" s="118">
        <f>+CUBICACION!J1203</f>
        <v>0</v>
      </c>
      <c r="K1204" s="118">
        <v>3983</v>
      </c>
      <c r="L1204" s="118">
        <f>+CUBICACION!L1203</f>
        <v>0</v>
      </c>
      <c r="M1204" s="64">
        <f>+CUBICACION!M1203</f>
        <v>0</v>
      </c>
      <c r="N1204" s="824" t="str">
        <f>+CUBICACION!N1203</f>
        <v/>
      </c>
      <c r="O1204" s="675">
        <f>+CUBICACION!O1203</f>
        <v>0</v>
      </c>
      <c r="P1204" s="15">
        <f>IF(O1204="Fire Control",VLOOKUP(_xlfn.MINIFS('FIRE CONTROL'!$C$4:$C$37,'FIRE CONTROL'!$C$4:$C$37,"&gt;="&amp;M1204),'FIRE CONTROL'!$C$4:$G$37,IF(L1204="F-15",2,IF(L1204="F-30",3,IF(L1204="F-60",4,IF(L1204="F-90",5,0)))),0),0)+IF(AND(O1204="FIRE TEX 5062",OR(E1204="IN",E1204="C",E1204="Z",E1204="L"),J1204=3),VLOOKUP(_xlfn.MINIFS('FIRE TEX 5062'!$B$4:$B$34,'FIRE TEX 5062'!$B$4:$B$34,"&gt;="&amp;M1204),'FIRE TEX 5062'!$B$4:$F$34,IF(L1204="F-15",2,IF(L1204="F-30",3,IF(L1204="F-60",4,IF(L1204="F-90",5,0)))),0),0)+IF(AND(O1204="FIRE TEX 5062",OR(E1204="IN",E1204="C",E1204="Z",E1204="L"),J1204=4),VLOOKUP(_xlfn.MINIFS('FIRE TEX 5062'!$G$4:$G$34,'FIRE TEX 5062'!$G$4:$G$34,"&gt;="&amp;M1204),'FIRE TEX 5062'!$G$4:$K$34,IF(L1204="F-15",2,IF(L1204="F-30",3,IF(L1204="F-60",4,IF(L1204="F-90",5,0)))),0),0)+IF(AND(O1204="FIRE TEX 5062",E1204="CJ",J1204=3),VLOOKUP(_xlfn.MINIFS('FIRE TEX 5062'!$L$4:$L$34,'FIRE TEX 5062'!$L$4:$L$34,"&gt;="&amp;M1204),'FIRE TEX 5062'!$L$4:$P$34,IF(L1204="F-15",2,IF(L1204="F-30",3,IF(L1204="F-60",4,IF(L1204="F-90",5,0)))),0),0)+IF(AND(O1204="FIRE TEX 5062",E1204="CJ",J1204=4),VLOOKUP(_xlfn.MINIFS('FIRE TEX 5062'!$Q$3:$Q$34,'FIRE TEX 5062'!$Q$3:$Q$34,"&gt;="&amp;M1204),'FIRE TEX 5062'!$Q$3:$U$34,IF(L1204="F-15",2,IF(L1204="F-30",3,IF(L1204="F-60",4,IF(L1204="F-90",5,0)))),0),0)+IF(AND(O1204="FIRE TEX 5090",OR(E1204="IN",E1204="C",E1204="Z",E1204="L"),J1204=3),VLOOKUP(_xlfn.MINIFS('FIRE TEX 5090'!$B$5:$B$43,'FIRE TEX 5090'!$B$5:$B$43,"&gt;="&amp;M1204),'FIRE TEX 5090'!$B$5:$H$43,IF(L1204="F-15",2,IF(L1204="F-30",3,IF(L1204="F-60",4,IF(L1204="F-90",5,IF(L1204="F-120",6,IF(L1204="F-150",7,0)))))),0),0)+IF(AND(O1204="FIRE TEX 5090",OR(E1204="IN",E1204="C",E1204="Z",E1204="L"),J1204=4),VLOOKUP(_xlfn.MINIFS('FIRE TEX 5090'!$J$5:$J$43,'FIRE TEX 5090'!$J$5:$J$43,"&gt;="&amp;M1204),'FIRE TEX 5090'!$J$5:$P$43,IF(L1204="F-15",2,IF(L1204="F-30",3,IF(L1204="F-60",4,IF(L1204="F-90",5,IF(L1204="F-120",6,IF(L1204="F-150",7,0)))))),0),0)+IF(AND(O1204="FIRE TEX 5090",E1204="CJ",J1204=3),VLOOKUP(_xlfn.MINIFS('FIRE TEX 5090'!$R$5:$R$30,'FIRE TEX 5090'!$R$5:$R$30,"&gt;="&amp;M1204),'FIRE TEX 5090'!$R$5:$W$30,IF(L1204="F-15",2,IF(L1204="F-30",3,IF(L1204="F-60",4,IF(L1204="F-90",5,IF(L1204="F-120",6,IF(L1204="F-150",7,0)))))),0),0)+IF(AND(O1204="FIRE TEX 5090",E1204="CJ",J1204=4),VLOOKUP(_xlfn.MINIFS('FIRE TEX 5090'!$Y$5:$Y$39,'FIRE TEX 5090'!$Y$5:$Y$39,"&gt;="&amp;M1204),'FIRE TEX 5090'!$Y$5:$AD$39,IF(L1204="F-15",2,IF(L1204="F-30",3,IF(L1204="F-60",4,IF(L1204="F-90",5,IF(L1204="F-120",6,IF(L1204="F-150",7,0)))))),0),0)+IF(AND(O1204="FIRE TEX 5120",OR(E1204="IN",E1204="C",E1204="Z",E1204="L"),J1204=3),VLOOKUP(_xlfn.MINIFS('FIRE TEX 5120'!$B$5:$B$40,'FIRE TEX 5120'!$B$5:$B$40,"&gt;="&amp;M1204),'FIRE TEX 5120'!$B$5:$G$40,IF(L1204="F-15",2,IF(L1204="F-30",3,IF(L1204="F-60",4,IF(L1204="F-90",5,IF(L1204="F-120",6,0))))),0),0)+IF(AND(O1204="FIRE TEX 5120",OR(E1204="IN",E1204="C",E1204="Z",E1204="L"),J1204=4),VLOOKUP(_xlfn.MINIFS('FIRE TEX 5120'!$H$4:$H$40,'FIRE TEX 5120'!$H$4:$H$40,"&gt;="&amp;M1204),'FIRE TEX 5120'!$H$4:$M$40,IF(L1204="F-15",2,IF(L1204="F-30",3,IF(L1204="F-60",4,IF(L1204="F-90",5,IF(L1204="F-120",6,0))))),0),0)+IF(AND(O1204="FIRE TEX 5120",E1204="CJ"),VLOOKUP(_xlfn.MINIFS('FIRE TEX 5120'!$O$5:$O$40,'FIRE TEX 5120'!$O$5:$O$40,"&gt;="&amp;M1204),'FIRE TEX 5120'!$O$5:$T$40,IF(L1204="F-15",2,IF(L1204="F-30",3,IF(L1204="F-60",4,IF(L1204="F-90",5,IF(L1204="F-120",6,0))))),0),0)</f>
        <v>0</v>
      </c>
      <c r="Q1204" s="46">
        <f t="shared" si="114"/>
        <v>0</v>
      </c>
      <c r="R1204" s="46">
        <f t="shared" si="115"/>
        <v>0</v>
      </c>
      <c r="S1204" s="46" t="e">
        <f t="shared" si="116"/>
        <v>#VALUE!</v>
      </c>
      <c r="T1204" s="677">
        <f t="shared" si="117"/>
        <v>0</v>
      </c>
      <c r="U1204" s="80">
        <f>(IF(O1204="Stofire",(S1204*#REF!),0))+(IF(O1204="Fire Control",(S1204*$U$2),0))+(IF(O1204="Fire Tex",(S1204*$U$3),0))+(IF(O1204="WB7",(S1204*#REF!),0)+(IF(O1204="FX 2003",(S1204*$U$5),0)))</f>
        <v>0</v>
      </c>
      <c r="V1204" s="651">
        <f t="shared" si="118"/>
        <v>0</v>
      </c>
    </row>
    <row r="1205" spans="4:22" x14ac:dyDescent="0.25">
      <c r="D1205" s="118">
        <f>+CUBICACION!D1204</f>
        <v>0</v>
      </c>
      <c r="E1205" s="118">
        <f>+CUBICACION!F1204</f>
        <v>0</v>
      </c>
      <c r="F1205" s="118">
        <f>+CUBICACION!E1204</f>
        <v>0</v>
      </c>
      <c r="G1205" s="118">
        <v>12</v>
      </c>
      <c r="H1205" s="118">
        <v>2</v>
      </c>
      <c r="I1205" s="820">
        <v>26385</v>
      </c>
      <c r="J1205" s="118">
        <f>+CUBICACION!J1204</f>
        <v>0</v>
      </c>
      <c r="K1205" s="118">
        <v>3984</v>
      </c>
      <c r="L1205" s="118">
        <f>+CUBICACION!L1204</f>
        <v>0</v>
      </c>
      <c r="M1205" s="64">
        <f>+CUBICACION!M1204</f>
        <v>0</v>
      </c>
      <c r="N1205" s="824" t="str">
        <f>+CUBICACION!N1204</f>
        <v/>
      </c>
      <c r="O1205" s="675">
        <f>+CUBICACION!O1204</f>
        <v>0</v>
      </c>
      <c r="P1205" s="15">
        <f>IF(O1205="Fire Control",VLOOKUP(_xlfn.MINIFS('FIRE CONTROL'!$C$4:$C$37,'FIRE CONTROL'!$C$4:$C$37,"&gt;="&amp;M1205),'FIRE CONTROL'!$C$4:$G$37,IF(L1205="F-15",2,IF(L1205="F-30",3,IF(L1205="F-60",4,IF(L1205="F-90",5,0)))),0),0)+IF(AND(O1205="FIRE TEX 5062",OR(E1205="IN",E1205="C",E1205="Z",E1205="L"),J1205=3),VLOOKUP(_xlfn.MINIFS('FIRE TEX 5062'!$B$4:$B$34,'FIRE TEX 5062'!$B$4:$B$34,"&gt;="&amp;M1205),'FIRE TEX 5062'!$B$4:$F$34,IF(L1205="F-15",2,IF(L1205="F-30",3,IF(L1205="F-60",4,IF(L1205="F-90",5,0)))),0),0)+IF(AND(O1205="FIRE TEX 5062",OR(E1205="IN",E1205="C",E1205="Z",E1205="L"),J1205=4),VLOOKUP(_xlfn.MINIFS('FIRE TEX 5062'!$G$4:$G$34,'FIRE TEX 5062'!$G$4:$G$34,"&gt;="&amp;M1205),'FIRE TEX 5062'!$G$4:$K$34,IF(L1205="F-15",2,IF(L1205="F-30",3,IF(L1205="F-60",4,IF(L1205="F-90",5,0)))),0),0)+IF(AND(O1205="FIRE TEX 5062",E1205="CJ",J1205=3),VLOOKUP(_xlfn.MINIFS('FIRE TEX 5062'!$L$4:$L$34,'FIRE TEX 5062'!$L$4:$L$34,"&gt;="&amp;M1205),'FIRE TEX 5062'!$L$4:$P$34,IF(L1205="F-15",2,IF(L1205="F-30",3,IF(L1205="F-60",4,IF(L1205="F-90",5,0)))),0),0)+IF(AND(O1205="FIRE TEX 5062",E1205="CJ",J1205=4),VLOOKUP(_xlfn.MINIFS('FIRE TEX 5062'!$Q$3:$Q$34,'FIRE TEX 5062'!$Q$3:$Q$34,"&gt;="&amp;M1205),'FIRE TEX 5062'!$Q$3:$U$34,IF(L1205="F-15",2,IF(L1205="F-30",3,IF(L1205="F-60",4,IF(L1205="F-90",5,0)))),0),0)+IF(AND(O1205="FIRE TEX 5090",OR(E1205="IN",E1205="C",E1205="Z",E1205="L"),J1205=3),VLOOKUP(_xlfn.MINIFS('FIRE TEX 5090'!$B$5:$B$43,'FIRE TEX 5090'!$B$5:$B$43,"&gt;="&amp;M1205),'FIRE TEX 5090'!$B$5:$H$43,IF(L1205="F-15",2,IF(L1205="F-30",3,IF(L1205="F-60",4,IF(L1205="F-90",5,IF(L1205="F-120",6,IF(L1205="F-150",7,0)))))),0),0)+IF(AND(O1205="FIRE TEX 5090",OR(E1205="IN",E1205="C",E1205="Z",E1205="L"),J1205=4),VLOOKUP(_xlfn.MINIFS('FIRE TEX 5090'!$J$5:$J$43,'FIRE TEX 5090'!$J$5:$J$43,"&gt;="&amp;M1205),'FIRE TEX 5090'!$J$5:$P$43,IF(L1205="F-15",2,IF(L1205="F-30",3,IF(L1205="F-60",4,IF(L1205="F-90",5,IF(L1205="F-120",6,IF(L1205="F-150",7,0)))))),0),0)+IF(AND(O1205="FIRE TEX 5090",E1205="CJ",J1205=3),VLOOKUP(_xlfn.MINIFS('FIRE TEX 5090'!$R$5:$R$30,'FIRE TEX 5090'!$R$5:$R$30,"&gt;="&amp;M1205),'FIRE TEX 5090'!$R$5:$W$30,IF(L1205="F-15",2,IF(L1205="F-30",3,IF(L1205="F-60",4,IF(L1205="F-90",5,IF(L1205="F-120",6,IF(L1205="F-150",7,0)))))),0),0)+IF(AND(O1205="FIRE TEX 5090",E1205="CJ",J1205=4),VLOOKUP(_xlfn.MINIFS('FIRE TEX 5090'!$Y$5:$Y$39,'FIRE TEX 5090'!$Y$5:$Y$39,"&gt;="&amp;M1205),'FIRE TEX 5090'!$Y$5:$AD$39,IF(L1205="F-15",2,IF(L1205="F-30",3,IF(L1205="F-60",4,IF(L1205="F-90",5,IF(L1205="F-120",6,IF(L1205="F-150",7,0)))))),0),0)+IF(AND(O1205="FIRE TEX 5120",OR(E1205="IN",E1205="C",E1205="Z",E1205="L"),J1205=3),VLOOKUP(_xlfn.MINIFS('FIRE TEX 5120'!$B$5:$B$40,'FIRE TEX 5120'!$B$5:$B$40,"&gt;="&amp;M1205),'FIRE TEX 5120'!$B$5:$G$40,IF(L1205="F-15",2,IF(L1205="F-30",3,IF(L1205="F-60",4,IF(L1205="F-90",5,IF(L1205="F-120",6,0))))),0),0)+IF(AND(O1205="FIRE TEX 5120",OR(E1205="IN",E1205="C",E1205="Z",E1205="L"),J1205=4),VLOOKUP(_xlfn.MINIFS('FIRE TEX 5120'!$H$4:$H$40,'FIRE TEX 5120'!$H$4:$H$40,"&gt;="&amp;M1205),'FIRE TEX 5120'!$H$4:$M$40,IF(L1205="F-15",2,IF(L1205="F-30",3,IF(L1205="F-60",4,IF(L1205="F-90",5,IF(L1205="F-120",6,0))))),0),0)+IF(AND(O1205="FIRE TEX 5120",E1205="CJ"),VLOOKUP(_xlfn.MINIFS('FIRE TEX 5120'!$O$5:$O$40,'FIRE TEX 5120'!$O$5:$O$40,"&gt;="&amp;M1205),'FIRE TEX 5120'!$O$5:$T$40,IF(L1205="F-15",2,IF(L1205="F-30",3,IF(L1205="F-60",4,IF(L1205="F-90",5,IF(L1205="F-120",6,0))))),0),0)</f>
        <v>0</v>
      </c>
      <c r="Q1205" s="46">
        <f t="shared" si="114"/>
        <v>0</v>
      </c>
      <c r="R1205" s="46">
        <f t="shared" si="115"/>
        <v>0</v>
      </c>
      <c r="S1205" s="46" t="e">
        <f t="shared" si="116"/>
        <v>#VALUE!</v>
      </c>
      <c r="T1205" s="677">
        <f t="shared" si="117"/>
        <v>0</v>
      </c>
      <c r="U1205" s="80">
        <f>(IF(O1205="Stofire",(S1205*#REF!),0))+(IF(O1205="Fire Control",(S1205*$U$2),0))+(IF(O1205="Fire Tex",(S1205*$U$3),0))+(IF(O1205="WB7",(S1205*#REF!),0)+(IF(O1205="FX 2003",(S1205*$U$5),0)))</f>
        <v>0</v>
      </c>
      <c r="V1205" s="651">
        <f t="shared" si="118"/>
        <v>0</v>
      </c>
    </row>
    <row r="1206" spans="4:22" x14ac:dyDescent="0.25">
      <c r="D1206" s="118">
        <f>+CUBICACION!D1205</f>
        <v>0</v>
      </c>
      <c r="E1206" s="118">
        <f>+CUBICACION!F1205</f>
        <v>0</v>
      </c>
      <c r="F1206" s="118">
        <f>+CUBICACION!E1205</f>
        <v>0</v>
      </c>
      <c r="G1206" s="118">
        <v>12</v>
      </c>
      <c r="H1206" s="118">
        <v>2</v>
      </c>
      <c r="I1206" s="820">
        <v>26385</v>
      </c>
      <c r="J1206" s="118">
        <f>+CUBICACION!J1205</f>
        <v>0</v>
      </c>
      <c r="K1206" s="118">
        <v>3985</v>
      </c>
      <c r="L1206" s="118">
        <f>+CUBICACION!L1205</f>
        <v>0</v>
      </c>
      <c r="M1206" s="64">
        <f>+CUBICACION!M1205</f>
        <v>0</v>
      </c>
      <c r="N1206" s="824" t="str">
        <f>+CUBICACION!N1205</f>
        <v/>
      </c>
      <c r="O1206" s="675">
        <f>+CUBICACION!O1205</f>
        <v>0</v>
      </c>
      <c r="P1206" s="15">
        <f>IF(O1206="Fire Control",VLOOKUP(_xlfn.MINIFS('FIRE CONTROL'!$C$4:$C$37,'FIRE CONTROL'!$C$4:$C$37,"&gt;="&amp;M1206),'FIRE CONTROL'!$C$4:$G$37,IF(L1206="F-15",2,IF(L1206="F-30",3,IF(L1206="F-60",4,IF(L1206="F-90",5,0)))),0),0)+IF(AND(O1206="FIRE TEX 5062",OR(E1206="IN",E1206="C",E1206="Z",E1206="L"),J1206=3),VLOOKUP(_xlfn.MINIFS('FIRE TEX 5062'!$B$4:$B$34,'FIRE TEX 5062'!$B$4:$B$34,"&gt;="&amp;M1206),'FIRE TEX 5062'!$B$4:$F$34,IF(L1206="F-15",2,IF(L1206="F-30",3,IF(L1206="F-60",4,IF(L1206="F-90",5,0)))),0),0)+IF(AND(O1206="FIRE TEX 5062",OR(E1206="IN",E1206="C",E1206="Z",E1206="L"),J1206=4),VLOOKUP(_xlfn.MINIFS('FIRE TEX 5062'!$G$4:$G$34,'FIRE TEX 5062'!$G$4:$G$34,"&gt;="&amp;M1206),'FIRE TEX 5062'!$G$4:$K$34,IF(L1206="F-15",2,IF(L1206="F-30",3,IF(L1206="F-60",4,IF(L1206="F-90",5,0)))),0),0)+IF(AND(O1206="FIRE TEX 5062",E1206="CJ",J1206=3),VLOOKUP(_xlfn.MINIFS('FIRE TEX 5062'!$L$4:$L$34,'FIRE TEX 5062'!$L$4:$L$34,"&gt;="&amp;M1206),'FIRE TEX 5062'!$L$4:$P$34,IF(L1206="F-15",2,IF(L1206="F-30",3,IF(L1206="F-60",4,IF(L1206="F-90",5,0)))),0),0)+IF(AND(O1206="FIRE TEX 5062",E1206="CJ",J1206=4),VLOOKUP(_xlfn.MINIFS('FIRE TEX 5062'!$Q$3:$Q$34,'FIRE TEX 5062'!$Q$3:$Q$34,"&gt;="&amp;M1206),'FIRE TEX 5062'!$Q$3:$U$34,IF(L1206="F-15",2,IF(L1206="F-30",3,IF(L1206="F-60",4,IF(L1206="F-90",5,0)))),0),0)+IF(AND(O1206="FIRE TEX 5090",OR(E1206="IN",E1206="C",E1206="Z",E1206="L"),J1206=3),VLOOKUP(_xlfn.MINIFS('FIRE TEX 5090'!$B$5:$B$43,'FIRE TEX 5090'!$B$5:$B$43,"&gt;="&amp;M1206),'FIRE TEX 5090'!$B$5:$H$43,IF(L1206="F-15",2,IF(L1206="F-30",3,IF(L1206="F-60",4,IF(L1206="F-90",5,IF(L1206="F-120",6,IF(L1206="F-150",7,0)))))),0),0)+IF(AND(O1206="FIRE TEX 5090",OR(E1206="IN",E1206="C",E1206="Z",E1206="L"),J1206=4),VLOOKUP(_xlfn.MINIFS('FIRE TEX 5090'!$J$5:$J$43,'FIRE TEX 5090'!$J$5:$J$43,"&gt;="&amp;M1206),'FIRE TEX 5090'!$J$5:$P$43,IF(L1206="F-15",2,IF(L1206="F-30",3,IF(L1206="F-60",4,IF(L1206="F-90",5,IF(L1206="F-120",6,IF(L1206="F-150",7,0)))))),0),0)+IF(AND(O1206="FIRE TEX 5090",E1206="CJ",J1206=3),VLOOKUP(_xlfn.MINIFS('FIRE TEX 5090'!$R$5:$R$30,'FIRE TEX 5090'!$R$5:$R$30,"&gt;="&amp;M1206),'FIRE TEX 5090'!$R$5:$W$30,IF(L1206="F-15",2,IF(L1206="F-30",3,IF(L1206="F-60",4,IF(L1206="F-90",5,IF(L1206="F-120",6,IF(L1206="F-150",7,0)))))),0),0)+IF(AND(O1206="FIRE TEX 5090",E1206="CJ",J1206=4),VLOOKUP(_xlfn.MINIFS('FIRE TEX 5090'!$Y$5:$Y$39,'FIRE TEX 5090'!$Y$5:$Y$39,"&gt;="&amp;M1206),'FIRE TEX 5090'!$Y$5:$AD$39,IF(L1206="F-15",2,IF(L1206="F-30",3,IF(L1206="F-60",4,IF(L1206="F-90",5,IF(L1206="F-120",6,IF(L1206="F-150",7,0)))))),0),0)+IF(AND(O1206="FIRE TEX 5120",OR(E1206="IN",E1206="C",E1206="Z",E1206="L"),J1206=3),VLOOKUP(_xlfn.MINIFS('FIRE TEX 5120'!$B$5:$B$40,'FIRE TEX 5120'!$B$5:$B$40,"&gt;="&amp;M1206),'FIRE TEX 5120'!$B$5:$G$40,IF(L1206="F-15",2,IF(L1206="F-30",3,IF(L1206="F-60",4,IF(L1206="F-90",5,IF(L1206="F-120",6,0))))),0),0)+IF(AND(O1206="FIRE TEX 5120",OR(E1206="IN",E1206="C",E1206="Z",E1206="L"),J1206=4),VLOOKUP(_xlfn.MINIFS('FIRE TEX 5120'!$H$4:$H$40,'FIRE TEX 5120'!$H$4:$H$40,"&gt;="&amp;M1206),'FIRE TEX 5120'!$H$4:$M$40,IF(L1206="F-15",2,IF(L1206="F-30",3,IF(L1206="F-60",4,IF(L1206="F-90",5,IF(L1206="F-120",6,0))))),0),0)+IF(AND(O1206="FIRE TEX 5120",E1206="CJ"),VLOOKUP(_xlfn.MINIFS('FIRE TEX 5120'!$O$5:$O$40,'FIRE TEX 5120'!$O$5:$O$40,"&gt;="&amp;M1206),'FIRE TEX 5120'!$O$5:$T$40,IF(L1206="F-15",2,IF(L1206="F-30",3,IF(L1206="F-60",4,IF(L1206="F-90",5,IF(L1206="F-120",6,0))))),0),0)</f>
        <v>0</v>
      </c>
      <c r="Q1206" s="46">
        <f t="shared" si="114"/>
        <v>0</v>
      </c>
      <c r="R1206" s="46">
        <f t="shared" si="115"/>
        <v>0</v>
      </c>
      <c r="S1206" s="46" t="e">
        <f t="shared" si="116"/>
        <v>#VALUE!</v>
      </c>
      <c r="T1206" s="677">
        <f t="shared" si="117"/>
        <v>0</v>
      </c>
      <c r="U1206" s="80">
        <f>(IF(O1206="Stofire",(S1206*#REF!),0))+(IF(O1206="Fire Control",(S1206*$U$2),0))+(IF(O1206="Fire Tex",(S1206*$U$3),0))+(IF(O1206="WB7",(S1206*#REF!),0)+(IF(O1206="FX 2003",(S1206*$U$5),0)))</f>
        <v>0</v>
      </c>
      <c r="V1206" s="651">
        <f t="shared" si="118"/>
        <v>0</v>
      </c>
    </row>
    <row r="1207" spans="4:22" x14ac:dyDescent="0.25">
      <c r="D1207" s="118">
        <f>+CUBICACION!D1206</f>
        <v>0</v>
      </c>
      <c r="E1207" s="118">
        <f>+CUBICACION!F1206</f>
        <v>0</v>
      </c>
      <c r="F1207" s="118">
        <f>+CUBICACION!E1206</f>
        <v>0</v>
      </c>
      <c r="G1207" s="118">
        <v>12</v>
      </c>
      <c r="H1207" s="118">
        <v>2</v>
      </c>
      <c r="I1207" s="820">
        <v>26385</v>
      </c>
      <c r="J1207" s="118">
        <f>+CUBICACION!J1206</f>
        <v>0</v>
      </c>
      <c r="K1207" s="118">
        <v>3986</v>
      </c>
      <c r="L1207" s="118">
        <f>+CUBICACION!L1206</f>
        <v>0</v>
      </c>
      <c r="M1207" s="64">
        <f>+CUBICACION!M1206</f>
        <v>0</v>
      </c>
      <c r="N1207" s="824" t="str">
        <f>+CUBICACION!N1206</f>
        <v/>
      </c>
      <c r="O1207" s="675">
        <f>+CUBICACION!O1206</f>
        <v>0</v>
      </c>
      <c r="P1207" s="15">
        <f>IF(O1207="Fire Control",VLOOKUP(_xlfn.MINIFS('FIRE CONTROL'!$C$4:$C$37,'FIRE CONTROL'!$C$4:$C$37,"&gt;="&amp;M1207),'FIRE CONTROL'!$C$4:$G$37,IF(L1207="F-15",2,IF(L1207="F-30",3,IF(L1207="F-60",4,IF(L1207="F-90",5,0)))),0),0)+IF(AND(O1207="FIRE TEX 5062",OR(E1207="IN",E1207="C",E1207="Z",E1207="L"),J1207=3),VLOOKUP(_xlfn.MINIFS('FIRE TEX 5062'!$B$4:$B$34,'FIRE TEX 5062'!$B$4:$B$34,"&gt;="&amp;M1207),'FIRE TEX 5062'!$B$4:$F$34,IF(L1207="F-15",2,IF(L1207="F-30",3,IF(L1207="F-60",4,IF(L1207="F-90",5,0)))),0),0)+IF(AND(O1207="FIRE TEX 5062",OR(E1207="IN",E1207="C",E1207="Z",E1207="L"),J1207=4),VLOOKUP(_xlfn.MINIFS('FIRE TEX 5062'!$G$4:$G$34,'FIRE TEX 5062'!$G$4:$G$34,"&gt;="&amp;M1207),'FIRE TEX 5062'!$G$4:$K$34,IF(L1207="F-15",2,IF(L1207="F-30",3,IF(L1207="F-60",4,IF(L1207="F-90",5,0)))),0),0)+IF(AND(O1207="FIRE TEX 5062",E1207="CJ",J1207=3),VLOOKUP(_xlfn.MINIFS('FIRE TEX 5062'!$L$4:$L$34,'FIRE TEX 5062'!$L$4:$L$34,"&gt;="&amp;M1207),'FIRE TEX 5062'!$L$4:$P$34,IF(L1207="F-15",2,IF(L1207="F-30",3,IF(L1207="F-60",4,IF(L1207="F-90",5,0)))),0),0)+IF(AND(O1207="FIRE TEX 5062",E1207="CJ",J1207=4),VLOOKUP(_xlfn.MINIFS('FIRE TEX 5062'!$Q$3:$Q$34,'FIRE TEX 5062'!$Q$3:$Q$34,"&gt;="&amp;M1207),'FIRE TEX 5062'!$Q$3:$U$34,IF(L1207="F-15",2,IF(L1207="F-30",3,IF(L1207="F-60",4,IF(L1207="F-90",5,0)))),0),0)+IF(AND(O1207="FIRE TEX 5090",OR(E1207="IN",E1207="C",E1207="Z",E1207="L"),J1207=3),VLOOKUP(_xlfn.MINIFS('FIRE TEX 5090'!$B$5:$B$43,'FIRE TEX 5090'!$B$5:$B$43,"&gt;="&amp;M1207),'FIRE TEX 5090'!$B$5:$H$43,IF(L1207="F-15",2,IF(L1207="F-30",3,IF(L1207="F-60",4,IF(L1207="F-90",5,IF(L1207="F-120",6,IF(L1207="F-150",7,0)))))),0),0)+IF(AND(O1207="FIRE TEX 5090",OR(E1207="IN",E1207="C",E1207="Z",E1207="L"),J1207=4),VLOOKUP(_xlfn.MINIFS('FIRE TEX 5090'!$J$5:$J$43,'FIRE TEX 5090'!$J$5:$J$43,"&gt;="&amp;M1207),'FIRE TEX 5090'!$J$5:$P$43,IF(L1207="F-15",2,IF(L1207="F-30",3,IF(L1207="F-60",4,IF(L1207="F-90",5,IF(L1207="F-120",6,IF(L1207="F-150",7,0)))))),0),0)+IF(AND(O1207="FIRE TEX 5090",E1207="CJ",J1207=3),VLOOKUP(_xlfn.MINIFS('FIRE TEX 5090'!$R$5:$R$30,'FIRE TEX 5090'!$R$5:$R$30,"&gt;="&amp;M1207),'FIRE TEX 5090'!$R$5:$W$30,IF(L1207="F-15",2,IF(L1207="F-30",3,IF(L1207="F-60",4,IF(L1207="F-90",5,IF(L1207="F-120",6,IF(L1207="F-150",7,0)))))),0),0)+IF(AND(O1207="FIRE TEX 5090",E1207="CJ",J1207=4),VLOOKUP(_xlfn.MINIFS('FIRE TEX 5090'!$Y$5:$Y$39,'FIRE TEX 5090'!$Y$5:$Y$39,"&gt;="&amp;M1207),'FIRE TEX 5090'!$Y$5:$AD$39,IF(L1207="F-15",2,IF(L1207="F-30",3,IF(L1207="F-60",4,IF(L1207="F-90",5,IF(L1207="F-120",6,IF(L1207="F-150",7,0)))))),0),0)+IF(AND(O1207="FIRE TEX 5120",OR(E1207="IN",E1207="C",E1207="Z",E1207="L"),J1207=3),VLOOKUP(_xlfn.MINIFS('FIRE TEX 5120'!$B$5:$B$40,'FIRE TEX 5120'!$B$5:$B$40,"&gt;="&amp;M1207),'FIRE TEX 5120'!$B$5:$G$40,IF(L1207="F-15",2,IF(L1207="F-30",3,IF(L1207="F-60",4,IF(L1207="F-90",5,IF(L1207="F-120",6,0))))),0),0)+IF(AND(O1207="FIRE TEX 5120",OR(E1207="IN",E1207="C",E1207="Z",E1207="L"),J1207=4),VLOOKUP(_xlfn.MINIFS('FIRE TEX 5120'!$H$4:$H$40,'FIRE TEX 5120'!$H$4:$H$40,"&gt;="&amp;M1207),'FIRE TEX 5120'!$H$4:$M$40,IF(L1207="F-15",2,IF(L1207="F-30",3,IF(L1207="F-60",4,IF(L1207="F-90",5,IF(L1207="F-120",6,0))))),0),0)+IF(AND(O1207="FIRE TEX 5120",E1207="CJ"),VLOOKUP(_xlfn.MINIFS('FIRE TEX 5120'!$O$5:$O$40,'FIRE TEX 5120'!$O$5:$O$40,"&gt;="&amp;M1207),'FIRE TEX 5120'!$O$5:$T$40,IF(L1207="F-15",2,IF(L1207="F-30",3,IF(L1207="F-60",4,IF(L1207="F-90",5,IF(L1207="F-120",6,0))))),0),0)</f>
        <v>0</v>
      </c>
      <c r="Q1207" s="46">
        <f t="shared" si="114"/>
        <v>0</v>
      </c>
      <c r="R1207" s="46">
        <f t="shared" si="115"/>
        <v>0</v>
      </c>
      <c r="S1207" s="46" t="e">
        <f t="shared" si="116"/>
        <v>#VALUE!</v>
      </c>
      <c r="T1207" s="677">
        <f t="shared" si="117"/>
        <v>0</v>
      </c>
      <c r="U1207" s="80">
        <f>(IF(O1207="Stofire",(S1207*#REF!),0))+(IF(O1207="Fire Control",(S1207*$U$2),0))+(IF(O1207="Fire Tex",(S1207*$U$3),0))+(IF(O1207="WB7",(S1207*#REF!),0)+(IF(O1207="FX 2003",(S1207*$U$5),0)))</f>
        <v>0</v>
      </c>
      <c r="V1207" s="651">
        <f t="shared" si="118"/>
        <v>0</v>
      </c>
    </row>
    <row r="1208" spans="4:22" x14ac:dyDescent="0.25">
      <c r="D1208" s="118">
        <f>+CUBICACION!D1207</f>
        <v>0</v>
      </c>
      <c r="E1208" s="118">
        <f>+CUBICACION!F1207</f>
        <v>0</v>
      </c>
      <c r="F1208" s="118">
        <f>+CUBICACION!E1207</f>
        <v>0</v>
      </c>
      <c r="G1208" s="118">
        <v>12</v>
      </c>
      <c r="H1208" s="118">
        <v>2</v>
      </c>
      <c r="I1208" s="820">
        <v>26385</v>
      </c>
      <c r="J1208" s="118">
        <f>+CUBICACION!J1207</f>
        <v>0</v>
      </c>
      <c r="K1208" s="118">
        <v>3987</v>
      </c>
      <c r="L1208" s="118">
        <f>+CUBICACION!L1207</f>
        <v>0</v>
      </c>
      <c r="M1208" s="64">
        <f>+CUBICACION!M1207</f>
        <v>0</v>
      </c>
      <c r="N1208" s="824" t="str">
        <f>+CUBICACION!N1207</f>
        <v/>
      </c>
      <c r="O1208" s="675">
        <f>+CUBICACION!O1207</f>
        <v>0</v>
      </c>
      <c r="P1208" s="15">
        <f>IF(O1208="Fire Control",VLOOKUP(_xlfn.MINIFS('FIRE CONTROL'!$C$4:$C$37,'FIRE CONTROL'!$C$4:$C$37,"&gt;="&amp;M1208),'FIRE CONTROL'!$C$4:$G$37,IF(L1208="F-15",2,IF(L1208="F-30",3,IF(L1208="F-60",4,IF(L1208="F-90",5,0)))),0),0)+IF(AND(O1208="FIRE TEX 5062",OR(E1208="IN",E1208="C",E1208="Z",E1208="L"),J1208=3),VLOOKUP(_xlfn.MINIFS('FIRE TEX 5062'!$B$4:$B$34,'FIRE TEX 5062'!$B$4:$B$34,"&gt;="&amp;M1208),'FIRE TEX 5062'!$B$4:$F$34,IF(L1208="F-15",2,IF(L1208="F-30",3,IF(L1208="F-60",4,IF(L1208="F-90",5,0)))),0),0)+IF(AND(O1208="FIRE TEX 5062",OR(E1208="IN",E1208="C",E1208="Z",E1208="L"),J1208=4),VLOOKUP(_xlfn.MINIFS('FIRE TEX 5062'!$G$4:$G$34,'FIRE TEX 5062'!$G$4:$G$34,"&gt;="&amp;M1208),'FIRE TEX 5062'!$G$4:$K$34,IF(L1208="F-15",2,IF(L1208="F-30",3,IF(L1208="F-60",4,IF(L1208="F-90",5,0)))),0),0)+IF(AND(O1208="FIRE TEX 5062",E1208="CJ",J1208=3),VLOOKUP(_xlfn.MINIFS('FIRE TEX 5062'!$L$4:$L$34,'FIRE TEX 5062'!$L$4:$L$34,"&gt;="&amp;M1208),'FIRE TEX 5062'!$L$4:$P$34,IF(L1208="F-15",2,IF(L1208="F-30",3,IF(L1208="F-60",4,IF(L1208="F-90",5,0)))),0),0)+IF(AND(O1208="FIRE TEX 5062",E1208="CJ",J1208=4),VLOOKUP(_xlfn.MINIFS('FIRE TEX 5062'!$Q$3:$Q$34,'FIRE TEX 5062'!$Q$3:$Q$34,"&gt;="&amp;M1208),'FIRE TEX 5062'!$Q$3:$U$34,IF(L1208="F-15",2,IF(L1208="F-30",3,IF(L1208="F-60",4,IF(L1208="F-90",5,0)))),0),0)+IF(AND(O1208="FIRE TEX 5090",OR(E1208="IN",E1208="C",E1208="Z",E1208="L"),J1208=3),VLOOKUP(_xlfn.MINIFS('FIRE TEX 5090'!$B$5:$B$43,'FIRE TEX 5090'!$B$5:$B$43,"&gt;="&amp;M1208),'FIRE TEX 5090'!$B$5:$H$43,IF(L1208="F-15",2,IF(L1208="F-30",3,IF(L1208="F-60",4,IF(L1208="F-90",5,IF(L1208="F-120",6,IF(L1208="F-150",7,0)))))),0),0)+IF(AND(O1208="FIRE TEX 5090",OR(E1208="IN",E1208="C",E1208="Z",E1208="L"),J1208=4),VLOOKUP(_xlfn.MINIFS('FIRE TEX 5090'!$J$5:$J$43,'FIRE TEX 5090'!$J$5:$J$43,"&gt;="&amp;M1208),'FIRE TEX 5090'!$J$5:$P$43,IF(L1208="F-15",2,IF(L1208="F-30",3,IF(L1208="F-60",4,IF(L1208="F-90",5,IF(L1208="F-120",6,IF(L1208="F-150",7,0)))))),0),0)+IF(AND(O1208="FIRE TEX 5090",E1208="CJ",J1208=3),VLOOKUP(_xlfn.MINIFS('FIRE TEX 5090'!$R$5:$R$30,'FIRE TEX 5090'!$R$5:$R$30,"&gt;="&amp;M1208),'FIRE TEX 5090'!$R$5:$W$30,IF(L1208="F-15",2,IF(L1208="F-30",3,IF(L1208="F-60",4,IF(L1208="F-90",5,IF(L1208="F-120",6,IF(L1208="F-150",7,0)))))),0),0)+IF(AND(O1208="FIRE TEX 5090",E1208="CJ",J1208=4),VLOOKUP(_xlfn.MINIFS('FIRE TEX 5090'!$Y$5:$Y$39,'FIRE TEX 5090'!$Y$5:$Y$39,"&gt;="&amp;M1208),'FIRE TEX 5090'!$Y$5:$AD$39,IF(L1208="F-15",2,IF(L1208="F-30",3,IF(L1208="F-60",4,IF(L1208="F-90",5,IF(L1208="F-120",6,IF(L1208="F-150",7,0)))))),0),0)+IF(AND(O1208="FIRE TEX 5120",OR(E1208="IN",E1208="C",E1208="Z",E1208="L"),J1208=3),VLOOKUP(_xlfn.MINIFS('FIRE TEX 5120'!$B$5:$B$40,'FIRE TEX 5120'!$B$5:$B$40,"&gt;="&amp;M1208),'FIRE TEX 5120'!$B$5:$G$40,IF(L1208="F-15",2,IF(L1208="F-30",3,IF(L1208="F-60",4,IF(L1208="F-90",5,IF(L1208="F-120",6,0))))),0),0)+IF(AND(O1208="FIRE TEX 5120",OR(E1208="IN",E1208="C",E1208="Z",E1208="L"),J1208=4),VLOOKUP(_xlfn.MINIFS('FIRE TEX 5120'!$H$4:$H$40,'FIRE TEX 5120'!$H$4:$H$40,"&gt;="&amp;M1208),'FIRE TEX 5120'!$H$4:$M$40,IF(L1208="F-15",2,IF(L1208="F-30",3,IF(L1208="F-60",4,IF(L1208="F-90",5,IF(L1208="F-120",6,0))))),0),0)+IF(AND(O1208="FIRE TEX 5120",E1208="CJ"),VLOOKUP(_xlfn.MINIFS('FIRE TEX 5120'!$O$5:$O$40,'FIRE TEX 5120'!$O$5:$O$40,"&gt;="&amp;M1208),'FIRE TEX 5120'!$O$5:$T$40,IF(L1208="F-15",2,IF(L1208="F-30",3,IF(L1208="F-60",4,IF(L1208="F-90",5,IF(L1208="F-120",6,0))))),0),0)</f>
        <v>0</v>
      </c>
      <c r="Q1208" s="46">
        <f t="shared" si="114"/>
        <v>0</v>
      </c>
      <c r="R1208" s="46">
        <f t="shared" si="115"/>
        <v>0</v>
      </c>
      <c r="S1208" s="46" t="e">
        <f t="shared" si="116"/>
        <v>#VALUE!</v>
      </c>
      <c r="T1208" s="677">
        <f t="shared" si="117"/>
        <v>0</v>
      </c>
      <c r="U1208" s="80">
        <f>(IF(O1208="Stofire",(S1208*#REF!),0))+(IF(O1208="Fire Control",(S1208*$U$2),0))+(IF(O1208="Fire Tex",(S1208*$U$3),0))+(IF(O1208="WB7",(S1208*#REF!),0)+(IF(O1208="FX 2003",(S1208*$U$5),0)))</f>
        <v>0</v>
      </c>
      <c r="V1208" s="651">
        <f t="shared" si="118"/>
        <v>0</v>
      </c>
    </row>
    <row r="1209" spans="4:22" x14ac:dyDescent="0.25">
      <c r="D1209" s="118">
        <f>+CUBICACION!D1208</f>
        <v>0</v>
      </c>
      <c r="E1209" s="118">
        <f>+CUBICACION!F1208</f>
        <v>0</v>
      </c>
      <c r="F1209" s="118">
        <f>+CUBICACION!E1208</f>
        <v>0</v>
      </c>
      <c r="G1209" s="118">
        <v>12</v>
      </c>
      <c r="H1209" s="118">
        <v>2</v>
      </c>
      <c r="I1209" s="820">
        <v>26385</v>
      </c>
      <c r="J1209" s="118">
        <f>+CUBICACION!J1208</f>
        <v>0</v>
      </c>
      <c r="K1209" s="118">
        <v>3988</v>
      </c>
      <c r="L1209" s="118">
        <f>+CUBICACION!L1208</f>
        <v>0</v>
      </c>
      <c r="M1209" s="64">
        <f>+CUBICACION!M1208</f>
        <v>0</v>
      </c>
      <c r="N1209" s="824" t="str">
        <f>+CUBICACION!N1208</f>
        <v/>
      </c>
      <c r="O1209" s="675">
        <f>+CUBICACION!O1208</f>
        <v>0</v>
      </c>
      <c r="P1209" s="15">
        <f>IF(O1209="Fire Control",VLOOKUP(_xlfn.MINIFS('FIRE CONTROL'!$C$4:$C$37,'FIRE CONTROL'!$C$4:$C$37,"&gt;="&amp;M1209),'FIRE CONTROL'!$C$4:$G$37,IF(L1209="F-15",2,IF(L1209="F-30",3,IF(L1209="F-60",4,IF(L1209="F-90",5,0)))),0),0)+IF(AND(O1209="FIRE TEX 5062",OR(E1209="IN",E1209="C",E1209="Z",E1209="L"),J1209=3),VLOOKUP(_xlfn.MINIFS('FIRE TEX 5062'!$B$4:$B$34,'FIRE TEX 5062'!$B$4:$B$34,"&gt;="&amp;M1209),'FIRE TEX 5062'!$B$4:$F$34,IF(L1209="F-15",2,IF(L1209="F-30",3,IF(L1209="F-60",4,IF(L1209="F-90",5,0)))),0),0)+IF(AND(O1209="FIRE TEX 5062",OR(E1209="IN",E1209="C",E1209="Z",E1209="L"),J1209=4),VLOOKUP(_xlfn.MINIFS('FIRE TEX 5062'!$G$4:$G$34,'FIRE TEX 5062'!$G$4:$G$34,"&gt;="&amp;M1209),'FIRE TEX 5062'!$G$4:$K$34,IF(L1209="F-15",2,IF(L1209="F-30",3,IF(L1209="F-60",4,IF(L1209="F-90",5,0)))),0),0)+IF(AND(O1209="FIRE TEX 5062",E1209="CJ",J1209=3),VLOOKUP(_xlfn.MINIFS('FIRE TEX 5062'!$L$4:$L$34,'FIRE TEX 5062'!$L$4:$L$34,"&gt;="&amp;M1209),'FIRE TEX 5062'!$L$4:$P$34,IF(L1209="F-15",2,IF(L1209="F-30",3,IF(L1209="F-60",4,IF(L1209="F-90",5,0)))),0),0)+IF(AND(O1209="FIRE TEX 5062",E1209="CJ",J1209=4),VLOOKUP(_xlfn.MINIFS('FIRE TEX 5062'!$Q$3:$Q$34,'FIRE TEX 5062'!$Q$3:$Q$34,"&gt;="&amp;M1209),'FIRE TEX 5062'!$Q$3:$U$34,IF(L1209="F-15",2,IF(L1209="F-30",3,IF(L1209="F-60",4,IF(L1209="F-90",5,0)))),0),0)+IF(AND(O1209="FIRE TEX 5090",OR(E1209="IN",E1209="C",E1209="Z",E1209="L"),J1209=3),VLOOKUP(_xlfn.MINIFS('FIRE TEX 5090'!$B$5:$B$43,'FIRE TEX 5090'!$B$5:$B$43,"&gt;="&amp;M1209),'FIRE TEX 5090'!$B$5:$H$43,IF(L1209="F-15",2,IF(L1209="F-30",3,IF(L1209="F-60",4,IF(L1209="F-90",5,IF(L1209="F-120",6,IF(L1209="F-150",7,0)))))),0),0)+IF(AND(O1209="FIRE TEX 5090",OR(E1209="IN",E1209="C",E1209="Z",E1209="L"),J1209=4),VLOOKUP(_xlfn.MINIFS('FIRE TEX 5090'!$J$5:$J$43,'FIRE TEX 5090'!$J$5:$J$43,"&gt;="&amp;M1209),'FIRE TEX 5090'!$J$5:$P$43,IF(L1209="F-15",2,IF(L1209="F-30",3,IF(L1209="F-60",4,IF(L1209="F-90",5,IF(L1209="F-120",6,IF(L1209="F-150",7,0)))))),0),0)+IF(AND(O1209="FIRE TEX 5090",E1209="CJ",J1209=3),VLOOKUP(_xlfn.MINIFS('FIRE TEX 5090'!$R$5:$R$30,'FIRE TEX 5090'!$R$5:$R$30,"&gt;="&amp;M1209),'FIRE TEX 5090'!$R$5:$W$30,IF(L1209="F-15",2,IF(L1209="F-30",3,IF(L1209="F-60",4,IF(L1209="F-90",5,IF(L1209="F-120",6,IF(L1209="F-150",7,0)))))),0),0)+IF(AND(O1209="FIRE TEX 5090",E1209="CJ",J1209=4),VLOOKUP(_xlfn.MINIFS('FIRE TEX 5090'!$Y$5:$Y$39,'FIRE TEX 5090'!$Y$5:$Y$39,"&gt;="&amp;M1209),'FIRE TEX 5090'!$Y$5:$AD$39,IF(L1209="F-15",2,IF(L1209="F-30",3,IF(L1209="F-60",4,IF(L1209="F-90",5,IF(L1209="F-120",6,IF(L1209="F-150",7,0)))))),0),0)+IF(AND(O1209="FIRE TEX 5120",OR(E1209="IN",E1209="C",E1209="Z",E1209="L"),J1209=3),VLOOKUP(_xlfn.MINIFS('FIRE TEX 5120'!$B$5:$B$40,'FIRE TEX 5120'!$B$5:$B$40,"&gt;="&amp;M1209),'FIRE TEX 5120'!$B$5:$G$40,IF(L1209="F-15",2,IF(L1209="F-30",3,IF(L1209="F-60",4,IF(L1209="F-90",5,IF(L1209="F-120",6,0))))),0),0)+IF(AND(O1209="FIRE TEX 5120",OR(E1209="IN",E1209="C",E1209="Z",E1209="L"),J1209=4),VLOOKUP(_xlfn.MINIFS('FIRE TEX 5120'!$H$4:$H$40,'FIRE TEX 5120'!$H$4:$H$40,"&gt;="&amp;M1209),'FIRE TEX 5120'!$H$4:$M$40,IF(L1209="F-15",2,IF(L1209="F-30",3,IF(L1209="F-60",4,IF(L1209="F-90",5,IF(L1209="F-120",6,0))))),0),0)+IF(AND(O1209="FIRE TEX 5120",E1209="CJ"),VLOOKUP(_xlfn.MINIFS('FIRE TEX 5120'!$O$5:$O$40,'FIRE TEX 5120'!$O$5:$O$40,"&gt;="&amp;M1209),'FIRE TEX 5120'!$O$5:$T$40,IF(L1209="F-15",2,IF(L1209="F-30",3,IF(L1209="F-60",4,IF(L1209="F-90",5,IF(L1209="F-120",6,0))))),0),0)</f>
        <v>0</v>
      </c>
      <c r="Q1209" s="46">
        <f t="shared" si="114"/>
        <v>0</v>
      </c>
      <c r="R1209" s="46">
        <f t="shared" si="115"/>
        <v>0</v>
      </c>
      <c r="S1209" s="46" t="e">
        <f t="shared" si="116"/>
        <v>#VALUE!</v>
      </c>
      <c r="T1209" s="677">
        <f t="shared" si="117"/>
        <v>0</v>
      </c>
      <c r="U1209" s="80">
        <f>(IF(O1209="Stofire",(S1209*#REF!),0))+(IF(O1209="Fire Control",(S1209*$U$2),0))+(IF(O1209="Fire Tex",(S1209*$U$3),0))+(IF(O1209="WB7",(S1209*#REF!),0)+(IF(O1209="FX 2003",(S1209*$U$5),0)))</f>
        <v>0</v>
      </c>
      <c r="V1209" s="651">
        <f t="shared" si="118"/>
        <v>0</v>
      </c>
    </row>
    <row r="1210" spans="4:22" x14ac:dyDescent="0.25">
      <c r="D1210" s="118">
        <f>+CUBICACION!D1209</f>
        <v>0</v>
      </c>
      <c r="E1210" s="118">
        <f>+CUBICACION!F1209</f>
        <v>0</v>
      </c>
      <c r="F1210" s="118">
        <f>+CUBICACION!E1209</f>
        <v>0</v>
      </c>
      <c r="G1210" s="118">
        <v>12</v>
      </c>
      <c r="H1210" s="118">
        <v>2</v>
      </c>
      <c r="I1210" s="820">
        <v>26385</v>
      </c>
      <c r="J1210" s="118">
        <f>+CUBICACION!J1209</f>
        <v>0</v>
      </c>
      <c r="K1210" s="118">
        <v>3989</v>
      </c>
      <c r="L1210" s="118">
        <f>+CUBICACION!L1209</f>
        <v>0</v>
      </c>
      <c r="M1210" s="64">
        <f>+CUBICACION!M1209</f>
        <v>0</v>
      </c>
      <c r="N1210" s="824" t="str">
        <f>+CUBICACION!N1209</f>
        <v/>
      </c>
      <c r="O1210" s="675">
        <f>+CUBICACION!O1209</f>
        <v>0</v>
      </c>
      <c r="P1210" s="15">
        <f>IF(O1210="Fire Control",VLOOKUP(_xlfn.MINIFS('FIRE CONTROL'!$C$4:$C$37,'FIRE CONTROL'!$C$4:$C$37,"&gt;="&amp;M1210),'FIRE CONTROL'!$C$4:$G$37,IF(L1210="F-15",2,IF(L1210="F-30",3,IF(L1210="F-60",4,IF(L1210="F-90",5,0)))),0),0)+IF(AND(O1210="FIRE TEX 5062",OR(E1210="IN",E1210="C",E1210="Z",E1210="L"),J1210=3),VLOOKUP(_xlfn.MINIFS('FIRE TEX 5062'!$B$4:$B$34,'FIRE TEX 5062'!$B$4:$B$34,"&gt;="&amp;M1210),'FIRE TEX 5062'!$B$4:$F$34,IF(L1210="F-15",2,IF(L1210="F-30",3,IF(L1210="F-60",4,IF(L1210="F-90",5,0)))),0),0)+IF(AND(O1210="FIRE TEX 5062",OR(E1210="IN",E1210="C",E1210="Z",E1210="L"),J1210=4),VLOOKUP(_xlfn.MINIFS('FIRE TEX 5062'!$G$4:$G$34,'FIRE TEX 5062'!$G$4:$G$34,"&gt;="&amp;M1210),'FIRE TEX 5062'!$G$4:$K$34,IF(L1210="F-15",2,IF(L1210="F-30",3,IF(L1210="F-60",4,IF(L1210="F-90",5,0)))),0),0)+IF(AND(O1210="FIRE TEX 5062",E1210="CJ",J1210=3),VLOOKUP(_xlfn.MINIFS('FIRE TEX 5062'!$L$4:$L$34,'FIRE TEX 5062'!$L$4:$L$34,"&gt;="&amp;M1210),'FIRE TEX 5062'!$L$4:$P$34,IF(L1210="F-15",2,IF(L1210="F-30",3,IF(L1210="F-60",4,IF(L1210="F-90",5,0)))),0),0)+IF(AND(O1210="FIRE TEX 5062",E1210="CJ",J1210=4),VLOOKUP(_xlfn.MINIFS('FIRE TEX 5062'!$Q$3:$Q$34,'FIRE TEX 5062'!$Q$3:$Q$34,"&gt;="&amp;M1210),'FIRE TEX 5062'!$Q$3:$U$34,IF(L1210="F-15",2,IF(L1210="F-30",3,IF(L1210="F-60",4,IF(L1210="F-90",5,0)))),0),0)+IF(AND(O1210="FIRE TEX 5090",OR(E1210="IN",E1210="C",E1210="Z",E1210="L"),J1210=3),VLOOKUP(_xlfn.MINIFS('FIRE TEX 5090'!$B$5:$B$43,'FIRE TEX 5090'!$B$5:$B$43,"&gt;="&amp;M1210),'FIRE TEX 5090'!$B$5:$H$43,IF(L1210="F-15",2,IF(L1210="F-30",3,IF(L1210="F-60",4,IF(L1210="F-90",5,IF(L1210="F-120",6,IF(L1210="F-150",7,0)))))),0),0)+IF(AND(O1210="FIRE TEX 5090",OR(E1210="IN",E1210="C",E1210="Z",E1210="L"),J1210=4),VLOOKUP(_xlfn.MINIFS('FIRE TEX 5090'!$J$5:$J$43,'FIRE TEX 5090'!$J$5:$J$43,"&gt;="&amp;M1210),'FIRE TEX 5090'!$J$5:$P$43,IF(L1210="F-15",2,IF(L1210="F-30",3,IF(L1210="F-60",4,IF(L1210="F-90",5,IF(L1210="F-120",6,IF(L1210="F-150",7,0)))))),0),0)+IF(AND(O1210="FIRE TEX 5090",E1210="CJ",J1210=3),VLOOKUP(_xlfn.MINIFS('FIRE TEX 5090'!$R$5:$R$30,'FIRE TEX 5090'!$R$5:$R$30,"&gt;="&amp;M1210),'FIRE TEX 5090'!$R$5:$W$30,IF(L1210="F-15",2,IF(L1210="F-30",3,IF(L1210="F-60",4,IF(L1210="F-90",5,IF(L1210="F-120",6,IF(L1210="F-150",7,0)))))),0),0)+IF(AND(O1210="FIRE TEX 5090",E1210="CJ",J1210=4),VLOOKUP(_xlfn.MINIFS('FIRE TEX 5090'!$Y$5:$Y$39,'FIRE TEX 5090'!$Y$5:$Y$39,"&gt;="&amp;M1210),'FIRE TEX 5090'!$Y$5:$AD$39,IF(L1210="F-15",2,IF(L1210="F-30",3,IF(L1210="F-60",4,IF(L1210="F-90",5,IF(L1210="F-120",6,IF(L1210="F-150",7,0)))))),0),0)+IF(AND(O1210="FIRE TEX 5120",OR(E1210="IN",E1210="C",E1210="Z",E1210="L"),J1210=3),VLOOKUP(_xlfn.MINIFS('FIRE TEX 5120'!$B$5:$B$40,'FIRE TEX 5120'!$B$5:$B$40,"&gt;="&amp;M1210),'FIRE TEX 5120'!$B$5:$G$40,IF(L1210="F-15",2,IF(L1210="F-30",3,IF(L1210="F-60",4,IF(L1210="F-90",5,IF(L1210="F-120",6,0))))),0),0)+IF(AND(O1210="FIRE TEX 5120",OR(E1210="IN",E1210="C",E1210="Z",E1210="L"),J1210=4),VLOOKUP(_xlfn.MINIFS('FIRE TEX 5120'!$H$4:$H$40,'FIRE TEX 5120'!$H$4:$H$40,"&gt;="&amp;M1210),'FIRE TEX 5120'!$H$4:$M$40,IF(L1210="F-15",2,IF(L1210="F-30",3,IF(L1210="F-60",4,IF(L1210="F-90",5,IF(L1210="F-120",6,0))))),0),0)+IF(AND(O1210="FIRE TEX 5120",E1210="CJ"),VLOOKUP(_xlfn.MINIFS('FIRE TEX 5120'!$O$5:$O$40,'FIRE TEX 5120'!$O$5:$O$40,"&gt;="&amp;M1210),'FIRE TEX 5120'!$O$5:$T$40,IF(L1210="F-15",2,IF(L1210="F-30",3,IF(L1210="F-60",4,IF(L1210="F-90",5,IF(L1210="F-120",6,0))))),0),0)</f>
        <v>0</v>
      </c>
      <c r="Q1210" s="46">
        <f t="shared" si="114"/>
        <v>0</v>
      </c>
      <c r="R1210" s="46">
        <f t="shared" si="115"/>
        <v>0</v>
      </c>
      <c r="S1210" s="46" t="e">
        <f t="shared" si="116"/>
        <v>#VALUE!</v>
      </c>
      <c r="T1210" s="677">
        <f t="shared" si="117"/>
        <v>0</v>
      </c>
      <c r="U1210" s="80">
        <f>(IF(O1210="Stofire",(S1210*#REF!),0))+(IF(O1210="Fire Control",(S1210*$U$2),0))+(IF(O1210="Fire Tex",(S1210*$U$3),0))+(IF(O1210="WB7",(S1210*#REF!),0)+(IF(O1210="FX 2003",(S1210*$U$5),0)))</f>
        <v>0</v>
      </c>
      <c r="V1210" s="651">
        <f t="shared" si="118"/>
        <v>0</v>
      </c>
    </row>
    <row r="1211" spans="4:22" x14ac:dyDescent="0.25">
      <c r="D1211" s="118">
        <f>+CUBICACION!D1210</f>
        <v>0</v>
      </c>
      <c r="E1211" s="118">
        <f>+CUBICACION!F1210</f>
        <v>0</v>
      </c>
      <c r="F1211" s="118">
        <f>+CUBICACION!E1210</f>
        <v>0</v>
      </c>
      <c r="G1211" s="118">
        <v>12</v>
      </c>
      <c r="H1211" s="118">
        <v>2</v>
      </c>
      <c r="I1211" s="820">
        <v>26385</v>
      </c>
      <c r="J1211" s="118">
        <f>+CUBICACION!J1210</f>
        <v>0</v>
      </c>
      <c r="K1211" s="118">
        <v>3990</v>
      </c>
      <c r="L1211" s="118">
        <f>+CUBICACION!L1210</f>
        <v>0</v>
      </c>
      <c r="M1211" s="64">
        <f>+CUBICACION!M1210</f>
        <v>0</v>
      </c>
      <c r="N1211" s="824" t="str">
        <f>+CUBICACION!N1210</f>
        <v/>
      </c>
      <c r="O1211" s="675">
        <f>+CUBICACION!O1210</f>
        <v>0</v>
      </c>
      <c r="P1211" s="15">
        <f>IF(O1211="Fire Control",VLOOKUP(_xlfn.MINIFS('FIRE CONTROL'!$C$4:$C$37,'FIRE CONTROL'!$C$4:$C$37,"&gt;="&amp;M1211),'FIRE CONTROL'!$C$4:$G$37,IF(L1211="F-15",2,IF(L1211="F-30",3,IF(L1211="F-60",4,IF(L1211="F-90",5,0)))),0),0)+IF(AND(O1211="FIRE TEX 5062",OR(E1211="IN",E1211="C",E1211="Z",E1211="L"),J1211=3),VLOOKUP(_xlfn.MINIFS('FIRE TEX 5062'!$B$4:$B$34,'FIRE TEX 5062'!$B$4:$B$34,"&gt;="&amp;M1211),'FIRE TEX 5062'!$B$4:$F$34,IF(L1211="F-15",2,IF(L1211="F-30",3,IF(L1211="F-60",4,IF(L1211="F-90",5,0)))),0),0)+IF(AND(O1211="FIRE TEX 5062",OR(E1211="IN",E1211="C",E1211="Z",E1211="L"),J1211=4),VLOOKUP(_xlfn.MINIFS('FIRE TEX 5062'!$G$4:$G$34,'FIRE TEX 5062'!$G$4:$G$34,"&gt;="&amp;M1211),'FIRE TEX 5062'!$G$4:$K$34,IF(L1211="F-15",2,IF(L1211="F-30",3,IF(L1211="F-60",4,IF(L1211="F-90",5,0)))),0),0)+IF(AND(O1211="FIRE TEX 5062",E1211="CJ",J1211=3),VLOOKUP(_xlfn.MINIFS('FIRE TEX 5062'!$L$4:$L$34,'FIRE TEX 5062'!$L$4:$L$34,"&gt;="&amp;M1211),'FIRE TEX 5062'!$L$4:$P$34,IF(L1211="F-15",2,IF(L1211="F-30",3,IF(L1211="F-60",4,IF(L1211="F-90",5,0)))),0),0)+IF(AND(O1211="FIRE TEX 5062",E1211="CJ",J1211=4),VLOOKUP(_xlfn.MINIFS('FIRE TEX 5062'!$Q$3:$Q$34,'FIRE TEX 5062'!$Q$3:$Q$34,"&gt;="&amp;M1211),'FIRE TEX 5062'!$Q$3:$U$34,IF(L1211="F-15",2,IF(L1211="F-30",3,IF(L1211="F-60",4,IF(L1211="F-90",5,0)))),0),0)+IF(AND(O1211="FIRE TEX 5090",OR(E1211="IN",E1211="C",E1211="Z",E1211="L"),J1211=3),VLOOKUP(_xlfn.MINIFS('FIRE TEX 5090'!$B$5:$B$43,'FIRE TEX 5090'!$B$5:$B$43,"&gt;="&amp;M1211),'FIRE TEX 5090'!$B$5:$H$43,IF(L1211="F-15",2,IF(L1211="F-30",3,IF(L1211="F-60",4,IF(L1211="F-90",5,IF(L1211="F-120",6,IF(L1211="F-150",7,0)))))),0),0)+IF(AND(O1211="FIRE TEX 5090",OR(E1211="IN",E1211="C",E1211="Z",E1211="L"),J1211=4),VLOOKUP(_xlfn.MINIFS('FIRE TEX 5090'!$J$5:$J$43,'FIRE TEX 5090'!$J$5:$J$43,"&gt;="&amp;M1211),'FIRE TEX 5090'!$J$5:$P$43,IF(L1211="F-15",2,IF(L1211="F-30",3,IF(L1211="F-60",4,IF(L1211="F-90",5,IF(L1211="F-120",6,IF(L1211="F-150",7,0)))))),0),0)+IF(AND(O1211="FIRE TEX 5090",E1211="CJ",J1211=3),VLOOKUP(_xlfn.MINIFS('FIRE TEX 5090'!$R$5:$R$30,'FIRE TEX 5090'!$R$5:$R$30,"&gt;="&amp;M1211),'FIRE TEX 5090'!$R$5:$W$30,IF(L1211="F-15",2,IF(L1211="F-30",3,IF(L1211="F-60",4,IF(L1211="F-90",5,IF(L1211="F-120",6,IF(L1211="F-150",7,0)))))),0),0)+IF(AND(O1211="FIRE TEX 5090",E1211="CJ",J1211=4),VLOOKUP(_xlfn.MINIFS('FIRE TEX 5090'!$Y$5:$Y$39,'FIRE TEX 5090'!$Y$5:$Y$39,"&gt;="&amp;M1211),'FIRE TEX 5090'!$Y$5:$AD$39,IF(L1211="F-15",2,IF(L1211="F-30",3,IF(L1211="F-60",4,IF(L1211="F-90",5,IF(L1211="F-120",6,IF(L1211="F-150",7,0)))))),0),0)+IF(AND(O1211="FIRE TEX 5120",OR(E1211="IN",E1211="C",E1211="Z",E1211="L"),J1211=3),VLOOKUP(_xlfn.MINIFS('FIRE TEX 5120'!$B$5:$B$40,'FIRE TEX 5120'!$B$5:$B$40,"&gt;="&amp;M1211),'FIRE TEX 5120'!$B$5:$G$40,IF(L1211="F-15",2,IF(L1211="F-30",3,IF(L1211="F-60",4,IF(L1211="F-90",5,IF(L1211="F-120",6,0))))),0),0)+IF(AND(O1211="FIRE TEX 5120",OR(E1211="IN",E1211="C",E1211="Z",E1211="L"),J1211=4),VLOOKUP(_xlfn.MINIFS('FIRE TEX 5120'!$H$4:$H$40,'FIRE TEX 5120'!$H$4:$H$40,"&gt;="&amp;M1211),'FIRE TEX 5120'!$H$4:$M$40,IF(L1211="F-15",2,IF(L1211="F-30",3,IF(L1211="F-60",4,IF(L1211="F-90",5,IF(L1211="F-120",6,0))))),0),0)+IF(AND(O1211="FIRE TEX 5120",E1211="CJ"),VLOOKUP(_xlfn.MINIFS('FIRE TEX 5120'!$O$5:$O$40,'FIRE TEX 5120'!$O$5:$O$40,"&gt;="&amp;M1211),'FIRE TEX 5120'!$O$5:$T$40,IF(L1211="F-15",2,IF(L1211="F-30",3,IF(L1211="F-60",4,IF(L1211="F-90",5,IF(L1211="F-120",6,0))))),0),0)</f>
        <v>0</v>
      </c>
      <c r="Q1211" s="46">
        <f t="shared" si="114"/>
        <v>0</v>
      </c>
      <c r="R1211" s="46">
        <f t="shared" si="115"/>
        <v>0</v>
      </c>
      <c r="S1211" s="46" t="e">
        <f t="shared" si="116"/>
        <v>#VALUE!</v>
      </c>
      <c r="T1211" s="677">
        <f t="shared" si="117"/>
        <v>0</v>
      </c>
      <c r="U1211" s="80">
        <f>(IF(O1211="Stofire",(S1211*#REF!),0))+(IF(O1211="Fire Control",(S1211*$U$2),0))+(IF(O1211="Fire Tex",(S1211*$U$3),0))+(IF(O1211="WB7",(S1211*#REF!),0)+(IF(O1211="FX 2003",(S1211*$U$5),0)))</f>
        <v>0</v>
      </c>
      <c r="V1211" s="651">
        <f t="shared" si="118"/>
        <v>0</v>
      </c>
    </row>
    <row r="1212" spans="4:22" x14ac:dyDescent="0.25">
      <c r="D1212" s="118">
        <f>+CUBICACION!D1211</f>
        <v>0</v>
      </c>
      <c r="E1212" s="118">
        <f>+CUBICACION!F1211</f>
        <v>0</v>
      </c>
      <c r="F1212" s="118">
        <f>+CUBICACION!E1211</f>
        <v>0</v>
      </c>
      <c r="G1212" s="118">
        <v>12</v>
      </c>
      <c r="H1212" s="118">
        <v>2</v>
      </c>
      <c r="I1212" s="820">
        <v>26385</v>
      </c>
      <c r="J1212" s="118">
        <f>+CUBICACION!J1211</f>
        <v>0</v>
      </c>
      <c r="K1212" s="118">
        <v>3991</v>
      </c>
      <c r="L1212" s="118">
        <f>+CUBICACION!L1211</f>
        <v>0</v>
      </c>
      <c r="M1212" s="64">
        <f>+CUBICACION!M1211</f>
        <v>0</v>
      </c>
      <c r="N1212" s="824" t="str">
        <f>+CUBICACION!N1211</f>
        <v/>
      </c>
      <c r="O1212" s="675">
        <f>+CUBICACION!O1211</f>
        <v>0</v>
      </c>
      <c r="P1212" s="15">
        <f>IF(O1212="Fire Control",VLOOKUP(_xlfn.MINIFS('FIRE CONTROL'!$C$4:$C$37,'FIRE CONTROL'!$C$4:$C$37,"&gt;="&amp;M1212),'FIRE CONTROL'!$C$4:$G$37,IF(L1212="F-15",2,IF(L1212="F-30",3,IF(L1212="F-60",4,IF(L1212="F-90",5,0)))),0),0)+IF(AND(O1212="FIRE TEX 5062",OR(E1212="IN",E1212="C",E1212="Z",E1212="L"),J1212=3),VLOOKUP(_xlfn.MINIFS('FIRE TEX 5062'!$B$4:$B$34,'FIRE TEX 5062'!$B$4:$B$34,"&gt;="&amp;M1212),'FIRE TEX 5062'!$B$4:$F$34,IF(L1212="F-15",2,IF(L1212="F-30",3,IF(L1212="F-60",4,IF(L1212="F-90",5,0)))),0),0)+IF(AND(O1212="FIRE TEX 5062",OR(E1212="IN",E1212="C",E1212="Z",E1212="L"),J1212=4),VLOOKUP(_xlfn.MINIFS('FIRE TEX 5062'!$G$4:$G$34,'FIRE TEX 5062'!$G$4:$G$34,"&gt;="&amp;M1212),'FIRE TEX 5062'!$G$4:$K$34,IF(L1212="F-15",2,IF(L1212="F-30",3,IF(L1212="F-60",4,IF(L1212="F-90",5,0)))),0),0)+IF(AND(O1212="FIRE TEX 5062",E1212="CJ",J1212=3),VLOOKUP(_xlfn.MINIFS('FIRE TEX 5062'!$L$4:$L$34,'FIRE TEX 5062'!$L$4:$L$34,"&gt;="&amp;M1212),'FIRE TEX 5062'!$L$4:$P$34,IF(L1212="F-15",2,IF(L1212="F-30",3,IF(L1212="F-60",4,IF(L1212="F-90",5,0)))),0),0)+IF(AND(O1212="FIRE TEX 5062",E1212="CJ",J1212=4),VLOOKUP(_xlfn.MINIFS('FIRE TEX 5062'!$Q$3:$Q$34,'FIRE TEX 5062'!$Q$3:$Q$34,"&gt;="&amp;M1212),'FIRE TEX 5062'!$Q$3:$U$34,IF(L1212="F-15",2,IF(L1212="F-30",3,IF(L1212="F-60",4,IF(L1212="F-90",5,0)))),0),0)+IF(AND(O1212="FIRE TEX 5090",OR(E1212="IN",E1212="C",E1212="Z",E1212="L"),J1212=3),VLOOKUP(_xlfn.MINIFS('FIRE TEX 5090'!$B$5:$B$43,'FIRE TEX 5090'!$B$5:$B$43,"&gt;="&amp;M1212),'FIRE TEX 5090'!$B$5:$H$43,IF(L1212="F-15",2,IF(L1212="F-30",3,IF(L1212="F-60",4,IF(L1212="F-90",5,IF(L1212="F-120",6,IF(L1212="F-150",7,0)))))),0),0)+IF(AND(O1212="FIRE TEX 5090",OR(E1212="IN",E1212="C",E1212="Z",E1212="L"),J1212=4),VLOOKUP(_xlfn.MINIFS('FIRE TEX 5090'!$J$5:$J$43,'FIRE TEX 5090'!$J$5:$J$43,"&gt;="&amp;M1212),'FIRE TEX 5090'!$J$5:$P$43,IF(L1212="F-15",2,IF(L1212="F-30",3,IF(L1212="F-60",4,IF(L1212="F-90",5,IF(L1212="F-120",6,IF(L1212="F-150",7,0)))))),0),0)+IF(AND(O1212="FIRE TEX 5090",E1212="CJ",J1212=3),VLOOKUP(_xlfn.MINIFS('FIRE TEX 5090'!$R$5:$R$30,'FIRE TEX 5090'!$R$5:$R$30,"&gt;="&amp;M1212),'FIRE TEX 5090'!$R$5:$W$30,IF(L1212="F-15",2,IF(L1212="F-30",3,IF(L1212="F-60",4,IF(L1212="F-90",5,IF(L1212="F-120",6,IF(L1212="F-150",7,0)))))),0),0)+IF(AND(O1212="FIRE TEX 5090",E1212="CJ",J1212=4),VLOOKUP(_xlfn.MINIFS('FIRE TEX 5090'!$Y$5:$Y$39,'FIRE TEX 5090'!$Y$5:$Y$39,"&gt;="&amp;M1212),'FIRE TEX 5090'!$Y$5:$AD$39,IF(L1212="F-15",2,IF(L1212="F-30",3,IF(L1212="F-60",4,IF(L1212="F-90",5,IF(L1212="F-120",6,IF(L1212="F-150",7,0)))))),0),0)+IF(AND(O1212="FIRE TEX 5120",OR(E1212="IN",E1212="C",E1212="Z",E1212="L"),J1212=3),VLOOKUP(_xlfn.MINIFS('FIRE TEX 5120'!$B$5:$B$40,'FIRE TEX 5120'!$B$5:$B$40,"&gt;="&amp;M1212),'FIRE TEX 5120'!$B$5:$G$40,IF(L1212="F-15",2,IF(L1212="F-30",3,IF(L1212="F-60",4,IF(L1212="F-90",5,IF(L1212="F-120",6,0))))),0),0)+IF(AND(O1212="FIRE TEX 5120",OR(E1212="IN",E1212="C",E1212="Z",E1212="L"),J1212=4),VLOOKUP(_xlfn.MINIFS('FIRE TEX 5120'!$H$4:$H$40,'FIRE TEX 5120'!$H$4:$H$40,"&gt;="&amp;M1212),'FIRE TEX 5120'!$H$4:$M$40,IF(L1212="F-15",2,IF(L1212="F-30",3,IF(L1212="F-60",4,IF(L1212="F-90",5,IF(L1212="F-120",6,0))))),0),0)+IF(AND(O1212="FIRE TEX 5120",E1212="CJ"),VLOOKUP(_xlfn.MINIFS('FIRE TEX 5120'!$O$5:$O$40,'FIRE TEX 5120'!$O$5:$O$40,"&gt;="&amp;M1212),'FIRE TEX 5120'!$O$5:$T$40,IF(L1212="F-15",2,IF(L1212="F-30",3,IF(L1212="F-60",4,IF(L1212="F-90",5,IF(L1212="F-120",6,0))))),0),0)</f>
        <v>0</v>
      </c>
      <c r="Q1212" s="46">
        <f t="shared" si="114"/>
        <v>0</v>
      </c>
      <c r="R1212" s="46">
        <f t="shared" si="115"/>
        <v>0</v>
      </c>
      <c r="S1212" s="46" t="e">
        <f t="shared" si="116"/>
        <v>#VALUE!</v>
      </c>
      <c r="T1212" s="677">
        <f t="shared" si="117"/>
        <v>0</v>
      </c>
      <c r="U1212" s="80">
        <f>(IF(O1212="Stofire",(S1212*#REF!),0))+(IF(O1212="Fire Control",(S1212*$U$2),0))+(IF(O1212="Fire Tex",(S1212*$U$3),0))+(IF(O1212="WB7",(S1212*#REF!),0)+(IF(O1212="FX 2003",(S1212*$U$5),0)))</f>
        <v>0</v>
      </c>
      <c r="V1212" s="651">
        <f t="shared" si="118"/>
        <v>0</v>
      </c>
    </row>
    <row r="1213" spans="4:22" x14ac:dyDescent="0.25">
      <c r="D1213" s="118">
        <f>+CUBICACION!D1212</f>
        <v>0</v>
      </c>
      <c r="E1213" s="118">
        <f>+CUBICACION!F1212</f>
        <v>0</v>
      </c>
      <c r="F1213" s="118">
        <f>+CUBICACION!E1212</f>
        <v>0</v>
      </c>
      <c r="G1213" s="118">
        <v>12</v>
      </c>
      <c r="H1213" s="118">
        <v>2</v>
      </c>
      <c r="I1213" s="820">
        <v>26385</v>
      </c>
      <c r="J1213" s="118">
        <f>+CUBICACION!J1212</f>
        <v>0</v>
      </c>
      <c r="K1213" s="118">
        <v>3992</v>
      </c>
      <c r="L1213" s="118">
        <f>+CUBICACION!L1212</f>
        <v>0</v>
      </c>
      <c r="M1213" s="64">
        <f>+CUBICACION!M1212</f>
        <v>0</v>
      </c>
      <c r="N1213" s="824" t="str">
        <f>+CUBICACION!N1212</f>
        <v/>
      </c>
      <c r="O1213" s="675">
        <f>+CUBICACION!O1212</f>
        <v>0</v>
      </c>
      <c r="P1213" s="15">
        <f>IF(O1213="Fire Control",VLOOKUP(_xlfn.MINIFS('FIRE CONTROL'!$C$4:$C$37,'FIRE CONTROL'!$C$4:$C$37,"&gt;="&amp;M1213),'FIRE CONTROL'!$C$4:$G$37,IF(L1213="F-15",2,IF(L1213="F-30",3,IF(L1213="F-60",4,IF(L1213="F-90",5,0)))),0),0)+IF(AND(O1213="FIRE TEX 5062",OR(E1213="IN",E1213="C",E1213="Z",E1213="L"),J1213=3),VLOOKUP(_xlfn.MINIFS('FIRE TEX 5062'!$B$4:$B$34,'FIRE TEX 5062'!$B$4:$B$34,"&gt;="&amp;M1213),'FIRE TEX 5062'!$B$4:$F$34,IF(L1213="F-15",2,IF(L1213="F-30",3,IF(L1213="F-60",4,IF(L1213="F-90",5,0)))),0),0)+IF(AND(O1213="FIRE TEX 5062",OR(E1213="IN",E1213="C",E1213="Z",E1213="L"),J1213=4),VLOOKUP(_xlfn.MINIFS('FIRE TEX 5062'!$G$4:$G$34,'FIRE TEX 5062'!$G$4:$G$34,"&gt;="&amp;M1213),'FIRE TEX 5062'!$G$4:$K$34,IF(L1213="F-15",2,IF(L1213="F-30",3,IF(L1213="F-60",4,IF(L1213="F-90",5,0)))),0),0)+IF(AND(O1213="FIRE TEX 5062",E1213="CJ",J1213=3),VLOOKUP(_xlfn.MINIFS('FIRE TEX 5062'!$L$4:$L$34,'FIRE TEX 5062'!$L$4:$L$34,"&gt;="&amp;M1213),'FIRE TEX 5062'!$L$4:$P$34,IF(L1213="F-15",2,IF(L1213="F-30",3,IF(L1213="F-60",4,IF(L1213="F-90",5,0)))),0),0)+IF(AND(O1213="FIRE TEX 5062",E1213="CJ",J1213=4),VLOOKUP(_xlfn.MINIFS('FIRE TEX 5062'!$Q$3:$Q$34,'FIRE TEX 5062'!$Q$3:$Q$34,"&gt;="&amp;M1213),'FIRE TEX 5062'!$Q$3:$U$34,IF(L1213="F-15",2,IF(L1213="F-30",3,IF(L1213="F-60",4,IF(L1213="F-90",5,0)))),0),0)+IF(AND(O1213="FIRE TEX 5090",OR(E1213="IN",E1213="C",E1213="Z",E1213="L"),J1213=3),VLOOKUP(_xlfn.MINIFS('FIRE TEX 5090'!$B$5:$B$43,'FIRE TEX 5090'!$B$5:$B$43,"&gt;="&amp;M1213),'FIRE TEX 5090'!$B$5:$H$43,IF(L1213="F-15",2,IF(L1213="F-30",3,IF(L1213="F-60",4,IF(L1213="F-90",5,IF(L1213="F-120",6,IF(L1213="F-150",7,0)))))),0),0)+IF(AND(O1213="FIRE TEX 5090",OR(E1213="IN",E1213="C",E1213="Z",E1213="L"),J1213=4),VLOOKUP(_xlfn.MINIFS('FIRE TEX 5090'!$J$5:$J$43,'FIRE TEX 5090'!$J$5:$J$43,"&gt;="&amp;M1213),'FIRE TEX 5090'!$J$5:$P$43,IF(L1213="F-15",2,IF(L1213="F-30",3,IF(L1213="F-60",4,IF(L1213="F-90",5,IF(L1213="F-120",6,IF(L1213="F-150",7,0)))))),0),0)+IF(AND(O1213="FIRE TEX 5090",E1213="CJ",J1213=3),VLOOKUP(_xlfn.MINIFS('FIRE TEX 5090'!$R$5:$R$30,'FIRE TEX 5090'!$R$5:$R$30,"&gt;="&amp;M1213),'FIRE TEX 5090'!$R$5:$W$30,IF(L1213="F-15",2,IF(L1213="F-30",3,IF(L1213="F-60",4,IF(L1213="F-90",5,IF(L1213="F-120",6,IF(L1213="F-150",7,0)))))),0),0)+IF(AND(O1213="FIRE TEX 5090",E1213="CJ",J1213=4),VLOOKUP(_xlfn.MINIFS('FIRE TEX 5090'!$Y$5:$Y$39,'FIRE TEX 5090'!$Y$5:$Y$39,"&gt;="&amp;M1213),'FIRE TEX 5090'!$Y$5:$AD$39,IF(L1213="F-15",2,IF(L1213="F-30",3,IF(L1213="F-60",4,IF(L1213="F-90",5,IF(L1213="F-120",6,IF(L1213="F-150",7,0)))))),0),0)+IF(AND(O1213="FIRE TEX 5120",OR(E1213="IN",E1213="C",E1213="Z",E1213="L"),J1213=3),VLOOKUP(_xlfn.MINIFS('FIRE TEX 5120'!$B$5:$B$40,'FIRE TEX 5120'!$B$5:$B$40,"&gt;="&amp;M1213),'FIRE TEX 5120'!$B$5:$G$40,IF(L1213="F-15",2,IF(L1213="F-30",3,IF(L1213="F-60",4,IF(L1213="F-90",5,IF(L1213="F-120",6,0))))),0),0)+IF(AND(O1213="FIRE TEX 5120",OR(E1213="IN",E1213="C",E1213="Z",E1213="L"),J1213=4),VLOOKUP(_xlfn.MINIFS('FIRE TEX 5120'!$H$4:$H$40,'FIRE TEX 5120'!$H$4:$H$40,"&gt;="&amp;M1213),'FIRE TEX 5120'!$H$4:$M$40,IF(L1213="F-15",2,IF(L1213="F-30",3,IF(L1213="F-60",4,IF(L1213="F-90",5,IF(L1213="F-120",6,0))))),0),0)+IF(AND(O1213="FIRE TEX 5120",E1213="CJ"),VLOOKUP(_xlfn.MINIFS('FIRE TEX 5120'!$O$5:$O$40,'FIRE TEX 5120'!$O$5:$O$40,"&gt;="&amp;M1213),'FIRE TEX 5120'!$O$5:$T$40,IF(L1213="F-15",2,IF(L1213="F-30",3,IF(L1213="F-60",4,IF(L1213="F-90",5,IF(L1213="F-120",6,0))))),0),0)</f>
        <v>0</v>
      </c>
      <c r="Q1213" s="46">
        <f t="shared" si="114"/>
        <v>0</v>
      </c>
      <c r="R1213" s="46">
        <f t="shared" si="115"/>
        <v>0</v>
      </c>
      <c r="S1213" s="46" t="e">
        <f t="shared" si="116"/>
        <v>#VALUE!</v>
      </c>
      <c r="T1213" s="677">
        <f t="shared" si="117"/>
        <v>0</v>
      </c>
      <c r="U1213" s="80">
        <f>(IF(O1213="Stofire",(S1213*#REF!),0))+(IF(O1213="Fire Control",(S1213*$U$2),0))+(IF(O1213="Fire Tex",(S1213*$U$3),0))+(IF(O1213="WB7",(S1213*#REF!),0)+(IF(O1213="FX 2003",(S1213*$U$5),0)))</f>
        <v>0</v>
      </c>
      <c r="V1213" s="651">
        <f t="shared" si="118"/>
        <v>0</v>
      </c>
    </row>
    <row r="1214" spans="4:22" x14ac:dyDescent="0.25">
      <c r="D1214" s="118">
        <f>+CUBICACION!D1213</f>
        <v>0</v>
      </c>
      <c r="E1214" s="118">
        <f>+CUBICACION!F1213</f>
        <v>0</v>
      </c>
      <c r="F1214" s="118">
        <f>+CUBICACION!E1213</f>
        <v>0</v>
      </c>
      <c r="G1214" s="118">
        <v>12</v>
      </c>
      <c r="H1214" s="118">
        <v>2</v>
      </c>
      <c r="I1214" s="820">
        <v>26385</v>
      </c>
      <c r="J1214" s="118">
        <f>+CUBICACION!J1213</f>
        <v>0</v>
      </c>
      <c r="K1214" s="118">
        <v>3993</v>
      </c>
      <c r="L1214" s="118">
        <f>+CUBICACION!L1213</f>
        <v>0</v>
      </c>
      <c r="M1214" s="64">
        <f>+CUBICACION!M1213</f>
        <v>0</v>
      </c>
      <c r="N1214" s="824" t="str">
        <f>+CUBICACION!N1213</f>
        <v/>
      </c>
      <c r="O1214" s="675">
        <f>+CUBICACION!O1213</f>
        <v>0</v>
      </c>
      <c r="P1214" s="15">
        <f>IF(O1214="Fire Control",VLOOKUP(_xlfn.MINIFS('FIRE CONTROL'!$C$4:$C$37,'FIRE CONTROL'!$C$4:$C$37,"&gt;="&amp;M1214),'FIRE CONTROL'!$C$4:$G$37,IF(L1214="F-15",2,IF(L1214="F-30",3,IF(L1214="F-60",4,IF(L1214="F-90",5,0)))),0),0)+IF(AND(O1214="FIRE TEX 5062",OR(E1214="IN",E1214="C",E1214="Z",E1214="L"),J1214=3),VLOOKUP(_xlfn.MINIFS('FIRE TEX 5062'!$B$4:$B$34,'FIRE TEX 5062'!$B$4:$B$34,"&gt;="&amp;M1214),'FIRE TEX 5062'!$B$4:$F$34,IF(L1214="F-15",2,IF(L1214="F-30",3,IF(L1214="F-60",4,IF(L1214="F-90",5,0)))),0),0)+IF(AND(O1214="FIRE TEX 5062",OR(E1214="IN",E1214="C",E1214="Z",E1214="L"),J1214=4),VLOOKUP(_xlfn.MINIFS('FIRE TEX 5062'!$G$4:$G$34,'FIRE TEX 5062'!$G$4:$G$34,"&gt;="&amp;M1214),'FIRE TEX 5062'!$G$4:$K$34,IF(L1214="F-15",2,IF(L1214="F-30",3,IF(L1214="F-60",4,IF(L1214="F-90",5,0)))),0),0)+IF(AND(O1214="FIRE TEX 5062",E1214="CJ",J1214=3),VLOOKUP(_xlfn.MINIFS('FIRE TEX 5062'!$L$4:$L$34,'FIRE TEX 5062'!$L$4:$L$34,"&gt;="&amp;M1214),'FIRE TEX 5062'!$L$4:$P$34,IF(L1214="F-15",2,IF(L1214="F-30",3,IF(L1214="F-60",4,IF(L1214="F-90",5,0)))),0),0)+IF(AND(O1214="FIRE TEX 5062",E1214="CJ",J1214=4),VLOOKUP(_xlfn.MINIFS('FIRE TEX 5062'!$Q$3:$Q$34,'FIRE TEX 5062'!$Q$3:$Q$34,"&gt;="&amp;M1214),'FIRE TEX 5062'!$Q$3:$U$34,IF(L1214="F-15",2,IF(L1214="F-30",3,IF(L1214="F-60",4,IF(L1214="F-90",5,0)))),0),0)+IF(AND(O1214="FIRE TEX 5090",OR(E1214="IN",E1214="C",E1214="Z",E1214="L"),J1214=3),VLOOKUP(_xlfn.MINIFS('FIRE TEX 5090'!$B$5:$B$43,'FIRE TEX 5090'!$B$5:$B$43,"&gt;="&amp;M1214),'FIRE TEX 5090'!$B$5:$H$43,IF(L1214="F-15",2,IF(L1214="F-30",3,IF(L1214="F-60",4,IF(L1214="F-90",5,IF(L1214="F-120",6,IF(L1214="F-150",7,0)))))),0),0)+IF(AND(O1214="FIRE TEX 5090",OR(E1214="IN",E1214="C",E1214="Z",E1214="L"),J1214=4),VLOOKUP(_xlfn.MINIFS('FIRE TEX 5090'!$J$5:$J$43,'FIRE TEX 5090'!$J$5:$J$43,"&gt;="&amp;M1214),'FIRE TEX 5090'!$J$5:$P$43,IF(L1214="F-15",2,IF(L1214="F-30",3,IF(L1214="F-60",4,IF(L1214="F-90",5,IF(L1214="F-120",6,IF(L1214="F-150",7,0)))))),0),0)+IF(AND(O1214="FIRE TEX 5090",E1214="CJ",J1214=3),VLOOKUP(_xlfn.MINIFS('FIRE TEX 5090'!$R$5:$R$30,'FIRE TEX 5090'!$R$5:$R$30,"&gt;="&amp;M1214),'FIRE TEX 5090'!$R$5:$W$30,IF(L1214="F-15",2,IF(L1214="F-30",3,IF(L1214="F-60",4,IF(L1214="F-90",5,IF(L1214="F-120",6,IF(L1214="F-150",7,0)))))),0),0)+IF(AND(O1214="FIRE TEX 5090",E1214="CJ",J1214=4),VLOOKUP(_xlfn.MINIFS('FIRE TEX 5090'!$Y$5:$Y$39,'FIRE TEX 5090'!$Y$5:$Y$39,"&gt;="&amp;M1214),'FIRE TEX 5090'!$Y$5:$AD$39,IF(L1214="F-15",2,IF(L1214="F-30",3,IF(L1214="F-60",4,IF(L1214="F-90",5,IF(L1214="F-120",6,IF(L1214="F-150",7,0)))))),0),0)+IF(AND(O1214="FIRE TEX 5120",OR(E1214="IN",E1214="C",E1214="Z",E1214="L"),J1214=3),VLOOKUP(_xlfn.MINIFS('FIRE TEX 5120'!$B$5:$B$40,'FIRE TEX 5120'!$B$5:$B$40,"&gt;="&amp;M1214),'FIRE TEX 5120'!$B$5:$G$40,IF(L1214="F-15",2,IF(L1214="F-30",3,IF(L1214="F-60",4,IF(L1214="F-90",5,IF(L1214="F-120",6,0))))),0),0)+IF(AND(O1214="FIRE TEX 5120",OR(E1214="IN",E1214="C",E1214="Z",E1214="L"),J1214=4),VLOOKUP(_xlfn.MINIFS('FIRE TEX 5120'!$H$4:$H$40,'FIRE TEX 5120'!$H$4:$H$40,"&gt;="&amp;M1214),'FIRE TEX 5120'!$H$4:$M$40,IF(L1214="F-15",2,IF(L1214="F-30",3,IF(L1214="F-60",4,IF(L1214="F-90",5,IF(L1214="F-120",6,0))))),0),0)+IF(AND(O1214="FIRE TEX 5120",E1214="CJ"),VLOOKUP(_xlfn.MINIFS('FIRE TEX 5120'!$O$5:$O$40,'FIRE TEX 5120'!$O$5:$O$40,"&gt;="&amp;M1214),'FIRE TEX 5120'!$O$5:$T$40,IF(L1214="F-15",2,IF(L1214="F-30",3,IF(L1214="F-60",4,IF(L1214="F-90",5,IF(L1214="F-120",6,0))))),0),0)</f>
        <v>0</v>
      </c>
      <c r="Q1214" s="46">
        <f t="shared" si="114"/>
        <v>0</v>
      </c>
      <c r="R1214" s="46">
        <f t="shared" si="115"/>
        <v>0</v>
      </c>
      <c r="S1214" s="46" t="e">
        <f t="shared" si="116"/>
        <v>#VALUE!</v>
      </c>
      <c r="T1214" s="677">
        <f t="shared" si="117"/>
        <v>0</v>
      </c>
      <c r="U1214" s="80">
        <f>(IF(O1214="Stofire",(S1214*#REF!),0))+(IF(O1214="Fire Control",(S1214*$U$2),0))+(IF(O1214="Fire Tex",(S1214*$U$3),0))+(IF(O1214="WB7",(S1214*#REF!),0)+(IF(O1214="FX 2003",(S1214*$U$5),0)))</f>
        <v>0</v>
      </c>
      <c r="V1214" s="651">
        <f t="shared" si="118"/>
        <v>0</v>
      </c>
    </row>
    <row r="1215" spans="4:22" x14ac:dyDescent="0.25">
      <c r="D1215" s="118">
        <f>+CUBICACION!D1214</f>
        <v>0</v>
      </c>
      <c r="E1215" s="118">
        <f>+CUBICACION!F1214</f>
        <v>0</v>
      </c>
      <c r="F1215" s="118">
        <f>+CUBICACION!E1214</f>
        <v>0</v>
      </c>
      <c r="G1215" s="118">
        <v>12</v>
      </c>
      <c r="H1215" s="118">
        <v>2</v>
      </c>
      <c r="I1215" s="820">
        <v>26385</v>
      </c>
      <c r="J1215" s="118">
        <f>+CUBICACION!J1214</f>
        <v>0</v>
      </c>
      <c r="K1215" s="118">
        <v>3994</v>
      </c>
      <c r="L1215" s="118">
        <f>+CUBICACION!L1214</f>
        <v>0</v>
      </c>
      <c r="M1215" s="64">
        <f>+CUBICACION!M1214</f>
        <v>0</v>
      </c>
      <c r="N1215" s="824" t="str">
        <f>+CUBICACION!N1214</f>
        <v/>
      </c>
      <c r="O1215" s="675">
        <f>+CUBICACION!O1214</f>
        <v>0</v>
      </c>
      <c r="P1215" s="15">
        <f>IF(O1215="Fire Control",VLOOKUP(_xlfn.MINIFS('FIRE CONTROL'!$C$4:$C$37,'FIRE CONTROL'!$C$4:$C$37,"&gt;="&amp;M1215),'FIRE CONTROL'!$C$4:$G$37,IF(L1215="F-15",2,IF(L1215="F-30",3,IF(L1215="F-60",4,IF(L1215="F-90",5,0)))),0),0)+IF(AND(O1215="FIRE TEX 5062",OR(E1215="IN",E1215="C",E1215="Z",E1215="L"),J1215=3),VLOOKUP(_xlfn.MINIFS('FIRE TEX 5062'!$B$4:$B$34,'FIRE TEX 5062'!$B$4:$B$34,"&gt;="&amp;M1215),'FIRE TEX 5062'!$B$4:$F$34,IF(L1215="F-15",2,IF(L1215="F-30",3,IF(L1215="F-60",4,IF(L1215="F-90",5,0)))),0),0)+IF(AND(O1215="FIRE TEX 5062",OR(E1215="IN",E1215="C",E1215="Z",E1215="L"),J1215=4),VLOOKUP(_xlfn.MINIFS('FIRE TEX 5062'!$G$4:$G$34,'FIRE TEX 5062'!$G$4:$G$34,"&gt;="&amp;M1215),'FIRE TEX 5062'!$G$4:$K$34,IF(L1215="F-15",2,IF(L1215="F-30",3,IF(L1215="F-60",4,IF(L1215="F-90",5,0)))),0),0)+IF(AND(O1215="FIRE TEX 5062",E1215="CJ",J1215=3),VLOOKUP(_xlfn.MINIFS('FIRE TEX 5062'!$L$4:$L$34,'FIRE TEX 5062'!$L$4:$L$34,"&gt;="&amp;M1215),'FIRE TEX 5062'!$L$4:$P$34,IF(L1215="F-15",2,IF(L1215="F-30",3,IF(L1215="F-60",4,IF(L1215="F-90",5,0)))),0),0)+IF(AND(O1215="FIRE TEX 5062",E1215="CJ",J1215=4),VLOOKUP(_xlfn.MINIFS('FIRE TEX 5062'!$Q$3:$Q$34,'FIRE TEX 5062'!$Q$3:$Q$34,"&gt;="&amp;M1215),'FIRE TEX 5062'!$Q$3:$U$34,IF(L1215="F-15",2,IF(L1215="F-30",3,IF(L1215="F-60",4,IF(L1215="F-90",5,0)))),0),0)+IF(AND(O1215="FIRE TEX 5090",OR(E1215="IN",E1215="C",E1215="Z",E1215="L"),J1215=3),VLOOKUP(_xlfn.MINIFS('FIRE TEX 5090'!$B$5:$B$43,'FIRE TEX 5090'!$B$5:$B$43,"&gt;="&amp;M1215),'FIRE TEX 5090'!$B$5:$H$43,IF(L1215="F-15",2,IF(L1215="F-30",3,IF(L1215="F-60",4,IF(L1215="F-90",5,IF(L1215="F-120",6,IF(L1215="F-150",7,0)))))),0),0)+IF(AND(O1215="FIRE TEX 5090",OR(E1215="IN",E1215="C",E1215="Z",E1215="L"),J1215=4),VLOOKUP(_xlfn.MINIFS('FIRE TEX 5090'!$J$5:$J$43,'FIRE TEX 5090'!$J$5:$J$43,"&gt;="&amp;M1215),'FIRE TEX 5090'!$J$5:$P$43,IF(L1215="F-15",2,IF(L1215="F-30",3,IF(L1215="F-60",4,IF(L1215="F-90",5,IF(L1215="F-120",6,IF(L1215="F-150",7,0)))))),0),0)+IF(AND(O1215="FIRE TEX 5090",E1215="CJ",J1215=3),VLOOKUP(_xlfn.MINIFS('FIRE TEX 5090'!$R$5:$R$30,'FIRE TEX 5090'!$R$5:$R$30,"&gt;="&amp;M1215),'FIRE TEX 5090'!$R$5:$W$30,IF(L1215="F-15",2,IF(L1215="F-30",3,IF(L1215="F-60",4,IF(L1215="F-90",5,IF(L1215="F-120",6,IF(L1215="F-150",7,0)))))),0),0)+IF(AND(O1215="FIRE TEX 5090",E1215="CJ",J1215=4),VLOOKUP(_xlfn.MINIFS('FIRE TEX 5090'!$Y$5:$Y$39,'FIRE TEX 5090'!$Y$5:$Y$39,"&gt;="&amp;M1215),'FIRE TEX 5090'!$Y$5:$AD$39,IF(L1215="F-15",2,IF(L1215="F-30",3,IF(L1215="F-60",4,IF(L1215="F-90",5,IF(L1215="F-120",6,IF(L1215="F-150",7,0)))))),0),0)+IF(AND(O1215="FIRE TEX 5120",OR(E1215="IN",E1215="C",E1215="Z",E1215="L"),J1215=3),VLOOKUP(_xlfn.MINIFS('FIRE TEX 5120'!$B$5:$B$40,'FIRE TEX 5120'!$B$5:$B$40,"&gt;="&amp;M1215),'FIRE TEX 5120'!$B$5:$G$40,IF(L1215="F-15",2,IF(L1215="F-30",3,IF(L1215="F-60",4,IF(L1215="F-90",5,IF(L1215="F-120",6,0))))),0),0)+IF(AND(O1215="FIRE TEX 5120",OR(E1215="IN",E1215="C",E1215="Z",E1215="L"),J1215=4),VLOOKUP(_xlfn.MINIFS('FIRE TEX 5120'!$H$4:$H$40,'FIRE TEX 5120'!$H$4:$H$40,"&gt;="&amp;M1215),'FIRE TEX 5120'!$H$4:$M$40,IF(L1215="F-15",2,IF(L1215="F-30",3,IF(L1215="F-60",4,IF(L1215="F-90",5,IF(L1215="F-120",6,0))))),0),0)+IF(AND(O1215="FIRE TEX 5120",E1215="CJ"),VLOOKUP(_xlfn.MINIFS('FIRE TEX 5120'!$O$5:$O$40,'FIRE TEX 5120'!$O$5:$O$40,"&gt;="&amp;M1215),'FIRE TEX 5120'!$O$5:$T$40,IF(L1215="F-15",2,IF(L1215="F-30",3,IF(L1215="F-60",4,IF(L1215="F-90",5,IF(L1215="F-120",6,0))))),0),0)</f>
        <v>0</v>
      </c>
      <c r="Q1215" s="46">
        <f t="shared" si="114"/>
        <v>0</v>
      </c>
      <c r="R1215" s="46">
        <f t="shared" si="115"/>
        <v>0</v>
      </c>
      <c r="S1215" s="46" t="e">
        <f t="shared" si="116"/>
        <v>#VALUE!</v>
      </c>
      <c r="T1215" s="677">
        <f t="shared" si="117"/>
        <v>0</v>
      </c>
      <c r="U1215" s="80">
        <f>(IF(O1215="Stofire",(S1215*#REF!),0))+(IF(O1215="Fire Control",(S1215*$U$2),0))+(IF(O1215="Fire Tex",(S1215*$U$3),0))+(IF(O1215="WB7",(S1215*#REF!),0)+(IF(O1215="FX 2003",(S1215*$U$5),0)))</f>
        <v>0</v>
      </c>
      <c r="V1215" s="651">
        <f t="shared" si="118"/>
        <v>0</v>
      </c>
    </row>
    <row r="1216" spans="4:22" x14ac:dyDescent="0.25">
      <c r="D1216" s="118">
        <f>+CUBICACION!D1215</f>
        <v>0</v>
      </c>
      <c r="E1216" s="118">
        <f>+CUBICACION!F1215</f>
        <v>0</v>
      </c>
      <c r="F1216" s="118">
        <f>+CUBICACION!E1215</f>
        <v>0</v>
      </c>
      <c r="G1216" s="118">
        <v>12</v>
      </c>
      <c r="H1216" s="118">
        <v>2</v>
      </c>
      <c r="I1216" s="820">
        <v>26385</v>
      </c>
      <c r="J1216" s="118">
        <f>+CUBICACION!J1215</f>
        <v>0</v>
      </c>
      <c r="K1216" s="118">
        <v>3995</v>
      </c>
      <c r="L1216" s="118">
        <f>+CUBICACION!L1215</f>
        <v>0</v>
      </c>
      <c r="M1216" s="64">
        <f>+CUBICACION!M1215</f>
        <v>0</v>
      </c>
      <c r="N1216" s="824" t="str">
        <f>+CUBICACION!N1215</f>
        <v/>
      </c>
      <c r="O1216" s="675">
        <f>+CUBICACION!O1215</f>
        <v>0</v>
      </c>
      <c r="P1216" s="15">
        <f>IF(O1216="Fire Control",VLOOKUP(_xlfn.MINIFS('FIRE CONTROL'!$C$4:$C$37,'FIRE CONTROL'!$C$4:$C$37,"&gt;="&amp;M1216),'FIRE CONTROL'!$C$4:$G$37,IF(L1216="F-15",2,IF(L1216="F-30",3,IF(L1216="F-60",4,IF(L1216="F-90",5,0)))),0),0)+IF(AND(O1216="FIRE TEX 5062",OR(E1216="IN",E1216="C",E1216="Z",E1216="L"),J1216=3),VLOOKUP(_xlfn.MINIFS('FIRE TEX 5062'!$B$4:$B$34,'FIRE TEX 5062'!$B$4:$B$34,"&gt;="&amp;M1216),'FIRE TEX 5062'!$B$4:$F$34,IF(L1216="F-15",2,IF(L1216="F-30",3,IF(L1216="F-60",4,IF(L1216="F-90",5,0)))),0),0)+IF(AND(O1216="FIRE TEX 5062",OR(E1216="IN",E1216="C",E1216="Z",E1216="L"),J1216=4),VLOOKUP(_xlfn.MINIFS('FIRE TEX 5062'!$G$4:$G$34,'FIRE TEX 5062'!$G$4:$G$34,"&gt;="&amp;M1216),'FIRE TEX 5062'!$G$4:$K$34,IF(L1216="F-15",2,IF(L1216="F-30",3,IF(L1216="F-60",4,IF(L1216="F-90",5,0)))),0),0)+IF(AND(O1216="FIRE TEX 5062",E1216="CJ",J1216=3),VLOOKUP(_xlfn.MINIFS('FIRE TEX 5062'!$L$4:$L$34,'FIRE TEX 5062'!$L$4:$L$34,"&gt;="&amp;M1216),'FIRE TEX 5062'!$L$4:$P$34,IF(L1216="F-15",2,IF(L1216="F-30",3,IF(L1216="F-60",4,IF(L1216="F-90",5,0)))),0),0)+IF(AND(O1216="FIRE TEX 5062",E1216="CJ",J1216=4),VLOOKUP(_xlfn.MINIFS('FIRE TEX 5062'!$Q$3:$Q$34,'FIRE TEX 5062'!$Q$3:$Q$34,"&gt;="&amp;M1216),'FIRE TEX 5062'!$Q$3:$U$34,IF(L1216="F-15",2,IF(L1216="F-30",3,IF(L1216="F-60",4,IF(L1216="F-90",5,0)))),0),0)+IF(AND(O1216="FIRE TEX 5090",OR(E1216="IN",E1216="C",E1216="Z",E1216="L"),J1216=3),VLOOKUP(_xlfn.MINIFS('FIRE TEX 5090'!$B$5:$B$43,'FIRE TEX 5090'!$B$5:$B$43,"&gt;="&amp;M1216),'FIRE TEX 5090'!$B$5:$H$43,IF(L1216="F-15",2,IF(L1216="F-30",3,IF(L1216="F-60",4,IF(L1216="F-90",5,IF(L1216="F-120",6,IF(L1216="F-150",7,0)))))),0),0)+IF(AND(O1216="FIRE TEX 5090",OR(E1216="IN",E1216="C",E1216="Z",E1216="L"),J1216=4),VLOOKUP(_xlfn.MINIFS('FIRE TEX 5090'!$J$5:$J$43,'FIRE TEX 5090'!$J$5:$J$43,"&gt;="&amp;M1216),'FIRE TEX 5090'!$J$5:$P$43,IF(L1216="F-15",2,IF(L1216="F-30",3,IF(L1216="F-60",4,IF(L1216="F-90",5,IF(L1216="F-120",6,IF(L1216="F-150",7,0)))))),0),0)+IF(AND(O1216="FIRE TEX 5090",E1216="CJ",J1216=3),VLOOKUP(_xlfn.MINIFS('FIRE TEX 5090'!$R$5:$R$30,'FIRE TEX 5090'!$R$5:$R$30,"&gt;="&amp;M1216),'FIRE TEX 5090'!$R$5:$W$30,IF(L1216="F-15",2,IF(L1216="F-30",3,IF(L1216="F-60",4,IF(L1216="F-90",5,IF(L1216="F-120",6,IF(L1216="F-150",7,0)))))),0),0)+IF(AND(O1216="FIRE TEX 5090",E1216="CJ",J1216=4),VLOOKUP(_xlfn.MINIFS('FIRE TEX 5090'!$Y$5:$Y$39,'FIRE TEX 5090'!$Y$5:$Y$39,"&gt;="&amp;M1216),'FIRE TEX 5090'!$Y$5:$AD$39,IF(L1216="F-15",2,IF(L1216="F-30",3,IF(L1216="F-60",4,IF(L1216="F-90",5,IF(L1216="F-120",6,IF(L1216="F-150",7,0)))))),0),0)+IF(AND(O1216="FIRE TEX 5120",OR(E1216="IN",E1216="C",E1216="Z",E1216="L"),J1216=3),VLOOKUP(_xlfn.MINIFS('FIRE TEX 5120'!$B$5:$B$40,'FIRE TEX 5120'!$B$5:$B$40,"&gt;="&amp;M1216),'FIRE TEX 5120'!$B$5:$G$40,IF(L1216="F-15",2,IF(L1216="F-30",3,IF(L1216="F-60",4,IF(L1216="F-90",5,IF(L1216="F-120",6,0))))),0),0)+IF(AND(O1216="FIRE TEX 5120",OR(E1216="IN",E1216="C",E1216="Z",E1216="L"),J1216=4),VLOOKUP(_xlfn.MINIFS('FIRE TEX 5120'!$H$4:$H$40,'FIRE TEX 5120'!$H$4:$H$40,"&gt;="&amp;M1216),'FIRE TEX 5120'!$H$4:$M$40,IF(L1216="F-15",2,IF(L1216="F-30",3,IF(L1216="F-60",4,IF(L1216="F-90",5,IF(L1216="F-120",6,0))))),0),0)+IF(AND(O1216="FIRE TEX 5120",E1216="CJ"),VLOOKUP(_xlfn.MINIFS('FIRE TEX 5120'!$O$5:$O$40,'FIRE TEX 5120'!$O$5:$O$40,"&gt;="&amp;M1216),'FIRE TEX 5120'!$O$5:$T$40,IF(L1216="F-15",2,IF(L1216="F-30",3,IF(L1216="F-60",4,IF(L1216="F-90",5,IF(L1216="F-120",6,0))))),0),0)</f>
        <v>0</v>
      </c>
      <c r="Q1216" s="46">
        <f t="shared" si="114"/>
        <v>0</v>
      </c>
      <c r="R1216" s="46">
        <f t="shared" si="115"/>
        <v>0</v>
      </c>
      <c r="S1216" s="46" t="e">
        <f t="shared" si="116"/>
        <v>#VALUE!</v>
      </c>
      <c r="T1216" s="677">
        <f t="shared" si="117"/>
        <v>0</v>
      </c>
      <c r="U1216" s="80">
        <f>(IF(O1216="Stofire",(S1216*#REF!),0))+(IF(O1216="Fire Control",(S1216*$U$2),0))+(IF(O1216="Fire Tex",(S1216*$U$3),0))+(IF(O1216="WB7",(S1216*#REF!),0)+(IF(O1216="FX 2003",(S1216*$U$5),0)))</f>
        <v>0</v>
      </c>
      <c r="V1216" s="651">
        <f t="shared" si="118"/>
        <v>0</v>
      </c>
    </row>
    <row r="1217" spans="4:22" x14ac:dyDescent="0.25">
      <c r="D1217" s="118">
        <f>+CUBICACION!D1216</f>
        <v>0</v>
      </c>
      <c r="E1217" s="118">
        <f>+CUBICACION!F1216</f>
        <v>0</v>
      </c>
      <c r="F1217" s="118">
        <f>+CUBICACION!E1216</f>
        <v>0</v>
      </c>
      <c r="G1217" s="118">
        <v>12</v>
      </c>
      <c r="H1217" s="118">
        <v>2</v>
      </c>
      <c r="I1217" s="820">
        <v>26385</v>
      </c>
      <c r="J1217" s="118">
        <f>+CUBICACION!J1216</f>
        <v>0</v>
      </c>
      <c r="K1217" s="118">
        <v>3996</v>
      </c>
      <c r="L1217" s="118">
        <f>+CUBICACION!L1216</f>
        <v>0</v>
      </c>
      <c r="M1217" s="64">
        <f>+CUBICACION!M1216</f>
        <v>0</v>
      </c>
      <c r="N1217" s="824" t="str">
        <f>+CUBICACION!N1216</f>
        <v/>
      </c>
      <c r="O1217" s="675">
        <f>+CUBICACION!O1216</f>
        <v>0</v>
      </c>
      <c r="P1217" s="15">
        <f>IF(O1217="Fire Control",VLOOKUP(_xlfn.MINIFS('FIRE CONTROL'!$C$4:$C$37,'FIRE CONTROL'!$C$4:$C$37,"&gt;="&amp;M1217),'FIRE CONTROL'!$C$4:$G$37,IF(L1217="F-15",2,IF(L1217="F-30",3,IF(L1217="F-60",4,IF(L1217="F-90",5,0)))),0),0)+IF(AND(O1217="FIRE TEX 5062",OR(E1217="IN",E1217="C",E1217="Z",E1217="L"),J1217=3),VLOOKUP(_xlfn.MINIFS('FIRE TEX 5062'!$B$4:$B$34,'FIRE TEX 5062'!$B$4:$B$34,"&gt;="&amp;M1217),'FIRE TEX 5062'!$B$4:$F$34,IF(L1217="F-15",2,IF(L1217="F-30",3,IF(L1217="F-60",4,IF(L1217="F-90",5,0)))),0),0)+IF(AND(O1217="FIRE TEX 5062",OR(E1217="IN",E1217="C",E1217="Z",E1217="L"),J1217=4),VLOOKUP(_xlfn.MINIFS('FIRE TEX 5062'!$G$4:$G$34,'FIRE TEX 5062'!$G$4:$G$34,"&gt;="&amp;M1217),'FIRE TEX 5062'!$G$4:$K$34,IF(L1217="F-15",2,IF(L1217="F-30",3,IF(L1217="F-60",4,IF(L1217="F-90",5,0)))),0),0)+IF(AND(O1217="FIRE TEX 5062",E1217="CJ",J1217=3),VLOOKUP(_xlfn.MINIFS('FIRE TEX 5062'!$L$4:$L$34,'FIRE TEX 5062'!$L$4:$L$34,"&gt;="&amp;M1217),'FIRE TEX 5062'!$L$4:$P$34,IF(L1217="F-15",2,IF(L1217="F-30",3,IF(L1217="F-60",4,IF(L1217="F-90",5,0)))),0),0)+IF(AND(O1217="FIRE TEX 5062",E1217="CJ",J1217=4),VLOOKUP(_xlfn.MINIFS('FIRE TEX 5062'!$Q$3:$Q$34,'FIRE TEX 5062'!$Q$3:$Q$34,"&gt;="&amp;M1217),'FIRE TEX 5062'!$Q$3:$U$34,IF(L1217="F-15",2,IF(L1217="F-30",3,IF(L1217="F-60",4,IF(L1217="F-90",5,0)))),0),0)+IF(AND(O1217="FIRE TEX 5090",OR(E1217="IN",E1217="C",E1217="Z",E1217="L"),J1217=3),VLOOKUP(_xlfn.MINIFS('FIRE TEX 5090'!$B$5:$B$43,'FIRE TEX 5090'!$B$5:$B$43,"&gt;="&amp;M1217),'FIRE TEX 5090'!$B$5:$H$43,IF(L1217="F-15",2,IF(L1217="F-30",3,IF(L1217="F-60",4,IF(L1217="F-90",5,IF(L1217="F-120",6,IF(L1217="F-150",7,0)))))),0),0)+IF(AND(O1217="FIRE TEX 5090",OR(E1217="IN",E1217="C",E1217="Z",E1217="L"),J1217=4),VLOOKUP(_xlfn.MINIFS('FIRE TEX 5090'!$J$5:$J$43,'FIRE TEX 5090'!$J$5:$J$43,"&gt;="&amp;M1217),'FIRE TEX 5090'!$J$5:$P$43,IF(L1217="F-15",2,IF(L1217="F-30",3,IF(L1217="F-60",4,IF(L1217="F-90",5,IF(L1217="F-120",6,IF(L1217="F-150",7,0)))))),0),0)+IF(AND(O1217="FIRE TEX 5090",E1217="CJ",J1217=3),VLOOKUP(_xlfn.MINIFS('FIRE TEX 5090'!$R$5:$R$30,'FIRE TEX 5090'!$R$5:$R$30,"&gt;="&amp;M1217),'FIRE TEX 5090'!$R$5:$W$30,IF(L1217="F-15",2,IF(L1217="F-30",3,IF(L1217="F-60",4,IF(L1217="F-90",5,IF(L1217="F-120",6,IF(L1217="F-150",7,0)))))),0),0)+IF(AND(O1217="FIRE TEX 5090",E1217="CJ",J1217=4),VLOOKUP(_xlfn.MINIFS('FIRE TEX 5090'!$Y$5:$Y$39,'FIRE TEX 5090'!$Y$5:$Y$39,"&gt;="&amp;M1217),'FIRE TEX 5090'!$Y$5:$AD$39,IF(L1217="F-15",2,IF(L1217="F-30",3,IF(L1217="F-60",4,IF(L1217="F-90",5,IF(L1217="F-120",6,IF(L1217="F-150",7,0)))))),0),0)+IF(AND(O1217="FIRE TEX 5120",OR(E1217="IN",E1217="C",E1217="Z",E1217="L"),J1217=3),VLOOKUP(_xlfn.MINIFS('FIRE TEX 5120'!$B$5:$B$40,'FIRE TEX 5120'!$B$5:$B$40,"&gt;="&amp;M1217),'FIRE TEX 5120'!$B$5:$G$40,IF(L1217="F-15",2,IF(L1217="F-30",3,IF(L1217="F-60",4,IF(L1217="F-90",5,IF(L1217="F-120",6,0))))),0),0)+IF(AND(O1217="FIRE TEX 5120",OR(E1217="IN",E1217="C",E1217="Z",E1217="L"),J1217=4),VLOOKUP(_xlfn.MINIFS('FIRE TEX 5120'!$H$4:$H$40,'FIRE TEX 5120'!$H$4:$H$40,"&gt;="&amp;M1217),'FIRE TEX 5120'!$H$4:$M$40,IF(L1217="F-15",2,IF(L1217="F-30",3,IF(L1217="F-60",4,IF(L1217="F-90",5,IF(L1217="F-120",6,0))))),0),0)+IF(AND(O1217="FIRE TEX 5120",E1217="CJ"),VLOOKUP(_xlfn.MINIFS('FIRE TEX 5120'!$O$5:$O$40,'FIRE TEX 5120'!$O$5:$O$40,"&gt;="&amp;M1217),'FIRE TEX 5120'!$O$5:$T$40,IF(L1217="F-15",2,IF(L1217="F-30",3,IF(L1217="F-60",4,IF(L1217="F-90",5,IF(L1217="F-120",6,0))))),0),0)</f>
        <v>0</v>
      </c>
      <c r="Q1217" s="46">
        <f t="shared" si="114"/>
        <v>0</v>
      </c>
      <c r="R1217" s="46">
        <f t="shared" si="115"/>
        <v>0</v>
      </c>
      <c r="S1217" s="46" t="e">
        <f t="shared" si="116"/>
        <v>#VALUE!</v>
      </c>
      <c r="T1217" s="677">
        <f t="shared" si="117"/>
        <v>0</v>
      </c>
      <c r="U1217" s="80">
        <f>(IF(O1217="Stofire",(S1217*#REF!),0))+(IF(O1217="Fire Control",(S1217*$U$2),0))+(IF(O1217="Fire Tex",(S1217*$U$3),0))+(IF(O1217="WB7",(S1217*#REF!),0)+(IF(O1217="FX 2003",(S1217*$U$5),0)))</f>
        <v>0</v>
      </c>
      <c r="V1217" s="651">
        <f t="shared" si="118"/>
        <v>0</v>
      </c>
    </row>
    <row r="1218" spans="4:22" x14ac:dyDescent="0.25">
      <c r="D1218" s="118">
        <f>+CUBICACION!D1217</f>
        <v>0</v>
      </c>
      <c r="E1218" s="118">
        <f>+CUBICACION!F1217</f>
        <v>0</v>
      </c>
      <c r="F1218" s="118">
        <f>+CUBICACION!E1217</f>
        <v>0</v>
      </c>
      <c r="G1218" s="118">
        <v>12</v>
      </c>
      <c r="H1218" s="118">
        <v>2</v>
      </c>
      <c r="I1218" s="820">
        <v>26385</v>
      </c>
      <c r="J1218" s="118">
        <f>+CUBICACION!J1217</f>
        <v>0</v>
      </c>
      <c r="K1218" s="118">
        <v>3997</v>
      </c>
      <c r="L1218" s="118">
        <f>+CUBICACION!L1217</f>
        <v>0</v>
      </c>
      <c r="M1218" s="64">
        <f>+CUBICACION!M1217</f>
        <v>0</v>
      </c>
      <c r="N1218" s="824" t="str">
        <f>+CUBICACION!N1217</f>
        <v/>
      </c>
      <c r="O1218" s="675">
        <f>+CUBICACION!O1217</f>
        <v>0</v>
      </c>
      <c r="P1218" s="15">
        <f>IF(O1218="Fire Control",VLOOKUP(_xlfn.MINIFS('FIRE CONTROL'!$C$4:$C$37,'FIRE CONTROL'!$C$4:$C$37,"&gt;="&amp;M1218),'FIRE CONTROL'!$C$4:$G$37,IF(L1218="F-15",2,IF(L1218="F-30",3,IF(L1218="F-60",4,IF(L1218="F-90",5,0)))),0),0)+IF(AND(O1218="FIRE TEX 5062",OR(E1218="IN",E1218="C",E1218="Z",E1218="L"),J1218=3),VLOOKUP(_xlfn.MINIFS('FIRE TEX 5062'!$B$4:$B$34,'FIRE TEX 5062'!$B$4:$B$34,"&gt;="&amp;M1218),'FIRE TEX 5062'!$B$4:$F$34,IF(L1218="F-15",2,IF(L1218="F-30",3,IF(L1218="F-60",4,IF(L1218="F-90",5,0)))),0),0)+IF(AND(O1218="FIRE TEX 5062",OR(E1218="IN",E1218="C",E1218="Z",E1218="L"),J1218=4),VLOOKUP(_xlfn.MINIFS('FIRE TEX 5062'!$G$4:$G$34,'FIRE TEX 5062'!$G$4:$G$34,"&gt;="&amp;M1218),'FIRE TEX 5062'!$G$4:$K$34,IF(L1218="F-15",2,IF(L1218="F-30",3,IF(L1218="F-60",4,IF(L1218="F-90",5,0)))),0),0)+IF(AND(O1218="FIRE TEX 5062",E1218="CJ",J1218=3),VLOOKUP(_xlfn.MINIFS('FIRE TEX 5062'!$L$4:$L$34,'FIRE TEX 5062'!$L$4:$L$34,"&gt;="&amp;M1218),'FIRE TEX 5062'!$L$4:$P$34,IF(L1218="F-15",2,IF(L1218="F-30",3,IF(L1218="F-60",4,IF(L1218="F-90",5,0)))),0),0)+IF(AND(O1218="FIRE TEX 5062",E1218="CJ",J1218=4),VLOOKUP(_xlfn.MINIFS('FIRE TEX 5062'!$Q$3:$Q$34,'FIRE TEX 5062'!$Q$3:$Q$34,"&gt;="&amp;M1218),'FIRE TEX 5062'!$Q$3:$U$34,IF(L1218="F-15",2,IF(L1218="F-30",3,IF(L1218="F-60",4,IF(L1218="F-90",5,0)))),0),0)+IF(AND(O1218="FIRE TEX 5090",OR(E1218="IN",E1218="C",E1218="Z",E1218="L"),J1218=3),VLOOKUP(_xlfn.MINIFS('FIRE TEX 5090'!$B$5:$B$43,'FIRE TEX 5090'!$B$5:$B$43,"&gt;="&amp;M1218),'FIRE TEX 5090'!$B$5:$H$43,IF(L1218="F-15",2,IF(L1218="F-30",3,IF(L1218="F-60",4,IF(L1218="F-90",5,IF(L1218="F-120",6,IF(L1218="F-150",7,0)))))),0),0)+IF(AND(O1218="FIRE TEX 5090",OR(E1218="IN",E1218="C",E1218="Z",E1218="L"),J1218=4),VLOOKUP(_xlfn.MINIFS('FIRE TEX 5090'!$J$5:$J$43,'FIRE TEX 5090'!$J$5:$J$43,"&gt;="&amp;M1218),'FIRE TEX 5090'!$J$5:$P$43,IF(L1218="F-15",2,IF(L1218="F-30",3,IF(L1218="F-60",4,IF(L1218="F-90",5,IF(L1218="F-120",6,IF(L1218="F-150",7,0)))))),0),0)+IF(AND(O1218="FIRE TEX 5090",E1218="CJ",J1218=3),VLOOKUP(_xlfn.MINIFS('FIRE TEX 5090'!$R$5:$R$30,'FIRE TEX 5090'!$R$5:$R$30,"&gt;="&amp;M1218),'FIRE TEX 5090'!$R$5:$W$30,IF(L1218="F-15",2,IF(L1218="F-30",3,IF(L1218="F-60",4,IF(L1218="F-90",5,IF(L1218="F-120",6,IF(L1218="F-150",7,0)))))),0),0)+IF(AND(O1218="FIRE TEX 5090",E1218="CJ",J1218=4),VLOOKUP(_xlfn.MINIFS('FIRE TEX 5090'!$Y$5:$Y$39,'FIRE TEX 5090'!$Y$5:$Y$39,"&gt;="&amp;M1218),'FIRE TEX 5090'!$Y$5:$AD$39,IF(L1218="F-15",2,IF(L1218="F-30",3,IF(L1218="F-60",4,IF(L1218="F-90",5,IF(L1218="F-120",6,IF(L1218="F-150",7,0)))))),0),0)+IF(AND(O1218="FIRE TEX 5120",OR(E1218="IN",E1218="C",E1218="Z",E1218="L"),J1218=3),VLOOKUP(_xlfn.MINIFS('FIRE TEX 5120'!$B$5:$B$40,'FIRE TEX 5120'!$B$5:$B$40,"&gt;="&amp;M1218),'FIRE TEX 5120'!$B$5:$G$40,IF(L1218="F-15",2,IF(L1218="F-30",3,IF(L1218="F-60",4,IF(L1218="F-90",5,IF(L1218="F-120",6,0))))),0),0)+IF(AND(O1218="FIRE TEX 5120",OR(E1218="IN",E1218="C",E1218="Z",E1218="L"),J1218=4),VLOOKUP(_xlfn.MINIFS('FIRE TEX 5120'!$H$4:$H$40,'FIRE TEX 5120'!$H$4:$H$40,"&gt;="&amp;M1218),'FIRE TEX 5120'!$H$4:$M$40,IF(L1218="F-15",2,IF(L1218="F-30",3,IF(L1218="F-60",4,IF(L1218="F-90",5,IF(L1218="F-120",6,0))))),0),0)+IF(AND(O1218="FIRE TEX 5120",E1218="CJ"),VLOOKUP(_xlfn.MINIFS('FIRE TEX 5120'!$O$5:$O$40,'FIRE TEX 5120'!$O$5:$O$40,"&gt;="&amp;M1218),'FIRE TEX 5120'!$O$5:$T$40,IF(L1218="F-15",2,IF(L1218="F-30",3,IF(L1218="F-60",4,IF(L1218="F-90",5,IF(L1218="F-120",6,0))))),0),0)</f>
        <v>0</v>
      </c>
      <c r="Q1218" s="46">
        <f t="shared" si="114"/>
        <v>0</v>
      </c>
      <c r="R1218" s="46">
        <f t="shared" si="115"/>
        <v>0</v>
      </c>
      <c r="S1218" s="46" t="e">
        <f t="shared" si="116"/>
        <v>#VALUE!</v>
      </c>
      <c r="T1218" s="677">
        <f t="shared" si="117"/>
        <v>0</v>
      </c>
      <c r="U1218" s="80">
        <f>(IF(O1218="Stofire",(S1218*#REF!),0))+(IF(O1218="Fire Control",(S1218*$U$2),0))+(IF(O1218="Fire Tex",(S1218*$U$3),0))+(IF(O1218="WB7",(S1218*#REF!),0)+(IF(O1218="FX 2003",(S1218*$U$5),0)))</f>
        <v>0</v>
      </c>
      <c r="V1218" s="651">
        <f t="shared" si="118"/>
        <v>0</v>
      </c>
    </row>
    <row r="1219" spans="4:22" x14ac:dyDescent="0.25">
      <c r="D1219" s="118">
        <f>+CUBICACION!D1218</f>
        <v>0</v>
      </c>
      <c r="E1219" s="118">
        <f>+CUBICACION!F1218</f>
        <v>0</v>
      </c>
      <c r="F1219" s="118">
        <f>+CUBICACION!E1218</f>
        <v>0</v>
      </c>
      <c r="G1219" s="118">
        <v>12</v>
      </c>
      <c r="H1219" s="118">
        <v>2</v>
      </c>
      <c r="I1219" s="820">
        <v>26385</v>
      </c>
      <c r="J1219" s="118">
        <f>+CUBICACION!J1218</f>
        <v>0</v>
      </c>
      <c r="K1219" s="118">
        <v>3998</v>
      </c>
      <c r="L1219" s="118">
        <f>+CUBICACION!L1218</f>
        <v>0</v>
      </c>
      <c r="M1219" s="64">
        <f>+CUBICACION!M1218</f>
        <v>0</v>
      </c>
      <c r="N1219" s="824" t="str">
        <f>+CUBICACION!N1218</f>
        <v/>
      </c>
      <c r="O1219" s="675">
        <f>+CUBICACION!O1218</f>
        <v>0</v>
      </c>
      <c r="P1219" s="15">
        <f>IF(O1219="Fire Control",VLOOKUP(_xlfn.MINIFS('FIRE CONTROL'!$C$4:$C$37,'FIRE CONTROL'!$C$4:$C$37,"&gt;="&amp;M1219),'FIRE CONTROL'!$C$4:$G$37,IF(L1219="F-15",2,IF(L1219="F-30",3,IF(L1219="F-60",4,IF(L1219="F-90",5,0)))),0),0)+IF(AND(O1219="FIRE TEX 5062",OR(E1219="IN",E1219="C",E1219="Z",E1219="L"),J1219=3),VLOOKUP(_xlfn.MINIFS('FIRE TEX 5062'!$B$4:$B$34,'FIRE TEX 5062'!$B$4:$B$34,"&gt;="&amp;M1219),'FIRE TEX 5062'!$B$4:$F$34,IF(L1219="F-15",2,IF(L1219="F-30",3,IF(L1219="F-60",4,IF(L1219="F-90",5,0)))),0),0)+IF(AND(O1219="FIRE TEX 5062",OR(E1219="IN",E1219="C",E1219="Z",E1219="L"),J1219=4),VLOOKUP(_xlfn.MINIFS('FIRE TEX 5062'!$G$4:$G$34,'FIRE TEX 5062'!$G$4:$G$34,"&gt;="&amp;M1219),'FIRE TEX 5062'!$G$4:$K$34,IF(L1219="F-15",2,IF(L1219="F-30",3,IF(L1219="F-60",4,IF(L1219="F-90",5,0)))),0),0)+IF(AND(O1219="FIRE TEX 5062",E1219="CJ",J1219=3),VLOOKUP(_xlfn.MINIFS('FIRE TEX 5062'!$L$4:$L$34,'FIRE TEX 5062'!$L$4:$L$34,"&gt;="&amp;M1219),'FIRE TEX 5062'!$L$4:$P$34,IF(L1219="F-15",2,IF(L1219="F-30",3,IF(L1219="F-60",4,IF(L1219="F-90",5,0)))),0),0)+IF(AND(O1219="FIRE TEX 5062",E1219="CJ",J1219=4),VLOOKUP(_xlfn.MINIFS('FIRE TEX 5062'!$Q$3:$Q$34,'FIRE TEX 5062'!$Q$3:$Q$34,"&gt;="&amp;M1219),'FIRE TEX 5062'!$Q$3:$U$34,IF(L1219="F-15",2,IF(L1219="F-30",3,IF(L1219="F-60",4,IF(L1219="F-90",5,0)))),0),0)+IF(AND(O1219="FIRE TEX 5090",OR(E1219="IN",E1219="C",E1219="Z",E1219="L"),J1219=3),VLOOKUP(_xlfn.MINIFS('FIRE TEX 5090'!$B$5:$B$43,'FIRE TEX 5090'!$B$5:$B$43,"&gt;="&amp;M1219),'FIRE TEX 5090'!$B$5:$H$43,IF(L1219="F-15",2,IF(L1219="F-30",3,IF(L1219="F-60",4,IF(L1219="F-90",5,IF(L1219="F-120",6,IF(L1219="F-150",7,0)))))),0),0)+IF(AND(O1219="FIRE TEX 5090",OR(E1219="IN",E1219="C",E1219="Z",E1219="L"),J1219=4),VLOOKUP(_xlfn.MINIFS('FIRE TEX 5090'!$J$5:$J$43,'FIRE TEX 5090'!$J$5:$J$43,"&gt;="&amp;M1219),'FIRE TEX 5090'!$J$5:$P$43,IF(L1219="F-15",2,IF(L1219="F-30",3,IF(L1219="F-60",4,IF(L1219="F-90",5,IF(L1219="F-120",6,IF(L1219="F-150",7,0)))))),0),0)+IF(AND(O1219="FIRE TEX 5090",E1219="CJ",J1219=3),VLOOKUP(_xlfn.MINIFS('FIRE TEX 5090'!$R$5:$R$30,'FIRE TEX 5090'!$R$5:$R$30,"&gt;="&amp;M1219),'FIRE TEX 5090'!$R$5:$W$30,IF(L1219="F-15",2,IF(L1219="F-30",3,IF(L1219="F-60",4,IF(L1219="F-90",5,IF(L1219="F-120",6,IF(L1219="F-150",7,0)))))),0),0)+IF(AND(O1219="FIRE TEX 5090",E1219="CJ",J1219=4),VLOOKUP(_xlfn.MINIFS('FIRE TEX 5090'!$Y$5:$Y$39,'FIRE TEX 5090'!$Y$5:$Y$39,"&gt;="&amp;M1219),'FIRE TEX 5090'!$Y$5:$AD$39,IF(L1219="F-15",2,IF(L1219="F-30",3,IF(L1219="F-60",4,IF(L1219="F-90",5,IF(L1219="F-120",6,IF(L1219="F-150",7,0)))))),0),0)+IF(AND(O1219="FIRE TEX 5120",OR(E1219="IN",E1219="C",E1219="Z",E1219="L"),J1219=3),VLOOKUP(_xlfn.MINIFS('FIRE TEX 5120'!$B$5:$B$40,'FIRE TEX 5120'!$B$5:$B$40,"&gt;="&amp;M1219),'FIRE TEX 5120'!$B$5:$G$40,IF(L1219="F-15",2,IF(L1219="F-30",3,IF(L1219="F-60",4,IF(L1219="F-90",5,IF(L1219="F-120",6,0))))),0),0)+IF(AND(O1219="FIRE TEX 5120",OR(E1219="IN",E1219="C",E1219="Z",E1219="L"),J1219=4),VLOOKUP(_xlfn.MINIFS('FIRE TEX 5120'!$H$4:$H$40,'FIRE TEX 5120'!$H$4:$H$40,"&gt;="&amp;M1219),'FIRE TEX 5120'!$H$4:$M$40,IF(L1219="F-15",2,IF(L1219="F-30",3,IF(L1219="F-60",4,IF(L1219="F-90",5,IF(L1219="F-120",6,0))))),0),0)+IF(AND(O1219="FIRE TEX 5120",E1219="CJ"),VLOOKUP(_xlfn.MINIFS('FIRE TEX 5120'!$O$5:$O$40,'FIRE TEX 5120'!$O$5:$O$40,"&gt;="&amp;M1219),'FIRE TEX 5120'!$O$5:$T$40,IF(L1219="F-15",2,IF(L1219="F-30",3,IF(L1219="F-60",4,IF(L1219="F-90",5,IF(L1219="F-120",6,0))))),0),0)</f>
        <v>0</v>
      </c>
      <c r="Q1219" s="46">
        <f t="shared" si="114"/>
        <v>0</v>
      </c>
      <c r="R1219" s="46">
        <f t="shared" si="115"/>
        <v>0</v>
      </c>
      <c r="S1219" s="46" t="e">
        <f t="shared" si="116"/>
        <v>#VALUE!</v>
      </c>
      <c r="T1219" s="677">
        <f t="shared" si="117"/>
        <v>0</v>
      </c>
      <c r="U1219" s="80">
        <f>(IF(O1219="Stofire",(S1219*#REF!),0))+(IF(O1219="Fire Control",(S1219*$U$2),0))+(IF(O1219="Fire Tex",(S1219*$U$3),0))+(IF(O1219="WB7",(S1219*#REF!),0)+(IF(O1219="FX 2003",(S1219*$U$5),0)))</f>
        <v>0</v>
      </c>
      <c r="V1219" s="651">
        <f t="shared" si="118"/>
        <v>0</v>
      </c>
    </row>
    <row r="1220" spans="4:22" x14ac:dyDescent="0.25">
      <c r="D1220" s="118">
        <f>+CUBICACION!D1219</f>
        <v>0</v>
      </c>
      <c r="E1220" s="118">
        <f>+CUBICACION!F1219</f>
        <v>0</v>
      </c>
      <c r="F1220" s="118">
        <f>+CUBICACION!E1219</f>
        <v>0</v>
      </c>
      <c r="G1220" s="118">
        <v>12</v>
      </c>
      <c r="H1220" s="118">
        <v>2</v>
      </c>
      <c r="I1220" s="820">
        <v>26385</v>
      </c>
      <c r="J1220" s="118">
        <f>+CUBICACION!J1219</f>
        <v>0</v>
      </c>
      <c r="K1220" s="118">
        <v>3999</v>
      </c>
      <c r="L1220" s="118">
        <f>+CUBICACION!L1219</f>
        <v>0</v>
      </c>
      <c r="M1220" s="64">
        <f>+CUBICACION!M1219</f>
        <v>0</v>
      </c>
      <c r="N1220" s="824" t="str">
        <f>+CUBICACION!N1219</f>
        <v/>
      </c>
      <c r="O1220" s="675">
        <f>+CUBICACION!O1219</f>
        <v>0</v>
      </c>
      <c r="P1220" s="15">
        <f>IF(O1220="Fire Control",VLOOKUP(_xlfn.MINIFS('FIRE CONTROL'!$C$4:$C$37,'FIRE CONTROL'!$C$4:$C$37,"&gt;="&amp;M1220),'FIRE CONTROL'!$C$4:$G$37,IF(L1220="F-15",2,IF(L1220="F-30",3,IF(L1220="F-60",4,IF(L1220="F-90",5,0)))),0),0)+IF(AND(O1220="FIRE TEX 5062",OR(E1220="IN",E1220="C",E1220="Z",E1220="L"),J1220=3),VLOOKUP(_xlfn.MINIFS('FIRE TEX 5062'!$B$4:$B$34,'FIRE TEX 5062'!$B$4:$B$34,"&gt;="&amp;M1220),'FIRE TEX 5062'!$B$4:$F$34,IF(L1220="F-15",2,IF(L1220="F-30",3,IF(L1220="F-60",4,IF(L1220="F-90",5,0)))),0),0)+IF(AND(O1220="FIRE TEX 5062",OR(E1220="IN",E1220="C",E1220="Z",E1220="L"),J1220=4),VLOOKUP(_xlfn.MINIFS('FIRE TEX 5062'!$G$4:$G$34,'FIRE TEX 5062'!$G$4:$G$34,"&gt;="&amp;M1220),'FIRE TEX 5062'!$G$4:$K$34,IF(L1220="F-15",2,IF(L1220="F-30",3,IF(L1220="F-60",4,IF(L1220="F-90",5,0)))),0),0)+IF(AND(O1220="FIRE TEX 5062",E1220="CJ",J1220=3),VLOOKUP(_xlfn.MINIFS('FIRE TEX 5062'!$L$4:$L$34,'FIRE TEX 5062'!$L$4:$L$34,"&gt;="&amp;M1220),'FIRE TEX 5062'!$L$4:$P$34,IF(L1220="F-15",2,IF(L1220="F-30",3,IF(L1220="F-60",4,IF(L1220="F-90",5,0)))),0),0)+IF(AND(O1220="FIRE TEX 5062",E1220="CJ",J1220=4),VLOOKUP(_xlfn.MINIFS('FIRE TEX 5062'!$Q$3:$Q$34,'FIRE TEX 5062'!$Q$3:$Q$34,"&gt;="&amp;M1220),'FIRE TEX 5062'!$Q$3:$U$34,IF(L1220="F-15",2,IF(L1220="F-30",3,IF(L1220="F-60",4,IF(L1220="F-90",5,0)))),0),0)+IF(AND(O1220="FIRE TEX 5090",OR(E1220="IN",E1220="C",E1220="Z",E1220="L"),J1220=3),VLOOKUP(_xlfn.MINIFS('FIRE TEX 5090'!$B$5:$B$43,'FIRE TEX 5090'!$B$5:$B$43,"&gt;="&amp;M1220),'FIRE TEX 5090'!$B$5:$H$43,IF(L1220="F-15",2,IF(L1220="F-30",3,IF(L1220="F-60",4,IF(L1220="F-90",5,IF(L1220="F-120",6,IF(L1220="F-150",7,0)))))),0),0)+IF(AND(O1220="FIRE TEX 5090",OR(E1220="IN",E1220="C",E1220="Z",E1220="L"),J1220=4),VLOOKUP(_xlfn.MINIFS('FIRE TEX 5090'!$J$5:$J$43,'FIRE TEX 5090'!$J$5:$J$43,"&gt;="&amp;M1220),'FIRE TEX 5090'!$J$5:$P$43,IF(L1220="F-15",2,IF(L1220="F-30",3,IF(L1220="F-60",4,IF(L1220="F-90",5,IF(L1220="F-120",6,IF(L1220="F-150",7,0)))))),0),0)+IF(AND(O1220="FIRE TEX 5090",E1220="CJ",J1220=3),VLOOKUP(_xlfn.MINIFS('FIRE TEX 5090'!$R$5:$R$30,'FIRE TEX 5090'!$R$5:$R$30,"&gt;="&amp;M1220),'FIRE TEX 5090'!$R$5:$W$30,IF(L1220="F-15",2,IF(L1220="F-30",3,IF(L1220="F-60",4,IF(L1220="F-90",5,IF(L1220="F-120",6,IF(L1220="F-150",7,0)))))),0),0)+IF(AND(O1220="FIRE TEX 5090",E1220="CJ",J1220=4),VLOOKUP(_xlfn.MINIFS('FIRE TEX 5090'!$Y$5:$Y$39,'FIRE TEX 5090'!$Y$5:$Y$39,"&gt;="&amp;M1220),'FIRE TEX 5090'!$Y$5:$AD$39,IF(L1220="F-15",2,IF(L1220="F-30",3,IF(L1220="F-60",4,IF(L1220="F-90",5,IF(L1220="F-120",6,IF(L1220="F-150",7,0)))))),0),0)+IF(AND(O1220="FIRE TEX 5120",OR(E1220="IN",E1220="C",E1220="Z",E1220="L"),J1220=3),VLOOKUP(_xlfn.MINIFS('FIRE TEX 5120'!$B$5:$B$40,'FIRE TEX 5120'!$B$5:$B$40,"&gt;="&amp;M1220),'FIRE TEX 5120'!$B$5:$G$40,IF(L1220="F-15",2,IF(L1220="F-30",3,IF(L1220="F-60",4,IF(L1220="F-90",5,IF(L1220="F-120",6,0))))),0),0)+IF(AND(O1220="FIRE TEX 5120",OR(E1220="IN",E1220="C",E1220="Z",E1220="L"),J1220=4),VLOOKUP(_xlfn.MINIFS('FIRE TEX 5120'!$H$4:$H$40,'FIRE TEX 5120'!$H$4:$H$40,"&gt;="&amp;M1220),'FIRE TEX 5120'!$H$4:$M$40,IF(L1220="F-15",2,IF(L1220="F-30",3,IF(L1220="F-60",4,IF(L1220="F-90",5,IF(L1220="F-120",6,0))))),0),0)+IF(AND(O1220="FIRE TEX 5120",E1220="CJ"),VLOOKUP(_xlfn.MINIFS('FIRE TEX 5120'!$O$5:$O$40,'FIRE TEX 5120'!$O$5:$O$40,"&gt;="&amp;M1220),'FIRE TEX 5120'!$O$5:$T$40,IF(L1220="F-15",2,IF(L1220="F-30",3,IF(L1220="F-60",4,IF(L1220="F-90",5,IF(L1220="F-120",6,0))))),0),0)</f>
        <v>0</v>
      </c>
      <c r="Q1220" s="46">
        <f t="shared" si="114"/>
        <v>0</v>
      </c>
      <c r="R1220" s="46">
        <f t="shared" si="115"/>
        <v>0</v>
      </c>
      <c r="S1220" s="46" t="e">
        <f t="shared" si="116"/>
        <v>#VALUE!</v>
      </c>
      <c r="T1220" s="677">
        <f t="shared" si="117"/>
        <v>0</v>
      </c>
      <c r="U1220" s="80">
        <f>(IF(O1220="Stofire",(S1220*#REF!),0))+(IF(O1220="Fire Control",(S1220*$U$2),0))+(IF(O1220="Fire Tex",(S1220*$U$3),0))+(IF(O1220="WB7",(S1220*#REF!),0)+(IF(O1220="FX 2003",(S1220*$U$5),0)))</f>
        <v>0</v>
      </c>
      <c r="V1220" s="651">
        <f t="shared" si="118"/>
        <v>0</v>
      </c>
    </row>
    <row r="1221" spans="4:22" x14ac:dyDescent="0.25">
      <c r="D1221" s="118">
        <f>+CUBICACION!D1220</f>
        <v>0</v>
      </c>
      <c r="E1221" s="118">
        <f>+CUBICACION!F1220</f>
        <v>0</v>
      </c>
      <c r="F1221" s="118">
        <f>+CUBICACION!E1220</f>
        <v>0</v>
      </c>
      <c r="G1221" s="118">
        <v>12</v>
      </c>
      <c r="H1221" s="118">
        <v>2</v>
      </c>
      <c r="I1221" s="820">
        <v>26385</v>
      </c>
      <c r="J1221" s="118">
        <f>+CUBICACION!J1220</f>
        <v>0</v>
      </c>
      <c r="K1221" s="118">
        <v>4000</v>
      </c>
      <c r="L1221" s="118">
        <f>+CUBICACION!L1220</f>
        <v>0</v>
      </c>
      <c r="M1221" s="64">
        <f>+CUBICACION!M1220</f>
        <v>0</v>
      </c>
      <c r="N1221" s="824" t="str">
        <f>+CUBICACION!N1220</f>
        <v/>
      </c>
      <c r="O1221" s="675">
        <f>+CUBICACION!O1220</f>
        <v>0</v>
      </c>
      <c r="P1221" s="15">
        <f>IF(O1221="Fire Control",VLOOKUP(_xlfn.MINIFS('FIRE CONTROL'!$C$4:$C$37,'FIRE CONTROL'!$C$4:$C$37,"&gt;="&amp;M1221),'FIRE CONTROL'!$C$4:$G$37,IF(L1221="F-15",2,IF(L1221="F-30",3,IF(L1221="F-60",4,IF(L1221="F-90",5,0)))),0),0)+IF(AND(O1221="FIRE TEX 5062",OR(E1221="IN",E1221="C",E1221="Z",E1221="L"),J1221=3),VLOOKUP(_xlfn.MINIFS('FIRE TEX 5062'!$B$4:$B$34,'FIRE TEX 5062'!$B$4:$B$34,"&gt;="&amp;M1221),'FIRE TEX 5062'!$B$4:$F$34,IF(L1221="F-15",2,IF(L1221="F-30",3,IF(L1221="F-60",4,IF(L1221="F-90",5,0)))),0),0)+IF(AND(O1221="FIRE TEX 5062",OR(E1221="IN",E1221="C",E1221="Z",E1221="L"),J1221=4),VLOOKUP(_xlfn.MINIFS('FIRE TEX 5062'!$G$4:$G$34,'FIRE TEX 5062'!$G$4:$G$34,"&gt;="&amp;M1221),'FIRE TEX 5062'!$G$4:$K$34,IF(L1221="F-15",2,IF(L1221="F-30",3,IF(L1221="F-60",4,IF(L1221="F-90",5,0)))),0),0)+IF(AND(O1221="FIRE TEX 5062",E1221="CJ",J1221=3),VLOOKUP(_xlfn.MINIFS('FIRE TEX 5062'!$L$4:$L$34,'FIRE TEX 5062'!$L$4:$L$34,"&gt;="&amp;M1221),'FIRE TEX 5062'!$L$4:$P$34,IF(L1221="F-15",2,IF(L1221="F-30",3,IF(L1221="F-60",4,IF(L1221="F-90",5,0)))),0),0)+IF(AND(O1221="FIRE TEX 5062",E1221="CJ",J1221=4),VLOOKUP(_xlfn.MINIFS('FIRE TEX 5062'!$Q$3:$Q$34,'FIRE TEX 5062'!$Q$3:$Q$34,"&gt;="&amp;M1221),'FIRE TEX 5062'!$Q$3:$U$34,IF(L1221="F-15",2,IF(L1221="F-30",3,IF(L1221="F-60",4,IF(L1221="F-90",5,0)))),0),0)+IF(AND(O1221="FIRE TEX 5090",OR(E1221="IN",E1221="C",E1221="Z",E1221="L"),J1221=3),VLOOKUP(_xlfn.MINIFS('FIRE TEX 5090'!$B$5:$B$43,'FIRE TEX 5090'!$B$5:$B$43,"&gt;="&amp;M1221),'FIRE TEX 5090'!$B$5:$H$43,IF(L1221="F-15",2,IF(L1221="F-30",3,IF(L1221="F-60",4,IF(L1221="F-90",5,IF(L1221="F-120",6,IF(L1221="F-150",7,0)))))),0),0)+IF(AND(O1221="FIRE TEX 5090",OR(E1221="IN",E1221="C",E1221="Z",E1221="L"),J1221=4),VLOOKUP(_xlfn.MINIFS('FIRE TEX 5090'!$J$5:$J$43,'FIRE TEX 5090'!$J$5:$J$43,"&gt;="&amp;M1221),'FIRE TEX 5090'!$J$5:$P$43,IF(L1221="F-15",2,IF(L1221="F-30",3,IF(L1221="F-60",4,IF(L1221="F-90",5,IF(L1221="F-120",6,IF(L1221="F-150",7,0)))))),0),0)+IF(AND(O1221="FIRE TEX 5090",E1221="CJ",J1221=3),VLOOKUP(_xlfn.MINIFS('FIRE TEX 5090'!$R$5:$R$30,'FIRE TEX 5090'!$R$5:$R$30,"&gt;="&amp;M1221),'FIRE TEX 5090'!$R$5:$W$30,IF(L1221="F-15",2,IF(L1221="F-30",3,IF(L1221="F-60",4,IF(L1221="F-90",5,IF(L1221="F-120",6,IF(L1221="F-150",7,0)))))),0),0)+IF(AND(O1221="FIRE TEX 5090",E1221="CJ",J1221=4),VLOOKUP(_xlfn.MINIFS('FIRE TEX 5090'!$Y$5:$Y$39,'FIRE TEX 5090'!$Y$5:$Y$39,"&gt;="&amp;M1221),'FIRE TEX 5090'!$Y$5:$AD$39,IF(L1221="F-15",2,IF(L1221="F-30",3,IF(L1221="F-60",4,IF(L1221="F-90",5,IF(L1221="F-120",6,IF(L1221="F-150",7,0)))))),0),0)+IF(AND(O1221="FIRE TEX 5120",OR(E1221="IN",E1221="C",E1221="Z",E1221="L"),J1221=3),VLOOKUP(_xlfn.MINIFS('FIRE TEX 5120'!$B$5:$B$40,'FIRE TEX 5120'!$B$5:$B$40,"&gt;="&amp;M1221),'FIRE TEX 5120'!$B$5:$G$40,IF(L1221="F-15",2,IF(L1221="F-30",3,IF(L1221="F-60",4,IF(L1221="F-90",5,IF(L1221="F-120",6,0))))),0),0)+IF(AND(O1221="FIRE TEX 5120",OR(E1221="IN",E1221="C",E1221="Z",E1221="L"),J1221=4),VLOOKUP(_xlfn.MINIFS('FIRE TEX 5120'!$H$4:$H$40,'FIRE TEX 5120'!$H$4:$H$40,"&gt;="&amp;M1221),'FIRE TEX 5120'!$H$4:$M$40,IF(L1221="F-15",2,IF(L1221="F-30",3,IF(L1221="F-60",4,IF(L1221="F-90",5,IF(L1221="F-120",6,0))))),0),0)+IF(AND(O1221="FIRE TEX 5120",E1221="CJ"),VLOOKUP(_xlfn.MINIFS('FIRE TEX 5120'!$O$5:$O$40,'FIRE TEX 5120'!$O$5:$O$40,"&gt;="&amp;M1221),'FIRE TEX 5120'!$O$5:$T$40,IF(L1221="F-15",2,IF(L1221="F-30",3,IF(L1221="F-60",4,IF(L1221="F-90",5,IF(L1221="F-120",6,0))))),0),0)</f>
        <v>0</v>
      </c>
      <c r="Q1221" s="46">
        <f t="shared" si="114"/>
        <v>0</v>
      </c>
      <c r="R1221" s="46">
        <f t="shared" si="115"/>
        <v>0</v>
      </c>
      <c r="S1221" s="46" t="e">
        <f t="shared" si="116"/>
        <v>#VALUE!</v>
      </c>
      <c r="T1221" s="677">
        <f t="shared" si="117"/>
        <v>0</v>
      </c>
      <c r="U1221" s="80">
        <f>(IF(O1221="Stofire",(S1221*#REF!),0))+(IF(O1221="Fire Control",(S1221*$U$2),0))+(IF(O1221="Fire Tex",(S1221*$U$3),0))+(IF(O1221="WB7",(S1221*#REF!),0)+(IF(O1221="FX 2003",(S1221*$U$5),0)))</f>
        <v>0</v>
      </c>
      <c r="V1221" s="651">
        <f t="shared" si="118"/>
        <v>0</v>
      </c>
    </row>
    <row r="1222" spans="4:22" x14ac:dyDescent="0.25">
      <c r="D1222" s="118">
        <f>+CUBICACION!D1221</f>
        <v>0</v>
      </c>
      <c r="E1222" s="118">
        <f>+CUBICACION!F1221</f>
        <v>0</v>
      </c>
      <c r="F1222" s="118">
        <f>+CUBICACION!E1221</f>
        <v>0</v>
      </c>
      <c r="G1222" s="118">
        <v>12</v>
      </c>
      <c r="H1222" s="118">
        <v>2</v>
      </c>
      <c r="I1222" s="820">
        <v>26385</v>
      </c>
      <c r="J1222" s="118">
        <f>+CUBICACION!J1221</f>
        <v>0</v>
      </c>
      <c r="K1222" s="118">
        <v>4001</v>
      </c>
      <c r="L1222" s="118">
        <f>+CUBICACION!L1221</f>
        <v>0</v>
      </c>
      <c r="M1222" s="64">
        <f>+CUBICACION!M1221</f>
        <v>0</v>
      </c>
      <c r="N1222" s="824" t="str">
        <f>+CUBICACION!N1221</f>
        <v/>
      </c>
      <c r="O1222" s="675">
        <f>+CUBICACION!O1221</f>
        <v>0</v>
      </c>
      <c r="P1222" s="15">
        <f>IF(O1222="Fire Control",VLOOKUP(_xlfn.MINIFS('FIRE CONTROL'!$C$4:$C$37,'FIRE CONTROL'!$C$4:$C$37,"&gt;="&amp;M1222),'FIRE CONTROL'!$C$4:$G$37,IF(L1222="F-15",2,IF(L1222="F-30",3,IF(L1222="F-60",4,IF(L1222="F-90",5,0)))),0),0)+IF(AND(O1222="FIRE TEX 5062",OR(E1222="IN",E1222="C",E1222="Z",E1222="L"),J1222=3),VLOOKUP(_xlfn.MINIFS('FIRE TEX 5062'!$B$4:$B$34,'FIRE TEX 5062'!$B$4:$B$34,"&gt;="&amp;M1222),'FIRE TEX 5062'!$B$4:$F$34,IF(L1222="F-15",2,IF(L1222="F-30",3,IF(L1222="F-60",4,IF(L1222="F-90",5,0)))),0),0)+IF(AND(O1222="FIRE TEX 5062",OR(E1222="IN",E1222="C",E1222="Z",E1222="L"),J1222=4),VLOOKUP(_xlfn.MINIFS('FIRE TEX 5062'!$G$4:$G$34,'FIRE TEX 5062'!$G$4:$G$34,"&gt;="&amp;M1222),'FIRE TEX 5062'!$G$4:$K$34,IF(L1222="F-15",2,IF(L1222="F-30",3,IF(L1222="F-60",4,IF(L1222="F-90",5,0)))),0),0)+IF(AND(O1222="FIRE TEX 5062",E1222="CJ",J1222=3),VLOOKUP(_xlfn.MINIFS('FIRE TEX 5062'!$L$4:$L$34,'FIRE TEX 5062'!$L$4:$L$34,"&gt;="&amp;M1222),'FIRE TEX 5062'!$L$4:$P$34,IF(L1222="F-15",2,IF(L1222="F-30",3,IF(L1222="F-60",4,IF(L1222="F-90",5,0)))),0),0)+IF(AND(O1222="FIRE TEX 5062",E1222="CJ",J1222=4),VLOOKUP(_xlfn.MINIFS('FIRE TEX 5062'!$Q$3:$Q$34,'FIRE TEX 5062'!$Q$3:$Q$34,"&gt;="&amp;M1222),'FIRE TEX 5062'!$Q$3:$U$34,IF(L1222="F-15",2,IF(L1222="F-30",3,IF(L1222="F-60",4,IF(L1222="F-90",5,0)))),0),0)+IF(AND(O1222="FIRE TEX 5090",OR(E1222="IN",E1222="C",E1222="Z",E1222="L"),J1222=3),VLOOKUP(_xlfn.MINIFS('FIRE TEX 5090'!$B$5:$B$43,'FIRE TEX 5090'!$B$5:$B$43,"&gt;="&amp;M1222),'FIRE TEX 5090'!$B$5:$H$43,IF(L1222="F-15",2,IF(L1222="F-30",3,IF(L1222="F-60",4,IF(L1222="F-90",5,IF(L1222="F-120",6,IF(L1222="F-150",7,0)))))),0),0)+IF(AND(O1222="FIRE TEX 5090",OR(E1222="IN",E1222="C",E1222="Z",E1222="L"),J1222=4),VLOOKUP(_xlfn.MINIFS('FIRE TEX 5090'!$J$5:$J$43,'FIRE TEX 5090'!$J$5:$J$43,"&gt;="&amp;M1222),'FIRE TEX 5090'!$J$5:$P$43,IF(L1222="F-15",2,IF(L1222="F-30",3,IF(L1222="F-60",4,IF(L1222="F-90",5,IF(L1222="F-120",6,IF(L1222="F-150",7,0)))))),0),0)+IF(AND(O1222="FIRE TEX 5090",E1222="CJ",J1222=3),VLOOKUP(_xlfn.MINIFS('FIRE TEX 5090'!$R$5:$R$30,'FIRE TEX 5090'!$R$5:$R$30,"&gt;="&amp;M1222),'FIRE TEX 5090'!$R$5:$W$30,IF(L1222="F-15",2,IF(L1222="F-30",3,IF(L1222="F-60",4,IF(L1222="F-90",5,IF(L1222="F-120",6,IF(L1222="F-150",7,0)))))),0),0)+IF(AND(O1222="FIRE TEX 5090",E1222="CJ",J1222=4),VLOOKUP(_xlfn.MINIFS('FIRE TEX 5090'!$Y$5:$Y$39,'FIRE TEX 5090'!$Y$5:$Y$39,"&gt;="&amp;M1222),'FIRE TEX 5090'!$Y$5:$AD$39,IF(L1222="F-15",2,IF(L1222="F-30",3,IF(L1222="F-60",4,IF(L1222="F-90",5,IF(L1222="F-120",6,IF(L1222="F-150",7,0)))))),0),0)+IF(AND(O1222="FIRE TEX 5120",OR(E1222="IN",E1222="C",E1222="Z",E1222="L"),J1222=3),VLOOKUP(_xlfn.MINIFS('FIRE TEX 5120'!$B$5:$B$40,'FIRE TEX 5120'!$B$5:$B$40,"&gt;="&amp;M1222),'FIRE TEX 5120'!$B$5:$G$40,IF(L1222="F-15",2,IF(L1222="F-30",3,IF(L1222="F-60",4,IF(L1222="F-90",5,IF(L1222="F-120",6,0))))),0),0)+IF(AND(O1222="FIRE TEX 5120",OR(E1222="IN",E1222="C",E1222="Z",E1222="L"),J1222=4),VLOOKUP(_xlfn.MINIFS('FIRE TEX 5120'!$H$4:$H$40,'FIRE TEX 5120'!$H$4:$H$40,"&gt;="&amp;M1222),'FIRE TEX 5120'!$H$4:$M$40,IF(L1222="F-15",2,IF(L1222="F-30",3,IF(L1222="F-60",4,IF(L1222="F-90",5,IF(L1222="F-120",6,0))))),0),0)+IF(AND(O1222="FIRE TEX 5120",E1222="CJ"),VLOOKUP(_xlfn.MINIFS('FIRE TEX 5120'!$O$5:$O$40,'FIRE TEX 5120'!$O$5:$O$40,"&gt;="&amp;M1222),'FIRE TEX 5120'!$O$5:$T$40,IF(L1222="F-15",2,IF(L1222="F-30",3,IF(L1222="F-60",4,IF(L1222="F-90",5,IF(L1222="F-120",6,0))))),0),0)</f>
        <v>0</v>
      </c>
      <c r="Q1222" s="46">
        <f t="shared" si="114"/>
        <v>0</v>
      </c>
      <c r="R1222" s="46">
        <f t="shared" si="115"/>
        <v>0</v>
      </c>
      <c r="S1222" s="46" t="e">
        <f t="shared" si="116"/>
        <v>#VALUE!</v>
      </c>
      <c r="T1222" s="677">
        <f t="shared" si="117"/>
        <v>0</v>
      </c>
      <c r="U1222" s="80">
        <f>(IF(O1222="Stofire",(S1222*#REF!),0))+(IF(O1222="Fire Control",(S1222*$U$2),0))+(IF(O1222="Fire Tex",(S1222*$U$3),0))+(IF(O1222="WB7",(S1222*#REF!),0)+(IF(O1222="FX 2003",(S1222*$U$5),0)))</f>
        <v>0</v>
      </c>
      <c r="V1222" s="651">
        <f t="shared" si="118"/>
        <v>0</v>
      </c>
    </row>
    <row r="1223" spans="4:22" x14ac:dyDescent="0.25">
      <c r="D1223" s="118">
        <f>+CUBICACION!D1222</f>
        <v>0</v>
      </c>
      <c r="E1223" s="118">
        <f>+CUBICACION!F1222</f>
        <v>0</v>
      </c>
      <c r="F1223" s="118">
        <f>+CUBICACION!E1222</f>
        <v>0</v>
      </c>
      <c r="G1223" s="118">
        <v>12</v>
      </c>
      <c r="H1223" s="118">
        <v>2</v>
      </c>
      <c r="I1223" s="820">
        <v>26385</v>
      </c>
      <c r="J1223" s="118">
        <f>+CUBICACION!J1222</f>
        <v>0</v>
      </c>
      <c r="K1223" s="118">
        <v>4002</v>
      </c>
      <c r="L1223" s="118">
        <f>+CUBICACION!L1222</f>
        <v>0</v>
      </c>
      <c r="M1223" s="64">
        <f>+CUBICACION!M1222</f>
        <v>0</v>
      </c>
      <c r="N1223" s="824" t="str">
        <f>+CUBICACION!N1222</f>
        <v/>
      </c>
      <c r="O1223" s="675">
        <f>+CUBICACION!O1222</f>
        <v>0</v>
      </c>
      <c r="P1223" s="15">
        <f>IF(O1223="Fire Control",VLOOKUP(_xlfn.MINIFS('FIRE CONTROL'!$C$4:$C$37,'FIRE CONTROL'!$C$4:$C$37,"&gt;="&amp;M1223),'FIRE CONTROL'!$C$4:$G$37,IF(L1223="F-15",2,IF(L1223="F-30",3,IF(L1223="F-60",4,IF(L1223="F-90",5,0)))),0),0)+IF(AND(O1223="FIRE TEX 5062",OR(E1223="IN",E1223="C",E1223="Z",E1223="L"),J1223=3),VLOOKUP(_xlfn.MINIFS('FIRE TEX 5062'!$B$4:$B$34,'FIRE TEX 5062'!$B$4:$B$34,"&gt;="&amp;M1223),'FIRE TEX 5062'!$B$4:$F$34,IF(L1223="F-15",2,IF(L1223="F-30",3,IF(L1223="F-60",4,IF(L1223="F-90",5,0)))),0),0)+IF(AND(O1223="FIRE TEX 5062",OR(E1223="IN",E1223="C",E1223="Z",E1223="L"),J1223=4),VLOOKUP(_xlfn.MINIFS('FIRE TEX 5062'!$G$4:$G$34,'FIRE TEX 5062'!$G$4:$G$34,"&gt;="&amp;M1223),'FIRE TEX 5062'!$G$4:$K$34,IF(L1223="F-15",2,IF(L1223="F-30",3,IF(L1223="F-60",4,IF(L1223="F-90",5,0)))),0),0)+IF(AND(O1223="FIRE TEX 5062",E1223="CJ",J1223=3),VLOOKUP(_xlfn.MINIFS('FIRE TEX 5062'!$L$4:$L$34,'FIRE TEX 5062'!$L$4:$L$34,"&gt;="&amp;M1223),'FIRE TEX 5062'!$L$4:$P$34,IF(L1223="F-15",2,IF(L1223="F-30",3,IF(L1223="F-60",4,IF(L1223="F-90",5,0)))),0),0)+IF(AND(O1223="FIRE TEX 5062",E1223="CJ",J1223=4),VLOOKUP(_xlfn.MINIFS('FIRE TEX 5062'!$Q$3:$Q$34,'FIRE TEX 5062'!$Q$3:$Q$34,"&gt;="&amp;M1223),'FIRE TEX 5062'!$Q$3:$U$34,IF(L1223="F-15",2,IF(L1223="F-30",3,IF(L1223="F-60",4,IF(L1223="F-90",5,0)))),0),0)+IF(AND(O1223="FIRE TEX 5090",OR(E1223="IN",E1223="C",E1223="Z",E1223="L"),J1223=3),VLOOKUP(_xlfn.MINIFS('FIRE TEX 5090'!$B$5:$B$43,'FIRE TEX 5090'!$B$5:$B$43,"&gt;="&amp;M1223),'FIRE TEX 5090'!$B$5:$H$43,IF(L1223="F-15",2,IF(L1223="F-30",3,IF(L1223="F-60",4,IF(L1223="F-90",5,IF(L1223="F-120",6,IF(L1223="F-150",7,0)))))),0),0)+IF(AND(O1223="FIRE TEX 5090",OR(E1223="IN",E1223="C",E1223="Z",E1223="L"),J1223=4),VLOOKUP(_xlfn.MINIFS('FIRE TEX 5090'!$J$5:$J$43,'FIRE TEX 5090'!$J$5:$J$43,"&gt;="&amp;M1223),'FIRE TEX 5090'!$J$5:$P$43,IF(L1223="F-15",2,IF(L1223="F-30",3,IF(L1223="F-60",4,IF(L1223="F-90",5,IF(L1223="F-120",6,IF(L1223="F-150",7,0)))))),0),0)+IF(AND(O1223="FIRE TEX 5090",E1223="CJ",J1223=3),VLOOKUP(_xlfn.MINIFS('FIRE TEX 5090'!$R$5:$R$30,'FIRE TEX 5090'!$R$5:$R$30,"&gt;="&amp;M1223),'FIRE TEX 5090'!$R$5:$W$30,IF(L1223="F-15",2,IF(L1223="F-30",3,IF(L1223="F-60",4,IF(L1223="F-90",5,IF(L1223="F-120",6,IF(L1223="F-150",7,0)))))),0),0)+IF(AND(O1223="FIRE TEX 5090",E1223="CJ",J1223=4),VLOOKUP(_xlfn.MINIFS('FIRE TEX 5090'!$Y$5:$Y$39,'FIRE TEX 5090'!$Y$5:$Y$39,"&gt;="&amp;M1223),'FIRE TEX 5090'!$Y$5:$AD$39,IF(L1223="F-15",2,IF(L1223="F-30",3,IF(L1223="F-60",4,IF(L1223="F-90",5,IF(L1223="F-120",6,IF(L1223="F-150",7,0)))))),0),0)+IF(AND(O1223="FIRE TEX 5120",OR(E1223="IN",E1223="C",E1223="Z",E1223="L"),J1223=3),VLOOKUP(_xlfn.MINIFS('FIRE TEX 5120'!$B$5:$B$40,'FIRE TEX 5120'!$B$5:$B$40,"&gt;="&amp;M1223),'FIRE TEX 5120'!$B$5:$G$40,IF(L1223="F-15",2,IF(L1223="F-30",3,IF(L1223="F-60",4,IF(L1223="F-90",5,IF(L1223="F-120",6,0))))),0),0)+IF(AND(O1223="FIRE TEX 5120",OR(E1223="IN",E1223="C",E1223="Z",E1223="L"),J1223=4),VLOOKUP(_xlfn.MINIFS('FIRE TEX 5120'!$H$4:$H$40,'FIRE TEX 5120'!$H$4:$H$40,"&gt;="&amp;M1223),'FIRE TEX 5120'!$H$4:$M$40,IF(L1223="F-15",2,IF(L1223="F-30",3,IF(L1223="F-60",4,IF(L1223="F-90",5,IF(L1223="F-120",6,0))))),0),0)+IF(AND(O1223="FIRE TEX 5120",E1223="CJ"),VLOOKUP(_xlfn.MINIFS('FIRE TEX 5120'!$O$5:$O$40,'FIRE TEX 5120'!$O$5:$O$40,"&gt;="&amp;M1223),'FIRE TEX 5120'!$O$5:$T$40,IF(L1223="F-15",2,IF(L1223="F-30",3,IF(L1223="F-60",4,IF(L1223="F-90",5,IF(L1223="F-120",6,0))))),0),0)</f>
        <v>0</v>
      </c>
      <c r="Q1223" s="46">
        <f t="shared" si="114"/>
        <v>0</v>
      </c>
      <c r="R1223" s="46">
        <f t="shared" si="115"/>
        <v>0</v>
      </c>
      <c r="S1223" s="46" t="e">
        <f t="shared" si="116"/>
        <v>#VALUE!</v>
      </c>
      <c r="T1223" s="677">
        <f t="shared" si="117"/>
        <v>0</v>
      </c>
      <c r="U1223" s="80">
        <f>(IF(O1223="Stofire",(S1223*#REF!),0))+(IF(O1223="Fire Control",(S1223*$U$2),0))+(IF(O1223="Fire Tex",(S1223*$U$3),0))+(IF(O1223="WB7",(S1223*#REF!),0)+(IF(O1223="FX 2003",(S1223*$U$5),0)))</f>
        <v>0</v>
      </c>
      <c r="V1223" s="651">
        <f t="shared" si="118"/>
        <v>0</v>
      </c>
    </row>
    <row r="1224" spans="4:22" x14ac:dyDescent="0.25">
      <c r="D1224" s="118">
        <f>+CUBICACION!D1223</f>
        <v>0</v>
      </c>
      <c r="E1224" s="118">
        <f>+CUBICACION!F1223</f>
        <v>0</v>
      </c>
      <c r="F1224" s="118">
        <f>+CUBICACION!E1223</f>
        <v>0</v>
      </c>
      <c r="G1224" s="118">
        <v>12</v>
      </c>
      <c r="H1224" s="118">
        <v>2</v>
      </c>
      <c r="I1224" s="820">
        <v>26385</v>
      </c>
      <c r="J1224" s="118">
        <f>+CUBICACION!J1223</f>
        <v>0</v>
      </c>
      <c r="K1224" s="118">
        <v>4003</v>
      </c>
      <c r="L1224" s="118">
        <f>+CUBICACION!L1223</f>
        <v>0</v>
      </c>
      <c r="M1224" s="64">
        <f>+CUBICACION!M1223</f>
        <v>0</v>
      </c>
      <c r="N1224" s="824" t="str">
        <f>+CUBICACION!N1223</f>
        <v/>
      </c>
      <c r="O1224" s="675">
        <f>+CUBICACION!O1223</f>
        <v>0</v>
      </c>
      <c r="P1224" s="15">
        <f>IF(O1224="Fire Control",VLOOKUP(_xlfn.MINIFS('FIRE CONTROL'!$C$4:$C$37,'FIRE CONTROL'!$C$4:$C$37,"&gt;="&amp;M1224),'FIRE CONTROL'!$C$4:$G$37,IF(L1224="F-15",2,IF(L1224="F-30",3,IF(L1224="F-60",4,IF(L1224="F-90",5,0)))),0),0)+IF(AND(O1224="FIRE TEX 5062",OR(E1224="IN",E1224="C",E1224="Z",E1224="L"),J1224=3),VLOOKUP(_xlfn.MINIFS('FIRE TEX 5062'!$B$4:$B$34,'FIRE TEX 5062'!$B$4:$B$34,"&gt;="&amp;M1224),'FIRE TEX 5062'!$B$4:$F$34,IF(L1224="F-15",2,IF(L1224="F-30",3,IF(L1224="F-60",4,IF(L1224="F-90",5,0)))),0),0)+IF(AND(O1224="FIRE TEX 5062",OR(E1224="IN",E1224="C",E1224="Z",E1224="L"),J1224=4),VLOOKUP(_xlfn.MINIFS('FIRE TEX 5062'!$G$4:$G$34,'FIRE TEX 5062'!$G$4:$G$34,"&gt;="&amp;M1224),'FIRE TEX 5062'!$G$4:$K$34,IF(L1224="F-15",2,IF(L1224="F-30",3,IF(L1224="F-60",4,IF(L1224="F-90",5,0)))),0),0)+IF(AND(O1224="FIRE TEX 5062",E1224="CJ",J1224=3),VLOOKUP(_xlfn.MINIFS('FIRE TEX 5062'!$L$4:$L$34,'FIRE TEX 5062'!$L$4:$L$34,"&gt;="&amp;M1224),'FIRE TEX 5062'!$L$4:$P$34,IF(L1224="F-15",2,IF(L1224="F-30",3,IF(L1224="F-60",4,IF(L1224="F-90",5,0)))),0),0)+IF(AND(O1224="FIRE TEX 5062",E1224="CJ",J1224=4),VLOOKUP(_xlfn.MINIFS('FIRE TEX 5062'!$Q$3:$Q$34,'FIRE TEX 5062'!$Q$3:$Q$34,"&gt;="&amp;M1224),'FIRE TEX 5062'!$Q$3:$U$34,IF(L1224="F-15",2,IF(L1224="F-30",3,IF(L1224="F-60",4,IF(L1224="F-90",5,0)))),0),0)+IF(AND(O1224="FIRE TEX 5090",OR(E1224="IN",E1224="C",E1224="Z",E1224="L"),J1224=3),VLOOKUP(_xlfn.MINIFS('FIRE TEX 5090'!$B$5:$B$43,'FIRE TEX 5090'!$B$5:$B$43,"&gt;="&amp;M1224),'FIRE TEX 5090'!$B$5:$H$43,IF(L1224="F-15",2,IF(L1224="F-30",3,IF(L1224="F-60",4,IF(L1224="F-90",5,IF(L1224="F-120",6,IF(L1224="F-150",7,0)))))),0),0)+IF(AND(O1224="FIRE TEX 5090",OR(E1224="IN",E1224="C",E1224="Z",E1224="L"),J1224=4),VLOOKUP(_xlfn.MINIFS('FIRE TEX 5090'!$J$5:$J$43,'FIRE TEX 5090'!$J$5:$J$43,"&gt;="&amp;M1224),'FIRE TEX 5090'!$J$5:$P$43,IF(L1224="F-15",2,IF(L1224="F-30",3,IF(L1224="F-60",4,IF(L1224="F-90",5,IF(L1224="F-120",6,IF(L1224="F-150",7,0)))))),0),0)+IF(AND(O1224="FIRE TEX 5090",E1224="CJ",J1224=3),VLOOKUP(_xlfn.MINIFS('FIRE TEX 5090'!$R$5:$R$30,'FIRE TEX 5090'!$R$5:$R$30,"&gt;="&amp;M1224),'FIRE TEX 5090'!$R$5:$W$30,IF(L1224="F-15",2,IF(L1224="F-30",3,IF(L1224="F-60",4,IF(L1224="F-90",5,IF(L1224="F-120",6,IF(L1224="F-150",7,0)))))),0),0)+IF(AND(O1224="FIRE TEX 5090",E1224="CJ",J1224=4),VLOOKUP(_xlfn.MINIFS('FIRE TEX 5090'!$Y$5:$Y$39,'FIRE TEX 5090'!$Y$5:$Y$39,"&gt;="&amp;M1224),'FIRE TEX 5090'!$Y$5:$AD$39,IF(L1224="F-15",2,IF(L1224="F-30",3,IF(L1224="F-60",4,IF(L1224="F-90",5,IF(L1224="F-120",6,IF(L1224="F-150",7,0)))))),0),0)+IF(AND(O1224="FIRE TEX 5120",OR(E1224="IN",E1224="C",E1224="Z",E1224="L"),J1224=3),VLOOKUP(_xlfn.MINIFS('FIRE TEX 5120'!$B$5:$B$40,'FIRE TEX 5120'!$B$5:$B$40,"&gt;="&amp;M1224),'FIRE TEX 5120'!$B$5:$G$40,IF(L1224="F-15",2,IF(L1224="F-30",3,IF(L1224="F-60",4,IF(L1224="F-90",5,IF(L1224="F-120",6,0))))),0),0)+IF(AND(O1224="FIRE TEX 5120",OR(E1224="IN",E1224="C",E1224="Z",E1224="L"),J1224=4),VLOOKUP(_xlfn.MINIFS('FIRE TEX 5120'!$H$4:$H$40,'FIRE TEX 5120'!$H$4:$H$40,"&gt;="&amp;M1224),'FIRE TEX 5120'!$H$4:$M$40,IF(L1224="F-15",2,IF(L1224="F-30",3,IF(L1224="F-60",4,IF(L1224="F-90",5,IF(L1224="F-120",6,0))))),0),0)+IF(AND(O1224="FIRE TEX 5120",E1224="CJ"),VLOOKUP(_xlfn.MINIFS('FIRE TEX 5120'!$O$5:$O$40,'FIRE TEX 5120'!$O$5:$O$40,"&gt;="&amp;M1224),'FIRE TEX 5120'!$O$5:$T$40,IF(L1224="F-15",2,IF(L1224="F-30",3,IF(L1224="F-60",4,IF(L1224="F-90",5,IF(L1224="F-120",6,0))))),0),0)</f>
        <v>0</v>
      </c>
      <c r="Q1224" s="46">
        <f t="shared" si="114"/>
        <v>0</v>
      </c>
      <c r="R1224" s="46">
        <f t="shared" si="115"/>
        <v>0</v>
      </c>
      <c r="S1224" s="46" t="e">
        <f t="shared" si="116"/>
        <v>#VALUE!</v>
      </c>
      <c r="T1224" s="677">
        <f t="shared" si="117"/>
        <v>0</v>
      </c>
      <c r="U1224" s="80">
        <f>(IF(O1224="Stofire",(S1224*#REF!),0))+(IF(O1224="Fire Control",(S1224*$U$2),0))+(IF(O1224="Fire Tex",(S1224*$U$3),0))+(IF(O1224="WB7",(S1224*#REF!),0)+(IF(O1224="FX 2003",(S1224*$U$5),0)))</f>
        <v>0</v>
      </c>
      <c r="V1224" s="651">
        <f t="shared" si="118"/>
        <v>0</v>
      </c>
    </row>
    <row r="1225" spans="4:22" x14ac:dyDescent="0.25">
      <c r="D1225" s="118">
        <f>+CUBICACION!D1224</f>
        <v>0</v>
      </c>
      <c r="E1225" s="118">
        <f>+CUBICACION!F1224</f>
        <v>0</v>
      </c>
      <c r="F1225" s="118">
        <f>+CUBICACION!E1224</f>
        <v>0</v>
      </c>
      <c r="G1225" s="118">
        <v>12</v>
      </c>
      <c r="H1225" s="118">
        <v>2</v>
      </c>
      <c r="I1225" s="820">
        <v>26385</v>
      </c>
      <c r="J1225" s="118">
        <f>+CUBICACION!J1224</f>
        <v>0</v>
      </c>
      <c r="K1225" s="118">
        <v>4004</v>
      </c>
      <c r="L1225" s="118">
        <f>+CUBICACION!L1224</f>
        <v>0</v>
      </c>
      <c r="M1225" s="64">
        <f>+CUBICACION!M1224</f>
        <v>0</v>
      </c>
      <c r="N1225" s="824" t="str">
        <f>+CUBICACION!N1224</f>
        <v/>
      </c>
      <c r="O1225" s="675">
        <f>+CUBICACION!O1224</f>
        <v>0</v>
      </c>
      <c r="P1225" s="15">
        <f>IF(O1225="Fire Control",VLOOKUP(_xlfn.MINIFS('FIRE CONTROL'!$C$4:$C$37,'FIRE CONTROL'!$C$4:$C$37,"&gt;="&amp;M1225),'FIRE CONTROL'!$C$4:$G$37,IF(L1225="F-15",2,IF(L1225="F-30",3,IF(L1225="F-60",4,IF(L1225="F-90",5,0)))),0),0)+IF(AND(O1225="FIRE TEX 5062",OR(E1225="IN",E1225="C",E1225="Z",E1225="L"),J1225=3),VLOOKUP(_xlfn.MINIFS('FIRE TEX 5062'!$B$4:$B$34,'FIRE TEX 5062'!$B$4:$B$34,"&gt;="&amp;M1225),'FIRE TEX 5062'!$B$4:$F$34,IF(L1225="F-15",2,IF(L1225="F-30",3,IF(L1225="F-60",4,IF(L1225="F-90",5,0)))),0),0)+IF(AND(O1225="FIRE TEX 5062",OR(E1225="IN",E1225="C",E1225="Z",E1225="L"),J1225=4),VLOOKUP(_xlfn.MINIFS('FIRE TEX 5062'!$G$4:$G$34,'FIRE TEX 5062'!$G$4:$G$34,"&gt;="&amp;M1225),'FIRE TEX 5062'!$G$4:$K$34,IF(L1225="F-15",2,IF(L1225="F-30",3,IF(L1225="F-60",4,IF(L1225="F-90",5,0)))),0),0)+IF(AND(O1225="FIRE TEX 5062",E1225="CJ",J1225=3),VLOOKUP(_xlfn.MINIFS('FIRE TEX 5062'!$L$4:$L$34,'FIRE TEX 5062'!$L$4:$L$34,"&gt;="&amp;M1225),'FIRE TEX 5062'!$L$4:$P$34,IF(L1225="F-15",2,IF(L1225="F-30",3,IF(L1225="F-60",4,IF(L1225="F-90",5,0)))),0),0)+IF(AND(O1225="FIRE TEX 5062",E1225="CJ",J1225=4),VLOOKUP(_xlfn.MINIFS('FIRE TEX 5062'!$Q$3:$Q$34,'FIRE TEX 5062'!$Q$3:$Q$34,"&gt;="&amp;M1225),'FIRE TEX 5062'!$Q$3:$U$34,IF(L1225="F-15",2,IF(L1225="F-30",3,IF(L1225="F-60",4,IF(L1225="F-90",5,0)))),0),0)+IF(AND(O1225="FIRE TEX 5090",OR(E1225="IN",E1225="C",E1225="Z",E1225="L"),J1225=3),VLOOKUP(_xlfn.MINIFS('FIRE TEX 5090'!$B$5:$B$43,'FIRE TEX 5090'!$B$5:$B$43,"&gt;="&amp;M1225),'FIRE TEX 5090'!$B$5:$H$43,IF(L1225="F-15",2,IF(L1225="F-30",3,IF(L1225="F-60",4,IF(L1225="F-90",5,IF(L1225="F-120",6,IF(L1225="F-150",7,0)))))),0),0)+IF(AND(O1225="FIRE TEX 5090",OR(E1225="IN",E1225="C",E1225="Z",E1225="L"),J1225=4),VLOOKUP(_xlfn.MINIFS('FIRE TEX 5090'!$J$5:$J$43,'FIRE TEX 5090'!$J$5:$J$43,"&gt;="&amp;M1225),'FIRE TEX 5090'!$J$5:$P$43,IF(L1225="F-15",2,IF(L1225="F-30",3,IF(L1225="F-60",4,IF(L1225="F-90",5,IF(L1225="F-120",6,IF(L1225="F-150",7,0)))))),0),0)+IF(AND(O1225="FIRE TEX 5090",E1225="CJ",J1225=3),VLOOKUP(_xlfn.MINIFS('FIRE TEX 5090'!$R$5:$R$30,'FIRE TEX 5090'!$R$5:$R$30,"&gt;="&amp;M1225),'FIRE TEX 5090'!$R$5:$W$30,IF(L1225="F-15",2,IF(L1225="F-30",3,IF(L1225="F-60",4,IF(L1225="F-90",5,IF(L1225="F-120",6,IF(L1225="F-150",7,0)))))),0),0)+IF(AND(O1225="FIRE TEX 5090",E1225="CJ",J1225=4),VLOOKUP(_xlfn.MINIFS('FIRE TEX 5090'!$Y$5:$Y$39,'FIRE TEX 5090'!$Y$5:$Y$39,"&gt;="&amp;M1225),'FIRE TEX 5090'!$Y$5:$AD$39,IF(L1225="F-15",2,IF(L1225="F-30",3,IF(L1225="F-60",4,IF(L1225="F-90",5,IF(L1225="F-120",6,IF(L1225="F-150",7,0)))))),0),0)+IF(AND(O1225="FIRE TEX 5120",OR(E1225="IN",E1225="C",E1225="Z",E1225="L"),J1225=3),VLOOKUP(_xlfn.MINIFS('FIRE TEX 5120'!$B$5:$B$40,'FIRE TEX 5120'!$B$5:$B$40,"&gt;="&amp;M1225),'FIRE TEX 5120'!$B$5:$G$40,IF(L1225="F-15",2,IF(L1225="F-30",3,IF(L1225="F-60",4,IF(L1225="F-90",5,IF(L1225="F-120",6,0))))),0),0)+IF(AND(O1225="FIRE TEX 5120",OR(E1225="IN",E1225="C",E1225="Z",E1225="L"),J1225=4),VLOOKUP(_xlfn.MINIFS('FIRE TEX 5120'!$H$4:$H$40,'FIRE TEX 5120'!$H$4:$H$40,"&gt;="&amp;M1225),'FIRE TEX 5120'!$H$4:$M$40,IF(L1225="F-15",2,IF(L1225="F-30",3,IF(L1225="F-60",4,IF(L1225="F-90",5,IF(L1225="F-120",6,0))))),0),0)+IF(AND(O1225="FIRE TEX 5120",E1225="CJ"),VLOOKUP(_xlfn.MINIFS('FIRE TEX 5120'!$O$5:$O$40,'FIRE TEX 5120'!$O$5:$O$40,"&gt;="&amp;M1225),'FIRE TEX 5120'!$O$5:$T$40,IF(L1225="F-15",2,IF(L1225="F-30",3,IF(L1225="F-60",4,IF(L1225="F-90",5,IF(L1225="F-120",6,0))))),0),0)</f>
        <v>0</v>
      </c>
      <c r="Q1225" s="46">
        <f t="shared" si="114"/>
        <v>0</v>
      </c>
      <c r="R1225" s="46">
        <f t="shared" si="115"/>
        <v>0</v>
      </c>
      <c r="S1225" s="46" t="e">
        <f t="shared" si="116"/>
        <v>#VALUE!</v>
      </c>
      <c r="T1225" s="677">
        <f t="shared" si="117"/>
        <v>0</v>
      </c>
      <c r="U1225" s="80">
        <f>(IF(O1225="Stofire",(S1225*#REF!),0))+(IF(O1225="Fire Control",(S1225*$U$2),0))+(IF(O1225="Fire Tex",(S1225*$U$3),0))+(IF(O1225="WB7",(S1225*#REF!),0)+(IF(O1225="FX 2003",(S1225*$U$5),0)))</f>
        <v>0</v>
      </c>
      <c r="V1225" s="651">
        <f t="shared" si="118"/>
        <v>0</v>
      </c>
    </row>
    <row r="1226" spans="4:22" x14ac:dyDescent="0.25">
      <c r="D1226" s="118">
        <f>+CUBICACION!D1225</f>
        <v>0</v>
      </c>
      <c r="E1226" s="118">
        <f>+CUBICACION!F1225</f>
        <v>0</v>
      </c>
      <c r="F1226" s="118">
        <f>+CUBICACION!E1225</f>
        <v>0</v>
      </c>
      <c r="G1226" s="118">
        <v>12</v>
      </c>
      <c r="H1226" s="118">
        <v>2</v>
      </c>
      <c r="I1226" s="820">
        <v>26385</v>
      </c>
      <c r="J1226" s="118">
        <f>+CUBICACION!J1225</f>
        <v>0</v>
      </c>
      <c r="K1226" s="118">
        <v>4005</v>
      </c>
      <c r="L1226" s="118">
        <f>+CUBICACION!L1225</f>
        <v>0</v>
      </c>
      <c r="M1226" s="64">
        <f>+CUBICACION!M1225</f>
        <v>0</v>
      </c>
      <c r="N1226" s="824" t="str">
        <f>+CUBICACION!N1225</f>
        <v/>
      </c>
      <c r="O1226" s="675">
        <f>+CUBICACION!O1225</f>
        <v>0</v>
      </c>
      <c r="P1226" s="15">
        <f>IF(O1226="Fire Control",VLOOKUP(_xlfn.MINIFS('FIRE CONTROL'!$C$4:$C$37,'FIRE CONTROL'!$C$4:$C$37,"&gt;="&amp;M1226),'FIRE CONTROL'!$C$4:$G$37,IF(L1226="F-15",2,IF(L1226="F-30",3,IF(L1226="F-60",4,IF(L1226="F-90",5,0)))),0),0)+IF(AND(O1226="FIRE TEX 5062",OR(E1226="IN",E1226="C",E1226="Z",E1226="L"),J1226=3),VLOOKUP(_xlfn.MINIFS('FIRE TEX 5062'!$B$4:$B$34,'FIRE TEX 5062'!$B$4:$B$34,"&gt;="&amp;M1226),'FIRE TEX 5062'!$B$4:$F$34,IF(L1226="F-15",2,IF(L1226="F-30",3,IF(L1226="F-60",4,IF(L1226="F-90",5,0)))),0),0)+IF(AND(O1226="FIRE TEX 5062",OR(E1226="IN",E1226="C",E1226="Z",E1226="L"),J1226=4),VLOOKUP(_xlfn.MINIFS('FIRE TEX 5062'!$G$4:$G$34,'FIRE TEX 5062'!$G$4:$G$34,"&gt;="&amp;M1226),'FIRE TEX 5062'!$G$4:$K$34,IF(L1226="F-15",2,IF(L1226="F-30",3,IF(L1226="F-60",4,IF(L1226="F-90",5,0)))),0),0)+IF(AND(O1226="FIRE TEX 5062",E1226="CJ",J1226=3),VLOOKUP(_xlfn.MINIFS('FIRE TEX 5062'!$L$4:$L$34,'FIRE TEX 5062'!$L$4:$L$34,"&gt;="&amp;M1226),'FIRE TEX 5062'!$L$4:$P$34,IF(L1226="F-15",2,IF(L1226="F-30",3,IF(L1226="F-60",4,IF(L1226="F-90",5,0)))),0),0)+IF(AND(O1226="FIRE TEX 5062",E1226="CJ",J1226=4),VLOOKUP(_xlfn.MINIFS('FIRE TEX 5062'!$Q$3:$Q$34,'FIRE TEX 5062'!$Q$3:$Q$34,"&gt;="&amp;M1226),'FIRE TEX 5062'!$Q$3:$U$34,IF(L1226="F-15",2,IF(L1226="F-30",3,IF(L1226="F-60",4,IF(L1226="F-90",5,0)))),0),0)+IF(AND(O1226="FIRE TEX 5090",OR(E1226="IN",E1226="C",E1226="Z",E1226="L"),J1226=3),VLOOKUP(_xlfn.MINIFS('FIRE TEX 5090'!$B$5:$B$43,'FIRE TEX 5090'!$B$5:$B$43,"&gt;="&amp;M1226),'FIRE TEX 5090'!$B$5:$H$43,IF(L1226="F-15",2,IF(L1226="F-30",3,IF(L1226="F-60",4,IF(L1226="F-90",5,IF(L1226="F-120",6,IF(L1226="F-150",7,0)))))),0),0)+IF(AND(O1226="FIRE TEX 5090",OR(E1226="IN",E1226="C",E1226="Z",E1226="L"),J1226=4),VLOOKUP(_xlfn.MINIFS('FIRE TEX 5090'!$J$5:$J$43,'FIRE TEX 5090'!$J$5:$J$43,"&gt;="&amp;M1226),'FIRE TEX 5090'!$J$5:$P$43,IF(L1226="F-15",2,IF(L1226="F-30",3,IF(L1226="F-60",4,IF(L1226="F-90",5,IF(L1226="F-120",6,IF(L1226="F-150",7,0)))))),0),0)+IF(AND(O1226="FIRE TEX 5090",E1226="CJ",J1226=3),VLOOKUP(_xlfn.MINIFS('FIRE TEX 5090'!$R$5:$R$30,'FIRE TEX 5090'!$R$5:$R$30,"&gt;="&amp;M1226),'FIRE TEX 5090'!$R$5:$W$30,IF(L1226="F-15",2,IF(L1226="F-30",3,IF(L1226="F-60",4,IF(L1226="F-90",5,IF(L1226="F-120",6,IF(L1226="F-150",7,0)))))),0),0)+IF(AND(O1226="FIRE TEX 5090",E1226="CJ",J1226=4),VLOOKUP(_xlfn.MINIFS('FIRE TEX 5090'!$Y$5:$Y$39,'FIRE TEX 5090'!$Y$5:$Y$39,"&gt;="&amp;M1226),'FIRE TEX 5090'!$Y$5:$AD$39,IF(L1226="F-15",2,IF(L1226="F-30",3,IF(L1226="F-60",4,IF(L1226="F-90",5,IF(L1226="F-120",6,IF(L1226="F-150",7,0)))))),0),0)+IF(AND(O1226="FIRE TEX 5120",OR(E1226="IN",E1226="C",E1226="Z",E1226="L"),J1226=3),VLOOKUP(_xlfn.MINIFS('FIRE TEX 5120'!$B$5:$B$40,'FIRE TEX 5120'!$B$5:$B$40,"&gt;="&amp;M1226),'FIRE TEX 5120'!$B$5:$G$40,IF(L1226="F-15",2,IF(L1226="F-30",3,IF(L1226="F-60",4,IF(L1226="F-90",5,IF(L1226="F-120",6,0))))),0),0)+IF(AND(O1226="FIRE TEX 5120",OR(E1226="IN",E1226="C",E1226="Z",E1226="L"),J1226=4),VLOOKUP(_xlfn.MINIFS('FIRE TEX 5120'!$H$4:$H$40,'FIRE TEX 5120'!$H$4:$H$40,"&gt;="&amp;M1226),'FIRE TEX 5120'!$H$4:$M$40,IF(L1226="F-15",2,IF(L1226="F-30",3,IF(L1226="F-60",4,IF(L1226="F-90",5,IF(L1226="F-120",6,0))))),0),0)+IF(AND(O1226="FIRE TEX 5120",E1226="CJ"),VLOOKUP(_xlfn.MINIFS('FIRE TEX 5120'!$O$5:$O$40,'FIRE TEX 5120'!$O$5:$O$40,"&gt;="&amp;M1226),'FIRE TEX 5120'!$O$5:$T$40,IF(L1226="F-15",2,IF(L1226="F-30",3,IF(L1226="F-60",4,IF(L1226="F-90",5,IF(L1226="F-120",6,0))))),0),0)</f>
        <v>0</v>
      </c>
      <c r="Q1226" s="46">
        <f t="shared" si="114"/>
        <v>0</v>
      </c>
      <c r="R1226" s="46">
        <f t="shared" si="115"/>
        <v>0</v>
      </c>
      <c r="S1226" s="46" t="e">
        <f t="shared" si="116"/>
        <v>#VALUE!</v>
      </c>
      <c r="T1226" s="677">
        <f t="shared" si="117"/>
        <v>0</v>
      </c>
      <c r="U1226" s="80">
        <f>(IF(O1226="Stofire",(S1226*#REF!),0))+(IF(O1226="Fire Control",(S1226*$U$2),0))+(IF(O1226="Fire Tex",(S1226*$U$3),0))+(IF(O1226="WB7",(S1226*#REF!),0)+(IF(O1226="FX 2003",(S1226*$U$5),0)))</f>
        <v>0</v>
      </c>
      <c r="V1226" s="651">
        <f t="shared" si="118"/>
        <v>0</v>
      </c>
    </row>
    <row r="1227" spans="4:22" x14ac:dyDescent="0.25">
      <c r="D1227" s="118">
        <f>+CUBICACION!D1226</f>
        <v>0</v>
      </c>
      <c r="E1227" s="118">
        <f>+CUBICACION!F1226</f>
        <v>0</v>
      </c>
      <c r="F1227" s="118">
        <f>+CUBICACION!E1226</f>
        <v>0</v>
      </c>
      <c r="G1227" s="118">
        <v>12</v>
      </c>
      <c r="H1227" s="118">
        <v>2</v>
      </c>
      <c r="I1227" s="820">
        <v>26385</v>
      </c>
      <c r="J1227" s="118">
        <f>+CUBICACION!J1226</f>
        <v>0</v>
      </c>
      <c r="K1227" s="118">
        <v>4006</v>
      </c>
      <c r="L1227" s="118">
        <f>+CUBICACION!L1226</f>
        <v>0</v>
      </c>
      <c r="M1227" s="64">
        <f>+CUBICACION!M1226</f>
        <v>0</v>
      </c>
      <c r="N1227" s="824" t="str">
        <f>+CUBICACION!N1226</f>
        <v/>
      </c>
      <c r="O1227" s="675">
        <f>+CUBICACION!O1226</f>
        <v>0</v>
      </c>
      <c r="P1227" s="15">
        <f>IF(O1227="Fire Control",VLOOKUP(_xlfn.MINIFS('FIRE CONTROL'!$C$4:$C$37,'FIRE CONTROL'!$C$4:$C$37,"&gt;="&amp;M1227),'FIRE CONTROL'!$C$4:$G$37,IF(L1227="F-15",2,IF(L1227="F-30",3,IF(L1227="F-60",4,IF(L1227="F-90",5,0)))),0),0)+IF(AND(O1227="FIRE TEX 5062",OR(E1227="IN",E1227="C",E1227="Z",E1227="L"),J1227=3),VLOOKUP(_xlfn.MINIFS('FIRE TEX 5062'!$B$4:$B$34,'FIRE TEX 5062'!$B$4:$B$34,"&gt;="&amp;M1227),'FIRE TEX 5062'!$B$4:$F$34,IF(L1227="F-15",2,IF(L1227="F-30",3,IF(L1227="F-60",4,IF(L1227="F-90",5,0)))),0),0)+IF(AND(O1227="FIRE TEX 5062",OR(E1227="IN",E1227="C",E1227="Z",E1227="L"),J1227=4),VLOOKUP(_xlfn.MINIFS('FIRE TEX 5062'!$G$4:$G$34,'FIRE TEX 5062'!$G$4:$G$34,"&gt;="&amp;M1227),'FIRE TEX 5062'!$G$4:$K$34,IF(L1227="F-15",2,IF(L1227="F-30",3,IF(L1227="F-60",4,IF(L1227="F-90",5,0)))),0),0)+IF(AND(O1227="FIRE TEX 5062",E1227="CJ",J1227=3),VLOOKUP(_xlfn.MINIFS('FIRE TEX 5062'!$L$4:$L$34,'FIRE TEX 5062'!$L$4:$L$34,"&gt;="&amp;M1227),'FIRE TEX 5062'!$L$4:$P$34,IF(L1227="F-15",2,IF(L1227="F-30",3,IF(L1227="F-60",4,IF(L1227="F-90",5,0)))),0),0)+IF(AND(O1227="FIRE TEX 5062",E1227="CJ",J1227=4),VLOOKUP(_xlfn.MINIFS('FIRE TEX 5062'!$Q$3:$Q$34,'FIRE TEX 5062'!$Q$3:$Q$34,"&gt;="&amp;M1227),'FIRE TEX 5062'!$Q$3:$U$34,IF(L1227="F-15",2,IF(L1227="F-30",3,IF(L1227="F-60",4,IF(L1227="F-90",5,0)))),0),0)+IF(AND(O1227="FIRE TEX 5090",OR(E1227="IN",E1227="C",E1227="Z",E1227="L"),J1227=3),VLOOKUP(_xlfn.MINIFS('FIRE TEX 5090'!$B$5:$B$43,'FIRE TEX 5090'!$B$5:$B$43,"&gt;="&amp;M1227),'FIRE TEX 5090'!$B$5:$H$43,IF(L1227="F-15",2,IF(L1227="F-30",3,IF(L1227="F-60",4,IF(L1227="F-90",5,IF(L1227="F-120",6,IF(L1227="F-150",7,0)))))),0),0)+IF(AND(O1227="FIRE TEX 5090",OR(E1227="IN",E1227="C",E1227="Z",E1227="L"),J1227=4),VLOOKUP(_xlfn.MINIFS('FIRE TEX 5090'!$J$5:$J$43,'FIRE TEX 5090'!$J$5:$J$43,"&gt;="&amp;M1227),'FIRE TEX 5090'!$J$5:$P$43,IF(L1227="F-15",2,IF(L1227="F-30",3,IF(L1227="F-60",4,IF(L1227="F-90",5,IF(L1227="F-120",6,IF(L1227="F-150",7,0)))))),0),0)+IF(AND(O1227="FIRE TEX 5090",E1227="CJ",J1227=3),VLOOKUP(_xlfn.MINIFS('FIRE TEX 5090'!$R$5:$R$30,'FIRE TEX 5090'!$R$5:$R$30,"&gt;="&amp;M1227),'FIRE TEX 5090'!$R$5:$W$30,IF(L1227="F-15",2,IF(L1227="F-30",3,IF(L1227="F-60",4,IF(L1227="F-90",5,IF(L1227="F-120",6,IF(L1227="F-150",7,0)))))),0),0)+IF(AND(O1227="FIRE TEX 5090",E1227="CJ",J1227=4),VLOOKUP(_xlfn.MINIFS('FIRE TEX 5090'!$Y$5:$Y$39,'FIRE TEX 5090'!$Y$5:$Y$39,"&gt;="&amp;M1227),'FIRE TEX 5090'!$Y$5:$AD$39,IF(L1227="F-15",2,IF(L1227="F-30",3,IF(L1227="F-60",4,IF(L1227="F-90",5,IF(L1227="F-120",6,IF(L1227="F-150",7,0)))))),0),0)+IF(AND(O1227="FIRE TEX 5120",OR(E1227="IN",E1227="C",E1227="Z",E1227="L"),J1227=3),VLOOKUP(_xlfn.MINIFS('FIRE TEX 5120'!$B$5:$B$40,'FIRE TEX 5120'!$B$5:$B$40,"&gt;="&amp;M1227),'FIRE TEX 5120'!$B$5:$G$40,IF(L1227="F-15",2,IF(L1227="F-30",3,IF(L1227="F-60",4,IF(L1227="F-90",5,IF(L1227="F-120",6,0))))),0),0)+IF(AND(O1227="FIRE TEX 5120",OR(E1227="IN",E1227="C",E1227="Z",E1227="L"),J1227=4),VLOOKUP(_xlfn.MINIFS('FIRE TEX 5120'!$H$4:$H$40,'FIRE TEX 5120'!$H$4:$H$40,"&gt;="&amp;M1227),'FIRE TEX 5120'!$H$4:$M$40,IF(L1227="F-15",2,IF(L1227="F-30",3,IF(L1227="F-60",4,IF(L1227="F-90",5,IF(L1227="F-120",6,0))))),0),0)+IF(AND(O1227="FIRE TEX 5120",E1227="CJ"),VLOOKUP(_xlfn.MINIFS('FIRE TEX 5120'!$O$5:$O$40,'FIRE TEX 5120'!$O$5:$O$40,"&gt;="&amp;M1227),'FIRE TEX 5120'!$O$5:$T$40,IF(L1227="F-15",2,IF(L1227="F-30",3,IF(L1227="F-60",4,IF(L1227="F-90",5,IF(L1227="F-120",6,0))))),0),0)</f>
        <v>0</v>
      </c>
      <c r="Q1227" s="46">
        <f t="shared" si="114"/>
        <v>0</v>
      </c>
      <c r="R1227" s="46">
        <f t="shared" si="115"/>
        <v>0</v>
      </c>
      <c r="S1227" s="46" t="e">
        <f t="shared" si="116"/>
        <v>#VALUE!</v>
      </c>
      <c r="T1227" s="677">
        <f t="shared" si="117"/>
        <v>0</v>
      </c>
      <c r="U1227" s="80">
        <f>(IF(O1227="Stofire",(S1227*#REF!),0))+(IF(O1227="Fire Control",(S1227*$U$2),0))+(IF(O1227="Fire Tex",(S1227*$U$3),0))+(IF(O1227="WB7",(S1227*#REF!),0)+(IF(O1227="FX 2003",(S1227*$U$5),0)))</f>
        <v>0</v>
      </c>
      <c r="V1227" s="651">
        <f t="shared" si="118"/>
        <v>0</v>
      </c>
    </row>
    <row r="1228" spans="4:22" x14ac:dyDescent="0.25">
      <c r="D1228" s="118">
        <f>+CUBICACION!D1227</f>
        <v>0</v>
      </c>
      <c r="E1228" s="118">
        <f>+CUBICACION!F1227</f>
        <v>0</v>
      </c>
      <c r="F1228" s="118">
        <f>+CUBICACION!E1227</f>
        <v>0</v>
      </c>
      <c r="G1228" s="118">
        <v>12</v>
      </c>
      <c r="H1228" s="118">
        <v>2</v>
      </c>
      <c r="I1228" s="820">
        <v>26385</v>
      </c>
      <c r="J1228" s="118">
        <f>+CUBICACION!J1227</f>
        <v>0</v>
      </c>
      <c r="K1228" s="118">
        <v>4007</v>
      </c>
      <c r="L1228" s="118">
        <f>+CUBICACION!L1227</f>
        <v>0</v>
      </c>
      <c r="M1228" s="64">
        <f>+CUBICACION!M1227</f>
        <v>0</v>
      </c>
      <c r="N1228" s="824" t="str">
        <f>+CUBICACION!N1227</f>
        <v/>
      </c>
      <c r="O1228" s="675">
        <f>+CUBICACION!O1227</f>
        <v>0</v>
      </c>
      <c r="P1228" s="15">
        <f>IF(O1228="Fire Control",VLOOKUP(_xlfn.MINIFS('FIRE CONTROL'!$C$4:$C$37,'FIRE CONTROL'!$C$4:$C$37,"&gt;="&amp;M1228),'FIRE CONTROL'!$C$4:$G$37,IF(L1228="F-15",2,IF(L1228="F-30",3,IF(L1228="F-60",4,IF(L1228="F-90",5,0)))),0),0)+IF(AND(O1228="FIRE TEX 5062",OR(E1228="IN",E1228="C",E1228="Z",E1228="L"),J1228=3),VLOOKUP(_xlfn.MINIFS('FIRE TEX 5062'!$B$4:$B$34,'FIRE TEX 5062'!$B$4:$B$34,"&gt;="&amp;M1228),'FIRE TEX 5062'!$B$4:$F$34,IF(L1228="F-15",2,IF(L1228="F-30",3,IF(L1228="F-60",4,IF(L1228="F-90",5,0)))),0),0)+IF(AND(O1228="FIRE TEX 5062",OR(E1228="IN",E1228="C",E1228="Z",E1228="L"),J1228=4),VLOOKUP(_xlfn.MINIFS('FIRE TEX 5062'!$G$4:$G$34,'FIRE TEX 5062'!$G$4:$G$34,"&gt;="&amp;M1228),'FIRE TEX 5062'!$G$4:$K$34,IF(L1228="F-15",2,IF(L1228="F-30",3,IF(L1228="F-60",4,IF(L1228="F-90",5,0)))),0),0)+IF(AND(O1228="FIRE TEX 5062",E1228="CJ",J1228=3),VLOOKUP(_xlfn.MINIFS('FIRE TEX 5062'!$L$4:$L$34,'FIRE TEX 5062'!$L$4:$L$34,"&gt;="&amp;M1228),'FIRE TEX 5062'!$L$4:$P$34,IF(L1228="F-15",2,IF(L1228="F-30",3,IF(L1228="F-60",4,IF(L1228="F-90",5,0)))),0),0)+IF(AND(O1228="FIRE TEX 5062",E1228="CJ",J1228=4),VLOOKUP(_xlfn.MINIFS('FIRE TEX 5062'!$Q$3:$Q$34,'FIRE TEX 5062'!$Q$3:$Q$34,"&gt;="&amp;M1228),'FIRE TEX 5062'!$Q$3:$U$34,IF(L1228="F-15",2,IF(L1228="F-30",3,IF(L1228="F-60",4,IF(L1228="F-90",5,0)))),0),0)+IF(AND(O1228="FIRE TEX 5090",OR(E1228="IN",E1228="C",E1228="Z",E1228="L"),J1228=3),VLOOKUP(_xlfn.MINIFS('FIRE TEX 5090'!$B$5:$B$43,'FIRE TEX 5090'!$B$5:$B$43,"&gt;="&amp;M1228),'FIRE TEX 5090'!$B$5:$H$43,IF(L1228="F-15",2,IF(L1228="F-30",3,IF(L1228="F-60",4,IF(L1228="F-90",5,IF(L1228="F-120",6,IF(L1228="F-150",7,0)))))),0),0)+IF(AND(O1228="FIRE TEX 5090",OR(E1228="IN",E1228="C",E1228="Z",E1228="L"),J1228=4),VLOOKUP(_xlfn.MINIFS('FIRE TEX 5090'!$J$5:$J$43,'FIRE TEX 5090'!$J$5:$J$43,"&gt;="&amp;M1228),'FIRE TEX 5090'!$J$5:$P$43,IF(L1228="F-15",2,IF(L1228="F-30",3,IF(L1228="F-60",4,IF(L1228="F-90",5,IF(L1228="F-120",6,IF(L1228="F-150",7,0)))))),0),0)+IF(AND(O1228="FIRE TEX 5090",E1228="CJ",J1228=3),VLOOKUP(_xlfn.MINIFS('FIRE TEX 5090'!$R$5:$R$30,'FIRE TEX 5090'!$R$5:$R$30,"&gt;="&amp;M1228),'FIRE TEX 5090'!$R$5:$W$30,IF(L1228="F-15",2,IF(L1228="F-30",3,IF(L1228="F-60",4,IF(L1228="F-90",5,IF(L1228="F-120",6,IF(L1228="F-150",7,0)))))),0),0)+IF(AND(O1228="FIRE TEX 5090",E1228="CJ",J1228=4),VLOOKUP(_xlfn.MINIFS('FIRE TEX 5090'!$Y$5:$Y$39,'FIRE TEX 5090'!$Y$5:$Y$39,"&gt;="&amp;M1228),'FIRE TEX 5090'!$Y$5:$AD$39,IF(L1228="F-15",2,IF(L1228="F-30",3,IF(L1228="F-60",4,IF(L1228="F-90",5,IF(L1228="F-120",6,IF(L1228="F-150",7,0)))))),0),0)+IF(AND(O1228="FIRE TEX 5120",OR(E1228="IN",E1228="C",E1228="Z",E1228="L"),J1228=3),VLOOKUP(_xlfn.MINIFS('FIRE TEX 5120'!$B$5:$B$40,'FIRE TEX 5120'!$B$5:$B$40,"&gt;="&amp;M1228),'FIRE TEX 5120'!$B$5:$G$40,IF(L1228="F-15",2,IF(L1228="F-30",3,IF(L1228="F-60",4,IF(L1228="F-90",5,IF(L1228="F-120",6,0))))),0),0)+IF(AND(O1228="FIRE TEX 5120",OR(E1228="IN",E1228="C",E1228="Z",E1228="L"),J1228=4),VLOOKUP(_xlfn.MINIFS('FIRE TEX 5120'!$H$4:$H$40,'FIRE TEX 5120'!$H$4:$H$40,"&gt;="&amp;M1228),'FIRE TEX 5120'!$H$4:$M$40,IF(L1228="F-15",2,IF(L1228="F-30",3,IF(L1228="F-60",4,IF(L1228="F-90",5,IF(L1228="F-120",6,0))))),0),0)+IF(AND(O1228="FIRE TEX 5120",E1228="CJ"),VLOOKUP(_xlfn.MINIFS('FIRE TEX 5120'!$O$5:$O$40,'FIRE TEX 5120'!$O$5:$O$40,"&gt;="&amp;M1228),'FIRE TEX 5120'!$O$5:$T$40,IF(L1228="F-15",2,IF(L1228="F-30",3,IF(L1228="F-60",4,IF(L1228="F-90",5,IF(L1228="F-120",6,0))))),0),0)</f>
        <v>0</v>
      </c>
      <c r="Q1228" s="46">
        <f t="shared" si="114"/>
        <v>0</v>
      </c>
      <c r="R1228" s="46">
        <f t="shared" si="115"/>
        <v>0</v>
      </c>
      <c r="S1228" s="46" t="e">
        <f t="shared" si="116"/>
        <v>#VALUE!</v>
      </c>
      <c r="T1228" s="677">
        <f t="shared" si="117"/>
        <v>0</v>
      </c>
      <c r="U1228" s="80">
        <f>(IF(O1228="Stofire",(S1228*#REF!),0))+(IF(O1228="Fire Control",(S1228*$U$2),0))+(IF(O1228="Fire Tex",(S1228*$U$3),0))+(IF(O1228="WB7",(S1228*#REF!),0)+(IF(O1228="FX 2003",(S1228*$U$5),0)))</f>
        <v>0</v>
      </c>
      <c r="V1228" s="651">
        <f t="shared" si="118"/>
        <v>0</v>
      </c>
    </row>
    <row r="1229" spans="4:22" x14ac:dyDescent="0.25">
      <c r="D1229" s="118">
        <f>+CUBICACION!D1228</f>
        <v>0</v>
      </c>
      <c r="E1229" s="118">
        <f>+CUBICACION!F1228</f>
        <v>0</v>
      </c>
      <c r="F1229" s="118">
        <f>+CUBICACION!E1228</f>
        <v>0</v>
      </c>
      <c r="G1229" s="118">
        <v>12</v>
      </c>
      <c r="H1229" s="118">
        <v>2</v>
      </c>
      <c r="I1229" s="820">
        <v>26385</v>
      </c>
      <c r="J1229" s="118">
        <f>+CUBICACION!J1228</f>
        <v>0</v>
      </c>
      <c r="K1229" s="118">
        <v>4008</v>
      </c>
      <c r="L1229" s="118">
        <f>+CUBICACION!L1228</f>
        <v>0</v>
      </c>
      <c r="M1229" s="64">
        <f>+CUBICACION!M1228</f>
        <v>0</v>
      </c>
      <c r="N1229" s="824" t="str">
        <f>+CUBICACION!N1228</f>
        <v/>
      </c>
      <c r="O1229" s="675">
        <f>+CUBICACION!O1228</f>
        <v>0</v>
      </c>
      <c r="P1229" s="15">
        <f>IF(O1229="Fire Control",VLOOKUP(_xlfn.MINIFS('FIRE CONTROL'!$C$4:$C$37,'FIRE CONTROL'!$C$4:$C$37,"&gt;="&amp;M1229),'FIRE CONTROL'!$C$4:$G$37,IF(L1229="F-15",2,IF(L1229="F-30",3,IF(L1229="F-60",4,IF(L1229="F-90",5,0)))),0),0)+IF(AND(O1229="FIRE TEX 5062",OR(E1229="IN",E1229="C",E1229="Z",E1229="L"),J1229=3),VLOOKUP(_xlfn.MINIFS('FIRE TEX 5062'!$B$4:$B$34,'FIRE TEX 5062'!$B$4:$B$34,"&gt;="&amp;M1229),'FIRE TEX 5062'!$B$4:$F$34,IF(L1229="F-15",2,IF(L1229="F-30",3,IF(L1229="F-60",4,IF(L1229="F-90",5,0)))),0),0)+IF(AND(O1229="FIRE TEX 5062",OR(E1229="IN",E1229="C",E1229="Z",E1229="L"),J1229=4),VLOOKUP(_xlfn.MINIFS('FIRE TEX 5062'!$G$4:$G$34,'FIRE TEX 5062'!$G$4:$G$34,"&gt;="&amp;M1229),'FIRE TEX 5062'!$G$4:$K$34,IF(L1229="F-15",2,IF(L1229="F-30",3,IF(L1229="F-60",4,IF(L1229="F-90",5,0)))),0),0)+IF(AND(O1229="FIRE TEX 5062",E1229="CJ",J1229=3),VLOOKUP(_xlfn.MINIFS('FIRE TEX 5062'!$L$4:$L$34,'FIRE TEX 5062'!$L$4:$L$34,"&gt;="&amp;M1229),'FIRE TEX 5062'!$L$4:$P$34,IF(L1229="F-15",2,IF(L1229="F-30",3,IF(L1229="F-60",4,IF(L1229="F-90",5,0)))),0),0)+IF(AND(O1229="FIRE TEX 5062",E1229="CJ",J1229=4),VLOOKUP(_xlfn.MINIFS('FIRE TEX 5062'!$Q$3:$Q$34,'FIRE TEX 5062'!$Q$3:$Q$34,"&gt;="&amp;M1229),'FIRE TEX 5062'!$Q$3:$U$34,IF(L1229="F-15",2,IF(L1229="F-30",3,IF(L1229="F-60",4,IF(L1229="F-90",5,0)))),0),0)+IF(AND(O1229="FIRE TEX 5090",OR(E1229="IN",E1229="C",E1229="Z",E1229="L"),J1229=3),VLOOKUP(_xlfn.MINIFS('FIRE TEX 5090'!$B$5:$B$43,'FIRE TEX 5090'!$B$5:$B$43,"&gt;="&amp;M1229),'FIRE TEX 5090'!$B$5:$H$43,IF(L1229="F-15",2,IF(L1229="F-30",3,IF(L1229="F-60",4,IF(L1229="F-90",5,IF(L1229="F-120",6,IF(L1229="F-150",7,0)))))),0),0)+IF(AND(O1229="FIRE TEX 5090",OR(E1229="IN",E1229="C",E1229="Z",E1229="L"),J1229=4),VLOOKUP(_xlfn.MINIFS('FIRE TEX 5090'!$J$5:$J$43,'FIRE TEX 5090'!$J$5:$J$43,"&gt;="&amp;M1229),'FIRE TEX 5090'!$J$5:$P$43,IF(L1229="F-15",2,IF(L1229="F-30",3,IF(L1229="F-60",4,IF(L1229="F-90",5,IF(L1229="F-120",6,IF(L1229="F-150",7,0)))))),0),0)+IF(AND(O1229="FIRE TEX 5090",E1229="CJ",J1229=3),VLOOKUP(_xlfn.MINIFS('FIRE TEX 5090'!$R$5:$R$30,'FIRE TEX 5090'!$R$5:$R$30,"&gt;="&amp;M1229),'FIRE TEX 5090'!$R$5:$W$30,IF(L1229="F-15",2,IF(L1229="F-30",3,IF(L1229="F-60",4,IF(L1229="F-90",5,IF(L1229="F-120",6,IF(L1229="F-150",7,0)))))),0),0)+IF(AND(O1229="FIRE TEX 5090",E1229="CJ",J1229=4),VLOOKUP(_xlfn.MINIFS('FIRE TEX 5090'!$Y$5:$Y$39,'FIRE TEX 5090'!$Y$5:$Y$39,"&gt;="&amp;M1229),'FIRE TEX 5090'!$Y$5:$AD$39,IF(L1229="F-15",2,IF(L1229="F-30",3,IF(L1229="F-60",4,IF(L1229="F-90",5,IF(L1229="F-120",6,IF(L1229="F-150",7,0)))))),0),0)+IF(AND(O1229="FIRE TEX 5120",OR(E1229="IN",E1229="C",E1229="Z",E1229="L"),J1229=3),VLOOKUP(_xlfn.MINIFS('FIRE TEX 5120'!$B$5:$B$40,'FIRE TEX 5120'!$B$5:$B$40,"&gt;="&amp;M1229),'FIRE TEX 5120'!$B$5:$G$40,IF(L1229="F-15",2,IF(L1229="F-30",3,IF(L1229="F-60",4,IF(L1229="F-90",5,IF(L1229="F-120",6,0))))),0),0)+IF(AND(O1229="FIRE TEX 5120",OR(E1229="IN",E1229="C",E1229="Z",E1229="L"),J1229=4),VLOOKUP(_xlfn.MINIFS('FIRE TEX 5120'!$H$4:$H$40,'FIRE TEX 5120'!$H$4:$H$40,"&gt;="&amp;M1229),'FIRE TEX 5120'!$H$4:$M$40,IF(L1229="F-15",2,IF(L1229="F-30",3,IF(L1229="F-60",4,IF(L1229="F-90",5,IF(L1229="F-120",6,0))))),0),0)+IF(AND(O1229="FIRE TEX 5120",E1229="CJ"),VLOOKUP(_xlfn.MINIFS('FIRE TEX 5120'!$O$5:$O$40,'FIRE TEX 5120'!$O$5:$O$40,"&gt;="&amp;M1229),'FIRE TEX 5120'!$O$5:$T$40,IF(L1229="F-15",2,IF(L1229="F-30",3,IF(L1229="F-60",4,IF(L1229="F-90",5,IF(L1229="F-120",6,0))))),0),0)</f>
        <v>0</v>
      </c>
      <c r="Q1229" s="46">
        <f t="shared" si="114"/>
        <v>0</v>
      </c>
      <c r="R1229" s="46">
        <f t="shared" si="115"/>
        <v>0</v>
      </c>
      <c r="S1229" s="46" t="e">
        <f t="shared" si="116"/>
        <v>#VALUE!</v>
      </c>
      <c r="T1229" s="677">
        <f t="shared" si="117"/>
        <v>0</v>
      </c>
      <c r="U1229" s="80">
        <f>(IF(O1229="Stofire",(S1229*#REF!),0))+(IF(O1229="Fire Control",(S1229*$U$2),0))+(IF(O1229="Fire Tex",(S1229*$U$3),0))+(IF(O1229="WB7",(S1229*#REF!),0)+(IF(O1229="FX 2003",(S1229*$U$5),0)))</f>
        <v>0</v>
      </c>
      <c r="V1229" s="651">
        <f t="shared" si="118"/>
        <v>0</v>
      </c>
    </row>
    <row r="1230" spans="4:22" x14ac:dyDescent="0.25">
      <c r="D1230" s="118">
        <f>+CUBICACION!D1229</f>
        <v>0</v>
      </c>
      <c r="E1230" s="118">
        <f>+CUBICACION!F1229</f>
        <v>0</v>
      </c>
      <c r="F1230" s="118">
        <f>+CUBICACION!E1229</f>
        <v>0</v>
      </c>
      <c r="G1230" s="118">
        <v>12</v>
      </c>
      <c r="H1230" s="118">
        <v>2</v>
      </c>
      <c r="I1230" s="820">
        <v>26385</v>
      </c>
      <c r="J1230" s="118">
        <f>+CUBICACION!J1229</f>
        <v>0</v>
      </c>
      <c r="K1230" s="118">
        <v>4009</v>
      </c>
      <c r="L1230" s="118">
        <f>+CUBICACION!L1229</f>
        <v>0</v>
      </c>
      <c r="M1230" s="64">
        <f>+CUBICACION!M1229</f>
        <v>0</v>
      </c>
      <c r="N1230" s="824" t="str">
        <f>+CUBICACION!N1229</f>
        <v/>
      </c>
      <c r="O1230" s="675">
        <f>+CUBICACION!O1229</f>
        <v>0</v>
      </c>
      <c r="P1230" s="15">
        <f>IF(O1230="Fire Control",VLOOKUP(_xlfn.MINIFS('FIRE CONTROL'!$C$4:$C$37,'FIRE CONTROL'!$C$4:$C$37,"&gt;="&amp;M1230),'FIRE CONTROL'!$C$4:$G$37,IF(L1230="F-15",2,IF(L1230="F-30",3,IF(L1230="F-60",4,IF(L1230="F-90",5,0)))),0),0)+IF(AND(O1230="FIRE TEX 5062",OR(E1230="IN",E1230="C",E1230="Z",E1230="L"),J1230=3),VLOOKUP(_xlfn.MINIFS('FIRE TEX 5062'!$B$4:$B$34,'FIRE TEX 5062'!$B$4:$B$34,"&gt;="&amp;M1230),'FIRE TEX 5062'!$B$4:$F$34,IF(L1230="F-15",2,IF(L1230="F-30",3,IF(L1230="F-60",4,IF(L1230="F-90",5,0)))),0),0)+IF(AND(O1230="FIRE TEX 5062",OR(E1230="IN",E1230="C",E1230="Z",E1230="L"),J1230=4),VLOOKUP(_xlfn.MINIFS('FIRE TEX 5062'!$G$4:$G$34,'FIRE TEX 5062'!$G$4:$G$34,"&gt;="&amp;M1230),'FIRE TEX 5062'!$G$4:$K$34,IF(L1230="F-15",2,IF(L1230="F-30",3,IF(L1230="F-60",4,IF(L1230="F-90",5,0)))),0),0)+IF(AND(O1230="FIRE TEX 5062",E1230="CJ",J1230=3),VLOOKUP(_xlfn.MINIFS('FIRE TEX 5062'!$L$4:$L$34,'FIRE TEX 5062'!$L$4:$L$34,"&gt;="&amp;M1230),'FIRE TEX 5062'!$L$4:$P$34,IF(L1230="F-15",2,IF(L1230="F-30",3,IF(L1230="F-60",4,IF(L1230="F-90",5,0)))),0),0)+IF(AND(O1230="FIRE TEX 5062",E1230="CJ",J1230=4),VLOOKUP(_xlfn.MINIFS('FIRE TEX 5062'!$Q$3:$Q$34,'FIRE TEX 5062'!$Q$3:$Q$34,"&gt;="&amp;M1230),'FIRE TEX 5062'!$Q$3:$U$34,IF(L1230="F-15",2,IF(L1230="F-30",3,IF(L1230="F-60",4,IF(L1230="F-90",5,0)))),0),0)+IF(AND(O1230="FIRE TEX 5090",OR(E1230="IN",E1230="C",E1230="Z",E1230="L"),J1230=3),VLOOKUP(_xlfn.MINIFS('FIRE TEX 5090'!$B$5:$B$43,'FIRE TEX 5090'!$B$5:$B$43,"&gt;="&amp;M1230),'FIRE TEX 5090'!$B$5:$H$43,IF(L1230="F-15",2,IF(L1230="F-30",3,IF(L1230="F-60",4,IF(L1230="F-90",5,IF(L1230="F-120",6,IF(L1230="F-150",7,0)))))),0),0)+IF(AND(O1230="FIRE TEX 5090",OR(E1230="IN",E1230="C",E1230="Z",E1230="L"),J1230=4),VLOOKUP(_xlfn.MINIFS('FIRE TEX 5090'!$J$5:$J$43,'FIRE TEX 5090'!$J$5:$J$43,"&gt;="&amp;M1230),'FIRE TEX 5090'!$J$5:$P$43,IF(L1230="F-15",2,IF(L1230="F-30",3,IF(L1230="F-60",4,IF(L1230="F-90",5,IF(L1230="F-120",6,IF(L1230="F-150",7,0)))))),0),0)+IF(AND(O1230="FIRE TEX 5090",E1230="CJ",J1230=3),VLOOKUP(_xlfn.MINIFS('FIRE TEX 5090'!$R$5:$R$30,'FIRE TEX 5090'!$R$5:$R$30,"&gt;="&amp;M1230),'FIRE TEX 5090'!$R$5:$W$30,IF(L1230="F-15",2,IF(L1230="F-30",3,IF(L1230="F-60",4,IF(L1230="F-90",5,IF(L1230="F-120",6,IF(L1230="F-150",7,0)))))),0),0)+IF(AND(O1230="FIRE TEX 5090",E1230="CJ",J1230=4),VLOOKUP(_xlfn.MINIFS('FIRE TEX 5090'!$Y$5:$Y$39,'FIRE TEX 5090'!$Y$5:$Y$39,"&gt;="&amp;M1230),'FIRE TEX 5090'!$Y$5:$AD$39,IF(L1230="F-15",2,IF(L1230="F-30",3,IF(L1230="F-60",4,IF(L1230="F-90",5,IF(L1230="F-120",6,IF(L1230="F-150",7,0)))))),0),0)+IF(AND(O1230="FIRE TEX 5120",OR(E1230="IN",E1230="C",E1230="Z",E1230="L"),J1230=3),VLOOKUP(_xlfn.MINIFS('FIRE TEX 5120'!$B$5:$B$40,'FIRE TEX 5120'!$B$5:$B$40,"&gt;="&amp;M1230),'FIRE TEX 5120'!$B$5:$G$40,IF(L1230="F-15",2,IF(L1230="F-30",3,IF(L1230="F-60",4,IF(L1230="F-90",5,IF(L1230="F-120",6,0))))),0),0)+IF(AND(O1230="FIRE TEX 5120",OR(E1230="IN",E1230="C",E1230="Z",E1230="L"),J1230=4),VLOOKUP(_xlfn.MINIFS('FIRE TEX 5120'!$H$4:$H$40,'FIRE TEX 5120'!$H$4:$H$40,"&gt;="&amp;M1230),'FIRE TEX 5120'!$H$4:$M$40,IF(L1230="F-15",2,IF(L1230="F-30",3,IF(L1230="F-60",4,IF(L1230="F-90",5,IF(L1230="F-120",6,0))))),0),0)+IF(AND(O1230="FIRE TEX 5120",E1230="CJ"),VLOOKUP(_xlfn.MINIFS('FIRE TEX 5120'!$O$5:$O$40,'FIRE TEX 5120'!$O$5:$O$40,"&gt;="&amp;M1230),'FIRE TEX 5120'!$O$5:$T$40,IF(L1230="F-15",2,IF(L1230="F-30",3,IF(L1230="F-60",4,IF(L1230="F-90",5,IF(L1230="F-120",6,0))))),0),0)</f>
        <v>0</v>
      </c>
      <c r="Q1230" s="46">
        <f t="shared" si="114"/>
        <v>0</v>
      </c>
      <c r="R1230" s="46">
        <f t="shared" si="115"/>
        <v>0</v>
      </c>
      <c r="S1230" s="46" t="e">
        <f t="shared" si="116"/>
        <v>#VALUE!</v>
      </c>
      <c r="T1230" s="677">
        <f t="shared" si="117"/>
        <v>0</v>
      </c>
      <c r="U1230" s="80">
        <f>(IF(O1230="Stofire",(S1230*#REF!),0))+(IF(O1230="Fire Control",(S1230*$U$2),0))+(IF(O1230="Fire Tex",(S1230*$U$3),0))+(IF(O1230="WB7",(S1230*#REF!),0)+(IF(O1230="FX 2003",(S1230*$U$5),0)))</f>
        <v>0</v>
      </c>
      <c r="V1230" s="651">
        <f t="shared" si="118"/>
        <v>0</v>
      </c>
    </row>
    <row r="1231" spans="4:22" x14ac:dyDescent="0.25">
      <c r="D1231" s="118">
        <f>+CUBICACION!D1230</f>
        <v>0</v>
      </c>
      <c r="E1231" s="118">
        <f>+CUBICACION!F1230</f>
        <v>0</v>
      </c>
      <c r="F1231" s="118">
        <f>+CUBICACION!E1230</f>
        <v>0</v>
      </c>
      <c r="G1231" s="118">
        <v>12</v>
      </c>
      <c r="H1231" s="118">
        <v>2</v>
      </c>
      <c r="I1231" s="820">
        <v>26385</v>
      </c>
      <c r="J1231" s="118">
        <f>+CUBICACION!J1230</f>
        <v>0</v>
      </c>
      <c r="K1231" s="118">
        <v>4010</v>
      </c>
      <c r="L1231" s="118">
        <f>+CUBICACION!L1230</f>
        <v>0</v>
      </c>
      <c r="M1231" s="64">
        <f>+CUBICACION!M1230</f>
        <v>0</v>
      </c>
      <c r="N1231" s="824" t="str">
        <f>+CUBICACION!N1230</f>
        <v/>
      </c>
      <c r="O1231" s="675">
        <f>+CUBICACION!O1230</f>
        <v>0</v>
      </c>
      <c r="P1231" s="15">
        <f>IF(O1231="Fire Control",VLOOKUP(_xlfn.MINIFS('FIRE CONTROL'!$C$4:$C$37,'FIRE CONTROL'!$C$4:$C$37,"&gt;="&amp;M1231),'FIRE CONTROL'!$C$4:$G$37,IF(L1231="F-15",2,IF(L1231="F-30",3,IF(L1231="F-60",4,IF(L1231="F-90",5,0)))),0),0)+IF(AND(O1231="FIRE TEX 5062",OR(E1231="IN",E1231="C",E1231="Z",E1231="L"),J1231=3),VLOOKUP(_xlfn.MINIFS('FIRE TEX 5062'!$B$4:$B$34,'FIRE TEX 5062'!$B$4:$B$34,"&gt;="&amp;M1231),'FIRE TEX 5062'!$B$4:$F$34,IF(L1231="F-15",2,IF(L1231="F-30",3,IF(L1231="F-60",4,IF(L1231="F-90",5,0)))),0),0)+IF(AND(O1231="FIRE TEX 5062",OR(E1231="IN",E1231="C",E1231="Z",E1231="L"),J1231=4),VLOOKUP(_xlfn.MINIFS('FIRE TEX 5062'!$G$4:$G$34,'FIRE TEX 5062'!$G$4:$G$34,"&gt;="&amp;M1231),'FIRE TEX 5062'!$G$4:$K$34,IF(L1231="F-15",2,IF(L1231="F-30",3,IF(L1231="F-60",4,IF(L1231="F-90",5,0)))),0),0)+IF(AND(O1231="FIRE TEX 5062",E1231="CJ",J1231=3),VLOOKUP(_xlfn.MINIFS('FIRE TEX 5062'!$L$4:$L$34,'FIRE TEX 5062'!$L$4:$L$34,"&gt;="&amp;M1231),'FIRE TEX 5062'!$L$4:$P$34,IF(L1231="F-15",2,IF(L1231="F-30",3,IF(L1231="F-60",4,IF(L1231="F-90",5,0)))),0),0)+IF(AND(O1231="FIRE TEX 5062",E1231="CJ",J1231=4),VLOOKUP(_xlfn.MINIFS('FIRE TEX 5062'!$Q$3:$Q$34,'FIRE TEX 5062'!$Q$3:$Q$34,"&gt;="&amp;M1231),'FIRE TEX 5062'!$Q$3:$U$34,IF(L1231="F-15",2,IF(L1231="F-30",3,IF(L1231="F-60",4,IF(L1231="F-90",5,0)))),0),0)+IF(AND(O1231="FIRE TEX 5090",OR(E1231="IN",E1231="C",E1231="Z",E1231="L"),J1231=3),VLOOKUP(_xlfn.MINIFS('FIRE TEX 5090'!$B$5:$B$43,'FIRE TEX 5090'!$B$5:$B$43,"&gt;="&amp;M1231),'FIRE TEX 5090'!$B$5:$H$43,IF(L1231="F-15",2,IF(L1231="F-30",3,IF(L1231="F-60",4,IF(L1231="F-90",5,IF(L1231="F-120",6,IF(L1231="F-150",7,0)))))),0),0)+IF(AND(O1231="FIRE TEX 5090",OR(E1231="IN",E1231="C",E1231="Z",E1231="L"),J1231=4),VLOOKUP(_xlfn.MINIFS('FIRE TEX 5090'!$J$5:$J$43,'FIRE TEX 5090'!$J$5:$J$43,"&gt;="&amp;M1231),'FIRE TEX 5090'!$J$5:$P$43,IF(L1231="F-15",2,IF(L1231="F-30",3,IF(L1231="F-60",4,IF(L1231="F-90",5,IF(L1231="F-120",6,IF(L1231="F-150",7,0)))))),0),0)+IF(AND(O1231="FIRE TEX 5090",E1231="CJ",J1231=3),VLOOKUP(_xlfn.MINIFS('FIRE TEX 5090'!$R$5:$R$30,'FIRE TEX 5090'!$R$5:$R$30,"&gt;="&amp;M1231),'FIRE TEX 5090'!$R$5:$W$30,IF(L1231="F-15",2,IF(L1231="F-30",3,IF(L1231="F-60",4,IF(L1231="F-90",5,IF(L1231="F-120",6,IF(L1231="F-150",7,0)))))),0),0)+IF(AND(O1231="FIRE TEX 5090",E1231="CJ",J1231=4),VLOOKUP(_xlfn.MINIFS('FIRE TEX 5090'!$Y$5:$Y$39,'FIRE TEX 5090'!$Y$5:$Y$39,"&gt;="&amp;M1231),'FIRE TEX 5090'!$Y$5:$AD$39,IF(L1231="F-15",2,IF(L1231="F-30",3,IF(L1231="F-60",4,IF(L1231="F-90",5,IF(L1231="F-120",6,IF(L1231="F-150",7,0)))))),0),0)+IF(AND(O1231="FIRE TEX 5120",OR(E1231="IN",E1231="C",E1231="Z",E1231="L"),J1231=3),VLOOKUP(_xlfn.MINIFS('FIRE TEX 5120'!$B$5:$B$40,'FIRE TEX 5120'!$B$5:$B$40,"&gt;="&amp;M1231),'FIRE TEX 5120'!$B$5:$G$40,IF(L1231="F-15",2,IF(L1231="F-30",3,IF(L1231="F-60",4,IF(L1231="F-90",5,IF(L1231="F-120",6,0))))),0),0)+IF(AND(O1231="FIRE TEX 5120",OR(E1231="IN",E1231="C",E1231="Z",E1231="L"),J1231=4),VLOOKUP(_xlfn.MINIFS('FIRE TEX 5120'!$H$4:$H$40,'FIRE TEX 5120'!$H$4:$H$40,"&gt;="&amp;M1231),'FIRE TEX 5120'!$H$4:$M$40,IF(L1231="F-15",2,IF(L1231="F-30",3,IF(L1231="F-60",4,IF(L1231="F-90",5,IF(L1231="F-120",6,0))))),0),0)+IF(AND(O1231="FIRE TEX 5120",E1231="CJ"),VLOOKUP(_xlfn.MINIFS('FIRE TEX 5120'!$O$5:$O$40,'FIRE TEX 5120'!$O$5:$O$40,"&gt;="&amp;M1231),'FIRE TEX 5120'!$O$5:$T$40,IF(L1231="F-15",2,IF(L1231="F-30",3,IF(L1231="F-60",4,IF(L1231="F-90",5,IF(L1231="F-120",6,0))))),0),0)</f>
        <v>0</v>
      </c>
      <c r="Q1231" s="46">
        <f t="shared" si="114"/>
        <v>0</v>
      </c>
      <c r="R1231" s="46">
        <f t="shared" si="115"/>
        <v>0</v>
      </c>
      <c r="S1231" s="46" t="e">
        <f t="shared" si="116"/>
        <v>#VALUE!</v>
      </c>
      <c r="T1231" s="677">
        <f t="shared" si="117"/>
        <v>0</v>
      </c>
      <c r="U1231" s="80">
        <f>(IF(O1231="Stofire",(S1231*#REF!),0))+(IF(O1231="Fire Control",(S1231*$U$2),0))+(IF(O1231="Fire Tex",(S1231*$U$3),0))+(IF(O1231="WB7",(S1231*#REF!),0)+(IF(O1231="FX 2003",(S1231*$U$5),0)))</f>
        <v>0</v>
      </c>
      <c r="V1231" s="651">
        <f t="shared" si="118"/>
        <v>0</v>
      </c>
    </row>
    <row r="1232" spans="4:22" x14ac:dyDescent="0.25">
      <c r="D1232" s="118">
        <f>+CUBICACION!D1231</f>
        <v>0</v>
      </c>
      <c r="E1232" s="118">
        <f>+CUBICACION!F1231</f>
        <v>0</v>
      </c>
      <c r="F1232" s="118">
        <f>+CUBICACION!E1231</f>
        <v>0</v>
      </c>
      <c r="G1232" s="118">
        <v>12</v>
      </c>
      <c r="H1232" s="118">
        <v>2</v>
      </c>
      <c r="I1232" s="820">
        <v>26385</v>
      </c>
      <c r="J1232" s="118">
        <f>+CUBICACION!J1231</f>
        <v>0</v>
      </c>
      <c r="K1232" s="118">
        <v>4011</v>
      </c>
      <c r="L1232" s="118">
        <f>+CUBICACION!L1231</f>
        <v>0</v>
      </c>
      <c r="M1232" s="64">
        <f>+CUBICACION!M1231</f>
        <v>0</v>
      </c>
      <c r="N1232" s="824" t="str">
        <f>+CUBICACION!N1231</f>
        <v/>
      </c>
      <c r="O1232" s="675">
        <f>+CUBICACION!O1231</f>
        <v>0</v>
      </c>
      <c r="P1232" s="15">
        <f>IF(O1232="Fire Control",VLOOKUP(_xlfn.MINIFS('FIRE CONTROL'!$C$4:$C$37,'FIRE CONTROL'!$C$4:$C$37,"&gt;="&amp;M1232),'FIRE CONTROL'!$C$4:$G$37,IF(L1232="F-15",2,IF(L1232="F-30",3,IF(L1232="F-60",4,IF(L1232="F-90",5,0)))),0),0)+IF(AND(O1232="FIRE TEX 5062",OR(E1232="IN",E1232="C",E1232="Z",E1232="L"),J1232=3),VLOOKUP(_xlfn.MINIFS('FIRE TEX 5062'!$B$4:$B$34,'FIRE TEX 5062'!$B$4:$B$34,"&gt;="&amp;M1232),'FIRE TEX 5062'!$B$4:$F$34,IF(L1232="F-15",2,IF(L1232="F-30",3,IF(L1232="F-60",4,IF(L1232="F-90",5,0)))),0),0)+IF(AND(O1232="FIRE TEX 5062",OR(E1232="IN",E1232="C",E1232="Z",E1232="L"),J1232=4),VLOOKUP(_xlfn.MINIFS('FIRE TEX 5062'!$G$4:$G$34,'FIRE TEX 5062'!$G$4:$G$34,"&gt;="&amp;M1232),'FIRE TEX 5062'!$G$4:$K$34,IF(L1232="F-15",2,IF(L1232="F-30",3,IF(L1232="F-60",4,IF(L1232="F-90",5,0)))),0),0)+IF(AND(O1232="FIRE TEX 5062",E1232="CJ",J1232=3),VLOOKUP(_xlfn.MINIFS('FIRE TEX 5062'!$L$4:$L$34,'FIRE TEX 5062'!$L$4:$L$34,"&gt;="&amp;M1232),'FIRE TEX 5062'!$L$4:$P$34,IF(L1232="F-15",2,IF(L1232="F-30",3,IF(L1232="F-60",4,IF(L1232="F-90",5,0)))),0),0)+IF(AND(O1232="FIRE TEX 5062",E1232="CJ",J1232=4),VLOOKUP(_xlfn.MINIFS('FIRE TEX 5062'!$Q$3:$Q$34,'FIRE TEX 5062'!$Q$3:$Q$34,"&gt;="&amp;M1232),'FIRE TEX 5062'!$Q$3:$U$34,IF(L1232="F-15",2,IF(L1232="F-30",3,IF(L1232="F-60",4,IF(L1232="F-90",5,0)))),0),0)+IF(AND(O1232="FIRE TEX 5090",OR(E1232="IN",E1232="C",E1232="Z",E1232="L"),J1232=3),VLOOKUP(_xlfn.MINIFS('FIRE TEX 5090'!$B$5:$B$43,'FIRE TEX 5090'!$B$5:$B$43,"&gt;="&amp;M1232),'FIRE TEX 5090'!$B$5:$H$43,IF(L1232="F-15",2,IF(L1232="F-30",3,IF(L1232="F-60",4,IF(L1232="F-90",5,IF(L1232="F-120",6,IF(L1232="F-150",7,0)))))),0),0)+IF(AND(O1232="FIRE TEX 5090",OR(E1232="IN",E1232="C",E1232="Z",E1232="L"),J1232=4),VLOOKUP(_xlfn.MINIFS('FIRE TEX 5090'!$J$5:$J$43,'FIRE TEX 5090'!$J$5:$J$43,"&gt;="&amp;M1232),'FIRE TEX 5090'!$J$5:$P$43,IF(L1232="F-15",2,IF(L1232="F-30",3,IF(L1232="F-60",4,IF(L1232="F-90",5,IF(L1232="F-120",6,IF(L1232="F-150",7,0)))))),0),0)+IF(AND(O1232="FIRE TEX 5090",E1232="CJ",J1232=3),VLOOKUP(_xlfn.MINIFS('FIRE TEX 5090'!$R$5:$R$30,'FIRE TEX 5090'!$R$5:$R$30,"&gt;="&amp;M1232),'FIRE TEX 5090'!$R$5:$W$30,IF(L1232="F-15",2,IF(L1232="F-30",3,IF(L1232="F-60",4,IF(L1232="F-90",5,IF(L1232="F-120",6,IF(L1232="F-150",7,0)))))),0),0)+IF(AND(O1232="FIRE TEX 5090",E1232="CJ",J1232=4),VLOOKUP(_xlfn.MINIFS('FIRE TEX 5090'!$Y$5:$Y$39,'FIRE TEX 5090'!$Y$5:$Y$39,"&gt;="&amp;M1232),'FIRE TEX 5090'!$Y$5:$AD$39,IF(L1232="F-15",2,IF(L1232="F-30",3,IF(L1232="F-60",4,IF(L1232="F-90",5,IF(L1232="F-120",6,IF(L1232="F-150",7,0)))))),0),0)+IF(AND(O1232="FIRE TEX 5120",OR(E1232="IN",E1232="C",E1232="Z",E1232="L"),J1232=3),VLOOKUP(_xlfn.MINIFS('FIRE TEX 5120'!$B$5:$B$40,'FIRE TEX 5120'!$B$5:$B$40,"&gt;="&amp;M1232),'FIRE TEX 5120'!$B$5:$G$40,IF(L1232="F-15",2,IF(L1232="F-30",3,IF(L1232="F-60",4,IF(L1232="F-90",5,IF(L1232="F-120",6,0))))),0),0)+IF(AND(O1232="FIRE TEX 5120",OR(E1232="IN",E1232="C",E1232="Z",E1232="L"),J1232=4),VLOOKUP(_xlfn.MINIFS('FIRE TEX 5120'!$H$4:$H$40,'FIRE TEX 5120'!$H$4:$H$40,"&gt;="&amp;M1232),'FIRE TEX 5120'!$H$4:$M$40,IF(L1232="F-15",2,IF(L1232="F-30",3,IF(L1232="F-60",4,IF(L1232="F-90",5,IF(L1232="F-120",6,0))))),0),0)+IF(AND(O1232="FIRE TEX 5120",E1232="CJ"),VLOOKUP(_xlfn.MINIFS('FIRE TEX 5120'!$O$5:$O$40,'FIRE TEX 5120'!$O$5:$O$40,"&gt;="&amp;M1232),'FIRE TEX 5120'!$O$5:$T$40,IF(L1232="F-15",2,IF(L1232="F-30",3,IF(L1232="F-60",4,IF(L1232="F-90",5,IF(L1232="F-120",6,0))))),0),0)</f>
        <v>0</v>
      </c>
      <c r="Q1232" s="46">
        <f t="shared" si="114"/>
        <v>0</v>
      </c>
      <c r="R1232" s="46">
        <f t="shared" si="115"/>
        <v>0</v>
      </c>
      <c r="S1232" s="46" t="e">
        <f t="shared" si="116"/>
        <v>#VALUE!</v>
      </c>
      <c r="T1232" s="677">
        <f t="shared" si="117"/>
        <v>0</v>
      </c>
      <c r="U1232" s="80">
        <f>(IF(O1232="Stofire",(S1232*#REF!),0))+(IF(O1232="Fire Control",(S1232*$U$2),0))+(IF(O1232="Fire Tex",(S1232*$U$3),0))+(IF(O1232="WB7",(S1232*#REF!),0)+(IF(O1232="FX 2003",(S1232*$U$5),0)))</f>
        <v>0</v>
      </c>
      <c r="V1232" s="651">
        <f t="shared" si="118"/>
        <v>0</v>
      </c>
    </row>
    <row r="1233" spans="4:22" x14ac:dyDescent="0.25">
      <c r="D1233" s="118">
        <f>+CUBICACION!D1232</f>
        <v>0</v>
      </c>
      <c r="E1233" s="118">
        <f>+CUBICACION!F1232</f>
        <v>0</v>
      </c>
      <c r="F1233" s="118">
        <f>+CUBICACION!E1232</f>
        <v>0</v>
      </c>
      <c r="G1233" s="118">
        <v>12</v>
      </c>
      <c r="H1233" s="118">
        <v>2</v>
      </c>
      <c r="I1233" s="820">
        <v>26385</v>
      </c>
      <c r="J1233" s="118">
        <f>+CUBICACION!J1232</f>
        <v>0</v>
      </c>
      <c r="K1233" s="118">
        <v>4012</v>
      </c>
      <c r="L1233" s="118">
        <f>+CUBICACION!L1232</f>
        <v>0</v>
      </c>
      <c r="M1233" s="64">
        <f>+CUBICACION!M1232</f>
        <v>0</v>
      </c>
      <c r="N1233" s="824" t="str">
        <f>+CUBICACION!N1232</f>
        <v/>
      </c>
      <c r="O1233" s="675">
        <f>+CUBICACION!O1232</f>
        <v>0</v>
      </c>
      <c r="P1233" s="15">
        <f>IF(O1233="Fire Control",VLOOKUP(_xlfn.MINIFS('FIRE CONTROL'!$C$4:$C$37,'FIRE CONTROL'!$C$4:$C$37,"&gt;="&amp;M1233),'FIRE CONTROL'!$C$4:$G$37,IF(L1233="F-15",2,IF(L1233="F-30",3,IF(L1233="F-60",4,IF(L1233="F-90",5,0)))),0),0)+IF(AND(O1233="FIRE TEX 5062",OR(E1233="IN",E1233="C",E1233="Z",E1233="L"),J1233=3),VLOOKUP(_xlfn.MINIFS('FIRE TEX 5062'!$B$4:$B$34,'FIRE TEX 5062'!$B$4:$B$34,"&gt;="&amp;M1233),'FIRE TEX 5062'!$B$4:$F$34,IF(L1233="F-15",2,IF(L1233="F-30",3,IF(L1233="F-60",4,IF(L1233="F-90",5,0)))),0),0)+IF(AND(O1233="FIRE TEX 5062",OR(E1233="IN",E1233="C",E1233="Z",E1233="L"),J1233=4),VLOOKUP(_xlfn.MINIFS('FIRE TEX 5062'!$G$4:$G$34,'FIRE TEX 5062'!$G$4:$G$34,"&gt;="&amp;M1233),'FIRE TEX 5062'!$G$4:$K$34,IF(L1233="F-15",2,IF(L1233="F-30",3,IF(L1233="F-60",4,IF(L1233="F-90",5,0)))),0),0)+IF(AND(O1233="FIRE TEX 5062",E1233="CJ",J1233=3),VLOOKUP(_xlfn.MINIFS('FIRE TEX 5062'!$L$4:$L$34,'FIRE TEX 5062'!$L$4:$L$34,"&gt;="&amp;M1233),'FIRE TEX 5062'!$L$4:$P$34,IF(L1233="F-15",2,IF(L1233="F-30",3,IF(L1233="F-60",4,IF(L1233="F-90",5,0)))),0),0)+IF(AND(O1233="FIRE TEX 5062",E1233="CJ",J1233=4),VLOOKUP(_xlfn.MINIFS('FIRE TEX 5062'!$Q$3:$Q$34,'FIRE TEX 5062'!$Q$3:$Q$34,"&gt;="&amp;M1233),'FIRE TEX 5062'!$Q$3:$U$34,IF(L1233="F-15",2,IF(L1233="F-30",3,IF(L1233="F-60",4,IF(L1233="F-90",5,0)))),0),0)+IF(AND(O1233="FIRE TEX 5090",OR(E1233="IN",E1233="C",E1233="Z",E1233="L"),J1233=3),VLOOKUP(_xlfn.MINIFS('FIRE TEX 5090'!$B$5:$B$43,'FIRE TEX 5090'!$B$5:$B$43,"&gt;="&amp;M1233),'FIRE TEX 5090'!$B$5:$H$43,IF(L1233="F-15",2,IF(L1233="F-30",3,IF(L1233="F-60",4,IF(L1233="F-90",5,IF(L1233="F-120",6,IF(L1233="F-150",7,0)))))),0),0)+IF(AND(O1233="FIRE TEX 5090",OR(E1233="IN",E1233="C",E1233="Z",E1233="L"),J1233=4),VLOOKUP(_xlfn.MINIFS('FIRE TEX 5090'!$J$5:$J$43,'FIRE TEX 5090'!$J$5:$J$43,"&gt;="&amp;M1233),'FIRE TEX 5090'!$J$5:$P$43,IF(L1233="F-15",2,IF(L1233="F-30",3,IF(L1233="F-60",4,IF(L1233="F-90",5,IF(L1233="F-120",6,IF(L1233="F-150",7,0)))))),0),0)+IF(AND(O1233="FIRE TEX 5090",E1233="CJ",J1233=3),VLOOKUP(_xlfn.MINIFS('FIRE TEX 5090'!$R$5:$R$30,'FIRE TEX 5090'!$R$5:$R$30,"&gt;="&amp;M1233),'FIRE TEX 5090'!$R$5:$W$30,IF(L1233="F-15",2,IF(L1233="F-30",3,IF(L1233="F-60",4,IF(L1233="F-90",5,IF(L1233="F-120",6,IF(L1233="F-150",7,0)))))),0),0)+IF(AND(O1233="FIRE TEX 5090",E1233="CJ",J1233=4),VLOOKUP(_xlfn.MINIFS('FIRE TEX 5090'!$Y$5:$Y$39,'FIRE TEX 5090'!$Y$5:$Y$39,"&gt;="&amp;M1233),'FIRE TEX 5090'!$Y$5:$AD$39,IF(L1233="F-15",2,IF(L1233="F-30",3,IF(L1233="F-60",4,IF(L1233="F-90",5,IF(L1233="F-120",6,IF(L1233="F-150",7,0)))))),0),0)+IF(AND(O1233="FIRE TEX 5120",OR(E1233="IN",E1233="C",E1233="Z",E1233="L"),J1233=3),VLOOKUP(_xlfn.MINIFS('FIRE TEX 5120'!$B$5:$B$40,'FIRE TEX 5120'!$B$5:$B$40,"&gt;="&amp;M1233),'FIRE TEX 5120'!$B$5:$G$40,IF(L1233="F-15",2,IF(L1233="F-30",3,IF(L1233="F-60",4,IF(L1233="F-90",5,IF(L1233="F-120",6,0))))),0),0)+IF(AND(O1233="FIRE TEX 5120",OR(E1233="IN",E1233="C",E1233="Z",E1233="L"),J1233=4),VLOOKUP(_xlfn.MINIFS('FIRE TEX 5120'!$H$4:$H$40,'FIRE TEX 5120'!$H$4:$H$40,"&gt;="&amp;M1233),'FIRE TEX 5120'!$H$4:$M$40,IF(L1233="F-15",2,IF(L1233="F-30",3,IF(L1233="F-60",4,IF(L1233="F-90",5,IF(L1233="F-120",6,0))))),0),0)+IF(AND(O1233="FIRE TEX 5120",E1233="CJ"),VLOOKUP(_xlfn.MINIFS('FIRE TEX 5120'!$O$5:$O$40,'FIRE TEX 5120'!$O$5:$O$40,"&gt;="&amp;M1233),'FIRE TEX 5120'!$O$5:$T$40,IF(L1233="F-15",2,IF(L1233="F-30",3,IF(L1233="F-60",4,IF(L1233="F-90",5,IF(L1233="F-120",6,0))))),0),0)</f>
        <v>0</v>
      </c>
      <c r="Q1233" s="46">
        <f t="shared" si="114"/>
        <v>0</v>
      </c>
      <c r="R1233" s="46">
        <f t="shared" si="115"/>
        <v>0</v>
      </c>
      <c r="S1233" s="46" t="e">
        <f t="shared" si="116"/>
        <v>#VALUE!</v>
      </c>
      <c r="T1233" s="677">
        <f t="shared" si="117"/>
        <v>0</v>
      </c>
      <c r="U1233" s="80">
        <f>(IF(O1233="Stofire",(S1233*#REF!),0))+(IF(O1233="Fire Control",(S1233*$U$2),0))+(IF(O1233="Fire Tex",(S1233*$U$3),0))+(IF(O1233="WB7",(S1233*#REF!),0)+(IF(O1233="FX 2003",(S1233*$U$5),0)))</f>
        <v>0</v>
      </c>
      <c r="V1233" s="651">
        <f t="shared" si="118"/>
        <v>0</v>
      </c>
    </row>
    <row r="1234" spans="4:22" x14ac:dyDescent="0.25">
      <c r="D1234" s="118">
        <f>+CUBICACION!D1233</f>
        <v>0</v>
      </c>
      <c r="E1234" s="118">
        <f>+CUBICACION!F1233</f>
        <v>0</v>
      </c>
      <c r="F1234" s="118">
        <f>+CUBICACION!E1233</f>
        <v>0</v>
      </c>
      <c r="G1234" s="118">
        <v>12</v>
      </c>
      <c r="H1234" s="118">
        <v>2</v>
      </c>
      <c r="I1234" s="820">
        <v>26385</v>
      </c>
      <c r="J1234" s="118">
        <f>+CUBICACION!J1233</f>
        <v>0</v>
      </c>
      <c r="K1234" s="118">
        <v>4013</v>
      </c>
      <c r="L1234" s="118">
        <f>+CUBICACION!L1233</f>
        <v>0</v>
      </c>
      <c r="M1234" s="64">
        <f>+CUBICACION!M1233</f>
        <v>0</v>
      </c>
      <c r="N1234" s="824" t="str">
        <f>+CUBICACION!N1233</f>
        <v/>
      </c>
      <c r="O1234" s="675">
        <f>+CUBICACION!O1233</f>
        <v>0</v>
      </c>
      <c r="P1234" s="15">
        <f>IF(O1234="Fire Control",VLOOKUP(_xlfn.MINIFS('FIRE CONTROL'!$C$4:$C$37,'FIRE CONTROL'!$C$4:$C$37,"&gt;="&amp;M1234),'FIRE CONTROL'!$C$4:$G$37,IF(L1234="F-15",2,IF(L1234="F-30",3,IF(L1234="F-60",4,IF(L1234="F-90",5,0)))),0),0)+IF(AND(O1234="FIRE TEX 5062",OR(E1234="IN",E1234="C",E1234="Z",E1234="L"),J1234=3),VLOOKUP(_xlfn.MINIFS('FIRE TEX 5062'!$B$4:$B$34,'FIRE TEX 5062'!$B$4:$B$34,"&gt;="&amp;M1234),'FIRE TEX 5062'!$B$4:$F$34,IF(L1234="F-15",2,IF(L1234="F-30",3,IF(L1234="F-60",4,IF(L1234="F-90",5,0)))),0),0)+IF(AND(O1234="FIRE TEX 5062",OR(E1234="IN",E1234="C",E1234="Z",E1234="L"),J1234=4),VLOOKUP(_xlfn.MINIFS('FIRE TEX 5062'!$G$4:$G$34,'FIRE TEX 5062'!$G$4:$G$34,"&gt;="&amp;M1234),'FIRE TEX 5062'!$G$4:$K$34,IF(L1234="F-15",2,IF(L1234="F-30",3,IF(L1234="F-60",4,IF(L1234="F-90",5,0)))),0),0)+IF(AND(O1234="FIRE TEX 5062",E1234="CJ",J1234=3),VLOOKUP(_xlfn.MINIFS('FIRE TEX 5062'!$L$4:$L$34,'FIRE TEX 5062'!$L$4:$L$34,"&gt;="&amp;M1234),'FIRE TEX 5062'!$L$4:$P$34,IF(L1234="F-15",2,IF(L1234="F-30",3,IF(L1234="F-60",4,IF(L1234="F-90",5,0)))),0),0)+IF(AND(O1234="FIRE TEX 5062",E1234="CJ",J1234=4),VLOOKUP(_xlfn.MINIFS('FIRE TEX 5062'!$Q$3:$Q$34,'FIRE TEX 5062'!$Q$3:$Q$34,"&gt;="&amp;M1234),'FIRE TEX 5062'!$Q$3:$U$34,IF(L1234="F-15",2,IF(L1234="F-30",3,IF(L1234="F-60",4,IF(L1234="F-90",5,0)))),0),0)+IF(AND(O1234="FIRE TEX 5090",OR(E1234="IN",E1234="C",E1234="Z",E1234="L"),J1234=3),VLOOKUP(_xlfn.MINIFS('FIRE TEX 5090'!$B$5:$B$43,'FIRE TEX 5090'!$B$5:$B$43,"&gt;="&amp;M1234),'FIRE TEX 5090'!$B$5:$H$43,IF(L1234="F-15",2,IF(L1234="F-30",3,IF(L1234="F-60",4,IF(L1234="F-90",5,IF(L1234="F-120",6,IF(L1234="F-150",7,0)))))),0),0)+IF(AND(O1234="FIRE TEX 5090",OR(E1234="IN",E1234="C",E1234="Z",E1234="L"),J1234=4),VLOOKUP(_xlfn.MINIFS('FIRE TEX 5090'!$J$5:$J$43,'FIRE TEX 5090'!$J$5:$J$43,"&gt;="&amp;M1234),'FIRE TEX 5090'!$J$5:$P$43,IF(L1234="F-15",2,IF(L1234="F-30",3,IF(L1234="F-60",4,IF(L1234="F-90",5,IF(L1234="F-120",6,IF(L1234="F-150",7,0)))))),0),0)+IF(AND(O1234="FIRE TEX 5090",E1234="CJ",J1234=3),VLOOKUP(_xlfn.MINIFS('FIRE TEX 5090'!$R$5:$R$30,'FIRE TEX 5090'!$R$5:$R$30,"&gt;="&amp;M1234),'FIRE TEX 5090'!$R$5:$W$30,IF(L1234="F-15",2,IF(L1234="F-30",3,IF(L1234="F-60",4,IF(L1234="F-90",5,IF(L1234="F-120",6,IF(L1234="F-150",7,0)))))),0),0)+IF(AND(O1234="FIRE TEX 5090",E1234="CJ",J1234=4),VLOOKUP(_xlfn.MINIFS('FIRE TEX 5090'!$Y$5:$Y$39,'FIRE TEX 5090'!$Y$5:$Y$39,"&gt;="&amp;M1234),'FIRE TEX 5090'!$Y$5:$AD$39,IF(L1234="F-15",2,IF(L1234="F-30",3,IF(L1234="F-60",4,IF(L1234="F-90",5,IF(L1234="F-120",6,IF(L1234="F-150",7,0)))))),0),0)+IF(AND(O1234="FIRE TEX 5120",OR(E1234="IN",E1234="C",E1234="Z",E1234="L"),J1234=3),VLOOKUP(_xlfn.MINIFS('FIRE TEX 5120'!$B$5:$B$40,'FIRE TEX 5120'!$B$5:$B$40,"&gt;="&amp;M1234),'FIRE TEX 5120'!$B$5:$G$40,IF(L1234="F-15",2,IF(L1234="F-30",3,IF(L1234="F-60",4,IF(L1234="F-90",5,IF(L1234="F-120",6,0))))),0),0)+IF(AND(O1234="FIRE TEX 5120",OR(E1234="IN",E1234="C",E1234="Z",E1234="L"),J1234=4),VLOOKUP(_xlfn.MINIFS('FIRE TEX 5120'!$H$4:$H$40,'FIRE TEX 5120'!$H$4:$H$40,"&gt;="&amp;M1234),'FIRE TEX 5120'!$H$4:$M$40,IF(L1234="F-15",2,IF(L1234="F-30",3,IF(L1234="F-60",4,IF(L1234="F-90",5,IF(L1234="F-120",6,0))))),0),0)+IF(AND(O1234="FIRE TEX 5120",E1234="CJ"),VLOOKUP(_xlfn.MINIFS('FIRE TEX 5120'!$O$5:$O$40,'FIRE TEX 5120'!$O$5:$O$40,"&gt;="&amp;M1234),'FIRE TEX 5120'!$O$5:$T$40,IF(L1234="F-15",2,IF(L1234="F-30",3,IF(L1234="F-60",4,IF(L1234="F-90",5,IF(L1234="F-120",6,0))))),0),0)</f>
        <v>0</v>
      </c>
      <c r="Q1234" s="46">
        <f t="shared" si="114"/>
        <v>0</v>
      </c>
      <c r="R1234" s="46">
        <f t="shared" si="115"/>
        <v>0</v>
      </c>
      <c r="S1234" s="46" t="e">
        <f t="shared" si="116"/>
        <v>#VALUE!</v>
      </c>
      <c r="T1234" s="677">
        <f t="shared" si="117"/>
        <v>0</v>
      </c>
      <c r="U1234" s="80">
        <f>(IF(O1234="Stofire",(S1234*#REF!),0))+(IF(O1234="Fire Control",(S1234*$U$2),0))+(IF(O1234="Fire Tex",(S1234*$U$3),0))+(IF(O1234="WB7",(S1234*#REF!),0)+(IF(O1234="FX 2003",(S1234*$U$5),0)))</f>
        <v>0</v>
      </c>
      <c r="V1234" s="651">
        <f t="shared" si="118"/>
        <v>0</v>
      </c>
    </row>
    <row r="1235" spans="4:22" x14ac:dyDescent="0.25">
      <c r="D1235" s="118">
        <f>+CUBICACION!D1234</f>
        <v>0</v>
      </c>
      <c r="E1235" s="118">
        <f>+CUBICACION!F1234</f>
        <v>0</v>
      </c>
      <c r="F1235" s="118">
        <f>+CUBICACION!E1234</f>
        <v>0</v>
      </c>
      <c r="G1235" s="118">
        <v>12</v>
      </c>
      <c r="H1235" s="118">
        <v>2</v>
      </c>
      <c r="I1235" s="820">
        <v>26385</v>
      </c>
      <c r="J1235" s="118">
        <f>+CUBICACION!J1234</f>
        <v>0</v>
      </c>
      <c r="K1235" s="118">
        <v>4014</v>
      </c>
      <c r="L1235" s="118">
        <f>+CUBICACION!L1234</f>
        <v>0</v>
      </c>
      <c r="M1235" s="64">
        <f>+CUBICACION!M1234</f>
        <v>0</v>
      </c>
      <c r="N1235" s="824" t="str">
        <f>+CUBICACION!N1234</f>
        <v/>
      </c>
      <c r="O1235" s="675">
        <f>+CUBICACION!O1234</f>
        <v>0</v>
      </c>
      <c r="P1235" s="15">
        <f>IF(O1235="Fire Control",VLOOKUP(_xlfn.MINIFS('FIRE CONTROL'!$C$4:$C$37,'FIRE CONTROL'!$C$4:$C$37,"&gt;="&amp;M1235),'FIRE CONTROL'!$C$4:$G$37,IF(L1235="F-15",2,IF(L1235="F-30",3,IF(L1235="F-60",4,IF(L1235="F-90",5,0)))),0),0)+IF(AND(O1235="FIRE TEX 5062",OR(E1235="IN",E1235="C",E1235="Z",E1235="L"),J1235=3),VLOOKUP(_xlfn.MINIFS('FIRE TEX 5062'!$B$4:$B$34,'FIRE TEX 5062'!$B$4:$B$34,"&gt;="&amp;M1235),'FIRE TEX 5062'!$B$4:$F$34,IF(L1235="F-15",2,IF(L1235="F-30",3,IF(L1235="F-60",4,IF(L1235="F-90",5,0)))),0),0)+IF(AND(O1235="FIRE TEX 5062",OR(E1235="IN",E1235="C",E1235="Z",E1235="L"),J1235=4),VLOOKUP(_xlfn.MINIFS('FIRE TEX 5062'!$G$4:$G$34,'FIRE TEX 5062'!$G$4:$G$34,"&gt;="&amp;M1235),'FIRE TEX 5062'!$G$4:$K$34,IF(L1235="F-15",2,IF(L1235="F-30",3,IF(L1235="F-60",4,IF(L1235="F-90",5,0)))),0),0)+IF(AND(O1235="FIRE TEX 5062",E1235="CJ",J1235=3),VLOOKUP(_xlfn.MINIFS('FIRE TEX 5062'!$L$4:$L$34,'FIRE TEX 5062'!$L$4:$L$34,"&gt;="&amp;M1235),'FIRE TEX 5062'!$L$4:$P$34,IF(L1235="F-15",2,IF(L1235="F-30",3,IF(L1235="F-60",4,IF(L1235="F-90",5,0)))),0),0)+IF(AND(O1235="FIRE TEX 5062",E1235="CJ",J1235=4),VLOOKUP(_xlfn.MINIFS('FIRE TEX 5062'!$Q$3:$Q$34,'FIRE TEX 5062'!$Q$3:$Q$34,"&gt;="&amp;M1235),'FIRE TEX 5062'!$Q$3:$U$34,IF(L1235="F-15",2,IF(L1235="F-30",3,IF(L1235="F-60",4,IF(L1235="F-90",5,0)))),0),0)+IF(AND(O1235="FIRE TEX 5090",OR(E1235="IN",E1235="C",E1235="Z",E1235="L"),J1235=3),VLOOKUP(_xlfn.MINIFS('FIRE TEX 5090'!$B$5:$B$43,'FIRE TEX 5090'!$B$5:$B$43,"&gt;="&amp;M1235),'FIRE TEX 5090'!$B$5:$H$43,IF(L1235="F-15",2,IF(L1235="F-30",3,IF(L1235="F-60",4,IF(L1235="F-90",5,IF(L1235="F-120",6,IF(L1235="F-150",7,0)))))),0),0)+IF(AND(O1235="FIRE TEX 5090",OR(E1235="IN",E1235="C",E1235="Z",E1235="L"),J1235=4),VLOOKUP(_xlfn.MINIFS('FIRE TEX 5090'!$J$5:$J$43,'FIRE TEX 5090'!$J$5:$J$43,"&gt;="&amp;M1235),'FIRE TEX 5090'!$J$5:$P$43,IF(L1235="F-15",2,IF(L1235="F-30",3,IF(L1235="F-60",4,IF(L1235="F-90",5,IF(L1235="F-120",6,IF(L1235="F-150",7,0)))))),0),0)+IF(AND(O1235="FIRE TEX 5090",E1235="CJ",J1235=3),VLOOKUP(_xlfn.MINIFS('FIRE TEX 5090'!$R$5:$R$30,'FIRE TEX 5090'!$R$5:$R$30,"&gt;="&amp;M1235),'FIRE TEX 5090'!$R$5:$W$30,IF(L1235="F-15",2,IF(L1235="F-30",3,IF(L1235="F-60",4,IF(L1235="F-90",5,IF(L1235="F-120",6,IF(L1235="F-150",7,0)))))),0),0)+IF(AND(O1235="FIRE TEX 5090",E1235="CJ",J1235=4),VLOOKUP(_xlfn.MINIFS('FIRE TEX 5090'!$Y$5:$Y$39,'FIRE TEX 5090'!$Y$5:$Y$39,"&gt;="&amp;M1235),'FIRE TEX 5090'!$Y$5:$AD$39,IF(L1235="F-15",2,IF(L1235="F-30",3,IF(L1235="F-60",4,IF(L1235="F-90",5,IF(L1235="F-120",6,IF(L1235="F-150",7,0)))))),0),0)+IF(AND(O1235="FIRE TEX 5120",OR(E1235="IN",E1235="C",E1235="Z",E1235="L"),J1235=3),VLOOKUP(_xlfn.MINIFS('FIRE TEX 5120'!$B$5:$B$40,'FIRE TEX 5120'!$B$5:$B$40,"&gt;="&amp;M1235),'FIRE TEX 5120'!$B$5:$G$40,IF(L1235="F-15",2,IF(L1235="F-30",3,IF(L1235="F-60",4,IF(L1235="F-90",5,IF(L1235="F-120",6,0))))),0),0)+IF(AND(O1235="FIRE TEX 5120",OR(E1235="IN",E1235="C",E1235="Z",E1235="L"),J1235=4),VLOOKUP(_xlfn.MINIFS('FIRE TEX 5120'!$H$4:$H$40,'FIRE TEX 5120'!$H$4:$H$40,"&gt;="&amp;M1235),'FIRE TEX 5120'!$H$4:$M$40,IF(L1235="F-15",2,IF(L1235="F-30",3,IF(L1235="F-60",4,IF(L1235="F-90",5,IF(L1235="F-120",6,0))))),0),0)+IF(AND(O1235="FIRE TEX 5120",E1235="CJ"),VLOOKUP(_xlfn.MINIFS('FIRE TEX 5120'!$O$5:$O$40,'FIRE TEX 5120'!$O$5:$O$40,"&gt;="&amp;M1235),'FIRE TEX 5120'!$O$5:$T$40,IF(L1235="F-15",2,IF(L1235="F-30",3,IF(L1235="F-60",4,IF(L1235="F-90",5,IF(L1235="F-120",6,0))))),0),0)</f>
        <v>0</v>
      </c>
      <c r="Q1235" s="46">
        <f t="shared" si="114"/>
        <v>0</v>
      </c>
      <c r="R1235" s="46">
        <f t="shared" si="115"/>
        <v>0</v>
      </c>
      <c r="S1235" s="46" t="e">
        <f t="shared" si="116"/>
        <v>#VALUE!</v>
      </c>
      <c r="T1235" s="677">
        <f t="shared" si="117"/>
        <v>0</v>
      </c>
      <c r="U1235" s="80">
        <f>(IF(O1235="Stofire",(S1235*#REF!),0))+(IF(O1235="Fire Control",(S1235*$U$2),0))+(IF(O1235="Fire Tex",(S1235*$U$3),0))+(IF(O1235="WB7",(S1235*#REF!),0)+(IF(O1235="FX 2003",(S1235*$U$5),0)))</f>
        <v>0</v>
      </c>
      <c r="V1235" s="651">
        <f t="shared" si="118"/>
        <v>0</v>
      </c>
    </row>
    <row r="1236" spans="4:22" x14ac:dyDescent="0.25">
      <c r="D1236" s="118">
        <f>+CUBICACION!D1235</f>
        <v>0</v>
      </c>
      <c r="E1236" s="118">
        <f>+CUBICACION!F1235</f>
        <v>0</v>
      </c>
      <c r="F1236" s="118">
        <f>+CUBICACION!E1235</f>
        <v>0</v>
      </c>
      <c r="G1236" s="118">
        <v>12</v>
      </c>
      <c r="H1236" s="118">
        <v>2</v>
      </c>
      <c r="I1236" s="820">
        <v>26385</v>
      </c>
      <c r="J1236" s="118">
        <f>+CUBICACION!J1235</f>
        <v>0</v>
      </c>
      <c r="K1236" s="118">
        <v>4015</v>
      </c>
      <c r="L1236" s="118">
        <f>+CUBICACION!L1235</f>
        <v>0</v>
      </c>
      <c r="M1236" s="64">
        <f>+CUBICACION!M1235</f>
        <v>0</v>
      </c>
      <c r="N1236" s="824" t="str">
        <f>+CUBICACION!N1235</f>
        <v/>
      </c>
      <c r="O1236" s="675">
        <f>+CUBICACION!O1235</f>
        <v>0</v>
      </c>
      <c r="P1236" s="15">
        <f>IF(O1236="Fire Control",VLOOKUP(_xlfn.MINIFS('FIRE CONTROL'!$C$4:$C$37,'FIRE CONTROL'!$C$4:$C$37,"&gt;="&amp;M1236),'FIRE CONTROL'!$C$4:$G$37,IF(L1236="F-15",2,IF(L1236="F-30",3,IF(L1236="F-60",4,IF(L1236="F-90",5,0)))),0),0)+IF(AND(O1236="FIRE TEX 5062",OR(E1236="IN",E1236="C",E1236="Z",E1236="L"),J1236=3),VLOOKUP(_xlfn.MINIFS('FIRE TEX 5062'!$B$4:$B$34,'FIRE TEX 5062'!$B$4:$B$34,"&gt;="&amp;M1236),'FIRE TEX 5062'!$B$4:$F$34,IF(L1236="F-15",2,IF(L1236="F-30",3,IF(L1236="F-60",4,IF(L1236="F-90",5,0)))),0),0)+IF(AND(O1236="FIRE TEX 5062",OR(E1236="IN",E1236="C",E1236="Z",E1236="L"),J1236=4),VLOOKUP(_xlfn.MINIFS('FIRE TEX 5062'!$G$4:$G$34,'FIRE TEX 5062'!$G$4:$G$34,"&gt;="&amp;M1236),'FIRE TEX 5062'!$G$4:$K$34,IF(L1236="F-15",2,IF(L1236="F-30",3,IF(L1236="F-60",4,IF(L1236="F-90",5,0)))),0),0)+IF(AND(O1236="FIRE TEX 5062",E1236="CJ",J1236=3),VLOOKUP(_xlfn.MINIFS('FIRE TEX 5062'!$L$4:$L$34,'FIRE TEX 5062'!$L$4:$L$34,"&gt;="&amp;M1236),'FIRE TEX 5062'!$L$4:$P$34,IF(L1236="F-15",2,IF(L1236="F-30",3,IF(L1236="F-60",4,IF(L1236="F-90",5,0)))),0),0)+IF(AND(O1236="FIRE TEX 5062",E1236="CJ",J1236=4),VLOOKUP(_xlfn.MINIFS('FIRE TEX 5062'!$Q$3:$Q$34,'FIRE TEX 5062'!$Q$3:$Q$34,"&gt;="&amp;M1236),'FIRE TEX 5062'!$Q$3:$U$34,IF(L1236="F-15",2,IF(L1236="F-30",3,IF(L1236="F-60",4,IF(L1236="F-90",5,0)))),0),0)+IF(AND(O1236="FIRE TEX 5090",OR(E1236="IN",E1236="C",E1236="Z",E1236="L"),J1236=3),VLOOKUP(_xlfn.MINIFS('FIRE TEX 5090'!$B$5:$B$43,'FIRE TEX 5090'!$B$5:$B$43,"&gt;="&amp;M1236),'FIRE TEX 5090'!$B$5:$H$43,IF(L1236="F-15",2,IF(L1236="F-30",3,IF(L1236="F-60",4,IF(L1236="F-90",5,IF(L1236="F-120",6,IF(L1236="F-150",7,0)))))),0),0)+IF(AND(O1236="FIRE TEX 5090",OR(E1236="IN",E1236="C",E1236="Z",E1236="L"),J1236=4),VLOOKUP(_xlfn.MINIFS('FIRE TEX 5090'!$J$5:$J$43,'FIRE TEX 5090'!$J$5:$J$43,"&gt;="&amp;M1236),'FIRE TEX 5090'!$J$5:$P$43,IF(L1236="F-15",2,IF(L1236="F-30",3,IF(L1236="F-60",4,IF(L1236="F-90",5,IF(L1236="F-120",6,IF(L1236="F-150",7,0)))))),0),0)+IF(AND(O1236="FIRE TEX 5090",E1236="CJ",J1236=3),VLOOKUP(_xlfn.MINIFS('FIRE TEX 5090'!$R$5:$R$30,'FIRE TEX 5090'!$R$5:$R$30,"&gt;="&amp;M1236),'FIRE TEX 5090'!$R$5:$W$30,IF(L1236="F-15",2,IF(L1236="F-30",3,IF(L1236="F-60",4,IF(L1236="F-90",5,IF(L1236="F-120",6,IF(L1236="F-150",7,0)))))),0),0)+IF(AND(O1236="FIRE TEX 5090",E1236="CJ",J1236=4),VLOOKUP(_xlfn.MINIFS('FIRE TEX 5090'!$Y$5:$Y$39,'FIRE TEX 5090'!$Y$5:$Y$39,"&gt;="&amp;M1236),'FIRE TEX 5090'!$Y$5:$AD$39,IF(L1236="F-15",2,IF(L1236="F-30",3,IF(L1236="F-60",4,IF(L1236="F-90",5,IF(L1236="F-120",6,IF(L1236="F-150",7,0)))))),0),0)+IF(AND(O1236="FIRE TEX 5120",OR(E1236="IN",E1236="C",E1236="Z",E1236="L"),J1236=3),VLOOKUP(_xlfn.MINIFS('FIRE TEX 5120'!$B$5:$B$40,'FIRE TEX 5120'!$B$5:$B$40,"&gt;="&amp;M1236),'FIRE TEX 5120'!$B$5:$G$40,IF(L1236="F-15",2,IF(L1236="F-30",3,IF(L1236="F-60",4,IF(L1236="F-90",5,IF(L1236="F-120",6,0))))),0),0)+IF(AND(O1236="FIRE TEX 5120",OR(E1236="IN",E1236="C",E1236="Z",E1236="L"),J1236=4),VLOOKUP(_xlfn.MINIFS('FIRE TEX 5120'!$H$4:$H$40,'FIRE TEX 5120'!$H$4:$H$40,"&gt;="&amp;M1236),'FIRE TEX 5120'!$H$4:$M$40,IF(L1236="F-15",2,IF(L1236="F-30",3,IF(L1236="F-60",4,IF(L1236="F-90",5,IF(L1236="F-120",6,0))))),0),0)+IF(AND(O1236="FIRE TEX 5120",E1236="CJ"),VLOOKUP(_xlfn.MINIFS('FIRE TEX 5120'!$O$5:$O$40,'FIRE TEX 5120'!$O$5:$O$40,"&gt;="&amp;M1236),'FIRE TEX 5120'!$O$5:$T$40,IF(L1236="F-15",2,IF(L1236="F-30",3,IF(L1236="F-60",4,IF(L1236="F-90",5,IF(L1236="F-120",6,0))))),0),0)</f>
        <v>0</v>
      </c>
      <c r="Q1236" s="46">
        <f t="shared" si="114"/>
        <v>0</v>
      </c>
      <c r="R1236" s="46">
        <f t="shared" si="115"/>
        <v>0</v>
      </c>
      <c r="S1236" s="46" t="e">
        <f t="shared" si="116"/>
        <v>#VALUE!</v>
      </c>
      <c r="T1236" s="677">
        <f t="shared" si="117"/>
        <v>0</v>
      </c>
      <c r="U1236" s="80">
        <f>(IF(O1236="Stofire",(S1236*#REF!),0))+(IF(O1236="Fire Control",(S1236*$U$2),0))+(IF(O1236="Fire Tex",(S1236*$U$3),0))+(IF(O1236="WB7",(S1236*#REF!),0)+(IF(O1236="FX 2003",(S1236*$U$5),0)))</f>
        <v>0</v>
      </c>
      <c r="V1236" s="651">
        <f t="shared" si="118"/>
        <v>0</v>
      </c>
    </row>
    <row r="1237" spans="4:22" x14ac:dyDescent="0.25">
      <c r="D1237" s="118">
        <f>+CUBICACION!D1236</f>
        <v>0</v>
      </c>
      <c r="E1237" s="118">
        <f>+CUBICACION!F1236</f>
        <v>0</v>
      </c>
      <c r="F1237" s="118">
        <f>+CUBICACION!E1236</f>
        <v>0</v>
      </c>
      <c r="G1237" s="118">
        <v>12</v>
      </c>
      <c r="H1237" s="118">
        <v>2</v>
      </c>
      <c r="I1237" s="820">
        <v>26385</v>
      </c>
      <c r="J1237" s="118">
        <f>+CUBICACION!J1236</f>
        <v>0</v>
      </c>
      <c r="K1237" s="118">
        <v>4016</v>
      </c>
      <c r="L1237" s="118">
        <f>+CUBICACION!L1236</f>
        <v>0</v>
      </c>
      <c r="M1237" s="64">
        <f>+CUBICACION!M1236</f>
        <v>0</v>
      </c>
      <c r="N1237" s="824" t="str">
        <f>+CUBICACION!N1236</f>
        <v/>
      </c>
      <c r="O1237" s="675">
        <f>+CUBICACION!O1236</f>
        <v>0</v>
      </c>
      <c r="P1237" s="15">
        <f>IF(O1237="Fire Control",VLOOKUP(_xlfn.MINIFS('FIRE CONTROL'!$C$4:$C$37,'FIRE CONTROL'!$C$4:$C$37,"&gt;="&amp;M1237),'FIRE CONTROL'!$C$4:$G$37,IF(L1237="F-15",2,IF(L1237="F-30",3,IF(L1237="F-60",4,IF(L1237="F-90",5,0)))),0),0)+IF(AND(O1237="FIRE TEX 5062",OR(E1237="IN",E1237="C",E1237="Z",E1237="L"),J1237=3),VLOOKUP(_xlfn.MINIFS('FIRE TEX 5062'!$B$4:$B$34,'FIRE TEX 5062'!$B$4:$B$34,"&gt;="&amp;M1237),'FIRE TEX 5062'!$B$4:$F$34,IF(L1237="F-15",2,IF(L1237="F-30",3,IF(L1237="F-60",4,IF(L1237="F-90",5,0)))),0),0)+IF(AND(O1237="FIRE TEX 5062",OR(E1237="IN",E1237="C",E1237="Z",E1237="L"),J1237=4),VLOOKUP(_xlfn.MINIFS('FIRE TEX 5062'!$G$4:$G$34,'FIRE TEX 5062'!$G$4:$G$34,"&gt;="&amp;M1237),'FIRE TEX 5062'!$G$4:$K$34,IF(L1237="F-15",2,IF(L1237="F-30",3,IF(L1237="F-60",4,IF(L1237="F-90",5,0)))),0),0)+IF(AND(O1237="FIRE TEX 5062",E1237="CJ",J1237=3),VLOOKUP(_xlfn.MINIFS('FIRE TEX 5062'!$L$4:$L$34,'FIRE TEX 5062'!$L$4:$L$34,"&gt;="&amp;M1237),'FIRE TEX 5062'!$L$4:$P$34,IF(L1237="F-15",2,IF(L1237="F-30",3,IF(L1237="F-60",4,IF(L1237="F-90",5,0)))),0),0)+IF(AND(O1237="FIRE TEX 5062",E1237="CJ",J1237=4),VLOOKUP(_xlfn.MINIFS('FIRE TEX 5062'!$Q$3:$Q$34,'FIRE TEX 5062'!$Q$3:$Q$34,"&gt;="&amp;M1237),'FIRE TEX 5062'!$Q$3:$U$34,IF(L1237="F-15",2,IF(L1237="F-30",3,IF(L1237="F-60",4,IF(L1237="F-90",5,0)))),0),0)+IF(AND(O1237="FIRE TEX 5090",OR(E1237="IN",E1237="C",E1237="Z",E1237="L"),J1237=3),VLOOKUP(_xlfn.MINIFS('FIRE TEX 5090'!$B$5:$B$43,'FIRE TEX 5090'!$B$5:$B$43,"&gt;="&amp;M1237),'FIRE TEX 5090'!$B$5:$H$43,IF(L1237="F-15",2,IF(L1237="F-30",3,IF(L1237="F-60",4,IF(L1237="F-90",5,IF(L1237="F-120",6,IF(L1237="F-150",7,0)))))),0),0)+IF(AND(O1237="FIRE TEX 5090",OR(E1237="IN",E1237="C",E1237="Z",E1237="L"),J1237=4),VLOOKUP(_xlfn.MINIFS('FIRE TEX 5090'!$J$5:$J$43,'FIRE TEX 5090'!$J$5:$J$43,"&gt;="&amp;M1237),'FIRE TEX 5090'!$J$5:$P$43,IF(L1237="F-15",2,IF(L1237="F-30",3,IF(L1237="F-60",4,IF(L1237="F-90",5,IF(L1237="F-120",6,IF(L1237="F-150",7,0)))))),0),0)+IF(AND(O1237="FIRE TEX 5090",E1237="CJ",J1237=3),VLOOKUP(_xlfn.MINIFS('FIRE TEX 5090'!$R$5:$R$30,'FIRE TEX 5090'!$R$5:$R$30,"&gt;="&amp;M1237),'FIRE TEX 5090'!$R$5:$W$30,IF(L1237="F-15",2,IF(L1237="F-30",3,IF(L1237="F-60",4,IF(L1237="F-90",5,IF(L1237="F-120",6,IF(L1237="F-150",7,0)))))),0),0)+IF(AND(O1237="FIRE TEX 5090",E1237="CJ",J1237=4),VLOOKUP(_xlfn.MINIFS('FIRE TEX 5090'!$Y$5:$Y$39,'FIRE TEX 5090'!$Y$5:$Y$39,"&gt;="&amp;M1237),'FIRE TEX 5090'!$Y$5:$AD$39,IF(L1237="F-15",2,IF(L1237="F-30",3,IF(L1237="F-60",4,IF(L1237="F-90",5,IF(L1237="F-120",6,IF(L1237="F-150",7,0)))))),0),0)+IF(AND(O1237="FIRE TEX 5120",OR(E1237="IN",E1237="C",E1237="Z",E1237="L"),J1237=3),VLOOKUP(_xlfn.MINIFS('FIRE TEX 5120'!$B$5:$B$40,'FIRE TEX 5120'!$B$5:$B$40,"&gt;="&amp;M1237),'FIRE TEX 5120'!$B$5:$G$40,IF(L1237="F-15",2,IF(L1237="F-30",3,IF(L1237="F-60",4,IF(L1237="F-90",5,IF(L1237="F-120",6,0))))),0),0)+IF(AND(O1237="FIRE TEX 5120",OR(E1237="IN",E1237="C",E1237="Z",E1237="L"),J1237=4),VLOOKUP(_xlfn.MINIFS('FIRE TEX 5120'!$H$4:$H$40,'FIRE TEX 5120'!$H$4:$H$40,"&gt;="&amp;M1237),'FIRE TEX 5120'!$H$4:$M$40,IF(L1237="F-15",2,IF(L1237="F-30",3,IF(L1237="F-60",4,IF(L1237="F-90",5,IF(L1237="F-120",6,0))))),0),0)+IF(AND(O1237="FIRE TEX 5120",E1237="CJ"),VLOOKUP(_xlfn.MINIFS('FIRE TEX 5120'!$O$5:$O$40,'FIRE TEX 5120'!$O$5:$O$40,"&gt;="&amp;M1237),'FIRE TEX 5120'!$O$5:$T$40,IF(L1237="F-15",2,IF(L1237="F-30",3,IF(L1237="F-60",4,IF(L1237="F-90",5,IF(L1237="F-120",6,0))))),0),0)</f>
        <v>0</v>
      </c>
      <c r="Q1237" s="46">
        <f t="shared" si="114"/>
        <v>0</v>
      </c>
      <c r="R1237" s="46">
        <f t="shared" si="115"/>
        <v>0</v>
      </c>
      <c r="S1237" s="46" t="e">
        <f t="shared" si="116"/>
        <v>#VALUE!</v>
      </c>
      <c r="T1237" s="677">
        <f t="shared" si="117"/>
        <v>0</v>
      </c>
      <c r="U1237" s="80">
        <f>(IF(O1237="Stofire",(S1237*#REF!),0))+(IF(O1237="Fire Control",(S1237*$U$2),0))+(IF(O1237="Fire Tex",(S1237*$U$3),0))+(IF(O1237="WB7",(S1237*#REF!),0)+(IF(O1237="FX 2003",(S1237*$U$5),0)))</f>
        <v>0</v>
      </c>
      <c r="V1237" s="651">
        <f t="shared" si="118"/>
        <v>0</v>
      </c>
    </row>
    <row r="1238" spans="4:22" x14ac:dyDescent="0.25">
      <c r="D1238" s="118">
        <f>+CUBICACION!D1237</f>
        <v>0</v>
      </c>
      <c r="E1238" s="118">
        <f>+CUBICACION!F1237</f>
        <v>0</v>
      </c>
      <c r="F1238" s="118">
        <f>+CUBICACION!E1237</f>
        <v>0</v>
      </c>
      <c r="G1238" s="118">
        <v>12</v>
      </c>
      <c r="H1238" s="118">
        <v>2</v>
      </c>
      <c r="I1238" s="820">
        <v>26385</v>
      </c>
      <c r="J1238" s="118">
        <f>+CUBICACION!J1237</f>
        <v>0</v>
      </c>
      <c r="K1238" s="118">
        <v>4017</v>
      </c>
      <c r="L1238" s="118">
        <f>+CUBICACION!L1237</f>
        <v>0</v>
      </c>
      <c r="M1238" s="64">
        <f>+CUBICACION!M1237</f>
        <v>0</v>
      </c>
      <c r="N1238" s="824" t="str">
        <f>+CUBICACION!N1237</f>
        <v/>
      </c>
      <c r="O1238" s="675">
        <f>+CUBICACION!O1237</f>
        <v>0</v>
      </c>
      <c r="P1238" s="15">
        <f>IF(O1238="Fire Control",VLOOKUP(_xlfn.MINIFS('FIRE CONTROL'!$C$4:$C$37,'FIRE CONTROL'!$C$4:$C$37,"&gt;="&amp;M1238),'FIRE CONTROL'!$C$4:$G$37,IF(L1238="F-15",2,IF(L1238="F-30",3,IF(L1238="F-60",4,IF(L1238="F-90",5,0)))),0),0)+IF(AND(O1238="FIRE TEX 5062",OR(E1238="IN",E1238="C",E1238="Z",E1238="L"),J1238=3),VLOOKUP(_xlfn.MINIFS('FIRE TEX 5062'!$B$4:$B$34,'FIRE TEX 5062'!$B$4:$B$34,"&gt;="&amp;M1238),'FIRE TEX 5062'!$B$4:$F$34,IF(L1238="F-15",2,IF(L1238="F-30",3,IF(L1238="F-60",4,IF(L1238="F-90",5,0)))),0),0)+IF(AND(O1238="FIRE TEX 5062",OR(E1238="IN",E1238="C",E1238="Z",E1238="L"),J1238=4),VLOOKUP(_xlfn.MINIFS('FIRE TEX 5062'!$G$4:$G$34,'FIRE TEX 5062'!$G$4:$G$34,"&gt;="&amp;M1238),'FIRE TEX 5062'!$G$4:$K$34,IF(L1238="F-15",2,IF(L1238="F-30",3,IF(L1238="F-60",4,IF(L1238="F-90",5,0)))),0),0)+IF(AND(O1238="FIRE TEX 5062",E1238="CJ",J1238=3),VLOOKUP(_xlfn.MINIFS('FIRE TEX 5062'!$L$4:$L$34,'FIRE TEX 5062'!$L$4:$L$34,"&gt;="&amp;M1238),'FIRE TEX 5062'!$L$4:$P$34,IF(L1238="F-15",2,IF(L1238="F-30",3,IF(L1238="F-60",4,IF(L1238="F-90",5,0)))),0),0)+IF(AND(O1238="FIRE TEX 5062",E1238="CJ",J1238=4),VLOOKUP(_xlfn.MINIFS('FIRE TEX 5062'!$Q$3:$Q$34,'FIRE TEX 5062'!$Q$3:$Q$34,"&gt;="&amp;M1238),'FIRE TEX 5062'!$Q$3:$U$34,IF(L1238="F-15",2,IF(L1238="F-30",3,IF(L1238="F-60",4,IF(L1238="F-90",5,0)))),0),0)+IF(AND(O1238="FIRE TEX 5090",OR(E1238="IN",E1238="C",E1238="Z",E1238="L"),J1238=3),VLOOKUP(_xlfn.MINIFS('FIRE TEX 5090'!$B$5:$B$43,'FIRE TEX 5090'!$B$5:$B$43,"&gt;="&amp;M1238),'FIRE TEX 5090'!$B$5:$H$43,IF(L1238="F-15",2,IF(L1238="F-30",3,IF(L1238="F-60",4,IF(L1238="F-90",5,IF(L1238="F-120",6,IF(L1238="F-150",7,0)))))),0),0)+IF(AND(O1238="FIRE TEX 5090",OR(E1238="IN",E1238="C",E1238="Z",E1238="L"),J1238=4),VLOOKUP(_xlfn.MINIFS('FIRE TEX 5090'!$J$5:$J$43,'FIRE TEX 5090'!$J$5:$J$43,"&gt;="&amp;M1238),'FIRE TEX 5090'!$J$5:$P$43,IF(L1238="F-15",2,IF(L1238="F-30",3,IF(L1238="F-60",4,IF(L1238="F-90",5,IF(L1238="F-120",6,IF(L1238="F-150",7,0)))))),0),0)+IF(AND(O1238="FIRE TEX 5090",E1238="CJ",J1238=3),VLOOKUP(_xlfn.MINIFS('FIRE TEX 5090'!$R$5:$R$30,'FIRE TEX 5090'!$R$5:$R$30,"&gt;="&amp;M1238),'FIRE TEX 5090'!$R$5:$W$30,IF(L1238="F-15",2,IF(L1238="F-30",3,IF(L1238="F-60",4,IF(L1238="F-90",5,IF(L1238="F-120",6,IF(L1238="F-150",7,0)))))),0),0)+IF(AND(O1238="FIRE TEX 5090",E1238="CJ",J1238=4),VLOOKUP(_xlfn.MINIFS('FIRE TEX 5090'!$Y$5:$Y$39,'FIRE TEX 5090'!$Y$5:$Y$39,"&gt;="&amp;M1238),'FIRE TEX 5090'!$Y$5:$AD$39,IF(L1238="F-15",2,IF(L1238="F-30",3,IF(L1238="F-60",4,IF(L1238="F-90",5,IF(L1238="F-120",6,IF(L1238="F-150",7,0)))))),0),0)+IF(AND(O1238="FIRE TEX 5120",OR(E1238="IN",E1238="C",E1238="Z",E1238="L"),J1238=3),VLOOKUP(_xlfn.MINIFS('FIRE TEX 5120'!$B$5:$B$40,'FIRE TEX 5120'!$B$5:$B$40,"&gt;="&amp;M1238),'FIRE TEX 5120'!$B$5:$G$40,IF(L1238="F-15",2,IF(L1238="F-30",3,IF(L1238="F-60",4,IF(L1238="F-90",5,IF(L1238="F-120",6,0))))),0),0)+IF(AND(O1238="FIRE TEX 5120",OR(E1238="IN",E1238="C",E1238="Z",E1238="L"),J1238=4),VLOOKUP(_xlfn.MINIFS('FIRE TEX 5120'!$H$4:$H$40,'FIRE TEX 5120'!$H$4:$H$40,"&gt;="&amp;M1238),'FIRE TEX 5120'!$H$4:$M$40,IF(L1238="F-15",2,IF(L1238="F-30",3,IF(L1238="F-60",4,IF(L1238="F-90",5,IF(L1238="F-120",6,0))))),0),0)+IF(AND(O1238="FIRE TEX 5120",E1238="CJ"),VLOOKUP(_xlfn.MINIFS('FIRE TEX 5120'!$O$5:$O$40,'FIRE TEX 5120'!$O$5:$O$40,"&gt;="&amp;M1238),'FIRE TEX 5120'!$O$5:$T$40,IF(L1238="F-15",2,IF(L1238="F-30",3,IF(L1238="F-60",4,IF(L1238="F-90",5,IF(L1238="F-120",6,0))))),0),0)</f>
        <v>0</v>
      </c>
      <c r="Q1238" s="46">
        <f t="shared" si="114"/>
        <v>0</v>
      </c>
      <c r="R1238" s="46">
        <f t="shared" si="115"/>
        <v>0</v>
      </c>
      <c r="S1238" s="46" t="e">
        <f t="shared" si="116"/>
        <v>#VALUE!</v>
      </c>
      <c r="T1238" s="677">
        <f t="shared" si="117"/>
        <v>0</v>
      </c>
      <c r="U1238" s="80">
        <f>(IF(O1238="Stofire",(S1238*#REF!),0))+(IF(O1238="Fire Control",(S1238*$U$2),0))+(IF(O1238="Fire Tex",(S1238*$U$3),0))+(IF(O1238="WB7",(S1238*#REF!),0)+(IF(O1238="FX 2003",(S1238*$U$5),0)))</f>
        <v>0</v>
      </c>
      <c r="V1238" s="651">
        <f t="shared" si="118"/>
        <v>0</v>
      </c>
    </row>
    <row r="1239" spans="4:22" x14ac:dyDescent="0.25">
      <c r="D1239" s="118">
        <f>+CUBICACION!D1238</f>
        <v>0</v>
      </c>
      <c r="E1239" s="118">
        <f>+CUBICACION!F1238</f>
        <v>0</v>
      </c>
      <c r="F1239" s="118">
        <f>+CUBICACION!E1238</f>
        <v>0</v>
      </c>
      <c r="G1239" s="118">
        <v>12</v>
      </c>
      <c r="H1239" s="118">
        <v>2</v>
      </c>
      <c r="I1239" s="820">
        <v>26385</v>
      </c>
      <c r="J1239" s="118">
        <f>+CUBICACION!J1238</f>
        <v>0</v>
      </c>
      <c r="K1239" s="118">
        <v>4018</v>
      </c>
      <c r="L1239" s="118">
        <f>+CUBICACION!L1238</f>
        <v>0</v>
      </c>
      <c r="M1239" s="64">
        <f>+CUBICACION!M1238</f>
        <v>0</v>
      </c>
      <c r="N1239" s="824" t="str">
        <f>+CUBICACION!N1238</f>
        <v/>
      </c>
      <c r="O1239" s="675">
        <f>+CUBICACION!O1238</f>
        <v>0</v>
      </c>
      <c r="P1239" s="15">
        <f>IF(O1239="Fire Control",VLOOKUP(_xlfn.MINIFS('FIRE CONTROL'!$C$4:$C$37,'FIRE CONTROL'!$C$4:$C$37,"&gt;="&amp;M1239),'FIRE CONTROL'!$C$4:$G$37,IF(L1239="F-15",2,IF(L1239="F-30",3,IF(L1239="F-60",4,IF(L1239="F-90",5,0)))),0),0)+IF(AND(O1239="FIRE TEX 5062",OR(E1239="IN",E1239="C",E1239="Z",E1239="L"),J1239=3),VLOOKUP(_xlfn.MINIFS('FIRE TEX 5062'!$B$4:$B$34,'FIRE TEX 5062'!$B$4:$B$34,"&gt;="&amp;M1239),'FIRE TEX 5062'!$B$4:$F$34,IF(L1239="F-15",2,IF(L1239="F-30",3,IF(L1239="F-60",4,IF(L1239="F-90",5,0)))),0),0)+IF(AND(O1239="FIRE TEX 5062",OR(E1239="IN",E1239="C",E1239="Z",E1239="L"),J1239=4),VLOOKUP(_xlfn.MINIFS('FIRE TEX 5062'!$G$4:$G$34,'FIRE TEX 5062'!$G$4:$G$34,"&gt;="&amp;M1239),'FIRE TEX 5062'!$G$4:$K$34,IF(L1239="F-15",2,IF(L1239="F-30",3,IF(L1239="F-60",4,IF(L1239="F-90",5,0)))),0),0)+IF(AND(O1239="FIRE TEX 5062",E1239="CJ",J1239=3),VLOOKUP(_xlfn.MINIFS('FIRE TEX 5062'!$L$4:$L$34,'FIRE TEX 5062'!$L$4:$L$34,"&gt;="&amp;M1239),'FIRE TEX 5062'!$L$4:$P$34,IF(L1239="F-15",2,IF(L1239="F-30",3,IF(L1239="F-60",4,IF(L1239="F-90",5,0)))),0),0)+IF(AND(O1239="FIRE TEX 5062",E1239="CJ",J1239=4),VLOOKUP(_xlfn.MINIFS('FIRE TEX 5062'!$Q$3:$Q$34,'FIRE TEX 5062'!$Q$3:$Q$34,"&gt;="&amp;M1239),'FIRE TEX 5062'!$Q$3:$U$34,IF(L1239="F-15",2,IF(L1239="F-30",3,IF(L1239="F-60",4,IF(L1239="F-90",5,0)))),0),0)+IF(AND(O1239="FIRE TEX 5090",OR(E1239="IN",E1239="C",E1239="Z",E1239="L"),J1239=3),VLOOKUP(_xlfn.MINIFS('FIRE TEX 5090'!$B$5:$B$43,'FIRE TEX 5090'!$B$5:$B$43,"&gt;="&amp;M1239),'FIRE TEX 5090'!$B$5:$H$43,IF(L1239="F-15",2,IF(L1239="F-30",3,IF(L1239="F-60",4,IF(L1239="F-90",5,IF(L1239="F-120",6,IF(L1239="F-150",7,0)))))),0),0)+IF(AND(O1239="FIRE TEX 5090",OR(E1239="IN",E1239="C",E1239="Z",E1239="L"),J1239=4),VLOOKUP(_xlfn.MINIFS('FIRE TEX 5090'!$J$5:$J$43,'FIRE TEX 5090'!$J$5:$J$43,"&gt;="&amp;M1239),'FIRE TEX 5090'!$J$5:$P$43,IF(L1239="F-15",2,IF(L1239="F-30",3,IF(L1239="F-60",4,IF(L1239="F-90",5,IF(L1239="F-120",6,IF(L1239="F-150",7,0)))))),0),0)+IF(AND(O1239="FIRE TEX 5090",E1239="CJ",J1239=3),VLOOKUP(_xlfn.MINIFS('FIRE TEX 5090'!$R$5:$R$30,'FIRE TEX 5090'!$R$5:$R$30,"&gt;="&amp;M1239),'FIRE TEX 5090'!$R$5:$W$30,IF(L1239="F-15",2,IF(L1239="F-30",3,IF(L1239="F-60",4,IF(L1239="F-90",5,IF(L1239="F-120",6,IF(L1239="F-150",7,0)))))),0),0)+IF(AND(O1239="FIRE TEX 5090",E1239="CJ",J1239=4),VLOOKUP(_xlfn.MINIFS('FIRE TEX 5090'!$Y$5:$Y$39,'FIRE TEX 5090'!$Y$5:$Y$39,"&gt;="&amp;M1239),'FIRE TEX 5090'!$Y$5:$AD$39,IF(L1239="F-15",2,IF(L1239="F-30",3,IF(L1239="F-60",4,IF(L1239="F-90",5,IF(L1239="F-120",6,IF(L1239="F-150",7,0)))))),0),0)+IF(AND(O1239="FIRE TEX 5120",OR(E1239="IN",E1239="C",E1239="Z",E1239="L"),J1239=3),VLOOKUP(_xlfn.MINIFS('FIRE TEX 5120'!$B$5:$B$40,'FIRE TEX 5120'!$B$5:$B$40,"&gt;="&amp;M1239),'FIRE TEX 5120'!$B$5:$G$40,IF(L1239="F-15",2,IF(L1239="F-30",3,IF(L1239="F-60",4,IF(L1239="F-90",5,IF(L1239="F-120",6,0))))),0),0)+IF(AND(O1239="FIRE TEX 5120",OR(E1239="IN",E1239="C",E1239="Z",E1239="L"),J1239=4),VLOOKUP(_xlfn.MINIFS('FIRE TEX 5120'!$H$4:$H$40,'FIRE TEX 5120'!$H$4:$H$40,"&gt;="&amp;M1239),'FIRE TEX 5120'!$H$4:$M$40,IF(L1239="F-15",2,IF(L1239="F-30",3,IF(L1239="F-60",4,IF(L1239="F-90",5,IF(L1239="F-120",6,0))))),0),0)+IF(AND(O1239="FIRE TEX 5120",E1239="CJ"),VLOOKUP(_xlfn.MINIFS('FIRE TEX 5120'!$O$5:$O$40,'FIRE TEX 5120'!$O$5:$O$40,"&gt;="&amp;M1239),'FIRE TEX 5120'!$O$5:$T$40,IF(L1239="F-15",2,IF(L1239="F-30",3,IF(L1239="F-60",4,IF(L1239="F-90",5,IF(L1239="F-120",6,0))))),0),0)</f>
        <v>0</v>
      </c>
      <c r="Q1239" s="46">
        <f t="shared" si="114"/>
        <v>0</v>
      </c>
      <c r="R1239" s="46">
        <f t="shared" si="115"/>
        <v>0</v>
      </c>
      <c r="S1239" s="46" t="e">
        <f t="shared" si="116"/>
        <v>#VALUE!</v>
      </c>
      <c r="T1239" s="677">
        <f t="shared" si="117"/>
        <v>0</v>
      </c>
      <c r="U1239" s="80">
        <f>(IF(O1239="Stofire",(S1239*#REF!),0))+(IF(O1239="Fire Control",(S1239*$U$2),0))+(IF(O1239="Fire Tex",(S1239*$U$3),0))+(IF(O1239="WB7",(S1239*#REF!),0)+(IF(O1239="FX 2003",(S1239*$U$5),0)))</f>
        <v>0</v>
      </c>
      <c r="V1239" s="651">
        <f t="shared" si="118"/>
        <v>0</v>
      </c>
    </row>
    <row r="1240" spans="4:22" x14ac:dyDescent="0.25">
      <c r="D1240" s="118">
        <f>+CUBICACION!D1239</f>
        <v>0</v>
      </c>
      <c r="E1240" s="118">
        <f>+CUBICACION!F1239</f>
        <v>0</v>
      </c>
      <c r="F1240" s="118">
        <f>+CUBICACION!E1239</f>
        <v>0</v>
      </c>
      <c r="G1240" s="118">
        <v>12</v>
      </c>
      <c r="H1240" s="118">
        <v>2</v>
      </c>
      <c r="I1240" s="820">
        <v>26385</v>
      </c>
      <c r="J1240" s="118">
        <f>+CUBICACION!J1239</f>
        <v>0</v>
      </c>
      <c r="K1240" s="118">
        <v>4019</v>
      </c>
      <c r="L1240" s="118">
        <f>+CUBICACION!L1239</f>
        <v>0</v>
      </c>
      <c r="M1240" s="64">
        <f>+CUBICACION!M1239</f>
        <v>0</v>
      </c>
      <c r="N1240" s="824" t="str">
        <f>+CUBICACION!N1239</f>
        <v/>
      </c>
      <c r="O1240" s="675">
        <f>+CUBICACION!O1239</f>
        <v>0</v>
      </c>
      <c r="P1240" s="15">
        <f>IF(O1240="Fire Control",VLOOKUP(_xlfn.MINIFS('FIRE CONTROL'!$C$4:$C$37,'FIRE CONTROL'!$C$4:$C$37,"&gt;="&amp;M1240),'FIRE CONTROL'!$C$4:$G$37,IF(L1240="F-15",2,IF(L1240="F-30",3,IF(L1240="F-60",4,IF(L1240="F-90",5,0)))),0),0)+IF(AND(O1240="FIRE TEX 5062",OR(E1240="IN",E1240="C",E1240="Z",E1240="L"),J1240=3),VLOOKUP(_xlfn.MINIFS('FIRE TEX 5062'!$B$4:$B$34,'FIRE TEX 5062'!$B$4:$B$34,"&gt;="&amp;M1240),'FIRE TEX 5062'!$B$4:$F$34,IF(L1240="F-15",2,IF(L1240="F-30",3,IF(L1240="F-60",4,IF(L1240="F-90",5,0)))),0),0)+IF(AND(O1240="FIRE TEX 5062",OR(E1240="IN",E1240="C",E1240="Z",E1240="L"),J1240=4),VLOOKUP(_xlfn.MINIFS('FIRE TEX 5062'!$G$4:$G$34,'FIRE TEX 5062'!$G$4:$G$34,"&gt;="&amp;M1240),'FIRE TEX 5062'!$G$4:$K$34,IF(L1240="F-15",2,IF(L1240="F-30",3,IF(L1240="F-60",4,IF(L1240="F-90",5,0)))),0),0)+IF(AND(O1240="FIRE TEX 5062",E1240="CJ",J1240=3),VLOOKUP(_xlfn.MINIFS('FIRE TEX 5062'!$L$4:$L$34,'FIRE TEX 5062'!$L$4:$L$34,"&gt;="&amp;M1240),'FIRE TEX 5062'!$L$4:$P$34,IF(L1240="F-15",2,IF(L1240="F-30",3,IF(L1240="F-60",4,IF(L1240="F-90",5,0)))),0),0)+IF(AND(O1240="FIRE TEX 5062",E1240="CJ",J1240=4),VLOOKUP(_xlfn.MINIFS('FIRE TEX 5062'!$Q$3:$Q$34,'FIRE TEX 5062'!$Q$3:$Q$34,"&gt;="&amp;M1240),'FIRE TEX 5062'!$Q$3:$U$34,IF(L1240="F-15",2,IF(L1240="F-30",3,IF(L1240="F-60",4,IF(L1240="F-90",5,0)))),0),0)+IF(AND(O1240="FIRE TEX 5090",OR(E1240="IN",E1240="C",E1240="Z",E1240="L"),J1240=3),VLOOKUP(_xlfn.MINIFS('FIRE TEX 5090'!$B$5:$B$43,'FIRE TEX 5090'!$B$5:$B$43,"&gt;="&amp;M1240),'FIRE TEX 5090'!$B$5:$H$43,IF(L1240="F-15",2,IF(L1240="F-30",3,IF(L1240="F-60",4,IF(L1240="F-90",5,IF(L1240="F-120",6,IF(L1240="F-150",7,0)))))),0),0)+IF(AND(O1240="FIRE TEX 5090",OR(E1240="IN",E1240="C",E1240="Z",E1240="L"),J1240=4),VLOOKUP(_xlfn.MINIFS('FIRE TEX 5090'!$J$5:$J$43,'FIRE TEX 5090'!$J$5:$J$43,"&gt;="&amp;M1240),'FIRE TEX 5090'!$J$5:$P$43,IF(L1240="F-15",2,IF(L1240="F-30",3,IF(L1240="F-60",4,IF(L1240="F-90",5,IF(L1240="F-120",6,IF(L1240="F-150",7,0)))))),0),0)+IF(AND(O1240="FIRE TEX 5090",E1240="CJ",J1240=3),VLOOKUP(_xlfn.MINIFS('FIRE TEX 5090'!$R$5:$R$30,'FIRE TEX 5090'!$R$5:$R$30,"&gt;="&amp;M1240),'FIRE TEX 5090'!$R$5:$W$30,IF(L1240="F-15",2,IF(L1240="F-30",3,IF(L1240="F-60",4,IF(L1240="F-90",5,IF(L1240="F-120",6,IF(L1240="F-150",7,0)))))),0),0)+IF(AND(O1240="FIRE TEX 5090",E1240="CJ",J1240=4),VLOOKUP(_xlfn.MINIFS('FIRE TEX 5090'!$Y$5:$Y$39,'FIRE TEX 5090'!$Y$5:$Y$39,"&gt;="&amp;M1240),'FIRE TEX 5090'!$Y$5:$AD$39,IF(L1240="F-15",2,IF(L1240="F-30",3,IF(L1240="F-60",4,IF(L1240="F-90",5,IF(L1240="F-120",6,IF(L1240="F-150",7,0)))))),0),0)+IF(AND(O1240="FIRE TEX 5120",OR(E1240="IN",E1240="C",E1240="Z",E1240="L"),J1240=3),VLOOKUP(_xlfn.MINIFS('FIRE TEX 5120'!$B$5:$B$40,'FIRE TEX 5120'!$B$5:$B$40,"&gt;="&amp;M1240),'FIRE TEX 5120'!$B$5:$G$40,IF(L1240="F-15",2,IF(L1240="F-30",3,IF(L1240="F-60",4,IF(L1240="F-90",5,IF(L1240="F-120",6,0))))),0),0)+IF(AND(O1240="FIRE TEX 5120",OR(E1240="IN",E1240="C",E1240="Z",E1240="L"),J1240=4),VLOOKUP(_xlfn.MINIFS('FIRE TEX 5120'!$H$4:$H$40,'FIRE TEX 5120'!$H$4:$H$40,"&gt;="&amp;M1240),'FIRE TEX 5120'!$H$4:$M$40,IF(L1240="F-15",2,IF(L1240="F-30",3,IF(L1240="F-60",4,IF(L1240="F-90",5,IF(L1240="F-120",6,0))))),0),0)+IF(AND(O1240="FIRE TEX 5120",E1240="CJ"),VLOOKUP(_xlfn.MINIFS('FIRE TEX 5120'!$O$5:$O$40,'FIRE TEX 5120'!$O$5:$O$40,"&gt;="&amp;M1240),'FIRE TEX 5120'!$O$5:$T$40,IF(L1240="F-15",2,IF(L1240="F-30",3,IF(L1240="F-60",4,IF(L1240="F-90",5,IF(L1240="F-120",6,0))))),0),0)</f>
        <v>0</v>
      </c>
      <c r="Q1240" s="46">
        <f t="shared" si="114"/>
        <v>0</v>
      </c>
      <c r="R1240" s="46">
        <f t="shared" si="115"/>
        <v>0</v>
      </c>
      <c r="S1240" s="46" t="e">
        <f t="shared" si="116"/>
        <v>#VALUE!</v>
      </c>
      <c r="T1240" s="677">
        <f t="shared" si="117"/>
        <v>0</v>
      </c>
      <c r="U1240" s="80">
        <f>(IF(O1240="Stofire",(S1240*#REF!),0))+(IF(O1240="Fire Control",(S1240*$U$2),0))+(IF(O1240="Fire Tex",(S1240*$U$3),0))+(IF(O1240="WB7",(S1240*#REF!),0)+(IF(O1240="FX 2003",(S1240*$U$5),0)))</f>
        <v>0</v>
      </c>
      <c r="V1240" s="651">
        <f t="shared" si="118"/>
        <v>0</v>
      </c>
    </row>
    <row r="1241" spans="4:22" x14ac:dyDescent="0.25">
      <c r="D1241" s="118">
        <f>+CUBICACION!D1240</f>
        <v>0</v>
      </c>
      <c r="E1241" s="118">
        <f>+CUBICACION!F1240</f>
        <v>0</v>
      </c>
      <c r="F1241" s="118">
        <f>+CUBICACION!E1240</f>
        <v>0</v>
      </c>
      <c r="G1241" s="118">
        <v>12</v>
      </c>
      <c r="H1241" s="118">
        <v>2</v>
      </c>
      <c r="I1241" s="820">
        <v>26385</v>
      </c>
      <c r="J1241" s="118">
        <f>+CUBICACION!J1240</f>
        <v>0</v>
      </c>
      <c r="K1241" s="118">
        <v>4020</v>
      </c>
      <c r="L1241" s="118">
        <f>+CUBICACION!L1240</f>
        <v>0</v>
      </c>
      <c r="M1241" s="64">
        <f>+CUBICACION!M1240</f>
        <v>0</v>
      </c>
      <c r="N1241" s="824" t="str">
        <f>+CUBICACION!N1240</f>
        <v/>
      </c>
      <c r="O1241" s="675">
        <f>+CUBICACION!O1240</f>
        <v>0</v>
      </c>
      <c r="P1241" s="15">
        <f>IF(O1241="Fire Control",VLOOKUP(_xlfn.MINIFS('FIRE CONTROL'!$C$4:$C$37,'FIRE CONTROL'!$C$4:$C$37,"&gt;="&amp;M1241),'FIRE CONTROL'!$C$4:$G$37,IF(L1241="F-15",2,IF(L1241="F-30",3,IF(L1241="F-60",4,IF(L1241="F-90",5,0)))),0),0)+IF(AND(O1241="FIRE TEX 5062",OR(E1241="IN",E1241="C",E1241="Z",E1241="L"),J1241=3),VLOOKUP(_xlfn.MINIFS('FIRE TEX 5062'!$B$4:$B$34,'FIRE TEX 5062'!$B$4:$B$34,"&gt;="&amp;M1241),'FIRE TEX 5062'!$B$4:$F$34,IF(L1241="F-15",2,IF(L1241="F-30",3,IF(L1241="F-60",4,IF(L1241="F-90",5,0)))),0),0)+IF(AND(O1241="FIRE TEX 5062",OR(E1241="IN",E1241="C",E1241="Z",E1241="L"),J1241=4),VLOOKUP(_xlfn.MINIFS('FIRE TEX 5062'!$G$4:$G$34,'FIRE TEX 5062'!$G$4:$G$34,"&gt;="&amp;M1241),'FIRE TEX 5062'!$G$4:$K$34,IF(L1241="F-15",2,IF(L1241="F-30",3,IF(L1241="F-60",4,IF(L1241="F-90",5,0)))),0),0)+IF(AND(O1241="FIRE TEX 5062",E1241="CJ",J1241=3),VLOOKUP(_xlfn.MINIFS('FIRE TEX 5062'!$L$4:$L$34,'FIRE TEX 5062'!$L$4:$L$34,"&gt;="&amp;M1241),'FIRE TEX 5062'!$L$4:$P$34,IF(L1241="F-15",2,IF(L1241="F-30",3,IF(L1241="F-60",4,IF(L1241="F-90",5,0)))),0),0)+IF(AND(O1241="FIRE TEX 5062",E1241="CJ",J1241=4),VLOOKUP(_xlfn.MINIFS('FIRE TEX 5062'!$Q$3:$Q$34,'FIRE TEX 5062'!$Q$3:$Q$34,"&gt;="&amp;M1241),'FIRE TEX 5062'!$Q$3:$U$34,IF(L1241="F-15",2,IF(L1241="F-30",3,IF(L1241="F-60",4,IF(L1241="F-90",5,0)))),0),0)+IF(AND(O1241="FIRE TEX 5090",OR(E1241="IN",E1241="C",E1241="Z",E1241="L"),J1241=3),VLOOKUP(_xlfn.MINIFS('FIRE TEX 5090'!$B$5:$B$43,'FIRE TEX 5090'!$B$5:$B$43,"&gt;="&amp;M1241),'FIRE TEX 5090'!$B$5:$H$43,IF(L1241="F-15",2,IF(L1241="F-30",3,IF(L1241="F-60",4,IF(L1241="F-90",5,IF(L1241="F-120",6,IF(L1241="F-150",7,0)))))),0),0)+IF(AND(O1241="FIRE TEX 5090",OR(E1241="IN",E1241="C",E1241="Z",E1241="L"),J1241=4),VLOOKUP(_xlfn.MINIFS('FIRE TEX 5090'!$J$5:$J$43,'FIRE TEX 5090'!$J$5:$J$43,"&gt;="&amp;M1241),'FIRE TEX 5090'!$J$5:$P$43,IF(L1241="F-15",2,IF(L1241="F-30",3,IF(L1241="F-60",4,IF(L1241="F-90",5,IF(L1241="F-120",6,IF(L1241="F-150",7,0)))))),0),0)+IF(AND(O1241="FIRE TEX 5090",E1241="CJ",J1241=3),VLOOKUP(_xlfn.MINIFS('FIRE TEX 5090'!$R$5:$R$30,'FIRE TEX 5090'!$R$5:$R$30,"&gt;="&amp;M1241),'FIRE TEX 5090'!$R$5:$W$30,IF(L1241="F-15",2,IF(L1241="F-30",3,IF(L1241="F-60",4,IF(L1241="F-90",5,IF(L1241="F-120",6,IF(L1241="F-150",7,0)))))),0),0)+IF(AND(O1241="FIRE TEX 5090",E1241="CJ",J1241=4),VLOOKUP(_xlfn.MINIFS('FIRE TEX 5090'!$Y$5:$Y$39,'FIRE TEX 5090'!$Y$5:$Y$39,"&gt;="&amp;M1241),'FIRE TEX 5090'!$Y$5:$AD$39,IF(L1241="F-15",2,IF(L1241="F-30",3,IF(L1241="F-60",4,IF(L1241="F-90",5,IF(L1241="F-120",6,IF(L1241="F-150",7,0)))))),0),0)+IF(AND(O1241="FIRE TEX 5120",OR(E1241="IN",E1241="C",E1241="Z",E1241="L"),J1241=3),VLOOKUP(_xlfn.MINIFS('FIRE TEX 5120'!$B$5:$B$40,'FIRE TEX 5120'!$B$5:$B$40,"&gt;="&amp;M1241),'FIRE TEX 5120'!$B$5:$G$40,IF(L1241="F-15",2,IF(L1241="F-30",3,IF(L1241="F-60",4,IF(L1241="F-90",5,IF(L1241="F-120",6,0))))),0),0)+IF(AND(O1241="FIRE TEX 5120",OR(E1241="IN",E1241="C",E1241="Z",E1241="L"),J1241=4),VLOOKUP(_xlfn.MINIFS('FIRE TEX 5120'!$H$4:$H$40,'FIRE TEX 5120'!$H$4:$H$40,"&gt;="&amp;M1241),'FIRE TEX 5120'!$H$4:$M$40,IF(L1241="F-15",2,IF(L1241="F-30",3,IF(L1241="F-60",4,IF(L1241="F-90",5,IF(L1241="F-120",6,0))))),0),0)+IF(AND(O1241="FIRE TEX 5120",E1241="CJ"),VLOOKUP(_xlfn.MINIFS('FIRE TEX 5120'!$O$5:$O$40,'FIRE TEX 5120'!$O$5:$O$40,"&gt;="&amp;M1241),'FIRE TEX 5120'!$O$5:$T$40,IF(L1241="F-15",2,IF(L1241="F-30",3,IF(L1241="F-60",4,IF(L1241="F-90",5,IF(L1241="F-120",6,0))))),0),0)</f>
        <v>0</v>
      </c>
      <c r="Q1241" s="46">
        <f t="shared" si="114"/>
        <v>0</v>
      </c>
      <c r="R1241" s="46">
        <f t="shared" si="115"/>
        <v>0</v>
      </c>
      <c r="S1241" s="46" t="e">
        <f t="shared" si="116"/>
        <v>#VALUE!</v>
      </c>
      <c r="T1241" s="677">
        <f t="shared" si="117"/>
        <v>0</v>
      </c>
      <c r="U1241" s="80">
        <f>(IF(O1241="Stofire",(S1241*#REF!),0))+(IF(O1241="Fire Control",(S1241*$U$2),0))+(IF(O1241="Fire Tex",(S1241*$U$3),0))+(IF(O1241="WB7",(S1241*#REF!),0)+(IF(O1241="FX 2003",(S1241*$U$5),0)))</f>
        <v>0</v>
      </c>
      <c r="V1241" s="651">
        <f t="shared" si="118"/>
        <v>0</v>
      </c>
    </row>
    <row r="1242" spans="4:22" x14ac:dyDescent="0.25">
      <c r="D1242" s="118">
        <f>+CUBICACION!D1241</f>
        <v>0</v>
      </c>
      <c r="E1242" s="118">
        <f>+CUBICACION!F1241</f>
        <v>0</v>
      </c>
      <c r="F1242" s="118">
        <f>+CUBICACION!E1241</f>
        <v>0</v>
      </c>
      <c r="G1242" s="118">
        <v>12</v>
      </c>
      <c r="H1242" s="118">
        <v>2</v>
      </c>
      <c r="I1242" s="820">
        <v>26385</v>
      </c>
      <c r="J1242" s="118">
        <f>+CUBICACION!J1241</f>
        <v>0</v>
      </c>
      <c r="K1242" s="118">
        <v>4021</v>
      </c>
      <c r="L1242" s="118">
        <f>+CUBICACION!L1241</f>
        <v>0</v>
      </c>
      <c r="M1242" s="64">
        <f>+CUBICACION!M1241</f>
        <v>0</v>
      </c>
      <c r="N1242" s="824" t="str">
        <f>+CUBICACION!N1241</f>
        <v/>
      </c>
      <c r="O1242" s="675">
        <f>+CUBICACION!O1241</f>
        <v>0</v>
      </c>
      <c r="P1242" s="15">
        <f>IF(O1242="Fire Control",VLOOKUP(_xlfn.MINIFS('FIRE CONTROL'!$C$4:$C$37,'FIRE CONTROL'!$C$4:$C$37,"&gt;="&amp;M1242),'FIRE CONTROL'!$C$4:$G$37,IF(L1242="F-15",2,IF(L1242="F-30",3,IF(L1242="F-60",4,IF(L1242="F-90",5,0)))),0),0)+IF(AND(O1242="FIRE TEX 5062",OR(E1242="IN",E1242="C",E1242="Z",E1242="L"),J1242=3),VLOOKUP(_xlfn.MINIFS('FIRE TEX 5062'!$B$4:$B$34,'FIRE TEX 5062'!$B$4:$B$34,"&gt;="&amp;M1242),'FIRE TEX 5062'!$B$4:$F$34,IF(L1242="F-15",2,IF(L1242="F-30",3,IF(L1242="F-60",4,IF(L1242="F-90",5,0)))),0),0)+IF(AND(O1242="FIRE TEX 5062",OR(E1242="IN",E1242="C",E1242="Z",E1242="L"),J1242=4),VLOOKUP(_xlfn.MINIFS('FIRE TEX 5062'!$G$4:$G$34,'FIRE TEX 5062'!$G$4:$G$34,"&gt;="&amp;M1242),'FIRE TEX 5062'!$G$4:$K$34,IF(L1242="F-15",2,IF(L1242="F-30",3,IF(L1242="F-60",4,IF(L1242="F-90",5,0)))),0),0)+IF(AND(O1242="FIRE TEX 5062",E1242="CJ",J1242=3),VLOOKUP(_xlfn.MINIFS('FIRE TEX 5062'!$L$4:$L$34,'FIRE TEX 5062'!$L$4:$L$34,"&gt;="&amp;M1242),'FIRE TEX 5062'!$L$4:$P$34,IF(L1242="F-15",2,IF(L1242="F-30",3,IF(L1242="F-60",4,IF(L1242="F-90",5,0)))),0),0)+IF(AND(O1242="FIRE TEX 5062",E1242="CJ",J1242=4),VLOOKUP(_xlfn.MINIFS('FIRE TEX 5062'!$Q$3:$Q$34,'FIRE TEX 5062'!$Q$3:$Q$34,"&gt;="&amp;M1242),'FIRE TEX 5062'!$Q$3:$U$34,IF(L1242="F-15",2,IF(L1242="F-30",3,IF(L1242="F-60",4,IF(L1242="F-90",5,0)))),0),0)+IF(AND(O1242="FIRE TEX 5090",OR(E1242="IN",E1242="C",E1242="Z",E1242="L"),J1242=3),VLOOKUP(_xlfn.MINIFS('FIRE TEX 5090'!$B$5:$B$43,'FIRE TEX 5090'!$B$5:$B$43,"&gt;="&amp;M1242),'FIRE TEX 5090'!$B$5:$H$43,IF(L1242="F-15",2,IF(L1242="F-30",3,IF(L1242="F-60",4,IF(L1242="F-90",5,IF(L1242="F-120",6,IF(L1242="F-150",7,0)))))),0),0)+IF(AND(O1242="FIRE TEX 5090",OR(E1242="IN",E1242="C",E1242="Z",E1242="L"),J1242=4),VLOOKUP(_xlfn.MINIFS('FIRE TEX 5090'!$J$5:$J$43,'FIRE TEX 5090'!$J$5:$J$43,"&gt;="&amp;M1242),'FIRE TEX 5090'!$J$5:$P$43,IF(L1242="F-15",2,IF(L1242="F-30",3,IF(L1242="F-60",4,IF(L1242="F-90",5,IF(L1242="F-120",6,IF(L1242="F-150",7,0)))))),0),0)+IF(AND(O1242="FIRE TEX 5090",E1242="CJ",J1242=3),VLOOKUP(_xlfn.MINIFS('FIRE TEX 5090'!$R$5:$R$30,'FIRE TEX 5090'!$R$5:$R$30,"&gt;="&amp;M1242),'FIRE TEX 5090'!$R$5:$W$30,IF(L1242="F-15",2,IF(L1242="F-30",3,IF(L1242="F-60",4,IF(L1242="F-90",5,IF(L1242="F-120",6,IF(L1242="F-150",7,0)))))),0),0)+IF(AND(O1242="FIRE TEX 5090",E1242="CJ",J1242=4),VLOOKUP(_xlfn.MINIFS('FIRE TEX 5090'!$Y$5:$Y$39,'FIRE TEX 5090'!$Y$5:$Y$39,"&gt;="&amp;M1242),'FIRE TEX 5090'!$Y$5:$AD$39,IF(L1242="F-15",2,IF(L1242="F-30",3,IF(L1242="F-60",4,IF(L1242="F-90",5,IF(L1242="F-120",6,IF(L1242="F-150",7,0)))))),0),0)+IF(AND(O1242="FIRE TEX 5120",OR(E1242="IN",E1242="C",E1242="Z",E1242="L"),J1242=3),VLOOKUP(_xlfn.MINIFS('FIRE TEX 5120'!$B$5:$B$40,'FIRE TEX 5120'!$B$5:$B$40,"&gt;="&amp;M1242),'FIRE TEX 5120'!$B$5:$G$40,IF(L1242="F-15",2,IF(L1242="F-30",3,IF(L1242="F-60",4,IF(L1242="F-90",5,IF(L1242="F-120",6,0))))),0),0)+IF(AND(O1242="FIRE TEX 5120",OR(E1242="IN",E1242="C",E1242="Z",E1242="L"),J1242=4),VLOOKUP(_xlfn.MINIFS('FIRE TEX 5120'!$H$4:$H$40,'FIRE TEX 5120'!$H$4:$H$40,"&gt;="&amp;M1242),'FIRE TEX 5120'!$H$4:$M$40,IF(L1242="F-15",2,IF(L1242="F-30",3,IF(L1242="F-60",4,IF(L1242="F-90",5,IF(L1242="F-120",6,0))))),0),0)+IF(AND(O1242="FIRE TEX 5120",E1242="CJ"),VLOOKUP(_xlfn.MINIFS('FIRE TEX 5120'!$O$5:$O$40,'FIRE TEX 5120'!$O$5:$O$40,"&gt;="&amp;M1242),'FIRE TEX 5120'!$O$5:$T$40,IF(L1242="F-15",2,IF(L1242="F-30",3,IF(L1242="F-60",4,IF(L1242="F-90",5,IF(L1242="F-120",6,0))))),0),0)</f>
        <v>0</v>
      </c>
      <c r="Q1242" s="46">
        <f t="shared" si="114"/>
        <v>0</v>
      </c>
      <c r="R1242" s="46">
        <f t="shared" si="115"/>
        <v>0</v>
      </c>
      <c r="S1242" s="46" t="e">
        <f t="shared" si="116"/>
        <v>#VALUE!</v>
      </c>
      <c r="T1242" s="677">
        <f t="shared" si="117"/>
        <v>0</v>
      </c>
      <c r="U1242" s="80">
        <f>(IF(O1242="Stofire",(S1242*#REF!),0))+(IF(O1242="Fire Control",(S1242*$U$2),0))+(IF(O1242="Fire Tex",(S1242*$U$3),0))+(IF(O1242="WB7",(S1242*#REF!),0)+(IF(O1242="FX 2003",(S1242*$U$5),0)))</f>
        <v>0</v>
      </c>
      <c r="V1242" s="651">
        <f t="shared" si="118"/>
        <v>0</v>
      </c>
    </row>
    <row r="1243" spans="4:22" x14ac:dyDescent="0.25">
      <c r="D1243" s="118">
        <f>+CUBICACION!D1242</f>
        <v>0</v>
      </c>
      <c r="E1243" s="118">
        <f>+CUBICACION!F1242</f>
        <v>0</v>
      </c>
      <c r="F1243" s="118">
        <f>+CUBICACION!E1242</f>
        <v>0</v>
      </c>
      <c r="G1243" s="118">
        <v>12</v>
      </c>
      <c r="H1243" s="118">
        <v>2</v>
      </c>
      <c r="I1243" s="820">
        <v>26385</v>
      </c>
      <c r="J1243" s="118">
        <f>+CUBICACION!J1242</f>
        <v>0</v>
      </c>
      <c r="K1243" s="118">
        <v>4022</v>
      </c>
      <c r="L1243" s="118">
        <f>+CUBICACION!L1242</f>
        <v>0</v>
      </c>
      <c r="M1243" s="64">
        <f>+CUBICACION!M1242</f>
        <v>0</v>
      </c>
      <c r="N1243" s="824" t="str">
        <f>+CUBICACION!N1242</f>
        <v/>
      </c>
      <c r="O1243" s="675">
        <f>+CUBICACION!O1242</f>
        <v>0</v>
      </c>
      <c r="P1243" s="15">
        <f>IF(O1243="Fire Control",VLOOKUP(_xlfn.MINIFS('FIRE CONTROL'!$C$4:$C$37,'FIRE CONTROL'!$C$4:$C$37,"&gt;="&amp;M1243),'FIRE CONTROL'!$C$4:$G$37,IF(L1243="F-15",2,IF(L1243="F-30",3,IF(L1243="F-60",4,IF(L1243="F-90",5,0)))),0),0)+IF(AND(O1243="FIRE TEX 5062",OR(E1243="IN",E1243="C",E1243="Z",E1243="L"),J1243=3),VLOOKUP(_xlfn.MINIFS('FIRE TEX 5062'!$B$4:$B$34,'FIRE TEX 5062'!$B$4:$B$34,"&gt;="&amp;M1243),'FIRE TEX 5062'!$B$4:$F$34,IF(L1243="F-15",2,IF(L1243="F-30",3,IF(L1243="F-60",4,IF(L1243="F-90",5,0)))),0),0)+IF(AND(O1243="FIRE TEX 5062",OR(E1243="IN",E1243="C",E1243="Z",E1243="L"),J1243=4),VLOOKUP(_xlfn.MINIFS('FIRE TEX 5062'!$G$4:$G$34,'FIRE TEX 5062'!$G$4:$G$34,"&gt;="&amp;M1243),'FIRE TEX 5062'!$G$4:$K$34,IF(L1243="F-15",2,IF(L1243="F-30",3,IF(L1243="F-60",4,IF(L1243="F-90",5,0)))),0),0)+IF(AND(O1243="FIRE TEX 5062",E1243="CJ",J1243=3),VLOOKUP(_xlfn.MINIFS('FIRE TEX 5062'!$L$4:$L$34,'FIRE TEX 5062'!$L$4:$L$34,"&gt;="&amp;M1243),'FIRE TEX 5062'!$L$4:$P$34,IF(L1243="F-15",2,IF(L1243="F-30",3,IF(L1243="F-60",4,IF(L1243="F-90",5,0)))),0),0)+IF(AND(O1243="FIRE TEX 5062",E1243="CJ",J1243=4),VLOOKUP(_xlfn.MINIFS('FIRE TEX 5062'!$Q$3:$Q$34,'FIRE TEX 5062'!$Q$3:$Q$34,"&gt;="&amp;M1243),'FIRE TEX 5062'!$Q$3:$U$34,IF(L1243="F-15",2,IF(L1243="F-30",3,IF(L1243="F-60",4,IF(L1243="F-90",5,0)))),0),0)+IF(AND(O1243="FIRE TEX 5090",OR(E1243="IN",E1243="C",E1243="Z",E1243="L"),J1243=3),VLOOKUP(_xlfn.MINIFS('FIRE TEX 5090'!$B$5:$B$43,'FIRE TEX 5090'!$B$5:$B$43,"&gt;="&amp;M1243),'FIRE TEX 5090'!$B$5:$H$43,IF(L1243="F-15",2,IF(L1243="F-30",3,IF(L1243="F-60",4,IF(L1243="F-90",5,IF(L1243="F-120",6,IF(L1243="F-150",7,0)))))),0),0)+IF(AND(O1243="FIRE TEX 5090",OR(E1243="IN",E1243="C",E1243="Z",E1243="L"),J1243=4),VLOOKUP(_xlfn.MINIFS('FIRE TEX 5090'!$J$5:$J$43,'FIRE TEX 5090'!$J$5:$J$43,"&gt;="&amp;M1243),'FIRE TEX 5090'!$J$5:$P$43,IF(L1243="F-15",2,IF(L1243="F-30",3,IF(L1243="F-60",4,IF(L1243="F-90",5,IF(L1243="F-120",6,IF(L1243="F-150",7,0)))))),0),0)+IF(AND(O1243="FIRE TEX 5090",E1243="CJ",J1243=3),VLOOKUP(_xlfn.MINIFS('FIRE TEX 5090'!$R$5:$R$30,'FIRE TEX 5090'!$R$5:$R$30,"&gt;="&amp;M1243),'FIRE TEX 5090'!$R$5:$W$30,IF(L1243="F-15",2,IF(L1243="F-30",3,IF(L1243="F-60",4,IF(L1243="F-90",5,IF(L1243="F-120",6,IF(L1243="F-150",7,0)))))),0),0)+IF(AND(O1243="FIRE TEX 5090",E1243="CJ",J1243=4),VLOOKUP(_xlfn.MINIFS('FIRE TEX 5090'!$Y$5:$Y$39,'FIRE TEX 5090'!$Y$5:$Y$39,"&gt;="&amp;M1243),'FIRE TEX 5090'!$Y$5:$AD$39,IF(L1243="F-15",2,IF(L1243="F-30",3,IF(L1243="F-60",4,IF(L1243="F-90",5,IF(L1243="F-120",6,IF(L1243="F-150",7,0)))))),0),0)+IF(AND(O1243="FIRE TEX 5120",OR(E1243="IN",E1243="C",E1243="Z",E1243="L"),J1243=3),VLOOKUP(_xlfn.MINIFS('FIRE TEX 5120'!$B$5:$B$40,'FIRE TEX 5120'!$B$5:$B$40,"&gt;="&amp;M1243),'FIRE TEX 5120'!$B$5:$G$40,IF(L1243="F-15",2,IF(L1243="F-30",3,IF(L1243="F-60",4,IF(L1243="F-90",5,IF(L1243="F-120",6,0))))),0),0)+IF(AND(O1243="FIRE TEX 5120",OR(E1243="IN",E1243="C",E1243="Z",E1243="L"),J1243=4),VLOOKUP(_xlfn.MINIFS('FIRE TEX 5120'!$H$4:$H$40,'FIRE TEX 5120'!$H$4:$H$40,"&gt;="&amp;M1243),'FIRE TEX 5120'!$H$4:$M$40,IF(L1243="F-15",2,IF(L1243="F-30",3,IF(L1243="F-60",4,IF(L1243="F-90",5,IF(L1243="F-120",6,0))))),0),0)+IF(AND(O1243="FIRE TEX 5120",E1243="CJ"),VLOOKUP(_xlfn.MINIFS('FIRE TEX 5120'!$O$5:$O$40,'FIRE TEX 5120'!$O$5:$O$40,"&gt;="&amp;M1243),'FIRE TEX 5120'!$O$5:$T$40,IF(L1243="F-15",2,IF(L1243="F-30",3,IF(L1243="F-60",4,IF(L1243="F-90",5,IF(L1243="F-120",6,0))))),0),0)</f>
        <v>0</v>
      </c>
      <c r="Q1243" s="46">
        <f t="shared" si="114"/>
        <v>0</v>
      </c>
      <c r="R1243" s="46">
        <f t="shared" si="115"/>
        <v>0</v>
      </c>
      <c r="S1243" s="46" t="e">
        <f t="shared" si="116"/>
        <v>#VALUE!</v>
      </c>
      <c r="T1243" s="677">
        <f t="shared" si="117"/>
        <v>0</v>
      </c>
      <c r="U1243" s="80">
        <f>(IF(O1243="Stofire",(S1243*#REF!),0))+(IF(O1243="Fire Control",(S1243*$U$2),0))+(IF(O1243="Fire Tex",(S1243*$U$3),0))+(IF(O1243="WB7",(S1243*#REF!),0)+(IF(O1243="FX 2003",(S1243*$U$5),0)))</f>
        <v>0</v>
      </c>
      <c r="V1243" s="651">
        <f t="shared" si="118"/>
        <v>0</v>
      </c>
    </row>
    <row r="1244" spans="4:22" x14ac:dyDescent="0.25">
      <c r="D1244" s="118">
        <f>+CUBICACION!D1243</f>
        <v>0</v>
      </c>
      <c r="E1244" s="118">
        <f>+CUBICACION!F1243</f>
        <v>0</v>
      </c>
      <c r="F1244" s="118">
        <f>+CUBICACION!E1243</f>
        <v>0</v>
      </c>
      <c r="G1244" s="118">
        <v>12</v>
      </c>
      <c r="H1244" s="118">
        <v>2</v>
      </c>
      <c r="I1244" s="820">
        <v>26385</v>
      </c>
      <c r="J1244" s="118">
        <f>+CUBICACION!J1243</f>
        <v>0</v>
      </c>
      <c r="K1244" s="118">
        <v>4023</v>
      </c>
      <c r="L1244" s="118">
        <f>+CUBICACION!L1243</f>
        <v>0</v>
      </c>
      <c r="M1244" s="64">
        <f>+CUBICACION!M1243</f>
        <v>0</v>
      </c>
      <c r="N1244" s="824" t="str">
        <f>+CUBICACION!N1243</f>
        <v/>
      </c>
      <c r="O1244" s="675">
        <f>+CUBICACION!O1243</f>
        <v>0</v>
      </c>
      <c r="P1244" s="15">
        <f>IF(O1244="Fire Control",VLOOKUP(_xlfn.MINIFS('FIRE CONTROL'!$C$4:$C$37,'FIRE CONTROL'!$C$4:$C$37,"&gt;="&amp;M1244),'FIRE CONTROL'!$C$4:$G$37,IF(L1244="F-15",2,IF(L1244="F-30",3,IF(L1244="F-60",4,IF(L1244="F-90",5,0)))),0),0)+IF(AND(O1244="FIRE TEX 5062",OR(E1244="IN",E1244="C",E1244="Z",E1244="L"),J1244=3),VLOOKUP(_xlfn.MINIFS('FIRE TEX 5062'!$B$4:$B$34,'FIRE TEX 5062'!$B$4:$B$34,"&gt;="&amp;M1244),'FIRE TEX 5062'!$B$4:$F$34,IF(L1244="F-15",2,IF(L1244="F-30",3,IF(L1244="F-60",4,IF(L1244="F-90",5,0)))),0),0)+IF(AND(O1244="FIRE TEX 5062",OR(E1244="IN",E1244="C",E1244="Z",E1244="L"),J1244=4),VLOOKUP(_xlfn.MINIFS('FIRE TEX 5062'!$G$4:$G$34,'FIRE TEX 5062'!$G$4:$G$34,"&gt;="&amp;M1244),'FIRE TEX 5062'!$G$4:$K$34,IF(L1244="F-15",2,IF(L1244="F-30",3,IF(L1244="F-60",4,IF(L1244="F-90",5,0)))),0),0)+IF(AND(O1244="FIRE TEX 5062",E1244="CJ",J1244=3),VLOOKUP(_xlfn.MINIFS('FIRE TEX 5062'!$L$4:$L$34,'FIRE TEX 5062'!$L$4:$L$34,"&gt;="&amp;M1244),'FIRE TEX 5062'!$L$4:$P$34,IF(L1244="F-15",2,IF(L1244="F-30",3,IF(L1244="F-60",4,IF(L1244="F-90",5,0)))),0),0)+IF(AND(O1244="FIRE TEX 5062",E1244="CJ",J1244=4),VLOOKUP(_xlfn.MINIFS('FIRE TEX 5062'!$Q$3:$Q$34,'FIRE TEX 5062'!$Q$3:$Q$34,"&gt;="&amp;M1244),'FIRE TEX 5062'!$Q$3:$U$34,IF(L1244="F-15",2,IF(L1244="F-30",3,IF(L1244="F-60",4,IF(L1244="F-90",5,0)))),0),0)+IF(AND(O1244="FIRE TEX 5090",OR(E1244="IN",E1244="C",E1244="Z",E1244="L"),J1244=3),VLOOKUP(_xlfn.MINIFS('FIRE TEX 5090'!$B$5:$B$43,'FIRE TEX 5090'!$B$5:$B$43,"&gt;="&amp;M1244),'FIRE TEX 5090'!$B$5:$H$43,IF(L1244="F-15",2,IF(L1244="F-30",3,IF(L1244="F-60",4,IF(L1244="F-90",5,IF(L1244="F-120",6,IF(L1244="F-150",7,0)))))),0),0)+IF(AND(O1244="FIRE TEX 5090",OR(E1244="IN",E1244="C",E1244="Z",E1244="L"),J1244=4),VLOOKUP(_xlfn.MINIFS('FIRE TEX 5090'!$J$5:$J$43,'FIRE TEX 5090'!$J$5:$J$43,"&gt;="&amp;M1244),'FIRE TEX 5090'!$J$5:$P$43,IF(L1244="F-15",2,IF(L1244="F-30",3,IF(L1244="F-60",4,IF(L1244="F-90",5,IF(L1244="F-120",6,IF(L1244="F-150",7,0)))))),0),0)+IF(AND(O1244="FIRE TEX 5090",E1244="CJ",J1244=3),VLOOKUP(_xlfn.MINIFS('FIRE TEX 5090'!$R$5:$R$30,'FIRE TEX 5090'!$R$5:$R$30,"&gt;="&amp;M1244),'FIRE TEX 5090'!$R$5:$W$30,IF(L1244="F-15",2,IF(L1244="F-30",3,IF(L1244="F-60",4,IF(L1244="F-90",5,IF(L1244="F-120",6,IF(L1244="F-150",7,0)))))),0),0)+IF(AND(O1244="FIRE TEX 5090",E1244="CJ",J1244=4),VLOOKUP(_xlfn.MINIFS('FIRE TEX 5090'!$Y$5:$Y$39,'FIRE TEX 5090'!$Y$5:$Y$39,"&gt;="&amp;M1244),'FIRE TEX 5090'!$Y$5:$AD$39,IF(L1244="F-15",2,IF(L1244="F-30",3,IF(L1244="F-60",4,IF(L1244="F-90",5,IF(L1244="F-120",6,IF(L1244="F-150",7,0)))))),0),0)+IF(AND(O1244="FIRE TEX 5120",OR(E1244="IN",E1244="C",E1244="Z",E1244="L"),J1244=3),VLOOKUP(_xlfn.MINIFS('FIRE TEX 5120'!$B$5:$B$40,'FIRE TEX 5120'!$B$5:$B$40,"&gt;="&amp;M1244),'FIRE TEX 5120'!$B$5:$G$40,IF(L1244="F-15",2,IF(L1244="F-30",3,IF(L1244="F-60",4,IF(L1244="F-90",5,IF(L1244="F-120",6,0))))),0),0)+IF(AND(O1244="FIRE TEX 5120",OR(E1244="IN",E1244="C",E1244="Z",E1244="L"),J1244=4),VLOOKUP(_xlfn.MINIFS('FIRE TEX 5120'!$H$4:$H$40,'FIRE TEX 5120'!$H$4:$H$40,"&gt;="&amp;M1244),'FIRE TEX 5120'!$H$4:$M$40,IF(L1244="F-15",2,IF(L1244="F-30",3,IF(L1244="F-60",4,IF(L1244="F-90",5,IF(L1244="F-120",6,0))))),0),0)+IF(AND(O1244="FIRE TEX 5120",E1244="CJ"),VLOOKUP(_xlfn.MINIFS('FIRE TEX 5120'!$O$5:$O$40,'FIRE TEX 5120'!$O$5:$O$40,"&gt;="&amp;M1244),'FIRE TEX 5120'!$O$5:$T$40,IF(L1244="F-15",2,IF(L1244="F-30",3,IF(L1244="F-60",4,IF(L1244="F-90",5,IF(L1244="F-120",6,0))))),0),0)</f>
        <v>0</v>
      </c>
      <c r="Q1244" s="46">
        <f t="shared" si="114"/>
        <v>0</v>
      </c>
      <c r="R1244" s="46">
        <f t="shared" si="115"/>
        <v>0</v>
      </c>
      <c r="S1244" s="46" t="e">
        <f t="shared" si="116"/>
        <v>#VALUE!</v>
      </c>
      <c r="T1244" s="677">
        <f t="shared" si="117"/>
        <v>0</v>
      </c>
      <c r="U1244" s="80">
        <f>(IF(O1244="Stofire",(S1244*#REF!),0))+(IF(O1244="Fire Control",(S1244*$U$2),0))+(IF(O1244="Fire Tex",(S1244*$U$3),0))+(IF(O1244="WB7",(S1244*#REF!),0)+(IF(O1244="FX 2003",(S1244*$U$5),0)))</f>
        <v>0</v>
      </c>
      <c r="V1244" s="651">
        <f t="shared" si="118"/>
        <v>0</v>
      </c>
    </row>
    <row r="1245" spans="4:22" x14ac:dyDescent="0.25">
      <c r="D1245" s="118">
        <f>+CUBICACION!D1244</f>
        <v>0</v>
      </c>
      <c r="E1245" s="118">
        <f>+CUBICACION!F1244</f>
        <v>0</v>
      </c>
      <c r="F1245" s="118">
        <f>+CUBICACION!E1244</f>
        <v>0</v>
      </c>
      <c r="G1245" s="118">
        <v>12</v>
      </c>
      <c r="H1245" s="118">
        <v>2</v>
      </c>
      <c r="I1245" s="820">
        <v>26385</v>
      </c>
      <c r="J1245" s="118">
        <f>+CUBICACION!J1244</f>
        <v>0</v>
      </c>
      <c r="K1245" s="118">
        <v>4024</v>
      </c>
      <c r="L1245" s="118">
        <f>+CUBICACION!L1244</f>
        <v>0</v>
      </c>
      <c r="M1245" s="64">
        <f>+CUBICACION!M1244</f>
        <v>0</v>
      </c>
      <c r="N1245" s="824" t="str">
        <f>+CUBICACION!N1244</f>
        <v/>
      </c>
      <c r="O1245" s="675">
        <f>+CUBICACION!O1244</f>
        <v>0</v>
      </c>
      <c r="P1245" s="15">
        <f>IF(O1245="Fire Control",VLOOKUP(_xlfn.MINIFS('FIRE CONTROL'!$C$4:$C$37,'FIRE CONTROL'!$C$4:$C$37,"&gt;="&amp;M1245),'FIRE CONTROL'!$C$4:$G$37,IF(L1245="F-15",2,IF(L1245="F-30",3,IF(L1245="F-60",4,IF(L1245="F-90",5,0)))),0),0)+IF(AND(O1245="FIRE TEX 5062",OR(E1245="IN",E1245="C",E1245="Z",E1245="L"),J1245=3),VLOOKUP(_xlfn.MINIFS('FIRE TEX 5062'!$B$4:$B$34,'FIRE TEX 5062'!$B$4:$B$34,"&gt;="&amp;M1245),'FIRE TEX 5062'!$B$4:$F$34,IF(L1245="F-15",2,IF(L1245="F-30",3,IF(L1245="F-60",4,IF(L1245="F-90",5,0)))),0),0)+IF(AND(O1245="FIRE TEX 5062",OR(E1245="IN",E1245="C",E1245="Z",E1245="L"),J1245=4),VLOOKUP(_xlfn.MINIFS('FIRE TEX 5062'!$G$4:$G$34,'FIRE TEX 5062'!$G$4:$G$34,"&gt;="&amp;M1245),'FIRE TEX 5062'!$G$4:$K$34,IF(L1245="F-15",2,IF(L1245="F-30",3,IF(L1245="F-60",4,IF(L1245="F-90",5,0)))),0),0)+IF(AND(O1245="FIRE TEX 5062",E1245="CJ",J1245=3),VLOOKUP(_xlfn.MINIFS('FIRE TEX 5062'!$L$4:$L$34,'FIRE TEX 5062'!$L$4:$L$34,"&gt;="&amp;M1245),'FIRE TEX 5062'!$L$4:$P$34,IF(L1245="F-15",2,IF(L1245="F-30",3,IF(L1245="F-60",4,IF(L1245="F-90",5,0)))),0),0)+IF(AND(O1245="FIRE TEX 5062",E1245="CJ",J1245=4),VLOOKUP(_xlfn.MINIFS('FIRE TEX 5062'!$Q$3:$Q$34,'FIRE TEX 5062'!$Q$3:$Q$34,"&gt;="&amp;M1245),'FIRE TEX 5062'!$Q$3:$U$34,IF(L1245="F-15",2,IF(L1245="F-30",3,IF(L1245="F-60",4,IF(L1245="F-90",5,0)))),0),0)+IF(AND(O1245="FIRE TEX 5090",OR(E1245="IN",E1245="C",E1245="Z",E1245="L"),J1245=3),VLOOKUP(_xlfn.MINIFS('FIRE TEX 5090'!$B$5:$B$43,'FIRE TEX 5090'!$B$5:$B$43,"&gt;="&amp;M1245),'FIRE TEX 5090'!$B$5:$H$43,IF(L1245="F-15",2,IF(L1245="F-30",3,IF(L1245="F-60",4,IF(L1245="F-90",5,IF(L1245="F-120",6,IF(L1245="F-150",7,0)))))),0),0)+IF(AND(O1245="FIRE TEX 5090",OR(E1245="IN",E1245="C",E1245="Z",E1245="L"),J1245=4),VLOOKUP(_xlfn.MINIFS('FIRE TEX 5090'!$J$5:$J$43,'FIRE TEX 5090'!$J$5:$J$43,"&gt;="&amp;M1245),'FIRE TEX 5090'!$J$5:$P$43,IF(L1245="F-15",2,IF(L1245="F-30",3,IF(L1245="F-60",4,IF(L1245="F-90",5,IF(L1245="F-120",6,IF(L1245="F-150",7,0)))))),0),0)+IF(AND(O1245="FIRE TEX 5090",E1245="CJ",J1245=3),VLOOKUP(_xlfn.MINIFS('FIRE TEX 5090'!$R$5:$R$30,'FIRE TEX 5090'!$R$5:$R$30,"&gt;="&amp;M1245),'FIRE TEX 5090'!$R$5:$W$30,IF(L1245="F-15",2,IF(L1245="F-30",3,IF(L1245="F-60",4,IF(L1245="F-90",5,IF(L1245="F-120",6,IF(L1245="F-150",7,0)))))),0),0)+IF(AND(O1245="FIRE TEX 5090",E1245="CJ",J1245=4),VLOOKUP(_xlfn.MINIFS('FIRE TEX 5090'!$Y$5:$Y$39,'FIRE TEX 5090'!$Y$5:$Y$39,"&gt;="&amp;M1245),'FIRE TEX 5090'!$Y$5:$AD$39,IF(L1245="F-15",2,IF(L1245="F-30",3,IF(L1245="F-60",4,IF(L1245="F-90",5,IF(L1245="F-120",6,IF(L1245="F-150",7,0)))))),0),0)+IF(AND(O1245="FIRE TEX 5120",OR(E1245="IN",E1245="C",E1245="Z",E1245="L"),J1245=3),VLOOKUP(_xlfn.MINIFS('FIRE TEX 5120'!$B$5:$B$40,'FIRE TEX 5120'!$B$5:$B$40,"&gt;="&amp;M1245),'FIRE TEX 5120'!$B$5:$G$40,IF(L1245="F-15",2,IF(L1245="F-30",3,IF(L1245="F-60",4,IF(L1245="F-90",5,IF(L1245="F-120",6,0))))),0),0)+IF(AND(O1245="FIRE TEX 5120",OR(E1245="IN",E1245="C",E1245="Z",E1245="L"),J1245=4),VLOOKUP(_xlfn.MINIFS('FIRE TEX 5120'!$H$4:$H$40,'FIRE TEX 5120'!$H$4:$H$40,"&gt;="&amp;M1245),'FIRE TEX 5120'!$H$4:$M$40,IF(L1245="F-15",2,IF(L1245="F-30",3,IF(L1245="F-60",4,IF(L1245="F-90",5,IF(L1245="F-120",6,0))))),0),0)+IF(AND(O1245="FIRE TEX 5120",E1245="CJ"),VLOOKUP(_xlfn.MINIFS('FIRE TEX 5120'!$O$5:$O$40,'FIRE TEX 5120'!$O$5:$O$40,"&gt;="&amp;M1245),'FIRE TEX 5120'!$O$5:$T$40,IF(L1245="F-15",2,IF(L1245="F-30",3,IF(L1245="F-60",4,IF(L1245="F-90",5,IF(L1245="F-120",6,0))))),0),0)</f>
        <v>0</v>
      </c>
      <c r="Q1245" s="46">
        <f t="shared" si="114"/>
        <v>0</v>
      </c>
      <c r="R1245" s="46">
        <f t="shared" si="115"/>
        <v>0</v>
      </c>
      <c r="S1245" s="46" t="e">
        <f t="shared" si="116"/>
        <v>#VALUE!</v>
      </c>
      <c r="T1245" s="677">
        <f t="shared" si="117"/>
        <v>0</v>
      </c>
      <c r="U1245" s="80">
        <f>(IF(O1245="Stofire",(S1245*#REF!),0))+(IF(O1245="Fire Control",(S1245*$U$2),0))+(IF(O1245="Fire Tex",(S1245*$U$3),0))+(IF(O1245="WB7",(S1245*#REF!),0)+(IF(O1245="FX 2003",(S1245*$U$5),0)))</f>
        <v>0</v>
      </c>
      <c r="V1245" s="651">
        <f t="shared" si="118"/>
        <v>0</v>
      </c>
    </row>
    <row r="1246" spans="4:22" x14ac:dyDescent="0.25">
      <c r="D1246" s="118">
        <f>+CUBICACION!D1245</f>
        <v>0</v>
      </c>
      <c r="E1246" s="118">
        <f>+CUBICACION!F1245</f>
        <v>0</v>
      </c>
      <c r="F1246" s="118">
        <f>+CUBICACION!E1245</f>
        <v>0</v>
      </c>
      <c r="G1246" s="118">
        <v>12</v>
      </c>
      <c r="H1246" s="118">
        <v>2</v>
      </c>
      <c r="I1246" s="820">
        <v>26385</v>
      </c>
      <c r="J1246" s="118">
        <f>+CUBICACION!J1245</f>
        <v>0</v>
      </c>
      <c r="K1246" s="118">
        <v>4025</v>
      </c>
      <c r="L1246" s="118">
        <f>+CUBICACION!L1245</f>
        <v>0</v>
      </c>
      <c r="M1246" s="64">
        <f>+CUBICACION!M1245</f>
        <v>0</v>
      </c>
      <c r="N1246" s="824" t="str">
        <f>+CUBICACION!N1245</f>
        <v/>
      </c>
      <c r="O1246" s="675">
        <f>+CUBICACION!O1245</f>
        <v>0</v>
      </c>
      <c r="P1246" s="15">
        <f>IF(O1246="Fire Control",VLOOKUP(_xlfn.MINIFS('FIRE CONTROL'!$C$4:$C$37,'FIRE CONTROL'!$C$4:$C$37,"&gt;="&amp;M1246),'FIRE CONTROL'!$C$4:$G$37,IF(L1246="F-15",2,IF(L1246="F-30",3,IF(L1246="F-60",4,IF(L1246="F-90",5,0)))),0),0)+IF(AND(O1246="FIRE TEX 5062",OR(E1246="IN",E1246="C",E1246="Z",E1246="L"),J1246=3),VLOOKUP(_xlfn.MINIFS('FIRE TEX 5062'!$B$4:$B$34,'FIRE TEX 5062'!$B$4:$B$34,"&gt;="&amp;M1246),'FIRE TEX 5062'!$B$4:$F$34,IF(L1246="F-15",2,IF(L1246="F-30",3,IF(L1246="F-60",4,IF(L1246="F-90",5,0)))),0),0)+IF(AND(O1246="FIRE TEX 5062",OR(E1246="IN",E1246="C",E1246="Z",E1246="L"),J1246=4),VLOOKUP(_xlfn.MINIFS('FIRE TEX 5062'!$G$4:$G$34,'FIRE TEX 5062'!$G$4:$G$34,"&gt;="&amp;M1246),'FIRE TEX 5062'!$G$4:$K$34,IF(L1246="F-15",2,IF(L1246="F-30",3,IF(L1246="F-60",4,IF(L1246="F-90",5,0)))),0),0)+IF(AND(O1246="FIRE TEX 5062",E1246="CJ",J1246=3),VLOOKUP(_xlfn.MINIFS('FIRE TEX 5062'!$L$4:$L$34,'FIRE TEX 5062'!$L$4:$L$34,"&gt;="&amp;M1246),'FIRE TEX 5062'!$L$4:$P$34,IF(L1246="F-15",2,IF(L1246="F-30",3,IF(L1246="F-60",4,IF(L1246="F-90",5,0)))),0),0)+IF(AND(O1246="FIRE TEX 5062",E1246="CJ",J1246=4),VLOOKUP(_xlfn.MINIFS('FIRE TEX 5062'!$Q$3:$Q$34,'FIRE TEX 5062'!$Q$3:$Q$34,"&gt;="&amp;M1246),'FIRE TEX 5062'!$Q$3:$U$34,IF(L1246="F-15",2,IF(L1246="F-30",3,IF(L1246="F-60",4,IF(L1246="F-90",5,0)))),0),0)+IF(AND(O1246="FIRE TEX 5090",OR(E1246="IN",E1246="C",E1246="Z",E1246="L"),J1246=3),VLOOKUP(_xlfn.MINIFS('FIRE TEX 5090'!$B$5:$B$43,'FIRE TEX 5090'!$B$5:$B$43,"&gt;="&amp;M1246),'FIRE TEX 5090'!$B$5:$H$43,IF(L1246="F-15",2,IF(L1246="F-30",3,IF(L1246="F-60",4,IF(L1246="F-90",5,IF(L1246="F-120",6,IF(L1246="F-150",7,0)))))),0),0)+IF(AND(O1246="FIRE TEX 5090",OR(E1246="IN",E1246="C",E1246="Z",E1246="L"),J1246=4),VLOOKUP(_xlfn.MINIFS('FIRE TEX 5090'!$J$5:$J$43,'FIRE TEX 5090'!$J$5:$J$43,"&gt;="&amp;M1246),'FIRE TEX 5090'!$J$5:$P$43,IF(L1246="F-15",2,IF(L1246="F-30",3,IF(L1246="F-60",4,IF(L1246="F-90",5,IF(L1246="F-120",6,IF(L1246="F-150",7,0)))))),0),0)+IF(AND(O1246="FIRE TEX 5090",E1246="CJ",J1246=3),VLOOKUP(_xlfn.MINIFS('FIRE TEX 5090'!$R$5:$R$30,'FIRE TEX 5090'!$R$5:$R$30,"&gt;="&amp;M1246),'FIRE TEX 5090'!$R$5:$W$30,IF(L1246="F-15",2,IF(L1246="F-30",3,IF(L1246="F-60",4,IF(L1246="F-90",5,IF(L1246="F-120",6,IF(L1246="F-150",7,0)))))),0),0)+IF(AND(O1246="FIRE TEX 5090",E1246="CJ",J1246=4),VLOOKUP(_xlfn.MINIFS('FIRE TEX 5090'!$Y$5:$Y$39,'FIRE TEX 5090'!$Y$5:$Y$39,"&gt;="&amp;M1246),'FIRE TEX 5090'!$Y$5:$AD$39,IF(L1246="F-15",2,IF(L1246="F-30",3,IF(L1246="F-60",4,IF(L1246="F-90",5,IF(L1246="F-120",6,IF(L1246="F-150",7,0)))))),0),0)+IF(AND(O1246="FIRE TEX 5120",OR(E1246="IN",E1246="C",E1246="Z",E1246="L"),J1246=3),VLOOKUP(_xlfn.MINIFS('FIRE TEX 5120'!$B$5:$B$40,'FIRE TEX 5120'!$B$5:$B$40,"&gt;="&amp;M1246),'FIRE TEX 5120'!$B$5:$G$40,IF(L1246="F-15",2,IF(L1246="F-30",3,IF(L1246="F-60",4,IF(L1246="F-90",5,IF(L1246="F-120",6,0))))),0),0)+IF(AND(O1246="FIRE TEX 5120",OR(E1246="IN",E1246="C",E1246="Z",E1246="L"),J1246=4),VLOOKUP(_xlfn.MINIFS('FIRE TEX 5120'!$H$4:$H$40,'FIRE TEX 5120'!$H$4:$H$40,"&gt;="&amp;M1246),'FIRE TEX 5120'!$H$4:$M$40,IF(L1246="F-15",2,IF(L1246="F-30",3,IF(L1246="F-60",4,IF(L1246="F-90",5,IF(L1246="F-120",6,0))))),0),0)+IF(AND(O1246="FIRE TEX 5120",E1246="CJ"),VLOOKUP(_xlfn.MINIFS('FIRE TEX 5120'!$O$5:$O$40,'FIRE TEX 5120'!$O$5:$O$40,"&gt;="&amp;M1246),'FIRE TEX 5120'!$O$5:$T$40,IF(L1246="F-15",2,IF(L1246="F-30",3,IF(L1246="F-60",4,IF(L1246="F-90",5,IF(L1246="F-120",6,0))))),0),0)</f>
        <v>0</v>
      </c>
      <c r="Q1246" s="46">
        <f t="shared" si="114"/>
        <v>0</v>
      </c>
      <c r="R1246" s="46">
        <f t="shared" si="115"/>
        <v>0</v>
      </c>
      <c r="S1246" s="46" t="e">
        <f t="shared" si="116"/>
        <v>#VALUE!</v>
      </c>
      <c r="T1246" s="677">
        <f t="shared" si="117"/>
        <v>0</v>
      </c>
      <c r="U1246" s="80">
        <f>(IF(O1246="Stofire",(S1246*#REF!),0))+(IF(O1246="Fire Control",(S1246*$U$2),0))+(IF(O1246="Fire Tex",(S1246*$U$3),0))+(IF(O1246="WB7",(S1246*#REF!),0)+(IF(O1246="FX 2003",(S1246*$U$5),0)))</f>
        <v>0</v>
      </c>
      <c r="V1246" s="651">
        <f t="shared" si="118"/>
        <v>0</v>
      </c>
    </row>
    <row r="1247" spans="4:22" x14ac:dyDescent="0.25">
      <c r="D1247" s="118">
        <f>+CUBICACION!D1246</f>
        <v>0</v>
      </c>
      <c r="E1247" s="118">
        <f>+CUBICACION!F1246</f>
        <v>0</v>
      </c>
      <c r="F1247" s="118">
        <f>+CUBICACION!E1246</f>
        <v>0</v>
      </c>
      <c r="G1247" s="118">
        <v>12</v>
      </c>
      <c r="H1247" s="118">
        <v>2</v>
      </c>
      <c r="I1247" s="820">
        <v>26385</v>
      </c>
      <c r="J1247" s="118">
        <f>+CUBICACION!J1246</f>
        <v>0</v>
      </c>
      <c r="K1247" s="118">
        <v>4026</v>
      </c>
      <c r="L1247" s="118">
        <f>+CUBICACION!L1246</f>
        <v>0</v>
      </c>
      <c r="M1247" s="64">
        <f>+CUBICACION!M1246</f>
        <v>0</v>
      </c>
      <c r="N1247" s="824" t="str">
        <f>+CUBICACION!N1246</f>
        <v/>
      </c>
      <c r="O1247" s="675">
        <f>+CUBICACION!O1246</f>
        <v>0</v>
      </c>
      <c r="P1247" s="15">
        <f>IF(O1247="Fire Control",VLOOKUP(_xlfn.MINIFS('FIRE CONTROL'!$C$4:$C$37,'FIRE CONTROL'!$C$4:$C$37,"&gt;="&amp;M1247),'FIRE CONTROL'!$C$4:$G$37,IF(L1247="F-15",2,IF(L1247="F-30",3,IF(L1247="F-60",4,IF(L1247="F-90",5,0)))),0),0)+IF(AND(O1247="FIRE TEX 5062",OR(E1247="IN",E1247="C",E1247="Z",E1247="L"),J1247=3),VLOOKUP(_xlfn.MINIFS('FIRE TEX 5062'!$B$4:$B$34,'FIRE TEX 5062'!$B$4:$B$34,"&gt;="&amp;M1247),'FIRE TEX 5062'!$B$4:$F$34,IF(L1247="F-15",2,IF(L1247="F-30",3,IF(L1247="F-60",4,IF(L1247="F-90",5,0)))),0),0)+IF(AND(O1247="FIRE TEX 5062",OR(E1247="IN",E1247="C",E1247="Z",E1247="L"),J1247=4),VLOOKUP(_xlfn.MINIFS('FIRE TEX 5062'!$G$4:$G$34,'FIRE TEX 5062'!$G$4:$G$34,"&gt;="&amp;M1247),'FIRE TEX 5062'!$G$4:$K$34,IF(L1247="F-15",2,IF(L1247="F-30",3,IF(L1247="F-60",4,IF(L1247="F-90",5,0)))),0),0)+IF(AND(O1247="FIRE TEX 5062",E1247="CJ",J1247=3),VLOOKUP(_xlfn.MINIFS('FIRE TEX 5062'!$L$4:$L$34,'FIRE TEX 5062'!$L$4:$L$34,"&gt;="&amp;M1247),'FIRE TEX 5062'!$L$4:$P$34,IF(L1247="F-15",2,IF(L1247="F-30",3,IF(L1247="F-60",4,IF(L1247="F-90",5,0)))),0),0)+IF(AND(O1247="FIRE TEX 5062",E1247="CJ",J1247=4),VLOOKUP(_xlfn.MINIFS('FIRE TEX 5062'!$Q$3:$Q$34,'FIRE TEX 5062'!$Q$3:$Q$34,"&gt;="&amp;M1247),'FIRE TEX 5062'!$Q$3:$U$34,IF(L1247="F-15",2,IF(L1247="F-30",3,IF(L1247="F-60",4,IF(L1247="F-90",5,0)))),0),0)+IF(AND(O1247="FIRE TEX 5090",OR(E1247="IN",E1247="C",E1247="Z",E1247="L"),J1247=3),VLOOKUP(_xlfn.MINIFS('FIRE TEX 5090'!$B$5:$B$43,'FIRE TEX 5090'!$B$5:$B$43,"&gt;="&amp;M1247),'FIRE TEX 5090'!$B$5:$H$43,IF(L1247="F-15",2,IF(L1247="F-30",3,IF(L1247="F-60",4,IF(L1247="F-90",5,IF(L1247="F-120",6,IF(L1247="F-150",7,0)))))),0),0)+IF(AND(O1247="FIRE TEX 5090",OR(E1247="IN",E1247="C",E1247="Z",E1247="L"),J1247=4),VLOOKUP(_xlfn.MINIFS('FIRE TEX 5090'!$J$5:$J$43,'FIRE TEX 5090'!$J$5:$J$43,"&gt;="&amp;M1247),'FIRE TEX 5090'!$J$5:$P$43,IF(L1247="F-15",2,IF(L1247="F-30",3,IF(L1247="F-60",4,IF(L1247="F-90",5,IF(L1247="F-120",6,IF(L1247="F-150",7,0)))))),0),0)+IF(AND(O1247="FIRE TEX 5090",E1247="CJ",J1247=3),VLOOKUP(_xlfn.MINIFS('FIRE TEX 5090'!$R$5:$R$30,'FIRE TEX 5090'!$R$5:$R$30,"&gt;="&amp;M1247),'FIRE TEX 5090'!$R$5:$W$30,IF(L1247="F-15",2,IF(L1247="F-30",3,IF(L1247="F-60",4,IF(L1247="F-90",5,IF(L1247="F-120",6,IF(L1247="F-150",7,0)))))),0),0)+IF(AND(O1247="FIRE TEX 5090",E1247="CJ",J1247=4),VLOOKUP(_xlfn.MINIFS('FIRE TEX 5090'!$Y$5:$Y$39,'FIRE TEX 5090'!$Y$5:$Y$39,"&gt;="&amp;M1247),'FIRE TEX 5090'!$Y$5:$AD$39,IF(L1247="F-15",2,IF(L1247="F-30",3,IF(L1247="F-60",4,IF(L1247="F-90",5,IF(L1247="F-120",6,IF(L1247="F-150",7,0)))))),0),0)+IF(AND(O1247="FIRE TEX 5120",OR(E1247="IN",E1247="C",E1247="Z",E1247="L"),J1247=3),VLOOKUP(_xlfn.MINIFS('FIRE TEX 5120'!$B$5:$B$40,'FIRE TEX 5120'!$B$5:$B$40,"&gt;="&amp;M1247),'FIRE TEX 5120'!$B$5:$G$40,IF(L1247="F-15",2,IF(L1247="F-30",3,IF(L1247="F-60",4,IF(L1247="F-90",5,IF(L1247="F-120",6,0))))),0),0)+IF(AND(O1247="FIRE TEX 5120",OR(E1247="IN",E1247="C",E1247="Z",E1247="L"),J1247=4),VLOOKUP(_xlfn.MINIFS('FIRE TEX 5120'!$H$4:$H$40,'FIRE TEX 5120'!$H$4:$H$40,"&gt;="&amp;M1247),'FIRE TEX 5120'!$H$4:$M$40,IF(L1247="F-15",2,IF(L1247="F-30",3,IF(L1247="F-60",4,IF(L1247="F-90",5,IF(L1247="F-120",6,0))))),0),0)+IF(AND(O1247="FIRE TEX 5120",E1247="CJ"),VLOOKUP(_xlfn.MINIFS('FIRE TEX 5120'!$O$5:$O$40,'FIRE TEX 5120'!$O$5:$O$40,"&gt;="&amp;M1247),'FIRE TEX 5120'!$O$5:$T$40,IF(L1247="F-15",2,IF(L1247="F-30",3,IF(L1247="F-60",4,IF(L1247="F-90",5,IF(L1247="F-120",6,0))))),0),0)</f>
        <v>0</v>
      </c>
      <c r="Q1247" s="46">
        <f t="shared" si="114"/>
        <v>0</v>
      </c>
      <c r="R1247" s="46">
        <f t="shared" si="115"/>
        <v>0</v>
      </c>
      <c r="S1247" s="46" t="e">
        <f t="shared" si="116"/>
        <v>#VALUE!</v>
      </c>
      <c r="T1247" s="677">
        <f t="shared" si="117"/>
        <v>0</v>
      </c>
      <c r="U1247" s="80">
        <f>(IF(O1247="Stofire",(S1247*#REF!),0))+(IF(O1247="Fire Control",(S1247*$U$2),0))+(IF(O1247="Fire Tex",(S1247*$U$3),0))+(IF(O1247="WB7",(S1247*#REF!),0)+(IF(O1247="FX 2003",(S1247*$U$5),0)))</f>
        <v>0</v>
      </c>
      <c r="V1247" s="651">
        <f t="shared" si="118"/>
        <v>0</v>
      </c>
    </row>
    <row r="1248" spans="4:22" x14ac:dyDescent="0.25">
      <c r="D1248" s="118">
        <f>+CUBICACION!D1247</f>
        <v>0</v>
      </c>
      <c r="E1248" s="118">
        <f>+CUBICACION!F1247</f>
        <v>0</v>
      </c>
      <c r="F1248" s="118">
        <f>+CUBICACION!E1247</f>
        <v>0</v>
      </c>
      <c r="G1248" s="118">
        <v>12</v>
      </c>
      <c r="H1248" s="118">
        <v>2</v>
      </c>
      <c r="I1248" s="820">
        <v>26385</v>
      </c>
      <c r="J1248" s="118">
        <f>+CUBICACION!J1247</f>
        <v>0</v>
      </c>
      <c r="K1248" s="118">
        <v>4027</v>
      </c>
      <c r="L1248" s="118">
        <f>+CUBICACION!L1247</f>
        <v>0</v>
      </c>
      <c r="M1248" s="64">
        <f>+CUBICACION!M1247</f>
        <v>0</v>
      </c>
      <c r="N1248" s="824" t="str">
        <f>+CUBICACION!N1247</f>
        <v/>
      </c>
      <c r="O1248" s="675">
        <f>+CUBICACION!O1247</f>
        <v>0</v>
      </c>
      <c r="P1248" s="15">
        <f>IF(O1248="Fire Control",VLOOKUP(_xlfn.MINIFS('FIRE CONTROL'!$C$4:$C$37,'FIRE CONTROL'!$C$4:$C$37,"&gt;="&amp;M1248),'FIRE CONTROL'!$C$4:$G$37,IF(L1248="F-15",2,IF(L1248="F-30",3,IF(L1248="F-60",4,IF(L1248="F-90",5,0)))),0),0)+IF(AND(O1248="FIRE TEX 5062",OR(E1248="IN",E1248="C",E1248="Z",E1248="L"),J1248=3),VLOOKUP(_xlfn.MINIFS('FIRE TEX 5062'!$B$4:$B$34,'FIRE TEX 5062'!$B$4:$B$34,"&gt;="&amp;M1248),'FIRE TEX 5062'!$B$4:$F$34,IF(L1248="F-15",2,IF(L1248="F-30",3,IF(L1248="F-60",4,IF(L1248="F-90",5,0)))),0),0)+IF(AND(O1248="FIRE TEX 5062",OR(E1248="IN",E1248="C",E1248="Z",E1248="L"),J1248=4),VLOOKUP(_xlfn.MINIFS('FIRE TEX 5062'!$G$4:$G$34,'FIRE TEX 5062'!$G$4:$G$34,"&gt;="&amp;M1248),'FIRE TEX 5062'!$G$4:$K$34,IF(L1248="F-15",2,IF(L1248="F-30",3,IF(L1248="F-60",4,IF(L1248="F-90",5,0)))),0),0)+IF(AND(O1248="FIRE TEX 5062",E1248="CJ",J1248=3),VLOOKUP(_xlfn.MINIFS('FIRE TEX 5062'!$L$4:$L$34,'FIRE TEX 5062'!$L$4:$L$34,"&gt;="&amp;M1248),'FIRE TEX 5062'!$L$4:$P$34,IF(L1248="F-15",2,IF(L1248="F-30",3,IF(L1248="F-60",4,IF(L1248="F-90",5,0)))),0),0)+IF(AND(O1248="FIRE TEX 5062",E1248="CJ",J1248=4),VLOOKUP(_xlfn.MINIFS('FIRE TEX 5062'!$Q$3:$Q$34,'FIRE TEX 5062'!$Q$3:$Q$34,"&gt;="&amp;M1248),'FIRE TEX 5062'!$Q$3:$U$34,IF(L1248="F-15",2,IF(L1248="F-30",3,IF(L1248="F-60",4,IF(L1248="F-90",5,0)))),0),0)+IF(AND(O1248="FIRE TEX 5090",OR(E1248="IN",E1248="C",E1248="Z",E1248="L"),J1248=3),VLOOKUP(_xlfn.MINIFS('FIRE TEX 5090'!$B$5:$B$43,'FIRE TEX 5090'!$B$5:$B$43,"&gt;="&amp;M1248),'FIRE TEX 5090'!$B$5:$H$43,IF(L1248="F-15",2,IF(L1248="F-30",3,IF(L1248="F-60",4,IF(L1248="F-90",5,IF(L1248="F-120",6,IF(L1248="F-150",7,0)))))),0),0)+IF(AND(O1248="FIRE TEX 5090",OR(E1248="IN",E1248="C",E1248="Z",E1248="L"),J1248=4),VLOOKUP(_xlfn.MINIFS('FIRE TEX 5090'!$J$5:$J$43,'FIRE TEX 5090'!$J$5:$J$43,"&gt;="&amp;M1248),'FIRE TEX 5090'!$J$5:$P$43,IF(L1248="F-15",2,IF(L1248="F-30",3,IF(L1248="F-60",4,IF(L1248="F-90",5,IF(L1248="F-120",6,IF(L1248="F-150",7,0)))))),0),0)+IF(AND(O1248="FIRE TEX 5090",E1248="CJ",J1248=3),VLOOKUP(_xlfn.MINIFS('FIRE TEX 5090'!$R$5:$R$30,'FIRE TEX 5090'!$R$5:$R$30,"&gt;="&amp;M1248),'FIRE TEX 5090'!$R$5:$W$30,IF(L1248="F-15",2,IF(L1248="F-30",3,IF(L1248="F-60",4,IF(L1248="F-90",5,IF(L1248="F-120",6,IF(L1248="F-150",7,0)))))),0),0)+IF(AND(O1248="FIRE TEX 5090",E1248="CJ",J1248=4),VLOOKUP(_xlfn.MINIFS('FIRE TEX 5090'!$Y$5:$Y$39,'FIRE TEX 5090'!$Y$5:$Y$39,"&gt;="&amp;M1248),'FIRE TEX 5090'!$Y$5:$AD$39,IF(L1248="F-15",2,IF(L1248="F-30",3,IF(L1248="F-60",4,IF(L1248="F-90",5,IF(L1248="F-120",6,IF(L1248="F-150",7,0)))))),0),0)+IF(AND(O1248="FIRE TEX 5120",OR(E1248="IN",E1248="C",E1248="Z",E1248="L"),J1248=3),VLOOKUP(_xlfn.MINIFS('FIRE TEX 5120'!$B$5:$B$40,'FIRE TEX 5120'!$B$5:$B$40,"&gt;="&amp;M1248),'FIRE TEX 5120'!$B$5:$G$40,IF(L1248="F-15",2,IF(L1248="F-30",3,IF(L1248="F-60",4,IF(L1248="F-90",5,IF(L1248="F-120",6,0))))),0),0)+IF(AND(O1248="FIRE TEX 5120",OR(E1248="IN",E1248="C",E1248="Z",E1248="L"),J1248=4),VLOOKUP(_xlfn.MINIFS('FIRE TEX 5120'!$H$4:$H$40,'FIRE TEX 5120'!$H$4:$H$40,"&gt;="&amp;M1248),'FIRE TEX 5120'!$H$4:$M$40,IF(L1248="F-15",2,IF(L1248="F-30",3,IF(L1248="F-60",4,IF(L1248="F-90",5,IF(L1248="F-120",6,0))))),0),0)+IF(AND(O1248="FIRE TEX 5120",E1248="CJ"),VLOOKUP(_xlfn.MINIFS('FIRE TEX 5120'!$O$5:$O$40,'FIRE TEX 5120'!$O$5:$O$40,"&gt;="&amp;M1248),'FIRE TEX 5120'!$O$5:$T$40,IF(L1248="F-15",2,IF(L1248="F-30",3,IF(L1248="F-60",4,IF(L1248="F-90",5,IF(L1248="F-120",6,0))))),0),0)</f>
        <v>0</v>
      </c>
      <c r="Q1248" s="46">
        <f t="shared" si="114"/>
        <v>0</v>
      </c>
      <c r="R1248" s="46">
        <f t="shared" si="115"/>
        <v>0</v>
      </c>
      <c r="S1248" s="46" t="e">
        <f t="shared" si="116"/>
        <v>#VALUE!</v>
      </c>
      <c r="T1248" s="677">
        <f t="shared" si="117"/>
        <v>0</v>
      </c>
      <c r="U1248" s="80">
        <f>(IF(O1248="Stofire",(S1248*#REF!),0))+(IF(O1248="Fire Control",(S1248*$U$2),0))+(IF(O1248="Fire Tex",(S1248*$U$3),0))+(IF(O1248="WB7",(S1248*#REF!),0)+(IF(O1248="FX 2003",(S1248*$U$5),0)))</f>
        <v>0</v>
      </c>
      <c r="V1248" s="651">
        <f t="shared" si="118"/>
        <v>0</v>
      </c>
    </row>
    <row r="1249" spans="4:22" x14ac:dyDescent="0.25">
      <c r="D1249" s="118">
        <f>+CUBICACION!D1248</f>
        <v>0</v>
      </c>
      <c r="E1249" s="118">
        <f>+CUBICACION!F1248</f>
        <v>0</v>
      </c>
      <c r="F1249" s="118">
        <f>+CUBICACION!E1248</f>
        <v>0</v>
      </c>
      <c r="G1249" s="118">
        <v>12</v>
      </c>
      <c r="H1249" s="118">
        <v>2</v>
      </c>
      <c r="I1249" s="820">
        <v>26385</v>
      </c>
      <c r="J1249" s="118">
        <f>+CUBICACION!J1248</f>
        <v>0</v>
      </c>
      <c r="K1249" s="118">
        <v>4028</v>
      </c>
      <c r="L1249" s="118">
        <f>+CUBICACION!L1248</f>
        <v>0</v>
      </c>
      <c r="M1249" s="64">
        <f>+CUBICACION!M1248</f>
        <v>0</v>
      </c>
      <c r="N1249" s="824" t="str">
        <f>+CUBICACION!N1248</f>
        <v/>
      </c>
      <c r="O1249" s="675">
        <f>+CUBICACION!O1248</f>
        <v>0</v>
      </c>
      <c r="P1249" s="15">
        <f>IF(O1249="Fire Control",VLOOKUP(_xlfn.MINIFS('FIRE CONTROL'!$C$4:$C$37,'FIRE CONTROL'!$C$4:$C$37,"&gt;="&amp;M1249),'FIRE CONTROL'!$C$4:$G$37,IF(L1249="F-15",2,IF(L1249="F-30",3,IF(L1249="F-60",4,IF(L1249="F-90",5,0)))),0),0)+IF(AND(O1249="FIRE TEX 5062",OR(E1249="IN",E1249="C",E1249="Z",E1249="L"),J1249=3),VLOOKUP(_xlfn.MINIFS('FIRE TEX 5062'!$B$4:$B$34,'FIRE TEX 5062'!$B$4:$B$34,"&gt;="&amp;M1249),'FIRE TEX 5062'!$B$4:$F$34,IF(L1249="F-15",2,IF(L1249="F-30",3,IF(L1249="F-60",4,IF(L1249="F-90",5,0)))),0),0)+IF(AND(O1249="FIRE TEX 5062",OR(E1249="IN",E1249="C",E1249="Z",E1249="L"),J1249=4),VLOOKUP(_xlfn.MINIFS('FIRE TEX 5062'!$G$4:$G$34,'FIRE TEX 5062'!$G$4:$G$34,"&gt;="&amp;M1249),'FIRE TEX 5062'!$G$4:$K$34,IF(L1249="F-15",2,IF(L1249="F-30",3,IF(L1249="F-60",4,IF(L1249="F-90",5,0)))),0),0)+IF(AND(O1249="FIRE TEX 5062",E1249="CJ",J1249=3),VLOOKUP(_xlfn.MINIFS('FIRE TEX 5062'!$L$4:$L$34,'FIRE TEX 5062'!$L$4:$L$34,"&gt;="&amp;M1249),'FIRE TEX 5062'!$L$4:$P$34,IF(L1249="F-15",2,IF(L1249="F-30",3,IF(L1249="F-60",4,IF(L1249="F-90",5,0)))),0),0)+IF(AND(O1249="FIRE TEX 5062",E1249="CJ",J1249=4),VLOOKUP(_xlfn.MINIFS('FIRE TEX 5062'!$Q$3:$Q$34,'FIRE TEX 5062'!$Q$3:$Q$34,"&gt;="&amp;M1249),'FIRE TEX 5062'!$Q$3:$U$34,IF(L1249="F-15",2,IF(L1249="F-30",3,IF(L1249="F-60",4,IF(L1249="F-90",5,0)))),0),0)+IF(AND(O1249="FIRE TEX 5090",OR(E1249="IN",E1249="C",E1249="Z",E1249="L"),J1249=3),VLOOKUP(_xlfn.MINIFS('FIRE TEX 5090'!$B$5:$B$43,'FIRE TEX 5090'!$B$5:$B$43,"&gt;="&amp;M1249),'FIRE TEX 5090'!$B$5:$H$43,IF(L1249="F-15",2,IF(L1249="F-30",3,IF(L1249="F-60",4,IF(L1249="F-90",5,IF(L1249="F-120",6,IF(L1249="F-150",7,0)))))),0),0)+IF(AND(O1249="FIRE TEX 5090",OR(E1249="IN",E1249="C",E1249="Z",E1249="L"),J1249=4),VLOOKUP(_xlfn.MINIFS('FIRE TEX 5090'!$J$5:$J$43,'FIRE TEX 5090'!$J$5:$J$43,"&gt;="&amp;M1249),'FIRE TEX 5090'!$J$5:$P$43,IF(L1249="F-15",2,IF(L1249="F-30",3,IF(L1249="F-60",4,IF(L1249="F-90",5,IF(L1249="F-120",6,IF(L1249="F-150",7,0)))))),0),0)+IF(AND(O1249="FIRE TEX 5090",E1249="CJ",J1249=3),VLOOKUP(_xlfn.MINIFS('FIRE TEX 5090'!$R$5:$R$30,'FIRE TEX 5090'!$R$5:$R$30,"&gt;="&amp;M1249),'FIRE TEX 5090'!$R$5:$W$30,IF(L1249="F-15",2,IF(L1249="F-30",3,IF(L1249="F-60",4,IF(L1249="F-90",5,IF(L1249="F-120",6,IF(L1249="F-150",7,0)))))),0),0)+IF(AND(O1249="FIRE TEX 5090",E1249="CJ",J1249=4),VLOOKUP(_xlfn.MINIFS('FIRE TEX 5090'!$Y$5:$Y$39,'FIRE TEX 5090'!$Y$5:$Y$39,"&gt;="&amp;M1249),'FIRE TEX 5090'!$Y$5:$AD$39,IF(L1249="F-15",2,IF(L1249="F-30",3,IF(L1249="F-60",4,IF(L1249="F-90",5,IF(L1249="F-120",6,IF(L1249="F-150",7,0)))))),0),0)+IF(AND(O1249="FIRE TEX 5120",OR(E1249="IN",E1249="C",E1249="Z",E1249="L"),J1249=3),VLOOKUP(_xlfn.MINIFS('FIRE TEX 5120'!$B$5:$B$40,'FIRE TEX 5120'!$B$5:$B$40,"&gt;="&amp;M1249),'FIRE TEX 5120'!$B$5:$G$40,IF(L1249="F-15",2,IF(L1249="F-30",3,IF(L1249="F-60",4,IF(L1249="F-90",5,IF(L1249="F-120",6,0))))),0),0)+IF(AND(O1249="FIRE TEX 5120",OR(E1249="IN",E1249="C",E1249="Z",E1249="L"),J1249=4),VLOOKUP(_xlfn.MINIFS('FIRE TEX 5120'!$H$4:$H$40,'FIRE TEX 5120'!$H$4:$H$40,"&gt;="&amp;M1249),'FIRE TEX 5120'!$H$4:$M$40,IF(L1249="F-15",2,IF(L1249="F-30",3,IF(L1249="F-60",4,IF(L1249="F-90",5,IF(L1249="F-120",6,0))))),0),0)+IF(AND(O1249="FIRE TEX 5120",E1249="CJ"),VLOOKUP(_xlfn.MINIFS('FIRE TEX 5120'!$O$5:$O$40,'FIRE TEX 5120'!$O$5:$O$40,"&gt;="&amp;M1249),'FIRE TEX 5120'!$O$5:$T$40,IF(L1249="F-15",2,IF(L1249="F-30",3,IF(L1249="F-60",4,IF(L1249="F-90",5,IF(L1249="F-120",6,0))))),0),0)</f>
        <v>0</v>
      </c>
      <c r="Q1249" s="46">
        <f t="shared" si="114"/>
        <v>0</v>
      </c>
      <c r="R1249" s="46">
        <f t="shared" si="115"/>
        <v>0</v>
      </c>
      <c r="S1249" s="46" t="e">
        <f t="shared" si="116"/>
        <v>#VALUE!</v>
      </c>
      <c r="T1249" s="677">
        <f t="shared" si="117"/>
        <v>0</v>
      </c>
      <c r="U1249" s="80">
        <f>(IF(O1249="Stofire",(S1249*#REF!),0))+(IF(O1249="Fire Control",(S1249*$U$2),0))+(IF(O1249="Fire Tex",(S1249*$U$3),0))+(IF(O1249="WB7",(S1249*#REF!),0)+(IF(O1249="FX 2003",(S1249*$U$5),0)))</f>
        <v>0</v>
      </c>
      <c r="V1249" s="651">
        <f t="shared" si="118"/>
        <v>0</v>
      </c>
    </row>
    <row r="1250" spans="4:22" x14ac:dyDescent="0.25">
      <c r="D1250" s="118">
        <f>+CUBICACION!D1249</f>
        <v>0</v>
      </c>
      <c r="E1250" s="118">
        <f>+CUBICACION!F1249</f>
        <v>0</v>
      </c>
      <c r="F1250" s="118">
        <f>+CUBICACION!E1249</f>
        <v>0</v>
      </c>
      <c r="G1250" s="118">
        <v>12</v>
      </c>
      <c r="H1250" s="118">
        <v>2</v>
      </c>
      <c r="I1250" s="820">
        <v>26385</v>
      </c>
      <c r="J1250" s="118">
        <f>+CUBICACION!J1249</f>
        <v>0</v>
      </c>
      <c r="K1250" s="118">
        <v>4029</v>
      </c>
      <c r="L1250" s="118">
        <f>+CUBICACION!L1249</f>
        <v>0</v>
      </c>
      <c r="M1250" s="64">
        <f>+CUBICACION!M1249</f>
        <v>0</v>
      </c>
      <c r="N1250" s="824" t="str">
        <f>+CUBICACION!N1249</f>
        <v/>
      </c>
      <c r="O1250" s="675">
        <f>+CUBICACION!O1249</f>
        <v>0</v>
      </c>
      <c r="P1250" s="15">
        <f>IF(O1250="Fire Control",VLOOKUP(_xlfn.MINIFS('FIRE CONTROL'!$C$4:$C$37,'FIRE CONTROL'!$C$4:$C$37,"&gt;="&amp;M1250),'FIRE CONTROL'!$C$4:$G$37,IF(L1250="F-15",2,IF(L1250="F-30",3,IF(L1250="F-60",4,IF(L1250="F-90",5,0)))),0),0)+IF(AND(O1250="FIRE TEX 5062",OR(E1250="IN",E1250="C",E1250="Z",E1250="L"),J1250=3),VLOOKUP(_xlfn.MINIFS('FIRE TEX 5062'!$B$4:$B$34,'FIRE TEX 5062'!$B$4:$B$34,"&gt;="&amp;M1250),'FIRE TEX 5062'!$B$4:$F$34,IF(L1250="F-15",2,IF(L1250="F-30",3,IF(L1250="F-60",4,IF(L1250="F-90",5,0)))),0),0)+IF(AND(O1250="FIRE TEX 5062",OR(E1250="IN",E1250="C",E1250="Z",E1250="L"),J1250=4),VLOOKUP(_xlfn.MINIFS('FIRE TEX 5062'!$G$4:$G$34,'FIRE TEX 5062'!$G$4:$G$34,"&gt;="&amp;M1250),'FIRE TEX 5062'!$G$4:$K$34,IF(L1250="F-15",2,IF(L1250="F-30",3,IF(L1250="F-60",4,IF(L1250="F-90",5,0)))),0),0)+IF(AND(O1250="FIRE TEX 5062",E1250="CJ",J1250=3),VLOOKUP(_xlfn.MINIFS('FIRE TEX 5062'!$L$4:$L$34,'FIRE TEX 5062'!$L$4:$L$34,"&gt;="&amp;M1250),'FIRE TEX 5062'!$L$4:$P$34,IF(L1250="F-15",2,IF(L1250="F-30",3,IF(L1250="F-60",4,IF(L1250="F-90",5,0)))),0),0)+IF(AND(O1250="FIRE TEX 5062",E1250="CJ",J1250=4),VLOOKUP(_xlfn.MINIFS('FIRE TEX 5062'!$Q$3:$Q$34,'FIRE TEX 5062'!$Q$3:$Q$34,"&gt;="&amp;M1250),'FIRE TEX 5062'!$Q$3:$U$34,IF(L1250="F-15",2,IF(L1250="F-30",3,IF(L1250="F-60",4,IF(L1250="F-90",5,0)))),0),0)+IF(AND(O1250="FIRE TEX 5090",OR(E1250="IN",E1250="C",E1250="Z",E1250="L"),J1250=3),VLOOKUP(_xlfn.MINIFS('FIRE TEX 5090'!$B$5:$B$43,'FIRE TEX 5090'!$B$5:$B$43,"&gt;="&amp;M1250),'FIRE TEX 5090'!$B$5:$H$43,IF(L1250="F-15",2,IF(L1250="F-30",3,IF(L1250="F-60",4,IF(L1250="F-90",5,IF(L1250="F-120",6,IF(L1250="F-150",7,0)))))),0),0)+IF(AND(O1250="FIRE TEX 5090",OR(E1250="IN",E1250="C",E1250="Z",E1250="L"),J1250=4),VLOOKUP(_xlfn.MINIFS('FIRE TEX 5090'!$J$5:$J$43,'FIRE TEX 5090'!$J$5:$J$43,"&gt;="&amp;M1250),'FIRE TEX 5090'!$J$5:$P$43,IF(L1250="F-15",2,IF(L1250="F-30",3,IF(L1250="F-60",4,IF(L1250="F-90",5,IF(L1250="F-120",6,IF(L1250="F-150",7,0)))))),0),0)+IF(AND(O1250="FIRE TEX 5090",E1250="CJ",J1250=3),VLOOKUP(_xlfn.MINIFS('FIRE TEX 5090'!$R$5:$R$30,'FIRE TEX 5090'!$R$5:$R$30,"&gt;="&amp;M1250),'FIRE TEX 5090'!$R$5:$W$30,IF(L1250="F-15",2,IF(L1250="F-30",3,IF(L1250="F-60",4,IF(L1250="F-90",5,IF(L1250="F-120",6,IF(L1250="F-150",7,0)))))),0),0)+IF(AND(O1250="FIRE TEX 5090",E1250="CJ",J1250=4),VLOOKUP(_xlfn.MINIFS('FIRE TEX 5090'!$Y$5:$Y$39,'FIRE TEX 5090'!$Y$5:$Y$39,"&gt;="&amp;M1250),'FIRE TEX 5090'!$Y$5:$AD$39,IF(L1250="F-15",2,IF(L1250="F-30",3,IF(L1250="F-60",4,IF(L1250="F-90",5,IF(L1250="F-120",6,IF(L1250="F-150",7,0)))))),0),0)+IF(AND(O1250="FIRE TEX 5120",OR(E1250="IN",E1250="C",E1250="Z",E1250="L"),J1250=3),VLOOKUP(_xlfn.MINIFS('FIRE TEX 5120'!$B$5:$B$40,'FIRE TEX 5120'!$B$5:$B$40,"&gt;="&amp;M1250),'FIRE TEX 5120'!$B$5:$G$40,IF(L1250="F-15",2,IF(L1250="F-30",3,IF(L1250="F-60",4,IF(L1250="F-90",5,IF(L1250="F-120",6,0))))),0),0)+IF(AND(O1250="FIRE TEX 5120",OR(E1250="IN",E1250="C",E1250="Z",E1250="L"),J1250=4),VLOOKUP(_xlfn.MINIFS('FIRE TEX 5120'!$H$4:$H$40,'FIRE TEX 5120'!$H$4:$H$40,"&gt;="&amp;M1250),'FIRE TEX 5120'!$H$4:$M$40,IF(L1250="F-15",2,IF(L1250="F-30",3,IF(L1250="F-60",4,IF(L1250="F-90",5,IF(L1250="F-120",6,0))))),0),0)+IF(AND(O1250="FIRE TEX 5120",E1250="CJ"),VLOOKUP(_xlfn.MINIFS('FIRE TEX 5120'!$O$5:$O$40,'FIRE TEX 5120'!$O$5:$O$40,"&gt;="&amp;M1250),'FIRE TEX 5120'!$O$5:$T$40,IF(L1250="F-15",2,IF(L1250="F-30",3,IF(L1250="F-60",4,IF(L1250="F-90",5,IF(L1250="F-120",6,0))))),0),0)</f>
        <v>0</v>
      </c>
      <c r="Q1250" s="46">
        <f t="shared" si="114"/>
        <v>0</v>
      </c>
      <c r="R1250" s="46">
        <f t="shared" si="115"/>
        <v>0</v>
      </c>
      <c r="S1250" s="46" t="e">
        <f t="shared" si="116"/>
        <v>#VALUE!</v>
      </c>
      <c r="T1250" s="677">
        <f t="shared" si="117"/>
        <v>0</v>
      </c>
      <c r="U1250" s="80">
        <f>(IF(O1250="Stofire",(S1250*#REF!),0))+(IF(O1250="Fire Control",(S1250*$U$2),0))+(IF(O1250="Fire Tex",(S1250*$U$3),0))+(IF(O1250="WB7",(S1250*#REF!),0)+(IF(O1250="FX 2003",(S1250*$U$5),0)))</f>
        <v>0</v>
      </c>
      <c r="V1250" s="651">
        <f t="shared" si="118"/>
        <v>0</v>
      </c>
    </row>
    <row r="1251" spans="4:22" x14ac:dyDescent="0.25">
      <c r="D1251" s="118">
        <f>+CUBICACION!D1250</f>
        <v>0</v>
      </c>
      <c r="E1251" s="118">
        <f>+CUBICACION!F1250</f>
        <v>0</v>
      </c>
      <c r="F1251" s="118">
        <f>+CUBICACION!E1250</f>
        <v>0</v>
      </c>
      <c r="G1251" s="118">
        <v>12</v>
      </c>
      <c r="H1251" s="118">
        <v>2</v>
      </c>
      <c r="I1251" s="820">
        <v>26385</v>
      </c>
      <c r="J1251" s="118">
        <f>+CUBICACION!J1250</f>
        <v>0</v>
      </c>
      <c r="K1251" s="118">
        <v>4030</v>
      </c>
      <c r="L1251" s="118">
        <f>+CUBICACION!L1250</f>
        <v>0</v>
      </c>
      <c r="M1251" s="64">
        <f>+CUBICACION!M1250</f>
        <v>0</v>
      </c>
      <c r="N1251" s="824" t="str">
        <f>+CUBICACION!N1250</f>
        <v/>
      </c>
      <c r="O1251" s="675">
        <f>+CUBICACION!O1250</f>
        <v>0</v>
      </c>
      <c r="P1251" s="15">
        <f>IF(O1251="Fire Control",VLOOKUP(_xlfn.MINIFS('FIRE CONTROL'!$C$4:$C$37,'FIRE CONTROL'!$C$4:$C$37,"&gt;="&amp;M1251),'FIRE CONTROL'!$C$4:$G$37,IF(L1251="F-15",2,IF(L1251="F-30",3,IF(L1251="F-60",4,IF(L1251="F-90",5,0)))),0),0)+IF(AND(O1251="FIRE TEX 5062",OR(E1251="IN",E1251="C",E1251="Z",E1251="L"),J1251=3),VLOOKUP(_xlfn.MINIFS('FIRE TEX 5062'!$B$4:$B$34,'FIRE TEX 5062'!$B$4:$B$34,"&gt;="&amp;M1251),'FIRE TEX 5062'!$B$4:$F$34,IF(L1251="F-15",2,IF(L1251="F-30",3,IF(L1251="F-60",4,IF(L1251="F-90",5,0)))),0),0)+IF(AND(O1251="FIRE TEX 5062",OR(E1251="IN",E1251="C",E1251="Z",E1251="L"),J1251=4),VLOOKUP(_xlfn.MINIFS('FIRE TEX 5062'!$G$4:$G$34,'FIRE TEX 5062'!$G$4:$G$34,"&gt;="&amp;M1251),'FIRE TEX 5062'!$G$4:$K$34,IF(L1251="F-15",2,IF(L1251="F-30",3,IF(L1251="F-60",4,IF(L1251="F-90",5,0)))),0),0)+IF(AND(O1251="FIRE TEX 5062",E1251="CJ",J1251=3),VLOOKUP(_xlfn.MINIFS('FIRE TEX 5062'!$L$4:$L$34,'FIRE TEX 5062'!$L$4:$L$34,"&gt;="&amp;M1251),'FIRE TEX 5062'!$L$4:$P$34,IF(L1251="F-15",2,IF(L1251="F-30",3,IF(L1251="F-60",4,IF(L1251="F-90",5,0)))),0),0)+IF(AND(O1251="FIRE TEX 5062",E1251="CJ",J1251=4),VLOOKUP(_xlfn.MINIFS('FIRE TEX 5062'!$Q$3:$Q$34,'FIRE TEX 5062'!$Q$3:$Q$34,"&gt;="&amp;M1251),'FIRE TEX 5062'!$Q$3:$U$34,IF(L1251="F-15",2,IF(L1251="F-30",3,IF(L1251="F-60",4,IF(L1251="F-90",5,0)))),0),0)+IF(AND(O1251="FIRE TEX 5090",OR(E1251="IN",E1251="C",E1251="Z",E1251="L"),J1251=3),VLOOKUP(_xlfn.MINIFS('FIRE TEX 5090'!$B$5:$B$43,'FIRE TEX 5090'!$B$5:$B$43,"&gt;="&amp;M1251),'FIRE TEX 5090'!$B$5:$H$43,IF(L1251="F-15",2,IF(L1251="F-30",3,IF(L1251="F-60",4,IF(L1251="F-90",5,IF(L1251="F-120",6,IF(L1251="F-150",7,0)))))),0),0)+IF(AND(O1251="FIRE TEX 5090",OR(E1251="IN",E1251="C",E1251="Z",E1251="L"),J1251=4),VLOOKUP(_xlfn.MINIFS('FIRE TEX 5090'!$J$5:$J$43,'FIRE TEX 5090'!$J$5:$J$43,"&gt;="&amp;M1251),'FIRE TEX 5090'!$J$5:$P$43,IF(L1251="F-15",2,IF(L1251="F-30",3,IF(L1251="F-60",4,IF(L1251="F-90",5,IF(L1251="F-120",6,IF(L1251="F-150",7,0)))))),0),0)+IF(AND(O1251="FIRE TEX 5090",E1251="CJ",J1251=3),VLOOKUP(_xlfn.MINIFS('FIRE TEX 5090'!$R$5:$R$30,'FIRE TEX 5090'!$R$5:$R$30,"&gt;="&amp;M1251),'FIRE TEX 5090'!$R$5:$W$30,IF(L1251="F-15",2,IF(L1251="F-30",3,IF(L1251="F-60",4,IF(L1251="F-90",5,IF(L1251="F-120",6,IF(L1251="F-150",7,0)))))),0),0)+IF(AND(O1251="FIRE TEX 5090",E1251="CJ",J1251=4),VLOOKUP(_xlfn.MINIFS('FIRE TEX 5090'!$Y$5:$Y$39,'FIRE TEX 5090'!$Y$5:$Y$39,"&gt;="&amp;M1251),'FIRE TEX 5090'!$Y$5:$AD$39,IF(L1251="F-15",2,IF(L1251="F-30",3,IF(L1251="F-60",4,IF(L1251="F-90",5,IF(L1251="F-120",6,IF(L1251="F-150",7,0)))))),0),0)+IF(AND(O1251="FIRE TEX 5120",OR(E1251="IN",E1251="C",E1251="Z",E1251="L"),J1251=3),VLOOKUP(_xlfn.MINIFS('FIRE TEX 5120'!$B$5:$B$40,'FIRE TEX 5120'!$B$5:$B$40,"&gt;="&amp;M1251),'FIRE TEX 5120'!$B$5:$G$40,IF(L1251="F-15",2,IF(L1251="F-30",3,IF(L1251="F-60",4,IF(L1251="F-90",5,IF(L1251="F-120",6,0))))),0),0)+IF(AND(O1251="FIRE TEX 5120",OR(E1251="IN",E1251="C",E1251="Z",E1251="L"),J1251=4),VLOOKUP(_xlfn.MINIFS('FIRE TEX 5120'!$H$4:$H$40,'FIRE TEX 5120'!$H$4:$H$40,"&gt;="&amp;M1251),'FIRE TEX 5120'!$H$4:$M$40,IF(L1251="F-15",2,IF(L1251="F-30",3,IF(L1251="F-60",4,IF(L1251="F-90",5,IF(L1251="F-120",6,0))))),0),0)+IF(AND(O1251="FIRE TEX 5120",E1251="CJ"),VLOOKUP(_xlfn.MINIFS('FIRE TEX 5120'!$O$5:$O$40,'FIRE TEX 5120'!$O$5:$O$40,"&gt;="&amp;M1251),'FIRE TEX 5120'!$O$5:$T$40,IF(L1251="F-15",2,IF(L1251="F-30",3,IF(L1251="F-60",4,IF(L1251="F-90",5,IF(L1251="F-120",6,0))))),0),0)</f>
        <v>0</v>
      </c>
      <c r="Q1251" s="46">
        <f t="shared" si="114"/>
        <v>0</v>
      </c>
      <c r="R1251" s="46">
        <f t="shared" si="115"/>
        <v>0</v>
      </c>
      <c r="S1251" s="46" t="e">
        <f t="shared" si="116"/>
        <v>#VALUE!</v>
      </c>
      <c r="T1251" s="677">
        <f t="shared" si="117"/>
        <v>0</v>
      </c>
      <c r="U1251" s="80">
        <f>(IF(O1251="Stofire",(S1251*#REF!),0))+(IF(O1251="Fire Control",(S1251*$U$2),0))+(IF(O1251="Fire Tex",(S1251*$U$3),0))+(IF(O1251="WB7",(S1251*#REF!),0)+(IF(O1251="FX 2003",(S1251*$U$5),0)))</f>
        <v>0</v>
      </c>
      <c r="V1251" s="651">
        <f t="shared" si="118"/>
        <v>0</v>
      </c>
    </row>
    <row r="1252" spans="4:22" x14ac:dyDescent="0.25">
      <c r="D1252" s="118">
        <f>+CUBICACION!D1251</f>
        <v>0</v>
      </c>
      <c r="E1252" s="118">
        <f>+CUBICACION!F1251</f>
        <v>0</v>
      </c>
      <c r="F1252" s="118">
        <f>+CUBICACION!E1251</f>
        <v>0</v>
      </c>
      <c r="G1252" s="118">
        <v>12</v>
      </c>
      <c r="H1252" s="118">
        <v>2</v>
      </c>
      <c r="I1252" s="820">
        <v>26385</v>
      </c>
      <c r="J1252" s="118">
        <f>+CUBICACION!J1251</f>
        <v>0</v>
      </c>
      <c r="K1252" s="118">
        <v>4031</v>
      </c>
      <c r="L1252" s="118">
        <f>+CUBICACION!L1251</f>
        <v>0</v>
      </c>
      <c r="M1252" s="64">
        <f>+CUBICACION!M1251</f>
        <v>0</v>
      </c>
      <c r="N1252" s="824" t="str">
        <f>+CUBICACION!N1251</f>
        <v/>
      </c>
      <c r="O1252" s="675">
        <f>+CUBICACION!O1251</f>
        <v>0</v>
      </c>
      <c r="P1252" s="15">
        <f>IF(O1252="Fire Control",VLOOKUP(_xlfn.MINIFS('FIRE CONTROL'!$C$4:$C$37,'FIRE CONTROL'!$C$4:$C$37,"&gt;="&amp;M1252),'FIRE CONTROL'!$C$4:$G$37,IF(L1252="F-15",2,IF(L1252="F-30",3,IF(L1252="F-60",4,IF(L1252="F-90",5,0)))),0),0)+IF(AND(O1252="FIRE TEX 5062",OR(E1252="IN",E1252="C",E1252="Z",E1252="L"),J1252=3),VLOOKUP(_xlfn.MINIFS('FIRE TEX 5062'!$B$4:$B$34,'FIRE TEX 5062'!$B$4:$B$34,"&gt;="&amp;M1252),'FIRE TEX 5062'!$B$4:$F$34,IF(L1252="F-15",2,IF(L1252="F-30",3,IF(L1252="F-60",4,IF(L1252="F-90",5,0)))),0),0)+IF(AND(O1252="FIRE TEX 5062",OR(E1252="IN",E1252="C",E1252="Z",E1252="L"),J1252=4),VLOOKUP(_xlfn.MINIFS('FIRE TEX 5062'!$G$4:$G$34,'FIRE TEX 5062'!$G$4:$G$34,"&gt;="&amp;M1252),'FIRE TEX 5062'!$G$4:$K$34,IF(L1252="F-15",2,IF(L1252="F-30",3,IF(L1252="F-60",4,IF(L1252="F-90",5,0)))),0),0)+IF(AND(O1252="FIRE TEX 5062",E1252="CJ",J1252=3),VLOOKUP(_xlfn.MINIFS('FIRE TEX 5062'!$L$4:$L$34,'FIRE TEX 5062'!$L$4:$L$34,"&gt;="&amp;M1252),'FIRE TEX 5062'!$L$4:$P$34,IF(L1252="F-15",2,IF(L1252="F-30",3,IF(L1252="F-60",4,IF(L1252="F-90",5,0)))),0),0)+IF(AND(O1252="FIRE TEX 5062",E1252="CJ",J1252=4),VLOOKUP(_xlfn.MINIFS('FIRE TEX 5062'!$Q$3:$Q$34,'FIRE TEX 5062'!$Q$3:$Q$34,"&gt;="&amp;M1252),'FIRE TEX 5062'!$Q$3:$U$34,IF(L1252="F-15",2,IF(L1252="F-30",3,IF(L1252="F-60",4,IF(L1252="F-90",5,0)))),0),0)+IF(AND(O1252="FIRE TEX 5090",OR(E1252="IN",E1252="C",E1252="Z",E1252="L"),J1252=3),VLOOKUP(_xlfn.MINIFS('FIRE TEX 5090'!$B$5:$B$43,'FIRE TEX 5090'!$B$5:$B$43,"&gt;="&amp;M1252),'FIRE TEX 5090'!$B$5:$H$43,IF(L1252="F-15",2,IF(L1252="F-30",3,IF(L1252="F-60",4,IF(L1252="F-90",5,IF(L1252="F-120",6,IF(L1252="F-150",7,0)))))),0),0)+IF(AND(O1252="FIRE TEX 5090",OR(E1252="IN",E1252="C",E1252="Z",E1252="L"),J1252=4),VLOOKUP(_xlfn.MINIFS('FIRE TEX 5090'!$J$5:$J$43,'FIRE TEX 5090'!$J$5:$J$43,"&gt;="&amp;M1252),'FIRE TEX 5090'!$J$5:$P$43,IF(L1252="F-15",2,IF(L1252="F-30",3,IF(L1252="F-60",4,IF(L1252="F-90",5,IF(L1252="F-120",6,IF(L1252="F-150",7,0)))))),0),0)+IF(AND(O1252="FIRE TEX 5090",E1252="CJ",J1252=3),VLOOKUP(_xlfn.MINIFS('FIRE TEX 5090'!$R$5:$R$30,'FIRE TEX 5090'!$R$5:$R$30,"&gt;="&amp;M1252),'FIRE TEX 5090'!$R$5:$W$30,IF(L1252="F-15",2,IF(L1252="F-30",3,IF(L1252="F-60",4,IF(L1252="F-90",5,IF(L1252="F-120",6,IF(L1252="F-150",7,0)))))),0),0)+IF(AND(O1252="FIRE TEX 5090",E1252="CJ",J1252=4),VLOOKUP(_xlfn.MINIFS('FIRE TEX 5090'!$Y$5:$Y$39,'FIRE TEX 5090'!$Y$5:$Y$39,"&gt;="&amp;M1252),'FIRE TEX 5090'!$Y$5:$AD$39,IF(L1252="F-15",2,IF(L1252="F-30",3,IF(L1252="F-60",4,IF(L1252="F-90",5,IF(L1252="F-120",6,IF(L1252="F-150",7,0)))))),0),0)+IF(AND(O1252="FIRE TEX 5120",OR(E1252="IN",E1252="C",E1252="Z",E1252="L"),J1252=3),VLOOKUP(_xlfn.MINIFS('FIRE TEX 5120'!$B$5:$B$40,'FIRE TEX 5120'!$B$5:$B$40,"&gt;="&amp;M1252),'FIRE TEX 5120'!$B$5:$G$40,IF(L1252="F-15",2,IF(L1252="F-30",3,IF(L1252="F-60",4,IF(L1252="F-90",5,IF(L1252="F-120",6,0))))),0),0)+IF(AND(O1252="FIRE TEX 5120",OR(E1252="IN",E1252="C",E1252="Z",E1252="L"),J1252=4),VLOOKUP(_xlfn.MINIFS('FIRE TEX 5120'!$H$4:$H$40,'FIRE TEX 5120'!$H$4:$H$40,"&gt;="&amp;M1252),'FIRE TEX 5120'!$H$4:$M$40,IF(L1252="F-15",2,IF(L1252="F-30",3,IF(L1252="F-60",4,IF(L1252="F-90",5,IF(L1252="F-120",6,0))))),0),0)+IF(AND(O1252="FIRE TEX 5120",E1252="CJ"),VLOOKUP(_xlfn.MINIFS('FIRE TEX 5120'!$O$5:$O$40,'FIRE TEX 5120'!$O$5:$O$40,"&gt;="&amp;M1252),'FIRE TEX 5120'!$O$5:$T$40,IF(L1252="F-15",2,IF(L1252="F-30",3,IF(L1252="F-60",4,IF(L1252="F-90",5,IF(L1252="F-120",6,0))))),0),0)</f>
        <v>0</v>
      </c>
      <c r="Q1252" s="46">
        <f t="shared" si="114"/>
        <v>0</v>
      </c>
      <c r="R1252" s="46">
        <f t="shared" si="115"/>
        <v>0</v>
      </c>
      <c r="S1252" s="46" t="e">
        <f t="shared" si="116"/>
        <v>#VALUE!</v>
      </c>
      <c r="T1252" s="677">
        <f t="shared" si="117"/>
        <v>0</v>
      </c>
      <c r="U1252" s="80">
        <f>(IF(O1252="Stofire",(S1252*#REF!),0))+(IF(O1252="Fire Control",(S1252*$U$2),0))+(IF(O1252="Fire Tex",(S1252*$U$3),0))+(IF(O1252="WB7",(S1252*#REF!),0)+(IF(O1252="FX 2003",(S1252*$U$5),0)))</f>
        <v>0</v>
      </c>
      <c r="V1252" s="651">
        <f t="shared" si="118"/>
        <v>0</v>
      </c>
    </row>
    <row r="1253" spans="4:22" x14ac:dyDescent="0.25">
      <c r="D1253" s="118">
        <f>+CUBICACION!D1252</f>
        <v>0</v>
      </c>
      <c r="E1253" s="118">
        <f>+CUBICACION!F1252</f>
        <v>0</v>
      </c>
      <c r="F1253" s="118">
        <f>+CUBICACION!E1252</f>
        <v>0</v>
      </c>
      <c r="G1253" s="118">
        <v>12</v>
      </c>
      <c r="H1253" s="118">
        <v>2</v>
      </c>
      <c r="I1253" s="820">
        <v>26385</v>
      </c>
      <c r="J1253" s="118">
        <f>+CUBICACION!J1252</f>
        <v>0</v>
      </c>
      <c r="K1253" s="118">
        <v>4032</v>
      </c>
      <c r="L1253" s="118">
        <f>+CUBICACION!L1252</f>
        <v>0</v>
      </c>
      <c r="M1253" s="64">
        <f>+CUBICACION!M1252</f>
        <v>0</v>
      </c>
      <c r="N1253" s="824" t="str">
        <f>+CUBICACION!N1252</f>
        <v/>
      </c>
      <c r="O1253" s="675">
        <f>+CUBICACION!O1252</f>
        <v>0</v>
      </c>
      <c r="P1253" s="15">
        <f>IF(O1253="Fire Control",VLOOKUP(_xlfn.MINIFS('FIRE CONTROL'!$C$4:$C$37,'FIRE CONTROL'!$C$4:$C$37,"&gt;="&amp;M1253),'FIRE CONTROL'!$C$4:$G$37,IF(L1253="F-15",2,IF(L1253="F-30",3,IF(L1253="F-60",4,IF(L1253="F-90",5,0)))),0),0)+IF(AND(O1253="FIRE TEX 5062",OR(E1253="IN",E1253="C",E1253="Z",E1253="L"),J1253=3),VLOOKUP(_xlfn.MINIFS('FIRE TEX 5062'!$B$4:$B$34,'FIRE TEX 5062'!$B$4:$B$34,"&gt;="&amp;M1253),'FIRE TEX 5062'!$B$4:$F$34,IF(L1253="F-15",2,IF(L1253="F-30",3,IF(L1253="F-60",4,IF(L1253="F-90",5,0)))),0),0)+IF(AND(O1253="FIRE TEX 5062",OR(E1253="IN",E1253="C",E1253="Z",E1253="L"),J1253=4),VLOOKUP(_xlfn.MINIFS('FIRE TEX 5062'!$G$4:$G$34,'FIRE TEX 5062'!$G$4:$G$34,"&gt;="&amp;M1253),'FIRE TEX 5062'!$G$4:$K$34,IF(L1253="F-15",2,IF(L1253="F-30",3,IF(L1253="F-60",4,IF(L1253="F-90",5,0)))),0),0)+IF(AND(O1253="FIRE TEX 5062",E1253="CJ",J1253=3),VLOOKUP(_xlfn.MINIFS('FIRE TEX 5062'!$L$4:$L$34,'FIRE TEX 5062'!$L$4:$L$34,"&gt;="&amp;M1253),'FIRE TEX 5062'!$L$4:$P$34,IF(L1253="F-15",2,IF(L1253="F-30",3,IF(L1253="F-60",4,IF(L1253="F-90",5,0)))),0),0)+IF(AND(O1253="FIRE TEX 5062",E1253="CJ",J1253=4),VLOOKUP(_xlfn.MINIFS('FIRE TEX 5062'!$Q$3:$Q$34,'FIRE TEX 5062'!$Q$3:$Q$34,"&gt;="&amp;M1253),'FIRE TEX 5062'!$Q$3:$U$34,IF(L1253="F-15",2,IF(L1253="F-30",3,IF(L1253="F-60",4,IF(L1253="F-90",5,0)))),0),0)+IF(AND(O1253="FIRE TEX 5090",OR(E1253="IN",E1253="C",E1253="Z",E1253="L"),J1253=3),VLOOKUP(_xlfn.MINIFS('FIRE TEX 5090'!$B$5:$B$43,'FIRE TEX 5090'!$B$5:$B$43,"&gt;="&amp;M1253),'FIRE TEX 5090'!$B$5:$H$43,IF(L1253="F-15",2,IF(L1253="F-30",3,IF(L1253="F-60",4,IF(L1253="F-90",5,IF(L1253="F-120",6,IF(L1253="F-150",7,0)))))),0),0)+IF(AND(O1253="FIRE TEX 5090",OR(E1253="IN",E1253="C",E1253="Z",E1253="L"),J1253=4),VLOOKUP(_xlfn.MINIFS('FIRE TEX 5090'!$J$5:$J$43,'FIRE TEX 5090'!$J$5:$J$43,"&gt;="&amp;M1253),'FIRE TEX 5090'!$J$5:$P$43,IF(L1253="F-15",2,IF(L1253="F-30",3,IF(L1253="F-60",4,IF(L1253="F-90",5,IF(L1253="F-120",6,IF(L1253="F-150",7,0)))))),0),0)+IF(AND(O1253="FIRE TEX 5090",E1253="CJ",J1253=3),VLOOKUP(_xlfn.MINIFS('FIRE TEX 5090'!$R$5:$R$30,'FIRE TEX 5090'!$R$5:$R$30,"&gt;="&amp;M1253),'FIRE TEX 5090'!$R$5:$W$30,IF(L1253="F-15",2,IF(L1253="F-30",3,IF(L1253="F-60",4,IF(L1253="F-90",5,IF(L1253="F-120",6,IF(L1253="F-150",7,0)))))),0),0)+IF(AND(O1253="FIRE TEX 5090",E1253="CJ",J1253=4),VLOOKUP(_xlfn.MINIFS('FIRE TEX 5090'!$Y$5:$Y$39,'FIRE TEX 5090'!$Y$5:$Y$39,"&gt;="&amp;M1253),'FIRE TEX 5090'!$Y$5:$AD$39,IF(L1253="F-15",2,IF(L1253="F-30",3,IF(L1253="F-60",4,IF(L1253="F-90",5,IF(L1253="F-120",6,IF(L1253="F-150",7,0)))))),0),0)+IF(AND(O1253="FIRE TEX 5120",OR(E1253="IN",E1253="C",E1253="Z",E1253="L"),J1253=3),VLOOKUP(_xlfn.MINIFS('FIRE TEX 5120'!$B$5:$B$40,'FIRE TEX 5120'!$B$5:$B$40,"&gt;="&amp;M1253),'FIRE TEX 5120'!$B$5:$G$40,IF(L1253="F-15",2,IF(L1253="F-30",3,IF(L1253="F-60",4,IF(L1253="F-90",5,IF(L1253="F-120",6,0))))),0),0)+IF(AND(O1253="FIRE TEX 5120",OR(E1253="IN",E1253="C",E1253="Z",E1253="L"),J1253=4),VLOOKUP(_xlfn.MINIFS('FIRE TEX 5120'!$H$4:$H$40,'FIRE TEX 5120'!$H$4:$H$40,"&gt;="&amp;M1253),'FIRE TEX 5120'!$H$4:$M$40,IF(L1253="F-15",2,IF(L1253="F-30",3,IF(L1253="F-60",4,IF(L1253="F-90",5,IF(L1253="F-120",6,0))))),0),0)+IF(AND(O1253="FIRE TEX 5120",E1253="CJ"),VLOOKUP(_xlfn.MINIFS('FIRE TEX 5120'!$O$5:$O$40,'FIRE TEX 5120'!$O$5:$O$40,"&gt;="&amp;M1253),'FIRE TEX 5120'!$O$5:$T$40,IF(L1253="F-15",2,IF(L1253="F-30",3,IF(L1253="F-60",4,IF(L1253="F-90",5,IF(L1253="F-120",6,0))))),0),0)</f>
        <v>0</v>
      </c>
      <c r="Q1253" s="46">
        <f t="shared" si="114"/>
        <v>0</v>
      </c>
      <c r="R1253" s="46">
        <f t="shared" si="115"/>
        <v>0</v>
      </c>
      <c r="S1253" s="46" t="e">
        <f t="shared" si="116"/>
        <v>#VALUE!</v>
      </c>
      <c r="T1253" s="677">
        <f t="shared" si="117"/>
        <v>0</v>
      </c>
      <c r="U1253" s="80">
        <f>(IF(O1253="Stofire",(S1253*#REF!),0))+(IF(O1253="Fire Control",(S1253*$U$2),0))+(IF(O1253="Fire Tex",(S1253*$U$3),0))+(IF(O1253="WB7",(S1253*#REF!),0)+(IF(O1253="FX 2003",(S1253*$U$5),0)))</f>
        <v>0</v>
      </c>
      <c r="V1253" s="651">
        <f t="shared" si="118"/>
        <v>0</v>
      </c>
    </row>
    <row r="1254" spans="4:22" x14ac:dyDescent="0.25">
      <c r="D1254" s="118">
        <f>+CUBICACION!D1253</f>
        <v>0</v>
      </c>
      <c r="E1254" s="118">
        <f>+CUBICACION!F1253</f>
        <v>0</v>
      </c>
      <c r="F1254" s="118">
        <f>+CUBICACION!E1253</f>
        <v>0</v>
      </c>
      <c r="G1254" s="118">
        <v>12</v>
      </c>
      <c r="H1254" s="118">
        <v>2</v>
      </c>
      <c r="I1254" s="820">
        <v>26385</v>
      </c>
      <c r="J1254" s="118">
        <f>+CUBICACION!J1253</f>
        <v>0</v>
      </c>
      <c r="K1254" s="118">
        <v>4033</v>
      </c>
      <c r="L1254" s="118">
        <f>+CUBICACION!L1253</f>
        <v>0</v>
      </c>
      <c r="M1254" s="64">
        <f>+CUBICACION!M1253</f>
        <v>0</v>
      </c>
      <c r="N1254" s="824" t="str">
        <f>+CUBICACION!N1253</f>
        <v/>
      </c>
      <c r="O1254" s="675">
        <f>+CUBICACION!O1253</f>
        <v>0</v>
      </c>
      <c r="P1254" s="15">
        <f>IF(O1254="Fire Control",VLOOKUP(_xlfn.MINIFS('FIRE CONTROL'!$C$4:$C$37,'FIRE CONTROL'!$C$4:$C$37,"&gt;="&amp;M1254),'FIRE CONTROL'!$C$4:$G$37,IF(L1254="F-15",2,IF(L1254="F-30",3,IF(L1254="F-60",4,IF(L1254="F-90",5,0)))),0),0)+IF(AND(O1254="FIRE TEX 5062",OR(E1254="IN",E1254="C",E1254="Z",E1254="L"),J1254=3),VLOOKUP(_xlfn.MINIFS('FIRE TEX 5062'!$B$4:$B$34,'FIRE TEX 5062'!$B$4:$B$34,"&gt;="&amp;M1254),'FIRE TEX 5062'!$B$4:$F$34,IF(L1254="F-15",2,IF(L1254="F-30",3,IF(L1254="F-60",4,IF(L1254="F-90",5,0)))),0),0)+IF(AND(O1254="FIRE TEX 5062",OR(E1254="IN",E1254="C",E1254="Z",E1254="L"),J1254=4),VLOOKUP(_xlfn.MINIFS('FIRE TEX 5062'!$G$4:$G$34,'FIRE TEX 5062'!$G$4:$G$34,"&gt;="&amp;M1254),'FIRE TEX 5062'!$G$4:$K$34,IF(L1254="F-15",2,IF(L1254="F-30",3,IF(L1254="F-60",4,IF(L1254="F-90",5,0)))),0),0)+IF(AND(O1254="FIRE TEX 5062",E1254="CJ",J1254=3),VLOOKUP(_xlfn.MINIFS('FIRE TEX 5062'!$L$4:$L$34,'FIRE TEX 5062'!$L$4:$L$34,"&gt;="&amp;M1254),'FIRE TEX 5062'!$L$4:$P$34,IF(L1254="F-15",2,IF(L1254="F-30",3,IF(L1254="F-60",4,IF(L1254="F-90",5,0)))),0),0)+IF(AND(O1254="FIRE TEX 5062",E1254="CJ",J1254=4),VLOOKUP(_xlfn.MINIFS('FIRE TEX 5062'!$Q$3:$Q$34,'FIRE TEX 5062'!$Q$3:$Q$34,"&gt;="&amp;M1254),'FIRE TEX 5062'!$Q$3:$U$34,IF(L1254="F-15",2,IF(L1254="F-30",3,IF(L1254="F-60",4,IF(L1254="F-90",5,0)))),0),0)+IF(AND(O1254="FIRE TEX 5090",OR(E1254="IN",E1254="C",E1254="Z",E1254="L"),J1254=3),VLOOKUP(_xlfn.MINIFS('FIRE TEX 5090'!$B$5:$B$43,'FIRE TEX 5090'!$B$5:$B$43,"&gt;="&amp;M1254),'FIRE TEX 5090'!$B$5:$H$43,IF(L1254="F-15",2,IF(L1254="F-30",3,IF(L1254="F-60",4,IF(L1254="F-90",5,IF(L1254="F-120",6,IF(L1254="F-150",7,0)))))),0),0)+IF(AND(O1254="FIRE TEX 5090",OR(E1254="IN",E1254="C",E1254="Z",E1254="L"),J1254=4),VLOOKUP(_xlfn.MINIFS('FIRE TEX 5090'!$J$5:$J$43,'FIRE TEX 5090'!$J$5:$J$43,"&gt;="&amp;M1254),'FIRE TEX 5090'!$J$5:$P$43,IF(L1254="F-15",2,IF(L1254="F-30",3,IF(L1254="F-60",4,IF(L1254="F-90",5,IF(L1254="F-120",6,IF(L1254="F-150",7,0)))))),0),0)+IF(AND(O1254="FIRE TEX 5090",E1254="CJ",J1254=3),VLOOKUP(_xlfn.MINIFS('FIRE TEX 5090'!$R$5:$R$30,'FIRE TEX 5090'!$R$5:$R$30,"&gt;="&amp;M1254),'FIRE TEX 5090'!$R$5:$W$30,IF(L1254="F-15",2,IF(L1254="F-30",3,IF(L1254="F-60",4,IF(L1254="F-90",5,IF(L1254="F-120",6,IF(L1254="F-150",7,0)))))),0),0)+IF(AND(O1254="FIRE TEX 5090",E1254="CJ",J1254=4),VLOOKUP(_xlfn.MINIFS('FIRE TEX 5090'!$Y$5:$Y$39,'FIRE TEX 5090'!$Y$5:$Y$39,"&gt;="&amp;M1254),'FIRE TEX 5090'!$Y$5:$AD$39,IF(L1254="F-15",2,IF(L1254="F-30",3,IF(L1254="F-60",4,IF(L1254="F-90",5,IF(L1254="F-120",6,IF(L1254="F-150",7,0)))))),0),0)+IF(AND(O1254="FIRE TEX 5120",OR(E1254="IN",E1254="C",E1254="Z",E1254="L"),J1254=3),VLOOKUP(_xlfn.MINIFS('FIRE TEX 5120'!$B$5:$B$40,'FIRE TEX 5120'!$B$5:$B$40,"&gt;="&amp;M1254),'FIRE TEX 5120'!$B$5:$G$40,IF(L1254="F-15",2,IF(L1254="F-30",3,IF(L1254="F-60",4,IF(L1254="F-90",5,IF(L1254="F-120",6,0))))),0),0)+IF(AND(O1254="FIRE TEX 5120",OR(E1254="IN",E1254="C",E1254="Z",E1254="L"),J1254=4),VLOOKUP(_xlfn.MINIFS('FIRE TEX 5120'!$H$4:$H$40,'FIRE TEX 5120'!$H$4:$H$40,"&gt;="&amp;M1254),'FIRE TEX 5120'!$H$4:$M$40,IF(L1254="F-15",2,IF(L1254="F-30",3,IF(L1254="F-60",4,IF(L1254="F-90",5,IF(L1254="F-120",6,0))))),0),0)+IF(AND(O1254="FIRE TEX 5120",E1254="CJ"),VLOOKUP(_xlfn.MINIFS('FIRE TEX 5120'!$O$5:$O$40,'FIRE TEX 5120'!$O$5:$O$40,"&gt;="&amp;M1254),'FIRE TEX 5120'!$O$5:$T$40,IF(L1254="F-15",2,IF(L1254="F-30",3,IF(L1254="F-60",4,IF(L1254="F-90",5,IF(L1254="F-120",6,0))))),0),0)</f>
        <v>0</v>
      </c>
      <c r="Q1254" s="46">
        <f t="shared" si="114"/>
        <v>0</v>
      </c>
      <c r="R1254" s="46">
        <f t="shared" si="115"/>
        <v>0</v>
      </c>
      <c r="S1254" s="46" t="e">
        <f t="shared" si="116"/>
        <v>#VALUE!</v>
      </c>
      <c r="T1254" s="677">
        <f t="shared" si="117"/>
        <v>0</v>
      </c>
      <c r="U1254" s="80">
        <f>(IF(O1254="Stofire",(S1254*#REF!),0))+(IF(O1254="Fire Control",(S1254*$U$2),0))+(IF(O1254="Fire Tex",(S1254*$U$3),0))+(IF(O1254="WB7",(S1254*#REF!),0)+(IF(O1254="FX 2003",(S1254*$U$5),0)))</f>
        <v>0</v>
      </c>
      <c r="V1254" s="651">
        <f t="shared" si="118"/>
        <v>0</v>
      </c>
    </row>
    <row r="1255" spans="4:22" x14ac:dyDescent="0.25">
      <c r="D1255" s="118">
        <f>+CUBICACION!D1254</f>
        <v>0</v>
      </c>
      <c r="E1255" s="118">
        <f>+CUBICACION!F1254</f>
        <v>0</v>
      </c>
      <c r="F1255" s="118">
        <f>+CUBICACION!E1254</f>
        <v>0</v>
      </c>
      <c r="G1255" s="118">
        <v>12</v>
      </c>
      <c r="H1255" s="118">
        <v>2</v>
      </c>
      <c r="I1255" s="820">
        <v>26385</v>
      </c>
      <c r="J1255" s="118">
        <f>+CUBICACION!J1254</f>
        <v>0</v>
      </c>
      <c r="K1255" s="118">
        <v>4034</v>
      </c>
      <c r="L1255" s="118">
        <f>+CUBICACION!L1254</f>
        <v>0</v>
      </c>
      <c r="M1255" s="64">
        <f>+CUBICACION!M1254</f>
        <v>0</v>
      </c>
      <c r="N1255" s="824" t="str">
        <f>+CUBICACION!N1254</f>
        <v/>
      </c>
      <c r="O1255" s="675">
        <f>+CUBICACION!O1254</f>
        <v>0</v>
      </c>
      <c r="P1255" s="15">
        <f>IF(O1255="Fire Control",VLOOKUP(_xlfn.MINIFS('FIRE CONTROL'!$C$4:$C$37,'FIRE CONTROL'!$C$4:$C$37,"&gt;="&amp;M1255),'FIRE CONTROL'!$C$4:$G$37,IF(L1255="F-15",2,IF(L1255="F-30",3,IF(L1255="F-60",4,IF(L1255="F-90",5,0)))),0),0)+IF(AND(O1255="FIRE TEX 5062",OR(E1255="IN",E1255="C",E1255="Z",E1255="L"),J1255=3),VLOOKUP(_xlfn.MINIFS('FIRE TEX 5062'!$B$4:$B$34,'FIRE TEX 5062'!$B$4:$B$34,"&gt;="&amp;M1255),'FIRE TEX 5062'!$B$4:$F$34,IF(L1255="F-15",2,IF(L1255="F-30",3,IF(L1255="F-60",4,IF(L1255="F-90",5,0)))),0),0)+IF(AND(O1255="FIRE TEX 5062",OR(E1255="IN",E1255="C",E1255="Z",E1255="L"),J1255=4),VLOOKUP(_xlfn.MINIFS('FIRE TEX 5062'!$G$4:$G$34,'FIRE TEX 5062'!$G$4:$G$34,"&gt;="&amp;M1255),'FIRE TEX 5062'!$G$4:$K$34,IF(L1255="F-15",2,IF(L1255="F-30",3,IF(L1255="F-60",4,IF(L1255="F-90",5,0)))),0),0)+IF(AND(O1255="FIRE TEX 5062",E1255="CJ",J1255=3),VLOOKUP(_xlfn.MINIFS('FIRE TEX 5062'!$L$4:$L$34,'FIRE TEX 5062'!$L$4:$L$34,"&gt;="&amp;M1255),'FIRE TEX 5062'!$L$4:$P$34,IF(L1255="F-15",2,IF(L1255="F-30",3,IF(L1255="F-60",4,IF(L1255="F-90",5,0)))),0),0)+IF(AND(O1255="FIRE TEX 5062",E1255="CJ",J1255=4),VLOOKUP(_xlfn.MINIFS('FIRE TEX 5062'!$Q$3:$Q$34,'FIRE TEX 5062'!$Q$3:$Q$34,"&gt;="&amp;M1255),'FIRE TEX 5062'!$Q$3:$U$34,IF(L1255="F-15",2,IF(L1255="F-30",3,IF(L1255="F-60",4,IF(L1255="F-90",5,0)))),0),0)+IF(AND(O1255="FIRE TEX 5090",OR(E1255="IN",E1255="C",E1255="Z",E1255="L"),J1255=3),VLOOKUP(_xlfn.MINIFS('FIRE TEX 5090'!$B$5:$B$43,'FIRE TEX 5090'!$B$5:$B$43,"&gt;="&amp;M1255),'FIRE TEX 5090'!$B$5:$H$43,IF(L1255="F-15",2,IF(L1255="F-30",3,IF(L1255="F-60",4,IF(L1255="F-90",5,IF(L1255="F-120",6,IF(L1255="F-150",7,0)))))),0),0)+IF(AND(O1255="FIRE TEX 5090",OR(E1255="IN",E1255="C",E1255="Z",E1255="L"),J1255=4),VLOOKUP(_xlfn.MINIFS('FIRE TEX 5090'!$J$5:$J$43,'FIRE TEX 5090'!$J$5:$J$43,"&gt;="&amp;M1255),'FIRE TEX 5090'!$J$5:$P$43,IF(L1255="F-15",2,IF(L1255="F-30",3,IF(L1255="F-60",4,IF(L1255="F-90",5,IF(L1255="F-120",6,IF(L1255="F-150",7,0)))))),0),0)+IF(AND(O1255="FIRE TEX 5090",E1255="CJ",J1255=3),VLOOKUP(_xlfn.MINIFS('FIRE TEX 5090'!$R$5:$R$30,'FIRE TEX 5090'!$R$5:$R$30,"&gt;="&amp;M1255),'FIRE TEX 5090'!$R$5:$W$30,IF(L1255="F-15",2,IF(L1255="F-30",3,IF(L1255="F-60",4,IF(L1255="F-90",5,IF(L1255="F-120",6,IF(L1255="F-150",7,0)))))),0),0)+IF(AND(O1255="FIRE TEX 5090",E1255="CJ",J1255=4),VLOOKUP(_xlfn.MINIFS('FIRE TEX 5090'!$Y$5:$Y$39,'FIRE TEX 5090'!$Y$5:$Y$39,"&gt;="&amp;M1255),'FIRE TEX 5090'!$Y$5:$AD$39,IF(L1255="F-15",2,IF(L1255="F-30",3,IF(L1255="F-60",4,IF(L1255="F-90",5,IF(L1255="F-120",6,IF(L1255="F-150",7,0)))))),0),0)+IF(AND(O1255="FIRE TEX 5120",OR(E1255="IN",E1255="C",E1255="Z",E1255="L"),J1255=3),VLOOKUP(_xlfn.MINIFS('FIRE TEX 5120'!$B$5:$B$40,'FIRE TEX 5120'!$B$5:$B$40,"&gt;="&amp;M1255),'FIRE TEX 5120'!$B$5:$G$40,IF(L1255="F-15",2,IF(L1255="F-30",3,IF(L1255="F-60",4,IF(L1255="F-90",5,IF(L1255="F-120",6,0))))),0),0)+IF(AND(O1255="FIRE TEX 5120",OR(E1255="IN",E1255="C",E1255="Z",E1255="L"),J1255=4),VLOOKUP(_xlfn.MINIFS('FIRE TEX 5120'!$H$4:$H$40,'FIRE TEX 5120'!$H$4:$H$40,"&gt;="&amp;M1255),'FIRE TEX 5120'!$H$4:$M$40,IF(L1255="F-15",2,IF(L1255="F-30",3,IF(L1255="F-60",4,IF(L1255="F-90",5,IF(L1255="F-120",6,0))))),0),0)+IF(AND(O1255="FIRE TEX 5120",E1255="CJ"),VLOOKUP(_xlfn.MINIFS('FIRE TEX 5120'!$O$5:$O$40,'FIRE TEX 5120'!$O$5:$O$40,"&gt;="&amp;M1255),'FIRE TEX 5120'!$O$5:$T$40,IF(L1255="F-15",2,IF(L1255="F-30",3,IF(L1255="F-60",4,IF(L1255="F-90",5,IF(L1255="F-120",6,0))))),0),0)</f>
        <v>0</v>
      </c>
      <c r="Q1255" s="46">
        <f t="shared" si="114"/>
        <v>0</v>
      </c>
      <c r="R1255" s="46">
        <f t="shared" si="115"/>
        <v>0</v>
      </c>
      <c r="S1255" s="46" t="e">
        <f t="shared" si="116"/>
        <v>#VALUE!</v>
      </c>
      <c r="T1255" s="677">
        <f t="shared" si="117"/>
        <v>0</v>
      </c>
      <c r="U1255" s="80">
        <f>(IF(O1255="Stofire",(S1255*#REF!),0))+(IF(O1255="Fire Control",(S1255*$U$2),0))+(IF(O1255="Fire Tex",(S1255*$U$3),0))+(IF(O1255="WB7",(S1255*#REF!),0)+(IF(O1255="FX 2003",(S1255*$U$5),0)))</f>
        <v>0</v>
      </c>
      <c r="V1255" s="651">
        <f t="shared" si="118"/>
        <v>0</v>
      </c>
    </row>
    <row r="1256" spans="4:22" x14ac:dyDescent="0.25">
      <c r="D1256" s="118">
        <f>+CUBICACION!D1255</f>
        <v>0</v>
      </c>
      <c r="E1256" s="118">
        <f>+CUBICACION!F1255</f>
        <v>0</v>
      </c>
      <c r="F1256" s="118">
        <f>+CUBICACION!E1255</f>
        <v>0</v>
      </c>
      <c r="G1256" s="118">
        <v>12</v>
      </c>
      <c r="H1256" s="118">
        <v>2</v>
      </c>
      <c r="I1256" s="820">
        <v>26385</v>
      </c>
      <c r="J1256" s="118">
        <f>+CUBICACION!J1255</f>
        <v>0</v>
      </c>
      <c r="K1256" s="118">
        <v>4035</v>
      </c>
      <c r="L1256" s="118">
        <f>+CUBICACION!L1255</f>
        <v>0</v>
      </c>
      <c r="M1256" s="64">
        <f>+CUBICACION!M1255</f>
        <v>0</v>
      </c>
      <c r="N1256" s="824" t="str">
        <f>+CUBICACION!N1255</f>
        <v/>
      </c>
      <c r="O1256" s="675">
        <f>+CUBICACION!O1255</f>
        <v>0</v>
      </c>
      <c r="P1256" s="15">
        <f>IF(O1256="Fire Control",VLOOKUP(_xlfn.MINIFS('FIRE CONTROL'!$C$4:$C$37,'FIRE CONTROL'!$C$4:$C$37,"&gt;="&amp;M1256),'FIRE CONTROL'!$C$4:$G$37,IF(L1256="F-15",2,IF(L1256="F-30",3,IF(L1256="F-60",4,IF(L1256="F-90",5,0)))),0),0)+IF(AND(O1256="FIRE TEX 5062",OR(E1256="IN",E1256="C",E1256="Z",E1256="L"),J1256=3),VLOOKUP(_xlfn.MINIFS('FIRE TEX 5062'!$B$4:$B$34,'FIRE TEX 5062'!$B$4:$B$34,"&gt;="&amp;M1256),'FIRE TEX 5062'!$B$4:$F$34,IF(L1256="F-15",2,IF(L1256="F-30",3,IF(L1256="F-60",4,IF(L1256="F-90",5,0)))),0),0)+IF(AND(O1256="FIRE TEX 5062",OR(E1256="IN",E1256="C",E1256="Z",E1256="L"),J1256=4),VLOOKUP(_xlfn.MINIFS('FIRE TEX 5062'!$G$4:$G$34,'FIRE TEX 5062'!$G$4:$G$34,"&gt;="&amp;M1256),'FIRE TEX 5062'!$G$4:$K$34,IF(L1256="F-15",2,IF(L1256="F-30",3,IF(L1256="F-60",4,IF(L1256="F-90",5,0)))),0),0)+IF(AND(O1256="FIRE TEX 5062",E1256="CJ",J1256=3),VLOOKUP(_xlfn.MINIFS('FIRE TEX 5062'!$L$4:$L$34,'FIRE TEX 5062'!$L$4:$L$34,"&gt;="&amp;M1256),'FIRE TEX 5062'!$L$4:$P$34,IF(L1256="F-15",2,IF(L1256="F-30",3,IF(L1256="F-60",4,IF(L1256="F-90",5,0)))),0),0)+IF(AND(O1256="FIRE TEX 5062",E1256="CJ",J1256=4),VLOOKUP(_xlfn.MINIFS('FIRE TEX 5062'!$Q$3:$Q$34,'FIRE TEX 5062'!$Q$3:$Q$34,"&gt;="&amp;M1256),'FIRE TEX 5062'!$Q$3:$U$34,IF(L1256="F-15",2,IF(L1256="F-30",3,IF(L1256="F-60",4,IF(L1256="F-90",5,0)))),0),0)+IF(AND(O1256="FIRE TEX 5090",OR(E1256="IN",E1256="C",E1256="Z",E1256="L"),J1256=3),VLOOKUP(_xlfn.MINIFS('FIRE TEX 5090'!$B$5:$B$43,'FIRE TEX 5090'!$B$5:$B$43,"&gt;="&amp;M1256),'FIRE TEX 5090'!$B$5:$H$43,IF(L1256="F-15",2,IF(L1256="F-30",3,IF(L1256="F-60",4,IF(L1256="F-90",5,IF(L1256="F-120",6,IF(L1256="F-150",7,0)))))),0),0)+IF(AND(O1256="FIRE TEX 5090",OR(E1256="IN",E1256="C",E1256="Z",E1256="L"),J1256=4),VLOOKUP(_xlfn.MINIFS('FIRE TEX 5090'!$J$5:$J$43,'FIRE TEX 5090'!$J$5:$J$43,"&gt;="&amp;M1256),'FIRE TEX 5090'!$J$5:$P$43,IF(L1256="F-15",2,IF(L1256="F-30",3,IF(L1256="F-60",4,IF(L1256="F-90",5,IF(L1256="F-120",6,IF(L1256="F-150",7,0)))))),0),0)+IF(AND(O1256="FIRE TEX 5090",E1256="CJ",J1256=3),VLOOKUP(_xlfn.MINIFS('FIRE TEX 5090'!$R$5:$R$30,'FIRE TEX 5090'!$R$5:$R$30,"&gt;="&amp;M1256),'FIRE TEX 5090'!$R$5:$W$30,IF(L1256="F-15",2,IF(L1256="F-30",3,IF(L1256="F-60",4,IF(L1256="F-90",5,IF(L1256="F-120",6,IF(L1256="F-150",7,0)))))),0),0)+IF(AND(O1256="FIRE TEX 5090",E1256="CJ",J1256=4),VLOOKUP(_xlfn.MINIFS('FIRE TEX 5090'!$Y$5:$Y$39,'FIRE TEX 5090'!$Y$5:$Y$39,"&gt;="&amp;M1256),'FIRE TEX 5090'!$Y$5:$AD$39,IF(L1256="F-15",2,IF(L1256="F-30",3,IF(L1256="F-60",4,IF(L1256="F-90",5,IF(L1256="F-120",6,IF(L1256="F-150",7,0)))))),0),0)+IF(AND(O1256="FIRE TEX 5120",OR(E1256="IN",E1256="C",E1256="Z",E1256="L"),J1256=3),VLOOKUP(_xlfn.MINIFS('FIRE TEX 5120'!$B$5:$B$40,'FIRE TEX 5120'!$B$5:$B$40,"&gt;="&amp;M1256),'FIRE TEX 5120'!$B$5:$G$40,IF(L1256="F-15",2,IF(L1256="F-30",3,IF(L1256="F-60",4,IF(L1256="F-90",5,IF(L1256="F-120",6,0))))),0),0)+IF(AND(O1256="FIRE TEX 5120",OR(E1256="IN",E1256="C",E1256="Z",E1256="L"),J1256=4),VLOOKUP(_xlfn.MINIFS('FIRE TEX 5120'!$H$4:$H$40,'FIRE TEX 5120'!$H$4:$H$40,"&gt;="&amp;M1256),'FIRE TEX 5120'!$H$4:$M$40,IF(L1256="F-15",2,IF(L1256="F-30",3,IF(L1256="F-60",4,IF(L1256="F-90",5,IF(L1256="F-120",6,0))))),0),0)+IF(AND(O1256="FIRE TEX 5120",E1256="CJ"),VLOOKUP(_xlfn.MINIFS('FIRE TEX 5120'!$O$5:$O$40,'FIRE TEX 5120'!$O$5:$O$40,"&gt;="&amp;M1256),'FIRE TEX 5120'!$O$5:$T$40,IF(L1256="F-15",2,IF(L1256="F-30",3,IF(L1256="F-60",4,IF(L1256="F-90",5,IF(L1256="F-120",6,0))))),0),0)</f>
        <v>0</v>
      </c>
      <c r="Q1256" s="46">
        <f t="shared" si="114"/>
        <v>0</v>
      </c>
      <c r="R1256" s="46">
        <f t="shared" si="115"/>
        <v>0</v>
      </c>
      <c r="S1256" s="46" t="e">
        <f t="shared" si="116"/>
        <v>#VALUE!</v>
      </c>
      <c r="T1256" s="677">
        <f t="shared" si="117"/>
        <v>0</v>
      </c>
      <c r="U1256" s="80">
        <f>(IF(O1256="Stofire",(S1256*#REF!),0))+(IF(O1256="Fire Control",(S1256*$U$2),0))+(IF(O1256="Fire Tex",(S1256*$U$3),0))+(IF(O1256="WB7",(S1256*#REF!),0)+(IF(O1256="FX 2003",(S1256*$U$5),0)))</f>
        <v>0</v>
      </c>
      <c r="V1256" s="651">
        <f t="shared" si="118"/>
        <v>0</v>
      </c>
    </row>
    <row r="1257" spans="4:22" x14ac:dyDescent="0.25">
      <c r="D1257" s="118">
        <f>+CUBICACION!D1256</f>
        <v>0</v>
      </c>
      <c r="E1257" s="118">
        <f>+CUBICACION!F1256</f>
        <v>0</v>
      </c>
      <c r="F1257" s="118">
        <f>+CUBICACION!E1256</f>
        <v>0</v>
      </c>
      <c r="G1257" s="118">
        <v>12</v>
      </c>
      <c r="H1257" s="118">
        <v>2</v>
      </c>
      <c r="I1257" s="820">
        <v>26385</v>
      </c>
      <c r="J1257" s="118">
        <f>+CUBICACION!J1256</f>
        <v>0</v>
      </c>
      <c r="K1257" s="118">
        <v>4036</v>
      </c>
      <c r="L1257" s="118">
        <f>+CUBICACION!L1256</f>
        <v>0</v>
      </c>
      <c r="M1257" s="64">
        <f>+CUBICACION!M1256</f>
        <v>0</v>
      </c>
      <c r="N1257" s="824" t="str">
        <f>+CUBICACION!N1256</f>
        <v/>
      </c>
      <c r="O1257" s="675">
        <f>+CUBICACION!O1256</f>
        <v>0</v>
      </c>
      <c r="P1257" s="15">
        <f>IF(O1257="Fire Control",VLOOKUP(_xlfn.MINIFS('FIRE CONTROL'!$C$4:$C$37,'FIRE CONTROL'!$C$4:$C$37,"&gt;="&amp;M1257),'FIRE CONTROL'!$C$4:$G$37,IF(L1257="F-15",2,IF(L1257="F-30",3,IF(L1257="F-60",4,IF(L1257="F-90",5,0)))),0),0)+IF(AND(O1257="FIRE TEX 5062",OR(E1257="IN",E1257="C",E1257="Z",E1257="L"),J1257=3),VLOOKUP(_xlfn.MINIFS('FIRE TEX 5062'!$B$4:$B$34,'FIRE TEX 5062'!$B$4:$B$34,"&gt;="&amp;M1257),'FIRE TEX 5062'!$B$4:$F$34,IF(L1257="F-15",2,IF(L1257="F-30",3,IF(L1257="F-60",4,IF(L1257="F-90",5,0)))),0),0)+IF(AND(O1257="FIRE TEX 5062",OR(E1257="IN",E1257="C",E1257="Z",E1257="L"),J1257=4),VLOOKUP(_xlfn.MINIFS('FIRE TEX 5062'!$G$4:$G$34,'FIRE TEX 5062'!$G$4:$G$34,"&gt;="&amp;M1257),'FIRE TEX 5062'!$G$4:$K$34,IF(L1257="F-15",2,IF(L1257="F-30",3,IF(L1257="F-60",4,IF(L1257="F-90",5,0)))),0),0)+IF(AND(O1257="FIRE TEX 5062",E1257="CJ",J1257=3),VLOOKUP(_xlfn.MINIFS('FIRE TEX 5062'!$L$4:$L$34,'FIRE TEX 5062'!$L$4:$L$34,"&gt;="&amp;M1257),'FIRE TEX 5062'!$L$4:$P$34,IF(L1257="F-15",2,IF(L1257="F-30",3,IF(L1257="F-60",4,IF(L1257="F-90",5,0)))),0),0)+IF(AND(O1257="FIRE TEX 5062",E1257="CJ",J1257=4),VLOOKUP(_xlfn.MINIFS('FIRE TEX 5062'!$Q$3:$Q$34,'FIRE TEX 5062'!$Q$3:$Q$34,"&gt;="&amp;M1257),'FIRE TEX 5062'!$Q$3:$U$34,IF(L1257="F-15",2,IF(L1257="F-30",3,IF(L1257="F-60",4,IF(L1257="F-90",5,0)))),0),0)+IF(AND(O1257="FIRE TEX 5090",OR(E1257="IN",E1257="C",E1257="Z",E1257="L"),J1257=3),VLOOKUP(_xlfn.MINIFS('FIRE TEX 5090'!$B$5:$B$43,'FIRE TEX 5090'!$B$5:$B$43,"&gt;="&amp;M1257),'FIRE TEX 5090'!$B$5:$H$43,IF(L1257="F-15",2,IF(L1257="F-30",3,IF(L1257="F-60",4,IF(L1257="F-90",5,IF(L1257="F-120",6,IF(L1257="F-150",7,0)))))),0),0)+IF(AND(O1257="FIRE TEX 5090",OR(E1257="IN",E1257="C",E1257="Z",E1257="L"),J1257=4),VLOOKUP(_xlfn.MINIFS('FIRE TEX 5090'!$J$5:$J$43,'FIRE TEX 5090'!$J$5:$J$43,"&gt;="&amp;M1257),'FIRE TEX 5090'!$J$5:$P$43,IF(L1257="F-15",2,IF(L1257="F-30",3,IF(L1257="F-60",4,IF(L1257="F-90",5,IF(L1257="F-120",6,IF(L1257="F-150",7,0)))))),0),0)+IF(AND(O1257="FIRE TEX 5090",E1257="CJ",J1257=3),VLOOKUP(_xlfn.MINIFS('FIRE TEX 5090'!$R$5:$R$30,'FIRE TEX 5090'!$R$5:$R$30,"&gt;="&amp;M1257),'FIRE TEX 5090'!$R$5:$W$30,IF(L1257="F-15",2,IF(L1257="F-30",3,IF(L1257="F-60",4,IF(L1257="F-90",5,IF(L1257="F-120",6,IF(L1257="F-150",7,0)))))),0),0)+IF(AND(O1257="FIRE TEX 5090",E1257="CJ",J1257=4),VLOOKUP(_xlfn.MINIFS('FIRE TEX 5090'!$Y$5:$Y$39,'FIRE TEX 5090'!$Y$5:$Y$39,"&gt;="&amp;M1257),'FIRE TEX 5090'!$Y$5:$AD$39,IF(L1257="F-15",2,IF(L1257="F-30",3,IF(L1257="F-60",4,IF(L1257="F-90",5,IF(L1257="F-120",6,IF(L1257="F-150",7,0)))))),0),0)+IF(AND(O1257="FIRE TEX 5120",OR(E1257="IN",E1257="C",E1257="Z",E1257="L"),J1257=3),VLOOKUP(_xlfn.MINIFS('FIRE TEX 5120'!$B$5:$B$40,'FIRE TEX 5120'!$B$5:$B$40,"&gt;="&amp;M1257),'FIRE TEX 5120'!$B$5:$G$40,IF(L1257="F-15",2,IF(L1257="F-30",3,IF(L1257="F-60",4,IF(L1257="F-90",5,IF(L1257="F-120",6,0))))),0),0)+IF(AND(O1257="FIRE TEX 5120",OR(E1257="IN",E1257="C",E1257="Z",E1257="L"),J1257=4),VLOOKUP(_xlfn.MINIFS('FIRE TEX 5120'!$H$4:$H$40,'FIRE TEX 5120'!$H$4:$H$40,"&gt;="&amp;M1257),'FIRE TEX 5120'!$H$4:$M$40,IF(L1257="F-15",2,IF(L1257="F-30",3,IF(L1257="F-60",4,IF(L1257="F-90",5,IF(L1257="F-120",6,0))))),0),0)+IF(AND(O1257="FIRE TEX 5120",E1257="CJ"),VLOOKUP(_xlfn.MINIFS('FIRE TEX 5120'!$O$5:$O$40,'FIRE TEX 5120'!$O$5:$O$40,"&gt;="&amp;M1257),'FIRE TEX 5120'!$O$5:$T$40,IF(L1257="F-15",2,IF(L1257="F-30",3,IF(L1257="F-60",4,IF(L1257="F-90",5,IF(L1257="F-120",6,0))))),0),0)</f>
        <v>0</v>
      </c>
      <c r="Q1257" s="46">
        <f t="shared" si="114"/>
        <v>0</v>
      </c>
      <c r="R1257" s="46">
        <f t="shared" si="115"/>
        <v>0</v>
      </c>
      <c r="S1257" s="46" t="e">
        <f t="shared" si="116"/>
        <v>#VALUE!</v>
      </c>
      <c r="T1257" s="677">
        <f t="shared" si="117"/>
        <v>0</v>
      </c>
      <c r="U1257" s="80">
        <f>(IF(O1257="Stofire",(S1257*#REF!),0))+(IF(O1257="Fire Control",(S1257*$U$2),0))+(IF(O1257="Fire Tex",(S1257*$U$3),0))+(IF(O1257="WB7",(S1257*#REF!),0)+(IF(O1257="FX 2003",(S1257*$U$5),0)))</f>
        <v>0</v>
      </c>
      <c r="V1257" s="651">
        <f t="shared" si="118"/>
        <v>0</v>
      </c>
    </row>
    <row r="1258" spans="4:22" x14ac:dyDescent="0.25">
      <c r="D1258" s="118">
        <f>+CUBICACION!D1257</f>
        <v>0</v>
      </c>
      <c r="E1258" s="118">
        <f>+CUBICACION!F1257</f>
        <v>0</v>
      </c>
      <c r="F1258" s="118">
        <f>+CUBICACION!E1257</f>
        <v>0</v>
      </c>
      <c r="G1258" s="118">
        <v>12</v>
      </c>
      <c r="H1258" s="118">
        <v>2</v>
      </c>
      <c r="I1258" s="820">
        <v>26385</v>
      </c>
      <c r="J1258" s="118">
        <f>+CUBICACION!J1257</f>
        <v>0</v>
      </c>
      <c r="K1258" s="118">
        <v>4037</v>
      </c>
      <c r="L1258" s="118">
        <f>+CUBICACION!L1257</f>
        <v>0</v>
      </c>
      <c r="M1258" s="64">
        <f>+CUBICACION!M1257</f>
        <v>0</v>
      </c>
      <c r="N1258" s="824" t="str">
        <f>+CUBICACION!N1257</f>
        <v/>
      </c>
      <c r="O1258" s="675">
        <f>+CUBICACION!O1257</f>
        <v>0</v>
      </c>
      <c r="P1258" s="15">
        <f>IF(O1258="Fire Control",VLOOKUP(_xlfn.MINIFS('FIRE CONTROL'!$C$4:$C$37,'FIRE CONTROL'!$C$4:$C$37,"&gt;="&amp;M1258),'FIRE CONTROL'!$C$4:$G$37,IF(L1258="F-15",2,IF(L1258="F-30",3,IF(L1258="F-60",4,IF(L1258="F-90",5,0)))),0),0)+IF(AND(O1258="FIRE TEX 5062",OR(E1258="IN",E1258="C",E1258="Z",E1258="L"),J1258=3),VLOOKUP(_xlfn.MINIFS('FIRE TEX 5062'!$B$4:$B$34,'FIRE TEX 5062'!$B$4:$B$34,"&gt;="&amp;M1258),'FIRE TEX 5062'!$B$4:$F$34,IF(L1258="F-15",2,IF(L1258="F-30",3,IF(L1258="F-60",4,IF(L1258="F-90",5,0)))),0),0)+IF(AND(O1258="FIRE TEX 5062",OR(E1258="IN",E1258="C",E1258="Z",E1258="L"),J1258=4),VLOOKUP(_xlfn.MINIFS('FIRE TEX 5062'!$G$4:$G$34,'FIRE TEX 5062'!$G$4:$G$34,"&gt;="&amp;M1258),'FIRE TEX 5062'!$G$4:$K$34,IF(L1258="F-15",2,IF(L1258="F-30",3,IF(L1258="F-60",4,IF(L1258="F-90",5,0)))),0),0)+IF(AND(O1258="FIRE TEX 5062",E1258="CJ",J1258=3),VLOOKUP(_xlfn.MINIFS('FIRE TEX 5062'!$L$4:$L$34,'FIRE TEX 5062'!$L$4:$L$34,"&gt;="&amp;M1258),'FIRE TEX 5062'!$L$4:$P$34,IF(L1258="F-15",2,IF(L1258="F-30",3,IF(L1258="F-60",4,IF(L1258="F-90",5,0)))),0),0)+IF(AND(O1258="FIRE TEX 5062",E1258="CJ",J1258=4),VLOOKUP(_xlfn.MINIFS('FIRE TEX 5062'!$Q$3:$Q$34,'FIRE TEX 5062'!$Q$3:$Q$34,"&gt;="&amp;M1258),'FIRE TEX 5062'!$Q$3:$U$34,IF(L1258="F-15",2,IF(L1258="F-30",3,IF(L1258="F-60",4,IF(L1258="F-90",5,0)))),0),0)+IF(AND(O1258="FIRE TEX 5090",OR(E1258="IN",E1258="C",E1258="Z",E1258="L"),J1258=3),VLOOKUP(_xlfn.MINIFS('FIRE TEX 5090'!$B$5:$B$43,'FIRE TEX 5090'!$B$5:$B$43,"&gt;="&amp;M1258),'FIRE TEX 5090'!$B$5:$H$43,IF(L1258="F-15",2,IF(L1258="F-30",3,IF(L1258="F-60",4,IF(L1258="F-90",5,IF(L1258="F-120",6,IF(L1258="F-150",7,0)))))),0),0)+IF(AND(O1258="FIRE TEX 5090",OR(E1258="IN",E1258="C",E1258="Z",E1258="L"),J1258=4),VLOOKUP(_xlfn.MINIFS('FIRE TEX 5090'!$J$5:$J$43,'FIRE TEX 5090'!$J$5:$J$43,"&gt;="&amp;M1258),'FIRE TEX 5090'!$J$5:$P$43,IF(L1258="F-15",2,IF(L1258="F-30",3,IF(L1258="F-60",4,IF(L1258="F-90",5,IF(L1258="F-120",6,IF(L1258="F-150",7,0)))))),0),0)+IF(AND(O1258="FIRE TEX 5090",E1258="CJ",J1258=3),VLOOKUP(_xlfn.MINIFS('FIRE TEX 5090'!$R$5:$R$30,'FIRE TEX 5090'!$R$5:$R$30,"&gt;="&amp;M1258),'FIRE TEX 5090'!$R$5:$W$30,IF(L1258="F-15",2,IF(L1258="F-30",3,IF(L1258="F-60",4,IF(L1258="F-90",5,IF(L1258="F-120",6,IF(L1258="F-150",7,0)))))),0),0)+IF(AND(O1258="FIRE TEX 5090",E1258="CJ",J1258=4),VLOOKUP(_xlfn.MINIFS('FIRE TEX 5090'!$Y$5:$Y$39,'FIRE TEX 5090'!$Y$5:$Y$39,"&gt;="&amp;M1258),'FIRE TEX 5090'!$Y$5:$AD$39,IF(L1258="F-15",2,IF(L1258="F-30",3,IF(L1258="F-60",4,IF(L1258="F-90",5,IF(L1258="F-120",6,IF(L1258="F-150",7,0)))))),0),0)+IF(AND(O1258="FIRE TEX 5120",OR(E1258="IN",E1258="C",E1258="Z",E1258="L"),J1258=3),VLOOKUP(_xlfn.MINIFS('FIRE TEX 5120'!$B$5:$B$40,'FIRE TEX 5120'!$B$5:$B$40,"&gt;="&amp;M1258),'FIRE TEX 5120'!$B$5:$G$40,IF(L1258="F-15",2,IF(L1258="F-30",3,IF(L1258="F-60",4,IF(L1258="F-90",5,IF(L1258="F-120",6,0))))),0),0)+IF(AND(O1258="FIRE TEX 5120",OR(E1258="IN",E1258="C",E1258="Z",E1258="L"),J1258=4),VLOOKUP(_xlfn.MINIFS('FIRE TEX 5120'!$H$4:$H$40,'FIRE TEX 5120'!$H$4:$H$40,"&gt;="&amp;M1258),'FIRE TEX 5120'!$H$4:$M$40,IF(L1258="F-15",2,IF(L1258="F-30",3,IF(L1258="F-60",4,IF(L1258="F-90",5,IF(L1258="F-120",6,0))))),0),0)+IF(AND(O1258="FIRE TEX 5120",E1258="CJ"),VLOOKUP(_xlfn.MINIFS('FIRE TEX 5120'!$O$5:$O$40,'FIRE TEX 5120'!$O$5:$O$40,"&gt;="&amp;M1258),'FIRE TEX 5120'!$O$5:$T$40,IF(L1258="F-15",2,IF(L1258="F-30",3,IF(L1258="F-60",4,IF(L1258="F-90",5,IF(L1258="F-120",6,0))))),0),0)</f>
        <v>0</v>
      </c>
      <c r="Q1258" s="46">
        <f t="shared" si="114"/>
        <v>0</v>
      </c>
      <c r="R1258" s="46">
        <f t="shared" si="115"/>
        <v>0</v>
      </c>
      <c r="S1258" s="46" t="e">
        <f t="shared" si="116"/>
        <v>#VALUE!</v>
      </c>
      <c r="T1258" s="677">
        <f t="shared" si="117"/>
        <v>0</v>
      </c>
      <c r="U1258" s="80">
        <f>(IF(O1258="Stofire",(S1258*#REF!),0))+(IF(O1258="Fire Control",(S1258*$U$2),0))+(IF(O1258="Fire Tex",(S1258*$U$3),0))+(IF(O1258="WB7",(S1258*#REF!),0)+(IF(O1258="FX 2003",(S1258*$U$5),0)))</f>
        <v>0</v>
      </c>
      <c r="V1258" s="651">
        <f t="shared" si="118"/>
        <v>0</v>
      </c>
    </row>
    <row r="1259" spans="4:22" x14ac:dyDescent="0.25">
      <c r="D1259" s="118">
        <f>+CUBICACION!D1258</f>
        <v>0</v>
      </c>
      <c r="E1259" s="118">
        <f>+CUBICACION!F1258</f>
        <v>0</v>
      </c>
      <c r="F1259" s="118">
        <f>+CUBICACION!E1258</f>
        <v>0</v>
      </c>
      <c r="G1259" s="118">
        <v>12</v>
      </c>
      <c r="H1259" s="118">
        <v>2</v>
      </c>
      <c r="I1259" s="820">
        <v>26385</v>
      </c>
      <c r="J1259" s="118">
        <f>+CUBICACION!J1258</f>
        <v>0</v>
      </c>
      <c r="K1259" s="118">
        <v>4038</v>
      </c>
      <c r="L1259" s="118">
        <f>+CUBICACION!L1258</f>
        <v>0</v>
      </c>
      <c r="M1259" s="64">
        <f>+CUBICACION!M1258</f>
        <v>0</v>
      </c>
      <c r="N1259" s="824" t="str">
        <f>+CUBICACION!N1258</f>
        <v/>
      </c>
      <c r="O1259" s="675">
        <f>+CUBICACION!O1258</f>
        <v>0</v>
      </c>
      <c r="P1259" s="15">
        <f>IF(O1259="Fire Control",VLOOKUP(_xlfn.MINIFS('FIRE CONTROL'!$C$4:$C$37,'FIRE CONTROL'!$C$4:$C$37,"&gt;="&amp;M1259),'FIRE CONTROL'!$C$4:$G$37,IF(L1259="F-15",2,IF(L1259="F-30",3,IF(L1259="F-60",4,IF(L1259="F-90",5,0)))),0),0)+IF(AND(O1259="FIRE TEX 5062",OR(E1259="IN",E1259="C",E1259="Z",E1259="L"),J1259=3),VLOOKUP(_xlfn.MINIFS('FIRE TEX 5062'!$B$4:$B$34,'FIRE TEX 5062'!$B$4:$B$34,"&gt;="&amp;M1259),'FIRE TEX 5062'!$B$4:$F$34,IF(L1259="F-15",2,IF(L1259="F-30",3,IF(L1259="F-60",4,IF(L1259="F-90",5,0)))),0),0)+IF(AND(O1259="FIRE TEX 5062",OR(E1259="IN",E1259="C",E1259="Z",E1259="L"),J1259=4),VLOOKUP(_xlfn.MINIFS('FIRE TEX 5062'!$G$4:$G$34,'FIRE TEX 5062'!$G$4:$G$34,"&gt;="&amp;M1259),'FIRE TEX 5062'!$G$4:$K$34,IF(L1259="F-15",2,IF(L1259="F-30",3,IF(L1259="F-60",4,IF(L1259="F-90",5,0)))),0),0)+IF(AND(O1259="FIRE TEX 5062",E1259="CJ",J1259=3),VLOOKUP(_xlfn.MINIFS('FIRE TEX 5062'!$L$4:$L$34,'FIRE TEX 5062'!$L$4:$L$34,"&gt;="&amp;M1259),'FIRE TEX 5062'!$L$4:$P$34,IF(L1259="F-15",2,IF(L1259="F-30",3,IF(L1259="F-60",4,IF(L1259="F-90",5,0)))),0),0)+IF(AND(O1259="FIRE TEX 5062",E1259="CJ",J1259=4),VLOOKUP(_xlfn.MINIFS('FIRE TEX 5062'!$Q$3:$Q$34,'FIRE TEX 5062'!$Q$3:$Q$34,"&gt;="&amp;M1259),'FIRE TEX 5062'!$Q$3:$U$34,IF(L1259="F-15",2,IF(L1259="F-30",3,IF(L1259="F-60",4,IF(L1259="F-90",5,0)))),0),0)+IF(AND(O1259="FIRE TEX 5090",OR(E1259="IN",E1259="C",E1259="Z",E1259="L"),J1259=3),VLOOKUP(_xlfn.MINIFS('FIRE TEX 5090'!$B$5:$B$43,'FIRE TEX 5090'!$B$5:$B$43,"&gt;="&amp;M1259),'FIRE TEX 5090'!$B$5:$H$43,IF(L1259="F-15",2,IF(L1259="F-30",3,IF(L1259="F-60",4,IF(L1259="F-90",5,IF(L1259="F-120",6,IF(L1259="F-150",7,0)))))),0),0)+IF(AND(O1259="FIRE TEX 5090",OR(E1259="IN",E1259="C",E1259="Z",E1259="L"),J1259=4),VLOOKUP(_xlfn.MINIFS('FIRE TEX 5090'!$J$5:$J$43,'FIRE TEX 5090'!$J$5:$J$43,"&gt;="&amp;M1259),'FIRE TEX 5090'!$J$5:$P$43,IF(L1259="F-15",2,IF(L1259="F-30",3,IF(L1259="F-60",4,IF(L1259="F-90",5,IF(L1259="F-120",6,IF(L1259="F-150",7,0)))))),0),0)+IF(AND(O1259="FIRE TEX 5090",E1259="CJ",J1259=3),VLOOKUP(_xlfn.MINIFS('FIRE TEX 5090'!$R$5:$R$30,'FIRE TEX 5090'!$R$5:$R$30,"&gt;="&amp;M1259),'FIRE TEX 5090'!$R$5:$W$30,IF(L1259="F-15",2,IF(L1259="F-30",3,IF(L1259="F-60",4,IF(L1259="F-90",5,IF(L1259="F-120",6,IF(L1259="F-150",7,0)))))),0),0)+IF(AND(O1259="FIRE TEX 5090",E1259="CJ",J1259=4),VLOOKUP(_xlfn.MINIFS('FIRE TEX 5090'!$Y$5:$Y$39,'FIRE TEX 5090'!$Y$5:$Y$39,"&gt;="&amp;M1259),'FIRE TEX 5090'!$Y$5:$AD$39,IF(L1259="F-15",2,IF(L1259="F-30",3,IF(L1259="F-60",4,IF(L1259="F-90",5,IF(L1259="F-120",6,IF(L1259="F-150",7,0)))))),0),0)+IF(AND(O1259="FIRE TEX 5120",OR(E1259="IN",E1259="C",E1259="Z",E1259="L"),J1259=3),VLOOKUP(_xlfn.MINIFS('FIRE TEX 5120'!$B$5:$B$40,'FIRE TEX 5120'!$B$5:$B$40,"&gt;="&amp;M1259),'FIRE TEX 5120'!$B$5:$G$40,IF(L1259="F-15",2,IF(L1259="F-30",3,IF(L1259="F-60",4,IF(L1259="F-90",5,IF(L1259="F-120",6,0))))),0),0)+IF(AND(O1259="FIRE TEX 5120",OR(E1259="IN",E1259="C",E1259="Z",E1259="L"),J1259=4),VLOOKUP(_xlfn.MINIFS('FIRE TEX 5120'!$H$4:$H$40,'FIRE TEX 5120'!$H$4:$H$40,"&gt;="&amp;M1259),'FIRE TEX 5120'!$H$4:$M$40,IF(L1259="F-15",2,IF(L1259="F-30",3,IF(L1259="F-60",4,IF(L1259="F-90",5,IF(L1259="F-120",6,0))))),0),0)+IF(AND(O1259="FIRE TEX 5120",E1259="CJ"),VLOOKUP(_xlfn.MINIFS('FIRE TEX 5120'!$O$5:$O$40,'FIRE TEX 5120'!$O$5:$O$40,"&gt;="&amp;M1259),'FIRE TEX 5120'!$O$5:$T$40,IF(L1259="F-15",2,IF(L1259="F-30",3,IF(L1259="F-60",4,IF(L1259="F-90",5,IF(L1259="F-120",6,0))))),0),0)</f>
        <v>0</v>
      </c>
      <c r="Q1259" s="46">
        <f t="shared" si="114"/>
        <v>0</v>
      </c>
      <c r="R1259" s="46">
        <f t="shared" si="115"/>
        <v>0</v>
      </c>
      <c r="S1259" s="46" t="e">
        <f t="shared" si="116"/>
        <v>#VALUE!</v>
      </c>
      <c r="T1259" s="677">
        <f t="shared" si="117"/>
        <v>0</v>
      </c>
      <c r="U1259" s="80">
        <f>(IF(O1259="Stofire",(S1259*#REF!),0))+(IF(O1259="Fire Control",(S1259*$U$2),0))+(IF(O1259="Fire Tex",(S1259*$U$3),0))+(IF(O1259="WB7",(S1259*#REF!),0)+(IF(O1259="FX 2003",(S1259*$U$5),0)))</f>
        <v>0</v>
      </c>
      <c r="V1259" s="651">
        <f t="shared" si="118"/>
        <v>0</v>
      </c>
    </row>
    <row r="1260" spans="4:22" x14ac:dyDescent="0.25">
      <c r="D1260" s="118">
        <f>+CUBICACION!D1259</f>
        <v>0</v>
      </c>
      <c r="E1260" s="118">
        <f>+CUBICACION!F1259</f>
        <v>0</v>
      </c>
      <c r="F1260" s="118">
        <f>+CUBICACION!E1259</f>
        <v>0</v>
      </c>
      <c r="G1260" s="118">
        <v>12</v>
      </c>
      <c r="H1260" s="118">
        <v>2</v>
      </c>
      <c r="I1260" s="820">
        <v>26385</v>
      </c>
      <c r="J1260" s="118">
        <f>+CUBICACION!J1259</f>
        <v>0</v>
      </c>
      <c r="K1260" s="118">
        <v>4039</v>
      </c>
      <c r="L1260" s="118">
        <f>+CUBICACION!L1259</f>
        <v>0</v>
      </c>
      <c r="M1260" s="64">
        <f>+CUBICACION!M1259</f>
        <v>0</v>
      </c>
      <c r="N1260" s="824" t="str">
        <f>+CUBICACION!N1259</f>
        <v/>
      </c>
      <c r="O1260" s="675">
        <f>+CUBICACION!O1259</f>
        <v>0</v>
      </c>
      <c r="P1260" s="15">
        <f>IF(O1260="Fire Control",VLOOKUP(_xlfn.MINIFS('FIRE CONTROL'!$C$4:$C$37,'FIRE CONTROL'!$C$4:$C$37,"&gt;="&amp;M1260),'FIRE CONTROL'!$C$4:$G$37,IF(L1260="F-15",2,IF(L1260="F-30",3,IF(L1260="F-60",4,IF(L1260="F-90",5,0)))),0),0)+IF(AND(O1260="FIRE TEX 5062",OR(E1260="IN",E1260="C",E1260="Z",E1260="L"),J1260=3),VLOOKUP(_xlfn.MINIFS('FIRE TEX 5062'!$B$4:$B$34,'FIRE TEX 5062'!$B$4:$B$34,"&gt;="&amp;M1260),'FIRE TEX 5062'!$B$4:$F$34,IF(L1260="F-15",2,IF(L1260="F-30",3,IF(L1260="F-60",4,IF(L1260="F-90",5,0)))),0),0)+IF(AND(O1260="FIRE TEX 5062",OR(E1260="IN",E1260="C",E1260="Z",E1260="L"),J1260=4),VLOOKUP(_xlfn.MINIFS('FIRE TEX 5062'!$G$4:$G$34,'FIRE TEX 5062'!$G$4:$G$34,"&gt;="&amp;M1260),'FIRE TEX 5062'!$G$4:$K$34,IF(L1260="F-15",2,IF(L1260="F-30",3,IF(L1260="F-60",4,IF(L1260="F-90",5,0)))),0),0)+IF(AND(O1260="FIRE TEX 5062",E1260="CJ",J1260=3),VLOOKUP(_xlfn.MINIFS('FIRE TEX 5062'!$L$4:$L$34,'FIRE TEX 5062'!$L$4:$L$34,"&gt;="&amp;M1260),'FIRE TEX 5062'!$L$4:$P$34,IF(L1260="F-15",2,IF(L1260="F-30",3,IF(L1260="F-60",4,IF(L1260="F-90",5,0)))),0),0)+IF(AND(O1260="FIRE TEX 5062",E1260="CJ",J1260=4),VLOOKUP(_xlfn.MINIFS('FIRE TEX 5062'!$Q$3:$Q$34,'FIRE TEX 5062'!$Q$3:$Q$34,"&gt;="&amp;M1260),'FIRE TEX 5062'!$Q$3:$U$34,IF(L1260="F-15",2,IF(L1260="F-30",3,IF(L1260="F-60",4,IF(L1260="F-90",5,0)))),0),0)+IF(AND(O1260="FIRE TEX 5090",OR(E1260="IN",E1260="C",E1260="Z",E1260="L"),J1260=3),VLOOKUP(_xlfn.MINIFS('FIRE TEX 5090'!$B$5:$B$43,'FIRE TEX 5090'!$B$5:$B$43,"&gt;="&amp;M1260),'FIRE TEX 5090'!$B$5:$H$43,IF(L1260="F-15",2,IF(L1260="F-30",3,IF(L1260="F-60",4,IF(L1260="F-90",5,IF(L1260="F-120",6,IF(L1260="F-150",7,0)))))),0),0)+IF(AND(O1260="FIRE TEX 5090",OR(E1260="IN",E1260="C",E1260="Z",E1260="L"),J1260=4),VLOOKUP(_xlfn.MINIFS('FIRE TEX 5090'!$J$5:$J$43,'FIRE TEX 5090'!$J$5:$J$43,"&gt;="&amp;M1260),'FIRE TEX 5090'!$J$5:$P$43,IF(L1260="F-15",2,IF(L1260="F-30",3,IF(L1260="F-60",4,IF(L1260="F-90",5,IF(L1260="F-120",6,IF(L1260="F-150",7,0)))))),0),0)+IF(AND(O1260="FIRE TEX 5090",E1260="CJ",J1260=3),VLOOKUP(_xlfn.MINIFS('FIRE TEX 5090'!$R$5:$R$30,'FIRE TEX 5090'!$R$5:$R$30,"&gt;="&amp;M1260),'FIRE TEX 5090'!$R$5:$W$30,IF(L1260="F-15",2,IF(L1260="F-30",3,IF(L1260="F-60",4,IF(L1260="F-90",5,IF(L1260="F-120",6,IF(L1260="F-150",7,0)))))),0),0)+IF(AND(O1260="FIRE TEX 5090",E1260="CJ",J1260=4),VLOOKUP(_xlfn.MINIFS('FIRE TEX 5090'!$Y$5:$Y$39,'FIRE TEX 5090'!$Y$5:$Y$39,"&gt;="&amp;M1260),'FIRE TEX 5090'!$Y$5:$AD$39,IF(L1260="F-15",2,IF(L1260="F-30",3,IF(L1260="F-60",4,IF(L1260="F-90",5,IF(L1260="F-120",6,IF(L1260="F-150",7,0)))))),0),0)+IF(AND(O1260="FIRE TEX 5120",OR(E1260="IN",E1260="C",E1260="Z",E1260="L"),J1260=3),VLOOKUP(_xlfn.MINIFS('FIRE TEX 5120'!$B$5:$B$40,'FIRE TEX 5120'!$B$5:$B$40,"&gt;="&amp;M1260),'FIRE TEX 5120'!$B$5:$G$40,IF(L1260="F-15",2,IF(L1260="F-30",3,IF(L1260="F-60",4,IF(L1260="F-90",5,IF(L1260="F-120",6,0))))),0),0)+IF(AND(O1260="FIRE TEX 5120",OR(E1260="IN",E1260="C",E1260="Z",E1260="L"),J1260=4),VLOOKUP(_xlfn.MINIFS('FIRE TEX 5120'!$H$4:$H$40,'FIRE TEX 5120'!$H$4:$H$40,"&gt;="&amp;M1260),'FIRE TEX 5120'!$H$4:$M$40,IF(L1260="F-15",2,IF(L1260="F-30",3,IF(L1260="F-60",4,IF(L1260="F-90",5,IF(L1260="F-120",6,0))))),0),0)+IF(AND(O1260="FIRE TEX 5120",E1260="CJ"),VLOOKUP(_xlfn.MINIFS('FIRE TEX 5120'!$O$5:$O$40,'FIRE TEX 5120'!$O$5:$O$40,"&gt;="&amp;M1260),'FIRE TEX 5120'!$O$5:$T$40,IF(L1260="F-15",2,IF(L1260="F-30",3,IF(L1260="F-60",4,IF(L1260="F-90",5,IF(L1260="F-120",6,0))))),0),0)</f>
        <v>0</v>
      </c>
      <c r="Q1260" s="46">
        <f t="shared" si="114"/>
        <v>0</v>
      </c>
      <c r="R1260" s="46">
        <f t="shared" si="115"/>
        <v>0</v>
      </c>
      <c r="S1260" s="46" t="e">
        <f t="shared" si="116"/>
        <v>#VALUE!</v>
      </c>
      <c r="T1260" s="677">
        <f t="shared" si="117"/>
        <v>0</v>
      </c>
      <c r="U1260" s="80">
        <f>(IF(O1260="Stofire",(S1260*#REF!),0))+(IF(O1260="Fire Control",(S1260*$U$2),0))+(IF(O1260="Fire Tex",(S1260*$U$3),0))+(IF(O1260="WB7",(S1260*#REF!),0)+(IF(O1260="FX 2003",(S1260*$U$5),0)))</f>
        <v>0</v>
      </c>
      <c r="V1260" s="651">
        <f t="shared" si="118"/>
        <v>0</v>
      </c>
    </row>
    <row r="1261" spans="4:22" x14ac:dyDescent="0.25">
      <c r="D1261" s="118">
        <f>+CUBICACION!D1260</f>
        <v>0</v>
      </c>
      <c r="E1261" s="118">
        <f>+CUBICACION!F1260</f>
        <v>0</v>
      </c>
      <c r="F1261" s="118">
        <f>+CUBICACION!E1260</f>
        <v>0</v>
      </c>
      <c r="G1261" s="118">
        <v>12</v>
      </c>
      <c r="H1261" s="118">
        <v>2</v>
      </c>
      <c r="I1261" s="820">
        <v>26385</v>
      </c>
      <c r="J1261" s="118">
        <f>+CUBICACION!J1260</f>
        <v>0</v>
      </c>
      <c r="K1261" s="118">
        <v>4040</v>
      </c>
      <c r="L1261" s="118">
        <f>+CUBICACION!L1260</f>
        <v>0</v>
      </c>
      <c r="M1261" s="64">
        <f>+CUBICACION!M1260</f>
        <v>0</v>
      </c>
      <c r="N1261" s="824" t="str">
        <f>+CUBICACION!N1260</f>
        <v/>
      </c>
      <c r="O1261" s="675">
        <f>+CUBICACION!O1260</f>
        <v>0</v>
      </c>
      <c r="P1261" s="15">
        <f>IF(O1261="Fire Control",VLOOKUP(_xlfn.MINIFS('FIRE CONTROL'!$C$4:$C$37,'FIRE CONTROL'!$C$4:$C$37,"&gt;="&amp;M1261),'FIRE CONTROL'!$C$4:$G$37,IF(L1261="F-15",2,IF(L1261="F-30",3,IF(L1261="F-60",4,IF(L1261="F-90",5,0)))),0),0)+IF(AND(O1261="FIRE TEX 5062",OR(E1261="IN",E1261="C",E1261="Z",E1261="L"),J1261=3),VLOOKUP(_xlfn.MINIFS('FIRE TEX 5062'!$B$4:$B$34,'FIRE TEX 5062'!$B$4:$B$34,"&gt;="&amp;M1261),'FIRE TEX 5062'!$B$4:$F$34,IF(L1261="F-15",2,IF(L1261="F-30",3,IF(L1261="F-60",4,IF(L1261="F-90",5,0)))),0),0)+IF(AND(O1261="FIRE TEX 5062",OR(E1261="IN",E1261="C",E1261="Z",E1261="L"),J1261=4),VLOOKUP(_xlfn.MINIFS('FIRE TEX 5062'!$G$4:$G$34,'FIRE TEX 5062'!$G$4:$G$34,"&gt;="&amp;M1261),'FIRE TEX 5062'!$G$4:$K$34,IF(L1261="F-15",2,IF(L1261="F-30",3,IF(L1261="F-60",4,IF(L1261="F-90",5,0)))),0),0)+IF(AND(O1261="FIRE TEX 5062",E1261="CJ",J1261=3),VLOOKUP(_xlfn.MINIFS('FIRE TEX 5062'!$L$4:$L$34,'FIRE TEX 5062'!$L$4:$L$34,"&gt;="&amp;M1261),'FIRE TEX 5062'!$L$4:$P$34,IF(L1261="F-15",2,IF(L1261="F-30",3,IF(L1261="F-60",4,IF(L1261="F-90",5,0)))),0),0)+IF(AND(O1261="FIRE TEX 5062",E1261="CJ",J1261=4),VLOOKUP(_xlfn.MINIFS('FIRE TEX 5062'!$Q$3:$Q$34,'FIRE TEX 5062'!$Q$3:$Q$34,"&gt;="&amp;M1261),'FIRE TEX 5062'!$Q$3:$U$34,IF(L1261="F-15",2,IF(L1261="F-30",3,IF(L1261="F-60",4,IF(L1261="F-90",5,0)))),0),0)+IF(AND(O1261="FIRE TEX 5090",OR(E1261="IN",E1261="C",E1261="Z",E1261="L"),J1261=3),VLOOKUP(_xlfn.MINIFS('FIRE TEX 5090'!$B$5:$B$43,'FIRE TEX 5090'!$B$5:$B$43,"&gt;="&amp;M1261),'FIRE TEX 5090'!$B$5:$H$43,IF(L1261="F-15",2,IF(L1261="F-30",3,IF(L1261="F-60",4,IF(L1261="F-90",5,IF(L1261="F-120",6,IF(L1261="F-150",7,0)))))),0),0)+IF(AND(O1261="FIRE TEX 5090",OR(E1261="IN",E1261="C",E1261="Z",E1261="L"),J1261=4),VLOOKUP(_xlfn.MINIFS('FIRE TEX 5090'!$J$5:$J$43,'FIRE TEX 5090'!$J$5:$J$43,"&gt;="&amp;M1261),'FIRE TEX 5090'!$J$5:$P$43,IF(L1261="F-15",2,IF(L1261="F-30",3,IF(L1261="F-60",4,IF(L1261="F-90",5,IF(L1261="F-120",6,IF(L1261="F-150",7,0)))))),0),0)+IF(AND(O1261="FIRE TEX 5090",E1261="CJ",J1261=3),VLOOKUP(_xlfn.MINIFS('FIRE TEX 5090'!$R$5:$R$30,'FIRE TEX 5090'!$R$5:$R$30,"&gt;="&amp;M1261),'FIRE TEX 5090'!$R$5:$W$30,IF(L1261="F-15",2,IF(L1261="F-30",3,IF(L1261="F-60",4,IF(L1261="F-90",5,IF(L1261="F-120",6,IF(L1261="F-150",7,0)))))),0),0)+IF(AND(O1261="FIRE TEX 5090",E1261="CJ",J1261=4),VLOOKUP(_xlfn.MINIFS('FIRE TEX 5090'!$Y$5:$Y$39,'FIRE TEX 5090'!$Y$5:$Y$39,"&gt;="&amp;M1261),'FIRE TEX 5090'!$Y$5:$AD$39,IF(L1261="F-15",2,IF(L1261="F-30",3,IF(L1261="F-60",4,IF(L1261="F-90",5,IF(L1261="F-120",6,IF(L1261="F-150",7,0)))))),0),0)+IF(AND(O1261="FIRE TEX 5120",OR(E1261="IN",E1261="C",E1261="Z",E1261="L"),J1261=3),VLOOKUP(_xlfn.MINIFS('FIRE TEX 5120'!$B$5:$B$40,'FIRE TEX 5120'!$B$5:$B$40,"&gt;="&amp;M1261),'FIRE TEX 5120'!$B$5:$G$40,IF(L1261="F-15",2,IF(L1261="F-30",3,IF(L1261="F-60",4,IF(L1261="F-90",5,IF(L1261="F-120",6,0))))),0),0)+IF(AND(O1261="FIRE TEX 5120",OR(E1261="IN",E1261="C",E1261="Z",E1261="L"),J1261=4),VLOOKUP(_xlfn.MINIFS('FIRE TEX 5120'!$H$4:$H$40,'FIRE TEX 5120'!$H$4:$H$40,"&gt;="&amp;M1261),'FIRE TEX 5120'!$H$4:$M$40,IF(L1261="F-15",2,IF(L1261="F-30",3,IF(L1261="F-60",4,IF(L1261="F-90",5,IF(L1261="F-120",6,0))))),0),0)+IF(AND(O1261="FIRE TEX 5120",E1261="CJ"),VLOOKUP(_xlfn.MINIFS('FIRE TEX 5120'!$O$5:$O$40,'FIRE TEX 5120'!$O$5:$O$40,"&gt;="&amp;M1261),'FIRE TEX 5120'!$O$5:$T$40,IF(L1261="F-15",2,IF(L1261="F-30",3,IF(L1261="F-60",4,IF(L1261="F-90",5,IF(L1261="F-120",6,0))))),0),0)</f>
        <v>0</v>
      </c>
      <c r="Q1261" s="46">
        <f t="shared" ref="Q1261:Q1324" si="119">IF(P1261="","",IF(P1261="dar valor","",0.03937*P1261))</f>
        <v>0</v>
      </c>
      <c r="R1261" s="46">
        <f t="shared" ref="R1261:R1324" si="120">+(IF(O1261="Fire Control",((65*1.5/Q1261)*0.75*4),0))+(IF(OR(O1261="Fire Tex 5062",O1261="Fire Tex 5090",O1261="Fire Tex 5120"),((66*1.5/Q1261)*0.7*5),0))</f>
        <v>0</v>
      </c>
      <c r="S1261" s="46" t="e">
        <f t="shared" ref="S1261:S1324" si="121">IF(R1261="","",+N1261/R1261)</f>
        <v>#VALUE!</v>
      </c>
      <c r="T1261" s="677">
        <f t="shared" ref="T1261:T1324" si="122">(IF(O1261="Stofire",(S1261/(7*1)),0))+(IF(O1261="Fire Control",(S1261/(7*1)),0))+(IF(O1261="Fire Tex",(S1261/(7*1)),0))+(IF(O1261="WB7",(S1261/(7*1)),0))+(IF(O1261="FX 2003",(S1261/(7*1)),0))</f>
        <v>0</v>
      </c>
      <c r="U1261" s="80">
        <f>(IF(O1261="Stofire",(S1261*#REF!),0))+(IF(O1261="Fire Control",(S1261*$U$2),0))+(IF(O1261="Fire Tex",(S1261*$U$3),0))+(IF(O1261="WB7",(S1261*#REF!),0)+(IF(O1261="FX 2003",(S1261*$U$5),0)))</f>
        <v>0</v>
      </c>
      <c r="V1261" s="651">
        <f t="shared" ref="V1261:V1324" si="123">_xlfn.CEILING.MATH(M1261,10)</f>
        <v>0</v>
      </c>
    </row>
    <row r="1262" spans="4:22" x14ac:dyDescent="0.25">
      <c r="D1262" s="118">
        <f>+CUBICACION!D1261</f>
        <v>0</v>
      </c>
      <c r="E1262" s="118">
        <f>+CUBICACION!F1261</f>
        <v>0</v>
      </c>
      <c r="F1262" s="118">
        <f>+CUBICACION!E1261</f>
        <v>0</v>
      </c>
      <c r="G1262" s="118">
        <v>12</v>
      </c>
      <c r="H1262" s="118">
        <v>2</v>
      </c>
      <c r="I1262" s="820">
        <v>26385</v>
      </c>
      <c r="J1262" s="118">
        <f>+CUBICACION!J1261</f>
        <v>0</v>
      </c>
      <c r="K1262" s="118">
        <v>4041</v>
      </c>
      <c r="L1262" s="118">
        <f>+CUBICACION!L1261</f>
        <v>0</v>
      </c>
      <c r="M1262" s="64">
        <f>+CUBICACION!M1261</f>
        <v>0</v>
      </c>
      <c r="N1262" s="824" t="str">
        <f>+CUBICACION!N1261</f>
        <v/>
      </c>
      <c r="O1262" s="675">
        <f>+CUBICACION!O1261</f>
        <v>0</v>
      </c>
      <c r="P1262" s="15">
        <f>IF(O1262="Fire Control",VLOOKUP(_xlfn.MINIFS('FIRE CONTROL'!$C$4:$C$37,'FIRE CONTROL'!$C$4:$C$37,"&gt;="&amp;M1262),'FIRE CONTROL'!$C$4:$G$37,IF(L1262="F-15",2,IF(L1262="F-30",3,IF(L1262="F-60",4,IF(L1262="F-90",5,0)))),0),0)+IF(AND(O1262="FIRE TEX 5062",OR(E1262="IN",E1262="C",E1262="Z",E1262="L"),J1262=3),VLOOKUP(_xlfn.MINIFS('FIRE TEX 5062'!$B$4:$B$34,'FIRE TEX 5062'!$B$4:$B$34,"&gt;="&amp;M1262),'FIRE TEX 5062'!$B$4:$F$34,IF(L1262="F-15",2,IF(L1262="F-30",3,IF(L1262="F-60",4,IF(L1262="F-90",5,0)))),0),0)+IF(AND(O1262="FIRE TEX 5062",OR(E1262="IN",E1262="C",E1262="Z",E1262="L"),J1262=4),VLOOKUP(_xlfn.MINIFS('FIRE TEX 5062'!$G$4:$G$34,'FIRE TEX 5062'!$G$4:$G$34,"&gt;="&amp;M1262),'FIRE TEX 5062'!$G$4:$K$34,IF(L1262="F-15",2,IF(L1262="F-30",3,IF(L1262="F-60",4,IF(L1262="F-90",5,0)))),0),0)+IF(AND(O1262="FIRE TEX 5062",E1262="CJ",J1262=3),VLOOKUP(_xlfn.MINIFS('FIRE TEX 5062'!$L$4:$L$34,'FIRE TEX 5062'!$L$4:$L$34,"&gt;="&amp;M1262),'FIRE TEX 5062'!$L$4:$P$34,IF(L1262="F-15",2,IF(L1262="F-30",3,IF(L1262="F-60",4,IF(L1262="F-90",5,0)))),0),0)+IF(AND(O1262="FIRE TEX 5062",E1262="CJ",J1262=4),VLOOKUP(_xlfn.MINIFS('FIRE TEX 5062'!$Q$3:$Q$34,'FIRE TEX 5062'!$Q$3:$Q$34,"&gt;="&amp;M1262),'FIRE TEX 5062'!$Q$3:$U$34,IF(L1262="F-15",2,IF(L1262="F-30",3,IF(L1262="F-60",4,IF(L1262="F-90",5,0)))),0),0)+IF(AND(O1262="FIRE TEX 5090",OR(E1262="IN",E1262="C",E1262="Z",E1262="L"),J1262=3),VLOOKUP(_xlfn.MINIFS('FIRE TEX 5090'!$B$5:$B$43,'FIRE TEX 5090'!$B$5:$B$43,"&gt;="&amp;M1262),'FIRE TEX 5090'!$B$5:$H$43,IF(L1262="F-15",2,IF(L1262="F-30",3,IF(L1262="F-60",4,IF(L1262="F-90",5,IF(L1262="F-120",6,IF(L1262="F-150",7,0)))))),0),0)+IF(AND(O1262="FIRE TEX 5090",OR(E1262="IN",E1262="C",E1262="Z",E1262="L"),J1262=4),VLOOKUP(_xlfn.MINIFS('FIRE TEX 5090'!$J$5:$J$43,'FIRE TEX 5090'!$J$5:$J$43,"&gt;="&amp;M1262),'FIRE TEX 5090'!$J$5:$P$43,IF(L1262="F-15",2,IF(L1262="F-30",3,IF(L1262="F-60",4,IF(L1262="F-90",5,IF(L1262="F-120",6,IF(L1262="F-150",7,0)))))),0),0)+IF(AND(O1262="FIRE TEX 5090",E1262="CJ",J1262=3),VLOOKUP(_xlfn.MINIFS('FIRE TEX 5090'!$R$5:$R$30,'FIRE TEX 5090'!$R$5:$R$30,"&gt;="&amp;M1262),'FIRE TEX 5090'!$R$5:$W$30,IF(L1262="F-15",2,IF(L1262="F-30",3,IF(L1262="F-60",4,IF(L1262="F-90",5,IF(L1262="F-120",6,IF(L1262="F-150",7,0)))))),0),0)+IF(AND(O1262="FIRE TEX 5090",E1262="CJ",J1262=4),VLOOKUP(_xlfn.MINIFS('FIRE TEX 5090'!$Y$5:$Y$39,'FIRE TEX 5090'!$Y$5:$Y$39,"&gt;="&amp;M1262),'FIRE TEX 5090'!$Y$5:$AD$39,IF(L1262="F-15",2,IF(L1262="F-30",3,IF(L1262="F-60",4,IF(L1262="F-90",5,IF(L1262="F-120",6,IF(L1262="F-150",7,0)))))),0),0)+IF(AND(O1262="FIRE TEX 5120",OR(E1262="IN",E1262="C",E1262="Z",E1262="L"),J1262=3),VLOOKUP(_xlfn.MINIFS('FIRE TEX 5120'!$B$5:$B$40,'FIRE TEX 5120'!$B$5:$B$40,"&gt;="&amp;M1262),'FIRE TEX 5120'!$B$5:$G$40,IF(L1262="F-15",2,IF(L1262="F-30",3,IF(L1262="F-60",4,IF(L1262="F-90",5,IF(L1262="F-120",6,0))))),0),0)+IF(AND(O1262="FIRE TEX 5120",OR(E1262="IN",E1262="C",E1262="Z",E1262="L"),J1262=4),VLOOKUP(_xlfn.MINIFS('FIRE TEX 5120'!$H$4:$H$40,'FIRE TEX 5120'!$H$4:$H$40,"&gt;="&amp;M1262),'FIRE TEX 5120'!$H$4:$M$40,IF(L1262="F-15",2,IF(L1262="F-30",3,IF(L1262="F-60",4,IF(L1262="F-90",5,IF(L1262="F-120",6,0))))),0),0)+IF(AND(O1262="FIRE TEX 5120",E1262="CJ"),VLOOKUP(_xlfn.MINIFS('FIRE TEX 5120'!$O$5:$O$40,'FIRE TEX 5120'!$O$5:$O$40,"&gt;="&amp;M1262),'FIRE TEX 5120'!$O$5:$T$40,IF(L1262="F-15",2,IF(L1262="F-30",3,IF(L1262="F-60",4,IF(L1262="F-90",5,IF(L1262="F-120",6,0))))),0),0)</f>
        <v>0</v>
      </c>
      <c r="Q1262" s="46">
        <f t="shared" si="119"/>
        <v>0</v>
      </c>
      <c r="R1262" s="46">
        <f t="shared" si="120"/>
        <v>0</v>
      </c>
      <c r="S1262" s="46" t="e">
        <f t="shared" si="121"/>
        <v>#VALUE!</v>
      </c>
      <c r="T1262" s="677">
        <f t="shared" si="122"/>
        <v>0</v>
      </c>
      <c r="U1262" s="80">
        <f>(IF(O1262="Stofire",(S1262*#REF!),0))+(IF(O1262="Fire Control",(S1262*$U$2),0))+(IF(O1262="Fire Tex",(S1262*$U$3),0))+(IF(O1262="WB7",(S1262*#REF!),0)+(IF(O1262="FX 2003",(S1262*$U$5),0)))</f>
        <v>0</v>
      </c>
      <c r="V1262" s="651">
        <f t="shared" si="123"/>
        <v>0</v>
      </c>
    </row>
    <row r="1263" spans="4:22" x14ac:dyDescent="0.25">
      <c r="D1263" s="118">
        <f>+CUBICACION!D1262</f>
        <v>0</v>
      </c>
      <c r="E1263" s="118">
        <f>+CUBICACION!F1262</f>
        <v>0</v>
      </c>
      <c r="F1263" s="118">
        <f>+CUBICACION!E1262</f>
        <v>0</v>
      </c>
      <c r="G1263" s="118">
        <v>12</v>
      </c>
      <c r="H1263" s="118">
        <v>2</v>
      </c>
      <c r="I1263" s="820">
        <v>26385</v>
      </c>
      <c r="J1263" s="118">
        <f>+CUBICACION!J1262</f>
        <v>0</v>
      </c>
      <c r="K1263" s="118">
        <v>4042</v>
      </c>
      <c r="L1263" s="118">
        <f>+CUBICACION!L1262</f>
        <v>0</v>
      </c>
      <c r="M1263" s="64">
        <f>+CUBICACION!M1262</f>
        <v>0</v>
      </c>
      <c r="N1263" s="824" t="str">
        <f>+CUBICACION!N1262</f>
        <v/>
      </c>
      <c r="O1263" s="675">
        <f>+CUBICACION!O1262</f>
        <v>0</v>
      </c>
      <c r="P1263" s="15">
        <f>IF(O1263="Fire Control",VLOOKUP(_xlfn.MINIFS('FIRE CONTROL'!$C$4:$C$37,'FIRE CONTROL'!$C$4:$C$37,"&gt;="&amp;M1263),'FIRE CONTROL'!$C$4:$G$37,IF(L1263="F-15",2,IF(L1263="F-30",3,IF(L1263="F-60",4,IF(L1263="F-90",5,0)))),0),0)+IF(AND(O1263="FIRE TEX 5062",OR(E1263="IN",E1263="C",E1263="Z",E1263="L"),J1263=3),VLOOKUP(_xlfn.MINIFS('FIRE TEX 5062'!$B$4:$B$34,'FIRE TEX 5062'!$B$4:$B$34,"&gt;="&amp;M1263),'FIRE TEX 5062'!$B$4:$F$34,IF(L1263="F-15",2,IF(L1263="F-30",3,IF(L1263="F-60",4,IF(L1263="F-90",5,0)))),0),0)+IF(AND(O1263="FIRE TEX 5062",OR(E1263="IN",E1263="C",E1263="Z",E1263="L"),J1263=4),VLOOKUP(_xlfn.MINIFS('FIRE TEX 5062'!$G$4:$G$34,'FIRE TEX 5062'!$G$4:$G$34,"&gt;="&amp;M1263),'FIRE TEX 5062'!$G$4:$K$34,IF(L1263="F-15",2,IF(L1263="F-30",3,IF(L1263="F-60",4,IF(L1263="F-90",5,0)))),0),0)+IF(AND(O1263="FIRE TEX 5062",E1263="CJ",J1263=3),VLOOKUP(_xlfn.MINIFS('FIRE TEX 5062'!$L$4:$L$34,'FIRE TEX 5062'!$L$4:$L$34,"&gt;="&amp;M1263),'FIRE TEX 5062'!$L$4:$P$34,IF(L1263="F-15",2,IF(L1263="F-30",3,IF(L1263="F-60",4,IF(L1263="F-90",5,0)))),0),0)+IF(AND(O1263="FIRE TEX 5062",E1263="CJ",J1263=4),VLOOKUP(_xlfn.MINIFS('FIRE TEX 5062'!$Q$3:$Q$34,'FIRE TEX 5062'!$Q$3:$Q$34,"&gt;="&amp;M1263),'FIRE TEX 5062'!$Q$3:$U$34,IF(L1263="F-15",2,IF(L1263="F-30",3,IF(L1263="F-60",4,IF(L1263="F-90",5,0)))),0),0)+IF(AND(O1263="FIRE TEX 5090",OR(E1263="IN",E1263="C",E1263="Z",E1263="L"),J1263=3),VLOOKUP(_xlfn.MINIFS('FIRE TEX 5090'!$B$5:$B$43,'FIRE TEX 5090'!$B$5:$B$43,"&gt;="&amp;M1263),'FIRE TEX 5090'!$B$5:$H$43,IF(L1263="F-15",2,IF(L1263="F-30",3,IF(L1263="F-60",4,IF(L1263="F-90",5,IF(L1263="F-120",6,IF(L1263="F-150",7,0)))))),0),0)+IF(AND(O1263="FIRE TEX 5090",OR(E1263="IN",E1263="C",E1263="Z",E1263="L"),J1263=4),VLOOKUP(_xlfn.MINIFS('FIRE TEX 5090'!$J$5:$J$43,'FIRE TEX 5090'!$J$5:$J$43,"&gt;="&amp;M1263),'FIRE TEX 5090'!$J$5:$P$43,IF(L1263="F-15",2,IF(L1263="F-30",3,IF(L1263="F-60",4,IF(L1263="F-90",5,IF(L1263="F-120",6,IF(L1263="F-150",7,0)))))),0),0)+IF(AND(O1263="FIRE TEX 5090",E1263="CJ",J1263=3),VLOOKUP(_xlfn.MINIFS('FIRE TEX 5090'!$R$5:$R$30,'FIRE TEX 5090'!$R$5:$R$30,"&gt;="&amp;M1263),'FIRE TEX 5090'!$R$5:$W$30,IF(L1263="F-15",2,IF(L1263="F-30",3,IF(L1263="F-60",4,IF(L1263="F-90",5,IF(L1263="F-120",6,IF(L1263="F-150",7,0)))))),0),0)+IF(AND(O1263="FIRE TEX 5090",E1263="CJ",J1263=4),VLOOKUP(_xlfn.MINIFS('FIRE TEX 5090'!$Y$5:$Y$39,'FIRE TEX 5090'!$Y$5:$Y$39,"&gt;="&amp;M1263),'FIRE TEX 5090'!$Y$5:$AD$39,IF(L1263="F-15",2,IF(L1263="F-30",3,IF(L1263="F-60",4,IF(L1263="F-90",5,IF(L1263="F-120",6,IF(L1263="F-150",7,0)))))),0),0)+IF(AND(O1263="FIRE TEX 5120",OR(E1263="IN",E1263="C",E1263="Z",E1263="L"),J1263=3),VLOOKUP(_xlfn.MINIFS('FIRE TEX 5120'!$B$5:$B$40,'FIRE TEX 5120'!$B$5:$B$40,"&gt;="&amp;M1263),'FIRE TEX 5120'!$B$5:$G$40,IF(L1263="F-15",2,IF(L1263="F-30",3,IF(L1263="F-60",4,IF(L1263="F-90",5,IF(L1263="F-120",6,0))))),0),0)+IF(AND(O1263="FIRE TEX 5120",OR(E1263="IN",E1263="C",E1263="Z",E1263="L"),J1263=4),VLOOKUP(_xlfn.MINIFS('FIRE TEX 5120'!$H$4:$H$40,'FIRE TEX 5120'!$H$4:$H$40,"&gt;="&amp;M1263),'FIRE TEX 5120'!$H$4:$M$40,IF(L1263="F-15",2,IF(L1263="F-30",3,IF(L1263="F-60",4,IF(L1263="F-90",5,IF(L1263="F-120",6,0))))),0),0)+IF(AND(O1263="FIRE TEX 5120",E1263="CJ"),VLOOKUP(_xlfn.MINIFS('FIRE TEX 5120'!$O$5:$O$40,'FIRE TEX 5120'!$O$5:$O$40,"&gt;="&amp;M1263),'FIRE TEX 5120'!$O$5:$T$40,IF(L1263="F-15",2,IF(L1263="F-30",3,IF(L1263="F-60",4,IF(L1263="F-90",5,IF(L1263="F-120",6,0))))),0),0)</f>
        <v>0</v>
      </c>
      <c r="Q1263" s="46">
        <f t="shared" si="119"/>
        <v>0</v>
      </c>
      <c r="R1263" s="46">
        <f t="shared" si="120"/>
        <v>0</v>
      </c>
      <c r="S1263" s="46" t="e">
        <f t="shared" si="121"/>
        <v>#VALUE!</v>
      </c>
      <c r="T1263" s="677">
        <f t="shared" si="122"/>
        <v>0</v>
      </c>
      <c r="U1263" s="80">
        <f>(IF(O1263="Stofire",(S1263*#REF!),0))+(IF(O1263="Fire Control",(S1263*$U$2),0))+(IF(O1263="Fire Tex",(S1263*$U$3),0))+(IF(O1263="WB7",(S1263*#REF!),0)+(IF(O1263="FX 2003",(S1263*$U$5),0)))</f>
        <v>0</v>
      </c>
      <c r="V1263" s="651">
        <f t="shared" si="123"/>
        <v>0</v>
      </c>
    </row>
    <row r="1264" spans="4:22" x14ac:dyDescent="0.25">
      <c r="D1264" s="118">
        <f>+CUBICACION!D1263</f>
        <v>0</v>
      </c>
      <c r="E1264" s="118">
        <f>+CUBICACION!F1263</f>
        <v>0</v>
      </c>
      <c r="F1264" s="118">
        <f>+CUBICACION!E1263</f>
        <v>0</v>
      </c>
      <c r="G1264" s="118">
        <v>12</v>
      </c>
      <c r="H1264" s="118">
        <v>2</v>
      </c>
      <c r="I1264" s="820">
        <v>26385</v>
      </c>
      <c r="J1264" s="118">
        <f>+CUBICACION!J1263</f>
        <v>0</v>
      </c>
      <c r="K1264" s="118">
        <v>4043</v>
      </c>
      <c r="L1264" s="118">
        <f>+CUBICACION!L1263</f>
        <v>0</v>
      </c>
      <c r="M1264" s="64">
        <f>+CUBICACION!M1263</f>
        <v>0</v>
      </c>
      <c r="N1264" s="824" t="str">
        <f>+CUBICACION!N1263</f>
        <v/>
      </c>
      <c r="O1264" s="675">
        <f>+CUBICACION!O1263</f>
        <v>0</v>
      </c>
      <c r="P1264" s="15">
        <f>IF(O1264="Fire Control",VLOOKUP(_xlfn.MINIFS('FIRE CONTROL'!$C$4:$C$37,'FIRE CONTROL'!$C$4:$C$37,"&gt;="&amp;M1264),'FIRE CONTROL'!$C$4:$G$37,IF(L1264="F-15",2,IF(L1264="F-30",3,IF(L1264="F-60",4,IF(L1264="F-90",5,0)))),0),0)+IF(AND(O1264="FIRE TEX 5062",OR(E1264="IN",E1264="C",E1264="Z",E1264="L"),J1264=3),VLOOKUP(_xlfn.MINIFS('FIRE TEX 5062'!$B$4:$B$34,'FIRE TEX 5062'!$B$4:$B$34,"&gt;="&amp;M1264),'FIRE TEX 5062'!$B$4:$F$34,IF(L1264="F-15",2,IF(L1264="F-30",3,IF(L1264="F-60",4,IF(L1264="F-90",5,0)))),0),0)+IF(AND(O1264="FIRE TEX 5062",OR(E1264="IN",E1264="C",E1264="Z",E1264="L"),J1264=4),VLOOKUP(_xlfn.MINIFS('FIRE TEX 5062'!$G$4:$G$34,'FIRE TEX 5062'!$G$4:$G$34,"&gt;="&amp;M1264),'FIRE TEX 5062'!$G$4:$K$34,IF(L1264="F-15",2,IF(L1264="F-30",3,IF(L1264="F-60",4,IF(L1264="F-90",5,0)))),0),0)+IF(AND(O1264="FIRE TEX 5062",E1264="CJ",J1264=3),VLOOKUP(_xlfn.MINIFS('FIRE TEX 5062'!$L$4:$L$34,'FIRE TEX 5062'!$L$4:$L$34,"&gt;="&amp;M1264),'FIRE TEX 5062'!$L$4:$P$34,IF(L1264="F-15",2,IF(L1264="F-30",3,IF(L1264="F-60",4,IF(L1264="F-90",5,0)))),0),0)+IF(AND(O1264="FIRE TEX 5062",E1264="CJ",J1264=4),VLOOKUP(_xlfn.MINIFS('FIRE TEX 5062'!$Q$3:$Q$34,'FIRE TEX 5062'!$Q$3:$Q$34,"&gt;="&amp;M1264),'FIRE TEX 5062'!$Q$3:$U$34,IF(L1264="F-15",2,IF(L1264="F-30",3,IF(L1264="F-60",4,IF(L1264="F-90",5,0)))),0),0)+IF(AND(O1264="FIRE TEX 5090",OR(E1264="IN",E1264="C",E1264="Z",E1264="L"),J1264=3),VLOOKUP(_xlfn.MINIFS('FIRE TEX 5090'!$B$5:$B$43,'FIRE TEX 5090'!$B$5:$B$43,"&gt;="&amp;M1264),'FIRE TEX 5090'!$B$5:$H$43,IF(L1264="F-15",2,IF(L1264="F-30",3,IF(L1264="F-60",4,IF(L1264="F-90",5,IF(L1264="F-120",6,IF(L1264="F-150",7,0)))))),0),0)+IF(AND(O1264="FIRE TEX 5090",OR(E1264="IN",E1264="C",E1264="Z",E1264="L"),J1264=4),VLOOKUP(_xlfn.MINIFS('FIRE TEX 5090'!$J$5:$J$43,'FIRE TEX 5090'!$J$5:$J$43,"&gt;="&amp;M1264),'FIRE TEX 5090'!$J$5:$P$43,IF(L1264="F-15",2,IF(L1264="F-30",3,IF(L1264="F-60",4,IF(L1264="F-90",5,IF(L1264="F-120",6,IF(L1264="F-150",7,0)))))),0),0)+IF(AND(O1264="FIRE TEX 5090",E1264="CJ",J1264=3),VLOOKUP(_xlfn.MINIFS('FIRE TEX 5090'!$R$5:$R$30,'FIRE TEX 5090'!$R$5:$R$30,"&gt;="&amp;M1264),'FIRE TEX 5090'!$R$5:$W$30,IF(L1264="F-15",2,IF(L1264="F-30",3,IF(L1264="F-60",4,IF(L1264="F-90",5,IF(L1264="F-120",6,IF(L1264="F-150",7,0)))))),0),0)+IF(AND(O1264="FIRE TEX 5090",E1264="CJ",J1264=4),VLOOKUP(_xlfn.MINIFS('FIRE TEX 5090'!$Y$5:$Y$39,'FIRE TEX 5090'!$Y$5:$Y$39,"&gt;="&amp;M1264),'FIRE TEX 5090'!$Y$5:$AD$39,IF(L1264="F-15",2,IF(L1264="F-30",3,IF(L1264="F-60",4,IF(L1264="F-90",5,IF(L1264="F-120",6,IF(L1264="F-150",7,0)))))),0),0)+IF(AND(O1264="FIRE TEX 5120",OR(E1264="IN",E1264="C",E1264="Z",E1264="L"),J1264=3),VLOOKUP(_xlfn.MINIFS('FIRE TEX 5120'!$B$5:$B$40,'FIRE TEX 5120'!$B$5:$B$40,"&gt;="&amp;M1264),'FIRE TEX 5120'!$B$5:$G$40,IF(L1264="F-15",2,IF(L1264="F-30",3,IF(L1264="F-60",4,IF(L1264="F-90",5,IF(L1264="F-120",6,0))))),0),0)+IF(AND(O1264="FIRE TEX 5120",OR(E1264="IN",E1264="C",E1264="Z",E1264="L"),J1264=4),VLOOKUP(_xlfn.MINIFS('FIRE TEX 5120'!$H$4:$H$40,'FIRE TEX 5120'!$H$4:$H$40,"&gt;="&amp;M1264),'FIRE TEX 5120'!$H$4:$M$40,IF(L1264="F-15",2,IF(L1264="F-30",3,IF(L1264="F-60",4,IF(L1264="F-90",5,IF(L1264="F-120",6,0))))),0),0)+IF(AND(O1264="FIRE TEX 5120",E1264="CJ"),VLOOKUP(_xlfn.MINIFS('FIRE TEX 5120'!$O$5:$O$40,'FIRE TEX 5120'!$O$5:$O$40,"&gt;="&amp;M1264),'FIRE TEX 5120'!$O$5:$T$40,IF(L1264="F-15",2,IF(L1264="F-30",3,IF(L1264="F-60",4,IF(L1264="F-90",5,IF(L1264="F-120",6,0))))),0),0)</f>
        <v>0</v>
      </c>
      <c r="Q1264" s="46">
        <f t="shared" si="119"/>
        <v>0</v>
      </c>
      <c r="R1264" s="46">
        <f t="shared" si="120"/>
        <v>0</v>
      </c>
      <c r="S1264" s="46" t="e">
        <f t="shared" si="121"/>
        <v>#VALUE!</v>
      </c>
      <c r="T1264" s="677">
        <f t="shared" si="122"/>
        <v>0</v>
      </c>
      <c r="U1264" s="80">
        <f>(IF(O1264="Stofire",(S1264*#REF!),0))+(IF(O1264="Fire Control",(S1264*$U$2),0))+(IF(O1264="Fire Tex",(S1264*$U$3),0))+(IF(O1264="WB7",(S1264*#REF!),0)+(IF(O1264="FX 2003",(S1264*$U$5),0)))</f>
        <v>0</v>
      </c>
      <c r="V1264" s="651">
        <f t="shared" si="123"/>
        <v>0</v>
      </c>
    </row>
    <row r="1265" spans="4:22" x14ac:dyDescent="0.25">
      <c r="D1265" s="118">
        <f>+CUBICACION!D1264</f>
        <v>0</v>
      </c>
      <c r="E1265" s="118">
        <f>+CUBICACION!F1264</f>
        <v>0</v>
      </c>
      <c r="F1265" s="118">
        <f>+CUBICACION!E1264</f>
        <v>0</v>
      </c>
      <c r="G1265" s="118">
        <v>12</v>
      </c>
      <c r="H1265" s="118">
        <v>2</v>
      </c>
      <c r="I1265" s="820">
        <v>26385</v>
      </c>
      <c r="J1265" s="118">
        <f>+CUBICACION!J1264</f>
        <v>0</v>
      </c>
      <c r="K1265" s="118">
        <v>4044</v>
      </c>
      <c r="L1265" s="118">
        <f>+CUBICACION!L1264</f>
        <v>0</v>
      </c>
      <c r="M1265" s="64">
        <f>+CUBICACION!M1264</f>
        <v>0</v>
      </c>
      <c r="N1265" s="824" t="str">
        <f>+CUBICACION!N1264</f>
        <v/>
      </c>
      <c r="O1265" s="675">
        <f>+CUBICACION!O1264</f>
        <v>0</v>
      </c>
      <c r="P1265" s="15">
        <f>IF(O1265="Fire Control",VLOOKUP(_xlfn.MINIFS('FIRE CONTROL'!$C$4:$C$37,'FIRE CONTROL'!$C$4:$C$37,"&gt;="&amp;M1265),'FIRE CONTROL'!$C$4:$G$37,IF(L1265="F-15",2,IF(L1265="F-30",3,IF(L1265="F-60",4,IF(L1265="F-90",5,0)))),0),0)+IF(AND(O1265="FIRE TEX 5062",OR(E1265="IN",E1265="C",E1265="Z",E1265="L"),J1265=3),VLOOKUP(_xlfn.MINIFS('FIRE TEX 5062'!$B$4:$B$34,'FIRE TEX 5062'!$B$4:$B$34,"&gt;="&amp;M1265),'FIRE TEX 5062'!$B$4:$F$34,IF(L1265="F-15",2,IF(L1265="F-30",3,IF(L1265="F-60",4,IF(L1265="F-90",5,0)))),0),0)+IF(AND(O1265="FIRE TEX 5062",OR(E1265="IN",E1265="C",E1265="Z",E1265="L"),J1265=4),VLOOKUP(_xlfn.MINIFS('FIRE TEX 5062'!$G$4:$G$34,'FIRE TEX 5062'!$G$4:$G$34,"&gt;="&amp;M1265),'FIRE TEX 5062'!$G$4:$K$34,IF(L1265="F-15",2,IF(L1265="F-30",3,IF(L1265="F-60",4,IF(L1265="F-90",5,0)))),0),0)+IF(AND(O1265="FIRE TEX 5062",E1265="CJ",J1265=3),VLOOKUP(_xlfn.MINIFS('FIRE TEX 5062'!$L$4:$L$34,'FIRE TEX 5062'!$L$4:$L$34,"&gt;="&amp;M1265),'FIRE TEX 5062'!$L$4:$P$34,IF(L1265="F-15",2,IF(L1265="F-30",3,IF(L1265="F-60",4,IF(L1265="F-90",5,0)))),0),0)+IF(AND(O1265="FIRE TEX 5062",E1265="CJ",J1265=4),VLOOKUP(_xlfn.MINIFS('FIRE TEX 5062'!$Q$3:$Q$34,'FIRE TEX 5062'!$Q$3:$Q$34,"&gt;="&amp;M1265),'FIRE TEX 5062'!$Q$3:$U$34,IF(L1265="F-15",2,IF(L1265="F-30",3,IF(L1265="F-60",4,IF(L1265="F-90",5,0)))),0),0)+IF(AND(O1265="FIRE TEX 5090",OR(E1265="IN",E1265="C",E1265="Z",E1265="L"),J1265=3),VLOOKUP(_xlfn.MINIFS('FIRE TEX 5090'!$B$5:$B$43,'FIRE TEX 5090'!$B$5:$B$43,"&gt;="&amp;M1265),'FIRE TEX 5090'!$B$5:$H$43,IF(L1265="F-15",2,IF(L1265="F-30",3,IF(L1265="F-60",4,IF(L1265="F-90",5,IF(L1265="F-120",6,IF(L1265="F-150",7,0)))))),0),0)+IF(AND(O1265="FIRE TEX 5090",OR(E1265="IN",E1265="C",E1265="Z",E1265="L"),J1265=4),VLOOKUP(_xlfn.MINIFS('FIRE TEX 5090'!$J$5:$J$43,'FIRE TEX 5090'!$J$5:$J$43,"&gt;="&amp;M1265),'FIRE TEX 5090'!$J$5:$P$43,IF(L1265="F-15",2,IF(L1265="F-30",3,IF(L1265="F-60",4,IF(L1265="F-90",5,IF(L1265="F-120",6,IF(L1265="F-150",7,0)))))),0),0)+IF(AND(O1265="FIRE TEX 5090",E1265="CJ",J1265=3),VLOOKUP(_xlfn.MINIFS('FIRE TEX 5090'!$R$5:$R$30,'FIRE TEX 5090'!$R$5:$R$30,"&gt;="&amp;M1265),'FIRE TEX 5090'!$R$5:$W$30,IF(L1265="F-15",2,IF(L1265="F-30",3,IF(L1265="F-60",4,IF(L1265="F-90",5,IF(L1265="F-120",6,IF(L1265="F-150",7,0)))))),0),0)+IF(AND(O1265="FIRE TEX 5090",E1265="CJ",J1265=4),VLOOKUP(_xlfn.MINIFS('FIRE TEX 5090'!$Y$5:$Y$39,'FIRE TEX 5090'!$Y$5:$Y$39,"&gt;="&amp;M1265),'FIRE TEX 5090'!$Y$5:$AD$39,IF(L1265="F-15",2,IF(L1265="F-30",3,IF(L1265="F-60",4,IF(L1265="F-90",5,IF(L1265="F-120",6,IF(L1265="F-150",7,0)))))),0),0)+IF(AND(O1265="FIRE TEX 5120",OR(E1265="IN",E1265="C",E1265="Z",E1265="L"),J1265=3),VLOOKUP(_xlfn.MINIFS('FIRE TEX 5120'!$B$5:$B$40,'FIRE TEX 5120'!$B$5:$B$40,"&gt;="&amp;M1265),'FIRE TEX 5120'!$B$5:$G$40,IF(L1265="F-15",2,IF(L1265="F-30",3,IF(L1265="F-60",4,IF(L1265="F-90",5,IF(L1265="F-120",6,0))))),0),0)+IF(AND(O1265="FIRE TEX 5120",OR(E1265="IN",E1265="C",E1265="Z",E1265="L"),J1265=4),VLOOKUP(_xlfn.MINIFS('FIRE TEX 5120'!$H$4:$H$40,'FIRE TEX 5120'!$H$4:$H$40,"&gt;="&amp;M1265),'FIRE TEX 5120'!$H$4:$M$40,IF(L1265="F-15",2,IF(L1265="F-30",3,IF(L1265="F-60",4,IF(L1265="F-90",5,IF(L1265="F-120",6,0))))),0),0)+IF(AND(O1265="FIRE TEX 5120",E1265="CJ"),VLOOKUP(_xlfn.MINIFS('FIRE TEX 5120'!$O$5:$O$40,'FIRE TEX 5120'!$O$5:$O$40,"&gt;="&amp;M1265),'FIRE TEX 5120'!$O$5:$T$40,IF(L1265="F-15",2,IF(L1265="F-30",3,IF(L1265="F-60",4,IF(L1265="F-90",5,IF(L1265="F-120",6,0))))),0),0)</f>
        <v>0</v>
      </c>
      <c r="Q1265" s="46">
        <f t="shared" si="119"/>
        <v>0</v>
      </c>
      <c r="R1265" s="46">
        <f t="shared" si="120"/>
        <v>0</v>
      </c>
      <c r="S1265" s="46" t="e">
        <f t="shared" si="121"/>
        <v>#VALUE!</v>
      </c>
      <c r="T1265" s="677">
        <f t="shared" si="122"/>
        <v>0</v>
      </c>
      <c r="U1265" s="80">
        <f>(IF(O1265="Stofire",(S1265*#REF!),0))+(IF(O1265="Fire Control",(S1265*$U$2),0))+(IF(O1265="Fire Tex",(S1265*$U$3),0))+(IF(O1265="WB7",(S1265*#REF!),0)+(IF(O1265="FX 2003",(S1265*$U$5),0)))</f>
        <v>0</v>
      </c>
      <c r="V1265" s="651">
        <f t="shared" si="123"/>
        <v>0</v>
      </c>
    </row>
    <row r="1266" spans="4:22" x14ac:dyDescent="0.25">
      <c r="D1266" s="118">
        <f>+CUBICACION!D1265</f>
        <v>0</v>
      </c>
      <c r="E1266" s="118">
        <f>+CUBICACION!F1265</f>
        <v>0</v>
      </c>
      <c r="F1266" s="118">
        <f>+CUBICACION!E1265</f>
        <v>0</v>
      </c>
      <c r="G1266" s="118">
        <v>12</v>
      </c>
      <c r="H1266" s="118">
        <v>2</v>
      </c>
      <c r="I1266" s="820">
        <v>26385</v>
      </c>
      <c r="J1266" s="118">
        <f>+CUBICACION!J1265</f>
        <v>0</v>
      </c>
      <c r="K1266" s="118">
        <v>4045</v>
      </c>
      <c r="L1266" s="118">
        <f>+CUBICACION!L1265</f>
        <v>0</v>
      </c>
      <c r="M1266" s="64">
        <f>+CUBICACION!M1265</f>
        <v>0</v>
      </c>
      <c r="N1266" s="824" t="str">
        <f>+CUBICACION!N1265</f>
        <v/>
      </c>
      <c r="O1266" s="675">
        <f>+CUBICACION!O1265</f>
        <v>0</v>
      </c>
      <c r="P1266" s="15">
        <f>IF(O1266="Fire Control",VLOOKUP(_xlfn.MINIFS('FIRE CONTROL'!$C$4:$C$37,'FIRE CONTROL'!$C$4:$C$37,"&gt;="&amp;M1266),'FIRE CONTROL'!$C$4:$G$37,IF(L1266="F-15",2,IF(L1266="F-30",3,IF(L1266="F-60",4,IF(L1266="F-90",5,0)))),0),0)+IF(AND(O1266="FIRE TEX 5062",OR(E1266="IN",E1266="C",E1266="Z",E1266="L"),J1266=3),VLOOKUP(_xlfn.MINIFS('FIRE TEX 5062'!$B$4:$B$34,'FIRE TEX 5062'!$B$4:$B$34,"&gt;="&amp;M1266),'FIRE TEX 5062'!$B$4:$F$34,IF(L1266="F-15",2,IF(L1266="F-30",3,IF(L1266="F-60",4,IF(L1266="F-90",5,0)))),0),0)+IF(AND(O1266="FIRE TEX 5062",OR(E1266="IN",E1266="C",E1266="Z",E1266="L"),J1266=4),VLOOKUP(_xlfn.MINIFS('FIRE TEX 5062'!$G$4:$G$34,'FIRE TEX 5062'!$G$4:$G$34,"&gt;="&amp;M1266),'FIRE TEX 5062'!$G$4:$K$34,IF(L1266="F-15",2,IF(L1266="F-30",3,IF(L1266="F-60",4,IF(L1266="F-90",5,0)))),0),0)+IF(AND(O1266="FIRE TEX 5062",E1266="CJ",J1266=3),VLOOKUP(_xlfn.MINIFS('FIRE TEX 5062'!$L$4:$L$34,'FIRE TEX 5062'!$L$4:$L$34,"&gt;="&amp;M1266),'FIRE TEX 5062'!$L$4:$P$34,IF(L1266="F-15",2,IF(L1266="F-30",3,IF(L1266="F-60",4,IF(L1266="F-90",5,0)))),0),0)+IF(AND(O1266="FIRE TEX 5062",E1266="CJ",J1266=4),VLOOKUP(_xlfn.MINIFS('FIRE TEX 5062'!$Q$3:$Q$34,'FIRE TEX 5062'!$Q$3:$Q$34,"&gt;="&amp;M1266),'FIRE TEX 5062'!$Q$3:$U$34,IF(L1266="F-15",2,IF(L1266="F-30",3,IF(L1266="F-60",4,IF(L1266="F-90",5,0)))),0),0)+IF(AND(O1266="FIRE TEX 5090",OR(E1266="IN",E1266="C",E1266="Z",E1266="L"),J1266=3),VLOOKUP(_xlfn.MINIFS('FIRE TEX 5090'!$B$5:$B$43,'FIRE TEX 5090'!$B$5:$B$43,"&gt;="&amp;M1266),'FIRE TEX 5090'!$B$5:$H$43,IF(L1266="F-15",2,IF(L1266="F-30",3,IF(L1266="F-60",4,IF(L1266="F-90",5,IF(L1266="F-120",6,IF(L1266="F-150",7,0)))))),0),0)+IF(AND(O1266="FIRE TEX 5090",OR(E1266="IN",E1266="C",E1266="Z",E1266="L"),J1266=4),VLOOKUP(_xlfn.MINIFS('FIRE TEX 5090'!$J$5:$J$43,'FIRE TEX 5090'!$J$5:$J$43,"&gt;="&amp;M1266),'FIRE TEX 5090'!$J$5:$P$43,IF(L1266="F-15",2,IF(L1266="F-30",3,IF(L1266="F-60",4,IF(L1266="F-90",5,IF(L1266="F-120",6,IF(L1266="F-150",7,0)))))),0),0)+IF(AND(O1266="FIRE TEX 5090",E1266="CJ",J1266=3),VLOOKUP(_xlfn.MINIFS('FIRE TEX 5090'!$R$5:$R$30,'FIRE TEX 5090'!$R$5:$R$30,"&gt;="&amp;M1266),'FIRE TEX 5090'!$R$5:$W$30,IF(L1266="F-15",2,IF(L1266="F-30",3,IF(L1266="F-60",4,IF(L1266="F-90",5,IF(L1266="F-120",6,IF(L1266="F-150",7,0)))))),0),0)+IF(AND(O1266="FIRE TEX 5090",E1266="CJ",J1266=4),VLOOKUP(_xlfn.MINIFS('FIRE TEX 5090'!$Y$5:$Y$39,'FIRE TEX 5090'!$Y$5:$Y$39,"&gt;="&amp;M1266),'FIRE TEX 5090'!$Y$5:$AD$39,IF(L1266="F-15",2,IF(L1266="F-30",3,IF(L1266="F-60",4,IF(L1266="F-90",5,IF(L1266="F-120",6,IF(L1266="F-150",7,0)))))),0),0)+IF(AND(O1266="FIRE TEX 5120",OR(E1266="IN",E1266="C",E1266="Z",E1266="L"),J1266=3),VLOOKUP(_xlfn.MINIFS('FIRE TEX 5120'!$B$5:$B$40,'FIRE TEX 5120'!$B$5:$B$40,"&gt;="&amp;M1266),'FIRE TEX 5120'!$B$5:$G$40,IF(L1266="F-15",2,IF(L1266="F-30",3,IF(L1266="F-60",4,IF(L1266="F-90",5,IF(L1266="F-120",6,0))))),0),0)+IF(AND(O1266="FIRE TEX 5120",OR(E1266="IN",E1266="C",E1266="Z",E1266="L"),J1266=4),VLOOKUP(_xlfn.MINIFS('FIRE TEX 5120'!$H$4:$H$40,'FIRE TEX 5120'!$H$4:$H$40,"&gt;="&amp;M1266),'FIRE TEX 5120'!$H$4:$M$40,IF(L1266="F-15",2,IF(L1266="F-30",3,IF(L1266="F-60",4,IF(L1266="F-90",5,IF(L1266="F-120",6,0))))),0),0)+IF(AND(O1266="FIRE TEX 5120",E1266="CJ"),VLOOKUP(_xlfn.MINIFS('FIRE TEX 5120'!$O$5:$O$40,'FIRE TEX 5120'!$O$5:$O$40,"&gt;="&amp;M1266),'FIRE TEX 5120'!$O$5:$T$40,IF(L1266="F-15",2,IF(L1266="F-30",3,IF(L1266="F-60",4,IF(L1266="F-90",5,IF(L1266="F-120",6,0))))),0),0)</f>
        <v>0</v>
      </c>
      <c r="Q1266" s="46">
        <f t="shared" si="119"/>
        <v>0</v>
      </c>
      <c r="R1266" s="46">
        <f t="shared" si="120"/>
        <v>0</v>
      </c>
      <c r="S1266" s="46" t="e">
        <f t="shared" si="121"/>
        <v>#VALUE!</v>
      </c>
      <c r="T1266" s="677">
        <f t="shared" si="122"/>
        <v>0</v>
      </c>
      <c r="U1266" s="80">
        <f>(IF(O1266="Stofire",(S1266*#REF!),0))+(IF(O1266="Fire Control",(S1266*$U$2),0))+(IF(O1266="Fire Tex",(S1266*$U$3),0))+(IF(O1266="WB7",(S1266*#REF!),0)+(IF(O1266="FX 2003",(S1266*$U$5),0)))</f>
        <v>0</v>
      </c>
      <c r="V1266" s="651">
        <f t="shared" si="123"/>
        <v>0</v>
      </c>
    </row>
    <row r="1267" spans="4:22" x14ac:dyDescent="0.25">
      <c r="D1267" s="118">
        <f>+CUBICACION!D1266</f>
        <v>0</v>
      </c>
      <c r="E1267" s="118">
        <f>+CUBICACION!F1266</f>
        <v>0</v>
      </c>
      <c r="F1267" s="118">
        <f>+CUBICACION!E1266</f>
        <v>0</v>
      </c>
      <c r="G1267" s="118">
        <v>12</v>
      </c>
      <c r="H1267" s="118">
        <v>2</v>
      </c>
      <c r="I1267" s="820">
        <v>26385</v>
      </c>
      <c r="J1267" s="118">
        <f>+CUBICACION!J1266</f>
        <v>0</v>
      </c>
      <c r="K1267" s="118">
        <v>4046</v>
      </c>
      <c r="L1267" s="118">
        <f>+CUBICACION!L1266</f>
        <v>0</v>
      </c>
      <c r="M1267" s="64">
        <f>+CUBICACION!M1266</f>
        <v>0</v>
      </c>
      <c r="N1267" s="824" t="str">
        <f>+CUBICACION!N1266</f>
        <v/>
      </c>
      <c r="O1267" s="675">
        <f>+CUBICACION!O1266</f>
        <v>0</v>
      </c>
      <c r="P1267" s="15">
        <f>IF(O1267="Fire Control",VLOOKUP(_xlfn.MINIFS('FIRE CONTROL'!$C$4:$C$37,'FIRE CONTROL'!$C$4:$C$37,"&gt;="&amp;M1267),'FIRE CONTROL'!$C$4:$G$37,IF(L1267="F-15",2,IF(L1267="F-30",3,IF(L1267="F-60",4,IF(L1267="F-90",5,0)))),0),0)+IF(AND(O1267="FIRE TEX 5062",OR(E1267="IN",E1267="C",E1267="Z",E1267="L"),J1267=3),VLOOKUP(_xlfn.MINIFS('FIRE TEX 5062'!$B$4:$B$34,'FIRE TEX 5062'!$B$4:$B$34,"&gt;="&amp;M1267),'FIRE TEX 5062'!$B$4:$F$34,IF(L1267="F-15",2,IF(L1267="F-30",3,IF(L1267="F-60",4,IF(L1267="F-90",5,0)))),0),0)+IF(AND(O1267="FIRE TEX 5062",OR(E1267="IN",E1267="C",E1267="Z",E1267="L"),J1267=4),VLOOKUP(_xlfn.MINIFS('FIRE TEX 5062'!$G$4:$G$34,'FIRE TEX 5062'!$G$4:$G$34,"&gt;="&amp;M1267),'FIRE TEX 5062'!$G$4:$K$34,IF(L1267="F-15",2,IF(L1267="F-30",3,IF(L1267="F-60",4,IF(L1267="F-90",5,0)))),0),0)+IF(AND(O1267="FIRE TEX 5062",E1267="CJ",J1267=3),VLOOKUP(_xlfn.MINIFS('FIRE TEX 5062'!$L$4:$L$34,'FIRE TEX 5062'!$L$4:$L$34,"&gt;="&amp;M1267),'FIRE TEX 5062'!$L$4:$P$34,IF(L1267="F-15",2,IF(L1267="F-30",3,IF(L1267="F-60",4,IF(L1267="F-90",5,0)))),0),0)+IF(AND(O1267="FIRE TEX 5062",E1267="CJ",J1267=4),VLOOKUP(_xlfn.MINIFS('FIRE TEX 5062'!$Q$3:$Q$34,'FIRE TEX 5062'!$Q$3:$Q$34,"&gt;="&amp;M1267),'FIRE TEX 5062'!$Q$3:$U$34,IF(L1267="F-15",2,IF(L1267="F-30",3,IF(L1267="F-60",4,IF(L1267="F-90",5,0)))),0),0)+IF(AND(O1267="FIRE TEX 5090",OR(E1267="IN",E1267="C",E1267="Z",E1267="L"),J1267=3),VLOOKUP(_xlfn.MINIFS('FIRE TEX 5090'!$B$5:$B$43,'FIRE TEX 5090'!$B$5:$B$43,"&gt;="&amp;M1267),'FIRE TEX 5090'!$B$5:$H$43,IF(L1267="F-15",2,IF(L1267="F-30",3,IF(L1267="F-60",4,IF(L1267="F-90",5,IF(L1267="F-120",6,IF(L1267="F-150",7,0)))))),0),0)+IF(AND(O1267="FIRE TEX 5090",OR(E1267="IN",E1267="C",E1267="Z",E1267="L"),J1267=4),VLOOKUP(_xlfn.MINIFS('FIRE TEX 5090'!$J$5:$J$43,'FIRE TEX 5090'!$J$5:$J$43,"&gt;="&amp;M1267),'FIRE TEX 5090'!$J$5:$P$43,IF(L1267="F-15",2,IF(L1267="F-30",3,IF(L1267="F-60",4,IF(L1267="F-90",5,IF(L1267="F-120",6,IF(L1267="F-150",7,0)))))),0),0)+IF(AND(O1267="FIRE TEX 5090",E1267="CJ",J1267=3),VLOOKUP(_xlfn.MINIFS('FIRE TEX 5090'!$R$5:$R$30,'FIRE TEX 5090'!$R$5:$R$30,"&gt;="&amp;M1267),'FIRE TEX 5090'!$R$5:$W$30,IF(L1267="F-15",2,IF(L1267="F-30",3,IF(L1267="F-60",4,IF(L1267="F-90",5,IF(L1267="F-120",6,IF(L1267="F-150",7,0)))))),0),0)+IF(AND(O1267="FIRE TEX 5090",E1267="CJ",J1267=4),VLOOKUP(_xlfn.MINIFS('FIRE TEX 5090'!$Y$5:$Y$39,'FIRE TEX 5090'!$Y$5:$Y$39,"&gt;="&amp;M1267),'FIRE TEX 5090'!$Y$5:$AD$39,IF(L1267="F-15",2,IF(L1267="F-30",3,IF(L1267="F-60",4,IF(L1267="F-90",5,IF(L1267="F-120",6,IF(L1267="F-150",7,0)))))),0),0)+IF(AND(O1267="FIRE TEX 5120",OR(E1267="IN",E1267="C",E1267="Z",E1267="L"),J1267=3),VLOOKUP(_xlfn.MINIFS('FIRE TEX 5120'!$B$5:$B$40,'FIRE TEX 5120'!$B$5:$B$40,"&gt;="&amp;M1267),'FIRE TEX 5120'!$B$5:$G$40,IF(L1267="F-15",2,IF(L1267="F-30",3,IF(L1267="F-60",4,IF(L1267="F-90",5,IF(L1267="F-120",6,0))))),0),0)+IF(AND(O1267="FIRE TEX 5120",OR(E1267="IN",E1267="C",E1267="Z",E1267="L"),J1267=4),VLOOKUP(_xlfn.MINIFS('FIRE TEX 5120'!$H$4:$H$40,'FIRE TEX 5120'!$H$4:$H$40,"&gt;="&amp;M1267),'FIRE TEX 5120'!$H$4:$M$40,IF(L1267="F-15",2,IF(L1267="F-30",3,IF(L1267="F-60",4,IF(L1267="F-90",5,IF(L1267="F-120",6,0))))),0),0)+IF(AND(O1267="FIRE TEX 5120",E1267="CJ"),VLOOKUP(_xlfn.MINIFS('FIRE TEX 5120'!$O$5:$O$40,'FIRE TEX 5120'!$O$5:$O$40,"&gt;="&amp;M1267),'FIRE TEX 5120'!$O$5:$T$40,IF(L1267="F-15",2,IF(L1267="F-30",3,IF(L1267="F-60",4,IF(L1267="F-90",5,IF(L1267="F-120",6,0))))),0),0)</f>
        <v>0</v>
      </c>
      <c r="Q1267" s="46">
        <f t="shared" si="119"/>
        <v>0</v>
      </c>
      <c r="R1267" s="46">
        <f t="shared" si="120"/>
        <v>0</v>
      </c>
      <c r="S1267" s="46" t="e">
        <f t="shared" si="121"/>
        <v>#VALUE!</v>
      </c>
      <c r="T1267" s="677">
        <f t="shared" si="122"/>
        <v>0</v>
      </c>
      <c r="U1267" s="80">
        <f>(IF(O1267="Stofire",(S1267*#REF!),0))+(IF(O1267="Fire Control",(S1267*$U$2),0))+(IF(O1267="Fire Tex",(S1267*$U$3),0))+(IF(O1267="WB7",(S1267*#REF!),0)+(IF(O1267="FX 2003",(S1267*$U$5),0)))</f>
        <v>0</v>
      </c>
      <c r="V1267" s="651">
        <f t="shared" si="123"/>
        <v>0</v>
      </c>
    </row>
    <row r="1268" spans="4:22" x14ac:dyDescent="0.25">
      <c r="D1268" s="118">
        <f>+CUBICACION!D1267</f>
        <v>0</v>
      </c>
      <c r="E1268" s="118">
        <f>+CUBICACION!F1267</f>
        <v>0</v>
      </c>
      <c r="F1268" s="118">
        <f>+CUBICACION!E1267</f>
        <v>0</v>
      </c>
      <c r="G1268" s="118">
        <v>12</v>
      </c>
      <c r="H1268" s="118">
        <v>2</v>
      </c>
      <c r="I1268" s="820">
        <v>26385</v>
      </c>
      <c r="J1268" s="118">
        <f>+CUBICACION!J1267</f>
        <v>0</v>
      </c>
      <c r="K1268" s="118">
        <v>4047</v>
      </c>
      <c r="L1268" s="118">
        <f>+CUBICACION!L1267</f>
        <v>0</v>
      </c>
      <c r="M1268" s="64">
        <f>+CUBICACION!M1267</f>
        <v>0</v>
      </c>
      <c r="N1268" s="824" t="str">
        <f>+CUBICACION!N1267</f>
        <v/>
      </c>
      <c r="O1268" s="675">
        <f>+CUBICACION!O1267</f>
        <v>0</v>
      </c>
      <c r="P1268" s="15">
        <f>IF(O1268="Fire Control",VLOOKUP(_xlfn.MINIFS('FIRE CONTROL'!$C$4:$C$37,'FIRE CONTROL'!$C$4:$C$37,"&gt;="&amp;M1268),'FIRE CONTROL'!$C$4:$G$37,IF(L1268="F-15",2,IF(L1268="F-30",3,IF(L1268="F-60",4,IF(L1268="F-90",5,0)))),0),0)+IF(AND(O1268="FIRE TEX 5062",OR(E1268="IN",E1268="C",E1268="Z",E1268="L"),J1268=3),VLOOKUP(_xlfn.MINIFS('FIRE TEX 5062'!$B$4:$B$34,'FIRE TEX 5062'!$B$4:$B$34,"&gt;="&amp;M1268),'FIRE TEX 5062'!$B$4:$F$34,IF(L1268="F-15",2,IF(L1268="F-30",3,IF(L1268="F-60",4,IF(L1268="F-90",5,0)))),0),0)+IF(AND(O1268="FIRE TEX 5062",OR(E1268="IN",E1268="C",E1268="Z",E1268="L"),J1268=4),VLOOKUP(_xlfn.MINIFS('FIRE TEX 5062'!$G$4:$G$34,'FIRE TEX 5062'!$G$4:$G$34,"&gt;="&amp;M1268),'FIRE TEX 5062'!$G$4:$K$34,IF(L1268="F-15",2,IF(L1268="F-30",3,IF(L1268="F-60",4,IF(L1268="F-90",5,0)))),0),0)+IF(AND(O1268="FIRE TEX 5062",E1268="CJ",J1268=3),VLOOKUP(_xlfn.MINIFS('FIRE TEX 5062'!$L$4:$L$34,'FIRE TEX 5062'!$L$4:$L$34,"&gt;="&amp;M1268),'FIRE TEX 5062'!$L$4:$P$34,IF(L1268="F-15",2,IF(L1268="F-30",3,IF(L1268="F-60",4,IF(L1268="F-90",5,0)))),0),0)+IF(AND(O1268="FIRE TEX 5062",E1268="CJ",J1268=4),VLOOKUP(_xlfn.MINIFS('FIRE TEX 5062'!$Q$3:$Q$34,'FIRE TEX 5062'!$Q$3:$Q$34,"&gt;="&amp;M1268),'FIRE TEX 5062'!$Q$3:$U$34,IF(L1268="F-15",2,IF(L1268="F-30",3,IF(L1268="F-60",4,IF(L1268="F-90",5,0)))),0),0)+IF(AND(O1268="FIRE TEX 5090",OR(E1268="IN",E1268="C",E1268="Z",E1268="L"),J1268=3),VLOOKUP(_xlfn.MINIFS('FIRE TEX 5090'!$B$5:$B$43,'FIRE TEX 5090'!$B$5:$B$43,"&gt;="&amp;M1268),'FIRE TEX 5090'!$B$5:$H$43,IF(L1268="F-15",2,IF(L1268="F-30",3,IF(L1268="F-60",4,IF(L1268="F-90",5,IF(L1268="F-120",6,IF(L1268="F-150",7,0)))))),0),0)+IF(AND(O1268="FIRE TEX 5090",OR(E1268="IN",E1268="C",E1268="Z",E1268="L"),J1268=4),VLOOKUP(_xlfn.MINIFS('FIRE TEX 5090'!$J$5:$J$43,'FIRE TEX 5090'!$J$5:$J$43,"&gt;="&amp;M1268),'FIRE TEX 5090'!$J$5:$P$43,IF(L1268="F-15",2,IF(L1268="F-30",3,IF(L1268="F-60",4,IF(L1268="F-90",5,IF(L1268="F-120",6,IF(L1268="F-150",7,0)))))),0),0)+IF(AND(O1268="FIRE TEX 5090",E1268="CJ",J1268=3),VLOOKUP(_xlfn.MINIFS('FIRE TEX 5090'!$R$5:$R$30,'FIRE TEX 5090'!$R$5:$R$30,"&gt;="&amp;M1268),'FIRE TEX 5090'!$R$5:$W$30,IF(L1268="F-15",2,IF(L1268="F-30",3,IF(L1268="F-60",4,IF(L1268="F-90",5,IF(L1268="F-120",6,IF(L1268="F-150",7,0)))))),0),0)+IF(AND(O1268="FIRE TEX 5090",E1268="CJ",J1268=4),VLOOKUP(_xlfn.MINIFS('FIRE TEX 5090'!$Y$5:$Y$39,'FIRE TEX 5090'!$Y$5:$Y$39,"&gt;="&amp;M1268),'FIRE TEX 5090'!$Y$5:$AD$39,IF(L1268="F-15",2,IF(L1268="F-30",3,IF(L1268="F-60",4,IF(L1268="F-90",5,IF(L1268="F-120",6,IF(L1268="F-150",7,0)))))),0),0)+IF(AND(O1268="FIRE TEX 5120",OR(E1268="IN",E1268="C",E1268="Z",E1268="L"),J1268=3),VLOOKUP(_xlfn.MINIFS('FIRE TEX 5120'!$B$5:$B$40,'FIRE TEX 5120'!$B$5:$B$40,"&gt;="&amp;M1268),'FIRE TEX 5120'!$B$5:$G$40,IF(L1268="F-15",2,IF(L1268="F-30",3,IF(L1268="F-60",4,IF(L1268="F-90",5,IF(L1268="F-120",6,0))))),0),0)+IF(AND(O1268="FIRE TEX 5120",OR(E1268="IN",E1268="C",E1268="Z",E1268="L"),J1268=4),VLOOKUP(_xlfn.MINIFS('FIRE TEX 5120'!$H$4:$H$40,'FIRE TEX 5120'!$H$4:$H$40,"&gt;="&amp;M1268),'FIRE TEX 5120'!$H$4:$M$40,IF(L1268="F-15",2,IF(L1268="F-30",3,IF(L1268="F-60",4,IF(L1268="F-90",5,IF(L1268="F-120",6,0))))),0),0)+IF(AND(O1268="FIRE TEX 5120",E1268="CJ"),VLOOKUP(_xlfn.MINIFS('FIRE TEX 5120'!$O$5:$O$40,'FIRE TEX 5120'!$O$5:$O$40,"&gt;="&amp;M1268),'FIRE TEX 5120'!$O$5:$T$40,IF(L1268="F-15",2,IF(L1268="F-30",3,IF(L1268="F-60",4,IF(L1268="F-90",5,IF(L1268="F-120",6,0))))),0),0)</f>
        <v>0</v>
      </c>
      <c r="Q1268" s="46">
        <f t="shared" si="119"/>
        <v>0</v>
      </c>
      <c r="R1268" s="46">
        <f t="shared" si="120"/>
        <v>0</v>
      </c>
      <c r="S1268" s="46" t="e">
        <f t="shared" si="121"/>
        <v>#VALUE!</v>
      </c>
      <c r="T1268" s="677">
        <f t="shared" si="122"/>
        <v>0</v>
      </c>
      <c r="U1268" s="80">
        <f>(IF(O1268="Stofire",(S1268*#REF!),0))+(IF(O1268="Fire Control",(S1268*$U$2),0))+(IF(O1268="Fire Tex",(S1268*$U$3),0))+(IF(O1268="WB7",(S1268*#REF!),0)+(IF(O1268="FX 2003",(S1268*$U$5),0)))</f>
        <v>0</v>
      </c>
      <c r="V1268" s="651">
        <f t="shared" si="123"/>
        <v>0</v>
      </c>
    </row>
    <row r="1269" spans="4:22" x14ac:dyDescent="0.25">
      <c r="D1269" s="118">
        <f>+CUBICACION!D1268</f>
        <v>0</v>
      </c>
      <c r="E1269" s="118">
        <f>+CUBICACION!F1268</f>
        <v>0</v>
      </c>
      <c r="F1269" s="118">
        <f>+CUBICACION!E1268</f>
        <v>0</v>
      </c>
      <c r="G1269" s="118">
        <v>12</v>
      </c>
      <c r="H1269" s="118">
        <v>2</v>
      </c>
      <c r="I1269" s="820">
        <v>26385</v>
      </c>
      <c r="J1269" s="118">
        <f>+CUBICACION!J1268</f>
        <v>0</v>
      </c>
      <c r="K1269" s="118">
        <v>4048</v>
      </c>
      <c r="L1269" s="118">
        <f>+CUBICACION!L1268</f>
        <v>0</v>
      </c>
      <c r="M1269" s="64">
        <f>+CUBICACION!M1268</f>
        <v>0</v>
      </c>
      <c r="N1269" s="824" t="str">
        <f>+CUBICACION!N1268</f>
        <v/>
      </c>
      <c r="O1269" s="675">
        <f>+CUBICACION!O1268</f>
        <v>0</v>
      </c>
      <c r="P1269" s="15">
        <f>IF(O1269="Fire Control",VLOOKUP(_xlfn.MINIFS('FIRE CONTROL'!$C$4:$C$37,'FIRE CONTROL'!$C$4:$C$37,"&gt;="&amp;M1269),'FIRE CONTROL'!$C$4:$G$37,IF(L1269="F-15",2,IF(L1269="F-30",3,IF(L1269="F-60",4,IF(L1269="F-90",5,0)))),0),0)+IF(AND(O1269="FIRE TEX 5062",OR(E1269="IN",E1269="C",E1269="Z",E1269="L"),J1269=3),VLOOKUP(_xlfn.MINIFS('FIRE TEX 5062'!$B$4:$B$34,'FIRE TEX 5062'!$B$4:$B$34,"&gt;="&amp;M1269),'FIRE TEX 5062'!$B$4:$F$34,IF(L1269="F-15",2,IF(L1269="F-30",3,IF(L1269="F-60",4,IF(L1269="F-90",5,0)))),0),0)+IF(AND(O1269="FIRE TEX 5062",OR(E1269="IN",E1269="C",E1269="Z",E1269="L"),J1269=4),VLOOKUP(_xlfn.MINIFS('FIRE TEX 5062'!$G$4:$G$34,'FIRE TEX 5062'!$G$4:$G$34,"&gt;="&amp;M1269),'FIRE TEX 5062'!$G$4:$K$34,IF(L1269="F-15",2,IF(L1269="F-30",3,IF(L1269="F-60",4,IF(L1269="F-90",5,0)))),0),0)+IF(AND(O1269="FIRE TEX 5062",E1269="CJ",J1269=3),VLOOKUP(_xlfn.MINIFS('FIRE TEX 5062'!$L$4:$L$34,'FIRE TEX 5062'!$L$4:$L$34,"&gt;="&amp;M1269),'FIRE TEX 5062'!$L$4:$P$34,IF(L1269="F-15",2,IF(L1269="F-30",3,IF(L1269="F-60",4,IF(L1269="F-90",5,0)))),0),0)+IF(AND(O1269="FIRE TEX 5062",E1269="CJ",J1269=4),VLOOKUP(_xlfn.MINIFS('FIRE TEX 5062'!$Q$3:$Q$34,'FIRE TEX 5062'!$Q$3:$Q$34,"&gt;="&amp;M1269),'FIRE TEX 5062'!$Q$3:$U$34,IF(L1269="F-15",2,IF(L1269="F-30",3,IF(L1269="F-60",4,IF(L1269="F-90",5,0)))),0),0)+IF(AND(O1269="FIRE TEX 5090",OR(E1269="IN",E1269="C",E1269="Z",E1269="L"),J1269=3),VLOOKUP(_xlfn.MINIFS('FIRE TEX 5090'!$B$5:$B$43,'FIRE TEX 5090'!$B$5:$B$43,"&gt;="&amp;M1269),'FIRE TEX 5090'!$B$5:$H$43,IF(L1269="F-15",2,IF(L1269="F-30",3,IF(L1269="F-60",4,IF(L1269="F-90",5,IF(L1269="F-120",6,IF(L1269="F-150",7,0)))))),0),0)+IF(AND(O1269="FIRE TEX 5090",OR(E1269="IN",E1269="C",E1269="Z",E1269="L"),J1269=4),VLOOKUP(_xlfn.MINIFS('FIRE TEX 5090'!$J$5:$J$43,'FIRE TEX 5090'!$J$5:$J$43,"&gt;="&amp;M1269),'FIRE TEX 5090'!$J$5:$P$43,IF(L1269="F-15",2,IF(L1269="F-30",3,IF(L1269="F-60",4,IF(L1269="F-90",5,IF(L1269="F-120",6,IF(L1269="F-150",7,0)))))),0),0)+IF(AND(O1269="FIRE TEX 5090",E1269="CJ",J1269=3),VLOOKUP(_xlfn.MINIFS('FIRE TEX 5090'!$R$5:$R$30,'FIRE TEX 5090'!$R$5:$R$30,"&gt;="&amp;M1269),'FIRE TEX 5090'!$R$5:$W$30,IF(L1269="F-15",2,IF(L1269="F-30",3,IF(L1269="F-60",4,IF(L1269="F-90",5,IF(L1269="F-120",6,IF(L1269="F-150",7,0)))))),0),0)+IF(AND(O1269="FIRE TEX 5090",E1269="CJ",J1269=4),VLOOKUP(_xlfn.MINIFS('FIRE TEX 5090'!$Y$5:$Y$39,'FIRE TEX 5090'!$Y$5:$Y$39,"&gt;="&amp;M1269),'FIRE TEX 5090'!$Y$5:$AD$39,IF(L1269="F-15",2,IF(L1269="F-30",3,IF(L1269="F-60",4,IF(L1269="F-90",5,IF(L1269="F-120",6,IF(L1269="F-150",7,0)))))),0),0)+IF(AND(O1269="FIRE TEX 5120",OR(E1269="IN",E1269="C",E1269="Z",E1269="L"),J1269=3),VLOOKUP(_xlfn.MINIFS('FIRE TEX 5120'!$B$5:$B$40,'FIRE TEX 5120'!$B$5:$B$40,"&gt;="&amp;M1269),'FIRE TEX 5120'!$B$5:$G$40,IF(L1269="F-15",2,IF(L1269="F-30",3,IF(L1269="F-60",4,IF(L1269="F-90",5,IF(L1269="F-120",6,0))))),0),0)+IF(AND(O1269="FIRE TEX 5120",OR(E1269="IN",E1269="C",E1269="Z",E1269="L"),J1269=4),VLOOKUP(_xlfn.MINIFS('FIRE TEX 5120'!$H$4:$H$40,'FIRE TEX 5120'!$H$4:$H$40,"&gt;="&amp;M1269),'FIRE TEX 5120'!$H$4:$M$40,IF(L1269="F-15",2,IF(L1269="F-30",3,IF(L1269="F-60",4,IF(L1269="F-90",5,IF(L1269="F-120",6,0))))),0),0)+IF(AND(O1269="FIRE TEX 5120",E1269="CJ"),VLOOKUP(_xlfn.MINIFS('FIRE TEX 5120'!$O$5:$O$40,'FIRE TEX 5120'!$O$5:$O$40,"&gt;="&amp;M1269),'FIRE TEX 5120'!$O$5:$T$40,IF(L1269="F-15",2,IF(L1269="F-30",3,IF(L1269="F-60",4,IF(L1269="F-90",5,IF(L1269="F-120",6,0))))),0),0)</f>
        <v>0</v>
      </c>
      <c r="Q1269" s="46">
        <f t="shared" si="119"/>
        <v>0</v>
      </c>
      <c r="R1269" s="46">
        <f t="shared" si="120"/>
        <v>0</v>
      </c>
      <c r="S1269" s="46" t="e">
        <f t="shared" si="121"/>
        <v>#VALUE!</v>
      </c>
      <c r="T1269" s="677">
        <f t="shared" si="122"/>
        <v>0</v>
      </c>
      <c r="U1269" s="80">
        <f>(IF(O1269="Stofire",(S1269*#REF!),0))+(IF(O1269="Fire Control",(S1269*$U$2),0))+(IF(O1269="Fire Tex",(S1269*$U$3),0))+(IF(O1269="WB7",(S1269*#REF!),0)+(IF(O1269="FX 2003",(S1269*$U$5),0)))</f>
        <v>0</v>
      </c>
      <c r="V1269" s="651">
        <f t="shared" si="123"/>
        <v>0</v>
      </c>
    </row>
    <row r="1270" spans="4:22" x14ac:dyDescent="0.25">
      <c r="D1270" s="118">
        <f>+CUBICACION!D1269</f>
        <v>0</v>
      </c>
      <c r="E1270" s="118">
        <f>+CUBICACION!F1269</f>
        <v>0</v>
      </c>
      <c r="F1270" s="118">
        <f>+CUBICACION!E1269</f>
        <v>0</v>
      </c>
      <c r="G1270" s="118">
        <v>12</v>
      </c>
      <c r="H1270" s="118">
        <v>2</v>
      </c>
      <c r="I1270" s="820">
        <v>26385</v>
      </c>
      <c r="J1270" s="118">
        <f>+CUBICACION!J1269</f>
        <v>0</v>
      </c>
      <c r="K1270" s="118">
        <v>4049</v>
      </c>
      <c r="L1270" s="118">
        <f>+CUBICACION!L1269</f>
        <v>0</v>
      </c>
      <c r="M1270" s="64">
        <f>+CUBICACION!M1269</f>
        <v>0</v>
      </c>
      <c r="N1270" s="824" t="str">
        <f>+CUBICACION!N1269</f>
        <v/>
      </c>
      <c r="O1270" s="675">
        <f>+CUBICACION!O1269</f>
        <v>0</v>
      </c>
      <c r="P1270" s="15">
        <f>IF(O1270="Fire Control",VLOOKUP(_xlfn.MINIFS('FIRE CONTROL'!$C$4:$C$37,'FIRE CONTROL'!$C$4:$C$37,"&gt;="&amp;M1270),'FIRE CONTROL'!$C$4:$G$37,IF(L1270="F-15",2,IF(L1270="F-30",3,IF(L1270="F-60",4,IF(L1270="F-90",5,0)))),0),0)+IF(AND(O1270="FIRE TEX 5062",OR(E1270="IN",E1270="C",E1270="Z",E1270="L"),J1270=3),VLOOKUP(_xlfn.MINIFS('FIRE TEX 5062'!$B$4:$B$34,'FIRE TEX 5062'!$B$4:$B$34,"&gt;="&amp;M1270),'FIRE TEX 5062'!$B$4:$F$34,IF(L1270="F-15",2,IF(L1270="F-30",3,IF(L1270="F-60",4,IF(L1270="F-90",5,0)))),0),0)+IF(AND(O1270="FIRE TEX 5062",OR(E1270="IN",E1270="C",E1270="Z",E1270="L"),J1270=4),VLOOKUP(_xlfn.MINIFS('FIRE TEX 5062'!$G$4:$G$34,'FIRE TEX 5062'!$G$4:$G$34,"&gt;="&amp;M1270),'FIRE TEX 5062'!$G$4:$K$34,IF(L1270="F-15",2,IF(L1270="F-30",3,IF(L1270="F-60",4,IF(L1270="F-90",5,0)))),0),0)+IF(AND(O1270="FIRE TEX 5062",E1270="CJ",J1270=3),VLOOKUP(_xlfn.MINIFS('FIRE TEX 5062'!$L$4:$L$34,'FIRE TEX 5062'!$L$4:$L$34,"&gt;="&amp;M1270),'FIRE TEX 5062'!$L$4:$P$34,IF(L1270="F-15",2,IF(L1270="F-30",3,IF(L1270="F-60",4,IF(L1270="F-90",5,0)))),0),0)+IF(AND(O1270="FIRE TEX 5062",E1270="CJ",J1270=4),VLOOKUP(_xlfn.MINIFS('FIRE TEX 5062'!$Q$3:$Q$34,'FIRE TEX 5062'!$Q$3:$Q$34,"&gt;="&amp;M1270),'FIRE TEX 5062'!$Q$3:$U$34,IF(L1270="F-15",2,IF(L1270="F-30",3,IF(L1270="F-60",4,IF(L1270="F-90",5,0)))),0),0)+IF(AND(O1270="FIRE TEX 5090",OR(E1270="IN",E1270="C",E1270="Z",E1270="L"),J1270=3),VLOOKUP(_xlfn.MINIFS('FIRE TEX 5090'!$B$5:$B$43,'FIRE TEX 5090'!$B$5:$B$43,"&gt;="&amp;M1270),'FIRE TEX 5090'!$B$5:$H$43,IF(L1270="F-15",2,IF(L1270="F-30",3,IF(L1270="F-60",4,IF(L1270="F-90",5,IF(L1270="F-120",6,IF(L1270="F-150",7,0)))))),0),0)+IF(AND(O1270="FIRE TEX 5090",OR(E1270="IN",E1270="C",E1270="Z",E1270="L"),J1270=4),VLOOKUP(_xlfn.MINIFS('FIRE TEX 5090'!$J$5:$J$43,'FIRE TEX 5090'!$J$5:$J$43,"&gt;="&amp;M1270),'FIRE TEX 5090'!$J$5:$P$43,IF(L1270="F-15",2,IF(L1270="F-30",3,IF(L1270="F-60",4,IF(L1270="F-90",5,IF(L1270="F-120",6,IF(L1270="F-150",7,0)))))),0),0)+IF(AND(O1270="FIRE TEX 5090",E1270="CJ",J1270=3),VLOOKUP(_xlfn.MINIFS('FIRE TEX 5090'!$R$5:$R$30,'FIRE TEX 5090'!$R$5:$R$30,"&gt;="&amp;M1270),'FIRE TEX 5090'!$R$5:$W$30,IF(L1270="F-15",2,IF(L1270="F-30",3,IF(L1270="F-60",4,IF(L1270="F-90",5,IF(L1270="F-120",6,IF(L1270="F-150",7,0)))))),0),0)+IF(AND(O1270="FIRE TEX 5090",E1270="CJ",J1270=4),VLOOKUP(_xlfn.MINIFS('FIRE TEX 5090'!$Y$5:$Y$39,'FIRE TEX 5090'!$Y$5:$Y$39,"&gt;="&amp;M1270),'FIRE TEX 5090'!$Y$5:$AD$39,IF(L1270="F-15",2,IF(L1270="F-30",3,IF(L1270="F-60",4,IF(L1270="F-90",5,IF(L1270="F-120",6,IF(L1270="F-150",7,0)))))),0),0)+IF(AND(O1270="FIRE TEX 5120",OR(E1270="IN",E1270="C",E1270="Z",E1270="L"),J1270=3),VLOOKUP(_xlfn.MINIFS('FIRE TEX 5120'!$B$5:$B$40,'FIRE TEX 5120'!$B$5:$B$40,"&gt;="&amp;M1270),'FIRE TEX 5120'!$B$5:$G$40,IF(L1270="F-15",2,IF(L1270="F-30",3,IF(L1270="F-60",4,IF(L1270="F-90",5,IF(L1270="F-120",6,0))))),0),0)+IF(AND(O1270="FIRE TEX 5120",OR(E1270="IN",E1270="C",E1270="Z",E1270="L"),J1270=4),VLOOKUP(_xlfn.MINIFS('FIRE TEX 5120'!$H$4:$H$40,'FIRE TEX 5120'!$H$4:$H$40,"&gt;="&amp;M1270),'FIRE TEX 5120'!$H$4:$M$40,IF(L1270="F-15",2,IF(L1270="F-30",3,IF(L1270="F-60",4,IF(L1270="F-90",5,IF(L1270="F-120",6,0))))),0),0)+IF(AND(O1270="FIRE TEX 5120",E1270="CJ"),VLOOKUP(_xlfn.MINIFS('FIRE TEX 5120'!$O$5:$O$40,'FIRE TEX 5120'!$O$5:$O$40,"&gt;="&amp;M1270),'FIRE TEX 5120'!$O$5:$T$40,IF(L1270="F-15",2,IF(L1270="F-30",3,IF(L1270="F-60",4,IF(L1270="F-90",5,IF(L1270="F-120",6,0))))),0),0)</f>
        <v>0</v>
      </c>
      <c r="Q1270" s="46">
        <f t="shared" si="119"/>
        <v>0</v>
      </c>
      <c r="R1270" s="46">
        <f t="shared" si="120"/>
        <v>0</v>
      </c>
      <c r="S1270" s="46" t="e">
        <f t="shared" si="121"/>
        <v>#VALUE!</v>
      </c>
      <c r="T1270" s="677">
        <f t="shared" si="122"/>
        <v>0</v>
      </c>
      <c r="U1270" s="80">
        <f>(IF(O1270="Stofire",(S1270*#REF!),0))+(IF(O1270="Fire Control",(S1270*$U$2),0))+(IF(O1270="Fire Tex",(S1270*$U$3),0))+(IF(O1270="WB7",(S1270*#REF!),0)+(IF(O1270="FX 2003",(S1270*$U$5),0)))</f>
        <v>0</v>
      </c>
      <c r="V1270" s="651">
        <f t="shared" si="123"/>
        <v>0</v>
      </c>
    </row>
    <row r="1271" spans="4:22" x14ac:dyDescent="0.25">
      <c r="D1271" s="118">
        <f>+CUBICACION!D1270</f>
        <v>0</v>
      </c>
      <c r="E1271" s="118">
        <f>+CUBICACION!F1270</f>
        <v>0</v>
      </c>
      <c r="F1271" s="118">
        <f>+CUBICACION!E1270</f>
        <v>0</v>
      </c>
      <c r="G1271" s="118">
        <v>12</v>
      </c>
      <c r="H1271" s="118">
        <v>2</v>
      </c>
      <c r="I1271" s="820">
        <v>26385</v>
      </c>
      <c r="J1271" s="118">
        <f>+CUBICACION!J1270</f>
        <v>0</v>
      </c>
      <c r="K1271" s="118">
        <v>4050</v>
      </c>
      <c r="L1271" s="118">
        <f>+CUBICACION!L1270</f>
        <v>0</v>
      </c>
      <c r="M1271" s="64">
        <f>+CUBICACION!M1270</f>
        <v>0</v>
      </c>
      <c r="N1271" s="824" t="str">
        <f>+CUBICACION!N1270</f>
        <v/>
      </c>
      <c r="O1271" s="675">
        <f>+CUBICACION!O1270</f>
        <v>0</v>
      </c>
      <c r="P1271" s="15">
        <f>IF(O1271="Fire Control",VLOOKUP(_xlfn.MINIFS('FIRE CONTROL'!$C$4:$C$37,'FIRE CONTROL'!$C$4:$C$37,"&gt;="&amp;M1271),'FIRE CONTROL'!$C$4:$G$37,IF(L1271="F-15",2,IF(L1271="F-30",3,IF(L1271="F-60",4,IF(L1271="F-90",5,0)))),0),0)+IF(AND(O1271="FIRE TEX 5062",OR(E1271="IN",E1271="C",E1271="Z",E1271="L"),J1271=3),VLOOKUP(_xlfn.MINIFS('FIRE TEX 5062'!$B$4:$B$34,'FIRE TEX 5062'!$B$4:$B$34,"&gt;="&amp;M1271),'FIRE TEX 5062'!$B$4:$F$34,IF(L1271="F-15",2,IF(L1271="F-30",3,IF(L1271="F-60",4,IF(L1271="F-90",5,0)))),0),0)+IF(AND(O1271="FIRE TEX 5062",OR(E1271="IN",E1271="C",E1271="Z",E1271="L"),J1271=4),VLOOKUP(_xlfn.MINIFS('FIRE TEX 5062'!$G$4:$G$34,'FIRE TEX 5062'!$G$4:$G$34,"&gt;="&amp;M1271),'FIRE TEX 5062'!$G$4:$K$34,IF(L1271="F-15",2,IF(L1271="F-30",3,IF(L1271="F-60",4,IF(L1271="F-90",5,0)))),0),0)+IF(AND(O1271="FIRE TEX 5062",E1271="CJ",J1271=3),VLOOKUP(_xlfn.MINIFS('FIRE TEX 5062'!$L$4:$L$34,'FIRE TEX 5062'!$L$4:$L$34,"&gt;="&amp;M1271),'FIRE TEX 5062'!$L$4:$P$34,IF(L1271="F-15",2,IF(L1271="F-30",3,IF(L1271="F-60",4,IF(L1271="F-90",5,0)))),0),0)+IF(AND(O1271="FIRE TEX 5062",E1271="CJ",J1271=4),VLOOKUP(_xlfn.MINIFS('FIRE TEX 5062'!$Q$3:$Q$34,'FIRE TEX 5062'!$Q$3:$Q$34,"&gt;="&amp;M1271),'FIRE TEX 5062'!$Q$3:$U$34,IF(L1271="F-15",2,IF(L1271="F-30",3,IF(L1271="F-60",4,IF(L1271="F-90",5,0)))),0),0)+IF(AND(O1271="FIRE TEX 5090",OR(E1271="IN",E1271="C",E1271="Z",E1271="L"),J1271=3),VLOOKUP(_xlfn.MINIFS('FIRE TEX 5090'!$B$5:$B$43,'FIRE TEX 5090'!$B$5:$B$43,"&gt;="&amp;M1271),'FIRE TEX 5090'!$B$5:$H$43,IF(L1271="F-15",2,IF(L1271="F-30",3,IF(L1271="F-60",4,IF(L1271="F-90",5,IF(L1271="F-120",6,IF(L1271="F-150",7,0)))))),0),0)+IF(AND(O1271="FIRE TEX 5090",OR(E1271="IN",E1271="C",E1271="Z",E1271="L"),J1271=4),VLOOKUP(_xlfn.MINIFS('FIRE TEX 5090'!$J$5:$J$43,'FIRE TEX 5090'!$J$5:$J$43,"&gt;="&amp;M1271),'FIRE TEX 5090'!$J$5:$P$43,IF(L1271="F-15",2,IF(L1271="F-30",3,IF(L1271="F-60",4,IF(L1271="F-90",5,IF(L1271="F-120",6,IF(L1271="F-150",7,0)))))),0),0)+IF(AND(O1271="FIRE TEX 5090",E1271="CJ",J1271=3),VLOOKUP(_xlfn.MINIFS('FIRE TEX 5090'!$R$5:$R$30,'FIRE TEX 5090'!$R$5:$R$30,"&gt;="&amp;M1271),'FIRE TEX 5090'!$R$5:$W$30,IF(L1271="F-15",2,IF(L1271="F-30",3,IF(L1271="F-60",4,IF(L1271="F-90",5,IF(L1271="F-120",6,IF(L1271="F-150",7,0)))))),0),0)+IF(AND(O1271="FIRE TEX 5090",E1271="CJ",J1271=4),VLOOKUP(_xlfn.MINIFS('FIRE TEX 5090'!$Y$5:$Y$39,'FIRE TEX 5090'!$Y$5:$Y$39,"&gt;="&amp;M1271),'FIRE TEX 5090'!$Y$5:$AD$39,IF(L1271="F-15",2,IF(L1271="F-30",3,IF(L1271="F-60",4,IF(L1271="F-90",5,IF(L1271="F-120",6,IF(L1271="F-150",7,0)))))),0),0)+IF(AND(O1271="FIRE TEX 5120",OR(E1271="IN",E1271="C",E1271="Z",E1271="L"),J1271=3),VLOOKUP(_xlfn.MINIFS('FIRE TEX 5120'!$B$5:$B$40,'FIRE TEX 5120'!$B$5:$B$40,"&gt;="&amp;M1271),'FIRE TEX 5120'!$B$5:$G$40,IF(L1271="F-15",2,IF(L1271="F-30",3,IF(L1271="F-60",4,IF(L1271="F-90",5,IF(L1271="F-120",6,0))))),0),0)+IF(AND(O1271="FIRE TEX 5120",OR(E1271="IN",E1271="C",E1271="Z",E1271="L"),J1271=4),VLOOKUP(_xlfn.MINIFS('FIRE TEX 5120'!$H$4:$H$40,'FIRE TEX 5120'!$H$4:$H$40,"&gt;="&amp;M1271),'FIRE TEX 5120'!$H$4:$M$40,IF(L1271="F-15",2,IF(L1271="F-30",3,IF(L1271="F-60",4,IF(L1271="F-90",5,IF(L1271="F-120",6,0))))),0),0)+IF(AND(O1271="FIRE TEX 5120",E1271="CJ"),VLOOKUP(_xlfn.MINIFS('FIRE TEX 5120'!$O$5:$O$40,'FIRE TEX 5120'!$O$5:$O$40,"&gt;="&amp;M1271),'FIRE TEX 5120'!$O$5:$T$40,IF(L1271="F-15",2,IF(L1271="F-30",3,IF(L1271="F-60",4,IF(L1271="F-90",5,IF(L1271="F-120",6,0))))),0),0)</f>
        <v>0</v>
      </c>
      <c r="Q1271" s="46">
        <f t="shared" si="119"/>
        <v>0</v>
      </c>
      <c r="R1271" s="46">
        <f t="shared" si="120"/>
        <v>0</v>
      </c>
      <c r="S1271" s="46" t="e">
        <f t="shared" si="121"/>
        <v>#VALUE!</v>
      </c>
      <c r="T1271" s="677">
        <f t="shared" si="122"/>
        <v>0</v>
      </c>
      <c r="U1271" s="80">
        <f>(IF(O1271="Stofire",(S1271*#REF!),0))+(IF(O1271="Fire Control",(S1271*$U$2),0))+(IF(O1271="Fire Tex",(S1271*$U$3),0))+(IF(O1271="WB7",(S1271*#REF!),0)+(IF(O1271="FX 2003",(S1271*$U$5),0)))</f>
        <v>0</v>
      </c>
      <c r="V1271" s="651">
        <f t="shared" si="123"/>
        <v>0</v>
      </c>
    </row>
    <row r="1272" spans="4:22" x14ac:dyDescent="0.25">
      <c r="D1272" s="118">
        <f>+CUBICACION!D1271</f>
        <v>0</v>
      </c>
      <c r="E1272" s="118">
        <f>+CUBICACION!F1271</f>
        <v>0</v>
      </c>
      <c r="F1272" s="118">
        <f>+CUBICACION!E1271</f>
        <v>0</v>
      </c>
      <c r="G1272" s="118">
        <v>12</v>
      </c>
      <c r="H1272" s="118">
        <v>2</v>
      </c>
      <c r="I1272" s="820">
        <v>26385</v>
      </c>
      <c r="J1272" s="118">
        <f>+CUBICACION!J1271</f>
        <v>0</v>
      </c>
      <c r="K1272" s="118">
        <v>4051</v>
      </c>
      <c r="L1272" s="118">
        <f>+CUBICACION!L1271</f>
        <v>0</v>
      </c>
      <c r="M1272" s="64">
        <f>+CUBICACION!M1271</f>
        <v>0</v>
      </c>
      <c r="N1272" s="824" t="str">
        <f>+CUBICACION!N1271</f>
        <v/>
      </c>
      <c r="O1272" s="675">
        <f>+CUBICACION!O1271</f>
        <v>0</v>
      </c>
      <c r="P1272" s="15">
        <f>IF(O1272="Fire Control",VLOOKUP(_xlfn.MINIFS('FIRE CONTROL'!$C$4:$C$37,'FIRE CONTROL'!$C$4:$C$37,"&gt;="&amp;M1272),'FIRE CONTROL'!$C$4:$G$37,IF(L1272="F-15",2,IF(L1272="F-30",3,IF(L1272="F-60",4,IF(L1272="F-90",5,0)))),0),0)+IF(AND(O1272="FIRE TEX 5062",OR(E1272="IN",E1272="C",E1272="Z",E1272="L"),J1272=3),VLOOKUP(_xlfn.MINIFS('FIRE TEX 5062'!$B$4:$B$34,'FIRE TEX 5062'!$B$4:$B$34,"&gt;="&amp;M1272),'FIRE TEX 5062'!$B$4:$F$34,IF(L1272="F-15",2,IF(L1272="F-30",3,IF(L1272="F-60",4,IF(L1272="F-90",5,0)))),0),0)+IF(AND(O1272="FIRE TEX 5062",OR(E1272="IN",E1272="C",E1272="Z",E1272="L"),J1272=4),VLOOKUP(_xlfn.MINIFS('FIRE TEX 5062'!$G$4:$G$34,'FIRE TEX 5062'!$G$4:$G$34,"&gt;="&amp;M1272),'FIRE TEX 5062'!$G$4:$K$34,IF(L1272="F-15",2,IF(L1272="F-30",3,IF(L1272="F-60",4,IF(L1272="F-90",5,0)))),0),0)+IF(AND(O1272="FIRE TEX 5062",E1272="CJ",J1272=3),VLOOKUP(_xlfn.MINIFS('FIRE TEX 5062'!$L$4:$L$34,'FIRE TEX 5062'!$L$4:$L$34,"&gt;="&amp;M1272),'FIRE TEX 5062'!$L$4:$P$34,IF(L1272="F-15",2,IF(L1272="F-30",3,IF(L1272="F-60",4,IF(L1272="F-90",5,0)))),0),0)+IF(AND(O1272="FIRE TEX 5062",E1272="CJ",J1272=4),VLOOKUP(_xlfn.MINIFS('FIRE TEX 5062'!$Q$3:$Q$34,'FIRE TEX 5062'!$Q$3:$Q$34,"&gt;="&amp;M1272),'FIRE TEX 5062'!$Q$3:$U$34,IF(L1272="F-15",2,IF(L1272="F-30",3,IF(L1272="F-60",4,IF(L1272="F-90",5,0)))),0),0)+IF(AND(O1272="FIRE TEX 5090",OR(E1272="IN",E1272="C",E1272="Z",E1272="L"),J1272=3),VLOOKUP(_xlfn.MINIFS('FIRE TEX 5090'!$B$5:$B$43,'FIRE TEX 5090'!$B$5:$B$43,"&gt;="&amp;M1272),'FIRE TEX 5090'!$B$5:$H$43,IF(L1272="F-15",2,IF(L1272="F-30",3,IF(L1272="F-60",4,IF(L1272="F-90",5,IF(L1272="F-120",6,IF(L1272="F-150",7,0)))))),0),0)+IF(AND(O1272="FIRE TEX 5090",OR(E1272="IN",E1272="C",E1272="Z",E1272="L"),J1272=4),VLOOKUP(_xlfn.MINIFS('FIRE TEX 5090'!$J$5:$J$43,'FIRE TEX 5090'!$J$5:$J$43,"&gt;="&amp;M1272),'FIRE TEX 5090'!$J$5:$P$43,IF(L1272="F-15",2,IF(L1272="F-30",3,IF(L1272="F-60",4,IF(L1272="F-90",5,IF(L1272="F-120",6,IF(L1272="F-150",7,0)))))),0),0)+IF(AND(O1272="FIRE TEX 5090",E1272="CJ",J1272=3),VLOOKUP(_xlfn.MINIFS('FIRE TEX 5090'!$R$5:$R$30,'FIRE TEX 5090'!$R$5:$R$30,"&gt;="&amp;M1272),'FIRE TEX 5090'!$R$5:$W$30,IF(L1272="F-15",2,IF(L1272="F-30",3,IF(L1272="F-60",4,IF(L1272="F-90",5,IF(L1272="F-120",6,IF(L1272="F-150",7,0)))))),0),0)+IF(AND(O1272="FIRE TEX 5090",E1272="CJ",J1272=4),VLOOKUP(_xlfn.MINIFS('FIRE TEX 5090'!$Y$5:$Y$39,'FIRE TEX 5090'!$Y$5:$Y$39,"&gt;="&amp;M1272),'FIRE TEX 5090'!$Y$5:$AD$39,IF(L1272="F-15",2,IF(L1272="F-30",3,IF(L1272="F-60",4,IF(L1272="F-90",5,IF(L1272="F-120",6,IF(L1272="F-150",7,0)))))),0),0)+IF(AND(O1272="FIRE TEX 5120",OR(E1272="IN",E1272="C",E1272="Z",E1272="L"),J1272=3),VLOOKUP(_xlfn.MINIFS('FIRE TEX 5120'!$B$5:$B$40,'FIRE TEX 5120'!$B$5:$B$40,"&gt;="&amp;M1272),'FIRE TEX 5120'!$B$5:$G$40,IF(L1272="F-15",2,IF(L1272="F-30",3,IF(L1272="F-60",4,IF(L1272="F-90",5,IF(L1272="F-120",6,0))))),0),0)+IF(AND(O1272="FIRE TEX 5120",OR(E1272="IN",E1272="C",E1272="Z",E1272="L"),J1272=4),VLOOKUP(_xlfn.MINIFS('FIRE TEX 5120'!$H$4:$H$40,'FIRE TEX 5120'!$H$4:$H$40,"&gt;="&amp;M1272),'FIRE TEX 5120'!$H$4:$M$40,IF(L1272="F-15",2,IF(L1272="F-30",3,IF(L1272="F-60",4,IF(L1272="F-90",5,IF(L1272="F-120",6,0))))),0),0)+IF(AND(O1272="FIRE TEX 5120",E1272="CJ"),VLOOKUP(_xlfn.MINIFS('FIRE TEX 5120'!$O$5:$O$40,'FIRE TEX 5120'!$O$5:$O$40,"&gt;="&amp;M1272),'FIRE TEX 5120'!$O$5:$T$40,IF(L1272="F-15",2,IF(L1272="F-30",3,IF(L1272="F-60",4,IF(L1272="F-90",5,IF(L1272="F-120",6,0))))),0),0)</f>
        <v>0</v>
      </c>
      <c r="Q1272" s="46">
        <f t="shared" si="119"/>
        <v>0</v>
      </c>
      <c r="R1272" s="46">
        <f t="shared" si="120"/>
        <v>0</v>
      </c>
      <c r="S1272" s="46" t="e">
        <f t="shared" si="121"/>
        <v>#VALUE!</v>
      </c>
      <c r="T1272" s="677">
        <f t="shared" si="122"/>
        <v>0</v>
      </c>
      <c r="U1272" s="80">
        <f>(IF(O1272="Stofire",(S1272*#REF!),0))+(IF(O1272="Fire Control",(S1272*$U$2),0))+(IF(O1272="Fire Tex",(S1272*$U$3),0))+(IF(O1272="WB7",(S1272*#REF!),0)+(IF(O1272="FX 2003",(S1272*$U$5),0)))</f>
        <v>0</v>
      </c>
      <c r="V1272" s="651">
        <f t="shared" si="123"/>
        <v>0</v>
      </c>
    </row>
    <row r="1273" spans="4:22" x14ac:dyDescent="0.25">
      <c r="D1273" s="118">
        <f>+CUBICACION!D1272</f>
        <v>0</v>
      </c>
      <c r="E1273" s="118">
        <f>+CUBICACION!F1272</f>
        <v>0</v>
      </c>
      <c r="F1273" s="118">
        <f>+CUBICACION!E1272</f>
        <v>0</v>
      </c>
      <c r="G1273" s="118">
        <v>12</v>
      </c>
      <c r="H1273" s="118">
        <v>2</v>
      </c>
      <c r="I1273" s="820">
        <v>26385</v>
      </c>
      <c r="J1273" s="118">
        <f>+CUBICACION!J1272</f>
        <v>0</v>
      </c>
      <c r="K1273" s="118">
        <v>4052</v>
      </c>
      <c r="L1273" s="118">
        <f>+CUBICACION!L1272</f>
        <v>0</v>
      </c>
      <c r="M1273" s="64">
        <f>+CUBICACION!M1272</f>
        <v>0</v>
      </c>
      <c r="N1273" s="824" t="str">
        <f>+CUBICACION!N1272</f>
        <v/>
      </c>
      <c r="O1273" s="675">
        <f>+CUBICACION!O1272</f>
        <v>0</v>
      </c>
      <c r="P1273" s="15">
        <f>IF(O1273="Fire Control",VLOOKUP(_xlfn.MINIFS('FIRE CONTROL'!$C$4:$C$37,'FIRE CONTROL'!$C$4:$C$37,"&gt;="&amp;M1273),'FIRE CONTROL'!$C$4:$G$37,IF(L1273="F-15",2,IF(L1273="F-30",3,IF(L1273="F-60",4,IF(L1273="F-90",5,0)))),0),0)+IF(AND(O1273="FIRE TEX 5062",OR(E1273="IN",E1273="C",E1273="Z",E1273="L"),J1273=3),VLOOKUP(_xlfn.MINIFS('FIRE TEX 5062'!$B$4:$B$34,'FIRE TEX 5062'!$B$4:$B$34,"&gt;="&amp;M1273),'FIRE TEX 5062'!$B$4:$F$34,IF(L1273="F-15",2,IF(L1273="F-30",3,IF(L1273="F-60",4,IF(L1273="F-90",5,0)))),0),0)+IF(AND(O1273="FIRE TEX 5062",OR(E1273="IN",E1273="C",E1273="Z",E1273="L"),J1273=4),VLOOKUP(_xlfn.MINIFS('FIRE TEX 5062'!$G$4:$G$34,'FIRE TEX 5062'!$G$4:$G$34,"&gt;="&amp;M1273),'FIRE TEX 5062'!$G$4:$K$34,IF(L1273="F-15",2,IF(L1273="F-30",3,IF(L1273="F-60",4,IF(L1273="F-90",5,0)))),0),0)+IF(AND(O1273="FIRE TEX 5062",E1273="CJ",J1273=3),VLOOKUP(_xlfn.MINIFS('FIRE TEX 5062'!$L$4:$L$34,'FIRE TEX 5062'!$L$4:$L$34,"&gt;="&amp;M1273),'FIRE TEX 5062'!$L$4:$P$34,IF(L1273="F-15",2,IF(L1273="F-30",3,IF(L1273="F-60",4,IF(L1273="F-90",5,0)))),0),0)+IF(AND(O1273="FIRE TEX 5062",E1273="CJ",J1273=4),VLOOKUP(_xlfn.MINIFS('FIRE TEX 5062'!$Q$3:$Q$34,'FIRE TEX 5062'!$Q$3:$Q$34,"&gt;="&amp;M1273),'FIRE TEX 5062'!$Q$3:$U$34,IF(L1273="F-15",2,IF(L1273="F-30",3,IF(L1273="F-60",4,IF(L1273="F-90",5,0)))),0),0)+IF(AND(O1273="FIRE TEX 5090",OR(E1273="IN",E1273="C",E1273="Z",E1273="L"),J1273=3),VLOOKUP(_xlfn.MINIFS('FIRE TEX 5090'!$B$5:$B$43,'FIRE TEX 5090'!$B$5:$B$43,"&gt;="&amp;M1273),'FIRE TEX 5090'!$B$5:$H$43,IF(L1273="F-15",2,IF(L1273="F-30",3,IF(L1273="F-60",4,IF(L1273="F-90",5,IF(L1273="F-120",6,IF(L1273="F-150",7,0)))))),0),0)+IF(AND(O1273="FIRE TEX 5090",OR(E1273="IN",E1273="C",E1273="Z",E1273="L"),J1273=4),VLOOKUP(_xlfn.MINIFS('FIRE TEX 5090'!$J$5:$J$43,'FIRE TEX 5090'!$J$5:$J$43,"&gt;="&amp;M1273),'FIRE TEX 5090'!$J$5:$P$43,IF(L1273="F-15",2,IF(L1273="F-30",3,IF(L1273="F-60",4,IF(L1273="F-90",5,IF(L1273="F-120",6,IF(L1273="F-150",7,0)))))),0),0)+IF(AND(O1273="FIRE TEX 5090",E1273="CJ",J1273=3),VLOOKUP(_xlfn.MINIFS('FIRE TEX 5090'!$R$5:$R$30,'FIRE TEX 5090'!$R$5:$R$30,"&gt;="&amp;M1273),'FIRE TEX 5090'!$R$5:$W$30,IF(L1273="F-15",2,IF(L1273="F-30",3,IF(L1273="F-60",4,IF(L1273="F-90",5,IF(L1273="F-120",6,IF(L1273="F-150",7,0)))))),0),0)+IF(AND(O1273="FIRE TEX 5090",E1273="CJ",J1273=4),VLOOKUP(_xlfn.MINIFS('FIRE TEX 5090'!$Y$5:$Y$39,'FIRE TEX 5090'!$Y$5:$Y$39,"&gt;="&amp;M1273),'FIRE TEX 5090'!$Y$5:$AD$39,IF(L1273="F-15",2,IF(L1273="F-30",3,IF(L1273="F-60",4,IF(L1273="F-90",5,IF(L1273="F-120",6,IF(L1273="F-150",7,0)))))),0),0)+IF(AND(O1273="FIRE TEX 5120",OR(E1273="IN",E1273="C",E1273="Z",E1273="L"),J1273=3),VLOOKUP(_xlfn.MINIFS('FIRE TEX 5120'!$B$5:$B$40,'FIRE TEX 5120'!$B$5:$B$40,"&gt;="&amp;M1273),'FIRE TEX 5120'!$B$5:$G$40,IF(L1273="F-15",2,IF(L1273="F-30",3,IF(L1273="F-60",4,IF(L1273="F-90",5,IF(L1273="F-120",6,0))))),0),0)+IF(AND(O1273="FIRE TEX 5120",OR(E1273="IN",E1273="C",E1273="Z",E1273="L"),J1273=4),VLOOKUP(_xlfn.MINIFS('FIRE TEX 5120'!$H$4:$H$40,'FIRE TEX 5120'!$H$4:$H$40,"&gt;="&amp;M1273),'FIRE TEX 5120'!$H$4:$M$40,IF(L1273="F-15",2,IF(L1273="F-30",3,IF(L1273="F-60",4,IF(L1273="F-90",5,IF(L1273="F-120",6,0))))),0),0)+IF(AND(O1273="FIRE TEX 5120",E1273="CJ"),VLOOKUP(_xlfn.MINIFS('FIRE TEX 5120'!$O$5:$O$40,'FIRE TEX 5120'!$O$5:$O$40,"&gt;="&amp;M1273),'FIRE TEX 5120'!$O$5:$T$40,IF(L1273="F-15",2,IF(L1273="F-30",3,IF(L1273="F-60",4,IF(L1273="F-90",5,IF(L1273="F-120",6,0))))),0),0)</f>
        <v>0</v>
      </c>
      <c r="Q1273" s="46">
        <f t="shared" si="119"/>
        <v>0</v>
      </c>
      <c r="R1273" s="46">
        <f t="shared" si="120"/>
        <v>0</v>
      </c>
      <c r="S1273" s="46" t="e">
        <f t="shared" si="121"/>
        <v>#VALUE!</v>
      </c>
      <c r="T1273" s="677">
        <f t="shared" si="122"/>
        <v>0</v>
      </c>
      <c r="U1273" s="80">
        <f>(IF(O1273="Stofire",(S1273*#REF!),0))+(IF(O1273="Fire Control",(S1273*$U$2),0))+(IF(O1273="Fire Tex",(S1273*$U$3),0))+(IF(O1273="WB7",(S1273*#REF!),0)+(IF(O1273="FX 2003",(S1273*$U$5),0)))</f>
        <v>0</v>
      </c>
      <c r="V1273" s="651">
        <f t="shared" si="123"/>
        <v>0</v>
      </c>
    </row>
    <row r="1274" spans="4:22" x14ac:dyDescent="0.25">
      <c r="D1274" s="118">
        <f>+CUBICACION!D1273</f>
        <v>0</v>
      </c>
      <c r="E1274" s="118">
        <f>+CUBICACION!F1273</f>
        <v>0</v>
      </c>
      <c r="F1274" s="118">
        <f>+CUBICACION!E1273</f>
        <v>0</v>
      </c>
      <c r="G1274" s="118">
        <v>12</v>
      </c>
      <c r="H1274" s="118">
        <v>2</v>
      </c>
      <c r="I1274" s="820">
        <v>26385</v>
      </c>
      <c r="J1274" s="118">
        <f>+CUBICACION!J1273</f>
        <v>0</v>
      </c>
      <c r="K1274" s="118">
        <v>4053</v>
      </c>
      <c r="L1274" s="118">
        <f>+CUBICACION!L1273</f>
        <v>0</v>
      </c>
      <c r="M1274" s="64">
        <f>+CUBICACION!M1273</f>
        <v>0</v>
      </c>
      <c r="N1274" s="824" t="str">
        <f>+CUBICACION!N1273</f>
        <v/>
      </c>
      <c r="O1274" s="675">
        <f>+CUBICACION!O1273</f>
        <v>0</v>
      </c>
      <c r="P1274" s="15">
        <f>IF(O1274="Fire Control",VLOOKUP(_xlfn.MINIFS('FIRE CONTROL'!$C$4:$C$37,'FIRE CONTROL'!$C$4:$C$37,"&gt;="&amp;M1274),'FIRE CONTROL'!$C$4:$G$37,IF(L1274="F-15",2,IF(L1274="F-30",3,IF(L1274="F-60",4,IF(L1274="F-90",5,0)))),0),0)+IF(AND(O1274="FIRE TEX 5062",OR(E1274="IN",E1274="C",E1274="Z",E1274="L"),J1274=3),VLOOKUP(_xlfn.MINIFS('FIRE TEX 5062'!$B$4:$B$34,'FIRE TEX 5062'!$B$4:$B$34,"&gt;="&amp;M1274),'FIRE TEX 5062'!$B$4:$F$34,IF(L1274="F-15",2,IF(L1274="F-30",3,IF(L1274="F-60",4,IF(L1274="F-90",5,0)))),0),0)+IF(AND(O1274="FIRE TEX 5062",OR(E1274="IN",E1274="C",E1274="Z",E1274="L"),J1274=4),VLOOKUP(_xlfn.MINIFS('FIRE TEX 5062'!$G$4:$G$34,'FIRE TEX 5062'!$G$4:$G$34,"&gt;="&amp;M1274),'FIRE TEX 5062'!$G$4:$K$34,IF(L1274="F-15",2,IF(L1274="F-30",3,IF(L1274="F-60",4,IF(L1274="F-90",5,0)))),0),0)+IF(AND(O1274="FIRE TEX 5062",E1274="CJ",J1274=3),VLOOKUP(_xlfn.MINIFS('FIRE TEX 5062'!$L$4:$L$34,'FIRE TEX 5062'!$L$4:$L$34,"&gt;="&amp;M1274),'FIRE TEX 5062'!$L$4:$P$34,IF(L1274="F-15",2,IF(L1274="F-30",3,IF(L1274="F-60",4,IF(L1274="F-90",5,0)))),0),0)+IF(AND(O1274="FIRE TEX 5062",E1274="CJ",J1274=4),VLOOKUP(_xlfn.MINIFS('FIRE TEX 5062'!$Q$3:$Q$34,'FIRE TEX 5062'!$Q$3:$Q$34,"&gt;="&amp;M1274),'FIRE TEX 5062'!$Q$3:$U$34,IF(L1274="F-15",2,IF(L1274="F-30",3,IF(L1274="F-60",4,IF(L1274="F-90",5,0)))),0),0)+IF(AND(O1274="FIRE TEX 5090",OR(E1274="IN",E1274="C",E1274="Z",E1274="L"),J1274=3),VLOOKUP(_xlfn.MINIFS('FIRE TEX 5090'!$B$5:$B$43,'FIRE TEX 5090'!$B$5:$B$43,"&gt;="&amp;M1274),'FIRE TEX 5090'!$B$5:$H$43,IF(L1274="F-15",2,IF(L1274="F-30",3,IF(L1274="F-60",4,IF(L1274="F-90",5,IF(L1274="F-120",6,IF(L1274="F-150",7,0)))))),0),0)+IF(AND(O1274="FIRE TEX 5090",OR(E1274="IN",E1274="C",E1274="Z",E1274="L"),J1274=4),VLOOKUP(_xlfn.MINIFS('FIRE TEX 5090'!$J$5:$J$43,'FIRE TEX 5090'!$J$5:$J$43,"&gt;="&amp;M1274),'FIRE TEX 5090'!$J$5:$P$43,IF(L1274="F-15",2,IF(L1274="F-30",3,IF(L1274="F-60",4,IF(L1274="F-90",5,IF(L1274="F-120",6,IF(L1274="F-150",7,0)))))),0),0)+IF(AND(O1274="FIRE TEX 5090",E1274="CJ",J1274=3),VLOOKUP(_xlfn.MINIFS('FIRE TEX 5090'!$R$5:$R$30,'FIRE TEX 5090'!$R$5:$R$30,"&gt;="&amp;M1274),'FIRE TEX 5090'!$R$5:$W$30,IF(L1274="F-15",2,IF(L1274="F-30",3,IF(L1274="F-60",4,IF(L1274="F-90",5,IF(L1274="F-120",6,IF(L1274="F-150",7,0)))))),0),0)+IF(AND(O1274="FIRE TEX 5090",E1274="CJ",J1274=4),VLOOKUP(_xlfn.MINIFS('FIRE TEX 5090'!$Y$5:$Y$39,'FIRE TEX 5090'!$Y$5:$Y$39,"&gt;="&amp;M1274),'FIRE TEX 5090'!$Y$5:$AD$39,IF(L1274="F-15",2,IF(L1274="F-30",3,IF(L1274="F-60",4,IF(L1274="F-90",5,IF(L1274="F-120",6,IF(L1274="F-150",7,0)))))),0),0)+IF(AND(O1274="FIRE TEX 5120",OR(E1274="IN",E1274="C",E1274="Z",E1274="L"),J1274=3),VLOOKUP(_xlfn.MINIFS('FIRE TEX 5120'!$B$5:$B$40,'FIRE TEX 5120'!$B$5:$B$40,"&gt;="&amp;M1274),'FIRE TEX 5120'!$B$5:$G$40,IF(L1274="F-15",2,IF(L1274="F-30",3,IF(L1274="F-60",4,IF(L1274="F-90",5,IF(L1274="F-120",6,0))))),0),0)+IF(AND(O1274="FIRE TEX 5120",OR(E1274="IN",E1274="C",E1274="Z",E1274="L"),J1274=4),VLOOKUP(_xlfn.MINIFS('FIRE TEX 5120'!$H$4:$H$40,'FIRE TEX 5120'!$H$4:$H$40,"&gt;="&amp;M1274),'FIRE TEX 5120'!$H$4:$M$40,IF(L1274="F-15",2,IF(L1274="F-30",3,IF(L1274="F-60",4,IF(L1274="F-90",5,IF(L1274="F-120",6,0))))),0),0)+IF(AND(O1274="FIRE TEX 5120",E1274="CJ"),VLOOKUP(_xlfn.MINIFS('FIRE TEX 5120'!$O$5:$O$40,'FIRE TEX 5120'!$O$5:$O$40,"&gt;="&amp;M1274),'FIRE TEX 5120'!$O$5:$T$40,IF(L1274="F-15",2,IF(L1274="F-30",3,IF(L1274="F-60",4,IF(L1274="F-90",5,IF(L1274="F-120",6,0))))),0),0)</f>
        <v>0</v>
      </c>
      <c r="Q1274" s="46">
        <f t="shared" si="119"/>
        <v>0</v>
      </c>
      <c r="R1274" s="46">
        <f t="shared" si="120"/>
        <v>0</v>
      </c>
      <c r="S1274" s="46" t="e">
        <f t="shared" si="121"/>
        <v>#VALUE!</v>
      </c>
      <c r="T1274" s="677">
        <f t="shared" si="122"/>
        <v>0</v>
      </c>
      <c r="U1274" s="80">
        <f>(IF(O1274="Stofire",(S1274*#REF!),0))+(IF(O1274="Fire Control",(S1274*$U$2),0))+(IF(O1274="Fire Tex",(S1274*$U$3),0))+(IF(O1274="WB7",(S1274*#REF!),0)+(IF(O1274="FX 2003",(S1274*$U$5),0)))</f>
        <v>0</v>
      </c>
      <c r="V1274" s="651">
        <f t="shared" si="123"/>
        <v>0</v>
      </c>
    </row>
    <row r="1275" spans="4:22" x14ac:dyDescent="0.25">
      <c r="D1275" s="118">
        <f>+CUBICACION!D1274</f>
        <v>0</v>
      </c>
      <c r="E1275" s="118">
        <f>+CUBICACION!F1274</f>
        <v>0</v>
      </c>
      <c r="F1275" s="118">
        <f>+CUBICACION!E1274</f>
        <v>0</v>
      </c>
      <c r="G1275" s="118">
        <v>12</v>
      </c>
      <c r="H1275" s="118">
        <v>2</v>
      </c>
      <c r="I1275" s="820">
        <v>26385</v>
      </c>
      <c r="J1275" s="118">
        <f>+CUBICACION!J1274</f>
        <v>0</v>
      </c>
      <c r="K1275" s="118">
        <v>4054</v>
      </c>
      <c r="L1275" s="118">
        <f>+CUBICACION!L1274</f>
        <v>0</v>
      </c>
      <c r="M1275" s="64">
        <f>+CUBICACION!M1274</f>
        <v>0</v>
      </c>
      <c r="N1275" s="824" t="str">
        <f>+CUBICACION!N1274</f>
        <v/>
      </c>
      <c r="O1275" s="675">
        <f>+CUBICACION!O1274</f>
        <v>0</v>
      </c>
      <c r="P1275" s="15">
        <f>IF(O1275="Fire Control",VLOOKUP(_xlfn.MINIFS('FIRE CONTROL'!$C$4:$C$37,'FIRE CONTROL'!$C$4:$C$37,"&gt;="&amp;M1275),'FIRE CONTROL'!$C$4:$G$37,IF(L1275="F-15",2,IF(L1275="F-30",3,IF(L1275="F-60",4,IF(L1275="F-90",5,0)))),0),0)+IF(AND(O1275="FIRE TEX 5062",OR(E1275="IN",E1275="C",E1275="Z",E1275="L"),J1275=3),VLOOKUP(_xlfn.MINIFS('FIRE TEX 5062'!$B$4:$B$34,'FIRE TEX 5062'!$B$4:$B$34,"&gt;="&amp;M1275),'FIRE TEX 5062'!$B$4:$F$34,IF(L1275="F-15",2,IF(L1275="F-30",3,IF(L1275="F-60",4,IF(L1275="F-90",5,0)))),0),0)+IF(AND(O1275="FIRE TEX 5062",OR(E1275="IN",E1275="C",E1275="Z",E1275="L"),J1275=4),VLOOKUP(_xlfn.MINIFS('FIRE TEX 5062'!$G$4:$G$34,'FIRE TEX 5062'!$G$4:$G$34,"&gt;="&amp;M1275),'FIRE TEX 5062'!$G$4:$K$34,IF(L1275="F-15",2,IF(L1275="F-30",3,IF(L1275="F-60",4,IF(L1275="F-90",5,0)))),0),0)+IF(AND(O1275="FIRE TEX 5062",E1275="CJ",J1275=3),VLOOKUP(_xlfn.MINIFS('FIRE TEX 5062'!$L$4:$L$34,'FIRE TEX 5062'!$L$4:$L$34,"&gt;="&amp;M1275),'FIRE TEX 5062'!$L$4:$P$34,IF(L1275="F-15",2,IF(L1275="F-30",3,IF(L1275="F-60",4,IF(L1275="F-90",5,0)))),0),0)+IF(AND(O1275="FIRE TEX 5062",E1275="CJ",J1275=4),VLOOKUP(_xlfn.MINIFS('FIRE TEX 5062'!$Q$3:$Q$34,'FIRE TEX 5062'!$Q$3:$Q$34,"&gt;="&amp;M1275),'FIRE TEX 5062'!$Q$3:$U$34,IF(L1275="F-15",2,IF(L1275="F-30",3,IF(L1275="F-60",4,IF(L1275="F-90",5,0)))),0),0)+IF(AND(O1275="FIRE TEX 5090",OR(E1275="IN",E1275="C",E1275="Z",E1275="L"),J1275=3),VLOOKUP(_xlfn.MINIFS('FIRE TEX 5090'!$B$5:$B$43,'FIRE TEX 5090'!$B$5:$B$43,"&gt;="&amp;M1275),'FIRE TEX 5090'!$B$5:$H$43,IF(L1275="F-15",2,IF(L1275="F-30",3,IF(L1275="F-60",4,IF(L1275="F-90",5,IF(L1275="F-120",6,IF(L1275="F-150",7,0)))))),0),0)+IF(AND(O1275="FIRE TEX 5090",OR(E1275="IN",E1275="C",E1275="Z",E1275="L"),J1275=4),VLOOKUP(_xlfn.MINIFS('FIRE TEX 5090'!$J$5:$J$43,'FIRE TEX 5090'!$J$5:$J$43,"&gt;="&amp;M1275),'FIRE TEX 5090'!$J$5:$P$43,IF(L1275="F-15",2,IF(L1275="F-30",3,IF(L1275="F-60",4,IF(L1275="F-90",5,IF(L1275="F-120",6,IF(L1275="F-150",7,0)))))),0),0)+IF(AND(O1275="FIRE TEX 5090",E1275="CJ",J1275=3),VLOOKUP(_xlfn.MINIFS('FIRE TEX 5090'!$R$5:$R$30,'FIRE TEX 5090'!$R$5:$R$30,"&gt;="&amp;M1275),'FIRE TEX 5090'!$R$5:$W$30,IF(L1275="F-15",2,IF(L1275="F-30",3,IF(L1275="F-60",4,IF(L1275="F-90",5,IF(L1275="F-120",6,IF(L1275="F-150",7,0)))))),0),0)+IF(AND(O1275="FIRE TEX 5090",E1275="CJ",J1275=4),VLOOKUP(_xlfn.MINIFS('FIRE TEX 5090'!$Y$5:$Y$39,'FIRE TEX 5090'!$Y$5:$Y$39,"&gt;="&amp;M1275),'FIRE TEX 5090'!$Y$5:$AD$39,IF(L1275="F-15",2,IF(L1275="F-30",3,IF(L1275="F-60",4,IF(L1275="F-90",5,IF(L1275="F-120",6,IF(L1275="F-150",7,0)))))),0),0)+IF(AND(O1275="FIRE TEX 5120",OR(E1275="IN",E1275="C",E1275="Z",E1275="L"),J1275=3),VLOOKUP(_xlfn.MINIFS('FIRE TEX 5120'!$B$5:$B$40,'FIRE TEX 5120'!$B$5:$B$40,"&gt;="&amp;M1275),'FIRE TEX 5120'!$B$5:$G$40,IF(L1275="F-15",2,IF(L1275="F-30",3,IF(L1275="F-60",4,IF(L1275="F-90",5,IF(L1275="F-120",6,0))))),0),0)+IF(AND(O1275="FIRE TEX 5120",OR(E1275="IN",E1275="C",E1275="Z",E1275="L"),J1275=4),VLOOKUP(_xlfn.MINIFS('FIRE TEX 5120'!$H$4:$H$40,'FIRE TEX 5120'!$H$4:$H$40,"&gt;="&amp;M1275),'FIRE TEX 5120'!$H$4:$M$40,IF(L1275="F-15",2,IF(L1275="F-30",3,IF(L1275="F-60",4,IF(L1275="F-90",5,IF(L1275="F-120",6,0))))),0),0)+IF(AND(O1275="FIRE TEX 5120",E1275="CJ"),VLOOKUP(_xlfn.MINIFS('FIRE TEX 5120'!$O$5:$O$40,'FIRE TEX 5120'!$O$5:$O$40,"&gt;="&amp;M1275),'FIRE TEX 5120'!$O$5:$T$40,IF(L1275="F-15",2,IF(L1275="F-30",3,IF(L1275="F-60",4,IF(L1275="F-90",5,IF(L1275="F-120",6,0))))),0),0)</f>
        <v>0</v>
      </c>
      <c r="Q1275" s="46">
        <f t="shared" si="119"/>
        <v>0</v>
      </c>
      <c r="R1275" s="46">
        <f t="shared" si="120"/>
        <v>0</v>
      </c>
      <c r="S1275" s="46" t="e">
        <f t="shared" si="121"/>
        <v>#VALUE!</v>
      </c>
      <c r="T1275" s="677">
        <f t="shared" si="122"/>
        <v>0</v>
      </c>
      <c r="U1275" s="80">
        <f>(IF(O1275="Stofire",(S1275*#REF!),0))+(IF(O1275="Fire Control",(S1275*$U$2),0))+(IF(O1275="Fire Tex",(S1275*$U$3),0))+(IF(O1275="WB7",(S1275*#REF!),0)+(IF(O1275="FX 2003",(S1275*$U$5),0)))</f>
        <v>0</v>
      </c>
      <c r="V1275" s="651">
        <f t="shared" si="123"/>
        <v>0</v>
      </c>
    </row>
    <row r="1276" spans="4:22" x14ac:dyDescent="0.25">
      <c r="D1276" s="118">
        <f>+CUBICACION!D1275</f>
        <v>0</v>
      </c>
      <c r="E1276" s="118">
        <f>+CUBICACION!F1275</f>
        <v>0</v>
      </c>
      <c r="F1276" s="118">
        <f>+CUBICACION!E1275</f>
        <v>0</v>
      </c>
      <c r="G1276" s="118">
        <v>12</v>
      </c>
      <c r="H1276" s="118">
        <v>2</v>
      </c>
      <c r="I1276" s="820">
        <v>26385</v>
      </c>
      <c r="J1276" s="118">
        <f>+CUBICACION!J1275</f>
        <v>0</v>
      </c>
      <c r="K1276" s="118">
        <v>4055</v>
      </c>
      <c r="L1276" s="118">
        <f>+CUBICACION!L1275</f>
        <v>0</v>
      </c>
      <c r="M1276" s="64">
        <f>+CUBICACION!M1275</f>
        <v>0</v>
      </c>
      <c r="N1276" s="824" t="str">
        <f>+CUBICACION!N1275</f>
        <v/>
      </c>
      <c r="O1276" s="675">
        <f>+CUBICACION!O1275</f>
        <v>0</v>
      </c>
      <c r="P1276" s="15">
        <f>IF(O1276="Fire Control",VLOOKUP(_xlfn.MINIFS('FIRE CONTROL'!$C$4:$C$37,'FIRE CONTROL'!$C$4:$C$37,"&gt;="&amp;M1276),'FIRE CONTROL'!$C$4:$G$37,IF(L1276="F-15",2,IF(L1276="F-30",3,IF(L1276="F-60",4,IF(L1276="F-90",5,0)))),0),0)+IF(AND(O1276="FIRE TEX 5062",OR(E1276="IN",E1276="C",E1276="Z",E1276="L"),J1276=3),VLOOKUP(_xlfn.MINIFS('FIRE TEX 5062'!$B$4:$B$34,'FIRE TEX 5062'!$B$4:$B$34,"&gt;="&amp;M1276),'FIRE TEX 5062'!$B$4:$F$34,IF(L1276="F-15",2,IF(L1276="F-30",3,IF(L1276="F-60",4,IF(L1276="F-90",5,0)))),0),0)+IF(AND(O1276="FIRE TEX 5062",OR(E1276="IN",E1276="C",E1276="Z",E1276="L"),J1276=4),VLOOKUP(_xlfn.MINIFS('FIRE TEX 5062'!$G$4:$G$34,'FIRE TEX 5062'!$G$4:$G$34,"&gt;="&amp;M1276),'FIRE TEX 5062'!$G$4:$K$34,IF(L1276="F-15",2,IF(L1276="F-30",3,IF(L1276="F-60",4,IF(L1276="F-90",5,0)))),0),0)+IF(AND(O1276="FIRE TEX 5062",E1276="CJ",J1276=3),VLOOKUP(_xlfn.MINIFS('FIRE TEX 5062'!$L$4:$L$34,'FIRE TEX 5062'!$L$4:$L$34,"&gt;="&amp;M1276),'FIRE TEX 5062'!$L$4:$P$34,IF(L1276="F-15",2,IF(L1276="F-30",3,IF(L1276="F-60",4,IF(L1276="F-90",5,0)))),0),0)+IF(AND(O1276="FIRE TEX 5062",E1276="CJ",J1276=4),VLOOKUP(_xlfn.MINIFS('FIRE TEX 5062'!$Q$3:$Q$34,'FIRE TEX 5062'!$Q$3:$Q$34,"&gt;="&amp;M1276),'FIRE TEX 5062'!$Q$3:$U$34,IF(L1276="F-15",2,IF(L1276="F-30",3,IF(L1276="F-60",4,IF(L1276="F-90",5,0)))),0),0)+IF(AND(O1276="FIRE TEX 5090",OR(E1276="IN",E1276="C",E1276="Z",E1276="L"),J1276=3),VLOOKUP(_xlfn.MINIFS('FIRE TEX 5090'!$B$5:$B$43,'FIRE TEX 5090'!$B$5:$B$43,"&gt;="&amp;M1276),'FIRE TEX 5090'!$B$5:$H$43,IF(L1276="F-15",2,IF(L1276="F-30",3,IF(L1276="F-60",4,IF(L1276="F-90",5,IF(L1276="F-120",6,IF(L1276="F-150",7,0)))))),0),0)+IF(AND(O1276="FIRE TEX 5090",OR(E1276="IN",E1276="C",E1276="Z",E1276="L"),J1276=4),VLOOKUP(_xlfn.MINIFS('FIRE TEX 5090'!$J$5:$J$43,'FIRE TEX 5090'!$J$5:$J$43,"&gt;="&amp;M1276),'FIRE TEX 5090'!$J$5:$P$43,IF(L1276="F-15",2,IF(L1276="F-30",3,IF(L1276="F-60",4,IF(L1276="F-90",5,IF(L1276="F-120",6,IF(L1276="F-150",7,0)))))),0),0)+IF(AND(O1276="FIRE TEX 5090",E1276="CJ",J1276=3),VLOOKUP(_xlfn.MINIFS('FIRE TEX 5090'!$R$5:$R$30,'FIRE TEX 5090'!$R$5:$R$30,"&gt;="&amp;M1276),'FIRE TEX 5090'!$R$5:$W$30,IF(L1276="F-15",2,IF(L1276="F-30",3,IF(L1276="F-60",4,IF(L1276="F-90",5,IF(L1276="F-120",6,IF(L1276="F-150",7,0)))))),0),0)+IF(AND(O1276="FIRE TEX 5090",E1276="CJ",J1276=4),VLOOKUP(_xlfn.MINIFS('FIRE TEX 5090'!$Y$5:$Y$39,'FIRE TEX 5090'!$Y$5:$Y$39,"&gt;="&amp;M1276),'FIRE TEX 5090'!$Y$5:$AD$39,IF(L1276="F-15",2,IF(L1276="F-30",3,IF(L1276="F-60",4,IF(L1276="F-90",5,IF(L1276="F-120",6,IF(L1276="F-150",7,0)))))),0),0)+IF(AND(O1276="FIRE TEX 5120",OR(E1276="IN",E1276="C",E1276="Z",E1276="L"),J1276=3),VLOOKUP(_xlfn.MINIFS('FIRE TEX 5120'!$B$5:$B$40,'FIRE TEX 5120'!$B$5:$B$40,"&gt;="&amp;M1276),'FIRE TEX 5120'!$B$5:$G$40,IF(L1276="F-15",2,IF(L1276="F-30",3,IF(L1276="F-60",4,IF(L1276="F-90",5,IF(L1276="F-120",6,0))))),0),0)+IF(AND(O1276="FIRE TEX 5120",OR(E1276="IN",E1276="C",E1276="Z",E1276="L"),J1276=4),VLOOKUP(_xlfn.MINIFS('FIRE TEX 5120'!$H$4:$H$40,'FIRE TEX 5120'!$H$4:$H$40,"&gt;="&amp;M1276),'FIRE TEX 5120'!$H$4:$M$40,IF(L1276="F-15",2,IF(L1276="F-30",3,IF(L1276="F-60",4,IF(L1276="F-90",5,IF(L1276="F-120",6,0))))),0),0)+IF(AND(O1276="FIRE TEX 5120",E1276="CJ"),VLOOKUP(_xlfn.MINIFS('FIRE TEX 5120'!$O$5:$O$40,'FIRE TEX 5120'!$O$5:$O$40,"&gt;="&amp;M1276),'FIRE TEX 5120'!$O$5:$T$40,IF(L1276="F-15",2,IF(L1276="F-30",3,IF(L1276="F-60",4,IF(L1276="F-90",5,IF(L1276="F-120",6,0))))),0),0)</f>
        <v>0</v>
      </c>
      <c r="Q1276" s="46">
        <f t="shared" si="119"/>
        <v>0</v>
      </c>
      <c r="R1276" s="46">
        <f t="shared" si="120"/>
        <v>0</v>
      </c>
      <c r="S1276" s="46" t="e">
        <f t="shared" si="121"/>
        <v>#VALUE!</v>
      </c>
      <c r="T1276" s="677">
        <f t="shared" si="122"/>
        <v>0</v>
      </c>
      <c r="U1276" s="80">
        <f>(IF(O1276="Stofire",(S1276*#REF!),0))+(IF(O1276="Fire Control",(S1276*$U$2),0))+(IF(O1276="Fire Tex",(S1276*$U$3),0))+(IF(O1276="WB7",(S1276*#REF!),0)+(IF(O1276="FX 2003",(S1276*$U$5),0)))</f>
        <v>0</v>
      </c>
      <c r="V1276" s="651">
        <f t="shared" si="123"/>
        <v>0</v>
      </c>
    </row>
    <row r="1277" spans="4:22" x14ac:dyDescent="0.25">
      <c r="D1277" s="118">
        <f>+CUBICACION!D1276</f>
        <v>0</v>
      </c>
      <c r="E1277" s="118">
        <f>+CUBICACION!F1276</f>
        <v>0</v>
      </c>
      <c r="F1277" s="118">
        <f>+CUBICACION!E1276</f>
        <v>0</v>
      </c>
      <c r="G1277" s="118">
        <v>12</v>
      </c>
      <c r="H1277" s="118">
        <v>2</v>
      </c>
      <c r="I1277" s="820">
        <v>26385</v>
      </c>
      <c r="J1277" s="118">
        <f>+CUBICACION!J1276</f>
        <v>0</v>
      </c>
      <c r="K1277" s="118">
        <v>4056</v>
      </c>
      <c r="L1277" s="118">
        <f>+CUBICACION!L1276</f>
        <v>0</v>
      </c>
      <c r="M1277" s="64">
        <f>+CUBICACION!M1276</f>
        <v>0</v>
      </c>
      <c r="N1277" s="824" t="str">
        <f>+CUBICACION!N1276</f>
        <v/>
      </c>
      <c r="O1277" s="675">
        <f>+CUBICACION!O1276</f>
        <v>0</v>
      </c>
      <c r="P1277" s="15">
        <f>IF(O1277="Fire Control",VLOOKUP(_xlfn.MINIFS('FIRE CONTROL'!$C$4:$C$37,'FIRE CONTROL'!$C$4:$C$37,"&gt;="&amp;M1277),'FIRE CONTROL'!$C$4:$G$37,IF(L1277="F-15",2,IF(L1277="F-30",3,IF(L1277="F-60",4,IF(L1277="F-90",5,0)))),0),0)+IF(AND(O1277="FIRE TEX 5062",OR(E1277="IN",E1277="C",E1277="Z",E1277="L"),J1277=3),VLOOKUP(_xlfn.MINIFS('FIRE TEX 5062'!$B$4:$B$34,'FIRE TEX 5062'!$B$4:$B$34,"&gt;="&amp;M1277),'FIRE TEX 5062'!$B$4:$F$34,IF(L1277="F-15",2,IF(L1277="F-30",3,IF(L1277="F-60",4,IF(L1277="F-90",5,0)))),0),0)+IF(AND(O1277="FIRE TEX 5062",OR(E1277="IN",E1277="C",E1277="Z",E1277="L"),J1277=4),VLOOKUP(_xlfn.MINIFS('FIRE TEX 5062'!$G$4:$G$34,'FIRE TEX 5062'!$G$4:$G$34,"&gt;="&amp;M1277),'FIRE TEX 5062'!$G$4:$K$34,IF(L1277="F-15",2,IF(L1277="F-30",3,IF(L1277="F-60",4,IF(L1277="F-90",5,0)))),0),0)+IF(AND(O1277="FIRE TEX 5062",E1277="CJ",J1277=3),VLOOKUP(_xlfn.MINIFS('FIRE TEX 5062'!$L$4:$L$34,'FIRE TEX 5062'!$L$4:$L$34,"&gt;="&amp;M1277),'FIRE TEX 5062'!$L$4:$P$34,IF(L1277="F-15",2,IF(L1277="F-30",3,IF(L1277="F-60",4,IF(L1277="F-90",5,0)))),0),0)+IF(AND(O1277="FIRE TEX 5062",E1277="CJ",J1277=4),VLOOKUP(_xlfn.MINIFS('FIRE TEX 5062'!$Q$3:$Q$34,'FIRE TEX 5062'!$Q$3:$Q$34,"&gt;="&amp;M1277),'FIRE TEX 5062'!$Q$3:$U$34,IF(L1277="F-15",2,IF(L1277="F-30",3,IF(L1277="F-60",4,IF(L1277="F-90",5,0)))),0),0)+IF(AND(O1277="FIRE TEX 5090",OR(E1277="IN",E1277="C",E1277="Z",E1277="L"),J1277=3),VLOOKUP(_xlfn.MINIFS('FIRE TEX 5090'!$B$5:$B$43,'FIRE TEX 5090'!$B$5:$B$43,"&gt;="&amp;M1277),'FIRE TEX 5090'!$B$5:$H$43,IF(L1277="F-15",2,IF(L1277="F-30",3,IF(L1277="F-60",4,IF(L1277="F-90",5,IF(L1277="F-120",6,IF(L1277="F-150",7,0)))))),0),0)+IF(AND(O1277="FIRE TEX 5090",OR(E1277="IN",E1277="C",E1277="Z",E1277="L"),J1277=4),VLOOKUP(_xlfn.MINIFS('FIRE TEX 5090'!$J$5:$J$43,'FIRE TEX 5090'!$J$5:$J$43,"&gt;="&amp;M1277),'FIRE TEX 5090'!$J$5:$P$43,IF(L1277="F-15",2,IF(L1277="F-30",3,IF(L1277="F-60",4,IF(L1277="F-90",5,IF(L1277="F-120",6,IF(L1277="F-150",7,0)))))),0),0)+IF(AND(O1277="FIRE TEX 5090",E1277="CJ",J1277=3),VLOOKUP(_xlfn.MINIFS('FIRE TEX 5090'!$R$5:$R$30,'FIRE TEX 5090'!$R$5:$R$30,"&gt;="&amp;M1277),'FIRE TEX 5090'!$R$5:$W$30,IF(L1277="F-15",2,IF(L1277="F-30",3,IF(L1277="F-60",4,IF(L1277="F-90",5,IF(L1277="F-120",6,IF(L1277="F-150",7,0)))))),0),0)+IF(AND(O1277="FIRE TEX 5090",E1277="CJ",J1277=4),VLOOKUP(_xlfn.MINIFS('FIRE TEX 5090'!$Y$5:$Y$39,'FIRE TEX 5090'!$Y$5:$Y$39,"&gt;="&amp;M1277),'FIRE TEX 5090'!$Y$5:$AD$39,IF(L1277="F-15",2,IF(L1277="F-30",3,IF(L1277="F-60",4,IF(L1277="F-90",5,IF(L1277="F-120",6,IF(L1277="F-150",7,0)))))),0),0)+IF(AND(O1277="FIRE TEX 5120",OR(E1277="IN",E1277="C",E1277="Z",E1277="L"),J1277=3),VLOOKUP(_xlfn.MINIFS('FIRE TEX 5120'!$B$5:$B$40,'FIRE TEX 5120'!$B$5:$B$40,"&gt;="&amp;M1277),'FIRE TEX 5120'!$B$5:$G$40,IF(L1277="F-15",2,IF(L1277="F-30",3,IF(L1277="F-60",4,IF(L1277="F-90",5,IF(L1277="F-120",6,0))))),0),0)+IF(AND(O1277="FIRE TEX 5120",OR(E1277="IN",E1277="C",E1277="Z",E1277="L"),J1277=4),VLOOKUP(_xlfn.MINIFS('FIRE TEX 5120'!$H$4:$H$40,'FIRE TEX 5120'!$H$4:$H$40,"&gt;="&amp;M1277),'FIRE TEX 5120'!$H$4:$M$40,IF(L1277="F-15",2,IF(L1277="F-30",3,IF(L1277="F-60",4,IF(L1277="F-90",5,IF(L1277="F-120",6,0))))),0),0)+IF(AND(O1277="FIRE TEX 5120",E1277="CJ"),VLOOKUP(_xlfn.MINIFS('FIRE TEX 5120'!$O$5:$O$40,'FIRE TEX 5120'!$O$5:$O$40,"&gt;="&amp;M1277),'FIRE TEX 5120'!$O$5:$T$40,IF(L1277="F-15",2,IF(L1277="F-30",3,IF(L1277="F-60",4,IF(L1277="F-90",5,IF(L1277="F-120",6,0))))),0),0)</f>
        <v>0</v>
      </c>
      <c r="Q1277" s="46">
        <f t="shared" si="119"/>
        <v>0</v>
      </c>
      <c r="R1277" s="46">
        <f t="shared" si="120"/>
        <v>0</v>
      </c>
      <c r="S1277" s="46" t="e">
        <f t="shared" si="121"/>
        <v>#VALUE!</v>
      </c>
      <c r="T1277" s="677">
        <f t="shared" si="122"/>
        <v>0</v>
      </c>
      <c r="U1277" s="80">
        <f>(IF(O1277="Stofire",(S1277*#REF!),0))+(IF(O1277="Fire Control",(S1277*$U$2),0))+(IF(O1277="Fire Tex",(S1277*$U$3),0))+(IF(O1277="WB7",(S1277*#REF!),0)+(IF(O1277="FX 2003",(S1277*$U$5),0)))</f>
        <v>0</v>
      </c>
      <c r="V1277" s="651">
        <f t="shared" si="123"/>
        <v>0</v>
      </c>
    </row>
    <row r="1278" spans="4:22" x14ac:dyDescent="0.25">
      <c r="D1278" s="118">
        <f>+CUBICACION!D1277</f>
        <v>0</v>
      </c>
      <c r="E1278" s="118">
        <f>+CUBICACION!F1277</f>
        <v>0</v>
      </c>
      <c r="F1278" s="118">
        <f>+CUBICACION!E1277</f>
        <v>0</v>
      </c>
      <c r="G1278" s="118">
        <v>12</v>
      </c>
      <c r="H1278" s="118">
        <v>2</v>
      </c>
      <c r="I1278" s="820">
        <v>26385</v>
      </c>
      <c r="J1278" s="118">
        <f>+CUBICACION!J1277</f>
        <v>0</v>
      </c>
      <c r="K1278" s="118">
        <v>4057</v>
      </c>
      <c r="L1278" s="118">
        <f>+CUBICACION!L1277</f>
        <v>0</v>
      </c>
      <c r="M1278" s="64">
        <f>+CUBICACION!M1277</f>
        <v>0</v>
      </c>
      <c r="N1278" s="824" t="str">
        <f>+CUBICACION!N1277</f>
        <v/>
      </c>
      <c r="O1278" s="675">
        <f>+CUBICACION!O1277</f>
        <v>0</v>
      </c>
      <c r="P1278" s="15">
        <f>IF(O1278="Fire Control",VLOOKUP(_xlfn.MINIFS('FIRE CONTROL'!$C$4:$C$37,'FIRE CONTROL'!$C$4:$C$37,"&gt;="&amp;M1278),'FIRE CONTROL'!$C$4:$G$37,IF(L1278="F-15",2,IF(L1278="F-30",3,IF(L1278="F-60",4,IF(L1278="F-90",5,0)))),0),0)+IF(AND(O1278="FIRE TEX 5062",OR(E1278="IN",E1278="C",E1278="Z",E1278="L"),J1278=3),VLOOKUP(_xlfn.MINIFS('FIRE TEX 5062'!$B$4:$B$34,'FIRE TEX 5062'!$B$4:$B$34,"&gt;="&amp;M1278),'FIRE TEX 5062'!$B$4:$F$34,IF(L1278="F-15",2,IF(L1278="F-30",3,IF(L1278="F-60",4,IF(L1278="F-90",5,0)))),0),0)+IF(AND(O1278="FIRE TEX 5062",OR(E1278="IN",E1278="C",E1278="Z",E1278="L"),J1278=4),VLOOKUP(_xlfn.MINIFS('FIRE TEX 5062'!$G$4:$G$34,'FIRE TEX 5062'!$G$4:$G$34,"&gt;="&amp;M1278),'FIRE TEX 5062'!$G$4:$K$34,IF(L1278="F-15",2,IF(L1278="F-30",3,IF(L1278="F-60",4,IF(L1278="F-90",5,0)))),0),0)+IF(AND(O1278="FIRE TEX 5062",E1278="CJ",J1278=3),VLOOKUP(_xlfn.MINIFS('FIRE TEX 5062'!$L$4:$L$34,'FIRE TEX 5062'!$L$4:$L$34,"&gt;="&amp;M1278),'FIRE TEX 5062'!$L$4:$P$34,IF(L1278="F-15",2,IF(L1278="F-30",3,IF(L1278="F-60",4,IF(L1278="F-90",5,0)))),0),0)+IF(AND(O1278="FIRE TEX 5062",E1278="CJ",J1278=4),VLOOKUP(_xlfn.MINIFS('FIRE TEX 5062'!$Q$3:$Q$34,'FIRE TEX 5062'!$Q$3:$Q$34,"&gt;="&amp;M1278),'FIRE TEX 5062'!$Q$3:$U$34,IF(L1278="F-15",2,IF(L1278="F-30",3,IF(L1278="F-60",4,IF(L1278="F-90",5,0)))),0),0)+IF(AND(O1278="FIRE TEX 5090",OR(E1278="IN",E1278="C",E1278="Z",E1278="L"),J1278=3),VLOOKUP(_xlfn.MINIFS('FIRE TEX 5090'!$B$5:$B$43,'FIRE TEX 5090'!$B$5:$B$43,"&gt;="&amp;M1278),'FIRE TEX 5090'!$B$5:$H$43,IF(L1278="F-15",2,IF(L1278="F-30",3,IF(L1278="F-60",4,IF(L1278="F-90",5,IF(L1278="F-120",6,IF(L1278="F-150",7,0)))))),0),0)+IF(AND(O1278="FIRE TEX 5090",OR(E1278="IN",E1278="C",E1278="Z",E1278="L"),J1278=4),VLOOKUP(_xlfn.MINIFS('FIRE TEX 5090'!$J$5:$J$43,'FIRE TEX 5090'!$J$5:$J$43,"&gt;="&amp;M1278),'FIRE TEX 5090'!$J$5:$P$43,IF(L1278="F-15",2,IF(L1278="F-30",3,IF(L1278="F-60",4,IF(L1278="F-90",5,IF(L1278="F-120",6,IF(L1278="F-150",7,0)))))),0),0)+IF(AND(O1278="FIRE TEX 5090",E1278="CJ",J1278=3),VLOOKUP(_xlfn.MINIFS('FIRE TEX 5090'!$R$5:$R$30,'FIRE TEX 5090'!$R$5:$R$30,"&gt;="&amp;M1278),'FIRE TEX 5090'!$R$5:$W$30,IF(L1278="F-15",2,IF(L1278="F-30",3,IF(L1278="F-60",4,IF(L1278="F-90",5,IF(L1278="F-120",6,IF(L1278="F-150",7,0)))))),0),0)+IF(AND(O1278="FIRE TEX 5090",E1278="CJ",J1278=4),VLOOKUP(_xlfn.MINIFS('FIRE TEX 5090'!$Y$5:$Y$39,'FIRE TEX 5090'!$Y$5:$Y$39,"&gt;="&amp;M1278),'FIRE TEX 5090'!$Y$5:$AD$39,IF(L1278="F-15",2,IF(L1278="F-30",3,IF(L1278="F-60",4,IF(L1278="F-90",5,IF(L1278="F-120",6,IF(L1278="F-150",7,0)))))),0),0)+IF(AND(O1278="FIRE TEX 5120",OR(E1278="IN",E1278="C",E1278="Z",E1278="L"),J1278=3),VLOOKUP(_xlfn.MINIFS('FIRE TEX 5120'!$B$5:$B$40,'FIRE TEX 5120'!$B$5:$B$40,"&gt;="&amp;M1278),'FIRE TEX 5120'!$B$5:$G$40,IF(L1278="F-15",2,IF(L1278="F-30",3,IF(L1278="F-60",4,IF(L1278="F-90",5,IF(L1278="F-120",6,0))))),0),0)+IF(AND(O1278="FIRE TEX 5120",OR(E1278="IN",E1278="C",E1278="Z",E1278="L"),J1278=4),VLOOKUP(_xlfn.MINIFS('FIRE TEX 5120'!$H$4:$H$40,'FIRE TEX 5120'!$H$4:$H$40,"&gt;="&amp;M1278),'FIRE TEX 5120'!$H$4:$M$40,IF(L1278="F-15",2,IF(L1278="F-30",3,IF(L1278="F-60",4,IF(L1278="F-90",5,IF(L1278="F-120",6,0))))),0),0)+IF(AND(O1278="FIRE TEX 5120",E1278="CJ"),VLOOKUP(_xlfn.MINIFS('FIRE TEX 5120'!$O$5:$O$40,'FIRE TEX 5120'!$O$5:$O$40,"&gt;="&amp;M1278),'FIRE TEX 5120'!$O$5:$T$40,IF(L1278="F-15",2,IF(L1278="F-30",3,IF(L1278="F-60",4,IF(L1278="F-90",5,IF(L1278="F-120",6,0))))),0),0)</f>
        <v>0</v>
      </c>
      <c r="Q1278" s="46">
        <f t="shared" si="119"/>
        <v>0</v>
      </c>
      <c r="R1278" s="46">
        <f t="shared" si="120"/>
        <v>0</v>
      </c>
      <c r="S1278" s="46" t="e">
        <f t="shared" si="121"/>
        <v>#VALUE!</v>
      </c>
      <c r="T1278" s="677">
        <f t="shared" si="122"/>
        <v>0</v>
      </c>
      <c r="U1278" s="80">
        <f>(IF(O1278="Stofire",(S1278*#REF!),0))+(IF(O1278="Fire Control",(S1278*$U$2),0))+(IF(O1278="Fire Tex",(S1278*$U$3),0))+(IF(O1278="WB7",(S1278*#REF!),0)+(IF(O1278="FX 2003",(S1278*$U$5),0)))</f>
        <v>0</v>
      </c>
      <c r="V1278" s="651">
        <f t="shared" si="123"/>
        <v>0</v>
      </c>
    </row>
    <row r="1279" spans="4:22" x14ac:dyDescent="0.25">
      <c r="D1279" s="118">
        <f>+CUBICACION!D1278</f>
        <v>0</v>
      </c>
      <c r="E1279" s="118">
        <f>+CUBICACION!F1278</f>
        <v>0</v>
      </c>
      <c r="F1279" s="118">
        <f>+CUBICACION!E1278</f>
        <v>0</v>
      </c>
      <c r="G1279" s="118">
        <v>12</v>
      </c>
      <c r="H1279" s="118">
        <v>2</v>
      </c>
      <c r="I1279" s="820">
        <v>26385</v>
      </c>
      <c r="J1279" s="118">
        <f>+CUBICACION!J1278</f>
        <v>0</v>
      </c>
      <c r="K1279" s="118">
        <v>4058</v>
      </c>
      <c r="L1279" s="118">
        <f>+CUBICACION!L1278</f>
        <v>0</v>
      </c>
      <c r="M1279" s="64">
        <f>+CUBICACION!M1278</f>
        <v>0</v>
      </c>
      <c r="N1279" s="824" t="str">
        <f>+CUBICACION!N1278</f>
        <v/>
      </c>
      <c r="O1279" s="675">
        <f>+CUBICACION!O1278</f>
        <v>0</v>
      </c>
      <c r="P1279" s="15">
        <f>IF(O1279="Fire Control",VLOOKUP(_xlfn.MINIFS('FIRE CONTROL'!$C$4:$C$37,'FIRE CONTROL'!$C$4:$C$37,"&gt;="&amp;M1279),'FIRE CONTROL'!$C$4:$G$37,IF(L1279="F-15",2,IF(L1279="F-30",3,IF(L1279="F-60",4,IF(L1279="F-90",5,0)))),0),0)+IF(AND(O1279="FIRE TEX 5062",OR(E1279="IN",E1279="C",E1279="Z",E1279="L"),J1279=3),VLOOKUP(_xlfn.MINIFS('FIRE TEX 5062'!$B$4:$B$34,'FIRE TEX 5062'!$B$4:$B$34,"&gt;="&amp;M1279),'FIRE TEX 5062'!$B$4:$F$34,IF(L1279="F-15",2,IF(L1279="F-30",3,IF(L1279="F-60",4,IF(L1279="F-90",5,0)))),0),0)+IF(AND(O1279="FIRE TEX 5062",OR(E1279="IN",E1279="C",E1279="Z",E1279="L"),J1279=4),VLOOKUP(_xlfn.MINIFS('FIRE TEX 5062'!$G$4:$G$34,'FIRE TEX 5062'!$G$4:$G$34,"&gt;="&amp;M1279),'FIRE TEX 5062'!$G$4:$K$34,IF(L1279="F-15",2,IF(L1279="F-30",3,IF(L1279="F-60",4,IF(L1279="F-90",5,0)))),0),0)+IF(AND(O1279="FIRE TEX 5062",E1279="CJ",J1279=3),VLOOKUP(_xlfn.MINIFS('FIRE TEX 5062'!$L$4:$L$34,'FIRE TEX 5062'!$L$4:$L$34,"&gt;="&amp;M1279),'FIRE TEX 5062'!$L$4:$P$34,IF(L1279="F-15",2,IF(L1279="F-30",3,IF(L1279="F-60",4,IF(L1279="F-90",5,0)))),0),0)+IF(AND(O1279="FIRE TEX 5062",E1279="CJ",J1279=4),VLOOKUP(_xlfn.MINIFS('FIRE TEX 5062'!$Q$3:$Q$34,'FIRE TEX 5062'!$Q$3:$Q$34,"&gt;="&amp;M1279),'FIRE TEX 5062'!$Q$3:$U$34,IF(L1279="F-15",2,IF(L1279="F-30",3,IF(L1279="F-60",4,IF(L1279="F-90",5,0)))),0),0)+IF(AND(O1279="FIRE TEX 5090",OR(E1279="IN",E1279="C",E1279="Z",E1279="L"),J1279=3),VLOOKUP(_xlfn.MINIFS('FIRE TEX 5090'!$B$5:$B$43,'FIRE TEX 5090'!$B$5:$B$43,"&gt;="&amp;M1279),'FIRE TEX 5090'!$B$5:$H$43,IF(L1279="F-15",2,IF(L1279="F-30",3,IF(L1279="F-60",4,IF(L1279="F-90",5,IF(L1279="F-120",6,IF(L1279="F-150",7,0)))))),0),0)+IF(AND(O1279="FIRE TEX 5090",OR(E1279="IN",E1279="C",E1279="Z",E1279="L"),J1279=4),VLOOKUP(_xlfn.MINIFS('FIRE TEX 5090'!$J$5:$J$43,'FIRE TEX 5090'!$J$5:$J$43,"&gt;="&amp;M1279),'FIRE TEX 5090'!$J$5:$P$43,IF(L1279="F-15",2,IF(L1279="F-30",3,IF(L1279="F-60",4,IF(L1279="F-90",5,IF(L1279="F-120",6,IF(L1279="F-150",7,0)))))),0),0)+IF(AND(O1279="FIRE TEX 5090",E1279="CJ",J1279=3),VLOOKUP(_xlfn.MINIFS('FIRE TEX 5090'!$R$5:$R$30,'FIRE TEX 5090'!$R$5:$R$30,"&gt;="&amp;M1279),'FIRE TEX 5090'!$R$5:$W$30,IF(L1279="F-15",2,IF(L1279="F-30",3,IF(L1279="F-60",4,IF(L1279="F-90",5,IF(L1279="F-120",6,IF(L1279="F-150",7,0)))))),0),0)+IF(AND(O1279="FIRE TEX 5090",E1279="CJ",J1279=4),VLOOKUP(_xlfn.MINIFS('FIRE TEX 5090'!$Y$5:$Y$39,'FIRE TEX 5090'!$Y$5:$Y$39,"&gt;="&amp;M1279),'FIRE TEX 5090'!$Y$5:$AD$39,IF(L1279="F-15",2,IF(L1279="F-30",3,IF(L1279="F-60",4,IF(L1279="F-90",5,IF(L1279="F-120",6,IF(L1279="F-150",7,0)))))),0),0)+IF(AND(O1279="FIRE TEX 5120",OR(E1279="IN",E1279="C",E1279="Z",E1279="L"),J1279=3),VLOOKUP(_xlfn.MINIFS('FIRE TEX 5120'!$B$5:$B$40,'FIRE TEX 5120'!$B$5:$B$40,"&gt;="&amp;M1279),'FIRE TEX 5120'!$B$5:$G$40,IF(L1279="F-15",2,IF(L1279="F-30",3,IF(L1279="F-60",4,IF(L1279="F-90",5,IF(L1279="F-120",6,0))))),0),0)+IF(AND(O1279="FIRE TEX 5120",OR(E1279="IN",E1279="C",E1279="Z",E1279="L"),J1279=4),VLOOKUP(_xlfn.MINIFS('FIRE TEX 5120'!$H$4:$H$40,'FIRE TEX 5120'!$H$4:$H$40,"&gt;="&amp;M1279),'FIRE TEX 5120'!$H$4:$M$40,IF(L1279="F-15",2,IF(L1279="F-30",3,IF(L1279="F-60",4,IF(L1279="F-90",5,IF(L1279="F-120",6,0))))),0),0)+IF(AND(O1279="FIRE TEX 5120",E1279="CJ"),VLOOKUP(_xlfn.MINIFS('FIRE TEX 5120'!$O$5:$O$40,'FIRE TEX 5120'!$O$5:$O$40,"&gt;="&amp;M1279),'FIRE TEX 5120'!$O$5:$T$40,IF(L1279="F-15",2,IF(L1279="F-30",3,IF(L1279="F-60",4,IF(L1279="F-90",5,IF(L1279="F-120",6,0))))),0),0)</f>
        <v>0</v>
      </c>
      <c r="Q1279" s="46">
        <f t="shared" si="119"/>
        <v>0</v>
      </c>
      <c r="R1279" s="46">
        <f t="shared" si="120"/>
        <v>0</v>
      </c>
      <c r="S1279" s="46" t="e">
        <f t="shared" si="121"/>
        <v>#VALUE!</v>
      </c>
      <c r="T1279" s="677">
        <f t="shared" si="122"/>
        <v>0</v>
      </c>
      <c r="U1279" s="80">
        <f>(IF(O1279="Stofire",(S1279*#REF!),0))+(IF(O1279="Fire Control",(S1279*$U$2),0))+(IF(O1279="Fire Tex",(S1279*$U$3),0))+(IF(O1279="WB7",(S1279*#REF!),0)+(IF(O1279="FX 2003",(S1279*$U$5),0)))</f>
        <v>0</v>
      </c>
      <c r="V1279" s="651">
        <f t="shared" si="123"/>
        <v>0</v>
      </c>
    </row>
    <row r="1280" spans="4:22" x14ac:dyDescent="0.25">
      <c r="D1280" s="118">
        <f>+CUBICACION!D1279</f>
        <v>0</v>
      </c>
      <c r="E1280" s="118">
        <f>+CUBICACION!F1279</f>
        <v>0</v>
      </c>
      <c r="F1280" s="118">
        <f>+CUBICACION!E1279</f>
        <v>0</v>
      </c>
      <c r="G1280" s="118">
        <v>12</v>
      </c>
      <c r="H1280" s="118">
        <v>2</v>
      </c>
      <c r="I1280" s="820">
        <v>26385</v>
      </c>
      <c r="J1280" s="118">
        <f>+CUBICACION!J1279</f>
        <v>0</v>
      </c>
      <c r="K1280" s="118">
        <v>4059</v>
      </c>
      <c r="L1280" s="118">
        <f>+CUBICACION!L1279</f>
        <v>0</v>
      </c>
      <c r="M1280" s="64">
        <f>+CUBICACION!M1279</f>
        <v>0</v>
      </c>
      <c r="N1280" s="824" t="str">
        <f>+CUBICACION!N1279</f>
        <v/>
      </c>
      <c r="O1280" s="675">
        <f>+CUBICACION!O1279</f>
        <v>0</v>
      </c>
      <c r="P1280" s="15">
        <f>IF(O1280="Fire Control",VLOOKUP(_xlfn.MINIFS('FIRE CONTROL'!$C$4:$C$37,'FIRE CONTROL'!$C$4:$C$37,"&gt;="&amp;M1280),'FIRE CONTROL'!$C$4:$G$37,IF(L1280="F-15",2,IF(L1280="F-30",3,IF(L1280="F-60",4,IF(L1280="F-90",5,0)))),0),0)+IF(AND(O1280="FIRE TEX 5062",OR(E1280="IN",E1280="C",E1280="Z",E1280="L"),J1280=3),VLOOKUP(_xlfn.MINIFS('FIRE TEX 5062'!$B$4:$B$34,'FIRE TEX 5062'!$B$4:$B$34,"&gt;="&amp;M1280),'FIRE TEX 5062'!$B$4:$F$34,IF(L1280="F-15",2,IF(L1280="F-30",3,IF(L1280="F-60",4,IF(L1280="F-90",5,0)))),0),0)+IF(AND(O1280="FIRE TEX 5062",OR(E1280="IN",E1280="C",E1280="Z",E1280="L"),J1280=4),VLOOKUP(_xlfn.MINIFS('FIRE TEX 5062'!$G$4:$G$34,'FIRE TEX 5062'!$G$4:$G$34,"&gt;="&amp;M1280),'FIRE TEX 5062'!$G$4:$K$34,IF(L1280="F-15",2,IF(L1280="F-30",3,IF(L1280="F-60",4,IF(L1280="F-90",5,0)))),0),0)+IF(AND(O1280="FIRE TEX 5062",E1280="CJ",J1280=3),VLOOKUP(_xlfn.MINIFS('FIRE TEX 5062'!$L$4:$L$34,'FIRE TEX 5062'!$L$4:$L$34,"&gt;="&amp;M1280),'FIRE TEX 5062'!$L$4:$P$34,IF(L1280="F-15",2,IF(L1280="F-30",3,IF(L1280="F-60",4,IF(L1280="F-90",5,0)))),0),0)+IF(AND(O1280="FIRE TEX 5062",E1280="CJ",J1280=4),VLOOKUP(_xlfn.MINIFS('FIRE TEX 5062'!$Q$3:$Q$34,'FIRE TEX 5062'!$Q$3:$Q$34,"&gt;="&amp;M1280),'FIRE TEX 5062'!$Q$3:$U$34,IF(L1280="F-15",2,IF(L1280="F-30",3,IF(L1280="F-60",4,IF(L1280="F-90",5,0)))),0),0)+IF(AND(O1280="FIRE TEX 5090",OR(E1280="IN",E1280="C",E1280="Z",E1280="L"),J1280=3),VLOOKUP(_xlfn.MINIFS('FIRE TEX 5090'!$B$5:$B$43,'FIRE TEX 5090'!$B$5:$B$43,"&gt;="&amp;M1280),'FIRE TEX 5090'!$B$5:$H$43,IF(L1280="F-15",2,IF(L1280="F-30",3,IF(L1280="F-60",4,IF(L1280="F-90",5,IF(L1280="F-120",6,IF(L1280="F-150",7,0)))))),0),0)+IF(AND(O1280="FIRE TEX 5090",OR(E1280="IN",E1280="C",E1280="Z",E1280="L"),J1280=4),VLOOKUP(_xlfn.MINIFS('FIRE TEX 5090'!$J$5:$J$43,'FIRE TEX 5090'!$J$5:$J$43,"&gt;="&amp;M1280),'FIRE TEX 5090'!$J$5:$P$43,IF(L1280="F-15",2,IF(L1280="F-30",3,IF(L1280="F-60",4,IF(L1280="F-90",5,IF(L1280="F-120",6,IF(L1280="F-150",7,0)))))),0),0)+IF(AND(O1280="FIRE TEX 5090",E1280="CJ",J1280=3),VLOOKUP(_xlfn.MINIFS('FIRE TEX 5090'!$R$5:$R$30,'FIRE TEX 5090'!$R$5:$R$30,"&gt;="&amp;M1280),'FIRE TEX 5090'!$R$5:$W$30,IF(L1280="F-15",2,IF(L1280="F-30",3,IF(L1280="F-60",4,IF(L1280="F-90",5,IF(L1280="F-120",6,IF(L1280="F-150",7,0)))))),0),0)+IF(AND(O1280="FIRE TEX 5090",E1280="CJ",J1280=4),VLOOKUP(_xlfn.MINIFS('FIRE TEX 5090'!$Y$5:$Y$39,'FIRE TEX 5090'!$Y$5:$Y$39,"&gt;="&amp;M1280),'FIRE TEX 5090'!$Y$5:$AD$39,IF(L1280="F-15",2,IF(L1280="F-30",3,IF(L1280="F-60",4,IF(L1280="F-90",5,IF(L1280="F-120",6,IF(L1280="F-150",7,0)))))),0),0)+IF(AND(O1280="FIRE TEX 5120",OR(E1280="IN",E1280="C",E1280="Z",E1280="L"),J1280=3),VLOOKUP(_xlfn.MINIFS('FIRE TEX 5120'!$B$5:$B$40,'FIRE TEX 5120'!$B$5:$B$40,"&gt;="&amp;M1280),'FIRE TEX 5120'!$B$5:$G$40,IF(L1280="F-15",2,IF(L1280="F-30",3,IF(L1280="F-60",4,IF(L1280="F-90",5,IF(L1280="F-120",6,0))))),0),0)+IF(AND(O1280="FIRE TEX 5120",OR(E1280="IN",E1280="C",E1280="Z",E1280="L"),J1280=4),VLOOKUP(_xlfn.MINIFS('FIRE TEX 5120'!$H$4:$H$40,'FIRE TEX 5120'!$H$4:$H$40,"&gt;="&amp;M1280),'FIRE TEX 5120'!$H$4:$M$40,IF(L1280="F-15",2,IF(L1280="F-30",3,IF(L1280="F-60",4,IF(L1280="F-90",5,IF(L1280="F-120",6,0))))),0),0)+IF(AND(O1280="FIRE TEX 5120",E1280="CJ"),VLOOKUP(_xlfn.MINIFS('FIRE TEX 5120'!$O$5:$O$40,'FIRE TEX 5120'!$O$5:$O$40,"&gt;="&amp;M1280),'FIRE TEX 5120'!$O$5:$T$40,IF(L1280="F-15",2,IF(L1280="F-30",3,IF(L1280="F-60",4,IF(L1280="F-90",5,IF(L1280="F-120",6,0))))),0),0)</f>
        <v>0</v>
      </c>
      <c r="Q1280" s="46">
        <f t="shared" si="119"/>
        <v>0</v>
      </c>
      <c r="R1280" s="46">
        <f t="shared" si="120"/>
        <v>0</v>
      </c>
      <c r="S1280" s="46" t="e">
        <f t="shared" si="121"/>
        <v>#VALUE!</v>
      </c>
      <c r="T1280" s="677">
        <f t="shared" si="122"/>
        <v>0</v>
      </c>
      <c r="U1280" s="80">
        <f>(IF(O1280="Stofire",(S1280*#REF!),0))+(IF(O1280="Fire Control",(S1280*$U$2),0))+(IF(O1280="Fire Tex",(S1280*$U$3),0))+(IF(O1280="WB7",(S1280*#REF!),0)+(IF(O1280="FX 2003",(S1280*$U$5),0)))</f>
        <v>0</v>
      </c>
      <c r="V1280" s="651">
        <f t="shared" si="123"/>
        <v>0</v>
      </c>
    </row>
    <row r="1281" spans="4:22" x14ac:dyDescent="0.25">
      <c r="D1281" s="118">
        <f>+CUBICACION!D1280</f>
        <v>0</v>
      </c>
      <c r="E1281" s="118">
        <f>+CUBICACION!F1280</f>
        <v>0</v>
      </c>
      <c r="F1281" s="118">
        <f>+CUBICACION!E1280</f>
        <v>0</v>
      </c>
      <c r="G1281" s="118">
        <v>12</v>
      </c>
      <c r="H1281" s="118">
        <v>2</v>
      </c>
      <c r="I1281" s="820">
        <v>26385</v>
      </c>
      <c r="J1281" s="118">
        <f>+CUBICACION!J1280</f>
        <v>0</v>
      </c>
      <c r="K1281" s="118">
        <v>4060</v>
      </c>
      <c r="L1281" s="118">
        <f>+CUBICACION!L1280</f>
        <v>0</v>
      </c>
      <c r="M1281" s="64">
        <f>+CUBICACION!M1280</f>
        <v>0</v>
      </c>
      <c r="N1281" s="824" t="str">
        <f>+CUBICACION!N1280</f>
        <v/>
      </c>
      <c r="O1281" s="675">
        <f>+CUBICACION!O1280</f>
        <v>0</v>
      </c>
      <c r="P1281" s="15">
        <f>IF(O1281="Fire Control",VLOOKUP(_xlfn.MINIFS('FIRE CONTROL'!$C$4:$C$37,'FIRE CONTROL'!$C$4:$C$37,"&gt;="&amp;M1281),'FIRE CONTROL'!$C$4:$G$37,IF(L1281="F-15",2,IF(L1281="F-30",3,IF(L1281="F-60",4,IF(L1281="F-90",5,0)))),0),0)+IF(AND(O1281="FIRE TEX 5062",OR(E1281="IN",E1281="C",E1281="Z",E1281="L"),J1281=3),VLOOKUP(_xlfn.MINIFS('FIRE TEX 5062'!$B$4:$B$34,'FIRE TEX 5062'!$B$4:$B$34,"&gt;="&amp;M1281),'FIRE TEX 5062'!$B$4:$F$34,IF(L1281="F-15",2,IF(L1281="F-30",3,IF(L1281="F-60",4,IF(L1281="F-90",5,0)))),0),0)+IF(AND(O1281="FIRE TEX 5062",OR(E1281="IN",E1281="C",E1281="Z",E1281="L"),J1281=4),VLOOKUP(_xlfn.MINIFS('FIRE TEX 5062'!$G$4:$G$34,'FIRE TEX 5062'!$G$4:$G$34,"&gt;="&amp;M1281),'FIRE TEX 5062'!$G$4:$K$34,IF(L1281="F-15",2,IF(L1281="F-30",3,IF(L1281="F-60",4,IF(L1281="F-90",5,0)))),0),0)+IF(AND(O1281="FIRE TEX 5062",E1281="CJ",J1281=3),VLOOKUP(_xlfn.MINIFS('FIRE TEX 5062'!$L$4:$L$34,'FIRE TEX 5062'!$L$4:$L$34,"&gt;="&amp;M1281),'FIRE TEX 5062'!$L$4:$P$34,IF(L1281="F-15",2,IF(L1281="F-30",3,IF(L1281="F-60",4,IF(L1281="F-90",5,0)))),0),0)+IF(AND(O1281="FIRE TEX 5062",E1281="CJ",J1281=4),VLOOKUP(_xlfn.MINIFS('FIRE TEX 5062'!$Q$3:$Q$34,'FIRE TEX 5062'!$Q$3:$Q$34,"&gt;="&amp;M1281),'FIRE TEX 5062'!$Q$3:$U$34,IF(L1281="F-15",2,IF(L1281="F-30",3,IF(L1281="F-60",4,IF(L1281="F-90",5,0)))),0),0)+IF(AND(O1281="FIRE TEX 5090",OR(E1281="IN",E1281="C",E1281="Z",E1281="L"),J1281=3),VLOOKUP(_xlfn.MINIFS('FIRE TEX 5090'!$B$5:$B$43,'FIRE TEX 5090'!$B$5:$B$43,"&gt;="&amp;M1281),'FIRE TEX 5090'!$B$5:$H$43,IF(L1281="F-15",2,IF(L1281="F-30",3,IF(L1281="F-60",4,IF(L1281="F-90",5,IF(L1281="F-120",6,IF(L1281="F-150",7,0)))))),0),0)+IF(AND(O1281="FIRE TEX 5090",OR(E1281="IN",E1281="C",E1281="Z",E1281="L"),J1281=4),VLOOKUP(_xlfn.MINIFS('FIRE TEX 5090'!$J$5:$J$43,'FIRE TEX 5090'!$J$5:$J$43,"&gt;="&amp;M1281),'FIRE TEX 5090'!$J$5:$P$43,IF(L1281="F-15",2,IF(L1281="F-30",3,IF(L1281="F-60",4,IF(L1281="F-90",5,IF(L1281="F-120",6,IF(L1281="F-150",7,0)))))),0),0)+IF(AND(O1281="FIRE TEX 5090",E1281="CJ",J1281=3),VLOOKUP(_xlfn.MINIFS('FIRE TEX 5090'!$R$5:$R$30,'FIRE TEX 5090'!$R$5:$R$30,"&gt;="&amp;M1281),'FIRE TEX 5090'!$R$5:$W$30,IF(L1281="F-15",2,IF(L1281="F-30",3,IF(L1281="F-60",4,IF(L1281="F-90",5,IF(L1281="F-120",6,IF(L1281="F-150",7,0)))))),0),0)+IF(AND(O1281="FIRE TEX 5090",E1281="CJ",J1281=4),VLOOKUP(_xlfn.MINIFS('FIRE TEX 5090'!$Y$5:$Y$39,'FIRE TEX 5090'!$Y$5:$Y$39,"&gt;="&amp;M1281),'FIRE TEX 5090'!$Y$5:$AD$39,IF(L1281="F-15",2,IF(L1281="F-30",3,IF(L1281="F-60",4,IF(L1281="F-90",5,IF(L1281="F-120",6,IF(L1281="F-150",7,0)))))),0),0)+IF(AND(O1281="FIRE TEX 5120",OR(E1281="IN",E1281="C",E1281="Z",E1281="L"),J1281=3),VLOOKUP(_xlfn.MINIFS('FIRE TEX 5120'!$B$5:$B$40,'FIRE TEX 5120'!$B$5:$B$40,"&gt;="&amp;M1281),'FIRE TEX 5120'!$B$5:$G$40,IF(L1281="F-15",2,IF(L1281="F-30",3,IF(L1281="F-60",4,IF(L1281="F-90",5,IF(L1281="F-120",6,0))))),0),0)+IF(AND(O1281="FIRE TEX 5120",OR(E1281="IN",E1281="C",E1281="Z",E1281="L"),J1281=4),VLOOKUP(_xlfn.MINIFS('FIRE TEX 5120'!$H$4:$H$40,'FIRE TEX 5120'!$H$4:$H$40,"&gt;="&amp;M1281),'FIRE TEX 5120'!$H$4:$M$40,IF(L1281="F-15",2,IF(L1281="F-30",3,IF(L1281="F-60",4,IF(L1281="F-90",5,IF(L1281="F-120",6,0))))),0),0)+IF(AND(O1281="FIRE TEX 5120",E1281="CJ"),VLOOKUP(_xlfn.MINIFS('FIRE TEX 5120'!$O$5:$O$40,'FIRE TEX 5120'!$O$5:$O$40,"&gt;="&amp;M1281),'FIRE TEX 5120'!$O$5:$T$40,IF(L1281="F-15",2,IF(L1281="F-30",3,IF(L1281="F-60",4,IF(L1281="F-90",5,IF(L1281="F-120",6,0))))),0),0)</f>
        <v>0</v>
      </c>
      <c r="Q1281" s="46">
        <f t="shared" si="119"/>
        <v>0</v>
      </c>
      <c r="R1281" s="46">
        <f t="shared" si="120"/>
        <v>0</v>
      </c>
      <c r="S1281" s="46" t="e">
        <f t="shared" si="121"/>
        <v>#VALUE!</v>
      </c>
      <c r="T1281" s="677">
        <f t="shared" si="122"/>
        <v>0</v>
      </c>
      <c r="U1281" s="80">
        <f>(IF(O1281="Stofire",(S1281*#REF!),0))+(IF(O1281="Fire Control",(S1281*$U$2),0))+(IF(O1281="Fire Tex",(S1281*$U$3),0))+(IF(O1281="WB7",(S1281*#REF!),0)+(IF(O1281="FX 2003",(S1281*$U$5),0)))</f>
        <v>0</v>
      </c>
      <c r="V1281" s="651">
        <f t="shared" si="123"/>
        <v>0</v>
      </c>
    </row>
    <row r="1282" spans="4:22" x14ac:dyDescent="0.25">
      <c r="D1282" s="118">
        <f>+CUBICACION!D1281</f>
        <v>0</v>
      </c>
      <c r="E1282" s="118">
        <f>+CUBICACION!F1281</f>
        <v>0</v>
      </c>
      <c r="F1282" s="118">
        <f>+CUBICACION!E1281</f>
        <v>0</v>
      </c>
      <c r="G1282" s="118">
        <v>12</v>
      </c>
      <c r="H1282" s="118">
        <v>2</v>
      </c>
      <c r="I1282" s="820">
        <v>26385</v>
      </c>
      <c r="J1282" s="118">
        <f>+CUBICACION!J1281</f>
        <v>0</v>
      </c>
      <c r="K1282" s="118">
        <v>4061</v>
      </c>
      <c r="L1282" s="118">
        <f>+CUBICACION!L1281</f>
        <v>0</v>
      </c>
      <c r="M1282" s="64">
        <f>+CUBICACION!M1281</f>
        <v>0</v>
      </c>
      <c r="N1282" s="824" t="str">
        <f>+CUBICACION!N1281</f>
        <v/>
      </c>
      <c r="O1282" s="675">
        <f>+CUBICACION!O1281</f>
        <v>0</v>
      </c>
      <c r="P1282" s="15">
        <f>IF(O1282="Fire Control",VLOOKUP(_xlfn.MINIFS('FIRE CONTROL'!$C$4:$C$37,'FIRE CONTROL'!$C$4:$C$37,"&gt;="&amp;M1282),'FIRE CONTROL'!$C$4:$G$37,IF(L1282="F-15",2,IF(L1282="F-30",3,IF(L1282="F-60",4,IF(L1282="F-90",5,0)))),0),0)+IF(AND(O1282="FIRE TEX 5062",OR(E1282="IN",E1282="C",E1282="Z",E1282="L"),J1282=3),VLOOKUP(_xlfn.MINIFS('FIRE TEX 5062'!$B$4:$B$34,'FIRE TEX 5062'!$B$4:$B$34,"&gt;="&amp;M1282),'FIRE TEX 5062'!$B$4:$F$34,IF(L1282="F-15",2,IF(L1282="F-30",3,IF(L1282="F-60",4,IF(L1282="F-90",5,0)))),0),0)+IF(AND(O1282="FIRE TEX 5062",OR(E1282="IN",E1282="C",E1282="Z",E1282="L"),J1282=4),VLOOKUP(_xlfn.MINIFS('FIRE TEX 5062'!$G$4:$G$34,'FIRE TEX 5062'!$G$4:$G$34,"&gt;="&amp;M1282),'FIRE TEX 5062'!$G$4:$K$34,IF(L1282="F-15",2,IF(L1282="F-30",3,IF(L1282="F-60",4,IF(L1282="F-90",5,0)))),0),0)+IF(AND(O1282="FIRE TEX 5062",E1282="CJ",J1282=3),VLOOKUP(_xlfn.MINIFS('FIRE TEX 5062'!$L$4:$L$34,'FIRE TEX 5062'!$L$4:$L$34,"&gt;="&amp;M1282),'FIRE TEX 5062'!$L$4:$P$34,IF(L1282="F-15",2,IF(L1282="F-30",3,IF(L1282="F-60",4,IF(L1282="F-90",5,0)))),0),0)+IF(AND(O1282="FIRE TEX 5062",E1282="CJ",J1282=4),VLOOKUP(_xlfn.MINIFS('FIRE TEX 5062'!$Q$3:$Q$34,'FIRE TEX 5062'!$Q$3:$Q$34,"&gt;="&amp;M1282),'FIRE TEX 5062'!$Q$3:$U$34,IF(L1282="F-15",2,IF(L1282="F-30",3,IF(L1282="F-60",4,IF(L1282="F-90",5,0)))),0),0)+IF(AND(O1282="FIRE TEX 5090",OR(E1282="IN",E1282="C",E1282="Z",E1282="L"),J1282=3),VLOOKUP(_xlfn.MINIFS('FIRE TEX 5090'!$B$5:$B$43,'FIRE TEX 5090'!$B$5:$B$43,"&gt;="&amp;M1282),'FIRE TEX 5090'!$B$5:$H$43,IF(L1282="F-15",2,IF(L1282="F-30",3,IF(L1282="F-60",4,IF(L1282="F-90",5,IF(L1282="F-120",6,IF(L1282="F-150",7,0)))))),0),0)+IF(AND(O1282="FIRE TEX 5090",OR(E1282="IN",E1282="C",E1282="Z",E1282="L"),J1282=4),VLOOKUP(_xlfn.MINIFS('FIRE TEX 5090'!$J$5:$J$43,'FIRE TEX 5090'!$J$5:$J$43,"&gt;="&amp;M1282),'FIRE TEX 5090'!$J$5:$P$43,IF(L1282="F-15",2,IF(L1282="F-30",3,IF(L1282="F-60",4,IF(L1282="F-90",5,IF(L1282="F-120",6,IF(L1282="F-150",7,0)))))),0),0)+IF(AND(O1282="FIRE TEX 5090",E1282="CJ",J1282=3),VLOOKUP(_xlfn.MINIFS('FIRE TEX 5090'!$R$5:$R$30,'FIRE TEX 5090'!$R$5:$R$30,"&gt;="&amp;M1282),'FIRE TEX 5090'!$R$5:$W$30,IF(L1282="F-15",2,IF(L1282="F-30",3,IF(L1282="F-60",4,IF(L1282="F-90",5,IF(L1282="F-120",6,IF(L1282="F-150",7,0)))))),0),0)+IF(AND(O1282="FIRE TEX 5090",E1282="CJ",J1282=4),VLOOKUP(_xlfn.MINIFS('FIRE TEX 5090'!$Y$5:$Y$39,'FIRE TEX 5090'!$Y$5:$Y$39,"&gt;="&amp;M1282),'FIRE TEX 5090'!$Y$5:$AD$39,IF(L1282="F-15",2,IF(L1282="F-30",3,IF(L1282="F-60",4,IF(L1282="F-90",5,IF(L1282="F-120",6,IF(L1282="F-150",7,0)))))),0),0)+IF(AND(O1282="FIRE TEX 5120",OR(E1282="IN",E1282="C",E1282="Z",E1282="L"),J1282=3),VLOOKUP(_xlfn.MINIFS('FIRE TEX 5120'!$B$5:$B$40,'FIRE TEX 5120'!$B$5:$B$40,"&gt;="&amp;M1282),'FIRE TEX 5120'!$B$5:$G$40,IF(L1282="F-15",2,IF(L1282="F-30",3,IF(L1282="F-60",4,IF(L1282="F-90",5,IF(L1282="F-120",6,0))))),0),0)+IF(AND(O1282="FIRE TEX 5120",OR(E1282="IN",E1282="C",E1282="Z",E1282="L"),J1282=4),VLOOKUP(_xlfn.MINIFS('FIRE TEX 5120'!$H$4:$H$40,'FIRE TEX 5120'!$H$4:$H$40,"&gt;="&amp;M1282),'FIRE TEX 5120'!$H$4:$M$40,IF(L1282="F-15",2,IF(L1282="F-30",3,IF(L1282="F-60",4,IF(L1282="F-90",5,IF(L1282="F-120",6,0))))),0),0)+IF(AND(O1282="FIRE TEX 5120",E1282="CJ"),VLOOKUP(_xlfn.MINIFS('FIRE TEX 5120'!$O$5:$O$40,'FIRE TEX 5120'!$O$5:$O$40,"&gt;="&amp;M1282),'FIRE TEX 5120'!$O$5:$T$40,IF(L1282="F-15",2,IF(L1282="F-30",3,IF(L1282="F-60",4,IF(L1282="F-90",5,IF(L1282="F-120",6,0))))),0),0)</f>
        <v>0</v>
      </c>
      <c r="Q1282" s="46">
        <f t="shared" si="119"/>
        <v>0</v>
      </c>
      <c r="R1282" s="46">
        <f t="shared" si="120"/>
        <v>0</v>
      </c>
      <c r="S1282" s="46" t="e">
        <f t="shared" si="121"/>
        <v>#VALUE!</v>
      </c>
      <c r="T1282" s="677">
        <f t="shared" si="122"/>
        <v>0</v>
      </c>
      <c r="U1282" s="80">
        <f>(IF(O1282="Stofire",(S1282*#REF!),0))+(IF(O1282="Fire Control",(S1282*$U$2),0))+(IF(O1282="Fire Tex",(S1282*$U$3),0))+(IF(O1282="WB7",(S1282*#REF!),0)+(IF(O1282="FX 2003",(S1282*$U$5),0)))</f>
        <v>0</v>
      </c>
      <c r="V1282" s="651">
        <f t="shared" si="123"/>
        <v>0</v>
      </c>
    </row>
    <row r="1283" spans="4:22" x14ac:dyDescent="0.25">
      <c r="D1283" s="118">
        <f>+CUBICACION!D1282</f>
        <v>0</v>
      </c>
      <c r="E1283" s="118">
        <f>+CUBICACION!F1282</f>
        <v>0</v>
      </c>
      <c r="F1283" s="118">
        <f>+CUBICACION!E1282</f>
        <v>0</v>
      </c>
      <c r="G1283" s="118">
        <v>12</v>
      </c>
      <c r="H1283" s="118">
        <v>2</v>
      </c>
      <c r="I1283" s="820">
        <v>26385</v>
      </c>
      <c r="J1283" s="118">
        <f>+CUBICACION!J1282</f>
        <v>0</v>
      </c>
      <c r="K1283" s="118">
        <v>4062</v>
      </c>
      <c r="L1283" s="118">
        <f>+CUBICACION!L1282</f>
        <v>0</v>
      </c>
      <c r="M1283" s="64">
        <f>+CUBICACION!M1282</f>
        <v>0</v>
      </c>
      <c r="N1283" s="824" t="str">
        <f>+CUBICACION!N1282</f>
        <v/>
      </c>
      <c r="O1283" s="675">
        <f>+CUBICACION!O1282</f>
        <v>0</v>
      </c>
      <c r="P1283" s="15">
        <f>IF(O1283="Fire Control",VLOOKUP(_xlfn.MINIFS('FIRE CONTROL'!$C$4:$C$37,'FIRE CONTROL'!$C$4:$C$37,"&gt;="&amp;M1283),'FIRE CONTROL'!$C$4:$G$37,IF(L1283="F-15",2,IF(L1283="F-30",3,IF(L1283="F-60",4,IF(L1283="F-90",5,0)))),0),0)+IF(AND(O1283="FIRE TEX 5062",OR(E1283="IN",E1283="C",E1283="Z",E1283="L"),J1283=3),VLOOKUP(_xlfn.MINIFS('FIRE TEX 5062'!$B$4:$B$34,'FIRE TEX 5062'!$B$4:$B$34,"&gt;="&amp;M1283),'FIRE TEX 5062'!$B$4:$F$34,IF(L1283="F-15",2,IF(L1283="F-30",3,IF(L1283="F-60",4,IF(L1283="F-90",5,0)))),0),0)+IF(AND(O1283="FIRE TEX 5062",OR(E1283="IN",E1283="C",E1283="Z",E1283="L"),J1283=4),VLOOKUP(_xlfn.MINIFS('FIRE TEX 5062'!$G$4:$G$34,'FIRE TEX 5062'!$G$4:$G$34,"&gt;="&amp;M1283),'FIRE TEX 5062'!$G$4:$K$34,IF(L1283="F-15",2,IF(L1283="F-30",3,IF(L1283="F-60",4,IF(L1283="F-90",5,0)))),0),0)+IF(AND(O1283="FIRE TEX 5062",E1283="CJ",J1283=3),VLOOKUP(_xlfn.MINIFS('FIRE TEX 5062'!$L$4:$L$34,'FIRE TEX 5062'!$L$4:$L$34,"&gt;="&amp;M1283),'FIRE TEX 5062'!$L$4:$P$34,IF(L1283="F-15",2,IF(L1283="F-30",3,IF(L1283="F-60",4,IF(L1283="F-90",5,0)))),0),0)+IF(AND(O1283="FIRE TEX 5062",E1283="CJ",J1283=4),VLOOKUP(_xlfn.MINIFS('FIRE TEX 5062'!$Q$3:$Q$34,'FIRE TEX 5062'!$Q$3:$Q$34,"&gt;="&amp;M1283),'FIRE TEX 5062'!$Q$3:$U$34,IF(L1283="F-15",2,IF(L1283="F-30",3,IF(L1283="F-60",4,IF(L1283="F-90",5,0)))),0),0)+IF(AND(O1283="FIRE TEX 5090",OR(E1283="IN",E1283="C",E1283="Z",E1283="L"),J1283=3),VLOOKUP(_xlfn.MINIFS('FIRE TEX 5090'!$B$5:$B$43,'FIRE TEX 5090'!$B$5:$B$43,"&gt;="&amp;M1283),'FIRE TEX 5090'!$B$5:$H$43,IF(L1283="F-15",2,IF(L1283="F-30",3,IF(L1283="F-60",4,IF(L1283="F-90",5,IF(L1283="F-120",6,IF(L1283="F-150",7,0)))))),0),0)+IF(AND(O1283="FIRE TEX 5090",OR(E1283="IN",E1283="C",E1283="Z",E1283="L"),J1283=4),VLOOKUP(_xlfn.MINIFS('FIRE TEX 5090'!$J$5:$J$43,'FIRE TEX 5090'!$J$5:$J$43,"&gt;="&amp;M1283),'FIRE TEX 5090'!$J$5:$P$43,IF(L1283="F-15",2,IF(L1283="F-30",3,IF(L1283="F-60",4,IF(L1283="F-90",5,IF(L1283="F-120",6,IF(L1283="F-150",7,0)))))),0),0)+IF(AND(O1283="FIRE TEX 5090",E1283="CJ",J1283=3),VLOOKUP(_xlfn.MINIFS('FIRE TEX 5090'!$R$5:$R$30,'FIRE TEX 5090'!$R$5:$R$30,"&gt;="&amp;M1283),'FIRE TEX 5090'!$R$5:$W$30,IF(L1283="F-15",2,IF(L1283="F-30",3,IF(L1283="F-60",4,IF(L1283="F-90",5,IF(L1283="F-120",6,IF(L1283="F-150",7,0)))))),0),0)+IF(AND(O1283="FIRE TEX 5090",E1283="CJ",J1283=4),VLOOKUP(_xlfn.MINIFS('FIRE TEX 5090'!$Y$5:$Y$39,'FIRE TEX 5090'!$Y$5:$Y$39,"&gt;="&amp;M1283),'FIRE TEX 5090'!$Y$5:$AD$39,IF(L1283="F-15",2,IF(L1283="F-30",3,IF(L1283="F-60",4,IF(L1283="F-90",5,IF(L1283="F-120",6,IF(L1283="F-150",7,0)))))),0),0)+IF(AND(O1283="FIRE TEX 5120",OR(E1283="IN",E1283="C",E1283="Z",E1283="L"),J1283=3),VLOOKUP(_xlfn.MINIFS('FIRE TEX 5120'!$B$5:$B$40,'FIRE TEX 5120'!$B$5:$B$40,"&gt;="&amp;M1283),'FIRE TEX 5120'!$B$5:$G$40,IF(L1283="F-15",2,IF(L1283="F-30",3,IF(L1283="F-60",4,IF(L1283="F-90",5,IF(L1283="F-120",6,0))))),0),0)+IF(AND(O1283="FIRE TEX 5120",OR(E1283="IN",E1283="C",E1283="Z",E1283="L"),J1283=4),VLOOKUP(_xlfn.MINIFS('FIRE TEX 5120'!$H$4:$H$40,'FIRE TEX 5120'!$H$4:$H$40,"&gt;="&amp;M1283),'FIRE TEX 5120'!$H$4:$M$40,IF(L1283="F-15",2,IF(L1283="F-30",3,IF(L1283="F-60",4,IF(L1283="F-90",5,IF(L1283="F-120",6,0))))),0),0)+IF(AND(O1283="FIRE TEX 5120",E1283="CJ"),VLOOKUP(_xlfn.MINIFS('FIRE TEX 5120'!$O$5:$O$40,'FIRE TEX 5120'!$O$5:$O$40,"&gt;="&amp;M1283),'FIRE TEX 5120'!$O$5:$T$40,IF(L1283="F-15",2,IF(L1283="F-30",3,IF(L1283="F-60",4,IF(L1283="F-90",5,IF(L1283="F-120",6,0))))),0),0)</f>
        <v>0</v>
      </c>
      <c r="Q1283" s="46">
        <f t="shared" si="119"/>
        <v>0</v>
      </c>
      <c r="R1283" s="46">
        <f t="shared" si="120"/>
        <v>0</v>
      </c>
      <c r="S1283" s="46" t="e">
        <f t="shared" si="121"/>
        <v>#VALUE!</v>
      </c>
      <c r="T1283" s="677">
        <f t="shared" si="122"/>
        <v>0</v>
      </c>
      <c r="U1283" s="80">
        <f>(IF(O1283="Stofire",(S1283*#REF!),0))+(IF(O1283="Fire Control",(S1283*$U$2),0))+(IF(O1283="Fire Tex",(S1283*$U$3),0))+(IF(O1283="WB7",(S1283*#REF!),0)+(IF(O1283="FX 2003",(S1283*$U$5),0)))</f>
        <v>0</v>
      </c>
      <c r="V1283" s="651">
        <f t="shared" si="123"/>
        <v>0</v>
      </c>
    </row>
    <row r="1284" spans="4:22" x14ac:dyDescent="0.25">
      <c r="D1284" s="118">
        <f>+CUBICACION!D1283</f>
        <v>0</v>
      </c>
      <c r="E1284" s="118">
        <f>+CUBICACION!F1283</f>
        <v>0</v>
      </c>
      <c r="F1284" s="118">
        <f>+CUBICACION!E1283</f>
        <v>0</v>
      </c>
      <c r="G1284" s="118">
        <v>12</v>
      </c>
      <c r="H1284" s="118">
        <v>2</v>
      </c>
      <c r="I1284" s="820">
        <v>26385</v>
      </c>
      <c r="J1284" s="118">
        <f>+CUBICACION!J1283</f>
        <v>0</v>
      </c>
      <c r="K1284" s="118">
        <v>4063</v>
      </c>
      <c r="L1284" s="118">
        <f>+CUBICACION!L1283</f>
        <v>0</v>
      </c>
      <c r="M1284" s="64">
        <f>+CUBICACION!M1283</f>
        <v>0</v>
      </c>
      <c r="N1284" s="824" t="str">
        <f>+CUBICACION!N1283</f>
        <v/>
      </c>
      <c r="O1284" s="675">
        <f>+CUBICACION!O1283</f>
        <v>0</v>
      </c>
      <c r="P1284" s="15">
        <f>IF(O1284="Fire Control",VLOOKUP(_xlfn.MINIFS('FIRE CONTROL'!$C$4:$C$37,'FIRE CONTROL'!$C$4:$C$37,"&gt;="&amp;M1284),'FIRE CONTROL'!$C$4:$G$37,IF(L1284="F-15",2,IF(L1284="F-30",3,IF(L1284="F-60",4,IF(L1284="F-90",5,0)))),0),0)+IF(AND(O1284="FIRE TEX 5062",OR(E1284="IN",E1284="C",E1284="Z",E1284="L"),J1284=3),VLOOKUP(_xlfn.MINIFS('FIRE TEX 5062'!$B$4:$B$34,'FIRE TEX 5062'!$B$4:$B$34,"&gt;="&amp;M1284),'FIRE TEX 5062'!$B$4:$F$34,IF(L1284="F-15",2,IF(L1284="F-30",3,IF(L1284="F-60",4,IF(L1284="F-90",5,0)))),0),0)+IF(AND(O1284="FIRE TEX 5062",OR(E1284="IN",E1284="C",E1284="Z",E1284="L"),J1284=4),VLOOKUP(_xlfn.MINIFS('FIRE TEX 5062'!$G$4:$G$34,'FIRE TEX 5062'!$G$4:$G$34,"&gt;="&amp;M1284),'FIRE TEX 5062'!$G$4:$K$34,IF(L1284="F-15",2,IF(L1284="F-30",3,IF(L1284="F-60",4,IF(L1284="F-90",5,0)))),0),0)+IF(AND(O1284="FIRE TEX 5062",E1284="CJ",J1284=3),VLOOKUP(_xlfn.MINIFS('FIRE TEX 5062'!$L$4:$L$34,'FIRE TEX 5062'!$L$4:$L$34,"&gt;="&amp;M1284),'FIRE TEX 5062'!$L$4:$P$34,IF(L1284="F-15",2,IF(L1284="F-30",3,IF(L1284="F-60",4,IF(L1284="F-90",5,0)))),0),0)+IF(AND(O1284="FIRE TEX 5062",E1284="CJ",J1284=4),VLOOKUP(_xlfn.MINIFS('FIRE TEX 5062'!$Q$3:$Q$34,'FIRE TEX 5062'!$Q$3:$Q$34,"&gt;="&amp;M1284),'FIRE TEX 5062'!$Q$3:$U$34,IF(L1284="F-15",2,IF(L1284="F-30",3,IF(L1284="F-60",4,IF(L1284="F-90",5,0)))),0),0)+IF(AND(O1284="FIRE TEX 5090",OR(E1284="IN",E1284="C",E1284="Z",E1284="L"),J1284=3),VLOOKUP(_xlfn.MINIFS('FIRE TEX 5090'!$B$5:$B$43,'FIRE TEX 5090'!$B$5:$B$43,"&gt;="&amp;M1284),'FIRE TEX 5090'!$B$5:$H$43,IF(L1284="F-15",2,IF(L1284="F-30",3,IF(L1284="F-60",4,IF(L1284="F-90",5,IF(L1284="F-120",6,IF(L1284="F-150",7,0)))))),0),0)+IF(AND(O1284="FIRE TEX 5090",OR(E1284="IN",E1284="C",E1284="Z",E1284="L"),J1284=4),VLOOKUP(_xlfn.MINIFS('FIRE TEX 5090'!$J$5:$J$43,'FIRE TEX 5090'!$J$5:$J$43,"&gt;="&amp;M1284),'FIRE TEX 5090'!$J$5:$P$43,IF(L1284="F-15",2,IF(L1284="F-30",3,IF(L1284="F-60",4,IF(L1284="F-90",5,IF(L1284="F-120",6,IF(L1284="F-150",7,0)))))),0),0)+IF(AND(O1284="FIRE TEX 5090",E1284="CJ",J1284=3),VLOOKUP(_xlfn.MINIFS('FIRE TEX 5090'!$R$5:$R$30,'FIRE TEX 5090'!$R$5:$R$30,"&gt;="&amp;M1284),'FIRE TEX 5090'!$R$5:$W$30,IF(L1284="F-15",2,IF(L1284="F-30",3,IF(L1284="F-60",4,IF(L1284="F-90",5,IF(L1284="F-120",6,IF(L1284="F-150",7,0)))))),0),0)+IF(AND(O1284="FIRE TEX 5090",E1284="CJ",J1284=4),VLOOKUP(_xlfn.MINIFS('FIRE TEX 5090'!$Y$5:$Y$39,'FIRE TEX 5090'!$Y$5:$Y$39,"&gt;="&amp;M1284),'FIRE TEX 5090'!$Y$5:$AD$39,IF(L1284="F-15",2,IF(L1284="F-30",3,IF(L1284="F-60",4,IF(L1284="F-90",5,IF(L1284="F-120",6,IF(L1284="F-150",7,0)))))),0),0)+IF(AND(O1284="FIRE TEX 5120",OR(E1284="IN",E1284="C",E1284="Z",E1284="L"),J1284=3),VLOOKUP(_xlfn.MINIFS('FIRE TEX 5120'!$B$5:$B$40,'FIRE TEX 5120'!$B$5:$B$40,"&gt;="&amp;M1284),'FIRE TEX 5120'!$B$5:$G$40,IF(L1284="F-15",2,IF(L1284="F-30",3,IF(L1284="F-60",4,IF(L1284="F-90",5,IF(L1284="F-120",6,0))))),0),0)+IF(AND(O1284="FIRE TEX 5120",OR(E1284="IN",E1284="C",E1284="Z",E1284="L"),J1284=4),VLOOKUP(_xlfn.MINIFS('FIRE TEX 5120'!$H$4:$H$40,'FIRE TEX 5120'!$H$4:$H$40,"&gt;="&amp;M1284),'FIRE TEX 5120'!$H$4:$M$40,IF(L1284="F-15",2,IF(L1284="F-30",3,IF(L1284="F-60",4,IF(L1284="F-90",5,IF(L1284="F-120",6,0))))),0),0)+IF(AND(O1284="FIRE TEX 5120",E1284="CJ"),VLOOKUP(_xlfn.MINIFS('FIRE TEX 5120'!$O$5:$O$40,'FIRE TEX 5120'!$O$5:$O$40,"&gt;="&amp;M1284),'FIRE TEX 5120'!$O$5:$T$40,IF(L1284="F-15",2,IF(L1284="F-30",3,IF(L1284="F-60",4,IF(L1284="F-90",5,IF(L1284="F-120",6,0))))),0),0)</f>
        <v>0</v>
      </c>
      <c r="Q1284" s="46">
        <f t="shared" si="119"/>
        <v>0</v>
      </c>
      <c r="R1284" s="46">
        <f t="shared" si="120"/>
        <v>0</v>
      </c>
      <c r="S1284" s="46" t="e">
        <f t="shared" si="121"/>
        <v>#VALUE!</v>
      </c>
      <c r="T1284" s="677">
        <f t="shared" si="122"/>
        <v>0</v>
      </c>
      <c r="U1284" s="80">
        <f>(IF(O1284="Stofire",(S1284*#REF!),0))+(IF(O1284="Fire Control",(S1284*$U$2),0))+(IF(O1284="Fire Tex",(S1284*$U$3),0))+(IF(O1284="WB7",(S1284*#REF!),0)+(IF(O1284="FX 2003",(S1284*$U$5),0)))</f>
        <v>0</v>
      </c>
      <c r="V1284" s="651">
        <f t="shared" si="123"/>
        <v>0</v>
      </c>
    </row>
    <row r="1285" spans="4:22" x14ac:dyDescent="0.25">
      <c r="D1285" s="118">
        <f>+CUBICACION!D1284</f>
        <v>0</v>
      </c>
      <c r="E1285" s="118">
        <f>+CUBICACION!F1284</f>
        <v>0</v>
      </c>
      <c r="F1285" s="118">
        <f>+CUBICACION!E1284</f>
        <v>0</v>
      </c>
      <c r="G1285" s="118">
        <v>12</v>
      </c>
      <c r="H1285" s="118">
        <v>2</v>
      </c>
      <c r="I1285" s="820">
        <v>26385</v>
      </c>
      <c r="J1285" s="118">
        <f>+CUBICACION!J1284</f>
        <v>0</v>
      </c>
      <c r="K1285" s="118">
        <v>4064</v>
      </c>
      <c r="L1285" s="118">
        <f>+CUBICACION!L1284</f>
        <v>0</v>
      </c>
      <c r="M1285" s="64">
        <f>+CUBICACION!M1284</f>
        <v>0</v>
      </c>
      <c r="N1285" s="824" t="str">
        <f>+CUBICACION!N1284</f>
        <v/>
      </c>
      <c r="O1285" s="675">
        <f>+CUBICACION!O1284</f>
        <v>0</v>
      </c>
      <c r="P1285" s="15">
        <f>IF(O1285="Fire Control",VLOOKUP(_xlfn.MINIFS('FIRE CONTROL'!$C$4:$C$37,'FIRE CONTROL'!$C$4:$C$37,"&gt;="&amp;M1285),'FIRE CONTROL'!$C$4:$G$37,IF(L1285="F-15",2,IF(L1285="F-30",3,IF(L1285="F-60",4,IF(L1285="F-90",5,0)))),0),0)+IF(AND(O1285="FIRE TEX 5062",OR(E1285="IN",E1285="C",E1285="Z",E1285="L"),J1285=3),VLOOKUP(_xlfn.MINIFS('FIRE TEX 5062'!$B$4:$B$34,'FIRE TEX 5062'!$B$4:$B$34,"&gt;="&amp;M1285),'FIRE TEX 5062'!$B$4:$F$34,IF(L1285="F-15",2,IF(L1285="F-30",3,IF(L1285="F-60",4,IF(L1285="F-90",5,0)))),0),0)+IF(AND(O1285="FIRE TEX 5062",OR(E1285="IN",E1285="C",E1285="Z",E1285="L"),J1285=4),VLOOKUP(_xlfn.MINIFS('FIRE TEX 5062'!$G$4:$G$34,'FIRE TEX 5062'!$G$4:$G$34,"&gt;="&amp;M1285),'FIRE TEX 5062'!$G$4:$K$34,IF(L1285="F-15",2,IF(L1285="F-30",3,IF(L1285="F-60",4,IF(L1285="F-90",5,0)))),0),0)+IF(AND(O1285="FIRE TEX 5062",E1285="CJ",J1285=3),VLOOKUP(_xlfn.MINIFS('FIRE TEX 5062'!$L$4:$L$34,'FIRE TEX 5062'!$L$4:$L$34,"&gt;="&amp;M1285),'FIRE TEX 5062'!$L$4:$P$34,IF(L1285="F-15",2,IF(L1285="F-30",3,IF(L1285="F-60",4,IF(L1285="F-90",5,0)))),0),0)+IF(AND(O1285="FIRE TEX 5062",E1285="CJ",J1285=4),VLOOKUP(_xlfn.MINIFS('FIRE TEX 5062'!$Q$3:$Q$34,'FIRE TEX 5062'!$Q$3:$Q$34,"&gt;="&amp;M1285),'FIRE TEX 5062'!$Q$3:$U$34,IF(L1285="F-15",2,IF(L1285="F-30",3,IF(L1285="F-60",4,IF(L1285="F-90",5,0)))),0),0)+IF(AND(O1285="FIRE TEX 5090",OR(E1285="IN",E1285="C",E1285="Z",E1285="L"),J1285=3),VLOOKUP(_xlfn.MINIFS('FIRE TEX 5090'!$B$5:$B$43,'FIRE TEX 5090'!$B$5:$B$43,"&gt;="&amp;M1285),'FIRE TEX 5090'!$B$5:$H$43,IF(L1285="F-15",2,IF(L1285="F-30",3,IF(L1285="F-60",4,IF(L1285="F-90",5,IF(L1285="F-120",6,IF(L1285="F-150",7,0)))))),0),0)+IF(AND(O1285="FIRE TEX 5090",OR(E1285="IN",E1285="C",E1285="Z",E1285="L"),J1285=4),VLOOKUP(_xlfn.MINIFS('FIRE TEX 5090'!$J$5:$J$43,'FIRE TEX 5090'!$J$5:$J$43,"&gt;="&amp;M1285),'FIRE TEX 5090'!$J$5:$P$43,IF(L1285="F-15",2,IF(L1285="F-30",3,IF(L1285="F-60",4,IF(L1285="F-90",5,IF(L1285="F-120",6,IF(L1285="F-150",7,0)))))),0),0)+IF(AND(O1285="FIRE TEX 5090",E1285="CJ",J1285=3),VLOOKUP(_xlfn.MINIFS('FIRE TEX 5090'!$R$5:$R$30,'FIRE TEX 5090'!$R$5:$R$30,"&gt;="&amp;M1285),'FIRE TEX 5090'!$R$5:$W$30,IF(L1285="F-15",2,IF(L1285="F-30",3,IF(L1285="F-60",4,IF(L1285="F-90",5,IF(L1285="F-120",6,IF(L1285="F-150",7,0)))))),0),0)+IF(AND(O1285="FIRE TEX 5090",E1285="CJ",J1285=4),VLOOKUP(_xlfn.MINIFS('FIRE TEX 5090'!$Y$5:$Y$39,'FIRE TEX 5090'!$Y$5:$Y$39,"&gt;="&amp;M1285),'FIRE TEX 5090'!$Y$5:$AD$39,IF(L1285="F-15",2,IF(L1285="F-30",3,IF(L1285="F-60",4,IF(L1285="F-90",5,IF(L1285="F-120",6,IF(L1285="F-150",7,0)))))),0),0)+IF(AND(O1285="FIRE TEX 5120",OR(E1285="IN",E1285="C",E1285="Z",E1285="L"),J1285=3),VLOOKUP(_xlfn.MINIFS('FIRE TEX 5120'!$B$5:$B$40,'FIRE TEX 5120'!$B$5:$B$40,"&gt;="&amp;M1285),'FIRE TEX 5120'!$B$5:$G$40,IF(L1285="F-15",2,IF(L1285="F-30",3,IF(L1285="F-60",4,IF(L1285="F-90",5,IF(L1285="F-120",6,0))))),0),0)+IF(AND(O1285="FIRE TEX 5120",OR(E1285="IN",E1285="C",E1285="Z",E1285="L"),J1285=4),VLOOKUP(_xlfn.MINIFS('FIRE TEX 5120'!$H$4:$H$40,'FIRE TEX 5120'!$H$4:$H$40,"&gt;="&amp;M1285),'FIRE TEX 5120'!$H$4:$M$40,IF(L1285="F-15",2,IF(L1285="F-30",3,IF(L1285="F-60",4,IF(L1285="F-90",5,IF(L1285="F-120",6,0))))),0),0)+IF(AND(O1285="FIRE TEX 5120",E1285="CJ"),VLOOKUP(_xlfn.MINIFS('FIRE TEX 5120'!$O$5:$O$40,'FIRE TEX 5120'!$O$5:$O$40,"&gt;="&amp;M1285),'FIRE TEX 5120'!$O$5:$T$40,IF(L1285="F-15",2,IF(L1285="F-30",3,IF(L1285="F-60",4,IF(L1285="F-90",5,IF(L1285="F-120",6,0))))),0),0)</f>
        <v>0</v>
      </c>
      <c r="Q1285" s="46">
        <f t="shared" si="119"/>
        <v>0</v>
      </c>
      <c r="R1285" s="46">
        <f t="shared" si="120"/>
        <v>0</v>
      </c>
      <c r="S1285" s="46" t="e">
        <f t="shared" si="121"/>
        <v>#VALUE!</v>
      </c>
      <c r="T1285" s="677">
        <f t="shared" si="122"/>
        <v>0</v>
      </c>
      <c r="U1285" s="80">
        <f>(IF(O1285="Stofire",(S1285*#REF!),0))+(IF(O1285="Fire Control",(S1285*$U$2),0))+(IF(O1285="Fire Tex",(S1285*$U$3),0))+(IF(O1285="WB7",(S1285*#REF!),0)+(IF(O1285="FX 2003",(S1285*$U$5),0)))</f>
        <v>0</v>
      </c>
      <c r="V1285" s="651">
        <f t="shared" si="123"/>
        <v>0</v>
      </c>
    </row>
    <row r="1286" spans="4:22" x14ac:dyDescent="0.25">
      <c r="D1286" s="118">
        <f>+CUBICACION!D1285</f>
        <v>0</v>
      </c>
      <c r="E1286" s="118">
        <f>+CUBICACION!F1285</f>
        <v>0</v>
      </c>
      <c r="F1286" s="118">
        <f>+CUBICACION!E1285</f>
        <v>0</v>
      </c>
      <c r="G1286" s="118">
        <v>12</v>
      </c>
      <c r="H1286" s="118">
        <v>2</v>
      </c>
      <c r="I1286" s="820">
        <v>26385</v>
      </c>
      <c r="J1286" s="118">
        <f>+CUBICACION!J1285</f>
        <v>0</v>
      </c>
      <c r="K1286" s="118">
        <v>4065</v>
      </c>
      <c r="L1286" s="118">
        <f>+CUBICACION!L1285</f>
        <v>0</v>
      </c>
      <c r="M1286" s="64">
        <f>+CUBICACION!M1285</f>
        <v>0</v>
      </c>
      <c r="N1286" s="824" t="str">
        <f>+CUBICACION!N1285</f>
        <v/>
      </c>
      <c r="O1286" s="675">
        <f>+CUBICACION!O1285</f>
        <v>0</v>
      </c>
      <c r="P1286" s="15">
        <f>IF(O1286="Fire Control",VLOOKUP(_xlfn.MINIFS('FIRE CONTROL'!$C$4:$C$37,'FIRE CONTROL'!$C$4:$C$37,"&gt;="&amp;M1286),'FIRE CONTROL'!$C$4:$G$37,IF(L1286="F-15",2,IF(L1286="F-30",3,IF(L1286="F-60",4,IF(L1286="F-90",5,0)))),0),0)+IF(AND(O1286="FIRE TEX 5062",OR(E1286="IN",E1286="C",E1286="Z",E1286="L"),J1286=3),VLOOKUP(_xlfn.MINIFS('FIRE TEX 5062'!$B$4:$B$34,'FIRE TEX 5062'!$B$4:$B$34,"&gt;="&amp;M1286),'FIRE TEX 5062'!$B$4:$F$34,IF(L1286="F-15",2,IF(L1286="F-30",3,IF(L1286="F-60",4,IF(L1286="F-90",5,0)))),0),0)+IF(AND(O1286="FIRE TEX 5062",OR(E1286="IN",E1286="C",E1286="Z",E1286="L"),J1286=4),VLOOKUP(_xlfn.MINIFS('FIRE TEX 5062'!$G$4:$G$34,'FIRE TEX 5062'!$G$4:$G$34,"&gt;="&amp;M1286),'FIRE TEX 5062'!$G$4:$K$34,IF(L1286="F-15",2,IF(L1286="F-30",3,IF(L1286="F-60",4,IF(L1286="F-90",5,0)))),0),0)+IF(AND(O1286="FIRE TEX 5062",E1286="CJ",J1286=3),VLOOKUP(_xlfn.MINIFS('FIRE TEX 5062'!$L$4:$L$34,'FIRE TEX 5062'!$L$4:$L$34,"&gt;="&amp;M1286),'FIRE TEX 5062'!$L$4:$P$34,IF(L1286="F-15",2,IF(L1286="F-30",3,IF(L1286="F-60",4,IF(L1286="F-90",5,0)))),0),0)+IF(AND(O1286="FIRE TEX 5062",E1286="CJ",J1286=4),VLOOKUP(_xlfn.MINIFS('FIRE TEX 5062'!$Q$3:$Q$34,'FIRE TEX 5062'!$Q$3:$Q$34,"&gt;="&amp;M1286),'FIRE TEX 5062'!$Q$3:$U$34,IF(L1286="F-15",2,IF(L1286="F-30",3,IF(L1286="F-60",4,IF(L1286="F-90",5,0)))),0),0)+IF(AND(O1286="FIRE TEX 5090",OR(E1286="IN",E1286="C",E1286="Z",E1286="L"),J1286=3),VLOOKUP(_xlfn.MINIFS('FIRE TEX 5090'!$B$5:$B$43,'FIRE TEX 5090'!$B$5:$B$43,"&gt;="&amp;M1286),'FIRE TEX 5090'!$B$5:$H$43,IF(L1286="F-15",2,IF(L1286="F-30",3,IF(L1286="F-60",4,IF(L1286="F-90",5,IF(L1286="F-120",6,IF(L1286="F-150",7,0)))))),0),0)+IF(AND(O1286="FIRE TEX 5090",OR(E1286="IN",E1286="C",E1286="Z",E1286="L"),J1286=4),VLOOKUP(_xlfn.MINIFS('FIRE TEX 5090'!$J$5:$J$43,'FIRE TEX 5090'!$J$5:$J$43,"&gt;="&amp;M1286),'FIRE TEX 5090'!$J$5:$P$43,IF(L1286="F-15",2,IF(L1286="F-30",3,IF(L1286="F-60",4,IF(L1286="F-90",5,IF(L1286="F-120",6,IF(L1286="F-150",7,0)))))),0),0)+IF(AND(O1286="FIRE TEX 5090",E1286="CJ",J1286=3),VLOOKUP(_xlfn.MINIFS('FIRE TEX 5090'!$R$5:$R$30,'FIRE TEX 5090'!$R$5:$R$30,"&gt;="&amp;M1286),'FIRE TEX 5090'!$R$5:$W$30,IF(L1286="F-15",2,IF(L1286="F-30",3,IF(L1286="F-60",4,IF(L1286="F-90",5,IF(L1286="F-120",6,IF(L1286="F-150",7,0)))))),0),0)+IF(AND(O1286="FIRE TEX 5090",E1286="CJ",J1286=4),VLOOKUP(_xlfn.MINIFS('FIRE TEX 5090'!$Y$5:$Y$39,'FIRE TEX 5090'!$Y$5:$Y$39,"&gt;="&amp;M1286),'FIRE TEX 5090'!$Y$5:$AD$39,IF(L1286="F-15",2,IF(L1286="F-30",3,IF(L1286="F-60",4,IF(L1286="F-90",5,IF(L1286="F-120",6,IF(L1286="F-150",7,0)))))),0),0)+IF(AND(O1286="FIRE TEX 5120",OR(E1286="IN",E1286="C",E1286="Z",E1286="L"),J1286=3),VLOOKUP(_xlfn.MINIFS('FIRE TEX 5120'!$B$5:$B$40,'FIRE TEX 5120'!$B$5:$B$40,"&gt;="&amp;M1286),'FIRE TEX 5120'!$B$5:$G$40,IF(L1286="F-15",2,IF(L1286="F-30",3,IF(L1286="F-60",4,IF(L1286="F-90",5,IF(L1286="F-120",6,0))))),0),0)+IF(AND(O1286="FIRE TEX 5120",OR(E1286="IN",E1286="C",E1286="Z",E1286="L"),J1286=4),VLOOKUP(_xlfn.MINIFS('FIRE TEX 5120'!$H$4:$H$40,'FIRE TEX 5120'!$H$4:$H$40,"&gt;="&amp;M1286),'FIRE TEX 5120'!$H$4:$M$40,IF(L1286="F-15",2,IF(L1286="F-30",3,IF(L1286="F-60",4,IF(L1286="F-90",5,IF(L1286="F-120",6,0))))),0),0)+IF(AND(O1286="FIRE TEX 5120",E1286="CJ"),VLOOKUP(_xlfn.MINIFS('FIRE TEX 5120'!$O$5:$O$40,'FIRE TEX 5120'!$O$5:$O$40,"&gt;="&amp;M1286),'FIRE TEX 5120'!$O$5:$T$40,IF(L1286="F-15",2,IF(L1286="F-30",3,IF(L1286="F-60",4,IF(L1286="F-90",5,IF(L1286="F-120",6,0))))),0),0)</f>
        <v>0</v>
      </c>
      <c r="Q1286" s="46">
        <f t="shared" si="119"/>
        <v>0</v>
      </c>
      <c r="R1286" s="46">
        <f t="shared" si="120"/>
        <v>0</v>
      </c>
      <c r="S1286" s="46" t="e">
        <f t="shared" si="121"/>
        <v>#VALUE!</v>
      </c>
      <c r="T1286" s="677">
        <f t="shared" si="122"/>
        <v>0</v>
      </c>
      <c r="U1286" s="80">
        <f>(IF(O1286="Stofire",(S1286*#REF!),0))+(IF(O1286="Fire Control",(S1286*$U$2),0))+(IF(O1286="Fire Tex",(S1286*$U$3),0))+(IF(O1286="WB7",(S1286*#REF!),0)+(IF(O1286="FX 2003",(S1286*$U$5),0)))</f>
        <v>0</v>
      </c>
      <c r="V1286" s="651">
        <f t="shared" si="123"/>
        <v>0</v>
      </c>
    </row>
    <row r="1287" spans="4:22" x14ac:dyDescent="0.25">
      <c r="D1287" s="118">
        <f>+CUBICACION!D1286</f>
        <v>0</v>
      </c>
      <c r="E1287" s="118">
        <f>+CUBICACION!F1286</f>
        <v>0</v>
      </c>
      <c r="F1287" s="118">
        <f>+CUBICACION!E1286</f>
        <v>0</v>
      </c>
      <c r="G1287" s="118">
        <v>12</v>
      </c>
      <c r="H1287" s="118">
        <v>2</v>
      </c>
      <c r="I1287" s="820">
        <v>26385</v>
      </c>
      <c r="J1287" s="118">
        <f>+CUBICACION!J1286</f>
        <v>0</v>
      </c>
      <c r="K1287" s="118">
        <v>4066</v>
      </c>
      <c r="L1287" s="118">
        <f>+CUBICACION!L1286</f>
        <v>0</v>
      </c>
      <c r="M1287" s="64">
        <f>+CUBICACION!M1286</f>
        <v>0</v>
      </c>
      <c r="N1287" s="824" t="str">
        <f>+CUBICACION!N1286</f>
        <v/>
      </c>
      <c r="O1287" s="675">
        <f>+CUBICACION!O1286</f>
        <v>0</v>
      </c>
      <c r="P1287" s="15">
        <f>IF(O1287="Fire Control",VLOOKUP(_xlfn.MINIFS('FIRE CONTROL'!$C$4:$C$37,'FIRE CONTROL'!$C$4:$C$37,"&gt;="&amp;M1287),'FIRE CONTROL'!$C$4:$G$37,IF(L1287="F-15",2,IF(L1287="F-30",3,IF(L1287="F-60",4,IF(L1287="F-90",5,0)))),0),0)+IF(AND(O1287="FIRE TEX 5062",OR(E1287="IN",E1287="C",E1287="Z",E1287="L"),J1287=3),VLOOKUP(_xlfn.MINIFS('FIRE TEX 5062'!$B$4:$B$34,'FIRE TEX 5062'!$B$4:$B$34,"&gt;="&amp;M1287),'FIRE TEX 5062'!$B$4:$F$34,IF(L1287="F-15",2,IF(L1287="F-30",3,IF(L1287="F-60",4,IF(L1287="F-90",5,0)))),0),0)+IF(AND(O1287="FIRE TEX 5062",OR(E1287="IN",E1287="C",E1287="Z",E1287="L"),J1287=4),VLOOKUP(_xlfn.MINIFS('FIRE TEX 5062'!$G$4:$G$34,'FIRE TEX 5062'!$G$4:$G$34,"&gt;="&amp;M1287),'FIRE TEX 5062'!$G$4:$K$34,IF(L1287="F-15",2,IF(L1287="F-30",3,IF(L1287="F-60",4,IF(L1287="F-90",5,0)))),0),0)+IF(AND(O1287="FIRE TEX 5062",E1287="CJ",J1287=3),VLOOKUP(_xlfn.MINIFS('FIRE TEX 5062'!$L$4:$L$34,'FIRE TEX 5062'!$L$4:$L$34,"&gt;="&amp;M1287),'FIRE TEX 5062'!$L$4:$P$34,IF(L1287="F-15",2,IF(L1287="F-30",3,IF(L1287="F-60",4,IF(L1287="F-90",5,0)))),0),0)+IF(AND(O1287="FIRE TEX 5062",E1287="CJ",J1287=4),VLOOKUP(_xlfn.MINIFS('FIRE TEX 5062'!$Q$3:$Q$34,'FIRE TEX 5062'!$Q$3:$Q$34,"&gt;="&amp;M1287),'FIRE TEX 5062'!$Q$3:$U$34,IF(L1287="F-15",2,IF(L1287="F-30",3,IF(L1287="F-60",4,IF(L1287="F-90",5,0)))),0),0)+IF(AND(O1287="FIRE TEX 5090",OR(E1287="IN",E1287="C",E1287="Z",E1287="L"),J1287=3),VLOOKUP(_xlfn.MINIFS('FIRE TEX 5090'!$B$5:$B$43,'FIRE TEX 5090'!$B$5:$B$43,"&gt;="&amp;M1287),'FIRE TEX 5090'!$B$5:$H$43,IF(L1287="F-15",2,IF(L1287="F-30",3,IF(L1287="F-60",4,IF(L1287="F-90",5,IF(L1287="F-120",6,IF(L1287="F-150",7,0)))))),0),0)+IF(AND(O1287="FIRE TEX 5090",OR(E1287="IN",E1287="C",E1287="Z",E1287="L"),J1287=4),VLOOKUP(_xlfn.MINIFS('FIRE TEX 5090'!$J$5:$J$43,'FIRE TEX 5090'!$J$5:$J$43,"&gt;="&amp;M1287),'FIRE TEX 5090'!$J$5:$P$43,IF(L1287="F-15",2,IF(L1287="F-30",3,IF(L1287="F-60",4,IF(L1287="F-90",5,IF(L1287="F-120",6,IF(L1287="F-150",7,0)))))),0),0)+IF(AND(O1287="FIRE TEX 5090",E1287="CJ",J1287=3),VLOOKUP(_xlfn.MINIFS('FIRE TEX 5090'!$R$5:$R$30,'FIRE TEX 5090'!$R$5:$R$30,"&gt;="&amp;M1287),'FIRE TEX 5090'!$R$5:$W$30,IF(L1287="F-15",2,IF(L1287="F-30",3,IF(L1287="F-60",4,IF(L1287="F-90",5,IF(L1287="F-120",6,IF(L1287="F-150",7,0)))))),0),0)+IF(AND(O1287="FIRE TEX 5090",E1287="CJ",J1287=4),VLOOKUP(_xlfn.MINIFS('FIRE TEX 5090'!$Y$5:$Y$39,'FIRE TEX 5090'!$Y$5:$Y$39,"&gt;="&amp;M1287),'FIRE TEX 5090'!$Y$5:$AD$39,IF(L1287="F-15",2,IF(L1287="F-30",3,IF(L1287="F-60",4,IF(L1287="F-90",5,IF(L1287="F-120",6,IF(L1287="F-150",7,0)))))),0),0)+IF(AND(O1287="FIRE TEX 5120",OR(E1287="IN",E1287="C",E1287="Z",E1287="L"),J1287=3),VLOOKUP(_xlfn.MINIFS('FIRE TEX 5120'!$B$5:$B$40,'FIRE TEX 5120'!$B$5:$B$40,"&gt;="&amp;M1287),'FIRE TEX 5120'!$B$5:$G$40,IF(L1287="F-15",2,IF(L1287="F-30",3,IF(L1287="F-60",4,IF(L1287="F-90",5,IF(L1287="F-120",6,0))))),0),0)+IF(AND(O1287="FIRE TEX 5120",OR(E1287="IN",E1287="C",E1287="Z",E1287="L"),J1287=4),VLOOKUP(_xlfn.MINIFS('FIRE TEX 5120'!$H$4:$H$40,'FIRE TEX 5120'!$H$4:$H$40,"&gt;="&amp;M1287),'FIRE TEX 5120'!$H$4:$M$40,IF(L1287="F-15",2,IF(L1287="F-30",3,IF(L1287="F-60",4,IF(L1287="F-90",5,IF(L1287="F-120",6,0))))),0),0)+IF(AND(O1287="FIRE TEX 5120",E1287="CJ"),VLOOKUP(_xlfn.MINIFS('FIRE TEX 5120'!$O$5:$O$40,'FIRE TEX 5120'!$O$5:$O$40,"&gt;="&amp;M1287),'FIRE TEX 5120'!$O$5:$T$40,IF(L1287="F-15",2,IF(L1287="F-30",3,IF(L1287="F-60",4,IF(L1287="F-90",5,IF(L1287="F-120",6,0))))),0),0)</f>
        <v>0</v>
      </c>
      <c r="Q1287" s="46">
        <f t="shared" si="119"/>
        <v>0</v>
      </c>
      <c r="R1287" s="46">
        <f t="shared" si="120"/>
        <v>0</v>
      </c>
      <c r="S1287" s="46" t="e">
        <f t="shared" si="121"/>
        <v>#VALUE!</v>
      </c>
      <c r="T1287" s="677">
        <f t="shared" si="122"/>
        <v>0</v>
      </c>
      <c r="U1287" s="80">
        <f>(IF(O1287="Stofire",(S1287*#REF!),0))+(IF(O1287="Fire Control",(S1287*$U$2),0))+(IF(O1287="Fire Tex",(S1287*$U$3),0))+(IF(O1287="WB7",(S1287*#REF!),0)+(IF(O1287="FX 2003",(S1287*$U$5),0)))</f>
        <v>0</v>
      </c>
      <c r="V1287" s="651">
        <f t="shared" si="123"/>
        <v>0</v>
      </c>
    </row>
    <row r="1288" spans="4:22" x14ac:dyDescent="0.25">
      <c r="D1288" s="118">
        <f>+CUBICACION!D1287</f>
        <v>0</v>
      </c>
      <c r="E1288" s="118">
        <f>+CUBICACION!F1287</f>
        <v>0</v>
      </c>
      <c r="F1288" s="118">
        <f>+CUBICACION!E1287</f>
        <v>0</v>
      </c>
      <c r="G1288" s="118">
        <v>12</v>
      </c>
      <c r="H1288" s="118">
        <v>2</v>
      </c>
      <c r="I1288" s="820">
        <v>26385</v>
      </c>
      <c r="J1288" s="118">
        <f>+CUBICACION!J1287</f>
        <v>0</v>
      </c>
      <c r="K1288" s="118">
        <v>4067</v>
      </c>
      <c r="L1288" s="118">
        <f>+CUBICACION!L1287</f>
        <v>0</v>
      </c>
      <c r="M1288" s="64">
        <f>+CUBICACION!M1287</f>
        <v>0</v>
      </c>
      <c r="N1288" s="824" t="str">
        <f>+CUBICACION!N1287</f>
        <v/>
      </c>
      <c r="O1288" s="675">
        <f>+CUBICACION!O1287</f>
        <v>0</v>
      </c>
      <c r="P1288" s="15">
        <f>IF(O1288="Fire Control",VLOOKUP(_xlfn.MINIFS('FIRE CONTROL'!$C$4:$C$37,'FIRE CONTROL'!$C$4:$C$37,"&gt;="&amp;M1288),'FIRE CONTROL'!$C$4:$G$37,IF(L1288="F-15",2,IF(L1288="F-30",3,IF(L1288="F-60",4,IF(L1288="F-90",5,0)))),0),0)+IF(AND(O1288="FIRE TEX 5062",OR(E1288="IN",E1288="C",E1288="Z",E1288="L"),J1288=3),VLOOKUP(_xlfn.MINIFS('FIRE TEX 5062'!$B$4:$B$34,'FIRE TEX 5062'!$B$4:$B$34,"&gt;="&amp;M1288),'FIRE TEX 5062'!$B$4:$F$34,IF(L1288="F-15",2,IF(L1288="F-30",3,IF(L1288="F-60",4,IF(L1288="F-90",5,0)))),0),0)+IF(AND(O1288="FIRE TEX 5062",OR(E1288="IN",E1288="C",E1288="Z",E1288="L"),J1288=4),VLOOKUP(_xlfn.MINIFS('FIRE TEX 5062'!$G$4:$G$34,'FIRE TEX 5062'!$G$4:$G$34,"&gt;="&amp;M1288),'FIRE TEX 5062'!$G$4:$K$34,IF(L1288="F-15",2,IF(L1288="F-30",3,IF(L1288="F-60",4,IF(L1288="F-90",5,0)))),0),0)+IF(AND(O1288="FIRE TEX 5062",E1288="CJ",J1288=3),VLOOKUP(_xlfn.MINIFS('FIRE TEX 5062'!$L$4:$L$34,'FIRE TEX 5062'!$L$4:$L$34,"&gt;="&amp;M1288),'FIRE TEX 5062'!$L$4:$P$34,IF(L1288="F-15",2,IF(L1288="F-30",3,IF(L1288="F-60",4,IF(L1288="F-90",5,0)))),0),0)+IF(AND(O1288="FIRE TEX 5062",E1288="CJ",J1288=4),VLOOKUP(_xlfn.MINIFS('FIRE TEX 5062'!$Q$3:$Q$34,'FIRE TEX 5062'!$Q$3:$Q$34,"&gt;="&amp;M1288),'FIRE TEX 5062'!$Q$3:$U$34,IF(L1288="F-15",2,IF(L1288="F-30",3,IF(L1288="F-60",4,IF(L1288="F-90",5,0)))),0),0)+IF(AND(O1288="FIRE TEX 5090",OR(E1288="IN",E1288="C",E1288="Z",E1288="L"),J1288=3),VLOOKUP(_xlfn.MINIFS('FIRE TEX 5090'!$B$5:$B$43,'FIRE TEX 5090'!$B$5:$B$43,"&gt;="&amp;M1288),'FIRE TEX 5090'!$B$5:$H$43,IF(L1288="F-15",2,IF(L1288="F-30",3,IF(L1288="F-60",4,IF(L1288="F-90",5,IF(L1288="F-120",6,IF(L1288="F-150",7,0)))))),0),0)+IF(AND(O1288="FIRE TEX 5090",OR(E1288="IN",E1288="C",E1288="Z",E1288="L"),J1288=4),VLOOKUP(_xlfn.MINIFS('FIRE TEX 5090'!$J$5:$J$43,'FIRE TEX 5090'!$J$5:$J$43,"&gt;="&amp;M1288),'FIRE TEX 5090'!$J$5:$P$43,IF(L1288="F-15",2,IF(L1288="F-30",3,IF(L1288="F-60",4,IF(L1288="F-90",5,IF(L1288="F-120",6,IF(L1288="F-150",7,0)))))),0),0)+IF(AND(O1288="FIRE TEX 5090",E1288="CJ",J1288=3),VLOOKUP(_xlfn.MINIFS('FIRE TEX 5090'!$R$5:$R$30,'FIRE TEX 5090'!$R$5:$R$30,"&gt;="&amp;M1288),'FIRE TEX 5090'!$R$5:$W$30,IF(L1288="F-15",2,IF(L1288="F-30",3,IF(L1288="F-60",4,IF(L1288="F-90",5,IF(L1288="F-120",6,IF(L1288="F-150",7,0)))))),0),0)+IF(AND(O1288="FIRE TEX 5090",E1288="CJ",J1288=4),VLOOKUP(_xlfn.MINIFS('FIRE TEX 5090'!$Y$5:$Y$39,'FIRE TEX 5090'!$Y$5:$Y$39,"&gt;="&amp;M1288),'FIRE TEX 5090'!$Y$5:$AD$39,IF(L1288="F-15",2,IF(L1288="F-30",3,IF(L1288="F-60",4,IF(L1288="F-90",5,IF(L1288="F-120",6,IF(L1288="F-150",7,0)))))),0),0)+IF(AND(O1288="FIRE TEX 5120",OR(E1288="IN",E1288="C",E1288="Z",E1288="L"),J1288=3),VLOOKUP(_xlfn.MINIFS('FIRE TEX 5120'!$B$5:$B$40,'FIRE TEX 5120'!$B$5:$B$40,"&gt;="&amp;M1288),'FIRE TEX 5120'!$B$5:$G$40,IF(L1288="F-15",2,IF(L1288="F-30",3,IF(L1288="F-60",4,IF(L1288="F-90",5,IF(L1288="F-120",6,0))))),0),0)+IF(AND(O1288="FIRE TEX 5120",OR(E1288="IN",E1288="C",E1288="Z",E1288="L"),J1288=4),VLOOKUP(_xlfn.MINIFS('FIRE TEX 5120'!$H$4:$H$40,'FIRE TEX 5120'!$H$4:$H$40,"&gt;="&amp;M1288),'FIRE TEX 5120'!$H$4:$M$40,IF(L1288="F-15",2,IF(L1288="F-30",3,IF(L1288="F-60",4,IF(L1288="F-90",5,IF(L1288="F-120",6,0))))),0),0)+IF(AND(O1288="FIRE TEX 5120",E1288="CJ"),VLOOKUP(_xlfn.MINIFS('FIRE TEX 5120'!$O$5:$O$40,'FIRE TEX 5120'!$O$5:$O$40,"&gt;="&amp;M1288),'FIRE TEX 5120'!$O$5:$T$40,IF(L1288="F-15",2,IF(L1288="F-30",3,IF(L1288="F-60",4,IF(L1288="F-90",5,IF(L1288="F-120",6,0))))),0),0)</f>
        <v>0</v>
      </c>
      <c r="Q1288" s="46">
        <f t="shared" si="119"/>
        <v>0</v>
      </c>
      <c r="R1288" s="46">
        <f t="shared" si="120"/>
        <v>0</v>
      </c>
      <c r="S1288" s="46" t="e">
        <f t="shared" si="121"/>
        <v>#VALUE!</v>
      </c>
      <c r="T1288" s="677">
        <f t="shared" si="122"/>
        <v>0</v>
      </c>
      <c r="U1288" s="80">
        <f>(IF(O1288="Stofire",(S1288*#REF!),0))+(IF(O1288="Fire Control",(S1288*$U$2),0))+(IF(O1288="Fire Tex",(S1288*$U$3),0))+(IF(O1288="WB7",(S1288*#REF!),0)+(IF(O1288="FX 2003",(S1288*$U$5),0)))</f>
        <v>0</v>
      </c>
      <c r="V1288" s="651">
        <f t="shared" si="123"/>
        <v>0</v>
      </c>
    </row>
    <row r="1289" spans="4:22" x14ac:dyDescent="0.25">
      <c r="D1289" s="118">
        <f>+CUBICACION!D1288</f>
        <v>0</v>
      </c>
      <c r="E1289" s="118">
        <f>+CUBICACION!F1288</f>
        <v>0</v>
      </c>
      <c r="F1289" s="118">
        <f>+CUBICACION!E1288</f>
        <v>0</v>
      </c>
      <c r="G1289" s="118">
        <v>12</v>
      </c>
      <c r="H1289" s="118">
        <v>2</v>
      </c>
      <c r="I1289" s="820">
        <v>26385</v>
      </c>
      <c r="J1289" s="118">
        <f>+CUBICACION!J1288</f>
        <v>0</v>
      </c>
      <c r="K1289" s="118">
        <v>4068</v>
      </c>
      <c r="L1289" s="118">
        <f>+CUBICACION!L1288</f>
        <v>0</v>
      </c>
      <c r="M1289" s="64">
        <f>+CUBICACION!M1288</f>
        <v>0</v>
      </c>
      <c r="N1289" s="824" t="str">
        <f>+CUBICACION!N1288</f>
        <v/>
      </c>
      <c r="O1289" s="675">
        <f>+CUBICACION!O1288</f>
        <v>0</v>
      </c>
      <c r="P1289" s="15">
        <f>IF(O1289="Fire Control",VLOOKUP(_xlfn.MINIFS('FIRE CONTROL'!$C$4:$C$37,'FIRE CONTROL'!$C$4:$C$37,"&gt;="&amp;M1289),'FIRE CONTROL'!$C$4:$G$37,IF(L1289="F-15",2,IF(L1289="F-30",3,IF(L1289="F-60",4,IF(L1289="F-90",5,0)))),0),0)+IF(AND(O1289="FIRE TEX 5062",OR(E1289="IN",E1289="C",E1289="Z",E1289="L"),J1289=3),VLOOKUP(_xlfn.MINIFS('FIRE TEX 5062'!$B$4:$B$34,'FIRE TEX 5062'!$B$4:$B$34,"&gt;="&amp;M1289),'FIRE TEX 5062'!$B$4:$F$34,IF(L1289="F-15",2,IF(L1289="F-30",3,IF(L1289="F-60",4,IF(L1289="F-90",5,0)))),0),0)+IF(AND(O1289="FIRE TEX 5062",OR(E1289="IN",E1289="C",E1289="Z",E1289="L"),J1289=4),VLOOKUP(_xlfn.MINIFS('FIRE TEX 5062'!$G$4:$G$34,'FIRE TEX 5062'!$G$4:$G$34,"&gt;="&amp;M1289),'FIRE TEX 5062'!$G$4:$K$34,IF(L1289="F-15",2,IF(L1289="F-30",3,IF(L1289="F-60",4,IF(L1289="F-90",5,0)))),0),0)+IF(AND(O1289="FIRE TEX 5062",E1289="CJ",J1289=3),VLOOKUP(_xlfn.MINIFS('FIRE TEX 5062'!$L$4:$L$34,'FIRE TEX 5062'!$L$4:$L$34,"&gt;="&amp;M1289),'FIRE TEX 5062'!$L$4:$P$34,IF(L1289="F-15",2,IF(L1289="F-30",3,IF(L1289="F-60",4,IF(L1289="F-90",5,0)))),0),0)+IF(AND(O1289="FIRE TEX 5062",E1289="CJ",J1289=4),VLOOKUP(_xlfn.MINIFS('FIRE TEX 5062'!$Q$3:$Q$34,'FIRE TEX 5062'!$Q$3:$Q$34,"&gt;="&amp;M1289),'FIRE TEX 5062'!$Q$3:$U$34,IF(L1289="F-15",2,IF(L1289="F-30",3,IF(L1289="F-60",4,IF(L1289="F-90",5,0)))),0),0)+IF(AND(O1289="FIRE TEX 5090",OR(E1289="IN",E1289="C",E1289="Z",E1289="L"),J1289=3),VLOOKUP(_xlfn.MINIFS('FIRE TEX 5090'!$B$5:$B$43,'FIRE TEX 5090'!$B$5:$B$43,"&gt;="&amp;M1289),'FIRE TEX 5090'!$B$5:$H$43,IF(L1289="F-15",2,IF(L1289="F-30",3,IF(L1289="F-60",4,IF(L1289="F-90",5,IF(L1289="F-120",6,IF(L1289="F-150",7,0)))))),0),0)+IF(AND(O1289="FIRE TEX 5090",OR(E1289="IN",E1289="C",E1289="Z",E1289="L"),J1289=4),VLOOKUP(_xlfn.MINIFS('FIRE TEX 5090'!$J$5:$J$43,'FIRE TEX 5090'!$J$5:$J$43,"&gt;="&amp;M1289),'FIRE TEX 5090'!$J$5:$P$43,IF(L1289="F-15",2,IF(L1289="F-30",3,IF(L1289="F-60",4,IF(L1289="F-90",5,IF(L1289="F-120",6,IF(L1289="F-150",7,0)))))),0),0)+IF(AND(O1289="FIRE TEX 5090",E1289="CJ",J1289=3),VLOOKUP(_xlfn.MINIFS('FIRE TEX 5090'!$R$5:$R$30,'FIRE TEX 5090'!$R$5:$R$30,"&gt;="&amp;M1289),'FIRE TEX 5090'!$R$5:$W$30,IF(L1289="F-15",2,IF(L1289="F-30",3,IF(L1289="F-60",4,IF(L1289="F-90",5,IF(L1289="F-120",6,IF(L1289="F-150",7,0)))))),0),0)+IF(AND(O1289="FIRE TEX 5090",E1289="CJ",J1289=4),VLOOKUP(_xlfn.MINIFS('FIRE TEX 5090'!$Y$5:$Y$39,'FIRE TEX 5090'!$Y$5:$Y$39,"&gt;="&amp;M1289),'FIRE TEX 5090'!$Y$5:$AD$39,IF(L1289="F-15",2,IF(L1289="F-30",3,IF(L1289="F-60",4,IF(L1289="F-90",5,IF(L1289="F-120",6,IF(L1289="F-150",7,0)))))),0),0)+IF(AND(O1289="FIRE TEX 5120",OR(E1289="IN",E1289="C",E1289="Z",E1289="L"),J1289=3),VLOOKUP(_xlfn.MINIFS('FIRE TEX 5120'!$B$5:$B$40,'FIRE TEX 5120'!$B$5:$B$40,"&gt;="&amp;M1289),'FIRE TEX 5120'!$B$5:$G$40,IF(L1289="F-15",2,IF(L1289="F-30",3,IF(L1289="F-60",4,IF(L1289="F-90",5,IF(L1289="F-120",6,0))))),0),0)+IF(AND(O1289="FIRE TEX 5120",OR(E1289="IN",E1289="C",E1289="Z",E1289="L"),J1289=4),VLOOKUP(_xlfn.MINIFS('FIRE TEX 5120'!$H$4:$H$40,'FIRE TEX 5120'!$H$4:$H$40,"&gt;="&amp;M1289),'FIRE TEX 5120'!$H$4:$M$40,IF(L1289="F-15",2,IF(L1289="F-30",3,IF(L1289="F-60",4,IF(L1289="F-90",5,IF(L1289="F-120",6,0))))),0),0)+IF(AND(O1289="FIRE TEX 5120",E1289="CJ"),VLOOKUP(_xlfn.MINIFS('FIRE TEX 5120'!$O$5:$O$40,'FIRE TEX 5120'!$O$5:$O$40,"&gt;="&amp;M1289),'FIRE TEX 5120'!$O$5:$T$40,IF(L1289="F-15",2,IF(L1289="F-30",3,IF(L1289="F-60",4,IF(L1289="F-90",5,IF(L1289="F-120",6,0))))),0),0)</f>
        <v>0</v>
      </c>
      <c r="Q1289" s="46">
        <f t="shared" si="119"/>
        <v>0</v>
      </c>
      <c r="R1289" s="46">
        <f t="shared" si="120"/>
        <v>0</v>
      </c>
      <c r="S1289" s="46" t="e">
        <f t="shared" si="121"/>
        <v>#VALUE!</v>
      </c>
      <c r="T1289" s="677">
        <f t="shared" si="122"/>
        <v>0</v>
      </c>
      <c r="U1289" s="80">
        <f>(IF(O1289="Stofire",(S1289*#REF!),0))+(IF(O1289="Fire Control",(S1289*$U$2),0))+(IF(O1289="Fire Tex",(S1289*$U$3),0))+(IF(O1289="WB7",(S1289*#REF!),0)+(IF(O1289="FX 2003",(S1289*$U$5),0)))</f>
        <v>0</v>
      </c>
      <c r="V1289" s="651">
        <f t="shared" si="123"/>
        <v>0</v>
      </c>
    </row>
    <row r="1290" spans="4:22" x14ac:dyDescent="0.25">
      <c r="D1290" s="118">
        <f>+CUBICACION!D1289</f>
        <v>0</v>
      </c>
      <c r="E1290" s="118">
        <f>+CUBICACION!F1289</f>
        <v>0</v>
      </c>
      <c r="F1290" s="118">
        <f>+CUBICACION!E1289</f>
        <v>0</v>
      </c>
      <c r="G1290" s="118">
        <v>12</v>
      </c>
      <c r="H1290" s="118">
        <v>2</v>
      </c>
      <c r="I1290" s="820">
        <v>26385</v>
      </c>
      <c r="J1290" s="118">
        <f>+CUBICACION!J1289</f>
        <v>0</v>
      </c>
      <c r="K1290" s="118">
        <v>4069</v>
      </c>
      <c r="L1290" s="118">
        <f>+CUBICACION!L1289</f>
        <v>0</v>
      </c>
      <c r="M1290" s="64">
        <f>+CUBICACION!M1289</f>
        <v>0</v>
      </c>
      <c r="N1290" s="824" t="str">
        <f>+CUBICACION!N1289</f>
        <v/>
      </c>
      <c r="O1290" s="675">
        <f>+CUBICACION!O1289</f>
        <v>0</v>
      </c>
      <c r="P1290" s="15">
        <f>IF(O1290="Fire Control",VLOOKUP(_xlfn.MINIFS('FIRE CONTROL'!$C$4:$C$37,'FIRE CONTROL'!$C$4:$C$37,"&gt;="&amp;M1290),'FIRE CONTROL'!$C$4:$G$37,IF(L1290="F-15",2,IF(L1290="F-30",3,IF(L1290="F-60",4,IF(L1290="F-90",5,0)))),0),0)+IF(AND(O1290="FIRE TEX 5062",OR(E1290="IN",E1290="C",E1290="Z",E1290="L"),J1290=3),VLOOKUP(_xlfn.MINIFS('FIRE TEX 5062'!$B$4:$B$34,'FIRE TEX 5062'!$B$4:$B$34,"&gt;="&amp;M1290),'FIRE TEX 5062'!$B$4:$F$34,IF(L1290="F-15",2,IF(L1290="F-30",3,IF(L1290="F-60",4,IF(L1290="F-90",5,0)))),0),0)+IF(AND(O1290="FIRE TEX 5062",OR(E1290="IN",E1290="C",E1290="Z",E1290="L"),J1290=4),VLOOKUP(_xlfn.MINIFS('FIRE TEX 5062'!$G$4:$G$34,'FIRE TEX 5062'!$G$4:$G$34,"&gt;="&amp;M1290),'FIRE TEX 5062'!$G$4:$K$34,IF(L1290="F-15",2,IF(L1290="F-30",3,IF(L1290="F-60",4,IF(L1290="F-90",5,0)))),0),0)+IF(AND(O1290="FIRE TEX 5062",E1290="CJ",J1290=3),VLOOKUP(_xlfn.MINIFS('FIRE TEX 5062'!$L$4:$L$34,'FIRE TEX 5062'!$L$4:$L$34,"&gt;="&amp;M1290),'FIRE TEX 5062'!$L$4:$P$34,IF(L1290="F-15",2,IF(L1290="F-30",3,IF(L1290="F-60",4,IF(L1290="F-90",5,0)))),0),0)+IF(AND(O1290="FIRE TEX 5062",E1290="CJ",J1290=4),VLOOKUP(_xlfn.MINIFS('FIRE TEX 5062'!$Q$3:$Q$34,'FIRE TEX 5062'!$Q$3:$Q$34,"&gt;="&amp;M1290),'FIRE TEX 5062'!$Q$3:$U$34,IF(L1290="F-15",2,IF(L1290="F-30",3,IF(L1290="F-60",4,IF(L1290="F-90",5,0)))),0),0)+IF(AND(O1290="FIRE TEX 5090",OR(E1290="IN",E1290="C",E1290="Z",E1290="L"),J1290=3),VLOOKUP(_xlfn.MINIFS('FIRE TEX 5090'!$B$5:$B$43,'FIRE TEX 5090'!$B$5:$B$43,"&gt;="&amp;M1290),'FIRE TEX 5090'!$B$5:$H$43,IF(L1290="F-15",2,IF(L1290="F-30",3,IF(L1290="F-60",4,IF(L1290="F-90",5,IF(L1290="F-120",6,IF(L1290="F-150",7,0)))))),0),0)+IF(AND(O1290="FIRE TEX 5090",OR(E1290="IN",E1290="C",E1290="Z",E1290="L"),J1290=4),VLOOKUP(_xlfn.MINIFS('FIRE TEX 5090'!$J$5:$J$43,'FIRE TEX 5090'!$J$5:$J$43,"&gt;="&amp;M1290),'FIRE TEX 5090'!$J$5:$P$43,IF(L1290="F-15",2,IF(L1290="F-30",3,IF(L1290="F-60",4,IF(L1290="F-90",5,IF(L1290="F-120",6,IF(L1290="F-150",7,0)))))),0),0)+IF(AND(O1290="FIRE TEX 5090",E1290="CJ",J1290=3),VLOOKUP(_xlfn.MINIFS('FIRE TEX 5090'!$R$5:$R$30,'FIRE TEX 5090'!$R$5:$R$30,"&gt;="&amp;M1290),'FIRE TEX 5090'!$R$5:$W$30,IF(L1290="F-15",2,IF(L1290="F-30",3,IF(L1290="F-60",4,IF(L1290="F-90",5,IF(L1290="F-120",6,IF(L1290="F-150",7,0)))))),0),0)+IF(AND(O1290="FIRE TEX 5090",E1290="CJ",J1290=4),VLOOKUP(_xlfn.MINIFS('FIRE TEX 5090'!$Y$5:$Y$39,'FIRE TEX 5090'!$Y$5:$Y$39,"&gt;="&amp;M1290),'FIRE TEX 5090'!$Y$5:$AD$39,IF(L1290="F-15",2,IF(L1290="F-30",3,IF(L1290="F-60",4,IF(L1290="F-90",5,IF(L1290="F-120",6,IF(L1290="F-150",7,0)))))),0),0)+IF(AND(O1290="FIRE TEX 5120",OR(E1290="IN",E1290="C",E1290="Z",E1290="L"),J1290=3),VLOOKUP(_xlfn.MINIFS('FIRE TEX 5120'!$B$5:$B$40,'FIRE TEX 5120'!$B$5:$B$40,"&gt;="&amp;M1290),'FIRE TEX 5120'!$B$5:$G$40,IF(L1290="F-15",2,IF(L1290="F-30",3,IF(L1290="F-60",4,IF(L1290="F-90",5,IF(L1290="F-120",6,0))))),0),0)+IF(AND(O1290="FIRE TEX 5120",OR(E1290="IN",E1290="C",E1290="Z",E1290="L"),J1290=4),VLOOKUP(_xlfn.MINIFS('FIRE TEX 5120'!$H$4:$H$40,'FIRE TEX 5120'!$H$4:$H$40,"&gt;="&amp;M1290),'FIRE TEX 5120'!$H$4:$M$40,IF(L1290="F-15",2,IF(L1290="F-30",3,IF(L1290="F-60",4,IF(L1290="F-90",5,IF(L1290="F-120",6,0))))),0),0)+IF(AND(O1290="FIRE TEX 5120",E1290="CJ"),VLOOKUP(_xlfn.MINIFS('FIRE TEX 5120'!$O$5:$O$40,'FIRE TEX 5120'!$O$5:$O$40,"&gt;="&amp;M1290),'FIRE TEX 5120'!$O$5:$T$40,IF(L1290="F-15",2,IF(L1290="F-30",3,IF(L1290="F-60",4,IF(L1290="F-90",5,IF(L1290="F-120",6,0))))),0),0)</f>
        <v>0</v>
      </c>
      <c r="Q1290" s="46">
        <f t="shared" si="119"/>
        <v>0</v>
      </c>
      <c r="R1290" s="46">
        <f t="shared" si="120"/>
        <v>0</v>
      </c>
      <c r="S1290" s="46" t="e">
        <f t="shared" si="121"/>
        <v>#VALUE!</v>
      </c>
      <c r="T1290" s="677">
        <f t="shared" si="122"/>
        <v>0</v>
      </c>
      <c r="U1290" s="80">
        <f>(IF(O1290="Stofire",(S1290*#REF!),0))+(IF(O1290="Fire Control",(S1290*$U$2),0))+(IF(O1290="Fire Tex",(S1290*$U$3),0))+(IF(O1290="WB7",(S1290*#REF!),0)+(IF(O1290="FX 2003",(S1290*$U$5),0)))</f>
        <v>0</v>
      </c>
      <c r="V1290" s="651">
        <f t="shared" si="123"/>
        <v>0</v>
      </c>
    </row>
    <row r="1291" spans="4:22" x14ac:dyDescent="0.25">
      <c r="D1291" s="118">
        <f>+CUBICACION!D1290</f>
        <v>0</v>
      </c>
      <c r="E1291" s="118">
        <f>+CUBICACION!F1290</f>
        <v>0</v>
      </c>
      <c r="F1291" s="118">
        <f>+CUBICACION!E1290</f>
        <v>0</v>
      </c>
      <c r="G1291" s="118">
        <v>12</v>
      </c>
      <c r="H1291" s="118">
        <v>2</v>
      </c>
      <c r="I1291" s="820">
        <v>26385</v>
      </c>
      <c r="J1291" s="118">
        <f>+CUBICACION!J1290</f>
        <v>0</v>
      </c>
      <c r="K1291" s="118">
        <v>4070</v>
      </c>
      <c r="L1291" s="118">
        <f>+CUBICACION!L1290</f>
        <v>0</v>
      </c>
      <c r="M1291" s="64">
        <f>+CUBICACION!M1290</f>
        <v>0</v>
      </c>
      <c r="N1291" s="824" t="str">
        <f>+CUBICACION!N1290</f>
        <v/>
      </c>
      <c r="O1291" s="675">
        <f>+CUBICACION!O1290</f>
        <v>0</v>
      </c>
      <c r="P1291" s="15">
        <f>IF(O1291="Fire Control",VLOOKUP(_xlfn.MINIFS('FIRE CONTROL'!$C$4:$C$37,'FIRE CONTROL'!$C$4:$C$37,"&gt;="&amp;M1291),'FIRE CONTROL'!$C$4:$G$37,IF(L1291="F-15",2,IF(L1291="F-30",3,IF(L1291="F-60",4,IF(L1291="F-90",5,0)))),0),0)+IF(AND(O1291="FIRE TEX 5062",OR(E1291="IN",E1291="C",E1291="Z",E1291="L"),J1291=3),VLOOKUP(_xlfn.MINIFS('FIRE TEX 5062'!$B$4:$B$34,'FIRE TEX 5062'!$B$4:$B$34,"&gt;="&amp;M1291),'FIRE TEX 5062'!$B$4:$F$34,IF(L1291="F-15",2,IF(L1291="F-30",3,IF(L1291="F-60",4,IF(L1291="F-90",5,0)))),0),0)+IF(AND(O1291="FIRE TEX 5062",OR(E1291="IN",E1291="C",E1291="Z",E1291="L"),J1291=4),VLOOKUP(_xlfn.MINIFS('FIRE TEX 5062'!$G$4:$G$34,'FIRE TEX 5062'!$G$4:$G$34,"&gt;="&amp;M1291),'FIRE TEX 5062'!$G$4:$K$34,IF(L1291="F-15",2,IF(L1291="F-30",3,IF(L1291="F-60",4,IF(L1291="F-90",5,0)))),0),0)+IF(AND(O1291="FIRE TEX 5062",E1291="CJ",J1291=3),VLOOKUP(_xlfn.MINIFS('FIRE TEX 5062'!$L$4:$L$34,'FIRE TEX 5062'!$L$4:$L$34,"&gt;="&amp;M1291),'FIRE TEX 5062'!$L$4:$P$34,IF(L1291="F-15",2,IF(L1291="F-30",3,IF(L1291="F-60",4,IF(L1291="F-90",5,0)))),0),0)+IF(AND(O1291="FIRE TEX 5062",E1291="CJ",J1291=4),VLOOKUP(_xlfn.MINIFS('FIRE TEX 5062'!$Q$3:$Q$34,'FIRE TEX 5062'!$Q$3:$Q$34,"&gt;="&amp;M1291),'FIRE TEX 5062'!$Q$3:$U$34,IF(L1291="F-15",2,IF(L1291="F-30",3,IF(L1291="F-60",4,IF(L1291="F-90",5,0)))),0),0)+IF(AND(O1291="FIRE TEX 5090",OR(E1291="IN",E1291="C",E1291="Z",E1291="L"),J1291=3),VLOOKUP(_xlfn.MINIFS('FIRE TEX 5090'!$B$5:$B$43,'FIRE TEX 5090'!$B$5:$B$43,"&gt;="&amp;M1291),'FIRE TEX 5090'!$B$5:$H$43,IF(L1291="F-15",2,IF(L1291="F-30",3,IF(L1291="F-60",4,IF(L1291="F-90",5,IF(L1291="F-120",6,IF(L1291="F-150",7,0)))))),0),0)+IF(AND(O1291="FIRE TEX 5090",OR(E1291="IN",E1291="C",E1291="Z",E1291="L"),J1291=4),VLOOKUP(_xlfn.MINIFS('FIRE TEX 5090'!$J$5:$J$43,'FIRE TEX 5090'!$J$5:$J$43,"&gt;="&amp;M1291),'FIRE TEX 5090'!$J$5:$P$43,IF(L1291="F-15",2,IF(L1291="F-30",3,IF(L1291="F-60",4,IF(L1291="F-90",5,IF(L1291="F-120",6,IF(L1291="F-150",7,0)))))),0),0)+IF(AND(O1291="FIRE TEX 5090",E1291="CJ",J1291=3),VLOOKUP(_xlfn.MINIFS('FIRE TEX 5090'!$R$5:$R$30,'FIRE TEX 5090'!$R$5:$R$30,"&gt;="&amp;M1291),'FIRE TEX 5090'!$R$5:$W$30,IF(L1291="F-15",2,IF(L1291="F-30",3,IF(L1291="F-60",4,IF(L1291="F-90",5,IF(L1291="F-120",6,IF(L1291="F-150",7,0)))))),0),0)+IF(AND(O1291="FIRE TEX 5090",E1291="CJ",J1291=4),VLOOKUP(_xlfn.MINIFS('FIRE TEX 5090'!$Y$5:$Y$39,'FIRE TEX 5090'!$Y$5:$Y$39,"&gt;="&amp;M1291),'FIRE TEX 5090'!$Y$5:$AD$39,IF(L1291="F-15",2,IF(L1291="F-30",3,IF(L1291="F-60",4,IF(L1291="F-90",5,IF(L1291="F-120",6,IF(L1291="F-150",7,0)))))),0),0)+IF(AND(O1291="FIRE TEX 5120",OR(E1291="IN",E1291="C",E1291="Z",E1291="L"),J1291=3),VLOOKUP(_xlfn.MINIFS('FIRE TEX 5120'!$B$5:$B$40,'FIRE TEX 5120'!$B$5:$B$40,"&gt;="&amp;M1291),'FIRE TEX 5120'!$B$5:$G$40,IF(L1291="F-15",2,IF(L1291="F-30",3,IF(L1291="F-60",4,IF(L1291="F-90",5,IF(L1291="F-120",6,0))))),0),0)+IF(AND(O1291="FIRE TEX 5120",OR(E1291="IN",E1291="C",E1291="Z",E1291="L"),J1291=4),VLOOKUP(_xlfn.MINIFS('FIRE TEX 5120'!$H$4:$H$40,'FIRE TEX 5120'!$H$4:$H$40,"&gt;="&amp;M1291),'FIRE TEX 5120'!$H$4:$M$40,IF(L1291="F-15",2,IF(L1291="F-30",3,IF(L1291="F-60",4,IF(L1291="F-90",5,IF(L1291="F-120",6,0))))),0),0)+IF(AND(O1291="FIRE TEX 5120",E1291="CJ"),VLOOKUP(_xlfn.MINIFS('FIRE TEX 5120'!$O$5:$O$40,'FIRE TEX 5120'!$O$5:$O$40,"&gt;="&amp;M1291),'FIRE TEX 5120'!$O$5:$T$40,IF(L1291="F-15",2,IF(L1291="F-30",3,IF(L1291="F-60",4,IF(L1291="F-90",5,IF(L1291="F-120",6,0))))),0),0)</f>
        <v>0</v>
      </c>
      <c r="Q1291" s="46">
        <f t="shared" si="119"/>
        <v>0</v>
      </c>
      <c r="R1291" s="46">
        <f t="shared" si="120"/>
        <v>0</v>
      </c>
      <c r="S1291" s="46" t="e">
        <f t="shared" si="121"/>
        <v>#VALUE!</v>
      </c>
      <c r="T1291" s="677">
        <f t="shared" si="122"/>
        <v>0</v>
      </c>
      <c r="U1291" s="80">
        <f>(IF(O1291="Stofire",(S1291*#REF!),0))+(IF(O1291="Fire Control",(S1291*$U$2),0))+(IF(O1291="Fire Tex",(S1291*$U$3),0))+(IF(O1291="WB7",(S1291*#REF!),0)+(IF(O1291="FX 2003",(S1291*$U$5),0)))</f>
        <v>0</v>
      </c>
      <c r="V1291" s="651">
        <f t="shared" si="123"/>
        <v>0</v>
      </c>
    </row>
    <row r="1292" spans="4:22" x14ac:dyDescent="0.25">
      <c r="D1292" s="118">
        <f>+CUBICACION!D1291</f>
        <v>0</v>
      </c>
      <c r="E1292" s="118">
        <f>+CUBICACION!F1291</f>
        <v>0</v>
      </c>
      <c r="F1292" s="118">
        <f>+CUBICACION!E1291</f>
        <v>0</v>
      </c>
      <c r="G1292" s="118">
        <v>12</v>
      </c>
      <c r="H1292" s="118">
        <v>2</v>
      </c>
      <c r="I1292" s="820">
        <v>26385</v>
      </c>
      <c r="J1292" s="118">
        <f>+CUBICACION!J1291</f>
        <v>0</v>
      </c>
      <c r="K1292" s="118">
        <v>4071</v>
      </c>
      <c r="L1292" s="118">
        <f>+CUBICACION!L1291</f>
        <v>0</v>
      </c>
      <c r="M1292" s="64">
        <f>+CUBICACION!M1291</f>
        <v>0</v>
      </c>
      <c r="N1292" s="824" t="str">
        <f>+CUBICACION!N1291</f>
        <v/>
      </c>
      <c r="O1292" s="675">
        <f>+CUBICACION!O1291</f>
        <v>0</v>
      </c>
      <c r="P1292" s="15">
        <f>IF(O1292="Fire Control",VLOOKUP(_xlfn.MINIFS('FIRE CONTROL'!$C$4:$C$37,'FIRE CONTROL'!$C$4:$C$37,"&gt;="&amp;M1292),'FIRE CONTROL'!$C$4:$G$37,IF(L1292="F-15",2,IF(L1292="F-30",3,IF(L1292="F-60",4,IF(L1292="F-90",5,0)))),0),0)+IF(AND(O1292="FIRE TEX 5062",OR(E1292="IN",E1292="C",E1292="Z",E1292="L"),J1292=3),VLOOKUP(_xlfn.MINIFS('FIRE TEX 5062'!$B$4:$B$34,'FIRE TEX 5062'!$B$4:$B$34,"&gt;="&amp;M1292),'FIRE TEX 5062'!$B$4:$F$34,IF(L1292="F-15",2,IF(L1292="F-30",3,IF(L1292="F-60",4,IF(L1292="F-90",5,0)))),0),0)+IF(AND(O1292="FIRE TEX 5062",OR(E1292="IN",E1292="C",E1292="Z",E1292="L"),J1292=4),VLOOKUP(_xlfn.MINIFS('FIRE TEX 5062'!$G$4:$G$34,'FIRE TEX 5062'!$G$4:$G$34,"&gt;="&amp;M1292),'FIRE TEX 5062'!$G$4:$K$34,IF(L1292="F-15",2,IF(L1292="F-30",3,IF(L1292="F-60",4,IF(L1292="F-90",5,0)))),0),0)+IF(AND(O1292="FIRE TEX 5062",E1292="CJ",J1292=3),VLOOKUP(_xlfn.MINIFS('FIRE TEX 5062'!$L$4:$L$34,'FIRE TEX 5062'!$L$4:$L$34,"&gt;="&amp;M1292),'FIRE TEX 5062'!$L$4:$P$34,IF(L1292="F-15",2,IF(L1292="F-30",3,IF(L1292="F-60",4,IF(L1292="F-90",5,0)))),0),0)+IF(AND(O1292="FIRE TEX 5062",E1292="CJ",J1292=4),VLOOKUP(_xlfn.MINIFS('FIRE TEX 5062'!$Q$3:$Q$34,'FIRE TEX 5062'!$Q$3:$Q$34,"&gt;="&amp;M1292),'FIRE TEX 5062'!$Q$3:$U$34,IF(L1292="F-15",2,IF(L1292="F-30",3,IF(L1292="F-60",4,IF(L1292="F-90",5,0)))),0),0)+IF(AND(O1292="FIRE TEX 5090",OR(E1292="IN",E1292="C",E1292="Z",E1292="L"),J1292=3),VLOOKUP(_xlfn.MINIFS('FIRE TEX 5090'!$B$5:$B$43,'FIRE TEX 5090'!$B$5:$B$43,"&gt;="&amp;M1292),'FIRE TEX 5090'!$B$5:$H$43,IF(L1292="F-15",2,IF(L1292="F-30",3,IF(L1292="F-60",4,IF(L1292="F-90",5,IF(L1292="F-120",6,IF(L1292="F-150",7,0)))))),0),0)+IF(AND(O1292="FIRE TEX 5090",OR(E1292="IN",E1292="C",E1292="Z",E1292="L"),J1292=4),VLOOKUP(_xlfn.MINIFS('FIRE TEX 5090'!$J$5:$J$43,'FIRE TEX 5090'!$J$5:$J$43,"&gt;="&amp;M1292),'FIRE TEX 5090'!$J$5:$P$43,IF(L1292="F-15",2,IF(L1292="F-30",3,IF(L1292="F-60",4,IF(L1292="F-90",5,IF(L1292="F-120",6,IF(L1292="F-150",7,0)))))),0),0)+IF(AND(O1292="FIRE TEX 5090",E1292="CJ",J1292=3),VLOOKUP(_xlfn.MINIFS('FIRE TEX 5090'!$R$5:$R$30,'FIRE TEX 5090'!$R$5:$R$30,"&gt;="&amp;M1292),'FIRE TEX 5090'!$R$5:$W$30,IF(L1292="F-15",2,IF(L1292="F-30",3,IF(L1292="F-60",4,IF(L1292="F-90",5,IF(L1292="F-120",6,IF(L1292="F-150",7,0)))))),0),0)+IF(AND(O1292="FIRE TEX 5090",E1292="CJ",J1292=4),VLOOKUP(_xlfn.MINIFS('FIRE TEX 5090'!$Y$5:$Y$39,'FIRE TEX 5090'!$Y$5:$Y$39,"&gt;="&amp;M1292),'FIRE TEX 5090'!$Y$5:$AD$39,IF(L1292="F-15",2,IF(L1292="F-30",3,IF(L1292="F-60",4,IF(L1292="F-90",5,IF(L1292="F-120",6,IF(L1292="F-150",7,0)))))),0),0)+IF(AND(O1292="FIRE TEX 5120",OR(E1292="IN",E1292="C",E1292="Z",E1292="L"),J1292=3),VLOOKUP(_xlfn.MINIFS('FIRE TEX 5120'!$B$5:$B$40,'FIRE TEX 5120'!$B$5:$B$40,"&gt;="&amp;M1292),'FIRE TEX 5120'!$B$5:$G$40,IF(L1292="F-15",2,IF(L1292="F-30",3,IF(L1292="F-60",4,IF(L1292="F-90",5,IF(L1292="F-120",6,0))))),0),0)+IF(AND(O1292="FIRE TEX 5120",OR(E1292="IN",E1292="C",E1292="Z",E1292="L"),J1292=4),VLOOKUP(_xlfn.MINIFS('FIRE TEX 5120'!$H$4:$H$40,'FIRE TEX 5120'!$H$4:$H$40,"&gt;="&amp;M1292),'FIRE TEX 5120'!$H$4:$M$40,IF(L1292="F-15",2,IF(L1292="F-30",3,IF(L1292="F-60",4,IF(L1292="F-90",5,IF(L1292="F-120",6,0))))),0),0)+IF(AND(O1292="FIRE TEX 5120",E1292="CJ"),VLOOKUP(_xlfn.MINIFS('FIRE TEX 5120'!$O$5:$O$40,'FIRE TEX 5120'!$O$5:$O$40,"&gt;="&amp;M1292),'FIRE TEX 5120'!$O$5:$T$40,IF(L1292="F-15",2,IF(L1292="F-30",3,IF(L1292="F-60",4,IF(L1292="F-90",5,IF(L1292="F-120",6,0))))),0),0)</f>
        <v>0</v>
      </c>
      <c r="Q1292" s="46">
        <f t="shared" si="119"/>
        <v>0</v>
      </c>
      <c r="R1292" s="46">
        <f t="shared" si="120"/>
        <v>0</v>
      </c>
      <c r="S1292" s="46" t="e">
        <f t="shared" si="121"/>
        <v>#VALUE!</v>
      </c>
      <c r="T1292" s="677">
        <f t="shared" si="122"/>
        <v>0</v>
      </c>
      <c r="U1292" s="80">
        <f>(IF(O1292="Stofire",(S1292*#REF!),0))+(IF(O1292="Fire Control",(S1292*$U$2),0))+(IF(O1292="Fire Tex",(S1292*$U$3),0))+(IF(O1292="WB7",(S1292*#REF!),0)+(IF(O1292="FX 2003",(S1292*$U$5),0)))</f>
        <v>0</v>
      </c>
      <c r="V1292" s="651">
        <f t="shared" si="123"/>
        <v>0</v>
      </c>
    </row>
    <row r="1293" spans="4:22" x14ac:dyDescent="0.25">
      <c r="D1293" s="118">
        <f>+CUBICACION!D1292</f>
        <v>0</v>
      </c>
      <c r="E1293" s="118">
        <f>+CUBICACION!F1292</f>
        <v>0</v>
      </c>
      <c r="F1293" s="118">
        <f>+CUBICACION!E1292</f>
        <v>0</v>
      </c>
      <c r="G1293" s="118">
        <v>12</v>
      </c>
      <c r="H1293" s="118">
        <v>2</v>
      </c>
      <c r="I1293" s="820">
        <v>26385</v>
      </c>
      <c r="J1293" s="118">
        <f>+CUBICACION!J1292</f>
        <v>0</v>
      </c>
      <c r="K1293" s="118">
        <v>4072</v>
      </c>
      <c r="L1293" s="118">
        <f>+CUBICACION!L1292</f>
        <v>0</v>
      </c>
      <c r="M1293" s="64">
        <f>+CUBICACION!M1292</f>
        <v>0</v>
      </c>
      <c r="N1293" s="824" t="str">
        <f>+CUBICACION!N1292</f>
        <v/>
      </c>
      <c r="O1293" s="675">
        <f>+CUBICACION!O1292</f>
        <v>0</v>
      </c>
      <c r="P1293" s="15">
        <f>IF(O1293="Fire Control",VLOOKUP(_xlfn.MINIFS('FIRE CONTROL'!$C$4:$C$37,'FIRE CONTROL'!$C$4:$C$37,"&gt;="&amp;M1293),'FIRE CONTROL'!$C$4:$G$37,IF(L1293="F-15",2,IF(L1293="F-30",3,IF(L1293="F-60",4,IF(L1293="F-90",5,0)))),0),0)+IF(AND(O1293="FIRE TEX 5062",OR(E1293="IN",E1293="C",E1293="Z",E1293="L"),J1293=3),VLOOKUP(_xlfn.MINIFS('FIRE TEX 5062'!$B$4:$B$34,'FIRE TEX 5062'!$B$4:$B$34,"&gt;="&amp;M1293),'FIRE TEX 5062'!$B$4:$F$34,IF(L1293="F-15",2,IF(L1293="F-30",3,IF(L1293="F-60",4,IF(L1293="F-90",5,0)))),0),0)+IF(AND(O1293="FIRE TEX 5062",OR(E1293="IN",E1293="C",E1293="Z",E1293="L"),J1293=4),VLOOKUP(_xlfn.MINIFS('FIRE TEX 5062'!$G$4:$G$34,'FIRE TEX 5062'!$G$4:$G$34,"&gt;="&amp;M1293),'FIRE TEX 5062'!$G$4:$K$34,IF(L1293="F-15",2,IF(L1293="F-30",3,IF(L1293="F-60",4,IF(L1293="F-90",5,0)))),0),0)+IF(AND(O1293="FIRE TEX 5062",E1293="CJ",J1293=3),VLOOKUP(_xlfn.MINIFS('FIRE TEX 5062'!$L$4:$L$34,'FIRE TEX 5062'!$L$4:$L$34,"&gt;="&amp;M1293),'FIRE TEX 5062'!$L$4:$P$34,IF(L1293="F-15",2,IF(L1293="F-30",3,IF(L1293="F-60",4,IF(L1293="F-90",5,0)))),0),0)+IF(AND(O1293="FIRE TEX 5062",E1293="CJ",J1293=4),VLOOKUP(_xlfn.MINIFS('FIRE TEX 5062'!$Q$3:$Q$34,'FIRE TEX 5062'!$Q$3:$Q$34,"&gt;="&amp;M1293),'FIRE TEX 5062'!$Q$3:$U$34,IF(L1293="F-15",2,IF(L1293="F-30",3,IF(L1293="F-60",4,IF(L1293="F-90",5,0)))),0),0)+IF(AND(O1293="FIRE TEX 5090",OR(E1293="IN",E1293="C",E1293="Z",E1293="L"),J1293=3),VLOOKUP(_xlfn.MINIFS('FIRE TEX 5090'!$B$5:$B$43,'FIRE TEX 5090'!$B$5:$B$43,"&gt;="&amp;M1293),'FIRE TEX 5090'!$B$5:$H$43,IF(L1293="F-15",2,IF(L1293="F-30",3,IF(L1293="F-60",4,IF(L1293="F-90",5,IF(L1293="F-120",6,IF(L1293="F-150",7,0)))))),0),0)+IF(AND(O1293="FIRE TEX 5090",OR(E1293="IN",E1293="C",E1293="Z",E1293="L"),J1293=4),VLOOKUP(_xlfn.MINIFS('FIRE TEX 5090'!$J$5:$J$43,'FIRE TEX 5090'!$J$5:$J$43,"&gt;="&amp;M1293),'FIRE TEX 5090'!$J$5:$P$43,IF(L1293="F-15",2,IF(L1293="F-30",3,IF(L1293="F-60",4,IF(L1293="F-90",5,IF(L1293="F-120",6,IF(L1293="F-150",7,0)))))),0),0)+IF(AND(O1293="FIRE TEX 5090",E1293="CJ",J1293=3),VLOOKUP(_xlfn.MINIFS('FIRE TEX 5090'!$R$5:$R$30,'FIRE TEX 5090'!$R$5:$R$30,"&gt;="&amp;M1293),'FIRE TEX 5090'!$R$5:$W$30,IF(L1293="F-15",2,IF(L1293="F-30",3,IF(L1293="F-60",4,IF(L1293="F-90",5,IF(L1293="F-120",6,IF(L1293="F-150",7,0)))))),0),0)+IF(AND(O1293="FIRE TEX 5090",E1293="CJ",J1293=4),VLOOKUP(_xlfn.MINIFS('FIRE TEX 5090'!$Y$5:$Y$39,'FIRE TEX 5090'!$Y$5:$Y$39,"&gt;="&amp;M1293),'FIRE TEX 5090'!$Y$5:$AD$39,IF(L1293="F-15",2,IF(L1293="F-30",3,IF(L1293="F-60",4,IF(L1293="F-90",5,IF(L1293="F-120",6,IF(L1293="F-150",7,0)))))),0),0)+IF(AND(O1293="FIRE TEX 5120",OR(E1293="IN",E1293="C",E1293="Z",E1293="L"),J1293=3),VLOOKUP(_xlfn.MINIFS('FIRE TEX 5120'!$B$5:$B$40,'FIRE TEX 5120'!$B$5:$B$40,"&gt;="&amp;M1293),'FIRE TEX 5120'!$B$5:$G$40,IF(L1293="F-15",2,IF(L1293="F-30",3,IF(L1293="F-60",4,IF(L1293="F-90",5,IF(L1293="F-120",6,0))))),0),0)+IF(AND(O1293="FIRE TEX 5120",OR(E1293="IN",E1293="C",E1293="Z",E1293="L"),J1293=4),VLOOKUP(_xlfn.MINIFS('FIRE TEX 5120'!$H$4:$H$40,'FIRE TEX 5120'!$H$4:$H$40,"&gt;="&amp;M1293),'FIRE TEX 5120'!$H$4:$M$40,IF(L1293="F-15",2,IF(L1293="F-30",3,IF(L1293="F-60",4,IF(L1293="F-90",5,IF(L1293="F-120",6,0))))),0),0)+IF(AND(O1293="FIRE TEX 5120",E1293="CJ"),VLOOKUP(_xlfn.MINIFS('FIRE TEX 5120'!$O$5:$O$40,'FIRE TEX 5120'!$O$5:$O$40,"&gt;="&amp;M1293),'FIRE TEX 5120'!$O$5:$T$40,IF(L1293="F-15",2,IF(L1293="F-30",3,IF(L1293="F-60",4,IF(L1293="F-90",5,IF(L1293="F-120",6,0))))),0),0)</f>
        <v>0</v>
      </c>
      <c r="Q1293" s="46">
        <f t="shared" si="119"/>
        <v>0</v>
      </c>
      <c r="R1293" s="46">
        <f t="shared" si="120"/>
        <v>0</v>
      </c>
      <c r="S1293" s="46" t="e">
        <f t="shared" si="121"/>
        <v>#VALUE!</v>
      </c>
      <c r="T1293" s="677">
        <f t="shared" si="122"/>
        <v>0</v>
      </c>
      <c r="U1293" s="80">
        <f>(IF(O1293="Stofire",(S1293*#REF!),0))+(IF(O1293="Fire Control",(S1293*$U$2),0))+(IF(O1293="Fire Tex",(S1293*$U$3),0))+(IF(O1293="WB7",(S1293*#REF!),0)+(IF(O1293="FX 2003",(S1293*$U$5),0)))</f>
        <v>0</v>
      </c>
      <c r="V1293" s="651">
        <f t="shared" si="123"/>
        <v>0</v>
      </c>
    </row>
    <row r="1294" spans="4:22" x14ac:dyDescent="0.25">
      <c r="D1294" s="118">
        <f>+CUBICACION!D1293</f>
        <v>0</v>
      </c>
      <c r="E1294" s="118">
        <f>+CUBICACION!F1293</f>
        <v>0</v>
      </c>
      <c r="F1294" s="118">
        <f>+CUBICACION!E1293</f>
        <v>0</v>
      </c>
      <c r="G1294" s="118">
        <v>12</v>
      </c>
      <c r="H1294" s="118">
        <v>2</v>
      </c>
      <c r="I1294" s="820">
        <v>26385</v>
      </c>
      <c r="J1294" s="118">
        <f>+CUBICACION!J1293</f>
        <v>0</v>
      </c>
      <c r="K1294" s="118">
        <v>4073</v>
      </c>
      <c r="L1294" s="118">
        <f>+CUBICACION!L1293</f>
        <v>0</v>
      </c>
      <c r="M1294" s="64">
        <f>+CUBICACION!M1293</f>
        <v>0</v>
      </c>
      <c r="N1294" s="824" t="str">
        <f>+CUBICACION!N1293</f>
        <v/>
      </c>
      <c r="O1294" s="675">
        <f>+CUBICACION!O1293</f>
        <v>0</v>
      </c>
      <c r="P1294" s="15">
        <f>IF(O1294="Fire Control",VLOOKUP(_xlfn.MINIFS('FIRE CONTROL'!$C$4:$C$37,'FIRE CONTROL'!$C$4:$C$37,"&gt;="&amp;M1294),'FIRE CONTROL'!$C$4:$G$37,IF(L1294="F-15",2,IF(L1294="F-30",3,IF(L1294="F-60",4,IF(L1294="F-90",5,0)))),0),0)+IF(AND(O1294="FIRE TEX 5062",OR(E1294="IN",E1294="C",E1294="Z",E1294="L"),J1294=3),VLOOKUP(_xlfn.MINIFS('FIRE TEX 5062'!$B$4:$B$34,'FIRE TEX 5062'!$B$4:$B$34,"&gt;="&amp;M1294),'FIRE TEX 5062'!$B$4:$F$34,IF(L1294="F-15",2,IF(L1294="F-30",3,IF(L1294="F-60",4,IF(L1294="F-90",5,0)))),0),0)+IF(AND(O1294="FIRE TEX 5062",OR(E1294="IN",E1294="C",E1294="Z",E1294="L"),J1294=4),VLOOKUP(_xlfn.MINIFS('FIRE TEX 5062'!$G$4:$G$34,'FIRE TEX 5062'!$G$4:$G$34,"&gt;="&amp;M1294),'FIRE TEX 5062'!$G$4:$K$34,IF(L1294="F-15",2,IF(L1294="F-30",3,IF(L1294="F-60",4,IF(L1294="F-90",5,0)))),0),0)+IF(AND(O1294="FIRE TEX 5062",E1294="CJ",J1294=3),VLOOKUP(_xlfn.MINIFS('FIRE TEX 5062'!$L$4:$L$34,'FIRE TEX 5062'!$L$4:$L$34,"&gt;="&amp;M1294),'FIRE TEX 5062'!$L$4:$P$34,IF(L1294="F-15",2,IF(L1294="F-30",3,IF(L1294="F-60",4,IF(L1294="F-90",5,0)))),0),0)+IF(AND(O1294="FIRE TEX 5062",E1294="CJ",J1294=4),VLOOKUP(_xlfn.MINIFS('FIRE TEX 5062'!$Q$3:$Q$34,'FIRE TEX 5062'!$Q$3:$Q$34,"&gt;="&amp;M1294),'FIRE TEX 5062'!$Q$3:$U$34,IF(L1294="F-15",2,IF(L1294="F-30",3,IF(L1294="F-60",4,IF(L1294="F-90",5,0)))),0),0)+IF(AND(O1294="FIRE TEX 5090",OR(E1294="IN",E1294="C",E1294="Z",E1294="L"),J1294=3),VLOOKUP(_xlfn.MINIFS('FIRE TEX 5090'!$B$5:$B$43,'FIRE TEX 5090'!$B$5:$B$43,"&gt;="&amp;M1294),'FIRE TEX 5090'!$B$5:$H$43,IF(L1294="F-15",2,IF(L1294="F-30",3,IF(L1294="F-60",4,IF(L1294="F-90",5,IF(L1294="F-120",6,IF(L1294="F-150",7,0)))))),0),0)+IF(AND(O1294="FIRE TEX 5090",OR(E1294="IN",E1294="C",E1294="Z",E1294="L"),J1294=4),VLOOKUP(_xlfn.MINIFS('FIRE TEX 5090'!$J$5:$J$43,'FIRE TEX 5090'!$J$5:$J$43,"&gt;="&amp;M1294),'FIRE TEX 5090'!$J$5:$P$43,IF(L1294="F-15",2,IF(L1294="F-30",3,IF(L1294="F-60",4,IF(L1294="F-90",5,IF(L1294="F-120",6,IF(L1294="F-150",7,0)))))),0),0)+IF(AND(O1294="FIRE TEX 5090",E1294="CJ",J1294=3),VLOOKUP(_xlfn.MINIFS('FIRE TEX 5090'!$R$5:$R$30,'FIRE TEX 5090'!$R$5:$R$30,"&gt;="&amp;M1294),'FIRE TEX 5090'!$R$5:$W$30,IF(L1294="F-15",2,IF(L1294="F-30",3,IF(L1294="F-60",4,IF(L1294="F-90",5,IF(L1294="F-120",6,IF(L1294="F-150",7,0)))))),0),0)+IF(AND(O1294="FIRE TEX 5090",E1294="CJ",J1294=4),VLOOKUP(_xlfn.MINIFS('FIRE TEX 5090'!$Y$5:$Y$39,'FIRE TEX 5090'!$Y$5:$Y$39,"&gt;="&amp;M1294),'FIRE TEX 5090'!$Y$5:$AD$39,IF(L1294="F-15",2,IF(L1294="F-30",3,IF(L1294="F-60",4,IF(L1294="F-90",5,IF(L1294="F-120",6,IF(L1294="F-150",7,0)))))),0),0)+IF(AND(O1294="FIRE TEX 5120",OR(E1294="IN",E1294="C",E1294="Z",E1294="L"),J1294=3),VLOOKUP(_xlfn.MINIFS('FIRE TEX 5120'!$B$5:$B$40,'FIRE TEX 5120'!$B$5:$B$40,"&gt;="&amp;M1294),'FIRE TEX 5120'!$B$5:$G$40,IF(L1294="F-15",2,IF(L1294="F-30",3,IF(L1294="F-60",4,IF(L1294="F-90",5,IF(L1294="F-120",6,0))))),0),0)+IF(AND(O1294="FIRE TEX 5120",OR(E1294="IN",E1294="C",E1294="Z",E1294="L"),J1294=4),VLOOKUP(_xlfn.MINIFS('FIRE TEX 5120'!$H$4:$H$40,'FIRE TEX 5120'!$H$4:$H$40,"&gt;="&amp;M1294),'FIRE TEX 5120'!$H$4:$M$40,IF(L1294="F-15",2,IF(L1294="F-30",3,IF(L1294="F-60",4,IF(L1294="F-90",5,IF(L1294="F-120",6,0))))),0),0)+IF(AND(O1294="FIRE TEX 5120",E1294="CJ"),VLOOKUP(_xlfn.MINIFS('FIRE TEX 5120'!$O$5:$O$40,'FIRE TEX 5120'!$O$5:$O$40,"&gt;="&amp;M1294),'FIRE TEX 5120'!$O$5:$T$40,IF(L1294="F-15",2,IF(L1294="F-30",3,IF(L1294="F-60",4,IF(L1294="F-90",5,IF(L1294="F-120",6,0))))),0),0)</f>
        <v>0</v>
      </c>
      <c r="Q1294" s="46">
        <f t="shared" si="119"/>
        <v>0</v>
      </c>
      <c r="R1294" s="46">
        <f t="shared" si="120"/>
        <v>0</v>
      </c>
      <c r="S1294" s="46" t="e">
        <f t="shared" si="121"/>
        <v>#VALUE!</v>
      </c>
      <c r="T1294" s="677">
        <f t="shared" si="122"/>
        <v>0</v>
      </c>
      <c r="U1294" s="80">
        <f>(IF(O1294="Stofire",(S1294*#REF!),0))+(IF(O1294="Fire Control",(S1294*$U$2),0))+(IF(O1294="Fire Tex",(S1294*$U$3),0))+(IF(O1294="WB7",(S1294*#REF!),0)+(IF(O1294="FX 2003",(S1294*$U$5),0)))</f>
        <v>0</v>
      </c>
      <c r="V1294" s="651">
        <f t="shared" si="123"/>
        <v>0</v>
      </c>
    </row>
    <row r="1295" spans="4:22" x14ac:dyDescent="0.25">
      <c r="D1295" s="118">
        <f>+CUBICACION!D1294</f>
        <v>0</v>
      </c>
      <c r="E1295" s="118">
        <f>+CUBICACION!F1294</f>
        <v>0</v>
      </c>
      <c r="F1295" s="118">
        <f>+CUBICACION!E1294</f>
        <v>0</v>
      </c>
      <c r="G1295" s="118">
        <v>12</v>
      </c>
      <c r="H1295" s="118">
        <v>2</v>
      </c>
      <c r="I1295" s="820">
        <v>26385</v>
      </c>
      <c r="J1295" s="118">
        <f>+CUBICACION!J1294</f>
        <v>0</v>
      </c>
      <c r="K1295" s="118">
        <v>4074</v>
      </c>
      <c r="L1295" s="118">
        <f>+CUBICACION!L1294</f>
        <v>0</v>
      </c>
      <c r="M1295" s="64">
        <f>+CUBICACION!M1294</f>
        <v>0</v>
      </c>
      <c r="N1295" s="824" t="str">
        <f>+CUBICACION!N1294</f>
        <v/>
      </c>
      <c r="O1295" s="675">
        <f>+CUBICACION!O1294</f>
        <v>0</v>
      </c>
      <c r="P1295" s="15">
        <f>IF(O1295="Fire Control",VLOOKUP(_xlfn.MINIFS('FIRE CONTROL'!$C$4:$C$37,'FIRE CONTROL'!$C$4:$C$37,"&gt;="&amp;M1295),'FIRE CONTROL'!$C$4:$G$37,IF(L1295="F-15",2,IF(L1295="F-30",3,IF(L1295="F-60",4,IF(L1295="F-90",5,0)))),0),0)+IF(AND(O1295="FIRE TEX 5062",OR(E1295="IN",E1295="C",E1295="Z",E1295="L"),J1295=3),VLOOKUP(_xlfn.MINIFS('FIRE TEX 5062'!$B$4:$B$34,'FIRE TEX 5062'!$B$4:$B$34,"&gt;="&amp;M1295),'FIRE TEX 5062'!$B$4:$F$34,IF(L1295="F-15",2,IF(L1295="F-30",3,IF(L1295="F-60",4,IF(L1295="F-90",5,0)))),0),0)+IF(AND(O1295="FIRE TEX 5062",OR(E1295="IN",E1295="C",E1295="Z",E1295="L"),J1295=4),VLOOKUP(_xlfn.MINIFS('FIRE TEX 5062'!$G$4:$G$34,'FIRE TEX 5062'!$G$4:$G$34,"&gt;="&amp;M1295),'FIRE TEX 5062'!$G$4:$K$34,IF(L1295="F-15",2,IF(L1295="F-30",3,IF(L1295="F-60",4,IF(L1295="F-90",5,0)))),0),0)+IF(AND(O1295="FIRE TEX 5062",E1295="CJ",J1295=3),VLOOKUP(_xlfn.MINIFS('FIRE TEX 5062'!$L$4:$L$34,'FIRE TEX 5062'!$L$4:$L$34,"&gt;="&amp;M1295),'FIRE TEX 5062'!$L$4:$P$34,IF(L1295="F-15",2,IF(L1295="F-30",3,IF(L1295="F-60",4,IF(L1295="F-90",5,0)))),0),0)+IF(AND(O1295="FIRE TEX 5062",E1295="CJ",J1295=4),VLOOKUP(_xlfn.MINIFS('FIRE TEX 5062'!$Q$3:$Q$34,'FIRE TEX 5062'!$Q$3:$Q$34,"&gt;="&amp;M1295),'FIRE TEX 5062'!$Q$3:$U$34,IF(L1295="F-15",2,IF(L1295="F-30",3,IF(L1295="F-60",4,IF(L1295="F-90",5,0)))),0),0)+IF(AND(O1295="FIRE TEX 5090",OR(E1295="IN",E1295="C",E1295="Z",E1295="L"),J1295=3),VLOOKUP(_xlfn.MINIFS('FIRE TEX 5090'!$B$5:$B$43,'FIRE TEX 5090'!$B$5:$B$43,"&gt;="&amp;M1295),'FIRE TEX 5090'!$B$5:$H$43,IF(L1295="F-15",2,IF(L1295="F-30",3,IF(L1295="F-60",4,IF(L1295="F-90",5,IF(L1295="F-120",6,IF(L1295="F-150",7,0)))))),0),0)+IF(AND(O1295="FIRE TEX 5090",OR(E1295="IN",E1295="C",E1295="Z",E1295="L"),J1295=4),VLOOKUP(_xlfn.MINIFS('FIRE TEX 5090'!$J$5:$J$43,'FIRE TEX 5090'!$J$5:$J$43,"&gt;="&amp;M1295),'FIRE TEX 5090'!$J$5:$P$43,IF(L1295="F-15",2,IF(L1295="F-30",3,IF(L1295="F-60",4,IF(L1295="F-90",5,IF(L1295="F-120",6,IF(L1295="F-150",7,0)))))),0),0)+IF(AND(O1295="FIRE TEX 5090",E1295="CJ",J1295=3),VLOOKUP(_xlfn.MINIFS('FIRE TEX 5090'!$R$5:$R$30,'FIRE TEX 5090'!$R$5:$R$30,"&gt;="&amp;M1295),'FIRE TEX 5090'!$R$5:$W$30,IF(L1295="F-15",2,IF(L1295="F-30",3,IF(L1295="F-60",4,IF(L1295="F-90",5,IF(L1295="F-120",6,IF(L1295="F-150",7,0)))))),0),0)+IF(AND(O1295="FIRE TEX 5090",E1295="CJ",J1295=4),VLOOKUP(_xlfn.MINIFS('FIRE TEX 5090'!$Y$5:$Y$39,'FIRE TEX 5090'!$Y$5:$Y$39,"&gt;="&amp;M1295),'FIRE TEX 5090'!$Y$5:$AD$39,IF(L1295="F-15",2,IF(L1295="F-30",3,IF(L1295="F-60",4,IF(L1295="F-90",5,IF(L1295="F-120",6,IF(L1295="F-150",7,0)))))),0),0)+IF(AND(O1295="FIRE TEX 5120",OR(E1295="IN",E1295="C",E1295="Z",E1295="L"),J1295=3),VLOOKUP(_xlfn.MINIFS('FIRE TEX 5120'!$B$5:$B$40,'FIRE TEX 5120'!$B$5:$B$40,"&gt;="&amp;M1295),'FIRE TEX 5120'!$B$5:$G$40,IF(L1295="F-15",2,IF(L1295="F-30",3,IF(L1295="F-60",4,IF(L1295="F-90",5,IF(L1295="F-120",6,0))))),0),0)+IF(AND(O1295="FIRE TEX 5120",OR(E1295="IN",E1295="C",E1295="Z",E1295="L"),J1295=4),VLOOKUP(_xlfn.MINIFS('FIRE TEX 5120'!$H$4:$H$40,'FIRE TEX 5120'!$H$4:$H$40,"&gt;="&amp;M1295),'FIRE TEX 5120'!$H$4:$M$40,IF(L1295="F-15",2,IF(L1295="F-30",3,IF(L1295="F-60",4,IF(L1295="F-90",5,IF(L1295="F-120",6,0))))),0),0)+IF(AND(O1295="FIRE TEX 5120",E1295="CJ"),VLOOKUP(_xlfn.MINIFS('FIRE TEX 5120'!$O$5:$O$40,'FIRE TEX 5120'!$O$5:$O$40,"&gt;="&amp;M1295),'FIRE TEX 5120'!$O$5:$T$40,IF(L1295="F-15",2,IF(L1295="F-30",3,IF(L1295="F-60",4,IF(L1295="F-90",5,IF(L1295="F-120",6,0))))),0),0)</f>
        <v>0</v>
      </c>
      <c r="Q1295" s="46">
        <f t="shared" si="119"/>
        <v>0</v>
      </c>
      <c r="R1295" s="46">
        <f t="shared" si="120"/>
        <v>0</v>
      </c>
      <c r="S1295" s="46" t="e">
        <f t="shared" si="121"/>
        <v>#VALUE!</v>
      </c>
      <c r="T1295" s="677">
        <f t="shared" si="122"/>
        <v>0</v>
      </c>
      <c r="U1295" s="80">
        <f>(IF(O1295="Stofire",(S1295*#REF!),0))+(IF(O1295="Fire Control",(S1295*$U$2),0))+(IF(O1295="Fire Tex",(S1295*$U$3),0))+(IF(O1295="WB7",(S1295*#REF!),0)+(IF(O1295="FX 2003",(S1295*$U$5),0)))</f>
        <v>0</v>
      </c>
      <c r="V1295" s="651">
        <f t="shared" si="123"/>
        <v>0</v>
      </c>
    </row>
    <row r="1296" spans="4:22" x14ac:dyDescent="0.25">
      <c r="D1296" s="118">
        <f>+CUBICACION!D1295</f>
        <v>0</v>
      </c>
      <c r="E1296" s="118">
        <f>+CUBICACION!F1295</f>
        <v>0</v>
      </c>
      <c r="F1296" s="118">
        <f>+CUBICACION!E1295</f>
        <v>0</v>
      </c>
      <c r="G1296" s="118">
        <v>12</v>
      </c>
      <c r="H1296" s="118">
        <v>2</v>
      </c>
      <c r="I1296" s="820">
        <v>26385</v>
      </c>
      <c r="J1296" s="118">
        <f>+CUBICACION!J1295</f>
        <v>0</v>
      </c>
      <c r="K1296" s="118">
        <v>4075</v>
      </c>
      <c r="L1296" s="118">
        <f>+CUBICACION!L1295</f>
        <v>0</v>
      </c>
      <c r="M1296" s="64">
        <f>+CUBICACION!M1295</f>
        <v>0</v>
      </c>
      <c r="N1296" s="824" t="str">
        <f>+CUBICACION!N1295</f>
        <v/>
      </c>
      <c r="O1296" s="675">
        <f>+CUBICACION!O1295</f>
        <v>0</v>
      </c>
      <c r="P1296" s="15">
        <f>IF(O1296="Fire Control",VLOOKUP(_xlfn.MINIFS('FIRE CONTROL'!$C$4:$C$37,'FIRE CONTROL'!$C$4:$C$37,"&gt;="&amp;M1296),'FIRE CONTROL'!$C$4:$G$37,IF(L1296="F-15",2,IF(L1296="F-30",3,IF(L1296="F-60",4,IF(L1296="F-90",5,0)))),0),0)+IF(AND(O1296="FIRE TEX 5062",OR(E1296="IN",E1296="C",E1296="Z",E1296="L"),J1296=3),VLOOKUP(_xlfn.MINIFS('FIRE TEX 5062'!$B$4:$B$34,'FIRE TEX 5062'!$B$4:$B$34,"&gt;="&amp;M1296),'FIRE TEX 5062'!$B$4:$F$34,IF(L1296="F-15",2,IF(L1296="F-30",3,IF(L1296="F-60",4,IF(L1296="F-90",5,0)))),0),0)+IF(AND(O1296="FIRE TEX 5062",OR(E1296="IN",E1296="C",E1296="Z",E1296="L"),J1296=4),VLOOKUP(_xlfn.MINIFS('FIRE TEX 5062'!$G$4:$G$34,'FIRE TEX 5062'!$G$4:$G$34,"&gt;="&amp;M1296),'FIRE TEX 5062'!$G$4:$K$34,IF(L1296="F-15",2,IF(L1296="F-30",3,IF(L1296="F-60",4,IF(L1296="F-90",5,0)))),0),0)+IF(AND(O1296="FIRE TEX 5062",E1296="CJ",J1296=3),VLOOKUP(_xlfn.MINIFS('FIRE TEX 5062'!$L$4:$L$34,'FIRE TEX 5062'!$L$4:$L$34,"&gt;="&amp;M1296),'FIRE TEX 5062'!$L$4:$P$34,IF(L1296="F-15",2,IF(L1296="F-30",3,IF(L1296="F-60",4,IF(L1296="F-90",5,0)))),0),0)+IF(AND(O1296="FIRE TEX 5062",E1296="CJ",J1296=4),VLOOKUP(_xlfn.MINIFS('FIRE TEX 5062'!$Q$3:$Q$34,'FIRE TEX 5062'!$Q$3:$Q$34,"&gt;="&amp;M1296),'FIRE TEX 5062'!$Q$3:$U$34,IF(L1296="F-15",2,IF(L1296="F-30",3,IF(L1296="F-60",4,IF(L1296="F-90",5,0)))),0),0)+IF(AND(O1296="FIRE TEX 5090",OR(E1296="IN",E1296="C",E1296="Z",E1296="L"),J1296=3),VLOOKUP(_xlfn.MINIFS('FIRE TEX 5090'!$B$5:$B$43,'FIRE TEX 5090'!$B$5:$B$43,"&gt;="&amp;M1296),'FIRE TEX 5090'!$B$5:$H$43,IF(L1296="F-15",2,IF(L1296="F-30",3,IF(L1296="F-60",4,IF(L1296="F-90",5,IF(L1296="F-120",6,IF(L1296="F-150",7,0)))))),0),0)+IF(AND(O1296="FIRE TEX 5090",OR(E1296="IN",E1296="C",E1296="Z",E1296="L"),J1296=4),VLOOKUP(_xlfn.MINIFS('FIRE TEX 5090'!$J$5:$J$43,'FIRE TEX 5090'!$J$5:$J$43,"&gt;="&amp;M1296),'FIRE TEX 5090'!$J$5:$P$43,IF(L1296="F-15",2,IF(L1296="F-30",3,IF(L1296="F-60",4,IF(L1296="F-90",5,IF(L1296="F-120",6,IF(L1296="F-150",7,0)))))),0),0)+IF(AND(O1296="FIRE TEX 5090",E1296="CJ",J1296=3),VLOOKUP(_xlfn.MINIFS('FIRE TEX 5090'!$R$5:$R$30,'FIRE TEX 5090'!$R$5:$R$30,"&gt;="&amp;M1296),'FIRE TEX 5090'!$R$5:$W$30,IF(L1296="F-15",2,IF(L1296="F-30",3,IF(L1296="F-60",4,IF(L1296="F-90",5,IF(L1296="F-120",6,IF(L1296="F-150",7,0)))))),0),0)+IF(AND(O1296="FIRE TEX 5090",E1296="CJ",J1296=4),VLOOKUP(_xlfn.MINIFS('FIRE TEX 5090'!$Y$5:$Y$39,'FIRE TEX 5090'!$Y$5:$Y$39,"&gt;="&amp;M1296),'FIRE TEX 5090'!$Y$5:$AD$39,IF(L1296="F-15",2,IF(L1296="F-30",3,IF(L1296="F-60",4,IF(L1296="F-90",5,IF(L1296="F-120",6,IF(L1296="F-150",7,0)))))),0),0)+IF(AND(O1296="FIRE TEX 5120",OR(E1296="IN",E1296="C",E1296="Z",E1296="L"),J1296=3),VLOOKUP(_xlfn.MINIFS('FIRE TEX 5120'!$B$5:$B$40,'FIRE TEX 5120'!$B$5:$B$40,"&gt;="&amp;M1296),'FIRE TEX 5120'!$B$5:$G$40,IF(L1296="F-15",2,IF(L1296="F-30",3,IF(L1296="F-60",4,IF(L1296="F-90",5,IF(L1296="F-120",6,0))))),0),0)+IF(AND(O1296="FIRE TEX 5120",OR(E1296="IN",E1296="C",E1296="Z",E1296="L"),J1296=4),VLOOKUP(_xlfn.MINIFS('FIRE TEX 5120'!$H$4:$H$40,'FIRE TEX 5120'!$H$4:$H$40,"&gt;="&amp;M1296),'FIRE TEX 5120'!$H$4:$M$40,IF(L1296="F-15",2,IF(L1296="F-30",3,IF(L1296="F-60",4,IF(L1296="F-90",5,IF(L1296="F-120",6,0))))),0),0)+IF(AND(O1296="FIRE TEX 5120",E1296="CJ"),VLOOKUP(_xlfn.MINIFS('FIRE TEX 5120'!$O$5:$O$40,'FIRE TEX 5120'!$O$5:$O$40,"&gt;="&amp;M1296),'FIRE TEX 5120'!$O$5:$T$40,IF(L1296="F-15",2,IF(L1296="F-30",3,IF(L1296="F-60",4,IF(L1296="F-90",5,IF(L1296="F-120",6,0))))),0),0)</f>
        <v>0</v>
      </c>
      <c r="Q1296" s="46">
        <f t="shared" si="119"/>
        <v>0</v>
      </c>
      <c r="R1296" s="46">
        <f t="shared" si="120"/>
        <v>0</v>
      </c>
      <c r="S1296" s="46" t="e">
        <f t="shared" si="121"/>
        <v>#VALUE!</v>
      </c>
      <c r="T1296" s="677">
        <f t="shared" si="122"/>
        <v>0</v>
      </c>
      <c r="U1296" s="80">
        <f>(IF(O1296="Stofire",(S1296*#REF!),0))+(IF(O1296="Fire Control",(S1296*$U$2),0))+(IF(O1296="Fire Tex",(S1296*$U$3),0))+(IF(O1296="WB7",(S1296*#REF!),0)+(IF(O1296="FX 2003",(S1296*$U$5),0)))</f>
        <v>0</v>
      </c>
      <c r="V1296" s="651">
        <f t="shared" si="123"/>
        <v>0</v>
      </c>
    </row>
    <row r="1297" spans="4:22" x14ac:dyDescent="0.25">
      <c r="D1297" s="118">
        <f>+CUBICACION!D1296</f>
        <v>0</v>
      </c>
      <c r="E1297" s="118">
        <f>+CUBICACION!F1296</f>
        <v>0</v>
      </c>
      <c r="F1297" s="118">
        <f>+CUBICACION!E1296</f>
        <v>0</v>
      </c>
      <c r="G1297" s="118">
        <v>12</v>
      </c>
      <c r="H1297" s="118">
        <v>2</v>
      </c>
      <c r="I1297" s="820">
        <v>26385</v>
      </c>
      <c r="J1297" s="118">
        <f>+CUBICACION!J1296</f>
        <v>0</v>
      </c>
      <c r="K1297" s="118">
        <v>4076</v>
      </c>
      <c r="L1297" s="118">
        <f>+CUBICACION!L1296</f>
        <v>0</v>
      </c>
      <c r="M1297" s="64">
        <f>+CUBICACION!M1296</f>
        <v>0</v>
      </c>
      <c r="N1297" s="824" t="str">
        <f>+CUBICACION!N1296</f>
        <v/>
      </c>
      <c r="O1297" s="675">
        <f>+CUBICACION!O1296</f>
        <v>0</v>
      </c>
      <c r="P1297" s="15">
        <f>IF(O1297="Fire Control",VLOOKUP(_xlfn.MINIFS('FIRE CONTROL'!$C$4:$C$37,'FIRE CONTROL'!$C$4:$C$37,"&gt;="&amp;M1297),'FIRE CONTROL'!$C$4:$G$37,IF(L1297="F-15",2,IF(L1297="F-30",3,IF(L1297="F-60",4,IF(L1297="F-90",5,0)))),0),0)+IF(AND(O1297="FIRE TEX 5062",OR(E1297="IN",E1297="C",E1297="Z",E1297="L"),J1297=3),VLOOKUP(_xlfn.MINIFS('FIRE TEX 5062'!$B$4:$B$34,'FIRE TEX 5062'!$B$4:$B$34,"&gt;="&amp;M1297),'FIRE TEX 5062'!$B$4:$F$34,IF(L1297="F-15",2,IF(L1297="F-30",3,IF(L1297="F-60",4,IF(L1297="F-90",5,0)))),0),0)+IF(AND(O1297="FIRE TEX 5062",OR(E1297="IN",E1297="C",E1297="Z",E1297="L"),J1297=4),VLOOKUP(_xlfn.MINIFS('FIRE TEX 5062'!$G$4:$G$34,'FIRE TEX 5062'!$G$4:$G$34,"&gt;="&amp;M1297),'FIRE TEX 5062'!$G$4:$K$34,IF(L1297="F-15",2,IF(L1297="F-30",3,IF(L1297="F-60",4,IF(L1297="F-90",5,0)))),0),0)+IF(AND(O1297="FIRE TEX 5062",E1297="CJ",J1297=3),VLOOKUP(_xlfn.MINIFS('FIRE TEX 5062'!$L$4:$L$34,'FIRE TEX 5062'!$L$4:$L$34,"&gt;="&amp;M1297),'FIRE TEX 5062'!$L$4:$P$34,IF(L1297="F-15",2,IF(L1297="F-30",3,IF(L1297="F-60",4,IF(L1297="F-90",5,0)))),0),0)+IF(AND(O1297="FIRE TEX 5062",E1297="CJ",J1297=4),VLOOKUP(_xlfn.MINIFS('FIRE TEX 5062'!$Q$3:$Q$34,'FIRE TEX 5062'!$Q$3:$Q$34,"&gt;="&amp;M1297),'FIRE TEX 5062'!$Q$3:$U$34,IF(L1297="F-15",2,IF(L1297="F-30",3,IF(L1297="F-60",4,IF(L1297="F-90",5,0)))),0),0)+IF(AND(O1297="FIRE TEX 5090",OR(E1297="IN",E1297="C",E1297="Z",E1297="L"),J1297=3),VLOOKUP(_xlfn.MINIFS('FIRE TEX 5090'!$B$5:$B$43,'FIRE TEX 5090'!$B$5:$B$43,"&gt;="&amp;M1297),'FIRE TEX 5090'!$B$5:$H$43,IF(L1297="F-15",2,IF(L1297="F-30",3,IF(L1297="F-60",4,IF(L1297="F-90",5,IF(L1297="F-120",6,IF(L1297="F-150",7,0)))))),0),0)+IF(AND(O1297="FIRE TEX 5090",OR(E1297="IN",E1297="C",E1297="Z",E1297="L"),J1297=4),VLOOKUP(_xlfn.MINIFS('FIRE TEX 5090'!$J$5:$J$43,'FIRE TEX 5090'!$J$5:$J$43,"&gt;="&amp;M1297),'FIRE TEX 5090'!$J$5:$P$43,IF(L1297="F-15",2,IF(L1297="F-30",3,IF(L1297="F-60",4,IF(L1297="F-90",5,IF(L1297="F-120",6,IF(L1297="F-150",7,0)))))),0),0)+IF(AND(O1297="FIRE TEX 5090",E1297="CJ",J1297=3),VLOOKUP(_xlfn.MINIFS('FIRE TEX 5090'!$R$5:$R$30,'FIRE TEX 5090'!$R$5:$R$30,"&gt;="&amp;M1297),'FIRE TEX 5090'!$R$5:$W$30,IF(L1297="F-15",2,IF(L1297="F-30",3,IF(L1297="F-60",4,IF(L1297="F-90",5,IF(L1297="F-120",6,IF(L1297="F-150",7,0)))))),0),0)+IF(AND(O1297="FIRE TEX 5090",E1297="CJ",J1297=4),VLOOKUP(_xlfn.MINIFS('FIRE TEX 5090'!$Y$5:$Y$39,'FIRE TEX 5090'!$Y$5:$Y$39,"&gt;="&amp;M1297),'FIRE TEX 5090'!$Y$5:$AD$39,IF(L1297="F-15",2,IF(L1297="F-30",3,IF(L1297="F-60",4,IF(L1297="F-90",5,IF(L1297="F-120",6,IF(L1297="F-150",7,0)))))),0),0)+IF(AND(O1297="FIRE TEX 5120",OR(E1297="IN",E1297="C",E1297="Z",E1297="L"),J1297=3),VLOOKUP(_xlfn.MINIFS('FIRE TEX 5120'!$B$5:$B$40,'FIRE TEX 5120'!$B$5:$B$40,"&gt;="&amp;M1297),'FIRE TEX 5120'!$B$5:$G$40,IF(L1297="F-15",2,IF(L1297="F-30",3,IF(L1297="F-60",4,IF(L1297="F-90",5,IF(L1297="F-120",6,0))))),0),0)+IF(AND(O1297="FIRE TEX 5120",OR(E1297="IN",E1297="C",E1297="Z",E1297="L"),J1297=4),VLOOKUP(_xlfn.MINIFS('FIRE TEX 5120'!$H$4:$H$40,'FIRE TEX 5120'!$H$4:$H$40,"&gt;="&amp;M1297),'FIRE TEX 5120'!$H$4:$M$40,IF(L1297="F-15",2,IF(L1297="F-30",3,IF(L1297="F-60",4,IF(L1297="F-90",5,IF(L1297="F-120",6,0))))),0),0)+IF(AND(O1297="FIRE TEX 5120",E1297="CJ"),VLOOKUP(_xlfn.MINIFS('FIRE TEX 5120'!$O$5:$O$40,'FIRE TEX 5120'!$O$5:$O$40,"&gt;="&amp;M1297),'FIRE TEX 5120'!$O$5:$T$40,IF(L1297="F-15",2,IF(L1297="F-30",3,IF(L1297="F-60",4,IF(L1297="F-90",5,IF(L1297="F-120",6,0))))),0),0)</f>
        <v>0</v>
      </c>
      <c r="Q1297" s="46">
        <f t="shared" si="119"/>
        <v>0</v>
      </c>
      <c r="R1297" s="46">
        <f t="shared" si="120"/>
        <v>0</v>
      </c>
      <c r="S1297" s="46" t="e">
        <f t="shared" si="121"/>
        <v>#VALUE!</v>
      </c>
      <c r="T1297" s="677">
        <f t="shared" si="122"/>
        <v>0</v>
      </c>
      <c r="U1297" s="80">
        <f>(IF(O1297="Stofire",(S1297*#REF!),0))+(IF(O1297="Fire Control",(S1297*$U$2),0))+(IF(O1297="Fire Tex",(S1297*$U$3),0))+(IF(O1297="WB7",(S1297*#REF!),0)+(IF(O1297="FX 2003",(S1297*$U$5),0)))</f>
        <v>0</v>
      </c>
      <c r="V1297" s="651">
        <f t="shared" si="123"/>
        <v>0</v>
      </c>
    </row>
    <row r="1298" spans="4:22" x14ac:dyDescent="0.25">
      <c r="D1298" s="118">
        <f>+CUBICACION!D1297</f>
        <v>0</v>
      </c>
      <c r="E1298" s="118">
        <f>+CUBICACION!F1297</f>
        <v>0</v>
      </c>
      <c r="F1298" s="118">
        <f>+CUBICACION!E1297</f>
        <v>0</v>
      </c>
      <c r="G1298" s="118">
        <v>12</v>
      </c>
      <c r="H1298" s="118">
        <v>2</v>
      </c>
      <c r="I1298" s="820">
        <v>26385</v>
      </c>
      <c r="J1298" s="118">
        <f>+CUBICACION!J1297</f>
        <v>0</v>
      </c>
      <c r="K1298" s="118">
        <v>4077</v>
      </c>
      <c r="L1298" s="118">
        <f>+CUBICACION!L1297</f>
        <v>0</v>
      </c>
      <c r="M1298" s="64">
        <f>+CUBICACION!M1297</f>
        <v>0</v>
      </c>
      <c r="N1298" s="824" t="str">
        <f>+CUBICACION!N1297</f>
        <v/>
      </c>
      <c r="O1298" s="675">
        <f>+CUBICACION!O1297</f>
        <v>0</v>
      </c>
      <c r="P1298" s="15">
        <f>IF(O1298="Fire Control",VLOOKUP(_xlfn.MINIFS('FIRE CONTROL'!$C$4:$C$37,'FIRE CONTROL'!$C$4:$C$37,"&gt;="&amp;M1298),'FIRE CONTROL'!$C$4:$G$37,IF(L1298="F-15",2,IF(L1298="F-30",3,IF(L1298="F-60",4,IF(L1298="F-90",5,0)))),0),0)+IF(AND(O1298="FIRE TEX 5062",OR(E1298="IN",E1298="C",E1298="Z",E1298="L"),J1298=3),VLOOKUP(_xlfn.MINIFS('FIRE TEX 5062'!$B$4:$B$34,'FIRE TEX 5062'!$B$4:$B$34,"&gt;="&amp;M1298),'FIRE TEX 5062'!$B$4:$F$34,IF(L1298="F-15",2,IF(L1298="F-30",3,IF(L1298="F-60",4,IF(L1298="F-90",5,0)))),0),0)+IF(AND(O1298="FIRE TEX 5062",OR(E1298="IN",E1298="C",E1298="Z",E1298="L"),J1298=4),VLOOKUP(_xlfn.MINIFS('FIRE TEX 5062'!$G$4:$G$34,'FIRE TEX 5062'!$G$4:$G$34,"&gt;="&amp;M1298),'FIRE TEX 5062'!$G$4:$K$34,IF(L1298="F-15",2,IF(L1298="F-30",3,IF(L1298="F-60",4,IF(L1298="F-90",5,0)))),0),0)+IF(AND(O1298="FIRE TEX 5062",E1298="CJ",J1298=3),VLOOKUP(_xlfn.MINIFS('FIRE TEX 5062'!$L$4:$L$34,'FIRE TEX 5062'!$L$4:$L$34,"&gt;="&amp;M1298),'FIRE TEX 5062'!$L$4:$P$34,IF(L1298="F-15",2,IF(L1298="F-30",3,IF(L1298="F-60",4,IF(L1298="F-90",5,0)))),0),0)+IF(AND(O1298="FIRE TEX 5062",E1298="CJ",J1298=4),VLOOKUP(_xlfn.MINIFS('FIRE TEX 5062'!$Q$3:$Q$34,'FIRE TEX 5062'!$Q$3:$Q$34,"&gt;="&amp;M1298),'FIRE TEX 5062'!$Q$3:$U$34,IF(L1298="F-15",2,IF(L1298="F-30",3,IF(L1298="F-60",4,IF(L1298="F-90",5,0)))),0),0)+IF(AND(O1298="FIRE TEX 5090",OR(E1298="IN",E1298="C",E1298="Z",E1298="L"),J1298=3),VLOOKUP(_xlfn.MINIFS('FIRE TEX 5090'!$B$5:$B$43,'FIRE TEX 5090'!$B$5:$B$43,"&gt;="&amp;M1298),'FIRE TEX 5090'!$B$5:$H$43,IF(L1298="F-15",2,IF(L1298="F-30",3,IF(L1298="F-60",4,IF(L1298="F-90",5,IF(L1298="F-120",6,IF(L1298="F-150",7,0)))))),0),0)+IF(AND(O1298="FIRE TEX 5090",OR(E1298="IN",E1298="C",E1298="Z",E1298="L"),J1298=4),VLOOKUP(_xlfn.MINIFS('FIRE TEX 5090'!$J$5:$J$43,'FIRE TEX 5090'!$J$5:$J$43,"&gt;="&amp;M1298),'FIRE TEX 5090'!$J$5:$P$43,IF(L1298="F-15",2,IF(L1298="F-30",3,IF(L1298="F-60",4,IF(L1298="F-90",5,IF(L1298="F-120",6,IF(L1298="F-150",7,0)))))),0),0)+IF(AND(O1298="FIRE TEX 5090",E1298="CJ",J1298=3),VLOOKUP(_xlfn.MINIFS('FIRE TEX 5090'!$R$5:$R$30,'FIRE TEX 5090'!$R$5:$R$30,"&gt;="&amp;M1298),'FIRE TEX 5090'!$R$5:$W$30,IF(L1298="F-15",2,IF(L1298="F-30",3,IF(L1298="F-60",4,IF(L1298="F-90",5,IF(L1298="F-120",6,IF(L1298="F-150",7,0)))))),0),0)+IF(AND(O1298="FIRE TEX 5090",E1298="CJ",J1298=4),VLOOKUP(_xlfn.MINIFS('FIRE TEX 5090'!$Y$5:$Y$39,'FIRE TEX 5090'!$Y$5:$Y$39,"&gt;="&amp;M1298),'FIRE TEX 5090'!$Y$5:$AD$39,IF(L1298="F-15",2,IF(L1298="F-30",3,IF(L1298="F-60",4,IF(L1298="F-90",5,IF(L1298="F-120",6,IF(L1298="F-150",7,0)))))),0),0)+IF(AND(O1298="FIRE TEX 5120",OR(E1298="IN",E1298="C",E1298="Z",E1298="L"),J1298=3),VLOOKUP(_xlfn.MINIFS('FIRE TEX 5120'!$B$5:$B$40,'FIRE TEX 5120'!$B$5:$B$40,"&gt;="&amp;M1298),'FIRE TEX 5120'!$B$5:$G$40,IF(L1298="F-15",2,IF(L1298="F-30",3,IF(L1298="F-60",4,IF(L1298="F-90",5,IF(L1298="F-120",6,0))))),0),0)+IF(AND(O1298="FIRE TEX 5120",OR(E1298="IN",E1298="C",E1298="Z",E1298="L"),J1298=4),VLOOKUP(_xlfn.MINIFS('FIRE TEX 5120'!$H$4:$H$40,'FIRE TEX 5120'!$H$4:$H$40,"&gt;="&amp;M1298),'FIRE TEX 5120'!$H$4:$M$40,IF(L1298="F-15",2,IF(L1298="F-30",3,IF(L1298="F-60",4,IF(L1298="F-90",5,IF(L1298="F-120",6,0))))),0),0)+IF(AND(O1298="FIRE TEX 5120",E1298="CJ"),VLOOKUP(_xlfn.MINIFS('FIRE TEX 5120'!$O$5:$O$40,'FIRE TEX 5120'!$O$5:$O$40,"&gt;="&amp;M1298),'FIRE TEX 5120'!$O$5:$T$40,IF(L1298="F-15",2,IF(L1298="F-30",3,IF(L1298="F-60",4,IF(L1298="F-90",5,IF(L1298="F-120",6,0))))),0),0)</f>
        <v>0</v>
      </c>
      <c r="Q1298" s="46">
        <f t="shared" si="119"/>
        <v>0</v>
      </c>
      <c r="R1298" s="46">
        <f t="shared" si="120"/>
        <v>0</v>
      </c>
      <c r="S1298" s="46" t="e">
        <f t="shared" si="121"/>
        <v>#VALUE!</v>
      </c>
      <c r="T1298" s="677">
        <f t="shared" si="122"/>
        <v>0</v>
      </c>
      <c r="U1298" s="80">
        <f>(IF(O1298="Stofire",(S1298*#REF!),0))+(IF(O1298="Fire Control",(S1298*$U$2),0))+(IF(O1298="Fire Tex",(S1298*$U$3),0))+(IF(O1298="WB7",(S1298*#REF!),0)+(IF(O1298="FX 2003",(S1298*$U$5),0)))</f>
        <v>0</v>
      </c>
      <c r="V1298" s="651">
        <f t="shared" si="123"/>
        <v>0</v>
      </c>
    </row>
    <row r="1299" spans="4:22" x14ac:dyDescent="0.25">
      <c r="D1299" s="118">
        <f>+CUBICACION!D1298</f>
        <v>0</v>
      </c>
      <c r="E1299" s="118">
        <f>+CUBICACION!F1298</f>
        <v>0</v>
      </c>
      <c r="F1299" s="118">
        <f>+CUBICACION!E1298</f>
        <v>0</v>
      </c>
      <c r="G1299" s="118">
        <v>12</v>
      </c>
      <c r="H1299" s="118">
        <v>2</v>
      </c>
      <c r="I1299" s="820">
        <v>26385</v>
      </c>
      <c r="J1299" s="118">
        <f>+CUBICACION!J1298</f>
        <v>0</v>
      </c>
      <c r="K1299" s="118">
        <v>4078</v>
      </c>
      <c r="L1299" s="118">
        <f>+CUBICACION!L1298</f>
        <v>0</v>
      </c>
      <c r="M1299" s="64">
        <f>+CUBICACION!M1298</f>
        <v>0</v>
      </c>
      <c r="N1299" s="824" t="str">
        <f>+CUBICACION!N1298</f>
        <v/>
      </c>
      <c r="O1299" s="675">
        <f>+CUBICACION!O1298</f>
        <v>0</v>
      </c>
      <c r="P1299" s="15">
        <f>IF(O1299="Fire Control",VLOOKUP(_xlfn.MINIFS('FIRE CONTROL'!$C$4:$C$37,'FIRE CONTROL'!$C$4:$C$37,"&gt;="&amp;M1299),'FIRE CONTROL'!$C$4:$G$37,IF(L1299="F-15",2,IF(L1299="F-30",3,IF(L1299="F-60",4,IF(L1299="F-90",5,0)))),0),0)+IF(AND(O1299="FIRE TEX 5062",OR(E1299="IN",E1299="C",E1299="Z",E1299="L"),J1299=3),VLOOKUP(_xlfn.MINIFS('FIRE TEX 5062'!$B$4:$B$34,'FIRE TEX 5062'!$B$4:$B$34,"&gt;="&amp;M1299),'FIRE TEX 5062'!$B$4:$F$34,IF(L1299="F-15",2,IF(L1299="F-30",3,IF(L1299="F-60",4,IF(L1299="F-90",5,0)))),0),0)+IF(AND(O1299="FIRE TEX 5062",OR(E1299="IN",E1299="C",E1299="Z",E1299="L"),J1299=4),VLOOKUP(_xlfn.MINIFS('FIRE TEX 5062'!$G$4:$G$34,'FIRE TEX 5062'!$G$4:$G$34,"&gt;="&amp;M1299),'FIRE TEX 5062'!$G$4:$K$34,IF(L1299="F-15",2,IF(L1299="F-30",3,IF(L1299="F-60",4,IF(L1299="F-90",5,0)))),0),0)+IF(AND(O1299="FIRE TEX 5062",E1299="CJ",J1299=3),VLOOKUP(_xlfn.MINIFS('FIRE TEX 5062'!$L$4:$L$34,'FIRE TEX 5062'!$L$4:$L$34,"&gt;="&amp;M1299),'FIRE TEX 5062'!$L$4:$P$34,IF(L1299="F-15",2,IF(L1299="F-30",3,IF(L1299="F-60",4,IF(L1299="F-90",5,0)))),0),0)+IF(AND(O1299="FIRE TEX 5062",E1299="CJ",J1299=4),VLOOKUP(_xlfn.MINIFS('FIRE TEX 5062'!$Q$3:$Q$34,'FIRE TEX 5062'!$Q$3:$Q$34,"&gt;="&amp;M1299),'FIRE TEX 5062'!$Q$3:$U$34,IF(L1299="F-15",2,IF(L1299="F-30",3,IF(L1299="F-60",4,IF(L1299="F-90",5,0)))),0),0)+IF(AND(O1299="FIRE TEX 5090",OR(E1299="IN",E1299="C",E1299="Z",E1299="L"),J1299=3),VLOOKUP(_xlfn.MINIFS('FIRE TEX 5090'!$B$5:$B$43,'FIRE TEX 5090'!$B$5:$B$43,"&gt;="&amp;M1299),'FIRE TEX 5090'!$B$5:$H$43,IF(L1299="F-15",2,IF(L1299="F-30",3,IF(L1299="F-60",4,IF(L1299="F-90",5,IF(L1299="F-120",6,IF(L1299="F-150",7,0)))))),0),0)+IF(AND(O1299="FIRE TEX 5090",OR(E1299="IN",E1299="C",E1299="Z",E1299="L"),J1299=4),VLOOKUP(_xlfn.MINIFS('FIRE TEX 5090'!$J$5:$J$43,'FIRE TEX 5090'!$J$5:$J$43,"&gt;="&amp;M1299),'FIRE TEX 5090'!$J$5:$P$43,IF(L1299="F-15",2,IF(L1299="F-30",3,IF(L1299="F-60",4,IF(L1299="F-90",5,IF(L1299="F-120",6,IF(L1299="F-150",7,0)))))),0),0)+IF(AND(O1299="FIRE TEX 5090",E1299="CJ",J1299=3),VLOOKUP(_xlfn.MINIFS('FIRE TEX 5090'!$R$5:$R$30,'FIRE TEX 5090'!$R$5:$R$30,"&gt;="&amp;M1299),'FIRE TEX 5090'!$R$5:$W$30,IF(L1299="F-15",2,IF(L1299="F-30",3,IF(L1299="F-60",4,IF(L1299="F-90",5,IF(L1299="F-120",6,IF(L1299="F-150",7,0)))))),0),0)+IF(AND(O1299="FIRE TEX 5090",E1299="CJ",J1299=4),VLOOKUP(_xlfn.MINIFS('FIRE TEX 5090'!$Y$5:$Y$39,'FIRE TEX 5090'!$Y$5:$Y$39,"&gt;="&amp;M1299),'FIRE TEX 5090'!$Y$5:$AD$39,IF(L1299="F-15",2,IF(L1299="F-30",3,IF(L1299="F-60",4,IF(L1299="F-90",5,IF(L1299="F-120",6,IF(L1299="F-150",7,0)))))),0),0)+IF(AND(O1299="FIRE TEX 5120",OR(E1299="IN",E1299="C",E1299="Z",E1299="L"),J1299=3),VLOOKUP(_xlfn.MINIFS('FIRE TEX 5120'!$B$5:$B$40,'FIRE TEX 5120'!$B$5:$B$40,"&gt;="&amp;M1299),'FIRE TEX 5120'!$B$5:$G$40,IF(L1299="F-15",2,IF(L1299="F-30",3,IF(L1299="F-60",4,IF(L1299="F-90",5,IF(L1299="F-120",6,0))))),0),0)+IF(AND(O1299="FIRE TEX 5120",OR(E1299="IN",E1299="C",E1299="Z",E1299="L"),J1299=4),VLOOKUP(_xlfn.MINIFS('FIRE TEX 5120'!$H$4:$H$40,'FIRE TEX 5120'!$H$4:$H$40,"&gt;="&amp;M1299),'FIRE TEX 5120'!$H$4:$M$40,IF(L1299="F-15",2,IF(L1299="F-30",3,IF(L1299="F-60",4,IF(L1299="F-90",5,IF(L1299="F-120",6,0))))),0),0)+IF(AND(O1299="FIRE TEX 5120",E1299="CJ"),VLOOKUP(_xlfn.MINIFS('FIRE TEX 5120'!$O$5:$O$40,'FIRE TEX 5120'!$O$5:$O$40,"&gt;="&amp;M1299),'FIRE TEX 5120'!$O$5:$T$40,IF(L1299="F-15",2,IF(L1299="F-30",3,IF(L1299="F-60",4,IF(L1299="F-90",5,IF(L1299="F-120",6,0))))),0),0)</f>
        <v>0</v>
      </c>
      <c r="Q1299" s="46">
        <f t="shared" si="119"/>
        <v>0</v>
      </c>
      <c r="R1299" s="46">
        <f t="shared" si="120"/>
        <v>0</v>
      </c>
      <c r="S1299" s="46" t="e">
        <f t="shared" si="121"/>
        <v>#VALUE!</v>
      </c>
      <c r="T1299" s="677">
        <f t="shared" si="122"/>
        <v>0</v>
      </c>
      <c r="U1299" s="80">
        <f>(IF(O1299="Stofire",(S1299*#REF!),0))+(IF(O1299="Fire Control",(S1299*$U$2),0))+(IF(O1299="Fire Tex",(S1299*$U$3),0))+(IF(O1299="WB7",(S1299*#REF!),0)+(IF(O1299="FX 2003",(S1299*$U$5),0)))</f>
        <v>0</v>
      </c>
      <c r="V1299" s="651">
        <f t="shared" si="123"/>
        <v>0</v>
      </c>
    </row>
    <row r="1300" spans="4:22" x14ac:dyDescent="0.25">
      <c r="D1300" s="118">
        <f>+CUBICACION!D1299</f>
        <v>0</v>
      </c>
      <c r="E1300" s="118">
        <f>+CUBICACION!F1299</f>
        <v>0</v>
      </c>
      <c r="F1300" s="118">
        <f>+CUBICACION!E1299</f>
        <v>0</v>
      </c>
      <c r="G1300" s="118">
        <v>12</v>
      </c>
      <c r="H1300" s="118">
        <v>2</v>
      </c>
      <c r="I1300" s="820">
        <v>26385</v>
      </c>
      <c r="J1300" s="118">
        <f>+CUBICACION!J1299</f>
        <v>0</v>
      </c>
      <c r="K1300" s="118">
        <v>4079</v>
      </c>
      <c r="L1300" s="118">
        <f>+CUBICACION!L1299</f>
        <v>0</v>
      </c>
      <c r="M1300" s="64">
        <f>+CUBICACION!M1299</f>
        <v>0</v>
      </c>
      <c r="N1300" s="824" t="str">
        <f>+CUBICACION!N1299</f>
        <v/>
      </c>
      <c r="O1300" s="675">
        <f>+CUBICACION!O1299</f>
        <v>0</v>
      </c>
      <c r="P1300" s="15">
        <f>IF(O1300="Fire Control",VLOOKUP(_xlfn.MINIFS('FIRE CONTROL'!$C$4:$C$37,'FIRE CONTROL'!$C$4:$C$37,"&gt;="&amp;M1300),'FIRE CONTROL'!$C$4:$G$37,IF(L1300="F-15",2,IF(L1300="F-30",3,IF(L1300="F-60",4,IF(L1300="F-90",5,0)))),0),0)+IF(AND(O1300="FIRE TEX 5062",OR(E1300="IN",E1300="C",E1300="Z",E1300="L"),J1300=3),VLOOKUP(_xlfn.MINIFS('FIRE TEX 5062'!$B$4:$B$34,'FIRE TEX 5062'!$B$4:$B$34,"&gt;="&amp;M1300),'FIRE TEX 5062'!$B$4:$F$34,IF(L1300="F-15",2,IF(L1300="F-30",3,IF(L1300="F-60",4,IF(L1300="F-90",5,0)))),0),0)+IF(AND(O1300="FIRE TEX 5062",OR(E1300="IN",E1300="C",E1300="Z",E1300="L"),J1300=4),VLOOKUP(_xlfn.MINIFS('FIRE TEX 5062'!$G$4:$G$34,'FIRE TEX 5062'!$G$4:$G$34,"&gt;="&amp;M1300),'FIRE TEX 5062'!$G$4:$K$34,IF(L1300="F-15",2,IF(L1300="F-30",3,IF(L1300="F-60",4,IF(L1300="F-90",5,0)))),0),0)+IF(AND(O1300="FIRE TEX 5062",E1300="CJ",J1300=3),VLOOKUP(_xlfn.MINIFS('FIRE TEX 5062'!$L$4:$L$34,'FIRE TEX 5062'!$L$4:$L$34,"&gt;="&amp;M1300),'FIRE TEX 5062'!$L$4:$P$34,IF(L1300="F-15",2,IF(L1300="F-30",3,IF(L1300="F-60",4,IF(L1300="F-90",5,0)))),0),0)+IF(AND(O1300="FIRE TEX 5062",E1300="CJ",J1300=4),VLOOKUP(_xlfn.MINIFS('FIRE TEX 5062'!$Q$3:$Q$34,'FIRE TEX 5062'!$Q$3:$Q$34,"&gt;="&amp;M1300),'FIRE TEX 5062'!$Q$3:$U$34,IF(L1300="F-15",2,IF(L1300="F-30",3,IF(L1300="F-60",4,IF(L1300="F-90",5,0)))),0),0)+IF(AND(O1300="FIRE TEX 5090",OR(E1300="IN",E1300="C",E1300="Z",E1300="L"),J1300=3),VLOOKUP(_xlfn.MINIFS('FIRE TEX 5090'!$B$5:$B$43,'FIRE TEX 5090'!$B$5:$B$43,"&gt;="&amp;M1300),'FIRE TEX 5090'!$B$5:$H$43,IF(L1300="F-15",2,IF(L1300="F-30",3,IF(L1300="F-60",4,IF(L1300="F-90",5,IF(L1300="F-120",6,IF(L1300="F-150",7,0)))))),0),0)+IF(AND(O1300="FIRE TEX 5090",OR(E1300="IN",E1300="C",E1300="Z",E1300="L"),J1300=4),VLOOKUP(_xlfn.MINIFS('FIRE TEX 5090'!$J$5:$J$43,'FIRE TEX 5090'!$J$5:$J$43,"&gt;="&amp;M1300),'FIRE TEX 5090'!$J$5:$P$43,IF(L1300="F-15",2,IF(L1300="F-30",3,IF(L1300="F-60",4,IF(L1300="F-90",5,IF(L1300="F-120",6,IF(L1300="F-150",7,0)))))),0),0)+IF(AND(O1300="FIRE TEX 5090",E1300="CJ",J1300=3),VLOOKUP(_xlfn.MINIFS('FIRE TEX 5090'!$R$5:$R$30,'FIRE TEX 5090'!$R$5:$R$30,"&gt;="&amp;M1300),'FIRE TEX 5090'!$R$5:$W$30,IF(L1300="F-15",2,IF(L1300="F-30",3,IF(L1300="F-60",4,IF(L1300="F-90",5,IF(L1300="F-120",6,IF(L1300="F-150",7,0)))))),0),0)+IF(AND(O1300="FIRE TEX 5090",E1300="CJ",J1300=4),VLOOKUP(_xlfn.MINIFS('FIRE TEX 5090'!$Y$5:$Y$39,'FIRE TEX 5090'!$Y$5:$Y$39,"&gt;="&amp;M1300),'FIRE TEX 5090'!$Y$5:$AD$39,IF(L1300="F-15",2,IF(L1300="F-30",3,IF(L1300="F-60",4,IF(L1300="F-90",5,IF(L1300="F-120",6,IF(L1300="F-150",7,0)))))),0),0)+IF(AND(O1300="FIRE TEX 5120",OR(E1300="IN",E1300="C",E1300="Z",E1300="L"),J1300=3),VLOOKUP(_xlfn.MINIFS('FIRE TEX 5120'!$B$5:$B$40,'FIRE TEX 5120'!$B$5:$B$40,"&gt;="&amp;M1300),'FIRE TEX 5120'!$B$5:$G$40,IF(L1300="F-15",2,IF(L1300="F-30",3,IF(L1300="F-60",4,IF(L1300="F-90",5,IF(L1300="F-120",6,0))))),0),0)+IF(AND(O1300="FIRE TEX 5120",OR(E1300="IN",E1300="C",E1300="Z",E1300="L"),J1300=4),VLOOKUP(_xlfn.MINIFS('FIRE TEX 5120'!$H$4:$H$40,'FIRE TEX 5120'!$H$4:$H$40,"&gt;="&amp;M1300),'FIRE TEX 5120'!$H$4:$M$40,IF(L1300="F-15",2,IF(L1300="F-30",3,IF(L1300="F-60",4,IF(L1300="F-90",5,IF(L1300="F-120",6,0))))),0),0)+IF(AND(O1300="FIRE TEX 5120",E1300="CJ"),VLOOKUP(_xlfn.MINIFS('FIRE TEX 5120'!$O$5:$O$40,'FIRE TEX 5120'!$O$5:$O$40,"&gt;="&amp;M1300),'FIRE TEX 5120'!$O$5:$T$40,IF(L1300="F-15",2,IF(L1300="F-30",3,IF(L1300="F-60",4,IF(L1300="F-90",5,IF(L1300="F-120",6,0))))),0),0)</f>
        <v>0</v>
      </c>
      <c r="Q1300" s="46">
        <f t="shared" si="119"/>
        <v>0</v>
      </c>
      <c r="R1300" s="46">
        <f t="shared" si="120"/>
        <v>0</v>
      </c>
      <c r="S1300" s="46" t="e">
        <f t="shared" si="121"/>
        <v>#VALUE!</v>
      </c>
      <c r="T1300" s="677">
        <f t="shared" si="122"/>
        <v>0</v>
      </c>
      <c r="U1300" s="80">
        <f>(IF(O1300="Stofire",(S1300*#REF!),0))+(IF(O1300="Fire Control",(S1300*$U$2),0))+(IF(O1300="Fire Tex",(S1300*$U$3),0))+(IF(O1300="WB7",(S1300*#REF!),0)+(IF(O1300="FX 2003",(S1300*$U$5),0)))</f>
        <v>0</v>
      </c>
      <c r="V1300" s="651">
        <f t="shared" si="123"/>
        <v>0</v>
      </c>
    </row>
    <row r="1301" spans="4:22" x14ac:dyDescent="0.25">
      <c r="D1301" s="118">
        <f>+CUBICACION!D1300</f>
        <v>0</v>
      </c>
      <c r="E1301" s="118">
        <f>+CUBICACION!F1300</f>
        <v>0</v>
      </c>
      <c r="F1301" s="118">
        <f>+CUBICACION!E1300</f>
        <v>0</v>
      </c>
      <c r="G1301" s="118">
        <v>12</v>
      </c>
      <c r="H1301" s="118">
        <v>2</v>
      </c>
      <c r="I1301" s="820">
        <v>26385</v>
      </c>
      <c r="J1301" s="118">
        <f>+CUBICACION!J1300</f>
        <v>0</v>
      </c>
      <c r="K1301" s="118">
        <v>4080</v>
      </c>
      <c r="L1301" s="118">
        <f>+CUBICACION!L1300</f>
        <v>0</v>
      </c>
      <c r="M1301" s="64">
        <f>+CUBICACION!M1300</f>
        <v>0</v>
      </c>
      <c r="N1301" s="824" t="str">
        <f>+CUBICACION!N1300</f>
        <v/>
      </c>
      <c r="O1301" s="675">
        <f>+CUBICACION!O1300</f>
        <v>0</v>
      </c>
      <c r="P1301" s="15">
        <f>IF(O1301="Fire Control",VLOOKUP(_xlfn.MINIFS('FIRE CONTROL'!$C$4:$C$37,'FIRE CONTROL'!$C$4:$C$37,"&gt;="&amp;M1301),'FIRE CONTROL'!$C$4:$G$37,IF(L1301="F-15",2,IF(L1301="F-30",3,IF(L1301="F-60",4,IF(L1301="F-90",5,0)))),0),0)+IF(AND(O1301="FIRE TEX 5062",OR(E1301="IN",E1301="C",E1301="Z",E1301="L"),J1301=3),VLOOKUP(_xlfn.MINIFS('FIRE TEX 5062'!$B$4:$B$34,'FIRE TEX 5062'!$B$4:$B$34,"&gt;="&amp;M1301),'FIRE TEX 5062'!$B$4:$F$34,IF(L1301="F-15",2,IF(L1301="F-30",3,IF(L1301="F-60",4,IF(L1301="F-90",5,0)))),0),0)+IF(AND(O1301="FIRE TEX 5062",OR(E1301="IN",E1301="C",E1301="Z",E1301="L"),J1301=4),VLOOKUP(_xlfn.MINIFS('FIRE TEX 5062'!$G$4:$G$34,'FIRE TEX 5062'!$G$4:$G$34,"&gt;="&amp;M1301),'FIRE TEX 5062'!$G$4:$K$34,IF(L1301="F-15",2,IF(L1301="F-30",3,IF(L1301="F-60",4,IF(L1301="F-90",5,0)))),0),0)+IF(AND(O1301="FIRE TEX 5062",E1301="CJ",J1301=3),VLOOKUP(_xlfn.MINIFS('FIRE TEX 5062'!$L$4:$L$34,'FIRE TEX 5062'!$L$4:$L$34,"&gt;="&amp;M1301),'FIRE TEX 5062'!$L$4:$P$34,IF(L1301="F-15",2,IF(L1301="F-30",3,IF(L1301="F-60",4,IF(L1301="F-90",5,0)))),0),0)+IF(AND(O1301="FIRE TEX 5062",E1301="CJ",J1301=4),VLOOKUP(_xlfn.MINIFS('FIRE TEX 5062'!$Q$3:$Q$34,'FIRE TEX 5062'!$Q$3:$Q$34,"&gt;="&amp;M1301),'FIRE TEX 5062'!$Q$3:$U$34,IF(L1301="F-15",2,IF(L1301="F-30",3,IF(L1301="F-60",4,IF(L1301="F-90",5,0)))),0),0)+IF(AND(O1301="FIRE TEX 5090",OR(E1301="IN",E1301="C",E1301="Z",E1301="L"),J1301=3),VLOOKUP(_xlfn.MINIFS('FIRE TEX 5090'!$B$5:$B$43,'FIRE TEX 5090'!$B$5:$B$43,"&gt;="&amp;M1301),'FIRE TEX 5090'!$B$5:$H$43,IF(L1301="F-15",2,IF(L1301="F-30",3,IF(L1301="F-60",4,IF(L1301="F-90",5,IF(L1301="F-120",6,IF(L1301="F-150",7,0)))))),0),0)+IF(AND(O1301="FIRE TEX 5090",OR(E1301="IN",E1301="C",E1301="Z",E1301="L"),J1301=4),VLOOKUP(_xlfn.MINIFS('FIRE TEX 5090'!$J$5:$J$43,'FIRE TEX 5090'!$J$5:$J$43,"&gt;="&amp;M1301),'FIRE TEX 5090'!$J$5:$P$43,IF(L1301="F-15",2,IF(L1301="F-30",3,IF(L1301="F-60",4,IF(L1301="F-90",5,IF(L1301="F-120",6,IF(L1301="F-150",7,0)))))),0),0)+IF(AND(O1301="FIRE TEX 5090",E1301="CJ",J1301=3),VLOOKUP(_xlfn.MINIFS('FIRE TEX 5090'!$R$5:$R$30,'FIRE TEX 5090'!$R$5:$R$30,"&gt;="&amp;M1301),'FIRE TEX 5090'!$R$5:$W$30,IF(L1301="F-15",2,IF(L1301="F-30",3,IF(L1301="F-60",4,IF(L1301="F-90",5,IF(L1301="F-120",6,IF(L1301="F-150",7,0)))))),0),0)+IF(AND(O1301="FIRE TEX 5090",E1301="CJ",J1301=4),VLOOKUP(_xlfn.MINIFS('FIRE TEX 5090'!$Y$5:$Y$39,'FIRE TEX 5090'!$Y$5:$Y$39,"&gt;="&amp;M1301),'FIRE TEX 5090'!$Y$5:$AD$39,IF(L1301="F-15",2,IF(L1301="F-30",3,IF(L1301="F-60",4,IF(L1301="F-90",5,IF(L1301="F-120",6,IF(L1301="F-150",7,0)))))),0),0)+IF(AND(O1301="FIRE TEX 5120",OR(E1301="IN",E1301="C",E1301="Z",E1301="L"),J1301=3),VLOOKUP(_xlfn.MINIFS('FIRE TEX 5120'!$B$5:$B$40,'FIRE TEX 5120'!$B$5:$B$40,"&gt;="&amp;M1301),'FIRE TEX 5120'!$B$5:$G$40,IF(L1301="F-15",2,IF(L1301="F-30",3,IF(L1301="F-60",4,IF(L1301="F-90",5,IF(L1301="F-120",6,0))))),0),0)+IF(AND(O1301="FIRE TEX 5120",OR(E1301="IN",E1301="C",E1301="Z",E1301="L"),J1301=4),VLOOKUP(_xlfn.MINIFS('FIRE TEX 5120'!$H$4:$H$40,'FIRE TEX 5120'!$H$4:$H$40,"&gt;="&amp;M1301),'FIRE TEX 5120'!$H$4:$M$40,IF(L1301="F-15",2,IF(L1301="F-30",3,IF(L1301="F-60",4,IF(L1301="F-90",5,IF(L1301="F-120",6,0))))),0),0)+IF(AND(O1301="FIRE TEX 5120",E1301="CJ"),VLOOKUP(_xlfn.MINIFS('FIRE TEX 5120'!$O$5:$O$40,'FIRE TEX 5120'!$O$5:$O$40,"&gt;="&amp;M1301),'FIRE TEX 5120'!$O$5:$T$40,IF(L1301="F-15",2,IF(L1301="F-30",3,IF(L1301="F-60",4,IF(L1301="F-90",5,IF(L1301="F-120",6,0))))),0),0)</f>
        <v>0</v>
      </c>
      <c r="Q1301" s="46">
        <f t="shared" si="119"/>
        <v>0</v>
      </c>
      <c r="R1301" s="46">
        <f t="shared" si="120"/>
        <v>0</v>
      </c>
      <c r="S1301" s="46" t="e">
        <f t="shared" si="121"/>
        <v>#VALUE!</v>
      </c>
      <c r="T1301" s="677">
        <f t="shared" si="122"/>
        <v>0</v>
      </c>
      <c r="U1301" s="80">
        <f>(IF(O1301="Stofire",(S1301*#REF!),0))+(IF(O1301="Fire Control",(S1301*$U$2),0))+(IF(O1301="Fire Tex",(S1301*$U$3),0))+(IF(O1301="WB7",(S1301*#REF!),0)+(IF(O1301="FX 2003",(S1301*$U$5),0)))</f>
        <v>0</v>
      </c>
      <c r="V1301" s="651">
        <f t="shared" si="123"/>
        <v>0</v>
      </c>
    </row>
    <row r="1302" spans="4:22" x14ac:dyDescent="0.25">
      <c r="D1302" s="118">
        <f>+CUBICACION!D1301</f>
        <v>0</v>
      </c>
      <c r="E1302" s="118">
        <f>+CUBICACION!F1301</f>
        <v>0</v>
      </c>
      <c r="F1302" s="118">
        <f>+CUBICACION!E1301</f>
        <v>0</v>
      </c>
      <c r="G1302" s="118">
        <v>12</v>
      </c>
      <c r="H1302" s="118">
        <v>2</v>
      </c>
      <c r="I1302" s="820">
        <v>26385</v>
      </c>
      <c r="J1302" s="118">
        <f>+CUBICACION!J1301</f>
        <v>0</v>
      </c>
      <c r="K1302" s="118">
        <v>4081</v>
      </c>
      <c r="L1302" s="118">
        <f>+CUBICACION!L1301</f>
        <v>0</v>
      </c>
      <c r="M1302" s="64">
        <f>+CUBICACION!M1301</f>
        <v>0</v>
      </c>
      <c r="N1302" s="824" t="str">
        <f>+CUBICACION!N1301</f>
        <v/>
      </c>
      <c r="O1302" s="675">
        <f>+CUBICACION!O1301</f>
        <v>0</v>
      </c>
      <c r="P1302" s="15">
        <f>IF(O1302="Fire Control",VLOOKUP(_xlfn.MINIFS('FIRE CONTROL'!$C$4:$C$37,'FIRE CONTROL'!$C$4:$C$37,"&gt;="&amp;M1302),'FIRE CONTROL'!$C$4:$G$37,IF(L1302="F-15",2,IF(L1302="F-30",3,IF(L1302="F-60",4,IF(L1302="F-90",5,0)))),0),0)+IF(AND(O1302="FIRE TEX 5062",OR(E1302="IN",E1302="C",E1302="Z",E1302="L"),J1302=3),VLOOKUP(_xlfn.MINIFS('FIRE TEX 5062'!$B$4:$B$34,'FIRE TEX 5062'!$B$4:$B$34,"&gt;="&amp;M1302),'FIRE TEX 5062'!$B$4:$F$34,IF(L1302="F-15",2,IF(L1302="F-30",3,IF(L1302="F-60",4,IF(L1302="F-90",5,0)))),0),0)+IF(AND(O1302="FIRE TEX 5062",OR(E1302="IN",E1302="C",E1302="Z",E1302="L"),J1302=4),VLOOKUP(_xlfn.MINIFS('FIRE TEX 5062'!$G$4:$G$34,'FIRE TEX 5062'!$G$4:$G$34,"&gt;="&amp;M1302),'FIRE TEX 5062'!$G$4:$K$34,IF(L1302="F-15",2,IF(L1302="F-30",3,IF(L1302="F-60",4,IF(L1302="F-90",5,0)))),0),0)+IF(AND(O1302="FIRE TEX 5062",E1302="CJ",J1302=3),VLOOKUP(_xlfn.MINIFS('FIRE TEX 5062'!$L$4:$L$34,'FIRE TEX 5062'!$L$4:$L$34,"&gt;="&amp;M1302),'FIRE TEX 5062'!$L$4:$P$34,IF(L1302="F-15",2,IF(L1302="F-30",3,IF(L1302="F-60",4,IF(L1302="F-90",5,0)))),0),0)+IF(AND(O1302="FIRE TEX 5062",E1302="CJ",J1302=4),VLOOKUP(_xlfn.MINIFS('FIRE TEX 5062'!$Q$3:$Q$34,'FIRE TEX 5062'!$Q$3:$Q$34,"&gt;="&amp;M1302),'FIRE TEX 5062'!$Q$3:$U$34,IF(L1302="F-15",2,IF(L1302="F-30",3,IF(L1302="F-60",4,IF(L1302="F-90",5,0)))),0),0)+IF(AND(O1302="FIRE TEX 5090",OR(E1302="IN",E1302="C",E1302="Z",E1302="L"),J1302=3),VLOOKUP(_xlfn.MINIFS('FIRE TEX 5090'!$B$5:$B$43,'FIRE TEX 5090'!$B$5:$B$43,"&gt;="&amp;M1302),'FIRE TEX 5090'!$B$5:$H$43,IF(L1302="F-15",2,IF(L1302="F-30",3,IF(L1302="F-60",4,IF(L1302="F-90",5,IF(L1302="F-120",6,IF(L1302="F-150",7,0)))))),0),0)+IF(AND(O1302="FIRE TEX 5090",OR(E1302="IN",E1302="C",E1302="Z",E1302="L"),J1302=4),VLOOKUP(_xlfn.MINIFS('FIRE TEX 5090'!$J$5:$J$43,'FIRE TEX 5090'!$J$5:$J$43,"&gt;="&amp;M1302),'FIRE TEX 5090'!$J$5:$P$43,IF(L1302="F-15",2,IF(L1302="F-30",3,IF(L1302="F-60",4,IF(L1302="F-90",5,IF(L1302="F-120",6,IF(L1302="F-150",7,0)))))),0),0)+IF(AND(O1302="FIRE TEX 5090",E1302="CJ",J1302=3),VLOOKUP(_xlfn.MINIFS('FIRE TEX 5090'!$R$5:$R$30,'FIRE TEX 5090'!$R$5:$R$30,"&gt;="&amp;M1302),'FIRE TEX 5090'!$R$5:$W$30,IF(L1302="F-15",2,IF(L1302="F-30",3,IF(L1302="F-60",4,IF(L1302="F-90",5,IF(L1302="F-120",6,IF(L1302="F-150",7,0)))))),0),0)+IF(AND(O1302="FIRE TEX 5090",E1302="CJ",J1302=4),VLOOKUP(_xlfn.MINIFS('FIRE TEX 5090'!$Y$5:$Y$39,'FIRE TEX 5090'!$Y$5:$Y$39,"&gt;="&amp;M1302),'FIRE TEX 5090'!$Y$5:$AD$39,IF(L1302="F-15",2,IF(L1302="F-30",3,IF(L1302="F-60",4,IF(L1302="F-90",5,IF(L1302="F-120",6,IF(L1302="F-150",7,0)))))),0),0)+IF(AND(O1302="FIRE TEX 5120",OR(E1302="IN",E1302="C",E1302="Z",E1302="L"),J1302=3),VLOOKUP(_xlfn.MINIFS('FIRE TEX 5120'!$B$5:$B$40,'FIRE TEX 5120'!$B$5:$B$40,"&gt;="&amp;M1302),'FIRE TEX 5120'!$B$5:$G$40,IF(L1302="F-15",2,IF(L1302="F-30",3,IF(L1302="F-60",4,IF(L1302="F-90",5,IF(L1302="F-120",6,0))))),0),0)+IF(AND(O1302="FIRE TEX 5120",OR(E1302="IN",E1302="C",E1302="Z",E1302="L"),J1302=4),VLOOKUP(_xlfn.MINIFS('FIRE TEX 5120'!$H$4:$H$40,'FIRE TEX 5120'!$H$4:$H$40,"&gt;="&amp;M1302),'FIRE TEX 5120'!$H$4:$M$40,IF(L1302="F-15",2,IF(L1302="F-30",3,IF(L1302="F-60",4,IF(L1302="F-90",5,IF(L1302="F-120",6,0))))),0),0)+IF(AND(O1302="FIRE TEX 5120",E1302="CJ"),VLOOKUP(_xlfn.MINIFS('FIRE TEX 5120'!$O$5:$O$40,'FIRE TEX 5120'!$O$5:$O$40,"&gt;="&amp;M1302),'FIRE TEX 5120'!$O$5:$T$40,IF(L1302="F-15",2,IF(L1302="F-30",3,IF(L1302="F-60",4,IF(L1302="F-90",5,IF(L1302="F-120",6,0))))),0),0)</f>
        <v>0</v>
      </c>
      <c r="Q1302" s="46">
        <f t="shared" si="119"/>
        <v>0</v>
      </c>
      <c r="R1302" s="46">
        <f t="shared" si="120"/>
        <v>0</v>
      </c>
      <c r="S1302" s="46" t="e">
        <f t="shared" si="121"/>
        <v>#VALUE!</v>
      </c>
      <c r="T1302" s="677">
        <f t="shared" si="122"/>
        <v>0</v>
      </c>
      <c r="U1302" s="80">
        <f>(IF(O1302="Stofire",(S1302*#REF!),0))+(IF(O1302="Fire Control",(S1302*$U$2),0))+(IF(O1302="Fire Tex",(S1302*$U$3),0))+(IF(O1302="WB7",(S1302*#REF!),0)+(IF(O1302="FX 2003",(S1302*$U$5),0)))</f>
        <v>0</v>
      </c>
      <c r="V1302" s="651">
        <f t="shared" si="123"/>
        <v>0</v>
      </c>
    </row>
    <row r="1303" spans="4:22" x14ac:dyDescent="0.25">
      <c r="D1303" s="118">
        <f>+CUBICACION!D1302</f>
        <v>0</v>
      </c>
      <c r="E1303" s="118">
        <f>+CUBICACION!F1302</f>
        <v>0</v>
      </c>
      <c r="F1303" s="118">
        <f>+CUBICACION!E1302</f>
        <v>0</v>
      </c>
      <c r="G1303" s="118">
        <v>12</v>
      </c>
      <c r="H1303" s="118">
        <v>2</v>
      </c>
      <c r="I1303" s="820">
        <v>26385</v>
      </c>
      <c r="J1303" s="118">
        <f>+CUBICACION!J1302</f>
        <v>0</v>
      </c>
      <c r="K1303" s="118">
        <v>4082</v>
      </c>
      <c r="L1303" s="118">
        <f>+CUBICACION!L1302</f>
        <v>0</v>
      </c>
      <c r="M1303" s="64">
        <f>+CUBICACION!M1302</f>
        <v>0</v>
      </c>
      <c r="N1303" s="824" t="str">
        <f>+CUBICACION!N1302</f>
        <v/>
      </c>
      <c r="O1303" s="675">
        <f>+CUBICACION!O1302</f>
        <v>0</v>
      </c>
      <c r="P1303" s="15">
        <f>IF(O1303="Fire Control",VLOOKUP(_xlfn.MINIFS('FIRE CONTROL'!$C$4:$C$37,'FIRE CONTROL'!$C$4:$C$37,"&gt;="&amp;M1303),'FIRE CONTROL'!$C$4:$G$37,IF(L1303="F-15",2,IF(L1303="F-30",3,IF(L1303="F-60",4,IF(L1303="F-90",5,0)))),0),0)+IF(AND(O1303="FIRE TEX 5062",OR(E1303="IN",E1303="C",E1303="Z",E1303="L"),J1303=3),VLOOKUP(_xlfn.MINIFS('FIRE TEX 5062'!$B$4:$B$34,'FIRE TEX 5062'!$B$4:$B$34,"&gt;="&amp;M1303),'FIRE TEX 5062'!$B$4:$F$34,IF(L1303="F-15",2,IF(L1303="F-30",3,IF(L1303="F-60",4,IF(L1303="F-90",5,0)))),0),0)+IF(AND(O1303="FIRE TEX 5062",OR(E1303="IN",E1303="C",E1303="Z",E1303="L"),J1303=4),VLOOKUP(_xlfn.MINIFS('FIRE TEX 5062'!$G$4:$G$34,'FIRE TEX 5062'!$G$4:$G$34,"&gt;="&amp;M1303),'FIRE TEX 5062'!$G$4:$K$34,IF(L1303="F-15",2,IF(L1303="F-30",3,IF(L1303="F-60",4,IF(L1303="F-90",5,0)))),0),0)+IF(AND(O1303="FIRE TEX 5062",E1303="CJ",J1303=3),VLOOKUP(_xlfn.MINIFS('FIRE TEX 5062'!$L$4:$L$34,'FIRE TEX 5062'!$L$4:$L$34,"&gt;="&amp;M1303),'FIRE TEX 5062'!$L$4:$P$34,IF(L1303="F-15",2,IF(L1303="F-30",3,IF(L1303="F-60",4,IF(L1303="F-90",5,0)))),0),0)+IF(AND(O1303="FIRE TEX 5062",E1303="CJ",J1303=4),VLOOKUP(_xlfn.MINIFS('FIRE TEX 5062'!$Q$3:$Q$34,'FIRE TEX 5062'!$Q$3:$Q$34,"&gt;="&amp;M1303),'FIRE TEX 5062'!$Q$3:$U$34,IF(L1303="F-15",2,IF(L1303="F-30",3,IF(L1303="F-60",4,IF(L1303="F-90",5,0)))),0),0)+IF(AND(O1303="FIRE TEX 5090",OR(E1303="IN",E1303="C",E1303="Z",E1303="L"),J1303=3),VLOOKUP(_xlfn.MINIFS('FIRE TEX 5090'!$B$5:$B$43,'FIRE TEX 5090'!$B$5:$B$43,"&gt;="&amp;M1303),'FIRE TEX 5090'!$B$5:$H$43,IF(L1303="F-15",2,IF(L1303="F-30",3,IF(L1303="F-60",4,IF(L1303="F-90",5,IF(L1303="F-120",6,IF(L1303="F-150",7,0)))))),0),0)+IF(AND(O1303="FIRE TEX 5090",OR(E1303="IN",E1303="C",E1303="Z",E1303="L"),J1303=4),VLOOKUP(_xlfn.MINIFS('FIRE TEX 5090'!$J$5:$J$43,'FIRE TEX 5090'!$J$5:$J$43,"&gt;="&amp;M1303),'FIRE TEX 5090'!$J$5:$P$43,IF(L1303="F-15",2,IF(L1303="F-30",3,IF(L1303="F-60",4,IF(L1303="F-90",5,IF(L1303="F-120",6,IF(L1303="F-150",7,0)))))),0),0)+IF(AND(O1303="FIRE TEX 5090",E1303="CJ",J1303=3),VLOOKUP(_xlfn.MINIFS('FIRE TEX 5090'!$R$5:$R$30,'FIRE TEX 5090'!$R$5:$R$30,"&gt;="&amp;M1303),'FIRE TEX 5090'!$R$5:$W$30,IF(L1303="F-15",2,IF(L1303="F-30",3,IF(L1303="F-60",4,IF(L1303="F-90",5,IF(L1303="F-120",6,IF(L1303="F-150",7,0)))))),0),0)+IF(AND(O1303="FIRE TEX 5090",E1303="CJ",J1303=4),VLOOKUP(_xlfn.MINIFS('FIRE TEX 5090'!$Y$5:$Y$39,'FIRE TEX 5090'!$Y$5:$Y$39,"&gt;="&amp;M1303),'FIRE TEX 5090'!$Y$5:$AD$39,IF(L1303="F-15",2,IF(L1303="F-30",3,IF(L1303="F-60",4,IF(L1303="F-90",5,IF(L1303="F-120",6,IF(L1303="F-150",7,0)))))),0),0)+IF(AND(O1303="FIRE TEX 5120",OR(E1303="IN",E1303="C",E1303="Z",E1303="L"),J1303=3),VLOOKUP(_xlfn.MINIFS('FIRE TEX 5120'!$B$5:$B$40,'FIRE TEX 5120'!$B$5:$B$40,"&gt;="&amp;M1303),'FIRE TEX 5120'!$B$5:$G$40,IF(L1303="F-15",2,IF(L1303="F-30",3,IF(L1303="F-60",4,IF(L1303="F-90",5,IF(L1303="F-120",6,0))))),0),0)+IF(AND(O1303="FIRE TEX 5120",OR(E1303="IN",E1303="C",E1303="Z",E1303="L"),J1303=4),VLOOKUP(_xlfn.MINIFS('FIRE TEX 5120'!$H$4:$H$40,'FIRE TEX 5120'!$H$4:$H$40,"&gt;="&amp;M1303),'FIRE TEX 5120'!$H$4:$M$40,IF(L1303="F-15",2,IF(L1303="F-30",3,IF(L1303="F-60",4,IF(L1303="F-90",5,IF(L1303="F-120",6,0))))),0),0)+IF(AND(O1303="FIRE TEX 5120",E1303="CJ"),VLOOKUP(_xlfn.MINIFS('FIRE TEX 5120'!$O$5:$O$40,'FIRE TEX 5120'!$O$5:$O$40,"&gt;="&amp;M1303),'FIRE TEX 5120'!$O$5:$T$40,IF(L1303="F-15",2,IF(L1303="F-30",3,IF(L1303="F-60",4,IF(L1303="F-90",5,IF(L1303="F-120",6,0))))),0),0)</f>
        <v>0</v>
      </c>
      <c r="Q1303" s="46">
        <f t="shared" si="119"/>
        <v>0</v>
      </c>
      <c r="R1303" s="46">
        <f t="shared" si="120"/>
        <v>0</v>
      </c>
      <c r="S1303" s="46" t="e">
        <f t="shared" si="121"/>
        <v>#VALUE!</v>
      </c>
      <c r="T1303" s="677">
        <f t="shared" si="122"/>
        <v>0</v>
      </c>
      <c r="U1303" s="80">
        <f>(IF(O1303="Stofire",(S1303*#REF!),0))+(IF(O1303="Fire Control",(S1303*$U$2),0))+(IF(O1303="Fire Tex",(S1303*$U$3),0))+(IF(O1303="WB7",(S1303*#REF!),0)+(IF(O1303="FX 2003",(S1303*$U$5),0)))</f>
        <v>0</v>
      </c>
      <c r="V1303" s="651">
        <f t="shared" si="123"/>
        <v>0</v>
      </c>
    </row>
    <row r="1304" spans="4:22" x14ac:dyDescent="0.25">
      <c r="D1304" s="118">
        <f>+CUBICACION!D1303</f>
        <v>0</v>
      </c>
      <c r="E1304" s="118">
        <f>+CUBICACION!F1303</f>
        <v>0</v>
      </c>
      <c r="F1304" s="118">
        <f>+CUBICACION!E1303</f>
        <v>0</v>
      </c>
      <c r="G1304" s="118">
        <v>12</v>
      </c>
      <c r="H1304" s="118">
        <v>2</v>
      </c>
      <c r="I1304" s="820">
        <v>26385</v>
      </c>
      <c r="J1304" s="118">
        <f>+CUBICACION!J1303</f>
        <v>0</v>
      </c>
      <c r="K1304" s="118">
        <v>4083</v>
      </c>
      <c r="L1304" s="118">
        <f>+CUBICACION!L1303</f>
        <v>0</v>
      </c>
      <c r="M1304" s="64">
        <f>+CUBICACION!M1303</f>
        <v>0</v>
      </c>
      <c r="N1304" s="824" t="str">
        <f>+CUBICACION!N1303</f>
        <v/>
      </c>
      <c r="O1304" s="675">
        <f>+CUBICACION!O1303</f>
        <v>0</v>
      </c>
      <c r="P1304" s="15">
        <f>IF(O1304="Fire Control",VLOOKUP(_xlfn.MINIFS('FIRE CONTROL'!$C$4:$C$37,'FIRE CONTROL'!$C$4:$C$37,"&gt;="&amp;M1304),'FIRE CONTROL'!$C$4:$G$37,IF(L1304="F-15",2,IF(L1304="F-30",3,IF(L1304="F-60",4,IF(L1304="F-90",5,0)))),0),0)+IF(AND(O1304="FIRE TEX 5062",OR(E1304="IN",E1304="C",E1304="Z",E1304="L"),J1304=3),VLOOKUP(_xlfn.MINIFS('FIRE TEX 5062'!$B$4:$B$34,'FIRE TEX 5062'!$B$4:$B$34,"&gt;="&amp;M1304),'FIRE TEX 5062'!$B$4:$F$34,IF(L1304="F-15",2,IF(L1304="F-30",3,IF(L1304="F-60",4,IF(L1304="F-90",5,0)))),0),0)+IF(AND(O1304="FIRE TEX 5062",OR(E1304="IN",E1304="C",E1304="Z",E1304="L"),J1304=4),VLOOKUP(_xlfn.MINIFS('FIRE TEX 5062'!$G$4:$G$34,'FIRE TEX 5062'!$G$4:$G$34,"&gt;="&amp;M1304),'FIRE TEX 5062'!$G$4:$K$34,IF(L1304="F-15",2,IF(L1304="F-30",3,IF(L1304="F-60",4,IF(L1304="F-90",5,0)))),0),0)+IF(AND(O1304="FIRE TEX 5062",E1304="CJ",J1304=3),VLOOKUP(_xlfn.MINIFS('FIRE TEX 5062'!$L$4:$L$34,'FIRE TEX 5062'!$L$4:$L$34,"&gt;="&amp;M1304),'FIRE TEX 5062'!$L$4:$P$34,IF(L1304="F-15",2,IF(L1304="F-30",3,IF(L1304="F-60",4,IF(L1304="F-90",5,0)))),0),0)+IF(AND(O1304="FIRE TEX 5062",E1304="CJ",J1304=4),VLOOKUP(_xlfn.MINIFS('FIRE TEX 5062'!$Q$3:$Q$34,'FIRE TEX 5062'!$Q$3:$Q$34,"&gt;="&amp;M1304),'FIRE TEX 5062'!$Q$3:$U$34,IF(L1304="F-15",2,IF(L1304="F-30",3,IF(L1304="F-60",4,IF(L1304="F-90",5,0)))),0),0)+IF(AND(O1304="FIRE TEX 5090",OR(E1304="IN",E1304="C",E1304="Z",E1304="L"),J1304=3),VLOOKUP(_xlfn.MINIFS('FIRE TEX 5090'!$B$5:$B$43,'FIRE TEX 5090'!$B$5:$B$43,"&gt;="&amp;M1304),'FIRE TEX 5090'!$B$5:$H$43,IF(L1304="F-15",2,IF(L1304="F-30",3,IF(L1304="F-60",4,IF(L1304="F-90",5,IF(L1304="F-120",6,IF(L1304="F-150",7,0)))))),0),0)+IF(AND(O1304="FIRE TEX 5090",OR(E1304="IN",E1304="C",E1304="Z",E1304="L"),J1304=4),VLOOKUP(_xlfn.MINIFS('FIRE TEX 5090'!$J$5:$J$43,'FIRE TEX 5090'!$J$5:$J$43,"&gt;="&amp;M1304),'FIRE TEX 5090'!$J$5:$P$43,IF(L1304="F-15",2,IF(L1304="F-30",3,IF(L1304="F-60",4,IF(L1304="F-90",5,IF(L1304="F-120",6,IF(L1304="F-150",7,0)))))),0),0)+IF(AND(O1304="FIRE TEX 5090",E1304="CJ",J1304=3),VLOOKUP(_xlfn.MINIFS('FIRE TEX 5090'!$R$5:$R$30,'FIRE TEX 5090'!$R$5:$R$30,"&gt;="&amp;M1304),'FIRE TEX 5090'!$R$5:$W$30,IF(L1304="F-15",2,IF(L1304="F-30",3,IF(L1304="F-60",4,IF(L1304="F-90",5,IF(L1304="F-120",6,IF(L1304="F-150",7,0)))))),0),0)+IF(AND(O1304="FIRE TEX 5090",E1304="CJ",J1304=4),VLOOKUP(_xlfn.MINIFS('FIRE TEX 5090'!$Y$5:$Y$39,'FIRE TEX 5090'!$Y$5:$Y$39,"&gt;="&amp;M1304),'FIRE TEX 5090'!$Y$5:$AD$39,IF(L1304="F-15",2,IF(L1304="F-30",3,IF(L1304="F-60",4,IF(L1304="F-90",5,IF(L1304="F-120",6,IF(L1304="F-150",7,0)))))),0),0)+IF(AND(O1304="FIRE TEX 5120",OR(E1304="IN",E1304="C",E1304="Z",E1304="L"),J1304=3),VLOOKUP(_xlfn.MINIFS('FIRE TEX 5120'!$B$5:$B$40,'FIRE TEX 5120'!$B$5:$B$40,"&gt;="&amp;M1304),'FIRE TEX 5120'!$B$5:$G$40,IF(L1304="F-15",2,IF(L1304="F-30",3,IF(L1304="F-60",4,IF(L1304="F-90",5,IF(L1304="F-120",6,0))))),0),0)+IF(AND(O1304="FIRE TEX 5120",OR(E1304="IN",E1304="C",E1304="Z",E1304="L"),J1304=4),VLOOKUP(_xlfn.MINIFS('FIRE TEX 5120'!$H$4:$H$40,'FIRE TEX 5120'!$H$4:$H$40,"&gt;="&amp;M1304),'FIRE TEX 5120'!$H$4:$M$40,IF(L1304="F-15",2,IF(L1304="F-30",3,IF(L1304="F-60",4,IF(L1304="F-90",5,IF(L1304="F-120",6,0))))),0),0)+IF(AND(O1304="FIRE TEX 5120",E1304="CJ"),VLOOKUP(_xlfn.MINIFS('FIRE TEX 5120'!$O$5:$O$40,'FIRE TEX 5120'!$O$5:$O$40,"&gt;="&amp;M1304),'FIRE TEX 5120'!$O$5:$T$40,IF(L1304="F-15",2,IF(L1304="F-30",3,IF(L1304="F-60",4,IF(L1304="F-90",5,IF(L1304="F-120",6,0))))),0),0)</f>
        <v>0</v>
      </c>
      <c r="Q1304" s="46">
        <f t="shared" si="119"/>
        <v>0</v>
      </c>
      <c r="R1304" s="46">
        <f t="shared" si="120"/>
        <v>0</v>
      </c>
      <c r="S1304" s="46" t="e">
        <f t="shared" si="121"/>
        <v>#VALUE!</v>
      </c>
      <c r="T1304" s="677">
        <f t="shared" si="122"/>
        <v>0</v>
      </c>
      <c r="U1304" s="80">
        <f>(IF(O1304="Stofire",(S1304*#REF!),0))+(IF(O1304="Fire Control",(S1304*$U$2),0))+(IF(O1304="Fire Tex",(S1304*$U$3),0))+(IF(O1304="WB7",(S1304*#REF!),0)+(IF(O1304="FX 2003",(S1304*$U$5),0)))</f>
        <v>0</v>
      </c>
      <c r="V1304" s="651">
        <f t="shared" si="123"/>
        <v>0</v>
      </c>
    </row>
    <row r="1305" spans="4:22" x14ac:dyDescent="0.25">
      <c r="D1305" s="118">
        <f>+CUBICACION!D1304</f>
        <v>0</v>
      </c>
      <c r="E1305" s="118">
        <f>+CUBICACION!F1304</f>
        <v>0</v>
      </c>
      <c r="F1305" s="118">
        <f>+CUBICACION!E1304</f>
        <v>0</v>
      </c>
      <c r="G1305" s="118">
        <v>12</v>
      </c>
      <c r="H1305" s="118">
        <v>2</v>
      </c>
      <c r="I1305" s="820">
        <v>26385</v>
      </c>
      <c r="J1305" s="118">
        <f>+CUBICACION!J1304</f>
        <v>0</v>
      </c>
      <c r="K1305" s="118">
        <v>4084</v>
      </c>
      <c r="L1305" s="118">
        <f>+CUBICACION!L1304</f>
        <v>0</v>
      </c>
      <c r="M1305" s="64">
        <f>+CUBICACION!M1304</f>
        <v>0</v>
      </c>
      <c r="N1305" s="824" t="str">
        <f>+CUBICACION!N1304</f>
        <v/>
      </c>
      <c r="O1305" s="675">
        <f>+CUBICACION!O1304</f>
        <v>0</v>
      </c>
      <c r="P1305" s="15">
        <f>IF(O1305="Fire Control",VLOOKUP(_xlfn.MINIFS('FIRE CONTROL'!$C$4:$C$37,'FIRE CONTROL'!$C$4:$C$37,"&gt;="&amp;M1305),'FIRE CONTROL'!$C$4:$G$37,IF(L1305="F-15",2,IF(L1305="F-30",3,IF(L1305="F-60",4,IF(L1305="F-90",5,0)))),0),0)+IF(AND(O1305="FIRE TEX 5062",OR(E1305="IN",E1305="C",E1305="Z",E1305="L"),J1305=3),VLOOKUP(_xlfn.MINIFS('FIRE TEX 5062'!$B$4:$B$34,'FIRE TEX 5062'!$B$4:$B$34,"&gt;="&amp;M1305),'FIRE TEX 5062'!$B$4:$F$34,IF(L1305="F-15",2,IF(L1305="F-30",3,IF(L1305="F-60",4,IF(L1305="F-90",5,0)))),0),0)+IF(AND(O1305="FIRE TEX 5062",OR(E1305="IN",E1305="C",E1305="Z",E1305="L"),J1305=4),VLOOKUP(_xlfn.MINIFS('FIRE TEX 5062'!$G$4:$G$34,'FIRE TEX 5062'!$G$4:$G$34,"&gt;="&amp;M1305),'FIRE TEX 5062'!$G$4:$K$34,IF(L1305="F-15",2,IF(L1305="F-30",3,IF(L1305="F-60",4,IF(L1305="F-90",5,0)))),0),0)+IF(AND(O1305="FIRE TEX 5062",E1305="CJ",J1305=3),VLOOKUP(_xlfn.MINIFS('FIRE TEX 5062'!$L$4:$L$34,'FIRE TEX 5062'!$L$4:$L$34,"&gt;="&amp;M1305),'FIRE TEX 5062'!$L$4:$P$34,IF(L1305="F-15",2,IF(L1305="F-30",3,IF(L1305="F-60",4,IF(L1305="F-90",5,0)))),0),0)+IF(AND(O1305="FIRE TEX 5062",E1305="CJ",J1305=4),VLOOKUP(_xlfn.MINIFS('FIRE TEX 5062'!$Q$3:$Q$34,'FIRE TEX 5062'!$Q$3:$Q$34,"&gt;="&amp;M1305),'FIRE TEX 5062'!$Q$3:$U$34,IF(L1305="F-15",2,IF(L1305="F-30",3,IF(L1305="F-60",4,IF(L1305="F-90",5,0)))),0),0)+IF(AND(O1305="FIRE TEX 5090",OR(E1305="IN",E1305="C",E1305="Z",E1305="L"),J1305=3),VLOOKUP(_xlfn.MINIFS('FIRE TEX 5090'!$B$5:$B$43,'FIRE TEX 5090'!$B$5:$B$43,"&gt;="&amp;M1305),'FIRE TEX 5090'!$B$5:$H$43,IF(L1305="F-15",2,IF(L1305="F-30",3,IF(L1305="F-60",4,IF(L1305="F-90",5,IF(L1305="F-120",6,IF(L1305="F-150",7,0)))))),0),0)+IF(AND(O1305="FIRE TEX 5090",OR(E1305="IN",E1305="C",E1305="Z",E1305="L"),J1305=4),VLOOKUP(_xlfn.MINIFS('FIRE TEX 5090'!$J$5:$J$43,'FIRE TEX 5090'!$J$5:$J$43,"&gt;="&amp;M1305),'FIRE TEX 5090'!$J$5:$P$43,IF(L1305="F-15",2,IF(L1305="F-30",3,IF(L1305="F-60",4,IF(L1305="F-90",5,IF(L1305="F-120",6,IF(L1305="F-150",7,0)))))),0),0)+IF(AND(O1305="FIRE TEX 5090",E1305="CJ",J1305=3),VLOOKUP(_xlfn.MINIFS('FIRE TEX 5090'!$R$5:$R$30,'FIRE TEX 5090'!$R$5:$R$30,"&gt;="&amp;M1305),'FIRE TEX 5090'!$R$5:$W$30,IF(L1305="F-15",2,IF(L1305="F-30",3,IF(L1305="F-60",4,IF(L1305="F-90",5,IF(L1305="F-120",6,IF(L1305="F-150",7,0)))))),0),0)+IF(AND(O1305="FIRE TEX 5090",E1305="CJ",J1305=4),VLOOKUP(_xlfn.MINIFS('FIRE TEX 5090'!$Y$5:$Y$39,'FIRE TEX 5090'!$Y$5:$Y$39,"&gt;="&amp;M1305),'FIRE TEX 5090'!$Y$5:$AD$39,IF(L1305="F-15",2,IF(L1305="F-30",3,IF(L1305="F-60",4,IF(L1305="F-90",5,IF(L1305="F-120",6,IF(L1305="F-150",7,0)))))),0),0)+IF(AND(O1305="FIRE TEX 5120",OR(E1305="IN",E1305="C",E1305="Z",E1305="L"),J1305=3),VLOOKUP(_xlfn.MINIFS('FIRE TEX 5120'!$B$5:$B$40,'FIRE TEX 5120'!$B$5:$B$40,"&gt;="&amp;M1305),'FIRE TEX 5120'!$B$5:$G$40,IF(L1305="F-15",2,IF(L1305="F-30",3,IF(L1305="F-60",4,IF(L1305="F-90",5,IF(L1305="F-120",6,0))))),0),0)+IF(AND(O1305="FIRE TEX 5120",OR(E1305="IN",E1305="C",E1305="Z",E1305="L"),J1305=4),VLOOKUP(_xlfn.MINIFS('FIRE TEX 5120'!$H$4:$H$40,'FIRE TEX 5120'!$H$4:$H$40,"&gt;="&amp;M1305),'FIRE TEX 5120'!$H$4:$M$40,IF(L1305="F-15",2,IF(L1305="F-30",3,IF(L1305="F-60",4,IF(L1305="F-90",5,IF(L1305="F-120",6,0))))),0),0)+IF(AND(O1305="FIRE TEX 5120",E1305="CJ"),VLOOKUP(_xlfn.MINIFS('FIRE TEX 5120'!$O$5:$O$40,'FIRE TEX 5120'!$O$5:$O$40,"&gt;="&amp;M1305),'FIRE TEX 5120'!$O$5:$T$40,IF(L1305="F-15",2,IF(L1305="F-30",3,IF(L1305="F-60",4,IF(L1305="F-90",5,IF(L1305="F-120",6,0))))),0),0)</f>
        <v>0</v>
      </c>
      <c r="Q1305" s="46">
        <f t="shared" si="119"/>
        <v>0</v>
      </c>
      <c r="R1305" s="46">
        <f t="shared" si="120"/>
        <v>0</v>
      </c>
      <c r="S1305" s="46" t="e">
        <f t="shared" si="121"/>
        <v>#VALUE!</v>
      </c>
      <c r="T1305" s="677">
        <f t="shared" si="122"/>
        <v>0</v>
      </c>
      <c r="U1305" s="80">
        <f>(IF(O1305="Stofire",(S1305*#REF!),0))+(IF(O1305="Fire Control",(S1305*$U$2),0))+(IF(O1305="Fire Tex",(S1305*$U$3),0))+(IF(O1305="WB7",(S1305*#REF!),0)+(IF(O1305="FX 2003",(S1305*$U$5),0)))</f>
        <v>0</v>
      </c>
      <c r="V1305" s="651">
        <f t="shared" si="123"/>
        <v>0</v>
      </c>
    </row>
    <row r="1306" spans="4:22" x14ac:dyDescent="0.25">
      <c r="D1306" s="118">
        <f>+CUBICACION!D1305</f>
        <v>0</v>
      </c>
      <c r="E1306" s="118">
        <f>+CUBICACION!F1305</f>
        <v>0</v>
      </c>
      <c r="F1306" s="118">
        <f>+CUBICACION!E1305</f>
        <v>0</v>
      </c>
      <c r="G1306" s="118">
        <v>12</v>
      </c>
      <c r="H1306" s="118">
        <v>2</v>
      </c>
      <c r="I1306" s="820">
        <v>26385</v>
      </c>
      <c r="J1306" s="118">
        <f>+CUBICACION!J1305</f>
        <v>0</v>
      </c>
      <c r="K1306" s="118">
        <v>4085</v>
      </c>
      <c r="L1306" s="118">
        <f>+CUBICACION!L1305</f>
        <v>0</v>
      </c>
      <c r="M1306" s="64">
        <f>+CUBICACION!M1305</f>
        <v>0</v>
      </c>
      <c r="N1306" s="824" t="str">
        <f>+CUBICACION!N1305</f>
        <v/>
      </c>
      <c r="O1306" s="675">
        <f>+CUBICACION!O1305</f>
        <v>0</v>
      </c>
      <c r="P1306" s="15">
        <f>IF(O1306="Fire Control",VLOOKUP(_xlfn.MINIFS('FIRE CONTROL'!$C$4:$C$37,'FIRE CONTROL'!$C$4:$C$37,"&gt;="&amp;M1306),'FIRE CONTROL'!$C$4:$G$37,IF(L1306="F-15",2,IF(L1306="F-30",3,IF(L1306="F-60",4,IF(L1306="F-90",5,0)))),0),0)+IF(AND(O1306="FIRE TEX 5062",OR(E1306="IN",E1306="C",E1306="Z",E1306="L"),J1306=3),VLOOKUP(_xlfn.MINIFS('FIRE TEX 5062'!$B$4:$B$34,'FIRE TEX 5062'!$B$4:$B$34,"&gt;="&amp;M1306),'FIRE TEX 5062'!$B$4:$F$34,IF(L1306="F-15",2,IF(L1306="F-30",3,IF(L1306="F-60",4,IF(L1306="F-90",5,0)))),0),0)+IF(AND(O1306="FIRE TEX 5062",OR(E1306="IN",E1306="C",E1306="Z",E1306="L"),J1306=4),VLOOKUP(_xlfn.MINIFS('FIRE TEX 5062'!$G$4:$G$34,'FIRE TEX 5062'!$G$4:$G$34,"&gt;="&amp;M1306),'FIRE TEX 5062'!$G$4:$K$34,IF(L1306="F-15",2,IF(L1306="F-30",3,IF(L1306="F-60",4,IF(L1306="F-90",5,0)))),0),0)+IF(AND(O1306="FIRE TEX 5062",E1306="CJ",J1306=3),VLOOKUP(_xlfn.MINIFS('FIRE TEX 5062'!$L$4:$L$34,'FIRE TEX 5062'!$L$4:$L$34,"&gt;="&amp;M1306),'FIRE TEX 5062'!$L$4:$P$34,IF(L1306="F-15",2,IF(L1306="F-30",3,IF(L1306="F-60",4,IF(L1306="F-90",5,0)))),0),0)+IF(AND(O1306="FIRE TEX 5062",E1306="CJ",J1306=4),VLOOKUP(_xlfn.MINIFS('FIRE TEX 5062'!$Q$3:$Q$34,'FIRE TEX 5062'!$Q$3:$Q$34,"&gt;="&amp;M1306),'FIRE TEX 5062'!$Q$3:$U$34,IF(L1306="F-15",2,IF(L1306="F-30",3,IF(L1306="F-60",4,IF(L1306="F-90",5,0)))),0),0)+IF(AND(O1306="FIRE TEX 5090",OR(E1306="IN",E1306="C",E1306="Z",E1306="L"),J1306=3),VLOOKUP(_xlfn.MINIFS('FIRE TEX 5090'!$B$5:$B$43,'FIRE TEX 5090'!$B$5:$B$43,"&gt;="&amp;M1306),'FIRE TEX 5090'!$B$5:$H$43,IF(L1306="F-15",2,IF(L1306="F-30",3,IF(L1306="F-60",4,IF(L1306="F-90",5,IF(L1306="F-120",6,IF(L1306="F-150",7,0)))))),0),0)+IF(AND(O1306="FIRE TEX 5090",OR(E1306="IN",E1306="C",E1306="Z",E1306="L"),J1306=4),VLOOKUP(_xlfn.MINIFS('FIRE TEX 5090'!$J$5:$J$43,'FIRE TEX 5090'!$J$5:$J$43,"&gt;="&amp;M1306),'FIRE TEX 5090'!$J$5:$P$43,IF(L1306="F-15",2,IF(L1306="F-30",3,IF(L1306="F-60",4,IF(L1306="F-90",5,IF(L1306="F-120",6,IF(L1306="F-150",7,0)))))),0),0)+IF(AND(O1306="FIRE TEX 5090",E1306="CJ",J1306=3),VLOOKUP(_xlfn.MINIFS('FIRE TEX 5090'!$R$5:$R$30,'FIRE TEX 5090'!$R$5:$R$30,"&gt;="&amp;M1306),'FIRE TEX 5090'!$R$5:$W$30,IF(L1306="F-15",2,IF(L1306="F-30",3,IF(L1306="F-60",4,IF(L1306="F-90",5,IF(L1306="F-120",6,IF(L1306="F-150",7,0)))))),0),0)+IF(AND(O1306="FIRE TEX 5090",E1306="CJ",J1306=4),VLOOKUP(_xlfn.MINIFS('FIRE TEX 5090'!$Y$5:$Y$39,'FIRE TEX 5090'!$Y$5:$Y$39,"&gt;="&amp;M1306),'FIRE TEX 5090'!$Y$5:$AD$39,IF(L1306="F-15",2,IF(L1306="F-30",3,IF(L1306="F-60",4,IF(L1306="F-90",5,IF(L1306="F-120",6,IF(L1306="F-150",7,0)))))),0),0)+IF(AND(O1306="FIRE TEX 5120",OR(E1306="IN",E1306="C",E1306="Z",E1306="L"),J1306=3),VLOOKUP(_xlfn.MINIFS('FIRE TEX 5120'!$B$5:$B$40,'FIRE TEX 5120'!$B$5:$B$40,"&gt;="&amp;M1306),'FIRE TEX 5120'!$B$5:$G$40,IF(L1306="F-15",2,IF(L1306="F-30",3,IF(L1306="F-60",4,IF(L1306="F-90",5,IF(L1306="F-120",6,0))))),0),0)+IF(AND(O1306="FIRE TEX 5120",OR(E1306="IN",E1306="C",E1306="Z",E1306="L"),J1306=4),VLOOKUP(_xlfn.MINIFS('FIRE TEX 5120'!$H$4:$H$40,'FIRE TEX 5120'!$H$4:$H$40,"&gt;="&amp;M1306),'FIRE TEX 5120'!$H$4:$M$40,IF(L1306="F-15",2,IF(L1306="F-30",3,IF(L1306="F-60",4,IF(L1306="F-90",5,IF(L1306="F-120",6,0))))),0),0)+IF(AND(O1306="FIRE TEX 5120",E1306="CJ"),VLOOKUP(_xlfn.MINIFS('FIRE TEX 5120'!$O$5:$O$40,'FIRE TEX 5120'!$O$5:$O$40,"&gt;="&amp;M1306),'FIRE TEX 5120'!$O$5:$T$40,IF(L1306="F-15",2,IF(L1306="F-30",3,IF(L1306="F-60",4,IF(L1306="F-90",5,IF(L1306="F-120",6,0))))),0),0)</f>
        <v>0</v>
      </c>
      <c r="Q1306" s="46">
        <f t="shared" si="119"/>
        <v>0</v>
      </c>
      <c r="R1306" s="46">
        <f t="shared" si="120"/>
        <v>0</v>
      </c>
      <c r="S1306" s="46" t="e">
        <f t="shared" si="121"/>
        <v>#VALUE!</v>
      </c>
      <c r="T1306" s="677">
        <f t="shared" si="122"/>
        <v>0</v>
      </c>
      <c r="U1306" s="80">
        <f>(IF(O1306="Stofire",(S1306*#REF!),0))+(IF(O1306="Fire Control",(S1306*$U$2),0))+(IF(O1306="Fire Tex",(S1306*$U$3),0))+(IF(O1306="WB7",(S1306*#REF!),0)+(IF(O1306="FX 2003",(S1306*$U$5),0)))</f>
        <v>0</v>
      </c>
      <c r="V1306" s="651">
        <f t="shared" si="123"/>
        <v>0</v>
      </c>
    </row>
    <row r="1307" spans="4:22" x14ac:dyDescent="0.25">
      <c r="D1307" s="118">
        <f>+CUBICACION!D1306</f>
        <v>0</v>
      </c>
      <c r="E1307" s="118">
        <f>+CUBICACION!F1306</f>
        <v>0</v>
      </c>
      <c r="F1307" s="118">
        <f>+CUBICACION!E1306</f>
        <v>0</v>
      </c>
      <c r="G1307" s="118">
        <v>12</v>
      </c>
      <c r="H1307" s="118">
        <v>2</v>
      </c>
      <c r="I1307" s="820">
        <v>26385</v>
      </c>
      <c r="J1307" s="118">
        <f>+CUBICACION!J1306</f>
        <v>0</v>
      </c>
      <c r="K1307" s="118">
        <v>4086</v>
      </c>
      <c r="L1307" s="118">
        <f>+CUBICACION!L1306</f>
        <v>0</v>
      </c>
      <c r="M1307" s="64">
        <f>+CUBICACION!M1306</f>
        <v>0</v>
      </c>
      <c r="N1307" s="824" t="str">
        <f>+CUBICACION!N1306</f>
        <v/>
      </c>
      <c r="O1307" s="675">
        <f>+CUBICACION!O1306</f>
        <v>0</v>
      </c>
      <c r="P1307" s="15">
        <f>IF(O1307="Fire Control",VLOOKUP(_xlfn.MINIFS('FIRE CONTROL'!$C$4:$C$37,'FIRE CONTROL'!$C$4:$C$37,"&gt;="&amp;M1307),'FIRE CONTROL'!$C$4:$G$37,IF(L1307="F-15",2,IF(L1307="F-30",3,IF(L1307="F-60",4,IF(L1307="F-90",5,0)))),0),0)+IF(AND(O1307="FIRE TEX 5062",OR(E1307="IN",E1307="C",E1307="Z",E1307="L"),J1307=3),VLOOKUP(_xlfn.MINIFS('FIRE TEX 5062'!$B$4:$B$34,'FIRE TEX 5062'!$B$4:$B$34,"&gt;="&amp;M1307),'FIRE TEX 5062'!$B$4:$F$34,IF(L1307="F-15",2,IF(L1307="F-30",3,IF(L1307="F-60",4,IF(L1307="F-90",5,0)))),0),0)+IF(AND(O1307="FIRE TEX 5062",OR(E1307="IN",E1307="C",E1307="Z",E1307="L"),J1307=4),VLOOKUP(_xlfn.MINIFS('FIRE TEX 5062'!$G$4:$G$34,'FIRE TEX 5062'!$G$4:$G$34,"&gt;="&amp;M1307),'FIRE TEX 5062'!$G$4:$K$34,IF(L1307="F-15",2,IF(L1307="F-30",3,IF(L1307="F-60",4,IF(L1307="F-90",5,0)))),0),0)+IF(AND(O1307="FIRE TEX 5062",E1307="CJ",J1307=3),VLOOKUP(_xlfn.MINIFS('FIRE TEX 5062'!$L$4:$L$34,'FIRE TEX 5062'!$L$4:$L$34,"&gt;="&amp;M1307),'FIRE TEX 5062'!$L$4:$P$34,IF(L1307="F-15",2,IF(L1307="F-30",3,IF(L1307="F-60",4,IF(L1307="F-90",5,0)))),0),0)+IF(AND(O1307="FIRE TEX 5062",E1307="CJ",J1307=4),VLOOKUP(_xlfn.MINIFS('FIRE TEX 5062'!$Q$3:$Q$34,'FIRE TEX 5062'!$Q$3:$Q$34,"&gt;="&amp;M1307),'FIRE TEX 5062'!$Q$3:$U$34,IF(L1307="F-15",2,IF(L1307="F-30",3,IF(L1307="F-60",4,IF(L1307="F-90",5,0)))),0),0)+IF(AND(O1307="FIRE TEX 5090",OR(E1307="IN",E1307="C",E1307="Z",E1307="L"),J1307=3),VLOOKUP(_xlfn.MINIFS('FIRE TEX 5090'!$B$5:$B$43,'FIRE TEX 5090'!$B$5:$B$43,"&gt;="&amp;M1307),'FIRE TEX 5090'!$B$5:$H$43,IF(L1307="F-15",2,IF(L1307="F-30",3,IF(L1307="F-60",4,IF(L1307="F-90",5,IF(L1307="F-120",6,IF(L1307="F-150",7,0)))))),0),0)+IF(AND(O1307="FIRE TEX 5090",OR(E1307="IN",E1307="C",E1307="Z",E1307="L"),J1307=4),VLOOKUP(_xlfn.MINIFS('FIRE TEX 5090'!$J$5:$J$43,'FIRE TEX 5090'!$J$5:$J$43,"&gt;="&amp;M1307),'FIRE TEX 5090'!$J$5:$P$43,IF(L1307="F-15",2,IF(L1307="F-30",3,IF(L1307="F-60",4,IF(L1307="F-90",5,IF(L1307="F-120",6,IF(L1307="F-150",7,0)))))),0),0)+IF(AND(O1307="FIRE TEX 5090",E1307="CJ",J1307=3),VLOOKUP(_xlfn.MINIFS('FIRE TEX 5090'!$R$5:$R$30,'FIRE TEX 5090'!$R$5:$R$30,"&gt;="&amp;M1307),'FIRE TEX 5090'!$R$5:$W$30,IF(L1307="F-15",2,IF(L1307="F-30",3,IF(L1307="F-60",4,IF(L1307="F-90",5,IF(L1307="F-120",6,IF(L1307="F-150",7,0)))))),0),0)+IF(AND(O1307="FIRE TEX 5090",E1307="CJ",J1307=4),VLOOKUP(_xlfn.MINIFS('FIRE TEX 5090'!$Y$5:$Y$39,'FIRE TEX 5090'!$Y$5:$Y$39,"&gt;="&amp;M1307),'FIRE TEX 5090'!$Y$5:$AD$39,IF(L1307="F-15",2,IF(L1307="F-30",3,IF(L1307="F-60",4,IF(L1307="F-90",5,IF(L1307="F-120",6,IF(L1307="F-150",7,0)))))),0),0)+IF(AND(O1307="FIRE TEX 5120",OR(E1307="IN",E1307="C",E1307="Z",E1307="L"),J1307=3),VLOOKUP(_xlfn.MINIFS('FIRE TEX 5120'!$B$5:$B$40,'FIRE TEX 5120'!$B$5:$B$40,"&gt;="&amp;M1307),'FIRE TEX 5120'!$B$5:$G$40,IF(L1307="F-15",2,IF(L1307="F-30",3,IF(L1307="F-60",4,IF(L1307="F-90",5,IF(L1307="F-120",6,0))))),0),0)+IF(AND(O1307="FIRE TEX 5120",OR(E1307="IN",E1307="C",E1307="Z",E1307="L"),J1307=4),VLOOKUP(_xlfn.MINIFS('FIRE TEX 5120'!$H$4:$H$40,'FIRE TEX 5120'!$H$4:$H$40,"&gt;="&amp;M1307),'FIRE TEX 5120'!$H$4:$M$40,IF(L1307="F-15",2,IF(L1307="F-30",3,IF(L1307="F-60",4,IF(L1307="F-90",5,IF(L1307="F-120",6,0))))),0),0)+IF(AND(O1307="FIRE TEX 5120",E1307="CJ"),VLOOKUP(_xlfn.MINIFS('FIRE TEX 5120'!$O$5:$O$40,'FIRE TEX 5120'!$O$5:$O$40,"&gt;="&amp;M1307),'FIRE TEX 5120'!$O$5:$T$40,IF(L1307="F-15",2,IF(L1307="F-30",3,IF(L1307="F-60",4,IF(L1307="F-90",5,IF(L1307="F-120",6,0))))),0),0)</f>
        <v>0</v>
      </c>
      <c r="Q1307" s="46">
        <f t="shared" si="119"/>
        <v>0</v>
      </c>
      <c r="R1307" s="46">
        <f t="shared" si="120"/>
        <v>0</v>
      </c>
      <c r="S1307" s="46" t="e">
        <f t="shared" si="121"/>
        <v>#VALUE!</v>
      </c>
      <c r="T1307" s="677">
        <f t="shared" si="122"/>
        <v>0</v>
      </c>
      <c r="U1307" s="80">
        <f>(IF(O1307="Stofire",(S1307*#REF!),0))+(IF(O1307="Fire Control",(S1307*$U$2),0))+(IF(O1307="Fire Tex",(S1307*$U$3),0))+(IF(O1307="WB7",(S1307*#REF!),0)+(IF(O1307="FX 2003",(S1307*$U$5),0)))</f>
        <v>0</v>
      </c>
      <c r="V1307" s="651">
        <f t="shared" si="123"/>
        <v>0</v>
      </c>
    </row>
    <row r="1308" spans="4:22" x14ac:dyDescent="0.25">
      <c r="D1308" s="118">
        <f>+CUBICACION!D1307</f>
        <v>0</v>
      </c>
      <c r="E1308" s="118">
        <f>+CUBICACION!F1307</f>
        <v>0</v>
      </c>
      <c r="F1308" s="118">
        <f>+CUBICACION!E1307</f>
        <v>0</v>
      </c>
      <c r="G1308" s="118">
        <v>12</v>
      </c>
      <c r="H1308" s="118">
        <v>2</v>
      </c>
      <c r="I1308" s="820">
        <v>26385</v>
      </c>
      <c r="J1308" s="118">
        <f>+CUBICACION!J1307</f>
        <v>0</v>
      </c>
      <c r="K1308" s="118">
        <v>4087</v>
      </c>
      <c r="L1308" s="118">
        <f>+CUBICACION!L1307</f>
        <v>0</v>
      </c>
      <c r="M1308" s="64">
        <f>+CUBICACION!M1307</f>
        <v>0</v>
      </c>
      <c r="N1308" s="824" t="str">
        <f>+CUBICACION!N1307</f>
        <v/>
      </c>
      <c r="O1308" s="675">
        <f>+CUBICACION!O1307</f>
        <v>0</v>
      </c>
      <c r="P1308" s="15">
        <f>IF(O1308="Fire Control",VLOOKUP(_xlfn.MINIFS('FIRE CONTROL'!$C$4:$C$37,'FIRE CONTROL'!$C$4:$C$37,"&gt;="&amp;M1308),'FIRE CONTROL'!$C$4:$G$37,IF(L1308="F-15",2,IF(L1308="F-30",3,IF(L1308="F-60",4,IF(L1308="F-90",5,0)))),0),0)+IF(AND(O1308="FIRE TEX 5062",OR(E1308="IN",E1308="C",E1308="Z",E1308="L"),J1308=3),VLOOKUP(_xlfn.MINIFS('FIRE TEX 5062'!$B$4:$B$34,'FIRE TEX 5062'!$B$4:$B$34,"&gt;="&amp;M1308),'FIRE TEX 5062'!$B$4:$F$34,IF(L1308="F-15",2,IF(L1308="F-30",3,IF(L1308="F-60",4,IF(L1308="F-90",5,0)))),0),0)+IF(AND(O1308="FIRE TEX 5062",OR(E1308="IN",E1308="C",E1308="Z",E1308="L"),J1308=4),VLOOKUP(_xlfn.MINIFS('FIRE TEX 5062'!$G$4:$G$34,'FIRE TEX 5062'!$G$4:$G$34,"&gt;="&amp;M1308),'FIRE TEX 5062'!$G$4:$K$34,IF(L1308="F-15",2,IF(L1308="F-30",3,IF(L1308="F-60",4,IF(L1308="F-90",5,0)))),0),0)+IF(AND(O1308="FIRE TEX 5062",E1308="CJ",J1308=3),VLOOKUP(_xlfn.MINIFS('FIRE TEX 5062'!$L$4:$L$34,'FIRE TEX 5062'!$L$4:$L$34,"&gt;="&amp;M1308),'FIRE TEX 5062'!$L$4:$P$34,IF(L1308="F-15",2,IF(L1308="F-30",3,IF(L1308="F-60",4,IF(L1308="F-90",5,0)))),0),0)+IF(AND(O1308="FIRE TEX 5062",E1308="CJ",J1308=4),VLOOKUP(_xlfn.MINIFS('FIRE TEX 5062'!$Q$3:$Q$34,'FIRE TEX 5062'!$Q$3:$Q$34,"&gt;="&amp;M1308),'FIRE TEX 5062'!$Q$3:$U$34,IF(L1308="F-15",2,IF(L1308="F-30",3,IF(L1308="F-60",4,IF(L1308="F-90",5,0)))),0),0)+IF(AND(O1308="FIRE TEX 5090",OR(E1308="IN",E1308="C",E1308="Z",E1308="L"),J1308=3),VLOOKUP(_xlfn.MINIFS('FIRE TEX 5090'!$B$5:$B$43,'FIRE TEX 5090'!$B$5:$B$43,"&gt;="&amp;M1308),'FIRE TEX 5090'!$B$5:$H$43,IF(L1308="F-15",2,IF(L1308="F-30",3,IF(L1308="F-60",4,IF(L1308="F-90",5,IF(L1308="F-120",6,IF(L1308="F-150",7,0)))))),0),0)+IF(AND(O1308="FIRE TEX 5090",OR(E1308="IN",E1308="C",E1308="Z",E1308="L"),J1308=4),VLOOKUP(_xlfn.MINIFS('FIRE TEX 5090'!$J$5:$J$43,'FIRE TEX 5090'!$J$5:$J$43,"&gt;="&amp;M1308),'FIRE TEX 5090'!$J$5:$P$43,IF(L1308="F-15",2,IF(L1308="F-30",3,IF(L1308="F-60",4,IF(L1308="F-90",5,IF(L1308="F-120",6,IF(L1308="F-150",7,0)))))),0),0)+IF(AND(O1308="FIRE TEX 5090",E1308="CJ",J1308=3),VLOOKUP(_xlfn.MINIFS('FIRE TEX 5090'!$R$5:$R$30,'FIRE TEX 5090'!$R$5:$R$30,"&gt;="&amp;M1308),'FIRE TEX 5090'!$R$5:$W$30,IF(L1308="F-15",2,IF(L1308="F-30",3,IF(L1308="F-60",4,IF(L1308="F-90",5,IF(L1308="F-120",6,IF(L1308="F-150",7,0)))))),0),0)+IF(AND(O1308="FIRE TEX 5090",E1308="CJ",J1308=4),VLOOKUP(_xlfn.MINIFS('FIRE TEX 5090'!$Y$5:$Y$39,'FIRE TEX 5090'!$Y$5:$Y$39,"&gt;="&amp;M1308),'FIRE TEX 5090'!$Y$5:$AD$39,IF(L1308="F-15",2,IF(L1308="F-30",3,IF(L1308="F-60",4,IF(L1308="F-90",5,IF(L1308="F-120",6,IF(L1308="F-150",7,0)))))),0),0)+IF(AND(O1308="FIRE TEX 5120",OR(E1308="IN",E1308="C",E1308="Z",E1308="L"),J1308=3),VLOOKUP(_xlfn.MINIFS('FIRE TEX 5120'!$B$5:$B$40,'FIRE TEX 5120'!$B$5:$B$40,"&gt;="&amp;M1308),'FIRE TEX 5120'!$B$5:$G$40,IF(L1308="F-15",2,IF(L1308="F-30",3,IF(L1308="F-60",4,IF(L1308="F-90",5,IF(L1308="F-120",6,0))))),0),0)+IF(AND(O1308="FIRE TEX 5120",OR(E1308="IN",E1308="C",E1308="Z",E1308="L"),J1308=4),VLOOKUP(_xlfn.MINIFS('FIRE TEX 5120'!$H$4:$H$40,'FIRE TEX 5120'!$H$4:$H$40,"&gt;="&amp;M1308),'FIRE TEX 5120'!$H$4:$M$40,IF(L1308="F-15",2,IF(L1308="F-30",3,IF(L1308="F-60",4,IF(L1308="F-90",5,IF(L1308="F-120",6,0))))),0),0)+IF(AND(O1308="FIRE TEX 5120",E1308="CJ"),VLOOKUP(_xlfn.MINIFS('FIRE TEX 5120'!$O$5:$O$40,'FIRE TEX 5120'!$O$5:$O$40,"&gt;="&amp;M1308),'FIRE TEX 5120'!$O$5:$T$40,IF(L1308="F-15",2,IF(L1308="F-30",3,IF(L1308="F-60",4,IF(L1308="F-90",5,IF(L1308="F-120",6,0))))),0),0)</f>
        <v>0</v>
      </c>
      <c r="Q1308" s="46">
        <f t="shared" si="119"/>
        <v>0</v>
      </c>
      <c r="R1308" s="46">
        <f t="shared" si="120"/>
        <v>0</v>
      </c>
      <c r="S1308" s="46" t="e">
        <f t="shared" si="121"/>
        <v>#VALUE!</v>
      </c>
      <c r="T1308" s="677">
        <f t="shared" si="122"/>
        <v>0</v>
      </c>
      <c r="U1308" s="80">
        <f>(IF(O1308="Stofire",(S1308*#REF!),0))+(IF(O1308="Fire Control",(S1308*$U$2),0))+(IF(O1308="Fire Tex",(S1308*$U$3),0))+(IF(O1308="WB7",(S1308*#REF!),0)+(IF(O1308="FX 2003",(S1308*$U$5),0)))</f>
        <v>0</v>
      </c>
      <c r="V1308" s="651">
        <f t="shared" si="123"/>
        <v>0</v>
      </c>
    </row>
    <row r="1309" spans="4:22" x14ac:dyDescent="0.25">
      <c r="D1309" s="118">
        <f>+CUBICACION!D1308</f>
        <v>0</v>
      </c>
      <c r="E1309" s="118">
        <f>+CUBICACION!F1308</f>
        <v>0</v>
      </c>
      <c r="F1309" s="118">
        <f>+CUBICACION!E1308</f>
        <v>0</v>
      </c>
      <c r="G1309" s="118">
        <v>12</v>
      </c>
      <c r="H1309" s="118">
        <v>2</v>
      </c>
      <c r="I1309" s="820">
        <v>26385</v>
      </c>
      <c r="J1309" s="118">
        <f>+CUBICACION!J1308</f>
        <v>0</v>
      </c>
      <c r="K1309" s="118">
        <v>4088</v>
      </c>
      <c r="L1309" s="118">
        <f>+CUBICACION!L1308</f>
        <v>0</v>
      </c>
      <c r="M1309" s="64">
        <f>+CUBICACION!M1308</f>
        <v>0</v>
      </c>
      <c r="N1309" s="824" t="str">
        <f>+CUBICACION!N1308</f>
        <v/>
      </c>
      <c r="O1309" s="675">
        <f>+CUBICACION!O1308</f>
        <v>0</v>
      </c>
      <c r="P1309" s="15">
        <f>IF(O1309="Fire Control",VLOOKUP(_xlfn.MINIFS('FIRE CONTROL'!$C$4:$C$37,'FIRE CONTROL'!$C$4:$C$37,"&gt;="&amp;M1309),'FIRE CONTROL'!$C$4:$G$37,IF(L1309="F-15",2,IF(L1309="F-30",3,IF(L1309="F-60",4,IF(L1309="F-90",5,0)))),0),0)+IF(AND(O1309="FIRE TEX 5062",OR(E1309="IN",E1309="C",E1309="Z",E1309="L"),J1309=3),VLOOKUP(_xlfn.MINIFS('FIRE TEX 5062'!$B$4:$B$34,'FIRE TEX 5062'!$B$4:$B$34,"&gt;="&amp;M1309),'FIRE TEX 5062'!$B$4:$F$34,IF(L1309="F-15",2,IF(L1309="F-30",3,IF(L1309="F-60",4,IF(L1309="F-90",5,0)))),0),0)+IF(AND(O1309="FIRE TEX 5062",OR(E1309="IN",E1309="C",E1309="Z",E1309="L"),J1309=4),VLOOKUP(_xlfn.MINIFS('FIRE TEX 5062'!$G$4:$G$34,'FIRE TEX 5062'!$G$4:$G$34,"&gt;="&amp;M1309),'FIRE TEX 5062'!$G$4:$K$34,IF(L1309="F-15",2,IF(L1309="F-30",3,IF(L1309="F-60",4,IF(L1309="F-90",5,0)))),0),0)+IF(AND(O1309="FIRE TEX 5062",E1309="CJ",J1309=3),VLOOKUP(_xlfn.MINIFS('FIRE TEX 5062'!$L$4:$L$34,'FIRE TEX 5062'!$L$4:$L$34,"&gt;="&amp;M1309),'FIRE TEX 5062'!$L$4:$P$34,IF(L1309="F-15",2,IF(L1309="F-30",3,IF(L1309="F-60",4,IF(L1309="F-90",5,0)))),0),0)+IF(AND(O1309="FIRE TEX 5062",E1309="CJ",J1309=4),VLOOKUP(_xlfn.MINIFS('FIRE TEX 5062'!$Q$3:$Q$34,'FIRE TEX 5062'!$Q$3:$Q$34,"&gt;="&amp;M1309),'FIRE TEX 5062'!$Q$3:$U$34,IF(L1309="F-15",2,IF(L1309="F-30",3,IF(L1309="F-60",4,IF(L1309="F-90",5,0)))),0),0)+IF(AND(O1309="FIRE TEX 5090",OR(E1309="IN",E1309="C",E1309="Z",E1309="L"),J1309=3),VLOOKUP(_xlfn.MINIFS('FIRE TEX 5090'!$B$5:$B$43,'FIRE TEX 5090'!$B$5:$B$43,"&gt;="&amp;M1309),'FIRE TEX 5090'!$B$5:$H$43,IF(L1309="F-15",2,IF(L1309="F-30",3,IF(L1309="F-60",4,IF(L1309="F-90",5,IF(L1309="F-120",6,IF(L1309="F-150",7,0)))))),0),0)+IF(AND(O1309="FIRE TEX 5090",OR(E1309="IN",E1309="C",E1309="Z",E1309="L"),J1309=4),VLOOKUP(_xlfn.MINIFS('FIRE TEX 5090'!$J$5:$J$43,'FIRE TEX 5090'!$J$5:$J$43,"&gt;="&amp;M1309),'FIRE TEX 5090'!$J$5:$P$43,IF(L1309="F-15",2,IF(L1309="F-30",3,IF(L1309="F-60",4,IF(L1309="F-90",5,IF(L1309="F-120",6,IF(L1309="F-150",7,0)))))),0),0)+IF(AND(O1309="FIRE TEX 5090",E1309="CJ",J1309=3),VLOOKUP(_xlfn.MINIFS('FIRE TEX 5090'!$R$5:$R$30,'FIRE TEX 5090'!$R$5:$R$30,"&gt;="&amp;M1309),'FIRE TEX 5090'!$R$5:$W$30,IF(L1309="F-15",2,IF(L1309="F-30",3,IF(L1309="F-60",4,IF(L1309="F-90",5,IF(L1309="F-120",6,IF(L1309="F-150",7,0)))))),0),0)+IF(AND(O1309="FIRE TEX 5090",E1309="CJ",J1309=4),VLOOKUP(_xlfn.MINIFS('FIRE TEX 5090'!$Y$5:$Y$39,'FIRE TEX 5090'!$Y$5:$Y$39,"&gt;="&amp;M1309),'FIRE TEX 5090'!$Y$5:$AD$39,IF(L1309="F-15",2,IF(L1309="F-30",3,IF(L1309="F-60",4,IF(L1309="F-90",5,IF(L1309="F-120",6,IF(L1309="F-150",7,0)))))),0),0)+IF(AND(O1309="FIRE TEX 5120",OR(E1309="IN",E1309="C",E1309="Z",E1309="L"),J1309=3),VLOOKUP(_xlfn.MINIFS('FIRE TEX 5120'!$B$5:$B$40,'FIRE TEX 5120'!$B$5:$B$40,"&gt;="&amp;M1309),'FIRE TEX 5120'!$B$5:$G$40,IF(L1309="F-15",2,IF(L1309="F-30",3,IF(L1309="F-60",4,IF(L1309="F-90",5,IF(L1309="F-120",6,0))))),0),0)+IF(AND(O1309="FIRE TEX 5120",OR(E1309="IN",E1309="C",E1309="Z",E1309="L"),J1309=4),VLOOKUP(_xlfn.MINIFS('FIRE TEX 5120'!$H$4:$H$40,'FIRE TEX 5120'!$H$4:$H$40,"&gt;="&amp;M1309),'FIRE TEX 5120'!$H$4:$M$40,IF(L1309="F-15",2,IF(L1309="F-30",3,IF(L1309="F-60",4,IF(L1309="F-90",5,IF(L1309="F-120",6,0))))),0),0)+IF(AND(O1309="FIRE TEX 5120",E1309="CJ"),VLOOKUP(_xlfn.MINIFS('FIRE TEX 5120'!$O$5:$O$40,'FIRE TEX 5120'!$O$5:$O$40,"&gt;="&amp;M1309),'FIRE TEX 5120'!$O$5:$T$40,IF(L1309="F-15",2,IF(L1309="F-30",3,IF(L1309="F-60",4,IF(L1309="F-90",5,IF(L1309="F-120",6,0))))),0),0)</f>
        <v>0</v>
      </c>
      <c r="Q1309" s="46">
        <f t="shared" si="119"/>
        <v>0</v>
      </c>
      <c r="R1309" s="46">
        <f t="shared" si="120"/>
        <v>0</v>
      </c>
      <c r="S1309" s="46" t="e">
        <f t="shared" si="121"/>
        <v>#VALUE!</v>
      </c>
      <c r="T1309" s="677">
        <f t="shared" si="122"/>
        <v>0</v>
      </c>
      <c r="U1309" s="80">
        <f>(IF(O1309="Stofire",(S1309*#REF!),0))+(IF(O1309="Fire Control",(S1309*$U$2),0))+(IF(O1309="Fire Tex",(S1309*$U$3),0))+(IF(O1309="WB7",(S1309*#REF!),0)+(IF(O1309="FX 2003",(S1309*$U$5),0)))</f>
        <v>0</v>
      </c>
      <c r="V1309" s="651">
        <f t="shared" si="123"/>
        <v>0</v>
      </c>
    </row>
    <row r="1310" spans="4:22" x14ac:dyDescent="0.25">
      <c r="D1310" s="118">
        <f>+CUBICACION!D1309</f>
        <v>0</v>
      </c>
      <c r="E1310" s="118">
        <f>+CUBICACION!F1309</f>
        <v>0</v>
      </c>
      <c r="F1310" s="118">
        <f>+CUBICACION!E1309</f>
        <v>0</v>
      </c>
      <c r="G1310" s="118">
        <v>12</v>
      </c>
      <c r="H1310" s="118">
        <v>2</v>
      </c>
      <c r="I1310" s="820">
        <v>26385</v>
      </c>
      <c r="J1310" s="118">
        <f>+CUBICACION!J1309</f>
        <v>0</v>
      </c>
      <c r="K1310" s="118">
        <v>4089</v>
      </c>
      <c r="L1310" s="118">
        <f>+CUBICACION!L1309</f>
        <v>0</v>
      </c>
      <c r="M1310" s="64">
        <f>+CUBICACION!M1309</f>
        <v>0</v>
      </c>
      <c r="N1310" s="824" t="str">
        <f>+CUBICACION!N1309</f>
        <v/>
      </c>
      <c r="O1310" s="675">
        <f>+CUBICACION!O1309</f>
        <v>0</v>
      </c>
      <c r="P1310" s="15">
        <f>IF(O1310="Fire Control",VLOOKUP(_xlfn.MINIFS('FIRE CONTROL'!$C$4:$C$37,'FIRE CONTROL'!$C$4:$C$37,"&gt;="&amp;M1310),'FIRE CONTROL'!$C$4:$G$37,IF(L1310="F-15",2,IF(L1310="F-30",3,IF(L1310="F-60",4,IF(L1310="F-90",5,0)))),0),0)+IF(AND(O1310="FIRE TEX 5062",OR(E1310="IN",E1310="C",E1310="Z",E1310="L"),J1310=3),VLOOKUP(_xlfn.MINIFS('FIRE TEX 5062'!$B$4:$B$34,'FIRE TEX 5062'!$B$4:$B$34,"&gt;="&amp;M1310),'FIRE TEX 5062'!$B$4:$F$34,IF(L1310="F-15",2,IF(L1310="F-30",3,IF(L1310="F-60",4,IF(L1310="F-90",5,0)))),0),0)+IF(AND(O1310="FIRE TEX 5062",OR(E1310="IN",E1310="C",E1310="Z",E1310="L"),J1310=4),VLOOKUP(_xlfn.MINIFS('FIRE TEX 5062'!$G$4:$G$34,'FIRE TEX 5062'!$G$4:$G$34,"&gt;="&amp;M1310),'FIRE TEX 5062'!$G$4:$K$34,IF(L1310="F-15",2,IF(L1310="F-30",3,IF(L1310="F-60",4,IF(L1310="F-90",5,0)))),0),0)+IF(AND(O1310="FIRE TEX 5062",E1310="CJ",J1310=3),VLOOKUP(_xlfn.MINIFS('FIRE TEX 5062'!$L$4:$L$34,'FIRE TEX 5062'!$L$4:$L$34,"&gt;="&amp;M1310),'FIRE TEX 5062'!$L$4:$P$34,IF(L1310="F-15",2,IF(L1310="F-30",3,IF(L1310="F-60",4,IF(L1310="F-90",5,0)))),0),0)+IF(AND(O1310="FIRE TEX 5062",E1310="CJ",J1310=4),VLOOKUP(_xlfn.MINIFS('FIRE TEX 5062'!$Q$3:$Q$34,'FIRE TEX 5062'!$Q$3:$Q$34,"&gt;="&amp;M1310),'FIRE TEX 5062'!$Q$3:$U$34,IF(L1310="F-15",2,IF(L1310="F-30",3,IF(L1310="F-60",4,IF(L1310="F-90",5,0)))),0),0)+IF(AND(O1310="FIRE TEX 5090",OR(E1310="IN",E1310="C",E1310="Z",E1310="L"),J1310=3),VLOOKUP(_xlfn.MINIFS('FIRE TEX 5090'!$B$5:$B$43,'FIRE TEX 5090'!$B$5:$B$43,"&gt;="&amp;M1310),'FIRE TEX 5090'!$B$5:$H$43,IF(L1310="F-15",2,IF(L1310="F-30",3,IF(L1310="F-60",4,IF(L1310="F-90",5,IF(L1310="F-120",6,IF(L1310="F-150",7,0)))))),0),0)+IF(AND(O1310="FIRE TEX 5090",OR(E1310="IN",E1310="C",E1310="Z",E1310="L"),J1310=4),VLOOKUP(_xlfn.MINIFS('FIRE TEX 5090'!$J$5:$J$43,'FIRE TEX 5090'!$J$5:$J$43,"&gt;="&amp;M1310),'FIRE TEX 5090'!$J$5:$P$43,IF(L1310="F-15",2,IF(L1310="F-30",3,IF(L1310="F-60",4,IF(L1310="F-90",5,IF(L1310="F-120",6,IF(L1310="F-150",7,0)))))),0),0)+IF(AND(O1310="FIRE TEX 5090",E1310="CJ",J1310=3),VLOOKUP(_xlfn.MINIFS('FIRE TEX 5090'!$R$5:$R$30,'FIRE TEX 5090'!$R$5:$R$30,"&gt;="&amp;M1310),'FIRE TEX 5090'!$R$5:$W$30,IF(L1310="F-15",2,IF(L1310="F-30",3,IF(L1310="F-60",4,IF(L1310="F-90",5,IF(L1310="F-120",6,IF(L1310="F-150",7,0)))))),0),0)+IF(AND(O1310="FIRE TEX 5090",E1310="CJ",J1310=4),VLOOKUP(_xlfn.MINIFS('FIRE TEX 5090'!$Y$5:$Y$39,'FIRE TEX 5090'!$Y$5:$Y$39,"&gt;="&amp;M1310),'FIRE TEX 5090'!$Y$5:$AD$39,IF(L1310="F-15",2,IF(L1310="F-30",3,IF(L1310="F-60",4,IF(L1310="F-90",5,IF(L1310="F-120",6,IF(L1310="F-150",7,0)))))),0),0)+IF(AND(O1310="FIRE TEX 5120",OR(E1310="IN",E1310="C",E1310="Z",E1310="L"),J1310=3),VLOOKUP(_xlfn.MINIFS('FIRE TEX 5120'!$B$5:$B$40,'FIRE TEX 5120'!$B$5:$B$40,"&gt;="&amp;M1310),'FIRE TEX 5120'!$B$5:$G$40,IF(L1310="F-15",2,IF(L1310="F-30",3,IF(L1310="F-60",4,IF(L1310="F-90",5,IF(L1310="F-120",6,0))))),0),0)+IF(AND(O1310="FIRE TEX 5120",OR(E1310="IN",E1310="C",E1310="Z",E1310="L"),J1310=4),VLOOKUP(_xlfn.MINIFS('FIRE TEX 5120'!$H$4:$H$40,'FIRE TEX 5120'!$H$4:$H$40,"&gt;="&amp;M1310),'FIRE TEX 5120'!$H$4:$M$40,IF(L1310="F-15",2,IF(L1310="F-30",3,IF(L1310="F-60",4,IF(L1310="F-90",5,IF(L1310="F-120",6,0))))),0),0)+IF(AND(O1310="FIRE TEX 5120",E1310="CJ"),VLOOKUP(_xlfn.MINIFS('FIRE TEX 5120'!$O$5:$O$40,'FIRE TEX 5120'!$O$5:$O$40,"&gt;="&amp;M1310),'FIRE TEX 5120'!$O$5:$T$40,IF(L1310="F-15",2,IF(L1310="F-30",3,IF(L1310="F-60",4,IF(L1310="F-90",5,IF(L1310="F-120",6,0))))),0),0)</f>
        <v>0</v>
      </c>
      <c r="Q1310" s="46">
        <f t="shared" si="119"/>
        <v>0</v>
      </c>
      <c r="R1310" s="46">
        <f t="shared" si="120"/>
        <v>0</v>
      </c>
      <c r="S1310" s="46" t="e">
        <f t="shared" si="121"/>
        <v>#VALUE!</v>
      </c>
      <c r="T1310" s="677">
        <f t="shared" si="122"/>
        <v>0</v>
      </c>
      <c r="U1310" s="80">
        <f>(IF(O1310="Stofire",(S1310*#REF!),0))+(IF(O1310="Fire Control",(S1310*$U$2),0))+(IF(O1310="Fire Tex",(S1310*$U$3),0))+(IF(O1310="WB7",(S1310*#REF!),0)+(IF(O1310="FX 2003",(S1310*$U$5),0)))</f>
        <v>0</v>
      </c>
      <c r="V1310" s="651">
        <f t="shared" si="123"/>
        <v>0</v>
      </c>
    </row>
    <row r="1311" spans="4:22" x14ac:dyDescent="0.25">
      <c r="D1311" s="118">
        <f>+CUBICACION!D1310</f>
        <v>0</v>
      </c>
      <c r="E1311" s="118">
        <f>+CUBICACION!F1310</f>
        <v>0</v>
      </c>
      <c r="F1311" s="118">
        <f>+CUBICACION!E1310</f>
        <v>0</v>
      </c>
      <c r="G1311" s="118">
        <v>12</v>
      </c>
      <c r="H1311" s="118">
        <v>2</v>
      </c>
      <c r="I1311" s="820">
        <v>26385</v>
      </c>
      <c r="J1311" s="118">
        <f>+CUBICACION!J1310</f>
        <v>0</v>
      </c>
      <c r="K1311" s="118">
        <v>4090</v>
      </c>
      <c r="L1311" s="118">
        <f>+CUBICACION!L1310</f>
        <v>0</v>
      </c>
      <c r="M1311" s="64">
        <f>+CUBICACION!M1310</f>
        <v>0</v>
      </c>
      <c r="N1311" s="824" t="str">
        <f>+CUBICACION!N1310</f>
        <v/>
      </c>
      <c r="O1311" s="675">
        <f>+CUBICACION!O1310</f>
        <v>0</v>
      </c>
      <c r="P1311" s="15">
        <f>IF(O1311="Fire Control",VLOOKUP(_xlfn.MINIFS('FIRE CONTROL'!$C$4:$C$37,'FIRE CONTROL'!$C$4:$C$37,"&gt;="&amp;M1311),'FIRE CONTROL'!$C$4:$G$37,IF(L1311="F-15",2,IF(L1311="F-30",3,IF(L1311="F-60",4,IF(L1311="F-90",5,0)))),0),0)+IF(AND(O1311="FIRE TEX 5062",OR(E1311="IN",E1311="C",E1311="Z",E1311="L"),J1311=3),VLOOKUP(_xlfn.MINIFS('FIRE TEX 5062'!$B$4:$B$34,'FIRE TEX 5062'!$B$4:$B$34,"&gt;="&amp;M1311),'FIRE TEX 5062'!$B$4:$F$34,IF(L1311="F-15",2,IF(L1311="F-30",3,IF(L1311="F-60",4,IF(L1311="F-90",5,0)))),0),0)+IF(AND(O1311="FIRE TEX 5062",OR(E1311="IN",E1311="C",E1311="Z",E1311="L"),J1311=4),VLOOKUP(_xlfn.MINIFS('FIRE TEX 5062'!$G$4:$G$34,'FIRE TEX 5062'!$G$4:$G$34,"&gt;="&amp;M1311),'FIRE TEX 5062'!$G$4:$K$34,IF(L1311="F-15",2,IF(L1311="F-30",3,IF(L1311="F-60",4,IF(L1311="F-90",5,0)))),0),0)+IF(AND(O1311="FIRE TEX 5062",E1311="CJ",J1311=3),VLOOKUP(_xlfn.MINIFS('FIRE TEX 5062'!$L$4:$L$34,'FIRE TEX 5062'!$L$4:$L$34,"&gt;="&amp;M1311),'FIRE TEX 5062'!$L$4:$P$34,IF(L1311="F-15",2,IF(L1311="F-30",3,IF(L1311="F-60",4,IF(L1311="F-90",5,0)))),0),0)+IF(AND(O1311="FIRE TEX 5062",E1311="CJ",J1311=4),VLOOKUP(_xlfn.MINIFS('FIRE TEX 5062'!$Q$3:$Q$34,'FIRE TEX 5062'!$Q$3:$Q$34,"&gt;="&amp;M1311),'FIRE TEX 5062'!$Q$3:$U$34,IF(L1311="F-15",2,IF(L1311="F-30",3,IF(L1311="F-60",4,IF(L1311="F-90",5,0)))),0),0)+IF(AND(O1311="FIRE TEX 5090",OR(E1311="IN",E1311="C",E1311="Z",E1311="L"),J1311=3),VLOOKUP(_xlfn.MINIFS('FIRE TEX 5090'!$B$5:$B$43,'FIRE TEX 5090'!$B$5:$B$43,"&gt;="&amp;M1311),'FIRE TEX 5090'!$B$5:$H$43,IF(L1311="F-15",2,IF(L1311="F-30",3,IF(L1311="F-60",4,IF(L1311="F-90",5,IF(L1311="F-120",6,IF(L1311="F-150",7,0)))))),0),0)+IF(AND(O1311="FIRE TEX 5090",OR(E1311="IN",E1311="C",E1311="Z",E1311="L"),J1311=4),VLOOKUP(_xlfn.MINIFS('FIRE TEX 5090'!$J$5:$J$43,'FIRE TEX 5090'!$J$5:$J$43,"&gt;="&amp;M1311),'FIRE TEX 5090'!$J$5:$P$43,IF(L1311="F-15",2,IF(L1311="F-30",3,IF(L1311="F-60",4,IF(L1311="F-90",5,IF(L1311="F-120",6,IF(L1311="F-150",7,0)))))),0),0)+IF(AND(O1311="FIRE TEX 5090",E1311="CJ",J1311=3),VLOOKUP(_xlfn.MINIFS('FIRE TEX 5090'!$R$5:$R$30,'FIRE TEX 5090'!$R$5:$R$30,"&gt;="&amp;M1311),'FIRE TEX 5090'!$R$5:$W$30,IF(L1311="F-15",2,IF(L1311="F-30",3,IF(L1311="F-60",4,IF(L1311="F-90",5,IF(L1311="F-120",6,IF(L1311="F-150",7,0)))))),0),0)+IF(AND(O1311="FIRE TEX 5090",E1311="CJ",J1311=4),VLOOKUP(_xlfn.MINIFS('FIRE TEX 5090'!$Y$5:$Y$39,'FIRE TEX 5090'!$Y$5:$Y$39,"&gt;="&amp;M1311),'FIRE TEX 5090'!$Y$5:$AD$39,IF(L1311="F-15",2,IF(L1311="F-30",3,IF(L1311="F-60",4,IF(L1311="F-90",5,IF(L1311="F-120",6,IF(L1311="F-150",7,0)))))),0),0)+IF(AND(O1311="FIRE TEX 5120",OR(E1311="IN",E1311="C",E1311="Z",E1311="L"),J1311=3),VLOOKUP(_xlfn.MINIFS('FIRE TEX 5120'!$B$5:$B$40,'FIRE TEX 5120'!$B$5:$B$40,"&gt;="&amp;M1311),'FIRE TEX 5120'!$B$5:$G$40,IF(L1311="F-15",2,IF(L1311="F-30",3,IF(L1311="F-60",4,IF(L1311="F-90",5,IF(L1311="F-120",6,0))))),0),0)+IF(AND(O1311="FIRE TEX 5120",OR(E1311="IN",E1311="C",E1311="Z",E1311="L"),J1311=4),VLOOKUP(_xlfn.MINIFS('FIRE TEX 5120'!$H$4:$H$40,'FIRE TEX 5120'!$H$4:$H$40,"&gt;="&amp;M1311),'FIRE TEX 5120'!$H$4:$M$40,IF(L1311="F-15",2,IF(L1311="F-30",3,IF(L1311="F-60",4,IF(L1311="F-90",5,IF(L1311="F-120",6,0))))),0),0)+IF(AND(O1311="FIRE TEX 5120",E1311="CJ"),VLOOKUP(_xlfn.MINIFS('FIRE TEX 5120'!$O$5:$O$40,'FIRE TEX 5120'!$O$5:$O$40,"&gt;="&amp;M1311),'FIRE TEX 5120'!$O$5:$T$40,IF(L1311="F-15",2,IF(L1311="F-30",3,IF(L1311="F-60",4,IF(L1311="F-90",5,IF(L1311="F-120",6,0))))),0),0)</f>
        <v>0</v>
      </c>
      <c r="Q1311" s="46">
        <f t="shared" si="119"/>
        <v>0</v>
      </c>
      <c r="R1311" s="46">
        <f t="shared" si="120"/>
        <v>0</v>
      </c>
      <c r="S1311" s="46" t="e">
        <f t="shared" si="121"/>
        <v>#VALUE!</v>
      </c>
      <c r="T1311" s="677">
        <f t="shared" si="122"/>
        <v>0</v>
      </c>
      <c r="U1311" s="80">
        <f>(IF(O1311="Stofire",(S1311*#REF!),0))+(IF(O1311="Fire Control",(S1311*$U$2),0))+(IF(O1311="Fire Tex",(S1311*$U$3),0))+(IF(O1311="WB7",(S1311*#REF!),0)+(IF(O1311="FX 2003",(S1311*$U$5),0)))</f>
        <v>0</v>
      </c>
      <c r="V1311" s="651">
        <f t="shared" si="123"/>
        <v>0</v>
      </c>
    </row>
    <row r="1312" spans="4:22" x14ac:dyDescent="0.25">
      <c r="D1312" s="118">
        <f>+CUBICACION!D1311</f>
        <v>0</v>
      </c>
      <c r="E1312" s="118">
        <f>+CUBICACION!F1311</f>
        <v>0</v>
      </c>
      <c r="F1312" s="118">
        <f>+CUBICACION!E1311</f>
        <v>0</v>
      </c>
      <c r="G1312" s="118">
        <v>12</v>
      </c>
      <c r="H1312" s="118">
        <v>2</v>
      </c>
      <c r="I1312" s="820">
        <v>26385</v>
      </c>
      <c r="J1312" s="118">
        <f>+CUBICACION!J1311</f>
        <v>0</v>
      </c>
      <c r="K1312" s="118">
        <v>4091</v>
      </c>
      <c r="L1312" s="118">
        <f>+CUBICACION!L1311</f>
        <v>0</v>
      </c>
      <c r="M1312" s="64">
        <f>+CUBICACION!M1311</f>
        <v>0</v>
      </c>
      <c r="N1312" s="824" t="str">
        <f>+CUBICACION!N1311</f>
        <v/>
      </c>
      <c r="O1312" s="675">
        <f>+CUBICACION!O1311</f>
        <v>0</v>
      </c>
      <c r="P1312" s="15">
        <f>IF(O1312="Fire Control",VLOOKUP(_xlfn.MINIFS('FIRE CONTROL'!$C$4:$C$37,'FIRE CONTROL'!$C$4:$C$37,"&gt;="&amp;M1312),'FIRE CONTROL'!$C$4:$G$37,IF(L1312="F-15",2,IF(L1312="F-30",3,IF(L1312="F-60",4,IF(L1312="F-90",5,0)))),0),0)+IF(AND(O1312="FIRE TEX 5062",OR(E1312="IN",E1312="C",E1312="Z",E1312="L"),J1312=3),VLOOKUP(_xlfn.MINIFS('FIRE TEX 5062'!$B$4:$B$34,'FIRE TEX 5062'!$B$4:$B$34,"&gt;="&amp;M1312),'FIRE TEX 5062'!$B$4:$F$34,IF(L1312="F-15",2,IF(L1312="F-30",3,IF(L1312="F-60",4,IF(L1312="F-90",5,0)))),0),0)+IF(AND(O1312="FIRE TEX 5062",OR(E1312="IN",E1312="C",E1312="Z",E1312="L"),J1312=4),VLOOKUP(_xlfn.MINIFS('FIRE TEX 5062'!$G$4:$G$34,'FIRE TEX 5062'!$G$4:$G$34,"&gt;="&amp;M1312),'FIRE TEX 5062'!$G$4:$K$34,IF(L1312="F-15",2,IF(L1312="F-30",3,IF(L1312="F-60",4,IF(L1312="F-90",5,0)))),0),0)+IF(AND(O1312="FIRE TEX 5062",E1312="CJ",J1312=3),VLOOKUP(_xlfn.MINIFS('FIRE TEX 5062'!$L$4:$L$34,'FIRE TEX 5062'!$L$4:$L$34,"&gt;="&amp;M1312),'FIRE TEX 5062'!$L$4:$P$34,IF(L1312="F-15",2,IF(L1312="F-30",3,IF(L1312="F-60",4,IF(L1312="F-90",5,0)))),0),0)+IF(AND(O1312="FIRE TEX 5062",E1312="CJ",J1312=4),VLOOKUP(_xlfn.MINIFS('FIRE TEX 5062'!$Q$3:$Q$34,'FIRE TEX 5062'!$Q$3:$Q$34,"&gt;="&amp;M1312),'FIRE TEX 5062'!$Q$3:$U$34,IF(L1312="F-15",2,IF(L1312="F-30",3,IF(L1312="F-60",4,IF(L1312="F-90",5,0)))),0),0)+IF(AND(O1312="FIRE TEX 5090",OR(E1312="IN",E1312="C",E1312="Z",E1312="L"),J1312=3),VLOOKUP(_xlfn.MINIFS('FIRE TEX 5090'!$B$5:$B$43,'FIRE TEX 5090'!$B$5:$B$43,"&gt;="&amp;M1312),'FIRE TEX 5090'!$B$5:$H$43,IF(L1312="F-15",2,IF(L1312="F-30",3,IF(L1312="F-60",4,IF(L1312="F-90",5,IF(L1312="F-120",6,IF(L1312="F-150",7,0)))))),0),0)+IF(AND(O1312="FIRE TEX 5090",OR(E1312="IN",E1312="C",E1312="Z",E1312="L"),J1312=4),VLOOKUP(_xlfn.MINIFS('FIRE TEX 5090'!$J$5:$J$43,'FIRE TEX 5090'!$J$5:$J$43,"&gt;="&amp;M1312),'FIRE TEX 5090'!$J$5:$P$43,IF(L1312="F-15",2,IF(L1312="F-30",3,IF(L1312="F-60",4,IF(L1312="F-90",5,IF(L1312="F-120",6,IF(L1312="F-150",7,0)))))),0),0)+IF(AND(O1312="FIRE TEX 5090",E1312="CJ",J1312=3),VLOOKUP(_xlfn.MINIFS('FIRE TEX 5090'!$R$5:$R$30,'FIRE TEX 5090'!$R$5:$R$30,"&gt;="&amp;M1312),'FIRE TEX 5090'!$R$5:$W$30,IF(L1312="F-15",2,IF(L1312="F-30",3,IF(L1312="F-60",4,IF(L1312="F-90",5,IF(L1312="F-120",6,IF(L1312="F-150",7,0)))))),0),0)+IF(AND(O1312="FIRE TEX 5090",E1312="CJ",J1312=4),VLOOKUP(_xlfn.MINIFS('FIRE TEX 5090'!$Y$5:$Y$39,'FIRE TEX 5090'!$Y$5:$Y$39,"&gt;="&amp;M1312),'FIRE TEX 5090'!$Y$5:$AD$39,IF(L1312="F-15",2,IF(L1312="F-30",3,IF(L1312="F-60",4,IF(L1312="F-90",5,IF(L1312="F-120",6,IF(L1312="F-150",7,0)))))),0),0)+IF(AND(O1312="FIRE TEX 5120",OR(E1312="IN",E1312="C",E1312="Z",E1312="L"),J1312=3),VLOOKUP(_xlfn.MINIFS('FIRE TEX 5120'!$B$5:$B$40,'FIRE TEX 5120'!$B$5:$B$40,"&gt;="&amp;M1312),'FIRE TEX 5120'!$B$5:$G$40,IF(L1312="F-15",2,IF(L1312="F-30",3,IF(L1312="F-60",4,IF(L1312="F-90",5,IF(L1312="F-120",6,0))))),0),0)+IF(AND(O1312="FIRE TEX 5120",OR(E1312="IN",E1312="C",E1312="Z",E1312="L"),J1312=4),VLOOKUP(_xlfn.MINIFS('FIRE TEX 5120'!$H$4:$H$40,'FIRE TEX 5120'!$H$4:$H$40,"&gt;="&amp;M1312),'FIRE TEX 5120'!$H$4:$M$40,IF(L1312="F-15",2,IF(L1312="F-30",3,IF(L1312="F-60",4,IF(L1312="F-90",5,IF(L1312="F-120",6,0))))),0),0)+IF(AND(O1312="FIRE TEX 5120",E1312="CJ"),VLOOKUP(_xlfn.MINIFS('FIRE TEX 5120'!$O$5:$O$40,'FIRE TEX 5120'!$O$5:$O$40,"&gt;="&amp;M1312),'FIRE TEX 5120'!$O$5:$T$40,IF(L1312="F-15",2,IF(L1312="F-30",3,IF(L1312="F-60",4,IF(L1312="F-90",5,IF(L1312="F-120",6,0))))),0),0)</f>
        <v>0</v>
      </c>
      <c r="Q1312" s="46">
        <f t="shared" si="119"/>
        <v>0</v>
      </c>
      <c r="R1312" s="46">
        <f t="shared" si="120"/>
        <v>0</v>
      </c>
      <c r="S1312" s="46" t="e">
        <f t="shared" si="121"/>
        <v>#VALUE!</v>
      </c>
      <c r="T1312" s="677">
        <f t="shared" si="122"/>
        <v>0</v>
      </c>
      <c r="U1312" s="80">
        <f>(IF(O1312="Stofire",(S1312*#REF!),0))+(IF(O1312="Fire Control",(S1312*$U$2),0))+(IF(O1312="Fire Tex",(S1312*$U$3),0))+(IF(O1312="WB7",(S1312*#REF!),0)+(IF(O1312="FX 2003",(S1312*$U$5),0)))</f>
        <v>0</v>
      </c>
      <c r="V1312" s="651">
        <f t="shared" si="123"/>
        <v>0</v>
      </c>
    </row>
    <row r="1313" spans="4:22" x14ac:dyDescent="0.25">
      <c r="D1313" s="118">
        <f>+CUBICACION!D1312</f>
        <v>0</v>
      </c>
      <c r="E1313" s="118">
        <f>+CUBICACION!F1312</f>
        <v>0</v>
      </c>
      <c r="F1313" s="118">
        <f>+CUBICACION!E1312</f>
        <v>0</v>
      </c>
      <c r="G1313" s="118">
        <v>12</v>
      </c>
      <c r="H1313" s="118">
        <v>2</v>
      </c>
      <c r="I1313" s="820">
        <v>26385</v>
      </c>
      <c r="J1313" s="118">
        <f>+CUBICACION!J1312</f>
        <v>0</v>
      </c>
      <c r="K1313" s="118">
        <v>4092</v>
      </c>
      <c r="L1313" s="118">
        <f>+CUBICACION!L1312</f>
        <v>0</v>
      </c>
      <c r="M1313" s="64">
        <f>+CUBICACION!M1312</f>
        <v>0</v>
      </c>
      <c r="N1313" s="824" t="str">
        <f>+CUBICACION!N1312</f>
        <v/>
      </c>
      <c r="O1313" s="675">
        <f>+CUBICACION!O1312</f>
        <v>0</v>
      </c>
      <c r="P1313" s="15">
        <f>IF(O1313="Fire Control",VLOOKUP(_xlfn.MINIFS('FIRE CONTROL'!$C$4:$C$37,'FIRE CONTROL'!$C$4:$C$37,"&gt;="&amp;M1313),'FIRE CONTROL'!$C$4:$G$37,IF(L1313="F-15",2,IF(L1313="F-30",3,IF(L1313="F-60",4,IF(L1313="F-90",5,0)))),0),0)+IF(AND(O1313="FIRE TEX 5062",OR(E1313="IN",E1313="C",E1313="Z",E1313="L"),J1313=3),VLOOKUP(_xlfn.MINIFS('FIRE TEX 5062'!$B$4:$B$34,'FIRE TEX 5062'!$B$4:$B$34,"&gt;="&amp;M1313),'FIRE TEX 5062'!$B$4:$F$34,IF(L1313="F-15",2,IF(L1313="F-30",3,IF(L1313="F-60",4,IF(L1313="F-90",5,0)))),0),0)+IF(AND(O1313="FIRE TEX 5062",OR(E1313="IN",E1313="C",E1313="Z",E1313="L"),J1313=4),VLOOKUP(_xlfn.MINIFS('FIRE TEX 5062'!$G$4:$G$34,'FIRE TEX 5062'!$G$4:$G$34,"&gt;="&amp;M1313),'FIRE TEX 5062'!$G$4:$K$34,IF(L1313="F-15",2,IF(L1313="F-30",3,IF(L1313="F-60",4,IF(L1313="F-90",5,0)))),0),0)+IF(AND(O1313="FIRE TEX 5062",E1313="CJ",J1313=3),VLOOKUP(_xlfn.MINIFS('FIRE TEX 5062'!$L$4:$L$34,'FIRE TEX 5062'!$L$4:$L$34,"&gt;="&amp;M1313),'FIRE TEX 5062'!$L$4:$P$34,IF(L1313="F-15",2,IF(L1313="F-30",3,IF(L1313="F-60",4,IF(L1313="F-90",5,0)))),0),0)+IF(AND(O1313="FIRE TEX 5062",E1313="CJ",J1313=4),VLOOKUP(_xlfn.MINIFS('FIRE TEX 5062'!$Q$3:$Q$34,'FIRE TEX 5062'!$Q$3:$Q$34,"&gt;="&amp;M1313),'FIRE TEX 5062'!$Q$3:$U$34,IF(L1313="F-15",2,IF(L1313="F-30",3,IF(L1313="F-60",4,IF(L1313="F-90",5,0)))),0),0)+IF(AND(O1313="FIRE TEX 5090",OR(E1313="IN",E1313="C",E1313="Z",E1313="L"),J1313=3),VLOOKUP(_xlfn.MINIFS('FIRE TEX 5090'!$B$5:$B$43,'FIRE TEX 5090'!$B$5:$B$43,"&gt;="&amp;M1313),'FIRE TEX 5090'!$B$5:$H$43,IF(L1313="F-15",2,IF(L1313="F-30",3,IF(L1313="F-60",4,IF(L1313="F-90",5,IF(L1313="F-120",6,IF(L1313="F-150",7,0)))))),0),0)+IF(AND(O1313="FIRE TEX 5090",OR(E1313="IN",E1313="C",E1313="Z",E1313="L"),J1313=4),VLOOKUP(_xlfn.MINIFS('FIRE TEX 5090'!$J$5:$J$43,'FIRE TEX 5090'!$J$5:$J$43,"&gt;="&amp;M1313),'FIRE TEX 5090'!$J$5:$P$43,IF(L1313="F-15",2,IF(L1313="F-30",3,IF(L1313="F-60",4,IF(L1313="F-90",5,IF(L1313="F-120",6,IF(L1313="F-150",7,0)))))),0),0)+IF(AND(O1313="FIRE TEX 5090",E1313="CJ",J1313=3),VLOOKUP(_xlfn.MINIFS('FIRE TEX 5090'!$R$5:$R$30,'FIRE TEX 5090'!$R$5:$R$30,"&gt;="&amp;M1313),'FIRE TEX 5090'!$R$5:$W$30,IF(L1313="F-15",2,IF(L1313="F-30",3,IF(L1313="F-60",4,IF(L1313="F-90",5,IF(L1313="F-120",6,IF(L1313="F-150",7,0)))))),0),0)+IF(AND(O1313="FIRE TEX 5090",E1313="CJ",J1313=4),VLOOKUP(_xlfn.MINIFS('FIRE TEX 5090'!$Y$5:$Y$39,'FIRE TEX 5090'!$Y$5:$Y$39,"&gt;="&amp;M1313),'FIRE TEX 5090'!$Y$5:$AD$39,IF(L1313="F-15",2,IF(L1313="F-30",3,IF(L1313="F-60",4,IF(L1313="F-90",5,IF(L1313="F-120",6,IF(L1313="F-150",7,0)))))),0),0)+IF(AND(O1313="FIRE TEX 5120",OR(E1313="IN",E1313="C",E1313="Z",E1313="L"),J1313=3),VLOOKUP(_xlfn.MINIFS('FIRE TEX 5120'!$B$5:$B$40,'FIRE TEX 5120'!$B$5:$B$40,"&gt;="&amp;M1313),'FIRE TEX 5120'!$B$5:$G$40,IF(L1313="F-15",2,IF(L1313="F-30",3,IF(L1313="F-60",4,IF(L1313="F-90",5,IF(L1313="F-120",6,0))))),0),0)+IF(AND(O1313="FIRE TEX 5120",OR(E1313="IN",E1313="C",E1313="Z",E1313="L"),J1313=4),VLOOKUP(_xlfn.MINIFS('FIRE TEX 5120'!$H$4:$H$40,'FIRE TEX 5120'!$H$4:$H$40,"&gt;="&amp;M1313),'FIRE TEX 5120'!$H$4:$M$40,IF(L1313="F-15",2,IF(L1313="F-30",3,IF(L1313="F-60",4,IF(L1313="F-90",5,IF(L1313="F-120",6,0))))),0),0)+IF(AND(O1313="FIRE TEX 5120",E1313="CJ"),VLOOKUP(_xlfn.MINIFS('FIRE TEX 5120'!$O$5:$O$40,'FIRE TEX 5120'!$O$5:$O$40,"&gt;="&amp;M1313),'FIRE TEX 5120'!$O$5:$T$40,IF(L1313="F-15",2,IF(L1313="F-30",3,IF(L1313="F-60",4,IF(L1313="F-90",5,IF(L1313="F-120",6,0))))),0),0)</f>
        <v>0</v>
      </c>
      <c r="Q1313" s="46">
        <f t="shared" si="119"/>
        <v>0</v>
      </c>
      <c r="R1313" s="46">
        <f t="shared" si="120"/>
        <v>0</v>
      </c>
      <c r="S1313" s="46" t="e">
        <f t="shared" si="121"/>
        <v>#VALUE!</v>
      </c>
      <c r="T1313" s="677">
        <f t="shared" si="122"/>
        <v>0</v>
      </c>
      <c r="U1313" s="80">
        <f>(IF(O1313="Stofire",(S1313*#REF!),0))+(IF(O1313="Fire Control",(S1313*$U$2),0))+(IF(O1313="Fire Tex",(S1313*$U$3),0))+(IF(O1313="WB7",(S1313*#REF!),0)+(IF(O1313="FX 2003",(S1313*$U$5),0)))</f>
        <v>0</v>
      </c>
      <c r="V1313" s="651">
        <f t="shared" si="123"/>
        <v>0</v>
      </c>
    </row>
    <row r="1314" spans="4:22" x14ac:dyDescent="0.25">
      <c r="D1314" s="118">
        <f>+CUBICACION!D1313</f>
        <v>0</v>
      </c>
      <c r="E1314" s="118">
        <f>+CUBICACION!F1313</f>
        <v>0</v>
      </c>
      <c r="F1314" s="118">
        <f>+CUBICACION!E1313</f>
        <v>0</v>
      </c>
      <c r="G1314" s="118">
        <v>12</v>
      </c>
      <c r="H1314" s="118">
        <v>2</v>
      </c>
      <c r="I1314" s="820">
        <v>26385</v>
      </c>
      <c r="J1314" s="118">
        <f>+CUBICACION!J1313</f>
        <v>0</v>
      </c>
      <c r="K1314" s="118">
        <v>4093</v>
      </c>
      <c r="L1314" s="118">
        <f>+CUBICACION!L1313</f>
        <v>0</v>
      </c>
      <c r="M1314" s="64">
        <f>+CUBICACION!M1313</f>
        <v>0</v>
      </c>
      <c r="N1314" s="824" t="str">
        <f>+CUBICACION!N1313</f>
        <v/>
      </c>
      <c r="O1314" s="675">
        <f>+CUBICACION!O1313</f>
        <v>0</v>
      </c>
      <c r="P1314" s="15">
        <f>IF(O1314="Fire Control",VLOOKUP(_xlfn.MINIFS('FIRE CONTROL'!$C$4:$C$37,'FIRE CONTROL'!$C$4:$C$37,"&gt;="&amp;M1314),'FIRE CONTROL'!$C$4:$G$37,IF(L1314="F-15",2,IF(L1314="F-30",3,IF(L1314="F-60",4,IF(L1314="F-90",5,0)))),0),0)+IF(AND(O1314="FIRE TEX 5062",OR(E1314="IN",E1314="C",E1314="Z",E1314="L"),J1314=3),VLOOKUP(_xlfn.MINIFS('FIRE TEX 5062'!$B$4:$B$34,'FIRE TEX 5062'!$B$4:$B$34,"&gt;="&amp;M1314),'FIRE TEX 5062'!$B$4:$F$34,IF(L1314="F-15",2,IF(L1314="F-30",3,IF(L1314="F-60",4,IF(L1314="F-90",5,0)))),0),0)+IF(AND(O1314="FIRE TEX 5062",OR(E1314="IN",E1314="C",E1314="Z",E1314="L"),J1314=4),VLOOKUP(_xlfn.MINIFS('FIRE TEX 5062'!$G$4:$G$34,'FIRE TEX 5062'!$G$4:$G$34,"&gt;="&amp;M1314),'FIRE TEX 5062'!$G$4:$K$34,IF(L1314="F-15",2,IF(L1314="F-30",3,IF(L1314="F-60",4,IF(L1314="F-90",5,0)))),0),0)+IF(AND(O1314="FIRE TEX 5062",E1314="CJ",J1314=3),VLOOKUP(_xlfn.MINIFS('FIRE TEX 5062'!$L$4:$L$34,'FIRE TEX 5062'!$L$4:$L$34,"&gt;="&amp;M1314),'FIRE TEX 5062'!$L$4:$P$34,IF(L1314="F-15",2,IF(L1314="F-30",3,IF(L1314="F-60",4,IF(L1314="F-90",5,0)))),0),0)+IF(AND(O1314="FIRE TEX 5062",E1314="CJ",J1314=4),VLOOKUP(_xlfn.MINIFS('FIRE TEX 5062'!$Q$3:$Q$34,'FIRE TEX 5062'!$Q$3:$Q$34,"&gt;="&amp;M1314),'FIRE TEX 5062'!$Q$3:$U$34,IF(L1314="F-15",2,IF(L1314="F-30",3,IF(L1314="F-60",4,IF(L1314="F-90",5,0)))),0),0)+IF(AND(O1314="FIRE TEX 5090",OR(E1314="IN",E1314="C",E1314="Z",E1314="L"),J1314=3),VLOOKUP(_xlfn.MINIFS('FIRE TEX 5090'!$B$5:$B$43,'FIRE TEX 5090'!$B$5:$B$43,"&gt;="&amp;M1314),'FIRE TEX 5090'!$B$5:$H$43,IF(L1314="F-15",2,IF(L1314="F-30",3,IF(L1314="F-60",4,IF(L1314="F-90",5,IF(L1314="F-120",6,IF(L1314="F-150",7,0)))))),0),0)+IF(AND(O1314="FIRE TEX 5090",OR(E1314="IN",E1314="C",E1314="Z",E1314="L"),J1314=4),VLOOKUP(_xlfn.MINIFS('FIRE TEX 5090'!$J$5:$J$43,'FIRE TEX 5090'!$J$5:$J$43,"&gt;="&amp;M1314),'FIRE TEX 5090'!$J$5:$P$43,IF(L1314="F-15",2,IF(L1314="F-30",3,IF(L1314="F-60",4,IF(L1314="F-90",5,IF(L1314="F-120",6,IF(L1314="F-150",7,0)))))),0),0)+IF(AND(O1314="FIRE TEX 5090",E1314="CJ",J1314=3),VLOOKUP(_xlfn.MINIFS('FIRE TEX 5090'!$R$5:$R$30,'FIRE TEX 5090'!$R$5:$R$30,"&gt;="&amp;M1314),'FIRE TEX 5090'!$R$5:$W$30,IF(L1314="F-15",2,IF(L1314="F-30",3,IF(L1314="F-60",4,IF(L1314="F-90",5,IF(L1314="F-120",6,IF(L1314="F-150",7,0)))))),0),0)+IF(AND(O1314="FIRE TEX 5090",E1314="CJ",J1314=4),VLOOKUP(_xlfn.MINIFS('FIRE TEX 5090'!$Y$5:$Y$39,'FIRE TEX 5090'!$Y$5:$Y$39,"&gt;="&amp;M1314),'FIRE TEX 5090'!$Y$5:$AD$39,IF(L1314="F-15",2,IF(L1314="F-30",3,IF(L1314="F-60",4,IF(L1314="F-90",5,IF(L1314="F-120",6,IF(L1314="F-150",7,0)))))),0),0)+IF(AND(O1314="FIRE TEX 5120",OR(E1314="IN",E1314="C",E1314="Z",E1314="L"),J1314=3),VLOOKUP(_xlfn.MINIFS('FIRE TEX 5120'!$B$5:$B$40,'FIRE TEX 5120'!$B$5:$B$40,"&gt;="&amp;M1314),'FIRE TEX 5120'!$B$5:$G$40,IF(L1314="F-15",2,IF(L1314="F-30",3,IF(L1314="F-60",4,IF(L1314="F-90",5,IF(L1314="F-120",6,0))))),0),0)+IF(AND(O1314="FIRE TEX 5120",OR(E1314="IN",E1314="C",E1314="Z",E1314="L"),J1314=4),VLOOKUP(_xlfn.MINIFS('FIRE TEX 5120'!$H$4:$H$40,'FIRE TEX 5120'!$H$4:$H$40,"&gt;="&amp;M1314),'FIRE TEX 5120'!$H$4:$M$40,IF(L1314="F-15",2,IF(L1314="F-30",3,IF(L1314="F-60",4,IF(L1314="F-90",5,IF(L1314="F-120",6,0))))),0),0)+IF(AND(O1314="FIRE TEX 5120",E1314="CJ"),VLOOKUP(_xlfn.MINIFS('FIRE TEX 5120'!$O$5:$O$40,'FIRE TEX 5120'!$O$5:$O$40,"&gt;="&amp;M1314),'FIRE TEX 5120'!$O$5:$T$40,IF(L1314="F-15",2,IF(L1314="F-30",3,IF(L1314="F-60",4,IF(L1314="F-90",5,IF(L1314="F-120",6,0))))),0),0)</f>
        <v>0</v>
      </c>
      <c r="Q1314" s="46">
        <f t="shared" si="119"/>
        <v>0</v>
      </c>
      <c r="R1314" s="46">
        <f t="shared" si="120"/>
        <v>0</v>
      </c>
      <c r="S1314" s="46" t="e">
        <f t="shared" si="121"/>
        <v>#VALUE!</v>
      </c>
      <c r="T1314" s="677">
        <f t="shared" si="122"/>
        <v>0</v>
      </c>
      <c r="U1314" s="80">
        <f>(IF(O1314="Stofire",(S1314*#REF!),0))+(IF(O1314="Fire Control",(S1314*$U$2),0))+(IF(O1314="Fire Tex",(S1314*$U$3),0))+(IF(O1314="WB7",(S1314*#REF!),0)+(IF(O1314="FX 2003",(S1314*$U$5),0)))</f>
        <v>0</v>
      </c>
      <c r="V1314" s="651">
        <f t="shared" si="123"/>
        <v>0</v>
      </c>
    </row>
    <row r="1315" spans="4:22" x14ac:dyDescent="0.25">
      <c r="D1315" s="118">
        <f>+CUBICACION!D1314</f>
        <v>0</v>
      </c>
      <c r="E1315" s="118">
        <f>+CUBICACION!F1314</f>
        <v>0</v>
      </c>
      <c r="F1315" s="118">
        <f>+CUBICACION!E1314</f>
        <v>0</v>
      </c>
      <c r="G1315" s="118">
        <v>12</v>
      </c>
      <c r="H1315" s="118">
        <v>2</v>
      </c>
      <c r="I1315" s="820">
        <v>26385</v>
      </c>
      <c r="J1315" s="118">
        <f>+CUBICACION!J1314</f>
        <v>0</v>
      </c>
      <c r="K1315" s="118">
        <v>4094</v>
      </c>
      <c r="L1315" s="118">
        <f>+CUBICACION!L1314</f>
        <v>0</v>
      </c>
      <c r="M1315" s="64">
        <f>+CUBICACION!M1314</f>
        <v>0</v>
      </c>
      <c r="N1315" s="824" t="str">
        <f>+CUBICACION!N1314</f>
        <v/>
      </c>
      <c r="O1315" s="675">
        <f>+CUBICACION!O1314</f>
        <v>0</v>
      </c>
      <c r="P1315" s="15">
        <f>IF(O1315="Fire Control",VLOOKUP(_xlfn.MINIFS('FIRE CONTROL'!$C$4:$C$37,'FIRE CONTROL'!$C$4:$C$37,"&gt;="&amp;M1315),'FIRE CONTROL'!$C$4:$G$37,IF(L1315="F-15",2,IF(L1315="F-30",3,IF(L1315="F-60",4,IF(L1315="F-90",5,0)))),0),0)+IF(AND(O1315="FIRE TEX 5062",OR(E1315="IN",E1315="C",E1315="Z",E1315="L"),J1315=3),VLOOKUP(_xlfn.MINIFS('FIRE TEX 5062'!$B$4:$B$34,'FIRE TEX 5062'!$B$4:$B$34,"&gt;="&amp;M1315),'FIRE TEX 5062'!$B$4:$F$34,IF(L1315="F-15",2,IF(L1315="F-30",3,IF(L1315="F-60",4,IF(L1315="F-90",5,0)))),0),0)+IF(AND(O1315="FIRE TEX 5062",OR(E1315="IN",E1315="C",E1315="Z",E1315="L"),J1315=4),VLOOKUP(_xlfn.MINIFS('FIRE TEX 5062'!$G$4:$G$34,'FIRE TEX 5062'!$G$4:$G$34,"&gt;="&amp;M1315),'FIRE TEX 5062'!$G$4:$K$34,IF(L1315="F-15",2,IF(L1315="F-30",3,IF(L1315="F-60",4,IF(L1315="F-90",5,0)))),0),0)+IF(AND(O1315="FIRE TEX 5062",E1315="CJ",J1315=3),VLOOKUP(_xlfn.MINIFS('FIRE TEX 5062'!$L$4:$L$34,'FIRE TEX 5062'!$L$4:$L$34,"&gt;="&amp;M1315),'FIRE TEX 5062'!$L$4:$P$34,IF(L1315="F-15",2,IF(L1315="F-30",3,IF(L1315="F-60",4,IF(L1315="F-90",5,0)))),0),0)+IF(AND(O1315="FIRE TEX 5062",E1315="CJ",J1315=4),VLOOKUP(_xlfn.MINIFS('FIRE TEX 5062'!$Q$3:$Q$34,'FIRE TEX 5062'!$Q$3:$Q$34,"&gt;="&amp;M1315),'FIRE TEX 5062'!$Q$3:$U$34,IF(L1315="F-15",2,IF(L1315="F-30",3,IF(L1315="F-60",4,IF(L1315="F-90",5,0)))),0),0)+IF(AND(O1315="FIRE TEX 5090",OR(E1315="IN",E1315="C",E1315="Z",E1315="L"),J1315=3),VLOOKUP(_xlfn.MINIFS('FIRE TEX 5090'!$B$5:$B$43,'FIRE TEX 5090'!$B$5:$B$43,"&gt;="&amp;M1315),'FIRE TEX 5090'!$B$5:$H$43,IF(L1315="F-15",2,IF(L1315="F-30",3,IF(L1315="F-60",4,IF(L1315="F-90",5,IF(L1315="F-120",6,IF(L1315="F-150",7,0)))))),0),0)+IF(AND(O1315="FIRE TEX 5090",OR(E1315="IN",E1315="C",E1315="Z",E1315="L"),J1315=4),VLOOKUP(_xlfn.MINIFS('FIRE TEX 5090'!$J$5:$J$43,'FIRE TEX 5090'!$J$5:$J$43,"&gt;="&amp;M1315),'FIRE TEX 5090'!$J$5:$P$43,IF(L1315="F-15",2,IF(L1315="F-30",3,IF(L1315="F-60",4,IF(L1315="F-90",5,IF(L1315="F-120",6,IF(L1315="F-150",7,0)))))),0),0)+IF(AND(O1315="FIRE TEX 5090",E1315="CJ",J1315=3),VLOOKUP(_xlfn.MINIFS('FIRE TEX 5090'!$R$5:$R$30,'FIRE TEX 5090'!$R$5:$R$30,"&gt;="&amp;M1315),'FIRE TEX 5090'!$R$5:$W$30,IF(L1315="F-15",2,IF(L1315="F-30",3,IF(L1315="F-60",4,IF(L1315="F-90",5,IF(L1315="F-120",6,IF(L1315="F-150",7,0)))))),0),0)+IF(AND(O1315="FIRE TEX 5090",E1315="CJ",J1315=4),VLOOKUP(_xlfn.MINIFS('FIRE TEX 5090'!$Y$5:$Y$39,'FIRE TEX 5090'!$Y$5:$Y$39,"&gt;="&amp;M1315),'FIRE TEX 5090'!$Y$5:$AD$39,IF(L1315="F-15",2,IF(L1315="F-30",3,IF(L1315="F-60",4,IF(L1315="F-90",5,IF(L1315="F-120",6,IF(L1315="F-150",7,0)))))),0),0)+IF(AND(O1315="FIRE TEX 5120",OR(E1315="IN",E1315="C",E1315="Z",E1315="L"),J1315=3),VLOOKUP(_xlfn.MINIFS('FIRE TEX 5120'!$B$5:$B$40,'FIRE TEX 5120'!$B$5:$B$40,"&gt;="&amp;M1315),'FIRE TEX 5120'!$B$5:$G$40,IF(L1315="F-15",2,IF(L1315="F-30",3,IF(L1315="F-60",4,IF(L1315="F-90",5,IF(L1315="F-120",6,0))))),0),0)+IF(AND(O1315="FIRE TEX 5120",OR(E1315="IN",E1315="C",E1315="Z",E1315="L"),J1315=4),VLOOKUP(_xlfn.MINIFS('FIRE TEX 5120'!$H$4:$H$40,'FIRE TEX 5120'!$H$4:$H$40,"&gt;="&amp;M1315),'FIRE TEX 5120'!$H$4:$M$40,IF(L1315="F-15",2,IF(L1315="F-30",3,IF(L1315="F-60",4,IF(L1315="F-90",5,IF(L1315="F-120",6,0))))),0),0)+IF(AND(O1315="FIRE TEX 5120",E1315="CJ"),VLOOKUP(_xlfn.MINIFS('FIRE TEX 5120'!$O$5:$O$40,'FIRE TEX 5120'!$O$5:$O$40,"&gt;="&amp;M1315),'FIRE TEX 5120'!$O$5:$T$40,IF(L1315="F-15",2,IF(L1315="F-30",3,IF(L1315="F-60",4,IF(L1315="F-90",5,IF(L1315="F-120",6,0))))),0),0)</f>
        <v>0</v>
      </c>
      <c r="Q1315" s="46">
        <f t="shared" si="119"/>
        <v>0</v>
      </c>
      <c r="R1315" s="46">
        <f t="shared" si="120"/>
        <v>0</v>
      </c>
      <c r="S1315" s="46" t="e">
        <f t="shared" si="121"/>
        <v>#VALUE!</v>
      </c>
      <c r="T1315" s="677">
        <f t="shared" si="122"/>
        <v>0</v>
      </c>
      <c r="U1315" s="80">
        <f>(IF(O1315="Stofire",(S1315*#REF!),0))+(IF(O1315="Fire Control",(S1315*$U$2),0))+(IF(O1315="Fire Tex",(S1315*$U$3),0))+(IF(O1315="WB7",(S1315*#REF!),0)+(IF(O1315="FX 2003",(S1315*$U$5),0)))</f>
        <v>0</v>
      </c>
      <c r="V1315" s="651">
        <f t="shared" si="123"/>
        <v>0</v>
      </c>
    </row>
    <row r="1316" spans="4:22" x14ac:dyDescent="0.25">
      <c r="D1316" s="118">
        <f>+CUBICACION!D1315</f>
        <v>0</v>
      </c>
      <c r="E1316" s="118">
        <f>+CUBICACION!F1315</f>
        <v>0</v>
      </c>
      <c r="F1316" s="118">
        <f>+CUBICACION!E1315</f>
        <v>0</v>
      </c>
      <c r="G1316" s="118">
        <v>12</v>
      </c>
      <c r="H1316" s="118">
        <v>2</v>
      </c>
      <c r="I1316" s="820">
        <v>26385</v>
      </c>
      <c r="J1316" s="118">
        <f>+CUBICACION!J1315</f>
        <v>0</v>
      </c>
      <c r="K1316" s="118">
        <v>4095</v>
      </c>
      <c r="L1316" s="118">
        <f>+CUBICACION!L1315</f>
        <v>0</v>
      </c>
      <c r="M1316" s="64">
        <f>+CUBICACION!M1315</f>
        <v>0</v>
      </c>
      <c r="N1316" s="824" t="str">
        <f>+CUBICACION!N1315</f>
        <v/>
      </c>
      <c r="O1316" s="675">
        <f>+CUBICACION!O1315</f>
        <v>0</v>
      </c>
      <c r="P1316" s="15">
        <f>IF(O1316="Fire Control",VLOOKUP(_xlfn.MINIFS('FIRE CONTROL'!$C$4:$C$37,'FIRE CONTROL'!$C$4:$C$37,"&gt;="&amp;M1316),'FIRE CONTROL'!$C$4:$G$37,IF(L1316="F-15",2,IF(L1316="F-30",3,IF(L1316="F-60",4,IF(L1316="F-90",5,0)))),0),0)+IF(AND(O1316="FIRE TEX 5062",OR(E1316="IN",E1316="C",E1316="Z",E1316="L"),J1316=3),VLOOKUP(_xlfn.MINIFS('FIRE TEX 5062'!$B$4:$B$34,'FIRE TEX 5062'!$B$4:$B$34,"&gt;="&amp;M1316),'FIRE TEX 5062'!$B$4:$F$34,IF(L1316="F-15",2,IF(L1316="F-30",3,IF(L1316="F-60",4,IF(L1316="F-90",5,0)))),0),0)+IF(AND(O1316="FIRE TEX 5062",OR(E1316="IN",E1316="C",E1316="Z",E1316="L"),J1316=4),VLOOKUP(_xlfn.MINIFS('FIRE TEX 5062'!$G$4:$G$34,'FIRE TEX 5062'!$G$4:$G$34,"&gt;="&amp;M1316),'FIRE TEX 5062'!$G$4:$K$34,IF(L1316="F-15",2,IF(L1316="F-30",3,IF(L1316="F-60",4,IF(L1316="F-90",5,0)))),0),0)+IF(AND(O1316="FIRE TEX 5062",E1316="CJ",J1316=3),VLOOKUP(_xlfn.MINIFS('FIRE TEX 5062'!$L$4:$L$34,'FIRE TEX 5062'!$L$4:$L$34,"&gt;="&amp;M1316),'FIRE TEX 5062'!$L$4:$P$34,IF(L1316="F-15",2,IF(L1316="F-30",3,IF(L1316="F-60",4,IF(L1316="F-90",5,0)))),0),0)+IF(AND(O1316="FIRE TEX 5062",E1316="CJ",J1316=4),VLOOKUP(_xlfn.MINIFS('FIRE TEX 5062'!$Q$3:$Q$34,'FIRE TEX 5062'!$Q$3:$Q$34,"&gt;="&amp;M1316),'FIRE TEX 5062'!$Q$3:$U$34,IF(L1316="F-15",2,IF(L1316="F-30",3,IF(L1316="F-60",4,IF(L1316="F-90",5,0)))),0),0)+IF(AND(O1316="FIRE TEX 5090",OR(E1316="IN",E1316="C",E1316="Z",E1316="L"),J1316=3),VLOOKUP(_xlfn.MINIFS('FIRE TEX 5090'!$B$5:$B$43,'FIRE TEX 5090'!$B$5:$B$43,"&gt;="&amp;M1316),'FIRE TEX 5090'!$B$5:$H$43,IF(L1316="F-15",2,IF(L1316="F-30",3,IF(L1316="F-60",4,IF(L1316="F-90",5,IF(L1316="F-120",6,IF(L1316="F-150",7,0)))))),0),0)+IF(AND(O1316="FIRE TEX 5090",OR(E1316="IN",E1316="C",E1316="Z",E1316="L"),J1316=4),VLOOKUP(_xlfn.MINIFS('FIRE TEX 5090'!$J$5:$J$43,'FIRE TEX 5090'!$J$5:$J$43,"&gt;="&amp;M1316),'FIRE TEX 5090'!$J$5:$P$43,IF(L1316="F-15",2,IF(L1316="F-30",3,IF(L1316="F-60",4,IF(L1316="F-90",5,IF(L1316="F-120",6,IF(L1316="F-150",7,0)))))),0),0)+IF(AND(O1316="FIRE TEX 5090",E1316="CJ",J1316=3),VLOOKUP(_xlfn.MINIFS('FIRE TEX 5090'!$R$5:$R$30,'FIRE TEX 5090'!$R$5:$R$30,"&gt;="&amp;M1316),'FIRE TEX 5090'!$R$5:$W$30,IF(L1316="F-15",2,IF(L1316="F-30",3,IF(L1316="F-60",4,IF(L1316="F-90",5,IF(L1316="F-120",6,IF(L1316="F-150",7,0)))))),0),0)+IF(AND(O1316="FIRE TEX 5090",E1316="CJ",J1316=4),VLOOKUP(_xlfn.MINIFS('FIRE TEX 5090'!$Y$5:$Y$39,'FIRE TEX 5090'!$Y$5:$Y$39,"&gt;="&amp;M1316),'FIRE TEX 5090'!$Y$5:$AD$39,IF(L1316="F-15",2,IF(L1316="F-30",3,IF(L1316="F-60",4,IF(L1316="F-90",5,IF(L1316="F-120",6,IF(L1316="F-150",7,0)))))),0),0)+IF(AND(O1316="FIRE TEX 5120",OR(E1316="IN",E1316="C",E1316="Z",E1316="L"),J1316=3),VLOOKUP(_xlfn.MINIFS('FIRE TEX 5120'!$B$5:$B$40,'FIRE TEX 5120'!$B$5:$B$40,"&gt;="&amp;M1316),'FIRE TEX 5120'!$B$5:$G$40,IF(L1316="F-15",2,IF(L1316="F-30",3,IF(L1316="F-60",4,IF(L1316="F-90",5,IF(L1316="F-120",6,0))))),0),0)+IF(AND(O1316="FIRE TEX 5120",OR(E1316="IN",E1316="C",E1316="Z",E1316="L"),J1316=4),VLOOKUP(_xlfn.MINIFS('FIRE TEX 5120'!$H$4:$H$40,'FIRE TEX 5120'!$H$4:$H$40,"&gt;="&amp;M1316),'FIRE TEX 5120'!$H$4:$M$40,IF(L1316="F-15",2,IF(L1316="F-30",3,IF(L1316="F-60",4,IF(L1316="F-90",5,IF(L1316="F-120",6,0))))),0),0)+IF(AND(O1316="FIRE TEX 5120",E1316="CJ"),VLOOKUP(_xlfn.MINIFS('FIRE TEX 5120'!$O$5:$O$40,'FIRE TEX 5120'!$O$5:$O$40,"&gt;="&amp;M1316),'FIRE TEX 5120'!$O$5:$T$40,IF(L1316="F-15",2,IF(L1316="F-30",3,IF(L1316="F-60",4,IF(L1316="F-90",5,IF(L1316="F-120",6,0))))),0),0)</f>
        <v>0</v>
      </c>
      <c r="Q1316" s="46">
        <f t="shared" si="119"/>
        <v>0</v>
      </c>
      <c r="R1316" s="46">
        <f t="shared" si="120"/>
        <v>0</v>
      </c>
      <c r="S1316" s="46" t="e">
        <f t="shared" si="121"/>
        <v>#VALUE!</v>
      </c>
      <c r="T1316" s="677">
        <f t="shared" si="122"/>
        <v>0</v>
      </c>
      <c r="U1316" s="80">
        <f>(IF(O1316="Stofire",(S1316*#REF!),0))+(IF(O1316="Fire Control",(S1316*$U$2),0))+(IF(O1316="Fire Tex",(S1316*$U$3),0))+(IF(O1316="WB7",(S1316*#REF!),0)+(IF(O1316="FX 2003",(S1316*$U$5),0)))</f>
        <v>0</v>
      </c>
      <c r="V1316" s="651">
        <f t="shared" si="123"/>
        <v>0</v>
      </c>
    </row>
    <row r="1317" spans="4:22" x14ac:dyDescent="0.25">
      <c r="D1317" s="118">
        <f>+CUBICACION!D1316</f>
        <v>0</v>
      </c>
      <c r="E1317" s="118">
        <f>+CUBICACION!F1316</f>
        <v>0</v>
      </c>
      <c r="F1317" s="118">
        <f>+CUBICACION!E1316</f>
        <v>0</v>
      </c>
      <c r="G1317" s="118">
        <v>12</v>
      </c>
      <c r="H1317" s="118">
        <v>2</v>
      </c>
      <c r="I1317" s="820">
        <v>26385</v>
      </c>
      <c r="J1317" s="118">
        <f>+CUBICACION!J1316</f>
        <v>0</v>
      </c>
      <c r="K1317" s="118">
        <v>4096</v>
      </c>
      <c r="L1317" s="118">
        <f>+CUBICACION!L1316</f>
        <v>0</v>
      </c>
      <c r="M1317" s="64">
        <f>+CUBICACION!M1316</f>
        <v>0</v>
      </c>
      <c r="N1317" s="824" t="str">
        <f>+CUBICACION!N1316</f>
        <v/>
      </c>
      <c r="O1317" s="675">
        <f>+CUBICACION!O1316</f>
        <v>0</v>
      </c>
      <c r="P1317" s="15">
        <f>IF(O1317="Fire Control",VLOOKUP(_xlfn.MINIFS('FIRE CONTROL'!$C$4:$C$37,'FIRE CONTROL'!$C$4:$C$37,"&gt;="&amp;M1317),'FIRE CONTROL'!$C$4:$G$37,IF(L1317="F-15",2,IF(L1317="F-30",3,IF(L1317="F-60",4,IF(L1317="F-90",5,0)))),0),0)+IF(AND(O1317="FIRE TEX 5062",OR(E1317="IN",E1317="C",E1317="Z",E1317="L"),J1317=3),VLOOKUP(_xlfn.MINIFS('FIRE TEX 5062'!$B$4:$B$34,'FIRE TEX 5062'!$B$4:$B$34,"&gt;="&amp;M1317),'FIRE TEX 5062'!$B$4:$F$34,IF(L1317="F-15",2,IF(L1317="F-30",3,IF(L1317="F-60",4,IF(L1317="F-90",5,0)))),0),0)+IF(AND(O1317="FIRE TEX 5062",OR(E1317="IN",E1317="C",E1317="Z",E1317="L"),J1317=4),VLOOKUP(_xlfn.MINIFS('FIRE TEX 5062'!$G$4:$G$34,'FIRE TEX 5062'!$G$4:$G$34,"&gt;="&amp;M1317),'FIRE TEX 5062'!$G$4:$K$34,IF(L1317="F-15",2,IF(L1317="F-30",3,IF(L1317="F-60",4,IF(L1317="F-90",5,0)))),0),0)+IF(AND(O1317="FIRE TEX 5062",E1317="CJ",J1317=3),VLOOKUP(_xlfn.MINIFS('FIRE TEX 5062'!$L$4:$L$34,'FIRE TEX 5062'!$L$4:$L$34,"&gt;="&amp;M1317),'FIRE TEX 5062'!$L$4:$P$34,IF(L1317="F-15",2,IF(L1317="F-30",3,IF(L1317="F-60",4,IF(L1317="F-90",5,0)))),0),0)+IF(AND(O1317="FIRE TEX 5062",E1317="CJ",J1317=4),VLOOKUP(_xlfn.MINIFS('FIRE TEX 5062'!$Q$3:$Q$34,'FIRE TEX 5062'!$Q$3:$Q$34,"&gt;="&amp;M1317),'FIRE TEX 5062'!$Q$3:$U$34,IF(L1317="F-15",2,IF(L1317="F-30",3,IF(L1317="F-60",4,IF(L1317="F-90",5,0)))),0),0)+IF(AND(O1317="FIRE TEX 5090",OR(E1317="IN",E1317="C",E1317="Z",E1317="L"),J1317=3),VLOOKUP(_xlfn.MINIFS('FIRE TEX 5090'!$B$5:$B$43,'FIRE TEX 5090'!$B$5:$B$43,"&gt;="&amp;M1317),'FIRE TEX 5090'!$B$5:$H$43,IF(L1317="F-15",2,IF(L1317="F-30",3,IF(L1317="F-60",4,IF(L1317="F-90",5,IF(L1317="F-120",6,IF(L1317="F-150",7,0)))))),0),0)+IF(AND(O1317="FIRE TEX 5090",OR(E1317="IN",E1317="C",E1317="Z",E1317="L"),J1317=4),VLOOKUP(_xlfn.MINIFS('FIRE TEX 5090'!$J$5:$J$43,'FIRE TEX 5090'!$J$5:$J$43,"&gt;="&amp;M1317),'FIRE TEX 5090'!$J$5:$P$43,IF(L1317="F-15",2,IF(L1317="F-30",3,IF(L1317="F-60",4,IF(L1317="F-90",5,IF(L1317="F-120",6,IF(L1317="F-150",7,0)))))),0),0)+IF(AND(O1317="FIRE TEX 5090",E1317="CJ",J1317=3),VLOOKUP(_xlfn.MINIFS('FIRE TEX 5090'!$R$5:$R$30,'FIRE TEX 5090'!$R$5:$R$30,"&gt;="&amp;M1317),'FIRE TEX 5090'!$R$5:$W$30,IF(L1317="F-15",2,IF(L1317="F-30",3,IF(L1317="F-60",4,IF(L1317="F-90",5,IF(L1317="F-120",6,IF(L1317="F-150",7,0)))))),0),0)+IF(AND(O1317="FIRE TEX 5090",E1317="CJ",J1317=4),VLOOKUP(_xlfn.MINIFS('FIRE TEX 5090'!$Y$5:$Y$39,'FIRE TEX 5090'!$Y$5:$Y$39,"&gt;="&amp;M1317),'FIRE TEX 5090'!$Y$5:$AD$39,IF(L1317="F-15",2,IF(L1317="F-30",3,IF(L1317="F-60",4,IF(L1317="F-90",5,IF(L1317="F-120",6,IF(L1317="F-150",7,0)))))),0),0)+IF(AND(O1317="FIRE TEX 5120",OR(E1317="IN",E1317="C",E1317="Z",E1317="L"),J1317=3),VLOOKUP(_xlfn.MINIFS('FIRE TEX 5120'!$B$5:$B$40,'FIRE TEX 5120'!$B$5:$B$40,"&gt;="&amp;M1317),'FIRE TEX 5120'!$B$5:$G$40,IF(L1317="F-15",2,IF(L1317="F-30",3,IF(L1317="F-60",4,IF(L1317="F-90",5,IF(L1317="F-120",6,0))))),0),0)+IF(AND(O1317="FIRE TEX 5120",OR(E1317="IN",E1317="C",E1317="Z",E1317="L"),J1317=4),VLOOKUP(_xlfn.MINIFS('FIRE TEX 5120'!$H$4:$H$40,'FIRE TEX 5120'!$H$4:$H$40,"&gt;="&amp;M1317),'FIRE TEX 5120'!$H$4:$M$40,IF(L1317="F-15",2,IF(L1317="F-30",3,IF(L1317="F-60",4,IF(L1317="F-90",5,IF(L1317="F-120",6,0))))),0),0)+IF(AND(O1317="FIRE TEX 5120",E1317="CJ"),VLOOKUP(_xlfn.MINIFS('FIRE TEX 5120'!$O$5:$O$40,'FIRE TEX 5120'!$O$5:$O$40,"&gt;="&amp;M1317),'FIRE TEX 5120'!$O$5:$T$40,IF(L1317="F-15",2,IF(L1317="F-30",3,IF(L1317="F-60",4,IF(L1317="F-90",5,IF(L1317="F-120",6,0))))),0),0)</f>
        <v>0</v>
      </c>
      <c r="Q1317" s="46">
        <f t="shared" si="119"/>
        <v>0</v>
      </c>
      <c r="R1317" s="46">
        <f t="shared" si="120"/>
        <v>0</v>
      </c>
      <c r="S1317" s="46" t="e">
        <f t="shared" si="121"/>
        <v>#VALUE!</v>
      </c>
      <c r="T1317" s="677">
        <f t="shared" si="122"/>
        <v>0</v>
      </c>
      <c r="U1317" s="80">
        <f>(IF(O1317="Stofire",(S1317*#REF!),0))+(IF(O1317="Fire Control",(S1317*$U$2),0))+(IF(O1317="Fire Tex",(S1317*$U$3),0))+(IF(O1317="WB7",(S1317*#REF!),0)+(IF(O1317="FX 2003",(S1317*$U$5),0)))</f>
        <v>0</v>
      </c>
      <c r="V1317" s="651">
        <f t="shared" si="123"/>
        <v>0</v>
      </c>
    </row>
    <row r="1318" spans="4:22" x14ac:dyDescent="0.25">
      <c r="D1318" s="118">
        <f>+CUBICACION!D1317</f>
        <v>0</v>
      </c>
      <c r="E1318" s="118">
        <f>+CUBICACION!F1317</f>
        <v>0</v>
      </c>
      <c r="F1318" s="118">
        <f>+CUBICACION!E1317</f>
        <v>0</v>
      </c>
      <c r="G1318" s="118">
        <v>12</v>
      </c>
      <c r="H1318" s="118">
        <v>2</v>
      </c>
      <c r="I1318" s="820">
        <v>26385</v>
      </c>
      <c r="J1318" s="118">
        <f>+CUBICACION!J1317</f>
        <v>0</v>
      </c>
      <c r="K1318" s="118">
        <v>4097</v>
      </c>
      <c r="L1318" s="118">
        <f>+CUBICACION!L1317</f>
        <v>0</v>
      </c>
      <c r="M1318" s="64">
        <f>+CUBICACION!M1317</f>
        <v>0</v>
      </c>
      <c r="N1318" s="824" t="str">
        <f>+CUBICACION!N1317</f>
        <v/>
      </c>
      <c r="O1318" s="675">
        <f>+CUBICACION!O1317</f>
        <v>0</v>
      </c>
      <c r="P1318" s="15">
        <f>IF(O1318="Fire Control",VLOOKUP(_xlfn.MINIFS('FIRE CONTROL'!$C$4:$C$37,'FIRE CONTROL'!$C$4:$C$37,"&gt;="&amp;M1318),'FIRE CONTROL'!$C$4:$G$37,IF(L1318="F-15",2,IF(L1318="F-30",3,IF(L1318="F-60",4,IF(L1318="F-90",5,0)))),0),0)+IF(AND(O1318="FIRE TEX 5062",OR(E1318="IN",E1318="C",E1318="Z",E1318="L"),J1318=3),VLOOKUP(_xlfn.MINIFS('FIRE TEX 5062'!$B$4:$B$34,'FIRE TEX 5062'!$B$4:$B$34,"&gt;="&amp;M1318),'FIRE TEX 5062'!$B$4:$F$34,IF(L1318="F-15",2,IF(L1318="F-30",3,IF(L1318="F-60",4,IF(L1318="F-90",5,0)))),0),0)+IF(AND(O1318="FIRE TEX 5062",OR(E1318="IN",E1318="C",E1318="Z",E1318="L"),J1318=4),VLOOKUP(_xlfn.MINIFS('FIRE TEX 5062'!$G$4:$G$34,'FIRE TEX 5062'!$G$4:$G$34,"&gt;="&amp;M1318),'FIRE TEX 5062'!$G$4:$K$34,IF(L1318="F-15",2,IF(L1318="F-30",3,IF(L1318="F-60",4,IF(L1318="F-90",5,0)))),0),0)+IF(AND(O1318="FIRE TEX 5062",E1318="CJ",J1318=3),VLOOKUP(_xlfn.MINIFS('FIRE TEX 5062'!$L$4:$L$34,'FIRE TEX 5062'!$L$4:$L$34,"&gt;="&amp;M1318),'FIRE TEX 5062'!$L$4:$P$34,IF(L1318="F-15",2,IF(L1318="F-30",3,IF(L1318="F-60",4,IF(L1318="F-90",5,0)))),0),0)+IF(AND(O1318="FIRE TEX 5062",E1318="CJ",J1318=4),VLOOKUP(_xlfn.MINIFS('FIRE TEX 5062'!$Q$3:$Q$34,'FIRE TEX 5062'!$Q$3:$Q$34,"&gt;="&amp;M1318),'FIRE TEX 5062'!$Q$3:$U$34,IF(L1318="F-15",2,IF(L1318="F-30",3,IF(L1318="F-60",4,IF(L1318="F-90",5,0)))),0),0)+IF(AND(O1318="FIRE TEX 5090",OR(E1318="IN",E1318="C",E1318="Z",E1318="L"),J1318=3),VLOOKUP(_xlfn.MINIFS('FIRE TEX 5090'!$B$5:$B$43,'FIRE TEX 5090'!$B$5:$B$43,"&gt;="&amp;M1318),'FIRE TEX 5090'!$B$5:$H$43,IF(L1318="F-15",2,IF(L1318="F-30",3,IF(L1318="F-60",4,IF(L1318="F-90",5,IF(L1318="F-120",6,IF(L1318="F-150",7,0)))))),0),0)+IF(AND(O1318="FIRE TEX 5090",OR(E1318="IN",E1318="C",E1318="Z",E1318="L"),J1318=4),VLOOKUP(_xlfn.MINIFS('FIRE TEX 5090'!$J$5:$J$43,'FIRE TEX 5090'!$J$5:$J$43,"&gt;="&amp;M1318),'FIRE TEX 5090'!$J$5:$P$43,IF(L1318="F-15",2,IF(L1318="F-30",3,IF(L1318="F-60",4,IF(L1318="F-90",5,IF(L1318="F-120",6,IF(L1318="F-150",7,0)))))),0),0)+IF(AND(O1318="FIRE TEX 5090",E1318="CJ",J1318=3),VLOOKUP(_xlfn.MINIFS('FIRE TEX 5090'!$R$5:$R$30,'FIRE TEX 5090'!$R$5:$R$30,"&gt;="&amp;M1318),'FIRE TEX 5090'!$R$5:$W$30,IF(L1318="F-15",2,IF(L1318="F-30",3,IF(L1318="F-60",4,IF(L1318="F-90",5,IF(L1318="F-120",6,IF(L1318="F-150",7,0)))))),0),0)+IF(AND(O1318="FIRE TEX 5090",E1318="CJ",J1318=4),VLOOKUP(_xlfn.MINIFS('FIRE TEX 5090'!$Y$5:$Y$39,'FIRE TEX 5090'!$Y$5:$Y$39,"&gt;="&amp;M1318),'FIRE TEX 5090'!$Y$5:$AD$39,IF(L1318="F-15",2,IF(L1318="F-30",3,IF(L1318="F-60",4,IF(L1318="F-90",5,IF(L1318="F-120",6,IF(L1318="F-150",7,0)))))),0),0)+IF(AND(O1318="FIRE TEX 5120",OR(E1318="IN",E1318="C",E1318="Z",E1318="L"),J1318=3),VLOOKUP(_xlfn.MINIFS('FIRE TEX 5120'!$B$5:$B$40,'FIRE TEX 5120'!$B$5:$B$40,"&gt;="&amp;M1318),'FIRE TEX 5120'!$B$5:$G$40,IF(L1318="F-15",2,IF(L1318="F-30",3,IF(L1318="F-60",4,IF(L1318="F-90",5,IF(L1318="F-120",6,0))))),0),0)+IF(AND(O1318="FIRE TEX 5120",OR(E1318="IN",E1318="C",E1318="Z",E1318="L"),J1318=4),VLOOKUP(_xlfn.MINIFS('FIRE TEX 5120'!$H$4:$H$40,'FIRE TEX 5120'!$H$4:$H$40,"&gt;="&amp;M1318),'FIRE TEX 5120'!$H$4:$M$40,IF(L1318="F-15",2,IF(L1318="F-30",3,IF(L1318="F-60",4,IF(L1318="F-90",5,IF(L1318="F-120",6,0))))),0),0)+IF(AND(O1318="FIRE TEX 5120",E1318="CJ"),VLOOKUP(_xlfn.MINIFS('FIRE TEX 5120'!$O$5:$O$40,'FIRE TEX 5120'!$O$5:$O$40,"&gt;="&amp;M1318),'FIRE TEX 5120'!$O$5:$T$40,IF(L1318="F-15",2,IF(L1318="F-30",3,IF(L1318="F-60",4,IF(L1318="F-90",5,IF(L1318="F-120",6,0))))),0),0)</f>
        <v>0</v>
      </c>
      <c r="Q1318" s="46">
        <f t="shared" si="119"/>
        <v>0</v>
      </c>
      <c r="R1318" s="46">
        <f t="shared" si="120"/>
        <v>0</v>
      </c>
      <c r="S1318" s="46" t="e">
        <f t="shared" si="121"/>
        <v>#VALUE!</v>
      </c>
      <c r="T1318" s="677">
        <f t="shared" si="122"/>
        <v>0</v>
      </c>
      <c r="U1318" s="80">
        <f>(IF(O1318="Stofire",(S1318*#REF!),0))+(IF(O1318="Fire Control",(S1318*$U$2),0))+(IF(O1318="Fire Tex",(S1318*$U$3),0))+(IF(O1318="WB7",(S1318*#REF!),0)+(IF(O1318="FX 2003",(S1318*$U$5),0)))</f>
        <v>0</v>
      </c>
      <c r="V1318" s="651">
        <f t="shared" si="123"/>
        <v>0</v>
      </c>
    </row>
    <row r="1319" spans="4:22" x14ac:dyDescent="0.25">
      <c r="D1319" s="118">
        <f>+CUBICACION!D1318</f>
        <v>0</v>
      </c>
      <c r="E1319" s="118">
        <f>+CUBICACION!F1318</f>
        <v>0</v>
      </c>
      <c r="F1319" s="118">
        <f>+CUBICACION!E1318</f>
        <v>0</v>
      </c>
      <c r="G1319" s="118">
        <v>12</v>
      </c>
      <c r="H1319" s="118">
        <v>2</v>
      </c>
      <c r="I1319" s="820">
        <v>26385</v>
      </c>
      <c r="J1319" s="118">
        <f>+CUBICACION!J1318</f>
        <v>0</v>
      </c>
      <c r="K1319" s="118">
        <v>4098</v>
      </c>
      <c r="L1319" s="118">
        <f>+CUBICACION!L1318</f>
        <v>0</v>
      </c>
      <c r="M1319" s="64">
        <f>+CUBICACION!M1318</f>
        <v>0</v>
      </c>
      <c r="N1319" s="824" t="str">
        <f>+CUBICACION!N1318</f>
        <v/>
      </c>
      <c r="O1319" s="675">
        <f>+CUBICACION!O1318</f>
        <v>0</v>
      </c>
      <c r="P1319" s="15">
        <f>IF(O1319="Fire Control",VLOOKUP(_xlfn.MINIFS('FIRE CONTROL'!$C$4:$C$37,'FIRE CONTROL'!$C$4:$C$37,"&gt;="&amp;M1319),'FIRE CONTROL'!$C$4:$G$37,IF(L1319="F-15",2,IF(L1319="F-30",3,IF(L1319="F-60",4,IF(L1319="F-90",5,0)))),0),0)+IF(AND(O1319="FIRE TEX 5062",OR(E1319="IN",E1319="C",E1319="Z",E1319="L"),J1319=3),VLOOKUP(_xlfn.MINIFS('FIRE TEX 5062'!$B$4:$B$34,'FIRE TEX 5062'!$B$4:$B$34,"&gt;="&amp;M1319),'FIRE TEX 5062'!$B$4:$F$34,IF(L1319="F-15",2,IF(L1319="F-30",3,IF(L1319="F-60",4,IF(L1319="F-90",5,0)))),0),0)+IF(AND(O1319="FIRE TEX 5062",OR(E1319="IN",E1319="C",E1319="Z",E1319="L"),J1319=4),VLOOKUP(_xlfn.MINIFS('FIRE TEX 5062'!$G$4:$G$34,'FIRE TEX 5062'!$G$4:$G$34,"&gt;="&amp;M1319),'FIRE TEX 5062'!$G$4:$K$34,IF(L1319="F-15",2,IF(L1319="F-30",3,IF(L1319="F-60",4,IF(L1319="F-90",5,0)))),0),0)+IF(AND(O1319="FIRE TEX 5062",E1319="CJ",J1319=3),VLOOKUP(_xlfn.MINIFS('FIRE TEX 5062'!$L$4:$L$34,'FIRE TEX 5062'!$L$4:$L$34,"&gt;="&amp;M1319),'FIRE TEX 5062'!$L$4:$P$34,IF(L1319="F-15",2,IF(L1319="F-30",3,IF(L1319="F-60",4,IF(L1319="F-90",5,0)))),0),0)+IF(AND(O1319="FIRE TEX 5062",E1319="CJ",J1319=4),VLOOKUP(_xlfn.MINIFS('FIRE TEX 5062'!$Q$3:$Q$34,'FIRE TEX 5062'!$Q$3:$Q$34,"&gt;="&amp;M1319),'FIRE TEX 5062'!$Q$3:$U$34,IF(L1319="F-15",2,IF(L1319="F-30",3,IF(L1319="F-60",4,IF(L1319="F-90",5,0)))),0),0)+IF(AND(O1319="FIRE TEX 5090",OR(E1319="IN",E1319="C",E1319="Z",E1319="L"),J1319=3),VLOOKUP(_xlfn.MINIFS('FIRE TEX 5090'!$B$5:$B$43,'FIRE TEX 5090'!$B$5:$B$43,"&gt;="&amp;M1319),'FIRE TEX 5090'!$B$5:$H$43,IF(L1319="F-15",2,IF(L1319="F-30",3,IF(L1319="F-60",4,IF(L1319="F-90",5,IF(L1319="F-120",6,IF(L1319="F-150",7,0)))))),0),0)+IF(AND(O1319="FIRE TEX 5090",OR(E1319="IN",E1319="C",E1319="Z",E1319="L"),J1319=4),VLOOKUP(_xlfn.MINIFS('FIRE TEX 5090'!$J$5:$J$43,'FIRE TEX 5090'!$J$5:$J$43,"&gt;="&amp;M1319),'FIRE TEX 5090'!$J$5:$P$43,IF(L1319="F-15",2,IF(L1319="F-30",3,IF(L1319="F-60",4,IF(L1319="F-90",5,IF(L1319="F-120",6,IF(L1319="F-150",7,0)))))),0),0)+IF(AND(O1319="FIRE TEX 5090",E1319="CJ",J1319=3),VLOOKUP(_xlfn.MINIFS('FIRE TEX 5090'!$R$5:$R$30,'FIRE TEX 5090'!$R$5:$R$30,"&gt;="&amp;M1319),'FIRE TEX 5090'!$R$5:$W$30,IF(L1319="F-15",2,IF(L1319="F-30",3,IF(L1319="F-60",4,IF(L1319="F-90",5,IF(L1319="F-120",6,IF(L1319="F-150",7,0)))))),0),0)+IF(AND(O1319="FIRE TEX 5090",E1319="CJ",J1319=4),VLOOKUP(_xlfn.MINIFS('FIRE TEX 5090'!$Y$5:$Y$39,'FIRE TEX 5090'!$Y$5:$Y$39,"&gt;="&amp;M1319),'FIRE TEX 5090'!$Y$5:$AD$39,IF(L1319="F-15",2,IF(L1319="F-30",3,IF(L1319="F-60",4,IF(L1319="F-90",5,IF(L1319="F-120",6,IF(L1319="F-150",7,0)))))),0),0)+IF(AND(O1319="FIRE TEX 5120",OR(E1319="IN",E1319="C",E1319="Z",E1319="L"),J1319=3),VLOOKUP(_xlfn.MINIFS('FIRE TEX 5120'!$B$5:$B$40,'FIRE TEX 5120'!$B$5:$B$40,"&gt;="&amp;M1319),'FIRE TEX 5120'!$B$5:$G$40,IF(L1319="F-15",2,IF(L1319="F-30",3,IF(L1319="F-60",4,IF(L1319="F-90",5,IF(L1319="F-120",6,0))))),0),0)+IF(AND(O1319="FIRE TEX 5120",OR(E1319="IN",E1319="C",E1319="Z",E1319="L"),J1319=4),VLOOKUP(_xlfn.MINIFS('FIRE TEX 5120'!$H$4:$H$40,'FIRE TEX 5120'!$H$4:$H$40,"&gt;="&amp;M1319),'FIRE TEX 5120'!$H$4:$M$40,IF(L1319="F-15",2,IF(L1319="F-30",3,IF(L1319="F-60",4,IF(L1319="F-90",5,IF(L1319="F-120",6,0))))),0),0)+IF(AND(O1319="FIRE TEX 5120",E1319="CJ"),VLOOKUP(_xlfn.MINIFS('FIRE TEX 5120'!$O$5:$O$40,'FIRE TEX 5120'!$O$5:$O$40,"&gt;="&amp;M1319),'FIRE TEX 5120'!$O$5:$T$40,IF(L1319="F-15",2,IF(L1319="F-30",3,IF(L1319="F-60",4,IF(L1319="F-90",5,IF(L1319="F-120",6,0))))),0),0)</f>
        <v>0</v>
      </c>
      <c r="Q1319" s="46">
        <f t="shared" si="119"/>
        <v>0</v>
      </c>
      <c r="R1319" s="46">
        <f t="shared" si="120"/>
        <v>0</v>
      </c>
      <c r="S1319" s="46" t="e">
        <f t="shared" si="121"/>
        <v>#VALUE!</v>
      </c>
      <c r="T1319" s="677">
        <f t="shared" si="122"/>
        <v>0</v>
      </c>
      <c r="U1319" s="80">
        <f>(IF(O1319="Stofire",(S1319*#REF!),0))+(IF(O1319="Fire Control",(S1319*$U$2),0))+(IF(O1319="Fire Tex",(S1319*$U$3),0))+(IF(O1319="WB7",(S1319*#REF!),0)+(IF(O1319="FX 2003",(S1319*$U$5),0)))</f>
        <v>0</v>
      </c>
      <c r="V1319" s="651">
        <f t="shared" si="123"/>
        <v>0</v>
      </c>
    </row>
    <row r="1320" spans="4:22" x14ac:dyDescent="0.25">
      <c r="D1320" s="118">
        <f>+CUBICACION!D1319</f>
        <v>0</v>
      </c>
      <c r="E1320" s="118">
        <f>+CUBICACION!F1319</f>
        <v>0</v>
      </c>
      <c r="F1320" s="118">
        <f>+CUBICACION!E1319</f>
        <v>0</v>
      </c>
      <c r="G1320" s="118">
        <v>12</v>
      </c>
      <c r="H1320" s="118">
        <v>2</v>
      </c>
      <c r="I1320" s="820">
        <v>26385</v>
      </c>
      <c r="J1320" s="118">
        <f>+CUBICACION!J1319</f>
        <v>0</v>
      </c>
      <c r="K1320" s="118">
        <v>4099</v>
      </c>
      <c r="L1320" s="118">
        <f>+CUBICACION!L1319</f>
        <v>0</v>
      </c>
      <c r="M1320" s="64">
        <f>+CUBICACION!M1319</f>
        <v>0</v>
      </c>
      <c r="N1320" s="824" t="str">
        <f>+CUBICACION!N1319</f>
        <v/>
      </c>
      <c r="O1320" s="675">
        <f>+CUBICACION!O1319</f>
        <v>0</v>
      </c>
      <c r="P1320" s="15">
        <f>IF(O1320="Fire Control",VLOOKUP(_xlfn.MINIFS('FIRE CONTROL'!$C$4:$C$37,'FIRE CONTROL'!$C$4:$C$37,"&gt;="&amp;M1320),'FIRE CONTROL'!$C$4:$G$37,IF(L1320="F-15",2,IF(L1320="F-30",3,IF(L1320="F-60",4,IF(L1320="F-90",5,0)))),0),0)+IF(AND(O1320="FIRE TEX 5062",OR(E1320="IN",E1320="C",E1320="Z",E1320="L"),J1320=3),VLOOKUP(_xlfn.MINIFS('FIRE TEX 5062'!$B$4:$B$34,'FIRE TEX 5062'!$B$4:$B$34,"&gt;="&amp;M1320),'FIRE TEX 5062'!$B$4:$F$34,IF(L1320="F-15",2,IF(L1320="F-30",3,IF(L1320="F-60",4,IF(L1320="F-90",5,0)))),0),0)+IF(AND(O1320="FIRE TEX 5062",OR(E1320="IN",E1320="C",E1320="Z",E1320="L"),J1320=4),VLOOKUP(_xlfn.MINIFS('FIRE TEX 5062'!$G$4:$G$34,'FIRE TEX 5062'!$G$4:$G$34,"&gt;="&amp;M1320),'FIRE TEX 5062'!$G$4:$K$34,IF(L1320="F-15",2,IF(L1320="F-30",3,IF(L1320="F-60",4,IF(L1320="F-90",5,0)))),0),0)+IF(AND(O1320="FIRE TEX 5062",E1320="CJ",J1320=3),VLOOKUP(_xlfn.MINIFS('FIRE TEX 5062'!$L$4:$L$34,'FIRE TEX 5062'!$L$4:$L$34,"&gt;="&amp;M1320),'FIRE TEX 5062'!$L$4:$P$34,IF(L1320="F-15",2,IF(L1320="F-30",3,IF(L1320="F-60",4,IF(L1320="F-90",5,0)))),0),0)+IF(AND(O1320="FIRE TEX 5062",E1320="CJ",J1320=4),VLOOKUP(_xlfn.MINIFS('FIRE TEX 5062'!$Q$3:$Q$34,'FIRE TEX 5062'!$Q$3:$Q$34,"&gt;="&amp;M1320),'FIRE TEX 5062'!$Q$3:$U$34,IF(L1320="F-15",2,IF(L1320="F-30",3,IF(L1320="F-60",4,IF(L1320="F-90",5,0)))),0),0)+IF(AND(O1320="FIRE TEX 5090",OR(E1320="IN",E1320="C",E1320="Z",E1320="L"),J1320=3),VLOOKUP(_xlfn.MINIFS('FIRE TEX 5090'!$B$5:$B$43,'FIRE TEX 5090'!$B$5:$B$43,"&gt;="&amp;M1320),'FIRE TEX 5090'!$B$5:$H$43,IF(L1320="F-15",2,IF(L1320="F-30",3,IF(L1320="F-60",4,IF(L1320="F-90",5,IF(L1320="F-120",6,IF(L1320="F-150",7,0)))))),0),0)+IF(AND(O1320="FIRE TEX 5090",OR(E1320="IN",E1320="C",E1320="Z",E1320="L"),J1320=4),VLOOKUP(_xlfn.MINIFS('FIRE TEX 5090'!$J$5:$J$43,'FIRE TEX 5090'!$J$5:$J$43,"&gt;="&amp;M1320),'FIRE TEX 5090'!$J$5:$P$43,IF(L1320="F-15",2,IF(L1320="F-30",3,IF(L1320="F-60",4,IF(L1320="F-90",5,IF(L1320="F-120",6,IF(L1320="F-150",7,0)))))),0),0)+IF(AND(O1320="FIRE TEX 5090",E1320="CJ",J1320=3),VLOOKUP(_xlfn.MINIFS('FIRE TEX 5090'!$R$5:$R$30,'FIRE TEX 5090'!$R$5:$R$30,"&gt;="&amp;M1320),'FIRE TEX 5090'!$R$5:$W$30,IF(L1320="F-15",2,IF(L1320="F-30",3,IF(L1320="F-60",4,IF(L1320="F-90",5,IF(L1320="F-120",6,IF(L1320="F-150",7,0)))))),0),0)+IF(AND(O1320="FIRE TEX 5090",E1320="CJ",J1320=4),VLOOKUP(_xlfn.MINIFS('FIRE TEX 5090'!$Y$5:$Y$39,'FIRE TEX 5090'!$Y$5:$Y$39,"&gt;="&amp;M1320),'FIRE TEX 5090'!$Y$5:$AD$39,IF(L1320="F-15",2,IF(L1320="F-30",3,IF(L1320="F-60",4,IF(L1320="F-90",5,IF(L1320="F-120",6,IF(L1320="F-150",7,0)))))),0),0)+IF(AND(O1320="FIRE TEX 5120",OR(E1320="IN",E1320="C",E1320="Z",E1320="L"),J1320=3),VLOOKUP(_xlfn.MINIFS('FIRE TEX 5120'!$B$5:$B$40,'FIRE TEX 5120'!$B$5:$B$40,"&gt;="&amp;M1320),'FIRE TEX 5120'!$B$5:$G$40,IF(L1320="F-15",2,IF(L1320="F-30",3,IF(L1320="F-60",4,IF(L1320="F-90",5,IF(L1320="F-120",6,0))))),0),0)+IF(AND(O1320="FIRE TEX 5120",OR(E1320="IN",E1320="C",E1320="Z",E1320="L"),J1320=4),VLOOKUP(_xlfn.MINIFS('FIRE TEX 5120'!$H$4:$H$40,'FIRE TEX 5120'!$H$4:$H$40,"&gt;="&amp;M1320),'FIRE TEX 5120'!$H$4:$M$40,IF(L1320="F-15",2,IF(L1320="F-30",3,IF(L1320="F-60",4,IF(L1320="F-90",5,IF(L1320="F-120",6,0))))),0),0)+IF(AND(O1320="FIRE TEX 5120",E1320="CJ"),VLOOKUP(_xlfn.MINIFS('FIRE TEX 5120'!$O$5:$O$40,'FIRE TEX 5120'!$O$5:$O$40,"&gt;="&amp;M1320),'FIRE TEX 5120'!$O$5:$T$40,IF(L1320="F-15",2,IF(L1320="F-30",3,IF(L1320="F-60",4,IF(L1320="F-90",5,IF(L1320="F-120",6,0))))),0),0)</f>
        <v>0</v>
      </c>
      <c r="Q1320" s="46">
        <f t="shared" si="119"/>
        <v>0</v>
      </c>
      <c r="R1320" s="46">
        <f t="shared" si="120"/>
        <v>0</v>
      </c>
      <c r="S1320" s="46" t="e">
        <f t="shared" si="121"/>
        <v>#VALUE!</v>
      </c>
      <c r="T1320" s="677">
        <f t="shared" si="122"/>
        <v>0</v>
      </c>
      <c r="U1320" s="80">
        <f>(IF(O1320="Stofire",(S1320*#REF!),0))+(IF(O1320="Fire Control",(S1320*$U$2),0))+(IF(O1320="Fire Tex",(S1320*$U$3),0))+(IF(O1320="WB7",(S1320*#REF!),0)+(IF(O1320="FX 2003",(S1320*$U$5),0)))</f>
        <v>0</v>
      </c>
      <c r="V1320" s="651">
        <f t="shared" si="123"/>
        <v>0</v>
      </c>
    </row>
    <row r="1321" spans="4:22" x14ac:dyDescent="0.25">
      <c r="D1321" s="118">
        <f>+CUBICACION!D1320</f>
        <v>0</v>
      </c>
      <c r="E1321" s="118">
        <f>+CUBICACION!F1320</f>
        <v>0</v>
      </c>
      <c r="F1321" s="118">
        <f>+CUBICACION!E1320</f>
        <v>0</v>
      </c>
      <c r="G1321" s="118">
        <v>12</v>
      </c>
      <c r="H1321" s="118">
        <v>2</v>
      </c>
      <c r="I1321" s="820">
        <v>26385</v>
      </c>
      <c r="J1321" s="118">
        <f>+CUBICACION!J1320</f>
        <v>0</v>
      </c>
      <c r="K1321" s="118">
        <v>4100</v>
      </c>
      <c r="L1321" s="118">
        <f>+CUBICACION!L1320</f>
        <v>0</v>
      </c>
      <c r="M1321" s="64">
        <f>+CUBICACION!M1320</f>
        <v>0</v>
      </c>
      <c r="N1321" s="824" t="str">
        <f>+CUBICACION!N1320</f>
        <v/>
      </c>
      <c r="O1321" s="675">
        <f>+CUBICACION!O1320</f>
        <v>0</v>
      </c>
      <c r="P1321" s="15">
        <f>IF(O1321="Fire Control",VLOOKUP(_xlfn.MINIFS('FIRE CONTROL'!$C$4:$C$37,'FIRE CONTROL'!$C$4:$C$37,"&gt;="&amp;M1321),'FIRE CONTROL'!$C$4:$G$37,IF(L1321="F-15",2,IF(L1321="F-30",3,IF(L1321="F-60",4,IF(L1321="F-90",5,0)))),0),0)+IF(AND(O1321="FIRE TEX 5062",OR(E1321="IN",E1321="C",E1321="Z",E1321="L"),J1321=3),VLOOKUP(_xlfn.MINIFS('FIRE TEX 5062'!$B$4:$B$34,'FIRE TEX 5062'!$B$4:$B$34,"&gt;="&amp;M1321),'FIRE TEX 5062'!$B$4:$F$34,IF(L1321="F-15",2,IF(L1321="F-30",3,IF(L1321="F-60",4,IF(L1321="F-90",5,0)))),0),0)+IF(AND(O1321="FIRE TEX 5062",OR(E1321="IN",E1321="C",E1321="Z",E1321="L"),J1321=4),VLOOKUP(_xlfn.MINIFS('FIRE TEX 5062'!$G$4:$G$34,'FIRE TEX 5062'!$G$4:$G$34,"&gt;="&amp;M1321),'FIRE TEX 5062'!$G$4:$K$34,IF(L1321="F-15",2,IF(L1321="F-30",3,IF(L1321="F-60",4,IF(L1321="F-90",5,0)))),0),0)+IF(AND(O1321="FIRE TEX 5062",E1321="CJ",J1321=3),VLOOKUP(_xlfn.MINIFS('FIRE TEX 5062'!$L$4:$L$34,'FIRE TEX 5062'!$L$4:$L$34,"&gt;="&amp;M1321),'FIRE TEX 5062'!$L$4:$P$34,IF(L1321="F-15",2,IF(L1321="F-30",3,IF(L1321="F-60",4,IF(L1321="F-90",5,0)))),0),0)+IF(AND(O1321="FIRE TEX 5062",E1321="CJ",J1321=4),VLOOKUP(_xlfn.MINIFS('FIRE TEX 5062'!$Q$3:$Q$34,'FIRE TEX 5062'!$Q$3:$Q$34,"&gt;="&amp;M1321),'FIRE TEX 5062'!$Q$3:$U$34,IF(L1321="F-15",2,IF(L1321="F-30",3,IF(L1321="F-60",4,IF(L1321="F-90",5,0)))),0),0)+IF(AND(O1321="FIRE TEX 5090",OR(E1321="IN",E1321="C",E1321="Z",E1321="L"),J1321=3),VLOOKUP(_xlfn.MINIFS('FIRE TEX 5090'!$B$5:$B$43,'FIRE TEX 5090'!$B$5:$B$43,"&gt;="&amp;M1321),'FIRE TEX 5090'!$B$5:$H$43,IF(L1321="F-15",2,IF(L1321="F-30",3,IF(L1321="F-60",4,IF(L1321="F-90",5,IF(L1321="F-120",6,IF(L1321="F-150",7,0)))))),0),0)+IF(AND(O1321="FIRE TEX 5090",OR(E1321="IN",E1321="C",E1321="Z",E1321="L"),J1321=4),VLOOKUP(_xlfn.MINIFS('FIRE TEX 5090'!$J$5:$J$43,'FIRE TEX 5090'!$J$5:$J$43,"&gt;="&amp;M1321),'FIRE TEX 5090'!$J$5:$P$43,IF(L1321="F-15",2,IF(L1321="F-30",3,IF(L1321="F-60",4,IF(L1321="F-90",5,IF(L1321="F-120",6,IF(L1321="F-150",7,0)))))),0),0)+IF(AND(O1321="FIRE TEX 5090",E1321="CJ",J1321=3),VLOOKUP(_xlfn.MINIFS('FIRE TEX 5090'!$R$5:$R$30,'FIRE TEX 5090'!$R$5:$R$30,"&gt;="&amp;M1321),'FIRE TEX 5090'!$R$5:$W$30,IF(L1321="F-15",2,IF(L1321="F-30",3,IF(L1321="F-60",4,IF(L1321="F-90",5,IF(L1321="F-120",6,IF(L1321="F-150",7,0)))))),0),0)+IF(AND(O1321="FIRE TEX 5090",E1321="CJ",J1321=4),VLOOKUP(_xlfn.MINIFS('FIRE TEX 5090'!$Y$5:$Y$39,'FIRE TEX 5090'!$Y$5:$Y$39,"&gt;="&amp;M1321),'FIRE TEX 5090'!$Y$5:$AD$39,IF(L1321="F-15",2,IF(L1321="F-30",3,IF(L1321="F-60",4,IF(L1321="F-90",5,IF(L1321="F-120",6,IF(L1321="F-150",7,0)))))),0),0)+IF(AND(O1321="FIRE TEX 5120",OR(E1321="IN",E1321="C",E1321="Z",E1321="L"),J1321=3),VLOOKUP(_xlfn.MINIFS('FIRE TEX 5120'!$B$5:$B$40,'FIRE TEX 5120'!$B$5:$B$40,"&gt;="&amp;M1321),'FIRE TEX 5120'!$B$5:$G$40,IF(L1321="F-15",2,IF(L1321="F-30",3,IF(L1321="F-60",4,IF(L1321="F-90",5,IF(L1321="F-120",6,0))))),0),0)+IF(AND(O1321="FIRE TEX 5120",OR(E1321="IN",E1321="C",E1321="Z",E1321="L"),J1321=4),VLOOKUP(_xlfn.MINIFS('FIRE TEX 5120'!$H$4:$H$40,'FIRE TEX 5120'!$H$4:$H$40,"&gt;="&amp;M1321),'FIRE TEX 5120'!$H$4:$M$40,IF(L1321="F-15",2,IF(L1321="F-30",3,IF(L1321="F-60",4,IF(L1321="F-90",5,IF(L1321="F-120",6,0))))),0),0)+IF(AND(O1321="FIRE TEX 5120",E1321="CJ"),VLOOKUP(_xlfn.MINIFS('FIRE TEX 5120'!$O$5:$O$40,'FIRE TEX 5120'!$O$5:$O$40,"&gt;="&amp;M1321),'FIRE TEX 5120'!$O$5:$T$40,IF(L1321="F-15",2,IF(L1321="F-30",3,IF(L1321="F-60",4,IF(L1321="F-90",5,IF(L1321="F-120",6,0))))),0),0)</f>
        <v>0</v>
      </c>
      <c r="Q1321" s="46">
        <f t="shared" si="119"/>
        <v>0</v>
      </c>
      <c r="R1321" s="46">
        <f t="shared" si="120"/>
        <v>0</v>
      </c>
      <c r="S1321" s="46" t="e">
        <f t="shared" si="121"/>
        <v>#VALUE!</v>
      </c>
      <c r="T1321" s="677">
        <f t="shared" si="122"/>
        <v>0</v>
      </c>
      <c r="U1321" s="80">
        <f>(IF(O1321="Stofire",(S1321*#REF!),0))+(IF(O1321="Fire Control",(S1321*$U$2),0))+(IF(O1321="Fire Tex",(S1321*$U$3),0))+(IF(O1321="WB7",(S1321*#REF!),0)+(IF(O1321="FX 2003",(S1321*$U$5),0)))</f>
        <v>0</v>
      </c>
      <c r="V1321" s="651">
        <f t="shared" si="123"/>
        <v>0</v>
      </c>
    </row>
    <row r="1322" spans="4:22" x14ac:dyDescent="0.25">
      <c r="D1322" s="118">
        <f>+CUBICACION!D1321</f>
        <v>0</v>
      </c>
      <c r="E1322" s="118">
        <f>+CUBICACION!F1321</f>
        <v>0</v>
      </c>
      <c r="F1322" s="118">
        <f>+CUBICACION!E1321</f>
        <v>0</v>
      </c>
      <c r="G1322" s="118">
        <v>12</v>
      </c>
      <c r="H1322" s="118">
        <v>2</v>
      </c>
      <c r="I1322" s="820">
        <v>26385</v>
      </c>
      <c r="J1322" s="118">
        <f>+CUBICACION!J1321</f>
        <v>0</v>
      </c>
      <c r="K1322" s="118">
        <v>4101</v>
      </c>
      <c r="L1322" s="118">
        <f>+CUBICACION!L1321</f>
        <v>0</v>
      </c>
      <c r="M1322" s="64">
        <f>+CUBICACION!M1321</f>
        <v>0</v>
      </c>
      <c r="N1322" s="824" t="str">
        <f>+CUBICACION!N1321</f>
        <v/>
      </c>
      <c r="O1322" s="675">
        <f>+CUBICACION!O1321</f>
        <v>0</v>
      </c>
      <c r="P1322" s="15">
        <f>IF(O1322="Fire Control",VLOOKUP(_xlfn.MINIFS('FIRE CONTROL'!$C$4:$C$37,'FIRE CONTROL'!$C$4:$C$37,"&gt;="&amp;M1322),'FIRE CONTROL'!$C$4:$G$37,IF(L1322="F-15",2,IF(L1322="F-30",3,IF(L1322="F-60",4,IF(L1322="F-90",5,0)))),0),0)+IF(AND(O1322="FIRE TEX 5062",OR(E1322="IN",E1322="C",E1322="Z",E1322="L"),J1322=3),VLOOKUP(_xlfn.MINIFS('FIRE TEX 5062'!$B$4:$B$34,'FIRE TEX 5062'!$B$4:$B$34,"&gt;="&amp;M1322),'FIRE TEX 5062'!$B$4:$F$34,IF(L1322="F-15",2,IF(L1322="F-30",3,IF(L1322="F-60",4,IF(L1322="F-90",5,0)))),0),0)+IF(AND(O1322="FIRE TEX 5062",OR(E1322="IN",E1322="C",E1322="Z",E1322="L"),J1322=4),VLOOKUP(_xlfn.MINIFS('FIRE TEX 5062'!$G$4:$G$34,'FIRE TEX 5062'!$G$4:$G$34,"&gt;="&amp;M1322),'FIRE TEX 5062'!$G$4:$K$34,IF(L1322="F-15",2,IF(L1322="F-30",3,IF(L1322="F-60",4,IF(L1322="F-90",5,0)))),0),0)+IF(AND(O1322="FIRE TEX 5062",E1322="CJ",J1322=3),VLOOKUP(_xlfn.MINIFS('FIRE TEX 5062'!$L$4:$L$34,'FIRE TEX 5062'!$L$4:$L$34,"&gt;="&amp;M1322),'FIRE TEX 5062'!$L$4:$P$34,IF(L1322="F-15",2,IF(L1322="F-30",3,IF(L1322="F-60",4,IF(L1322="F-90",5,0)))),0),0)+IF(AND(O1322="FIRE TEX 5062",E1322="CJ",J1322=4),VLOOKUP(_xlfn.MINIFS('FIRE TEX 5062'!$Q$3:$Q$34,'FIRE TEX 5062'!$Q$3:$Q$34,"&gt;="&amp;M1322),'FIRE TEX 5062'!$Q$3:$U$34,IF(L1322="F-15",2,IF(L1322="F-30",3,IF(L1322="F-60",4,IF(L1322="F-90",5,0)))),0),0)+IF(AND(O1322="FIRE TEX 5090",OR(E1322="IN",E1322="C",E1322="Z",E1322="L"),J1322=3),VLOOKUP(_xlfn.MINIFS('FIRE TEX 5090'!$B$5:$B$43,'FIRE TEX 5090'!$B$5:$B$43,"&gt;="&amp;M1322),'FIRE TEX 5090'!$B$5:$H$43,IF(L1322="F-15",2,IF(L1322="F-30",3,IF(L1322="F-60",4,IF(L1322="F-90",5,IF(L1322="F-120",6,IF(L1322="F-150",7,0)))))),0),0)+IF(AND(O1322="FIRE TEX 5090",OR(E1322="IN",E1322="C",E1322="Z",E1322="L"),J1322=4),VLOOKUP(_xlfn.MINIFS('FIRE TEX 5090'!$J$5:$J$43,'FIRE TEX 5090'!$J$5:$J$43,"&gt;="&amp;M1322),'FIRE TEX 5090'!$J$5:$P$43,IF(L1322="F-15",2,IF(L1322="F-30",3,IF(L1322="F-60",4,IF(L1322="F-90",5,IF(L1322="F-120",6,IF(L1322="F-150",7,0)))))),0),0)+IF(AND(O1322="FIRE TEX 5090",E1322="CJ",J1322=3),VLOOKUP(_xlfn.MINIFS('FIRE TEX 5090'!$R$5:$R$30,'FIRE TEX 5090'!$R$5:$R$30,"&gt;="&amp;M1322),'FIRE TEX 5090'!$R$5:$W$30,IF(L1322="F-15",2,IF(L1322="F-30",3,IF(L1322="F-60",4,IF(L1322="F-90",5,IF(L1322="F-120",6,IF(L1322="F-150",7,0)))))),0),0)+IF(AND(O1322="FIRE TEX 5090",E1322="CJ",J1322=4),VLOOKUP(_xlfn.MINIFS('FIRE TEX 5090'!$Y$5:$Y$39,'FIRE TEX 5090'!$Y$5:$Y$39,"&gt;="&amp;M1322),'FIRE TEX 5090'!$Y$5:$AD$39,IF(L1322="F-15",2,IF(L1322="F-30",3,IF(L1322="F-60",4,IF(L1322="F-90",5,IF(L1322="F-120",6,IF(L1322="F-150",7,0)))))),0),0)+IF(AND(O1322="FIRE TEX 5120",OR(E1322="IN",E1322="C",E1322="Z",E1322="L"),J1322=3),VLOOKUP(_xlfn.MINIFS('FIRE TEX 5120'!$B$5:$B$40,'FIRE TEX 5120'!$B$5:$B$40,"&gt;="&amp;M1322),'FIRE TEX 5120'!$B$5:$G$40,IF(L1322="F-15",2,IF(L1322="F-30",3,IF(L1322="F-60",4,IF(L1322="F-90",5,IF(L1322="F-120",6,0))))),0),0)+IF(AND(O1322="FIRE TEX 5120",OR(E1322="IN",E1322="C",E1322="Z",E1322="L"),J1322=4),VLOOKUP(_xlfn.MINIFS('FIRE TEX 5120'!$H$4:$H$40,'FIRE TEX 5120'!$H$4:$H$40,"&gt;="&amp;M1322),'FIRE TEX 5120'!$H$4:$M$40,IF(L1322="F-15",2,IF(L1322="F-30",3,IF(L1322="F-60",4,IF(L1322="F-90",5,IF(L1322="F-120",6,0))))),0),0)+IF(AND(O1322="FIRE TEX 5120",E1322="CJ"),VLOOKUP(_xlfn.MINIFS('FIRE TEX 5120'!$O$5:$O$40,'FIRE TEX 5120'!$O$5:$O$40,"&gt;="&amp;M1322),'FIRE TEX 5120'!$O$5:$T$40,IF(L1322="F-15",2,IF(L1322="F-30",3,IF(L1322="F-60",4,IF(L1322="F-90",5,IF(L1322="F-120",6,0))))),0),0)</f>
        <v>0</v>
      </c>
      <c r="Q1322" s="46">
        <f t="shared" si="119"/>
        <v>0</v>
      </c>
      <c r="R1322" s="46">
        <f t="shared" si="120"/>
        <v>0</v>
      </c>
      <c r="S1322" s="46" t="e">
        <f t="shared" si="121"/>
        <v>#VALUE!</v>
      </c>
      <c r="T1322" s="677">
        <f t="shared" si="122"/>
        <v>0</v>
      </c>
      <c r="U1322" s="80">
        <f>(IF(O1322="Stofire",(S1322*#REF!),0))+(IF(O1322="Fire Control",(S1322*$U$2),0))+(IF(O1322="Fire Tex",(S1322*$U$3),0))+(IF(O1322="WB7",(S1322*#REF!),0)+(IF(O1322="FX 2003",(S1322*$U$5),0)))</f>
        <v>0</v>
      </c>
      <c r="V1322" s="651">
        <f t="shared" si="123"/>
        <v>0</v>
      </c>
    </row>
    <row r="1323" spans="4:22" x14ac:dyDescent="0.25">
      <c r="D1323" s="118">
        <f>+CUBICACION!D1322</f>
        <v>0</v>
      </c>
      <c r="E1323" s="118">
        <f>+CUBICACION!F1322</f>
        <v>0</v>
      </c>
      <c r="F1323" s="118">
        <f>+CUBICACION!E1322</f>
        <v>0</v>
      </c>
      <c r="G1323" s="118">
        <v>12</v>
      </c>
      <c r="H1323" s="118">
        <v>2</v>
      </c>
      <c r="I1323" s="820">
        <v>26385</v>
      </c>
      <c r="J1323" s="118">
        <f>+CUBICACION!J1322</f>
        <v>0</v>
      </c>
      <c r="K1323" s="118">
        <v>4102</v>
      </c>
      <c r="L1323" s="118">
        <f>+CUBICACION!L1322</f>
        <v>0</v>
      </c>
      <c r="M1323" s="64">
        <f>+CUBICACION!M1322</f>
        <v>0</v>
      </c>
      <c r="N1323" s="824" t="str">
        <f>+CUBICACION!N1322</f>
        <v/>
      </c>
      <c r="O1323" s="675">
        <f>+CUBICACION!O1322</f>
        <v>0</v>
      </c>
      <c r="P1323" s="15">
        <f>IF(O1323="Fire Control",VLOOKUP(_xlfn.MINIFS('FIRE CONTROL'!$C$4:$C$37,'FIRE CONTROL'!$C$4:$C$37,"&gt;="&amp;M1323),'FIRE CONTROL'!$C$4:$G$37,IF(L1323="F-15",2,IF(L1323="F-30",3,IF(L1323="F-60",4,IF(L1323="F-90",5,0)))),0),0)+IF(AND(O1323="FIRE TEX 5062",OR(E1323="IN",E1323="C",E1323="Z",E1323="L"),J1323=3),VLOOKUP(_xlfn.MINIFS('FIRE TEX 5062'!$B$4:$B$34,'FIRE TEX 5062'!$B$4:$B$34,"&gt;="&amp;M1323),'FIRE TEX 5062'!$B$4:$F$34,IF(L1323="F-15",2,IF(L1323="F-30",3,IF(L1323="F-60",4,IF(L1323="F-90",5,0)))),0),0)+IF(AND(O1323="FIRE TEX 5062",OR(E1323="IN",E1323="C",E1323="Z",E1323="L"),J1323=4),VLOOKUP(_xlfn.MINIFS('FIRE TEX 5062'!$G$4:$G$34,'FIRE TEX 5062'!$G$4:$G$34,"&gt;="&amp;M1323),'FIRE TEX 5062'!$G$4:$K$34,IF(L1323="F-15",2,IF(L1323="F-30",3,IF(L1323="F-60",4,IF(L1323="F-90",5,0)))),0),0)+IF(AND(O1323="FIRE TEX 5062",E1323="CJ",J1323=3),VLOOKUP(_xlfn.MINIFS('FIRE TEX 5062'!$L$4:$L$34,'FIRE TEX 5062'!$L$4:$L$34,"&gt;="&amp;M1323),'FIRE TEX 5062'!$L$4:$P$34,IF(L1323="F-15",2,IF(L1323="F-30",3,IF(L1323="F-60",4,IF(L1323="F-90",5,0)))),0),0)+IF(AND(O1323="FIRE TEX 5062",E1323="CJ",J1323=4),VLOOKUP(_xlfn.MINIFS('FIRE TEX 5062'!$Q$3:$Q$34,'FIRE TEX 5062'!$Q$3:$Q$34,"&gt;="&amp;M1323),'FIRE TEX 5062'!$Q$3:$U$34,IF(L1323="F-15",2,IF(L1323="F-30",3,IF(L1323="F-60",4,IF(L1323="F-90",5,0)))),0),0)+IF(AND(O1323="FIRE TEX 5090",OR(E1323="IN",E1323="C",E1323="Z",E1323="L"),J1323=3),VLOOKUP(_xlfn.MINIFS('FIRE TEX 5090'!$B$5:$B$43,'FIRE TEX 5090'!$B$5:$B$43,"&gt;="&amp;M1323),'FIRE TEX 5090'!$B$5:$H$43,IF(L1323="F-15",2,IF(L1323="F-30",3,IF(L1323="F-60",4,IF(L1323="F-90",5,IF(L1323="F-120",6,IF(L1323="F-150",7,0)))))),0),0)+IF(AND(O1323="FIRE TEX 5090",OR(E1323="IN",E1323="C",E1323="Z",E1323="L"),J1323=4),VLOOKUP(_xlfn.MINIFS('FIRE TEX 5090'!$J$5:$J$43,'FIRE TEX 5090'!$J$5:$J$43,"&gt;="&amp;M1323),'FIRE TEX 5090'!$J$5:$P$43,IF(L1323="F-15",2,IF(L1323="F-30",3,IF(L1323="F-60",4,IF(L1323="F-90",5,IF(L1323="F-120",6,IF(L1323="F-150",7,0)))))),0),0)+IF(AND(O1323="FIRE TEX 5090",E1323="CJ",J1323=3),VLOOKUP(_xlfn.MINIFS('FIRE TEX 5090'!$R$5:$R$30,'FIRE TEX 5090'!$R$5:$R$30,"&gt;="&amp;M1323),'FIRE TEX 5090'!$R$5:$W$30,IF(L1323="F-15",2,IF(L1323="F-30",3,IF(L1323="F-60",4,IF(L1323="F-90",5,IF(L1323="F-120",6,IF(L1323="F-150",7,0)))))),0),0)+IF(AND(O1323="FIRE TEX 5090",E1323="CJ",J1323=4),VLOOKUP(_xlfn.MINIFS('FIRE TEX 5090'!$Y$5:$Y$39,'FIRE TEX 5090'!$Y$5:$Y$39,"&gt;="&amp;M1323),'FIRE TEX 5090'!$Y$5:$AD$39,IF(L1323="F-15",2,IF(L1323="F-30",3,IF(L1323="F-60",4,IF(L1323="F-90",5,IF(L1323="F-120",6,IF(L1323="F-150",7,0)))))),0),0)+IF(AND(O1323="FIRE TEX 5120",OR(E1323="IN",E1323="C",E1323="Z",E1323="L"),J1323=3),VLOOKUP(_xlfn.MINIFS('FIRE TEX 5120'!$B$5:$B$40,'FIRE TEX 5120'!$B$5:$B$40,"&gt;="&amp;M1323),'FIRE TEX 5120'!$B$5:$G$40,IF(L1323="F-15",2,IF(L1323="F-30",3,IF(L1323="F-60",4,IF(L1323="F-90",5,IF(L1323="F-120",6,0))))),0),0)+IF(AND(O1323="FIRE TEX 5120",OR(E1323="IN",E1323="C",E1323="Z",E1323="L"),J1323=4),VLOOKUP(_xlfn.MINIFS('FIRE TEX 5120'!$H$4:$H$40,'FIRE TEX 5120'!$H$4:$H$40,"&gt;="&amp;M1323),'FIRE TEX 5120'!$H$4:$M$40,IF(L1323="F-15",2,IF(L1323="F-30",3,IF(L1323="F-60",4,IF(L1323="F-90",5,IF(L1323="F-120",6,0))))),0),0)+IF(AND(O1323="FIRE TEX 5120",E1323="CJ"),VLOOKUP(_xlfn.MINIFS('FIRE TEX 5120'!$O$5:$O$40,'FIRE TEX 5120'!$O$5:$O$40,"&gt;="&amp;M1323),'FIRE TEX 5120'!$O$5:$T$40,IF(L1323="F-15",2,IF(L1323="F-30",3,IF(L1323="F-60",4,IF(L1323="F-90",5,IF(L1323="F-120",6,0))))),0),0)</f>
        <v>0</v>
      </c>
      <c r="Q1323" s="46">
        <f t="shared" si="119"/>
        <v>0</v>
      </c>
      <c r="R1323" s="46">
        <f t="shared" si="120"/>
        <v>0</v>
      </c>
      <c r="S1323" s="46" t="e">
        <f t="shared" si="121"/>
        <v>#VALUE!</v>
      </c>
      <c r="T1323" s="677">
        <f t="shared" si="122"/>
        <v>0</v>
      </c>
      <c r="U1323" s="80">
        <f>(IF(O1323="Stofire",(S1323*#REF!),0))+(IF(O1323="Fire Control",(S1323*$U$2),0))+(IF(O1323="Fire Tex",(S1323*$U$3),0))+(IF(O1323="WB7",(S1323*#REF!),0)+(IF(O1323="FX 2003",(S1323*$U$5),0)))</f>
        <v>0</v>
      </c>
      <c r="V1323" s="651">
        <f t="shared" si="123"/>
        <v>0</v>
      </c>
    </row>
    <row r="1324" spans="4:22" x14ac:dyDescent="0.25">
      <c r="D1324" s="118">
        <f>+CUBICACION!D1323</f>
        <v>0</v>
      </c>
      <c r="E1324" s="118">
        <f>+CUBICACION!F1323</f>
        <v>0</v>
      </c>
      <c r="F1324" s="118">
        <f>+CUBICACION!E1323</f>
        <v>0</v>
      </c>
      <c r="G1324" s="118">
        <v>12</v>
      </c>
      <c r="H1324" s="118">
        <v>2</v>
      </c>
      <c r="I1324" s="820">
        <v>26385</v>
      </c>
      <c r="J1324" s="118">
        <f>+CUBICACION!J1323</f>
        <v>0</v>
      </c>
      <c r="K1324" s="118">
        <v>4103</v>
      </c>
      <c r="L1324" s="118">
        <f>+CUBICACION!L1323</f>
        <v>0</v>
      </c>
      <c r="M1324" s="64">
        <f>+CUBICACION!M1323</f>
        <v>0</v>
      </c>
      <c r="N1324" s="824" t="str">
        <f>+CUBICACION!N1323</f>
        <v/>
      </c>
      <c r="O1324" s="675">
        <f>+CUBICACION!O1323</f>
        <v>0</v>
      </c>
      <c r="P1324" s="15">
        <f>IF(O1324="Fire Control",VLOOKUP(_xlfn.MINIFS('FIRE CONTROL'!$C$4:$C$37,'FIRE CONTROL'!$C$4:$C$37,"&gt;="&amp;M1324),'FIRE CONTROL'!$C$4:$G$37,IF(L1324="F-15",2,IF(L1324="F-30",3,IF(L1324="F-60",4,IF(L1324="F-90",5,0)))),0),0)+IF(AND(O1324="FIRE TEX 5062",OR(E1324="IN",E1324="C",E1324="Z",E1324="L"),J1324=3),VLOOKUP(_xlfn.MINIFS('FIRE TEX 5062'!$B$4:$B$34,'FIRE TEX 5062'!$B$4:$B$34,"&gt;="&amp;M1324),'FIRE TEX 5062'!$B$4:$F$34,IF(L1324="F-15",2,IF(L1324="F-30",3,IF(L1324="F-60",4,IF(L1324="F-90",5,0)))),0),0)+IF(AND(O1324="FIRE TEX 5062",OR(E1324="IN",E1324="C",E1324="Z",E1324="L"),J1324=4),VLOOKUP(_xlfn.MINIFS('FIRE TEX 5062'!$G$4:$G$34,'FIRE TEX 5062'!$G$4:$G$34,"&gt;="&amp;M1324),'FIRE TEX 5062'!$G$4:$K$34,IF(L1324="F-15",2,IF(L1324="F-30",3,IF(L1324="F-60",4,IF(L1324="F-90",5,0)))),0),0)+IF(AND(O1324="FIRE TEX 5062",E1324="CJ",J1324=3),VLOOKUP(_xlfn.MINIFS('FIRE TEX 5062'!$L$4:$L$34,'FIRE TEX 5062'!$L$4:$L$34,"&gt;="&amp;M1324),'FIRE TEX 5062'!$L$4:$P$34,IF(L1324="F-15",2,IF(L1324="F-30",3,IF(L1324="F-60",4,IF(L1324="F-90",5,0)))),0),0)+IF(AND(O1324="FIRE TEX 5062",E1324="CJ",J1324=4),VLOOKUP(_xlfn.MINIFS('FIRE TEX 5062'!$Q$3:$Q$34,'FIRE TEX 5062'!$Q$3:$Q$34,"&gt;="&amp;M1324),'FIRE TEX 5062'!$Q$3:$U$34,IF(L1324="F-15",2,IF(L1324="F-30",3,IF(L1324="F-60",4,IF(L1324="F-90",5,0)))),0),0)+IF(AND(O1324="FIRE TEX 5090",OR(E1324="IN",E1324="C",E1324="Z",E1324="L"),J1324=3),VLOOKUP(_xlfn.MINIFS('FIRE TEX 5090'!$B$5:$B$43,'FIRE TEX 5090'!$B$5:$B$43,"&gt;="&amp;M1324),'FIRE TEX 5090'!$B$5:$H$43,IF(L1324="F-15",2,IF(L1324="F-30",3,IF(L1324="F-60",4,IF(L1324="F-90",5,IF(L1324="F-120",6,IF(L1324="F-150",7,0)))))),0),0)+IF(AND(O1324="FIRE TEX 5090",OR(E1324="IN",E1324="C",E1324="Z",E1324="L"),J1324=4),VLOOKUP(_xlfn.MINIFS('FIRE TEX 5090'!$J$5:$J$43,'FIRE TEX 5090'!$J$5:$J$43,"&gt;="&amp;M1324),'FIRE TEX 5090'!$J$5:$P$43,IF(L1324="F-15",2,IF(L1324="F-30",3,IF(L1324="F-60",4,IF(L1324="F-90",5,IF(L1324="F-120",6,IF(L1324="F-150",7,0)))))),0),0)+IF(AND(O1324="FIRE TEX 5090",E1324="CJ",J1324=3),VLOOKUP(_xlfn.MINIFS('FIRE TEX 5090'!$R$5:$R$30,'FIRE TEX 5090'!$R$5:$R$30,"&gt;="&amp;M1324),'FIRE TEX 5090'!$R$5:$W$30,IF(L1324="F-15",2,IF(L1324="F-30",3,IF(L1324="F-60",4,IF(L1324="F-90",5,IF(L1324="F-120",6,IF(L1324="F-150",7,0)))))),0),0)+IF(AND(O1324="FIRE TEX 5090",E1324="CJ",J1324=4),VLOOKUP(_xlfn.MINIFS('FIRE TEX 5090'!$Y$5:$Y$39,'FIRE TEX 5090'!$Y$5:$Y$39,"&gt;="&amp;M1324),'FIRE TEX 5090'!$Y$5:$AD$39,IF(L1324="F-15",2,IF(L1324="F-30",3,IF(L1324="F-60",4,IF(L1324="F-90",5,IF(L1324="F-120",6,IF(L1324="F-150",7,0)))))),0),0)+IF(AND(O1324="FIRE TEX 5120",OR(E1324="IN",E1324="C",E1324="Z",E1324="L"),J1324=3),VLOOKUP(_xlfn.MINIFS('FIRE TEX 5120'!$B$5:$B$40,'FIRE TEX 5120'!$B$5:$B$40,"&gt;="&amp;M1324),'FIRE TEX 5120'!$B$5:$G$40,IF(L1324="F-15",2,IF(L1324="F-30",3,IF(L1324="F-60",4,IF(L1324="F-90",5,IF(L1324="F-120",6,0))))),0),0)+IF(AND(O1324="FIRE TEX 5120",OR(E1324="IN",E1324="C",E1324="Z",E1324="L"),J1324=4),VLOOKUP(_xlfn.MINIFS('FIRE TEX 5120'!$H$4:$H$40,'FIRE TEX 5120'!$H$4:$H$40,"&gt;="&amp;M1324),'FIRE TEX 5120'!$H$4:$M$40,IF(L1324="F-15",2,IF(L1324="F-30",3,IF(L1324="F-60",4,IF(L1324="F-90",5,IF(L1324="F-120",6,0))))),0),0)+IF(AND(O1324="FIRE TEX 5120",E1324="CJ"),VLOOKUP(_xlfn.MINIFS('FIRE TEX 5120'!$O$5:$O$40,'FIRE TEX 5120'!$O$5:$O$40,"&gt;="&amp;M1324),'FIRE TEX 5120'!$O$5:$T$40,IF(L1324="F-15",2,IF(L1324="F-30",3,IF(L1324="F-60",4,IF(L1324="F-90",5,IF(L1324="F-120",6,0))))),0),0)</f>
        <v>0</v>
      </c>
      <c r="Q1324" s="46">
        <f t="shared" si="119"/>
        <v>0</v>
      </c>
      <c r="R1324" s="46">
        <f t="shared" si="120"/>
        <v>0</v>
      </c>
      <c r="S1324" s="46" t="e">
        <f t="shared" si="121"/>
        <v>#VALUE!</v>
      </c>
      <c r="T1324" s="677">
        <f t="shared" si="122"/>
        <v>0</v>
      </c>
      <c r="U1324" s="80">
        <f>(IF(O1324="Stofire",(S1324*#REF!),0))+(IF(O1324="Fire Control",(S1324*$U$2),0))+(IF(O1324="Fire Tex",(S1324*$U$3),0))+(IF(O1324="WB7",(S1324*#REF!),0)+(IF(O1324="FX 2003",(S1324*$U$5),0)))</f>
        <v>0</v>
      </c>
      <c r="V1324" s="651">
        <f t="shared" si="123"/>
        <v>0</v>
      </c>
    </row>
    <row r="1325" spans="4:22" x14ac:dyDescent="0.25">
      <c r="D1325" s="118">
        <f>+CUBICACION!D1324</f>
        <v>0</v>
      </c>
      <c r="E1325" s="118">
        <f>+CUBICACION!F1324</f>
        <v>0</v>
      </c>
      <c r="F1325" s="118">
        <f>+CUBICACION!E1324</f>
        <v>0</v>
      </c>
      <c r="G1325" s="118">
        <v>12</v>
      </c>
      <c r="H1325" s="118">
        <v>2</v>
      </c>
      <c r="I1325" s="820">
        <v>26385</v>
      </c>
      <c r="J1325" s="118">
        <f>+CUBICACION!J1324</f>
        <v>0</v>
      </c>
      <c r="K1325" s="118">
        <v>4104</v>
      </c>
      <c r="L1325" s="118">
        <f>+CUBICACION!L1324</f>
        <v>0</v>
      </c>
      <c r="M1325" s="64">
        <f>+CUBICACION!M1324</f>
        <v>0</v>
      </c>
      <c r="N1325" s="824" t="str">
        <f>+CUBICACION!N1324</f>
        <v/>
      </c>
      <c r="O1325" s="675">
        <f>+CUBICACION!O1324</f>
        <v>0</v>
      </c>
      <c r="P1325" s="15">
        <f>IF(O1325="Fire Control",VLOOKUP(_xlfn.MINIFS('FIRE CONTROL'!$C$4:$C$37,'FIRE CONTROL'!$C$4:$C$37,"&gt;="&amp;M1325),'FIRE CONTROL'!$C$4:$G$37,IF(L1325="F-15",2,IF(L1325="F-30",3,IF(L1325="F-60",4,IF(L1325="F-90",5,0)))),0),0)+IF(AND(O1325="FIRE TEX 5062",OR(E1325="IN",E1325="C",E1325="Z",E1325="L"),J1325=3),VLOOKUP(_xlfn.MINIFS('FIRE TEX 5062'!$B$4:$B$34,'FIRE TEX 5062'!$B$4:$B$34,"&gt;="&amp;M1325),'FIRE TEX 5062'!$B$4:$F$34,IF(L1325="F-15",2,IF(L1325="F-30",3,IF(L1325="F-60",4,IF(L1325="F-90",5,0)))),0),0)+IF(AND(O1325="FIRE TEX 5062",OR(E1325="IN",E1325="C",E1325="Z",E1325="L"),J1325=4),VLOOKUP(_xlfn.MINIFS('FIRE TEX 5062'!$G$4:$G$34,'FIRE TEX 5062'!$G$4:$G$34,"&gt;="&amp;M1325),'FIRE TEX 5062'!$G$4:$K$34,IF(L1325="F-15",2,IF(L1325="F-30",3,IF(L1325="F-60",4,IF(L1325="F-90",5,0)))),0),0)+IF(AND(O1325="FIRE TEX 5062",E1325="CJ",J1325=3),VLOOKUP(_xlfn.MINIFS('FIRE TEX 5062'!$L$4:$L$34,'FIRE TEX 5062'!$L$4:$L$34,"&gt;="&amp;M1325),'FIRE TEX 5062'!$L$4:$P$34,IF(L1325="F-15",2,IF(L1325="F-30",3,IF(L1325="F-60",4,IF(L1325="F-90",5,0)))),0),0)+IF(AND(O1325="FIRE TEX 5062",E1325="CJ",J1325=4),VLOOKUP(_xlfn.MINIFS('FIRE TEX 5062'!$Q$3:$Q$34,'FIRE TEX 5062'!$Q$3:$Q$34,"&gt;="&amp;M1325),'FIRE TEX 5062'!$Q$3:$U$34,IF(L1325="F-15",2,IF(L1325="F-30",3,IF(L1325="F-60",4,IF(L1325="F-90",5,0)))),0),0)+IF(AND(O1325="FIRE TEX 5090",OR(E1325="IN",E1325="C",E1325="Z",E1325="L"),J1325=3),VLOOKUP(_xlfn.MINIFS('FIRE TEX 5090'!$B$5:$B$43,'FIRE TEX 5090'!$B$5:$B$43,"&gt;="&amp;M1325),'FIRE TEX 5090'!$B$5:$H$43,IF(L1325="F-15",2,IF(L1325="F-30",3,IF(L1325="F-60",4,IF(L1325="F-90",5,IF(L1325="F-120",6,IF(L1325="F-150",7,0)))))),0),0)+IF(AND(O1325="FIRE TEX 5090",OR(E1325="IN",E1325="C",E1325="Z",E1325="L"),J1325=4),VLOOKUP(_xlfn.MINIFS('FIRE TEX 5090'!$J$5:$J$43,'FIRE TEX 5090'!$J$5:$J$43,"&gt;="&amp;M1325),'FIRE TEX 5090'!$J$5:$P$43,IF(L1325="F-15",2,IF(L1325="F-30",3,IF(L1325="F-60",4,IF(L1325="F-90",5,IF(L1325="F-120",6,IF(L1325="F-150",7,0)))))),0),0)+IF(AND(O1325="FIRE TEX 5090",E1325="CJ",J1325=3),VLOOKUP(_xlfn.MINIFS('FIRE TEX 5090'!$R$5:$R$30,'FIRE TEX 5090'!$R$5:$R$30,"&gt;="&amp;M1325),'FIRE TEX 5090'!$R$5:$W$30,IF(L1325="F-15",2,IF(L1325="F-30",3,IF(L1325="F-60",4,IF(L1325="F-90",5,IF(L1325="F-120",6,IF(L1325="F-150",7,0)))))),0),0)+IF(AND(O1325="FIRE TEX 5090",E1325="CJ",J1325=4),VLOOKUP(_xlfn.MINIFS('FIRE TEX 5090'!$Y$5:$Y$39,'FIRE TEX 5090'!$Y$5:$Y$39,"&gt;="&amp;M1325),'FIRE TEX 5090'!$Y$5:$AD$39,IF(L1325="F-15",2,IF(L1325="F-30",3,IF(L1325="F-60",4,IF(L1325="F-90",5,IF(L1325="F-120",6,IF(L1325="F-150",7,0)))))),0),0)+IF(AND(O1325="FIRE TEX 5120",OR(E1325="IN",E1325="C",E1325="Z",E1325="L"),J1325=3),VLOOKUP(_xlfn.MINIFS('FIRE TEX 5120'!$B$5:$B$40,'FIRE TEX 5120'!$B$5:$B$40,"&gt;="&amp;M1325),'FIRE TEX 5120'!$B$5:$G$40,IF(L1325="F-15",2,IF(L1325="F-30",3,IF(L1325="F-60",4,IF(L1325="F-90",5,IF(L1325="F-120",6,0))))),0),0)+IF(AND(O1325="FIRE TEX 5120",OR(E1325="IN",E1325="C",E1325="Z",E1325="L"),J1325=4),VLOOKUP(_xlfn.MINIFS('FIRE TEX 5120'!$H$4:$H$40,'FIRE TEX 5120'!$H$4:$H$40,"&gt;="&amp;M1325),'FIRE TEX 5120'!$H$4:$M$40,IF(L1325="F-15",2,IF(L1325="F-30",3,IF(L1325="F-60",4,IF(L1325="F-90",5,IF(L1325="F-120",6,0))))),0),0)+IF(AND(O1325="FIRE TEX 5120",E1325="CJ"),VLOOKUP(_xlfn.MINIFS('FIRE TEX 5120'!$O$5:$O$40,'FIRE TEX 5120'!$O$5:$O$40,"&gt;="&amp;M1325),'FIRE TEX 5120'!$O$5:$T$40,IF(L1325="F-15",2,IF(L1325="F-30",3,IF(L1325="F-60",4,IF(L1325="F-90",5,IF(L1325="F-120",6,0))))),0),0)</f>
        <v>0</v>
      </c>
      <c r="Q1325" s="46">
        <f t="shared" ref="Q1325:Q1388" si="124">IF(P1325="","",IF(P1325="dar valor","",0.03937*P1325))</f>
        <v>0</v>
      </c>
      <c r="R1325" s="46">
        <f t="shared" ref="R1325:R1388" si="125">+(IF(O1325="Fire Control",((65*1.5/Q1325)*0.75*4),0))+(IF(OR(O1325="Fire Tex 5062",O1325="Fire Tex 5090",O1325="Fire Tex 5120"),((66*1.5/Q1325)*0.7*5),0))</f>
        <v>0</v>
      </c>
      <c r="S1325" s="46" t="e">
        <f t="shared" ref="S1325:S1388" si="126">IF(R1325="","",+N1325/R1325)</f>
        <v>#VALUE!</v>
      </c>
      <c r="T1325" s="677">
        <f t="shared" ref="T1325:T1388" si="127">(IF(O1325="Stofire",(S1325/(7*1)),0))+(IF(O1325="Fire Control",(S1325/(7*1)),0))+(IF(O1325="Fire Tex",(S1325/(7*1)),0))+(IF(O1325="WB7",(S1325/(7*1)),0))+(IF(O1325="FX 2003",(S1325/(7*1)),0))</f>
        <v>0</v>
      </c>
      <c r="U1325" s="80">
        <f>(IF(O1325="Stofire",(S1325*#REF!),0))+(IF(O1325="Fire Control",(S1325*$U$2),0))+(IF(O1325="Fire Tex",(S1325*$U$3),0))+(IF(O1325="WB7",(S1325*#REF!),0)+(IF(O1325="FX 2003",(S1325*$U$5),0)))</f>
        <v>0</v>
      </c>
      <c r="V1325" s="651">
        <f t="shared" ref="V1325:V1388" si="128">_xlfn.CEILING.MATH(M1325,10)</f>
        <v>0</v>
      </c>
    </row>
    <row r="1326" spans="4:22" x14ac:dyDescent="0.25">
      <c r="D1326" s="118">
        <f>+CUBICACION!D1325</f>
        <v>0</v>
      </c>
      <c r="E1326" s="118">
        <f>+CUBICACION!F1325</f>
        <v>0</v>
      </c>
      <c r="F1326" s="118">
        <f>+CUBICACION!E1325</f>
        <v>0</v>
      </c>
      <c r="G1326" s="118">
        <v>12</v>
      </c>
      <c r="H1326" s="118">
        <v>2</v>
      </c>
      <c r="I1326" s="820">
        <v>26385</v>
      </c>
      <c r="J1326" s="118">
        <f>+CUBICACION!J1325</f>
        <v>0</v>
      </c>
      <c r="K1326" s="118">
        <v>4105</v>
      </c>
      <c r="L1326" s="118">
        <f>+CUBICACION!L1325</f>
        <v>0</v>
      </c>
      <c r="M1326" s="64">
        <f>+CUBICACION!M1325</f>
        <v>0</v>
      </c>
      <c r="N1326" s="824" t="str">
        <f>+CUBICACION!N1325</f>
        <v/>
      </c>
      <c r="O1326" s="675">
        <f>+CUBICACION!O1325</f>
        <v>0</v>
      </c>
      <c r="P1326" s="15">
        <f>IF(O1326="Fire Control",VLOOKUP(_xlfn.MINIFS('FIRE CONTROL'!$C$4:$C$37,'FIRE CONTROL'!$C$4:$C$37,"&gt;="&amp;M1326),'FIRE CONTROL'!$C$4:$G$37,IF(L1326="F-15",2,IF(L1326="F-30",3,IF(L1326="F-60",4,IF(L1326="F-90",5,0)))),0),0)+IF(AND(O1326="FIRE TEX 5062",OR(E1326="IN",E1326="C",E1326="Z",E1326="L"),J1326=3),VLOOKUP(_xlfn.MINIFS('FIRE TEX 5062'!$B$4:$B$34,'FIRE TEX 5062'!$B$4:$B$34,"&gt;="&amp;M1326),'FIRE TEX 5062'!$B$4:$F$34,IF(L1326="F-15",2,IF(L1326="F-30",3,IF(L1326="F-60",4,IF(L1326="F-90",5,0)))),0),0)+IF(AND(O1326="FIRE TEX 5062",OR(E1326="IN",E1326="C",E1326="Z",E1326="L"),J1326=4),VLOOKUP(_xlfn.MINIFS('FIRE TEX 5062'!$G$4:$G$34,'FIRE TEX 5062'!$G$4:$G$34,"&gt;="&amp;M1326),'FIRE TEX 5062'!$G$4:$K$34,IF(L1326="F-15",2,IF(L1326="F-30",3,IF(L1326="F-60",4,IF(L1326="F-90",5,0)))),0),0)+IF(AND(O1326="FIRE TEX 5062",E1326="CJ",J1326=3),VLOOKUP(_xlfn.MINIFS('FIRE TEX 5062'!$L$4:$L$34,'FIRE TEX 5062'!$L$4:$L$34,"&gt;="&amp;M1326),'FIRE TEX 5062'!$L$4:$P$34,IF(L1326="F-15",2,IF(L1326="F-30",3,IF(L1326="F-60",4,IF(L1326="F-90",5,0)))),0),0)+IF(AND(O1326="FIRE TEX 5062",E1326="CJ",J1326=4),VLOOKUP(_xlfn.MINIFS('FIRE TEX 5062'!$Q$3:$Q$34,'FIRE TEX 5062'!$Q$3:$Q$34,"&gt;="&amp;M1326),'FIRE TEX 5062'!$Q$3:$U$34,IF(L1326="F-15",2,IF(L1326="F-30",3,IF(L1326="F-60",4,IF(L1326="F-90",5,0)))),0),0)+IF(AND(O1326="FIRE TEX 5090",OR(E1326="IN",E1326="C",E1326="Z",E1326="L"),J1326=3),VLOOKUP(_xlfn.MINIFS('FIRE TEX 5090'!$B$5:$B$43,'FIRE TEX 5090'!$B$5:$B$43,"&gt;="&amp;M1326),'FIRE TEX 5090'!$B$5:$H$43,IF(L1326="F-15",2,IF(L1326="F-30",3,IF(L1326="F-60",4,IF(L1326="F-90",5,IF(L1326="F-120",6,IF(L1326="F-150",7,0)))))),0),0)+IF(AND(O1326="FIRE TEX 5090",OR(E1326="IN",E1326="C",E1326="Z",E1326="L"),J1326=4),VLOOKUP(_xlfn.MINIFS('FIRE TEX 5090'!$J$5:$J$43,'FIRE TEX 5090'!$J$5:$J$43,"&gt;="&amp;M1326),'FIRE TEX 5090'!$J$5:$P$43,IF(L1326="F-15",2,IF(L1326="F-30",3,IF(L1326="F-60",4,IF(L1326="F-90",5,IF(L1326="F-120",6,IF(L1326="F-150",7,0)))))),0),0)+IF(AND(O1326="FIRE TEX 5090",E1326="CJ",J1326=3),VLOOKUP(_xlfn.MINIFS('FIRE TEX 5090'!$R$5:$R$30,'FIRE TEX 5090'!$R$5:$R$30,"&gt;="&amp;M1326),'FIRE TEX 5090'!$R$5:$W$30,IF(L1326="F-15",2,IF(L1326="F-30",3,IF(L1326="F-60",4,IF(L1326="F-90",5,IF(L1326="F-120",6,IF(L1326="F-150",7,0)))))),0),0)+IF(AND(O1326="FIRE TEX 5090",E1326="CJ",J1326=4),VLOOKUP(_xlfn.MINIFS('FIRE TEX 5090'!$Y$5:$Y$39,'FIRE TEX 5090'!$Y$5:$Y$39,"&gt;="&amp;M1326),'FIRE TEX 5090'!$Y$5:$AD$39,IF(L1326="F-15",2,IF(L1326="F-30",3,IF(L1326="F-60",4,IF(L1326="F-90",5,IF(L1326="F-120",6,IF(L1326="F-150",7,0)))))),0),0)+IF(AND(O1326="FIRE TEX 5120",OR(E1326="IN",E1326="C",E1326="Z",E1326="L"),J1326=3),VLOOKUP(_xlfn.MINIFS('FIRE TEX 5120'!$B$5:$B$40,'FIRE TEX 5120'!$B$5:$B$40,"&gt;="&amp;M1326),'FIRE TEX 5120'!$B$5:$G$40,IF(L1326="F-15",2,IF(L1326="F-30",3,IF(L1326="F-60",4,IF(L1326="F-90",5,IF(L1326="F-120",6,0))))),0),0)+IF(AND(O1326="FIRE TEX 5120",OR(E1326="IN",E1326="C",E1326="Z",E1326="L"),J1326=4),VLOOKUP(_xlfn.MINIFS('FIRE TEX 5120'!$H$4:$H$40,'FIRE TEX 5120'!$H$4:$H$40,"&gt;="&amp;M1326),'FIRE TEX 5120'!$H$4:$M$40,IF(L1326="F-15",2,IF(L1326="F-30",3,IF(L1326="F-60",4,IF(L1326="F-90",5,IF(L1326="F-120",6,0))))),0),0)+IF(AND(O1326="FIRE TEX 5120",E1326="CJ"),VLOOKUP(_xlfn.MINIFS('FIRE TEX 5120'!$O$5:$O$40,'FIRE TEX 5120'!$O$5:$O$40,"&gt;="&amp;M1326),'FIRE TEX 5120'!$O$5:$T$40,IF(L1326="F-15",2,IF(L1326="F-30",3,IF(L1326="F-60",4,IF(L1326="F-90",5,IF(L1326="F-120",6,0))))),0),0)</f>
        <v>0</v>
      </c>
      <c r="Q1326" s="46">
        <f t="shared" si="124"/>
        <v>0</v>
      </c>
      <c r="R1326" s="46">
        <f t="shared" si="125"/>
        <v>0</v>
      </c>
      <c r="S1326" s="46" t="e">
        <f t="shared" si="126"/>
        <v>#VALUE!</v>
      </c>
      <c r="T1326" s="677">
        <f t="shared" si="127"/>
        <v>0</v>
      </c>
      <c r="U1326" s="80">
        <f>(IF(O1326="Stofire",(S1326*#REF!),0))+(IF(O1326="Fire Control",(S1326*$U$2),0))+(IF(O1326="Fire Tex",(S1326*$U$3),0))+(IF(O1326="WB7",(S1326*#REF!),0)+(IF(O1326="FX 2003",(S1326*$U$5),0)))</f>
        <v>0</v>
      </c>
      <c r="V1326" s="651">
        <f t="shared" si="128"/>
        <v>0</v>
      </c>
    </row>
    <row r="1327" spans="4:22" x14ac:dyDescent="0.25">
      <c r="D1327" s="118">
        <f>+CUBICACION!D1326</f>
        <v>0</v>
      </c>
      <c r="E1327" s="118">
        <f>+CUBICACION!F1326</f>
        <v>0</v>
      </c>
      <c r="F1327" s="118">
        <f>+CUBICACION!E1326</f>
        <v>0</v>
      </c>
      <c r="G1327" s="118">
        <v>12</v>
      </c>
      <c r="H1327" s="118">
        <v>2</v>
      </c>
      <c r="I1327" s="820">
        <v>26385</v>
      </c>
      <c r="J1327" s="118">
        <f>+CUBICACION!J1326</f>
        <v>0</v>
      </c>
      <c r="K1327" s="118">
        <v>4106</v>
      </c>
      <c r="L1327" s="118">
        <f>+CUBICACION!L1326</f>
        <v>0</v>
      </c>
      <c r="M1327" s="64">
        <f>+CUBICACION!M1326</f>
        <v>0</v>
      </c>
      <c r="N1327" s="824" t="str">
        <f>+CUBICACION!N1326</f>
        <v/>
      </c>
      <c r="O1327" s="675">
        <f>+CUBICACION!O1326</f>
        <v>0</v>
      </c>
      <c r="P1327" s="15">
        <f>IF(O1327="Fire Control",VLOOKUP(_xlfn.MINIFS('FIRE CONTROL'!$C$4:$C$37,'FIRE CONTROL'!$C$4:$C$37,"&gt;="&amp;M1327),'FIRE CONTROL'!$C$4:$G$37,IF(L1327="F-15",2,IF(L1327="F-30",3,IF(L1327="F-60",4,IF(L1327="F-90",5,0)))),0),0)+IF(AND(O1327="FIRE TEX 5062",OR(E1327="IN",E1327="C",E1327="Z",E1327="L"),J1327=3),VLOOKUP(_xlfn.MINIFS('FIRE TEX 5062'!$B$4:$B$34,'FIRE TEX 5062'!$B$4:$B$34,"&gt;="&amp;M1327),'FIRE TEX 5062'!$B$4:$F$34,IF(L1327="F-15",2,IF(L1327="F-30",3,IF(L1327="F-60",4,IF(L1327="F-90",5,0)))),0),0)+IF(AND(O1327="FIRE TEX 5062",OR(E1327="IN",E1327="C",E1327="Z",E1327="L"),J1327=4),VLOOKUP(_xlfn.MINIFS('FIRE TEX 5062'!$G$4:$G$34,'FIRE TEX 5062'!$G$4:$G$34,"&gt;="&amp;M1327),'FIRE TEX 5062'!$G$4:$K$34,IF(L1327="F-15",2,IF(L1327="F-30",3,IF(L1327="F-60",4,IF(L1327="F-90",5,0)))),0),0)+IF(AND(O1327="FIRE TEX 5062",E1327="CJ",J1327=3),VLOOKUP(_xlfn.MINIFS('FIRE TEX 5062'!$L$4:$L$34,'FIRE TEX 5062'!$L$4:$L$34,"&gt;="&amp;M1327),'FIRE TEX 5062'!$L$4:$P$34,IF(L1327="F-15",2,IF(L1327="F-30",3,IF(L1327="F-60",4,IF(L1327="F-90",5,0)))),0),0)+IF(AND(O1327="FIRE TEX 5062",E1327="CJ",J1327=4),VLOOKUP(_xlfn.MINIFS('FIRE TEX 5062'!$Q$3:$Q$34,'FIRE TEX 5062'!$Q$3:$Q$34,"&gt;="&amp;M1327),'FIRE TEX 5062'!$Q$3:$U$34,IF(L1327="F-15",2,IF(L1327="F-30",3,IF(L1327="F-60",4,IF(L1327="F-90",5,0)))),0),0)+IF(AND(O1327="FIRE TEX 5090",OR(E1327="IN",E1327="C",E1327="Z",E1327="L"),J1327=3),VLOOKUP(_xlfn.MINIFS('FIRE TEX 5090'!$B$5:$B$43,'FIRE TEX 5090'!$B$5:$B$43,"&gt;="&amp;M1327),'FIRE TEX 5090'!$B$5:$H$43,IF(L1327="F-15",2,IF(L1327="F-30",3,IF(L1327="F-60",4,IF(L1327="F-90",5,IF(L1327="F-120",6,IF(L1327="F-150",7,0)))))),0),0)+IF(AND(O1327="FIRE TEX 5090",OR(E1327="IN",E1327="C",E1327="Z",E1327="L"),J1327=4),VLOOKUP(_xlfn.MINIFS('FIRE TEX 5090'!$J$5:$J$43,'FIRE TEX 5090'!$J$5:$J$43,"&gt;="&amp;M1327),'FIRE TEX 5090'!$J$5:$P$43,IF(L1327="F-15",2,IF(L1327="F-30",3,IF(L1327="F-60",4,IF(L1327="F-90",5,IF(L1327="F-120",6,IF(L1327="F-150",7,0)))))),0),0)+IF(AND(O1327="FIRE TEX 5090",E1327="CJ",J1327=3),VLOOKUP(_xlfn.MINIFS('FIRE TEX 5090'!$R$5:$R$30,'FIRE TEX 5090'!$R$5:$R$30,"&gt;="&amp;M1327),'FIRE TEX 5090'!$R$5:$W$30,IF(L1327="F-15",2,IF(L1327="F-30",3,IF(L1327="F-60",4,IF(L1327="F-90",5,IF(L1327="F-120",6,IF(L1327="F-150",7,0)))))),0),0)+IF(AND(O1327="FIRE TEX 5090",E1327="CJ",J1327=4),VLOOKUP(_xlfn.MINIFS('FIRE TEX 5090'!$Y$5:$Y$39,'FIRE TEX 5090'!$Y$5:$Y$39,"&gt;="&amp;M1327),'FIRE TEX 5090'!$Y$5:$AD$39,IF(L1327="F-15",2,IF(L1327="F-30",3,IF(L1327="F-60",4,IF(L1327="F-90",5,IF(L1327="F-120",6,IF(L1327="F-150",7,0)))))),0),0)+IF(AND(O1327="FIRE TEX 5120",OR(E1327="IN",E1327="C",E1327="Z",E1327="L"),J1327=3),VLOOKUP(_xlfn.MINIFS('FIRE TEX 5120'!$B$5:$B$40,'FIRE TEX 5120'!$B$5:$B$40,"&gt;="&amp;M1327),'FIRE TEX 5120'!$B$5:$G$40,IF(L1327="F-15",2,IF(L1327="F-30",3,IF(L1327="F-60",4,IF(L1327="F-90",5,IF(L1327="F-120",6,0))))),0),0)+IF(AND(O1327="FIRE TEX 5120",OR(E1327="IN",E1327="C",E1327="Z",E1327="L"),J1327=4),VLOOKUP(_xlfn.MINIFS('FIRE TEX 5120'!$H$4:$H$40,'FIRE TEX 5120'!$H$4:$H$40,"&gt;="&amp;M1327),'FIRE TEX 5120'!$H$4:$M$40,IF(L1327="F-15",2,IF(L1327="F-30",3,IF(L1327="F-60",4,IF(L1327="F-90",5,IF(L1327="F-120",6,0))))),0),0)+IF(AND(O1327="FIRE TEX 5120",E1327="CJ"),VLOOKUP(_xlfn.MINIFS('FIRE TEX 5120'!$O$5:$O$40,'FIRE TEX 5120'!$O$5:$O$40,"&gt;="&amp;M1327),'FIRE TEX 5120'!$O$5:$T$40,IF(L1327="F-15",2,IF(L1327="F-30",3,IF(L1327="F-60",4,IF(L1327="F-90",5,IF(L1327="F-120",6,0))))),0),0)</f>
        <v>0</v>
      </c>
      <c r="Q1327" s="46">
        <f t="shared" si="124"/>
        <v>0</v>
      </c>
      <c r="R1327" s="46">
        <f t="shared" si="125"/>
        <v>0</v>
      </c>
      <c r="S1327" s="46" t="e">
        <f t="shared" si="126"/>
        <v>#VALUE!</v>
      </c>
      <c r="T1327" s="677">
        <f t="shared" si="127"/>
        <v>0</v>
      </c>
      <c r="U1327" s="80">
        <f>(IF(O1327="Stofire",(S1327*#REF!),0))+(IF(O1327="Fire Control",(S1327*$U$2),0))+(IF(O1327="Fire Tex",(S1327*$U$3),0))+(IF(O1327="WB7",(S1327*#REF!),0)+(IF(O1327="FX 2003",(S1327*$U$5),0)))</f>
        <v>0</v>
      </c>
      <c r="V1327" s="651">
        <f t="shared" si="128"/>
        <v>0</v>
      </c>
    </row>
    <row r="1328" spans="4:22" x14ac:dyDescent="0.25">
      <c r="D1328" s="118">
        <f>+CUBICACION!D1327</f>
        <v>0</v>
      </c>
      <c r="E1328" s="118">
        <f>+CUBICACION!F1327</f>
        <v>0</v>
      </c>
      <c r="F1328" s="118">
        <f>+CUBICACION!E1327</f>
        <v>0</v>
      </c>
      <c r="G1328" s="118">
        <v>12</v>
      </c>
      <c r="H1328" s="118">
        <v>2</v>
      </c>
      <c r="I1328" s="820">
        <v>26385</v>
      </c>
      <c r="J1328" s="118">
        <f>+CUBICACION!J1327</f>
        <v>0</v>
      </c>
      <c r="K1328" s="118">
        <v>4107</v>
      </c>
      <c r="L1328" s="118">
        <f>+CUBICACION!L1327</f>
        <v>0</v>
      </c>
      <c r="M1328" s="64">
        <f>+CUBICACION!M1327</f>
        <v>0</v>
      </c>
      <c r="N1328" s="824" t="str">
        <f>+CUBICACION!N1327</f>
        <v/>
      </c>
      <c r="O1328" s="675">
        <f>+CUBICACION!O1327</f>
        <v>0</v>
      </c>
      <c r="P1328" s="15">
        <f>IF(O1328="Fire Control",VLOOKUP(_xlfn.MINIFS('FIRE CONTROL'!$C$4:$C$37,'FIRE CONTROL'!$C$4:$C$37,"&gt;="&amp;M1328),'FIRE CONTROL'!$C$4:$G$37,IF(L1328="F-15",2,IF(L1328="F-30",3,IF(L1328="F-60",4,IF(L1328="F-90",5,0)))),0),0)+IF(AND(O1328="FIRE TEX 5062",OR(E1328="IN",E1328="C",E1328="Z",E1328="L"),J1328=3),VLOOKUP(_xlfn.MINIFS('FIRE TEX 5062'!$B$4:$B$34,'FIRE TEX 5062'!$B$4:$B$34,"&gt;="&amp;M1328),'FIRE TEX 5062'!$B$4:$F$34,IF(L1328="F-15",2,IF(L1328="F-30",3,IF(L1328="F-60",4,IF(L1328="F-90",5,0)))),0),0)+IF(AND(O1328="FIRE TEX 5062",OR(E1328="IN",E1328="C",E1328="Z",E1328="L"),J1328=4),VLOOKUP(_xlfn.MINIFS('FIRE TEX 5062'!$G$4:$G$34,'FIRE TEX 5062'!$G$4:$G$34,"&gt;="&amp;M1328),'FIRE TEX 5062'!$G$4:$K$34,IF(L1328="F-15",2,IF(L1328="F-30",3,IF(L1328="F-60",4,IF(L1328="F-90",5,0)))),0),0)+IF(AND(O1328="FIRE TEX 5062",E1328="CJ",J1328=3),VLOOKUP(_xlfn.MINIFS('FIRE TEX 5062'!$L$4:$L$34,'FIRE TEX 5062'!$L$4:$L$34,"&gt;="&amp;M1328),'FIRE TEX 5062'!$L$4:$P$34,IF(L1328="F-15",2,IF(L1328="F-30",3,IF(L1328="F-60",4,IF(L1328="F-90",5,0)))),0),0)+IF(AND(O1328="FIRE TEX 5062",E1328="CJ",J1328=4),VLOOKUP(_xlfn.MINIFS('FIRE TEX 5062'!$Q$3:$Q$34,'FIRE TEX 5062'!$Q$3:$Q$34,"&gt;="&amp;M1328),'FIRE TEX 5062'!$Q$3:$U$34,IF(L1328="F-15",2,IF(L1328="F-30",3,IF(L1328="F-60",4,IF(L1328="F-90",5,0)))),0),0)+IF(AND(O1328="FIRE TEX 5090",OR(E1328="IN",E1328="C",E1328="Z",E1328="L"),J1328=3),VLOOKUP(_xlfn.MINIFS('FIRE TEX 5090'!$B$5:$B$43,'FIRE TEX 5090'!$B$5:$B$43,"&gt;="&amp;M1328),'FIRE TEX 5090'!$B$5:$H$43,IF(L1328="F-15",2,IF(L1328="F-30",3,IF(L1328="F-60",4,IF(L1328="F-90",5,IF(L1328="F-120",6,IF(L1328="F-150",7,0)))))),0),0)+IF(AND(O1328="FIRE TEX 5090",OR(E1328="IN",E1328="C",E1328="Z",E1328="L"),J1328=4),VLOOKUP(_xlfn.MINIFS('FIRE TEX 5090'!$J$5:$J$43,'FIRE TEX 5090'!$J$5:$J$43,"&gt;="&amp;M1328),'FIRE TEX 5090'!$J$5:$P$43,IF(L1328="F-15",2,IF(L1328="F-30",3,IF(L1328="F-60",4,IF(L1328="F-90",5,IF(L1328="F-120",6,IF(L1328="F-150",7,0)))))),0),0)+IF(AND(O1328="FIRE TEX 5090",E1328="CJ",J1328=3),VLOOKUP(_xlfn.MINIFS('FIRE TEX 5090'!$R$5:$R$30,'FIRE TEX 5090'!$R$5:$R$30,"&gt;="&amp;M1328),'FIRE TEX 5090'!$R$5:$W$30,IF(L1328="F-15",2,IF(L1328="F-30",3,IF(L1328="F-60",4,IF(L1328="F-90",5,IF(L1328="F-120",6,IF(L1328="F-150",7,0)))))),0),0)+IF(AND(O1328="FIRE TEX 5090",E1328="CJ",J1328=4),VLOOKUP(_xlfn.MINIFS('FIRE TEX 5090'!$Y$5:$Y$39,'FIRE TEX 5090'!$Y$5:$Y$39,"&gt;="&amp;M1328),'FIRE TEX 5090'!$Y$5:$AD$39,IF(L1328="F-15",2,IF(L1328="F-30",3,IF(L1328="F-60",4,IF(L1328="F-90",5,IF(L1328="F-120",6,IF(L1328="F-150",7,0)))))),0),0)+IF(AND(O1328="FIRE TEX 5120",OR(E1328="IN",E1328="C",E1328="Z",E1328="L"),J1328=3),VLOOKUP(_xlfn.MINIFS('FIRE TEX 5120'!$B$5:$B$40,'FIRE TEX 5120'!$B$5:$B$40,"&gt;="&amp;M1328),'FIRE TEX 5120'!$B$5:$G$40,IF(L1328="F-15",2,IF(L1328="F-30",3,IF(L1328="F-60",4,IF(L1328="F-90",5,IF(L1328="F-120",6,0))))),0),0)+IF(AND(O1328="FIRE TEX 5120",OR(E1328="IN",E1328="C",E1328="Z",E1328="L"),J1328=4),VLOOKUP(_xlfn.MINIFS('FIRE TEX 5120'!$H$4:$H$40,'FIRE TEX 5120'!$H$4:$H$40,"&gt;="&amp;M1328),'FIRE TEX 5120'!$H$4:$M$40,IF(L1328="F-15",2,IF(L1328="F-30",3,IF(L1328="F-60",4,IF(L1328="F-90",5,IF(L1328="F-120",6,0))))),0),0)+IF(AND(O1328="FIRE TEX 5120",E1328="CJ"),VLOOKUP(_xlfn.MINIFS('FIRE TEX 5120'!$O$5:$O$40,'FIRE TEX 5120'!$O$5:$O$40,"&gt;="&amp;M1328),'FIRE TEX 5120'!$O$5:$T$40,IF(L1328="F-15",2,IF(L1328="F-30",3,IF(L1328="F-60",4,IF(L1328="F-90",5,IF(L1328="F-120",6,0))))),0),0)</f>
        <v>0</v>
      </c>
      <c r="Q1328" s="46">
        <f t="shared" si="124"/>
        <v>0</v>
      </c>
      <c r="R1328" s="46">
        <f t="shared" si="125"/>
        <v>0</v>
      </c>
      <c r="S1328" s="46" t="e">
        <f t="shared" si="126"/>
        <v>#VALUE!</v>
      </c>
      <c r="T1328" s="677">
        <f t="shared" si="127"/>
        <v>0</v>
      </c>
      <c r="U1328" s="80">
        <f>(IF(O1328="Stofire",(S1328*#REF!),0))+(IF(O1328="Fire Control",(S1328*$U$2),0))+(IF(O1328="Fire Tex",(S1328*$U$3),0))+(IF(O1328="WB7",(S1328*#REF!),0)+(IF(O1328="FX 2003",(S1328*$U$5),0)))</f>
        <v>0</v>
      </c>
      <c r="V1328" s="651">
        <f t="shared" si="128"/>
        <v>0</v>
      </c>
    </row>
    <row r="1329" spans="4:22" x14ac:dyDescent="0.25">
      <c r="D1329" s="118">
        <f>+CUBICACION!D1328</f>
        <v>0</v>
      </c>
      <c r="E1329" s="118">
        <f>+CUBICACION!F1328</f>
        <v>0</v>
      </c>
      <c r="F1329" s="118">
        <f>+CUBICACION!E1328</f>
        <v>0</v>
      </c>
      <c r="G1329" s="118">
        <v>12</v>
      </c>
      <c r="H1329" s="118">
        <v>2</v>
      </c>
      <c r="I1329" s="820">
        <v>26385</v>
      </c>
      <c r="J1329" s="118">
        <f>+CUBICACION!J1328</f>
        <v>0</v>
      </c>
      <c r="K1329" s="118">
        <v>4108</v>
      </c>
      <c r="L1329" s="118">
        <f>+CUBICACION!L1328</f>
        <v>0</v>
      </c>
      <c r="M1329" s="64">
        <f>+CUBICACION!M1328</f>
        <v>0</v>
      </c>
      <c r="N1329" s="824" t="str">
        <f>+CUBICACION!N1328</f>
        <v/>
      </c>
      <c r="O1329" s="675">
        <f>+CUBICACION!O1328</f>
        <v>0</v>
      </c>
      <c r="P1329" s="15">
        <f>IF(O1329="Fire Control",VLOOKUP(_xlfn.MINIFS('FIRE CONTROL'!$C$4:$C$37,'FIRE CONTROL'!$C$4:$C$37,"&gt;="&amp;M1329),'FIRE CONTROL'!$C$4:$G$37,IF(L1329="F-15",2,IF(L1329="F-30",3,IF(L1329="F-60",4,IF(L1329="F-90",5,0)))),0),0)+IF(AND(O1329="FIRE TEX 5062",OR(E1329="IN",E1329="C",E1329="Z",E1329="L"),J1329=3),VLOOKUP(_xlfn.MINIFS('FIRE TEX 5062'!$B$4:$B$34,'FIRE TEX 5062'!$B$4:$B$34,"&gt;="&amp;M1329),'FIRE TEX 5062'!$B$4:$F$34,IF(L1329="F-15",2,IF(L1329="F-30",3,IF(L1329="F-60",4,IF(L1329="F-90",5,0)))),0),0)+IF(AND(O1329="FIRE TEX 5062",OR(E1329="IN",E1329="C",E1329="Z",E1329="L"),J1329=4),VLOOKUP(_xlfn.MINIFS('FIRE TEX 5062'!$G$4:$G$34,'FIRE TEX 5062'!$G$4:$G$34,"&gt;="&amp;M1329),'FIRE TEX 5062'!$G$4:$K$34,IF(L1329="F-15",2,IF(L1329="F-30",3,IF(L1329="F-60",4,IF(L1329="F-90",5,0)))),0),0)+IF(AND(O1329="FIRE TEX 5062",E1329="CJ",J1329=3),VLOOKUP(_xlfn.MINIFS('FIRE TEX 5062'!$L$4:$L$34,'FIRE TEX 5062'!$L$4:$L$34,"&gt;="&amp;M1329),'FIRE TEX 5062'!$L$4:$P$34,IF(L1329="F-15",2,IF(L1329="F-30",3,IF(L1329="F-60",4,IF(L1329="F-90",5,0)))),0),0)+IF(AND(O1329="FIRE TEX 5062",E1329="CJ",J1329=4),VLOOKUP(_xlfn.MINIFS('FIRE TEX 5062'!$Q$3:$Q$34,'FIRE TEX 5062'!$Q$3:$Q$34,"&gt;="&amp;M1329),'FIRE TEX 5062'!$Q$3:$U$34,IF(L1329="F-15",2,IF(L1329="F-30",3,IF(L1329="F-60",4,IF(L1329="F-90",5,0)))),0),0)+IF(AND(O1329="FIRE TEX 5090",OR(E1329="IN",E1329="C",E1329="Z",E1329="L"),J1329=3),VLOOKUP(_xlfn.MINIFS('FIRE TEX 5090'!$B$5:$B$43,'FIRE TEX 5090'!$B$5:$B$43,"&gt;="&amp;M1329),'FIRE TEX 5090'!$B$5:$H$43,IF(L1329="F-15",2,IF(L1329="F-30",3,IF(L1329="F-60",4,IF(L1329="F-90",5,IF(L1329="F-120",6,IF(L1329="F-150",7,0)))))),0),0)+IF(AND(O1329="FIRE TEX 5090",OR(E1329="IN",E1329="C",E1329="Z",E1329="L"),J1329=4),VLOOKUP(_xlfn.MINIFS('FIRE TEX 5090'!$J$5:$J$43,'FIRE TEX 5090'!$J$5:$J$43,"&gt;="&amp;M1329),'FIRE TEX 5090'!$J$5:$P$43,IF(L1329="F-15",2,IF(L1329="F-30",3,IF(L1329="F-60",4,IF(L1329="F-90",5,IF(L1329="F-120",6,IF(L1329="F-150",7,0)))))),0),0)+IF(AND(O1329="FIRE TEX 5090",E1329="CJ",J1329=3),VLOOKUP(_xlfn.MINIFS('FIRE TEX 5090'!$R$5:$R$30,'FIRE TEX 5090'!$R$5:$R$30,"&gt;="&amp;M1329),'FIRE TEX 5090'!$R$5:$W$30,IF(L1329="F-15",2,IF(L1329="F-30",3,IF(L1329="F-60",4,IF(L1329="F-90",5,IF(L1329="F-120",6,IF(L1329="F-150",7,0)))))),0),0)+IF(AND(O1329="FIRE TEX 5090",E1329="CJ",J1329=4),VLOOKUP(_xlfn.MINIFS('FIRE TEX 5090'!$Y$5:$Y$39,'FIRE TEX 5090'!$Y$5:$Y$39,"&gt;="&amp;M1329),'FIRE TEX 5090'!$Y$5:$AD$39,IF(L1329="F-15",2,IF(L1329="F-30",3,IF(L1329="F-60",4,IF(L1329="F-90",5,IF(L1329="F-120",6,IF(L1329="F-150",7,0)))))),0),0)+IF(AND(O1329="FIRE TEX 5120",OR(E1329="IN",E1329="C",E1329="Z",E1329="L"),J1329=3),VLOOKUP(_xlfn.MINIFS('FIRE TEX 5120'!$B$5:$B$40,'FIRE TEX 5120'!$B$5:$B$40,"&gt;="&amp;M1329),'FIRE TEX 5120'!$B$5:$G$40,IF(L1329="F-15",2,IF(L1329="F-30",3,IF(L1329="F-60",4,IF(L1329="F-90",5,IF(L1329="F-120",6,0))))),0),0)+IF(AND(O1329="FIRE TEX 5120",OR(E1329="IN",E1329="C",E1329="Z",E1329="L"),J1329=4),VLOOKUP(_xlfn.MINIFS('FIRE TEX 5120'!$H$4:$H$40,'FIRE TEX 5120'!$H$4:$H$40,"&gt;="&amp;M1329),'FIRE TEX 5120'!$H$4:$M$40,IF(L1329="F-15",2,IF(L1329="F-30",3,IF(L1329="F-60",4,IF(L1329="F-90",5,IF(L1329="F-120",6,0))))),0),0)+IF(AND(O1329="FIRE TEX 5120",E1329="CJ"),VLOOKUP(_xlfn.MINIFS('FIRE TEX 5120'!$O$5:$O$40,'FIRE TEX 5120'!$O$5:$O$40,"&gt;="&amp;M1329),'FIRE TEX 5120'!$O$5:$T$40,IF(L1329="F-15",2,IF(L1329="F-30",3,IF(L1329="F-60",4,IF(L1329="F-90",5,IF(L1329="F-120",6,0))))),0),0)</f>
        <v>0</v>
      </c>
      <c r="Q1329" s="46">
        <f t="shared" si="124"/>
        <v>0</v>
      </c>
      <c r="R1329" s="46">
        <f t="shared" si="125"/>
        <v>0</v>
      </c>
      <c r="S1329" s="46" t="e">
        <f t="shared" si="126"/>
        <v>#VALUE!</v>
      </c>
      <c r="T1329" s="677">
        <f t="shared" si="127"/>
        <v>0</v>
      </c>
      <c r="U1329" s="80">
        <f>(IF(O1329="Stofire",(S1329*#REF!),0))+(IF(O1329="Fire Control",(S1329*$U$2),0))+(IF(O1329="Fire Tex",(S1329*$U$3),0))+(IF(O1329="WB7",(S1329*#REF!),0)+(IF(O1329="FX 2003",(S1329*$U$5),0)))</f>
        <v>0</v>
      </c>
      <c r="V1329" s="651">
        <f t="shared" si="128"/>
        <v>0</v>
      </c>
    </row>
    <row r="1330" spans="4:22" x14ac:dyDescent="0.25">
      <c r="D1330" s="118">
        <f>+CUBICACION!D1329</f>
        <v>0</v>
      </c>
      <c r="E1330" s="118">
        <f>+CUBICACION!F1329</f>
        <v>0</v>
      </c>
      <c r="F1330" s="118">
        <f>+CUBICACION!E1329</f>
        <v>0</v>
      </c>
      <c r="G1330" s="118">
        <v>12</v>
      </c>
      <c r="H1330" s="118">
        <v>2</v>
      </c>
      <c r="I1330" s="820">
        <v>26385</v>
      </c>
      <c r="J1330" s="118">
        <f>+CUBICACION!J1329</f>
        <v>0</v>
      </c>
      <c r="K1330" s="118">
        <v>4109</v>
      </c>
      <c r="L1330" s="118">
        <f>+CUBICACION!L1329</f>
        <v>0</v>
      </c>
      <c r="M1330" s="64">
        <f>+CUBICACION!M1329</f>
        <v>0</v>
      </c>
      <c r="N1330" s="824" t="str">
        <f>+CUBICACION!N1329</f>
        <v/>
      </c>
      <c r="O1330" s="675">
        <f>+CUBICACION!O1329</f>
        <v>0</v>
      </c>
      <c r="P1330" s="15">
        <f>IF(O1330="Fire Control",VLOOKUP(_xlfn.MINIFS('FIRE CONTROL'!$C$4:$C$37,'FIRE CONTROL'!$C$4:$C$37,"&gt;="&amp;M1330),'FIRE CONTROL'!$C$4:$G$37,IF(L1330="F-15",2,IF(L1330="F-30",3,IF(L1330="F-60",4,IF(L1330="F-90",5,0)))),0),0)+IF(AND(O1330="FIRE TEX 5062",OR(E1330="IN",E1330="C",E1330="Z",E1330="L"),J1330=3),VLOOKUP(_xlfn.MINIFS('FIRE TEX 5062'!$B$4:$B$34,'FIRE TEX 5062'!$B$4:$B$34,"&gt;="&amp;M1330),'FIRE TEX 5062'!$B$4:$F$34,IF(L1330="F-15",2,IF(L1330="F-30",3,IF(L1330="F-60",4,IF(L1330="F-90",5,0)))),0),0)+IF(AND(O1330="FIRE TEX 5062",OR(E1330="IN",E1330="C",E1330="Z",E1330="L"),J1330=4),VLOOKUP(_xlfn.MINIFS('FIRE TEX 5062'!$G$4:$G$34,'FIRE TEX 5062'!$G$4:$G$34,"&gt;="&amp;M1330),'FIRE TEX 5062'!$G$4:$K$34,IF(L1330="F-15",2,IF(L1330="F-30",3,IF(L1330="F-60",4,IF(L1330="F-90",5,0)))),0),0)+IF(AND(O1330="FIRE TEX 5062",E1330="CJ",J1330=3),VLOOKUP(_xlfn.MINIFS('FIRE TEX 5062'!$L$4:$L$34,'FIRE TEX 5062'!$L$4:$L$34,"&gt;="&amp;M1330),'FIRE TEX 5062'!$L$4:$P$34,IF(L1330="F-15",2,IF(L1330="F-30",3,IF(L1330="F-60",4,IF(L1330="F-90",5,0)))),0),0)+IF(AND(O1330="FIRE TEX 5062",E1330="CJ",J1330=4),VLOOKUP(_xlfn.MINIFS('FIRE TEX 5062'!$Q$3:$Q$34,'FIRE TEX 5062'!$Q$3:$Q$34,"&gt;="&amp;M1330),'FIRE TEX 5062'!$Q$3:$U$34,IF(L1330="F-15",2,IF(L1330="F-30",3,IF(L1330="F-60",4,IF(L1330="F-90",5,0)))),0),0)+IF(AND(O1330="FIRE TEX 5090",OR(E1330="IN",E1330="C",E1330="Z",E1330="L"),J1330=3),VLOOKUP(_xlfn.MINIFS('FIRE TEX 5090'!$B$5:$B$43,'FIRE TEX 5090'!$B$5:$B$43,"&gt;="&amp;M1330),'FIRE TEX 5090'!$B$5:$H$43,IF(L1330="F-15",2,IF(L1330="F-30",3,IF(L1330="F-60",4,IF(L1330="F-90",5,IF(L1330="F-120",6,IF(L1330="F-150",7,0)))))),0),0)+IF(AND(O1330="FIRE TEX 5090",OR(E1330="IN",E1330="C",E1330="Z",E1330="L"),J1330=4),VLOOKUP(_xlfn.MINIFS('FIRE TEX 5090'!$J$5:$J$43,'FIRE TEX 5090'!$J$5:$J$43,"&gt;="&amp;M1330),'FIRE TEX 5090'!$J$5:$P$43,IF(L1330="F-15",2,IF(L1330="F-30",3,IF(L1330="F-60",4,IF(L1330="F-90",5,IF(L1330="F-120",6,IF(L1330="F-150",7,0)))))),0),0)+IF(AND(O1330="FIRE TEX 5090",E1330="CJ",J1330=3),VLOOKUP(_xlfn.MINIFS('FIRE TEX 5090'!$R$5:$R$30,'FIRE TEX 5090'!$R$5:$R$30,"&gt;="&amp;M1330),'FIRE TEX 5090'!$R$5:$W$30,IF(L1330="F-15",2,IF(L1330="F-30",3,IF(L1330="F-60",4,IF(L1330="F-90",5,IF(L1330="F-120",6,IF(L1330="F-150",7,0)))))),0),0)+IF(AND(O1330="FIRE TEX 5090",E1330="CJ",J1330=4),VLOOKUP(_xlfn.MINIFS('FIRE TEX 5090'!$Y$5:$Y$39,'FIRE TEX 5090'!$Y$5:$Y$39,"&gt;="&amp;M1330),'FIRE TEX 5090'!$Y$5:$AD$39,IF(L1330="F-15",2,IF(L1330="F-30",3,IF(L1330="F-60",4,IF(L1330="F-90",5,IF(L1330="F-120",6,IF(L1330="F-150",7,0)))))),0),0)+IF(AND(O1330="FIRE TEX 5120",OR(E1330="IN",E1330="C",E1330="Z",E1330="L"),J1330=3),VLOOKUP(_xlfn.MINIFS('FIRE TEX 5120'!$B$5:$B$40,'FIRE TEX 5120'!$B$5:$B$40,"&gt;="&amp;M1330),'FIRE TEX 5120'!$B$5:$G$40,IF(L1330="F-15",2,IF(L1330="F-30",3,IF(L1330="F-60",4,IF(L1330="F-90",5,IF(L1330="F-120",6,0))))),0),0)+IF(AND(O1330="FIRE TEX 5120",OR(E1330="IN",E1330="C",E1330="Z",E1330="L"),J1330=4),VLOOKUP(_xlfn.MINIFS('FIRE TEX 5120'!$H$4:$H$40,'FIRE TEX 5120'!$H$4:$H$40,"&gt;="&amp;M1330),'FIRE TEX 5120'!$H$4:$M$40,IF(L1330="F-15",2,IF(L1330="F-30",3,IF(L1330="F-60",4,IF(L1330="F-90",5,IF(L1330="F-120",6,0))))),0),0)+IF(AND(O1330="FIRE TEX 5120",E1330="CJ"),VLOOKUP(_xlfn.MINIFS('FIRE TEX 5120'!$O$5:$O$40,'FIRE TEX 5120'!$O$5:$O$40,"&gt;="&amp;M1330),'FIRE TEX 5120'!$O$5:$T$40,IF(L1330="F-15",2,IF(L1330="F-30",3,IF(L1330="F-60",4,IF(L1330="F-90",5,IF(L1330="F-120",6,0))))),0),0)</f>
        <v>0</v>
      </c>
      <c r="Q1330" s="46">
        <f t="shared" si="124"/>
        <v>0</v>
      </c>
      <c r="R1330" s="46">
        <f t="shared" si="125"/>
        <v>0</v>
      </c>
      <c r="S1330" s="46" t="e">
        <f t="shared" si="126"/>
        <v>#VALUE!</v>
      </c>
      <c r="T1330" s="677">
        <f t="shared" si="127"/>
        <v>0</v>
      </c>
      <c r="U1330" s="80">
        <f>(IF(O1330="Stofire",(S1330*#REF!),0))+(IF(O1330="Fire Control",(S1330*$U$2),0))+(IF(O1330="Fire Tex",(S1330*$U$3),0))+(IF(O1330="WB7",(S1330*#REF!),0)+(IF(O1330="FX 2003",(S1330*$U$5),0)))</f>
        <v>0</v>
      </c>
      <c r="V1330" s="651">
        <f t="shared" si="128"/>
        <v>0</v>
      </c>
    </row>
    <row r="1331" spans="4:22" x14ac:dyDescent="0.25">
      <c r="D1331" s="118">
        <f>+CUBICACION!D1330</f>
        <v>0</v>
      </c>
      <c r="E1331" s="118">
        <f>+CUBICACION!F1330</f>
        <v>0</v>
      </c>
      <c r="F1331" s="118">
        <f>+CUBICACION!E1330</f>
        <v>0</v>
      </c>
      <c r="G1331" s="118">
        <v>12</v>
      </c>
      <c r="H1331" s="118">
        <v>2</v>
      </c>
      <c r="I1331" s="820">
        <v>26385</v>
      </c>
      <c r="J1331" s="118">
        <f>+CUBICACION!J1330</f>
        <v>0</v>
      </c>
      <c r="K1331" s="118">
        <v>4110</v>
      </c>
      <c r="L1331" s="118">
        <f>+CUBICACION!L1330</f>
        <v>0</v>
      </c>
      <c r="M1331" s="64">
        <f>+CUBICACION!M1330</f>
        <v>0</v>
      </c>
      <c r="N1331" s="824" t="str">
        <f>+CUBICACION!N1330</f>
        <v/>
      </c>
      <c r="O1331" s="675">
        <f>+CUBICACION!O1330</f>
        <v>0</v>
      </c>
      <c r="P1331" s="15">
        <f>IF(O1331="Fire Control",VLOOKUP(_xlfn.MINIFS('FIRE CONTROL'!$C$4:$C$37,'FIRE CONTROL'!$C$4:$C$37,"&gt;="&amp;M1331),'FIRE CONTROL'!$C$4:$G$37,IF(L1331="F-15",2,IF(L1331="F-30",3,IF(L1331="F-60",4,IF(L1331="F-90",5,0)))),0),0)+IF(AND(O1331="FIRE TEX 5062",OR(E1331="IN",E1331="C",E1331="Z",E1331="L"),J1331=3),VLOOKUP(_xlfn.MINIFS('FIRE TEX 5062'!$B$4:$B$34,'FIRE TEX 5062'!$B$4:$B$34,"&gt;="&amp;M1331),'FIRE TEX 5062'!$B$4:$F$34,IF(L1331="F-15",2,IF(L1331="F-30",3,IF(L1331="F-60",4,IF(L1331="F-90",5,0)))),0),0)+IF(AND(O1331="FIRE TEX 5062",OR(E1331="IN",E1331="C",E1331="Z",E1331="L"),J1331=4),VLOOKUP(_xlfn.MINIFS('FIRE TEX 5062'!$G$4:$G$34,'FIRE TEX 5062'!$G$4:$G$34,"&gt;="&amp;M1331),'FIRE TEX 5062'!$G$4:$K$34,IF(L1331="F-15",2,IF(L1331="F-30",3,IF(L1331="F-60",4,IF(L1331="F-90",5,0)))),0),0)+IF(AND(O1331="FIRE TEX 5062",E1331="CJ",J1331=3),VLOOKUP(_xlfn.MINIFS('FIRE TEX 5062'!$L$4:$L$34,'FIRE TEX 5062'!$L$4:$L$34,"&gt;="&amp;M1331),'FIRE TEX 5062'!$L$4:$P$34,IF(L1331="F-15",2,IF(L1331="F-30",3,IF(L1331="F-60",4,IF(L1331="F-90",5,0)))),0),0)+IF(AND(O1331="FIRE TEX 5062",E1331="CJ",J1331=4),VLOOKUP(_xlfn.MINIFS('FIRE TEX 5062'!$Q$3:$Q$34,'FIRE TEX 5062'!$Q$3:$Q$34,"&gt;="&amp;M1331),'FIRE TEX 5062'!$Q$3:$U$34,IF(L1331="F-15",2,IF(L1331="F-30",3,IF(L1331="F-60",4,IF(L1331="F-90",5,0)))),0),0)+IF(AND(O1331="FIRE TEX 5090",OR(E1331="IN",E1331="C",E1331="Z",E1331="L"),J1331=3),VLOOKUP(_xlfn.MINIFS('FIRE TEX 5090'!$B$5:$B$43,'FIRE TEX 5090'!$B$5:$B$43,"&gt;="&amp;M1331),'FIRE TEX 5090'!$B$5:$H$43,IF(L1331="F-15",2,IF(L1331="F-30",3,IF(L1331="F-60",4,IF(L1331="F-90",5,IF(L1331="F-120",6,IF(L1331="F-150",7,0)))))),0),0)+IF(AND(O1331="FIRE TEX 5090",OR(E1331="IN",E1331="C",E1331="Z",E1331="L"),J1331=4),VLOOKUP(_xlfn.MINIFS('FIRE TEX 5090'!$J$5:$J$43,'FIRE TEX 5090'!$J$5:$J$43,"&gt;="&amp;M1331),'FIRE TEX 5090'!$J$5:$P$43,IF(L1331="F-15",2,IF(L1331="F-30",3,IF(L1331="F-60",4,IF(L1331="F-90",5,IF(L1331="F-120",6,IF(L1331="F-150",7,0)))))),0),0)+IF(AND(O1331="FIRE TEX 5090",E1331="CJ",J1331=3),VLOOKUP(_xlfn.MINIFS('FIRE TEX 5090'!$R$5:$R$30,'FIRE TEX 5090'!$R$5:$R$30,"&gt;="&amp;M1331),'FIRE TEX 5090'!$R$5:$W$30,IF(L1331="F-15",2,IF(L1331="F-30",3,IF(L1331="F-60",4,IF(L1331="F-90",5,IF(L1331="F-120",6,IF(L1331="F-150",7,0)))))),0),0)+IF(AND(O1331="FIRE TEX 5090",E1331="CJ",J1331=4),VLOOKUP(_xlfn.MINIFS('FIRE TEX 5090'!$Y$5:$Y$39,'FIRE TEX 5090'!$Y$5:$Y$39,"&gt;="&amp;M1331),'FIRE TEX 5090'!$Y$5:$AD$39,IF(L1331="F-15",2,IF(L1331="F-30",3,IF(L1331="F-60",4,IF(L1331="F-90",5,IF(L1331="F-120",6,IF(L1331="F-150",7,0)))))),0),0)+IF(AND(O1331="FIRE TEX 5120",OR(E1331="IN",E1331="C",E1331="Z",E1331="L"),J1331=3),VLOOKUP(_xlfn.MINIFS('FIRE TEX 5120'!$B$5:$B$40,'FIRE TEX 5120'!$B$5:$B$40,"&gt;="&amp;M1331),'FIRE TEX 5120'!$B$5:$G$40,IF(L1331="F-15",2,IF(L1331="F-30",3,IF(L1331="F-60",4,IF(L1331="F-90",5,IF(L1331="F-120",6,0))))),0),0)+IF(AND(O1331="FIRE TEX 5120",OR(E1331="IN",E1331="C",E1331="Z",E1331="L"),J1331=4),VLOOKUP(_xlfn.MINIFS('FIRE TEX 5120'!$H$4:$H$40,'FIRE TEX 5120'!$H$4:$H$40,"&gt;="&amp;M1331),'FIRE TEX 5120'!$H$4:$M$40,IF(L1331="F-15",2,IF(L1331="F-30",3,IF(L1331="F-60",4,IF(L1331="F-90",5,IF(L1331="F-120",6,0))))),0),0)+IF(AND(O1331="FIRE TEX 5120",E1331="CJ"),VLOOKUP(_xlfn.MINIFS('FIRE TEX 5120'!$O$5:$O$40,'FIRE TEX 5120'!$O$5:$O$40,"&gt;="&amp;M1331),'FIRE TEX 5120'!$O$5:$T$40,IF(L1331="F-15",2,IF(L1331="F-30",3,IF(L1331="F-60",4,IF(L1331="F-90",5,IF(L1331="F-120",6,0))))),0),0)</f>
        <v>0</v>
      </c>
      <c r="Q1331" s="46">
        <f t="shared" si="124"/>
        <v>0</v>
      </c>
      <c r="R1331" s="46">
        <f t="shared" si="125"/>
        <v>0</v>
      </c>
      <c r="S1331" s="46" t="e">
        <f t="shared" si="126"/>
        <v>#VALUE!</v>
      </c>
      <c r="T1331" s="677">
        <f t="shared" si="127"/>
        <v>0</v>
      </c>
      <c r="U1331" s="80">
        <f>(IF(O1331="Stofire",(S1331*#REF!),0))+(IF(O1331="Fire Control",(S1331*$U$2),0))+(IF(O1331="Fire Tex",(S1331*$U$3),0))+(IF(O1331="WB7",(S1331*#REF!),0)+(IF(O1331="FX 2003",(S1331*$U$5),0)))</f>
        <v>0</v>
      </c>
      <c r="V1331" s="651">
        <f t="shared" si="128"/>
        <v>0</v>
      </c>
    </row>
    <row r="1332" spans="4:22" x14ac:dyDescent="0.25">
      <c r="D1332" s="118">
        <f>+CUBICACION!D1331</f>
        <v>0</v>
      </c>
      <c r="E1332" s="118">
        <f>+CUBICACION!F1331</f>
        <v>0</v>
      </c>
      <c r="F1332" s="118">
        <f>+CUBICACION!E1331</f>
        <v>0</v>
      </c>
      <c r="G1332" s="118">
        <v>12</v>
      </c>
      <c r="H1332" s="118">
        <v>2</v>
      </c>
      <c r="I1332" s="820">
        <v>26385</v>
      </c>
      <c r="J1332" s="118">
        <f>+CUBICACION!J1331</f>
        <v>0</v>
      </c>
      <c r="K1332" s="118">
        <v>4111</v>
      </c>
      <c r="L1332" s="118">
        <f>+CUBICACION!L1331</f>
        <v>0</v>
      </c>
      <c r="M1332" s="64">
        <f>+CUBICACION!M1331</f>
        <v>0</v>
      </c>
      <c r="N1332" s="824" t="str">
        <f>+CUBICACION!N1331</f>
        <v/>
      </c>
      <c r="O1332" s="675">
        <f>+CUBICACION!O1331</f>
        <v>0</v>
      </c>
      <c r="P1332" s="15">
        <f>IF(O1332="Fire Control",VLOOKUP(_xlfn.MINIFS('FIRE CONTROL'!$C$4:$C$37,'FIRE CONTROL'!$C$4:$C$37,"&gt;="&amp;M1332),'FIRE CONTROL'!$C$4:$G$37,IF(L1332="F-15",2,IF(L1332="F-30",3,IF(L1332="F-60",4,IF(L1332="F-90",5,0)))),0),0)+IF(AND(O1332="FIRE TEX 5062",OR(E1332="IN",E1332="C",E1332="Z",E1332="L"),J1332=3),VLOOKUP(_xlfn.MINIFS('FIRE TEX 5062'!$B$4:$B$34,'FIRE TEX 5062'!$B$4:$B$34,"&gt;="&amp;M1332),'FIRE TEX 5062'!$B$4:$F$34,IF(L1332="F-15",2,IF(L1332="F-30",3,IF(L1332="F-60",4,IF(L1332="F-90",5,0)))),0),0)+IF(AND(O1332="FIRE TEX 5062",OR(E1332="IN",E1332="C",E1332="Z",E1332="L"),J1332=4),VLOOKUP(_xlfn.MINIFS('FIRE TEX 5062'!$G$4:$G$34,'FIRE TEX 5062'!$G$4:$G$34,"&gt;="&amp;M1332),'FIRE TEX 5062'!$G$4:$K$34,IF(L1332="F-15",2,IF(L1332="F-30",3,IF(L1332="F-60",4,IF(L1332="F-90",5,0)))),0),0)+IF(AND(O1332="FIRE TEX 5062",E1332="CJ",J1332=3),VLOOKUP(_xlfn.MINIFS('FIRE TEX 5062'!$L$4:$L$34,'FIRE TEX 5062'!$L$4:$L$34,"&gt;="&amp;M1332),'FIRE TEX 5062'!$L$4:$P$34,IF(L1332="F-15",2,IF(L1332="F-30",3,IF(L1332="F-60",4,IF(L1332="F-90",5,0)))),0),0)+IF(AND(O1332="FIRE TEX 5062",E1332="CJ",J1332=4),VLOOKUP(_xlfn.MINIFS('FIRE TEX 5062'!$Q$3:$Q$34,'FIRE TEX 5062'!$Q$3:$Q$34,"&gt;="&amp;M1332),'FIRE TEX 5062'!$Q$3:$U$34,IF(L1332="F-15",2,IF(L1332="F-30",3,IF(L1332="F-60",4,IF(L1332="F-90",5,0)))),0),0)+IF(AND(O1332="FIRE TEX 5090",OR(E1332="IN",E1332="C",E1332="Z",E1332="L"),J1332=3),VLOOKUP(_xlfn.MINIFS('FIRE TEX 5090'!$B$5:$B$43,'FIRE TEX 5090'!$B$5:$B$43,"&gt;="&amp;M1332),'FIRE TEX 5090'!$B$5:$H$43,IF(L1332="F-15",2,IF(L1332="F-30",3,IF(L1332="F-60",4,IF(L1332="F-90",5,IF(L1332="F-120",6,IF(L1332="F-150",7,0)))))),0),0)+IF(AND(O1332="FIRE TEX 5090",OR(E1332="IN",E1332="C",E1332="Z",E1332="L"),J1332=4),VLOOKUP(_xlfn.MINIFS('FIRE TEX 5090'!$J$5:$J$43,'FIRE TEX 5090'!$J$5:$J$43,"&gt;="&amp;M1332),'FIRE TEX 5090'!$J$5:$P$43,IF(L1332="F-15",2,IF(L1332="F-30",3,IF(L1332="F-60",4,IF(L1332="F-90",5,IF(L1332="F-120",6,IF(L1332="F-150",7,0)))))),0),0)+IF(AND(O1332="FIRE TEX 5090",E1332="CJ",J1332=3),VLOOKUP(_xlfn.MINIFS('FIRE TEX 5090'!$R$5:$R$30,'FIRE TEX 5090'!$R$5:$R$30,"&gt;="&amp;M1332),'FIRE TEX 5090'!$R$5:$W$30,IF(L1332="F-15",2,IF(L1332="F-30",3,IF(L1332="F-60",4,IF(L1332="F-90",5,IF(L1332="F-120",6,IF(L1332="F-150",7,0)))))),0),0)+IF(AND(O1332="FIRE TEX 5090",E1332="CJ",J1332=4),VLOOKUP(_xlfn.MINIFS('FIRE TEX 5090'!$Y$5:$Y$39,'FIRE TEX 5090'!$Y$5:$Y$39,"&gt;="&amp;M1332),'FIRE TEX 5090'!$Y$5:$AD$39,IF(L1332="F-15",2,IF(L1332="F-30",3,IF(L1332="F-60",4,IF(L1332="F-90",5,IF(L1332="F-120",6,IF(L1332="F-150",7,0)))))),0),0)+IF(AND(O1332="FIRE TEX 5120",OR(E1332="IN",E1332="C",E1332="Z",E1332="L"),J1332=3),VLOOKUP(_xlfn.MINIFS('FIRE TEX 5120'!$B$5:$B$40,'FIRE TEX 5120'!$B$5:$B$40,"&gt;="&amp;M1332),'FIRE TEX 5120'!$B$5:$G$40,IF(L1332="F-15",2,IF(L1332="F-30",3,IF(L1332="F-60",4,IF(L1332="F-90",5,IF(L1332="F-120",6,0))))),0),0)+IF(AND(O1332="FIRE TEX 5120",OR(E1332="IN",E1332="C",E1332="Z",E1332="L"),J1332=4),VLOOKUP(_xlfn.MINIFS('FIRE TEX 5120'!$H$4:$H$40,'FIRE TEX 5120'!$H$4:$H$40,"&gt;="&amp;M1332),'FIRE TEX 5120'!$H$4:$M$40,IF(L1332="F-15",2,IF(L1332="F-30",3,IF(L1332="F-60",4,IF(L1332="F-90",5,IF(L1332="F-120",6,0))))),0),0)+IF(AND(O1332="FIRE TEX 5120",E1332="CJ"),VLOOKUP(_xlfn.MINIFS('FIRE TEX 5120'!$O$5:$O$40,'FIRE TEX 5120'!$O$5:$O$40,"&gt;="&amp;M1332),'FIRE TEX 5120'!$O$5:$T$40,IF(L1332="F-15",2,IF(L1332="F-30",3,IF(L1332="F-60",4,IF(L1332="F-90",5,IF(L1332="F-120",6,0))))),0),0)</f>
        <v>0</v>
      </c>
      <c r="Q1332" s="46">
        <f t="shared" si="124"/>
        <v>0</v>
      </c>
      <c r="R1332" s="46">
        <f t="shared" si="125"/>
        <v>0</v>
      </c>
      <c r="S1332" s="46" t="e">
        <f t="shared" si="126"/>
        <v>#VALUE!</v>
      </c>
      <c r="T1332" s="677">
        <f t="shared" si="127"/>
        <v>0</v>
      </c>
      <c r="U1332" s="80">
        <f>(IF(O1332="Stofire",(S1332*#REF!),0))+(IF(O1332="Fire Control",(S1332*$U$2),0))+(IF(O1332="Fire Tex",(S1332*$U$3),0))+(IF(O1332="WB7",(S1332*#REF!),0)+(IF(O1332="FX 2003",(S1332*$U$5),0)))</f>
        <v>0</v>
      </c>
      <c r="V1332" s="651">
        <f t="shared" si="128"/>
        <v>0</v>
      </c>
    </row>
    <row r="1333" spans="4:22" x14ac:dyDescent="0.25">
      <c r="D1333" s="118">
        <f>+CUBICACION!D1332</f>
        <v>0</v>
      </c>
      <c r="E1333" s="118">
        <f>+CUBICACION!F1332</f>
        <v>0</v>
      </c>
      <c r="F1333" s="118">
        <f>+CUBICACION!E1332</f>
        <v>0</v>
      </c>
      <c r="G1333" s="118">
        <v>12</v>
      </c>
      <c r="H1333" s="118">
        <v>2</v>
      </c>
      <c r="I1333" s="820">
        <v>26385</v>
      </c>
      <c r="J1333" s="118">
        <f>+CUBICACION!J1332</f>
        <v>0</v>
      </c>
      <c r="K1333" s="118">
        <v>4112</v>
      </c>
      <c r="L1333" s="118">
        <f>+CUBICACION!L1332</f>
        <v>0</v>
      </c>
      <c r="M1333" s="64">
        <f>+CUBICACION!M1332</f>
        <v>0</v>
      </c>
      <c r="N1333" s="824" t="str">
        <f>+CUBICACION!N1332</f>
        <v/>
      </c>
      <c r="O1333" s="675">
        <f>+CUBICACION!O1332</f>
        <v>0</v>
      </c>
      <c r="P1333" s="15">
        <f>IF(O1333="Fire Control",VLOOKUP(_xlfn.MINIFS('FIRE CONTROL'!$C$4:$C$37,'FIRE CONTROL'!$C$4:$C$37,"&gt;="&amp;M1333),'FIRE CONTROL'!$C$4:$G$37,IF(L1333="F-15",2,IF(L1333="F-30",3,IF(L1333="F-60",4,IF(L1333="F-90",5,0)))),0),0)+IF(AND(O1333="FIRE TEX 5062",OR(E1333="IN",E1333="C",E1333="Z",E1333="L"),J1333=3),VLOOKUP(_xlfn.MINIFS('FIRE TEX 5062'!$B$4:$B$34,'FIRE TEX 5062'!$B$4:$B$34,"&gt;="&amp;M1333),'FIRE TEX 5062'!$B$4:$F$34,IF(L1333="F-15",2,IF(L1333="F-30",3,IF(L1333="F-60",4,IF(L1333="F-90",5,0)))),0),0)+IF(AND(O1333="FIRE TEX 5062",OR(E1333="IN",E1333="C",E1333="Z",E1333="L"),J1333=4),VLOOKUP(_xlfn.MINIFS('FIRE TEX 5062'!$G$4:$G$34,'FIRE TEX 5062'!$G$4:$G$34,"&gt;="&amp;M1333),'FIRE TEX 5062'!$G$4:$K$34,IF(L1333="F-15",2,IF(L1333="F-30",3,IF(L1333="F-60",4,IF(L1333="F-90",5,0)))),0),0)+IF(AND(O1333="FIRE TEX 5062",E1333="CJ",J1333=3),VLOOKUP(_xlfn.MINIFS('FIRE TEX 5062'!$L$4:$L$34,'FIRE TEX 5062'!$L$4:$L$34,"&gt;="&amp;M1333),'FIRE TEX 5062'!$L$4:$P$34,IF(L1333="F-15",2,IF(L1333="F-30",3,IF(L1333="F-60",4,IF(L1333="F-90",5,0)))),0),0)+IF(AND(O1333="FIRE TEX 5062",E1333="CJ",J1333=4),VLOOKUP(_xlfn.MINIFS('FIRE TEX 5062'!$Q$3:$Q$34,'FIRE TEX 5062'!$Q$3:$Q$34,"&gt;="&amp;M1333),'FIRE TEX 5062'!$Q$3:$U$34,IF(L1333="F-15",2,IF(L1333="F-30",3,IF(L1333="F-60",4,IF(L1333="F-90",5,0)))),0),0)+IF(AND(O1333="FIRE TEX 5090",OR(E1333="IN",E1333="C",E1333="Z",E1333="L"),J1333=3),VLOOKUP(_xlfn.MINIFS('FIRE TEX 5090'!$B$5:$B$43,'FIRE TEX 5090'!$B$5:$B$43,"&gt;="&amp;M1333),'FIRE TEX 5090'!$B$5:$H$43,IF(L1333="F-15",2,IF(L1333="F-30",3,IF(L1333="F-60",4,IF(L1333="F-90",5,IF(L1333="F-120",6,IF(L1333="F-150",7,0)))))),0),0)+IF(AND(O1333="FIRE TEX 5090",OR(E1333="IN",E1333="C",E1333="Z",E1333="L"),J1333=4),VLOOKUP(_xlfn.MINIFS('FIRE TEX 5090'!$J$5:$J$43,'FIRE TEX 5090'!$J$5:$J$43,"&gt;="&amp;M1333),'FIRE TEX 5090'!$J$5:$P$43,IF(L1333="F-15",2,IF(L1333="F-30",3,IF(L1333="F-60",4,IF(L1333="F-90",5,IF(L1333="F-120",6,IF(L1333="F-150",7,0)))))),0),0)+IF(AND(O1333="FIRE TEX 5090",E1333="CJ",J1333=3),VLOOKUP(_xlfn.MINIFS('FIRE TEX 5090'!$R$5:$R$30,'FIRE TEX 5090'!$R$5:$R$30,"&gt;="&amp;M1333),'FIRE TEX 5090'!$R$5:$W$30,IF(L1333="F-15",2,IF(L1333="F-30",3,IF(L1333="F-60",4,IF(L1333="F-90",5,IF(L1333="F-120",6,IF(L1333="F-150",7,0)))))),0),0)+IF(AND(O1333="FIRE TEX 5090",E1333="CJ",J1333=4),VLOOKUP(_xlfn.MINIFS('FIRE TEX 5090'!$Y$5:$Y$39,'FIRE TEX 5090'!$Y$5:$Y$39,"&gt;="&amp;M1333),'FIRE TEX 5090'!$Y$5:$AD$39,IF(L1333="F-15",2,IF(L1333="F-30",3,IF(L1333="F-60",4,IF(L1333="F-90",5,IF(L1333="F-120",6,IF(L1333="F-150",7,0)))))),0),0)+IF(AND(O1333="FIRE TEX 5120",OR(E1333="IN",E1333="C",E1333="Z",E1333="L"),J1333=3),VLOOKUP(_xlfn.MINIFS('FIRE TEX 5120'!$B$5:$B$40,'FIRE TEX 5120'!$B$5:$B$40,"&gt;="&amp;M1333),'FIRE TEX 5120'!$B$5:$G$40,IF(L1333="F-15",2,IF(L1333="F-30",3,IF(L1333="F-60",4,IF(L1333="F-90",5,IF(L1333="F-120",6,0))))),0),0)+IF(AND(O1333="FIRE TEX 5120",OR(E1333="IN",E1333="C",E1333="Z",E1333="L"),J1333=4),VLOOKUP(_xlfn.MINIFS('FIRE TEX 5120'!$H$4:$H$40,'FIRE TEX 5120'!$H$4:$H$40,"&gt;="&amp;M1333),'FIRE TEX 5120'!$H$4:$M$40,IF(L1333="F-15",2,IF(L1333="F-30",3,IF(L1333="F-60",4,IF(L1333="F-90",5,IF(L1333="F-120",6,0))))),0),0)+IF(AND(O1333="FIRE TEX 5120",E1333="CJ"),VLOOKUP(_xlfn.MINIFS('FIRE TEX 5120'!$O$5:$O$40,'FIRE TEX 5120'!$O$5:$O$40,"&gt;="&amp;M1333),'FIRE TEX 5120'!$O$5:$T$40,IF(L1333="F-15",2,IF(L1333="F-30",3,IF(L1333="F-60",4,IF(L1333="F-90",5,IF(L1333="F-120",6,0))))),0),0)</f>
        <v>0</v>
      </c>
      <c r="Q1333" s="46">
        <f t="shared" si="124"/>
        <v>0</v>
      </c>
      <c r="R1333" s="46">
        <f t="shared" si="125"/>
        <v>0</v>
      </c>
      <c r="S1333" s="46" t="e">
        <f t="shared" si="126"/>
        <v>#VALUE!</v>
      </c>
      <c r="T1333" s="677">
        <f t="shared" si="127"/>
        <v>0</v>
      </c>
      <c r="U1333" s="80">
        <f>(IF(O1333="Stofire",(S1333*#REF!),0))+(IF(O1333="Fire Control",(S1333*$U$2),0))+(IF(O1333="Fire Tex",(S1333*$U$3),0))+(IF(O1333="WB7",(S1333*#REF!),0)+(IF(O1333="FX 2003",(S1333*$U$5),0)))</f>
        <v>0</v>
      </c>
      <c r="V1333" s="651">
        <f t="shared" si="128"/>
        <v>0</v>
      </c>
    </row>
    <row r="1334" spans="4:22" x14ac:dyDescent="0.25">
      <c r="D1334" s="118">
        <f>+CUBICACION!D1333</f>
        <v>0</v>
      </c>
      <c r="E1334" s="118">
        <f>+CUBICACION!F1333</f>
        <v>0</v>
      </c>
      <c r="F1334" s="118">
        <f>+CUBICACION!E1333</f>
        <v>0</v>
      </c>
      <c r="G1334" s="118">
        <v>12</v>
      </c>
      <c r="H1334" s="118">
        <v>2</v>
      </c>
      <c r="I1334" s="820">
        <v>26385</v>
      </c>
      <c r="J1334" s="118">
        <f>+CUBICACION!J1333</f>
        <v>0</v>
      </c>
      <c r="K1334" s="118">
        <v>4113</v>
      </c>
      <c r="L1334" s="118">
        <f>+CUBICACION!L1333</f>
        <v>0</v>
      </c>
      <c r="M1334" s="64">
        <f>+CUBICACION!M1333</f>
        <v>0</v>
      </c>
      <c r="N1334" s="824" t="str">
        <f>+CUBICACION!N1333</f>
        <v/>
      </c>
      <c r="O1334" s="675">
        <f>+CUBICACION!O1333</f>
        <v>0</v>
      </c>
      <c r="P1334" s="15">
        <f>IF(O1334="Fire Control",VLOOKUP(_xlfn.MINIFS('FIRE CONTROL'!$C$4:$C$37,'FIRE CONTROL'!$C$4:$C$37,"&gt;="&amp;M1334),'FIRE CONTROL'!$C$4:$G$37,IF(L1334="F-15",2,IF(L1334="F-30",3,IF(L1334="F-60",4,IF(L1334="F-90",5,0)))),0),0)+IF(AND(O1334="FIRE TEX 5062",OR(E1334="IN",E1334="C",E1334="Z",E1334="L"),J1334=3),VLOOKUP(_xlfn.MINIFS('FIRE TEX 5062'!$B$4:$B$34,'FIRE TEX 5062'!$B$4:$B$34,"&gt;="&amp;M1334),'FIRE TEX 5062'!$B$4:$F$34,IF(L1334="F-15",2,IF(L1334="F-30",3,IF(L1334="F-60",4,IF(L1334="F-90",5,0)))),0),0)+IF(AND(O1334="FIRE TEX 5062",OR(E1334="IN",E1334="C",E1334="Z",E1334="L"),J1334=4),VLOOKUP(_xlfn.MINIFS('FIRE TEX 5062'!$G$4:$G$34,'FIRE TEX 5062'!$G$4:$G$34,"&gt;="&amp;M1334),'FIRE TEX 5062'!$G$4:$K$34,IF(L1334="F-15",2,IF(L1334="F-30",3,IF(L1334="F-60",4,IF(L1334="F-90",5,0)))),0),0)+IF(AND(O1334="FIRE TEX 5062",E1334="CJ",J1334=3),VLOOKUP(_xlfn.MINIFS('FIRE TEX 5062'!$L$4:$L$34,'FIRE TEX 5062'!$L$4:$L$34,"&gt;="&amp;M1334),'FIRE TEX 5062'!$L$4:$P$34,IF(L1334="F-15",2,IF(L1334="F-30",3,IF(L1334="F-60",4,IF(L1334="F-90",5,0)))),0),0)+IF(AND(O1334="FIRE TEX 5062",E1334="CJ",J1334=4),VLOOKUP(_xlfn.MINIFS('FIRE TEX 5062'!$Q$3:$Q$34,'FIRE TEX 5062'!$Q$3:$Q$34,"&gt;="&amp;M1334),'FIRE TEX 5062'!$Q$3:$U$34,IF(L1334="F-15",2,IF(L1334="F-30",3,IF(L1334="F-60",4,IF(L1334="F-90",5,0)))),0),0)+IF(AND(O1334="FIRE TEX 5090",OR(E1334="IN",E1334="C",E1334="Z",E1334="L"),J1334=3),VLOOKUP(_xlfn.MINIFS('FIRE TEX 5090'!$B$5:$B$43,'FIRE TEX 5090'!$B$5:$B$43,"&gt;="&amp;M1334),'FIRE TEX 5090'!$B$5:$H$43,IF(L1334="F-15",2,IF(L1334="F-30",3,IF(L1334="F-60",4,IF(L1334="F-90",5,IF(L1334="F-120",6,IF(L1334="F-150",7,0)))))),0),0)+IF(AND(O1334="FIRE TEX 5090",OR(E1334="IN",E1334="C",E1334="Z",E1334="L"),J1334=4),VLOOKUP(_xlfn.MINIFS('FIRE TEX 5090'!$J$5:$J$43,'FIRE TEX 5090'!$J$5:$J$43,"&gt;="&amp;M1334),'FIRE TEX 5090'!$J$5:$P$43,IF(L1334="F-15",2,IF(L1334="F-30",3,IF(L1334="F-60",4,IF(L1334="F-90",5,IF(L1334="F-120",6,IF(L1334="F-150",7,0)))))),0),0)+IF(AND(O1334="FIRE TEX 5090",E1334="CJ",J1334=3),VLOOKUP(_xlfn.MINIFS('FIRE TEX 5090'!$R$5:$R$30,'FIRE TEX 5090'!$R$5:$R$30,"&gt;="&amp;M1334),'FIRE TEX 5090'!$R$5:$W$30,IF(L1334="F-15",2,IF(L1334="F-30",3,IF(L1334="F-60",4,IF(L1334="F-90",5,IF(L1334="F-120",6,IF(L1334="F-150",7,0)))))),0),0)+IF(AND(O1334="FIRE TEX 5090",E1334="CJ",J1334=4),VLOOKUP(_xlfn.MINIFS('FIRE TEX 5090'!$Y$5:$Y$39,'FIRE TEX 5090'!$Y$5:$Y$39,"&gt;="&amp;M1334),'FIRE TEX 5090'!$Y$5:$AD$39,IF(L1334="F-15",2,IF(L1334="F-30",3,IF(L1334="F-60",4,IF(L1334="F-90",5,IF(L1334="F-120",6,IF(L1334="F-150",7,0)))))),0),0)+IF(AND(O1334="FIRE TEX 5120",OR(E1334="IN",E1334="C",E1334="Z",E1334="L"),J1334=3),VLOOKUP(_xlfn.MINIFS('FIRE TEX 5120'!$B$5:$B$40,'FIRE TEX 5120'!$B$5:$B$40,"&gt;="&amp;M1334),'FIRE TEX 5120'!$B$5:$G$40,IF(L1334="F-15",2,IF(L1334="F-30",3,IF(L1334="F-60",4,IF(L1334="F-90",5,IF(L1334="F-120",6,0))))),0),0)+IF(AND(O1334="FIRE TEX 5120",OR(E1334="IN",E1334="C",E1334="Z",E1334="L"),J1334=4),VLOOKUP(_xlfn.MINIFS('FIRE TEX 5120'!$H$4:$H$40,'FIRE TEX 5120'!$H$4:$H$40,"&gt;="&amp;M1334),'FIRE TEX 5120'!$H$4:$M$40,IF(L1334="F-15",2,IF(L1334="F-30",3,IF(L1334="F-60",4,IF(L1334="F-90",5,IF(L1334="F-120",6,0))))),0),0)+IF(AND(O1334="FIRE TEX 5120",E1334="CJ"),VLOOKUP(_xlfn.MINIFS('FIRE TEX 5120'!$O$5:$O$40,'FIRE TEX 5120'!$O$5:$O$40,"&gt;="&amp;M1334),'FIRE TEX 5120'!$O$5:$T$40,IF(L1334="F-15",2,IF(L1334="F-30",3,IF(L1334="F-60",4,IF(L1334="F-90",5,IF(L1334="F-120",6,0))))),0),0)</f>
        <v>0</v>
      </c>
      <c r="Q1334" s="46">
        <f t="shared" si="124"/>
        <v>0</v>
      </c>
      <c r="R1334" s="46">
        <f t="shared" si="125"/>
        <v>0</v>
      </c>
      <c r="S1334" s="46" t="e">
        <f t="shared" si="126"/>
        <v>#VALUE!</v>
      </c>
      <c r="T1334" s="677">
        <f t="shared" si="127"/>
        <v>0</v>
      </c>
      <c r="U1334" s="80">
        <f>(IF(O1334="Stofire",(S1334*#REF!),0))+(IF(O1334="Fire Control",(S1334*$U$2),0))+(IF(O1334="Fire Tex",(S1334*$U$3),0))+(IF(O1334="WB7",(S1334*#REF!),0)+(IF(O1334="FX 2003",(S1334*$U$5),0)))</f>
        <v>0</v>
      </c>
      <c r="V1334" s="651">
        <f t="shared" si="128"/>
        <v>0</v>
      </c>
    </row>
    <row r="1335" spans="4:22" x14ac:dyDescent="0.25">
      <c r="D1335" s="118">
        <f>+CUBICACION!D1334</f>
        <v>0</v>
      </c>
      <c r="E1335" s="118">
        <f>+CUBICACION!F1334</f>
        <v>0</v>
      </c>
      <c r="F1335" s="118">
        <f>+CUBICACION!E1334</f>
        <v>0</v>
      </c>
      <c r="G1335" s="118">
        <v>12</v>
      </c>
      <c r="H1335" s="118">
        <v>2</v>
      </c>
      <c r="I1335" s="820">
        <v>26385</v>
      </c>
      <c r="J1335" s="118">
        <f>+CUBICACION!J1334</f>
        <v>0</v>
      </c>
      <c r="K1335" s="118">
        <v>4114</v>
      </c>
      <c r="L1335" s="118">
        <f>+CUBICACION!L1334</f>
        <v>0</v>
      </c>
      <c r="M1335" s="64">
        <f>+CUBICACION!M1334</f>
        <v>0</v>
      </c>
      <c r="N1335" s="824" t="str">
        <f>+CUBICACION!N1334</f>
        <v/>
      </c>
      <c r="O1335" s="675">
        <f>+CUBICACION!O1334</f>
        <v>0</v>
      </c>
      <c r="P1335" s="15">
        <f>IF(O1335="Fire Control",VLOOKUP(_xlfn.MINIFS('FIRE CONTROL'!$C$4:$C$37,'FIRE CONTROL'!$C$4:$C$37,"&gt;="&amp;M1335),'FIRE CONTROL'!$C$4:$G$37,IF(L1335="F-15",2,IF(L1335="F-30",3,IF(L1335="F-60",4,IF(L1335="F-90",5,0)))),0),0)+IF(AND(O1335="FIRE TEX 5062",OR(E1335="IN",E1335="C",E1335="Z",E1335="L"),J1335=3),VLOOKUP(_xlfn.MINIFS('FIRE TEX 5062'!$B$4:$B$34,'FIRE TEX 5062'!$B$4:$B$34,"&gt;="&amp;M1335),'FIRE TEX 5062'!$B$4:$F$34,IF(L1335="F-15",2,IF(L1335="F-30",3,IF(L1335="F-60",4,IF(L1335="F-90",5,0)))),0),0)+IF(AND(O1335="FIRE TEX 5062",OR(E1335="IN",E1335="C",E1335="Z",E1335="L"),J1335=4),VLOOKUP(_xlfn.MINIFS('FIRE TEX 5062'!$G$4:$G$34,'FIRE TEX 5062'!$G$4:$G$34,"&gt;="&amp;M1335),'FIRE TEX 5062'!$G$4:$K$34,IF(L1335="F-15",2,IF(L1335="F-30",3,IF(L1335="F-60",4,IF(L1335="F-90",5,0)))),0),0)+IF(AND(O1335="FIRE TEX 5062",E1335="CJ",J1335=3),VLOOKUP(_xlfn.MINIFS('FIRE TEX 5062'!$L$4:$L$34,'FIRE TEX 5062'!$L$4:$L$34,"&gt;="&amp;M1335),'FIRE TEX 5062'!$L$4:$P$34,IF(L1335="F-15",2,IF(L1335="F-30",3,IF(L1335="F-60",4,IF(L1335="F-90",5,0)))),0),0)+IF(AND(O1335="FIRE TEX 5062",E1335="CJ",J1335=4),VLOOKUP(_xlfn.MINIFS('FIRE TEX 5062'!$Q$3:$Q$34,'FIRE TEX 5062'!$Q$3:$Q$34,"&gt;="&amp;M1335),'FIRE TEX 5062'!$Q$3:$U$34,IF(L1335="F-15",2,IF(L1335="F-30",3,IF(L1335="F-60",4,IF(L1335="F-90",5,0)))),0),0)+IF(AND(O1335="FIRE TEX 5090",OR(E1335="IN",E1335="C",E1335="Z",E1335="L"),J1335=3),VLOOKUP(_xlfn.MINIFS('FIRE TEX 5090'!$B$5:$B$43,'FIRE TEX 5090'!$B$5:$B$43,"&gt;="&amp;M1335),'FIRE TEX 5090'!$B$5:$H$43,IF(L1335="F-15",2,IF(L1335="F-30",3,IF(L1335="F-60",4,IF(L1335="F-90",5,IF(L1335="F-120",6,IF(L1335="F-150",7,0)))))),0),0)+IF(AND(O1335="FIRE TEX 5090",OR(E1335="IN",E1335="C",E1335="Z",E1335="L"),J1335=4),VLOOKUP(_xlfn.MINIFS('FIRE TEX 5090'!$J$5:$J$43,'FIRE TEX 5090'!$J$5:$J$43,"&gt;="&amp;M1335),'FIRE TEX 5090'!$J$5:$P$43,IF(L1335="F-15",2,IF(L1335="F-30",3,IF(L1335="F-60",4,IF(L1335="F-90",5,IF(L1335="F-120",6,IF(L1335="F-150",7,0)))))),0),0)+IF(AND(O1335="FIRE TEX 5090",E1335="CJ",J1335=3),VLOOKUP(_xlfn.MINIFS('FIRE TEX 5090'!$R$5:$R$30,'FIRE TEX 5090'!$R$5:$R$30,"&gt;="&amp;M1335),'FIRE TEX 5090'!$R$5:$W$30,IF(L1335="F-15",2,IF(L1335="F-30",3,IF(L1335="F-60",4,IF(L1335="F-90",5,IF(L1335="F-120",6,IF(L1335="F-150",7,0)))))),0),0)+IF(AND(O1335="FIRE TEX 5090",E1335="CJ",J1335=4),VLOOKUP(_xlfn.MINIFS('FIRE TEX 5090'!$Y$5:$Y$39,'FIRE TEX 5090'!$Y$5:$Y$39,"&gt;="&amp;M1335),'FIRE TEX 5090'!$Y$5:$AD$39,IF(L1335="F-15",2,IF(L1335="F-30",3,IF(L1335="F-60",4,IF(L1335="F-90",5,IF(L1335="F-120",6,IF(L1335="F-150",7,0)))))),0),0)+IF(AND(O1335="FIRE TEX 5120",OR(E1335="IN",E1335="C",E1335="Z",E1335="L"),J1335=3),VLOOKUP(_xlfn.MINIFS('FIRE TEX 5120'!$B$5:$B$40,'FIRE TEX 5120'!$B$5:$B$40,"&gt;="&amp;M1335),'FIRE TEX 5120'!$B$5:$G$40,IF(L1335="F-15",2,IF(L1335="F-30",3,IF(L1335="F-60",4,IF(L1335="F-90",5,IF(L1335="F-120",6,0))))),0),0)+IF(AND(O1335="FIRE TEX 5120",OR(E1335="IN",E1335="C",E1335="Z",E1335="L"),J1335=4),VLOOKUP(_xlfn.MINIFS('FIRE TEX 5120'!$H$4:$H$40,'FIRE TEX 5120'!$H$4:$H$40,"&gt;="&amp;M1335),'FIRE TEX 5120'!$H$4:$M$40,IF(L1335="F-15",2,IF(L1335="F-30",3,IF(L1335="F-60",4,IF(L1335="F-90",5,IF(L1335="F-120",6,0))))),0),0)+IF(AND(O1335="FIRE TEX 5120",E1335="CJ"),VLOOKUP(_xlfn.MINIFS('FIRE TEX 5120'!$O$5:$O$40,'FIRE TEX 5120'!$O$5:$O$40,"&gt;="&amp;M1335),'FIRE TEX 5120'!$O$5:$T$40,IF(L1335="F-15",2,IF(L1335="F-30",3,IF(L1335="F-60",4,IF(L1335="F-90",5,IF(L1335="F-120",6,0))))),0),0)</f>
        <v>0</v>
      </c>
      <c r="Q1335" s="46">
        <f t="shared" si="124"/>
        <v>0</v>
      </c>
      <c r="R1335" s="46">
        <f t="shared" si="125"/>
        <v>0</v>
      </c>
      <c r="S1335" s="46" t="e">
        <f t="shared" si="126"/>
        <v>#VALUE!</v>
      </c>
      <c r="T1335" s="677">
        <f t="shared" si="127"/>
        <v>0</v>
      </c>
      <c r="U1335" s="80">
        <f>(IF(O1335="Stofire",(S1335*#REF!),0))+(IF(O1335="Fire Control",(S1335*$U$2),0))+(IF(O1335="Fire Tex",(S1335*$U$3),0))+(IF(O1335="WB7",(S1335*#REF!),0)+(IF(O1335="FX 2003",(S1335*$U$5),0)))</f>
        <v>0</v>
      </c>
      <c r="V1335" s="651">
        <f t="shared" si="128"/>
        <v>0</v>
      </c>
    </row>
    <row r="1336" spans="4:22" x14ac:dyDescent="0.25">
      <c r="D1336" s="118">
        <f>+CUBICACION!D1335</f>
        <v>0</v>
      </c>
      <c r="E1336" s="118">
        <f>+CUBICACION!F1335</f>
        <v>0</v>
      </c>
      <c r="F1336" s="118">
        <f>+CUBICACION!E1335</f>
        <v>0</v>
      </c>
      <c r="G1336" s="118">
        <v>12</v>
      </c>
      <c r="H1336" s="118">
        <v>2</v>
      </c>
      <c r="I1336" s="820">
        <v>26385</v>
      </c>
      <c r="J1336" s="118">
        <f>+CUBICACION!J1335</f>
        <v>0</v>
      </c>
      <c r="K1336" s="118">
        <v>4115</v>
      </c>
      <c r="L1336" s="118">
        <f>+CUBICACION!L1335</f>
        <v>0</v>
      </c>
      <c r="M1336" s="64">
        <f>+CUBICACION!M1335</f>
        <v>0</v>
      </c>
      <c r="N1336" s="824" t="str">
        <f>+CUBICACION!N1335</f>
        <v/>
      </c>
      <c r="O1336" s="675">
        <f>+CUBICACION!O1335</f>
        <v>0</v>
      </c>
      <c r="P1336" s="15">
        <f>IF(O1336="Fire Control",VLOOKUP(_xlfn.MINIFS('FIRE CONTROL'!$C$4:$C$37,'FIRE CONTROL'!$C$4:$C$37,"&gt;="&amp;M1336),'FIRE CONTROL'!$C$4:$G$37,IF(L1336="F-15",2,IF(L1336="F-30",3,IF(L1336="F-60",4,IF(L1336="F-90",5,0)))),0),0)+IF(AND(O1336="FIRE TEX 5062",OR(E1336="IN",E1336="C",E1336="Z",E1336="L"),J1336=3),VLOOKUP(_xlfn.MINIFS('FIRE TEX 5062'!$B$4:$B$34,'FIRE TEX 5062'!$B$4:$B$34,"&gt;="&amp;M1336),'FIRE TEX 5062'!$B$4:$F$34,IF(L1336="F-15",2,IF(L1336="F-30",3,IF(L1336="F-60",4,IF(L1336="F-90",5,0)))),0),0)+IF(AND(O1336="FIRE TEX 5062",OR(E1336="IN",E1336="C",E1336="Z",E1336="L"),J1336=4),VLOOKUP(_xlfn.MINIFS('FIRE TEX 5062'!$G$4:$G$34,'FIRE TEX 5062'!$G$4:$G$34,"&gt;="&amp;M1336),'FIRE TEX 5062'!$G$4:$K$34,IF(L1336="F-15",2,IF(L1336="F-30",3,IF(L1336="F-60",4,IF(L1336="F-90",5,0)))),0),0)+IF(AND(O1336="FIRE TEX 5062",E1336="CJ",J1336=3),VLOOKUP(_xlfn.MINIFS('FIRE TEX 5062'!$L$4:$L$34,'FIRE TEX 5062'!$L$4:$L$34,"&gt;="&amp;M1336),'FIRE TEX 5062'!$L$4:$P$34,IF(L1336="F-15",2,IF(L1336="F-30",3,IF(L1336="F-60",4,IF(L1336="F-90",5,0)))),0),0)+IF(AND(O1336="FIRE TEX 5062",E1336="CJ",J1336=4),VLOOKUP(_xlfn.MINIFS('FIRE TEX 5062'!$Q$3:$Q$34,'FIRE TEX 5062'!$Q$3:$Q$34,"&gt;="&amp;M1336),'FIRE TEX 5062'!$Q$3:$U$34,IF(L1336="F-15",2,IF(L1336="F-30",3,IF(L1336="F-60",4,IF(L1336="F-90",5,0)))),0),0)+IF(AND(O1336="FIRE TEX 5090",OR(E1336="IN",E1336="C",E1336="Z",E1336="L"),J1336=3),VLOOKUP(_xlfn.MINIFS('FIRE TEX 5090'!$B$5:$B$43,'FIRE TEX 5090'!$B$5:$B$43,"&gt;="&amp;M1336),'FIRE TEX 5090'!$B$5:$H$43,IF(L1336="F-15",2,IF(L1336="F-30",3,IF(L1336="F-60",4,IF(L1336="F-90",5,IF(L1336="F-120",6,IF(L1336="F-150",7,0)))))),0),0)+IF(AND(O1336="FIRE TEX 5090",OR(E1336="IN",E1336="C",E1336="Z",E1336="L"),J1336=4),VLOOKUP(_xlfn.MINIFS('FIRE TEX 5090'!$J$5:$J$43,'FIRE TEX 5090'!$J$5:$J$43,"&gt;="&amp;M1336),'FIRE TEX 5090'!$J$5:$P$43,IF(L1336="F-15",2,IF(L1336="F-30",3,IF(L1336="F-60",4,IF(L1336="F-90",5,IF(L1336="F-120",6,IF(L1336="F-150",7,0)))))),0),0)+IF(AND(O1336="FIRE TEX 5090",E1336="CJ",J1336=3),VLOOKUP(_xlfn.MINIFS('FIRE TEX 5090'!$R$5:$R$30,'FIRE TEX 5090'!$R$5:$R$30,"&gt;="&amp;M1336),'FIRE TEX 5090'!$R$5:$W$30,IF(L1336="F-15",2,IF(L1336="F-30",3,IF(L1336="F-60",4,IF(L1336="F-90",5,IF(L1336="F-120",6,IF(L1336="F-150",7,0)))))),0),0)+IF(AND(O1336="FIRE TEX 5090",E1336="CJ",J1336=4),VLOOKUP(_xlfn.MINIFS('FIRE TEX 5090'!$Y$5:$Y$39,'FIRE TEX 5090'!$Y$5:$Y$39,"&gt;="&amp;M1336),'FIRE TEX 5090'!$Y$5:$AD$39,IF(L1336="F-15",2,IF(L1336="F-30",3,IF(L1336="F-60",4,IF(L1336="F-90",5,IF(L1336="F-120",6,IF(L1336="F-150",7,0)))))),0),0)+IF(AND(O1336="FIRE TEX 5120",OR(E1336="IN",E1336="C",E1336="Z",E1336="L"),J1336=3),VLOOKUP(_xlfn.MINIFS('FIRE TEX 5120'!$B$5:$B$40,'FIRE TEX 5120'!$B$5:$B$40,"&gt;="&amp;M1336),'FIRE TEX 5120'!$B$5:$G$40,IF(L1336="F-15",2,IF(L1336="F-30",3,IF(L1336="F-60",4,IF(L1336="F-90",5,IF(L1336="F-120",6,0))))),0),0)+IF(AND(O1336="FIRE TEX 5120",OR(E1336="IN",E1336="C",E1336="Z",E1336="L"),J1336=4),VLOOKUP(_xlfn.MINIFS('FIRE TEX 5120'!$H$4:$H$40,'FIRE TEX 5120'!$H$4:$H$40,"&gt;="&amp;M1336),'FIRE TEX 5120'!$H$4:$M$40,IF(L1336="F-15",2,IF(L1336="F-30",3,IF(L1336="F-60",4,IF(L1336="F-90",5,IF(L1336="F-120",6,0))))),0),0)+IF(AND(O1336="FIRE TEX 5120",E1336="CJ"),VLOOKUP(_xlfn.MINIFS('FIRE TEX 5120'!$O$5:$O$40,'FIRE TEX 5120'!$O$5:$O$40,"&gt;="&amp;M1336),'FIRE TEX 5120'!$O$5:$T$40,IF(L1336="F-15",2,IF(L1336="F-30",3,IF(L1336="F-60",4,IF(L1336="F-90",5,IF(L1336="F-120",6,0))))),0),0)</f>
        <v>0</v>
      </c>
      <c r="Q1336" s="46">
        <f t="shared" si="124"/>
        <v>0</v>
      </c>
      <c r="R1336" s="46">
        <f t="shared" si="125"/>
        <v>0</v>
      </c>
      <c r="S1336" s="46" t="e">
        <f t="shared" si="126"/>
        <v>#VALUE!</v>
      </c>
      <c r="T1336" s="677">
        <f t="shared" si="127"/>
        <v>0</v>
      </c>
      <c r="U1336" s="80">
        <f>(IF(O1336="Stofire",(S1336*#REF!),0))+(IF(O1336="Fire Control",(S1336*$U$2),0))+(IF(O1336="Fire Tex",(S1336*$U$3),0))+(IF(O1336="WB7",(S1336*#REF!),0)+(IF(O1336="FX 2003",(S1336*$U$5),0)))</f>
        <v>0</v>
      </c>
      <c r="V1336" s="651">
        <f t="shared" si="128"/>
        <v>0</v>
      </c>
    </row>
    <row r="1337" spans="4:22" x14ac:dyDescent="0.25">
      <c r="D1337" s="118">
        <f>+CUBICACION!D1336</f>
        <v>0</v>
      </c>
      <c r="E1337" s="118">
        <f>+CUBICACION!F1336</f>
        <v>0</v>
      </c>
      <c r="F1337" s="118">
        <f>+CUBICACION!E1336</f>
        <v>0</v>
      </c>
      <c r="G1337" s="118">
        <v>12</v>
      </c>
      <c r="H1337" s="118">
        <v>2</v>
      </c>
      <c r="I1337" s="820">
        <v>26385</v>
      </c>
      <c r="J1337" s="118">
        <f>+CUBICACION!J1336</f>
        <v>0</v>
      </c>
      <c r="K1337" s="118">
        <v>4116</v>
      </c>
      <c r="L1337" s="118">
        <f>+CUBICACION!L1336</f>
        <v>0</v>
      </c>
      <c r="M1337" s="64">
        <f>+CUBICACION!M1336</f>
        <v>0</v>
      </c>
      <c r="N1337" s="824" t="str">
        <f>+CUBICACION!N1336</f>
        <v/>
      </c>
      <c r="O1337" s="675">
        <f>+CUBICACION!O1336</f>
        <v>0</v>
      </c>
      <c r="P1337" s="15">
        <f>IF(O1337="Fire Control",VLOOKUP(_xlfn.MINIFS('FIRE CONTROL'!$C$4:$C$37,'FIRE CONTROL'!$C$4:$C$37,"&gt;="&amp;M1337),'FIRE CONTROL'!$C$4:$G$37,IF(L1337="F-15",2,IF(L1337="F-30",3,IF(L1337="F-60",4,IF(L1337="F-90",5,0)))),0),0)+IF(AND(O1337="FIRE TEX 5062",OR(E1337="IN",E1337="C",E1337="Z",E1337="L"),J1337=3),VLOOKUP(_xlfn.MINIFS('FIRE TEX 5062'!$B$4:$B$34,'FIRE TEX 5062'!$B$4:$B$34,"&gt;="&amp;M1337),'FIRE TEX 5062'!$B$4:$F$34,IF(L1337="F-15",2,IF(L1337="F-30",3,IF(L1337="F-60",4,IF(L1337="F-90",5,0)))),0),0)+IF(AND(O1337="FIRE TEX 5062",OR(E1337="IN",E1337="C",E1337="Z",E1337="L"),J1337=4),VLOOKUP(_xlfn.MINIFS('FIRE TEX 5062'!$G$4:$G$34,'FIRE TEX 5062'!$G$4:$G$34,"&gt;="&amp;M1337),'FIRE TEX 5062'!$G$4:$K$34,IF(L1337="F-15",2,IF(L1337="F-30",3,IF(L1337="F-60",4,IF(L1337="F-90",5,0)))),0),0)+IF(AND(O1337="FIRE TEX 5062",E1337="CJ",J1337=3),VLOOKUP(_xlfn.MINIFS('FIRE TEX 5062'!$L$4:$L$34,'FIRE TEX 5062'!$L$4:$L$34,"&gt;="&amp;M1337),'FIRE TEX 5062'!$L$4:$P$34,IF(L1337="F-15",2,IF(L1337="F-30",3,IF(L1337="F-60",4,IF(L1337="F-90",5,0)))),0),0)+IF(AND(O1337="FIRE TEX 5062",E1337="CJ",J1337=4),VLOOKUP(_xlfn.MINIFS('FIRE TEX 5062'!$Q$3:$Q$34,'FIRE TEX 5062'!$Q$3:$Q$34,"&gt;="&amp;M1337),'FIRE TEX 5062'!$Q$3:$U$34,IF(L1337="F-15",2,IF(L1337="F-30",3,IF(L1337="F-60",4,IF(L1337="F-90",5,0)))),0),0)+IF(AND(O1337="FIRE TEX 5090",OR(E1337="IN",E1337="C",E1337="Z",E1337="L"),J1337=3),VLOOKUP(_xlfn.MINIFS('FIRE TEX 5090'!$B$5:$B$43,'FIRE TEX 5090'!$B$5:$B$43,"&gt;="&amp;M1337),'FIRE TEX 5090'!$B$5:$H$43,IF(L1337="F-15",2,IF(L1337="F-30",3,IF(L1337="F-60",4,IF(L1337="F-90",5,IF(L1337="F-120",6,IF(L1337="F-150",7,0)))))),0),0)+IF(AND(O1337="FIRE TEX 5090",OR(E1337="IN",E1337="C",E1337="Z",E1337="L"),J1337=4),VLOOKUP(_xlfn.MINIFS('FIRE TEX 5090'!$J$5:$J$43,'FIRE TEX 5090'!$J$5:$J$43,"&gt;="&amp;M1337),'FIRE TEX 5090'!$J$5:$P$43,IF(L1337="F-15",2,IF(L1337="F-30",3,IF(L1337="F-60",4,IF(L1337="F-90",5,IF(L1337="F-120",6,IF(L1337="F-150",7,0)))))),0),0)+IF(AND(O1337="FIRE TEX 5090",E1337="CJ",J1337=3),VLOOKUP(_xlfn.MINIFS('FIRE TEX 5090'!$R$5:$R$30,'FIRE TEX 5090'!$R$5:$R$30,"&gt;="&amp;M1337),'FIRE TEX 5090'!$R$5:$W$30,IF(L1337="F-15",2,IF(L1337="F-30",3,IF(L1337="F-60",4,IF(L1337="F-90",5,IF(L1337="F-120",6,IF(L1337="F-150",7,0)))))),0),0)+IF(AND(O1337="FIRE TEX 5090",E1337="CJ",J1337=4),VLOOKUP(_xlfn.MINIFS('FIRE TEX 5090'!$Y$5:$Y$39,'FIRE TEX 5090'!$Y$5:$Y$39,"&gt;="&amp;M1337),'FIRE TEX 5090'!$Y$5:$AD$39,IF(L1337="F-15",2,IF(L1337="F-30",3,IF(L1337="F-60",4,IF(L1337="F-90",5,IF(L1337="F-120",6,IF(L1337="F-150",7,0)))))),0),0)+IF(AND(O1337="FIRE TEX 5120",OR(E1337="IN",E1337="C",E1337="Z",E1337="L"),J1337=3),VLOOKUP(_xlfn.MINIFS('FIRE TEX 5120'!$B$5:$B$40,'FIRE TEX 5120'!$B$5:$B$40,"&gt;="&amp;M1337),'FIRE TEX 5120'!$B$5:$G$40,IF(L1337="F-15",2,IF(L1337="F-30",3,IF(L1337="F-60",4,IF(L1337="F-90",5,IF(L1337="F-120",6,0))))),0),0)+IF(AND(O1337="FIRE TEX 5120",OR(E1337="IN",E1337="C",E1337="Z",E1337="L"),J1337=4),VLOOKUP(_xlfn.MINIFS('FIRE TEX 5120'!$H$4:$H$40,'FIRE TEX 5120'!$H$4:$H$40,"&gt;="&amp;M1337),'FIRE TEX 5120'!$H$4:$M$40,IF(L1337="F-15",2,IF(L1337="F-30",3,IF(L1337="F-60",4,IF(L1337="F-90",5,IF(L1337="F-120",6,0))))),0),0)+IF(AND(O1337="FIRE TEX 5120",E1337="CJ"),VLOOKUP(_xlfn.MINIFS('FIRE TEX 5120'!$O$5:$O$40,'FIRE TEX 5120'!$O$5:$O$40,"&gt;="&amp;M1337),'FIRE TEX 5120'!$O$5:$T$40,IF(L1337="F-15",2,IF(L1337="F-30",3,IF(L1337="F-60",4,IF(L1337="F-90",5,IF(L1337="F-120",6,0))))),0),0)</f>
        <v>0</v>
      </c>
      <c r="Q1337" s="46">
        <f t="shared" si="124"/>
        <v>0</v>
      </c>
      <c r="R1337" s="46">
        <f t="shared" si="125"/>
        <v>0</v>
      </c>
      <c r="S1337" s="46" t="e">
        <f t="shared" si="126"/>
        <v>#VALUE!</v>
      </c>
      <c r="T1337" s="677">
        <f t="shared" si="127"/>
        <v>0</v>
      </c>
      <c r="U1337" s="80">
        <f>(IF(O1337="Stofire",(S1337*#REF!),0))+(IF(O1337="Fire Control",(S1337*$U$2),0))+(IF(O1337="Fire Tex",(S1337*$U$3),0))+(IF(O1337="WB7",(S1337*#REF!),0)+(IF(O1337="FX 2003",(S1337*$U$5),0)))</f>
        <v>0</v>
      </c>
      <c r="V1337" s="651">
        <f t="shared" si="128"/>
        <v>0</v>
      </c>
    </row>
    <row r="1338" spans="4:22" x14ac:dyDescent="0.25">
      <c r="D1338" s="118">
        <f>+CUBICACION!D1337</f>
        <v>0</v>
      </c>
      <c r="E1338" s="118">
        <f>+CUBICACION!F1337</f>
        <v>0</v>
      </c>
      <c r="F1338" s="118">
        <f>+CUBICACION!E1337</f>
        <v>0</v>
      </c>
      <c r="G1338" s="118">
        <v>12</v>
      </c>
      <c r="H1338" s="118">
        <v>2</v>
      </c>
      <c r="I1338" s="820">
        <v>26385</v>
      </c>
      <c r="J1338" s="118">
        <f>+CUBICACION!J1337</f>
        <v>0</v>
      </c>
      <c r="K1338" s="118">
        <v>4117</v>
      </c>
      <c r="L1338" s="118">
        <f>+CUBICACION!L1337</f>
        <v>0</v>
      </c>
      <c r="M1338" s="64">
        <f>+CUBICACION!M1337</f>
        <v>0</v>
      </c>
      <c r="N1338" s="824" t="str">
        <f>+CUBICACION!N1337</f>
        <v/>
      </c>
      <c r="O1338" s="675">
        <f>+CUBICACION!O1337</f>
        <v>0</v>
      </c>
      <c r="P1338" s="15">
        <f>IF(O1338="Fire Control",VLOOKUP(_xlfn.MINIFS('FIRE CONTROL'!$C$4:$C$37,'FIRE CONTROL'!$C$4:$C$37,"&gt;="&amp;M1338),'FIRE CONTROL'!$C$4:$G$37,IF(L1338="F-15",2,IF(L1338="F-30",3,IF(L1338="F-60",4,IF(L1338="F-90",5,0)))),0),0)+IF(AND(O1338="FIRE TEX 5062",OR(E1338="IN",E1338="C",E1338="Z",E1338="L"),J1338=3),VLOOKUP(_xlfn.MINIFS('FIRE TEX 5062'!$B$4:$B$34,'FIRE TEX 5062'!$B$4:$B$34,"&gt;="&amp;M1338),'FIRE TEX 5062'!$B$4:$F$34,IF(L1338="F-15",2,IF(L1338="F-30",3,IF(L1338="F-60",4,IF(L1338="F-90",5,0)))),0),0)+IF(AND(O1338="FIRE TEX 5062",OR(E1338="IN",E1338="C",E1338="Z",E1338="L"),J1338=4),VLOOKUP(_xlfn.MINIFS('FIRE TEX 5062'!$G$4:$G$34,'FIRE TEX 5062'!$G$4:$G$34,"&gt;="&amp;M1338),'FIRE TEX 5062'!$G$4:$K$34,IF(L1338="F-15",2,IF(L1338="F-30",3,IF(L1338="F-60",4,IF(L1338="F-90",5,0)))),0),0)+IF(AND(O1338="FIRE TEX 5062",E1338="CJ",J1338=3),VLOOKUP(_xlfn.MINIFS('FIRE TEX 5062'!$L$4:$L$34,'FIRE TEX 5062'!$L$4:$L$34,"&gt;="&amp;M1338),'FIRE TEX 5062'!$L$4:$P$34,IF(L1338="F-15",2,IF(L1338="F-30",3,IF(L1338="F-60",4,IF(L1338="F-90",5,0)))),0),0)+IF(AND(O1338="FIRE TEX 5062",E1338="CJ",J1338=4),VLOOKUP(_xlfn.MINIFS('FIRE TEX 5062'!$Q$3:$Q$34,'FIRE TEX 5062'!$Q$3:$Q$34,"&gt;="&amp;M1338),'FIRE TEX 5062'!$Q$3:$U$34,IF(L1338="F-15",2,IF(L1338="F-30",3,IF(L1338="F-60",4,IF(L1338="F-90",5,0)))),0),0)+IF(AND(O1338="FIRE TEX 5090",OR(E1338="IN",E1338="C",E1338="Z",E1338="L"),J1338=3),VLOOKUP(_xlfn.MINIFS('FIRE TEX 5090'!$B$5:$B$43,'FIRE TEX 5090'!$B$5:$B$43,"&gt;="&amp;M1338),'FIRE TEX 5090'!$B$5:$H$43,IF(L1338="F-15",2,IF(L1338="F-30",3,IF(L1338="F-60",4,IF(L1338="F-90",5,IF(L1338="F-120",6,IF(L1338="F-150",7,0)))))),0),0)+IF(AND(O1338="FIRE TEX 5090",OR(E1338="IN",E1338="C",E1338="Z",E1338="L"),J1338=4),VLOOKUP(_xlfn.MINIFS('FIRE TEX 5090'!$J$5:$J$43,'FIRE TEX 5090'!$J$5:$J$43,"&gt;="&amp;M1338),'FIRE TEX 5090'!$J$5:$P$43,IF(L1338="F-15",2,IF(L1338="F-30",3,IF(L1338="F-60",4,IF(L1338="F-90",5,IF(L1338="F-120",6,IF(L1338="F-150",7,0)))))),0),0)+IF(AND(O1338="FIRE TEX 5090",E1338="CJ",J1338=3),VLOOKUP(_xlfn.MINIFS('FIRE TEX 5090'!$R$5:$R$30,'FIRE TEX 5090'!$R$5:$R$30,"&gt;="&amp;M1338),'FIRE TEX 5090'!$R$5:$W$30,IF(L1338="F-15",2,IF(L1338="F-30",3,IF(L1338="F-60",4,IF(L1338="F-90",5,IF(L1338="F-120",6,IF(L1338="F-150",7,0)))))),0),0)+IF(AND(O1338="FIRE TEX 5090",E1338="CJ",J1338=4),VLOOKUP(_xlfn.MINIFS('FIRE TEX 5090'!$Y$5:$Y$39,'FIRE TEX 5090'!$Y$5:$Y$39,"&gt;="&amp;M1338),'FIRE TEX 5090'!$Y$5:$AD$39,IF(L1338="F-15",2,IF(L1338="F-30",3,IF(L1338="F-60",4,IF(L1338="F-90",5,IF(L1338="F-120",6,IF(L1338="F-150",7,0)))))),0),0)+IF(AND(O1338="FIRE TEX 5120",OR(E1338="IN",E1338="C",E1338="Z",E1338="L"),J1338=3),VLOOKUP(_xlfn.MINIFS('FIRE TEX 5120'!$B$5:$B$40,'FIRE TEX 5120'!$B$5:$B$40,"&gt;="&amp;M1338),'FIRE TEX 5120'!$B$5:$G$40,IF(L1338="F-15",2,IF(L1338="F-30",3,IF(L1338="F-60",4,IF(L1338="F-90",5,IF(L1338="F-120",6,0))))),0),0)+IF(AND(O1338="FIRE TEX 5120",OR(E1338="IN",E1338="C",E1338="Z",E1338="L"),J1338=4),VLOOKUP(_xlfn.MINIFS('FIRE TEX 5120'!$H$4:$H$40,'FIRE TEX 5120'!$H$4:$H$40,"&gt;="&amp;M1338),'FIRE TEX 5120'!$H$4:$M$40,IF(L1338="F-15",2,IF(L1338="F-30",3,IF(L1338="F-60",4,IF(L1338="F-90",5,IF(L1338="F-120",6,0))))),0),0)+IF(AND(O1338="FIRE TEX 5120",E1338="CJ"),VLOOKUP(_xlfn.MINIFS('FIRE TEX 5120'!$O$5:$O$40,'FIRE TEX 5120'!$O$5:$O$40,"&gt;="&amp;M1338),'FIRE TEX 5120'!$O$5:$T$40,IF(L1338="F-15",2,IF(L1338="F-30",3,IF(L1338="F-60",4,IF(L1338="F-90",5,IF(L1338="F-120",6,0))))),0),0)</f>
        <v>0</v>
      </c>
      <c r="Q1338" s="46">
        <f t="shared" si="124"/>
        <v>0</v>
      </c>
      <c r="R1338" s="46">
        <f t="shared" si="125"/>
        <v>0</v>
      </c>
      <c r="S1338" s="46" t="e">
        <f t="shared" si="126"/>
        <v>#VALUE!</v>
      </c>
      <c r="T1338" s="677">
        <f t="shared" si="127"/>
        <v>0</v>
      </c>
      <c r="U1338" s="80">
        <f>(IF(O1338="Stofire",(S1338*#REF!),0))+(IF(O1338="Fire Control",(S1338*$U$2),0))+(IF(O1338="Fire Tex",(S1338*$U$3),0))+(IF(O1338="WB7",(S1338*#REF!),0)+(IF(O1338="FX 2003",(S1338*$U$5),0)))</f>
        <v>0</v>
      </c>
      <c r="V1338" s="651">
        <f t="shared" si="128"/>
        <v>0</v>
      </c>
    </row>
    <row r="1339" spans="4:22" x14ac:dyDescent="0.25">
      <c r="D1339" s="118">
        <f>+CUBICACION!D1338</f>
        <v>0</v>
      </c>
      <c r="E1339" s="118">
        <f>+CUBICACION!F1338</f>
        <v>0</v>
      </c>
      <c r="F1339" s="118">
        <f>+CUBICACION!E1338</f>
        <v>0</v>
      </c>
      <c r="G1339" s="118">
        <v>12</v>
      </c>
      <c r="H1339" s="118">
        <v>2</v>
      </c>
      <c r="I1339" s="820">
        <v>26385</v>
      </c>
      <c r="J1339" s="118">
        <f>+CUBICACION!J1338</f>
        <v>0</v>
      </c>
      <c r="K1339" s="118">
        <v>4118</v>
      </c>
      <c r="L1339" s="118">
        <f>+CUBICACION!L1338</f>
        <v>0</v>
      </c>
      <c r="M1339" s="64">
        <f>+CUBICACION!M1338</f>
        <v>0</v>
      </c>
      <c r="N1339" s="824" t="str">
        <f>+CUBICACION!N1338</f>
        <v/>
      </c>
      <c r="O1339" s="675">
        <f>+CUBICACION!O1338</f>
        <v>0</v>
      </c>
      <c r="P1339" s="15">
        <f>IF(O1339="Fire Control",VLOOKUP(_xlfn.MINIFS('FIRE CONTROL'!$C$4:$C$37,'FIRE CONTROL'!$C$4:$C$37,"&gt;="&amp;M1339),'FIRE CONTROL'!$C$4:$G$37,IF(L1339="F-15",2,IF(L1339="F-30",3,IF(L1339="F-60",4,IF(L1339="F-90",5,0)))),0),0)+IF(AND(O1339="FIRE TEX 5062",OR(E1339="IN",E1339="C",E1339="Z",E1339="L"),J1339=3),VLOOKUP(_xlfn.MINIFS('FIRE TEX 5062'!$B$4:$B$34,'FIRE TEX 5062'!$B$4:$B$34,"&gt;="&amp;M1339),'FIRE TEX 5062'!$B$4:$F$34,IF(L1339="F-15",2,IF(L1339="F-30",3,IF(L1339="F-60",4,IF(L1339="F-90",5,0)))),0),0)+IF(AND(O1339="FIRE TEX 5062",OR(E1339="IN",E1339="C",E1339="Z",E1339="L"),J1339=4),VLOOKUP(_xlfn.MINIFS('FIRE TEX 5062'!$G$4:$G$34,'FIRE TEX 5062'!$G$4:$G$34,"&gt;="&amp;M1339),'FIRE TEX 5062'!$G$4:$K$34,IF(L1339="F-15",2,IF(L1339="F-30",3,IF(L1339="F-60",4,IF(L1339="F-90",5,0)))),0),0)+IF(AND(O1339="FIRE TEX 5062",E1339="CJ",J1339=3),VLOOKUP(_xlfn.MINIFS('FIRE TEX 5062'!$L$4:$L$34,'FIRE TEX 5062'!$L$4:$L$34,"&gt;="&amp;M1339),'FIRE TEX 5062'!$L$4:$P$34,IF(L1339="F-15",2,IF(L1339="F-30",3,IF(L1339="F-60",4,IF(L1339="F-90",5,0)))),0),0)+IF(AND(O1339="FIRE TEX 5062",E1339="CJ",J1339=4),VLOOKUP(_xlfn.MINIFS('FIRE TEX 5062'!$Q$3:$Q$34,'FIRE TEX 5062'!$Q$3:$Q$34,"&gt;="&amp;M1339),'FIRE TEX 5062'!$Q$3:$U$34,IF(L1339="F-15",2,IF(L1339="F-30",3,IF(L1339="F-60",4,IF(L1339="F-90",5,0)))),0),0)+IF(AND(O1339="FIRE TEX 5090",OR(E1339="IN",E1339="C",E1339="Z",E1339="L"),J1339=3),VLOOKUP(_xlfn.MINIFS('FIRE TEX 5090'!$B$5:$B$43,'FIRE TEX 5090'!$B$5:$B$43,"&gt;="&amp;M1339),'FIRE TEX 5090'!$B$5:$H$43,IF(L1339="F-15",2,IF(L1339="F-30",3,IF(L1339="F-60",4,IF(L1339="F-90",5,IF(L1339="F-120",6,IF(L1339="F-150",7,0)))))),0),0)+IF(AND(O1339="FIRE TEX 5090",OR(E1339="IN",E1339="C",E1339="Z",E1339="L"),J1339=4),VLOOKUP(_xlfn.MINIFS('FIRE TEX 5090'!$J$5:$J$43,'FIRE TEX 5090'!$J$5:$J$43,"&gt;="&amp;M1339),'FIRE TEX 5090'!$J$5:$P$43,IF(L1339="F-15",2,IF(L1339="F-30",3,IF(L1339="F-60",4,IF(L1339="F-90",5,IF(L1339="F-120",6,IF(L1339="F-150",7,0)))))),0),0)+IF(AND(O1339="FIRE TEX 5090",E1339="CJ",J1339=3),VLOOKUP(_xlfn.MINIFS('FIRE TEX 5090'!$R$5:$R$30,'FIRE TEX 5090'!$R$5:$R$30,"&gt;="&amp;M1339),'FIRE TEX 5090'!$R$5:$W$30,IF(L1339="F-15",2,IF(L1339="F-30",3,IF(L1339="F-60",4,IF(L1339="F-90",5,IF(L1339="F-120",6,IF(L1339="F-150",7,0)))))),0),0)+IF(AND(O1339="FIRE TEX 5090",E1339="CJ",J1339=4),VLOOKUP(_xlfn.MINIFS('FIRE TEX 5090'!$Y$5:$Y$39,'FIRE TEX 5090'!$Y$5:$Y$39,"&gt;="&amp;M1339),'FIRE TEX 5090'!$Y$5:$AD$39,IF(L1339="F-15",2,IF(L1339="F-30",3,IF(L1339="F-60",4,IF(L1339="F-90",5,IF(L1339="F-120",6,IF(L1339="F-150",7,0)))))),0),0)+IF(AND(O1339="FIRE TEX 5120",OR(E1339="IN",E1339="C",E1339="Z",E1339="L"),J1339=3),VLOOKUP(_xlfn.MINIFS('FIRE TEX 5120'!$B$5:$B$40,'FIRE TEX 5120'!$B$5:$B$40,"&gt;="&amp;M1339),'FIRE TEX 5120'!$B$5:$G$40,IF(L1339="F-15",2,IF(L1339="F-30",3,IF(L1339="F-60",4,IF(L1339="F-90",5,IF(L1339="F-120",6,0))))),0),0)+IF(AND(O1339="FIRE TEX 5120",OR(E1339="IN",E1339="C",E1339="Z",E1339="L"),J1339=4),VLOOKUP(_xlfn.MINIFS('FIRE TEX 5120'!$H$4:$H$40,'FIRE TEX 5120'!$H$4:$H$40,"&gt;="&amp;M1339),'FIRE TEX 5120'!$H$4:$M$40,IF(L1339="F-15",2,IF(L1339="F-30",3,IF(L1339="F-60",4,IF(L1339="F-90",5,IF(L1339="F-120",6,0))))),0),0)+IF(AND(O1339="FIRE TEX 5120",E1339="CJ"),VLOOKUP(_xlfn.MINIFS('FIRE TEX 5120'!$O$5:$O$40,'FIRE TEX 5120'!$O$5:$O$40,"&gt;="&amp;M1339),'FIRE TEX 5120'!$O$5:$T$40,IF(L1339="F-15",2,IF(L1339="F-30",3,IF(L1339="F-60",4,IF(L1339="F-90",5,IF(L1339="F-120",6,0))))),0),0)</f>
        <v>0</v>
      </c>
      <c r="Q1339" s="46">
        <f t="shared" si="124"/>
        <v>0</v>
      </c>
      <c r="R1339" s="46">
        <f t="shared" si="125"/>
        <v>0</v>
      </c>
      <c r="S1339" s="46" t="e">
        <f t="shared" si="126"/>
        <v>#VALUE!</v>
      </c>
      <c r="T1339" s="677">
        <f t="shared" si="127"/>
        <v>0</v>
      </c>
      <c r="U1339" s="80">
        <f>(IF(O1339="Stofire",(S1339*#REF!),0))+(IF(O1339="Fire Control",(S1339*$U$2),0))+(IF(O1339="Fire Tex",(S1339*$U$3),0))+(IF(O1339="WB7",(S1339*#REF!),0)+(IF(O1339="FX 2003",(S1339*$U$5),0)))</f>
        <v>0</v>
      </c>
      <c r="V1339" s="651">
        <f t="shared" si="128"/>
        <v>0</v>
      </c>
    </row>
    <row r="1340" spans="4:22" x14ac:dyDescent="0.25">
      <c r="D1340" s="118">
        <f>+CUBICACION!D1339</f>
        <v>0</v>
      </c>
      <c r="E1340" s="118">
        <f>+CUBICACION!F1339</f>
        <v>0</v>
      </c>
      <c r="F1340" s="118">
        <f>+CUBICACION!E1339</f>
        <v>0</v>
      </c>
      <c r="G1340" s="118">
        <v>12</v>
      </c>
      <c r="H1340" s="118">
        <v>2</v>
      </c>
      <c r="I1340" s="820">
        <v>26385</v>
      </c>
      <c r="J1340" s="118">
        <f>+CUBICACION!J1339</f>
        <v>0</v>
      </c>
      <c r="K1340" s="118">
        <v>4119</v>
      </c>
      <c r="L1340" s="118">
        <f>+CUBICACION!L1339</f>
        <v>0</v>
      </c>
      <c r="M1340" s="64">
        <f>+CUBICACION!M1339</f>
        <v>0</v>
      </c>
      <c r="N1340" s="824" t="str">
        <f>+CUBICACION!N1339</f>
        <v/>
      </c>
      <c r="O1340" s="675">
        <f>+CUBICACION!O1339</f>
        <v>0</v>
      </c>
      <c r="P1340" s="15">
        <f>IF(O1340="Fire Control",VLOOKUP(_xlfn.MINIFS('FIRE CONTROL'!$C$4:$C$37,'FIRE CONTROL'!$C$4:$C$37,"&gt;="&amp;M1340),'FIRE CONTROL'!$C$4:$G$37,IF(L1340="F-15",2,IF(L1340="F-30",3,IF(L1340="F-60",4,IF(L1340="F-90",5,0)))),0),0)+IF(AND(O1340="FIRE TEX 5062",OR(E1340="IN",E1340="C",E1340="Z",E1340="L"),J1340=3),VLOOKUP(_xlfn.MINIFS('FIRE TEX 5062'!$B$4:$B$34,'FIRE TEX 5062'!$B$4:$B$34,"&gt;="&amp;M1340),'FIRE TEX 5062'!$B$4:$F$34,IF(L1340="F-15",2,IF(L1340="F-30",3,IF(L1340="F-60",4,IF(L1340="F-90",5,0)))),0),0)+IF(AND(O1340="FIRE TEX 5062",OR(E1340="IN",E1340="C",E1340="Z",E1340="L"),J1340=4),VLOOKUP(_xlfn.MINIFS('FIRE TEX 5062'!$G$4:$G$34,'FIRE TEX 5062'!$G$4:$G$34,"&gt;="&amp;M1340),'FIRE TEX 5062'!$G$4:$K$34,IF(L1340="F-15",2,IF(L1340="F-30",3,IF(L1340="F-60",4,IF(L1340="F-90",5,0)))),0),0)+IF(AND(O1340="FIRE TEX 5062",E1340="CJ",J1340=3),VLOOKUP(_xlfn.MINIFS('FIRE TEX 5062'!$L$4:$L$34,'FIRE TEX 5062'!$L$4:$L$34,"&gt;="&amp;M1340),'FIRE TEX 5062'!$L$4:$P$34,IF(L1340="F-15",2,IF(L1340="F-30",3,IF(L1340="F-60",4,IF(L1340="F-90",5,0)))),0),0)+IF(AND(O1340="FIRE TEX 5062",E1340="CJ",J1340=4),VLOOKUP(_xlfn.MINIFS('FIRE TEX 5062'!$Q$3:$Q$34,'FIRE TEX 5062'!$Q$3:$Q$34,"&gt;="&amp;M1340),'FIRE TEX 5062'!$Q$3:$U$34,IF(L1340="F-15",2,IF(L1340="F-30",3,IF(L1340="F-60",4,IF(L1340="F-90",5,0)))),0),0)+IF(AND(O1340="FIRE TEX 5090",OR(E1340="IN",E1340="C",E1340="Z",E1340="L"),J1340=3),VLOOKUP(_xlfn.MINIFS('FIRE TEX 5090'!$B$5:$B$43,'FIRE TEX 5090'!$B$5:$B$43,"&gt;="&amp;M1340),'FIRE TEX 5090'!$B$5:$H$43,IF(L1340="F-15",2,IF(L1340="F-30",3,IF(L1340="F-60",4,IF(L1340="F-90",5,IF(L1340="F-120",6,IF(L1340="F-150",7,0)))))),0),0)+IF(AND(O1340="FIRE TEX 5090",OR(E1340="IN",E1340="C",E1340="Z",E1340="L"),J1340=4),VLOOKUP(_xlfn.MINIFS('FIRE TEX 5090'!$J$5:$J$43,'FIRE TEX 5090'!$J$5:$J$43,"&gt;="&amp;M1340),'FIRE TEX 5090'!$J$5:$P$43,IF(L1340="F-15",2,IF(L1340="F-30",3,IF(L1340="F-60",4,IF(L1340="F-90",5,IF(L1340="F-120",6,IF(L1340="F-150",7,0)))))),0),0)+IF(AND(O1340="FIRE TEX 5090",E1340="CJ",J1340=3),VLOOKUP(_xlfn.MINIFS('FIRE TEX 5090'!$R$5:$R$30,'FIRE TEX 5090'!$R$5:$R$30,"&gt;="&amp;M1340),'FIRE TEX 5090'!$R$5:$W$30,IF(L1340="F-15",2,IF(L1340="F-30",3,IF(L1340="F-60",4,IF(L1340="F-90",5,IF(L1340="F-120",6,IF(L1340="F-150",7,0)))))),0),0)+IF(AND(O1340="FIRE TEX 5090",E1340="CJ",J1340=4),VLOOKUP(_xlfn.MINIFS('FIRE TEX 5090'!$Y$5:$Y$39,'FIRE TEX 5090'!$Y$5:$Y$39,"&gt;="&amp;M1340),'FIRE TEX 5090'!$Y$5:$AD$39,IF(L1340="F-15",2,IF(L1340="F-30",3,IF(L1340="F-60",4,IF(L1340="F-90",5,IF(L1340="F-120",6,IF(L1340="F-150",7,0)))))),0),0)+IF(AND(O1340="FIRE TEX 5120",OR(E1340="IN",E1340="C",E1340="Z",E1340="L"),J1340=3),VLOOKUP(_xlfn.MINIFS('FIRE TEX 5120'!$B$5:$B$40,'FIRE TEX 5120'!$B$5:$B$40,"&gt;="&amp;M1340),'FIRE TEX 5120'!$B$5:$G$40,IF(L1340="F-15",2,IF(L1340="F-30",3,IF(L1340="F-60",4,IF(L1340="F-90",5,IF(L1340="F-120",6,0))))),0),0)+IF(AND(O1340="FIRE TEX 5120",OR(E1340="IN",E1340="C",E1340="Z",E1340="L"),J1340=4),VLOOKUP(_xlfn.MINIFS('FIRE TEX 5120'!$H$4:$H$40,'FIRE TEX 5120'!$H$4:$H$40,"&gt;="&amp;M1340),'FIRE TEX 5120'!$H$4:$M$40,IF(L1340="F-15",2,IF(L1340="F-30",3,IF(L1340="F-60",4,IF(L1340="F-90",5,IF(L1340="F-120",6,0))))),0),0)+IF(AND(O1340="FIRE TEX 5120",E1340="CJ"),VLOOKUP(_xlfn.MINIFS('FIRE TEX 5120'!$O$5:$O$40,'FIRE TEX 5120'!$O$5:$O$40,"&gt;="&amp;M1340),'FIRE TEX 5120'!$O$5:$T$40,IF(L1340="F-15",2,IF(L1340="F-30",3,IF(L1340="F-60",4,IF(L1340="F-90",5,IF(L1340="F-120",6,0))))),0),0)</f>
        <v>0</v>
      </c>
      <c r="Q1340" s="46">
        <f t="shared" si="124"/>
        <v>0</v>
      </c>
      <c r="R1340" s="46">
        <f t="shared" si="125"/>
        <v>0</v>
      </c>
      <c r="S1340" s="46" t="e">
        <f t="shared" si="126"/>
        <v>#VALUE!</v>
      </c>
      <c r="T1340" s="677">
        <f t="shared" si="127"/>
        <v>0</v>
      </c>
      <c r="U1340" s="80">
        <f>(IF(O1340="Stofire",(S1340*#REF!),0))+(IF(O1340="Fire Control",(S1340*$U$2),0))+(IF(O1340="Fire Tex",(S1340*$U$3),0))+(IF(O1340="WB7",(S1340*#REF!),0)+(IF(O1340="FX 2003",(S1340*$U$5),0)))</f>
        <v>0</v>
      </c>
      <c r="V1340" s="651">
        <f t="shared" si="128"/>
        <v>0</v>
      </c>
    </row>
    <row r="1341" spans="4:22" x14ac:dyDescent="0.25">
      <c r="D1341" s="118">
        <f>+CUBICACION!D1340</f>
        <v>0</v>
      </c>
      <c r="E1341" s="118">
        <f>+CUBICACION!F1340</f>
        <v>0</v>
      </c>
      <c r="F1341" s="118">
        <f>+CUBICACION!E1340</f>
        <v>0</v>
      </c>
      <c r="G1341" s="118">
        <v>12</v>
      </c>
      <c r="H1341" s="118">
        <v>2</v>
      </c>
      <c r="I1341" s="820">
        <v>26385</v>
      </c>
      <c r="J1341" s="118">
        <f>+CUBICACION!J1340</f>
        <v>0</v>
      </c>
      <c r="K1341" s="118">
        <v>4120</v>
      </c>
      <c r="L1341" s="118">
        <f>+CUBICACION!L1340</f>
        <v>0</v>
      </c>
      <c r="M1341" s="64">
        <f>+CUBICACION!M1340</f>
        <v>0</v>
      </c>
      <c r="N1341" s="824" t="str">
        <f>+CUBICACION!N1340</f>
        <v/>
      </c>
      <c r="O1341" s="675">
        <f>+CUBICACION!O1340</f>
        <v>0</v>
      </c>
      <c r="P1341" s="15">
        <f>IF(O1341="Fire Control",VLOOKUP(_xlfn.MINIFS('FIRE CONTROL'!$C$4:$C$37,'FIRE CONTROL'!$C$4:$C$37,"&gt;="&amp;M1341),'FIRE CONTROL'!$C$4:$G$37,IF(L1341="F-15",2,IF(L1341="F-30",3,IF(L1341="F-60",4,IF(L1341="F-90",5,0)))),0),0)+IF(AND(O1341="FIRE TEX 5062",OR(E1341="IN",E1341="C",E1341="Z",E1341="L"),J1341=3),VLOOKUP(_xlfn.MINIFS('FIRE TEX 5062'!$B$4:$B$34,'FIRE TEX 5062'!$B$4:$B$34,"&gt;="&amp;M1341),'FIRE TEX 5062'!$B$4:$F$34,IF(L1341="F-15",2,IF(L1341="F-30",3,IF(L1341="F-60",4,IF(L1341="F-90",5,0)))),0),0)+IF(AND(O1341="FIRE TEX 5062",OR(E1341="IN",E1341="C",E1341="Z",E1341="L"),J1341=4),VLOOKUP(_xlfn.MINIFS('FIRE TEX 5062'!$G$4:$G$34,'FIRE TEX 5062'!$G$4:$G$34,"&gt;="&amp;M1341),'FIRE TEX 5062'!$G$4:$K$34,IF(L1341="F-15",2,IF(L1341="F-30",3,IF(L1341="F-60",4,IF(L1341="F-90",5,0)))),0),0)+IF(AND(O1341="FIRE TEX 5062",E1341="CJ",J1341=3),VLOOKUP(_xlfn.MINIFS('FIRE TEX 5062'!$L$4:$L$34,'FIRE TEX 5062'!$L$4:$L$34,"&gt;="&amp;M1341),'FIRE TEX 5062'!$L$4:$P$34,IF(L1341="F-15",2,IF(L1341="F-30",3,IF(L1341="F-60",4,IF(L1341="F-90",5,0)))),0),0)+IF(AND(O1341="FIRE TEX 5062",E1341="CJ",J1341=4),VLOOKUP(_xlfn.MINIFS('FIRE TEX 5062'!$Q$3:$Q$34,'FIRE TEX 5062'!$Q$3:$Q$34,"&gt;="&amp;M1341),'FIRE TEX 5062'!$Q$3:$U$34,IF(L1341="F-15",2,IF(L1341="F-30",3,IF(L1341="F-60",4,IF(L1341="F-90",5,0)))),0),0)+IF(AND(O1341="FIRE TEX 5090",OR(E1341="IN",E1341="C",E1341="Z",E1341="L"),J1341=3),VLOOKUP(_xlfn.MINIFS('FIRE TEX 5090'!$B$5:$B$43,'FIRE TEX 5090'!$B$5:$B$43,"&gt;="&amp;M1341),'FIRE TEX 5090'!$B$5:$H$43,IF(L1341="F-15",2,IF(L1341="F-30",3,IF(L1341="F-60",4,IF(L1341="F-90",5,IF(L1341="F-120",6,IF(L1341="F-150",7,0)))))),0),0)+IF(AND(O1341="FIRE TEX 5090",OR(E1341="IN",E1341="C",E1341="Z",E1341="L"),J1341=4),VLOOKUP(_xlfn.MINIFS('FIRE TEX 5090'!$J$5:$J$43,'FIRE TEX 5090'!$J$5:$J$43,"&gt;="&amp;M1341),'FIRE TEX 5090'!$J$5:$P$43,IF(L1341="F-15",2,IF(L1341="F-30",3,IF(L1341="F-60",4,IF(L1341="F-90",5,IF(L1341="F-120",6,IF(L1341="F-150",7,0)))))),0),0)+IF(AND(O1341="FIRE TEX 5090",E1341="CJ",J1341=3),VLOOKUP(_xlfn.MINIFS('FIRE TEX 5090'!$R$5:$R$30,'FIRE TEX 5090'!$R$5:$R$30,"&gt;="&amp;M1341),'FIRE TEX 5090'!$R$5:$W$30,IF(L1341="F-15",2,IF(L1341="F-30",3,IF(L1341="F-60",4,IF(L1341="F-90",5,IF(L1341="F-120",6,IF(L1341="F-150",7,0)))))),0),0)+IF(AND(O1341="FIRE TEX 5090",E1341="CJ",J1341=4),VLOOKUP(_xlfn.MINIFS('FIRE TEX 5090'!$Y$5:$Y$39,'FIRE TEX 5090'!$Y$5:$Y$39,"&gt;="&amp;M1341),'FIRE TEX 5090'!$Y$5:$AD$39,IF(L1341="F-15",2,IF(L1341="F-30",3,IF(L1341="F-60",4,IF(L1341="F-90",5,IF(L1341="F-120",6,IF(L1341="F-150",7,0)))))),0),0)+IF(AND(O1341="FIRE TEX 5120",OR(E1341="IN",E1341="C",E1341="Z",E1341="L"),J1341=3),VLOOKUP(_xlfn.MINIFS('FIRE TEX 5120'!$B$5:$B$40,'FIRE TEX 5120'!$B$5:$B$40,"&gt;="&amp;M1341),'FIRE TEX 5120'!$B$5:$G$40,IF(L1341="F-15",2,IF(L1341="F-30",3,IF(L1341="F-60",4,IF(L1341="F-90",5,IF(L1341="F-120",6,0))))),0),0)+IF(AND(O1341="FIRE TEX 5120",OR(E1341="IN",E1341="C",E1341="Z",E1341="L"),J1341=4),VLOOKUP(_xlfn.MINIFS('FIRE TEX 5120'!$H$4:$H$40,'FIRE TEX 5120'!$H$4:$H$40,"&gt;="&amp;M1341),'FIRE TEX 5120'!$H$4:$M$40,IF(L1341="F-15",2,IF(L1341="F-30",3,IF(L1341="F-60",4,IF(L1341="F-90",5,IF(L1341="F-120",6,0))))),0),0)+IF(AND(O1341="FIRE TEX 5120",E1341="CJ"),VLOOKUP(_xlfn.MINIFS('FIRE TEX 5120'!$O$5:$O$40,'FIRE TEX 5120'!$O$5:$O$40,"&gt;="&amp;M1341),'FIRE TEX 5120'!$O$5:$T$40,IF(L1341="F-15",2,IF(L1341="F-30",3,IF(L1341="F-60",4,IF(L1341="F-90",5,IF(L1341="F-120",6,0))))),0),0)</f>
        <v>0</v>
      </c>
      <c r="Q1341" s="46">
        <f t="shared" si="124"/>
        <v>0</v>
      </c>
      <c r="R1341" s="46">
        <f t="shared" si="125"/>
        <v>0</v>
      </c>
      <c r="S1341" s="46" t="e">
        <f t="shared" si="126"/>
        <v>#VALUE!</v>
      </c>
      <c r="T1341" s="677">
        <f t="shared" si="127"/>
        <v>0</v>
      </c>
      <c r="U1341" s="80">
        <f>(IF(O1341="Stofire",(S1341*#REF!),0))+(IF(O1341="Fire Control",(S1341*$U$2),0))+(IF(O1341="Fire Tex",(S1341*$U$3),0))+(IF(O1341="WB7",(S1341*#REF!),0)+(IF(O1341="FX 2003",(S1341*$U$5),0)))</f>
        <v>0</v>
      </c>
      <c r="V1341" s="651">
        <f t="shared" si="128"/>
        <v>0</v>
      </c>
    </row>
    <row r="1342" spans="4:22" x14ac:dyDescent="0.25">
      <c r="D1342" s="118">
        <f>+CUBICACION!D1341</f>
        <v>0</v>
      </c>
      <c r="E1342" s="118">
        <f>+CUBICACION!F1341</f>
        <v>0</v>
      </c>
      <c r="F1342" s="118">
        <f>+CUBICACION!E1341</f>
        <v>0</v>
      </c>
      <c r="G1342" s="118">
        <v>12</v>
      </c>
      <c r="H1342" s="118">
        <v>2</v>
      </c>
      <c r="I1342" s="820">
        <v>26385</v>
      </c>
      <c r="J1342" s="118">
        <f>+CUBICACION!J1341</f>
        <v>0</v>
      </c>
      <c r="K1342" s="118">
        <v>4121</v>
      </c>
      <c r="L1342" s="118">
        <f>+CUBICACION!L1341</f>
        <v>0</v>
      </c>
      <c r="M1342" s="64">
        <f>+CUBICACION!M1341</f>
        <v>0</v>
      </c>
      <c r="N1342" s="824" t="str">
        <f>+CUBICACION!N1341</f>
        <v/>
      </c>
      <c r="O1342" s="675">
        <f>+CUBICACION!O1341</f>
        <v>0</v>
      </c>
      <c r="P1342" s="15">
        <f>IF(O1342="Fire Control",VLOOKUP(_xlfn.MINIFS('FIRE CONTROL'!$C$4:$C$37,'FIRE CONTROL'!$C$4:$C$37,"&gt;="&amp;M1342),'FIRE CONTROL'!$C$4:$G$37,IF(L1342="F-15",2,IF(L1342="F-30",3,IF(L1342="F-60",4,IF(L1342="F-90",5,0)))),0),0)+IF(AND(O1342="FIRE TEX 5062",OR(E1342="IN",E1342="C",E1342="Z",E1342="L"),J1342=3),VLOOKUP(_xlfn.MINIFS('FIRE TEX 5062'!$B$4:$B$34,'FIRE TEX 5062'!$B$4:$B$34,"&gt;="&amp;M1342),'FIRE TEX 5062'!$B$4:$F$34,IF(L1342="F-15",2,IF(L1342="F-30",3,IF(L1342="F-60",4,IF(L1342="F-90",5,0)))),0),0)+IF(AND(O1342="FIRE TEX 5062",OR(E1342="IN",E1342="C",E1342="Z",E1342="L"),J1342=4),VLOOKUP(_xlfn.MINIFS('FIRE TEX 5062'!$G$4:$G$34,'FIRE TEX 5062'!$G$4:$G$34,"&gt;="&amp;M1342),'FIRE TEX 5062'!$G$4:$K$34,IF(L1342="F-15",2,IF(L1342="F-30",3,IF(L1342="F-60",4,IF(L1342="F-90",5,0)))),0),0)+IF(AND(O1342="FIRE TEX 5062",E1342="CJ",J1342=3),VLOOKUP(_xlfn.MINIFS('FIRE TEX 5062'!$L$4:$L$34,'FIRE TEX 5062'!$L$4:$L$34,"&gt;="&amp;M1342),'FIRE TEX 5062'!$L$4:$P$34,IF(L1342="F-15",2,IF(L1342="F-30",3,IF(L1342="F-60",4,IF(L1342="F-90",5,0)))),0),0)+IF(AND(O1342="FIRE TEX 5062",E1342="CJ",J1342=4),VLOOKUP(_xlfn.MINIFS('FIRE TEX 5062'!$Q$3:$Q$34,'FIRE TEX 5062'!$Q$3:$Q$34,"&gt;="&amp;M1342),'FIRE TEX 5062'!$Q$3:$U$34,IF(L1342="F-15",2,IF(L1342="F-30",3,IF(L1342="F-60",4,IF(L1342="F-90",5,0)))),0),0)+IF(AND(O1342="FIRE TEX 5090",OR(E1342="IN",E1342="C",E1342="Z",E1342="L"),J1342=3),VLOOKUP(_xlfn.MINIFS('FIRE TEX 5090'!$B$5:$B$43,'FIRE TEX 5090'!$B$5:$B$43,"&gt;="&amp;M1342),'FIRE TEX 5090'!$B$5:$H$43,IF(L1342="F-15",2,IF(L1342="F-30",3,IF(L1342="F-60",4,IF(L1342="F-90",5,IF(L1342="F-120",6,IF(L1342="F-150",7,0)))))),0),0)+IF(AND(O1342="FIRE TEX 5090",OR(E1342="IN",E1342="C",E1342="Z",E1342="L"),J1342=4),VLOOKUP(_xlfn.MINIFS('FIRE TEX 5090'!$J$5:$J$43,'FIRE TEX 5090'!$J$5:$J$43,"&gt;="&amp;M1342),'FIRE TEX 5090'!$J$5:$P$43,IF(L1342="F-15",2,IF(L1342="F-30",3,IF(L1342="F-60",4,IF(L1342="F-90",5,IF(L1342="F-120",6,IF(L1342="F-150",7,0)))))),0),0)+IF(AND(O1342="FIRE TEX 5090",E1342="CJ",J1342=3),VLOOKUP(_xlfn.MINIFS('FIRE TEX 5090'!$R$5:$R$30,'FIRE TEX 5090'!$R$5:$R$30,"&gt;="&amp;M1342),'FIRE TEX 5090'!$R$5:$W$30,IF(L1342="F-15",2,IF(L1342="F-30",3,IF(L1342="F-60",4,IF(L1342="F-90",5,IF(L1342="F-120",6,IF(L1342="F-150",7,0)))))),0),0)+IF(AND(O1342="FIRE TEX 5090",E1342="CJ",J1342=4),VLOOKUP(_xlfn.MINIFS('FIRE TEX 5090'!$Y$5:$Y$39,'FIRE TEX 5090'!$Y$5:$Y$39,"&gt;="&amp;M1342),'FIRE TEX 5090'!$Y$5:$AD$39,IF(L1342="F-15",2,IF(L1342="F-30",3,IF(L1342="F-60",4,IF(L1342="F-90",5,IF(L1342="F-120",6,IF(L1342="F-150",7,0)))))),0),0)+IF(AND(O1342="FIRE TEX 5120",OR(E1342="IN",E1342="C",E1342="Z",E1342="L"),J1342=3),VLOOKUP(_xlfn.MINIFS('FIRE TEX 5120'!$B$5:$B$40,'FIRE TEX 5120'!$B$5:$B$40,"&gt;="&amp;M1342),'FIRE TEX 5120'!$B$5:$G$40,IF(L1342="F-15",2,IF(L1342="F-30",3,IF(L1342="F-60",4,IF(L1342="F-90",5,IF(L1342="F-120",6,0))))),0),0)+IF(AND(O1342="FIRE TEX 5120",OR(E1342="IN",E1342="C",E1342="Z",E1342="L"),J1342=4),VLOOKUP(_xlfn.MINIFS('FIRE TEX 5120'!$H$4:$H$40,'FIRE TEX 5120'!$H$4:$H$40,"&gt;="&amp;M1342),'FIRE TEX 5120'!$H$4:$M$40,IF(L1342="F-15",2,IF(L1342="F-30",3,IF(L1342="F-60",4,IF(L1342="F-90",5,IF(L1342="F-120",6,0))))),0),0)+IF(AND(O1342="FIRE TEX 5120",E1342="CJ"),VLOOKUP(_xlfn.MINIFS('FIRE TEX 5120'!$O$5:$O$40,'FIRE TEX 5120'!$O$5:$O$40,"&gt;="&amp;M1342),'FIRE TEX 5120'!$O$5:$T$40,IF(L1342="F-15",2,IF(L1342="F-30",3,IF(L1342="F-60",4,IF(L1342="F-90",5,IF(L1342="F-120",6,0))))),0),0)</f>
        <v>0</v>
      </c>
      <c r="Q1342" s="46">
        <f t="shared" si="124"/>
        <v>0</v>
      </c>
      <c r="R1342" s="46">
        <f t="shared" si="125"/>
        <v>0</v>
      </c>
      <c r="S1342" s="46" t="e">
        <f t="shared" si="126"/>
        <v>#VALUE!</v>
      </c>
      <c r="T1342" s="677">
        <f t="shared" si="127"/>
        <v>0</v>
      </c>
      <c r="U1342" s="80">
        <f>(IF(O1342="Stofire",(S1342*#REF!),0))+(IF(O1342="Fire Control",(S1342*$U$2),0))+(IF(O1342="Fire Tex",(S1342*$U$3),0))+(IF(O1342="WB7",(S1342*#REF!),0)+(IF(O1342="FX 2003",(S1342*$U$5),0)))</f>
        <v>0</v>
      </c>
      <c r="V1342" s="651">
        <f t="shared" si="128"/>
        <v>0</v>
      </c>
    </row>
    <row r="1343" spans="4:22" x14ac:dyDescent="0.25">
      <c r="D1343" s="118">
        <f>+CUBICACION!D1342</f>
        <v>0</v>
      </c>
      <c r="E1343" s="118">
        <f>+CUBICACION!F1342</f>
        <v>0</v>
      </c>
      <c r="F1343" s="118">
        <f>+CUBICACION!E1342</f>
        <v>0</v>
      </c>
      <c r="G1343" s="118">
        <v>12</v>
      </c>
      <c r="H1343" s="118">
        <v>2</v>
      </c>
      <c r="I1343" s="820">
        <v>26385</v>
      </c>
      <c r="J1343" s="118">
        <f>+CUBICACION!J1342</f>
        <v>0</v>
      </c>
      <c r="K1343" s="118">
        <v>4122</v>
      </c>
      <c r="L1343" s="118">
        <f>+CUBICACION!L1342</f>
        <v>0</v>
      </c>
      <c r="M1343" s="64">
        <f>+CUBICACION!M1342</f>
        <v>0</v>
      </c>
      <c r="N1343" s="824" t="str">
        <f>+CUBICACION!N1342</f>
        <v/>
      </c>
      <c r="O1343" s="675">
        <f>+CUBICACION!O1342</f>
        <v>0</v>
      </c>
      <c r="P1343" s="15">
        <f>IF(O1343="Fire Control",VLOOKUP(_xlfn.MINIFS('FIRE CONTROL'!$C$4:$C$37,'FIRE CONTROL'!$C$4:$C$37,"&gt;="&amp;M1343),'FIRE CONTROL'!$C$4:$G$37,IF(L1343="F-15",2,IF(L1343="F-30",3,IF(L1343="F-60",4,IF(L1343="F-90",5,0)))),0),0)+IF(AND(O1343="FIRE TEX 5062",OR(E1343="IN",E1343="C",E1343="Z",E1343="L"),J1343=3),VLOOKUP(_xlfn.MINIFS('FIRE TEX 5062'!$B$4:$B$34,'FIRE TEX 5062'!$B$4:$B$34,"&gt;="&amp;M1343),'FIRE TEX 5062'!$B$4:$F$34,IF(L1343="F-15",2,IF(L1343="F-30",3,IF(L1343="F-60",4,IF(L1343="F-90",5,0)))),0),0)+IF(AND(O1343="FIRE TEX 5062",OR(E1343="IN",E1343="C",E1343="Z",E1343="L"),J1343=4),VLOOKUP(_xlfn.MINIFS('FIRE TEX 5062'!$G$4:$G$34,'FIRE TEX 5062'!$G$4:$G$34,"&gt;="&amp;M1343),'FIRE TEX 5062'!$G$4:$K$34,IF(L1343="F-15",2,IF(L1343="F-30",3,IF(L1343="F-60",4,IF(L1343="F-90",5,0)))),0),0)+IF(AND(O1343="FIRE TEX 5062",E1343="CJ",J1343=3),VLOOKUP(_xlfn.MINIFS('FIRE TEX 5062'!$L$4:$L$34,'FIRE TEX 5062'!$L$4:$L$34,"&gt;="&amp;M1343),'FIRE TEX 5062'!$L$4:$P$34,IF(L1343="F-15",2,IF(L1343="F-30",3,IF(L1343="F-60",4,IF(L1343="F-90",5,0)))),0),0)+IF(AND(O1343="FIRE TEX 5062",E1343="CJ",J1343=4),VLOOKUP(_xlfn.MINIFS('FIRE TEX 5062'!$Q$3:$Q$34,'FIRE TEX 5062'!$Q$3:$Q$34,"&gt;="&amp;M1343),'FIRE TEX 5062'!$Q$3:$U$34,IF(L1343="F-15",2,IF(L1343="F-30",3,IF(L1343="F-60",4,IF(L1343="F-90",5,0)))),0),0)+IF(AND(O1343="FIRE TEX 5090",OR(E1343="IN",E1343="C",E1343="Z",E1343="L"),J1343=3),VLOOKUP(_xlfn.MINIFS('FIRE TEX 5090'!$B$5:$B$43,'FIRE TEX 5090'!$B$5:$B$43,"&gt;="&amp;M1343),'FIRE TEX 5090'!$B$5:$H$43,IF(L1343="F-15",2,IF(L1343="F-30",3,IF(L1343="F-60",4,IF(L1343="F-90",5,IF(L1343="F-120",6,IF(L1343="F-150",7,0)))))),0),0)+IF(AND(O1343="FIRE TEX 5090",OR(E1343="IN",E1343="C",E1343="Z",E1343="L"),J1343=4),VLOOKUP(_xlfn.MINIFS('FIRE TEX 5090'!$J$5:$J$43,'FIRE TEX 5090'!$J$5:$J$43,"&gt;="&amp;M1343),'FIRE TEX 5090'!$J$5:$P$43,IF(L1343="F-15",2,IF(L1343="F-30",3,IF(L1343="F-60",4,IF(L1343="F-90",5,IF(L1343="F-120",6,IF(L1343="F-150",7,0)))))),0),0)+IF(AND(O1343="FIRE TEX 5090",E1343="CJ",J1343=3),VLOOKUP(_xlfn.MINIFS('FIRE TEX 5090'!$R$5:$R$30,'FIRE TEX 5090'!$R$5:$R$30,"&gt;="&amp;M1343),'FIRE TEX 5090'!$R$5:$W$30,IF(L1343="F-15",2,IF(L1343="F-30",3,IF(L1343="F-60",4,IF(L1343="F-90",5,IF(L1343="F-120",6,IF(L1343="F-150",7,0)))))),0),0)+IF(AND(O1343="FIRE TEX 5090",E1343="CJ",J1343=4),VLOOKUP(_xlfn.MINIFS('FIRE TEX 5090'!$Y$5:$Y$39,'FIRE TEX 5090'!$Y$5:$Y$39,"&gt;="&amp;M1343),'FIRE TEX 5090'!$Y$5:$AD$39,IF(L1343="F-15",2,IF(L1343="F-30",3,IF(L1343="F-60",4,IF(L1343="F-90",5,IF(L1343="F-120",6,IF(L1343="F-150",7,0)))))),0),0)+IF(AND(O1343="FIRE TEX 5120",OR(E1343="IN",E1343="C",E1343="Z",E1343="L"),J1343=3),VLOOKUP(_xlfn.MINIFS('FIRE TEX 5120'!$B$5:$B$40,'FIRE TEX 5120'!$B$5:$B$40,"&gt;="&amp;M1343),'FIRE TEX 5120'!$B$5:$G$40,IF(L1343="F-15",2,IF(L1343="F-30",3,IF(L1343="F-60",4,IF(L1343="F-90",5,IF(L1343="F-120",6,0))))),0),0)+IF(AND(O1343="FIRE TEX 5120",OR(E1343="IN",E1343="C",E1343="Z",E1343="L"),J1343=4),VLOOKUP(_xlfn.MINIFS('FIRE TEX 5120'!$H$4:$H$40,'FIRE TEX 5120'!$H$4:$H$40,"&gt;="&amp;M1343),'FIRE TEX 5120'!$H$4:$M$40,IF(L1343="F-15",2,IF(L1343="F-30",3,IF(L1343="F-60",4,IF(L1343="F-90",5,IF(L1343="F-120",6,0))))),0),0)+IF(AND(O1343="FIRE TEX 5120",E1343="CJ"),VLOOKUP(_xlfn.MINIFS('FIRE TEX 5120'!$O$5:$O$40,'FIRE TEX 5120'!$O$5:$O$40,"&gt;="&amp;M1343),'FIRE TEX 5120'!$O$5:$T$40,IF(L1343="F-15",2,IF(L1343="F-30",3,IF(L1343="F-60",4,IF(L1343="F-90",5,IF(L1343="F-120",6,0))))),0),0)</f>
        <v>0</v>
      </c>
      <c r="Q1343" s="46">
        <f t="shared" si="124"/>
        <v>0</v>
      </c>
      <c r="R1343" s="46">
        <f t="shared" si="125"/>
        <v>0</v>
      </c>
      <c r="S1343" s="46" t="e">
        <f t="shared" si="126"/>
        <v>#VALUE!</v>
      </c>
      <c r="T1343" s="677">
        <f t="shared" si="127"/>
        <v>0</v>
      </c>
      <c r="U1343" s="80">
        <f>(IF(O1343="Stofire",(S1343*#REF!),0))+(IF(O1343="Fire Control",(S1343*$U$2),0))+(IF(O1343="Fire Tex",(S1343*$U$3),0))+(IF(O1343="WB7",(S1343*#REF!),0)+(IF(O1343="FX 2003",(S1343*$U$5),0)))</f>
        <v>0</v>
      </c>
      <c r="V1343" s="651">
        <f t="shared" si="128"/>
        <v>0</v>
      </c>
    </row>
    <row r="1344" spans="4:22" x14ac:dyDescent="0.25">
      <c r="D1344" s="118">
        <f>+CUBICACION!D1343</f>
        <v>0</v>
      </c>
      <c r="E1344" s="118">
        <f>+CUBICACION!F1343</f>
        <v>0</v>
      </c>
      <c r="F1344" s="118">
        <f>+CUBICACION!E1343</f>
        <v>0</v>
      </c>
      <c r="G1344" s="118">
        <v>12</v>
      </c>
      <c r="H1344" s="118">
        <v>2</v>
      </c>
      <c r="I1344" s="820">
        <v>26385</v>
      </c>
      <c r="J1344" s="118">
        <f>+CUBICACION!J1343</f>
        <v>0</v>
      </c>
      <c r="K1344" s="118">
        <v>4123</v>
      </c>
      <c r="L1344" s="118">
        <f>+CUBICACION!L1343</f>
        <v>0</v>
      </c>
      <c r="M1344" s="64">
        <f>+CUBICACION!M1343</f>
        <v>0</v>
      </c>
      <c r="N1344" s="824" t="str">
        <f>+CUBICACION!N1343</f>
        <v/>
      </c>
      <c r="O1344" s="675">
        <f>+CUBICACION!O1343</f>
        <v>0</v>
      </c>
      <c r="P1344" s="15">
        <f>IF(O1344="Fire Control",VLOOKUP(_xlfn.MINIFS('FIRE CONTROL'!$C$4:$C$37,'FIRE CONTROL'!$C$4:$C$37,"&gt;="&amp;M1344),'FIRE CONTROL'!$C$4:$G$37,IF(L1344="F-15",2,IF(L1344="F-30",3,IF(L1344="F-60",4,IF(L1344="F-90",5,0)))),0),0)+IF(AND(O1344="FIRE TEX 5062",OR(E1344="IN",E1344="C",E1344="Z",E1344="L"),J1344=3),VLOOKUP(_xlfn.MINIFS('FIRE TEX 5062'!$B$4:$B$34,'FIRE TEX 5062'!$B$4:$B$34,"&gt;="&amp;M1344),'FIRE TEX 5062'!$B$4:$F$34,IF(L1344="F-15",2,IF(L1344="F-30",3,IF(L1344="F-60",4,IF(L1344="F-90",5,0)))),0),0)+IF(AND(O1344="FIRE TEX 5062",OR(E1344="IN",E1344="C",E1344="Z",E1344="L"),J1344=4),VLOOKUP(_xlfn.MINIFS('FIRE TEX 5062'!$G$4:$G$34,'FIRE TEX 5062'!$G$4:$G$34,"&gt;="&amp;M1344),'FIRE TEX 5062'!$G$4:$K$34,IF(L1344="F-15",2,IF(L1344="F-30",3,IF(L1344="F-60",4,IF(L1344="F-90",5,0)))),0),0)+IF(AND(O1344="FIRE TEX 5062",E1344="CJ",J1344=3),VLOOKUP(_xlfn.MINIFS('FIRE TEX 5062'!$L$4:$L$34,'FIRE TEX 5062'!$L$4:$L$34,"&gt;="&amp;M1344),'FIRE TEX 5062'!$L$4:$P$34,IF(L1344="F-15",2,IF(L1344="F-30",3,IF(L1344="F-60",4,IF(L1344="F-90",5,0)))),0),0)+IF(AND(O1344="FIRE TEX 5062",E1344="CJ",J1344=4),VLOOKUP(_xlfn.MINIFS('FIRE TEX 5062'!$Q$3:$Q$34,'FIRE TEX 5062'!$Q$3:$Q$34,"&gt;="&amp;M1344),'FIRE TEX 5062'!$Q$3:$U$34,IF(L1344="F-15",2,IF(L1344="F-30",3,IF(L1344="F-60",4,IF(L1344="F-90",5,0)))),0),0)+IF(AND(O1344="FIRE TEX 5090",OR(E1344="IN",E1344="C",E1344="Z",E1344="L"),J1344=3),VLOOKUP(_xlfn.MINIFS('FIRE TEX 5090'!$B$5:$B$43,'FIRE TEX 5090'!$B$5:$B$43,"&gt;="&amp;M1344),'FIRE TEX 5090'!$B$5:$H$43,IF(L1344="F-15",2,IF(L1344="F-30",3,IF(L1344="F-60",4,IF(L1344="F-90",5,IF(L1344="F-120",6,IF(L1344="F-150",7,0)))))),0),0)+IF(AND(O1344="FIRE TEX 5090",OR(E1344="IN",E1344="C",E1344="Z",E1344="L"),J1344=4),VLOOKUP(_xlfn.MINIFS('FIRE TEX 5090'!$J$5:$J$43,'FIRE TEX 5090'!$J$5:$J$43,"&gt;="&amp;M1344),'FIRE TEX 5090'!$J$5:$P$43,IF(L1344="F-15",2,IF(L1344="F-30",3,IF(L1344="F-60",4,IF(L1344="F-90",5,IF(L1344="F-120",6,IF(L1344="F-150",7,0)))))),0),0)+IF(AND(O1344="FIRE TEX 5090",E1344="CJ",J1344=3),VLOOKUP(_xlfn.MINIFS('FIRE TEX 5090'!$R$5:$R$30,'FIRE TEX 5090'!$R$5:$R$30,"&gt;="&amp;M1344),'FIRE TEX 5090'!$R$5:$W$30,IF(L1344="F-15",2,IF(L1344="F-30",3,IF(L1344="F-60",4,IF(L1344="F-90",5,IF(L1344="F-120",6,IF(L1344="F-150",7,0)))))),0),0)+IF(AND(O1344="FIRE TEX 5090",E1344="CJ",J1344=4),VLOOKUP(_xlfn.MINIFS('FIRE TEX 5090'!$Y$5:$Y$39,'FIRE TEX 5090'!$Y$5:$Y$39,"&gt;="&amp;M1344),'FIRE TEX 5090'!$Y$5:$AD$39,IF(L1344="F-15",2,IF(L1344="F-30",3,IF(L1344="F-60",4,IF(L1344="F-90",5,IF(L1344="F-120",6,IF(L1344="F-150",7,0)))))),0),0)+IF(AND(O1344="FIRE TEX 5120",OR(E1344="IN",E1344="C",E1344="Z",E1344="L"),J1344=3),VLOOKUP(_xlfn.MINIFS('FIRE TEX 5120'!$B$5:$B$40,'FIRE TEX 5120'!$B$5:$B$40,"&gt;="&amp;M1344),'FIRE TEX 5120'!$B$5:$G$40,IF(L1344="F-15",2,IF(L1344="F-30",3,IF(L1344="F-60",4,IF(L1344="F-90",5,IF(L1344="F-120",6,0))))),0),0)+IF(AND(O1344="FIRE TEX 5120",OR(E1344="IN",E1344="C",E1344="Z",E1344="L"),J1344=4),VLOOKUP(_xlfn.MINIFS('FIRE TEX 5120'!$H$4:$H$40,'FIRE TEX 5120'!$H$4:$H$40,"&gt;="&amp;M1344),'FIRE TEX 5120'!$H$4:$M$40,IF(L1344="F-15",2,IF(L1344="F-30",3,IF(L1344="F-60",4,IF(L1344="F-90",5,IF(L1344="F-120",6,0))))),0),0)+IF(AND(O1344="FIRE TEX 5120",E1344="CJ"),VLOOKUP(_xlfn.MINIFS('FIRE TEX 5120'!$O$5:$O$40,'FIRE TEX 5120'!$O$5:$O$40,"&gt;="&amp;M1344),'FIRE TEX 5120'!$O$5:$T$40,IF(L1344="F-15",2,IF(L1344="F-30",3,IF(L1344="F-60",4,IF(L1344="F-90",5,IF(L1344="F-120",6,0))))),0),0)</f>
        <v>0</v>
      </c>
      <c r="Q1344" s="46">
        <f t="shared" si="124"/>
        <v>0</v>
      </c>
      <c r="R1344" s="46">
        <f t="shared" si="125"/>
        <v>0</v>
      </c>
      <c r="S1344" s="46" t="e">
        <f t="shared" si="126"/>
        <v>#VALUE!</v>
      </c>
      <c r="T1344" s="677">
        <f t="shared" si="127"/>
        <v>0</v>
      </c>
      <c r="U1344" s="80">
        <f>(IF(O1344="Stofire",(S1344*#REF!),0))+(IF(O1344="Fire Control",(S1344*$U$2),0))+(IF(O1344="Fire Tex",(S1344*$U$3),0))+(IF(O1344="WB7",(S1344*#REF!),0)+(IF(O1344="FX 2003",(S1344*$U$5),0)))</f>
        <v>0</v>
      </c>
      <c r="V1344" s="651">
        <f t="shared" si="128"/>
        <v>0</v>
      </c>
    </row>
    <row r="1345" spans="4:22" x14ac:dyDescent="0.25">
      <c r="D1345" s="118">
        <f>+CUBICACION!D1344</f>
        <v>0</v>
      </c>
      <c r="E1345" s="118">
        <f>+CUBICACION!F1344</f>
        <v>0</v>
      </c>
      <c r="F1345" s="118">
        <f>+CUBICACION!E1344</f>
        <v>0</v>
      </c>
      <c r="G1345" s="118">
        <v>12</v>
      </c>
      <c r="H1345" s="118">
        <v>2</v>
      </c>
      <c r="I1345" s="820">
        <v>26385</v>
      </c>
      <c r="J1345" s="118">
        <f>+CUBICACION!J1344</f>
        <v>0</v>
      </c>
      <c r="K1345" s="118">
        <v>4124</v>
      </c>
      <c r="L1345" s="118">
        <f>+CUBICACION!L1344</f>
        <v>0</v>
      </c>
      <c r="M1345" s="64">
        <f>+CUBICACION!M1344</f>
        <v>0</v>
      </c>
      <c r="N1345" s="824" t="str">
        <f>+CUBICACION!N1344</f>
        <v/>
      </c>
      <c r="O1345" s="675">
        <f>+CUBICACION!O1344</f>
        <v>0</v>
      </c>
      <c r="P1345" s="15">
        <f>IF(O1345="Fire Control",VLOOKUP(_xlfn.MINIFS('FIRE CONTROL'!$C$4:$C$37,'FIRE CONTROL'!$C$4:$C$37,"&gt;="&amp;M1345),'FIRE CONTROL'!$C$4:$G$37,IF(L1345="F-15",2,IF(L1345="F-30",3,IF(L1345="F-60",4,IF(L1345="F-90",5,0)))),0),0)+IF(AND(O1345="FIRE TEX 5062",OR(E1345="IN",E1345="C",E1345="Z",E1345="L"),J1345=3),VLOOKUP(_xlfn.MINIFS('FIRE TEX 5062'!$B$4:$B$34,'FIRE TEX 5062'!$B$4:$B$34,"&gt;="&amp;M1345),'FIRE TEX 5062'!$B$4:$F$34,IF(L1345="F-15",2,IF(L1345="F-30",3,IF(L1345="F-60",4,IF(L1345="F-90",5,0)))),0),0)+IF(AND(O1345="FIRE TEX 5062",OR(E1345="IN",E1345="C",E1345="Z",E1345="L"),J1345=4),VLOOKUP(_xlfn.MINIFS('FIRE TEX 5062'!$G$4:$G$34,'FIRE TEX 5062'!$G$4:$G$34,"&gt;="&amp;M1345),'FIRE TEX 5062'!$G$4:$K$34,IF(L1345="F-15",2,IF(L1345="F-30",3,IF(L1345="F-60",4,IF(L1345="F-90",5,0)))),0),0)+IF(AND(O1345="FIRE TEX 5062",E1345="CJ",J1345=3),VLOOKUP(_xlfn.MINIFS('FIRE TEX 5062'!$L$4:$L$34,'FIRE TEX 5062'!$L$4:$L$34,"&gt;="&amp;M1345),'FIRE TEX 5062'!$L$4:$P$34,IF(L1345="F-15",2,IF(L1345="F-30",3,IF(L1345="F-60",4,IF(L1345="F-90",5,0)))),0),0)+IF(AND(O1345="FIRE TEX 5062",E1345="CJ",J1345=4),VLOOKUP(_xlfn.MINIFS('FIRE TEX 5062'!$Q$3:$Q$34,'FIRE TEX 5062'!$Q$3:$Q$34,"&gt;="&amp;M1345),'FIRE TEX 5062'!$Q$3:$U$34,IF(L1345="F-15",2,IF(L1345="F-30",3,IF(L1345="F-60",4,IF(L1345="F-90",5,0)))),0),0)+IF(AND(O1345="FIRE TEX 5090",OR(E1345="IN",E1345="C",E1345="Z",E1345="L"),J1345=3),VLOOKUP(_xlfn.MINIFS('FIRE TEX 5090'!$B$5:$B$43,'FIRE TEX 5090'!$B$5:$B$43,"&gt;="&amp;M1345),'FIRE TEX 5090'!$B$5:$H$43,IF(L1345="F-15",2,IF(L1345="F-30",3,IF(L1345="F-60",4,IF(L1345="F-90",5,IF(L1345="F-120",6,IF(L1345="F-150",7,0)))))),0),0)+IF(AND(O1345="FIRE TEX 5090",OR(E1345="IN",E1345="C",E1345="Z",E1345="L"),J1345=4),VLOOKUP(_xlfn.MINIFS('FIRE TEX 5090'!$J$5:$J$43,'FIRE TEX 5090'!$J$5:$J$43,"&gt;="&amp;M1345),'FIRE TEX 5090'!$J$5:$P$43,IF(L1345="F-15",2,IF(L1345="F-30",3,IF(L1345="F-60",4,IF(L1345="F-90",5,IF(L1345="F-120",6,IF(L1345="F-150",7,0)))))),0),0)+IF(AND(O1345="FIRE TEX 5090",E1345="CJ",J1345=3),VLOOKUP(_xlfn.MINIFS('FIRE TEX 5090'!$R$5:$R$30,'FIRE TEX 5090'!$R$5:$R$30,"&gt;="&amp;M1345),'FIRE TEX 5090'!$R$5:$W$30,IF(L1345="F-15",2,IF(L1345="F-30",3,IF(L1345="F-60",4,IF(L1345="F-90",5,IF(L1345="F-120",6,IF(L1345="F-150",7,0)))))),0),0)+IF(AND(O1345="FIRE TEX 5090",E1345="CJ",J1345=4),VLOOKUP(_xlfn.MINIFS('FIRE TEX 5090'!$Y$5:$Y$39,'FIRE TEX 5090'!$Y$5:$Y$39,"&gt;="&amp;M1345),'FIRE TEX 5090'!$Y$5:$AD$39,IF(L1345="F-15",2,IF(L1345="F-30",3,IF(L1345="F-60",4,IF(L1345="F-90",5,IF(L1345="F-120",6,IF(L1345="F-150",7,0)))))),0),0)+IF(AND(O1345="FIRE TEX 5120",OR(E1345="IN",E1345="C",E1345="Z",E1345="L"),J1345=3),VLOOKUP(_xlfn.MINIFS('FIRE TEX 5120'!$B$5:$B$40,'FIRE TEX 5120'!$B$5:$B$40,"&gt;="&amp;M1345),'FIRE TEX 5120'!$B$5:$G$40,IF(L1345="F-15",2,IF(L1345="F-30",3,IF(L1345="F-60",4,IF(L1345="F-90",5,IF(L1345="F-120",6,0))))),0),0)+IF(AND(O1345="FIRE TEX 5120",OR(E1345="IN",E1345="C",E1345="Z",E1345="L"),J1345=4),VLOOKUP(_xlfn.MINIFS('FIRE TEX 5120'!$H$4:$H$40,'FIRE TEX 5120'!$H$4:$H$40,"&gt;="&amp;M1345),'FIRE TEX 5120'!$H$4:$M$40,IF(L1345="F-15",2,IF(L1345="F-30",3,IF(L1345="F-60",4,IF(L1345="F-90",5,IF(L1345="F-120",6,0))))),0),0)+IF(AND(O1345="FIRE TEX 5120",E1345="CJ"),VLOOKUP(_xlfn.MINIFS('FIRE TEX 5120'!$O$5:$O$40,'FIRE TEX 5120'!$O$5:$O$40,"&gt;="&amp;M1345),'FIRE TEX 5120'!$O$5:$T$40,IF(L1345="F-15",2,IF(L1345="F-30",3,IF(L1345="F-60",4,IF(L1345="F-90",5,IF(L1345="F-120",6,0))))),0),0)</f>
        <v>0</v>
      </c>
      <c r="Q1345" s="46">
        <f t="shared" si="124"/>
        <v>0</v>
      </c>
      <c r="R1345" s="46">
        <f t="shared" si="125"/>
        <v>0</v>
      </c>
      <c r="S1345" s="46" t="e">
        <f t="shared" si="126"/>
        <v>#VALUE!</v>
      </c>
      <c r="T1345" s="677">
        <f t="shared" si="127"/>
        <v>0</v>
      </c>
      <c r="U1345" s="80">
        <f>(IF(O1345="Stofire",(S1345*#REF!),0))+(IF(O1345="Fire Control",(S1345*$U$2),0))+(IF(O1345="Fire Tex",(S1345*$U$3),0))+(IF(O1345="WB7",(S1345*#REF!),0)+(IF(O1345="FX 2003",(S1345*$U$5),0)))</f>
        <v>0</v>
      </c>
      <c r="V1345" s="651">
        <f t="shared" si="128"/>
        <v>0</v>
      </c>
    </row>
    <row r="1346" spans="4:22" x14ac:dyDescent="0.25">
      <c r="D1346" s="118">
        <f>+CUBICACION!D1345</f>
        <v>0</v>
      </c>
      <c r="E1346" s="118">
        <f>+CUBICACION!F1345</f>
        <v>0</v>
      </c>
      <c r="F1346" s="118">
        <f>+CUBICACION!E1345</f>
        <v>0</v>
      </c>
      <c r="G1346" s="118">
        <v>12</v>
      </c>
      <c r="H1346" s="118">
        <v>2</v>
      </c>
      <c r="I1346" s="820">
        <v>26385</v>
      </c>
      <c r="J1346" s="118">
        <f>+CUBICACION!J1345</f>
        <v>0</v>
      </c>
      <c r="K1346" s="118">
        <v>4125</v>
      </c>
      <c r="L1346" s="118">
        <f>+CUBICACION!L1345</f>
        <v>0</v>
      </c>
      <c r="M1346" s="64">
        <f>+CUBICACION!M1345</f>
        <v>0</v>
      </c>
      <c r="N1346" s="824" t="str">
        <f>+CUBICACION!N1345</f>
        <v/>
      </c>
      <c r="O1346" s="675">
        <f>+CUBICACION!O1345</f>
        <v>0</v>
      </c>
      <c r="P1346" s="15">
        <f>IF(O1346="Fire Control",VLOOKUP(_xlfn.MINIFS('FIRE CONTROL'!$C$4:$C$37,'FIRE CONTROL'!$C$4:$C$37,"&gt;="&amp;M1346),'FIRE CONTROL'!$C$4:$G$37,IF(L1346="F-15",2,IF(L1346="F-30",3,IF(L1346="F-60",4,IF(L1346="F-90",5,0)))),0),0)+IF(AND(O1346="FIRE TEX 5062",OR(E1346="IN",E1346="C",E1346="Z",E1346="L"),J1346=3),VLOOKUP(_xlfn.MINIFS('FIRE TEX 5062'!$B$4:$B$34,'FIRE TEX 5062'!$B$4:$B$34,"&gt;="&amp;M1346),'FIRE TEX 5062'!$B$4:$F$34,IF(L1346="F-15",2,IF(L1346="F-30",3,IF(L1346="F-60",4,IF(L1346="F-90",5,0)))),0),0)+IF(AND(O1346="FIRE TEX 5062",OR(E1346="IN",E1346="C",E1346="Z",E1346="L"),J1346=4),VLOOKUP(_xlfn.MINIFS('FIRE TEX 5062'!$G$4:$G$34,'FIRE TEX 5062'!$G$4:$G$34,"&gt;="&amp;M1346),'FIRE TEX 5062'!$G$4:$K$34,IF(L1346="F-15",2,IF(L1346="F-30",3,IF(L1346="F-60",4,IF(L1346="F-90",5,0)))),0),0)+IF(AND(O1346="FIRE TEX 5062",E1346="CJ",J1346=3),VLOOKUP(_xlfn.MINIFS('FIRE TEX 5062'!$L$4:$L$34,'FIRE TEX 5062'!$L$4:$L$34,"&gt;="&amp;M1346),'FIRE TEX 5062'!$L$4:$P$34,IF(L1346="F-15",2,IF(L1346="F-30",3,IF(L1346="F-60",4,IF(L1346="F-90",5,0)))),0),0)+IF(AND(O1346="FIRE TEX 5062",E1346="CJ",J1346=4),VLOOKUP(_xlfn.MINIFS('FIRE TEX 5062'!$Q$3:$Q$34,'FIRE TEX 5062'!$Q$3:$Q$34,"&gt;="&amp;M1346),'FIRE TEX 5062'!$Q$3:$U$34,IF(L1346="F-15",2,IF(L1346="F-30",3,IF(L1346="F-60",4,IF(L1346="F-90",5,0)))),0),0)+IF(AND(O1346="FIRE TEX 5090",OR(E1346="IN",E1346="C",E1346="Z",E1346="L"),J1346=3),VLOOKUP(_xlfn.MINIFS('FIRE TEX 5090'!$B$5:$B$43,'FIRE TEX 5090'!$B$5:$B$43,"&gt;="&amp;M1346),'FIRE TEX 5090'!$B$5:$H$43,IF(L1346="F-15",2,IF(L1346="F-30",3,IF(L1346="F-60",4,IF(L1346="F-90",5,IF(L1346="F-120",6,IF(L1346="F-150",7,0)))))),0),0)+IF(AND(O1346="FIRE TEX 5090",OR(E1346="IN",E1346="C",E1346="Z",E1346="L"),J1346=4),VLOOKUP(_xlfn.MINIFS('FIRE TEX 5090'!$J$5:$J$43,'FIRE TEX 5090'!$J$5:$J$43,"&gt;="&amp;M1346),'FIRE TEX 5090'!$J$5:$P$43,IF(L1346="F-15",2,IF(L1346="F-30",3,IF(L1346="F-60",4,IF(L1346="F-90",5,IF(L1346="F-120",6,IF(L1346="F-150",7,0)))))),0),0)+IF(AND(O1346="FIRE TEX 5090",E1346="CJ",J1346=3),VLOOKUP(_xlfn.MINIFS('FIRE TEX 5090'!$R$5:$R$30,'FIRE TEX 5090'!$R$5:$R$30,"&gt;="&amp;M1346),'FIRE TEX 5090'!$R$5:$W$30,IF(L1346="F-15",2,IF(L1346="F-30",3,IF(L1346="F-60",4,IF(L1346="F-90",5,IF(L1346="F-120",6,IF(L1346="F-150",7,0)))))),0),0)+IF(AND(O1346="FIRE TEX 5090",E1346="CJ",J1346=4),VLOOKUP(_xlfn.MINIFS('FIRE TEX 5090'!$Y$5:$Y$39,'FIRE TEX 5090'!$Y$5:$Y$39,"&gt;="&amp;M1346),'FIRE TEX 5090'!$Y$5:$AD$39,IF(L1346="F-15",2,IF(L1346="F-30",3,IF(L1346="F-60",4,IF(L1346="F-90",5,IF(L1346="F-120",6,IF(L1346="F-150",7,0)))))),0),0)+IF(AND(O1346="FIRE TEX 5120",OR(E1346="IN",E1346="C",E1346="Z",E1346="L"),J1346=3),VLOOKUP(_xlfn.MINIFS('FIRE TEX 5120'!$B$5:$B$40,'FIRE TEX 5120'!$B$5:$B$40,"&gt;="&amp;M1346),'FIRE TEX 5120'!$B$5:$G$40,IF(L1346="F-15",2,IF(L1346="F-30",3,IF(L1346="F-60",4,IF(L1346="F-90",5,IF(L1346="F-120",6,0))))),0),0)+IF(AND(O1346="FIRE TEX 5120",OR(E1346="IN",E1346="C",E1346="Z",E1346="L"),J1346=4),VLOOKUP(_xlfn.MINIFS('FIRE TEX 5120'!$H$4:$H$40,'FIRE TEX 5120'!$H$4:$H$40,"&gt;="&amp;M1346),'FIRE TEX 5120'!$H$4:$M$40,IF(L1346="F-15",2,IF(L1346="F-30",3,IF(L1346="F-60",4,IF(L1346="F-90",5,IF(L1346="F-120",6,0))))),0),0)+IF(AND(O1346="FIRE TEX 5120",E1346="CJ"),VLOOKUP(_xlfn.MINIFS('FIRE TEX 5120'!$O$5:$O$40,'FIRE TEX 5120'!$O$5:$O$40,"&gt;="&amp;M1346),'FIRE TEX 5120'!$O$5:$T$40,IF(L1346="F-15",2,IF(L1346="F-30",3,IF(L1346="F-60",4,IF(L1346="F-90",5,IF(L1346="F-120",6,0))))),0),0)</f>
        <v>0</v>
      </c>
      <c r="Q1346" s="46">
        <f t="shared" si="124"/>
        <v>0</v>
      </c>
      <c r="R1346" s="46">
        <f t="shared" si="125"/>
        <v>0</v>
      </c>
      <c r="S1346" s="46" t="e">
        <f t="shared" si="126"/>
        <v>#VALUE!</v>
      </c>
      <c r="T1346" s="677">
        <f t="shared" si="127"/>
        <v>0</v>
      </c>
      <c r="U1346" s="80">
        <f>(IF(O1346="Stofire",(S1346*#REF!),0))+(IF(O1346="Fire Control",(S1346*$U$2),0))+(IF(O1346="Fire Tex",(S1346*$U$3),0))+(IF(O1346="WB7",(S1346*#REF!),0)+(IF(O1346="FX 2003",(S1346*$U$5),0)))</f>
        <v>0</v>
      </c>
      <c r="V1346" s="651">
        <f t="shared" si="128"/>
        <v>0</v>
      </c>
    </row>
    <row r="1347" spans="4:22" x14ac:dyDescent="0.25">
      <c r="D1347" s="118">
        <f>+CUBICACION!D1346</f>
        <v>0</v>
      </c>
      <c r="E1347" s="118">
        <f>+CUBICACION!F1346</f>
        <v>0</v>
      </c>
      <c r="F1347" s="118">
        <f>+CUBICACION!E1346</f>
        <v>0</v>
      </c>
      <c r="G1347" s="118">
        <v>12</v>
      </c>
      <c r="H1347" s="118">
        <v>2</v>
      </c>
      <c r="I1347" s="820">
        <v>26385</v>
      </c>
      <c r="J1347" s="118">
        <f>+CUBICACION!J1346</f>
        <v>0</v>
      </c>
      <c r="K1347" s="118">
        <v>4126</v>
      </c>
      <c r="L1347" s="118">
        <f>+CUBICACION!L1346</f>
        <v>0</v>
      </c>
      <c r="M1347" s="64">
        <f>+CUBICACION!M1346</f>
        <v>0</v>
      </c>
      <c r="N1347" s="824" t="str">
        <f>+CUBICACION!N1346</f>
        <v/>
      </c>
      <c r="O1347" s="675">
        <f>+CUBICACION!O1346</f>
        <v>0</v>
      </c>
      <c r="P1347" s="15">
        <f>IF(O1347="Fire Control",VLOOKUP(_xlfn.MINIFS('FIRE CONTROL'!$C$4:$C$37,'FIRE CONTROL'!$C$4:$C$37,"&gt;="&amp;M1347),'FIRE CONTROL'!$C$4:$G$37,IF(L1347="F-15",2,IF(L1347="F-30",3,IF(L1347="F-60",4,IF(L1347="F-90",5,0)))),0),0)+IF(AND(O1347="FIRE TEX 5062",OR(E1347="IN",E1347="C",E1347="Z",E1347="L"),J1347=3),VLOOKUP(_xlfn.MINIFS('FIRE TEX 5062'!$B$4:$B$34,'FIRE TEX 5062'!$B$4:$B$34,"&gt;="&amp;M1347),'FIRE TEX 5062'!$B$4:$F$34,IF(L1347="F-15",2,IF(L1347="F-30",3,IF(L1347="F-60",4,IF(L1347="F-90",5,0)))),0),0)+IF(AND(O1347="FIRE TEX 5062",OR(E1347="IN",E1347="C",E1347="Z",E1347="L"),J1347=4),VLOOKUP(_xlfn.MINIFS('FIRE TEX 5062'!$G$4:$G$34,'FIRE TEX 5062'!$G$4:$G$34,"&gt;="&amp;M1347),'FIRE TEX 5062'!$G$4:$K$34,IF(L1347="F-15",2,IF(L1347="F-30",3,IF(L1347="F-60",4,IF(L1347="F-90",5,0)))),0),0)+IF(AND(O1347="FIRE TEX 5062",E1347="CJ",J1347=3),VLOOKUP(_xlfn.MINIFS('FIRE TEX 5062'!$L$4:$L$34,'FIRE TEX 5062'!$L$4:$L$34,"&gt;="&amp;M1347),'FIRE TEX 5062'!$L$4:$P$34,IF(L1347="F-15",2,IF(L1347="F-30",3,IF(L1347="F-60",4,IF(L1347="F-90",5,0)))),0),0)+IF(AND(O1347="FIRE TEX 5062",E1347="CJ",J1347=4),VLOOKUP(_xlfn.MINIFS('FIRE TEX 5062'!$Q$3:$Q$34,'FIRE TEX 5062'!$Q$3:$Q$34,"&gt;="&amp;M1347),'FIRE TEX 5062'!$Q$3:$U$34,IF(L1347="F-15",2,IF(L1347="F-30",3,IF(L1347="F-60",4,IF(L1347="F-90",5,0)))),0),0)+IF(AND(O1347="FIRE TEX 5090",OR(E1347="IN",E1347="C",E1347="Z",E1347="L"),J1347=3),VLOOKUP(_xlfn.MINIFS('FIRE TEX 5090'!$B$5:$B$43,'FIRE TEX 5090'!$B$5:$B$43,"&gt;="&amp;M1347),'FIRE TEX 5090'!$B$5:$H$43,IF(L1347="F-15",2,IF(L1347="F-30",3,IF(L1347="F-60",4,IF(L1347="F-90",5,IF(L1347="F-120",6,IF(L1347="F-150",7,0)))))),0),0)+IF(AND(O1347="FIRE TEX 5090",OR(E1347="IN",E1347="C",E1347="Z",E1347="L"),J1347=4),VLOOKUP(_xlfn.MINIFS('FIRE TEX 5090'!$J$5:$J$43,'FIRE TEX 5090'!$J$5:$J$43,"&gt;="&amp;M1347),'FIRE TEX 5090'!$J$5:$P$43,IF(L1347="F-15",2,IF(L1347="F-30",3,IF(L1347="F-60",4,IF(L1347="F-90",5,IF(L1347="F-120",6,IF(L1347="F-150",7,0)))))),0),0)+IF(AND(O1347="FIRE TEX 5090",E1347="CJ",J1347=3),VLOOKUP(_xlfn.MINIFS('FIRE TEX 5090'!$R$5:$R$30,'FIRE TEX 5090'!$R$5:$R$30,"&gt;="&amp;M1347),'FIRE TEX 5090'!$R$5:$W$30,IF(L1347="F-15",2,IF(L1347="F-30",3,IF(L1347="F-60",4,IF(L1347="F-90",5,IF(L1347="F-120",6,IF(L1347="F-150",7,0)))))),0),0)+IF(AND(O1347="FIRE TEX 5090",E1347="CJ",J1347=4),VLOOKUP(_xlfn.MINIFS('FIRE TEX 5090'!$Y$5:$Y$39,'FIRE TEX 5090'!$Y$5:$Y$39,"&gt;="&amp;M1347),'FIRE TEX 5090'!$Y$5:$AD$39,IF(L1347="F-15",2,IF(L1347="F-30",3,IF(L1347="F-60",4,IF(L1347="F-90",5,IF(L1347="F-120",6,IF(L1347="F-150",7,0)))))),0),0)+IF(AND(O1347="FIRE TEX 5120",OR(E1347="IN",E1347="C",E1347="Z",E1347="L"),J1347=3),VLOOKUP(_xlfn.MINIFS('FIRE TEX 5120'!$B$5:$B$40,'FIRE TEX 5120'!$B$5:$B$40,"&gt;="&amp;M1347),'FIRE TEX 5120'!$B$5:$G$40,IF(L1347="F-15",2,IF(L1347="F-30",3,IF(L1347="F-60",4,IF(L1347="F-90",5,IF(L1347="F-120",6,0))))),0),0)+IF(AND(O1347="FIRE TEX 5120",OR(E1347="IN",E1347="C",E1347="Z",E1347="L"),J1347=4),VLOOKUP(_xlfn.MINIFS('FIRE TEX 5120'!$H$4:$H$40,'FIRE TEX 5120'!$H$4:$H$40,"&gt;="&amp;M1347),'FIRE TEX 5120'!$H$4:$M$40,IF(L1347="F-15",2,IF(L1347="F-30",3,IF(L1347="F-60",4,IF(L1347="F-90",5,IF(L1347="F-120",6,0))))),0),0)+IF(AND(O1347="FIRE TEX 5120",E1347="CJ"),VLOOKUP(_xlfn.MINIFS('FIRE TEX 5120'!$O$5:$O$40,'FIRE TEX 5120'!$O$5:$O$40,"&gt;="&amp;M1347),'FIRE TEX 5120'!$O$5:$T$40,IF(L1347="F-15",2,IF(L1347="F-30",3,IF(L1347="F-60",4,IF(L1347="F-90",5,IF(L1347="F-120",6,0))))),0),0)</f>
        <v>0</v>
      </c>
      <c r="Q1347" s="46">
        <f t="shared" si="124"/>
        <v>0</v>
      </c>
      <c r="R1347" s="46">
        <f t="shared" si="125"/>
        <v>0</v>
      </c>
      <c r="S1347" s="46" t="e">
        <f t="shared" si="126"/>
        <v>#VALUE!</v>
      </c>
      <c r="T1347" s="677">
        <f t="shared" si="127"/>
        <v>0</v>
      </c>
      <c r="U1347" s="80">
        <f>(IF(O1347="Stofire",(S1347*#REF!),0))+(IF(O1347="Fire Control",(S1347*$U$2),0))+(IF(O1347="Fire Tex",(S1347*$U$3),0))+(IF(O1347="WB7",(S1347*#REF!),0)+(IF(O1347="FX 2003",(S1347*$U$5),0)))</f>
        <v>0</v>
      </c>
      <c r="V1347" s="651">
        <f t="shared" si="128"/>
        <v>0</v>
      </c>
    </row>
    <row r="1348" spans="4:22" x14ac:dyDescent="0.25">
      <c r="D1348" s="118">
        <f>+CUBICACION!D1347</f>
        <v>0</v>
      </c>
      <c r="E1348" s="118">
        <f>+CUBICACION!F1347</f>
        <v>0</v>
      </c>
      <c r="F1348" s="118">
        <f>+CUBICACION!E1347</f>
        <v>0</v>
      </c>
      <c r="G1348" s="118">
        <v>12</v>
      </c>
      <c r="H1348" s="118">
        <v>2</v>
      </c>
      <c r="I1348" s="820">
        <v>26385</v>
      </c>
      <c r="J1348" s="118">
        <f>+CUBICACION!J1347</f>
        <v>0</v>
      </c>
      <c r="K1348" s="118">
        <v>4127</v>
      </c>
      <c r="L1348" s="118">
        <f>+CUBICACION!L1347</f>
        <v>0</v>
      </c>
      <c r="M1348" s="64">
        <f>+CUBICACION!M1347</f>
        <v>0</v>
      </c>
      <c r="N1348" s="824" t="str">
        <f>+CUBICACION!N1347</f>
        <v/>
      </c>
      <c r="O1348" s="675">
        <f>+CUBICACION!O1347</f>
        <v>0</v>
      </c>
      <c r="P1348" s="15">
        <f>IF(O1348="Fire Control",VLOOKUP(_xlfn.MINIFS('FIRE CONTROL'!$C$4:$C$37,'FIRE CONTROL'!$C$4:$C$37,"&gt;="&amp;M1348),'FIRE CONTROL'!$C$4:$G$37,IF(L1348="F-15",2,IF(L1348="F-30",3,IF(L1348="F-60",4,IF(L1348="F-90",5,0)))),0),0)+IF(AND(O1348="FIRE TEX 5062",OR(E1348="IN",E1348="C",E1348="Z",E1348="L"),J1348=3),VLOOKUP(_xlfn.MINIFS('FIRE TEX 5062'!$B$4:$B$34,'FIRE TEX 5062'!$B$4:$B$34,"&gt;="&amp;M1348),'FIRE TEX 5062'!$B$4:$F$34,IF(L1348="F-15",2,IF(L1348="F-30",3,IF(L1348="F-60",4,IF(L1348="F-90",5,0)))),0),0)+IF(AND(O1348="FIRE TEX 5062",OR(E1348="IN",E1348="C",E1348="Z",E1348="L"),J1348=4),VLOOKUP(_xlfn.MINIFS('FIRE TEX 5062'!$G$4:$G$34,'FIRE TEX 5062'!$G$4:$G$34,"&gt;="&amp;M1348),'FIRE TEX 5062'!$G$4:$K$34,IF(L1348="F-15",2,IF(L1348="F-30",3,IF(L1348="F-60",4,IF(L1348="F-90",5,0)))),0),0)+IF(AND(O1348="FIRE TEX 5062",E1348="CJ",J1348=3),VLOOKUP(_xlfn.MINIFS('FIRE TEX 5062'!$L$4:$L$34,'FIRE TEX 5062'!$L$4:$L$34,"&gt;="&amp;M1348),'FIRE TEX 5062'!$L$4:$P$34,IF(L1348="F-15",2,IF(L1348="F-30",3,IF(L1348="F-60",4,IF(L1348="F-90",5,0)))),0),0)+IF(AND(O1348="FIRE TEX 5062",E1348="CJ",J1348=4),VLOOKUP(_xlfn.MINIFS('FIRE TEX 5062'!$Q$3:$Q$34,'FIRE TEX 5062'!$Q$3:$Q$34,"&gt;="&amp;M1348),'FIRE TEX 5062'!$Q$3:$U$34,IF(L1348="F-15",2,IF(L1348="F-30",3,IF(L1348="F-60",4,IF(L1348="F-90",5,0)))),0),0)+IF(AND(O1348="FIRE TEX 5090",OR(E1348="IN",E1348="C",E1348="Z",E1348="L"),J1348=3),VLOOKUP(_xlfn.MINIFS('FIRE TEX 5090'!$B$5:$B$43,'FIRE TEX 5090'!$B$5:$B$43,"&gt;="&amp;M1348),'FIRE TEX 5090'!$B$5:$H$43,IF(L1348="F-15",2,IF(L1348="F-30",3,IF(L1348="F-60",4,IF(L1348="F-90",5,IF(L1348="F-120",6,IF(L1348="F-150",7,0)))))),0),0)+IF(AND(O1348="FIRE TEX 5090",OR(E1348="IN",E1348="C",E1348="Z",E1348="L"),J1348=4),VLOOKUP(_xlfn.MINIFS('FIRE TEX 5090'!$J$5:$J$43,'FIRE TEX 5090'!$J$5:$J$43,"&gt;="&amp;M1348),'FIRE TEX 5090'!$J$5:$P$43,IF(L1348="F-15",2,IF(L1348="F-30",3,IF(L1348="F-60",4,IF(L1348="F-90",5,IF(L1348="F-120",6,IF(L1348="F-150",7,0)))))),0),0)+IF(AND(O1348="FIRE TEX 5090",E1348="CJ",J1348=3),VLOOKUP(_xlfn.MINIFS('FIRE TEX 5090'!$R$5:$R$30,'FIRE TEX 5090'!$R$5:$R$30,"&gt;="&amp;M1348),'FIRE TEX 5090'!$R$5:$W$30,IF(L1348="F-15",2,IF(L1348="F-30",3,IF(L1348="F-60",4,IF(L1348="F-90",5,IF(L1348="F-120",6,IF(L1348="F-150",7,0)))))),0),0)+IF(AND(O1348="FIRE TEX 5090",E1348="CJ",J1348=4),VLOOKUP(_xlfn.MINIFS('FIRE TEX 5090'!$Y$5:$Y$39,'FIRE TEX 5090'!$Y$5:$Y$39,"&gt;="&amp;M1348),'FIRE TEX 5090'!$Y$5:$AD$39,IF(L1348="F-15",2,IF(L1348="F-30",3,IF(L1348="F-60",4,IF(L1348="F-90",5,IF(L1348="F-120",6,IF(L1348="F-150",7,0)))))),0),0)+IF(AND(O1348="FIRE TEX 5120",OR(E1348="IN",E1348="C",E1348="Z",E1348="L"),J1348=3),VLOOKUP(_xlfn.MINIFS('FIRE TEX 5120'!$B$5:$B$40,'FIRE TEX 5120'!$B$5:$B$40,"&gt;="&amp;M1348),'FIRE TEX 5120'!$B$5:$G$40,IF(L1348="F-15",2,IF(L1348="F-30",3,IF(L1348="F-60",4,IF(L1348="F-90",5,IF(L1348="F-120",6,0))))),0),0)+IF(AND(O1348="FIRE TEX 5120",OR(E1348="IN",E1348="C",E1348="Z",E1348="L"),J1348=4),VLOOKUP(_xlfn.MINIFS('FIRE TEX 5120'!$H$4:$H$40,'FIRE TEX 5120'!$H$4:$H$40,"&gt;="&amp;M1348),'FIRE TEX 5120'!$H$4:$M$40,IF(L1348="F-15",2,IF(L1348="F-30",3,IF(L1348="F-60",4,IF(L1348="F-90",5,IF(L1348="F-120",6,0))))),0),0)+IF(AND(O1348="FIRE TEX 5120",E1348="CJ"),VLOOKUP(_xlfn.MINIFS('FIRE TEX 5120'!$O$5:$O$40,'FIRE TEX 5120'!$O$5:$O$40,"&gt;="&amp;M1348),'FIRE TEX 5120'!$O$5:$T$40,IF(L1348="F-15",2,IF(L1348="F-30",3,IF(L1348="F-60",4,IF(L1348="F-90",5,IF(L1348="F-120",6,0))))),0),0)</f>
        <v>0</v>
      </c>
      <c r="Q1348" s="46">
        <f t="shared" si="124"/>
        <v>0</v>
      </c>
      <c r="R1348" s="46">
        <f t="shared" si="125"/>
        <v>0</v>
      </c>
      <c r="S1348" s="46" t="e">
        <f t="shared" si="126"/>
        <v>#VALUE!</v>
      </c>
      <c r="T1348" s="677">
        <f t="shared" si="127"/>
        <v>0</v>
      </c>
      <c r="U1348" s="80">
        <f>(IF(O1348="Stofire",(S1348*#REF!),0))+(IF(O1348="Fire Control",(S1348*$U$2),0))+(IF(O1348="Fire Tex",(S1348*$U$3),0))+(IF(O1348="WB7",(S1348*#REF!),0)+(IF(O1348="FX 2003",(S1348*$U$5),0)))</f>
        <v>0</v>
      </c>
      <c r="V1348" s="651">
        <f t="shared" si="128"/>
        <v>0</v>
      </c>
    </row>
    <row r="1349" spans="4:22" x14ac:dyDescent="0.25">
      <c r="D1349" s="118">
        <f>+CUBICACION!D1348</f>
        <v>0</v>
      </c>
      <c r="E1349" s="118">
        <f>+CUBICACION!F1348</f>
        <v>0</v>
      </c>
      <c r="F1349" s="118">
        <f>+CUBICACION!E1348</f>
        <v>0</v>
      </c>
      <c r="G1349" s="118">
        <v>12</v>
      </c>
      <c r="H1349" s="118">
        <v>2</v>
      </c>
      <c r="I1349" s="820">
        <v>26385</v>
      </c>
      <c r="J1349" s="118">
        <f>+CUBICACION!J1348</f>
        <v>0</v>
      </c>
      <c r="K1349" s="118">
        <v>4128</v>
      </c>
      <c r="L1349" s="118">
        <f>+CUBICACION!L1348</f>
        <v>0</v>
      </c>
      <c r="M1349" s="64">
        <f>+CUBICACION!M1348</f>
        <v>0</v>
      </c>
      <c r="N1349" s="824" t="str">
        <f>+CUBICACION!N1348</f>
        <v/>
      </c>
      <c r="O1349" s="675">
        <f>+CUBICACION!O1348</f>
        <v>0</v>
      </c>
      <c r="P1349" s="15">
        <f>IF(O1349="Fire Control",VLOOKUP(_xlfn.MINIFS('FIRE CONTROL'!$C$4:$C$37,'FIRE CONTROL'!$C$4:$C$37,"&gt;="&amp;M1349),'FIRE CONTROL'!$C$4:$G$37,IF(L1349="F-15",2,IF(L1349="F-30",3,IF(L1349="F-60",4,IF(L1349="F-90",5,0)))),0),0)+IF(AND(O1349="FIRE TEX 5062",OR(E1349="IN",E1349="C",E1349="Z",E1349="L"),J1349=3),VLOOKUP(_xlfn.MINIFS('FIRE TEX 5062'!$B$4:$B$34,'FIRE TEX 5062'!$B$4:$B$34,"&gt;="&amp;M1349),'FIRE TEX 5062'!$B$4:$F$34,IF(L1349="F-15",2,IF(L1349="F-30",3,IF(L1349="F-60",4,IF(L1349="F-90",5,0)))),0),0)+IF(AND(O1349="FIRE TEX 5062",OR(E1349="IN",E1349="C",E1349="Z",E1349="L"),J1349=4),VLOOKUP(_xlfn.MINIFS('FIRE TEX 5062'!$G$4:$G$34,'FIRE TEX 5062'!$G$4:$G$34,"&gt;="&amp;M1349),'FIRE TEX 5062'!$G$4:$K$34,IF(L1349="F-15",2,IF(L1349="F-30",3,IF(L1349="F-60",4,IF(L1349="F-90",5,0)))),0),0)+IF(AND(O1349="FIRE TEX 5062",E1349="CJ",J1349=3),VLOOKUP(_xlfn.MINIFS('FIRE TEX 5062'!$L$4:$L$34,'FIRE TEX 5062'!$L$4:$L$34,"&gt;="&amp;M1349),'FIRE TEX 5062'!$L$4:$P$34,IF(L1349="F-15",2,IF(L1349="F-30",3,IF(L1349="F-60",4,IF(L1349="F-90",5,0)))),0),0)+IF(AND(O1349="FIRE TEX 5062",E1349="CJ",J1349=4),VLOOKUP(_xlfn.MINIFS('FIRE TEX 5062'!$Q$3:$Q$34,'FIRE TEX 5062'!$Q$3:$Q$34,"&gt;="&amp;M1349),'FIRE TEX 5062'!$Q$3:$U$34,IF(L1349="F-15",2,IF(L1349="F-30",3,IF(L1349="F-60",4,IF(L1349="F-90",5,0)))),0),0)+IF(AND(O1349="FIRE TEX 5090",OR(E1349="IN",E1349="C",E1349="Z",E1349="L"),J1349=3),VLOOKUP(_xlfn.MINIFS('FIRE TEX 5090'!$B$5:$B$43,'FIRE TEX 5090'!$B$5:$B$43,"&gt;="&amp;M1349),'FIRE TEX 5090'!$B$5:$H$43,IF(L1349="F-15",2,IF(L1349="F-30",3,IF(L1349="F-60",4,IF(L1349="F-90",5,IF(L1349="F-120",6,IF(L1349="F-150",7,0)))))),0),0)+IF(AND(O1349="FIRE TEX 5090",OR(E1349="IN",E1349="C",E1349="Z",E1349="L"),J1349=4),VLOOKUP(_xlfn.MINIFS('FIRE TEX 5090'!$J$5:$J$43,'FIRE TEX 5090'!$J$5:$J$43,"&gt;="&amp;M1349),'FIRE TEX 5090'!$J$5:$P$43,IF(L1349="F-15",2,IF(L1349="F-30",3,IF(L1349="F-60",4,IF(L1349="F-90",5,IF(L1349="F-120",6,IF(L1349="F-150",7,0)))))),0),0)+IF(AND(O1349="FIRE TEX 5090",E1349="CJ",J1349=3),VLOOKUP(_xlfn.MINIFS('FIRE TEX 5090'!$R$5:$R$30,'FIRE TEX 5090'!$R$5:$R$30,"&gt;="&amp;M1349),'FIRE TEX 5090'!$R$5:$W$30,IF(L1349="F-15",2,IF(L1349="F-30",3,IF(L1349="F-60",4,IF(L1349="F-90",5,IF(L1349="F-120",6,IF(L1349="F-150",7,0)))))),0),0)+IF(AND(O1349="FIRE TEX 5090",E1349="CJ",J1349=4),VLOOKUP(_xlfn.MINIFS('FIRE TEX 5090'!$Y$5:$Y$39,'FIRE TEX 5090'!$Y$5:$Y$39,"&gt;="&amp;M1349),'FIRE TEX 5090'!$Y$5:$AD$39,IF(L1349="F-15",2,IF(L1349="F-30",3,IF(L1349="F-60",4,IF(L1349="F-90",5,IF(L1349="F-120",6,IF(L1349="F-150",7,0)))))),0),0)+IF(AND(O1349="FIRE TEX 5120",OR(E1349="IN",E1349="C",E1349="Z",E1349="L"),J1349=3),VLOOKUP(_xlfn.MINIFS('FIRE TEX 5120'!$B$5:$B$40,'FIRE TEX 5120'!$B$5:$B$40,"&gt;="&amp;M1349),'FIRE TEX 5120'!$B$5:$G$40,IF(L1349="F-15",2,IF(L1349="F-30",3,IF(L1349="F-60",4,IF(L1349="F-90",5,IF(L1349="F-120",6,0))))),0),0)+IF(AND(O1349="FIRE TEX 5120",OR(E1349="IN",E1349="C",E1349="Z",E1349="L"),J1349=4),VLOOKUP(_xlfn.MINIFS('FIRE TEX 5120'!$H$4:$H$40,'FIRE TEX 5120'!$H$4:$H$40,"&gt;="&amp;M1349),'FIRE TEX 5120'!$H$4:$M$40,IF(L1349="F-15",2,IF(L1349="F-30",3,IF(L1349="F-60",4,IF(L1349="F-90",5,IF(L1349="F-120",6,0))))),0),0)+IF(AND(O1349="FIRE TEX 5120",E1349="CJ"),VLOOKUP(_xlfn.MINIFS('FIRE TEX 5120'!$O$5:$O$40,'FIRE TEX 5120'!$O$5:$O$40,"&gt;="&amp;M1349),'FIRE TEX 5120'!$O$5:$T$40,IF(L1349="F-15",2,IF(L1349="F-30",3,IF(L1349="F-60",4,IF(L1349="F-90",5,IF(L1349="F-120",6,0))))),0),0)</f>
        <v>0</v>
      </c>
      <c r="Q1349" s="46">
        <f t="shared" si="124"/>
        <v>0</v>
      </c>
      <c r="R1349" s="46">
        <f t="shared" si="125"/>
        <v>0</v>
      </c>
      <c r="S1349" s="46" t="e">
        <f t="shared" si="126"/>
        <v>#VALUE!</v>
      </c>
      <c r="T1349" s="677">
        <f t="shared" si="127"/>
        <v>0</v>
      </c>
      <c r="U1349" s="80">
        <f>(IF(O1349="Stofire",(S1349*#REF!),0))+(IF(O1349="Fire Control",(S1349*$U$2),0))+(IF(O1349="Fire Tex",(S1349*$U$3),0))+(IF(O1349="WB7",(S1349*#REF!),0)+(IF(O1349="FX 2003",(S1349*$U$5),0)))</f>
        <v>0</v>
      </c>
      <c r="V1349" s="651">
        <f t="shared" si="128"/>
        <v>0</v>
      </c>
    </row>
    <row r="1350" spans="4:22" x14ac:dyDescent="0.25">
      <c r="D1350" s="118">
        <f>+CUBICACION!D1349</f>
        <v>0</v>
      </c>
      <c r="E1350" s="118">
        <f>+CUBICACION!F1349</f>
        <v>0</v>
      </c>
      <c r="F1350" s="118">
        <f>+CUBICACION!E1349</f>
        <v>0</v>
      </c>
      <c r="G1350" s="118">
        <v>12</v>
      </c>
      <c r="H1350" s="118">
        <v>2</v>
      </c>
      <c r="I1350" s="820">
        <v>26385</v>
      </c>
      <c r="J1350" s="118">
        <f>+CUBICACION!J1349</f>
        <v>0</v>
      </c>
      <c r="K1350" s="118">
        <v>4129</v>
      </c>
      <c r="L1350" s="118">
        <f>+CUBICACION!L1349</f>
        <v>0</v>
      </c>
      <c r="M1350" s="64">
        <f>+CUBICACION!M1349</f>
        <v>0</v>
      </c>
      <c r="N1350" s="824" t="str">
        <f>+CUBICACION!N1349</f>
        <v/>
      </c>
      <c r="O1350" s="675">
        <f>+CUBICACION!O1349</f>
        <v>0</v>
      </c>
      <c r="P1350" s="15">
        <f>IF(O1350="Fire Control",VLOOKUP(_xlfn.MINIFS('FIRE CONTROL'!$C$4:$C$37,'FIRE CONTROL'!$C$4:$C$37,"&gt;="&amp;M1350),'FIRE CONTROL'!$C$4:$G$37,IF(L1350="F-15",2,IF(L1350="F-30",3,IF(L1350="F-60",4,IF(L1350="F-90",5,0)))),0),0)+IF(AND(O1350="FIRE TEX 5062",OR(E1350="IN",E1350="C",E1350="Z",E1350="L"),J1350=3),VLOOKUP(_xlfn.MINIFS('FIRE TEX 5062'!$B$4:$B$34,'FIRE TEX 5062'!$B$4:$B$34,"&gt;="&amp;M1350),'FIRE TEX 5062'!$B$4:$F$34,IF(L1350="F-15",2,IF(L1350="F-30",3,IF(L1350="F-60",4,IF(L1350="F-90",5,0)))),0),0)+IF(AND(O1350="FIRE TEX 5062",OR(E1350="IN",E1350="C",E1350="Z",E1350="L"),J1350=4),VLOOKUP(_xlfn.MINIFS('FIRE TEX 5062'!$G$4:$G$34,'FIRE TEX 5062'!$G$4:$G$34,"&gt;="&amp;M1350),'FIRE TEX 5062'!$G$4:$K$34,IF(L1350="F-15",2,IF(L1350="F-30",3,IF(L1350="F-60",4,IF(L1350="F-90",5,0)))),0),0)+IF(AND(O1350="FIRE TEX 5062",E1350="CJ",J1350=3),VLOOKUP(_xlfn.MINIFS('FIRE TEX 5062'!$L$4:$L$34,'FIRE TEX 5062'!$L$4:$L$34,"&gt;="&amp;M1350),'FIRE TEX 5062'!$L$4:$P$34,IF(L1350="F-15",2,IF(L1350="F-30",3,IF(L1350="F-60",4,IF(L1350="F-90",5,0)))),0),0)+IF(AND(O1350="FIRE TEX 5062",E1350="CJ",J1350=4),VLOOKUP(_xlfn.MINIFS('FIRE TEX 5062'!$Q$3:$Q$34,'FIRE TEX 5062'!$Q$3:$Q$34,"&gt;="&amp;M1350),'FIRE TEX 5062'!$Q$3:$U$34,IF(L1350="F-15",2,IF(L1350="F-30",3,IF(L1350="F-60",4,IF(L1350="F-90",5,0)))),0),0)+IF(AND(O1350="FIRE TEX 5090",OR(E1350="IN",E1350="C",E1350="Z",E1350="L"),J1350=3),VLOOKUP(_xlfn.MINIFS('FIRE TEX 5090'!$B$5:$B$43,'FIRE TEX 5090'!$B$5:$B$43,"&gt;="&amp;M1350),'FIRE TEX 5090'!$B$5:$H$43,IF(L1350="F-15",2,IF(L1350="F-30",3,IF(L1350="F-60",4,IF(L1350="F-90",5,IF(L1350="F-120",6,IF(L1350="F-150",7,0)))))),0),0)+IF(AND(O1350="FIRE TEX 5090",OR(E1350="IN",E1350="C",E1350="Z",E1350="L"),J1350=4),VLOOKUP(_xlfn.MINIFS('FIRE TEX 5090'!$J$5:$J$43,'FIRE TEX 5090'!$J$5:$J$43,"&gt;="&amp;M1350),'FIRE TEX 5090'!$J$5:$P$43,IF(L1350="F-15",2,IF(L1350="F-30",3,IF(L1350="F-60",4,IF(L1350="F-90",5,IF(L1350="F-120",6,IF(L1350="F-150",7,0)))))),0),0)+IF(AND(O1350="FIRE TEX 5090",E1350="CJ",J1350=3),VLOOKUP(_xlfn.MINIFS('FIRE TEX 5090'!$R$5:$R$30,'FIRE TEX 5090'!$R$5:$R$30,"&gt;="&amp;M1350),'FIRE TEX 5090'!$R$5:$W$30,IF(L1350="F-15",2,IF(L1350="F-30",3,IF(L1350="F-60",4,IF(L1350="F-90",5,IF(L1350="F-120",6,IF(L1350="F-150",7,0)))))),0),0)+IF(AND(O1350="FIRE TEX 5090",E1350="CJ",J1350=4),VLOOKUP(_xlfn.MINIFS('FIRE TEX 5090'!$Y$5:$Y$39,'FIRE TEX 5090'!$Y$5:$Y$39,"&gt;="&amp;M1350),'FIRE TEX 5090'!$Y$5:$AD$39,IF(L1350="F-15",2,IF(L1350="F-30",3,IF(L1350="F-60",4,IF(L1350="F-90",5,IF(L1350="F-120",6,IF(L1350="F-150",7,0)))))),0),0)+IF(AND(O1350="FIRE TEX 5120",OR(E1350="IN",E1350="C",E1350="Z",E1350="L"),J1350=3),VLOOKUP(_xlfn.MINIFS('FIRE TEX 5120'!$B$5:$B$40,'FIRE TEX 5120'!$B$5:$B$40,"&gt;="&amp;M1350),'FIRE TEX 5120'!$B$5:$G$40,IF(L1350="F-15",2,IF(L1350="F-30",3,IF(L1350="F-60",4,IF(L1350="F-90",5,IF(L1350="F-120",6,0))))),0),0)+IF(AND(O1350="FIRE TEX 5120",OR(E1350="IN",E1350="C",E1350="Z",E1350="L"),J1350=4),VLOOKUP(_xlfn.MINIFS('FIRE TEX 5120'!$H$4:$H$40,'FIRE TEX 5120'!$H$4:$H$40,"&gt;="&amp;M1350),'FIRE TEX 5120'!$H$4:$M$40,IF(L1350="F-15",2,IF(L1350="F-30",3,IF(L1350="F-60",4,IF(L1350="F-90",5,IF(L1350="F-120",6,0))))),0),0)+IF(AND(O1350="FIRE TEX 5120",E1350="CJ"),VLOOKUP(_xlfn.MINIFS('FIRE TEX 5120'!$O$5:$O$40,'FIRE TEX 5120'!$O$5:$O$40,"&gt;="&amp;M1350),'FIRE TEX 5120'!$O$5:$T$40,IF(L1350="F-15",2,IF(L1350="F-30",3,IF(L1350="F-60",4,IF(L1350="F-90",5,IF(L1350="F-120",6,0))))),0),0)</f>
        <v>0</v>
      </c>
      <c r="Q1350" s="46">
        <f t="shared" si="124"/>
        <v>0</v>
      </c>
      <c r="R1350" s="46">
        <f t="shared" si="125"/>
        <v>0</v>
      </c>
      <c r="S1350" s="46" t="e">
        <f t="shared" si="126"/>
        <v>#VALUE!</v>
      </c>
      <c r="T1350" s="677">
        <f t="shared" si="127"/>
        <v>0</v>
      </c>
      <c r="U1350" s="80">
        <f>(IF(O1350="Stofire",(S1350*#REF!),0))+(IF(O1350="Fire Control",(S1350*$U$2),0))+(IF(O1350="Fire Tex",(S1350*$U$3),0))+(IF(O1350="WB7",(S1350*#REF!),0)+(IF(O1350="FX 2003",(S1350*$U$5),0)))</f>
        <v>0</v>
      </c>
      <c r="V1350" s="651">
        <f t="shared" si="128"/>
        <v>0</v>
      </c>
    </row>
    <row r="1351" spans="4:22" x14ac:dyDescent="0.25">
      <c r="D1351" s="118">
        <f>+CUBICACION!D1350</f>
        <v>0</v>
      </c>
      <c r="E1351" s="118">
        <f>+CUBICACION!F1350</f>
        <v>0</v>
      </c>
      <c r="F1351" s="118">
        <f>+CUBICACION!E1350</f>
        <v>0</v>
      </c>
      <c r="G1351" s="118">
        <v>12</v>
      </c>
      <c r="H1351" s="118">
        <v>2</v>
      </c>
      <c r="I1351" s="820">
        <v>26385</v>
      </c>
      <c r="J1351" s="118">
        <f>+CUBICACION!J1350</f>
        <v>0</v>
      </c>
      <c r="K1351" s="118">
        <v>4130</v>
      </c>
      <c r="L1351" s="118">
        <f>+CUBICACION!L1350</f>
        <v>0</v>
      </c>
      <c r="M1351" s="64">
        <f>+CUBICACION!M1350</f>
        <v>0</v>
      </c>
      <c r="N1351" s="824" t="str">
        <f>+CUBICACION!N1350</f>
        <v/>
      </c>
      <c r="O1351" s="675">
        <f>+CUBICACION!O1350</f>
        <v>0</v>
      </c>
      <c r="P1351" s="15">
        <f>IF(O1351="Fire Control",VLOOKUP(_xlfn.MINIFS('FIRE CONTROL'!$C$4:$C$37,'FIRE CONTROL'!$C$4:$C$37,"&gt;="&amp;M1351),'FIRE CONTROL'!$C$4:$G$37,IF(L1351="F-15",2,IF(L1351="F-30",3,IF(L1351="F-60",4,IF(L1351="F-90",5,0)))),0),0)+IF(AND(O1351="FIRE TEX 5062",OR(E1351="IN",E1351="C",E1351="Z",E1351="L"),J1351=3),VLOOKUP(_xlfn.MINIFS('FIRE TEX 5062'!$B$4:$B$34,'FIRE TEX 5062'!$B$4:$B$34,"&gt;="&amp;M1351),'FIRE TEX 5062'!$B$4:$F$34,IF(L1351="F-15",2,IF(L1351="F-30",3,IF(L1351="F-60",4,IF(L1351="F-90",5,0)))),0),0)+IF(AND(O1351="FIRE TEX 5062",OR(E1351="IN",E1351="C",E1351="Z",E1351="L"),J1351=4),VLOOKUP(_xlfn.MINIFS('FIRE TEX 5062'!$G$4:$G$34,'FIRE TEX 5062'!$G$4:$G$34,"&gt;="&amp;M1351),'FIRE TEX 5062'!$G$4:$K$34,IF(L1351="F-15",2,IF(L1351="F-30",3,IF(L1351="F-60",4,IF(L1351="F-90",5,0)))),0),0)+IF(AND(O1351="FIRE TEX 5062",E1351="CJ",J1351=3),VLOOKUP(_xlfn.MINIFS('FIRE TEX 5062'!$L$4:$L$34,'FIRE TEX 5062'!$L$4:$L$34,"&gt;="&amp;M1351),'FIRE TEX 5062'!$L$4:$P$34,IF(L1351="F-15",2,IF(L1351="F-30",3,IF(L1351="F-60",4,IF(L1351="F-90",5,0)))),0),0)+IF(AND(O1351="FIRE TEX 5062",E1351="CJ",J1351=4),VLOOKUP(_xlfn.MINIFS('FIRE TEX 5062'!$Q$3:$Q$34,'FIRE TEX 5062'!$Q$3:$Q$34,"&gt;="&amp;M1351),'FIRE TEX 5062'!$Q$3:$U$34,IF(L1351="F-15",2,IF(L1351="F-30",3,IF(L1351="F-60",4,IF(L1351="F-90",5,0)))),0),0)+IF(AND(O1351="FIRE TEX 5090",OR(E1351="IN",E1351="C",E1351="Z",E1351="L"),J1351=3),VLOOKUP(_xlfn.MINIFS('FIRE TEX 5090'!$B$5:$B$43,'FIRE TEX 5090'!$B$5:$B$43,"&gt;="&amp;M1351),'FIRE TEX 5090'!$B$5:$H$43,IF(L1351="F-15",2,IF(L1351="F-30",3,IF(L1351="F-60",4,IF(L1351="F-90",5,IF(L1351="F-120",6,IF(L1351="F-150",7,0)))))),0),0)+IF(AND(O1351="FIRE TEX 5090",OR(E1351="IN",E1351="C",E1351="Z",E1351="L"),J1351=4),VLOOKUP(_xlfn.MINIFS('FIRE TEX 5090'!$J$5:$J$43,'FIRE TEX 5090'!$J$5:$J$43,"&gt;="&amp;M1351),'FIRE TEX 5090'!$J$5:$P$43,IF(L1351="F-15",2,IF(L1351="F-30",3,IF(L1351="F-60",4,IF(L1351="F-90",5,IF(L1351="F-120",6,IF(L1351="F-150",7,0)))))),0),0)+IF(AND(O1351="FIRE TEX 5090",E1351="CJ",J1351=3),VLOOKUP(_xlfn.MINIFS('FIRE TEX 5090'!$R$5:$R$30,'FIRE TEX 5090'!$R$5:$R$30,"&gt;="&amp;M1351),'FIRE TEX 5090'!$R$5:$W$30,IF(L1351="F-15",2,IF(L1351="F-30",3,IF(L1351="F-60",4,IF(L1351="F-90",5,IF(L1351="F-120",6,IF(L1351="F-150",7,0)))))),0),0)+IF(AND(O1351="FIRE TEX 5090",E1351="CJ",J1351=4),VLOOKUP(_xlfn.MINIFS('FIRE TEX 5090'!$Y$5:$Y$39,'FIRE TEX 5090'!$Y$5:$Y$39,"&gt;="&amp;M1351),'FIRE TEX 5090'!$Y$5:$AD$39,IF(L1351="F-15",2,IF(L1351="F-30",3,IF(L1351="F-60",4,IF(L1351="F-90",5,IF(L1351="F-120",6,IF(L1351="F-150",7,0)))))),0),0)+IF(AND(O1351="FIRE TEX 5120",OR(E1351="IN",E1351="C",E1351="Z",E1351="L"),J1351=3),VLOOKUP(_xlfn.MINIFS('FIRE TEX 5120'!$B$5:$B$40,'FIRE TEX 5120'!$B$5:$B$40,"&gt;="&amp;M1351),'FIRE TEX 5120'!$B$5:$G$40,IF(L1351="F-15",2,IF(L1351="F-30",3,IF(L1351="F-60",4,IF(L1351="F-90",5,IF(L1351="F-120",6,0))))),0),0)+IF(AND(O1351="FIRE TEX 5120",OR(E1351="IN",E1351="C",E1351="Z",E1351="L"),J1351=4),VLOOKUP(_xlfn.MINIFS('FIRE TEX 5120'!$H$4:$H$40,'FIRE TEX 5120'!$H$4:$H$40,"&gt;="&amp;M1351),'FIRE TEX 5120'!$H$4:$M$40,IF(L1351="F-15",2,IF(L1351="F-30",3,IF(L1351="F-60",4,IF(L1351="F-90",5,IF(L1351="F-120",6,0))))),0),0)+IF(AND(O1351="FIRE TEX 5120",E1351="CJ"),VLOOKUP(_xlfn.MINIFS('FIRE TEX 5120'!$O$5:$O$40,'FIRE TEX 5120'!$O$5:$O$40,"&gt;="&amp;M1351),'FIRE TEX 5120'!$O$5:$T$40,IF(L1351="F-15",2,IF(L1351="F-30",3,IF(L1351="F-60",4,IF(L1351="F-90",5,IF(L1351="F-120",6,0))))),0),0)</f>
        <v>0</v>
      </c>
      <c r="Q1351" s="46">
        <f t="shared" si="124"/>
        <v>0</v>
      </c>
      <c r="R1351" s="46">
        <f t="shared" si="125"/>
        <v>0</v>
      </c>
      <c r="S1351" s="46" t="e">
        <f t="shared" si="126"/>
        <v>#VALUE!</v>
      </c>
      <c r="T1351" s="677">
        <f t="shared" si="127"/>
        <v>0</v>
      </c>
      <c r="U1351" s="80">
        <f>(IF(O1351="Stofire",(S1351*#REF!),0))+(IF(O1351="Fire Control",(S1351*$U$2),0))+(IF(O1351="Fire Tex",(S1351*$U$3),0))+(IF(O1351="WB7",(S1351*#REF!),0)+(IF(O1351="FX 2003",(S1351*$U$5),0)))</f>
        <v>0</v>
      </c>
      <c r="V1351" s="651">
        <f t="shared" si="128"/>
        <v>0</v>
      </c>
    </row>
    <row r="1352" spans="4:22" x14ac:dyDescent="0.25">
      <c r="D1352" s="118">
        <f>+CUBICACION!D1351</f>
        <v>0</v>
      </c>
      <c r="E1352" s="118">
        <f>+CUBICACION!F1351</f>
        <v>0</v>
      </c>
      <c r="F1352" s="118">
        <f>+CUBICACION!E1351</f>
        <v>0</v>
      </c>
      <c r="G1352" s="118">
        <v>12</v>
      </c>
      <c r="H1352" s="118">
        <v>2</v>
      </c>
      <c r="I1352" s="820">
        <v>26385</v>
      </c>
      <c r="J1352" s="118">
        <f>+CUBICACION!J1351</f>
        <v>0</v>
      </c>
      <c r="K1352" s="118">
        <v>4131</v>
      </c>
      <c r="L1352" s="118">
        <f>+CUBICACION!L1351</f>
        <v>0</v>
      </c>
      <c r="M1352" s="64">
        <f>+CUBICACION!M1351</f>
        <v>0</v>
      </c>
      <c r="N1352" s="824" t="str">
        <f>+CUBICACION!N1351</f>
        <v/>
      </c>
      <c r="O1352" s="675">
        <f>+CUBICACION!O1351</f>
        <v>0</v>
      </c>
      <c r="P1352" s="15">
        <f>IF(O1352="Fire Control",VLOOKUP(_xlfn.MINIFS('FIRE CONTROL'!$C$4:$C$37,'FIRE CONTROL'!$C$4:$C$37,"&gt;="&amp;M1352),'FIRE CONTROL'!$C$4:$G$37,IF(L1352="F-15",2,IF(L1352="F-30",3,IF(L1352="F-60",4,IF(L1352="F-90",5,0)))),0),0)+IF(AND(O1352="FIRE TEX 5062",OR(E1352="IN",E1352="C",E1352="Z",E1352="L"),J1352=3),VLOOKUP(_xlfn.MINIFS('FIRE TEX 5062'!$B$4:$B$34,'FIRE TEX 5062'!$B$4:$B$34,"&gt;="&amp;M1352),'FIRE TEX 5062'!$B$4:$F$34,IF(L1352="F-15",2,IF(L1352="F-30",3,IF(L1352="F-60",4,IF(L1352="F-90",5,0)))),0),0)+IF(AND(O1352="FIRE TEX 5062",OR(E1352="IN",E1352="C",E1352="Z",E1352="L"),J1352=4),VLOOKUP(_xlfn.MINIFS('FIRE TEX 5062'!$G$4:$G$34,'FIRE TEX 5062'!$G$4:$G$34,"&gt;="&amp;M1352),'FIRE TEX 5062'!$G$4:$K$34,IF(L1352="F-15",2,IF(L1352="F-30",3,IF(L1352="F-60",4,IF(L1352="F-90",5,0)))),0),0)+IF(AND(O1352="FIRE TEX 5062",E1352="CJ",J1352=3),VLOOKUP(_xlfn.MINIFS('FIRE TEX 5062'!$L$4:$L$34,'FIRE TEX 5062'!$L$4:$L$34,"&gt;="&amp;M1352),'FIRE TEX 5062'!$L$4:$P$34,IF(L1352="F-15",2,IF(L1352="F-30",3,IF(L1352="F-60",4,IF(L1352="F-90",5,0)))),0),0)+IF(AND(O1352="FIRE TEX 5062",E1352="CJ",J1352=4),VLOOKUP(_xlfn.MINIFS('FIRE TEX 5062'!$Q$3:$Q$34,'FIRE TEX 5062'!$Q$3:$Q$34,"&gt;="&amp;M1352),'FIRE TEX 5062'!$Q$3:$U$34,IF(L1352="F-15",2,IF(L1352="F-30",3,IF(L1352="F-60",4,IF(L1352="F-90",5,0)))),0),0)+IF(AND(O1352="FIRE TEX 5090",OR(E1352="IN",E1352="C",E1352="Z",E1352="L"),J1352=3),VLOOKUP(_xlfn.MINIFS('FIRE TEX 5090'!$B$5:$B$43,'FIRE TEX 5090'!$B$5:$B$43,"&gt;="&amp;M1352),'FIRE TEX 5090'!$B$5:$H$43,IF(L1352="F-15",2,IF(L1352="F-30",3,IF(L1352="F-60",4,IF(L1352="F-90",5,IF(L1352="F-120",6,IF(L1352="F-150",7,0)))))),0),0)+IF(AND(O1352="FIRE TEX 5090",OR(E1352="IN",E1352="C",E1352="Z",E1352="L"),J1352=4),VLOOKUP(_xlfn.MINIFS('FIRE TEX 5090'!$J$5:$J$43,'FIRE TEX 5090'!$J$5:$J$43,"&gt;="&amp;M1352),'FIRE TEX 5090'!$J$5:$P$43,IF(L1352="F-15",2,IF(L1352="F-30",3,IF(L1352="F-60",4,IF(L1352="F-90",5,IF(L1352="F-120",6,IF(L1352="F-150",7,0)))))),0),0)+IF(AND(O1352="FIRE TEX 5090",E1352="CJ",J1352=3),VLOOKUP(_xlfn.MINIFS('FIRE TEX 5090'!$R$5:$R$30,'FIRE TEX 5090'!$R$5:$R$30,"&gt;="&amp;M1352),'FIRE TEX 5090'!$R$5:$W$30,IF(L1352="F-15",2,IF(L1352="F-30",3,IF(L1352="F-60",4,IF(L1352="F-90",5,IF(L1352="F-120",6,IF(L1352="F-150",7,0)))))),0),0)+IF(AND(O1352="FIRE TEX 5090",E1352="CJ",J1352=4),VLOOKUP(_xlfn.MINIFS('FIRE TEX 5090'!$Y$5:$Y$39,'FIRE TEX 5090'!$Y$5:$Y$39,"&gt;="&amp;M1352),'FIRE TEX 5090'!$Y$5:$AD$39,IF(L1352="F-15",2,IF(L1352="F-30",3,IF(L1352="F-60",4,IF(L1352="F-90",5,IF(L1352="F-120",6,IF(L1352="F-150",7,0)))))),0),0)+IF(AND(O1352="FIRE TEX 5120",OR(E1352="IN",E1352="C",E1352="Z",E1352="L"),J1352=3),VLOOKUP(_xlfn.MINIFS('FIRE TEX 5120'!$B$5:$B$40,'FIRE TEX 5120'!$B$5:$B$40,"&gt;="&amp;M1352),'FIRE TEX 5120'!$B$5:$G$40,IF(L1352="F-15",2,IF(L1352="F-30",3,IF(L1352="F-60",4,IF(L1352="F-90",5,IF(L1352="F-120",6,0))))),0),0)+IF(AND(O1352="FIRE TEX 5120",OR(E1352="IN",E1352="C",E1352="Z",E1352="L"),J1352=4),VLOOKUP(_xlfn.MINIFS('FIRE TEX 5120'!$H$4:$H$40,'FIRE TEX 5120'!$H$4:$H$40,"&gt;="&amp;M1352),'FIRE TEX 5120'!$H$4:$M$40,IF(L1352="F-15",2,IF(L1352="F-30",3,IF(L1352="F-60",4,IF(L1352="F-90",5,IF(L1352="F-120",6,0))))),0),0)+IF(AND(O1352="FIRE TEX 5120",E1352="CJ"),VLOOKUP(_xlfn.MINIFS('FIRE TEX 5120'!$O$5:$O$40,'FIRE TEX 5120'!$O$5:$O$40,"&gt;="&amp;M1352),'FIRE TEX 5120'!$O$5:$T$40,IF(L1352="F-15",2,IF(L1352="F-30",3,IF(L1352="F-60",4,IF(L1352="F-90",5,IF(L1352="F-120",6,0))))),0),0)</f>
        <v>0</v>
      </c>
      <c r="Q1352" s="46">
        <f t="shared" si="124"/>
        <v>0</v>
      </c>
      <c r="R1352" s="46">
        <f t="shared" si="125"/>
        <v>0</v>
      </c>
      <c r="S1352" s="46" t="e">
        <f t="shared" si="126"/>
        <v>#VALUE!</v>
      </c>
      <c r="T1352" s="677">
        <f t="shared" si="127"/>
        <v>0</v>
      </c>
      <c r="U1352" s="80">
        <f>(IF(O1352="Stofire",(S1352*#REF!),0))+(IF(O1352="Fire Control",(S1352*$U$2),0))+(IF(O1352="Fire Tex",(S1352*$U$3),0))+(IF(O1352="WB7",(S1352*#REF!),0)+(IF(O1352="FX 2003",(S1352*$U$5),0)))</f>
        <v>0</v>
      </c>
      <c r="V1352" s="651">
        <f t="shared" si="128"/>
        <v>0</v>
      </c>
    </row>
    <row r="1353" spans="4:22" x14ac:dyDescent="0.25">
      <c r="D1353" s="118">
        <f>+CUBICACION!D1352</f>
        <v>0</v>
      </c>
      <c r="E1353" s="118">
        <f>+CUBICACION!F1352</f>
        <v>0</v>
      </c>
      <c r="F1353" s="118">
        <f>+CUBICACION!E1352</f>
        <v>0</v>
      </c>
      <c r="G1353" s="118">
        <v>12</v>
      </c>
      <c r="H1353" s="118">
        <v>2</v>
      </c>
      <c r="I1353" s="820">
        <v>26385</v>
      </c>
      <c r="J1353" s="118">
        <f>+CUBICACION!J1352</f>
        <v>0</v>
      </c>
      <c r="K1353" s="118">
        <v>4132</v>
      </c>
      <c r="L1353" s="118">
        <f>+CUBICACION!L1352</f>
        <v>0</v>
      </c>
      <c r="M1353" s="64">
        <f>+CUBICACION!M1352</f>
        <v>0</v>
      </c>
      <c r="N1353" s="824" t="str">
        <f>+CUBICACION!N1352</f>
        <v/>
      </c>
      <c r="O1353" s="675">
        <f>+CUBICACION!O1352</f>
        <v>0</v>
      </c>
      <c r="P1353" s="15">
        <f>IF(O1353="Fire Control",VLOOKUP(_xlfn.MINIFS('FIRE CONTROL'!$C$4:$C$37,'FIRE CONTROL'!$C$4:$C$37,"&gt;="&amp;M1353),'FIRE CONTROL'!$C$4:$G$37,IF(L1353="F-15",2,IF(L1353="F-30",3,IF(L1353="F-60",4,IF(L1353="F-90",5,0)))),0),0)+IF(AND(O1353="FIRE TEX 5062",OR(E1353="IN",E1353="C",E1353="Z",E1353="L"),J1353=3),VLOOKUP(_xlfn.MINIFS('FIRE TEX 5062'!$B$4:$B$34,'FIRE TEX 5062'!$B$4:$B$34,"&gt;="&amp;M1353),'FIRE TEX 5062'!$B$4:$F$34,IF(L1353="F-15",2,IF(L1353="F-30",3,IF(L1353="F-60",4,IF(L1353="F-90",5,0)))),0),0)+IF(AND(O1353="FIRE TEX 5062",OR(E1353="IN",E1353="C",E1353="Z",E1353="L"),J1353=4),VLOOKUP(_xlfn.MINIFS('FIRE TEX 5062'!$G$4:$G$34,'FIRE TEX 5062'!$G$4:$G$34,"&gt;="&amp;M1353),'FIRE TEX 5062'!$G$4:$K$34,IF(L1353="F-15",2,IF(L1353="F-30",3,IF(L1353="F-60",4,IF(L1353="F-90",5,0)))),0),0)+IF(AND(O1353="FIRE TEX 5062",E1353="CJ",J1353=3),VLOOKUP(_xlfn.MINIFS('FIRE TEX 5062'!$L$4:$L$34,'FIRE TEX 5062'!$L$4:$L$34,"&gt;="&amp;M1353),'FIRE TEX 5062'!$L$4:$P$34,IF(L1353="F-15",2,IF(L1353="F-30",3,IF(L1353="F-60",4,IF(L1353="F-90",5,0)))),0),0)+IF(AND(O1353="FIRE TEX 5062",E1353="CJ",J1353=4),VLOOKUP(_xlfn.MINIFS('FIRE TEX 5062'!$Q$3:$Q$34,'FIRE TEX 5062'!$Q$3:$Q$34,"&gt;="&amp;M1353),'FIRE TEX 5062'!$Q$3:$U$34,IF(L1353="F-15",2,IF(L1353="F-30",3,IF(L1353="F-60",4,IF(L1353="F-90",5,0)))),0),0)+IF(AND(O1353="FIRE TEX 5090",OR(E1353="IN",E1353="C",E1353="Z",E1353="L"),J1353=3),VLOOKUP(_xlfn.MINIFS('FIRE TEX 5090'!$B$5:$B$43,'FIRE TEX 5090'!$B$5:$B$43,"&gt;="&amp;M1353),'FIRE TEX 5090'!$B$5:$H$43,IF(L1353="F-15",2,IF(L1353="F-30",3,IF(L1353="F-60",4,IF(L1353="F-90",5,IF(L1353="F-120",6,IF(L1353="F-150",7,0)))))),0),0)+IF(AND(O1353="FIRE TEX 5090",OR(E1353="IN",E1353="C",E1353="Z",E1353="L"),J1353=4),VLOOKUP(_xlfn.MINIFS('FIRE TEX 5090'!$J$5:$J$43,'FIRE TEX 5090'!$J$5:$J$43,"&gt;="&amp;M1353),'FIRE TEX 5090'!$J$5:$P$43,IF(L1353="F-15",2,IF(L1353="F-30",3,IF(L1353="F-60",4,IF(L1353="F-90",5,IF(L1353="F-120",6,IF(L1353="F-150",7,0)))))),0),0)+IF(AND(O1353="FIRE TEX 5090",E1353="CJ",J1353=3),VLOOKUP(_xlfn.MINIFS('FIRE TEX 5090'!$R$5:$R$30,'FIRE TEX 5090'!$R$5:$R$30,"&gt;="&amp;M1353),'FIRE TEX 5090'!$R$5:$W$30,IF(L1353="F-15",2,IF(L1353="F-30",3,IF(L1353="F-60",4,IF(L1353="F-90",5,IF(L1353="F-120",6,IF(L1353="F-150",7,0)))))),0),0)+IF(AND(O1353="FIRE TEX 5090",E1353="CJ",J1353=4),VLOOKUP(_xlfn.MINIFS('FIRE TEX 5090'!$Y$5:$Y$39,'FIRE TEX 5090'!$Y$5:$Y$39,"&gt;="&amp;M1353),'FIRE TEX 5090'!$Y$5:$AD$39,IF(L1353="F-15",2,IF(L1353="F-30",3,IF(L1353="F-60",4,IF(L1353="F-90",5,IF(L1353="F-120",6,IF(L1353="F-150",7,0)))))),0),0)+IF(AND(O1353="FIRE TEX 5120",OR(E1353="IN",E1353="C",E1353="Z",E1353="L"),J1353=3),VLOOKUP(_xlfn.MINIFS('FIRE TEX 5120'!$B$5:$B$40,'FIRE TEX 5120'!$B$5:$B$40,"&gt;="&amp;M1353),'FIRE TEX 5120'!$B$5:$G$40,IF(L1353="F-15",2,IF(L1353="F-30",3,IF(L1353="F-60",4,IF(L1353="F-90",5,IF(L1353="F-120",6,0))))),0),0)+IF(AND(O1353="FIRE TEX 5120",OR(E1353="IN",E1353="C",E1353="Z",E1353="L"),J1353=4),VLOOKUP(_xlfn.MINIFS('FIRE TEX 5120'!$H$4:$H$40,'FIRE TEX 5120'!$H$4:$H$40,"&gt;="&amp;M1353),'FIRE TEX 5120'!$H$4:$M$40,IF(L1353="F-15",2,IF(L1353="F-30",3,IF(L1353="F-60",4,IF(L1353="F-90",5,IF(L1353="F-120",6,0))))),0),0)+IF(AND(O1353="FIRE TEX 5120",E1353="CJ"),VLOOKUP(_xlfn.MINIFS('FIRE TEX 5120'!$O$5:$O$40,'FIRE TEX 5120'!$O$5:$O$40,"&gt;="&amp;M1353),'FIRE TEX 5120'!$O$5:$T$40,IF(L1353="F-15",2,IF(L1353="F-30",3,IF(L1353="F-60",4,IF(L1353="F-90",5,IF(L1353="F-120",6,0))))),0),0)</f>
        <v>0</v>
      </c>
      <c r="Q1353" s="46">
        <f t="shared" si="124"/>
        <v>0</v>
      </c>
      <c r="R1353" s="46">
        <f t="shared" si="125"/>
        <v>0</v>
      </c>
      <c r="S1353" s="46" t="e">
        <f t="shared" si="126"/>
        <v>#VALUE!</v>
      </c>
      <c r="T1353" s="677">
        <f t="shared" si="127"/>
        <v>0</v>
      </c>
      <c r="U1353" s="80">
        <f>(IF(O1353="Stofire",(S1353*#REF!),0))+(IF(O1353="Fire Control",(S1353*$U$2),0))+(IF(O1353="Fire Tex",(S1353*$U$3),0))+(IF(O1353="WB7",(S1353*#REF!),0)+(IF(O1353="FX 2003",(S1353*$U$5),0)))</f>
        <v>0</v>
      </c>
      <c r="V1353" s="651">
        <f t="shared" si="128"/>
        <v>0</v>
      </c>
    </row>
    <row r="1354" spans="4:22" x14ac:dyDescent="0.25">
      <c r="D1354" s="118">
        <f>+CUBICACION!D1353</f>
        <v>0</v>
      </c>
      <c r="E1354" s="118">
        <f>+CUBICACION!F1353</f>
        <v>0</v>
      </c>
      <c r="F1354" s="118">
        <f>+CUBICACION!E1353</f>
        <v>0</v>
      </c>
      <c r="G1354" s="118">
        <v>12</v>
      </c>
      <c r="H1354" s="118">
        <v>2</v>
      </c>
      <c r="I1354" s="820">
        <v>26385</v>
      </c>
      <c r="J1354" s="118">
        <f>+CUBICACION!J1353</f>
        <v>0</v>
      </c>
      <c r="K1354" s="118">
        <v>4133</v>
      </c>
      <c r="L1354" s="118">
        <f>+CUBICACION!L1353</f>
        <v>0</v>
      </c>
      <c r="M1354" s="64">
        <f>+CUBICACION!M1353</f>
        <v>0</v>
      </c>
      <c r="N1354" s="824" t="str">
        <f>+CUBICACION!N1353</f>
        <v/>
      </c>
      <c r="O1354" s="675">
        <f>+CUBICACION!O1353</f>
        <v>0</v>
      </c>
      <c r="P1354" s="15">
        <f>IF(O1354="Fire Control",VLOOKUP(_xlfn.MINIFS('FIRE CONTROL'!$C$4:$C$37,'FIRE CONTROL'!$C$4:$C$37,"&gt;="&amp;M1354),'FIRE CONTROL'!$C$4:$G$37,IF(L1354="F-15",2,IF(L1354="F-30",3,IF(L1354="F-60",4,IF(L1354="F-90",5,0)))),0),0)+IF(AND(O1354="FIRE TEX 5062",OR(E1354="IN",E1354="C",E1354="Z",E1354="L"),J1354=3),VLOOKUP(_xlfn.MINIFS('FIRE TEX 5062'!$B$4:$B$34,'FIRE TEX 5062'!$B$4:$B$34,"&gt;="&amp;M1354),'FIRE TEX 5062'!$B$4:$F$34,IF(L1354="F-15",2,IF(L1354="F-30",3,IF(L1354="F-60",4,IF(L1354="F-90",5,0)))),0),0)+IF(AND(O1354="FIRE TEX 5062",OR(E1354="IN",E1354="C",E1354="Z",E1354="L"),J1354=4),VLOOKUP(_xlfn.MINIFS('FIRE TEX 5062'!$G$4:$G$34,'FIRE TEX 5062'!$G$4:$G$34,"&gt;="&amp;M1354),'FIRE TEX 5062'!$G$4:$K$34,IF(L1354="F-15",2,IF(L1354="F-30",3,IF(L1354="F-60",4,IF(L1354="F-90",5,0)))),0),0)+IF(AND(O1354="FIRE TEX 5062",E1354="CJ",J1354=3),VLOOKUP(_xlfn.MINIFS('FIRE TEX 5062'!$L$4:$L$34,'FIRE TEX 5062'!$L$4:$L$34,"&gt;="&amp;M1354),'FIRE TEX 5062'!$L$4:$P$34,IF(L1354="F-15",2,IF(L1354="F-30",3,IF(L1354="F-60",4,IF(L1354="F-90",5,0)))),0),0)+IF(AND(O1354="FIRE TEX 5062",E1354="CJ",J1354=4),VLOOKUP(_xlfn.MINIFS('FIRE TEX 5062'!$Q$3:$Q$34,'FIRE TEX 5062'!$Q$3:$Q$34,"&gt;="&amp;M1354),'FIRE TEX 5062'!$Q$3:$U$34,IF(L1354="F-15",2,IF(L1354="F-30",3,IF(L1354="F-60",4,IF(L1354="F-90",5,0)))),0),0)+IF(AND(O1354="FIRE TEX 5090",OR(E1354="IN",E1354="C",E1354="Z",E1354="L"),J1354=3),VLOOKUP(_xlfn.MINIFS('FIRE TEX 5090'!$B$5:$B$43,'FIRE TEX 5090'!$B$5:$B$43,"&gt;="&amp;M1354),'FIRE TEX 5090'!$B$5:$H$43,IF(L1354="F-15",2,IF(L1354="F-30",3,IF(L1354="F-60",4,IF(L1354="F-90",5,IF(L1354="F-120",6,IF(L1354="F-150",7,0)))))),0),0)+IF(AND(O1354="FIRE TEX 5090",OR(E1354="IN",E1354="C",E1354="Z",E1354="L"),J1354=4),VLOOKUP(_xlfn.MINIFS('FIRE TEX 5090'!$J$5:$J$43,'FIRE TEX 5090'!$J$5:$J$43,"&gt;="&amp;M1354),'FIRE TEX 5090'!$J$5:$P$43,IF(L1354="F-15",2,IF(L1354="F-30",3,IF(L1354="F-60",4,IF(L1354="F-90",5,IF(L1354="F-120",6,IF(L1354="F-150",7,0)))))),0),0)+IF(AND(O1354="FIRE TEX 5090",E1354="CJ",J1354=3),VLOOKUP(_xlfn.MINIFS('FIRE TEX 5090'!$R$5:$R$30,'FIRE TEX 5090'!$R$5:$R$30,"&gt;="&amp;M1354),'FIRE TEX 5090'!$R$5:$W$30,IF(L1354="F-15",2,IF(L1354="F-30",3,IF(L1354="F-60",4,IF(L1354="F-90",5,IF(L1354="F-120",6,IF(L1354="F-150",7,0)))))),0),0)+IF(AND(O1354="FIRE TEX 5090",E1354="CJ",J1354=4),VLOOKUP(_xlfn.MINIFS('FIRE TEX 5090'!$Y$5:$Y$39,'FIRE TEX 5090'!$Y$5:$Y$39,"&gt;="&amp;M1354),'FIRE TEX 5090'!$Y$5:$AD$39,IF(L1354="F-15",2,IF(L1354="F-30",3,IF(L1354="F-60",4,IF(L1354="F-90",5,IF(L1354="F-120",6,IF(L1354="F-150",7,0)))))),0),0)+IF(AND(O1354="FIRE TEX 5120",OR(E1354="IN",E1354="C",E1354="Z",E1354="L"),J1354=3),VLOOKUP(_xlfn.MINIFS('FIRE TEX 5120'!$B$5:$B$40,'FIRE TEX 5120'!$B$5:$B$40,"&gt;="&amp;M1354),'FIRE TEX 5120'!$B$5:$G$40,IF(L1354="F-15",2,IF(L1354="F-30",3,IF(L1354="F-60",4,IF(L1354="F-90",5,IF(L1354="F-120",6,0))))),0),0)+IF(AND(O1354="FIRE TEX 5120",OR(E1354="IN",E1354="C",E1354="Z",E1354="L"),J1354=4),VLOOKUP(_xlfn.MINIFS('FIRE TEX 5120'!$H$4:$H$40,'FIRE TEX 5120'!$H$4:$H$40,"&gt;="&amp;M1354),'FIRE TEX 5120'!$H$4:$M$40,IF(L1354="F-15",2,IF(L1354="F-30",3,IF(L1354="F-60",4,IF(L1354="F-90",5,IF(L1354="F-120",6,0))))),0),0)+IF(AND(O1354="FIRE TEX 5120",E1354="CJ"),VLOOKUP(_xlfn.MINIFS('FIRE TEX 5120'!$O$5:$O$40,'FIRE TEX 5120'!$O$5:$O$40,"&gt;="&amp;M1354),'FIRE TEX 5120'!$O$5:$T$40,IF(L1354="F-15",2,IF(L1354="F-30",3,IF(L1354="F-60",4,IF(L1354="F-90",5,IF(L1354="F-120",6,0))))),0),0)</f>
        <v>0</v>
      </c>
      <c r="Q1354" s="46">
        <f t="shared" si="124"/>
        <v>0</v>
      </c>
      <c r="R1354" s="46">
        <f t="shared" si="125"/>
        <v>0</v>
      </c>
      <c r="S1354" s="46" t="e">
        <f t="shared" si="126"/>
        <v>#VALUE!</v>
      </c>
      <c r="T1354" s="677">
        <f t="shared" si="127"/>
        <v>0</v>
      </c>
      <c r="U1354" s="80">
        <f>(IF(O1354="Stofire",(S1354*#REF!),0))+(IF(O1354="Fire Control",(S1354*$U$2),0))+(IF(O1354="Fire Tex",(S1354*$U$3),0))+(IF(O1354="WB7",(S1354*#REF!),0)+(IF(O1354="FX 2003",(S1354*$U$5),0)))</f>
        <v>0</v>
      </c>
      <c r="V1354" s="651">
        <f t="shared" si="128"/>
        <v>0</v>
      </c>
    </row>
    <row r="1355" spans="4:22" x14ac:dyDescent="0.25">
      <c r="D1355" s="118">
        <f>+CUBICACION!D1354</f>
        <v>0</v>
      </c>
      <c r="E1355" s="118">
        <f>+CUBICACION!F1354</f>
        <v>0</v>
      </c>
      <c r="F1355" s="118">
        <f>+CUBICACION!E1354</f>
        <v>0</v>
      </c>
      <c r="G1355" s="118">
        <v>12</v>
      </c>
      <c r="H1355" s="118">
        <v>2</v>
      </c>
      <c r="I1355" s="820">
        <v>26385</v>
      </c>
      <c r="J1355" s="118">
        <f>+CUBICACION!J1354</f>
        <v>0</v>
      </c>
      <c r="K1355" s="118">
        <v>4134</v>
      </c>
      <c r="L1355" s="118">
        <f>+CUBICACION!L1354</f>
        <v>0</v>
      </c>
      <c r="M1355" s="64">
        <f>+CUBICACION!M1354</f>
        <v>0</v>
      </c>
      <c r="N1355" s="824" t="str">
        <f>+CUBICACION!N1354</f>
        <v/>
      </c>
      <c r="O1355" s="675">
        <f>+CUBICACION!O1354</f>
        <v>0</v>
      </c>
      <c r="P1355" s="15">
        <f>IF(O1355="Fire Control",VLOOKUP(_xlfn.MINIFS('FIRE CONTROL'!$C$4:$C$37,'FIRE CONTROL'!$C$4:$C$37,"&gt;="&amp;M1355),'FIRE CONTROL'!$C$4:$G$37,IF(L1355="F-15",2,IF(L1355="F-30",3,IF(L1355="F-60",4,IF(L1355="F-90",5,0)))),0),0)+IF(AND(O1355="FIRE TEX 5062",OR(E1355="IN",E1355="C",E1355="Z",E1355="L"),J1355=3),VLOOKUP(_xlfn.MINIFS('FIRE TEX 5062'!$B$4:$B$34,'FIRE TEX 5062'!$B$4:$B$34,"&gt;="&amp;M1355),'FIRE TEX 5062'!$B$4:$F$34,IF(L1355="F-15",2,IF(L1355="F-30",3,IF(L1355="F-60",4,IF(L1355="F-90",5,0)))),0),0)+IF(AND(O1355="FIRE TEX 5062",OR(E1355="IN",E1355="C",E1355="Z",E1355="L"),J1355=4),VLOOKUP(_xlfn.MINIFS('FIRE TEX 5062'!$G$4:$G$34,'FIRE TEX 5062'!$G$4:$G$34,"&gt;="&amp;M1355),'FIRE TEX 5062'!$G$4:$K$34,IF(L1355="F-15",2,IF(L1355="F-30",3,IF(L1355="F-60",4,IF(L1355="F-90",5,0)))),0),0)+IF(AND(O1355="FIRE TEX 5062",E1355="CJ",J1355=3),VLOOKUP(_xlfn.MINIFS('FIRE TEX 5062'!$L$4:$L$34,'FIRE TEX 5062'!$L$4:$L$34,"&gt;="&amp;M1355),'FIRE TEX 5062'!$L$4:$P$34,IF(L1355="F-15",2,IF(L1355="F-30",3,IF(L1355="F-60",4,IF(L1355="F-90",5,0)))),0),0)+IF(AND(O1355="FIRE TEX 5062",E1355="CJ",J1355=4),VLOOKUP(_xlfn.MINIFS('FIRE TEX 5062'!$Q$3:$Q$34,'FIRE TEX 5062'!$Q$3:$Q$34,"&gt;="&amp;M1355),'FIRE TEX 5062'!$Q$3:$U$34,IF(L1355="F-15",2,IF(L1355="F-30",3,IF(L1355="F-60",4,IF(L1355="F-90",5,0)))),0),0)+IF(AND(O1355="FIRE TEX 5090",OR(E1355="IN",E1355="C",E1355="Z",E1355="L"),J1355=3),VLOOKUP(_xlfn.MINIFS('FIRE TEX 5090'!$B$5:$B$43,'FIRE TEX 5090'!$B$5:$B$43,"&gt;="&amp;M1355),'FIRE TEX 5090'!$B$5:$H$43,IF(L1355="F-15",2,IF(L1355="F-30",3,IF(L1355="F-60",4,IF(L1355="F-90",5,IF(L1355="F-120",6,IF(L1355="F-150",7,0)))))),0),0)+IF(AND(O1355="FIRE TEX 5090",OR(E1355="IN",E1355="C",E1355="Z",E1355="L"),J1355=4),VLOOKUP(_xlfn.MINIFS('FIRE TEX 5090'!$J$5:$J$43,'FIRE TEX 5090'!$J$5:$J$43,"&gt;="&amp;M1355),'FIRE TEX 5090'!$J$5:$P$43,IF(L1355="F-15",2,IF(L1355="F-30",3,IF(L1355="F-60",4,IF(L1355="F-90",5,IF(L1355="F-120",6,IF(L1355="F-150",7,0)))))),0),0)+IF(AND(O1355="FIRE TEX 5090",E1355="CJ",J1355=3),VLOOKUP(_xlfn.MINIFS('FIRE TEX 5090'!$R$5:$R$30,'FIRE TEX 5090'!$R$5:$R$30,"&gt;="&amp;M1355),'FIRE TEX 5090'!$R$5:$W$30,IF(L1355="F-15",2,IF(L1355="F-30",3,IF(L1355="F-60",4,IF(L1355="F-90",5,IF(L1355="F-120",6,IF(L1355="F-150",7,0)))))),0),0)+IF(AND(O1355="FIRE TEX 5090",E1355="CJ",J1355=4),VLOOKUP(_xlfn.MINIFS('FIRE TEX 5090'!$Y$5:$Y$39,'FIRE TEX 5090'!$Y$5:$Y$39,"&gt;="&amp;M1355),'FIRE TEX 5090'!$Y$5:$AD$39,IF(L1355="F-15",2,IF(L1355="F-30",3,IF(L1355="F-60",4,IF(L1355="F-90",5,IF(L1355="F-120",6,IF(L1355="F-150",7,0)))))),0),0)+IF(AND(O1355="FIRE TEX 5120",OR(E1355="IN",E1355="C",E1355="Z",E1355="L"),J1355=3),VLOOKUP(_xlfn.MINIFS('FIRE TEX 5120'!$B$5:$B$40,'FIRE TEX 5120'!$B$5:$B$40,"&gt;="&amp;M1355),'FIRE TEX 5120'!$B$5:$G$40,IF(L1355="F-15",2,IF(L1355="F-30",3,IF(L1355="F-60",4,IF(L1355="F-90",5,IF(L1355="F-120",6,0))))),0),0)+IF(AND(O1355="FIRE TEX 5120",OR(E1355="IN",E1355="C",E1355="Z",E1355="L"),J1355=4),VLOOKUP(_xlfn.MINIFS('FIRE TEX 5120'!$H$4:$H$40,'FIRE TEX 5120'!$H$4:$H$40,"&gt;="&amp;M1355),'FIRE TEX 5120'!$H$4:$M$40,IF(L1355="F-15",2,IF(L1355="F-30",3,IF(L1355="F-60",4,IF(L1355="F-90",5,IF(L1355="F-120",6,0))))),0),0)+IF(AND(O1355="FIRE TEX 5120",E1355="CJ"),VLOOKUP(_xlfn.MINIFS('FIRE TEX 5120'!$O$5:$O$40,'FIRE TEX 5120'!$O$5:$O$40,"&gt;="&amp;M1355),'FIRE TEX 5120'!$O$5:$T$40,IF(L1355="F-15",2,IF(L1355="F-30",3,IF(L1355="F-60",4,IF(L1355="F-90",5,IF(L1355="F-120",6,0))))),0),0)</f>
        <v>0</v>
      </c>
      <c r="Q1355" s="46">
        <f t="shared" si="124"/>
        <v>0</v>
      </c>
      <c r="R1355" s="46">
        <f t="shared" si="125"/>
        <v>0</v>
      </c>
      <c r="S1355" s="46" t="e">
        <f t="shared" si="126"/>
        <v>#VALUE!</v>
      </c>
      <c r="T1355" s="677">
        <f t="shared" si="127"/>
        <v>0</v>
      </c>
      <c r="U1355" s="80">
        <f>(IF(O1355="Stofire",(S1355*#REF!),0))+(IF(O1355="Fire Control",(S1355*$U$2),0))+(IF(O1355="Fire Tex",(S1355*$U$3),0))+(IF(O1355="WB7",(S1355*#REF!),0)+(IF(O1355="FX 2003",(S1355*$U$5),0)))</f>
        <v>0</v>
      </c>
      <c r="V1355" s="651">
        <f t="shared" si="128"/>
        <v>0</v>
      </c>
    </row>
    <row r="1356" spans="4:22" x14ac:dyDescent="0.25">
      <c r="D1356" s="118">
        <f>+CUBICACION!D1355</f>
        <v>0</v>
      </c>
      <c r="E1356" s="118">
        <f>+CUBICACION!F1355</f>
        <v>0</v>
      </c>
      <c r="F1356" s="118">
        <f>+CUBICACION!E1355</f>
        <v>0</v>
      </c>
      <c r="G1356" s="118">
        <v>12</v>
      </c>
      <c r="H1356" s="118">
        <v>2</v>
      </c>
      <c r="I1356" s="820">
        <v>26385</v>
      </c>
      <c r="J1356" s="118">
        <f>+CUBICACION!J1355</f>
        <v>0</v>
      </c>
      <c r="K1356" s="118">
        <v>4135</v>
      </c>
      <c r="L1356" s="118">
        <f>+CUBICACION!L1355</f>
        <v>0</v>
      </c>
      <c r="M1356" s="64">
        <f>+CUBICACION!M1355</f>
        <v>0</v>
      </c>
      <c r="N1356" s="824" t="str">
        <f>+CUBICACION!N1355</f>
        <v/>
      </c>
      <c r="O1356" s="675">
        <f>+CUBICACION!O1355</f>
        <v>0</v>
      </c>
      <c r="P1356" s="15">
        <f>IF(O1356="Fire Control",VLOOKUP(_xlfn.MINIFS('FIRE CONTROL'!$C$4:$C$37,'FIRE CONTROL'!$C$4:$C$37,"&gt;="&amp;M1356),'FIRE CONTROL'!$C$4:$G$37,IF(L1356="F-15",2,IF(L1356="F-30",3,IF(L1356="F-60",4,IF(L1356="F-90",5,0)))),0),0)+IF(AND(O1356="FIRE TEX 5062",OR(E1356="IN",E1356="C",E1356="Z",E1356="L"),J1356=3),VLOOKUP(_xlfn.MINIFS('FIRE TEX 5062'!$B$4:$B$34,'FIRE TEX 5062'!$B$4:$B$34,"&gt;="&amp;M1356),'FIRE TEX 5062'!$B$4:$F$34,IF(L1356="F-15",2,IF(L1356="F-30",3,IF(L1356="F-60",4,IF(L1356="F-90",5,0)))),0),0)+IF(AND(O1356="FIRE TEX 5062",OR(E1356="IN",E1356="C",E1356="Z",E1356="L"),J1356=4),VLOOKUP(_xlfn.MINIFS('FIRE TEX 5062'!$G$4:$G$34,'FIRE TEX 5062'!$G$4:$G$34,"&gt;="&amp;M1356),'FIRE TEX 5062'!$G$4:$K$34,IF(L1356="F-15",2,IF(L1356="F-30",3,IF(L1356="F-60",4,IF(L1356="F-90",5,0)))),0),0)+IF(AND(O1356="FIRE TEX 5062",E1356="CJ",J1356=3),VLOOKUP(_xlfn.MINIFS('FIRE TEX 5062'!$L$4:$L$34,'FIRE TEX 5062'!$L$4:$L$34,"&gt;="&amp;M1356),'FIRE TEX 5062'!$L$4:$P$34,IF(L1356="F-15",2,IF(L1356="F-30",3,IF(L1356="F-60",4,IF(L1356="F-90",5,0)))),0),0)+IF(AND(O1356="FIRE TEX 5062",E1356="CJ",J1356=4),VLOOKUP(_xlfn.MINIFS('FIRE TEX 5062'!$Q$3:$Q$34,'FIRE TEX 5062'!$Q$3:$Q$34,"&gt;="&amp;M1356),'FIRE TEX 5062'!$Q$3:$U$34,IF(L1356="F-15",2,IF(L1356="F-30",3,IF(L1356="F-60",4,IF(L1356="F-90",5,0)))),0),0)+IF(AND(O1356="FIRE TEX 5090",OR(E1356="IN",E1356="C",E1356="Z",E1356="L"),J1356=3),VLOOKUP(_xlfn.MINIFS('FIRE TEX 5090'!$B$5:$B$43,'FIRE TEX 5090'!$B$5:$B$43,"&gt;="&amp;M1356),'FIRE TEX 5090'!$B$5:$H$43,IF(L1356="F-15",2,IF(L1356="F-30",3,IF(L1356="F-60",4,IF(L1356="F-90",5,IF(L1356="F-120",6,IF(L1356="F-150",7,0)))))),0),0)+IF(AND(O1356="FIRE TEX 5090",OR(E1356="IN",E1356="C",E1356="Z",E1356="L"),J1356=4),VLOOKUP(_xlfn.MINIFS('FIRE TEX 5090'!$J$5:$J$43,'FIRE TEX 5090'!$J$5:$J$43,"&gt;="&amp;M1356),'FIRE TEX 5090'!$J$5:$P$43,IF(L1356="F-15",2,IF(L1356="F-30",3,IF(L1356="F-60",4,IF(L1356="F-90",5,IF(L1356="F-120",6,IF(L1356="F-150",7,0)))))),0),0)+IF(AND(O1356="FIRE TEX 5090",E1356="CJ",J1356=3),VLOOKUP(_xlfn.MINIFS('FIRE TEX 5090'!$R$5:$R$30,'FIRE TEX 5090'!$R$5:$R$30,"&gt;="&amp;M1356),'FIRE TEX 5090'!$R$5:$W$30,IF(L1356="F-15",2,IF(L1356="F-30",3,IF(L1356="F-60",4,IF(L1356="F-90",5,IF(L1356="F-120",6,IF(L1356="F-150",7,0)))))),0),0)+IF(AND(O1356="FIRE TEX 5090",E1356="CJ",J1356=4),VLOOKUP(_xlfn.MINIFS('FIRE TEX 5090'!$Y$5:$Y$39,'FIRE TEX 5090'!$Y$5:$Y$39,"&gt;="&amp;M1356),'FIRE TEX 5090'!$Y$5:$AD$39,IF(L1356="F-15",2,IF(L1356="F-30",3,IF(L1356="F-60",4,IF(L1356="F-90",5,IF(L1356="F-120",6,IF(L1356="F-150",7,0)))))),0),0)+IF(AND(O1356="FIRE TEX 5120",OR(E1356="IN",E1356="C",E1356="Z",E1356="L"),J1356=3),VLOOKUP(_xlfn.MINIFS('FIRE TEX 5120'!$B$5:$B$40,'FIRE TEX 5120'!$B$5:$B$40,"&gt;="&amp;M1356),'FIRE TEX 5120'!$B$5:$G$40,IF(L1356="F-15",2,IF(L1356="F-30",3,IF(L1356="F-60",4,IF(L1356="F-90",5,IF(L1356="F-120",6,0))))),0),0)+IF(AND(O1356="FIRE TEX 5120",OR(E1356="IN",E1356="C",E1356="Z",E1356="L"),J1356=4),VLOOKUP(_xlfn.MINIFS('FIRE TEX 5120'!$H$4:$H$40,'FIRE TEX 5120'!$H$4:$H$40,"&gt;="&amp;M1356),'FIRE TEX 5120'!$H$4:$M$40,IF(L1356="F-15",2,IF(L1356="F-30",3,IF(L1356="F-60",4,IF(L1356="F-90",5,IF(L1356="F-120",6,0))))),0),0)+IF(AND(O1356="FIRE TEX 5120",E1356="CJ"),VLOOKUP(_xlfn.MINIFS('FIRE TEX 5120'!$O$5:$O$40,'FIRE TEX 5120'!$O$5:$O$40,"&gt;="&amp;M1356),'FIRE TEX 5120'!$O$5:$T$40,IF(L1356="F-15",2,IF(L1356="F-30",3,IF(L1356="F-60",4,IF(L1356="F-90",5,IF(L1356="F-120",6,0))))),0),0)</f>
        <v>0</v>
      </c>
      <c r="Q1356" s="46">
        <f t="shared" si="124"/>
        <v>0</v>
      </c>
      <c r="R1356" s="46">
        <f t="shared" si="125"/>
        <v>0</v>
      </c>
      <c r="S1356" s="46" t="e">
        <f t="shared" si="126"/>
        <v>#VALUE!</v>
      </c>
      <c r="T1356" s="677">
        <f t="shared" si="127"/>
        <v>0</v>
      </c>
      <c r="U1356" s="80">
        <f>(IF(O1356="Stofire",(S1356*#REF!),0))+(IF(O1356="Fire Control",(S1356*$U$2),0))+(IF(O1356="Fire Tex",(S1356*$U$3),0))+(IF(O1356="WB7",(S1356*#REF!),0)+(IF(O1356="FX 2003",(S1356*$U$5),0)))</f>
        <v>0</v>
      </c>
      <c r="V1356" s="651">
        <f t="shared" si="128"/>
        <v>0</v>
      </c>
    </row>
    <row r="1357" spans="4:22" x14ac:dyDescent="0.25">
      <c r="D1357" s="118">
        <f>+CUBICACION!D1356</f>
        <v>0</v>
      </c>
      <c r="E1357" s="118">
        <f>+CUBICACION!F1356</f>
        <v>0</v>
      </c>
      <c r="F1357" s="118">
        <f>+CUBICACION!E1356</f>
        <v>0</v>
      </c>
      <c r="G1357" s="118">
        <v>12</v>
      </c>
      <c r="H1357" s="118">
        <v>2</v>
      </c>
      <c r="I1357" s="820">
        <v>26385</v>
      </c>
      <c r="J1357" s="118">
        <f>+CUBICACION!J1356</f>
        <v>0</v>
      </c>
      <c r="K1357" s="118">
        <v>4136</v>
      </c>
      <c r="L1357" s="118">
        <f>+CUBICACION!L1356</f>
        <v>0</v>
      </c>
      <c r="M1357" s="64">
        <f>+CUBICACION!M1356</f>
        <v>0</v>
      </c>
      <c r="N1357" s="824" t="str">
        <f>+CUBICACION!N1356</f>
        <v/>
      </c>
      <c r="O1357" s="675">
        <f>+CUBICACION!O1356</f>
        <v>0</v>
      </c>
      <c r="P1357" s="15">
        <f>IF(O1357="Fire Control",VLOOKUP(_xlfn.MINIFS('FIRE CONTROL'!$C$4:$C$37,'FIRE CONTROL'!$C$4:$C$37,"&gt;="&amp;M1357),'FIRE CONTROL'!$C$4:$G$37,IF(L1357="F-15",2,IF(L1357="F-30",3,IF(L1357="F-60",4,IF(L1357="F-90",5,0)))),0),0)+IF(AND(O1357="FIRE TEX 5062",OR(E1357="IN",E1357="C",E1357="Z",E1357="L"),J1357=3),VLOOKUP(_xlfn.MINIFS('FIRE TEX 5062'!$B$4:$B$34,'FIRE TEX 5062'!$B$4:$B$34,"&gt;="&amp;M1357),'FIRE TEX 5062'!$B$4:$F$34,IF(L1357="F-15",2,IF(L1357="F-30",3,IF(L1357="F-60",4,IF(L1357="F-90",5,0)))),0),0)+IF(AND(O1357="FIRE TEX 5062",OR(E1357="IN",E1357="C",E1357="Z",E1357="L"),J1357=4),VLOOKUP(_xlfn.MINIFS('FIRE TEX 5062'!$G$4:$G$34,'FIRE TEX 5062'!$G$4:$G$34,"&gt;="&amp;M1357),'FIRE TEX 5062'!$G$4:$K$34,IF(L1357="F-15",2,IF(L1357="F-30",3,IF(L1357="F-60",4,IF(L1357="F-90",5,0)))),0),0)+IF(AND(O1357="FIRE TEX 5062",E1357="CJ",J1357=3),VLOOKUP(_xlfn.MINIFS('FIRE TEX 5062'!$L$4:$L$34,'FIRE TEX 5062'!$L$4:$L$34,"&gt;="&amp;M1357),'FIRE TEX 5062'!$L$4:$P$34,IF(L1357="F-15",2,IF(L1357="F-30",3,IF(L1357="F-60",4,IF(L1357="F-90",5,0)))),0),0)+IF(AND(O1357="FIRE TEX 5062",E1357="CJ",J1357=4),VLOOKUP(_xlfn.MINIFS('FIRE TEX 5062'!$Q$3:$Q$34,'FIRE TEX 5062'!$Q$3:$Q$34,"&gt;="&amp;M1357),'FIRE TEX 5062'!$Q$3:$U$34,IF(L1357="F-15",2,IF(L1357="F-30",3,IF(L1357="F-60",4,IF(L1357="F-90",5,0)))),0),0)+IF(AND(O1357="FIRE TEX 5090",OR(E1357="IN",E1357="C",E1357="Z",E1357="L"),J1357=3),VLOOKUP(_xlfn.MINIFS('FIRE TEX 5090'!$B$5:$B$43,'FIRE TEX 5090'!$B$5:$B$43,"&gt;="&amp;M1357),'FIRE TEX 5090'!$B$5:$H$43,IF(L1357="F-15",2,IF(L1357="F-30",3,IF(L1357="F-60",4,IF(L1357="F-90",5,IF(L1357="F-120",6,IF(L1357="F-150",7,0)))))),0),0)+IF(AND(O1357="FIRE TEX 5090",OR(E1357="IN",E1357="C",E1357="Z",E1357="L"),J1357=4),VLOOKUP(_xlfn.MINIFS('FIRE TEX 5090'!$J$5:$J$43,'FIRE TEX 5090'!$J$5:$J$43,"&gt;="&amp;M1357),'FIRE TEX 5090'!$J$5:$P$43,IF(L1357="F-15",2,IF(L1357="F-30",3,IF(L1357="F-60",4,IF(L1357="F-90",5,IF(L1357="F-120",6,IF(L1357="F-150",7,0)))))),0),0)+IF(AND(O1357="FIRE TEX 5090",E1357="CJ",J1357=3),VLOOKUP(_xlfn.MINIFS('FIRE TEX 5090'!$R$5:$R$30,'FIRE TEX 5090'!$R$5:$R$30,"&gt;="&amp;M1357),'FIRE TEX 5090'!$R$5:$W$30,IF(L1357="F-15",2,IF(L1357="F-30",3,IF(L1357="F-60",4,IF(L1357="F-90",5,IF(L1357="F-120",6,IF(L1357="F-150",7,0)))))),0),0)+IF(AND(O1357="FIRE TEX 5090",E1357="CJ",J1357=4),VLOOKUP(_xlfn.MINIFS('FIRE TEX 5090'!$Y$5:$Y$39,'FIRE TEX 5090'!$Y$5:$Y$39,"&gt;="&amp;M1357),'FIRE TEX 5090'!$Y$5:$AD$39,IF(L1357="F-15",2,IF(L1357="F-30",3,IF(L1357="F-60",4,IF(L1357="F-90",5,IF(L1357="F-120",6,IF(L1357="F-150",7,0)))))),0),0)+IF(AND(O1357="FIRE TEX 5120",OR(E1357="IN",E1357="C",E1357="Z",E1357="L"),J1357=3),VLOOKUP(_xlfn.MINIFS('FIRE TEX 5120'!$B$5:$B$40,'FIRE TEX 5120'!$B$5:$B$40,"&gt;="&amp;M1357),'FIRE TEX 5120'!$B$5:$G$40,IF(L1357="F-15",2,IF(L1357="F-30",3,IF(L1357="F-60",4,IF(L1357="F-90",5,IF(L1357="F-120",6,0))))),0),0)+IF(AND(O1357="FIRE TEX 5120",OR(E1357="IN",E1357="C",E1357="Z",E1357="L"),J1357=4),VLOOKUP(_xlfn.MINIFS('FIRE TEX 5120'!$H$4:$H$40,'FIRE TEX 5120'!$H$4:$H$40,"&gt;="&amp;M1357),'FIRE TEX 5120'!$H$4:$M$40,IF(L1357="F-15",2,IF(L1357="F-30",3,IF(L1357="F-60",4,IF(L1357="F-90",5,IF(L1357="F-120",6,0))))),0),0)+IF(AND(O1357="FIRE TEX 5120",E1357="CJ"),VLOOKUP(_xlfn.MINIFS('FIRE TEX 5120'!$O$5:$O$40,'FIRE TEX 5120'!$O$5:$O$40,"&gt;="&amp;M1357),'FIRE TEX 5120'!$O$5:$T$40,IF(L1357="F-15",2,IF(L1357="F-30",3,IF(L1357="F-60",4,IF(L1357="F-90",5,IF(L1357="F-120",6,0))))),0),0)</f>
        <v>0</v>
      </c>
      <c r="Q1357" s="46">
        <f t="shared" si="124"/>
        <v>0</v>
      </c>
      <c r="R1357" s="46">
        <f t="shared" si="125"/>
        <v>0</v>
      </c>
      <c r="S1357" s="46" t="e">
        <f t="shared" si="126"/>
        <v>#VALUE!</v>
      </c>
      <c r="T1357" s="677">
        <f t="shared" si="127"/>
        <v>0</v>
      </c>
      <c r="U1357" s="80">
        <f>(IF(O1357="Stofire",(S1357*#REF!),0))+(IF(O1357="Fire Control",(S1357*$U$2),0))+(IF(O1357="Fire Tex",(S1357*$U$3),0))+(IF(O1357="WB7",(S1357*#REF!),0)+(IF(O1357="FX 2003",(S1357*$U$5),0)))</f>
        <v>0</v>
      </c>
      <c r="V1357" s="651">
        <f t="shared" si="128"/>
        <v>0</v>
      </c>
    </row>
    <row r="1358" spans="4:22" x14ac:dyDescent="0.25">
      <c r="D1358" s="118">
        <f>+CUBICACION!D1357</f>
        <v>0</v>
      </c>
      <c r="E1358" s="118">
        <f>+CUBICACION!F1357</f>
        <v>0</v>
      </c>
      <c r="F1358" s="118">
        <f>+CUBICACION!E1357</f>
        <v>0</v>
      </c>
      <c r="G1358" s="118">
        <v>12</v>
      </c>
      <c r="H1358" s="118">
        <v>2</v>
      </c>
      <c r="I1358" s="820">
        <v>26385</v>
      </c>
      <c r="J1358" s="118">
        <f>+CUBICACION!J1357</f>
        <v>0</v>
      </c>
      <c r="K1358" s="118">
        <v>4137</v>
      </c>
      <c r="L1358" s="118">
        <f>+CUBICACION!L1357</f>
        <v>0</v>
      </c>
      <c r="M1358" s="64">
        <f>+CUBICACION!M1357</f>
        <v>0</v>
      </c>
      <c r="N1358" s="824" t="str">
        <f>+CUBICACION!N1357</f>
        <v/>
      </c>
      <c r="O1358" s="675">
        <f>+CUBICACION!O1357</f>
        <v>0</v>
      </c>
      <c r="P1358" s="15">
        <f>IF(O1358="Fire Control",VLOOKUP(_xlfn.MINIFS('FIRE CONTROL'!$C$4:$C$37,'FIRE CONTROL'!$C$4:$C$37,"&gt;="&amp;M1358),'FIRE CONTROL'!$C$4:$G$37,IF(L1358="F-15",2,IF(L1358="F-30",3,IF(L1358="F-60",4,IF(L1358="F-90",5,0)))),0),0)+IF(AND(O1358="FIRE TEX 5062",OR(E1358="IN",E1358="C",E1358="Z",E1358="L"),J1358=3),VLOOKUP(_xlfn.MINIFS('FIRE TEX 5062'!$B$4:$B$34,'FIRE TEX 5062'!$B$4:$B$34,"&gt;="&amp;M1358),'FIRE TEX 5062'!$B$4:$F$34,IF(L1358="F-15",2,IF(L1358="F-30",3,IF(L1358="F-60",4,IF(L1358="F-90",5,0)))),0),0)+IF(AND(O1358="FIRE TEX 5062",OR(E1358="IN",E1358="C",E1358="Z",E1358="L"),J1358=4),VLOOKUP(_xlfn.MINIFS('FIRE TEX 5062'!$G$4:$G$34,'FIRE TEX 5062'!$G$4:$G$34,"&gt;="&amp;M1358),'FIRE TEX 5062'!$G$4:$K$34,IF(L1358="F-15",2,IF(L1358="F-30",3,IF(L1358="F-60",4,IF(L1358="F-90",5,0)))),0),0)+IF(AND(O1358="FIRE TEX 5062",E1358="CJ",J1358=3),VLOOKUP(_xlfn.MINIFS('FIRE TEX 5062'!$L$4:$L$34,'FIRE TEX 5062'!$L$4:$L$34,"&gt;="&amp;M1358),'FIRE TEX 5062'!$L$4:$P$34,IF(L1358="F-15",2,IF(L1358="F-30",3,IF(L1358="F-60",4,IF(L1358="F-90",5,0)))),0),0)+IF(AND(O1358="FIRE TEX 5062",E1358="CJ",J1358=4),VLOOKUP(_xlfn.MINIFS('FIRE TEX 5062'!$Q$3:$Q$34,'FIRE TEX 5062'!$Q$3:$Q$34,"&gt;="&amp;M1358),'FIRE TEX 5062'!$Q$3:$U$34,IF(L1358="F-15",2,IF(L1358="F-30",3,IF(L1358="F-60",4,IF(L1358="F-90",5,0)))),0),0)+IF(AND(O1358="FIRE TEX 5090",OR(E1358="IN",E1358="C",E1358="Z",E1358="L"),J1358=3),VLOOKUP(_xlfn.MINIFS('FIRE TEX 5090'!$B$5:$B$43,'FIRE TEX 5090'!$B$5:$B$43,"&gt;="&amp;M1358),'FIRE TEX 5090'!$B$5:$H$43,IF(L1358="F-15",2,IF(L1358="F-30",3,IF(L1358="F-60",4,IF(L1358="F-90",5,IF(L1358="F-120",6,IF(L1358="F-150",7,0)))))),0),0)+IF(AND(O1358="FIRE TEX 5090",OR(E1358="IN",E1358="C",E1358="Z",E1358="L"),J1358=4),VLOOKUP(_xlfn.MINIFS('FIRE TEX 5090'!$J$5:$J$43,'FIRE TEX 5090'!$J$5:$J$43,"&gt;="&amp;M1358),'FIRE TEX 5090'!$J$5:$P$43,IF(L1358="F-15",2,IF(L1358="F-30",3,IF(L1358="F-60",4,IF(L1358="F-90",5,IF(L1358="F-120",6,IF(L1358="F-150",7,0)))))),0),0)+IF(AND(O1358="FIRE TEX 5090",E1358="CJ",J1358=3),VLOOKUP(_xlfn.MINIFS('FIRE TEX 5090'!$R$5:$R$30,'FIRE TEX 5090'!$R$5:$R$30,"&gt;="&amp;M1358),'FIRE TEX 5090'!$R$5:$W$30,IF(L1358="F-15",2,IF(L1358="F-30",3,IF(L1358="F-60",4,IF(L1358="F-90",5,IF(L1358="F-120",6,IF(L1358="F-150",7,0)))))),0),0)+IF(AND(O1358="FIRE TEX 5090",E1358="CJ",J1358=4),VLOOKUP(_xlfn.MINIFS('FIRE TEX 5090'!$Y$5:$Y$39,'FIRE TEX 5090'!$Y$5:$Y$39,"&gt;="&amp;M1358),'FIRE TEX 5090'!$Y$5:$AD$39,IF(L1358="F-15",2,IF(L1358="F-30",3,IF(L1358="F-60",4,IF(L1358="F-90",5,IF(L1358="F-120",6,IF(L1358="F-150",7,0)))))),0),0)+IF(AND(O1358="FIRE TEX 5120",OR(E1358="IN",E1358="C",E1358="Z",E1358="L"),J1358=3),VLOOKUP(_xlfn.MINIFS('FIRE TEX 5120'!$B$5:$B$40,'FIRE TEX 5120'!$B$5:$B$40,"&gt;="&amp;M1358),'FIRE TEX 5120'!$B$5:$G$40,IF(L1358="F-15",2,IF(L1358="F-30",3,IF(L1358="F-60",4,IF(L1358="F-90",5,IF(L1358="F-120",6,0))))),0),0)+IF(AND(O1358="FIRE TEX 5120",OR(E1358="IN",E1358="C",E1358="Z",E1358="L"),J1358=4),VLOOKUP(_xlfn.MINIFS('FIRE TEX 5120'!$H$4:$H$40,'FIRE TEX 5120'!$H$4:$H$40,"&gt;="&amp;M1358),'FIRE TEX 5120'!$H$4:$M$40,IF(L1358="F-15",2,IF(L1358="F-30",3,IF(L1358="F-60",4,IF(L1358="F-90",5,IF(L1358="F-120",6,0))))),0),0)+IF(AND(O1358="FIRE TEX 5120",E1358="CJ"),VLOOKUP(_xlfn.MINIFS('FIRE TEX 5120'!$O$5:$O$40,'FIRE TEX 5120'!$O$5:$O$40,"&gt;="&amp;M1358),'FIRE TEX 5120'!$O$5:$T$40,IF(L1358="F-15",2,IF(L1358="F-30",3,IF(L1358="F-60",4,IF(L1358="F-90",5,IF(L1358="F-120",6,0))))),0),0)</f>
        <v>0</v>
      </c>
      <c r="Q1358" s="46">
        <f t="shared" si="124"/>
        <v>0</v>
      </c>
      <c r="R1358" s="46">
        <f t="shared" si="125"/>
        <v>0</v>
      </c>
      <c r="S1358" s="46" t="e">
        <f t="shared" si="126"/>
        <v>#VALUE!</v>
      </c>
      <c r="T1358" s="677">
        <f t="shared" si="127"/>
        <v>0</v>
      </c>
      <c r="U1358" s="80">
        <f>(IF(O1358="Stofire",(S1358*#REF!),0))+(IF(O1358="Fire Control",(S1358*$U$2),0))+(IF(O1358="Fire Tex",(S1358*$U$3),0))+(IF(O1358="WB7",(S1358*#REF!),0)+(IF(O1358="FX 2003",(S1358*$U$5),0)))</f>
        <v>0</v>
      </c>
      <c r="V1358" s="651">
        <f t="shared" si="128"/>
        <v>0</v>
      </c>
    </row>
    <row r="1359" spans="4:22" x14ac:dyDescent="0.25">
      <c r="D1359" s="118">
        <f>+CUBICACION!D1358</f>
        <v>0</v>
      </c>
      <c r="E1359" s="118">
        <f>+CUBICACION!F1358</f>
        <v>0</v>
      </c>
      <c r="F1359" s="118">
        <f>+CUBICACION!E1358</f>
        <v>0</v>
      </c>
      <c r="G1359" s="118">
        <v>12</v>
      </c>
      <c r="H1359" s="118">
        <v>2</v>
      </c>
      <c r="I1359" s="820">
        <v>26385</v>
      </c>
      <c r="J1359" s="118">
        <f>+CUBICACION!J1358</f>
        <v>0</v>
      </c>
      <c r="K1359" s="118">
        <v>4138</v>
      </c>
      <c r="L1359" s="118">
        <f>+CUBICACION!L1358</f>
        <v>0</v>
      </c>
      <c r="M1359" s="64">
        <f>+CUBICACION!M1358</f>
        <v>0</v>
      </c>
      <c r="N1359" s="824" t="str">
        <f>+CUBICACION!N1358</f>
        <v/>
      </c>
      <c r="O1359" s="675">
        <f>+CUBICACION!O1358</f>
        <v>0</v>
      </c>
      <c r="P1359" s="15">
        <f>IF(O1359="Fire Control",VLOOKUP(_xlfn.MINIFS('FIRE CONTROL'!$C$4:$C$37,'FIRE CONTROL'!$C$4:$C$37,"&gt;="&amp;M1359),'FIRE CONTROL'!$C$4:$G$37,IF(L1359="F-15",2,IF(L1359="F-30",3,IF(L1359="F-60",4,IF(L1359="F-90",5,0)))),0),0)+IF(AND(O1359="FIRE TEX 5062",OR(E1359="IN",E1359="C",E1359="Z",E1359="L"),J1359=3),VLOOKUP(_xlfn.MINIFS('FIRE TEX 5062'!$B$4:$B$34,'FIRE TEX 5062'!$B$4:$B$34,"&gt;="&amp;M1359),'FIRE TEX 5062'!$B$4:$F$34,IF(L1359="F-15",2,IF(L1359="F-30",3,IF(L1359="F-60",4,IF(L1359="F-90",5,0)))),0),0)+IF(AND(O1359="FIRE TEX 5062",OR(E1359="IN",E1359="C",E1359="Z",E1359="L"),J1359=4),VLOOKUP(_xlfn.MINIFS('FIRE TEX 5062'!$G$4:$G$34,'FIRE TEX 5062'!$G$4:$G$34,"&gt;="&amp;M1359),'FIRE TEX 5062'!$G$4:$K$34,IF(L1359="F-15",2,IF(L1359="F-30",3,IF(L1359="F-60",4,IF(L1359="F-90",5,0)))),0),0)+IF(AND(O1359="FIRE TEX 5062",E1359="CJ",J1359=3),VLOOKUP(_xlfn.MINIFS('FIRE TEX 5062'!$L$4:$L$34,'FIRE TEX 5062'!$L$4:$L$34,"&gt;="&amp;M1359),'FIRE TEX 5062'!$L$4:$P$34,IF(L1359="F-15",2,IF(L1359="F-30",3,IF(L1359="F-60",4,IF(L1359="F-90",5,0)))),0),0)+IF(AND(O1359="FIRE TEX 5062",E1359="CJ",J1359=4),VLOOKUP(_xlfn.MINIFS('FIRE TEX 5062'!$Q$3:$Q$34,'FIRE TEX 5062'!$Q$3:$Q$34,"&gt;="&amp;M1359),'FIRE TEX 5062'!$Q$3:$U$34,IF(L1359="F-15",2,IF(L1359="F-30",3,IF(L1359="F-60",4,IF(L1359="F-90",5,0)))),0),0)+IF(AND(O1359="FIRE TEX 5090",OR(E1359="IN",E1359="C",E1359="Z",E1359="L"),J1359=3),VLOOKUP(_xlfn.MINIFS('FIRE TEX 5090'!$B$5:$B$43,'FIRE TEX 5090'!$B$5:$B$43,"&gt;="&amp;M1359),'FIRE TEX 5090'!$B$5:$H$43,IF(L1359="F-15",2,IF(L1359="F-30",3,IF(L1359="F-60",4,IF(L1359="F-90",5,IF(L1359="F-120",6,IF(L1359="F-150",7,0)))))),0),0)+IF(AND(O1359="FIRE TEX 5090",OR(E1359="IN",E1359="C",E1359="Z",E1359="L"),J1359=4),VLOOKUP(_xlfn.MINIFS('FIRE TEX 5090'!$J$5:$J$43,'FIRE TEX 5090'!$J$5:$J$43,"&gt;="&amp;M1359),'FIRE TEX 5090'!$J$5:$P$43,IF(L1359="F-15",2,IF(L1359="F-30",3,IF(L1359="F-60",4,IF(L1359="F-90",5,IF(L1359="F-120",6,IF(L1359="F-150",7,0)))))),0),0)+IF(AND(O1359="FIRE TEX 5090",E1359="CJ",J1359=3),VLOOKUP(_xlfn.MINIFS('FIRE TEX 5090'!$R$5:$R$30,'FIRE TEX 5090'!$R$5:$R$30,"&gt;="&amp;M1359),'FIRE TEX 5090'!$R$5:$W$30,IF(L1359="F-15",2,IF(L1359="F-30",3,IF(L1359="F-60",4,IF(L1359="F-90",5,IF(L1359="F-120",6,IF(L1359="F-150",7,0)))))),0),0)+IF(AND(O1359="FIRE TEX 5090",E1359="CJ",J1359=4),VLOOKUP(_xlfn.MINIFS('FIRE TEX 5090'!$Y$5:$Y$39,'FIRE TEX 5090'!$Y$5:$Y$39,"&gt;="&amp;M1359),'FIRE TEX 5090'!$Y$5:$AD$39,IF(L1359="F-15",2,IF(L1359="F-30",3,IF(L1359="F-60",4,IF(L1359="F-90",5,IF(L1359="F-120",6,IF(L1359="F-150",7,0)))))),0),0)+IF(AND(O1359="FIRE TEX 5120",OR(E1359="IN",E1359="C",E1359="Z",E1359="L"),J1359=3),VLOOKUP(_xlfn.MINIFS('FIRE TEX 5120'!$B$5:$B$40,'FIRE TEX 5120'!$B$5:$B$40,"&gt;="&amp;M1359),'FIRE TEX 5120'!$B$5:$G$40,IF(L1359="F-15",2,IF(L1359="F-30",3,IF(L1359="F-60",4,IF(L1359="F-90",5,IF(L1359="F-120",6,0))))),0),0)+IF(AND(O1359="FIRE TEX 5120",OR(E1359="IN",E1359="C",E1359="Z",E1359="L"),J1359=4),VLOOKUP(_xlfn.MINIFS('FIRE TEX 5120'!$H$4:$H$40,'FIRE TEX 5120'!$H$4:$H$40,"&gt;="&amp;M1359),'FIRE TEX 5120'!$H$4:$M$40,IF(L1359="F-15",2,IF(L1359="F-30",3,IF(L1359="F-60",4,IF(L1359="F-90",5,IF(L1359="F-120",6,0))))),0),0)+IF(AND(O1359="FIRE TEX 5120",E1359="CJ"),VLOOKUP(_xlfn.MINIFS('FIRE TEX 5120'!$O$5:$O$40,'FIRE TEX 5120'!$O$5:$O$40,"&gt;="&amp;M1359),'FIRE TEX 5120'!$O$5:$T$40,IF(L1359="F-15",2,IF(L1359="F-30",3,IF(L1359="F-60",4,IF(L1359="F-90",5,IF(L1359="F-120",6,0))))),0),0)</f>
        <v>0</v>
      </c>
      <c r="Q1359" s="46">
        <f t="shared" si="124"/>
        <v>0</v>
      </c>
      <c r="R1359" s="46">
        <f t="shared" si="125"/>
        <v>0</v>
      </c>
      <c r="S1359" s="46" t="e">
        <f t="shared" si="126"/>
        <v>#VALUE!</v>
      </c>
      <c r="T1359" s="677">
        <f t="shared" si="127"/>
        <v>0</v>
      </c>
      <c r="U1359" s="80">
        <f>(IF(O1359="Stofire",(S1359*#REF!),0))+(IF(O1359="Fire Control",(S1359*$U$2),0))+(IF(O1359="Fire Tex",(S1359*$U$3),0))+(IF(O1359="WB7",(S1359*#REF!),0)+(IF(O1359="FX 2003",(S1359*$U$5),0)))</f>
        <v>0</v>
      </c>
      <c r="V1359" s="651">
        <f t="shared" si="128"/>
        <v>0</v>
      </c>
    </row>
    <row r="1360" spans="4:22" x14ac:dyDescent="0.25">
      <c r="D1360" s="118">
        <f>+CUBICACION!D1359</f>
        <v>0</v>
      </c>
      <c r="E1360" s="118">
        <f>+CUBICACION!F1359</f>
        <v>0</v>
      </c>
      <c r="F1360" s="118">
        <f>+CUBICACION!E1359</f>
        <v>0</v>
      </c>
      <c r="G1360" s="118">
        <v>12</v>
      </c>
      <c r="H1360" s="118">
        <v>2</v>
      </c>
      <c r="I1360" s="820">
        <v>26385</v>
      </c>
      <c r="J1360" s="118">
        <f>+CUBICACION!J1359</f>
        <v>0</v>
      </c>
      <c r="K1360" s="118">
        <v>4139</v>
      </c>
      <c r="L1360" s="118">
        <f>+CUBICACION!L1359</f>
        <v>0</v>
      </c>
      <c r="M1360" s="64">
        <f>+CUBICACION!M1359</f>
        <v>0</v>
      </c>
      <c r="N1360" s="824" t="str">
        <f>+CUBICACION!N1359</f>
        <v/>
      </c>
      <c r="O1360" s="675">
        <f>+CUBICACION!O1359</f>
        <v>0</v>
      </c>
      <c r="P1360" s="15">
        <f>IF(O1360="Fire Control",VLOOKUP(_xlfn.MINIFS('FIRE CONTROL'!$C$4:$C$37,'FIRE CONTROL'!$C$4:$C$37,"&gt;="&amp;M1360),'FIRE CONTROL'!$C$4:$G$37,IF(L1360="F-15",2,IF(L1360="F-30",3,IF(L1360="F-60",4,IF(L1360="F-90",5,0)))),0),0)+IF(AND(O1360="FIRE TEX 5062",OR(E1360="IN",E1360="C",E1360="Z",E1360="L"),J1360=3),VLOOKUP(_xlfn.MINIFS('FIRE TEX 5062'!$B$4:$B$34,'FIRE TEX 5062'!$B$4:$B$34,"&gt;="&amp;M1360),'FIRE TEX 5062'!$B$4:$F$34,IF(L1360="F-15",2,IF(L1360="F-30",3,IF(L1360="F-60",4,IF(L1360="F-90",5,0)))),0),0)+IF(AND(O1360="FIRE TEX 5062",OR(E1360="IN",E1360="C",E1360="Z",E1360="L"),J1360=4),VLOOKUP(_xlfn.MINIFS('FIRE TEX 5062'!$G$4:$G$34,'FIRE TEX 5062'!$G$4:$G$34,"&gt;="&amp;M1360),'FIRE TEX 5062'!$G$4:$K$34,IF(L1360="F-15",2,IF(L1360="F-30",3,IF(L1360="F-60",4,IF(L1360="F-90",5,0)))),0),0)+IF(AND(O1360="FIRE TEX 5062",E1360="CJ",J1360=3),VLOOKUP(_xlfn.MINIFS('FIRE TEX 5062'!$L$4:$L$34,'FIRE TEX 5062'!$L$4:$L$34,"&gt;="&amp;M1360),'FIRE TEX 5062'!$L$4:$P$34,IF(L1360="F-15",2,IF(L1360="F-30",3,IF(L1360="F-60",4,IF(L1360="F-90",5,0)))),0),0)+IF(AND(O1360="FIRE TEX 5062",E1360="CJ",J1360=4),VLOOKUP(_xlfn.MINIFS('FIRE TEX 5062'!$Q$3:$Q$34,'FIRE TEX 5062'!$Q$3:$Q$34,"&gt;="&amp;M1360),'FIRE TEX 5062'!$Q$3:$U$34,IF(L1360="F-15",2,IF(L1360="F-30",3,IF(L1360="F-60",4,IF(L1360="F-90",5,0)))),0),0)+IF(AND(O1360="FIRE TEX 5090",OR(E1360="IN",E1360="C",E1360="Z",E1360="L"),J1360=3),VLOOKUP(_xlfn.MINIFS('FIRE TEX 5090'!$B$5:$B$43,'FIRE TEX 5090'!$B$5:$B$43,"&gt;="&amp;M1360),'FIRE TEX 5090'!$B$5:$H$43,IF(L1360="F-15",2,IF(L1360="F-30",3,IF(L1360="F-60",4,IF(L1360="F-90",5,IF(L1360="F-120",6,IF(L1360="F-150",7,0)))))),0),0)+IF(AND(O1360="FIRE TEX 5090",OR(E1360="IN",E1360="C",E1360="Z",E1360="L"),J1360=4),VLOOKUP(_xlfn.MINIFS('FIRE TEX 5090'!$J$5:$J$43,'FIRE TEX 5090'!$J$5:$J$43,"&gt;="&amp;M1360),'FIRE TEX 5090'!$J$5:$P$43,IF(L1360="F-15",2,IF(L1360="F-30",3,IF(L1360="F-60",4,IF(L1360="F-90",5,IF(L1360="F-120",6,IF(L1360="F-150",7,0)))))),0),0)+IF(AND(O1360="FIRE TEX 5090",E1360="CJ",J1360=3),VLOOKUP(_xlfn.MINIFS('FIRE TEX 5090'!$R$5:$R$30,'FIRE TEX 5090'!$R$5:$R$30,"&gt;="&amp;M1360),'FIRE TEX 5090'!$R$5:$W$30,IF(L1360="F-15",2,IF(L1360="F-30",3,IF(L1360="F-60",4,IF(L1360="F-90",5,IF(L1360="F-120",6,IF(L1360="F-150",7,0)))))),0),0)+IF(AND(O1360="FIRE TEX 5090",E1360="CJ",J1360=4),VLOOKUP(_xlfn.MINIFS('FIRE TEX 5090'!$Y$5:$Y$39,'FIRE TEX 5090'!$Y$5:$Y$39,"&gt;="&amp;M1360),'FIRE TEX 5090'!$Y$5:$AD$39,IF(L1360="F-15",2,IF(L1360="F-30",3,IF(L1360="F-60",4,IF(L1360="F-90",5,IF(L1360="F-120",6,IF(L1360="F-150",7,0)))))),0),0)+IF(AND(O1360="FIRE TEX 5120",OR(E1360="IN",E1360="C",E1360="Z",E1360="L"),J1360=3),VLOOKUP(_xlfn.MINIFS('FIRE TEX 5120'!$B$5:$B$40,'FIRE TEX 5120'!$B$5:$B$40,"&gt;="&amp;M1360),'FIRE TEX 5120'!$B$5:$G$40,IF(L1360="F-15",2,IF(L1360="F-30",3,IF(L1360="F-60",4,IF(L1360="F-90",5,IF(L1360="F-120",6,0))))),0),0)+IF(AND(O1360="FIRE TEX 5120",OR(E1360="IN",E1360="C",E1360="Z",E1360="L"),J1360=4),VLOOKUP(_xlfn.MINIFS('FIRE TEX 5120'!$H$4:$H$40,'FIRE TEX 5120'!$H$4:$H$40,"&gt;="&amp;M1360),'FIRE TEX 5120'!$H$4:$M$40,IF(L1360="F-15",2,IF(L1360="F-30",3,IF(L1360="F-60",4,IF(L1360="F-90",5,IF(L1360="F-120",6,0))))),0),0)+IF(AND(O1360="FIRE TEX 5120",E1360="CJ"),VLOOKUP(_xlfn.MINIFS('FIRE TEX 5120'!$O$5:$O$40,'FIRE TEX 5120'!$O$5:$O$40,"&gt;="&amp;M1360),'FIRE TEX 5120'!$O$5:$T$40,IF(L1360="F-15",2,IF(L1360="F-30",3,IF(L1360="F-60",4,IF(L1360="F-90",5,IF(L1360="F-120",6,0))))),0),0)</f>
        <v>0</v>
      </c>
      <c r="Q1360" s="46">
        <f t="shared" si="124"/>
        <v>0</v>
      </c>
      <c r="R1360" s="46">
        <f t="shared" si="125"/>
        <v>0</v>
      </c>
      <c r="S1360" s="46" t="e">
        <f t="shared" si="126"/>
        <v>#VALUE!</v>
      </c>
      <c r="T1360" s="677">
        <f t="shared" si="127"/>
        <v>0</v>
      </c>
      <c r="U1360" s="80">
        <f>(IF(O1360="Stofire",(S1360*#REF!),0))+(IF(O1360="Fire Control",(S1360*$U$2),0))+(IF(O1360="Fire Tex",(S1360*$U$3),0))+(IF(O1360="WB7",(S1360*#REF!),0)+(IF(O1360="FX 2003",(S1360*$U$5),0)))</f>
        <v>0</v>
      </c>
      <c r="V1360" s="651">
        <f t="shared" si="128"/>
        <v>0</v>
      </c>
    </row>
    <row r="1361" spans="4:22" x14ac:dyDescent="0.25">
      <c r="D1361" s="118">
        <f>+CUBICACION!D1360</f>
        <v>0</v>
      </c>
      <c r="E1361" s="118">
        <f>+CUBICACION!F1360</f>
        <v>0</v>
      </c>
      <c r="F1361" s="118">
        <f>+CUBICACION!E1360</f>
        <v>0</v>
      </c>
      <c r="G1361" s="118">
        <v>12</v>
      </c>
      <c r="H1361" s="118">
        <v>2</v>
      </c>
      <c r="I1361" s="820">
        <v>26385</v>
      </c>
      <c r="J1361" s="118">
        <f>+CUBICACION!J1360</f>
        <v>0</v>
      </c>
      <c r="K1361" s="118">
        <v>4140</v>
      </c>
      <c r="L1361" s="118">
        <f>+CUBICACION!L1360</f>
        <v>0</v>
      </c>
      <c r="M1361" s="64">
        <f>+CUBICACION!M1360</f>
        <v>0</v>
      </c>
      <c r="N1361" s="824" t="str">
        <f>+CUBICACION!N1360</f>
        <v/>
      </c>
      <c r="O1361" s="675">
        <f>+CUBICACION!O1360</f>
        <v>0</v>
      </c>
      <c r="P1361" s="15">
        <f>IF(O1361="Fire Control",VLOOKUP(_xlfn.MINIFS('FIRE CONTROL'!$C$4:$C$37,'FIRE CONTROL'!$C$4:$C$37,"&gt;="&amp;M1361),'FIRE CONTROL'!$C$4:$G$37,IF(L1361="F-15",2,IF(L1361="F-30",3,IF(L1361="F-60",4,IF(L1361="F-90",5,0)))),0),0)+IF(AND(O1361="FIRE TEX 5062",OR(E1361="IN",E1361="C",E1361="Z",E1361="L"),J1361=3),VLOOKUP(_xlfn.MINIFS('FIRE TEX 5062'!$B$4:$B$34,'FIRE TEX 5062'!$B$4:$B$34,"&gt;="&amp;M1361),'FIRE TEX 5062'!$B$4:$F$34,IF(L1361="F-15",2,IF(L1361="F-30",3,IF(L1361="F-60",4,IF(L1361="F-90",5,0)))),0),0)+IF(AND(O1361="FIRE TEX 5062",OR(E1361="IN",E1361="C",E1361="Z",E1361="L"),J1361=4),VLOOKUP(_xlfn.MINIFS('FIRE TEX 5062'!$G$4:$G$34,'FIRE TEX 5062'!$G$4:$G$34,"&gt;="&amp;M1361),'FIRE TEX 5062'!$G$4:$K$34,IF(L1361="F-15",2,IF(L1361="F-30",3,IF(L1361="F-60",4,IF(L1361="F-90",5,0)))),0),0)+IF(AND(O1361="FIRE TEX 5062",E1361="CJ",J1361=3),VLOOKUP(_xlfn.MINIFS('FIRE TEX 5062'!$L$4:$L$34,'FIRE TEX 5062'!$L$4:$L$34,"&gt;="&amp;M1361),'FIRE TEX 5062'!$L$4:$P$34,IF(L1361="F-15",2,IF(L1361="F-30",3,IF(L1361="F-60",4,IF(L1361="F-90",5,0)))),0),0)+IF(AND(O1361="FIRE TEX 5062",E1361="CJ",J1361=4),VLOOKUP(_xlfn.MINIFS('FIRE TEX 5062'!$Q$3:$Q$34,'FIRE TEX 5062'!$Q$3:$Q$34,"&gt;="&amp;M1361),'FIRE TEX 5062'!$Q$3:$U$34,IF(L1361="F-15",2,IF(L1361="F-30",3,IF(L1361="F-60",4,IF(L1361="F-90",5,0)))),0),0)+IF(AND(O1361="FIRE TEX 5090",OR(E1361="IN",E1361="C",E1361="Z",E1361="L"),J1361=3),VLOOKUP(_xlfn.MINIFS('FIRE TEX 5090'!$B$5:$B$43,'FIRE TEX 5090'!$B$5:$B$43,"&gt;="&amp;M1361),'FIRE TEX 5090'!$B$5:$H$43,IF(L1361="F-15",2,IF(L1361="F-30",3,IF(L1361="F-60",4,IF(L1361="F-90",5,IF(L1361="F-120",6,IF(L1361="F-150",7,0)))))),0),0)+IF(AND(O1361="FIRE TEX 5090",OR(E1361="IN",E1361="C",E1361="Z",E1361="L"),J1361=4),VLOOKUP(_xlfn.MINIFS('FIRE TEX 5090'!$J$5:$J$43,'FIRE TEX 5090'!$J$5:$J$43,"&gt;="&amp;M1361),'FIRE TEX 5090'!$J$5:$P$43,IF(L1361="F-15",2,IF(L1361="F-30",3,IF(L1361="F-60",4,IF(L1361="F-90",5,IF(L1361="F-120",6,IF(L1361="F-150",7,0)))))),0),0)+IF(AND(O1361="FIRE TEX 5090",E1361="CJ",J1361=3),VLOOKUP(_xlfn.MINIFS('FIRE TEX 5090'!$R$5:$R$30,'FIRE TEX 5090'!$R$5:$R$30,"&gt;="&amp;M1361),'FIRE TEX 5090'!$R$5:$W$30,IF(L1361="F-15",2,IF(L1361="F-30",3,IF(L1361="F-60",4,IF(L1361="F-90",5,IF(L1361="F-120",6,IF(L1361="F-150",7,0)))))),0),0)+IF(AND(O1361="FIRE TEX 5090",E1361="CJ",J1361=4),VLOOKUP(_xlfn.MINIFS('FIRE TEX 5090'!$Y$5:$Y$39,'FIRE TEX 5090'!$Y$5:$Y$39,"&gt;="&amp;M1361),'FIRE TEX 5090'!$Y$5:$AD$39,IF(L1361="F-15",2,IF(L1361="F-30",3,IF(L1361="F-60",4,IF(L1361="F-90",5,IF(L1361="F-120",6,IF(L1361="F-150",7,0)))))),0),0)+IF(AND(O1361="FIRE TEX 5120",OR(E1361="IN",E1361="C",E1361="Z",E1361="L"),J1361=3),VLOOKUP(_xlfn.MINIFS('FIRE TEX 5120'!$B$5:$B$40,'FIRE TEX 5120'!$B$5:$B$40,"&gt;="&amp;M1361),'FIRE TEX 5120'!$B$5:$G$40,IF(L1361="F-15",2,IF(L1361="F-30",3,IF(L1361="F-60",4,IF(L1361="F-90",5,IF(L1361="F-120",6,0))))),0),0)+IF(AND(O1361="FIRE TEX 5120",OR(E1361="IN",E1361="C",E1361="Z",E1361="L"),J1361=4),VLOOKUP(_xlfn.MINIFS('FIRE TEX 5120'!$H$4:$H$40,'FIRE TEX 5120'!$H$4:$H$40,"&gt;="&amp;M1361),'FIRE TEX 5120'!$H$4:$M$40,IF(L1361="F-15",2,IF(L1361="F-30",3,IF(L1361="F-60",4,IF(L1361="F-90",5,IF(L1361="F-120",6,0))))),0),0)+IF(AND(O1361="FIRE TEX 5120",E1361="CJ"),VLOOKUP(_xlfn.MINIFS('FIRE TEX 5120'!$O$5:$O$40,'FIRE TEX 5120'!$O$5:$O$40,"&gt;="&amp;M1361),'FIRE TEX 5120'!$O$5:$T$40,IF(L1361="F-15",2,IF(L1361="F-30",3,IF(L1361="F-60",4,IF(L1361="F-90",5,IF(L1361="F-120",6,0))))),0),0)</f>
        <v>0</v>
      </c>
      <c r="Q1361" s="46">
        <f t="shared" si="124"/>
        <v>0</v>
      </c>
      <c r="R1361" s="46">
        <f t="shared" si="125"/>
        <v>0</v>
      </c>
      <c r="S1361" s="46" t="e">
        <f t="shared" si="126"/>
        <v>#VALUE!</v>
      </c>
      <c r="T1361" s="677">
        <f t="shared" si="127"/>
        <v>0</v>
      </c>
      <c r="U1361" s="80">
        <f>(IF(O1361="Stofire",(S1361*#REF!),0))+(IF(O1361="Fire Control",(S1361*$U$2),0))+(IF(O1361="Fire Tex",(S1361*$U$3),0))+(IF(O1361="WB7",(S1361*#REF!),0)+(IF(O1361="FX 2003",(S1361*$U$5),0)))</f>
        <v>0</v>
      </c>
      <c r="V1361" s="651">
        <f t="shared" si="128"/>
        <v>0</v>
      </c>
    </row>
    <row r="1362" spans="4:22" x14ac:dyDescent="0.25">
      <c r="D1362" s="118">
        <f>+CUBICACION!D1361</f>
        <v>0</v>
      </c>
      <c r="E1362" s="118">
        <f>+CUBICACION!F1361</f>
        <v>0</v>
      </c>
      <c r="F1362" s="118">
        <f>+CUBICACION!E1361</f>
        <v>0</v>
      </c>
      <c r="G1362" s="118">
        <v>12</v>
      </c>
      <c r="H1362" s="118">
        <v>2</v>
      </c>
      <c r="I1362" s="820">
        <v>26385</v>
      </c>
      <c r="J1362" s="118">
        <f>+CUBICACION!J1361</f>
        <v>0</v>
      </c>
      <c r="K1362" s="118">
        <v>4141</v>
      </c>
      <c r="L1362" s="118">
        <f>+CUBICACION!L1361</f>
        <v>0</v>
      </c>
      <c r="M1362" s="64">
        <f>+CUBICACION!M1361</f>
        <v>0</v>
      </c>
      <c r="N1362" s="824" t="str">
        <f>+CUBICACION!N1361</f>
        <v/>
      </c>
      <c r="O1362" s="675">
        <f>+CUBICACION!O1361</f>
        <v>0</v>
      </c>
      <c r="P1362" s="15">
        <f>IF(O1362="Fire Control",VLOOKUP(_xlfn.MINIFS('FIRE CONTROL'!$C$4:$C$37,'FIRE CONTROL'!$C$4:$C$37,"&gt;="&amp;M1362),'FIRE CONTROL'!$C$4:$G$37,IF(L1362="F-15",2,IF(L1362="F-30",3,IF(L1362="F-60",4,IF(L1362="F-90",5,0)))),0),0)+IF(AND(O1362="FIRE TEX 5062",OR(E1362="IN",E1362="C",E1362="Z",E1362="L"),J1362=3),VLOOKUP(_xlfn.MINIFS('FIRE TEX 5062'!$B$4:$B$34,'FIRE TEX 5062'!$B$4:$B$34,"&gt;="&amp;M1362),'FIRE TEX 5062'!$B$4:$F$34,IF(L1362="F-15",2,IF(L1362="F-30",3,IF(L1362="F-60",4,IF(L1362="F-90",5,0)))),0),0)+IF(AND(O1362="FIRE TEX 5062",OR(E1362="IN",E1362="C",E1362="Z",E1362="L"),J1362=4),VLOOKUP(_xlfn.MINIFS('FIRE TEX 5062'!$G$4:$G$34,'FIRE TEX 5062'!$G$4:$G$34,"&gt;="&amp;M1362),'FIRE TEX 5062'!$G$4:$K$34,IF(L1362="F-15",2,IF(L1362="F-30",3,IF(L1362="F-60",4,IF(L1362="F-90",5,0)))),0),0)+IF(AND(O1362="FIRE TEX 5062",E1362="CJ",J1362=3),VLOOKUP(_xlfn.MINIFS('FIRE TEX 5062'!$L$4:$L$34,'FIRE TEX 5062'!$L$4:$L$34,"&gt;="&amp;M1362),'FIRE TEX 5062'!$L$4:$P$34,IF(L1362="F-15",2,IF(L1362="F-30",3,IF(L1362="F-60",4,IF(L1362="F-90",5,0)))),0),0)+IF(AND(O1362="FIRE TEX 5062",E1362="CJ",J1362=4),VLOOKUP(_xlfn.MINIFS('FIRE TEX 5062'!$Q$3:$Q$34,'FIRE TEX 5062'!$Q$3:$Q$34,"&gt;="&amp;M1362),'FIRE TEX 5062'!$Q$3:$U$34,IF(L1362="F-15",2,IF(L1362="F-30",3,IF(L1362="F-60",4,IF(L1362="F-90",5,0)))),0),0)+IF(AND(O1362="FIRE TEX 5090",OR(E1362="IN",E1362="C",E1362="Z",E1362="L"),J1362=3),VLOOKUP(_xlfn.MINIFS('FIRE TEX 5090'!$B$5:$B$43,'FIRE TEX 5090'!$B$5:$B$43,"&gt;="&amp;M1362),'FIRE TEX 5090'!$B$5:$H$43,IF(L1362="F-15",2,IF(L1362="F-30",3,IF(L1362="F-60",4,IF(L1362="F-90",5,IF(L1362="F-120",6,IF(L1362="F-150",7,0)))))),0),0)+IF(AND(O1362="FIRE TEX 5090",OR(E1362="IN",E1362="C",E1362="Z",E1362="L"),J1362=4),VLOOKUP(_xlfn.MINIFS('FIRE TEX 5090'!$J$5:$J$43,'FIRE TEX 5090'!$J$5:$J$43,"&gt;="&amp;M1362),'FIRE TEX 5090'!$J$5:$P$43,IF(L1362="F-15",2,IF(L1362="F-30",3,IF(L1362="F-60",4,IF(L1362="F-90",5,IF(L1362="F-120",6,IF(L1362="F-150",7,0)))))),0),0)+IF(AND(O1362="FIRE TEX 5090",E1362="CJ",J1362=3),VLOOKUP(_xlfn.MINIFS('FIRE TEX 5090'!$R$5:$R$30,'FIRE TEX 5090'!$R$5:$R$30,"&gt;="&amp;M1362),'FIRE TEX 5090'!$R$5:$W$30,IF(L1362="F-15",2,IF(L1362="F-30",3,IF(L1362="F-60",4,IF(L1362="F-90",5,IF(L1362="F-120",6,IF(L1362="F-150",7,0)))))),0),0)+IF(AND(O1362="FIRE TEX 5090",E1362="CJ",J1362=4),VLOOKUP(_xlfn.MINIFS('FIRE TEX 5090'!$Y$5:$Y$39,'FIRE TEX 5090'!$Y$5:$Y$39,"&gt;="&amp;M1362),'FIRE TEX 5090'!$Y$5:$AD$39,IF(L1362="F-15",2,IF(L1362="F-30",3,IF(L1362="F-60",4,IF(L1362="F-90",5,IF(L1362="F-120",6,IF(L1362="F-150",7,0)))))),0),0)+IF(AND(O1362="FIRE TEX 5120",OR(E1362="IN",E1362="C",E1362="Z",E1362="L"),J1362=3),VLOOKUP(_xlfn.MINIFS('FIRE TEX 5120'!$B$5:$B$40,'FIRE TEX 5120'!$B$5:$B$40,"&gt;="&amp;M1362),'FIRE TEX 5120'!$B$5:$G$40,IF(L1362="F-15",2,IF(L1362="F-30",3,IF(L1362="F-60",4,IF(L1362="F-90",5,IF(L1362="F-120",6,0))))),0),0)+IF(AND(O1362="FIRE TEX 5120",OR(E1362="IN",E1362="C",E1362="Z",E1362="L"),J1362=4),VLOOKUP(_xlfn.MINIFS('FIRE TEX 5120'!$H$4:$H$40,'FIRE TEX 5120'!$H$4:$H$40,"&gt;="&amp;M1362),'FIRE TEX 5120'!$H$4:$M$40,IF(L1362="F-15",2,IF(L1362="F-30",3,IF(L1362="F-60",4,IF(L1362="F-90",5,IF(L1362="F-120",6,0))))),0),0)+IF(AND(O1362="FIRE TEX 5120",E1362="CJ"),VLOOKUP(_xlfn.MINIFS('FIRE TEX 5120'!$O$5:$O$40,'FIRE TEX 5120'!$O$5:$O$40,"&gt;="&amp;M1362),'FIRE TEX 5120'!$O$5:$T$40,IF(L1362="F-15",2,IF(L1362="F-30",3,IF(L1362="F-60",4,IF(L1362="F-90",5,IF(L1362="F-120",6,0))))),0),0)</f>
        <v>0</v>
      </c>
      <c r="Q1362" s="46">
        <f t="shared" si="124"/>
        <v>0</v>
      </c>
      <c r="R1362" s="46">
        <f t="shared" si="125"/>
        <v>0</v>
      </c>
      <c r="S1362" s="46" t="e">
        <f t="shared" si="126"/>
        <v>#VALUE!</v>
      </c>
      <c r="T1362" s="677">
        <f t="shared" si="127"/>
        <v>0</v>
      </c>
      <c r="U1362" s="80">
        <f>(IF(O1362="Stofire",(S1362*#REF!),0))+(IF(O1362="Fire Control",(S1362*$U$2),0))+(IF(O1362="Fire Tex",(S1362*$U$3),0))+(IF(O1362="WB7",(S1362*#REF!),0)+(IF(O1362="FX 2003",(S1362*$U$5),0)))</f>
        <v>0</v>
      </c>
      <c r="V1362" s="651">
        <f t="shared" si="128"/>
        <v>0</v>
      </c>
    </row>
    <row r="1363" spans="4:22" x14ac:dyDescent="0.25">
      <c r="D1363" s="118">
        <f>+CUBICACION!D1362</f>
        <v>0</v>
      </c>
      <c r="E1363" s="118">
        <f>+CUBICACION!F1362</f>
        <v>0</v>
      </c>
      <c r="F1363" s="118">
        <f>+CUBICACION!E1362</f>
        <v>0</v>
      </c>
      <c r="G1363" s="118">
        <v>12</v>
      </c>
      <c r="H1363" s="118">
        <v>2</v>
      </c>
      <c r="I1363" s="820">
        <v>26385</v>
      </c>
      <c r="J1363" s="118">
        <f>+CUBICACION!J1362</f>
        <v>0</v>
      </c>
      <c r="K1363" s="118">
        <v>4142</v>
      </c>
      <c r="L1363" s="118">
        <f>+CUBICACION!L1362</f>
        <v>0</v>
      </c>
      <c r="M1363" s="64">
        <f>+CUBICACION!M1362</f>
        <v>0</v>
      </c>
      <c r="N1363" s="824" t="str">
        <f>+CUBICACION!N1362</f>
        <v/>
      </c>
      <c r="O1363" s="675">
        <f>+CUBICACION!O1362</f>
        <v>0</v>
      </c>
      <c r="P1363" s="15">
        <f>IF(O1363="Fire Control",VLOOKUP(_xlfn.MINIFS('FIRE CONTROL'!$C$4:$C$37,'FIRE CONTROL'!$C$4:$C$37,"&gt;="&amp;M1363),'FIRE CONTROL'!$C$4:$G$37,IF(L1363="F-15",2,IF(L1363="F-30",3,IF(L1363="F-60",4,IF(L1363="F-90",5,0)))),0),0)+IF(AND(O1363="FIRE TEX 5062",OR(E1363="IN",E1363="C",E1363="Z",E1363="L"),J1363=3),VLOOKUP(_xlfn.MINIFS('FIRE TEX 5062'!$B$4:$B$34,'FIRE TEX 5062'!$B$4:$B$34,"&gt;="&amp;M1363),'FIRE TEX 5062'!$B$4:$F$34,IF(L1363="F-15",2,IF(L1363="F-30",3,IF(L1363="F-60",4,IF(L1363="F-90",5,0)))),0),0)+IF(AND(O1363="FIRE TEX 5062",OR(E1363="IN",E1363="C",E1363="Z",E1363="L"),J1363=4),VLOOKUP(_xlfn.MINIFS('FIRE TEX 5062'!$G$4:$G$34,'FIRE TEX 5062'!$G$4:$G$34,"&gt;="&amp;M1363),'FIRE TEX 5062'!$G$4:$K$34,IF(L1363="F-15",2,IF(L1363="F-30",3,IF(L1363="F-60",4,IF(L1363="F-90",5,0)))),0),0)+IF(AND(O1363="FIRE TEX 5062",E1363="CJ",J1363=3),VLOOKUP(_xlfn.MINIFS('FIRE TEX 5062'!$L$4:$L$34,'FIRE TEX 5062'!$L$4:$L$34,"&gt;="&amp;M1363),'FIRE TEX 5062'!$L$4:$P$34,IF(L1363="F-15",2,IF(L1363="F-30",3,IF(L1363="F-60",4,IF(L1363="F-90",5,0)))),0),0)+IF(AND(O1363="FIRE TEX 5062",E1363="CJ",J1363=4),VLOOKUP(_xlfn.MINIFS('FIRE TEX 5062'!$Q$3:$Q$34,'FIRE TEX 5062'!$Q$3:$Q$34,"&gt;="&amp;M1363),'FIRE TEX 5062'!$Q$3:$U$34,IF(L1363="F-15",2,IF(L1363="F-30",3,IF(L1363="F-60",4,IF(L1363="F-90",5,0)))),0),0)+IF(AND(O1363="FIRE TEX 5090",OR(E1363="IN",E1363="C",E1363="Z",E1363="L"),J1363=3),VLOOKUP(_xlfn.MINIFS('FIRE TEX 5090'!$B$5:$B$43,'FIRE TEX 5090'!$B$5:$B$43,"&gt;="&amp;M1363),'FIRE TEX 5090'!$B$5:$H$43,IF(L1363="F-15",2,IF(L1363="F-30",3,IF(L1363="F-60",4,IF(L1363="F-90",5,IF(L1363="F-120",6,IF(L1363="F-150",7,0)))))),0),0)+IF(AND(O1363="FIRE TEX 5090",OR(E1363="IN",E1363="C",E1363="Z",E1363="L"),J1363=4),VLOOKUP(_xlfn.MINIFS('FIRE TEX 5090'!$J$5:$J$43,'FIRE TEX 5090'!$J$5:$J$43,"&gt;="&amp;M1363),'FIRE TEX 5090'!$J$5:$P$43,IF(L1363="F-15",2,IF(L1363="F-30",3,IF(L1363="F-60",4,IF(L1363="F-90",5,IF(L1363="F-120",6,IF(L1363="F-150",7,0)))))),0),0)+IF(AND(O1363="FIRE TEX 5090",E1363="CJ",J1363=3),VLOOKUP(_xlfn.MINIFS('FIRE TEX 5090'!$R$5:$R$30,'FIRE TEX 5090'!$R$5:$R$30,"&gt;="&amp;M1363),'FIRE TEX 5090'!$R$5:$W$30,IF(L1363="F-15",2,IF(L1363="F-30",3,IF(L1363="F-60",4,IF(L1363="F-90",5,IF(L1363="F-120",6,IF(L1363="F-150",7,0)))))),0),0)+IF(AND(O1363="FIRE TEX 5090",E1363="CJ",J1363=4),VLOOKUP(_xlfn.MINIFS('FIRE TEX 5090'!$Y$5:$Y$39,'FIRE TEX 5090'!$Y$5:$Y$39,"&gt;="&amp;M1363),'FIRE TEX 5090'!$Y$5:$AD$39,IF(L1363="F-15",2,IF(L1363="F-30",3,IF(L1363="F-60",4,IF(L1363="F-90",5,IF(L1363="F-120",6,IF(L1363="F-150",7,0)))))),0),0)+IF(AND(O1363="FIRE TEX 5120",OR(E1363="IN",E1363="C",E1363="Z",E1363="L"),J1363=3),VLOOKUP(_xlfn.MINIFS('FIRE TEX 5120'!$B$5:$B$40,'FIRE TEX 5120'!$B$5:$B$40,"&gt;="&amp;M1363),'FIRE TEX 5120'!$B$5:$G$40,IF(L1363="F-15",2,IF(L1363="F-30",3,IF(L1363="F-60",4,IF(L1363="F-90",5,IF(L1363="F-120",6,0))))),0),0)+IF(AND(O1363="FIRE TEX 5120",OR(E1363="IN",E1363="C",E1363="Z",E1363="L"),J1363=4),VLOOKUP(_xlfn.MINIFS('FIRE TEX 5120'!$H$4:$H$40,'FIRE TEX 5120'!$H$4:$H$40,"&gt;="&amp;M1363),'FIRE TEX 5120'!$H$4:$M$40,IF(L1363="F-15",2,IF(L1363="F-30",3,IF(L1363="F-60",4,IF(L1363="F-90",5,IF(L1363="F-120",6,0))))),0),0)+IF(AND(O1363="FIRE TEX 5120",E1363="CJ"),VLOOKUP(_xlfn.MINIFS('FIRE TEX 5120'!$O$5:$O$40,'FIRE TEX 5120'!$O$5:$O$40,"&gt;="&amp;M1363),'FIRE TEX 5120'!$O$5:$T$40,IF(L1363="F-15",2,IF(L1363="F-30",3,IF(L1363="F-60",4,IF(L1363="F-90",5,IF(L1363="F-120",6,0))))),0),0)</f>
        <v>0</v>
      </c>
      <c r="Q1363" s="46">
        <f t="shared" si="124"/>
        <v>0</v>
      </c>
      <c r="R1363" s="46">
        <f t="shared" si="125"/>
        <v>0</v>
      </c>
      <c r="S1363" s="46" t="e">
        <f t="shared" si="126"/>
        <v>#VALUE!</v>
      </c>
      <c r="T1363" s="677">
        <f t="shared" si="127"/>
        <v>0</v>
      </c>
      <c r="U1363" s="80">
        <f>(IF(O1363="Stofire",(S1363*#REF!),0))+(IF(O1363="Fire Control",(S1363*$U$2),0))+(IF(O1363="Fire Tex",(S1363*$U$3),0))+(IF(O1363="WB7",(S1363*#REF!),0)+(IF(O1363="FX 2003",(S1363*$U$5),0)))</f>
        <v>0</v>
      </c>
      <c r="V1363" s="651">
        <f t="shared" si="128"/>
        <v>0</v>
      </c>
    </row>
    <row r="1364" spans="4:22" x14ac:dyDescent="0.25">
      <c r="D1364" s="118">
        <f>+CUBICACION!D1363</f>
        <v>0</v>
      </c>
      <c r="E1364" s="118">
        <f>+CUBICACION!F1363</f>
        <v>0</v>
      </c>
      <c r="F1364" s="118">
        <f>+CUBICACION!E1363</f>
        <v>0</v>
      </c>
      <c r="G1364" s="118">
        <v>12</v>
      </c>
      <c r="H1364" s="118">
        <v>2</v>
      </c>
      <c r="I1364" s="820">
        <v>26385</v>
      </c>
      <c r="J1364" s="118">
        <f>+CUBICACION!J1363</f>
        <v>0</v>
      </c>
      <c r="K1364" s="118">
        <v>4143</v>
      </c>
      <c r="L1364" s="118">
        <f>+CUBICACION!L1363</f>
        <v>0</v>
      </c>
      <c r="M1364" s="64">
        <f>+CUBICACION!M1363</f>
        <v>0</v>
      </c>
      <c r="N1364" s="824" t="str">
        <f>+CUBICACION!N1363</f>
        <v/>
      </c>
      <c r="O1364" s="675">
        <f>+CUBICACION!O1363</f>
        <v>0</v>
      </c>
      <c r="P1364" s="15">
        <f>IF(O1364="Fire Control",VLOOKUP(_xlfn.MINIFS('FIRE CONTROL'!$C$4:$C$37,'FIRE CONTROL'!$C$4:$C$37,"&gt;="&amp;M1364),'FIRE CONTROL'!$C$4:$G$37,IF(L1364="F-15",2,IF(L1364="F-30",3,IF(L1364="F-60",4,IF(L1364="F-90",5,0)))),0),0)+IF(AND(O1364="FIRE TEX 5062",OR(E1364="IN",E1364="C",E1364="Z",E1364="L"),J1364=3),VLOOKUP(_xlfn.MINIFS('FIRE TEX 5062'!$B$4:$B$34,'FIRE TEX 5062'!$B$4:$B$34,"&gt;="&amp;M1364),'FIRE TEX 5062'!$B$4:$F$34,IF(L1364="F-15",2,IF(L1364="F-30",3,IF(L1364="F-60",4,IF(L1364="F-90",5,0)))),0),0)+IF(AND(O1364="FIRE TEX 5062",OR(E1364="IN",E1364="C",E1364="Z",E1364="L"),J1364=4),VLOOKUP(_xlfn.MINIFS('FIRE TEX 5062'!$G$4:$G$34,'FIRE TEX 5062'!$G$4:$G$34,"&gt;="&amp;M1364),'FIRE TEX 5062'!$G$4:$K$34,IF(L1364="F-15",2,IF(L1364="F-30",3,IF(L1364="F-60",4,IF(L1364="F-90",5,0)))),0),0)+IF(AND(O1364="FIRE TEX 5062",E1364="CJ",J1364=3),VLOOKUP(_xlfn.MINIFS('FIRE TEX 5062'!$L$4:$L$34,'FIRE TEX 5062'!$L$4:$L$34,"&gt;="&amp;M1364),'FIRE TEX 5062'!$L$4:$P$34,IF(L1364="F-15",2,IF(L1364="F-30",3,IF(L1364="F-60",4,IF(L1364="F-90",5,0)))),0),0)+IF(AND(O1364="FIRE TEX 5062",E1364="CJ",J1364=4),VLOOKUP(_xlfn.MINIFS('FIRE TEX 5062'!$Q$3:$Q$34,'FIRE TEX 5062'!$Q$3:$Q$34,"&gt;="&amp;M1364),'FIRE TEX 5062'!$Q$3:$U$34,IF(L1364="F-15",2,IF(L1364="F-30",3,IF(L1364="F-60",4,IF(L1364="F-90",5,0)))),0),0)+IF(AND(O1364="FIRE TEX 5090",OR(E1364="IN",E1364="C",E1364="Z",E1364="L"),J1364=3),VLOOKUP(_xlfn.MINIFS('FIRE TEX 5090'!$B$5:$B$43,'FIRE TEX 5090'!$B$5:$B$43,"&gt;="&amp;M1364),'FIRE TEX 5090'!$B$5:$H$43,IF(L1364="F-15",2,IF(L1364="F-30",3,IF(L1364="F-60",4,IF(L1364="F-90",5,IF(L1364="F-120",6,IF(L1364="F-150",7,0)))))),0),0)+IF(AND(O1364="FIRE TEX 5090",OR(E1364="IN",E1364="C",E1364="Z",E1364="L"),J1364=4),VLOOKUP(_xlfn.MINIFS('FIRE TEX 5090'!$J$5:$J$43,'FIRE TEX 5090'!$J$5:$J$43,"&gt;="&amp;M1364),'FIRE TEX 5090'!$J$5:$P$43,IF(L1364="F-15",2,IF(L1364="F-30",3,IF(L1364="F-60",4,IF(L1364="F-90",5,IF(L1364="F-120",6,IF(L1364="F-150",7,0)))))),0),0)+IF(AND(O1364="FIRE TEX 5090",E1364="CJ",J1364=3),VLOOKUP(_xlfn.MINIFS('FIRE TEX 5090'!$R$5:$R$30,'FIRE TEX 5090'!$R$5:$R$30,"&gt;="&amp;M1364),'FIRE TEX 5090'!$R$5:$W$30,IF(L1364="F-15",2,IF(L1364="F-30",3,IF(L1364="F-60",4,IF(L1364="F-90",5,IF(L1364="F-120",6,IF(L1364="F-150",7,0)))))),0),0)+IF(AND(O1364="FIRE TEX 5090",E1364="CJ",J1364=4),VLOOKUP(_xlfn.MINIFS('FIRE TEX 5090'!$Y$5:$Y$39,'FIRE TEX 5090'!$Y$5:$Y$39,"&gt;="&amp;M1364),'FIRE TEX 5090'!$Y$5:$AD$39,IF(L1364="F-15",2,IF(L1364="F-30",3,IF(L1364="F-60",4,IF(L1364="F-90",5,IF(L1364="F-120",6,IF(L1364="F-150",7,0)))))),0),0)+IF(AND(O1364="FIRE TEX 5120",OR(E1364="IN",E1364="C",E1364="Z",E1364="L"),J1364=3),VLOOKUP(_xlfn.MINIFS('FIRE TEX 5120'!$B$5:$B$40,'FIRE TEX 5120'!$B$5:$B$40,"&gt;="&amp;M1364),'FIRE TEX 5120'!$B$5:$G$40,IF(L1364="F-15",2,IF(L1364="F-30",3,IF(L1364="F-60",4,IF(L1364="F-90",5,IF(L1364="F-120",6,0))))),0),0)+IF(AND(O1364="FIRE TEX 5120",OR(E1364="IN",E1364="C",E1364="Z",E1364="L"),J1364=4),VLOOKUP(_xlfn.MINIFS('FIRE TEX 5120'!$H$4:$H$40,'FIRE TEX 5120'!$H$4:$H$40,"&gt;="&amp;M1364),'FIRE TEX 5120'!$H$4:$M$40,IF(L1364="F-15",2,IF(L1364="F-30",3,IF(L1364="F-60",4,IF(L1364="F-90",5,IF(L1364="F-120",6,0))))),0),0)+IF(AND(O1364="FIRE TEX 5120",E1364="CJ"),VLOOKUP(_xlfn.MINIFS('FIRE TEX 5120'!$O$5:$O$40,'FIRE TEX 5120'!$O$5:$O$40,"&gt;="&amp;M1364),'FIRE TEX 5120'!$O$5:$T$40,IF(L1364="F-15",2,IF(L1364="F-30",3,IF(L1364="F-60",4,IF(L1364="F-90",5,IF(L1364="F-120",6,0))))),0),0)</f>
        <v>0</v>
      </c>
      <c r="Q1364" s="46">
        <f t="shared" si="124"/>
        <v>0</v>
      </c>
      <c r="R1364" s="46">
        <f t="shared" si="125"/>
        <v>0</v>
      </c>
      <c r="S1364" s="46" t="e">
        <f t="shared" si="126"/>
        <v>#VALUE!</v>
      </c>
      <c r="T1364" s="677">
        <f t="shared" si="127"/>
        <v>0</v>
      </c>
      <c r="U1364" s="80">
        <f>(IF(O1364="Stofire",(S1364*#REF!),0))+(IF(O1364="Fire Control",(S1364*$U$2),0))+(IF(O1364="Fire Tex",(S1364*$U$3),0))+(IF(O1364="WB7",(S1364*#REF!),0)+(IF(O1364="FX 2003",(S1364*$U$5),0)))</f>
        <v>0</v>
      </c>
      <c r="V1364" s="651">
        <f t="shared" si="128"/>
        <v>0</v>
      </c>
    </row>
    <row r="1365" spans="4:22" x14ac:dyDescent="0.25">
      <c r="D1365" s="118">
        <f>+CUBICACION!D1364</f>
        <v>0</v>
      </c>
      <c r="E1365" s="118">
        <f>+CUBICACION!F1364</f>
        <v>0</v>
      </c>
      <c r="F1365" s="118">
        <f>+CUBICACION!E1364</f>
        <v>0</v>
      </c>
      <c r="G1365" s="118">
        <v>12</v>
      </c>
      <c r="H1365" s="118">
        <v>2</v>
      </c>
      <c r="I1365" s="820">
        <v>26385</v>
      </c>
      <c r="J1365" s="118">
        <f>+CUBICACION!J1364</f>
        <v>0</v>
      </c>
      <c r="K1365" s="118">
        <v>4144</v>
      </c>
      <c r="L1365" s="118">
        <f>+CUBICACION!L1364</f>
        <v>0</v>
      </c>
      <c r="M1365" s="64">
        <f>+CUBICACION!M1364</f>
        <v>0</v>
      </c>
      <c r="N1365" s="824" t="str">
        <f>+CUBICACION!N1364</f>
        <v/>
      </c>
      <c r="O1365" s="675">
        <f>+CUBICACION!O1364</f>
        <v>0</v>
      </c>
      <c r="P1365" s="15">
        <f>IF(O1365="Fire Control",VLOOKUP(_xlfn.MINIFS('FIRE CONTROL'!$C$4:$C$37,'FIRE CONTROL'!$C$4:$C$37,"&gt;="&amp;M1365),'FIRE CONTROL'!$C$4:$G$37,IF(L1365="F-15",2,IF(L1365="F-30",3,IF(L1365="F-60",4,IF(L1365="F-90",5,0)))),0),0)+IF(AND(O1365="FIRE TEX 5062",OR(E1365="IN",E1365="C",E1365="Z",E1365="L"),J1365=3),VLOOKUP(_xlfn.MINIFS('FIRE TEX 5062'!$B$4:$B$34,'FIRE TEX 5062'!$B$4:$B$34,"&gt;="&amp;M1365),'FIRE TEX 5062'!$B$4:$F$34,IF(L1365="F-15",2,IF(L1365="F-30",3,IF(L1365="F-60",4,IF(L1365="F-90",5,0)))),0),0)+IF(AND(O1365="FIRE TEX 5062",OR(E1365="IN",E1365="C",E1365="Z",E1365="L"),J1365=4),VLOOKUP(_xlfn.MINIFS('FIRE TEX 5062'!$G$4:$G$34,'FIRE TEX 5062'!$G$4:$G$34,"&gt;="&amp;M1365),'FIRE TEX 5062'!$G$4:$K$34,IF(L1365="F-15",2,IF(L1365="F-30",3,IF(L1365="F-60",4,IF(L1365="F-90",5,0)))),0),0)+IF(AND(O1365="FIRE TEX 5062",E1365="CJ",J1365=3),VLOOKUP(_xlfn.MINIFS('FIRE TEX 5062'!$L$4:$L$34,'FIRE TEX 5062'!$L$4:$L$34,"&gt;="&amp;M1365),'FIRE TEX 5062'!$L$4:$P$34,IF(L1365="F-15",2,IF(L1365="F-30",3,IF(L1365="F-60",4,IF(L1365="F-90",5,0)))),0),0)+IF(AND(O1365="FIRE TEX 5062",E1365="CJ",J1365=4),VLOOKUP(_xlfn.MINIFS('FIRE TEX 5062'!$Q$3:$Q$34,'FIRE TEX 5062'!$Q$3:$Q$34,"&gt;="&amp;M1365),'FIRE TEX 5062'!$Q$3:$U$34,IF(L1365="F-15",2,IF(L1365="F-30",3,IF(L1365="F-60",4,IF(L1365="F-90",5,0)))),0),0)+IF(AND(O1365="FIRE TEX 5090",OR(E1365="IN",E1365="C",E1365="Z",E1365="L"),J1365=3),VLOOKUP(_xlfn.MINIFS('FIRE TEX 5090'!$B$5:$B$43,'FIRE TEX 5090'!$B$5:$B$43,"&gt;="&amp;M1365),'FIRE TEX 5090'!$B$5:$H$43,IF(L1365="F-15",2,IF(L1365="F-30",3,IF(L1365="F-60",4,IF(L1365="F-90",5,IF(L1365="F-120",6,IF(L1365="F-150",7,0)))))),0),0)+IF(AND(O1365="FIRE TEX 5090",OR(E1365="IN",E1365="C",E1365="Z",E1365="L"),J1365=4),VLOOKUP(_xlfn.MINIFS('FIRE TEX 5090'!$J$5:$J$43,'FIRE TEX 5090'!$J$5:$J$43,"&gt;="&amp;M1365),'FIRE TEX 5090'!$J$5:$P$43,IF(L1365="F-15",2,IF(L1365="F-30",3,IF(L1365="F-60",4,IF(L1365="F-90",5,IF(L1365="F-120",6,IF(L1365="F-150",7,0)))))),0),0)+IF(AND(O1365="FIRE TEX 5090",E1365="CJ",J1365=3),VLOOKUP(_xlfn.MINIFS('FIRE TEX 5090'!$R$5:$R$30,'FIRE TEX 5090'!$R$5:$R$30,"&gt;="&amp;M1365),'FIRE TEX 5090'!$R$5:$W$30,IF(L1365="F-15",2,IF(L1365="F-30",3,IF(L1365="F-60",4,IF(L1365="F-90",5,IF(L1365="F-120",6,IF(L1365="F-150",7,0)))))),0),0)+IF(AND(O1365="FIRE TEX 5090",E1365="CJ",J1365=4),VLOOKUP(_xlfn.MINIFS('FIRE TEX 5090'!$Y$5:$Y$39,'FIRE TEX 5090'!$Y$5:$Y$39,"&gt;="&amp;M1365),'FIRE TEX 5090'!$Y$5:$AD$39,IF(L1365="F-15",2,IF(L1365="F-30",3,IF(L1365="F-60",4,IF(L1365="F-90",5,IF(L1365="F-120",6,IF(L1365="F-150",7,0)))))),0),0)+IF(AND(O1365="FIRE TEX 5120",OR(E1365="IN",E1365="C",E1365="Z",E1365="L"),J1365=3),VLOOKUP(_xlfn.MINIFS('FIRE TEX 5120'!$B$5:$B$40,'FIRE TEX 5120'!$B$5:$B$40,"&gt;="&amp;M1365),'FIRE TEX 5120'!$B$5:$G$40,IF(L1365="F-15",2,IF(L1365="F-30",3,IF(L1365="F-60",4,IF(L1365="F-90",5,IF(L1365="F-120",6,0))))),0),0)+IF(AND(O1365="FIRE TEX 5120",OR(E1365="IN",E1365="C",E1365="Z",E1365="L"),J1365=4),VLOOKUP(_xlfn.MINIFS('FIRE TEX 5120'!$H$4:$H$40,'FIRE TEX 5120'!$H$4:$H$40,"&gt;="&amp;M1365),'FIRE TEX 5120'!$H$4:$M$40,IF(L1365="F-15",2,IF(L1365="F-30",3,IF(L1365="F-60",4,IF(L1365="F-90",5,IF(L1365="F-120",6,0))))),0),0)+IF(AND(O1365="FIRE TEX 5120",E1365="CJ"),VLOOKUP(_xlfn.MINIFS('FIRE TEX 5120'!$O$5:$O$40,'FIRE TEX 5120'!$O$5:$O$40,"&gt;="&amp;M1365),'FIRE TEX 5120'!$O$5:$T$40,IF(L1365="F-15",2,IF(L1365="F-30",3,IF(L1365="F-60",4,IF(L1365="F-90",5,IF(L1365="F-120",6,0))))),0),0)</f>
        <v>0</v>
      </c>
      <c r="Q1365" s="46">
        <f t="shared" si="124"/>
        <v>0</v>
      </c>
      <c r="R1365" s="46">
        <f t="shared" si="125"/>
        <v>0</v>
      </c>
      <c r="S1365" s="46" t="e">
        <f t="shared" si="126"/>
        <v>#VALUE!</v>
      </c>
      <c r="T1365" s="677">
        <f t="shared" si="127"/>
        <v>0</v>
      </c>
      <c r="U1365" s="80">
        <f>(IF(O1365="Stofire",(S1365*#REF!),0))+(IF(O1365="Fire Control",(S1365*$U$2),0))+(IF(O1365="Fire Tex",(S1365*$U$3),0))+(IF(O1365="WB7",(S1365*#REF!),0)+(IF(O1365="FX 2003",(S1365*$U$5),0)))</f>
        <v>0</v>
      </c>
      <c r="V1365" s="651">
        <f t="shared" si="128"/>
        <v>0</v>
      </c>
    </row>
    <row r="1366" spans="4:22" x14ac:dyDescent="0.25">
      <c r="D1366" s="118">
        <f>+CUBICACION!D1365</f>
        <v>0</v>
      </c>
      <c r="E1366" s="118">
        <f>+CUBICACION!F1365</f>
        <v>0</v>
      </c>
      <c r="F1366" s="118">
        <f>+CUBICACION!E1365</f>
        <v>0</v>
      </c>
      <c r="G1366" s="118">
        <v>12</v>
      </c>
      <c r="H1366" s="118">
        <v>2</v>
      </c>
      <c r="I1366" s="820">
        <v>26385</v>
      </c>
      <c r="J1366" s="118">
        <f>+CUBICACION!J1365</f>
        <v>0</v>
      </c>
      <c r="K1366" s="118">
        <v>4145</v>
      </c>
      <c r="L1366" s="118">
        <f>+CUBICACION!L1365</f>
        <v>0</v>
      </c>
      <c r="M1366" s="64">
        <f>+CUBICACION!M1365</f>
        <v>0</v>
      </c>
      <c r="N1366" s="824" t="str">
        <f>+CUBICACION!N1365</f>
        <v/>
      </c>
      <c r="O1366" s="675">
        <f>+CUBICACION!O1365</f>
        <v>0</v>
      </c>
      <c r="P1366" s="15">
        <f>IF(O1366="Fire Control",VLOOKUP(_xlfn.MINIFS('FIRE CONTROL'!$C$4:$C$37,'FIRE CONTROL'!$C$4:$C$37,"&gt;="&amp;M1366),'FIRE CONTROL'!$C$4:$G$37,IF(L1366="F-15",2,IF(L1366="F-30",3,IF(L1366="F-60",4,IF(L1366="F-90",5,0)))),0),0)+IF(AND(O1366="FIRE TEX 5062",OR(E1366="IN",E1366="C",E1366="Z",E1366="L"),J1366=3),VLOOKUP(_xlfn.MINIFS('FIRE TEX 5062'!$B$4:$B$34,'FIRE TEX 5062'!$B$4:$B$34,"&gt;="&amp;M1366),'FIRE TEX 5062'!$B$4:$F$34,IF(L1366="F-15",2,IF(L1366="F-30",3,IF(L1366="F-60",4,IF(L1366="F-90",5,0)))),0),0)+IF(AND(O1366="FIRE TEX 5062",OR(E1366="IN",E1366="C",E1366="Z",E1366="L"),J1366=4),VLOOKUP(_xlfn.MINIFS('FIRE TEX 5062'!$G$4:$G$34,'FIRE TEX 5062'!$G$4:$G$34,"&gt;="&amp;M1366),'FIRE TEX 5062'!$G$4:$K$34,IF(L1366="F-15",2,IF(L1366="F-30",3,IF(L1366="F-60",4,IF(L1366="F-90",5,0)))),0),0)+IF(AND(O1366="FIRE TEX 5062",E1366="CJ",J1366=3),VLOOKUP(_xlfn.MINIFS('FIRE TEX 5062'!$L$4:$L$34,'FIRE TEX 5062'!$L$4:$L$34,"&gt;="&amp;M1366),'FIRE TEX 5062'!$L$4:$P$34,IF(L1366="F-15",2,IF(L1366="F-30",3,IF(L1366="F-60",4,IF(L1366="F-90",5,0)))),0),0)+IF(AND(O1366="FIRE TEX 5062",E1366="CJ",J1366=4),VLOOKUP(_xlfn.MINIFS('FIRE TEX 5062'!$Q$3:$Q$34,'FIRE TEX 5062'!$Q$3:$Q$34,"&gt;="&amp;M1366),'FIRE TEX 5062'!$Q$3:$U$34,IF(L1366="F-15",2,IF(L1366="F-30",3,IF(L1366="F-60",4,IF(L1366="F-90",5,0)))),0),0)+IF(AND(O1366="FIRE TEX 5090",OR(E1366="IN",E1366="C",E1366="Z",E1366="L"),J1366=3),VLOOKUP(_xlfn.MINIFS('FIRE TEX 5090'!$B$5:$B$43,'FIRE TEX 5090'!$B$5:$B$43,"&gt;="&amp;M1366),'FIRE TEX 5090'!$B$5:$H$43,IF(L1366="F-15",2,IF(L1366="F-30",3,IF(L1366="F-60",4,IF(L1366="F-90",5,IF(L1366="F-120",6,IF(L1366="F-150",7,0)))))),0),0)+IF(AND(O1366="FIRE TEX 5090",OR(E1366="IN",E1366="C",E1366="Z",E1366="L"),J1366=4),VLOOKUP(_xlfn.MINIFS('FIRE TEX 5090'!$J$5:$J$43,'FIRE TEX 5090'!$J$5:$J$43,"&gt;="&amp;M1366),'FIRE TEX 5090'!$J$5:$P$43,IF(L1366="F-15",2,IF(L1366="F-30",3,IF(L1366="F-60",4,IF(L1366="F-90",5,IF(L1366="F-120",6,IF(L1366="F-150",7,0)))))),0),0)+IF(AND(O1366="FIRE TEX 5090",E1366="CJ",J1366=3),VLOOKUP(_xlfn.MINIFS('FIRE TEX 5090'!$R$5:$R$30,'FIRE TEX 5090'!$R$5:$R$30,"&gt;="&amp;M1366),'FIRE TEX 5090'!$R$5:$W$30,IF(L1366="F-15",2,IF(L1366="F-30",3,IF(L1366="F-60",4,IF(L1366="F-90",5,IF(L1366="F-120",6,IF(L1366="F-150",7,0)))))),0),0)+IF(AND(O1366="FIRE TEX 5090",E1366="CJ",J1366=4),VLOOKUP(_xlfn.MINIFS('FIRE TEX 5090'!$Y$5:$Y$39,'FIRE TEX 5090'!$Y$5:$Y$39,"&gt;="&amp;M1366),'FIRE TEX 5090'!$Y$5:$AD$39,IF(L1366="F-15",2,IF(L1366="F-30",3,IF(L1366="F-60",4,IF(L1366="F-90",5,IF(L1366="F-120",6,IF(L1366="F-150",7,0)))))),0),0)+IF(AND(O1366="FIRE TEX 5120",OR(E1366="IN",E1366="C",E1366="Z",E1366="L"),J1366=3),VLOOKUP(_xlfn.MINIFS('FIRE TEX 5120'!$B$5:$B$40,'FIRE TEX 5120'!$B$5:$B$40,"&gt;="&amp;M1366),'FIRE TEX 5120'!$B$5:$G$40,IF(L1366="F-15",2,IF(L1366="F-30",3,IF(L1366="F-60",4,IF(L1366="F-90",5,IF(L1366="F-120",6,0))))),0),0)+IF(AND(O1366="FIRE TEX 5120",OR(E1366="IN",E1366="C",E1366="Z",E1366="L"),J1366=4),VLOOKUP(_xlfn.MINIFS('FIRE TEX 5120'!$H$4:$H$40,'FIRE TEX 5120'!$H$4:$H$40,"&gt;="&amp;M1366),'FIRE TEX 5120'!$H$4:$M$40,IF(L1366="F-15",2,IF(L1366="F-30",3,IF(L1366="F-60",4,IF(L1366="F-90",5,IF(L1366="F-120",6,0))))),0),0)+IF(AND(O1366="FIRE TEX 5120",E1366="CJ"),VLOOKUP(_xlfn.MINIFS('FIRE TEX 5120'!$O$5:$O$40,'FIRE TEX 5120'!$O$5:$O$40,"&gt;="&amp;M1366),'FIRE TEX 5120'!$O$5:$T$40,IF(L1366="F-15",2,IF(L1366="F-30",3,IF(L1366="F-60",4,IF(L1366="F-90",5,IF(L1366="F-120",6,0))))),0),0)</f>
        <v>0</v>
      </c>
      <c r="Q1366" s="46">
        <f t="shared" si="124"/>
        <v>0</v>
      </c>
      <c r="R1366" s="46">
        <f t="shared" si="125"/>
        <v>0</v>
      </c>
      <c r="S1366" s="46" t="e">
        <f t="shared" si="126"/>
        <v>#VALUE!</v>
      </c>
      <c r="T1366" s="677">
        <f t="shared" si="127"/>
        <v>0</v>
      </c>
      <c r="U1366" s="80">
        <f>(IF(O1366="Stofire",(S1366*#REF!),0))+(IF(O1366="Fire Control",(S1366*$U$2),0))+(IF(O1366="Fire Tex",(S1366*$U$3),0))+(IF(O1366="WB7",(S1366*#REF!),0)+(IF(O1366="FX 2003",(S1366*$U$5),0)))</f>
        <v>0</v>
      </c>
      <c r="V1366" s="651">
        <f t="shared" si="128"/>
        <v>0</v>
      </c>
    </row>
    <row r="1367" spans="4:22" x14ac:dyDescent="0.25">
      <c r="D1367" s="118">
        <f>+CUBICACION!D1366</f>
        <v>0</v>
      </c>
      <c r="E1367" s="118">
        <f>+CUBICACION!F1366</f>
        <v>0</v>
      </c>
      <c r="F1367" s="118">
        <f>+CUBICACION!E1366</f>
        <v>0</v>
      </c>
      <c r="G1367" s="118">
        <v>12</v>
      </c>
      <c r="H1367" s="118">
        <v>2</v>
      </c>
      <c r="I1367" s="820">
        <v>26385</v>
      </c>
      <c r="J1367" s="118">
        <f>+CUBICACION!J1366</f>
        <v>0</v>
      </c>
      <c r="K1367" s="118">
        <v>4146</v>
      </c>
      <c r="L1367" s="118">
        <f>+CUBICACION!L1366</f>
        <v>0</v>
      </c>
      <c r="M1367" s="64">
        <f>+CUBICACION!M1366</f>
        <v>0</v>
      </c>
      <c r="N1367" s="824" t="str">
        <f>+CUBICACION!N1366</f>
        <v/>
      </c>
      <c r="O1367" s="675">
        <f>+CUBICACION!O1366</f>
        <v>0</v>
      </c>
      <c r="P1367" s="15">
        <f>IF(O1367="Fire Control",VLOOKUP(_xlfn.MINIFS('FIRE CONTROL'!$C$4:$C$37,'FIRE CONTROL'!$C$4:$C$37,"&gt;="&amp;M1367),'FIRE CONTROL'!$C$4:$G$37,IF(L1367="F-15",2,IF(L1367="F-30",3,IF(L1367="F-60",4,IF(L1367="F-90",5,0)))),0),0)+IF(AND(O1367="FIRE TEX 5062",OR(E1367="IN",E1367="C",E1367="Z",E1367="L"),J1367=3),VLOOKUP(_xlfn.MINIFS('FIRE TEX 5062'!$B$4:$B$34,'FIRE TEX 5062'!$B$4:$B$34,"&gt;="&amp;M1367),'FIRE TEX 5062'!$B$4:$F$34,IF(L1367="F-15",2,IF(L1367="F-30",3,IF(L1367="F-60",4,IF(L1367="F-90",5,0)))),0),0)+IF(AND(O1367="FIRE TEX 5062",OR(E1367="IN",E1367="C",E1367="Z",E1367="L"),J1367=4),VLOOKUP(_xlfn.MINIFS('FIRE TEX 5062'!$G$4:$G$34,'FIRE TEX 5062'!$G$4:$G$34,"&gt;="&amp;M1367),'FIRE TEX 5062'!$G$4:$K$34,IF(L1367="F-15",2,IF(L1367="F-30",3,IF(L1367="F-60",4,IF(L1367="F-90",5,0)))),0),0)+IF(AND(O1367="FIRE TEX 5062",E1367="CJ",J1367=3),VLOOKUP(_xlfn.MINIFS('FIRE TEX 5062'!$L$4:$L$34,'FIRE TEX 5062'!$L$4:$L$34,"&gt;="&amp;M1367),'FIRE TEX 5062'!$L$4:$P$34,IF(L1367="F-15",2,IF(L1367="F-30",3,IF(L1367="F-60",4,IF(L1367="F-90",5,0)))),0),0)+IF(AND(O1367="FIRE TEX 5062",E1367="CJ",J1367=4),VLOOKUP(_xlfn.MINIFS('FIRE TEX 5062'!$Q$3:$Q$34,'FIRE TEX 5062'!$Q$3:$Q$34,"&gt;="&amp;M1367),'FIRE TEX 5062'!$Q$3:$U$34,IF(L1367="F-15",2,IF(L1367="F-30",3,IF(L1367="F-60",4,IF(L1367="F-90",5,0)))),0),0)+IF(AND(O1367="FIRE TEX 5090",OR(E1367="IN",E1367="C",E1367="Z",E1367="L"),J1367=3),VLOOKUP(_xlfn.MINIFS('FIRE TEX 5090'!$B$5:$B$43,'FIRE TEX 5090'!$B$5:$B$43,"&gt;="&amp;M1367),'FIRE TEX 5090'!$B$5:$H$43,IF(L1367="F-15",2,IF(L1367="F-30",3,IF(L1367="F-60",4,IF(L1367="F-90",5,IF(L1367="F-120",6,IF(L1367="F-150",7,0)))))),0),0)+IF(AND(O1367="FIRE TEX 5090",OR(E1367="IN",E1367="C",E1367="Z",E1367="L"),J1367=4),VLOOKUP(_xlfn.MINIFS('FIRE TEX 5090'!$J$5:$J$43,'FIRE TEX 5090'!$J$5:$J$43,"&gt;="&amp;M1367),'FIRE TEX 5090'!$J$5:$P$43,IF(L1367="F-15",2,IF(L1367="F-30",3,IF(L1367="F-60",4,IF(L1367="F-90",5,IF(L1367="F-120",6,IF(L1367="F-150",7,0)))))),0),0)+IF(AND(O1367="FIRE TEX 5090",E1367="CJ",J1367=3),VLOOKUP(_xlfn.MINIFS('FIRE TEX 5090'!$R$5:$R$30,'FIRE TEX 5090'!$R$5:$R$30,"&gt;="&amp;M1367),'FIRE TEX 5090'!$R$5:$W$30,IF(L1367="F-15",2,IF(L1367="F-30",3,IF(L1367="F-60",4,IF(L1367="F-90",5,IF(L1367="F-120",6,IF(L1367="F-150",7,0)))))),0),0)+IF(AND(O1367="FIRE TEX 5090",E1367="CJ",J1367=4),VLOOKUP(_xlfn.MINIFS('FIRE TEX 5090'!$Y$5:$Y$39,'FIRE TEX 5090'!$Y$5:$Y$39,"&gt;="&amp;M1367),'FIRE TEX 5090'!$Y$5:$AD$39,IF(L1367="F-15",2,IF(L1367="F-30",3,IF(L1367="F-60",4,IF(L1367="F-90",5,IF(L1367="F-120",6,IF(L1367="F-150",7,0)))))),0),0)+IF(AND(O1367="FIRE TEX 5120",OR(E1367="IN",E1367="C",E1367="Z",E1367="L"),J1367=3),VLOOKUP(_xlfn.MINIFS('FIRE TEX 5120'!$B$5:$B$40,'FIRE TEX 5120'!$B$5:$B$40,"&gt;="&amp;M1367),'FIRE TEX 5120'!$B$5:$G$40,IF(L1367="F-15",2,IF(L1367="F-30",3,IF(L1367="F-60",4,IF(L1367="F-90",5,IF(L1367="F-120",6,0))))),0),0)+IF(AND(O1367="FIRE TEX 5120",OR(E1367="IN",E1367="C",E1367="Z",E1367="L"),J1367=4),VLOOKUP(_xlfn.MINIFS('FIRE TEX 5120'!$H$4:$H$40,'FIRE TEX 5120'!$H$4:$H$40,"&gt;="&amp;M1367),'FIRE TEX 5120'!$H$4:$M$40,IF(L1367="F-15",2,IF(L1367="F-30",3,IF(L1367="F-60",4,IF(L1367="F-90",5,IF(L1367="F-120",6,0))))),0),0)+IF(AND(O1367="FIRE TEX 5120",E1367="CJ"),VLOOKUP(_xlfn.MINIFS('FIRE TEX 5120'!$O$5:$O$40,'FIRE TEX 5120'!$O$5:$O$40,"&gt;="&amp;M1367),'FIRE TEX 5120'!$O$5:$T$40,IF(L1367="F-15",2,IF(L1367="F-30",3,IF(L1367="F-60",4,IF(L1367="F-90",5,IF(L1367="F-120",6,0))))),0),0)</f>
        <v>0</v>
      </c>
      <c r="Q1367" s="46">
        <f t="shared" si="124"/>
        <v>0</v>
      </c>
      <c r="R1367" s="46">
        <f t="shared" si="125"/>
        <v>0</v>
      </c>
      <c r="S1367" s="46" t="e">
        <f t="shared" si="126"/>
        <v>#VALUE!</v>
      </c>
      <c r="T1367" s="677">
        <f t="shared" si="127"/>
        <v>0</v>
      </c>
      <c r="U1367" s="80">
        <f>(IF(O1367="Stofire",(S1367*#REF!),0))+(IF(O1367="Fire Control",(S1367*$U$2),0))+(IF(O1367="Fire Tex",(S1367*$U$3),0))+(IF(O1367="WB7",(S1367*#REF!),0)+(IF(O1367="FX 2003",(S1367*$U$5),0)))</f>
        <v>0</v>
      </c>
      <c r="V1367" s="651">
        <f t="shared" si="128"/>
        <v>0</v>
      </c>
    </row>
    <row r="1368" spans="4:22" x14ac:dyDescent="0.25">
      <c r="D1368" s="118">
        <f>+CUBICACION!D1367</f>
        <v>0</v>
      </c>
      <c r="E1368" s="118">
        <f>+CUBICACION!F1367</f>
        <v>0</v>
      </c>
      <c r="F1368" s="118">
        <f>+CUBICACION!E1367</f>
        <v>0</v>
      </c>
      <c r="G1368" s="118">
        <v>12</v>
      </c>
      <c r="H1368" s="118">
        <v>2</v>
      </c>
      <c r="I1368" s="820">
        <v>26385</v>
      </c>
      <c r="J1368" s="118">
        <f>+CUBICACION!J1367</f>
        <v>0</v>
      </c>
      <c r="K1368" s="118">
        <v>4147</v>
      </c>
      <c r="L1368" s="118">
        <f>+CUBICACION!L1367</f>
        <v>0</v>
      </c>
      <c r="M1368" s="64">
        <f>+CUBICACION!M1367</f>
        <v>0</v>
      </c>
      <c r="N1368" s="824" t="str">
        <f>+CUBICACION!N1367</f>
        <v/>
      </c>
      <c r="O1368" s="675">
        <f>+CUBICACION!O1367</f>
        <v>0</v>
      </c>
      <c r="P1368" s="15">
        <f>IF(O1368="Fire Control",VLOOKUP(_xlfn.MINIFS('FIRE CONTROL'!$C$4:$C$37,'FIRE CONTROL'!$C$4:$C$37,"&gt;="&amp;M1368),'FIRE CONTROL'!$C$4:$G$37,IF(L1368="F-15",2,IF(L1368="F-30",3,IF(L1368="F-60",4,IF(L1368="F-90",5,0)))),0),0)+IF(AND(O1368="FIRE TEX 5062",OR(E1368="IN",E1368="C",E1368="Z",E1368="L"),J1368=3),VLOOKUP(_xlfn.MINIFS('FIRE TEX 5062'!$B$4:$B$34,'FIRE TEX 5062'!$B$4:$B$34,"&gt;="&amp;M1368),'FIRE TEX 5062'!$B$4:$F$34,IF(L1368="F-15",2,IF(L1368="F-30",3,IF(L1368="F-60",4,IF(L1368="F-90",5,0)))),0),0)+IF(AND(O1368="FIRE TEX 5062",OR(E1368="IN",E1368="C",E1368="Z",E1368="L"),J1368=4),VLOOKUP(_xlfn.MINIFS('FIRE TEX 5062'!$G$4:$G$34,'FIRE TEX 5062'!$G$4:$G$34,"&gt;="&amp;M1368),'FIRE TEX 5062'!$G$4:$K$34,IF(L1368="F-15",2,IF(L1368="F-30",3,IF(L1368="F-60",4,IF(L1368="F-90",5,0)))),0),0)+IF(AND(O1368="FIRE TEX 5062",E1368="CJ",J1368=3),VLOOKUP(_xlfn.MINIFS('FIRE TEX 5062'!$L$4:$L$34,'FIRE TEX 5062'!$L$4:$L$34,"&gt;="&amp;M1368),'FIRE TEX 5062'!$L$4:$P$34,IF(L1368="F-15",2,IF(L1368="F-30",3,IF(L1368="F-60",4,IF(L1368="F-90",5,0)))),0),0)+IF(AND(O1368="FIRE TEX 5062",E1368="CJ",J1368=4),VLOOKUP(_xlfn.MINIFS('FIRE TEX 5062'!$Q$3:$Q$34,'FIRE TEX 5062'!$Q$3:$Q$34,"&gt;="&amp;M1368),'FIRE TEX 5062'!$Q$3:$U$34,IF(L1368="F-15",2,IF(L1368="F-30",3,IF(L1368="F-60",4,IF(L1368="F-90",5,0)))),0),0)+IF(AND(O1368="FIRE TEX 5090",OR(E1368="IN",E1368="C",E1368="Z",E1368="L"),J1368=3),VLOOKUP(_xlfn.MINIFS('FIRE TEX 5090'!$B$5:$B$43,'FIRE TEX 5090'!$B$5:$B$43,"&gt;="&amp;M1368),'FIRE TEX 5090'!$B$5:$H$43,IF(L1368="F-15",2,IF(L1368="F-30",3,IF(L1368="F-60",4,IF(L1368="F-90",5,IF(L1368="F-120",6,IF(L1368="F-150",7,0)))))),0),0)+IF(AND(O1368="FIRE TEX 5090",OR(E1368="IN",E1368="C",E1368="Z",E1368="L"),J1368=4),VLOOKUP(_xlfn.MINIFS('FIRE TEX 5090'!$J$5:$J$43,'FIRE TEX 5090'!$J$5:$J$43,"&gt;="&amp;M1368),'FIRE TEX 5090'!$J$5:$P$43,IF(L1368="F-15",2,IF(L1368="F-30",3,IF(L1368="F-60",4,IF(L1368="F-90",5,IF(L1368="F-120",6,IF(L1368="F-150",7,0)))))),0),0)+IF(AND(O1368="FIRE TEX 5090",E1368="CJ",J1368=3),VLOOKUP(_xlfn.MINIFS('FIRE TEX 5090'!$R$5:$R$30,'FIRE TEX 5090'!$R$5:$R$30,"&gt;="&amp;M1368),'FIRE TEX 5090'!$R$5:$W$30,IF(L1368="F-15",2,IF(L1368="F-30",3,IF(L1368="F-60",4,IF(L1368="F-90",5,IF(L1368="F-120",6,IF(L1368="F-150",7,0)))))),0),0)+IF(AND(O1368="FIRE TEX 5090",E1368="CJ",J1368=4),VLOOKUP(_xlfn.MINIFS('FIRE TEX 5090'!$Y$5:$Y$39,'FIRE TEX 5090'!$Y$5:$Y$39,"&gt;="&amp;M1368),'FIRE TEX 5090'!$Y$5:$AD$39,IF(L1368="F-15",2,IF(L1368="F-30",3,IF(L1368="F-60",4,IF(L1368="F-90",5,IF(L1368="F-120",6,IF(L1368="F-150",7,0)))))),0),0)+IF(AND(O1368="FIRE TEX 5120",OR(E1368="IN",E1368="C",E1368="Z",E1368="L"),J1368=3),VLOOKUP(_xlfn.MINIFS('FIRE TEX 5120'!$B$5:$B$40,'FIRE TEX 5120'!$B$5:$B$40,"&gt;="&amp;M1368),'FIRE TEX 5120'!$B$5:$G$40,IF(L1368="F-15",2,IF(L1368="F-30",3,IF(L1368="F-60",4,IF(L1368="F-90",5,IF(L1368="F-120",6,0))))),0),0)+IF(AND(O1368="FIRE TEX 5120",OR(E1368="IN",E1368="C",E1368="Z",E1368="L"),J1368=4),VLOOKUP(_xlfn.MINIFS('FIRE TEX 5120'!$H$4:$H$40,'FIRE TEX 5120'!$H$4:$H$40,"&gt;="&amp;M1368),'FIRE TEX 5120'!$H$4:$M$40,IF(L1368="F-15",2,IF(L1368="F-30",3,IF(L1368="F-60",4,IF(L1368="F-90",5,IF(L1368="F-120",6,0))))),0),0)+IF(AND(O1368="FIRE TEX 5120",E1368="CJ"),VLOOKUP(_xlfn.MINIFS('FIRE TEX 5120'!$O$5:$O$40,'FIRE TEX 5120'!$O$5:$O$40,"&gt;="&amp;M1368),'FIRE TEX 5120'!$O$5:$T$40,IF(L1368="F-15",2,IF(L1368="F-30",3,IF(L1368="F-60",4,IF(L1368="F-90",5,IF(L1368="F-120",6,0))))),0),0)</f>
        <v>0</v>
      </c>
      <c r="Q1368" s="46">
        <f t="shared" si="124"/>
        <v>0</v>
      </c>
      <c r="R1368" s="46">
        <f t="shared" si="125"/>
        <v>0</v>
      </c>
      <c r="S1368" s="46" t="e">
        <f t="shared" si="126"/>
        <v>#VALUE!</v>
      </c>
      <c r="T1368" s="677">
        <f t="shared" si="127"/>
        <v>0</v>
      </c>
      <c r="U1368" s="80">
        <f>(IF(O1368="Stofire",(S1368*#REF!),0))+(IF(O1368="Fire Control",(S1368*$U$2),0))+(IF(O1368="Fire Tex",(S1368*$U$3),0))+(IF(O1368="WB7",(S1368*#REF!),0)+(IF(O1368="FX 2003",(S1368*$U$5),0)))</f>
        <v>0</v>
      </c>
      <c r="V1368" s="651">
        <f t="shared" si="128"/>
        <v>0</v>
      </c>
    </row>
    <row r="1369" spans="4:22" x14ac:dyDescent="0.25">
      <c r="D1369" s="118">
        <f>+CUBICACION!D1368</f>
        <v>0</v>
      </c>
      <c r="E1369" s="118">
        <f>+CUBICACION!F1368</f>
        <v>0</v>
      </c>
      <c r="F1369" s="118">
        <f>+CUBICACION!E1368</f>
        <v>0</v>
      </c>
      <c r="G1369" s="118">
        <v>12</v>
      </c>
      <c r="H1369" s="118">
        <v>2</v>
      </c>
      <c r="I1369" s="820">
        <v>26385</v>
      </c>
      <c r="J1369" s="118">
        <f>+CUBICACION!J1368</f>
        <v>0</v>
      </c>
      <c r="K1369" s="118">
        <v>4148</v>
      </c>
      <c r="L1369" s="118">
        <f>+CUBICACION!L1368</f>
        <v>0</v>
      </c>
      <c r="M1369" s="64">
        <f>+CUBICACION!M1368</f>
        <v>0</v>
      </c>
      <c r="N1369" s="824" t="str">
        <f>+CUBICACION!N1368</f>
        <v/>
      </c>
      <c r="O1369" s="675">
        <f>+CUBICACION!O1368</f>
        <v>0</v>
      </c>
      <c r="P1369" s="15">
        <f>IF(O1369="Fire Control",VLOOKUP(_xlfn.MINIFS('FIRE CONTROL'!$C$4:$C$37,'FIRE CONTROL'!$C$4:$C$37,"&gt;="&amp;M1369),'FIRE CONTROL'!$C$4:$G$37,IF(L1369="F-15",2,IF(L1369="F-30",3,IF(L1369="F-60",4,IF(L1369="F-90",5,0)))),0),0)+IF(AND(O1369="FIRE TEX 5062",OR(E1369="IN",E1369="C",E1369="Z",E1369="L"),J1369=3),VLOOKUP(_xlfn.MINIFS('FIRE TEX 5062'!$B$4:$B$34,'FIRE TEX 5062'!$B$4:$B$34,"&gt;="&amp;M1369),'FIRE TEX 5062'!$B$4:$F$34,IF(L1369="F-15",2,IF(L1369="F-30",3,IF(L1369="F-60",4,IF(L1369="F-90",5,0)))),0),0)+IF(AND(O1369="FIRE TEX 5062",OR(E1369="IN",E1369="C",E1369="Z",E1369="L"),J1369=4),VLOOKUP(_xlfn.MINIFS('FIRE TEX 5062'!$G$4:$G$34,'FIRE TEX 5062'!$G$4:$G$34,"&gt;="&amp;M1369),'FIRE TEX 5062'!$G$4:$K$34,IF(L1369="F-15",2,IF(L1369="F-30",3,IF(L1369="F-60",4,IF(L1369="F-90",5,0)))),0),0)+IF(AND(O1369="FIRE TEX 5062",E1369="CJ",J1369=3),VLOOKUP(_xlfn.MINIFS('FIRE TEX 5062'!$L$4:$L$34,'FIRE TEX 5062'!$L$4:$L$34,"&gt;="&amp;M1369),'FIRE TEX 5062'!$L$4:$P$34,IF(L1369="F-15",2,IF(L1369="F-30",3,IF(L1369="F-60",4,IF(L1369="F-90",5,0)))),0),0)+IF(AND(O1369="FIRE TEX 5062",E1369="CJ",J1369=4),VLOOKUP(_xlfn.MINIFS('FIRE TEX 5062'!$Q$3:$Q$34,'FIRE TEX 5062'!$Q$3:$Q$34,"&gt;="&amp;M1369),'FIRE TEX 5062'!$Q$3:$U$34,IF(L1369="F-15",2,IF(L1369="F-30",3,IF(L1369="F-60",4,IF(L1369="F-90",5,0)))),0),0)+IF(AND(O1369="FIRE TEX 5090",OR(E1369="IN",E1369="C",E1369="Z",E1369="L"),J1369=3),VLOOKUP(_xlfn.MINIFS('FIRE TEX 5090'!$B$5:$B$43,'FIRE TEX 5090'!$B$5:$B$43,"&gt;="&amp;M1369),'FIRE TEX 5090'!$B$5:$H$43,IF(L1369="F-15",2,IF(L1369="F-30",3,IF(L1369="F-60",4,IF(L1369="F-90",5,IF(L1369="F-120",6,IF(L1369="F-150",7,0)))))),0),0)+IF(AND(O1369="FIRE TEX 5090",OR(E1369="IN",E1369="C",E1369="Z",E1369="L"),J1369=4),VLOOKUP(_xlfn.MINIFS('FIRE TEX 5090'!$J$5:$J$43,'FIRE TEX 5090'!$J$5:$J$43,"&gt;="&amp;M1369),'FIRE TEX 5090'!$J$5:$P$43,IF(L1369="F-15",2,IF(L1369="F-30",3,IF(L1369="F-60",4,IF(L1369="F-90",5,IF(L1369="F-120",6,IF(L1369="F-150",7,0)))))),0),0)+IF(AND(O1369="FIRE TEX 5090",E1369="CJ",J1369=3),VLOOKUP(_xlfn.MINIFS('FIRE TEX 5090'!$R$5:$R$30,'FIRE TEX 5090'!$R$5:$R$30,"&gt;="&amp;M1369),'FIRE TEX 5090'!$R$5:$W$30,IF(L1369="F-15",2,IF(L1369="F-30",3,IF(L1369="F-60",4,IF(L1369="F-90",5,IF(L1369="F-120",6,IF(L1369="F-150",7,0)))))),0),0)+IF(AND(O1369="FIRE TEX 5090",E1369="CJ",J1369=4),VLOOKUP(_xlfn.MINIFS('FIRE TEX 5090'!$Y$5:$Y$39,'FIRE TEX 5090'!$Y$5:$Y$39,"&gt;="&amp;M1369),'FIRE TEX 5090'!$Y$5:$AD$39,IF(L1369="F-15",2,IF(L1369="F-30",3,IF(L1369="F-60",4,IF(L1369="F-90",5,IF(L1369="F-120",6,IF(L1369="F-150",7,0)))))),0),0)+IF(AND(O1369="FIRE TEX 5120",OR(E1369="IN",E1369="C",E1369="Z",E1369="L"),J1369=3),VLOOKUP(_xlfn.MINIFS('FIRE TEX 5120'!$B$5:$B$40,'FIRE TEX 5120'!$B$5:$B$40,"&gt;="&amp;M1369),'FIRE TEX 5120'!$B$5:$G$40,IF(L1369="F-15",2,IF(L1369="F-30",3,IF(L1369="F-60",4,IF(L1369="F-90",5,IF(L1369="F-120",6,0))))),0),0)+IF(AND(O1369="FIRE TEX 5120",OR(E1369="IN",E1369="C",E1369="Z",E1369="L"),J1369=4),VLOOKUP(_xlfn.MINIFS('FIRE TEX 5120'!$H$4:$H$40,'FIRE TEX 5120'!$H$4:$H$40,"&gt;="&amp;M1369),'FIRE TEX 5120'!$H$4:$M$40,IF(L1369="F-15",2,IF(L1369="F-30",3,IF(L1369="F-60",4,IF(L1369="F-90",5,IF(L1369="F-120",6,0))))),0),0)+IF(AND(O1369="FIRE TEX 5120",E1369="CJ"),VLOOKUP(_xlfn.MINIFS('FIRE TEX 5120'!$O$5:$O$40,'FIRE TEX 5120'!$O$5:$O$40,"&gt;="&amp;M1369),'FIRE TEX 5120'!$O$5:$T$40,IF(L1369="F-15",2,IF(L1369="F-30",3,IF(L1369="F-60",4,IF(L1369="F-90",5,IF(L1369="F-120",6,0))))),0),0)</f>
        <v>0</v>
      </c>
      <c r="Q1369" s="46">
        <f t="shared" si="124"/>
        <v>0</v>
      </c>
      <c r="R1369" s="46">
        <f t="shared" si="125"/>
        <v>0</v>
      </c>
      <c r="S1369" s="46" t="e">
        <f t="shared" si="126"/>
        <v>#VALUE!</v>
      </c>
      <c r="T1369" s="677">
        <f t="shared" si="127"/>
        <v>0</v>
      </c>
      <c r="U1369" s="80">
        <f>(IF(O1369="Stofire",(S1369*#REF!),0))+(IF(O1369="Fire Control",(S1369*$U$2),0))+(IF(O1369="Fire Tex",(S1369*$U$3),0))+(IF(O1369="WB7",(S1369*#REF!),0)+(IF(O1369="FX 2003",(S1369*$U$5),0)))</f>
        <v>0</v>
      </c>
      <c r="V1369" s="651">
        <f t="shared" si="128"/>
        <v>0</v>
      </c>
    </row>
    <row r="1370" spans="4:22" x14ac:dyDescent="0.25">
      <c r="D1370" s="118">
        <f>+CUBICACION!D1369</f>
        <v>0</v>
      </c>
      <c r="E1370" s="118">
        <f>+CUBICACION!F1369</f>
        <v>0</v>
      </c>
      <c r="F1370" s="118">
        <f>+CUBICACION!E1369</f>
        <v>0</v>
      </c>
      <c r="G1370" s="118">
        <v>12</v>
      </c>
      <c r="H1370" s="118">
        <v>2</v>
      </c>
      <c r="I1370" s="820">
        <v>26385</v>
      </c>
      <c r="J1370" s="118">
        <f>+CUBICACION!J1369</f>
        <v>0</v>
      </c>
      <c r="K1370" s="118">
        <v>4149</v>
      </c>
      <c r="L1370" s="118">
        <f>+CUBICACION!L1369</f>
        <v>0</v>
      </c>
      <c r="M1370" s="64">
        <f>+CUBICACION!M1369</f>
        <v>0</v>
      </c>
      <c r="N1370" s="824" t="str">
        <f>+CUBICACION!N1369</f>
        <v/>
      </c>
      <c r="O1370" s="675">
        <f>+CUBICACION!O1369</f>
        <v>0</v>
      </c>
      <c r="P1370" s="15">
        <f>IF(O1370="Fire Control",VLOOKUP(_xlfn.MINIFS('FIRE CONTROL'!$C$4:$C$37,'FIRE CONTROL'!$C$4:$C$37,"&gt;="&amp;M1370),'FIRE CONTROL'!$C$4:$G$37,IF(L1370="F-15",2,IF(L1370="F-30",3,IF(L1370="F-60",4,IF(L1370="F-90",5,0)))),0),0)+IF(AND(O1370="FIRE TEX 5062",OR(E1370="IN",E1370="C",E1370="Z",E1370="L"),J1370=3),VLOOKUP(_xlfn.MINIFS('FIRE TEX 5062'!$B$4:$B$34,'FIRE TEX 5062'!$B$4:$B$34,"&gt;="&amp;M1370),'FIRE TEX 5062'!$B$4:$F$34,IF(L1370="F-15",2,IF(L1370="F-30",3,IF(L1370="F-60",4,IF(L1370="F-90",5,0)))),0),0)+IF(AND(O1370="FIRE TEX 5062",OR(E1370="IN",E1370="C",E1370="Z",E1370="L"),J1370=4),VLOOKUP(_xlfn.MINIFS('FIRE TEX 5062'!$G$4:$G$34,'FIRE TEX 5062'!$G$4:$G$34,"&gt;="&amp;M1370),'FIRE TEX 5062'!$G$4:$K$34,IF(L1370="F-15",2,IF(L1370="F-30",3,IF(L1370="F-60",4,IF(L1370="F-90",5,0)))),0),0)+IF(AND(O1370="FIRE TEX 5062",E1370="CJ",J1370=3),VLOOKUP(_xlfn.MINIFS('FIRE TEX 5062'!$L$4:$L$34,'FIRE TEX 5062'!$L$4:$L$34,"&gt;="&amp;M1370),'FIRE TEX 5062'!$L$4:$P$34,IF(L1370="F-15",2,IF(L1370="F-30",3,IF(L1370="F-60",4,IF(L1370="F-90",5,0)))),0),0)+IF(AND(O1370="FIRE TEX 5062",E1370="CJ",J1370=4),VLOOKUP(_xlfn.MINIFS('FIRE TEX 5062'!$Q$3:$Q$34,'FIRE TEX 5062'!$Q$3:$Q$34,"&gt;="&amp;M1370),'FIRE TEX 5062'!$Q$3:$U$34,IF(L1370="F-15",2,IF(L1370="F-30",3,IF(L1370="F-60",4,IF(L1370="F-90",5,0)))),0),0)+IF(AND(O1370="FIRE TEX 5090",OR(E1370="IN",E1370="C",E1370="Z",E1370="L"),J1370=3),VLOOKUP(_xlfn.MINIFS('FIRE TEX 5090'!$B$5:$B$43,'FIRE TEX 5090'!$B$5:$B$43,"&gt;="&amp;M1370),'FIRE TEX 5090'!$B$5:$H$43,IF(L1370="F-15",2,IF(L1370="F-30",3,IF(L1370="F-60",4,IF(L1370="F-90",5,IF(L1370="F-120",6,IF(L1370="F-150",7,0)))))),0),0)+IF(AND(O1370="FIRE TEX 5090",OR(E1370="IN",E1370="C",E1370="Z",E1370="L"),J1370=4),VLOOKUP(_xlfn.MINIFS('FIRE TEX 5090'!$J$5:$J$43,'FIRE TEX 5090'!$J$5:$J$43,"&gt;="&amp;M1370),'FIRE TEX 5090'!$J$5:$P$43,IF(L1370="F-15",2,IF(L1370="F-30",3,IF(L1370="F-60",4,IF(L1370="F-90",5,IF(L1370="F-120",6,IF(L1370="F-150",7,0)))))),0),0)+IF(AND(O1370="FIRE TEX 5090",E1370="CJ",J1370=3),VLOOKUP(_xlfn.MINIFS('FIRE TEX 5090'!$R$5:$R$30,'FIRE TEX 5090'!$R$5:$R$30,"&gt;="&amp;M1370),'FIRE TEX 5090'!$R$5:$W$30,IF(L1370="F-15",2,IF(L1370="F-30",3,IF(L1370="F-60",4,IF(L1370="F-90",5,IF(L1370="F-120",6,IF(L1370="F-150",7,0)))))),0),0)+IF(AND(O1370="FIRE TEX 5090",E1370="CJ",J1370=4),VLOOKUP(_xlfn.MINIFS('FIRE TEX 5090'!$Y$5:$Y$39,'FIRE TEX 5090'!$Y$5:$Y$39,"&gt;="&amp;M1370),'FIRE TEX 5090'!$Y$5:$AD$39,IF(L1370="F-15",2,IF(L1370="F-30",3,IF(L1370="F-60",4,IF(L1370="F-90",5,IF(L1370="F-120",6,IF(L1370="F-150",7,0)))))),0),0)+IF(AND(O1370="FIRE TEX 5120",OR(E1370="IN",E1370="C",E1370="Z",E1370="L"),J1370=3),VLOOKUP(_xlfn.MINIFS('FIRE TEX 5120'!$B$5:$B$40,'FIRE TEX 5120'!$B$5:$B$40,"&gt;="&amp;M1370),'FIRE TEX 5120'!$B$5:$G$40,IF(L1370="F-15",2,IF(L1370="F-30",3,IF(L1370="F-60",4,IF(L1370="F-90",5,IF(L1370="F-120",6,0))))),0),0)+IF(AND(O1370="FIRE TEX 5120",OR(E1370="IN",E1370="C",E1370="Z",E1370="L"),J1370=4),VLOOKUP(_xlfn.MINIFS('FIRE TEX 5120'!$H$4:$H$40,'FIRE TEX 5120'!$H$4:$H$40,"&gt;="&amp;M1370),'FIRE TEX 5120'!$H$4:$M$40,IF(L1370="F-15",2,IF(L1370="F-30",3,IF(L1370="F-60",4,IF(L1370="F-90",5,IF(L1370="F-120",6,0))))),0),0)+IF(AND(O1370="FIRE TEX 5120",E1370="CJ"),VLOOKUP(_xlfn.MINIFS('FIRE TEX 5120'!$O$5:$O$40,'FIRE TEX 5120'!$O$5:$O$40,"&gt;="&amp;M1370),'FIRE TEX 5120'!$O$5:$T$40,IF(L1370="F-15",2,IF(L1370="F-30",3,IF(L1370="F-60",4,IF(L1370="F-90",5,IF(L1370="F-120",6,0))))),0),0)</f>
        <v>0</v>
      </c>
      <c r="Q1370" s="46">
        <f t="shared" si="124"/>
        <v>0</v>
      </c>
      <c r="R1370" s="46">
        <f t="shared" si="125"/>
        <v>0</v>
      </c>
      <c r="S1370" s="46" t="e">
        <f t="shared" si="126"/>
        <v>#VALUE!</v>
      </c>
      <c r="T1370" s="677">
        <f t="shared" si="127"/>
        <v>0</v>
      </c>
      <c r="U1370" s="80">
        <f>(IF(O1370="Stofire",(S1370*#REF!),0))+(IF(O1370="Fire Control",(S1370*$U$2),0))+(IF(O1370="Fire Tex",(S1370*$U$3),0))+(IF(O1370="WB7",(S1370*#REF!),0)+(IF(O1370="FX 2003",(S1370*$U$5),0)))</f>
        <v>0</v>
      </c>
      <c r="V1370" s="651">
        <f t="shared" si="128"/>
        <v>0</v>
      </c>
    </row>
    <row r="1371" spans="4:22" x14ac:dyDescent="0.25">
      <c r="D1371" s="118">
        <f>+CUBICACION!D1370</f>
        <v>0</v>
      </c>
      <c r="E1371" s="118">
        <f>+CUBICACION!F1370</f>
        <v>0</v>
      </c>
      <c r="F1371" s="118">
        <f>+CUBICACION!E1370</f>
        <v>0</v>
      </c>
      <c r="G1371" s="118">
        <v>12</v>
      </c>
      <c r="H1371" s="118">
        <v>2</v>
      </c>
      <c r="I1371" s="820">
        <v>26385</v>
      </c>
      <c r="J1371" s="118">
        <f>+CUBICACION!J1370</f>
        <v>0</v>
      </c>
      <c r="K1371" s="118">
        <v>4150</v>
      </c>
      <c r="L1371" s="118">
        <f>+CUBICACION!L1370</f>
        <v>0</v>
      </c>
      <c r="M1371" s="64">
        <f>+CUBICACION!M1370</f>
        <v>0</v>
      </c>
      <c r="N1371" s="824" t="str">
        <f>+CUBICACION!N1370</f>
        <v/>
      </c>
      <c r="O1371" s="675">
        <f>+CUBICACION!O1370</f>
        <v>0</v>
      </c>
      <c r="P1371" s="15">
        <f>IF(O1371="Fire Control",VLOOKUP(_xlfn.MINIFS('FIRE CONTROL'!$C$4:$C$37,'FIRE CONTROL'!$C$4:$C$37,"&gt;="&amp;M1371),'FIRE CONTROL'!$C$4:$G$37,IF(L1371="F-15",2,IF(L1371="F-30",3,IF(L1371="F-60",4,IF(L1371="F-90",5,0)))),0),0)+IF(AND(O1371="FIRE TEX 5062",OR(E1371="IN",E1371="C",E1371="Z",E1371="L"),J1371=3),VLOOKUP(_xlfn.MINIFS('FIRE TEX 5062'!$B$4:$B$34,'FIRE TEX 5062'!$B$4:$B$34,"&gt;="&amp;M1371),'FIRE TEX 5062'!$B$4:$F$34,IF(L1371="F-15",2,IF(L1371="F-30",3,IF(L1371="F-60",4,IF(L1371="F-90",5,0)))),0),0)+IF(AND(O1371="FIRE TEX 5062",OR(E1371="IN",E1371="C",E1371="Z",E1371="L"),J1371=4),VLOOKUP(_xlfn.MINIFS('FIRE TEX 5062'!$G$4:$G$34,'FIRE TEX 5062'!$G$4:$G$34,"&gt;="&amp;M1371),'FIRE TEX 5062'!$G$4:$K$34,IF(L1371="F-15",2,IF(L1371="F-30",3,IF(L1371="F-60",4,IF(L1371="F-90",5,0)))),0),0)+IF(AND(O1371="FIRE TEX 5062",E1371="CJ",J1371=3),VLOOKUP(_xlfn.MINIFS('FIRE TEX 5062'!$L$4:$L$34,'FIRE TEX 5062'!$L$4:$L$34,"&gt;="&amp;M1371),'FIRE TEX 5062'!$L$4:$P$34,IF(L1371="F-15",2,IF(L1371="F-30",3,IF(L1371="F-60",4,IF(L1371="F-90",5,0)))),0),0)+IF(AND(O1371="FIRE TEX 5062",E1371="CJ",J1371=4),VLOOKUP(_xlfn.MINIFS('FIRE TEX 5062'!$Q$3:$Q$34,'FIRE TEX 5062'!$Q$3:$Q$34,"&gt;="&amp;M1371),'FIRE TEX 5062'!$Q$3:$U$34,IF(L1371="F-15",2,IF(L1371="F-30",3,IF(L1371="F-60",4,IF(L1371="F-90",5,0)))),0),0)+IF(AND(O1371="FIRE TEX 5090",OR(E1371="IN",E1371="C",E1371="Z",E1371="L"),J1371=3),VLOOKUP(_xlfn.MINIFS('FIRE TEX 5090'!$B$5:$B$43,'FIRE TEX 5090'!$B$5:$B$43,"&gt;="&amp;M1371),'FIRE TEX 5090'!$B$5:$H$43,IF(L1371="F-15",2,IF(L1371="F-30",3,IF(L1371="F-60",4,IF(L1371="F-90",5,IF(L1371="F-120",6,IF(L1371="F-150",7,0)))))),0),0)+IF(AND(O1371="FIRE TEX 5090",OR(E1371="IN",E1371="C",E1371="Z",E1371="L"),J1371=4),VLOOKUP(_xlfn.MINIFS('FIRE TEX 5090'!$J$5:$J$43,'FIRE TEX 5090'!$J$5:$J$43,"&gt;="&amp;M1371),'FIRE TEX 5090'!$J$5:$P$43,IF(L1371="F-15",2,IF(L1371="F-30",3,IF(L1371="F-60",4,IF(L1371="F-90",5,IF(L1371="F-120",6,IF(L1371="F-150",7,0)))))),0),0)+IF(AND(O1371="FIRE TEX 5090",E1371="CJ",J1371=3),VLOOKUP(_xlfn.MINIFS('FIRE TEX 5090'!$R$5:$R$30,'FIRE TEX 5090'!$R$5:$R$30,"&gt;="&amp;M1371),'FIRE TEX 5090'!$R$5:$W$30,IF(L1371="F-15",2,IF(L1371="F-30",3,IF(L1371="F-60",4,IF(L1371="F-90",5,IF(L1371="F-120",6,IF(L1371="F-150",7,0)))))),0),0)+IF(AND(O1371="FIRE TEX 5090",E1371="CJ",J1371=4),VLOOKUP(_xlfn.MINIFS('FIRE TEX 5090'!$Y$5:$Y$39,'FIRE TEX 5090'!$Y$5:$Y$39,"&gt;="&amp;M1371),'FIRE TEX 5090'!$Y$5:$AD$39,IF(L1371="F-15",2,IF(L1371="F-30",3,IF(L1371="F-60",4,IF(L1371="F-90",5,IF(L1371="F-120",6,IF(L1371="F-150",7,0)))))),0),0)+IF(AND(O1371="FIRE TEX 5120",OR(E1371="IN",E1371="C",E1371="Z",E1371="L"),J1371=3),VLOOKUP(_xlfn.MINIFS('FIRE TEX 5120'!$B$5:$B$40,'FIRE TEX 5120'!$B$5:$B$40,"&gt;="&amp;M1371),'FIRE TEX 5120'!$B$5:$G$40,IF(L1371="F-15",2,IF(L1371="F-30",3,IF(L1371="F-60",4,IF(L1371="F-90",5,IF(L1371="F-120",6,0))))),0),0)+IF(AND(O1371="FIRE TEX 5120",OR(E1371="IN",E1371="C",E1371="Z",E1371="L"),J1371=4),VLOOKUP(_xlfn.MINIFS('FIRE TEX 5120'!$H$4:$H$40,'FIRE TEX 5120'!$H$4:$H$40,"&gt;="&amp;M1371),'FIRE TEX 5120'!$H$4:$M$40,IF(L1371="F-15",2,IF(L1371="F-30",3,IF(L1371="F-60",4,IF(L1371="F-90",5,IF(L1371="F-120",6,0))))),0),0)+IF(AND(O1371="FIRE TEX 5120",E1371="CJ"),VLOOKUP(_xlfn.MINIFS('FIRE TEX 5120'!$O$5:$O$40,'FIRE TEX 5120'!$O$5:$O$40,"&gt;="&amp;M1371),'FIRE TEX 5120'!$O$5:$T$40,IF(L1371="F-15",2,IF(L1371="F-30",3,IF(L1371="F-60",4,IF(L1371="F-90",5,IF(L1371="F-120",6,0))))),0),0)</f>
        <v>0</v>
      </c>
      <c r="Q1371" s="46">
        <f t="shared" si="124"/>
        <v>0</v>
      </c>
      <c r="R1371" s="46">
        <f t="shared" si="125"/>
        <v>0</v>
      </c>
      <c r="S1371" s="46" t="e">
        <f t="shared" si="126"/>
        <v>#VALUE!</v>
      </c>
      <c r="T1371" s="677">
        <f t="shared" si="127"/>
        <v>0</v>
      </c>
      <c r="U1371" s="80">
        <f>(IF(O1371="Stofire",(S1371*#REF!),0))+(IF(O1371="Fire Control",(S1371*$U$2),0))+(IF(O1371="Fire Tex",(S1371*$U$3),0))+(IF(O1371="WB7",(S1371*#REF!),0)+(IF(O1371="FX 2003",(S1371*$U$5),0)))</f>
        <v>0</v>
      </c>
      <c r="V1371" s="651">
        <f t="shared" si="128"/>
        <v>0</v>
      </c>
    </row>
    <row r="1372" spans="4:22" x14ac:dyDescent="0.25">
      <c r="D1372" s="118">
        <f>+CUBICACION!D1371</f>
        <v>0</v>
      </c>
      <c r="E1372" s="118">
        <f>+CUBICACION!F1371</f>
        <v>0</v>
      </c>
      <c r="F1372" s="118">
        <f>+CUBICACION!E1371</f>
        <v>0</v>
      </c>
      <c r="G1372" s="118">
        <v>12</v>
      </c>
      <c r="H1372" s="118">
        <v>2</v>
      </c>
      <c r="I1372" s="820">
        <v>26385</v>
      </c>
      <c r="J1372" s="118">
        <f>+CUBICACION!J1371</f>
        <v>0</v>
      </c>
      <c r="K1372" s="118">
        <v>4151</v>
      </c>
      <c r="L1372" s="118">
        <f>+CUBICACION!L1371</f>
        <v>0</v>
      </c>
      <c r="M1372" s="64">
        <f>+CUBICACION!M1371</f>
        <v>0</v>
      </c>
      <c r="N1372" s="824" t="str">
        <f>+CUBICACION!N1371</f>
        <v/>
      </c>
      <c r="O1372" s="675">
        <f>+CUBICACION!O1371</f>
        <v>0</v>
      </c>
      <c r="P1372" s="15">
        <f>IF(O1372="Fire Control",VLOOKUP(_xlfn.MINIFS('FIRE CONTROL'!$C$4:$C$37,'FIRE CONTROL'!$C$4:$C$37,"&gt;="&amp;M1372),'FIRE CONTROL'!$C$4:$G$37,IF(L1372="F-15",2,IF(L1372="F-30",3,IF(L1372="F-60",4,IF(L1372="F-90",5,0)))),0),0)+IF(AND(O1372="FIRE TEX 5062",OR(E1372="IN",E1372="C",E1372="Z",E1372="L"),J1372=3),VLOOKUP(_xlfn.MINIFS('FIRE TEX 5062'!$B$4:$B$34,'FIRE TEX 5062'!$B$4:$B$34,"&gt;="&amp;M1372),'FIRE TEX 5062'!$B$4:$F$34,IF(L1372="F-15",2,IF(L1372="F-30",3,IF(L1372="F-60",4,IF(L1372="F-90",5,0)))),0),0)+IF(AND(O1372="FIRE TEX 5062",OR(E1372="IN",E1372="C",E1372="Z",E1372="L"),J1372=4),VLOOKUP(_xlfn.MINIFS('FIRE TEX 5062'!$G$4:$G$34,'FIRE TEX 5062'!$G$4:$G$34,"&gt;="&amp;M1372),'FIRE TEX 5062'!$G$4:$K$34,IF(L1372="F-15",2,IF(L1372="F-30",3,IF(L1372="F-60",4,IF(L1372="F-90",5,0)))),0),0)+IF(AND(O1372="FIRE TEX 5062",E1372="CJ",J1372=3),VLOOKUP(_xlfn.MINIFS('FIRE TEX 5062'!$L$4:$L$34,'FIRE TEX 5062'!$L$4:$L$34,"&gt;="&amp;M1372),'FIRE TEX 5062'!$L$4:$P$34,IF(L1372="F-15",2,IF(L1372="F-30",3,IF(L1372="F-60",4,IF(L1372="F-90",5,0)))),0),0)+IF(AND(O1372="FIRE TEX 5062",E1372="CJ",J1372=4),VLOOKUP(_xlfn.MINIFS('FIRE TEX 5062'!$Q$3:$Q$34,'FIRE TEX 5062'!$Q$3:$Q$34,"&gt;="&amp;M1372),'FIRE TEX 5062'!$Q$3:$U$34,IF(L1372="F-15",2,IF(L1372="F-30",3,IF(L1372="F-60",4,IF(L1372="F-90",5,0)))),0),0)+IF(AND(O1372="FIRE TEX 5090",OR(E1372="IN",E1372="C",E1372="Z",E1372="L"),J1372=3),VLOOKUP(_xlfn.MINIFS('FIRE TEX 5090'!$B$5:$B$43,'FIRE TEX 5090'!$B$5:$B$43,"&gt;="&amp;M1372),'FIRE TEX 5090'!$B$5:$H$43,IF(L1372="F-15",2,IF(L1372="F-30",3,IF(L1372="F-60",4,IF(L1372="F-90",5,IF(L1372="F-120",6,IF(L1372="F-150",7,0)))))),0),0)+IF(AND(O1372="FIRE TEX 5090",OR(E1372="IN",E1372="C",E1372="Z",E1372="L"),J1372=4),VLOOKUP(_xlfn.MINIFS('FIRE TEX 5090'!$J$5:$J$43,'FIRE TEX 5090'!$J$5:$J$43,"&gt;="&amp;M1372),'FIRE TEX 5090'!$J$5:$P$43,IF(L1372="F-15",2,IF(L1372="F-30",3,IF(L1372="F-60",4,IF(L1372="F-90",5,IF(L1372="F-120",6,IF(L1372="F-150",7,0)))))),0),0)+IF(AND(O1372="FIRE TEX 5090",E1372="CJ",J1372=3),VLOOKUP(_xlfn.MINIFS('FIRE TEX 5090'!$R$5:$R$30,'FIRE TEX 5090'!$R$5:$R$30,"&gt;="&amp;M1372),'FIRE TEX 5090'!$R$5:$W$30,IF(L1372="F-15",2,IF(L1372="F-30",3,IF(L1372="F-60",4,IF(L1372="F-90",5,IF(L1372="F-120",6,IF(L1372="F-150",7,0)))))),0),0)+IF(AND(O1372="FIRE TEX 5090",E1372="CJ",J1372=4),VLOOKUP(_xlfn.MINIFS('FIRE TEX 5090'!$Y$5:$Y$39,'FIRE TEX 5090'!$Y$5:$Y$39,"&gt;="&amp;M1372),'FIRE TEX 5090'!$Y$5:$AD$39,IF(L1372="F-15",2,IF(L1372="F-30",3,IF(L1372="F-60",4,IF(L1372="F-90",5,IF(L1372="F-120",6,IF(L1372="F-150",7,0)))))),0),0)+IF(AND(O1372="FIRE TEX 5120",OR(E1372="IN",E1372="C",E1372="Z",E1372="L"),J1372=3),VLOOKUP(_xlfn.MINIFS('FIRE TEX 5120'!$B$5:$B$40,'FIRE TEX 5120'!$B$5:$B$40,"&gt;="&amp;M1372),'FIRE TEX 5120'!$B$5:$G$40,IF(L1372="F-15",2,IF(L1372="F-30",3,IF(L1372="F-60",4,IF(L1372="F-90",5,IF(L1372="F-120",6,0))))),0),0)+IF(AND(O1372="FIRE TEX 5120",OR(E1372="IN",E1372="C",E1372="Z",E1372="L"),J1372=4),VLOOKUP(_xlfn.MINIFS('FIRE TEX 5120'!$H$4:$H$40,'FIRE TEX 5120'!$H$4:$H$40,"&gt;="&amp;M1372),'FIRE TEX 5120'!$H$4:$M$40,IF(L1372="F-15",2,IF(L1372="F-30",3,IF(L1372="F-60",4,IF(L1372="F-90",5,IF(L1372="F-120",6,0))))),0),0)+IF(AND(O1372="FIRE TEX 5120",E1372="CJ"),VLOOKUP(_xlfn.MINIFS('FIRE TEX 5120'!$O$5:$O$40,'FIRE TEX 5120'!$O$5:$O$40,"&gt;="&amp;M1372),'FIRE TEX 5120'!$O$5:$T$40,IF(L1372="F-15",2,IF(L1372="F-30",3,IF(L1372="F-60",4,IF(L1372="F-90",5,IF(L1372="F-120",6,0))))),0),0)</f>
        <v>0</v>
      </c>
      <c r="Q1372" s="46">
        <f t="shared" si="124"/>
        <v>0</v>
      </c>
      <c r="R1372" s="46">
        <f t="shared" si="125"/>
        <v>0</v>
      </c>
      <c r="S1372" s="46" t="e">
        <f t="shared" si="126"/>
        <v>#VALUE!</v>
      </c>
      <c r="T1372" s="677">
        <f t="shared" si="127"/>
        <v>0</v>
      </c>
      <c r="U1372" s="80">
        <f>(IF(O1372="Stofire",(S1372*#REF!),0))+(IF(O1372="Fire Control",(S1372*$U$2),0))+(IF(O1372="Fire Tex",(S1372*$U$3),0))+(IF(O1372="WB7",(S1372*#REF!),0)+(IF(O1372="FX 2003",(S1372*$U$5),0)))</f>
        <v>0</v>
      </c>
      <c r="V1372" s="651">
        <f t="shared" si="128"/>
        <v>0</v>
      </c>
    </row>
    <row r="1373" spans="4:22" x14ac:dyDescent="0.25">
      <c r="D1373" s="118">
        <f>+CUBICACION!D1372</f>
        <v>0</v>
      </c>
      <c r="E1373" s="118">
        <f>+CUBICACION!F1372</f>
        <v>0</v>
      </c>
      <c r="F1373" s="118">
        <f>+CUBICACION!E1372</f>
        <v>0</v>
      </c>
      <c r="G1373" s="118">
        <v>12</v>
      </c>
      <c r="H1373" s="118">
        <v>2</v>
      </c>
      <c r="I1373" s="820">
        <v>26385</v>
      </c>
      <c r="J1373" s="118">
        <f>+CUBICACION!J1372</f>
        <v>0</v>
      </c>
      <c r="K1373" s="118">
        <v>4152</v>
      </c>
      <c r="L1373" s="118">
        <f>+CUBICACION!L1372</f>
        <v>0</v>
      </c>
      <c r="M1373" s="64">
        <f>+CUBICACION!M1372</f>
        <v>0</v>
      </c>
      <c r="N1373" s="824" t="str">
        <f>+CUBICACION!N1372</f>
        <v/>
      </c>
      <c r="O1373" s="675">
        <f>+CUBICACION!O1372</f>
        <v>0</v>
      </c>
      <c r="P1373" s="15">
        <f>IF(O1373="Fire Control",VLOOKUP(_xlfn.MINIFS('FIRE CONTROL'!$C$4:$C$37,'FIRE CONTROL'!$C$4:$C$37,"&gt;="&amp;M1373),'FIRE CONTROL'!$C$4:$G$37,IF(L1373="F-15",2,IF(L1373="F-30",3,IF(L1373="F-60",4,IF(L1373="F-90",5,0)))),0),0)+IF(AND(O1373="FIRE TEX 5062",OR(E1373="IN",E1373="C",E1373="Z",E1373="L"),J1373=3),VLOOKUP(_xlfn.MINIFS('FIRE TEX 5062'!$B$4:$B$34,'FIRE TEX 5062'!$B$4:$B$34,"&gt;="&amp;M1373),'FIRE TEX 5062'!$B$4:$F$34,IF(L1373="F-15",2,IF(L1373="F-30",3,IF(L1373="F-60",4,IF(L1373="F-90",5,0)))),0),0)+IF(AND(O1373="FIRE TEX 5062",OR(E1373="IN",E1373="C",E1373="Z",E1373="L"),J1373=4),VLOOKUP(_xlfn.MINIFS('FIRE TEX 5062'!$G$4:$G$34,'FIRE TEX 5062'!$G$4:$G$34,"&gt;="&amp;M1373),'FIRE TEX 5062'!$G$4:$K$34,IF(L1373="F-15",2,IF(L1373="F-30",3,IF(L1373="F-60",4,IF(L1373="F-90",5,0)))),0),0)+IF(AND(O1373="FIRE TEX 5062",E1373="CJ",J1373=3),VLOOKUP(_xlfn.MINIFS('FIRE TEX 5062'!$L$4:$L$34,'FIRE TEX 5062'!$L$4:$L$34,"&gt;="&amp;M1373),'FIRE TEX 5062'!$L$4:$P$34,IF(L1373="F-15",2,IF(L1373="F-30",3,IF(L1373="F-60",4,IF(L1373="F-90",5,0)))),0),0)+IF(AND(O1373="FIRE TEX 5062",E1373="CJ",J1373=4),VLOOKUP(_xlfn.MINIFS('FIRE TEX 5062'!$Q$3:$Q$34,'FIRE TEX 5062'!$Q$3:$Q$34,"&gt;="&amp;M1373),'FIRE TEX 5062'!$Q$3:$U$34,IF(L1373="F-15",2,IF(L1373="F-30",3,IF(L1373="F-60",4,IF(L1373="F-90",5,0)))),0),0)+IF(AND(O1373="FIRE TEX 5090",OR(E1373="IN",E1373="C",E1373="Z",E1373="L"),J1373=3),VLOOKUP(_xlfn.MINIFS('FIRE TEX 5090'!$B$5:$B$43,'FIRE TEX 5090'!$B$5:$B$43,"&gt;="&amp;M1373),'FIRE TEX 5090'!$B$5:$H$43,IF(L1373="F-15",2,IF(L1373="F-30",3,IF(L1373="F-60",4,IF(L1373="F-90",5,IF(L1373="F-120",6,IF(L1373="F-150",7,0)))))),0),0)+IF(AND(O1373="FIRE TEX 5090",OR(E1373="IN",E1373="C",E1373="Z",E1373="L"),J1373=4),VLOOKUP(_xlfn.MINIFS('FIRE TEX 5090'!$J$5:$J$43,'FIRE TEX 5090'!$J$5:$J$43,"&gt;="&amp;M1373),'FIRE TEX 5090'!$J$5:$P$43,IF(L1373="F-15",2,IF(L1373="F-30",3,IF(L1373="F-60",4,IF(L1373="F-90",5,IF(L1373="F-120",6,IF(L1373="F-150",7,0)))))),0),0)+IF(AND(O1373="FIRE TEX 5090",E1373="CJ",J1373=3),VLOOKUP(_xlfn.MINIFS('FIRE TEX 5090'!$R$5:$R$30,'FIRE TEX 5090'!$R$5:$R$30,"&gt;="&amp;M1373),'FIRE TEX 5090'!$R$5:$W$30,IF(L1373="F-15",2,IF(L1373="F-30",3,IF(L1373="F-60",4,IF(L1373="F-90",5,IF(L1373="F-120",6,IF(L1373="F-150",7,0)))))),0),0)+IF(AND(O1373="FIRE TEX 5090",E1373="CJ",J1373=4),VLOOKUP(_xlfn.MINIFS('FIRE TEX 5090'!$Y$5:$Y$39,'FIRE TEX 5090'!$Y$5:$Y$39,"&gt;="&amp;M1373),'FIRE TEX 5090'!$Y$5:$AD$39,IF(L1373="F-15",2,IF(L1373="F-30",3,IF(L1373="F-60",4,IF(L1373="F-90",5,IF(L1373="F-120",6,IF(L1373="F-150",7,0)))))),0),0)+IF(AND(O1373="FIRE TEX 5120",OR(E1373="IN",E1373="C",E1373="Z",E1373="L"),J1373=3),VLOOKUP(_xlfn.MINIFS('FIRE TEX 5120'!$B$5:$B$40,'FIRE TEX 5120'!$B$5:$B$40,"&gt;="&amp;M1373),'FIRE TEX 5120'!$B$5:$G$40,IF(L1373="F-15",2,IF(L1373="F-30",3,IF(L1373="F-60",4,IF(L1373="F-90",5,IF(L1373="F-120",6,0))))),0),0)+IF(AND(O1373="FIRE TEX 5120",OR(E1373="IN",E1373="C",E1373="Z",E1373="L"),J1373=4),VLOOKUP(_xlfn.MINIFS('FIRE TEX 5120'!$H$4:$H$40,'FIRE TEX 5120'!$H$4:$H$40,"&gt;="&amp;M1373),'FIRE TEX 5120'!$H$4:$M$40,IF(L1373="F-15",2,IF(L1373="F-30",3,IF(L1373="F-60",4,IF(L1373="F-90",5,IF(L1373="F-120",6,0))))),0),0)+IF(AND(O1373="FIRE TEX 5120",E1373="CJ"),VLOOKUP(_xlfn.MINIFS('FIRE TEX 5120'!$O$5:$O$40,'FIRE TEX 5120'!$O$5:$O$40,"&gt;="&amp;M1373),'FIRE TEX 5120'!$O$5:$T$40,IF(L1373="F-15",2,IF(L1373="F-30",3,IF(L1373="F-60",4,IF(L1373="F-90",5,IF(L1373="F-120",6,0))))),0),0)</f>
        <v>0</v>
      </c>
      <c r="Q1373" s="46">
        <f t="shared" si="124"/>
        <v>0</v>
      </c>
      <c r="R1373" s="46">
        <f t="shared" si="125"/>
        <v>0</v>
      </c>
      <c r="S1373" s="46" t="e">
        <f t="shared" si="126"/>
        <v>#VALUE!</v>
      </c>
      <c r="T1373" s="677">
        <f t="shared" si="127"/>
        <v>0</v>
      </c>
      <c r="U1373" s="80">
        <f>(IF(O1373="Stofire",(S1373*#REF!),0))+(IF(O1373="Fire Control",(S1373*$U$2),0))+(IF(O1373="Fire Tex",(S1373*$U$3),0))+(IF(O1373="WB7",(S1373*#REF!),0)+(IF(O1373="FX 2003",(S1373*$U$5),0)))</f>
        <v>0</v>
      </c>
      <c r="V1373" s="651">
        <f t="shared" si="128"/>
        <v>0</v>
      </c>
    </row>
    <row r="1374" spans="4:22" x14ac:dyDescent="0.25">
      <c r="D1374" s="118">
        <f>+CUBICACION!D1373</f>
        <v>0</v>
      </c>
      <c r="E1374" s="118">
        <f>+CUBICACION!F1373</f>
        <v>0</v>
      </c>
      <c r="F1374" s="118">
        <f>+CUBICACION!E1373</f>
        <v>0</v>
      </c>
      <c r="G1374" s="118">
        <v>12</v>
      </c>
      <c r="H1374" s="118">
        <v>2</v>
      </c>
      <c r="I1374" s="820">
        <v>26385</v>
      </c>
      <c r="J1374" s="118">
        <f>+CUBICACION!J1373</f>
        <v>0</v>
      </c>
      <c r="K1374" s="118">
        <v>4153</v>
      </c>
      <c r="L1374" s="118">
        <f>+CUBICACION!L1373</f>
        <v>0</v>
      </c>
      <c r="M1374" s="64">
        <f>+CUBICACION!M1373</f>
        <v>0</v>
      </c>
      <c r="N1374" s="824" t="str">
        <f>+CUBICACION!N1373</f>
        <v/>
      </c>
      <c r="O1374" s="675">
        <f>+CUBICACION!O1373</f>
        <v>0</v>
      </c>
      <c r="P1374" s="15">
        <f>IF(O1374="Fire Control",VLOOKUP(_xlfn.MINIFS('FIRE CONTROL'!$C$4:$C$37,'FIRE CONTROL'!$C$4:$C$37,"&gt;="&amp;M1374),'FIRE CONTROL'!$C$4:$G$37,IF(L1374="F-15",2,IF(L1374="F-30",3,IF(L1374="F-60",4,IF(L1374="F-90",5,0)))),0),0)+IF(AND(O1374="FIRE TEX 5062",OR(E1374="IN",E1374="C",E1374="Z",E1374="L"),J1374=3),VLOOKUP(_xlfn.MINIFS('FIRE TEX 5062'!$B$4:$B$34,'FIRE TEX 5062'!$B$4:$B$34,"&gt;="&amp;M1374),'FIRE TEX 5062'!$B$4:$F$34,IF(L1374="F-15",2,IF(L1374="F-30",3,IF(L1374="F-60",4,IF(L1374="F-90",5,0)))),0),0)+IF(AND(O1374="FIRE TEX 5062",OR(E1374="IN",E1374="C",E1374="Z",E1374="L"),J1374=4),VLOOKUP(_xlfn.MINIFS('FIRE TEX 5062'!$G$4:$G$34,'FIRE TEX 5062'!$G$4:$G$34,"&gt;="&amp;M1374),'FIRE TEX 5062'!$G$4:$K$34,IF(L1374="F-15",2,IF(L1374="F-30",3,IF(L1374="F-60",4,IF(L1374="F-90",5,0)))),0),0)+IF(AND(O1374="FIRE TEX 5062",E1374="CJ",J1374=3),VLOOKUP(_xlfn.MINIFS('FIRE TEX 5062'!$L$4:$L$34,'FIRE TEX 5062'!$L$4:$L$34,"&gt;="&amp;M1374),'FIRE TEX 5062'!$L$4:$P$34,IF(L1374="F-15",2,IF(L1374="F-30",3,IF(L1374="F-60",4,IF(L1374="F-90",5,0)))),0),0)+IF(AND(O1374="FIRE TEX 5062",E1374="CJ",J1374=4),VLOOKUP(_xlfn.MINIFS('FIRE TEX 5062'!$Q$3:$Q$34,'FIRE TEX 5062'!$Q$3:$Q$34,"&gt;="&amp;M1374),'FIRE TEX 5062'!$Q$3:$U$34,IF(L1374="F-15",2,IF(L1374="F-30",3,IF(L1374="F-60",4,IF(L1374="F-90",5,0)))),0),0)+IF(AND(O1374="FIRE TEX 5090",OR(E1374="IN",E1374="C",E1374="Z",E1374="L"),J1374=3),VLOOKUP(_xlfn.MINIFS('FIRE TEX 5090'!$B$5:$B$43,'FIRE TEX 5090'!$B$5:$B$43,"&gt;="&amp;M1374),'FIRE TEX 5090'!$B$5:$H$43,IF(L1374="F-15",2,IF(L1374="F-30",3,IF(L1374="F-60",4,IF(L1374="F-90",5,IF(L1374="F-120",6,IF(L1374="F-150",7,0)))))),0),0)+IF(AND(O1374="FIRE TEX 5090",OR(E1374="IN",E1374="C",E1374="Z",E1374="L"),J1374=4),VLOOKUP(_xlfn.MINIFS('FIRE TEX 5090'!$J$5:$J$43,'FIRE TEX 5090'!$J$5:$J$43,"&gt;="&amp;M1374),'FIRE TEX 5090'!$J$5:$P$43,IF(L1374="F-15",2,IF(L1374="F-30",3,IF(L1374="F-60",4,IF(L1374="F-90",5,IF(L1374="F-120",6,IF(L1374="F-150",7,0)))))),0),0)+IF(AND(O1374="FIRE TEX 5090",E1374="CJ",J1374=3),VLOOKUP(_xlfn.MINIFS('FIRE TEX 5090'!$R$5:$R$30,'FIRE TEX 5090'!$R$5:$R$30,"&gt;="&amp;M1374),'FIRE TEX 5090'!$R$5:$W$30,IF(L1374="F-15",2,IF(L1374="F-30",3,IF(L1374="F-60",4,IF(L1374="F-90",5,IF(L1374="F-120",6,IF(L1374="F-150",7,0)))))),0),0)+IF(AND(O1374="FIRE TEX 5090",E1374="CJ",J1374=4),VLOOKUP(_xlfn.MINIFS('FIRE TEX 5090'!$Y$5:$Y$39,'FIRE TEX 5090'!$Y$5:$Y$39,"&gt;="&amp;M1374),'FIRE TEX 5090'!$Y$5:$AD$39,IF(L1374="F-15",2,IF(L1374="F-30",3,IF(L1374="F-60",4,IF(L1374="F-90",5,IF(L1374="F-120",6,IF(L1374="F-150",7,0)))))),0),0)+IF(AND(O1374="FIRE TEX 5120",OR(E1374="IN",E1374="C",E1374="Z",E1374="L"),J1374=3),VLOOKUP(_xlfn.MINIFS('FIRE TEX 5120'!$B$5:$B$40,'FIRE TEX 5120'!$B$5:$B$40,"&gt;="&amp;M1374),'FIRE TEX 5120'!$B$5:$G$40,IF(L1374="F-15",2,IF(L1374="F-30",3,IF(L1374="F-60",4,IF(L1374="F-90",5,IF(L1374="F-120",6,0))))),0),0)+IF(AND(O1374="FIRE TEX 5120",OR(E1374="IN",E1374="C",E1374="Z",E1374="L"),J1374=4),VLOOKUP(_xlfn.MINIFS('FIRE TEX 5120'!$H$4:$H$40,'FIRE TEX 5120'!$H$4:$H$40,"&gt;="&amp;M1374),'FIRE TEX 5120'!$H$4:$M$40,IF(L1374="F-15",2,IF(L1374="F-30",3,IF(L1374="F-60",4,IF(L1374="F-90",5,IF(L1374="F-120",6,0))))),0),0)+IF(AND(O1374="FIRE TEX 5120",E1374="CJ"),VLOOKUP(_xlfn.MINIFS('FIRE TEX 5120'!$O$5:$O$40,'FIRE TEX 5120'!$O$5:$O$40,"&gt;="&amp;M1374),'FIRE TEX 5120'!$O$5:$T$40,IF(L1374="F-15",2,IF(L1374="F-30",3,IF(L1374="F-60",4,IF(L1374="F-90",5,IF(L1374="F-120",6,0))))),0),0)</f>
        <v>0</v>
      </c>
      <c r="Q1374" s="46">
        <f t="shared" si="124"/>
        <v>0</v>
      </c>
      <c r="R1374" s="46">
        <f t="shared" si="125"/>
        <v>0</v>
      </c>
      <c r="S1374" s="46" t="e">
        <f t="shared" si="126"/>
        <v>#VALUE!</v>
      </c>
      <c r="T1374" s="677">
        <f t="shared" si="127"/>
        <v>0</v>
      </c>
      <c r="U1374" s="80">
        <f>(IF(O1374="Stofire",(S1374*#REF!),0))+(IF(O1374="Fire Control",(S1374*$U$2),0))+(IF(O1374="Fire Tex",(S1374*$U$3),0))+(IF(O1374="WB7",(S1374*#REF!),0)+(IF(O1374="FX 2003",(S1374*$U$5),0)))</f>
        <v>0</v>
      </c>
      <c r="V1374" s="651">
        <f t="shared" si="128"/>
        <v>0</v>
      </c>
    </row>
    <row r="1375" spans="4:22" x14ac:dyDescent="0.25">
      <c r="D1375" s="118">
        <f>+CUBICACION!D1374</f>
        <v>0</v>
      </c>
      <c r="E1375" s="118">
        <f>+CUBICACION!F1374</f>
        <v>0</v>
      </c>
      <c r="F1375" s="118">
        <f>+CUBICACION!E1374</f>
        <v>0</v>
      </c>
      <c r="G1375" s="118">
        <v>12</v>
      </c>
      <c r="H1375" s="118">
        <v>2</v>
      </c>
      <c r="I1375" s="820">
        <v>26385</v>
      </c>
      <c r="J1375" s="118">
        <f>+CUBICACION!J1374</f>
        <v>0</v>
      </c>
      <c r="K1375" s="118">
        <v>4154</v>
      </c>
      <c r="L1375" s="118">
        <f>+CUBICACION!L1374</f>
        <v>0</v>
      </c>
      <c r="M1375" s="64">
        <f>+CUBICACION!M1374</f>
        <v>0</v>
      </c>
      <c r="N1375" s="824" t="str">
        <f>+CUBICACION!N1374</f>
        <v/>
      </c>
      <c r="O1375" s="675">
        <f>+CUBICACION!O1374</f>
        <v>0</v>
      </c>
      <c r="P1375" s="15">
        <f>IF(O1375="Fire Control",VLOOKUP(_xlfn.MINIFS('FIRE CONTROL'!$C$4:$C$37,'FIRE CONTROL'!$C$4:$C$37,"&gt;="&amp;M1375),'FIRE CONTROL'!$C$4:$G$37,IF(L1375="F-15",2,IF(L1375="F-30",3,IF(L1375="F-60",4,IF(L1375="F-90",5,0)))),0),0)+IF(AND(O1375="FIRE TEX 5062",OR(E1375="IN",E1375="C",E1375="Z",E1375="L"),J1375=3),VLOOKUP(_xlfn.MINIFS('FIRE TEX 5062'!$B$4:$B$34,'FIRE TEX 5062'!$B$4:$B$34,"&gt;="&amp;M1375),'FIRE TEX 5062'!$B$4:$F$34,IF(L1375="F-15",2,IF(L1375="F-30",3,IF(L1375="F-60",4,IF(L1375="F-90",5,0)))),0),0)+IF(AND(O1375="FIRE TEX 5062",OR(E1375="IN",E1375="C",E1375="Z",E1375="L"),J1375=4),VLOOKUP(_xlfn.MINIFS('FIRE TEX 5062'!$G$4:$G$34,'FIRE TEX 5062'!$G$4:$G$34,"&gt;="&amp;M1375),'FIRE TEX 5062'!$G$4:$K$34,IF(L1375="F-15",2,IF(L1375="F-30",3,IF(L1375="F-60",4,IF(L1375="F-90",5,0)))),0),0)+IF(AND(O1375="FIRE TEX 5062",E1375="CJ",J1375=3),VLOOKUP(_xlfn.MINIFS('FIRE TEX 5062'!$L$4:$L$34,'FIRE TEX 5062'!$L$4:$L$34,"&gt;="&amp;M1375),'FIRE TEX 5062'!$L$4:$P$34,IF(L1375="F-15",2,IF(L1375="F-30",3,IF(L1375="F-60",4,IF(L1375="F-90",5,0)))),0),0)+IF(AND(O1375="FIRE TEX 5062",E1375="CJ",J1375=4),VLOOKUP(_xlfn.MINIFS('FIRE TEX 5062'!$Q$3:$Q$34,'FIRE TEX 5062'!$Q$3:$Q$34,"&gt;="&amp;M1375),'FIRE TEX 5062'!$Q$3:$U$34,IF(L1375="F-15",2,IF(L1375="F-30",3,IF(L1375="F-60",4,IF(L1375="F-90",5,0)))),0),0)+IF(AND(O1375="FIRE TEX 5090",OR(E1375="IN",E1375="C",E1375="Z",E1375="L"),J1375=3),VLOOKUP(_xlfn.MINIFS('FIRE TEX 5090'!$B$5:$B$43,'FIRE TEX 5090'!$B$5:$B$43,"&gt;="&amp;M1375),'FIRE TEX 5090'!$B$5:$H$43,IF(L1375="F-15",2,IF(L1375="F-30",3,IF(L1375="F-60",4,IF(L1375="F-90",5,IF(L1375="F-120",6,IF(L1375="F-150",7,0)))))),0),0)+IF(AND(O1375="FIRE TEX 5090",OR(E1375="IN",E1375="C",E1375="Z",E1375="L"),J1375=4),VLOOKUP(_xlfn.MINIFS('FIRE TEX 5090'!$J$5:$J$43,'FIRE TEX 5090'!$J$5:$J$43,"&gt;="&amp;M1375),'FIRE TEX 5090'!$J$5:$P$43,IF(L1375="F-15",2,IF(L1375="F-30",3,IF(L1375="F-60",4,IF(L1375="F-90",5,IF(L1375="F-120",6,IF(L1375="F-150",7,0)))))),0),0)+IF(AND(O1375="FIRE TEX 5090",E1375="CJ",J1375=3),VLOOKUP(_xlfn.MINIFS('FIRE TEX 5090'!$R$5:$R$30,'FIRE TEX 5090'!$R$5:$R$30,"&gt;="&amp;M1375),'FIRE TEX 5090'!$R$5:$W$30,IF(L1375="F-15",2,IF(L1375="F-30",3,IF(L1375="F-60",4,IF(L1375="F-90",5,IF(L1375="F-120",6,IF(L1375="F-150",7,0)))))),0),0)+IF(AND(O1375="FIRE TEX 5090",E1375="CJ",J1375=4),VLOOKUP(_xlfn.MINIFS('FIRE TEX 5090'!$Y$5:$Y$39,'FIRE TEX 5090'!$Y$5:$Y$39,"&gt;="&amp;M1375),'FIRE TEX 5090'!$Y$5:$AD$39,IF(L1375="F-15",2,IF(L1375="F-30",3,IF(L1375="F-60",4,IF(L1375="F-90",5,IF(L1375="F-120",6,IF(L1375="F-150",7,0)))))),0),0)+IF(AND(O1375="FIRE TEX 5120",OR(E1375="IN",E1375="C",E1375="Z",E1375="L"),J1375=3),VLOOKUP(_xlfn.MINIFS('FIRE TEX 5120'!$B$5:$B$40,'FIRE TEX 5120'!$B$5:$B$40,"&gt;="&amp;M1375),'FIRE TEX 5120'!$B$5:$G$40,IF(L1375="F-15",2,IF(L1375="F-30",3,IF(L1375="F-60",4,IF(L1375="F-90",5,IF(L1375="F-120",6,0))))),0),0)+IF(AND(O1375="FIRE TEX 5120",OR(E1375="IN",E1375="C",E1375="Z",E1375="L"),J1375=4),VLOOKUP(_xlfn.MINIFS('FIRE TEX 5120'!$H$4:$H$40,'FIRE TEX 5120'!$H$4:$H$40,"&gt;="&amp;M1375),'FIRE TEX 5120'!$H$4:$M$40,IF(L1375="F-15",2,IF(L1375="F-30",3,IF(L1375="F-60",4,IF(L1375="F-90",5,IF(L1375="F-120",6,0))))),0),0)+IF(AND(O1375="FIRE TEX 5120",E1375="CJ"),VLOOKUP(_xlfn.MINIFS('FIRE TEX 5120'!$O$5:$O$40,'FIRE TEX 5120'!$O$5:$O$40,"&gt;="&amp;M1375),'FIRE TEX 5120'!$O$5:$T$40,IF(L1375="F-15",2,IF(L1375="F-30",3,IF(L1375="F-60",4,IF(L1375="F-90",5,IF(L1375="F-120",6,0))))),0),0)</f>
        <v>0</v>
      </c>
      <c r="Q1375" s="46">
        <f t="shared" si="124"/>
        <v>0</v>
      </c>
      <c r="R1375" s="46">
        <f t="shared" si="125"/>
        <v>0</v>
      </c>
      <c r="S1375" s="46" t="e">
        <f t="shared" si="126"/>
        <v>#VALUE!</v>
      </c>
      <c r="T1375" s="677">
        <f t="shared" si="127"/>
        <v>0</v>
      </c>
      <c r="U1375" s="80">
        <f>(IF(O1375="Stofire",(S1375*#REF!),0))+(IF(O1375="Fire Control",(S1375*$U$2),0))+(IF(O1375="Fire Tex",(S1375*$U$3),0))+(IF(O1375="WB7",(S1375*#REF!),0)+(IF(O1375="FX 2003",(S1375*$U$5),0)))</f>
        <v>0</v>
      </c>
      <c r="V1375" s="651">
        <f t="shared" si="128"/>
        <v>0</v>
      </c>
    </row>
    <row r="1376" spans="4:22" x14ac:dyDescent="0.25">
      <c r="D1376" s="118">
        <f>+CUBICACION!D1375</f>
        <v>0</v>
      </c>
      <c r="E1376" s="118">
        <f>+CUBICACION!F1375</f>
        <v>0</v>
      </c>
      <c r="F1376" s="118">
        <f>+CUBICACION!E1375</f>
        <v>0</v>
      </c>
      <c r="G1376" s="118">
        <v>12</v>
      </c>
      <c r="H1376" s="118">
        <v>2</v>
      </c>
      <c r="I1376" s="820">
        <v>26385</v>
      </c>
      <c r="J1376" s="118">
        <f>+CUBICACION!J1375</f>
        <v>0</v>
      </c>
      <c r="K1376" s="118">
        <v>4155</v>
      </c>
      <c r="L1376" s="118">
        <f>+CUBICACION!L1375</f>
        <v>0</v>
      </c>
      <c r="M1376" s="64">
        <f>+CUBICACION!M1375</f>
        <v>0</v>
      </c>
      <c r="N1376" s="824" t="str">
        <f>+CUBICACION!N1375</f>
        <v/>
      </c>
      <c r="O1376" s="675">
        <f>+CUBICACION!O1375</f>
        <v>0</v>
      </c>
      <c r="P1376" s="15">
        <f>IF(O1376="Fire Control",VLOOKUP(_xlfn.MINIFS('FIRE CONTROL'!$C$4:$C$37,'FIRE CONTROL'!$C$4:$C$37,"&gt;="&amp;M1376),'FIRE CONTROL'!$C$4:$G$37,IF(L1376="F-15",2,IF(L1376="F-30",3,IF(L1376="F-60",4,IF(L1376="F-90",5,0)))),0),0)+IF(AND(O1376="FIRE TEX 5062",OR(E1376="IN",E1376="C",E1376="Z",E1376="L"),J1376=3),VLOOKUP(_xlfn.MINIFS('FIRE TEX 5062'!$B$4:$B$34,'FIRE TEX 5062'!$B$4:$B$34,"&gt;="&amp;M1376),'FIRE TEX 5062'!$B$4:$F$34,IF(L1376="F-15",2,IF(L1376="F-30",3,IF(L1376="F-60",4,IF(L1376="F-90",5,0)))),0),0)+IF(AND(O1376="FIRE TEX 5062",OR(E1376="IN",E1376="C",E1376="Z",E1376="L"),J1376=4),VLOOKUP(_xlfn.MINIFS('FIRE TEX 5062'!$G$4:$G$34,'FIRE TEX 5062'!$G$4:$G$34,"&gt;="&amp;M1376),'FIRE TEX 5062'!$G$4:$K$34,IF(L1376="F-15",2,IF(L1376="F-30",3,IF(L1376="F-60",4,IF(L1376="F-90",5,0)))),0),0)+IF(AND(O1376="FIRE TEX 5062",E1376="CJ",J1376=3),VLOOKUP(_xlfn.MINIFS('FIRE TEX 5062'!$L$4:$L$34,'FIRE TEX 5062'!$L$4:$L$34,"&gt;="&amp;M1376),'FIRE TEX 5062'!$L$4:$P$34,IF(L1376="F-15",2,IF(L1376="F-30",3,IF(L1376="F-60",4,IF(L1376="F-90",5,0)))),0),0)+IF(AND(O1376="FIRE TEX 5062",E1376="CJ",J1376=4),VLOOKUP(_xlfn.MINIFS('FIRE TEX 5062'!$Q$3:$Q$34,'FIRE TEX 5062'!$Q$3:$Q$34,"&gt;="&amp;M1376),'FIRE TEX 5062'!$Q$3:$U$34,IF(L1376="F-15",2,IF(L1376="F-30",3,IF(L1376="F-60",4,IF(L1376="F-90",5,0)))),0),0)+IF(AND(O1376="FIRE TEX 5090",OR(E1376="IN",E1376="C",E1376="Z",E1376="L"),J1376=3),VLOOKUP(_xlfn.MINIFS('FIRE TEX 5090'!$B$5:$B$43,'FIRE TEX 5090'!$B$5:$B$43,"&gt;="&amp;M1376),'FIRE TEX 5090'!$B$5:$H$43,IF(L1376="F-15",2,IF(L1376="F-30",3,IF(L1376="F-60",4,IF(L1376="F-90",5,IF(L1376="F-120",6,IF(L1376="F-150",7,0)))))),0),0)+IF(AND(O1376="FIRE TEX 5090",OR(E1376="IN",E1376="C",E1376="Z",E1376="L"),J1376=4),VLOOKUP(_xlfn.MINIFS('FIRE TEX 5090'!$J$5:$J$43,'FIRE TEX 5090'!$J$5:$J$43,"&gt;="&amp;M1376),'FIRE TEX 5090'!$J$5:$P$43,IF(L1376="F-15",2,IF(L1376="F-30",3,IF(L1376="F-60",4,IF(L1376="F-90",5,IF(L1376="F-120",6,IF(L1376="F-150",7,0)))))),0),0)+IF(AND(O1376="FIRE TEX 5090",E1376="CJ",J1376=3),VLOOKUP(_xlfn.MINIFS('FIRE TEX 5090'!$R$5:$R$30,'FIRE TEX 5090'!$R$5:$R$30,"&gt;="&amp;M1376),'FIRE TEX 5090'!$R$5:$W$30,IF(L1376="F-15",2,IF(L1376="F-30",3,IF(L1376="F-60",4,IF(L1376="F-90",5,IF(L1376="F-120",6,IF(L1376="F-150",7,0)))))),0),0)+IF(AND(O1376="FIRE TEX 5090",E1376="CJ",J1376=4),VLOOKUP(_xlfn.MINIFS('FIRE TEX 5090'!$Y$5:$Y$39,'FIRE TEX 5090'!$Y$5:$Y$39,"&gt;="&amp;M1376),'FIRE TEX 5090'!$Y$5:$AD$39,IF(L1376="F-15",2,IF(L1376="F-30",3,IF(L1376="F-60",4,IF(L1376="F-90",5,IF(L1376="F-120",6,IF(L1376="F-150",7,0)))))),0),0)+IF(AND(O1376="FIRE TEX 5120",OR(E1376="IN",E1376="C",E1376="Z",E1376="L"),J1376=3),VLOOKUP(_xlfn.MINIFS('FIRE TEX 5120'!$B$5:$B$40,'FIRE TEX 5120'!$B$5:$B$40,"&gt;="&amp;M1376),'FIRE TEX 5120'!$B$5:$G$40,IF(L1376="F-15",2,IF(L1376="F-30",3,IF(L1376="F-60",4,IF(L1376="F-90",5,IF(L1376="F-120",6,0))))),0),0)+IF(AND(O1376="FIRE TEX 5120",OR(E1376="IN",E1376="C",E1376="Z",E1376="L"),J1376=4),VLOOKUP(_xlfn.MINIFS('FIRE TEX 5120'!$H$4:$H$40,'FIRE TEX 5120'!$H$4:$H$40,"&gt;="&amp;M1376),'FIRE TEX 5120'!$H$4:$M$40,IF(L1376="F-15",2,IF(L1376="F-30",3,IF(L1376="F-60",4,IF(L1376="F-90",5,IF(L1376="F-120",6,0))))),0),0)+IF(AND(O1376="FIRE TEX 5120",E1376="CJ"),VLOOKUP(_xlfn.MINIFS('FIRE TEX 5120'!$O$5:$O$40,'FIRE TEX 5120'!$O$5:$O$40,"&gt;="&amp;M1376),'FIRE TEX 5120'!$O$5:$T$40,IF(L1376="F-15",2,IF(L1376="F-30",3,IF(L1376="F-60",4,IF(L1376="F-90",5,IF(L1376="F-120",6,0))))),0),0)</f>
        <v>0</v>
      </c>
      <c r="Q1376" s="46">
        <f t="shared" si="124"/>
        <v>0</v>
      </c>
      <c r="R1376" s="46">
        <f t="shared" si="125"/>
        <v>0</v>
      </c>
      <c r="S1376" s="46" t="e">
        <f t="shared" si="126"/>
        <v>#VALUE!</v>
      </c>
      <c r="T1376" s="677">
        <f t="shared" si="127"/>
        <v>0</v>
      </c>
      <c r="U1376" s="80">
        <f>(IF(O1376="Stofire",(S1376*#REF!),0))+(IF(O1376="Fire Control",(S1376*$U$2),0))+(IF(O1376="Fire Tex",(S1376*$U$3),0))+(IF(O1376="WB7",(S1376*#REF!),0)+(IF(O1376="FX 2003",(S1376*$U$5),0)))</f>
        <v>0</v>
      </c>
      <c r="V1376" s="651">
        <f t="shared" si="128"/>
        <v>0</v>
      </c>
    </row>
    <row r="1377" spans="4:22" x14ac:dyDescent="0.25">
      <c r="D1377" s="118">
        <f>+CUBICACION!D1376</f>
        <v>0</v>
      </c>
      <c r="E1377" s="118">
        <f>+CUBICACION!F1376</f>
        <v>0</v>
      </c>
      <c r="F1377" s="118">
        <f>+CUBICACION!E1376</f>
        <v>0</v>
      </c>
      <c r="G1377" s="118">
        <v>12</v>
      </c>
      <c r="H1377" s="118">
        <v>2</v>
      </c>
      <c r="I1377" s="820">
        <v>26385</v>
      </c>
      <c r="J1377" s="118">
        <f>+CUBICACION!J1376</f>
        <v>0</v>
      </c>
      <c r="K1377" s="118">
        <v>4156</v>
      </c>
      <c r="L1377" s="118">
        <f>+CUBICACION!L1376</f>
        <v>0</v>
      </c>
      <c r="M1377" s="64">
        <f>+CUBICACION!M1376</f>
        <v>0</v>
      </c>
      <c r="N1377" s="824" t="str">
        <f>+CUBICACION!N1376</f>
        <v/>
      </c>
      <c r="O1377" s="675">
        <f>+CUBICACION!O1376</f>
        <v>0</v>
      </c>
      <c r="P1377" s="15">
        <f>IF(O1377="Fire Control",VLOOKUP(_xlfn.MINIFS('FIRE CONTROL'!$C$4:$C$37,'FIRE CONTROL'!$C$4:$C$37,"&gt;="&amp;M1377),'FIRE CONTROL'!$C$4:$G$37,IF(L1377="F-15",2,IF(L1377="F-30",3,IF(L1377="F-60",4,IF(L1377="F-90",5,0)))),0),0)+IF(AND(O1377="FIRE TEX 5062",OR(E1377="IN",E1377="C",E1377="Z",E1377="L"),J1377=3),VLOOKUP(_xlfn.MINIFS('FIRE TEX 5062'!$B$4:$B$34,'FIRE TEX 5062'!$B$4:$B$34,"&gt;="&amp;M1377),'FIRE TEX 5062'!$B$4:$F$34,IF(L1377="F-15",2,IF(L1377="F-30",3,IF(L1377="F-60",4,IF(L1377="F-90",5,0)))),0),0)+IF(AND(O1377="FIRE TEX 5062",OR(E1377="IN",E1377="C",E1377="Z",E1377="L"),J1377=4),VLOOKUP(_xlfn.MINIFS('FIRE TEX 5062'!$G$4:$G$34,'FIRE TEX 5062'!$G$4:$G$34,"&gt;="&amp;M1377),'FIRE TEX 5062'!$G$4:$K$34,IF(L1377="F-15",2,IF(L1377="F-30",3,IF(L1377="F-60",4,IF(L1377="F-90",5,0)))),0),0)+IF(AND(O1377="FIRE TEX 5062",E1377="CJ",J1377=3),VLOOKUP(_xlfn.MINIFS('FIRE TEX 5062'!$L$4:$L$34,'FIRE TEX 5062'!$L$4:$L$34,"&gt;="&amp;M1377),'FIRE TEX 5062'!$L$4:$P$34,IF(L1377="F-15",2,IF(L1377="F-30",3,IF(L1377="F-60",4,IF(L1377="F-90",5,0)))),0),0)+IF(AND(O1377="FIRE TEX 5062",E1377="CJ",J1377=4),VLOOKUP(_xlfn.MINIFS('FIRE TEX 5062'!$Q$3:$Q$34,'FIRE TEX 5062'!$Q$3:$Q$34,"&gt;="&amp;M1377),'FIRE TEX 5062'!$Q$3:$U$34,IF(L1377="F-15",2,IF(L1377="F-30",3,IF(L1377="F-60",4,IF(L1377="F-90",5,0)))),0),0)+IF(AND(O1377="FIRE TEX 5090",OR(E1377="IN",E1377="C",E1377="Z",E1377="L"),J1377=3),VLOOKUP(_xlfn.MINIFS('FIRE TEX 5090'!$B$5:$B$43,'FIRE TEX 5090'!$B$5:$B$43,"&gt;="&amp;M1377),'FIRE TEX 5090'!$B$5:$H$43,IF(L1377="F-15",2,IF(L1377="F-30",3,IF(L1377="F-60",4,IF(L1377="F-90",5,IF(L1377="F-120",6,IF(L1377="F-150",7,0)))))),0),0)+IF(AND(O1377="FIRE TEX 5090",OR(E1377="IN",E1377="C",E1377="Z",E1377="L"),J1377=4),VLOOKUP(_xlfn.MINIFS('FIRE TEX 5090'!$J$5:$J$43,'FIRE TEX 5090'!$J$5:$J$43,"&gt;="&amp;M1377),'FIRE TEX 5090'!$J$5:$P$43,IF(L1377="F-15",2,IF(L1377="F-30",3,IF(L1377="F-60",4,IF(L1377="F-90",5,IF(L1377="F-120",6,IF(L1377="F-150",7,0)))))),0),0)+IF(AND(O1377="FIRE TEX 5090",E1377="CJ",J1377=3),VLOOKUP(_xlfn.MINIFS('FIRE TEX 5090'!$R$5:$R$30,'FIRE TEX 5090'!$R$5:$R$30,"&gt;="&amp;M1377),'FIRE TEX 5090'!$R$5:$W$30,IF(L1377="F-15",2,IF(L1377="F-30",3,IF(L1377="F-60",4,IF(L1377="F-90",5,IF(L1377="F-120",6,IF(L1377="F-150",7,0)))))),0),0)+IF(AND(O1377="FIRE TEX 5090",E1377="CJ",J1377=4),VLOOKUP(_xlfn.MINIFS('FIRE TEX 5090'!$Y$5:$Y$39,'FIRE TEX 5090'!$Y$5:$Y$39,"&gt;="&amp;M1377),'FIRE TEX 5090'!$Y$5:$AD$39,IF(L1377="F-15",2,IF(L1377="F-30",3,IF(L1377="F-60",4,IF(L1377="F-90",5,IF(L1377="F-120",6,IF(L1377="F-150",7,0)))))),0),0)+IF(AND(O1377="FIRE TEX 5120",OR(E1377="IN",E1377="C",E1377="Z",E1377="L"),J1377=3),VLOOKUP(_xlfn.MINIFS('FIRE TEX 5120'!$B$5:$B$40,'FIRE TEX 5120'!$B$5:$B$40,"&gt;="&amp;M1377),'FIRE TEX 5120'!$B$5:$G$40,IF(L1377="F-15",2,IF(L1377="F-30",3,IF(L1377="F-60",4,IF(L1377="F-90",5,IF(L1377="F-120",6,0))))),0),0)+IF(AND(O1377="FIRE TEX 5120",OR(E1377="IN",E1377="C",E1377="Z",E1377="L"),J1377=4),VLOOKUP(_xlfn.MINIFS('FIRE TEX 5120'!$H$4:$H$40,'FIRE TEX 5120'!$H$4:$H$40,"&gt;="&amp;M1377),'FIRE TEX 5120'!$H$4:$M$40,IF(L1377="F-15",2,IF(L1377="F-30",3,IF(L1377="F-60",4,IF(L1377="F-90",5,IF(L1377="F-120",6,0))))),0),0)+IF(AND(O1377="FIRE TEX 5120",E1377="CJ"),VLOOKUP(_xlfn.MINIFS('FIRE TEX 5120'!$O$5:$O$40,'FIRE TEX 5120'!$O$5:$O$40,"&gt;="&amp;M1377),'FIRE TEX 5120'!$O$5:$T$40,IF(L1377="F-15",2,IF(L1377="F-30",3,IF(L1377="F-60",4,IF(L1377="F-90",5,IF(L1377="F-120",6,0))))),0),0)</f>
        <v>0</v>
      </c>
      <c r="Q1377" s="46">
        <f t="shared" si="124"/>
        <v>0</v>
      </c>
      <c r="R1377" s="46">
        <f t="shared" si="125"/>
        <v>0</v>
      </c>
      <c r="S1377" s="46" t="e">
        <f t="shared" si="126"/>
        <v>#VALUE!</v>
      </c>
      <c r="T1377" s="677">
        <f t="shared" si="127"/>
        <v>0</v>
      </c>
      <c r="U1377" s="80">
        <f>(IF(O1377="Stofire",(S1377*#REF!),0))+(IF(O1377="Fire Control",(S1377*$U$2),0))+(IF(O1377="Fire Tex",(S1377*$U$3),0))+(IF(O1377="WB7",(S1377*#REF!),0)+(IF(O1377="FX 2003",(S1377*$U$5),0)))</f>
        <v>0</v>
      </c>
      <c r="V1377" s="651">
        <f t="shared" si="128"/>
        <v>0</v>
      </c>
    </row>
    <row r="1378" spans="4:22" x14ac:dyDescent="0.25">
      <c r="D1378" s="118">
        <f>+CUBICACION!D1377</f>
        <v>0</v>
      </c>
      <c r="E1378" s="118">
        <f>+CUBICACION!F1377</f>
        <v>0</v>
      </c>
      <c r="F1378" s="118">
        <f>+CUBICACION!E1377</f>
        <v>0</v>
      </c>
      <c r="G1378" s="118">
        <v>12</v>
      </c>
      <c r="H1378" s="118">
        <v>2</v>
      </c>
      <c r="I1378" s="820">
        <v>26385</v>
      </c>
      <c r="J1378" s="118">
        <f>+CUBICACION!J1377</f>
        <v>0</v>
      </c>
      <c r="K1378" s="118">
        <v>4157</v>
      </c>
      <c r="L1378" s="118">
        <f>+CUBICACION!L1377</f>
        <v>0</v>
      </c>
      <c r="M1378" s="64">
        <f>+CUBICACION!M1377</f>
        <v>0</v>
      </c>
      <c r="N1378" s="824" t="str">
        <f>+CUBICACION!N1377</f>
        <v/>
      </c>
      <c r="O1378" s="675">
        <f>+CUBICACION!O1377</f>
        <v>0</v>
      </c>
      <c r="P1378" s="15">
        <f>IF(O1378="Fire Control",VLOOKUP(_xlfn.MINIFS('FIRE CONTROL'!$C$4:$C$37,'FIRE CONTROL'!$C$4:$C$37,"&gt;="&amp;M1378),'FIRE CONTROL'!$C$4:$G$37,IF(L1378="F-15",2,IF(L1378="F-30",3,IF(L1378="F-60",4,IF(L1378="F-90",5,0)))),0),0)+IF(AND(O1378="FIRE TEX 5062",OR(E1378="IN",E1378="C",E1378="Z",E1378="L"),J1378=3),VLOOKUP(_xlfn.MINIFS('FIRE TEX 5062'!$B$4:$B$34,'FIRE TEX 5062'!$B$4:$B$34,"&gt;="&amp;M1378),'FIRE TEX 5062'!$B$4:$F$34,IF(L1378="F-15",2,IF(L1378="F-30",3,IF(L1378="F-60",4,IF(L1378="F-90",5,0)))),0),0)+IF(AND(O1378="FIRE TEX 5062",OR(E1378="IN",E1378="C",E1378="Z",E1378="L"),J1378=4),VLOOKUP(_xlfn.MINIFS('FIRE TEX 5062'!$G$4:$G$34,'FIRE TEX 5062'!$G$4:$G$34,"&gt;="&amp;M1378),'FIRE TEX 5062'!$G$4:$K$34,IF(L1378="F-15",2,IF(L1378="F-30",3,IF(L1378="F-60",4,IF(L1378="F-90",5,0)))),0),0)+IF(AND(O1378="FIRE TEX 5062",E1378="CJ",J1378=3),VLOOKUP(_xlfn.MINIFS('FIRE TEX 5062'!$L$4:$L$34,'FIRE TEX 5062'!$L$4:$L$34,"&gt;="&amp;M1378),'FIRE TEX 5062'!$L$4:$P$34,IF(L1378="F-15",2,IF(L1378="F-30",3,IF(L1378="F-60",4,IF(L1378="F-90",5,0)))),0),0)+IF(AND(O1378="FIRE TEX 5062",E1378="CJ",J1378=4),VLOOKUP(_xlfn.MINIFS('FIRE TEX 5062'!$Q$3:$Q$34,'FIRE TEX 5062'!$Q$3:$Q$34,"&gt;="&amp;M1378),'FIRE TEX 5062'!$Q$3:$U$34,IF(L1378="F-15",2,IF(L1378="F-30",3,IF(L1378="F-60",4,IF(L1378="F-90",5,0)))),0),0)+IF(AND(O1378="FIRE TEX 5090",OR(E1378="IN",E1378="C",E1378="Z",E1378="L"),J1378=3),VLOOKUP(_xlfn.MINIFS('FIRE TEX 5090'!$B$5:$B$43,'FIRE TEX 5090'!$B$5:$B$43,"&gt;="&amp;M1378),'FIRE TEX 5090'!$B$5:$H$43,IF(L1378="F-15",2,IF(L1378="F-30",3,IF(L1378="F-60",4,IF(L1378="F-90",5,IF(L1378="F-120",6,IF(L1378="F-150",7,0)))))),0),0)+IF(AND(O1378="FIRE TEX 5090",OR(E1378="IN",E1378="C",E1378="Z",E1378="L"),J1378=4),VLOOKUP(_xlfn.MINIFS('FIRE TEX 5090'!$J$5:$J$43,'FIRE TEX 5090'!$J$5:$J$43,"&gt;="&amp;M1378),'FIRE TEX 5090'!$J$5:$P$43,IF(L1378="F-15",2,IF(L1378="F-30",3,IF(L1378="F-60",4,IF(L1378="F-90",5,IF(L1378="F-120",6,IF(L1378="F-150",7,0)))))),0),0)+IF(AND(O1378="FIRE TEX 5090",E1378="CJ",J1378=3),VLOOKUP(_xlfn.MINIFS('FIRE TEX 5090'!$R$5:$R$30,'FIRE TEX 5090'!$R$5:$R$30,"&gt;="&amp;M1378),'FIRE TEX 5090'!$R$5:$W$30,IF(L1378="F-15",2,IF(L1378="F-30",3,IF(L1378="F-60",4,IF(L1378="F-90",5,IF(L1378="F-120",6,IF(L1378="F-150",7,0)))))),0),0)+IF(AND(O1378="FIRE TEX 5090",E1378="CJ",J1378=4),VLOOKUP(_xlfn.MINIFS('FIRE TEX 5090'!$Y$5:$Y$39,'FIRE TEX 5090'!$Y$5:$Y$39,"&gt;="&amp;M1378),'FIRE TEX 5090'!$Y$5:$AD$39,IF(L1378="F-15",2,IF(L1378="F-30",3,IF(L1378="F-60",4,IF(L1378="F-90",5,IF(L1378="F-120",6,IF(L1378="F-150",7,0)))))),0),0)+IF(AND(O1378="FIRE TEX 5120",OR(E1378="IN",E1378="C",E1378="Z",E1378="L"),J1378=3),VLOOKUP(_xlfn.MINIFS('FIRE TEX 5120'!$B$5:$B$40,'FIRE TEX 5120'!$B$5:$B$40,"&gt;="&amp;M1378),'FIRE TEX 5120'!$B$5:$G$40,IF(L1378="F-15",2,IF(L1378="F-30",3,IF(L1378="F-60",4,IF(L1378="F-90",5,IF(L1378="F-120",6,0))))),0),0)+IF(AND(O1378="FIRE TEX 5120",OR(E1378="IN",E1378="C",E1378="Z",E1378="L"),J1378=4),VLOOKUP(_xlfn.MINIFS('FIRE TEX 5120'!$H$4:$H$40,'FIRE TEX 5120'!$H$4:$H$40,"&gt;="&amp;M1378),'FIRE TEX 5120'!$H$4:$M$40,IF(L1378="F-15",2,IF(L1378="F-30",3,IF(L1378="F-60",4,IF(L1378="F-90",5,IF(L1378="F-120",6,0))))),0),0)+IF(AND(O1378="FIRE TEX 5120",E1378="CJ"),VLOOKUP(_xlfn.MINIFS('FIRE TEX 5120'!$O$5:$O$40,'FIRE TEX 5120'!$O$5:$O$40,"&gt;="&amp;M1378),'FIRE TEX 5120'!$O$5:$T$40,IF(L1378="F-15",2,IF(L1378="F-30",3,IF(L1378="F-60",4,IF(L1378="F-90",5,IF(L1378="F-120",6,0))))),0),0)</f>
        <v>0</v>
      </c>
      <c r="Q1378" s="46">
        <f t="shared" si="124"/>
        <v>0</v>
      </c>
      <c r="R1378" s="46">
        <f t="shared" si="125"/>
        <v>0</v>
      </c>
      <c r="S1378" s="46" t="e">
        <f t="shared" si="126"/>
        <v>#VALUE!</v>
      </c>
      <c r="T1378" s="677">
        <f t="shared" si="127"/>
        <v>0</v>
      </c>
      <c r="U1378" s="80">
        <f>(IF(O1378="Stofire",(S1378*#REF!),0))+(IF(O1378="Fire Control",(S1378*$U$2),0))+(IF(O1378="Fire Tex",(S1378*$U$3),0))+(IF(O1378="WB7",(S1378*#REF!),0)+(IF(O1378="FX 2003",(S1378*$U$5),0)))</f>
        <v>0</v>
      </c>
      <c r="V1378" s="651">
        <f t="shared" si="128"/>
        <v>0</v>
      </c>
    </row>
    <row r="1379" spans="4:22" x14ac:dyDescent="0.25">
      <c r="D1379" s="118">
        <f>+CUBICACION!D1378</f>
        <v>0</v>
      </c>
      <c r="E1379" s="118">
        <f>+CUBICACION!F1378</f>
        <v>0</v>
      </c>
      <c r="F1379" s="118">
        <f>+CUBICACION!E1378</f>
        <v>0</v>
      </c>
      <c r="G1379" s="118">
        <v>12</v>
      </c>
      <c r="H1379" s="118">
        <v>2</v>
      </c>
      <c r="I1379" s="820">
        <v>26385</v>
      </c>
      <c r="J1379" s="118">
        <f>+CUBICACION!J1378</f>
        <v>0</v>
      </c>
      <c r="K1379" s="118">
        <v>4158</v>
      </c>
      <c r="L1379" s="118">
        <f>+CUBICACION!L1378</f>
        <v>0</v>
      </c>
      <c r="M1379" s="64">
        <f>+CUBICACION!M1378</f>
        <v>0</v>
      </c>
      <c r="N1379" s="824" t="str">
        <f>+CUBICACION!N1378</f>
        <v/>
      </c>
      <c r="O1379" s="675">
        <f>+CUBICACION!O1378</f>
        <v>0</v>
      </c>
      <c r="P1379" s="15">
        <f>IF(O1379="Fire Control",VLOOKUP(_xlfn.MINIFS('FIRE CONTROL'!$C$4:$C$37,'FIRE CONTROL'!$C$4:$C$37,"&gt;="&amp;M1379),'FIRE CONTROL'!$C$4:$G$37,IF(L1379="F-15",2,IF(L1379="F-30",3,IF(L1379="F-60",4,IF(L1379="F-90",5,0)))),0),0)+IF(AND(O1379="FIRE TEX 5062",OR(E1379="IN",E1379="C",E1379="Z",E1379="L"),J1379=3),VLOOKUP(_xlfn.MINIFS('FIRE TEX 5062'!$B$4:$B$34,'FIRE TEX 5062'!$B$4:$B$34,"&gt;="&amp;M1379),'FIRE TEX 5062'!$B$4:$F$34,IF(L1379="F-15",2,IF(L1379="F-30",3,IF(L1379="F-60",4,IF(L1379="F-90",5,0)))),0),0)+IF(AND(O1379="FIRE TEX 5062",OR(E1379="IN",E1379="C",E1379="Z",E1379="L"),J1379=4),VLOOKUP(_xlfn.MINIFS('FIRE TEX 5062'!$G$4:$G$34,'FIRE TEX 5062'!$G$4:$G$34,"&gt;="&amp;M1379),'FIRE TEX 5062'!$G$4:$K$34,IF(L1379="F-15",2,IF(L1379="F-30",3,IF(L1379="F-60",4,IF(L1379="F-90",5,0)))),0),0)+IF(AND(O1379="FIRE TEX 5062",E1379="CJ",J1379=3),VLOOKUP(_xlfn.MINIFS('FIRE TEX 5062'!$L$4:$L$34,'FIRE TEX 5062'!$L$4:$L$34,"&gt;="&amp;M1379),'FIRE TEX 5062'!$L$4:$P$34,IF(L1379="F-15",2,IF(L1379="F-30",3,IF(L1379="F-60",4,IF(L1379="F-90",5,0)))),0),0)+IF(AND(O1379="FIRE TEX 5062",E1379="CJ",J1379=4),VLOOKUP(_xlfn.MINIFS('FIRE TEX 5062'!$Q$3:$Q$34,'FIRE TEX 5062'!$Q$3:$Q$34,"&gt;="&amp;M1379),'FIRE TEX 5062'!$Q$3:$U$34,IF(L1379="F-15",2,IF(L1379="F-30",3,IF(L1379="F-60",4,IF(L1379="F-90",5,0)))),0),0)+IF(AND(O1379="FIRE TEX 5090",OR(E1379="IN",E1379="C",E1379="Z",E1379="L"),J1379=3),VLOOKUP(_xlfn.MINIFS('FIRE TEX 5090'!$B$5:$B$43,'FIRE TEX 5090'!$B$5:$B$43,"&gt;="&amp;M1379),'FIRE TEX 5090'!$B$5:$H$43,IF(L1379="F-15",2,IF(L1379="F-30",3,IF(L1379="F-60",4,IF(L1379="F-90",5,IF(L1379="F-120",6,IF(L1379="F-150",7,0)))))),0),0)+IF(AND(O1379="FIRE TEX 5090",OR(E1379="IN",E1379="C",E1379="Z",E1379="L"),J1379=4),VLOOKUP(_xlfn.MINIFS('FIRE TEX 5090'!$J$5:$J$43,'FIRE TEX 5090'!$J$5:$J$43,"&gt;="&amp;M1379),'FIRE TEX 5090'!$J$5:$P$43,IF(L1379="F-15",2,IF(L1379="F-30",3,IF(L1379="F-60",4,IF(L1379="F-90",5,IF(L1379="F-120",6,IF(L1379="F-150",7,0)))))),0),0)+IF(AND(O1379="FIRE TEX 5090",E1379="CJ",J1379=3),VLOOKUP(_xlfn.MINIFS('FIRE TEX 5090'!$R$5:$R$30,'FIRE TEX 5090'!$R$5:$R$30,"&gt;="&amp;M1379),'FIRE TEX 5090'!$R$5:$W$30,IF(L1379="F-15",2,IF(L1379="F-30",3,IF(L1379="F-60",4,IF(L1379="F-90",5,IF(L1379="F-120",6,IF(L1379="F-150",7,0)))))),0),0)+IF(AND(O1379="FIRE TEX 5090",E1379="CJ",J1379=4),VLOOKUP(_xlfn.MINIFS('FIRE TEX 5090'!$Y$5:$Y$39,'FIRE TEX 5090'!$Y$5:$Y$39,"&gt;="&amp;M1379),'FIRE TEX 5090'!$Y$5:$AD$39,IF(L1379="F-15",2,IF(L1379="F-30",3,IF(L1379="F-60",4,IF(L1379="F-90",5,IF(L1379="F-120",6,IF(L1379="F-150",7,0)))))),0),0)+IF(AND(O1379="FIRE TEX 5120",OR(E1379="IN",E1379="C",E1379="Z",E1379="L"),J1379=3),VLOOKUP(_xlfn.MINIFS('FIRE TEX 5120'!$B$5:$B$40,'FIRE TEX 5120'!$B$5:$B$40,"&gt;="&amp;M1379),'FIRE TEX 5120'!$B$5:$G$40,IF(L1379="F-15",2,IF(L1379="F-30",3,IF(L1379="F-60",4,IF(L1379="F-90",5,IF(L1379="F-120",6,0))))),0),0)+IF(AND(O1379="FIRE TEX 5120",OR(E1379="IN",E1379="C",E1379="Z",E1379="L"),J1379=4),VLOOKUP(_xlfn.MINIFS('FIRE TEX 5120'!$H$4:$H$40,'FIRE TEX 5120'!$H$4:$H$40,"&gt;="&amp;M1379),'FIRE TEX 5120'!$H$4:$M$40,IF(L1379="F-15",2,IF(L1379="F-30",3,IF(L1379="F-60",4,IF(L1379="F-90",5,IF(L1379="F-120",6,0))))),0),0)+IF(AND(O1379="FIRE TEX 5120",E1379="CJ"),VLOOKUP(_xlfn.MINIFS('FIRE TEX 5120'!$O$5:$O$40,'FIRE TEX 5120'!$O$5:$O$40,"&gt;="&amp;M1379),'FIRE TEX 5120'!$O$5:$T$40,IF(L1379="F-15",2,IF(L1379="F-30",3,IF(L1379="F-60",4,IF(L1379="F-90",5,IF(L1379="F-120",6,0))))),0),0)</f>
        <v>0</v>
      </c>
      <c r="Q1379" s="46">
        <f t="shared" si="124"/>
        <v>0</v>
      </c>
      <c r="R1379" s="46">
        <f t="shared" si="125"/>
        <v>0</v>
      </c>
      <c r="S1379" s="46" t="e">
        <f t="shared" si="126"/>
        <v>#VALUE!</v>
      </c>
      <c r="T1379" s="677">
        <f t="shared" si="127"/>
        <v>0</v>
      </c>
      <c r="U1379" s="80">
        <f>(IF(O1379="Stofire",(S1379*#REF!),0))+(IF(O1379="Fire Control",(S1379*$U$2),0))+(IF(O1379="Fire Tex",(S1379*$U$3),0))+(IF(O1379="WB7",(S1379*#REF!),0)+(IF(O1379="FX 2003",(S1379*$U$5),0)))</f>
        <v>0</v>
      </c>
      <c r="V1379" s="651">
        <f t="shared" si="128"/>
        <v>0</v>
      </c>
    </row>
    <row r="1380" spans="4:22" x14ac:dyDescent="0.25">
      <c r="D1380" s="118">
        <f>+CUBICACION!D1379</f>
        <v>0</v>
      </c>
      <c r="E1380" s="118">
        <f>+CUBICACION!F1379</f>
        <v>0</v>
      </c>
      <c r="F1380" s="118">
        <f>+CUBICACION!E1379</f>
        <v>0</v>
      </c>
      <c r="G1380" s="118">
        <v>12</v>
      </c>
      <c r="H1380" s="118">
        <v>2</v>
      </c>
      <c r="I1380" s="820">
        <v>26385</v>
      </c>
      <c r="J1380" s="118">
        <f>+CUBICACION!J1379</f>
        <v>0</v>
      </c>
      <c r="K1380" s="118">
        <v>4159</v>
      </c>
      <c r="L1380" s="118">
        <f>+CUBICACION!L1379</f>
        <v>0</v>
      </c>
      <c r="M1380" s="64">
        <f>+CUBICACION!M1379</f>
        <v>0</v>
      </c>
      <c r="N1380" s="824" t="str">
        <f>+CUBICACION!N1379</f>
        <v/>
      </c>
      <c r="O1380" s="675">
        <f>+CUBICACION!O1379</f>
        <v>0</v>
      </c>
      <c r="P1380" s="15">
        <f>IF(O1380="Fire Control",VLOOKUP(_xlfn.MINIFS('FIRE CONTROL'!$C$4:$C$37,'FIRE CONTROL'!$C$4:$C$37,"&gt;="&amp;M1380),'FIRE CONTROL'!$C$4:$G$37,IF(L1380="F-15",2,IF(L1380="F-30",3,IF(L1380="F-60",4,IF(L1380="F-90",5,0)))),0),0)+IF(AND(O1380="FIRE TEX 5062",OR(E1380="IN",E1380="C",E1380="Z",E1380="L"),J1380=3),VLOOKUP(_xlfn.MINIFS('FIRE TEX 5062'!$B$4:$B$34,'FIRE TEX 5062'!$B$4:$B$34,"&gt;="&amp;M1380),'FIRE TEX 5062'!$B$4:$F$34,IF(L1380="F-15",2,IF(L1380="F-30",3,IF(L1380="F-60",4,IF(L1380="F-90",5,0)))),0),0)+IF(AND(O1380="FIRE TEX 5062",OR(E1380="IN",E1380="C",E1380="Z",E1380="L"),J1380=4),VLOOKUP(_xlfn.MINIFS('FIRE TEX 5062'!$G$4:$G$34,'FIRE TEX 5062'!$G$4:$G$34,"&gt;="&amp;M1380),'FIRE TEX 5062'!$G$4:$K$34,IF(L1380="F-15",2,IF(L1380="F-30",3,IF(L1380="F-60",4,IF(L1380="F-90",5,0)))),0),0)+IF(AND(O1380="FIRE TEX 5062",E1380="CJ",J1380=3),VLOOKUP(_xlfn.MINIFS('FIRE TEX 5062'!$L$4:$L$34,'FIRE TEX 5062'!$L$4:$L$34,"&gt;="&amp;M1380),'FIRE TEX 5062'!$L$4:$P$34,IF(L1380="F-15",2,IF(L1380="F-30",3,IF(L1380="F-60",4,IF(L1380="F-90",5,0)))),0),0)+IF(AND(O1380="FIRE TEX 5062",E1380="CJ",J1380=4),VLOOKUP(_xlfn.MINIFS('FIRE TEX 5062'!$Q$3:$Q$34,'FIRE TEX 5062'!$Q$3:$Q$34,"&gt;="&amp;M1380),'FIRE TEX 5062'!$Q$3:$U$34,IF(L1380="F-15",2,IF(L1380="F-30",3,IF(L1380="F-60",4,IF(L1380="F-90",5,0)))),0),0)+IF(AND(O1380="FIRE TEX 5090",OR(E1380="IN",E1380="C",E1380="Z",E1380="L"),J1380=3),VLOOKUP(_xlfn.MINIFS('FIRE TEX 5090'!$B$5:$B$43,'FIRE TEX 5090'!$B$5:$B$43,"&gt;="&amp;M1380),'FIRE TEX 5090'!$B$5:$H$43,IF(L1380="F-15",2,IF(L1380="F-30",3,IF(L1380="F-60",4,IF(L1380="F-90",5,IF(L1380="F-120",6,IF(L1380="F-150",7,0)))))),0),0)+IF(AND(O1380="FIRE TEX 5090",OR(E1380="IN",E1380="C",E1380="Z",E1380="L"),J1380=4),VLOOKUP(_xlfn.MINIFS('FIRE TEX 5090'!$J$5:$J$43,'FIRE TEX 5090'!$J$5:$J$43,"&gt;="&amp;M1380),'FIRE TEX 5090'!$J$5:$P$43,IF(L1380="F-15",2,IF(L1380="F-30",3,IF(L1380="F-60",4,IF(L1380="F-90",5,IF(L1380="F-120",6,IF(L1380="F-150",7,0)))))),0),0)+IF(AND(O1380="FIRE TEX 5090",E1380="CJ",J1380=3),VLOOKUP(_xlfn.MINIFS('FIRE TEX 5090'!$R$5:$R$30,'FIRE TEX 5090'!$R$5:$R$30,"&gt;="&amp;M1380),'FIRE TEX 5090'!$R$5:$W$30,IF(L1380="F-15",2,IF(L1380="F-30",3,IF(L1380="F-60",4,IF(L1380="F-90",5,IF(L1380="F-120",6,IF(L1380="F-150",7,0)))))),0),0)+IF(AND(O1380="FIRE TEX 5090",E1380="CJ",J1380=4),VLOOKUP(_xlfn.MINIFS('FIRE TEX 5090'!$Y$5:$Y$39,'FIRE TEX 5090'!$Y$5:$Y$39,"&gt;="&amp;M1380),'FIRE TEX 5090'!$Y$5:$AD$39,IF(L1380="F-15",2,IF(L1380="F-30",3,IF(L1380="F-60",4,IF(L1380="F-90",5,IF(L1380="F-120",6,IF(L1380="F-150",7,0)))))),0),0)+IF(AND(O1380="FIRE TEX 5120",OR(E1380="IN",E1380="C",E1380="Z",E1380="L"),J1380=3),VLOOKUP(_xlfn.MINIFS('FIRE TEX 5120'!$B$5:$B$40,'FIRE TEX 5120'!$B$5:$B$40,"&gt;="&amp;M1380),'FIRE TEX 5120'!$B$5:$G$40,IF(L1380="F-15",2,IF(L1380="F-30",3,IF(L1380="F-60",4,IF(L1380="F-90",5,IF(L1380="F-120",6,0))))),0),0)+IF(AND(O1380="FIRE TEX 5120",OR(E1380="IN",E1380="C",E1380="Z",E1380="L"),J1380=4),VLOOKUP(_xlfn.MINIFS('FIRE TEX 5120'!$H$4:$H$40,'FIRE TEX 5120'!$H$4:$H$40,"&gt;="&amp;M1380),'FIRE TEX 5120'!$H$4:$M$40,IF(L1380="F-15",2,IF(L1380="F-30",3,IF(L1380="F-60",4,IF(L1380="F-90",5,IF(L1380="F-120",6,0))))),0),0)+IF(AND(O1380="FIRE TEX 5120",E1380="CJ"),VLOOKUP(_xlfn.MINIFS('FIRE TEX 5120'!$O$5:$O$40,'FIRE TEX 5120'!$O$5:$O$40,"&gt;="&amp;M1380),'FIRE TEX 5120'!$O$5:$T$40,IF(L1380="F-15",2,IF(L1380="F-30",3,IF(L1380="F-60",4,IF(L1380="F-90",5,IF(L1380="F-120",6,0))))),0),0)</f>
        <v>0</v>
      </c>
      <c r="Q1380" s="46">
        <f t="shared" si="124"/>
        <v>0</v>
      </c>
      <c r="R1380" s="46">
        <f t="shared" si="125"/>
        <v>0</v>
      </c>
      <c r="S1380" s="46" t="e">
        <f t="shared" si="126"/>
        <v>#VALUE!</v>
      </c>
      <c r="T1380" s="677">
        <f t="shared" si="127"/>
        <v>0</v>
      </c>
      <c r="U1380" s="80">
        <f>(IF(O1380="Stofire",(S1380*#REF!),0))+(IF(O1380="Fire Control",(S1380*$U$2),0))+(IF(O1380="Fire Tex",(S1380*$U$3),0))+(IF(O1380="WB7",(S1380*#REF!),0)+(IF(O1380="FX 2003",(S1380*$U$5),0)))</f>
        <v>0</v>
      </c>
      <c r="V1380" s="651">
        <f t="shared" si="128"/>
        <v>0</v>
      </c>
    </row>
    <row r="1381" spans="4:22" x14ac:dyDescent="0.25">
      <c r="D1381" s="118">
        <f>+CUBICACION!D1380</f>
        <v>0</v>
      </c>
      <c r="E1381" s="118">
        <f>+CUBICACION!F1380</f>
        <v>0</v>
      </c>
      <c r="F1381" s="118">
        <f>+CUBICACION!E1380</f>
        <v>0</v>
      </c>
      <c r="G1381" s="118">
        <v>12</v>
      </c>
      <c r="H1381" s="118">
        <v>2</v>
      </c>
      <c r="I1381" s="820">
        <v>26385</v>
      </c>
      <c r="J1381" s="118">
        <f>+CUBICACION!J1380</f>
        <v>0</v>
      </c>
      <c r="K1381" s="118">
        <v>4160</v>
      </c>
      <c r="L1381" s="118">
        <f>+CUBICACION!L1380</f>
        <v>0</v>
      </c>
      <c r="M1381" s="64">
        <f>+CUBICACION!M1380</f>
        <v>0</v>
      </c>
      <c r="N1381" s="824" t="str">
        <f>+CUBICACION!N1380</f>
        <v/>
      </c>
      <c r="O1381" s="675">
        <f>+CUBICACION!O1380</f>
        <v>0</v>
      </c>
      <c r="P1381" s="15">
        <f>IF(O1381="Fire Control",VLOOKUP(_xlfn.MINIFS('FIRE CONTROL'!$C$4:$C$37,'FIRE CONTROL'!$C$4:$C$37,"&gt;="&amp;M1381),'FIRE CONTROL'!$C$4:$G$37,IF(L1381="F-15",2,IF(L1381="F-30",3,IF(L1381="F-60",4,IF(L1381="F-90",5,0)))),0),0)+IF(AND(O1381="FIRE TEX 5062",OR(E1381="IN",E1381="C",E1381="Z",E1381="L"),J1381=3),VLOOKUP(_xlfn.MINIFS('FIRE TEX 5062'!$B$4:$B$34,'FIRE TEX 5062'!$B$4:$B$34,"&gt;="&amp;M1381),'FIRE TEX 5062'!$B$4:$F$34,IF(L1381="F-15",2,IF(L1381="F-30",3,IF(L1381="F-60",4,IF(L1381="F-90",5,0)))),0),0)+IF(AND(O1381="FIRE TEX 5062",OR(E1381="IN",E1381="C",E1381="Z",E1381="L"),J1381=4),VLOOKUP(_xlfn.MINIFS('FIRE TEX 5062'!$G$4:$G$34,'FIRE TEX 5062'!$G$4:$G$34,"&gt;="&amp;M1381),'FIRE TEX 5062'!$G$4:$K$34,IF(L1381="F-15",2,IF(L1381="F-30",3,IF(L1381="F-60",4,IF(L1381="F-90",5,0)))),0),0)+IF(AND(O1381="FIRE TEX 5062",E1381="CJ",J1381=3),VLOOKUP(_xlfn.MINIFS('FIRE TEX 5062'!$L$4:$L$34,'FIRE TEX 5062'!$L$4:$L$34,"&gt;="&amp;M1381),'FIRE TEX 5062'!$L$4:$P$34,IF(L1381="F-15",2,IF(L1381="F-30",3,IF(L1381="F-60",4,IF(L1381="F-90",5,0)))),0),0)+IF(AND(O1381="FIRE TEX 5062",E1381="CJ",J1381=4),VLOOKUP(_xlfn.MINIFS('FIRE TEX 5062'!$Q$3:$Q$34,'FIRE TEX 5062'!$Q$3:$Q$34,"&gt;="&amp;M1381),'FIRE TEX 5062'!$Q$3:$U$34,IF(L1381="F-15",2,IF(L1381="F-30",3,IF(L1381="F-60",4,IF(L1381="F-90",5,0)))),0),0)+IF(AND(O1381="FIRE TEX 5090",OR(E1381="IN",E1381="C",E1381="Z",E1381="L"),J1381=3),VLOOKUP(_xlfn.MINIFS('FIRE TEX 5090'!$B$5:$B$43,'FIRE TEX 5090'!$B$5:$B$43,"&gt;="&amp;M1381),'FIRE TEX 5090'!$B$5:$H$43,IF(L1381="F-15",2,IF(L1381="F-30",3,IF(L1381="F-60",4,IF(L1381="F-90",5,IF(L1381="F-120",6,IF(L1381="F-150",7,0)))))),0),0)+IF(AND(O1381="FIRE TEX 5090",OR(E1381="IN",E1381="C",E1381="Z",E1381="L"),J1381=4),VLOOKUP(_xlfn.MINIFS('FIRE TEX 5090'!$J$5:$J$43,'FIRE TEX 5090'!$J$5:$J$43,"&gt;="&amp;M1381),'FIRE TEX 5090'!$J$5:$P$43,IF(L1381="F-15",2,IF(L1381="F-30",3,IF(L1381="F-60",4,IF(L1381="F-90",5,IF(L1381="F-120",6,IF(L1381="F-150",7,0)))))),0),0)+IF(AND(O1381="FIRE TEX 5090",E1381="CJ",J1381=3),VLOOKUP(_xlfn.MINIFS('FIRE TEX 5090'!$R$5:$R$30,'FIRE TEX 5090'!$R$5:$R$30,"&gt;="&amp;M1381),'FIRE TEX 5090'!$R$5:$W$30,IF(L1381="F-15",2,IF(L1381="F-30",3,IF(L1381="F-60",4,IF(L1381="F-90",5,IF(L1381="F-120",6,IF(L1381="F-150",7,0)))))),0),0)+IF(AND(O1381="FIRE TEX 5090",E1381="CJ",J1381=4),VLOOKUP(_xlfn.MINIFS('FIRE TEX 5090'!$Y$5:$Y$39,'FIRE TEX 5090'!$Y$5:$Y$39,"&gt;="&amp;M1381),'FIRE TEX 5090'!$Y$5:$AD$39,IF(L1381="F-15",2,IF(L1381="F-30",3,IF(L1381="F-60",4,IF(L1381="F-90",5,IF(L1381="F-120",6,IF(L1381="F-150",7,0)))))),0),0)+IF(AND(O1381="FIRE TEX 5120",OR(E1381="IN",E1381="C",E1381="Z",E1381="L"),J1381=3),VLOOKUP(_xlfn.MINIFS('FIRE TEX 5120'!$B$5:$B$40,'FIRE TEX 5120'!$B$5:$B$40,"&gt;="&amp;M1381),'FIRE TEX 5120'!$B$5:$G$40,IF(L1381="F-15",2,IF(L1381="F-30",3,IF(L1381="F-60",4,IF(L1381="F-90",5,IF(L1381="F-120",6,0))))),0),0)+IF(AND(O1381="FIRE TEX 5120",OR(E1381="IN",E1381="C",E1381="Z",E1381="L"),J1381=4),VLOOKUP(_xlfn.MINIFS('FIRE TEX 5120'!$H$4:$H$40,'FIRE TEX 5120'!$H$4:$H$40,"&gt;="&amp;M1381),'FIRE TEX 5120'!$H$4:$M$40,IF(L1381="F-15",2,IF(L1381="F-30",3,IF(L1381="F-60",4,IF(L1381="F-90",5,IF(L1381="F-120",6,0))))),0),0)+IF(AND(O1381="FIRE TEX 5120",E1381="CJ"),VLOOKUP(_xlfn.MINIFS('FIRE TEX 5120'!$O$5:$O$40,'FIRE TEX 5120'!$O$5:$O$40,"&gt;="&amp;M1381),'FIRE TEX 5120'!$O$5:$T$40,IF(L1381="F-15",2,IF(L1381="F-30",3,IF(L1381="F-60",4,IF(L1381="F-90",5,IF(L1381="F-120",6,0))))),0),0)</f>
        <v>0</v>
      </c>
      <c r="Q1381" s="46">
        <f t="shared" si="124"/>
        <v>0</v>
      </c>
      <c r="R1381" s="46">
        <f t="shared" si="125"/>
        <v>0</v>
      </c>
      <c r="S1381" s="46" t="e">
        <f t="shared" si="126"/>
        <v>#VALUE!</v>
      </c>
      <c r="T1381" s="677">
        <f t="shared" si="127"/>
        <v>0</v>
      </c>
      <c r="U1381" s="80">
        <f>(IF(O1381="Stofire",(S1381*#REF!),0))+(IF(O1381="Fire Control",(S1381*$U$2),0))+(IF(O1381="Fire Tex",(S1381*$U$3),0))+(IF(O1381="WB7",(S1381*#REF!),0)+(IF(O1381="FX 2003",(S1381*$U$5),0)))</f>
        <v>0</v>
      </c>
      <c r="V1381" s="651">
        <f t="shared" si="128"/>
        <v>0</v>
      </c>
    </row>
    <row r="1382" spans="4:22" x14ac:dyDescent="0.25">
      <c r="D1382" s="118">
        <f>+CUBICACION!D1381</f>
        <v>0</v>
      </c>
      <c r="E1382" s="118">
        <f>+CUBICACION!F1381</f>
        <v>0</v>
      </c>
      <c r="F1382" s="118">
        <f>+CUBICACION!E1381</f>
        <v>0</v>
      </c>
      <c r="G1382" s="118">
        <v>12</v>
      </c>
      <c r="H1382" s="118">
        <v>2</v>
      </c>
      <c r="I1382" s="820">
        <v>26385</v>
      </c>
      <c r="J1382" s="118">
        <f>+CUBICACION!J1381</f>
        <v>0</v>
      </c>
      <c r="K1382" s="118">
        <v>4161</v>
      </c>
      <c r="L1382" s="118">
        <f>+CUBICACION!L1381</f>
        <v>0</v>
      </c>
      <c r="M1382" s="64">
        <f>+CUBICACION!M1381</f>
        <v>0</v>
      </c>
      <c r="N1382" s="824" t="str">
        <f>+CUBICACION!N1381</f>
        <v/>
      </c>
      <c r="O1382" s="675">
        <f>+CUBICACION!O1381</f>
        <v>0</v>
      </c>
      <c r="P1382" s="15">
        <f>IF(O1382="Fire Control",VLOOKUP(_xlfn.MINIFS('FIRE CONTROL'!$C$4:$C$37,'FIRE CONTROL'!$C$4:$C$37,"&gt;="&amp;M1382),'FIRE CONTROL'!$C$4:$G$37,IF(L1382="F-15",2,IF(L1382="F-30",3,IF(L1382="F-60",4,IF(L1382="F-90",5,0)))),0),0)+IF(AND(O1382="FIRE TEX 5062",OR(E1382="IN",E1382="C",E1382="Z",E1382="L"),J1382=3),VLOOKUP(_xlfn.MINIFS('FIRE TEX 5062'!$B$4:$B$34,'FIRE TEX 5062'!$B$4:$B$34,"&gt;="&amp;M1382),'FIRE TEX 5062'!$B$4:$F$34,IF(L1382="F-15",2,IF(L1382="F-30",3,IF(L1382="F-60",4,IF(L1382="F-90",5,0)))),0),0)+IF(AND(O1382="FIRE TEX 5062",OR(E1382="IN",E1382="C",E1382="Z",E1382="L"),J1382=4),VLOOKUP(_xlfn.MINIFS('FIRE TEX 5062'!$G$4:$G$34,'FIRE TEX 5062'!$G$4:$G$34,"&gt;="&amp;M1382),'FIRE TEX 5062'!$G$4:$K$34,IF(L1382="F-15",2,IF(L1382="F-30",3,IF(L1382="F-60",4,IF(L1382="F-90",5,0)))),0),0)+IF(AND(O1382="FIRE TEX 5062",E1382="CJ",J1382=3),VLOOKUP(_xlfn.MINIFS('FIRE TEX 5062'!$L$4:$L$34,'FIRE TEX 5062'!$L$4:$L$34,"&gt;="&amp;M1382),'FIRE TEX 5062'!$L$4:$P$34,IF(L1382="F-15",2,IF(L1382="F-30",3,IF(L1382="F-60",4,IF(L1382="F-90",5,0)))),0),0)+IF(AND(O1382="FIRE TEX 5062",E1382="CJ",J1382=4),VLOOKUP(_xlfn.MINIFS('FIRE TEX 5062'!$Q$3:$Q$34,'FIRE TEX 5062'!$Q$3:$Q$34,"&gt;="&amp;M1382),'FIRE TEX 5062'!$Q$3:$U$34,IF(L1382="F-15",2,IF(L1382="F-30",3,IF(L1382="F-60",4,IF(L1382="F-90",5,0)))),0),0)+IF(AND(O1382="FIRE TEX 5090",OR(E1382="IN",E1382="C",E1382="Z",E1382="L"),J1382=3),VLOOKUP(_xlfn.MINIFS('FIRE TEX 5090'!$B$5:$B$43,'FIRE TEX 5090'!$B$5:$B$43,"&gt;="&amp;M1382),'FIRE TEX 5090'!$B$5:$H$43,IF(L1382="F-15",2,IF(L1382="F-30",3,IF(L1382="F-60",4,IF(L1382="F-90",5,IF(L1382="F-120",6,IF(L1382="F-150",7,0)))))),0),0)+IF(AND(O1382="FIRE TEX 5090",OR(E1382="IN",E1382="C",E1382="Z",E1382="L"),J1382=4),VLOOKUP(_xlfn.MINIFS('FIRE TEX 5090'!$J$5:$J$43,'FIRE TEX 5090'!$J$5:$J$43,"&gt;="&amp;M1382),'FIRE TEX 5090'!$J$5:$P$43,IF(L1382="F-15",2,IF(L1382="F-30",3,IF(L1382="F-60",4,IF(L1382="F-90",5,IF(L1382="F-120",6,IF(L1382="F-150",7,0)))))),0),0)+IF(AND(O1382="FIRE TEX 5090",E1382="CJ",J1382=3),VLOOKUP(_xlfn.MINIFS('FIRE TEX 5090'!$R$5:$R$30,'FIRE TEX 5090'!$R$5:$R$30,"&gt;="&amp;M1382),'FIRE TEX 5090'!$R$5:$W$30,IF(L1382="F-15",2,IF(L1382="F-30",3,IF(L1382="F-60",4,IF(L1382="F-90",5,IF(L1382="F-120",6,IF(L1382="F-150",7,0)))))),0),0)+IF(AND(O1382="FIRE TEX 5090",E1382="CJ",J1382=4),VLOOKUP(_xlfn.MINIFS('FIRE TEX 5090'!$Y$5:$Y$39,'FIRE TEX 5090'!$Y$5:$Y$39,"&gt;="&amp;M1382),'FIRE TEX 5090'!$Y$5:$AD$39,IF(L1382="F-15",2,IF(L1382="F-30",3,IF(L1382="F-60",4,IF(L1382="F-90",5,IF(L1382="F-120",6,IF(L1382="F-150",7,0)))))),0),0)+IF(AND(O1382="FIRE TEX 5120",OR(E1382="IN",E1382="C",E1382="Z",E1382="L"),J1382=3),VLOOKUP(_xlfn.MINIFS('FIRE TEX 5120'!$B$5:$B$40,'FIRE TEX 5120'!$B$5:$B$40,"&gt;="&amp;M1382),'FIRE TEX 5120'!$B$5:$G$40,IF(L1382="F-15",2,IF(L1382="F-30",3,IF(L1382="F-60",4,IF(L1382="F-90",5,IF(L1382="F-120",6,0))))),0),0)+IF(AND(O1382="FIRE TEX 5120",OR(E1382="IN",E1382="C",E1382="Z",E1382="L"),J1382=4),VLOOKUP(_xlfn.MINIFS('FIRE TEX 5120'!$H$4:$H$40,'FIRE TEX 5120'!$H$4:$H$40,"&gt;="&amp;M1382),'FIRE TEX 5120'!$H$4:$M$40,IF(L1382="F-15",2,IF(L1382="F-30",3,IF(L1382="F-60",4,IF(L1382="F-90",5,IF(L1382="F-120",6,0))))),0),0)+IF(AND(O1382="FIRE TEX 5120",E1382="CJ"),VLOOKUP(_xlfn.MINIFS('FIRE TEX 5120'!$O$5:$O$40,'FIRE TEX 5120'!$O$5:$O$40,"&gt;="&amp;M1382),'FIRE TEX 5120'!$O$5:$T$40,IF(L1382="F-15",2,IF(L1382="F-30",3,IF(L1382="F-60",4,IF(L1382="F-90",5,IF(L1382="F-120",6,0))))),0),0)</f>
        <v>0</v>
      </c>
      <c r="Q1382" s="46">
        <f t="shared" si="124"/>
        <v>0</v>
      </c>
      <c r="R1382" s="46">
        <f t="shared" si="125"/>
        <v>0</v>
      </c>
      <c r="S1382" s="46" t="e">
        <f t="shared" si="126"/>
        <v>#VALUE!</v>
      </c>
      <c r="T1382" s="677">
        <f t="shared" si="127"/>
        <v>0</v>
      </c>
      <c r="U1382" s="80">
        <f>(IF(O1382="Stofire",(S1382*#REF!),0))+(IF(O1382="Fire Control",(S1382*$U$2),0))+(IF(O1382="Fire Tex",(S1382*$U$3),0))+(IF(O1382="WB7",(S1382*#REF!),0)+(IF(O1382="FX 2003",(S1382*$U$5),0)))</f>
        <v>0</v>
      </c>
      <c r="V1382" s="651">
        <f t="shared" si="128"/>
        <v>0</v>
      </c>
    </row>
    <row r="1383" spans="4:22" x14ac:dyDescent="0.25">
      <c r="D1383" s="118">
        <f>+CUBICACION!D1382</f>
        <v>0</v>
      </c>
      <c r="E1383" s="118">
        <f>+CUBICACION!F1382</f>
        <v>0</v>
      </c>
      <c r="F1383" s="118">
        <f>+CUBICACION!E1382</f>
        <v>0</v>
      </c>
      <c r="G1383" s="118">
        <v>12</v>
      </c>
      <c r="H1383" s="118">
        <v>2</v>
      </c>
      <c r="I1383" s="820">
        <v>26385</v>
      </c>
      <c r="J1383" s="118">
        <f>+CUBICACION!J1382</f>
        <v>0</v>
      </c>
      <c r="K1383" s="118">
        <v>4162</v>
      </c>
      <c r="L1383" s="118">
        <f>+CUBICACION!L1382</f>
        <v>0</v>
      </c>
      <c r="M1383" s="64">
        <f>+CUBICACION!M1382</f>
        <v>0</v>
      </c>
      <c r="N1383" s="824" t="str">
        <f>+CUBICACION!N1382</f>
        <v/>
      </c>
      <c r="O1383" s="675">
        <f>+CUBICACION!O1382</f>
        <v>0</v>
      </c>
      <c r="P1383" s="15">
        <f>IF(O1383="Fire Control",VLOOKUP(_xlfn.MINIFS('FIRE CONTROL'!$C$4:$C$37,'FIRE CONTROL'!$C$4:$C$37,"&gt;="&amp;M1383),'FIRE CONTROL'!$C$4:$G$37,IF(L1383="F-15",2,IF(L1383="F-30",3,IF(L1383="F-60",4,IF(L1383="F-90",5,0)))),0),0)+IF(AND(O1383="FIRE TEX 5062",OR(E1383="IN",E1383="C",E1383="Z",E1383="L"),J1383=3),VLOOKUP(_xlfn.MINIFS('FIRE TEX 5062'!$B$4:$B$34,'FIRE TEX 5062'!$B$4:$B$34,"&gt;="&amp;M1383),'FIRE TEX 5062'!$B$4:$F$34,IF(L1383="F-15",2,IF(L1383="F-30",3,IF(L1383="F-60",4,IF(L1383="F-90",5,0)))),0),0)+IF(AND(O1383="FIRE TEX 5062",OR(E1383="IN",E1383="C",E1383="Z",E1383="L"),J1383=4),VLOOKUP(_xlfn.MINIFS('FIRE TEX 5062'!$G$4:$G$34,'FIRE TEX 5062'!$G$4:$G$34,"&gt;="&amp;M1383),'FIRE TEX 5062'!$G$4:$K$34,IF(L1383="F-15",2,IF(L1383="F-30",3,IF(L1383="F-60",4,IF(L1383="F-90",5,0)))),0),0)+IF(AND(O1383="FIRE TEX 5062",E1383="CJ",J1383=3),VLOOKUP(_xlfn.MINIFS('FIRE TEX 5062'!$L$4:$L$34,'FIRE TEX 5062'!$L$4:$L$34,"&gt;="&amp;M1383),'FIRE TEX 5062'!$L$4:$P$34,IF(L1383="F-15",2,IF(L1383="F-30",3,IF(L1383="F-60",4,IF(L1383="F-90",5,0)))),0),0)+IF(AND(O1383="FIRE TEX 5062",E1383="CJ",J1383=4),VLOOKUP(_xlfn.MINIFS('FIRE TEX 5062'!$Q$3:$Q$34,'FIRE TEX 5062'!$Q$3:$Q$34,"&gt;="&amp;M1383),'FIRE TEX 5062'!$Q$3:$U$34,IF(L1383="F-15",2,IF(L1383="F-30",3,IF(L1383="F-60",4,IF(L1383="F-90",5,0)))),0),0)+IF(AND(O1383="FIRE TEX 5090",OR(E1383="IN",E1383="C",E1383="Z",E1383="L"),J1383=3),VLOOKUP(_xlfn.MINIFS('FIRE TEX 5090'!$B$5:$B$43,'FIRE TEX 5090'!$B$5:$B$43,"&gt;="&amp;M1383),'FIRE TEX 5090'!$B$5:$H$43,IF(L1383="F-15",2,IF(L1383="F-30",3,IF(L1383="F-60",4,IF(L1383="F-90",5,IF(L1383="F-120",6,IF(L1383="F-150",7,0)))))),0),0)+IF(AND(O1383="FIRE TEX 5090",OR(E1383="IN",E1383="C",E1383="Z",E1383="L"),J1383=4),VLOOKUP(_xlfn.MINIFS('FIRE TEX 5090'!$J$5:$J$43,'FIRE TEX 5090'!$J$5:$J$43,"&gt;="&amp;M1383),'FIRE TEX 5090'!$J$5:$P$43,IF(L1383="F-15",2,IF(L1383="F-30",3,IF(L1383="F-60",4,IF(L1383="F-90",5,IF(L1383="F-120",6,IF(L1383="F-150",7,0)))))),0),0)+IF(AND(O1383="FIRE TEX 5090",E1383="CJ",J1383=3),VLOOKUP(_xlfn.MINIFS('FIRE TEX 5090'!$R$5:$R$30,'FIRE TEX 5090'!$R$5:$R$30,"&gt;="&amp;M1383),'FIRE TEX 5090'!$R$5:$W$30,IF(L1383="F-15",2,IF(L1383="F-30",3,IF(L1383="F-60",4,IF(L1383="F-90",5,IF(L1383="F-120",6,IF(L1383="F-150",7,0)))))),0),0)+IF(AND(O1383="FIRE TEX 5090",E1383="CJ",J1383=4),VLOOKUP(_xlfn.MINIFS('FIRE TEX 5090'!$Y$5:$Y$39,'FIRE TEX 5090'!$Y$5:$Y$39,"&gt;="&amp;M1383),'FIRE TEX 5090'!$Y$5:$AD$39,IF(L1383="F-15",2,IF(L1383="F-30",3,IF(L1383="F-60",4,IF(L1383="F-90",5,IF(L1383="F-120",6,IF(L1383="F-150",7,0)))))),0),0)+IF(AND(O1383="FIRE TEX 5120",OR(E1383="IN",E1383="C",E1383="Z",E1383="L"),J1383=3),VLOOKUP(_xlfn.MINIFS('FIRE TEX 5120'!$B$5:$B$40,'FIRE TEX 5120'!$B$5:$B$40,"&gt;="&amp;M1383),'FIRE TEX 5120'!$B$5:$G$40,IF(L1383="F-15",2,IF(L1383="F-30",3,IF(L1383="F-60",4,IF(L1383="F-90",5,IF(L1383="F-120",6,0))))),0),0)+IF(AND(O1383="FIRE TEX 5120",OR(E1383="IN",E1383="C",E1383="Z",E1383="L"),J1383=4),VLOOKUP(_xlfn.MINIFS('FIRE TEX 5120'!$H$4:$H$40,'FIRE TEX 5120'!$H$4:$H$40,"&gt;="&amp;M1383),'FIRE TEX 5120'!$H$4:$M$40,IF(L1383="F-15",2,IF(L1383="F-30",3,IF(L1383="F-60",4,IF(L1383="F-90",5,IF(L1383="F-120",6,0))))),0),0)+IF(AND(O1383="FIRE TEX 5120",E1383="CJ"),VLOOKUP(_xlfn.MINIFS('FIRE TEX 5120'!$O$5:$O$40,'FIRE TEX 5120'!$O$5:$O$40,"&gt;="&amp;M1383),'FIRE TEX 5120'!$O$5:$T$40,IF(L1383="F-15",2,IF(L1383="F-30",3,IF(L1383="F-60",4,IF(L1383="F-90",5,IF(L1383="F-120",6,0))))),0),0)</f>
        <v>0</v>
      </c>
      <c r="Q1383" s="46">
        <f t="shared" si="124"/>
        <v>0</v>
      </c>
      <c r="R1383" s="46">
        <f t="shared" si="125"/>
        <v>0</v>
      </c>
      <c r="S1383" s="46" t="e">
        <f t="shared" si="126"/>
        <v>#VALUE!</v>
      </c>
      <c r="T1383" s="677">
        <f t="shared" si="127"/>
        <v>0</v>
      </c>
      <c r="U1383" s="80">
        <f>(IF(O1383="Stofire",(S1383*#REF!),0))+(IF(O1383="Fire Control",(S1383*$U$2),0))+(IF(O1383="Fire Tex",(S1383*$U$3),0))+(IF(O1383="WB7",(S1383*#REF!),0)+(IF(O1383="FX 2003",(S1383*$U$5),0)))</f>
        <v>0</v>
      </c>
      <c r="V1383" s="651">
        <f t="shared" si="128"/>
        <v>0</v>
      </c>
    </row>
    <row r="1384" spans="4:22" x14ac:dyDescent="0.25">
      <c r="D1384" s="118">
        <f>+CUBICACION!D1383</f>
        <v>0</v>
      </c>
      <c r="E1384" s="118">
        <f>+CUBICACION!F1383</f>
        <v>0</v>
      </c>
      <c r="F1384" s="118">
        <f>+CUBICACION!E1383</f>
        <v>0</v>
      </c>
      <c r="G1384" s="118">
        <v>12</v>
      </c>
      <c r="H1384" s="118">
        <v>2</v>
      </c>
      <c r="I1384" s="820">
        <v>26385</v>
      </c>
      <c r="J1384" s="118">
        <f>+CUBICACION!J1383</f>
        <v>0</v>
      </c>
      <c r="K1384" s="118">
        <v>4163</v>
      </c>
      <c r="L1384" s="118">
        <f>+CUBICACION!L1383</f>
        <v>0</v>
      </c>
      <c r="M1384" s="64">
        <f>+CUBICACION!M1383</f>
        <v>0</v>
      </c>
      <c r="N1384" s="824" t="str">
        <f>+CUBICACION!N1383</f>
        <v/>
      </c>
      <c r="O1384" s="675">
        <f>+CUBICACION!O1383</f>
        <v>0</v>
      </c>
      <c r="P1384" s="15">
        <f>IF(O1384="Fire Control",VLOOKUP(_xlfn.MINIFS('FIRE CONTROL'!$C$4:$C$37,'FIRE CONTROL'!$C$4:$C$37,"&gt;="&amp;M1384),'FIRE CONTROL'!$C$4:$G$37,IF(L1384="F-15",2,IF(L1384="F-30",3,IF(L1384="F-60",4,IF(L1384="F-90",5,0)))),0),0)+IF(AND(O1384="FIRE TEX 5062",OR(E1384="IN",E1384="C",E1384="Z",E1384="L"),J1384=3),VLOOKUP(_xlfn.MINIFS('FIRE TEX 5062'!$B$4:$B$34,'FIRE TEX 5062'!$B$4:$B$34,"&gt;="&amp;M1384),'FIRE TEX 5062'!$B$4:$F$34,IF(L1384="F-15",2,IF(L1384="F-30",3,IF(L1384="F-60",4,IF(L1384="F-90",5,0)))),0),0)+IF(AND(O1384="FIRE TEX 5062",OR(E1384="IN",E1384="C",E1384="Z",E1384="L"),J1384=4),VLOOKUP(_xlfn.MINIFS('FIRE TEX 5062'!$G$4:$G$34,'FIRE TEX 5062'!$G$4:$G$34,"&gt;="&amp;M1384),'FIRE TEX 5062'!$G$4:$K$34,IF(L1384="F-15",2,IF(L1384="F-30",3,IF(L1384="F-60",4,IF(L1384="F-90",5,0)))),0),0)+IF(AND(O1384="FIRE TEX 5062",E1384="CJ",J1384=3),VLOOKUP(_xlfn.MINIFS('FIRE TEX 5062'!$L$4:$L$34,'FIRE TEX 5062'!$L$4:$L$34,"&gt;="&amp;M1384),'FIRE TEX 5062'!$L$4:$P$34,IF(L1384="F-15",2,IF(L1384="F-30",3,IF(L1384="F-60",4,IF(L1384="F-90",5,0)))),0),0)+IF(AND(O1384="FIRE TEX 5062",E1384="CJ",J1384=4),VLOOKUP(_xlfn.MINIFS('FIRE TEX 5062'!$Q$3:$Q$34,'FIRE TEX 5062'!$Q$3:$Q$34,"&gt;="&amp;M1384),'FIRE TEX 5062'!$Q$3:$U$34,IF(L1384="F-15",2,IF(L1384="F-30",3,IF(L1384="F-60",4,IF(L1384="F-90",5,0)))),0),0)+IF(AND(O1384="FIRE TEX 5090",OR(E1384="IN",E1384="C",E1384="Z",E1384="L"),J1384=3),VLOOKUP(_xlfn.MINIFS('FIRE TEX 5090'!$B$5:$B$43,'FIRE TEX 5090'!$B$5:$B$43,"&gt;="&amp;M1384),'FIRE TEX 5090'!$B$5:$H$43,IF(L1384="F-15",2,IF(L1384="F-30",3,IF(L1384="F-60",4,IF(L1384="F-90",5,IF(L1384="F-120",6,IF(L1384="F-150",7,0)))))),0),0)+IF(AND(O1384="FIRE TEX 5090",OR(E1384="IN",E1384="C",E1384="Z",E1384="L"),J1384=4),VLOOKUP(_xlfn.MINIFS('FIRE TEX 5090'!$J$5:$J$43,'FIRE TEX 5090'!$J$5:$J$43,"&gt;="&amp;M1384),'FIRE TEX 5090'!$J$5:$P$43,IF(L1384="F-15",2,IF(L1384="F-30",3,IF(L1384="F-60",4,IF(L1384="F-90",5,IF(L1384="F-120",6,IF(L1384="F-150",7,0)))))),0),0)+IF(AND(O1384="FIRE TEX 5090",E1384="CJ",J1384=3),VLOOKUP(_xlfn.MINIFS('FIRE TEX 5090'!$R$5:$R$30,'FIRE TEX 5090'!$R$5:$R$30,"&gt;="&amp;M1384),'FIRE TEX 5090'!$R$5:$W$30,IF(L1384="F-15",2,IF(L1384="F-30",3,IF(L1384="F-60",4,IF(L1384="F-90",5,IF(L1384="F-120",6,IF(L1384="F-150",7,0)))))),0),0)+IF(AND(O1384="FIRE TEX 5090",E1384="CJ",J1384=4),VLOOKUP(_xlfn.MINIFS('FIRE TEX 5090'!$Y$5:$Y$39,'FIRE TEX 5090'!$Y$5:$Y$39,"&gt;="&amp;M1384),'FIRE TEX 5090'!$Y$5:$AD$39,IF(L1384="F-15",2,IF(L1384="F-30",3,IF(L1384="F-60",4,IF(L1384="F-90",5,IF(L1384="F-120",6,IF(L1384="F-150",7,0)))))),0),0)+IF(AND(O1384="FIRE TEX 5120",OR(E1384="IN",E1384="C",E1384="Z",E1384="L"),J1384=3),VLOOKUP(_xlfn.MINIFS('FIRE TEX 5120'!$B$5:$B$40,'FIRE TEX 5120'!$B$5:$B$40,"&gt;="&amp;M1384),'FIRE TEX 5120'!$B$5:$G$40,IF(L1384="F-15",2,IF(L1384="F-30",3,IF(L1384="F-60",4,IF(L1384="F-90",5,IF(L1384="F-120",6,0))))),0),0)+IF(AND(O1384="FIRE TEX 5120",OR(E1384="IN",E1384="C",E1384="Z",E1384="L"),J1384=4),VLOOKUP(_xlfn.MINIFS('FIRE TEX 5120'!$H$4:$H$40,'FIRE TEX 5120'!$H$4:$H$40,"&gt;="&amp;M1384),'FIRE TEX 5120'!$H$4:$M$40,IF(L1384="F-15",2,IF(L1384="F-30",3,IF(L1384="F-60",4,IF(L1384="F-90",5,IF(L1384="F-120",6,0))))),0),0)+IF(AND(O1384="FIRE TEX 5120",E1384="CJ"),VLOOKUP(_xlfn.MINIFS('FIRE TEX 5120'!$O$5:$O$40,'FIRE TEX 5120'!$O$5:$O$40,"&gt;="&amp;M1384),'FIRE TEX 5120'!$O$5:$T$40,IF(L1384="F-15",2,IF(L1384="F-30",3,IF(L1384="F-60",4,IF(L1384="F-90",5,IF(L1384="F-120",6,0))))),0),0)</f>
        <v>0</v>
      </c>
      <c r="Q1384" s="46">
        <f t="shared" si="124"/>
        <v>0</v>
      </c>
      <c r="R1384" s="46">
        <f t="shared" si="125"/>
        <v>0</v>
      </c>
      <c r="S1384" s="46" t="e">
        <f t="shared" si="126"/>
        <v>#VALUE!</v>
      </c>
      <c r="T1384" s="677">
        <f t="shared" si="127"/>
        <v>0</v>
      </c>
      <c r="U1384" s="80">
        <f>(IF(O1384="Stofire",(S1384*#REF!),0))+(IF(O1384="Fire Control",(S1384*$U$2),0))+(IF(O1384="Fire Tex",(S1384*$U$3),0))+(IF(O1384="WB7",(S1384*#REF!),0)+(IF(O1384="FX 2003",(S1384*$U$5),0)))</f>
        <v>0</v>
      </c>
      <c r="V1384" s="651">
        <f t="shared" si="128"/>
        <v>0</v>
      </c>
    </row>
    <row r="1385" spans="4:22" x14ac:dyDescent="0.25">
      <c r="D1385" s="118">
        <f>+CUBICACION!D1384</f>
        <v>0</v>
      </c>
      <c r="E1385" s="118">
        <f>+CUBICACION!F1384</f>
        <v>0</v>
      </c>
      <c r="F1385" s="118">
        <f>+CUBICACION!E1384</f>
        <v>0</v>
      </c>
      <c r="G1385" s="118">
        <v>12</v>
      </c>
      <c r="H1385" s="118">
        <v>2</v>
      </c>
      <c r="I1385" s="820">
        <v>26385</v>
      </c>
      <c r="J1385" s="118">
        <f>+CUBICACION!J1384</f>
        <v>0</v>
      </c>
      <c r="K1385" s="118">
        <v>4164</v>
      </c>
      <c r="L1385" s="118">
        <f>+CUBICACION!L1384</f>
        <v>0</v>
      </c>
      <c r="M1385" s="64">
        <f>+CUBICACION!M1384</f>
        <v>0</v>
      </c>
      <c r="N1385" s="824" t="str">
        <f>+CUBICACION!N1384</f>
        <v/>
      </c>
      <c r="O1385" s="675">
        <f>+CUBICACION!O1384</f>
        <v>0</v>
      </c>
      <c r="P1385" s="15">
        <f>IF(O1385="Fire Control",VLOOKUP(_xlfn.MINIFS('FIRE CONTROL'!$C$4:$C$37,'FIRE CONTROL'!$C$4:$C$37,"&gt;="&amp;M1385),'FIRE CONTROL'!$C$4:$G$37,IF(L1385="F-15",2,IF(L1385="F-30",3,IF(L1385="F-60",4,IF(L1385="F-90",5,0)))),0),0)+IF(AND(O1385="FIRE TEX 5062",OR(E1385="IN",E1385="C",E1385="Z",E1385="L"),J1385=3),VLOOKUP(_xlfn.MINIFS('FIRE TEX 5062'!$B$4:$B$34,'FIRE TEX 5062'!$B$4:$B$34,"&gt;="&amp;M1385),'FIRE TEX 5062'!$B$4:$F$34,IF(L1385="F-15",2,IF(L1385="F-30",3,IF(L1385="F-60",4,IF(L1385="F-90",5,0)))),0),0)+IF(AND(O1385="FIRE TEX 5062",OR(E1385="IN",E1385="C",E1385="Z",E1385="L"),J1385=4),VLOOKUP(_xlfn.MINIFS('FIRE TEX 5062'!$G$4:$G$34,'FIRE TEX 5062'!$G$4:$G$34,"&gt;="&amp;M1385),'FIRE TEX 5062'!$G$4:$K$34,IF(L1385="F-15",2,IF(L1385="F-30",3,IF(L1385="F-60",4,IF(L1385="F-90",5,0)))),0),0)+IF(AND(O1385="FIRE TEX 5062",E1385="CJ",J1385=3),VLOOKUP(_xlfn.MINIFS('FIRE TEX 5062'!$L$4:$L$34,'FIRE TEX 5062'!$L$4:$L$34,"&gt;="&amp;M1385),'FIRE TEX 5062'!$L$4:$P$34,IF(L1385="F-15",2,IF(L1385="F-30",3,IF(L1385="F-60",4,IF(L1385="F-90",5,0)))),0),0)+IF(AND(O1385="FIRE TEX 5062",E1385="CJ",J1385=4),VLOOKUP(_xlfn.MINIFS('FIRE TEX 5062'!$Q$3:$Q$34,'FIRE TEX 5062'!$Q$3:$Q$34,"&gt;="&amp;M1385),'FIRE TEX 5062'!$Q$3:$U$34,IF(L1385="F-15",2,IF(L1385="F-30",3,IF(L1385="F-60",4,IF(L1385="F-90",5,0)))),0),0)+IF(AND(O1385="FIRE TEX 5090",OR(E1385="IN",E1385="C",E1385="Z",E1385="L"),J1385=3),VLOOKUP(_xlfn.MINIFS('FIRE TEX 5090'!$B$5:$B$43,'FIRE TEX 5090'!$B$5:$B$43,"&gt;="&amp;M1385),'FIRE TEX 5090'!$B$5:$H$43,IF(L1385="F-15",2,IF(L1385="F-30",3,IF(L1385="F-60",4,IF(L1385="F-90",5,IF(L1385="F-120",6,IF(L1385="F-150",7,0)))))),0),0)+IF(AND(O1385="FIRE TEX 5090",OR(E1385="IN",E1385="C",E1385="Z",E1385="L"),J1385=4),VLOOKUP(_xlfn.MINIFS('FIRE TEX 5090'!$J$5:$J$43,'FIRE TEX 5090'!$J$5:$J$43,"&gt;="&amp;M1385),'FIRE TEX 5090'!$J$5:$P$43,IF(L1385="F-15",2,IF(L1385="F-30",3,IF(L1385="F-60",4,IF(L1385="F-90",5,IF(L1385="F-120",6,IF(L1385="F-150",7,0)))))),0),0)+IF(AND(O1385="FIRE TEX 5090",E1385="CJ",J1385=3),VLOOKUP(_xlfn.MINIFS('FIRE TEX 5090'!$R$5:$R$30,'FIRE TEX 5090'!$R$5:$R$30,"&gt;="&amp;M1385),'FIRE TEX 5090'!$R$5:$W$30,IF(L1385="F-15",2,IF(L1385="F-30",3,IF(L1385="F-60",4,IF(L1385="F-90",5,IF(L1385="F-120",6,IF(L1385="F-150",7,0)))))),0),0)+IF(AND(O1385="FIRE TEX 5090",E1385="CJ",J1385=4),VLOOKUP(_xlfn.MINIFS('FIRE TEX 5090'!$Y$5:$Y$39,'FIRE TEX 5090'!$Y$5:$Y$39,"&gt;="&amp;M1385),'FIRE TEX 5090'!$Y$5:$AD$39,IF(L1385="F-15",2,IF(L1385="F-30",3,IF(L1385="F-60",4,IF(L1385="F-90",5,IF(L1385="F-120",6,IF(L1385="F-150",7,0)))))),0),0)+IF(AND(O1385="FIRE TEX 5120",OR(E1385="IN",E1385="C",E1385="Z",E1385="L"),J1385=3),VLOOKUP(_xlfn.MINIFS('FIRE TEX 5120'!$B$5:$B$40,'FIRE TEX 5120'!$B$5:$B$40,"&gt;="&amp;M1385),'FIRE TEX 5120'!$B$5:$G$40,IF(L1385="F-15",2,IF(L1385="F-30",3,IF(L1385="F-60",4,IF(L1385="F-90",5,IF(L1385="F-120",6,0))))),0),0)+IF(AND(O1385="FIRE TEX 5120",OR(E1385="IN",E1385="C",E1385="Z",E1385="L"),J1385=4),VLOOKUP(_xlfn.MINIFS('FIRE TEX 5120'!$H$4:$H$40,'FIRE TEX 5120'!$H$4:$H$40,"&gt;="&amp;M1385),'FIRE TEX 5120'!$H$4:$M$40,IF(L1385="F-15",2,IF(L1385="F-30",3,IF(L1385="F-60",4,IF(L1385="F-90",5,IF(L1385="F-120",6,0))))),0),0)+IF(AND(O1385="FIRE TEX 5120",E1385="CJ"),VLOOKUP(_xlfn.MINIFS('FIRE TEX 5120'!$O$5:$O$40,'FIRE TEX 5120'!$O$5:$O$40,"&gt;="&amp;M1385),'FIRE TEX 5120'!$O$5:$T$40,IF(L1385="F-15",2,IF(L1385="F-30",3,IF(L1385="F-60",4,IF(L1385="F-90",5,IF(L1385="F-120",6,0))))),0),0)</f>
        <v>0</v>
      </c>
      <c r="Q1385" s="46">
        <f t="shared" si="124"/>
        <v>0</v>
      </c>
      <c r="R1385" s="46">
        <f t="shared" si="125"/>
        <v>0</v>
      </c>
      <c r="S1385" s="46" t="e">
        <f t="shared" si="126"/>
        <v>#VALUE!</v>
      </c>
      <c r="T1385" s="677">
        <f t="shared" si="127"/>
        <v>0</v>
      </c>
      <c r="U1385" s="80">
        <f>(IF(O1385="Stofire",(S1385*#REF!),0))+(IF(O1385="Fire Control",(S1385*$U$2),0))+(IF(O1385="Fire Tex",(S1385*$U$3),0))+(IF(O1385="WB7",(S1385*#REF!),0)+(IF(O1385="FX 2003",(S1385*$U$5),0)))</f>
        <v>0</v>
      </c>
      <c r="V1385" s="651">
        <f t="shared" si="128"/>
        <v>0</v>
      </c>
    </row>
    <row r="1386" spans="4:22" x14ac:dyDescent="0.25">
      <c r="D1386" s="118">
        <f>+CUBICACION!D1385</f>
        <v>0</v>
      </c>
      <c r="E1386" s="118">
        <f>+CUBICACION!F1385</f>
        <v>0</v>
      </c>
      <c r="F1386" s="118">
        <f>+CUBICACION!E1385</f>
        <v>0</v>
      </c>
      <c r="G1386" s="118">
        <v>12</v>
      </c>
      <c r="H1386" s="118">
        <v>2</v>
      </c>
      <c r="I1386" s="820">
        <v>26385</v>
      </c>
      <c r="J1386" s="118">
        <f>+CUBICACION!J1385</f>
        <v>0</v>
      </c>
      <c r="K1386" s="118">
        <v>4165</v>
      </c>
      <c r="L1386" s="118">
        <f>+CUBICACION!L1385</f>
        <v>0</v>
      </c>
      <c r="M1386" s="64">
        <f>+CUBICACION!M1385</f>
        <v>0</v>
      </c>
      <c r="N1386" s="824" t="str">
        <f>+CUBICACION!N1385</f>
        <v/>
      </c>
      <c r="O1386" s="675">
        <f>+CUBICACION!O1385</f>
        <v>0</v>
      </c>
      <c r="P1386" s="15">
        <f>IF(O1386="Fire Control",VLOOKUP(_xlfn.MINIFS('FIRE CONTROL'!$C$4:$C$37,'FIRE CONTROL'!$C$4:$C$37,"&gt;="&amp;M1386),'FIRE CONTROL'!$C$4:$G$37,IF(L1386="F-15",2,IF(L1386="F-30",3,IF(L1386="F-60",4,IF(L1386="F-90",5,0)))),0),0)+IF(AND(O1386="FIRE TEX 5062",OR(E1386="IN",E1386="C",E1386="Z",E1386="L"),J1386=3),VLOOKUP(_xlfn.MINIFS('FIRE TEX 5062'!$B$4:$B$34,'FIRE TEX 5062'!$B$4:$B$34,"&gt;="&amp;M1386),'FIRE TEX 5062'!$B$4:$F$34,IF(L1386="F-15",2,IF(L1386="F-30",3,IF(L1386="F-60",4,IF(L1386="F-90",5,0)))),0),0)+IF(AND(O1386="FIRE TEX 5062",OR(E1386="IN",E1386="C",E1386="Z",E1386="L"),J1386=4),VLOOKUP(_xlfn.MINIFS('FIRE TEX 5062'!$G$4:$G$34,'FIRE TEX 5062'!$G$4:$G$34,"&gt;="&amp;M1386),'FIRE TEX 5062'!$G$4:$K$34,IF(L1386="F-15",2,IF(L1386="F-30",3,IF(L1386="F-60",4,IF(L1386="F-90",5,0)))),0),0)+IF(AND(O1386="FIRE TEX 5062",E1386="CJ",J1386=3),VLOOKUP(_xlfn.MINIFS('FIRE TEX 5062'!$L$4:$L$34,'FIRE TEX 5062'!$L$4:$L$34,"&gt;="&amp;M1386),'FIRE TEX 5062'!$L$4:$P$34,IF(L1386="F-15",2,IF(L1386="F-30",3,IF(L1386="F-60",4,IF(L1386="F-90",5,0)))),0),0)+IF(AND(O1386="FIRE TEX 5062",E1386="CJ",J1386=4),VLOOKUP(_xlfn.MINIFS('FIRE TEX 5062'!$Q$3:$Q$34,'FIRE TEX 5062'!$Q$3:$Q$34,"&gt;="&amp;M1386),'FIRE TEX 5062'!$Q$3:$U$34,IF(L1386="F-15",2,IF(L1386="F-30",3,IF(L1386="F-60",4,IF(L1386="F-90",5,0)))),0),0)+IF(AND(O1386="FIRE TEX 5090",OR(E1386="IN",E1386="C",E1386="Z",E1386="L"),J1386=3),VLOOKUP(_xlfn.MINIFS('FIRE TEX 5090'!$B$5:$B$43,'FIRE TEX 5090'!$B$5:$B$43,"&gt;="&amp;M1386),'FIRE TEX 5090'!$B$5:$H$43,IF(L1386="F-15",2,IF(L1386="F-30",3,IF(L1386="F-60",4,IF(L1386="F-90",5,IF(L1386="F-120",6,IF(L1386="F-150",7,0)))))),0),0)+IF(AND(O1386="FIRE TEX 5090",OR(E1386="IN",E1386="C",E1386="Z",E1386="L"),J1386=4),VLOOKUP(_xlfn.MINIFS('FIRE TEX 5090'!$J$5:$J$43,'FIRE TEX 5090'!$J$5:$J$43,"&gt;="&amp;M1386),'FIRE TEX 5090'!$J$5:$P$43,IF(L1386="F-15",2,IF(L1386="F-30",3,IF(L1386="F-60",4,IF(L1386="F-90",5,IF(L1386="F-120",6,IF(L1386="F-150",7,0)))))),0),0)+IF(AND(O1386="FIRE TEX 5090",E1386="CJ",J1386=3),VLOOKUP(_xlfn.MINIFS('FIRE TEX 5090'!$R$5:$R$30,'FIRE TEX 5090'!$R$5:$R$30,"&gt;="&amp;M1386),'FIRE TEX 5090'!$R$5:$W$30,IF(L1386="F-15",2,IF(L1386="F-30",3,IF(L1386="F-60",4,IF(L1386="F-90",5,IF(L1386="F-120",6,IF(L1386="F-150",7,0)))))),0),0)+IF(AND(O1386="FIRE TEX 5090",E1386="CJ",J1386=4),VLOOKUP(_xlfn.MINIFS('FIRE TEX 5090'!$Y$5:$Y$39,'FIRE TEX 5090'!$Y$5:$Y$39,"&gt;="&amp;M1386),'FIRE TEX 5090'!$Y$5:$AD$39,IF(L1386="F-15",2,IF(L1386="F-30",3,IF(L1386="F-60",4,IF(L1386="F-90",5,IF(L1386="F-120",6,IF(L1386="F-150",7,0)))))),0),0)+IF(AND(O1386="FIRE TEX 5120",OR(E1386="IN",E1386="C",E1386="Z",E1386="L"),J1386=3),VLOOKUP(_xlfn.MINIFS('FIRE TEX 5120'!$B$5:$B$40,'FIRE TEX 5120'!$B$5:$B$40,"&gt;="&amp;M1386),'FIRE TEX 5120'!$B$5:$G$40,IF(L1386="F-15",2,IF(L1386="F-30",3,IF(L1386="F-60",4,IF(L1386="F-90",5,IF(L1386="F-120",6,0))))),0),0)+IF(AND(O1386="FIRE TEX 5120",OR(E1386="IN",E1386="C",E1386="Z",E1386="L"),J1386=4),VLOOKUP(_xlfn.MINIFS('FIRE TEX 5120'!$H$4:$H$40,'FIRE TEX 5120'!$H$4:$H$40,"&gt;="&amp;M1386),'FIRE TEX 5120'!$H$4:$M$40,IF(L1386="F-15",2,IF(L1386="F-30",3,IF(L1386="F-60",4,IF(L1386="F-90",5,IF(L1386="F-120",6,0))))),0),0)+IF(AND(O1386="FIRE TEX 5120",E1386="CJ"),VLOOKUP(_xlfn.MINIFS('FIRE TEX 5120'!$O$5:$O$40,'FIRE TEX 5120'!$O$5:$O$40,"&gt;="&amp;M1386),'FIRE TEX 5120'!$O$5:$T$40,IF(L1386="F-15",2,IF(L1386="F-30",3,IF(L1386="F-60",4,IF(L1386="F-90",5,IF(L1386="F-120",6,0))))),0),0)</f>
        <v>0</v>
      </c>
      <c r="Q1386" s="46">
        <f t="shared" si="124"/>
        <v>0</v>
      </c>
      <c r="R1386" s="46">
        <f t="shared" si="125"/>
        <v>0</v>
      </c>
      <c r="S1386" s="46" t="e">
        <f t="shared" si="126"/>
        <v>#VALUE!</v>
      </c>
      <c r="T1386" s="677">
        <f t="shared" si="127"/>
        <v>0</v>
      </c>
      <c r="U1386" s="80">
        <f>(IF(O1386="Stofire",(S1386*#REF!),0))+(IF(O1386="Fire Control",(S1386*$U$2),0))+(IF(O1386="Fire Tex",(S1386*$U$3),0))+(IF(O1386="WB7",(S1386*#REF!),0)+(IF(O1386="FX 2003",(S1386*$U$5),0)))</f>
        <v>0</v>
      </c>
      <c r="V1386" s="651">
        <f t="shared" si="128"/>
        <v>0</v>
      </c>
    </row>
    <row r="1387" spans="4:22" x14ac:dyDescent="0.25">
      <c r="D1387" s="118">
        <f>+CUBICACION!D1386</f>
        <v>0</v>
      </c>
      <c r="E1387" s="118">
        <f>+CUBICACION!F1386</f>
        <v>0</v>
      </c>
      <c r="F1387" s="118">
        <f>+CUBICACION!E1386</f>
        <v>0</v>
      </c>
      <c r="G1387" s="118">
        <v>12</v>
      </c>
      <c r="H1387" s="118">
        <v>2</v>
      </c>
      <c r="I1387" s="820">
        <v>26385</v>
      </c>
      <c r="J1387" s="118">
        <f>+CUBICACION!J1386</f>
        <v>0</v>
      </c>
      <c r="K1387" s="118">
        <v>4166</v>
      </c>
      <c r="L1387" s="118">
        <f>+CUBICACION!L1386</f>
        <v>0</v>
      </c>
      <c r="M1387" s="64">
        <f>+CUBICACION!M1386</f>
        <v>0</v>
      </c>
      <c r="N1387" s="824" t="str">
        <f>+CUBICACION!N1386</f>
        <v/>
      </c>
      <c r="O1387" s="675">
        <f>+CUBICACION!O1386</f>
        <v>0</v>
      </c>
      <c r="P1387" s="15">
        <f>IF(O1387="Fire Control",VLOOKUP(_xlfn.MINIFS('FIRE CONTROL'!$C$4:$C$37,'FIRE CONTROL'!$C$4:$C$37,"&gt;="&amp;M1387),'FIRE CONTROL'!$C$4:$G$37,IF(L1387="F-15",2,IF(L1387="F-30",3,IF(L1387="F-60",4,IF(L1387="F-90",5,0)))),0),0)+IF(AND(O1387="FIRE TEX 5062",OR(E1387="IN",E1387="C",E1387="Z",E1387="L"),J1387=3),VLOOKUP(_xlfn.MINIFS('FIRE TEX 5062'!$B$4:$B$34,'FIRE TEX 5062'!$B$4:$B$34,"&gt;="&amp;M1387),'FIRE TEX 5062'!$B$4:$F$34,IF(L1387="F-15",2,IF(L1387="F-30",3,IF(L1387="F-60",4,IF(L1387="F-90",5,0)))),0),0)+IF(AND(O1387="FIRE TEX 5062",OR(E1387="IN",E1387="C",E1387="Z",E1387="L"),J1387=4),VLOOKUP(_xlfn.MINIFS('FIRE TEX 5062'!$G$4:$G$34,'FIRE TEX 5062'!$G$4:$G$34,"&gt;="&amp;M1387),'FIRE TEX 5062'!$G$4:$K$34,IF(L1387="F-15",2,IF(L1387="F-30",3,IF(L1387="F-60",4,IF(L1387="F-90",5,0)))),0),0)+IF(AND(O1387="FIRE TEX 5062",E1387="CJ",J1387=3),VLOOKUP(_xlfn.MINIFS('FIRE TEX 5062'!$L$4:$L$34,'FIRE TEX 5062'!$L$4:$L$34,"&gt;="&amp;M1387),'FIRE TEX 5062'!$L$4:$P$34,IF(L1387="F-15",2,IF(L1387="F-30",3,IF(L1387="F-60",4,IF(L1387="F-90",5,0)))),0),0)+IF(AND(O1387="FIRE TEX 5062",E1387="CJ",J1387=4),VLOOKUP(_xlfn.MINIFS('FIRE TEX 5062'!$Q$3:$Q$34,'FIRE TEX 5062'!$Q$3:$Q$34,"&gt;="&amp;M1387),'FIRE TEX 5062'!$Q$3:$U$34,IF(L1387="F-15",2,IF(L1387="F-30",3,IF(L1387="F-60",4,IF(L1387="F-90",5,0)))),0),0)+IF(AND(O1387="FIRE TEX 5090",OR(E1387="IN",E1387="C",E1387="Z",E1387="L"),J1387=3),VLOOKUP(_xlfn.MINIFS('FIRE TEX 5090'!$B$5:$B$43,'FIRE TEX 5090'!$B$5:$B$43,"&gt;="&amp;M1387),'FIRE TEX 5090'!$B$5:$H$43,IF(L1387="F-15",2,IF(L1387="F-30",3,IF(L1387="F-60",4,IF(L1387="F-90",5,IF(L1387="F-120",6,IF(L1387="F-150",7,0)))))),0),0)+IF(AND(O1387="FIRE TEX 5090",OR(E1387="IN",E1387="C",E1387="Z",E1387="L"),J1387=4),VLOOKUP(_xlfn.MINIFS('FIRE TEX 5090'!$J$5:$J$43,'FIRE TEX 5090'!$J$5:$J$43,"&gt;="&amp;M1387),'FIRE TEX 5090'!$J$5:$P$43,IF(L1387="F-15",2,IF(L1387="F-30",3,IF(L1387="F-60",4,IF(L1387="F-90",5,IF(L1387="F-120",6,IF(L1387="F-150",7,0)))))),0),0)+IF(AND(O1387="FIRE TEX 5090",E1387="CJ",J1387=3),VLOOKUP(_xlfn.MINIFS('FIRE TEX 5090'!$R$5:$R$30,'FIRE TEX 5090'!$R$5:$R$30,"&gt;="&amp;M1387),'FIRE TEX 5090'!$R$5:$W$30,IF(L1387="F-15",2,IF(L1387="F-30",3,IF(L1387="F-60",4,IF(L1387="F-90",5,IF(L1387="F-120",6,IF(L1387="F-150",7,0)))))),0),0)+IF(AND(O1387="FIRE TEX 5090",E1387="CJ",J1387=4),VLOOKUP(_xlfn.MINIFS('FIRE TEX 5090'!$Y$5:$Y$39,'FIRE TEX 5090'!$Y$5:$Y$39,"&gt;="&amp;M1387),'FIRE TEX 5090'!$Y$5:$AD$39,IF(L1387="F-15",2,IF(L1387="F-30",3,IF(L1387="F-60",4,IF(L1387="F-90",5,IF(L1387="F-120",6,IF(L1387="F-150",7,0)))))),0),0)+IF(AND(O1387="FIRE TEX 5120",OR(E1387="IN",E1387="C",E1387="Z",E1387="L"),J1387=3),VLOOKUP(_xlfn.MINIFS('FIRE TEX 5120'!$B$5:$B$40,'FIRE TEX 5120'!$B$5:$B$40,"&gt;="&amp;M1387),'FIRE TEX 5120'!$B$5:$G$40,IF(L1387="F-15",2,IF(L1387="F-30",3,IF(L1387="F-60",4,IF(L1387="F-90",5,IF(L1387="F-120",6,0))))),0),0)+IF(AND(O1387="FIRE TEX 5120",OR(E1387="IN",E1387="C",E1387="Z",E1387="L"),J1387=4),VLOOKUP(_xlfn.MINIFS('FIRE TEX 5120'!$H$4:$H$40,'FIRE TEX 5120'!$H$4:$H$40,"&gt;="&amp;M1387),'FIRE TEX 5120'!$H$4:$M$40,IF(L1387="F-15",2,IF(L1387="F-30",3,IF(L1387="F-60",4,IF(L1387="F-90",5,IF(L1387="F-120",6,0))))),0),0)+IF(AND(O1387="FIRE TEX 5120",E1387="CJ"),VLOOKUP(_xlfn.MINIFS('FIRE TEX 5120'!$O$5:$O$40,'FIRE TEX 5120'!$O$5:$O$40,"&gt;="&amp;M1387),'FIRE TEX 5120'!$O$5:$T$40,IF(L1387="F-15",2,IF(L1387="F-30",3,IF(L1387="F-60",4,IF(L1387="F-90",5,IF(L1387="F-120",6,0))))),0),0)</f>
        <v>0</v>
      </c>
      <c r="Q1387" s="46">
        <f t="shared" si="124"/>
        <v>0</v>
      </c>
      <c r="R1387" s="46">
        <f t="shared" si="125"/>
        <v>0</v>
      </c>
      <c r="S1387" s="46" t="e">
        <f t="shared" si="126"/>
        <v>#VALUE!</v>
      </c>
      <c r="T1387" s="677">
        <f t="shared" si="127"/>
        <v>0</v>
      </c>
      <c r="U1387" s="80">
        <f>(IF(O1387="Stofire",(S1387*#REF!),0))+(IF(O1387="Fire Control",(S1387*$U$2),0))+(IF(O1387="Fire Tex",(S1387*$U$3),0))+(IF(O1387="WB7",(S1387*#REF!),0)+(IF(O1387="FX 2003",(S1387*$U$5),0)))</f>
        <v>0</v>
      </c>
      <c r="V1387" s="651">
        <f t="shared" si="128"/>
        <v>0</v>
      </c>
    </row>
    <row r="1388" spans="4:22" x14ac:dyDescent="0.25">
      <c r="D1388" s="118">
        <f>+CUBICACION!D1387</f>
        <v>0</v>
      </c>
      <c r="E1388" s="118">
        <f>+CUBICACION!F1387</f>
        <v>0</v>
      </c>
      <c r="F1388" s="118">
        <f>+CUBICACION!E1387</f>
        <v>0</v>
      </c>
      <c r="G1388" s="118">
        <v>12</v>
      </c>
      <c r="H1388" s="118">
        <v>2</v>
      </c>
      <c r="I1388" s="820">
        <v>26385</v>
      </c>
      <c r="J1388" s="118">
        <f>+CUBICACION!J1387</f>
        <v>0</v>
      </c>
      <c r="K1388" s="118">
        <v>4167</v>
      </c>
      <c r="L1388" s="118">
        <f>+CUBICACION!L1387</f>
        <v>0</v>
      </c>
      <c r="M1388" s="64">
        <f>+CUBICACION!M1387</f>
        <v>0</v>
      </c>
      <c r="N1388" s="824" t="str">
        <f>+CUBICACION!N1387</f>
        <v/>
      </c>
      <c r="O1388" s="675">
        <f>+CUBICACION!O1387</f>
        <v>0</v>
      </c>
      <c r="P1388" s="15">
        <f>IF(O1388="Fire Control",VLOOKUP(_xlfn.MINIFS('FIRE CONTROL'!$C$4:$C$37,'FIRE CONTROL'!$C$4:$C$37,"&gt;="&amp;M1388),'FIRE CONTROL'!$C$4:$G$37,IF(L1388="F-15",2,IF(L1388="F-30",3,IF(L1388="F-60",4,IF(L1388="F-90",5,0)))),0),0)+IF(AND(O1388="FIRE TEX 5062",OR(E1388="IN",E1388="C",E1388="Z",E1388="L"),J1388=3),VLOOKUP(_xlfn.MINIFS('FIRE TEX 5062'!$B$4:$B$34,'FIRE TEX 5062'!$B$4:$B$34,"&gt;="&amp;M1388),'FIRE TEX 5062'!$B$4:$F$34,IF(L1388="F-15",2,IF(L1388="F-30",3,IF(L1388="F-60",4,IF(L1388="F-90",5,0)))),0),0)+IF(AND(O1388="FIRE TEX 5062",OR(E1388="IN",E1388="C",E1388="Z",E1388="L"),J1388=4),VLOOKUP(_xlfn.MINIFS('FIRE TEX 5062'!$G$4:$G$34,'FIRE TEX 5062'!$G$4:$G$34,"&gt;="&amp;M1388),'FIRE TEX 5062'!$G$4:$K$34,IF(L1388="F-15",2,IF(L1388="F-30",3,IF(L1388="F-60",4,IF(L1388="F-90",5,0)))),0),0)+IF(AND(O1388="FIRE TEX 5062",E1388="CJ",J1388=3),VLOOKUP(_xlfn.MINIFS('FIRE TEX 5062'!$L$4:$L$34,'FIRE TEX 5062'!$L$4:$L$34,"&gt;="&amp;M1388),'FIRE TEX 5062'!$L$4:$P$34,IF(L1388="F-15",2,IF(L1388="F-30",3,IF(L1388="F-60",4,IF(L1388="F-90",5,0)))),0),0)+IF(AND(O1388="FIRE TEX 5062",E1388="CJ",J1388=4),VLOOKUP(_xlfn.MINIFS('FIRE TEX 5062'!$Q$3:$Q$34,'FIRE TEX 5062'!$Q$3:$Q$34,"&gt;="&amp;M1388),'FIRE TEX 5062'!$Q$3:$U$34,IF(L1388="F-15",2,IF(L1388="F-30",3,IF(L1388="F-60",4,IF(L1388="F-90",5,0)))),0),0)+IF(AND(O1388="FIRE TEX 5090",OR(E1388="IN",E1388="C",E1388="Z",E1388="L"),J1388=3),VLOOKUP(_xlfn.MINIFS('FIRE TEX 5090'!$B$5:$B$43,'FIRE TEX 5090'!$B$5:$B$43,"&gt;="&amp;M1388),'FIRE TEX 5090'!$B$5:$H$43,IF(L1388="F-15",2,IF(L1388="F-30",3,IF(L1388="F-60",4,IF(L1388="F-90",5,IF(L1388="F-120",6,IF(L1388="F-150",7,0)))))),0),0)+IF(AND(O1388="FIRE TEX 5090",OR(E1388="IN",E1388="C",E1388="Z",E1388="L"),J1388=4),VLOOKUP(_xlfn.MINIFS('FIRE TEX 5090'!$J$5:$J$43,'FIRE TEX 5090'!$J$5:$J$43,"&gt;="&amp;M1388),'FIRE TEX 5090'!$J$5:$P$43,IF(L1388="F-15",2,IF(L1388="F-30",3,IF(L1388="F-60",4,IF(L1388="F-90",5,IF(L1388="F-120",6,IF(L1388="F-150",7,0)))))),0),0)+IF(AND(O1388="FIRE TEX 5090",E1388="CJ",J1388=3),VLOOKUP(_xlfn.MINIFS('FIRE TEX 5090'!$R$5:$R$30,'FIRE TEX 5090'!$R$5:$R$30,"&gt;="&amp;M1388),'FIRE TEX 5090'!$R$5:$W$30,IF(L1388="F-15",2,IF(L1388="F-30",3,IF(L1388="F-60",4,IF(L1388="F-90",5,IF(L1388="F-120",6,IF(L1388="F-150",7,0)))))),0),0)+IF(AND(O1388="FIRE TEX 5090",E1388="CJ",J1388=4),VLOOKUP(_xlfn.MINIFS('FIRE TEX 5090'!$Y$5:$Y$39,'FIRE TEX 5090'!$Y$5:$Y$39,"&gt;="&amp;M1388),'FIRE TEX 5090'!$Y$5:$AD$39,IF(L1388="F-15",2,IF(L1388="F-30",3,IF(L1388="F-60",4,IF(L1388="F-90",5,IF(L1388="F-120",6,IF(L1388="F-150",7,0)))))),0),0)+IF(AND(O1388="FIRE TEX 5120",OR(E1388="IN",E1388="C",E1388="Z",E1388="L"),J1388=3),VLOOKUP(_xlfn.MINIFS('FIRE TEX 5120'!$B$5:$B$40,'FIRE TEX 5120'!$B$5:$B$40,"&gt;="&amp;M1388),'FIRE TEX 5120'!$B$5:$G$40,IF(L1388="F-15",2,IF(L1388="F-30",3,IF(L1388="F-60",4,IF(L1388="F-90",5,IF(L1388="F-120",6,0))))),0),0)+IF(AND(O1388="FIRE TEX 5120",OR(E1388="IN",E1388="C",E1388="Z",E1388="L"),J1388=4),VLOOKUP(_xlfn.MINIFS('FIRE TEX 5120'!$H$4:$H$40,'FIRE TEX 5120'!$H$4:$H$40,"&gt;="&amp;M1388),'FIRE TEX 5120'!$H$4:$M$40,IF(L1388="F-15",2,IF(L1388="F-30",3,IF(L1388="F-60",4,IF(L1388="F-90",5,IF(L1388="F-120",6,0))))),0),0)+IF(AND(O1388="FIRE TEX 5120",E1388="CJ"),VLOOKUP(_xlfn.MINIFS('FIRE TEX 5120'!$O$5:$O$40,'FIRE TEX 5120'!$O$5:$O$40,"&gt;="&amp;M1388),'FIRE TEX 5120'!$O$5:$T$40,IF(L1388="F-15",2,IF(L1388="F-30",3,IF(L1388="F-60",4,IF(L1388="F-90",5,IF(L1388="F-120",6,0))))),0),0)</f>
        <v>0</v>
      </c>
      <c r="Q1388" s="46">
        <f t="shared" si="124"/>
        <v>0</v>
      </c>
      <c r="R1388" s="46">
        <f t="shared" si="125"/>
        <v>0</v>
      </c>
      <c r="S1388" s="46" t="e">
        <f t="shared" si="126"/>
        <v>#VALUE!</v>
      </c>
      <c r="T1388" s="677">
        <f t="shared" si="127"/>
        <v>0</v>
      </c>
      <c r="U1388" s="80">
        <f>(IF(O1388="Stofire",(S1388*#REF!),0))+(IF(O1388="Fire Control",(S1388*$U$2),0))+(IF(O1388="Fire Tex",(S1388*$U$3),0))+(IF(O1388="WB7",(S1388*#REF!),0)+(IF(O1388="FX 2003",(S1388*$U$5),0)))</f>
        <v>0</v>
      </c>
      <c r="V1388" s="651">
        <f t="shared" si="128"/>
        <v>0</v>
      </c>
    </row>
    <row r="1389" spans="4:22" x14ac:dyDescent="0.25">
      <c r="D1389" s="118">
        <f>+CUBICACION!D1388</f>
        <v>0</v>
      </c>
      <c r="E1389" s="118">
        <f>+CUBICACION!F1388</f>
        <v>0</v>
      </c>
      <c r="F1389" s="118">
        <f>+CUBICACION!E1388</f>
        <v>0</v>
      </c>
      <c r="G1389" s="118">
        <v>12</v>
      </c>
      <c r="H1389" s="118">
        <v>2</v>
      </c>
      <c r="I1389" s="820">
        <v>26385</v>
      </c>
      <c r="J1389" s="118">
        <f>+CUBICACION!J1388</f>
        <v>0</v>
      </c>
      <c r="K1389" s="118">
        <v>4168</v>
      </c>
      <c r="L1389" s="118">
        <f>+CUBICACION!L1388</f>
        <v>0</v>
      </c>
      <c r="M1389" s="64">
        <f>+CUBICACION!M1388</f>
        <v>0</v>
      </c>
      <c r="N1389" s="824" t="str">
        <f>+CUBICACION!N1388</f>
        <v/>
      </c>
      <c r="O1389" s="675">
        <f>+CUBICACION!O1388</f>
        <v>0</v>
      </c>
      <c r="P1389" s="15">
        <f>IF(O1389="Fire Control",VLOOKUP(_xlfn.MINIFS('FIRE CONTROL'!$C$4:$C$37,'FIRE CONTROL'!$C$4:$C$37,"&gt;="&amp;M1389),'FIRE CONTROL'!$C$4:$G$37,IF(L1389="F-15",2,IF(L1389="F-30",3,IF(L1389="F-60",4,IF(L1389="F-90",5,0)))),0),0)+IF(AND(O1389="FIRE TEX 5062",OR(E1389="IN",E1389="C",E1389="Z",E1389="L"),J1389=3),VLOOKUP(_xlfn.MINIFS('FIRE TEX 5062'!$B$4:$B$34,'FIRE TEX 5062'!$B$4:$B$34,"&gt;="&amp;M1389),'FIRE TEX 5062'!$B$4:$F$34,IF(L1389="F-15",2,IF(L1389="F-30",3,IF(L1389="F-60",4,IF(L1389="F-90",5,0)))),0),0)+IF(AND(O1389="FIRE TEX 5062",OR(E1389="IN",E1389="C",E1389="Z",E1389="L"),J1389=4),VLOOKUP(_xlfn.MINIFS('FIRE TEX 5062'!$G$4:$G$34,'FIRE TEX 5062'!$G$4:$G$34,"&gt;="&amp;M1389),'FIRE TEX 5062'!$G$4:$K$34,IF(L1389="F-15",2,IF(L1389="F-30",3,IF(L1389="F-60",4,IF(L1389="F-90",5,0)))),0),0)+IF(AND(O1389="FIRE TEX 5062",E1389="CJ",J1389=3),VLOOKUP(_xlfn.MINIFS('FIRE TEX 5062'!$L$4:$L$34,'FIRE TEX 5062'!$L$4:$L$34,"&gt;="&amp;M1389),'FIRE TEX 5062'!$L$4:$P$34,IF(L1389="F-15",2,IF(L1389="F-30",3,IF(L1389="F-60",4,IF(L1389="F-90",5,0)))),0),0)+IF(AND(O1389="FIRE TEX 5062",E1389="CJ",J1389=4),VLOOKUP(_xlfn.MINIFS('FIRE TEX 5062'!$Q$3:$Q$34,'FIRE TEX 5062'!$Q$3:$Q$34,"&gt;="&amp;M1389),'FIRE TEX 5062'!$Q$3:$U$34,IF(L1389="F-15",2,IF(L1389="F-30",3,IF(L1389="F-60",4,IF(L1389="F-90",5,0)))),0),0)+IF(AND(O1389="FIRE TEX 5090",OR(E1389="IN",E1389="C",E1389="Z",E1389="L"),J1389=3),VLOOKUP(_xlfn.MINIFS('FIRE TEX 5090'!$B$5:$B$43,'FIRE TEX 5090'!$B$5:$B$43,"&gt;="&amp;M1389),'FIRE TEX 5090'!$B$5:$H$43,IF(L1389="F-15",2,IF(L1389="F-30",3,IF(L1389="F-60",4,IF(L1389="F-90",5,IF(L1389="F-120",6,IF(L1389="F-150",7,0)))))),0),0)+IF(AND(O1389="FIRE TEX 5090",OR(E1389="IN",E1389="C",E1389="Z",E1389="L"),J1389=4),VLOOKUP(_xlfn.MINIFS('FIRE TEX 5090'!$J$5:$J$43,'FIRE TEX 5090'!$J$5:$J$43,"&gt;="&amp;M1389),'FIRE TEX 5090'!$J$5:$P$43,IF(L1389="F-15",2,IF(L1389="F-30",3,IF(L1389="F-60",4,IF(L1389="F-90",5,IF(L1389="F-120",6,IF(L1389="F-150",7,0)))))),0),0)+IF(AND(O1389="FIRE TEX 5090",E1389="CJ",J1389=3),VLOOKUP(_xlfn.MINIFS('FIRE TEX 5090'!$R$5:$R$30,'FIRE TEX 5090'!$R$5:$R$30,"&gt;="&amp;M1389),'FIRE TEX 5090'!$R$5:$W$30,IF(L1389="F-15",2,IF(L1389="F-30",3,IF(L1389="F-60",4,IF(L1389="F-90",5,IF(L1389="F-120",6,IF(L1389="F-150",7,0)))))),0),0)+IF(AND(O1389="FIRE TEX 5090",E1389="CJ",J1389=4),VLOOKUP(_xlfn.MINIFS('FIRE TEX 5090'!$Y$5:$Y$39,'FIRE TEX 5090'!$Y$5:$Y$39,"&gt;="&amp;M1389),'FIRE TEX 5090'!$Y$5:$AD$39,IF(L1389="F-15",2,IF(L1389="F-30",3,IF(L1389="F-60",4,IF(L1389="F-90",5,IF(L1389="F-120",6,IF(L1389="F-150",7,0)))))),0),0)+IF(AND(O1389="FIRE TEX 5120",OR(E1389="IN",E1389="C",E1389="Z",E1389="L"),J1389=3),VLOOKUP(_xlfn.MINIFS('FIRE TEX 5120'!$B$5:$B$40,'FIRE TEX 5120'!$B$5:$B$40,"&gt;="&amp;M1389),'FIRE TEX 5120'!$B$5:$G$40,IF(L1389="F-15",2,IF(L1389="F-30",3,IF(L1389="F-60",4,IF(L1389="F-90",5,IF(L1389="F-120",6,0))))),0),0)+IF(AND(O1389="FIRE TEX 5120",OR(E1389="IN",E1389="C",E1389="Z",E1389="L"),J1389=4),VLOOKUP(_xlfn.MINIFS('FIRE TEX 5120'!$H$4:$H$40,'FIRE TEX 5120'!$H$4:$H$40,"&gt;="&amp;M1389),'FIRE TEX 5120'!$H$4:$M$40,IF(L1389="F-15",2,IF(L1389="F-30",3,IF(L1389="F-60",4,IF(L1389="F-90",5,IF(L1389="F-120",6,0))))),0),0)+IF(AND(O1389="FIRE TEX 5120",E1389="CJ"),VLOOKUP(_xlfn.MINIFS('FIRE TEX 5120'!$O$5:$O$40,'FIRE TEX 5120'!$O$5:$O$40,"&gt;="&amp;M1389),'FIRE TEX 5120'!$O$5:$T$40,IF(L1389="F-15",2,IF(L1389="F-30",3,IF(L1389="F-60",4,IF(L1389="F-90",5,IF(L1389="F-120",6,0))))),0),0)</f>
        <v>0</v>
      </c>
      <c r="Q1389" s="46">
        <f t="shared" ref="Q1389:Q1452" si="129">IF(P1389="","",IF(P1389="dar valor","",0.03937*P1389))</f>
        <v>0</v>
      </c>
      <c r="R1389" s="46">
        <f t="shared" ref="R1389:R1452" si="130">+(IF(O1389="Fire Control",((65*1.5/Q1389)*0.75*4),0))+(IF(OR(O1389="Fire Tex 5062",O1389="Fire Tex 5090",O1389="Fire Tex 5120"),((66*1.5/Q1389)*0.7*5),0))</f>
        <v>0</v>
      </c>
      <c r="S1389" s="46" t="e">
        <f t="shared" ref="S1389:S1452" si="131">IF(R1389="","",+N1389/R1389)</f>
        <v>#VALUE!</v>
      </c>
      <c r="T1389" s="677">
        <f t="shared" ref="T1389:T1452" si="132">(IF(O1389="Stofire",(S1389/(7*1)),0))+(IF(O1389="Fire Control",(S1389/(7*1)),0))+(IF(O1389="Fire Tex",(S1389/(7*1)),0))+(IF(O1389="WB7",(S1389/(7*1)),0))+(IF(O1389="FX 2003",(S1389/(7*1)),0))</f>
        <v>0</v>
      </c>
      <c r="U1389" s="80">
        <f>(IF(O1389="Stofire",(S1389*#REF!),0))+(IF(O1389="Fire Control",(S1389*$U$2),0))+(IF(O1389="Fire Tex",(S1389*$U$3),0))+(IF(O1389="WB7",(S1389*#REF!),0)+(IF(O1389="FX 2003",(S1389*$U$5),0)))</f>
        <v>0</v>
      </c>
      <c r="V1389" s="651">
        <f t="shared" ref="V1389:V1452" si="133">_xlfn.CEILING.MATH(M1389,10)</f>
        <v>0</v>
      </c>
    </row>
    <row r="1390" spans="4:22" x14ac:dyDescent="0.25">
      <c r="D1390" s="118">
        <f>+CUBICACION!D1389</f>
        <v>0</v>
      </c>
      <c r="E1390" s="118">
        <f>+CUBICACION!F1389</f>
        <v>0</v>
      </c>
      <c r="F1390" s="118">
        <f>+CUBICACION!E1389</f>
        <v>0</v>
      </c>
      <c r="G1390" s="118">
        <v>12</v>
      </c>
      <c r="H1390" s="118">
        <v>2</v>
      </c>
      <c r="I1390" s="820">
        <v>26385</v>
      </c>
      <c r="J1390" s="118">
        <f>+CUBICACION!J1389</f>
        <v>0</v>
      </c>
      <c r="K1390" s="118">
        <v>4169</v>
      </c>
      <c r="L1390" s="118">
        <f>+CUBICACION!L1389</f>
        <v>0</v>
      </c>
      <c r="M1390" s="64">
        <f>+CUBICACION!M1389</f>
        <v>0</v>
      </c>
      <c r="N1390" s="824" t="str">
        <f>+CUBICACION!N1389</f>
        <v/>
      </c>
      <c r="O1390" s="675">
        <f>+CUBICACION!O1389</f>
        <v>0</v>
      </c>
      <c r="P1390" s="15">
        <f>IF(O1390="Fire Control",VLOOKUP(_xlfn.MINIFS('FIRE CONTROL'!$C$4:$C$37,'FIRE CONTROL'!$C$4:$C$37,"&gt;="&amp;M1390),'FIRE CONTROL'!$C$4:$G$37,IF(L1390="F-15",2,IF(L1390="F-30",3,IF(L1390="F-60",4,IF(L1390="F-90",5,0)))),0),0)+IF(AND(O1390="FIRE TEX 5062",OR(E1390="IN",E1390="C",E1390="Z",E1390="L"),J1390=3),VLOOKUP(_xlfn.MINIFS('FIRE TEX 5062'!$B$4:$B$34,'FIRE TEX 5062'!$B$4:$B$34,"&gt;="&amp;M1390),'FIRE TEX 5062'!$B$4:$F$34,IF(L1390="F-15",2,IF(L1390="F-30",3,IF(L1390="F-60",4,IF(L1390="F-90",5,0)))),0),0)+IF(AND(O1390="FIRE TEX 5062",OR(E1390="IN",E1390="C",E1390="Z",E1390="L"),J1390=4),VLOOKUP(_xlfn.MINIFS('FIRE TEX 5062'!$G$4:$G$34,'FIRE TEX 5062'!$G$4:$G$34,"&gt;="&amp;M1390),'FIRE TEX 5062'!$G$4:$K$34,IF(L1390="F-15",2,IF(L1390="F-30",3,IF(L1390="F-60",4,IF(L1390="F-90",5,0)))),0),0)+IF(AND(O1390="FIRE TEX 5062",E1390="CJ",J1390=3),VLOOKUP(_xlfn.MINIFS('FIRE TEX 5062'!$L$4:$L$34,'FIRE TEX 5062'!$L$4:$L$34,"&gt;="&amp;M1390),'FIRE TEX 5062'!$L$4:$P$34,IF(L1390="F-15",2,IF(L1390="F-30",3,IF(L1390="F-60",4,IF(L1390="F-90",5,0)))),0),0)+IF(AND(O1390="FIRE TEX 5062",E1390="CJ",J1390=4),VLOOKUP(_xlfn.MINIFS('FIRE TEX 5062'!$Q$3:$Q$34,'FIRE TEX 5062'!$Q$3:$Q$34,"&gt;="&amp;M1390),'FIRE TEX 5062'!$Q$3:$U$34,IF(L1390="F-15",2,IF(L1390="F-30",3,IF(L1390="F-60",4,IF(L1390="F-90",5,0)))),0),0)+IF(AND(O1390="FIRE TEX 5090",OR(E1390="IN",E1390="C",E1390="Z",E1390="L"),J1390=3),VLOOKUP(_xlfn.MINIFS('FIRE TEX 5090'!$B$5:$B$43,'FIRE TEX 5090'!$B$5:$B$43,"&gt;="&amp;M1390),'FIRE TEX 5090'!$B$5:$H$43,IF(L1390="F-15",2,IF(L1390="F-30",3,IF(L1390="F-60",4,IF(L1390="F-90",5,IF(L1390="F-120",6,IF(L1390="F-150",7,0)))))),0),0)+IF(AND(O1390="FIRE TEX 5090",OR(E1390="IN",E1390="C",E1390="Z",E1390="L"),J1390=4),VLOOKUP(_xlfn.MINIFS('FIRE TEX 5090'!$J$5:$J$43,'FIRE TEX 5090'!$J$5:$J$43,"&gt;="&amp;M1390),'FIRE TEX 5090'!$J$5:$P$43,IF(L1390="F-15",2,IF(L1390="F-30",3,IF(L1390="F-60",4,IF(L1390="F-90",5,IF(L1390="F-120",6,IF(L1390="F-150",7,0)))))),0),0)+IF(AND(O1390="FIRE TEX 5090",E1390="CJ",J1390=3),VLOOKUP(_xlfn.MINIFS('FIRE TEX 5090'!$R$5:$R$30,'FIRE TEX 5090'!$R$5:$R$30,"&gt;="&amp;M1390),'FIRE TEX 5090'!$R$5:$W$30,IF(L1390="F-15",2,IF(L1390="F-30",3,IF(L1390="F-60",4,IF(L1390="F-90",5,IF(L1390="F-120",6,IF(L1390="F-150",7,0)))))),0),0)+IF(AND(O1390="FIRE TEX 5090",E1390="CJ",J1390=4),VLOOKUP(_xlfn.MINIFS('FIRE TEX 5090'!$Y$5:$Y$39,'FIRE TEX 5090'!$Y$5:$Y$39,"&gt;="&amp;M1390),'FIRE TEX 5090'!$Y$5:$AD$39,IF(L1390="F-15",2,IF(L1390="F-30",3,IF(L1390="F-60",4,IF(L1390="F-90",5,IF(L1390="F-120",6,IF(L1390="F-150",7,0)))))),0),0)+IF(AND(O1390="FIRE TEX 5120",OR(E1390="IN",E1390="C",E1390="Z",E1390="L"),J1390=3),VLOOKUP(_xlfn.MINIFS('FIRE TEX 5120'!$B$5:$B$40,'FIRE TEX 5120'!$B$5:$B$40,"&gt;="&amp;M1390),'FIRE TEX 5120'!$B$5:$G$40,IF(L1390="F-15",2,IF(L1390="F-30",3,IF(L1390="F-60",4,IF(L1390="F-90",5,IF(L1390="F-120",6,0))))),0),0)+IF(AND(O1390="FIRE TEX 5120",OR(E1390="IN",E1390="C",E1390="Z",E1390="L"),J1390=4),VLOOKUP(_xlfn.MINIFS('FIRE TEX 5120'!$H$4:$H$40,'FIRE TEX 5120'!$H$4:$H$40,"&gt;="&amp;M1390),'FIRE TEX 5120'!$H$4:$M$40,IF(L1390="F-15",2,IF(L1390="F-30",3,IF(L1390="F-60",4,IF(L1390="F-90",5,IF(L1390="F-120",6,0))))),0),0)+IF(AND(O1390="FIRE TEX 5120",E1390="CJ"),VLOOKUP(_xlfn.MINIFS('FIRE TEX 5120'!$O$5:$O$40,'FIRE TEX 5120'!$O$5:$O$40,"&gt;="&amp;M1390),'FIRE TEX 5120'!$O$5:$T$40,IF(L1390="F-15",2,IF(L1390="F-30",3,IF(L1390="F-60",4,IF(L1390="F-90",5,IF(L1390="F-120",6,0))))),0),0)</f>
        <v>0</v>
      </c>
      <c r="Q1390" s="46">
        <f t="shared" si="129"/>
        <v>0</v>
      </c>
      <c r="R1390" s="46">
        <f t="shared" si="130"/>
        <v>0</v>
      </c>
      <c r="S1390" s="46" t="e">
        <f t="shared" si="131"/>
        <v>#VALUE!</v>
      </c>
      <c r="T1390" s="677">
        <f t="shared" si="132"/>
        <v>0</v>
      </c>
      <c r="U1390" s="80">
        <f>(IF(O1390="Stofire",(S1390*#REF!),0))+(IF(O1390="Fire Control",(S1390*$U$2),0))+(IF(O1390="Fire Tex",(S1390*$U$3),0))+(IF(O1390="WB7",(S1390*#REF!),0)+(IF(O1390="FX 2003",(S1390*$U$5),0)))</f>
        <v>0</v>
      </c>
      <c r="V1390" s="651">
        <f t="shared" si="133"/>
        <v>0</v>
      </c>
    </row>
    <row r="1391" spans="4:22" x14ac:dyDescent="0.25">
      <c r="D1391" s="118">
        <f>+CUBICACION!D1390</f>
        <v>0</v>
      </c>
      <c r="E1391" s="118">
        <f>+CUBICACION!F1390</f>
        <v>0</v>
      </c>
      <c r="F1391" s="118">
        <f>+CUBICACION!E1390</f>
        <v>0</v>
      </c>
      <c r="G1391" s="118">
        <v>12</v>
      </c>
      <c r="H1391" s="118">
        <v>2</v>
      </c>
      <c r="I1391" s="820">
        <v>26385</v>
      </c>
      <c r="J1391" s="118">
        <f>+CUBICACION!J1390</f>
        <v>0</v>
      </c>
      <c r="K1391" s="118">
        <v>4170</v>
      </c>
      <c r="L1391" s="118">
        <f>+CUBICACION!L1390</f>
        <v>0</v>
      </c>
      <c r="M1391" s="64">
        <f>+CUBICACION!M1390</f>
        <v>0</v>
      </c>
      <c r="N1391" s="824" t="str">
        <f>+CUBICACION!N1390</f>
        <v/>
      </c>
      <c r="O1391" s="675">
        <f>+CUBICACION!O1390</f>
        <v>0</v>
      </c>
      <c r="P1391" s="15">
        <f>IF(O1391="Fire Control",VLOOKUP(_xlfn.MINIFS('FIRE CONTROL'!$C$4:$C$37,'FIRE CONTROL'!$C$4:$C$37,"&gt;="&amp;M1391),'FIRE CONTROL'!$C$4:$G$37,IF(L1391="F-15",2,IF(L1391="F-30",3,IF(L1391="F-60",4,IF(L1391="F-90",5,0)))),0),0)+IF(AND(O1391="FIRE TEX 5062",OR(E1391="IN",E1391="C",E1391="Z",E1391="L"),J1391=3),VLOOKUP(_xlfn.MINIFS('FIRE TEX 5062'!$B$4:$B$34,'FIRE TEX 5062'!$B$4:$B$34,"&gt;="&amp;M1391),'FIRE TEX 5062'!$B$4:$F$34,IF(L1391="F-15",2,IF(L1391="F-30",3,IF(L1391="F-60",4,IF(L1391="F-90",5,0)))),0),0)+IF(AND(O1391="FIRE TEX 5062",OR(E1391="IN",E1391="C",E1391="Z",E1391="L"),J1391=4),VLOOKUP(_xlfn.MINIFS('FIRE TEX 5062'!$G$4:$G$34,'FIRE TEX 5062'!$G$4:$G$34,"&gt;="&amp;M1391),'FIRE TEX 5062'!$G$4:$K$34,IF(L1391="F-15",2,IF(L1391="F-30",3,IF(L1391="F-60",4,IF(L1391="F-90",5,0)))),0),0)+IF(AND(O1391="FIRE TEX 5062",E1391="CJ",J1391=3),VLOOKUP(_xlfn.MINIFS('FIRE TEX 5062'!$L$4:$L$34,'FIRE TEX 5062'!$L$4:$L$34,"&gt;="&amp;M1391),'FIRE TEX 5062'!$L$4:$P$34,IF(L1391="F-15",2,IF(L1391="F-30",3,IF(L1391="F-60",4,IF(L1391="F-90",5,0)))),0),0)+IF(AND(O1391="FIRE TEX 5062",E1391="CJ",J1391=4),VLOOKUP(_xlfn.MINIFS('FIRE TEX 5062'!$Q$3:$Q$34,'FIRE TEX 5062'!$Q$3:$Q$34,"&gt;="&amp;M1391),'FIRE TEX 5062'!$Q$3:$U$34,IF(L1391="F-15",2,IF(L1391="F-30",3,IF(L1391="F-60",4,IF(L1391="F-90",5,0)))),0),0)+IF(AND(O1391="FIRE TEX 5090",OR(E1391="IN",E1391="C",E1391="Z",E1391="L"),J1391=3),VLOOKUP(_xlfn.MINIFS('FIRE TEX 5090'!$B$5:$B$43,'FIRE TEX 5090'!$B$5:$B$43,"&gt;="&amp;M1391),'FIRE TEX 5090'!$B$5:$H$43,IF(L1391="F-15",2,IF(L1391="F-30",3,IF(L1391="F-60",4,IF(L1391="F-90",5,IF(L1391="F-120",6,IF(L1391="F-150",7,0)))))),0),0)+IF(AND(O1391="FIRE TEX 5090",OR(E1391="IN",E1391="C",E1391="Z",E1391="L"),J1391=4),VLOOKUP(_xlfn.MINIFS('FIRE TEX 5090'!$J$5:$J$43,'FIRE TEX 5090'!$J$5:$J$43,"&gt;="&amp;M1391),'FIRE TEX 5090'!$J$5:$P$43,IF(L1391="F-15",2,IF(L1391="F-30",3,IF(L1391="F-60",4,IF(L1391="F-90",5,IF(L1391="F-120",6,IF(L1391="F-150",7,0)))))),0),0)+IF(AND(O1391="FIRE TEX 5090",E1391="CJ",J1391=3),VLOOKUP(_xlfn.MINIFS('FIRE TEX 5090'!$R$5:$R$30,'FIRE TEX 5090'!$R$5:$R$30,"&gt;="&amp;M1391),'FIRE TEX 5090'!$R$5:$W$30,IF(L1391="F-15",2,IF(L1391="F-30",3,IF(L1391="F-60",4,IF(L1391="F-90",5,IF(L1391="F-120",6,IF(L1391="F-150",7,0)))))),0),0)+IF(AND(O1391="FIRE TEX 5090",E1391="CJ",J1391=4),VLOOKUP(_xlfn.MINIFS('FIRE TEX 5090'!$Y$5:$Y$39,'FIRE TEX 5090'!$Y$5:$Y$39,"&gt;="&amp;M1391),'FIRE TEX 5090'!$Y$5:$AD$39,IF(L1391="F-15",2,IF(L1391="F-30",3,IF(L1391="F-60",4,IF(L1391="F-90",5,IF(L1391="F-120",6,IF(L1391="F-150",7,0)))))),0),0)+IF(AND(O1391="FIRE TEX 5120",OR(E1391="IN",E1391="C",E1391="Z",E1391="L"),J1391=3),VLOOKUP(_xlfn.MINIFS('FIRE TEX 5120'!$B$5:$B$40,'FIRE TEX 5120'!$B$5:$B$40,"&gt;="&amp;M1391),'FIRE TEX 5120'!$B$5:$G$40,IF(L1391="F-15",2,IF(L1391="F-30",3,IF(L1391="F-60",4,IF(L1391="F-90",5,IF(L1391="F-120",6,0))))),0),0)+IF(AND(O1391="FIRE TEX 5120",OR(E1391="IN",E1391="C",E1391="Z",E1391="L"),J1391=4),VLOOKUP(_xlfn.MINIFS('FIRE TEX 5120'!$H$4:$H$40,'FIRE TEX 5120'!$H$4:$H$40,"&gt;="&amp;M1391),'FIRE TEX 5120'!$H$4:$M$40,IF(L1391="F-15",2,IF(L1391="F-30",3,IF(L1391="F-60",4,IF(L1391="F-90",5,IF(L1391="F-120",6,0))))),0),0)+IF(AND(O1391="FIRE TEX 5120",E1391="CJ"),VLOOKUP(_xlfn.MINIFS('FIRE TEX 5120'!$O$5:$O$40,'FIRE TEX 5120'!$O$5:$O$40,"&gt;="&amp;M1391),'FIRE TEX 5120'!$O$5:$T$40,IF(L1391="F-15",2,IF(L1391="F-30",3,IF(L1391="F-60",4,IF(L1391="F-90",5,IF(L1391="F-120",6,0))))),0),0)</f>
        <v>0</v>
      </c>
      <c r="Q1391" s="46">
        <f t="shared" si="129"/>
        <v>0</v>
      </c>
      <c r="R1391" s="46">
        <f t="shared" si="130"/>
        <v>0</v>
      </c>
      <c r="S1391" s="46" t="e">
        <f t="shared" si="131"/>
        <v>#VALUE!</v>
      </c>
      <c r="T1391" s="677">
        <f t="shared" si="132"/>
        <v>0</v>
      </c>
      <c r="U1391" s="80">
        <f>(IF(O1391="Stofire",(S1391*#REF!),0))+(IF(O1391="Fire Control",(S1391*$U$2),0))+(IF(O1391="Fire Tex",(S1391*$U$3),0))+(IF(O1391="WB7",(S1391*#REF!),0)+(IF(O1391="FX 2003",(S1391*$U$5),0)))</f>
        <v>0</v>
      </c>
      <c r="V1391" s="651">
        <f t="shared" si="133"/>
        <v>0</v>
      </c>
    </row>
    <row r="1392" spans="4:22" x14ac:dyDescent="0.25">
      <c r="D1392" s="118">
        <f>+CUBICACION!D1391</f>
        <v>0</v>
      </c>
      <c r="E1392" s="118">
        <f>+CUBICACION!F1391</f>
        <v>0</v>
      </c>
      <c r="F1392" s="118">
        <f>+CUBICACION!E1391</f>
        <v>0</v>
      </c>
      <c r="G1392" s="118">
        <v>12</v>
      </c>
      <c r="H1392" s="118">
        <v>2</v>
      </c>
      <c r="I1392" s="820">
        <v>26385</v>
      </c>
      <c r="J1392" s="118">
        <f>+CUBICACION!J1391</f>
        <v>0</v>
      </c>
      <c r="K1392" s="118">
        <v>4171</v>
      </c>
      <c r="L1392" s="118">
        <f>+CUBICACION!L1391</f>
        <v>0</v>
      </c>
      <c r="M1392" s="64">
        <f>+CUBICACION!M1391</f>
        <v>0</v>
      </c>
      <c r="N1392" s="824" t="str">
        <f>+CUBICACION!N1391</f>
        <v/>
      </c>
      <c r="O1392" s="675">
        <f>+CUBICACION!O1391</f>
        <v>0</v>
      </c>
      <c r="P1392" s="15">
        <f>IF(O1392="Fire Control",VLOOKUP(_xlfn.MINIFS('FIRE CONTROL'!$C$4:$C$37,'FIRE CONTROL'!$C$4:$C$37,"&gt;="&amp;M1392),'FIRE CONTROL'!$C$4:$G$37,IF(L1392="F-15",2,IF(L1392="F-30",3,IF(L1392="F-60",4,IF(L1392="F-90",5,0)))),0),0)+IF(AND(O1392="FIRE TEX 5062",OR(E1392="IN",E1392="C",E1392="Z",E1392="L"),J1392=3),VLOOKUP(_xlfn.MINIFS('FIRE TEX 5062'!$B$4:$B$34,'FIRE TEX 5062'!$B$4:$B$34,"&gt;="&amp;M1392),'FIRE TEX 5062'!$B$4:$F$34,IF(L1392="F-15",2,IF(L1392="F-30",3,IF(L1392="F-60",4,IF(L1392="F-90",5,0)))),0),0)+IF(AND(O1392="FIRE TEX 5062",OR(E1392="IN",E1392="C",E1392="Z",E1392="L"),J1392=4),VLOOKUP(_xlfn.MINIFS('FIRE TEX 5062'!$G$4:$G$34,'FIRE TEX 5062'!$G$4:$G$34,"&gt;="&amp;M1392),'FIRE TEX 5062'!$G$4:$K$34,IF(L1392="F-15",2,IF(L1392="F-30",3,IF(L1392="F-60",4,IF(L1392="F-90",5,0)))),0),0)+IF(AND(O1392="FIRE TEX 5062",E1392="CJ",J1392=3),VLOOKUP(_xlfn.MINIFS('FIRE TEX 5062'!$L$4:$L$34,'FIRE TEX 5062'!$L$4:$L$34,"&gt;="&amp;M1392),'FIRE TEX 5062'!$L$4:$P$34,IF(L1392="F-15",2,IF(L1392="F-30",3,IF(L1392="F-60",4,IF(L1392="F-90",5,0)))),0),0)+IF(AND(O1392="FIRE TEX 5062",E1392="CJ",J1392=4),VLOOKUP(_xlfn.MINIFS('FIRE TEX 5062'!$Q$3:$Q$34,'FIRE TEX 5062'!$Q$3:$Q$34,"&gt;="&amp;M1392),'FIRE TEX 5062'!$Q$3:$U$34,IF(L1392="F-15",2,IF(L1392="F-30",3,IF(L1392="F-60",4,IF(L1392="F-90",5,0)))),0),0)+IF(AND(O1392="FIRE TEX 5090",OR(E1392="IN",E1392="C",E1392="Z",E1392="L"),J1392=3),VLOOKUP(_xlfn.MINIFS('FIRE TEX 5090'!$B$5:$B$43,'FIRE TEX 5090'!$B$5:$B$43,"&gt;="&amp;M1392),'FIRE TEX 5090'!$B$5:$H$43,IF(L1392="F-15",2,IF(L1392="F-30",3,IF(L1392="F-60",4,IF(L1392="F-90",5,IF(L1392="F-120",6,IF(L1392="F-150",7,0)))))),0),0)+IF(AND(O1392="FIRE TEX 5090",OR(E1392="IN",E1392="C",E1392="Z",E1392="L"),J1392=4),VLOOKUP(_xlfn.MINIFS('FIRE TEX 5090'!$J$5:$J$43,'FIRE TEX 5090'!$J$5:$J$43,"&gt;="&amp;M1392),'FIRE TEX 5090'!$J$5:$P$43,IF(L1392="F-15",2,IF(L1392="F-30",3,IF(L1392="F-60",4,IF(L1392="F-90",5,IF(L1392="F-120",6,IF(L1392="F-150",7,0)))))),0),0)+IF(AND(O1392="FIRE TEX 5090",E1392="CJ",J1392=3),VLOOKUP(_xlfn.MINIFS('FIRE TEX 5090'!$R$5:$R$30,'FIRE TEX 5090'!$R$5:$R$30,"&gt;="&amp;M1392),'FIRE TEX 5090'!$R$5:$W$30,IF(L1392="F-15",2,IF(L1392="F-30",3,IF(L1392="F-60",4,IF(L1392="F-90",5,IF(L1392="F-120",6,IF(L1392="F-150",7,0)))))),0),0)+IF(AND(O1392="FIRE TEX 5090",E1392="CJ",J1392=4),VLOOKUP(_xlfn.MINIFS('FIRE TEX 5090'!$Y$5:$Y$39,'FIRE TEX 5090'!$Y$5:$Y$39,"&gt;="&amp;M1392),'FIRE TEX 5090'!$Y$5:$AD$39,IF(L1392="F-15",2,IF(L1392="F-30",3,IF(L1392="F-60",4,IF(L1392="F-90",5,IF(L1392="F-120",6,IF(L1392="F-150",7,0)))))),0),0)+IF(AND(O1392="FIRE TEX 5120",OR(E1392="IN",E1392="C",E1392="Z",E1392="L"),J1392=3),VLOOKUP(_xlfn.MINIFS('FIRE TEX 5120'!$B$5:$B$40,'FIRE TEX 5120'!$B$5:$B$40,"&gt;="&amp;M1392),'FIRE TEX 5120'!$B$5:$G$40,IF(L1392="F-15",2,IF(L1392="F-30",3,IF(L1392="F-60",4,IF(L1392="F-90",5,IF(L1392="F-120",6,0))))),0),0)+IF(AND(O1392="FIRE TEX 5120",OR(E1392="IN",E1392="C",E1392="Z",E1392="L"),J1392=4),VLOOKUP(_xlfn.MINIFS('FIRE TEX 5120'!$H$4:$H$40,'FIRE TEX 5120'!$H$4:$H$40,"&gt;="&amp;M1392),'FIRE TEX 5120'!$H$4:$M$40,IF(L1392="F-15",2,IF(L1392="F-30",3,IF(L1392="F-60",4,IF(L1392="F-90",5,IF(L1392="F-120",6,0))))),0),0)+IF(AND(O1392="FIRE TEX 5120",E1392="CJ"),VLOOKUP(_xlfn.MINIFS('FIRE TEX 5120'!$O$5:$O$40,'FIRE TEX 5120'!$O$5:$O$40,"&gt;="&amp;M1392),'FIRE TEX 5120'!$O$5:$T$40,IF(L1392="F-15",2,IF(L1392="F-30",3,IF(L1392="F-60",4,IF(L1392="F-90",5,IF(L1392="F-120",6,0))))),0),0)</f>
        <v>0</v>
      </c>
      <c r="Q1392" s="46">
        <f t="shared" si="129"/>
        <v>0</v>
      </c>
      <c r="R1392" s="46">
        <f t="shared" si="130"/>
        <v>0</v>
      </c>
      <c r="S1392" s="46" t="e">
        <f t="shared" si="131"/>
        <v>#VALUE!</v>
      </c>
      <c r="T1392" s="677">
        <f t="shared" si="132"/>
        <v>0</v>
      </c>
      <c r="U1392" s="80">
        <f>(IF(O1392="Stofire",(S1392*#REF!),0))+(IF(O1392="Fire Control",(S1392*$U$2),0))+(IF(O1392="Fire Tex",(S1392*$U$3),0))+(IF(O1392="WB7",(S1392*#REF!),0)+(IF(O1392="FX 2003",(S1392*$U$5),0)))</f>
        <v>0</v>
      </c>
      <c r="V1392" s="651">
        <f t="shared" si="133"/>
        <v>0</v>
      </c>
    </row>
    <row r="1393" spans="4:22" x14ac:dyDescent="0.25">
      <c r="D1393" s="118">
        <f>+CUBICACION!D1392</f>
        <v>0</v>
      </c>
      <c r="E1393" s="118">
        <f>+CUBICACION!F1392</f>
        <v>0</v>
      </c>
      <c r="F1393" s="118">
        <f>+CUBICACION!E1392</f>
        <v>0</v>
      </c>
      <c r="G1393" s="118">
        <v>12</v>
      </c>
      <c r="H1393" s="118">
        <v>2</v>
      </c>
      <c r="I1393" s="820">
        <v>26385</v>
      </c>
      <c r="J1393" s="118">
        <f>+CUBICACION!J1392</f>
        <v>0</v>
      </c>
      <c r="K1393" s="118">
        <v>4172</v>
      </c>
      <c r="L1393" s="118">
        <f>+CUBICACION!L1392</f>
        <v>0</v>
      </c>
      <c r="M1393" s="64">
        <f>+CUBICACION!M1392</f>
        <v>0</v>
      </c>
      <c r="N1393" s="824" t="str">
        <f>+CUBICACION!N1392</f>
        <v/>
      </c>
      <c r="O1393" s="675">
        <f>+CUBICACION!O1392</f>
        <v>0</v>
      </c>
      <c r="P1393" s="15">
        <f>IF(O1393="Fire Control",VLOOKUP(_xlfn.MINIFS('FIRE CONTROL'!$C$4:$C$37,'FIRE CONTROL'!$C$4:$C$37,"&gt;="&amp;M1393),'FIRE CONTROL'!$C$4:$G$37,IF(L1393="F-15",2,IF(L1393="F-30",3,IF(L1393="F-60",4,IF(L1393="F-90",5,0)))),0),0)+IF(AND(O1393="FIRE TEX 5062",OR(E1393="IN",E1393="C",E1393="Z",E1393="L"),J1393=3),VLOOKUP(_xlfn.MINIFS('FIRE TEX 5062'!$B$4:$B$34,'FIRE TEX 5062'!$B$4:$B$34,"&gt;="&amp;M1393),'FIRE TEX 5062'!$B$4:$F$34,IF(L1393="F-15",2,IF(L1393="F-30",3,IF(L1393="F-60",4,IF(L1393="F-90",5,0)))),0),0)+IF(AND(O1393="FIRE TEX 5062",OR(E1393="IN",E1393="C",E1393="Z",E1393="L"),J1393=4),VLOOKUP(_xlfn.MINIFS('FIRE TEX 5062'!$G$4:$G$34,'FIRE TEX 5062'!$G$4:$G$34,"&gt;="&amp;M1393),'FIRE TEX 5062'!$G$4:$K$34,IF(L1393="F-15",2,IF(L1393="F-30",3,IF(L1393="F-60",4,IF(L1393="F-90",5,0)))),0),0)+IF(AND(O1393="FIRE TEX 5062",E1393="CJ",J1393=3),VLOOKUP(_xlfn.MINIFS('FIRE TEX 5062'!$L$4:$L$34,'FIRE TEX 5062'!$L$4:$L$34,"&gt;="&amp;M1393),'FIRE TEX 5062'!$L$4:$P$34,IF(L1393="F-15",2,IF(L1393="F-30",3,IF(L1393="F-60",4,IF(L1393="F-90",5,0)))),0),0)+IF(AND(O1393="FIRE TEX 5062",E1393="CJ",J1393=4),VLOOKUP(_xlfn.MINIFS('FIRE TEX 5062'!$Q$3:$Q$34,'FIRE TEX 5062'!$Q$3:$Q$34,"&gt;="&amp;M1393),'FIRE TEX 5062'!$Q$3:$U$34,IF(L1393="F-15",2,IF(L1393="F-30",3,IF(L1393="F-60",4,IF(L1393="F-90",5,0)))),0),0)+IF(AND(O1393="FIRE TEX 5090",OR(E1393="IN",E1393="C",E1393="Z",E1393="L"),J1393=3),VLOOKUP(_xlfn.MINIFS('FIRE TEX 5090'!$B$5:$B$43,'FIRE TEX 5090'!$B$5:$B$43,"&gt;="&amp;M1393),'FIRE TEX 5090'!$B$5:$H$43,IF(L1393="F-15",2,IF(L1393="F-30",3,IF(L1393="F-60",4,IF(L1393="F-90",5,IF(L1393="F-120",6,IF(L1393="F-150",7,0)))))),0),0)+IF(AND(O1393="FIRE TEX 5090",OR(E1393="IN",E1393="C",E1393="Z",E1393="L"),J1393=4),VLOOKUP(_xlfn.MINIFS('FIRE TEX 5090'!$J$5:$J$43,'FIRE TEX 5090'!$J$5:$J$43,"&gt;="&amp;M1393),'FIRE TEX 5090'!$J$5:$P$43,IF(L1393="F-15",2,IF(L1393="F-30",3,IF(L1393="F-60",4,IF(L1393="F-90",5,IF(L1393="F-120",6,IF(L1393="F-150",7,0)))))),0),0)+IF(AND(O1393="FIRE TEX 5090",E1393="CJ",J1393=3),VLOOKUP(_xlfn.MINIFS('FIRE TEX 5090'!$R$5:$R$30,'FIRE TEX 5090'!$R$5:$R$30,"&gt;="&amp;M1393),'FIRE TEX 5090'!$R$5:$W$30,IF(L1393="F-15",2,IF(L1393="F-30",3,IF(L1393="F-60",4,IF(L1393="F-90",5,IF(L1393="F-120",6,IF(L1393="F-150",7,0)))))),0),0)+IF(AND(O1393="FIRE TEX 5090",E1393="CJ",J1393=4),VLOOKUP(_xlfn.MINIFS('FIRE TEX 5090'!$Y$5:$Y$39,'FIRE TEX 5090'!$Y$5:$Y$39,"&gt;="&amp;M1393),'FIRE TEX 5090'!$Y$5:$AD$39,IF(L1393="F-15",2,IF(L1393="F-30",3,IF(L1393="F-60",4,IF(L1393="F-90",5,IF(L1393="F-120",6,IF(L1393="F-150",7,0)))))),0),0)+IF(AND(O1393="FIRE TEX 5120",OR(E1393="IN",E1393="C",E1393="Z",E1393="L"),J1393=3),VLOOKUP(_xlfn.MINIFS('FIRE TEX 5120'!$B$5:$B$40,'FIRE TEX 5120'!$B$5:$B$40,"&gt;="&amp;M1393),'FIRE TEX 5120'!$B$5:$G$40,IF(L1393="F-15",2,IF(L1393="F-30",3,IF(L1393="F-60",4,IF(L1393="F-90",5,IF(L1393="F-120",6,0))))),0),0)+IF(AND(O1393="FIRE TEX 5120",OR(E1393="IN",E1393="C",E1393="Z",E1393="L"),J1393=4),VLOOKUP(_xlfn.MINIFS('FIRE TEX 5120'!$H$4:$H$40,'FIRE TEX 5120'!$H$4:$H$40,"&gt;="&amp;M1393),'FIRE TEX 5120'!$H$4:$M$40,IF(L1393="F-15",2,IF(L1393="F-30",3,IF(L1393="F-60",4,IF(L1393="F-90",5,IF(L1393="F-120",6,0))))),0),0)+IF(AND(O1393="FIRE TEX 5120",E1393="CJ"),VLOOKUP(_xlfn.MINIFS('FIRE TEX 5120'!$O$5:$O$40,'FIRE TEX 5120'!$O$5:$O$40,"&gt;="&amp;M1393),'FIRE TEX 5120'!$O$5:$T$40,IF(L1393="F-15",2,IF(L1393="F-30",3,IF(L1393="F-60",4,IF(L1393="F-90",5,IF(L1393="F-120",6,0))))),0),0)</f>
        <v>0</v>
      </c>
      <c r="Q1393" s="46">
        <f t="shared" si="129"/>
        <v>0</v>
      </c>
      <c r="R1393" s="46">
        <f t="shared" si="130"/>
        <v>0</v>
      </c>
      <c r="S1393" s="46" t="e">
        <f t="shared" si="131"/>
        <v>#VALUE!</v>
      </c>
      <c r="T1393" s="677">
        <f t="shared" si="132"/>
        <v>0</v>
      </c>
      <c r="U1393" s="80">
        <f>(IF(O1393="Stofire",(S1393*#REF!),0))+(IF(O1393="Fire Control",(S1393*$U$2),0))+(IF(O1393="Fire Tex",(S1393*$U$3),0))+(IF(O1393="WB7",(S1393*#REF!),0)+(IF(O1393="FX 2003",(S1393*$U$5),0)))</f>
        <v>0</v>
      </c>
      <c r="V1393" s="651">
        <f t="shared" si="133"/>
        <v>0</v>
      </c>
    </row>
    <row r="1394" spans="4:22" x14ac:dyDescent="0.25">
      <c r="D1394" s="118">
        <f>+CUBICACION!D1393</f>
        <v>0</v>
      </c>
      <c r="E1394" s="118">
        <f>+CUBICACION!F1393</f>
        <v>0</v>
      </c>
      <c r="F1394" s="118">
        <f>+CUBICACION!E1393</f>
        <v>0</v>
      </c>
      <c r="G1394" s="118">
        <v>12</v>
      </c>
      <c r="H1394" s="118">
        <v>2</v>
      </c>
      <c r="I1394" s="820">
        <v>26385</v>
      </c>
      <c r="J1394" s="118">
        <f>+CUBICACION!J1393</f>
        <v>0</v>
      </c>
      <c r="K1394" s="118">
        <v>4173</v>
      </c>
      <c r="L1394" s="118">
        <f>+CUBICACION!L1393</f>
        <v>0</v>
      </c>
      <c r="M1394" s="64">
        <f>+CUBICACION!M1393</f>
        <v>0</v>
      </c>
      <c r="N1394" s="824" t="str">
        <f>+CUBICACION!N1393</f>
        <v/>
      </c>
      <c r="O1394" s="675">
        <f>+CUBICACION!O1393</f>
        <v>0</v>
      </c>
      <c r="P1394" s="15">
        <f>IF(O1394="Fire Control",VLOOKUP(_xlfn.MINIFS('FIRE CONTROL'!$C$4:$C$37,'FIRE CONTROL'!$C$4:$C$37,"&gt;="&amp;M1394),'FIRE CONTROL'!$C$4:$G$37,IF(L1394="F-15",2,IF(L1394="F-30",3,IF(L1394="F-60",4,IF(L1394="F-90",5,0)))),0),0)+IF(AND(O1394="FIRE TEX 5062",OR(E1394="IN",E1394="C",E1394="Z",E1394="L"),J1394=3),VLOOKUP(_xlfn.MINIFS('FIRE TEX 5062'!$B$4:$B$34,'FIRE TEX 5062'!$B$4:$B$34,"&gt;="&amp;M1394),'FIRE TEX 5062'!$B$4:$F$34,IF(L1394="F-15",2,IF(L1394="F-30",3,IF(L1394="F-60",4,IF(L1394="F-90",5,0)))),0),0)+IF(AND(O1394="FIRE TEX 5062",OR(E1394="IN",E1394="C",E1394="Z",E1394="L"),J1394=4),VLOOKUP(_xlfn.MINIFS('FIRE TEX 5062'!$G$4:$G$34,'FIRE TEX 5062'!$G$4:$G$34,"&gt;="&amp;M1394),'FIRE TEX 5062'!$G$4:$K$34,IF(L1394="F-15",2,IF(L1394="F-30",3,IF(L1394="F-60",4,IF(L1394="F-90",5,0)))),0),0)+IF(AND(O1394="FIRE TEX 5062",E1394="CJ",J1394=3),VLOOKUP(_xlfn.MINIFS('FIRE TEX 5062'!$L$4:$L$34,'FIRE TEX 5062'!$L$4:$L$34,"&gt;="&amp;M1394),'FIRE TEX 5062'!$L$4:$P$34,IF(L1394="F-15",2,IF(L1394="F-30",3,IF(L1394="F-60",4,IF(L1394="F-90",5,0)))),0),0)+IF(AND(O1394="FIRE TEX 5062",E1394="CJ",J1394=4),VLOOKUP(_xlfn.MINIFS('FIRE TEX 5062'!$Q$3:$Q$34,'FIRE TEX 5062'!$Q$3:$Q$34,"&gt;="&amp;M1394),'FIRE TEX 5062'!$Q$3:$U$34,IF(L1394="F-15",2,IF(L1394="F-30",3,IF(L1394="F-60",4,IF(L1394="F-90",5,0)))),0),0)+IF(AND(O1394="FIRE TEX 5090",OR(E1394="IN",E1394="C",E1394="Z",E1394="L"),J1394=3),VLOOKUP(_xlfn.MINIFS('FIRE TEX 5090'!$B$5:$B$43,'FIRE TEX 5090'!$B$5:$B$43,"&gt;="&amp;M1394),'FIRE TEX 5090'!$B$5:$H$43,IF(L1394="F-15",2,IF(L1394="F-30",3,IF(L1394="F-60",4,IF(L1394="F-90",5,IF(L1394="F-120",6,IF(L1394="F-150",7,0)))))),0),0)+IF(AND(O1394="FIRE TEX 5090",OR(E1394="IN",E1394="C",E1394="Z",E1394="L"),J1394=4),VLOOKUP(_xlfn.MINIFS('FIRE TEX 5090'!$J$5:$J$43,'FIRE TEX 5090'!$J$5:$J$43,"&gt;="&amp;M1394),'FIRE TEX 5090'!$J$5:$P$43,IF(L1394="F-15",2,IF(L1394="F-30",3,IF(L1394="F-60",4,IF(L1394="F-90",5,IF(L1394="F-120",6,IF(L1394="F-150",7,0)))))),0),0)+IF(AND(O1394="FIRE TEX 5090",E1394="CJ",J1394=3),VLOOKUP(_xlfn.MINIFS('FIRE TEX 5090'!$R$5:$R$30,'FIRE TEX 5090'!$R$5:$R$30,"&gt;="&amp;M1394),'FIRE TEX 5090'!$R$5:$W$30,IF(L1394="F-15",2,IF(L1394="F-30",3,IF(L1394="F-60",4,IF(L1394="F-90",5,IF(L1394="F-120",6,IF(L1394="F-150",7,0)))))),0),0)+IF(AND(O1394="FIRE TEX 5090",E1394="CJ",J1394=4),VLOOKUP(_xlfn.MINIFS('FIRE TEX 5090'!$Y$5:$Y$39,'FIRE TEX 5090'!$Y$5:$Y$39,"&gt;="&amp;M1394),'FIRE TEX 5090'!$Y$5:$AD$39,IF(L1394="F-15",2,IF(L1394="F-30",3,IF(L1394="F-60",4,IF(L1394="F-90",5,IF(L1394="F-120",6,IF(L1394="F-150",7,0)))))),0),0)+IF(AND(O1394="FIRE TEX 5120",OR(E1394="IN",E1394="C",E1394="Z",E1394="L"),J1394=3),VLOOKUP(_xlfn.MINIFS('FIRE TEX 5120'!$B$5:$B$40,'FIRE TEX 5120'!$B$5:$B$40,"&gt;="&amp;M1394),'FIRE TEX 5120'!$B$5:$G$40,IF(L1394="F-15",2,IF(L1394="F-30",3,IF(L1394="F-60",4,IF(L1394="F-90",5,IF(L1394="F-120",6,0))))),0),0)+IF(AND(O1394="FIRE TEX 5120",OR(E1394="IN",E1394="C",E1394="Z",E1394="L"),J1394=4),VLOOKUP(_xlfn.MINIFS('FIRE TEX 5120'!$H$4:$H$40,'FIRE TEX 5120'!$H$4:$H$40,"&gt;="&amp;M1394),'FIRE TEX 5120'!$H$4:$M$40,IF(L1394="F-15",2,IF(L1394="F-30",3,IF(L1394="F-60",4,IF(L1394="F-90",5,IF(L1394="F-120",6,0))))),0),0)+IF(AND(O1394="FIRE TEX 5120",E1394="CJ"),VLOOKUP(_xlfn.MINIFS('FIRE TEX 5120'!$O$5:$O$40,'FIRE TEX 5120'!$O$5:$O$40,"&gt;="&amp;M1394),'FIRE TEX 5120'!$O$5:$T$40,IF(L1394="F-15",2,IF(L1394="F-30",3,IF(L1394="F-60",4,IF(L1394="F-90",5,IF(L1394="F-120",6,0))))),0),0)</f>
        <v>0</v>
      </c>
      <c r="Q1394" s="46">
        <f t="shared" si="129"/>
        <v>0</v>
      </c>
      <c r="R1394" s="46">
        <f t="shared" si="130"/>
        <v>0</v>
      </c>
      <c r="S1394" s="46" t="e">
        <f t="shared" si="131"/>
        <v>#VALUE!</v>
      </c>
      <c r="T1394" s="677">
        <f t="shared" si="132"/>
        <v>0</v>
      </c>
      <c r="U1394" s="80">
        <f>(IF(O1394="Stofire",(S1394*#REF!),0))+(IF(O1394="Fire Control",(S1394*$U$2),0))+(IF(O1394="Fire Tex",(S1394*$U$3),0))+(IF(O1394="WB7",(S1394*#REF!),0)+(IF(O1394="FX 2003",(S1394*$U$5),0)))</f>
        <v>0</v>
      </c>
      <c r="V1394" s="651">
        <f t="shared" si="133"/>
        <v>0</v>
      </c>
    </row>
    <row r="1395" spans="4:22" x14ac:dyDescent="0.25">
      <c r="D1395" s="118">
        <f>+CUBICACION!D1394</f>
        <v>0</v>
      </c>
      <c r="E1395" s="118">
        <f>+CUBICACION!F1394</f>
        <v>0</v>
      </c>
      <c r="F1395" s="118">
        <f>+CUBICACION!E1394</f>
        <v>0</v>
      </c>
      <c r="G1395" s="118">
        <v>12</v>
      </c>
      <c r="H1395" s="118">
        <v>2</v>
      </c>
      <c r="I1395" s="820">
        <v>26385</v>
      </c>
      <c r="J1395" s="118">
        <f>+CUBICACION!J1394</f>
        <v>0</v>
      </c>
      <c r="K1395" s="118">
        <v>4174</v>
      </c>
      <c r="L1395" s="118">
        <f>+CUBICACION!L1394</f>
        <v>0</v>
      </c>
      <c r="M1395" s="64">
        <f>+CUBICACION!M1394</f>
        <v>0</v>
      </c>
      <c r="N1395" s="824" t="str">
        <f>+CUBICACION!N1394</f>
        <v/>
      </c>
      <c r="O1395" s="675">
        <f>+CUBICACION!O1394</f>
        <v>0</v>
      </c>
      <c r="P1395" s="15">
        <f>IF(O1395="Fire Control",VLOOKUP(_xlfn.MINIFS('FIRE CONTROL'!$C$4:$C$37,'FIRE CONTROL'!$C$4:$C$37,"&gt;="&amp;M1395),'FIRE CONTROL'!$C$4:$G$37,IF(L1395="F-15",2,IF(L1395="F-30",3,IF(L1395="F-60",4,IF(L1395="F-90",5,0)))),0),0)+IF(AND(O1395="FIRE TEX 5062",OR(E1395="IN",E1395="C",E1395="Z",E1395="L"),J1395=3),VLOOKUP(_xlfn.MINIFS('FIRE TEX 5062'!$B$4:$B$34,'FIRE TEX 5062'!$B$4:$B$34,"&gt;="&amp;M1395),'FIRE TEX 5062'!$B$4:$F$34,IF(L1395="F-15",2,IF(L1395="F-30",3,IF(L1395="F-60",4,IF(L1395="F-90",5,0)))),0),0)+IF(AND(O1395="FIRE TEX 5062",OR(E1395="IN",E1395="C",E1395="Z",E1395="L"),J1395=4),VLOOKUP(_xlfn.MINIFS('FIRE TEX 5062'!$G$4:$G$34,'FIRE TEX 5062'!$G$4:$G$34,"&gt;="&amp;M1395),'FIRE TEX 5062'!$G$4:$K$34,IF(L1395="F-15",2,IF(L1395="F-30",3,IF(L1395="F-60",4,IF(L1395="F-90",5,0)))),0),0)+IF(AND(O1395="FIRE TEX 5062",E1395="CJ",J1395=3),VLOOKUP(_xlfn.MINIFS('FIRE TEX 5062'!$L$4:$L$34,'FIRE TEX 5062'!$L$4:$L$34,"&gt;="&amp;M1395),'FIRE TEX 5062'!$L$4:$P$34,IF(L1395="F-15",2,IF(L1395="F-30",3,IF(L1395="F-60",4,IF(L1395="F-90",5,0)))),0),0)+IF(AND(O1395="FIRE TEX 5062",E1395="CJ",J1395=4),VLOOKUP(_xlfn.MINIFS('FIRE TEX 5062'!$Q$3:$Q$34,'FIRE TEX 5062'!$Q$3:$Q$34,"&gt;="&amp;M1395),'FIRE TEX 5062'!$Q$3:$U$34,IF(L1395="F-15",2,IF(L1395="F-30",3,IF(L1395="F-60",4,IF(L1395="F-90",5,0)))),0),0)+IF(AND(O1395="FIRE TEX 5090",OR(E1395="IN",E1395="C",E1395="Z",E1395="L"),J1395=3),VLOOKUP(_xlfn.MINIFS('FIRE TEX 5090'!$B$5:$B$43,'FIRE TEX 5090'!$B$5:$B$43,"&gt;="&amp;M1395),'FIRE TEX 5090'!$B$5:$H$43,IF(L1395="F-15",2,IF(L1395="F-30",3,IF(L1395="F-60",4,IF(L1395="F-90",5,IF(L1395="F-120",6,IF(L1395="F-150",7,0)))))),0),0)+IF(AND(O1395="FIRE TEX 5090",OR(E1395="IN",E1395="C",E1395="Z",E1395="L"),J1395=4),VLOOKUP(_xlfn.MINIFS('FIRE TEX 5090'!$J$5:$J$43,'FIRE TEX 5090'!$J$5:$J$43,"&gt;="&amp;M1395),'FIRE TEX 5090'!$J$5:$P$43,IF(L1395="F-15",2,IF(L1395="F-30",3,IF(L1395="F-60",4,IF(L1395="F-90",5,IF(L1395="F-120",6,IF(L1395="F-150",7,0)))))),0),0)+IF(AND(O1395="FIRE TEX 5090",E1395="CJ",J1395=3),VLOOKUP(_xlfn.MINIFS('FIRE TEX 5090'!$R$5:$R$30,'FIRE TEX 5090'!$R$5:$R$30,"&gt;="&amp;M1395),'FIRE TEX 5090'!$R$5:$W$30,IF(L1395="F-15",2,IF(L1395="F-30",3,IF(L1395="F-60",4,IF(L1395="F-90",5,IF(L1395="F-120",6,IF(L1395="F-150",7,0)))))),0),0)+IF(AND(O1395="FIRE TEX 5090",E1395="CJ",J1395=4),VLOOKUP(_xlfn.MINIFS('FIRE TEX 5090'!$Y$5:$Y$39,'FIRE TEX 5090'!$Y$5:$Y$39,"&gt;="&amp;M1395),'FIRE TEX 5090'!$Y$5:$AD$39,IF(L1395="F-15",2,IF(L1395="F-30",3,IF(L1395="F-60",4,IF(L1395="F-90",5,IF(L1395="F-120",6,IF(L1395="F-150",7,0)))))),0),0)+IF(AND(O1395="FIRE TEX 5120",OR(E1395="IN",E1395="C",E1395="Z",E1395="L"),J1395=3),VLOOKUP(_xlfn.MINIFS('FIRE TEX 5120'!$B$5:$B$40,'FIRE TEX 5120'!$B$5:$B$40,"&gt;="&amp;M1395),'FIRE TEX 5120'!$B$5:$G$40,IF(L1395="F-15",2,IF(L1395="F-30",3,IF(L1395="F-60",4,IF(L1395="F-90",5,IF(L1395="F-120",6,0))))),0),0)+IF(AND(O1395="FIRE TEX 5120",OR(E1395="IN",E1395="C",E1395="Z",E1395="L"),J1395=4),VLOOKUP(_xlfn.MINIFS('FIRE TEX 5120'!$H$4:$H$40,'FIRE TEX 5120'!$H$4:$H$40,"&gt;="&amp;M1395),'FIRE TEX 5120'!$H$4:$M$40,IF(L1395="F-15",2,IF(L1395="F-30",3,IF(L1395="F-60",4,IF(L1395="F-90",5,IF(L1395="F-120",6,0))))),0),0)+IF(AND(O1395="FIRE TEX 5120",E1395="CJ"),VLOOKUP(_xlfn.MINIFS('FIRE TEX 5120'!$O$5:$O$40,'FIRE TEX 5120'!$O$5:$O$40,"&gt;="&amp;M1395),'FIRE TEX 5120'!$O$5:$T$40,IF(L1395="F-15",2,IF(L1395="F-30",3,IF(L1395="F-60",4,IF(L1395="F-90",5,IF(L1395="F-120",6,0))))),0),0)</f>
        <v>0</v>
      </c>
      <c r="Q1395" s="46">
        <f t="shared" si="129"/>
        <v>0</v>
      </c>
      <c r="R1395" s="46">
        <f t="shared" si="130"/>
        <v>0</v>
      </c>
      <c r="S1395" s="46" t="e">
        <f t="shared" si="131"/>
        <v>#VALUE!</v>
      </c>
      <c r="T1395" s="677">
        <f t="shared" si="132"/>
        <v>0</v>
      </c>
      <c r="U1395" s="80">
        <f>(IF(O1395="Stofire",(S1395*#REF!),0))+(IF(O1395="Fire Control",(S1395*$U$2),0))+(IF(O1395="Fire Tex",(S1395*$U$3),0))+(IF(O1395="WB7",(S1395*#REF!),0)+(IF(O1395="FX 2003",(S1395*$U$5),0)))</f>
        <v>0</v>
      </c>
      <c r="V1395" s="651">
        <f t="shared" si="133"/>
        <v>0</v>
      </c>
    </row>
    <row r="1396" spans="4:22" x14ac:dyDescent="0.25">
      <c r="D1396" s="118">
        <f>+CUBICACION!D1395</f>
        <v>0</v>
      </c>
      <c r="E1396" s="118">
        <f>+CUBICACION!F1395</f>
        <v>0</v>
      </c>
      <c r="F1396" s="118">
        <f>+CUBICACION!E1395</f>
        <v>0</v>
      </c>
      <c r="G1396" s="118">
        <v>12</v>
      </c>
      <c r="H1396" s="118">
        <v>2</v>
      </c>
      <c r="I1396" s="820">
        <v>26385</v>
      </c>
      <c r="J1396" s="118">
        <f>+CUBICACION!J1395</f>
        <v>0</v>
      </c>
      <c r="K1396" s="118">
        <v>4175</v>
      </c>
      <c r="L1396" s="118">
        <f>+CUBICACION!L1395</f>
        <v>0</v>
      </c>
      <c r="M1396" s="64">
        <f>+CUBICACION!M1395</f>
        <v>0</v>
      </c>
      <c r="N1396" s="824" t="str">
        <f>+CUBICACION!N1395</f>
        <v/>
      </c>
      <c r="O1396" s="675">
        <f>+CUBICACION!O1395</f>
        <v>0</v>
      </c>
      <c r="P1396" s="15">
        <f>IF(O1396="Fire Control",VLOOKUP(_xlfn.MINIFS('FIRE CONTROL'!$C$4:$C$37,'FIRE CONTROL'!$C$4:$C$37,"&gt;="&amp;M1396),'FIRE CONTROL'!$C$4:$G$37,IF(L1396="F-15",2,IF(L1396="F-30",3,IF(L1396="F-60",4,IF(L1396="F-90",5,0)))),0),0)+IF(AND(O1396="FIRE TEX 5062",OR(E1396="IN",E1396="C",E1396="Z",E1396="L"),J1396=3),VLOOKUP(_xlfn.MINIFS('FIRE TEX 5062'!$B$4:$B$34,'FIRE TEX 5062'!$B$4:$B$34,"&gt;="&amp;M1396),'FIRE TEX 5062'!$B$4:$F$34,IF(L1396="F-15",2,IF(L1396="F-30",3,IF(L1396="F-60",4,IF(L1396="F-90",5,0)))),0),0)+IF(AND(O1396="FIRE TEX 5062",OR(E1396="IN",E1396="C",E1396="Z",E1396="L"),J1396=4),VLOOKUP(_xlfn.MINIFS('FIRE TEX 5062'!$G$4:$G$34,'FIRE TEX 5062'!$G$4:$G$34,"&gt;="&amp;M1396),'FIRE TEX 5062'!$G$4:$K$34,IF(L1396="F-15",2,IF(L1396="F-30",3,IF(L1396="F-60",4,IF(L1396="F-90",5,0)))),0),0)+IF(AND(O1396="FIRE TEX 5062",E1396="CJ",J1396=3),VLOOKUP(_xlfn.MINIFS('FIRE TEX 5062'!$L$4:$L$34,'FIRE TEX 5062'!$L$4:$L$34,"&gt;="&amp;M1396),'FIRE TEX 5062'!$L$4:$P$34,IF(L1396="F-15",2,IF(L1396="F-30",3,IF(L1396="F-60",4,IF(L1396="F-90",5,0)))),0),0)+IF(AND(O1396="FIRE TEX 5062",E1396="CJ",J1396=4),VLOOKUP(_xlfn.MINIFS('FIRE TEX 5062'!$Q$3:$Q$34,'FIRE TEX 5062'!$Q$3:$Q$34,"&gt;="&amp;M1396),'FIRE TEX 5062'!$Q$3:$U$34,IF(L1396="F-15",2,IF(L1396="F-30",3,IF(L1396="F-60",4,IF(L1396="F-90",5,0)))),0),0)+IF(AND(O1396="FIRE TEX 5090",OR(E1396="IN",E1396="C",E1396="Z",E1396="L"),J1396=3),VLOOKUP(_xlfn.MINIFS('FIRE TEX 5090'!$B$5:$B$43,'FIRE TEX 5090'!$B$5:$B$43,"&gt;="&amp;M1396),'FIRE TEX 5090'!$B$5:$H$43,IF(L1396="F-15",2,IF(L1396="F-30",3,IF(L1396="F-60",4,IF(L1396="F-90",5,IF(L1396="F-120",6,IF(L1396="F-150",7,0)))))),0),0)+IF(AND(O1396="FIRE TEX 5090",OR(E1396="IN",E1396="C",E1396="Z",E1396="L"),J1396=4),VLOOKUP(_xlfn.MINIFS('FIRE TEX 5090'!$J$5:$J$43,'FIRE TEX 5090'!$J$5:$J$43,"&gt;="&amp;M1396),'FIRE TEX 5090'!$J$5:$P$43,IF(L1396="F-15",2,IF(L1396="F-30",3,IF(L1396="F-60",4,IF(L1396="F-90",5,IF(L1396="F-120",6,IF(L1396="F-150",7,0)))))),0),0)+IF(AND(O1396="FIRE TEX 5090",E1396="CJ",J1396=3),VLOOKUP(_xlfn.MINIFS('FIRE TEX 5090'!$R$5:$R$30,'FIRE TEX 5090'!$R$5:$R$30,"&gt;="&amp;M1396),'FIRE TEX 5090'!$R$5:$W$30,IF(L1396="F-15",2,IF(L1396="F-30",3,IF(L1396="F-60",4,IF(L1396="F-90",5,IF(L1396="F-120",6,IF(L1396="F-150",7,0)))))),0),0)+IF(AND(O1396="FIRE TEX 5090",E1396="CJ",J1396=4),VLOOKUP(_xlfn.MINIFS('FIRE TEX 5090'!$Y$5:$Y$39,'FIRE TEX 5090'!$Y$5:$Y$39,"&gt;="&amp;M1396),'FIRE TEX 5090'!$Y$5:$AD$39,IF(L1396="F-15",2,IF(L1396="F-30",3,IF(L1396="F-60",4,IF(L1396="F-90",5,IF(L1396="F-120",6,IF(L1396="F-150",7,0)))))),0),0)+IF(AND(O1396="FIRE TEX 5120",OR(E1396="IN",E1396="C",E1396="Z",E1396="L"),J1396=3),VLOOKUP(_xlfn.MINIFS('FIRE TEX 5120'!$B$5:$B$40,'FIRE TEX 5120'!$B$5:$B$40,"&gt;="&amp;M1396),'FIRE TEX 5120'!$B$5:$G$40,IF(L1396="F-15",2,IF(L1396="F-30",3,IF(L1396="F-60",4,IF(L1396="F-90",5,IF(L1396="F-120",6,0))))),0),0)+IF(AND(O1396="FIRE TEX 5120",OR(E1396="IN",E1396="C",E1396="Z",E1396="L"),J1396=4),VLOOKUP(_xlfn.MINIFS('FIRE TEX 5120'!$H$4:$H$40,'FIRE TEX 5120'!$H$4:$H$40,"&gt;="&amp;M1396),'FIRE TEX 5120'!$H$4:$M$40,IF(L1396="F-15",2,IF(L1396="F-30",3,IF(L1396="F-60",4,IF(L1396="F-90",5,IF(L1396="F-120",6,0))))),0),0)+IF(AND(O1396="FIRE TEX 5120",E1396="CJ"),VLOOKUP(_xlfn.MINIFS('FIRE TEX 5120'!$O$5:$O$40,'FIRE TEX 5120'!$O$5:$O$40,"&gt;="&amp;M1396),'FIRE TEX 5120'!$O$5:$T$40,IF(L1396="F-15",2,IF(L1396="F-30",3,IF(L1396="F-60",4,IF(L1396="F-90",5,IF(L1396="F-120",6,0))))),0),0)</f>
        <v>0</v>
      </c>
      <c r="Q1396" s="46">
        <f t="shared" si="129"/>
        <v>0</v>
      </c>
      <c r="R1396" s="46">
        <f t="shared" si="130"/>
        <v>0</v>
      </c>
      <c r="S1396" s="46" t="e">
        <f t="shared" si="131"/>
        <v>#VALUE!</v>
      </c>
      <c r="T1396" s="677">
        <f t="shared" si="132"/>
        <v>0</v>
      </c>
      <c r="U1396" s="80">
        <f>(IF(O1396="Stofire",(S1396*#REF!),0))+(IF(O1396="Fire Control",(S1396*$U$2),0))+(IF(O1396="Fire Tex",(S1396*$U$3),0))+(IF(O1396="WB7",(S1396*#REF!),0)+(IF(O1396="FX 2003",(S1396*$U$5),0)))</f>
        <v>0</v>
      </c>
      <c r="V1396" s="651">
        <f t="shared" si="133"/>
        <v>0</v>
      </c>
    </row>
    <row r="1397" spans="4:22" x14ac:dyDescent="0.25">
      <c r="D1397" s="118">
        <f>+CUBICACION!D1396</f>
        <v>0</v>
      </c>
      <c r="E1397" s="118">
        <f>+CUBICACION!F1396</f>
        <v>0</v>
      </c>
      <c r="F1397" s="118">
        <f>+CUBICACION!E1396</f>
        <v>0</v>
      </c>
      <c r="G1397" s="118">
        <v>12</v>
      </c>
      <c r="H1397" s="118">
        <v>2</v>
      </c>
      <c r="I1397" s="820">
        <v>26385</v>
      </c>
      <c r="J1397" s="118">
        <f>+CUBICACION!J1396</f>
        <v>0</v>
      </c>
      <c r="K1397" s="118">
        <v>4176</v>
      </c>
      <c r="L1397" s="118">
        <f>+CUBICACION!L1396</f>
        <v>0</v>
      </c>
      <c r="M1397" s="64">
        <f>+CUBICACION!M1396</f>
        <v>0</v>
      </c>
      <c r="N1397" s="824" t="str">
        <f>+CUBICACION!N1396</f>
        <v/>
      </c>
      <c r="O1397" s="675">
        <f>+CUBICACION!O1396</f>
        <v>0</v>
      </c>
      <c r="P1397" s="15">
        <f>IF(O1397="Fire Control",VLOOKUP(_xlfn.MINIFS('FIRE CONTROL'!$C$4:$C$37,'FIRE CONTROL'!$C$4:$C$37,"&gt;="&amp;M1397),'FIRE CONTROL'!$C$4:$G$37,IF(L1397="F-15",2,IF(L1397="F-30",3,IF(L1397="F-60",4,IF(L1397="F-90",5,0)))),0),0)+IF(AND(O1397="FIRE TEX 5062",OR(E1397="IN",E1397="C",E1397="Z",E1397="L"),J1397=3),VLOOKUP(_xlfn.MINIFS('FIRE TEX 5062'!$B$4:$B$34,'FIRE TEX 5062'!$B$4:$B$34,"&gt;="&amp;M1397),'FIRE TEX 5062'!$B$4:$F$34,IF(L1397="F-15",2,IF(L1397="F-30",3,IF(L1397="F-60",4,IF(L1397="F-90",5,0)))),0),0)+IF(AND(O1397="FIRE TEX 5062",OR(E1397="IN",E1397="C",E1397="Z",E1397="L"),J1397=4),VLOOKUP(_xlfn.MINIFS('FIRE TEX 5062'!$G$4:$G$34,'FIRE TEX 5062'!$G$4:$G$34,"&gt;="&amp;M1397),'FIRE TEX 5062'!$G$4:$K$34,IF(L1397="F-15",2,IF(L1397="F-30",3,IF(L1397="F-60",4,IF(L1397="F-90",5,0)))),0),0)+IF(AND(O1397="FIRE TEX 5062",E1397="CJ",J1397=3),VLOOKUP(_xlfn.MINIFS('FIRE TEX 5062'!$L$4:$L$34,'FIRE TEX 5062'!$L$4:$L$34,"&gt;="&amp;M1397),'FIRE TEX 5062'!$L$4:$P$34,IF(L1397="F-15",2,IF(L1397="F-30",3,IF(L1397="F-60",4,IF(L1397="F-90",5,0)))),0),0)+IF(AND(O1397="FIRE TEX 5062",E1397="CJ",J1397=4),VLOOKUP(_xlfn.MINIFS('FIRE TEX 5062'!$Q$3:$Q$34,'FIRE TEX 5062'!$Q$3:$Q$34,"&gt;="&amp;M1397),'FIRE TEX 5062'!$Q$3:$U$34,IF(L1397="F-15",2,IF(L1397="F-30",3,IF(L1397="F-60",4,IF(L1397="F-90",5,0)))),0),0)+IF(AND(O1397="FIRE TEX 5090",OR(E1397="IN",E1397="C",E1397="Z",E1397="L"),J1397=3),VLOOKUP(_xlfn.MINIFS('FIRE TEX 5090'!$B$5:$B$43,'FIRE TEX 5090'!$B$5:$B$43,"&gt;="&amp;M1397),'FIRE TEX 5090'!$B$5:$H$43,IF(L1397="F-15",2,IF(L1397="F-30",3,IF(L1397="F-60",4,IF(L1397="F-90",5,IF(L1397="F-120",6,IF(L1397="F-150",7,0)))))),0),0)+IF(AND(O1397="FIRE TEX 5090",OR(E1397="IN",E1397="C",E1397="Z",E1397="L"),J1397=4),VLOOKUP(_xlfn.MINIFS('FIRE TEX 5090'!$J$5:$J$43,'FIRE TEX 5090'!$J$5:$J$43,"&gt;="&amp;M1397),'FIRE TEX 5090'!$J$5:$P$43,IF(L1397="F-15",2,IF(L1397="F-30",3,IF(L1397="F-60",4,IF(L1397="F-90",5,IF(L1397="F-120",6,IF(L1397="F-150",7,0)))))),0),0)+IF(AND(O1397="FIRE TEX 5090",E1397="CJ",J1397=3),VLOOKUP(_xlfn.MINIFS('FIRE TEX 5090'!$R$5:$R$30,'FIRE TEX 5090'!$R$5:$R$30,"&gt;="&amp;M1397),'FIRE TEX 5090'!$R$5:$W$30,IF(L1397="F-15",2,IF(L1397="F-30",3,IF(L1397="F-60",4,IF(L1397="F-90",5,IF(L1397="F-120",6,IF(L1397="F-150",7,0)))))),0),0)+IF(AND(O1397="FIRE TEX 5090",E1397="CJ",J1397=4),VLOOKUP(_xlfn.MINIFS('FIRE TEX 5090'!$Y$5:$Y$39,'FIRE TEX 5090'!$Y$5:$Y$39,"&gt;="&amp;M1397),'FIRE TEX 5090'!$Y$5:$AD$39,IF(L1397="F-15",2,IF(L1397="F-30",3,IF(L1397="F-60",4,IF(L1397="F-90",5,IF(L1397="F-120",6,IF(L1397="F-150",7,0)))))),0),0)+IF(AND(O1397="FIRE TEX 5120",OR(E1397="IN",E1397="C",E1397="Z",E1397="L"),J1397=3),VLOOKUP(_xlfn.MINIFS('FIRE TEX 5120'!$B$5:$B$40,'FIRE TEX 5120'!$B$5:$B$40,"&gt;="&amp;M1397),'FIRE TEX 5120'!$B$5:$G$40,IF(L1397="F-15",2,IF(L1397="F-30",3,IF(L1397="F-60",4,IF(L1397="F-90",5,IF(L1397="F-120",6,0))))),0),0)+IF(AND(O1397="FIRE TEX 5120",OR(E1397="IN",E1397="C",E1397="Z",E1397="L"),J1397=4),VLOOKUP(_xlfn.MINIFS('FIRE TEX 5120'!$H$4:$H$40,'FIRE TEX 5120'!$H$4:$H$40,"&gt;="&amp;M1397),'FIRE TEX 5120'!$H$4:$M$40,IF(L1397="F-15",2,IF(L1397="F-30",3,IF(L1397="F-60",4,IF(L1397="F-90",5,IF(L1397="F-120",6,0))))),0),0)+IF(AND(O1397="FIRE TEX 5120",E1397="CJ"),VLOOKUP(_xlfn.MINIFS('FIRE TEX 5120'!$O$5:$O$40,'FIRE TEX 5120'!$O$5:$O$40,"&gt;="&amp;M1397),'FIRE TEX 5120'!$O$5:$T$40,IF(L1397="F-15",2,IF(L1397="F-30",3,IF(L1397="F-60",4,IF(L1397="F-90",5,IF(L1397="F-120",6,0))))),0),0)</f>
        <v>0</v>
      </c>
      <c r="Q1397" s="46">
        <f t="shared" si="129"/>
        <v>0</v>
      </c>
      <c r="R1397" s="46">
        <f t="shared" si="130"/>
        <v>0</v>
      </c>
      <c r="S1397" s="46" t="e">
        <f t="shared" si="131"/>
        <v>#VALUE!</v>
      </c>
      <c r="T1397" s="677">
        <f t="shared" si="132"/>
        <v>0</v>
      </c>
      <c r="U1397" s="80">
        <f>(IF(O1397="Stofire",(S1397*#REF!),0))+(IF(O1397="Fire Control",(S1397*$U$2),0))+(IF(O1397="Fire Tex",(S1397*$U$3),0))+(IF(O1397="WB7",(S1397*#REF!),0)+(IF(O1397="FX 2003",(S1397*$U$5),0)))</f>
        <v>0</v>
      </c>
      <c r="V1397" s="651">
        <f t="shared" si="133"/>
        <v>0</v>
      </c>
    </row>
    <row r="1398" spans="4:22" x14ac:dyDescent="0.25">
      <c r="D1398" s="118">
        <f>+CUBICACION!D1397</f>
        <v>0</v>
      </c>
      <c r="E1398" s="118">
        <f>+CUBICACION!F1397</f>
        <v>0</v>
      </c>
      <c r="F1398" s="118">
        <f>+CUBICACION!E1397</f>
        <v>0</v>
      </c>
      <c r="G1398" s="118">
        <v>12</v>
      </c>
      <c r="H1398" s="118">
        <v>2</v>
      </c>
      <c r="I1398" s="820">
        <v>26385</v>
      </c>
      <c r="J1398" s="118">
        <f>+CUBICACION!J1397</f>
        <v>0</v>
      </c>
      <c r="K1398" s="118">
        <v>4177</v>
      </c>
      <c r="L1398" s="118">
        <f>+CUBICACION!L1397</f>
        <v>0</v>
      </c>
      <c r="M1398" s="64">
        <f>+CUBICACION!M1397</f>
        <v>0</v>
      </c>
      <c r="N1398" s="824" t="str">
        <f>+CUBICACION!N1397</f>
        <v/>
      </c>
      <c r="O1398" s="675">
        <f>+CUBICACION!O1397</f>
        <v>0</v>
      </c>
      <c r="P1398" s="15">
        <f>IF(O1398="Fire Control",VLOOKUP(_xlfn.MINIFS('FIRE CONTROL'!$C$4:$C$37,'FIRE CONTROL'!$C$4:$C$37,"&gt;="&amp;M1398),'FIRE CONTROL'!$C$4:$G$37,IF(L1398="F-15",2,IF(L1398="F-30",3,IF(L1398="F-60",4,IF(L1398="F-90",5,0)))),0),0)+IF(AND(O1398="FIRE TEX 5062",OR(E1398="IN",E1398="C",E1398="Z",E1398="L"),J1398=3),VLOOKUP(_xlfn.MINIFS('FIRE TEX 5062'!$B$4:$B$34,'FIRE TEX 5062'!$B$4:$B$34,"&gt;="&amp;M1398),'FIRE TEX 5062'!$B$4:$F$34,IF(L1398="F-15",2,IF(L1398="F-30",3,IF(L1398="F-60",4,IF(L1398="F-90",5,0)))),0),0)+IF(AND(O1398="FIRE TEX 5062",OR(E1398="IN",E1398="C",E1398="Z",E1398="L"),J1398=4),VLOOKUP(_xlfn.MINIFS('FIRE TEX 5062'!$G$4:$G$34,'FIRE TEX 5062'!$G$4:$G$34,"&gt;="&amp;M1398),'FIRE TEX 5062'!$G$4:$K$34,IF(L1398="F-15",2,IF(L1398="F-30",3,IF(L1398="F-60",4,IF(L1398="F-90",5,0)))),0),0)+IF(AND(O1398="FIRE TEX 5062",E1398="CJ",J1398=3),VLOOKUP(_xlfn.MINIFS('FIRE TEX 5062'!$L$4:$L$34,'FIRE TEX 5062'!$L$4:$L$34,"&gt;="&amp;M1398),'FIRE TEX 5062'!$L$4:$P$34,IF(L1398="F-15",2,IF(L1398="F-30",3,IF(L1398="F-60",4,IF(L1398="F-90",5,0)))),0),0)+IF(AND(O1398="FIRE TEX 5062",E1398="CJ",J1398=4),VLOOKUP(_xlfn.MINIFS('FIRE TEX 5062'!$Q$3:$Q$34,'FIRE TEX 5062'!$Q$3:$Q$34,"&gt;="&amp;M1398),'FIRE TEX 5062'!$Q$3:$U$34,IF(L1398="F-15",2,IF(L1398="F-30",3,IF(L1398="F-60",4,IF(L1398="F-90",5,0)))),0),0)+IF(AND(O1398="FIRE TEX 5090",OR(E1398="IN",E1398="C",E1398="Z",E1398="L"),J1398=3),VLOOKUP(_xlfn.MINIFS('FIRE TEX 5090'!$B$5:$B$43,'FIRE TEX 5090'!$B$5:$B$43,"&gt;="&amp;M1398),'FIRE TEX 5090'!$B$5:$H$43,IF(L1398="F-15",2,IF(L1398="F-30",3,IF(L1398="F-60",4,IF(L1398="F-90",5,IF(L1398="F-120",6,IF(L1398="F-150",7,0)))))),0),0)+IF(AND(O1398="FIRE TEX 5090",OR(E1398="IN",E1398="C",E1398="Z",E1398="L"),J1398=4),VLOOKUP(_xlfn.MINIFS('FIRE TEX 5090'!$J$5:$J$43,'FIRE TEX 5090'!$J$5:$J$43,"&gt;="&amp;M1398),'FIRE TEX 5090'!$J$5:$P$43,IF(L1398="F-15",2,IF(L1398="F-30",3,IF(L1398="F-60",4,IF(L1398="F-90",5,IF(L1398="F-120",6,IF(L1398="F-150",7,0)))))),0),0)+IF(AND(O1398="FIRE TEX 5090",E1398="CJ",J1398=3),VLOOKUP(_xlfn.MINIFS('FIRE TEX 5090'!$R$5:$R$30,'FIRE TEX 5090'!$R$5:$R$30,"&gt;="&amp;M1398),'FIRE TEX 5090'!$R$5:$W$30,IF(L1398="F-15",2,IF(L1398="F-30",3,IF(L1398="F-60",4,IF(L1398="F-90",5,IF(L1398="F-120",6,IF(L1398="F-150",7,0)))))),0),0)+IF(AND(O1398="FIRE TEX 5090",E1398="CJ",J1398=4),VLOOKUP(_xlfn.MINIFS('FIRE TEX 5090'!$Y$5:$Y$39,'FIRE TEX 5090'!$Y$5:$Y$39,"&gt;="&amp;M1398),'FIRE TEX 5090'!$Y$5:$AD$39,IF(L1398="F-15",2,IF(L1398="F-30",3,IF(L1398="F-60",4,IF(L1398="F-90",5,IF(L1398="F-120",6,IF(L1398="F-150",7,0)))))),0),0)+IF(AND(O1398="FIRE TEX 5120",OR(E1398="IN",E1398="C",E1398="Z",E1398="L"),J1398=3),VLOOKUP(_xlfn.MINIFS('FIRE TEX 5120'!$B$5:$B$40,'FIRE TEX 5120'!$B$5:$B$40,"&gt;="&amp;M1398),'FIRE TEX 5120'!$B$5:$G$40,IF(L1398="F-15",2,IF(L1398="F-30",3,IF(L1398="F-60",4,IF(L1398="F-90",5,IF(L1398="F-120",6,0))))),0),0)+IF(AND(O1398="FIRE TEX 5120",OR(E1398="IN",E1398="C",E1398="Z",E1398="L"),J1398=4),VLOOKUP(_xlfn.MINIFS('FIRE TEX 5120'!$H$4:$H$40,'FIRE TEX 5120'!$H$4:$H$40,"&gt;="&amp;M1398),'FIRE TEX 5120'!$H$4:$M$40,IF(L1398="F-15",2,IF(L1398="F-30",3,IF(L1398="F-60",4,IF(L1398="F-90",5,IF(L1398="F-120",6,0))))),0),0)+IF(AND(O1398="FIRE TEX 5120",E1398="CJ"),VLOOKUP(_xlfn.MINIFS('FIRE TEX 5120'!$O$5:$O$40,'FIRE TEX 5120'!$O$5:$O$40,"&gt;="&amp;M1398),'FIRE TEX 5120'!$O$5:$T$40,IF(L1398="F-15",2,IF(L1398="F-30",3,IF(L1398="F-60",4,IF(L1398="F-90",5,IF(L1398="F-120",6,0))))),0),0)</f>
        <v>0</v>
      </c>
      <c r="Q1398" s="46">
        <f t="shared" si="129"/>
        <v>0</v>
      </c>
      <c r="R1398" s="46">
        <f t="shared" si="130"/>
        <v>0</v>
      </c>
      <c r="S1398" s="46" t="e">
        <f t="shared" si="131"/>
        <v>#VALUE!</v>
      </c>
      <c r="T1398" s="677">
        <f t="shared" si="132"/>
        <v>0</v>
      </c>
      <c r="U1398" s="80">
        <f>(IF(O1398="Stofire",(S1398*#REF!),0))+(IF(O1398="Fire Control",(S1398*$U$2),0))+(IF(O1398="Fire Tex",(S1398*$U$3),0))+(IF(O1398="WB7",(S1398*#REF!),0)+(IF(O1398="FX 2003",(S1398*$U$5),0)))</f>
        <v>0</v>
      </c>
      <c r="V1398" s="651">
        <f t="shared" si="133"/>
        <v>0</v>
      </c>
    </row>
    <row r="1399" spans="4:22" x14ac:dyDescent="0.25">
      <c r="D1399" s="118">
        <f>+CUBICACION!D1398</f>
        <v>0</v>
      </c>
      <c r="E1399" s="118">
        <f>+CUBICACION!F1398</f>
        <v>0</v>
      </c>
      <c r="F1399" s="118">
        <f>+CUBICACION!E1398</f>
        <v>0</v>
      </c>
      <c r="G1399" s="118">
        <v>12</v>
      </c>
      <c r="H1399" s="118">
        <v>2</v>
      </c>
      <c r="I1399" s="820">
        <v>26385</v>
      </c>
      <c r="J1399" s="118">
        <f>+CUBICACION!J1398</f>
        <v>0</v>
      </c>
      <c r="K1399" s="118">
        <v>4178</v>
      </c>
      <c r="L1399" s="118">
        <f>+CUBICACION!L1398</f>
        <v>0</v>
      </c>
      <c r="M1399" s="64">
        <f>+CUBICACION!M1398</f>
        <v>0</v>
      </c>
      <c r="N1399" s="824" t="str">
        <f>+CUBICACION!N1398</f>
        <v/>
      </c>
      <c r="O1399" s="675">
        <f>+CUBICACION!O1398</f>
        <v>0</v>
      </c>
      <c r="P1399" s="15">
        <f>IF(O1399="Fire Control",VLOOKUP(_xlfn.MINIFS('FIRE CONTROL'!$C$4:$C$37,'FIRE CONTROL'!$C$4:$C$37,"&gt;="&amp;M1399),'FIRE CONTROL'!$C$4:$G$37,IF(L1399="F-15",2,IF(L1399="F-30",3,IF(L1399="F-60",4,IF(L1399="F-90",5,0)))),0),0)+IF(AND(O1399="FIRE TEX 5062",OR(E1399="IN",E1399="C",E1399="Z",E1399="L"),J1399=3),VLOOKUP(_xlfn.MINIFS('FIRE TEX 5062'!$B$4:$B$34,'FIRE TEX 5062'!$B$4:$B$34,"&gt;="&amp;M1399),'FIRE TEX 5062'!$B$4:$F$34,IF(L1399="F-15",2,IF(L1399="F-30",3,IF(L1399="F-60",4,IF(L1399="F-90",5,0)))),0),0)+IF(AND(O1399="FIRE TEX 5062",OR(E1399="IN",E1399="C",E1399="Z",E1399="L"),J1399=4),VLOOKUP(_xlfn.MINIFS('FIRE TEX 5062'!$G$4:$G$34,'FIRE TEX 5062'!$G$4:$G$34,"&gt;="&amp;M1399),'FIRE TEX 5062'!$G$4:$K$34,IF(L1399="F-15",2,IF(L1399="F-30",3,IF(L1399="F-60",4,IF(L1399="F-90",5,0)))),0),0)+IF(AND(O1399="FIRE TEX 5062",E1399="CJ",J1399=3),VLOOKUP(_xlfn.MINIFS('FIRE TEX 5062'!$L$4:$L$34,'FIRE TEX 5062'!$L$4:$L$34,"&gt;="&amp;M1399),'FIRE TEX 5062'!$L$4:$P$34,IF(L1399="F-15",2,IF(L1399="F-30",3,IF(L1399="F-60",4,IF(L1399="F-90",5,0)))),0),0)+IF(AND(O1399="FIRE TEX 5062",E1399="CJ",J1399=4),VLOOKUP(_xlfn.MINIFS('FIRE TEX 5062'!$Q$3:$Q$34,'FIRE TEX 5062'!$Q$3:$Q$34,"&gt;="&amp;M1399),'FIRE TEX 5062'!$Q$3:$U$34,IF(L1399="F-15",2,IF(L1399="F-30",3,IF(L1399="F-60",4,IF(L1399="F-90",5,0)))),0),0)+IF(AND(O1399="FIRE TEX 5090",OR(E1399="IN",E1399="C",E1399="Z",E1399="L"),J1399=3),VLOOKUP(_xlfn.MINIFS('FIRE TEX 5090'!$B$5:$B$43,'FIRE TEX 5090'!$B$5:$B$43,"&gt;="&amp;M1399),'FIRE TEX 5090'!$B$5:$H$43,IF(L1399="F-15",2,IF(L1399="F-30",3,IF(L1399="F-60",4,IF(L1399="F-90",5,IF(L1399="F-120",6,IF(L1399="F-150",7,0)))))),0),0)+IF(AND(O1399="FIRE TEX 5090",OR(E1399="IN",E1399="C",E1399="Z",E1399="L"),J1399=4),VLOOKUP(_xlfn.MINIFS('FIRE TEX 5090'!$J$5:$J$43,'FIRE TEX 5090'!$J$5:$J$43,"&gt;="&amp;M1399),'FIRE TEX 5090'!$J$5:$P$43,IF(L1399="F-15",2,IF(L1399="F-30",3,IF(L1399="F-60",4,IF(L1399="F-90",5,IF(L1399="F-120",6,IF(L1399="F-150",7,0)))))),0),0)+IF(AND(O1399="FIRE TEX 5090",E1399="CJ",J1399=3),VLOOKUP(_xlfn.MINIFS('FIRE TEX 5090'!$R$5:$R$30,'FIRE TEX 5090'!$R$5:$R$30,"&gt;="&amp;M1399),'FIRE TEX 5090'!$R$5:$W$30,IF(L1399="F-15",2,IF(L1399="F-30",3,IF(L1399="F-60",4,IF(L1399="F-90",5,IF(L1399="F-120",6,IF(L1399="F-150",7,0)))))),0),0)+IF(AND(O1399="FIRE TEX 5090",E1399="CJ",J1399=4),VLOOKUP(_xlfn.MINIFS('FIRE TEX 5090'!$Y$5:$Y$39,'FIRE TEX 5090'!$Y$5:$Y$39,"&gt;="&amp;M1399),'FIRE TEX 5090'!$Y$5:$AD$39,IF(L1399="F-15",2,IF(L1399="F-30",3,IF(L1399="F-60",4,IF(L1399="F-90",5,IF(L1399="F-120",6,IF(L1399="F-150",7,0)))))),0),0)+IF(AND(O1399="FIRE TEX 5120",OR(E1399="IN",E1399="C",E1399="Z",E1399="L"),J1399=3),VLOOKUP(_xlfn.MINIFS('FIRE TEX 5120'!$B$5:$B$40,'FIRE TEX 5120'!$B$5:$B$40,"&gt;="&amp;M1399),'FIRE TEX 5120'!$B$5:$G$40,IF(L1399="F-15",2,IF(L1399="F-30",3,IF(L1399="F-60",4,IF(L1399="F-90",5,IF(L1399="F-120",6,0))))),0),0)+IF(AND(O1399="FIRE TEX 5120",OR(E1399="IN",E1399="C",E1399="Z",E1399="L"),J1399=4),VLOOKUP(_xlfn.MINIFS('FIRE TEX 5120'!$H$4:$H$40,'FIRE TEX 5120'!$H$4:$H$40,"&gt;="&amp;M1399),'FIRE TEX 5120'!$H$4:$M$40,IF(L1399="F-15",2,IF(L1399="F-30",3,IF(L1399="F-60",4,IF(L1399="F-90",5,IF(L1399="F-120",6,0))))),0),0)+IF(AND(O1399="FIRE TEX 5120",E1399="CJ"),VLOOKUP(_xlfn.MINIFS('FIRE TEX 5120'!$O$5:$O$40,'FIRE TEX 5120'!$O$5:$O$40,"&gt;="&amp;M1399),'FIRE TEX 5120'!$O$5:$T$40,IF(L1399="F-15",2,IF(L1399="F-30",3,IF(L1399="F-60",4,IF(L1399="F-90",5,IF(L1399="F-120",6,0))))),0),0)</f>
        <v>0</v>
      </c>
      <c r="Q1399" s="46">
        <f t="shared" si="129"/>
        <v>0</v>
      </c>
      <c r="R1399" s="46">
        <f t="shared" si="130"/>
        <v>0</v>
      </c>
      <c r="S1399" s="46" t="e">
        <f t="shared" si="131"/>
        <v>#VALUE!</v>
      </c>
      <c r="T1399" s="677">
        <f t="shared" si="132"/>
        <v>0</v>
      </c>
      <c r="U1399" s="80">
        <f>(IF(O1399="Stofire",(S1399*#REF!),0))+(IF(O1399="Fire Control",(S1399*$U$2),0))+(IF(O1399="Fire Tex",(S1399*$U$3),0))+(IF(O1399="WB7",(S1399*#REF!),0)+(IF(O1399="FX 2003",(S1399*$U$5),0)))</f>
        <v>0</v>
      </c>
      <c r="V1399" s="651">
        <f t="shared" si="133"/>
        <v>0</v>
      </c>
    </row>
    <row r="1400" spans="4:22" x14ac:dyDescent="0.25">
      <c r="D1400" s="118">
        <f>+CUBICACION!D1399</f>
        <v>0</v>
      </c>
      <c r="E1400" s="118">
        <f>+CUBICACION!F1399</f>
        <v>0</v>
      </c>
      <c r="F1400" s="118">
        <f>+CUBICACION!E1399</f>
        <v>0</v>
      </c>
      <c r="G1400" s="118">
        <v>12</v>
      </c>
      <c r="H1400" s="118">
        <v>2</v>
      </c>
      <c r="I1400" s="820">
        <v>26385</v>
      </c>
      <c r="J1400" s="118">
        <f>+CUBICACION!J1399</f>
        <v>0</v>
      </c>
      <c r="K1400" s="118">
        <v>4179</v>
      </c>
      <c r="L1400" s="118">
        <f>+CUBICACION!L1399</f>
        <v>0</v>
      </c>
      <c r="M1400" s="64">
        <f>+CUBICACION!M1399</f>
        <v>0</v>
      </c>
      <c r="N1400" s="824" t="str">
        <f>+CUBICACION!N1399</f>
        <v/>
      </c>
      <c r="O1400" s="675">
        <f>+CUBICACION!O1399</f>
        <v>0</v>
      </c>
      <c r="P1400" s="15">
        <f>IF(O1400="Fire Control",VLOOKUP(_xlfn.MINIFS('FIRE CONTROL'!$C$4:$C$37,'FIRE CONTROL'!$C$4:$C$37,"&gt;="&amp;M1400),'FIRE CONTROL'!$C$4:$G$37,IF(L1400="F-15",2,IF(L1400="F-30",3,IF(L1400="F-60",4,IF(L1400="F-90",5,0)))),0),0)+IF(AND(O1400="FIRE TEX 5062",OR(E1400="IN",E1400="C",E1400="Z",E1400="L"),J1400=3),VLOOKUP(_xlfn.MINIFS('FIRE TEX 5062'!$B$4:$B$34,'FIRE TEX 5062'!$B$4:$B$34,"&gt;="&amp;M1400),'FIRE TEX 5062'!$B$4:$F$34,IF(L1400="F-15",2,IF(L1400="F-30",3,IF(L1400="F-60",4,IF(L1400="F-90",5,0)))),0),0)+IF(AND(O1400="FIRE TEX 5062",OR(E1400="IN",E1400="C",E1400="Z",E1400="L"),J1400=4),VLOOKUP(_xlfn.MINIFS('FIRE TEX 5062'!$G$4:$G$34,'FIRE TEX 5062'!$G$4:$G$34,"&gt;="&amp;M1400),'FIRE TEX 5062'!$G$4:$K$34,IF(L1400="F-15",2,IF(L1400="F-30",3,IF(L1400="F-60",4,IF(L1400="F-90",5,0)))),0),0)+IF(AND(O1400="FIRE TEX 5062",E1400="CJ",J1400=3),VLOOKUP(_xlfn.MINIFS('FIRE TEX 5062'!$L$4:$L$34,'FIRE TEX 5062'!$L$4:$L$34,"&gt;="&amp;M1400),'FIRE TEX 5062'!$L$4:$P$34,IF(L1400="F-15",2,IF(L1400="F-30",3,IF(L1400="F-60",4,IF(L1400="F-90",5,0)))),0),0)+IF(AND(O1400="FIRE TEX 5062",E1400="CJ",J1400=4),VLOOKUP(_xlfn.MINIFS('FIRE TEX 5062'!$Q$3:$Q$34,'FIRE TEX 5062'!$Q$3:$Q$34,"&gt;="&amp;M1400),'FIRE TEX 5062'!$Q$3:$U$34,IF(L1400="F-15",2,IF(L1400="F-30",3,IF(L1400="F-60",4,IF(L1400="F-90",5,0)))),0),0)+IF(AND(O1400="FIRE TEX 5090",OR(E1400="IN",E1400="C",E1400="Z",E1400="L"),J1400=3),VLOOKUP(_xlfn.MINIFS('FIRE TEX 5090'!$B$5:$B$43,'FIRE TEX 5090'!$B$5:$B$43,"&gt;="&amp;M1400),'FIRE TEX 5090'!$B$5:$H$43,IF(L1400="F-15",2,IF(L1400="F-30",3,IF(L1400="F-60",4,IF(L1400="F-90",5,IF(L1400="F-120",6,IF(L1400="F-150",7,0)))))),0),0)+IF(AND(O1400="FIRE TEX 5090",OR(E1400="IN",E1400="C",E1400="Z",E1400="L"),J1400=4),VLOOKUP(_xlfn.MINIFS('FIRE TEX 5090'!$J$5:$J$43,'FIRE TEX 5090'!$J$5:$J$43,"&gt;="&amp;M1400),'FIRE TEX 5090'!$J$5:$P$43,IF(L1400="F-15",2,IF(L1400="F-30",3,IF(L1400="F-60",4,IF(L1400="F-90",5,IF(L1400="F-120",6,IF(L1400="F-150",7,0)))))),0),0)+IF(AND(O1400="FIRE TEX 5090",E1400="CJ",J1400=3),VLOOKUP(_xlfn.MINIFS('FIRE TEX 5090'!$R$5:$R$30,'FIRE TEX 5090'!$R$5:$R$30,"&gt;="&amp;M1400),'FIRE TEX 5090'!$R$5:$W$30,IF(L1400="F-15",2,IF(L1400="F-30",3,IF(L1400="F-60",4,IF(L1400="F-90",5,IF(L1400="F-120",6,IF(L1400="F-150",7,0)))))),0),0)+IF(AND(O1400="FIRE TEX 5090",E1400="CJ",J1400=4),VLOOKUP(_xlfn.MINIFS('FIRE TEX 5090'!$Y$5:$Y$39,'FIRE TEX 5090'!$Y$5:$Y$39,"&gt;="&amp;M1400),'FIRE TEX 5090'!$Y$5:$AD$39,IF(L1400="F-15",2,IF(L1400="F-30",3,IF(L1400="F-60",4,IF(L1400="F-90",5,IF(L1400="F-120",6,IF(L1400="F-150",7,0)))))),0),0)+IF(AND(O1400="FIRE TEX 5120",OR(E1400="IN",E1400="C",E1400="Z",E1400="L"),J1400=3),VLOOKUP(_xlfn.MINIFS('FIRE TEX 5120'!$B$5:$B$40,'FIRE TEX 5120'!$B$5:$B$40,"&gt;="&amp;M1400),'FIRE TEX 5120'!$B$5:$G$40,IF(L1400="F-15",2,IF(L1400="F-30",3,IF(L1400="F-60",4,IF(L1400="F-90",5,IF(L1400="F-120",6,0))))),0),0)+IF(AND(O1400="FIRE TEX 5120",OR(E1400="IN",E1400="C",E1400="Z",E1400="L"),J1400=4),VLOOKUP(_xlfn.MINIFS('FIRE TEX 5120'!$H$4:$H$40,'FIRE TEX 5120'!$H$4:$H$40,"&gt;="&amp;M1400),'FIRE TEX 5120'!$H$4:$M$40,IF(L1400="F-15",2,IF(L1400="F-30",3,IF(L1400="F-60",4,IF(L1400="F-90",5,IF(L1400="F-120",6,0))))),0),0)+IF(AND(O1400="FIRE TEX 5120",E1400="CJ"),VLOOKUP(_xlfn.MINIFS('FIRE TEX 5120'!$O$5:$O$40,'FIRE TEX 5120'!$O$5:$O$40,"&gt;="&amp;M1400),'FIRE TEX 5120'!$O$5:$T$40,IF(L1400="F-15",2,IF(L1400="F-30",3,IF(L1400="F-60",4,IF(L1400="F-90",5,IF(L1400="F-120",6,0))))),0),0)</f>
        <v>0</v>
      </c>
      <c r="Q1400" s="46">
        <f t="shared" si="129"/>
        <v>0</v>
      </c>
      <c r="R1400" s="46">
        <f t="shared" si="130"/>
        <v>0</v>
      </c>
      <c r="S1400" s="46" t="e">
        <f t="shared" si="131"/>
        <v>#VALUE!</v>
      </c>
      <c r="T1400" s="677">
        <f t="shared" si="132"/>
        <v>0</v>
      </c>
      <c r="U1400" s="80">
        <f>(IF(O1400="Stofire",(S1400*#REF!),0))+(IF(O1400="Fire Control",(S1400*$U$2),0))+(IF(O1400="Fire Tex",(S1400*$U$3),0))+(IF(O1400="WB7",(S1400*#REF!),0)+(IF(O1400="FX 2003",(S1400*$U$5),0)))</f>
        <v>0</v>
      </c>
      <c r="V1400" s="651">
        <f t="shared" si="133"/>
        <v>0</v>
      </c>
    </row>
    <row r="1401" spans="4:22" x14ac:dyDescent="0.25">
      <c r="D1401" s="118">
        <f>+CUBICACION!D1400</f>
        <v>0</v>
      </c>
      <c r="E1401" s="118">
        <f>+CUBICACION!F1400</f>
        <v>0</v>
      </c>
      <c r="F1401" s="118">
        <f>+CUBICACION!E1400</f>
        <v>0</v>
      </c>
      <c r="G1401" s="118">
        <v>12</v>
      </c>
      <c r="H1401" s="118">
        <v>2</v>
      </c>
      <c r="I1401" s="820">
        <v>26385</v>
      </c>
      <c r="J1401" s="118">
        <f>+CUBICACION!J1400</f>
        <v>0</v>
      </c>
      <c r="K1401" s="118">
        <v>4180</v>
      </c>
      <c r="L1401" s="118">
        <f>+CUBICACION!L1400</f>
        <v>0</v>
      </c>
      <c r="M1401" s="64">
        <f>+CUBICACION!M1400</f>
        <v>0</v>
      </c>
      <c r="N1401" s="824" t="str">
        <f>+CUBICACION!N1400</f>
        <v/>
      </c>
      <c r="O1401" s="675">
        <f>+CUBICACION!O1400</f>
        <v>0</v>
      </c>
      <c r="P1401" s="15">
        <f>IF(O1401="Fire Control",VLOOKUP(_xlfn.MINIFS('FIRE CONTROL'!$C$4:$C$37,'FIRE CONTROL'!$C$4:$C$37,"&gt;="&amp;M1401),'FIRE CONTROL'!$C$4:$G$37,IF(L1401="F-15",2,IF(L1401="F-30",3,IF(L1401="F-60",4,IF(L1401="F-90",5,0)))),0),0)+IF(AND(O1401="FIRE TEX 5062",OR(E1401="IN",E1401="C",E1401="Z",E1401="L"),J1401=3),VLOOKUP(_xlfn.MINIFS('FIRE TEX 5062'!$B$4:$B$34,'FIRE TEX 5062'!$B$4:$B$34,"&gt;="&amp;M1401),'FIRE TEX 5062'!$B$4:$F$34,IF(L1401="F-15",2,IF(L1401="F-30",3,IF(L1401="F-60",4,IF(L1401="F-90",5,0)))),0),0)+IF(AND(O1401="FIRE TEX 5062",OR(E1401="IN",E1401="C",E1401="Z",E1401="L"),J1401=4),VLOOKUP(_xlfn.MINIFS('FIRE TEX 5062'!$G$4:$G$34,'FIRE TEX 5062'!$G$4:$G$34,"&gt;="&amp;M1401),'FIRE TEX 5062'!$G$4:$K$34,IF(L1401="F-15",2,IF(L1401="F-30",3,IF(L1401="F-60",4,IF(L1401="F-90",5,0)))),0),0)+IF(AND(O1401="FIRE TEX 5062",E1401="CJ",J1401=3),VLOOKUP(_xlfn.MINIFS('FIRE TEX 5062'!$L$4:$L$34,'FIRE TEX 5062'!$L$4:$L$34,"&gt;="&amp;M1401),'FIRE TEX 5062'!$L$4:$P$34,IF(L1401="F-15",2,IF(L1401="F-30",3,IF(L1401="F-60",4,IF(L1401="F-90",5,0)))),0),0)+IF(AND(O1401="FIRE TEX 5062",E1401="CJ",J1401=4),VLOOKUP(_xlfn.MINIFS('FIRE TEX 5062'!$Q$3:$Q$34,'FIRE TEX 5062'!$Q$3:$Q$34,"&gt;="&amp;M1401),'FIRE TEX 5062'!$Q$3:$U$34,IF(L1401="F-15",2,IF(L1401="F-30",3,IF(L1401="F-60",4,IF(L1401="F-90",5,0)))),0),0)+IF(AND(O1401="FIRE TEX 5090",OR(E1401="IN",E1401="C",E1401="Z",E1401="L"),J1401=3),VLOOKUP(_xlfn.MINIFS('FIRE TEX 5090'!$B$5:$B$43,'FIRE TEX 5090'!$B$5:$B$43,"&gt;="&amp;M1401),'FIRE TEX 5090'!$B$5:$H$43,IF(L1401="F-15",2,IF(L1401="F-30",3,IF(L1401="F-60",4,IF(L1401="F-90",5,IF(L1401="F-120",6,IF(L1401="F-150",7,0)))))),0),0)+IF(AND(O1401="FIRE TEX 5090",OR(E1401="IN",E1401="C",E1401="Z",E1401="L"),J1401=4),VLOOKUP(_xlfn.MINIFS('FIRE TEX 5090'!$J$5:$J$43,'FIRE TEX 5090'!$J$5:$J$43,"&gt;="&amp;M1401),'FIRE TEX 5090'!$J$5:$P$43,IF(L1401="F-15",2,IF(L1401="F-30",3,IF(L1401="F-60",4,IF(L1401="F-90",5,IF(L1401="F-120",6,IF(L1401="F-150",7,0)))))),0),0)+IF(AND(O1401="FIRE TEX 5090",E1401="CJ",J1401=3),VLOOKUP(_xlfn.MINIFS('FIRE TEX 5090'!$R$5:$R$30,'FIRE TEX 5090'!$R$5:$R$30,"&gt;="&amp;M1401),'FIRE TEX 5090'!$R$5:$W$30,IF(L1401="F-15",2,IF(L1401="F-30",3,IF(L1401="F-60",4,IF(L1401="F-90",5,IF(L1401="F-120",6,IF(L1401="F-150",7,0)))))),0),0)+IF(AND(O1401="FIRE TEX 5090",E1401="CJ",J1401=4),VLOOKUP(_xlfn.MINIFS('FIRE TEX 5090'!$Y$5:$Y$39,'FIRE TEX 5090'!$Y$5:$Y$39,"&gt;="&amp;M1401),'FIRE TEX 5090'!$Y$5:$AD$39,IF(L1401="F-15",2,IF(L1401="F-30",3,IF(L1401="F-60",4,IF(L1401="F-90",5,IF(L1401="F-120",6,IF(L1401="F-150",7,0)))))),0),0)+IF(AND(O1401="FIRE TEX 5120",OR(E1401="IN",E1401="C",E1401="Z",E1401="L"),J1401=3),VLOOKUP(_xlfn.MINIFS('FIRE TEX 5120'!$B$5:$B$40,'FIRE TEX 5120'!$B$5:$B$40,"&gt;="&amp;M1401),'FIRE TEX 5120'!$B$5:$G$40,IF(L1401="F-15",2,IF(L1401="F-30",3,IF(L1401="F-60",4,IF(L1401="F-90",5,IF(L1401="F-120",6,0))))),0),0)+IF(AND(O1401="FIRE TEX 5120",OR(E1401="IN",E1401="C",E1401="Z",E1401="L"),J1401=4),VLOOKUP(_xlfn.MINIFS('FIRE TEX 5120'!$H$4:$H$40,'FIRE TEX 5120'!$H$4:$H$40,"&gt;="&amp;M1401),'FIRE TEX 5120'!$H$4:$M$40,IF(L1401="F-15",2,IF(L1401="F-30",3,IF(L1401="F-60",4,IF(L1401="F-90",5,IF(L1401="F-120",6,0))))),0),0)+IF(AND(O1401="FIRE TEX 5120",E1401="CJ"),VLOOKUP(_xlfn.MINIFS('FIRE TEX 5120'!$O$5:$O$40,'FIRE TEX 5120'!$O$5:$O$40,"&gt;="&amp;M1401),'FIRE TEX 5120'!$O$5:$T$40,IF(L1401="F-15",2,IF(L1401="F-30",3,IF(L1401="F-60",4,IF(L1401="F-90",5,IF(L1401="F-120",6,0))))),0),0)</f>
        <v>0</v>
      </c>
      <c r="Q1401" s="46">
        <f t="shared" si="129"/>
        <v>0</v>
      </c>
      <c r="R1401" s="46">
        <f t="shared" si="130"/>
        <v>0</v>
      </c>
      <c r="S1401" s="46" t="e">
        <f t="shared" si="131"/>
        <v>#VALUE!</v>
      </c>
      <c r="T1401" s="677">
        <f t="shared" si="132"/>
        <v>0</v>
      </c>
      <c r="U1401" s="80">
        <f>(IF(O1401="Stofire",(S1401*#REF!),0))+(IF(O1401="Fire Control",(S1401*$U$2),0))+(IF(O1401="Fire Tex",(S1401*$U$3),0))+(IF(O1401="WB7",(S1401*#REF!),0)+(IF(O1401="FX 2003",(S1401*$U$5),0)))</f>
        <v>0</v>
      </c>
      <c r="V1401" s="651">
        <f t="shared" si="133"/>
        <v>0</v>
      </c>
    </row>
    <row r="1402" spans="4:22" x14ac:dyDescent="0.25">
      <c r="D1402" s="118">
        <f>+CUBICACION!D1401</f>
        <v>0</v>
      </c>
      <c r="E1402" s="118">
        <f>+CUBICACION!F1401</f>
        <v>0</v>
      </c>
      <c r="F1402" s="118">
        <f>+CUBICACION!E1401</f>
        <v>0</v>
      </c>
      <c r="G1402" s="118">
        <v>12</v>
      </c>
      <c r="H1402" s="118">
        <v>2</v>
      </c>
      <c r="I1402" s="820">
        <v>26385</v>
      </c>
      <c r="J1402" s="118">
        <f>+CUBICACION!J1401</f>
        <v>0</v>
      </c>
      <c r="K1402" s="118">
        <v>4181</v>
      </c>
      <c r="L1402" s="118">
        <f>+CUBICACION!L1401</f>
        <v>0</v>
      </c>
      <c r="M1402" s="64">
        <f>+CUBICACION!M1401</f>
        <v>0</v>
      </c>
      <c r="N1402" s="824" t="str">
        <f>+CUBICACION!N1401</f>
        <v/>
      </c>
      <c r="O1402" s="675">
        <f>+CUBICACION!O1401</f>
        <v>0</v>
      </c>
      <c r="P1402" s="15">
        <f>IF(O1402="Fire Control",VLOOKUP(_xlfn.MINIFS('FIRE CONTROL'!$C$4:$C$37,'FIRE CONTROL'!$C$4:$C$37,"&gt;="&amp;M1402),'FIRE CONTROL'!$C$4:$G$37,IF(L1402="F-15",2,IF(L1402="F-30",3,IF(L1402="F-60",4,IF(L1402="F-90",5,0)))),0),0)+IF(AND(O1402="FIRE TEX 5062",OR(E1402="IN",E1402="C",E1402="Z",E1402="L"),J1402=3),VLOOKUP(_xlfn.MINIFS('FIRE TEX 5062'!$B$4:$B$34,'FIRE TEX 5062'!$B$4:$B$34,"&gt;="&amp;M1402),'FIRE TEX 5062'!$B$4:$F$34,IF(L1402="F-15",2,IF(L1402="F-30",3,IF(L1402="F-60",4,IF(L1402="F-90",5,0)))),0),0)+IF(AND(O1402="FIRE TEX 5062",OR(E1402="IN",E1402="C",E1402="Z",E1402="L"),J1402=4),VLOOKUP(_xlfn.MINIFS('FIRE TEX 5062'!$G$4:$G$34,'FIRE TEX 5062'!$G$4:$G$34,"&gt;="&amp;M1402),'FIRE TEX 5062'!$G$4:$K$34,IF(L1402="F-15",2,IF(L1402="F-30",3,IF(L1402="F-60",4,IF(L1402="F-90",5,0)))),0),0)+IF(AND(O1402="FIRE TEX 5062",E1402="CJ",J1402=3),VLOOKUP(_xlfn.MINIFS('FIRE TEX 5062'!$L$4:$L$34,'FIRE TEX 5062'!$L$4:$L$34,"&gt;="&amp;M1402),'FIRE TEX 5062'!$L$4:$P$34,IF(L1402="F-15",2,IF(L1402="F-30",3,IF(L1402="F-60",4,IF(L1402="F-90",5,0)))),0),0)+IF(AND(O1402="FIRE TEX 5062",E1402="CJ",J1402=4),VLOOKUP(_xlfn.MINIFS('FIRE TEX 5062'!$Q$3:$Q$34,'FIRE TEX 5062'!$Q$3:$Q$34,"&gt;="&amp;M1402),'FIRE TEX 5062'!$Q$3:$U$34,IF(L1402="F-15",2,IF(L1402="F-30",3,IF(L1402="F-60",4,IF(L1402="F-90",5,0)))),0),0)+IF(AND(O1402="FIRE TEX 5090",OR(E1402="IN",E1402="C",E1402="Z",E1402="L"),J1402=3),VLOOKUP(_xlfn.MINIFS('FIRE TEX 5090'!$B$5:$B$43,'FIRE TEX 5090'!$B$5:$B$43,"&gt;="&amp;M1402),'FIRE TEX 5090'!$B$5:$H$43,IF(L1402="F-15",2,IF(L1402="F-30",3,IF(L1402="F-60",4,IF(L1402="F-90",5,IF(L1402="F-120",6,IF(L1402="F-150",7,0)))))),0),0)+IF(AND(O1402="FIRE TEX 5090",OR(E1402="IN",E1402="C",E1402="Z",E1402="L"),J1402=4),VLOOKUP(_xlfn.MINIFS('FIRE TEX 5090'!$J$5:$J$43,'FIRE TEX 5090'!$J$5:$J$43,"&gt;="&amp;M1402),'FIRE TEX 5090'!$J$5:$P$43,IF(L1402="F-15",2,IF(L1402="F-30",3,IF(L1402="F-60",4,IF(L1402="F-90",5,IF(L1402="F-120",6,IF(L1402="F-150",7,0)))))),0),0)+IF(AND(O1402="FIRE TEX 5090",E1402="CJ",J1402=3),VLOOKUP(_xlfn.MINIFS('FIRE TEX 5090'!$R$5:$R$30,'FIRE TEX 5090'!$R$5:$R$30,"&gt;="&amp;M1402),'FIRE TEX 5090'!$R$5:$W$30,IF(L1402="F-15",2,IF(L1402="F-30",3,IF(L1402="F-60",4,IF(L1402="F-90",5,IF(L1402="F-120",6,IF(L1402="F-150",7,0)))))),0),0)+IF(AND(O1402="FIRE TEX 5090",E1402="CJ",J1402=4),VLOOKUP(_xlfn.MINIFS('FIRE TEX 5090'!$Y$5:$Y$39,'FIRE TEX 5090'!$Y$5:$Y$39,"&gt;="&amp;M1402),'FIRE TEX 5090'!$Y$5:$AD$39,IF(L1402="F-15",2,IF(L1402="F-30",3,IF(L1402="F-60",4,IF(L1402="F-90",5,IF(L1402="F-120",6,IF(L1402="F-150",7,0)))))),0),0)+IF(AND(O1402="FIRE TEX 5120",OR(E1402="IN",E1402="C",E1402="Z",E1402="L"),J1402=3),VLOOKUP(_xlfn.MINIFS('FIRE TEX 5120'!$B$5:$B$40,'FIRE TEX 5120'!$B$5:$B$40,"&gt;="&amp;M1402),'FIRE TEX 5120'!$B$5:$G$40,IF(L1402="F-15",2,IF(L1402="F-30",3,IF(L1402="F-60",4,IF(L1402="F-90",5,IF(L1402="F-120",6,0))))),0),0)+IF(AND(O1402="FIRE TEX 5120",OR(E1402="IN",E1402="C",E1402="Z",E1402="L"),J1402=4),VLOOKUP(_xlfn.MINIFS('FIRE TEX 5120'!$H$4:$H$40,'FIRE TEX 5120'!$H$4:$H$40,"&gt;="&amp;M1402),'FIRE TEX 5120'!$H$4:$M$40,IF(L1402="F-15",2,IF(L1402="F-30",3,IF(L1402="F-60",4,IF(L1402="F-90",5,IF(L1402="F-120",6,0))))),0),0)+IF(AND(O1402="FIRE TEX 5120",E1402="CJ"),VLOOKUP(_xlfn.MINIFS('FIRE TEX 5120'!$O$5:$O$40,'FIRE TEX 5120'!$O$5:$O$40,"&gt;="&amp;M1402),'FIRE TEX 5120'!$O$5:$T$40,IF(L1402="F-15",2,IF(L1402="F-30",3,IF(L1402="F-60",4,IF(L1402="F-90",5,IF(L1402="F-120",6,0))))),0),0)</f>
        <v>0</v>
      </c>
      <c r="Q1402" s="46">
        <f t="shared" si="129"/>
        <v>0</v>
      </c>
      <c r="R1402" s="46">
        <f t="shared" si="130"/>
        <v>0</v>
      </c>
      <c r="S1402" s="46" t="e">
        <f t="shared" si="131"/>
        <v>#VALUE!</v>
      </c>
      <c r="T1402" s="677">
        <f t="shared" si="132"/>
        <v>0</v>
      </c>
      <c r="U1402" s="80">
        <f>(IF(O1402="Stofire",(S1402*#REF!),0))+(IF(O1402="Fire Control",(S1402*$U$2),0))+(IF(O1402="Fire Tex",(S1402*$U$3),0))+(IF(O1402="WB7",(S1402*#REF!),0)+(IF(O1402="FX 2003",(S1402*$U$5),0)))</f>
        <v>0</v>
      </c>
      <c r="V1402" s="651">
        <f t="shared" si="133"/>
        <v>0</v>
      </c>
    </row>
    <row r="1403" spans="4:22" x14ac:dyDescent="0.25">
      <c r="D1403" s="118">
        <f>+CUBICACION!D1402</f>
        <v>0</v>
      </c>
      <c r="E1403" s="118">
        <f>+CUBICACION!F1402</f>
        <v>0</v>
      </c>
      <c r="F1403" s="118">
        <f>+CUBICACION!E1402</f>
        <v>0</v>
      </c>
      <c r="G1403" s="118">
        <v>12</v>
      </c>
      <c r="H1403" s="118">
        <v>2</v>
      </c>
      <c r="I1403" s="820">
        <v>26385</v>
      </c>
      <c r="J1403" s="118">
        <f>+CUBICACION!J1402</f>
        <v>0</v>
      </c>
      <c r="K1403" s="118">
        <v>4182</v>
      </c>
      <c r="L1403" s="118">
        <f>+CUBICACION!L1402</f>
        <v>0</v>
      </c>
      <c r="M1403" s="64">
        <f>+CUBICACION!M1402</f>
        <v>0</v>
      </c>
      <c r="N1403" s="824" t="str">
        <f>+CUBICACION!N1402</f>
        <v/>
      </c>
      <c r="O1403" s="675">
        <f>+CUBICACION!O1402</f>
        <v>0</v>
      </c>
      <c r="P1403" s="15">
        <f>IF(O1403="Fire Control",VLOOKUP(_xlfn.MINIFS('FIRE CONTROL'!$C$4:$C$37,'FIRE CONTROL'!$C$4:$C$37,"&gt;="&amp;M1403),'FIRE CONTROL'!$C$4:$G$37,IF(L1403="F-15",2,IF(L1403="F-30",3,IF(L1403="F-60",4,IF(L1403="F-90",5,0)))),0),0)+IF(AND(O1403="FIRE TEX 5062",OR(E1403="IN",E1403="C",E1403="Z",E1403="L"),J1403=3),VLOOKUP(_xlfn.MINIFS('FIRE TEX 5062'!$B$4:$B$34,'FIRE TEX 5062'!$B$4:$B$34,"&gt;="&amp;M1403),'FIRE TEX 5062'!$B$4:$F$34,IF(L1403="F-15",2,IF(L1403="F-30",3,IF(L1403="F-60",4,IF(L1403="F-90",5,0)))),0),0)+IF(AND(O1403="FIRE TEX 5062",OR(E1403="IN",E1403="C",E1403="Z",E1403="L"),J1403=4),VLOOKUP(_xlfn.MINIFS('FIRE TEX 5062'!$G$4:$G$34,'FIRE TEX 5062'!$G$4:$G$34,"&gt;="&amp;M1403),'FIRE TEX 5062'!$G$4:$K$34,IF(L1403="F-15",2,IF(L1403="F-30",3,IF(L1403="F-60",4,IF(L1403="F-90",5,0)))),0),0)+IF(AND(O1403="FIRE TEX 5062",E1403="CJ",J1403=3),VLOOKUP(_xlfn.MINIFS('FIRE TEX 5062'!$L$4:$L$34,'FIRE TEX 5062'!$L$4:$L$34,"&gt;="&amp;M1403),'FIRE TEX 5062'!$L$4:$P$34,IF(L1403="F-15",2,IF(L1403="F-30",3,IF(L1403="F-60",4,IF(L1403="F-90",5,0)))),0),0)+IF(AND(O1403="FIRE TEX 5062",E1403="CJ",J1403=4),VLOOKUP(_xlfn.MINIFS('FIRE TEX 5062'!$Q$3:$Q$34,'FIRE TEX 5062'!$Q$3:$Q$34,"&gt;="&amp;M1403),'FIRE TEX 5062'!$Q$3:$U$34,IF(L1403="F-15",2,IF(L1403="F-30",3,IF(L1403="F-60",4,IF(L1403="F-90",5,0)))),0),0)+IF(AND(O1403="FIRE TEX 5090",OR(E1403="IN",E1403="C",E1403="Z",E1403="L"),J1403=3),VLOOKUP(_xlfn.MINIFS('FIRE TEX 5090'!$B$5:$B$43,'FIRE TEX 5090'!$B$5:$B$43,"&gt;="&amp;M1403),'FIRE TEX 5090'!$B$5:$H$43,IF(L1403="F-15",2,IF(L1403="F-30",3,IF(L1403="F-60",4,IF(L1403="F-90",5,IF(L1403="F-120",6,IF(L1403="F-150",7,0)))))),0),0)+IF(AND(O1403="FIRE TEX 5090",OR(E1403="IN",E1403="C",E1403="Z",E1403="L"),J1403=4),VLOOKUP(_xlfn.MINIFS('FIRE TEX 5090'!$J$5:$J$43,'FIRE TEX 5090'!$J$5:$J$43,"&gt;="&amp;M1403),'FIRE TEX 5090'!$J$5:$P$43,IF(L1403="F-15",2,IF(L1403="F-30",3,IF(L1403="F-60",4,IF(L1403="F-90",5,IF(L1403="F-120",6,IF(L1403="F-150",7,0)))))),0),0)+IF(AND(O1403="FIRE TEX 5090",E1403="CJ",J1403=3),VLOOKUP(_xlfn.MINIFS('FIRE TEX 5090'!$R$5:$R$30,'FIRE TEX 5090'!$R$5:$R$30,"&gt;="&amp;M1403),'FIRE TEX 5090'!$R$5:$W$30,IF(L1403="F-15",2,IF(L1403="F-30",3,IF(L1403="F-60",4,IF(L1403="F-90",5,IF(L1403="F-120",6,IF(L1403="F-150",7,0)))))),0),0)+IF(AND(O1403="FIRE TEX 5090",E1403="CJ",J1403=4),VLOOKUP(_xlfn.MINIFS('FIRE TEX 5090'!$Y$5:$Y$39,'FIRE TEX 5090'!$Y$5:$Y$39,"&gt;="&amp;M1403),'FIRE TEX 5090'!$Y$5:$AD$39,IF(L1403="F-15",2,IF(L1403="F-30",3,IF(L1403="F-60",4,IF(L1403="F-90",5,IF(L1403="F-120",6,IF(L1403="F-150",7,0)))))),0),0)+IF(AND(O1403="FIRE TEX 5120",OR(E1403="IN",E1403="C",E1403="Z",E1403="L"),J1403=3),VLOOKUP(_xlfn.MINIFS('FIRE TEX 5120'!$B$5:$B$40,'FIRE TEX 5120'!$B$5:$B$40,"&gt;="&amp;M1403),'FIRE TEX 5120'!$B$5:$G$40,IF(L1403="F-15",2,IF(L1403="F-30",3,IF(L1403="F-60",4,IF(L1403="F-90",5,IF(L1403="F-120",6,0))))),0),0)+IF(AND(O1403="FIRE TEX 5120",OR(E1403="IN",E1403="C",E1403="Z",E1403="L"),J1403=4),VLOOKUP(_xlfn.MINIFS('FIRE TEX 5120'!$H$4:$H$40,'FIRE TEX 5120'!$H$4:$H$40,"&gt;="&amp;M1403),'FIRE TEX 5120'!$H$4:$M$40,IF(L1403="F-15",2,IF(L1403="F-30",3,IF(L1403="F-60",4,IF(L1403="F-90",5,IF(L1403="F-120",6,0))))),0),0)+IF(AND(O1403="FIRE TEX 5120",E1403="CJ"),VLOOKUP(_xlfn.MINIFS('FIRE TEX 5120'!$O$5:$O$40,'FIRE TEX 5120'!$O$5:$O$40,"&gt;="&amp;M1403),'FIRE TEX 5120'!$O$5:$T$40,IF(L1403="F-15",2,IF(L1403="F-30",3,IF(L1403="F-60",4,IF(L1403="F-90",5,IF(L1403="F-120",6,0))))),0),0)</f>
        <v>0</v>
      </c>
      <c r="Q1403" s="46">
        <f t="shared" si="129"/>
        <v>0</v>
      </c>
      <c r="R1403" s="46">
        <f t="shared" si="130"/>
        <v>0</v>
      </c>
      <c r="S1403" s="46" t="e">
        <f t="shared" si="131"/>
        <v>#VALUE!</v>
      </c>
      <c r="T1403" s="677">
        <f t="shared" si="132"/>
        <v>0</v>
      </c>
      <c r="U1403" s="80">
        <f>(IF(O1403="Stofire",(S1403*#REF!),0))+(IF(O1403="Fire Control",(S1403*$U$2),0))+(IF(O1403="Fire Tex",(S1403*$U$3),0))+(IF(O1403="WB7",(S1403*#REF!),0)+(IF(O1403="FX 2003",(S1403*$U$5),0)))</f>
        <v>0</v>
      </c>
      <c r="V1403" s="651">
        <f t="shared" si="133"/>
        <v>0</v>
      </c>
    </row>
    <row r="1404" spans="4:22" x14ac:dyDescent="0.25">
      <c r="D1404" s="118">
        <f>+CUBICACION!D1403</f>
        <v>0</v>
      </c>
      <c r="E1404" s="118">
        <f>+CUBICACION!F1403</f>
        <v>0</v>
      </c>
      <c r="F1404" s="118">
        <f>+CUBICACION!E1403</f>
        <v>0</v>
      </c>
      <c r="G1404" s="118">
        <v>12</v>
      </c>
      <c r="H1404" s="118">
        <v>2</v>
      </c>
      <c r="I1404" s="820">
        <v>26385</v>
      </c>
      <c r="J1404" s="118">
        <f>+CUBICACION!J1403</f>
        <v>0</v>
      </c>
      <c r="K1404" s="118">
        <v>4183</v>
      </c>
      <c r="L1404" s="118">
        <f>+CUBICACION!L1403</f>
        <v>0</v>
      </c>
      <c r="M1404" s="64">
        <f>+CUBICACION!M1403</f>
        <v>0</v>
      </c>
      <c r="N1404" s="824" t="str">
        <f>+CUBICACION!N1403</f>
        <v/>
      </c>
      <c r="O1404" s="675">
        <f>+CUBICACION!O1403</f>
        <v>0</v>
      </c>
      <c r="P1404" s="15">
        <f>IF(O1404="Fire Control",VLOOKUP(_xlfn.MINIFS('FIRE CONTROL'!$C$4:$C$37,'FIRE CONTROL'!$C$4:$C$37,"&gt;="&amp;M1404),'FIRE CONTROL'!$C$4:$G$37,IF(L1404="F-15",2,IF(L1404="F-30",3,IF(L1404="F-60",4,IF(L1404="F-90",5,0)))),0),0)+IF(AND(O1404="FIRE TEX 5062",OR(E1404="IN",E1404="C",E1404="Z",E1404="L"),J1404=3),VLOOKUP(_xlfn.MINIFS('FIRE TEX 5062'!$B$4:$B$34,'FIRE TEX 5062'!$B$4:$B$34,"&gt;="&amp;M1404),'FIRE TEX 5062'!$B$4:$F$34,IF(L1404="F-15",2,IF(L1404="F-30",3,IF(L1404="F-60",4,IF(L1404="F-90",5,0)))),0),0)+IF(AND(O1404="FIRE TEX 5062",OR(E1404="IN",E1404="C",E1404="Z",E1404="L"),J1404=4),VLOOKUP(_xlfn.MINIFS('FIRE TEX 5062'!$G$4:$G$34,'FIRE TEX 5062'!$G$4:$G$34,"&gt;="&amp;M1404),'FIRE TEX 5062'!$G$4:$K$34,IF(L1404="F-15",2,IF(L1404="F-30",3,IF(L1404="F-60",4,IF(L1404="F-90",5,0)))),0),0)+IF(AND(O1404="FIRE TEX 5062",E1404="CJ",J1404=3),VLOOKUP(_xlfn.MINIFS('FIRE TEX 5062'!$L$4:$L$34,'FIRE TEX 5062'!$L$4:$L$34,"&gt;="&amp;M1404),'FIRE TEX 5062'!$L$4:$P$34,IF(L1404="F-15",2,IF(L1404="F-30",3,IF(L1404="F-60",4,IF(L1404="F-90",5,0)))),0),0)+IF(AND(O1404="FIRE TEX 5062",E1404="CJ",J1404=4),VLOOKUP(_xlfn.MINIFS('FIRE TEX 5062'!$Q$3:$Q$34,'FIRE TEX 5062'!$Q$3:$Q$34,"&gt;="&amp;M1404),'FIRE TEX 5062'!$Q$3:$U$34,IF(L1404="F-15",2,IF(L1404="F-30",3,IF(L1404="F-60",4,IF(L1404="F-90",5,0)))),0),0)+IF(AND(O1404="FIRE TEX 5090",OR(E1404="IN",E1404="C",E1404="Z",E1404="L"),J1404=3),VLOOKUP(_xlfn.MINIFS('FIRE TEX 5090'!$B$5:$B$43,'FIRE TEX 5090'!$B$5:$B$43,"&gt;="&amp;M1404),'FIRE TEX 5090'!$B$5:$H$43,IF(L1404="F-15",2,IF(L1404="F-30",3,IF(L1404="F-60",4,IF(L1404="F-90",5,IF(L1404="F-120",6,IF(L1404="F-150",7,0)))))),0),0)+IF(AND(O1404="FIRE TEX 5090",OR(E1404="IN",E1404="C",E1404="Z",E1404="L"),J1404=4),VLOOKUP(_xlfn.MINIFS('FIRE TEX 5090'!$J$5:$J$43,'FIRE TEX 5090'!$J$5:$J$43,"&gt;="&amp;M1404),'FIRE TEX 5090'!$J$5:$P$43,IF(L1404="F-15",2,IF(L1404="F-30",3,IF(L1404="F-60",4,IF(L1404="F-90",5,IF(L1404="F-120",6,IF(L1404="F-150",7,0)))))),0),0)+IF(AND(O1404="FIRE TEX 5090",E1404="CJ",J1404=3),VLOOKUP(_xlfn.MINIFS('FIRE TEX 5090'!$R$5:$R$30,'FIRE TEX 5090'!$R$5:$R$30,"&gt;="&amp;M1404),'FIRE TEX 5090'!$R$5:$W$30,IF(L1404="F-15",2,IF(L1404="F-30",3,IF(L1404="F-60",4,IF(L1404="F-90",5,IF(L1404="F-120",6,IF(L1404="F-150",7,0)))))),0),0)+IF(AND(O1404="FIRE TEX 5090",E1404="CJ",J1404=4),VLOOKUP(_xlfn.MINIFS('FIRE TEX 5090'!$Y$5:$Y$39,'FIRE TEX 5090'!$Y$5:$Y$39,"&gt;="&amp;M1404),'FIRE TEX 5090'!$Y$5:$AD$39,IF(L1404="F-15",2,IF(L1404="F-30",3,IF(L1404="F-60",4,IF(L1404="F-90",5,IF(L1404="F-120",6,IF(L1404="F-150",7,0)))))),0),0)+IF(AND(O1404="FIRE TEX 5120",OR(E1404="IN",E1404="C",E1404="Z",E1404="L"),J1404=3),VLOOKUP(_xlfn.MINIFS('FIRE TEX 5120'!$B$5:$B$40,'FIRE TEX 5120'!$B$5:$B$40,"&gt;="&amp;M1404),'FIRE TEX 5120'!$B$5:$G$40,IF(L1404="F-15",2,IF(L1404="F-30",3,IF(L1404="F-60",4,IF(L1404="F-90",5,IF(L1404="F-120",6,0))))),0),0)+IF(AND(O1404="FIRE TEX 5120",OR(E1404="IN",E1404="C",E1404="Z",E1404="L"),J1404=4),VLOOKUP(_xlfn.MINIFS('FIRE TEX 5120'!$H$4:$H$40,'FIRE TEX 5120'!$H$4:$H$40,"&gt;="&amp;M1404),'FIRE TEX 5120'!$H$4:$M$40,IF(L1404="F-15",2,IF(L1404="F-30",3,IF(L1404="F-60",4,IF(L1404="F-90",5,IF(L1404="F-120",6,0))))),0),0)+IF(AND(O1404="FIRE TEX 5120",E1404="CJ"),VLOOKUP(_xlfn.MINIFS('FIRE TEX 5120'!$O$5:$O$40,'FIRE TEX 5120'!$O$5:$O$40,"&gt;="&amp;M1404),'FIRE TEX 5120'!$O$5:$T$40,IF(L1404="F-15",2,IF(L1404="F-30",3,IF(L1404="F-60",4,IF(L1404="F-90",5,IF(L1404="F-120",6,0))))),0),0)</f>
        <v>0</v>
      </c>
      <c r="Q1404" s="46">
        <f t="shared" si="129"/>
        <v>0</v>
      </c>
      <c r="R1404" s="46">
        <f t="shared" si="130"/>
        <v>0</v>
      </c>
      <c r="S1404" s="46" t="e">
        <f t="shared" si="131"/>
        <v>#VALUE!</v>
      </c>
      <c r="T1404" s="677">
        <f t="shared" si="132"/>
        <v>0</v>
      </c>
      <c r="U1404" s="80">
        <f>(IF(O1404="Stofire",(S1404*#REF!),0))+(IF(O1404="Fire Control",(S1404*$U$2),0))+(IF(O1404="Fire Tex",(S1404*$U$3),0))+(IF(O1404="WB7",(S1404*#REF!),0)+(IF(O1404="FX 2003",(S1404*$U$5),0)))</f>
        <v>0</v>
      </c>
      <c r="V1404" s="651">
        <f t="shared" si="133"/>
        <v>0</v>
      </c>
    </row>
    <row r="1405" spans="4:22" x14ac:dyDescent="0.25">
      <c r="D1405" s="118">
        <f>+CUBICACION!D1404</f>
        <v>0</v>
      </c>
      <c r="E1405" s="118">
        <f>+CUBICACION!F1404</f>
        <v>0</v>
      </c>
      <c r="F1405" s="118">
        <f>+CUBICACION!E1404</f>
        <v>0</v>
      </c>
      <c r="G1405" s="118">
        <v>12</v>
      </c>
      <c r="H1405" s="118">
        <v>2</v>
      </c>
      <c r="I1405" s="820">
        <v>26385</v>
      </c>
      <c r="J1405" s="118">
        <f>+CUBICACION!J1404</f>
        <v>0</v>
      </c>
      <c r="K1405" s="118">
        <v>4184</v>
      </c>
      <c r="L1405" s="118">
        <f>+CUBICACION!L1404</f>
        <v>0</v>
      </c>
      <c r="M1405" s="64">
        <f>+CUBICACION!M1404</f>
        <v>0</v>
      </c>
      <c r="N1405" s="824" t="str">
        <f>+CUBICACION!N1404</f>
        <v/>
      </c>
      <c r="O1405" s="675">
        <f>+CUBICACION!O1404</f>
        <v>0</v>
      </c>
      <c r="P1405" s="15">
        <f>IF(O1405="Fire Control",VLOOKUP(_xlfn.MINIFS('FIRE CONTROL'!$C$4:$C$37,'FIRE CONTROL'!$C$4:$C$37,"&gt;="&amp;M1405),'FIRE CONTROL'!$C$4:$G$37,IF(L1405="F-15",2,IF(L1405="F-30",3,IF(L1405="F-60",4,IF(L1405="F-90",5,0)))),0),0)+IF(AND(O1405="FIRE TEX 5062",OR(E1405="IN",E1405="C",E1405="Z",E1405="L"),J1405=3),VLOOKUP(_xlfn.MINIFS('FIRE TEX 5062'!$B$4:$B$34,'FIRE TEX 5062'!$B$4:$B$34,"&gt;="&amp;M1405),'FIRE TEX 5062'!$B$4:$F$34,IF(L1405="F-15",2,IF(L1405="F-30",3,IF(L1405="F-60",4,IF(L1405="F-90",5,0)))),0),0)+IF(AND(O1405="FIRE TEX 5062",OR(E1405="IN",E1405="C",E1405="Z",E1405="L"),J1405=4),VLOOKUP(_xlfn.MINIFS('FIRE TEX 5062'!$G$4:$G$34,'FIRE TEX 5062'!$G$4:$G$34,"&gt;="&amp;M1405),'FIRE TEX 5062'!$G$4:$K$34,IF(L1405="F-15",2,IF(L1405="F-30",3,IF(L1405="F-60",4,IF(L1405="F-90",5,0)))),0),0)+IF(AND(O1405="FIRE TEX 5062",E1405="CJ",J1405=3),VLOOKUP(_xlfn.MINIFS('FIRE TEX 5062'!$L$4:$L$34,'FIRE TEX 5062'!$L$4:$L$34,"&gt;="&amp;M1405),'FIRE TEX 5062'!$L$4:$P$34,IF(L1405="F-15",2,IF(L1405="F-30",3,IF(L1405="F-60",4,IF(L1405="F-90",5,0)))),0),0)+IF(AND(O1405="FIRE TEX 5062",E1405="CJ",J1405=4),VLOOKUP(_xlfn.MINIFS('FIRE TEX 5062'!$Q$3:$Q$34,'FIRE TEX 5062'!$Q$3:$Q$34,"&gt;="&amp;M1405),'FIRE TEX 5062'!$Q$3:$U$34,IF(L1405="F-15",2,IF(L1405="F-30",3,IF(L1405="F-60",4,IF(L1405="F-90",5,0)))),0),0)+IF(AND(O1405="FIRE TEX 5090",OR(E1405="IN",E1405="C",E1405="Z",E1405="L"),J1405=3),VLOOKUP(_xlfn.MINIFS('FIRE TEX 5090'!$B$5:$B$43,'FIRE TEX 5090'!$B$5:$B$43,"&gt;="&amp;M1405),'FIRE TEX 5090'!$B$5:$H$43,IF(L1405="F-15",2,IF(L1405="F-30",3,IF(L1405="F-60",4,IF(L1405="F-90",5,IF(L1405="F-120",6,IF(L1405="F-150",7,0)))))),0),0)+IF(AND(O1405="FIRE TEX 5090",OR(E1405="IN",E1405="C",E1405="Z",E1405="L"),J1405=4),VLOOKUP(_xlfn.MINIFS('FIRE TEX 5090'!$J$5:$J$43,'FIRE TEX 5090'!$J$5:$J$43,"&gt;="&amp;M1405),'FIRE TEX 5090'!$J$5:$P$43,IF(L1405="F-15",2,IF(L1405="F-30",3,IF(L1405="F-60",4,IF(L1405="F-90",5,IF(L1405="F-120",6,IF(L1405="F-150",7,0)))))),0),0)+IF(AND(O1405="FIRE TEX 5090",E1405="CJ",J1405=3),VLOOKUP(_xlfn.MINIFS('FIRE TEX 5090'!$R$5:$R$30,'FIRE TEX 5090'!$R$5:$R$30,"&gt;="&amp;M1405),'FIRE TEX 5090'!$R$5:$W$30,IF(L1405="F-15",2,IF(L1405="F-30",3,IF(L1405="F-60",4,IF(L1405="F-90",5,IF(L1405="F-120",6,IF(L1405="F-150",7,0)))))),0),0)+IF(AND(O1405="FIRE TEX 5090",E1405="CJ",J1405=4),VLOOKUP(_xlfn.MINIFS('FIRE TEX 5090'!$Y$5:$Y$39,'FIRE TEX 5090'!$Y$5:$Y$39,"&gt;="&amp;M1405),'FIRE TEX 5090'!$Y$5:$AD$39,IF(L1405="F-15",2,IF(L1405="F-30",3,IF(L1405="F-60",4,IF(L1405="F-90",5,IF(L1405="F-120",6,IF(L1405="F-150",7,0)))))),0),0)+IF(AND(O1405="FIRE TEX 5120",OR(E1405="IN",E1405="C",E1405="Z",E1405="L"),J1405=3),VLOOKUP(_xlfn.MINIFS('FIRE TEX 5120'!$B$5:$B$40,'FIRE TEX 5120'!$B$5:$B$40,"&gt;="&amp;M1405),'FIRE TEX 5120'!$B$5:$G$40,IF(L1405="F-15",2,IF(L1405="F-30",3,IF(L1405="F-60",4,IF(L1405="F-90",5,IF(L1405="F-120",6,0))))),0),0)+IF(AND(O1405="FIRE TEX 5120",OR(E1405="IN",E1405="C",E1405="Z",E1405="L"),J1405=4),VLOOKUP(_xlfn.MINIFS('FIRE TEX 5120'!$H$4:$H$40,'FIRE TEX 5120'!$H$4:$H$40,"&gt;="&amp;M1405),'FIRE TEX 5120'!$H$4:$M$40,IF(L1405="F-15",2,IF(L1405="F-30",3,IF(L1405="F-60",4,IF(L1405="F-90",5,IF(L1405="F-120",6,0))))),0),0)+IF(AND(O1405="FIRE TEX 5120",E1405="CJ"),VLOOKUP(_xlfn.MINIFS('FIRE TEX 5120'!$O$5:$O$40,'FIRE TEX 5120'!$O$5:$O$40,"&gt;="&amp;M1405),'FIRE TEX 5120'!$O$5:$T$40,IF(L1405="F-15",2,IF(L1405="F-30",3,IF(L1405="F-60",4,IF(L1405="F-90",5,IF(L1405="F-120",6,0))))),0),0)</f>
        <v>0</v>
      </c>
      <c r="Q1405" s="46">
        <f t="shared" si="129"/>
        <v>0</v>
      </c>
      <c r="R1405" s="46">
        <f t="shared" si="130"/>
        <v>0</v>
      </c>
      <c r="S1405" s="46" t="e">
        <f t="shared" si="131"/>
        <v>#VALUE!</v>
      </c>
      <c r="T1405" s="677">
        <f t="shared" si="132"/>
        <v>0</v>
      </c>
      <c r="U1405" s="80">
        <f>(IF(O1405="Stofire",(S1405*#REF!),0))+(IF(O1405="Fire Control",(S1405*$U$2),0))+(IF(O1405="Fire Tex",(S1405*$U$3),0))+(IF(O1405="WB7",(S1405*#REF!),0)+(IF(O1405="FX 2003",(S1405*$U$5),0)))</f>
        <v>0</v>
      </c>
      <c r="V1405" s="651">
        <f t="shared" si="133"/>
        <v>0</v>
      </c>
    </row>
    <row r="1406" spans="4:22" x14ac:dyDescent="0.25">
      <c r="D1406" s="118">
        <f>+CUBICACION!D1405</f>
        <v>0</v>
      </c>
      <c r="E1406" s="118">
        <f>+CUBICACION!F1405</f>
        <v>0</v>
      </c>
      <c r="F1406" s="118">
        <f>+CUBICACION!E1405</f>
        <v>0</v>
      </c>
      <c r="G1406" s="118">
        <v>12</v>
      </c>
      <c r="H1406" s="118">
        <v>2</v>
      </c>
      <c r="I1406" s="820">
        <v>26385</v>
      </c>
      <c r="J1406" s="118">
        <f>+CUBICACION!J1405</f>
        <v>0</v>
      </c>
      <c r="K1406" s="118">
        <v>4185</v>
      </c>
      <c r="L1406" s="118">
        <f>+CUBICACION!L1405</f>
        <v>0</v>
      </c>
      <c r="M1406" s="64">
        <f>+CUBICACION!M1405</f>
        <v>0</v>
      </c>
      <c r="N1406" s="824" t="str">
        <f>+CUBICACION!N1405</f>
        <v/>
      </c>
      <c r="O1406" s="675">
        <f>+CUBICACION!O1405</f>
        <v>0</v>
      </c>
      <c r="P1406" s="15">
        <f>IF(O1406="Fire Control",VLOOKUP(_xlfn.MINIFS('FIRE CONTROL'!$C$4:$C$37,'FIRE CONTROL'!$C$4:$C$37,"&gt;="&amp;M1406),'FIRE CONTROL'!$C$4:$G$37,IF(L1406="F-15",2,IF(L1406="F-30",3,IF(L1406="F-60",4,IF(L1406="F-90",5,0)))),0),0)+IF(AND(O1406="FIRE TEX 5062",OR(E1406="IN",E1406="C",E1406="Z",E1406="L"),J1406=3),VLOOKUP(_xlfn.MINIFS('FIRE TEX 5062'!$B$4:$B$34,'FIRE TEX 5062'!$B$4:$B$34,"&gt;="&amp;M1406),'FIRE TEX 5062'!$B$4:$F$34,IF(L1406="F-15",2,IF(L1406="F-30",3,IF(L1406="F-60",4,IF(L1406="F-90",5,0)))),0),0)+IF(AND(O1406="FIRE TEX 5062",OR(E1406="IN",E1406="C",E1406="Z",E1406="L"),J1406=4),VLOOKUP(_xlfn.MINIFS('FIRE TEX 5062'!$G$4:$G$34,'FIRE TEX 5062'!$G$4:$G$34,"&gt;="&amp;M1406),'FIRE TEX 5062'!$G$4:$K$34,IF(L1406="F-15",2,IF(L1406="F-30",3,IF(L1406="F-60",4,IF(L1406="F-90",5,0)))),0),0)+IF(AND(O1406="FIRE TEX 5062",E1406="CJ",J1406=3),VLOOKUP(_xlfn.MINIFS('FIRE TEX 5062'!$L$4:$L$34,'FIRE TEX 5062'!$L$4:$L$34,"&gt;="&amp;M1406),'FIRE TEX 5062'!$L$4:$P$34,IF(L1406="F-15",2,IF(L1406="F-30",3,IF(L1406="F-60",4,IF(L1406="F-90",5,0)))),0),0)+IF(AND(O1406="FIRE TEX 5062",E1406="CJ",J1406=4),VLOOKUP(_xlfn.MINIFS('FIRE TEX 5062'!$Q$3:$Q$34,'FIRE TEX 5062'!$Q$3:$Q$34,"&gt;="&amp;M1406),'FIRE TEX 5062'!$Q$3:$U$34,IF(L1406="F-15",2,IF(L1406="F-30",3,IF(L1406="F-60",4,IF(L1406="F-90",5,0)))),0),0)+IF(AND(O1406="FIRE TEX 5090",OR(E1406="IN",E1406="C",E1406="Z",E1406="L"),J1406=3),VLOOKUP(_xlfn.MINIFS('FIRE TEX 5090'!$B$5:$B$43,'FIRE TEX 5090'!$B$5:$B$43,"&gt;="&amp;M1406),'FIRE TEX 5090'!$B$5:$H$43,IF(L1406="F-15",2,IF(L1406="F-30",3,IF(L1406="F-60",4,IF(L1406="F-90",5,IF(L1406="F-120",6,IF(L1406="F-150",7,0)))))),0),0)+IF(AND(O1406="FIRE TEX 5090",OR(E1406="IN",E1406="C",E1406="Z",E1406="L"),J1406=4),VLOOKUP(_xlfn.MINIFS('FIRE TEX 5090'!$J$5:$J$43,'FIRE TEX 5090'!$J$5:$J$43,"&gt;="&amp;M1406),'FIRE TEX 5090'!$J$5:$P$43,IF(L1406="F-15",2,IF(L1406="F-30",3,IF(L1406="F-60",4,IF(L1406="F-90",5,IF(L1406="F-120",6,IF(L1406="F-150",7,0)))))),0),0)+IF(AND(O1406="FIRE TEX 5090",E1406="CJ",J1406=3),VLOOKUP(_xlfn.MINIFS('FIRE TEX 5090'!$R$5:$R$30,'FIRE TEX 5090'!$R$5:$R$30,"&gt;="&amp;M1406),'FIRE TEX 5090'!$R$5:$W$30,IF(L1406="F-15",2,IF(L1406="F-30",3,IF(L1406="F-60",4,IF(L1406="F-90",5,IF(L1406="F-120",6,IF(L1406="F-150",7,0)))))),0),0)+IF(AND(O1406="FIRE TEX 5090",E1406="CJ",J1406=4),VLOOKUP(_xlfn.MINIFS('FIRE TEX 5090'!$Y$5:$Y$39,'FIRE TEX 5090'!$Y$5:$Y$39,"&gt;="&amp;M1406),'FIRE TEX 5090'!$Y$5:$AD$39,IF(L1406="F-15",2,IF(L1406="F-30",3,IF(L1406="F-60",4,IF(L1406="F-90",5,IF(L1406="F-120",6,IF(L1406="F-150",7,0)))))),0),0)+IF(AND(O1406="FIRE TEX 5120",OR(E1406="IN",E1406="C",E1406="Z",E1406="L"),J1406=3),VLOOKUP(_xlfn.MINIFS('FIRE TEX 5120'!$B$5:$B$40,'FIRE TEX 5120'!$B$5:$B$40,"&gt;="&amp;M1406),'FIRE TEX 5120'!$B$5:$G$40,IF(L1406="F-15",2,IF(L1406="F-30",3,IF(L1406="F-60",4,IF(L1406="F-90",5,IF(L1406="F-120",6,0))))),0),0)+IF(AND(O1406="FIRE TEX 5120",OR(E1406="IN",E1406="C",E1406="Z",E1406="L"),J1406=4),VLOOKUP(_xlfn.MINIFS('FIRE TEX 5120'!$H$4:$H$40,'FIRE TEX 5120'!$H$4:$H$40,"&gt;="&amp;M1406),'FIRE TEX 5120'!$H$4:$M$40,IF(L1406="F-15",2,IF(L1406="F-30",3,IF(L1406="F-60",4,IF(L1406="F-90",5,IF(L1406="F-120",6,0))))),0),0)+IF(AND(O1406="FIRE TEX 5120",E1406="CJ"),VLOOKUP(_xlfn.MINIFS('FIRE TEX 5120'!$O$5:$O$40,'FIRE TEX 5120'!$O$5:$O$40,"&gt;="&amp;M1406),'FIRE TEX 5120'!$O$5:$T$40,IF(L1406="F-15",2,IF(L1406="F-30",3,IF(L1406="F-60",4,IF(L1406="F-90",5,IF(L1406="F-120",6,0))))),0),0)</f>
        <v>0</v>
      </c>
      <c r="Q1406" s="46">
        <f t="shared" si="129"/>
        <v>0</v>
      </c>
      <c r="R1406" s="46">
        <f t="shared" si="130"/>
        <v>0</v>
      </c>
      <c r="S1406" s="46" t="e">
        <f t="shared" si="131"/>
        <v>#VALUE!</v>
      </c>
      <c r="T1406" s="677">
        <f t="shared" si="132"/>
        <v>0</v>
      </c>
      <c r="U1406" s="80">
        <f>(IF(O1406="Stofire",(S1406*#REF!),0))+(IF(O1406="Fire Control",(S1406*$U$2),0))+(IF(O1406="Fire Tex",(S1406*$U$3),0))+(IF(O1406="WB7",(S1406*#REF!),0)+(IF(O1406="FX 2003",(S1406*$U$5),0)))</f>
        <v>0</v>
      </c>
      <c r="V1406" s="651">
        <f t="shared" si="133"/>
        <v>0</v>
      </c>
    </row>
    <row r="1407" spans="4:22" x14ac:dyDescent="0.25">
      <c r="D1407" s="118">
        <f>+CUBICACION!D1406</f>
        <v>0</v>
      </c>
      <c r="E1407" s="118">
        <f>+CUBICACION!F1406</f>
        <v>0</v>
      </c>
      <c r="F1407" s="118">
        <f>+CUBICACION!E1406</f>
        <v>0</v>
      </c>
      <c r="G1407" s="118">
        <v>12</v>
      </c>
      <c r="H1407" s="118">
        <v>2</v>
      </c>
      <c r="I1407" s="820">
        <v>26385</v>
      </c>
      <c r="J1407" s="118">
        <f>+CUBICACION!J1406</f>
        <v>0</v>
      </c>
      <c r="K1407" s="118">
        <v>4186</v>
      </c>
      <c r="L1407" s="118">
        <f>+CUBICACION!L1406</f>
        <v>0</v>
      </c>
      <c r="M1407" s="64">
        <f>+CUBICACION!M1406</f>
        <v>0</v>
      </c>
      <c r="N1407" s="824" t="str">
        <f>+CUBICACION!N1406</f>
        <v/>
      </c>
      <c r="O1407" s="675">
        <f>+CUBICACION!O1406</f>
        <v>0</v>
      </c>
      <c r="P1407" s="15">
        <f>IF(O1407="Fire Control",VLOOKUP(_xlfn.MINIFS('FIRE CONTROL'!$C$4:$C$37,'FIRE CONTROL'!$C$4:$C$37,"&gt;="&amp;M1407),'FIRE CONTROL'!$C$4:$G$37,IF(L1407="F-15",2,IF(L1407="F-30",3,IF(L1407="F-60",4,IF(L1407="F-90",5,0)))),0),0)+IF(AND(O1407="FIRE TEX 5062",OR(E1407="IN",E1407="C",E1407="Z",E1407="L"),J1407=3),VLOOKUP(_xlfn.MINIFS('FIRE TEX 5062'!$B$4:$B$34,'FIRE TEX 5062'!$B$4:$B$34,"&gt;="&amp;M1407),'FIRE TEX 5062'!$B$4:$F$34,IF(L1407="F-15",2,IF(L1407="F-30",3,IF(L1407="F-60",4,IF(L1407="F-90",5,0)))),0),0)+IF(AND(O1407="FIRE TEX 5062",OR(E1407="IN",E1407="C",E1407="Z",E1407="L"),J1407=4),VLOOKUP(_xlfn.MINIFS('FIRE TEX 5062'!$G$4:$G$34,'FIRE TEX 5062'!$G$4:$G$34,"&gt;="&amp;M1407),'FIRE TEX 5062'!$G$4:$K$34,IF(L1407="F-15",2,IF(L1407="F-30",3,IF(L1407="F-60",4,IF(L1407="F-90",5,0)))),0),0)+IF(AND(O1407="FIRE TEX 5062",E1407="CJ",J1407=3),VLOOKUP(_xlfn.MINIFS('FIRE TEX 5062'!$L$4:$L$34,'FIRE TEX 5062'!$L$4:$L$34,"&gt;="&amp;M1407),'FIRE TEX 5062'!$L$4:$P$34,IF(L1407="F-15",2,IF(L1407="F-30",3,IF(L1407="F-60",4,IF(L1407="F-90",5,0)))),0),0)+IF(AND(O1407="FIRE TEX 5062",E1407="CJ",J1407=4),VLOOKUP(_xlfn.MINIFS('FIRE TEX 5062'!$Q$3:$Q$34,'FIRE TEX 5062'!$Q$3:$Q$34,"&gt;="&amp;M1407),'FIRE TEX 5062'!$Q$3:$U$34,IF(L1407="F-15",2,IF(L1407="F-30",3,IF(L1407="F-60",4,IF(L1407="F-90",5,0)))),0),0)+IF(AND(O1407="FIRE TEX 5090",OR(E1407="IN",E1407="C",E1407="Z",E1407="L"),J1407=3),VLOOKUP(_xlfn.MINIFS('FIRE TEX 5090'!$B$5:$B$43,'FIRE TEX 5090'!$B$5:$B$43,"&gt;="&amp;M1407),'FIRE TEX 5090'!$B$5:$H$43,IF(L1407="F-15",2,IF(L1407="F-30",3,IF(L1407="F-60",4,IF(L1407="F-90",5,IF(L1407="F-120",6,IF(L1407="F-150",7,0)))))),0),0)+IF(AND(O1407="FIRE TEX 5090",OR(E1407="IN",E1407="C",E1407="Z",E1407="L"),J1407=4),VLOOKUP(_xlfn.MINIFS('FIRE TEX 5090'!$J$5:$J$43,'FIRE TEX 5090'!$J$5:$J$43,"&gt;="&amp;M1407),'FIRE TEX 5090'!$J$5:$P$43,IF(L1407="F-15",2,IF(L1407="F-30",3,IF(L1407="F-60",4,IF(L1407="F-90",5,IF(L1407="F-120",6,IF(L1407="F-150",7,0)))))),0),0)+IF(AND(O1407="FIRE TEX 5090",E1407="CJ",J1407=3),VLOOKUP(_xlfn.MINIFS('FIRE TEX 5090'!$R$5:$R$30,'FIRE TEX 5090'!$R$5:$R$30,"&gt;="&amp;M1407),'FIRE TEX 5090'!$R$5:$W$30,IF(L1407="F-15",2,IF(L1407="F-30",3,IF(L1407="F-60",4,IF(L1407="F-90",5,IF(L1407="F-120",6,IF(L1407="F-150",7,0)))))),0),0)+IF(AND(O1407="FIRE TEX 5090",E1407="CJ",J1407=4),VLOOKUP(_xlfn.MINIFS('FIRE TEX 5090'!$Y$5:$Y$39,'FIRE TEX 5090'!$Y$5:$Y$39,"&gt;="&amp;M1407),'FIRE TEX 5090'!$Y$5:$AD$39,IF(L1407="F-15",2,IF(L1407="F-30",3,IF(L1407="F-60",4,IF(L1407="F-90",5,IF(L1407="F-120",6,IF(L1407="F-150",7,0)))))),0),0)+IF(AND(O1407="FIRE TEX 5120",OR(E1407="IN",E1407="C",E1407="Z",E1407="L"),J1407=3),VLOOKUP(_xlfn.MINIFS('FIRE TEX 5120'!$B$5:$B$40,'FIRE TEX 5120'!$B$5:$B$40,"&gt;="&amp;M1407),'FIRE TEX 5120'!$B$5:$G$40,IF(L1407="F-15",2,IF(L1407="F-30",3,IF(L1407="F-60",4,IF(L1407="F-90",5,IF(L1407="F-120",6,0))))),0),0)+IF(AND(O1407="FIRE TEX 5120",OR(E1407="IN",E1407="C",E1407="Z",E1407="L"),J1407=4),VLOOKUP(_xlfn.MINIFS('FIRE TEX 5120'!$H$4:$H$40,'FIRE TEX 5120'!$H$4:$H$40,"&gt;="&amp;M1407),'FIRE TEX 5120'!$H$4:$M$40,IF(L1407="F-15",2,IF(L1407="F-30",3,IF(L1407="F-60",4,IF(L1407="F-90",5,IF(L1407="F-120",6,0))))),0),0)+IF(AND(O1407="FIRE TEX 5120",E1407="CJ"),VLOOKUP(_xlfn.MINIFS('FIRE TEX 5120'!$O$5:$O$40,'FIRE TEX 5120'!$O$5:$O$40,"&gt;="&amp;M1407),'FIRE TEX 5120'!$O$5:$T$40,IF(L1407="F-15",2,IF(L1407="F-30",3,IF(L1407="F-60",4,IF(L1407="F-90",5,IF(L1407="F-120",6,0))))),0),0)</f>
        <v>0</v>
      </c>
      <c r="Q1407" s="46">
        <f t="shared" si="129"/>
        <v>0</v>
      </c>
      <c r="R1407" s="46">
        <f t="shared" si="130"/>
        <v>0</v>
      </c>
      <c r="S1407" s="46" t="e">
        <f t="shared" si="131"/>
        <v>#VALUE!</v>
      </c>
      <c r="T1407" s="677">
        <f t="shared" si="132"/>
        <v>0</v>
      </c>
      <c r="U1407" s="80">
        <f>(IF(O1407="Stofire",(S1407*#REF!),0))+(IF(O1407="Fire Control",(S1407*$U$2),0))+(IF(O1407="Fire Tex",(S1407*$U$3),0))+(IF(O1407="WB7",(S1407*#REF!),0)+(IF(O1407="FX 2003",(S1407*$U$5),0)))</f>
        <v>0</v>
      </c>
      <c r="V1407" s="651">
        <f t="shared" si="133"/>
        <v>0</v>
      </c>
    </row>
    <row r="1408" spans="4:22" x14ac:dyDescent="0.25">
      <c r="D1408" s="118">
        <f>+CUBICACION!D1407</f>
        <v>0</v>
      </c>
      <c r="E1408" s="118">
        <f>+CUBICACION!F1407</f>
        <v>0</v>
      </c>
      <c r="F1408" s="118">
        <f>+CUBICACION!E1407</f>
        <v>0</v>
      </c>
      <c r="G1408" s="118">
        <v>12</v>
      </c>
      <c r="H1408" s="118">
        <v>2</v>
      </c>
      <c r="I1408" s="820">
        <v>26385</v>
      </c>
      <c r="J1408" s="118">
        <f>+CUBICACION!J1407</f>
        <v>0</v>
      </c>
      <c r="K1408" s="118">
        <v>4187</v>
      </c>
      <c r="L1408" s="118">
        <f>+CUBICACION!L1407</f>
        <v>0</v>
      </c>
      <c r="M1408" s="64">
        <f>+CUBICACION!M1407</f>
        <v>0</v>
      </c>
      <c r="N1408" s="824" t="str">
        <f>+CUBICACION!N1407</f>
        <v/>
      </c>
      <c r="O1408" s="675">
        <f>+CUBICACION!O1407</f>
        <v>0</v>
      </c>
      <c r="P1408" s="15">
        <f>IF(O1408="Fire Control",VLOOKUP(_xlfn.MINIFS('FIRE CONTROL'!$C$4:$C$37,'FIRE CONTROL'!$C$4:$C$37,"&gt;="&amp;M1408),'FIRE CONTROL'!$C$4:$G$37,IF(L1408="F-15",2,IF(L1408="F-30",3,IF(L1408="F-60",4,IF(L1408="F-90",5,0)))),0),0)+IF(AND(O1408="FIRE TEX 5062",OR(E1408="IN",E1408="C",E1408="Z",E1408="L"),J1408=3),VLOOKUP(_xlfn.MINIFS('FIRE TEX 5062'!$B$4:$B$34,'FIRE TEX 5062'!$B$4:$B$34,"&gt;="&amp;M1408),'FIRE TEX 5062'!$B$4:$F$34,IF(L1408="F-15",2,IF(L1408="F-30",3,IF(L1408="F-60",4,IF(L1408="F-90",5,0)))),0),0)+IF(AND(O1408="FIRE TEX 5062",OR(E1408="IN",E1408="C",E1408="Z",E1408="L"),J1408=4),VLOOKUP(_xlfn.MINIFS('FIRE TEX 5062'!$G$4:$G$34,'FIRE TEX 5062'!$G$4:$G$34,"&gt;="&amp;M1408),'FIRE TEX 5062'!$G$4:$K$34,IF(L1408="F-15",2,IF(L1408="F-30",3,IF(L1408="F-60",4,IF(L1408="F-90",5,0)))),0),0)+IF(AND(O1408="FIRE TEX 5062",E1408="CJ",J1408=3),VLOOKUP(_xlfn.MINIFS('FIRE TEX 5062'!$L$4:$L$34,'FIRE TEX 5062'!$L$4:$L$34,"&gt;="&amp;M1408),'FIRE TEX 5062'!$L$4:$P$34,IF(L1408="F-15",2,IF(L1408="F-30",3,IF(L1408="F-60",4,IF(L1408="F-90",5,0)))),0),0)+IF(AND(O1408="FIRE TEX 5062",E1408="CJ",J1408=4),VLOOKUP(_xlfn.MINIFS('FIRE TEX 5062'!$Q$3:$Q$34,'FIRE TEX 5062'!$Q$3:$Q$34,"&gt;="&amp;M1408),'FIRE TEX 5062'!$Q$3:$U$34,IF(L1408="F-15",2,IF(L1408="F-30",3,IF(L1408="F-60",4,IF(L1408="F-90",5,0)))),0),0)+IF(AND(O1408="FIRE TEX 5090",OR(E1408="IN",E1408="C",E1408="Z",E1408="L"),J1408=3),VLOOKUP(_xlfn.MINIFS('FIRE TEX 5090'!$B$5:$B$43,'FIRE TEX 5090'!$B$5:$B$43,"&gt;="&amp;M1408),'FIRE TEX 5090'!$B$5:$H$43,IF(L1408="F-15",2,IF(L1408="F-30",3,IF(L1408="F-60",4,IF(L1408="F-90",5,IF(L1408="F-120",6,IF(L1408="F-150",7,0)))))),0),0)+IF(AND(O1408="FIRE TEX 5090",OR(E1408="IN",E1408="C",E1408="Z",E1408="L"),J1408=4),VLOOKUP(_xlfn.MINIFS('FIRE TEX 5090'!$J$5:$J$43,'FIRE TEX 5090'!$J$5:$J$43,"&gt;="&amp;M1408),'FIRE TEX 5090'!$J$5:$P$43,IF(L1408="F-15",2,IF(L1408="F-30",3,IF(L1408="F-60",4,IF(L1408="F-90",5,IF(L1408="F-120",6,IF(L1408="F-150",7,0)))))),0),0)+IF(AND(O1408="FIRE TEX 5090",E1408="CJ",J1408=3),VLOOKUP(_xlfn.MINIFS('FIRE TEX 5090'!$R$5:$R$30,'FIRE TEX 5090'!$R$5:$R$30,"&gt;="&amp;M1408),'FIRE TEX 5090'!$R$5:$W$30,IF(L1408="F-15",2,IF(L1408="F-30",3,IF(L1408="F-60",4,IF(L1408="F-90",5,IF(L1408="F-120",6,IF(L1408="F-150",7,0)))))),0),0)+IF(AND(O1408="FIRE TEX 5090",E1408="CJ",J1408=4),VLOOKUP(_xlfn.MINIFS('FIRE TEX 5090'!$Y$5:$Y$39,'FIRE TEX 5090'!$Y$5:$Y$39,"&gt;="&amp;M1408),'FIRE TEX 5090'!$Y$5:$AD$39,IF(L1408="F-15",2,IF(L1408="F-30",3,IF(L1408="F-60",4,IF(L1408="F-90",5,IF(L1408="F-120",6,IF(L1408="F-150",7,0)))))),0),0)+IF(AND(O1408="FIRE TEX 5120",OR(E1408="IN",E1408="C",E1408="Z",E1408="L"),J1408=3),VLOOKUP(_xlfn.MINIFS('FIRE TEX 5120'!$B$5:$B$40,'FIRE TEX 5120'!$B$5:$B$40,"&gt;="&amp;M1408),'FIRE TEX 5120'!$B$5:$G$40,IF(L1408="F-15",2,IF(L1408="F-30",3,IF(L1408="F-60",4,IF(L1408="F-90",5,IF(L1408="F-120",6,0))))),0),0)+IF(AND(O1408="FIRE TEX 5120",OR(E1408="IN",E1408="C",E1408="Z",E1408="L"),J1408=4),VLOOKUP(_xlfn.MINIFS('FIRE TEX 5120'!$H$4:$H$40,'FIRE TEX 5120'!$H$4:$H$40,"&gt;="&amp;M1408),'FIRE TEX 5120'!$H$4:$M$40,IF(L1408="F-15",2,IF(L1408="F-30",3,IF(L1408="F-60",4,IF(L1408="F-90",5,IF(L1408="F-120",6,0))))),0),0)+IF(AND(O1408="FIRE TEX 5120",E1408="CJ"),VLOOKUP(_xlfn.MINIFS('FIRE TEX 5120'!$O$5:$O$40,'FIRE TEX 5120'!$O$5:$O$40,"&gt;="&amp;M1408),'FIRE TEX 5120'!$O$5:$T$40,IF(L1408="F-15",2,IF(L1408="F-30",3,IF(L1408="F-60",4,IF(L1408="F-90",5,IF(L1408="F-120",6,0))))),0),0)</f>
        <v>0</v>
      </c>
      <c r="Q1408" s="46">
        <f t="shared" si="129"/>
        <v>0</v>
      </c>
      <c r="R1408" s="46">
        <f t="shared" si="130"/>
        <v>0</v>
      </c>
      <c r="S1408" s="46" t="e">
        <f t="shared" si="131"/>
        <v>#VALUE!</v>
      </c>
      <c r="T1408" s="677">
        <f t="shared" si="132"/>
        <v>0</v>
      </c>
      <c r="U1408" s="80">
        <f>(IF(O1408="Stofire",(S1408*#REF!),0))+(IF(O1408="Fire Control",(S1408*$U$2),0))+(IF(O1408="Fire Tex",(S1408*$U$3),0))+(IF(O1408="WB7",(S1408*#REF!),0)+(IF(O1408="FX 2003",(S1408*$U$5),0)))</f>
        <v>0</v>
      </c>
      <c r="V1408" s="651">
        <f t="shared" si="133"/>
        <v>0</v>
      </c>
    </row>
    <row r="1409" spans="4:22" x14ac:dyDescent="0.25">
      <c r="D1409" s="118">
        <f>+CUBICACION!D1408</f>
        <v>0</v>
      </c>
      <c r="E1409" s="118">
        <f>+CUBICACION!F1408</f>
        <v>0</v>
      </c>
      <c r="F1409" s="118">
        <f>+CUBICACION!E1408</f>
        <v>0</v>
      </c>
      <c r="G1409" s="118">
        <v>12</v>
      </c>
      <c r="H1409" s="118">
        <v>2</v>
      </c>
      <c r="I1409" s="820">
        <v>26385</v>
      </c>
      <c r="J1409" s="118">
        <f>+CUBICACION!J1408</f>
        <v>0</v>
      </c>
      <c r="K1409" s="118">
        <v>4188</v>
      </c>
      <c r="L1409" s="118">
        <f>+CUBICACION!L1408</f>
        <v>0</v>
      </c>
      <c r="M1409" s="64">
        <f>+CUBICACION!M1408</f>
        <v>0</v>
      </c>
      <c r="N1409" s="824" t="str">
        <f>+CUBICACION!N1408</f>
        <v/>
      </c>
      <c r="O1409" s="675">
        <f>+CUBICACION!O1408</f>
        <v>0</v>
      </c>
      <c r="P1409" s="15">
        <f>IF(O1409="Fire Control",VLOOKUP(_xlfn.MINIFS('FIRE CONTROL'!$C$4:$C$37,'FIRE CONTROL'!$C$4:$C$37,"&gt;="&amp;M1409),'FIRE CONTROL'!$C$4:$G$37,IF(L1409="F-15",2,IF(L1409="F-30",3,IF(L1409="F-60",4,IF(L1409="F-90",5,0)))),0),0)+IF(AND(O1409="FIRE TEX 5062",OR(E1409="IN",E1409="C",E1409="Z",E1409="L"),J1409=3),VLOOKUP(_xlfn.MINIFS('FIRE TEX 5062'!$B$4:$B$34,'FIRE TEX 5062'!$B$4:$B$34,"&gt;="&amp;M1409),'FIRE TEX 5062'!$B$4:$F$34,IF(L1409="F-15",2,IF(L1409="F-30",3,IF(L1409="F-60",4,IF(L1409="F-90",5,0)))),0),0)+IF(AND(O1409="FIRE TEX 5062",OR(E1409="IN",E1409="C",E1409="Z",E1409="L"),J1409=4),VLOOKUP(_xlfn.MINIFS('FIRE TEX 5062'!$G$4:$G$34,'FIRE TEX 5062'!$G$4:$G$34,"&gt;="&amp;M1409),'FIRE TEX 5062'!$G$4:$K$34,IF(L1409="F-15",2,IF(L1409="F-30",3,IF(L1409="F-60",4,IF(L1409="F-90",5,0)))),0),0)+IF(AND(O1409="FIRE TEX 5062",E1409="CJ",J1409=3),VLOOKUP(_xlfn.MINIFS('FIRE TEX 5062'!$L$4:$L$34,'FIRE TEX 5062'!$L$4:$L$34,"&gt;="&amp;M1409),'FIRE TEX 5062'!$L$4:$P$34,IF(L1409="F-15",2,IF(L1409="F-30",3,IF(L1409="F-60",4,IF(L1409="F-90",5,0)))),0),0)+IF(AND(O1409="FIRE TEX 5062",E1409="CJ",J1409=4),VLOOKUP(_xlfn.MINIFS('FIRE TEX 5062'!$Q$3:$Q$34,'FIRE TEX 5062'!$Q$3:$Q$34,"&gt;="&amp;M1409),'FIRE TEX 5062'!$Q$3:$U$34,IF(L1409="F-15",2,IF(L1409="F-30",3,IF(L1409="F-60",4,IF(L1409="F-90",5,0)))),0),0)+IF(AND(O1409="FIRE TEX 5090",OR(E1409="IN",E1409="C",E1409="Z",E1409="L"),J1409=3),VLOOKUP(_xlfn.MINIFS('FIRE TEX 5090'!$B$5:$B$43,'FIRE TEX 5090'!$B$5:$B$43,"&gt;="&amp;M1409),'FIRE TEX 5090'!$B$5:$H$43,IF(L1409="F-15",2,IF(L1409="F-30",3,IF(L1409="F-60",4,IF(L1409="F-90",5,IF(L1409="F-120",6,IF(L1409="F-150",7,0)))))),0),0)+IF(AND(O1409="FIRE TEX 5090",OR(E1409="IN",E1409="C",E1409="Z",E1409="L"),J1409=4),VLOOKUP(_xlfn.MINIFS('FIRE TEX 5090'!$J$5:$J$43,'FIRE TEX 5090'!$J$5:$J$43,"&gt;="&amp;M1409),'FIRE TEX 5090'!$J$5:$P$43,IF(L1409="F-15",2,IF(L1409="F-30",3,IF(L1409="F-60",4,IF(L1409="F-90",5,IF(L1409="F-120",6,IF(L1409="F-150",7,0)))))),0),0)+IF(AND(O1409="FIRE TEX 5090",E1409="CJ",J1409=3),VLOOKUP(_xlfn.MINIFS('FIRE TEX 5090'!$R$5:$R$30,'FIRE TEX 5090'!$R$5:$R$30,"&gt;="&amp;M1409),'FIRE TEX 5090'!$R$5:$W$30,IF(L1409="F-15",2,IF(L1409="F-30",3,IF(L1409="F-60",4,IF(L1409="F-90",5,IF(L1409="F-120",6,IF(L1409="F-150",7,0)))))),0),0)+IF(AND(O1409="FIRE TEX 5090",E1409="CJ",J1409=4),VLOOKUP(_xlfn.MINIFS('FIRE TEX 5090'!$Y$5:$Y$39,'FIRE TEX 5090'!$Y$5:$Y$39,"&gt;="&amp;M1409),'FIRE TEX 5090'!$Y$5:$AD$39,IF(L1409="F-15",2,IF(L1409="F-30",3,IF(L1409="F-60",4,IF(L1409="F-90",5,IF(L1409="F-120",6,IF(L1409="F-150",7,0)))))),0),0)+IF(AND(O1409="FIRE TEX 5120",OR(E1409="IN",E1409="C",E1409="Z",E1409="L"),J1409=3),VLOOKUP(_xlfn.MINIFS('FIRE TEX 5120'!$B$5:$B$40,'FIRE TEX 5120'!$B$5:$B$40,"&gt;="&amp;M1409),'FIRE TEX 5120'!$B$5:$G$40,IF(L1409="F-15",2,IF(L1409="F-30",3,IF(L1409="F-60",4,IF(L1409="F-90",5,IF(L1409="F-120",6,0))))),0),0)+IF(AND(O1409="FIRE TEX 5120",OR(E1409="IN",E1409="C",E1409="Z",E1409="L"),J1409=4),VLOOKUP(_xlfn.MINIFS('FIRE TEX 5120'!$H$4:$H$40,'FIRE TEX 5120'!$H$4:$H$40,"&gt;="&amp;M1409),'FIRE TEX 5120'!$H$4:$M$40,IF(L1409="F-15",2,IF(L1409="F-30",3,IF(L1409="F-60",4,IF(L1409="F-90",5,IF(L1409="F-120",6,0))))),0),0)+IF(AND(O1409="FIRE TEX 5120",E1409="CJ"),VLOOKUP(_xlfn.MINIFS('FIRE TEX 5120'!$O$5:$O$40,'FIRE TEX 5120'!$O$5:$O$40,"&gt;="&amp;M1409),'FIRE TEX 5120'!$O$5:$T$40,IF(L1409="F-15",2,IF(L1409="F-30",3,IF(L1409="F-60",4,IF(L1409="F-90",5,IF(L1409="F-120",6,0))))),0),0)</f>
        <v>0</v>
      </c>
      <c r="Q1409" s="46">
        <f t="shared" si="129"/>
        <v>0</v>
      </c>
      <c r="R1409" s="46">
        <f t="shared" si="130"/>
        <v>0</v>
      </c>
      <c r="S1409" s="46" t="e">
        <f t="shared" si="131"/>
        <v>#VALUE!</v>
      </c>
      <c r="T1409" s="677">
        <f t="shared" si="132"/>
        <v>0</v>
      </c>
      <c r="U1409" s="80">
        <f>(IF(O1409="Stofire",(S1409*#REF!),0))+(IF(O1409="Fire Control",(S1409*$U$2),0))+(IF(O1409="Fire Tex",(S1409*$U$3),0))+(IF(O1409="WB7",(S1409*#REF!),0)+(IF(O1409="FX 2003",(S1409*$U$5),0)))</f>
        <v>0</v>
      </c>
      <c r="V1409" s="651">
        <f t="shared" si="133"/>
        <v>0</v>
      </c>
    </row>
    <row r="1410" spans="4:22" x14ac:dyDescent="0.25">
      <c r="D1410" s="118">
        <f>+CUBICACION!D1409</f>
        <v>0</v>
      </c>
      <c r="E1410" s="118">
        <f>+CUBICACION!F1409</f>
        <v>0</v>
      </c>
      <c r="F1410" s="118">
        <f>+CUBICACION!E1409</f>
        <v>0</v>
      </c>
      <c r="G1410" s="118">
        <v>12</v>
      </c>
      <c r="H1410" s="118">
        <v>2</v>
      </c>
      <c r="I1410" s="820">
        <v>26385</v>
      </c>
      <c r="J1410" s="118">
        <f>+CUBICACION!J1409</f>
        <v>0</v>
      </c>
      <c r="K1410" s="118">
        <v>4189</v>
      </c>
      <c r="L1410" s="118">
        <f>+CUBICACION!L1409</f>
        <v>0</v>
      </c>
      <c r="M1410" s="64">
        <f>+CUBICACION!M1409</f>
        <v>0</v>
      </c>
      <c r="N1410" s="824" t="str">
        <f>+CUBICACION!N1409</f>
        <v/>
      </c>
      <c r="O1410" s="675">
        <f>+CUBICACION!O1409</f>
        <v>0</v>
      </c>
      <c r="P1410" s="15">
        <f>IF(O1410="Fire Control",VLOOKUP(_xlfn.MINIFS('FIRE CONTROL'!$C$4:$C$37,'FIRE CONTROL'!$C$4:$C$37,"&gt;="&amp;M1410),'FIRE CONTROL'!$C$4:$G$37,IF(L1410="F-15",2,IF(L1410="F-30",3,IF(L1410="F-60",4,IF(L1410="F-90",5,0)))),0),0)+IF(AND(O1410="FIRE TEX 5062",OR(E1410="IN",E1410="C",E1410="Z",E1410="L"),J1410=3),VLOOKUP(_xlfn.MINIFS('FIRE TEX 5062'!$B$4:$B$34,'FIRE TEX 5062'!$B$4:$B$34,"&gt;="&amp;M1410),'FIRE TEX 5062'!$B$4:$F$34,IF(L1410="F-15",2,IF(L1410="F-30",3,IF(L1410="F-60",4,IF(L1410="F-90",5,0)))),0),0)+IF(AND(O1410="FIRE TEX 5062",OR(E1410="IN",E1410="C",E1410="Z",E1410="L"),J1410=4),VLOOKUP(_xlfn.MINIFS('FIRE TEX 5062'!$G$4:$G$34,'FIRE TEX 5062'!$G$4:$G$34,"&gt;="&amp;M1410),'FIRE TEX 5062'!$G$4:$K$34,IF(L1410="F-15",2,IF(L1410="F-30",3,IF(L1410="F-60",4,IF(L1410="F-90",5,0)))),0),0)+IF(AND(O1410="FIRE TEX 5062",E1410="CJ",J1410=3),VLOOKUP(_xlfn.MINIFS('FIRE TEX 5062'!$L$4:$L$34,'FIRE TEX 5062'!$L$4:$L$34,"&gt;="&amp;M1410),'FIRE TEX 5062'!$L$4:$P$34,IF(L1410="F-15",2,IF(L1410="F-30",3,IF(L1410="F-60",4,IF(L1410="F-90",5,0)))),0),0)+IF(AND(O1410="FIRE TEX 5062",E1410="CJ",J1410=4),VLOOKUP(_xlfn.MINIFS('FIRE TEX 5062'!$Q$3:$Q$34,'FIRE TEX 5062'!$Q$3:$Q$34,"&gt;="&amp;M1410),'FIRE TEX 5062'!$Q$3:$U$34,IF(L1410="F-15",2,IF(L1410="F-30",3,IF(L1410="F-60",4,IF(L1410="F-90",5,0)))),0),0)+IF(AND(O1410="FIRE TEX 5090",OR(E1410="IN",E1410="C",E1410="Z",E1410="L"),J1410=3),VLOOKUP(_xlfn.MINIFS('FIRE TEX 5090'!$B$5:$B$43,'FIRE TEX 5090'!$B$5:$B$43,"&gt;="&amp;M1410),'FIRE TEX 5090'!$B$5:$H$43,IF(L1410="F-15",2,IF(L1410="F-30",3,IF(L1410="F-60",4,IF(L1410="F-90",5,IF(L1410="F-120",6,IF(L1410="F-150",7,0)))))),0),0)+IF(AND(O1410="FIRE TEX 5090",OR(E1410="IN",E1410="C",E1410="Z",E1410="L"),J1410=4),VLOOKUP(_xlfn.MINIFS('FIRE TEX 5090'!$J$5:$J$43,'FIRE TEX 5090'!$J$5:$J$43,"&gt;="&amp;M1410),'FIRE TEX 5090'!$J$5:$P$43,IF(L1410="F-15",2,IF(L1410="F-30",3,IF(L1410="F-60",4,IF(L1410="F-90",5,IF(L1410="F-120",6,IF(L1410="F-150",7,0)))))),0),0)+IF(AND(O1410="FIRE TEX 5090",E1410="CJ",J1410=3),VLOOKUP(_xlfn.MINIFS('FIRE TEX 5090'!$R$5:$R$30,'FIRE TEX 5090'!$R$5:$R$30,"&gt;="&amp;M1410),'FIRE TEX 5090'!$R$5:$W$30,IF(L1410="F-15",2,IF(L1410="F-30",3,IF(L1410="F-60",4,IF(L1410="F-90",5,IF(L1410="F-120",6,IF(L1410="F-150",7,0)))))),0),0)+IF(AND(O1410="FIRE TEX 5090",E1410="CJ",J1410=4),VLOOKUP(_xlfn.MINIFS('FIRE TEX 5090'!$Y$5:$Y$39,'FIRE TEX 5090'!$Y$5:$Y$39,"&gt;="&amp;M1410),'FIRE TEX 5090'!$Y$5:$AD$39,IF(L1410="F-15",2,IF(L1410="F-30",3,IF(L1410="F-60",4,IF(L1410="F-90",5,IF(L1410="F-120",6,IF(L1410="F-150",7,0)))))),0),0)+IF(AND(O1410="FIRE TEX 5120",OR(E1410="IN",E1410="C",E1410="Z",E1410="L"),J1410=3),VLOOKUP(_xlfn.MINIFS('FIRE TEX 5120'!$B$5:$B$40,'FIRE TEX 5120'!$B$5:$B$40,"&gt;="&amp;M1410),'FIRE TEX 5120'!$B$5:$G$40,IF(L1410="F-15",2,IF(L1410="F-30",3,IF(L1410="F-60",4,IF(L1410="F-90",5,IF(L1410="F-120",6,0))))),0),0)+IF(AND(O1410="FIRE TEX 5120",OR(E1410="IN",E1410="C",E1410="Z",E1410="L"),J1410=4),VLOOKUP(_xlfn.MINIFS('FIRE TEX 5120'!$H$4:$H$40,'FIRE TEX 5120'!$H$4:$H$40,"&gt;="&amp;M1410),'FIRE TEX 5120'!$H$4:$M$40,IF(L1410="F-15",2,IF(L1410="F-30",3,IF(L1410="F-60",4,IF(L1410="F-90",5,IF(L1410="F-120",6,0))))),0),0)+IF(AND(O1410="FIRE TEX 5120",E1410="CJ"),VLOOKUP(_xlfn.MINIFS('FIRE TEX 5120'!$O$5:$O$40,'FIRE TEX 5120'!$O$5:$O$40,"&gt;="&amp;M1410),'FIRE TEX 5120'!$O$5:$T$40,IF(L1410="F-15",2,IF(L1410="F-30",3,IF(L1410="F-60",4,IF(L1410="F-90",5,IF(L1410="F-120",6,0))))),0),0)</f>
        <v>0</v>
      </c>
      <c r="Q1410" s="46">
        <f t="shared" si="129"/>
        <v>0</v>
      </c>
      <c r="R1410" s="46">
        <f t="shared" si="130"/>
        <v>0</v>
      </c>
      <c r="S1410" s="46" t="e">
        <f t="shared" si="131"/>
        <v>#VALUE!</v>
      </c>
      <c r="T1410" s="677">
        <f t="shared" si="132"/>
        <v>0</v>
      </c>
      <c r="U1410" s="80">
        <f>(IF(O1410="Stofire",(S1410*#REF!),0))+(IF(O1410="Fire Control",(S1410*$U$2),0))+(IF(O1410="Fire Tex",(S1410*$U$3),0))+(IF(O1410="WB7",(S1410*#REF!),0)+(IF(O1410="FX 2003",(S1410*$U$5),0)))</f>
        <v>0</v>
      </c>
      <c r="V1410" s="651">
        <f t="shared" si="133"/>
        <v>0</v>
      </c>
    </row>
    <row r="1411" spans="4:22" x14ac:dyDescent="0.25">
      <c r="D1411" s="118">
        <f>+CUBICACION!D1410</f>
        <v>0</v>
      </c>
      <c r="E1411" s="118">
        <f>+CUBICACION!F1410</f>
        <v>0</v>
      </c>
      <c r="F1411" s="118">
        <f>+CUBICACION!E1410</f>
        <v>0</v>
      </c>
      <c r="G1411" s="118">
        <v>12</v>
      </c>
      <c r="H1411" s="118">
        <v>2</v>
      </c>
      <c r="I1411" s="820">
        <v>26385</v>
      </c>
      <c r="J1411" s="118">
        <f>+CUBICACION!J1410</f>
        <v>0</v>
      </c>
      <c r="K1411" s="118">
        <v>4190</v>
      </c>
      <c r="L1411" s="118">
        <f>+CUBICACION!L1410</f>
        <v>0</v>
      </c>
      <c r="M1411" s="64">
        <f>+CUBICACION!M1410</f>
        <v>0</v>
      </c>
      <c r="N1411" s="824" t="str">
        <f>+CUBICACION!N1410</f>
        <v/>
      </c>
      <c r="O1411" s="675">
        <f>+CUBICACION!O1410</f>
        <v>0</v>
      </c>
      <c r="P1411" s="15">
        <f>IF(O1411="Fire Control",VLOOKUP(_xlfn.MINIFS('FIRE CONTROL'!$C$4:$C$37,'FIRE CONTROL'!$C$4:$C$37,"&gt;="&amp;M1411),'FIRE CONTROL'!$C$4:$G$37,IF(L1411="F-15",2,IF(L1411="F-30",3,IF(L1411="F-60",4,IF(L1411="F-90",5,0)))),0),0)+IF(AND(O1411="FIRE TEX 5062",OR(E1411="IN",E1411="C",E1411="Z",E1411="L"),J1411=3),VLOOKUP(_xlfn.MINIFS('FIRE TEX 5062'!$B$4:$B$34,'FIRE TEX 5062'!$B$4:$B$34,"&gt;="&amp;M1411),'FIRE TEX 5062'!$B$4:$F$34,IF(L1411="F-15",2,IF(L1411="F-30",3,IF(L1411="F-60",4,IF(L1411="F-90",5,0)))),0),0)+IF(AND(O1411="FIRE TEX 5062",OR(E1411="IN",E1411="C",E1411="Z",E1411="L"),J1411=4),VLOOKUP(_xlfn.MINIFS('FIRE TEX 5062'!$G$4:$G$34,'FIRE TEX 5062'!$G$4:$G$34,"&gt;="&amp;M1411),'FIRE TEX 5062'!$G$4:$K$34,IF(L1411="F-15",2,IF(L1411="F-30",3,IF(L1411="F-60",4,IF(L1411="F-90",5,0)))),0),0)+IF(AND(O1411="FIRE TEX 5062",E1411="CJ",J1411=3),VLOOKUP(_xlfn.MINIFS('FIRE TEX 5062'!$L$4:$L$34,'FIRE TEX 5062'!$L$4:$L$34,"&gt;="&amp;M1411),'FIRE TEX 5062'!$L$4:$P$34,IF(L1411="F-15",2,IF(L1411="F-30",3,IF(L1411="F-60",4,IF(L1411="F-90",5,0)))),0),0)+IF(AND(O1411="FIRE TEX 5062",E1411="CJ",J1411=4),VLOOKUP(_xlfn.MINIFS('FIRE TEX 5062'!$Q$3:$Q$34,'FIRE TEX 5062'!$Q$3:$Q$34,"&gt;="&amp;M1411),'FIRE TEX 5062'!$Q$3:$U$34,IF(L1411="F-15",2,IF(L1411="F-30",3,IF(L1411="F-60",4,IF(L1411="F-90",5,0)))),0),0)+IF(AND(O1411="FIRE TEX 5090",OR(E1411="IN",E1411="C",E1411="Z",E1411="L"),J1411=3),VLOOKUP(_xlfn.MINIFS('FIRE TEX 5090'!$B$5:$B$43,'FIRE TEX 5090'!$B$5:$B$43,"&gt;="&amp;M1411),'FIRE TEX 5090'!$B$5:$H$43,IF(L1411="F-15",2,IF(L1411="F-30",3,IF(L1411="F-60",4,IF(L1411="F-90",5,IF(L1411="F-120",6,IF(L1411="F-150",7,0)))))),0),0)+IF(AND(O1411="FIRE TEX 5090",OR(E1411="IN",E1411="C",E1411="Z",E1411="L"),J1411=4),VLOOKUP(_xlfn.MINIFS('FIRE TEX 5090'!$J$5:$J$43,'FIRE TEX 5090'!$J$5:$J$43,"&gt;="&amp;M1411),'FIRE TEX 5090'!$J$5:$P$43,IF(L1411="F-15",2,IF(L1411="F-30",3,IF(L1411="F-60",4,IF(L1411="F-90",5,IF(L1411="F-120",6,IF(L1411="F-150",7,0)))))),0),0)+IF(AND(O1411="FIRE TEX 5090",E1411="CJ",J1411=3),VLOOKUP(_xlfn.MINIFS('FIRE TEX 5090'!$R$5:$R$30,'FIRE TEX 5090'!$R$5:$R$30,"&gt;="&amp;M1411),'FIRE TEX 5090'!$R$5:$W$30,IF(L1411="F-15",2,IF(L1411="F-30",3,IF(L1411="F-60",4,IF(L1411="F-90",5,IF(L1411="F-120",6,IF(L1411="F-150",7,0)))))),0),0)+IF(AND(O1411="FIRE TEX 5090",E1411="CJ",J1411=4),VLOOKUP(_xlfn.MINIFS('FIRE TEX 5090'!$Y$5:$Y$39,'FIRE TEX 5090'!$Y$5:$Y$39,"&gt;="&amp;M1411),'FIRE TEX 5090'!$Y$5:$AD$39,IF(L1411="F-15",2,IF(L1411="F-30",3,IF(L1411="F-60",4,IF(L1411="F-90",5,IF(L1411="F-120",6,IF(L1411="F-150",7,0)))))),0),0)+IF(AND(O1411="FIRE TEX 5120",OR(E1411="IN",E1411="C",E1411="Z",E1411="L"),J1411=3),VLOOKUP(_xlfn.MINIFS('FIRE TEX 5120'!$B$5:$B$40,'FIRE TEX 5120'!$B$5:$B$40,"&gt;="&amp;M1411),'FIRE TEX 5120'!$B$5:$G$40,IF(L1411="F-15",2,IF(L1411="F-30",3,IF(L1411="F-60",4,IF(L1411="F-90",5,IF(L1411="F-120",6,0))))),0),0)+IF(AND(O1411="FIRE TEX 5120",OR(E1411="IN",E1411="C",E1411="Z",E1411="L"),J1411=4),VLOOKUP(_xlfn.MINIFS('FIRE TEX 5120'!$H$4:$H$40,'FIRE TEX 5120'!$H$4:$H$40,"&gt;="&amp;M1411),'FIRE TEX 5120'!$H$4:$M$40,IF(L1411="F-15",2,IF(L1411="F-30",3,IF(L1411="F-60",4,IF(L1411="F-90",5,IF(L1411="F-120",6,0))))),0),0)+IF(AND(O1411="FIRE TEX 5120",E1411="CJ"),VLOOKUP(_xlfn.MINIFS('FIRE TEX 5120'!$O$5:$O$40,'FIRE TEX 5120'!$O$5:$O$40,"&gt;="&amp;M1411),'FIRE TEX 5120'!$O$5:$T$40,IF(L1411="F-15",2,IF(L1411="F-30",3,IF(L1411="F-60",4,IF(L1411="F-90",5,IF(L1411="F-120",6,0))))),0),0)</f>
        <v>0</v>
      </c>
      <c r="Q1411" s="46">
        <f t="shared" si="129"/>
        <v>0</v>
      </c>
      <c r="R1411" s="46">
        <f t="shared" si="130"/>
        <v>0</v>
      </c>
      <c r="S1411" s="46" t="e">
        <f t="shared" si="131"/>
        <v>#VALUE!</v>
      </c>
      <c r="T1411" s="677">
        <f t="shared" si="132"/>
        <v>0</v>
      </c>
      <c r="U1411" s="80">
        <f>(IF(O1411="Stofire",(S1411*#REF!),0))+(IF(O1411="Fire Control",(S1411*$U$2),0))+(IF(O1411="Fire Tex",(S1411*$U$3),0))+(IF(O1411="WB7",(S1411*#REF!),0)+(IF(O1411="FX 2003",(S1411*$U$5),0)))</f>
        <v>0</v>
      </c>
      <c r="V1411" s="651">
        <f t="shared" si="133"/>
        <v>0</v>
      </c>
    </row>
    <row r="1412" spans="4:22" x14ac:dyDescent="0.25">
      <c r="D1412" s="118">
        <f>+CUBICACION!D1411</f>
        <v>0</v>
      </c>
      <c r="E1412" s="118">
        <f>+CUBICACION!F1411</f>
        <v>0</v>
      </c>
      <c r="F1412" s="118">
        <f>+CUBICACION!E1411</f>
        <v>0</v>
      </c>
      <c r="G1412" s="118">
        <v>12</v>
      </c>
      <c r="H1412" s="118">
        <v>2</v>
      </c>
      <c r="I1412" s="820">
        <v>26385</v>
      </c>
      <c r="J1412" s="118">
        <f>+CUBICACION!J1411</f>
        <v>0</v>
      </c>
      <c r="K1412" s="118">
        <v>4191</v>
      </c>
      <c r="L1412" s="118">
        <f>+CUBICACION!L1411</f>
        <v>0</v>
      </c>
      <c r="M1412" s="64">
        <f>+CUBICACION!M1411</f>
        <v>0</v>
      </c>
      <c r="N1412" s="824" t="str">
        <f>+CUBICACION!N1411</f>
        <v/>
      </c>
      <c r="O1412" s="675">
        <f>+CUBICACION!O1411</f>
        <v>0</v>
      </c>
      <c r="P1412" s="15">
        <f>IF(O1412="Fire Control",VLOOKUP(_xlfn.MINIFS('FIRE CONTROL'!$C$4:$C$37,'FIRE CONTROL'!$C$4:$C$37,"&gt;="&amp;M1412),'FIRE CONTROL'!$C$4:$G$37,IF(L1412="F-15",2,IF(L1412="F-30",3,IF(L1412="F-60",4,IF(L1412="F-90",5,0)))),0),0)+IF(AND(O1412="FIRE TEX 5062",OR(E1412="IN",E1412="C",E1412="Z",E1412="L"),J1412=3),VLOOKUP(_xlfn.MINIFS('FIRE TEX 5062'!$B$4:$B$34,'FIRE TEX 5062'!$B$4:$B$34,"&gt;="&amp;M1412),'FIRE TEX 5062'!$B$4:$F$34,IF(L1412="F-15",2,IF(L1412="F-30",3,IF(L1412="F-60",4,IF(L1412="F-90",5,0)))),0),0)+IF(AND(O1412="FIRE TEX 5062",OR(E1412="IN",E1412="C",E1412="Z",E1412="L"),J1412=4),VLOOKUP(_xlfn.MINIFS('FIRE TEX 5062'!$G$4:$G$34,'FIRE TEX 5062'!$G$4:$G$34,"&gt;="&amp;M1412),'FIRE TEX 5062'!$G$4:$K$34,IF(L1412="F-15",2,IF(L1412="F-30",3,IF(L1412="F-60",4,IF(L1412="F-90",5,0)))),0),0)+IF(AND(O1412="FIRE TEX 5062",E1412="CJ",J1412=3),VLOOKUP(_xlfn.MINIFS('FIRE TEX 5062'!$L$4:$L$34,'FIRE TEX 5062'!$L$4:$L$34,"&gt;="&amp;M1412),'FIRE TEX 5062'!$L$4:$P$34,IF(L1412="F-15",2,IF(L1412="F-30",3,IF(L1412="F-60",4,IF(L1412="F-90",5,0)))),0),0)+IF(AND(O1412="FIRE TEX 5062",E1412="CJ",J1412=4),VLOOKUP(_xlfn.MINIFS('FIRE TEX 5062'!$Q$3:$Q$34,'FIRE TEX 5062'!$Q$3:$Q$34,"&gt;="&amp;M1412),'FIRE TEX 5062'!$Q$3:$U$34,IF(L1412="F-15",2,IF(L1412="F-30",3,IF(L1412="F-60",4,IF(L1412="F-90",5,0)))),0),0)+IF(AND(O1412="FIRE TEX 5090",OR(E1412="IN",E1412="C",E1412="Z",E1412="L"),J1412=3),VLOOKUP(_xlfn.MINIFS('FIRE TEX 5090'!$B$5:$B$43,'FIRE TEX 5090'!$B$5:$B$43,"&gt;="&amp;M1412),'FIRE TEX 5090'!$B$5:$H$43,IF(L1412="F-15",2,IF(L1412="F-30",3,IF(L1412="F-60",4,IF(L1412="F-90",5,IF(L1412="F-120",6,IF(L1412="F-150",7,0)))))),0),0)+IF(AND(O1412="FIRE TEX 5090",OR(E1412="IN",E1412="C",E1412="Z",E1412="L"),J1412=4),VLOOKUP(_xlfn.MINIFS('FIRE TEX 5090'!$J$5:$J$43,'FIRE TEX 5090'!$J$5:$J$43,"&gt;="&amp;M1412),'FIRE TEX 5090'!$J$5:$P$43,IF(L1412="F-15",2,IF(L1412="F-30",3,IF(L1412="F-60",4,IF(L1412="F-90",5,IF(L1412="F-120",6,IF(L1412="F-150",7,0)))))),0),0)+IF(AND(O1412="FIRE TEX 5090",E1412="CJ",J1412=3),VLOOKUP(_xlfn.MINIFS('FIRE TEX 5090'!$R$5:$R$30,'FIRE TEX 5090'!$R$5:$R$30,"&gt;="&amp;M1412),'FIRE TEX 5090'!$R$5:$W$30,IF(L1412="F-15",2,IF(L1412="F-30",3,IF(L1412="F-60",4,IF(L1412="F-90",5,IF(L1412="F-120",6,IF(L1412="F-150",7,0)))))),0),0)+IF(AND(O1412="FIRE TEX 5090",E1412="CJ",J1412=4),VLOOKUP(_xlfn.MINIFS('FIRE TEX 5090'!$Y$5:$Y$39,'FIRE TEX 5090'!$Y$5:$Y$39,"&gt;="&amp;M1412),'FIRE TEX 5090'!$Y$5:$AD$39,IF(L1412="F-15",2,IF(L1412="F-30",3,IF(L1412="F-60",4,IF(L1412="F-90",5,IF(L1412="F-120",6,IF(L1412="F-150",7,0)))))),0),0)+IF(AND(O1412="FIRE TEX 5120",OR(E1412="IN",E1412="C",E1412="Z",E1412="L"),J1412=3),VLOOKUP(_xlfn.MINIFS('FIRE TEX 5120'!$B$5:$B$40,'FIRE TEX 5120'!$B$5:$B$40,"&gt;="&amp;M1412),'FIRE TEX 5120'!$B$5:$G$40,IF(L1412="F-15",2,IF(L1412="F-30",3,IF(L1412="F-60",4,IF(L1412="F-90",5,IF(L1412="F-120",6,0))))),0),0)+IF(AND(O1412="FIRE TEX 5120",OR(E1412="IN",E1412="C",E1412="Z",E1412="L"),J1412=4),VLOOKUP(_xlfn.MINIFS('FIRE TEX 5120'!$H$4:$H$40,'FIRE TEX 5120'!$H$4:$H$40,"&gt;="&amp;M1412),'FIRE TEX 5120'!$H$4:$M$40,IF(L1412="F-15",2,IF(L1412="F-30",3,IF(L1412="F-60",4,IF(L1412="F-90",5,IF(L1412="F-120",6,0))))),0),0)+IF(AND(O1412="FIRE TEX 5120",E1412="CJ"),VLOOKUP(_xlfn.MINIFS('FIRE TEX 5120'!$O$5:$O$40,'FIRE TEX 5120'!$O$5:$O$40,"&gt;="&amp;M1412),'FIRE TEX 5120'!$O$5:$T$40,IF(L1412="F-15",2,IF(L1412="F-30",3,IF(L1412="F-60",4,IF(L1412="F-90",5,IF(L1412="F-120",6,0))))),0),0)</f>
        <v>0</v>
      </c>
      <c r="Q1412" s="46">
        <f t="shared" si="129"/>
        <v>0</v>
      </c>
      <c r="R1412" s="46">
        <f t="shared" si="130"/>
        <v>0</v>
      </c>
      <c r="S1412" s="46" t="e">
        <f t="shared" si="131"/>
        <v>#VALUE!</v>
      </c>
      <c r="T1412" s="677">
        <f t="shared" si="132"/>
        <v>0</v>
      </c>
      <c r="U1412" s="80">
        <f>(IF(O1412="Stofire",(S1412*#REF!),0))+(IF(O1412="Fire Control",(S1412*$U$2),0))+(IF(O1412="Fire Tex",(S1412*$U$3),0))+(IF(O1412="WB7",(S1412*#REF!),0)+(IF(O1412="FX 2003",(S1412*$U$5),0)))</f>
        <v>0</v>
      </c>
      <c r="V1412" s="651">
        <f t="shared" si="133"/>
        <v>0</v>
      </c>
    </row>
    <row r="1413" spans="4:22" x14ac:dyDescent="0.25">
      <c r="D1413" s="118">
        <f>+CUBICACION!D1412</f>
        <v>0</v>
      </c>
      <c r="E1413" s="118">
        <f>+CUBICACION!F1412</f>
        <v>0</v>
      </c>
      <c r="F1413" s="118">
        <f>+CUBICACION!E1412</f>
        <v>0</v>
      </c>
      <c r="G1413" s="118">
        <v>12</v>
      </c>
      <c r="H1413" s="118">
        <v>2</v>
      </c>
      <c r="I1413" s="820">
        <v>26385</v>
      </c>
      <c r="J1413" s="118">
        <f>+CUBICACION!J1412</f>
        <v>0</v>
      </c>
      <c r="K1413" s="118">
        <v>4192</v>
      </c>
      <c r="L1413" s="118">
        <f>+CUBICACION!L1412</f>
        <v>0</v>
      </c>
      <c r="M1413" s="64">
        <f>+CUBICACION!M1412</f>
        <v>0</v>
      </c>
      <c r="N1413" s="824" t="str">
        <f>+CUBICACION!N1412</f>
        <v/>
      </c>
      <c r="O1413" s="675">
        <f>+CUBICACION!O1412</f>
        <v>0</v>
      </c>
      <c r="P1413" s="15">
        <f>IF(O1413="Fire Control",VLOOKUP(_xlfn.MINIFS('FIRE CONTROL'!$C$4:$C$37,'FIRE CONTROL'!$C$4:$C$37,"&gt;="&amp;M1413),'FIRE CONTROL'!$C$4:$G$37,IF(L1413="F-15",2,IF(L1413="F-30",3,IF(L1413="F-60",4,IF(L1413="F-90",5,0)))),0),0)+IF(AND(O1413="FIRE TEX 5062",OR(E1413="IN",E1413="C",E1413="Z",E1413="L"),J1413=3),VLOOKUP(_xlfn.MINIFS('FIRE TEX 5062'!$B$4:$B$34,'FIRE TEX 5062'!$B$4:$B$34,"&gt;="&amp;M1413),'FIRE TEX 5062'!$B$4:$F$34,IF(L1413="F-15",2,IF(L1413="F-30",3,IF(L1413="F-60",4,IF(L1413="F-90",5,0)))),0),0)+IF(AND(O1413="FIRE TEX 5062",OR(E1413="IN",E1413="C",E1413="Z",E1413="L"),J1413=4),VLOOKUP(_xlfn.MINIFS('FIRE TEX 5062'!$G$4:$G$34,'FIRE TEX 5062'!$G$4:$G$34,"&gt;="&amp;M1413),'FIRE TEX 5062'!$G$4:$K$34,IF(L1413="F-15",2,IF(L1413="F-30",3,IF(L1413="F-60",4,IF(L1413="F-90",5,0)))),0),0)+IF(AND(O1413="FIRE TEX 5062",E1413="CJ",J1413=3),VLOOKUP(_xlfn.MINIFS('FIRE TEX 5062'!$L$4:$L$34,'FIRE TEX 5062'!$L$4:$L$34,"&gt;="&amp;M1413),'FIRE TEX 5062'!$L$4:$P$34,IF(L1413="F-15",2,IF(L1413="F-30",3,IF(L1413="F-60",4,IF(L1413="F-90",5,0)))),0),0)+IF(AND(O1413="FIRE TEX 5062",E1413="CJ",J1413=4),VLOOKUP(_xlfn.MINIFS('FIRE TEX 5062'!$Q$3:$Q$34,'FIRE TEX 5062'!$Q$3:$Q$34,"&gt;="&amp;M1413),'FIRE TEX 5062'!$Q$3:$U$34,IF(L1413="F-15",2,IF(L1413="F-30",3,IF(L1413="F-60",4,IF(L1413="F-90",5,0)))),0),0)+IF(AND(O1413="FIRE TEX 5090",OR(E1413="IN",E1413="C",E1413="Z",E1413="L"),J1413=3),VLOOKUP(_xlfn.MINIFS('FIRE TEX 5090'!$B$5:$B$43,'FIRE TEX 5090'!$B$5:$B$43,"&gt;="&amp;M1413),'FIRE TEX 5090'!$B$5:$H$43,IF(L1413="F-15",2,IF(L1413="F-30",3,IF(L1413="F-60",4,IF(L1413="F-90",5,IF(L1413="F-120",6,IF(L1413="F-150",7,0)))))),0),0)+IF(AND(O1413="FIRE TEX 5090",OR(E1413="IN",E1413="C",E1413="Z",E1413="L"),J1413=4),VLOOKUP(_xlfn.MINIFS('FIRE TEX 5090'!$J$5:$J$43,'FIRE TEX 5090'!$J$5:$J$43,"&gt;="&amp;M1413),'FIRE TEX 5090'!$J$5:$P$43,IF(L1413="F-15",2,IF(L1413="F-30",3,IF(L1413="F-60",4,IF(L1413="F-90",5,IF(L1413="F-120",6,IF(L1413="F-150",7,0)))))),0),0)+IF(AND(O1413="FIRE TEX 5090",E1413="CJ",J1413=3),VLOOKUP(_xlfn.MINIFS('FIRE TEX 5090'!$R$5:$R$30,'FIRE TEX 5090'!$R$5:$R$30,"&gt;="&amp;M1413),'FIRE TEX 5090'!$R$5:$W$30,IF(L1413="F-15",2,IF(L1413="F-30",3,IF(L1413="F-60",4,IF(L1413="F-90",5,IF(L1413="F-120",6,IF(L1413="F-150",7,0)))))),0),0)+IF(AND(O1413="FIRE TEX 5090",E1413="CJ",J1413=4),VLOOKUP(_xlfn.MINIFS('FIRE TEX 5090'!$Y$5:$Y$39,'FIRE TEX 5090'!$Y$5:$Y$39,"&gt;="&amp;M1413),'FIRE TEX 5090'!$Y$5:$AD$39,IF(L1413="F-15",2,IF(L1413="F-30",3,IF(L1413="F-60",4,IF(L1413="F-90",5,IF(L1413="F-120",6,IF(L1413="F-150",7,0)))))),0),0)+IF(AND(O1413="FIRE TEX 5120",OR(E1413="IN",E1413="C",E1413="Z",E1413="L"),J1413=3),VLOOKUP(_xlfn.MINIFS('FIRE TEX 5120'!$B$5:$B$40,'FIRE TEX 5120'!$B$5:$B$40,"&gt;="&amp;M1413),'FIRE TEX 5120'!$B$5:$G$40,IF(L1413="F-15",2,IF(L1413="F-30",3,IF(L1413="F-60",4,IF(L1413="F-90",5,IF(L1413="F-120",6,0))))),0),0)+IF(AND(O1413="FIRE TEX 5120",OR(E1413="IN",E1413="C",E1413="Z",E1413="L"),J1413=4),VLOOKUP(_xlfn.MINIFS('FIRE TEX 5120'!$H$4:$H$40,'FIRE TEX 5120'!$H$4:$H$40,"&gt;="&amp;M1413),'FIRE TEX 5120'!$H$4:$M$40,IF(L1413="F-15",2,IF(L1413="F-30",3,IF(L1413="F-60",4,IF(L1413="F-90",5,IF(L1413="F-120",6,0))))),0),0)+IF(AND(O1413="FIRE TEX 5120",E1413="CJ"),VLOOKUP(_xlfn.MINIFS('FIRE TEX 5120'!$O$5:$O$40,'FIRE TEX 5120'!$O$5:$O$40,"&gt;="&amp;M1413),'FIRE TEX 5120'!$O$5:$T$40,IF(L1413="F-15",2,IF(L1413="F-30",3,IF(L1413="F-60",4,IF(L1413="F-90",5,IF(L1413="F-120",6,0))))),0),0)</f>
        <v>0</v>
      </c>
      <c r="Q1413" s="46">
        <f t="shared" si="129"/>
        <v>0</v>
      </c>
      <c r="R1413" s="46">
        <f t="shared" si="130"/>
        <v>0</v>
      </c>
      <c r="S1413" s="46" t="e">
        <f t="shared" si="131"/>
        <v>#VALUE!</v>
      </c>
      <c r="T1413" s="677">
        <f t="shared" si="132"/>
        <v>0</v>
      </c>
      <c r="U1413" s="80">
        <f>(IF(O1413="Stofire",(S1413*#REF!),0))+(IF(O1413="Fire Control",(S1413*$U$2),0))+(IF(O1413="Fire Tex",(S1413*$U$3),0))+(IF(O1413="WB7",(S1413*#REF!),0)+(IF(O1413="FX 2003",(S1413*$U$5),0)))</f>
        <v>0</v>
      </c>
      <c r="V1413" s="651">
        <f t="shared" si="133"/>
        <v>0</v>
      </c>
    </row>
    <row r="1414" spans="4:22" x14ac:dyDescent="0.25">
      <c r="D1414" s="118">
        <f>+CUBICACION!D1413</f>
        <v>0</v>
      </c>
      <c r="E1414" s="118">
        <f>+CUBICACION!F1413</f>
        <v>0</v>
      </c>
      <c r="F1414" s="118">
        <f>+CUBICACION!E1413</f>
        <v>0</v>
      </c>
      <c r="G1414" s="118">
        <v>12</v>
      </c>
      <c r="H1414" s="118">
        <v>2</v>
      </c>
      <c r="I1414" s="820">
        <v>26385</v>
      </c>
      <c r="J1414" s="118">
        <f>+CUBICACION!J1413</f>
        <v>0</v>
      </c>
      <c r="K1414" s="118">
        <v>4193</v>
      </c>
      <c r="L1414" s="118">
        <f>+CUBICACION!L1413</f>
        <v>0</v>
      </c>
      <c r="M1414" s="64">
        <f>+CUBICACION!M1413</f>
        <v>0</v>
      </c>
      <c r="N1414" s="824" t="str">
        <f>+CUBICACION!N1413</f>
        <v/>
      </c>
      <c r="O1414" s="675">
        <f>+CUBICACION!O1413</f>
        <v>0</v>
      </c>
      <c r="P1414" s="15">
        <f>IF(O1414="Fire Control",VLOOKUP(_xlfn.MINIFS('FIRE CONTROL'!$C$4:$C$37,'FIRE CONTROL'!$C$4:$C$37,"&gt;="&amp;M1414),'FIRE CONTROL'!$C$4:$G$37,IF(L1414="F-15",2,IF(L1414="F-30",3,IF(L1414="F-60",4,IF(L1414="F-90",5,0)))),0),0)+IF(AND(O1414="FIRE TEX 5062",OR(E1414="IN",E1414="C",E1414="Z",E1414="L"),J1414=3),VLOOKUP(_xlfn.MINIFS('FIRE TEX 5062'!$B$4:$B$34,'FIRE TEX 5062'!$B$4:$B$34,"&gt;="&amp;M1414),'FIRE TEX 5062'!$B$4:$F$34,IF(L1414="F-15",2,IF(L1414="F-30",3,IF(L1414="F-60",4,IF(L1414="F-90",5,0)))),0),0)+IF(AND(O1414="FIRE TEX 5062",OR(E1414="IN",E1414="C",E1414="Z",E1414="L"),J1414=4),VLOOKUP(_xlfn.MINIFS('FIRE TEX 5062'!$G$4:$G$34,'FIRE TEX 5062'!$G$4:$G$34,"&gt;="&amp;M1414),'FIRE TEX 5062'!$G$4:$K$34,IF(L1414="F-15",2,IF(L1414="F-30",3,IF(L1414="F-60",4,IF(L1414="F-90",5,0)))),0),0)+IF(AND(O1414="FIRE TEX 5062",E1414="CJ",J1414=3),VLOOKUP(_xlfn.MINIFS('FIRE TEX 5062'!$L$4:$L$34,'FIRE TEX 5062'!$L$4:$L$34,"&gt;="&amp;M1414),'FIRE TEX 5062'!$L$4:$P$34,IF(L1414="F-15",2,IF(L1414="F-30",3,IF(L1414="F-60",4,IF(L1414="F-90",5,0)))),0),0)+IF(AND(O1414="FIRE TEX 5062",E1414="CJ",J1414=4),VLOOKUP(_xlfn.MINIFS('FIRE TEX 5062'!$Q$3:$Q$34,'FIRE TEX 5062'!$Q$3:$Q$34,"&gt;="&amp;M1414),'FIRE TEX 5062'!$Q$3:$U$34,IF(L1414="F-15",2,IF(L1414="F-30",3,IF(L1414="F-60",4,IF(L1414="F-90",5,0)))),0),0)+IF(AND(O1414="FIRE TEX 5090",OR(E1414="IN",E1414="C",E1414="Z",E1414="L"),J1414=3),VLOOKUP(_xlfn.MINIFS('FIRE TEX 5090'!$B$5:$B$43,'FIRE TEX 5090'!$B$5:$B$43,"&gt;="&amp;M1414),'FIRE TEX 5090'!$B$5:$H$43,IF(L1414="F-15",2,IF(L1414="F-30",3,IF(L1414="F-60",4,IF(L1414="F-90",5,IF(L1414="F-120",6,IF(L1414="F-150",7,0)))))),0),0)+IF(AND(O1414="FIRE TEX 5090",OR(E1414="IN",E1414="C",E1414="Z",E1414="L"),J1414=4),VLOOKUP(_xlfn.MINIFS('FIRE TEX 5090'!$J$5:$J$43,'FIRE TEX 5090'!$J$5:$J$43,"&gt;="&amp;M1414),'FIRE TEX 5090'!$J$5:$P$43,IF(L1414="F-15",2,IF(L1414="F-30",3,IF(L1414="F-60",4,IF(L1414="F-90",5,IF(L1414="F-120",6,IF(L1414="F-150",7,0)))))),0),0)+IF(AND(O1414="FIRE TEX 5090",E1414="CJ",J1414=3),VLOOKUP(_xlfn.MINIFS('FIRE TEX 5090'!$R$5:$R$30,'FIRE TEX 5090'!$R$5:$R$30,"&gt;="&amp;M1414),'FIRE TEX 5090'!$R$5:$W$30,IF(L1414="F-15",2,IF(L1414="F-30",3,IF(L1414="F-60",4,IF(L1414="F-90",5,IF(L1414="F-120",6,IF(L1414="F-150",7,0)))))),0),0)+IF(AND(O1414="FIRE TEX 5090",E1414="CJ",J1414=4),VLOOKUP(_xlfn.MINIFS('FIRE TEX 5090'!$Y$5:$Y$39,'FIRE TEX 5090'!$Y$5:$Y$39,"&gt;="&amp;M1414),'FIRE TEX 5090'!$Y$5:$AD$39,IF(L1414="F-15",2,IF(L1414="F-30",3,IF(L1414="F-60",4,IF(L1414="F-90",5,IF(L1414="F-120",6,IF(L1414="F-150",7,0)))))),0),0)+IF(AND(O1414="FIRE TEX 5120",OR(E1414="IN",E1414="C",E1414="Z",E1414="L"),J1414=3),VLOOKUP(_xlfn.MINIFS('FIRE TEX 5120'!$B$5:$B$40,'FIRE TEX 5120'!$B$5:$B$40,"&gt;="&amp;M1414),'FIRE TEX 5120'!$B$5:$G$40,IF(L1414="F-15",2,IF(L1414="F-30",3,IF(L1414="F-60",4,IF(L1414="F-90",5,IF(L1414="F-120",6,0))))),0),0)+IF(AND(O1414="FIRE TEX 5120",OR(E1414="IN",E1414="C",E1414="Z",E1414="L"),J1414=4),VLOOKUP(_xlfn.MINIFS('FIRE TEX 5120'!$H$4:$H$40,'FIRE TEX 5120'!$H$4:$H$40,"&gt;="&amp;M1414),'FIRE TEX 5120'!$H$4:$M$40,IF(L1414="F-15",2,IF(L1414="F-30",3,IF(L1414="F-60",4,IF(L1414="F-90",5,IF(L1414="F-120",6,0))))),0),0)+IF(AND(O1414="FIRE TEX 5120",E1414="CJ"),VLOOKUP(_xlfn.MINIFS('FIRE TEX 5120'!$O$5:$O$40,'FIRE TEX 5120'!$O$5:$O$40,"&gt;="&amp;M1414),'FIRE TEX 5120'!$O$5:$T$40,IF(L1414="F-15",2,IF(L1414="F-30",3,IF(L1414="F-60",4,IF(L1414="F-90",5,IF(L1414="F-120",6,0))))),0),0)</f>
        <v>0</v>
      </c>
      <c r="Q1414" s="46">
        <f t="shared" si="129"/>
        <v>0</v>
      </c>
      <c r="R1414" s="46">
        <f t="shared" si="130"/>
        <v>0</v>
      </c>
      <c r="S1414" s="46" t="e">
        <f t="shared" si="131"/>
        <v>#VALUE!</v>
      </c>
      <c r="T1414" s="677">
        <f t="shared" si="132"/>
        <v>0</v>
      </c>
      <c r="U1414" s="80">
        <f>(IF(O1414="Stofire",(S1414*#REF!),0))+(IF(O1414="Fire Control",(S1414*$U$2),0))+(IF(O1414="Fire Tex",(S1414*$U$3),0))+(IF(O1414="WB7",(S1414*#REF!),0)+(IF(O1414="FX 2003",(S1414*$U$5),0)))</f>
        <v>0</v>
      </c>
      <c r="V1414" s="651">
        <f t="shared" si="133"/>
        <v>0</v>
      </c>
    </row>
    <row r="1415" spans="4:22" x14ac:dyDescent="0.25">
      <c r="D1415" s="118">
        <f>+CUBICACION!D1414</f>
        <v>0</v>
      </c>
      <c r="E1415" s="118">
        <f>+CUBICACION!F1414</f>
        <v>0</v>
      </c>
      <c r="F1415" s="118">
        <f>+CUBICACION!E1414</f>
        <v>0</v>
      </c>
      <c r="G1415" s="118">
        <v>12</v>
      </c>
      <c r="H1415" s="118">
        <v>2</v>
      </c>
      <c r="I1415" s="820">
        <v>26385</v>
      </c>
      <c r="J1415" s="118">
        <f>+CUBICACION!J1414</f>
        <v>0</v>
      </c>
      <c r="K1415" s="118">
        <v>4194</v>
      </c>
      <c r="L1415" s="118">
        <f>+CUBICACION!L1414</f>
        <v>0</v>
      </c>
      <c r="M1415" s="64">
        <f>+CUBICACION!M1414</f>
        <v>0</v>
      </c>
      <c r="N1415" s="824" t="str">
        <f>+CUBICACION!N1414</f>
        <v/>
      </c>
      <c r="O1415" s="675">
        <f>+CUBICACION!O1414</f>
        <v>0</v>
      </c>
      <c r="P1415" s="15">
        <f>IF(O1415="Fire Control",VLOOKUP(_xlfn.MINIFS('FIRE CONTROL'!$C$4:$C$37,'FIRE CONTROL'!$C$4:$C$37,"&gt;="&amp;M1415),'FIRE CONTROL'!$C$4:$G$37,IF(L1415="F-15",2,IF(L1415="F-30",3,IF(L1415="F-60",4,IF(L1415="F-90",5,0)))),0),0)+IF(AND(O1415="FIRE TEX 5062",OR(E1415="IN",E1415="C",E1415="Z",E1415="L"),J1415=3),VLOOKUP(_xlfn.MINIFS('FIRE TEX 5062'!$B$4:$B$34,'FIRE TEX 5062'!$B$4:$B$34,"&gt;="&amp;M1415),'FIRE TEX 5062'!$B$4:$F$34,IF(L1415="F-15",2,IF(L1415="F-30",3,IF(L1415="F-60",4,IF(L1415="F-90",5,0)))),0),0)+IF(AND(O1415="FIRE TEX 5062",OR(E1415="IN",E1415="C",E1415="Z",E1415="L"),J1415=4),VLOOKUP(_xlfn.MINIFS('FIRE TEX 5062'!$G$4:$G$34,'FIRE TEX 5062'!$G$4:$G$34,"&gt;="&amp;M1415),'FIRE TEX 5062'!$G$4:$K$34,IF(L1415="F-15",2,IF(L1415="F-30",3,IF(L1415="F-60",4,IF(L1415="F-90",5,0)))),0),0)+IF(AND(O1415="FIRE TEX 5062",E1415="CJ",J1415=3),VLOOKUP(_xlfn.MINIFS('FIRE TEX 5062'!$L$4:$L$34,'FIRE TEX 5062'!$L$4:$L$34,"&gt;="&amp;M1415),'FIRE TEX 5062'!$L$4:$P$34,IF(L1415="F-15",2,IF(L1415="F-30",3,IF(L1415="F-60",4,IF(L1415="F-90",5,0)))),0),0)+IF(AND(O1415="FIRE TEX 5062",E1415="CJ",J1415=4),VLOOKUP(_xlfn.MINIFS('FIRE TEX 5062'!$Q$3:$Q$34,'FIRE TEX 5062'!$Q$3:$Q$34,"&gt;="&amp;M1415),'FIRE TEX 5062'!$Q$3:$U$34,IF(L1415="F-15",2,IF(L1415="F-30",3,IF(L1415="F-60",4,IF(L1415="F-90",5,0)))),0),0)+IF(AND(O1415="FIRE TEX 5090",OR(E1415="IN",E1415="C",E1415="Z",E1415="L"),J1415=3),VLOOKUP(_xlfn.MINIFS('FIRE TEX 5090'!$B$5:$B$43,'FIRE TEX 5090'!$B$5:$B$43,"&gt;="&amp;M1415),'FIRE TEX 5090'!$B$5:$H$43,IF(L1415="F-15",2,IF(L1415="F-30",3,IF(L1415="F-60",4,IF(L1415="F-90",5,IF(L1415="F-120",6,IF(L1415="F-150",7,0)))))),0),0)+IF(AND(O1415="FIRE TEX 5090",OR(E1415="IN",E1415="C",E1415="Z",E1415="L"),J1415=4),VLOOKUP(_xlfn.MINIFS('FIRE TEX 5090'!$J$5:$J$43,'FIRE TEX 5090'!$J$5:$J$43,"&gt;="&amp;M1415),'FIRE TEX 5090'!$J$5:$P$43,IF(L1415="F-15",2,IF(L1415="F-30",3,IF(L1415="F-60",4,IF(L1415="F-90",5,IF(L1415="F-120",6,IF(L1415="F-150",7,0)))))),0),0)+IF(AND(O1415="FIRE TEX 5090",E1415="CJ",J1415=3),VLOOKUP(_xlfn.MINIFS('FIRE TEX 5090'!$R$5:$R$30,'FIRE TEX 5090'!$R$5:$R$30,"&gt;="&amp;M1415),'FIRE TEX 5090'!$R$5:$W$30,IF(L1415="F-15",2,IF(L1415="F-30",3,IF(L1415="F-60",4,IF(L1415="F-90",5,IF(L1415="F-120",6,IF(L1415="F-150",7,0)))))),0),0)+IF(AND(O1415="FIRE TEX 5090",E1415="CJ",J1415=4),VLOOKUP(_xlfn.MINIFS('FIRE TEX 5090'!$Y$5:$Y$39,'FIRE TEX 5090'!$Y$5:$Y$39,"&gt;="&amp;M1415),'FIRE TEX 5090'!$Y$5:$AD$39,IF(L1415="F-15",2,IF(L1415="F-30",3,IF(L1415="F-60",4,IF(L1415="F-90",5,IF(L1415="F-120",6,IF(L1415="F-150",7,0)))))),0),0)+IF(AND(O1415="FIRE TEX 5120",OR(E1415="IN",E1415="C",E1415="Z",E1415="L"),J1415=3),VLOOKUP(_xlfn.MINIFS('FIRE TEX 5120'!$B$5:$B$40,'FIRE TEX 5120'!$B$5:$B$40,"&gt;="&amp;M1415),'FIRE TEX 5120'!$B$5:$G$40,IF(L1415="F-15",2,IF(L1415="F-30",3,IF(L1415="F-60",4,IF(L1415="F-90",5,IF(L1415="F-120",6,0))))),0),0)+IF(AND(O1415="FIRE TEX 5120",OR(E1415="IN",E1415="C",E1415="Z",E1415="L"),J1415=4),VLOOKUP(_xlfn.MINIFS('FIRE TEX 5120'!$H$4:$H$40,'FIRE TEX 5120'!$H$4:$H$40,"&gt;="&amp;M1415),'FIRE TEX 5120'!$H$4:$M$40,IF(L1415="F-15",2,IF(L1415="F-30",3,IF(L1415="F-60",4,IF(L1415="F-90",5,IF(L1415="F-120",6,0))))),0),0)+IF(AND(O1415="FIRE TEX 5120",E1415="CJ"),VLOOKUP(_xlfn.MINIFS('FIRE TEX 5120'!$O$5:$O$40,'FIRE TEX 5120'!$O$5:$O$40,"&gt;="&amp;M1415),'FIRE TEX 5120'!$O$5:$T$40,IF(L1415="F-15",2,IF(L1415="F-30",3,IF(L1415="F-60",4,IF(L1415="F-90",5,IF(L1415="F-120",6,0))))),0),0)</f>
        <v>0</v>
      </c>
      <c r="Q1415" s="46">
        <f t="shared" si="129"/>
        <v>0</v>
      </c>
      <c r="R1415" s="46">
        <f t="shared" si="130"/>
        <v>0</v>
      </c>
      <c r="S1415" s="46" t="e">
        <f t="shared" si="131"/>
        <v>#VALUE!</v>
      </c>
      <c r="T1415" s="677">
        <f t="shared" si="132"/>
        <v>0</v>
      </c>
      <c r="U1415" s="80">
        <f>(IF(O1415="Stofire",(S1415*#REF!),0))+(IF(O1415="Fire Control",(S1415*$U$2),0))+(IF(O1415="Fire Tex",(S1415*$U$3),0))+(IF(O1415="WB7",(S1415*#REF!),0)+(IF(O1415="FX 2003",(S1415*$U$5),0)))</f>
        <v>0</v>
      </c>
      <c r="V1415" s="651">
        <f t="shared" si="133"/>
        <v>0</v>
      </c>
    </row>
    <row r="1416" spans="4:22" x14ac:dyDescent="0.25">
      <c r="D1416" s="118">
        <f>+CUBICACION!D1415</f>
        <v>0</v>
      </c>
      <c r="E1416" s="118">
        <f>+CUBICACION!F1415</f>
        <v>0</v>
      </c>
      <c r="F1416" s="118">
        <f>+CUBICACION!E1415</f>
        <v>0</v>
      </c>
      <c r="G1416" s="118">
        <v>12</v>
      </c>
      <c r="H1416" s="118">
        <v>2</v>
      </c>
      <c r="I1416" s="820">
        <v>26385</v>
      </c>
      <c r="J1416" s="118">
        <f>+CUBICACION!J1415</f>
        <v>0</v>
      </c>
      <c r="K1416" s="118">
        <v>4195</v>
      </c>
      <c r="L1416" s="118">
        <f>+CUBICACION!L1415</f>
        <v>0</v>
      </c>
      <c r="M1416" s="64">
        <f>+CUBICACION!M1415</f>
        <v>0</v>
      </c>
      <c r="N1416" s="824" t="str">
        <f>+CUBICACION!N1415</f>
        <v/>
      </c>
      <c r="O1416" s="675">
        <f>+CUBICACION!O1415</f>
        <v>0</v>
      </c>
      <c r="P1416" s="15">
        <f>IF(O1416="Fire Control",VLOOKUP(_xlfn.MINIFS('FIRE CONTROL'!$C$4:$C$37,'FIRE CONTROL'!$C$4:$C$37,"&gt;="&amp;M1416),'FIRE CONTROL'!$C$4:$G$37,IF(L1416="F-15",2,IF(L1416="F-30",3,IF(L1416="F-60",4,IF(L1416="F-90",5,0)))),0),0)+IF(AND(O1416="FIRE TEX 5062",OR(E1416="IN",E1416="C",E1416="Z",E1416="L"),J1416=3),VLOOKUP(_xlfn.MINIFS('FIRE TEX 5062'!$B$4:$B$34,'FIRE TEX 5062'!$B$4:$B$34,"&gt;="&amp;M1416),'FIRE TEX 5062'!$B$4:$F$34,IF(L1416="F-15",2,IF(L1416="F-30",3,IF(L1416="F-60",4,IF(L1416="F-90",5,0)))),0),0)+IF(AND(O1416="FIRE TEX 5062",OR(E1416="IN",E1416="C",E1416="Z",E1416="L"),J1416=4),VLOOKUP(_xlfn.MINIFS('FIRE TEX 5062'!$G$4:$G$34,'FIRE TEX 5062'!$G$4:$G$34,"&gt;="&amp;M1416),'FIRE TEX 5062'!$G$4:$K$34,IF(L1416="F-15",2,IF(L1416="F-30",3,IF(L1416="F-60",4,IF(L1416="F-90",5,0)))),0),0)+IF(AND(O1416="FIRE TEX 5062",E1416="CJ",J1416=3),VLOOKUP(_xlfn.MINIFS('FIRE TEX 5062'!$L$4:$L$34,'FIRE TEX 5062'!$L$4:$L$34,"&gt;="&amp;M1416),'FIRE TEX 5062'!$L$4:$P$34,IF(L1416="F-15",2,IF(L1416="F-30",3,IF(L1416="F-60",4,IF(L1416="F-90",5,0)))),0),0)+IF(AND(O1416="FIRE TEX 5062",E1416="CJ",J1416=4),VLOOKUP(_xlfn.MINIFS('FIRE TEX 5062'!$Q$3:$Q$34,'FIRE TEX 5062'!$Q$3:$Q$34,"&gt;="&amp;M1416),'FIRE TEX 5062'!$Q$3:$U$34,IF(L1416="F-15",2,IF(L1416="F-30",3,IF(L1416="F-60",4,IF(L1416="F-90",5,0)))),0),0)+IF(AND(O1416="FIRE TEX 5090",OR(E1416="IN",E1416="C",E1416="Z",E1416="L"),J1416=3),VLOOKUP(_xlfn.MINIFS('FIRE TEX 5090'!$B$5:$B$43,'FIRE TEX 5090'!$B$5:$B$43,"&gt;="&amp;M1416),'FIRE TEX 5090'!$B$5:$H$43,IF(L1416="F-15",2,IF(L1416="F-30",3,IF(L1416="F-60",4,IF(L1416="F-90",5,IF(L1416="F-120",6,IF(L1416="F-150",7,0)))))),0),0)+IF(AND(O1416="FIRE TEX 5090",OR(E1416="IN",E1416="C",E1416="Z",E1416="L"),J1416=4),VLOOKUP(_xlfn.MINIFS('FIRE TEX 5090'!$J$5:$J$43,'FIRE TEX 5090'!$J$5:$J$43,"&gt;="&amp;M1416),'FIRE TEX 5090'!$J$5:$P$43,IF(L1416="F-15",2,IF(L1416="F-30",3,IF(L1416="F-60",4,IF(L1416="F-90",5,IF(L1416="F-120",6,IF(L1416="F-150",7,0)))))),0),0)+IF(AND(O1416="FIRE TEX 5090",E1416="CJ",J1416=3),VLOOKUP(_xlfn.MINIFS('FIRE TEX 5090'!$R$5:$R$30,'FIRE TEX 5090'!$R$5:$R$30,"&gt;="&amp;M1416),'FIRE TEX 5090'!$R$5:$W$30,IF(L1416="F-15",2,IF(L1416="F-30",3,IF(L1416="F-60",4,IF(L1416="F-90",5,IF(L1416="F-120",6,IF(L1416="F-150",7,0)))))),0),0)+IF(AND(O1416="FIRE TEX 5090",E1416="CJ",J1416=4),VLOOKUP(_xlfn.MINIFS('FIRE TEX 5090'!$Y$5:$Y$39,'FIRE TEX 5090'!$Y$5:$Y$39,"&gt;="&amp;M1416),'FIRE TEX 5090'!$Y$5:$AD$39,IF(L1416="F-15",2,IF(L1416="F-30",3,IF(L1416="F-60",4,IF(L1416="F-90",5,IF(L1416="F-120",6,IF(L1416="F-150",7,0)))))),0),0)+IF(AND(O1416="FIRE TEX 5120",OR(E1416="IN",E1416="C",E1416="Z",E1416="L"),J1416=3),VLOOKUP(_xlfn.MINIFS('FIRE TEX 5120'!$B$5:$B$40,'FIRE TEX 5120'!$B$5:$B$40,"&gt;="&amp;M1416),'FIRE TEX 5120'!$B$5:$G$40,IF(L1416="F-15",2,IF(L1416="F-30",3,IF(L1416="F-60",4,IF(L1416="F-90",5,IF(L1416="F-120",6,0))))),0),0)+IF(AND(O1416="FIRE TEX 5120",OR(E1416="IN",E1416="C",E1416="Z",E1416="L"),J1416=4),VLOOKUP(_xlfn.MINIFS('FIRE TEX 5120'!$H$4:$H$40,'FIRE TEX 5120'!$H$4:$H$40,"&gt;="&amp;M1416),'FIRE TEX 5120'!$H$4:$M$40,IF(L1416="F-15",2,IF(L1416="F-30",3,IF(L1416="F-60",4,IF(L1416="F-90",5,IF(L1416="F-120",6,0))))),0),0)+IF(AND(O1416="FIRE TEX 5120",E1416="CJ"),VLOOKUP(_xlfn.MINIFS('FIRE TEX 5120'!$O$5:$O$40,'FIRE TEX 5120'!$O$5:$O$40,"&gt;="&amp;M1416),'FIRE TEX 5120'!$O$5:$T$40,IF(L1416="F-15",2,IF(L1416="F-30",3,IF(L1416="F-60",4,IF(L1416="F-90",5,IF(L1416="F-120",6,0))))),0),0)</f>
        <v>0</v>
      </c>
      <c r="Q1416" s="46">
        <f t="shared" si="129"/>
        <v>0</v>
      </c>
      <c r="R1416" s="46">
        <f t="shared" si="130"/>
        <v>0</v>
      </c>
      <c r="S1416" s="46" t="e">
        <f t="shared" si="131"/>
        <v>#VALUE!</v>
      </c>
      <c r="T1416" s="677">
        <f t="shared" si="132"/>
        <v>0</v>
      </c>
      <c r="U1416" s="80">
        <f>(IF(O1416="Stofire",(S1416*#REF!),0))+(IF(O1416="Fire Control",(S1416*$U$2),0))+(IF(O1416="Fire Tex",(S1416*$U$3),0))+(IF(O1416="WB7",(S1416*#REF!),0)+(IF(O1416="FX 2003",(S1416*$U$5),0)))</f>
        <v>0</v>
      </c>
      <c r="V1416" s="651">
        <f t="shared" si="133"/>
        <v>0</v>
      </c>
    </row>
    <row r="1417" spans="4:22" x14ac:dyDescent="0.25">
      <c r="D1417" s="118">
        <f>+CUBICACION!D1416</f>
        <v>0</v>
      </c>
      <c r="E1417" s="118">
        <f>+CUBICACION!F1416</f>
        <v>0</v>
      </c>
      <c r="F1417" s="118">
        <f>+CUBICACION!E1416</f>
        <v>0</v>
      </c>
      <c r="G1417" s="118">
        <v>12</v>
      </c>
      <c r="H1417" s="118">
        <v>2</v>
      </c>
      <c r="I1417" s="820">
        <v>26385</v>
      </c>
      <c r="J1417" s="118">
        <f>+CUBICACION!J1416</f>
        <v>0</v>
      </c>
      <c r="K1417" s="118">
        <v>4196</v>
      </c>
      <c r="L1417" s="118">
        <f>+CUBICACION!L1416</f>
        <v>0</v>
      </c>
      <c r="M1417" s="64">
        <f>+CUBICACION!M1416</f>
        <v>0</v>
      </c>
      <c r="N1417" s="824" t="str">
        <f>+CUBICACION!N1416</f>
        <v/>
      </c>
      <c r="O1417" s="675">
        <f>+CUBICACION!O1416</f>
        <v>0</v>
      </c>
      <c r="P1417" s="15">
        <f>IF(O1417="Fire Control",VLOOKUP(_xlfn.MINIFS('FIRE CONTROL'!$C$4:$C$37,'FIRE CONTROL'!$C$4:$C$37,"&gt;="&amp;M1417),'FIRE CONTROL'!$C$4:$G$37,IF(L1417="F-15",2,IF(L1417="F-30",3,IF(L1417="F-60",4,IF(L1417="F-90",5,0)))),0),0)+IF(AND(O1417="FIRE TEX 5062",OR(E1417="IN",E1417="C",E1417="Z",E1417="L"),J1417=3),VLOOKUP(_xlfn.MINIFS('FIRE TEX 5062'!$B$4:$B$34,'FIRE TEX 5062'!$B$4:$B$34,"&gt;="&amp;M1417),'FIRE TEX 5062'!$B$4:$F$34,IF(L1417="F-15",2,IF(L1417="F-30",3,IF(L1417="F-60",4,IF(L1417="F-90",5,0)))),0),0)+IF(AND(O1417="FIRE TEX 5062",OR(E1417="IN",E1417="C",E1417="Z",E1417="L"),J1417=4),VLOOKUP(_xlfn.MINIFS('FIRE TEX 5062'!$G$4:$G$34,'FIRE TEX 5062'!$G$4:$G$34,"&gt;="&amp;M1417),'FIRE TEX 5062'!$G$4:$K$34,IF(L1417="F-15",2,IF(L1417="F-30",3,IF(L1417="F-60",4,IF(L1417="F-90",5,0)))),0),0)+IF(AND(O1417="FIRE TEX 5062",E1417="CJ",J1417=3),VLOOKUP(_xlfn.MINIFS('FIRE TEX 5062'!$L$4:$L$34,'FIRE TEX 5062'!$L$4:$L$34,"&gt;="&amp;M1417),'FIRE TEX 5062'!$L$4:$P$34,IF(L1417="F-15",2,IF(L1417="F-30",3,IF(L1417="F-60",4,IF(L1417="F-90",5,0)))),0),0)+IF(AND(O1417="FIRE TEX 5062",E1417="CJ",J1417=4),VLOOKUP(_xlfn.MINIFS('FIRE TEX 5062'!$Q$3:$Q$34,'FIRE TEX 5062'!$Q$3:$Q$34,"&gt;="&amp;M1417),'FIRE TEX 5062'!$Q$3:$U$34,IF(L1417="F-15",2,IF(L1417="F-30",3,IF(L1417="F-60",4,IF(L1417="F-90",5,0)))),0),0)+IF(AND(O1417="FIRE TEX 5090",OR(E1417="IN",E1417="C",E1417="Z",E1417="L"),J1417=3),VLOOKUP(_xlfn.MINIFS('FIRE TEX 5090'!$B$5:$B$43,'FIRE TEX 5090'!$B$5:$B$43,"&gt;="&amp;M1417),'FIRE TEX 5090'!$B$5:$H$43,IF(L1417="F-15",2,IF(L1417="F-30",3,IF(L1417="F-60",4,IF(L1417="F-90",5,IF(L1417="F-120",6,IF(L1417="F-150",7,0)))))),0),0)+IF(AND(O1417="FIRE TEX 5090",OR(E1417="IN",E1417="C",E1417="Z",E1417="L"),J1417=4),VLOOKUP(_xlfn.MINIFS('FIRE TEX 5090'!$J$5:$J$43,'FIRE TEX 5090'!$J$5:$J$43,"&gt;="&amp;M1417),'FIRE TEX 5090'!$J$5:$P$43,IF(L1417="F-15",2,IF(L1417="F-30",3,IF(L1417="F-60",4,IF(L1417="F-90",5,IF(L1417="F-120",6,IF(L1417="F-150",7,0)))))),0),0)+IF(AND(O1417="FIRE TEX 5090",E1417="CJ",J1417=3),VLOOKUP(_xlfn.MINIFS('FIRE TEX 5090'!$R$5:$R$30,'FIRE TEX 5090'!$R$5:$R$30,"&gt;="&amp;M1417),'FIRE TEX 5090'!$R$5:$W$30,IF(L1417="F-15",2,IF(L1417="F-30",3,IF(L1417="F-60",4,IF(L1417="F-90",5,IF(L1417="F-120",6,IF(L1417="F-150",7,0)))))),0),0)+IF(AND(O1417="FIRE TEX 5090",E1417="CJ",J1417=4),VLOOKUP(_xlfn.MINIFS('FIRE TEX 5090'!$Y$5:$Y$39,'FIRE TEX 5090'!$Y$5:$Y$39,"&gt;="&amp;M1417),'FIRE TEX 5090'!$Y$5:$AD$39,IF(L1417="F-15",2,IF(L1417="F-30",3,IF(L1417="F-60",4,IF(L1417="F-90",5,IF(L1417="F-120",6,IF(L1417="F-150",7,0)))))),0),0)+IF(AND(O1417="FIRE TEX 5120",OR(E1417="IN",E1417="C",E1417="Z",E1417="L"),J1417=3),VLOOKUP(_xlfn.MINIFS('FIRE TEX 5120'!$B$5:$B$40,'FIRE TEX 5120'!$B$5:$B$40,"&gt;="&amp;M1417),'FIRE TEX 5120'!$B$5:$G$40,IF(L1417="F-15",2,IF(L1417="F-30",3,IF(L1417="F-60",4,IF(L1417="F-90",5,IF(L1417="F-120",6,0))))),0),0)+IF(AND(O1417="FIRE TEX 5120",OR(E1417="IN",E1417="C",E1417="Z",E1417="L"),J1417=4),VLOOKUP(_xlfn.MINIFS('FIRE TEX 5120'!$H$4:$H$40,'FIRE TEX 5120'!$H$4:$H$40,"&gt;="&amp;M1417),'FIRE TEX 5120'!$H$4:$M$40,IF(L1417="F-15",2,IF(L1417="F-30",3,IF(L1417="F-60",4,IF(L1417="F-90",5,IF(L1417="F-120",6,0))))),0),0)+IF(AND(O1417="FIRE TEX 5120",E1417="CJ"),VLOOKUP(_xlfn.MINIFS('FIRE TEX 5120'!$O$5:$O$40,'FIRE TEX 5120'!$O$5:$O$40,"&gt;="&amp;M1417),'FIRE TEX 5120'!$O$5:$T$40,IF(L1417="F-15",2,IF(L1417="F-30",3,IF(L1417="F-60",4,IF(L1417="F-90",5,IF(L1417="F-120",6,0))))),0),0)</f>
        <v>0</v>
      </c>
      <c r="Q1417" s="46">
        <f t="shared" si="129"/>
        <v>0</v>
      </c>
      <c r="R1417" s="46">
        <f t="shared" si="130"/>
        <v>0</v>
      </c>
      <c r="S1417" s="46" t="e">
        <f t="shared" si="131"/>
        <v>#VALUE!</v>
      </c>
      <c r="T1417" s="677">
        <f t="shared" si="132"/>
        <v>0</v>
      </c>
      <c r="U1417" s="80">
        <f>(IF(O1417="Stofire",(S1417*#REF!),0))+(IF(O1417="Fire Control",(S1417*$U$2),0))+(IF(O1417="Fire Tex",(S1417*$U$3),0))+(IF(O1417="WB7",(S1417*#REF!),0)+(IF(O1417="FX 2003",(S1417*$U$5),0)))</f>
        <v>0</v>
      </c>
      <c r="V1417" s="651">
        <f t="shared" si="133"/>
        <v>0</v>
      </c>
    </row>
    <row r="1418" spans="4:22" x14ac:dyDescent="0.25">
      <c r="D1418" s="118">
        <f>+CUBICACION!D1417</f>
        <v>0</v>
      </c>
      <c r="E1418" s="118">
        <f>+CUBICACION!F1417</f>
        <v>0</v>
      </c>
      <c r="F1418" s="118">
        <f>+CUBICACION!E1417</f>
        <v>0</v>
      </c>
      <c r="G1418" s="118">
        <v>12</v>
      </c>
      <c r="H1418" s="118">
        <v>2</v>
      </c>
      <c r="I1418" s="820">
        <v>26385</v>
      </c>
      <c r="J1418" s="118">
        <f>+CUBICACION!J1417</f>
        <v>0</v>
      </c>
      <c r="K1418" s="118">
        <v>4197</v>
      </c>
      <c r="L1418" s="118">
        <f>+CUBICACION!L1417</f>
        <v>0</v>
      </c>
      <c r="M1418" s="64">
        <f>+CUBICACION!M1417</f>
        <v>0</v>
      </c>
      <c r="N1418" s="824" t="str">
        <f>+CUBICACION!N1417</f>
        <v/>
      </c>
      <c r="O1418" s="675">
        <f>+CUBICACION!O1417</f>
        <v>0</v>
      </c>
      <c r="P1418" s="15">
        <f>IF(O1418="Fire Control",VLOOKUP(_xlfn.MINIFS('FIRE CONTROL'!$C$4:$C$37,'FIRE CONTROL'!$C$4:$C$37,"&gt;="&amp;M1418),'FIRE CONTROL'!$C$4:$G$37,IF(L1418="F-15",2,IF(L1418="F-30",3,IF(L1418="F-60",4,IF(L1418="F-90",5,0)))),0),0)+IF(AND(O1418="FIRE TEX 5062",OR(E1418="IN",E1418="C",E1418="Z",E1418="L"),J1418=3),VLOOKUP(_xlfn.MINIFS('FIRE TEX 5062'!$B$4:$B$34,'FIRE TEX 5062'!$B$4:$B$34,"&gt;="&amp;M1418),'FIRE TEX 5062'!$B$4:$F$34,IF(L1418="F-15",2,IF(L1418="F-30",3,IF(L1418="F-60",4,IF(L1418="F-90",5,0)))),0),0)+IF(AND(O1418="FIRE TEX 5062",OR(E1418="IN",E1418="C",E1418="Z",E1418="L"),J1418=4),VLOOKUP(_xlfn.MINIFS('FIRE TEX 5062'!$G$4:$G$34,'FIRE TEX 5062'!$G$4:$G$34,"&gt;="&amp;M1418),'FIRE TEX 5062'!$G$4:$K$34,IF(L1418="F-15",2,IF(L1418="F-30",3,IF(L1418="F-60",4,IF(L1418="F-90",5,0)))),0),0)+IF(AND(O1418="FIRE TEX 5062",E1418="CJ",J1418=3),VLOOKUP(_xlfn.MINIFS('FIRE TEX 5062'!$L$4:$L$34,'FIRE TEX 5062'!$L$4:$L$34,"&gt;="&amp;M1418),'FIRE TEX 5062'!$L$4:$P$34,IF(L1418="F-15",2,IF(L1418="F-30",3,IF(L1418="F-60",4,IF(L1418="F-90",5,0)))),0),0)+IF(AND(O1418="FIRE TEX 5062",E1418="CJ",J1418=4),VLOOKUP(_xlfn.MINIFS('FIRE TEX 5062'!$Q$3:$Q$34,'FIRE TEX 5062'!$Q$3:$Q$34,"&gt;="&amp;M1418),'FIRE TEX 5062'!$Q$3:$U$34,IF(L1418="F-15",2,IF(L1418="F-30",3,IF(L1418="F-60",4,IF(L1418="F-90",5,0)))),0),0)+IF(AND(O1418="FIRE TEX 5090",OR(E1418="IN",E1418="C",E1418="Z",E1418="L"),J1418=3),VLOOKUP(_xlfn.MINIFS('FIRE TEX 5090'!$B$5:$B$43,'FIRE TEX 5090'!$B$5:$B$43,"&gt;="&amp;M1418),'FIRE TEX 5090'!$B$5:$H$43,IF(L1418="F-15",2,IF(L1418="F-30",3,IF(L1418="F-60",4,IF(L1418="F-90",5,IF(L1418="F-120",6,IF(L1418="F-150",7,0)))))),0),0)+IF(AND(O1418="FIRE TEX 5090",OR(E1418="IN",E1418="C",E1418="Z",E1418="L"),J1418=4),VLOOKUP(_xlfn.MINIFS('FIRE TEX 5090'!$J$5:$J$43,'FIRE TEX 5090'!$J$5:$J$43,"&gt;="&amp;M1418),'FIRE TEX 5090'!$J$5:$P$43,IF(L1418="F-15",2,IF(L1418="F-30",3,IF(L1418="F-60",4,IF(L1418="F-90",5,IF(L1418="F-120",6,IF(L1418="F-150",7,0)))))),0),0)+IF(AND(O1418="FIRE TEX 5090",E1418="CJ",J1418=3),VLOOKUP(_xlfn.MINIFS('FIRE TEX 5090'!$R$5:$R$30,'FIRE TEX 5090'!$R$5:$R$30,"&gt;="&amp;M1418),'FIRE TEX 5090'!$R$5:$W$30,IF(L1418="F-15",2,IF(L1418="F-30",3,IF(L1418="F-60",4,IF(L1418="F-90",5,IF(L1418="F-120",6,IF(L1418="F-150",7,0)))))),0),0)+IF(AND(O1418="FIRE TEX 5090",E1418="CJ",J1418=4),VLOOKUP(_xlfn.MINIFS('FIRE TEX 5090'!$Y$5:$Y$39,'FIRE TEX 5090'!$Y$5:$Y$39,"&gt;="&amp;M1418),'FIRE TEX 5090'!$Y$5:$AD$39,IF(L1418="F-15",2,IF(L1418="F-30",3,IF(L1418="F-60",4,IF(L1418="F-90",5,IF(L1418="F-120",6,IF(L1418="F-150",7,0)))))),0),0)+IF(AND(O1418="FIRE TEX 5120",OR(E1418="IN",E1418="C",E1418="Z",E1418="L"),J1418=3),VLOOKUP(_xlfn.MINIFS('FIRE TEX 5120'!$B$5:$B$40,'FIRE TEX 5120'!$B$5:$B$40,"&gt;="&amp;M1418),'FIRE TEX 5120'!$B$5:$G$40,IF(L1418="F-15",2,IF(L1418="F-30",3,IF(L1418="F-60",4,IF(L1418="F-90",5,IF(L1418="F-120",6,0))))),0),0)+IF(AND(O1418="FIRE TEX 5120",OR(E1418="IN",E1418="C",E1418="Z",E1418="L"),J1418=4),VLOOKUP(_xlfn.MINIFS('FIRE TEX 5120'!$H$4:$H$40,'FIRE TEX 5120'!$H$4:$H$40,"&gt;="&amp;M1418),'FIRE TEX 5120'!$H$4:$M$40,IF(L1418="F-15",2,IF(L1418="F-30",3,IF(L1418="F-60",4,IF(L1418="F-90",5,IF(L1418="F-120",6,0))))),0),0)+IF(AND(O1418="FIRE TEX 5120",E1418="CJ"),VLOOKUP(_xlfn.MINIFS('FIRE TEX 5120'!$O$5:$O$40,'FIRE TEX 5120'!$O$5:$O$40,"&gt;="&amp;M1418),'FIRE TEX 5120'!$O$5:$T$40,IF(L1418="F-15",2,IF(L1418="F-30",3,IF(L1418="F-60",4,IF(L1418="F-90",5,IF(L1418="F-120",6,0))))),0),0)</f>
        <v>0</v>
      </c>
      <c r="Q1418" s="46">
        <f t="shared" si="129"/>
        <v>0</v>
      </c>
      <c r="R1418" s="46">
        <f t="shared" si="130"/>
        <v>0</v>
      </c>
      <c r="S1418" s="46" t="e">
        <f t="shared" si="131"/>
        <v>#VALUE!</v>
      </c>
      <c r="T1418" s="677">
        <f t="shared" si="132"/>
        <v>0</v>
      </c>
      <c r="U1418" s="80">
        <f>(IF(O1418="Stofire",(S1418*#REF!),0))+(IF(O1418="Fire Control",(S1418*$U$2),0))+(IF(O1418="Fire Tex",(S1418*$U$3),0))+(IF(O1418="WB7",(S1418*#REF!),0)+(IF(O1418="FX 2003",(S1418*$U$5),0)))</f>
        <v>0</v>
      </c>
      <c r="V1418" s="651">
        <f t="shared" si="133"/>
        <v>0</v>
      </c>
    </row>
    <row r="1419" spans="4:22" x14ac:dyDescent="0.25">
      <c r="D1419" s="118">
        <f>+CUBICACION!D1418</f>
        <v>0</v>
      </c>
      <c r="E1419" s="118">
        <f>+CUBICACION!F1418</f>
        <v>0</v>
      </c>
      <c r="F1419" s="118">
        <f>+CUBICACION!E1418</f>
        <v>0</v>
      </c>
      <c r="G1419" s="118">
        <v>12</v>
      </c>
      <c r="H1419" s="118">
        <v>2</v>
      </c>
      <c r="I1419" s="820">
        <v>26385</v>
      </c>
      <c r="J1419" s="118">
        <f>+CUBICACION!J1418</f>
        <v>0</v>
      </c>
      <c r="K1419" s="118">
        <v>4198</v>
      </c>
      <c r="L1419" s="118">
        <f>+CUBICACION!L1418</f>
        <v>0</v>
      </c>
      <c r="M1419" s="64">
        <f>+CUBICACION!M1418</f>
        <v>0</v>
      </c>
      <c r="N1419" s="824" t="str">
        <f>+CUBICACION!N1418</f>
        <v/>
      </c>
      <c r="O1419" s="675">
        <f>+CUBICACION!O1418</f>
        <v>0</v>
      </c>
      <c r="P1419" s="15">
        <f>IF(O1419="Fire Control",VLOOKUP(_xlfn.MINIFS('FIRE CONTROL'!$C$4:$C$37,'FIRE CONTROL'!$C$4:$C$37,"&gt;="&amp;M1419),'FIRE CONTROL'!$C$4:$G$37,IF(L1419="F-15",2,IF(L1419="F-30",3,IF(L1419="F-60",4,IF(L1419="F-90",5,0)))),0),0)+IF(AND(O1419="FIRE TEX 5062",OR(E1419="IN",E1419="C",E1419="Z",E1419="L"),J1419=3),VLOOKUP(_xlfn.MINIFS('FIRE TEX 5062'!$B$4:$B$34,'FIRE TEX 5062'!$B$4:$B$34,"&gt;="&amp;M1419),'FIRE TEX 5062'!$B$4:$F$34,IF(L1419="F-15",2,IF(L1419="F-30",3,IF(L1419="F-60",4,IF(L1419="F-90",5,0)))),0),0)+IF(AND(O1419="FIRE TEX 5062",OR(E1419="IN",E1419="C",E1419="Z",E1419="L"),J1419=4),VLOOKUP(_xlfn.MINIFS('FIRE TEX 5062'!$G$4:$G$34,'FIRE TEX 5062'!$G$4:$G$34,"&gt;="&amp;M1419),'FIRE TEX 5062'!$G$4:$K$34,IF(L1419="F-15",2,IF(L1419="F-30",3,IF(L1419="F-60",4,IF(L1419="F-90",5,0)))),0),0)+IF(AND(O1419="FIRE TEX 5062",E1419="CJ",J1419=3),VLOOKUP(_xlfn.MINIFS('FIRE TEX 5062'!$L$4:$L$34,'FIRE TEX 5062'!$L$4:$L$34,"&gt;="&amp;M1419),'FIRE TEX 5062'!$L$4:$P$34,IF(L1419="F-15",2,IF(L1419="F-30",3,IF(L1419="F-60",4,IF(L1419="F-90",5,0)))),0),0)+IF(AND(O1419="FIRE TEX 5062",E1419="CJ",J1419=4),VLOOKUP(_xlfn.MINIFS('FIRE TEX 5062'!$Q$3:$Q$34,'FIRE TEX 5062'!$Q$3:$Q$34,"&gt;="&amp;M1419),'FIRE TEX 5062'!$Q$3:$U$34,IF(L1419="F-15",2,IF(L1419="F-30",3,IF(L1419="F-60",4,IF(L1419="F-90",5,0)))),0),0)+IF(AND(O1419="FIRE TEX 5090",OR(E1419="IN",E1419="C",E1419="Z",E1419="L"),J1419=3),VLOOKUP(_xlfn.MINIFS('FIRE TEX 5090'!$B$5:$B$43,'FIRE TEX 5090'!$B$5:$B$43,"&gt;="&amp;M1419),'FIRE TEX 5090'!$B$5:$H$43,IF(L1419="F-15",2,IF(L1419="F-30",3,IF(L1419="F-60",4,IF(L1419="F-90",5,IF(L1419="F-120",6,IF(L1419="F-150",7,0)))))),0),0)+IF(AND(O1419="FIRE TEX 5090",OR(E1419="IN",E1419="C",E1419="Z",E1419="L"),J1419=4),VLOOKUP(_xlfn.MINIFS('FIRE TEX 5090'!$J$5:$J$43,'FIRE TEX 5090'!$J$5:$J$43,"&gt;="&amp;M1419),'FIRE TEX 5090'!$J$5:$P$43,IF(L1419="F-15",2,IF(L1419="F-30",3,IF(L1419="F-60",4,IF(L1419="F-90",5,IF(L1419="F-120",6,IF(L1419="F-150",7,0)))))),0),0)+IF(AND(O1419="FIRE TEX 5090",E1419="CJ",J1419=3),VLOOKUP(_xlfn.MINIFS('FIRE TEX 5090'!$R$5:$R$30,'FIRE TEX 5090'!$R$5:$R$30,"&gt;="&amp;M1419),'FIRE TEX 5090'!$R$5:$W$30,IF(L1419="F-15",2,IF(L1419="F-30",3,IF(L1419="F-60",4,IF(L1419="F-90",5,IF(L1419="F-120",6,IF(L1419="F-150",7,0)))))),0),0)+IF(AND(O1419="FIRE TEX 5090",E1419="CJ",J1419=4),VLOOKUP(_xlfn.MINIFS('FIRE TEX 5090'!$Y$5:$Y$39,'FIRE TEX 5090'!$Y$5:$Y$39,"&gt;="&amp;M1419),'FIRE TEX 5090'!$Y$5:$AD$39,IF(L1419="F-15",2,IF(L1419="F-30",3,IF(L1419="F-60",4,IF(L1419="F-90",5,IF(L1419="F-120",6,IF(L1419="F-150",7,0)))))),0),0)+IF(AND(O1419="FIRE TEX 5120",OR(E1419="IN",E1419="C",E1419="Z",E1419="L"),J1419=3),VLOOKUP(_xlfn.MINIFS('FIRE TEX 5120'!$B$5:$B$40,'FIRE TEX 5120'!$B$5:$B$40,"&gt;="&amp;M1419),'FIRE TEX 5120'!$B$5:$G$40,IF(L1419="F-15",2,IF(L1419="F-30",3,IF(L1419="F-60",4,IF(L1419="F-90",5,IF(L1419="F-120",6,0))))),0),0)+IF(AND(O1419="FIRE TEX 5120",OR(E1419="IN",E1419="C",E1419="Z",E1419="L"),J1419=4),VLOOKUP(_xlfn.MINIFS('FIRE TEX 5120'!$H$4:$H$40,'FIRE TEX 5120'!$H$4:$H$40,"&gt;="&amp;M1419),'FIRE TEX 5120'!$H$4:$M$40,IF(L1419="F-15",2,IF(L1419="F-30",3,IF(L1419="F-60",4,IF(L1419="F-90",5,IF(L1419="F-120",6,0))))),0),0)+IF(AND(O1419="FIRE TEX 5120",E1419="CJ"),VLOOKUP(_xlfn.MINIFS('FIRE TEX 5120'!$O$5:$O$40,'FIRE TEX 5120'!$O$5:$O$40,"&gt;="&amp;M1419),'FIRE TEX 5120'!$O$5:$T$40,IF(L1419="F-15",2,IF(L1419="F-30",3,IF(L1419="F-60",4,IF(L1419="F-90",5,IF(L1419="F-120",6,0))))),0),0)</f>
        <v>0</v>
      </c>
      <c r="Q1419" s="46">
        <f t="shared" si="129"/>
        <v>0</v>
      </c>
      <c r="R1419" s="46">
        <f t="shared" si="130"/>
        <v>0</v>
      </c>
      <c r="S1419" s="46" t="e">
        <f t="shared" si="131"/>
        <v>#VALUE!</v>
      </c>
      <c r="T1419" s="677">
        <f t="shared" si="132"/>
        <v>0</v>
      </c>
      <c r="U1419" s="80">
        <f>(IF(O1419="Stofire",(S1419*#REF!),0))+(IF(O1419="Fire Control",(S1419*$U$2),0))+(IF(O1419="Fire Tex",(S1419*$U$3),0))+(IF(O1419="WB7",(S1419*#REF!),0)+(IF(O1419="FX 2003",(S1419*$U$5),0)))</f>
        <v>0</v>
      </c>
      <c r="V1419" s="651">
        <f t="shared" si="133"/>
        <v>0</v>
      </c>
    </row>
    <row r="1420" spans="4:22" x14ac:dyDescent="0.25">
      <c r="D1420" s="118">
        <f>+CUBICACION!D1419</f>
        <v>0</v>
      </c>
      <c r="E1420" s="118">
        <f>+CUBICACION!F1419</f>
        <v>0</v>
      </c>
      <c r="F1420" s="118">
        <f>+CUBICACION!E1419</f>
        <v>0</v>
      </c>
      <c r="G1420" s="118">
        <v>12</v>
      </c>
      <c r="H1420" s="118">
        <v>2</v>
      </c>
      <c r="I1420" s="820">
        <v>26385</v>
      </c>
      <c r="J1420" s="118">
        <f>+CUBICACION!J1419</f>
        <v>0</v>
      </c>
      <c r="K1420" s="118">
        <v>4199</v>
      </c>
      <c r="L1420" s="118">
        <f>+CUBICACION!L1419</f>
        <v>0</v>
      </c>
      <c r="M1420" s="64">
        <f>+CUBICACION!M1419</f>
        <v>0</v>
      </c>
      <c r="N1420" s="824" t="str">
        <f>+CUBICACION!N1419</f>
        <v/>
      </c>
      <c r="O1420" s="675">
        <f>+CUBICACION!O1419</f>
        <v>0</v>
      </c>
      <c r="P1420" s="15">
        <f>IF(O1420="Fire Control",VLOOKUP(_xlfn.MINIFS('FIRE CONTROL'!$C$4:$C$37,'FIRE CONTROL'!$C$4:$C$37,"&gt;="&amp;M1420),'FIRE CONTROL'!$C$4:$G$37,IF(L1420="F-15",2,IF(L1420="F-30",3,IF(L1420="F-60",4,IF(L1420="F-90",5,0)))),0),0)+IF(AND(O1420="FIRE TEX 5062",OR(E1420="IN",E1420="C",E1420="Z",E1420="L"),J1420=3),VLOOKUP(_xlfn.MINIFS('FIRE TEX 5062'!$B$4:$B$34,'FIRE TEX 5062'!$B$4:$B$34,"&gt;="&amp;M1420),'FIRE TEX 5062'!$B$4:$F$34,IF(L1420="F-15",2,IF(L1420="F-30",3,IF(L1420="F-60",4,IF(L1420="F-90",5,0)))),0),0)+IF(AND(O1420="FIRE TEX 5062",OR(E1420="IN",E1420="C",E1420="Z",E1420="L"),J1420=4),VLOOKUP(_xlfn.MINIFS('FIRE TEX 5062'!$G$4:$G$34,'FIRE TEX 5062'!$G$4:$G$34,"&gt;="&amp;M1420),'FIRE TEX 5062'!$G$4:$K$34,IF(L1420="F-15",2,IF(L1420="F-30",3,IF(L1420="F-60",4,IF(L1420="F-90",5,0)))),0),0)+IF(AND(O1420="FIRE TEX 5062",E1420="CJ",J1420=3),VLOOKUP(_xlfn.MINIFS('FIRE TEX 5062'!$L$4:$L$34,'FIRE TEX 5062'!$L$4:$L$34,"&gt;="&amp;M1420),'FIRE TEX 5062'!$L$4:$P$34,IF(L1420="F-15",2,IF(L1420="F-30",3,IF(L1420="F-60",4,IF(L1420="F-90",5,0)))),0),0)+IF(AND(O1420="FIRE TEX 5062",E1420="CJ",J1420=4),VLOOKUP(_xlfn.MINIFS('FIRE TEX 5062'!$Q$3:$Q$34,'FIRE TEX 5062'!$Q$3:$Q$34,"&gt;="&amp;M1420),'FIRE TEX 5062'!$Q$3:$U$34,IF(L1420="F-15",2,IF(L1420="F-30",3,IF(L1420="F-60",4,IF(L1420="F-90",5,0)))),0),0)+IF(AND(O1420="FIRE TEX 5090",OR(E1420="IN",E1420="C",E1420="Z",E1420="L"),J1420=3),VLOOKUP(_xlfn.MINIFS('FIRE TEX 5090'!$B$5:$B$43,'FIRE TEX 5090'!$B$5:$B$43,"&gt;="&amp;M1420),'FIRE TEX 5090'!$B$5:$H$43,IF(L1420="F-15",2,IF(L1420="F-30",3,IF(L1420="F-60",4,IF(L1420="F-90",5,IF(L1420="F-120",6,IF(L1420="F-150",7,0)))))),0),0)+IF(AND(O1420="FIRE TEX 5090",OR(E1420="IN",E1420="C",E1420="Z",E1420="L"),J1420=4),VLOOKUP(_xlfn.MINIFS('FIRE TEX 5090'!$J$5:$J$43,'FIRE TEX 5090'!$J$5:$J$43,"&gt;="&amp;M1420),'FIRE TEX 5090'!$J$5:$P$43,IF(L1420="F-15",2,IF(L1420="F-30",3,IF(L1420="F-60",4,IF(L1420="F-90",5,IF(L1420="F-120",6,IF(L1420="F-150",7,0)))))),0),0)+IF(AND(O1420="FIRE TEX 5090",E1420="CJ",J1420=3),VLOOKUP(_xlfn.MINIFS('FIRE TEX 5090'!$R$5:$R$30,'FIRE TEX 5090'!$R$5:$R$30,"&gt;="&amp;M1420),'FIRE TEX 5090'!$R$5:$W$30,IF(L1420="F-15",2,IF(L1420="F-30",3,IF(L1420="F-60",4,IF(L1420="F-90",5,IF(L1420="F-120",6,IF(L1420="F-150",7,0)))))),0),0)+IF(AND(O1420="FIRE TEX 5090",E1420="CJ",J1420=4),VLOOKUP(_xlfn.MINIFS('FIRE TEX 5090'!$Y$5:$Y$39,'FIRE TEX 5090'!$Y$5:$Y$39,"&gt;="&amp;M1420),'FIRE TEX 5090'!$Y$5:$AD$39,IF(L1420="F-15",2,IF(L1420="F-30",3,IF(L1420="F-60",4,IF(L1420="F-90",5,IF(L1420="F-120",6,IF(L1420="F-150",7,0)))))),0),0)+IF(AND(O1420="FIRE TEX 5120",OR(E1420="IN",E1420="C",E1420="Z",E1420="L"),J1420=3),VLOOKUP(_xlfn.MINIFS('FIRE TEX 5120'!$B$5:$B$40,'FIRE TEX 5120'!$B$5:$B$40,"&gt;="&amp;M1420),'FIRE TEX 5120'!$B$5:$G$40,IF(L1420="F-15",2,IF(L1420="F-30",3,IF(L1420="F-60",4,IF(L1420="F-90",5,IF(L1420="F-120",6,0))))),0),0)+IF(AND(O1420="FIRE TEX 5120",OR(E1420="IN",E1420="C",E1420="Z",E1420="L"),J1420=4),VLOOKUP(_xlfn.MINIFS('FIRE TEX 5120'!$H$4:$H$40,'FIRE TEX 5120'!$H$4:$H$40,"&gt;="&amp;M1420),'FIRE TEX 5120'!$H$4:$M$40,IF(L1420="F-15",2,IF(L1420="F-30",3,IF(L1420="F-60",4,IF(L1420="F-90",5,IF(L1420="F-120",6,0))))),0),0)+IF(AND(O1420="FIRE TEX 5120",E1420="CJ"),VLOOKUP(_xlfn.MINIFS('FIRE TEX 5120'!$O$5:$O$40,'FIRE TEX 5120'!$O$5:$O$40,"&gt;="&amp;M1420),'FIRE TEX 5120'!$O$5:$T$40,IF(L1420="F-15",2,IF(L1420="F-30",3,IF(L1420="F-60",4,IF(L1420="F-90",5,IF(L1420="F-120",6,0))))),0),0)</f>
        <v>0</v>
      </c>
      <c r="Q1420" s="46">
        <f t="shared" si="129"/>
        <v>0</v>
      </c>
      <c r="R1420" s="46">
        <f t="shared" si="130"/>
        <v>0</v>
      </c>
      <c r="S1420" s="46" t="e">
        <f t="shared" si="131"/>
        <v>#VALUE!</v>
      </c>
      <c r="T1420" s="677">
        <f t="shared" si="132"/>
        <v>0</v>
      </c>
      <c r="U1420" s="80">
        <f>(IF(O1420="Stofire",(S1420*#REF!),0))+(IF(O1420="Fire Control",(S1420*$U$2),0))+(IF(O1420="Fire Tex",(S1420*$U$3),0))+(IF(O1420="WB7",(S1420*#REF!),0)+(IF(O1420="FX 2003",(S1420*$U$5),0)))</f>
        <v>0</v>
      </c>
      <c r="V1420" s="651">
        <f t="shared" si="133"/>
        <v>0</v>
      </c>
    </row>
    <row r="1421" spans="4:22" x14ac:dyDescent="0.25">
      <c r="D1421" s="118">
        <f>+CUBICACION!D1420</f>
        <v>0</v>
      </c>
      <c r="E1421" s="118">
        <f>+CUBICACION!F1420</f>
        <v>0</v>
      </c>
      <c r="F1421" s="118">
        <f>+CUBICACION!E1420</f>
        <v>0</v>
      </c>
      <c r="G1421" s="118">
        <v>12</v>
      </c>
      <c r="H1421" s="118">
        <v>2</v>
      </c>
      <c r="I1421" s="820">
        <v>26385</v>
      </c>
      <c r="J1421" s="118">
        <f>+CUBICACION!J1420</f>
        <v>0</v>
      </c>
      <c r="K1421" s="118">
        <v>4200</v>
      </c>
      <c r="L1421" s="118">
        <f>+CUBICACION!L1420</f>
        <v>0</v>
      </c>
      <c r="M1421" s="64">
        <f>+CUBICACION!M1420</f>
        <v>0</v>
      </c>
      <c r="N1421" s="824" t="str">
        <f>+CUBICACION!N1420</f>
        <v/>
      </c>
      <c r="O1421" s="675">
        <f>+CUBICACION!O1420</f>
        <v>0</v>
      </c>
      <c r="P1421" s="15">
        <f>IF(O1421="Fire Control",VLOOKUP(_xlfn.MINIFS('FIRE CONTROL'!$C$4:$C$37,'FIRE CONTROL'!$C$4:$C$37,"&gt;="&amp;M1421),'FIRE CONTROL'!$C$4:$G$37,IF(L1421="F-15",2,IF(L1421="F-30",3,IF(L1421="F-60",4,IF(L1421="F-90",5,0)))),0),0)+IF(AND(O1421="FIRE TEX 5062",OR(E1421="IN",E1421="C",E1421="Z",E1421="L"),J1421=3),VLOOKUP(_xlfn.MINIFS('FIRE TEX 5062'!$B$4:$B$34,'FIRE TEX 5062'!$B$4:$B$34,"&gt;="&amp;M1421),'FIRE TEX 5062'!$B$4:$F$34,IF(L1421="F-15",2,IF(L1421="F-30",3,IF(L1421="F-60",4,IF(L1421="F-90",5,0)))),0),0)+IF(AND(O1421="FIRE TEX 5062",OR(E1421="IN",E1421="C",E1421="Z",E1421="L"),J1421=4),VLOOKUP(_xlfn.MINIFS('FIRE TEX 5062'!$G$4:$G$34,'FIRE TEX 5062'!$G$4:$G$34,"&gt;="&amp;M1421),'FIRE TEX 5062'!$G$4:$K$34,IF(L1421="F-15",2,IF(L1421="F-30",3,IF(L1421="F-60",4,IF(L1421="F-90",5,0)))),0),0)+IF(AND(O1421="FIRE TEX 5062",E1421="CJ",J1421=3),VLOOKUP(_xlfn.MINIFS('FIRE TEX 5062'!$L$4:$L$34,'FIRE TEX 5062'!$L$4:$L$34,"&gt;="&amp;M1421),'FIRE TEX 5062'!$L$4:$P$34,IF(L1421="F-15",2,IF(L1421="F-30",3,IF(L1421="F-60",4,IF(L1421="F-90",5,0)))),0),0)+IF(AND(O1421="FIRE TEX 5062",E1421="CJ",J1421=4),VLOOKUP(_xlfn.MINIFS('FIRE TEX 5062'!$Q$3:$Q$34,'FIRE TEX 5062'!$Q$3:$Q$34,"&gt;="&amp;M1421),'FIRE TEX 5062'!$Q$3:$U$34,IF(L1421="F-15",2,IF(L1421="F-30",3,IF(L1421="F-60",4,IF(L1421="F-90",5,0)))),0),0)+IF(AND(O1421="FIRE TEX 5090",OR(E1421="IN",E1421="C",E1421="Z",E1421="L"),J1421=3),VLOOKUP(_xlfn.MINIFS('FIRE TEX 5090'!$B$5:$B$43,'FIRE TEX 5090'!$B$5:$B$43,"&gt;="&amp;M1421),'FIRE TEX 5090'!$B$5:$H$43,IF(L1421="F-15",2,IF(L1421="F-30",3,IF(L1421="F-60",4,IF(L1421="F-90",5,IF(L1421="F-120",6,IF(L1421="F-150",7,0)))))),0),0)+IF(AND(O1421="FIRE TEX 5090",OR(E1421="IN",E1421="C",E1421="Z",E1421="L"),J1421=4),VLOOKUP(_xlfn.MINIFS('FIRE TEX 5090'!$J$5:$J$43,'FIRE TEX 5090'!$J$5:$J$43,"&gt;="&amp;M1421),'FIRE TEX 5090'!$J$5:$P$43,IF(L1421="F-15",2,IF(L1421="F-30",3,IF(L1421="F-60",4,IF(L1421="F-90",5,IF(L1421="F-120",6,IF(L1421="F-150",7,0)))))),0),0)+IF(AND(O1421="FIRE TEX 5090",E1421="CJ",J1421=3),VLOOKUP(_xlfn.MINIFS('FIRE TEX 5090'!$R$5:$R$30,'FIRE TEX 5090'!$R$5:$R$30,"&gt;="&amp;M1421),'FIRE TEX 5090'!$R$5:$W$30,IF(L1421="F-15",2,IF(L1421="F-30",3,IF(L1421="F-60",4,IF(L1421="F-90",5,IF(L1421="F-120",6,IF(L1421="F-150",7,0)))))),0),0)+IF(AND(O1421="FIRE TEX 5090",E1421="CJ",J1421=4),VLOOKUP(_xlfn.MINIFS('FIRE TEX 5090'!$Y$5:$Y$39,'FIRE TEX 5090'!$Y$5:$Y$39,"&gt;="&amp;M1421),'FIRE TEX 5090'!$Y$5:$AD$39,IF(L1421="F-15",2,IF(L1421="F-30",3,IF(L1421="F-60",4,IF(L1421="F-90",5,IF(L1421="F-120",6,IF(L1421="F-150",7,0)))))),0),0)+IF(AND(O1421="FIRE TEX 5120",OR(E1421="IN",E1421="C",E1421="Z",E1421="L"),J1421=3),VLOOKUP(_xlfn.MINIFS('FIRE TEX 5120'!$B$5:$B$40,'FIRE TEX 5120'!$B$5:$B$40,"&gt;="&amp;M1421),'FIRE TEX 5120'!$B$5:$G$40,IF(L1421="F-15",2,IF(L1421="F-30",3,IF(L1421="F-60",4,IF(L1421="F-90",5,IF(L1421="F-120",6,0))))),0),0)+IF(AND(O1421="FIRE TEX 5120",OR(E1421="IN",E1421="C",E1421="Z",E1421="L"),J1421=4),VLOOKUP(_xlfn.MINIFS('FIRE TEX 5120'!$H$4:$H$40,'FIRE TEX 5120'!$H$4:$H$40,"&gt;="&amp;M1421),'FIRE TEX 5120'!$H$4:$M$40,IF(L1421="F-15",2,IF(L1421="F-30",3,IF(L1421="F-60",4,IF(L1421="F-90",5,IF(L1421="F-120",6,0))))),0),0)+IF(AND(O1421="FIRE TEX 5120",E1421="CJ"),VLOOKUP(_xlfn.MINIFS('FIRE TEX 5120'!$O$5:$O$40,'FIRE TEX 5120'!$O$5:$O$40,"&gt;="&amp;M1421),'FIRE TEX 5120'!$O$5:$T$40,IF(L1421="F-15",2,IF(L1421="F-30",3,IF(L1421="F-60",4,IF(L1421="F-90",5,IF(L1421="F-120",6,0))))),0),0)</f>
        <v>0</v>
      </c>
      <c r="Q1421" s="46">
        <f t="shared" si="129"/>
        <v>0</v>
      </c>
      <c r="R1421" s="46">
        <f t="shared" si="130"/>
        <v>0</v>
      </c>
      <c r="S1421" s="46" t="e">
        <f t="shared" si="131"/>
        <v>#VALUE!</v>
      </c>
      <c r="T1421" s="677">
        <f t="shared" si="132"/>
        <v>0</v>
      </c>
      <c r="U1421" s="80">
        <f>(IF(O1421="Stofire",(S1421*#REF!),0))+(IF(O1421="Fire Control",(S1421*$U$2),0))+(IF(O1421="Fire Tex",(S1421*$U$3),0))+(IF(O1421="WB7",(S1421*#REF!),0)+(IF(O1421="FX 2003",(S1421*$U$5),0)))</f>
        <v>0</v>
      </c>
      <c r="V1421" s="651">
        <f t="shared" si="133"/>
        <v>0</v>
      </c>
    </row>
    <row r="1422" spans="4:22" x14ac:dyDescent="0.25">
      <c r="D1422" s="118">
        <f>+CUBICACION!D1421</f>
        <v>0</v>
      </c>
      <c r="E1422" s="118">
        <f>+CUBICACION!F1421</f>
        <v>0</v>
      </c>
      <c r="F1422" s="118">
        <f>+CUBICACION!E1421</f>
        <v>0</v>
      </c>
      <c r="G1422" s="118">
        <v>12</v>
      </c>
      <c r="H1422" s="118">
        <v>2</v>
      </c>
      <c r="I1422" s="820">
        <v>26385</v>
      </c>
      <c r="J1422" s="118">
        <f>+CUBICACION!J1421</f>
        <v>0</v>
      </c>
      <c r="K1422" s="118">
        <v>4201</v>
      </c>
      <c r="L1422" s="118">
        <f>+CUBICACION!L1421</f>
        <v>0</v>
      </c>
      <c r="M1422" s="64">
        <f>+CUBICACION!M1421</f>
        <v>0</v>
      </c>
      <c r="N1422" s="824" t="str">
        <f>+CUBICACION!N1421</f>
        <v/>
      </c>
      <c r="O1422" s="675">
        <f>+CUBICACION!O1421</f>
        <v>0</v>
      </c>
      <c r="P1422" s="15">
        <f>IF(O1422="Fire Control",VLOOKUP(_xlfn.MINIFS('FIRE CONTROL'!$C$4:$C$37,'FIRE CONTROL'!$C$4:$C$37,"&gt;="&amp;M1422),'FIRE CONTROL'!$C$4:$G$37,IF(L1422="F-15",2,IF(L1422="F-30",3,IF(L1422="F-60",4,IF(L1422="F-90",5,0)))),0),0)+IF(AND(O1422="FIRE TEX 5062",OR(E1422="IN",E1422="C",E1422="Z",E1422="L"),J1422=3),VLOOKUP(_xlfn.MINIFS('FIRE TEX 5062'!$B$4:$B$34,'FIRE TEX 5062'!$B$4:$B$34,"&gt;="&amp;M1422),'FIRE TEX 5062'!$B$4:$F$34,IF(L1422="F-15",2,IF(L1422="F-30",3,IF(L1422="F-60",4,IF(L1422="F-90",5,0)))),0),0)+IF(AND(O1422="FIRE TEX 5062",OR(E1422="IN",E1422="C",E1422="Z",E1422="L"),J1422=4),VLOOKUP(_xlfn.MINIFS('FIRE TEX 5062'!$G$4:$G$34,'FIRE TEX 5062'!$G$4:$G$34,"&gt;="&amp;M1422),'FIRE TEX 5062'!$G$4:$K$34,IF(L1422="F-15",2,IF(L1422="F-30",3,IF(L1422="F-60",4,IF(L1422="F-90",5,0)))),0),0)+IF(AND(O1422="FIRE TEX 5062",E1422="CJ",J1422=3),VLOOKUP(_xlfn.MINIFS('FIRE TEX 5062'!$L$4:$L$34,'FIRE TEX 5062'!$L$4:$L$34,"&gt;="&amp;M1422),'FIRE TEX 5062'!$L$4:$P$34,IF(L1422="F-15",2,IF(L1422="F-30",3,IF(L1422="F-60",4,IF(L1422="F-90",5,0)))),0),0)+IF(AND(O1422="FIRE TEX 5062",E1422="CJ",J1422=4),VLOOKUP(_xlfn.MINIFS('FIRE TEX 5062'!$Q$3:$Q$34,'FIRE TEX 5062'!$Q$3:$Q$34,"&gt;="&amp;M1422),'FIRE TEX 5062'!$Q$3:$U$34,IF(L1422="F-15",2,IF(L1422="F-30",3,IF(L1422="F-60",4,IF(L1422="F-90",5,0)))),0),0)+IF(AND(O1422="FIRE TEX 5090",OR(E1422="IN",E1422="C",E1422="Z",E1422="L"),J1422=3),VLOOKUP(_xlfn.MINIFS('FIRE TEX 5090'!$B$5:$B$43,'FIRE TEX 5090'!$B$5:$B$43,"&gt;="&amp;M1422),'FIRE TEX 5090'!$B$5:$H$43,IF(L1422="F-15",2,IF(L1422="F-30",3,IF(L1422="F-60",4,IF(L1422="F-90",5,IF(L1422="F-120",6,IF(L1422="F-150",7,0)))))),0),0)+IF(AND(O1422="FIRE TEX 5090",OR(E1422="IN",E1422="C",E1422="Z",E1422="L"),J1422=4),VLOOKUP(_xlfn.MINIFS('FIRE TEX 5090'!$J$5:$J$43,'FIRE TEX 5090'!$J$5:$J$43,"&gt;="&amp;M1422),'FIRE TEX 5090'!$J$5:$P$43,IF(L1422="F-15",2,IF(L1422="F-30",3,IF(L1422="F-60",4,IF(L1422="F-90",5,IF(L1422="F-120",6,IF(L1422="F-150",7,0)))))),0),0)+IF(AND(O1422="FIRE TEX 5090",E1422="CJ",J1422=3),VLOOKUP(_xlfn.MINIFS('FIRE TEX 5090'!$R$5:$R$30,'FIRE TEX 5090'!$R$5:$R$30,"&gt;="&amp;M1422),'FIRE TEX 5090'!$R$5:$W$30,IF(L1422="F-15",2,IF(L1422="F-30",3,IF(L1422="F-60",4,IF(L1422="F-90",5,IF(L1422="F-120",6,IF(L1422="F-150",7,0)))))),0),0)+IF(AND(O1422="FIRE TEX 5090",E1422="CJ",J1422=4),VLOOKUP(_xlfn.MINIFS('FIRE TEX 5090'!$Y$5:$Y$39,'FIRE TEX 5090'!$Y$5:$Y$39,"&gt;="&amp;M1422),'FIRE TEX 5090'!$Y$5:$AD$39,IF(L1422="F-15",2,IF(L1422="F-30",3,IF(L1422="F-60",4,IF(L1422="F-90",5,IF(L1422="F-120",6,IF(L1422="F-150",7,0)))))),0),0)+IF(AND(O1422="FIRE TEX 5120",OR(E1422="IN",E1422="C",E1422="Z",E1422="L"),J1422=3),VLOOKUP(_xlfn.MINIFS('FIRE TEX 5120'!$B$5:$B$40,'FIRE TEX 5120'!$B$5:$B$40,"&gt;="&amp;M1422),'FIRE TEX 5120'!$B$5:$G$40,IF(L1422="F-15",2,IF(L1422="F-30",3,IF(L1422="F-60",4,IF(L1422="F-90",5,IF(L1422="F-120",6,0))))),0),0)+IF(AND(O1422="FIRE TEX 5120",OR(E1422="IN",E1422="C",E1422="Z",E1422="L"),J1422=4),VLOOKUP(_xlfn.MINIFS('FIRE TEX 5120'!$H$4:$H$40,'FIRE TEX 5120'!$H$4:$H$40,"&gt;="&amp;M1422),'FIRE TEX 5120'!$H$4:$M$40,IF(L1422="F-15",2,IF(L1422="F-30",3,IF(L1422="F-60",4,IF(L1422="F-90",5,IF(L1422="F-120",6,0))))),0),0)+IF(AND(O1422="FIRE TEX 5120",E1422="CJ"),VLOOKUP(_xlfn.MINIFS('FIRE TEX 5120'!$O$5:$O$40,'FIRE TEX 5120'!$O$5:$O$40,"&gt;="&amp;M1422),'FIRE TEX 5120'!$O$5:$T$40,IF(L1422="F-15",2,IF(L1422="F-30",3,IF(L1422="F-60",4,IF(L1422="F-90",5,IF(L1422="F-120",6,0))))),0),0)</f>
        <v>0</v>
      </c>
      <c r="Q1422" s="46">
        <f t="shared" si="129"/>
        <v>0</v>
      </c>
      <c r="R1422" s="46">
        <f t="shared" si="130"/>
        <v>0</v>
      </c>
      <c r="S1422" s="46" t="e">
        <f t="shared" si="131"/>
        <v>#VALUE!</v>
      </c>
      <c r="T1422" s="677">
        <f t="shared" si="132"/>
        <v>0</v>
      </c>
      <c r="U1422" s="80">
        <f>(IF(O1422="Stofire",(S1422*#REF!),0))+(IF(O1422="Fire Control",(S1422*$U$2),0))+(IF(O1422="Fire Tex",(S1422*$U$3),0))+(IF(O1422="WB7",(S1422*#REF!),0)+(IF(O1422="FX 2003",(S1422*$U$5),0)))</f>
        <v>0</v>
      </c>
      <c r="V1422" s="651">
        <f t="shared" si="133"/>
        <v>0</v>
      </c>
    </row>
    <row r="1423" spans="4:22" x14ac:dyDescent="0.25">
      <c r="D1423" s="118">
        <f>+CUBICACION!D1422</f>
        <v>0</v>
      </c>
      <c r="E1423" s="118">
        <f>+CUBICACION!F1422</f>
        <v>0</v>
      </c>
      <c r="F1423" s="118">
        <f>+CUBICACION!E1422</f>
        <v>0</v>
      </c>
      <c r="G1423" s="118">
        <v>12</v>
      </c>
      <c r="H1423" s="118">
        <v>2</v>
      </c>
      <c r="I1423" s="820">
        <v>26385</v>
      </c>
      <c r="J1423" s="118">
        <f>+CUBICACION!J1422</f>
        <v>0</v>
      </c>
      <c r="K1423" s="118">
        <v>4202</v>
      </c>
      <c r="L1423" s="118">
        <f>+CUBICACION!L1422</f>
        <v>0</v>
      </c>
      <c r="M1423" s="64">
        <f>+CUBICACION!M1422</f>
        <v>0</v>
      </c>
      <c r="N1423" s="824" t="str">
        <f>+CUBICACION!N1422</f>
        <v/>
      </c>
      <c r="O1423" s="675">
        <f>+CUBICACION!O1422</f>
        <v>0</v>
      </c>
      <c r="P1423" s="15">
        <f>IF(O1423="Fire Control",VLOOKUP(_xlfn.MINIFS('FIRE CONTROL'!$C$4:$C$37,'FIRE CONTROL'!$C$4:$C$37,"&gt;="&amp;M1423),'FIRE CONTROL'!$C$4:$G$37,IF(L1423="F-15",2,IF(L1423="F-30",3,IF(L1423="F-60",4,IF(L1423="F-90",5,0)))),0),0)+IF(AND(O1423="FIRE TEX 5062",OR(E1423="IN",E1423="C",E1423="Z",E1423="L"),J1423=3),VLOOKUP(_xlfn.MINIFS('FIRE TEX 5062'!$B$4:$B$34,'FIRE TEX 5062'!$B$4:$B$34,"&gt;="&amp;M1423),'FIRE TEX 5062'!$B$4:$F$34,IF(L1423="F-15",2,IF(L1423="F-30",3,IF(L1423="F-60",4,IF(L1423="F-90",5,0)))),0),0)+IF(AND(O1423="FIRE TEX 5062",OR(E1423="IN",E1423="C",E1423="Z",E1423="L"),J1423=4),VLOOKUP(_xlfn.MINIFS('FIRE TEX 5062'!$G$4:$G$34,'FIRE TEX 5062'!$G$4:$G$34,"&gt;="&amp;M1423),'FIRE TEX 5062'!$G$4:$K$34,IF(L1423="F-15",2,IF(L1423="F-30",3,IF(L1423="F-60",4,IF(L1423="F-90",5,0)))),0),0)+IF(AND(O1423="FIRE TEX 5062",E1423="CJ",J1423=3),VLOOKUP(_xlfn.MINIFS('FIRE TEX 5062'!$L$4:$L$34,'FIRE TEX 5062'!$L$4:$L$34,"&gt;="&amp;M1423),'FIRE TEX 5062'!$L$4:$P$34,IF(L1423="F-15",2,IF(L1423="F-30",3,IF(L1423="F-60",4,IF(L1423="F-90",5,0)))),0),0)+IF(AND(O1423="FIRE TEX 5062",E1423="CJ",J1423=4),VLOOKUP(_xlfn.MINIFS('FIRE TEX 5062'!$Q$3:$Q$34,'FIRE TEX 5062'!$Q$3:$Q$34,"&gt;="&amp;M1423),'FIRE TEX 5062'!$Q$3:$U$34,IF(L1423="F-15",2,IF(L1423="F-30",3,IF(L1423="F-60",4,IF(L1423="F-90",5,0)))),0),0)+IF(AND(O1423="FIRE TEX 5090",OR(E1423="IN",E1423="C",E1423="Z",E1423="L"),J1423=3),VLOOKUP(_xlfn.MINIFS('FIRE TEX 5090'!$B$5:$B$43,'FIRE TEX 5090'!$B$5:$B$43,"&gt;="&amp;M1423),'FIRE TEX 5090'!$B$5:$H$43,IF(L1423="F-15",2,IF(L1423="F-30",3,IF(L1423="F-60",4,IF(L1423="F-90",5,IF(L1423="F-120",6,IF(L1423="F-150",7,0)))))),0),0)+IF(AND(O1423="FIRE TEX 5090",OR(E1423="IN",E1423="C",E1423="Z",E1423="L"),J1423=4),VLOOKUP(_xlfn.MINIFS('FIRE TEX 5090'!$J$5:$J$43,'FIRE TEX 5090'!$J$5:$J$43,"&gt;="&amp;M1423),'FIRE TEX 5090'!$J$5:$P$43,IF(L1423="F-15",2,IF(L1423="F-30",3,IF(L1423="F-60",4,IF(L1423="F-90",5,IF(L1423="F-120",6,IF(L1423="F-150",7,0)))))),0),0)+IF(AND(O1423="FIRE TEX 5090",E1423="CJ",J1423=3),VLOOKUP(_xlfn.MINIFS('FIRE TEX 5090'!$R$5:$R$30,'FIRE TEX 5090'!$R$5:$R$30,"&gt;="&amp;M1423),'FIRE TEX 5090'!$R$5:$W$30,IF(L1423="F-15",2,IF(L1423="F-30",3,IF(L1423="F-60",4,IF(L1423="F-90",5,IF(L1423="F-120",6,IF(L1423="F-150",7,0)))))),0),0)+IF(AND(O1423="FIRE TEX 5090",E1423="CJ",J1423=4),VLOOKUP(_xlfn.MINIFS('FIRE TEX 5090'!$Y$5:$Y$39,'FIRE TEX 5090'!$Y$5:$Y$39,"&gt;="&amp;M1423),'FIRE TEX 5090'!$Y$5:$AD$39,IF(L1423="F-15",2,IF(L1423="F-30",3,IF(L1423="F-60",4,IF(L1423="F-90",5,IF(L1423="F-120",6,IF(L1423="F-150",7,0)))))),0),0)+IF(AND(O1423="FIRE TEX 5120",OR(E1423="IN",E1423="C",E1423="Z",E1423="L"),J1423=3),VLOOKUP(_xlfn.MINIFS('FIRE TEX 5120'!$B$5:$B$40,'FIRE TEX 5120'!$B$5:$B$40,"&gt;="&amp;M1423),'FIRE TEX 5120'!$B$5:$G$40,IF(L1423="F-15",2,IF(L1423="F-30",3,IF(L1423="F-60",4,IF(L1423="F-90",5,IF(L1423="F-120",6,0))))),0),0)+IF(AND(O1423="FIRE TEX 5120",OR(E1423="IN",E1423="C",E1423="Z",E1423="L"),J1423=4),VLOOKUP(_xlfn.MINIFS('FIRE TEX 5120'!$H$4:$H$40,'FIRE TEX 5120'!$H$4:$H$40,"&gt;="&amp;M1423),'FIRE TEX 5120'!$H$4:$M$40,IF(L1423="F-15",2,IF(L1423="F-30",3,IF(L1423="F-60",4,IF(L1423="F-90",5,IF(L1423="F-120",6,0))))),0),0)+IF(AND(O1423="FIRE TEX 5120",E1423="CJ"),VLOOKUP(_xlfn.MINIFS('FIRE TEX 5120'!$O$5:$O$40,'FIRE TEX 5120'!$O$5:$O$40,"&gt;="&amp;M1423),'FIRE TEX 5120'!$O$5:$T$40,IF(L1423="F-15",2,IF(L1423="F-30",3,IF(L1423="F-60",4,IF(L1423="F-90",5,IF(L1423="F-120",6,0))))),0),0)</f>
        <v>0</v>
      </c>
      <c r="Q1423" s="46">
        <f t="shared" si="129"/>
        <v>0</v>
      </c>
      <c r="R1423" s="46">
        <f t="shared" si="130"/>
        <v>0</v>
      </c>
      <c r="S1423" s="46" t="e">
        <f t="shared" si="131"/>
        <v>#VALUE!</v>
      </c>
      <c r="T1423" s="677">
        <f t="shared" si="132"/>
        <v>0</v>
      </c>
      <c r="U1423" s="80">
        <f>(IF(O1423="Stofire",(S1423*#REF!),0))+(IF(O1423="Fire Control",(S1423*$U$2),0))+(IF(O1423="Fire Tex",(S1423*$U$3),0))+(IF(O1423="WB7",(S1423*#REF!),0)+(IF(O1423="FX 2003",(S1423*$U$5),0)))</f>
        <v>0</v>
      </c>
      <c r="V1423" s="651">
        <f t="shared" si="133"/>
        <v>0</v>
      </c>
    </row>
    <row r="1424" spans="4:22" x14ac:dyDescent="0.25">
      <c r="D1424" s="118">
        <f>+CUBICACION!D1423</f>
        <v>0</v>
      </c>
      <c r="E1424" s="118">
        <f>+CUBICACION!F1423</f>
        <v>0</v>
      </c>
      <c r="F1424" s="118">
        <f>+CUBICACION!E1423</f>
        <v>0</v>
      </c>
      <c r="G1424" s="118">
        <v>12</v>
      </c>
      <c r="H1424" s="118">
        <v>2</v>
      </c>
      <c r="I1424" s="820">
        <v>26385</v>
      </c>
      <c r="J1424" s="118">
        <f>+CUBICACION!J1423</f>
        <v>0</v>
      </c>
      <c r="K1424" s="118">
        <v>4203</v>
      </c>
      <c r="L1424" s="118">
        <f>+CUBICACION!L1423</f>
        <v>0</v>
      </c>
      <c r="M1424" s="64">
        <f>+CUBICACION!M1423</f>
        <v>0</v>
      </c>
      <c r="N1424" s="824" t="str">
        <f>+CUBICACION!N1423</f>
        <v/>
      </c>
      <c r="O1424" s="675">
        <f>+CUBICACION!O1423</f>
        <v>0</v>
      </c>
      <c r="P1424" s="15">
        <f>IF(O1424="Fire Control",VLOOKUP(_xlfn.MINIFS('FIRE CONTROL'!$C$4:$C$37,'FIRE CONTROL'!$C$4:$C$37,"&gt;="&amp;M1424),'FIRE CONTROL'!$C$4:$G$37,IF(L1424="F-15",2,IF(L1424="F-30",3,IF(L1424="F-60",4,IF(L1424="F-90",5,0)))),0),0)+IF(AND(O1424="FIRE TEX 5062",OR(E1424="IN",E1424="C",E1424="Z",E1424="L"),J1424=3),VLOOKUP(_xlfn.MINIFS('FIRE TEX 5062'!$B$4:$B$34,'FIRE TEX 5062'!$B$4:$B$34,"&gt;="&amp;M1424),'FIRE TEX 5062'!$B$4:$F$34,IF(L1424="F-15",2,IF(L1424="F-30",3,IF(L1424="F-60",4,IF(L1424="F-90",5,0)))),0),0)+IF(AND(O1424="FIRE TEX 5062",OR(E1424="IN",E1424="C",E1424="Z",E1424="L"),J1424=4),VLOOKUP(_xlfn.MINIFS('FIRE TEX 5062'!$G$4:$G$34,'FIRE TEX 5062'!$G$4:$G$34,"&gt;="&amp;M1424),'FIRE TEX 5062'!$G$4:$K$34,IF(L1424="F-15",2,IF(L1424="F-30",3,IF(L1424="F-60",4,IF(L1424="F-90",5,0)))),0),0)+IF(AND(O1424="FIRE TEX 5062",E1424="CJ",J1424=3),VLOOKUP(_xlfn.MINIFS('FIRE TEX 5062'!$L$4:$L$34,'FIRE TEX 5062'!$L$4:$L$34,"&gt;="&amp;M1424),'FIRE TEX 5062'!$L$4:$P$34,IF(L1424="F-15",2,IF(L1424="F-30",3,IF(L1424="F-60",4,IF(L1424="F-90",5,0)))),0),0)+IF(AND(O1424="FIRE TEX 5062",E1424="CJ",J1424=4),VLOOKUP(_xlfn.MINIFS('FIRE TEX 5062'!$Q$3:$Q$34,'FIRE TEX 5062'!$Q$3:$Q$34,"&gt;="&amp;M1424),'FIRE TEX 5062'!$Q$3:$U$34,IF(L1424="F-15",2,IF(L1424="F-30",3,IF(L1424="F-60",4,IF(L1424="F-90",5,0)))),0),0)+IF(AND(O1424="FIRE TEX 5090",OR(E1424="IN",E1424="C",E1424="Z",E1424="L"),J1424=3),VLOOKUP(_xlfn.MINIFS('FIRE TEX 5090'!$B$5:$B$43,'FIRE TEX 5090'!$B$5:$B$43,"&gt;="&amp;M1424),'FIRE TEX 5090'!$B$5:$H$43,IF(L1424="F-15",2,IF(L1424="F-30",3,IF(L1424="F-60",4,IF(L1424="F-90",5,IF(L1424="F-120",6,IF(L1424="F-150",7,0)))))),0),0)+IF(AND(O1424="FIRE TEX 5090",OR(E1424="IN",E1424="C",E1424="Z",E1424="L"),J1424=4),VLOOKUP(_xlfn.MINIFS('FIRE TEX 5090'!$J$5:$J$43,'FIRE TEX 5090'!$J$5:$J$43,"&gt;="&amp;M1424),'FIRE TEX 5090'!$J$5:$P$43,IF(L1424="F-15",2,IF(L1424="F-30",3,IF(L1424="F-60",4,IF(L1424="F-90",5,IF(L1424="F-120",6,IF(L1424="F-150",7,0)))))),0),0)+IF(AND(O1424="FIRE TEX 5090",E1424="CJ",J1424=3),VLOOKUP(_xlfn.MINIFS('FIRE TEX 5090'!$R$5:$R$30,'FIRE TEX 5090'!$R$5:$R$30,"&gt;="&amp;M1424),'FIRE TEX 5090'!$R$5:$W$30,IF(L1424="F-15",2,IF(L1424="F-30",3,IF(L1424="F-60",4,IF(L1424="F-90",5,IF(L1424="F-120",6,IF(L1424="F-150",7,0)))))),0),0)+IF(AND(O1424="FIRE TEX 5090",E1424="CJ",J1424=4),VLOOKUP(_xlfn.MINIFS('FIRE TEX 5090'!$Y$5:$Y$39,'FIRE TEX 5090'!$Y$5:$Y$39,"&gt;="&amp;M1424),'FIRE TEX 5090'!$Y$5:$AD$39,IF(L1424="F-15",2,IF(L1424="F-30",3,IF(L1424="F-60",4,IF(L1424="F-90",5,IF(L1424="F-120",6,IF(L1424="F-150",7,0)))))),0),0)+IF(AND(O1424="FIRE TEX 5120",OR(E1424="IN",E1424="C",E1424="Z",E1424="L"),J1424=3),VLOOKUP(_xlfn.MINIFS('FIRE TEX 5120'!$B$5:$B$40,'FIRE TEX 5120'!$B$5:$B$40,"&gt;="&amp;M1424),'FIRE TEX 5120'!$B$5:$G$40,IF(L1424="F-15",2,IF(L1424="F-30",3,IF(L1424="F-60",4,IF(L1424="F-90",5,IF(L1424="F-120",6,0))))),0),0)+IF(AND(O1424="FIRE TEX 5120",OR(E1424="IN",E1424="C",E1424="Z",E1424="L"),J1424=4),VLOOKUP(_xlfn.MINIFS('FIRE TEX 5120'!$H$4:$H$40,'FIRE TEX 5120'!$H$4:$H$40,"&gt;="&amp;M1424),'FIRE TEX 5120'!$H$4:$M$40,IF(L1424="F-15",2,IF(L1424="F-30",3,IF(L1424="F-60",4,IF(L1424="F-90",5,IF(L1424="F-120",6,0))))),0),0)+IF(AND(O1424="FIRE TEX 5120",E1424="CJ"),VLOOKUP(_xlfn.MINIFS('FIRE TEX 5120'!$O$5:$O$40,'FIRE TEX 5120'!$O$5:$O$40,"&gt;="&amp;M1424),'FIRE TEX 5120'!$O$5:$T$40,IF(L1424="F-15",2,IF(L1424="F-30",3,IF(L1424="F-60",4,IF(L1424="F-90",5,IF(L1424="F-120",6,0))))),0),0)</f>
        <v>0</v>
      </c>
      <c r="Q1424" s="46">
        <f t="shared" si="129"/>
        <v>0</v>
      </c>
      <c r="R1424" s="46">
        <f t="shared" si="130"/>
        <v>0</v>
      </c>
      <c r="S1424" s="46" t="e">
        <f t="shared" si="131"/>
        <v>#VALUE!</v>
      </c>
      <c r="T1424" s="677">
        <f t="shared" si="132"/>
        <v>0</v>
      </c>
      <c r="U1424" s="80">
        <f>(IF(O1424="Stofire",(S1424*#REF!),0))+(IF(O1424="Fire Control",(S1424*$U$2),0))+(IF(O1424="Fire Tex",(S1424*$U$3),0))+(IF(O1424="WB7",(S1424*#REF!),0)+(IF(O1424="FX 2003",(S1424*$U$5),0)))</f>
        <v>0</v>
      </c>
      <c r="V1424" s="651">
        <f t="shared" si="133"/>
        <v>0</v>
      </c>
    </row>
    <row r="1425" spans="4:22" x14ac:dyDescent="0.25">
      <c r="D1425" s="118">
        <f>+CUBICACION!D1424</f>
        <v>0</v>
      </c>
      <c r="E1425" s="118">
        <f>+CUBICACION!F1424</f>
        <v>0</v>
      </c>
      <c r="F1425" s="118">
        <f>+CUBICACION!E1424</f>
        <v>0</v>
      </c>
      <c r="G1425" s="118">
        <v>12</v>
      </c>
      <c r="H1425" s="118">
        <v>2</v>
      </c>
      <c r="I1425" s="820">
        <v>26385</v>
      </c>
      <c r="J1425" s="118">
        <f>+CUBICACION!J1424</f>
        <v>0</v>
      </c>
      <c r="K1425" s="118">
        <v>4204</v>
      </c>
      <c r="L1425" s="118">
        <f>+CUBICACION!L1424</f>
        <v>0</v>
      </c>
      <c r="M1425" s="64">
        <f>+CUBICACION!M1424</f>
        <v>0</v>
      </c>
      <c r="N1425" s="824" t="str">
        <f>+CUBICACION!N1424</f>
        <v/>
      </c>
      <c r="O1425" s="675">
        <f>+CUBICACION!O1424</f>
        <v>0</v>
      </c>
      <c r="P1425" s="15">
        <f>IF(O1425="Fire Control",VLOOKUP(_xlfn.MINIFS('FIRE CONTROL'!$C$4:$C$37,'FIRE CONTROL'!$C$4:$C$37,"&gt;="&amp;M1425),'FIRE CONTROL'!$C$4:$G$37,IF(L1425="F-15",2,IF(L1425="F-30",3,IF(L1425="F-60",4,IF(L1425="F-90",5,0)))),0),0)+IF(AND(O1425="FIRE TEX 5062",OR(E1425="IN",E1425="C",E1425="Z",E1425="L"),J1425=3),VLOOKUP(_xlfn.MINIFS('FIRE TEX 5062'!$B$4:$B$34,'FIRE TEX 5062'!$B$4:$B$34,"&gt;="&amp;M1425),'FIRE TEX 5062'!$B$4:$F$34,IF(L1425="F-15",2,IF(L1425="F-30",3,IF(L1425="F-60",4,IF(L1425="F-90",5,0)))),0),0)+IF(AND(O1425="FIRE TEX 5062",OR(E1425="IN",E1425="C",E1425="Z",E1425="L"),J1425=4),VLOOKUP(_xlfn.MINIFS('FIRE TEX 5062'!$G$4:$G$34,'FIRE TEX 5062'!$G$4:$G$34,"&gt;="&amp;M1425),'FIRE TEX 5062'!$G$4:$K$34,IF(L1425="F-15",2,IF(L1425="F-30",3,IF(L1425="F-60",4,IF(L1425="F-90",5,0)))),0),0)+IF(AND(O1425="FIRE TEX 5062",E1425="CJ",J1425=3),VLOOKUP(_xlfn.MINIFS('FIRE TEX 5062'!$L$4:$L$34,'FIRE TEX 5062'!$L$4:$L$34,"&gt;="&amp;M1425),'FIRE TEX 5062'!$L$4:$P$34,IF(L1425="F-15",2,IF(L1425="F-30",3,IF(L1425="F-60",4,IF(L1425="F-90",5,0)))),0),0)+IF(AND(O1425="FIRE TEX 5062",E1425="CJ",J1425=4),VLOOKUP(_xlfn.MINIFS('FIRE TEX 5062'!$Q$3:$Q$34,'FIRE TEX 5062'!$Q$3:$Q$34,"&gt;="&amp;M1425),'FIRE TEX 5062'!$Q$3:$U$34,IF(L1425="F-15",2,IF(L1425="F-30",3,IF(L1425="F-60",4,IF(L1425="F-90",5,0)))),0),0)+IF(AND(O1425="FIRE TEX 5090",OR(E1425="IN",E1425="C",E1425="Z",E1425="L"),J1425=3),VLOOKUP(_xlfn.MINIFS('FIRE TEX 5090'!$B$5:$B$43,'FIRE TEX 5090'!$B$5:$B$43,"&gt;="&amp;M1425),'FIRE TEX 5090'!$B$5:$H$43,IF(L1425="F-15",2,IF(L1425="F-30",3,IF(L1425="F-60",4,IF(L1425="F-90",5,IF(L1425="F-120",6,IF(L1425="F-150",7,0)))))),0),0)+IF(AND(O1425="FIRE TEX 5090",OR(E1425="IN",E1425="C",E1425="Z",E1425="L"),J1425=4),VLOOKUP(_xlfn.MINIFS('FIRE TEX 5090'!$J$5:$J$43,'FIRE TEX 5090'!$J$5:$J$43,"&gt;="&amp;M1425),'FIRE TEX 5090'!$J$5:$P$43,IF(L1425="F-15",2,IF(L1425="F-30",3,IF(L1425="F-60",4,IF(L1425="F-90",5,IF(L1425="F-120",6,IF(L1425="F-150",7,0)))))),0),0)+IF(AND(O1425="FIRE TEX 5090",E1425="CJ",J1425=3),VLOOKUP(_xlfn.MINIFS('FIRE TEX 5090'!$R$5:$R$30,'FIRE TEX 5090'!$R$5:$R$30,"&gt;="&amp;M1425),'FIRE TEX 5090'!$R$5:$W$30,IF(L1425="F-15",2,IF(L1425="F-30",3,IF(L1425="F-60",4,IF(L1425="F-90",5,IF(L1425="F-120",6,IF(L1425="F-150",7,0)))))),0),0)+IF(AND(O1425="FIRE TEX 5090",E1425="CJ",J1425=4),VLOOKUP(_xlfn.MINIFS('FIRE TEX 5090'!$Y$5:$Y$39,'FIRE TEX 5090'!$Y$5:$Y$39,"&gt;="&amp;M1425),'FIRE TEX 5090'!$Y$5:$AD$39,IF(L1425="F-15",2,IF(L1425="F-30",3,IF(L1425="F-60",4,IF(L1425="F-90",5,IF(L1425="F-120",6,IF(L1425="F-150",7,0)))))),0),0)+IF(AND(O1425="FIRE TEX 5120",OR(E1425="IN",E1425="C",E1425="Z",E1425="L"),J1425=3),VLOOKUP(_xlfn.MINIFS('FIRE TEX 5120'!$B$5:$B$40,'FIRE TEX 5120'!$B$5:$B$40,"&gt;="&amp;M1425),'FIRE TEX 5120'!$B$5:$G$40,IF(L1425="F-15",2,IF(L1425="F-30",3,IF(L1425="F-60",4,IF(L1425="F-90",5,IF(L1425="F-120",6,0))))),0),0)+IF(AND(O1425="FIRE TEX 5120",OR(E1425="IN",E1425="C",E1425="Z",E1425="L"),J1425=4),VLOOKUP(_xlfn.MINIFS('FIRE TEX 5120'!$H$4:$H$40,'FIRE TEX 5120'!$H$4:$H$40,"&gt;="&amp;M1425),'FIRE TEX 5120'!$H$4:$M$40,IF(L1425="F-15",2,IF(L1425="F-30",3,IF(L1425="F-60",4,IF(L1425="F-90",5,IF(L1425="F-120",6,0))))),0),0)+IF(AND(O1425="FIRE TEX 5120",E1425="CJ"),VLOOKUP(_xlfn.MINIFS('FIRE TEX 5120'!$O$5:$O$40,'FIRE TEX 5120'!$O$5:$O$40,"&gt;="&amp;M1425),'FIRE TEX 5120'!$O$5:$T$40,IF(L1425="F-15",2,IF(L1425="F-30",3,IF(L1425="F-60",4,IF(L1425="F-90",5,IF(L1425="F-120",6,0))))),0),0)</f>
        <v>0</v>
      </c>
      <c r="Q1425" s="46">
        <f t="shared" si="129"/>
        <v>0</v>
      </c>
      <c r="R1425" s="46">
        <f t="shared" si="130"/>
        <v>0</v>
      </c>
      <c r="S1425" s="46" t="e">
        <f t="shared" si="131"/>
        <v>#VALUE!</v>
      </c>
      <c r="T1425" s="677">
        <f t="shared" si="132"/>
        <v>0</v>
      </c>
      <c r="U1425" s="80">
        <f>(IF(O1425="Stofire",(S1425*#REF!),0))+(IF(O1425="Fire Control",(S1425*$U$2),0))+(IF(O1425="Fire Tex",(S1425*$U$3),0))+(IF(O1425="WB7",(S1425*#REF!),0)+(IF(O1425="FX 2003",(S1425*$U$5),0)))</f>
        <v>0</v>
      </c>
      <c r="V1425" s="651">
        <f t="shared" si="133"/>
        <v>0</v>
      </c>
    </row>
    <row r="1426" spans="4:22" x14ac:dyDescent="0.25">
      <c r="D1426" s="118">
        <f>+CUBICACION!D1425</f>
        <v>0</v>
      </c>
      <c r="E1426" s="118">
        <f>+CUBICACION!F1425</f>
        <v>0</v>
      </c>
      <c r="F1426" s="118">
        <f>+CUBICACION!E1425</f>
        <v>0</v>
      </c>
      <c r="G1426" s="118">
        <v>12</v>
      </c>
      <c r="H1426" s="118">
        <v>2</v>
      </c>
      <c r="I1426" s="820">
        <v>26385</v>
      </c>
      <c r="J1426" s="118">
        <f>+CUBICACION!J1425</f>
        <v>0</v>
      </c>
      <c r="K1426" s="118">
        <v>4205</v>
      </c>
      <c r="L1426" s="118">
        <f>+CUBICACION!L1425</f>
        <v>0</v>
      </c>
      <c r="M1426" s="64">
        <f>+CUBICACION!M1425</f>
        <v>0</v>
      </c>
      <c r="N1426" s="824" t="str">
        <f>+CUBICACION!N1425</f>
        <v/>
      </c>
      <c r="O1426" s="675">
        <f>+CUBICACION!O1425</f>
        <v>0</v>
      </c>
      <c r="P1426" s="15">
        <f>IF(O1426="Fire Control",VLOOKUP(_xlfn.MINIFS('FIRE CONTROL'!$C$4:$C$37,'FIRE CONTROL'!$C$4:$C$37,"&gt;="&amp;M1426),'FIRE CONTROL'!$C$4:$G$37,IF(L1426="F-15",2,IF(L1426="F-30",3,IF(L1426="F-60",4,IF(L1426="F-90",5,0)))),0),0)+IF(AND(O1426="FIRE TEX 5062",OR(E1426="IN",E1426="C",E1426="Z",E1426="L"),J1426=3),VLOOKUP(_xlfn.MINIFS('FIRE TEX 5062'!$B$4:$B$34,'FIRE TEX 5062'!$B$4:$B$34,"&gt;="&amp;M1426),'FIRE TEX 5062'!$B$4:$F$34,IF(L1426="F-15",2,IF(L1426="F-30",3,IF(L1426="F-60",4,IF(L1426="F-90",5,0)))),0),0)+IF(AND(O1426="FIRE TEX 5062",OR(E1426="IN",E1426="C",E1426="Z",E1426="L"),J1426=4),VLOOKUP(_xlfn.MINIFS('FIRE TEX 5062'!$G$4:$G$34,'FIRE TEX 5062'!$G$4:$G$34,"&gt;="&amp;M1426),'FIRE TEX 5062'!$G$4:$K$34,IF(L1426="F-15",2,IF(L1426="F-30",3,IF(L1426="F-60",4,IF(L1426="F-90",5,0)))),0),0)+IF(AND(O1426="FIRE TEX 5062",E1426="CJ",J1426=3),VLOOKUP(_xlfn.MINIFS('FIRE TEX 5062'!$L$4:$L$34,'FIRE TEX 5062'!$L$4:$L$34,"&gt;="&amp;M1426),'FIRE TEX 5062'!$L$4:$P$34,IF(L1426="F-15",2,IF(L1426="F-30",3,IF(L1426="F-60",4,IF(L1426="F-90",5,0)))),0),0)+IF(AND(O1426="FIRE TEX 5062",E1426="CJ",J1426=4),VLOOKUP(_xlfn.MINIFS('FIRE TEX 5062'!$Q$3:$Q$34,'FIRE TEX 5062'!$Q$3:$Q$34,"&gt;="&amp;M1426),'FIRE TEX 5062'!$Q$3:$U$34,IF(L1426="F-15",2,IF(L1426="F-30",3,IF(L1426="F-60",4,IF(L1426="F-90",5,0)))),0),0)+IF(AND(O1426="FIRE TEX 5090",OR(E1426="IN",E1426="C",E1426="Z",E1426="L"),J1426=3),VLOOKUP(_xlfn.MINIFS('FIRE TEX 5090'!$B$5:$B$43,'FIRE TEX 5090'!$B$5:$B$43,"&gt;="&amp;M1426),'FIRE TEX 5090'!$B$5:$H$43,IF(L1426="F-15",2,IF(L1426="F-30",3,IF(L1426="F-60",4,IF(L1426="F-90",5,IF(L1426="F-120",6,IF(L1426="F-150",7,0)))))),0),0)+IF(AND(O1426="FIRE TEX 5090",OR(E1426="IN",E1426="C",E1426="Z",E1426="L"),J1426=4),VLOOKUP(_xlfn.MINIFS('FIRE TEX 5090'!$J$5:$J$43,'FIRE TEX 5090'!$J$5:$J$43,"&gt;="&amp;M1426),'FIRE TEX 5090'!$J$5:$P$43,IF(L1426="F-15",2,IF(L1426="F-30",3,IF(L1426="F-60",4,IF(L1426="F-90",5,IF(L1426="F-120",6,IF(L1426="F-150",7,0)))))),0),0)+IF(AND(O1426="FIRE TEX 5090",E1426="CJ",J1426=3),VLOOKUP(_xlfn.MINIFS('FIRE TEX 5090'!$R$5:$R$30,'FIRE TEX 5090'!$R$5:$R$30,"&gt;="&amp;M1426),'FIRE TEX 5090'!$R$5:$W$30,IF(L1426="F-15",2,IF(L1426="F-30",3,IF(L1426="F-60",4,IF(L1426="F-90",5,IF(L1426="F-120",6,IF(L1426="F-150",7,0)))))),0),0)+IF(AND(O1426="FIRE TEX 5090",E1426="CJ",J1426=4),VLOOKUP(_xlfn.MINIFS('FIRE TEX 5090'!$Y$5:$Y$39,'FIRE TEX 5090'!$Y$5:$Y$39,"&gt;="&amp;M1426),'FIRE TEX 5090'!$Y$5:$AD$39,IF(L1426="F-15",2,IF(L1426="F-30",3,IF(L1426="F-60",4,IF(L1426="F-90",5,IF(L1426="F-120",6,IF(L1426="F-150",7,0)))))),0),0)+IF(AND(O1426="FIRE TEX 5120",OR(E1426="IN",E1426="C",E1426="Z",E1426="L"),J1426=3),VLOOKUP(_xlfn.MINIFS('FIRE TEX 5120'!$B$5:$B$40,'FIRE TEX 5120'!$B$5:$B$40,"&gt;="&amp;M1426),'FIRE TEX 5120'!$B$5:$G$40,IF(L1426="F-15",2,IF(L1426="F-30",3,IF(L1426="F-60",4,IF(L1426="F-90",5,IF(L1426="F-120",6,0))))),0),0)+IF(AND(O1426="FIRE TEX 5120",OR(E1426="IN",E1426="C",E1426="Z",E1426="L"),J1426=4),VLOOKUP(_xlfn.MINIFS('FIRE TEX 5120'!$H$4:$H$40,'FIRE TEX 5120'!$H$4:$H$40,"&gt;="&amp;M1426),'FIRE TEX 5120'!$H$4:$M$40,IF(L1426="F-15",2,IF(L1426="F-30",3,IF(L1426="F-60",4,IF(L1426="F-90",5,IF(L1426="F-120",6,0))))),0),0)+IF(AND(O1426="FIRE TEX 5120",E1426="CJ"),VLOOKUP(_xlfn.MINIFS('FIRE TEX 5120'!$O$5:$O$40,'FIRE TEX 5120'!$O$5:$O$40,"&gt;="&amp;M1426),'FIRE TEX 5120'!$O$5:$T$40,IF(L1426="F-15",2,IF(L1426="F-30",3,IF(L1426="F-60",4,IF(L1426="F-90",5,IF(L1426="F-120",6,0))))),0),0)</f>
        <v>0</v>
      </c>
      <c r="Q1426" s="46">
        <f t="shared" si="129"/>
        <v>0</v>
      </c>
      <c r="R1426" s="46">
        <f t="shared" si="130"/>
        <v>0</v>
      </c>
      <c r="S1426" s="46" t="e">
        <f t="shared" si="131"/>
        <v>#VALUE!</v>
      </c>
      <c r="T1426" s="677">
        <f t="shared" si="132"/>
        <v>0</v>
      </c>
      <c r="U1426" s="80">
        <f>(IF(O1426="Stofire",(S1426*#REF!),0))+(IF(O1426="Fire Control",(S1426*$U$2),0))+(IF(O1426="Fire Tex",(S1426*$U$3),0))+(IF(O1426="WB7",(S1426*#REF!),0)+(IF(O1426="FX 2003",(S1426*$U$5),0)))</f>
        <v>0</v>
      </c>
      <c r="V1426" s="651">
        <f t="shared" si="133"/>
        <v>0</v>
      </c>
    </row>
    <row r="1427" spans="4:22" x14ac:dyDescent="0.25">
      <c r="D1427" s="118">
        <f>+CUBICACION!D1426</f>
        <v>0</v>
      </c>
      <c r="E1427" s="118">
        <f>+CUBICACION!F1426</f>
        <v>0</v>
      </c>
      <c r="F1427" s="118">
        <f>+CUBICACION!E1426</f>
        <v>0</v>
      </c>
      <c r="G1427" s="118">
        <v>12</v>
      </c>
      <c r="H1427" s="118">
        <v>2</v>
      </c>
      <c r="I1427" s="820">
        <v>26385</v>
      </c>
      <c r="J1427" s="118">
        <f>+CUBICACION!J1426</f>
        <v>0</v>
      </c>
      <c r="K1427" s="118">
        <v>4206</v>
      </c>
      <c r="L1427" s="118">
        <f>+CUBICACION!L1426</f>
        <v>0</v>
      </c>
      <c r="M1427" s="64">
        <f>+CUBICACION!M1426</f>
        <v>0</v>
      </c>
      <c r="N1427" s="824" t="str">
        <f>+CUBICACION!N1426</f>
        <v/>
      </c>
      <c r="O1427" s="675">
        <f>+CUBICACION!O1426</f>
        <v>0</v>
      </c>
      <c r="P1427" s="15">
        <f>IF(O1427="Fire Control",VLOOKUP(_xlfn.MINIFS('FIRE CONTROL'!$C$4:$C$37,'FIRE CONTROL'!$C$4:$C$37,"&gt;="&amp;M1427),'FIRE CONTROL'!$C$4:$G$37,IF(L1427="F-15",2,IF(L1427="F-30",3,IF(L1427="F-60",4,IF(L1427="F-90",5,0)))),0),0)+IF(AND(O1427="FIRE TEX 5062",OR(E1427="IN",E1427="C",E1427="Z",E1427="L"),J1427=3),VLOOKUP(_xlfn.MINIFS('FIRE TEX 5062'!$B$4:$B$34,'FIRE TEX 5062'!$B$4:$B$34,"&gt;="&amp;M1427),'FIRE TEX 5062'!$B$4:$F$34,IF(L1427="F-15",2,IF(L1427="F-30",3,IF(L1427="F-60",4,IF(L1427="F-90",5,0)))),0),0)+IF(AND(O1427="FIRE TEX 5062",OR(E1427="IN",E1427="C",E1427="Z",E1427="L"),J1427=4),VLOOKUP(_xlfn.MINIFS('FIRE TEX 5062'!$G$4:$G$34,'FIRE TEX 5062'!$G$4:$G$34,"&gt;="&amp;M1427),'FIRE TEX 5062'!$G$4:$K$34,IF(L1427="F-15",2,IF(L1427="F-30",3,IF(L1427="F-60",4,IF(L1427="F-90",5,0)))),0),0)+IF(AND(O1427="FIRE TEX 5062",E1427="CJ",J1427=3),VLOOKUP(_xlfn.MINIFS('FIRE TEX 5062'!$L$4:$L$34,'FIRE TEX 5062'!$L$4:$L$34,"&gt;="&amp;M1427),'FIRE TEX 5062'!$L$4:$P$34,IF(L1427="F-15",2,IF(L1427="F-30",3,IF(L1427="F-60",4,IF(L1427="F-90",5,0)))),0),0)+IF(AND(O1427="FIRE TEX 5062",E1427="CJ",J1427=4),VLOOKUP(_xlfn.MINIFS('FIRE TEX 5062'!$Q$3:$Q$34,'FIRE TEX 5062'!$Q$3:$Q$34,"&gt;="&amp;M1427),'FIRE TEX 5062'!$Q$3:$U$34,IF(L1427="F-15",2,IF(L1427="F-30",3,IF(L1427="F-60",4,IF(L1427="F-90",5,0)))),0),0)+IF(AND(O1427="FIRE TEX 5090",OR(E1427="IN",E1427="C",E1427="Z",E1427="L"),J1427=3),VLOOKUP(_xlfn.MINIFS('FIRE TEX 5090'!$B$5:$B$43,'FIRE TEX 5090'!$B$5:$B$43,"&gt;="&amp;M1427),'FIRE TEX 5090'!$B$5:$H$43,IF(L1427="F-15",2,IF(L1427="F-30",3,IF(L1427="F-60",4,IF(L1427="F-90",5,IF(L1427="F-120",6,IF(L1427="F-150",7,0)))))),0),0)+IF(AND(O1427="FIRE TEX 5090",OR(E1427="IN",E1427="C",E1427="Z",E1427="L"),J1427=4),VLOOKUP(_xlfn.MINIFS('FIRE TEX 5090'!$J$5:$J$43,'FIRE TEX 5090'!$J$5:$J$43,"&gt;="&amp;M1427),'FIRE TEX 5090'!$J$5:$P$43,IF(L1427="F-15",2,IF(L1427="F-30",3,IF(L1427="F-60",4,IF(L1427="F-90",5,IF(L1427="F-120",6,IF(L1427="F-150",7,0)))))),0),0)+IF(AND(O1427="FIRE TEX 5090",E1427="CJ",J1427=3),VLOOKUP(_xlfn.MINIFS('FIRE TEX 5090'!$R$5:$R$30,'FIRE TEX 5090'!$R$5:$R$30,"&gt;="&amp;M1427),'FIRE TEX 5090'!$R$5:$W$30,IF(L1427="F-15",2,IF(L1427="F-30",3,IF(L1427="F-60",4,IF(L1427="F-90",5,IF(L1427="F-120",6,IF(L1427="F-150",7,0)))))),0),0)+IF(AND(O1427="FIRE TEX 5090",E1427="CJ",J1427=4),VLOOKUP(_xlfn.MINIFS('FIRE TEX 5090'!$Y$5:$Y$39,'FIRE TEX 5090'!$Y$5:$Y$39,"&gt;="&amp;M1427),'FIRE TEX 5090'!$Y$5:$AD$39,IF(L1427="F-15",2,IF(L1427="F-30",3,IF(L1427="F-60",4,IF(L1427="F-90",5,IF(L1427="F-120",6,IF(L1427="F-150",7,0)))))),0),0)+IF(AND(O1427="FIRE TEX 5120",OR(E1427="IN",E1427="C",E1427="Z",E1427="L"),J1427=3),VLOOKUP(_xlfn.MINIFS('FIRE TEX 5120'!$B$5:$B$40,'FIRE TEX 5120'!$B$5:$B$40,"&gt;="&amp;M1427),'FIRE TEX 5120'!$B$5:$G$40,IF(L1427="F-15",2,IF(L1427="F-30",3,IF(L1427="F-60",4,IF(L1427="F-90",5,IF(L1427="F-120",6,0))))),0),0)+IF(AND(O1427="FIRE TEX 5120",OR(E1427="IN",E1427="C",E1427="Z",E1427="L"),J1427=4),VLOOKUP(_xlfn.MINIFS('FIRE TEX 5120'!$H$4:$H$40,'FIRE TEX 5120'!$H$4:$H$40,"&gt;="&amp;M1427),'FIRE TEX 5120'!$H$4:$M$40,IF(L1427="F-15",2,IF(L1427="F-30",3,IF(L1427="F-60",4,IF(L1427="F-90",5,IF(L1427="F-120",6,0))))),0),0)+IF(AND(O1427="FIRE TEX 5120",E1427="CJ"),VLOOKUP(_xlfn.MINIFS('FIRE TEX 5120'!$O$5:$O$40,'FIRE TEX 5120'!$O$5:$O$40,"&gt;="&amp;M1427),'FIRE TEX 5120'!$O$5:$T$40,IF(L1427="F-15",2,IF(L1427="F-30",3,IF(L1427="F-60",4,IF(L1427="F-90",5,IF(L1427="F-120",6,0))))),0),0)</f>
        <v>0</v>
      </c>
      <c r="Q1427" s="46">
        <f t="shared" si="129"/>
        <v>0</v>
      </c>
      <c r="R1427" s="46">
        <f t="shared" si="130"/>
        <v>0</v>
      </c>
      <c r="S1427" s="46" t="e">
        <f t="shared" si="131"/>
        <v>#VALUE!</v>
      </c>
      <c r="T1427" s="677">
        <f t="shared" si="132"/>
        <v>0</v>
      </c>
      <c r="U1427" s="80">
        <f>(IF(O1427="Stofire",(S1427*#REF!),0))+(IF(O1427="Fire Control",(S1427*$U$2),0))+(IF(O1427="Fire Tex",(S1427*$U$3),0))+(IF(O1427="WB7",(S1427*#REF!),0)+(IF(O1427="FX 2003",(S1427*$U$5),0)))</f>
        <v>0</v>
      </c>
      <c r="V1427" s="651">
        <f t="shared" si="133"/>
        <v>0</v>
      </c>
    </row>
    <row r="1428" spans="4:22" x14ac:dyDescent="0.25">
      <c r="D1428" s="118">
        <f>+CUBICACION!D1427</f>
        <v>0</v>
      </c>
      <c r="E1428" s="118">
        <f>+CUBICACION!F1427</f>
        <v>0</v>
      </c>
      <c r="F1428" s="118">
        <f>+CUBICACION!E1427</f>
        <v>0</v>
      </c>
      <c r="G1428" s="118">
        <v>12</v>
      </c>
      <c r="H1428" s="118">
        <v>2</v>
      </c>
      <c r="I1428" s="820">
        <v>26385</v>
      </c>
      <c r="J1428" s="118">
        <f>+CUBICACION!J1427</f>
        <v>0</v>
      </c>
      <c r="K1428" s="118">
        <v>4207</v>
      </c>
      <c r="L1428" s="118">
        <f>+CUBICACION!L1427</f>
        <v>0</v>
      </c>
      <c r="M1428" s="64">
        <f>+CUBICACION!M1427</f>
        <v>0</v>
      </c>
      <c r="N1428" s="824" t="str">
        <f>+CUBICACION!N1427</f>
        <v/>
      </c>
      <c r="O1428" s="675">
        <f>+CUBICACION!O1427</f>
        <v>0</v>
      </c>
      <c r="P1428" s="15">
        <f>IF(O1428="Fire Control",VLOOKUP(_xlfn.MINIFS('FIRE CONTROL'!$C$4:$C$37,'FIRE CONTROL'!$C$4:$C$37,"&gt;="&amp;M1428),'FIRE CONTROL'!$C$4:$G$37,IF(L1428="F-15",2,IF(L1428="F-30",3,IF(L1428="F-60",4,IF(L1428="F-90",5,0)))),0),0)+IF(AND(O1428="FIRE TEX 5062",OR(E1428="IN",E1428="C",E1428="Z",E1428="L"),J1428=3),VLOOKUP(_xlfn.MINIFS('FIRE TEX 5062'!$B$4:$B$34,'FIRE TEX 5062'!$B$4:$B$34,"&gt;="&amp;M1428),'FIRE TEX 5062'!$B$4:$F$34,IF(L1428="F-15",2,IF(L1428="F-30",3,IF(L1428="F-60",4,IF(L1428="F-90",5,0)))),0),0)+IF(AND(O1428="FIRE TEX 5062",OR(E1428="IN",E1428="C",E1428="Z",E1428="L"),J1428=4),VLOOKUP(_xlfn.MINIFS('FIRE TEX 5062'!$G$4:$G$34,'FIRE TEX 5062'!$G$4:$G$34,"&gt;="&amp;M1428),'FIRE TEX 5062'!$G$4:$K$34,IF(L1428="F-15",2,IF(L1428="F-30",3,IF(L1428="F-60",4,IF(L1428="F-90",5,0)))),0),0)+IF(AND(O1428="FIRE TEX 5062",E1428="CJ",J1428=3),VLOOKUP(_xlfn.MINIFS('FIRE TEX 5062'!$L$4:$L$34,'FIRE TEX 5062'!$L$4:$L$34,"&gt;="&amp;M1428),'FIRE TEX 5062'!$L$4:$P$34,IF(L1428="F-15",2,IF(L1428="F-30",3,IF(L1428="F-60",4,IF(L1428="F-90",5,0)))),0),0)+IF(AND(O1428="FIRE TEX 5062",E1428="CJ",J1428=4),VLOOKUP(_xlfn.MINIFS('FIRE TEX 5062'!$Q$3:$Q$34,'FIRE TEX 5062'!$Q$3:$Q$34,"&gt;="&amp;M1428),'FIRE TEX 5062'!$Q$3:$U$34,IF(L1428="F-15",2,IF(L1428="F-30",3,IF(L1428="F-60",4,IF(L1428="F-90",5,0)))),0),0)+IF(AND(O1428="FIRE TEX 5090",OR(E1428="IN",E1428="C",E1428="Z",E1428="L"),J1428=3),VLOOKUP(_xlfn.MINIFS('FIRE TEX 5090'!$B$5:$B$43,'FIRE TEX 5090'!$B$5:$B$43,"&gt;="&amp;M1428),'FIRE TEX 5090'!$B$5:$H$43,IF(L1428="F-15",2,IF(L1428="F-30",3,IF(L1428="F-60",4,IF(L1428="F-90",5,IF(L1428="F-120",6,IF(L1428="F-150",7,0)))))),0),0)+IF(AND(O1428="FIRE TEX 5090",OR(E1428="IN",E1428="C",E1428="Z",E1428="L"),J1428=4),VLOOKUP(_xlfn.MINIFS('FIRE TEX 5090'!$J$5:$J$43,'FIRE TEX 5090'!$J$5:$J$43,"&gt;="&amp;M1428),'FIRE TEX 5090'!$J$5:$P$43,IF(L1428="F-15",2,IF(L1428="F-30",3,IF(L1428="F-60",4,IF(L1428="F-90",5,IF(L1428="F-120",6,IF(L1428="F-150",7,0)))))),0),0)+IF(AND(O1428="FIRE TEX 5090",E1428="CJ",J1428=3),VLOOKUP(_xlfn.MINIFS('FIRE TEX 5090'!$R$5:$R$30,'FIRE TEX 5090'!$R$5:$R$30,"&gt;="&amp;M1428),'FIRE TEX 5090'!$R$5:$W$30,IF(L1428="F-15",2,IF(L1428="F-30",3,IF(L1428="F-60",4,IF(L1428="F-90",5,IF(L1428="F-120",6,IF(L1428="F-150",7,0)))))),0),0)+IF(AND(O1428="FIRE TEX 5090",E1428="CJ",J1428=4),VLOOKUP(_xlfn.MINIFS('FIRE TEX 5090'!$Y$5:$Y$39,'FIRE TEX 5090'!$Y$5:$Y$39,"&gt;="&amp;M1428),'FIRE TEX 5090'!$Y$5:$AD$39,IF(L1428="F-15",2,IF(L1428="F-30",3,IF(L1428="F-60",4,IF(L1428="F-90",5,IF(L1428="F-120",6,IF(L1428="F-150",7,0)))))),0),0)+IF(AND(O1428="FIRE TEX 5120",OR(E1428="IN",E1428="C",E1428="Z",E1428="L"),J1428=3),VLOOKUP(_xlfn.MINIFS('FIRE TEX 5120'!$B$5:$B$40,'FIRE TEX 5120'!$B$5:$B$40,"&gt;="&amp;M1428),'FIRE TEX 5120'!$B$5:$G$40,IF(L1428="F-15",2,IF(L1428="F-30",3,IF(L1428="F-60",4,IF(L1428="F-90",5,IF(L1428="F-120",6,0))))),0),0)+IF(AND(O1428="FIRE TEX 5120",OR(E1428="IN",E1428="C",E1428="Z",E1428="L"),J1428=4),VLOOKUP(_xlfn.MINIFS('FIRE TEX 5120'!$H$4:$H$40,'FIRE TEX 5120'!$H$4:$H$40,"&gt;="&amp;M1428),'FIRE TEX 5120'!$H$4:$M$40,IF(L1428="F-15",2,IF(L1428="F-30",3,IF(L1428="F-60",4,IF(L1428="F-90",5,IF(L1428="F-120",6,0))))),0),0)+IF(AND(O1428="FIRE TEX 5120",E1428="CJ"),VLOOKUP(_xlfn.MINIFS('FIRE TEX 5120'!$O$5:$O$40,'FIRE TEX 5120'!$O$5:$O$40,"&gt;="&amp;M1428),'FIRE TEX 5120'!$O$5:$T$40,IF(L1428="F-15",2,IF(L1428="F-30",3,IF(L1428="F-60",4,IF(L1428="F-90",5,IF(L1428="F-120",6,0))))),0),0)</f>
        <v>0</v>
      </c>
      <c r="Q1428" s="46">
        <f t="shared" si="129"/>
        <v>0</v>
      </c>
      <c r="R1428" s="46">
        <f t="shared" si="130"/>
        <v>0</v>
      </c>
      <c r="S1428" s="46" t="e">
        <f t="shared" si="131"/>
        <v>#VALUE!</v>
      </c>
      <c r="T1428" s="677">
        <f t="shared" si="132"/>
        <v>0</v>
      </c>
      <c r="U1428" s="80">
        <f>(IF(O1428="Stofire",(S1428*#REF!),0))+(IF(O1428="Fire Control",(S1428*$U$2),0))+(IF(O1428="Fire Tex",(S1428*$U$3),0))+(IF(O1428="WB7",(S1428*#REF!),0)+(IF(O1428="FX 2003",(S1428*$U$5),0)))</f>
        <v>0</v>
      </c>
      <c r="V1428" s="651">
        <f t="shared" si="133"/>
        <v>0</v>
      </c>
    </row>
    <row r="1429" spans="4:22" x14ac:dyDescent="0.25">
      <c r="D1429" s="118">
        <f>+CUBICACION!D1428</f>
        <v>0</v>
      </c>
      <c r="E1429" s="118">
        <f>+CUBICACION!F1428</f>
        <v>0</v>
      </c>
      <c r="F1429" s="118">
        <f>+CUBICACION!E1428</f>
        <v>0</v>
      </c>
      <c r="G1429" s="118">
        <v>12</v>
      </c>
      <c r="H1429" s="118">
        <v>2</v>
      </c>
      <c r="I1429" s="820">
        <v>26385</v>
      </c>
      <c r="J1429" s="118">
        <f>+CUBICACION!J1428</f>
        <v>0</v>
      </c>
      <c r="K1429" s="118">
        <v>4208</v>
      </c>
      <c r="L1429" s="118">
        <f>+CUBICACION!L1428</f>
        <v>0</v>
      </c>
      <c r="M1429" s="64">
        <f>+CUBICACION!M1428</f>
        <v>0</v>
      </c>
      <c r="N1429" s="824" t="str">
        <f>+CUBICACION!N1428</f>
        <v/>
      </c>
      <c r="O1429" s="675">
        <f>+CUBICACION!O1428</f>
        <v>0</v>
      </c>
      <c r="P1429" s="15">
        <f>IF(O1429="Fire Control",VLOOKUP(_xlfn.MINIFS('FIRE CONTROL'!$C$4:$C$37,'FIRE CONTROL'!$C$4:$C$37,"&gt;="&amp;M1429),'FIRE CONTROL'!$C$4:$G$37,IF(L1429="F-15",2,IF(L1429="F-30",3,IF(L1429="F-60",4,IF(L1429="F-90",5,0)))),0),0)+IF(AND(O1429="FIRE TEX 5062",OR(E1429="IN",E1429="C",E1429="Z",E1429="L"),J1429=3),VLOOKUP(_xlfn.MINIFS('FIRE TEX 5062'!$B$4:$B$34,'FIRE TEX 5062'!$B$4:$B$34,"&gt;="&amp;M1429),'FIRE TEX 5062'!$B$4:$F$34,IF(L1429="F-15",2,IF(L1429="F-30",3,IF(L1429="F-60",4,IF(L1429="F-90",5,0)))),0),0)+IF(AND(O1429="FIRE TEX 5062",OR(E1429="IN",E1429="C",E1429="Z",E1429="L"),J1429=4),VLOOKUP(_xlfn.MINIFS('FIRE TEX 5062'!$G$4:$G$34,'FIRE TEX 5062'!$G$4:$G$34,"&gt;="&amp;M1429),'FIRE TEX 5062'!$G$4:$K$34,IF(L1429="F-15",2,IF(L1429="F-30",3,IF(L1429="F-60",4,IF(L1429="F-90",5,0)))),0),0)+IF(AND(O1429="FIRE TEX 5062",E1429="CJ",J1429=3),VLOOKUP(_xlfn.MINIFS('FIRE TEX 5062'!$L$4:$L$34,'FIRE TEX 5062'!$L$4:$L$34,"&gt;="&amp;M1429),'FIRE TEX 5062'!$L$4:$P$34,IF(L1429="F-15",2,IF(L1429="F-30",3,IF(L1429="F-60",4,IF(L1429="F-90",5,0)))),0),0)+IF(AND(O1429="FIRE TEX 5062",E1429="CJ",J1429=4),VLOOKUP(_xlfn.MINIFS('FIRE TEX 5062'!$Q$3:$Q$34,'FIRE TEX 5062'!$Q$3:$Q$34,"&gt;="&amp;M1429),'FIRE TEX 5062'!$Q$3:$U$34,IF(L1429="F-15",2,IF(L1429="F-30",3,IF(L1429="F-60",4,IF(L1429="F-90",5,0)))),0),0)+IF(AND(O1429="FIRE TEX 5090",OR(E1429="IN",E1429="C",E1429="Z",E1429="L"),J1429=3),VLOOKUP(_xlfn.MINIFS('FIRE TEX 5090'!$B$5:$B$43,'FIRE TEX 5090'!$B$5:$B$43,"&gt;="&amp;M1429),'FIRE TEX 5090'!$B$5:$H$43,IF(L1429="F-15",2,IF(L1429="F-30",3,IF(L1429="F-60",4,IF(L1429="F-90",5,IF(L1429="F-120",6,IF(L1429="F-150",7,0)))))),0),0)+IF(AND(O1429="FIRE TEX 5090",OR(E1429="IN",E1429="C",E1429="Z",E1429="L"),J1429=4),VLOOKUP(_xlfn.MINIFS('FIRE TEX 5090'!$J$5:$J$43,'FIRE TEX 5090'!$J$5:$J$43,"&gt;="&amp;M1429),'FIRE TEX 5090'!$J$5:$P$43,IF(L1429="F-15",2,IF(L1429="F-30",3,IF(L1429="F-60",4,IF(L1429="F-90",5,IF(L1429="F-120",6,IF(L1429="F-150",7,0)))))),0),0)+IF(AND(O1429="FIRE TEX 5090",E1429="CJ",J1429=3),VLOOKUP(_xlfn.MINIFS('FIRE TEX 5090'!$R$5:$R$30,'FIRE TEX 5090'!$R$5:$R$30,"&gt;="&amp;M1429),'FIRE TEX 5090'!$R$5:$W$30,IF(L1429="F-15",2,IF(L1429="F-30",3,IF(L1429="F-60",4,IF(L1429="F-90",5,IF(L1429="F-120",6,IF(L1429="F-150",7,0)))))),0),0)+IF(AND(O1429="FIRE TEX 5090",E1429="CJ",J1429=4),VLOOKUP(_xlfn.MINIFS('FIRE TEX 5090'!$Y$5:$Y$39,'FIRE TEX 5090'!$Y$5:$Y$39,"&gt;="&amp;M1429),'FIRE TEX 5090'!$Y$5:$AD$39,IF(L1429="F-15",2,IF(L1429="F-30",3,IF(L1429="F-60",4,IF(L1429="F-90",5,IF(L1429="F-120",6,IF(L1429="F-150",7,0)))))),0),0)+IF(AND(O1429="FIRE TEX 5120",OR(E1429="IN",E1429="C",E1429="Z",E1429="L"),J1429=3),VLOOKUP(_xlfn.MINIFS('FIRE TEX 5120'!$B$5:$B$40,'FIRE TEX 5120'!$B$5:$B$40,"&gt;="&amp;M1429),'FIRE TEX 5120'!$B$5:$G$40,IF(L1429="F-15",2,IF(L1429="F-30",3,IF(L1429="F-60",4,IF(L1429="F-90",5,IF(L1429="F-120",6,0))))),0),0)+IF(AND(O1429="FIRE TEX 5120",OR(E1429="IN",E1429="C",E1429="Z",E1429="L"),J1429=4),VLOOKUP(_xlfn.MINIFS('FIRE TEX 5120'!$H$4:$H$40,'FIRE TEX 5120'!$H$4:$H$40,"&gt;="&amp;M1429),'FIRE TEX 5120'!$H$4:$M$40,IF(L1429="F-15",2,IF(L1429="F-30",3,IF(L1429="F-60",4,IF(L1429="F-90",5,IF(L1429="F-120",6,0))))),0),0)+IF(AND(O1429="FIRE TEX 5120",E1429="CJ"),VLOOKUP(_xlfn.MINIFS('FIRE TEX 5120'!$O$5:$O$40,'FIRE TEX 5120'!$O$5:$O$40,"&gt;="&amp;M1429),'FIRE TEX 5120'!$O$5:$T$40,IF(L1429="F-15",2,IF(L1429="F-30",3,IF(L1429="F-60",4,IF(L1429="F-90",5,IF(L1429="F-120",6,0))))),0),0)</f>
        <v>0</v>
      </c>
      <c r="Q1429" s="46">
        <f t="shared" si="129"/>
        <v>0</v>
      </c>
      <c r="R1429" s="46">
        <f t="shared" si="130"/>
        <v>0</v>
      </c>
      <c r="S1429" s="46" t="e">
        <f t="shared" si="131"/>
        <v>#VALUE!</v>
      </c>
      <c r="T1429" s="677">
        <f t="shared" si="132"/>
        <v>0</v>
      </c>
      <c r="U1429" s="80">
        <f>(IF(O1429="Stofire",(S1429*#REF!),0))+(IF(O1429="Fire Control",(S1429*$U$2),0))+(IF(O1429="Fire Tex",(S1429*$U$3),0))+(IF(O1429="WB7",(S1429*#REF!),0)+(IF(O1429="FX 2003",(S1429*$U$5),0)))</f>
        <v>0</v>
      </c>
      <c r="V1429" s="651">
        <f t="shared" si="133"/>
        <v>0</v>
      </c>
    </row>
    <row r="1430" spans="4:22" x14ac:dyDescent="0.25">
      <c r="D1430" s="118">
        <f>+CUBICACION!D1429</f>
        <v>0</v>
      </c>
      <c r="E1430" s="118">
        <f>+CUBICACION!F1429</f>
        <v>0</v>
      </c>
      <c r="F1430" s="118">
        <f>+CUBICACION!E1429</f>
        <v>0</v>
      </c>
      <c r="G1430" s="118">
        <v>12</v>
      </c>
      <c r="H1430" s="118">
        <v>2</v>
      </c>
      <c r="I1430" s="820">
        <v>26385</v>
      </c>
      <c r="J1430" s="118">
        <f>+CUBICACION!J1429</f>
        <v>0</v>
      </c>
      <c r="K1430" s="118">
        <v>4209</v>
      </c>
      <c r="L1430" s="118">
        <f>+CUBICACION!L1429</f>
        <v>0</v>
      </c>
      <c r="M1430" s="64">
        <f>+CUBICACION!M1429</f>
        <v>0</v>
      </c>
      <c r="N1430" s="824" t="str">
        <f>+CUBICACION!N1429</f>
        <v/>
      </c>
      <c r="O1430" s="675">
        <f>+CUBICACION!O1429</f>
        <v>0</v>
      </c>
      <c r="P1430" s="15">
        <f>IF(O1430="Fire Control",VLOOKUP(_xlfn.MINIFS('FIRE CONTROL'!$C$4:$C$37,'FIRE CONTROL'!$C$4:$C$37,"&gt;="&amp;M1430),'FIRE CONTROL'!$C$4:$G$37,IF(L1430="F-15",2,IF(L1430="F-30",3,IF(L1430="F-60",4,IF(L1430="F-90",5,0)))),0),0)+IF(AND(O1430="FIRE TEX 5062",OR(E1430="IN",E1430="C",E1430="Z",E1430="L"),J1430=3),VLOOKUP(_xlfn.MINIFS('FIRE TEX 5062'!$B$4:$B$34,'FIRE TEX 5062'!$B$4:$B$34,"&gt;="&amp;M1430),'FIRE TEX 5062'!$B$4:$F$34,IF(L1430="F-15",2,IF(L1430="F-30",3,IF(L1430="F-60",4,IF(L1430="F-90",5,0)))),0),0)+IF(AND(O1430="FIRE TEX 5062",OR(E1430="IN",E1430="C",E1430="Z",E1430="L"),J1430=4),VLOOKUP(_xlfn.MINIFS('FIRE TEX 5062'!$G$4:$G$34,'FIRE TEX 5062'!$G$4:$G$34,"&gt;="&amp;M1430),'FIRE TEX 5062'!$G$4:$K$34,IF(L1430="F-15",2,IF(L1430="F-30",3,IF(L1430="F-60",4,IF(L1430="F-90",5,0)))),0),0)+IF(AND(O1430="FIRE TEX 5062",E1430="CJ",J1430=3),VLOOKUP(_xlfn.MINIFS('FIRE TEX 5062'!$L$4:$L$34,'FIRE TEX 5062'!$L$4:$L$34,"&gt;="&amp;M1430),'FIRE TEX 5062'!$L$4:$P$34,IF(L1430="F-15",2,IF(L1430="F-30",3,IF(L1430="F-60",4,IF(L1430="F-90",5,0)))),0),0)+IF(AND(O1430="FIRE TEX 5062",E1430="CJ",J1430=4),VLOOKUP(_xlfn.MINIFS('FIRE TEX 5062'!$Q$3:$Q$34,'FIRE TEX 5062'!$Q$3:$Q$34,"&gt;="&amp;M1430),'FIRE TEX 5062'!$Q$3:$U$34,IF(L1430="F-15",2,IF(L1430="F-30",3,IF(L1430="F-60",4,IF(L1430="F-90",5,0)))),0),0)+IF(AND(O1430="FIRE TEX 5090",OR(E1430="IN",E1430="C",E1430="Z",E1430="L"),J1430=3),VLOOKUP(_xlfn.MINIFS('FIRE TEX 5090'!$B$5:$B$43,'FIRE TEX 5090'!$B$5:$B$43,"&gt;="&amp;M1430),'FIRE TEX 5090'!$B$5:$H$43,IF(L1430="F-15",2,IF(L1430="F-30",3,IF(L1430="F-60",4,IF(L1430="F-90",5,IF(L1430="F-120",6,IF(L1430="F-150",7,0)))))),0),0)+IF(AND(O1430="FIRE TEX 5090",OR(E1430="IN",E1430="C",E1430="Z",E1430="L"),J1430=4),VLOOKUP(_xlfn.MINIFS('FIRE TEX 5090'!$J$5:$J$43,'FIRE TEX 5090'!$J$5:$J$43,"&gt;="&amp;M1430),'FIRE TEX 5090'!$J$5:$P$43,IF(L1430="F-15",2,IF(L1430="F-30",3,IF(L1430="F-60",4,IF(L1430="F-90",5,IF(L1430="F-120",6,IF(L1430="F-150",7,0)))))),0),0)+IF(AND(O1430="FIRE TEX 5090",E1430="CJ",J1430=3),VLOOKUP(_xlfn.MINIFS('FIRE TEX 5090'!$R$5:$R$30,'FIRE TEX 5090'!$R$5:$R$30,"&gt;="&amp;M1430),'FIRE TEX 5090'!$R$5:$W$30,IF(L1430="F-15",2,IF(L1430="F-30",3,IF(L1430="F-60",4,IF(L1430="F-90",5,IF(L1430="F-120",6,IF(L1430="F-150",7,0)))))),0),0)+IF(AND(O1430="FIRE TEX 5090",E1430="CJ",J1430=4),VLOOKUP(_xlfn.MINIFS('FIRE TEX 5090'!$Y$5:$Y$39,'FIRE TEX 5090'!$Y$5:$Y$39,"&gt;="&amp;M1430),'FIRE TEX 5090'!$Y$5:$AD$39,IF(L1430="F-15",2,IF(L1430="F-30",3,IF(L1430="F-60",4,IF(L1430="F-90",5,IF(L1430="F-120",6,IF(L1430="F-150",7,0)))))),0),0)+IF(AND(O1430="FIRE TEX 5120",OR(E1430="IN",E1430="C",E1430="Z",E1430="L"),J1430=3),VLOOKUP(_xlfn.MINIFS('FIRE TEX 5120'!$B$5:$B$40,'FIRE TEX 5120'!$B$5:$B$40,"&gt;="&amp;M1430),'FIRE TEX 5120'!$B$5:$G$40,IF(L1430="F-15",2,IF(L1430="F-30",3,IF(L1430="F-60",4,IF(L1430="F-90",5,IF(L1430="F-120",6,0))))),0),0)+IF(AND(O1430="FIRE TEX 5120",OR(E1430="IN",E1430="C",E1430="Z",E1430="L"),J1430=4),VLOOKUP(_xlfn.MINIFS('FIRE TEX 5120'!$H$4:$H$40,'FIRE TEX 5120'!$H$4:$H$40,"&gt;="&amp;M1430),'FIRE TEX 5120'!$H$4:$M$40,IF(L1430="F-15",2,IF(L1430="F-30",3,IF(L1430="F-60",4,IF(L1430="F-90",5,IF(L1430="F-120",6,0))))),0),0)+IF(AND(O1430="FIRE TEX 5120",E1430="CJ"),VLOOKUP(_xlfn.MINIFS('FIRE TEX 5120'!$O$5:$O$40,'FIRE TEX 5120'!$O$5:$O$40,"&gt;="&amp;M1430),'FIRE TEX 5120'!$O$5:$T$40,IF(L1430="F-15",2,IF(L1430="F-30",3,IF(L1430="F-60",4,IF(L1430="F-90",5,IF(L1430="F-120",6,0))))),0),0)</f>
        <v>0</v>
      </c>
      <c r="Q1430" s="46">
        <f t="shared" si="129"/>
        <v>0</v>
      </c>
      <c r="R1430" s="46">
        <f t="shared" si="130"/>
        <v>0</v>
      </c>
      <c r="S1430" s="46" t="e">
        <f t="shared" si="131"/>
        <v>#VALUE!</v>
      </c>
      <c r="T1430" s="677">
        <f t="shared" si="132"/>
        <v>0</v>
      </c>
      <c r="U1430" s="80">
        <f>(IF(O1430="Stofire",(S1430*#REF!),0))+(IF(O1430="Fire Control",(S1430*$U$2),0))+(IF(O1430="Fire Tex",(S1430*$U$3),0))+(IF(O1430="WB7",(S1430*#REF!),0)+(IF(O1430="FX 2003",(S1430*$U$5),0)))</f>
        <v>0</v>
      </c>
      <c r="V1430" s="651">
        <f t="shared" si="133"/>
        <v>0</v>
      </c>
    </row>
    <row r="1431" spans="4:22" x14ac:dyDescent="0.25">
      <c r="D1431" s="118">
        <f>+CUBICACION!D1430</f>
        <v>0</v>
      </c>
      <c r="E1431" s="118">
        <f>+CUBICACION!F1430</f>
        <v>0</v>
      </c>
      <c r="F1431" s="118">
        <f>+CUBICACION!E1430</f>
        <v>0</v>
      </c>
      <c r="G1431" s="118">
        <v>12</v>
      </c>
      <c r="H1431" s="118">
        <v>2</v>
      </c>
      <c r="I1431" s="820">
        <v>26385</v>
      </c>
      <c r="J1431" s="118">
        <f>+CUBICACION!J1430</f>
        <v>0</v>
      </c>
      <c r="K1431" s="118">
        <v>4210</v>
      </c>
      <c r="L1431" s="118">
        <f>+CUBICACION!L1430</f>
        <v>0</v>
      </c>
      <c r="M1431" s="64">
        <f>+CUBICACION!M1430</f>
        <v>0</v>
      </c>
      <c r="N1431" s="824" t="str">
        <f>+CUBICACION!N1430</f>
        <v/>
      </c>
      <c r="O1431" s="675">
        <f>+CUBICACION!O1430</f>
        <v>0</v>
      </c>
      <c r="P1431" s="15">
        <f>IF(O1431="Fire Control",VLOOKUP(_xlfn.MINIFS('FIRE CONTROL'!$C$4:$C$37,'FIRE CONTROL'!$C$4:$C$37,"&gt;="&amp;M1431),'FIRE CONTROL'!$C$4:$G$37,IF(L1431="F-15",2,IF(L1431="F-30",3,IF(L1431="F-60",4,IF(L1431="F-90",5,0)))),0),0)+IF(AND(O1431="FIRE TEX 5062",OR(E1431="IN",E1431="C",E1431="Z",E1431="L"),J1431=3),VLOOKUP(_xlfn.MINIFS('FIRE TEX 5062'!$B$4:$B$34,'FIRE TEX 5062'!$B$4:$B$34,"&gt;="&amp;M1431),'FIRE TEX 5062'!$B$4:$F$34,IF(L1431="F-15",2,IF(L1431="F-30",3,IF(L1431="F-60",4,IF(L1431="F-90",5,0)))),0),0)+IF(AND(O1431="FIRE TEX 5062",OR(E1431="IN",E1431="C",E1431="Z",E1431="L"),J1431=4),VLOOKUP(_xlfn.MINIFS('FIRE TEX 5062'!$G$4:$G$34,'FIRE TEX 5062'!$G$4:$G$34,"&gt;="&amp;M1431),'FIRE TEX 5062'!$G$4:$K$34,IF(L1431="F-15",2,IF(L1431="F-30",3,IF(L1431="F-60",4,IF(L1431="F-90",5,0)))),0),0)+IF(AND(O1431="FIRE TEX 5062",E1431="CJ",J1431=3),VLOOKUP(_xlfn.MINIFS('FIRE TEX 5062'!$L$4:$L$34,'FIRE TEX 5062'!$L$4:$L$34,"&gt;="&amp;M1431),'FIRE TEX 5062'!$L$4:$P$34,IF(L1431="F-15",2,IF(L1431="F-30",3,IF(L1431="F-60",4,IF(L1431="F-90",5,0)))),0),0)+IF(AND(O1431="FIRE TEX 5062",E1431="CJ",J1431=4),VLOOKUP(_xlfn.MINIFS('FIRE TEX 5062'!$Q$3:$Q$34,'FIRE TEX 5062'!$Q$3:$Q$34,"&gt;="&amp;M1431),'FIRE TEX 5062'!$Q$3:$U$34,IF(L1431="F-15",2,IF(L1431="F-30",3,IF(L1431="F-60",4,IF(L1431="F-90",5,0)))),0),0)+IF(AND(O1431="FIRE TEX 5090",OR(E1431="IN",E1431="C",E1431="Z",E1431="L"),J1431=3),VLOOKUP(_xlfn.MINIFS('FIRE TEX 5090'!$B$5:$B$43,'FIRE TEX 5090'!$B$5:$B$43,"&gt;="&amp;M1431),'FIRE TEX 5090'!$B$5:$H$43,IF(L1431="F-15",2,IF(L1431="F-30",3,IF(L1431="F-60",4,IF(L1431="F-90",5,IF(L1431="F-120",6,IF(L1431="F-150",7,0)))))),0),0)+IF(AND(O1431="FIRE TEX 5090",OR(E1431="IN",E1431="C",E1431="Z",E1431="L"),J1431=4),VLOOKUP(_xlfn.MINIFS('FIRE TEX 5090'!$J$5:$J$43,'FIRE TEX 5090'!$J$5:$J$43,"&gt;="&amp;M1431),'FIRE TEX 5090'!$J$5:$P$43,IF(L1431="F-15",2,IF(L1431="F-30",3,IF(L1431="F-60",4,IF(L1431="F-90",5,IF(L1431="F-120",6,IF(L1431="F-150",7,0)))))),0),0)+IF(AND(O1431="FIRE TEX 5090",E1431="CJ",J1431=3),VLOOKUP(_xlfn.MINIFS('FIRE TEX 5090'!$R$5:$R$30,'FIRE TEX 5090'!$R$5:$R$30,"&gt;="&amp;M1431),'FIRE TEX 5090'!$R$5:$W$30,IF(L1431="F-15",2,IF(L1431="F-30",3,IF(L1431="F-60",4,IF(L1431="F-90",5,IF(L1431="F-120",6,IF(L1431="F-150",7,0)))))),0),0)+IF(AND(O1431="FIRE TEX 5090",E1431="CJ",J1431=4),VLOOKUP(_xlfn.MINIFS('FIRE TEX 5090'!$Y$5:$Y$39,'FIRE TEX 5090'!$Y$5:$Y$39,"&gt;="&amp;M1431),'FIRE TEX 5090'!$Y$5:$AD$39,IF(L1431="F-15",2,IF(L1431="F-30",3,IF(L1431="F-60",4,IF(L1431="F-90",5,IF(L1431="F-120",6,IF(L1431="F-150",7,0)))))),0),0)+IF(AND(O1431="FIRE TEX 5120",OR(E1431="IN",E1431="C",E1431="Z",E1431="L"),J1431=3),VLOOKUP(_xlfn.MINIFS('FIRE TEX 5120'!$B$5:$B$40,'FIRE TEX 5120'!$B$5:$B$40,"&gt;="&amp;M1431),'FIRE TEX 5120'!$B$5:$G$40,IF(L1431="F-15",2,IF(L1431="F-30",3,IF(L1431="F-60",4,IF(L1431="F-90",5,IF(L1431="F-120",6,0))))),0),0)+IF(AND(O1431="FIRE TEX 5120",OR(E1431="IN",E1431="C",E1431="Z",E1431="L"),J1431=4),VLOOKUP(_xlfn.MINIFS('FIRE TEX 5120'!$H$4:$H$40,'FIRE TEX 5120'!$H$4:$H$40,"&gt;="&amp;M1431),'FIRE TEX 5120'!$H$4:$M$40,IF(L1431="F-15",2,IF(L1431="F-30",3,IF(L1431="F-60",4,IF(L1431="F-90",5,IF(L1431="F-120",6,0))))),0),0)+IF(AND(O1431="FIRE TEX 5120",E1431="CJ"),VLOOKUP(_xlfn.MINIFS('FIRE TEX 5120'!$O$5:$O$40,'FIRE TEX 5120'!$O$5:$O$40,"&gt;="&amp;M1431),'FIRE TEX 5120'!$O$5:$T$40,IF(L1431="F-15",2,IF(L1431="F-30",3,IF(L1431="F-60",4,IF(L1431="F-90",5,IF(L1431="F-120",6,0))))),0),0)</f>
        <v>0</v>
      </c>
      <c r="Q1431" s="46">
        <f t="shared" si="129"/>
        <v>0</v>
      </c>
      <c r="R1431" s="46">
        <f t="shared" si="130"/>
        <v>0</v>
      </c>
      <c r="S1431" s="46" t="e">
        <f t="shared" si="131"/>
        <v>#VALUE!</v>
      </c>
      <c r="T1431" s="677">
        <f t="shared" si="132"/>
        <v>0</v>
      </c>
      <c r="U1431" s="80">
        <f>(IF(O1431="Stofire",(S1431*#REF!),0))+(IF(O1431="Fire Control",(S1431*$U$2),0))+(IF(O1431="Fire Tex",(S1431*$U$3),0))+(IF(O1431="WB7",(S1431*#REF!),0)+(IF(O1431="FX 2003",(S1431*$U$5),0)))</f>
        <v>0</v>
      </c>
      <c r="V1431" s="651">
        <f t="shared" si="133"/>
        <v>0</v>
      </c>
    </row>
    <row r="1432" spans="4:22" x14ac:dyDescent="0.25">
      <c r="D1432" s="118">
        <f>+CUBICACION!D1431</f>
        <v>0</v>
      </c>
      <c r="E1432" s="118">
        <f>+CUBICACION!F1431</f>
        <v>0</v>
      </c>
      <c r="F1432" s="118">
        <f>+CUBICACION!E1431</f>
        <v>0</v>
      </c>
      <c r="G1432" s="118">
        <v>12</v>
      </c>
      <c r="H1432" s="118">
        <v>2</v>
      </c>
      <c r="I1432" s="820">
        <v>26385</v>
      </c>
      <c r="J1432" s="118">
        <f>+CUBICACION!J1431</f>
        <v>0</v>
      </c>
      <c r="K1432" s="118">
        <v>4211</v>
      </c>
      <c r="L1432" s="118">
        <f>+CUBICACION!L1431</f>
        <v>0</v>
      </c>
      <c r="M1432" s="64">
        <f>+CUBICACION!M1431</f>
        <v>0</v>
      </c>
      <c r="N1432" s="824" t="str">
        <f>+CUBICACION!N1431</f>
        <v/>
      </c>
      <c r="O1432" s="675">
        <f>+CUBICACION!O1431</f>
        <v>0</v>
      </c>
      <c r="P1432" s="15">
        <f>IF(O1432="Fire Control",VLOOKUP(_xlfn.MINIFS('FIRE CONTROL'!$C$4:$C$37,'FIRE CONTROL'!$C$4:$C$37,"&gt;="&amp;M1432),'FIRE CONTROL'!$C$4:$G$37,IF(L1432="F-15",2,IF(L1432="F-30",3,IF(L1432="F-60",4,IF(L1432="F-90",5,0)))),0),0)+IF(AND(O1432="FIRE TEX 5062",OR(E1432="IN",E1432="C",E1432="Z",E1432="L"),J1432=3),VLOOKUP(_xlfn.MINIFS('FIRE TEX 5062'!$B$4:$B$34,'FIRE TEX 5062'!$B$4:$B$34,"&gt;="&amp;M1432),'FIRE TEX 5062'!$B$4:$F$34,IF(L1432="F-15",2,IF(L1432="F-30",3,IF(L1432="F-60",4,IF(L1432="F-90",5,0)))),0),0)+IF(AND(O1432="FIRE TEX 5062",OR(E1432="IN",E1432="C",E1432="Z",E1432="L"),J1432=4),VLOOKUP(_xlfn.MINIFS('FIRE TEX 5062'!$G$4:$G$34,'FIRE TEX 5062'!$G$4:$G$34,"&gt;="&amp;M1432),'FIRE TEX 5062'!$G$4:$K$34,IF(L1432="F-15",2,IF(L1432="F-30",3,IF(L1432="F-60",4,IF(L1432="F-90",5,0)))),0),0)+IF(AND(O1432="FIRE TEX 5062",E1432="CJ",J1432=3),VLOOKUP(_xlfn.MINIFS('FIRE TEX 5062'!$L$4:$L$34,'FIRE TEX 5062'!$L$4:$L$34,"&gt;="&amp;M1432),'FIRE TEX 5062'!$L$4:$P$34,IF(L1432="F-15",2,IF(L1432="F-30",3,IF(L1432="F-60",4,IF(L1432="F-90",5,0)))),0),0)+IF(AND(O1432="FIRE TEX 5062",E1432="CJ",J1432=4),VLOOKUP(_xlfn.MINIFS('FIRE TEX 5062'!$Q$3:$Q$34,'FIRE TEX 5062'!$Q$3:$Q$34,"&gt;="&amp;M1432),'FIRE TEX 5062'!$Q$3:$U$34,IF(L1432="F-15",2,IF(L1432="F-30",3,IF(L1432="F-60",4,IF(L1432="F-90",5,0)))),0),0)+IF(AND(O1432="FIRE TEX 5090",OR(E1432="IN",E1432="C",E1432="Z",E1432="L"),J1432=3),VLOOKUP(_xlfn.MINIFS('FIRE TEX 5090'!$B$5:$B$43,'FIRE TEX 5090'!$B$5:$B$43,"&gt;="&amp;M1432),'FIRE TEX 5090'!$B$5:$H$43,IF(L1432="F-15",2,IF(L1432="F-30",3,IF(L1432="F-60",4,IF(L1432="F-90",5,IF(L1432="F-120",6,IF(L1432="F-150",7,0)))))),0),0)+IF(AND(O1432="FIRE TEX 5090",OR(E1432="IN",E1432="C",E1432="Z",E1432="L"),J1432=4),VLOOKUP(_xlfn.MINIFS('FIRE TEX 5090'!$J$5:$J$43,'FIRE TEX 5090'!$J$5:$J$43,"&gt;="&amp;M1432),'FIRE TEX 5090'!$J$5:$P$43,IF(L1432="F-15",2,IF(L1432="F-30",3,IF(L1432="F-60",4,IF(L1432="F-90",5,IF(L1432="F-120",6,IF(L1432="F-150",7,0)))))),0),0)+IF(AND(O1432="FIRE TEX 5090",E1432="CJ",J1432=3),VLOOKUP(_xlfn.MINIFS('FIRE TEX 5090'!$R$5:$R$30,'FIRE TEX 5090'!$R$5:$R$30,"&gt;="&amp;M1432),'FIRE TEX 5090'!$R$5:$W$30,IF(L1432="F-15",2,IF(L1432="F-30",3,IF(L1432="F-60",4,IF(L1432="F-90",5,IF(L1432="F-120",6,IF(L1432="F-150",7,0)))))),0),0)+IF(AND(O1432="FIRE TEX 5090",E1432="CJ",J1432=4),VLOOKUP(_xlfn.MINIFS('FIRE TEX 5090'!$Y$5:$Y$39,'FIRE TEX 5090'!$Y$5:$Y$39,"&gt;="&amp;M1432),'FIRE TEX 5090'!$Y$5:$AD$39,IF(L1432="F-15",2,IF(L1432="F-30",3,IF(L1432="F-60",4,IF(L1432="F-90",5,IF(L1432="F-120",6,IF(L1432="F-150",7,0)))))),0),0)+IF(AND(O1432="FIRE TEX 5120",OR(E1432="IN",E1432="C",E1432="Z",E1432="L"),J1432=3),VLOOKUP(_xlfn.MINIFS('FIRE TEX 5120'!$B$5:$B$40,'FIRE TEX 5120'!$B$5:$B$40,"&gt;="&amp;M1432),'FIRE TEX 5120'!$B$5:$G$40,IF(L1432="F-15",2,IF(L1432="F-30",3,IF(L1432="F-60",4,IF(L1432="F-90",5,IF(L1432="F-120",6,0))))),0),0)+IF(AND(O1432="FIRE TEX 5120",OR(E1432="IN",E1432="C",E1432="Z",E1432="L"),J1432=4),VLOOKUP(_xlfn.MINIFS('FIRE TEX 5120'!$H$4:$H$40,'FIRE TEX 5120'!$H$4:$H$40,"&gt;="&amp;M1432),'FIRE TEX 5120'!$H$4:$M$40,IF(L1432="F-15",2,IF(L1432="F-30",3,IF(L1432="F-60",4,IF(L1432="F-90",5,IF(L1432="F-120",6,0))))),0),0)+IF(AND(O1432="FIRE TEX 5120",E1432="CJ"),VLOOKUP(_xlfn.MINIFS('FIRE TEX 5120'!$O$5:$O$40,'FIRE TEX 5120'!$O$5:$O$40,"&gt;="&amp;M1432),'FIRE TEX 5120'!$O$5:$T$40,IF(L1432="F-15",2,IF(L1432="F-30",3,IF(L1432="F-60",4,IF(L1432="F-90",5,IF(L1432="F-120",6,0))))),0),0)</f>
        <v>0</v>
      </c>
      <c r="Q1432" s="46">
        <f t="shared" si="129"/>
        <v>0</v>
      </c>
      <c r="R1432" s="46">
        <f t="shared" si="130"/>
        <v>0</v>
      </c>
      <c r="S1432" s="46" t="e">
        <f t="shared" si="131"/>
        <v>#VALUE!</v>
      </c>
      <c r="T1432" s="677">
        <f t="shared" si="132"/>
        <v>0</v>
      </c>
      <c r="U1432" s="80">
        <f>(IF(O1432="Stofire",(S1432*#REF!),0))+(IF(O1432="Fire Control",(S1432*$U$2),0))+(IF(O1432="Fire Tex",(S1432*$U$3),0))+(IF(O1432="WB7",(S1432*#REF!),0)+(IF(O1432="FX 2003",(S1432*$U$5),0)))</f>
        <v>0</v>
      </c>
      <c r="V1432" s="651">
        <f t="shared" si="133"/>
        <v>0</v>
      </c>
    </row>
    <row r="1433" spans="4:22" x14ac:dyDescent="0.25">
      <c r="D1433" s="118">
        <f>+CUBICACION!D1432</f>
        <v>0</v>
      </c>
      <c r="E1433" s="118">
        <f>+CUBICACION!F1432</f>
        <v>0</v>
      </c>
      <c r="F1433" s="118">
        <f>+CUBICACION!E1432</f>
        <v>0</v>
      </c>
      <c r="G1433" s="118">
        <v>12</v>
      </c>
      <c r="H1433" s="118">
        <v>2</v>
      </c>
      <c r="I1433" s="820">
        <v>26385</v>
      </c>
      <c r="J1433" s="118">
        <f>+CUBICACION!J1432</f>
        <v>0</v>
      </c>
      <c r="K1433" s="118">
        <v>4212</v>
      </c>
      <c r="L1433" s="118">
        <f>+CUBICACION!L1432</f>
        <v>0</v>
      </c>
      <c r="M1433" s="64">
        <f>+CUBICACION!M1432</f>
        <v>0</v>
      </c>
      <c r="N1433" s="824" t="str">
        <f>+CUBICACION!N1432</f>
        <v/>
      </c>
      <c r="O1433" s="675">
        <f>+CUBICACION!O1432</f>
        <v>0</v>
      </c>
      <c r="P1433" s="15">
        <f>IF(O1433="Fire Control",VLOOKUP(_xlfn.MINIFS('FIRE CONTROL'!$C$4:$C$37,'FIRE CONTROL'!$C$4:$C$37,"&gt;="&amp;M1433),'FIRE CONTROL'!$C$4:$G$37,IF(L1433="F-15",2,IF(L1433="F-30",3,IF(L1433="F-60",4,IF(L1433="F-90",5,0)))),0),0)+IF(AND(O1433="FIRE TEX 5062",OR(E1433="IN",E1433="C",E1433="Z",E1433="L"),J1433=3),VLOOKUP(_xlfn.MINIFS('FIRE TEX 5062'!$B$4:$B$34,'FIRE TEX 5062'!$B$4:$B$34,"&gt;="&amp;M1433),'FIRE TEX 5062'!$B$4:$F$34,IF(L1433="F-15",2,IF(L1433="F-30",3,IF(L1433="F-60",4,IF(L1433="F-90",5,0)))),0),0)+IF(AND(O1433="FIRE TEX 5062",OR(E1433="IN",E1433="C",E1433="Z",E1433="L"),J1433=4),VLOOKUP(_xlfn.MINIFS('FIRE TEX 5062'!$G$4:$G$34,'FIRE TEX 5062'!$G$4:$G$34,"&gt;="&amp;M1433),'FIRE TEX 5062'!$G$4:$K$34,IF(L1433="F-15",2,IF(L1433="F-30",3,IF(L1433="F-60",4,IF(L1433="F-90",5,0)))),0),0)+IF(AND(O1433="FIRE TEX 5062",E1433="CJ",J1433=3),VLOOKUP(_xlfn.MINIFS('FIRE TEX 5062'!$L$4:$L$34,'FIRE TEX 5062'!$L$4:$L$34,"&gt;="&amp;M1433),'FIRE TEX 5062'!$L$4:$P$34,IF(L1433="F-15",2,IF(L1433="F-30",3,IF(L1433="F-60",4,IF(L1433="F-90",5,0)))),0),0)+IF(AND(O1433="FIRE TEX 5062",E1433="CJ",J1433=4),VLOOKUP(_xlfn.MINIFS('FIRE TEX 5062'!$Q$3:$Q$34,'FIRE TEX 5062'!$Q$3:$Q$34,"&gt;="&amp;M1433),'FIRE TEX 5062'!$Q$3:$U$34,IF(L1433="F-15",2,IF(L1433="F-30",3,IF(L1433="F-60",4,IF(L1433="F-90",5,0)))),0),0)+IF(AND(O1433="FIRE TEX 5090",OR(E1433="IN",E1433="C",E1433="Z",E1433="L"),J1433=3),VLOOKUP(_xlfn.MINIFS('FIRE TEX 5090'!$B$5:$B$43,'FIRE TEX 5090'!$B$5:$B$43,"&gt;="&amp;M1433),'FIRE TEX 5090'!$B$5:$H$43,IF(L1433="F-15",2,IF(L1433="F-30",3,IF(L1433="F-60",4,IF(L1433="F-90",5,IF(L1433="F-120",6,IF(L1433="F-150",7,0)))))),0),0)+IF(AND(O1433="FIRE TEX 5090",OR(E1433="IN",E1433="C",E1433="Z",E1433="L"),J1433=4),VLOOKUP(_xlfn.MINIFS('FIRE TEX 5090'!$J$5:$J$43,'FIRE TEX 5090'!$J$5:$J$43,"&gt;="&amp;M1433),'FIRE TEX 5090'!$J$5:$P$43,IF(L1433="F-15",2,IF(L1433="F-30",3,IF(L1433="F-60",4,IF(L1433="F-90",5,IF(L1433="F-120",6,IF(L1433="F-150",7,0)))))),0),0)+IF(AND(O1433="FIRE TEX 5090",E1433="CJ",J1433=3),VLOOKUP(_xlfn.MINIFS('FIRE TEX 5090'!$R$5:$R$30,'FIRE TEX 5090'!$R$5:$R$30,"&gt;="&amp;M1433),'FIRE TEX 5090'!$R$5:$W$30,IF(L1433="F-15",2,IF(L1433="F-30",3,IF(L1433="F-60",4,IF(L1433="F-90",5,IF(L1433="F-120",6,IF(L1433="F-150",7,0)))))),0),0)+IF(AND(O1433="FIRE TEX 5090",E1433="CJ",J1433=4),VLOOKUP(_xlfn.MINIFS('FIRE TEX 5090'!$Y$5:$Y$39,'FIRE TEX 5090'!$Y$5:$Y$39,"&gt;="&amp;M1433),'FIRE TEX 5090'!$Y$5:$AD$39,IF(L1433="F-15",2,IF(L1433="F-30",3,IF(L1433="F-60",4,IF(L1433="F-90",5,IF(L1433="F-120",6,IF(L1433="F-150",7,0)))))),0),0)+IF(AND(O1433="FIRE TEX 5120",OR(E1433="IN",E1433="C",E1433="Z",E1433="L"),J1433=3),VLOOKUP(_xlfn.MINIFS('FIRE TEX 5120'!$B$5:$B$40,'FIRE TEX 5120'!$B$5:$B$40,"&gt;="&amp;M1433),'FIRE TEX 5120'!$B$5:$G$40,IF(L1433="F-15",2,IF(L1433="F-30",3,IF(L1433="F-60",4,IF(L1433="F-90",5,IF(L1433="F-120",6,0))))),0),0)+IF(AND(O1433="FIRE TEX 5120",OR(E1433="IN",E1433="C",E1433="Z",E1433="L"),J1433=4),VLOOKUP(_xlfn.MINIFS('FIRE TEX 5120'!$H$4:$H$40,'FIRE TEX 5120'!$H$4:$H$40,"&gt;="&amp;M1433),'FIRE TEX 5120'!$H$4:$M$40,IF(L1433="F-15",2,IF(L1433="F-30",3,IF(L1433="F-60",4,IF(L1433="F-90",5,IF(L1433="F-120",6,0))))),0),0)+IF(AND(O1433="FIRE TEX 5120",E1433="CJ"),VLOOKUP(_xlfn.MINIFS('FIRE TEX 5120'!$O$5:$O$40,'FIRE TEX 5120'!$O$5:$O$40,"&gt;="&amp;M1433),'FIRE TEX 5120'!$O$5:$T$40,IF(L1433="F-15",2,IF(L1433="F-30",3,IF(L1433="F-60",4,IF(L1433="F-90",5,IF(L1433="F-120",6,0))))),0),0)</f>
        <v>0</v>
      </c>
      <c r="Q1433" s="46">
        <f t="shared" si="129"/>
        <v>0</v>
      </c>
      <c r="R1433" s="46">
        <f t="shared" si="130"/>
        <v>0</v>
      </c>
      <c r="S1433" s="46" t="e">
        <f t="shared" si="131"/>
        <v>#VALUE!</v>
      </c>
      <c r="T1433" s="677">
        <f t="shared" si="132"/>
        <v>0</v>
      </c>
      <c r="U1433" s="80">
        <f>(IF(O1433="Stofire",(S1433*#REF!),0))+(IF(O1433="Fire Control",(S1433*$U$2),0))+(IF(O1433="Fire Tex",(S1433*$U$3),0))+(IF(O1433="WB7",(S1433*#REF!),0)+(IF(O1433="FX 2003",(S1433*$U$5),0)))</f>
        <v>0</v>
      </c>
      <c r="V1433" s="651">
        <f t="shared" si="133"/>
        <v>0</v>
      </c>
    </row>
    <row r="1434" spans="4:22" x14ac:dyDescent="0.25">
      <c r="D1434" s="118">
        <f>+CUBICACION!D1433</f>
        <v>0</v>
      </c>
      <c r="E1434" s="118">
        <f>+CUBICACION!F1433</f>
        <v>0</v>
      </c>
      <c r="F1434" s="118">
        <f>+CUBICACION!E1433</f>
        <v>0</v>
      </c>
      <c r="G1434" s="118">
        <v>12</v>
      </c>
      <c r="H1434" s="118">
        <v>2</v>
      </c>
      <c r="I1434" s="820">
        <v>26385</v>
      </c>
      <c r="J1434" s="118">
        <f>+CUBICACION!J1433</f>
        <v>0</v>
      </c>
      <c r="K1434" s="118">
        <v>4213</v>
      </c>
      <c r="L1434" s="118">
        <f>+CUBICACION!L1433</f>
        <v>0</v>
      </c>
      <c r="M1434" s="64">
        <f>+CUBICACION!M1433</f>
        <v>0</v>
      </c>
      <c r="N1434" s="824" t="str">
        <f>+CUBICACION!N1433</f>
        <v/>
      </c>
      <c r="O1434" s="675">
        <f>+CUBICACION!O1433</f>
        <v>0</v>
      </c>
      <c r="P1434" s="15">
        <f>IF(O1434="Fire Control",VLOOKUP(_xlfn.MINIFS('FIRE CONTROL'!$C$4:$C$37,'FIRE CONTROL'!$C$4:$C$37,"&gt;="&amp;M1434),'FIRE CONTROL'!$C$4:$G$37,IF(L1434="F-15",2,IF(L1434="F-30",3,IF(L1434="F-60",4,IF(L1434="F-90",5,0)))),0),0)+IF(AND(O1434="FIRE TEX 5062",OR(E1434="IN",E1434="C",E1434="Z",E1434="L"),J1434=3),VLOOKUP(_xlfn.MINIFS('FIRE TEX 5062'!$B$4:$B$34,'FIRE TEX 5062'!$B$4:$B$34,"&gt;="&amp;M1434),'FIRE TEX 5062'!$B$4:$F$34,IF(L1434="F-15",2,IF(L1434="F-30",3,IF(L1434="F-60",4,IF(L1434="F-90",5,0)))),0),0)+IF(AND(O1434="FIRE TEX 5062",OR(E1434="IN",E1434="C",E1434="Z",E1434="L"),J1434=4),VLOOKUP(_xlfn.MINIFS('FIRE TEX 5062'!$G$4:$G$34,'FIRE TEX 5062'!$G$4:$G$34,"&gt;="&amp;M1434),'FIRE TEX 5062'!$G$4:$K$34,IF(L1434="F-15",2,IF(L1434="F-30",3,IF(L1434="F-60",4,IF(L1434="F-90",5,0)))),0),0)+IF(AND(O1434="FIRE TEX 5062",E1434="CJ",J1434=3),VLOOKUP(_xlfn.MINIFS('FIRE TEX 5062'!$L$4:$L$34,'FIRE TEX 5062'!$L$4:$L$34,"&gt;="&amp;M1434),'FIRE TEX 5062'!$L$4:$P$34,IF(L1434="F-15",2,IF(L1434="F-30",3,IF(L1434="F-60",4,IF(L1434="F-90",5,0)))),0),0)+IF(AND(O1434="FIRE TEX 5062",E1434="CJ",J1434=4),VLOOKUP(_xlfn.MINIFS('FIRE TEX 5062'!$Q$3:$Q$34,'FIRE TEX 5062'!$Q$3:$Q$34,"&gt;="&amp;M1434),'FIRE TEX 5062'!$Q$3:$U$34,IF(L1434="F-15",2,IF(L1434="F-30",3,IF(L1434="F-60",4,IF(L1434="F-90",5,0)))),0),0)+IF(AND(O1434="FIRE TEX 5090",OR(E1434="IN",E1434="C",E1434="Z",E1434="L"),J1434=3),VLOOKUP(_xlfn.MINIFS('FIRE TEX 5090'!$B$5:$B$43,'FIRE TEX 5090'!$B$5:$B$43,"&gt;="&amp;M1434),'FIRE TEX 5090'!$B$5:$H$43,IF(L1434="F-15",2,IF(L1434="F-30",3,IF(L1434="F-60",4,IF(L1434="F-90",5,IF(L1434="F-120",6,IF(L1434="F-150",7,0)))))),0),0)+IF(AND(O1434="FIRE TEX 5090",OR(E1434="IN",E1434="C",E1434="Z",E1434="L"),J1434=4),VLOOKUP(_xlfn.MINIFS('FIRE TEX 5090'!$J$5:$J$43,'FIRE TEX 5090'!$J$5:$J$43,"&gt;="&amp;M1434),'FIRE TEX 5090'!$J$5:$P$43,IF(L1434="F-15",2,IF(L1434="F-30",3,IF(L1434="F-60",4,IF(L1434="F-90",5,IF(L1434="F-120",6,IF(L1434="F-150",7,0)))))),0),0)+IF(AND(O1434="FIRE TEX 5090",E1434="CJ",J1434=3),VLOOKUP(_xlfn.MINIFS('FIRE TEX 5090'!$R$5:$R$30,'FIRE TEX 5090'!$R$5:$R$30,"&gt;="&amp;M1434),'FIRE TEX 5090'!$R$5:$W$30,IF(L1434="F-15",2,IF(L1434="F-30",3,IF(L1434="F-60",4,IF(L1434="F-90",5,IF(L1434="F-120",6,IF(L1434="F-150",7,0)))))),0),0)+IF(AND(O1434="FIRE TEX 5090",E1434="CJ",J1434=4),VLOOKUP(_xlfn.MINIFS('FIRE TEX 5090'!$Y$5:$Y$39,'FIRE TEX 5090'!$Y$5:$Y$39,"&gt;="&amp;M1434),'FIRE TEX 5090'!$Y$5:$AD$39,IF(L1434="F-15",2,IF(L1434="F-30",3,IF(L1434="F-60",4,IF(L1434="F-90",5,IF(L1434="F-120",6,IF(L1434="F-150",7,0)))))),0),0)+IF(AND(O1434="FIRE TEX 5120",OR(E1434="IN",E1434="C",E1434="Z",E1434="L"),J1434=3),VLOOKUP(_xlfn.MINIFS('FIRE TEX 5120'!$B$5:$B$40,'FIRE TEX 5120'!$B$5:$B$40,"&gt;="&amp;M1434),'FIRE TEX 5120'!$B$5:$G$40,IF(L1434="F-15",2,IF(L1434="F-30",3,IF(L1434="F-60",4,IF(L1434="F-90",5,IF(L1434="F-120",6,0))))),0),0)+IF(AND(O1434="FIRE TEX 5120",OR(E1434="IN",E1434="C",E1434="Z",E1434="L"),J1434=4),VLOOKUP(_xlfn.MINIFS('FIRE TEX 5120'!$H$4:$H$40,'FIRE TEX 5120'!$H$4:$H$40,"&gt;="&amp;M1434),'FIRE TEX 5120'!$H$4:$M$40,IF(L1434="F-15",2,IF(L1434="F-30",3,IF(L1434="F-60",4,IF(L1434="F-90",5,IF(L1434="F-120",6,0))))),0),0)+IF(AND(O1434="FIRE TEX 5120",E1434="CJ"),VLOOKUP(_xlfn.MINIFS('FIRE TEX 5120'!$O$5:$O$40,'FIRE TEX 5120'!$O$5:$O$40,"&gt;="&amp;M1434),'FIRE TEX 5120'!$O$5:$T$40,IF(L1434="F-15",2,IF(L1434="F-30",3,IF(L1434="F-60",4,IF(L1434="F-90",5,IF(L1434="F-120",6,0))))),0),0)</f>
        <v>0</v>
      </c>
      <c r="Q1434" s="46">
        <f t="shared" si="129"/>
        <v>0</v>
      </c>
      <c r="R1434" s="46">
        <f t="shared" si="130"/>
        <v>0</v>
      </c>
      <c r="S1434" s="46" t="e">
        <f t="shared" si="131"/>
        <v>#VALUE!</v>
      </c>
      <c r="T1434" s="677">
        <f t="shared" si="132"/>
        <v>0</v>
      </c>
      <c r="U1434" s="80">
        <f>(IF(O1434="Stofire",(S1434*#REF!),0))+(IF(O1434="Fire Control",(S1434*$U$2),0))+(IF(O1434="Fire Tex",(S1434*$U$3),0))+(IF(O1434="WB7",(S1434*#REF!),0)+(IF(O1434="FX 2003",(S1434*$U$5),0)))</f>
        <v>0</v>
      </c>
      <c r="V1434" s="651">
        <f t="shared" si="133"/>
        <v>0</v>
      </c>
    </row>
    <row r="1435" spans="4:22" x14ac:dyDescent="0.25">
      <c r="D1435" s="118">
        <f>+CUBICACION!D1434</f>
        <v>0</v>
      </c>
      <c r="E1435" s="118">
        <f>+CUBICACION!F1434</f>
        <v>0</v>
      </c>
      <c r="F1435" s="118">
        <f>+CUBICACION!E1434</f>
        <v>0</v>
      </c>
      <c r="G1435" s="118">
        <v>12</v>
      </c>
      <c r="H1435" s="118">
        <v>2</v>
      </c>
      <c r="I1435" s="820">
        <v>26385</v>
      </c>
      <c r="J1435" s="118">
        <f>+CUBICACION!J1434</f>
        <v>0</v>
      </c>
      <c r="K1435" s="118">
        <v>4214</v>
      </c>
      <c r="L1435" s="118">
        <f>+CUBICACION!L1434</f>
        <v>0</v>
      </c>
      <c r="M1435" s="64">
        <f>+CUBICACION!M1434</f>
        <v>0</v>
      </c>
      <c r="N1435" s="824" t="str">
        <f>+CUBICACION!N1434</f>
        <v/>
      </c>
      <c r="O1435" s="675">
        <f>+CUBICACION!O1434</f>
        <v>0</v>
      </c>
      <c r="P1435" s="15">
        <f>IF(O1435="Fire Control",VLOOKUP(_xlfn.MINIFS('FIRE CONTROL'!$C$4:$C$37,'FIRE CONTROL'!$C$4:$C$37,"&gt;="&amp;M1435),'FIRE CONTROL'!$C$4:$G$37,IF(L1435="F-15",2,IF(L1435="F-30",3,IF(L1435="F-60",4,IF(L1435="F-90",5,0)))),0),0)+IF(AND(O1435="FIRE TEX 5062",OR(E1435="IN",E1435="C",E1435="Z",E1435="L"),J1435=3),VLOOKUP(_xlfn.MINIFS('FIRE TEX 5062'!$B$4:$B$34,'FIRE TEX 5062'!$B$4:$B$34,"&gt;="&amp;M1435),'FIRE TEX 5062'!$B$4:$F$34,IF(L1435="F-15",2,IF(L1435="F-30",3,IF(L1435="F-60",4,IF(L1435="F-90",5,0)))),0),0)+IF(AND(O1435="FIRE TEX 5062",OR(E1435="IN",E1435="C",E1435="Z",E1435="L"),J1435=4),VLOOKUP(_xlfn.MINIFS('FIRE TEX 5062'!$G$4:$G$34,'FIRE TEX 5062'!$G$4:$G$34,"&gt;="&amp;M1435),'FIRE TEX 5062'!$G$4:$K$34,IF(L1435="F-15",2,IF(L1435="F-30",3,IF(L1435="F-60",4,IF(L1435="F-90",5,0)))),0),0)+IF(AND(O1435="FIRE TEX 5062",E1435="CJ",J1435=3),VLOOKUP(_xlfn.MINIFS('FIRE TEX 5062'!$L$4:$L$34,'FIRE TEX 5062'!$L$4:$L$34,"&gt;="&amp;M1435),'FIRE TEX 5062'!$L$4:$P$34,IF(L1435="F-15",2,IF(L1435="F-30",3,IF(L1435="F-60",4,IF(L1435="F-90",5,0)))),0),0)+IF(AND(O1435="FIRE TEX 5062",E1435="CJ",J1435=4),VLOOKUP(_xlfn.MINIFS('FIRE TEX 5062'!$Q$3:$Q$34,'FIRE TEX 5062'!$Q$3:$Q$34,"&gt;="&amp;M1435),'FIRE TEX 5062'!$Q$3:$U$34,IF(L1435="F-15",2,IF(L1435="F-30",3,IF(L1435="F-60",4,IF(L1435="F-90",5,0)))),0),0)+IF(AND(O1435="FIRE TEX 5090",OR(E1435="IN",E1435="C",E1435="Z",E1435="L"),J1435=3),VLOOKUP(_xlfn.MINIFS('FIRE TEX 5090'!$B$5:$B$43,'FIRE TEX 5090'!$B$5:$B$43,"&gt;="&amp;M1435),'FIRE TEX 5090'!$B$5:$H$43,IF(L1435="F-15",2,IF(L1435="F-30",3,IF(L1435="F-60",4,IF(L1435="F-90",5,IF(L1435="F-120",6,IF(L1435="F-150",7,0)))))),0),0)+IF(AND(O1435="FIRE TEX 5090",OR(E1435="IN",E1435="C",E1435="Z",E1435="L"),J1435=4),VLOOKUP(_xlfn.MINIFS('FIRE TEX 5090'!$J$5:$J$43,'FIRE TEX 5090'!$J$5:$J$43,"&gt;="&amp;M1435),'FIRE TEX 5090'!$J$5:$P$43,IF(L1435="F-15",2,IF(L1435="F-30",3,IF(L1435="F-60",4,IF(L1435="F-90",5,IF(L1435="F-120",6,IF(L1435="F-150",7,0)))))),0),0)+IF(AND(O1435="FIRE TEX 5090",E1435="CJ",J1435=3),VLOOKUP(_xlfn.MINIFS('FIRE TEX 5090'!$R$5:$R$30,'FIRE TEX 5090'!$R$5:$R$30,"&gt;="&amp;M1435),'FIRE TEX 5090'!$R$5:$W$30,IF(L1435="F-15",2,IF(L1435="F-30",3,IF(L1435="F-60",4,IF(L1435="F-90",5,IF(L1435="F-120",6,IF(L1435="F-150",7,0)))))),0),0)+IF(AND(O1435="FIRE TEX 5090",E1435="CJ",J1435=4),VLOOKUP(_xlfn.MINIFS('FIRE TEX 5090'!$Y$5:$Y$39,'FIRE TEX 5090'!$Y$5:$Y$39,"&gt;="&amp;M1435),'FIRE TEX 5090'!$Y$5:$AD$39,IF(L1435="F-15",2,IF(L1435="F-30",3,IF(L1435="F-60",4,IF(L1435="F-90",5,IF(L1435="F-120",6,IF(L1435="F-150",7,0)))))),0),0)+IF(AND(O1435="FIRE TEX 5120",OR(E1435="IN",E1435="C",E1435="Z",E1435="L"),J1435=3),VLOOKUP(_xlfn.MINIFS('FIRE TEX 5120'!$B$5:$B$40,'FIRE TEX 5120'!$B$5:$B$40,"&gt;="&amp;M1435),'FIRE TEX 5120'!$B$5:$G$40,IF(L1435="F-15",2,IF(L1435="F-30",3,IF(L1435="F-60",4,IF(L1435="F-90",5,IF(L1435="F-120",6,0))))),0),0)+IF(AND(O1435="FIRE TEX 5120",OR(E1435="IN",E1435="C",E1435="Z",E1435="L"),J1435=4),VLOOKUP(_xlfn.MINIFS('FIRE TEX 5120'!$H$4:$H$40,'FIRE TEX 5120'!$H$4:$H$40,"&gt;="&amp;M1435),'FIRE TEX 5120'!$H$4:$M$40,IF(L1435="F-15",2,IF(L1435="F-30",3,IF(L1435="F-60",4,IF(L1435="F-90",5,IF(L1435="F-120",6,0))))),0),0)+IF(AND(O1435="FIRE TEX 5120",E1435="CJ"),VLOOKUP(_xlfn.MINIFS('FIRE TEX 5120'!$O$5:$O$40,'FIRE TEX 5120'!$O$5:$O$40,"&gt;="&amp;M1435),'FIRE TEX 5120'!$O$5:$T$40,IF(L1435="F-15",2,IF(L1435="F-30",3,IF(L1435="F-60",4,IF(L1435="F-90",5,IF(L1435="F-120",6,0))))),0),0)</f>
        <v>0</v>
      </c>
      <c r="Q1435" s="46">
        <f t="shared" si="129"/>
        <v>0</v>
      </c>
      <c r="R1435" s="46">
        <f t="shared" si="130"/>
        <v>0</v>
      </c>
      <c r="S1435" s="46" t="e">
        <f t="shared" si="131"/>
        <v>#VALUE!</v>
      </c>
      <c r="T1435" s="677">
        <f t="shared" si="132"/>
        <v>0</v>
      </c>
      <c r="U1435" s="80">
        <f>(IF(O1435="Stofire",(S1435*#REF!),0))+(IF(O1435="Fire Control",(S1435*$U$2),0))+(IF(O1435="Fire Tex",(S1435*$U$3),0))+(IF(O1435="WB7",(S1435*#REF!),0)+(IF(O1435="FX 2003",(S1435*$U$5),0)))</f>
        <v>0</v>
      </c>
      <c r="V1435" s="651">
        <f t="shared" si="133"/>
        <v>0</v>
      </c>
    </row>
    <row r="1436" spans="4:22" x14ac:dyDescent="0.25">
      <c r="D1436" s="118">
        <f>+CUBICACION!D1435</f>
        <v>0</v>
      </c>
      <c r="E1436" s="118">
        <f>+CUBICACION!F1435</f>
        <v>0</v>
      </c>
      <c r="F1436" s="118">
        <f>+CUBICACION!E1435</f>
        <v>0</v>
      </c>
      <c r="G1436" s="118">
        <v>12</v>
      </c>
      <c r="H1436" s="118">
        <v>2</v>
      </c>
      <c r="I1436" s="820">
        <v>26385</v>
      </c>
      <c r="J1436" s="118">
        <f>+CUBICACION!J1435</f>
        <v>0</v>
      </c>
      <c r="K1436" s="118">
        <v>4215</v>
      </c>
      <c r="L1436" s="118">
        <f>+CUBICACION!L1435</f>
        <v>0</v>
      </c>
      <c r="M1436" s="64">
        <f>+CUBICACION!M1435</f>
        <v>0</v>
      </c>
      <c r="N1436" s="824" t="str">
        <f>+CUBICACION!N1435</f>
        <v/>
      </c>
      <c r="O1436" s="675">
        <f>+CUBICACION!O1435</f>
        <v>0</v>
      </c>
      <c r="P1436" s="15">
        <f>IF(O1436="Fire Control",VLOOKUP(_xlfn.MINIFS('FIRE CONTROL'!$C$4:$C$37,'FIRE CONTROL'!$C$4:$C$37,"&gt;="&amp;M1436),'FIRE CONTROL'!$C$4:$G$37,IF(L1436="F-15",2,IF(L1436="F-30",3,IF(L1436="F-60",4,IF(L1436="F-90",5,0)))),0),0)+IF(AND(O1436="FIRE TEX 5062",OR(E1436="IN",E1436="C",E1436="Z",E1436="L"),J1436=3),VLOOKUP(_xlfn.MINIFS('FIRE TEX 5062'!$B$4:$B$34,'FIRE TEX 5062'!$B$4:$B$34,"&gt;="&amp;M1436),'FIRE TEX 5062'!$B$4:$F$34,IF(L1436="F-15",2,IF(L1436="F-30",3,IF(L1436="F-60",4,IF(L1436="F-90",5,0)))),0),0)+IF(AND(O1436="FIRE TEX 5062",OR(E1436="IN",E1436="C",E1436="Z",E1436="L"),J1436=4),VLOOKUP(_xlfn.MINIFS('FIRE TEX 5062'!$G$4:$G$34,'FIRE TEX 5062'!$G$4:$G$34,"&gt;="&amp;M1436),'FIRE TEX 5062'!$G$4:$K$34,IF(L1436="F-15",2,IF(L1436="F-30",3,IF(L1436="F-60",4,IF(L1436="F-90",5,0)))),0),0)+IF(AND(O1436="FIRE TEX 5062",E1436="CJ",J1436=3),VLOOKUP(_xlfn.MINIFS('FIRE TEX 5062'!$L$4:$L$34,'FIRE TEX 5062'!$L$4:$L$34,"&gt;="&amp;M1436),'FIRE TEX 5062'!$L$4:$P$34,IF(L1436="F-15",2,IF(L1436="F-30",3,IF(L1436="F-60",4,IF(L1436="F-90",5,0)))),0),0)+IF(AND(O1436="FIRE TEX 5062",E1436="CJ",J1436=4),VLOOKUP(_xlfn.MINIFS('FIRE TEX 5062'!$Q$3:$Q$34,'FIRE TEX 5062'!$Q$3:$Q$34,"&gt;="&amp;M1436),'FIRE TEX 5062'!$Q$3:$U$34,IF(L1436="F-15",2,IF(L1436="F-30",3,IF(L1436="F-60",4,IF(L1436="F-90",5,0)))),0),0)+IF(AND(O1436="FIRE TEX 5090",OR(E1436="IN",E1436="C",E1436="Z",E1436="L"),J1436=3),VLOOKUP(_xlfn.MINIFS('FIRE TEX 5090'!$B$5:$B$43,'FIRE TEX 5090'!$B$5:$B$43,"&gt;="&amp;M1436),'FIRE TEX 5090'!$B$5:$H$43,IF(L1436="F-15",2,IF(L1436="F-30",3,IF(L1436="F-60",4,IF(L1436="F-90",5,IF(L1436="F-120",6,IF(L1436="F-150",7,0)))))),0),0)+IF(AND(O1436="FIRE TEX 5090",OR(E1436="IN",E1436="C",E1436="Z",E1436="L"),J1436=4),VLOOKUP(_xlfn.MINIFS('FIRE TEX 5090'!$J$5:$J$43,'FIRE TEX 5090'!$J$5:$J$43,"&gt;="&amp;M1436),'FIRE TEX 5090'!$J$5:$P$43,IF(L1436="F-15",2,IF(L1436="F-30",3,IF(L1436="F-60",4,IF(L1436="F-90",5,IF(L1436="F-120",6,IF(L1436="F-150",7,0)))))),0),0)+IF(AND(O1436="FIRE TEX 5090",E1436="CJ",J1436=3),VLOOKUP(_xlfn.MINIFS('FIRE TEX 5090'!$R$5:$R$30,'FIRE TEX 5090'!$R$5:$R$30,"&gt;="&amp;M1436),'FIRE TEX 5090'!$R$5:$W$30,IF(L1436="F-15",2,IF(L1436="F-30",3,IF(L1436="F-60",4,IF(L1436="F-90",5,IF(L1436="F-120",6,IF(L1436="F-150",7,0)))))),0),0)+IF(AND(O1436="FIRE TEX 5090",E1436="CJ",J1436=4),VLOOKUP(_xlfn.MINIFS('FIRE TEX 5090'!$Y$5:$Y$39,'FIRE TEX 5090'!$Y$5:$Y$39,"&gt;="&amp;M1436),'FIRE TEX 5090'!$Y$5:$AD$39,IF(L1436="F-15",2,IF(L1436="F-30",3,IF(L1436="F-60",4,IF(L1436="F-90",5,IF(L1436="F-120",6,IF(L1436="F-150",7,0)))))),0),0)+IF(AND(O1436="FIRE TEX 5120",OR(E1436="IN",E1436="C",E1436="Z",E1436="L"),J1436=3),VLOOKUP(_xlfn.MINIFS('FIRE TEX 5120'!$B$5:$B$40,'FIRE TEX 5120'!$B$5:$B$40,"&gt;="&amp;M1436),'FIRE TEX 5120'!$B$5:$G$40,IF(L1436="F-15",2,IF(L1436="F-30",3,IF(L1436="F-60",4,IF(L1436="F-90",5,IF(L1436="F-120",6,0))))),0),0)+IF(AND(O1436="FIRE TEX 5120",OR(E1436="IN",E1436="C",E1436="Z",E1436="L"),J1436=4),VLOOKUP(_xlfn.MINIFS('FIRE TEX 5120'!$H$4:$H$40,'FIRE TEX 5120'!$H$4:$H$40,"&gt;="&amp;M1436),'FIRE TEX 5120'!$H$4:$M$40,IF(L1436="F-15",2,IF(L1436="F-30",3,IF(L1436="F-60",4,IF(L1436="F-90",5,IF(L1436="F-120",6,0))))),0),0)+IF(AND(O1436="FIRE TEX 5120",E1436="CJ"),VLOOKUP(_xlfn.MINIFS('FIRE TEX 5120'!$O$5:$O$40,'FIRE TEX 5120'!$O$5:$O$40,"&gt;="&amp;M1436),'FIRE TEX 5120'!$O$5:$T$40,IF(L1436="F-15",2,IF(L1436="F-30",3,IF(L1436="F-60",4,IF(L1436="F-90",5,IF(L1436="F-120",6,0))))),0),0)</f>
        <v>0</v>
      </c>
      <c r="Q1436" s="46">
        <f t="shared" si="129"/>
        <v>0</v>
      </c>
      <c r="R1436" s="46">
        <f t="shared" si="130"/>
        <v>0</v>
      </c>
      <c r="S1436" s="46" t="e">
        <f t="shared" si="131"/>
        <v>#VALUE!</v>
      </c>
      <c r="T1436" s="677">
        <f t="shared" si="132"/>
        <v>0</v>
      </c>
      <c r="U1436" s="80">
        <f>(IF(O1436="Stofire",(S1436*#REF!),0))+(IF(O1436="Fire Control",(S1436*$U$2),0))+(IF(O1436="Fire Tex",(S1436*$U$3),0))+(IF(O1436="WB7",(S1436*#REF!),0)+(IF(O1436="FX 2003",(S1436*$U$5),0)))</f>
        <v>0</v>
      </c>
      <c r="V1436" s="651">
        <f t="shared" si="133"/>
        <v>0</v>
      </c>
    </row>
    <row r="1437" spans="4:22" x14ac:dyDescent="0.25">
      <c r="D1437" s="118">
        <f>+CUBICACION!D1436</f>
        <v>0</v>
      </c>
      <c r="E1437" s="118">
        <f>+CUBICACION!F1436</f>
        <v>0</v>
      </c>
      <c r="F1437" s="118">
        <f>+CUBICACION!E1436</f>
        <v>0</v>
      </c>
      <c r="G1437" s="118">
        <v>12</v>
      </c>
      <c r="H1437" s="118">
        <v>2</v>
      </c>
      <c r="I1437" s="820">
        <v>26385</v>
      </c>
      <c r="J1437" s="118">
        <f>+CUBICACION!J1436</f>
        <v>0</v>
      </c>
      <c r="K1437" s="118">
        <v>4216</v>
      </c>
      <c r="L1437" s="118">
        <f>+CUBICACION!L1436</f>
        <v>0</v>
      </c>
      <c r="M1437" s="64">
        <f>+CUBICACION!M1436</f>
        <v>0</v>
      </c>
      <c r="N1437" s="824" t="str">
        <f>+CUBICACION!N1436</f>
        <v/>
      </c>
      <c r="O1437" s="675">
        <f>+CUBICACION!O1436</f>
        <v>0</v>
      </c>
      <c r="P1437" s="15">
        <f>IF(O1437="Fire Control",VLOOKUP(_xlfn.MINIFS('FIRE CONTROL'!$C$4:$C$37,'FIRE CONTROL'!$C$4:$C$37,"&gt;="&amp;M1437),'FIRE CONTROL'!$C$4:$G$37,IF(L1437="F-15",2,IF(L1437="F-30",3,IF(L1437="F-60",4,IF(L1437="F-90",5,0)))),0),0)+IF(AND(O1437="FIRE TEX 5062",OR(E1437="IN",E1437="C",E1437="Z",E1437="L"),J1437=3),VLOOKUP(_xlfn.MINIFS('FIRE TEX 5062'!$B$4:$B$34,'FIRE TEX 5062'!$B$4:$B$34,"&gt;="&amp;M1437),'FIRE TEX 5062'!$B$4:$F$34,IF(L1437="F-15",2,IF(L1437="F-30",3,IF(L1437="F-60",4,IF(L1437="F-90",5,0)))),0),0)+IF(AND(O1437="FIRE TEX 5062",OR(E1437="IN",E1437="C",E1437="Z",E1437="L"),J1437=4),VLOOKUP(_xlfn.MINIFS('FIRE TEX 5062'!$G$4:$G$34,'FIRE TEX 5062'!$G$4:$G$34,"&gt;="&amp;M1437),'FIRE TEX 5062'!$G$4:$K$34,IF(L1437="F-15",2,IF(L1437="F-30",3,IF(L1437="F-60",4,IF(L1437="F-90",5,0)))),0),0)+IF(AND(O1437="FIRE TEX 5062",E1437="CJ",J1437=3),VLOOKUP(_xlfn.MINIFS('FIRE TEX 5062'!$L$4:$L$34,'FIRE TEX 5062'!$L$4:$L$34,"&gt;="&amp;M1437),'FIRE TEX 5062'!$L$4:$P$34,IF(L1437="F-15",2,IF(L1437="F-30",3,IF(L1437="F-60",4,IF(L1437="F-90",5,0)))),0),0)+IF(AND(O1437="FIRE TEX 5062",E1437="CJ",J1437=4),VLOOKUP(_xlfn.MINIFS('FIRE TEX 5062'!$Q$3:$Q$34,'FIRE TEX 5062'!$Q$3:$Q$34,"&gt;="&amp;M1437),'FIRE TEX 5062'!$Q$3:$U$34,IF(L1437="F-15",2,IF(L1437="F-30",3,IF(L1437="F-60",4,IF(L1437="F-90",5,0)))),0),0)+IF(AND(O1437="FIRE TEX 5090",OR(E1437="IN",E1437="C",E1437="Z",E1437="L"),J1437=3),VLOOKUP(_xlfn.MINIFS('FIRE TEX 5090'!$B$5:$B$43,'FIRE TEX 5090'!$B$5:$B$43,"&gt;="&amp;M1437),'FIRE TEX 5090'!$B$5:$H$43,IF(L1437="F-15",2,IF(L1437="F-30",3,IF(L1437="F-60",4,IF(L1437="F-90",5,IF(L1437="F-120",6,IF(L1437="F-150",7,0)))))),0),0)+IF(AND(O1437="FIRE TEX 5090",OR(E1437="IN",E1437="C",E1437="Z",E1437="L"),J1437=4),VLOOKUP(_xlfn.MINIFS('FIRE TEX 5090'!$J$5:$J$43,'FIRE TEX 5090'!$J$5:$J$43,"&gt;="&amp;M1437),'FIRE TEX 5090'!$J$5:$P$43,IF(L1437="F-15",2,IF(L1437="F-30",3,IF(L1437="F-60",4,IF(L1437="F-90",5,IF(L1437="F-120",6,IF(L1437="F-150",7,0)))))),0),0)+IF(AND(O1437="FIRE TEX 5090",E1437="CJ",J1437=3),VLOOKUP(_xlfn.MINIFS('FIRE TEX 5090'!$R$5:$R$30,'FIRE TEX 5090'!$R$5:$R$30,"&gt;="&amp;M1437),'FIRE TEX 5090'!$R$5:$W$30,IF(L1437="F-15",2,IF(L1437="F-30",3,IF(L1437="F-60",4,IF(L1437="F-90",5,IF(L1437="F-120",6,IF(L1437="F-150",7,0)))))),0),0)+IF(AND(O1437="FIRE TEX 5090",E1437="CJ",J1437=4),VLOOKUP(_xlfn.MINIFS('FIRE TEX 5090'!$Y$5:$Y$39,'FIRE TEX 5090'!$Y$5:$Y$39,"&gt;="&amp;M1437),'FIRE TEX 5090'!$Y$5:$AD$39,IF(L1437="F-15",2,IF(L1437="F-30",3,IF(L1437="F-60",4,IF(L1437="F-90",5,IF(L1437="F-120",6,IF(L1437="F-150",7,0)))))),0),0)+IF(AND(O1437="FIRE TEX 5120",OR(E1437="IN",E1437="C",E1437="Z",E1437="L"),J1437=3),VLOOKUP(_xlfn.MINIFS('FIRE TEX 5120'!$B$5:$B$40,'FIRE TEX 5120'!$B$5:$B$40,"&gt;="&amp;M1437),'FIRE TEX 5120'!$B$5:$G$40,IF(L1437="F-15",2,IF(L1437="F-30",3,IF(L1437="F-60",4,IF(L1437="F-90",5,IF(L1437="F-120",6,0))))),0),0)+IF(AND(O1437="FIRE TEX 5120",OR(E1437="IN",E1437="C",E1437="Z",E1437="L"),J1437=4),VLOOKUP(_xlfn.MINIFS('FIRE TEX 5120'!$H$4:$H$40,'FIRE TEX 5120'!$H$4:$H$40,"&gt;="&amp;M1437),'FIRE TEX 5120'!$H$4:$M$40,IF(L1437="F-15",2,IF(L1437="F-30",3,IF(L1437="F-60",4,IF(L1437="F-90",5,IF(L1437="F-120",6,0))))),0),0)+IF(AND(O1437="FIRE TEX 5120",E1437="CJ"),VLOOKUP(_xlfn.MINIFS('FIRE TEX 5120'!$O$5:$O$40,'FIRE TEX 5120'!$O$5:$O$40,"&gt;="&amp;M1437),'FIRE TEX 5120'!$O$5:$T$40,IF(L1437="F-15",2,IF(L1437="F-30",3,IF(L1437="F-60",4,IF(L1437="F-90",5,IF(L1437="F-120",6,0))))),0),0)</f>
        <v>0</v>
      </c>
      <c r="Q1437" s="46">
        <f t="shared" si="129"/>
        <v>0</v>
      </c>
      <c r="R1437" s="46">
        <f t="shared" si="130"/>
        <v>0</v>
      </c>
      <c r="S1437" s="46" t="e">
        <f t="shared" si="131"/>
        <v>#VALUE!</v>
      </c>
      <c r="T1437" s="677">
        <f t="shared" si="132"/>
        <v>0</v>
      </c>
      <c r="U1437" s="80">
        <f>(IF(O1437="Stofire",(S1437*#REF!),0))+(IF(O1437="Fire Control",(S1437*$U$2),0))+(IF(O1437="Fire Tex",(S1437*$U$3),0))+(IF(O1437="WB7",(S1437*#REF!),0)+(IF(O1437="FX 2003",(S1437*$U$5),0)))</f>
        <v>0</v>
      </c>
      <c r="V1437" s="651">
        <f t="shared" si="133"/>
        <v>0</v>
      </c>
    </row>
    <row r="1438" spans="4:22" x14ac:dyDescent="0.25">
      <c r="D1438" s="118">
        <f>+CUBICACION!D1437</f>
        <v>0</v>
      </c>
      <c r="E1438" s="118">
        <f>+CUBICACION!F1437</f>
        <v>0</v>
      </c>
      <c r="F1438" s="118">
        <f>+CUBICACION!E1437</f>
        <v>0</v>
      </c>
      <c r="G1438" s="118">
        <v>12</v>
      </c>
      <c r="H1438" s="118">
        <v>2</v>
      </c>
      <c r="I1438" s="820">
        <v>26385</v>
      </c>
      <c r="J1438" s="118">
        <f>+CUBICACION!J1437</f>
        <v>0</v>
      </c>
      <c r="K1438" s="118">
        <v>4217</v>
      </c>
      <c r="L1438" s="118">
        <f>+CUBICACION!L1437</f>
        <v>0</v>
      </c>
      <c r="M1438" s="64">
        <f>+CUBICACION!M1437</f>
        <v>0</v>
      </c>
      <c r="N1438" s="824" t="str">
        <f>+CUBICACION!N1437</f>
        <v/>
      </c>
      <c r="O1438" s="675">
        <f>+CUBICACION!O1437</f>
        <v>0</v>
      </c>
      <c r="P1438" s="15">
        <f>IF(O1438="Fire Control",VLOOKUP(_xlfn.MINIFS('FIRE CONTROL'!$C$4:$C$37,'FIRE CONTROL'!$C$4:$C$37,"&gt;="&amp;M1438),'FIRE CONTROL'!$C$4:$G$37,IF(L1438="F-15",2,IF(L1438="F-30",3,IF(L1438="F-60",4,IF(L1438="F-90",5,0)))),0),0)+IF(AND(O1438="FIRE TEX 5062",OR(E1438="IN",E1438="C",E1438="Z",E1438="L"),J1438=3),VLOOKUP(_xlfn.MINIFS('FIRE TEX 5062'!$B$4:$B$34,'FIRE TEX 5062'!$B$4:$B$34,"&gt;="&amp;M1438),'FIRE TEX 5062'!$B$4:$F$34,IF(L1438="F-15",2,IF(L1438="F-30",3,IF(L1438="F-60",4,IF(L1438="F-90",5,0)))),0),0)+IF(AND(O1438="FIRE TEX 5062",OR(E1438="IN",E1438="C",E1438="Z",E1438="L"),J1438=4),VLOOKUP(_xlfn.MINIFS('FIRE TEX 5062'!$G$4:$G$34,'FIRE TEX 5062'!$G$4:$G$34,"&gt;="&amp;M1438),'FIRE TEX 5062'!$G$4:$K$34,IF(L1438="F-15",2,IF(L1438="F-30",3,IF(L1438="F-60",4,IF(L1438="F-90",5,0)))),0),0)+IF(AND(O1438="FIRE TEX 5062",E1438="CJ",J1438=3),VLOOKUP(_xlfn.MINIFS('FIRE TEX 5062'!$L$4:$L$34,'FIRE TEX 5062'!$L$4:$L$34,"&gt;="&amp;M1438),'FIRE TEX 5062'!$L$4:$P$34,IF(L1438="F-15",2,IF(L1438="F-30",3,IF(L1438="F-60",4,IF(L1438="F-90",5,0)))),0),0)+IF(AND(O1438="FIRE TEX 5062",E1438="CJ",J1438=4),VLOOKUP(_xlfn.MINIFS('FIRE TEX 5062'!$Q$3:$Q$34,'FIRE TEX 5062'!$Q$3:$Q$34,"&gt;="&amp;M1438),'FIRE TEX 5062'!$Q$3:$U$34,IF(L1438="F-15",2,IF(L1438="F-30",3,IF(L1438="F-60",4,IF(L1438="F-90",5,0)))),0),0)+IF(AND(O1438="FIRE TEX 5090",OR(E1438="IN",E1438="C",E1438="Z",E1438="L"),J1438=3),VLOOKUP(_xlfn.MINIFS('FIRE TEX 5090'!$B$5:$B$43,'FIRE TEX 5090'!$B$5:$B$43,"&gt;="&amp;M1438),'FIRE TEX 5090'!$B$5:$H$43,IF(L1438="F-15",2,IF(L1438="F-30",3,IF(L1438="F-60",4,IF(L1438="F-90",5,IF(L1438="F-120",6,IF(L1438="F-150",7,0)))))),0),0)+IF(AND(O1438="FIRE TEX 5090",OR(E1438="IN",E1438="C",E1438="Z",E1438="L"),J1438=4),VLOOKUP(_xlfn.MINIFS('FIRE TEX 5090'!$J$5:$J$43,'FIRE TEX 5090'!$J$5:$J$43,"&gt;="&amp;M1438),'FIRE TEX 5090'!$J$5:$P$43,IF(L1438="F-15",2,IF(L1438="F-30",3,IF(L1438="F-60",4,IF(L1438="F-90",5,IF(L1438="F-120",6,IF(L1438="F-150",7,0)))))),0),0)+IF(AND(O1438="FIRE TEX 5090",E1438="CJ",J1438=3),VLOOKUP(_xlfn.MINIFS('FIRE TEX 5090'!$R$5:$R$30,'FIRE TEX 5090'!$R$5:$R$30,"&gt;="&amp;M1438),'FIRE TEX 5090'!$R$5:$W$30,IF(L1438="F-15",2,IF(L1438="F-30",3,IF(L1438="F-60",4,IF(L1438="F-90",5,IF(L1438="F-120",6,IF(L1438="F-150",7,0)))))),0),0)+IF(AND(O1438="FIRE TEX 5090",E1438="CJ",J1438=4),VLOOKUP(_xlfn.MINIFS('FIRE TEX 5090'!$Y$5:$Y$39,'FIRE TEX 5090'!$Y$5:$Y$39,"&gt;="&amp;M1438),'FIRE TEX 5090'!$Y$5:$AD$39,IF(L1438="F-15",2,IF(L1438="F-30",3,IF(L1438="F-60",4,IF(L1438="F-90",5,IF(L1438="F-120",6,IF(L1438="F-150",7,0)))))),0),0)+IF(AND(O1438="FIRE TEX 5120",OR(E1438="IN",E1438="C",E1438="Z",E1438="L"),J1438=3),VLOOKUP(_xlfn.MINIFS('FIRE TEX 5120'!$B$5:$B$40,'FIRE TEX 5120'!$B$5:$B$40,"&gt;="&amp;M1438),'FIRE TEX 5120'!$B$5:$G$40,IF(L1438="F-15",2,IF(L1438="F-30",3,IF(L1438="F-60",4,IF(L1438="F-90",5,IF(L1438="F-120",6,0))))),0),0)+IF(AND(O1438="FIRE TEX 5120",OR(E1438="IN",E1438="C",E1438="Z",E1438="L"),J1438=4),VLOOKUP(_xlfn.MINIFS('FIRE TEX 5120'!$H$4:$H$40,'FIRE TEX 5120'!$H$4:$H$40,"&gt;="&amp;M1438),'FIRE TEX 5120'!$H$4:$M$40,IF(L1438="F-15",2,IF(L1438="F-30",3,IF(L1438="F-60",4,IF(L1438="F-90",5,IF(L1438="F-120",6,0))))),0),0)+IF(AND(O1438="FIRE TEX 5120",E1438="CJ"),VLOOKUP(_xlfn.MINIFS('FIRE TEX 5120'!$O$5:$O$40,'FIRE TEX 5120'!$O$5:$O$40,"&gt;="&amp;M1438),'FIRE TEX 5120'!$O$5:$T$40,IF(L1438="F-15",2,IF(L1438="F-30",3,IF(L1438="F-60",4,IF(L1438="F-90",5,IF(L1438="F-120",6,0))))),0),0)</f>
        <v>0</v>
      </c>
      <c r="Q1438" s="46">
        <f t="shared" si="129"/>
        <v>0</v>
      </c>
      <c r="R1438" s="46">
        <f t="shared" si="130"/>
        <v>0</v>
      </c>
      <c r="S1438" s="46" t="e">
        <f t="shared" si="131"/>
        <v>#VALUE!</v>
      </c>
      <c r="T1438" s="677">
        <f t="shared" si="132"/>
        <v>0</v>
      </c>
      <c r="U1438" s="80">
        <f>(IF(O1438="Stofire",(S1438*#REF!),0))+(IF(O1438="Fire Control",(S1438*$U$2),0))+(IF(O1438="Fire Tex",(S1438*$U$3),0))+(IF(O1438="WB7",(S1438*#REF!),0)+(IF(O1438="FX 2003",(S1438*$U$5),0)))</f>
        <v>0</v>
      </c>
      <c r="V1438" s="651">
        <f t="shared" si="133"/>
        <v>0</v>
      </c>
    </row>
    <row r="1439" spans="4:22" x14ac:dyDescent="0.25">
      <c r="D1439" s="118">
        <f>+CUBICACION!D1438</f>
        <v>0</v>
      </c>
      <c r="E1439" s="118">
        <f>+CUBICACION!F1438</f>
        <v>0</v>
      </c>
      <c r="F1439" s="118">
        <f>+CUBICACION!E1438</f>
        <v>0</v>
      </c>
      <c r="G1439" s="118">
        <v>12</v>
      </c>
      <c r="H1439" s="118">
        <v>2</v>
      </c>
      <c r="I1439" s="820">
        <v>26385</v>
      </c>
      <c r="J1439" s="118">
        <f>+CUBICACION!J1438</f>
        <v>0</v>
      </c>
      <c r="K1439" s="118">
        <v>4218</v>
      </c>
      <c r="L1439" s="118">
        <f>+CUBICACION!L1438</f>
        <v>0</v>
      </c>
      <c r="M1439" s="64">
        <f>+CUBICACION!M1438</f>
        <v>0</v>
      </c>
      <c r="N1439" s="824" t="str">
        <f>+CUBICACION!N1438</f>
        <v/>
      </c>
      <c r="O1439" s="675">
        <f>+CUBICACION!O1438</f>
        <v>0</v>
      </c>
      <c r="P1439" s="15">
        <f>IF(O1439="Fire Control",VLOOKUP(_xlfn.MINIFS('FIRE CONTROL'!$C$4:$C$37,'FIRE CONTROL'!$C$4:$C$37,"&gt;="&amp;M1439),'FIRE CONTROL'!$C$4:$G$37,IF(L1439="F-15",2,IF(L1439="F-30",3,IF(L1439="F-60",4,IF(L1439="F-90",5,0)))),0),0)+IF(AND(O1439="FIRE TEX 5062",OR(E1439="IN",E1439="C",E1439="Z",E1439="L"),J1439=3),VLOOKUP(_xlfn.MINIFS('FIRE TEX 5062'!$B$4:$B$34,'FIRE TEX 5062'!$B$4:$B$34,"&gt;="&amp;M1439),'FIRE TEX 5062'!$B$4:$F$34,IF(L1439="F-15",2,IF(L1439="F-30",3,IF(L1439="F-60",4,IF(L1439="F-90",5,0)))),0),0)+IF(AND(O1439="FIRE TEX 5062",OR(E1439="IN",E1439="C",E1439="Z",E1439="L"),J1439=4),VLOOKUP(_xlfn.MINIFS('FIRE TEX 5062'!$G$4:$G$34,'FIRE TEX 5062'!$G$4:$G$34,"&gt;="&amp;M1439),'FIRE TEX 5062'!$G$4:$K$34,IF(L1439="F-15",2,IF(L1439="F-30",3,IF(L1439="F-60",4,IF(L1439="F-90",5,0)))),0),0)+IF(AND(O1439="FIRE TEX 5062",E1439="CJ",J1439=3),VLOOKUP(_xlfn.MINIFS('FIRE TEX 5062'!$L$4:$L$34,'FIRE TEX 5062'!$L$4:$L$34,"&gt;="&amp;M1439),'FIRE TEX 5062'!$L$4:$P$34,IF(L1439="F-15",2,IF(L1439="F-30",3,IF(L1439="F-60",4,IF(L1439="F-90",5,0)))),0),0)+IF(AND(O1439="FIRE TEX 5062",E1439="CJ",J1439=4),VLOOKUP(_xlfn.MINIFS('FIRE TEX 5062'!$Q$3:$Q$34,'FIRE TEX 5062'!$Q$3:$Q$34,"&gt;="&amp;M1439),'FIRE TEX 5062'!$Q$3:$U$34,IF(L1439="F-15",2,IF(L1439="F-30",3,IF(L1439="F-60",4,IF(L1439="F-90",5,0)))),0),0)+IF(AND(O1439="FIRE TEX 5090",OR(E1439="IN",E1439="C",E1439="Z",E1439="L"),J1439=3),VLOOKUP(_xlfn.MINIFS('FIRE TEX 5090'!$B$5:$B$43,'FIRE TEX 5090'!$B$5:$B$43,"&gt;="&amp;M1439),'FIRE TEX 5090'!$B$5:$H$43,IF(L1439="F-15",2,IF(L1439="F-30",3,IF(L1439="F-60",4,IF(L1439="F-90",5,IF(L1439="F-120",6,IF(L1439="F-150",7,0)))))),0),0)+IF(AND(O1439="FIRE TEX 5090",OR(E1439="IN",E1439="C",E1439="Z",E1439="L"),J1439=4),VLOOKUP(_xlfn.MINIFS('FIRE TEX 5090'!$J$5:$J$43,'FIRE TEX 5090'!$J$5:$J$43,"&gt;="&amp;M1439),'FIRE TEX 5090'!$J$5:$P$43,IF(L1439="F-15",2,IF(L1439="F-30",3,IF(L1439="F-60",4,IF(L1439="F-90",5,IF(L1439="F-120",6,IF(L1439="F-150",7,0)))))),0),0)+IF(AND(O1439="FIRE TEX 5090",E1439="CJ",J1439=3),VLOOKUP(_xlfn.MINIFS('FIRE TEX 5090'!$R$5:$R$30,'FIRE TEX 5090'!$R$5:$R$30,"&gt;="&amp;M1439),'FIRE TEX 5090'!$R$5:$W$30,IF(L1439="F-15",2,IF(L1439="F-30",3,IF(L1439="F-60",4,IF(L1439="F-90",5,IF(L1439="F-120",6,IF(L1439="F-150",7,0)))))),0),0)+IF(AND(O1439="FIRE TEX 5090",E1439="CJ",J1439=4),VLOOKUP(_xlfn.MINIFS('FIRE TEX 5090'!$Y$5:$Y$39,'FIRE TEX 5090'!$Y$5:$Y$39,"&gt;="&amp;M1439),'FIRE TEX 5090'!$Y$5:$AD$39,IF(L1439="F-15",2,IF(L1439="F-30",3,IF(L1439="F-60",4,IF(L1439="F-90",5,IF(L1439="F-120",6,IF(L1439="F-150",7,0)))))),0),0)+IF(AND(O1439="FIRE TEX 5120",OR(E1439="IN",E1439="C",E1439="Z",E1439="L"),J1439=3),VLOOKUP(_xlfn.MINIFS('FIRE TEX 5120'!$B$5:$B$40,'FIRE TEX 5120'!$B$5:$B$40,"&gt;="&amp;M1439),'FIRE TEX 5120'!$B$5:$G$40,IF(L1439="F-15",2,IF(L1439="F-30",3,IF(L1439="F-60",4,IF(L1439="F-90",5,IF(L1439="F-120",6,0))))),0),0)+IF(AND(O1439="FIRE TEX 5120",OR(E1439="IN",E1439="C",E1439="Z",E1439="L"),J1439=4),VLOOKUP(_xlfn.MINIFS('FIRE TEX 5120'!$H$4:$H$40,'FIRE TEX 5120'!$H$4:$H$40,"&gt;="&amp;M1439),'FIRE TEX 5120'!$H$4:$M$40,IF(L1439="F-15",2,IF(L1439="F-30",3,IF(L1439="F-60",4,IF(L1439="F-90",5,IF(L1439="F-120",6,0))))),0),0)+IF(AND(O1439="FIRE TEX 5120",E1439="CJ"),VLOOKUP(_xlfn.MINIFS('FIRE TEX 5120'!$O$5:$O$40,'FIRE TEX 5120'!$O$5:$O$40,"&gt;="&amp;M1439),'FIRE TEX 5120'!$O$5:$T$40,IF(L1439="F-15",2,IF(L1439="F-30",3,IF(L1439="F-60",4,IF(L1439="F-90",5,IF(L1439="F-120",6,0))))),0),0)</f>
        <v>0</v>
      </c>
      <c r="Q1439" s="46">
        <f t="shared" si="129"/>
        <v>0</v>
      </c>
      <c r="R1439" s="46">
        <f t="shared" si="130"/>
        <v>0</v>
      </c>
      <c r="S1439" s="46" t="e">
        <f t="shared" si="131"/>
        <v>#VALUE!</v>
      </c>
      <c r="T1439" s="677">
        <f t="shared" si="132"/>
        <v>0</v>
      </c>
      <c r="U1439" s="80">
        <f>(IF(O1439="Stofire",(S1439*#REF!),0))+(IF(O1439="Fire Control",(S1439*$U$2),0))+(IF(O1439="Fire Tex",(S1439*$U$3),0))+(IF(O1439="WB7",(S1439*#REF!),0)+(IF(O1439="FX 2003",(S1439*$U$5),0)))</f>
        <v>0</v>
      </c>
      <c r="V1439" s="651">
        <f t="shared" si="133"/>
        <v>0</v>
      </c>
    </row>
    <row r="1440" spans="4:22" x14ac:dyDescent="0.25">
      <c r="D1440" s="118">
        <f>+CUBICACION!D1439</f>
        <v>0</v>
      </c>
      <c r="E1440" s="118">
        <f>+CUBICACION!F1439</f>
        <v>0</v>
      </c>
      <c r="F1440" s="118">
        <f>+CUBICACION!E1439</f>
        <v>0</v>
      </c>
      <c r="G1440" s="118">
        <v>12</v>
      </c>
      <c r="H1440" s="118">
        <v>2</v>
      </c>
      <c r="I1440" s="820">
        <v>26385</v>
      </c>
      <c r="J1440" s="118">
        <f>+CUBICACION!J1439</f>
        <v>0</v>
      </c>
      <c r="K1440" s="118">
        <v>4219</v>
      </c>
      <c r="L1440" s="118">
        <f>+CUBICACION!L1439</f>
        <v>0</v>
      </c>
      <c r="M1440" s="64">
        <f>+CUBICACION!M1439</f>
        <v>0</v>
      </c>
      <c r="N1440" s="824" t="str">
        <f>+CUBICACION!N1439</f>
        <v/>
      </c>
      <c r="O1440" s="675">
        <f>+CUBICACION!O1439</f>
        <v>0</v>
      </c>
      <c r="P1440" s="15">
        <f>IF(O1440="Fire Control",VLOOKUP(_xlfn.MINIFS('FIRE CONTROL'!$C$4:$C$37,'FIRE CONTROL'!$C$4:$C$37,"&gt;="&amp;M1440),'FIRE CONTROL'!$C$4:$G$37,IF(L1440="F-15",2,IF(L1440="F-30",3,IF(L1440="F-60",4,IF(L1440="F-90",5,0)))),0),0)+IF(AND(O1440="FIRE TEX 5062",OR(E1440="IN",E1440="C",E1440="Z",E1440="L"),J1440=3),VLOOKUP(_xlfn.MINIFS('FIRE TEX 5062'!$B$4:$B$34,'FIRE TEX 5062'!$B$4:$B$34,"&gt;="&amp;M1440),'FIRE TEX 5062'!$B$4:$F$34,IF(L1440="F-15",2,IF(L1440="F-30",3,IF(L1440="F-60",4,IF(L1440="F-90",5,0)))),0),0)+IF(AND(O1440="FIRE TEX 5062",OR(E1440="IN",E1440="C",E1440="Z",E1440="L"),J1440=4),VLOOKUP(_xlfn.MINIFS('FIRE TEX 5062'!$G$4:$G$34,'FIRE TEX 5062'!$G$4:$G$34,"&gt;="&amp;M1440),'FIRE TEX 5062'!$G$4:$K$34,IF(L1440="F-15",2,IF(L1440="F-30",3,IF(L1440="F-60",4,IF(L1440="F-90",5,0)))),0),0)+IF(AND(O1440="FIRE TEX 5062",E1440="CJ",J1440=3),VLOOKUP(_xlfn.MINIFS('FIRE TEX 5062'!$L$4:$L$34,'FIRE TEX 5062'!$L$4:$L$34,"&gt;="&amp;M1440),'FIRE TEX 5062'!$L$4:$P$34,IF(L1440="F-15",2,IF(L1440="F-30",3,IF(L1440="F-60",4,IF(L1440="F-90",5,0)))),0),0)+IF(AND(O1440="FIRE TEX 5062",E1440="CJ",J1440=4),VLOOKUP(_xlfn.MINIFS('FIRE TEX 5062'!$Q$3:$Q$34,'FIRE TEX 5062'!$Q$3:$Q$34,"&gt;="&amp;M1440),'FIRE TEX 5062'!$Q$3:$U$34,IF(L1440="F-15",2,IF(L1440="F-30",3,IF(L1440="F-60",4,IF(L1440="F-90",5,0)))),0),0)+IF(AND(O1440="FIRE TEX 5090",OR(E1440="IN",E1440="C",E1440="Z",E1440="L"),J1440=3),VLOOKUP(_xlfn.MINIFS('FIRE TEX 5090'!$B$5:$B$43,'FIRE TEX 5090'!$B$5:$B$43,"&gt;="&amp;M1440),'FIRE TEX 5090'!$B$5:$H$43,IF(L1440="F-15",2,IF(L1440="F-30",3,IF(L1440="F-60",4,IF(L1440="F-90",5,IF(L1440="F-120",6,IF(L1440="F-150",7,0)))))),0),0)+IF(AND(O1440="FIRE TEX 5090",OR(E1440="IN",E1440="C",E1440="Z",E1440="L"),J1440=4),VLOOKUP(_xlfn.MINIFS('FIRE TEX 5090'!$J$5:$J$43,'FIRE TEX 5090'!$J$5:$J$43,"&gt;="&amp;M1440),'FIRE TEX 5090'!$J$5:$P$43,IF(L1440="F-15",2,IF(L1440="F-30",3,IF(L1440="F-60",4,IF(L1440="F-90",5,IF(L1440="F-120",6,IF(L1440="F-150",7,0)))))),0),0)+IF(AND(O1440="FIRE TEX 5090",E1440="CJ",J1440=3),VLOOKUP(_xlfn.MINIFS('FIRE TEX 5090'!$R$5:$R$30,'FIRE TEX 5090'!$R$5:$R$30,"&gt;="&amp;M1440),'FIRE TEX 5090'!$R$5:$W$30,IF(L1440="F-15",2,IF(L1440="F-30",3,IF(L1440="F-60",4,IF(L1440="F-90",5,IF(L1440="F-120",6,IF(L1440="F-150",7,0)))))),0),0)+IF(AND(O1440="FIRE TEX 5090",E1440="CJ",J1440=4),VLOOKUP(_xlfn.MINIFS('FIRE TEX 5090'!$Y$5:$Y$39,'FIRE TEX 5090'!$Y$5:$Y$39,"&gt;="&amp;M1440),'FIRE TEX 5090'!$Y$5:$AD$39,IF(L1440="F-15",2,IF(L1440="F-30",3,IF(L1440="F-60",4,IF(L1440="F-90",5,IF(L1440="F-120",6,IF(L1440="F-150",7,0)))))),0),0)+IF(AND(O1440="FIRE TEX 5120",OR(E1440="IN",E1440="C",E1440="Z",E1440="L"),J1440=3),VLOOKUP(_xlfn.MINIFS('FIRE TEX 5120'!$B$5:$B$40,'FIRE TEX 5120'!$B$5:$B$40,"&gt;="&amp;M1440),'FIRE TEX 5120'!$B$5:$G$40,IF(L1440="F-15",2,IF(L1440="F-30",3,IF(L1440="F-60",4,IF(L1440="F-90",5,IF(L1440="F-120",6,0))))),0),0)+IF(AND(O1440="FIRE TEX 5120",OR(E1440="IN",E1440="C",E1440="Z",E1440="L"),J1440=4),VLOOKUP(_xlfn.MINIFS('FIRE TEX 5120'!$H$4:$H$40,'FIRE TEX 5120'!$H$4:$H$40,"&gt;="&amp;M1440),'FIRE TEX 5120'!$H$4:$M$40,IF(L1440="F-15",2,IF(L1440="F-30",3,IF(L1440="F-60",4,IF(L1440="F-90",5,IF(L1440="F-120",6,0))))),0),0)+IF(AND(O1440="FIRE TEX 5120",E1440="CJ"),VLOOKUP(_xlfn.MINIFS('FIRE TEX 5120'!$O$5:$O$40,'FIRE TEX 5120'!$O$5:$O$40,"&gt;="&amp;M1440),'FIRE TEX 5120'!$O$5:$T$40,IF(L1440="F-15",2,IF(L1440="F-30",3,IF(L1440="F-60",4,IF(L1440="F-90",5,IF(L1440="F-120",6,0))))),0),0)</f>
        <v>0</v>
      </c>
      <c r="Q1440" s="46">
        <f t="shared" si="129"/>
        <v>0</v>
      </c>
      <c r="R1440" s="46">
        <f t="shared" si="130"/>
        <v>0</v>
      </c>
      <c r="S1440" s="46" t="e">
        <f t="shared" si="131"/>
        <v>#VALUE!</v>
      </c>
      <c r="T1440" s="677">
        <f t="shared" si="132"/>
        <v>0</v>
      </c>
      <c r="U1440" s="80">
        <f>(IF(O1440="Stofire",(S1440*#REF!),0))+(IF(O1440="Fire Control",(S1440*$U$2),0))+(IF(O1440="Fire Tex",(S1440*$U$3),0))+(IF(O1440="WB7",(S1440*#REF!),0)+(IF(O1440="FX 2003",(S1440*$U$5),0)))</f>
        <v>0</v>
      </c>
      <c r="V1440" s="651">
        <f t="shared" si="133"/>
        <v>0</v>
      </c>
    </row>
    <row r="1441" spans="4:22" x14ac:dyDescent="0.25">
      <c r="D1441" s="118">
        <f>+CUBICACION!D1440</f>
        <v>0</v>
      </c>
      <c r="E1441" s="118">
        <f>+CUBICACION!F1440</f>
        <v>0</v>
      </c>
      <c r="F1441" s="118">
        <f>+CUBICACION!E1440</f>
        <v>0</v>
      </c>
      <c r="G1441" s="118">
        <v>12</v>
      </c>
      <c r="H1441" s="118">
        <v>2</v>
      </c>
      <c r="I1441" s="820">
        <v>26385</v>
      </c>
      <c r="J1441" s="118">
        <f>+CUBICACION!J1440</f>
        <v>0</v>
      </c>
      <c r="K1441" s="118">
        <v>4220</v>
      </c>
      <c r="L1441" s="118">
        <f>+CUBICACION!L1440</f>
        <v>0</v>
      </c>
      <c r="M1441" s="64">
        <f>+CUBICACION!M1440</f>
        <v>0</v>
      </c>
      <c r="N1441" s="824" t="str">
        <f>+CUBICACION!N1440</f>
        <v/>
      </c>
      <c r="O1441" s="675">
        <f>+CUBICACION!O1440</f>
        <v>0</v>
      </c>
      <c r="P1441" s="15">
        <f>IF(O1441="Fire Control",VLOOKUP(_xlfn.MINIFS('FIRE CONTROL'!$C$4:$C$37,'FIRE CONTROL'!$C$4:$C$37,"&gt;="&amp;M1441),'FIRE CONTROL'!$C$4:$G$37,IF(L1441="F-15",2,IF(L1441="F-30",3,IF(L1441="F-60",4,IF(L1441="F-90",5,0)))),0),0)+IF(AND(O1441="FIRE TEX 5062",OR(E1441="IN",E1441="C",E1441="Z",E1441="L"),J1441=3),VLOOKUP(_xlfn.MINIFS('FIRE TEX 5062'!$B$4:$B$34,'FIRE TEX 5062'!$B$4:$B$34,"&gt;="&amp;M1441),'FIRE TEX 5062'!$B$4:$F$34,IF(L1441="F-15",2,IF(L1441="F-30",3,IF(L1441="F-60",4,IF(L1441="F-90",5,0)))),0),0)+IF(AND(O1441="FIRE TEX 5062",OR(E1441="IN",E1441="C",E1441="Z",E1441="L"),J1441=4),VLOOKUP(_xlfn.MINIFS('FIRE TEX 5062'!$G$4:$G$34,'FIRE TEX 5062'!$G$4:$G$34,"&gt;="&amp;M1441),'FIRE TEX 5062'!$G$4:$K$34,IF(L1441="F-15",2,IF(L1441="F-30",3,IF(L1441="F-60",4,IF(L1441="F-90",5,0)))),0),0)+IF(AND(O1441="FIRE TEX 5062",E1441="CJ",J1441=3),VLOOKUP(_xlfn.MINIFS('FIRE TEX 5062'!$L$4:$L$34,'FIRE TEX 5062'!$L$4:$L$34,"&gt;="&amp;M1441),'FIRE TEX 5062'!$L$4:$P$34,IF(L1441="F-15",2,IF(L1441="F-30",3,IF(L1441="F-60",4,IF(L1441="F-90",5,0)))),0),0)+IF(AND(O1441="FIRE TEX 5062",E1441="CJ",J1441=4),VLOOKUP(_xlfn.MINIFS('FIRE TEX 5062'!$Q$3:$Q$34,'FIRE TEX 5062'!$Q$3:$Q$34,"&gt;="&amp;M1441),'FIRE TEX 5062'!$Q$3:$U$34,IF(L1441="F-15",2,IF(L1441="F-30",3,IF(L1441="F-60",4,IF(L1441="F-90",5,0)))),0),0)+IF(AND(O1441="FIRE TEX 5090",OR(E1441="IN",E1441="C",E1441="Z",E1441="L"),J1441=3),VLOOKUP(_xlfn.MINIFS('FIRE TEX 5090'!$B$5:$B$43,'FIRE TEX 5090'!$B$5:$B$43,"&gt;="&amp;M1441),'FIRE TEX 5090'!$B$5:$H$43,IF(L1441="F-15",2,IF(L1441="F-30",3,IF(L1441="F-60",4,IF(L1441="F-90",5,IF(L1441="F-120",6,IF(L1441="F-150",7,0)))))),0),0)+IF(AND(O1441="FIRE TEX 5090",OR(E1441="IN",E1441="C",E1441="Z",E1441="L"),J1441=4),VLOOKUP(_xlfn.MINIFS('FIRE TEX 5090'!$J$5:$J$43,'FIRE TEX 5090'!$J$5:$J$43,"&gt;="&amp;M1441),'FIRE TEX 5090'!$J$5:$P$43,IF(L1441="F-15",2,IF(L1441="F-30",3,IF(L1441="F-60",4,IF(L1441="F-90",5,IF(L1441="F-120",6,IF(L1441="F-150",7,0)))))),0),0)+IF(AND(O1441="FIRE TEX 5090",E1441="CJ",J1441=3),VLOOKUP(_xlfn.MINIFS('FIRE TEX 5090'!$R$5:$R$30,'FIRE TEX 5090'!$R$5:$R$30,"&gt;="&amp;M1441),'FIRE TEX 5090'!$R$5:$W$30,IF(L1441="F-15",2,IF(L1441="F-30",3,IF(L1441="F-60",4,IF(L1441="F-90",5,IF(L1441="F-120",6,IF(L1441="F-150",7,0)))))),0),0)+IF(AND(O1441="FIRE TEX 5090",E1441="CJ",J1441=4),VLOOKUP(_xlfn.MINIFS('FIRE TEX 5090'!$Y$5:$Y$39,'FIRE TEX 5090'!$Y$5:$Y$39,"&gt;="&amp;M1441),'FIRE TEX 5090'!$Y$5:$AD$39,IF(L1441="F-15",2,IF(L1441="F-30",3,IF(L1441="F-60",4,IF(L1441="F-90",5,IF(L1441="F-120",6,IF(L1441="F-150",7,0)))))),0),0)+IF(AND(O1441="FIRE TEX 5120",OR(E1441="IN",E1441="C",E1441="Z",E1441="L"),J1441=3),VLOOKUP(_xlfn.MINIFS('FIRE TEX 5120'!$B$5:$B$40,'FIRE TEX 5120'!$B$5:$B$40,"&gt;="&amp;M1441),'FIRE TEX 5120'!$B$5:$G$40,IF(L1441="F-15",2,IF(L1441="F-30",3,IF(L1441="F-60",4,IF(L1441="F-90",5,IF(L1441="F-120",6,0))))),0),0)+IF(AND(O1441="FIRE TEX 5120",OR(E1441="IN",E1441="C",E1441="Z",E1441="L"),J1441=4),VLOOKUP(_xlfn.MINIFS('FIRE TEX 5120'!$H$4:$H$40,'FIRE TEX 5120'!$H$4:$H$40,"&gt;="&amp;M1441),'FIRE TEX 5120'!$H$4:$M$40,IF(L1441="F-15",2,IF(L1441="F-30",3,IF(L1441="F-60",4,IF(L1441="F-90",5,IF(L1441="F-120",6,0))))),0),0)+IF(AND(O1441="FIRE TEX 5120",E1441="CJ"),VLOOKUP(_xlfn.MINIFS('FIRE TEX 5120'!$O$5:$O$40,'FIRE TEX 5120'!$O$5:$O$40,"&gt;="&amp;M1441),'FIRE TEX 5120'!$O$5:$T$40,IF(L1441="F-15",2,IF(L1441="F-30",3,IF(L1441="F-60",4,IF(L1441="F-90",5,IF(L1441="F-120",6,0))))),0),0)</f>
        <v>0</v>
      </c>
      <c r="Q1441" s="46">
        <f t="shared" si="129"/>
        <v>0</v>
      </c>
      <c r="R1441" s="46">
        <f t="shared" si="130"/>
        <v>0</v>
      </c>
      <c r="S1441" s="46" t="e">
        <f t="shared" si="131"/>
        <v>#VALUE!</v>
      </c>
      <c r="T1441" s="677">
        <f t="shared" si="132"/>
        <v>0</v>
      </c>
      <c r="U1441" s="80">
        <f>(IF(O1441="Stofire",(S1441*#REF!),0))+(IF(O1441="Fire Control",(S1441*$U$2),0))+(IF(O1441="Fire Tex",(S1441*$U$3),0))+(IF(O1441="WB7",(S1441*#REF!),0)+(IF(O1441="FX 2003",(S1441*$U$5),0)))</f>
        <v>0</v>
      </c>
      <c r="V1441" s="651">
        <f t="shared" si="133"/>
        <v>0</v>
      </c>
    </row>
    <row r="1442" spans="4:22" x14ac:dyDescent="0.25">
      <c r="D1442" s="118">
        <f>+CUBICACION!D1441</f>
        <v>0</v>
      </c>
      <c r="E1442" s="118">
        <f>+CUBICACION!F1441</f>
        <v>0</v>
      </c>
      <c r="F1442" s="118">
        <f>+CUBICACION!E1441</f>
        <v>0</v>
      </c>
      <c r="G1442" s="118">
        <v>12</v>
      </c>
      <c r="H1442" s="118">
        <v>2</v>
      </c>
      <c r="I1442" s="820">
        <v>26385</v>
      </c>
      <c r="J1442" s="118">
        <f>+CUBICACION!J1441</f>
        <v>0</v>
      </c>
      <c r="K1442" s="118">
        <v>4221</v>
      </c>
      <c r="L1442" s="118">
        <f>+CUBICACION!L1441</f>
        <v>0</v>
      </c>
      <c r="M1442" s="64">
        <f>+CUBICACION!M1441</f>
        <v>0</v>
      </c>
      <c r="N1442" s="824" t="str">
        <f>+CUBICACION!N1441</f>
        <v/>
      </c>
      <c r="O1442" s="675">
        <f>+CUBICACION!O1441</f>
        <v>0</v>
      </c>
      <c r="P1442" s="15">
        <f>IF(O1442="Fire Control",VLOOKUP(_xlfn.MINIFS('FIRE CONTROL'!$C$4:$C$37,'FIRE CONTROL'!$C$4:$C$37,"&gt;="&amp;M1442),'FIRE CONTROL'!$C$4:$G$37,IF(L1442="F-15",2,IF(L1442="F-30",3,IF(L1442="F-60",4,IF(L1442="F-90",5,0)))),0),0)+IF(AND(O1442="FIRE TEX 5062",OR(E1442="IN",E1442="C",E1442="Z",E1442="L"),J1442=3),VLOOKUP(_xlfn.MINIFS('FIRE TEX 5062'!$B$4:$B$34,'FIRE TEX 5062'!$B$4:$B$34,"&gt;="&amp;M1442),'FIRE TEX 5062'!$B$4:$F$34,IF(L1442="F-15",2,IF(L1442="F-30",3,IF(L1442="F-60",4,IF(L1442="F-90",5,0)))),0),0)+IF(AND(O1442="FIRE TEX 5062",OR(E1442="IN",E1442="C",E1442="Z",E1442="L"),J1442=4),VLOOKUP(_xlfn.MINIFS('FIRE TEX 5062'!$G$4:$G$34,'FIRE TEX 5062'!$G$4:$G$34,"&gt;="&amp;M1442),'FIRE TEX 5062'!$G$4:$K$34,IF(L1442="F-15",2,IF(L1442="F-30",3,IF(L1442="F-60",4,IF(L1442="F-90",5,0)))),0),0)+IF(AND(O1442="FIRE TEX 5062",E1442="CJ",J1442=3),VLOOKUP(_xlfn.MINIFS('FIRE TEX 5062'!$L$4:$L$34,'FIRE TEX 5062'!$L$4:$L$34,"&gt;="&amp;M1442),'FIRE TEX 5062'!$L$4:$P$34,IF(L1442="F-15",2,IF(L1442="F-30",3,IF(L1442="F-60",4,IF(L1442="F-90",5,0)))),0),0)+IF(AND(O1442="FIRE TEX 5062",E1442="CJ",J1442=4),VLOOKUP(_xlfn.MINIFS('FIRE TEX 5062'!$Q$3:$Q$34,'FIRE TEX 5062'!$Q$3:$Q$34,"&gt;="&amp;M1442),'FIRE TEX 5062'!$Q$3:$U$34,IF(L1442="F-15",2,IF(L1442="F-30",3,IF(L1442="F-60",4,IF(L1442="F-90",5,0)))),0),0)+IF(AND(O1442="FIRE TEX 5090",OR(E1442="IN",E1442="C",E1442="Z",E1442="L"),J1442=3),VLOOKUP(_xlfn.MINIFS('FIRE TEX 5090'!$B$5:$B$43,'FIRE TEX 5090'!$B$5:$B$43,"&gt;="&amp;M1442),'FIRE TEX 5090'!$B$5:$H$43,IF(L1442="F-15",2,IF(L1442="F-30",3,IF(L1442="F-60",4,IF(L1442="F-90",5,IF(L1442="F-120",6,IF(L1442="F-150",7,0)))))),0),0)+IF(AND(O1442="FIRE TEX 5090",OR(E1442="IN",E1442="C",E1442="Z",E1442="L"),J1442=4),VLOOKUP(_xlfn.MINIFS('FIRE TEX 5090'!$J$5:$J$43,'FIRE TEX 5090'!$J$5:$J$43,"&gt;="&amp;M1442),'FIRE TEX 5090'!$J$5:$P$43,IF(L1442="F-15",2,IF(L1442="F-30",3,IF(L1442="F-60",4,IF(L1442="F-90",5,IF(L1442="F-120",6,IF(L1442="F-150",7,0)))))),0),0)+IF(AND(O1442="FIRE TEX 5090",E1442="CJ",J1442=3),VLOOKUP(_xlfn.MINIFS('FIRE TEX 5090'!$R$5:$R$30,'FIRE TEX 5090'!$R$5:$R$30,"&gt;="&amp;M1442),'FIRE TEX 5090'!$R$5:$W$30,IF(L1442="F-15",2,IF(L1442="F-30",3,IF(L1442="F-60",4,IF(L1442="F-90",5,IF(L1442="F-120",6,IF(L1442="F-150",7,0)))))),0),0)+IF(AND(O1442="FIRE TEX 5090",E1442="CJ",J1442=4),VLOOKUP(_xlfn.MINIFS('FIRE TEX 5090'!$Y$5:$Y$39,'FIRE TEX 5090'!$Y$5:$Y$39,"&gt;="&amp;M1442),'FIRE TEX 5090'!$Y$5:$AD$39,IF(L1442="F-15",2,IF(L1442="F-30",3,IF(L1442="F-60",4,IF(L1442="F-90",5,IF(L1442="F-120",6,IF(L1442="F-150",7,0)))))),0),0)+IF(AND(O1442="FIRE TEX 5120",OR(E1442="IN",E1442="C",E1442="Z",E1442="L"),J1442=3),VLOOKUP(_xlfn.MINIFS('FIRE TEX 5120'!$B$5:$B$40,'FIRE TEX 5120'!$B$5:$B$40,"&gt;="&amp;M1442),'FIRE TEX 5120'!$B$5:$G$40,IF(L1442="F-15",2,IF(L1442="F-30",3,IF(L1442="F-60",4,IF(L1442="F-90",5,IF(L1442="F-120",6,0))))),0),0)+IF(AND(O1442="FIRE TEX 5120",OR(E1442="IN",E1442="C",E1442="Z",E1442="L"),J1442=4),VLOOKUP(_xlfn.MINIFS('FIRE TEX 5120'!$H$4:$H$40,'FIRE TEX 5120'!$H$4:$H$40,"&gt;="&amp;M1442),'FIRE TEX 5120'!$H$4:$M$40,IF(L1442="F-15",2,IF(L1442="F-30",3,IF(L1442="F-60",4,IF(L1442="F-90",5,IF(L1442="F-120",6,0))))),0),0)+IF(AND(O1442="FIRE TEX 5120",E1442="CJ"),VLOOKUP(_xlfn.MINIFS('FIRE TEX 5120'!$O$5:$O$40,'FIRE TEX 5120'!$O$5:$O$40,"&gt;="&amp;M1442),'FIRE TEX 5120'!$O$5:$T$40,IF(L1442="F-15",2,IF(L1442="F-30",3,IF(L1442="F-60",4,IF(L1442="F-90",5,IF(L1442="F-120",6,0))))),0),0)</f>
        <v>0</v>
      </c>
      <c r="Q1442" s="46">
        <f t="shared" si="129"/>
        <v>0</v>
      </c>
      <c r="R1442" s="46">
        <f t="shared" si="130"/>
        <v>0</v>
      </c>
      <c r="S1442" s="46" t="e">
        <f t="shared" si="131"/>
        <v>#VALUE!</v>
      </c>
      <c r="T1442" s="677">
        <f t="shared" si="132"/>
        <v>0</v>
      </c>
      <c r="U1442" s="80">
        <f>(IF(O1442="Stofire",(S1442*#REF!),0))+(IF(O1442="Fire Control",(S1442*$U$2),0))+(IF(O1442="Fire Tex",(S1442*$U$3),0))+(IF(O1442="WB7",(S1442*#REF!),0)+(IF(O1442="FX 2003",(S1442*$U$5),0)))</f>
        <v>0</v>
      </c>
      <c r="V1442" s="651">
        <f t="shared" si="133"/>
        <v>0</v>
      </c>
    </row>
    <row r="1443" spans="4:22" x14ac:dyDescent="0.25">
      <c r="D1443" s="118">
        <f>+CUBICACION!D1442</f>
        <v>0</v>
      </c>
      <c r="E1443" s="118">
        <f>+CUBICACION!F1442</f>
        <v>0</v>
      </c>
      <c r="F1443" s="118">
        <f>+CUBICACION!E1442</f>
        <v>0</v>
      </c>
      <c r="G1443" s="118">
        <v>12</v>
      </c>
      <c r="H1443" s="118">
        <v>2</v>
      </c>
      <c r="I1443" s="820">
        <v>26385</v>
      </c>
      <c r="J1443" s="118">
        <f>+CUBICACION!J1442</f>
        <v>0</v>
      </c>
      <c r="K1443" s="118">
        <v>4222</v>
      </c>
      <c r="L1443" s="118">
        <f>+CUBICACION!L1442</f>
        <v>0</v>
      </c>
      <c r="M1443" s="64">
        <f>+CUBICACION!M1442</f>
        <v>0</v>
      </c>
      <c r="N1443" s="824" t="str">
        <f>+CUBICACION!N1442</f>
        <v/>
      </c>
      <c r="O1443" s="675">
        <f>+CUBICACION!O1442</f>
        <v>0</v>
      </c>
      <c r="P1443" s="15">
        <f>IF(O1443="Fire Control",VLOOKUP(_xlfn.MINIFS('FIRE CONTROL'!$C$4:$C$37,'FIRE CONTROL'!$C$4:$C$37,"&gt;="&amp;M1443),'FIRE CONTROL'!$C$4:$G$37,IF(L1443="F-15",2,IF(L1443="F-30",3,IF(L1443="F-60",4,IF(L1443="F-90",5,0)))),0),0)+IF(AND(O1443="FIRE TEX 5062",OR(E1443="IN",E1443="C",E1443="Z",E1443="L"),J1443=3),VLOOKUP(_xlfn.MINIFS('FIRE TEX 5062'!$B$4:$B$34,'FIRE TEX 5062'!$B$4:$B$34,"&gt;="&amp;M1443),'FIRE TEX 5062'!$B$4:$F$34,IF(L1443="F-15",2,IF(L1443="F-30",3,IF(L1443="F-60",4,IF(L1443="F-90",5,0)))),0),0)+IF(AND(O1443="FIRE TEX 5062",OR(E1443="IN",E1443="C",E1443="Z",E1443="L"),J1443=4),VLOOKUP(_xlfn.MINIFS('FIRE TEX 5062'!$G$4:$G$34,'FIRE TEX 5062'!$G$4:$G$34,"&gt;="&amp;M1443),'FIRE TEX 5062'!$G$4:$K$34,IF(L1443="F-15",2,IF(L1443="F-30",3,IF(L1443="F-60",4,IF(L1443="F-90",5,0)))),0),0)+IF(AND(O1443="FIRE TEX 5062",E1443="CJ",J1443=3),VLOOKUP(_xlfn.MINIFS('FIRE TEX 5062'!$L$4:$L$34,'FIRE TEX 5062'!$L$4:$L$34,"&gt;="&amp;M1443),'FIRE TEX 5062'!$L$4:$P$34,IF(L1443="F-15",2,IF(L1443="F-30",3,IF(L1443="F-60",4,IF(L1443="F-90",5,0)))),0),0)+IF(AND(O1443="FIRE TEX 5062",E1443="CJ",J1443=4),VLOOKUP(_xlfn.MINIFS('FIRE TEX 5062'!$Q$3:$Q$34,'FIRE TEX 5062'!$Q$3:$Q$34,"&gt;="&amp;M1443),'FIRE TEX 5062'!$Q$3:$U$34,IF(L1443="F-15",2,IF(L1443="F-30",3,IF(L1443="F-60",4,IF(L1443="F-90",5,0)))),0),0)+IF(AND(O1443="FIRE TEX 5090",OR(E1443="IN",E1443="C",E1443="Z",E1443="L"),J1443=3),VLOOKUP(_xlfn.MINIFS('FIRE TEX 5090'!$B$5:$B$43,'FIRE TEX 5090'!$B$5:$B$43,"&gt;="&amp;M1443),'FIRE TEX 5090'!$B$5:$H$43,IF(L1443="F-15",2,IF(L1443="F-30",3,IF(L1443="F-60",4,IF(L1443="F-90",5,IF(L1443="F-120",6,IF(L1443="F-150",7,0)))))),0),0)+IF(AND(O1443="FIRE TEX 5090",OR(E1443="IN",E1443="C",E1443="Z",E1443="L"),J1443=4),VLOOKUP(_xlfn.MINIFS('FIRE TEX 5090'!$J$5:$J$43,'FIRE TEX 5090'!$J$5:$J$43,"&gt;="&amp;M1443),'FIRE TEX 5090'!$J$5:$P$43,IF(L1443="F-15",2,IF(L1443="F-30",3,IF(L1443="F-60",4,IF(L1443="F-90",5,IF(L1443="F-120",6,IF(L1443="F-150",7,0)))))),0),0)+IF(AND(O1443="FIRE TEX 5090",E1443="CJ",J1443=3),VLOOKUP(_xlfn.MINIFS('FIRE TEX 5090'!$R$5:$R$30,'FIRE TEX 5090'!$R$5:$R$30,"&gt;="&amp;M1443),'FIRE TEX 5090'!$R$5:$W$30,IF(L1443="F-15",2,IF(L1443="F-30",3,IF(L1443="F-60",4,IF(L1443="F-90",5,IF(L1443="F-120",6,IF(L1443="F-150",7,0)))))),0),0)+IF(AND(O1443="FIRE TEX 5090",E1443="CJ",J1443=4),VLOOKUP(_xlfn.MINIFS('FIRE TEX 5090'!$Y$5:$Y$39,'FIRE TEX 5090'!$Y$5:$Y$39,"&gt;="&amp;M1443),'FIRE TEX 5090'!$Y$5:$AD$39,IF(L1443="F-15",2,IF(L1443="F-30",3,IF(L1443="F-60",4,IF(L1443="F-90",5,IF(L1443="F-120",6,IF(L1443="F-150",7,0)))))),0),0)+IF(AND(O1443="FIRE TEX 5120",OR(E1443="IN",E1443="C",E1443="Z",E1443="L"),J1443=3),VLOOKUP(_xlfn.MINIFS('FIRE TEX 5120'!$B$5:$B$40,'FIRE TEX 5120'!$B$5:$B$40,"&gt;="&amp;M1443),'FIRE TEX 5120'!$B$5:$G$40,IF(L1443="F-15",2,IF(L1443="F-30",3,IF(L1443="F-60",4,IF(L1443="F-90",5,IF(L1443="F-120",6,0))))),0),0)+IF(AND(O1443="FIRE TEX 5120",OR(E1443="IN",E1443="C",E1443="Z",E1443="L"),J1443=4),VLOOKUP(_xlfn.MINIFS('FIRE TEX 5120'!$H$4:$H$40,'FIRE TEX 5120'!$H$4:$H$40,"&gt;="&amp;M1443),'FIRE TEX 5120'!$H$4:$M$40,IF(L1443="F-15",2,IF(L1443="F-30",3,IF(L1443="F-60",4,IF(L1443="F-90",5,IF(L1443="F-120",6,0))))),0),0)+IF(AND(O1443="FIRE TEX 5120",E1443="CJ"),VLOOKUP(_xlfn.MINIFS('FIRE TEX 5120'!$O$5:$O$40,'FIRE TEX 5120'!$O$5:$O$40,"&gt;="&amp;M1443),'FIRE TEX 5120'!$O$5:$T$40,IF(L1443="F-15",2,IF(L1443="F-30",3,IF(L1443="F-60",4,IF(L1443="F-90",5,IF(L1443="F-120",6,0))))),0),0)</f>
        <v>0</v>
      </c>
      <c r="Q1443" s="46">
        <f t="shared" si="129"/>
        <v>0</v>
      </c>
      <c r="R1443" s="46">
        <f t="shared" si="130"/>
        <v>0</v>
      </c>
      <c r="S1443" s="46" t="e">
        <f t="shared" si="131"/>
        <v>#VALUE!</v>
      </c>
      <c r="T1443" s="677">
        <f t="shared" si="132"/>
        <v>0</v>
      </c>
      <c r="U1443" s="80">
        <f>(IF(O1443="Stofire",(S1443*#REF!),0))+(IF(O1443="Fire Control",(S1443*$U$2),0))+(IF(O1443="Fire Tex",(S1443*$U$3),0))+(IF(O1443="WB7",(S1443*#REF!),0)+(IF(O1443="FX 2003",(S1443*$U$5),0)))</f>
        <v>0</v>
      </c>
      <c r="V1443" s="651">
        <f t="shared" si="133"/>
        <v>0</v>
      </c>
    </row>
    <row r="1444" spans="4:22" x14ac:dyDescent="0.25">
      <c r="D1444" s="118">
        <f>+CUBICACION!D1443</f>
        <v>0</v>
      </c>
      <c r="E1444" s="118">
        <f>+CUBICACION!F1443</f>
        <v>0</v>
      </c>
      <c r="F1444" s="118">
        <f>+CUBICACION!E1443</f>
        <v>0</v>
      </c>
      <c r="G1444" s="118">
        <v>12</v>
      </c>
      <c r="H1444" s="118">
        <v>2</v>
      </c>
      <c r="I1444" s="820">
        <v>26385</v>
      </c>
      <c r="J1444" s="118">
        <f>+CUBICACION!J1443</f>
        <v>0</v>
      </c>
      <c r="K1444" s="118">
        <v>4223</v>
      </c>
      <c r="L1444" s="118">
        <f>+CUBICACION!L1443</f>
        <v>0</v>
      </c>
      <c r="M1444" s="64">
        <f>+CUBICACION!M1443</f>
        <v>0</v>
      </c>
      <c r="N1444" s="824" t="str">
        <f>+CUBICACION!N1443</f>
        <v/>
      </c>
      <c r="O1444" s="675">
        <f>+CUBICACION!O1443</f>
        <v>0</v>
      </c>
      <c r="P1444" s="15">
        <f>IF(O1444="Fire Control",VLOOKUP(_xlfn.MINIFS('FIRE CONTROL'!$C$4:$C$37,'FIRE CONTROL'!$C$4:$C$37,"&gt;="&amp;M1444),'FIRE CONTROL'!$C$4:$G$37,IF(L1444="F-15",2,IF(L1444="F-30",3,IF(L1444="F-60",4,IF(L1444="F-90",5,0)))),0),0)+IF(AND(O1444="FIRE TEX 5062",OR(E1444="IN",E1444="C",E1444="Z",E1444="L"),J1444=3),VLOOKUP(_xlfn.MINIFS('FIRE TEX 5062'!$B$4:$B$34,'FIRE TEX 5062'!$B$4:$B$34,"&gt;="&amp;M1444),'FIRE TEX 5062'!$B$4:$F$34,IF(L1444="F-15",2,IF(L1444="F-30",3,IF(L1444="F-60",4,IF(L1444="F-90",5,0)))),0),0)+IF(AND(O1444="FIRE TEX 5062",OR(E1444="IN",E1444="C",E1444="Z",E1444="L"),J1444=4),VLOOKUP(_xlfn.MINIFS('FIRE TEX 5062'!$G$4:$G$34,'FIRE TEX 5062'!$G$4:$G$34,"&gt;="&amp;M1444),'FIRE TEX 5062'!$G$4:$K$34,IF(L1444="F-15",2,IF(L1444="F-30",3,IF(L1444="F-60",4,IF(L1444="F-90",5,0)))),0),0)+IF(AND(O1444="FIRE TEX 5062",E1444="CJ",J1444=3),VLOOKUP(_xlfn.MINIFS('FIRE TEX 5062'!$L$4:$L$34,'FIRE TEX 5062'!$L$4:$L$34,"&gt;="&amp;M1444),'FIRE TEX 5062'!$L$4:$P$34,IF(L1444="F-15",2,IF(L1444="F-30",3,IF(L1444="F-60",4,IF(L1444="F-90",5,0)))),0),0)+IF(AND(O1444="FIRE TEX 5062",E1444="CJ",J1444=4),VLOOKUP(_xlfn.MINIFS('FIRE TEX 5062'!$Q$3:$Q$34,'FIRE TEX 5062'!$Q$3:$Q$34,"&gt;="&amp;M1444),'FIRE TEX 5062'!$Q$3:$U$34,IF(L1444="F-15",2,IF(L1444="F-30",3,IF(L1444="F-60",4,IF(L1444="F-90",5,0)))),0),0)+IF(AND(O1444="FIRE TEX 5090",OR(E1444="IN",E1444="C",E1444="Z",E1444="L"),J1444=3),VLOOKUP(_xlfn.MINIFS('FIRE TEX 5090'!$B$5:$B$43,'FIRE TEX 5090'!$B$5:$B$43,"&gt;="&amp;M1444),'FIRE TEX 5090'!$B$5:$H$43,IF(L1444="F-15",2,IF(L1444="F-30",3,IF(L1444="F-60",4,IF(L1444="F-90",5,IF(L1444="F-120",6,IF(L1444="F-150",7,0)))))),0),0)+IF(AND(O1444="FIRE TEX 5090",OR(E1444="IN",E1444="C",E1444="Z",E1444="L"),J1444=4),VLOOKUP(_xlfn.MINIFS('FIRE TEX 5090'!$J$5:$J$43,'FIRE TEX 5090'!$J$5:$J$43,"&gt;="&amp;M1444),'FIRE TEX 5090'!$J$5:$P$43,IF(L1444="F-15",2,IF(L1444="F-30",3,IF(L1444="F-60",4,IF(L1444="F-90",5,IF(L1444="F-120",6,IF(L1444="F-150",7,0)))))),0),0)+IF(AND(O1444="FIRE TEX 5090",E1444="CJ",J1444=3),VLOOKUP(_xlfn.MINIFS('FIRE TEX 5090'!$R$5:$R$30,'FIRE TEX 5090'!$R$5:$R$30,"&gt;="&amp;M1444),'FIRE TEX 5090'!$R$5:$W$30,IF(L1444="F-15",2,IF(L1444="F-30",3,IF(L1444="F-60",4,IF(L1444="F-90",5,IF(L1444="F-120",6,IF(L1444="F-150",7,0)))))),0),0)+IF(AND(O1444="FIRE TEX 5090",E1444="CJ",J1444=4),VLOOKUP(_xlfn.MINIFS('FIRE TEX 5090'!$Y$5:$Y$39,'FIRE TEX 5090'!$Y$5:$Y$39,"&gt;="&amp;M1444),'FIRE TEX 5090'!$Y$5:$AD$39,IF(L1444="F-15",2,IF(L1444="F-30",3,IF(L1444="F-60",4,IF(L1444="F-90",5,IF(L1444="F-120",6,IF(L1444="F-150",7,0)))))),0),0)+IF(AND(O1444="FIRE TEX 5120",OR(E1444="IN",E1444="C",E1444="Z",E1444="L"),J1444=3),VLOOKUP(_xlfn.MINIFS('FIRE TEX 5120'!$B$5:$B$40,'FIRE TEX 5120'!$B$5:$B$40,"&gt;="&amp;M1444),'FIRE TEX 5120'!$B$5:$G$40,IF(L1444="F-15",2,IF(L1444="F-30",3,IF(L1444="F-60",4,IF(L1444="F-90",5,IF(L1444="F-120",6,0))))),0),0)+IF(AND(O1444="FIRE TEX 5120",OR(E1444="IN",E1444="C",E1444="Z",E1444="L"),J1444=4),VLOOKUP(_xlfn.MINIFS('FIRE TEX 5120'!$H$4:$H$40,'FIRE TEX 5120'!$H$4:$H$40,"&gt;="&amp;M1444),'FIRE TEX 5120'!$H$4:$M$40,IF(L1444="F-15",2,IF(L1444="F-30",3,IF(L1444="F-60",4,IF(L1444="F-90",5,IF(L1444="F-120",6,0))))),0),0)+IF(AND(O1444="FIRE TEX 5120",E1444="CJ"),VLOOKUP(_xlfn.MINIFS('FIRE TEX 5120'!$O$5:$O$40,'FIRE TEX 5120'!$O$5:$O$40,"&gt;="&amp;M1444),'FIRE TEX 5120'!$O$5:$T$40,IF(L1444="F-15",2,IF(L1444="F-30",3,IF(L1444="F-60",4,IF(L1444="F-90",5,IF(L1444="F-120",6,0))))),0),0)</f>
        <v>0</v>
      </c>
      <c r="Q1444" s="46">
        <f t="shared" si="129"/>
        <v>0</v>
      </c>
      <c r="R1444" s="46">
        <f t="shared" si="130"/>
        <v>0</v>
      </c>
      <c r="S1444" s="46" t="e">
        <f t="shared" si="131"/>
        <v>#VALUE!</v>
      </c>
      <c r="T1444" s="677">
        <f t="shared" si="132"/>
        <v>0</v>
      </c>
      <c r="U1444" s="80">
        <f>(IF(O1444="Stofire",(S1444*#REF!),0))+(IF(O1444="Fire Control",(S1444*$U$2),0))+(IF(O1444="Fire Tex",(S1444*$U$3),0))+(IF(O1444="WB7",(S1444*#REF!),0)+(IF(O1444="FX 2003",(S1444*$U$5),0)))</f>
        <v>0</v>
      </c>
      <c r="V1444" s="651">
        <f t="shared" si="133"/>
        <v>0</v>
      </c>
    </row>
    <row r="1445" spans="4:22" x14ac:dyDescent="0.25">
      <c r="D1445" s="118">
        <f>+CUBICACION!D1444</f>
        <v>0</v>
      </c>
      <c r="E1445" s="118">
        <f>+CUBICACION!F1444</f>
        <v>0</v>
      </c>
      <c r="F1445" s="118">
        <f>+CUBICACION!E1444</f>
        <v>0</v>
      </c>
      <c r="G1445" s="118">
        <v>12</v>
      </c>
      <c r="H1445" s="118">
        <v>2</v>
      </c>
      <c r="I1445" s="820">
        <v>26385</v>
      </c>
      <c r="J1445" s="118">
        <f>+CUBICACION!J1444</f>
        <v>0</v>
      </c>
      <c r="K1445" s="118">
        <v>4224</v>
      </c>
      <c r="L1445" s="118">
        <f>+CUBICACION!L1444</f>
        <v>0</v>
      </c>
      <c r="M1445" s="64">
        <f>+CUBICACION!M1444</f>
        <v>0</v>
      </c>
      <c r="N1445" s="824" t="str">
        <f>+CUBICACION!N1444</f>
        <v/>
      </c>
      <c r="O1445" s="675">
        <f>+CUBICACION!O1444</f>
        <v>0</v>
      </c>
      <c r="P1445" s="15">
        <f>IF(O1445="Fire Control",VLOOKUP(_xlfn.MINIFS('FIRE CONTROL'!$C$4:$C$37,'FIRE CONTROL'!$C$4:$C$37,"&gt;="&amp;M1445),'FIRE CONTROL'!$C$4:$G$37,IF(L1445="F-15",2,IF(L1445="F-30",3,IF(L1445="F-60",4,IF(L1445="F-90",5,0)))),0),0)+IF(AND(O1445="FIRE TEX 5062",OR(E1445="IN",E1445="C",E1445="Z",E1445="L"),J1445=3),VLOOKUP(_xlfn.MINIFS('FIRE TEX 5062'!$B$4:$B$34,'FIRE TEX 5062'!$B$4:$B$34,"&gt;="&amp;M1445),'FIRE TEX 5062'!$B$4:$F$34,IF(L1445="F-15",2,IF(L1445="F-30",3,IF(L1445="F-60",4,IF(L1445="F-90",5,0)))),0),0)+IF(AND(O1445="FIRE TEX 5062",OR(E1445="IN",E1445="C",E1445="Z",E1445="L"),J1445=4),VLOOKUP(_xlfn.MINIFS('FIRE TEX 5062'!$G$4:$G$34,'FIRE TEX 5062'!$G$4:$G$34,"&gt;="&amp;M1445),'FIRE TEX 5062'!$G$4:$K$34,IF(L1445="F-15",2,IF(L1445="F-30",3,IF(L1445="F-60",4,IF(L1445="F-90",5,0)))),0),0)+IF(AND(O1445="FIRE TEX 5062",E1445="CJ",J1445=3),VLOOKUP(_xlfn.MINIFS('FIRE TEX 5062'!$L$4:$L$34,'FIRE TEX 5062'!$L$4:$L$34,"&gt;="&amp;M1445),'FIRE TEX 5062'!$L$4:$P$34,IF(L1445="F-15",2,IF(L1445="F-30",3,IF(L1445="F-60",4,IF(L1445="F-90",5,0)))),0),0)+IF(AND(O1445="FIRE TEX 5062",E1445="CJ",J1445=4),VLOOKUP(_xlfn.MINIFS('FIRE TEX 5062'!$Q$3:$Q$34,'FIRE TEX 5062'!$Q$3:$Q$34,"&gt;="&amp;M1445),'FIRE TEX 5062'!$Q$3:$U$34,IF(L1445="F-15",2,IF(L1445="F-30",3,IF(L1445="F-60",4,IF(L1445="F-90",5,0)))),0),0)+IF(AND(O1445="FIRE TEX 5090",OR(E1445="IN",E1445="C",E1445="Z",E1445="L"),J1445=3),VLOOKUP(_xlfn.MINIFS('FIRE TEX 5090'!$B$5:$B$43,'FIRE TEX 5090'!$B$5:$B$43,"&gt;="&amp;M1445),'FIRE TEX 5090'!$B$5:$H$43,IF(L1445="F-15",2,IF(L1445="F-30",3,IF(L1445="F-60",4,IF(L1445="F-90",5,IF(L1445="F-120",6,IF(L1445="F-150",7,0)))))),0),0)+IF(AND(O1445="FIRE TEX 5090",OR(E1445="IN",E1445="C",E1445="Z",E1445="L"),J1445=4),VLOOKUP(_xlfn.MINIFS('FIRE TEX 5090'!$J$5:$J$43,'FIRE TEX 5090'!$J$5:$J$43,"&gt;="&amp;M1445),'FIRE TEX 5090'!$J$5:$P$43,IF(L1445="F-15",2,IF(L1445="F-30",3,IF(L1445="F-60",4,IF(L1445="F-90",5,IF(L1445="F-120",6,IF(L1445="F-150",7,0)))))),0),0)+IF(AND(O1445="FIRE TEX 5090",E1445="CJ",J1445=3),VLOOKUP(_xlfn.MINIFS('FIRE TEX 5090'!$R$5:$R$30,'FIRE TEX 5090'!$R$5:$R$30,"&gt;="&amp;M1445),'FIRE TEX 5090'!$R$5:$W$30,IF(L1445="F-15",2,IF(L1445="F-30",3,IF(L1445="F-60",4,IF(L1445="F-90",5,IF(L1445="F-120",6,IF(L1445="F-150",7,0)))))),0),0)+IF(AND(O1445="FIRE TEX 5090",E1445="CJ",J1445=4),VLOOKUP(_xlfn.MINIFS('FIRE TEX 5090'!$Y$5:$Y$39,'FIRE TEX 5090'!$Y$5:$Y$39,"&gt;="&amp;M1445),'FIRE TEX 5090'!$Y$5:$AD$39,IF(L1445="F-15",2,IF(L1445="F-30",3,IF(L1445="F-60",4,IF(L1445="F-90",5,IF(L1445="F-120",6,IF(L1445="F-150",7,0)))))),0),0)+IF(AND(O1445="FIRE TEX 5120",OR(E1445="IN",E1445="C",E1445="Z",E1445="L"),J1445=3),VLOOKUP(_xlfn.MINIFS('FIRE TEX 5120'!$B$5:$B$40,'FIRE TEX 5120'!$B$5:$B$40,"&gt;="&amp;M1445),'FIRE TEX 5120'!$B$5:$G$40,IF(L1445="F-15",2,IF(L1445="F-30",3,IF(L1445="F-60",4,IF(L1445="F-90",5,IF(L1445="F-120",6,0))))),0),0)+IF(AND(O1445="FIRE TEX 5120",OR(E1445="IN",E1445="C",E1445="Z",E1445="L"),J1445=4),VLOOKUP(_xlfn.MINIFS('FIRE TEX 5120'!$H$4:$H$40,'FIRE TEX 5120'!$H$4:$H$40,"&gt;="&amp;M1445),'FIRE TEX 5120'!$H$4:$M$40,IF(L1445="F-15",2,IF(L1445="F-30",3,IF(L1445="F-60",4,IF(L1445="F-90",5,IF(L1445="F-120",6,0))))),0),0)+IF(AND(O1445="FIRE TEX 5120",E1445="CJ"),VLOOKUP(_xlfn.MINIFS('FIRE TEX 5120'!$O$5:$O$40,'FIRE TEX 5120'!$O$5:$O$40,"&gt;="&amp;M1445),'FIRE TEX 5120'!$O$5:$T$40,IF(L1445="F-15",2,IF(L1445="F-30",3,IF(L1445="F-60",4,IF(L1445="F-90",5,IF(L1445="F-120",6,0))))),0),0)</f>
        <v>0</v>
      </c>
      <c r="Q1445" s="46">
        <f t="shared" si="129"/>
        <v>0</v>
      </c>
      <c r="R1445" s="46">
        <f t="shared" si="130"/>
        <v>0</v>
      </c>
      <c r="S1445" s="46" t="e">
        <f t="shared" si="131"/>
        <v>#VALUE!</v>
      </c>
      <c r="T1445" s="677">
        <f t="shared" si="132"/>
        <v>0</v>
      </c>
      <c r="U1445" s="80">
        <f>(IF(O1445="Stofire",(S1445*#REF!),0))+(IF(O1445="Fire Control",(S1445*$U$2),0))+(IF(O1445="Fire Tex",(S1445*$U$3),0))+(IF(O1445="WB7",(S1445*#REF!),0)+(IF(O1445="FX 2003",(S1445*$U$5),0)))</f>
        <v>0</v>
      </c>
      <c r="V1445" s="651">
        <f t="shared" si="133"/>
        <v>0</v>
      </c>
    </row>
    <row r="1446" spans="4:22" x14ac:dyDescent="0.25">
      <c r="D1446" s="118">
        <f>+CUBICACION!D1445</f>
        <v>0</v>
      </c>
      <c r="E1446" s="118">
        <f>+CUBICACION!F1445</f>
        <v>0</v>
      </c>
      <c r="F1446" s="118">
        <f>+CUBICACION!E1445</f>
        <v>0</v>
      </c>
      <c r="G1446" s="118">
        <v>12</v>
      </c>
      <c r="H1446" s="118">
        <v>2</v>
      </c>
      <c r="I1446" s="820">
        <v>26385</v>
      </c>
      <c r="J1446" s="118">
        <f>+CUBICACION!J1445</f>
        <v>0</v>
      </c>
      <c r="K1446" s="118">
        <v>4225</v>
      </c>
      <c r="L1446" s="118">
        <f>+CUBICACION!L1445</f>
        <v>0</v>
      </c>
      <c r="M1446" s="64">
        <f>+CUBICACION!M1445</f>
        <v>0</v>
      </c>
      <c r="N1446" s="824" t="str">
        <f>+CUBICACION!N1445</f>
        <v/>
      </c>
      <c r="O1446" s="675">
        <f>+CUBICACION!O1445</f>
        <v>0</v>
      </c>
      <c r="P1446" s="15">
        <f>IF(O1446="Fire Control",VLOOKUP(_xlfn.MINIFS('FIRE CONTROL'!$C$4:$C$37,'FIRE CONTROL'!$C$4:$C$37,"&gt;="&amp;M1446),'FIRE CONTROL'!$C$4:$G$37,IF(L1446="F-15",2,IF(L1446="F-30",3,IF(L1446="F-60",4,IF(L1446="F-90",5,0)))),0),0)+IF(AND(O1446="FIRE TEX 5062",OR(E1446="IN",E1446="C",E1446="Z",E1446="L"),J1446=3),VLOOKUP(_xlfn.MINIFS('FIRE TEX 5062'!$B$4:$B$34,'FIRE TEX 5062'!$B$4:$B$34,"&gt;="&amp;M1446),'FIRE TEX 5062'!$B$4:$F$34,IF(L1446="F-15",2,IF(L1446="F-30",3,IF(L1446="F-60",4,IF(L1446="F-90",5,0)))),0),0)+IF(AND(O1446="FIRE TEX 5062",OR(E1446="IN",E1446="C",E1446="Z",E1446="L"),J1446=4),VLOOKUP(_xlfn.MINIFS('FIRE TEX 5062'!$G$4:$G$34,'FIRE TEX 5062'!$G$4:$G$34,"&gt;="&amp;M1446),'FIRE TEX 5062'!$G$4:$K$34,IF(L1446="F-15",2,IF(L1446="F-30",3,IF(L1446="F-60",4,IF(L1446="F-90",5,0)))),0),0)+IF(AND(O1446="FIRE TEX 5062",E1446="CJ",J1446=3),VLOOKUP(_xlfn.MINIFS('FIRE TEX 5062'!$L$4:$L$34,'FIRE TEX 5062'!$L$4:$L$34,"&gt;="&amp;M1446),'FIRE TEX 5062'!$L$4:$P$34,IF(L1446="F-15",2,IF(L1446="F-30",3,IF(L1446="F-60",4,IF(L1446="F-90",5,0)))),0),0)+IF(AND(O1446="FIRE TEX 5062",E1446="CJ",J1446=4),VLOOKUP(_xlfn.MINIFS('FIRE TEX 5062'!$Q$3:$Q$34,'FIRE TEX 5062'!$Q$3:$Q$34,"&gt;="&amp;M1446),'FIRE TEX 5062'!$Q$3:$U$34,IF(L1446="F-15",2,IF(L1446="F-30",3,IF(L1446="F-60",4,IF(L1446="F-90",5,0)))),0),0)+IF(AND(O1446="FIRE TEX 5090",OR(E1446="IN",E1446="C",E1446="Z",E1446="L"),J1446=3),VLOOKUP(_xlfn.MINIFS('FIRE TEX 5090'!$B$5:$B$43,'FIRE TEX 5090'!$B$5:$B$43,"&gt;="&amp;M1446),'FIRE TEX 5090'!$B$5:$H$43,IF(L1446="F-15",2,IF(L1446="F-30",3,IF(L1446="F-60",4,IF(L1446="F-90",5,IF(L1446="F-120",6,IF(L1446="F-150",7,0)))))),0),0)+IF(AND(O1446="FIRE TEX 5090",OR(E1446="IN",E1446="C",E1446="Z",E1446="L"),J1446=4),VLOOKUP(_xlfn.MINIFS('FIRE TEX 5090'!$J$5:$J$43,'FIRE TEX 5090'!$J$5:$J$43,"&gt;="&amp;M1446),'FIRE TEX 5090'!$J$5:$P$43,IF(L1446="F-15",2,IF(L1446="F-30",3,IF(L1446="F-60",4,IF(L1446="F-90",5,IF(L1446="F-120",6,IF(L1446="F-150",7,0)))))),0),0)+IF(AND(O1446="FIRE TEX 5090",E1446="CJ",J1446=3),VLOOKUP(_xlfn.MINIFS('FIRE TEX 5090'!$R$5:$R$30,'FIRE TEX 5090'!$R$5:$R$30,"&gt;="&amp;M1446),'FIRE TEX 5090'!$R$5:$W$30,IF(L1446="F-15",2,IF(L1446="F-30",3,IF(L1446="F-60",4,IF(L1446="F-90",5,IF(L1446="F-120",6,IF(L1446="F-150",7,0)))))),0),0)+IF(AND(O1446="FIRE TEX 5090",E1446="CJ",J1446=4),VLOOKUP(_xlfn.MINIFS('FIRE TEX 5090'!$Y$5:$Y$39,'FIRE TEX 5090'!$Y$5:$Y$39,"&gt;="&amp;M1446),'FIRE TEX 5090'!$Y$5:$AD$39,IF(L1446="F-15",2,IF(L1446="F-30",3,IF(L1446="F-60",4,IF(L1446="F-90",5,IF(L1446="F-120",6,IF(L1446="F-150",7,0)))))),0),0)+IF(AND(O1446="FIRE TEX 5120",OR(E1446="IN",E1446="C",E1446="Z",E1446="L"),J1446=3),VLOOKUP(_xlfn.MINIFS('FIRE TEX 5120'!$B$5:$B$40,'FIRE TEX 5120'!$B$5:$B$40,"&gt;="&amp;M1446),'FIRE TEX 5120'!$B$5:$G$40,IF(L1446="F-15",2,IF(L1446="F-30",3,IF(L1446="F-60",4,IF(L1446="F-90",5,IF(L1446="F-120",6,0))))),0),0)+IF(AND(O1446="FIRE TEX 5120",OR(E1446="IN",E1446="C",E1446="Z",E1446="L"),J1446=4),VLOOKUP(_xlfn.MINIFS('FIRE TEX 5120'!$H$4:$H$40,'FIRE TEX 5120'!$H$4:$H$40,"&gt;="&amp;M1446),'FIRE TEX 5120'!$H$4:$M$40,IF(L1446="F-15",2,IF(L1446="F-30",3,IF(L1446="F-60",4,IF(L1446="F-90",5,IF(L1446="F-120",6,0))))),0),0)+IF(AND(O1446="FIRE TEX 5120",E1446="CJ"),VLOOKUP(_xlfn.MINIFS('FIRE TEX 5120'!$O$5:$O$40,'FIRE TEX 5120'!$O$5:$O$40,"&gt;="&amp;M1446),'FIRE TEX 5120'!$O$5:$T$40,IF(L1446="F-15",2,IF(L1446="F-30",3,IF(L1446="F-60",4,IF(L1446="F-90",5,IF(L1446="F-120",6,0))))),0),0)</f>
        <v>0</v>
      </c>
      <c r="Q1446" s="46">
        <f t="shared" si="129"/>
        <v>0</v>
      </c>
      <c r="R1446" s="46">
        <f t="shared" si="130"/>
        <v>0</v>
      </c>
      <c r="S1446" s="46" t="e">
        <f t="shared" si="131"/>
        <v>#VALUE!</v>
      </c>
      <c r="T1446" s="677">
        <f t="shared" si="132"/>
        <v>0</v>
      </c>
      <c r="U1446" s="80">
        <f>(IF(O1446="Stofire",(S1446*#REF!),0))+(IF(O1446="Fire Control",(S1446*$U$2),0))+(IF(O1446="Fire Tex",(S1446*$U$3),0))+(IF(O1446="WB7",(S1446*#REF!),0)+(IF(O1446="FX 2003",(S1446*$U$5),0)))</f>
        <v>0</v>
      </c>
      <c r="V1446" s="651">
        <f t="shared" si="133"/>
        <v>0</v>
      </c>
    </row>
    <row r="1447" spans="4:22" x14ac:dyDescent="0.25">
      <c r="D1447" s="118">
        <f>+CUBICACION!D1446</f>
        <v>0</v>
      </c>
      <c r="E1447" s="118">
        <f>+CUBICACION!F1446</f>
        <v>0</v>
      </c>
      <c r="F1447" s="118">
        <f>+CUBICACION!E1446</f>
        <v>0</v>
      </c>
      <c r="G1447" s="118">
        <v>12</v>
      </c>
      <c r="H1447" s="118">
        <v>2</v>
      </c>
      <c r="I1447" s="820">
        <v>26385</v>
      </c>
      <c r="J1447" s="118">
        <f>+CUBICACION!J1446</f>
        <v>0</v>
      </c>
      <c r="K1447" s="118">
        <v>4226</v>
      </c>
      <c r="L1447" s="118">
        <f>+CUBICACION!L1446</f>
        <v>0</v>
      </c>
      <c r="M1447" s="64">
        <f>+CUBICACION!M1446</f>
        <v>0</v>
      </c>
      <c r="N1447" s="824" t="str">
        <f>+CUBICACION!N1446</f>
        <v/>
      </c>
      <c r="O1447" s="675">
        <f>+CUBICACION!O1446</f>
        <v>0</v>
      </c>
      <c r="P1447" s="15">
        <f>IF(O1447="Fire Control",VLOOKUP(_xlfn.MINIFS('FIRE CONTROL'!$C$4:$C$37,'FIRE CONTROL'!$C$4:$C$37,"&gt;="&amp;M1447),'FIRE CONTROL'!$C$4:$G$37,IF(L1447="F-15",2,IF(L1447="F-30",3,IF(L1447="F-60",4,IF(L1447="F-90",5,0)))),0),0)+IF(AND(O1447="FIRE TEX 5062",OR(E1447="IN",E1447="C",E1447="Z",E1447="L"),J1447=3),VLOOKUP(_xlfn.MINIFS('FIRE TEX 5062'!$B$4:$B$34,'FIRE TEX 5062'!$B$4:$B$34,"&gt;="&amp;M1447),'FIRE TEX 5062'!$B$4:$F$34,IF(L1447="F-15",2,IF(L1447="F-30",3,IF(L1447="F-60",4,IF(L1447="F-90",5,0)))),0),0)+IF(AND(O1447="FIRE TEX 5062",OR(E1447="IN",E1447="C",E1447="Z",E1447="L"),J1447=4),VLOOKUP(_xlfn.MINIFS('FIRE TEX 5062'!$G$4:$G$34,'FIRE TEX 5062'!$G$4:$G$34,"&gt;="&amp;M1447),'FIRE TEX 5062'!$G$4:$K$34,IF(L1447="F-15",2,IF(L1447="F-30",3,IF(L1447="F-60",4,IF(L1447="F-90",5,0)))),0),0)+IF(AND(O1447="FIRE TEX 5062",E1447="CJ",J1447=3),VLOOKUP(_xlfn.MINIFS('FIRE TEX 5062'!$L$4:$L$34,'FIRE TEX 5062'!$L$4:$L$34,"&gt;="&amp;M1447),'FIRE TEX 5062'!$L$4:$P$34,IF(L1447="F-15",2,IF(L1447="F-30",3,IF(L1447="F-60",4,IF(L1447="F-90",5,0)))),0),0)+IF(AND(O1447="FIRE TEX 5062",E1447="CJ",J1447=4),VLOOKUP(_xlfn.MINIFS('FIRE TEX 5062'!$Q$3:$Q$34,'FIRE TEX 5062'!$Q$3:$Q$34,"&gt;="&amp;M1447),'FIRE TEX 5062'!$Q$3:$U$34,IF(L1447="F-15",2,IF(L1447="F-30",3,IF(L1447="F-60",4,IF(L1447="F-90",5,0)))),0),0)+IF(AND(O1447="FIRE TEX 5090",OR(E1447="IN",E1447="C",E1447="Z",E1447="L"),J1447=3),VLOOKUP(_xlfn.MINIFS('FIRE TEX 5090'!$B$5:$B$43,'FIRE TEX 5090'!$B$5:$B$43,"&gt;="&amp;M1447),'FIRE TEX 5090'!$B$5:$H$43,IF(L1447="F-15",2,IF(L1447="F-30",3,IF(L1447="F-60",4,IF(L1447="F-90",5,IF(L1447="F-120",6,IF(L1447="F-150",7,0)))))),0),0)+IF(AND(O1447="FIRE TEX 5090",OR(E1447="IN",E1447="C",E1447="Z",E1447="L"),J1447=4),VLOOKUP(_xlfn.MINIFS('FIRE TEX 5090'!$J$5:$J$43,'FIRE TEX 5090'!$J$5:$J$43,"&gt;="&amp;M1447),'FIRE TEX 5090'!$J$5:$P$43,IF(L1447="F-15",2,IF(L1447="F-30",3,IF(L1447="F-60",4,IF(L1447="F-90",5,IF(L1447="F-120",6,IF(L1447="F-150",7,0)))))),0),0)+IF(AND(O1447="FIRE TEX 5090",E1447="CJ",J1447=3),VLOOKUP(_xlfn.MINIFS('FIRE TEX 5090'!$R$5:$R$30,'FIRE TEX 5090'!$R$5:$R$30,"&gt;="&amp;M1447),'FIRE TEX 5090'!$R$5:$W$30,IF(L1447="F-15",2,IF(L1447="F-30",3,IF(L1447="F-60",4,IF(L1447="F-90",5,IF(L1447="F-120",6,IF(L1447="F-150",7,0)))))),0),0)+IF(AND(O1447="FIRE TEX 5090",E1447="CJ",J1447=4),VLOOKUP(_xlfn.MINIFS('FIRE TEX 5090'!$Y$5:$Y$39,'FIRE TEX 5090'!$Y$5:$Y$39,"&gt;="&amp;M1447),'FIRE TEX 5090'!$Y$5:$AD$39,IF(L1447="F-15",2,IF(L1447="F-30",3,IF(L1447="F-60",4,IF(L1447="F-90",5,IF(L1447="F-120",6,IF(L1447="F-150",7,0)))))),0),0)+IF(AND(O1447="FIRE TEX 5120",OR(E1447="IN",E1447="C",E1447="Z",E1447="L"),J1447=3),VLOOKUP(_xlfn.MINIFS('FIRE TEX 5120'!$B$5:$B$40,'FIRE TEX 5120'!$B$5:$B$40,"&gt;="&amp;M1447),'FIRE TEX 5120'!$B$5:$G$40,IF(L1447="F-15",2,IF(L1447="F-30",3,IF(L1447="F-60",4,IF(L1447="F-90",5,IF(L1447="F-120",6,0))))),0),0)+IF(AND(O1447="FIRE TEX 5120",OR(E1447="IN",E1447="C",E1447="Z",E1447="L"),J1447=4),VLOOKUP(_xlfn.MINIFS('FIRE TEX 5120'!$H$4:$H$40,'FIRE TEX 5120'!$H$4:$H$40,"&gt;="&amp;M1447),'FIRE TEX 5120'!$H$4:$M$40,IF(L1447="F-15",2,IF(L1447="F-30",3,IF(L1447="F-60",4,IF(L1447="F-90",5,IF(L1447="F-120",6,0))))),0),0)+IF(AND(O1447="FIRE TEX 5120",E1447="CJ"),VLOOKUP(_xlfn.MINIFS('FIRE TEX 5120'!$O$5:$O$40,'FIRE TEX 5120'!$O$5:$O$40,"&gt;="&amp;M1447),'FIRE TEX 5120'!$O$5:$T$40,IF(L1447="F-15",2,IF(L1447="F-30",3,IF(L1447="F-60",4,IF(L1447="F-90",5,IF(L1447="F-120",6,0))))),0),0)</f>
        <v>0</v>
      </c>
      <c r="Q1447" s="46">
        <f t="shared" si="129"/>
        <v>0</v>
      </c>
      <c r="R1447" s="46">
        <f t="shared" si="130"/>
        <v>0</v>
      </c>
      <c r="S1447" s="46" t="e">
        <f t="shared" si="131"/>
        <v>#VALUE!</v>
      </c>
      <c r="T1447" s="677">
        <f t="shared" si="132"/>
        <v>0</v>
      </c>
      <c r="U1447" s="80">
        <f>(IF(O1447="Stofire",(S1447*#REF!),0))+(IF(O1447="Fire Control",(S1447*$U$2),0))+(IF(O1447="Fire Tex",(S1447*$U$3),0))+(IF(O1447="WB7",(S1447*#REF!),0)+(IF(O1447="FX 2003",(S1447*$U$5),0)))</f>
        <v>0</v>
      </c>
      <c r="V1447" s="651">
        <f t="shared" si="133"/>
        <v>0</v>
      </c>
    </row>
    <row r="1448" spans="4:22" x14ac:dyDescent="0.25">
      <c r="D1448" s="118">
        <f>+CUBICACION!D1447</f>
        <v>0</v>
      </c>
      <c r="E1448" s="118">
        <f>+CUBICACION!F1447</f>
        <v>0</v>
      </c>
      <c r="F1448" s="118">
        <f>+CUBICACION!E1447</f>
        <v>0</v>
      </c>
      <c r="G1448" s="118">
        <v>12</v>
      </c>
      <c r="H1448" s="118">
        <v>2</v>
      </c>
      <c r="I1448" s="820">
        <v>26385</v>
      </c>
      <c r="J1448" s="118">
        <f>+CUBICACION!J1447</f>
        <v>0</v>
      </c>
      <c r="K1448" s="118">
        <v>4227</v>
      </c>
      <c r="L1448" s="118">
        <f>+CUBICACION!L1447</f>
        <v>0</v>
      </c>
      <c r="M1448" s="64">
        <f>+CUBICACION!M1447</f>
        <v>0</v>
      </c>
      <c r="N1448" s="824" t="str">
        <f>+CUBICACION!N1447</f>
        <v/>
      </c>
      <c r="O1448" s="675">
        <f>+CUBICACION!O1447</f>
        <v>0</v>
      </c>
      <c r="P1448" s="15">
        <f>IF(O1448="Fire Control",VLOOKUP(_xlfn.MINIFS('FIRE CONTROL'!$C$4:$C$37,'FIRE CONTROL'!$C$4:$C$37,"&gt;="&amp;M1448),'FIRE CONTROL'!$C$4:$G$37,IF(L1448="F-15",2,IF(L1448="F-30",3,IF(L1448="F-60",4,IF(L1448="F-90",5,0)))),0),0)+IF(AND(O1448="FIRE TEX 5062",OR(E1448="IN",E1448="C",E1448="Z",E1448="L"),J1448=3),VLOOKUP(_xlfn.MINIFS('FIRE TEX 5062'!$B$4:$B$34,'FIRE TEX 5062'!$B$4:$B$34,"&gt;="&amp;M1448),'FIRE TEX 5062'!$B$4:$F$34,IF(L1448="F-15",2,IF(L1448="F-30",3,IF(L1448="F-60",4,IF(L1448="F-90",5,0)))),0),0)+IF(AND(O1448="FIRE TEX 5062",OR(E1448="IN",E1448="C",E1448="Z",E1448="L"),J1448=4),VLOOKUP(_xlfn.MINIFS('FIRE TEX 5062'!$G$4:$G$34,'FIRE TEX 5062'!$G$4:$G$34,"&gt;="&amp;M1448),'FIRE TEX 5062'!$G$4:$K$34,IF(L1448="F-15",2,IF(L1448="F-30",3,IF(L1448="F-60",4,IF(L1448="F-90",5,0)))),0),0)+IF(AND(O1448="FIRE TEX 5062",E1448="CJ",J1448=3),VLOOKUP(_xlfn.MINIFS('FIRE TEX 5062'!$L$4:$L$34,'FIRE TEX 5062'!$L$4:$L$34,"&gt;="&amp;M1448),'FIRE TEX 5062'!$L$4:$P$34,IF(L1448="F-15",2,IF(L1448="F-30",3,IF(L1448="F-60",4,IF(L1448="F-90",5,0)))),0),0)+IF(AND(O1448="FIRE TEX 5062",E1448="CJ",J1448=4),VLOOKUP(_xlfn.MINIFS('FIRE TEX 5062'!$Q$3:$Q$34,'FIRE TEX 5062'!$Q$3:$Q$34,"&gt;="&amp;M1448),'FIRE TEX 5062'!$Q$3:$U$34,IF(L1448="F-15",2,IF(L1448="F-30",3,IF(L1448="F-60",4,IF(L1448="F-90",5,0)))),0),0)+IF(AND(O1448="FIRE TEX 5090",OR(E1448="IN",E1448="C",E1448="Z",E1448="L"),J1448=3),VLOOKUP(_xlfn.MINIFS('FIRE TEX 5090'!$B$5:$B$43,'FIRE TEX 5090'!$B$5:$B$43,"&gt;="&amp;M1448),'FIRE TEX 5090'!$B$5:$H$43,IF(L1448="F-15",2,IF(L1448="F-30",3,IF(L1448="F-60",4,IF(L1448="F-90",5,IF(L1448="F-120",6,IF(L1448="F-150",7,0)))))),0),0)+IF(AND(O1448="FIRE TEX 5090",OR(E1448="IN",E1448="C",E1448="Z",E1448="L"),J1448=4),VLOOKUP(_xlfn.MINIFS('FIRE TEX 5090'!$J$5:$J$43,'FIRE TEX 5090'!$J$5:$J$43,"&gt;="&amp;M1448),'FIRE TEX 5090'!$J$5:$P$43,IF(L1448="F-15",2,IF(L1448="F-30",3,IF(L1448="F-60",4,IF(L1448="F-90",5,IF(L1448="F-120",6,IF(L1448="F-150",7,0)))))),0),0)+IF(AND(O1448="FIRE TEX 5090",E1448="CJ",J1448=3),VLOOKUP(_xlfn.MINIFS('FIRE TEX 5090'!$R$5:$R$30,'FIRE TEX 5090'!$R$5:$R$30,"&gt;="&amp;M1448),'FIRE TEX 5090'!$R$5:$W$30,IF(L1448="F-15",2,IF(L1448="F-30",3,IF(L1448="F-60",4,IF(L1448="F-90",5,IF(L1448="F-120",6,IF(L1448="F-150",7,0)))))),0),0)+IF(AND(O1448="FIRE TEX 5090",E1448="CJ",J1448=4),VLOOKUP(_xlfn.MINIFS('FIRE TEX 5090'!$Y$5:$Y$39,'FIRE TEX 5090'!$Y$5:$Y$39,"&gt;="&amp;M1448),'FIRE TEX 5090'!$Y$5:$AD$39,IF(L1448="F-15",2,IF(L1448="F-30",3,IF(L1448="F-60",4,IF(L1448="F-90",5,IF(L1448="F-120",6,IF(L1448="F-150",7,0)))))),0),0)+IF(AND(O1448="FIRE TEX 5120",OR(E1448="IN",E1448="C",E1448="Z",E1448="L"),J1448=3),VLOOKUP(_xlfn.MINIFS('FIRE TEX 5120'!$B$5:$B$40,'FIRE TEX 5120'!$B$5:$B$40,"&gt;="&amp;M1448),'FIRE TEX 5120'!$B$5:$G$40,IF(L1448="F-15",2,IF(L1448="F-30",3,IF(L1448="F-60",4,IF(L1448="F-90",5,IF(L1448="F-120",6,0))))),0),0)+IF(AND(O1448="FIRE TEX 5120",OR(E1448="IN",E1448="C",E1448="Z",E1448="L"),J1448=4),VLOOKUP(_xlfn.MINIFS('FIRE TEX 5120'!$H$4:$H$40,'FIRE TEX 5120'!$H$4:$H$40,"&gt;="&amp;M1448),'FIRE TEX 5120'!$H$4:$M$40,IF(L1448="F-15",2,IF(L1448="F-30",3,IF(L1448="F-60",4,IF(L1448="F-90",5,IF(L1448="F-120",6,0))))),0),0)+IF(AND(O1448="FIRE TEX 5120",E1448="CJ"),VLOOKUP(_xlfn.MINIFS('FIRE TEX 5120'!$O$5:$O$40,'FIRE TEX 5120'!$O$5:$O$40,"&gt;="&amp;M1448),'FIRE TEX 5120'!$O$5:$T$40,IF(L1448="F-15",2,IF(L1448="F-30",3,IF(L1448="F-60",4,IF(L1448="F-90",5,IF(L1448="F-120",6,0))))),0),0)</f>
        <v>0</v>
      </c>
      <c r="Q1448" s="46">
        <f t="shared" si="129"/>
        <v>0</v>
      </c>
      <c r="R1448" s="46">
        <f t="shared" si="130"/>
        <v>0</v>
      </c>
      <c r="S1448" s="46" t="e">
        <f t="shared" si="131"/>
        <v>#VALUE!</v>
      </c>
      <c r="T1448" s="677">
        <f t="shared" si="132"/>
        <v>0</v>
      </c>
      <c r="U1448" s="80">
        <f>(IF(O1448="Stofire",(S1448*#REF!),0))+(IF(O1448="Fire Control",(S1448*$U$2),0))+(IF(O1448="Fire Tex",(S1448*$U$3),0))+(IF(O1448="WB7",(S1448*#REF!),0)+(IF(O1448="FX 2003",(S1448*$U$5),0)))</f>
        <v>0</v>
      </c>
      <c r="V1448" s="651">
        <f t="shared" si="133"/>
        <v>0</v>
      </c>
    </row>
    <row r="1449" spans="4:22" x14ac:dyDescent="0.25">
      <c r="D1449" s="118">
        <f>+CUBICACION!D1448</f>
        <v>0</v>
      </c>
      <c r="E1449" s="118">
        <f>+CUBICACION!F1448</f>
        <v>0</v>
      </c>
      <c r="F1449" s="118">
        <f>+CUBICACION!E1448</f>
        <v>0</v>
      </c>
      <c r="G1449" s="118">
        <v>12</v>
      </c>
      <c r="H1449" s="118">
        <v>2</v>
      </c>
      <c r="I1449" s="820">
        <v>26385</v>
      </c>
      <c r="J1449" s="118">
        <f>+CUBICACION!J1448</f>
        <v>0</v>
      </c>
      <c r="K1449" s="118">
        <v>4228</v>
      </c>
      <c r="L1449" s="118">
        <f>+CUBICACION!L1448</f>
        <v>0</v>
      </c>
      <c r="M1449" s="64">
        <f>+CUBICACION!M1448</f>
        <v>0</v>
      </c>
      <c r="N1449" s="824" t="str">
        <f>+CUBICACION!N1448</f>
        <v/>
      </c>
      <c r="O1449" s="675">
        <f>+CUBICACION!O1448</f>
        <v>0</v>
      </c>
      <c r="P1449" s="15">
        <f>IF(O1449="Fire Control",VLOOKUP(_xlfn.MINIFS('FIRE CONTROL'!$C$4:$C$37,'FIRE CONTROL'!$C$4:$C$37,"&gt;="&amp;M1449),'FIRE CONTROL'!$C$4:$G$37,IF(L1449="F-15",2,IF(L1449="F-30",3,IF(L1449="F-60",4,IF(L1449="F-90",5,0)))),0),0)+IF(AND(O1449="FIRE TEX 5062",OR(E1449="IN",E1449="C",E1449="Z",E1449="L"),J1449=3),VLOOKUP(_xlfn.MINIFS('FIRE TEX 5062'!$B$4:$B$34,'FIRE TEX 5062'!$B$4:$B$34,"&gt;="&amp;M1449),'FIRE TEX 5062'!$B$4:$F$34,IF(L1449="F-15",2,IF(L1449="F-30",3,IF(L1449="F-60",4,IF(L1449="F-90",5,0)))),0),0)+IF(AND(O1449="FIRE TEX 5062",OR(E1449="IN",E1449="C",E1449="Z",E1449="L"),J1449=4),VLOOKUP(_xlfn.MINIFS('FIRE TEX 5062'!$G$4:$G$34,'FIRE TEX 5062'!$G$4:$G$34,"&gt;="&amp;M1449),'FIRE TEX 5062'!$G$4:$K$34,IF(L1449="F-15",2,IF(L1449="F-30",3,IF(L1449="F-60",4,IF(L1449="F-90",5,0)))),0),0)+IF(AND(O1449="FIRE TEX 5062",E1449="CJ",J1449=3),VLOOKUP(_xlfn.MINIFS('FIRE TEX 5062'!$L$4:$L$34,'FIRE TEX 5062'!$L$4:$L$34,"&gt;="&amp;M1449),'FIRE TEX 5062'!$L$4:$P$34,IF(L1449="F-15",2,IF(L1449="F-30",3,IF(L1449="F-60",4,IF(L1449="F-90",5,0)))),0),0)+IF(AND(O1449="FIRE TEX 5062",E1449="CJ",J1449=4),VLOOKUP(_xlfn.MINIFS('FIRE TEX 5062'!$Q$3:$Q$34,'FIRE TEX 5062'!$Q$3:$Q$34,"&gt;="&amp;M1449),'FIRE TEX 5062'!$Q$3:$U$34,IF(L1449="F-15",2,IF(L1449="F-30",3,IF(L1449="F-60",4,IF(L1449="F-90",5,0)))),0),0)+IF(AND(O1449="FIRE TEX 5090",OR(E1449="IN",E1449="C",E1449="Z",E1449="L"),J1449=3),VLOOKUP(_xlfn.MINIFS('FIRE TEX 5090'!$B$5:$B$43,'FIRE TEX 5090'!$B$5:$B$43,"&gt;="&amp;M1449),'FIRE TEX 5090'!$B$5:$H$43,IF(L1449="F-15",2,IF(L1449="F-30",3,IF(L1449="F-60",4,IF(L1449="F-90",5,IF(L1449="F-120",6,IF(L1449="F-150",7,0)))))),0),0)+IF(AND(O1449="FIRE TEX 5090",OR(E1449="IN",E1449="C",E1449="Z",E1449="L"),J1449=4),VLOOKUP(_xlfn.MINIFS('FIRE TEX 5090'!$J$5:$J$43,'FIRE TEX 5090'!$J$5:$J$43,"&gt;="&amp;M1449),'FIRE TEX 5090'!$J$5:$P$43,IF(L1449="F-15",2,IF(L1449="F-30",3,IF(L1449="F-60",4,IF(L1449="F-90",5,IF(L1449="F-120",6,IF(L1449="F-150",7,0)))))),0),0)+IF(AND(O1449="FIRE TEX 5090",E1449="CJ",J1449=3),VLOOKUP(_xlfn.MINIFS('FIRE TEX 5090'!$R$5:$R$30,'FIRE TEX 5090'!$R$5:$R$30,"&gt;="&amp;M1449),'FIRE TEX 5090'!$R$5:$W$30,IF(L1449="F-15",2,IF(L1449="F-30",3,IF(L1449="F-60",4,IF(L1449="F-90",5,IF(L1449="F-120",6,IF(L1449="F-150",7,0)))))),0),0)+IF(AND(O1449="FIRE TEX 5090",E1449="CJ",J1449=4),VLOOKUP(_xlfn.MINIFS('FIRE TEX 5090'!$Y$5:$Y$39,'FIRE TEX 5090'!$Y$5:$Y$39,"&gt;="&amp;M1449),'FIRE TEX 5090'!$Y$5:$AD$39,IF(L1449="F-15",2,IF(L1449="F-30",3,IF(L1449="F-60",4,IF(L1449="F-90",5,IF(L1449="F-120",6,IF(L1449="F-150",7,0)))))),0),0)+IF(AND(O1449="FIRE TEX 5120",OR(E1449="IN",E1449="C",E1449="Z",E1449="L"),J1449=3),VLOOKUP(_xlfn.MINIFS('FIRE TEX 5120'!$B$5:$B$40,'FIRE TEX 5120'!$B$5:$B$40,"&gt;="&amp;M1449),'FIRE TEX 5120'!$B$5:$G$40,IF(L1449="F-15",2,IF(L1449="F-30",3,IF(L1449="F-60",4,IF(L1449="F-90",5,IF(L1449="F-120",6,0))))),0),0)+IF(AND(O1449="FIRE TEX 5120",OR(E1449="IN",E1449="C",E1449="Z",E1449="L"),J1449=4),VLOOKUP(_xlfn.MINIFS('FIRE TEX 5120'!$H$4:$H$40,'FIRE TEX 5120'!$H$4:$H$40,"&gt;="&amp;M1449),'FIRE TEX 5120'!$H$4:$M$40,IF(L1449="F-15",2,IF(L1449="F-30",3,IF(L1449="F-60",4,IF(L1449="F-90",5,IF(L1449="F-120",6,0))))),0),0)+IF(AND(O1449="FIRE TEX 5120",E1449="CJ"),VLOOKUP(_xlfn.MINIFS('FIRE TEX 5120'!$O$5:$O$40,'FIRE TEX 5120'!$O$5:$O$40,"&gt;="&amp;M1449),'FIRE TEX 5120'!$O$5:$T$40,IF(L1449="F-15",2,IF(L1449="F-30",3,IF(L1449="F-60",4,IF(L1449="F-90",5,IF(L1449="F-120",6,0))))),0),0)</f>
        <v>0</v>
      </c>
      <c r="Q1449" s="46">
        <f t="shared" si="129"/>
        <v>0</v>
      </c>
      <c r="R1449" s="46">
        <f t="shared" si="130"/>
        <v>0</v>
      </c>
      <c r="S1449" s="46" t="e">
        <f t="shared" si="131"/>
        <v>#VALUE!</v>
      </c>
      <c r="T1449" s="677">
        <f t="shared" si="132"/>
        <v>0</v>
      </c>
      <c r="U1449" s="80">
        <f>(IF(O1449="Stofire",(S1449*#REF!),0))+(IF(O1449="Fire Control",(S1449*$U$2),0))+(IF(O1449="Fire Tex",(S1449*$U$3),0))+(IF(O1449="WB7",(S1449*#REF!),0)+(IF(O1449="FX 2003",(S1449*$U$5),0)))</f>
        <v>0</v>
      </c>
      <c r="V1449" s="651">
        <f t="shared" si="133"/>
        <v>0</v>
      </c>
    </row>
    <row r="1450" spans="4:22" x14ac:dyDescent="0.25">
      <c r="D1450" s="118">
        <f>+CUBICACION!D1449</f>
        <v>0</v>
      </c>
      <c r="E1450" s="118">
        <f>+CUBICACION!F1449</f>
        <v>0</v>
      </c>
      <c r="F1450" s="118">
        <f>+CUBICACION!E1449</f>
        <v>0</v>
      </c>
      <c r="G1450" s="118">
        <v>12</v>
      </c>
      <c r="H1450" s="118">
        <v>2</v>
      </c>
      <c r="I1450" s="820">
        <v>26385</v>
      </c>
      <c r="J1450" s="118">
        <f>+CUBICACION!J1449</f>
        <v>0</v>
      </c>
      <c r="K1450" s="118">
        <v>4229</v>
      </c>
      <c r="L1450" s="118">
        <f>+CUBICACION!L1449</f>
        <v>0</v>
      </c>
      <c r="M1450" s="64">
        <f>+CUBICACION!M1449</f>
        <v>0</v>
      </c>
      <c r="N1450" s="824" t="str">
        <f>+CUBICACION!N1449</f>
        <v/>
      </c>
      <c r="O1450" s="675">
        <f>+CUBICACION!O1449</f>
        <v>0</v>
      </c>
      <c r="P1450" s="15">
        <f>IF(O1450="Fire Control",VLOOKUP(_xlfn.MINIFS('FIRE CONTROL'!$C$4:$C$37,'FIRE CONTROL'!$C$4:$C$37,"&gt;="&amp;M1450),'FIRE CONTROL'!$C$4:$G$37,IF(L1450="F-15",2,IF(L1450="F-30",3,IF(L1450="F-60",4,IF(L1450="F-90",5,0)))),0),0)+IF(AND(O1450="FIRE TEX 5062",OR(E1450="IN",E1450="C",E1450="Z",E1450="L"),J1450=3),VLOOKUP(_xlfn.MINIFS('FIRE TEX 5062'!$B$4:$B$34,'FIRE TEX 5062'!$B$4:$B$34,"&gt;="&amp;M1450),'FIRE TEX 5062'!$B$4:$F$34,IF(L1450="F-15",2,IF(L1450="F-30",3,IF(L1450="F-60",4,IF(L1450="F-90",5,0)))),0),0)+IF(AND(O1450="FIRE TEX 5062",OR(E1450="IN",E1450="C",E1450="Z",E1450="L"),J1450=4),VLOOKUP(_xlfn.MINIFS('FIRE TEX 5062'!$G$4:$G$34,'FIRE TEX 5062'!$G$4:$G$34,"&gt;="&amp;M1450),'FIRE TEX 5062'!$G$4:$K$34,IF(L1450="F-15",2,IF(L1450="F-30",3,IF(L1450="F-60",4,IF(L1450="F-90",5,0)))),0),0)+IF(AND(O1450="FIRE TEX 5062",E1450="CJ",J1450=3),VLOOKUP(_xlfn.MINIFS('FIRE TEX 5062'!$L$4:$L$34,'FIRE TEX 5062'!$L$4:$L$34,"&gt;="&amp;M1450),'FIRE TEX 5062'!$L$4:$P$34,IF(L1450="F-15",2,IF(L1450="F-30",3,IF(L1450="F-60",4,IF(L1450="F-90",5,0)))),0),0)+IF(AND(O1450="FIRE TEX 5062",E1450="CJ",J1450=4),VLOOKUP(_xlfn.MINIFS('FIRE TEX 5062'!$Q$3:$Q$34,'FIRE TEX 5062'!$Q$3:$Q$34,"&gt;="&amp;M1450),'FIRE TEX 5062'!$Q$3:$U$34,IF(L1450="F-15",2,IF(L1450="F-30",3,IF(L1450="F-60",4,IF(L1450="F-90",5,0)))),0),0)+IF(AND(O1450="FIRE TEX 5090",OR(E1450="IN",E1450="C",E1450="Z",E1450="L"),J1450=3),VLOOKUP(_xlfn.MINIFS('FIRE TEX 5090'!$B$5:$B$43,'FIRE TEX 5090'!$B$5:$B$43,"&gt;="&amp;M1450),'FIRE TEX 5090'!$B$5:$H$43,IF(L1450="F-15",2,IF(L1450="F-30",3,IF(L1450="F-60",4,IF(L1450="F-90",5,IF(L1450="F-120",6,IF(L1450="F-150",7,0)))))),0),0)+IF(AND(O1450="FIRE TEX 5090",OR(E1450="IN",E1450="C",E1450="Z",E1450="L"),J1450=4),VLOOKUP(_xlfn.MINIFS('FIRE TEX 5090'!$J$5:$J$43,'FIRE TEX 5090'!$J$5:$J$43,"&gt;="&amp;M1450),'FIRE TEX 5090'!$J$5:$P$43,IF(L1450="F-15",2,IF(L1450="F-30",3,IF(L1450="F-60",4,IF(L1450="F-90",5,IF(L1450="F-120",6,IF(L1450="F-150",7,0)))))),0),0)+IF(AND(O1450="FIRE TEX 5090",E1450="CJ",J1450=3),VLOOKUP(_xlfn.MINIFS('FIRE TEX 5090'!$R$5:$R$30,'FIRE TEX 5090'!$R$5:$R$30,"&gt;="&amp;M1450),'FIRE TEX 5090'!$R$5:$W$30,IF(L1450="F-15",2,IF(L1450="F-30",3,IF(L1450="F-60",4,IF(L1450="F-90",5,IF(L1450="F-120",6,IF(L1450="F-150",7,0)))))),0),0)+IF(AND(O1450="FIRE TEX 5090",E1450="CJ",J1450=4),VLOOKUP(_xlfn.MINIFS('FIRE TEX 5090'!$Y$5:$Y$39,'FIRE TEX 5090'!$Y$5:$Y$39,"&gt;="&amp;M1450),'FIRE TEX 5090'!$Y$5:$AD$39,IF(L1450="F-15",2,IF(L1450="F-30",3,IF(L1450="F-60",4,IF(L1450="F-90",5,IF(L1450="F-120",6,IF(L1450="F-150",7,0)))))),0),0)+IF(AND(O1450="FIRE TEX 5120",OR(E1450="IN",E1450="C",E1450="Z",E1450="L"),J1450=3),VLOOKUP(_xlfn.MINIFS('FIRE TEX 5120'!$B$5:$B$40,'FIRE TEX 5120'!$B$5:$B$40,"&gt;="&amp;M1450),'FIRE TEX 5120'!$B$5:$G$40,IF(L1450="F-15",2,IF(L1450="F-30",3,IF(L1450="F-60",4,IF(L1450="F-90",5,IF(L1450="F-120",6,0))))),0),0)+IF(AND(O1450="FIRE TEX 5120",OR(E1450="IN",E1450="C",E1450="Z",E1450="L"),J1450=4),VLOOKUP(_xlfn.MINIFS('FIRE TEX 5120'!$H$4:$H$40,'FIRE TEX 5120'!$H$4:$H$40,"&gt;="&amp;M1450),'FIRE TEX 5120'!$H$4:$M$40,IF(L1450="F-15",2,IF(L1450="F-30",3,IF(L1450="F-60",4,IF(L1450="F-90",5,IF(L1450="F-120",6,0))))),0),0)+IF(AND(O1450="FIRE TEX 5120",E1450="CJ"),VLOOKUP(_xlfn.MINIFS('FIRE TEX 5120'!$O$5:$O$40,'FIRE TEX 5120'!$O$5:$O$40,"&gt;="&amp;M1450),'FIRE TEX 5120'!$O$5:$T$40,IF(L1450="F-15",2,IF(L1450="F-30",3,IF(L1450="F-60",4,IF(L1450="F-90",5,IF(L1450="F-120",6,0))))),0),0)</f>
        <v>0</v>
      </c>
      <c r="Q1450" s="46">
        <f t="shared" si="129"/>
        <v>0</v>
      </c>
      <c r="R1450" s="46">
        <f t="shared" si="130"/>
        <v>0</v>
      </c>
      <c r="S1450" s="46" t="e">
        <f t="shared" si="131"/>
        <v>#VALUE!</v>
      </c>
      <c r="T1450" s="677">
        <f t="shared" si="132"/>
        <v>0</v>
      </c>
      <c r="U1450" s="80">
        <f>(IF(O1450="Stofire",(S1450*#REF!),0))+(IF(O1450="Fire Control",(S1450*$U$2),0))+(IF(O1450="Fire Tex",(S1450*$U$3),0))+(IF(O1450="WB7",(S1450*#REF!),0)+(IF(O1450="FX 2003",(S1450*$U$5),0)))</f>
        <v>0</v>
      </c>
      <c r="V1450" s="651">
        <f t="shared" si="133"/>
        <v>0</v>
      </c>
    </row>
    <row r="1451" spans="4:22" x14ac:dyDescent="0.25">
      <c r="D1451" s="118">
        <f>+CUBICACION!D1450</f>
        <v>0</v>
      </c>
      <c r="E1451" s="118">
        <f>+CUBICACION!F1450</f>
        <v>0</v>
      </c>
      <c r="F1451" s="118">
        <f>+CUBICACION!E1450</f>
        <v>0</v>
      </c>
      <c r="G1451" s="118">
        <v>12</v>
      </c>
      <c r="H1451" s="118">
        <v>2</v>
      </c>
      <c r="I1451" s="820">
        <v>26385</v>
      </c>
      <c r="J1451" s="118">
        <f>+CUBICACION!J1450</f>
        <v>0</v>
      </c>
      <c r="K1451" s="118">
        <v>4230</v>
      </c>
      <c r="L1451" s="118">
        <f>+CUBICACION!L1450</f>
        <v>0</v>
      </c>
      <c r="M1451" s="64">
        <f>+CUBICACION!M1450</f>
        <v>0</v>
      </c>
      <c r="N1451" s="824" t="str">
        <f>+CUBICACION!N1450</f>
        <v/>
      </c>
      <c r="O1451" s="675">
        <f>+CUBICACION!O1450</f>
        <v>0</v>
      </c>
      <c r="P1451" s="15">
        <f>IF(O1451="Fire Control",VLOOKUP(_xlfn.MINIFS('FIRE CONTROL'!$C$4:$C$37,'FIRE CONTROL'!$C$4:$C$37,"&gt;="&amp;M1451),'FIRE CONTROL'!$C$4:$G$37,IF(L1451="F-15",2,IF(L1451="F-30",3,IF(L1451="F-60",4,IF(L1451="F-90",5,0)))),0),0)+IF(AND(O1451="FIRE TEX 5062",OR(E1451="IN",E1451="C",E1451="Z",E1451="L"),J1451=3),VLOOKUP(_xlfn.MINIFS('FIRE TEX 5062'!$B$4:$B$34,'FIRE TEX 5062'!$B$4:$B$34,"&gt;="&amp;M1451),'FIRE TEX 5062'!$B$4:$F$34,IF(L1451="F-15",2,IF(L1451="F-30",3,IF(L1451="F-60",4,IF(L1451="F-90",5,0)))),0),0)+IF(AND(O1451="FIRE TEX 5062",OR(E1451="IN",E1451="C",E1451="Z",E1451="L"),J1451=4),VLOOKUP(_xlfn.MINIFS('FIRE TEX 5062'!$G$4:$G$34,'FIRE TEX 5062'!$G$4:$G$34,"&gt;="&amp;M1451),'FIRE TEX 5062'!$G$4:$K$34,IF(L1451="F-15",2,IF(L1451="F-30",3,IF(L1451="F-60",4,IF(L1451="F-90",5,0)))),0),0)+IF(AND(O1451="FIRE TEX 5062",E1451="CJ",J1451=3),VLOOKUP(_xlfn.MINIFS('FIRE TEX 5062'!$L$4:$L$34,'FIRE TEX 5062'!$L$4:$L$34,"&gt;="&amp;M1451),'FIRE TEX 5062'!$L$4:$P$34,IF(L1451="F-15",2,IF(L1451="F-30",3,IF(L1451="F-60",4,IF(L1451="F-90",5,0)))),0),0)+IF(AND(O1451="FIRE TEX 5062",E1451="CJ",J1451=4),VLOOKUP(_xlfn.MINIFS('FIRE TEX 5062'!$Q$3:$Q$34,'FIRE TEX 5062'!$Q$3:$Q$34,"&gt;="&amp;M1451),'FIRE TEX 5062'!$Q$3:$U$34,IF(L1451="F-15",2,IF(L1451="F-30",3,IF(L1451="F-60",4,IF(L1451="F-90",5,0)))),0),0)+IF(AND(O1451="FIRE TEX 5090",OR(E1451="IN",E1451="C",E1451="Z",E1451="L"),J1451=3),VLOOKUP(_xlfn.MINIFS('FIRE TEX 5090'!$B$5:$B$43,'FIRE TEX 5090'!$B$5:$B$43,"&gt;="&amp;M1451),'FIRE TEX 5090'!$B$5:$H$43,IF(L1451="F-15",2,IF(L1451="F-30",3,IF(L1451="F-60",4,IF(L1451="F-90",5,IF(L1451="F-120",6,IF(L1451="F-150",7,0)))))),0),0)+IF(AND(O1451="FIRE TEX 5090",OR(E1451="IN",E1451="C",E1451="Z",E1451="L"),J1451=4),VLOOKUP(_xlfn.MINIFS('FIRE TEX 5090'!$J$5:$J$43,'FIRE TEX 5090'!$J$5:$J$43,"&gt;="&amp;M1451),'FIRE TEX 5090'!$J$5:$P$43,IF(L1451="F-15",2,IF(L1451="F-30",3,IF(L1451="F-60",4,IF(L1451="F-90",5,IF(L1451="F-120",6,IF(L1451="F-150",7,0)))))),0),0)+IF(AND(O1451="FIRE TEX 5090",E1451="CJ",J1451=3),VLOOKUP(_xlfn.MINIFS('FIRE TEX 5090'!$R$5:$R$30,'FIRE TEX 5090'!$R$5:$R$30,"&gt;="&amp;M1451),'FIRE TEX 5090'!$R$5:$W$30,IF(L1451="F-15",2,IF(L1451="F-30",3,IF(L1451="F-60",4,IF(L1451="F-90",5,IF(L1451="F-120",6,IF(L1451="F-150",7,0)))))),0),0)+IF(AND(O1451="FIRE TEX 5090",E1451="CJ",J1451=4),VLOOKUP(_xlfn.MINIFS('FIRE TEX 5090'!$Y$5:$Y$39,'FIRE TEX 5090'!$Y$5:$Y$39,"&gt;="&amp;M1451),'FIRE TEX 5090'!$Y$5:$AD$39,IF(L1451="F-15",2,IF(L1451="F-30",3,IF(L1451="F-60",4,IF(L1451="F-90",5,IF(L1451="F-120",6,IF(L1451="F-150",7,0)))))),0),0)+IF(AND(O1451="FIRE TEX 5120",OR(E1451="IN",E1451="C",E1451="Z",E1451="L"),J1451=3),VLOOKUP(_xlfn.MINIFS('FIRE TEX 5120'!$B$5:$B$40,'FIRE TEX 5120'!$B$5:$B$40,"&gt;="&amp;M1451),'FIRE TEX 5120'!$B$5:$G$40,IF(L1451="F-15",2,IF(L1451="F-30",3,IF(L1451="F-60",4,IF(L1451="F-90",5,IF(L1451="F-120",6,0))))),0),0)+IF(AND(O1451="FIRE TEX 5120",OR(E1451="IN",E1451="C",E1451="Z",E1451="L"),J1451=4),VLOOKUP(_xlfn.MINIFS('FIRE TEX 5120'!$H$4:$H$40,'FIRE TEX 5120'!$H$4:$H$40,"&gt;="&amp;M1451),'FIRE TEX 5120'!$H$4:$M$40,IF(L1451="F-15",2,IF(L1451="F-30",3,IF(L1451="F-60",4,IF(L1451="F-90",5,IF(L1451="F-120",6,0))))),0),0)+IF(AND(O1451="FIRE TEX 5120",E1451="CJ"),VLOOKUP(_xlfn.MINIFS('FIRE TEX 5120'!$O$5:$O$40,'FIRE TEX 5120'!$O$5:$O$40,"&gt;="&amp;M1451),'FIRE TEX 5120'!$O$5:$T$40,IF(L1451="F-15",2,IF(L1451="F-30",3,IF(L1451="F-60",4,IF(L1451="F-90",5,IF(L1451="F-120",6,0))))),0),0)</f>
        <v>0</v>
      </c>
      <c r="Q1451" s="46">
        <f t="shared" si="129"/>
        <v>0</v>
      </c>
      <c r="R1451" s="46">
        <f t="shared" si="130"/>
        <v>0</v>
      </c>
      <c r="S1451" s="46" t="e">
        <f t="shared" si="131"/>
        <v>#VALUE!</v>
      </c>
      <c r="T1451" s="677">
        <f t="shared" si="132"/>
        <v>0</v>
      </c>
      <c r="U1451" s="80">
        <f>(IF(O1451="Stofire",(S1451*#REF!),0))+(IF(O1451="Fire Control",(S1451*$U$2),0))+(IF(O1451="Fire Tex",(S1451*$U$3),0))+(IF(O1451="WB7",(S1451*#REF!),0)+(IF(O1451="FX 2003",(S1451*$U$5),0)))</f>
        <v>0</v>
      </c>
      <c r="V1451" s="651">
        <f t="shared" si="133"/>
        <v>0</v>
      </c>
    </row>
    <row r="1452" spans="4:22" x14ac:dyDescent="0.25">
      <c r="D1452" s="118">
        <f>+CUBICACION!D1451</f>
        <v>0</v>
      </c>
      <c r="E1452" s="118">
        <f>+CUBICACION!F1451</f>
        <v>0</v>
      </c>
      <c r="F1452" s="118">
        <f>+CUBICACION!E1451</f>
        <v>0</v>
      </c>
      <c r="G1452" s="118">
        <v>12</v>
      </c>
      <c r="H1452" s="118">
        <v>2</v>
      </c>
      <c r="I1452" s="820">
        <v>26385</v>
      </c>
      <c r="J1452" s="118">
        <f>+CUBICACION!J1451</f>
        <v>0</v>
      </c>
      <c r="K1452" s="118">
        <v>4231</v>
      </c>
      <c r="L1452" s="118">
        <f>+CUBICACION!L1451</f>
        <v>0</v>
      </c>
      <c r="M1452" s="64">
        <f>+CUBICACION!M1451</f>
        <v>0</v>
      </c>
      <c r="N1452" s="824" t="str">
        <f>+CUBICACION!N1451</f>
        <v/>
      </c>
      <c r="O1452" s="675">
        <f>+CUBICACION!O1451</f>
        <v>0</v>
      </c>
      <c r="P1452" s="15">
        <f>IF(O1452="Fire Control",VLOOKUP(_xlfn.MINIFS('FIRE CONTROL'!$C$4:$C$37,'FIRE CONTROL'!$C$4:$C$37,"&gt;="&amp;M1452),'FIRE CONTROL'!$C$4:$G$37,IF(L1452="F-15",2,IF(L1452="F-30",3,IF(L1452="F-60",4,IF(L1452="F-90",5,0)))),0),0)+IF(AND(O1452="FIRE TEX 5062",OR(E1452="IN",E1452="C",E1452="Z",E1452="L"),J1452=3),VLOOKUP(_xlfn.MINIFS('FIRE TEX 5062'!$B$4:$B$34,'FIRE TEX 5062'!$B$4:$B$34,"&gt;="&amp;M1452),'FIRE TEX 5062'!$B$4:$F$34,IF(L1452="F-15",2,IF(L1452="F-30",3,IF(L1452="F-60",4,IF(L1452="F-90",5,0)))),0),0)+IF(AND(O1452="FIRE TEX 5062",OR(E1452="IN",E1452="C",E1452="Z",E1452="L"),J1452=4),VLOOKUP(_xlfn.MINIFS('FIRE TEX 5062'!$G$4:$G$34,'FIRE TEX 5062'!$G$4:$G$34,"&gt;="&amp;M1452),'FIRE TEX 5062'!$G$4:$K$34,IF(L1452="F-15",2,IF(L1452="F-30",3,IF(L1452="F-60",4,IF(L1452="F-90",5,0)))),0),0)+IF(AND(O1452="FIRE TEX 5062",E1452="CJ",J1452=3),VLOOKUP(_xlfn.MINIFS('FIRE TEX 5062'!$L$4:$L$34,'FIRE TEX 5062'!$L$4:$L$34,"&gt;="&amp;M1452),'FIRE TEX 5062'!$L$4:$P$34,IF(L1452="F-15",2,IF(L1452="F-30",3,IF(L1452="F-60",4,IF(L1452="F-90",5,0)))),0),0)+IF(AND(O1452="FIRE TEX 5062",E1452="CJ",J1452=4),VLOOKUP(_xlfn.MINIFS('FIRE TEX 5062'!$Q$3:$Q$34,'FIRE TEX 5062'!$Q$3:$Q$34,"&gt;="&amp;M1452),'FIRE TEX 5062'!$Q$3:$U$34,IF(L1452="F-15",2,IF(L1452="F-30",3,IF(L1452="F-60",4,IF(L1452="F-90",5,0)))),0),0)+IF(AND(O1452="FIRE TEX 5090",OR(E1452="IN",E1452="C",E1452="Z",E1452="L"),J1452=3),VLOOKUP(_xlfn.MINIFS('FIRE TEX 5090'!$B$5:$B$43,'FIRE TEX 5090'!$B$5:$B$43,"&gt;="&amp;M1452),'FIRE TEX 5090'!$B$5:$H$43,IF(L1452="F-15",2,IF(L1452="F-30",3,IF(L1452="F-60",4,IF(L1452="F-90",5,IF(L1452="F-120",6,IF(L1452="F-150",7,0)))))),0),0)+IF(AND(O1452="FIRE TEX 5090",OR(E1452="IN",E1452="C",E1452="Z",E1452="L"),J1452=4),VLOOKUP(_xlfn.MINIFS('FIRE TEX 5090'!$J$5:$J$43,'FIRE TEX 5090'!$J$5:$J$43,"&gt;="&amp;M1452),'FIRE TEX 5090'!$J$5:$P$43,IF(L1452="F-15",2,IF(L1452="F-30",3,IF(L1452="F-60",4,IF(L1452="F-90",5,IF(L1452="F-120",6,IF(L1452="F-150",7,0)))))),0),0)+IF(AND(O1452="FIRE TEX 5090",E1452="CJ",J1452=3),VLOOKUP(_xlfn.MINIFS('FIRE TEX 5090'!$R$5:$R$30,'FIRE TEX 5090'!$R$5:$R$30,"&gt;="&amp;M1452),'FIRE TEX 5090'!$R$5:$W$30,IF(L1452="F-15",2,IF(L1452="F-30",3,IF(L1452="F-60",4,IF(L1452="F-90",5,IF(L1452="F-120",6,IF(L1452="F-150",7,0)))))),0),0)+IF(AND(O1452="FIRE TEX 5090",E1452="CJ",J1452=4),VLOOKUP(_xlfn.MINIFS('FIRE TEX 5090'!$Y$5:$Y$39,'FIRE TEX 5090'!$Y$5:$Y$39,"&gt;="&amp;M1452),'FIRE TEX 5090'!$Y$5:$AD$39,IF(L1452="F-15",2,IF(L1452="F-30",3,IF(L1452="F-60",4,IF(L1452="F-90",5,IF(L1452="F-120",6,IF(L1452="F-150",7,0)))))),0),0)+IF(AND(O1452="FIRE TEX 5120",OR(E1452="IN",E1452="C",E1452="Z",E1452="L"),J1452=3),VLOOKUP(_xlfn.MINIFS('FIRE TEX 5120'!$B$5:$B$40,'FIRE TEX 5120'!$B$5:$B$40,"&gt;="&amp;M1452),'FIRE TEX 5120'!$B$5:$G$40,IF(L1452="F-15",2,IF(L1452="F-30",3,IF(L1452="F-60",4,IF(L1452="F-90",5,IF(L1452="F-120",6,0))))),0),0)+IF(AND(O1452="FIRE TEX 5120",OR(E1452="IN",E1452="C",E1452="Z",E1452="L"),J1452=4),VLOOKUP(_xlfn.MINIFS('FIRE TEX 5120'!$H$4:$H$40,'FIRE TEX 5120'!$H$4:$H$40,"&gt;="&amp;M1452),'FIRE TEX 5120'!$H$4:$M$40,IF(L1452="F-15",2,IF(L1452="F-30",3,IF(L1452="F-60",4,IF(L1452="F-90",5,IF(L1452="F-120",6,0))))),0),0)+IF(AND(O1452="FIRE TEX 5120",E1452="CJ"),VLOOKUP(_xlfn.MINIFS('FIRE TEX 5120'!$O$5:$O$40,'FIRE TEX 5120'!$O$5:$O$40,"&gt;="&amp;M1452),'FIRE TEX 5120'!$O$5:$T$40,IF(L1452="F-15",2,IF(L1452="F-30",3,IF(L1452="F-60",4,IF(L1452="F-90",5,IF(L1452="F-120",6,0))))),0),0)</f>
        <v>0</v>
      </c>
      <c r="Q1452" s="46">
        <f t="shared" si="129"/>
        <v>0</v>
      </c>
      <c r="R1452" s="46">
        <f t="shared" si="130"/>
        <v>0</v>
      </c>
      <c r="S1452" s="46" t="e">
        <f t="shared" si="131"/>
        <v>#VALUE!</v>
      </c>
      <c r="T1452" s="677">
        <f t="shared" si="132"/>
        <v>0</v>
      </c>
      <c r="U1452" s="80">
        <f>(IF(O1452="Stofire",(S1452*#REF!),0))+(IF(O1452="Fire Control",(S1452*$U$2),0))+(IF(O1452="Fire Tex",(S1452*$U$3),0))+(IF(O1452="WB7",(S1452*#REF!),0)+(IF(O1452="FX 2003",(S1452*$U$5),0)))</f>
        <v>0</v>
      </c>
      <c r="V1452" s="651">
        <f t="shared" si="133"/>
        <v>0</v>
      </c>
    </row>
    <row r="1453" spans="4:22" x14ac:dyDescent="0.25">
      <c r="D1453" s="118">
        <f>+CUBICACION!D1452</f>
        <v>0</v>
      </c>
      <c r="E1453" s="118">
        <f>+CUBICACION!F1452</f>
        <v>0</v>
      </c>
      <c r="F1453" s="118">
        <f>+CUBICACION!E1452</f>
        <v>0</v>
      </c>
      <c r="G1453" s="118">
        <v>12</v>
      </c>
      <c r="H1453" s="118">
        <v>2</v>
      </c>
      <c r="I1453" s="820">
        <v>26385</v>
      </c>
      <c r="J1453" s="118">
        <f>+CUBICACION!J1452</f>
        <v>0</v>
      </c>
      <c r="K1453" s="118">
        <v>4232</v>
      </c>
      <c r="L1453" s="118">
        <f>+CUBICACION!L1452</f>
        <v>0</v>
      </c>
      <c r="M1453" s="64">
        <f>+CUBICACION!M1452</f>
        <v>0</v>
      </c>
      <c r="N1453" s="824" t="str">
        <f>+CUBICACION!N1452</f>
        <v/>
      </c>
      <c r="O1453" s="675">
        <f>+CUBICACION!O1452</f>
        <v>0</v>
      </c>
      <c r="P1453" s="15">
        <f>IF(O1453="Fire Control",VLOOKUP(_xlfn.MINIFS('FIRE CONTROL'!$C$4:$C$37,'FIRE CONTROL'!$C$4:$C$37,"&gt;="&amp;M1453),'FIRE CONTROL'!$C$4:$G$37,IF(L1453="F-15",2,IF(L1453="F-30",3,IF(L1453="F-60",4,IF(L1453="F-90",5,0)))),0),0)+IF(AND(O1453="FIRE TEX 5062",OR(E1453="IN",E1453="C",E1453="Z",E1453="L"),J1453=3),VLOOKUP(_xlfn.MINIFS('FIRE TEX 5062'!$B$4:$B$34,'FIRE TEX 5062'!$B$4:$B$34,"&gt;="&amp;M1453),'FIRE TEX 5062'!$B$4:$F$34,IF(L1453="F-15",2,IF(L1453="F-30",3,IF(L1453="F-60",4,IF(L1453="F-90",5,0)))),0),0)+IF(AND(O1453="FIRE TEX 5062",OR(E1453="IN",E1453="C",E1453="Z",E1453="L"),J1453=4),VLOOKUP(_xlfn.MINIFS('FIRE TEX 5062'!$G$4:$G$34,'FIRE TEX 5062'!$G$4:$G$34,"&gt;="&amp;M1453),'FIRE TEX 5062'!$G$4:$K$34,IF(L1453="F-15",2,IF(L1453="F-30",3,IF(L1453="F-60",4,IF(L1453="F-90",5,0)))),0),0)+IF(AND(O1453="FIRE TEX 5062",E1453="CJ",J1453=3),VLOOKUP(_xlfn.MINIFS('FIRE TEX 5062'!$L$4:$L$34,'FIRE TEX 5062'!$L$4:$L$34,"&gt;="&amp;M1453),'FIRE TEX 5062'!$L$4:$P$34,IF(L1453="F-15",2,IF(L1453="F-30",3,IF(L1453="F-60",4,IF(L1453="F-90",5,0)))),0),0)+IF(AND(O1453="FIRE TEX 5062",E1453="CJ",J1453=4),VLOOKUP(_xlfn.MINIFS('FIRE TEX 5062'!$Q$3:$Q$34,'FIRE TEX 5062'!$Q$3:$Q$34,"&gt;="&amp;M1453),'FIRE TEX 5062'!$Q$3:$U$34,IF(L1453="F-15",2,IF(L1453="F-30",3,IF(L1453="F-60",4,IF(L1453="F-90",5,0)))),0),0)+IF(AND(O1453="FIRE TEX 5090",OR(E1453="IN",E1453="C",E1453="Z",E1453="L"),J1453=3),VLOOKUP(_xlfn.MINIFS('FIRE TEX 5090'!$B$5:$B$43,'FIRE TEX 5090'!$B$5:$B$43,"&gt;="&amp;M1453),'FIRE TEX 5090'!$B$5:$H$43,IF(L1453="F-15",2,IF(L1453="F-30",3,IF(L1453="F-60",4,IF(L1453="F-90",5,IF(L1453="F-120",6,IF(L1453="F-150",7,0)))))),0),0)+IF(AND(O1453="FIRE TEX 5090",OR(E1453="IN",E1453="C",E1453="Z",E1453="L"),J1453=4),VLOOKUP(_xlfn.MINIFS('FIRE TEX 5090'!$J$5:$J$43,'FIRE TEX 5090'!$J$5:$J$43,"&gt;="&amp;M1453),'FIRE TEX 5090'!$J$5:$P$43,IF(L1453="F-15",2,IF(L1453="F-30",3,IF(L1453="F-60",4,IF(L1453="F-90",5,IF(L1453="F-120",6,IF(L1453="F-150",7,0)))))),0),0)+IF(AND(O1453="FIRE TEX 5090",E1453="CJ",J1453=3),VLOOKUP(_xlfn.MINIFS('FIRE TEX 5090'!$R$5:$R$30,'FIRE TEX 5090'!$R$5:$R$30,"&gt;="&amp;M1453),'FIRE TEX 5090'!$R$5:$W$30,IF(L1453="F-15",2,IF(L1453="F-30",3,IF(L1453="F-60",4,IF(L1453="F-90",5,IF(L1453="F-120",6,IF(L1453="F-150",7,0)))))),0),0)+IF(AND(O1453="FIRE TEX 5090",E1453="CJ",J1453=4),VLOOKUP(_xlfn.MINIFS('FIRE TEX 5090'!$Y$5:$Y$39,'FIRE TEX 5090'!$Y$5:$Y$39,"&gt;="&amp;M1453),'FIRE TEX 5090'!$Y$5:$AD$39,IF(L1453="F-15",2,IF(L1453="F-30",3,IF(L1453="F-60",4,IF(L1453="F-90",5,IF(L1453="F-120",6,IF(L1453="F-150",7,0)))))),0),0)+IF(AND(O1453="FIRE TEX 5120",OR(E1453="IN",E1453="C",E1453="Z",E1453="L"),J1453=3),VLOOKUP(_xlfn.MINIFS('FIRE TEX 5120'!$B$5:$B$40,'FIRE TEX 5120'!$B$5:$B$40,"&gt;="&amp;M1453),'FIRE TEX 5120'!$B$5:$G$40,IF(L1453="F-15",2,IF(L1453="F-30",3,IF(L1453="F-60",4,IF(L1453="F-90",5,IF(L1453="F-120",6,0))))),0),0)+IF(AND(O1453="FIRE TEX 5120",OR(E1453="IN",E1453="C",E1453="Z",E1453="L"),J1453=4),VLOOKUP(_xlfn.MINIFS('FIRE TEX 5120'!$H$4:$H$40,'FIRE TEX 5120'!$H$4:$H$40,"&gt;="&amp;M1453),'FIRE TEX 5120'!$H$4:$M$40,IF(L1453="F-15",2,IF(L1453="F-30",3,IF(L1453="F-60",4,IF(L1453="F-90",5,IF(L1453="F-120",6,0))))),0),0)+IF(AND(O1453="FIRE TEX 5120",E1453="CJ"),VLOOKUP(_xlfn.MINIFS('FIRE TEX 5120'!$O$5:$O$40,'FIRE TEX 5120'!$O$5:$O$40,"&gt;="&amp;M1453),'FIRE TEX 5120'!$O$5:$T$40,IF(L1453="F-15",2,IF(L1453="F-30",3,IF(L1453="F-60",4,IF(L1453="F-90",5,IF(L1453="F-120",6,0))))),0),0)</f>
        <v>0</v>
      </c>
      <c r="Q1453" s="46">
        <f t="shared" ref="Q1453:Q1516" si="134">IF(P1453="","",IF(P1453="dar valor","",0.03937*P1453))</f>
        <v>0</v>
      </c>
      <c r="R1453" s="46">
        <f t="shared" ref="R1453:R1516" si="135">+(IF(O1453="Fire Control",((65*1.5/Q1453)*0.75*4),0))+(IF(OR(O1453="Fire Tex 5062",O1453="Fire Tex 5090",O1453="Fire Tex 5120"),((66*1.5/Q1453)*0.7*5),0))</f>
        <v>0</v>
      </c>
      <c r="S1453" s="46" t="e">
        <f t="shared" ref="S1453:S1516" si="136">IF(R1453="","",+N1453/R1453)</f>
        <v>#VALUE!</v>
      </c>
      <c r="T1453" s="677">
        <f t="shared" ref="T1453:T1516" si="137">(IF(O1453="Stofire",(S1453/(7*1)),0))+(IF(O1453="Fire Control",(S1453/(7*1)),0))+(IF(O1453="Fire Tex",(S1453/(7*1)),0))+(IF(O1453="WB7",(S1453/(7*1)),0))+(IF(O1453="FX 2003",(S1453/(7*1)),0))</f>
        <v>0</v>
      </c>
      <c r="U1453" s="80">
        <f>(IF(O1453="Stofire",(S1453*#REF!),0))+(IF(O1453="Fire Control",(S1453*$U$2),0))+(IF(O1453="Fire Tex",(S1453*$U$3),0))+(IF(O1453="WB7",(S1453*#REF!),0)+(IF(O1453="FX 2003",(S1453*$U$5),0)))</f>
        <v>0</v>
      </c>
      <c r="V1453" s="651">
        <f t="shared" ref="V1453:V1516" si="138">_xlfn.CEILING.MATH(M1453,10)</f>
        <v>0</v>
      </c>
    </row>
    <row r="1454" spans="4:22" x14ac:dyDescent="0.25">
      <c r="D1454" s="118">
        <f>+CUBICACION!D1453</f>
        <v>0</v>
      </c>
      <c r="E1454" s="118">
        <f>+CUBICACION!F1453</f>
        <v>0</v>
      </c>
      <c r="F1454" s="118">
        <f>+CUBICACION!E1453</f>
        <v>0</v>
      </c>
      <c r="G1454" s="118">
        <v>12</v>
      </c>
      <c r="H1454" s="118">
        <v>2</v>
      </c>
      <c r="I1454" s="820">
        <v>26385</v>
      </c>
      <c r="J1454" s="118">
        <f>+CUBICACION!J1453</f>
        <v>0</v>
      </c>
      <c r="K1454" s="118">
        <v>4233</v>
      </c>
      <c r="L1454" s="118">
        <f>+CUBICACION!L1453</f>
        <v>0</v>
      </c>
      <c r="M1454" s="64">
        <f>+CUBICACION!M1453</f>
        <v>0</v>
      </c>
      <c r="N1454" s="824" t="str">
        <f>+CUBICACION!N1453</f>
        <v/>
      </c>
      <c r="O1454" s="675">
        <f>+CUBICACION!O1453</f>
        <v>0</v>
      </c>
      <c r="P1454" s="15">
        <f>IF(O1454="Fire Control",VLOOKUP(_xlfn.MINIFS('FIRE CONTROL'!$C$4:$C$37,'FIRE CONTROL'!$C$4:$C$37,"&gt;="&amp;M1454),'FIRE CONTROL'!$C$4:$G$37,IF(L1454="F-15",2,IF(L1454="F-30",3,IF(L1454="F-60",4,IF(L1454="F-90",5,0)))),0),0)+IF(AND(O1454="FIRE TEX 5062",OR(E1454="IN",E1454="C",E1454="Z",E1454="L"),J1454=3),VLOOKUP(_xlfn.MINIFS('FIRE TEX 5062'!$B$4:$B$34,'FIRE TEX 5062'!$B$4:$B$34,"&gt;="&amp;M1454),'FIRE TEX 5062'!$B$4:$F$34,IF(L1454="F-15",2,IF(L1454="F-30",3,IF(L1454="F-60",4,IF(L1454="F-90",5,0)))),0),0)+IF(AND(O1454="FIRE TEX 5062",OR(E1454="IN",E1454="C",E1454="Z",E1454="L"),J1454=4),VLOOKUP(_xlfn.MINIFS('FIRE TEX 5062'!$G$4:$G$34,'FIRE TEX 5062'!$G$4:$G$34,"&gt;="&amp;M1454),'FIRE TEX 5062'!$G$4:$K$34,IF(L1454="F-15",2,IF(L1454="F-30",3,IF(L1454="F-60",4,IF(L1454="F-90",5,0)))),0),0)+IF(AND(O1454="FIRE TEX 5062",E1454="CJ",J1454=3),VLOOKUP(_xlfn.MINIFS('FIRE TEX 5062'!$L$4:$L$34,'FIRE TEX 5062'!$L$4:$L$34,"&gt;="&amp;M1454),'FIRE TEX 5062'!$L$4:$P$34,IF(L1454="F-15",2,IF(L1454="F-30",3,IF(L1454="F-60",4,IF(L1454="F-90",5,0)))),0),0)+IF(AND(O1454="FIRE TEX 5062",E1454="CJ",J1454=4),VLOOKUP(_xlfn.MINIFS('FIRE TEX 5062'!$Q$3:$Q$34,'FIRE TEX 5062'!$Q$3:$Q$34,"&gt;="&amp;M1454),'FIRE TEX 5062'!$Q$3:$U$34,IF(L1454="F-15",2,IF(L1454="F-30",3,IF(L1454="F-60",4,IF(L1454="F-90",5,0)))),0),0)+IF(AND(O1454="FIRE TEX 5090",OR(E1454="IN",E1454="C",E1454="Z",E1454="L"),J1454=3),VLOOKUP(_xlfn.MINIFS('FIRE TEX 5090'!$B$5:$B$43,'FIRE TEX 5090'!$B$5:$B$43,"&gt;="&amp;M1454),'FIRE TEX 5090'!$B$5:$H$43,IF(L1454="F-15",2,IF(L1454="F-30",3,IF(L1454="F-60",4,IF(L1454="F-90",5,IF(L1454="F-120",6,IF(L1454="F-150",7,0)))))),0),0)+IF(AND(O1454="FIRE TEX 5090",OR(E1454="IN",E1454="C",E1454="Z",E1454="L"),J1454=4),VLOOKUP(_xlfn.MINIFS('FIRE TEX 5090'!$J$5:$J$43,'FIRE TEX 5090'!$J$5:$J$43,"&gt;="&amp;M1454),'FIRE TEX 5090'!$J$5:$P$43,IF(L1454="F-15",2,IF(L1454="F-30",3,IF(L1454="F-60",4,IF(L1454="F-90",5,IF(L1454="F-120",6,IF(L1454="F-150",7,0)))))),0),0)+IF(AND(O1454="FIRE TEX 5090",E1454="CJ",J1454=3),VLOOKUP(_xlfn.MINIFS('FIRE TEX 5090'!$R$5:$R$30,'FIRE TEX 5090'!$R$5:$R$30,"&gt;="&amp;M1454),'FIRE TEX 5090'!$R$5:$W$30,IF(L1454="F-15",2,IF(L1454="F-30",3,IF(L1454="F-60",4,IF(L1454="F-90",5,IF(L1454="F-120",6,IF(L1454="F-150",7,0)))))),0),0)+IF(AND(O1454="FIRE TEX 5090",E1454="CJ",J1454=4),VLOOKUP(_xlfn.MINIFS('FIRE TEX 5090'!$Y$5:$Y$39,'FIRE TEX 5090'!$Y$5:$Y$39,"&gt;="&amp;M1454),'FIRE TEX 5090'!$Y$5:$AD$39,IF(L1454="F-15",2,IF(L1454="F-30",3,IF(L1454="F-60",4,IF(L1454="F-90",5,IF(L1454="F-120",6,IF(L1454="F-150",7,0)))))),0),0)+IF(AND(O1454="FIRE TEX 5120",OR(E1454="IN",E1454="C",E1454="Z",E1454="L"),J1454=3),VLOOKUP(_xlfn.MINIFS('FIRE TEX 5120'!$B$5:$B$40,'FIRE TEX 5120'!$B$5:$B$40,"&gt;="&amp;M1454),'FIRE TEX 5120'!$B$5:$G$40,IF(L1454="F-15",2,IF(L1454="F-30",3,IF(L1454="F-60",4,IF(L1454="F-90",5,IF(L1454="F-120",6,0))))),0),0)+IF(AND(O1454="FIRE TEX 5120",OR(E1454="IN",E1454="C",E1454="Z",E1454="L"),J1454=4),VLOOKUP(_xlfn.MINIFS('FIRE TEX 5120'!$H$4:$H$40,'FIRE TEX 5120'!$H$4:$H$40,"&gt;="&amp;M1454),'FIRE TEX 5120'!$H$4:$M$40,IF(L1454="F-15",2,IF(L1454="F-30",3,IF(L1454="F-60",4,IF(L1454="F-90",5,IF(L1454="F-120",6,0))))),0),0)+IF(AND(O1454="FIRE TEX 5120",E1454="CJ"),VLOOKUP(_xlfn.MINIFS('FIRE TEX 5120'!$O$5:$O$40,'FIRE TEX 5120'!$O$5:$O$40,"&gt;="&amp;M1454),'FIRE TEX 5120'!$O$5:$T$40,IF(L1454="F-15",2,IF(L1454="F-30",3,IF(L1454="F-60",4,IF(L1454="F-90",5,IF(L1454="F-120",6,0))))),0),0)</f>
        <v>0</v>
      </c>
      <c r="Q1454" s="46">
        <f t="shared" si="134"/>
        <v>0</v>
      </c>
      <c r="R1454" s="46">
        <f t="shared" si="135"/>
        <v>0</v>
      </c>
      <c r="S1454" s="46" t="e">
        <f t="shared" si="136"/>
        <v>#VALUE!</v>
      </c>
      <c r="T1454" s="677">
        <f t="shared" si="137"/>
        <v>0</v>
      </c>
      <c r="U1454" s="80">
        <f>(IF(O1454="Stofire",(S1454*#REF!),0))+(IF(O1454="Fire Control",(S1454*$U$2),0))+(IF(O1454="Fire Tex",(S1454*$U$3),0))+(IF(O1454="WB7",(S1454*#REF!),0)+(IF(O1454="FX 2003",(S1454*$U$5),0)))</f>
        <v>0</v>
      </c>
      <c r="V1454" s="651">
        <f t="shared" si="138"/>
        <v>0</v>
      </c>
    </row>
    <row r="1455" spans="4:22" x14ac:dyDescent="0.25">
      <c r="D1455" s="118">
        <f>+CUBICACION!D1454</f>
        <v>0</v>
      </c>
      <c r="E1455" s="118">
        <f>+CUBICACION!F1454</f>
        <v>0</v>
      </c>
      <c r="F1455" s="118">
        <f>+CUBICACION!E1454</f>
        <v>0</v>
      </c>
      <c r="G1455" s="118">
        <v>12</v>
      </c>
      <c r="H1455" s="118">
        <v>2</v>
      </c>
      <c r="I1455" s="820">
        <v>26385</v>
      </c>
      <c r="J1455" s="118">
        <f>+CUBICACION!J1454</f>
        <v>0</v>
      </c>
      <c r="K1455" s="118">
        <v>4234</v>
      </c>
      <c r="L1455" s="118">
        <f>+CUBICACION!L1454</f>
        <v>0</v>
      </c>
      <c r="M1455" s="64">
        <f>+CUBICACION!M1454</f>
        <v>0</v>
      </c>
      <c r="N1455" s="824" t="str">
        <f>+CUBICACION!N1454</f>
        <v/>
      </c>
      <c r="O1455" s="675">
        <f>+CUBICACION!O1454</f>
        <v>0</v>
      </c>
      <c r="P1455" s="15">
        <f>IF(O1455="Fire Control",VLOOKUP(_xlfn.MINIFS('FIRE CONTROL'!$C$4:$C$37,'FIRE CONTROL'!$C$4:$C$37,"&gt;="&amp;M1455),'FIRE CONTROL'!$C$4:$G$37,IF(L1455="F-15",2,IF(L1455="F-30",3,IF(L1455="F-60",4,IF(L1455="F-90",5,0)))),0),0)+IF(AND(O1455="FIRE TEX 5062",OR(E1455="IN",E1455="C",E1455="Z",E1455="L"),J1455=3),VLOOKUP(_xlfn.MINIFS('FIRE TEX 5062'!$B$4:$B$34,'FIRE TEX 5062'!$B$4:$B$34,"&gt;="&amp;M1455),'FIRE TEX 5062'!$B$4:$F$34,IF(L1455="F-15",2,IF(L1455="F-30",3,IF(L1455="F-60",4,IF(L1455="F-90",5,0)))),0),0)+IF(AND(O1455="FIRE TEX 5062",OR(E1455="IN",E1455="C",E1455="Z",E1455="L"),J1455=4),VLOOKUP(_xlfn.MINIFS('FIRE TEX 5062'!$G$4:$G$34,'FIRE TEX 5062'!$G$4:$G$34,"&gt;="&amp;M1455),'FIRE TEX 5062'!$G$4:$K$34,IF(L1455="F-15",2,IF(L1455="F-30",3,IF(L1455="F-60",4,IF(L1455="F-90",5,0)))),0),0)+IF(AND(O1455="FIRE TEX 5062",E1455="CJ",J1455=3),VLOOKUP(_xlfn.MINIFS('FIRE TEX 5062'!$L$4:$L$34,'FIRE TEX 5062'!$L$4:$L$34,"&gt;="&amp;M1455),'FIRE TEX 5062'!$L$4:$P$34,IF(L1455="F-15",2,IF(L1455="F-30",3,IF(L1455="F-60",4,IF(L1455="F-90",5,0)))),0),0)+IF(AND(O1455="FIRE TEX 5062",E1455="CJ",J1455=4),VLOOKUP(_xlfn.MINIFS('FIRE TEX 5062'!$Q$3:$Q$34,'FIRE TEX 5062'!$Q$3:$Q$34,"&gt;="&amp;M1455),'FIRE TEX 5062'!$Q$3:$U$34,IF(L1455="F-15",2,IF(L1455="F-30",3,IF(L1455="F-60",4,IF(L1455="F-90",5,0)))),0),0)+IF(AND(O1455="FIRE TEX 5090",OR(E1455="IN",E1455="C",E1455="Z",E1455="L"),J1455=3),VLOOKUP(_xlfn.MINIFS('FIRE TEX 5090'!$B$5:$B$43,'FIRE TEX 5090'!$B$5:$B$43,"&gt;="&amp;M1455),'FIRE TEX 5090'!$B$5:$H$43,IF(L1455="F-15",2,IF(L1455="F-30",3,IF(L1455="F-60",4,IF(L1455="F-90",5,IF(L1455="F-120",6,IF(L1455="F-150",7,0)))))),0),0)+IF(AND(O1455="FIRE TEX 5090",OR(E1455="IN",E1455="C",E1455="Z",E1455="L"),J1455=4),VLOOKUP(_xlfn.MINIFS('FIRE TEX 5090'!$J$5:$J$43,'FIRE TEX 5090'!$J$5:$J$43,"&gt;="&amp;M1455),'FIRE TEX 5090'!$J$5:$P$43,IF(L1455="F-15",2,IF(L1455="F-30",3,IF(L1455="F-60",4,IF(L1455="F-90",5,IF(L1455="F-120",6,IF(L1455="F-150",7,0)))))),0),0)+IF(AND(O1455="FIRE TEX 5090",E1455="CJ",J1455=3),VLOOKUP(_xlfn.MINIFS('FIRE TEX 5090'!$R$5:$R$30,'FIRE TEX 5090'!$R$5:$R$30,"&gt;="&amp;M1455),'FIRE TEX 5090'!$R$5:$W$30,IF(L1455="F-15",2,IF(L1455="F-30",3,IF(L1455="F-60",4,IF(L1455="F-90",5,IF(L1455="F-120",6,IF(L1455="F-150",7,0)))))),0),0)+IF(AND(O1455="FIRE TEX 5090",E1455="CJ",J1455=4),VLOOKUP(_xlfn.MINIFS('FIRE TEX 5090'!$Y$5:$Y$39,'FIRE TEX 5090'!$Y$5:$Y$39,"&gt;="&amp;M1455),'FIRE TEX 5090'!$Y$5:$AD$39,IF(L1455="F-15",2,IF(L1455="F-30",3,IF(L1455="F-60",4,IF(L1455="F-90",5,IF(L1455="F-120",6,IF(L1455="F-150",7,0)))))),0),0)+IF(AND(O1455="FIRE TEX 5120",OR(E1455="IN",E1455="C",E1455="Z",E1455="L"),J1455=3),VLOOKUP(_xlfn.MINIFS('FIRE TEX 5120'!$B$5:$B$40,'FIRE TEX 5120'!$B$5:$B$40,"&gt;="&amp;M1455),'FIRE TEX 5120'!$B$5:$G$40,IF(L1455="F-15",2,IF(L1455="F-30",3,IF(L1455="F-60",4,IF(L1455="F-90",5,IF(L1455="F-120",6,0))))),0),0)+IF(AND(O1455="FIRE TEX 5120",OR(E1455="IN",E1455="C",E1455="Z",E1455="L"),J1455=4),VLOOKUP(_xlfn.MINIFS('FIRE TEX 5120'!$H$4:$H$40,'FIRE TEX 5120'!$H$4:$H$40,"&gt;="&amp;M1455),'FIRE TEX 5120'!$H$4:$M$40,IF(L1455="F-15",2,IF(L1455="F-30",3,IF(L1455="F-60",4,IF(L1455="F-90",5,IF(L1455="F-120",6,0))))),0),0)+IF(AND(O1455="FIRE TEX 5120",E1455="CJ"),VLOOKUP(_xlfn.MINIFS('FIRE TEX 5120'!$O$5:$O$40,'FIRE TEX 5120'!$O$5:$O$40,"&gt;="&amp;M1455),'FIRE TEX 5120'!$O$5:$T$40,IF(L1455="F-15",2,IF(L1455="F-30",3,IF(L1455="F-60",4,IF(L1455="F-90",5,IF(L1455="F-120",6,0))))),0),0)</f>
        <v>0</v>
      </c>
      <c r="Q1455" s="46">
        <f t="shared" si="134"/>
        <v>0</v>
      </c>
      <c r="R1455" s="46">
        <f t="shared" si="135"/>
        <v>0</v>
      </c>
      <c r="S1455" s="46" t="e">
        <f t="shared" si="136"/>
        <v>#VALUE!</v>
      </c>
      <c r="T1455" s="677">
        <f t="shared" si="137"/>
        <v>0</v>
      </c>
      <c r="U1455" s="80">
        <f>(IF(O1455="Stofire",(S1455*#REF!),0))+(IF(O1455="Fire Control",(S1455*$U$2),0))+(IF(O1455="Fire Tex",(S1455*$U$3),0))+(IF(O1455="WB7",(S1455*#REF!),0)+(IF(O1455="FX 2003",(S1455*$U$5),0)))</f>
        <v>0</v>
      </c>
      <c r="V1455" s="651">
        <f t="shared" si="138"/>
        <v>0</v>
      </c>
    </row>
    <row r="1456" spans="4:22" x14ac:dyDescent="0.25">
      <c r="D1456" s="118">
        <f>+CUBICACION!D1455</f>
        <v>0</v>
      </c>
      <c r="E1456" s="118">
        <f>+CUBICACION!F1455</f>
        <v>0</v>
      </c>
      <c r="F1456" s="118">
        <f>+CUBICACION!E1455</f>
        <v>0</v>
      </c>
      <c r="G1456" s="118">
        <v>12</v>
      </c>
      <c r="H1456" s="118">
        <v>2</v>
      </c>
      <c r="I1456" s="820">
        <v>26385</v>
      </c>
      <c r="J1456" s="118">
        <f>+CUBICACION!J1455</f>
        <v>0</v>
      </c>
      <c r="K1456" s="118">
        <v>4235</v>
      </c>
      <c r="L1456" s="118">
        <f>+CUBICACION!L1455</f>
        <v>0</v>
      </c>
      <c r="M1456" s="64">
        <f>+CUBICACION!M1455</f>
        <v>0</v>
      </c>
      <c r="N1456" s="824" t="str">
        <f>+CUBICACION!N1455</f>
        <v/>
      </c>
      <c r="O1456" s="675">
        <f>+CUBICACION!O1455</f>
        <v>0</v>
      </c>
      <c r="P1456" s="15">
        <f>IF(O1456="Fire Control",VLOOKUP(_xlfn.MINIFS('FIRE CONTROL'!$C$4:$C$37,'FIRE CONTROL'!$C$4:$C$37,"&gt;="&amp;M1456),'FIRE CONTROL'!$C$4:$G$37,IF(L1456="F-15",2,IF(L1456="F-30",3,IF(L1456="F-60",4,IF(L1456="F-90",5,0)))),0),0)+IF(AND(O1456="FIRE TEX 5062",OR(E1456="IN",E1456="C",E1456="Z",E1456="L"),J1456=3),VLOOKUP(_xlfn.MINIFS('FIRE TEX 5062'!$B$4:$B$34,'FIRE TEX 5062'!$B$4:$B$34,"&gt;="&amp;M1456),'FIRE TEX 5062'!$B$4:$F$34,IF(L1456="F-15",2,IF(L1456="F-30",3,IF(L1456="F-60",4,IF(L1456="F-90",5,0)))),0),0)+IF(AND(O1456="FIRE TEX 5062",OR(E1456="IN",E1456="C",E1456="Z",E1456="L"),J1456=4),VLOOKUP(_xlfn.MINIFS('FIRE TEX 5062'!$G$4:$G$34,'FIRE TEX 5062'!$G$4:$G$34,"&gt;="&amp;M1456),'FIRE TEX 5062'!$G$4:$K$34,IF(L1456="F-15",2,IF(L1456="F-30",3,IF(L1456="F-60",4,IF(L1456="F-90",5,0)))),0),0)+IF(AND(O1456="FIRE TEX 5062",E1456="CJ",J1456=3),VLOOKUP(_xlfn.MINIFS('FIRE TEX 5062'!$L$4:$L$34,'FIRE TEX 5062'!$L$4:$L$34,"&gt;="&amp;M1456),'FIRE TEX 5062'!$L$4:$P$34,IF(L1456="F-15",2,IF(L1456="F-30",3,IF(L1456="F-60",4,IF(L1456="F-90",5,0)))),0),0)+IF(AND(O1456="FIRE TEX 5062",E1456="CJ",J1456=4),VLOOKUP(_xlfn.MINIFS('FIRE TEX 5062'!$Q$3:$Q$34,'FIRE TEX 5062'!$Q$3:$Q$34,"&gt;="&amp;M1456),'FIRE TEX 5062'!$Q$3:$U$34,IF(L1456="F-15",2,IF(L1456="F-30",3,IF(L1456="F-60",4,IF(L1456="F-90",5,0)))),0),0)+IF(AND(O1456="FIRE TEX 5090",OR(E1456="IN",E1456="C",E1456="Z",E1456="L"),J1456=3),VLOOKUP(_xlfn.MINIFS('FIRE TEX 5090'!$B$5:$B$43,'FIRE TEX 5090'!$B$5:$B$43,"&gt;="&amp;M1456),'FIRE TEX 5090'!$B$5:$H$43,IF(L1456="F-15",2,IF(L1456="F-30",3,IF(L1456="F-60",4,IF(L1456="F-90",5,IF(L1456="F-120",6,IF(L1456="F-150",7,0)))))),0),0)+IF(AND(O1456="FIRE TEX 5090",OR(E1456="IN",E1456="C",E1456="Z",E1456="L"),J1456=4),VLOOKUP(_xlfn.MINIFS('FIRE TEX 5090'!$J$5:$J$43,'FIRE TEX 5090'!$J$5:$J$43,"&gt;="&amp;M1456),'FIRE TEX 5090'!$J$5:$P$43,IF(L1456="F-15",2,IF(L1456="F-30",3,IF(L1456="F-60",4,IF(L1456="F-90",5,IF(L1456="F-120",6,IF(L1456="F-150",7,0)))))),0),0)+IF(AND(O1456="FIRE TEX 5090",E1456="CJ",J1456=3),VLOOKUP(_xlfn.MINIFS('FIRE TEX 5090'!$R$5:$R$30,'FIRE TEX 5090'!$R$5:$R$30,"&gt;="&amp;M1456),'FIRE TEX 5090'!$R$5:$W$30,IF(L1456="F-15",2,IF(L1456="F-30",3,IF(L1456="F-60",4,IF(L1456="F-90",5,IF(L1456="F-120",6,IF(L1456="F-150",7,0)))))),0),0)+IF(AND(O1456="FIRE TEX 5090",E1456="CJ",J1456=4),VLOOKUP(_xlfn.MINIFS('FIRE TEX 5090'!$Y$5:$Y$39,'FIRE TEX 5090'!$Y$5:$Y$39,"&gt;="&amp;M1456),'FIRE TEX 5090'!$Y$5:$AD$39,IF(L1456="F-15",2,IF(L1456="F-30",3,IF(L1456="F-60",4,IF(L1456="F-90",5,IF(L1456="F-120",6,IF(L1456="F-150",7,0)))))),0),0)+IF(AND(O1456="FIRE TEX 5120",OR(E1456="IN",E1456="C",E1456="Z",E1456="L"),J1456=3),VLOOKUP(_xlfn.MINIFS('FIRE TEX 5120'!$B$5:$B$40,'FIRE TEX 5120'!$B$5:$B$40,"&gt;="&amp;M1456),'FIRE TEX 5120'!$B$5:$G$40,IF(L1456="F-15",2,IF(L1456="F-30",3,IF(L1456="F-60",4,IF(L1456="F-90",5,IF(L1456="F-120",6,0))))),0),0)+IF(AND(O1456="FIRE TEX 5120",OR(E1456="IN",E1456="C",E1456="Z",E1456="L"),J1456=4),VLOOKUP(_xlfn.MINIFS('FIRE TEX 5120'!$H$4:$H$40,'FIRE TEX 5120'!$H$4:$H$40,"&gt;="&amp;M1456),'FIRE TEX 5120'!$H$4:$M$40,IF(L1456="F-15",2,IF(L1456="F-30",3,IF(L1456="F-60",4,IF(L1456="F-90",5,IF(L1456="F-120",6,0))))),0),0)+IF(AND(O1456="FIRE TEX 5120",E1456="CJ"),VLOOKUP(_xlfn.MINIFS('FIRE TEX 5120'!$O$5:$O$40,'FIRE TEX 5120'!$O$5:$O$40,"&gt;="&amp;M1456),'FIRE TEX 5120'!$O$5:$T$40,IF(L1456="F-15",2,IF(L1456="F-30",3,IF(L1456="F-60",4,IF(L1456="F-90",5,IF(L1456="F-120",6,0))))),0),0)</f>
        <v>0</v>
      </c>
      <c r="Q1456" s="46">
        <f t="shared" si="134"/>
        <v>0</v>
      </c>
      <c r="R1456" s="46">
        <f t="shared" si="135"/>
        <v>0</v>
      </c>
      <c r="S1456" s="46" t="e">
        <f t="shared" si="136"/>
        <v>#VALUE!</v>
      </c>
      <c r="T1456" s="677">
        <f t="shared" si="137"/>
        <v>0</v>
      </c>
      <c r="U1456" s="80">
        <f>(IF(O1456="Stofire",(S1456*#REF!),0))+(IF(O1456="Fire Control",(S1456*$U$2),0))+(IF(O1456="Fire Tex",(S1456*$U$3),0))+(IF(O1456="WB7",(S1456*#REF!),0)+(IF(O1456="FX 2003",(S1456*$U$5),0)))</f>
        <v>0</v>
      </c>
      <c r="V1456" s="651">
        <f t="shared" si="138"/>
        <v>0</v>
      </c>
    </row>
    <row r="1457" spans="4:22" x14ac:dyDescent="0.25">
      <c r="D1457" s="118">
        <f>+CUBICACION!D1456</f>
        <v>0</v>
      </c>
      <c r="E1457" s="118">
        <f>+CUBICACION!F1456</f>
        <v>0</v>
      </c>
      <c r="F1457" s="118">
        <f>+CUBICACION!E1456</f>
        <v>0</v>
      </c>
      <c r="G1457" s="118">
        <v>12</v>
      </c>
      <c r="H1457" s="118">
        <v>2</v>
      </c>
      <c r="I1457" s="820">
        <v>26385</v>
      </c>
      <c r="J1457" s="118">
        <f>+CUBICACION!J1456</f>
        <v>0</v>
      </c>
      <c r="K1457" s="118">
        <v>4236</v>
      </c>
      <c r="L1457" s="118">
        <f>+CUBICACION!L1456</f>
        <v>0</v>
      </c>
      <c r="M1457" s="64">
        <f>+CUBICACION!M1456</f>
        <v>0</v>
      </c>
      <c r="N1457" s="824" t="str">
        <f>+CUBICACION!N1456</f>
        <v/>
      </c>
      <c r="O1457" s="675">
        <f>+CUBICACION!O1456</f>
        <v>0</v>
      </c>
      <c r="P1457" s="15">
        <f>IF(O1457="Fire Control",VLOOKUP(_xlfn.MINIFS('FIRE CONTROL'!$C$4:$C$37,'FIRE CONTROL'!$C$4:$C$37,"&gt;="&amp;M1457),'FIRE CONTROL'!$C$4:$G$37,IF(L1457="F-15",2,IF(L1457="F-30",3,IF(L1457="F-60",4,IF(L1457="F-90",5,0)))),0),0)+IF(AND(O1457="FIRE TEX 5062",OR(E1457="IN",E1457="C",E1457="Z",E1457="L"),J1457=3),VLOOKUP(_xlfn.MINIFS('FIRE TEX 5062'!$B$4:$B$34,'FIRE TEX 5062'!$B$4:$B$34,"&gt;="&amp;M1457),'FIRE TEX 5062'!$B$4:$F$34,IF(L1457="F-15",2,IF(L1457="F-30",3,IF(L1457="F-60",4,IF(L1457="F-90",5,0)))),0),0)+IF(AND(O1457="FIRE TEX 5062",OR(E1457="IN",E1457="C",E1457="Z",E1457="L"),J1457=4),VLOOKUP(_xlfn.MINIFS('FIRE TEX 5062'!$G$4:$G$34,'FIRE TEX 5062'!$G$4:$G$34,"&gt;="&amp;M1457),'FIRE TEX 5062'!$G$4:$K$34,IF(L1457="F-15",2,IF(L1457="F-30",3,IF(L1457="F-60",4,IF(L1457="F-90",5,0)))),0),0)+IF(AND(O1457="FIRE TEX 5062",E1457="CJ",J1457=3),VLOOKUP(_xlfn.MINIFS('FIRE TEX 5062'!$L$4:$L$34,'FIRE TEX 5062'!$L$4:$L$34,"&gt;="&amp;M1457),'FIRE TEX 5062'!$L$4:$P$34,IF(L1457="F-15",2,IF(L1457="F-30",3,IF(L1457="F-60",4,IF(L1457="F-90",5,0)))),0),0)+IF(AND(O1457="FIRE TEX 5062",E1457="CJ",J1457=4),VLOOKUP(_xlfn.MINIFS('FIRE TEX 5062'!$Q$3:$Q$34,'FIRE TEX 5062'!$Q$3:$Q$34,"&gt;="&amp;M1457),'FIRE TEX 5062'!$Q$3:$U$34,IF(L1457="F-15",2,IF(L1457="F-30",3,IF(L1457="F-60",4,IF(L1457="F-90",5,0)))),0),0)+IF(AND(O1457="FIRE TEX 5090",OR(E1457="IN",E1457="C",E1457="Z",E1457="L"),J1457=3),VLOOKUP(_xlfn.MINIFS('FIRE TEX 5090'!$B$5:$B$43,'FIRE TEX 5090'!$B$5:$B$43,"&gt;="&amp;M1457),'FIRE TEX 5090'!$B$5:$H$43,IF(L1457="F-15",2,IF(L1457="F-30",3,IF(L1457="F-60",4,IF(L1457="F-90",5,IF(L1457="F-120",6,IF(L1457="F-150",7,0)))))),0),0)+IF(AND(O1457="FIRE TEX 5090",OR(E1457="IN",E1457="C",E1457="Z",E1457="L"),J1457=4),VLOOKUP(_xlfn.MINIFS('FIRE TEX 5090'!$J$5:$J$43,'FIRE TEX 5090'!$J$5:$J$43,"&gt;="&amp;M1457),'FIRE TEX 5090'!$J$5:$P$43,IF(L1457="F-15",2,IF(L1457="F-30",3,IF(L1457="F-60",4,IF(L1457="F-90",5,IF(L1457="F-120",6,IF(L1457="F-150",7,0)))))),0),0)+IF(AND(O1457="FIRE TEX 5090",E1457="CJ",J1457=3),VLOOKUP(_xlfn.MINIFS('FIRE TEX 5090'!$R$5:$R$30,'FIRE TEX 5090'!$R$5:$R$30,"&gt;="&amp;M1457),'FIRE TEX 5090'!$R$5:$W$30,IF(L1457="F-15",2,IF(L1457="F-30",3,IF(L1457="F-60",4,IF(L1457="F-90",5,IF(L1457="F-120",6,IF(L1457="F-150",7,0)))))),0),0)+IF(AND(O1457="FIRE TEX 5090",E1457="CJ",J1457=4),VLOOKUP(_xlfn.MINIFS('FIRE TEX 5090'!$Y$5:$Y$39,'FIRE TEX 5090'!$Y$5:$Y$39,"&gt;="&amp;M1457),'FIRE TEX 5090'!$Y$5:$AD$39,IF(L1457="F-15",2,IF(L1457="F-30",3,IF(L1457="F-60",4,IF(L1457="F-90",5,IF(L1457="F-120",6,IF(L1457="F-150",7,0)))))),0),0)+IF(AND(O1457="FIRE TEX 5120",OR(E1457="IN",E1457="C",E1457="Z",E1457="L"),J1457=3),VLOOKUP(_xlfn.MINIFS('FIRE TEX 5120'!$B$5:$B$40,'FIRE TEX 5120'!$B$5:$B$40,"&gt;="&amp;M1457),'FIRE TEX 5120'!$B$5:$G$40,IF(L1457="F-15",2,IF(L1457="F-30",3,IF(L1457="F-60",4,IF(L1457="F-90",5,IF(L1457="F-120",6,0))))),0),0)+IF(AND(O1457="FIRE TEX 5120",OR(E1457="IN",E1457="C",E1457="Z",E1457="L"),J1457=4),VLOOKUP(_xlfn.MINIFS('FIRE TEX 5120'!$H$4:$H$40,'FIRE TEX 5120'!$H$4:$H$40,"&gt;="&amp;M1457),'FIRE TEX 5120'!$H$4:$M$40,IF(L1457="F-15",2,IF(L1457="F-30",3,IF(L1457="F-60",4,IF(L1457="F-90",5,IF(L1457="F-120",6,0))))),0),0)+IF(AND(O1457="FIRE TEX 5120",E1457="CJ"),VLOOKUP(_xlfn.MINIFS('FIRE TEX 5120'!$O$5:$O$40,'FIRE TEX 5120'!$O$5:$O$40,"&gt;="&amp;M1457),'FIRE TEX 5120'!$O$5:$T$40,IF(L1457="F-15",2,IF(L1457="F-30",3,IF(L1457="F-60",4,IF(L1457="F-90",5,IF(L1457="F-120",6,0))))),0),0)</f>
        <v>0</v>
      </c>
      <c r="Q1457" s="46">
        <f t="shared" si="134"/>
        <v>0</v>
      </c>
      <c r="R1457" s="46">
        <f t="shared" si="135"/>
        <v>0</v>
      </c>
      <c r="S1457" s="46" t="e">
        <f t="shared" si="136"/>
        <v>#VALUE!</v>
      </c>
      <c r="T1457" s="677">
        <f t="shared" si="137"/>
        <v>0</v>
      </c>
      <c r="U1457" s="80">
        <f>(IF(O1457="Stofire",(S1457*#REF!),0))+(IF(O1457="Fire Control",(S1457*$U$2),0))+(IF(O1457="Fire Tex",(S1457*$U$3),0))+(IF(O1457="WB7",(S1457*#REF!),0)+(IF(O1457="FX 2003",(S1457*$U$5),0)))</f>
        <v>0</v>
      </c>
      <c r="V1457" s="651">
        <f t="shared" si="138"/>
        <v>0</v>
      </c>
    </row>
    <row r="1458" spans="4:22" x14ac:dyDescent="0.25">
      <c r="D1458" s="118">
        <f>+CUBICACION!D1457</f>
        <v>0</v>
      </c>
      <c r="E1458" s="118">
        <f>+CUBICACION!F1457</f>
        <v>0</v>
      </c>
      <c r="F1458" s="118">
        <f>+CUBICACION!E1457</f>
        <v>0</v>
      </c>
      <c r="G1458" s="118">
        <v>12</v>
      </c>
      <c r="H1458" s="118">
        <v>2</v>
      </c>
      <c r="I1458" s="820">
        <v>26385</v>
      </c>
      <c r="J1458" s="118">
        <f>+CUBICACION!J1457</f>
        <v>0</v>
      </c>
      <c r="K1458" s="118">
        <v>4237</v>
      </c>
      <c r="L1458" s="118">
        <f>+CUBICACION!L1457</f>
        <v>0</v>
      </c>
      <c r="M1458" s="64">
        <f>+CUBICACION!M1457</f>
        <v>0</v>
      </c>
      <c r="N1458" s="824" t="str">
        <f>+CUBICACION!N1457</f>
        <v/>
      </c>
      <c r="O1458" s="675">
        <f>+CUBICACION!O1457</f>
        <v>0</v>
      </c>
      <c r="P1458" s="15">
        <f>IF(O1458="Fire Control",VLOOKUP(_xlfn.MINIFS('FIRE CONTROL'!$C$4:$C$37,'FIRE CONTROL'!$C$4:$C$37,"&gt;="&amp;M1458),'FIRE CONTROL'!$C$4:$G$37,IF(L1458="F-15",2,IF(L1458="F-30",3,IF(L1458="F-60",4,IF(L1458="F-90",5,0)))),0),0)+IF(AND(O1458="FIRE TEX 5062",OR(E1458="IN",E1458="C",E1458="Z",E1458="L"),J1458=3),VLOOKUP(_xlfn.MINIFS('FIRE TEX 5062'!$B$4:$B$34,'FIRE TEX 5062'!$B$4:$B$34,"&gt;="&amp;M1458),'FIRE TEX 5062'!$B$4:$F$34,IF(L1458="F-15",2,IF(L1458="F-30",3,IF(L1458="F-60",4,IF(L1458="F-90",5,0)))),0),0)+IF(AND(O1458="FIRE TEX 5062",OR(E1458="IN",E1458="C",E1458="Z",E1458="L"),J1458=4),VLOOKUP(_xlfn.MINIFS('FIRE TEX 5062'!$G$4:$G$34,'FIRE TEX 5062'!$G$4:$G$34,"&gt;="&amp;M1458),'FIRE TEX 5062'!$G$4:$K$34,IF(L1458="F-15",2,IF(L1458="F-30",3,IF(L1458="F-60",4,IF(L1458="F-90",5,0)))),0),0)+IF(AND(O1458="FIRE TEX 5062",E1458="CJ",J1458=3),VLOOKUP(_xlfn.MINIFS('FIRE TEX 5062'!$L$4:$L$34,'FIRE TEX 5062'!$L$4:$L$34,"&gt;="&amp;M1458),'FIRE TEX 5062'!$L$4:$P$34,IF(L1458="F-15",2,IF(L1458="F-30",3,IF(L1458="F-60",4,IF(L1458="F-90",5,0)))),0),0)+IF(AND(O1458="FIRE TEX 5062",E1458="CJ",J1458=4),VLOOKUP(_xlfn.MINIFS('FIRE TEX 5062'!$Q$3:$Q$34,'FIRE TEX 5062'!$Q$3:$Q$34,"&gt;="&amp;M1458),'FIRE TEX 5062'!$Q$3:$U$34,IF(L1458="F-15",2,IF(L1458="F-30",3,IF(L1458="F-60",4,IF(L1458="F-90",5,0)))),0),0)+IF(AND(O1458="FIRE TEX 5090",OR(E1458="IN",E1458="C",E1458="Z",E1458="L"),J1458=3),VLOOKUP(_xlfn.MINIFS('FIRE TEX 5090'!$B$5:$B$43,'FIRE TEX 5090'!$B$5:$B$43,"&gt;="&amp;M1458),'FIRE TEX 5090'!$B$5:$H$43,IF(L1458="F-15",2,IF(L1458="F-30",3,IF(L1458="F-60",4,IF(L1458="F-90",5,IF(L1458="F-120",6,IF(L1458="F-150",7,0)))))),0),0)+IF(AND(O1458="FIRE TEX 5090",OR(E1458="IN",E1458="C",E1458="Z",E1458="L"),J1458=4),VLOOKUP(_xlfn.MINIFS('FIRE TEX 5090'!$J$5:$J$43,'FIRE TEX 5090'!$J$5:$J$43,"&gt;="&amp;M1458),'FIRE TEX 5090'!$J$5:$P$43,IF(L1458="F-15",2,IF(L1458="F-30",3,IF(L1458="F-60",4,IF(L1458="F-90",5,IF(L1458="F-120",6,IF(L1458="F-150",7,0)))))),0),0)+IF(AND(O1458="FIRE TEX 5090",E1458="CJ",J1458=3),VLOOKUP(_xlfn.MINIFS('FIRE TEX 5090'!$R$5:$R$30,'FIRE TEX 5090'!$R$5:$R$30,"&gt;="&amp;M1458),'FIRE TEX 5090'!$R$5:$W$30,IF(L1458="F-15",2,IF(L1458="F-30",3,IF(L1458="F-60",4,IF(L1458="F-90",5,IF(L1458="F-120",6,IF(L1458="F-150",7,0)))))),0),0)+IF(AND(O1458="FIRE TEX 5090",E1458="CJ",J1458=4),VLOOKUP(_xlfn.MINIFS('FIRE TEX 5090'!$Y$5:$Y$39,'FIRE TEX 5090'!$Y$5:$Y$39,"&gt;="&amp;M1458),'FIRE TEX 5090'!$Y$5:$AD$39,IF(L1458="F-15",2,IF(L1458="F-30",3,IF(L1458="F-60",4,IF(L1458="F-90",5,IF(L1458="F-120",6,IF(L1458="F-150",7,0)))))),0),0)+IF(AND(O1458="FIRE TEX 5120",OR(E1458="IN",E1458="C",E1458="Z",E1458="L"),J1458=3),VLOOKUP(_xlfn.MINIFS('FIRE TEX 5120'!$B$5:$B$40,'FIRE TEX 5120'!$B$5:$B$40,"&gt;="&amp;M1458),'FIRE TEX 5120'!$B$5:$G$40,IF(L1458="F-15",2,IF(L1458="F-30",3,IF(L1458="F-60",4,IF(L1458="F-90",5,IF(L1458="F-120",6,0))))),0),0)+IF(AND(O1458="FIRE TEX 5120",OR(E1458="IN",E1458="C",E1458="Z",E1458="L"),J1458=4),VLOOKUP(_xlfn.MINIFS('FIRE TEX 5120'!$H$4:$H$40,'FIRE TEX 5120'!$H$4:$H$40,"&gt;="&amp;M1458),'FIRE TEX 5120'!$H$4:$M$40,IF(L1458="F-15",2,IF(L1458="F-30",3,IF(L1458="F-60",4,IF(L1458="F-90",5,IF(L1458="F-120",6,0))))),0),0)+IF(AND(O1458="FIRE TEX 5120",E1458="CJ"),VLOOKUP(_xlfn.MINIFS('FIRE TEX 5120'!$O$5:$O$40,'FIRE TEX 5120'!$O$5:$O$40,"&gt;="&amp;M1458),'FIRE TEX 5120'!$O$5:$T$40,IF(L1458="F-15",2,IF(L1458="F-30",3,IF(L1458="F-60",4,IF(L1458="F-90",5,IF(L1458="F-120",6,0))))),0),0)</f>
        <v>0</v>
      </c>
      <c r="Q1458" s="46">
        <f t="shared" si="134"/>
        <v>0</v>
      </c>
      <c r="R1458" s="46">
        <f t="shared" si="135"/>
        <v>0</v>
      </c>
      <c r="S1458" s="46" t="e">
        <f t="shared" si="136"/>
        <v>#VALUE!</v>
      </c>
      <c r="T1458" s="677">
        <f t="shared" si="137"/>
        <v>0</v>
      </c>
      <c r="U1458" s="80">
        <f>(IF(O1458="Stofire",(S1458*#REF!),0))+(IF(O1458="Fire Control",(S1458*$U$2),0))+(IF(O1458="Fire Tex",(S1458*$U$3),0))+(IF(O1458="WB7",(S1458*#REF!),0)+(IF(O1458="FX 2003",(S1458*$U$5),0)))</f>
        <v>0</v>
      </c>
      <c r="V1458" s="651">
        <f t="shared" si="138"/>
        <v>0</v>
      </c>
    </row>
    <row r="1459" spans="4:22" x14ac:dyDescent="0.25">
      <c r="D1459" s="118">
        <f>+CUBICACION!D1458</f>
        <v>0</v>
      </c>
      <c r="E1459" s="118">
        <f>+CUBICACION!F1458</f>
        <v>0</v>
      </c>
      <c r="F1459" s="118">
        <f>+CUBICACION!E1458</f>
        <v>0</v>
      </c>
      <c r="G1459" s="118">
        <v>12</v>
      </c>
      <c r="H1459" s="118">
        <v>2</v>
      </c>
      <c r="I1459" s="820">
        <v>26385</v>
      </c>
      <c r="J1459" s="118">
        <f>+CUBICACION!J1458</f>
        <v>0</v>
      </c>
      <c r="K1459" s="118">
        <v>4238</v>
      </c>
      <c r="L1459" s="118">
        <f>+CUBICACION!L1458</f>
        <v>0</v>
      </c>
      <c r="M1459" s="64">
        <f>+CUBICACION!M1458</f>
        <v>0</v>
      </c>
      <c r="N1459" s="824" t="str">
        <f>+CUBICACION!N1458</f>
        <v/>
      </c>
      <c r="O1459" s="675">
        <f>+CUBICACION!O1458</f>
        <v>0</v>
      </c>
      <c r="P1459" s="15">
        <f>IF(O1459="Fire Control",VLOOKUP(_xlfn.MINIFS('FIRE CONTROL'!$C$4:$C$37,'FIRE CONTROL'!$C$4:$C$37,"&gt;="&amp;M1459),'FIRE CONTROL'!$C$4:$G$37,IF(L1459="F-15",2,IF(L1459="F-30",3,IF(L1459="F-60",4,IF(L1459="F-90",5,0)))),0),0)+IF(AND(O1459="FIRE TEX 5062",OR(E1459="IN",E1459="C",E1459="Z",E1459="L"),J1459=3),VLOOKUP(_xlfn.MINIFS('FIRE TEX 5062'!$B$4:$B$34,'FIRE TEX 5062'!$B$4:$B$34,"&gt;="&amp;M1459),'FIRE TEX 5062'!$B$4:$F$34,IF(L1459="F-15",2,IF(L1459="F-30",3,IF(L1459="F-60",4,IF(L1459="F-90",5,0)))),0),0)+IF(AND(O1459="FIRE TEX 5062",OR(E1459="IN",E1459="C",E1459="Z",E1459="L"),J1459=4),VLOOKUP(_xlfn.MINIFS('FIRE TEX 5062'!$G$4:$G$34,'FIRE TEX 5062'!$G$4:$G$34,"&gt;="&amp;M1459),'FIRE TEX 5062'!$G$4:$K$34,IF(L1459="F-15",2,IF(L1459="F-30",3,IF(L1459="F-60",4,IF(L1459="F-90",5,0)))),0),0)+IF(AND(O1459="FIRE TEX 5062",E1459="CJ",J1459=3),VLOOKUP(_xlfn.MINIFS('FIRE TEX 5062'!$L$4:$L$34,'FIRE TEX 5062'!$L$4:$L$34,"&gt;="&amp;M1459),'FIRE TEX 5062'!$L$4:$P$34,IF(L1459="F-15",2,IF(L1459="F-30",3,IF(L1459="F-60",4,IF(L1459="F-90",5,0)))),0),0)+IF(AND(O1459="FIRE TEX 5062",E1459="CJ",J1459=4),VLOOKUP(_xlfn.MINIFS('FIRE TEX 5062'!$Q$3:$Q$34,'FIRE TEX 5062'!$Q$3:$Q$34,"&gt;="&amp;M1459),'FIRE TEX 5062'!$Q$3:$U$34,IF(L1459="F-15",2,IF(L1459="F-30",3,IF(L1459="F-60",4,IF(L1459="F-90",5,0)))),0),0)+IF(AND(O1459="FIRE TEX 5090",OR(E1459="IN",E1459="C",E1459="Z",E1459="L"),J1459=3),VLOOKUP(_xlfn.MINIFS('FIRE TEX 5090'!$B$5:$B$43,'FIRE TEX 5090'!$B$5:$B$43,"&gt;="&amp;M1459),'FIRE TEX 5090'!$B$5:$H$43,IF(L1459="F-15",2,IF(L1459="F-30",3,IF(L1459="F-60",4,IF(L1459="F-90",5,IF(L1459="F-120",6,IF(L1459="F-150",7,0)))))),0),0)+IF(AND(O1459="FIRE TEX 5090",OR(E1459="IN",E1459="C",E1459="Z",E1459="L"),J1459=4),VLOOKUP(_xlfn.MINIFS('FIRE TEX 5090'!$J$5:$J$43,'FIRE TEX 5090'!$J$5:$J$43,"&gt;="&amp;M1459),'FIRE TEX 5090'!$J$5:$P$43,IF(L1459="F-15",2,IF(L1459="F-30",3,IF(L1459="F-60",4,IF(L1459="F-90",5,IF(L1459="F-120",6,IF(L1459="F-150",7,0)))))),0),0)+IF(AND(O1459="FIRE TEX 5090",E1459="CJ",J1459=3),VLOOKUP(_xlfn.MINIFS('FIRE TEX 5090'!$R$5:$R$30,'FIRE TEX 5090'!$R$5:$R$30,"&gt;="&amp;M1459),'FIRE TEX 5090'!$R$5:$W$30,IF(L1459="F-15",2,IF(L1459="F-30",3,IF(L1459="F-60",4,IF(L1459="F-90",5,IF(L1459="F-120",6,IF(L1459="F-150",7,0)))))),0),0)+IF(AND(O1459="FIRE TEX 5090",E1459="CJ",J1459=4),VLOOKUP(_xlfn.MINIFS('FIRE TEX 5090'!$Y$5:$Y$39,'FIRE TEX 5090'!$Y$5:$Y$39,"&gt;="&amp;M1459),'FIRE TEX 5090'!$Y$5:$AD$39,IF(L1459="F-15",2,IF(L1459="F-30",3,IF(L1459="F-60",4,IF(L1459="F-90",5,IF(L1459="F-120",6,IF(L1459="F-150",7,0)))))),0),0)+IF(AND(O1459="FIRE TEX 5120",OR(E1459="IN",E1459="C",E1459="Z",E1459="L"),J1459=3),VLOOKUP(_xlfn.MINIFS('FIRE TEX 5120'!$B$5:$B$40,'FIRE TEX 5120'!$B$5:$B$40,"&gt;="&amp;M1459),'FIRE TEX 5120'!$B$5:$G$40,IF(L1459="F-15",2,IF(L1459="F-30",3,IF(L1459="F-60",4,IF(L1459="F-90",5,IF(L1459="F-120",6,0))))),0),0)+IF(AND(O1459="FIRE TEX 5120",OR(E1459="IN",E1459="C",E1459="Z",E1459="L"),J1459=4),VLOOKUP(_xlfn.MINIFS('FIRE TEX 5120'!$H$4:$H$40,'FIRE TEX 5120'!$H$4:$H$40,"&gt;="&amp;M1459),'FIRE TEX 5120'!$H$4:$M$40,IF(L1459="F-15",2,IF(L1459="F-30",3,IF(L1459="F-60",4,IF(L1459="F-90",5,IF(L1459="F-120",6,0))))),0),0)+IF(AND(O1459="FIRE TEX 5120",E1459="CJ"),VLOOKUP(_xlfn.MINIFS('FIRE TEX 5120'!$O$5:$O$40,'FIRE TEX 5120'!$O$5:$O$40,"&gt;="&amp;M1459),'FIRE TEX 5120'!$O$5:$T$40,IF(L1459="F-15",2,IF(L1459="F-30",3,IF(L1459="F-60",4,IF(L1459="F-90",5,IF(L1459="F-120",6,0))))),0),0)</f>
        <v>0</v>
      </c>
      <c r="Q1459" s="46">
        <f t="shared" si="134"/>
        <v>0</v>
      </c>
      <c r="R1459" s="46">
        <f t="shared" si="135"/>
        <v>0</v>
      </c>
      <c r="S1459" s="46" t="e">
        <f t="shared" si="136"/>
        <v>#VALUE!</v>
      </c>
      <c r="T1459" s="677">
        <f t="shared" si="137"/>
        <v>0</v>
      </c>
      <c r="U1459" s="80">
        <f>(IF(O1459="Stofire",(S1459*#REF!),0))+(IF(O1459="Fire Control",(S1459*$U$2),0))+(IF(O1459="Fire Tex",(S1459*$U$3),0))+(IF(O1459="WB7",(S1459*#REF!),0)+(IF(O1459="FX 2003",(S1459*$U$5),0)))</f>
        <v>0</v>
      </c>
      <c r="V1459" s="651">
        <f t="shared" si="138"/>
        <v>0</v>
      </c>
    </row>
    <row r="1460" spans="4:22" x14ac:dyDescent="0.25">
      <c r="D1460" s="118">
        <f>+CUBICACION!D1459</f>
        <v>0</v>
      </c>
      <c r="E1460" s="118">
        <f>+CUBICACION!F1459</f>
        <v>0</v>
      </c>
      <c r="F1460" s="118">
        <f>+CUBICACION!E1459</f>
        <v>0</v>
      </c>
      <c r="G1460" s="118">
        <v>12</v>
      </c>
      <c r="H1460" s="118">
        <v>2</v>
      </c>
      <c r="I1460" s="820">
        <v>26385</v>
      </c>
      <c r="J1460" s="118">
        <f>+CUBICACION!J1459</f>
        <v>0</v>
      </c>
      <c r="K1460" s="118">
        <v>4239</v>
      </c>
      <c r="L1460" s="118">
        <f>+CUBICACION!L1459</f>
        <v>0</v>
      </c>
      <c r="M1460" s="64">
        <f>+CUBICACION!M1459</f>
        <v>0</v>
      </c>
      <c r="N1460" s="824" t="str">
        <f>+CUBICACION!N1459</f>
        <v/>
      </c>
      <c r="O1460" s="675">
        <f>+CUBICACION!O1459</f>
        <v>0</v>
      </c>
      <c r="P1460" s="15">
        <f>IF(O1460="Fire Control",VLOOKUP(_xlfn.MINIFS('FIRE CONTROL'!$C$4:$C$37,'FIRE CONTROL'!$C$4:$C$37,"&gt;="&amp;M1460),'FIRE CONTROL'!$C$4:$G$37,IF(L1460="F-15",2,IF(L1460="F-30",3,IF(L1460="F-60",4,IF(L1460="F-90",5,0)))),0),0)+IF(AND(O1460="FIRE TEX 5062",OR(E1460="IN",E1460="C",E1460="Z",E1460="L"),J1460=3),VLOOKUP(_xlfn.MINIFS('FIRE TEX 5062'!$B$4:$B$34,'FIRE TEX 5062'!$B$4:$B$34,"&gt;="&amp;M1460),'FIRE TEX 5062'!$B$4:$F$34,IF(L1460="F-15",2,IF(L1460="F-30",3,IF(L1460="F-60",4,IF(L1460="F-90",5,0)))),0),0)+IF(AND(O1460="FIRE TEX 5062",OR(E1460="IN",E1460="C",E1460="Z",E1460="L"),J1460=4),VLOOKUP(_xlfn.MINIFS('FIRE TEX 5062'!$G$4:$G$34,'FIRE TEX 5062'!$G$4:$G$34,"&gt;="&amp;M1460),'FIRE TEX 5062'!$G$4:$K$34,IF(L1460="F-15",2,IF(L1460="F-30",3,IF(L1460="F-60",4,IF(L1460="F-90",5,0)))),0),0)+IF(AND(O1460="FIRE TEX 5062",E1460="CJ",J1460=3),VLOOKUP(_xlfn.MINIFS('FIRE TEX 5062'!$L$4:$L$34,'FIRE TEX 5062'!$L$4:$L$34,"&gt;="&amp;M1460),'FIRE TEX 5062'!$L$4:$P$34,IF(L1460="F-15",2,IF(L1460="F-30",3,IF(L1460="F-60",4,IF(L1460="F-90",5,0)))),0),0)+IF(AND(O1460="FIRE TEX 5062",E1460="CJ",J1460=4),VLOOKUP(_xlfn.MINIFS('FIRE TEX 5062'!$Q$3:$Q$34,'FIRE TEX 5062'!$Q$3:$Q$34,"&gt;="&amp;M1460),'FIRE TEX 5062'!$Q$3:$U$34,IF(L1460="F-15",2,IF(L1460="F-30",3,IF(L1460="F-60",4,IF(L1460="F-90",5,0)))),0),0)+IF(AND(O1460="FIRE TEX 5090",OR(E1460="IN",E1460="C",E1460="Z",E1460="L"),J1460=3),VLOOKUP(_xlfn.MINIFS('FIRE TEX 5090'!$B$5:$B$43,'FIRE TEX 5090'!$B$5:$B$43,"&gt;="&amp;M1460),'FIRE TEX 5090'!$B$5:$H$43,IF(L1460="F-15",2,IF(L1460="F-30",3,IF(L1460="F-60",4,IF(L1460="F-90",5,IF(L1460="F-120",6,IF(L1460="F-150",7,0)))))),0),0)+IF(AND(O1460="FIRE TEX 5090",OR(E1460="IN",E1460="C",E1460="Z",E1460="L"),J1460=4),VLOOKUP(_xlfn.MINIFS('FIRE TEX 5090'!$J$5:$J$43,'FIRE TEX 5090'!$J$5:$J$43,"&gt;="&amp;M1460),'FIRE TEX 5090'!$J$5:$P$43,IF(L1460="F-15",2,IF(L1460="F-30",3,IF(L1460="F-60",4,IF(L1460="F-90",5,IF(L1460="F-120",6,IF(L1460="F-150",7,0)))))),0),0)+IF(AND(O1460="FIRE TEX 5090",E1460="CJ",J1460=3),VLOOKUP(_xlfn.MINIFS('FIRE TEX 5090'!$R$5:$R$30,'FIRE TEX 5090'!$R$5:$R$30,"&gt;="&amp;M1460),'FIRE TEX 5090'!$R$5:$W$30,IF(L1460="F-15",2,IF(L1460="F-30",3,IF(L1460="F-60",4,IF(L1460="F-90",5,IF(L1460="F-120",6,IF(L1460="F-150",7,0)))))),0),0)+IF(AND(O1460="FIRE TEX 5090",E1460="CJ",J1460=4),VLOOKUP(_xlfn.MINIFS('FIRE TEX 5090'!$Y$5:$Y$39,'FIRE TEX 5090'!$Y$5:$Y$39,"&gt;="&amp;M1460),'FIRE TEX 5090'!$Y$5:$AD$39,IF(L1460="F-15",2,IF(L1460="F-30",3,IF(L1460="F-60",4,IF(L1460="F-90",5,IF(L1460="F-120",6,IF(L1460="F-150",7,0)))))),0),0)+IF(AND(O1460="FIRE TEX 5120",OR(E1460="IN",E1460="C",E1460="Z",E1460="L"),J1460=3),VLOOKUP(_xlfn.MINIFS('FIRE TEX 5120'!$B$5:$B$40,'FIRE TEX 5120'!$B$5:$B$40,"&gt;="&amp;M1460),'FIRE TEX 5120'!$B$5:$G$40,IF(L1460="F-15",2,IF(L1460="F-30",3,IF(L1460="F-60",4,IF(L1460="F-90",5,IF(L1460="F-120",6,0))))),0),0)+IF(AND(O1460="FIRE TEX 5120",OR(E1460="IN",E1460="C",E1460="Z",E1460="L"),J1460=4),VLOOKUP(_xlfn.MINIFS('FIRE TEX 5120'!$H$4:$H$40,'FIRE TEX 5120'!$H$4:$H$40,"&gt;="&amp;M1460),'FIRE TEX 5120'!$H$4:$M$40,IF(L1460="F-15",2,IF(L1460="F-30",3,IF(L1460="F-60",4,IF(L1460="F-90",5,IF(L1460="F-120",6,0))))),0),0)+IF(AND(O1460="FIRE TEX 5120",E1460="CJ"),VLOOKUP(_xlfn.MINIFS('FIRE TEX 5120'!$O$5:$O$40,'FIRE TEX 5120'!$O$5:$O$40,"&gt;="&amp;M1460),'FIRE TEX 5120'!$O$5:$T$40,IF(L1460="F-15",2,IF(L1460="F-30",3,IF(L1460="F-60",4,IF(L1460="F-90",5,IF(L1460="F-120",6,0))))),0),0)</f>
        <v>0</v>
      </c>
      <c r="Q1460" s="46">
        <f t="shared" si="134"/>
        <v>0</v>
      </c>
      <c r="R1460" s="46">
        <f t="shared" si="135"/>
        <v>0</v>
      </c>
      <c r="S1460" s="46" t="e">
        <f t="shared" si="136"/>
        <v>#VALUE!</v>
      </c>
      <c r="T1460" s="677">
        <f t="shared" si="137"/>
        <v>0</v>
      </c>
      <c r="U1460" s="80">
        <f>(IF(O1460="Stofire",(S1460*#REF!),0))+(IF(O1460="Fire Control",(S1460*$U$2),0))+(IF(O1460="Fire Tex",(S1460*$U$3),0))+(IF(O1460="WB7",(S1460*#REF!),0)+(IF(O1460="FX 2003",(S1460*$U$5),0)))</f>
        <v>0</v>
      </c>
      <c r="V1460" s="651">
        <f t="shared" si="138"/>
        <v>0</v>
      </c>
    </row>
    <row r="1461" spans="4:22" x14ac:dyDescent="0.25">
      <c r="D1461" s="118">
        <f>+CUBICACION!D1460</f>
        <v>0</v>
      </c>
      <c r="E1461" s="118">
        <f>+CUBICACION!F1460</f>
        <v>0</v>
      </c>
      <c r="F1461" s="118">
        <f>+CUBICACION!E1460</f>
        <v>0</v>
      </c>
      <c r="G1461" s="118">
        <v>12</v>
      </c>
      <c r="H1461" s="118">
        <v>2</v>
      </c>
      <c r="I1461" s="820">
        <v>26385</v>
      </c>
      <c r="J1461" s="118">
        <f>+CUBICACION!J1460</f>
        <v>0</v>
      </c>
      <c r="K1461" s="118">
        <v>4240</v>
      </c>
      <c r="L1461" s="118">
        <f>+CUBICACION!L1460</f>
        <v>0</v>
      </c>
      <c r="M1461" s="64">
        <f>+CUBICACION!M1460</f>
        <v>0</v>
      </c>
      <c r="N1461" s="824" t="str">
        <f>+CUBICACION!N1460</f>
        <v/>
      </c>
      <c r="O1461" s="675">
        <f>+CUBICACION!O1460</f>
        <v>0</v>
      </c>
      <c r="P1461" s="15">
        <f>IF(O1461="Fire Control",VLOOKUP(_xlfn.MINIFS('FIRE CONTROL'!$C$4:$C$37,'FIRE CONTROL'!$C$4:$C$37,"&gt;="&amp;M1461),'FIRE CONTROL'!$C$4:$G$37,IF(L1461="F-15",2,IF(L1461="F-30",3,IF(L1461="F-60",4,IF(L1461="F-90",5,0)))),0),0)+IF(AND(O1461="FIRE TEX 5062",OR(E1461="IN",E1461="C",E1461="Z",E1461="L"),J1461=3),VLOOKUP(_xlfn.MINIFS('FIRE TEX 5062'!$B$4:$B$34,'FIRE TEX 5062'!$B$4:$B$34,"&gt;="&amp;M1461),'FIRE TEX 5062'!$B$4:$F$34,IF(L1461="F-15",2,IF(L1461="F-30",3,IF(L1461="F-60",4,IF(L1461="F-90",5,0)))),0),0)+IF(AND(O1461="FIRE TEX 5062",OR(E1461="IN",E1461="C",E1461="Z",E1461="L"),J1461=4),VLOOKUP(_xlfn.MINIFS('FIRE TEX 5062'!$G$4:$G$34,'FIRE TEX 5062'!$G$4:$G$34,"&gt;="&amp;M1461),'FIRE TEX 5062'!$G$4:$K$34,IF(L1461="F-15",2,IF(L1461="F-30",3,IF(L1461="F-60",4,IF(L1461="F-90",5,0)))),0),0)+IF(AND(O1461="FIRE TEX 5062",E1461="CJ",J1461=3),VLOOKUP(_xlfn.MINIFS('FIRE TEX 5062'!$L$4:$L$34,'FIRE TEX 5062'!$L$4:$L$34,"&gt;="&amp;M1461),'FIRE TEX 5062'!$L$4:$P$34,IF(L1461="F-15",2,IF(L1461="F-30",3,IF(L1461="F-60",4,IF(L1461="F-90",5,0)))),0),0)+IF(AND(O1461="FIRE TEX 5062",E1461="CJ",J1461=4),VLOOKUP(_xlfn.MINIFS('FIRE TEX 5062'!$Q$3:$Q$34,'FIRE TEX 5062'!$Q$3:$Q$34,"&gt;="&amp;M1461),'FIRE TEX 5062'!$Q$3:$U$34,IF(L1461="F-15",2,IF(L1461="F-30",3,IF(L1461="F-60",4,IF(L1461="F-90",5,0)))),0),0)+IF(AND(O1461="FIRE TEX 5090",OR(E1461="IN",E1461="C",E1461="Z",E1461="L"),J1461=3),VLOOKUP(_xlfn.MINIFS('FIRE TEX 5090'!$B$5:$B$43,'FIRE TEX 5090'!$B$5:$B$43,"&gt;="&amp;M1461),'FIRE TEX 5090'!$B$5:$H$43,IF(L1461="F-15",2,IF(L1461="F-30",3,IF(L1461="F-60",4,IF(L1461="F-90",5,IF(L1461="F-120",6,IF(L1461="F-150",7,0)))))),0),0)+IF(AND(O1461="FIRE TEX 5090",OR(E1461="IN",E1461="C",E1461="Z",E1461="L"),J1461=4),VLOOKUP(_xlfn.MINIFS('FIRE TEX 5090'!$J$5:$J$43,'FIRE TEX 5090'!$J$5:$J$43,"&gt;="&amp;M1461),'FIRE TEX 5090'!$J$5:$P$43,IF(L1461="F-15",2,IF(L1461="F-30",3,IF(L1461="F-60",4,IF(L1461="F-90",5,IF(L1461="F-120",6,IF(L1461="F-150",7,0)))))),0),0)+IF(AND(O1461="FIRE TEX 5090",E1461="CJ",J1461=3),VLOOKUP(_xlfn.MINIFS('FIRE TEX 5090'!$R$5:$R$30,'FIRE TEX 5090'!$R$5:$R$30,"&gt;="&amp;M1461),'FIRE TEX 5090'!$R$5:$W$30,IF(L1461="F-15",2,IF(L1461="F-30",3,IF(L1461="F-60",4,IF(L1461="F-90",5,IF(L1461="F-120",6,IF(L1461="F-150",7,0)))))),0),0)+IF(AND(O1461="FIRE TEX 5090",E1461="CJ",J1461=4),VLOOKUP(_xlfn.MINIFS('FIRE TEX 5090'!$Y$5:$Y$39,'FIRE TEX 5090'!$Y$5:$Y$39,"&gt;="&amp;M1461),'FIRE TEX 5090'!$Y$5:$AD$39,IF(L1461="F-15",2,IF(L1461="F-30",3,IF(L1461="F-60",4,IF(L1461="F-90",5,IF(L1461="F-120",6,IF(L1461="F-150",7,0)))))),0),0)+IF(AND(O1461="FIRE TEX 5120",OR(E1461="IN",E1461="C",E1461="Z",E1461="L"),J1461=3),VLOOKUP(_xlfn.MINIFS('FIRE TEX 5120'!$B$5:$B$40,'FIRE TEX 5120'!$B$5:$B$40,"&gt;="&amp;M1461),'FIRE TEX 5120'!$B$5:$G$40,IF(L1461="F-15",2,IF(L1461="F-30",3,IF(L1461="F-60",4,IF(L1461="F-90",5,IF(L1461="F-120",6,0))))),0),0)+IF(AND(O1461="FIRE TEX 5120",OR(E1461="IN",E1461="C",E1461="Z",E1461="L"),J1461=4),VLOOKUP(_xlfn.MINIFS('FIRE TEX 5120'!$H$4:$H$40,'FIRE TEX 5120'!$H$4:$H$40,"&gt;="&amp;M1461),'FIRE TEX 5120'!$H$4:$M$40,IF(L1461="F-15",2,IF(L1461="F-30",3,IF(L1461="F-60",4,IF(L1461="F-90",5,IF(L1461="F-120",6,0))))),0),0)+IF(AND(O1461="FIRE TEX 5120",E1461="CJ"),VLOOKUP(_xlfn.MINIFS('FIRE TEX 5120'!$O$5:$O$40,'FIRE TEX 5120'!$O$5:$O$40,"&gt;="&amp;M1461),'FIRE TEX 5120'!$O$5:$T$40,IF(L1461="F-15",2,IF(L1461="F-30",3,IF(L1461="F-60",4,IF(L1461="F-90",5,IF(L1461="F-120",6,0))))),0),0)</f>
        <v>0</v>
      </c>
      <c r="Q1461" s="46">
        <f t="shared" si="134"/>
        <v>0</v>
      </c>
      <c r="R1461" s="46">
        <f t="shared" si="135"/>
        <v>0</v>
      </c>
      <c r="S1461" s="46" t="e">
        <f t="shared" si="136"/>
        <v>#VALUE!</v>
      </c>
      <c r="T1461" s="677">
        <f t="shared" si="137"/>
        <v>0</v>
      </c>
      <c r="U1461" s="80">
        <f>(IF(O1461="Stofire",(S1461*#REF!),0))+(IF(O1461="Fire Control",(S1461*$U$2),0))+(IF(O1461="Fire Tex",(S1461*$U$3),0))+(IF(O1461="WB7",(S1461*#REF!),0)+(IF(O1461="FX 2003",(S1461*$U$5),0)))</f>
        <v>0</v>
      </c>
      <c r="V1461" s="651">
        <f t="shared" si="138"/>
        <v>0</v>
      </c>
    </row>
    <row r="1462" spans="4:22" x14ac:dyDescent="0.25">
      <c r="D1462" s="118">
        <f>+CUBICACION!D1461</f>
        <v>0</v>
      </c>
      <c r="E1462" s="118">
        <f>+CUBICACION!F1461</f>
        <v>0</v>
      </c>
      <c r="F1462" s="118">
        <f>+CUBICACION!E1461</f>
        <v>0</v>
      </c>
      <c r="G1462" s="118">
        <v>12</v>
      </c>
      <c r="H1462" s="118">
        <v>2</v>
      </c>
      <c r="I1462" s="820">
        <v>26385</v>
      </c>
      <c r="J1462" s="118">
        <f>+CUBICACION!J1461</f>
        <v>0</v>
      </c>
      <c r="K1462" s="118">
        <v>4241</v>
      </c>
      <c r="L1462" s="118">
        <f>+CUBICACION!L1461</f>
        <v>0</v>
      </c>
      <c r="M1462" s="64">
        <f>+CUBICACION!M1461</f>
        <v>0</v>
      </c>
      <c r="N1462" s="824" t="str">
        <f>+CUBICACION!N1461</f>
        <v/>
      </c>
      <c r="O1462" s="675">
        <f>+CUBICACION!O1461</f>
        <v>0</v>
      </c>
      <c r="P1462" s="15">
        <f>IF(O1462="Fire Control",VLOOKUP(_xlfn.MINIFS('FIRE CONTROL'!$C$4:$C$37,'FIRE CONTROL'!$C$4:$C$37,"&gt;="&amp;M1462),'FIRE CONTROL'!$C$4:$G$37,IF(L1462="F-15",2,IF(L1462="F-30",3,IF(L1462="F-60",4,IF(L1462="F-90",5,0)))),0),0)+IF(AND(O1462="FIRE TEX 5062",OR(E1462="IN",E1462="C",E1462="Z",E1462="L"),J1462=3),VLOOKUP(_xlfn.MINIFS('FIRE TEX 5062'!$B$4:$B$34,'FIRE TEX 5062'!$B$4:$B$34,"&gt;="&amp;M1462),'FIRE TEX 5062'!$B$4:$F$34,IF(L1462="F-15",2,IF(L1462="F-30",3,IF(L1462="F-60",4,IF(L1462="F-90",5,0)))),0),0)+IF(AND(O1462="FIRE TEX 5062",OR(E1462="IN",E1462="C",E1462="Z",E1462="L"),J1462=4),VLOOKUP(_xlfn.MINIFS('FIRE TEX 5062'!$G$4:$G$34,'FIRE TEX 5062'!$G$4:$G$34,"&gt;="&amp;M1462),'FIRE TEX 5062'!$G$4:$K$34,IF(L1462="F-15",2,IF(L1462="F-30",3,IF(L1462="F-60",4,IF(L1462="F-90",5,0)))),0),0)+IF(AND(O1462="FIRE TEX 5062",E1462="CJ",J1462=3),VLOOKUP(_xlfn.MINIFS('FIRE TEX 5062'!$L$4:$L$34,'FIRE TEX 5062'!$L$4:$L$34,"&gt;="&amp;M1462),'FIRE TEX 5062'!$L$4:$P$34,IF(L1462="F-15",2,IF(L1462="F-30",3,IF(L1462="F-60",4,IF(L1462="F-90",5,0)))),0),0)+IF(AND(O1462="FIRE TEX 5062",E1462="CJ",J1462=4),VLOOKUP(_xlfn.MINIFS('FIRE TEX 5062'!$Q$3:$Q$34,'FIRE TEX 5062'!$Q$3:$Q$34,"&gt;="&amp;M1462),'FIRE TEX 5062'!$Q$3:$U$34,IF(L1462="F-15",2,IF(L1462="F-30",3,IF(L1462="F-60",4,IF(L1462="F-90",5,0)))),0),0)+IF(AND(O1462="FIRE TEX 5090",OR(E1462="IN",E1462="C",E1462="Z",E1462="L"),J1462=3),VLOOKUP(_xlfn.MINIFS('FIRE TEX 5090'!$B$5:$B$43,'FIRE TEX 5090'!$B$5:$B$43,"&gt;="&amp;M1462),'FIRE TEX 5090'!$B$5:$H$43,IF(L1462="F-15",2,IF(L1462="F-30",3,IF(L1462="F-60",4,IF(L1462="F-90",5,IF(L1462="F-120",6,IF(L1462="F-150",7,0)))))),0),0)+IF(AND(O1462="FIRE TEX 5090",OR(E1462="IN",E1462="C",E1462="Z",E1462="L"),J1462=4),VLOOKUP(_xlfn.MINIFS('FIRE TEX 5090'!$J$5:$J$43,'FIRE TEX 5090'!$J$5:$J$43,"&gt;="&amp;M1462),'FIRE TEX 5090'!$J$5:$P$43,IF(L1462="F-15",2,IF(L1462="F-30",3,IF(L1462="F-60",4,IF(L1462="F-90",5,IF(L1462="F-120",6,IF(L1462="F-150",7,0)))))),0),0)+IF(AND(O1462="FIRE TEX 5090",E1462="CJ",J1462=3),VLOOKUP(_xlfn.MINIFS('FIRE TEX 5090'!$R$5:$R$30,'FIRE TEX 5090'!$R$5:$R$30,"&gt;="&amp;M1462),'FIRE TEX 5090'!$R$5:$W$30,IF(L1462="F-15",2,IF(L1462="F-30",3,IF(L1462="F-60",4,IF(L1462="F-90",5,IF(L1462="F-120",6,IF(L1462="F-150",7,0)))))),0),0)+IF(AND(O1462="FIRE TEX 5090",E1462="CJ",J1462=4),VLOOKUP(_xlfn.MINIFS('FIRE TEX 5090'!$Y$5:$Y$39,'FIRE TEX 5090'!$Y$5:$Y$39,"&gt;="&amp;M1462),'FIRE TEX 5090'!$Y$5:$AD$39,IF(L1462="F-15",2,IF(L1462="F-30",3,IF(L1462="F-60",4,IF(L1462="F-90",5,IF(L1462="F-120",6,IF(L1462="F-150",7,0)))))),0),0)+IF(AND(O1462="FIRE TEX 5120",OR(E1462="IN",E1462="C",E1462="Z",E1462="L"),J1462=3),VLOOKUP(_xlfn.MINIFS('FIRE TEX 5120'!$B$5:$B$40,'FIRE TEX 5120'!$B$5:$B$40,"&gt;="&amp;M1462),'FIRE TEX 5120'!$B$5:$G$40,IF(L1462="F-15",2,IF(L1462="F-30",3,IF(L1462="F-60",4,IF(L1462="F-90",5,IF(L1462="F-120",6,0))))),0),0)+IF(AND(O1462="FIRE TEX 5120",OR(E1462="IN",E1462="C",E1462="Z",E1462="L"),J1462=4),VLOOKUP(_xlfn.MINIFS('FIRE TEX 5120'!$H$4:$H$40,'FIRE TEX 5120'!$H$4:$H$40,"&gt;="&amp;M1462),'FIRE TEX 5120'!$H$4:$M$40,IF(L1462="F-15",2,IF(L1462="F-30",3,IF(L1462="F-60",4,IF(L1462="F-90",5,IF(L1462="F-120",6,0))))),0),0)+IF(AND(O1462="FIRE TEX 5120",E1462="CJ"),VLOOKUP(_xlfn.MINIFS('FIRE TEX 5120'!$O$5:$O$40,'FIRE TEX 5120'!$O$5:$O$40,"&gt;="&amp;M1462),'FIRE TEX 5120'!$O$5:$T$40,IF(L1462="F-15",2,IF(L1462="F-30",3,IF(L1462="F-60",4,IF(L1462="F-90",5,IF(L1462="F-120",6,0))))),0),0)</f>
        <v>0</v>
      </c>
      <c r="Q1462" s="46">
        <f t="shared" si="134"/>
        <v>0</v>
      </c>
      <c r="R1462" s="46">
        <f t="shared" si="135"/>
        <v>0</v>
      </c>
      <c r="S1462" s="46" t="e">
        <f t="shared" si="136"/>
        <v>#VALUE!</v>
      </c>
      <c r="T1462" s="677">
        <f t="shared" si="137"/>
        <v>0</v>
      </c>
      <c r="U1462" s="80">
        <f>(IF(O1462="Stofire",(S1462*#REF!),0))+(IF(O1462="Fire Control",(S1462*$U$2),0))+(IF(O1462="Fire Tex",(S1462*$U$3),0))+(IF(O1462="WB7",(S1462*#REF!),0)+(IF(O1462="FX 2003",(S1462*$U$5),0)))</f>
        <v>0</v>
      </c>
      <c r="V1462" s="651">
        <f t="shared" si="138"/>
        <v>0</v>
      </c>
    </row>
    <row r="1463" spans="4:22" x14ac:dyDescent="0.25">
      <c r="D1463" s="118">
        <f>+CUBICACION!D1462</f>
        <v>0</v>
      </c>
      <c r="E1463" s="118">
        <f>+CUBICACION!F1462</f>
        <v>0</v>
      </c>
      <c r="F1463" s="118">
        <f>+CUBICACION!E1462</f>
        <v>0</v>
      </c>
      <c r="G1463" s="118">
        <v>12</v>
      </c>
      <c r="H1463" s="118">
        <v>2</v>
      </c>
      <c r="I1463" s="820">
        <v>26385</v>
      </c>
      <c r="J1463" s="118">
        <f>+CUBICACION!J1462</f>
        <v>0</v>
      </c>
      <c r="K1463" s="118">
        <v>4242</v>
      </c>
      <c r="L1463" s="118">
        <f>+CUBICACION!L1462</f>
        <v>0</v>
      </c>
      <c r="M1463" s="64">
        <f>+CUBICACION!M1462</f>
        <v>0</v>
      </c>
      <c r="N1463" s="824" t="str">
        <f>+CUBICACION!N1462</f>
        <v/>
      </c>
      <c r="O1463" s="675">
        <f>+CUBICACION!O1462</f>
        <v>0</v>
      </c>
      <c r="P1463" s="15">
        <f>IF(O1463="Fire Control",VLOOKUP(_xlfn.MINIFS('FIRE CONTROL'!$C$4:$C$37,'FIRE CONTROL'!$C$4:$C$37,"&gt;="&amp;M1463),'FIRE CONTROL'!$C$4:$G$37,IF(L1463="F-15",2,IF(L1463="F-30",3,IF(L1463="F-60",4,IF(L1463="F-90",5,0)))),0),0)+IF(AND(O1463="FIRE TEX 5062",OR(E1463="IN",E1463="C",E1463="Z",E1463="L"),J1463=3),VLOOKUP(_xlfn.MINIFS('FIRE TEX 5062'!$B$4:$B$34,'FIRE TEX 5062'!$B$4:$B$34,"&gt;="&amp;M1463),'FIRE TEX 5062'!$B$4:$F$34,IF(L1463="F-15",2,IF(L1463="F-30",3,IF(L1463="F-60",4,IF(L1463="F-90",5,0)))),0),0)+IF(AND(O1463="FIRE TEX 5062",OR(E1463="IN",E1463="C",E1463="Z",E1463="L"),J1463=4),VLOOKUP(_xlfn.MINIFS('FIRE TEX 5062'!$G$4:$G$34,'FIRE TEX 5062'!$G$4:$G$34,"&gt;="&amp;M1463),'FIRE TEX 5062'!$G$4:$K$34,IF(L1463="F-15",2,IF(L1463="F-30",3,IF(L1463="F-60",4,IF(L1463="F-90",5,0)))),0),0)+IF(AND(O1463="FIRE TEX 5062",E1463="CJ",J1463=3),VLOOKUP(_xlfn.MINIFS('FIRE TEX 5062'!$L$4:$L$34,'FIRE TEX 5062'!$L$4:$L$34,"&gt;="&amp;M1463),'FIRE TEX 5062'!$L$4:$P$34,IF(L1463="F-15",2,IF(L1463="F-30",3,IF(L1463="F-60",4,IF(L1463="F-90",5,0)))),0),0)+IF(AND(O1463="FIRE TEX 5062",E1463="CJ",J1463=4),VLOOKUP(_xlfn.MINIFS('FIRE TEX 5062'!$Q$3:$Q$34,'FIRE TEX 5062'!$Q$3:$Q$34,"&gt;="&amp;M1463),'FIRE TEX 5062'!$Q$3:$U$34,IF(L1463="F-15",2,IF(L1463="F-30",3,IF(L1463="F-60",4,IF(L1463="F-90",5,0)))),0),0)+IF(AND(O1463="FIRE TEX 5090",OR(E1463="IN",E1463="C",E1463="Z",E1463="L"),J1463=3),VLOOKUP(_xlfn.MINIFS('FIRE TEX 5090'!$B$5:$B$43,'FIRE TEX 5090'!$B$5:$B$43,"&gt;="&amp;M1463),'FIRE TEX 5090'!$B$5:$H$43,IF(L1463="F-15",2,IF(L1463="F-30",3,IF(L1463="F-60",4,IF(L1463="F-90",5,IF(L1463="F-120",6,IF(L1463="F-150",7,0)))))),0),0)+IF(AND(O1463="FIRE TEX 5090",OR(E1463="IN",E1463="C",E1463="Z",E1463="L"),J1463=4),VLOOKUP(_xlfn.MINIFS('FIRE TEX 5090'!$J$5:$J$43,'FIRE TEX 5090'!$J$5:$J$43,"&gt;="&amp;M1463),'FIRE TEX 5090'!$J$5:$P$43,IF(L1463="F-15",2,IF(L1463="F-30",3,IF(L1463="F-60",4,IF(L1463="F-90",5,IF(L1463="F-120",6,IF(L1463="F-150",7,0)))))),0),0)+IF(AND(O1463="FIRE TEX 5090",E1463="CJ",J1463=3),VLOOKUP(_xlfn.MINIFS('FIRE TEX 5090'!$R$5:$R$30,'FIRE TEX 5090'!$R$5:$R$30,"&gt;="&amp;M1463),'FIRE TEX 5090'!$R$5:$W$30,IF(L1463="F-15",2,IF(L1463="F-30",3,IF(L1463="F-60",4,IF(L1463="F-90",5,IF(L1463="F-120",6,IF(L1463="F-150",7,0)))))),0),0)+IF(AND(O1463="FIRE TEX 5090",E1463="CJ",J1463=4),VLOOKUP(_xlfn.MINIFS('FIRE TEX 5090'!$Y$5:$Y$39,'FIRE TEX 5090'!$Y$5:$Y$39,"&gt;="&amp;M1463),'FIRE TEX 5090'!$Y$5:$AD$39,IF(L1463="F-15",2,IF(L1463="F-30",3,IF(L1463="F-60",4,IF(L1463="F-90",5,IF(L1463="F-120",6,IF(L1463="F-150",7,0)))))),0),0)+IF(AND(O1463="FIRE TEX 5120",OR(E1463="IN",E1463="C",E1463="Z",E1463="L"),J1463=3),VLOOKUP(_xlfn.MINIFS('FIRE TEX 5120'!$B$5:$B$40,'FIRE TEX 5120'!$B$5:$B$40,"&gt;="&amp;M1463),'FIRE TEX 5120'!$B$5:$G$40,IF(L1463="F-15",2,IF(L1463="F-30",3,IF(L1463="F-60",4,IF(L1463="F-90",5,IF(L1463="F-120",6,0))))),0),0)+IF(AND(O1463="FIRE TEX 5120",OR(E1463="IN",E1463="C",E1463="Z",E1463="L"),J1463=4),VLOOKUP(_xlfn.MINIFS('FIRE TEX 5120'!$H$4:$H$40,'FIRE TEX 5120'!$H$4:$H$40,"&gt;="&amp;M1463),'FIRE TEX 5120'!$H$4:$M$40,IF(L1463="F-15",2,IF(L1463="F-30",3,IF(L1463="F-60",4,IF(L1463="F-90",5,IF(L1463="F-120",6,0))))),0),0)+IF(AND(O1463="FIRE TEX 5120",E1463="CJ"),VLOOKUP(_xlfn.MINIFS('FIRE TEX 5120'!$O$5:$O$40,'FIRE TEX 5120'!$O$5:$O$40,"&gt;="&amp;M1463),'FIRE TEX 5120'!$O$5:$T$40,IF(L1463="F-15",2,IF(L1463="F-30",3,IF(L1463="F-60",4,IF(L1463="F-90",5,IF(L1463="F-120",6,0))))),0),0)</f>
        <v>0</v>
      </c>
      <c r="Q1463" s="46">
        <f t="shared" si="134"/>
        <v>0</v>
      </c>
      <c r="R1463" s="46">
        <f t="shared" si="135"/>
        <v>0</v>
      </c>
      <c r="S1463" s="46" t="e">
        <f t="shared" si="136"/>
        <v>#VALUE!</v>
      </c>
      <c r="T1463" s="677">
        <f t="shared" si="137"/>
        <v>0</v>
      </c>
      <c r="U1463" s="80">
        <f>(IF(O1463="Stofire",(S1463*#REF!),0))+(IF(O1463="Fire Control",(S1463*$U$2),0))+(IF(O1463="Fire Tex",(S1463*$U$3),0))+(IF(O1463="WB7",(S1463*#REF!),0)+(IF(O1463="FX 2003",(S1463*$U$5),0)))</f>
        <v>0</v>
      </c>
      <c r="V1463" s="651">
        <f t="shared" si="138"/>
        <v>0</v>
      </c>
    </row>
    <row r="1464" spans="4:22" x14ac:dyDescent="0.25">
      <c r="D1464" s="118">
        <f>+CUBICACION!D1463</f>
        <v>0</v>
      </c>
      <c r="E1464" s="118">
        <f>+CUBICACION!F1463</f>
        <v>0</v>
      </c>
      <c r="F1464" s="118">
        <f>+CUBICACION!E1463</f>
        <v>0</v>
      </c>
      <c r="G1464" s="118">
        <v>12</v>
      </c>
      <c r="H1464" s="118">
        <v>2</v>
      </c>
      <c r="I1464" s="820">
        <v>26385</v>
      </c>
      <c r="J1464" s="118">
        <f>+CUBICACION!J1463</f>
        <v>0</v>
      </c>
      <c r="K1464" s="118">
        <v>4243</v>
      </c>
      <c r="L1464" s="118">
        <f>+CUBICACION!L1463</f>
        <v>0</v>
      </c>
      <c r="M1464" s="64">
        <f>+CUBICACION!M1463</f>
        <v>0</v>
      </c>
      <c r="N1464" s="824" t="str">
        <f>+CUBICACION!N1463</f>
        <v/>
      </c>
      <c r="O1464" s="675">
        <f>+CUBICACION!O1463</f>
        <v>0</v>
      </c>
      <c r="P1464" s="15">
        <f>IF(O1464="Fire Control",VLOOKUP(_xlfn.MINIFS('FIRE CONTROL'!$C$4:$C$37,'FIRE CONTROL'!$C$4:$C$37,"&gt;="&amp;M1464),'FIRE CONTROL'!$C$4:$G$37,IF(L1464="F-15",2,IF(L1464="F-30",3,IF(L1464="F-60",4,IF(L1464="F-90",5,0)))),0),0)+IF(AND(O1464="FIRE TEX 5062",OR(E1464="IN",E1464="C",E1464="Z",E1464="L"),J1464=3),VLOOKUP(_xlfn.MINIFS('FIRE TEX 5062'!$B$4:$B$34,'FIRE TEX 5062'!$B$4:$B$34,"&gt;="&amp;M1464),'FIRE TEX 5062'!$B$4:$F$34,IF(L1464="F-15",2,IF(L1464="F-30",3,IF(L1464="F-60",4,IF(L1464="F-90",5,0)))),0),0)+IF(AND(O1464="FIRE TEX 5062",OR(E1464="IN",E1464="C",E1464="Z",E1464="L"),J1464=4),VLOOKUP(_xlfn.MINIFS('FIRE TEX 5062'!$G$4:$G$34,'FIRE TEX 5062'!$G$4:$G$34,"&gt;="&amp;M1464),'FIRE TEX 5062'!$G$4:$K$34,IF(L1464="F-15",2,IF(L1464="F-30",3,IF(L1464="F-60",4,IF(L1464="F-90",5,0)))),0),0)+IF(AND(O1464="FIRE TEX 5062",E1464="CJ",J1464=3),VLOOKUP(_xlfn.MINIFS('FIRE TEX 5062'!$L$4:$L$34,'FIRE TEX 5062'!$L$4:$L$34,"&gt;="&amp;M1464),'FIRE TEX 5062'!$L$4:$P$34,IF(L1464="F-15",2,IF(L1464="F-30",3,IF(L1464="F-60",4,IF(L1464="F-90",5,0)))),0),0)+IF(AND(O1464="FIRE TEX 5062",E1464="CJ",J1464=4),VLOOKUP(_xlfn.MINIFS('FIRE TEX 5062'!$Q$3:$Q$34,'FIRE TEX 5062'!$Q$3:$Q$34,"&gt;="&amp;M1464),'FIRE TEX 5062'!$Q$3:$U$34,IF(L1464="F-15",2,IF(L1464="F-30",3,IF(L1464="F-60",4,IF(L1464="F-90",5,0)))),0),0)+IF(AND(O1464="FIRE TEX 5090",OR(E1464="IN",E1464="C",E1464="Z",E1464="L"),J1464=3),VLOOKUP(_xlfn.MINIFS('FIRE TEX 5090'!$B$5:$B$43,'FIRE TEX 5090'!$B$5:$B$43,"&gt;="&amp;M1464),'FIRE TEX 5090'!$B$5:$H$43,IF(L1464="F-15",2,IF(L1464="F-30",3,IF(L1464="F-60",4,IF(L1464="F-90",5,IF(L1464="F-120",6,IF(L1464="F-150",7,0)))))),0),0)+IF(AND(O1464="FIRE TEX 5090",OR(E1464="IN",E1464="C",E1464="Z",E1464="L"),J1464=4),VLOOKUP(_xlfn.MINIFS('FIRE TEX 5090'!$J$5:$J$43,'FIRE TEX 5090'!$J$5:$J$43,"&gt;="&amp;M1464),'FIRE TEX 5090'!$J$5:$P$43,IF(L1464="F-15",2,IF(L1464="F-30",3,IF(L1464="F-60",4,IF(L1464="F-90",5,IF(L1464="F-120",6,IF(L1464="F-150",7,0)))))),0),0)+IF(AND(O1464="FIRE TEX 5090",E1464="CJ",J1464=3),VLOOKUP(_xlfn.MINIFS('FIRE TEX 5090'!$R$5:$R$30,'FIRE TEX 5090'!$R$5:$R$30,"&gt;="&amp;M1464),'FIRE TEX 5090'!$R$5:$W$30,IF(L1464="F-15",2,IF(L1464="F-30",3,IF(L1464="F-60",4,IF(L1464="F-90",5,IF(L1464="F-120",6,IF(L1464="F-150",7,0)))))),0),0)+IF(AND(O1464="FIRE TEX 5090",E1464="CJ",J1464=4),VLOOKUP(_xlfn.MINIFS('FIRE TEX 5090'!$Y$5:$Y$39,'FIRE TEX 5090'!$Y$5:$Y$39,"&gt;="&amp;M1464),'FIRE TEX 5090'!$Y$5:$AD$39,IF(L1464="F-15",2,IF(L1464="F-30",3,IF(L1464="F-60",4,IF(L1464="F-90",5,IF(L1464="F-120",6,IF(L1464="F-150",7,0)))))),0),0)+IF(AND(O1464="FIRE TEX 5120",OR(E1464="IN",E1464="C",E1464="Z",E1464="L"),J1464=3),VLOOKUP(_xlfn.MINIFS('FIRE TEX 5120'!$B$5:$B$40,'FIRE TEX 5120'!$B$5:$B$40,"&gt;="&amp;M1464),'FIRE TEX 5120'!$B$5:$G$40,IF(L1464="F-15",2,IF(L1464="F-30",3,IF(L1464="F-60",4,IF(L1464="F-90",5,IF(L1464="F-120",6,0))))),0),0)+IF(AND(O1464="FIRE TEX 5120",OR(E1464="IN",E1464="C",E1464="Z",E1464="L"),J1464=4),VLOOKUP(_xlfn.MINIFS('FIRE TEX 5120'!$H$4:$H$40,'FIRE TEX 5120'!$H$4:$H$40,"&gt;="&amp;M1464),'FIRE TEX 5120'!$H$4:$M$40,IF(L1464="F-15",2,IF(L1464="F-30",3,IF(L1464="F-60",4,IF(L1464="F-90",5,IF(L1464="F-120",6,0))))),0),0)+IF(AND(O1464="FIRE TEX 5120",E1464="CJ"),VLOOKUP(_xlfn.MINIFS('FIRE TEX 5120'!$O$5:$O$40,'FIRE TEX 5120'!$O$5:$O$40,"&gt;="&amp;M1464),'FIRE TEX 5120'!$O$5:$T$40,IF(L1464="F-15",2,IF(L1464="F-30",3,IF(L1464="F-60",4,IF(L1464="F-90",5,IF(L1464="F-120",6,0))))),0),0)</f>
        <v>0</v>
      </c>
      <c r="Q1464" s="46">
        <f t="shared" si="134"/>
        <v>0</v>
      </c>
      <c r="R1464" s="46">
        <f t="shared" si="135"/>
        <v>0</v>
      </c>
      <c r="S1464" s="46" t="e">
        <f t="shared" si="136"/>
        <v>#VALUE!</v>
      </c>
      <c r="T1464" s="677">
        <f t="shared" si="137"/>
        <v>0</v>
      </c>
      <c r="U1464" s="80">
        <f>(IF(O1464="Stofire",(S1464*#REF!),0))+(IF(O1464="Fire Control",(S1464*$U$2),0))+(IF(O1464="Fire Tex",(S1464*$U$3),0))+(IF(O1464="WB7",(S1464*#REF!),0)+(IF(O1464="FX 2003",(S1464*$U$5),0)))</f>
        <v>0</v>
      </c>
      <c r="V1464" s="651">
        <f t="shared" si="138"/>
        <v>0</v>
      </c>
    </row>
    <row r="1465" spans="4:22" x14ac:dyDescent="0.25">
      <c r="D1465" s="118">
        <f>+CUBICACION!D1464</f>
        <v>0</v>
      </c>
      <c r="E1465" s="118">
        <f>+CUBICACION!F1464</f>
        <v>0</v>
      </c>
      <c r="F1465" s="118">
        <f>+CUBICACION!E1464</f>
        <v>0</v>
      </c>
      <c r="G1465" s="118">
        <v>12</v>
      </c>
      <c r="H1465" s="118">
        <v>2</v>
      </c>
      <c r="I1465" s="820">
        <v>26385</v>
      </c>
      <c r="J1465" s="118">
        <f>+CUBICACION!J1464</f>
        <v>0</v>
      </c>
      <c r="K1465" s="118">
        <v>4244</v>
      </c>
      <c r="L1465" s="118">
        <f>+CUBICACION!L1464</f>
        <v>0</v>
      </c>
      <c r="M1465" s="64">
        <f>+CUBICACION!M1464</f>
        <v>0</v>
      </c>
      <c r="N1465" s="824" t="str">
        <f>+CUBICACION!N1464</f>
        <v/>
      </c>
      <c r="O1465" s="675">
        <f>+CUBICACION!O1464</f>
        <v>0</v>
      </c>
      <c r="P1465" s="15">
        <f>IF(O1465="Fire Control",VLOOKUP(_xlfn.MINIFS('FIRE CONTROL'!$C$4:$C$37,'FIRE CONTROL'!$C$4:$C$37,"&gt;="&amp;M1465),'FIRE CONTROL'!$C$4:$G$37,IF(L1465="F-15",2,IF(L1465="F-30",3,IF(L1465="F-60",4,IF(L1465="F-90",5,0)))),0),0)+IF(AND(O1465="FIRE TEX 5062",OR(E1465="IN",E1465="C",E1465="Z",E1465="L"),J1465=3),VLOOKUP(_xlfn.MINIFS('FIRE TEX 5062'!$B$4:$B$34,'FIRE TEX 5062'!$B$4:$B$34,"&gt;="&amp;M1465),'FIRE TEX 5062'!$B$4:$F$34,IF(L1465="F-15",2,IF(L1465="F-30",3,IF(L1465="F-60",4,IF(L1465="F-90",5,0)))),0),0)+IF(AND(O1465="FIRE TEX 5062",OR(E1465="IN",E1465="C",E1465="Z",E1465="L"),J1465=4),VLOOKUP(_xlfn.MINIFS('FIRE TEX 5062'!$G$4:$G$34,'FIRE TEX 5062'!$G$4:$G$34,"&gt;="&amp;M1465),'FIRE TEX 5062'!$G$4:$K$34,IF(L1465="F-15",2,IF(L1465="F-30",3,IF(L1465="F-60",4,IF(L1465="F-90",5,0)))),0),0)+IF(AND(O1465="FIRE TEX 5062",E1465="CJ",J1465=3),VLOOKUP(_xlfn.MINIFS('FIRE TEX 5062'!$L$4:$L$34,'FIRE TEX 5062'!$L$4:$L$34,"&gt;="&amp;M1465),'FIRE TEX 5062'!$L$4:$P$34,IF(L1465="F-15",2,IF(L1465="F-30",3,IF(L1465="F-60",4,IF(L1465="F-90",5,0)))),0),0)+IF(AND(O1465="FIRE TEX 5062",E1465="CJ",J1465=4),VLOOKUP(_xlfn.MINIFS('FIRE TEX 5062'!$Q$3:$Q$34,'FIRE TEX 5062'!$Q$3:$Q$34,"&gt;="&amp;M1465),'FIRE TEX 5062'!$Q$3:$U$34,IF(L1465="F-15",2,IF(L1465="F-30",3,IF(L1465="F-60",4,IF(L1465="F-90",5,0)))),0),0)+IF(AND(O1465="FIRE TEX 5090",OR(E1465="IN",E1465="C",E1465="Z",E1465="L"),J1465=3),VLOOKUP(_xlfn.MINIFS('FIRE TEX 5090'!$B$5:$B$43,'FIRE TEX 5090'!$B$5:$B$43,"&gt;="&amp;M1465),'FIRE TEX 5090'!$B$5:$H$43,IF(L1465="F-15",2,IF(L1465="F-30",3,IF(L1465="F-60",4,IF(L1465="F-90",5,IF(L1465="F-120",6,IF(L1465="F-150",7,0)))))),0),0)+IF(AND(O1465="FIRE TEX 5090",OR(E1465="IN",E1465="C",E1465="Z",E1465="L"),J1465=4),VLOOKUP(_xlfn.MINIFS('FIRE TEX 5090'!$J$5:$J$43,'FIRE TEX 5090'!$J$5:$J$43,"&gt;="&amp;M1465),'FIRE TEX 5090'!$J$5:$P$43,IF(L1465="F-15",2,IF(L1465="F-30",3,IF(L1465="F-60",4,IF(L1465="F-90",5,IF(L1465="F-120",6,IF(L1465="F-150",7,0)))))),0),0)+IF(AND(O1465="FIRE TEX 5090",E1465="CJ",J1465=3),VLOOKUP(_xlfn.MINIFS('FIRE TEX 5090'!$R$5:$R$30,'FIRE TEX 5090'!$R$5:$R$30,"&gt;="&amp;M1465),'FIRE TEX 5090'!$R$5:$W$30,IF(L1465="F-15",2,IF(L1465="F-30",3,IF(L1465="F-60",4,IF(L1465="F-90",5,IF(L1465="F-120",6,IF(L1465="F-150",7,0)))))),0),0)+IF(AND(O1465="FIRE TEX 5090",E1465="CJ",J1465=4),VLOOKUP(_xlfn.MINIFS('FIRE TEX 5090'!$Y$5:$Y$39,'FIRE TEX 5090'!$Y$5:$Y$39,"&gt;="&amp;M1465),'FIRE TEX 5090'!$Y$5:$AD$39,IF(L1465="F-15",2,IF(L1465="F-30",3,IF(L1465="F-60",4,IF(L1465="F-90",5,IF(L1465="F-120",6,IF(L1465="F-150",7,0)))))),0),0)+IF(AND(O1465="FIRE TEX 5120",OR(E1465="IN",E1465="C",E1465="Z",E1465="L"),J1465=3),VLOOKUP(_xlfn.MINIFS('FIRE TEX 5120'!$B$5:$B$40,'FIRE TEX 5120'!$B$5:$B$40,"&gt;="&amp;M1465),'FIRE TEX 5120'!$B$5:$G$40,IF(L1465="F-15",2,IF(L1465="F-30",3,IF(L1465="F-60",4,IF(L1465="F-90",5,IF(L1465="F-120",6,0))))),0),0)+IF(AND(O1465="FIRE TEX 5120",OR(E1465="IN",E1465="C",E1465="Z",E1465="L"),J1465=4),VLOOKUP(_xlfn.MINIFS('FIRE TEX 5120'!$H$4:$H$40,'FIRE TEX 5120'!$H$4:$H$40,"&gt;="&amp;M1465),'FIRE TEX 5120'!$H$4:$M$40,IF(L1465="F-15",2,IF(L1465="F-30",3,IF(L1465="F-60",4,IF(L1465="F-90",5,IF(L1465="F-120",6,0))))),0),0)+IF(AND(O1465="FIRE TEX 5120",E1465="CJ"),VLOOKUP(_xlfn.MINIFS('FIRE TEX 5120'!$O$5:$O$40,'FIRE TEX 5120'!$O$5:$O$40,"&gt;="&amp;M1465),'FIRE TEX 5120'!$O$5:$T$40,IF(L1465="F-15",2,IF(L1465="F-30",3,IF(L1465="F-60",4,IF(L1465="F-90",5,IF(L1465="F-120",6,0))))),0),0)</f>
        <v>0</v>
      </c>
      <c r="Q1465" s="46">
        <f t="shared" si="134"/>
        <v>0</v>
      </c>
      <c r="R1465" s="46">
        <f t="shared" si="135"/>
        <v>0</v>
      </c>
      <c r="S1465" s="46" t="e">
        <f t="shared" si="136"/>
        <v>#VALUE!</v>
      </c>
      <c r="T1465" s="677">
        <f t="shared" si="137"/>
        <v>0</v>
      </c>
      <c r="U1465" s="80">
        <f>(IF(O1465="Stofire",(S1465*#REF!),0))+(IF(O1465="Fire Control",(S1465*$U$2),0))+(IF(O1465="Fire Tex",(S1465*$U$3),0))+(IF(O1465="WB7",(S1465*#REF!),0)+(IF(O1465="FX 2003",(S1465*$U$5),0)))</f>
        <v>0</v>
      </c>
      <c r="V1465" s="651">
        <f t="shared" si="138"/>
        <v>0</v>
      </c>
    </row>
    <row r="1466" spans="4:22" x14ac:dyDescent="0.25">
      <c r="D1466" s="118">
        <f>+CUBICACION!D1465</f>
        <v>0</v>
      </c>
      <c r="E1466" s="118">
        <f>+CUBICACION!F1465</f>
        <v>0</v>
      </c>
      <c r="F1466" s="118">
        <f>+CUBICACION!E1465</f>
        <v>0</v>
      </c>
      <c r="G1466" s="118">
        <v>12</v>
      </c>
      <c r="H1466" s="118">
        <v>2</v>
      </c>
      <c r="I1466" s="820">
        <v>26385</v>
      </c>
      <c r="J1466" s="118">
        <f>+CUBICACION!J1465</f>
        <v>0</v>
      </c>
      <c r="K1466" s="118">
        <v>4245</v>
      </c>
      <c r="L1466" s="118">
        <f>+CUBICACION!L1465</f>
        <v>0</v>
      </c>
      <c r="M1466" s="64">
        <f>+CUBICACION!M1465</f>
        <v>0</v>
      </c>
      <c r="N1466" s="824" t="str">
        <f>+CUBICACION!N1465</f>
        <v/>
      </c>
      <c r="O1466" s="675">
        <f>+CUBICACION!O1465</f>
        <v>0</v>
      </c>
      <c r="P1466" s="15">
        <f>IF(O1466="Fire Control",VLOOKUP(_xlfn.MINIFS('FIRE CONTROL'!$C$4:$C$37,'FIRE CONTROL'!$C$4:$C$37,"&gt;="&amp;M1466),'FIRE CONTROL'!$C$4:$G$37,IF(L1466="F-15",2,IF(L1466="F-30",3,IF(L1466="F-60",4,IF(L1466="F-90",5,0)))),0),0)+IF(AND(O1466="FIRE TEX 5062",OR(E1466="IN",E1466="C",E1466="Z",E1466="L"),J1466=3),VLOOKUP(_xlfn.MINIFS('FIRE TEX 5062'!$B$4:$B$34,'FIRE TEX 5062'!$B$4:$B$34,"&gt;="&amp;M1466),'FIRE TEX 5062'!$B$4:$F$34,IF(L1466="F-15",2,IF(L1466="F-30",3,IF(L1466="F-60",4,IF(L1466="F-90",5,0)))),0),0)+IF(AND(O1466="FIRE TEX 5062",OR(E1466="IN",E1466="C",E1466="Z",E1466="L"),J1466=4),VLOOKUP(_xlfn.MINIFS('FIRE TEX 5062'!$G$4:$G$34,'FIRE TEX 5062'!$G$4:$G$34,"&gt;="&amp;M1466),'FIRE TEX 5062'!$G$4:$K$34,IF(L1466="F-15",2,IF(L1466="F-30",3,IF(L1466="F-60",4,IF(L1466="F-90",5,0)))),0),0)+IF(AND(O1466="FIRE TEX 5062",E1466="CJ",J1466=3),VLOOKUP(_xlfn.MINIFS('FIRE TEX 5062'!$L$4:$L$34,'FIRE TEX 5062'!$L$4:$L$34,"&gt;="&amp;M1466),'FIRE TEX 5062'!$L$4:$P$34,IF(L1466="F-15",2,IF(L1466="F-30",3,IF(L1466="F-60",4,IF(L1466="F-90",5,0)))),0),0)+IF(AND(O1466="FIRE TEX 5062",E1466="CJ",J1466=4),VLOOKUP(_xlfn.MINIFS('FIRE TEX 5062'!$Q$3:$Q$34,'FIRE TEX 5062'!$Q$3:$Q$34,"&gt;="&amp;M1466),'FIRE TEX 5062'!$Q$3:$U$34,IF(L1466="F-15",2,IF(L1466="F-30",3,IF(L1466="F-60",4,IF(L1466="F-90",5,0)))),0),0)+IF(AND(O1466="FIRE TEX 5090",OR(E1466="IN",E1466="C",E1466="Z",E1466="L"),J1466=3),VLOOKUP(_xlfn.MINIFS('FIRE TEX 5090'!$B$5:$B$43,'FIRE TEX 5090'!$B$5:$B$43,"&gt;="&amp;M1466),'FIRE TEX 5090'!$B$5:$H$43,IF(L1466="F-15",2,IF(L1466="F-30",3,IF(L1466="F-60",4,IF(L1466="F-90",5,IF(L1466="F-120",6,IF(L1466="F-150",7,0)))))),0),0)+IF(AND(O1466="FIRE TEX 5090",OR(E1466="IN",E1466="C",E1466="Z",E1466="L"),J1466=4),VLOOKUP(_xlfn.MINIFS('FIRE TEX 5090'!$J$5:$J$43,'FIRE TEX 5090'!$J$5:$J$43,"&gt;="&amp;M1466),'FIRE TEX 5090'!$J$5:$P$43,IF(L1466="F-15",2,IF(L1466="F-30",3,IF(L1466="F-60",4,IF(L1466="F-90",5,IF(L1466="F-120",6,IF(L1466="F-150",7,0)))))),0),0)+IF(AND(O1466="FIRE TEX 5090",E1466="CJ",J1466=3),VLOOKUP(_xlfn.MINIFS('FIRE TEX 5090'!$R$5:$R$30,'FIRE TEX 5090'!$R$5:$R$30,"&gt;="&amp;M1466),'FIRE TEX 5090'!$R$5:$W$30,IF(L1466="F-15",2,IF(L1466="F-30",3,IF(L1466="F-60",4,IF(L1466="F-90",5,IF(L1466="F-120",6,IF(L1466="F-150",7,0)))))),0),0)+IF(AND(O1466="FIRE TEX 5090",E1466="CJ",J1466=4),VLOOKUP(_xlfn.MINIFS('FIRE TEX 5090'!$Y$5:$Y$39,'FIRE TEX 5090'!$Y$5:$Y$39,"&gt;="&amp;M1466),'FIRE TEX 5090'!$Y$5:$AD$39,IF(L1466="F-15",2,IF(L1466="F-30",3,IF(L1466="F-60",4,IF(L1466="F-90",5,IF(L1466="F-120",6,IF(L1466="F-150",7,0)))))),0),0)+IF(AND(O1466="FIRE TEX 5120",OR(E1466="IN",E1466="C",E1466="Z",E1466="L"),J1466=3),VLOOKUP(_xlfn.MINIFS('FIRE TEX 5120'!$B$5:$B$40,'FIRE TEX 5120'!$B$5:$B$40,"&gt;="&amp;M1466),'FIRE TEX 5120'!$B$5:$G$40,IF(L1466="F-15",2,IF(L1466="F-30",3,IF(L1466="F-60",4,IF(L1466="F-90",5,IF(L1466="F-120",6,0))))),0),0)+IF(AND(O1466="FIRE TEX 5120",OR(E1466="IN",E1466="C",E1466="Z",E1466="L"),J1466=4),VLOOKUP(_xlfn.MINIFS('FIRE TEX 5120'!$H$4:$H$40,'FIRE TEX 5120'!$H$4:$H$40,"&gt;="&amp;M1466),'FIRE TEX 5120'!$H$4:$M$40,IF(L1466="F-15",2,IF(L1466="F-30",3,IF(L1466="F-60",4,IF(L1466="F-90",5,IF(L1466="F-120",6,0))))),0),0)+IF(AND(O1466="FIRE TEX 5120",E1466="CJ"),VLOOKUP(_xlfn.MINIFS('FIRE TEX 5120'!$O$5:$O$40,'FIRE TEX 5120'!$O$5:$O$40,"&gt;="&amp;M1466),'FIRE TEX 5120'!$O$5:$T$40,IF(L1466="F-15",2,IF(L1466="F-30",3,IF(L1466="F-60",4,IF(L1466="F-90",5,IF(L1466="F-120",6,0))))),0),0)</f>
        <v>0</v>
      </c>
      <c r="Q1466" s="46">
        <f t="shared" si="134"/>
        <v>0</v>
      </c>
      <c r="R1466" s="46">
        <f t="shared" si="135"/>
        <v>0</v>
      </c>
      <c r="S1466" s="46" t="e">
        <f t="shared" si="136"/>
        <v>#VALUE!</v>
      </c>
      <c r="T1466" s="677">
        <f t="shared" si="137"/>
        <v>0</v>
      </c>
      <c r="U1466" s="80">
        <f>(IF(O1466="Stofire",(S1466*#REF!),0))+(IF(O1466="Fire Control",(S1466*$U$2),0))+(IF(O1466="Fire Tex",(S1466*$U$3),0))+(IF(O1466="WB7",(S1466*#REF!),0)+(IF(O1466="FX 2003",(S1466*$U$5),0)))</f>
        <v>0</v>
      </c>
      <c r="V1466" s="651">
        <f t="shared" si="138"/>
        <v>0</v>
      </c>
    </row>
    <row r="1467" spans="4:22" x14ac:dyDescent="0.25">
      <c r="D1467" s="118">
        <f>+CUBICACION!D1466</f>
        <v>0</v>
      </c>
      <c r="E1467" s="118">
        <f>+CUBICACION!F1466</f>
        <v>0</v>
      </c>
      <c r="F1467" s="118">
        <f>+CUBICACION!E1466</f>
        <v>0</v>
      </c>
      <c r="G1467" s="118">
        <v>12</v>
      </c>
      <c r="H1467" s="118">
        <v>2</v>
      </c>
      <c r="I1467" s="820">
        <v>26385</v>
      </c>
      <c r="J1467" s="118">
        <f>+CUBICACION!J1466</f>
        <v>0</v>
      </c>
      <c r="K1467" s="118">
        <v>4246</v>
      </c>
      <c r="L1467" s="118">
        <f>+CUBICACION!L1466</f>
        <v>0</v>
      </c>
      <c r="M1467" s="64">
        <f>+CUBICACION!M1466</f>
        <v>0</v>
      </c>
      <c r="N1467" s="824" t="str">
        <f>+CUBICACION!N1466</f>
        <v/>
      </c>
      <c r="O1467" s="675">
        <f>+CUBICACION!O1466</f>
        <v>0</v>
      </c>
      <c r="P1467" s="15">
        <f>IF(O1467="Fire Control",VLOOKUP(_xlfn.MINIFS('FIRE CONTROL'!$C$4:$C$37,'FIRE CONTROL'!$C$4:$C$37,"&gt;="&amp;M1467),'FIRE CONTROL'!$C$4:$G$37,IF(L1467="F-15",2,IF(L1467="F-30",3,IF(L1467="F-60",4,IF(L1467="F-90",5,0)))),0),0)+IF(AND(O1467="FIRE TEX 5062",OR(E1467="IN",E1467="C",E1467="Z",E1467="L"),J1467=3),VLOOKUP(_xlfn.MINIFS('FIRE TEX 5062'!$B$4:$B$34,'FIRE TEX 5062'!$B$4:$B$34,"&gt;="&amp;M1467),'FIRE TEX 5062'!$B$4:$F$34,IF(L1467="F-15",2,IF(L1467="F-30",3,IF(L1467="F-60",4,IF(L1467="F-90",5,0)))),0),0)+IF(AND(O1467="FIRE TEX 5062",OR(E1467="IN",E1467="C",E1467="Z",E1467="L"),J1467=4),VLOOKUP(_xlfn.MINIFS('FIRE TEX 5062'!$G$4:$G$34,'FIRE TEX 5062'!$G$4:$G$34,"&gt;="&amp;M1467),'FIRE TEX 5062'!$G$4:$K$34,IF(L1467="F-15",2,IF(L1467="F-30",3,IF(L1467="F-60",4,IF(L1467="F-90",5,0)))),0),0)+IF(AND(O1467="FIRE TEX 5062",E1467="CJ",J1467=3),VLOOKUP(_xlfn.MINIFS('FIRE TEX 5062'!$L$4:$L$34,'FIRE TEX 5062'!$L$4:$L$34,"&gt;="&amp;M1467),'FIRE TEX 5062'!$L$4:$P$34,IF(L1467="F-15",2,IF(L1467="F-30",3,IF(L1467="F-60",4,IF(L1467="F-90",5,0)))),0),0)+IF(AND(O1467="FIRE TEX 5062",E1467="CJ",J1467=4),VLOOKUP(_xlfn.MINIFS('FIRE TEX 5062'!$Q$3:$Q$34,'FIRE TEX 5062'!$Q$3:$Q$34,"&gt;="&amp;M1467),'FIRE TEX 5062'!$Q$3:$U$34,IF(L1467="F-15",2,IF(L1467="F-30",3,IF(L1467="F-60",4,IF(L1467="F-90",5,0)))),0),0)+IF(AND(O1467="FIRE TEX 5090",OR(E1467="IN",E1467="C",E1467="Z",E1467="L"),J1467=3),VLOOKUP(_xlfn.MINIFS('FIRE TEX 5090'!$B$5:$B$43,'FIRE TEX 5090'!$B$5:$B$43,"&gt;="&amp;M1467),'FIRE TEX 5090'!$B$5:$H$43,IF(L1467="F-15",2,IF(L1467="F-30",3,IF(L1467="F-60",4,IF(L1467="F-90",5,IF(L1467="F-120",6,IF(L1467="F-150",7,0)))))),0),0)+IF(AND(O1467="FIRE TEX 5090",OR(E1467="IN",E1467="C",E1467="Z",E1467="L"),J1467=4),VLOOKUP(_xlfn.MINIFS('FIRE TEX 5090'!$J$5:$J$43,'FIRE TEX 5090'!$J$5:$J$43,"&gt;="&amp;M1467),'FIRE TEX 5090'!$J$5:$P$43,IF(L1467="F-15",2,IF(L1467="F-30",3,IF(L1467="F-60",4,IF(L1467="F-90",5,IF(L1467="F-120",6,IF(L1467="F-150",7,0)))))),0),0)+IF(AND(O1467="FIRE TEX 5090",E1467="CJ",J1467=3),VLOOKUP(_xlfn.MINIFS('FIRE TEX 5090'!$R$5:$R$30,'FIRE TEX 5090'!$R$5:$R$30,"&gt;="&amp;M1467),'FIRE TEX 5090'!$R$5:$W$30,IF(L1467="F-15",2,IF(L1467="F-30",3,IF(L1467="F-60",4,IF(L1467="F-90",5,IF(L1467="F-120",6,IF(L1467="F-150",7,0)))))),0),0)+IF(AND(O1467="FIRE TEX 5090",E1467="CJ",J1467=4),VLOOKUP(_xlfn.MINIFS('FIRE TEX 5090'!$Y$5:$Y$39,'FIRE TEX 5090'!$Y$5:$Y$39,"&gt;="&amp;M1467),'FIRE TEX 5090'!$Y$5:$AD$39,IF(L1467="F-15",2,IF(L1467="F-30",3,IF(L1467="F-60",4,IF(L1467="F-90",5,IF(L1467="F-120",6,IF(L1467="F-150",7,0)))))),0),0)+IF(AND(O1467="FIRE TEX 5120",OR(E1467="IN",E1467="C",E1467="Z",E1467="L"),J1467=3),VLOOKUP(_xlfn.MINIFS('FIRE TEX 5120'!$B$5:$B$40,'FIRE TEX 5120'!$B$5:$B$40,"&gt;="&amp;M1467),'FIRE TEX 5120'!$B$5:$G$40,IF(L1467="F-15",2,IF(L1467="F-30",3,IF(L1467="F-60",4,IF(L1467="F-90",5,IF(L1467="F-120",6,0))))),0),0)+IF(AND(O1467="FIRE TEX 5120",OR(E1467="IN",E1467="C",E1467="Z",E1467="L"),J1467=4),VLOOKUP(_xlfn.MINIFS('FIRE TEX 5120'!$H$4:$H$40,'FIRE TEX 5120'!$H$4:$H$40,"&gt;="&amp;M1467),'FIRE TEX 5120'!$H$4:$M$40,IF(L1467="F-15",2,IF(L1467="F-30",3,IF(L1467="F-60",4,IF(L1467="F-90",5,IF(L1467="F-120",6,0))))),0),0)+IF(AND(O1467="FIRE TEX 5120",E1467="CJ"),VLOOKUP(_xlfn.MINIFS('FIRE TEX 5120'!$O$5:$O$40,'FIRE TEX 5120'!$O$5:$O$40,"&gt;="&amp;M1467),'FIRE TEX 5120'!$O$5:$T$40,IF(L1467="F-15",2,IF(L1467="F-30",3,IF(L1467="F-60",4,IF(L1467="F-90",5,IF(L1467="F-120",6,0))))),0),0)</f>
        <v>0</v>
      </c>
      <c r="Q1467" s="46">
        <f t="shared" si="134"/>
        <v>0</v>
      </c>
      <c r="R1467" s="46">
        <f t="shared" si="135"/>
        <v>0</v>
      </c>
      <c r="S1467" s="46" t="e">
        <f t="shared" si="136"/>
        <v>#VALUE!</v>
      </c>
      <c r="T1467" s="677">
        <f t="shared" si="137"/>
        <v>0</v>
      </c>
      <c r="U1467" s="80">
        <f>(IF(O1467="Stofire",(S1467*#REF!),0))+(IF(O1467="Fire Control",(S1467*$U$2),0))+(IF(O1467="Fire Tex",(S1467*$U$3),0))+(IF(O1467="WB7",(S1467*#REF!),0)+(IF(O1467="FX 2003",(S1467*$U$5),0)))</f>
        <v>0</v>
      </c>
      <c r="V1467" s="651">
        <f t="shared" si="138"/>
        <v>0</v>
      </c>
    </row>
    <row r="1468" spans="4:22" x14ac:dyDescent="0.25">
      <c r="D1468" s="118">
        <f>+CUBICACION!D1467</f>
        <v>0</v>
      </c>
      <c r="E1468" s="118">
        <f>+CUBICACION!F1467</f>
        <v>0</v>
      </c>
      <c r="F1468" s="118">
        <f>+CUBICACION!E1467</f>
        <v>0</v>
      </c>
      <c r="G1468" s="118">
        <v>12</v>
      </c>
      <c r="H1468" s="118">
        <v>2</v>
      </c>
      <c r="I1468" s="820">
        <v>26385</v>
      </c>
      <c r="J1468" s="118">
        <f>+CUBICACION!J1467</f>
        <v>0</v>
      </c>
      <c r="K1468" s="118">
        <v>4247</v>
      </c>
      <c r="L1468" s="118">
        <f>+CUBICACION!L1467</f>
        <v>0</v>
      </c>
      <c r="M1468" s="64">
        <f>+CUBICACION!M1467</f>
        <v>0</v>
      </c>
      <c r="N1468" s="824" t="str">
        <f>+CUBICACION!N1467</f>
        <v/>
      </c>
      <c r="O1468" s="675">
        <f>+CUBICACION!O1467</f>
        <v>0</v>
      </c>
      <c r="P1468" s="15">
        <f>IF(O1468="Fire Control",VLOOKUP(_xlfn.MINIFS('FIRE CONTROL'!$C$4:$C$37,'FIRE CONTROL'!$C$4:$C$37,"&gt;="&amp;M1468),'FIRE CONTROL'!$C$4:$G$37,IF(L1468="F-15",2,IF(L1468="F-30",3,IF(L1468="F-60",4,IF(L1468="F-90",5,0)))),0),0)+IF(AND(O1468="FIRE TEX 5062",OR(E1468="IN",E1468="C",E1468="Z",E1468="L"),J1468=3),VLOOKUP(_xlfn.MINIFS('FIRE TEX 5062'!$B$4:$B$34,'FIRE TEX 5062'!$B$4:$B$34,"&gt;="&amp;M1468),'FIRE TEX 5062'!$B$4:$F$34,IF(L1468="F-15",2,IF(L1468="F-30",3,IF(L1468="F-60",4,IF(L1468="F-90",5,0)))),0),0)+IF(AND(O1468="FIRE TEX 5062",OR(E1468="IN",E1468="C",E1468="Z",E1468="L"),J1468=4),VLOOKUP(_xlfn.MINIFS('FIRE TEX 5062'!$G$4:$G$34,'FIRE TEX 5062'!$G$4:$G$34,"&gt;="&amp;M1468),'FIRE TEX 5062'!$G$4:$K$34,IF(L1468="F-15",2,IF(L1468="F-30",3,IF(L1468="F-60",4,IF(L1468="F-90",5,0)))),0),0)+IF(AND(O1468="FIRE TEX 5062",E1468="CJ",J1468=3),VLOOKUP(_xlfn.MINIFS('FIRE TEX 5062'!$L$4:$L$34,'FIRE TEX 5062'!$L$4:$L$34,"&gt;="&amp;M1468),'FIRE TEX 5062'!$L$4:$P$34,IF(L1468="F-15",2,IF(L1468="F-30",3,IF(L1468="F-60",4,IF(L1468="F-90",5,0)))),0),0)+IF(AND(O1468="FIRE TEX 5062",E1468="CJ",J1468=4),VLOOKUP(_xlfn.MINIFS('FIRE TEX 5062'!$Q$3:$Q$34,'FIRE TEX 5062'!$Q$3:$Q$34,"&gt;="&amp;M1468),'FIRE TEX 5062'!$Q$3:$U$34,IF(L1468="F-15",2,IF(L1468="F-30",3,IF(L1468="F-60",4,IF(L1468="F-90",5,0)))),0),0)+IF(AND(O1468="FIRE TEX 5090",OR(E1468="IN",E1468="C",E1468="Z",E1468="L"),J1468=3),VLOOKUP(_xlfn.MINIFS('FIRE TEX 5090'!$B$5:$B$43,'FIRE TEX 5090'!$B$5:$B$43,"&gt;="&amp;M1468),'FIRE TEX 5090'!$B$5:$H$43,IF(L1468="F-15",2,IF(L1468="F-30",3,IF(L1468="F-60",4,IF(L1468="F-90",5,IF(L1468="F-120",6,IF(L1468="F-150",7,0)))))),0),0)+IF(AND(O1468="FIRE TEX 5090",OR(E1468="IN",E1468="C",E1468="Z",E1468="L"),J1468=4),VLOOKUP(_xlfn.MINIFS('FIRE TEX 5090'!$J$5:$J$43,'FIRE TEX 5090'!$J$5:$J$43,"&gt;="&amp;M1468),'FIRE TEX 5090'!$J$5:$P$43,IF(L1468="F-15",2,IF(L1468="F-30",3,IF(L1468="F-60",4,IF(L1468="F-90",5,IF(L1468="F-120",6,IF(L1468="F-150",7,0)))))),0),0)+IF(AND(O1468="FIRE TEX 5090",E1468="CJ",J1468=3),VLOOKUP(_xlfn.MINIFS('FIRE TEX 5090'!$R$5:$R$30,'FIRE TEX 5090'!$R$5:$R$30,"&gt;="&amp;M1468),'FIRE TEX 5090'!$R$5:$W$30,IF(L1468="F-15",2,IF(L1468="F-30",3,IF(L1468="F-60",4,IF(L1468="F-90",5,IF(L1468="F-120",6,IF(L1468="F-150",7,0)))))),0),0)+IF(AND(O1468="FIRE TEX 5090",E1468="CJ",J1468=4),VLOOKUP(_xlfn.MINIFS('FIRE TEX 5090'!$Y$5:$Y$39,'FIRE TEX 5090'!$Y$5:$Y$39,"&gt;="&amp;M1468),'FIRE TEX 5090'!$Y$5:$AD$39,IF(L1468="F-15",2,IF(L1468="F-30",3,IF(L1468="F-60",4,IF(L1468="F-90",5,IF(L1468="F-120",6,IF(L1468="F-150",7,0)))))),0),0)+IF(AND(O1468="FIRE TEX 5120",OR(E1468="IN",E1468="C",E1468="Z",E1468="L"),J1468=3),VLOOKUP(_xlfn.MINIFS('FIRE TEX 5120'!$B$5:$B$40,'FIRE TEX 5120'!$B$5:$B$40,"&gt;="&amp;M1468),'FIRE TEX 5120'!$B$5:$G$40,IF(L1468="F-15",2,IF(L1468="F-30",3,IF(L1468="F-60",4,IF(L1468="F-90",5,IF(L1468="F-120",6,0))))),0),0)+IF(AND(O1468="FIRE TEX 5120",OR(E1468="IN",E1468="C",E1468="Z",E1468="L"),J1468=4),VLOOKUP(_xlfn.MINIFS('FIRE TEX 5120'!$H$4:$H$40,'FIRE TEX 5120'!$H$4:$H$40,"&gt;="&amp;M1468),'FIRE TEX 5120'!$H$4:$M$40,IF(L1468="F-15",2,IF(L1468="F-30",3,IF(L1468="F-60",4,IF(L1468="F-90",5,IF(L1468="F-120",6,0))))),0),0)+IF(AND(O1468="FIRE TEX 5120",E1468="CJ"),VLOOKUP(_xlfn.MINIFS('FIRE TEX 5120'!$O$5:$O$40,'FIRE TEX 5120'!$O$5:$O$40,"&gt;="&amp;M1468),'FIRE TEX 5120'!$O$5:$T$40,IF(L1468="F-15",2,IF(L1468="F-30",3,IF(L1468="F-60",4,IF(L1468="F-90",5,IF(L1468="F-120",6,0))))),0),0)</f>
        <v>0</v>
      </c>
      <c r="Q1468" s="46">
        <f t="shared" si="134"/>
        <v>0</v>
      </c>
      <c r="R1468" s="46">
        <f t="shared" si="135"/>
        <v>0</v>
      </c>
      <c r="S1468" s="46" t="e">
        <f t="shared" si="136"/>
        <v>#VALUE!</v>
      </c>
      <c r="T1468" s="677">
        <f t="shared" si="137"/>
        <v>0</v>
      </c>
      <c r="U1468" s="80">
        <f>(IF(O1468="Stofire",(S1468*#REF!),0))+(IF(O1468="Fire Control",(S1468*$U$2),0))+(IF(O1468="Fire Tex",(S1468*$U$3),0))+(IF(O1468="WB7",(S1468*#REF!),0)+(IF(O1468="FX 2003",(S1468*$U$5),0)))</f>
        <v>0</v>
      </c>
      <c r="V1468" s="651">
        <f t="shared" si="138"/>
        <v>0</v>
      </c>
    </row>
    <row r="1469" spans="4:22" x14ac:dyDescent="0.25">
      <c r="D1469" s="118">
        <f>+CUBICACION!D1468</f>
        <v>0</v>
      </c>
      <c r="E1469" s="118">
        <f>+CUBICACION!F1468</f>
        <v>0</v>
      </c>
      <c r="F1469" s="118">
        <f>+CUBICACION!E1468</f>
        <v>0</v>
      </c>
      <c r="G1469" s="118">
        <v>12</v>
      </c>
      <c r="H1469" s="118">
        <v>2</v>
      </c>
      <c r="I1469" s="820">
        <v>26385</v>
      </c>
      <c r="J1469" s="118">
        <f>+CUBICACION!J1468</f>
        <v>0</v>
      </c>
      <c r="K1469" s="118">
        <v>4248</v>
      </c>
      <c r="L1469" s="118">
        <f>+CUBICACION!L1468</f>
        <v>0</v>
      </c>
      <c r="M1469" s="64">
        <f>+CUBICACION!M1468</f>
        <v>0</v>
      </c>
      <c r="N1469" s="824" t="str">
        <f>+CUBICACION!N1468</f>
        <v/>
      </c>
      <c r="O1469" s="675">
        <f>+CUBICACION!O1468</f>
        <v>0</v>
      </c>
      <c r="P1469" s="15">
        <f>IF(O1469="Fire Control",VLOOKUP(_xlfn.MINIFS('FIRE CONTROL'!$C$4:$C$37,'FIRE CONTROL'!$C$4:$C$37,"&gt;="&amp;M1469),'FIRE CONTROL'!$C$4:$G$37,IF(L1469="F-15",2,IF(L1469="F-30",3,IF(L1469="F-60",4,IF(L1469="F-90",5,0)))),0),0)+IF(AND(O1469="FIRE TEX 5062",OR(E1469="IN",E1469="C",E1469="Z",E1469="L"),J1469=3),VLOOKUP(_xlfn.MINIFS('FIRE TEX 5062'!$B$4:$B$34,'FIRE TEX 5062'!$B$4:$B$34,"&gt;="&amp;M1469),'FIRE TEX 5062'!$B$4:$F$34,IF(L1469="F-15",2,IF(L1469="F-30",3,IF(L1469="F-60",4,IF(L1469="F-90",5,0)))),0),0)+IF(AND(O1469="FIRE TEX 5062",OR(E1469="IN",E1469="C",E1469="Z",E1469="L"),J1469=4),VLOOKUP(_xlfn.MINIFS('FIRE TEX 5062'!$G$4:$G$34,'FIRE TEX 5062'!$G$4:$G$34,"&gt;="&amp;M1469),'FIRE TEX 5062'!$G$4:$K$34,IF(L1469="F-15",2,IF(L1469="F-30",3,IF(L1469="F-60",4,IF(L1469="F-90",5,0)))),0),0)+IF(AND(O1469="FIRE TEX 5062",E1469="CJ",J1469=3),VLOOKUP(_xlfn.MINIFS('FIRE TEX 5062'!$L$4:$L$34,'FIRE TEX 5062'!$L$4:$L$34,"&gt;="&amp;M1469),'FIRE TEX 5062'!$L$4:$P$34,IF(L1469="F-15",2,IF(L1469="F-30",3,IF(L1469="F-60",4,IF(L1469="F-90",5,0)))),0),0)+IF(AND(O1469="FIRE TEX 5062",E1469="CJ",J1469=4),VLOOKUP(_xlfn.MINIFS('FIRE TEX 5062'!$Q$3:$Q$34,'FIRE TEX 5062'!$Q$3:$Q$34,"&gt;="&amp;M1469),'FIRE TEX 5062'!$Q$3:$U$34,IF(L1469="F-15",2,IF(L1469="F-30",3,IF(L1469="F-60",4,IF(L1469="F-90",5,0)))),0),0)+IF(AND(O1469="FIRE TEX 5090",OR(E1469="IN",E1469="C",E1469="Z",E1469="L"),J1469=3),VLOOKUP(_xlfn.MINIFS('FIRE TEX 5090'!$B$5:$B$43,'FIRE TEX 5090'!$B$5:$B$43,"&gt;="&amp;M1469),'FIRE TEX 5090'!$B$5:$H$43,IF(L1469="F-15",2,IF(L1469="F-30",3,IF(L1469="F-60",4,IF(L1469="F-90",5,IF(L1469="F-120",6,IF(L1469="F-150",7,0)))))),0),0)+IF(AND(O1469="FIRE TEX 5090",OR(E1469="IN",E1469="C",E1469="Z",E1469="L"),J1469=4),VLOOKUP(_xlfn.MINIFS('FIRE TEX 5090'!$J$5:$J$43,'FIRE TEX 5090'!$J$5:$J$43,"&gt;="&amp;M1469),'FIRE TEX 5090'!$J$5:$P$43,IF(L1469="F-15",2,IF(L1469="F-30",3,IF(L1469="F-60",4,IF(L1469="F-90",5,IF(L1469="F-120",6,IF(L1469="F-150",7,0)))))),0),0)+IF(AND(O1469="FIRE TEX 5090",E1469="CJ",J1469=3),VLOOKUP(_xlfn.MINIFS('FIRE TEX 5090'!$R$5:$R$30,'FIRE TEX 5090'!$R$5:$R$30,"&gt;="&amp;M1469),'FIRE TEX 5090'!$R$5:$W$30,IF(L1469="F-15",2,IF(L1469="F-30",3,IF(L1469="F-60",4,IF(L1469="F-90",5,IF(L1469="F-120",6,IF(L1469="F-150",7,0)))))),0),0)+IF(AND(O1469="FIRE TEX 5090",E1469="CJ",J1469=4),VLOOKUP(_xlfn.MINIFS('FIRE TEX 5090'!$Y$5:$Y$39,'FIRE TEX 5090'!$Y$5:$Y$39,"&gt;="&amp;M1469),'FIRE TEX 5090'!$Y$5:$AD$39,IF(L1469="F-15",2,IF(L1469="F-30",3,IF(L1469="F-60",4,IF(L1469="F-90",5,IF(L1469="F-120",6,IF(L1469="F-150",7,0)))))),0),0)+IF(AND(O1469="FIRE TEX 5120",OR(E1469="IN",E1469="C",E1469="Z",E1469="L"),J1469=3),VLOOKUP(_xlfn.MINIFS('FIRE TEX 5120'!$B$5:$B$40,'FIRE TEX 5120'!$B$5:$B$40,"&gt;="&amp;M1469),'FIRE TEX 5120'!$B$5:$G$40,IF(L1469="F-15",2,IF(L1469="F-30",3,IF(L1469="F-60",4,IF(L1469="F-90",5,IF(L1469="F-120",6,0))))),0),0)+IF(AND(O1469="FIRE TEX 5120",OR(E1469="IN",E1469="C",E1469="Z",E1469="L"),J1469=4),VLOOKUP(_xlfn.MINIFS('FIRE TEX 5120'!$H$4:$H$40,'FIRE TEX 5120'!$H$4:$H$40,"&gt;="&amp;M1469),'FIRE TEX 5120'!$H$4:$M$40,IF(L1469="F-15",2,IF(L1469="F-30",3,IF(L1469="F-60",4,IF(L1469="F-90",5,IF(L1469="F-120",6,0))))),0),0)+IF(AND(O1469="FIRE TEX 5120",E1469="CJ"),VLOOKUP(_xlfn.MINIFS('FIRE TEX 5120'!$O$5:$O$40,'FIRE TEX 5120'!$O$5:$O$40,"&gt;="&amp;M1469),'FIRE TEX 5120'!$O$5:$T$40,IF(L1469="F-15",2,IF(L1469="F-30",3,IF(L1469="F-60",4,IF(L1469="F-90",5,IF(L1469="F-120",6,0))))),0),0)</f>
        <v>0</v>
      </c>
      <c r="Q1469" s="46">
        <f t="shared" si="134"/>
        <v>0</v>
      </c>
      <c r="R1469" s="46">
        <f t="shared" si="135"/>
        <v>0</v>
      </c>
      <c r="S1469" s="46" t="e">
        <f t="shared" si="136"/>
        <v>#VALUE!</v>
      </c>
      <c r="T1469" s="677">
        <f t="shared" si="137"/>
        <v>0</v>
      </c>
      <c r="U1469" s="80">
        <f>(IF(O1469="Stofire",(S1469*#REF!),0))+(IF(O1469="Fire Control",(S1469*$U$2),0))+(IF(O1469="Fire Tex",(S1469*$U$3),0))+(IF(O1469="WB7",(S1469*#REF!),0)+(IF(O1469="FX 2003",(S1469*$U$5),0)))</f>
        <v>0</v>
      </c>
      <c r="V1469" s="651">
        <f t="shared" si="138"/>
        <v>0</v>
      </c>
    </row>
    <row r="1470" spans="4:22" x14ac:dyDescent="0.25">
      <c r="D1470" s="118">
        <f>+CUBICACION!D1469</f>
        <v>0</v>
      </c>
      <c r="E1470" s="118">
        <f>+CUBICACION!F1469</f>
        <v>0</v>
      </c>
      <c r="F1470" s="118">
        <f>+CUBICACION!E1469</f>
        <v>0</v>
      </c>
      <c r="G1470" s="118">
        <v>12</v>
      </c>
      <c r="H1470" s="118">
        <v>2</v>
      </c>
      <c r="I1470" s="820">
        <v>26385</v>
      </c>
      <c r="J1470" s="118">
        <f>+CUBICACION!J1469</f>
        <v>0</v>
      </c>
      <c r="K1470" s="118">
        <v>4249</v>
      </c>
      <c r="L1470" s="118">
        <f>+CUBICACION!L1469</f>
        <v>0</v>
      </c>
      <c r="M1470" s="64">
        <f>+CUBICACION!M1469</f>
        <v>0</v>
      </c>
      <c r="N1470" s="824" t="str">
        <f>+CUBICACION!N1469</f>
        <v/>
      </c>
      <c r="O1470" s="675">
        <f>+CUBICACION!O1469</f>
        <v>0</v>
      </c>
      <c r="P1470" s="15">
        <f>IF(O1470="Fire Control",VLOOKUP(_xlfn.MINIFS('FIRE CONTROL'!$C$4:$C$37,'FIRE CONTROL'!$C$4:$C$37,"&gt;="&amp;M1470),'FIRE CONTROL'!$C$4:$G$37,IF(L1470="F-15",2,IF(L1470="F-30",3,IF(L1470="F-60",4,IF(L1470="F-90",5,0)))),0),0)+IF(AND(O1470="FIRE TEX 5062",OR(E1470="IN",E1470="C",E1470="Z",E1470="L"),J1470=3),VLOOKUP(_xlfn.MINIFS('FIRE TEX 5062'!$B$4:$B$34,'FIRE TEX 5062'!$B$4:$B$34,"&gt;="&amp;M1470),'FIRE TEX 5062'!$B$4:$F$34,IF(L1470="F-15",2,IF(L1470="F-30",3,IF(L1470="F-60",4,IF(L1470="F-90",5,0)))),0),0)+IF(AND(O1470="FIRE TEX 5062",OR(E1470="IN",E1470="C",E1470="Z",E1470="L"),J1470=4),VLOOKUP(_xlfn.MINIFS('FIRE TEX 5062'!$G$4:$G$34,'FIRE TEX 5062'!$G$4:$G$34,"&gt;="&amp;M1470),'FIRE TEX 5062'!$G$4:$K$34,IF(L1470="F-15",2,IF(L1470="F-30",3,IF(L1470="F-60",4,IF(L1470="F-90",5,0)))),0),0)+IF(AND(O1470="FIRE TEX 5062",E1470="CJ",J1470=3),VLOOKUP(_xlfn.MINIFS('FIRE TEX 5062'!$L$4:$L$34,'FIRE TEX 5062'!$L$4:$L$34,"&gt;="&amp;M1470),'FIRE TEX 5062'!$L$4:$P$34,IF(L1470="F-15",2,IF(L1470="F-30",3,IF(L1470="F-60",4,IF(L1470="F-90",5,0)))),0),0)+IF(AND(O1470="FIRE TEX 5062",E1470="CJ",J1470=4),VLOOKUP(_xlfn.MINIFS('FIRE TEX 5062'!$Q$3:$Q$34,'FIRE TEX 5062'!$Q$3:$Q$34,"&gt;="&amp;M1470),'FIRE TEX 5062'!$Q$3:$U$34,IF(L1470="F-15",2,IF(L1470="F-30",3,IF(L1470="F-60",4,IF(L1470="F-90",5,0)))),0),0)+IF(AND(O1470="FIRE TEX 5090",OR(E1470="IN",E1470="C",E1470="Z",E1470="L"),J1470=3),VLOOKUP(_xlfn.MINIFS('FIRE TEX 5090'!$B$5:$B$43,'FIRE TEX 5090'!$B$5:$B$43,"&gt;="&amp;M1470),'FIRE TEX 5090'!$B$5:$H$43,IF(L1470="F-15",2,IF(L1470="F-30",3,IF(L1470="F-60",4,IF(L1470="F-90",5,IF(L1470="F-120",6,IF(L1470="F-150",7,0)))))),0),0)+IF(AND(O1470="FIRE TEX 5090",OR(E1470="IN",E1470="C",E1470="Z",E1470="L"),J1470=4),VLOOKUP(_xlfn.MINIFS('FIRE TEX 5090'!$J$5:$J$43,'FIRE TEX 5090'!$J$5:$J$43,"&gt;="&amp;M1470),'FIRE TEX 5090'!$J$5:$P$43,IF(L1470="F-15",2,IF(L1470="F-30",3,IF(L1470="F-60",4,IF(L1470="F-90",5,IF(L1470="F-120",6,IF(L1470="F-150",7,0)))))),0),0)+IF(AND(O1470="FIRE TEX 5090",E1470="CJ",J1470=3),VLOOKUP(_xlfn.MINIFS('FIRE TEX 5090'!$R$5:$R$30,'FIRE TEX 5090'!$R$5:$R$30,"&gt;="&amp;M1470),'FIRE TEX 5090'!$R$5:$W$30,IF(L1470="F-15",2,IF(L1470="F-30",3,IF(L1470="F-60",4,IF(L1470="F-90",5,IF(L1470="F-120",6,IF(L1470="F-150",7,0)))))),0),0)+IF(AND(O1470="FIRE TEX 5090",E1470="CJ",J1470=4),VLOOKUP(_xlfn.MINIFS('FIRE TEX 5090'!$Y$5:$Y$39,'FIRE TEX 5090'!$Y$5:$Y$39,"&gt;="&amp;M1470),'FIRE TEX 5090'!$Y$5:$AD$39,IF(L1470="F-15",2,IF(L1470="F-30",3,IF(L1470="F-60",4,IF(L1470="F-90",5,IF(L1470="F-120",6,IF(L1470="F-150",7,0)))))),0),0)+IF(AND(O1470="FIRE TEX 5120",OR(E1470="IN",E1470="C",E1470="Z",E1470="L"),J1470=3),VLOOKUP(_xlfn.MINIFS('FIRE TEX 5120'!$B$5:$B$40,'FIRE TEX 5120'!$B$5:$B$40,"&gt;="&amp;M1470),'FIRE TEX 5120'!$B$5:$G$40,IF(L1470="F-15",2,IF(L1470="F-30",3,IF(L1470="F-60",4,IF(L1470="F-90",5,IF(L1470="F-120",6,0))))),0),0)+IF(AND(O1470="FIRE TEX 5120",OR(E1470="IN",E1470="C",E1470="Z",E1470="L"),J1470=4),VLOOKUP(_xlfn.MINIFS('FIRE TEX 5120'!$H$4:$H$40,'FIRE TEX 5120'!$H$4:$H$40,"&gt;="&amp;M1470),'FIRE TEX 5120'!$H$4:$M$40,IF(L1470="F-15",2,IF(L1470="F-30",3,IF(L1470="F-60",4,IF(L1470="F-90",5,IF(L1470="F-120",6,0))))),0),0)+IF(AND(O1470="FIRE TEX 5120",E1470="CJ"),VLOOKUP(_xlfn.MINIFS('FIRE TEX 5120'!$O$5:$O$40,'FIRE TEX 5120'!$O$5:$O$40,"&gt;="&amp;M1470),'FIRE TEX 5120'!$O$5:$T$40,IF(L1470="F-15",2,IF(L1470="F-30",3,IF(L1470="F-60",4,IF(L1470="F-90",5,IF(L1470="F-120",6,0))))),0),0)</f>
        <v>0</v>
      </c>
      <c r="Q1470" s="46">
        <f t="shared" si="134"/>
        <v>0</v>
      </c>
      <c r="R1470" s="46">
        <f t="shared" si="135"/>
        <v>0</v>
      </c>
      <c r="S1470" s="46" t="e">
        <f t="shared" si="136"/>
        <v>#VALUE!</v>
      </c>
      <c r="T1470" s="677">
        <f t="shared" si="137"/>
        <v>0</v>
      </c>
      <c r="U1470" s="80">
        <f>(IF(O1470="Stofire",(S1470*#REF!),0))+(IF(O1470="Fire Control",(S1470*$U$2),0))+(IF(O1470="Fire Tex",(S1470*$U$3),0))+(IF(O1470="WB7",(S1470*#REF!),0)+(IF(O1470="FX 2003",(S1470*$U$5),0)))</f>
        <v>0</v>
      </c>
      <c r="V1470" s="651">
        <f t="shared" si="138"/>
        <v>0</v>
      </c>
    </row>
    <row r="1471" spans="4:22" x14ac:dyDescent="0.25">
      <c r="D1471" s="118">
        <f>+CUBICACION!D1470</f>
        <v>0</v>
      </c>
      <c r="E1471" s="118">
        <f>+CUBICACION!F1470</f>
        <v>0</v>
      </c>
      <c r="F1471" s="118">
        <f>+CUBICACION!E1470</f>
        <v>0</v>
      </c>
      <c r="G1471" s="118">
        <v>12</v>
      </c>
      <c r="H1471" s="118">
        <v>2</v>
      </c>
      <c r="I1471" s="820">
        <v>26385</v>
      </c>
      <c r="J1471" s="118">
        <f>+CUBICACION!J1470</f>
        <v>0</v>
      </c>
      <c r="K1471" s="118">
        <v>4250</v>
      </c>
      <c r="L1471" s="118">
        <f>+CUBICACION!L1470</f>
        <v>0</v>
      </c>
      <c r="M1471" s="64">
        <f>+CUBICACION!M1470</f>
        <v>0</v>
      </c>
      <c r="N1471" s="824" t="str">
        <f>+CUBICACION!N1470</f>
        <v/>
      </c>
      <c r="O1471" s="675">
        <f>+CUBICACION!O1470</f>
        <v>0</v>
      </c>
      <c r="P1471" s="15">
        <f>IF(O1471="Fire Control",VLOOKUP(_xlfn.MINIFS('FIRE CONTROL'!$C$4:$C$37,'FIRE CONTROL'!$C$4:$C$37,"&gt;="&amp;M1471),'FIRE CONTROL'!$C$4:$G$37,IF(L1471="F-15",2,IF(L1471="F-30",3,IF(L1471="F-60",4,IF(L1471="F-90",5,0)))),0),0)+IF(AND(O1471="FIRE TEX 5062",OR(E1471="IN",E1471="C",E1471="Z",E1471="L"),J1471=3),VLOOKUP(_xlfn.MINIFS('FIRE TEX 5062'!$B$4:$B$34,'FIRE TEX 5062'!$B$4:$B$34,"&gt;="&amp;M1471),'FIRE TEX 5062'!$B$4:$F$34,IF(L1471="F-15",2,IF(L1471="F-30",3,IF(L1471="F-60",4,IF(L1471="F-90",5,0)))),0),0)+IF(AND(O1471="FIRE TEX 5062",OR(E1471="IN",E1471="C",E1471="Z",E1471="L"),J1471=4),VLOOKUP(_xlfn.MINIFS('FIRE TEX 5062'!$G$4:$G$34,'FIRE TEX 5062'!$G$4:$G$34,"&gt;="&amp;M1471),'FIRE TEX 5062'!$G$4:$K$34,IF(L1471="F-15",2,IF(L1471="F-30",3,IF(L1471="F-60",4,IF(L1471="F-90",5,0)))),0),0)+IF(AND(O1471="FIRE TEX 5062",E1471="CJ",J1471=3),VLOOKUP(_xlfn.MINIFS('FIRE TEX 5062'!$L$4:$L$34,'FIRE TEX 5062'!$L$4:$L$34,"&gt;="&amp;M1471),'FIRE TEX 5062'!$L$4:$P$34,IF(L1471="F-15",2,IF(L1471="F-30",3,IF(L1471="F-60",4,IF(L1471="F-90",5,0)))),0),0)+IF(AND(O1471="FIRE TEX 5062",E1471="CJ",J1471=4),VLOOKUP(_xlfn.MINIFS('FIRE TEX 5062'!$Q$3:$Q$34,'FIRE TEX 5062'!$Q$3:$Q$34,"&gt;="&amp;M1471),'FIRE TEX 5062'!$Q$3:$U$34,IF(L1471="F-15",2,IF(L1471="F-30",3,IF(L1471="F-60",4,IF(L1471="F-90",5,0)))),0),0)+IF(AND(O1471="FIRE TEX 5090",OR(E1471="IN",E1471="C",E1471="Z",E1471="L"),J1471=3),VLOOKUP(_xlfn.MINIFS('FIRE TEX 5090'!$B$5:$B$43,'FIRE TEX 5090'!$B$5:$B$43,"&gt;="&amp;M1471),'FIRE TEX 5090'!$B$5:$H$43,IF(L1471="F-15",2,IF(L1471="F-30",3,IF(L1471="F-60",4,IF(L1471="F-90",5,IF(L1471="F-120",6,IF(L1471="F-150",7,0)))))),0),0)+IF(AND(O1471="FIRE TEX 5090",OR(E1471="IN",E1471="C",E1471="Z",E1471="L"),J1471=4),VLOOKUP(_xlfn.MINIFS('FIRE TEX 5090'!$J$5:$J$43,'FIRE TEX 5090'!$J$5:$J$43,"&gt;="&amp;M1471),'FIRE TEX 5090'!$J$5:$P$43,IF(L1471="F-15",2,IF(L1471="F-30",3,IF(L1471="F-60",4,IF(L1471="F-90",5,IF(L1471="F-120",6,IF(L1471="F-150",7,0)))))),0),0)+IF(AND(O1471="FIRE TEX 5090",E1471="CJ",J1471=3),VLOOKUP(_xlfn.MINIFS('FIRE TEX 5090'!$R$5:$R$30,'FIRE TEX 5090'!$R$5:$R$30,"&gt;="&amp;M1471),'FIRE TEX 5090'!$R$5:$W$30,IF(L1471="F-15",2,IF(L1471="F-30",3,IF(L1471="F-60",4,IF(L1471="F-90",5,IF(L1471="F-120",6,IF(L1471="F-150",7,0)))))),0),0)+IF(AND(O1471="FIRE TEX 5090",E1471="CJ",J1471=4),VLOOKUP(_xlfn.MINIFS('FIRE TEX 5090'!$Y$5:$Y$39,'FIRE TEX 5090'!$Y$5:$Y$39,"&gt;="&amp;M1471),'FIRE TEX 5090'!$Y$5:$AD$39,IF(L1471="F-15",2,IF(L1471="F-30",3,IF(L1471="F-60",4,IF(L1471="F-90",5,IF(L1471="F-120",6,IF(L1471="F-150",7,0)))))),0),0)+IF(AND(O1471="FIRE TEX 5120",OR(E1471="IN",E1471="C",E1471="Z",E1471="L"),J1471=3),VLOOKUP(_xlfn.MINIFS('FIRE TEX 5120'!$B$5:$B$40,'FIRE TEX 5120'!$B$5:$B$40,"&gt;="&amp;M1471),'FIRE TEX 5120'!$B$5:$G$40,IF(L1471="F-15",2,IF(L1471="F-30",3,IF(L1471="F-60",4,IF(L1471="F-90",5,IF(L1471="F-120",6,0))))),0),0)+IF(AND(O1471="FIRE TEX 5120",OR(E1471="IN",E1471="C",E1471="Z",E1471="L"),J1471=4),VLOOKUP(_xlfn.MINIFS('FIRE TEX 5120'!$H$4:$H$40,'FIRE TEX 5120'!$H$4:$H$40,"&gt;="&amp;M1471),'FIRE TEX 5120'!$H$4:$M$40,IF(L1471="F-15",2,IF(L1471="F-30",3,IF(L1471="F-60",4,IF(L1471="F-90",5,IF(L1471="F-120",6,0))))),0),0)+IF(AND(O1471="FIRE TEX 5120",E1471="CJ"),VLOOKUP(_xlfn.MINIFS('FIRE TEX 5120'!$O$5:$O$40,'FIRE TEX 5120'!$O$5:$O$40,"&gt;="&amp;M1471),'FIRE TEX 5120'!$O$5:$T$40,IF(L1471="F-15",2,IF(L1471="F-30",3,IF(L1471="F-60",4,IF(L1471="F-90",5,IF(L1471="F-120",6,0))))),0),0)</f>
        <v>0</v>
      </c>
      <c r="Q1471" s="46">
        <f t="shared" si="134"/>
        <v>0</v>
      </c>
      <c r="R1471" s="46">
        <f t="shared" si="135"/>
        <v>0</v>
      </c>
      <c r="S1471" s="46" t="e">
        <f t="shared" si="136"/>
        <v>#VALUE!</v>
      </c>
      <c r="T1471" s="677">
        <f t="shared" si="137"/>
        <v>0</v>
      </c>
      <c r="U1471" s="80">
        <f>(IF(O1471="Stofire",(S1471*#REF!),0))+(IF(O1471="Fire Control",(S1471*$U$2),0))+(IF(O1471="Fire Tex",(S1471*$U$3),0))+(IF(O1471="WB7",(S1471*#REF!),0)+(IF(O1471="FX 2003",(S1471*$U$5),0)))</f>
        <v>0</v>
      </c>
      <c r="V1471" s="651">
        <f t="shared" si="138"/>
        <v>0</v>
      </c>
    </row>
    <row r="1472" spans="4:22" x14ac:dyDescent="0.25">
      <c r="D1472" s="118">
        <f>+CUBICACION!D1471</f>
        <v>0</v>
      </c>
      <c r="E1472" s="118">
        <f>+CUBICACION!F1471</f>
        <v>0</v>
      </c>
      <c r="F1472" s="118">
        <f>+CUBICACION!E1471</f>
        <v>0</v>
      </c>
      <c r="G1472" s="118">
        <v>12</v>
      </c>
      <c r="H1472" s="118">
        <v>2</v>
      </c>
      <c r="I1472" s="820">
        <v>26385</v>
      </c>
      <c r="J1472" s="118">
        <f>+CUBICACION!J1471</f>
        <v>0</v>
      </c>
      <c r="K1472" s="118">
        <v>4251</v>
      </c>
      <c r="L1472" s="118">
        <f>+CUBICACION!L1471</f>
        <v>0</v>
      </c>
      <c r="M1472" s="64">
        <f>+CUBICACION!M1471</f>
        <v>0</v>
      </c>
      <c r="N1472" s="824" t="str">
        <f>+CUBICACION!N1471</f>
        <v/>
      </c>
      <c r="O1472" s="675">
        <f>+CUBICACION!O1471</f>
        <v>0</v>
      </c>
      <c r="P1472" s="15">
        <f>IF(O1472="Fire Control",VLOOKUP(_xlfn.MINIFS('FIRE CONTROL'!$C$4:$C$37,'FIRE CONTROL'!$C$4:$C$37,"&gt;="&amp;M1472),'FIRE CONTROL'!$C$4:$G$37,IF(L1472="F-15",2,IF(L1472="F-30",3,IF(L1472="F-60",4,IF(L1472="F-90",5,0)))),0),0)+IF(AND(O1472="FIRE TEX 5062",OR(E1472="IN",E1472="C",E1472="Z",E1472="L"),J1472=3),VLOOKUP(_xlfn.MINIFS('FIRE TEX 5062'!$B$4:$B$34,'FIRE TEX 5062'!$B$4:$B$34,"&gt;="&amp;M1472),'FIRE TEX 5062'!$B$4:$F$34,IF(L1472="F-15",2,IF(L1472="F-30",3,IF(L1472="F-60",4,IF(L1472="F-90",5,0)))),0),0)+IF(AND(O1472="FIRE TEX 5062",OR(E1472="IN",E1472="C",E1472="Z",E1472="L"),J1472=4),VLOOKUP(_xlfn.MINIFS('FIRE TEX 5062'!$G$4:$G$34,'FIRE TEX 5062'!$G$4:$G$34,"&gt;="&amp;M1472),'FIRE TEX 5062'!$G$4:$K$34,IF(L1472="F-15",2,IF(L1472="F-30",3,IF(L1472="F-60",4,IF(L1472="F-90",5,0)))),0),0)+IF(AND(O1472="FIRE TEX 5062",E1472="CJ",J1472=3),VLOOKUP(_xlfn.MINIFS('FIRE TEX 5062'!$L$4:$L$34,'FIRE TEX 5062'!$L$4:$L$34,"&gt;="&amp;M1472),'FIRE TEX 5062'!$L$4:$P$34,IF(L1472="F-15",2,IF(L1472="F-30",3,IF(L1472="F-60",4,IF(L1472="F-90",5,0)))),0),0)+IF(AND(O1472="FIRE TEX 5062",E1472="CJ",J1472=4),VLOOKUP(_xlfn.MINIFS('FIRE TEX 5062'!$Q$3:$Q$34,'FIRE TEX 5062'!$Q$3:$Q$34,"&gt;="&amp;M1472),'FIRE TEX 5062'!$Q$3:$U$34,IF(L1472="F-15",2,IF(L1472="F-30",3,IF(L1472="F-60",4,IF(L1472="F-90",5,0)))),0),0)+IF(AND(O1472="FIRE TEX 5090",OR(E1472="IN",E1472="C",E1472="Z",E1472="L"),J1472=3),VLOOKUP(_xlfn.MINIFS('FIRE TEX 5090'!$B$5:$B$43,'FIRE TEX 5090'!$B$5:$B$43,"&gt;="&amp;M1472),'FIRE TEX 5090'!$B$5:$H$43,IF(L1472="F-15",2,IF(L1472="F-30",3,IF(L1472="F-60",4,IF(L1472="F-90",5,IF(L1472="F-120",6,IF(L1472="F-150",7,0)))))),0),0)+IF(AND(O1472="FIRE TEX 5090",OR(E1472="IN",E1472="C",E1472="Z",E1472="L"),J1472=4),VLOOKUP(_xlfn.MINIFS('FIRE TEX 5090'!$J$5:$J$43,'FIRE TEX 5090'!$J$5:$J$43,"&gt;="&amp;M1472),'FIRE TEX 5090'!$J$5:$P$43,IF(L1472="F-15",2,IF(L1472="F-30",3,IF(L1472="F-60",4,IF(L1472="F-90",5,IF(L1472="F-120",6,IF(L1472="F-150",7,0)))))),0),0)+IF(AND(O1472="FIRE TEX 5090",E1472="CJ",J1472=3),VLOOKUP(_xlfn.MINIFS('FIRE TEX 5090'!$R$5:$R$30,'FIRE TEX 5090'!$R$5:$R$30,"&gt;="&amp;M1472),'FIRE TEX 5090'!$R$5:$W$30,IF(L1472="F-15",2,IF(L1472="F-30",3,IF(L1472="F-60",4,IF(L1472="F-90",5,IF(L1472="F-120",6,IF(L1472="F-150",7,0)))))),0),0)+IF(AND(O1472="FIRE TEX 5090",E1472="CJ",J1472=4),VLOOKUP(_xlfn.MINIFS('FIRE TEX 5090'!$Y$5:$Y$39,'FIRE TEX 5090'!$Y$5:$Y$39,"&gt;="&amp;M1472),'FIRE TEX 5090'!$Y$5:$AD$39,IF(L1472="F-15",2,IF(L1472="F-30",3,IF(L1472="F-60",4,IF(L1472="F-90",5,IF(L1472="F-120",6,IF(L1472="F-150",7,0)))))),0),0)+IF(AND(O1472="FIRE TEX 5120",OR(E1472="IN",E1472="C",E1472="Z",E1472="L"),J1472=3),VLOOKUP(_xlfn.MINIFS('FIRE TEX 5120'!$B$5:$B$40,'FIRE TEX 5120'!$B$5:$B$40,"&gt;="&amp;M1472),'FIRE TEX 5120'!$B$5:$G$40,IF(L1472="F-15",2,IF(L1472="F-30",3,IF(L1472="F-60",4,IF(L1472="F-90",5,IF(L1472="F-120",6,0))))),0),0)+IF(AND(O1472="FIRE TEX 5120",OR(E1472="IN",E1472="C",E1472="Z",E1472="L"),J1472=4),VLOOKUP(_xlfn.MINIFS('FIRE TEX 5120'!$H$4:$H$40,'FIRE TEX 5120'!$H$4:$H$40,"&gt;="&amp;M1472),'FIRE TEX 5120'!$H$4:$M$40,IF(L1472="F-15",2,IF(L1472="F-30",3,IF(L1472="F-60",4,IF(L1472="F-90",5,IF(L1472="F-120",6,0))))),0),0)+IF(AND(O1472="FIRE TEX 5120",E1472="CJ"),VLOOKUP(_xlfn.MINIFS('FIRE TEX 5120'!$O$5:$O$40,'FIRE TEX 5120'!$O$5:$O$40,"&gt;="&amp;M1472),'FIRE TEX 5120'!$O$5:$T$40,IF(L1472="F-15",2,IF(L1472="F-30",3,IF(L1472="F-60",4,IF(L1472="F-90",5,IF(L1472="F-120",6,0))))),0),0)</f>
        <v>0</v>
      </c>
      <c r="Q1472" s="46">
        <f t="shared" si="134"/>
        <v>0</v>
      </c>
      <c r="R1472" s="46">
        <f t="shared" si="135"/>
        <v>0</v>
      </c>
      <c r="S1472" s="46" t="e">
        <f t="shared" si="136"/>
        <v>#VALUE!</v>
      </c>
      <c r="T1472" s="677">
        <f t="shared" si="137"/>
        <v>0</v>
      </c>
      <c r="U1472" s="80">
        <f>(IF(O1472="Stofire",(S1472*#REF!),0))+(IF(O1472="Fire Control",(S1472*$U$2),0))+(IF(O1472="Fire Tex",(S1472*$U$3),0))+(IF(O1472="WB7",(S1472*#REF!),0)+(IF(O1472="FX 2003",(S1472*$U$5),0)))</f>
        <v>0</v>
      </c>
      <c r="V1472" s="651">
        <f t="shared" si="138"/>
        <v>0</v>
      </c>
    </row>
    <row r="1473" spans="4:22" x14ac:dyDescent="0.25">
      <c r="D1473" s="118">
        <f>+CUBICACION!D1472</f>
        <v>0</v>
      </c>
      <c r="E1473" s="118">
        <f>+CUBICACION!F1472</f>
        <v>0</v>
      </c>
      <c r="F1473" s="118">
        <f>+CUBICACION!E1472</f>
        <v>0</v>
      </c>
      <c r="G1473" s="118">
        <v>12</v>
      </c>
      <c r="H1473" s="118">
        <v>2</v>
      </c>
      <c r="I1473" s="820">
        <v>26385</v>
      </c>
      <c r="J1473" s="118">
        <f>+CUBICACION!J1472</f>
        <v>0</v>
      </c>
      <c r="K1473" s="118">
        <v>4252</v>
      </c>
      <c r="L1473" s="118">
        <f>+CUBICACION!L1472</f>
        <v>0</v>
      </c>
      <c r="M1473" s="64">
        <f>+CUBICACION!M1472</f>
        <v>0</v>
      </c>
      <c r="N1473" s="824" t="str">
        <f>+CUBICACION!N1472</f>
        <v/>
      </c>
      <c r="O1473" s="675">
        <f>+CUBICACION!O1472</f>
        <v>0</v>
      </c>
      <c r="P1473" s="15">
        <f>IF(O1473="Fire Control",VLOOKUP(_xlfn.MINIFS('FIRE CONTROL'!$C$4:$C$37,'FIRE CONTROL'!$C$4:$C$37,"&gt;="&amp;M1473),'FIRE CONTROL'!$C$4:$G$37,IF(L1473="F-15",2,IF(L1473="F-30",3,IF(L1473="F-60",4,IF(L1473="F-90",5,0)))),0),0)+IF(AND(O1473="FIRE TEX 5062",OR(E1473="IN",E1473="C",E1473="Z",E1473="L"),J1473=3),VLOOKUP(_xlfn.MINIFS('FIRE TEX 5062'!$B$4:$B$34,'FIRE TEX 5062'!$B$4:$B$34,"&gt;="&amp;M1473),'FIRE TEX 5062'!$B$4:$F$34,IF(L1473="F-15",2,IF(L1473="F-30",3,IF(L1473="F-60",4,IF(L1473="F-90",5,0)))),0),0)+IF(AND(O1473="FIRE TEX 5062",OR(E1473="IN",E1473="C",E1473="Z",E1473="L"),J1473=4),VLOOKUP(_xlfn.MINIFS('FIRE TEX 5062'!$G$4:$G$34,'FIRE TEX 5062'!$G$4:$G$34,"&gt;="&amp;M1473),'FIRE TEX 5062'!$G$4:$K$34,IF(L1473="F-15",2,IF(L1473="F-30",3,IF(L1473="F-60",4,IF(L1473="F-90",5,0)))),0),0)+IF(AND(O1473="FIRE TEX 5062",E1473="CJ",J1473=3),VLOOKUP(_xlfn.MINIFS('FIRE TEX 5062'!$L$4:$L$34,'FIRE TEX 5062'!$L$4:$L$34,"&gt;="&amp;M1473),'FIRE TEX 5062'!$L$4:$P$34,IF(L1473="F-15",2,IF(L1473="F-30",3,IF(L1473="F-60",4,IF(L1473="F-90",5,0)))),0),0)+IF(AND(O1473="FIRE TEX 5062",E1473="CJ",J1473=4),VLOOKUP(_xlfn.MINIFS('FIRE TEX 5062'!$Q$3:$Q$34,'FIRE TEX 5062'!$Q$3:$Q$34,"&gt;="&amp;M1473),'FIRE TEX 5062'!$Q$3:$U$34,IF(L1473="F-15",2,IF(L1473="F-30",3,IF(L1473="F-60",4,IF(L1473="F-90",5,0)))),0),0)+IF(AND(O1473="FIRE TEX 5090",OR(E1473="IN",E1473="C",E1473="Z",E1473="L"),J1473=3),VLOOKUP(_xlfn.MINIFS('FIRE TEX 5090'!$B$5:$B$43,'FIRE TEX 5090'!$B$5:$B$43,"&gt;="&amp;M1473),'FIRE TEX 5090'!$B$5:$H$43,IF(L1473="F-15",2,IF(L1473="F-30",3,IF(L1473="F-60",4,IF(L1473="F-90",5,IF(L1473="F-120",6,IF(L1473="F-150",7,0)))))),0),0)+IF(AND(O1473="FIRE TEX 5090",OR(E1473="IN",E1473="C",E1473="Z",E1473="L"),J1473=4),VLOOKUP(_xlfn.MINIFS('FIRE TEX 5090'!$J$5:$J$43,'FIRE TEX 5090'!$J$5:$J$43,"&gt;="&amp;M1473),'FIRE TEX 5090'!$J$5:$P$43,IF(L1473="F-15",2,IF(L1473="F-30",3,IF(L1473="F-60",4,IF(L1473="F-90",5,IF(L1473="F-120",6,IF(L1473="F-150",7,0)))))),0),0)+IF(AND(O1473="FIRE TEX 5090",E1473="CJ",J1473=3),VLOOKUP(_xlfn.MINIFS('FIRE TEX 5090'!$R$5:$R$30,'FIRE TEX 5090'!$R$5:$R$30,"&gt;="&amp;M1473),'FIRE TEX 5090'!$R$5:$W$30,IF(L1473="F-15",2,IF(L1473="F-30",3,IF(L1473="F-60",4,IF(L1473="F-90",5,IF(L1473="F-120",6,IF(L1473="F-150",7,0)))))),0),0)+IF(AND(O1473="FIRE TEX 5090",E1473="CJ",J1473=4),VLOOKUP(_xlfn.MINIFS('FIRE TEX 5090'!$Y$5:$Y$39,'FIRE TEX 5090'!$Y$5:$Y$39,"&gt;="&amp;M1473),'FIRE TEX 5090'!$Y$5:$AD$39,IF(L1473="F-15",2,IF(L1473="F-30",3,IF(L1473="F-60",4,IF(L1473="F-90",5,IF(L1473="F-120",6,IF(L1473="F-150",7,0)))))),0),0)+IF(AND(O1473="FIRE TEX 5120",OR(E1473="IN",E1473="C",E1473="Z",E1473="L"),J1473=3),VLOOKUP(_xlfn.MINIFS('FIRE TEX 5120'!$B$5:$B$40,'FIRE TEX 5120'!$B$5:$B$40,"&gt;="&amp;M1473),'FIRE TEX 5120'!$B$5:$G$40,IF(L1473="F-15",2,IF(L1473="F-30",3,IF(L1473="F-60",4,IF(L1473="F-90",5,IF(L1473="F-120",6,0))))),0),0)+IF(AND(O1473="FIRE TEX 5120",OR(E1473="IN",E1473="C",E1473="Z",E1473="L"),J1473=4),VLOOKUP(_xlfn.MINIFS('FIRE TEX 5120'!$H$4:$H$40,'FIRE TEX 5120'!$H$4:$H$40,"&gt;="&amp;M1473),'FIRE TEX 5120'!$H$4:$M$40,IF(L1473="F-15",2,IF(L1473="F-30",3,IF(L1473="F-60",4,IF(L1473="F-90",5,IF(L1473="F-120",6,0))))),0),0)+IF(AND(O1473="FIRE TEX 5120",E1473="CJ"),VLOOKUP(_xlfn.MINIFS('FIRE TEX 5120'!$O$5:$O$40,'FIRE TEX 5120'!$O$5:$O$40,"&gt;="&amp;M1473),'FIRE TEX 5120'!$O$5:$T$40,IF(L1473="F-15",2,IF(L1473="F-30",3,IF(L1473="F-60",4,IF(L1473="F-90",5,IF(L1473="F-120",6,0))))),0),0)</f>
        <v>0</v>
      </c>
      <c r="Q1473" s="46">
        <f t="shared" si="134"/>
        <v>0</v>
      </c>
      <c r="R1473" s="46">
        <f t="shared" si="135"/>
        <v>0</v>
      </c>
      <c r="S1473" s="46" t="e">
        <f t="shared" si="136"/>
        <v>#VALUE!</v>
      </c>
      <c r="T1473" s="677">
        <f t="shared" si="137"/>
        <v>0</v>
      </c>
      <c r="U1473" s="80">
        <f>(IF(O1473="Stofire",(S1473*#REF!),0))+(IF(O1473="Fire Control",(S1473*$U$2),0))+(IF(O1473="Fire Tex",(S1473*$U$3),0))+(IF(O1473="WB7",(S1473*#REF!),0)+(IF(O1473="FX 2003",(S1473*$U$5),0)))</f>
        <v>0</v>
      </c>
      <c r="V1473" s="651">
        <f t="shared" si="138"/>
        <v>0</v>
      </c>
    </row>
    <row r="1474" spans="4:22" x14ac:dyDescent="0.25">
      <c r="D1474" s="118">
        <f>+CUBICACION!D1473</f>
        <v>0</v>
      </c>
      <c r="E1474" s="118">
        <f>+CUBICACION!F1473</f>
        <v>0</v>
      </c>
      <c r="F1474" s="118">
        <f>+CUBICACION!E1473</f>
        <v>0</v>
      </c>
      <c r="G1474" s="118">
        <v>12</v>
      </c>
      <c r="H1474" s="118">
        <v>2</v>
      </c>
      <c r="I1474" s="820">
        <v>26385</v>
      </c>
      <c r="J1474" s="118">
        <f>+CUBICACION!J1473</f>
        <v>0</v>
      </c>
      <c r="K1474" s="118">
        <v>4253</v>
      </c>
      <c r="L1474" s="118">
        <f>+CUBICACION!L1473</f>
        <v>0</v>
      </c>
      <c r="M1474" s="64">
        <f>+CUBICACION!M1473</f>
        <v>0</v>
      </c>
      <c r="N1474" s="824" t="str">
        <f>+CUBICACION!N1473</f>
        <v/>
      </c>
      <c r="O1474" s="675">
        <f>+CUBICACION!O1473</f>
        <v>0</v>
      </c>
      <c r="P1474" s="15">
        <f>IF(O1474="Fire Control",VLOOKUP(_xlfn.MINIFS('FIRE CONTROL'!$C$4:$C$37,'FIRE CONTROL'!$C$4:$C$37,"&gt;="&amp;M1474),'FIRE CONTROL'!$C$4:$G$37,IF(L1474="F-15",2,IF(L1474="F-30",3,IF(L1474="F-60",4,IF(L1474="F-90",5,0)))),0),0)+IF(AND(O1474="FIRE TEX 5062",OR(E1474="IN",E1474="C",E1474="Z",E1474="L"),J1474=3),VLOOKUP(_xlfn.MINIFS('FIRE TEX 5062'!$B$4:$B$34,'FIRE TEX 5062'!$B$4:$B$34,"&gt;="&amp;M1474),'FIRE TEX 5062'!$B$4:$F$34,IF(L1474="F-15",2,IF(L1474="F-30",3,IF(L1474="F-60",4,IF(L1474="F-90",5,0)))),0),0)+IF(AND(O1474="FIRE TEX 5062",OR(E1474="IN",E1474="C",E1474="Z",E1474="L"),J1474=4),VLOOKUP(_xlfn.MINIFS('FIRE TEX 5062'!$G$4:$G$34,'FIRE TEX 5062'!$G$4:$G$34,"&gt;="&amp;M1474),'FIRE TEX 5062'!$G$4:$K$34,IF(L1474="F-15",2,IF(L1474="F-30",3,IF(L1474="F-60",4,IF(L1474="F-90",5,0)))),0),0)+IF(AND(O1474="FIRE TEX 5062",E1474="CJ",J1474=3),VLOOKUP(_xlfn.MINIFS('FIRE TEX 5062'!$L$4:$L$34,'FIRE TEX 5062'!$L$4:$L$34,"&gt;="&amp;M1474),'FIRE TEX 5062'!$L$4:$P$34,IF(L1474="F-15",2,IF(L1474="F-30",3,IF(L1474="F-60",4,IF(L1474="F-90",5,0)))),0),0)+IF(AND(O1474="FIRE TEX 5062",E1474="CJ",J1474=4),VLOOKUP(_xlfn.MINIFS('FIRE TEX 5062'!$Q$3:$Q$34,'FIRE TEX 5062'!$Q$3:$Q$34,"&gt;="&amp;M1474),'FIRE TEX 5062'!$Q$3:$U$34,IF(L1474="F-15",2,IF(L1474="F-30",3,IF(L1474="F-60",4,IF(L1474="F-90",5,0)))),0),0)+IF(AND(O1474="FIRE TEX 5090",OR(E1474="IN",E1474="C",E1474="Z",E1474="L"),J1474=3),VLOOKUP(_xlfn.MINIFS('FIRE TEX 5090'!$B$5:$B$43,'FIRE TEX 5090'!$B$5:$B$43,"&gt;="&amp;M1474),'FIRE TEX 5090'!$B$5:$H$43,IF(L1474="F-15",2,IF(L1474="F-30",3,IF(L1474="F-60",4,IF(L1474="F-90",5,IF(L1474="F-120",6,IF(L1474="F-150",7,0)))))),0),0)+IF(AND(O1474="FIRE TEX 5090",OR(E1474="IN",E1474="C",E1474="Z",E1474="L"),J1474=4),VLOOKUP(_xlfn.MINIFS('FIRE TEX 5090'!$J$5:$J$43,'FIRE TEX 5090'!$J$5:$J$43,"&gt;="&amp;M1474),'FIRE TEX 5090'!$J$5:$P$43,IF(L1474="F-15",2,IF(L1474="F-30",3,IF(L1474="F-60",4,IF(L1474="F-90",5,IF(L1474="F-120",6,IF(L1474="F-150",7,0)))))),0),0)+IF(AND(O1474="FIRE TEX 5090",E1474="CJ",J1474=3),VLOOKUP(_xlfn.MINIFS('FIRE TEX 5090'!$R$5:$R$30,'FIRE TEX 5090'!$R$5:$R$30,"&gt;="&amp;M1474),'FIRE TEX 5090'!$R$5:$W$30,IF(L1474="F-15",2,IF(L1474="F-30",3,IF(L1474="F-60",4,IF(L1474="F-90",5,IF(L1474="F-120",6,IF(L1474="F-150",7,0)))))),0),0)+IF(AND(O1474="FIRE TEX 5090",E1474="CJ",J1474=4),VLOOKUP(_xlfn.MINIFS('FIRE TEX 5090'!$Y$5:$Y$39,'FIRE TEX 5090'!$Y$5:$Y$39,"&gt;="&amp;M1474),'FIRE TEX 5090'!$Y$5:$AD$39,IF(L1474="F-15",2,IF(L1474="F-30",3,IF(L1474="F-60",4,IF(L1474="F-90",5,IF(L1474="F-120",6,IF(L1474="F-150",7,0)))))),0),0)+IF(AND(O1474="FIRE TEX 5120",OR(E1474="IN",E1474="C",E1474="Z",E1474="L"),J1474=3),VLOOKUP(_xlfn.MINIFS('FIRE TEX 5120'!$B$5:$B$40,'FIRE TEX 5120'!$B$5:$B$40,"&gt;="&amp;M1474),'FIRE TEX 5120'!$B$5:$G$40,IF(L1474="F-15",2,IF(L1474="F-30",3,IF(L1474="F-60",4,IF(L1474="F-90",5,IF(L1474="F-120",6,0))))),0),0)+IF(AND(O1474="FIRE TEX 5120",OR(E1474="IN",E1474="C",E1474="Z",E1474="L"),J1474=4),VLOOKUP(_xlfn.MINIFS('FIRE TEX 5120'!$H$4:$H$40,'FIRE TEX 5120'!$H$4:$H$40,"&gt;="&amp;M1474),'FIRE TEX 5120'!$H$4:$M$40,IF(L1474="F-15",2,IF(L1474="F-30",3,IF(L1474="F-60",4,IF(L1474="F-90",5,IF(L1474="F-120",6,0))))),0),0)+IF(AND(O1474="FIRE TEX 5120",E1474="CJ"),VLOOKUP(_xlfn.MINIFS('FIRE TEX 5120'!$O$5:$O$40,'FIRE TEX 5120'!$O$5:$O$40,"&gt;="&amp;M1474),'FIRE TEX 5120'!$O$5:$T$40,IF(L1474="F-15",2,IF(L1474="F-30",3,IF(L1474="F-60",4,IF(L1474="F-90",5,IF(L1474="F-120",6,0))))),0),0)</f>
        <v>0</v>
      </c>
      <c r="Q1474" s="46">
        <f t="shared" si="134"/>
        <v>0</v>
      </c>
      <c r="R1474" s="46">
        <f t="shared" si="135"/>
        <v>0</v>
      </c>
      <c r="S1474" s="46" t="e">
        <f t="shared" si="136"/>
        <v>#VALUE!</v>
      </c>
      <c r="T1474" s="677">
        <f t="shared" si="137"/>
        <v>0</v>
      </c>
      <c r="U1474" s="80">
        <f>(IF(O1474="Stofire",(S1474*#REF!),0))+(IF(O1474="Fire Control",(S1474*$U$2),0))+(IF(O1474="Fire Tex",(S1474*$U$3),0))+(IF(O1474="WB7",(S1474*#REF!),0)+(IF(O1474="FX 2003",(S1474*$U$5),0)))</f>
        <v>0</v>
      </c>
      <c r="V1474" s="651">
        <f t="shared" si="138"/>
        <v>0</v>
      </c>
    </row>
    <row r="1475" spans="4:22" x14ac:dyDescent="0.25">
      <c r="D1475" s="118">
        <f>+CUBICACION!D1474</f>
        <v>0</v>
      </c>
      <c r="E1475" s="118">
        <f>+CUBICACION!F1474</f>
        <v>0</v>
      </c>
      <c r="F1475" s="118">
        <f>+CUBICACION!E1474</f>
        <v>0</v>
      </c>
      <c r="G1475" s="118">
        <v>12</v>
      </c>
      <c r="H1475" s="118">
        <v>2</v>
      </c>
      <c r="I1475" s="820">
        <v>26385</v>
      </c>
      <c r="J1475" s="118">
        <f>+CUBICACION!J1474</f>
        <v>0</v>
      </c>
      <c r="K1475" s="118">
        <v>4254</v>
      </c>
      <c r="L1475" s="118">
        <f>+CUBICACION!L1474</f>
        <v>0</v>
      </c>
      <c r="M1475" s="64">
        <f>+CUBICACION!M1474</f>
        <v>0</v>
      </c>
      <c r="N1475" s="824" t="str">
        <f>+CUBICACION!N1474</f>
        <v/>
      </c>
      <c r="O1475" s="675">
        <f>+CUBICACION!O1474</f>
        <v>0</v>
      </c>
      <c r="P1475" s="15">
        <f>IF(O1475="Fire Control",VLOOKUP(_xlfn.MINIFS('FIRE CONTROL'!$C$4:$C$37,'FIRE CONTROL'!$C$4:$C$37,"&gt;="&amp;M1475),'FIRE CONTROL'!$C$4:$G$37,IF(L1475="F-15",2,IF(L1475="F-30",3,IF(L1475="F-60",4,IF(L1475="F-90",5,0)))),0),0)+IF(AND(O1475="FIRE TEX 5062",OR(E1475="IN",E1475="C",E1475="Z",E1475="L"),J1475=3),VLOOKUP(_xlfn.MINIFS('FIRE TEX 5062'!$B$4:$B$34,'FIRE TEX 5062'!$B$4:$B$34,"&gt;="&amp;M1475),'FIRE TEX 5062'!$B$4:$F$34,IF(L1475="F-15",2,IF(L1475="F-30",3,IF(L1475="F-60",4,IF(L1475="F-90",5,0)))),0),0)+IF(AND(O1475="FIRE TEX 5062",OR(E1475="IN",E1475="C",E1475="Z",E1475="L"),J1475=4),VLOOKUP(_xlfn.MINIFS('FIRE TEX 5062'!$G$4:$G$34,'FIRE TEX 5062'!$G$4:$G$34,"&gt;="&amp;M1475),'FIRE TEX 5062'!$G$4:$K$34,IF(L1475="F-15",2,IF(L1475="F-30",3,IF(L1475="F-60",4,IF(L1475="F-90",5,0)))),0),0)+IF(AND(O1475="FIRE TEX 5062",E1475="CJ",J1475=3),VLOOKUP(_xlfn.MINIFS('FIRE TEX 5062'!$L$4:$L$34,'FIRE TEX 5062'!$L$4:$L$34,"&gt;="&amp;M1475),'FIRE TEX 5062'!$L$4:$P$34,IF(L1475="F-15",2,IF(L1475="F-30",3,IF(L1475="F-60",4,IF(L1475="F-90",5,0)))),0),0)+IF(AND(O1475="FIRE TEX 5062",E1475="CJ",J1475=4),VLOOKUP(_xlfn.MINIFS('FIRE TEX 5062'!$Q$3:$Q$34,'FIRE TEX 5062'!$Q$3:$Q$34,"&gt;="&amp;M1475),'FIRE TEX 5062'!$Q$3:$U$34,IF(L1475="F-15",2,IF(L1475="F-30",3,IF(L1475="F-60",4,IF(L1475="F-90",5,0)))),0),0)+IF(AND(O1475="FIRE TEX 5090",OR(E1475="IN",E1475="C",E1475="Z",E1475="L"),J1475=3),VLOOKUP(_xlfn.MINIFS('FIRE TEX 5090'!$B$5:$B$43,'FIRE TEX 5090'!$B$5:$B$43,"&gt;="&amp;M1475),'FIRE TEX 5090'!$B$5:$H$43,IF(L1475="F-15",2,IF(L1475="F-30",3,IF(L1475="F-60",4,IF(L1475="F-90",5,IF(L1475="F-120",6,IF(L1475="F-150",7,0)))))),0),0)+IF(AND(O1475="FIRE TEX 5090",OR(E1475="IN",E1475="C",E1475="Z",E1475="L"),J1475=4),VLOOKUP(_xlfn.MINIFS('FIRE TEX 5090'!$J$5:$J$43,'FIRE TEX 5090'!$J$5:$J$43,"&gt;="&amp;M1475),'FIRE TEX 5090'!$J$5:$P$43,IF(L1475="F-15",2,IF(L1475="F-30",3,IF(L1475="F-60",4,IF(L1475="F-90",5,IF(L1475="F-120",6,IF(L1475="F-150",7,0)))))),0),0)+IF(AND(O1475="FIRE TEX 5090",E1475="CJ",J1475=3),VLOOKUP(_xlfn.MINIFS('FIRE TEX 5090'!$R$5:$R$30,'FIRE TEX 5090'!$R$5:$R$30,"&gt;="&amp;M1475),'FIRE TEX 5090'!$R$5:$W$30,IF(L1475="F-15",2,IF(L1475="F-30",3,IF(L1475="F-60",4,IF(L1475="F-90",5,IF(L1475="F-120",6,IF(L1475="F-150",7,0)))))),0),0)+IF(AND(O1475="FIRE TEX 5090",E1475="CJ",J1475=4),VLOOKUP(_xlfn.MINIFS('FIRE TEX 5090'!$Y$5:$Y$39,'FIRE TEX 5090'!$Y$5:$Y$39,"&gt;="&amp;M1475),'FIRE TEX 5090'!$Y$5:$AD$39,IF(L1475="F-15",2,IF(L1475="F-30",3,IF(L1475="F-60",4,IF(L1475="F-90",5,IF(L1475="F-120",6,IF(L1475="F-150",7,0)))))),0),0)+IF(AND(O1475="FIRE TEX 5120",OR(E1475="IN",E1475="C",E1475="Z",E1475="L"),J1475=3),VLOOKUP(_xlfn.MINIFS('FIRE TEX 5120'!$B$5:$B$40,'FIRE TEX 5120'!$B$5:$B$40,"&gt;="&amp;M1475),'FIRE TEX 5120'!$B$5:$G$40,IF(L1475="F-15",2,IF(L1475="F-30",3,IF(L1475="F-60",4,IF(L1475="F-90",5,IF(L1475="F-120",6,0))))),0),0)+IF(AND(O1475="FIRE TEX 5120",OR(E1475="IN",E1475="C",E1475="Z",E1475="L"),J1475=4),VLOOKUP(_xlfn.MINIFS('FIRE TEX 5120'!$H$4:$H$40,'FIRE TEX 5120'!$H$4:$H$40,"&gt;="&amp;M1475),'FIRE TEX 5120'!$H$4:$M$40,IF(L1475="F-15",2,IF(L1475="F-30",3,IF(L1475="F-60",4,IF(L1475="F-90",5,IF(L1475="F-120",6,0))))),0),0)+IF(AND(O1475="FIRE TEX 5120",E1475="CJ"),VLOOKUP(_xlfn.MINIFS('FIRE TEX 5120'!$O$5:$O$40,'FIRE TEX 5120'!$O$5:$O$40,"&gt;="&amp;M1475),'FIRE TEX 5120'!$O$5:$T$40,IF(L1475="F-15",2,IF(L1475="F-30",3,IF(L1475="F-60",4,IF(L1475="F-90",5,IF(L1475="F-120",6,0))))),0),0)</f>
        <v>0</v>
      </c>
      <c r="Q1475" s="46">
        <f t="shared" si="134"/>
        <v>0</v>
      </c>
      <c r="R1475" s="46">
        <f t="shared" si="135"/>
        <v>0</v>
      </c>
      <c r="S1475" s="46" t="e">
        <f t="shared" si="136"/>
        <v>#VALUE!</v>
      </c>
      <c r="T1475" s="677">
        <f t="shared" si="137"/>
        <v>0</v>
      </c>
      <c r="U1475" s="80">
        <f>(IF(O1475="Stofire",(S1475*#REF!),0))+(IF(O1475="Fire Control",(S1475*$U$2),0))+(IF(O1475="Fire Tex",(S1475*$U$3),0))+(IF(O1475="WB7",(S1475*#REF!),0)+(IF(O1475="FX 2003",(S1475*$U$5),0)))</f>
        <v>0</v>
      </c>
      <c r="V1475" s="651">
        <f t="shared" si="138"/>
        <v>0</v>
      </c>
    </row>
    <row r="1476" spans="4:22" x14ac:dyDescent="0.25">
      <c r="D1476" s="118">
        <f>+CUBICACION!D1475</f>
        <v>0</v>
      </c>
      <c r="E1476" s="118">
        <f>+CUBICACION!F1475</f>
        <v>0</v>
      </c>
      <c r="F1476" s="118">
        <f>+CUBICACION!E1475</f>
        <v>0</v>
      </c>
      <c r="G1476" s="118">
        <v>12</v>
      </c>
      <c r="H1476" s="118">
        <v>2</v>
      </c>
      <c r="I1476" s="820">
        <v>26385</v>
      </c>
      <c r="J1476" s="118">
        <f>+CUBICACION!J1475</f>
        <v>0</v>
      </c>
      <c r="K1476" s="118">
        <v>4255</v>
      </c>
      <c r="L1476" s="118">
        <f>+CUBICACION!L1475</f>
        <v>0</v>
      </c>
      <c r="M1476" s="64">
        <f>+CUBICACION!M1475</f>
        <v>0</v>
      </c>
      <c r="N1476" s="824" t="str">
        <f>+CUBICACION!N1475</f>
        <v/>
      </c>
      <c r="O1476" s="675">
        <f>+CUBICACION!O1475</f>
        <v>0</v>
      </c>
      <c r="P1476" s="15">
        <f>IF(O1476="Fire Control",VLOOKUP(_xlfn.MINIFS('FIRE CONTROL'!$C$4:$C$37,'FIRE CONTROL'!$C$4:$C$37,"&gt;="&amp;M1476),'FIRE CONTROL'!$C$4:$G$37,IF(L1476="F-15",2,IF(L1476="F-30",3,IF(L1476="F-60",4,IF(L1476="F-90",5,0)))),0),0)+IF(AND(O1476="FIRE TEX 5062",OR(E1476="IN",E1476="C",E1476="Z",E1476="L"),J1476=3),VLOOKUP(_xlfn.MINIFS('FIRE TEX 5062'!$B$4:$B$34,'FIRE TEX 5062'!$B$4:$B$34,"&gt;="&amp;M1476),'FIRE TEX 5062'!$B$4:$F$34,IF(L1476="F-15",2,IF(L1476="F-30",3,IF(L1476="F-60",4,IF(L1476="F-90",5,0)))),0),0)+IF(AND(O1476="FIRE TEX 5062",OR(E1476="IN",E1476="C",E1476="Z",E1476="L"),J1476=4),VLOOKUP(_xlfn.MINIFS('FIRE TEX 5062'!$G$4:$G$34,'FIRE TEX 5062'!$G$4:$G$34,"&gt;="&amp;M1476),'FIRE TEX 5062'!$G$4:$K$34,IF(L1476="F-15",2,IF(L1476="F-30",3,IF(L1476="F-60",4,IF(L1476="F-90",5,0)))),0),0)+IF(AND(O1476="FIRE TEX 5062",E1476="CJ",J1476=3),VLOOKUP(_xlfn.MINIFS('FIRE TEX 5062'!$L$4:$L$34,'FIRE TEX 5062'!$L$4:$L$34,"&gt;="&amp;M1476),'FIRE TEX 5062'!$L$4:$P$34,IF(L1476="F-15",2,IF(L1476="F-30",3,IF(L1476="F-60",4,IF(L1476="F-90",5,0)))),0),0)+IF(AND(O1476="FIRE TEX 5062",E1476="CJ",J1476=4),VLOOKUP(_xlfn.MINIFS('FIRE TEX 5062'!$Q$3:$Q$34,'FIRE TEX 5062'!$Q$3:$Q$34,"&gt;="&amp;M1476),'FIRE TEX 5062'!$Q$3:$U$34,IF(L1476="F-15",2,IF(L1476="F-30",3,IF(L1476="F-60",4,IF(L1476="F-90",5,0)))),0),0)+IF(AND(O1476="FIRE TEX 5090",OR(E1476="IN",E1476="C",E1476="Z",E1476="L"),J1476=3),VLOOKUP(_xlfn.MINIFS('FIRE TEX 5090'!$B$5:$B$43,'FIRE TEX 5090'!$B$5:$B$43,"&gt;="&amp;M1476),'FIRE TEX 5090'!$B$5:$H$43,IF(L1476="F-15",2,IF(L1476="F-30",3,IF(L1476="F-60",4,IF(L1476="F-90",5,IF(L1476="F-120",6,IF(L1476="F-150",7,0)))))),0),0)+IF(AND(O1476="FIRE TEX 5090",OR(E1476="IN",E1476="C",E1476="Z",E1476="L"),J1476=4),VLOOKUP(_xlfn.MINIFS('FIRE TEX 5090'!$J$5:$J$43,'FIRE TEX 5090'!$J$5:$J$43,"&gt;="&amp;M1476),'FIRE TEX 5090'!$J$5:$P$43,IF(L1476="F-15",2,IF(L1476="F-30",3,IF(L1476="F-60",4,IF(L1476="F-90",5,IF(L1476="F-120",6,IF(L1476="F-150",7,0)))))),0),0)+IF(AND(O1476="FIRE TEX 5090",E1476="CJ",J1476=3),VLOOKUP(_xlfn.MINIFS('FIRE TEX 5090'!$R$5:$R$30,'FIRE TEX 5090'!$R$5:$R$30,"&gt;="&amp;M1476),'FIRE TEX 5090'!$R$5:$W$30,IF(L1476="F-15",2,IF(L1476="F-30",3,IF(L1476="F-60",4,IF(L1476="F-90",5,IF(L1476="F-120",6,IF(L1476="F-150",7,0)))))),0),0)+IF(AND(O1476="FIRE TEX 5090",E1476="CJ",J1476=4),VLOOKUP(_xlfn.MINIFS('FIRE TEX 5090'!$Y$5:$Y$39,'FIRE TEX 5090'!$Y$5:$Y$39,"&gt;="&amp;M1476),'FIRE TEX 5090'!$Y$5:$AD$39,IF(L1476="F-15",2,IF(L1476="F-30",3,IF(L1476="F-60",4,IF(L1476="F-90",5,IF(L1476="F-120",6,IF(L1476="F-150",7,0)))))),0),0)+IF(AND(O1476="FIRE TEX 5120",OR(E1476="IN",E1476="C",E1476="Z",E1476="L"),J1476=3),VLOOKUP(_xlfn.MINIFS('FIRE TEX 5120'!$B$5:$B$40,'FIRE TEX 5120'!$B$5:$B$40,"&gt;="&amp;M1476),'FIRE TEX 5120'!$B$5:$G$40,IF(L1476="F-15",2,IF(L1476="F-30",3,IF(L1476="F-60",4,IF(L1476="F-90",5,IF(L1476="F-120",6,0))))),0),0)+IF(AND(O1476="FIRE TEX 5120",OR(E1476="IN",E1476="C",E1476="Z",E1476="L"),J1476=4),VLOOKUP(_xlfn.MINIFS('FIRE TEX 5120'!$H$4:$H$40,'FIRE TEX 5120'!$H$4:$H$40,"&gt;="&amp;M1476),'FIRE TEX 5120'!$H$4:$M$40,IF(L1476="F-15",2,IF(L1476="F-30",3,IF(L1476="F-60",4,IF(L1476="F-90",5,IF(L1476="F-120",6,0))))),0),0)+IF(AND(O1476="FIRE TEX 5120",E1476="CJ"),VLOOKUP(_xlfn.MINIFS('FIRE TEX 5120'!$O$5:$O$40,'FIRE TEX 5120'!$O$5:$O$40,"&gt;="&amp;M1476),'FIRE TEX 5120'!$O$5:$T$40,IF(L1476="F-15",2,IF(L1476="F-30",3,IF(L1476="F-60",4,IF(L1476="F-90",5,IF(L1476="F-120",6,0))))),0),0)</f>
        <v>0</v>
      </c>
      <c r="Q1476" s="46">
        <f t="shared" si="134"/>
        <v>0</v>
      </c>
      <c r="R1476" s="46">
        <f t="shared" si="135"/>
        <v>0</v>
      </c>
      <c r="S1476" s="46" t="e">
        <f t="shared" si="136"/>
        <v>#VALUE!</v>
      </c>
      <c r="T1476" s="677">
        <f t="shared" si="137"/>
        <v>0</v>
      </c>
      <c r="U1476" s="80">
        <f>(IF(O1476="Stofire",(S1476*#REF!),0))+(IF(O1476="Fire Control",(S1476*$U$2),0))+(IF(O1476="Fire Tex",(S1476*$U$3),0))+(IF(O1476="WB7",(S1476*#REF!),0)+(IF(O1476="FX 2003",(S1476*$U$5),0)))</f>
        <v>0</v>
      </c>
      <c r="V1476" s="651">
        <f t="shared" si="138"/>
        <v>0</v>
      </c>
    </row>
    <row r="1477" spans="4:22" x14ac:dyDescent="0.25">
      <c r="D1477" s="118">
        <f>+CUBICACION!D1476</f>
        <v>0</v>
      </c>
      <c r="E1477" s="118">
        <f>+CUBICACION!F1476</f>
        <v>0</v>
      </c>
      <c r="F1477" s="118">
        <f>+CUBICACION!E1476</f>
        <v>0</v>
      </c>
      <c r="G1477" s="118">
        <v>12</v>
      </c>
      <c r="H1477" s="118">
        <v>2</v>
      </c>
      <c r="I1477" s="820">
        <v>26385</v>
      </c>
      <c r="J1477" s="118">
        <f>+CUBICACION!J1476</f>
        <v>0</v>
      </c>
      <c r="K1477" s="118">
        <v>4256</v>
      </c>
      <c r="L1477" s="118">
        <f>+CUBICACION!L1476</f>
        <v>0</v>
      </c>
      <c r="M1477" s="64">
        <f>+CUBICACION!M1476</f>
        <v>0</v>
      </c>
      <c r="N1477" s="824" t="str">
        <f>+CUBICACION!N1476</f>
        <v/>
      </c>
      <c r="O1477" s="675">
        <f>+CUBICACION!O1476</f>
        <v>0</v>
      </c>
      <c r="P1477" s="15">
        <f>IF(O1477="Fire Control",VLOOKUP(_xlfn.MINIFS('FIRE CONTROL'!$C$4:$C$37,'FIRE CONTROL'!$C$4:$C$37,"&gt;="&amp;M1477),'FIRE CONTROL'!$C$4:$G$37,IF(L1477="F-15",2,IF(L1477="F-30",3,IF(L1477="F-60",4,IF(L1477="F-90",5,0)))),0),0)+IF(AND(O1477="FIRE TEX 5062",OR(E1477="IN",E1477="C",E1477="Z",E1477="L"),J1477=3),VLOOKUP(_xlfn.MINIFS('FIRE TEX 5062'!$B$4:$B$34,'FIRE TEX 5062'!$B$4:$B$34,"&gt;="&amp;M1477),'FIRE TEX 5062'!$B$4:$F$34,IF(L1477="F-15",2,IF(L1477="F-30",3,IF(L1477="F-60",4,IF(L1477="F-90",5,0)))),0),0)+IF(AND(O1477="FIRE TEX 5062",OR(E1477="IN",E1477="C",E1477="Z",E1477="L"),J1477=4),VLOOKUP(_xlfn.MINIFS('FIRE TEX 5062'!$G$4:$G$34,'FIRE TEX 5062'!$G$4:$G$34,"&gt;="&amp;M1477),'FIRE TEX 5062'!$G$4:$K$34,IF(L1477="F-15",2,IF(L1477="F-30",3,IF(L1477="F-60",4,IF(L1477="F-90",5,0)))),0),0)+IF(AND(O1477="FIRE TEX 5062",E1477="CJ",J1477=3),VLOOKUP(_xlfn.MINIFS('FIRE TEX 5062'!$L$4:$L$34,'FIRE TEX 5062'!$L$4:$L$34,"&gt;="&amp;M1477),'FIRE TEX 5062'!$L$4:$P$34,IF(L1477="F-15",2,IF(L1477="F-30",3,IF(L1477="F-60",4,IF(L1477="F-90",5,0)))),0),0)+IF(AND(O1477="FIRE TEX 5062",E1477="CJ",J1477=4),VLOOKUP(_xlfn.MINIFS('FIRE TEX 5062'!$Q$3:$Q$34,'FIRE TEX 5062'!$Q$3:$Q$34,"&gt;="&amp;M1477),'FIRE TEX 5062'!$Q$3:$U$34,IF(L1477="F-15",2,IF(L1477="F-30",3,IF(L1477="F-60",4,IF(L1477="F-90",5,0)))),0),0)+IF(AND(O1477="FIRE TEX 5090",OR(E1477="IN",E1477="C",E1477="Z",E1477="L"),J1477=3),VLOOKUP(_xlfn.MINIFS('FIRE TEX 5090'!$B$5:$B$43,'FIRE TEX 5090'!$B$5:$B$43,"&gt;="&amp;M1477),'FIRE TEX 5090'!$B$5:$H$43,IF(L1477="F-15",2,IF(L1477="F-30",3,IF(L1477="F-60",4,IF(L1477="F-90",5,IF(L1477="F-120",6,IF(L1477="F-150",7,0)))))),0),0)+IF(AND(O1477="FIRE TEX 5090",OR(E1477="IN",E1477="C",E1477="Z",E1477="L"),J1477=4),VLOOKUP(_xlfn.MINIFS('FIRE TEX 5090'!$J$5:$J$43,'FIRE TEX 5090'!$J$5:$J$43,"&gt;="&amp;M1477),'FIRE TEX 5090'!$J$5:$P$43,IF(L1477="F-15",2,IF(L1477="F-30",3,IF(L1477="F-60",4,IF(L1477="F-90",5,IF(L1477="F-120",6,IF(L1477="F-150",7,0)))))),0),0)+IF(AND(O1477="FIRE TEX 5090",E1477="CJ",J1477=3),VLOOKUP(_xlfn.MINIFS('FIRE TEX 5090'!$R$5:$R$30,'FIRE TEX 5090'!$R$5:$R$30,"&gt;="&amp;M1477),'FIRE TEX 5090'!$R$5:$W$30,IF(L1477="F-15",2,IF(L1477="F-30",3,IF(L1477="F-60",4,IF(L1477="F-90",5,IF(L1477="F-120",6,IF(L1477="F-150",7,0)))))),0),0)+IF(AND(O1477="FIRE TEX 5090",E1477="CJ",J1477=4),VLOOKUP(_xlfn.MINIFS('FIRE TEX 5090'!$Y$5:$Y$39,'FIRE TEX 5090'!$Y$5:$Y$39,"&gt;="&amp;M1477),'FIRE TEX 5090'!$Y$5:$AD$39,IF(L1477="F-15",2,IF(L1477="F-30",3,IF(L1477="F-60",4,IF(L1477="F-90",5,IF(L1477="F-120",6,IF(L1477="F-150",7,0)))))),0),0)+IF(AND(O1477="FIRE TEX 5120",OR(E1477="IN",E1477="C",E1477="Z",E1477="L"),J1477=3),VLOOKUP(_xlfn.MINIFS('FIRE TEX 5120'!$B$5:$B$40,'FIRE TEX 5120'!$B$5:$B$40,"&gt;="&amp;M1477),'FIRE TEX 5120'!$B$5:$G$40,IF(L1477="F-15",2,IF(L1477="F-30",3,IF(L1477="F-60",4,IF(L1477="F-90",5,IF(L1477="F-120",6,0))))),0),0)+IF(AND(O1477="FIRE TEX 5120",OR(E1477="IN",E1477="C",E1477="Z",E1477="L"),J1477=4),VLOOKUP(_xlfn.MINIFS('FIRE TEX 5120'!$H$4:$H$40,'FIRE TEX 5120'!$H$4:$H$40,"&gt;="&amp;M1477),'FIRE TEX 5120'!$H$4:$M$40,IF(L1477="F-15",2,IF(L1477="F-30",3,IF(L1477="F-60",4,IF(L1477="F-90",5,IF(L1477="F-120",6,0))))),0),0)+IF(AND(O1477="FIRE TEX 5120",E1477="CJ"),VLOOKUP(_xlfn.MINIFS('FIRE TEX 5120'!$O$5:$O$40,'FIRE TEX 5120'!$O$5:$O$40,"&gt;="&amp;M1477),'FIRE TEX 5120'!$O$5:$T$40,IF(L1477="F-15",2,IF(L1477="F-30",3,IF(L1477="F-60",4,IF(L1477="F-90",5,IF(L1477="F-120",6,0))))),0),0)</f>
        <v>0</v>
      </c>
      <c r="Q1477" s="46">
        <f t="shared" si="134"/>
        <v>0</v>
      </c>
      <c r="R1477" s="46">
        <f t="shared" si="135"/>
        <v>0</v>
      </c>
      <c r="S1477" s="46" t="e">
        <f t="shared" si="136"/>
        <v>#VALUE!</v>
      </c>
      <c r="T1477" s="677">
        <f t="shared" si="137"/>
        <v>0</v>
      </c>
      <c r="U1477" s="80">
        <f>(IF(O1477="Stofire",(S1477*#REF!),0))+(IF(O1477="Fire Control",(S1477*$U$2),0))+(IF(O1477="Fire Tex",(S1477*$U$3),0))+(IF(O1477="WB7",(S1477*#REF!),0)+(IF(O1477="FX 2003",(S1477*$U$5),0)))</f>
        <v>0</v>
      </c>
      <c r="V1477" s="651">
        <f t="shared" si="138"/>
        <v>0</v>
      </c>
    </row>
    <row r="1478" spans="4:22" x14ac:dyDescent="0.25">
      <c r="D1478" s="118">
        <f>+CUBICACION!D1477</f>
        <v>0</v>
      </c>
      <c r="E1478" s="118">
        <f>+CUBICACION!F1477</f>
        <v>0</v>
      </c>
      <c r="F1478" s="118">
        <f>+CUBICACION!E1477</f>
        <v>0</v>
      </c>
      <c r="G1478" s="118">
        <v>12</v>
      </c>
      <c r="H1478" s="118">
        <v>2</v>
      </c>
      <c r="I1478" s="820">
        <v>26385</v>
      </c>
      <c r="J1478" s="118">
        <f>+CUBICACION!J1477</f>
        <v>0</v>
      </c>
      <c r="K1478" s="118">
        <v>4257</v>
      </c>
      <c r="L1478" s="118">
        <f>+CUBICACION!L1477</f>
        <v>0</v>
      </c>
      <c r="M1478" s="64">
        <f>+CUBICACION!M1477</f>
        <v>0</v>
      </c>
      <c r="N1478" s="824" t="str">
        <f>+CUBICACION!N1477</f>
        <v/>
      </c>
      <c r="O1478" s="675">
        <f>+CUBICACION!O1477</f>
        <v>0</v>
      </c>
      <c r="P1478" s="15">
        <f>IF(O1478="Fire Control",VLOOKUP(_xlfn.MINIFS('FIRE CONTROL'!$C$4:$C$37,'FIRE CONTROL'!$C$4:$C$37,"&gt;="&amp;M1478),'FIRE CONTROL'!$C$4:$G$37,IF(L1478="F-15",2,IF(L1478="F-30",3,IF(L1478="F-60",4,IF(L1478="F-90",5,0)))),0),0)+IF(AND(O1478="FIRE TEX 5062",OR(E1478="IN",E1478="C",E1478="Z",E1478="L"),J1478=3),VLOOKUP(_xlfn.MINIFS('FIRE TEX 5062'!$B$4:$B$34,'FIRE TEX 5062'!$B$4:$B$34,"&gt;="&amp;M1478),'FIRE TEX 5062'!$B$4:$F$34,IF(L1478="F-15",2,IF(L1478="F-30",3,IF(L1478="F-60",4,IF(L1478="F-90",5,0)))),0),0)+IF(AND(O1478="FIRE TEX 5062",OR(E1478="IN",E1478="C",E1478="Z",E1478="L"),J1478=4),VLOOKUP(_xlfn.MINIFS('FIRE TEX 5062'!$G$4:$G$34,'FIRE TEX 5062'!$G$4:$G$34,"&gt;="&amp;M1478),'FIRE TEX 5062'!$G$4:$K$34,IF(L1478="F-15",2,IF(L1478="F-30",3,IF(L1478="F-60",4,IF(L1478="F-90",5,0)))),0),0)+IF(AND(O1478="FIRE TEX 5062",E1478="CJ",J1478=3),VLOOKUP(_xlfn.MINIFS('FIRE TEX 5062'!$L$4:$L$34,'FIRE TEX 5062'!$L$4:$L$34,"&gt;="&amp;M1478),'FIRE TEX 5062'!$L$4:$P$34,IF(L1478="F-15",2,IF(L1478="F-30",3,IF(L1478="F-60",4,IF(L1478="F-90",5,0)))),0),0)+IF(AND(O1478="FIRE TEX 5062",E1478="CJ",J1478=4),VLOOKUP(_xlfn.MINIFS('FIRE TEX 5062'!$Q$3:$Q$34,'FIRE TEX 5062'!$Q$3:$Q$34,"&gt;="&amp;M1478),'FIRE TEX 5062'!$Q$3:$U$34,IF(L1478="F-15",2,IF(L1478="F-30",3,IF(L1478="F-60",4,IF(L1478="F-90",5,0)))),0),0)+IF(AND(O1478="FIRE TEX 5090",OR(E1478="IN",E1478="C",E1478="Z",E1478="L"),J1478=3),VLOOKUP(_xlfn.MINIFS('FIRE TEX 5090'!$B$5:$B$43,'FIRE TEX 5090'!$B$5:$B$43,"&gt;="&amp;M1478),'FIRE TEX 5090'!$B$5:$H$43,IF(L1478="F-15",2,IF(L1478="F-30",3,IF(L1478="F-60",4,IF(L1478="F-90",5,IF(L1478="F-120",6,IF(L1478="F-150",7,0)))))),0),0)+IF(AND(O1478="FIRE TEX 5090",OR(E1478="IN",E1478="C",E1478="Z",E1478="L"),J1478=4),VLOOKUP(_xlfn.MINIFS('FIRE TEX 5090'!$J$5:$J$43,'FIRE TEX 5090'!$J$5:$J$43,"&gt;="&amp;M1478),'FIRE TEX 5090'!$J$5:$P$43,IF(L1478="F-15",2,IF(L1478="F-30",3,IF(L1478="F-60",4,IF(L1478="F-90",5,IF(L1478="F-120",6,IF(L1478="F-150",7,0)))))),0),0)+IF(AND(O1478="FIRE TEX 5090",E1478="CJ",J1478=3),VLOOKUP(_xlfn.MINIFS('FIRE TEX 5090'!$R$5:$R$30,'FIRE TEX 5090'!$R$5:$R$30,"&gt;="&amp;M1478),'FIRE TEX 5090'!$R$5:$W$30,IF(L1478="F-15",2,IF(L1478="F-30",3,IF(L1478="F-60",4,IF(L1478="F-90",5,IF(L1478="F-120",6,IF(L1478="F-150",7,0)))))),0),0)+IF(AND(O1478="FIRE TEX 5090",E1478="CJ",J1478=4),VLOOKUP(_xlfn.MINIFS('FIRE TEX 5090'!$Y$5:$Y$39,'FIRE TEX 5090'!$Y$5:$Y$39,"&gt;="&amp;M1478),'FIRE TEX 5090'!$Y$5:$AD$39,IF(L1478="F-15",2,IF(L1478="F-30",3,IF(L1478="F-60",4,IF(L1478="F-90",5,IF(L1478="F-120",6,IF(L1478="F-150",7,0)))))),0),0)+IF(AND(O1478="FIRE TEX 5120",OR(E1478="IN",E1478="C",E1478="Z",E1478="L"),J1478=3),VLOOKUP(_xlfn.MINIFS('FIRE TEX 5120'!$B$5:$B$40,'FIRE TEX 5120'!$B$5:$B$40,"&gt;="&amp;M1478),'FIRE TEX 5120'!$B$5:$G$40,IF(L1478="F-15",2,IF(L1478="F-30",3,IF(L1478="F-60",4,IF(L1478="F-90",5,IF(L1478="F-120",6,0))))),0),0)+IF(AND(O1478="FIRE TEX 5120",OR(E1478="IN",E1478="C",E1478="Z",E1478="L"),J1478=4),VLOOKUP(_xlfn.MINIFS('FIRE TEX 5120'!$H$4:$H$40,'FIRE TEX 5120'!$H$4:$H$40,"&gt;="&amp;M1478),'FIRE TEX 5120'!$H$4:$M$40,IF(L1478="F-15",2,IF(L1478="F-30",3,IF(L1478="F-60",4,IF(L1478="F-90",5,IF(L1478="F-120",6,0))))),0),0)+IF(AND(O1478="FIRE TEX 5120",E1478="CJ"),VLOOKUP(_xlfn.MINIFS('FIRE TEX 5120'!$O$5:$O$40,'FIRE TEX 5120'!$O$5:$O$40,"&gt;="&amp;M1478),'FIRE TEX 5120'!$O$5:$T$40,IF(L1478="F-15",2,IF(L1478="F-30",3,IF(L1478="F-60",4,IF(L1478="F-90",5,IF(L1478="F-120",6,0))))),0),0)</f>
        <v>0</v>
      </c>
      <c r="Q1478" s="46">
        <f t="shared" si="134"/>
        <v>0</v>
      </c>
      <c r="R1478" s="46">
        <f t="shared" si="135"/>
        <v>0</v>
      </c>
      <c r="S1478" s="46" t="e">
        <f t="shared" si="136"/>
        <v>#VALUE!</v>
      </c>
      <c r="T1478" s="677">
        <f t="shared" si="137"/>
        <v>0</v>
      </c>
      <c r="U1478" s="80">
        <f>(IF(O1478="Stofire",(S1478*#REF!),0))+(IF(O1478="Fire Control",(S1478*$U$2),0))+(IF(O1478="Fire Tex",(S1478*$U$3),0))+(IF(O1478="WB7",(S1478*#REF!),0)+(IF(O1478="FX 2003",(S1478*$U$5),0)))</f>
        <v>0</v>
      </c>
      <c r="V1478" s="651">
        <f t="shared" si="138"/>
        <v>0</v>
      </c>
    </row>
    <row r="1479" spans="4:22" x14ac:dyDescent="0.25">
      <c r="D1479" s="118">
        <f>+CUBICACION!D1478</f>
        <v>0</v>
      </c>
      <c r="E1479" s="118">
        <f>+CUBICACION!F1478</f>
        <v>0</v>
      </c>
      <c r="F1479" s="118">
        <f>+CUBICACION!E1478</f>
        <v>0</v>
      </c>
      <c r="G1479" s="118">
        <v>12</v>
      </c>
      <c r="H1479" s="118">
        <v>2</v>
      </c>
      <c r="I1479" s="820">
        <v>26385</v>
      </c>
      <c r="J1479" s="118">
        <f>+CUBICACION!J1478</f>
        <v>0</v>
      </c>
      <c r="K1479" s="118">
        <v>4258</v>
      </c>
      <c r="L1479" s="118">
        <f>+CUBICACION!L1478</f>
        <v>0</v>
      </c>
      <c r="M1479" s="64">
        <f>+CUBICACION!M1478</f>
        <v>0</v>
      </c>
      <c r="N1479" s="824" t="str">
        <f>+CUBICACION!N1478</f>
        <v/>
      </c>
      <c r="O1479" s="675">
        <f>+CUBICACION!O1478</f>
        <v>0</v>
      </c>
      <c r="P1479" s="15">
        <f>IF(O1479="Fire Control",VLOOKUP(_xlfn.MINIFS('FIRE CONTROL'!$C$4:$C$37,'FIRE CONTROL'!$C$4:$C$37,"&gt;="&amp;M1479),'FIRE CONTROL'!$C$4:$G$37,IF(L1479="F-15",2,IF(L1479="F-30",3,IF(L1479="F-60",4,IF(L1479="F-90",5,0)))),0),0)+IF(AND(O1479="FIRE TEX 5062",OR(E1479="IN",E1479="C",E1479="Z",E1479="L"),J1479=3),VLOOKUP(_xlfn.MINIFS('FIRE TEX 5062'!$B$4:$B$34,'FIRE TEX 5062'!$B$4:$B$34,"&gt;="&amp;M1479),'FIRE TEX 5062'!$B$4:$F$34,IF(L1479="F-15",2,IF(L1479="F-30",3,IF(L1479="F-60",4,IF(L1479="F-90",5,0)))),0),0)+IF(AND(O1479="FIRE TEX 5062",OR(E1479="IN",E1479="C",E1479="Z",E1479="L"),J1479=4),VLOOKUP(_xlfn.MINIFS('FIRE TEX 5062'!$G$4:$G$34,'FIRE TEX 5062'!$G$4:$G$34,"&gt;="&amp;M1479),'FIRE TEX 5062'!$G$4:$K$34,IF(L1479="F-15",2,IF(L1479="F-30",3,IF(L1479="F-60",4,IF(L1479="F-90",5,0)))),0),0)+IF(AND(O1479="FIRE TEX 5062",E1479="CJ",J1479=3),VLOOKUP(_xlfn.MINIFS('FIRE TEX 5062'!$L$4:$L$34,'FIRE TEX 5062'!$L$4:$L$34,"&gt;="&amp;M1479),'FIRE TEX 5062'!$L$4:$P$34,IF(L1479="F-15",2,IF(L1479="F-30",3,IF(L1479="F-60",4,IF(L1479="F-90",5,0)))),0),0)+IF(AND(O1479="FIRE TEX 5062",E1479="CJ",J1479=4),VLOOKUP(_xlfn.MINIFS('FIRE TEX 5062'!$Q$3:$Q$34,'FIRE TEX 5062'!$Q$3:$Q$34,"&gt;="&amp;M1479),'FIRE TEX 5062'!$Q$3:$U$34,IF(L1479="F-15",2,IF(L1479="F-30",3,IF(L1479="F-60",4,IF(L1479="F-90",5,0)))),0),0)+IF(AND(O1479="FIRE TEX 5090",OR(E1479="IN",E1479="C",E1479="Z",E1479="L"),J1479=3),VLOOKUP(_xlfn.MINIFS('FIRE TEX 5090'!$B$5:$B$43,'FIRE TEX 5090'!$B$5:$B$43,"&gt;="&amp;M1479),'FIRE TEX 5090'!$B$5:$H$43,IF(L1479="F-15",2,IF(L1479="F-30",3,IF(L1479="F-60",4,IF(L1479="F-90",5,IF(L1479="F-120",6,IF(L1479="F-150",7,0)))))),0),0)+IF(AND(O1479="FIRE TEX 5090",OR(E1479="IN",E1479="C",E1479="Z",E1479="L"),J1479=4),VLOOKUP(_xlfn.MINIFS('FIRE TEX 5090'!$J$5:$J$43,'FIRE TEX 5090'!$J$5:$J$43,"&gt;="&amp;M1479),'FIRE TEX 5090'!$J$5:$P$43,IF(L1479="F-15",2,IF(L1479="F-30",3,IF(L1479="F-60",4,IF(L1479="F-90",5,IF(L1479="F-120",6,IF(L1479="F-150",7,0)))))),0),0)+IF(AND(O1479="FIRE TEX 5090",E1479="CJ",J1479=3),VLOOKUP(_xlfn.MINIFS('FIRE TEX 5090'!$R$5:$R$30,'FIRE TEX 5090'!$R$5:$R$30,"&gt;="&amp;M1479),'FIRE TEX 5090'!$R$5:$W$30,IF(L1479="F-15",2,IF(L1479="F-30",3,IF(L1479="F-60",4,IF(L1479="F-90",5,IF(L1479="F-120",6,IF(L1479="F-150",7,0)))))),0),0)+IF(AND(O1479="FIRE TEX 5090",E1479="CJ",J1479=4),VLOOKUP(_xlfn.MINIFS('FIRE TEX 5090'!$Y$5:$Y$39,'FIRE TEX 5090'!$Y$5:$Y$39,"&gt;="&amp;M1479),'FIRE TEX 5090'!$Y$5:$AD$39,IF(L1479="F-15",2,IF(L1479="F-30",3,IF(L1479="F-60",4,IF(L1479="F-90",5,IF(L1479="F-120",6,IF(L1479="F-150",7,0)))))),0),0)+IF(AND(O1479="FIRE TEX 5120",OR(E1479="IN",E1479="C",E1479="Z",E1479="L"),J1479=3),VLOOKUP(_xlfn.MINIFS('FIRE TEX 5120'!$B$5:$B$40,'FIRE TEX 5120'!$B$5:$B$40,"&gt;="&amp;M1479),'FIRE TEX 5120'!$B$5:$G$40,IF(L1479="F-15",2,IF(L1479="F-30",3,IF(L1479="F-60",4,IF(L1479="F-90",5,IF(L1479="F-120",6,0))))),0),0)+IF(AND(O1479="FIRE TEX 5120",OR(E1479="IN",E1479="C",E1479="Z",E1479="L"),J1479=4),VLOOKUP(_xlfn.MINIFS('FIRE TEX 5120'!$H$4:$H$40,'FIRE TEX 5120'!$H$4:$H$40,"&gt;="&amp;M1479),'FIRE TEX 5120'!$H$4:$M$40,IF(L1479="F-15",2,IF(L1479="F-30",3,IF(L1479="F-60",4,IF(L1479="F-90",5,IF(L1479="F-120",6,0))))),0),0)+IF(AND(O1479="FIRE TEX 5120",E1479="CJ"),VLOOKUP(_xlfn.MINIFS('FIRE TEX 5120'!$O$5:$O$40,'FIRE TEX 5120'!$O$5:$O$40,"&gt;="&amp;M1479),'FIRE TEX 5120'!$O$5:$T$40,IF(L1479="F-15",2,IF(L1479="F-30",3,IF(L1479="F-60",4,IF(L1479="F-90",5,IF(L1479="F-120",6,0))))),0),0)</f>
        <v>0</v>
      </c>
      <c r="Q1479" s="46">
        <f t="shared" si="134"/>
        <v>0</v>
      </c>
      <c r="R1479" s="46">
        <f t="shared" si="135"/>
        <v>0</v>
      </c>
      <c r="S1479" s="46" t="e">
        <f t="shared" si="136"/>
        <v>#VALUE!</v>
      </c>
      <c r="T1479" s="677">
        <f t="shared" si="137"/>
        <v>0</v>
      </c>
      <c r="U1479" s="80">
        <f>(IF(O1479="Stofire",(S1479*#REF!),0))+(IF(O1479="Fire Control",(S1479*$U$2),0))+(IF(O1479="Fire Tex",(S1479*$U$3),0))+(IF(O1479="WB7",(S1479*#REF!),0)+(IF(O1479="FX 2003",(S1479*$U$5),0)))</f>
        <v>0</v>
      </c>
      <c r="V1479" s="651">
        <f t="shared" si="138"/>
        <v>0</v>
      </c>
    </row>
    <row r="1480" spans="4:22" x14ac:dyDescent="0.25">
      <c r="D1480" s="118">
        <f>+CUBICACION!D1479</f>
        <v>0</v>
      </c>
      <c r="E1480" s="118">
        <f>+CUBICACION!F1479</f>
        <v>0</v>
      </c>
      <c r="F1480" s="118">
        <f>+CUBICACION!E1479</f>
        <v>0</v>
      </c>
      <c r="G1480" s="118">
        <v>12</v>
      </c>
      <c r="H1480" s="118">
        <v>2</v>
      </c>
      <c r="I1480" s="820">
        <v>26385</v>
      </c>
      <c r="J1480" s="118">
        <f>+CUBICACION!J1479</f>
        <v>0</v>
      </c>
      <c r="K1480" s="118">
        <v>4259</v>
      </c>
      <c r="L1480" s="118">
        <f>+CUBICACION!L1479</f>
        <v>0</v>
      </c>
      <c r="M1480" s="64">
        <f>+CUBICACION!M1479</f>
        <v>0</v>
      </c>
      <c r="N1480" s="824" t="str">
        <f>+CUBICACION!N1479</f>
        <v/>
      </c>
      <c r="O1480" s="675">
        <f>+CUBICACION!O1479</f>
        <v>0</v>
      </c>
      <c r="P1480" s="15">
        <f>IF(O1480="Fire Control",VLOOKUP(_xlfn.MINIFS('FIRE CONTROL'!$C$4:$C$37,'FIRE CONTROL'!$C$4:$C$37,"&gt;="&amp;M1480),'FIRE CONTROL'!$C$4:$G$37,IF(L1480="F-15",2,IF(L1480="F-30",3,IF(L1480="F-60",4,IF(L1480="F-90",5,0)))),0),0)+IF(AND(O1480="FIRE TEX 5062",OR(E1480="IN",E1480="C",E1480="Z",E1480="L"),J1480=3),VLOOKUP(_xlfn.MINIFS('FIRE TEX 5062'!$B$4:$B$34,'FIRE TEX 5062'!$B$4:$B$34,"&gt;="&amp;M1480),'FIRE TEX 5062'!$B$4:$F$34,IF(L1480="F-15",2,IF(L1480="F-30",3,IF(L1480="F-60",4,IF(L1480="F-90",5,0)))),0),0)+IF(AND(O1480="FIRE TEX 5062",OR(E1480="IN",E1480="C",E1480="Z",E1480="L"),J1480=4),VLOOKUP(_xlfn.MINIFS('FIRE TEX 5062'!$G$4:$G$34,'FIRE TEX 5062'!$G$4:$G$34,"&gt;="&amp;M1480),'FIRE TEX 5062'!$G$4:$K$34,IF(L1480="F-15",2,IF(L1480="F-30",3,IF(L1480="F-60",4,IF(L1480="F-90",5,0)))),0),0)+IF(AND(O1480="FIRE TEX 5062",E1480="CJ",J1480=3),VLOOKUP(_xlfn.MINIFS('FIRE TEX 5062'!$L$4:$L$34,'FIRE TEX 5062'!$L$4:$L$34,"&gt;="&amp;M1480),'FIRE TEX 5062'!$L$4:$P$34,IF(L1480="F-15",2,IF(L1480="F-30",3,IF(L1480="F-60",4,IF(L1480="F-90",5,0)))),0),0)+IF(AND(O1480="FIRE TEX 5062",E1480="CJ",J1480=4),VLOOKUP(_xlfn.MINIFS('FIRE TEX 5062'!$Q$3:$Q$34,'FIRE TEX 5062'!$Q$3:$Q$34,"&gt;="&amp;M1480),'FIRE TEX 5062'!$Q$3:$U$34,IF(L1480="F-15",2,IF(L1480="F-30",3,IF(L1480="F-60",4,IF(L1480="F-90",5,0)))),0),0)+IF(AND(O1480="FIRE TEX 5090",OR(E1480="IN",E1480="C",E1480="Z",E1480="L"),J1480=3),VLOOKUP(_xlfn.MINIFS('FIRE TEX 5090'!$B$5:$B$43,'FIRE TEX 5090'!$B$5:$B$43,"&gt;="&amp;M1480),'FIRE TEX 5090'!$B$5:$H$43,IF(L1480="F-15",2,IF(L1480="F-30",3,IF(L1480="F-60",4,IF(L1480="F-90",5,IF(L1480="F-120",6,IF(L1480="F-150",7,0)))))),0),0)+IF(AND(O1480="FIRE TEX 5090",OR(E1480="IN",E1480="C",E1480="Z",E1480="L"),J1480=4),VLOOKUP(_xlfn.MINIFS('FIRE TEX 5090'!$J$5:$J$43,'FIRE TEX 5090'!$J$5:$J$43,"&gt;="&amp;M1480),'FIRE TEX 5090'!$J$5:$P$43,IF(L1480="F-15",2,IF(L1480="F-30",3,IF(L1480="F-60",4,IF(L1480="F-90",5,IF(L1480="F-120",6,IF(L1480="F-150",7,0)))))),0),0)+IF(AND(O1480="FIRE TEX 5090",E1480="CJ",J1480=3),VLOOKUP(_xlfn.MINIFS('FIRE TEX 5090'!$R$5:$R$30,'FIRE TEX 5090'!$R$5:$R$30,"&gt;="&amp;M1480),'FIRE TEX 5090'!$R$5:$W$30,IF(L1480="F-15",2,IF(L1480="F-30",3,IF(L1480="F-60",4,IF(L1480="F-90",5,IF(L1480="F-120",6,IF(L1480="F-150",7,0)))))),0),0)+IF(AND(O1480="FIRE TEX 5090",E1480="CJ",J1480=4),VLOOKUP(_xlfn.MINIFS('FIRE TEX 5090'!$Y$5:$Y$39,'FIRE TEX 5090'!$Y$5:$Y$39,"&gt;="&amp;M1480),'FIRE TEX 5090'!$Y$5:$AD$39,IF(L1480="F-15",2,IF(L1480="F-30",3,IF(L1480="F-60",4,IF(L1480="F-90",5,IF(L1480="F-120",6,IF(L1480="F-150",7,0)))))),0),0)+IF(AND(O1480="FIRE TEX 5120",OR(E1480="IN",E1480="C",E1480="Z",E1480="L"),J1480=3),VLOOKUP(_xlfn.MINIFS('FIRE TEX 5120'!$B$5:$B$40,'FIRE TEX 5120'!$B$5:$B$40,"&gt;="&amp;M1480),'FIRE TEX 5120'!$B$5:$G$40,IF(L1480="F-15",2,IF(L1480="F-30",3,IF(L1480="F-60",4,IF(L1480="F-90",5,IF(L1480="F-120",6,0))))),0),0)+IF(AND(O1480="FIRE TEX 5120",OR(E1480="IN",E1480="C",E1480="Z",E1480="L"),J1480=4),VLOOKUP(_xlfn.MINIFS('FIRE TEX 5120'!$H$4:$H$40,'FIRE TEX 5120'!$H$4:$H$40,"&gt;="&amp;M1480),'FIRE TEX 5120'!$H$4:$M$40,IF(L1480="F-15",2,IF(L1480="F-30",3,IF(L1480="F-60",4,IF(L1480="F-90",5,IF(L1480="F-120",6,0))))),0),0)+IF(AND(O1480="FIRE TEX 5120",E1480="CJ"),VLOOKUP(_xlfn.MINIFS('FIRE TEX 5120'!$O$5:$O$40,'FIRE TEX 5120'!$O$5:$O$40,"&gt;="&amp;M1480),'FIRE TEX 5120'!$O$5:$T$40,IF(L1480="F-15",2,IF(L1480="F-30",3,IF(L1480="F-60",4,IF(L1480="F-90",5,IF(L1480="F-120",6,0))))),0),0)</f>
        <v>0</v>
      </c>
      <c r="Q1480" s="46">
        <f t="shared" si="134"/>
        <v>0</v>
      </c>
      <c r="R1480" s="46">
        <f t="shared" si="135"/>
        <v>0</v>
      </c>
      <c r="S1480" s="46" t="e">
        <f t="shared" si="136"/>
        <v>#VALUE!</v>
      </c>
      <c r="T1480" s="677">
        <f t="shared" si="137"/>
        <v>0</v>
      </c>
      <c r="U1480" s="80">
        <f>(IF(O1480="Stofire",(S1480*#REF!),0))+(IF(O1480="Fire Control",(S1480*$U$2),0))+(IF(O1480="Fire Tex",(S1480*$U$3),0))+(IF(O1480="WB7",(S1480*#REF!),0)+(IF(O1480="FX 2003",(S1480*$U$5),0)))</f>
        <v>0</v>
      </c>
      <c r="V1480" s="651">
        <f t="shared" si="138"/>
        <v>0</v>
      </c>
    </row>
    <row r="1481" spans="4:22" x14ac:dyDescent="0.25">
      <c r="D1481" s="118">
        <f>+CUBICACION!D1480</f>
        <v>0</v>
      </c>
      <c r="E1481" s="118">
        <f>+CUBICACION!F1480</f>
        <v>0</v>
      </c>
      <c r="F1481" s="118">
        <f>+CUBICACION!E1480</f>
        <v>0</v>
      </c>
      <c r="G1481" s="118">
        <v>12</v>
      </c>
      <c r="H1481" s="118">
        <v>2</v>
      </c>
      <c r="I1481" s="820">
        <v>26385</v>
      </c>
      <c r="J1481" s="118">
        <f>+CUBICACION!J1480</f>
        <v>0</v>
      </c>
      <c r="K1481" s="118">
        <v>4260</v>
      </c>
      <c r="L1481" s="118">
        <f>+CUBICACION!L1480</f>
        <v>0</v>
      </c>
      <c r="M1481" s="64">
        <f>+CUBICACION!M1480</f>
        <v>0</v>
      </c>
      <c r="N1481" s="824" t="str">
        <f>+CUBICACION!N1480</f>
        <v/>
      </c>
      <c r="O1481" s="675">
        <f>+CUBICACION!O1480</f>
        <v>0</v>
      </c>
      <c r="P1481" s="15">
        <f>IF(O1481="Fire Control",VLOOKUP(_xlfn.MINIFS('FIRE CONTROL'!$C$4:$C$37,'FIRE CONTROL'!$C$4:$C$37,"&gt;="&amp;M1481),'FIRE CONTROL'!$C$4:$G$37,IF(L1481="F-15",2,IF(L1481="F-30",3,IF(L1481="F-60",4,IF(L1481="F-90",5,0)))),0),0)+IF(AND(O1481="FIRE TEX 5062",OR(E1481="IN",E1481="C",E1481="Z",E1481="L"),J1481=3),VLOOKUP(_xlfn.MINIFS('FIRE TEX 5062'!$B$4:$B$34,'FIRE TEX 5062'!$B$4:$B$34,"&gt;="&amp;M1481),'FIRE TEX 5062'!$B$4:$F$34,IF(L1481="F-15",2,IF(L1481="F-30",3,IF(L1481="F-60",4,IF(L1481="F-90",5,0)))),0),0)+IF(AND(O1481="FIRE TEX 5062",OR(E1481="IN",E1481="C",E1481="Z",E1481="L"),J1481=4),VLOOKUP(_xlfn.MINIFS('FIRE TEX 5062'!$G$4:$G$34,'FIRE TEX 5062'!$G$4:$G$34,"&gt;="&amp;M1481),'FIRE TEX 5062'!$G$4:$K$34,IF(L1481="F-15",2,IF(L1481="F-30",3,IF(L1481="F-60",4,IF(L1481="F-90",5,0)))),0),0)+IF(AND(O1481="FIRE TEX 5062",E1481="CJ",J1481=3),VLOOKUP(_xlfn.MINIFS('FIRE TEX 5062'!$L$4:$L$34,'FIRE TEX 5062'!$L$4:$L$34,"&gt;="&amp;M1481),'FIRE TEX 5062'!$L$4:$P$34,IF(L1481="F-15",2,IF(L1481="F-30",3,IF(L1481="F-60",4,IF(L1481="F-90",5,0)))),0),0)+IF(AND(O1481="FIRE TEX 5062",E1481="CJ",J1481=4),VLOOKUP(_xlfn.MINIFS('FIRE TEX 5062'!$Q$3:$Q$34,'FIRE TEX 5062'!$Q$3:$Q$34,"&gt;="&amp;M1481),'FIRE TEX 5062'!$Q$3:$U$34,IF(L1481="F-15",2,IF(L1481="F-30",3,IF(L1481="F-60",4,IF(L1481="F-90",5,0)))),0),0)+IF(AND(O1481="FIRE TEX 5090",OR(E1481="IN",E1481="C",E1481="Z",E1481="L"),J1481=3),VLOOKUP(_xlfn.MINIFS('FIRE TEX 5090'!$B$5:$B$43,'FIRE TEX 5090'!$B$5:$B$43,"&gt;="&amp;M1481),'FIRE TEX 5090'!$B$5:$H$43,IF(L1481="F-15",2,IF(L1481="F-30",3,IF(L1481="F-60",4,IF(L1481="F-90",5,IF(L1481="F-120",6,IF(L1481="F-150",7,0)))))),0),0)+IF(AND(O1481="FIRE TEX 5090",OR(E1481="IN",E1481="C",E1481="Z",E1481="L"),J1481=4),VLOOKUP(_xlfn.MINIFS('FIRE TEX 5090'!$J$5:$J$43,'FIRE TEX 5090'!$J$5:$J$43,"&gt;="&amp;M1481),'FIRE TEX 5090'!$J$5:$P$43,IF(L1481="F-15",2,IF(L1481="F-30",3,IF(L1481="F-60",4,IF(L1481="F-90",5,IF(L1481="F-120",6,IF(L1481="F-150",7,0)))))),0),0)+IF(AND(O1481="FIRE TEX 5090",E1481="CJ",J1481=3),VLOOKUP(_xlfn.MINIFS('FIRE TEX 5090'!$R$5:$R$30,'FIRE TEX 5090'!$R$5:$R$30,"&gt;="&amp;M1481),'FIRE TEX 5090'!$R$5:$W$30,IF(L1481="F-15",2,IF(L1481="F-30",3,IF(L1481="F-60",4,IF(L1481="F-90",5,IF(L1481="F-120",6,IF(L1481="F-150",7,0)))))),0),0)+IF(AND(O1481="FIRE TEX 5090",E1481="CJ",J1481=4),VLOOKUP(_xlfn.MINIFS('FIRE TEX 5090'!$Y$5:$Y$39,'FIRE TEX 5090'!$Y$5:$Y$39,"&gt;="&amp;M1481),'FIRE TEX 5090'!$Y$5:$AD$39,IF(L1481="F-15",2,IF(L1481="F-30",3,IF(L1481="F-60",4,IF(L1481="F-90",5,IF(L1481="F-120",6,IF(L1481="F-150",7,0)))))),0),0)+IF(AND(O1481="FIRE TEX 5120",OR(E1481="IN",E1481="C",E1481="Z",E1481="L"),J1481=3),VLOOKUP(_xlfn.MINIFS('FIRE TEX 5120'!$B$5:$B$40,'FIRE TEX 5120'!$B$5:$B$40,"&gt;="&amp;M1481),'FIRE TEX 5120'!$B$5:$G$40,IF(L1481="F-15",2,IF(L1481="F-30",3,IF(L1481="F-60",4,IF(L1481="F-90",5,IF(L1481="F-120",6,0))))),0),0)+IF(AND(O1481="FIRE TEX 5120",OR(E1481="IN",E1481="C",E1481="Z",E1481="L"),J1481=4),VLOOKUP(_xlfn.MINIFS('FIRE TEX 5120'!$H$4:$H$40,'FIRE TEX 5120'!$H$4:$H$40,"&gt;="&amp;M1481),'FIRE TEX 5120'!$H$4:$M$40,IF(L1481="F-15",2,IF(L1481="F-30",3,IF(L1481="F-60",4,IF(L1481="F-90",5,IF(L1481="F-120",6,0))))),0),0)+IF(AND(O1481="FIRE TEX 5120",E1481="CJ"),VLOOKUP(_xlfn.MINIFS('FIRE TEX 5120'!$O$5:$O$40,'FIRE TEX 5120'!$O$5:$O$40,"&gt;="&amp;M1481),'FIRE TEX 5120'!$O$5:$T$40,IF(L1481="F-15",2,IF(L1481="F-30",3,IF(L1481="F-60",4,IF(L1481="F-90",5,IF(L1481="F-120",6,0))))),0),0)</f>
        <v>0</v>
      </c>
      <c r="Q1481" s="46">
        <f t="shared" si="134"/>
        <v>0</v>
      </c>
      <c r="R1481" s="46">
        <f t="shared" si="135"/>
        <v>0</v>
      </c>
      <c r="S1481" s="46" t="e">
        <f t="shared" si="136"/>
        <v>#VALUE!</v>
      </c>
      <c r="T1481" s="677">
        <f t="shared" si="137"/>
        <v>0</v>
      </c>
      <c r="U1481" s="80">
        <f>(IF(O1481="Stofire",(S1481*#REF!),0))+(IF(O1481="Fire Control",(S1481*$U$2),0))+(IF(O1481="Fire Tex",(S1481*$U$3),0))+(IF(O1481="WB7",(S1481*#REF!),0)+(IF(O1481="FX 2003",(S1481*$U$5),0)))</f>
        <v>0</v>
      </c>
      <c r="V1481" s="651">
        <f t="shared" si="138"/>
        <v>0</v>
      </c>
    </row>
    <row r="1482" spans="4:22" x14ac:dyDescent="0.25">
      <c r="D1482" s="118">
        <f>+CUBICACION!D1481</f>
        <v>0</v>
      </c>
      <c r="E1482" s="118">
        <f>+CUBICACION!F1481</f>
        <v>0</v>
      </c>
      <c r="F1482" s="118">
        <f>+CUBICACION!E1481</f>
        <v>0</v>
      </c>
      <c r="G1482" s="118">
        <v>12</v>
      </c>
      <c r="H1482" s="118">
        <v>2</v>
      </c>
      <c r="I1482" s="820">
        <v>26385</v>
      </c>
      <c r="J1482" s="118">
        <f>+CUBICACION!J1481</f>
        <v>0</v>
      </c>
      <c r="K1482" s="118">
        <v>4261</v>
      </c>
      <c r="L1482" s="118">
        <f>+CUBICACION!L1481</f>
        <v>0</v>
      </c>
      <c r="M1482" s="64">
        <f>+CUBICACION!M1481</f>
        <v>0</v>
      </c>
      <c r="N1482" s="824" t="str">
        <f>+CUBICACION!N1481</f>
        <v/>
      </c>
      <c r="O1482" s="675">
        <f>+CUBICACION!O1481</f>
        <v>0</v>
      </c>
      <c r="P1482" s="15">
        <f>IF(O1482="Fire Control",VLOOKUP(_xlfn.MINIFS('FIRE CONTROL'!$C$4:$C$37,'FIRE CONTROL'!$C$4:$C$37,"&gt;="&amp;M1482),'FIRE CONTROL'!$C$4:$G$37,IF(L1482="F-15",2,IF(L1482="F-30",3,IF(L1482="F-60",4,IF(L1482="F-90",5,0)))),0),0)+IF(AND(O1482="FIRE TEX 5062",OR(E1482="IN",E1482="C",E1482="Z",E1482="L"),J1482=3),VLOOKUP(_xlfn.MINIFS('FIRE TEX 5062'!$B$4:$B$34,'FIRE TEX 5062'!$B$4:$B$34,"&gt;="&amp;M1482),'FIRE TEX 5062'!$B$4:$F$34,IF(L1482="F-15",2,IF(L1482="F-30",3,IF(L1482="F-60",4,IF(L1482="F-90",5,0)))),0),0)+IF(AND(O1482="FIRE TEX 5062",OR(E1482="IN",E1482="C",E1482="Z",E1482="L"),J1482=4),VLOOKUP(_xlfn.MINIFS('FIRE TEX 5062'!$G$4:$G$34,'FIRE TEX 5062'!$G$4:$G$34,"&gt;="&amp;M1482),'FIRE TEX 5062'!$G$4:$K$34,IF(L1482="F-15",2,IF(L1482="F-30",3,IF(L1482="F-60",4,IF(L1482="F-90",5,0)))),0),0)+IF(AND(O1482="FIRE TEX 5062",E1482="CJ",J1482=3),VLOOKUP(_xlfn.MINIFS('FIRE TEX 5062'!$L$4:$L$34,'FIRE TEX 5062'!$L$4:$L$34,"&gt;="&amp;M1482),'FIRE TEX 5062'!$L$4:$P$34,IF(L1482="F-15",2,IF(L1482="F-30",3,IF(L1482="F-60",4,IF(L1482="F-90",5,0)))),0),0)+IF(AND(O1482="FIRE TEX 5062",E1482="CJ",J1482=4),VLOOKUP(_xlfn.MINIFS('FIRE TEX 5062'!$Q$3:$Q$34,'FIRE TEX 5062'!$Q$3:$Q$34,"&gt;="&amp;M1482),'FIRE TEX 5062'!$Q$3:$U$34,IF(L1482="F-15",2,IF(L1482="F-30",3,IF(L1482="F-60",4,IF(L1482="F-90",5,0)))),0),0)+IF(AND(O1482="FIRE TEX 5090",OR(E1482="IN",E1482="C",E1482="Z",E1482="L"),J1482=3),VLOOKUP(_xlfn.MINIFS('FIRE TEX 5090'!$B$5:$B$43,'FIRE TEX 5090'!$B$5:$B$43,"&gt;="&amp;M1482),'FIRE TEX 5090'!$B$5:$H$43,IF(L1482="F-15",2,IF(L1482="F-30",3,IF(L1482="F-60",4,IF(L1482="F-90",5,IF(L1482="F-120",6,IF(L1482="F-150",7,0)))))),0),0)+IF(AND(O1482="FIRE TEX 5090",OR(E1482="IN",E1482="C",E1482="Z",E1482="L"),J1482=4),VLOOKUP(_xlfn.MINIFS('FIRE TEX 5090'!$J$5:$J$43,'FIRE TEX 5090'!$J$5:$J$43,"&gt;="&amp;M1482),'FIRE TEX 5090'!$J$5:$P$43,IF(L1482="F-15",2,IF(L1482="F-30",3,IF(L1482="F-60",4,IF(L1482="F-90",5,IF(L1482="F-120",6,IF(L1482="F-150",7,0)))))),0),0)+IF(AND(O1482="FIRE TEX 5090",E1482="CJ",J1482=3),VLOOKUP(_xlfn.MINIFS('FIRE TEX 5090'!$R$5:$R$30,'FIRE TEX 5090'!$R$5:$R$30,"&gt;="&amp;M1482),'FIRE TEX 5090'!$R$5:$W$30,IF(L1482="F-15",2,IF(L1482="F-30",3,IF(L1482="F-60",4,IF(L1482="F-90",5,IF(L1482="F-120",6,IF(L1482="F-150",7,0)))))),0),0)+IF(AND(O1482="FIRE TEX 5090",E1482="CJ",J1482=4),VLOOKUP(_xlfn.MINIFS('FIRE TEX 5090'!$Y$5:$Y$39,'FIRE TEX 5090'!$Y$5:$Y$39,"&gt;="&amp;M1482),'FIRE TEX 5090'!$Y$5:$AD$39,IF(L1482="F-15",2,IF(L1482="F-30",3,IF(L1482="F-60",4,IF(L1482="F-90",5,IF(L1482="F-120",6,IF(L1482="F-150",7,0)))))),0),0)+IF(AND(O1482="FIRE TEX 5120",OR(E1482="IN",E1482="C",E1482="Z",E1482="L"),J1482=3),VLOOKUP(_xlfn.MINIFS('FIRE TEX 5120'!$B$5:$B$40,'FIRE TEX 5120'!$B$5:$B$40,"&gt;="&amp;M1482),'FIRE TEX 5120'!$B$5:$G$40,IF(L1482="F-15",2,IF(L1482="F-30",3,IF(L1482="F-60",4,IF(L1482="F-90",5,IF(L1482="F-120",6,0))))),0),0)+IF(AND(O1482="FIRE TEX 5120",OR(E1482="IN",E1482="C",E1482="Z",E1482="L"),J1482=4),VLOOKUP(_xlfn.MINIFS('FIRE TEX 5120'!$H$4:$H$40,'FIRE TEX 5120'!$H$4:$H$40,"&gt;="&amp;M1482),'FIRE TEX 5120'!$H$4:$M$40,IF(L1482="F-15",2,IF(L1482="F-30",3,IF(L1482="F-60",4,IF(L1482="F-90",5,IF(L1482="F-120",6,0))))),0),0)+IF(AND(O1482="FIRE TEX 5120",E1482="CJ"),VLOOKUP(_xlfn.MINIFS('FIRE TEX 5120'!$O$5:$O$40,'FIRE TEX 5120'!$O$5:$O$40,"&gt;="&amp;M1482),'FIRE TEX 5120'!$O$5:$T$40,IF(L1482="F-15",2,IF(L1482="F-30",3,IF(L1482="F-60",4,IF(L1482="F-90",5,IF(L1482="F-120",6,0))))),0),0)</f>
        <v>0</v>
      </c>
      <c r="Q1482" s="46">
        <f t="shared" si="134"/>
        <v>0</v>
      </c>
      <c r="R1482" s="46">
        <f t="shared" si="135"/>
        <v>0</v>
      </c>
      <c r="S1482" s="46" t="e">
        <f t="shared" si="136"/>
        <v>#VALUE!</v>
      </c>
      <c r="T1482" s="677">
        <f t="shared" si="137"/>
        <v>0</v>
      </c>
      <c r="U1482" s="80">
        <f>(IF(O1482="Stofire",(S1482*#REF!),0))+(IF(O1482="Fire Control",(S1482*$U$2),0))+(IF(O1482="Fire Tex",(S1482*$U$3),0))+(IF(O1482="WB7",(S1482*#REF!),0)+(IF(O1482="FX 2003",(S1482*$U$5),0)))</f>
        <v>0</v>
      </c>
      <c r="V1482" s="651">
        <f t="shared" si="138"/>
        <v>0</v>
      </c>
    </row>
    <row r="1483" spans="4:22" x14ac:dyDescent="0.25">
      <c r="D1483" s="118">
        <f>+CUBICACION!D1482</f>
        <v>0</v>
      </c>
      <c r="E1483" s="118">
        <f>+CUBICACION!F1482</f>
        <v>0</v>
      </c>
      <c r="F1483" s="118">
        <f>+CUBICACION!E1482</f>
        <v>0</v>
      </c>
      <c r="G1483" s="118">
        <v>12</v>
      </c>
      <c r="H1483" s="118">
        <v>2</v>
      </c>
      <c r="I1483" s="820">
        <v>26385</v>
      </c>
      <c r="J1483" s="118">
        <f>+CUBICACION!J1482</f>
        <v>0</v>
      </c>
      <c r="K1483" s="118">
        <v>4262</v>
      </c>
      <c r="L1483" s="118">
        <f>+CUBICACION!L1482</f>
        <v>0</v>
      </c>
      <c r="M1483" s="64">
        <f>+CUBICACION!M1482</f>
        <v>0</v>
      </c>
      <c r="N1483" s="824" t="str">
        <f>+CUBICACION!N1482</f>
        <v/>
      </c>
      <c r="O1483" s="675">
        <f>+CUBICACION!O1482</f>
        <v>0</v>
      </c>
      <c r="P1483" s="15">
        <f>IF(O1483="Fire Control",VLOOKUP(_xlfn.MINIFS('FIRE CONTROL'!$C$4:$C$37,'FIRE CONTROL'!$C$4:$C$37,"&gt;="&amp;M1483),'FIRE CONTROL'!$C$4:$G$37,IF(L1483="F-15",2,IF(L1483="F-30",3,IF(L1483="F-60",4,IF(L1483="F-90",5,0)))),0),0)+IF(AND(O1483="FIRE TEX 5062",OR(E1483="IN",E1483="C",E1483="Z",E1483="L"),J1483=3),VLOOKUP(_xlfn.MINIFS('FIRE TEX 5062'!$B$4:$B$34,'FIRE TEX 5062'!$B$4:$B$34,"&gt;="&amp;M1483),'FIRE TEX 5062'!$B$4:$F$34,IF(L1483="F-15",2,IF(L1483="F-30",3,IF(L1483="F-60",4,IF(L1483="F-90",5,0)))),0),0)+IF(AND(O1483="FIRE TEX 5062",OR(E1483="IN",E1483="C",E1483="Z",E1483="L"),J1483=4),VLOOKUP(_xlfn.MINIFS('FIRE TEX 5062'!$G$4:$G$34,'FIRE TEX 5062'!$G$4:$G$34,"&gt;="&amp;M1483),'FIRE TEX 5062'!$G$4:$K$34,IF(L1483="F-15",2,IF(L1483="F-30",3,IF(L1483="F-60",4,IF(L1483="F-90",5,0)))),0),0)+IF(AND(O1483="FIRE TEX 5062",E1483="CJ",J1483=3),VLOOKUP(_xlfn.MINIFS('FIRE TEX 5062'!$L$4:$L$34,'FIRE TEX 5062'!$L$4:$L$34,"&gt;="&amp;M1483),'FIRE TEX 5062'!$L$4:$P$34,IF(L1483="F-15",2,IF(L1483="F-30",3,IF(L1483="F-60",4,IF(L1483="F-90",5,0)))),0),0)+IF(AND(O1483="FIRE TEX 5062",E1483="CJ",J1483=4),VLOOKUP(_xlfn.MINIFS('FIRE TEX 5062'!$Q$3:$Q$34,'FIRE TEX 5062'!$Q$3:$Q$34,"&gt;="&amp;M1483),'FIRE TEX 5062'!$Q$3:$U$34,IF(L1483="F-15",2,IF(L1483="F-30",3,IF(L1483="F-60",4,IF(L1483="F-90",5,0)))),0),0)+IF(AND(O1483="FIRE TEX 5090",OR(E1483="IN",E1483="C",E1483="Z",E1483="L"),J1483=3),VLOOKUP(_xlfn.MINIFS('FIRE TEX 5090'!$B$5:$B$43,'FIRE TEX 5090'!$B$5:$B$43,"&gt;="&amp;M1483),'FIRE TEX 5090'!$B$5:$H$43,IF(L1483="F-15",2,IF(L1483="F-30",3,IF(L1483="F-60",4,IF(L1483="F-90",5,IF(L1483="F-120",6,IF(L1483="F-150",7,0)))))),0),0)+IF(AND(O1483="FIRE TEX 5090",OR(E1483="IN",E1483="C",E1483="Z",E1483="L"),J1483=4),VLOOKUP(_xlfn.MINIFS('FIRE TEX 5090'!$J$5:$J$43,'FIRE TEX 5090'!$J$5:$J$43,"&gt;="&amp;M1483),'FIRE TEX 5090'!$J$5:$P$43,IF(L1483="F-15",2,IF(L1483="F-30",3,IF(L1483="F-60",4,IF(L1483="F-90",5,IF(L1483="F-120",6,IF(L1483="F-150",7,0)))))),0),0)+IF(AND(O1483="FIRE TEX 5090",E1483="CJ",J1483=3),VLOOKUP(_xlfn.MINIFS('FIRE TEX 5090'!$R$5:$R$30,'FIRE TEX 5090'!$R$5:$R$30,"&gt;="&amp;M1483),'FIRE TEX 5090'!$R$5:$W$30,IF(L1483="F-15",2,IF(L1483="F-30",3,IF(L1483="F-60",4,IF(L1483="F-90",5,IF(L1483="F-120",6,IF(L1483="F-150",7,0)))))),0),0)+IF(AND(O1483="FIRE TEX 5090",E1483="CJ",J1483=4),VLOOKUP(_xlfn.MINIFS('FIRE TEX 5090'!$Y$5:$Y$39,'FIRE TEX 5090'!$Y$5:$Y$39,"&gt;="&amp;M1483),'FIRE TEX 5090'!$Y$5:$AD$39,IF(L1483="F-15",2,IF(L1483="F-30",3,IF(L1483="F-60",4,IF(L1483="F-90",5,IF(L1483="F-120",6,IF(L1483="F-150",7,0)))))),0),0)+IF(AND(O1483="FIRE TEX 5120",OR(E1483="IN",E1483="C",E1483="Z",E1483="L"),J1483=3),VLOOKUP(_xlfn.MINIFS('FIRE TEX 5120'!$B$5:$B$40,'FIRE TEX 5120'!$B$5:$B$40,"&gt;="&amp;M1483),'FIRE TEX 5120'!$B$5:$G$40,IF(L1483="F-15",2,IF(L1483="F-30",3,IF(L1483="F-60",4,IF(L1483="F-90",5,IF(L1483="F-120",6,0))))),0),0)+IF(AND(O1483="FIRE TEX 5120",OR(E1483="IN",E1483="C",E1483="Z",E1483="L"),J1483=4),VLOOKUP(_xlfn.MINIFS('FIRE TEX 5120'!$H$4:$H$40,'FIRE TEX 5120'!$H$4:$H$40,"&gt;="&amp;M1483),'FIRE TEX 5120'!$H$4:$M$40,IF(L1483="F-15",2,IF(L1483="F-30",3,IF(L1483="F-60",4,IF(L1483="F-90",5,IF(L1483="F-120",6,0))))),0),0)+IF(AND(O1483="FIRE TEX 5120",E1483="CJ"),VLOOKUP(_xlfn.MINIFS('FIRE TEX 5120'!$O$5:$O$40,'FIRE TEX 5120'!$O$5:$O$40,"&gt;="&amp;M1483),'FIRE TEX 5120'!$O$5:$T$40,IF(L1483="F-15",2,IF(L1483="F-30",3,IF(L1483="F-60",4,IF(L1483="F-90",5,IF(L1483="F-120",6,0))))),0),0)</f>
        <v>0</v>
      </c>
      <c r="Q1483" s="46">
        <f t="shared" si="134"/>
        <v>0</v>
      </c>
      <c r="R1483" s="46">
        <f t="shared" si="135"/>
        <v>0</v>
      </c>
      <c r="S1483" s="46" t="e">
        <f t="shared" si="136"/>
        <v>#VALUE!</v>
      </c>
      <c r="T1483" s="677">
        <f t="shared" si="137"/>
        <v>0</v>
      </c>
      <c r="U1483" s="80">
        <f>(IF(O1483="Stofire",(S1483*#REF!),0))+(IF(O1483="Fire Control",(S1483*$U$2),0))+(IF(O1483="Fire Tex",(S1483*$U$3),0))+(IF(O1483="WB7",(S1483*#REF!),0)+(IF(O1483="FX 2003",(S1483*$U$5),0)))</f>
        <v>0</v>
      </c>
      <c r="V1483" s="651">
        <f t="shared" si="138"/>
        <v>0</v>
      </c>
    </row>
    <row r="1484" spans="4:22" x14ac:dyDescent="0.25">
      <c r="D1484" s="118">
        <f>+CUBICACION!D1483</f>
        <v>0</v>
      </c>
      <c r="E1484" s="118">
        <f>+CUBICACION!F1483</f>
        <v>0</v>
      </c>
      <c r="F1484" s="118">
        <f>+CUBICACION!E1483</f>
        <v>0</v>
      </c>
      <c r="G1484" s="118">
        <v>12</v>
      </c>
      <c r="H1484" s="118">
        <v>2</v>
      </c>
      <c r="I1484" s="820">
        <v>26385</v>
      </c>
      <c r="J1484" s="118">
        <f>+CUBICACION!J1483</f>
        <v>0</v>
      </c>
      <c r="K1484" s="118">
        <v>4263</v>
      </c>
      <c r="L1484" s="118">
        <f>+CUBICACION!L1483</f>
        <v>0</v>
      </c>
      <c r="M1484" s="64">
        <f>+CUBICACION!M1483</f>
        <v>0</v>
      </c>
      <c r="N1484" s="824" t="str">
        <f>+CUBICACION!N1483</f>
        <v/>
      </c>
      <c r="O1484" s="675">
        <f>+CUBICACION!O1483</f>
        <v>0</v>
      </c>
      <c r="P1484" s="15">
        <f>IF(O1484="Fire Control",VLOOKUP(_xlfn.MINIFS('FIRE CONTROL'!$C$4:$C$37,'FIRE CONTROL'!$C$4:$C$37,"&gt;="&amp;M1484),'FIRE CONTROL'!$C$4:$G$37,IF(L1484="F-15",2,IF(L1484="F-30",3,IF(L1484="F-60",4,IF(L1484="F-90",5,0)))),0),0)+IF(AND(O1484="FIRE TEX 5062",OR(E1484="IN",E1484="C",E1484="Z",E1484="L"),J1484=3),VLOOKUP(_xlfn.MINIFS('FIRE TEX 5062'!$B$4:$B$34,'FIRE TEX 5062'!$B$4:$B$34,"&gt;="&amp;M1484),'FIRE TEX 5062'!$B$4:$F$34,IF(L1484="F-15",2,IF(L1484="F-30",3,IF(L1484="F-60",4,IF(L1484="F-90",5,0)))),0),0)+IF(AND(O1484="FIRE TEX 5062",OR(E1484="IN",E1484="C",E1484="Z",E1484="L"),J1484=4),VLOOKUP(_xlfn.MINIFS('FIRE TEX 5062'!$G$4:$G$34,'FIRE TEX 5062'!$G$4:$G$34,"&gt;="&amp;M1484),'FIRE TEX 5062'!$G$4:$K$34,IF(L1484="F-15",2,IF(L1484="F-30",3,IF(L1484="F-60",4,IF(L1484="F-90",5,0)))),0),0)+IF(AND(O1484="FIRE TEX 5062",E1484="CJ",J1484=3),VLOOKUP(_xlfn.MINIFS('FIRE TEX 5062'!$L$4:$L$34,'FIRE TEX 5062'!$L$4:$L$34,"&gt;="&amp;M1484),'FIRE TEX 5062'!$L$4:$P$34,IF(L1484="F-15",2,IF(L1484="F-30",3,IF(L1484="F-60",4,IF(L1484="F-90",5,0)))),0),0)+IF(AND(O1484="FIRE TEX 5062",E1484="CJ",J1484=4),VLOOKUP(_xlfn.MINIFS('FIRE TEX 5062'!$Q$3:$Q$34,'FIRE TEX 5062'!$Q$3:$Q$34,"&gt;="&amp;M1484),'FIRE TEX 5062'!$Q$3:$U$34,IF(L1484="F-15",2,IF(L1484="F-30",3,IF(L1484="F-60",4,IF(L1484="F-90",5,0)))),0),0)+IF(AND(O1484="FIRE TEX 5090",OR(E1484="IN",E1484="C",E1484="Z",E1484="L"),J1484=3),VLOOKUP(_xlfn.MINIFS('FIRE TEX 5090'!$B$5:$B$43,'FIRE TEX 5090'!$B$5:$B$43,"&gt;="&amp;M1484),'FIRE TEX 5090'!$B$5:$H$43,IF(L1484="F-15",2,IF(L1484="F-30",3,IF(L1484="F-60",4,IF(L1484="F-90",5,IF(L1484="F-120",6,IF(L1484="F-150",7,0)))))),0),0)+IF(AND(O1484="FIRE TEX 5090",OR(E1484="IN",E1484="C",E1484="Z",E1484="L"),J1484=4),VLOOKUP(_xlfn.MINIFS('FIRE TEX 5090'!$J$5:$J$43,'FIRE TEX 5090'!$J$5:$J$43,"&gt;="&amp;M1484),'FIRE TEX 5090'!$J$5:$P$43,IF(L1484="F-15",2,IF(L1484="F-30",3,IF(L1484="F-60",4,IF(L1484="F-90",5,IF(L1484="F-120",6,IF(L1484="F-150",7,0)))))),0),0)+IF(AND(O1484="FIRE TEX 5090",E1484="CJ",J1484=3),VLOOKUP(_xlfn.MINIFS('FIRE TEX 5090'!$R$5:$R$30,'FIRE TEX 5090'!$R$5:$R$30,"&gt;="&amp;M1484),'FIRE TEX 5090'!$R$5:$W$30,IF(L1484="F-15",2,IF(L1484="F-30",3,IF(L1484="F-60",4,IF(L1484="F-90",5,IF(L1484="F-120",6,IF(L1484="F-150",7,0)))))),0),0)+IF(AND(O1484="FIRE TEX 5090",E1484="CJ",J1484=4),VLOOKUP(_xlfn.MINIFS('FIRE TEX 5090'!$Y$5:$Y$39,'FIRE TEX 5090'!$Y$5:$Y$39,"&gt;="&amp;M1484),'FIRE TEX 5090'!$Y$5:$AD$39,IF(L1484="F-15",2,IF(L1484="F-30",3,IF(L1484="F-60",4,IF(L1484="F-90",5,IF(L1484="F-120",6,IF(L1484="F-150",7,0)))))),0),0)+IF(AND(O1484="FIRE TEX 5120",OR(E1484="IN",E1484="C",E1484="Z",E1484="L"),J1484=3),VLOOKUP(_xlfn.MINIFS('FIRE TEX 5120'!$B$5:$B$40,'FIRE TEX 5120'!$B$5:$B$40,"&gt;="&amp;M1484),'FIRE TEX 5120'!$B$5:$G$40,IF(L1484="F-15",2,IF(L1484="F-30",3,IF(L1484="F-60",4,IF(L1484="F-90",5,IF(L1484="F-120",6,0))))),0),0)+IF(AND(O1484="FIRE TEX 5120",OR(E1484="IN",E1484="C",E1484="Z",E1484="L"),J1484=4),VLOOKUP(_xlfn.MINIFS('FIRE TEX 5120'!$H$4:$H$40,'FIRE TEX 5120'!$H$4:$H$40,"&gt;="&amp;M1484),'FIRE TEX 5120'!$H$4:$M$40,IF(L1484="F-15",2,IF(L1484="F-30",3,IF(L1484="F-60",4,IF(L1484="F-90",5,IF(L1484="F-120",6,0))))),0),0)+IF(AND(O1484="FIRE TEX 5120",E1484="CJ"),VLOOKUP(_xlfn.MINIFS('FIRE TEX 5120'!$O$5:$O$40,'FIRE TEX 5120'!$O$5:$O$40,"&gt;="&amp;M1484),'FIRE TEX 5120'!$O$5:$T$40,IF(L1484="F-15",2,IF(L1484="F-30",3,IF(L1484="F-60",4,IF(L1484="F-90",5,IF(L1484="F-120",6,0))))),0),0)</f>
        <v>0</v>
      </c>
      <c r="Q1484" s="46">
        <f t="shared" si="134"/>
        <v>0</v>
      </c>
      <c r="R1484" s="46">
        <f t="shared" si="135"/>
        <v>0</v>
      </c>
      <c r="S1484" s="46" t="e">
        <f t="shared" si="136"/>
        <v>#VALUE!</v>
      </c>
      <c r="T1484" s="677">
        <f t="shared" si="137"/>
        <v>0</v>
      </c>
      <c r="U1484" s="80">
        <f>(IF(O1484="Stofire",(S1484*#REF!),0))+(IF(O1484="Fire Control",(S1484*$U$2),0))+(IF(O1484="Fire Tex",(S1484*$U$3),0))+(IF(O1484="WB7",(S1484*#REF!),0)+(IF(O1484="FX 2003",(S1484*$U$5),0)))</f>
        <v>0</v>
      </c>
      <c r="V1484" s="651">
        <f t="shared" si="138"/>
        <v>0</v>
      </c>
    </row>
    <row r="1485" spans="4:22" x14ac:dyDescent="0.25">
      <c r="D1485" s="118">
        <f>+CUBICACION!D1484</f>
        <v>0</v>
      </c>
      <c r="E1485" s="118">
        <f>+CUBICACION!F1484</f>
        <v>0</v>
      </c>
      <c r="F1485" s="118">
        <f>+CUBICACION!E1484</f>
        <v>0</v>
      </c>
      <c r="G1485" s="118">
        <v>12</v>
      </c>
      <c r="H1485" s="118">
        <v>2</v>
      </c>
      <c r="I1485" s="820">
        <v>26385</v>
      </c>
      <c r="J1485" s="118">
        <f>+CUBICACION!J1484</f>
        <v>0</v>
      </c>
      <c r="K1485" s="118">
        <v>4264</v>
      </c>
      <c r="L1485" s="118">
        <f>+CUBICACION!L1484</f>
        <v>0</v>
      </c>
      <c r="M1485" s="64">
        <f>+CUBICACION!M1484</f>
        <v>0</v>
      </c>
      <c r="N1485" s="824" t="str">
        <f>+CUBICACION!N1484</f>
        <v/>
      </c>
      <c r="O1485" s="675">
        <f>+CUBICACION!O1484</f>
        <v>0</v>
      </c>
      <c r="P1485" s="15">
        <f>IF(O1485="Fire Control",VLOOKUP(_xlfn.MINIFS('FIRE CONTROL'!$C$4:$C$37,'FIRE CONTROL'!$C$4:$C$37,"&gt;="&amp;M1485),'FIRE CONTROL'!$C$4:$G$37,IF(L1485="F-15",2,IF(L1485="F-30",3,IF(L1485="F-60",4,IF(L1485="F-90",5,0)))),0),0)+IF(AND(O1485="FIRE TEX 5062",OR(E1485="IN",E1485="C",E1485="Z",E1485="L"),J1485=3),VLOOKUP(_xlfn.MINIFS('FIRE TEX 5062'!$B$4:$B$34,'FIRE TEX 5062'!$B$4:$B$34,"&gt;="&amp;M1485),'FIRE TEX 5062'!$B$4:$F$34,IF(L1485="F-15",2,IF(L1485="F-30",3,IF(L1485="F-60",4,IF(L1485="F-90",5,0)))),0),0)+IF(AND(O1485="FIRE TEX 5062",OR(E1485="IN",E1485="C",E1485="Z",E1485="L"),J1485=4),VLOOKUP(_xlfn.MINIFS('FIRE TEX 5062'!$G$4:$G$34,'FIRE TEX 5062'!$G$4:$G$34,"&gt;="&amp;M1485),'FIRE TEX 5062'!$G$4:$K$34,IF(L1485="F-15",2,IF(L1485="F-30",3,IF(L1485="F-60",4,IF(L1485="F-90",5,0)))),0),0)+IF(AND(O1485="FIRE TEX 5062",E1485="CJ",J1485=3),VLOOKUP(_xlfn.MINIFS('FIRE TEX 5062'!$L$4:$L$34,'FIRE TEX 5062'!$L$4:$L$34,"&gt;="&amp;M1485),'FIRE TEX 5062'!$L$4:$P$34,IF(L1485="F-15",2,IF(L1485="F-30",3,IF(L1485="F-60",4,IF(L1485="F-90",5,0)))),0),0)+IF(AND(O1485="FIRE TEX 5062",E1485="CJ",J1485=4),VLOOKUP(_xlfn.MINIFS('FIRE TEX 5062'!$Q$3:$Q$34,'FIRE TEX 5062'!$Q$3:$Q$34,"&gt;="&amp;M1485),'FIRE TEX 5062'!$Q$3:$U$34,IF(L1485="F-15",2,IF(L1485="F-30",3,IF(L1485="F-60",4,IF(L1485="F-90",5,0)))),0),0)+IF(AND(O1485="FIRE TEX 5090",OR(E1485="IN",E1485="C",E1485="Z",E1485="L"),J1485=3),VLOOKUP(_xlfn.MINIFS('FIRE TEX 5090'!$B$5:$B$43,'FIRE TEX 5090'!$B$5:$B$43,"&gt;="&amp;M1485),'FIRE TEX 5090'!$B$5:$H$43,IF(L1485="F-15",2,IF(L1485="F-30",3,IF(L1485="F-60",4,IF(L1485="F-90",5,IF(L1485="F-120",6,IF(L1485="F-150",7,0)))))),0),0)+IF(AND(O1485="FIRE TEX 5090",OR(E1485="IN",E1485="C",E1485="Z",E1485="L"),J1485=4),VLOOKUP(_xlfn.MINIFS('FIRE TEX 5090'!$J$5:$J$43,'FIRE TEX 5090'!$J$5:$J$43,"&gt;="&amp;M1485),'FIRE TEX 5090'!$J$5:$P$43,IF(L1485="F-15",2,IF(L1485="F-30",3,IF(L1485="F-60",4,IF(L1485="F-90",5,IF(L1485="F-120",6,IF(L1485="F-150",7,0)))))),0),0)+IF(AND(O1485="FIRE TEX 5090",E1485="CJ",J1485=3),VLOOKUP(_xlfn.MINIFS('FIRE TEX 5090'!$R$5:$R$30,'FIRE TEX 5090'!$R$5:$R$30,"&gt;="&amp;M1485),'FIRE TEX 5090'!$R$5:$W$30,IF(L1485="F-15",2,IF(L1485="F-30",3,IF(L1485="F-60",4,IF(L1485="F-90",5,IF(L1485="F-120",6,IF(L1485="F-150",7,0)))))),0),0)+IF(AND(O1485="FIRE TEX 5090",E1485="CJ",J1485=4),VLOOKUP(_xlfn.MINIFS('FIRE TEX 5090'!$Y$5:$Y$39,'FIRE TEX 5090'!$Y$5:$Y$39,"&gt;="&amp;M1485),'FIRE TEX 5090'!$Y$5:$AD$39,IF(L1485="F-15",2,IF(L1485="F-30",3,IF(L1485="F-60",4,IF(L1485="F-90",5,IF(L1485="F-120",6,IF(L1485="F-150",7,0)))))),0),0)+IF(AND(O1485="FIRE TEX 5120",OR(E1485="IN",E1485="C",E1485="Z",E1485="L"),J1485=3),VLOOKUP(_xlfn.MINIFS('FIRE TEX 5120'!$B$5:$B$40,'FIRE TEX 5120'!$B$5:$B$40,"&gt;="&amp;M1485),'FIRE TEX 5120'!$B$5:$G$40,IF(L1485="F-15",2,IF(L1485="F-30",3,IF(L1485="F-60",4,IF(L1485="F-90",5,IF(L1485="F-120",6,0))))),0),0)+IF(AND(O1485="FIRE TEX 5120",OR(E1485="IN",E1485="C",E1485="Z",E1485="L"),J1485=4),VLOOKUP(_xlfn.MINIFS('FIRE TEX 5120'!$H$4:$H$40,'FIRE TEX 5120'!$H$4:$H$40,"&gt;="&amp;M1485),'FIRE TEX 5120'!$H$4:$M$40,IF(L1485="F-15",2,IF(L1485="F-30",3,IF(L1485="F-60",4,IF(L1485="F-90",5,IF(L1485="F-120",6,0))))),0),0)+IF(AND(O1485="FIRE TEX 5120",E1485="CJ"),VLOOKUP(_xlfn.MINIFS('FIRE TEX 5120'!$O$5:$O$40,'FIRE TEX 5120'!$O$5:$O$40,"&gt;="&amp;M1485),'FIRE TEX 5120'!$O$5:$T$40,IF(L1485="F-15",2,IF(L1485="F-30",3,IF(L1485="F-60",4,IF(L1485="F-90",5,IF(L1485="F-120",6,0))))),0),0)</f>
        <v>0</v>
      </c>
      <c r="Q1485" s="46">
        <f t="shared" si="134"/>
        <v>0</v>
      </c>
      <c r="R1485" s="46">
        <f t="shared" si="135"/>
        <v>0</v>
      </c>
      <c r="S1485" s="46" t="e">
        <f t="shared" si="136"/>
        <v>#VALUE!</v>
      </c>
      <c r="T1485" s="677">
        <f t="shared" si="137"/>
        <v>0</v>
      </c>
      <c r="U1485" s="80">
        <f>(IF(O1485="Stofire",(S1485*#REF!),0))+(IF(O1485="Fire Control",(S1485*$U$2),0))+(IF(O1485="Fire Tex",(S1485*$U$3),0))+(IF(O1485="WB7",(S1485*#REF!),0)+(IF(O1485="FX 2003",(S1485*$U$5),0)))</f>
        <v>0</v>
      </c>
      <c r="V1485" s="651">
        <f t="shared" si="138"/>
        <v>0</v>
      </c>
    </row>
    <row r="1486" spans="4:22" x14ac:dyDescent="0.25">
      <c r="D1486" s="118">
        <f>+CUBICACION!D1485</f>
        <v>0</v>
      </c>
      <c r="E1486" s="118">
        <f>+CUBICACION!F1485</f>
        <v>0</v>
      </c>
      <c r="F1486" s="118">
        <f>+CUBICACION!E1485</f>
        <v>0</v>
      </c>
      <c r="G1486" s="118">
        <v>12</v>
      </c>
      <c r="H1486" s="118">
        <v>2</v>
      </c>
      <c r="I1486" s="820">
        <v>26385</v>
      </c>
      <c r="J1486" s="118">
        <f>+CUBICACION!J1485</f>
        <v>0</v>
      </c>
      <c r="K1486" s="118">
        <v>4265</v>
      </c>
      <c r="L1486" s="118">
        <f>+CUBICACION!L1485</f>
        <v>0</v>
      </c>
      <c r="M1486" s="64">
        <f>+CUBICACION!M1485</f>
        <v>0</v>
      </c>
      <c r="N1486" s="824" t="str">
        <f>+CUBICACION!N1485</f>
        <v/>
      </c>
      <c r="O1486" s="675">
        <f>+CUBICACION!O1485</f>
        <v>0</v>
      </c>
      <c r="P1486" s="15">
        <f>IF(O1486="Fire Control",VLOOKUP(_xlfn.MINIFS('FIRE CONTROL'!$C$4:$C$37,'FIRE CONTROL'!$C$4:$C$37,"&gt;="&amp;M1486),'FIRE CONTROL'!$C$4:$G$37,IF(L1486="F-15",2,IF(L1486="F-30",3,IF(L1486="F-60",4,IF(L1486="F-90",5,0)))),0),0)+IF(AND(O1486="FIRE TEX 5062",OR(E1486="IN",E1486="C",E1486="Z",E1486="L"),J1486=3),VLOOKUP(_xlfn.MINIFS('FIRE TEX 5062'!$B$4:$B$34,'FIRE TEX 5062'!$B$4:$B$34,"&gt;="&amp;M1486),'FIRE TEX 5062'!$B$4:$F$34,IF(L1486="F-15",2,IF(L1486="F-30",3,IF(L1486="F-60",4,IF(L1486="F-90",5,0)))),0),0)+IF(AND(O1486="FIRE TEX 5062",OR(E1486="IN",E1486="C",E1486="Z",E1486="L"),J1486=4),VLOOKUP(_xlfn.MINIFS('FIRE TEX 5062'!$G$4:$G$34,'FIRE TEX 5062'!$G$4:$G$34,"&gt;="&amp;M1486),'FIRE TEX 5062'!$G$4:$K$34,IF(L1486="F-15",2,IF(L1486="F-30",3,IF(L1486="F-60",4,IF(L1486="F-90",5,0)))),0),0)+IF(AND(O1486="FIRE TEX 5062",E1486="CJ",J1486=3),VLOOKUP(_xlfn.MINIFS('FIRE TEX 5062'!$L$4:$L$34,'FIRE TEX 5062'!$L$4:$L$34,"&gt;="&amp;M1486),'FIRE TEX 5062'!$L$4:$P$34,IF(L1486="F-15",2,IF(L1486="F-30",3,IF(L1486="F-60",4,IF(L1486="F-90",5,0)))),0),0)+IF(AND(O1486="FIRE TEX 5062",E1486="CJ",J1486=4),VLOOKUP(_xlfn.MINIFS('FIRE TEX 5062'!$Q$3:$Q$34,'FIRE TEX 5062'!$Q$3:$Q$34,"&gt;="&amp;M1486),'FIRE TEX 5062'!$Q$3:$U$34,IF(L1486="F-15",2,IF(L1486="F-30",3,IF(L1486="F-60",4,IF(L1486="F-90",5,0)))),0),0)+IF(AND(O1486="FIRE TEX 5090",OR(E1486="IN",E1486="C",E1486="Z",E1486="L"),J1486=3),VLOOKUP(_xlfn.MINIFS('FIRE TEX 5090'!$B$5:$B$43,'FIRE TEX 5090'!$B$5:$B$43,"&gt;="&amp;M1486),'FIRE TEX 5090'!$B$5:$H$43,IF(L1486="F-15",2,IF(L1486="F-30",3,IF(L1486="F-60",4,IF(L1486="F-90",5,IF(L1486="F-120",6,IF(L1486="F-150",7,0)))))),0),0)+IF(AND(O1486="FIRE TEX 5090",OR(E1486="IN",E1486="C",E1486="Z",E1486="L"),J1486=4),VLOOKUP(_xlfn.MINIFS('FIRE TEX 5090'!$J$5:$J$43,'FIRE TEX 5090'!$J$5:$J$43,"&gt;="&amp;M1486),'FIRE TEX 5090'!$J$5:$P$43,IF(L1486="F-15",2,IF(L1486="F-30",3,IF(L1486="F-60",4,IF(L1486="F-90",5,IF(L1486="F-120",6,IF(L1486="F-150",7,0)))))),0),0)+IF(AND(O1486="FIRE TEX 5090",E1486="CJ",J1486=3),VLOOKUP(_xlfn.MINIFS('FIRE TEX 5090'!$R$5:$R$30,'FIRE TEX 5090'!$R$5:$R$30,"&gt;="&amp;M1486),'FIRE TEX 5090'!$R$5:$W$30,IF(L1486="F-15",2,IF(L1486="F-30",3,IF(L1486="F-60",4,IF(L1486="F-90",5,IF(L1486="F-120",6,IF(L1486="F-150",7,0)))))),0),0)+IF(AND(O1486="FIRE TEX 5090",E1486="CJ",J1486=4),VLOOKUP(_xlfn.MINIFS('FIRE TEX 5090'!$Y$5:$Y$39,'FIRE TEX 5090'!$Y$5:$Y$39,"&gt;="&amp;M1486),'FIRE TEX 5090'!$Y$5:$AD$39,IF(L1486="F-15",2,IF(L1486="F-30",3,IF(L1486="F-60",4,IF(L1486="F-90",5,IF(L1486="F-120",6,IF(L1486="F-150",7,0)))))),0),0)+IF(AND(O1486="FIRE TEX 5120",OR(E1486="IN",E1486="C",E1486="Z",E1486="L"),J1486=3),VLOOKUP(_xlfn.MINIFS('FIRE TEX 5120'!$B$5:$B$40,'FIRE TEX 5120'!$B$5:$B$40,"&gt;="&amp;M1486),'FIRE TEX 5120'!$B$5:$G$40,IF(L1486="F-15",2,IF(L1486="F-30",3,IF(L1486="F-60",4,IF(L1486="F-90",5,IF(L1486="F-120",6,0))))),0),0)+IF(AND(O1486="FIRE TEX 5120",OR(E1486="IN",E1486="C",E1486="Z",E1486="L"),J1486=4),VLOOKUP(_xlfn.MINIFS('FIRE TEX 5120'!$H$4:$H$40,'FIRE TEX 5120'!$H$4:$H$40,"&gt;="&amp;M1486),'FIRE TEX 5120'!$H$4:$M$40,IF(L1486="F-15",2,IF(L1486="F-30",3,IF(L1486="F-60",4,IF(L1486="F-90",5,IF(L1486="F-120",6,0))))),0),0)+IF(AND(O1486="FIRE TEX 5120",E1486="CJ"),VLOOKUP(_xlfn.MINIFS('FIRE TEX 5120'!$O$5:$O$40,'FIRE TEX 5120'!$O$5:$O$40,"&gt;="&amp;M1486),'FIRE TEX 5120'!$O$5:$T$40,IF(L1486="F-15",2,IF(L1486="F-30",3,IF(L1486="F-60",4,IF(L1486="F-90",5,IF(L1486="F-120",6,0))))),0),0)</f>
        <v>0</v>
      </c>
      <c r="Q1486" s="46">
        <f t="shared" si="134"/>
        <v>0</v>
      </c>
      <c r="R1486" s="46">
        <f t="shared" si="135"/>
        <v>0</v>
      </c>
      <c r="S1486" s="46" t="e">
        <f t="shared" si="136"/>
        <v>#VALUE!</v>
      </c>
      <c r="T1486" s="677">
        <f t="shared" si="137"/>
        <v>0</v>
      </c>
      <c r="U1486" s="80">
        <f>(IF(O1486="Stofire",(S1486*#REF!),0))+(IF(O1486="Fire Control",(S1486*$U$2),0))+(IF(O1486="Fire Tex",(S1486*$U$3),0))+(IF(O1486="WB7",(S1486*#REF!),0)+(IF(O1486="FX 2003",(S1486*$U$5),0)))</f>
        <v>0</v>
      </c>
      <c r="V1486" s="651">
        <f t="shared" si="138"/>
        <v>0</v>
      </c>
    </row>
    <row r="1487" spans="4:22" x14ac:dyDescent="0.25">
      <c r="D1487" s="118">
        <f>+CUBICACION!D1486</f>
        <v>0</v>
      </c>
      <c r="E1487" s="118">
        <f>+CUBICACION!F1486</f>
        <v>0</v>
      </c>
      <c r="F1487" s="118">
        <f>+CUBICACION!E1486</f>
        <v>0</v>
      </c>
      <c r="G1487" s="118">
        <v>12</v>
      </c>
      <c r="H1487" s="118">
        <v>2</v>
      </c>
      <c r="I1487" s="820">
        <v>26385</v>
      </c>
      <c r="J1487" s="118">
        <f>+CUBICACION!J1486</f>
        <v>0</v>
      </c>
      <c r="K1487" s="118">
        <v>4266</v>
      </c>
      <c r="L1487" s="118">
        <f>+CUBICACION!L1486</f>
        <v>0</v>
      </c>
      <c r="M1487" s="64">
        <f>+CUBICACION!M1486</f>
        <v>0</v>
      </c>
      <c r="N1487" s="824" t="str">
        <f>+CUBICACION!N1486</f>
        <v/>
      </c>
      <c r="O1487" s="675">
        <f>+CUBICACION!O1486</f>
        <v>0</v>
      </c>
      <c r="P1487" s="15">
        <f>IF(O1487="Fire Control",VLOOKUP(_xlfn.MINIFS('FIRE CONTROL'!$C$4:$C$37,'FIRE CONTROL'!$C$4:$C$37,"&gt;="&amp;M1487),'FIRE CONTROL'!$C$4:$G$37,IF(L1487="F-15",2,IF(L1487="F-30",3,IF(L1487="F-60",4,IF(L1487="F-90",5,0)))),0),0)+IF(AND(O1487="FIRE TEX 5062",OR(E1487="IN",E1487="C",E1487="Z",E1487="L"),J1487=3),VLOOKUP(_xlfn.MINIFS('FIRE TEX 5062'!$B$4:$B$34,'FIRE TEX 5062'!$B$4:$B$34,"&gt;="&amp;M1487),'FIRE TEX 5062'!$B$4:$F$34,IF(L1487="F-15",2,IF(L1487="F-30",3,IF(L1487="F-60",4,IF(L1487="F-90",5,0)))),0),0)+IF(AND(O1487="FIRE TEX 5062",OR(E1487="IN",E1487="C",E1487="Z",E1487="L"),J1487=4),VLOOKUP(_xlfn.MINIFS('FIRE TEX 5062'!$G$4:$G$34,'FIRE TEX 5062'!$G$4:$G$34,"&gt;="&amp;M1487),'FIRE TEX 5062'!$G$4:$K$34,IF(L1487="F-15",2,IF(L1487="F-30",3,IF(L1487="F-60",4,IF(L1487="F-90",5,0)))),0),0)+IF(AND(O1487="FIRE TEX 5062",E1487="CJ",J1487=3),VLOOKUP(_xlfn.MINIFS('FIRE TEX 5062'!$L$4:$L$34,'FIRE TEX 5062'!$L$4:$L$34,"&gt;="&amp;M1487),'FIRE TEX 5062'!$L$4:$P$34,IF(L1487="F-15",2,IF(L1487="F-30",3,IF(L1487="F-60",4,IF(L1487="F-90",5,0)))),0),0)+IF(AND(O1487="FIRE TEX 5062",E1487="CJ",J1487=4),VLOOKUP(_xlfn.MINIFS('FIRE TEX 5062'!$Q$3:$Q$34,'FIRE TEX 5062'!$Q$3:$Q$34,"&gt;="&amp;M1487),'FIRE TEX 5062'!$Q$3:$U$34,IF(L1487="F-15",2,IF(L1487="F-30",3,IF(L1487="F-60",4,IF(L1487="F-90",5,0)))),0),0)+IF(AND(O1487="FIRE TEX 5090",OR(E1487="IN",E1487="C",E1487="Z",E1487="L"),J1487=3),VLOOKUP(_xlfn.MINIFS('FIRE TEX 5090'!$B$5:$B$43,'FIRE TEX 5090'!$B$5:$B$43,"&gt;="&amp;M1487),'FIRE TEX 5090'!$B$5:$H$43,IF(L1487="F-15",2,IF(L1487="F-30",3,IF(L1487="F-60",4,IF(L1487="F-90",5,IF(L1487="F-120",6,IF(L1487="F-150",7,0)))))),0),0)+IF(AND(O1487="FIRE TEX 5090",OR(E1487="IN",E1487="C",E1487="Z",E1487="L"),J1487=4),VLOOKUP(_xlfn.MINIFS('FIRE TEX 5090'!$J$5:$J$43,'FIRE TEX 5090'!$J$5:$J$43,"&gt;="&amp;M1487),'FIRE TEX 5090'!$J$5:$P$43,IF(L1487="F-15",2,IF(L1487="F-30",3,IF(L1487="F-60",4,IF(L1487="F-90",5,IF(L1487="F-120",6,IF(L1487="F-150",7,0)))))),0),0)+IF(AND(O1487="FIRE TEX 5090",E1487="CJ",J1487=3),VLOOKUP(_xlfn.MINIFS('FIRE TEX 5090'!$R$5:$R$30,'FIRE TEX 5090'!$R$5:$R$30,"&gt;="&amp;M1487),'FIRE TEX 5090'!$R$5:$W$30,IF(L1487="F-15",2,IF(L1487="F-30",3,IF(L1487="F-60",4,IF(L1487="F-90",5,IF(L1487="F-120",6,IF(L1487="F-150",7,0)))))),0),0)+IF(AND(O1487="FIRE TEX 5090",E1487="CJ",J1487=4),VLOOKUP(_xlfn.MINIFS('FIRE TEX 5090'!$Y$5:$Y$39,'FIRE TEX 5090'!$Y$5:$Y$39,"&gt;="&amp;M1487),'FIRE TEX 5090'!$Y$5:$AD$39,IF(L1487="F-15",2,IF(L1487="F-30",3,IF(L1487="F-60",4,IF(L1487="F-90",5,IF(L1487="F-120",6,IF(L1487="F-150",7,0)))))),0),0)+IF(AND(O1487="FIRE TEX 5120",OR(E1487="IN",E1487="C",E1487="Z",E1487="L"),J1487=3),VLOOKUP(_xlfn.MINIFS('FIRE TEX 5120'!$B$5:$B$40,'FIRE TEX 5120'!$B$5:$B$40,"&gt;="&amp;M1487),'FIRE TEX 5120'!$B$5:$G$40,IF(L1487="F-15",2,IF(L1487="F-30",3,IF(L1487="F-60",4,IF(L1487="F-90",5,IF(L1487="F-120",6,0))))),0),0)+IF(AND(O1487="FIRE TEX 5120",OR(E1487="IN",E1487="C",E1487="Z",E1487="L"),J1487=4),VLOOKUP(_xlfn.MINIFS('FIRE TEX 5120'!$H$4:$H$40,'FIRE TEX 5120'!$H$4:$H$40,"&gt;="&amp;M1487),'FIRE TEX 5120'!$H$4:$M$40,IF(L1487="F-15",2,IF(L1487="F-30",3,IF(L1487="F-60",4,IF(L1487="F-90",5,IF(L1487="F-120",6,0))))),0),0)+IF(AND(O1487="FIRE TEX 5120",E1487="CJ"),VLOOKUP(_xlfn.MINIFS('FIRE TEX 5120'!$O$5:$O$40,'FIRE TEX 5120'!$O$5:$O$40,"&gt;="&amp;M1487),'FIRE TEX 5120'!$O$5:$T$40,IF(L1487="F-15",2,IF(L1487="F-30",3,IF(L1487="F-60",4,IF(L1487="F-90",5,IF(L1487="F-120",6,0))))),0),0)</f>
        <v>0</v>
      </c>
      <c r="Q1487" s="46">
        <f t="shared" si="134"/>
        <v>0</v>
      </c>
      <c r="R1487" s="46">
        <f t="shared" si="135"/>
        <v>0</v>
      </c>
      <c r="S1487" s="46" t="e">
        <f t="shared" si="136"/>
        <v>#VALUE!</v>
      </c>
      <c r="T1487" s="677">
        <f t="shared" si="137"/>
        <v>0</v>
      </c>
      <c r="U1487" s="80">
        <f>(IF(O1487="Stofire",(S1487*#REF!),0))+(IF(O1487="Fire Control",(S1487*$U$2),0))+(IF(O1487="Fire Tex",(S1487*$U$3),0))+(IF(O1487="WB7",(S1487*#REF!),0)+(IF(O1487="FX 2003",(S1487*$U$5),0)))</f>
        <v>0</v>
      </c>
      <c r="V1487" s="651">
        <f t="shared" si="138"/>
        <v>0</v>
      </c>
    </row>
    <row r="1488" spans="4:22" x14ac:dyDescent="0.25">
      <c r="D1488" s="118">
        <f>+CUBICACION!D1487</f>
        <v>0</v>
      </c>
      <c r="E1488" s="118">
        <f>+CUBICACION!F1487</f>
        <v>0</v>
      </c>
      <c r="F1488" s="118">
        <f>+CUBICACION!E1487</f>
        <v>0</v>
      </c>
      <c r="G1488" s="118">
        <v>12</v>
      </c>
      <c r="H1488" s="118">
        <v>2</v>
      </c>
      <c r="I1488" s="820">
        <v>26385</v>
      </c>
      <c r="J1488" s="118">
        <f>+CUBICACION!J1487</f>
        <v>0</v>
      </c>
      <c r="K1488" s="118">
        <v>4267</v>
      </c>
      <c r="L1488" s="118">
        <f>+CUBICACION!L1487</f>
        <v>0</v>
      </c>
      <c r="M1488" s="64">
        <f>+CUBICACION!M1487</f>
        <v>0</v>
      </c>
      <c r="N1488" s="824" t="str">
        <f>+CUBICACION!N1487</f>
        <v/>
      </c>
      <c r="O1488" s="675">
        <f>+CUBICACION!O1487</f>
        <v>0</v>
      </c>
      <c r="P1488" s="15">
        <f>IF(O1488="Fire Control",VLOOKUP(_xlfn.MINIFS('FIRE CONTROL'!$C$4:$C$37,'FIRE CONTROL'!$C$4:$C$37,"&gt;="&amp;M1488),'FIRE CONTROL'!$C$4:$G$37,IF(L1488="F-15",2,IF(L1488="F-30",3,IF(L1488="F-60",4,IF(L1488="F-90",5,0)))),0),0)+IF(AND(O1488="FIRE TEX 5062",OR(E1488="IN",E1488="C",E1488="Z",E1488="L"),J1488=3),VLOOKUP(_xlfn.MINIFS('FIRE TEX 5062'!$B$4:$B$34,'FIRE TEX 5062'!$B$4:$B$34,"&gt;="&amp;M1488),'FIRE TEX 5062'!$B$4:$F$34,IF(L1488="F-15",2,IF(L1488="F-30",3,IF(L1488="F-60",4,IF(L1488="F-90",5,0)))),0),0)+IF(AND(O1488="FIRE TEX 5062",OR(E1488="IN",E1488="C",E1488="Z",E1488="L"),J1488=4),VLOOKUP(_xlfn.MINIFS('FIRE TEX 5062'!$G$4:$G$34,'FIRE TEX 5062'!$G$4:$G$34,"&gt;="&amp;M1488),'FIRE TEX 5062'!$G$4:$K$34,IF(L1488="F-15",2,IF(L1488="F-30",3,IF(L1488="F-60",4,IF(L1488="F-90",5,0)))),0),0)+IF(AND(O1488="FIRE TEX 5062",E1488="CJ",J1488=3),VLOOKUP(_xlfn.MINIFS('FIRE TEX 5062'!$L$4:$L$34,'FIRE TEX 5062'!$L$4:$L$34,"&gt;="&amp;M1488),'FIRE TEX 5062'!$L$4:$P$34,IF(L1488="F-15",2,IF(L1488="F-30",3,IF(L1488="F-60",4,IF(L1488="F-90",5,0)))),0),0)+IF(AND(O1488="FIRE TEX 5062",E1488="CJ",J1488=4),VLOOKUP(_xlfn.MINIFS('FIRE TEX 5062'!$Q$3:$Q$34,'FIRE TEX 5062'!$Q$3:$Q$34,"&gt;="&amp;M1488),'FIRE TEX 5062'!$Q$3:$U$34,IF(L1488="F-15",2,IF(L1488="F-30",3,IF(L1488="F-60",4,IF(L1488="F-90",5,0)))),0),0)+IF(AND(O1488="FIRE TEX 5090",OR(E1488="IN",E1488="C",E1488="Z",E1488="L"),J1488=3),VLOOKUP(_xlfn.MINIFS('FIRE TEX 5090'!$B$5:$B$43,'FIRE TEX 5090'!$B$5:$B$43,"&gt;="&amp;M1488),'FIRE TEX 5090'!$B$5:$H$43,IF(L1488="F-15",2,IF(L1488="F-30",3,IF(L1488="F-60",4,IF(L1488="F-90",5,IF(L1488="F-120",6,IF(L1488="F-150",7,0)))))),0),0)+IF(AND(O1488="FIRE TEX 5090",OR(E1488="IN",E1488="C",E1488="Z",E1488="L"),J1488=4),VLOOKUP(_xlfn.MINIFS('FIRE TEX 5090'!$J$5:$J$43,'FIRE TEX 5090'!$J$5:$J$43,"&gt;="&amp;M1488),'FIRE TEX 5090'!$J$5:$P$43,IF(L1488="F-15",2,IF(L1488="F-30",3,IF(L1488="F-60",4,IF(L1488="F-90",5,IF(L1488="F-120",6,IF(L1488="F-150",7,0)))))),0),0)+IF(AND(O1488="FIRE TEX 5090",E1488="CJ",J1488=3),VLOOKUP(_xlfn.MINIFS('FIRE TEX 5090'!$R$5:$R$30,'FIRE TEX 5090'!$R$5:$R$30,"&gt;="&amp;M1488),'FIRE TEX 5090'!$R$5:$W$30,IF(L1488="F-15",2,IF(L1488="F-30",3,IF(L1488="F-60",4,IF(L1488="F-90",5,IF(L1488="F-120",6,IF(L1488="F-150",7,0)))))),0),0)+IF(AND(O1488="FIRE TEX 5090",E1488="CJ",J1488=4),VLOOKUP(_xlfn.MINIFS('FIRE TEX 5090'!$Y$5:$Y$39,'FIRE TEX 5090'!$Y$5:$Y$39,"&gt;="&amp;M1488),'FIRE TEX 5090'!$Y$5:$AD$39,IF(L1488="F-15",2,IF(L1488="F-30",3,IF(L1488="F-60",4,IF(L1488="F-90",5,IF(L1488="F-120",6,IF(L1488="F-150",7,0)))))),0),0)+IF(AND(O1488="FIRE TEX 5120",OR(E1488="IN",E1488="C",E1488="Z",E1488="L"),J1488=3),VLOOKUP(_xlfn.MINIFS('FIRE TEX 5120'!$B$5:$B$40,'FIRE TEX 5120'!$B$5:$B$40,"&gt;="&amp;M1488),'FIRE TEX 5120'!$B$5:$G$40,IF(L1488="F-15",2,IF(L1488="F-30",3,IF(L1488="F-60",4,IF(L1488="F-90",5,IF(L1488="F-120",6,0))))),0),0)+IF(AND(O1488="FIRE TEX 5120",OR(E1488="IN",E1488="C",E1488="Z",E1488="L"),J1488=4),VLOOKUP(_xlfn.MINIFS('FIRE TEX 5120'!$H$4:$H$40,'FIRE TEX 5120'!$H$4:$H$40,"&gt;="&amp;M1488),'FIRE TEX 5120'!$H$4:$M$40,IF(L1488="F-15",2,IF(L1488="F-30",3,IF(L1488="F-60",4,IF(L1488="F-90",5,IF(L1488="F-120",6,0))))),0),0)+IF(AND(O1488="FIRE TEX 5120",E1488="CJ"),VLOOKUP(_xlfn.MINIFS('FIRE TEX 5120'!$O$5:$O$40,'FIRE TEX 5120'!$O$5:$O$40,"&gt;="&amp;M1488),'FIRE TEX 5120'!$O$5:$T$40,IF(L1488="F-15",2,IF(L1488="F-30",3,IF(L1488="F-60",4,IF(L1488="F-90",5,IF(L1488="F-120",6,0))))),0),0)</f>
        <v>0</v>
      </c>
      <c r="Q1488" s="46">
        <f t="shared" si="134"/>
        <v>0</v>
      </c>
      <c r="R1488" s="46">
        <f t="shared" si="135"/>
        <v>0</v>
      </c>
      <c r="S1488" s="46" t="e">
        <f t="shared" si="136"/>
        <v>#VALUE!</v>
      </c>
      <c r="T1488" s="677">
        <f t="shared" si="137"/>
        <v>0</v>
      </c>
      <c r="U1488" s="80">
        <f>(IF(O1488="Stofire",(S1488*#REF!),0))+(IF(O1488="Fire Control",(S1488*$U$2),0))+(IF(O1488="Fire Tex",(S1488*$U$3),0))+(IF(O1488="WB7",(S1488*#REF!),0)+(IF(O1488="FX 2003",(S1488*$U$5),0)))</f>
        <v>0</v>
      </c>
      <c r="V1488" s="651">
        <f t="shared" si="138"/>
        <v>0</v>
      </c>
    </row>
    <row r="1489" spans="4:22" x14ac:dyDescent="0.25">
      <c r="D1489" s="118">
        <f>+CUBICACION!D1488</f>
        <v>0</v>
      </c>
      <c r="E1489" s="118">
        <f>+CUBICACION!F1488</f>
        <v>0</v>
      </c>
      <c r="F1489" s="118">
        <f>+CUBICACION!E1488</f>
        <v>0</v>
      </c>
      <c r="G1489" s="118">
        <v>12</v>
      </c>
      <c r="H1489" s="118">
        <v>2</v>
      </c>
      <c r="I1489" s="820">
        <v>26385</v>
      </c>
      <c r="J1489" s="118">
        <f>+CUBICACION!J1488</f>
        <v>0</v>
      </c>
      <c r="K1489" s="118">
        <v>4268</v>
      </c>
      <c r="L1489" s="118">
        <f>+CUBICACION!L1488</f>
        <v>0</v>
      </c>
      <c r="M1489" s="64">
        <f>+CUBICACION!M1488</f>
        <v>0</v>
      </c>
      <c r="N1489" s="824" t="str">
        <f>+CUBICACION!N1488</f>
        <v/>
      </c>
      <c r="O1489" s="675">
        <f>+CUBICACION!O1488</f>
        <v>0</v>
      </c>
      <c r="P1489" s="15">
        <f>IF(O1489="Fire Control",VLOOKUP(_xlfn.MINIFS('FIRE CONTROL'!$C$4:$C$37,'FIRE CONTROL'!$C$4:$C$37,"&gt;="&amp;M1489),'FIRE CONTROL'!$C$4:$G$37,IF(L1489="F-15",2,IF(L1489="F-30",3,IF(L1489="F-60",4,IF(L1489="F-90",5,0)))),0),0)+IF(AND(O1489="FIRE TEX 5062",OR(E1489="IN",E1489="C",E1489="Z",E1489="L"),J1489=3),VLOOKUP(_xlfn.MINIFS('FIRE TEX 5062'!$B$4:$B$34,'FIRE TEX 5062'!$B$4:$B$34,"&gt;="&amp;M1489),'FIRE TEX 5062'!$B$4:$F$34,IF(L1489="F-15",2,IF(L1489="F-30",3,IF(L1489="F-60",4,IF(L1489="F-90",5,0)))),0),0)+IF(AND(O1489="FIRE TEX 5062",OR(E1489="IN",E1489="C",E1489="Z",E1489="L"),J1489=4),VLOOKUP(_xlfn.MINIFS('FIRE TEX 5062'!$G$4:$G$34,'FIRE TEX 5062'!$G$4:$G$34,"&gt;="&amp;M1489),'FIRE TEX 5062'!$G$4:$K$34,IF(L1489="F-15",2,IF(L1489="F-30",3,IF(L1489="F-60",4,IF(L1489="F-90",5,0)))),0),0)+IF(AND(O1489="FIRE TEX 5062",E1489="CJ",J1489=3),VLOOKUP(_xlfn.MINIFS('FIRE TEX 5062'!$L$4:$L$34,'FIRE TEX 5062'!$L$4:$L$34,"&gt;="&amp;M1489),'FIRE TEX 5062'!$L$4:$P$34,IF(L1489="F-15",2,IF(L1489="F-30",3,IF(L1489="F-60",4,IF(L1489="F-90",5,0)))),0),0)+IF(AND(O1489="FIRE TEX 5062",E1489="CJ",J1489=4),VLOOKUP(_xlfn.MINIFS('FIRE TEX 5062'!$Q$3:$Q$34,'FIRE TEX 5062'!$Q$3:$Q$34,"&gt;="&amp;M1489),'FIRE TEX 5062'!$Q$3:$U$34,IF(L1489="F-15",2,IF(L1489="F-30",3,IF(L1489="F-60",4,IF(L1489="F-90",5,0)))),0),0)+IF(AND(O1489="FIRE TEX 5090",OR(E1489="IN",E1489="C",E1489="Z",E1489="L"),J1489=3),VLOOKUP(_xlfn.MINIFS('FIRE TEX 5090'!$B$5:$B$43,'FIRE TEX 5090'!$B$5:$B$43,"&gt;="&amp;M1489),'FIRE TEX 5090'!$B$5:$H$43,IF(L1489="F-15",2,IF(L1489="F-30",3,IF(L1489="F-60",4,IF(L1489="F-90",5,IF(L1489="F-120",6,IF(L1489="F-150",7,0)))))),0),0)+IF(AND(O1489="FIRE TEX 5090",OR(E1489="IN",E1489="C",E1489="Z",E1489="L"),J1489=4),VLOOKUP(_xlfn.MINIFS('FIRE TEX 5090'!$J$5:$J$43,'FIRE TEX 5090'!$J$5:$J$43,"&gt;="&amp;M1489),'FIRE TEX 5090'!$J$5:$P$43,IF(L1489="F-15",2,IF(L1489="F-30",3,IF(L1489="F-60",4,IF(L1489="F-90",5,IF(L1489="F-120",6,IF(L1489="F-150",7,0)))))),0),0)+IF(AND(O1489="FIRE TEX 5090",E1489="CJ",J1489=3),VLOOKUP(_xlfn.MINIFS('FIRE TEX 5090'!$R$5:$R$30,'FIRE TEX 5090'!$R$5:$R$30,"&gt;="&amp;M1489),'FIRE TEX 5090'!$R$5:$W$30,IF(L1489="F-15",2,IF(L1489="F-30",3,IF(L1489="F-60",4,IF(L1489="F-90",5,IF(L1489="F-120",6,IF(L1489="F-150",7,0)))))),0),0)+IF(AND(O1489="FIRE TEX 5090",E1489="CJ",J1489=4),VLOOKUP(_xlfn.MINIFS('FIRE TEX 5090'!$Y$5:$Y$39,'FIRE TEX 5090'!$Y$5:$Y$39,"&gt;="&amp;M1489),'FIRE TEX 5090'!$Y$5:$AD$39,IF(L1489="F-15",2,IF(L1489="F-30",3,IF(L1489="F-60",4,IF(L1489="F-90",5,IF(L1489="F-120",6,IF(L1489="F-150",7,0)))))),0),0)+IF(AND(O1489="FIRE TEX 5120",OR(E1489="IN",E1489="C",E1489="Z",E1489="L"),J1489=3),VLOOKUP(_xlfn.MINIFS('FIRE TEX 5120'!$B$5:$B$40,'FIRE TEX 5120'!$B$5:$B$40,"&gt;="&amp;M1489),'FIRE TEX 5120'!$B$5:$G$40,IF(L1489="F-15",2,IF(L1489="F-30",3,IF(L1489="F-60",4,IF(L1489="F-90",5,IF(L1489="F-120",6,0))))),0),0)+IF(AND(O1489="FIRE TEX 5120",OR(E1489="IN",E1489="C",E1489="Z",E1489="L"),J1489=4),VLOOKUP(_xlfn.MINIFS('FIRE TEX 5120'!$H$4:$H$40,'FIRE TEX 5120'!$H$4:$H$40,"&gt;="&amp;M1489),'FIRE TEX 5120'!$H$4:$M$40,IF(L1489="F-15",2,IF(L1489="F-30",3,IF(L1489="F-60",4,IF(L1489="F-90",5,IF(L1489="F-120",6,0))))),0),0)+IF(AND(O1489="FIRE TEX 5120",E1489="CJ"),VLOOKUP(_xlfn.MINIFS('FIRE TEX 5120'!$O$5:$O$40,'FIRE TEX 5120'!$O$5:$O$40,"&gt;="&amp;M1489),'FIRE TEX 5120'!$O$5:$T$40,IF(L1489="F-15",2,IF(L1489="F-30",3,IF(L1489="F-60",4,IF(L1489="F-90",5,IF(L1489="F-120",6,0))))),0),0)</f>
        <v>0</v>
      </c>
      <c r="Q1489" s="46">
        <f t="shared" si="134"/>
        <v>0</v>
      </c>
      <c r="R1489" s="46">
        <f t="shared" si="135"/>
        <v>0</v>
      </c>
      <c r="S1489" s="46" t="e">
        <f t="shared" si="136"/>
        <v>#VALUE!</v>
      </c>
      <c r="T1489" s="677">
        <f t="shared" si="137"/>
        <v>0</v>
      </c>
      <c r="U1489" s="80">
        <f>(IF(O1489="Stofire",(S1489*#REF!),0))+(IF(O1489="Fire Control",(S1489*$U$2),0))+(IF(O1489="Fire Tex",(S1489*$U$3),0))+(IF(O1489="WB7",(S1489*#REF!),0)+(IF(O1489="FX 2003",(S1489*$U$5),0)))</f>
        <v>0</v>
      </c>
      <c r="V1489" s="651">
        <f t="shared" si="138"/>
        <v>0</v>
      </c>
    </row>
    <row r="1490" spans="4:22" x14ac:dyDescent="0.25">
      <c r="D1490" s="118">
        <f>+CUBICACION!D1489</f>
        <v>0</v>
      </c>
      <c r="E1490" s="118">
        <f>+CUBICACION!F1489</f>
        <v>0</v>
      </c>
      <c r="F1490" s="118">
        <f>+CUBICACION!E1489</f>
        <v>0</v>
      </c>
      <c r="G1490" s="118">
        <v>12</v>
      </c>
      <c r="H1490" s="118">
        <v>2</v>
      </c>
      <c r="I1490" s="820">
        <v>26385</v>
      </c>
      <c r="J1490" s="118">
        <f>+CUBICACION!J1489</f>
        <v>0</v>
      </c>
      <c r="K1490" s="118">
        <v>4269</v>
      </c>
      <c r="L1490" s="118">
        <f>+CUBICACION!L1489</f>
        <v>0</v>
      </c>
      <c r="M1490" s="64">
        <f>+CUBICACION!M1489</f>
        <v>0</v>
      </c>
      <c r="N1490" s="824" t="str">
        <f>+CUBICACION!N1489</f>
        <v/>
      </c>
      <c r="O1490" s="675">
        <f>+CUBICACION!O1489</f>
        <v>0</v>
      </c>
      <c r="P1490" s="15">
        <f>IF(O1490="Fire Control",VLOOKUP(_xlfn.MINIFS('FIRE CONTROL'!$C$4:$C$37,'FIRE CONTROL'!$C$4:$C$37,"&gt;="&amp;M1490),'FIRE CONTROL'!$C$4:$G$37,IF(L1490="F-15",2,IF(L1490="F-30",3,IF(L1490="F-60",4,IF(L1490="F-90",5,0)))),0),0)+IF(AND(O1490="FIRE TEX 5062",OR(E1490="IN",E1490="C",E1490="Z",E1490="L"),J1490=3),VLOOKUP(_xlfn.MINIFS('FIRE TEX 5062'!$B$4:$B$34,'FIRE TEX 5062'!$B$4:$B$34,"&gt;="&amp;M1490),'FIRE TEX 5062'!$B$4:$F$34,IF(L1490="F-15",2,IF(L1490="F-30",3,IF(L1490="F-60",4,IF(L1490="F-90",5,0)))),0),0)+IF(AND(O1490="FIRE TEX 5062",OR(E1490="IN",E1490="C",E1490="Z",E1490="L"),J1490=4),VLOOKUP(_xlfn.MINIFS('FIRE TEX 5062'!$G$4:$G$34,'FIRE TEX 5062'!$G$4:$G$34,"&gt;="&amp;M1490),'FIRE TEX 5062'!$G$4:$K$34,IF(L1490="F-15",2,IF(L1490="F-30",3,IF(L1490="F-60",4,IF(L1490="F-90",5,0)))),0),0)+IF(AND(O1490="FIRE TEX 5062",E1490="CJ",J1490=3),VLOOKUP(_xlfn.MINIFS('FIRE TEX 5062'!$L$4:$L$34,'FIRE TEX 5062'!$L$4:$L$34,"&gt;="&amp;M1490),'FIRE TEX 5062'!$L$4:$P$34,IF(L1490="F-15",2,IF(L1490="F-30",3,IF(L1490="F-60",4,IF(L1490="F-90",5,0)))),0),0)+IF(AND(O1490="FIRE TEX 5062",E1490="CJ",J1490=4),VLOOKUP(_xlfn.MINIFS('FIRE TEX 5062'!$Q$3:$Q$34,'FIRE TEX 5062'!$Q$3:$Q$34,"&gt;="&amp;M1490),'FIRE TEX 5062'!$Q$3:$U$34,IF(L1490="F-15",2,IF(L1490="F-30",3,IF(L1490="F-60",4,IF(L1490="F-90",5,0)))),0),0)+IF(AND(O1490="FIRE TEX 5090",OR(E1490="IN",E1490="C",E1490="Z",E1490="L"),J1490=3),VLOOKUP(_xlfn.MINIFS('FIRE TEX 5090'!$B$5:$B$43,'FIRE TEX 5090'!$B$5:$B$43,"&gt;="&amp;M1490),'FIRE TEX 5090'!$B$5:$H$43,IF(L1490="F-15",2,IF(L1490="F-30",3,IF(L1490="F-60",4,IF(L1490="F-90",5,IF(L1490="F-120",6,IF(L1490="F-150",7,0)))))),0),0)+IF(AND(O1490="FIRE TEX 5090",OR(E1490="IN",E1490="C",E1490="Z",E1490="L"),J1490=4),VLOOKUP(_xlfn.MINIFS('FIRE TEX 5090'!$J$5:$J$43,'FIRE TEX 5090'!$J$5:$J$43,"&gt;="&amp;M1490),'FIRE TEX 5090'!$J$5:$P$43,IF(L1490="F-15",2,IF(L1490="F-30",3,IF(L1490="F-60",4,IF(L1490="F-90",5,IF(L1490="F-120",6,IF(L1490="F-150",7,0)))))),0),0)+IF(AND(O1490="FIRE TEX 5090",E1490="CJ",J1490=3),VLOOKUP(_xlfn.MINIFS('FIRE TEX 5090'!$R$5:$R$30,'FIRE TEX 5090'!$R$5:$R$30,"&gt;="&amp;M1490),'FIRE TEX 5090'!$R$5:$W$30,IF(L1490="F-15",2,IF(L1490="F-30",3,IF(L1490="F-60",4,IF(L1490="F-90",5,IF(L1490="F-120",6,IF(L1490="F-150",7,0)))))),0),0)+IF(AND(O1490="FIRE TEX 5090",E1490="CJ",J1490=4),VLOOKUP(_xlfn.MINIFS('FIRE TEX 5090'!$Y$5:$Y$39,'FIRE TEX 5090'!$Y$5:$Y$39,"&gt;="&amp;M1490),'FIRE TEX 5090'!$Y$5:$AD$39,IF(L1490="F-15",2,IF(L1490="F-30",3,IF(L1490="F-60",4,IF(L1490="F-90",5,IF(L1490="F-120",6,IF(L1490="F-150",7,0)))))),0),0)+IF(AND(O1490="FIRE TEX 5120",OR(E1490="IN",E1490="C",E1490="Z",E1490="L"),J1490=3),VLOOKUP(_xlfn.MINIFS('FIRE TEX 5120'!$B$5:$B$40,'FIRE TEX 5120'!$B$5:$B$40,"&gt;="&amp;M1490),'FIRE TEX 5120'!$B$5:$G$40,IF(L1490="F-15",2,IF(L1490="F-30",3,IF(L1490="F-60",4,IF(L1490="F-90",5,IF(L1490="F-120",6,0))))),0),0)+IF(AND(O1490="FIRE TEX 5120",OR(E1490="IN",E1490="C",E1490="Z",E1490="L"),J1490=4),VLOOKUP(_xlfn.MINIFS('FIRE TEX 5120'!$H$4:$H$40,'FIRE TEX 5120'!$H$4:$H$40,"&gt;="&amp;M1490),'FIRE TEX 5120'!$H$4:$M$40,IF(L1490="F-15",2,IF(L1490="F-30",3,IF(L1490="F-60",4,IF(L1490="F-90",5,IF(L1490="F-120",6,0))))),0),0)+IF(AND(O1490="FIRE TEX 5120",E1490="CJ"),VLOOKUP(_xlfn.MINIFS('FIRE TEX 5120'!$O$5:$O$40,'FIRE TEX 5120'!$O$5:$O$40,"&gt;="&amp;M1490),'FIRE TEX 5120'!$O$5:$T$40,IF(L1490="F-15",2,IF(L1490="F-30",3,IF(L1490="F-60",4,IF(L1490="F-90",5,IF(L1490="F-120",6,0))))),0),0)</f>
        <v>0</v>
      </c>
      <c r="Q1490" s="46">
        <f t="shared" si="134"/>
        <v>0</v>
      </c>
      <c r="R1490" s="46">
        <f t="shared" si="135"/>
        <v>0</v>
      </c>
      <c r="S1490" s="46" t="e">
        <f t="shared" si="136"/>
        <v>#VALUE!</v>
      </c>
      <c r="T1490" s="677">
        <f t="shared" si="137"/>
        <v>0</v>
      </c>
      <c r="U1490" s="80">
        <f>(IF(O1490="Stofire",(S1490*#REF!),0))+(IF(O1490="Fire Control",(S1490*$U$2),0))+(IF(O1490="Fire Tex",(S1490*$U$3),0))+(IF(O1490="WB7",(S1490*#REF!),0)+(IF(O1490="FX 2003",(S1490*$U$5),0)))</f>
        <v>0</v>
      </c>
      <c r="V1490" s="651">
        <f t="shared" si="138"/>
        <v>0</v>
      </c>
    </row>
    <row r="1491" spans="4:22" x14ac:dyDescent="0.25">
      <c r="D1491" s="118">
        <f>+CUBICACION!D1490</f>
        <v>0</v>
      </c>
      <c r="E1491" s="118">
        <f>+CUBICACION!F1490</f>
        <v>0</v>
      </c>
      <c r="F1491" s="118">
        <f>+CUBICACION!E1490</f>
        <v>0</v>
      </c>
      <c r="G1491" s="118">
        <v>12</v>
      </c>
      <c r="H1491" s="118">
        <v>2</v>
      </c>
      <c r="I1491" s="820">
        <v>26385</v>
      </c>
      <c r="J1491" s="118">
        <f>+CUBICACION!J1490</f>
        <v>0</v>
      </c>
      <c r="K1491" s="118">
        <v>4270</v>
      </c>
      <c r="L1491" s="118">
        <f>+CUBICACION!L1490</f>
        <v>0</v>
      </c>
      <c r="M1491" s="64">
        <f>+CUBICACION!M1490</f>
        <v>0</v>
      </c>
      <c r="N1491" s="824" t="str">
        <f>+CUBICACION!N1490</f>
        <v/>
      </c>
      <c r="O1491" s="675">
        <f>+CUBICACION!O1490</f>
        <v>0</v>
      </c>
      <c r="P1491" s="15">
        <f>IF(O1491="Fire Control",VLOOKUP(_xlfn.MINIFS('FIRE CONTROL'!$C$4:$C$37,'FIRE CONTROL'!$C$4:$C$37,"&gt;="&amp;M1491),'FIRE CONTROL'!$C$4:$G$37,IF(L1491="F-15",2,IF(L1491="F-30",3,IF(L1491="F-60",4,IF(L1491="F-90",5,0)))),0),0)+IF(AND(O1491="FIRE TEX 5062",OR(E1491="IN",E1491="C",E1491="Z",E1491="L"),J1491=3),VLOOKUP(_xlfn.MINIFS('FIRE TEX 5062'!$B$4:$B$34,'FIRE TEX 5062'!$B$4:$B$34,"&gt;="&amp;M1491),'FIRE TEX 5062'!$B$4:$F$34,IF(L1491="F-15",2,IF(L1491="F-30",3,IF(L1491="F-60",4,IF(L1491="F-90",5,0)))),0),0)+IF(AND(O1491="FIRE TEX 5062",OR(E1491="IN",E1491="C",E1491="Z",E1491="L"),J1491=4),VLOOKUP(_xlfn.MINIFS('FIRE TEX 5062'!$G$4:$G$34,'FIRE TEX 5062'!$G$4:$G$34,"&gt;="&amp;M1491),'FIRE TEX 5062'!$G$4:$K$34,IF(L1491="F-15",2,IF(L1491="F-30",3,IF(L1491="F-60",4,IF(L1491="F-90",5,0)))),0),0)+IF(AND(O1491="FIRE TEX 5062",E1491="CJ",J1491=3),VLOOKUP(_xlfn.MINIFS('FIRE TEX 5062'!$L$4:$L$34,'FIRE TEX 5062'!$L$4:$L$34,"&gt;="&amp;M1491),'FIRE TEX 5062'!$L$4:$P$34,IF(L1491="F-15",2,IF(L1491="F-30",3,IF(L1491="F-60",4,IF(L1491="F-90",5,0)))),0),0)+IF(AND(O1491="FIRE TEX 5062",E1491="CJ",J1491=4),VLOOKUP(_xlfn.MINIFS('FIRE TEX 5062'!$Q$3:$Q$34,'FIRE TEX 5062'!$Q$3:$Q$34,"&gt;="&amp;M1491),'FIRE TEX 5062'!$Q$3:$U$34,IF(L1491="F-15",2,IF(L1491="F-30",3,IF(L1491="F-60",4,IF(L1491="F-90",5,0)))),0),0)+IF(AND(O1491="FIRE TEX 5090",OR(E1491="IN",E1491="C",E1491="Z",E1491="L"),J1491=3),VLOOKUP(_xlfn.MINIFS('FIRE TEX 5090'!$B$5:$B$43,'FIRE TEX 5090'!$B$5:$B$43,"&gt;="&amp;M1491),'FIRE TEX 5090'!$B$5:$H$43,IF(L1491="F-15",2,IF(L1491="F-30",3,IF(L1491="F-60",4,IF(L1491="F-90",5,IF(L1491="F-120",6,IF(L1491="F-150",7,0)))))),0),0)+IF(AND(O1491="FIRE TEX 5090",OR(E1491="IN",E1491="C",E1491="Z",E1491="L"),J1491=4),VLOOKUP(_xlfn.MINIFS('FIRE TEX 5090'!$J$5:$J$43,'FIRE TEX 5090'!$J$5:$J$43,"&gt;="&amp;M1491),'FIRE TEX 5090'!$J$5:$P$43,IF(L1491="F-15",2,IF(L1491="F-30",3,IF(L1491="F-60",4,IF(L1491="F-90",5,IF(L1491="F-120",6,IF(L1491="F-150",7,0)))))),0),0)+IF(AND(O1491="FIRE TEX 5090",E1491="CJ",J1491=3),VLOOKUP(_xlfn.MINIFS('FIRE TEX 5090'!$R$5:$R$30,'FIRE TEX 5090'!$R$5:$R$30,"&gt;="&amp;M1491),'FIRE TEX 5090'!$R$5:$W$30,IF(L1491="F-15",2,IF(L1491="F-30",3,IF(L1491="F-60",4,IF(L1491="F-90",5,IF(L1491="F-120",6,IF(L1491="F-150",7,0)))))),0),0)+IF(AND(O1491="FIRE TEX 5090",E1491="CJ",J1491=4),VLOOKUP(_xlfn.MINIFS('FIRE TEX 5090'!$Y$5:$Y$39,'FIRE TEX 5090'!$Y$5:$Y$39,"&gt;="&amp;M1491),'FIRE TEX 5090'!$Y$5:$AD$39,IF(L1491="F-15",2,IF(L1491="F-30",3,IF(L1491="F-60",4,IF(L1491="F-90",5,IF(L1491="F-120",6,IF(L1491="F-150",7,0)))))),0),0)+IF(AND(O1491="FIRE TEX 5120",OR(E1491="IN",E1491="C",E1491="Z",E1491="L"),J1491=3),VLOOKUP(_xlfn.MINIFS('FIRE TEX 5120'!$B$5:$B$40,'FIRE TEX 5120'!$B$5:$B$40,"&gt;="&amp;M1491),'FIRE TEX 5120'!$B$5:$G$40,IF(L1491="F-15",2,IF(L1491="F-30",3,IF(L1491="F-60",4,IF(L1491="F-90",5,IF(L1491="F-120",6,0))))),0),0)+IF(AND(O1491="FIRE TEX 5120",OR(E1491="IN",E1491="C",E1491="Z",E1491="L"),J1491=4),VLOOKUP(_xlfn.MINIFS('FIRE TEX 5120'!$H$4:$H$40,'FIRE TEX 5120'!$H$4:$H$40,"&gt;="&amp;M1491),'FIRE TEX 5120'!$H$4:$M$40,IF(L1491="F-15",2,IF(L1491="F-30",3,IF(L1491="F-60",4,IF(L1491="F-90",5,IF(L1491="F-120",6,0))))),0),0)+IF(AND(O1491="FIRE TEX 5120",E1491="CJ"),VLOOKUP(_xlfn.MINIFS('FIRE TEX 5120'!$O$5:$O$40,'FIRE TEX 5120'!$O$5:$O$40,"&gt;="&amp;M1491),'FIRE TEX 5120'!$O$5:$T$40,IF(L1491="F-15",2,IF(L1491="F-30",3,IF(L1491="F-60",4,IF(L1491="F-90",5,IF(L1491="F-120",6,0))))),0),0)</f>
        <v>0</v>
      </c>
      <c r="Q1491" s="46">
        <f t="shared" si="134"/>
        <v>0</v>
      </c>
      <c r="R1491" s="46">
        <f t="shared" si="135"/>
        <v>0</v>
      </c>
      <c r="S1491" s="46" t="e">
        <f t="shared" si="136"/>
        <v>#VALUE!</v>
      </c>
      <c r="T1491" s="677">
        <f t="shared" si="137"/>
        <v>0</v>
      </c>
      <c r="U1491" s="80">
        <f>(IF(O1491="Stofire",(S1491*#REF!),0))+(IF(O1491="Fire Control",(S1491*$U$2),0))+(IF(O1491="Fire Tex",(S1491*$U$3),0))+(IF(O1491="WB7",(S1491*#REF!),0)+(IF(O1491="FX 2003",(S1491*$U$5),0)))</f>
        <v>0</v>
      </c>
      <c r="V1491" s="651">
        <f t="shared" si="138"/>
        <v>0</v>
      </c>
    </row>
    <row r="1492" spans="4:22" x14ac:dyDescent="0.25">
      <c r="D1492" s="118">
        <f>+CUBICACION!D1491</f>
        <v>0</v>
      </c>
      <c r="E1492" s="118">
        <f>+CUBICACION!F1491</f>
        <v>0</v>
      </c>
      <c r="F1492" s="118">
        <f>+CUBICACION!E1491</f>
        <v>0</v>
      </c>
      <c r="G1492" s="118">
        <v>12</v>
      </c>
      <c r="H1492" s="118">
        <v>2</v>
      </c>
      <c r="I1492" s="820">
        <v>26385</v>
      </c>
      <c r="J1492" s="118">
        <f>+CUBICACION!J1491</f>
        <v>0</v>
      </c>
      <c r="K1492" s="118">
        <v>4271</v>
      </c>
      <c r="L1492" s="118">
        <f>+CUBICACION!L1491</f>
        <v>0</v>
      </c>
      <c r="M1492" s="64">
        <f>+CUBICACION!M1491</f>
        <v>0</v>
      </c>
      <c r="N1492" s="824" t="str">
        <f>+CUBICACION!N1491</f>
        <v/>
      </c>
      <c r="O1492" s="675">
        <f>+CUBICACION!O1491</f>
        <v>0</v>
      </c>
      <c r="P1492" s="15">
        <f>IF(O1492="Fire Control",VLOOKUP(_xlfn.MINIFS('FIRE CONTROL'!$C$4:$C$37,'FIRE CONTROL'!$C$4:$C$37,"&gt;="&amp;M1492),'FIRE CONTROL'!$C$4:$G$37,IF(L1492="F-15",2,IF(L1492="F-30",3,IF(L1492="F-60",4,IF(L1492="F-90",5,0)))),0),0)+IF(AND(O1492="FIRE TEX 5062",OR(E1492="IN",E1492="C",E1492="Z",E1492="L"),J1492=3),VLOOKUP(_xlfn.MINIFS('FIRE TEX 5062'!$B$4:$B$34,'FIRE TEX 5062'!$B$4:$B$34,"&gt;="&amp;M1492),'FIRE TEX 5062'!$B$4:$F$34,IF(L1492="F-15",2,IF(L1492="F-30",3,IF(L1492="F-60",4,IF(L1492="F-90",5,0)))),0),0)+IF(AND(O1492="FIRE TEX 5062",OR(E1492="IN",E1492="C",E1492="Z",E1492="L"),J1492=4),VLOOKUP(_xlfn.MINIFS('FIRE TEX 5062'!$G$4:$G$34,'FIRE TEX 5062'!$G$4:$G$34,"&gt;="&amp;M1492),'FIRE TEX 5062'!$G$4:$K$34,IF(L1492="F-15",2,IF(L1492="F-30",3,IF(L1492="F-60",4,IF(L1492="F-90",5,0)))),0),0)+IF(AND(O1492="FIRE TEX 5062",E1492="CJ",J1492=3),VLOOKUP(_xlfn.MINIFS('FIRE TEX 5062'!$L$4:$L$34,'FIRE TEX 5062'!$L$4:$L$34,"&gt;="&amp;M1492),'FIRE TEX 5062'!$L$4:$P$34,IF(L1492="F-15",2,IF(L1492="F-30",3,IF(L1492="F-60",4,IF(L1492="F-90",5,0)))),0),0)+IF(AND(O1492="FIRE TEX 5062",E1492="CJ",J1492=4),VLOOKUP(_xlfn.MINIFS('FIRE TEX 5062'!$Q$3:$Q$34,'FIRE TEX 5062'!$Q$3:$Q$34,"&gt;="&amp;M1492),'FIRE TEX 5062'!$Q$3:$U$34,IF(L1492="F-15",2,IF(L1492="F-30",3,IF(L1492="F-60",4,IF(L1492="F-90",5,0)))),0),0)+IF(AND(O1492="FIRE TEX 5090",OR(E1492="IN",E1492="C",E1492="Z",E1492="L"),J1492=3),VLOOKUP(_xlfn.MINIFS('FIRE TEX 5090'!$B$5:$B$43,'FIRE TEX 5090'!$B$5:$B$43,"&gt;="&amp;M1492),'FIRE TEX 5090'!$B$5:$H$43,IF(L1492="F-15",2,IF(L1492="F-30",3,IF(L1492="F-60",4,IF(L1492="F-90",5,IF(L1492="F-120",6,IF(L1492="F-150",7,0)))))),0),0)+IF(AND(O1492="FIRE TEX 5090",OR(E1492="IN",E1492="C",E1492="Z",E1492="L"),J1492=4),VLOOKUP(_xlfn.MINIFS('FIRE TEX 5090'!$J$5:$J$43,'FIRE TEX 5090'!$J$5:$J$43,"&gt;="&amp;M1492),'FIRE TEX 5090'!$J$5:$P$43,IF(L1492="F-15",2,IF(L1492="F-30",3,IF(L1492="F-60",4,IF(L1492="F-90",5,IF(L1492="F-120",6,IF(L1492="F-150",7,0)))))),0),0)+IF(AND(O1492="FIRE TEX 5090",E1492="CJ",J1492=3),VLOOKUP(_xlfn.MINIFS('FIRE TEX 5090'!$R$5:$R$30,'FIRE TEX 5090'!$R$5:$R$30,"&gt;="&amp;M1492),'FIRE TEX 5090'!$R$5:$W$30,IF(L1492="F-15",2,IF(L1492="F-30",3,IF(L1492="F-60",4,IF(L1492="F-90",5,IF(L1492="F-120",6,IF(L1492="F-150",7,0)))))),0),0)+IF(AND(O1492="FIRE TEX 5090",E1492="CJ",J1492=4),VLOOKUP(_xlfn.MINIFS('FIRE TEX 5090'!$Y$5:$Y$39,'FIRE TEX 5090'!$Y$5:$Y$39,"&gt;="&amp;M1492),'FIRE TEX 5090'!$Y$5:$AD$39,IF(L1492="F-15",2,IF(L1492="F-30",3,IF(L1492="F-60",4,IF(L1492="F-90",5,IF(L1492="F-120",6,IF(L1492="F-150",7,0)))))),0),0)+IF(AND(O1492="FIRE TEX 5120",OR(E1492="IN",E1492="C",E1492="Z",E1492="L"),J1492=3),VLOOKUP(_xlfn.MINIFS('FIRE TEX 5120'!$B$5:$B$40,'FIRE TEX 5120'!$B$5:$B$40,"&gt;="&amp;M1492),'FIRE TEX 5120'!$B$5:$G$40,IF(L1492="F-15",2,IF(L1492="F-30",3,IF(L1492="F-60",4,IF(L1492="F-90",5,IF(L1492="F-120",6,0))))),0),0)+IF(AND(O1492="FIRE TEX 5120",OR(E1492="IN",E1492="C",E1492="Z",E1492="L"),J1492=4),VLOOKUP(_xlfn.MINIFS('FIRE TEX 5120'!$H$4:$H$40,'FIRE TEX 5120'!$H$4:$H$40,"&gt;="&amp;M1492),'FIRE TEX 5120'!$H$4:$M$40,IF(L1492="F-15",2,IF(L1492="F-30",3,IF(L1492="F-60",4,IF(L1492="F-90",5,IF(L1492="F-120",6,0))))),0),0)+IF(AND(O1492="FIRE TEX 5120",E1492="CJ"),VLOOKUP(_xlfn.MINIFS('FIRE TEX 5120'!$O$5:$O$40,'FIRE TEX 5120'!$O$5:$O$40,"&gt;="&amp;M1492),'FIRE TEX 5120'!$O$5:$T$40,IF(L1492="F-15",2,IF(L1492="F-30",3,IF(L1492="F-60",4,IF(L1492="F-90",5,IF(L1492="F-120",6,0))))),0),0)</f>
        <v>0</v>
      </c>
      <c r="Q1492" s="46">
        <f t="shared" si="134"/>
        <v>0</v>
      </c>
      <c r="R1492" s="46">
        <f t="shared" si="135"/>
        <v>0</v>
      </c>
      <c r="S1492" s="46" t="e">
        <f t="shared" si="136"/>
        <v>#VALUE!</v>
      </c>
      <c r="T1492" s="677">
        <f t="shared" si="137"/>
        <v>0</v>
      </c>
      <c r="U1492" s="80">
        <f>(IF(O1492="Stofire",(S1492*#REF!),0))+(IF(O1492="Fire Control",(S1492*$U$2),0))+(IF(O1492="Fire Tex",(S1492*$U$3),0))+(IF(O1492="WB7",(S1492*#REF!),0)+(IF(O1492="FX 2003",(S1492*$U$5),0)))</f>
        <v>0</v>
      </c>
      <c r="V1492" s="651">
        <f t="shared" si="138"/>
        <v>0</v>
      </c>
    </row>
    <row r="1493" spans="4:22" x14ac:dyDescent="0.25">
      <c r="D1493" s="118">
        <f>+CUBICACION!D1492</f>
        <v>0</v>
      </c>
      <c r="E1493" s="118">
        <f>+CUBICACION!F1492</f>
        <v>0</v>
      </c>
      <c r="F1493" s="118">
        <f>+CUBICACION!E1492</f>
        <v>0</v>
      </c>
      <c r="G1493" s="118">
        <v>12</v>
      </c>
      <c r="H1493" s="118">
        <v>2</v>
      </c>
      <c r="I1493" s="820">
        <v>26385</v>
      </c>
      <c r="J1493" s="118">
        <f>+CUBICACION!J1492</f>
        <v>0</v>
      </c>
      <c r="K1493" s="118">
        <v>4272</v>
      </c>
      <c r="L1493" s="118">
        <f>+CUBICACION!L1492</f>
        <v>0</v>
      </c>
      <c r="M1493" s="64">
        <f>+CUBICACION!M1492</f>
        <v>0</v>
      </c>
      <c r="N1493" s="824" t="str">
        <f>+CUBICACION!N1492</f>
        <v/>
      </c>
      <c r="O1493" s="675">
        <f>+CUBICACION!O1492</f>
        <v>0</v>
      </c>
      <c r="P1493" s="15">
        <f>IF(O1493="Fire Control",VLOOKUP(_xlfn.MINIFS('FIRE CONTROL'!$C$4:$C$37,'FIRE CONTROL'!$C$4:$C$37,"&gt;="&amp;M1493),'FIRE CONTROL'!$C$4:$G$37,IF(L1493="F-15",2,IF(L1493="F-30",3,IF(L1493="F-60",4,IF(L1493="F-90",5,0)))),0),0)+IF(AND(O1493="FIRE TEX 5062",OR(E1493="IN",E1493="C",E1493="Z",E1493="L"),J1493=3),VLOOKUP(_xlfn.MINIFS('FIRE TEX 5062'!$B$4:$B$34,'FIRE TEX 5062'!$B$4:$B$34,"&gt;="&amp;M1493),'FIRE TEX 5062'!$B$4:$F$34,IF(L1493="F-15",2,IF(L1493="F-30",3,IF(L1493="F-60",4,IF(L1493="F-90",5,0)))),0),0)+IF(AND(O1493="FIRE TEX 5062",OR(E1493="IN",E1493="C",E1493="Z",E1493="L"),J1493=4),VLOOKUP(_xlfn.MINIFS('FIRE TEX 5062'!$G$4:$G$34,'FIRE TEX 5062'!$G$4:$G$34,"&gt;="&amp;M1493),'FIRE TEX 5062'!$G$4:$K$34,IF(L1493="F-15",2,IF(L1493="F-30",3,IF(L1493="F-60",4,IF(L1493="F-90",5,0)))),0),0)+IF(AND(O1493="FIRE TEX 5062",E1493="CJ",J1493=3),VLOOKUP(_xlfn.MINIFS('FIRE TEX 5062'!$L$4:$L$34,'FIRE TEX 5062'!$L$4:$L$34,"&gt;="&amp;M1493),'FIRE TEX 5062'!$L$4:$P$34,IF(L1493="F-15",2,IF(L1493="F-30",3,IF(L1493="F-60",4,IF(L1493="F-90",5,0)))),0),0)+IF(AND(O1493="FIRE TEX 5062",E1493="CJ",J1493=4),VLOOKUP(_xlfn.MINIFS('FIRE TEX 5062'!$Q$3:$Q$34,'FIRE TEX 5062'!$Q$3:$Q$34,"&gt;="&amp;M1493),'FIRE TEX 5062'!$Q$3:$U$34,IF(L1493="F-15",2,IF(L1493="F-30",3,IF(L1493="F-60",4,IF(L1493="F-90",5,0)))),0),0)+IF(AND(O1493="FIRE TEX 5090",OR(E1493="IN",E1493="C",E1493="Z",E1493="L"),J1493=3),VLOOKUP(_xlfn.MINIFS('FIRE TEX 5090'!$B$5:$B$43,'FIRE TEX 5090'!$B$5:$B$43,"&gt;="&amp;M1493),'FIRE TEX 5090'!$B$5:$H$43,IF(L1493="F-15",2,IF(L1493="F-30",3,IF(L1493="F-60",4,IF(L1493="F-90",5,IF(L1493="F-120",6,IF(L1493="F-150",7,0)))))),0),0)+IF(AND(O1493="FIRE TEX 5090",OR(E1493="IN",E1493="C",E1493="Z",E1493="L"),J1493=4),VLOOKUP(_xlfn.MINIFS('FIRE TEX 5090'!$J$5:$J$43,'FIRE TEX 5090'!$J$5:$J$43,"&gt;="&amp;M1493),'FIRE TEX 5090'!$J$5:$P$43,IF(L1493="F-15",2,IF(L1493="F-30",3,IF(L1493="F-60",4,IF(L1493="F-90",5,IF(L1493="F-120",6,IF(L1493="F-150",7,0)))))),0),0)+IF(AND(O1493="FIRE TEX 5090",E1493="CJ",J1493=3),VLOOKUP(_xlfn.MINIFS('FIRE TEX 5090'!$R$5:$R$30,'FIRE TEX 5090'!$R$5:$R$30,"&gt;="&amp;M1493),'FIRE TEX 5090'!$R$5:$W$30,IF(L1493="F-15",2,IF(L1493="F-30",3,IF(L1493="F-60",4,IF(L1493="F-90",5,IF(L1493="F-120",6,IF(L1493="F-150",7,0)))))),0),0)+IF(AND(O1493="FIRE TEX 5090",E1493="CJ",J1493=4),VLOOKUP(_xlfn.MINIFS('FIRE TEX 5090'!$Y$5:$Y$39,'FIRE TEX 5090'!$Y$5:$Y$39,"&gt;="&amp;M1493),'FIRE TEX 5090'!$Y$5:$AD$39,IF(L1493="F-15",2,IF(L1493="F-30",3,IF(L1493="F-60",4,IF(L1493="F-90",5,IF(L1493="F-120",6,IF(L1493="F-150",7,0)))))),0),0)+IF(AND(O1493="FIRE TEX 5120",OR(E1493="IN",E1493="C",E1493="Z",E1493="L"),J1493=3),VLOOKUP(_xlfn.MINIFS('FIRE TEX 5120'!$B$5:$B$40,'FIRE TEX 5120'!$B$5:$B$40,"&gt;="&amp;M1493),'FIRE TEX 5120'!$B$5:$G$40,IF(L1493="F-15",2,IF(L1493="F-30",3,IF(L1493="F-60",4,IF(L1493="F-90",5,IF(L1493="F-120",6,0))))),0),0)+IF(AND(O1493="FIRE TEX 5120",OR(E1493="IN",E1493="C",E1493="Z",E1493="L"),J1493=4),VLOOKUP(_xlfn.MINIFS('FIRE TEX 5120'!$H$4:$H$40,'FIRE TEX 5120'!$H$4:$H$40,"&gt;="&amp;M1493),'FIRE TEX 5120'!$H$4:$M$40,IF(L1493="F-15",2,IF(L1493="F-30",3,IF(L1493="F-60",4,IF(L1493="F-90",5,IF(L1493="F-120",6,0))))),0),0)+IF(AND(O1493="FIRE TEX 5120",E1493="CJ"),VLOOKUP(_xlfn.MINIFS('FIRE TEX 5120'!$O$5:$O$40,'FIRE TEX 5120'!$O$5:$O$40,"&gt;="&amp;M1493),'FIRE TEX 5120'!$O$5:$T$40,IF(L1493="F-15",2,IF(L1493="F-30",3,IF(L1493="F-60",4,IF(L1493="F-90",5,IF(L1493="F-120",6,0))))),0),0)</f>
        <v>0</v>
      </c>
      <c r="Q1493" s="46">
        <f t="shared" si="134"/>
        <v>0</v>
      </c>
      <c r="R1493" s="46">
        <f t="shared" si="135"/>
        <v>0</v>
      </c>
      <c r="S1493" s="46" t="e">
        <f t="shared" si="136"/>
        <v>#VALUE!</v>
      </c>
      <c r="T1493" s="677">
        <f t="shared" si="137"/>
        <v>0</v>
      </c>
      <c r="U1493" s="80">
        <f>(IF(O1493="Stofire",(S1493*#REF!),0))+(IF(O1493="Fire Control",(S1493*$U$2),0))+(IF(O1493="Fire Tex",(S1493*$U$3),0))+(IF(O1493="WB7",(S1493*#REF!),0)+(IF(O1493="FX 2003",(S1493*$U$5),0)))</f>
        <v>0</v>
      </c>
      <c r="V1493" s="651">
        <f t="shared" si="138"/>
        <v>0</v>
      </c>
    </row>
    <row r="1494" spans="4:22" x14ac:dyDescent="0.25">
      <c r="D1494" s="118">
        <f>+CUBICACION!D1493</f>
        <v>0</v>
      </c>
      <c r="E1494" s="118">
        <f>+CUBICACION!F1493</f>
        <v>0</v>
      </c>
      <c r="F1494" s="118">
        <f>+CUBICACION!E1493</f>
        <v>0</v>
      </c>
      <c r="G1494" s="118">
        <v>12</v>
      </c>
      <c r="H1494" s="118">
        <v>2</v>
      </c>
      <c r="I1494" s="820">
        <v>26385</v>
      </c>
      <c r="J1494" s="118">
        <f>+CUBICACION!J1493</f>
        <v>0</v>
      </c>
      <c r="K1494" s="118">
        <v>4273</v>
      </c>
      <c r="L1494" s="118">
        <f>+CUBICACION!L1493</f>
        <v>0</v>
      </c>
      <c r="M1494" s="64">
        <f>+CUBICACION!M1493</f>
        <v>0</v>
      </c>
      <c r="N1494" s="824" t="str">
        <f>+CUBICACION!N1493</f>
        <v/>
      </c>
      <c r="O1494" s="675">
        <f>+CUBICACION!O1493</f>
        <v>0</v>
      </c>
      <c r="P1494" s="15">
        <f>IF(O1494="Fire Control",VLOOKUP(_xlfn.MINIFS('FIRE CONTROL'!$C$4:$C$37,'FIRE CONTROL'!$C$4:$C$37,"&gt;="&amp;M1494),'FIRE CONTROL'!$C$4:$G$37,IF(L1494="F-15",2,IF(L1494="F-30",3,IF(L1494="F-60",4,IF(L1494="F-90",5,0)))),0),0)+IF(AND(O1494="FIRE TEX 5062",OR(E1494="IN",E1494="C",E1494="Z",E1494="L"),J1494=3),VLOOKUP(_xlfn.MINIFS('FIRE TEX 5062'!$B$4:$B$34,'FIRE TEX 5062'!$B$4:$B$34,"&gt;="&amp;M1494),'FIRE TEX 5062'!$B$4:$F$34,IF(L1494="F-15",2,IF(L1494="F-30",3,IF(L1494="F-60",4,IF(L1494="F-90",5,0)))),0),0)+IF(AND(O1494="FIRE TEX 5062",OR(E1494="IN",E1494="C",E1494="Z",E1494="L"),J1494=4),VLOOKUP(_xlfn.MINIFS('FIRE TEX 5062'!$G$4:$G$34,'FIRE TEX 5062'!$G$4:$G$34,"&gt;="&amp;M1494),'FIRE TEX 5062'!$G$4:$K$34,IF(L1494="F-15",2,IF(L1494="F-30",3,IF(L1494="F-60",4,IF(L1494="F-90",5,0)))),0),0)+IF(AND(O1494="FIRE TEX 5062",E1494="CJ",J1494=3),VLOOKUP(_xlfn.MINIFS('FIRE TEX 5062'!$L$4:$L$34,'FIRE TEX 5062'!$L$4:$L$34,"&gt;="&amp;M1494),'FIRE TEX 5062'!$L$4:$P$34,IF(L1494="F-15",2,IF(L1494="F-30",3,IF(L1494="F-60",4,IF(L1494="F-90",5,0)))),0),0)+IF(AND(O1494="FIRE TEX 5062",E1494="CJ",J1494=4),VLOOKUP(_xlfn.MINIFS('FIRE TEX 5062'!$Q$3:$Q$34,'FIRE TEX 5062'!$Q$3:$Q$34,"&gt;="&amp;M1494),'FIRE TEX 5062'!$Q$3:$U$34,IF(L1494="F-15",2,IF(L1494="F-30",3,IF(L1494="F-60",4,IF(L1494="F-90",5,0)))),0),0)+IF(AND(O1494="FIRE TEX 5090",OR(E1494="IN",E1494="C",E1494="Z",E1494="L"),J1494=3),VLOOKUP(_xlfn.MINIFS('FIRE TEX 5090'!$B$5:$B$43,'FIRE TEX 5090'!$B$5:$B$43,"&gt;="&amp;M1494),'FIRE TEX 5090'!$B$5:$H$43,IF(L1494="F-15",2,IF(L1494="F-30",3,IF(L1494="F-60",4,IF(L1494="F-90",5,IF(L1494="F-120",6,IF(L1494="F-150",7,0)))))),0),0)+IF(AND(O1494="FIRE TEX 5090",OR(E1494="IN",E1494="C",E1494="Z",E1494="L"),J1494=4),VLOOKUP(_xlfn.MINIFS('FIRE TEX 5090'!$J$5:$J$43,'FIRE TEX 5090'!$J$5:$J$43,"&gt;="&amp;M1494),'FIRE TEX 5090'!$J$5:$P$43,IF(L1494="F-15",2,IF(L1494="F-30",3,IF(L1494="F-60",4,IF(L1494="F-90",5,IF(L1494="F-120",6,IF(L1494="F-150",7,0)))))),0),0)+IF(AND(O1494="FIRE TEX 5090",E1494="CJ",J1494=3),VLOOKUP(_xlfn.MINIFS('FIRE TEX 5090'!$R$5:$R$30,'FIRE TEX 5090'!$R$5:$R$30,"&gt;="&amp;M1494),'FIRE TEX 5090'!$R$5:$W$30,IF(L1494="F-15",2,IF(L1494="F-30",3,IF(L1494="F-60",4,IF(L1494="F-90",5,IF(L1494="F-120",6,IF(L1494="F-150",7,0)))))),0),0)+IF(AND(O1494="FIRE TEX 5090",E1494="CJ",J1494=4),VLOOKUP(_xlfn.MINIFS('FIRE TEX 5090'!$Y$5:$Y$39,'FIRE TEX 5090'!$Y$5:$Y$39,"&gt;="&amp;M1494),'FIRE TEX 5090'!$Y$5:$AD$39,IF(L1494="F-15",2,IF(L1494="F-30",3,IF(L1494="F-60",4,IF(L1494="F-90",5,IF(L1494="F-120",6,IF(L1494="F-150",7,0)))))),0),0)+IF(AND(O1494="FIRE TEX 5120",OR(E1494="IN",E1494="C",E1494="Z",E1494="L"),J1494=3),VLOOKUP(_xlfn.MINIFS('FIRE TEX 5120'!$B$5:$B$40,'FIRE TEX 5120'!$B$5:$B$40,"&gt;="&amp;M1494),'FIRE TEX 5120'!$B$5:$G$40,IF(L1494="F-15",2,IF(L1494="F-30",3,IF(L1494="F-60",4,IF(L1494="F-90",5,IF(L1494="F-120",6,0))))),0),0)+IF(AND(O1494="FIRE TEX 5120",OR(E1494="IN",E1494="C",E1494="Z",E1494="L"),J1494=4),VLOOKUP(_xlfn.MINIFS('FIRE TEX 5120'!$H$4:$H$40,'FIRE TEX 5120'!$H$4:$H$40,"&gt;="&amp;M1494),'FIRE TEX 5120'!$H$4:$M$40,IF(L1494="F-15",2,IF(L1494="F-30",3,IF(L1494="F-60",4,IF(L1494="F-90",5,IF(L1494="F-120",6,0))))),0),0)+IF(AND(O1494="FIRE TEX 5120",E1494="CJ"),VLOOKUP(_xlfn.MINIFS('FIRE TEX 5120'!$O$5:$O$40,'FIRE TEX 5120'!$O$5:$O$40,"&gt;="&amp;M1494),'FIRE TEX 5120'!$O$5:$T$40,IF(L1494="F-15",2,IF(L1494="F-30",3,IF(L1494="F-60",4,IF(L1494="F-90",5,IF(L1494="F-120",6,0))))),0),0)</f>
        <v>0</v>
      </c>
      <c r="Q1494" s="46">
        <f t="shared" si="134"/>
        <v>0</v>
      </c>
      <c r="R1494" s="46">
        <f t="shared" si="135"/>
        <v>0</v>
      </c>
      <c r="S1494" s="46" t="e">
        <f t="shared" si="136"/>
        <v>#VALUE!</v>
      </c>
      <c r="T1494" s="677">
        <f t="shared" si="137"/>
        <v>0</v>
      </c>
      <c r="U1494" s="80">
        <f>(IF(O1494="Stofire",(S1494*#REF!),0))+(IF(O1494="Fire Control",(S1494*$U$2),0))+(IF(O1494="Fire Tex",(S1494*$U$3),0))+(IF(O1494="WB7",(S1494*#REF!),0)+(IF(O1494="FX 2003",(S1494*$U$5),0)))</f>
        <v>0</v>
      </c>
      <c r="V1494" s="651">
        <f t="shared" si="138"/>
        <v>0</v>
      </c>
    </row>
    <row r="1495" spans="4:22" x14ac:dyDescent="0.25">
      <c r="D1495" s="118">
        <f>+CUBICACION!D1494</f>
        <v>0</v>
      </c>
      <c r="E1495" s="118">
        <f>+CUBICACION!F1494</f>
        <v>0</v>
      </c>
      <c r="F1495" s="118">
        <f>+CUBICACION!E1494</f>
        <v>0</v>
      </c>
      <c r="G1495" s="118">
        <v>12</v>
      </c>
      <c r="H1495" s="118">
        <v>2</v>
      </c>
      <c r="I1495" s="820">
        <v>26385</v>
      </c>
      <c r="J1495" s="118">
        <f>+CUBICACION!J1494</f>
        <v>0</v>
      </c>
      <c r="K1495" s="118">
        <v>4274</v>
      </c>
      <c r="L1495" s="118">
        <f>+CUBICACION!L1494</f>
        <v>0</v>
      </c>
      <c r="M1495" s="64">
        <f>+CUBICACION!M1494</f>
        <v>0</v>
      </c>
      <c r="N1495" s="824" t="str">
        <f>+CUBICACION!N1494</f>
        <v/>
      </c>
      <c r="O1495" s="675">
        <f>+CUBICACION!O1494</f>
        <v>0</v>
      </c>
      <c r="P1495" s="15">
        <f>IF(O1495="Fire Control",VLOOKUP(_xlfn.MINIFS('FIRE CONTROL'!$C$4:$C$37,'FIRE CONTROL'!$C$4:$C$37,"&gt;="&amp;M1495),'FIRE CONTROL'!$C$4:$G$37,IF(L1495="F-15",2,IF(L1495="F-30",3,IF(L1495="F-60",4,IF(L1495="F-90",5,0)))),0),0)+IF(AND(O1495="FIRE TEX 5062",OR(E1495="IN",E1495="C",E1495="Z",E1495="L"),J1495=3),VLOOKUP(_xlfn.MINIFS('FIRE TEX 5062'!$B$4:$B$34,'FIRE TEX 5062'!$B$4:$B$34,"&gt;="&amp;M1495),'FIRE TEX 5062'!$B$4:$F$34,IF(L1495="F-15",2,IF(L1495="F-30",3,IF(L1495="F-60",4,IF(L1495="F-90",5,0)))),0),0)+IF(AND(O1495="FIRE TEX 5062",OR(E1495="IN",E1495="C",E1495="Z",E1495="L"),J1495=4),VLOOKUP(_xlfn.MINIFS('FIRE TEX 5062'!$G$4:$G$34,'FIRE TEX 5062'!$G$4:$G$34,"&gt;="&amp;M1495),'FIRE TEX 5062'!$G$4:$K$34,IF(L1495="F-15",2,IF(L1495="F-30",3,IF(L1495="F-60",4,IF(L1495="F-90",5,0)))),0),0)+IF(AND(O1495="FIRE TEX 5062",E1495="CJ",J1495=3),VLOOKUP(_xlfn.MINIFS('FIRE TEX 5062'!$L$4:$L$34,'FIRE TEX 5062'!$L$4:$L$34,"&gt;="&amp;M1495),'FIRE TEX 5062'!$L$4:$P$34,IF(L1495="F-15",2,IF(L1495="F-30",3,IF(L1495="F-60",4,IF(L1495="F-90",5,0)))),0),0)+IF(AND(O1495="FIRE TEX 5062",E1495="CJ",J1495=4),VLOOKUP(_xlfn.MINIFS('FIRE TEX 5062'!$Q$3:$Q$34,'FIRE TEX 5062'!$Q$3:$Q$34,"&gt;="&amp;M1495),'FIRE TEX 5062'!$Q$3:$U$34,IF(L1495="F-15",2,IF(L1495="F-30",3,IF(L1495="F-60",4,IF(L1495="F-90",5,0)))),0),0)+IF(AND(O1495="FIRE TEX 5090",OR(E1495="IN",E1495="C",E1495="Z",E1495="L"),J1495=3),VLOOKUP(_xlfn.MINIFS('FIRE TEX 5090'!$B$5:$B$43,'FIRE TEX 5090'!$B$5:$B$43,"&gt;="&amp;M1495),'FIRE TEX 5090'!$B$5:$H$43,IF(L1495="F-15",2,IF(L1495="F-30",3,IF(L1495="F-60",4,IF(L1495="F-90",5,IF(L1495="F-120",6,IF(L1495="F-150",7,0)))))),0),0)+IF(AND(O1495="FIRE TEX 5090",OR(E1495="IN",E1495="C",E1495="Z",E1495="L"),J1495=4),VLOOKUP(_xlfn.MINIFS('FIRE TEX 5090'!$J$5:$J$43,'FIRE TEX 5090'!$J$5:$J$43,"&gt;="&amp;M1495),'FIRE TEX 5090'!$J$5:$P$43,IF(L1495="F-15",2,IF(L1495="F-30",3,IF(L1495="F-60",4,IF(L1495="F-90",5,IF(L1495="F-120",6,IF(L1495="F-150",7,0)))))),0),0)+IF(AND(O1495="FIRE TEX 5090",E1495="CJ",J1495=3),VLOOKUP(_xlfn.MINIFS('FIRE TEX 5090'!$R$5:$R$30,'FIRE TEX 5090'!$R$5:$R$30,"&gt;="&amp;M1495),'FIRE TEX 5090'!$R$5:$W$30,IF(L1495="F-15",2,IF(L1495="F-30",3,IF(L1495="F-60",4,IF(L1495="F-90",5,IF(L1495="F-120",6,IF(L1495="F-150",7,0)))))),0),0)+IF(AND(O1495="FIRE TEX 5090",E1495="CJ",J1495=4),VLOOKUP(_xlfn.MINIFS('FIRE TEX 5090'!$Y$5:$Y$39,'FIRE TEX 5090'!$Y$5:$Y$39,"&gt;="&amp;M1495),'FIRE TEX 5090'!$Y$5:$AD$39,IF(L1495="F-15",2,IF(L1495="F-30",3,IF(L1495="F-60",4,IF(L1495="F-90",5,IF(L1495="F-120",6,IF(L1495="F-150",7,0)))))),0),0)+IF(AND(O1495="FIRE TEX 5120",OR(E1495="IN",E1495="C",E1495="Z",E1495="L"),J1495=3),VLOOKUP(_xlfn.MINIFS('FIRE TEX 5120'!$B$5:$B$40,'FIRE TEX 5120'!$B$5:$B$40,"&gt;="&amp;M1495),'FIRE TEX 5120'!$B$5:$G$40,IF(L1495="F-15",2,IF(L1495="F-30",3,IF(L1495="F-60",4,IF(L1495="F-90",5,IF(L1495="F-120",6,0))))),0),0)+IF(AND(O1495="FIRE TEX 5120",OR(E1495="IN",E1495="C",E1495="Z",E1495="L"),J1495=4),VLOOKUP(_xlfn.MINIFS('FIRE TEX 5120'!$H$4:$H$40,'FIRE TEX 5120'!$H$4:$H$40,"&gt;="&amp;M1495),'FIRE TEX 5120'!$H$4:$M$40,IF(L1495="F-15",2,IF(L1495="F-30",3,IF(L1495="F-60",4,IF(L1495="F-90",5,IF(L1495="F-120",6,0))))),0),0)+IF(AND(O1495="FIRE TEX 5120",E1495="CJ"),VLOOKUP(_xlfn.MINIFS('FIRE TEX 5120'!$O$5:$O$40,'FIRE TEX 5120'!$O$5:$O$40,"&gt;="&amp;M1495),'FIRE TEX 5120'!$O$5:$T$40,IF(L1495="F-15",2,IF(L1495="F-30",3,IF(L1495="F-60",4,IF(L1495="F-90",5,IF(L1495="F-120",6,0))))),0),0)</f>
        <v>0</v>
      </c>
      <c r="Q1495" s="46">
        <f t="shared" si="134"/>
        <v>0</v>
      </c>
      <c r="R1495" s="46">
        <f t="shared" si="135"/>
        <v>0</v>
      </c>
      <c r="S1495" s="46" t="e">
        <f t="shared" si="136"/>
        <v>#VALUE!</v>
      </c>
      <c r="T1495" s="677">
        <f t="shared" si="137"/>
        <v>0</v>
      </c>
      <c r="U1495" s="80">
        <f>(IF(O1495="Stofire",(S1495*#REF!),0))+(IF(O1495="Fire Control",(S1495*$U$2),0))+(IF(O1495="Fire Tex",(S1495*$U$3),0))+(IF(O1495="WB7",(S1495*#REF!),0)+(IF(O1495="FX 2003",(S1495*$U$5),0)))</f>
        <v>0</v>
      </c>
      <c r="V1495" s="651">
        <f t="shared" si="138"/>
        <v>0</v>
      </c>
    </row>
    <row r="1496" spans="4:22" x14ac:dyDescent="0.25">
      <c r="D1496" s="118">
        <f>+CUBICACION!D1495</f>
        <v>0</v>
      </c>
      <c r="E1496" s="118">
        <f>+CUBICACION!F1495</f>
        <v>0</v>
      </c>
      <c r="F1496" s="118">
        <f>+CUBICACION!E1495</f>
        <v>0</v>
      </c>
      <c r="G1496" s="118">
        <v>12</v>
      </c>
      <c r="H1496" s="118">
        <v>2</v>
      </c>
      <c r="I1496" s="820">
        <v>26385</v>
      </c>
      <c r="J1496" s="118">
        <f>+CUBICACION!J1495</f>
        <v>0</v>
      </c>
      <c r="K1496" s="118">
        <v>4275</v>
      </c>
      <c r="L1496" s="118">
        <f>+CUBICACION!L1495</f>
        <v>0</v>
      </c>
      <c r="M1496" s="64">
        <f>+CUBICACION!M1495</f>
        <v>0</v>
      </c>
      <c r="N1496" s="824" t="str">
        <f>+CUBICACION!N1495</f>
        <v/>
      </c>
      <c r="O1496" s="675">
        <f>+CUBICACION!O1495</f>
        <v>0</v>
      </c>
      <c r="P1496" s="15">
        <f>IF(O1496="Fire Control",VLOOKUP(_xlfn.MINIFS('FIRE CONTROL'!$C$4:$C$37,'FIRE CONTROL'!$C$4:$C$37,"&gt;="&amp;M1496),'FIRE CONTROL'!$C$4:$G$37,IF(L1496="F-15",2,IF(L1496="F-30",3,IF(L1496="F-60",4,IF(L1496="F-90",5,0)))),0),0)+IF(AND(O1496="FIRE TEX 5062",OR(E1496="IN",E1496="C",E1496="Z",E1496="L"),J1496=3),VLOOKUP(_xlfn.MINIFS('FIRE TEX 5062'!$B$4:$B$34,'FIRE TEX 5062'!$B$4:$B$34,"&gt;="&amp;M1496),'FIRE TEX 5062'!$B$4:$F$34,IF(L1496="F-15",2,IF(L1496="F-30",3,IF(L1496="F-60",4,IF(L1496="F-90",5,0)))),0),0)+IF(AND(O1496="FIRE TEX 5062",OR(E1496="IN",E1496="C",E1496="Z",E1496="L"),J1496=4),VLOOKUP(_xlfn.MINIFS('FIRE TEX 5062'!$G$4:$G$34,'FIRE TEX 5062'!$G$4:$G$34,"&gt;="&amp;M1496),'FIRE TEX 5062'!$G$4:$K$34,IF(L1496="F-15",2,IF(L1496="F-30",3,IF(L1496="F-60",4,IF(L1496="F-90",5,0)))),0),0)+IF(AND(O1496="FIRE TEX 5062",E1496="CJ",J1496=3),VLOOKUP(_xlfn.MINIFS('FIRE TEX 5062'!$L$4:$L$34,'FIRE TEX 5062'!$L$4:$L$34,"&gt;="&amp;M1496),'FIRE TEX 5062'!$L$4:$P$34,IF(L1496="F-15",2,IF(L1496="F-30",3,IF(L1496="F-60",4,IF(L1496="F-90",5,0)))),0),0)+IF(AND(O1496="FIRE TEX 5062",E1496="CJ",J1496=4),VLOOKUP(_xlfn.MINIFS('FIRE TEX 5062'!$Q$3:$Q$34,'FIRE TEX 5062'!$Q$3:$Q$34,"&gt;="&amp;M1496),'FIRE TEX 5062'!$Q$3:$U$34,IF(L1496="F-15",2,IF(L1496="F-30",3,IF(L1496="F-60",4,IF(L1496="F-90",5,0)))),0),0)+IF(AND(O1496="FIRE TEX 5090",OR(E1496="IN",E1496="C",E1496="Z",E1496="L"),J1496=3),VLOOKUP(_xlfn.MINIFS('FIRE TEX 5090'!$B$5:$B$43,'FIRE TEX 5090'!$B$5:$B$43,"&gt;="&amp;M1496),'FIRE TEX 5090'!$B$5:$H$43,IF(L1496="F-15",2,IF(L1496="F-30",3,IF(L1496="F-60",4,IF(L1496="F-90",5,IF(L1496="F-120",6,IF(L1496="F-150",7,0)))))),0),0)+IF(AND(O1496="FIRE TEX 5090",OR(E1496="IN",E1496="C",E1496="Z",E1496="L"),J1496=4),VLOOKUP(_xlfn.MINIFS('FIRE TEX 5090'!$J$5:$J$43,'FIRE TEX 5090'!$J$5:$J$43,"&gt;="&amp;M1496),'FIRE TEX 5090'!$J$5:$P$43,IF(L1496="F-15",2,IF(L1496="F-30",3,IF(L1496="F-60",4,IF(L1496="F-90",5,IF(L1496="F-120",6,IF(L1496="F-150",7,0)))))),0),0)+IF(AND(O1496="FIRE TEX 5090",E1496="CJ",J1496=3),VLOOKUP(_xlfn.MINIFS('FIRE TEX 5090'!$R$5:$R$30,'FIRE TEX 5090'!$R$5:$R$30,"&gt;="&amp;M1496),'FIRE TEX 5090'!$R$5:$W$30,IF(L1496="F-15",2,IF(L1496="F-30",3,IF(L1496="F-60",4,IF(L1496="F-90",5,IF(L1496="F-120",6,IF(L1496="F-150",7,0)))))),0),0)+IF(AND(O1496="FIRE TEX 5090",E1496="CJ",J1496=4),VLOOKUP(_xlfn.MINIFS('FIRE TEX 5090'!$Y$5:$Y$39,'FIRE TEX 5090'!$Y$5:$Y$39,"&gt;="&amp;M1496),'FIRE TEX 5090'!$Y$5:$AD$39,IF(L1496="F-15",2,IF(L1496="F-30",3,IF(L1496="F-60",4,IF(L1496="F-90",5,IF(L1496="F-120",6,IF(L1496="F-150",7,0)))))),0),0)+IF(AND(O1496="FIRE TEX 5120",OR(E1496="IN",E1496="C",E1496="Z",E1496="L"),J1496=3),VLOOKUP(_xlfn.MINIFS('FIRE TEX 5120'!$B$5:$B$40,'FIRE TEX 5120'!$B$5:$B$40,"&gt;="&amp;M1496),'FIRE TEX 5120'!$B$5:$G$40,IF(L1496="F-15",2,IF(L1496="F-30",3,IF(L1496="F-60",4,IF(L1496="F-90",5,IF(L1496="F-120",6,0))))),0),0)+IF(AND(O1496="FIRE TEX 5120",OR(E1496="IN",E1496="C",E1496="Z",E1496="L"),J1496=4),VLOOKUP(_xlfn.MINIFS('FIRE TEX 5120'!$H$4:$H$40,'FIRE TEX 5120'!$H$4:$H$40,"&gt;="&amp;M1496),'FIRE TEX 5120'!$H$4:$M$40,IF(L1496="F-15",2,IF(L1496="F-30",3,IF(L1496="F-60",4,IF(L1496="F-90",5,IF(L1496="F-120",6,0))))),0),0)+IF(AND(O1496="FIRE TEX 5120",E1496="CJ"),VLOOKUP(_xlfn.MINIFS('FIRE TEX 5120'!$O$5:$O$40,'FIRE TEX 5120'!$O$5:$O$40,"&gt;="&amp;M1496),'FIRE TEX 5120'!$O$5:$T$40,IF(L1496="F-15",2,IF(L1496="F-30",3,IF(L1496="F-60",4,IF(L1496="F-90",5,IF(L1496="F-120",6,0))))),0),0)</f>
        <v>0</v>
      </c>
      <c r="Q1496" s="46">
        <f t="shared" si="134"/>
        <v>0</v>
      </c>
      <c r="R1496" s="46">
        <f t="shared" si="135"/>
        <v>0</v>
      </c>
      <c r="S1496" s="46" t="e">
        <f t="shared" si="136"/>
        <v>#VALUE!</v>
      </c>
      <c r="T1496" s="677">
        <f t="shared" si="137"/>
        <v>0</v>
      </c>
      <c r="U1496" s="80">
        <f>(IF(O1496="Stofire",(S1496*#REF!),0))+(IF(O1496="Fire Control",(S1496*$U$2),0))+(IF(O1496="Fire Tex",(S1496*$U$3),0))+(IF(O1496="WB7",(S1496*#REF!),0)+(IF(O1496="FX 2003",(S1496*$U$5),0)))</f>
        <v>0</v>
      </c>
      <c r="V1496" s="651">
        <f t="shared" si="138"/>
        <v>0</v>
      </c>
    </row>
    <row r="1497" spans="4:22" x14ac:dyDescent="0.25">
      <c r="D1497" s="118">
        <f>+CUBICACION!D1496</f>
        <v>0</v>
      </c>
      <c r="E1497" s="118">
        <f>+CUBICACION!F1496</f>
        <v>0</v>
      </c>
      <c r="F1497" s="118">
        <f>+CUBICACION!E1496</f>
        <v>0</v>
      </c>
      <c r="G1497" s="118">
        <v>12</v>
      </c>
      <c r="H1497" s="118">
        <v>2</v>
      </c>
      <c r="I1497" s="820">
        <v>26385</v>
      </c>
      <c r="J1497" s="118">
        <f>+CUBICACION!J1496</f>
        <v>0</v>
      </c>
      <c r="K1497" s="118">
        <v>4276</v>
      </c>
      <c r="L1497" s="118">
        <f>+CUBICACION!L1496</f>
        <v>0</v>
      </c>
      <c r="M1497" s="64">
        <f>+CUBICACION!M1496</f>
        <v>0</v>
      </c>
      <c r="N1497" s="824" t="str">
        <f>+CUBICACION!N1496</f>
        <v/>
      </c>
      <c r="O1497" s="675">
        <f>+CUBICACION!O1496</f>
        <v>0</v>
      </c>
      <c r="P1497" s="15">
        <f>IF(O1497="Fire Control",VLOOKUP(_xlfn.MINIFS('FIRE CONTROL'!$C$4:$C$37,'FIRE CONTROL'!$C$4:$C$37,"&gt;="&amp;M1497),'FIRE CONTROL'!$C$4:$G$37,IF(L1497="F-15",2,IF(L1497="F-30",3,IF(L1497="F-60",4,IF(L1497="F-90",5,0)))),0),0)+IF(AND(O1497="FIRE TEX 5062",OR(E1497="IN",E1497="C",E1497="Z",E1497="L"),J1497=3),VLOOKUP(_xlfn.MINIFS('FIRE TEX 5062'!$B$4:$B$34,'FIRE TEX 5062'!$B$4:$B$34,"&gt;="&amp;M1497),'FIRE TEX 5062'!$B$4:$F$34,IF(L1497="F-15",2,IF(L1497="F-30",3,IF(L1497="F-60",4,IF(L1497="F-90",5,0)))),0),0)+IF(AND(O1497="FIRE TEX 5062",OR(E1497="IN",E1497="C",E1497="Z",E1497="L"),J1497=4),VLOOKUP(_xlfn.MINIFS('FIRE TEX 5062'!$G$4:$G$34,'FIRE TEX 5062'!$G$4:$G$34,"&gt;="&amp;M1497),'FIRE TEX 5062'!$G$4:$K$34,IF(L1497="F-15",2,IF(L1497="F-30",3,IF(L1497="F-60",4,IF(L1497="F-90",5,0)))),0),0)+IF(AND(O1497="FIRE TEX 5062",E1497="CJ",J1497=3),VLOOKUP(_xlfn.MINIFS('FIRE TEX 5062'!$L$4:$L$34,'FIRE TEX 5062'!$L$4:$L$34,"&gt;="&amp;M1497),'FIRE TEX 5062'!$L$4:$P$34,IF(L1497="F-15",2,IF(L1497="F-30",3,IF(L1497="F-60",4,IF(L1497="F-90",5,0)))),0),0)+IF(AND(O1497="FIRE TEX 5062",E1497="CJ",J1497=4),VLOOKUP(_xlfn.MINIFS('FIRE TEX 5062'!$Q$3:$Q$34,'FIRE TEX 5062'!$Q$3:$Q$34,"&gt;="&amp;M1497),'FIRE TEX 5062'!$Q$3:$U$34,IF(L1497="F-15",2,IF(L1497="F-30",3,IF(L1497="F-60",4,IF(L1497="F-90",5,0)))),0),0)+IF(AND(O1497="FIRE TEX 5090",OR(E1497="IN",E1497="C",E1497="Z",E1497="L"),J1497=3),VLOOKUP(_xlfn.MINIFS('FIRE TEX 5090'!$B$5:$B$43,'FIRE TEX 5090'!$B$5:$B$43,"&gt;="&amp;M1497),'FIRE TEX 5090'!$B$5:$H$43,IF(L1497="F-15",2,IF(L1497="F-30",3,IF(L1497="F-60",4,IF(L1497="F-90",5,IF(L1497="F-120",6,IF(L1497="F-150",7,0)))))),0),0)+IF(AND(O1497="FIRE TEX 5090",OR(E1497="IN",E1497="C",E1497="Z",E1497="L"),J1497=4),VLOOKUP(_xlfn.MINIFS('FIRE TEX 5090'!$J$5:$J$43,'FIRE TEX 5090'!$J$5:$J$43,"&gt;="&amp;M1497),'FIRE TEX 5090'!$J$5:$P$43,IF(L1497="F-15",2,IF(L1497="F-30",3,IF(L1497="F-60",4,IF(L1497="F-90",5,IF(L1497="F-120",6,IF(L1497="F-150",7,0)))))),0),0)+IF(AND(O1497="FIRE TEX 5090",E1497="CJ",J1497=3),VLOOKUP(_xlfn.MINIFS('FIRE TEX 5090'!$R$5:$R$30,'FIRE TEX 5090'!$R$5:$R$30,"&gt;="&amp;M1497),'FIRE TEX 5090'!$R$5:$W$30,IF(L1497="F-15",2,IF(L1497="F-30",3,IF(L1497="F-60",4,IF(L1497="F-90",5,IF(L1497="F-120",6,IF(L1497="F-150",7,0)))))),0),0)+IF(AND(O1497="FIRE TEX 5090",E1497="CJ",J1497=4),VLOOKUP(_xlfn.MINIFS('FIRE TEX 5090'!$Y$5:$Y$39,'FIRE TEX 5090'!$Y$5:$Y$39,"&gt;="&amp;M1497),'FIRE TEX 5090'!$Y$5:$AD$39,IF(L1497="F-15",2,IF(L1497="F-30",3,IF(L1497="F-60",4,IF(L1497="F-90",5,IF(L1497="F-120",6,IF(L1497="F-150",7,0)))))),0),0)+IF(AND(O1497="FIRE TEX 5120",OR(E1497="IN",E1497="C",E1497="Z",E1497="L"),J1497=3),VLOOKUP(_xlfn.MINIFS('FIRE TEX 5120'!$B$5:$B$40,'FIRE TEX 5120'!$B$5:$B$40,"&gt;="&amp;M1497),'FIRE TEX 5120'!$B$5:$G$40,IF(L1497="F-15",2,IF(L1497="F-30",3,IF(L1497="F-60",4,IF(L1497="F-90",5,IF(L1497="F-120",6,0))))),0),0)+IF(AND(O1497="FIRE TEX 5120",OR(E1497="IN",E1497="C",E1497="Z",E1497="L"),J1497=4),VLOOKUP(_xlfn.MINIFS('FIRE TEX 5120'!$H$4:$H$40,'FIRE TEX 5120'!$H$4:$H$40,"&gt;="&amp;M1497),'FIRE TEX 5120'!$H$4:$M$40,IF(L1497="F-15",2,IF(L1497="F-30",3,IF(L1497="F-60",4,IF(L1497="F-90",5,IF(L1497="F-120",6,0))))),0),0)+IF(AND(O1497="FIRE TEX 5120",E1497="CJ"),VLOOKUP(_xlfn.MINIFS('FIRE TEX 5120'!$O$5:$O$40,'FIRE TEX 5120'!$O$5:$O$40,"&gt;="&amp;M1497),'FIRE TEX 5120'!$O$5:$T$40,IF(L1497="F-15",2,IF(L1497="F-30",3,IF(L1497="F-60",4,IF(L1497="F-90",5,IF(L1497="F-120",6,0))))),0),0)</f>
        <v>0</v>
      </c>
      <c r="Q1497" s="46">
        <f t="shared" si="134"/>
        <v>0</v>
      </c>
      <c r="R1497" s="46">
        <f t="shared" si="135"/>
        <v>0</v>
      </c>
      <c r="S1497" s="46" t="e">
        <f t="shared" si="136"/>
        <v>#VALUE!</v>
      </c>
      <c r="T1497" s="677">
        <f t="shared" si="137"/>
        <v>0</v>
      </c>
      <c r="U1497" s="80">
        <f>(IF(O1497="Stofire",(S1497*#REF!),0))+(IF(O1497="Fire Control",(S1497*$U$2),0))+(IF(O1497="Fire Tex",(S1497*$U$3),0))+(IF(O1497="WB7",(S1497*#REF!),0)+(IF(O1497="FX 2003",(S1497*$U$5),0)))</f>
        <v>0</v>
      </c>
      <c r="V1497" s="651">
        <f t="shared" si="138"/>
        <v>0</v>
      </c>
    </row>
    <row r="1498" spans="4:22" x14ac:dyDescent="0.25">
      <c r="D1498" s="118">
        <f>+CUBICACION!D1497</f>
        <v>0</v>
      </c>
      <c r="E1498" s="118">
        <f>+CUBICACION!F1497</f>
        <v>0</v>
      </c>
      <c r="F1498" s="118">
        <f>+CUBICACION!E1497</f>
        <v>0</v>
      </c>
      <c r="G1498" s="118">
        <v>12</v>
      </c>
      <c r="H1498" s="118">
        <v>2</v>
      </c>
      <c r="I1498" s="820">
        <v>26385</v>
      </c>
      <c r="J1498" s="118">
        <f>+CUBICACION!J1497</f>
        <v>0</v>
      </c>
      <c r="K1498" s="118">
        <v>4277</v>
      </c>
      <c r="L1498" s="118">
        <f>+CUBICACION!L1497</f>
        <v>0</v>
      </c>
      <c r="M1498" s="64">
        <f>+CUBICACION!M1497</f>
        <v>0</v>
      </c>
      <c r="N1498" s="824" t="str">
        <f>+CUBICACION!N1497</f>
        <v/>
      </c>
      <c r="O1498" s="675">
        <f>+CUBICACION!O1497</f>
        <v>0</v>
      </c>
      <c r="P1498" s="15">
        <f>IF(O1498="Fire Control",VLOOKUP(_xlfn.MINIFS('FIRE CONTROL'!$C$4:$C$37,'FIRE CONTROL'!$C$4:$C$37,"&gt;="&amp;M1498),'FIRE CONTROL'!$C$4:$G$37,IF(L1498="F-15",2,IF(L1498="F-30",3,IF(L1498="F-60",4,IF(L1498="F-90",5,0)))),0),0)+IF(AND(O1498="FIRE TEX 5062",OR(E1498="IN",E1498="C",E1498="Z",E1498="L"),J1498=3),VLOOKUP(_xlfn.MINIFS('FIRE TEX 5062'!$B$4:$B$34,'FIRE TEX 5062'!$B$4:$B$34,"&gt;="&amp;M1498),'FIRE TEX 5062'!$B$4:$F$34,IF(L1498="F-15",2,IF(L1498="F-30",3,IF(L1498="F-60",4,IF(L1498="F-90",5,0)))),0),0)+IF(AND(O1498="FIRE TEX 5062",OR(E1498="IN",E1498="C",E1498="Z",E1498="L"),J1498=4),VLOOKUP(_xlfn.MINIFS('FIRE TEX 5062'!$G$4:$G$34,'FIRE TEX 5062'!$G$4:$G$34,"&gt;="&amp;M1498),'FIRE TEX 5062'!$G$4:$K$34,IF(L1498="F-15",2,IF(L1498="F-30",3,IF(L1498="F-60",4,IF(L1498="F-90",5,0)))),0),0)+IF(AND(O1498="FIRE TEX 5062",E1498="CJ",J1498=3),VLOOKUP(_xlfn.MINIFS('FIRE TEX 5062'!$L$4:$L$34,'FIRE TEX 5062'!$L$4:$L$34,"&gt;="&amp;M1498),'FIRE TEX 5062'!$L$4:$P$34,IF(L1498="F-15",2,IF(L1498="F-30",3,IF(L1498="F-60",4,IF(L1498="F-90",5,0)))),0),0)+IF(AND(O1498="FIRE TEX 5062",E1498="CJ",J1498=4),VLOOKUP(_xlfn.MINIFS('FIRE TEX 5062'!$Q$3:$Q$34,'FIRE TEX 5062'!$Q$3:$Q$34,"&gt;="&amp;M1498),'FIRE TEX 5062'!$Q$3:$U$34,IF(L1498="F-15",2,IF(L1498="F-30",3,IF(L1498="F-60",4,IF(L1498="F-90",5,0)))),0),0)+IF(AND(O1498="FIRE TEX 5090",OR(E1498="IN",E1498="C",E1498="Z",E1498="L"),J1498=3),VLOOKUP(_xlfn.MINIFS('FIRE TEX 5090'!$B$5:$B$43,'FIRE TEX 5090'!$B$5:$B$43,"&gt;="&amp;M1498),'FIRE TEX 5090'!$B$5:$H$43,IF(L1498="F-15",2,IF(L1498="F-30",3,IF(L1498="F-60",4,IF(L1498="F-90",5,IF(L1498="F-120",6,IF(L1498="F-150",7,0)))))),0),0)+IF(AND(O1498="FIRE TEX 5090",OR(E1498="IN",E1498="C",E1498="Z",E1498="L"),J1498=4),VLOOKUP(_xlfn.MINIFS('FIRE TEX 5090'!$J$5:$J$43,'FIRE TEX 5090'!$J$5:$J$43,"&gt;="&amp;M1498),'FIRE TEX 5090'!$J$5:$P$43,IF(L1498="F-15",2,IF(L1498="F-30",3,IF(L1498="F-60",4,IF(L1498="F-90",5,IF(L1498="F-120",6,IF(L1498="F-150",7,0)))))),0),0)+IF(AND(O1498="FIRE TEX 5090",E1498="CJ",J1498=3),VLOOKUP(_xlfn.MINIFS('FIRE TEX 5090'!$R$5:$R$30,'FIRE TEX 5090'!$R$5:$R$30,"&gt;="&amp;M1498),'FIRE TEX 5090'!$R$5:$W$30,IF(L1498="F-15",2,IF(L1498="F-30",3,IF(L1498="F-60",4,IF(L1498="F-90",5,IF(L1498="F-120",6,IF(L1498="F-150",7,0)))))),0),0)+IF(AND(O1498="FIRE TEX 5090",E1498="CJ",J1498=4),VLOOKUP(_xlfn.MINIFS('FIRE TEX 5090'!$Y$5:$Y$39,'FIRE TEX 5090'!$Y$5:$Y$39,"&gt;="&amp;M1498),'FIRE TEX 5090'!$Y$5:$AD$39,IF(L1498="F-15",2,IF(L1498="F-30",3,IF(L1498="F-60",4,IF(L1498="F-90",5,IF(L1498="F-120",6,IF(L1498="F-150",7,0)))))),0),0)+IF(AND(O1498="FIRE TEX 5120",OR(E1498="IN",E1498="C",E1498="Z",E1498="L"),J1498=3),VLOOKUP(_xlfn.MINIFS('FIRE TEX 5120'!$B$5:$B$40,'FIRE TEX 5120'!$B$5:$B$40,"&gt;="&amp;M1498),'FIRE TEX 5120'!$B$5:$G$40,IF(L1498="F-15",2,IF(L1498="F-30",3,IF(L1498="F-60",4,IF(L1498="F-90",5,IF(L1498="F-120",6,0))))),0),0)+IF(AND(O1498="FIRE TEX 5120",OR(E1498="IN",E1498="C",E1498="Z",E1498="L"),J1498=4),VLOOKUP(_xlfn.MINIFS('FIRE TEX 5120'!$H$4:$H$40,'FIRE TEX 5120'!$H$4:$H$40,"&gt;="&amp;M1498),'FIRE TEX 5120'!$H$4:$M$40,IF(L1498="F-15",2,IF(L1498="F-30",3,IF(L1498="F-60",4,IF(L1498="F-90",5,IF(L1498="F-120",6,0))))),0),0)+IF(AND(O1498="FIRE TEX 5120",E1498="CJ"),VLOOKUP(_xlfn.MINIFS('FIRE TEX 5120'!$O$5:$O$40,'FIRE TEX 5120'!$O$5:$O$40,"&gt;="&amp;M1498),'FIRE TEX 5120'!$O$5:$T$40,IF(L1498="F-15",2,IF(L1498="F-30",3,IF(L1498="F-60",4,IF(L1498="F-90",5,IF(L1498="F-120",6,0))))),0),0)</f>
        <v>0</v>
      </c>
      <c r="Q1498" s="46">
        <f t="shared" si="134"/>
        <v>0</v>
      </c>
      <c r="R1498" s="46">
        <f t="shared" si="135"/>
        <v>0</v>
      </c>
      <c r="S1498" s="46" t="e">
        <f t="shared" si="136"/>
        <v>#VALUE!</v>
      </c>
      <c r="T1498" s="677">
        <f t="shared" si="137"/>
        <v>0</v>
      </c>
      <c r="U1498" s="80">
        <f>(IF(O1498="Stofire",(S1498*#REF!),0))+(IF(O1498="Fire Control",(S1498*$U$2),0))+(IF(O1498="Fire Tex",(S1498*$U$3),0))+(IF(O1498="WB7",(S1498*#REF!),0)+(IF(O1498="FX 2003",(S1498*$U$5),0)))</f>
        <v>0</v>
      </c>
      <c r="V1498" s="651">
        <f t="shared" si="138"/>
        <v>0</v>
      </c>
    </row>
    <row r="1499" spans="4:22" x14ac:dyDescent="0.25">
      <c r="D1499" s="118">
        <f>+CUBICACION!D1498</f>
        <v>0</v>
      </c>
      <c r="E1499" s="118">
        <f>+CUBICACION!F1498</f>
        <v>0</v>
      </c>
      <c r="F1499" s="118">
        <f>+CUBICACION!E1498</f>
        <v>0</v>
      </c>
      <c r="G1499" s="118">
        <v>12</v>
      </c>
      <c r="H1499" s="118">
        <v>2</v>
      </c>
      <c r="I1499" s="820">
        <v>26385</v>
      </c>
      <c r="J1499" s="118">
        <f>+CUBICACION!J1498</f>
        <v>0</v>
      </c>
      <c r="K1499" s="118">
        <v>4278</v>
      </c>
      <c r="L1499" s="118">
        <f>+CUBICACION!L1498</f>
        <v>0</v>
      </c>
      <c r="M1499" s="64">
        <f>+CUBICACION!M1498</f>
        <v>0</v>
      </c>
      <c r="N1499" s="824" t="str">
        <f>+CUBICACION!N1498</f>
        <v/>
      </c>
      <c r="O1499" s="675">
        <f>+CUBICACION!O1498</f>
        <v>0</v>
      </c>
      <c r="P1499" s="15">
        <f>IF(O1499="Fire Control",VLOOKUP(_xlfn.MINIFS('FIRE CONTROL'!$C$4:$C$37,'FIRE CONTROL'!$C$4:$C$37,"&gt;="&amp;M1499),'FIRE CONTROL'!$C$4:$G$37,IF(L1499="F-15",2,IF(L1499="F-30",3,IF(L1499="F-60",4,IF(L1499="F-90",5,0)))),0),0)+IF(AND(O1499="FIRE TEX 5062",OR(E1499="IN",E1499="C",E1499="Z",E1499="L"),J1499=3),VLOOKUP(_xlfn.MINIFS('FIRE TEX 5062'!$B$4:$B$34,'FIRE TEX 5062'!$B$4:$B$34,"&gt;="&amp;M1499),'FIRE TEX 5062'!$B$4:$F$34,IF(L1499="F-15",2,IF(L1499="F-30",3,IF(L1499="F-60",4,IF(L1499="F-90",5,0)))),0),0)+IF(AND(O1499="FIRE TEX 5062",OR(E1499="IN",E1499="C",E1499="Z",E1499="L"),J1499=4),VLOOKUP(_xlfn.MINIFS('FIRE TEX 5062'!$G$4:$G$34,'FIRE TEX 5062'!$G$4:$G$34,"&gt;="&amp;M1499),'FIRE TEX 5062'!$G$4:$K$34,IF(L1499="F-15",2,IF(L1499="F-30",3,IF(L1499="F-60",4,IF(L1499="F-90",5,0)))),0),0)+IF(AND(O1499="FIRE TEX 5062",E1499="CJ",J1499=3),VLOOKUP(_xlfn.MINIFS('FIRE TEX 5062'!$L$4:$L$34,'FIRE TEX 5062'!$L$4:$L$34,"&gt;="&amp;M1499),'FIRE TEX 5062'!$L$4:$P$34,IF(L1499="F-15",2,IF(L1499="F-30",3,IF(L1499="F-60",4,IF(L1499="F-90",5,0)))),0),0)+IF(AND(O1499="FIRE TEX 5062",E1499="CJ",J1499=4),VLOOKUP(_xlfn.MINIFS('FIRE TEX 5062'!$Q$3:$Q$34,'FIRE TEX 5062'!$Q$3:$Q$34,"&gt;="&amp;M1499),'FIRE TEX 5062'!$Q$3:$U$34,IF(L1499="F-15",2,IF(L1499="F-30",3,IF(L1499="F-60",4,IF(L1499="F-90",5,0)))),0),0)+IF(AND(O1499="FIRE TEX 5090",OR(E1499="IN",E1499="C",E1499="Z",E1499="L"),J1499=3),VLOOKUP(_xlfn.MINIFS('FIRE TEX 5090'!$B$5:$B$43,'FIRE TEX 5090'!$B$5:$B$43,"&gt;="&amp;M1499),'FIRE TEX 5090'!$B$5:$H$43,IF(L1499="F-15",2,IF(L1499="F-30",3,IF(L1499="F-60",4,IF(L1499="F-90",5,IF(L1499="F-120",6,IF(L1499="F-150",7,0)))))),0),0)+IF(AND(O1499="FIRE TEX 5090",OR(E1499="IN",E1499="C",E1499="Z",E1499="L"),J1499=4),VLOOKUP(_xlfn.MINIFS('FIRE TEX 5090'!$J$5:$J$43,'FIRE TEX 5090'!$J$5:$J$43,"&gt;="&amp;M1499),'FIRE TEX 5090'!$J$5:$P$43,IF(L1499="F-15",2,IF(L1499="F-30",3,IF(L1499="F-60",4,IF(L1499="F-90",5,IF(L1499="F-120",6,IF(L1499="F-150",7,0)))))),0),0)+IF(AND(O1499="FIRE TEX 5090",E1499="CJ",J1499=3),VLOOKUP(_xlfn.MINIFS('FIRE TEX 5090'!$R$5:$R$30,'FIRE TEX 5090'!$R$5:$R$30,"&gt;="&amp;M1499),'FIRE TEX 5090'!$R$5:$W$30,IF(L1499="F-15",2,IF(L1499="F-30",3,IF(L1499="F-60",4,IF(L1499="F-90",5,IF(L1499="F-120",6,IF(L1499="F-150",7,0)))))),0),0)+IF(AND(O1499="FIRE TEX 5090",E1499="CJ",J1499=4),VLOOKUP(_xlfn.MINIFS('FIRE TEX 5090'!$Y$5:$Y$39,'FIRE TEX 5090'!$Y$5:$Y$39,"&gt;="&amp;M1499),'FIRE TEX 5090'!$Y$5:$AD$39,IF(L1499="F-15",2,IF(L1499="F-30",3,IF(L1499="F-60",4,IF(L1499="F-90",5,IF(L1499="F-120",6,IF(L1499="F-150",7,0)))))),0),0)+IF(AND(O1499="FIRE TEX 5120",OR(E1499="IN",E1499="C",E1499="Z",E1499="L"),J1499=3),VLOOKUP(_xlfn.MINIFS('FIRE TEX 5120'!$B$5:$B$40,'FIRE TEX 5120'!$B$5:$B$40,"&gt;="&amp;M1499),'FIRE TEX 5120'!$B$5:$G$40,IF(L1499="F-15",2,IF(L1499="F-30",3,IF(L1499="F-60",4,IF(L1499="F-90",5,IF(L1499="F-120",6,0))))),0),0)+IF(AND(O1499="FIRE TEX 5120",OR(E1499="IN",E1499="C",E1499="Z",E1499="L"),J1499=4),VLOOKUP(_xlfn.MINIFS('FIRE TEX 5120'!$H$4:$H$40,'FIRE TEX 5120'!$H$4:$H$40,"&gt;="&amp;M1499),'FIRE TEX 5120'!$H$4:$M$40,IF(L1499="F-15",2,IF(L1499="F-30",3,IF(L1499="F-60",4,IF(L1499="F-90",5,IF(L1499="F-120",6,0))))),0),0)+IF(AND(O1499="FIRE TEX 5120",E1499="CJ"),VLOOKUP(_xlfn.MINIFS('FIRE TEX 5120'!$O$5:$O$40,'FIRE TEX 5120'!$O$5:$O$40,"&gt;="&amp;M1499),'FIRE TEX 5120'!$O$5:$T$40,IF(L1499="F-15",2,IF(L1499="F-30",3,IF(L1499="F-60",4,IF(L1499="F-90",5,IF(L1499="F-120",6,0))))),0),0)</f>
        <v>0</v>
      </c>
      <c r="Q1499" s="46">
        <f t="shared" si="134"/>
        <v>0</v>
      </c>
      <c r="R1499" s="46">
        <f t="shared" si="135"/>
        <v>0</v>
      </c>
      <c r="S1499" s="46" t="e">
        <f t="shared" si="136"/>
        <v>#VALUE!</v>
      </c>
      <c r="T1499" s="677">
        <f t="shared" si="137"/>
        <v>0</v>
      </c>
      <c r="U1499" s="80">
        <f>(IF(O1499="Stofire",(S1499*#REF!),0))+(IF(O1499="Fire Control",(S1499*$U$2),0))+(IF(O1499="Fire Tex",(S1499*$U$3),0))+(IF(O1499="WB7",(S1499*#REF!),0)+(IF(O1499="FX 2003",(S1499*$U$5),0)))</f>
        <v>0</v>
      </c>
      <c r="V1499" s="651">
        <f t="shared" si="138"/>
        <v>0</v>
      </c>
    </row>
    <row r="1500" spans="4:22" x14ac:dyDescent="0.25">
      <c r="D1500" s="118">
        <f>+CUBICACION!D1499</f>
        <v>0</v>
      </c>
      <c r="E1500" s="118">
        <f>+CUBICACION!F1499</f>
        <v>0</v>
      </c>
      <c r="F1500" s="118">
        <f>+CUBICACION!E1499</f>
        <v>0</v>
      </c>
      <c r="G1500" s="118">
        <v>12</v>
      </c>
      <c r="H1500" s="118">
        <v>2</v>
      </c>
      <c r="I1500" s="820">
        <v>26385</v>
      </c>
      <c r="J1500" s="118">
        <f>+CUBICACION!J1499</f>
        <v>0</v>
      </c>
      <c r="K1500" s="118">
        <v>4279</v>
      </c>
      <c r="L1500" s="118">
        <f>+CUBICACION!L1499</f>
        <v>0</v>
      </c>
      <c r="M1500" s="64">
        <f>+CUBICACION!M1499</f>
        <v>0</v>
      </c>
      <c r="N1500" s="824" t="str">
        <f>+CUBICACION!N1499</f>
        <v/>
      </c>
      <c r="O1500" s="675">
        <f>+CUBICACION!O1499</f>
        <v>0</v>
      </c>
      <c r="P1500" s="15">
        <f>IF(O1500="Fire Control",VLOOKUP(_xlfn.MINIFS('FIRE CONTROL'!$C$4:$C$37,'FIRE CONTROL'!$C$4:$C$37,"&gt;="&amp;M1500),'FIRE CONTROL'!$C$4:$G$37,IF(L1500="F-15",2,IF(L1500="F-30",3,IF(L1500="F-60",4,IF(L1500="F-90",5,0)))),0),0)+IF(AND(O1500="FIRE TEX 5062",OR(E1500="IN",E1500="C",E1500="Z",E1500="L"),J1500=3),VLOOKUP(_xlfn.MINIFS('FIRE TEX 5062'!$B$4:$B$34,'FIRE TEX 5062'!$B$4:$B$34,"&gt;="&amp;M1500),'FIRE TEX 5062'!$B$4:$F$34,IF(L1500="F-15",2,IF(L1500="F-30",3,IF(L1500="F-60",4,IF(L1500="F-90",5,0)))),0),0)+IF(AND(O1500="FIRE TEX 5062",OR(E1500="IN",E1500="C",E1500="Z",E1500="L"),J1500=4),VLOOKUP(_xlfn.MINIFS('FIRE TEX 5062'!$G$4:$G$34,'FIRE TEX 5062'!$G$4:$G$34,"&gt;="&amp;M1500),'FIRE TEX 5062'!$G$4:$K$34,IF(L1500="F-15",2,IF(L1500="F-30",3,IF(L1500="F-60",4,IF(L1500="F-90",5,0)))),0),0)+IF(AND(O1500="FIRE TEX 5062",E1500="CJ",J1500=3),VLOOKUP(_xlfn.MINIFS('FIRE TEX 5062'!$L$4:$L$34,'FIRE TEX 5062'!$L$4:$L$34,"&gt;="&amp;M1500),'FIRE TEX 5062'!$L$4:$P$34,IF(L1500="F-15",2,IF(L1500="F-30",3,IF(L1500="F-60",4,IF(L1500="F-90",5,0)))),0),0)+IF(AND(O1500="FIRE TEX 5062",E1500="CJ",J1500=4),VLOOKUP(_xlfn.MINIFS('FIRE TEX 5062'!$Q$3:$Q$34,'FIRE TEX 5062'!$Q$3:$Q$34,"&gt;="&amp;M1500),'FIRE TEX 5062'!$Q$3:$U$34,IF(L1500="F-15",2,IF(L1500="F-30",3,IF(L1500="F-60",4,IF(L1500="F-90",5,0)))),0),0)+IF(AND(O1500="FIRE TEX 5090",OR(E1500="IN",E1500="C",E1500="Z",E1500="L"),J1500=3),VLOOKUP(_xlfn.MINIFS('FIRE TEX 5090'!$B$5:$B$43,'FIRE TEX 5090'!$B$5:$B$43,"&gt;="&amp;M1500),'FIRE TEX 5090'!$B$5:$H$43,IF(L1500="F-15",2,IF(L1500="F-30",3,IF(L1500="F-60",4,IF(L1500="F-90",5,IF(L1500="F-120",6,IF(L1500="F-150",7,0)))))),0),0)+IF(AND(O1500="FIRE TEX 5090",OR(E1500="IN",E1500="C",E1500="Z",E1500="L"),J1500=4),VLOOKUP(_xlfn.MINIFS('FIRE TEX 5090'!$J$5:$J$43,'FIRE TEX 5090'!$J$5:$J$43,"&gt;="&amp;M1500),'FIRE TEX 5090'!$J$5:$P$43,IF(L1500="F-15",2,IF(L1500="F-30",3,IF(L1500="F-60",4,IF(L1500="F-90",5,IF(L1500="F-120",6,IF(L1500="F-150",7,0)))))),0),0)+IF(AND(O1500="FIRE TEX 5090",E1500="CJ",J1500=3),VLOOKUP(_xlfn.MINIFS('FIRE TEX 5090'!$R$5:$R$30,'FIRE TEX 5090'!$R$5:$R$30,"&gt;="&amp;M1500),'FIRE TEX 5090'!$R$5:$W$30,IF(L1500="F-15",2,IF(L1500="F-30",3,IF(L1500="F-60",4,IF(L1500="F-90",5,IF(L1500="F-120",6,IF(L1500="F-150",7,0)))))),0),0)+IF(AND(O1500="FIRE TEX 5090",E1500="CJ",J1500=4),VLOOKUP(_xlfn.MINIFS('FIRE TEX 5090'!$Y$5:$Y$39,'FIRE TEX 5090'!$Y$5:$Y$39,"&gt;="&amp;M1500),'FIRE TEX 5090'!$Y$5:$AD$39,IF(L1500="F-15",2,IF(L1500="F-30",3,IF(L1500="F-60",4,IF(L1500="F-90",5,IF(L1500="F-120",6,IF(L1500="F-150",7,0)))))),0),0)+IF(AND(O1500="FIRE TEX 5120",OR(E1500="IN",E1500="C",E1500="Z",E1500="L"),J1500=3),VLOOKUP(_xlfn.MINIFS('FIRE TEX 5120'!$B$5:$B$40,'FIRE TEX 5120'!$B$5:$B$40,"&gt;="&amp;M1500),'FIRE TEX 5120'!$B$5:$G$40,IF(L1500="F-15",2,IF(L1500="F-30",3,IF(L1500="F-60",4,IF(L1500="F-90",5,IF(L1500="F-120",6,0))))),0),0)+IF(AND(O1500="FIRE TEX 5120",OR(E1500="IN",E1500="C",E1500="Z",E1500="L"),J1500=4),VLOOKUP(_xlfn.MINIFS('FIRE TEX 5120'!$H$4:$H$40,'FIRE TEX 5120'!$H$4:$H$40,"&gt;="&amp;M1500),'FIRE TEX 5120'!$H$4:$M$40,IF(L1500="F-15",2,IF(L1500="F-30",3,IF(L1500="F-60",4,IF(L1500="F-90",5,IF(L1500="F-120",6,0))))),0),0)+IF(AND(O1500="FIRE TEX 5120",E1500="CJ"),VLOOKUP(_xlfn.MINIFS('FIRE TEX 5120'!$O$5:$O$40,'FIRE TEX 5120'!$O$5:$O$40,"&gt;="&amp;M1500),'FIRE TEX 5120'!$O$5:$T$40,IF(L1500="F-15",2,IF(L1500="F-30",3,IF(L1500="F-60",4,IF(L1500="F-90",5,IF(L1500="F-120",6,0))))),0),0)</f>
        <v>0</v>
      </c>
      <c r="Q1500" s="46">
        <f t="shared" si="134"/>
        <v>0</v>
      </c>
      <c r="R1500" s="46">
        <f t="shared" si="135"/>
        <v>0</v>
      </c>
      <c r="S1500" s="46" t="e">
        <f t="shared" si="136"/>
        <v>#VALUE!</v>
      </c>
      <c r="T1500" s="677">
        <f t="shared" si="137"/>
        <v>0</v>
      </c>
      <c r="U1500" s="80">
        <f>(IF(O1500="Stofire",(S1500*#REF!),0))+(IF(O1500="Fire Control",(S1500*$U$2),0))+(IF(O1500="Fire Tex",(S1500*$U$3),0))+(IF(O1500="WB7",(S1500*#REF!),0)+(IF(O1500="FX 2003",(S1500*$U$5),0)))</f>
        <v>0</v>
      </c>
      <c r="V1500" s="651">
        <f t="shared" si="138"/>
        <v>0</v>
      </c>
    </row>
    <row r="1501" spans="4:22" x14ac:dyDescent="0.25">
      <c r="D1501" s="118">
        <f>+CUBICACION!D1500</f>
        <v>0</v>
      </c>
      <c r="E1501" s="118">
        <f>+CUBICACION!F1500</f>
        <v>0</v>
      </c>
      <c r="F1501" s="118">
        <f>+CUBICACION!E1500</f>
        <v>0</v>
      </c>
      <c r="G1501" s="118">
        <v>12</v>
      </c>
      <c r="H1501" s="118">
        <v>2</v>
      </c>
      <c r="I1501" s="820">
        <v>26385</v>
      </c>
      <c r="J1501" s="118">
        <f>+CUBICACION!J1500</f>
        <v>0</v>
      </c>
      <c r="K1501" s="118">
        <v>4280</v>
      </c>
      <c r="L1501" s="118">
        <f>+CUBICACION!L1500</f>
        <v>0</v>
      </c>
      <c r="M1501" s="64">
        <f>+CUBICACION!M1500</f>
        <v>0</v>
      </c>
      <c r="N1501" s="824" t="str">
        <f>+CUBICACION!N1500</f>
        <v/>
      </c>
      <c r="O1501" s="675">
        <f>+CUBICACION!O1500</f>
        <v>0</v>
      </c>
      <c r="P1501" s="15">
        <f>IF(O1501="Fire Control",VLOOKUP(_xlfn.MINIFS('FIRE CONTROL'!$C$4:$C$37,'FIRE CONTROL'!$C$4:$C$37,"&gt;="&amp;M1501),'FIRE CONTROL'!$C$4:$G$37,IF(L1501="F-15",2,IF(L1501="F-30",3,IF(L1501="F-60",4,IF(L1501="F-90",5,0)))),0),0)+IF(AND(O1501="FIRE TEX 5062",OR(E1501="IN",E1501="C",E1501="Z",E1501="L"),J1501=3),VLOOKUP(_xlfn.MINIFS('FIRE TEX 5062'!$B$4:$B$34,'FIRE TEX 5062'!$B$4:$B$34,"&gt;="&amp;M1501),'FIRE TEX 5062'!$B$4:$F$34,IF(L1501="F-15",2,IF(L1501="F-30",3,IF(L1501="F-60",4,IF(L1501="F-90",5,0)))),0),0)+IF(AND(O1501="FIRE TEX 5062",OR(E1501="IN",E1501="C",E1501="Z",E1501="L"),J1501=4),VLOOKUP(_xlfn.MINIFS('FIRE TEX 5062'!$G$4:$G$34,'FIRE TEX 5062'!$G$4:$G$34,"&gt;="&amp;M1501),'FIRE TEX 5062'!$G$4:$K$34,IF(L1501="F-15",2,IF(L1501="F-30",3,IF(L1501="F-60",4,IF(L1501="F-90",5,0)))),0),0)+IF(AND(O1501="FIRE TEX 5062",E1501="CJ",J1501=3),VLOOKUP(_xlfn.MINIFS('FIRE TEX 5062'!$L$4:$L$34,'FIRE TEX 5062'!$L$4:$L$34,"&gt;="&amp;M1501),'FIRE TEX 5062'!$L$4:$P$34,IF(L1501="F-15",2,IF(L1501="F-30",3,IF(L1501="F-60",4,IF(L1501="F-90",5,0)))),0),0)+IF(AND(O1501="FIRE TEX 5062",E1501="CJ",J1501=4),VLOOKUP(_xlfn.MINIFS('FIRE TEX 5062'!$Q$3:$Q$34,'FIRE TEX 5062'!$Q$3:$Q$34,"&gt;="&amp;M1501),'FIRE TEX 5062'!$Q$3:$U$34,IF(L1501="F-15",2,IF(L1501="F-30",3,IF(L1501="F-60",4,IF(L1501="F-90",5,0)))),0),0)+IF(AND(O1501="FIRE TEX 5090",OR(E1501="IN",E1501="C",E1501="Z",E1501="L"),J1501=3),VLOOKUP(_xlfn.MINIFS('FIRE TEX 5090'!$B$5:$B$43,'FIRE TEX 5090'!$B$5:$B$43,"&gt;="&amp;M1501),'FIRE TEX 5090'!$B$5:$H$43,IF(L1501="F-15",2,IF(L1501="F-30",3,IF(L1501="F-60",4,IF(L1501="F-90",5,IF(L1501="F-120",6,IF(L1501="F-150",7,0)))))),0),0)+IF(AND(O1501="FIRE TEX 5090",OR(E1501="IN",E1501="C",E1501="Z",E1501="L"),J1501=4),VLOOKUP(_xlfn.MINIFS('FIRE TEX 5090'!$J$5:$J$43,'FIRE TEX 5090'!$J$5:$J$43,"&gt;="&amp;M1501),'FIRE TEX 5090'!$J$5:$P$43,IF(L1501="F-15",2,IF(L1501="F-30",3,IF(L1501="F-60",4,IF(L1501="F-90",5,IF(L1501="F-120",6,IF(L1501="F-150",7,0)))))),0),0)+IF(AND(O1501="FIRE TEX 5090",E1501="CJ",J1501=3),VLOOKUP(_xlfn.MINIFS('FIRE TEX 5090'!$R$5:$R$30,'FIRE TEX 5090'!$R$5:$R$30,"&gt;="&amp;M1501),'FIRE TEX 5090'!$R$5:$W$30,IF(L1501="F-15",2,IF(L1501="F-30",3,IF(L1501="F-60",4,IF(L1501="F-90",5,IF(L1501="F-120",6,IF(L1501="F-150",7,0)))))),0),0)+IF(AND(O1501="FIRE TEX 5090",E1501="CJ",J1501=4),VLOOKUP(_xlfn.MINIFS('FIRE TEX 5090'!$Y$5:$Y$39,'FIRE TEX 5090'!$Y$5:$Y$39,"&gt;="&amp;M1501),'FIRE TEX 5090'!$Y$5:$AD$39,IF(L1501="F-15",2,IF(L1501="F-30",3,IF(L1501="F-60",4,IF(L1501="F-90",5,IF(L1501="F-120",6,IF(L1501="F-150",7,0)))))),0),0)+IF(AND(O1501="FIRE TEX 5120",OR(E1501="IN",E1501="C",E1501="Z",E1501="L"),J1501=3),VLOOKUP(_xlfn.MINIFS('FIRE TEX 5120'!$B$5:$B$40,'FIRE TEX 5120'!$B$5:$B$40,"&gt;="&amp;M1501),'FIRE TEX 5120'!$B$5:$G$40,IF(L1501="F-15",2,IF(L1501="F-30",3,IF(L1501="F-60",4,IF(L1501="F-90",5,IF(L1501="F-120",6,0))))),0),0)+IF(AND(O1501="FIRE TEX 5120",OR(E1501="IN",E1501="C",E1501="Z",E1501="L"),J1501=4),VLOOKUP(_xlfn.MINIFS('FIRE TEX 5120'!$H$4:$H$40,'FIRE TEX 5120'!$H$4:$H$40,"&gt;="&amp;M1501),'FIRE TEX 5120'!$H$4:$M$40,IF(L1501="F-15",2,IF(L1501="F-30",3,IF(L1501="F-60",4,IF(L1501="F-90",5,IF(L1501="F-120",6,0))))),0),0)+IF(AND(O1501="FIRE TEX 5120",E1501="CJ"),VLOOKUP(_xlfn.MINIFS('FIRE TEX 5120'!$O$5:$O$40,'FIRE TEX 5120'!$O$5:$O$40,"&gt;="&amp;M1501),'FIRE TEX 5120'!$O$5:$T$40,IF(L1501="F-15",2,IF(L1501="F-30",3,IF(L1501="F-60",4,IF(L1501="F-90",5,IF(L1501="F-120",6,0))))),0),0)</f>
        <v>0</v>
      </c>
      <c r="Q1501" s="46">
        <f t="shared" si="134"/>
        <v>0</v>
      </c>
      <c r="R1501" s="46">
        <f t="shared" si="135"/>
        <v>0</v>
      </c>
      <c r="S1501" s="46" t="e">
        <f t="shared" si="136"/>
        <v>#VALUE!</v>
      </c>
      <c r="T1501" s="677">
        <f t="shared" si="137"/>
        <v>0</v>
      </c>
      <c r="U1501" s="80">
        <f>(IF(O1501="Stofire",(S1501*#REF!),0))+(IF(O1501="Fire Control",(S1501*$U$2),0))+(IF(O1501="Fire Tex",(S1501*$U$3),0))+(IF(O1501="WB7",(S1501*#REF!),0)+(IF(O1501="FX 2003",(S1501*$U$5),0)))</f>
        <v>0</v>
      </c>
      <c r="V1501" s="651">
        <f t="shared" si="138"/>
        <v>0</v>
      </c>
    </row>
    <row r="1502" spans="4:22" x14ac:dyDescent="0.25">
      <c r="D1502" s="118">
        <f>+CUBICACION!D1501</f>
        <v>0</v>
      </c>
      <c r="E1502" s="118">
        <f>+CUBICACION!F1501</f>
        <v>0</v>
      </c>
      <c r="F1502" s="118">
        <f>+CUBICACION!E1501</f>
        <v>0</v>
      </c>
      <c r="G1502" s="118">
        <v>12</v>
      </c>
      <c r="H1502" s="118">
        <v>2</v>
      </c>
      <c r="I1502" s="820">
        <v>26385</v>
      </c>
      <c r="J1502" s="118">
        <f>+CUBICACION!J1501</f>
        <v>0</v>
      </c>
      <c r="K1502" s="118">
        <v>4281</v>
      </c>
      <c r="L1502" s="118">
        <f>+CUBICACION!L1501</f>
        <v>0</v>
      </c>
      <c r="M1502" s="64">
        <f>+CUBICACION!M1501</f>
        <v>0</v>
      </c>
      <c r="N1502" s="824" t="str">
        <f>+CUBICACION!N1501</f>
        <v/>
      </c>
      <c r="O1502" s="675">
        <f>+CUBICACION!O1501</f>
        <v>0</v>
      </c>
      <c r="P1502" s="15">
        <f>IF(O1502="Fire Control",VLOOKUP(_xlfn.MINIFS('FIRE CONTROL'!$C$4:$C$37,'FIRE CONTROL'!$C$4:$C$37,"&gt;="&amp;M1502),'FIRE CONTROL'!$C$4:$G$37,IF(L1502="F-15",2,IF(L1502="F-30",3,IF(L1502="F-60",4,IF(L1502="F-90",5,0)))),0),0)+IF(AND(O1502="FIRE TEX 5062",OR(E1502="IN",E1502="C",E1502="Z",E1502="L"),J1502=3),VLOOKUP(_xlfn.MINIFS('FIRE TEX 5062'!$B$4:$B$34,'FIRE TEX 5062'!$B$4:$B$34,"&gt;="&amp;M1502),'FIRE TEX 5062'!$B$4:$F$34,IF(L1502="F-15",2,IF(L1502="F-30",3,IF(L1502="F-60",4,IF(L1502="F-90",5,0)))),0),0)+IF(AND(O1502="FIRE TEX 5062",OR(E1502="IN",E1502="C",E1502="Z",E1502="L"),J1502=4),VLOOKUP(_xlfn.MINIFS('FIRE TEX 5062'!$G$4:$G$34,'FIRE TEX 5062'!$G$4:$G$34,"&gt;="&amp;M1502),'FIRE TEX 5062'!$G$4:$K$34,IF(L1502="F-15",2,IF(L1502="F-30",3,IF(L1502="F-60",4,IF(L1502="F-90",5,0)))),0),0)+IF(AND(O1502="FIRE TEX 5062",E1502="CJ",J1502=3),VLOOKUP(_xlfn.MINIFS('FIRE TEX 5062'!$L$4:$L$34,'FIRE TEX 5062'!$L$4:$L$34,"&gt;="&amp;M1502),'FIRE TEX 5062'!$L$4:$P$34,IF(L1502="F-15",2,IF(L1502="F-30",3,IF(L1502="F-60",4,IF(L1502="F-90",5,0)))),0),0)+IF(AND(O1502="FIRE TEX 5062",E1502="CJ",J1502=4),VLOOKUP(_xlfn.MINIFS('FIRE TEX 5062'!$Q$3:$Q$34,'FIRE TEX 5062'!$Q$3:$Q$34,"&gt;="&amp;M1502),'FIRE TEX 5062'!$Q$3:$U$34,IF(L1502="F-15",2,IF(L1502="F-30",3,IF(L1502="F-60",4,IF(L1502="F-90",5,0)))),0),0)+IF(AND(O1502="FIRE TEX 5090",OR(E1502="IN",E1502="C",E1502="Z",E1502="L"),J1502=3),VLOOKUP(_xlfn.MINIFS('FIRE TEX 5090'!$B$5:$B$43,'FIRE TEX 5090'!$B$5:$B$43,"&gt;="&amp;M1502),'FIRE TEX 5090'!$B$5:$H$43,IF(L1502="F-15",2,IF(L1502="F-30",3,IF(L1502="F-60",4,IF(L1502="F-90",5,IF(L1502="F-120",6,IF(L1502="F-150",7,0)))))),0),0)+IF(AND(O1502="FIRE TEX 5090",OR(E1502="IN",E1502="C",E1502="Z",E1502="L"),J1502=4),VLOOKUP(_xlfn.MINIFS('FIRE TEX 5090'!$J$5:$J$43,'FIRE TEX 5090'!$J$5:$J$43,"&gt;="&amp;M1502),'FIRE TEX 5090'!$J$5:$P$43,IF(L1502="F-15",2,IF(L1502="F-30",3,IF(L1502="F-60",4,IF(L1502="F-90",5,IF(L1502="F-120",6,IF(L1502="F-150",7,0)))))),0),0)+IF(AND(O1502="FIRE TEX 5090",E1502="CJ",J1502=3),VLOOKUP(_xlfn.MINIFS('FIRE TEX 5090'!$R$5:$R$30,'FIRE TEX 5090'!$R$5:$R$30,"&gt;="&amp;M1502),'FIRE TEX 5090'!$R$5:$W$30,IF(L1502="F-15",2,IF(L1502="F-30",3,IF(L1502="F-60",4,IF(L1502="F-90",5,IF(L1502="F-120",6,IF(L1502="F-150",7,0)))))),0),0)+IF(AND(O1502="FIRE TEX 5090",E1502="CJ",J1502=4),VLOOKUP(_xlfn.MINIFS('FIRE TEX 5090'!$Y$5:$Y$39,'FIRE TEX 5090'!$Y$5:$Y$39,"&gt;="&amp;M1502),'FIRE TEX 5090'!$Y$5:$AD$39,IF(L1502="F-15",2,IF(L1502="F-30",3,IF(L1502="F-60",4,IF(L1502="F-90",5,IF(L1502="F-120",6,IF(L1502="F-150",7,0)))))),0),0)+IF(AND(O1502="FIRE TEX 5120",OR(E1502="IN",E1502="C",E1502="Z",E1502="L"),J1502=3),VLOOKUP(_xlfn.MINIFS('FIRE TEX 5120'!$B$5:$B$40,'FIRE TEX 5120'!$B$5:$B$40,"&gt;="&amp;M1502),'FIRE TEX 5120'!$B$5:$G$40,IF(L1502="F-15",2,IF(L1502="F-30",3,IF(L1502="F-60",4,IF(L1502="F-90",5,IF(L1502="F-120",6,0))))),0),0)+IF(AND(O1502="FIRE TEX 5120",OR(E1502="IN",E1502="C",E1502="Z",E1502="L"),J1502=4),VLOOKUP(_xlfn.MINIFS('FIRE TEX 5120'!$H$4:$H$40,'FIRE TEX 5120'!$H$4:$H$40,"&gt;="&amp;M1502),'FIRE TEX 5120'!$H$4:$M$40,IF(L1502="F-15",2,IF(L1502="F-30",3,IF(L1502="F-60",4,IF(L1502="F-90",5,IF(L1502="F-120",6,0))))),0),0)+IF(AND(O1502="FIRE TEX 5120",E1502="CJ"),VLOOKUP(_xlfn.MINIFS('FIRE TEX 5120'!$O$5:$O$40,'FIRE TEX 5120'!$O$5:$O$40,"&gt;="&amp;M1502),'FIRE TEX 5120'!$O$5:$T$40,IF(L1502="F-15",2,IF(L1502="F-30",3,IF(L1502="F-60",4,IF(L1502="F-90",5,IF(L1502="F-120",6,0))))),0),0)</f>
        <v>0</v>
      </c>
      <c r="Q1502" s="46">
        <f t="shared" si="134"/>
        <v>0</v>
      </c>
      <c r="R1502" s="46">
        <f t="shared" si="135"/>
        <v>0</v>
      </c>
      <c r="S1502" s="46" t="e">
        <f t="shared" si="136"/>
        <v>#VALUE!</v>
      </c>
      <c r="T1502" s="677">
        <f t="shared" si="137"/>
        <v>0</v>
      </c>
      <c r="U1502" s="80">
        <f>(IF(O1502="Stofire",(S1502*#REF!),0))+(IF(O1502="Fire Control",(S1502*$U$2),0))+(IF(O1502="Fire Tex",(S1502*$U$3),0))+(IF(O1502="WB7",(S1502*#REF!),0)+(IF(O1502="FX 2003",(S1502*$U$5),0)))</f>
        <v>0</v>
      </c>
      <c r="V1502" s="651">
        <f t="shared" si="138"/>
        <v>0</v>
      </c>
    </row>
    <row r="1503" spans="4:22" x14ac:dyDescent="0.25">
      <c r="D1503" s="118">
        <f>+CUBICACION!D1502</f>
        <v>0</v>
      </c>
      <c r="E1503" s="118">
        <f>+CUBICACION!F1502</f>
        <v>0</v>
      </c>
      <c r="F1503" s="118">
        <f>+CUBICACION!E1502</f>
        <v>0</v>
      </c>
      <c r="G1503" s="118">
        <v>12</v>
      </c>
      <c r="H1503" s="118">
        <v>2</v>
      </c>
      <c r="I1503" s="820">
        <v>26385</v>
      </c>
      <c r="J1503" s="118">
        <f>+CUBICACION!J1502</f>
        <v>0</v>
      </c>
      <c r="K1503" s="118">
        <v>4282</v>
      </c>
      <c r="L1503" s="118">
        <f>+CUBICACION!L1502</f>
        <v>0</v>
      </c>
      <c r="M1503" s="64">
        <f>+CUBICACION!M1502</f>
        <v>0</v>
      </c>
      <c r="N1503" s="824" t="str">
        <f>+CUBICACION!N1502</f>
        <v/>
      </c>
      <c r="O1503" s="675">
        <f>+CUBICACION!O1502</f>
        <v>0</v>
      </c>
      <c r="P1503" s="15">
        <f>IF(O1503="Fire Control",VLOOKUP(_xlfn.MINIFS('FIRE CONTROL'!$C$4:$C$37,'FIRE CONTROL'!$C$4:$C$37,"&gt;="&amp;M1503),'FIRE CONTROL'!$C$4:$G$37,IF(L1503="F-15",2,IF(L1503="F-30",3,IF(L1503="F-60",4,IF(L1503="F-90",5,0)))),0),0)+IF(AND(O1503="FIRE TEX 5062",OR(E1503="IN",E1503="C",E1503="Z",E1503="L"),J1503=3),VLOOKUP(_xlfn.MINIFS('FIRE TEX 5062'!$B$4:$B$34,'FIRE TEX 5062'!$B$4:$B$34,"&gt;="&amp;M1503),'FIRE TEX 5062'!$B$4:$F$34,IF(L1503="F-15",2,IF(L1503="F-30",3,IF(L1503="F-60",4,IF(L1503="F-90",5,0)))),0),0)+IF(AND(O1503="FIRE TEX 5062",OR(E1503="IN",E1503="C",E1503="Z",E1503="L"),J1503=4),VLOOKUP(_xlfn.MINIFS('FIRE TEX 5062'!$G$4:$G$34,'FIRE TEX 5062'!$G$4:$G$34,"&gt;="&amp;M1503),'FIRE TEX 5062'!$G$4:$K$34,IF(L1503="F-15",2,IF(L1503="F-30",3,IF(L1503="F-60",4,IF(L1503="F-90",5,0)))),0),0)+IF(AND(O1503="FIRE TEX 5062",E1503="CJ",J1503=3),VLOOKUP(_xlfn.MINIFS('FIRE TEX 5062'!$L$4:$L$34,'FIRE TEX 5062'!$L$4:$L$34,"&gt;="&amp;M1503),'FIRE TEX 5062'!$L$4:$P$34,IF(L1503="F-15",2,IF(L1503="F-30",3,IF(L1503="F-60",4,IF(L1503="F-90",5,0)))),0),0)+IF(AND(O1503="FIRE TEX 5062",E1503="CJ",J1503=4),VLOOKUP(_xlfn.MINIFS('FIRE TEX 5062'!$Q$3:$Q$34,'FIRE TEX 5062'!$Q$3:$Q$34,"&gt;="&amp;M1503),'FIRE TEX 5062'!$Q$3:$U$34,IF(L1503="F-15",2,IF(L1503="F-30",3,IF(L1503="F-60",4,IF(L1503="F-90",5,0)))),0),0)+IF(AND(O1503="FIRE TEX 5090",OR(E1503="IN",E1503="C",E1503="Z",E1503="L"),J1503=3),VLOOKUP(_xlfn.MINIFS('FIRE TEX 5090'!$B$5:$B$43,'FIRE TEX 5090'!$B$5:$B$43,"&gt;="&amp;M1503),'FIRE TEX 5090'!$B$5:$H$43,IF(L1503="F-15",2,IF(L1503="F-30",3,IF(L1503="F-60",4,IF(L1503="F-90",5,IF(L1503="F-120",6,IF(L1503="F-150",7,0)))))),0),0)+IF(AND(O1503="FIRE TEX 5090",OR(E1503="IN",E1503="C",E1503="Z",E1503="L"),J1503=4),VLOOKUP(_xlfn.MINIFS('FIRE TEX 5090'!$J$5:$J$43,'FIRE TEX 5090'!$J$5:$J$43,"&gt;="&amp;M1503),'FIRE TEX 5090'!$J$5:$P$43,IF(L1503="F-15",2,IF(L1503="F-30",3,IF(L1503="F-60",4,IF(L1503="F-90",5,IF(L1503="F-120",6,IF(L1503="F-150",7,0)))))),0),0)+IF(AND(O1503="FIRE TEX 5090",E1503="CJ",J1503=3),VLOOKUP(_xlfn.MINIFS('FIRE TEX 5090'!$R$5:$R$30,'FIRE TEX 5090'!$R$5:$R$30,"&gt;="&amp;M1503),'FIRE TEX 5090'!$R$5:$W$30,IF(L1503="F-15",2,IF(L1503="F-30",3,IF(L1503="F-60",4,IF(L1503="F-90",5,IF(L1503="F-120",6,IF(L1503="F-150",7,0)))))),0),0)+IF(AND(O1503="FIRE TEX 5090",E1503="CJ",J1503=4),VLOOKUP(_xlfn.MINIFS('FIRE TEX 5090'!$Y$5:$Y$39,'FIRE TEX 5090'!$Y$5:$Y$39,"&gt;="&amp;M1503),'FIRE TEX 5090'!$Y$5:$AD$39,IF(L1503="F-15",2,IF(L1503="F-30",3,IF(L1503="F-60",4,IF(L1503="F-90",5,IF(L1503="F-120",6,IF(L1503="F-150",7,0)))))),0),0)+IF(AND(O1503="FIRE TEX 5120",OR(E1503="IN",E1503="C",E1503="Z",E1503="L"),J1503=3),VLOOKUP(_xlfn.MINIFS('FIRE TEX 5120'!$B$5:$B$40,'FIRE TEX 5120'!$B$5:$B$40,"&gt;="&amp;M1503),'FIRE TEX 5120'!$B$5:$G$40,IF(L1503="F-15",2,IF(L1503="F-30",3,IF(L1503="F-60",4,IF(L1503="F-90",5,IF(L1503="F-120",6,0))))),0),0)+IF(AND(O1503="FIRE TEX 5120",OR(E1503="IN",E1503="C",E1503="Z",E1503="L"),J1503=4),VLOOKUP(_xlfn.MINIFS('FIRE TEX 5120'!$H$4:$H$40,'FIRE TEX 5120'!$H$4:$H$40,"&gt;="&amp;M1503),'FIRE TEX 5120'!$H$4:$M$40,IF(L1503="F-15",2,IF(L1503="F-30",3,IF(L1503="F-60",4,IF(L1503="F-90",5,IF(L1503="F-120",6,0))))),0),0)+IF(AND(O1503="FIRE TEX 5120",E1503="CJ"),VLOOKUP(_xlfn.MINIFS('FIRE TEX 5120'!$O$5:$O$40,'FIRE TEX 5120'!$O$5:$O$40,"&gt;="&amp;M1503),'FIRE TEX 5120'!$O$5:$T$40,IF(L1503="F-15",2,IF(L1503="F-30",3,IF(L1503="F-60",4,IF(L1503="F-90",5,IF(L1503="F-120",6,0))))),0),0)</f>
        <v>0</v>
      </c>
      <c r="Q1503" s="46">
        <f t="shared" si="134"/>
        <v>0</v>
      </c>
      <c r="R1503" s="46">
        <f t="shared" si="135"/>
        <v>0</v>
      </c>
      <c r="S1503" s="46" t="e">
        <f t="shared" si="136"/>
        <v>#VALUE!</v>
      </c>
      <c r="T1503" s="677">
        <f t="shared" si="137"/>
        <v>0</v>
      </c>
      <c r="U1503" s="80">
        <f>(IF(O1503="Stofire",(S1503*#REF!),0))+(IF(O1503="Fire Control",(S1503*$U$2),0))+(IF(O1503="Fire Tex",(S1503*$U$3),0))+(IF(O1503="WB7",(S1503*#REF!),0)+(IF(O1503="FX 2003",(S1503*$U$5),0)))</f>
        <v>0</v>
      </c>
      <c r="V1503" s="651">
        <f t="shared" si="138"/>
        <v>0</v>
      </c>
    </row>
    <row r="1504" spans="4:22" x14ac:dyDescent="0.25">
      <c r="D1504" s="118">
        <f>+CUBICACION!D1503</f>
        <v>0</v>
      </c>
      <c r="E1504" s="118">
        <f>+CUBICACION!F1503</f>
        <v>0</v>
      </c>
      <c r="F1504" s="118">
        <f>+CUBICACION!E1503</f>
        <v>0</v>
      </c>
      <c r="G1504" s="118">
        <v>12</v>
      </c>
      <c r="H1504" s="118">
        <v>2</v>
      </c>
      <c r="I1504" s="820">
        <v>26385</v>
      </c>
      <c r="J1504" s="118">
        <f>+CUBICACION!J1503</f>
        <v>0</v>
      </c>
      <c r="K1504" s="118">
        <v>4283</v>
      </c>
      <c r="L1504" s="118">
        <f>+CUBICACION!L1503</f>
        <v>0</v>
      </c>
      <c r="M1504" s="64">
        <f>+CUBICACION!M1503</f>
        <v>0</v>
      </c>
      <c r="N1504" s="824" t="str">
        <f>+CUBICACION!N1503</f>
        <v/>
      </c>
      <c r="O1504" s="675">
        <f>+CUBICACION!O1503</f>
        <v>0</v>
      </c>
      <c r="P1504" s="15">
        <f>IF(O1504="Fire Control",VLOOKUP(_xlfn.MINIFS('FIRE CONTROL'!$C$4:$C$37,'FIRE CONTROL'!$C$4:$C$37,"&gt;="&amp;M1504),'FIRE CONTROL'!$C$4:$G$37,IF(L1504="F-15",2,IF(L1504="F-30",3,IF(L1504="F-60",4,IF(L1504="F-90",5,0)))),0),0)+IF(AND(O1504="FIRE TEX 5062",OR(E1504="IN",E1504="C",E1504="Z",E1504="L"),J1504=3),VLOOKUP(_xlfn.MINIFS('FIRE TEX 5062'!$B$4:$B$34,'FIRE TEX 5062'!$B$4:$B$34,"&gt;="&amp;M1504),'FIRE TEX 5062'!$B$4:$F$34,IF(L1504="F-15",2,IF(L1504="F-30",3,IF(L1504="F-60",4,IF(L1504="F-90",5,0)))),0),0)+IF(AND(O1504="FIRE TEX 5062",OR(E1504="IN",E1504="C",E1504="Z",E1504="L"),J1504=4),VLOOKUP(_xlfn.MINIFS('FIRE TEX 5062'!$G$4:$G$34,'FIRE TEX 5062'!$G$4:$G$34,"&gt;="&amp;M1504),'FIRE TEX 5062'!$G$4:$K$34,IF(L1504="F-15",2,IF(L1504="F-30",3,IF(L1504="F-60",4,IF(L1504="F-90",5,0)))),0),0)+IF(AND(O1504="FIRE TEX 5062",E1504="CJ",J1504=3),VLOOKUP(_xlfn.MINIFS('FIRE TEX 5062'!$L$4:$L$34,'FIRE TEX 5062'!$L$4:$L$34,"&gt;="&amp;M1504),'FIRE TEX 5062'!$L$4:$P$34,IF(L1504="F-15",2,IF(L1504="F-30",3,IF(L1504="F-60",4,IF(L1504="F-90",5,0)))),0),0)+IF(AND(O1504="FIRE TEX 5062",E1504="CJ",J1504=4),VLOOKUP(_xlfn.MINIFS('FIRE TEX 5062'!$Q$3:$Q$34,'FIRE TEX 5062'!$Q$3:$Q$34,"&gt;="&amp;M1504),'FIRE TEX 5062'!$Q$3:$U$34,IF(L1504="F-15",2,IF(L1504="F-30",3,IF(L1504="F-60",4,IF(L1504="F-90",5,0)))),0),0)+IF(AND(O1504="FIRE TEX 5090",OR(E1504="IN",E1504="C",E1504="Z",E1504="L"),J1504=3),VLOOKUP(_xlfn.MINIFS('FIRE TEX 5090'!$B$5:$B$43,'FIRE TEX 5090'!$B$5:$B$43,"&gt;="&amp;M1504),'FIRE TEX 5090'!$B$5:$H$43,IF(L1504="F-15",2,IF(L1504="F-30",3,IF(L1504="F-60",4,IF(L1504="F-90",5,IF(L1504="F-120",6,IF(L1504="F-150",7,0)))))),0),0)+IF(AND(O1504="FIRE TEX 5090",OR(E1504="IN",E1504="C",E1504="Z",E1504="L"),J1504=4),VLOOKUP(_xlfn.MINIFS('FIRE TEX 5090'!$J$5:$J$43,'FIRE TEX 5090'!$J$5:$J$43,"&gt;="&amp;M1504),'FIRE TEX 5090'!$J$5:$P$43,IF(L1504="F-15",2,IF(L1504="F-30",3,IF(L1504="F-60",4,IF(L1504="F-90",5,IF(L1504="F-120",6,IF(L1504="F-150",7,0)))))),0),0)+IF(AND(O1504="FIRE TEX 5090",E1504="CJ",J1504=3),VLOOKUP(_xlfn.MINIFS('FIRE TEX 5090'!$R$5:$R$30,'FIRE TEX 5090'!$R$5:$R$30,"&gt;="&amp;M1504),'FIRE TEX 5090'!$R$5:$W$30,IF(L1504="F-15",2,IF(L1504="F-30",3,IF(L1504="F-60",4,IF(L1504="F-90",5,IF(L1504="F-120",6,IF(L1504="F-150",7,0)))))),0),0)+IF(AND(O1504="FIRE TEX 5090",E1504="CJ",J1504=4),VLOOKUP(_xlfn.MINIFS('FIRE TEX 5090'!$Y$5:$Y$39,'FIRE TEX 5090'!$Y$5:$Y$39,"&gt;="&amp;M1504),'FIRE TEX 5090'!$Y$5:$AD$39,IF(L1504="F-15",2,IF(L1504="F-30",3,IF(L1504="F-60",4,IF(L1504="F-90",5,IF(L1504="F-120",6,IF(L1504="F-150",7,0)))))),0),0)+IF(AND(O1504="FIRE TEX 5120",OR(E1504="IN",E1504="C",E1504="Z",E1504="L"),J1504=3),VLOOKUP(_xlfn.MINIFS('FIRE TEX 5120'!$B$5:$B$40,'FIRE TEX 5120'!$B$5:$B$40,"&gt;="&amp;M1504),'FIRE TEX 5120'!$B$5:$G$40,IF(L1504="F-15",2,IF(L1504="F-30",3,IF(L1504="F-60",4,IF(L1504="F-90",5,IF(L1504="F-120",6,0))))),0),0)+IF(AND(O1504="FIRE TEX 5120",OR(E1504="IN",E1504="C",E1504="Z",E1504="L"),J1504=4),VLOOKUP(_xlfn.MINIFS('FIRE TEX 5120'!$H$4:$H$40,'FIRE TEX 5120'!$H$4:$H$40,"&gt;="&amp;M1504),'FIRE TEX 5120'!$H$4:$M$40,IF(L1504="F-15",2,IF(L1504="F-30",3,IF(L1504="F-60",4,IF(L1504="F-90",5,IF(L1504="F-120",6,0))))),0),0)+IF(AND(O1504="FIRE TEX 5120",E1504="CJ"),VLOOKUP(_xlfn.MINIFS('FIRE TEX 5120'!$O$5:$O$40,'FIRE TEX 5120'!$O$5:$O$40,"&gt;="&amp;M1504),'FIRE TEX 5120'!$O$5:$T$40,IF(L1504="F-15",2,IF(L1504="F-30",3,IF(L1504="F-60",4,IF(L1504="F-90",5,IF(L1504="F-120",6,0))))),0),0)</f>
        <v>0</v>
      </c>
      <c r="Q1504" s="46">
        <f t="shared" si="134"/>
        <v>0</v>
      </c>
      <c r="R1504" s="46">
        <f t="shared" si="135"/>
        <v>0</v>
      </c>
      <c r="S1504" s="46" t="e">
        <f t="shared" si="136"/>
        <v>#VALUE!</v>
      </c>
      <c r="T1504" s="677">
        <f t="shared" si="137"/>
        <v>0</v>
      </c>
      <c r="U1504" s="80">
        <f>(IF(O1504="Stofire",(S1504*#REF!),0))+(IF(O1504="Fire Control",(S1504*$U$2),0))+(IF(O1504="Fire Tex",(S1504*$U$3),0))+(IF(O1504="WB7",(S1504*#REF!),0)+(IF(O1504="FX 2003",(S1504*$U$5),0)))</f>
        <v>0</v>
      </c>
      <c r="V1504" s="651">
        <f t="shared" si="138"/>
        <v>0</v>
      </c>
    </row>
    <row r="1505" spans="4:22" x14ac:dyDescent="0.25">
      <c r="D1505" s="118">
        <f>+CUBICACION!D1504</f>
        <v>0</v>
      </c>
      <c r="E1505" s="118">
        <f>+CUBICACION!F1504</f>
        <v>0</v>
      </c>
      <c r="F1505" s="118">
        <f>+CUBICACION!E1504</f>
        <v>0</v>
      </c>
      <c r="G1505" s="118">
        <v>12</v>
      </c>
      <c r="H1505" s="118">
        <v>2</v>
      </c>
      <c r="I1505" s="820">
        <v>26385</v>
      </c>
      <c r="J1505" s="118">
        <f>+CUBICACION!J1504</f>
        <v>0</v>
      </c>
      <c r="K1505" s="118">
        <v>4284</v>
      </c>
      <c r="L1505" s="118">
        <f>+CUBICACION!L1504</f>
        <v>0</v>
      </c>
      <c r="M1505" s="64">
        <f>+CUBICACION!M1504</f>
        <v>0</v>
      </c>
      <c r="N1505" s="824" t="str">
        <f>+CUBICACION!N1504</f>
        <v/>
      </c>
      <c r="O1505" s="675">
        <f>+CUBICACION!O1504</f>
        <v>0</v>
      </c>
      <c r="P1505" s="15">
        <f>IF(O1505="Fire Control",VLOOKUP(_xlfn.MINIFS('FIRE CONTROL'!$C$4:$C$37,'FIRE CONTROL'!$C$4:$C$37,"&gt;="&amp;M1505),'FIRE CONTROL'!$C$4:$G$37,IF(L1505="F-15",2,IF(L1505="F-30",3,IF(L1505="F-60",4,IF(L1505="F-90",5,0)))),0),0)+IF(AND(O1505="FIRE TEX 5062",OR(E1505="IN",E1505="C",E1505="Z",E1505="L"),J1505=3),VLOOKUP(_xlfn.MINIFS('FIRE TEX 5062'!$B$4:$B$34,'FIRE TEX 5062'!$B$4:$B$34,"&gt;="&amp;M1505),'FIRE TEX 5062'!$B$4:$F$34,IF(L1505="F-15",2,IF(L1505="F-30",3,IF(L1505="F-60",4,IF(L1505="F-90",5,0)))),0),0)+IF(AND(O1505="FIRE TEX 5062",OR(E1505="IN",E1505="C",E1505="Z",E1505="L"),J1505=4),VLOOKUP(_xlfn.MINIFS('FIRE TEX 5062'!$G$4:$G$34,'FIRE TEX 5062'!$G$4:$G$34,"&gt;="&amp;M1505),'FIRE TEX 5062'!$G$4:$K$34,IF(L1505="F-15",2,IF(L1505="F-30",3,IF(L1505="F-60",4,IF(L1505="F-90",5,0)))),0),0)+IF(AND(O1505="FIRE TEX 5062",E1505="CJ",J1505=3),VLOOKUP(_xlfn.MINIFS('FIRE TEX 5062'!$L$4:$L$34,'FIRE TEX 5062'!$L$4:$L$34,"&gt;="&amp;M1505),'FIRE TEX 5062'!$L$4:$P$34,IF(L1505="F-15",2,IF(L1505="F-30",3,IF(L1505="F-60",4,IF(L1505="F-90",5,0)))),0),0)+IF(AND(O1505="FIRE TEX 5062",E1505="CJ",J1505=4),VLOOKUP(_xlfn.MINIFS('FIRE TEX 5062'!$Q$3:$Q$34,'FIRE TEX 5062'!$Q$3:$Q$34,"&gt;="&amp;M1505),'FIRE TEX 5062'!$Q$3:$U$34,IF(L1505="F-15",2,IF(L1505="F-30",3,IF(L1505="F-60",4,IF(L1505="F-90",5,0)))),0),0)+IF(AND(O1505="FIRE TEX 5090",OR(E1505="IN",E1505="C",E1505="Z",E1505="L"),J1505=3),VLOOKUP(_xlfn.MINIFS('FIRE TEX 5090'!$B$5:$B$43,'FIRE TEX 5090'!$B$5:$B$43,"&gt;="&amp;M1505),'FIRE TEX 5090'!$B$5:$H$43,IF(L1505="F-15",2,IF(L1505="F-30",3,IF(L1505="F-60",4,IF(L1505="F-90",5,IF(L1505="F-120",6,IF(L1505="F-150",7,0)))))),0),0)+IF(AND(O1505="FIRE TEX 5090",OR(E1505="IN",E1505="C",E1505="Z",E1505="L"),J1505=4),VLOOKUP(_xlfn.MINIFS('FIRE TEX 5090'!$J$5:$J$43,'FIRE TEX 5090'!$J$5:$J$43,"&gt;="&amp;M1505),'FIRE TEX 5090'!$J$5:$P$43,IF(L1505="F-15",2,IF(L1505="F-30",3,IF(L1505="F-60",4,IF(L1505="F-90",5,IF(L1505="F-120",6,IF(L1505="F-150",7,0)))))),0),0)+IF(AND(O1505="FIRE TEX 5090",E1505="CJ",J1505=3),VLOOKUP(_xlfn.MINIFS('FIRE TEX 5090'!$R$5:$R$30,'FIRE TEX 5090'!$R$5:$R$30,"&gt;="&amp;M1505),'FIRE TEX 5090'!$R$5:$W$30,IF(L1505="F-15",2,IF(L1505="F-30",3,IF(L1505="F-60",4,IF(L1505="F-90",5,IF(L1505="F-120",6,IF(L1505="F-150",7,0)))))),0),0)+IF(AND(O1505="FIRE TEX 5090",E1505="CJ",J1505=4),VLOOKUP(_xlfn.MINIFS('FIRE TEX 5090'!$Y$5:$Y$39,'FIRE TEX 5090'!$Y$5:$Y$39,"&gt;="&amp;M1505),'FIRE TEX 5090'!$Y$5:$AD$39,IF(L1505="F-15",2,IF(L1505="F-30",3,IF(L1505="F-60",4,IF(L1505="F-90",5,IF(L1505="F-120",6,IF(L1505="F-150",7,0)))))),0),0)+IF(AND(O1505="FIRE TEX 5120",OR(E1505="IN",E1505="C",E1505="Z",E1505="L"),J1505=3),VLOOKUP(_xlfn.MINIFS('FIRE TEX 5120'!$B$5:$B$40,'FIRE TEX 5120'!$B$5:$B$40,"&gt;="&amp;M1505),'FIRE TEX 5120'!$B$5:$G$40,IF(L1505="F-15",2,IF(L1505="F-30",3,IF(L1505="F-60",4,IF(L1505="F-90",5,IF(L1505="F-120",6,0))))),0),0)+IF(AND(O1505="FIRE TEX 5120",OR(E1505="IN",E1505="C",E1505="Z",E1505="L"),J1505=4),VLOOKUP(_xlfn.MINIFS('FIRE TEX 5120'!$H$4:$H$40,'FIRE TEX 5120'!$H$4:$H$40,"&gt;="&amp;M1505),'FIRE TEX 5120'!$H$4:$M$40,IF(L1505="F-15",2,IF(L1505="F-30",3,IF(L1505="F-60",4,IF(L1505="F-90",5,IF(L1505="F-120",6,0))))),0),0)+IF(AND(O1505="FIRE TEX 5120",E1505="CJ"),VLOOKUP(_xlfn.MINIFS('FIRE TEX 5120'!$O$5:$O$40,'FIRE TEX 5120'!$O$5:$O$40,"&gt;="&amp;M1505),'FIRE TEX 5120'!$O$5:$T$40,IF(L1505="F-15",2,IF(L1505="F-30",3,IF(L1505="F-60",4,IF(L1505="F-90",5,IF(L1505="F-120",6,0))))),0),0)</f>
        <v>0</v>
      </c>
      <c r="Q1505" s="46">
        <f t="shared" si="134"/>
        <v>0</v>
      </c>
      <c r="R1505" s="46">
        <f t="shared" si="135"/>
        <v>0</v>
      </c>
      <c r="S1505" s="46" t="e">
        <f t="shared" si="136"/>
        <v>#VALUE!</v>
      </c>
      <c r="T1505" s="677">
        <f t="shared" si="137"/>
        <v>0</v>
      </c>
      <c r="U1505" s="80">
        <f>(IF(O1505="Stofire",(S1505*#REF!),0))+(IF(O1505="Fire Control",(S1505*$U$2),0))+(IF(O1505="Fire Tex",(S1505*$U$3),0))+(IF(O1505="WB7",(S1505*#REF!),0)+(IF(O1505="FX 2003",(S1505*$U$5),0)))</f>
        <v>0</v>
      </c>
      <c r="V1505" s="651">
        <f t="shared" si="138"/>
        <v>0</v>
      </c>
    </row>
    <row r="1506" spans="4:22" x14ac:dyDescent="0.25">
      <c r="D1506" s="118">
        <f>+CUBICACION!D1505</f>
        <v>0</v>
      </c>
      <c r="E1506" s="118">
        <f>+CUBICACION!F1505</f>
        <v>0</v>
      </c>
      <c r="F1506" s="118">
        <f>+CUBICACION!E1505</f>
        <v>0</v>
      </c>
      <c r="G1506" s="118">
        <v>12</v>
      </c>
      <c r="H1506" s="118">
        <v>2</v>
      </c>
      <c r="I1506" s="820">
        <v>26385</v>
      </c>
      <c r="J1506" s="118">
        <f>+CUBICACION!J1505</f>
        <v>0</v>
      </c>
      <c r="K1506" s="118">
        <v>4285</v>
      </c>
      <c r="L1506" s="118">
        <f>+CUBICACION!L1505</f>
        <v>0</v>
      </c>
      <c r="M1506" s="64">
        <f>+CUBICACION!M1505</f>
        <v>0</v>
      </c>
      <c r="N1506" s="824" t="str">
        <f>+CUBICACION!N1505</f>
        <v/>
      </c>
      <c r="O1506" s="675">
        <f>+CUBICACION!O1505</f>
        <v>0</v>
      </c>
      <c r="P1506" s="15">
        <f>IF(O1506="Fire Control",VLOOKUP(_xlfn.MINIFS('FIRE CONTROL'!$C$4:$C$37,'FIRE CONTROL'!$C$4:$C$37,"&gt;="&amp;M1506),'FIRE CONTROL'!$C$4:$G$37,IF(L1506="F-15",2,IF(L1506="F-30",3,IF(L1506="F-60",4,IF(L1506="F-90",5,0)))),0),0)+IF(AND(O1506="FIRE TEX 5062",OR(E1506="IN",E1506="C",E1506="Z",E1506="L"),J1506=3),VLOOKUP(_xlfn.MINIFS('FIRE TEX 5062'!$B$4:$B$34,'FIRE TEX 5062'!$B$4:$B$34,"&gt;="&amp;M1506),'FIRE TEX 5062'!$B$4:$F$34,IF(L1506="F-15",2,IF(L1506="F-30",3,IF(L1506="F-60",4,IF(L1506="F-90",5,0)))),0),0)+IF(AND(O1506="FIRE TEX 5062",OR(E1506="IN",E1506="C",E1506="Z",E1506="L"),J1506=4),VLOOKUP(_xlfn.MINIFS('FIRE TEX 5062'!$G$4:$G$34,'FIRE TEX 5062'!$G$4:$G$34,"&gt;="&amp;M1506),'FIRE TEX 5062'!$G$4:$K$34,IF(L1506="F-15",2,IF(L1506="F-30",3,IF(L1506="F-60",4,IF(L1506="F-90",5,0)))),0),0)+IF(AND(O1506="FIRE TEX 5062",E1506="CJ",J1506=3),VLOOKUP(_xlfn.MINIFS('FIRE TEX 5062'!$L$4:$L$34,'FIRE TEX 5062'!$L$4:$L$34,"&gt;="&amp;M1506),'FIRE TEX 5062'!$L$4:$P$34,IF(L1506="F-15",2,IF(L1506="F-30",3,IF(L1506="F-60",4,IF(L1506="F-90",5,0)))),0),0)+IF(AND(O1506="FIRE TEX 5062",E1506="CJ",J1506=4),VLOOKUP(_xlfn.MINIFS('FIRE TEX 5062'!$Q$3:$Q$34,'FIRE TEX 5062'!$Q$3:$Q$34,"&gt;="&amp;M1506),'FIRE TEX 5062'!$Q$3:$U$34,IF(L1506="F-15",2,IF(L1506="F-30",3,IF(L1506="F-60",4,IF(L1506="F-90",5,0)))),0),0)+IF(AND(O1506="FIRE TEX 5090",OR(E1506="IN",E1506="C",E1506="Z",E1506="L"),J1506=3),VLOOKUP(_xlfn.MINIFS('FIRE TEX 5090'!$B$5:$B$43,'FIRE TEX 5090'!$B$5:$B$43,"&gt;="&amp;M1506),'FIRE TEX 5090'!$B$5:$H$43,IF(L1506="F-15",2,IF(L1506="F-30",3,IF(L1506="F-60",4,IF(L1506="F-90",5,IF(L1506="F-120",6,IF(L1506="F-150",7,0)))))),0),0)+IF(AND(O1506="FIRE TEX 5090",OR(E1506="IN",E1506="C",E1506="Z",E1506="L"),J1506=4),VLOOKUP(_xlfn.MINIFS('FIRE TEX 5090'!$J$5:$J$43,'FIRE TEX 5090'!$J$5:$J$43,"&gt;="&amp;M1506),'FIRE TEX 5090'!$J$5:$P$43,IF(L1506="F-15",2,IF(L1506="F-30",3,IF(L1506="F-60",4,IF(L1506="F-90",5,IF(L1506="F-120",6,IF(L1506="F-150",7,0)))))),0),0)+IF(AND(O1506="FIRE TEX 5090",E1506="CJ",J1506=3),VLOOKUP(_xlfn.MINIFS('FIRE TEX 5090'!$R$5:$R$30,'FIRE TEX 5090'!$R$5:$R$30,"&gt;="&amp;M1506),'FIRE TEX 5090'!$R$5:$W$30,IF(L1506="F-15",2,IF(L1506="F-30",3,IF(L1506="F-60",4,IF(L1506="F-90",5,IF(L1506="F-120",6,IF(L1506="F-150",7,0)))))),0),0)+IF(AND(O1506="FIRE TEX 5090",E1506="CJ",J1506=4),VLOOKUP(_xlfn.MINIFS('FIRE TEX 5090'!$Y$5:$Y$39,'FIRE TEX 5090'!$Y$5:$Y$39,"&gt;="&amp;M1506),'FIRE TEX 5090'!$Y$5:$AD$39,IF(L1506="F-15",2,IF(L1506="F-30",3,IF(L1506="F-60",4,IF(L1506="F-90",5,IF(L1506="F-120",6,IF(L1506="F-150",7,0)))))),0),0)+IF(AND(O1506="FIRE TEX 5120",OR(E1506="IN",E1506="C",E1506="Z",E1506="L"),J1506=3),VLOOKUP(_xlfn.MINIFS('FIRE TEX 5120'!$B$5:$B$40,'FIRE TEX 5120'!$B$5:$B$40,"&gt;="&amp;M1506),'FIRE TEX 5120'!$B$5:$G$40,IF(L1506="F-15",2,IF(L1506="F-30",3,IF(L1506="F-60",4,IF(L1506="F-90",5,IF(L1506="F-120",6,0))))),0),0)+IF(AND(O1506="FIRE TEX 5120",OR(E1506="IN",E1506="C",E1506="Z",E1506="L"),J1506=4),VLOOKUP(_xlfn.MINIFS('FIRE TEX 5120'!$H$4:$H$40,'FIRE TEX 5120'!$H$4:$H$40,"&gt;="&amp;M1506),'FIRE TEX 5120'!$H$4:$M$40,IF(L1506="F-15",2,IF(L1506="F-30",3,IF(L1506="F-60",4,IF(L1506="F-90",5,IF(L1506="F-120",6,0))))),0),0)+IF(AND(O1506="FIRE TEX 5120",E1506="CJ"),VLOOKUP(_xlfn.MINIFS('FIRE TEX 5120'!$O$5:$O$40,'FIRE TEX 5120'!$O$5:$O$40,"&gt;="&amp;M1506),'FIRE TEX 5120'!$O$5:$T$40,IF(L1506="F-15",2,IF(L1506="F-30",3,IF(L1506="F-60",4,IF(L1506="F-90",5,IF(L1506="F-120",6,0))))),0),0)</f>
        <v>0</v>
      </c>
      <c r="Q1506" s="46">
        <f t="shared" si="134"/>
        <v>0</v>
      </c>
      <c r="R1506" s="46">
        <f t="shared" si="135"/>
        <v>0</v>
      </c>
      <c r="S1506" s="46" t="e">
        <f t="shared" si="136"/>
        <v>#VALUE!</v>
      </c>
      <c r="T1506" s="677">
        <f t="shared" si="137"/>
        <v>0</v>
      </c>
      <c r="U1506" s="80">
        <f>(IF(O1506="Stofire",(S1506*#REF!),0))+(IF(O1506="Fire Control",(S1506*$U$2),0))+(IF(O1506="Fire Tex",(S1506*$U$3),0))+(IF(O1506="WB7",(S1506*#REF!),0)+(IF(O1506="FX 2003",(S1506*$U$5),0)))</f>
        <v>0</v>
      </c>
      <c r="V1506" s="651">
        <f t="shared" si="138"/>
        <v>0</v>
      </c>
    </row>
    <row r="1507" spans="4:22" x14ac:dyDescent="0.25">
      <c r="D1507" s="118">
        <f>+CUBICACION!D1506</f>
        <v>0</v>
      </c>
      <c r="E1507" s="118">
        <f>+CUBICACION!F1506</f>
        <v>0</v>
      </c>
      <c r="F1507" s="118">
        <f>+CUBICACION!E1506</f>
        <v>0</v>
      </c>
      <c r="G1507" s="118">
        <v>12</v>
      </c>
      <c r="H1507" s="118">
        <v>2</v>
      </c>
      <c r="I1507" s="820">
        <v>26385</v>
      </c>
      <c r="J1507" s="118">
        <f>+CUBICACION!J1506</f>
        <v>0</v>
      </c>
      <c r="K1507" s="118">
        <v>4286</v>
      </c>
      <c r="L1507" s="118">
        <f>+CUBICACION!L1506</f>
        <v>0</v>
      </c>
      <c r="M1507" s="64">
        <f>+CUBICACION!M1506</f>
        <v>0</v>
      </c>
      <c r="N1507" s="824" t="str">
        <f>+CUBICACION!N1506</f>
        <v/>
      </c>
      <c r="O1507" s="675">
        <f>+CUBICACION!O1506</f>
        <v>0</v>
      </c>
      <c r="P1507" s="15">
        <f>IF(O1507="Fire Control",VLOOKUP(_xlfn.MINIFS('FIRE CONTROL'!$C$4:$C$37,'FIRE CONTROL'!$C$4:$C$37,"&gt;="&amp;M1507),'FIRE CONTROL'!$C$4:$G$37,IF(L1507="F-15",2,IF(L1507="F-30",3,IF(L1507="F-60",4,IF(L1507="F-90",5,0)))),0),0)+IF(AND(O1507="FIRE TEX 5062",OR(E1507="IN",E1507="C",E1507="Z",E1507="L"),J1507=3),VLOOKUP(_xlfn.MINIFS('FIRE TEX 5062'!$B$4:$B$34,'FIRE TEX 5062'!$B$4:$B$34,"&gt;="&amp;M1507),'FIRE TEX 5062'!$B$4:$F$34,IF(L1507="F-15",2,IF(L1507="F-30",3,IF(L1507="F-60",4,IF(L1507="F-90",5,0)))),0),0)+IF(AND(O1507="FIRE TEX 5062",OR(E1507="IN",E1507="C",E1507="Z",E1507="L"),J1507=4),VLOOKUP(_xlfn.MINIFS('FIRE TEX 5062'!$G$4:$G$34,'FIRE TEX 5062'!$G$4:$G$34,"&gt;="&amp;M1507),'FIRE TEX 5062'!$G$4:$K$34,IF(L1507="F-15",2,IF(L1507="F-30",3,IF(L1507="F-60",4,IF(L1507="F-90",5,0)))),0),0)+IF(AND(O1507="FIRE TEX 5062",E1507="CJ",J1507=3),VLOOKUP(_xlfn.MINIFS('FIRE TEX 5062'!$L$4:$L$34,'FIRE TEX 5062'!$L$4:$L$34,"&gt;="&amp;M1507),'FIRE TEX 5062'!$L$4:$P$34,IF(L1507="F-15",2,IF(L1507="F-30",3,IF(L1507="F-60",4,IF(L1507="F-90",5,0)))),0),0)+IF(AND(O1507="FIRE TEX 5062",E1507="CJ",J1507=4),VLOOKUP(_xlfn.MINIFS('FIRE TEX 5062'!$Q$3:$Q$34,'FIRE TEX 5062'!$Q$3:$Q$34,"&gt;="&amp;M1507),'FIRE TEX 5062'!$Q$3:$U$34,IF(L1507="F-15",2,IF(L1507="F-30",3,IF(L1507="F-60",4,IF(L1507="F-90",5,0)))),0),0)+IF(AND(O1507="FIRE TEX 5090",OR(E1507="IN",E1507="C",E1507="Z",E1507="L"),J1507=3),VLOOKUP(_xlfn.MINIFS('FIRE TEX 5090'!$B$5:$B$43,'FIRE TEX 5090'!$B$5:$B$43,"&gt;="&amp;M1507),'FIRE TEX 5090'!$B$5:$H$43,IF(L1507="F-15",2,IF(L1507="F-30",3,IF(L1507="F-60",4,IF(L1507="F-90",5,IF(L1507="F-120",6,IF(L1507="F-150",7,0)))))),0),0)+IF(AND(O1507="FIRE TEX 5090",OR(E1507="IN",E1507="C",E1507="Z",E1507="L"),J1507=4),VLOOKUP(_xlfn.MINIFS('FIRE TEX 5090'!$J$5:$J$43,'FIRE TEX 5090'!$J$5:$J$43,"&gt;="&amp;M1507),'FIRE TEX 5090'!$J$5:$P$43,IF(L1507="F-15",2,IF(L1507="F-30",3,IF(L1507="F-60",4,IF(L1507="F-90",5,IF(L1507="F-120",6,IF(L1507="F-150",7,0)))))),0),0)+IF(AND(O1507="FIRE TEX 5090",E1507="CJ",J1507=3),VLOOKUP(_xlfn.MINIFS('FIRE TEX 5090'!$R$5:$R$30,'FIRE TEX 5090'!$R$5:$R$30,"&gt;="&amp;M1507),'FIRE TEX 5090'!$R$5:$W$30,IF(L1507="F-15",2,IF(L1507="F-30",3,IF(L1507="F-60",4,IF(L1507="F-90",5,IF(L1507="F-120",6,IF(L1507="F-150",7,0)))))),0),0)+IF(AND(O1507="FIRE TEX 5090",E1507="CJ",J1507=4),VLOOKUP(_xlfn.MINIFS('FIRE TEX 5090'!$Y$5:$Y$39,'FIRE TEX 5090'!$Y$5:$Y$39,"&gt;="&amp;M1507),'FIRE TEX 5090'!$Y$5:$AD$39,IF(L1507="F-15",2,IF(L1507="F-30",3,IF(L1507="F-60",4,IF(L1507="F-90",5,IF(L1507="F-120",6,IF(L1507="F-150",7,0)))))),0),0)+IF(AND(O1507="FIRE TEX 5120",OR(E1507="IN",E1507="C",E1507="Z",E1507="L"),J1507=3),VLOOKUP(_xlfn.MINIFS('FIRE TEX 5120'!$B$5:$B$40,'FIRE TEX 5120'!$B$5:$B$40,"&gt;="&amp;M1507),'FIRE TEX 5120'!$B$5:$G$40,IF(L1507="F-15",2,IF(L1507="F-30",3,IF(L1507="F-60",4,IF(L1507="F-90",5,IF(L1507="F-120",6,0))))),0),0)+IF(AND(O1507="FIRE TEX 5120",OR(E1507="IN",E1507="C",E1507="Z",E1507="L"),J1507=4),VLOOKUP(_xlfn.MINIFS('FIRE TEX 5120'!$H$4:$H$40,'FIRE TEX 5120'!$H$4:$H$40,"&gt;="&amp;M1507),'FIRE TEX 5120'!$H$4:$M$40,IF(L1507="F-15",2,IF(L1507="F-30",3,IF(L1507="F-60",4,IF(L1507="F-90",5,IF(L1507="F-120",6,0))))),0),0)+IF(AND(O1507="FIRE TEX 5120",E1507="CJ"),VLOOKUP(_xlfn.MINIFS('FIRE TEX 5120'!$O$5:$O$40,'FIRE TEX 5120'!$O$5:$O$40,"&gt;="&amp;M1507),'FIRE TEX 5120'!$O$5:$T$40,IF(L1507="F-15",2,IF(L1507="F-30",3,IF(L1507="F-60",4,IF(L1507="F-90",5,IF(L1507="F-120",6,0))))),0),0)</f>
        <v>0</v>
      </c>
      <c r="Q1507" s="46">
        <f t="shared" si="134"/>
        <v>0</v>
      </c>
      <c r="R1507" s="46">
        <f t="shared" si="135"/>
        <v>0</v>
      </c>
      <c r="S1507" s="46" t="e">
        <f t="shared" si="136"/>
        <v>#VALUE!</v>
      </c>
      <c r="T1507" s="677">
        <f t="shared" si="137"/>
        <v>0</v>
      </c>
      <c r="U1507" s="80">
        <f>(IF(O1507="Stofire",(S1507*#REF!),0))+(IF(O1507="Fire Control",(S1507*$U$2),0))+(IF(O1507="Fire Tex",(S1507*$U$3),0))+(IF(O1507="WB7",(S1507*#REF!),0)+(IF(O1507="FX 2003",(S1507*$U$5),0)))</f>
        <v>0</v>
      </c>
      <c r="V1507" s="651">
        <f t="shared" si="138"/>
        <v>0</v>
      </c>
    </row>
    <row r="1508" spans="4:22" x14ac:dyDescent="0.25">
      <c r="D1508" s="118">
        <f>+CUBICACION!D1507</f>
        <v>0</v>
      </c>
      <c r="E1508" s="118">
        <f>+CUBICACION!F1507</f>
        <v>0</v>
      </c>
      <c r="F1508" s="118">
        <f>+CUBICACION!E1507</f>
        <v>0</v>
      </c>
      <c r="G1508" s="118">
        <v>12</v>
      </c>
      <c r="H1508" s="118">
        <v>2</v>
      </c>
      <c r="I1508" s="820">
        <v>26385</v>
      </c>
      <c r="J1508" s="118">
        <f>+CUBICACION!J1507</f>
        <v>0</v>
      </c>
      <c r="K1508" s="118">
        <v>4287</v>
      </c>
      <c r="L1508" s="118">
        <f>+CUBICACION!L1507</f>
        <v>0</v>
      </c>
      <c r="M1508" s="64">
        <f>+CUBICACION!M1507</f>
        <v>0</v>
      </c>
      <c r="N1508" s="824" t="str">
        <f>+CUBICACION!N1507</f>
        <v/>
      </c>
      <c r="O1508" s="675">
        <f>+CUBICACION!O1507</f>
        <v>0</v>
      </c>
      <c r="P1508" s="15">
        <f>IF(O1508="Fire Control",VLOOKUP(_xlfn.MINIFS('FIRE CONTROL'!$C$4:$C$37,'FIRE CONTROL'!$C$4:$C$37,"&gt;="&amp;M1508),'FIRE CONTROL'!$C$4:$G$37,IF(L1508="F-15",2,IF(L1508="F-30",3,IF(L1508="F-60",4,IF(L1508="F-90",5,0)))),0),0)+IF(AND(O1508="FIRE TEX 5062",OR(E1508="IN",E1508="C",E1508="Z",E1508="L"),J1508=3),VLOOKUP(_xlfn.MINIFS('FIRE TEX 5062'!$B$4:$B$34,'FIRE TEX 5062'!$B$4:$B$34,"&gt;="&amp;M1508),'FIRE TEX 5062'!$B$4:$F$34,IF(L1508="F-15",2,IF(L1508="F-30",3,IF(L1508="F-60",4,IF(L1508="F-90",5,0)))),0),0)+IF(AND(O1508="FIRE TEX 5062",OR(E1508="IN",E1508="C",E1508="Z",E1508="L"),J1508=4),VLOOKUP(_xlfn.MINIFS('FIRE TEX 5062'!$G$4:$G$34,'FIRE TEX 5062'!$G$4:$G$34,"&gt;="&amp;M1508),'FIRE TEX 5062'!$G$4:$K$34,IF(L1508="F-15",2,IF(L1508="F-30",3,IF(L1508="F-60",4,IF(L1508="F-90",5,0)))),0),0)+IF(AND(O1508="FIRE TEX 5062",E1508="CJ",J1508=3),VLOOKUP(_xlfn.MINIFS('FIRE TEX 5062'!$L$4:$L$34,'FIRE TEX 5062'!$L$4:$L$34,"&gt;="&amp;M1508),'FIRE TEX 5062'!$L$4:$P$34,IF(L1508="F-15",2,IF(L1508="F-30",3,IF(L1508="F-60",4,IF(L1508="F-90",5,0)))),0),0)+IF(AND(O1508="FIRE TEX 5062",E1508="CJ",J1508=4),VLOOKUP(_xlfn.MINIFS('FIRE TEX 5062'!$Q$3:$Q$34,'FIRE TEX 5062'!$Q$3:$Q$34,"&gt;="&amp;M1508),'FIRE TEX 5062'!$Q$3:$U$34,IF(L1508="F-15",2,IF(L1508="F-30",3,IF(L1508="F-60",4,IF(L1508="F-90",5,0)))),0),0)+IF(AND(O1508="FIRE TEX 5090",OR(E1508="IN",E1508="C",E1508="Z",E1508="L"),J1508=3),VLOOKUP(_xlfn.MINIFS('FIRE TEX 5090'!$B$5:$B$43,'FIRE TEX 5090'!$B$5:$B$43,"&gt;="&amp;M1508),'FIRE TEX 5090'!$B$5:$H$43,IF(L1508="F-15",2,IF(L1508="F-30",3,IF(L1508="F-60",4,IF(L1508="F-90",5,IF(L1508="F-120",6,IF(L1508="F-150",7,0)))))),0),0)+IF(AND(O1508="FIRE TEX 5090",OR(E1508="IN",E1508="C",E1508="Z",E1508="L"),J1508=4),VLOOKUP(_xlfn.MINIFS('FIRE TEX 5090'!$J$5:$J$43,'FIRE TEX 5090'!$J$5:$J$43,"&gt;="&amp;M1508),'FIRE TEX 5090'!$J$5:$P$43,IF(L1508="F-15",2,IF(L1508="F-30",3,IF(L1508="F-60",4,IF(L1508="F-90",5,IF(L1508="F-120",6,IF(L1508="F-150",7,0)))))),0),0)+IF(AND(O1508="FIRE TEX 5090",E1508="CJ",J1508=3),VLOOKUP(_xlfn.MINIFS('FIRE TEX 5090'!$R$5:$R$30,'FIRE TEX 5090'!$R$5:$R$30,"&gt;="&amp;M1508),'FIRE TEX 5090'!$R$5:$W$30,IF(L1508="F-15",2,IF(L1508="F-30",3,IF(L1508="F-60",4,IF(L1508="F-90",5,IF(L1508="F-120",6,IF(L1508="F-150",7,0)))))),0),0)+IF(AND(O1508="FIRE TEX 5090",E1508="CJ",J1508=4),VLOOKUP(_xlfn.MINIFS('FIRE TEX 5090'!$Y$5:$Y$39,'FIRE TEX 5090'!$Y$5:$Y$39,"&gt;="&amp;M1508),'FIRE TEX 5090'!$Y$5:$AD$39,IF(L1508="F-15",2,IF(L1508="F-30",3,IF(L1508="F-60",4,IF(L1508="F-90",5,IF(L1508="F-120",6,IF(L1508="F-150",7,0)))))),0),0)+IF(AND(O1508="FIRE TEX 5120",OR(E1508="IN",E1508="C",E1508="Z",E1508="L"),J1508=3),VLOOKUP(_xlfn.MINIFS('FIRE TEX 5120'!$B$5:$B$40,'FIRE TEX 5120'!$B$5:$B$40,"&gt;="&amp;M1508),'FIRE TEX 5120'!$B$5:$G$40,IF(L1508="F-15",2,IF(L1508="F-30",3,IF(L1508="F-60",4,IF(L1508="F-90",5,IF(L1508="F-120",6,0))))),0),0)+IF(AND(O1508="FIRE TEX 5120",OR(E1508="IN",E1508="C",E1508="Z",E1508="L"),J1508=4),VLOOKUP(_xlfn.MINIFS('FIRE TEX 5120'!$H$4:$H$40,'FIRE TEX 5120'!$H$4:$H$40,"&gt;="&amp;M1508),'FIRE TEX 5120'!$H$4:$M$40,IF(L1508="F-15",2,IF(L1508="F-30",3,IF(L1508="F-60",4,IF(L1508="F-90",5,IF(L1508="F-120",6,0))))),0),0)+IF(AND(O1508="FIRE TEX 5120",E1508="CJ"),VLOOKUP(_xlfn.MINIFS('FIRE TEX 5120'!$O$5:$O$40,'FIRE TEX 5120'!$O$5:$O$40,"&gt;="&amp;M1508),'FIRE TEX 5120'!$O$5:$T$40,IF(L1508="F-15",2,IF(L1508="F-30",3,IF(L1508="F-60",4,IF(L1508="F-90",5,IF(L1508="F-120",6,0))))),0),0)</f>
        <v>0</v>
      </c>
      <c r="Q1508" s="46">
        <f t="shared" si="134"/>
        <v>0</v>
      </c>
      <c r="R1508" s="46">
        <f t="shared" si="135"/>
        <v>0</v>
      </c>
      <c r="S1508" s="46" t="e">
        <f t="shared" si="136"/>
        <v>#VALUE!</v>
      </c>
      <c r="T1508" s="677">
        <f t="shared" si="137"/>
        <v>0</v>
      </c>
      <c r="U1508" s="80">
        <f>(IF(O1508="Stofire",(S1508*#REF!),0))+(IF(O1508="Fire Control",(S1508*$U$2),0))+(IF(O1508="Fire Tex",(S1508*$U$3),0))+(IF(O1508="WB7",(S1508*#REF!),0)+(IF(O1508="FX 2003",(S1508*$U$5),0)))</f>
        <v>0</v>
      </c>
      <c r="V1508" s="651">
        <f t="shared" si="138"/>
        <v>0</v>
      </c>
    </row>
    <row r="1509" spans="4:22" x14ac:dyDescent="0.25">
      <c r="D1509" s="118">
        <f>+CUBICACION!D1508</f>
        <v>0</v>
      </c>
      <c r="E1509" s="118">
        <f>+CUBICACION!F1508</f>
        <v>0</v>
      </c>
      <c r="F1509" s="118">
        <f>+CUBICACION!E1508</f>
        <v>0</v>
      </c>
      <c r="G1509" s="118">
        <v>12</v>
      </c>
      <c r="H1509" s="118">
        <v>2</v>
      </c>
      <c r="I1509" s="820">
        <v>26385</v>
      </c>
      <c r="J1509" s="118">
        <f>+CUBICACION!J1508</f>
        <v>0</v>
      </c>
      <c r="K1509" s="118">
        <v>4288</v>
      </c>
      <c r="L1509" s="118">
        <f>+CUBICACION!L1508</f>
        <v>0</v>
      </c>
      <c r="M1509" s="64">
        <f>+CUBICACION!M1508</f>
        <v>0</v>
      </c>
      <c r="N1509" s="824" t="str">
        <f>+CUBICACION!N1508</f>
        <v/>
      </c>
      <c r="O1509" s="675">
        <f>+CUBICACION!O1508</f>
        <v>0</v>
      </c>
      <c r="P1509" s="15">
        <f>IF(O1509="Fire Control",VLOOKUP(_xlfn.MINIFS('FIRE CONTROL'!$C$4:$C$37,'FIRE CONTROL'!$C$4:$C$37,"&gt;="&amp;M1509),'FIRE CONTROL'!$C$4:$G$37,IF(L1509="F-15",2,IF(L1509="F-30",3,IF(L1509="F-60",4,IF(L1509="F-90",5,0)))),0),0)+IF(AND(O1509="FIRE TEX 5062",OR(E1509="IN",E1509="C",E1509="Z",E1509="L"),J1509=3),VLOOKUP(_xlfn.MINIFS('FIRE TEX 5062'!$B$4:$B$34,'FIRE TEX 5062'!$B$4:$B$34,"&gt;="&amp;M1509),'FIRE TEX 5062'!$B$4:$F$34,IF(L1509="F-15",2,IF(L1509="F-30",3,IF(L1509="F-60",4,IF(L1509="F-90",5,0)))),0),0)+IF(AND(O1509="FIRE TEX 5062",OR(E1509="IN",E1509="C",E1509="Z",E1509="L"),J1509=4),VLOOKUP(_xlfn.MINIFS('FIRE TEX 5062'!$G$4:$G$34,'FIRE TEX 5062'!$G$4:$G$34,"&gt;="&amp;M1509),'FIRE TEX 5062'!$G$4:$K$34,IF(L1509="F-15",2,IF(L1509="F-30",3,IF(L1509="F-60",4,IF(L1509="F-90",5,0)))),0),0)+IF(AND(O1509="FIRE TEX 5062",E1509="CJ",J1509=3),VLOOKUP(_xlfn.MINIFS('FIRE TEX 5062'!$L$4:$L$34,'FIRE TEX 5062'!$L$4:$L$34,"&gt;="&amp;M1509),'FIRE TEX 5062'!$L$4:$P$34,IF(L1509="F-15",2,IF(L1509="F-30",3,IF(L1509="F-60",4,IF(L1509="F-90",5,0)))),0),0)+IF(AND(O1509="FIRE TEX 5062",E1509="CJ",J1509=4),VLOOKUP(_xlfn.MINIFS('FIRE TEX 5062'!$Q$3:$Q$34,'FIRE TEX 5062'!$Q$3:$Q$34,"&gt;="&amp;M1509),'FIRE TEX 5062'!$Q$3:$U$34,IF(L1509="F-15",2,IF(L1509="F-30",3,IF(L1509="F-60",4,IF(L1509="F-90",5,0)))),0),0)+IF(AND(O1509="FIRE TEX 5090",OR(E1509="IN",E1509="C",E1509="Z",E1509="L"),J1509=3),VLOOKUP(_xlfn.MINIFS('FIRE TEX 5090'!$B$5:$B$43,'FIRE TEX 5090'!$B$5:$B$43,"&gt;="&amp;M1509),'FIRE TEX 5090'!$B$5:$H$43,IF(L1509="F-15",2,IF(L1509="F-30",3,IF(L1509="F-60",4,IF(L1509="F-90",5,IF(L1509="F-120",6,IF(L1509="F-150",7,0)))))),0),0)+IF(AND(O1509="FIRE TEX 5090",OR(E1509="IN",E1509="C",E1509="Z",E1509="L"),J1509=4),VLOOKUP(_xlfn.MINIFS('FIRE TEX 5090'!$J$5:$J$43,'FIRE TEX 5090'!$J$5:$J$43,"&gt;="&amp;M1509),'FIRE TEX 5090'!$J$5:$P$43,IF(L1509="F-15",2,IF(L1509="F-30",3,IF(L1509="F-60",4,IF(L1509="F-90",5,IF(L1509="F-120",6,IF(L1509="F-150",7,0)))))),0),0)+IF(AND(O1509="FIRE TEX 5090",E1509="CJ",J1509=3),VLOOKUP(_xlfn.MINIFS('FIRE TEX 5090'!$R$5:$R$30,'FIRE TEX 5090'!$R$5:$R$30,"&gt;="&amp;M1509),'FIRE TEX 5090'!$R$5:$W$30,IF(L1509="F-15",2,IF(L1509="F-30",3,IF(L1509="F-60",4,IF(L1509="F-90",5,IF(L1509="F-120",6,IF(L1509="F-150",7,0)))))),0),0)+IF(AND(O1509="FIRE TEX 5090",E1509="CJ",J1509=4),VLOOKUP(_xlfn.MINIFS('FIRE TEX 5090'!$Y$5:$Y$39,'FIRE TEX 5090'!$Y$5:$Y$39,"&gt;="&amp;M1509),'FIRE TEX 5090'!$Y$5:$AD$39,IF(L1509="F-15",2,IF(L1509="F-30",3,IF(L1509="F-60",4,IF(L1509="F-90",5,IF(L1509="F-120",6,IF(L1509="F-150",7,0)))))),0),0)+IF(AND(O1509="FIRE TEX 5120",OR(E1509="IN",E1509="C",E1509="Z",E1509="L"),J1509=3),VLOOKUP(_xlfn.MINIFS('FIRE TEX 5120'!$B$5:$B$40,'FIRE TEX 5120'!$B$5:$B$40,"&gt;="&amp;M1509),'FIRE TEX 5120'!$B$5:$G$40,IF(L1509="F-15",2,IF(L1509="F-30",3,IF(L1509="F-60",4,IF(L1509="F-90",5,IF(L1509="F-120",6,0))))),0),0)+IF(AND(O1509="FIRE TEX 5120",OR(E1509="IN",E1509="C",E1509="Z",E1509="L"),J1509=4),VLOOKUP(_xlfn.MINIFS('FIRE TEX 5120'!$H$4:$H$40,'FIRE TEX 5120'!$H$4:$H$40,"&gt;="&amp;M1509),'FIRE TEX 5120'!$H$4:$M$40,IF(L1509="F-15",2,IF(L1509="F-30",3,IF(L1509="F-60",4,IF(L1509="F-90",5,IF(L1509="F-120",6,0))))),0),0)+IF(AND(O1509="FIRE TEX 5120",E1509="CJ"),VLOOKUP(_xlfn.MINIFS('FIRE TEX 5120'!$O$5:$O$40,'FIRE TEX 5120'!$O$5:$O$40,"&gt;="&amp;M1509),'FIRE TEX 5120'!$O$5:$T$40,IF(L1509="F-15",2,IF(L1509="F-30",3,IF(L1509="F-60",4,IF(L1509="F-90",5,IF(L1509="F-120",6,0))))),0),0)</f>
        <v>0</v>
      </c>
      <c r="Q1509" s="46">
        <f t="shared" si="134"/>
        <v>0</v>
      </c>
      <c r="R1509" s="46">
        <f t="shared" si="135"/>
        <v>0</v>
      </c>
      <c r="S1509" s="46" t="e">
        <f t="shared" si="136"/>
        <v>#VALUE!</v>
      </c>
      <c r="T1509" s="677">
        <f t="shared" si="137"/>
        <v>0</v>
      </c>
      <c r="U1509" s="80">
        <f>(IF(O1509="Stofire",(S1509*#REF!),0))+(IF(O1509="Fire Control",(S1509*$U$2),0))+(IF(O1509="Fire Tex",(S1509*$U$3),0))+(IF(O1509="WB7",(S1509*#REF!),0)+(IF(O1509="FX 2003",(S1509*$U$5),0)))</f>
        <v>0</v>
      </c>
      <c r="V1509" s="651">
        <f t="shared" si="138"/>
        <v>0</v>
      </c>
    </row>
    <row r="1510" spans="4:22" x14ac:dyDescent="0.25">
      <c r="D1510" s="118">
        <f>+CUBICACION!D1509</f>
        <v>0</v>
      </c>
      <c r="E1510" s="118">
        <f>+CUBICACION!F1509</f>
        <v>0</v>
      </c>
      <c r="F1510" s="118">
        <f>+CUBICACION!E1509</f>
        <v>0</v>
      </c>
      <c r="G1510" s="118">
        <v>12</v>
      </c>
      <c r="H1510" s="118">
        <v>2</v>
      </c>
      <c r="I1510" s="820">
        <v>26385</v>
      </c>
      <c r="J1510" s="118">
        <f>+CUBICACION!J1509</f>
        <v>0</v>
      </c>
      <c r="K1510" s="118">
        <v>4289</v>
      </c>
      <c r="L1510" s="118">
        <f>+CUBICACION!L1509</f>
        <v>0</v>
      </c>
      <c r="M1510" s="64">
        <f>+CUBICACION!M1509</f>
        <v>0</v>
      </c>
      <c r="N1510" s="824" t="str">
        <f>+CUBICACION!N1509</f>
        <v/>
      </c>
      <c r="O1510" s="675">
        <f>+CUBICACION!O1509</f>
        <v>0</v>
      </c>
      <c r="P1510" s="15">
        <f>IF(O1510="Fire Control",VLOOKUP(_xlfn.MINIFS('FIRE CONTROL'!$C$4:$C$37,'FIRE CONTROL'!$C$4:$C$37,"&gt;="&amp;M1510),'FIRE CONTROL'!$C$4:$G$37,IF(L1510="F-15",2,IF(L1510="F-30",3,IF(L1510="F-60",4,IF(L1510="F-90",5,0)))),0),0)+IF(AND(O1510="FIRE TEX 5062",OR(E1510="IN",E1510="C",E1510="Z",E1510="L"),J1510=3),VLOOKUP(_xlfn.MINIFS('FIRE TEX 5062'!$B$4:$B$34,'FIRE TEX 5062'!$B$4:$B$34,"&gt;="&amp;M1510),'FIRE TEX 5062'!$B$4:$F$34,IF(L1510="F-15",2,IF(L1510="F-30",3,IF(L1510="F-60",4,IF(L1510="F-90",5,0)))),0),0)+IF(AND(O1510="FIRE TEX 5062",OR(E1510="IN",E1510="C",E1510="Z",E1510="L"),J1510=4),VLOOKUP(_xlfn.MINIFS('FIRE TEX 5062'!$G$4:$G$34,'FIRE TEX 5062'!$G$4:$G$34,"&gt;="&amp;M1510),'FIRE TEX 5062'!$G$4:$K$34,IF(L1510="F-15",2,IF(L1510="F-30",3,IF(L1510="F-60",4,IF(L1510="F-90",5,0)))),0),0)+IF(AND(O1510="FIRE TEX 5062",E1510="CJ",J1510=3),VLOOKUP(_xlfn.MINIFS('FIRE TEX 5062'!$L$4:$L$34,'FIRE TEX 5062'!$L$4:$L$34,"&gt;="&amp;M1510),'FIRE TEX 5062'!$L$4:$P$34,IF(L1510="F-15",2,IF(L1510="F-30",3,IF(L1510="F-60",4,IF(L1510="F-90",5,0)))),0),0)+IF(AND(O1510="FIRE TEX 5062",E1510="CJ",J1510=4),VLOOKUP(_xlfn.MINIFS('FIRE TEX 5062'!$Q$3:$Q$34,'FIRE TEX 5062'!$Q$3:$Q$34,"&gt;="&amp;M1510),'FIRE TEX 5062'!$Q$3:$U$34,IF(L1510="F-15",2,IF(L1510="F-30",3,IF(L1510="F-60",4,IF(L1510="F-90",5,0)))),0),0)+IF(AND(O1510="FIRE TEX 5090",OR(E1510="IN",E1510="C",E1510="Z",E1510="L"),J1510=3),VLOOKUP(_xlfn.MINIFS('FIRE TEX 5090'!$B$5:$B$43,'FIRE TEX 5090'!$B$5:$B$43,"&gt;="&amp;M1510),'FIRE TEX 5090'!$B$5:$H$43,IF(L1510="F-15",2,IF(L1510="F-30",3,IF(L1510="F-60",4,IF(L1510="F-90",5,IF(L1510="F-120",6,IF(L1510="F-150",7,0)))))),0),0)+IF(AND(O1510="FIRE TEX 5090",OR(E1510="IN",E1510="C",E1510="Z",E1510="L"),J1510=4),VLOOKUP(_xlfn.MINIFS('FIRE TEX 5090'!$J$5:$J$43,'FIRE TEX 5090'!$J$5:$J$43,"&gt;="&amp;M1510),'FIRE TEX 5090'!$J$5:$P$43,IF(L1510="F-15",2,IF(L1510="F-30",3,IF(L1510="F-60",4,IF(L1510="F-90",5,IF(L1510="F-120",6,IF(L1510="F-150",7,0)))))),0),0)+IF(AND(O1510="FIRE TEX 5090",E1510="CJ",J1510=3),VLOOKUP(_xlfn.MINIFS('FIRE TEX 5090'!$R$5:$R$30,'FIRE TEX 5090'!$R$5:$R$30,"&gt;="&amp;M1510),'FIRE TEX 5090'!$R$5:$W$30,IF(L1510="F-15",2,IF(L1510="F-30",3,IF(L1510="F-60",4,IF(L1510="F-90",5,IF(L1510="F-120",6,IF(L1510="F-150",7,0)))))),0),0)+IF(AND(O1510="FIRE TEX 5090",E1510="CJ",J1510=4),VLOOKUP(_xlfn.MINIFS('FIRE TEX 5090'!$Y$5:$Y$39,'FIRE TEX 5090'!$Y$5:$Y$39,"&gt;="&amp;M1510),'FIRE TEX 5090'!$Y$5:$AD$39,IF(L1510="F-15",2,IF(L1510="F-30",3,IF(L1510="F-60",4,IF(L1510="F-90",5,IF(L1510="F-120",6,IF(L1510="F-150",7,0)))))),0),0)+IF(AND(O1510="FIRE TEX 5120",OR(E1510="IN",E1510="C",E1510="Z",E1510="L"),J1510=3),VLOOKUP(_xlfn.MINIFS('FIRE TEX 5120'!$B$5:$B$40,'FIRE TEX 5120'!$B$5:$B$40,"&gt;="&amp;M1510),'FIRE TEX 5120'!$B$5:$G$40,IF(L1510="F-15",2,IF(L1510="F-30",3,IF(L1510="F-60",4,IF(L1510="F-90",5,IF(L1510="F-120",6,0))))),0),0)+IF(AND(O1510="FIRE TEX 5120",OR(E1510="IN",E1510="C",E1510="Z",E1510="L"),J1510=4),VLOOKUP(_xlfn.MINIFS('FIRE TEX 5120'!$H$4:$H$40,'FIRE TEX 5120'!$H$4:$H$40,"&gt;="&amp;M1510),'FIRE TEX 5120'!$H$4:$M$40,IF(L1510="F-15",2,IF(L1510="F-30",3,IF(L1510="F-60",4,IF(L1510="F-90",5,IF(L1510="F-120",6,0))))),0),0)+IF(AND(O1510="FIRE TEX 5120",E1510="CJ"),VLOOKUP(_xlfn.MINIFS('FIRE TEX 5120'!$O$5:$O$40,'FIRE TEX 5120'!$O$5:$O$40,"&gt;="&amp;M1510),'FIRE TEX 5120'!$O$5:$T$40,IF(L1510="F-15",2,IF(L1510="F-30",3,IF(L1510="F-60",4,IF(L1510="F-90",5,IF(L1510="F-120",6,0))))),0),0)</f>
        <v>0</v>
      </c>
      <c r="Q1510" s="46">
        <f t="shared" si="134"/>
        <v>0</v>
      </c>
      <c r="R1510" s="46">
        <f t="shared" si="135"/>
        <v>0</v>
      </c>
      <c r="S1510" s="46" t="e">
        <f t="shared" si="136"/>
        <v>#VALUE!</v>
      </c>
      <c r="T1510" s="677">
        <f t="shared" si="137"/>
        <v>0</v>
      </c>
      <c r="U1510" s="80">
        <f>(IF(O1510="Stofire",(S1510*#REF!),0))+(IF(O1510="Fire Control",(S1510*$U$2),0))+(IF(O1510="Fire Tex",(S1510*$U$3),0))+(IF(O1510="WB7",(S1510*#REF!),0)+(IF(O1510="FX 2003",(S1510*$U$5),0)))</f>
        <v>0</v>
      </c>
      <c r="V1510" s="651">
        <f t="shared" si="138"/>
        <v>0</v>
      </c>
    </row>
    <row r="1511" spans="4:22" x14ac:dyDescent="0.25">
      <c r="D1511" s="118">
        <f>+CUBICACION!D1510</f>
        <v>0</v>
      </c>
      <c r="E1511" s="118">
        <f>+CUBICACION!F1510</f>
        <v>0</v>
      </c>
      <c r="F1511" s="118">
        <f>+CUBICACION!E1510</f>
        <v>0</v>
      </c>
      <c r="G1511" s="118">
        <v>12</v>
      </c>
      <c r="H1511" s="118">
        <v>2</v>
      </c>
      <c r="I1511" s="820">
        <v>26385</v>
      </c>
      <c r="J1511" s="118">
        <f>+CUBICACION!J1510</f>
        <v>0</v>
      </c>
      <c r="K1511" s="118">
        <v>4290</v>
      </c>
      <c r="L1511" s="118">
        <f>+CUBICACION!L1510</f>
        <v>0</v>
      </c>
      <c r="M1511" s="64">
        <f>+CUBICACION!M1510</f>
        <v>0</v>
      </c>
      <c r="N1511" s="824" t="str">
        <f>+CUBICACION!N1510</f>
        <v/>
      </c>
      <c r="O1511" s="675">
        <f>+CUBICACION!O1510</f>
        <v>0</v>
      </c>
      <c r="P1511" s="15">
        <f>IF(O1511="Fire Control",VLOOKUP(_xlfn.MINIFS('FIRE CONTROL'!$C$4:$C$37,'FIRE CONTROL'!$C$4:$C$37,"&gt;="&amp;M1511),'FIRE CONTROL'!$C$4:$G$37,IF(L1511="F-15",2,IF(L1511="F-30",3,IF(L1511="F-60",4,IF(L1511="F-90",5,0)))),0),0)+IF(AND(O1511="FIRE TEX 5062",OR(E1511="IN",E1511="C",E1511="Z",E1511="L"),J1511=3),VLOOKUP(_xlfn.MINIFS('FIRE TEX 5062'!$B$4:$B$34,'FIRE TEX 5062'!$B$4:$B$34,"&gt;="&amp;M1511),'FIRE TEX 5062'!$B$4:$F$34,IF(L1511="F-15",2,IF(L1511="F-30",3,IF(L1511="F-60",4,IF(L1511="F-90",5,0)))),0),0)+IF(AND(O1511="FIRE TEX 5062",OR(E1511="IN",E1511="C",E1511="Z",E1511="L"),J1511=4),VLOOKUP(_xlfn.MINIFS('FIRE TEX 5062'!$G$4:$G$34,'FIRE TEX 5062'!$G$4:$G$34,"&gt;="&amp;M1511),'FIRE TEX 5062'!$G$4:$K$34,IF(L1511="F-15",2,IF(L1511="F-30",3,IF(L1511="F-60",4,IF(L1511="F-90",5,0)))),0),0)+IF(AND(O1511="FIRE TEX 5062",E1511="CJ",J1511=3),VLOOKUP(_xlfn.MINIFS('FIRE TEX 5062'!$L$4:$L$34,'FIRE TEX 5062'!$L$4:$L$34,"&gt;="&amp;M1511),'FIRE TEX 5062'!$L$4:$P$34,IF(L1511="F-15",2,IF(L1511="F-30",3,IF(L1511="F-60",4,IF(L1511="F-90",5,0)))),0),0)+IF(AND(O1511="FIRE TEX 5062",E1511="CJ",J1511=4),VLOOKUP(_xlfn.MINIFS('FIRE TEX 5062'!$Q$3:$Q$34,'FIRE TEX 5062'!$Q$3:$Q$34,"&gt;="&amp;M1511),'FIRE TEX 5062'!$Q$3:$U$34,IF(L1511="F-15",2,IF(L1511="F-30",3,IF(L1511="F-60",4,IF(L1511="F-90",5,0)))),0),0)+IF(AND(O1511="FIRE TEX 5090",OR(E1511="IN",E1511="C",E1511="Z",E1511="L"),J1511=3),VLOOKUP(_xlfn.MINIFS('FIRE TEX 5090'!$B$5:$B$43,'FIRE TEX 5090'!$B$5:$B$43,"&gt;="&amp;M1511),'FIRE TEX 5090'!$B$5:$H$43,IF(L1511="F-15",2,IF(L1511="F-30",3,IF(L1511="F-60",4,IF(L1511="F-90",5,IF(L1511="F-120",6,IF(L1511="F-150",7,0)))))),0),0)+IF(AND(O1511="FIRE TEX 5090",OR(E1511="IN",E1511="C",E1511="Z",E1511="L"),J1511=4),VLOOKUP(_xlfn.MINIFS('FIRE TEX 5090'!$J$5:$J$43,'FIRE TEX 5090'!$J$5:$J$43,"&gt;="&amp;M1511),'FIRE TEX 5090'!$J$5:$P$43,IF(L1511="F-15",2,IF(L1511="F-30",3,IF(L1511="F-60",4,IF(L1511="F-90",5,IF(L1511="F-120",6,IF(L1511="F-150",7,0)))))),0),0)+IF(AND(O1511="FIRE TEX 5090",E1511="CJ",J1511=3),VLOOKUP(_xlfn.MINIFS('FIRE TEX 5090'!$R$5:$R$30,'FIRE TEX 5090'!$R$5:$R$30,"&gt;="&amp;M1511),'FIRE TEX 5090'!$R$5:$W$30,IF(L1511="F-15",2,IF(L1511="F-30",3,IF(L1511="F-60",4,IF(L1511="F-90",5,IF(L1511="F-120",6,IF(L1511="F-150",7,0)))))),0),0)+IF(AND(O1511="FIRE TEX 5090",E1511="CJ",J1511=4),VLOOKUP(_xlfn.MINIFS('FIRE TEX 5090'!$Y$5:$Y$39,'FIRE TEX 5090'!$Y$5:$Y$39,"&gt;="&amp;M1511),'FIRE TEX 5090'!$Y$5:$AD$39,IF(L1511="F-15",2,IF(L1511="F-30",3,IF(L1511="F-60",4,IF(L1511="F-90",5,IF(L1511="F-120",6,IF(L1511="F-150",7,0)))))),0),0)+IF(AND(O1511="FIRE TEX 5120",OR(E1511="IN",E1511="C",E1511="Z",E1511="L"),J1511=3),VLOOKUP(_xlfn.MINIFS('FIRE TEX 5120'!$B$5:$B$40,'FIRE TEX 5120'!$B$5:$B$40,"&gt;="&amp;M1511),'FIRE TEX 5120'!$B$5:$G$40,IF(L1511="F-15",2,IF(L1511="F-30",3,IF(L1511="F-60",4,IF(L1511="F-90",5,IF(L1511="F-120",6,0))))),0),0)+IF(AND(O1511="FIRE TEX 5120",OR(E1511="IN",E1511="C",E1511="Z",E1511="L"),J1511=4),VLOOKUP(_xlfn.MINIFS('FIRE TEX 5120'!$H$4:$H$40,'FIRE TEX 5120'!$H$4:$H$40,"&gt;="&amp;M1511),'FIRE TEX 5120'!$H$4:$M$40,IF(L1511="F-15",2,IF(L1511="F-30",3,IF(L1511="F-60",4,IF(L1511="F-90",5,IF(L1511="F-120",6,0))))),0),0)+IF(AND(O1511="FIRE TEX 5120",E1511="CJ"),VLOOKUP(_xlfn.MINIFS('FIRE TEX 5120'!$O$5:$O$40,'FIRE TEX 5120'!$O$5:$O$40,"&gt;="&amp;M1511),'FIRE TEX 5120'!$O$5:$T$40,IF(L1511="F-15",2,IF(L1511="F-30",3,IF(L1511="F-60",4,IF(L1511="F-90",5,IF(L1511="F-120",6,0))))),0),0)</f>
        <v>0</v>
      </c>
      <c r="Q1511" s="46">
        <f t="shared" si="134"/>
        <v>0</v>
      </c>
      <c r="R1511" s="46">
        <f t="shared" si="135"/>
        <v>0</v>
      </c>
      <c r="S1511" s="46" t="e">
        <f t="shared" si="136"/>
        <v>#VALUE!</v>
      </c>
      <c r="T1511" s="677">
        <f t="shared" si="137"/>
        <v>0</v>
      </c>
      <c r="U1511" s="80">
        <f>(IF(O1511="Stofire",(S1511*#REF!),0))+(IF(O1511="Fire Control",(S1511*$U$2),0))+(IF(O1511="Fire Tex",(S1511*$U$3),0))+(IF(O1511="WB7",(S1511*#REF!),0)+(IF(O1511="FX 2003",(S1511*$U$5),0)))</f>
        <v>0</v>
      </c>
      <c r="V1511" s="651">
        <f t="shared" si="138"/>
        <v>0</v>
      </c>
    </row>
    <row r="1512" spans="4:22" x14ac:dyDescent="0.25">
      <c r="D1512" s="118">
        <f>+CUBICACION!D1511</f>
        <v>0</v>
      </c>
      <c r="E1512" s="118">
        <f>+CUBICACION!F1511</f>
        <v>0</v>
      </c>
      <c r="F1512" s="118">
        <f>+CUBICACION!E1511</f>
        <v>0</v>
      </c>
      <c r="G1512" s="118">
        <v>12</v>
      </c>
      <c r="H1512" s="118">
        <v>2</v>
      </c>
      <c r="I1512" s="820">
        <v>26385</v>
      </c>
      <c r="J1512" s="118">
        <f>+CUBICACION!J1511</f>
        <v>0</v>
      </c>
      <c r="K1512" s="118">
        <v>4291</v>
      </c>
      <c r="L1512" s="118">
        <f>+CUBICACION!L1511</f>
        <v>0</v>
      </c>
      <c r="M1512" s="64">
        <f>+CUBICACION!M1511</f>
        <v>0</v>
      </c>
      <c r="N1512" s="824" t="str">
        <f>+CUBICACION!N1511</f>
        <v/>
      </c>
      <c r="O1512" s="675">
        <f>+CUBICACION!O1511</f>
        <v>0</v>
      </c>
      <c r="P1512" s="15">
        <f>IF(O1512="Fire Control",VLOOKUP(_xlfn.MINIFS('FIRE CONTROL'!$C$4:$C$37,'FIRE CONTROL'!$C$4:$C$37,"&gt;="&amp;M1512),'FIRE CONTROL'!$C$4:$G$37,IF(L1512="F-15",2,IF(L1512="F-30",3,IF(L1512="F-60",4,IF(L1512="F-90",5,0)))),0),0)+IF(AND(O1512="FIRE TEX 5062",OR(E1512="IN",E1512="C",E1512="Z",E1512="L"),J1512=3),VLOOKUP(_xlfn.MINIFS('FIRE TEX 5062'!$B$4:$B$34,'FIRE TEX 5062'!$B$4:$B$34,"&gt;="&amp;M1512),'FIRE TEX 5062'!$B$4:$F$34,IF(L1512="F-15",2,IF(L1512="F-30",3,IF(L1512="F-60",4,IF(L1512="F-90",5,0)))),0),0)+IF(AND(O1512="FIRE TEX 5062",OR(E1512="IN",E1512="C",E1512="Z",E1512="L"),J1512=4),VLOOKUP(_xlfn.MINIFS('FIRE TEX 5062'!$G$4:$G$34,'FIRE TEX 5062'!$G$4:$G$34,"&gt;="&amp;M1512),'FIRE TEX 5062'!$G$4:$K$34,IF(L1512="F-15",2,IF(L1512="F-30",3,IF(L1512="F-60",4,IF(L1512="F-90",5,0)))),0),0)+IF(AND(O1512="FIRE TEX 5062",E1512="CJ",J1512=3),VLOOKUP(_xlfn.MINIFS('FIRE TEX 5062'!$L$4:$L$34,'FIRE TEX 5062'!$L$4:$L$34,"&gt;="&amp;M1512),'FIRE TEX 5062'!$L$4:$P$34,IF(L1512="F-15",2,IF(L1512="F-30",3,IF(L1512="F-60",4,IF(L1512="F-90",5,0)))),0),0)+IF(AND(O1512="FIRE TEX 5062",E1512="CJ",J1512=4),VLOOKUP(_xlfn.MINIFS('FIRE TEX 5062'!$Q$3:$Q$34,'FIRE TEX 5062'!$Q$3:$Q$34,"&gt;="&amp;M1512),'FIRE TEX 5062'!$Q$3:$U$34,IF(L1512="F-15",2,IF(L1512="F-30",3,IF(L1512="F-60",4,IF(L1512="F-90",5,0)))),0),0)+IF(AND(O1512="FIRE TEX 5090",OR(E1512="IN",E1512="C",E1512="Z",E1512="L"),J1512=3),VLOOKUP(_xlfn.MINIFS('FIRE TEX 5090'!$B$5:$B$43,'FIRE TEX 5090'!$B$5:$B$43,"&gt;="&amp;M1512),'FIRE TEX 5090'!$B$5:$H$43,IF(L1512="F-15",2,IF(L1512="F-30",3,IF(L1512="F-60",4,IF(L1512="F-90",5,IF(L1512="F-120",6,IF(L1512="F-150",7,0)))))),0),0)+IF(AND(O1512="FIRE TEX 5090",OR(E1512="IN",E1512="C",E1512="Z",E1512="L"),J1512=4),VLOOKUP(_xlfn.MINIFS('FIRE TEX 5090'!$J$5:$J$43,'FIRE TEX 5090'!$J$5:$J$43,"&gt;="&amp;M1512),'FIRE TEX 5090'!$J$5:$P$43,IF(L1512="F-15",2,IF(L1512="F-30",3,IF(L1512="F-60",4,IF(L1512="F-90",5,IF(L1512="F-120",6,IF(L1512="F-150",7,0)))))),0),0)+IF(AND(O1512="FIRE TEX 5090",E1512="CJ",J1512=3),VLOOKUP(_xlfn.MINIFS('FIRE TEX 5090'!$R$5:$R$30,'FIRE TEX 5090'!$R$5:$R$30,"&gt;="&amp;M1512),'FIRE TEX 5090'!$R$5:$W$30,IF(L1512="F-15",2,IF(L1512="F-30",3,IF(L1512="F-60",4,IF(L1512="F-90",5,IF(L1512="F-120",6,IF(L1512="F-150",7,0)))))),0),0)+IF(AND(O1512="FIRE TEX 5090",E1512="CJ",J1512=4),VLOOKUP(_xlfn.MINIFS('FIRE TEX 5090'!$Y$5:$Y$39,'FIRE TEX 5090'!$Y$5:$Y$39,"&gt;="&amp;M1512),'FIRE TEX 5090'!$Y$5:$AD$39,IF(L1512="F-15",2,IF(L1512="F-30",3,IF(L1512="F-60",4,IF(L1512="F-90",5,IF(L1512="F-120",6,IF(L1512="F-150",7,0)))))),0),0)+IF(AND(O1512="FIRE TEX 5120",OR(E1512="IN",E1512="C",E1512="Z",E1512="L"),J1512=3),VLOOKUP(_xlfn.MINIFS('FIRE TEX 5120'!$B$5:$B$40,'FIRE TEX 5120'!$B$5:$B$40,"&gt;="&amp;M1512),'FIRE TEX 5120'!$B$5:$G$40,IF(L1512="F-15",2,IF(L1512="F-30",3,IF(L1512="F-60",4,IF(L1512="F-90",5,IF(L1512="F-120",6,0))))),0),0)+IF(AND(O1512="FIRE TEX 5120",OR(E1512="IN",E1512="C",E1512="Z",E1512="L"),J1512=4),VLOOKUP(_xlfn.MINIFS('FIRE TEX 5120'!$H$4:$H$40,'FIRE TEX 5120'!$H$4:$H$40,"&gt;="&amp;M1512),'FIRE TEX 5120'!$H$4:$M$40,IF(L1512="F-15",2,IF(L1512="F-30",3,IF(L1512="F-60",4,IF(L1512="F-90",5,IF(L1512="F-120",6,0))))),0),0)+IF(AND(O1512="FIRE TEX 5120",E1512="CJ"),VLOOKUP(_xlfn.MINIFS('FIRE TEX 5120'!$O$5:$O$40,'FIRE TEX 5120'!$O$5:$O$40,"&gt;="&amp;M1512),'FIRE TEX 5120'!$O$5:$T$40,IF(L1512="F-15",2,IF(L1512="F-30",3,IF(L1512="F-60",4,IF(L1512="F-90",5,IF(L1512="F-120",6,0))))),0),0)</f>
        <v>0</v>
      </c>
      <c r="Q1512" s="46">
        <f t="shared" si="134"/>
        <v>0</v>
      </c>
      <c r="R1512" s="46">
        <f t="shared" si="135"/>
        <v>0</v>
      </c>
      <c r="S1512" s="46" t="e">
        <f t="shared" si="136"/>
        <v>#VALUE!</v>
      </c>
      <c r="T1512" s="677">
        <f t="shared" si="137"/>
        <v>0</v>
      </c>
      <c r="U1512" s="80">
        <f>(IF(O1512="Stofire",(S1512*#REF!),0))+(IF(O1512="Fire Control",(S1512*$U$2),0))+(IF(O1512="Fire Tex",(S1512*$U$3),0))+(IF(O1512="WB7",(S1512*#REF!),0)+(IF(O1512="FX 2003",(S1512*$U$5),0)))</f>
        <v>0</v>
      </c>
      <c r="V1512" s="651">
        <f t="shared" si="138"/>
        <v>0</v>
      </c>
    </row>
    <row r="1513" spans="4:22" x14ac:dyDescent="0.25">
      <c r="D1513" s="118">
        <f>+CUBICACION!D1512</f>
        <v>0</v>
      </c>
      <c r="E1513" s="118">
        <f>+CUBICACION!F1512</f>
        <v>0</v>
      </c>
      <c r="F1513" s="118">
        <f>+CUBICACION!E1512</f>
        <v>0</v>
      </c>
      <c r="G1513" s="118">
        <v>12</v>
      </c>
      <c r="H1513" s="118">
        <v>2</v>
      </c>
      <c r="I1513" s="820">
        <v>26385</v>
      </c>
      <c r="J1513" s="118">
        <f>+CUBICACION!J1512</f>
        <v>0</v>
      </c>
      <c r="K1513" s="118">
        <v>4292</v>
      </c>
      <c r="L1513" s="118">
        <f>+CUBICACION!L1512</f>
        <v>0</v>
      </c>
      <c r="M1513" s="64">
        <f>+CUBICACION!M1512</f>
        <v>0</v>
      </c>
      <c r="N1513" s="824" t="str">
        <f>+CUBICACION!N1512</f>
        <v/>
      </c>
      <c r="O1513" s="675">
        <f>+CUBICACION!O1512</f>
        <v>0</v>
      </c>
      <c r="P1513" s="15">
        <f>IF(O1513="Fire Control",VLOOKUP(_xlfn.MINIFS('FIRE CONTROL'!$C$4:$C$37,'FIRE CONTROL'!$C$4:$C$37,"&gt;="&amp;M1513),'FIRE CONTROL'!$C$4:$G$37,IF(L1513="F-15",2,IF(L1513="F-30",3,IF(L1513="F-60",4,IF(L1513="F-90",5,0)))),0),0)+IF(AND(O1513="FIRE TEX 5062",OR(E1513="IN",E1513="C",E1513="Z",E1513="L"),J1513=3),VLOOKUP(_xlfn.MINIFS('FIRE TEX 5062'!$B$4:$B$34,'FIRE TEX 5062'!$B$4:$B$34,"&gt;="&amp;M1513),'FIRE TEX 5062'!$B$4:$F$34,IF(L1513="F-15",2,IF(L1513="F-30",3,IF(L1513="F-60",4,IF(L1513="F-90",5,0)))),0),0)+IF(AND(O1513="FIRE TEX 5062",OR(E1513="IN",E1513="C",E1513="Z",E1513="L"),J1513=4),VLOOKUP(_xlfn.MINIFS('FIRE TEX 5062'!$G$4:$G$34,'FIRE TEX 5062'!$G$4:$G$34,"&gt;="&amp;M1513),'FIRE TEX 5062'!$G$4:$K$34,IF(L1513="F-15",2,IF(L1513="F-30",3,IF(L1513="F-60",4,IF(L1513="F-90",5,0)))),0),0)+IF(AND(O1513="FIRE TEX 5062",E1513="CJ",J1513=3),VLOOKUP(_xlfn.MINIFS('FIRE TEX 5062'!$L$4:$L$34,'FIRE TEX 5062'!$L$4:$L$34,"&gt;="&amp;M1513),'FIRE TEX 5062'!$L$4:$P$34,IF(L1513="F-15",2,IF(L1513="F-30",3,IF(L1513="F-60",4,IF(L1513="F-90",5,0)))),0),0)+IF(AND(O1513="FIRE TEX 5062",E1513="CJ",J1513=4),VLOOKUP(_xlfn.MINIFS('FIRE TEX 5062'!$Q$3:$Q$34,'FIRE TEX 5062'!$Q$3:$Q$34,"&gt;="&amp;M1513),'FIRE TEX 5062'!$Q$3:$U$34,IF(L1513="F-15",2,IF(L1513="F-30",3,IF(L1513="F-60",4,IF(L1513="F-90",5,0)))),0),0)+IF(AND(O1513="FIRE TEX 5090",OR(E1513="IN",E1513="C",E1513="Z",E1513="L"),J1513=3),VLOOKUP(_xlfn.MINIFS('FIRE TEX 5090'!$B$5:$B$43,'FIRE TEX 5090'!$B$5:$B$43,"&gt;="&amp;M1513),'FIRE TEX 5090'!$B$5:$H$43,IF(L1513="F-15",2,IF(L1513="F-30",3,IF(L1513="F-60",4,IF(L1513="F-90",5,IF(L1513="F-120",6,IF(L1513="F-150",7,0)))))),0),0)+IF(AND(O1513="FIRE TEX 5090",OR(E1513="IN",E1513="C",E1513="Z",E1513="L"),J1513=4),VLOOKUP(_xlfn.MINIFS('FIRE TEX 5090'!$J$5:$J$43,'FIRE TEX 5090'!$J$5:$J$43,"&gt;="&amp;M1513),'FIRE TEX 5090'!$J$5:$P$43,IF(L1513="F-15",2,IF(L1513="F-30",3,IF(L1513="F-60",4,IF(L1513="F-90",5,IF(L1513="F-120",6,IF(L1513="F-150",7,0)))))),0),0)+IF(AND(O1513="FIRE TEX 5090",E1513="CJ",J1513=3),VLOOKUP(_xlfn.MINIFS('FIRE TEX 5090'!$R$5:$R$30,'FIRE TEX 5090'!$R$5:$R$30,"&gt;="&amp;M1513),'FIRE TEX 5090'!$R$5:$W$30,IF(L1513="F-15",2,IF(L1513="F-30",3,IF(L1513="F-60",4,IF(L1513="F-90",5,IF(L1513="F-120",6,IF(L1513="F-150",7,0)))))),0),0)+IF(AND(O1513="FIRE TEX 5090",E1513="CJ",J1513=4),VLOOKUP(_xlfn.MINIFS('FIRE TEX 5090'!$Y$5:$Y$39,'FIRE TEX 5090'!$Y$5:$Y$39,"&gt;="&amp;M1513),'FIRE TEX 5090'!$Y$5:$AD$39,IF(L1513="F-15",2,IF(L1513="F-30",3,IF(L1513="F-60",4,IF(L1513="F-90",5,IF(L1513="F-120",6,IF(L1513="F-150",7,0)))))),0),0)+IF(AND(O1513="FIRE TEX 5120",OR(E1513="IN",E1513="C",E1513="Z",E1513="L"),J1513=3),VLOOKUP(_xlfn.MINIFS('FIRE TEX 5120'!$B$5:$B$40,'FIRE TEX 5120'!$B$5:$B$40,"&gt;="&amp;M1513),'FIRE TEX 5120'!$B$5:$G$40,IF(L1513="F-15",2,IF(L1513="F-30",3,IF(L1513="F-60",4,IF(L1513="F-90",5,IF(L1513="F-120",6,0))))),0),0)+IF(AND(O1513="FIRE TEX 5120",OR(E1513="IN",E1513="C",E1513="Z",E1513="L"),J1513=4),VLOOKUP(_xlfn.MINIFS('FIRE TEX 5120'!$H$4:$H$40,'FIRE TEX 5120'!$H$4:$H$40,"&gt;="&amp;M1513),'FIRE TEX 5120'!$H$4:$M$40,IF(L1513="F-15",2,IF(L1513="F-30",3,IF(L1513="F-60",4,IF(L1513="F-90",5,IF(L1513="F-120",6,0))))),0),0)+IF(AND(O1513="FIRE TEX 5120",E1513="CJ"),VLOOKUP(_xlfn.MINIFS('FIRE TEX 5120'!$O$5:$O$40,'FIRE TEX 5120'!$O$5:$O$40,"&gt;="&amp;M1513),'FIRE TEX 5120'!$O$5:$T$40,IF(L1513="F-15",2,IF(L1513="F-30",3,IF(L1513="F-60",4,IF(L1513="F-90",5,IF(L1513="F-120",6,0))))),0),0)</f>
        <v>0</v>
      </c>
      <c r="Q1513" s="46">
        <f t="shared" si="134"/>
        <v>0</v>
      </c>
      <c r="R1513" s="46">
        <f t="shared" si="135"/>
        <v>0</v>
      </c>
      <c r="S1513" s="46" t="e">
        <f t="shared" si="136"/>
        <v>#VALUE!</v>
      </c>
      <c r="T1513" s="677">
        <f t="shared" si="137"/>
        <v>0</v>
      </c>
      <c r="U1513" s="80">
        <f>(IF(O1513="Stofire",(S1513*#REF!),0))+(IF(O1513="Fire Control",(S1513*$U$2),0))+(IF(O1513="Fire Tex",(S1513*$U$3),0))+(IF(O1513="WB7",(S1513*#REF!),0)+(IF(O1513="FX 2003",(S1513*$U$5),0)))</f>
        <v>0</v>
      </c>
      <c r="V1513" s="651">
        <f t="shared" si="138"/>
        <v>0</v>
      </c>
    </row>
    <row r="1514" spans="4:22" x14ac:dyDescent="0.25">
      <c r="D1514" s="118">
        <f>+CUBICACION!D1513</f>
        <v>0</v>
      </c>
      <c r="E1514" s="118">
        <f>+CUBICACION!F1513</f>
        <v>0</v>
      </c>
      <c r="F1514" s="118">
        <f>+CUBICACION!E1513</f>
        <v>0</v>
      </c>
      <c r="G1514" s="118">
        <v>12</v>
      </c>
      <c r="H1514" s="118">
        <v>2</v>
      </c>
      <c r="I1514" s="820">
        <v>26385</v>
      </c>
      <c r="J1514" s="118">
        <f>+CUBICACION!J1513</f>
        <v>0</v>
      </c>
      <c r="K1514" s="118">
        <v>4293</v>
      </c>
      <c r="L1514" s="118">
        <f>+CUBICACION!L1513</f>
        <v>0</v>
      </c>
      <c r="M1514" s="64">
        <f>+CUBICACION!M1513</f>
        <v>0</v>
      </c>
      <c r="N1514" s="824" t="str">
        <f>+CUBICACION!N1513</f>
        <v/>
      </c>
      <c r="O1514" s="675">
        <f>+CUBICACION!O1513</f>
        <v>0</v>
      </c>
      <c r="P1514" s="15">
        <f>IF(O1514="Fire Control",VLOOKUP(_xlfn.MINIFS('FIRE CONTROL'!$C$4:$C$37,'FIRE CONTROL'!$C$4:$C$37,"&gt;="&amp;M1514),'FIRE CONTROL'!$C$4:$G$37,IF(L1514="F-15",2,IF(L1514="F-30",3,IF(L1514="F-60",4,IF(L1514="F-90",5,0)))),0),0)+IF(AND(O1514="FIRE TEX 5062",OR(E1514="IN",E1514="C",E1514="Z",E1514="L"),J1514=3),VLOOKUP(_xlfn.MINIFS('FIRE TEX 5062'!$B$4:$B$34,'FIRE TEX 5062'!$B$4:$B$34,"&gt;="&amp;M1514),'FIRE TEX 5062'!$B$4:$F$34,IF(L1514="F-15",2,IF(L1514="F-30",3,IF(L1514="F-60",4,IF(L1514="F-90",5,0)))),0),0)+IF(AND(O1514="FIRE TEX 5062",OR(E1514="IN",E1514="C",E1514="Z",E1514="L"),J1514=4),VLOOKUP(_xlfn.MINIFS('FIRE TEX 5062'!$G$4:$G$34,'FIRE TEX 5062'!$G$4:$G$34,"&gt;="&amp;M1514),'FIRE TEX 5062'!$G$4:$K$34,IF(L1514="F-15",2,IF(L1514="F-30",3,IF(L1514="F-60",4,IF(L1514="F-90",5,0)))),0),0)+IF(AND(O1514="FIRE TEX 5062",E1514="CJ",J1514=3),VLOOKUP(_xlfn.MINIFS('FIRE TEX 5062'!$L$4:$L$34,'FIRE TEX 5062'!$L$4:$L$34,"&gt;="&amp;M1514),'FIRE TEX 5062'!$L$4:$P$34,IF(L1514="F-15",2,IF(L1514="F-30",3,IF(L1514="F-60",4,IF(L1514="F-90",5,0)))),0),0)+IF(AND(O1514="FIRE TEX 5062",E1514="CJ",J1514=4),VLOOKUP(_xlfn.MINIFS('FIRE TEX 5062'!$Q$3:$Q$34,'FIRE TEX 5062'!$Q$3:$Q$34,"&gt;="&amp;M1514),'FIRE TEX 5062'!$Q$3:$U$34,IF(L1514="F-15",2,IF(L1514="F-30",3,IF(L1514="F-60",4,IF(L1514="F-90",5,0)))),0),0)+IF(AND(O1514="FIRE TEX 5090",OR(E1514="IN",E1514="C",E1514="Z",E1514="L"),J1514=3),VLOOKUP(_xlfn.MINIFS('FIRE TEX 5090'!$B$5:$B$43,'FIRE TEX 5090'!$B$5:$B$43,"&gt;="&amp;M1514),'FIRE TEX 5090'!$B$5:$H$43,IF(L1514="F-15",2,IF(L1514="F-30",3,IF(L1514="F-60",4,IF(L1514="F-90",5,IF(L1514="F-120",6,IF(L1514="F-150",7,0)))))),0),0)+IF(AND(O1514="FIRE TEX 5090",OR(E1514="IN",E1514="C",E1514="Z",E1514="L"),J1514=4),VLOOKUP(_xlfn.MINIFS('FIRE TEX 5090'!$J$5:$J$43,'FIRE TEX 5090'!$J$5:$J$43,"&gt;="&amp;M1514),'FIRE TEX 5090'!$J$5:$P$43,IF(L1514="F-15",2,IF(L1514="F-30",3,IF(L1514="F-60",4,IF(L1514="F-90",5,IF(L1514="F-120",6,IF(L1514="F-150",7,0)))))),0),0)+IF(AND(O1514="FIRE TEX 5090",E1514="CJ",J1514=3),VLOOKUP(_xlfn.MINIFS('FIRE TEX 5090'!$R$5:$R$30,'FIRE TEX 5090'!$R$5:$R$30,"&gt;="&amp;M1514),'FIRE TEX 5090'!$R$5:$W$30,IF(L1514="F-15",2,IF(L1514="F-30",3,IF(L1514="F-60",4,IF(L1514="F-90",5,IF(L1514="F-120",6,IF(L1514="F-150",7,0)))))),0),0)+IF(AND(O1514="FIRE TEX 5090",E1514="CJ",J1514=4),VLOOKUP(_xlfn.MINIFS('FIRE TEX 5090'!$Y$5:$Y$39,'FIRE TEX 5090'!$Y$5:$Y$39,"&gt;="&amp;M1514),'FIRE TEX 5090'!$Y$5:$AD$39,IF(L1514="F-15",2,IF(L1514="F-30",3,IF(L1514="F-60",4,IF(L1514="F-90",5,IF(L1514="F-120",6,IF(L1514="F-150",7,0)))))),0),0)+IF(AND(O1514="FIRE TEX 5120",OR(E1514="IN",E1514="C",E1514="Z",E1514="L"),J1514=3),VLOOKUP(_xlfn.MINIFS('FIRE TEX 5120'!$B$5:$B$40,'FIRE TEX 5120'!$B$5:$B$40,"&gt;="&amp;M1514),'FIRE TEX 5120'!$B$5:$G$40,IF(L1514="F-15",2,IF(L1514="F-30",3,IF(L1514="F-60",4,IF(L1514="F-90",5,IF(L1514="F-120",6,0))))),0),0)+IF(AND(O1514="FIRE TEX 5120",OR(E1514="IN",E1514="C",E1514="Z",E1514="L"),J1514=4),VLOOKUP(_xlfn.MINIFS('FIRE TEX 5120'!$H$4:$H$40,'FIRE TEX 5120'!$H$4:$H$40,"&gt;="&amp;M1514),'FIRE TEX 5120'!$H$4:$M$40,IF(L1514="F-15",2,IF(L1514="F-30",3,IF(L1514="F-60",4,IF(L1514="F-90",5,IF(L1514="F-120",6,0))))),0),0)+IF(AND(O1514="FIRE TEX 5120",E1514="CJ"),VLOOKUP(_xlfn.MINIFS('FIRE TEX 5120'!$O$5:$O$40,'FIRE TEX 5120'!$O$5:$O$40,"&gt;="&amp;M1514),'FIRE TEX 5120'!$O$5:$T$40,IF(L1514="F-15",2,IF(L1514="F-30",3,IF(L1514="F-60",4,IF(L1514="F-90",5,IF(L1514="F-120",6,0))))),0),0)</f>
        <v>0</v>
      </c>
      <c r="Q1514" s="46">
        <f t="shared" si="134"/>
        <v>0</v>
      </c>
      <c r="R1514" s="46">
        <f t="shared" si="135"/>
        <v>0</v>
      </c>
      <c r="S1514" s="46" t="e">
        <f t="shared" si="136"/>
        <v>#VALUE!</v>
      </c>
      <c r="T1514" s="677">
        <f t="shared" si="137"/>
        <v>0</v>
      </c>
      <c r="U1514" s="80">
        <f>(IF(O1514="Stofire",(S1514*#REF!),0))+(IF(O1514="Fire Control",(S1514*$U$2),0))+(IF(O1514="Fire Tex",(S1514*$U$3),0))+(IF(O1514="WB7",(S1514*#REF!),0)+(IF(O1514="FX 2003",(S1514*$U$5),0)))</f>
        <v>0</v>
      </c>
      <c r="V1514" s="651">
        <f t="shared" si="138"/>
        <v>0</v>
      </c>
    </row>
    <row r="1515" spans="4:22" x14ac:dyDescent="0.25">
      <c r="D1515" s="118">
        <f>+CUBICACION!D1514</f>
        <v>0</v>
      </c>
      <c r="E1515" s="118">
        <f>+CUBICACION!F1514</f>
        <v>0</v>
      </c>
      <c r="F1515" s="118">
        <f>+CUBICACION!E1514</f>
        <v>0</v>
      </c>
      <c r="G1515" s="118">
        <v>12</v>
      </c>
      <c r="H1515" s="118">
        <v>2</v>
      </c>
      <c r="I1515" s="820">
        <v>26385</v>
      </c>
      <c r="J1515" s="118">
        <f>+CUBICACION!J1514</f>
        <v>0</v>
      </c>
      <c r="K1515" s="118">
        <v>4294</v>
      </c>
      <c r="L1515" s="118">
        <f>+CUBICACION!L1514</f>
        <v>0</v>
      </c>
      <c r="M1515" s="64">
        <f>+CUBICACION!M1514</f>
        <v>0</v>
      </c>
      <c r="N1515" s="824" t="str">
        <f>+CUBICACION!N1514</f>
        <v/>
      </c>
      <c r="O1515" s="675">
        <f>+CUBICACION!O1514</f>
        <v>0</v>
      </c>
      <c r="P1515" s="15">
        <f>IF(O1515="Fire Control",VLOOKUP(_xlfn.MINIFS('FIRE CONTROL'!$C$4:$C$37,'FIRE CONTROL'!$C$4:$C$37,"&gt;="&amp;M1515),'FIRE CONTROL'!$C$4:$G$37,IF(L1515="F-15",2,IF(L1515="F-30",3,IF(L1515="F-60",4,IF(L1515="F-90",5,0)))),0),0)+IF(AND(O1515="FIRE TEX 5062",OR(E1515="IN",E1515="C",E1515="Z",E1515="L"),J1515=3),VLOOKUP(_xlfn.MINIFS('FIRE TEX 5062'!$B$4:$B$34,'FIRE TEX 5062'!$B$4:$B$34,"&gt;="&amp;M1515),'FIRE TEX 5062'!$B$4:$F$34,IF(L1515="F-15",2,IF(L1515="F-30",3,IF(L1515="F-60",4,IF(L1515="F-90",5,0)))),0),0)+IF(AND(O1515="FIRE TEX 5062",OR(E1515="IN",E1515="C",E1515="Z",E1515="L"),J1515=4),VLOOKUP(_xlfn.MINIFS('FIRE TEX 5062'!$G$4:$G$34,'FIRE TEX 5062'!$G$4:$G$34,"&gt;="&amp;M1515),'FIRE TEX 5062'!$G$4:$K$34,IF(L1515="F-15",2,IF(L1515="F-30",3,IF(L1515="F-60",4,IF(L1515="F-90",5,0)))),0),0)+IF(AND(O1515="FIRE TEX 5062",E1515="CJ",J1515=3),VLOOKUP(_xlfn.MINIFS('FIRE TEX 5062'!$L$4:$L$34,'FIRE TEX 5062'!$L$4:$L$34,"&gt;="&amp;M1515),'FIRE TEX 5062'!$L$4:$P$34,IF(L1515="F-15",2,IF(L1515="F-30",3,IF(L1515="F-60",4,IF(L1515="F-90",5,0)))),0),0)+IF(AND(O1515="FIRE TEX 5062",E1515="CJ",J1515=4),VLOOKUP(_xlfn.MINIFS('FIRE TEX 5062'!$Q$3:$Q$34,'FIRE TEX 5062'!$Q$3:$Q$34,"&gt;="&amp;M1515),'FIRE TEX 5062'!$Q$3:$U$34,IF(L1515="F-15",2,IF(L1515="F-30",3,IF(L1515="F-60",4,IF(L1515="F-90",5,0)))),0),0)+IF(AND(O1515="FIRE TEX 5090",OR(E1515="IN",E1515="C",E1515="Z",E1515="L"),J1515=3),VLOOKUP(_xlfn.MINIFS('FIRE TEX 5090'!$B$5:$B$43,'FIRE TEX 5090'!$B$5:$B$43,"&gt;="&amp;M1515),'FIRE TEX 5090'!$B$5:$H$43,IF(L1515="F-15",2,IF(L1515="F-30",3,IF(L1515="F-60",4,IF(L1515="F-90",5,IF(L1515="F-120",6,IF(L1515="F-150",7,0)))))),0),0)+IF(AND(O1515="FIRE TEX 5090",OR(E1515="IN",E1515="C",E1515="Z",E1515="L"),J1515=4),VLOOKUP(_xlfn.MINIFS('FIRE TEX 5090'!$J$5:$J$43,'FIRE TEX 5090'!$J$5:$J$43,"&gt;="&amp;M1515),'FIRE TEX 5090'!$J$5:$P$43,IF(L1515="F-15",2,IF(L1515="F-30",3,IF(L1515="F-60",4,IF(L1515="F-90",5,IF(L1515="F-120",6,IF(L1515="F-150",7,0)))))),0),0)+IF(AND(O1515="FIRE TEX 5090",E1515="CJ",J1515=3),VLOOKUP(_xlfn.MINIFS('FIRE TEX 5090'!$R$5:$R$30,'FIRE TEX 5090'!$R$5:$R$30,"&gt;="&amp;M1515),'FIRE TEX 5090'!$R$5:$W$30,IF(L1515="F-15",2,IF(L1515="F-30",3,IF(L1515="F-60",4,IF(L1515="F-90",5,IF(L1515="F-120",6,IF(L1515="F-150",7,0)))))),0),0)+IF(AND(O1515="FIRE TEX 5090",E1515="CJ",J1515=4),VLOOKUP(_xlfn.MINIFS('FIRE TEX 5090'!$Y$5:$Y$39,'FIRE TEX 5090'!$Y$5:$Y$39,"&gt;="&amp;M1515),'FIRE TEX 5090'!$Y$5:$AD$39,IF(L1515="F-15",2,IF(L1515="F-30",3,IF(L1515="F-60",4,IF(L1515="F-90",5,IF(L1515="F-120",6,IF(L1515="F-150",7,0)))))),0),0)+IF(AND(O1515="FIRE TEX 5120",OR(E1515="IN",E1515="C",E1515="Z",E1515="L"),J1515=3),VLOOKUP(_xlfn.MINIFS('FIRE TEX 5120'!$B$5:$B$40,'FIRE TEX 5120'!$B$5:$B$40,"&gt;="&amp;M1515),'FIRE TEX 5120'!$B$5:$G$40,IF(L1515="F-15",2,IF(L1515="F-30",3,IF(L1515="F-60",4,IF(L1515="F-90",5,IF(L1515="F-120",6,0))))),0),0)+IF(AND(O1515="FIRE TEX 5120",OR(E1515="IN",E1515="C",E1515="Z",E1515="L"),J1515=4),VLOOKUP(_xlfn.MINIFS('FIRE TEX 5120'!$H$4:$H$40,'FIRE TEX 5120'!$H$4:$H$40,"&gt;="&amp;M1515),'FIRE TEX 5120'!$H$4:$M$40,IF(L1515="F-15",2,IF(L1515="F-30",3,IF(L1515="F-60",4,IF(L1515="F-90",5,IF(L1515="F-120",6,0))))),0),0)+IF(AND(O1515="FIRE TEX 5120",E1515="CJ"),VLOOKUP(_xlfn.MINIFS('FIRE TEX 5120'!$O$5:$O$40,'FIRE TEX 5120'!$O$5:$O$40,"&gt;="&amp;M1515),'FIRE TEX 5120'!$O$5:$T$40,IF(L1515="F-15",2,IF(L1515="F-30",3,IF(L1515="F-60",4,IF(L1515="F-90",5,IF(L1515="F-120",6,0))))),0),0)</f>
        <v>0</v>
      </c>
      <c r="Q1515" s="46">
        <f t="shared" si="134"/>
        <v>0</v>
      </c>
      <c r="R1515" s="46">
        <f t="shared" si="135"/>
        <v>0</v>
      </c>
      <c r="S1515" s="46" t="e">
        <f t="shared" si="136"/>
        <v>#VALUE!</v>
      </c>
      <c r="T1515" s="677">
        <f t="shared" si="137"/>
        <v>0</v>
      </c>
      <c r="U1515" s="80">
        <f>(IF(O1515="Stofire",(S1515*#REF!),0))+(IF(O1515="Fire Control",(S1515*$U$2),0))+(IF(O1515="Fire Tex",(S1515*$U$3),0))+(IF(O1515="WB7",(S1515*#REF!),0)+(IF(O1515="FX 2003",(S1515*$U$5),0)))</f>
        <v>0</v>
      </c>
      <c r="V1515" s="651">
        <f t="shared" si="138"/>
        <v>0</v>
      </c>
    </row>
    <row r="1516" spans="4:22" x14ac:dyDescent="0.25">
      <c r="D1516" s="118">
        <f>+CUBICACION!D1515</f>
        <v>0</v>
      </c>
      <c r="E1516" s="118">
        <f>+CUBICACION!F1515</f>
        <v>0</v>
      </c>
      <c r="F1516" s="118">
        <f>+CUBICACION!E1515</f>
        <v>0</v>
      </c>
      <c r="G1516" s="118">
        <v>12</v>
      </c>
      <c r="H1516" s="118">
        <v>2</v>
      </c>
      <c r="I1516" s="820">
        <v>26385</v>
      </c>
      <c r="J1516" s="118">
        <f>+CUBICACION!J1515</f>
        <v>0</v>
      </c>
      <c r="K1516" s="118">
        <v>4295</v>
      </c>
      <c r="L1516" s="118">
        <f>+CUBICACION!L1515</f>
        <v>0</v>
      </c>
      <c r="M1516" s="64">
        <f>+CUBICACION!M1515</f>
        <v>0</v>
      </c>
      <c r="N1516" s="824" t="str">
        <f>+CUBICACION!N1515</f>
        <v/>
      </c>
      <c r="O1516" s="675">
        <f>+CUBICACION!O1515</f>
        <v>0</v>
      </c>
      <c r="P1516" s="15">
        <f>IF(O1516="Fire Control",VLOOKUP(_xlfn.MINIFS('FIRE CONTROL'!$C$4:$C$37,'FIRE CONTROL'!$C$4:$C$37,"&gt;="&amp;M1516),'FIRE CONTROL'!$C$4:$G$37,IF(L1516="F-15",2,IF(L1516="F-30",3,IF(L1516="F-60",4,IF(L1516="F-90",5,0)))),0),0)+IF(AND(O1516="FIRE TEX 5062",OR(E1516="IN",E1516="C",E1516="Z",E1516="L"),J1516=3),VLOOKUP(_xlfn.MINIFS('FIRE TEX 5062'!$B$4:$B$34,'FIRE TEX 5062'!$B$4:$B$34,"&gt;="&amp;M1516),'FIRE TEX 5062'!$B$4:$F$34,IF(L1516="F-15",2,IF(L1516="F-30",3,IF(L1516="F-60",4,IF(L1516="F-90",5,0)))),0),0)+IF(AND(O1516="FIRE TEX 5062",OR(E1516="IN",E1516="C",E1516="Z",E1516="L"),J1516=4),VLOOKUP(_xlfn.MINIFS('FIRE TEX 5062'!$G$4:$G$34,'FIRE TEX 5062'!$G$4:$G$34,"&gt;="&amp;M1516),'FIRE TEX 5062'!$G$4:$K$34,IF(L1516="F-15",2,IF(L1516="F-30",3,IF(L1516="F-60",4,IF(L1516="F-90",5,0)))),0),0)+IF(AND(O1516="FIRE TEX 5062",E1516="CJ",J1516=3),VLOOKUP(_xlfn.MINIFS('FIRE TEX 5062'!$L$4:$L$34,'FIRE TEX 5062'!$L$4:$L$34,"&gt;="&amp;M1516),'FIRE TEX 5062'!$L$4:$P$34,IF(L1516="F-15",2,IF(L1516="F-30",3,IF(L1516="F-60",4,IF(L1516="F-90",5,0)))),0),0)+IF(AND(O1516="FIRE TEX 5062",E1516="CJ",J1516=4),VLOOKUP(_xlfn.MINIFS('FIRE TEX 5062'!$Q$3:$Q$34,'FIRE TEX 5062'!$Q$3:$Q$34,"&gt;="&amp;M1516),'FIRE TEX 5062'!$Q$3:$U$34,IF(L1516="F-15",2,IF(L1516="F-30",3,IF(L1516="F-60",4,IF(L1516="F-90",5,0)))),0),0)+IF(AND(O1516="FIRE TEX 5090",OR(E1516="IN",E1516="C",E1516="Z",E1516="L"),J1516=3),VLOOKUP(_xlfn.MINIFS('FIRE TEX 5090'!$B$5:$B$43,'FIRE TEX 5090'!$B$5:$B$43,"&gt;="&amp;M1516),'FIRE TEX 5090'!$B$5:$H$43,IF(L1516="F-15",2,IF(L1516="F-30",3,IF(L1516="F-60",4,IF(L1516="F-90",5,IF(L1516="F-120",6,IF(L1516="F-150",7,0)))))),0),0)+IF(AND(O1516="FIRE TEX 5090",OR(E1516="IN",E1516="C",E1516="Z",E1516="L"),J1516=4),VLOOKUP(_xlfn.MINIFS('FIRE TEX 5090'!$J$5:$J$43,'FIRE TEX 5090'!$J$5:$J$43,"&gt;="&amp;M1516),'FIRE TEX 5090'!$J$5:$P$43,IF(L1516="F-15",2,IF(L1516="F-30",3,IF(L1516="F-60",4,IF(L1516="F-90",5,IF(L1516="F-120",6,IF(L1516="F-150",7,0)))))),0),0)+IF(AND(O1516="FIRE TEX 5090",E1516="CJ",J1516=3),VLOOKUP(_xlfn.MINIFS('FIRE TEX 5090'!$R$5:$R$30,'FIRE TEX 5090'!$R$5:$R$30,"&gt;="&amp;M1516),'FIRE TEX 5090'!$R$5:$W$30,IF(L1516="F-15",2,IF(L1516="F-30",3,IF(L1516="F-60",4,IF(L1516="F-90",5,IF(L1516="F-120",6,IF(L1516="F-150",7,0)))))),0),0)+IF(AND(O1516="FIRE TEX 5090",E1516="CJ",J1516=4),VLOOKUP(_xlfn.MINIFS('FIRE TEX 5090'!$Y$5:$Y$39,'FIRE TEX 5090'!$Y$5:$Y$39,"&gt;="&amp;M1516),'FIRE TEX 5090'!$Y$5:$AD$39,IF(L1516="F-15",2,IF(L1516="F-30",3,IF(L1516="F-60",4,IF(L1516="F-90",5,IF(L1516="F-120",6,IF(L1516="F-150",7,0)))))),0),0)+IF(AND(O1516="FIRE TEX 5120",OR(E1516="IN",E1516="C",E1516="Z",E1516="L"),J1516=3),VLOOKUP(_xlfn.MINIFS('FIRE TEX 5120'!$B$5:$B$40,'FIRE TEX 5120'!$B$5:$B$40,"&gt;="&amp;M1516),'FIRE TEX 5120'!$B$5:$G$40,IF(L1516="F-15",2,IF(L1516="F-30",3,IF(L1516="F-60",4,IF(L1516="F-90",5,IF(L1516="F-120",6,0))))),0),0)+IF(AND(O1516="FIRE TEX 5120",OR(E1516="IN",E1516="C",E1516="Z",E1516="L"),J1516=4),VLOOKUP(_xlfn.MINIFS('FIRE TEX 5120'!$H$4:$H$40,'FIRE TEX 5120'!$H$4:$H$40,"&gt;="&amp;M1516),'FIRE TEX 5120'!$H$4:$M$40,IF(L1516="F-15",2,IF(L1516="F-30",3,IF(L1516="F-60",4,IF(L1516="F-90",5,IF(L1516="F-120",6,0))))),0),0)+IF(AND(O1516="FIRE TEX 5120",E1516="CJ"),VLOOKUP(_xlfn.MINIFS('FIRE TEX 5120'!$O$5:$O$40,'FIRE TEX 5120'!$O$5:$O$40,"&gt;="&amp;M1516),'FIRE TEX 5120'!$O$5:$T$40,IF(L1516="F-15",2,IF(L1516="F-30",3,IF(L1516="F-60",4,IF(L1516="F-90",5,IF(L1516="F-120",6,0))))),0),0)</f>
        <v>0</v>
      </c>
      <c r="Q1516" s="46">
        <f t="shared" si="134"/>
        <v>0</v>
      </c>
      <c r="R1516" s="46">
        <f t="shared" si="135"/>
        <v>0</v>
      </c>
      <c r="S1516" s="46" t="e">
        <f t="shared" si="136"/>
        <v>#VALUE!</v>
      </c>
      <c r="T1516" s="677">
        <f t="shared" si="137"/>
        <v>0</v>
      </c>
      <c r="U1516" s="80">
        <f>(IF(O1516="Stofire",(S1516*#REF!),0))+(IF(O1516="Fire Control",(S1516*$U$2),0))+(IF(O1516="Fire Tex",(S1516*$U$3),0))+(IF(O1516="WB7",(S1516*#REF!),0)+(IF(O1516="FX 2003",(S1516*$U$5),0)))</f>
        <v>0</v>
      </c>
      <c r="V1516" s="651">
        <f t="shared" si="138"/>
        <v>0</v>
      </c>
    </row>
    <row r="1517" spans="4:22" x14ac:dyDescent="0.25">
      <c r="D1517" s="118">
        <f>+CUBICACION!D1516</f>
        <v>0</v>
      </c>
      <c r="E1517" s="118">
        <f>+CUBICACION!F1516</f>
        <v>0</v>
      </c>
      <c r="F1517" s="118">
        <f>+CUBICACION!E1516</f>
        <v>0</v>
      </c>
      <c r="G1517" s="118">
        <v>12</v>
      </c>
      <c r="H1517" s="118">
        <v>2</v>
      </c>
      <c r="I1517" s="820">
        <v>26385</v>
      </c>
      <c r="J1517" s="118">
        <f>+CUBICACION!J1516</f>
        <v>0</v>
      </c>
      <c r="K1517" s="118">
        <v>4296</v>
      </c>
      <c r="L1517" s="118">
        <f>+CUBICACION!L1516</f>
        <v>0</v>
      </c>
      <c r="M1517" s="64">
        <f>+CUBICACION!M1516</f>
        <v>0</v>
      </c>
      <c r="N1517" s="824" t="str">
        <f>+CUBICACION!N1516</f>
        <v/>
      </c>
      <c r="O1517" s="675">
        <f>+CUBICACION!O1516</f>
        <v>0</v>
      </c>
      <c r="P1517" s="15">
        <f>IF(O1517="Fire Control",VLOOKUP(_xlfn.MINIFS('FIRE CONTROL'!$C$4:$C$37,'FIRE CONTROL'!$C$4:$C$37,"&gt;="&amp;M1517),'FIRE CONTROL'!$C$4:$G$37,IF(L1517="F-15",2,IF(L1517="F-30",3,IF(L1517="F-60",4,IF(L1517="F-90",5,0)))),0),0)+IF(AND(O1517="FIRE TEX 5062",OR(E1517="IN",E1517="C",E1517="Z",E1517="L"),J1517=3),VLOOKUP(_xlfn.MINIFS('FIRE TEX 5062'!$B$4:$B$34,'FIRE TEX 5062'!$B$4:$B$34,"&gt;="&amp;M1517),'FIRE TEX 5062'!$B$4:$F$34,IF(L1517="F-15",2,IF(L1517="F-30",3,IF(L1517="F-60",4,IF(L1517="F-90",5,0)))),0),0)+IF(AND(O1517="FIRE TEX 5062",OR(E1517="IN",E1517="C",E1517="Z",E1517="L"),J1517=4),VLOOKUP(_xlfn.MINIFS('FIRE TEX 5062'!$G$4:$G$34,'FIRE TEX 5062'!$G$4:$G$34,"&gt;="&amp;M1517),'FIRE TEX 5062'!$G$4:$K$34,IF(L1517="F-15",2,IF(L1517="F-30",3,IF(L1517="F-60",4,IF(L1517="F-90",5,0)))),0),0)+IF(AND(O1517="FIRE TEX 5062",E1517="CJ",J1517=3),VLOOKUP(_xlfn.MINIFS('FIRE TEX 5062'!$L$4:$L$34,'FIRE TEX 5062'!$L$4:$L$34,"&gt;="&amp;M1517),'FIRE TEX 5062'!$L$4:$P$34,IF(L1517="F-15",2,IF(L1517="F-30",3,IF(L1517="F-60",4,IF(L1517="F-90",5,0)))),0),0)+IF(AND(O1517="FIRE TEX 5062",E1517="CJ",J1517=4),VLOOKUP(_xlfn.MINIFS('FIRE TEX 5062'!$Q$3:$Q$34,'FIRE TEX 5062'!$Q$3:$Q$34,"&gt;="&amp;M1517),'FIRE TEX 5062'!$Q$3:$U$34,IF(L1517="F-15",2,IF(L1517="F-30",3,IF(L1517="F-60",4,IF(L1517="F-90",5,0)))),0),0)+IF(AND(O1517="FIRE TEX 5090",OR(E1517="IN",E1517="C",E1517="Z",E1517="L"),J1517=3),VLOOKUP(_xlfn.MINIFS('FIRE TEX 5090'!$B$5:$B$43,'FIRE TEX 5090'!$B$5:$B$43,"&gt;="&amp;M1517),'FIRE TEX 5090'!$B$5:$H$43,IF(L1517="F-15",2,IF(L1517="F-30",3,IF(L1517="F-60",4,IF(L1517="F-90",5,IF(L1517="F-120",6,IF(L1517="F-150",7,0)))))),0),0)+IF(AND(O1517="FIRE TEX 5090",OR(E1517="IN",E1517="C",E1517="Z",E1517="L"),J1517=4),VLOOKUP(_xlfn.MINIFS('FIRE TEX 5090'!$J$5:$J$43,'FIRE TEX 5090'!$J$5:$J$43,"&gt;="&amp;M1517),'FIRE TEX 5090'!$J$5:$P$43,IF(L1517="F-15",2,IF(L1517="F-30",3,IF(L1517="F-60",4,IF(L1517="F-90",5,IF(L1517="F-120",6,IF(L1517="F-150",7,0)))))),0),0)+IF(AND(O1517="FIRE TEX 5090",E1517="CJ",J1517=3),VLOOKUP(_xlfn.MINIFS('FIRE TEX 5090'!$R$5:$R$30,'FIRE TEX 5090'!$R$5:$R$30,"&gt;="&amp;M1517),'FIRE TEX 5090'!$R$5:$W$30,IF(L1517="F-15",2,IF(L1517="F-30",3,IF(L1517="F-60",4,IF(L1517="F-90",5,IF(L1517="F-120",6,IF(L1517="F-150",7,0)))))),0),0)+IF(AND(O1517="FIRE TEX 5090",E1517="CJ",J1517=4),VLOOKUP(_xlfn.MINIFS('FIRE TEX 5090'!$Y$5:$Y$39,'FIRE TEX 5090'!$Y$5:$Y$39,"&gt;="&amp;M1517),'FIRE TEX 5090'!$Y$5:$AD$39,IF(L1517="F-15",2,IF(L1517="F-30",3,IF(L1517="F-60",4,IF(L1517="F-90",5,IF(L1517="F-120",6,IF(L1517="F-150",7,0)))))),0),0)+IF(AND(O1517="FIRE TEX 5120",OR(E1517="IN",E1517="C",E1517="Z",E1517="L"),J1517=3),VLOOKUP(_xlfn.MINIFS('FIRE TEX 5120'!$B$5:$B$40,'FIRE TEX 5120'!$B$5:$B$40,"&gt;="&amp;M1517),'FIRE TEX 5120'!$B$5:$G$40,IF(L1517="F-15",2,IF(L1517="F-30",3,IF(L1517="F-60",4,IF(L1517="F-90",5,IF(L1517="F-120",6,0))))),0),0)+IF(AND(O1517="FIRE TEX 5120",OR(E1517="IN",E1517="C",E1517="Z",E1517="L"),J1517=4),VLOOKUP(_xlfn.MINIFS('FIRE TEX 5120'!$H$4:$H$40,'FIRE TEX 5120'!$H$4:$H$40,"&gt;="&amp;M1517),'FIRE TEX 5120'!$H$4:$M$40,IF(L1517="F-15",2,IF(L1517="F-30",3,IF(L1517="F-60",4,IF(L1517="F-90",5,IF(L1517="F-120",6,0))))),0),0)+IF(AND(O1517="FIRE TEX 5120",E1517="CJ"),VLOOKUP(_xlfn.MINIFS('FIRE TEX 5120'!$O$5:$O$40,'FIRE TEX 5120'!$O$5:$O$40,"&gt;="&amp;M1517),'FIRE TEX 5120'!$O$5:$T$40,IF(L1517="F-15",2,IF(L1517="F-30",3,IF(L1517="F-60",4,IF(L1517="F-90",5,IF(L1517="F-120",6,0))))),0),0)</f>
        <v>0</v>
      </c>
      <c r="Q1517" s="46">
        <f t="shared" ref="Q1517:Q1580" si="139">IF(P1517="","",IF(P1517="dar valor","",0.03937*P1517))</f>
        <v>0</v>
      </c>
      <c r="R1517" s="46">
        <f t="shared" ref="R1517:R1580" si="140">+(IF(O1517="Fire Control",((65*1.5/Q1517)*0.75*4),0))+(IF(OR(O1517="Fire Tex 5062",O1517="Fire Tex 5090",O1517="Fire Tex 5120"),((66*1.5/Q1517)*0.7*5),0))</f>
        <v>0</v>
      </c>
      <c r="S1517" s="46" t="e">
        <f t="shared" ref="S1517:S1580" si="141">IF(R1517="","",+N1517/R1517)</f>
        <v>#VALUE!</v>
      </c>
      <c r="T1517" s="677">
        <f t="shared" ref="T1517:T1580" si="142">(IF(O1517="Stofire",(S1517/(7*1)),0))+(IF(O1517="Fire Control",(S1517/(7*1)),0))+(IF(O1517="Fire Tex",(S1517/(7*1)),0))+(IF(O1517="WB7",(S1517/(7*1)),0))+(IF(O1517="FX 2003",(S1517/(7*1)),0))</f>
        <v>0</v>
      </c>
      <c r="U1517" s="80">
        <f>(IF(O1517="Stofire",(S1517*#REF!),0))+(IF(O1517="Fire Control",(S1517*$U$2),0))+(IF(O1517="Fire Tex",(S1517*$U$3),0))+(IF(O1517="WB7",(S1517*#REF!),0)+(IF(O1517="FX 2003",(S1517*$U$5),0)))</f>
        <v>0</v>
      </c>
      <c r="V1517" s="651">
        <f t="shared" ref="V1517:V1580" si="143">_xlfn.CEILING.MATH(M1517,10)</f>
        <v>0</v>
      </c>
    </row>
    <row r="1518" spans="4:22" x14ac:dyDescent="0.25">
      <c r="D1518" s="118">
        <f>+CUBICACION!D1517</f>
        <v>0</v>
      </c>
      <c r="E1518" s="118">
        <f>+CUBICACION!F1517</f>
        <v>0</v>
      </c>
      <c r="F1518" s="118">
        <f>+CUBICACION!E1517</f>
        <v>0</v>
      </c>
      <c r="G1518" s="118">
        <v>12</v>
      </c>
      <c r="H1518" s="118">
        <v>2</v>
      </c>
      <c r="I1518" s="820">
        <v>26385</v>
      </c>
      <c r="J1518" s="118">
        <f>+CUBICACION!J1517</f>
        <v>0</v>
      </c>
      <c r="K1518" s="118">
        <v>4297</v>
      </c>
      <c r="L1518" s="118">
        <f>+CUBICACION!L1517</f>
        <v>0</v>
      </c>
      <c r="M1518" s="64">
        <f>+CUBICACION!M1517</f>
        <v>0</v>
      </c>
      <c r="N1518" s="824" t="str">
        <f>+CUBICACION!N1517</f>
        <v/>
      </c>
      <c r="O1518" s="675">
        <f>+CUBICACION!O1517</f>
        <v>0</v>
      </c>
      <c r="P1518" s="15">
        <f>IF(O1518="Fire Control",VLOOKUP(_xlfn.MINIFS('FIRE CONTROL'!$C$4:$C$37,'FIRE CONTROL'!$C$4:$C$37,"&gt;="&amp;M1518),'FIRE CONTROL'!$C$4:$G$37,IF(L1518="F-15",2,IF(L1518="F-30",3,IF(L1518="F-60",4,IF(L1518="F-90",5,0)))),0),0)+IF(AND(O1518="FIRE TEX 5062",OR(E1518="IN",E1518="C",E1518="Z",E1518="L"),J1518=3),VLOOKUP(_xlfn.MINIFS('FIRE TEX 5062'!$B$4:$B$34,'FIRE TEX 5062'!$B$4:$B$34,"&gt;="&amp;M1518),'FIRE TEX 5062'!$B$4:$F$34,IF(L1518="F-15",2,IF(L1518="F-30",3,IF(L1518="F-60",4,IF(L1518="F-90",5,0)))),0),0)+IF(AND(O1518="FIRE TEX 5062",OR(E1518="IN",E1518="C",E1518="Z",E1518="L"),J1518=4),VLOOKUP(_xlfn.MINIFS('FIRE TEX 5062'!$G$4:$G$34,'FIRE TEX 5062'!$G$4:$G$34,"&gt;="&amp;M1518),'FIRE TEX 5062'!$G$4:$K$34,IF(L1518="F-15",2,IF(L1518="F-30",3,IF(L1518="F-60",4,IF(L1518="F-90",5,0)))),0),0)+IF(AND(O1518="FIRE TEX 5062",E1518="CJ",J1518=3),VLOOKUP(_xlfn.MINIFS('FIRE TEX 5062'!$L$4:$L$34,'FIRE TEX 5062'!$L$4:$L$34,"&gt;="&amp;M1518),'FIRE TEX 5062'!$L$4:$P$34,IF(L1518="F-15",2,IF(L1518="F-30",3,IF(L1518="F-60",4,IF(L1518="F-90",5,0)))),0),0)+IF(AND(O1518="FIRE TEX 5062",E1518="CJ",J1518=4),VLOOKUP(_xlfn.MINIFS('FIRE TEX 5062'!$Q$3:$Q$34,'FIRE TEX 5062'!$Q$3:$Q$34,"&gt;="&amp;M1518),'FIRE TEX 5062'!$Q$3:$U$34,IF(L1518="F-15",2,IF(L1518="F-30",3,IF(L1518="F-60",4,IF(L1518="F-90",5,0)))),0),0)+IF(AND(O1518="FIRE TEX 5090",OR(E1518="IN",E1518="C",E1518="Z",E1518="L"),J1518=3),VLOOKUP(_xlfn.MINIFS('FIRE TEX 5090'!$B$5:$B$43,'FIRE TEX 5090'!$B$5:$B$43,"&gt;="&amp;M1518),'FIRE TEX 5090'!$B$5:$H$43,IF(L1518="F-15",2,IF(L1518="F-30",3,IF(L1518="F-60",4,IF(L1518="F-90",5,IF(L1518="F-120",6,IF(L1518="F-150",7,0)))))),0),0)+IF(AND(O1518="FIRE TEX 5090",OR(E1518="IN",E1518="C",E1518="Z",E1518="L"),J1518=4),VLOOKUP(_xlfn.MINIFS('FIRE TEX 5090'!$J$5:$J$43,'FIRE TEX 5090'!$J$5:$J$43,"&gt;="&amp;M1518),'FIRE TEX 5090'!$J$5:$P$43,IF(L1518="F-15",2,IF(L1518="F-30",3,IF(L1518="F-60",4,IF(L1518="F-90",5,IF(L1518="F-120",6,IF(L1518="F-150",7,0)))))),0),0)+IF(AND(O1518="FIRE TEX 5090",E1518="CJ",J1518=3),VLOOKUP(_xlfn.MINIFS('FIRE TEX 5090'!$R$5:$R$30,'FIRE TEX 5090'!$R$5:$R$30,"&gt;="&amp;M1518),'FIRE TEX 5090'!$R$5:$W$30,IF(L1518="F-15",2,IF(L1518="F-30",3,IF(L1518="F-60",4,IF(L1518="F-90",5,IF(L1518="F-120",6,IF(L1518="F-150",7,0)))))),0),0)+IF(AND(O1518="FIRE TEX 5090",E1518="CJ",J1518=4),VLOOKUP(_xlfn.MINIFS('FIRE TEX 5090'!$Y$5:$Y$39,'FIRE TEX 5090'!$Y$5:$Y$39,"&gt;="&amp;M1518),'FIRE TEX 5090'!$Y$5:$AD$39,IF(L1518="F-15",2,IF(L1518="F-30",3,IF(L1518="F-60",4,IF(L1518="F-90",5,IF(L1518="F-120",6,IF(L1518="F-150",7,0)))))),0),0)+IF(AND(O1518="FIRE TEX 5120",OR(E1518="IN",E1518="C",E1518="Z",E1518="L"),J1518=3),VLOOKUP(_xlfn.MINIFS('FIRE TEX 5120'!$B$5:$B$40,'FIRE TEX 5120'!$B$5:$B$40,"&gt;="&amp;M1518),'FIRE TEX 5120'!$B$5:$G$40,IF(L1518="F-15",2,IF(L1518="F-30",3,IF(L1518="F-60",4,IF(L1518="F-90",5,IF(L1518="F-120",6,0))))),0),0)+IF(AND(O1518="FIRE TEX 5120",OR(E1518="IN",E1518="C",E1518="Z",E1518="L"),J1518=4),VLOOKUP(_xlfn.MINIFS('FIRE TEX 5120'!$H$4:$H$40,'FIRE TEX 5120'!$H$4:$H$40,"&gt;="&amp;M1518),'FIRE TEX 5120'!$H$4:$M$40,IF(L1518="F-15",2,IF(L1518="F-30",3,IF(L1518="F-60",4,IF(L1518="F-90",5,IF(L1518="F-120",6,0))))),0),0)+IF(AND(O1518="FIRE TEX 5120",E1518="CJ"),VLOOKUP(_xlfn.MINIFS('FIRE TEX 5120'!$O$5:$O$40,'FIRE TEX 5120'!$O$5:$O$40,"&gt;="&amp;M1518),'FIRE TEX 5120'!$O$5:$T$40,IF(L1518="F-15",2,IF(L1518="F-30",3,IF(L1518="F-60",4,IF(L1518="F-90",5,IF(L1518="F-120",6,0))))),0),0)</f>
        <v>0</v>
      </c>
      <c r="Q1518" s="46">
        <f t="shared" si="139"/>
        <v>0</v>
      </c>
      <c r="R1518" s="46">
        <f t="shared" si="140"/>
        <v>0</v>
      </c>
      <c r="S1518" s="46" t="e">
        <f t="shared" si="141"/>
        <v>#VALUE!</v>
      </c>
      <c r="T1518" s="677">
        <f t="shared" si="142"/>
        <v>0</v>
      </c>
      <c r="U1518" s="80">
        <f>(IF(O1518="Stofire",(S1518*#REF!),0))+(IF(O1518="Fire Control",(S1518*$U$2),0))+(IF(O1518="Fire Tex",(S1518*$U$3),0))+(IF(O1518="WB7",(S1518*#REF!),0)+(IF(O1518="FX 2003",(S1518*$U$5),0)))</f>
        <v>0</v>
      </c>
      <c r="V1518" s="651">
        <f t="shared" si="143"/>
        <v>0</v>
      </c>
    </row>
    <row r="1519" spans="4:22" x14ac:dyDescent="0.25">
      <c r="D1519" s="118">
        <f>+CUBICACION!D1518</f>
        <v>0</v>
      </c>
      <c r="E1519" s="118">
        <f>+CUBICACION!F1518</f>
        <v>0</v>
      </c>
      <c r="F1519" s="118">
        <f>+CUBICACION!E1518</f>
        <v>0</v>
      </c>
      <c r="G1519" s="118">
        <v>12</v>
      </c>
      <c r="H1519" s="118">
        <v>2</v>
      </c>
      <c r="I1519" s="820">
        <v>26385</v>
      </c>
      <c r="J1519" s="118">
        <f>+CUBICACION!J1518</f>
        <v>0</v>
      </c>
      <c r="K1519" s="118">
        <v>4298</v>
      </c>
      <c r="L1519" s="118">
        <f>+CUBICACION!L1518</f>
        <v>0</v>
      </c>
      <c r="M1519" s="64">
        <f>+CUBICACION!M1518</f>
        <v>0</v>
      </c>
      <c r="N1519" s="824" t="str">
        <f>+CUBICACION!N1518</f>
        <v/>
      </c>
      <c r="O1519" s="675">
        <f>+CUBICACION!O1518</f>
        <v>0</v>
      </c>
      <c r="P1519" s="15">
        <f>IF(O1519="Fire Control",VLOOKUP(_xlfn.MINIFS('FIRE CONTROL'!$C$4:$C$37,'FIRE CONTROL'!$C$4:$C$37,"&gt;="&amp;M1519),'FIRE CONTROL'!$C$4:$G$37,IF(L1519="F-15",2,IF(L1519="F-30",3,IF(L1519="F-60",4,IF(L1519="F-90",5,0)))),0),0)+IF(AND(O1519="FIRE TEX 5062",OR(E1519="IN",E1519="C",E1519="Z",E1519="L"),J1519=3),VLOOKUP(_xlfn.MINIFS('FIRE TEX 5062'!$B$4:$B$34,'FIRE TEX 5062'!$B$4:$B$34,"&gt;="&amp;M1519),'FIRE TEX 5062'!$B$4:$F$34,IF(L1519="F-15",2,IF(L1519="F-30",3,IF(L1519="F-60",4,IF(L1519="F-90",5,0)))),0),0)+IF(AND(O1519="FIRE TEX 5062",OR(E1519="IN",E1519="C",E1519="Z",E1519="L"),J1519=4),VLOOKUP(_xlfn.MINIFS('FIRE TEX 5062'!$G$4:$G$34,'FIRE TEX 5062'!$G$4:$G$34,"&gt;="&amp;M1519),'FIRE TEX 5062'!$G$4:$K$34,IF(L1519="F-15",2,IF(L1519="F-30",3,IF(L1519="F-60",4,IF(L1519="F-90",5,0)))),0),0)+IF(AND(O1519="FIRE TEX 5062",E1519="CJ",J1519=3),VLOOKUP(_xlfn.MINIFS('FIRE TEX 5062'!$L$4:$L$34,'FIRE TEX 5062'!$L$4:$L$34,"&gt;="&amp;M1519),'FIRE TEX 5062'!$L$4:$P$34,IF(L1519="F-15",2,IF(L1519="F-30",3,IF(L1519="F-60",4,IF(L1519="F-90",5,0)))),0),0)+IF(AND(O1519="FIRE TEX 5062",E1519="CJ",J1519=4),VLOOKUP(_xlfn.MINIFS('FIRE TEX 5062'!$Q$3:$Q$34,'FIRE TEX 5062'!$Q$3:$Q$34,"&gt;="&amp;M1519),'FIRE TEX 5062'!$Q$3:$U$34,IF(L1519="F-15",2,IF(L1519="F-30",3,IF(L1519="F-60",4,IF(L1519="F-90",5,0)))),0),0)+IF(AND(O1519="FIRE TEX 5090",OR(E1519="IN",E1519="C",E1519="Z",E1519="L"),J1519=3),VLOOKUP(_xlfn.MINIFS('FIRE TEX 5090'!$B$5:$B$43,'FIRE TEX 5090'!$B$5:$B$43,"&gt;="&amp;M1519),'FIRE TEX 5090'!$B$5:$H$43,IF(L1519="F-15",2,IF(L1519="F-30",3,IF(L1519="F-60",4,IF(L1519="F-90",5,IF(L1519="F-120",6,IF(L1519="F-150",7,0)))))),0),0)+IF(AND(O1519="FIRE TEX 5090",OR(E1519="IN",E1519="C",E1519="Z",E1519="L"),J1519=4),VLOOKUP(_xlfn.MINIFS('FIRE TEX 5090'!$J$5:$J$43,'FIRE TEX 5090'!$J$5:$J$43,"&gt;="&amp;M1519),'FIRE TEX 5090'!$J$5:$P$43,IF(L1519="F-15",2,IF(L1519="F-30",3,IF(L1519="F-60",4,IF(L1519="F-90",5,IF(L1519="F-120",6,IF(L1519="F-150",7,0)))))),0),0)+IF(AND(O1519="FIRE TEX 5090",E1519="CJ",J1519=3),VLOOKUP(_xlfn.MINIFS('FIRE TEX 5090'!$R$5:$R$30,'FIRE TEX 5090'!$R$5:$R$30,"&gt;="&amp;M1519),'FIRE TEX 5090'!$R$5:$W$30,IF(L1519="F-15",2,IF(L1519="F-30",3,IF(L1519="F-60",4,IF(L1519="F-90",5,IF(L1519="F-120",6,IF(L1519="F-150",7,0)))))),0),0)+IF(AND(O1519="FIRE TEX 5090",E1519="CJ",J1519=4),VLOOKUP(_xlfn.MINIFS('FIRE TEX 5090'!$Y$5:$Y$39,'FIRE TEX 5090'!$Y$5:$Y$39,"&gt;="&amp;M1519),'FIRE TEX 5090'!$Y$5:$AD$39,IF(L1519="F-15",2,IF(L1519="F-30",3,IF(L1519="F-60",4,IF(L1519="F-90",5,IF(L1519="F-120",6,IF(L1519="F-150",7,0)))))),0),0)+IF(AND(O1519="FIRE TEX 5120",OR(E1519="IN",E1519="C",E1519="Z",E1519="L"),J1519=3),VLOOKUP(_xlfn.MINIFS('FIRE TEX 5120'!$B$5:$B$40,'FIRE TEX 5120'!$B$5:$B$40,"&gt;="&amp;M1519),'FIRE TEX 5120'!$B$5:$G$40,IF(L1519="F-15",2,IF(L1519="F-30",3,IF(L1519="F-60",4,IF(L1519="F-90",5,IF(L1519="F-120",6,0))))),0),0)+IF(AND(O1519="FIRE TEX 5120",OR(E1519="IN",E1519="C",E1519="Z",E1519="L"),J1519=4),VLOOKUP(_xlfn.MINIFS('FIRE TEX 5120'!$H$4:$H$40,'FIRE TEX 5120'!$H$4:$H$40,"&gt;="&amp;M1519),'FIRE TEX 5120'!$H$4:$M$40,IF(L1519="F-15",2,IF(L1519="F-30",3,IF(L1519="F-60",4,IF(L1519="F-90",5,IF(L1519="F-120",6,0))))),0),0)+IF(AND(O1519="FIRE TEX 5120",E1519="CJ"),VLOOKUP(_xlfn.MINIFS('FIRE TEX 5120'!$O$5:$O$40,'FIRE TEX 5120'!$O$5:$O$40,"&gt;="&amp;M1519),'FIRE TEX 5120'!$O$5:$T$40,IF(L1519="F-15",2,IF(L1519="F-30",3,IF(L1519="F-60",4,IF(L1519="F-90",5,IF(L1519="F-120",6,0))))),0),0)</f>
        <v>0</v>
      </c>
      <c r="Q1519" s="46">
        <f t="shared" si="139"/>
        <v>0</v>
      </c>
      <c r="R1519" s="46">
        <f t="shared" si="140"/>
        <v>0</v>
      </c>
      <c r="S1519" s="46" t="e">
        <f t="shared" si="141"/>
        <v>#VALUE!</v>
      </c>
      <c r="T1519" s="677">
        <f t="shared" si="142"/>
        <v>0</v>
      </c>
      <c r="U1519" s="80">
        <f>(IF(O1519="Stofire",(S1519*#REF!),0))+(IF(O1519="Fire Control",(S1519*$U$2),0))+(IF(O1519="Fire Tex",(S1519*$U$3),0))+(IF(O1519="WB7",(S1519*#REF!),0)+(IF(O1519="FX 2003",(S1519*$U$5),0)))</f>
        <v>0</v>
      </c>
      <c r="V1519" s="651">
        <f t="shared" si="143"/>
        <v>0</v>
      </c>
    </row>
    <row r="1520" spans="4:22" x14ac:dyDescent="0.25">
      <c r="D1520" s="118">
        <f>+CUBICACION!D1519</f>
        <v>0</v>
      </c>
      <c r="E1520" s="118">
        <f>+CUBICACION!F1519</f>
        <v>0</v>
      </c>
      <c r="F1520" s="118">
        <f>+CUBICACION!E1519</f>
        <v>0</v>
      </c>
      <c r="G1520" s="118">
        <v>12</v>
      </c>
      <c r="H1520" s="118">
        <v>2</v>
      </c>
      <c r="I1520" s="820">
        <v>26385</v>
      </c>
      <c r="J1520" s="118">
        <f>+CUBICACION!J1519</f>
        <v>0</v>
      </c>
      <c r="K1520" s="118">
        <v>4299</v>
      </c>
      <c r="L1520" s="118">
        <f>+CUBICACION!L1519</f>
        <v>0</v>
      </c>
      <c r="M1520" s="64">
        <f>+CUBICACION!M1519</f>
        <v>0</v>
      </c>
      <c r="N1520" s="824" t="str">
        <f>+CUBICACION!N1519</f>
        <v/>
      </c>
      <c r="O1520" s="675">
        <f>+CUBICACION!O1519</f>
        <v>0</v>
      </c>
      <c r="P1520" s="15">
        <f>IF(O1520="Fire Control",VLOOKUP(_xlfn.MINIFS('FIRE CONTROL'!$C$4:$C$37,'FIRE CONTROL'!$C$4:$C$37,"&gt;="&amp;M1520),'FIRE CONTROL'!$C$4:$G$37,IF(L1520="F-15",2,IF(L1520="F-30",3,IF(L1520="F-60",4,IF(L1520="F-90",5,0)))),0),0)+IF(AND(O1520="FIRE TEX 5062",OR(E1520="IN",E1520="C",E1520="Z",E1520="L"),J1520=3),VLOOKUP(_xlfn.MINIFS('FIRE TEX 5062'!$B$4:$B$34,'FIRE TEX 5062'!$B$4:$B$34,"&gt;="&amp;M1520),'FIRE TEX 5062'!$B$4:$F$34,IF(L1520="F-15",2,IF(L1520="F-30",3,IF(L1520="F-60",4,IF(L1520="F-90",5,0)))),0),0)+IF(AND(O1520="FIRE TEX 5062",OR(E1520="IN",E1520="C",E1520="Z",E1520="L"),J1520=4),VLOOKUP(_xlfn.MINIFS('FIRE TEX 5062'!$G$4:$G$34,'FIRE TEX 5062'!$G$4:$G$34,"&gt;="&amp;M1520),'FIRE TEX 5062'!$G$4:$K$34,IF(L1520="F-15",2,IF(L1520="F-30",3,IF(L1520="F-60",4,IF(L1520="F-90",5,0)))),0),0)+IF(AND(O1520="FIRE TEX 5062",E1520="CJ",J1520=3),VLOOKUP(_xlfn.MINIFS('FIRE TEX 5062'!$L$4:$L$34,'FIRE TEX 5062'!$L$4:$L$34,"&gt;="&amp;M1520),'FIRE TEX 5062'!$L$4:$P$34,IF(L1520="F-15",2,IF(L1520="F-30",3,IF(L1520="F-60",4,IF(L1520="F-90",5,0)))),0),0)+IF(AND(O1520="FIRE TEX 5062",E1520="CJ",J1520=4),VLOOKUP(_xlfn.MINIFS('FIRE TEX 5062'!$Q$3:$Q$34,'FIRE TEX 5062'!$Q$3:$Q$34,"&gt;="&amp;M1520),'FIRE TEX 5062'!$Q$3:$U$34,IF(L1520="F-15",2,IF(L1520="F-30",3,IF(L1520="F-60",4,IF(L1520="F-90",5,0)))),0),0)+IF(AND(O1520="FIRE TEX 5090",OR(E1520="IN",E1520="C",E1520="Z",E1520="L"),J1520=3),VLOOKUP(_xlfn.MINIFS('FIRE TEX 5090'!$B$5:$B$43,'FIRE TEX 5090'!$B$5:$B$43,"&gt;="&amp;M1520),'FIRE TEX 5090'!$B$5:$H$43,IF(L1520="F-15",2,IF(L1520="F-30",3,IF(L1520="F-60",4,IF(L1520="F-90",5,IF(L1520="F-120",6,IF(L1520="F-150",7,0)))))),0),0)+IF(AND(O1520="FIRE TEX 5090",OR(E1520="IN",E1520="C",E1520="Z",E1520="L"),J1520=4),VLOOKUP(_xlfn.MINIFS('FIRE TEX 5090'!$J$5:$J$43,'FIRE TEX 5090'!$J$5:$J$43,"&gt;="&amp;M1520),'FIRE TEX 5090'!$J$5:$P$43,IF(L1520="F-15",2,IF(L1520="F-30",3,IF(L1520="F-60",4,IF(L1520="F-90",5,IF(L1520="F-120",6,IF(L1520="F-150",7,0)))))),0),0)+IF(AND(O1520="FIRE TEX 5090",E1520="CJ",J1520=3),VLOOKUP(_xlfn.MINIFS('FIRE TEX 5090'!$R$5:$R$30,'FIRE TEX 5090'!$R$5:$R$30,"&gt;="&amp;M1520),'FIRE TEX 5090'!$R$5:$W$30,IF(L1520="F-15",2,IF(L1520="F-30",3,IF(L1520="F-60",4,IF(L1520="F-90",5,IF(L1520="F-120",6,IF(L1520="F-150",7,0)))))),0),0)+IF(AND(O1520="FIRE TEX 5090",E1520="CJ",J1520=4),VLOOKUP(_xlfn.MINIFS('FIRE TEX 5090'!$Y$5:$Y$39,'FIRE TEX 5090'!$Y$5:$Y$39,"&gt;="&amp;M1520),'FIRE TEX 5090'!$Y$5:$AD$39,IF(L1520="F-15",2,IF(L1520="F-30",3,IF(L1520="F-60",4,IF(L1520="F-90",5,IF(L1520="F-120",6,IF(L1520="F-150",7,0)))))),0),0)+IF(AND(O1520="FIRE TEX 5120",OR(E1520="IN",E1520="C",E1520="Z",E1520="L"),J1520=3),VLOOKUP(_xlfn.MINIFS('FIRE TEX 5120'!$B$5:$B$40,'FIRE TEX 5120'!$B$5:$B$40,"&gt;="&amp;M1520),'FIRE TEX 5120'!$B$5:$G$40,IF(L1520="F-15",2,IF(L1520="F-30",3,IF(L1520="F-60",4,IF(L1520="F-90",5,IF(L1520="F-120",6,0))))),0),0)+IF(AND(O1520="FIRE TEX 5120",OR(E1520="IN",E1520="C",E1520="Z",E1520="L"),J1520=4),VLOOKUP(_xlfn.MINIFS('FIRE TEX 5120'!$H$4:$H$40,'FIRE TEX 5120'!$H$4:$H$40,"&gt;="&amp;M1520),'FIRE TEX 5120'!$H$4:$M$40,IF(L1520="F-15",2,IF(L1520="F-30",3,IF(L1520="F-60",4,IF(L1520="F-90",5,IF(L1520="F-120",6,0))))),0),0)+IF(AND(O1520="FIRE TEX 5120",E1520="CJ"),VLOOKUP(_xlfn.MINIFS('FIRE TEX 5120'!$O$5:$O$40,'FIRE TEX 5120'!$O$5:$O$40,"&gt;="&amp;M1520),'FIRE TEX 5120'!$O$5:$T$40,IF(L1520="F-15",2,IF(L1520="F-30",3,IF(L1520="F-60",4,IF(L1520="F-90",5,IF(L1520="F-120",6,0))))),0),0)</f>
        <v>0</v>
      </c>
      <c r="Q1520" s="46">
        <f t="shared" si="139"/>
        <v>0</v>
      </c>
      <c r="R1520" s="46">
        <f t="shared" si="140"/>
        <v>0</v>
      </c>
      <c r="S1520" s="46" t="e">
        <f t="shared" si="141"/>
        <v>#VALUE!</v>
      </c>
      <c r="T1520" s="677">
        <f t="shared" si="142"/>
        <v>0</v>
      </c>
      <c r="U1520" s="80">
        <f>(IF(O1520="Stofire",(S1520*#REF!),0))+(IF(O1520="Fire Control",(S1520*$U$2),0))+(IF(O1520="Fire Tex",(S1520*$U$3),0))+(IF(O1520="WB7",(S1520*#REF!),0)+(IF(O1520="FX 2003",(S1520*$U$5),0)))</f>
        <v>0</v>
      </c>
      <c r="V1520" s="651">
        <f t="shared" si="143"/>
        <v>0</v>
      </c>
    </row>
    <row r="1521" spans="4:22" x14ac:dyDescent="0.25">
      <c r="D1521" s="118">
        <f>+CUBICACION!D1520</f>
        <v>0</v>
      </c>
      <c r="E1521" s="118">
        <f>+CUBICACION!F1520</f>
        <v>0</v>
      </c>
      <c r="F1521" s="118">
        <f>+CUBICACION!E1520</f>
        <v>0</v>
      </c>
      <c r="G1521" s="118">
        <v>12</v>
      </c>
      <c r="H1521" s="118">
        <v>2</v>
      </c>
      <c r="I1521" s="820">
        <v>26385</v>
      </c>
      <c r="J1521" s="118">
        <f>+CUBICACION!J1520</f>
        <v>0</v>
      </c>
      <c r="K1521" s="118">
        <v>4300</v>
      </c>
      <c r="L1521" s="118">
        <f>+CUBICACION!L1520</f>
        <v>0</v>
      </c>
      <c r="M1521" s="64">
        <f>+CUBICACION!M1520</f>
        <v>0</v>
      </c>
      <c r="N1521" s="824" t="str">
        <f>+CUBICACION!N1520</f>
        <v/>
      </c>
      <c r="O1521" s="675">
        <f>+CUBICACION!O1520</f>
        <v>0</v>
      </c>
      <c r="P1521" s="15">
        <f>IF(O1521="Fire Control",VLOOKUP(_xlfn.MINIFS('FIRE CONTROL'!$C$4:$C$37,'FIRE CONTROL'!$C$4:$C$37,"&gt;="&amp;M1521),'FIRE CONTROL'!$C$4:$G$37,IF(L1521="F-15",2,IF(L1521="F-30",3,IF(L1521="F-60",4,IF(L1521="F-90",5,0)))),0),0)+IF(AND(O1521="FIRE TEX 5062",OR(E1521="IN",E1521="C",E1521="Z",E1521="L"),J1521=3),VLOOKUP(_xlfn.MINIFS('FIRE TEX 5062'!$B$4:$B$34,'FIRE TEX 5062'!$B$4:$B$34,"&gt;="&amp;M1521),'FIRE TEX 5062'!$B$4:$F$34,IF(L1521="F-15",2,IF(L1521="F-30",3,IF(L1521="F-60",4,IF(L1521="F-90",5,0)))),0),0)+IF(AND(O1521="FIRE TEX 5062",OR(E1521="IN",E1521="C",E1521="Z",E1521="L"),J1521=4),VLOOKUP(_xlfn.MINIFS('FIRE TEX 5062'!$G$4:$G$34,'FIRE TEX 5062'!$G$4:$G$34,"&gt;="&amp;M1521),'FIRE TEX 5062'!$G$4:$K$34,IF(L1521="F-15",2,IF(L1521="F-30",3,IF(L1521="F-60",4,IF(L1521="F-90",5,0)))),0),0)+IF(AND(O1521="FIRE TEX 5062",E1521="CJ",J1521=3),VLOOKUP(_xlfn.MINIFS('FIRE TEX 5062'!$L$4:$L$34,'FIRE TEX 5062'!$L$4:$L$34,"&gt;="&amp;M1521),'FIRE TEX 5062'!$L$4:$P$34,IF(L1521="F-15",2,IF(L1521="F-30",3,IF(L1521="F-60",4,IF(L1521="F-90",5,0)))),0),0)+IF(AND(O1521="FIRE TEX 5062",E1521="CJ",J1521=4),VLOOKUP(_xlfn.MINIFS('FIRE TEX 5062'!$Q$3:$Q$34,'FIRE TEX 5062'!$Q$3:$Q$34,"&gt;="&amp;M1521),'FIRE TEX 5062'!$Q$3:$U$34,IF(L1521="F-15",2,IF(L1521="F-30",3,IF(L1521="F-60",4,IF(L1521="F-90",5,0)))),0),0)+IF(AND(O1521="FIRE TEX 5090",OR(E1521="IN",E1521="C",E1521="Z",E1521="L"),J1521=3),VLOOKUP(_xlfn.MINIFS('FIRE TEX 5090'!$B$5:$B$43,'FIRE TEX 5090'!$B$5:$B$43,"&gt;="&amp;M1521),'FIRE TEX 5090'!$B$5:$H$43,IF(L1521="F-15",2,IF(L1521="F-30",3,IF(L1521="F-60",4,IF(L1521="F-90",5,IF(L1521="F-120",6,IF(L1521="F-150",7,0)))))),0),0)+IF(AND(O1521="FIRE TEX 5090",OR(E1521="IN",E1521="C",E1521="Z",E1521="L"),J1521=4),VLOOKUP(_xlfn.MINIFS('FIRE TEX 5090'!$J$5:$J$43,'FIRE TEX 5090'!$J$5:$J$43,"&gt;="&amp;M1521),'FIRE TEX 5090'!$J$5:$P$43,IF(L1521="F-15",2,IF(L1521="F-30",3,IF(L1521="F-60",4,IF(L1521="F-90",5,IF(L1521="F-120",6,IF(L1521="F-150",7,0)))))),0),0)+IF(AND(O1521="FIRE TEX 5090",E1521="CJ",J1521=3),VLOOKUP(_xlfn.MINIFS('FIRE TEX 5090'!$R$5:$R$30,'FIRE TEX 5090'!$R$5:$R$30,"&gt;="&amp;M1521),'FIRE TEX 5090'!$R$5:$W$30,IF(L1521="F-15",2,IF(L1521="F-30",3,IF(L1521="F-60",4,IF(L1521="F-90",5,IF(L1521="F-120",6,IF(L1521="F-150",7,0)))))),0),0)+IF(AND(O1521="FIRE TEX 5090",E1521="CJ",J1521=4),VLOOKUP(_xlfn.MINIFS('FIRE TEX 5090'!$Y$5:$Y$39,'FIRE TEX 5090'!$Y$5:$Y$39,"&gt;="&amp;M1521),'FIRE TEX 5090'!$Y$5:$AD$39,IF(L1521="F-15",2,IF(L1521="F-30",3,IF(L1521="F-60",4,IF(L1521="F-90",5,IF(L1521="F-120",6,IF(L1521="F-150",7,0)))))),0),0)+IF(AND(O1521="FIRE TEX 5120",OR(E1521="IN",E1521="C",E1521="Z",E1521="L"),J1521=3),VLOOKUP(_xlfn.MINIFS('FIRE TEX 5120'!$B$5:$B$40,'FIRE TEX 5120'!$B$5:$B$40,"&gt;="&amp;M1521),'FIRE TEX 5120'!$B$5:$G$40,IF(L1521="F-15",2,IF(L1521="F-30",3,IF(L1521="F-60",4,IF(L1521="F-90",5,IF(L1521="F-120",6,0))))),0),0)+IF(AND(O1521="FIRE TEX 5120",OR(E1521="IN",E1521="C",E1521="Z",E1521="L"),J1521=4),VLOOKUP(_xlfn.MINIFS('FIRE TEX 5120'!$H$4:$H$40,'FIRE TEX 5120'!$H$4:$H$40,"&gt;="&amp;M1521),'FIRE TEX 5120'!$H$4:$M$40,IF(L1521="F-15",2,IF(L1521="F-30",3,IF(L1521="F-60",4,IF(L1521="F-90",5,IF(L1521="F-120",6,0))))),0),0)+IF(AND(O1521="FIRE TEX 5120",E1521="CJ"),VLOOKUP(_xlfn.MINIFS('FIRE TEX 5120'!$O$5:$O$40,'FIRE TEX 5120'!$O$5:$O$40,"&gt;="&amp;M1521),'FIRE TEX 5120'!$O$5:$T$40,IF(L1521="F-15",2,IF(L1521="F-30",3,IF(L1521="F-60",4,IF(L1521="F-90",5,IF(L1521="F-120",6,0))))),0),0)</f>
        <v>0</v>
      </c>
      <c r="Q1521" s="46">
        <f t="shared" si="139"/>
        <v>0</v>
      </c>
      <c r="R1521" s="46">
        <f t="shared" si="140"/>
        <v>0</v>
      </c>
      <c r="S1521" s="46" t="e">
        <f t="shared" si="141"/>
        <v>#VALUE!</v>
      </c>
      <c r="T1521" s="677">
        <f t="shared" si="142"/>
        <v>0</v>
      </c>
      <c r="U1521" s="80">
        <f>(IF(O1521="Stofire",(S1521*#REF!),0))+(IF(O1521="Fire Control",(S1521*$U$2),0))+(IF(O1521="Fire Tex",(S1521*$U$3),0))+(IF(O1521="WB7",(S1521*#REF!),0)+(IF(O1521="FX 2003",(S1521*$U$5),0)))</f>
        <v>0</v>
      </c>
      <c r="V1521" s="651">
        <f t="shared" si="143"/>
        <v>0</v>
      </c>
    </row>
    <row r="1522" spans="4:22" x14ac:dyDescent="0.25">
      <c r="D1522" s="118">
        <f>+CUBICACION!D1521</f>
        <v>0</v>
      </c>
      <c r="E1522" s="118">
        <f>+CUBICACION!F1521</f>
        <v>0</v>
      </c>
      <c r="F1522" s="118">
        <f>+CUBICACION!E1521</f>
        <v>0</v>
      </c>
      <c r="G1522" s="118">
        <v>12</v>
      </c>
      <c r="H1522" s="118">
        <v>2</v>
      </c>
      <c r="I1522" s="820">
        <v>26385</v>
      </c>
      <c r="J1522" s="118">
        <f>+CUBICACION!J1521</f>
        <v>0</v>
      </c>
      <c r="K1522" s="118">
        <v>4301</v>
      </c>
      <c r="L1522" s="118">
        <f>+CUBICACION!L1521</f>
        <v>0</v>
      </c>
      <c r="M1522" s="64">
        <f>+CUBICACION!M1521</f>
        <v>0</v>
      </c>
      <c r="N1522" s="824" t="str">
        <f>+CUBICACION!N1521</f>
        <v/>
      </c>
      <c r="O1522" s="675">
        <f>+CUBICACION!O1521</f>
        <v>0</v>
      </c>
      <c r="P1522" s="15">
        <f>IF(O1522="Fire Control",VLOOKUP(_xlfn.MINIFS('FIRE CONTROL'!$C$4:$C$37,'FIRE CONTROL'!$C$4:$C$37,"&gt;="&amp;M1522),'FIRE CONTROL'!$C$4:$G$37,IF(L1522="F-15",2,IF(L1522="F-30",3,IF(L1522="F-60",4,IF(L1522="F-90",5,0)))),0),0)+IF(AND(O1522="FIRE TEX 5062",OR(E1522="IN",E1522="C",E1522="Z",E1522="L"),J1522=3),VLOOKUP(_xlfn.MINIFS('FIRE TEX 5062'!$B$4:$B$34,'FIRE TEX 5062'!$B$4:$B$34,"&gt;="&amp;M1522),'FIRE TEX 5062'!$B$4:$F$34,IF(L1522="F-15",2,IF(L1522="F-30",3,IF(L1522="F-60",4,IF(L1522="F-90",5,0)))),0),0)+IF(AND(O1522="FIRE TEX 5062",OR(E1522="IN",E1522="C",E1522="Z",E1522="L"),J1522=4),VLOOKUP(_xlfn.MINIFS('FIRE TEX 5062'!$G$4:$G$34,'FIRE TEX 5062'!$G$4:$G$34,"&gt;="&amp;M1522),'FIRE TEX 5062'!$G$4:$K$34,IF(L1522="F-15",2,IF(L1522="F-30",3,IF(L1522="F-60",4,IF(L1522="F-90",5,0)))),0),0)+IF(AND(O1522="FIRE TEX 5062",E1522="CJ",J1522=3),VLOOKUP(_xlfn.MINIFS('FIRE TEX 5062'!$L$4:$L$34,'FIRE TEX 5062'!$L$4:$L$34,"&gt;="&amp;M1522),'FIRE TEX 5062'!$L$4:$P$34,IF(L1522="F-15",2,IF(L1522="F-30",3,IF(L1522="F-60",4,IF(L1522="F-90",5,0)))),0),0)+IF(AND(O1522="FIRE TEX 5062",E1522="CJ",J1522=4),VLOOKUP(_xlfn.MINIFS('FIRE TEX 5062'!$Q$3:$Q$34,'FIRE TEX 5062'!$Q$3:$Q$34,"&gt;="&amp;M1522),'FIRE TEX 5062'!$Q$3:$U$34,IF(L1522="F-15",2,IF(L1522="F-30",3,IF(L1522="F-60",4,IF(L1522="F-90",5,0)))),0),0)+IF(AND(O1522="FIRE TEX 5090",OR(E1522="IN",E1522="C",E1522="Z",E1522="L"),J1522=3),VLOOKUP(_xlfn.MINIFS('FIRE TEX 5090'!$B$5:$B$43,'FIRE TEX 5090'!$B$5:$B$43,"&gt;="&amp;M1522),'FIRE TEX 5090'!$B$5:$H$43,IF(L1522="F-15",2,IF(L1522="F-30",3,IF(L1522="F-60",4,IF(L1522="F-90",5,IF(L1522="F-120",6,IF(L1522="F-150",7,0)))))),0),0)+IF(AND(O1522="FIRE TEX 5090",OR(E1522="IN",E1522="C",E1522="Z",E1522="L"),J1522=4),VLOOKUP(_xlfn.MINIFS('FIRE TEX 5090'!$J$5:$J$43,'FIRE TEX 5090'!$J$5:$J$43,"&gt;="&amp;M1522),'FIRE TEX 5090'!$J$5:$P$43,IF(L1522="F-15",2,IF(L1522="F-30",3,IF(L1522="F-60",4,IF(L1522="F-90",5,IF(L1522="F-120",6,IF(L1522="F-150",7,0)))))),0),0)+IF(AND(O1522="FIRE TEX 5090",E1522="CJ",J1522=3),VLOOKUP(_xlfn.MINIFS('FIRE TEX 5090'!$R$5:$R$30,'FIRE TEX 5090'!$R$5:$R$30,"&gt;="&amp;M1522),'FIRE TEX 5090'!$R$5:$W$30,IF(L1522="F-15",2,IF(L1522="F-30",3,IF(L1522="F-60",4,IF(L1522="F-90",5,IF(L1522="F-120",6,IF(L1522="F-150",7,0)))))),0),0)+IF(AND(O1522="FIRE TEX 5090",E1522="CJ",J1522=4),VLOOKUP(_xlfn.MINIFS('FIRE TEX 5090'!$Y$5:$Y$39,'FIRE TEX 5090'!$Y$5:$Y$39,"&gt;="&amp;M1522),'FIRE TEX 5090'!$Y$5:$AD$39,IF(L1522="F-15",2,IF(L1522="F-30",3,IF(L1522="F-60",4,IF(L1522="F-90",5,IF(L1522="F-120",6,IF(L1522="F-150",7,0)))))),0),0)+IF(AND(O1522="FIRE TEX 5120",OR(E1522="IN",E1522="C",E1522="Z",E1522="L"),J1522=3),VLOOKUP(_xlfn.MINIFS('FIRE TEX 5120'!$B$5:$B$40,'FIRE TEX 5120'!$B$5:$B$40,"&gt;="&amp;M1522),'FIRE TEX 5120'!$B$5:$G$40,IF(L1522="F-15",2,IF(L1522="F-30",3,IF(L1522="F-60",4,IF(L1522="F-90",5,IF(L1522="F-120",6,0))))),0),0)+IF(AND(O1522="FIRE TEX 5120",OR(E1522="IN",E1522="C",E1522="Z",E1522="L"),J1522=4),VLOOKUP(_xlfn.MINIFS('FIRE TEX 5120'!$H$4:$H$40,'FIRE TEX 5120'!$H$4:$H$40,"&gt;="&amp;M1522),'FIRE TEX 5120'!$H$4:$M$40,IF(L1522="F-15",2,IF(L1522="F-30",3,IF(L1522="F-60",4,IF(L1522="F-90",5,IF(L1522="F-120",6,0))))),0),0)+IF(AND(O1522="FIRE TEX 5120",E1522="CJ"),VLOOKUP(_xlfn.MINIFS('FIRE TEX 5120'!$O$5:$O$40,'FIRE TEX 5120'!$O$5:$O$40,"&gt;="&amp;M1522),'FIRE TEX 5120'!$O$5:$T$40,IF(L1522="F-15",2,IF(L1522="F-30",3,IF(L1522="F-60",4,IF(L1522="F-90",5,IF(L1522="F-120",6,0))))),0),0)</f>
        <v>0</v>
      </c>
      <c r="Q1522" s="46">
        <f t="shared" si="139"/>
        <v>0</v>
      </c>
      <c r="R1522" s="46">
        <f t="shared" si="140"/>
        <v>0</v>
      </c>
      <c r="S1522" s="46" t="e">
        <f t="shared" si="141"/>
        <v>#VALUE!</v>
      </c>
      <c r="T1522" s="677">
        <f t="shared" si="142"/>
        <v>0</v>
      </c>
      <c r="U1522" s="80">
        <f>(IF(O1522="Stofire",(S1522*#REF!),0))+(IF(O1522="Fire Control",(S1522*$U$2),0))+(IF(O1522="Fire Tex",(S1522*$U$3),0))+(IF(O1522="WB7",(S1522*#REF!),0)+(IF(O1522="FX 2003",(S1522*$U$5),0)))</f>
        <v>0</v>
      </c>
      <c r="V1522" s="651">
        <f t="shared" si="143"/>
        <v>0</v>
      </c>
    </row>
    <row r="1523" spans="4:22" x14ac:dyDescent="0.25">
      <c r="D1523" s="118">
        <f>+CUBICACION!D1522</f>
        <v>0</v>
      </c>
      <c r="E1523" s="118">
        <f>+CUBICACION!F1522</f>
        <v>0</v>
      </c>
      <c r="F1523" s="118">
        <f>+CUBICACION!E1522</f>
        <v>0</v>
      </c>
      <c r="G1523" s="118">
        <v>12</v>
      </c>
      <c r="H1523" s="118">
        <v>2</v>
      </c>
      <c r="I1523" s="820">
        <v>26385</v>
      </c>
      <c r="J1523" s="118">
        <f>+CUBICACION!J1522</f>
        <v>0</v>
      </c>
      <c r="K1523" s="118">
        <v>4302</v>
      </c>
      <c r="L1523" s="118">
        <f>+CUBICACION!L1522</f>
        <v>0</v>
      </c>
      <c r="M1523" s="64">
        <f>+CUBICACION!M1522</f>
        <v>0</v>
      </c>
      <c r="N1523" s="824" t="str">
        <f>+CUBICACION!N1522</f>
        <v/>
      </c>
      <c r="O1523" s="675">
        <f>+CUBICACION!O1522</f>
        <v>0</v>
      </c>
      <c r="P1523" s="15">
        <f>IF(O1523="Fire Control",VLOOKUP(_xlfn.MINIFS('FIRE CONTROL'!$C$4:$C$37,'FIRE CONTROL'!$C$4:$C$37,"&gt;="&amp;M1523),'FIRE CONTROL'!$C$4:$G$37,IF(L1523="F-15",2,IF(L1523="F-30",3,IF(L1523="F-60",4,IF(L1523="F-90",5,0)))),0),0)+IF(AND(O1523="FIRE TEX 5062",OR(E1523="IN",E1523="C",E1523="Z",E1523="L"),J1523=3),VLOOKUP(_xlfn.MINIFS('FIRE TEX 5062'!$B$4:$B$34,'FIRE TEX 5062'!$B$4:$B$34,"&gt;="&amp;M1523),'FIRE TEX 5062'!$B$4:$F$34,IF(L1523="F-15",2,IF(L1523="F-30",3,IF(L1523="F-60",4,IF(L1523="F-90",5,0)))),0),0)+IF(AND(O1523="FIRE TEX 5062",OR(E1523="IN",E1523="C",E1523="Z",E1523="L"),J1523=4),VLOOKUP(_xlfn.MINIFS('FIRE TEX 5062'!$G$4:$G$34,'FIRE TEX 5062'!$G$4:$G$34,"&gt;="&amp;M1523),'FIRE TEX 5062'!$G$4:$K$34,IF(L1523="F-15",2,IF(L1523="F-30",3,IF(L1523="F-60",4,IF(L1523="F-90",5,0)))),0),0)+IF(AND(O1523="FIRE TEX 5062",E1523="CJ",J1523=3),VLOOKUP(_xlfn.MINIFS('FIRE TEX 5062'!$L$4:$L$34,'FIRE TEX 5062'!$L$4:$L$34,"&gt;="&amp;M1523),'FIRE TEX 5062'!$L$4:$P$34,IF(L1523="F-15",2,IF(L1523="F-30",3,IF(L1523="F-60",4,IF(L1523="F-90",5,0)))),0),0)+IF(AND(O1523="FIRE TEX 5062",E1523="CJ",J1523=4),VLOOKUP(_xlfn.MINIFS('FIRE TEX 5062'!$Q$3:$Q$34,'FIRE TEX 5062'!$Q$3:$Q$34,"&gt;="&amp;M1523),'FIRE TEX 5062'!$Q$3:$U$34,IF(L1523="F-15",2,IF(L1523="F-30",3,IF(L1523="F-60",4,IF(L1523="F-90",5,0)))),0),0)+IF(AND(O1523="FIRE TEX 5090",OR(E1523="IN",E1523="C",E1523="Z",E1523="L"),J1523=3),VLOOKUP(_xlfn.MINIFS('FIRE TEX 5090'!$B$5:$B$43,'FIRE TEX 5090'!$B$5:$B$43,"&gt;="&amp;M1523),'FIRE TEX 5090'!$B$5:$H$43,IF(L1523="F-15",2,IF(L1523="F-30",3,IF(L1523="F-60",4,IF(L1523="F-90",5,IF(L1523="F-120",6,IF(L1523="F-150",7,0)))))),0),0)+IF(AND(O1523="FIRE TEX 5090",OR(E1523="IN",E1523="C",E1523="Z",E1523="L"),J1523=4),VLOOKUP(_xlfn.MINIFS('FIRE TEX 5090'!$J$5:$J$43,'FIRE TEX 5090'!$J$5:$J$43,"&gt;="&amp;M1523),'FIRE TEX 5090'!$J$5:$P$43,IF(L1523="F-15",2,IF(L1523="F-30",3,IF(L1523="F-60",4,IF(L1523="F-90",5,IF(L1523="F-120",6,IF(L1523="F-150",7,0)))))),0),0)+IF(AND(O1523="FIRE TEX 5090",E1523="CJ",J1523=3),VLOOKUP(_xlfn.MINIFS('FIRE TEX 5090'!$R$5:$R$30,'FIRE TEX 5090'!$R$5:$R$30,"&gt;="&amp;M1523),'FIRE TEX 5090'!$R$5:$W$30,IF(L1523="F-15",2,IF(L1523="F-30",3,IF(L1523="F-60",4,IF(L1523="F-90",5,IF(L1523="F-120",6,IF(L1523="F-150",7,0)))))),0),0)+IF(AND(O1523="FIRE TEX 5090",E1523="CJ",J1523=4),VLOOKUP(_xlfn.MINIFS('FIRE TEX 5090'!$Y$5:$Y$39,'FIRE TEX 5090'!$Y$5:$Y$39,"&gt;="&amp;M1523),'FIRE TEX 5090'!$Y$5:$AD$39,IF(L1523="F-15",2,IF(L1523="F-30",3,IF(L1523="F-60",4,IF(L1523="F-90",5,IF(L1523="F-120",6,IF(L1523="F-150",7,0)))))),0),0)+IF(AND(O1523="FIRE TEX 5120",OR(E1523="IN",E1523="C",E1523="Z",E1523="L"),J1523=3),VLOOKUP(_xlfn.MINIFS('FIRE TEX 5120'!$B$5:$B$40,'FIRE TEX 5120'!$B$5:$B$40,"&gt;="&amp;M1523),'FIRE TEX 5120'!$B$5:$G$40,IF(L1523="F-15",2,IF(L1523="F-30",3,IF(L1523="F-60",4,IF(L1523="F-90",5,IF(L1523="F-120",6,0))))),0),0)+IF(AND(O1523="FIRE TEX 5120",OR(E1523="IN",E1523="C",E1523="Z",E1523="L"),J1523=4),VLOOKUP(_xlfn.MINIFS('FIRE TEX 5120'!$H$4:$H$40,'FIRE TEX 5120'!$H$4:$H$40,"&gt;="&amp;M1523),'FIRE TEX 5120'!$H$4:$M$40,IF(L1523="F-15",2,IF(L1523="F-30",3,IF(L1523="F-60",4,IF(L1523="F-90",5,IF(L1523="F-120",6,0))))),0),0)+IF(AND(O1523="FIRE TEX 5120",E1523="CJ"),VLOOKUP(_xlfn.MINIFS('FIRE TEX 5120'!$O$5:$O$40,'FIRE TEX 5120'!$O$5:$O$40,"&gt;="&amp;M1523),'FIRE TEX 5120'!$O$5:$T$40,IF(L1523="F-15",2,IF(L1523="F-30",3,IF(L1523="F-60",4,IF(L1523="F-90",5,IF(L1523="F-120",6,0))))),0),0)</f>
        <v>0</v>
      </c>
      <c r="Q1523" s="46">
        <f t="shared" si="139"/>
        <v>0</v>
      </c>
      <c r="R1523" s="46">
        <f t="shared" si="140"/>
        <v>0</v>
      </c>
      <c r="S1523" s="46" t="e">
        <f t="shared" si="141"/>
        <v>#VALUE!</v>
      </c>
      <c r="T1523" s="677">
        <f t="shared" si="142"/>
        <v>0</v>
      </c>
      <c r="U1523" s="80">
        <f>(IF(O1523="Stofire",(S1523*#REF!),0))+(IF(O1523="Fire Control",(S1523*$U$2),0))+(IF(O1523="Fire Tex",(S1523*$U$3),0))+(IF(O1523="WB7",(S1523*#REF!),0)+(IF(O1523="FX 2003",(S1523*$U$5),0)))</f>
        <v>0</v>
      </c>
      <c r="V1523" s="651">
        <f t="shared" si="143"/>
        <v>0</v>
      </c>
    </row>
    <row r="1524" spans="4:22" x14ac:dyDescent="0.25">
      <c r="D1524" s="118">
        <f>+CUBICACION!D1523</f>
        <v>0</v>
      </c>
      <c r="E1524" s="118">
        <f>+CUBICACION!F1523</f>
        <v>0</v>
      </c>
      <c r="F1524" s="118">
        <f>+CUBICACION!E1523</f>
        <v>0</v>
      </c>
      <c r="G1524" s="118">
        <v>12</v>
      </c>
      <c r="H1524" s="118">
        <v>2</v>
      </c>
      <c r="I1524" s="820">
        <v>26385</v>
      </c>
      <c r="J1524" s="118">
        <f>+CUBICACION!J1523</f>
        <v>0</v>
      </c>
      <c r="K1524" s="118">
        <v>4303</v>
      </c>
      <c r="L1524" s="118">
        <f>+CUBICACION!L1523</f>
        <v>0</v>
      </c>
      <c r="M1524" s="64">
        <f>+CUBICACION!M1523</f>
        <v>0</v>
      </c>
      <c r="N1524" s="824" t="str">
        <f>+CUBICACION!N1523</f>
        <v/>
      </c>
      <c r="O1524" s="675">
        <f>+CUBICACION!O1523</f>
        <v>0</v>
      </c>
      <c r="P1524" s="15">
        <f>IF(O1524="Fire Control",VLOOKUP(_xlfn.MINIFS('FIRE CONTROL'!$C$4:$C$37,'FIRE CONTROL'!$C$4:$C$37,"&gt;="&amp;M1524),'FIRE CONTROL'!$C$4:$G$37,IF(L1524="F-15",2,IF(L1524="F-30",3,IF(L1524="F-60",4,IF(L1524="F-90",5,0)))),0),0)+IF(AND(O1524="FIRE TEX 5062",OR(E1524="IN",E1524="C",E1524="Z",E1524="L"),J1524=3),VLOOKUP(_xlfn.MINIFS('FIRE TEX 5062'!$B$4:$B$34,'FIRE TEX 5062'!$B$4:$B$34,"&gt;="&amp;M1524),'FIRE TEX 5062'!$B$4:$F$34,IF(L1524="F-15",2,IF(L1524="F-30",3,IF(L1524="F-60",4,IF(L1524="F-90",5,0)))),0),0)+IF(AND(O1524="FIRE TEX 5062",OR(E1524="IN",E1524="C",E1524="Z",E1524="L"),J1524=4),VLOOKUP(_xlfn.MINIFS('FIRE TEX 5062'!$G$4:$G$34,'FIRE TEX 5062'!$G$4:$G$34,"&gt;="&amp;M1524),'FIRE TEX 5062'!$G$4:$K$34,IF(L1524="F-15",2,IF(L1524="F-30",3,IF(L1524="F-60",4,IF(L1524="F-90",5,0)))),0),0)+IF(AND(O1524="FIRE TEX 5062",E1524="CJ",J1524=3),VLOOKUP(_xlfn.MINIFS('FIRE TEX 5062'!$L$4:$L$34,'FIRE TEX 5062'!$L$4:$L$34,"&gt;="&amp;M1524),'FIRE TEX 5062'!$L$4:$P$34,IF(L1524="F-15",2,IF(L1524="F-30",3,IF(L1524="F-60",4,IF(L1524="F-90",5,0)))),0),0)+IF(AND(O1524="FIRE TEX 5062",E1524="CJ",J1524=4),VLOOKUP(_xlfn.MINIFS('FIRE TEX 5062'!$Q$3:$Q$34,'FIRE TEX 5062'!$Q$3:$Q$34,"&gt;="&amp;M1524),'FIRE TEX 5062'!$Q$3:$U$34,IF(L1524="F-15",2,IF(L1524="F-30",3,IF(L1524="F-60",4,IF(L1524="F-90",5,0)))),0),0)+IF(AND(O1524="FIRE TEX 5090",OR(E1524="IN",E1524="C",E1524="Z",E1524="L"),J1524=3),VLOOKUP(_xlfn.MINIFS('FIRE TEX 5090'!$B$5:$B$43,'FIRE TEX 5090'!$B$5:$B$43,"&gt;="&amp;M1524),'FIRE TEX 5090'!$B$5:$H$43,IF(L1524="F-15",2,IF(L1524="F-30",3,IF(L1524="F-60",4,IF(L1524="F-90",5,IF(L1524="F-120",6,IF(L1524="F-150",7,0)))))),0),0)+IF(AND(O1524="FIRE TEX 5090",OR(E1524="IN",E1524="C",E1524="Z",E1524="L"),J1524=4),VLOOKUP(_xlfn.MINIFS('FIRE TEX 5090'!$J$5:$J$43,'FIRE TEX 5090'!$J$5:$J$43,"&gt;="&amp;M1524),'FIRE TEX 5090'!$J$5:$P$43,IF(L1524="F-15",2,IF(L1524="F-30",3,IF(L1524="F-60",4,IF(L1524="F-90",5,IF(L1524="F-120",6,IF(L1524="F-150",7,0)))))),0),0)+IF(AND(O1524="FIRE TEX 5090",E1524="CJ",J1524=3),VLOOKUP(_xlfn.MINIFS('FIRE TEX 5090'!$R$5:$R$30,'FIRE TEX 5090'!$R$5:$R$30,"&gt;="&amp;M1524),'FIRE TEX 5090'!$R$5:$W$30,IF(L1524="F-15",2,IF(L1524="F-30",3,IF(L1524="F-60",4,IF(L1524="F-90",5,IF(L1524="F-120",6,IF(L1524="F-150",7,0)))))),0),0)+IF(AND(O1524="FIRE TEX 5090",E1524="CJ",J1524=4),VLOOKUP(_xlfn.MINIFS('FIRE TEX 5090'!$Y$5:$Y$39,'FIRE TEX 5090'!$Y$5:$Y$39,"&gt;="&amp;M1524),'FIRE TEX 5090'!$Y$5:$AD$39,IF(L1524="F-15",2,IF(L1524="F-30",3,IF(L1524="F-60",4,IF(L1524="F-90",5,IF(L1524="F-120",6,IF(L1524="F-150",7,0)))))),0),0)+IF(AND(O1524="FIRE TEX 5120",OR(E1524="IN",E1524="C",E1524="Z",E1524="L"),J1524=3),VLOOKUP(_xlfn.MINIFS('FIRE TEX 5120'!$B$5:$B$40,'FIRE TEX 5120'!$B$5:$B$40,"&gt;="&amp;M1524),'FIRE TEX 5120'!$B$5:$G$40,IF(L1524="F-15",2,IF(L1524="F-30",3,IF(L1524="F-60",4,IF(L1524="F-90",5,IF(L1524="F-120",6,0))))),0),0)+IF(AND(O1524="FIRE TEX 5120",OR(E1524="IN",E1524="C",E1524="Z",E1524="L"),J1524=4),VLOOKUP(_xlfn.MINIFS('FIRE TEX 5120'!$H$4:$H$40,'FIRE TEX 5120'!$H$4:$H$40,"&gt;="&amp;M1524),'FIRE TEX 5120'!$H$4:$M$40,IF(L1524="F-15",2,IF(L1524="F-30",3,IF(L1524="F-60",4,IF(L1524="F-90",5,IF(L1524="F-120",6,0))))),0),0)+IF(AND(O1524="FIRE TEX 5120",E1524="CJ"),VLOOKUP(_xlfn.MINIFS('FIRE TEX 5120'!$O$5:$O$40,'FIRE TEX 5120'!$O$5:$O$40,"&gt;="&amp;M1524),'FIRE TEX 5120'!$O$5:$T$40,IF(L1524="F-15",2,IF(L1524="F-30",3,IF(L1524="F-60",4,IF(L1524="F-90",5,IF(L1524="F-120",6,0))))),0),0)</f>
        <v>0</v>
      </c>
      <c r="Q1524" s="46">
        <f t="shared" si="139"/>
        <v>0</v>
      </c>
      <c r="R1524" s="46">
        <f t="shared" si="140"/>
        <v>0</v>
      </c>
      <c r="S1524" s="46" t="e">
        <f t="shared" si="141"/>
        <v>#VALUE!</v>
      </c>
      <c r="T1524" s="677">
        <f t="shared" si="142"/>
        <v>0</v>
      </c>
      <c r="U1524" s="80">
        <f>(IF(O1524="Stofire",(S1524*#REF!),0))+(IF(O1524="Fire Control",(S1524*$U$2),0))+(IF(O1524="Fire Tex",(S1524*$U$3),0))+(IF(O1524="WB7",(S1524*#REF!),0)+(IF(O1524="FX 2003",(S1524*$U$5),0)))</f>
        <v>0</v>
      </c>
      <c r="V1524" s="651">
        <f t="shared" si="143"/>
        <v>0</v>
      </c>
    </row>
    <row r="1525" spans="4:22" x14ac:dyDescent="0.25">
      <c r="D1525" s="118">
        <f>+CUBICACION!D1524</f>
        <v>0</v>
      </c>
      <c r="E1525" s="118">
        <f>+CUBICACION!F1524</f>
        <v>0</v>
      </c>
      <c r="F1525" s="118">
        <f>+CUBICACION!E1524</f>
        <v>0</v>
      </c>
      <c r="G1525" s="118">
        <v>12</v>
      </c>
      <c r="H1525" s="118">
        <v>2</v>
      </c>
      <c r="I1525" s="820">
        <v>26385</v>
      </c>
      <c r="J1525" s="118">
        <f>+CUBICACION!J1524</f>
        <v>0</v>
      </c>
      <c r="K1525" s="118">
        <v>4304</v>
      </c>
      <c r="L1525" s="118">
        <f>+CUBICACION!L1524</f>
        <v>0</v>
      </c>
      <c r="M1525" s="64">
        <f>+CUBICACION!M1524</f>
        <v>0</v>
      </c>
      <c r="N1525" s="824" t="str">
        <f>+CUBICACION!N1524</f>
        <v/>
      </c>
      <c r="O1525" s="675">
        <f>+CUBICACION!O1524</f>
        <v>0</v>
      </c>
      <c r="P1525" s="15">
        <f>IF(O1525="Fire Control",VLOOKUP(_xlfn.MINIFS('FIRE CONTROL'!$C$4:$C$37,'FIRE CONTROL'!$C$4:$C$37,"&gt;="&amp;M1525),'FIRE CONTROL'!$C$4:$G$37,IF(L1525="F-15",2,IF(L1525="F-30",3,IF(L1525="F-60",4,IF(L1525="F-90",5,0)))),0),0)+IF(AND(O1525="FIRE TEX 5062",OR(E1525="IN",E1525="C",E1525="Z",E1525="L"),J1525=3),VLOOKUP(_xlfn.MINIFS('FIRE TEX 5062'!$B$4:$B$34,'FIRE TEX 5062'!$B$4:$B$34,"&gt;="&amp;M1525),'FIRE TEX 5062'!$B$4:$F$34,IF(L1525="F-15",2,IF(L1525="F-30",3,IF(L1525="F-60",4,IF(L1525="F-90",5,0)))),0),0)+IF(AND(O1525="FIRE TEX 5062",OR(E1525="IN",E1525="C",E1525="Z",E1525="L"),J1525=4),VLOOKUP(_xlfn.MINIFS('FIRE TEX 5062'!$G$4:$G$34,'FIRE TEX 5062'!$G$4:$G$34,"&gt;="&amp;M1525),'FIRE TEX 5062'!$G$4:$K$34,IF(L1525="F-15",2,IF(L1525="F-30",3,IF(L1525="F-60",4,IF(L1525="F-90",5,0)))),0),0)+IF(AND(O1525="FIRE TEX 5062",E1525="CJ",J1525=3),VLOOKUP(_xlfn.MINIFS('FIRE TEX 5062'!$L$4:$L$34,'FIRE TEX 5062'!$L$4:$L$34,"&gt;="&amp;M1525),'FIRE TEX 5062'!$L$4:$P$34,IF(L1525="F-15",2,IF(L1525="F-30",3,IF(L1525="F-60",4,IF(L1525="F-90",5,0)))),0),0)+IF(AND(O1525="FIRE TEX 5062",E1525="CJ",J1525=4),VLOOKUP(_xlfn.MINIFS('FIRE TEX 5062'!$Q$3:$Q$34,'FIRE TEX 5062'!$Q$3:$Q$34,"&gt;="&amp;M1525),'FIRE TEX 5062'!$Q$3:$U$34,IF(L1525="F-15",2,IF(L1525="F-30",3,IF(L1525="F-60",4,IF(L1525="F-90",5,0)))),0),0)+IF(AND(O1525="FIRE TEX 5090",OR(E1525="IN",E1525="C",E1525="Z",E1525="L"),J1525=3),VLOOKUP(_xlfn.MINIFS('FIRE TEX 5090'!$B$5:$B$43,'FIRE TEX 5090'!$B$5:$B$43,"&gt;="&amp;M1525),'FIRE TEX 5090'!$B$5:$H$43,IF(L1525="F-15",2,IF(L1525="F-30",3,IF(L1525="F-60",4,IF(L1525="F-90",5,IF(L1525="F-120",6,IF(L1525="F-150",7,0)))))),0),0)+IF(AND(O1525="FIRE TEX 5090",OR(E1525="IN",E1525="C",E1525="Z",E1525="L"),J1525=4),VLOOKUP(_xlfn.MINIFS('FIRE TEX 5090'!$J$5:$J$43,'FIRE TEX 5090'!$J$5:$J$43,"&gt;="&amp;M1525),'FIRE TEX 5090'!$J$5:$P$43,IF(L1525="F-15",2,IF(L1525="F-30",3,IF(L1525="F-60",4,IF(L1525="F-90",5,IF(L1525="F-120",6,IF(L1525="F-150",7,0)))))),0),0)+IF(AND(O1525="FIRE TEX 5090",E1525="CJ",J1525=3),VLOOKUP(_xlfn.MINIFS('FIRE TEX 5090'!$R$5:$R$30,'FIRE TEX 5090'!$R$5:$R$30,"&gt;="&amp;M1525),'FIRE TEX 5090'!$R$5:$W$30,IF(L1525="F-15",2,IF(L1525="F-30",3,IF(L1525="F-60",4,IF(L1525="F-90",5,IF(L1525="F-120",6,IF(L1525="F-150",7,0)))))),0),0)+IF(AND(O1525="FIRE TEX 5090",E1525="CJ",J1525=4),VLOOKUP(_xlfn.MINIFS('FIRE TEX 5090'!$Y$5:$Y$39,'FIRE TEX 5090'!$Y$5:$Y$39,"&gt;="&amp;M1525),'FIRE TEX 5090'!$Y$5:$AD$39,IF(L1525="F-15",2,IF(L1525="F-30",3,IF(L1525="F-60",4,IF(L1525="F-90",5,IF(L1525="F-120",6,IF(L1525="F-150",7,0)))))),0),0)+IF(AND(O1525="FIRE TEX 5120",OR(E1525="IN",E1525="C",E1525="Z",E1525="L"),J1525=3),VLOOKUP(_xlfn.MINIFS('FIRE TEX 5120'!$B$5:$B$40,'FIRE TEX 5120'!$B$5:$B$40,"&gt;="&amp;M1525),'FIRE TEX 5120'!$B$5:$G$40,IF(L1525="F-15",2,IF(L1525="F-30",3,IF(L1525="F-60",4,IF(L1525="F-90",5,IF(L1525="F-120",6,0))))),0),0)+IF(AND(O1525="FIRE TEX 5120",OR(E1525="IN",E1525="C",E1525="Z",E1525="L"),J1525=4),VLOOKUP(_xlfn.MINIFS('FIRE TEX 5120'!$H$4:$H$40,'FIRE TEX 5120'!$H$4:$H$40,"&gt;="&amp;M1525),'FIRE TEX 5120'!$H$4:$M$40,IF(L1525="F-15",2,IF(L1525="F-30",3,IF(L1525="F-60",4,IF(L1525="F-90",5,IF(L1525="F-120",6,0))))),0),0)+IF(AND(O1525="FIRE TEX 5120",E1525="CJ"),VLOOKUP(_xlfn.MINIFS('FIRE TEX 5120'!$O$5:$O$40,'FIRE TEX 5120'!$O$5:$O$40,"&gt;="&amp;M1525),'FIRE TEX 5120'!$O$5:$T$40,IF(L1525="F-15",2,IF(L1525="F-30",3,IF(L1525="F-60",4,IF(L1525="F-90",5,IF(L1525="F-120",6,0))))),0),0)</f>
        <v>0</v>
      </c>
      <c r="Q1525" s="46">
        <f t="shared" si="139"/>
        <v>0</v>
      </c>
      <c r="R1525" s="46">
        <f t="shared" si="140"/>
        <v>0</v>
      </c>
      <c r="S1525" s="46" t="e">
        <f t="shared" si="141"/>
        <v>#VALUE!</v>
      </c>
      <c r="T1525" s="677">
        <f t="shared" si="142"/>
        <v>0</v>
      </c>
      <c r="U1525" s="80">
        <f>(IF(O1525="Stofire",(S1525*#REF!),0))+(IF(O1525="Fire Control",(S1525*$U$2),0))+(IF(O1525="Fire Tex",(S1525*$U$3),0))+(IF(O1525="WB7",(S1525*#REF!),0)+(IF(O1525="FX 2003",(S1525*$U$5),0)))</f>
        <v>0</v>
      </c>
      <c r="V1525" s="651">
        <f t="shared" si="143"/>
        <v>0</v>
      </c>
    </row>
    <row r="1526" spans="4:22" x14ac:dyDescent="0.25">
      <c r="D1526" s="118">
        <f>+CUBICACION!D1525</f>
        <v>0</v>
      </c>
      <c r="E1526" s="118">
        <f>+CUBICACION!F1525</f>
        <v>0</v>
      </c>
      <c r="F1526" s="118">
        <f>+CUBICACION!E1525</f>
        <v>0</v>
      </c>
      <c r="G1526" s="118">
        <v>12</v>
      </c>
      <c r="H1526" s="118">
        <v>2</v>
      </c>
      <c r="I1526" s="820">
        <v>26385</v>
      </c>
      <c r="J1526" s="118">
        <f>+CUBICACION!J1525</f>
        <v>0</v>
      </c>
      <c r="K1526" s="118">
        <v>4305</v>
      </c>
      <c r="L1526" s="118">
        <f>+CUBICACION!L1525</f>
        <v>0</v>
      </c>
      <c r="M1526" s="64">
        <f>+CUBICACION!M1525</f>
        <v>0</v>
      </c>
      <c r="N1526" s="824" t="str">
        <f>+CUBICACION!N1525</f>
        <v/>
      </c>
      <c r="O1526" s="675">
        <f>+CUBICACION!O1525</f>
        <v>0</v>
      </c>
      <c r="P1526" s="15">
        <f>IF(O1526="Fire Control",VLOOKUP(_xlfn.MINIFS('FIRE CONTROL'!$C$4:$C$37,'FIRE CONTROL'!$C$4:$C$37,"&gt;="&amp;M1526),'FIRE CONTROL'!$C$4:$G$37,IF(L1526="F-15",2,IF(L1526="F-30",3,IF(L1526="F-60",4,IF(L1526="F-90",5,0)))),0),0)+IF(AND(O1526="FIRE TEX 5062",OR(E1526="IN",E1526="C",E1526="Z",E1526="L"),J1526=3),VLOOKUP(_xlfn.MINIFS('FIRE TEX 5062'!$B$4:$B$34,'FIRE TEX 5062'!$B$4:$B$34,"&gt;="&amp;M1526),'FIRE TEX 5062'!$B$4:$F$34,IF(L1526="F-15",2,IF(L1526="F-30",3,IF(L1526="F-60",4,IF(L1526="F-90",5,0)))),0),0)+IF(AND(O1526="FIRE TEX 5062",OR(E1526="IN",E1526="C",E1526="Z",E1526="L"),J1526=4),VLOOKUP(_xlfn.MINIFS('FIRE TEX 5062'!$G$4:$G$34,'FIRE TEX 5062'!$G$4:$G$34,"&gt;="&amp;M1526),'FIRE TEX 5062'!$G$4:$K$34,IF(L1526="F-15",2,IF(L1526="F-30",3,IF(L1526="F-60",4,IF(L1526="F-90",5,0)))),0),0)+IF(AND(O1526="FIRE TEX 5062",E1526="CJ",J1526=3),VLOOKUP(_xlfn.MINIFS('FIRE TEX 5062'!$L$4:$L$34,'FIRE TEX 5062'!$L$4:$L$34,"&gt;="&amp;M1526),'FIRE TEX 5062'!$L$4:$P$34,IF(L1526="F-15",2,IF(L1526="F-30",3,IF(L1526="F-60",4,IF(L1526="F-90",5,0)))),0),0)+IF(AND(O1526="FIRE TEX 5062",E1526="CJ",J1526=4),VLOOKUP(_xlfn.MINIFS('FIRE TEX 5062'!$Q$3:$Q$34,'FIRE TEX 5062'!$Q$3:$Q$34,"&gt;="&amp;M1526),'FIRE TEX 5062'!$Q$3:$U$34,IF(L1526="F-15",2,IF(L1526="F-30",3,IF(L1526="F-60",4,IF(L1526="F-90",5,0)))),0),0)+IF(AND(O1526="FIRE TEX 5090",OR(E1526="IN",E1526="C",E1526="Z",E1526="L"),J1526=3),VLOOKUP(_xlfn.MINIFS('FIRE TEX 5090'!$B$5:$B$43,'FIRE TEX 5090'!$B$5:$B$43,"&gt;="&amp;M1526),'FIRE TEX 5090'!$B$5:$H$43,IF(L1526="F-15",2,IF(L1526="F-30",3,IF(L1526="F-60",4,IF(L1526="F-90",5,IF(L1526="F-120",6,IF(L1526="F-150",7,0)))))),0),0)+IF(AND(O1526="FIRE TEX 5090",OR(E1526="IN",E1526="C",E1526="Z",E1526="L"),J1526=4),VLOOKUP(_xlfn.MINIFS('FIRE TEX 5090'!$J$5:$J$43,'FIRE TEX 5090'!$J$5:$J$43,"&gt;="&amp;M1526),'FIRE TEX 5090'!$J$5:$P$43,IF(L1526="F-15",2,IF(L1526="F-30",3,IF(L1526="F-60",4,IF(L1526="F-90",5,IF(L1526="F-120",6,IF(L1526="F-150",7,0)))))),0),0)+IF(AND(O1526="FIRE TEX 5090",E1526="CJ",J1526=3),VLOOKUP(_xlfn.MINIFS('FIRE TEX 5090'!$R$5:$R$30,'FIRE TEX 5090'!$R$5:$R$30,"&gt;="&amp;M1526),'FIRE TEX 5090'!$R$5:$W$30,IF(L1526="F-15",2,IF(L1526="F-30",3,IF(L1526="F-60",4,IF(L1526="F-90",5,IF(L1526="F-120",6,IF(L1526="F-150",7,0)))))),0),0)+IF(AND(O1526="FIRE TEX 5090",E1526="CJ",J1526=4),VLOOKUP(_xlfn.MINIFS('FIRE TEX 5090'!$Y$5:$Y$39,'FIRE TEX 5090'!$Y$5:$Y$39,"&gt;="&amp;M1526),'FIRE TEX 5090'!$Y$5:$AD$39,IF(L1526="F-15",2,IF(L1526="F-30",3,IF(L1526="F-60",4,IF(L1526="F-90",5,IF(L1526="F-120",6,IF(L1526="F-150",7,0)))))),0),0)+IF(AND(O1526="FIRE TEX 5120",OR(E1526="IN",E1526="C",E1526="Z",E1526="L"),J1526=3),VLOOKUP(_xlfn.MINIFS('FIRE TEX 5120'!$B$5:$B$40,'FIRE TEX 5120'!$B$5:$B$40,"&gt;="&amp;M1526),'FIRE TEX 5120'!$B$5:$G$40,IF(L1526="F-15",2,IF(L1526="F-30",3,IF(L1526="F-60",4,IF(L1526="F-90",5,IF(L1526="F-120",6,0))))),0),0)+IF(AND(O1526="FIRE TEX 5120",OR(E1526="IN",E1526="C",E1526="Z",E1526="L"),J1526=4),VLOOKUP(_xlfn.MINIFS('FIRE TEX 5120'!$H$4:$H$40,'FIRE TEX 5120'!$H$4:$H$40,"&gt;="&amp;M1526),'FIRE TEX 5120'!$H$4:$M$40,IF(L1526="F-15",2,IF(L1526="F-30",3,IF(L1526="F-60",4,IF(L1526="F-90",5,IF(L1526="F-120",6,0))))),0),0)+IF(AND(O1526="FIRE TEX 5120",E1526="CJ"),VLOOKUP(_xlfn.MINIFS('FIRE TEX 5120'!$O$5:$O$40,'FIRE TEX 5120'!$O$5:$O$40,"&gt;="&amp;M1526),'FIRE TEX 5120'!$O$5:$T$40,IF(L1526="F-15",2,IF(L1526="F-30",3,IF(L1526="F-60",4,IF(L1526="F-90",5,IF(L1526="F-120",6,0))))),0),0)</f>
        <v>0</v>
      </c>
      <c r="Q1526" s="46">
        <f t="shared" si="139"/>
        <v>0</v>
      </c>
      <c r="R1526" s="46">
        <f t="shared" si="140"/>
        <v>0</v>
      </c>
      <c r="S1526" s="46" t="e">
        <f t="shared" si="141"/>
        <v>#VALUE!</v>
      </c>
      <c r="T1526" s="677">
        <f t="shared" si="142"/>
        <v>0</v>
      </c>
      <c r="U1526" s="80">
        <f>(IF(O1526="Stofire",(S1526*#REF!),0))+(IF(O1526="Fire Control",(S1526*$U$2),0))+(IF(O1526="Fire Tex",(S1526*$U$3),0))+(IF(O1526="WB7",(S1526*#REF!),0)+(IF(O1526="FX 2003",(S1526*$U$5),0)))</f>
        <v>0</v>
      </c>
      <c r="V1526" s="651">
        <f t="shared" si="143"/>
        <v>0</v>
      </c>
    </row>
    <row r="1527" spans="4:22" x14ac:dyDescent="0.25">
      <c r="D1527" s="118">
        <f>+CUBICACION!D1526</f>
        <v>0</v>
      </c>
      <c r="E1527" s="118">
        <f>+CUBICACION!F1526</f>
        <v>0</v>
      </c>
      <c r="F1527" s="118">
        <f>+CUBICACION!E1526</f>
        <v>0</v>
      </c>
      <c r="G1527" s="118">
        <v>12</v>
      </c>
      <c r="H1527" s="118">
        <v>2</v>
      </c>
      <c r="I1527" s="820">
        <v>26385</v>
      </c>
      <c r="J1527" s="118">
        <f>+CUBICACION!J1526</f>
        <v>0</v>
      </c>
      <c r="K1527" s="118">
        <v>4306</v>
      </c>
      <c r="L1527" s="118">
        <f>+CUBICACION!L1526</f>
        <v>0</v>
      </c>
      <c r="M1527" s="64">
        <f>+CUBICACION!M1526</f>
        <v>0</v>
      </c>
      <c r="N1527" s="824" t="str">
        <f>+CUBICACION!N1526</f>
        <v/>
      </c>
      <c r="O1527" s="675">
        <f>+CUBICACION!O1526</f>
        <v>0</v>
      </c>
      <c r="P1527" s="15">
        <f>IF(O1527="Fire Control",VLOOKUP(_xlfn.MINIFS('FIRE CONTROL'!$C$4:$C$37,'FIRE CONTROL'!$C$4:$C$37,"&gt;="&amp;M1527),'FIRE CONTROL'!$C$4:$G$37,IF(L1527="F-15",2,IF(L1527="F-30",3,IF(L1527="F-60",4,IF(L1527="F-90",5,0)))),0),0)+IF(AND(O1527="FIRE TEX 5062",OR(E1527="IN",E1527="C",E1527="Z",E1527="L"),J1527=3),VLOOKUP(_xlfn.MINIFS('FIRE TEX 5062'!$B$4:$B$34,'FIRE TEX 5062'!$B$4:$B$34,"&gt;="&amp;M1527),'FIRE TEX 5062'!$B$4:$F$34,IF(L1527="F-15",2,IF(L1527="F-30",3,IF(L1527="F-60",4,IF(L1527="F-90",5,0)))),0),0)+IF(AND(O1527="FIRE TEX 5062",OR(E1527="IN",E1527="C",E1527="Z",E1527="L"),J1527=4),VLOOKUP(_xlfn.MINIFS('FIRE TEX 5062'!$G$4:$G$34,'FIRE TEX 5062'!$G$4:$G$34,"&gt;="&amp;M1527),'FIRE TEX 5062'!$G$4:$K$34,IF(L1527="F-15",2,IF(L1527="F-30",3,IF(L1527="F-60",4,IF(L1527="F-90",5,0)))),0),0)+IF(AND(O1527="FIRE TEX 5062",E1527="CJ",J1527=3),VLOOKUP(_xlfn.MINIFS('FIRE TEX 5062'!$L$4:$L$34,'FIRE TEX 5062'!$L$4:$L$34,"&gt;="&amp;M1527),'FIRE TEX 5062'!$L$4:$P$34,IF(L1527="F-15",2,IF(L1527="F-30",3,IF(L1527="F-60",4,IF(L1527="F-90",5,0)))),0),0)+IF(AND(O1527="FIRE TEX 5062",E1527="CJ",J1527=4),VLOOKUP(_xlfn.MINIFS('FIRE TEX 5062'!$Q$3:$Q$34,'FIRE TEX 5062'!$Q$3:$Q$34,"&gt;="&amp;M1527),'FIRE TEX 5062'!$Q$3:$U$34,IF(L1527="F-15",2,IF(L1527="F-30",3,IF(L1527="F-60",4,IF(L1527="F-90",5,0)))),0),0)+IF(AND(O1527="FIRE TEX 5090",OR(E1527="IN",E1527="C",E1527="Z",E1527="L"),J1527=3),VLOOKUP(_xlfn.MINIFS('FIRE TEX 5090'!$B$5:$B$43,'FIRE TEX 5090'!$B$5:$B$43,"&gt;="&amp;M1527),'FIRE TEX 5090'!$B$5:$H$43,IF(L1527="F-15",2,IF(L1527="F-30",3,IF(L1527="F-60",4,IF(L1527="F-90",5,IF(L1527="F-120",6,IF(L1527="F-150",7,0)))))),0),0)+IF(AND(O1527="FIRE TEX 5090",OR(E1527="IN",E1527="C",E1527="Z",E1527="L"),J1527=4),VLOOKUP(_xlfn.MINIFS('FIRE TEX 5090'!$J$5:$J$43,'FIRE TEX 5090'!$J$5:$J$43,"&gt;="&amp;M1527),'FIRE TEX 5090'!$J$5:$P$43,IF(L1527="F-15",2,IF(L1527="F-30",3,IF(L1527="F-60",4,IF(L1527="F-90",5,IF(L1527="F-120",6,IF(L1527="F-150",7,0)))))),0),0)+IF(AND(O1527="FIRE TEX 5090",E1527="CJ",J1527=3),VLOOKUP(_xlfn.MINIFS('FIRE TEX 5090'!$R$5:$R$30,'FIRE TEX 5090'!$R$5:$R$30,"&gt;="&amp;M1527),'FIRE TEX 5090'!$R$5:$W$30,IF(L1527="F-15",2,IF(L1527="F-30",3,IF(L1527="F-60",4,IF(L1527="F-90",5,IF(L1527="F-120",6,IF(L1527="F-150",7,0)))))),0),0)+IF(AND(O1527="FIRE TEX 5090",E1527="CJ",J1527=4),VLOOKUP(_xlfn.MINIFS('FIRE TEX 5090'!$Y$5:$Y$39,'FIRE TEX 5090'!$Y$5:$Y$39,"&gt;="&amp;M1527),'FIRE TEX 5090'!$Y$5:$AD$39,IF(L1527="F-15",2,IF(L1527="F-30",3,IF(L1527="F-60",4,IF(L1527="F-90",5,IF(L1527="F-120",6,IF(L1527="F-150",7,0)))))),0),0)+IF(AND(O1527="FIRE TEX 5120",OR(E1527="IN",E1527="C",E1527="Z",E1527="L"),J1527=3),VLOOKUP(_xlfn.MINIFS('FIRE TEX 5120'!$B$5:$B$40,'FIRE TEX 5120'!$B$5:$B$40,"&gt;="&amp;M1527),'FIRE TEX 5120'!$B$5:$G$40,IF(L1527="F-15",2,IF(L1527="F-30",3,IF(L1527="F-60",4,IF(L1527="F-90",5,IF(L1527="F-120",6,0))))),0),0)+IF(AND(O1527="FIRE TEX 5120",OR(E1527="IN",E1527="C",E1527="Z",E1527="L"),J1527=4),VLOOKUP(_xlfn.MINIFS('FIRE TEX 5120'!$H$4:$H$40,'FIRE TEX 5120'!$H$4:$H$40,"&gt;="&amp;M1527),'FIRE TEX 5120'!$H$4:$M$40,IF(L1527="F-15",2,IF(L1527="F-30",3,IF(L1527="F-60",4,IF(L1527="F-90",5,IF(L1527="F-120",6,0))))),0),0)+IF(AND(O1527="FIRE TEX 5120",E1527="CJ"),VLOOKUP(_xlfn.MINIFS('FIRE TEX 5120'!$O$5:$O$40,'FIRE TEX 5120'!$O$5:$O$40,"&gt;="&amp;M1527),'FIRE TEX 5120'!$O$5:$T$40,IF(L1527="F-15",2,IF(L1527="F-30",3,IF(L1527="F-60",4,IF(L1527="F-90",5,IF(L1527="F-120",6,0))))),0),0)</f>
        <v>0</v>
      </c>
      <c r="Q1527" s="46">
        <f t="shared" si="139"/>
        <v>0</v>
      </c>
      <c r="R1527" s="46">
        <f t="shared" si="140"/>
        <v>0</v>
      </c>
      <c r="S1527" s="46" t="e">
        <f t="shared" si="141"/>
        <v>#VALUE!</v>
      </c>
      <c r="T1527" s="677">
        <f t="shared" si="142"/>
        <v>0</v>
      </c>
      <c r="U1527" s="80">
        <f>(IF(O1527="Stofire",(S1527*#REF!),0))+(IF(O1527="Fire Control",(S1527*$U$2),0))+(IF(O1527="Fire Tex",(S1527*$U$3),0))+(IF(O1527="WB7",(S1527*#REF!),0)+(IF(O1527="FX 2003",(S1527*$U$5),0)))</f>
        <v>0</v>
      </c>
      <c r="V1527" s="651">
        <f t="shared" si="143"/>
        <v>0</v>
      </c>
    </row>
    <row r="1528" spans="4:22" x14ac:dyDescent="0.25">
      <c r="D1528" s="118">
        <f>+CUBICACION!D1527</f>
        <v>0</v>
      </c>
      <c r="E1528" s="118">
        <f>+CUBICACION!F1527</f>
        <v>0</v>
      </c>
      <c r="F1528" s="118">
        <f>+CUBICACION!E1527</f>
        <v>0</v>
      </c>
      <c r="G1528" s="118">
        <v>12</v>
      </c>
      <c r="H1528" s="118">
        <v>2</v>
      </c>
      <c r="I1528" s="820">
        <v>26385</v>
      </c>
      <c r="J1528" s="118">
        <f>+CUBICACION!J1527</f>
        <v>0</v>
      </c>
      <c r="K1528" s="118">
        <v>4307</v>
      </c>
      <c r="L1528" s="118">
        <f>+CUBICACION!L1527</f>
        <v>0</v>
      </c>
      <c r="M1528" s="64">
        <f>+CUBICACION!M1527</f>
        <v>0</v>
      </c>
      <c r="N1528" s="824" t="str">
        <f>+CUBICACION!N1527</f>
        <v/>
      </c>
      <c r="O1528" s="675">
        <f>+CUBICACION!O1527</f>
        <v>0</v>
      </c>
      <c r="P1528" s="15">
        <f>IF(O1528="Fire Control",VLOOKUP(_xlfn.MINIFS('FIRE CONTROL'!$C$4:$C$37,'FIRE CONTROL'!$C$4:$C$37,"&gt;="&amp;M1528),'FIRE CONTROL'!$C$4:$G$37,IF(L1528="F-15",2,IF(L1528="F-30",3,IF(L1528="F-60",4,IF(L1528="F-90",5,0)))),0),0)+IF(AND(O1528="FIRE TEX 5062",OR(E1528="IN",E1528="C",E1528="Z",E1528="L"),J1528=3),VLOOKUP(_xlfn.MINIFS('FIRE TEX 5062'!$B$4:$B$34,'FIRE TEX 5062'!$B$4:$B$34,"&gt;="&amp;M1528),'FIRE TEX 5062'!$B$4:$F$34,IF(L1528="F-15",2,IF(L1528="F-30",3,IF(L1528="F-60",4,IF(L1528="F-90",5,0)))),0),0)+IF(AND(O1528="FIRE TEX 5062",OR(E1528="IN",E1528="C",E1528="Z",E1528="L"),J1528=4),VLOOKUP(_xlfn.MINIFS('FIRE TEX 5062'!$G$4:$G$34,'FIRE TEX 5062'!$G$4:$G$34,"&gt;="&amp;M1528),'FIRE TEX 5062'!$G$4:$K$34,IF(L1528="F-15",2,IF(L1528="F-30",3,IF(L1528="F-60",4,IF(L1528="F-90",5,0)))),0),0)+IF(AND(O1528="FIRE TEX 5062",E1528="CJ",J1528=3),VLOOKUP(_xlfn.MINIFS('FIRE TEX 5062'!$L$4:$L$34,'FIRE TEX 5062'!$L$4:$L$34,"&gt;="&amp;M1528),'FIRE TEX 5062'!$L$4:$P$34,IF(L1528="F-15",2,IF(L1528="F-30",3,IF(L1528="F-60",4,IF(L1528="F-90",5,0)))),0),0)+IF(AND(O1528="FIRE TEX 5062",E1528="CJ",J1528=4),VLOOKUP(_xlfn.MINIFS('FIRE TEX 5062'!$Q$3:$Q$34,'FIRE TEX 5062'!$Q$3:$Q$34,"&gt;="&amp;M1528),'FIRE TEX 5062'!$Q$3:$U$34,IF(L1528="F-15",2,IF(L1528="F-30",3,IF(L1528="F-60",4,IF(L1528="F-90",5,0)))),0),0)+IF(AND(O1528="FIRE TEX 5090",OR(E1528="IN",E1528="C",E1528="Z",E1528="L"),J1528=3),VLOOKUP(_xlfn.MINIFS('FIRE TEX 5090'!$B$5:$B$43,'FIRE TEX 5090'!$B$5:$B$43,"&gt;="&amp;M1528),'FIRE TEX 5090'!$B$5:$H$43,IF(L1528="F-15",2,IF(L1528="F-30",3,IF(L1528="F-60",4,IF(L1528="F-90",5,IF(L1528="F-120",6,IF(L1528="F-150",7,0)))))),0),0)+IF(AND(O1528="FIRE TEX 5090",OR(E1528="IN",E1528="C",E1528="Z",E1528="L"),J1528=4),VLOOKUP(_xlfn.MINIFS('FIRE TEX 5090'!$J$5:$J$43,'FIRE TEX 5090'!$J$5:$J$43,"&gt;="&amp;M1528),'FIRE TEX 5090'!$J$5:$P$43,IF(L1528="F-15",2,IF(L1528="F-30",3,IF(L1528="F-60",4,IF(L1528="F-90",5,IF(L1528="F-120",6,IF(L1528="F-150",7,0)))))),0),0)+IF(AND(O1528="FIRE TEX 5090",E1528="CJ",J1528=3),VLOOKUP(_xlfn.MINIFS('FIRE TEX 5090'!$R$5:$R$30,'FIRE TEX 5090'!$R$5:$R$30,"&gt;="&amp;M1528),'FIRE TEX 5090'!$R$5:$W$30,IF(L1528="F-15",2,IF(L1528="F-30",3,IF(L1528="F-60",4,IF(L1528="F-90",5,IF(L1528="F-120",6,IF(L1528="F-150",7,0)))))),0),0)+IF(AND(O1528="FIRE TEX 5090",E1528="CJ",J1528=4),VLOOKUP(_xlfn.MINIFS('FIRE TEX 5090'!$Y$5:$Y$39,'FIRE TEX 5090'!$Y$5:$Y$39,"&gt;="&amp;M1528),'FIRE TEX 5090'!$Y$5:$AD$39,IF(L1528="F-15",2,IF(L1528="F-30",3,IF(L1528="F-60",4,IF(L1528="F-90",5,IF(L1528="F-120",6,IF(L1528="F-150",7,0)))))),0),0)+IF(AND(O1528="FIRE TEX 5120",OR(E1528="IN",E1528="C",E1528="Z",E1528="L"),J1528=3),VLOOKUP(_xlfn.MINIFS('FIRE TEX 5120'!$B$5:$B$40,'FIRE TEX 5120'!$B$5:$B$40,"&gt;="&amp;M1528),'FIRE TEX 5120'!$B$5:$G$40,IF(L1528="F-15",2,IF(L1528="F-30",3,IF(L1528="F-60",4,IF(L1528="F-90",5,IF(L1528="F-120",6,0))))),0),0)+IF(AND(O1528="FIRE TEX 5120",OR(E1528="IN",E1528="C",E1528="Z",E1528="L"),J1528=4),VLOOKUP(_xlfn.MINIFS('FIRE TEX 5120'!$H$4:$H$40,'FIRE TEX 5120'!$H$4:$H$40,"&gt;="&amp;M1528),'FIRE TEX 5120'!$H$4:$M$40,IF(L1528="F-15",2,IF(L1528="F-30",3,IF(L1528="F-60",4,IF(L1528="F-90",5,IF(L1528="F-120",6,0))))),0),0)+IF(AND(O1528="FIRE TEX 5120",E1528="CJ"),VLOOKUP(_xlfn.MINIFS('FIRE TEX 5120'!$O$5:$O$40,'FIRE TEX 5120'!$O$5:$O$40,"&gt;="&amp;M1528),'FIRE TEX 5120'!$O$5:$T$40,IF(L1528="F-15",2,IF(L1528="F-30",3,IF(L1528="F-60",4,IF(L1528="F-90",5,IF(L1528="F-120",6,0))))),0),0)</f>
        <v>0</v>
      </c>
      <c r="Q1528" s="46">
        <f t="shared" si="139"/>
        <v>0</v>
      </c>
      <c r="R1528" s="46">
        <f t="shared" si="140"/>
        <v>0</v>
      </c>
      <c r="S1528" s="46" t="e">
        <f t="shared" si="141"/>
        <v>#VALUE!</v>
      </c>
      <c r="T1528" s="677">
        <f t="shared" si="142"/>
        <v>0</v>
      </c>
      <c r="U1528" s="80">
        <f>(IF(O1528="Stofire",(S1528*#REF!),0))+(IF(O1528="Fire Control",(S1528*$U$2),0))+(IF(O1528="Fire Tex",(S1528*$U$3),0))+(IF(O1528="WB7",(S1528*#REF!),0)+(IF(O1528="FX 2003",(S1528*$U$5),0)))</f>
        <v>0</v>
      </c>
      <c r="V1528" s="651">
        <f t="shared" si="143"/>
        <v>0</v>
      </c>
    </row>
    <row r="1529" spans="4:22" x14ac:dyDescent="0.25">
      <c r="D1529" s="118">
        <f>+CUBICACION!D1528</f>
        <v>0</v>
      </c>
      <c r="E1529" s="118">
        <f>+CUBICACION!F1528</f>
        <v>0</v>
      </c>
      <c r="F1529" s="118">
        <f>+CUBICACION!E1528</f>
        <v>0</v>
      </c>
      <c r="G1529" s="118">
        <v>12</v>
      </c>
      <c r="H1529" s="118">
        <v>2</v>
      </c>
      <c r="I1529" s="820">
        <v>26385</v>
      </c>
      <c r="J1529" s="118">
        <f>+CUBICACION!J1528</f>
        <v>0</v>
      </c>
      <c r="K1529" s="118">
        <v>4308</v>
      </c>
      <c r="L1529" s="118">
        <f>+CUBICACION!L1528</f>
        <v>0</v>
      </c>
      <c r="M1529" s="64">
        <f>+CUBICACION!M1528</f>
        <v>0</v>
      </c>
      <c r="N1529" s="824" t="str">
        <f>+CUBICACION!N1528</f>
        <v/>
      </c>
      <c r="O1529" s="675">
        <f>+CUBICACION!O1528</f>
        <v>0</v>
      </c>
      <c r="P1529" s="15">
        <f>IF(O1529="Fire Control",VLOOKUP(_xlfn.MINIFS('FIRE CONTROL'!$C$4:$C$37,'FIRE CONTROL'!$C$4:$C$37,"&gt;="&amp;M1529),'FIRE CONTROL'!$C$4:$G$37,IF(L1529="F-15",2,IF(L1529="F-30",3,IF(L1529="F-60",4,IF(L1529="F-90",5,0)))),0),0)+IF(AND(O1529="FIRE TEX 5062",OR(E1529="IN",E1529="C",E1529="Z",E1529="L"),J1529=3),VLOOKUP(_xlfn.MINIFS('FIRE TEX 5062'!$B$4:$B$34,'FIRE TEX 5062'!$B$4:$B$34,"&gt;="&amp;M1529),'FIRE TEX 5062'!$B$4:$F$34,IF(L1529="F-15",2,IF(L1529="F-30",3,IF(L1529="F-60",4,IF(L1529="F-90",5,0)))),0),0)+IF(AND(O1529="FIRE TEX 5062",OR(E1529="IN",E1529="C",E1529="Z",E1529="L"),J1529=4),VLOOKUP(_xlfn.MINIFS('FIRE TEX 5062'!$G$4:$G$34,'FIRE TEX 5062'!$G$4:$G$34,"&gt;="&amp;M1529),'FIRE TEX 5062'!$G$4:$K$34,IF(L1529="F-15",2,IF(L1529="F-30",3,IF(L1529="F-60",4,IF(L1529="F-90",5,0)))),0),0)+IF(AND(O1529="FIRE TEX 5062",E1529="CJ",J1529=3),VLOOKUP(_xlfn.MINIFS('FIRE TEX 5062'!$L$4:$L$34,'FIRE TEX 5062'!$L$4:$L$34,"&gt;="&amp;M1529),'FIRE TEX 5062'!$L$4:$P$34,IF(L1529="F-15",2,IF(L1529="F-30",3,IF(L1529="F-60",4,IF(L1529="F-90",5,0)))),0),0)+IF(AND(O1529="FIRE TEX 5062",E1529="CJ",J1529=4),VLOOKUP(_xlfn.MINIFS('FIRE TEX 5062'!$Q$3:$Q$34,'FIRE TEX 5062'!$Q$3:$Q$34,"&gt;="&amp;M1529),'FIRE TEX 5062'!$Q$3:$U$34,IF(L1529="F-15",2,IF(L1529="F-30",3,IF(L1529="F-60",4,IF(L1529="F-90",5,0)))),0),0)+IF(AND(O1529="FIRE TEX 5090",OR(E1529="IN",E1529="C",E1529="Z",E1529="L"),J1529=3),VLOOKUP(_xlfn.MINIFS('FIRE TEX 5090'!$B$5:$B$43,'FIRE TEX 5090'!$B$5:$B$43,"&gt;="&amp;M1529),'FIRE TEX 5090'!$B$5:$H$43,IF(L1529="F-15",2,IF(L1529="F-30",3,IF(L1529="F-60",4,IF(L1529="F-90",5,IF(L1529="F-120",6,IF(L1529="F-150",7,0)))))),0),0)+IF(AND(O1529="FIRE TEX 5090",OR(E1529="IN",E1529="C",E1529="Z",E1529="L"),J1529=4),VLOOKUP(_xlfn.MINIFS('FIRE TEX 5090'!$J$5:$J$43,'FIRE TEX 5090'!$J$5:$J$43,"&gt;="&amp;M1529),'FIRE TEX 5090'!$J$5:$P$43,IF(L1529="F-15",2,IF(L1529="F-30",3,IF(L1529="F-60",4,IF(L1529="F-90",5,IF(L1529="F-120",6,IF(L1529="F-150",7,0)))))),0),0)+IF(AND(O1529="FIRE TEX 5090",E1529="CJ",J1529=3),VLOOKUP(_xlfn.MINIFS('FIRE TEX 5090'!$R$5:$R$30,'FIRE TEX 5090'!$R$5:$R$30,"&gt;="&amp;M1529),'FIRE TEX 5090'!$R$5:$W$30,IF(L1529="F-15",2,IF(L1529="F-30",3,IF(L1529="F-60",4,IF(L1529="F-90",5,IF(L1529="F-120",6,IF(L1529="F-150",7,0)))))),0),0)+IF(AND(O1529="FIRE TEX 5090",E1529="CJ",J1529=4),VLOOKUP(_xlfn.MINIFS('FIRE TEX 5090'!$Y$5:$Y$39,'FIRE TEX 5090'!$Y$5:$Y$39,"&gt;="&amp;M1529),'FIRE TEX 5090'!$Y$5:$AD$39,IF(L1529="F-15",2,IF(L1529="F-30",3,IF(L1529="F-60",4,IF(L1529="F-90",5,IF(L1529="F-120",6,IF(L1529="F-150",7,0)))))),0),0)+IF(AND(O1529="FIRE TEX 5120",OR(E1529="IN",E1529="C",E1529="Z",E1529="L"),J1529=3),VLOOKUP(_xlfn.MINIFS('FIRE TEX 5120'!$B$5:$B$40,'FIRE TEX 5120'!$B$5:$B$40,"&gt;="&amp;M1529),'FIRE TEX 5120'!$B$5:$G$40,IF(L1529="F-15",2,IF(L1529="F-30",3,IF(L1529="F-60",4,IF(L1529="F-90",5,IF(L1529="F-120",6,0))))),0),0)+IF(AND(O1529="FIRE TEX 5120",OR(E1529="IN",E1529="C",E1529="Z",E1529="L"),J1529=4),VLOOKUP(_xlfn.MINIFS('FIRE TEX 5120'!$H$4:$H$40,'FIRE TEX 5120'!$H$4:$H$40,"&gt;="&amp;M1529),'FIRE TEX 5120'!$H$4:$M$40,IF(L1529="F-15",2,IF(L1529="F-30",3,IF(L1529="F-60",4,IF(L1529="F-90",5,IF(L1529="F-120",6,0))))),0),0)+IF(AND(O1529="FIRE TEX 5120",E1529="CJ"),VLOOKUP(_xlfn.MINIFS('FIRE TEX 5120'!$O$5:$O$40,'FIRE TEX 5120'!$O$5:$O$40,"&gt;="&amp;M1529),'FIRE TEX 5120'!$O$5:$T$40,IF(L1529="F-15",2,IF(L1529="F-30",3,IF(L1529="F-60",4,IF(L1529="F-90",5,IF(L1529="F-120",6,0))))),0),0)</f>
        <v>0</v>
      </c>
      <c r="Q1529" s="46">
        <f t="shared" si="139"/>
        <v>0</v>
      </c>
      <c r="R1529" s="46">
        <f t="shared" si="140"/>
        <v>0</v>
      </c>
      <c r="S1529" s="46" t="e">
        <f t="shared" si="141"/>
        <v>#VALUE!</v>
      </c>
      <c r="T1529" s="677">
        <f t="shared" si="142"/>
        <v>0</v>
      </c>
      <c r="U1529" s="80">
        <f>(IF(O1529="Stofire",(S1529*#REF!),0))+(IF(O1529="Fire Control",(S1529*$U$2),0))+(IF(O1529="Fire Tex",(S1529*$U$3),0))+(IF(O1529="WB7",(S1529*#REF!),0)+(IF(O1529="FX 2003",(S1529*$U$5),0)))</f>
        <v>0</v>
      </c>
      <c r="V1529" s="651">
        <f t="shared" si="143"/>
        <v>0</v>
      </c>
    </row>
    <row r="1530" spans="4:22" x14ac:dyDescent="0.25">
      <c r="D1530" s="118">
        <f>+CUBICACION!D1529</f>
        <v>0</v>
      </c>
      <c r="E1530" s="118">
        <f>+CUBICACION!F1529</f>
        <v>0</v>
      </c>
      <c r="F1530" s="118">
        <f>+CUBICACION!E1529</f>
        <v>0</v>
      </c>
      <c r="G1530" s="118">
        <v>12</v>
      </c>
      <c r="H1530" s="118">
        <v>2</v>
      </c>
      <c r="I1530" s="820">
        <v>26385</v>
      </c>
      <c r="J1530" s="118">
        <f>+CUBICACION!J1529</f>
        <v>0</v>
      </c>
      <c r="K1530" s="118">
        <v>4309</v>
      </c>
      <c r="L1530" s="118">
        <f>+CUBICACION!L1529</f>
        <v>0</v>
      </c>
      <c r="M1530" s="64">
        <f>+CUBICACION!M1529</f>
        <v>0</v>
      </c>
      <c r="N1530" s="824" t="str">
        <f>+CUBICACION!N1529</f>
        <v/>
      </c>
      <c r="O1530" s="675">
        <f>+CUBICACION!O1529</f>
        <v>0</v>
      </c>
      <c r="P1530" s="15">
        <f>IF(O1530="Fire Control",VLOOKUP(_xlfn.MINIFS('FIRE CONTROL'!$C$4:$C$37,'FIRE CONTROL'!$C$4:$C$37,"&gt;="&amp;M1530),'FIRE CONTROL'!$C$4:$G$37,IF(L1530="F-15",2,IF(L1530="F-30",3,IF(L1530="F-60",4,IF(L1530="F-90",5,0)))),0),0)+IF(AND(O1530="FIRE TEX 5062",OR(E1530="IN",E1530="C",E1530="Z",E1530="L"),J1530=3),VLOOKUP(_xlfn.MINIFS('FIRE TEX 5062'!$B$4:$B$34,'FIRE TEX 5062'!$B$4:$B$34,"&gt;="&amp;M1530),'FIRE TEX 5062'!$B$4:$F$34,IF(L1530="F-15",2,IF(L1530="F-30",3,IF(L1530="F-60",4,IF(L1530="F-90",5,0)))),0),0)+IF(AND(O1530="FIRE TEX 5062",OR(E1530="IN",E1530="C",E1530="Z",E1530="L"),J1530=4),VLOOKUP(_xlfn.MINIFS('FIRE TEX 5062'!$G$4:$G$34,'FIRE TEX 5062'!$G$4:$G$34,"&gt;="&amp;M1530),'FIRE TEX 5062'!$G$4:$K$34,IF(L1530="F-15",2,IF(L1530="F-30",3,IF(L1530="F-60",4,IF(L1530="F-90",5,0)))),0),0)+IF(AND(O1530="FIRE TEX 5062",E1530="CJ",J1530=3),VLOOKUP(_xlfn.MINIFS('FIRE TEX 5062'!$L$4:$L$34,'FIRE TEX 5062'!$L$4:$L$34,"&gt;="&amp;M1530),'FIRE TEX 5062'!$L$4:$P$34,IF(L1530="F-15",2,IF(L1530="F-30",3,IF(L1530="F-60",4,IF(L1530="F-90",5,0)))),0),0)+IF(AND(O1530="FIRE TEX 5062",E1530="CJ",J1530=4),VLOOKUP(_xlfn.MINIFS('FIRE TEX 5062'!$Q$3:$Q$34,'FIRE TEX 5062'!$Q$3:$Q$34,"&gt;="&amp;M1530),'FIRE TEX 5062'!$Q$3:$U$34,IF(L1530="F-15",2,IF(L1530="F-30",3,IF(L1530="F-60",4,IF(L1530="F-90",5,0)))),0),0)+IF(AND(O1530="FIRE TEX 5090",OR(E1530="IN",E1530="C",E1530="Z",E1530="L"),J1530=3),VLOOKUP(_xlfn.MINIFS('FIRE TEX 5090'!$B$5:$B$43,'FIRE TEX 5090'!$B$5:$B$43,"&gt;="&amp;M1530),'FIRE TEX 5090'!$B$5:$H$43,IF(L1530="F-15",2,IF(L1530="F-30",3,IF(L1530="F-60",4,IF(L1530="F-90",5,IF(L1530="F-120",6,IF(L1530="F-150",7,0)))))),0),0)+IF(AND(O1530="FIRE TEX 5090",OR(E1530="IN",E1530="C",E1530="Z",E1530="L"),J1530=4),VLOOKUP(_xlfn.MINIFS('FIRE TEX 5090'!$J$5:$J$43,'FIRE TEX 5090'!$J$5:$J$43,"&gt;="&amp;M1530),'FIRE TEX 5090'!$J$5:$P$43,IF(L1530="F-15",2,IF(L1530="F-30",3,IF(L1530="F-60",4,IF(L1530="F-90",5,IF(L1530="F-120",6,IF(L1530="F-150",7,0)))))),0),0)+IF(AND(O1530="FIRE TEX 5090",E1530="CJ",J1530=3),VLOOKUP(_xlfn.MINIFS('FIRE TEX 5090'!$R$5:$R$30,'FIRE TEX 5090'!$R$5:$R$30,"&gt;="&amp;M1530),'FIRE TEX 5090'!$R$5:$W$30,IF(L1530="F-15",2,IF(L1530="F-30",3,IF(L1530="F-60",4,IF(L1530="F-90",5,IF(L1530="F-120",6,IF(L1530="F-150",7,0)))))),0),0)+IF(AND(O1530="FIRE TEX 5090",E1530="CJ",J1530=4),VLOOKUP(_xlfn.MINIFS('FIRE TEX 5090'!$Y$5:$Y$39,'FIRE TEX 5090'!$Y$5:$Y$39,"&gt;="&amp;M1530),'FIRE TEX 5090'!$Y$5:$AD$39,IF(L1530="F-15",2,IF(L1530="F-30",3,IF(L1530="F-60",4,IF(L1530="F-90",5,IF(L1530="F-120",6,IF(L1530="F-150",7,0)))))),0),0)+IF(AND(O1530="FIRE TEX 5120",OR(E1530="IN",E1530="C",E1530="Z",E1530="L"),J1530=3),VLOOKUP(_xlfn.MINIFS('FIRE TEX 5120'!$B$5:$B$40,'FIRE TEX 5120'!$B$5:$B$40,"&gt;="&amp;M1530),'FIRE TEX 5120'!$B$5:$G$40,IF(L1530="F-15",2,IF(L1530="F-30",3,IF(L1530="F-60",4,IF(L1530="F-90",5,IF(L1530="F-120",6,0))))),0),0)+IF(AND(O1530="FIRE TEX 5120",OR(E1530="IN",E1530="C",E1530="Z",E1530="L"),J1530=4),VLOOKUP(_xlfn.MINIFS('FIRE TEX 5120'!$H$4:$H$40,'FIRE TEX 5120'!$H$4:$H$40,"&gt;="&amp;M1530),'FIRE TEX 5120'!$H$4:$M$40,IF(L1530="F-15",2,IF(L1530="F-30",3,IF(L1530="F-60",4,IF(L1530="F-90",5,IF(L1530="F-120",6,0))))),0),0)+IF(AND(O1530="FIRE TEX 5120",E1530="CJ"),VLOOKUP(_xlfn.MINIFS('FIRE TEX 5120'!$O$5:$O$40,'FIRE TEX 5120'!$O$5:$O$40,"&gt;="&amp;M1530),'FIRE TEX 5120'!$O$5:$T$40,IF(L1530="F-15",2,IF(L1530="F-30",3,IF(L1530="F-60",4,IF(L1530="F-90",5,IF(L1530="F-120",6,0))))),0),0)</f>
        <v>0</v>
      </c>
      <c r="Q1530" s="46">
        <f t="shared" si="139"/>
        <v>0</v>
      </c>
      <c r="R1530" s="46">
        <f t="shared" si="140"/>
        <v>0</v>
      </c>
      <c r="S1530" s="46" t="e">
        <f t="shared" si="141"/>
        <v>#VALUE!</v>
      </c>
      <c r="T1530" s="677">
        <f t="shared" si="142"/>
        <v>0</v>
      </c>
      <c r="U1530" s="80">
        <f>(IF(O1530="Stofire",(S1530*#REF!),0))+(IF(O1530="Fire Control",(S1530*$U$2),0))+(IF(O1530="Fire Tex",(S1530*$U$3),0))+(IF(O1530="WB7",(S1530*#REF!),0)+(IF(O1530="FX 2003",(S1530*$U$5),0)))</f>
        <v>0</v>
      </c>
      <c r="V1530" s="651">
        <f t="shared" si="143"/>
        <v>0</v>
      </c>
    </row>
    <row r="1531" spans="4:22" x14ac:dyDescent="0.25">
      <c r="D1531" s="118">
        <f>+CUBICACION!D1530</f>
        <v>0</v>
      </c>
      <c r="E1531" s="118">
        <f>+CUBICACION!F1530</f>
        <v>0</v>
      </c>
      <c r="F1531" s="118">
        <f>+CUBICACION!E1530</f>
        <v>0</v>
      </c>
      <c r="G1531" s="118">
        <v>12</v>
      </c>
      <c r="H1531" s="118">
        <v>2</v>
      </c>
      <c r="I1531" s="820">
        <v>26385</v>
      </c>
      <c r="J1531" s="118">
        <f>+CUBICACION!J1530</f>
        <v>0</v>
      </c>
      <c r="K1531" s="118">
        <v>4310</v>
      </c>
      <c r="L1531" s="118">
        <f>+CUBICACION!L1530</f>
        <v>0</v>
      </c>
      <c r="M1531" s="64">
        <f>+CUBICACION!M1530</f>
        <v>0</v>
      </c>
      <c r="N1531" s="824" t="str">
        <f>+CUBICACION!N1530</f>
        <v/>
      </c>
      <c r="O1531" s="675">
        <f>+CUBICACION!O1530</f>
        <v>0</v>
      </c>
      <c r="P1531" s="15">
        <f>IF(O1531="Fire Control",VLOOKUP(_xlfn.MINIFS('FIRE CONTROL'!$C$4:$C$37,'FIRE CONTROL'!$C$4:$C$37,"&gt;="&amp;M1531),'FIRE CONTROL'!$C$4:$G$37,IF(L1531="F-15",2,IF(L1531="F-30",3,IF(L1531="F-60",4,IF(L1531="F-90",5,0)))),0),0)+IF(AND(O1531="FIRE TEX 5062",OR(E1531="IN",E1531="C",E1531="Z",E1531="L"),J1531=3),VLOOKUP(_xlfn.MINIFS('FIRE TEX 5062'!$B$4:$B$34,'FIRE TEX 5062'!$B$4:$B$34,"&gt;="&amp;M1531),'FIRE TEX 5062'!$B$4:$F$34,IF(L1531="F-15",2,IF(L1531="F-30",3,IF(L1531="F-60",4,IF(L1531="F-90",5,0)))),0),0)+IF(AND(O1531="FIRE TEX 5062",OR(E1531="IN",E1531="C",E1531="Z",E1531="L"),J1531=4),VLOOKUP(_xlfn.MINIFS('FIRE TEX 5062'!$G$4:$G$34,'FIRE TEX 5062'!$G$4:$G$34,"&gt;="&amp;M1531),'FIRE TEX 5062'!$G$4:$K$34,IF(L1531="F-15",2,IF(L1531="F-30",3,IF(L1531="F-60",4,IF(L1531="F-90",5,0)))),0),0)+IF(AND(O1531="FIRE TEX 5062",E1531="CJ",J1531=3),VLOOKUP(_xlfn.MINIFS('FIRE TEX 5062'!$L$4:$L$34,'FIRE TEX 5062'!$L$4:$L$34,"&gt;="&amp;M1531),'FIRE TEX 5062'!$L$4:$P$34,IF(L1531="F-15",2,IF(L1531="F-30",3,IF(L1531="F-60",4,IF(L1531="F-90",5,0)))),0),0)+IF(AND(O1531="FIRE TEX 5062",E1531="CJ",J1531=4),VLOOKUP(_xlfn.MINIFS('FIRE TEX 5062'!$Q$3:$Q$34,'FIRE TEX 5062'!$Q$3:$Q$34,"&gt;="&amp;M1531),'FIRE TEX 5062'!$Q$3:$U$34,IF(L1531="F-15",2,IF(L1531="F-30",3,IF(L1531="F-60",4,IF(L1531="F-90",5,0)))),0),0)+IF(AND(O1531="FIRE TEX 5090",OR(E1531="IN",E1531="C",E1531="Z",E1531="L"),J1531=3),VLOOKUP(_xlfn.MINIFS('FIRE TEX 5090'!$B$5:$B$43,'FIRE TEX 5090'!$B$5:$B$43,"&gt;="&amp;M1531),'FIRE TEX 5090'!$B$5:$H$43,IF(L1531="F-15",2,IF(L1531="F-30",3,IF(L1531="F-60",4,IF(L1531="F-90",5,IF(L1531="F-120",6,IF(L1531="F-150",7,0)))))),0),0)+IF(AND(O1531="FIRE TEX 5090",OR(E1531="IN",E1531="C",E1531="Z",E1531="L"),J1531=4),VLOOKUP(_xlfn.MINIFS('FIRE TEX 5090'!$J$5:$J$43,'FIRE TEX 5090'!$J$5:$J$43,"&gt;="&amp;M1531),'FIRE TEX 5090'!$J$5:$P$43,IF(L1531="F-15",2,IF(L1531="F-30",3,IF(L1531="F-60",4,IF(L1531="F-90",5,IF(L1531="F-120",6,IF(L1531="F-150",7,0)))))),0),0)+IF(AND(O1531="FIRE TEX 5090",E1531="CJ",J1531=3),VLOOKUP(_xlfn.MINIFS('FIRE TEX 5090'!$R$5:$R$30,'FIRE TEX 5090'!$R$5:$R$30,"&gt;="&amp;M1531),'FIRE TEX 5090'!$R$5:$W$30,IF(L1531="F-15",2,IF(L1531="F-30",3,IF(L1531="F-60",4,IF(L1531="F-90",5,IF(L1531="F-120",6,IF(L1531="F-150",7,0)))))),0),0)+IF(AND(O1531="FIRE TEX 5090",E1531="CJ",J1531=4),VLOOKUP(_xlfn.MINIFS('FIRE TEX 5090'!$Y$5:$Y$39,'FIRE TEX 5090'!$Y$5:$Y$39,"&gt;="&amp;M1531),'FIRE TEX 5090'!$Y$5:$AD$39,IF(L1531="F-15",2,IF(L1531="F-30",3,IF(L1531="F-60",4,IF(L1531="F-90",5,IF(L1531="F-120",6,IF(L1531="F-150",7,0)))))),0),0)+IF(AND(O1531="FIRE TEX 5120",OR(E1531="IN",E1531="C",E1531="Z",E1531="L"),J1531=3),VLOOKUP(_xlfn.MINIFS('FIRE TEX 5120'!$B$5:$B$40,'FIRE TEX 5120'!$B$5:$B$40,"&gt;="&amp;M1531),'FIRE TEX 5120'!$B$5:$G$40,IF(L1531="F-15",2,IF(L1531="F-30",3,IF(L1531="F-60",4,IF(L1531="F-90",5,IF(L1531="F-120",6,0))))),0),0)+IF(AND(O1531="FIRE TEX 5120",OR(E1531="IN",E1531="C",E1531="Z",E1531="L"),J1531=4),VLOOKUP(_xlfn.MINIFS('FIRE TEX 5120'!$H$4:$H$40,'FIRE TEX 5120'!$H$4:$H$40,"&gt;="&amp;M1531),'FIRE TEX 5120'!$H$4:$M$40,IF(L1531="F-15",2,IF(L1531="F-30",3,IF(L1531="F-60",4,IF(L1531="F-90",5,IF(L1531="F-120",6,0))))),0),0)+IF(AND(O1531="FIRE TEX 5120",E1531="CJ"),VLOOKUP(_xlfn.MINIFS('FIRE TEX 5120'!$O$5:$O$40,'FIRE TEX 5120'!$O$5:$O$40,"&gt;="&amp;M1531),'FIRE TEX 5120'!$O$5:$T$40,IF(L1531="F-15",2,IF(L1531="F-30",3,IF(L1531="F-60",4,IF(L1531="F-90",5,IF(L1531="F-120",6,0))))),0),0)</f>
        <v>0</v>
      </c>
      <c r="Q1531" s="46">
        <f t="shared" si="139"/>
        <v>0</v>
      </c>
      <c r="R1531" s="46">
        <f t="shared" si="140"/>
        <v>0</v>
      </c>
      <c r="S1531" s="46" t="e">
        <f t="shared" si="141"/>
        <v>#VALUE!</v>
      </c>
      <c r="T1531" s="677">
        <f t="shared" si="142"/>
        <v>0</v>
      </c>
      <c r="U1531" s="80">
        <f>(IF(O1531="Stofire",(S1531*#REF!),0))+(IF(O1531="Fire Control",(S1531*$U$2),0))+(IF(O1531="Fire Tex",(S1531*$U$3),0))+(IF(O1531="WB7",(S1531*#REF!),0)+(IF(O1531="FX 2003",(S1531*$U$5),0)))</f>
        <v>0</v>
      </c>
      <c r="V1531" s="651">
        <f t="shared" si="143"/>
        <v>0</v>
      </c>
    </row>
    <row r="1532" spans="4:22" x14ac:dyDescent="0.25">
      <c r="D1532" s="118">
        <f>+CUBICACION!D1531</f>
        <v>0</v>
      </c>
      <c r="E1532" s="118">
        <f>+CUBICACION!F1531</f>
        <v>0</v>
      </c>
      <c r="F1532" s="118">
        <f>+CUBICACION!E1531</f>
        <v>0</v>
      </c>
      <c r="G1532" s="118">
        <v>12</v>
      </c>
      <c r="H1532" s="118">
        <v>2</v>
      </c>
      <c r="I1532" s="820">
        <v>26385</v>
      </c>
      <c r="J1532" s="118">
        <f>+CUBICACION!J1531</f>
        <v>0</v>
      </c>
      <c r="K1532" s="118">
        <v>4311</v>
      </c>
      <c r="L1532" s="118">
        <f>+CUBICACION!L1531</f>
        <v>0</v>
      </c>
      <c r="M1532" s="64">
        <f>+CUBICACION!M1531</f>
        <v>0</v>
      </c>
      <c r="N1532" s="824" t="str">
        <f>+CUBICACION!N1531</f>
        <v/>
      </c>
      <c r="O1532" s="675">
        <f>+CUBICACION!O1531</f>
        <v>0</v>
      </c>
      <c r="P1532" s="15">
        <f>IF(O1532="Fire Control",VLOOKUP(_xlfn.MINIFS('FIRE CONTROL'!$C$4:$C$37,'FIRE CONTROL'!$C$4:$C$37,"&gt;="&amp;M1532),'FIRE CONTROL'!$C$4:$G$37,IF(L1532="F-15",2,IF(L1532="F-30",3,IF(L1532="F-60",4,IF(L1532="F-90",5,0)))),0),0)+IF(AND(O1532="FIRE TEX 5062",OR(E1532="IN",E1532="C",E1532="Z",E1532="L"),J1532=3),VLOOKUP(_xlfn.MINIFS('FIRE TEX 5062'!$B$4:$B$34,'FIRE TEX 5062'!$B$4:$B$34,"&gt;="&amp;M1532),'FIRE TEX 5062'!$B$4:$F$34,IF(L1532="F-15",2,IF(L1532="F-30",3,IF(L1532="F-60",4,IF(L1532="F-90",5,0)))),0),0)+IF(AND(O1532="FIRE TEX 5062",OR(E1532="IN",E1532="C",E1532="Z",E1532="L"),J1532=4),VLOOKUP(_xlfn.MINIFS('FIRE TEX 5062'!$G$4:$G$34,'FIRE TEX 5062'!$G$4:$G$34,"&gt;="&amp;M1532),'FIRE TEX 5062'!$G$4:$K$34,IF(L1532="F-15",2,IF(L1532="F-30",3,IF(L1532="F-60",4,IF(L1532="F-90",5,0)))),0),0)+IF(AND(O1532="FIRE TEX 5062",E1532="CJ",J1532=3),VLOOKUP(_xlfn.MINIFS('FIRE TEX 5062'!$L$4:$L$34,'FIRE TEX 5062'!$L$4:$L$34,"&gt;="&amp;M1532),'FIRE TEX 5062'!$L$4:$P$34,IF(L1532="F-15",2,IF(L1532="F-30",3,IF(L1532="F-60",4,IF(L1532="F-90",5,0)))),0),0)+IF(AND(O1532="FIRE TEX 5062",E1532="CJ",J1532=4),VLOOKUP(_xlfn.MINIFS('FIRE TEX 5062'!$Q$3:$Q$34,'FIRE TEX 5062'!$Q$3:$Q$34,"&gt;="&amp;M1532),'FIRE TEX 5062'!$Q$3:$U$34,IF(L1532="F-15",2,IF(L1532="F-30",3,IF(L1532="F-60",4,IF(L1532="F-90",5,0)))),0),0)+IF(AND(O1532="FIRE TEX 5090",OR(E1532="IN",E1532="C",E1532="Z",E1532="L"),J1532=3),VLOOKUP(_xlfn.MINIFS('FIRE TEX 5090'!$B$5:$B$43,'FIRE TEX 5090'!$B$5:$B$43,"&gt;="&amp;M1532),'FIRE TEX 5090'!$B$5:$H$43,IF(L1532="F-15",2,IF(L1532="F-30",3,IF(L1532="F-60",4,IF(L1532="F-90",5,IF(L1532="F-120",6,IF(L1532="F-150",7,0)))))),0),0)+IF(AND(O1532="FIRE TEX 5090",OR(E1532="IN",E1532="C",E1532="Z",E1532="L"),J1532=4),VLOOKUP(_xlfn.MINIFS('FIRE TEX 5090'!$J$5:$J$43,'FIRE TEX 5090'!$J$5:$J$43,"&gt;="&amp;M1532),'FIRE TEX 5090'!$J$5:$P$43,IF(L1532="F-15",2,IF(L1532="F-30",3,IF(L1532="F-60",4,IF(L1532="F-90",5,IF(L1532="F-120",6,IF(L1532="F-150",7,0)))))),0),0)+IF(AND(O1532="FIRE TEX 5090",E1532="CJ",J1532=3),VLOOKUP(_xlfn.MINIFS('FIRE TEX 5090'!$R$5:$R$30,'FIRE TEX 5090'!$R$5:$R$30,"&gt;="&amp;M1532),'FIRE TEX 5090'!$R$5:$W$30,IF(L1532="F-15",2,IF(L1532="F-30",3,IF(L1532="F-60",4,IF(L1532="F-90",5,IF(L1532="F-120",6,IF(L1532="F-150",7,0)))))),0),0)+IF(AND(O1532="FIRE TEX 5090",E1532="CJ",J1532=4),VLOOKUP(_xlfn.MINIFS('FIRE TEX 5090'!$Y$5:$Y$39,'FIRE TEX 5090'!$Y$5:$Y$39,"&gt;="&amp;M1532),'FIRE TEX 5090'!$Y$5:$AD$39,IF(L1532="F-15",2,IF(L1532="F-30",3,IF(L1532="F-60",4,IF(L1532="F-90",5,IF(L1532="F-120",6,IF(L1532="F-150",7,0)))))),0),0)+IF(AND(O1532="FIRE TEX 5120",OR(E1532="IN",E1532="C",E1532="Z",E1532="L"),J1532=3),VLOOKUP(_xlfn.MINIFS('FIRE TEX 5120'!$B$5:$B$40,'FIRE TEX 5120'!$B$5:$B$40,"&gt;="&amp;M1532),'FIRE TEX 5120'!$B$5:$G$40,IF(L1532="F-15",2,IF(L1532="F-30",3,IF(L1532="F-60",4,IF(L1532="F-90",5,IF(L1532="F-120",6,0))))),0),0)+IF(AND(O1532="FIRE TEX 5120",OR(E1532="IN",E1532="C",E1532="Z",E1532="L"),J1532=4),VLOOKUP(_xlfn.MINIFS('FIRE TEX 5120'!$H$4:$H$40,'FIRE TEX 5120'!$H$4:$H$40,"&gt;="&amp;M1532),'FIRE TEX 5120'!$H$4:$M$40,IF(L1532="F-15",2,IF(L1532="F-30",3,IF(L1532="F-60",4,IF(L1532="F-90",5,IF(L1532="F-120",6,0))))),0),0)+IF(AND(O1532="FIRE TEX 5120",E1532="CJ"),VLOOKUP(_xlfn.MINIFS('FIRE TEX 5120'!$O$5:$O$40,'FIRE TEX 5120'!$O$5:$O$40,"&gt;="&amp;M1532),'FIRE TEX 5120'!$O$5:$T$40,IF(L1532="F-15",2,IF(L1532="F-30",3,IF(L1532="F-60",4,IF(L1532="F-90",5,IF(L1532="F-120",6,0))))),0),0)</f>
        <v>0</v>
      </c>
      <c r="Q1532" s="46">
        <f t="shared" si="139"/>
        <v>0</v>
      </c>
      <c r="R1532" s="46">
        <f t="shared" si="140"/>
        <v>0</v>
      </c>
      <c r="S1532" s="46" t="e">
        <f t="shared" si="141"/>
        <v>#VALUE!</v>
      </c>
      <c r="T1532" s="677">
        <f t="shared" si="142"/>
        <v>0</v>
      </c>
      <c r="U1532" s="80">
        <f>(IF(O1532="Stofire",(S1532*#REF!),0))+(IF(O1532="Fire Control",(S1532*$U$2),0))+(IF(O1532="Fire Tex",(S1532*$U$3),0))+(IF(O1532="WB7",(S1532*#REF!),0)+(IF(O1532="FX 2003",(S1532*$U$5),0)))</f>
        <v>0</v>
      </c>
      <c r="V1532" s="651">
        <f t="shared" si="143"/>
        <v>0</v>
      </c>
    </row>
    <row r="1533" spans="4:22" x14ac:dyDescent="0.25">
      <c r="D1533" s="118">
        <f>+CUBICACION!D1532</f>
        <v>0</v>
      </c>
      <c r="E1533" s="118">
        <f>+CUBICACION!F1532</f>
        <v>0</v>
      </c>
      <c r="F1533" s="118">
        <f>+CUBICACION!E1532</f>
        <v>0</v>
      </c>
      <c r="G1533" s="118">
        <v>12</v>
      </c>
      <c r="H1533" s="118">
        <v>2</v>
      </c>
      <c r="I1533" s="820">
        <v>26385</v>
      </c>
      <c r="J1533" s="118">
        <f>+CUBICACION!J1532</f>
        <v>0</v>
      </c>
      <c r="K1533" s="118">
        <v>4312</v>
      </c>
      <c r="L1533" s="118">
        <f>+CUBICACION!L1532</f>
        <v>0</v>
      </c>
      <c r="M1533" s="64">
        <f>+CUBICACION!M1532</f>
        <v>0</v>
      </c>
      <c r="N1533" s="824" t="str">
        <f>+CUBICACION!N1532</f>
        <v/>
      </c>
      <c r="O1533" s="675">
        <f>+CUBICACION!O1532</f>
        <v>0</v>
      </c>
      <c r="P1533" s="15">
        <f>IF(O1533="Fire Control",VLOOKUP(_xlfn.MINIFS('FIRE CONTROL'!$C$4:$C$37,'FIRE CONTROL'!$C$4:$C$37,"&gt;="&amp;M1533),'FIRE CONTROL'!$C$4:$G$37,IF(L1533="F-15",2,IF(L1533="F-30",3,IF(L1533="F-60",4,IF(L1533="F-90",5,0)))),0),0)+IF(AND(O1533="FIRE TEX 5062",OR(E1533="IN",E1533="C",E1533="Z",E1533="L"),J1533=3),VLOOKUP(_xlfn.MINIFS('FIRE TEX 5062'!$B$4:$B$34,'FIRE TEX 5062'!$B$4:$B$34,"&gt;="&amp;M1533),'FIRE TEX 5062'!$B$4:$F$34,IF(L1533="F-15",2,IF(L1533="F-30",3,IF(L1533="F-60",4,IF(L1533="F-90",5,0)))),0),0)+IF(AND(O1533="FIRE TEX 5062",OR(E1533="IN",E1533="C",E1533="Z",E1533="L"),J1533=4),VLOOKUP(_xlfn.MINIFS('FIRE TEX 5062'!$G$4:$G$34,'FIRE TEX 5062'!$G$4:$G$34,"&gt;="&amp;M1533),'FIRE TEX 5062'!$G$4:$K$34,IF(L1533="F-15",2,IF(L1533="F-30",3,IF(L1533="F-60",4,IF(L1533="F-90",5,0)))),0),0)+IF(AND(O1533="FIRE TEX 5062",E1533="CJ",J1533=3),VLOOKUP(_xlfn.MINIFS('FIRE TEX 5062'!$L$4:$L$34,'FIRE TEX 5062'!$L$4:$L$34,"&gt;="&amp;M1533),'FIRE TEX 5062'!$L$4:$P$34,IF(L1533="F-15",2,IF(L1533="F-30",3,IF(L1533="F-60",4,IF(L1533="F-90",5,0)))),0),0)+IF(AND(O1533="FIRE TEX 5062",E1533="CJ",J1533=4),VLOOKUP(_xlfn.MINIFS('FIRE TEX 5062'!$Q$3:$Q$34,'FIRE TEX 5062'!$Q$3:$Q$34,"&gt;="&amp;M1533),'FIRE TEX 5062'!$Q$3:$U$34,IF(L1533="F-15",2,IF(L1533="F-30",3,IF(L1533="F-60",4,IF(L1533="F-90",5,0)))),0),0)+IF(AND(O1533="FIRE TEX 5090",OR(E1533="IN",E1533="C",E1533="Z",E1533="L"),J1533=3),VLOOKUP(_xlfn.MINIFS('FIRE TEX 5090'!$B$5:$B$43,'FIRE TEX 5090'!$B$5:$B$43,"&gt;="&amp;M1533),'FIRE TEX 5090'!$B$5:$H$43,IF(L1533="F-15",2,IF(L1533="F-30",3,IF(L1533="F-60",4,IF(L1533="F-90",5,IF(L1533="F-120",6,IF(L1533="F-150",7,0)))))),0),0)+IF(AND(O1533="FIRE TEX 5090",OR(E1533="IN",E1533="C",E1533="Z",E1533="L"),J1533=4),VLOOKUP(_xlfn.MINIFS('FIRE TEX 5090'!$J$5:$J$43,'FIRE TEX 5090'!$J$5:$J$43,"&gt;="&amp;M1533),'FIRE TEX 5090'!$J$5:$P$43,IF(L1533="F-15",2,IF(L1533="F-30",3,IF(L1533="F-60",4,IF(L1533="F-90",5,IF(L1533="F-120",6,IF(L1533="F-150",7,0)))))),0),0)+IF(AND(O1533="FIRE TEX 5090",E1533="CJ",J1533=3),VLOOKUP(_xlfn.MINIFS('FIRE TEX 5090'!$R$5:$R$30,'FIRE TEX 5090'!$R$5:$R$30,"&gt;="&amp;M1533),'FIRE TEX 5090'!$R$5:$W$30,IF(L1533="F-15",2,IF(L1533="F-30",3,IF(L1533="F-60",4,IF(L1533="F-90",5,IF(L1533="F-120",6,IF(L1533="F-150",7,0)))))),0),0)+IF(AND(O1533="FIRE TEX 5090",E1533="CJ",J1533=4),VLOOKUP(_xlfn.MINIFS('FIRE TEX 5090'!$Y$5:$Y$39,'FIRE TEX 5090'!$Y$5:$Y$39,"&gt;="&amp;M1533),'FIRE TEX 5090'!$Y$5:$AD$39,IF(L1533="F-15",2,IF(L1533="F-30",3,IF(L1533="F-60",4,IF(L1533="F-90",5,IF(L1533="F-120",6,IF(L1533="F-150",7,0)))))),0),0)+IF(AND(O1533="FIRE TEX 5120",OR(E1533="IN",E1533="C",E1533="Z",E1533="L"),J1533=3),VLOOKUP(_xlfn.MINIFS('FIRE TEX 5120'!$B$5:$B$40,'FIRE TEX 5120'!$B$5:$B$40,"&gt;="&amp;M1533),'FIRE TEX 5120'!$B$5:$G$40,IF(L1533="F-15",2,IF(L1533="F-30",3,IF(L1533="F-60",4,IF(L1533="F-90",5,IF(L1533="F-120",6,0))))),0),0)+IF(AND(O1533="FIRE TEX 5120",OR(E1533="IN",E1533="C",E1533="Z",E1533="L"),J1533=4),VLOOKUP(_xlfn.MINIFS('FIRE TEX 5120'!$H$4:$H$40,'FIRE TEX 5120'!$H$4:$H$40,"&gt;="&amp;M1533),'FIRE TEX 5120'!$H$4:$M$40,IF(L1533="F-15",2,IF(L1533="F-30",3,IF(L1533="F-60",4,IF(L1533="F-90",5,IF(L1533="F-120",6,0))))),0),0)+IF(AND(O1533="FIRE TEX 5120",E1533="CJ"),VLOOKUP(_xlfn.MINIFS('FIRE TEX 5120'!$O$5:$O$40,'FIRE TEX 5120'!$O$5:$O$40,"&gt;="&amp;M1533),'FIRE TEX 5120'!$O$5:$T$40,IF(L1533="F-15",2,IF(L1533="F-30",3,IF(L1533="F-60",4,IF(L1533="F-90",5,IF(L1533="F-120",6,0))))),0),0)</f>
        <v>0</v>
      </c>
      <c r="Q1533" s="46">
        <f t="shared" si="139"/>
        <v>0</v>
      </c>
      <c r="R1533" s="46">
        <f t="shared" si="140"/>
        <v>0</v>
      </c>
      <c r="S1533" s="46" t="e">
        <f t="shared" si="141"/>
        <v>#VALUE!</v>
      </c>
      <c r="T1533" s="677">
        <f t="shared" si="142"/>
        <v>0</v>
      </c>
      <c r="U1533" s="80">
        <f>(IF(O1533="Stofire",(S1533*#REF!),0))+(IF(O1533="Fire Control",(S1533*$U$2),0))+(IF(O1533="Fire Tex",(S1533*$U$3),0))+(IF(O1533="WB7",(S1533*#REF!),0)+(IF(O1533="FX 2003",(S1533*$U$5),0)))</f>
        <v>0</v>
      </c>
      <c r="V1533" s="651">
        <f t="shared" si="143"/>
        <v>0</v>
      </c>
    </row>
    <row r="1534" spans="4:22" x14ac:dyDescent="0.25">
      <c r="D1534" s="118">
        <f>+CUBICACION!D1533</f>
        <v>0</v>
      </c>
      <c r="E1534" s="118">
        <f>+CUBICACION!F1533</f>
        <v>0</v>
      </c>
      <c r="F1534" s="118">
        <f>+CUBICACION!E1533</f>
        <v>0</v>
      </c>
      <c r="G1534" s="118">
        <v>12</v>
      </c>
      <c r="H1534" s="118">
        <v>2</v>
      </c>
      <c r="I1534" s="820">
        <v>26385</v>
      </c>
      <c r="J1534" s="118">
        <f>+CUBICACION!J1533</f>
        <v>0</v>
      </c>
      <c r="K1534" s="118">
        <v>4313</v>
      </c>
      <c r="L1534" s="118">
        <f>+CUBICACION!L1533</f>
        <v>0</v>
      </c>
      <c r="M1534" s="64">
        <f>+CUBICACION!M1533</f>
        <v>0</v>
      </c>
      <c r="N1534" s="824" t="str">
        <f>+CUBICACION!N1533</f>
        <v/>
      </c>
      <c r="O1534" s="675">
        <f>+CUBICACION!O1533</f>
        <v>0</v>
      </c>
      <c r="P1534" s="15">
        <f>IF(O1534="Fire Control",VLOOKUP(_xlfn.MINIFS('FIRE CONTROL'!$C$4:$C$37,'FIRE CONTROL'!$C$4:$C$37,"&gt;="&amp;M1534),'FIRE CONTROL'!$C$4:$G$37,IF(L1534="F-15",2,IF(L1534="F-30",3,IF(L1534="F-60",4,IF(L1534="F-90",5,0)))),0),0)+IF(AND(O1534="FIRE TEX 5062",OR(E1534="IN",E1534="C",E1534="Z",E1534="L"),J1534=3),VLOOKUP(_xlfn.MINIFS('FIRE TEX 5062'!$B$4:$B$34,'FIRE TEX 5062'!$B$4:$B$34,"&gt;="&amp;M1534),'FIRE TEX 5062'!$B$4:$F$34,IF(L1534="F-15",2,IF(L1534="F-30",3,IF(L1534="F-60",4,IF(L1534="F-90",5,0)))),0),0)+IF(AND(O1534="FIRE TEX 5062",OR(E1534="IN",E1534="C",E1534="Z",E1534="L"),J1534=4),VLOOKUP(_xlfn.MINIFS('FIRE TEX 5062'!$G$4:$G$34,'FIRE TEX 5062'!$G$4:$G$34,"&gt;="&amp;M1534),'FIRE TEX 5062'!$G$4:$K$34,IF(L1534="F-15",2,IF(L1534="F-30",3,IF(L1534="F-60",4,IF(L1534="F-90",5,0)))),0),0)+IF(AND(O1534="FIRE TEX 5062",E1534="CJ",J1534=3),VLOOKUP(_xlfn.MINIFS('FIRE TEX 5062'!$L$4:$L$34,'FIRE TEX 5062'!$L$4:$L$34,"&gt;="&amp;M1534),'FIRE TEX 5062'!$L$4:$P$34,IF(L1534="F-15",2,IF(L1534="F-30",3,IF(L1534="F-60",4,IF(L1534="F-90",5,0)))),0),0)+IF(AND(O1534="FIRE TEX 5062",E1534="CJ",J1534=4),VLOOKUP(_xlfn.MINIFS('FIRE TEX 5062'!$Q$3:$Q$34,'FIRE TEX 5062'!$Q$3:$Q$34,"&gt;="&amp;M1534),'FIRE TEX 5062'!$Q$3:$U$34,IF(L1534="F-15",2,IF(L1534="F-30",3,IF(L1534="F-60",4,IF(L1534="F-90",5,0)))),0),0)+IF(AND(O1534="FIRE TEX 5090",OR(E1534="IN",E1534="C",E1534="Z",E1534="L"),J1534=3),VLOOKUP(_xlfn.MINIFS('FIRE TEX 5090'!$B$5:$B$43,'FIRE TEX 5090'!$B$5:$B$43,"&gt;="&amp;M1534),'FIRE TEX 5090'!$B$5:$H$43,IF(L1534="F-15",2,IF(L1534="F-30",3,IF(L1534="F-60",4,IF(L1534="F-90",5,IF(L1534="F-120",6,IF(L1534="F-150",7,0)))))),0),0)+IF(AND(O1534="FIRE TEX 5090",OR(E1534="IN",E1534="C",E1534="Z",E1534="L"),J1534=4),VLOOKUP(_xlfn.MINIFS('FIRE TEX 5090'!$J$5:$J$43,'FIRE TEX 5090'!$J$5:$J$43,"&gt;="&amp;M1534),'FIRE TEX 5090'!$J$5:$P$43,IF(L1534="F-15",2,IF(L1534="F-30",3,IF(L1534="F-60",4,IF(L1534="F-90",5,IF(L1534="F-120",6,IF(L1534="F-150",7,0)))))),0),0)+IF(AND(O1534="FIRE TEX 5090",E1534="CJ",J1534=3),VLOOKUP(_xlfn.MINIFS('FIRE TEX 5090'!$R$5:$R$30,'FIRE TEX 5090'!$R$5:$R$30,"&gt;="&amp;M1534),'FIRE TEX 5090'!$R$5:$W$30,IF(L1534="F-15",2,IF(L1534="F-30",3,IF(L1534="F-60",4,IF(L1534="F-90",5,IF(L1534="F-120",6,IF(L1534="F-150",7,0)))))),0),0)+IF(AND(O1534="FIRE TEX 5090",E1534="CJ",J1534=4),VLOOKUP(_xlfn.MINIFS('FIRE TEX 5090'!$Y$5:$Y$39,'FIRE TEX 5090'!$Y$5:$Y$39,"&gt;="&amp;M1534),'FIRE TEX 5090'!$Y$5:$AD$39,IF(L1534="F-15",2,IF(L1534="F-30",3,IF(L1534="F-60",4,IF(L1534="F-90",5,IF(L1534="F-120",6,IF(L1534="F-150",7,0)))))),0),0)+IF(AND(O1534="FIRE TEX 5120",OR(E1534="IN",E1534="C",E1534="Z",E1534="L"),J1534=3),VLOOKUP(_xlfn.MINIFS('FIRE TEX 5120'!$B$5:$B$40,'FIRE TEX 5120'!$B$5:$B$40,"&gt;="&amp;M1534),'FIRE TEX 5120'!$B$5:$G$40,IF(L1534="F-15",2,IF(L1534="F-30",3,IF(L1534="F-60",4,IF(L1534="F-90",5,IF(L1534="F-120",6,0))))),0),0)+IF(AND(O1534="FIRE TEX 5120",OR(E1534="IN",E1534="C",E1534="Z",E1534="L"),J1534=4),VLOOKUP(_xlfn.MINIFS('FIRE TEX 5120'!$H$4:$H$40,'FIRE TEX 5120'!$H$4:$H$40,"&gt;="&amp;M1534),'FIRE TEX 5120'!$H$4:$M$40,IF(L1534="F-15",2,IF(L1534="F-30",3,IF(L1534="F-60",4,IF(L1534="F-90",5,IF(L1534="F-120",6,0))))),0),0)+IF(AND(O1534="FIRE TEX 5120",E1534="CJ"),VLOOKUP(_xlfn.MINIFS('FIRE TEX 5120'!$O$5:$O$40,'FIRE TEX 5120'!$O$5:$O$40,"&gt;="&amp;M1534),'FIRE TEX 5120'!$O$5:$T$40,IF(L1534="F-15",2,IF(L1534="F-30",3,IF(L1534="F-60",4,IF(L1534="F-90",5,IF(L1534="F-120",6,0))))),0),0)</f>
        <v>0</v>
      </c>
      <c r="Q1534" s="46">
        <f t="shared" si="139"/>
        <v>0</v>
      </c>
      <c r="R1534" s="46">
        <f t="shared" si="140"/>
        <v>0</v>
      </c>
      <c r="S1534" s="46" t="e">
        <f t="shared" si="141"/>
        <v>#VALUE!</v>
      </c>
      <c r="T1534" s="677">
        <f t="shared" si="142"/>
        <v>0</v>
      </c>
      <c r="U1534" s="80">
        <f>(IF(O1534="Stofire",(S1534*#REF!),0))+(IF(O1534="Fire Control",(S1534*$U$2),0))+(IF(O1534="Fire Tex",(S1534*$U$3),0))+(IF(O1534="WB7",(S1534*#REF!),0)+(IF(O1534="FX 2003",(S1534*$U$5),0)))</f>
        <v>0</v>
      </c>
      <c r="V1534" s="651">
        <f t="shared" si="143"/>
        <v>0</v>
      </c>
    </row>
    <row r="1535" spans="4:22" x14ac:dyDescent="0.25">
      <c r="D1535" s="118">
        <f>+CUBICACION!D1534</f>
        <v>0</v>
      </c>
      <c r="E1535" s="118">
        <f>+CUBICACION!F1534</f>
        <v>0</v>
      </c>
      <c r="F1535" s="118">
        <f>+CUBICACION!E1534</f>
        <v>0</v>
      </c>
      <c r="G1535" s="118">
        <v>12</v>
      </c>
      <c r="H1535" s="118">
        <v>2</v>
      </c>
      <c r="I1535" s="820">
        <v>26385</v>
      </c>
      <c r="J1535" s="118">
        <f>+CUBICACION!J1534</f>
        <v>0</v>
      </c>
      <c r="K1535" s="118">
        <v>4314</v>
      </c>
      <c r="L1535" s="118">
        <f>+CUBICACION!L1534</f>
        <v>0</v>
      </c>
      <c r="M1535" s="64">
        <f>+CUBICACION!M1534</f>
        <v>0</v>
      </c>
      <c r="N1535" s="824" t="str">
        <f>+CUBICACION!N1534</f>
        <v/>
      </c>
      <c r="O1535" s="675">
        <f>+CUBICACION!O1534</f>
        <v>0</v>
      </c>
      <c r="P1535" s="15">
        <f>IF(O1535="Fire Control",VLOOKUP(_xlfn.MINIFS('FIRE CONTROL'!$C$4:$C$37,'FIRE CONTROL'!$C$4:$C$37,"&gt;="&amp;M1535),'FIRE CONTROL'!$C$4:$G$37,IF(L1535="F-15",2,IF(L1535="F-30",3,IF(L1535="F-60",4,IF(L1535="F-90",5,0)))),0),0)+IF(AND(O1535="FIRE TEX 5062",OR(E1535="IN",E1535="C",E1535="Z",E1535="L"),J1535=3),VLOOKUP(_xlfn.MINIFS('FIRE TEX 5062'!$B$4:$B$34,'FIRE TEX 5062'!$B$4:$B$34,"&gt;="&amp;M1535),'FIRE TEX 5062'!$B$4:$F$34,IF(L1535="F-15",2,IF(L1535="F-30",3,IF(L1535="F-60",4,IF(L1535="F-90",5,0)))),0),0)+IF(AND(O1535="FIRE TEX 5062",OR(E1535="IN",E1535="C",E1535="Z",E1535="L"),J1535=4),VLOOKUP(_xlfn.MINIFS('FIRE TEX 5062'!$G$4:$G$34,'FIRE TEX 5062'!$G$4:$G$34,"&gt;="&amp;M1535),'FIRE TEX 5062'!$G$4:$K$34,IF(L1535="F-15",2,IF(L1535="F-30",3,IF(L1535="F-60",4,IF(L1535="F-90",5,0)))),0),0)+IF(AND(O1535="FIRE TEX 5062",E1535="CJ",J1535=3),VLOOKUP(_xlfn.MINIFS('FIRE TEX 5062'!$L$4:$L$34,'FIRE TEX 5062'!$L$4:$L$34,"&gt;="&amp;M1535),'FIRE TEX 5062'!$L$4:$P$34,IF(L1535="F-15",2,IF(L1535="F-30",3,IF(L1535="F-60",4,IF(L1535="F-90",5,0)))),0),0)+IF(AND(O1535="FIRE TEX 5062",E1535="CJ",J1535=4),VLOOKUP(_xlfn.MINIFS('FIRE TEX 5062'!$Q$3:$Q$34,'FIRE TEX 5062'!$Q$3:$Q$34,"&gt;="&amp;M1535),'FIRE TEX 5062'!$Q$3:$U$34,IF(L1535="F-15",2,IF(L1535="F-30",3,IF(L1535="F-60",4,IF(L1535="F-90",5,0)))),0),0)+IF(AND(O1535="FIRE TEX 5090",OR(E1535="IN",E1535="C",E1535="Z",E1535="L"),J1535=3),VLOOKUP(_xlfn.MINIFS('FIRE TEX 5090'!$B$5:$B$43,'FIRE TEX 5090'!$B$5:$B$43,"&gt;="&amp;M1535),'FIRE TEX 5090'!$B$5:$H$43,IF(L1535="F-15",2,IF(L1535="F-30",3,IF(L1535="F-60",4,IF(L1535="F-90",5,IF(L1535="F-120",6,IF(L1535="F-150",7,0)))))),0),0)+IF(AND(O1535="FIRE TEX 5090",OR(E1535="IN",E1535="C",E1535="Z",E1535="L"),J1535=4),VLOOKUP(_xlfn.MINIFS('FIRE TEX 5090'!$J$5:$J$43,'FIRE TEX 5090'!$J$5:$J$43,"&gt;="&amp;M1535),'FIRE TEX 5090'!$J$5:$P$43,IF(L1535="F-15",2,IF(L1535="F-30",3,IF(L1535="F-60",4,IF(L1535="F-90",5,IF(L1535="F-120",6,IF(L1535="F-150",7,0)))))),0),0)+IF(AND(O1535="FIRE TEX 5090",E1535="CJ",J1535=3),VLOOKUP(_xlfn.MINIFS('FIRE TEX 5090'!$R$5:$R$30,'FIRE TEX 5090'!$R$5:$R$30,"&gt;="&amp;M1535),'FIRE TEX 5090'!$R$5:$W$30,IF(L1535="F-15",2,IF(L1535="F-30",3,IF(L1535="F-60",4,IF(L1535="F-90",5,IF(L1535="F-120",6,IF(L1535="F-150",7,0)))))),0),0)+IF(AND(O1535="FIRE TEX 5090",E1535="CJ",J1535=4),VLOOKUP(_xlfn.MINIFS('FIRE TEX 5090'!$Y$5:$Y$39,'FIRE TEX 5090'!$Y$5:$Y$39,"&gt;="&amp;M1535),'FIRE TEX 5090'!$Y$5:$AD$39,IF(L1535="F-15",2,IF(L1535="F-30",3,IF(L1535="F-60",4,IF(L1535="F-90",5,IF(L1535="F-120",6,IF(L1535="F-150",7,0)))))),0),0)+IF(AND(O1535="FIRE TEX 5120",OR(E1535="IN",E1535="C",E1535="Z",E1535="L"),J1535=3),VLOOKUP(_xlfn.MINIFS('FIRE TEX 5120'!$B$5:$B$40,'FIRE TEX 5120'!$B$5:$B$40,"&gt;="&amp;M1535),'FIRE TEX 5120'!$B$5:$G$40,IF(L1535="F-15",2,IF(L1535="F-30",3,IF(L1535="F-60",4,IF(L1535="F-90",5,IF(L1535="F-120",6,0))))),0),0)+IF(AND(O1535="FIRE TEX 5120",OR(E1535="IN",E1535="C",E1535="Z",E1535="L"),J1535=4),VLOOKUP(_xlfn.MINIFS('FIRE TEX 5120'!$H$4:$H$40,'FIRE TEX 5120'!$H$4:$H$40,"&gt;="&amp;M1535),'FIRE TEX 5120'!$H$4:$M$40,IF(L1535="F-15",2,IF(L1535="F-30",3,IF(L1535="F-60",4,IF(L1535="F-90",5,IF(L1535="F-120",6,0))))),0),0)+IF(AND(O1535="FIRE TEX 5120",E1535="CJ"),VLOOKUP(_xlfn.MINIFS('FIRE TEX 5120'!$O$5:$O$40,'FIRE TEX 5120'!$O$5:$O$40,"&gt;="&amp;M1535),'FIRE TEX 5120'!$O$5:$T$40,IF(L1535="F-15",2,IF(L1535="F-30",3,IF(L1535="F-60",4,IF(L1535="F-90",5,IF(L1535="F-120",6,0))))),0),0)</f>
        <v>0</v>
      </c>
      <c r="Q1535" s="46">
        <f t="shared" si="139"/>
        <v>0</v>
      </c>
      <c r="R1535" s="46">
        <f t="shared" si="140"/>
        <v>0</v>
      </c>
      <c r="S1535" s="46" t="e">
        <f t="shared" si="141"/>
        <v>#VALUE!</v>
      </c>
      <c r="T1535" s="677">
        <f t="shared" si="142"/>
        <v>0</v>
      </c>
      <c r="U1535" s="80">
        <f>(IF(O1535="Stofire",(S1535*#REF!),0))+(IF(O1535="Fire Control",(S1535*$U$2),0))+(IF(O1535="Fire Tex",(S1535*$U$3),0))+(IF(O1535="WB7",(S1535*#REF!),0)+(IF(O1535="FX 2003",(S1535*$U$5),0)))</f>
        <v>0</v>
      </c>
      <c r="V1535" s="651">
        <f t="shared" si="143"/>
        <v>0</v>
      </c>
    </row>
    <row r="1536" spans="4:22" x14ac:dyDescent="0.25">
      <c r="D1536" s="118">
        <f>+CUBICACION!D1535</f>
        <v>0</v>
      </c>
      <c r="E1536" s="118">
        <f>+CUBICACION!F1535</f>
        <v>0</v>
      </c>
      <c r="F1536" s="118">
        <f>+CUBICACION!E1535</f>
        <v>0</v>
      </c>
      <c r="G1536" s="118">
        <v>12</v>
      </c>
      <c r="H1536" s="118">
        <v>2</v>
      </c>
      <c r="I1536" s="820">
        <v>26385</v>
      </c>
      <c r="J1536" s="118">
        <f>+CUBICACION!J1535</f>
        <v>0</v>
      </c>
      <c r="K1536" s="118">
        <v>4315</v>
      </c>
      <c r="L1536" s="118">
        <f>+CUBICACION!L1535</f>
        <v>0</v>
      </c>
      <c r="M1536" s="64">
        <f>+CUBICACION!M1535</f>
        <v>0</v>
      </c>
      <c r="N1536" s="824" t="str">
        <f>+CUBICACION!N1535</f>
        <v/>
      </c>
      <c r="O1536" s="675">
        <f>+CUBICACION!O1535</f>
        <v>0</v>
      </c>
      <c r="P1536" s="15">
        <f>IF(O1536="Fire Control",VLOOKUP(_xlfn.MINIFS('FIRE CONTROL'!$C$4:$C$37,'FIRE CONTROL'!$C$4:$C$37,"&gt;="&amp;M1536),'FIRE CONTROL'!$C$4:$G$37,IF(L1536="F-15",2,IF(L1536="F-30",3,IF(L1536="F-60",4,IF(L1536="F-90",5,0)))),0),0)+IF(AND(O1536="FIRE TEX 5062",OR(E1536="IN",E1536="C",E1536="Z",E1536="L"),J1536=3),VLOOKUP(_xlfn.MINIFS('FIRE TEX 5062'!$B$4:$B$34,'FIRE TEX 5062'!$B$4:$B$34,"&gt;="&amp;M1536),'FIRE TEX 5062'!$B$4:$F$34,IF(L1536="F-15",2,IF(L1536="F-30",3,IF(L1536="F-60",4,IF(L1536="F-90",5,0)))),0),0)+IF(AND(O1536="FIRE TEX 5062",OR(E1536="IN",E1536="C",E1536="Z",E1536="L"),J1536=4),VLOOKUP(_xlfn.MINIFS('FIRE TEX 5062'!$G$4:$G$34,'FIRE TEX 5062'!$G$4:$G$34,"&gt;="&amp;M1536),'FIRE TEX 5062'!$G$4:$K$34,IF(L1536="F-15",2,IF(L1536="F-30",3,IF(L1536="F-60",4,IF(L1536="F-90",5,0)))),0),0)+IF(AND(O1536="FIRE TEX 5062",E1536="CJ",J1536=3),VLOOKUP(_xlfn.MINIFS('FIRE TEX 5062'!$L$4:$L$34,'FIRE TEX 5062'!$L$4:$L$34,"&gt;="&amp;M1536),'FIRE TEX 5062'!$L$4:$P$34,IF(L1536="F-15",2,IF(L1536="F-30",3,IF(L1536="F-60",4,IF(L1536="F-90",5,0)))),0),0)+IF(AND(O1536="FIRE TEX 5062",E1536="CJ",J1536=4),VLOOKUP(_xlfn.MINIFS('FIRE TEX 5062'!$Q$3:$Q$34,'FIRE TEX 5062'!$Q$3:$Q$34,"&gt;="&amp;M1536),'FIRE TEX 5062'!$Q$3:$U$34,IF(L1536="F-15",2,IF(L1536="F-30",3,IF(L1536="F-60",4,IF(L1536="F-90",5,0)))),0),0)+IF(AND(O1536="FIRE TEX 5090",OR(E1536="IN",E1536="C",E1536="Z",E1536="L"),J1536=3),VLOOKUP(_xlfn.MINIFS('FIRE TEX 5090'!$B$5:$B$43,'FIRE TEX 5090'!$B$5:$B$43,"&gt;="&amp;M1536),'FIRE TEX 5090'!$B$5:$H$43,IF(L1536="F-15",2,IF(L1536="F-30",3,IF(L1536="F-60",4,IF(L1536="F-90",5,IF(L1536="F-120",6,IF(L1536="F-150",7,0)))))),0),0)+IF(AND(O1536="FIRE TEX 5090",OR(E1536="IN",E1536="C",E1536="Z",E1536="L"),J1536=4),VLOOKUP(_xlfn.MINIFS('FIRE TEX 5090'!$J$5:$J$43,'FIRE TEX 5090'!$J$5:$J$43,"&gt;="&amp;M1536),'FIRE TEX 5090'!$J$5:$P$43,IF(L1536="F-15",2,IF(L1536="F-30",3,IF(L1536="F-60",4,IF(L1536="F-90",5,IF(L1536="F-120",6,IF(L1536="F-150",7,0)))))),0),0)+IF(AND(O1536="FIRE TEX 5090",E1536="CJ",J1536=3),VLOOKUP(_xlfn.MINIFS('FIRE TEX 5090'!$R$5:$R$30,'FIRE TEX 5090'!$R$5:$R$30,"&gt;="&amp;M1536),'FIRE TEX 5090'!$R$5:$W$30,IF(L1536="F-15",2,IF(L1536="F-30",3,IF(L1536="F-60",4,IF(L1536="F-90",5,IF(L1536="F-120",6,IF(L1536="F-150",7,0)))))),0),0)+IF(AND(O1536="FIRE TEX 5090",E1536="CJ",J1536=4),VLOOKUP(_xlfn.MINIFS('FIRE TEX 5090'!$Y$5:$Y$39,'FIRE TEX 5090'!$Y$5:$Y$39,"&gt;="&amp;M1536),'FIRE TEX 5090'!$Y$5:$AD$39,IF(L1536="F-15",2,IF(L1536="F-30",3,IF(L1536="F-60",4,IF(L1536="F-90",5,IF(L1536="F-120",6,IF(L1536="F-150",7,0)))))),0),0)+IF(AND(O1536="FIRE TEX 5120",OR(E1536="IN",E1536="C",E1536="Z",E1536="L"),J1536=3),VLOOKUP(_xlfn.MINIFS('FIRE TEX 5120'!$B$5:$B$40,'FIRE TEX 5120'!$B$5:$B$40,"&gt;="&amp;M1536),'FIRE TEX 5120'!$B$5:$G$40,IF(L1536="F-15",2,IF(L1536="F-30",3,IF(L1536="F-60",4,IF(L1536="F-90",5,IF(L1536="F-120",6,0))))),0),0)+IF(AND(O1536="FIRE TEX 5120",OR(E1536="IN",E1536="C",E1536="Z",E1536="L"),J1536=4),VLOOKUP(_xlfn.MINIFS('FIRE TEX 5120'!$H$4:$H$40,'FIRE TEX 5120'!$H$4:$H$40,"&gt;="&amp;M1536),'FIRE TEX 5120'!$H$4:$M$40,IF(L1536="F-15",2,IF(L1536="F-30",3,IF(L1536="F-60",4,IF(L1536="F-90",5,IF(L1536="F-120",6,0))))),0),0)+IF(AND(O1536="FIRE TEX 5120",E1536="CJ"),VLOOKUP(_xlfn.MINIFS('FIRE TEX 5120'!$O$5:$O$40,'FIRE TEX 5120'!$O$5:$O$40,"&gt;="&amp;M1536),'FIRE TEX 5120'!$O$5:$T$40,IF(L1536="F-15",2,IF(L1536="F-30",3,IF(L1536="F-60",4,IF(L1536="F-90",5,IF(L1536="F-120",6,0))))),0),0)</f>
        <v>0</v>
      </c>
      <c r="Q1536" s="46">
        <f t="shared" si="139"/>
        <v>0</v>
      </c>
      <c r="R1536" s="46">
        <f t="shared" si="140"/>
        <v>0</v>
      </c>
      <c r="S1536" s="46" t="e">
        <f t="shared" si="141"/>
        <v>#VALUE!</v>
      </c>
      <c r="T1536" s="677">
        <f t="shared" si="142"/>
        <v>0</v>
      </c>
      <c r="U1536" s="80">
        <f>(IF(O1536="Stofire",(S1536*#REF!),0))+(IF(O1536="Fire Control",(S1536*$U$2),0))+(IF(O1536="Fire Tex",(S1536*$U$3),0))+(IF(O1536="WB7",(S1536*#REF!),0)+(IF(O1536="FX 2003",(S1536*$U$5),0)))</f>
        <v>0</v>
      </c>
      <c r="V1536" s="651">
        <f t="shared" si="143"/>
        <v>0</v>
      </c>
    </row>
    <row r="1537" spans="4:22" x14ac:dyDescent="0.25">
      <c r="D1537" s="118">
        <f>+CUBICACION!D1536</f>
        <v>0</v>
      </c>
      <c r="E1537" s="118">
        <f>+CUBICACION!F1536</f>
        <v>0</v>
      </c>
      <c r="F1537" s="118">
        <f>+CUBICACION!E1536</f>
        <v>0</v>
      </c>
      <c r="G1537" s="118">
        <v>12</v>
      </c>
      <c r="H1537" s="118">
        <v>2</v>
      </c>
      <c r="I1537" s="820">
        <v>26385</v>
      </c>
      <c r="J1537" s="118">
        <f>+CUBICACION!J1536</f>
        <v>0</v>
      </c>
      <c r="K1537" s="118">
        <v>4316</v>
      </c>
      <c r="L1537" s="118">
        <f>+CUBICACION!L1536</f>
        <v>0</v>
      </c>
      <c r="M1537" s="64">
        <f>+CUBICACION!M1536</f>
        <v>0</v>
      </c>
      <c r="N1537" s="824" t="str">
        <f>+CUBICACION!N1536</f>
        <v/>
      </c>
      <c r="O1537" s="675">
        <f>+CUBICACION!O1536</f>
        <v>0</v>
      </c>
      <c r="P1537" s="15">
        <f>IF(O1537="Fire Control",VLOOKUP(_xlfn.MINIFS('FIRE CONTROL'!$C$4:$C$37,'FIRE CONTROL'!$C$4:$C$37,"&gt;="&amp;M1537),'FIRE CONTROL'!$C$4:$G$37,IF(L1537="F-15",2,IF(L1537="F-30",3,IF(L1537="F-60",4,IF(L1537="F-90",5,0)))),0),0)+IF(AND(O1537="FIRE TEX 5062",OR(E1537="IN",E1537="C",E1537="Z",E1537="L"),J1537=3),VLOOKUP(_xlfn.MINIFS('FIRE TEX 5062'!$B$4:$B$34,'FIRE TEX 5062'!$B$4:$B$34,"&gt;="&amp;M1537),'FIRE TEX 5062'!$B$4:$F$34,IF(L1537="F-15",2,IF(L1537="F-30",3,IF(L1537="F-60",4,IF(L1537="F-90",5,0)))),0),0)+IF(AND(O1537="FIRE TEX 5062",OR(E1537="IN",E1537="C",E1537="Z",E1537="L"),J1537=4),VLOOKUP(_xlfn.MINIFS('FIRE TEX 5062'!$G$4:$G$34,'FIRE TEX 5062'!$G$4:$G$34,"&gt;="&amp;M1537),'FIRE TEX 5062'!$G$4:$K$34,IF(L1537="F-15",2,IF(L1537="F-30",3,IF(L1537="F-60",4,IF(L1537="F-90",5,0)))),0),0)+IF(AND(O1537="FIRE TEX 5062",E1537="CJ",J1537=3),VLOOKUP(_xlfn.MINIFS('FIRE TEX 5062'!$L$4:$L$34,'FIRE TEX 5062'!$L$4:$L$34,"&gt;="&amp;M1537),'FIRE TEX 5062'!$L$4:$P$34,IF(L1537="F-15",2,IF(L1537="F-30",3,IF(L1537="F-60",4,IF(L1537="F-90",5,0)))),0),0)+IF(AND(O1537="FIRE TEX 5062",E1537="CJ",J1537=4),VLOOKUP(_xlfn.MINIFS('FIRE TEX 5062'!$Q$3:$Q$34,'FIRE TEX 5062'!$Q$3:$Q$34,"&gt;="&amp;M1537),'FIRE TEX 5062'!$Q$3:$U$34,IF(L1537="F-15",2,IF(L1537="F-30",3,IF(L1537="F-60",4,IF(L1537="F-90",5,0)))),0),0)+IF(AND(O1537="FIRE TEX 5090",OR(E1537="IN",E1537="C",E1537="Z",E1537="L"),J1537=3),VLOOKUP(_xlfn.MINIFS('FIRE TEX 5090'!$B$5:$B$43,'FIRE TEX 5090'!$B$5:$B$43,"&gt;="&amp;M1537),'FIRE TEX 5090'!$B$5:$H$43,IF(L1537="F-15",2,IF(L1537="F-30",3,IF(L1537="F-60",4,IF(L1537="F-90",5,IF(L1537="F-120",6,IF(L1537="F-150",7,0)))))),0),0)+IF(AND(O1537="FIRE TEX 5090",OR(E1537="IN",E1537="C",E1537="Z",E1537="L"),J1537=4),VLOOKUP(_xlfn.MINIFS('FIRE TEX 5090'!$J$5:$J$43,'FIRE TEX 5090'!$J$5:$J$43,"&gt;="&amp;M1537),'FIRE TEX 5090'!$J$5:$P$43,IF(L1537="F-15",2,IF(L1537="F-30",3,IF(L1537="F-60",4,IF(L1537="F-90",5,IF(L1537="F-120",6,IF(L1537="F-150",7,0)))))),0),0)+IF(AND(O1537="FIRE TEX 5090",E1537="CJ",J1537=3),VLOOKUP(_xlfn.MINIFS('FIRE TEX 5090'!$R$5:$R$30,'FIRE TEX 5090'!$R$5:$R$30,"&gt;="&amp;M1537),'FIRE TEX 5090'!$R$5:$W$30,IF(L1537="F-15",2,IF(L1537="F-30",3,IF(L1537="F-60",4,IF(L1537="F-90",5,IF(L1537="F-120",6,IF(L1537="F-150",7,0)))))),0),0)+IF(AND(O1537="FIRE TEX 5090",E1537="CJ",J1537=4),VLOOKUP(_xlfn.MINIFS('FIRE TEX 5090'!$Y$5:$Y$39,'FIRE TEX 5090'!$Y$5:$Y$39,"&gt;="&amp;M1537),'FIRE TEX 5090'!$Y$5:$AD$39,IF(L1537="F-15",2,IF(L1537="F-30",3,IF(L1537="F-60",4,IF(L1537="F-90",5,IF(L1537="F-120",6,IF(L1537="F-150",7,0)))))),0),0)+IF(AND(O1537="FIRE TEX 5120",OR(E1537="IN",E1537="C",E1537="Z",E1537="L"),J1537=3),VLOOKUP(_xlfn.MINIFS('FIRE TEX 5120'!$B$5:$B$40,'FIRE TEX 5120'!$B$5:$B$40,"&gt;="&amp;M1537),'FIRE TEX 5120'!$B$5:$G$40,IF(L1537="F-15",2,IF(L1537="F-30",3,IF(L1537="F-60",4,IF(L1537="F-90",5,IF(L1537="F-120",6,0))))),0),0)+IF(AND(O1537="FIRE TEX 5120",OR(E1537="IN",E1537="C",E1537="Z",E1537="L"),J1537=4),VLOOKUP(_xlfn.MINIFS('FIRE TEX 5120'!$H$4:$H$40,'FIRE TEX 5120'!$H$4:$H$40,"&gt;="&amp;M1537),'FIRE TEX 5120'!$H$4:$M$40,IF(L1537="F-15",2,IF(L1537="F-30",3,IF(L1537="F-60",4,IF(L1537="F-90",5,IF(L1537="F-120",6,0))))),0),0)+IF(AND(O1537="FIRE TEX 5120",E1537="CJ"),VLOOKUP(_xlfn.MINIFS('FIRE TEX 5120'!$O$5:$O$40,'FIRE TEX 5120'!$O$5:$O$40,"&gt;="&amp;M1537),'FIRE TEX 5120'!$O$5:$T$40,IF(L1537="F-15",2,IF(L1537="F-30",3,IF(L1537="F-60",4,IF(L1537="F-90",5,IF(L1537="F-120",6,0))))),0),0)</f>
        <v>0</v>
      </c>
      <c r="Q1537" s="46">
        <f t="shared" si="139"/>
        <v>0</v>
      </c>
      <c r="R1537" s="46">
        <f t="shared" si="140"/>
        <v>0</v>
      </c>
      <c r="S1537" s="46" t="e">
        <f t="shared" si="141"/>
        <v>#VALUE!</v>
      </c>
      <c r="T1537" s="677">
        <f t="shared" si="142"/>
        <v>0</v>
      </c>
      <c r="U1537" s="80">
        <f>(IF(O1537="Stofire",(S1537*#REF!),0))+(IF(O1537="Fire Control",(S1537*$U$2),0))+(IF(O1537="Fire Tex",(S1537*$U$3),0))+(IF(O1537="WB7",(S1537*#REF!),0)+(IF(O1537="FX 2003",(S1537*$U$5),0)))</f>
        <v>0</v>
      </c>
      <c r="V1537" s="651">
        <f t="shared" si="143"/>
        <v>0</v>
      </c>
    </row>
    <row r="1538" spans="4:22" x14ac:dyDescent="0.25">
      <c r="D1538" s="118">
        <f>+CUBICACION!D1537</f>
        <v>0</v>
      </c>
      <c r="E1538" s="118">
        <f>+CUBICACION!F1537</f>
        <v>0</v>
      </c>
      <c r="F1538" s="118">
        <f>+CUBICACION!E1537</f>
        <v>0</v>
      </c>
      <c r="G1538" s="118">
        <v>12</v>
      </c>
      <c r="H1538" s="118">
        <v>2</v>
      </c>
      <c r="I1538" s="820">
        <v>26385</v>
      </c>
      <c r="J1538" s="118">
        <f>+CUBICACION!J1537</f>
        <v>0</v>
      </c>
      <c r="K1538" s="118">
        <v>4317</v>
      </c>
      <c r="L1538" s="118">
        <f>+CUBICACION!L1537</f>
        <v>0</v>
      </c>
      <c r="M1538" s="64">
        <f>+CUBICACION!M1537</f>
        <v>0</v>
      </c>
      <c r="N1538" s="824" t="str">
        <f>+CUBICACION!N1537</f>
        <v/>
      </c>
      <c r="O1538" s="675">
        <f>+CUBICACION!O1537</f>
        <v>0</v>
      </c>
      <c r="P1538" s="15">
        <f>IF(O1538="Fire Control",VLOOKUP(_xlfn.MINIFS('FIRE CONTROL'!$C$4:$C$37,'FIRE CONTROL'!$C$4:$C$37,"&gt;="&amp;M1538),'FIRE CONTROL'!$C$4:$G$37,IF(L1538="F-15",2,IF(L1538="F-30",3,IF(L1538="F-60",4,IF(L1538="F-90",5,0)))),0),0)+IF(AND(O1538="FIRE TEX 5062",OR(E1538="IN",E1538="C",E1538="Z",E1538="L"),J1538=3),VLOOKUP(_xlfn.MINIFS('FIRE TEX 5062'!$B$4:$B$34,'FIRE TEX 5062'!$B$4:$B$34,"&gt;="&amp;M1538),'FIRE TEX 5062'!$B$4:$F$34,IF(L1538="F-15",2,IF(L1538="F-30",3,IF(L1538="F-60",4,IF(L1538="F-90",5,0)))),0),0)+IF(AND(O1538="FIRE TEX 5062",OR(E1538="IN",E1538="C",E1538="Z",E1538="L"),J1538=4),VLOOKUP(_xlfn.MINIFS('FIRE TEX 5062'!$G$4:$G$34,'FIRE TEX 5062'!$G$4:$G$34,"&gt;="&amp;M1538),'FIRE TEX 5062'!$G$4:$K$34,IF(L1538="F-15",2,IF(L1538="F-30",3,IF(L1538="F-60",4,IF(L1538="F-90",5,0)))),0),0)+IF(AND(O1538="FIRE TEX 5062",E1538="CJ",J1538=3),VLOOKUP(_xlfn.MINIFS('FIRE TEX 5062'!$L$4:$L$34,'FIRE TEX 5062'!$L$4:$L$34,"&gt;="&amp;M1538),'FIRE TEX 5062'!$L$4:$P$34,IF(L1538="F-15",2,IF(L1538="F-30",3,IF(L1538="F-60",4,IF(L1538="F-90",5,0)))),0),0)+IF(AND(O1538="FIRE TEX 5062",E1538="CJ",J1538=4),VLOOKUP(_xlfn.MINIFS('FIRE TEX 5062'!$Q$3:$Q$34,'FIRE TEX 5062'!$Q$3:$Q$34,"&gt;="&amp;M1538),'FIRE TEX 5062'!$Q$3:$U$34,IF(L1538="F-15",2,IF(L1538="F-30",3,IF(L1538="F-60",4,IF(L1538="F-90",5,0)))),0),0)+IF(AND(O1538="FIRE TEX 5090",OR(E1538="IN",E1538="C",E1538="Z",E1538="L"),J1538=3),VLOOKUP(_xlfn.MINIFS('FIRE TEX 5090'!$B$5:$B$43,'FIRE TEX 5090'!$B$5:$B$43,"&gt;="&amp;M1538),'FIRE TEX 5090'!$B$5:$H$43,IF(L1538="F-15",2,IF(L1538="F-30",3,IF(L1538="F-60",4,IF(L1538="F-90",5,IF(L1538="F-120",6,IF(L1538="F-150",7,0)))))),0),0)+IF(AND(O1538="FIRE TEX 5090",OR(E1538="IN",E1538="C",E1538="Z",E1538="L"),J1538=4),VLOOKUP(_xlfn.MINIFS('FIRE TEX 5090'!$J$5:$J$43,'FIRE TEX 5090'!$J$5:$J$43,"&gt;="&amp;M1538),'FIRE TEX 5090'!$J$5:$P$43,IF(L1538="F-15",2,IF(L1538="F-30",3,IF(L1538="F-60",4,IF(L1538="F-90",5,IF(L1538="F-120",6,IF(L1538="F-150",7,0)))))),0),0)+IF(AND(O1538="FIRE TEX 5090",E1538="CJ",J1538=3),VLOOKUP(_xlfn.MINIFS('FIRE TEX 5090'!$R$5:$R$30,'FIRE TEX 5090'!$R$5:$R$30,"&gt;="&amp;M1538),'FIRE TEX 5090'!$R$5:$W$30,IF(L1538="F-15",2,IF(L1538="F-30",3,IF(L1538="F-60",4,IF(L1538="F-90",5,IF(L1538="F-120",6,IF(L1538="F-150",7,0)))))),0),0)+IF(AND(O1538="FIRE TEX 5090",E1538="CJ",J1538=4),VLOOKUP(_xlfn.MINIFS('FIRE TEX 5090'!$Y$5:$Y$39,'FIRE TEX 5090'!$Y$5:$Y$39,"&gt;="&amp;M1538),'FIRE TEX 5090'!$Y$5:$AD$39,IF(L1538="F-15",2,IF(L1538="F-30",3,IF(L1538="F-60",4,IF(L1538="F-90",5,IF(L1538="F-120",6,IF(L1538="F-150",7,0)))))),0),0)+IF(AND(O1538="FIRE TEX 5120",OR(E1538="IN",E1538="C",E1538="Z",E1538="L"),J1538=3),VLOOKUP(_xlfn.MINIFS('FIRE TEX 5120'!$B$5:$B$40,'FIRE TEX 5120'!$B$5:$B$40,"&gt;="&amp;M1538),'FIRE TEX 5120'!$B$5:$G$40,IF(L1538="F-15",2,IF(L1538="F-30",3,IF(L1538="F-60",4,IF(L1538="F-90",5,IF(L1538="F-120",6,0))))),0),0)+IF(AND(O1538="FIRE TEX 5120",OR(E1538="IN",E1538="C",E1538="Z",E1538="L"),J1538=4),VLOOKUP(_xlfn.MINIFS('FIRE TEX 5120'!$H$4:$H$40,'FIRE TEX 5120'!$H$4:$H$40,"&gt;="&amp;M1538),'FIRE TEX 5120'!$H$4:$M$40,IF(L1538="F-15",2,IF(L1538="F-30",3,IF(L1538="F-60",4,IF(L1538="F-90",5,IF(L1538="F-120",6,0))))),0),0)+IF(AND(O1538="FIRE TEX 5120",E1538="CJ"),VLOOKUP(_xlfn.MINIFS('FIRE TEX 5120'!$O$5:$O$40,'FIRE TEX 5120'!$O$5:$O$40,"&gt;="&amp;M1538),'FIRE TEX 5120'!$O$5:$T$40,IF(L1538="F-15",2,IF(L1538="F-30",3,IF(L1538="F-60",4,IF(L1538="F-90",5,IF(L1538="F-120",6,0))))),0),0)</f>
        <v>0</v>
      </c>
      <c r="Q1538" s="46">
        <f t="shared" si="139"/>
        <v>0</v>
      </c>
      <c r="R1538" s="46">
        <f t="shared" si="140"/>
        <v>0</v>
      </c>
      <c r="S1538" s="46" t="e">
        <f t="shared" si="141"/>
        <v>#VALUE!</v>
      </c>
      <c r="T1538" s="677">
        <f t="shared" si="142"/>
        <v>0</v>
      </c>
      <c r="U1538" s="80">
        <f>(IF(O1538="Stofire",(S1538*#REF!),0))+(IF(O1538="Fire Control",(S1538*$U$2),0))+(IF(O1538="Fire Tex",(S1538*$U$3),0))+(IF(O1538="WB7",(S1538*#REF!),0)+(IF(O1538="FX 2003",(S1538*$U$5),0)))</f>
        <v>0</v>
      </c>
      <c r="V1538" s="651">
        <f t="shared" si="143"/>
        <v>0</v>
      </c>
    </row>
    <row r="1539" spans="4:22" x14ac:dyDescent="0.25">
      <c r="D1539" s="118">
        <f>+CUBICACION!D1538</f>
        <v>0</v>
      </c>
      <c r="E1539" s="118">
        <f>+CUBICACION!F1538</f>
        <v>0</v>
      </c>
      <c r="F1539" s="118">
        <f>+CUBICACION!E1538</f>
        <v>0</v>
      </c>
      <c r="G1539" s="118">
        <v>12</v>
      </c>
      <c r="H1539" s="118">
        <v>2</v>
      </c>
      <c r="I1539" s="820">
        <v>26385</v>
      </c>
      <c r="J1539" s="118">
        <f>+CUBICACION!J1538</f>
        <v>0</v>
      </c>
      <c r="K1539" s="118">
        <v>4318</v>
      </c>
      <c r="L1539" s="118">
        <f>+CUBICACION!L1538</f>
        <v>0</v>
      </c>
      <c r="M1539" s="64">
        <f>+CUBICACION!M1538</f>
        <v>0</v>
      </c>
      <c r="N1539" s="824" t="str">
        <f>+CUBICACION!N1538</f>
        <v/>
      </c>
      <c r="O1539" s="675">
        <f>+CUBICACION!O1538</f>
        <v>0</v>
      </c>
      <c r="P1539" s="15">
        <f>IF(O1539="Fire Control",VLOOKUP(_xlfn.MINIFS('FIRE CONTROL'!$C$4:$C$37,'FIRE CONTROL'!$C$4:$C$37,"&gt;="&amp;M1539),'FIRE CONTROL'!$C$4:$G$37,IF(L1539="F-15",2,IF(L1539="F-30",3,IF(L1539="F-60",4,IF(L1539="F-90",5,0)))),0),0)+IF(AND(O1539="FIRE TEX 5062",OR(E1539="IN",E1539="C",E1539="Z",E1539="L"),J1539=3),VLOOKUP(_xlfn.MINIFS('FIRE TEX 5062'!$B$4:$B$34,'FIRE TEX 5062'!$B$4:$B$34,"&gt;="&amp;M1539),'FIRE TEX 5062'!$B$4:$F$34,IF(L1539="F-15",2,IF(L1539="F-30",3,IF(L1539="F-60",4,IF(L1539="F-90",5,0)))),0),0)+IF(AND(O1539="FIRE TEX 5062",OR(E1539="IN",E1539="C",E1539="Z",E1539="L"),J1539=4),VLOOKUP(_xlfn.MINIFS('FIRE TEX 5062'!$G$4:$G$34,'FIRE TEX 5062'!$G$4:$G$34,"&gt;="&amp;M1539),'FIRE TEX 5062'!$G$4:$K$34,IF(L1539="F-15",2,IF(L1539="F-30",3,IF(L1539="F-60",4,IF(L1539="F-90",5,0)))),0),0)+IF(AND(O1539="FIRE TEX 5062",E1539="CJ",J1539=3),VLOOKUP(_xlfn.MINIFS('FIRE TEX 5062'!$L$4:$L$34,'FIRE TEX 5062'!$L$4:$L$34,"&gt;="&amp;M1539),'FIRE TEX 5062'!$L$4:$P$34,IF(L1539="F-15",2,IF(L1539="F-30",3,IF(L1539="F-60",4,IF(L1539="F-90",5,0)))),0),0)+IF(AND(O1539="FIRE TEX 5062",E1539="CJ",J1539=4),VLOOKUP(_xlfn.MINIFS('FIRE TEX 5062'!$Q$3:$Q$34,'FIRE TEX 5062'!$Q$3:$Q$34,"&gt;="&amp;M1539),'FIRE TEX 5062'!$Q$3:$U$34,IF(L1539="F-15",2,IF(L1539="F-30",3,IF(L1539="F-60",4,IF(L1539="F-90",5,0)))),0),0)+IF(AND(O1539="FIRE TEX 5090",OR(E1539="IN",E1539="C",E1539="Z",E1539="L"),J1539=3),VLOOKUP(_xlfn.MINIFS('FIRE TEX 5090'!$B$5:$B$43,'FIRE TEX 5090'!$B$5:$B$43,"&gt;="&amp;M1539),'FIRE TEX 5090'!$B$5:$H$43,IF(L1539="F-15",2,IF(L1539="F-30",3,IF(L1539="F-60",4,IF(L1539="F-90",5,IF(L1539="F-120",6,IF(L1539="F-150",7,0)))))),0),0)+IF(AND(O1539="FIRE TEX 5090",OR(E1539="IN",E1539="C",E1539="Z",E1539="L"),J1539=4),VLOOKUP(_xlfn.MINIFS('FIRE TEX 5090'!$J$5:$J$43,'FIRE TEX 5090'!$J$5:$J$43,"&gt;="&amp;M1539),'FIRE TEX 5090'!$J$5:$P$43,IF(L1539="F-15",2,IF(L1539="F-30",3,IF(L1539="F-60",4,IF(L1539="F-90",5,IF(L1539="F-120",6,IF(L1539="F-150",7,0)))))),0),0)+IF(AND(O1539="FIRE TEX 5090",E1539="CJ",J1539=3),VLOOKUP(_xlfn.MINIFS('FIRE TEX 5090'!$R$5:$R$30,'FIRE TEX 5090'!$R$5:$R$30,"&gt;="&amp;M1539),'FIRE TEX 5090'!$R$5:$W$30,IF(L1539="F-15",2,IF(L1539="F-30",3,IF(L1539="F-60",4,IF(L1539="F-90",5,IF(L1539="F-120",6,IF(L1539="F-150",7,0)))))),0),0)+IF(AND(O1539="FIRE TEX 5090",E1539="CJ",J1539=4),VLOOKUP(_xlfn.MINIFS('FIRE TEX 5090'!$Y$5:$Y$39,'FIRE TEX 5090'!$Y$5:$Y$39,"&gt;="&amp;M1539),'FIRE TEX 5090'!$Y$5:$AD$39,IF(L1539="F-15",2,IF(L1539="F-30",3,IF(L1539="F-60",4,IF(L1539="F-90",5,IF(L1539="F-120",6,IF(L1539="F-150",7,0)))))),0),0)+IF(AND(O1539="FIRE TEX 5120",OR(E1539="IN",E1539="C",E1539="Z",E1539="L"),J1539=3),VLOOKUP(_xlfn.MINIFS('FIRE TEX 5120'!$B$5:$B$40,'FIRE TEX 5120'!$B$5:$B$40,"&gt;="&amp;M1539),'FIRE TEX 5120'!$B$5:$G$40,IF(L1539="F-15",2,IF(L1539="F-30",3,IF(L1539="F-60",4,IF(L1539="F-90",5,IF(L1539="F-120",6,0))))),0),0)+IF(AND(O1539="FIRE TEX 5120",OR(E1539="IN",E1539="C",E1539="Z",E1539="L"),J1539=4),VLOOKUP(_xlfn.MINIFS('FIRE TEX 5120'!$H$4:$H$40,'FIRE TEX 5120'!$H$4:$H$40,"&gt;="&amp;M1539),'FIRE TEX 5120'!$H$4:$M$40,IF(L1539="F-15",2,IF(L1539="F-30",3,IF(L1539="F-60",4,IF(L1539="F-90",5,IF(L1539="F-120",6,0))))),0),0)+IF(AND(O1539="FIRE TEX 5120",E1539="CJ"),VLOOKUP(_xlfn.MINIFS('FIRE TEX 5120'!$O$5:$O$40,'FIRE TEX 5120'!$O$5:$O$40,"&gt;="&amp;M1539),'FIRE TEX 5120'!$O$5:$T$40,IF(L1539="F-15",2,IF(L1539="F-30",3,IF(L1539="F-60",4,IF(L1539="F-90",5,IF(L1539="F-120",6,0))))),0),0)</f>
        <v>0</v>
      </c>
      <c r="Q1539" s="46">
        <f t="shared" si="139"/>
        <v>0</v>
      </c>
      <c r="R1539" s="46">
        <f t="shared" si="140"/>
        <v>0</v>
      </c>
      <c r="S1539" s="46" t="e">
        <f t="shared" si="141"/>
        <v>#VALUE!</v>
      </c>
      <c r="T1539" s="677">
        <f t="shared" si="142"/>
        <v>0</v>
      </c>
      <c r="U1539" s="80">
        <f>(IF(O1539="Stofire",(S1539*#REF!),0))+(IF(O1539="Fire Control",(S1539*$U$2),0))+(IF(O1539="Fire Tex",(S1539*$U$3),0))+(IF(O1539="WB7",(S1539*#REF!),0)+(IF(O1539="FX 2003",(S1539*$U$5),0)))</f>
        <v>0</v>
      </c>
      <c r="V1539" s="651">
        <f t="shared" si="143"/>
        <v>0</v>
      </c>
    </row>
    <row r="1540" spans="4:22" x14ac:dyDescent="0.25">
      <c r="D1540" s="118">
        <f>+CUBICACION!D1539</f>
        <v>0</v>
      </c>
      <c r="E1540" s="118">
        <f>+CUBICACION!F1539</f>
        <v>0</v>
      </c>
      <c r="F1540" s="118">
        <f>+CUBICACION!E1539</f>
        <v>0</v>
      </c>
      <c r="G1540" s="118">
        <v>12</v>
      </c>
      <c r="H1540" s="118">
        <v>2</v>
      </c>
      <c r="I1540" s="820">
        <v>26385</v>
      </c>
      <c r="J1540" s="118">
        <f>+CUBICACION!J1539</f>
        <v>0</v>
      </c>
      <c r="K1540" s="118">
        <v>4319</v>
      </c>
      <c r="L1540" s="118">
        <f>+CUBICACION!L1539</f>
        <v>0</v>
      </c>
      <c r="M1540" s="64">
        <f>+CUBICACION!M1539</f>
        <v>0</v>
      </c>
      <c r="N1540" s="824" t="str">
        <f>+CUBICACION!N1539</f>
        <v/>
      </c>
      <c r="O1540" s="675">
        <f>+CUBICACION!O1539</f>
        <v>0</v>
      </c>
      <c r="P1540" s="15">
        <f>IF(O1540="Fire Control",VLOOKUP(_xlfn.MINIFS('FIRE CONTROL'!$C$4:$C$37,'FIRE CONTROL'!$C$4:$C$37,"&gt;="&amp;M1540),'FIRE CONTROL'!$C$4:$G$37,IF(L1540="F-15",2,IF(L1540="F-30",3,IF(L1540="F-60",4,IF(L1540="F-90",5,0)))),0),0)+IF(AND(O1540="FIRE TEX 5062",OR(E1540="IN",E1540="C",E1540="Z",E1540="L"),J1540=3),VLOOKUP(_xlfn.MINIFS('FIRE TEX 5062'!$B$4:$B$34,'FIRE TEX 5062'!$B$4:$B$34,"&gt;="&amp;M1540),'FIRE TEX 5062'!$B$4:$F$34,IF(L1540="F-15",2,IF(L1540="F-30",3,IF(L1540="F-60",4,IF(L1540="F-90",5,0)))),0),0)+IF(AND(O1540="FIRE TEX 5062",OR(E1540="IN",E1540="C",E1540="Z",E1540="L"),J1540=4),VLOOKUP(_xlfn.MINIFS('FIRE TEX 5062'!$G$4:$G$34,'FIRE TEX 5062'!$G$4:$G$34,"&gt;="&amp;M1540),'FIRE TEX 5062'!$G$4:$K$34,IF(L1540="F-15",2,IF(L1540="F-30",3,IF(L1540="F-60",4,IF(L1540="F-90",5,0)))),0),0)+IF(AND(O1540="FIRE TEX 5062",E1540="CJ",J1540=3),VLOOKUP(_xlfn.MINIFS('FIRE TEX 5062'!$L$4:$L$34,'FIRE TEX 5062'!$L$4:$L$34,"&gt;="&amp;M1540),'FIRE TEX 5062'!$L$4:$P$34,IF(L1540="F-15",2,IF(L1540="F-30",3,IF(L1540="F-60",4,IF(L1540="F-90",5,0)))),0),0)+IF(AND(O1540="FIRE TEX 5062",E1540="CJ",J1540=4),VLOOKUP(_xlfn.MINIFS('FIRE TEX 5062'!$Q$3:$Q$34,'FIRE TEX 5062'!$Q$3:$Q$34,"&gt;="&amp;M1540),'FIRE TEX 5062'!$Q$3:$U$34,IF(L1540="F-15",2,IF(L1540="F-30",3,IF(L1540="F-60",4,IF(L1540="F-90",5,0)))),0),0)+IF(AND(O1540="FIRE TEX 5090",OR(E1540="IN",E1540="C",E1540="Z",E1540="L"),J1540=3),VLOOKUP(_xlfn.MINIFS('FIRE TEX 5090'!$B$5:$B$43,'FIRE TEX 5090'!$B$5:$B$43,"&gt;="&amp;M1540),'FIRE TEX 5090'!$B$5:$H$43,IF(L1540="F-15",2,IF(L1540="F-30",3,IF(L1540="F-60",4,IF(L1540="F-90",5,IF(L1540="F-120",6,IF(L1540="F-150",7,0)))))),0),0)+IF(AND(O1540="FIRE TEX 5090",OR(E1540="IN",E1540="C",E1540="Z",E1540="L"),J1540=4),VLOOKUP(_xlfn.MINIFS('FIRE TEX 5090'!$J$5:$J$43,'FIRE TEX 5090'!$J$5:$J$43,"&gt;="&amp;M1540),'FIRE TEX 5090'!$J$5:$P$43,IF(L1540="F-15",2,IF(L1540="F-30",3,IF(L1540="F-60",4,IF(L1540="F-90",5,IF(L1540="F-120",6,IF(L1540="F-150",7,0)))))),0),0)+IF(AND(O1540="FIRE TEX 5090",E1540="CJ",J1540=3),VLOOKUP(_xlfn.MINIFS('FIRE TEX 5090'!$R$5:$R$30,'FIRE TEX 5090'!$R$5:$R$30,"&gt;="&amp;M1540),'FIRE TEX 5090'!$R$5:$W$30,IF(L1540="F-15",2,IF(L1540="F-30",3,IF(L1540="F-60",4,IF(L1540="F-90",5,IF(L1540="F-120",6,IF(L1540="F-150",7,0)))))),0),0)+IF(AND(O1540="FIRE TEX 5090",E1540="CJ",J1540=4),VLOOKUP(_xlfn.MINIFS('FIRE TEX 5090'!$Y$5:$Y$39,'FIRE TEX 5090'!$Y$5:$Y$39,"&gt;="&amp;M1540),'FIRE TEX 5090'!$Y$5:$AD$39,IF(L1540="F-15",2,IF(L1540="F-30",3,IF(L1540="F-60",4,IF(L1540="F-90",5,IF(L1540="F-120",6,IF(L1540="F-150",7,0)))))),0),0)+IF(AND(O1540="FIRE TEX 5120",OR(E1540="IN",E1540="C",E1540="Z",E1540="L"),J1540=3),VLOOKUP(_xlfn.MINIFS('FIRE TEX 5120'!$B$5:$B$40,'FIRE TEX 5120'!$B$5:$B$40,"&gt;="&amp;M1540),'FIRE TEX 5120'!$B$5:$G$40,IF(L1540="F-15",2,IF(L1540="F-30",3,IF(L1540="F-60",4,IF(L1540="F-90",5,IF(L1540="F-120",6,0))))),0),0)+IF(AND(O1540="FIRE TEX 5120",OR(E1540="IN",E1540="C",E1540="Z",E1540="L"),J1540=4),VLOOKUP(_xlfn.MINIFS('FIRE TEX 5120'!$H$4:$H$40,'FIRE TEX 5120'!$H$4:$H$40,"&gt;="&amp;M1540),'FIRE TEX 5120'!$H$4:$M$40,IF(L1540="F-15",2,IF(L1540="F-30",3,IF(L1540="F-60",4,IF(L1540="F-90",5,IF(L1540="F-120",6,0))))),0),0)+IF(AND(O1540="FIRE TEX 5120",E1540="CJ"),VLOOKUP(_xlfn.MINIFS('FIRE TEX 5120'!$O$5:$O$40,'FIRE TEX 5120'!$O$5:$O$40,"&gt;="&amp;M1540),'FIRE TEX 5120'!$O$5:$T$40,IF(L1540="F-15",2,IF(L1540="F-30",3,IF(L1540="F-60",4,IF(L1540="F-90",5,IF(L1540="F-120",6,0))))),0),0)</f>
        <v>0</v>
      </c>
      <c r="Q1540" s="46">
        <f t="shared" si="139"/>
        <v>0</v>
      </c>
      <c r="R1540" s="46">
        <f t="shared" si="140"/>
        <v>0</v>
      </c>
      <c r="S1540" s="46" t="e">
        <f t="shared" si="141"/>
        <v>#VALUE!</v>
      </c>
      <c r="T1540" s="677">
        <f t="shared" si="142"/>
        <v>0</v>
      </c>
      <c r="U1540" s="80">
        <f>(IF(O1540="Stofire",(S1540*#REF!),0))+(IF(O1540="Fire Control",(S1540*$U$2),0))+(IF(O1540="Fire Tex",(S1540*$U$3),0))+(IF(O1540="WB7",(S1540*#REF!),0)+(IF(O1540="FX 2003",(S1540*$U$5),0)))</f>
        <v>0</v>
      </c>
      <c r="V1540" s="651">
        <f t="shared" si="143"/>
        <v>0</v>
      </c>
    </row>
    <row r="1541" spans="4:22" x14ac:dyDescent="0.25">
      <c r="D1541" s="118">
        <f>+CUBICACION!D1540</f>
        <v>0</v>
      </c>
      <c r="E1541" s="118">
        <f>+CUBICACION!F1540</f>
        <v>0</v>
      </c>
      <c r="F1541" s="118">
        <f>+CUBICACION!E1540</f>
        <v>0</v>
      </c>
      <c r="G1541" s="118">
        <v>12</v>
      </c>
      <c r="H1541" s="118">
        <v>2</v>
      </c>
      <c r="I1541" s="820">
        <v>26385</v>
      </c>
      <c r="J1541" s="118">
        <f>+CUBICACION!J1540</f>
        <v>0</v>
      </c>
      <c r="K1541" s="118">
        <v>4320</v>
      </c>
      <c r="L1541" s="118">
        <f>+CUBICACION!L1540</f>
        <v>0</v>
      </c>
      <c r="M1541" s="64">
        <f>+CUBICACION!M1540</f>
        <v>0</v>
      </c>
      <c r="N1541" s="824" t="str">
        <f>+CUBICACION!N1540</f>
        <v/>
      </c>
      <c r="O1541" s="675">
        <f>+CUBICACION!O1540</f>
        <v>0</v>
      </c>
      <c r="P1541" s="15">
        <f>IF(O1541="Fire Control",VLOOKUP(_xlfn.MINIFS('FIRE CONTROL'!$C$4:$C$37,'FIRE CONTROL'!$C$4:$C$37,"&gt;="&amp;M1541),'FIRE CONTROL'!$C$4:$G$37,IF(L1541="F-15",2,IF(L1541="F-30",3,IF(L1541="F-60",4,IF(L1541="F-90",5,0)))),0),0)+IF(AND(O1541="FIRE TEX 5062",OR(E1541="IN",E1541="C",E1541="Z",E1541="L"),J1541=3),VLOOKUP(_xlfn.MINIFS('FIRE TEX 5062'!$B$4:$B$34,'FIRE TEX 5062'!$B$4:$B$34,"&gt;="&amp;M1541),'FIRE TEX 5062'!$B$4:$F$34,IF(L1541="F-15",2,IF(L1541="F-30",3,IF(L1541="F-60",4,IF(L1541="F-90",5,0)))),0),0)+IF(AND(O1541="FIRE TEX 5062",OR(E1541="IN",E1541="C",E1541="Z",E1541="L"),J1541=4),VLOOKUP(_xlfn.MINIFS('FIRE TEX 5062'!$G$4:$G$34,'FIRE TEX 5062'!$G$4:$G$34,"&gt;="&amp;M1541),'FIRE TEX 5062'!$G$4:$K$34,IF(L1541="F-15",2,IF(L1541="F-30",3,IF(L1541="F-60",4,IF(L1541="F-90",5,0)))),0),0)+IF(AND(O1541="FIRE TEX 5062",E1541="CJ",J1541=3),VLOOKUP(_xlfn.MINIFS('FIRE TEX 5062'!$L$4:$L$34,'FIRE TEX 5062'!$L$4:$L$34,"&gt;="&amp;M1541),'FIRE TEX 5062'!$L$4:$P$34,IF(L1541="F-15",2,IF(L1541="F-30",3,IF(L1541="F-60",4,IF(L1541="F-90",5,0)))),0),0)+IF(AND(O1541="FIRE TEX 5062",E1541="CJ",J1541=4),VLOOKUP(_xlfn.MINIFS('FIRE TEX 5062'!$Q$3:$Q$34,'FIRE TEX 5062'!$Q$3:$Q$34,"&gt;="&amp;M1541),'FIRE TEX 5062'!$Q$3:$U$34,IF(L1541="F-15",2,IF(L1541="F-30",3,IF(L1541="F-60",4,IF(L1541="F-90",5,0)))),0),0)+IF(AND(O1541="FIRE TEX 5090",OR(E1541="IN",E1541="C",E1541="Z",E1541="L"),J1541=3),VLOOKUP(_xlfn.MINIFS('FIRE TEX 5090'!$B$5:$B$43,'FIRE TEX 5090'!$B$5:$B$43,"&gt;="&amp;M1541),'FIRE TEX 5090'!$B$5:$H$43,IF(L1541="F-15",2,IF(L1541="F-30",3,IF(L1541="F-60",4,IF(L1541="F-90",5,IF(L1541="F-120",6,IF(L1541="F-150",7,0)))))),0),0)+IF(AND(O1541="FIRE TEX 5090",OR(E1541="IN",E1541="C",E1541="Z",E1541="L"),J1541=4),VLOOKUP(_xlfn.MINIFS('FIRE TEX 5090'!$J$5:$J$43,'FIRE TEX 5090'!$J$5:$J$43,"&gt;="&amp;M1541),'FIRE TEX 5090'!$J$5:$P$43,IF(L1541="F-15",2,IF(L1541="F-30",3,IF(L1541="F-60",4,IF(L1541="F-90",5,IF(L1541="F-120",6,IF(L1541="F-150",7,0)))))),0),0)+IF(AND(O1541="FIRE TEX 5090",E1541="CJ",J1541=3),VLOOKUP(_xlfn.MINIFS('FIRE TEX 5090'!$R$5:$R$30,'FIRE TEX 5090'!$R$5:$R$30,"&gt;="&amp;M1541),'FIRE TEX 5090'!$R$5:$W$30,IF(L1541="F-15",2,IF(L1541="F-30",3,IF(L1541="F-60",4,IF(L1541="F-90",5,IF(L1541="F-120",6,IF(L1541="F-150",7,0)))))),0),0)+IF(AND(O1541="FIRE TEX 5090",E1541="CJ",J1541=4),VLOOKUP(_xlfn.MINIFS('FIRE TEX 5090'!$Y$5:$Y$39,'FIRE TEX 5090'!$Y$5:$Y$39,"&gt;="&amp;M1541),'FIRE TEX 5090'!$Y$5:$AD$39,IF(L1541="F-15",2,IF(L1541="F-30",3,IF(L1541="F-60",4,IF(L1541="F-90",5,IF(L1541="F-120",6,IF(L1541="F-150",7,0)))))),0),0)+IF(AND(O1541="FIRE TEX 5120",OR(E1541="IN",E1541="C",E1541="Z",E1541="L"),J1541=3),VLOOKUP(_xlfn.MINIFS('FIRE TEX 5120'!$B$5:$B$40,'FIRE TEX 5120'!$B$5:$B$40,"&gt;="&amp;M1541),'FIRE TEX 5120'!$B$5:$G$40,IF(L1541="F-15",2,IF(L1541="F-30",3,IF(L1541="F-60",4,IF(L1541="F-90",5,IF(L1541="F-120",6,0))))),0),0)+IF(AND(O1541="FIRE TEX 5120",OR(E1541="IN",E1541="C",E1541="Z",E1541="L"),J1541=4),VLOOKUP(_xlfn.MINIFS('FIRE TEX 5120'!$H$4:$H$40,'FIRE TEX 5120'!$H$4:$H$40,"&gt;="&amp;M1541),'FIRE TEX 5120'!$H$4:$M$40,IF(L1541="F-15",2,IF(L1541="F-30",3,IF(L1541="F-60",4,IF(L1541="F-90",5,IF(L1541="F-120",6,0))))),0),0)+IF(AND(O1541="FIRE TEX 5120",E1541="CJ"),VLOOKUP(_xlfn.MINIFS('FIRE TEX 5120'!$O$5:$O$40,'FIRE TEX 5120'!$O$5:$O$40,"&gt;="&amp;M1541),'FIRE TEX 5120'!$O$5:$T$40,IF(L1541="F-15",2,IF(L1541="F-30",3,IF(L1541="F-60",4,IF(L1541="F-90",5,IF(L1541="F-120",6,0))))),0),0)</f>
        <v>0</v>
      </c>
      <c r="Q1541" s="46">
        <f t="shared" si="139"/>
        <v>0</v>
      </c>
      <c r="R1541" s="46">
        <f t="shared" si="140"/>
        <v>0</v>
      </c>
      <c r="S1541" s="46" t="e">
        <f t="shared" si="141"/>
        <v>#VALUE!</v>
      </c>
      <c r="T1541" s="677">
        <f t="shared" si="142"/>
        <v>0</v>
      </c>
      <c r="U1541" s="80">
        <f>(IF(O1541="Stofire",(S1541*#REF!),0))+(IF(O1541="Fire Control",(S1541*$U$2),0))+(IF(O1541="Fire Tex",(S1541*$U$3),0))+(IF(O1541="WB7",(S1541*#REF!),0)+(IF(O1541="FX 2003",(S1541*$U$5),0)))</f>
        <v>0</v>
      </c>
      <c r="V1541" s="651">
        <f t="shared" si="143"/>
        <v>0</v>
      </c>
    </row>
    <row r="1542" spans="4:22" x14ac:dyDescent="0.25">
      <c r="D1542" s="118">
        <f>+CUBICACION!D1541</f>
        <v>0</v>
      </c>
      <c r="E1542" s="118">
        <f>+CUBICACION!F1541</f>
        <v>0</v>
      </c>
      <c r="F1542" s="118">
        <f>+CUBICACION!E1541</f>
        <v>0</v>
      </c>
      <c r="G1542" s="118">
        <v>12</v>
      </c>
      <c r="H1542" s="118">
        <v>2</v>
      </c>
      <c r="I1542" s="820">
        <v>26385</v>
      </c>
      <c r="J1542" s="118">
        <f>+CUBICACION!J1541</f>
        <v>0</v>
      </c>
      <c r="K1542" s="118">
        <v>4321</v>
      </c>
      <c r="L1542" s="118">
        <f>+CUBICACION!L1541</f>
        <v>0</v>
      </c>
      <c r="M1542" s="64">
        <f>+CUBICACION!M1541</f>
        <v>0</v>
      </c>
      <c r="N1542" s="824" t="str">
        <f>+CUBICACION!N1541</f>
        <v/>
      </c>
      <c r="O1542" s="675">
        <f>+CUBICACION!O1541</f>
        <v>0</v>
      </c>
      <c r="P1542" s="15">
        <f>IF(O1542="Fire Control",VLOOKUP(_xlfn.MINIFS('FIRE CONTROL'!$C$4:$C$37,'FIRE CONTROL'!$C$4:$C$37,"&gt;="&amp;M1542),'FIRE CONTROL'!$C$4:$G$37,IF(L1542="F-15",2,IF(L1542="F-30",3,IF(L1542="F-60",4,IF(L1542="F-90",5,0)))),0),0)+IF(AND(O1542="FIRE TEX 5062",OR(E1542="IN",E1542="C",E1542="Z",E1542="L"),J1542=3),VLOOKUP(_xlfn.MINIFS('FIRE TEX 5062'!$B$4:$B$34,'FIRE TEX 5062'!$B$4:$B$34,"&gt;="&amp;M1542),'FIRE TEX 5062'!$B$4:$F$34,IF(L1542="F-15",2,IF(L1542="F-30",3,IF(L1542="F-60",4,IF(L1542="F-90",5,0)))),0),0)+IF(AND(O1542="FIRE TEX 5062",OR(E1542="IN",E1542="C",E1542="Z",E1542="L"),J1542=4),VLOOKUP(_xlfn.MINIFS('FIRE TEX 5062'!$G$4:$G$34,'FIRE TEX 5062'!$G$4:$G$34,"&gt;="&amp;M1542),'FIRE TEX 5062'!$G$4:$K$34,IF(L1542="F-15",2,IF(L1542="F-30",3,IF(L1542="F-60",4,IF(L1542="F-90",5,0)))),0),0)+IF(AND(O1542="FIRE TEX 5062",E1542="CJ",J1542=3),VLOOKUP(_xlfn.MINIFS('FIRE TEX 5062'!$L$4:$L$34,'FIRE TEX 5062'!$L$4:$L$34,"&gt;="&amp;M1542),'FIRE TEX 5062'!$L$4:$P$34,IF(L1542="F-15",2,IF(L1542="F-30",3,IF(L1542="F-60",4,IF(L1542="F-90",5,0)))),0),0)+IF(AND(O1542="FIRE TEX 5062",E1542="CJ",J1542=4),VLOOKUP(_xlfn.MINIFS('FIRE TEX 5062'!$Q$3:$Q$34,'FIRE TEX 5062'!$Q$3:$Q$34,"&gt;="&amp;M1542),'FIRE TEX 5062'!$Q$3:$U$34,IF(L1542="F-15",2,IF(L1542="F-30",3,IF(L1542="F-60",4,IF(L1542="F-90",5,0)))),0),0)+IF(AND(O1542="FIRE TEX 5090",OR(E1542="IN",E1542="C",E1542="Z",E1542="L"),J1542=3),VLOOKUP(_xlfn.MINIFS('FIRE TEX 5090'!$B$5:$B$43,'FIRE TEX 5090'!$B$5:$B$43,"&gt;="&amp;M1542),'FIRE TEX 5090'!$B$5:$H$43,IF(L1542="F-15",2,IF(L1542="F-30",3,IF(L1542="F-60",4,IF(L1542="F-90",5,IF(L1542="F-120",6,IF(L1542="F-150",7,0)))))),0),0)+IF(AND(O1542="FIRE TEX 5090",OR(E1542="IN",E1542="C",E1542="Z",E1542="L"),J1542=4),VLOOKUP(_xlfn.MINIFS('FIRE TEX 5090'!$J$5:$J$43,'FIRE TEX 5090'!$J$5:$J$43,"&gt;="&amp;M1542),'FIRE TEX 5090'!$J$5:$P$43,IF(L1542="F-15",2,IF(L1542="F-30",3,IF(L1542="F-60",4,IF(L1542="F-90",5,IF(L1542="F-120",6,IF(L1542="F-150",7,0)))))),0),0)+IF(AND(O1542="FIRE TEX 5090",E1542="CJ",J1542=3),VLOOKUP(_xlfn.MINIFS('FIRE TEX 5090'!$R$5:$R$30,'FIRE TEX 5090'!$R$5:$R$30,"&gt;="&amp;M1542),'FIRE TEX 5090'!$R$5:$W$30,IF(L1542="F-15",2,IF(L1542="F-30",3,IF(L1542="F-60",4,IF(L1542="F-90",5,IF(L1542="F-120",6,IF(L1542="F-150",7,0)))))),0),0)+IF(AND(O1542="FIRE TEX 5090",E1542="CJ",J1542=4),VLOOKUP(_xlfn.MINIFS('FIRE TEX 5090'!$Y$5:$Y$39,'FIRE TEX 5090'!$Y$5:$Y$39,"&gt;="&amp;M1542),'FIRE TEX 5090'!$Y$5:$AD$39,IF(L1542="F-15",2,IF(L1542="F-30",3,IF(L1542="F-60",4,IF(L1542="F-90",5,IF(L1542="F-120",6,IF(L1542="F-150",7,0)))))),0),0)+IF(AND(O1542="FIRE TEX 5120",OR(E1542="IN",E1542="C",E1542="Z",E1542="L"),J1542=3),VLOOKUP(_xlfn.MINIFS('FIRE TEX 5120'!$B$5:$B$40,'FIRE TEX 5120'!$B$5:$B$40,"&gt;="&amp;M1542),'FIRE TEX 5120'!$B$5:$G$40,IF(L1542="F-15",2,IF(L1542="F-30",3,IF(L1542="F-60",4,IF(L1542="F-90",5,IF(L1542="F-120",6,0))))),0),0)+IF(AND(O1542="FIRE TEX 5120",OR(E1542="IN",E1542="C",E1542="Z",E1542="L"),J1542=4),VLOOKUP(_xlfn.MINIFS('FIRE TEX 5120'!$H$4:$H$40,'FIRE TEX 5120'!$H$4:$H$40,"&gt;="&amp;M1542),'FIRE TEX 5120'!$H$4:$M$40,IF(L1542="F-15",2,IF(L1542="F-30",3,IF(L1542="F-60",4,IF(L1542="F-90",5,IF(L1542="F-120",6,0))))),0),0)+IF(AND(O1542="FIRE TEX 5120",E1542="CJ"),VLOOKUP(_xlfn.MINIFS('FIRE TEX 5120'!$O$5:$O$40,'FIRE TEX 5120'!$O$5:$O$40,"&gt;="&amp;M1542),'FIRE TEX 5120'!$O$5:$T$40,IF(L1542="F-15",2,IF(L1542="F-30",3,IF(L1542="F-60",4,IF(L1542="F-90",5,IF(L1542="F-120",6,0))))),0),0)</f>
        <v>0</v>
      </c>
      <c r="Q1542" s="46">
        <f t="shared" si="139"/>
        <v>0</v>
      </c>
      <c r="R1542" s="46">
        <f t="shared" si="140"/>
        <v>0</v>
      </c>
      <c r="S1542" s="46" t="e">
        <f t="shared" si="141"/>
        <v>#VALUE!</v>
      </c>
      <c r="T1542" s="677">
        <f t="shared" si="142"/>
        <v>0</v>
      </c>
      <c r="U1542" s="80">
        <f>(IF(O1542="Stofire",(S1542*#REF!),0))+(IF(O1542="Fire Control",(S1542*$U$2),0))+(IF(O1542="Fire Tex",(S1542*$U$3),0))+(IF(O1542="WB7",(S1542*#REF!),0)+(IF(O1542="FX 2003",(S1542*$U$5),0)))</f>
        <v>0</v>
      </c>
      <c r="V1542" s="651">
        <f t="shared" si="143"/>
        <v>0</v>
      </c>
    </row>
    <row r="1543" spans="4:22" x14ac:dyDescent="0.25">
      <c r="D1543" s="118">
        <f>+CUBICACION!D1542</f>
        <v>0</v>
      </c>
      <c r="E1543" s="118">
        <f>+CUBICACION!F1542</f>
        <v>0</v>
      </c>
      <c r="F1543" s="118">
        <f>+CUBICACION!E1542</f>
        <v>0</v>
      </c>
      <c r="G1543" s="118">
        <v>12</v>
      </c>
      <c r="H1543" s="118">
        <v>2</v>
      </c>
      <c r="I1543" s="820">
        <v>26385</v>
      </c>
      <c r="J1543" s="118">
        <f>+CUBICACION!J1542</f>
        <v>0</v>
      </c>
      <c r="K1543" s="118">
        <v>4322</v>
      </c>
      <c r="L1543" s="118">
        <f>+CUBICACION!L1542</f>
        <v>0</v>
      </c>
      <c r="M1543" s="64">
        <f>+CUBICACION!M1542</f>
        <v>0</v>
      </c>
      <c r="N1543" s="824" t="str">
        <f>+CUBICACION!N1542</f>
        <v/>
      </c>
      <c r="O1543" s="675">
        <f>+CUBICACION!O1542</f>
        <v>0</v>
      </c>
      <c r="P1543" s="15">
        <f>IF(O1543="Fire Control",VLOOKUP(_xlfn.MINIFS('FIRE CONTROL'!$C$4:$C$37,'FIRE CONTROL'!$C$4:$C$37,"&gt;="&amp;M1543),'FIRE CONTROL'!$C$4:$G$37,IF(L1543="F-15",2,IF(L1543="F-30",3,IF(L1543="F-60",4,IF(L1543="F-90",5,0)))),0),0)+IF(AND(O1543="FIRE TEX 5062",OR(E1543="IN",E1543="C",E1543="Z",E1543="L"),J1543=3),VLOOKUP(_xlfn.MINIFS('FIRE TEX 5062'!$B$4:$B$34,'FIRE TEX 5062'!$B$4:$B$34,"&gt;="&amp;M1543),'FIRE TEX 5062'!$B$4:$F$34,IF(L1543="F-15",2,IF(L1543="F-30",3,IF(L1543="F-60",4,IF(L1543="F-90",5,0)))),0),0)+IF(AND(O1543="FIRE TEX 5062",OR(E1543="IN",E1543="C",E1543="Z",E1543="L"),J1543=4),VLOOKUP(_xlfn.MINIFS('FIRE TEX 5062'!$G$4:$G$34,'FIRE TEX 5062'!$G$4:$G$34,"&gt;="&amp;M1543),'FIRE TEX 5062'!$G$4:$K$34,IF(L1543="F-15",2,IF(L1543="F-30",3,IF(L1543="F-60",4,IF(L1543="F-90",5,0)))),0),0)+IF(AND(O1543="FIRE TEX 5062",E1543="CJ",J1543=3),VLOOKUP(_xlfn.MINIFS('FIRE TEX 5062'!$L$4:$L$34,'FIRE TEX 5062'!$L$4:$L$34,"&gt;="&amp;M1543),'FIRE TEX 5062'!$L$4:$P$34,IF(L1543="F-15",2,IF(L1543="F-30",3,IF(L1543="F-60",4,IF(L1543="F-90",5,0)))),0),0)+IF(AND(O1543="FIRE TEX 5062",E1543="CJ",J1543=4),VLOOKUP(_xlfn.MINIFS('FIRE TEX 5062'!$Q$3:$Q$34,'FIRE TEX 5062'!$Q$3:$Q$34,"&gt;="&amp;M1543),'FIRE TEX 5062'!$Q$3:$U$34,IF(L1543="F-15",2,IF(L1543="F-30",3,IF(L1543="F-60",4,IF(L1543="F-90",5,0)))),0),0)+IF(AND(O1543="FIRE TEX 5090",OR(E1543="IN",E1543="C",E1543="Z",E1543="L"),J1543=3),VLOOKUP(_xlfn.MINIFS('FIRE TEX 5090'!$B$5:$B$43,'FIRE TEX 5090'!$B$5:$B$43,"&gt;="&amp;M1543),'FIRE TEX 5090'!$B$5:$H$43,IF(L1543="F-15",2,IF(L1543="F-30",3,IF(L1543="F-60",4,IF(L1543="F-90",5,IF(L1543="F-120",6,IF(L1543="F-150",7,0)))))),0),0)+IF(AND(O1543="FIRE TEX 5090",OR(E1543="IN",E1543="C",E1543="Z",E1543="L"),J1543=4),VLOOKUP(_xlfn.MINIFS('FIRE TEX 5090'!$J$5:$J$43,'FIRE TEX 5090'!$J$5:$J$43,"&gt;="&amp;M1543),'FIRE TEX 5090'!$J$5:$P$43,IF(L1543="F-15",2,IF(L1543="F-30",3,IF(L1543="F-60",4,IF(L1543="F-90",5,IF(L1543="F-120",6,IF(L1543="F-150",7,0)))))),0),0)+IF(AND(O1543="FIRE TEX 5090",E1543="CJ",J1543=3),VLOOKUP(_xlfn.MINIFS('FIRE TEX 5090'!$R$5:$R$30,'FIRE TEX 5090'!$R$5:$R$30,"&gt;="&amp;M1543),'FIRE TEX 5090'!$R$5:$W$30,IF(L1543="F-15",2,IF(L1543="F-30",3,IF(L1543="F-60",4,IF(L1543="F-90",5,IF(L1543="F-120",6,IF(L1543="F-150",7,0)))))),0),0)+IF(AND(O1543="FIRE TEX 5090",E1543="CJ",J1543=4),VLOOKUP(_xlfn.MINIFS('FIRE TEX 5090'!$Y$5:$Y$39,'FIRE TEX 5090'!$Y$5:$Y$39,"&gt;="&amp;M1543),'FIRE TEX 5090'!$Y$5:$AD$39,IF(L1543="F-15",2,IF(L1543="F-30",3,IF(L1543="F-60",4,IF(L1543="F-90",5,IF(L1543="F-120",6,IF(L1543="F-150",7,0)))))),0),0)+IF(AND(O1543="FIRE TEX 5120",OR(E1543="IN",E1543="C",E1543="Z",E1543="L"),J1543=3),VLOOKUP(_xlfn.MINIFS('FIRE TEX 5120'!$B$5:$B$40,'FIRE TEX 5120'!$B$5:$B$40,"&gt;="&amp;M1543),'FIRE TEX 5120'!$B$5:$G$40,IF(L1543="F-15",2,IF(L1543="F-30",3,IF(L1543="F-60",4,IF(L1543="F-90",5,IF(L1543="F-120",6,0))))),0),0)+IF(AND(O1543="FIRE TEX 5120",OR(E1543="IN",E1543="C",E1543="Z",E1543="L"),J1543=4),VLOOKUP(_xlfn.MINIFS('FIRE TEX 5120'!$H$4:$H$40,'FIRE TEX 5120'!$H$4:$H$40,"&gt;="&amp;M1543),'FIRE TEX 5120'!$H$4:$M$40,IF(L1543="F-15",2,IF(L1543="F-30",3,IF(L1543="F-60",4,IF(L1543="F-90",5,IF(L1543="F-120",6,0))))),0),0)+IF(AND(O1543="FIRE TEX 5120",E1543="CJ"),VLOOKUP(_xlfn.MINIFS('FIRE TEX 5120'!$O$5:$O$40,'FIRE TEX 5120'!$O$5:$O$40,"&gt;="&amp;M1543),'FIRE TEX 5120'!$O$5:$T$40,IF(L1543="F-15",2,IF(L1543="F-30",3,IF(L1543="F-60",4,IF(L1543="F-90",5,IF(L1543="F-120",6,0))))),0),0)</f>
        <v>0</v>
      </c>
      <c r="Q1543" s="46">
        <f t="shared" si="139"/>
        <v>0</v>
      </c>
      <c r="R1543" s="46">
        <f t="shared" si="140"/>
        <v>0</v>
      </c>
      <c r="S1543" s="46" t="e">
        <f t="shared" si="141"/>
        <v>#VALUE!</v>
      </c>
      <c r="T1543" s="677">
        <f t="shared" si="142"/>
        <v>0</v>
      </c>
      <c r="U1543" s="80">
        <f>(IF(O1543="Stofire",(S1543*#REF!),0))+(IF(O1543="Fire Control",(S1543*$U$2),0))+(IF(O1543="Fire Tex",(S1543*$U$3),0))+(IF(O1543="WB7",(S1543*#REF!),0)+(IF(O1543="FX 2003",(S1543*$U$5),0)))</f>
        <v>0</v>
      </c>
      <c r="V1543" s="651">
        <f t="shared" si="143"/>
        <v>0</v>
      </c>
    </row>
    <row r="1544" spans="4:22" x14ac:dyDescent="0.25">
      <c r="D1544" s="118">
        <f>+CUBICACION!D1543</f>
        <v>0</v>
      </c>
      <c r="E1544" s="118">
        <f>+CUBICACION!F1543</f>
        <v>0</v>
      </c>
      <c r="F1544" s="118">
        <f>+CUBICACION!E1543</f>
        <v>0</v>
      </c>
      <c r="G1544" s="118">
        <v>12</v>
      </c>
      <c r="H1544" s="118">
        <v>2</v>
      </c>
      <c r="I1544" s="820">
        <v>26385</v>
      </c>
      <c r="J1544" s="118">
        <f>+CUBICACION!J1543</f>
        <v>0</v>
      </c>
      <c r="K1544" s="118">
        <v>4323</v>
      </c>
      <c r="L1544" s="118">
        <f>+CUBICACION!L1543</f>
        <v>0</v>
      </c>
      <c r="M1544" s="64">
        <f>+CUBICACION!M1543</f>
        <v>0</v>
      </c>
      <c r="N1544" s="824" t="str">
        <f>+CUBICACION!N1543</f>
        <v/>
      </c>
      <c r="O1544" s="675">
        <f>+CUBICACION!O1543</f>
        <v>0</v>
      </c>
      <c r="P1544" s="15">
        <f>IF(O1544="Fire Control",VLOOKUP(_xlfn.MINIFS('FIRE CONTROL'!$C$4:$C$37,'FIRE CONTROL'!$C$4:$C$37,"&gt;="&amp;M1544),'FIRE CONTROL'!$C$4:$G$37,IF(L1544="F-15",2,IF(L1544="F-30",3,IF(L1544="F-60",4,IF(L1544="F-90",5,0)))),0),0)+IF(AND(O1544="FIRE TEX 5062",OR(E1544="IN",E1544="C",E1544="Z",E1544="L"),J1544=3),VLOOKUP(_xlfn.MINIFS('FIRE TEX 5062'!$B$4:$B$34,'FIRE TEX 5062'!$B$4:$B$34,"&gt;="&amp;M1544),'FIRE TEX 5062'!$B$4:$F$34,IF(L1544="F-15",2,IF(L1544="F-30",3,IF(L1544="F-60",4,IF(L1544="F-90",5,0)))),0),0)+IF(AND(O1544="FIRE TEX 5062",OR(E1544="IN",E1544="C",E1544="Z",E1544="L"),J1544=4),VLOOKUP(_xlfn.MINIFS('FIRE TEX 5062'!$G$4:$G$34,'FIRE TEX 5062'!$G$4:$G$34,"&gt;="&amp;M1544),'FIRE TEX 5062'!$G$4:$K$34,IF(L1544="F-15",2,IF(L1544="F-30",3,IF(L1544="F-60",4,IF(L1544="F-90",5,0)))),0),0)+IF(AND(O1544="FIRE TEX 5062",E1544="CJ",J1544=3),VLOOKUP(_xlfn.MINIFS('FIRE TEX 5062'!$L$4:$L$34,'FIRE TEX 5062'!$L$4:$L$34,"&gt;="&amp;M1544),'FIRE TEX 5062'!$L$4:$P$34,IF(L1544="F-15",2,IF(L1544="F-30",3,IF(L1544="F-60",4,IF(L1544="F-90",5,0)))),0),0)+IF(AND(O1544="FIRE TEX 5062",E1544="CJ",J1544=4),VLOOKUP(_xlfn.MINIFS('FIRE TEX 5062'!$Q$3:$Q$34,'FIRE TEX 5062'!$Q$3:$Q$34,"&gt;="&amp;M1544),'FIRE TEX 5062'!$Q$3:$U$34,IF(L1544="F-15",2,IF(L1544="F-30",3,IF(L1544="F-60",4,IF(L1544="F-90",5,0)))),0),0)+IF(AND(O1544="FIRE TEX 5090",OR(E1544="IN",E1544="C",E1544="Z",E1544="L"),J1544=3),VLOOKUP(_xlfn.MINIFS('FIRE TEX 5090'!$B$5:$B$43,'FIRE TEX 5090'!$B$5:$B$43,"&gt;="&amp;M1544),'FIRE TEX 5090'!$B$5:$H$43,IF(L1544="F-15",2,IF(L1544="F-30",3,IF(L1544="F-60",4,IF(L1544="F-90",5,IF(L1544="F-120",6,IF(L1544="F-150",7,0)))))),0),0)+IF(AND(O1544="FIRE TEX 5090",OR(E1544="IN",E1544="C",E1544="Z",E1544="L"),J1544=4),VLOOKUP(_xlfn.MINIFS('FIRE TEX 5090'!$J$5:$J$43,'FIRE TEX 5090'!$J$5:$J$43,"&gt;="&amp;M1544),'FIRE TEX 5090'!$J$5:$P$43,IF(L1544="F-15",2,IF(L1544="F-30",3,IF(L1544="F-60",4,IF(L1544="F-90",5,IF(L1544="F-120",6,IF(L1544="F-150",7,0)))))),0),0)+IF(AND(O1544="FIRE TEX 5090",E1544="CJ",J1544=3),VLOOKUP(_xlfn.MINIFS('FIRE TEX 5090'!$R$5:$R$30,'FIRE TEX 5090'!$R$5:$R$30,"&gt;="&amp;M1544),'FIRE TEX 5090'!$R$5:$W$30,IF(L1544="F-15",2,IF(L1544="F-30",3,IF(L1544="F-60",4,IF(L1544="F-90",5,IF(L1544="F-120",6,IF(L1544="F-150",7,0)))))),0),0)+IF(AND(O1544="FIRE TEX 5090",E1544="CJ",J1544=4),VLOOKUP(_xlfn.MINIFS('FIRE TEX 5090'!$Y$5:$Y$39,'FIRE TEX 5090'!$Y$5:$Y$39,"&gt;="&amp;M1544),'FIRE TEX 5090'!$Y$5:$AD$39,IF(L1544="F-15",2,IF(L1544="F-30",3,IF(L1544="F-60",4,IF(L1544="F-90",5,IF(L1544="F-120",6,IF(L1544="F-150",7,0)))))),0),0)+IF(AND(O1544="FIRE TEX 5120",OR(E1544="IN",E1544="C",E1544="Z",E1544="L"),J1544=3),VLOOKUP(_xlfn.MINIFS('FIRE TEX 5120'!$B$5:$B$40,'FIRE TEX 5120'!$B$5:$B$40,"&gt;="&amp;M1544),'FIRE TEX 5120'!$B$5:$G$40,IF(L1544="F-15",2,IF(L1544="F-30",3,IF(L1544="F-60",4,IF(L1544="F-90",5,IF(L1544="F-120",6,0))))),0),0)+IF(AND(O1544="FIRE TEX 5120",OR(E1544="IN",E1544="C",E1544="Z",E1544="L"),J1544=4),VLOOKUP(_xlfn.MINIFS('FIRE TEX 5120'!$H$4:$H$40,'FIRE TEX 5120'!$H$4:$H$40,"&gt;="&amp;M1544),'FIRE TEX 5120'!$H$4:$M$40,IF(L1544="F-15",2,IF(L1544="F-30",3,IF(L1544="F-60",4,IF(L1544="F-90",5,IF(L1544="F-120",6,0))))),0),0)+IF(AND(O1544="FIRE TEX 5120",E1544="CJ"),VLOOKUP(_xlfn.MINIFS('FIRE TEX 5120'!$O$5:$O$40,'FIRE TEX 5120'!$O$5:$O$40,"&gt;="&amp;M1544),'FIRE TEX 5120'!$O$5:$T$40,IF(L1544="F-15",2,IF(L1544="F-30",3,IF(L1544="F-60",4,IF(L1544="F-90",5,IF(L1544="F-120",6,0))))),0),0)</f>
        <v>0</v>
      </c>
      <c r="Q1544" s="46">
        <f t="shared" si="139"/>
        <v>0</v>
      </c>
      <c r="R1544" s="46">
        <f t="shared" si="140"/>
        <v>0</v>
      </c>
      <c r="S1544" s="46" t="e">
        <f t="shared" si="141"/>
        <v>#VALUE!</v>
      </c>
      <c r="T1544" s="677">
        <f t="shared" si="142"/>
        <v>0</v>
      </c>
      <c r="U1544" s="80">
        <f>(IF(O1544="Stofire",(S1544*#REF!),0))+(IF(O1544="Fire Control",(S1544*$U$2),0))+(IF(O1544="Fire Tex",(S1544*$U$3),0))+(IF(O1544="WB7",(S1544*#REF!),0)+(IF(O1544="FX 2003",(S1544*$U$5),0)))</f>
        <v>0</v>
      </c>
      <c r="V1544" s="651">
        <f t="shared" si="143"/>
        <v>0</v>
      </c>
    </row>
    <row r="1545" spans="4:22" x14ac:dyDescent="0.25">
      <c r="D1545" s="118">
        <f>+CUBICACION!D1544</f>
        <v>0</v>
      </c>
      <c r="E1545" s="118">
        <f>+CUBICACION!F1544</f>
        <v>0</v>
      </c>
      <c r="F1545" s="118">
        <f>+CUBICACION!E1544</f>
        <v>0</v>
      </c>
      <c r="G1545" s="118">
        <v>12</v>
      </c>
      <c r="H1545" s="118">
        <v>2</v>
      </c>
      <c r="I1545" s="820">
        <v>26385</v>
      </c>
      <c r="J1545" s="118">
        <f>+CUBICACION!J1544</f>
        <v>0</v>
      </c>
      <c r="K1545" s="118">
        <v>4324</v>
      </c>
      <c r="L1545" s="118">
        <f>+CUBICACION!L1544</f>
        <v>0</v>
      </c>
      <c r="M1545" s="64">
        <f>+CUBICACION!M1544</f>
        <v>0</v>
      </c>
      <c r="N1545" s="824" t="str">
        <f>+CUBICACION!N1544</f>
        <v/>
      </c>
      <c r="O1545" s="675">
        <f>+CUBICACION!O1544</f>
        <v>0</v>
      </c>
      <c r="P1545" s="15">
        <f>IF(O1545="Fire Control",VLOOKUP(_xlfn.MINIFS('FIRE CONTROL'!$C$4:$C$37,'FIRE CONTROL'!$C$4:$C$37,"&gt;="&amp;M1545),'FIRE CONTROL'!$C$4:$G$37,IF(L1545="F-15",2,IF(L1545="F-30",3,IF(L1545="F-60",4,IF(L1545="F-90",5,0)))),0),0)+IF(AND(O1545="FIRE TEX 5062",OR(E1545="IN",E1545="C",E1545="Z",E1545="L"),J1545=3),VLOOKUP(_xlfn.MINIFS('FIRE TEX 5062'!$B$4:$B$34,'FIRE TEX 5062'!$B$4:$B$34,"&gt;="&amp;M1545),'FIRE TEX 5062'!$B$4:$F$34,IF(L1545="F-15",2,IF(L1545="F-30",3,IF(L1545="F-60",4,IF(L1545="F-90",5,0)))),0),0)+IF(AND(O1545="FIRE TEX 5062",OR(E1545="IN",E1545="C",E1545="Z",E1545="L"),J1545=4),VLOOKUP(_xlfn.MINIFS('FIRE TEX 5062'!$G$4:$G$34,'FIRE TEX 5062'!$G$4:$G$34,"&gt;="&amp;M1545),'FIRE TEX 5062'!$G$4:$K$34,IF(L1545="F-15",2,IF(L1545="F-30",3,IF(L1545="F-60",4,IF(L1545="F-90",5,0)))),0),0)+IF(AND(O1545="FIRE TEX 5062",E1545="CJ",J1545=3),VLOOKUP(_xlfn.MINIFS('FIRE TEX 5062'!$L$4:$L$34,'FIRE TEX 5062'!$L$4:$L$34,"&gt;="&amp;M1545),'FIRE TEX 5062'!$L$4:$P$34,IF(L1545="F-15",2,IF(L1545="F-30",3,IF(L1545="F-60",4,IF(L1545="F-90",5,0)))),0),0)+IF(AND(O1545="FIRE TEX 5062",E1545="CJ",J1545=4),VLOOKUP(_xlfn.MINIFS('FIRE TEX 5062'!$Q$3:$Q$34,'FIRE TEX 5062'!$Q$3:$Q$34,"&gt;="&amp;M1545),'FIRE TEX 5062'!$Q$3:$U$34,IF(L1545="F-15",2,IF(L1545="F-30",3,IF(L1545="F-60",4,IF(L1545="F-90",5,0)))),0),0)+IF(AND(O1545="FIRE TEX 5090",OR(E1545="IN",E1545="C",E1545="Z",E1545="L"),J1545=3),VLOOKUP(_xlfn.MINIFS('FIRE TEX 5090'!$B$5:$B$43,'FIRE TEX 5090'!$B$5:$B$43,"&gt;="&amp;M1545),'FIRE TEX 5090'!$B$5:$H$43,IF(L1545="F-15",2,IF(L1545="F-30",3,IF(L1545="F-60",4,IF(L1545="F-90",5,IF(L1545="F-120",6,IF(L1545="F-150",7,0)))))),0),0)+IF(AND(O1545="FIRE TEX 5090",OR(E1545="IN",E1545="C",E1545="Z",E1545="L"),J1545=4),VLOOKUP(_xlfn.MINIFS('FIRE TEX 5090'!$J$5:$J$43,'FIRE TEX 5090'!$J$5:$J$43,"&gt;="&amp;M1545),'FIRE TEX 5090'!$J$5:$P$43,IF(L1545="F-15",2,IF(L1545="F-30",3,IF(L1545="F-60",4,IF(L1545="F-90",5,IF(L1545="F-120",6,IF(L1545="F-150",7,0)))))),0),0)+IF(AND(O1545="FIRE TEX 5090",E1545="CJ",J1545=3),VLOOKUP(_xlfn.MINIFS('FIRE TEX 5090'!$R$5:$R$30,'FIRE TEX 5090'!$R$5:$R$30,"&gt;="&amp;M1545),'FIRE TEX 5090'!$R$5:$W$30,IF(L1545="F-15",2,IF(L1545="F-30",3,IF(L1545="F-60",4,IF(L1545="F-90",5,IF(L1545="F-120",6,IF(L1545="F-150",7,0)))))),0),0)+IF(AND(O1545="FIRE TEX 5090",E1545="CJ",J1545=4),VLOOKUP(_xlfn.MINIFS('FIRE TEX 5090'!$Y$5:$Y$39,'FIRE TEX 5090'!$Y$5:$Y$39,"&gt;="&amp;M1545),'FIRE TEX 5090'!$Y$5:$AD$39,IF(L1545="F-15",2,IF(L1545="F-30",3,IF(L1545="F-60",4,IF(L1545="F-90",5,IF(L1545="F-120",6,IF(L1545="F-150",7,0)))))),0),0)+IF(AND(O1545="FIRE TEX 5120",OR(E1545="IN",E1545="C",E1545="Z",E1545="L"),J1545=3),VLOOKUP(_xlfn.MINIFS('FIRE TEX 5120'!$B$5:$B$40,'FIRE TEX 5120'!$B$5:$B$40,"&gt;="&amp;M1545),'FIRE TEX 5120'!$B$5:$G$40,IF(L1545="F-15",2,IF(L1545="F-30",3,IF(L1545="F-60",4,IF(L1545="F-90",5,IF(L1545="F-120",6,0))))),0),0)+IF(AND(O1545="FIRE TEX 5120",OR(E1545="IN",E1545="C",E1545="Z",E1545="L"),J1545=4),VLOOKUP(_xlfn.MINIFS('FIRE TEX 5120'!$H$4:$H$40,'FIRE TEX 5120'!$H$4:$H$40,"&gt;="&amp;M1545),'FIRE TEX 5120'!$H$4:$M$40,IF(L1545="F-15",2,IF(L1545="F-30",3,IF(L1545="F-60",4,IF(L1545="F-90",5,IF(L1545="F-120",6,0))))),0),0)+IF(AND(O1545="FIRE TEX 5120",E1545="CJ"),VLOOKUP(_xlfn.MINIFS('FIRE TEX 5120'!$O$5:$O$40,'FIRE TEX 5120'!$O$5:$O$40,"&gt;="&amp;M1545),'FIRE TEX 5120'!$O$5:$T$40,IF(L1545="F-15",2,IF(L1545="F-30",3,IF(L1545="F-60",4,IF(L1545="F-90",5,IF(L1545="F-120",6,0))))),0),0)</f>
        <v>0</v>
      </c>
      <c r="Q1545" s="46">
        <f t="shared" si="139"/>
        <v>0</v>
      </c>
      <c r="R1545" s="46">
        <f t="shared" si="140"/>
        <v>0</v>
      </c>
      <c r="S1545" s="46" t="e">
        <f t="shared" si="141"/>
        <v>#VALUE!</v>
      </c>
      <c r="T1545" s="677">
        <f t="shared" si="142"/>
        <v>0</v>
      </c>
      <c r="U1545" s="80">
        <f>(IF(O1545="Stofire",(S1545*#REF!),0))+(IF(O1545="Fire Control",(S1545*$U$2),0))+(IF(O1545="Fire Tex",(S1545*$U$3),0))+(IF(O1545="WB7",(S1545*#REF!),0)+(IF(O1545="FX 2003",(S1545*$U$5),0)))</f>
        <v>0</v>
      </c>
      <c r="V1545" s="651">
        <f t="shared" si="143"/>
        <v>0</v>
      </c>
    </row>
    <row r="1546" spans="4:22" x14ac:dyDescent="0.25">
      <c r="D1546" s="118">
        <f>+CUBICACION!D1545</f>
        <v>0</v>
      </c>
      <c r="E1546" s="118">
        <f>+CUBICACION!F1545</f>
        <v>0</v>
      </c>
      <c r="F1546" s="118">
        <f>+CUBICACION!E1545</f>
        <v>0</v>
      </c>
      <c r="G1546" s="118">
        <v>12</v>
      </c>
      <c r="H1546" s="118">
        <v>2</v>
      </c>
      <c r="I1546" s="820">
        <v>26385</v>
      </c>
      <c r="J1546" s="118">
        <f>+CUBICACION!J1545</f>
        <v>0</v>
      </c>
      <c r="K1546" s="118">
        <v>4325</v>
      </c>
      <c r="L1546" s="118">
        <f>+CUBICACION!L1545</f>
        <v>0</v>
      </c>
      <c r="M1546" s="64">
        <f>+CUBICACION!M1545</f>
        <v>0</v>
      </c>
      <c r="N1546" s="824" t="str">
        <f>+CUBICACION!N1545</f>
        <v/>
      </c>
      <c r="O1546" s="675">
        <f>+CUBICACION!O1545</f>
        <v>0</v>
      </c>
      <c r="P1546" s="15">
        <f>IF(O1546="Fire Control",VLOOKUP(_xlfn.MINIFS('FIRE CONTROL'!$C$4:$C$37,'FIRE CONTROL'!$C$4:$C$37,"&gt;="&amp;M1546),'FIRE CONTROL'!$C$4:$G$37,IF(L1546="F-15",2,IF(L1546="F-30",3,IF(L1546="F-60",4,IF(L1546="F-90",5,0)))),0),0)+IF(AND(O1546="FIRE TEX 5062",OR(E1546="IN",E1546="C",E1546="Z",E1546="L"),J1546=3),VLOOKUP(_xlfn.MINIFS('FIRE TEX 5062'!$B$4:$B$34,'FIRE TEX 5062'!$B$4:$B$34,"&gt;="&amp;M1546),'FIRE TEX 5062'!$B$4:$F$34,IF(L1546="F-15",2,IF(L1546="F-30",3,IF(L1546="F-60",4,IF(L1546="F-90",5,0)))),0),0)+IF(AND(O1546="FIRE TEX 5062",OR(E1546="IN",E1546="C",E1546="Z",E1546="L"),J1546=4),VLOOKUP(_xlfn.MINIFS('FIRE TEX 5062'!$G$4:$G$34,'FIRE TEX 5062'!$G$4:$G$34,"&gt;="&amp;M1546),'FIRE TEX 5062'!$G$4:$K$34,IF(L1546="F-15",2,IF(L1546="F-30",3,IF(L1546="F-60",4,IF(L1546="F-90",5,0)))),0),0)+IF(AND(O1546="FIRE TEX 5062",E1546="CJ",J1546=3),VLOOKUP(_xlfn.MINIFS('FIRE TEX 5062'!$L$4:$L$34,'FIRE TEX 5062'!$L$4:$L$34,"&gt;="&amp;M1546),'FIRE TEX 5062'!$L$4:$P$34,IF(L1546="F-15",2,IF(L1546="F-30",3,IF(L1546="F-60",4,IF(L1546="F-90",5,0)))),0),0)+IF(AND(O1546="FIRE TEX 5062",E1546="CJ",J1546=4),VLOOKUP(_xlfn.MINIFS('FIRE TEX 5062'!$Q$3:$Q$34,'FIRE TEX 5062'!$Q$3:$Q$34,"&gt;="&amp;M1546),'FIRE TEX 5062'!$Q$3:$U$34,IF(L1546="F-15",2,IF(L1546="F-30",3,IF(L1546="F-60",4,IF(L1546="F-90",5,0)))),0),0)+IF(AND(O1546="FIRE TEX 5090",OR(E1546="IN",E1546="C",E1546="Z",E1546="L"),J1546=3),VLOOKUP(_xlfn.MINIFS('FIRE TEX 5090'!$B$5:$B$43,'FIRE TEX 5090'!$B$5:$B$43,"&gt;="&amp;M1546),'FIRE TEX 5090'!$B$5:$H$43,IF(L1546="F-15",2,IF(L1546="F-30",3,IF(L1546="F-60",4,IF(L1546="F-90",5,IF(L1546="F-120",6,IF(L1546="F-150",7,0)))))),0),0)+IF(AND(O1546="FIRE TEX 5090",OR(E1546="IN",E1546="C",E1546="Z",E1546="L"),J1546=4),VLOOKUP(_xlfn.MINIFS('FIRE TEX 5090'!$J$5:$J$43,'FIRE TEX 5090'!$J$5:$J$43,"&gt;="&amp;M1546),'FIRE TEX 5090'!$J$5:$P$43,IF(L1546="F-15",2,IF(L1546="F-30",3,IF(L1546="F-60",4,IF(L1546="F-90",5,IF(L1546="F-120",6,IF(L1546="F-150",7,0)))))),0),0)+IF(AND(O1546="FIRE TEX 5090",E1546="CJ",J1546=3),VLOOKUP(_xlfn.MINIFS('FIRE TEX 5090'!$R$5:$R$30,'FIRE TEX 5090'!$R$5:$R$30,"&gt;="&amp;M1546),'FIRE TEX 5090'!$R$5:$W$30,IF(L1546="F-15",2,IF(L1546="F-30",3,IF(L1546="F-60",4,IF(L1546="F-90",5,IF(L1546="F-120",6,IF(L1546="F-150",7,0)))))),0),0)+IF(AND(O1546="FIRE TEX 5090",E1546="CJ",J1546=4),VLOOKUP(_xlfn.MINIFS('FIRE TEX 5090'!$Y$5:$Y$39,'FIRE TEX 5090'!$Y$5:$Y$39,"&gt;="&amp;M1546),'FIRE TEX 5090'!$Y$5:$AD$39,IF(L1546="F-15",2,IF(L1546="F-30",3,IF(L1546="F-60",4,IF(L1546="F-90",5,IF(L1546="F-120",6,IF(L1546="F-150",7,0)))))),0),0)+IF(AND(O1546="FIRE TEX 5120",OR(E1546="IN",E1546="C",E1546="Z",E1546="L"),J1546=3),VLOOKUP(_xlfn.MINIFS('FIRE TEX 5120'!$B$5:$B$40,'FIRE TEX 5120'!$B$5:$B$40,"&gt;="&amp;M1546),'FIRE TEX 5120'!$B$5:$G$40,IF(L1546="F-15",2,IF(L1546="F-30",3,IF(L1546="F-60",4,IF(L1546="F-90",5,IF(L1546="F-120",6,0))))),0),0)+IF(AND(O1546="FIRE TEX 5120",OR(E1546="IN",E1546="C",E1546="Z",E1546="L"),J1546=4),VLOOKUP(_xlfn.MINIFS('FIRE TEX 5120'!$H$4:$H$40,'FIRE TEX 5120'!$H$4:$H$40,"&gt;="&amp;M1546),'FIRE TEX 5120'!$H$4:$M$40,IF(L1546="F-15",2,IF(L1546="F-30",3,IF(L1546="F-60",4,IF(L1546="F-90",5,IF(L1546="F-120",6,0))))),0),0)+IF(AND(O1546="FIRE TEX 5120",E1546="CJ"),VLOOKUP(_xlfn.MINIFS('FIRE TEX 5120'!$O$5:$O$40,'FIRE TEX 5120'!$O$5:$O$40,"&gt;="&amp;M1546),'FIRE TEX 5120'!$O$5:$T$40,IF(L1546="F-15",2,IF(L1546="F-30",3,IF(L1546="F-60",4,IF(L1546="F-90",5,IF(L1546="F-120",6,0))))),0),0)</f>
        <v>0</v>
      </c>
      <c r="Q1546" s="46">
        <f t="shared" si="139"/>
        <v>0</v>
      </c>
      <c r="R1546" s="46">
        <f t="shared" si="140"/>
        <v>0</v>
      </c>
      <c r="S1546" s="46" t="e">
        <f t="shared" si="141"/>
        <v>#VALUE!</v>
      </c>
      <c r="T1546" s="677">
        <f t="shared" si="142"/>
        <v>0</v>
      </c>
      <c r="U1546" s="80">
        <f>(IF(O1546="Stofire",(S1546*#REF!),0))+(IF(O1546="Fire Control",(S1546*$U$2),0))+(IF(O1546="Fire Tex",(S1546*$U$3),0))+(IF(O1546="WB7",(S1546*#REF!),0)+(IF(O1546="FX 2003",(S1546*$U$5),0)))</f>
        <v>0</v>
      </c>
      <c r="V1546" s="651">
        <f t="shared" si="143"/>
        <v>0</v>
      </c>
    </row>
    <row r="1547" spans="4:22" x14ac:dyDescent="0.25">
      <c r="D1547" s="118">
        <f>+CUBICACION!D1546</f>
        <v>0</v>
      </c>
      <c r="E1547" s="118">
        <f>+CUBICACION!F1546</f>
        <v>0</v>
      </c>
      <c r="F1547" s="118">
        <f>+CUBICACION!E1546</f>
        <v>0</v>
      </c>
      <c r="G1547" s="118">
        <v>12</v>
      </c>
      <c r="H1547" s="118">
        <v>2</v>
      </c>
      <c r="I1547" s="820">
        <v>26385</v>
      </c>
      <c r="J1547" s="118">
        <f>+CUBICACION!J1546</f>
        <v>0</v>
      </c>
      <c r="K1547" s="118">
        <v>4326</v>
      </c>
      <c r="L1547" s="118">
        <f>+CUBICACION!L1546</f>
        <v>0</v>
      </c>
      <c r="M1547" s="64">
        <f>+CUBICACION!M1546</f>
        <v>0</v>
      </c>
      <c r="N1547" s="824" t="str">
        <f>+CUBICACION!N1546</f>
        <v/>
      </c>
      <c r="O1547" s="675">
        <f>+CUBICACION!O1546</f>
        <v>0</v>
      </c>
      <c r="P1547" s="15">
        <f>IF(O1547="Fire Control",VLOOKUP(_xlfn.MINIFS('FIRE CONTROL'!$C$4:$C$37,'FIRE CONTROL'!$C$4:$C$37,"&gt;="&amp;M1547),'FIRE CONTROL'!$C$4:$G$37,IF(L1547="F-15",2,IF(L1547="F-30",3,IF(L1547="F-60",4,IF(L1547="F-90",5,0)))),0),0)+IF(AND(O1547="FIRE TEX 5062",OR(E1547="IN",E1547="C",E1547="Z",E1547="L"),J1547=3),VLOOKUP(_xlfn.MINIFS('FIRE TEX 5062'!$B$4:$B$34,'FIRE TEX 5062'!$B$4:$B$34,"&gt;="&amp;M1547),'FIRE TEX 5062'!$B$4:$F$34,IF(L1547="F-15",2,IF(L1547="F-30",3,IF(L1547="F-60",4,IF(L1547="F-90",5,0)))),0),0)+IF(AND(O1547="FIRE TEX 5062",OR(E1547="IN",E1547="C",E1547="Z",E1547="L"),J1547=4),VLOOKUP(_xlfn.MINIFS('FIRE TEX 5062'!$G$4:$G$34,'FIRE TEX 5062'!$G$4:$G$34,"&gt;="&amp;M1547),'FIRE TEX 5062'!$G$4:$K$34,IF(L1547="F-15",2,IF(L1547="F-30",3,IF(L1547="F-60",4,IF(L1547="F-90",5,0)))),0),0)+IF(AND(O1547="FIRE TEX 5062",E1547="CJ",J1547=3),VLOOKUP(_xlfn.MINIFS('FIRE TEX 5062'!$L$4:$L$34,'FIRE TEX 5062'!$L$4:$L$34,"&gt;="&amp;M1547),'FIRE TEX 5062'!$L$4:$P$34,IF(L1547="F-15",2,IF(L1547="F-30",3,IF(L1547="F-60",4,IF(L1547="F-90",5,0)))),0),0)+IF(AND(O1547="FIRE TEX 5062",E1547="CJ",J1547=4),VLOOKUP(_xlfn.MINIFS('FIRE TEX 5062'!$Q$3:$Q$34,'FIRE TEX 5062'!$Q$3:$Q$34,"&gt;="&amp;M1547),'FIRE TEX 5062'!$Q$3:$U$34,IF(L1547="F-15",2,IF(L1547="F-30",3,IF(L1547="F-60",4,IF(L1547="F-90",5,0)))),0),0)+IF(AND(O1547="FIRE TEX 5090",OR(E1547="IN",E1547="C",E1547="Z",E1547="L"),J1547=3),VLOOKUP(_xlfn.MINIFS('FIRE TEX 5090'!$B$5:$B$43,'FIRE TEX 5090'!$B$5:$B$43,"&gt;="&amp;M1547),'FIRE TEX 5090'!$B$5:$H$43,IF(L1547="F-15",2,IF(L1547="F-30",3,IF(L1547="F-60",4,IF(L1547="F-90",5,IF(L1547="F-120",6,IF(L1547="F-150",7,0)))))),0),0)+IF(AND(O1547="FIRE TEX 5090",OR(E1547="IN",E1547="C",E1547="Z",E1547="L"),J1547=4),VLOOKUP(_xlfn.MINIFS('FIRE TEX 5090'!$J$5:$J$43,'FIRE TEX 5090'!$J$5:$J$43,"&gt;="&amp;M1547),'FIRE TEX 5090'!$J$5:$P$43,IF(L1547="F-15",2,IF(L1547="F-30",3,IF(L1547="F-60",4,IF(L1547="F-90",5,IF(L1547="F-120",6,IF(L1547="F-150",7,0)))))),0),0)+IF(AND(O1547="FIRE TEX 5090",E1547="CJ",J1547=3),VLOOKUP(_xlfn.MINIFS('FIRE TEX 5090'!$R$5:$R$30,'FIRE TEX 5090'!$R$5:$R$30,"&gt;="&amp;M1547),'FIRE TEX 5090'!$R$5:$W$30,IF(L1547="F-15",2,IF(L1547="F-30",3,IF(L1547="F-60",4,IF(L1547="F-90",5,IF(L1547="F-120",6,IF(L1547="F-150",7,0)))))),0),0)+IF(AND(O1547="FIRE TEX 5090",E1547="CJ",J1547=4),VLOOKUP(_xlfn.MINIFS('FIRE TEX 5090'!$Y$5:$Y$39,'FIRE TEX 5090'!$Y$5:$Y$39,"&gt;="&amp;M1547),'FIRE TEX 5090'!$Y$5:$AD$39,IF(L1547="F-15",2,IF(L1547="F-30",3,IF(L1547="F-60",4,IF(L1547="F-90",5,IF(L1547="F-120",6,IF(L1547="F-150",7,0)))))),0),0)+IF(AND(O1547="FIRE TEX 5120",OR(E1547="IN",E1547="C",E1547="Z",E1547="L"),J1547=3),VLOOKUP(_xlfn.MINIFS('FIRE TEX 5120'!$B$5:$B$40,'FIRE TEX 5120'!$B$5:$B$40,"&gt;="&amp;M1547),'FIRE TEX 5120'!$B$5:$G$40,IF(L1547="F-15",2,IF(L1547="F-30",3,IF(L1547="F-60",4,IF(L1547="F-90",5,IF(L1547="F-120",6,0))))),0),0)+IF(AND(O1547="FIRE TEX 5120",OR(E1547="IN",E1547="C",E1547="Z",E1547="L"),J1547=4),VLOOKUP(_xlfn.MINIFS('FIRE TEX 5120'!$H$4:$H$40,'FIRE TEX 5120'!$H$4:$H$40,"&gt;="&amp;M1547),'FIRE TEX 5120'!$H$4:$M$40,IF(L1547="F-15",2,IF(L1547="F-30",3,IF(L1547="F-60",4,IF(L1547="F-90",5,IF(L1547="F-120",6,0))))),0),0)+IF(AND(O1547="FIRE TEX 5120",E1547="CJ"),VLOOKUP(_xlfn.MINIFS('FIRE TEX 5120'!$O$5:$O$40,'FIRE TEX 5120'!$O$5:$O$40,"&gt;="&amp;M1547),'FIRE TEX 5120'!$O$5:$T$40,IF(L1547="F-15",2,IF(L1547="F-30",3,IF(L1547="F-60",4,IF(L1547="F-90",5,IF(L1547="F-120",6,0))))),0),0)</f>
        <v>0</v>
      </c>
      <c r="Q1547" s="46">
        <f t="shared" si="139"/>
        <v>0</v>
      </c>
      <c r="R1547" s="46">
        <f t="shared" si="140"/>
        <v>0</v>
      </c>
      <c r="S1547" s="46" t="e">
        <f t="shared" si="141"/>
        <v>#VALUE!</v>
      </c>
      <c r="T1547" s="677">
        <f t="shared" si="142"/>
        <v>0</v>
      </c>
      <c r="U1547" s="80">
        <f>(IF(O1547="Stofire",(S1547*#REF!),0))+(IF(O1547="Fire Control",(S1547*$U$2),0))+(IF(O1547="Fire Tex",(S1547*$U$3),0))+(IF(O1547="WB7",(S1547*#REF!),0)+(IF(O1547="FX 2003",(S1547*$U$5),0)))</f>
        <v>0</v>
      </c>
      <c r="V1547" s="651">
        <f t="shared" si="143"/>
        <v>0</v>
      </c>
    </row>
    <row r="1548" spans="4:22" x14ac:dyDescent="0.25">
      <c r="D1548" s="118">
        <f>+CUBICACION!D1547</f>
        <v>0</v>
      </c>
      <c r="E1548" s="118">
        <f>+CUBICACION!F1547</f>
        <v>0</v>
      </c>
      <c r="F1548" s="118">
        <f>+CUBICACION!E1547</f>
        <v>0</v>
      </c>
      <c r="G1548" s="118">
        <v>12</v>
      </c>
      <c r="H1548" s="118">
        <v>2</v>
      </c>
      <c r="I1548" s="820">
        <v>26385</v>
      </c>
      <c r="J1548" s="118">
        <f>+CUBICACION!J1547</f>
        <v>0</v>
      </c>
      <c r="K1548" s="118">
        <v>4327</v>
      </c>
      <c r="L1548" s="118">
        <f>+CUBICACION!L1547</f>
        <v>0</v>
      </c>
      <c r="M1548" s="64">
        <f>+CUBICACION!M1547</f>
        <v>0</v>
      </c>
      <c r="N1548" s="824" t="str">
        <f>+CUBICACION!N1547</f>
        <v/>
      </c>
      <c r="O1548" s="675">
        <f>+CUBICACION!O1547</f>
        <v>0</v>
      </c>
      <c r="P1548" s="15">
        <f>IF(O1548="Fire Control",VLOOKUP(_xlfn.MINIFS('FIRE CONTROL'!$C$4:$C$37,'FIRE CONTROL'!$C$4:$C$37,"&gt;="&amp;M1548),'FIRE CONTROL'!$C$4:$G$37,IF(L1548="F-15",2,IF(L1548="F-30",3,IF(L1548="F-60",4,IF(L1548="F-90",5,0)))),0),0)+IF(AND(O1548="FIRE TEX 5062",OR(E1548="IN",E1548="C",E1548="Z",E1548="L"),J1548=3),VLOOKUP(_xlfn.MINIFS('FIRE TEX 5062'!$B$4:$B$34,'FIRE TEX 5062'!$B$4:$B$34,"&gt;="&amp;M1548),'FIRE TEX 5062'!$B$4:$F$34,IF(L1548="F-15",2,IF(L1548="F-30",3,IF(L1548="F-60",4,IF(L1548="F-90",5,0)))),0),0)+IF(AND(O1548="FIRE TEX 5062",OR(E1548="IN",E1548="C",E1548="Z",E1548="L"),J1548=4),VLOOKUP(_xlfn.MINIFS('FIRE TEX 5062'!$G$4:$G$34,'FIRE TEX 5062'!$G$4:$G$34,"&gt;="&amp;M1548),'FIRE TEX 5062'!$G$4:$K$34,IF(L1548="F-15",2,IF(L1548="F-30",3,IF(L1548="F-60",4,IF(L1548="F-90",5,0)))),0),0)+IF(AND(O1548="FIRE TEX 5062",E1548="CJ",J1548=3),VLOOKUP(_xlfn.MINIFS('FIRE TEX 5062'!$L$4:$L$34,'FIRE TEX 5062'!$L$4:$L$34,"&gt;="&amp;M1548),'FIRE TEX 5062'!$L$4:$P$34,IF(L1548="F-15",2,IF(L1548="F-30",3,IF(L1548="F-60",4,IF(L1548="F-90",5,0)))),0),0)+IF(AND(O1548="FIRE TEX 5062",E1548="CJ",J1548=4),VLOOKUP(_xlfn.MINIFS('FIRE TEX 5062'!$Q$3:$Q$34,'FIRE TEX 5062'!$Q$3:$Q$34,"&gt;="&amp;M1548),'FIRE TEX 5062'!$Q$3:$U$34,IF(L1548="F-15",2,IF(L1548="F-30",3,IF(L1548="F-60",4,IF(L1548="F-90",5,0)))),0),0)+IF(AND(O1548="FIRE TEX 5090",OR(E1548="IN",E1548="C",E1548="Z",E1548="L"),J1548=3),VLOOKUP(_xlfn.MINIFS('FIRE TEX 5090'!$B$5:$B$43,'FIRE TEX 5090'!$B$5:$B$43,"&gt;="&amp;M1548),'FIRE TEX 5090'!$B$5:$H$43,IF(L1548="F-15",2,IF(L1548="F-30",3,IF(L1548="F-60",4,IF(L1548="F-90",5,IF(L1548="F-120",6,IF(L1548="F-150",7,0)))))),0),0)+IF(AND(O1548="FIRE TEX 5090",OR(E1548="IN",E1548="C",E1548="Z",E1548="L"),J1548=4),VLOOKUP(_xlfn.MINIFS('FIRE TEX 5090'!$J$5:$J$43,'FIRE TEX 5090'!$J$5:$J$43,"&gt;="&amp;M1548),'FIRE TEX 5090'!$J$5:$P$43,IF(L1548="F-15",2,IF(L1548="F-30",3,IF(L1548="F-60",4,IF(L1548="F-90",5,IF(L1548="F-120",6,IF(L1548="F-150",7,0)))))),0),0)+IF(AND(O1548="FIRE TEX 5090",E1548="CJ",J1548=3),VLOOKUP(_xlfn.MINIFS('FIRE TEX 5090'!$R$5:$R$30,'FIRE TEX 5090'!$R$5:$R$30,"&gt;="&amp;M1548),'FIRE TEX 5090'!$R$5:$W$30,IF(L1548="F-15",2,IF(L1548="F-30",3,IF(L1548="F-60",4,IF(L1548="F-90",5,IF(L1548="F-120",6,IF(L1548="F-150",7,0)))))),0),0)+IF(AND(O1548="FIRE TEX 5090",E1548="CJ",J1548=4),VLOOKUP(_xlfn.MINIFS('FIRE TEX 5090'!$Y$5:$Y$39,'FIRE TEX 5090'!$Y$5:$Y$39,"&gt;="&amp;M1548),'FIRE TEX 5090'!$Y$5:$AD$39,IF(L1548="F-15",2,IF(L1548="F-30",3,IF(L1548="F-60",4,IF(L1548="F-90",5,IF(L1548="F-120",6,IF(L1548="F-150",7,0)))))),0),0)+IF(AND(O1548="FIRE TEX 5120",OR(E1548="IN",E1548="C",E1548="Z",E1548="L"),J1548=3),VLOOKUP(_xlfn.MINIFS('FIRE TEX 5120'!$B$5:$B$40,'FIRE TEX 5120'!$B$5:$B$40,"&gt;="&amp;M1548),'FIRE TEX 5120'!$B$5:$G$40,IF(L1548="F-15",2,IF(L1548="F-30",3,IF(L1548="F-60",4,IF(L1548="F-90",5,IF(L1548="F-120",6,0))))),0),0)+IF(AND(O1548="FIRE TEX 5120",OR(E1548="IN",E1548="C",E1548="Z",E1548="L"),J1548=4),VLOOKUP(_xlfn.MINIFS('FIRE TEX 5120'!$H$4:$H$40,'FIRE TEX 5120'!$H$4:$H$40,"&gt;="&amp;M1548),'FIRE TEX 5120'!$H$4:$M$40,IF(L1548="F-15",2,IF(L1548="F-30",3,IF(L1548="F-60",4,IF(L1548="F-90",5,IF(L1548="F-120",6,0))))),0),0)+IF(AND(O1548="FIRE TEX 5120",E1548="CJ"),VLOOKUP(_xlfn.MINIFS('FIRE TEX 5120'!$O$5:$O$40,'FIRE TEX 5120'!$O$5:$O$40,"&gt;="&amp;M1548),'FIRE TEX 5120'!$O$5:$T$40,IF(L1548="F-15",2,IF(L1548="F-30",3,IF(L1548="F-60",4,IF(L1548="F-90",5,IF(L1548="F-120",6,0))))),0),0)</f>
        <v>0</v>
      </c>
      <c r="Q1548" s="46">
        <f t="shared" si="139"/>
        <v>0</v>
      </c>
      <c r="R1548" s="46">
        <f t="shared" si="140"/>
        <v>0</v>
      </c>
      <c r="S1548" s="46" t="e">
        <f t="shared" si="141"/>
        <v>#VALUE!</v>
      </c>
      <c r="T1548" s="677">
        <f t="shared" si="142"/>
        <v>0</v>
      </c>
      <c r="U1548" s="80">
        <f>(IF(O1548="Stofire",(S1548*#REF!),0))+(IF(O1548="Fire Control",(S1548*$U$2),0))+(IF(O1548="Fire Tex",(S1548*$U$3),0))+(IF(O1548="WB7",(S1548*#REF!),0)+(IF(O1548="FX 2003",(S1548*$U$5),0)))</f>
        <v>0</v>
      </c>
      <c r="V1548" s="651">
        <f t="shared" si="143"/>
        <v>0</v>
      </c>
    </row>
    <row r="1549" spans="4:22" x14ac:dyDescent="0.25">
      <c r="D1549" s="118">
        <f>+CUBICACION!D1548</f>
        <v>0</v>
      </c>
      <c r="E1549" s="118">
        <f>+CUBICACION!F1548</f>
        <v>0</v>
      </c>
      <c r="F1549" s="118">
        <f>+CUBICACION!E1548</f>
        <v>0</v>
      </c>
      <c r="G1549" s="118">
        <v>12</v>
      </c>
      <c r="H1549" s="118">
        <v>2</v>
      </c>
      <c r="I1549" s="820">
        <v>26385</v>
      </c>
      <c r="J1549" s="118">
        <f>+CUBICACION!J1548</f>
        <v>0</v>
      </c>
      <c r="K1549" s="118">
        <v>4328</v>
      </c>
      <c r="L1549" s="118">
        <f>+CUBICACION!L1548</f>
        <v>0</v>
      </c>
      <c r="M1549" s="64">
        <f>+CUBICACION!M1548</f>
        <v>0</v>
      </c>
      <c r="N1549" s="824" t="str">
        <f>+CUBICACION!N1548</f>
        <v/>
      </c>
      <c r="O1549" s="675">
        <f>+CUBICACION!O1548</f>
        <v>0</v>
      </c>
      <c r="P1549" s="15">
        <f>IF(O1549="Fire Control",VLOOKUP(_xlfn.MINIFS('FIRE CONTROL'!$C$4:$C$37,'FIRE CONTROL'!$C$4:$C$37,"&gt;="&amp;M1549),'FIRE CONTROL'!$C$4:$G$37,IF(L1549="F-15",2,IF(L1549="F-30",3,IF(L1549="F-60",4,IF(L1549="F-90",5,0)))),0),0)+IF(AND(O1549="FIRE TEX 5062",OR(E1549="IN",E1549="C",E1549="Z",E1549="L"),J1549=3),VLOOKUP(_xlfn.MINIFS('FIRE TEX 5062'!$B$4:$B$34,'FIRE TEX 5062'!$B$4:$B$34,"&gt;="&amp;M1549),'FIRE TEX 5062'!$B$4:$F$34,IF(L1549="F-15",2,IF(L1549="F-30",3,IF(L1549="F-60",4,IF(L1549="F-90",5,0)))),0),0)+IF(AND(O1549="FIRE TEX 5062",OR(E1549="IN",E1549="C",E1549="Z",E1549="L"),J1549=4),VLOOKUP(_xlfn.MINIFS('FIRE TEX 5062'!$G$4:$G$34,'FIRE TEX 5062'!$G$4:$G$34,"&gt;="&amp;M1549),'FIRE TEX 5062'!$G$4:$K$34,IF(L1549="F-15",2,IF(L1549="F-30",3,IF(L1549="F-60",4,IF(L1549="F-90",5,0)))),0),0)+IF(AND(O1549="FIRE TEX 5062",E1549="CJ",J1549=3),VLOOKUP(_xlfn.MINIFS('FIRE TEX 5062'!$L$4:$L$34,'FIRE TEX 5062'!$L$4:$L$34,"&gt;="&amp;M1549),'FIRE TEX 5062'!$L$4:$P$34,IF(L1549="F-15",2,IF(L1549="F-30",3,IF(L1549="F-60",4,IF(L1549="F-90",5,0)))),0),0)+IF(AND(O1549="FIRE TEX 5062",E1549="CJ",J1549=4),VLOOKUP(_xlfn.MINIFS('FIRE TEX 5062'!$Q$3:$Q$34,'FIRE TEX 5062'!$Q$3:$Q$34,"&gt;="&amp;M1549),'FIRE TEX 5062'!$Q$3:$U$34,IF(L1549="F-15",2,IF(L1549="F-30",3,IF(L1549="F-60",4,IF(L1549="F-90",5,0)))),0),0)+IF(AND(O1549="FIRE TEX 5090",OR(E1549="IN",E1549="C",E1549="Z",E1549="L"),J1549=3),VLOOKUP(_xlfn.MINIFS('FIRE TEX 5090'!$B$5:$B$43,'FIRE TEX 5090'!$B$5:$B$43,"&gt;="&amp;M1549),'FIRE TEX 5090'!$B$5:$H$43,IF(L1549="F-15",2,IF(L1549="F-30",3,IF(L1549="F-60",4,IF(L1549="F-90",5,IF(L1549="F-120",6,IF(L1549="F-150",7,0)))))),0),0)+IF(AND(O1549="FIRE TEX 5090",OR(E1549="IN",E1549="C",E1549="Z",E1549="L"),J1549=4),VLOOKUP(_xlfn.MINIFS('FIRE TEX 5090'!$J$5:$J$43,'FIRE TEX 5090'!$J$5:$J$43,"&gt;="&amp;M1549),'FIRE TEX 5090'!$J$5:$P$43,IF(L1549="F-15",2,IF(L1549="F-30",3,IF(L1549="F-60",4,IF(L1549="F-90",5,IF(L1549="F-120",6,IF(L1549="F-150",7,0)))))),0),0)+IF(AND(O1549="FIRE TEX 5090",E1549="CJ",J1549=3),VLOOKUP(_xlfn.MINIFS('FIRE TEX 5090'!$R$5:$R$30,'FIRE TEX 5090'!$R$5:$R$30,"&gt;="&amp;M1549),'FIRE TEX 5090'!$R$5:$W$30,IF(L1549="F-15",2,IF(L1549="F-30",3,IF(L1549="F-60",4,IF(L1549="F-90",5,IF(L1549="F-120",6,IF(L1549="F-150",7,0)))))),0),0)+IF(AND(O1549="FIRE TEX 5090",E1549="CJ",J1549=4),VLOOKUP(_xlfn.MINIFS('FIRE TEX 5090'!$Y$5:$Y$39,'FIRE TEX 5090'!$Y$5:$Y$39,"&gt;="&amp;M1549),'FIRE TEX 5090'!$Y$5:$AD$39,IF(L1549="F-15",2,IF(L1549="F-30",3,IF(L1549="F-60",4,IF(L1549="F-90",5,IF(L1549="F-120",6,IF(L1549="F-150",7,0)))))),0),0)+IF(AND(O1549="FIRE TEX 5120",OR(E1549="IN",E1549="C",E1549="Z",E1549="L"),J1549=3),VLOOKUP(_xlfn.MINIFS('FIRE TEX 5120'!$B$5:$B$40,'FIRE TEX 5120'!$B$5:$B$40,"&gt;="&amp;M1549),'FIRE TEX 5120'!$B$5:$G$40,IF(L1549="F-15",2,IF(L1549="F-30",3,IF(L1549="F-60",4,IF(L1549="F-90",5,IF(L1549="F-120",6,0))))),0),0)+IF(AND(O1549="FIRE TEX 5120",OR(E1549="IN",E1549="C",E1549="Z",E1549="L"),J1549=4),VLOOKUP(_xlfn.MINIFS('FIRE TEX 5120'!$H$4:$H$40,'FIRE TEX 5120'!$H$4:$H$40,"&gt;="&amp;M1549),'FIRE TEX 5120'!$H$4:$M$40,IF(L1549="F-15",2,IF(L1549="F-30",3,IF(L1549="F-60",4,IF(L1549="F-90",5,IF(L1549="F-120",6,0))))),0),0)+IF(AND(O1549="FIRE TEX 5120",E1549="CJ"),VLOOKUP(_xlfn.MINIFS('FIRE TEX 5120'!$O$5:$O$40,'FIRE TEX 5120'!$O$5:$O$40,"&gt;="&amp;M1549),'FIRE TEX 5120'!$O$5:$T$40,IF(L1549="F-15",2,IF(L1549="F-30",3,IF(L1549="F-60",4,IF(L1549="F-90",5,IF(L1549="F-120",6,0))))),0),0)</f>
        <v>0</v>
      </c>
      <c r="Q1549" s="46">
        <f t="shared" si="139"/>
        <v>0</v>
      </c>
      <c r="R1549" s="46">
        <f t="shared" si="140"/>
        <v>0</v>
      </c>
      <c r="S1549" s="46" t="e">
        <f t="shared" si="141"/>
        <v>#VALUE!</v>
      </c>
      <c r="T1549" s="677">
        <f t="shared" si="142"/>
        <v>0</v>
      </c>
      <c r="U1549" s="80">
        <f>(IF(O1549="Stofire",(S1549*#REF!),0))+(IF(O1549="Fire Control",(S1549*$U$2),0))+(IF(O1549="Fire Tex",(S1549*$U$3),0))+(IF(O1549="WB7",(S1549*#REF!),0)+(IF(O1549="FX 2003",(S1549*$U$5),0)))</f>
        <v>0</v>
      </c>
      <c r="V1549" s="651">
        <f t="shared" si="143"/>
        <v>0</v>
      </c>
    </row>
    <row r="1550" spans="4:22" x14ac:dyDescent="0.25">
      <c r="D1550" s="118">
        <f>+CUBICACION!D1549</f>
        <v>0</v>
      </c>
      <c r="E1550" s="118">
        <f>+CUBICACION!F1549</f>
        <v>0</v>
      </c>
      <c r="F1550" s="118">
        <f>+CUBICACION!E1549</f>
        <v>0</v>
      </c>
      <c r="G1550" s="118">
        <v>12</v>
      </c>
      <c r="H1550" s="118">
        <v>2</v>
      </c>
      <c r="I1550" s="820">
        <v>26385</v>
      </c>
      <c r="J1550" s="118">
        <f>+CUBICACION!J1549</f>
        <v>0</v>
      </c>
      <c r="K1550" s="118">
        <v>4329</v>
      </c>
      <c r="L1550" s="118">
        <f>+CUBICACION!L1549</f>
        <v>0</v>
      </c>
      <c r="M1550" s="64">
        <f>+CUBICACION!M1549</f>
        <v>0</v>
      </c>
      <c r="N1550" s="824" t="str">
        <f>+CUBICACION!N1549</f>
        <v/>
      </c>
      <c r="O1550" s="675">
        <f>+CUBICACION!O1549</f>
        <v>0</v>
      </c>
      <c r="P1550" s="15">
        <f>IF(O1550="Fire Control",VLOOKUP(_xlfn.MINIFS('FIRE CONTROL'!$C$4:$C$37,'FIRE CONTROL'!$C$4:$C$37,"&gt;="&amp;M1550),'FIRE CONTROL'!$C$4:$G$37,IF(L1550="F-15",2,IF(L1550="F-30",3,IF(L1550="F-60",4,IF(L1550="F-90",5,0)))),0),0)+IF(AND(O1550="FIRE TEX 5062",OR(E1550="IN",E1550="C",E1550="Z",E1550="L"),J1550=3),VLOOKUP(_xlfn.MINIFS('FIRE TEX 5062'!$B$4:$B$34,'FIRE TEX 5062'!$B$4:$B$34,"&gt;="&amp;M1550),'FIRE TEX 5062'!$B$4:$F$34,IF(L1550="F-15",2,IF(L1550="F-30",3,IF(L1550="F-60",4,IF(L1550="F-90",5,0)))),0),0)+IF(AND(O1550="FIRE TEX 5062",OR(E1550="IN",E1550="C",E1550="Z",E1550="L"),J1550=4),VLOOKUP(_xlfn.MINIFS('FIRE TEX 5062'!$G$4:$G$34,'FIRE TEX 5062'!$G$4:$G$34,"&gt;="&amp;M1550),'FIRE TEX 5062'!$G$4:$K$34,IF(L1550="F-15",2,IF(L1550="F-30",3,IF(L1550="F-60",4,IF(L1550="F-90",5,0)))),0),0)+IF(AND(O1550="FIRE TEX 5062",E1550="CJ",J1550=3),VLOOKUP(_xlfn.MINIFS('FIRE TEX 5062'!$L$4:$L$34,'FIRE TEX 5062'!$L$4:$L$34,"&gt;="&amp;M1550),'FIRE TEX 5062'!$L$4:$P$34,IF(L1550="F-15",2,IF(L1550="F-30",3,IF(L1550="F-60",4,IF(L1550="F-90",5,0)))),0),0)+IF(AND(O1550="FIRE TEX 5062",E1550="CJ",J1550=4),VLOOKUP(_xlfn.MINIFS('FIRE TEX 5062'!$Q$3:$Q$34,'FIRE TEX 5062'!$Q$3:$Q$34,"&gt;="&amp;M1550),'FIRE TEX 5062'!$Q$3:$U$34,IF(L1550="F-15",2,IF(L1550="F-30",3,IF(L1550="F-60",4,IF(L1550="F-90",5,0)))),0),0)+IF(AND(O1550="FIRE TEX 5090",OR(E1550="IN",E1550="C",E1550="Z",E1550="L"),J1550=3),VLOOKUP(_xlfn.MINIFS('FIRE TEX 5090'!$B$5:$B$43,'FIRE TEX 5090'!$B$5:$B$43,"&gt;="&amp;M1550),'FIRE TEX 5090'!$B$5:$H$43,IF(L1550="F-15",2,IF(L1550="F-30",3,IF(L1550="F-60",4,IF(L1550="F-90",5,IF(L1550="F-120",6,IF(L1550="F-150",7,0)))))),0),0)+IF(AND(O1550="FIRE TEX 5090",OR(E1550="IN",E1550="C",E1550="Z",E1550="L"),J1550=4),VLOOKUP(_xlfn.MINIFS('FIRE TEX 5090'!$J$5:$J$43,'FIRE TEX 5090'!$J$5:$J$43,"&gt;="&amp;M1550),'FIRE TEX 5090'!$J$5:$P$43,IF(L1550="F-15",2,IF(L1550="F-30",3,IF(L1550="F-60",4,IF(L1550="F-90",5,IF(L1550="F-120",6,IF(L1550="F-150",7,0)))))),0),0)+IF(AND(O1550="FIRE TEX 5090",E1550="CJ",J1550=3),VLOOKUP(_xlfn.MINIFS('FIRE TEX 5090'!$R$5:$R$30,'FIRE TEX 5090'!$R$5:$R$30,"&gt;="&amp;M1550),'FIRE TEX 5090'!$R$5:$W$30,IF(L1550="F-15",2,IF(L1550="F-30",3,IF(L1550="F-60",4,IF(L1550="F-90",5,IF(L1550="F-120",6,IF(L1550="F-150",7,0)))))),0),0)+IF(AND(O1550="FIRE TEX 5090",E1550="CJ",J1550=4),VLOOKUP(_xlfn.MINIFS('FIRE TEX 5090'!$Y$5:$Y$39,'FIRE TEX 5090'!$Y$5:$Y$39,"&gt;="&amp;M1550),'FIRE TEX 5090'!$Y$5:$AD$39,IF(L1550="F-15",2,IF(L1550="F-30",3,IF(L1550="F-60",4,IF(L1550="F-90",5,IF(L1550="F-120",6,IF(L1550="F-150",7,0)))))),0),0)+IF(AND(O1550="FIRE TEX 5120",OR(E1550="IN",E1550="C",E1550="Z",E1550="L"),J1550=3),VLOOKUP(_xlfn.MINIFS('FIRE TEX 5120'!$B$5:$B$40,'FIRE TEX 5120'!$B$5:$B$40,"&gt;="&amp;M1550),'FIRE TEX 5120'!$B$5:$G$40,IF(L1550="F-15",2,IF(L1550="F-30",3,IF(L1550="F-60",4,IF(L1550="F-90",5,IF(L1550="F-120",6,0))))),0),0)+IF(AND(O1550="FIRE TEX 5120",OR(E1550="IN",E1550="C",E1550="Z",E1550="L"),J1550=4),VLOOKUP(_xlfn.MINIFS('FIRE TEX 5120'!$H$4:$H$40,'FIRE TEX 5120'!$H$4:$H$40,"&gt;="&amp;M1550),'FIRE TEX 5120'!$H$4:$M$40,IF(L1550="F-15",2,IF(L1550="F-30",3,IF(L1550="F-60",4,IF(L1550="F-90",5,IF(L1550="F-120",6,0))))),0),0)+IF(AND(O1550="FIRE TEX 5120",E1550="CJ"),VLOOKUP(_xlfn.MINIFS('FIRE TEX 5120'!$O$5:$O$40,'FIRE TEX 5120'!$O$5:$O$40,"&gt;="&amp;M1550),'FIRE TEX 5120'!$O$5:$T$40,IF(L1550="F-15",2,IF(L1550="F-30",3,IF(L1550="F-60",4,IF(L1550="F-90",5,IF(L1550="F-120",6,0))))),0),0)</f>
        <v>0</v>
      </c>
      <c r="Q1550" s="46">
        <f t="shared" si="139"/>
        <v>0</v>
      </c>
      <c r="R1550" s="46">
        <f t="shared" si="140"/>
        <v>0</v>
      </c>
      <c r="S1550" s="46" t="e">
        <f t="shared" si="141"/>
        <v>#VALUE!</v>
      </c>
      <c r="T1550" s="677">
        <f t="shared" si="142"/>
        <v>0</v>
      </c>
      <c r="U1550" s="80">
        <f>(IF(O1550="Stofire",(S1550*#REF!),0))+(IF(O1550="Fire Control",(S1550*$U$2),0))+(IF(O1550="Fire Tex",(S1550*$U$3),0))+(IF(O1550="WB7",(S1550*#REF!),0)+(IF(O1550="FX 2003",(S1550*$U$5),0)))</f>
        <v>0</v>
      </c>
      <c r="V1550" s="651">
        <f t="shared" si="143"/>
        <v>0</v>
      </c>
    </row>
    <row r="1551" spans="4:22" x14ac:dyDescent="0.25">
      <c r="D1551" s="118">
        <f>+CUBICACION!D1550</f>
        <v>0</v>
      </c>
      <c r="E1551" s="118">
        <f>+CUBICACION!F1550</f>
        <v>0</v>
      </c>
      <c r="F1551" s="118">
        <f>+CUBICACION!E1550</f>
        <v>0</v>
      </c>
      <c r="G1551" s="118">
        <v>12</v>
      </c>
      <c r="H1551" s="118">
        <v>2</v>
      </c>
      <c r="I1551" s="820">
        <v>26385</v>
      </c>
      <c r="J1551" s="118">
        <f>+CUBICACION!J1550</f>
        <v>0</v>
      </c>
      <c r="K1551" s="118">
        <v>4330</v>
      </c>
      <c r="L1551" s="118">
        <f>+CUBICACION!L1550</f>
        <v>0</v>
      </c>
      <c r="M1551" s="64">
        <f>+CUBICACION!M1550</f>
        <v>0</v>
      </c>
      <c r="N1551" s="824" t="str">
        <f>+CUBICACION!N1550</f>
        <v/>
      </c>
      <c r="O1551" s="675">
        <f>+CUBICACION!O1550</f>
        <v>0</v>
      </c>
      <c r="P1551" s="15">
        <f>IF(O1551="Fire Control",VLOOKUP(_xlfn.MINIFS('FIRE CONTROL'!$C$4:$C$37,'FIRE CONTROL'!$C$4:$C$37,"&gt;="&amp;M1551),'FIRE CONTROL'!$C$4:$G$37,IF(L1551="F-15",2,IF(L1551="F-30",3,IF(L1551="F-60",4,IF(L1551="F-90",5,0)))),0),0)+IF(AND(O1551="FIRE TEX 5062",OR(E1551="IN",E1551="C",E1551="Z",E1551="L"),J1551=3),VLOOKUP(_xlfn.MINIFS('FIRE TEX 5062'!$B$4:$B$34,'FIRE TEX 5062'!$B$4:$B$34,"&gt;="&amp;M1551),'FIRE TEX 5062'!$B$4:$F$34,IF(L1551="F-15",2,IF(L1551="F-30",3,IF(L1551="F-60",4,IF(L1551="F-90",5,0)))),0),0)+IF(AND(O1551="FIRE TEX 5062",OR(E1551="IN",E1551="C",E1551="Z",E1551="L"),J1551=4),VLOOKUP(_xlfn.MINIFS('FIRE TEX 5062'!$G$4:$G$34,'FIRE TEX 5062'!$G$4:$G$34,"&gt;="&amp;M1551),'FIRE TEX 5062'!$G$4:$K$34,IF(L1551="F-15",2,IF(L1551="F-30",3,IF(L1551="F-60",4,IF(L1551="F-90",5,0)))),0),0)+IF(AND(O1551="FIRE TEX 5062",E1551="CJ",J1551=3),VLOOKUP(_xlfn.MINIFS('FIRE TEX 5062'!$L$4:$L$34,'FIRE TEX 5062'!$L$4:$L$34,"&gt;="&amp;M1551),'FIRE TEX 5062'!$L$4:$P$34,IF(L1551="F-15",2,IF(L1551="F-30",3,IF(L1551="F-60",4,IF(L1551="F-90",5,0)))),0),0)+IF(AND(O1551="FIRE TEX 5062",E1551="CJ",J1551=4),VLOOKUP(_xlfn.MINIFS('FIRE TEX 5062'!$Q$3:$Q$34,'FIRE TEX 5062'!$Q$3:$Q$34,"&gt;="&amp;M1551),'FIRE TEX 5062'!$Q$3:$U$34,IF(L1551="F-15",2,IF(L1551="F-30",3,IF(L1551="F-60",4,IF(L1551="F-90",5,0)))),0),0)+IF(AND(O1551="FIRE TEX 5090",OR(E1551="IN",E1551="C",E1551="Z",E1551="L"),J1551=3),VLOOKUP(_xlfn.MINIFS('FIRE TEX 5090'!$B$5:$B$43,'FIRE TEX 5090'!$B$5:$B$43,"&gt;="&amp;M1551),'FIRE TEX 5090'!$B$5:$H$43,IF(L1551="F-15",2,IF(L1551="F-30",3,IF(L1551="F-60",4,IF(L1551="F-90",5,IF(L1551="F-120",6,IF(L1551="F-150",7,0)))))),0),0)+IF(AND(O1551="FIRE TEX 5090",OR(E1551="IN",E1551="C",E1551="Z",E1551="L"),J1551=4),VLOOKUP(_xlfn.MINIFS('FIRE TEX 5090'!$J$5:$J$43,'FIRE TEX 5090'!$J$5:$J$43,"&gt;="&amp;M1551),'FIRE TEX 5090'!$J$5:$P$43,IF(L1551="F-15",2,IF(L1551="F-30",3,IF(L1551="F-60",4,IF(L1551="F-90",5,IF(L1551="F-120",6,IF(L1551="F-150",7,0)))))),0),0)+IF(AND(O1551="FIRE TEX 5090",E1551="CJ",J1551=3),VLOOKUP(_xlfn.MINIFS('FIRE TEX 5090'!$R$5:$R$30,'FIRE TEX 5090'!$R$5:$R$30,"&gt;="&amp;M1551),'FIRE TEX 5090'!$R$5:$W$30,IF(L1551="F-15",2,IF(L1551="F-30",3,IF(L1551="F-60",4,IF(L1551="F-90",5,IF(L1551="F-120",6,IF(L1551="F-150",7,0)))))),0),0)+IF(AND(O1551="FIRE TEX 5090",E1551="CJ",J1551=4),VLOOKUP(_xlfn.MINIFS('FIRE TEX 5090'!$Y$5:$Y$39,'FIRE TEX 5090'!$Y$5:$Y$39,"&gt;="&amp;M1551),'FIRE TEX 5090'!$Y$5:$AD$39,IF(L1551="F-15",2,IF(L1551="F-30",3,IF(L1551="F-60",4,IF(L1551="F-90",5,IF(L1551="F-120",6,IF(L1551="F-150",7,0)))))),0),0)+IF(AND(O1551="FIRE TEX 5120",OR(E1551="IN",E1551="C",E1551="Z",E1551="L"),J1551=3),VLOOKUP(_xlfn.MINIFS('FIRE TEX 5120'!$B$5:$B$40,'FIRE TEX 5120'!$B$5:$B$40,"&gt;="&amp;M1551),'FIRE TEX 5120'!$B$5:$G$40,IF(L1551="F-15",2,IF(L1551="F-30",3,IF(L1551="F-60",4,IF(L1551="F-90",5,IF(L1551="F-120",6,0))))),0),0)+IF(AND(O1551="FIRE TEX 5120",OR(E1551="IN",E1551="C",E1551="Z",E1551="L"),J1551=4),VLOOKUP(_xlfn.MINIFS('FIRE TEX 5120'!$H$4:$H$40,'FIRE TEX 5120'!$H$4:$H$40,"&gt;="&amp;M1551),'FIRE TEX 5120'!$H$4:$M$40,IF(L1551="F-15",2,IF(L1551="F-30",3,IF(L1551="F-60",4,IF(L1551="F-90",5,IF(L1551="F-120",6,0))))),0),0)+IF(AND(O1551="FIRE TEX 5120",E1551="CJ"),VLOOKUP(_xlfn.MINIFS('FIRE TEX 5120'!$O$5:$O$40,'FIRE TEX 5120'!$O$5:$O$40,"&gt;="&amp;M1551),'FIRE TEX 5120'!$O$5:$T$40,IF(L1551="F-15",2,IF(L1551="F-30",3,IF(L1551="F-60",4,IF(L1551="F-90",5,IF(L1551="F-120",6,0))))),0),0)</f>
        <v>0</v>
      </c>
      <c r="Q1551" s="46">
        <f t="shared" si="139"/>
        <v>0</v>
      </c>
      <c r="R1551" s="46">
        <f t="shared" si="140"/>
        <v>0</v>
      </c>
      <c r="S1551" s="46" t="e">
        <f t="shared" si="141"/>
        <v>#VALUE!</v>
      </c>
      <c r="T1551" s="677">
        <f t="shared" si="142"/>
        <v>0</v>
      </c>
      <c r="U1551" s="80">
        <f>(IF(O1551="Stofire",(S1551*#REF!),0))+(IF(O1551="Fire Control",(S1551*$U$2),0))+(IF(O1551="Fire Tex",(S1551*$U$3),0))+(IF(O1551="WB7",(S1551*#REF!),0)+(IF(O1551="FX 2003",(S1551*$U$5),0)))</f>
        <v>0</v>
      </c>
      <c r="V1551" s="651">
        <f t="shared" si="143"/>
        <v>0</v>
      </c>
    </row>
    <row r="1552" spans="4:22" x14ac:dyDescent="0.25">
      <c r="D1552" s="118">
        <f>+CUBICACION!D1551</f>
        <v>0</v>
      </c>
      <c r="E1552" s="118">
        <f>+CUBICACION!F1551</f>
        <v>0</v>
      </c>
      <c r="F1552" s="118">
        <f>+CUBICACION!E1551</f>
        <v>0</v>
      </c>
      <c r="G1552" s="118">
        <v>12</v>
      </c>
      <c r="H1552" s="118">
        <v>2</v>
      </c>
      <c r="I1552" s="820">
        <v>26385</v>
      </c>
      <c r="J1552" s="118">
        <f>+CUBICACION!J1551</f>
        <v>0</v>
      </c>
      <c r="K1552" s="118">
        <v>4331</v>
      </c>
      <c r="L1552" s="118">
        <f>+CUBICACION!L1551</f>
        <v>0</v>
      </c>
      <c r="M1552" s="64">
        <f>+CUBICACION!M1551</f>
        <v>0</v>
      </c>
      <c r="N1552" s="824" t="str">
        <f>+CUBICACION!N1551</f>
        <v/>
      </c>
      <c r="O1552" s="675">
        <f>+CUBICACION!O1551</f>
        <v>0</v>
      </c>
      <c r="P1552" s="15">
        <f>IF(O1552="Fire Control",VLOOKUP(_xlfn.MINIFS('FIRE CONTROL'!$C$4:$C$37,'FIRE CONTROL'!$C$4:$C$37,"&gt;="&amp;M1552),'FIRE CONTROL'!$C$4:$G$37,IF(L1552="F-15",2,IF(L1552="F-30",3,IF(L1552="F-60",4,IF(L1552="F-90",5,0)))),0),0)+IF(AND(O1552="FIRE TEX 5062",OR(E1552="IN",E1552="C",E1552="Z",E1552="L"),J1552=3),VLOOKUP(_xlfn.MINIFS('FIRE TEX 5062'!$B$4:$B$34,'FIRE TEX 5062'!$B$4:$B$34,"&gt;="&amp;M1552),'FIRE TEX 5062'!$B$4:$F$34,IF(L1552="F-15",2,IF(L1552="F-30",3,IF(L1552="F-60",4,IF(L1552="F-90",5,0)))),0),0)+IF(AND(O1552="FIRE TEX 5062",OR(E1552="IN",E1552="C",E1552="Z",E1552="L"),J1552=4),VLOOKUP(_xlfn.MINIFS('FIRE TEX 5062'!$G$4:$G$34,'FIRE TEX 5062'!$G$4:$G$34,"&gt;="&amp;M1552),'FIRE TEX 5062'!$G$4:$K$34,IF(L1552="F-15",2,IF(L1552="F-30",3,IF(L1552="F-60",4,IF(L1552="F-90",5,0)))),0),0)+IF(AND(O1552="FIRE TEX 5062",E1552="CJ",J1552=3),VLOOKUP(_xlfn.MINIFS('FIRE TEX 5062'!$L$4:$L$34,'FIRE TEX 5062'!$L$4:$L$34,"&gt;="&amp;M1552),'FIRE TEX 5062'!$L$4:$P$34,IF(L1552="F-15",2,IF(L1552="F-30",3,IF(L1552="F-60",4,IF(L1552="F-90",5,0)))),0),0)+IF(AND(O1552="FIRE TEX 5062",E1552="CJ",J1552=4),VLOOKUP(_xlfn.MINIFS('FIRE TEX 5062'!$Q$3:$Q$34,'FIRE TEX 5062'!$Q$3:$Q$34,"&gt;="&amp;M1552),'FIRE TEX 5062'!$Q$3:$U$34,IF(L1552="F-15",2,IF(L1552="F-30",3,IF(L1552="F-60",4,IF(L1552="F-90",5,0)))),0),0)+IF(AND(O1552="FIRE TEX 5090",OR(E1552="IN",E1552="C",E1552="Z",E1552="L"),J1552=3),VLOOKUP(_xlfn.MINIFS('FIRE TEX 5090'!$B$5:$B$43,'FIRE TEX 5090'!$B$5:$B$43,"&gt;="&amp;M1552),'FIRE TEX 5090'!$B$5:$H$43,IF(L1552="F-15",2,IF(L1552="F-30",3,IF(L1552="F-60",4,IF(L1552="F-90",5,IF(L1552="F-120",6,IF(L1552="F-150",7,0)))))),0),0)+IF(AND(O1552="FIRE TEX 5090",OR(E1552="IN",E1552="C",E1552="Z",E1552="L"),J1552=4),VLOOKUP(_xlfn.MINIFS('FIRE TEX 5090'!$J$5:$J$43,'FIRE TEX 5090'!$J$5:$J$43,"&gt;="&amp;M1552),'FIRE TEX 5090'!$J$5:$P$43,IF(L1552="F-15",2,IF(L1552="F-30",3,IF(L1552="F-60",4,IF(L1552="F-90",5,IF(L1552="F-120",6,IF(L1552="F-150",7,0)))))),0),0)+IF(AND(O1552="FIRE TEX 5090",E1552="CJ",J1552=3),VLOOKUP(_xlfn.MINIFS('FIRE TEX 5090'!$R$5:$R$30,'FIRE TEX 5090'!$R$5:$R$30,"&gt;="&amp;M1552),'FIRE TEX 5090'!$R$5:$W$30,IF(L1552="F-15",2,IF(L1552="F-30",3,IF(L1552="F-60",4,IF(L1552="F-90",5,IF(L1552="F-120",6,IF(L1552="F-150",7,0)))))),0),0)+IF(AND(O1552="FIRE TEX 5090",E1552="CJ",J1552=4),VLOOKUP(_xlfn.MINIFS('FIRE TEX 5090'!$Y$5:$Y$39,'FIRE TEX 5090'!$Y$5:$Y$39,"&gt;="&amp;M1552),'FIRE TEX 5090'!$Y$5:$AD$39,IF(L1552="F-15",2,IF(L1552="F-30",3,IF(L1552="F-60",4,IF(L1552="F-90",5,IF(L1552="F-120",6,IF(L1552="F-150",7,0)))))),0),0)+IF(AND(O1552="FIRE TEX 5120",OR(E1552="IN",E1552="C",E1552="Z",E1552="L"),J1552=3),VLOOKUP(_xlfn.MINIFS('FIRE TEX 5120'!$B$5:$B$40,'FIRE TEX 5120'!$B$5:$B$40,"&gt;="&amp;M1552),'FIRE TEX 5120'!$B$5:$G$40,IF(L1552="F-15",2,IF(L1552="F-30",3,IF(L1552="F-60",4,IF(L1552="F-90",5,IF(L1552="F-120",6,0))))),0),0)+IF(AND(O1552="FIRE TEX 5120",OR(E1552="IN",E1552="C",E1552="Z",E1552="L"),J1552=4),VLOOKUP(_xlfn.MINIFS('FIRE TEX 5120'!$H$4:$H$40,'FIRE TEX 5120'!$H$4:$H$40,"&gt;="&amp;M1552),'FIRE TEX 5120'!$H$4:$M$40,IF(L1552="F-15",2,IF(L1552="F-30",3,IF(L1552="F-60",4,IF(L1552="F-90",5,IF(L1552="F-120",6,0))))),0),0)+IF(AND(O1552="FIRE TEX 5120",E1552="CJ"),VLOOKUP(_xlfn.MINIFS('FIRE TEX 5120'!$O$5:$O$40,'FIRE TEX 5120'!$O$5:$O$40,"&gt;="&amp;M1552),'FIRE TEX 5120'!$O$5:$T$40,IF(L1552="F-15",2,IF(L1552="F-30",3,IF(L1552="F-60",4,IF(L1552="F-90",5,IF(L1552="F-120",6,0))))),0),0)</f>
        <v>0</v>
      </c>
      <c r="Q1552" s="46">
        <f t="shared" si="139"/>
        <v>0</v>
      </c>
      <c r="R1552" s="46">
        <f t="shared" si="140"/>
        <v>0</v>
      </c>
      <c r="S1552" s="46" t="e">
        <f t="shared" si="141"/>
        <v>#VALUE!</v>
      </c>
      <c r="T1552" s="677">
        <f t="shared" si="142"/>
        <v>0</v>
      </c>
      <c r="U1552" s="80">
        <f>(IF(O1552="Stofire",(S1552*#REF!),0))+(IF(O1552="Fire Control",(S1552*$U$2),0))+(IF(O1552="Fire Tex",(S1552*$U$3),0))+(IF(O1552="WB7",(S1552*#REF!),0)+(IF(O1552="FX 2003",(S1552*$U$5),0)))</f>
        <v>0</v>
      </c>
      <c r="V1552" s="651">
        <f t="shared" si="143"/>
        <v>0</v>
      </c>
    </row>
    <row r="1553" spans="4:22" x14ac:dyDescent="0.25">
      <c r="D1553" s="118">
        <f>+CUBICACION!D1552</f>
        <v>0</v>
      </c>
      <c r="E1553" s="118">
        <f>+CUBICACION!F1552</f>
        <v>0</v>
      </c>
      <c r="F1553" s="118">
        <f>+CUBICACION!E1552</f>
        <v>0</v>
      </c>
      <c r="G1553" s="118">
        <v>12</v>
      </c>
      <c r="H1553" s="118">
        <v>2</v>
      </c>
      <c r="I1553" s="820">
        <v>26385</v>
      </c>
      <c r="J1553" s="118">
        <f>+CUBICACION!J1552</f>
        <v>0</v>
      </c>
      <c r="K1553" s="118">
        <v>4332</v>
      </c>
      <c r="L1553" s="118">
        <f>+CUBICACION!L1552</f>
        <v>0</v>
      </c>
      <c r="M1553" s="64">
        <f>+CUBICACION!M1552</f>
        <v>0</v>
      </c>
      <c r="N1553" s="824" t="str">
        <f>+CUBICACION!N1552</f>
        <v/>
      </c>
      <c r="O1553" s="675">
        <f>+CUBICACION!O1552</f>
        <v>0</v>
      </c>
      <c r="P1553" s="15">
        <f>IF(O1553="Fire Control",VLOOKUP(_xlfn.MINIFS('FIRE CONTROL'!$C$4:$C$37,'FIRE CONTROL'!$C$4:$C$37,"&gt;="&amp;M1553),'FIRE CONTROL'!$C$4:$G$37,IF(L1553="F-15",2,IF(L1553="F-30",3,IF(L1553="F-60",4,IF(L1553="F-90",5,0)))),0),0)+IF(AND(O1553="FIRE TEX 5062",OR(E1553="IN",E1553="C",E1553="Z",E1553="L"),J1553=3),VLOOKUP(_xlfn.MINIFS('FIRE TEX 5062'!$B$4:$B$34,'FIRE TEX 5062'!$B$4:$B$34,"&gt;="&amp;M1553),'FIRE TEX 5062'!$B$4:$F$34,IF(L1553="F-15",2,IF(L1553="F-30",3,IF(L1553="F-60",4,IF(L1553="F-90",5,0)))),0),0)+IF(AND(O1553="FIRE TEX 5062",OR(E1553="IN",E1553="C",E1553="Z",E1553="L"),J1553=4),VLOOKUP(_xlfn.MINIFS('FIRE TEX 5062'!$G$4:$G$34,'FIRE TEX 5062'!$G$4:$G$34,"&gt;="&amp;M1553),'FIRE TEX 5062'!$G$4:$K$34,IF(L1553="F-15",2,IF(L1553="F-30",3,IF(L1553="F-60",4,IF(L1553="F-90",5,0)))),0),0)+IF(AND(O1553="FIRE TEX 5062",E1553="CJ",J1553=3),VLOOKUP(_xlfn.MINIFS('FIRE TEX 5062'!$L$4:$L$34,'FIRE TEX 5062'!$L$4:$L$34,"&gt;="&amp;M1553),'FIRE TEX 5062'!$L$4:$P$34,IF(L1553="F-15",2,IF(L1553="F-30",3,IF(L1553="F-60",4,IF(L1553="F-90",5,0)))),0),0)+IF(AND(O1553="FIRE TEX 5062",E1553="CJ",J1553=4),VLOOKUP(_xlfn.MINIFS('FIRE TEX 5062'!$Q$3:$Q$34,'FIRE TEX 5062'!$Q$3:$Q$34,"&gt;="&amp;M1553),'FIRE TEX 5062'!$Q$3:$U$34,IF(L1553="F-15",2,IF(L1553="F-30",3,IF(L1553="F-60",4,IF(L1553="F-90",5,0)))),0),0)+IF(AND(O1553="FIRE TEX 5090",OR(E1553="IN",E1553="C",E1553="Z",E1553="L"),J1553=3),VLOOKUP(_xlfn.MINIFS('FIRE TEX 5090'!$B$5:$B$43,'FIRE TEX 5090'!$B$5:$B$43,"&gt;="&amp;M1553),'FIRE TEX 5090'!$B$5:$H$43,IF(L1553="F-15",2,IF(L1553="F-30",3,IF(L1553="F-60",4,IF(L1553="F-90",5,IF(L1553="F-120",6,IF(L1553="F-150",7,0)))))),0),0)+IF(AND(O1553="FIRE TEX 5090",OR(E1553="IN",E1553="C",E1553="Z",E1553="L"),J1553=4),VLOOKUP(_xlfn.MINIFS('FIRE TEX 5090'!$J$5:$J$43,'FIRE TEX 5090'!$J$5:$J$43,"&gt;="&amp;M1553),'FIRE TEX 5090'!$J$5:$P$43,IF(L1553="F-15",2,IF(L1553="F-30",3,IF(L1553="F-60",4,IF(L1553="F-90",5,IF(L1553="F-120",6,IF(L1553="F-150",7,0)))))),0),0)+IF(AND(O1553="FIRE TEX 5090",E1553="CJ",J1553=3),VLOOKUP(_xlfn.MINIFS('FIRE TEX 5090'!$R$5:$R$30,'FIRE TEX 5090'!$R$5:$R$30,"&gt;="&amp;M1553),'FIRE TEX 5090'!$R$5:$W$30,IF(L1553="F-15",2,IF(L1553="F-30",3,IF(L1553="F-60",4,IF(L1553="F-90",5,IF(L1553="F-120",6,IF(L1553="F-150",7,0)))))),0),0)+IF(AND(O1553="FIRE TEX 5090",E1553="CJ",J1553=4),VLOOKUP(_xlfn.MINIFS('FIRE TEX 5090'!$Y$5:$Y$39,'FIRE TEX 5090'!$Y$5:$Y$39,"&gt;="&amp;M1553),'FIRE TEX 5090'!$Y$5:$AD$39,IF(L1553="F-15",2,IF(L1553="F-30",3,IF(L1553="F-60",4,IF(L1553="F-90",5,IF(L1553="F-120",6,IF(L1553="F-150",7,0)))))),0),0)+IF(AND(O1553="FIRE TEX 5120",OR(E1553="IN",E1553="C",E1553="Z",E1553="L"),J1553=3),VLOOKUP(_xlfn.MINIFS('FIRE TEX 5120'!$B$5:$B$40,'FIRE TEX 5120'!$B$5:$B$40,"&gt;="&amp;M1553),'FIRE TEX 5120'!$B$5:$G$40,IF(L1553="F-15",2,IF(L1553="F-30",3,IF(L1553="F-60",4,IF(L1553="F-90",5,IF(L1553="F-120",6,0))))),0),0)+IF(AND(O1553="FIRE TEX 5120",OR(E1553="IN",E1553="C",E1553="Z",E1553="L"),J1553=4),VLOOKUP(_xlfn.MINIFS('FIRE TEX 5120'!$H$4:$H$40,'FIRE TEX 5120'!$H$4:$H$40,"&gt;="&amp;M1553),'FIRE TEX 5120'!$H$4:$M$40,IF(L1553="F-15",2,IF(L1553="F-30",3,IF(L1553="F-60",4,IF(L1553="F-90",5,IF(L1553="F-120",6,0))))),0),0)+IF(AND(O1553="FIRE TEX 5120",E1553="CJ"),VLOOKUP(_xlfn.MINIFS('FIRE TEX 5120'!$O$5:$O$40,'FIRE TEX 5120'!$O$5:$O$40,"&gt;="&amp;M1553),'FIRE TEX 5120'!$O$5:$T$40,IF(L1553="F-15",2,IF(L1553="F-30",3,IF(L1553="F-60",4,IF(L1553="F-90",5,IF(L1553="F-120",6,0))))),0),0)</f>
        <v>0</v>
      </c>
      <c r="Q1553" s="46">
        <f t="shared" si="139"/>
        <v>0</v>
      </c>
      <c r="R1553" s="46">
        <f t="shared" si="140"/>
        <v>0</v>
      </c>
      <c r="S1553" s="46" t="e">
        <f t="shared" si="141"/>
        <v>#VALUE!</v>
      </c>
      <c r="T1553" s="677">
        <f t="shared" si="142"/>
        <v>0</v>
      </c>
      <c r="U1553" s="80">
        <f>(IF(O1553="Stofire",(S1553*#REF!),0))+(IF(O1553="Fire Control",(S1553*$U$2),0))+(IF(O1553="Fire Tex",(S1553*$U$3),0))+(IF(O1553="WB7",(S1553*#REF!),0)+(IF(O1553="FX 2003",(S1553*$U$5),0)))</f>
        <v>0</v>
      </c>
      <c r="V1553" s="651">
        <f t="shared" si="143"/>
        <v>0</v>
      </c>
    </row>
    <row r="1554" spans="4:22" x14ac:dyDescent="0.25">
      <c r="D1554" s="118">
        <f>+CUBICACION!D1553</f>
        <v>0</v>
      </c>
      <c r="E1554" s="118">
        <f>+CUBICACION!F1553</f>
        <v>0</v>
      </c>
      <c r="F1554" s="118">
        <f>+CUBICACION!E1553</f>
        <v>0</v>
      </c>
      <c r="G1554" s="118">
        <v>12</v>
      </c>
      <c r="H1554" s="118">
        <v>2</v>
      </c>
      <c r="I1554" s="820">
        <v>26385</v>
      </c>
      <c r="J1554" s="118">
        <f>+CUBICACION!J1553</f>
        <v>0</v>
      </c>
      <c r="K1554" s="118">
        <v>4333</v>
      </c>
      <c r="L1554" s="118">
        <f>+CUBICACION!L1553</f>
        <v>0</v>
      </c>
      <c r="M1554" s="64">
        <f>+CUBICACION!M1553</f>
        <v>0</v>
      </c>
      <c r="N1554" s="824" t="str">
        <f>+CUBICACION!N1553</f>
        <v/>
      </c>
      <c r="O1554" s="675">
        <f>+CUBICACION!O1553</f>
        <v>0</v>
      </c>
      <c r="P1554" s="15">
        <f>IF(O1554="Fire Control",VLOOKUP(_xlfn.MINIFS('FIRE CONTROL'!$C$4:$C$37,'FIRE CONTROL'!$C$4:$C$37,"&gt;="&amp;M1554),'FIRE CONTROL'!$C$4:$G$37,IF(L1554="F-15",2,IF(L1554="F-30",3,IF(L1554="F-60",4,IF(L1554="F-90",5,0)))),0),0)+IF(AND(O1554="FIRE TEX 5062",OR(E1554="IN",E1554="C",E1554="Z",E1554="L"),J1554=3),VLOOKUP(_xlfn.MINIFS('FIRE TEX 5062'!$B$4:$B$34,'FIRE TEX 5062'!$B$4:$B$34,"&gt;="&amp;M1554),'FIRE TEX 5062'!$B$4:$F$34,IF(L1554="F-15",2,IF(L1554="F-30",3,IF(L1554="F-60",4,IF(L1554="F-90",5,0)))),0),0)+IF(AND(O1554="FIRE TEX 5062",OR(E1554="IN",E1554="C",E1554="Z",E1554="L"),J1554=4),VLOOKUP(_xlfn.MINIFS('FIRE TEX 5062'!$G$4:$G$34,'FIRE TEX 5062'!$G$4:$G$34,"&gt;="&amp;M1554),'FIRE TEX 5062'!$G$4:$K$34,IF(L1554="F-15",2,IF(L1554="F-30",3,IF(L1554="F-60",4,IF(L1554="F-90",5,0)))),0),0)+IF(AND(O1554="FIRE TEX 5062",E1554="CJ",J1554=3),VLOOKUP(_xlfn.MINIFS('FIRE TEX 5062'!$L$4:$L$34,'FIRE TEX 5062'!$L$4:$L$34,"&gt;="&amp;M1554),'FIRE TEX 5062'!$L$4:$P$34,IF(L1554="F-15",2,IF(L1554="F-30",3,IF(L1554="F-60",4,IF(L1554="F-90",5,0)))),0),0)+IF(AND(O1554="FIRE TEX 5062",E1554="CJ",J1554=4),VLOOKUP(_xlfn.MINIFS('FIRE TEX 5062'!$Q$3:$Q$34,'FIRE TEX 5062'!$Q$3:$Q$34,"&gt;="&amp;M1554),'FIRE TEX 5062'!$Q$3:$U$34,IF(L1554="F-15",2,IF(L1554="F-30",3,IF(L1554="F-60",4,IF(L1554="F-90",5,0)))),0),0)+IF(AND(O1554="FIRE TEX 5090",OR(E1554="IN",E1554="C",E1554="Z",E1554="L"),J1554=3),VLOOKUP(_xlfn.MINIFS('FIRE TEX 5090'!$B$5:$B$43,'FIRE TEX 5090'!$B$5:$B$43,"&gt;="&amp;M1554),'FIRE TEX 5090'!$B$5:$H$43,IF(L1554="F-15",2,IF(L1554="F-30",3,IF(L1554="F-60",4,IF(L1554="F-90",5,IF(L1554="F-120",6,IF(L1554="F-150",7,0)))))),0),0)+IF(AND(O1554="FIRE TEX 5090",OR(E1554="IN",E1554="C",E1554="Z",E1554="L"),J1554=4),VLOOKUP(_xlfn.MINIFS('FIRE TEX 5090'!$J$5:$J$43,'FIRE TEX 5090'!$J$5:$J$43,"&gt;="&amp;M1554),'FIRE TEX 5090'!$J$5:$P$43,IF(L1554="F-15",2,IF(L1554="F-30",3,IF(L1554="F-60",4,IF(L1554="F-90",5,IF(L1554="F-120",6,IF(L1554="F-150",7,0)))))),0),0)+IF(AND(O1554="FIRE TEX 5090",E1554="CJ",J1554=3),VLOOKUP(_xlfn.MINIFS('FIRE TEX 5090'!$R$5:$R$30,'FIRE TEX 5090'!$R$5:$R$30,"&gt;="&amp;M1554),'FIRE TEX 5090'!$R$5:$W$30,IF(L1554="F-15",2,IF(L1554="F-30",3,IF(L1554="F-60",4,IF(L1554="F-90",5,IF(L1554="F-120",6,IF(L1554="F-150",7,0)))))),0),0)+IF(AND(O1554="FIRE TEX 5090",E1554="CJ",J1554=4),VLOOKUP(_xlfn.MINIFS('FIRE TEX 5090'!$Y$5:$Y$39,'FIRE TEX 5090'!$Y$5:$Y$39,"&gt;="&amp;M1554),'FIRE TEX 5090'!$Y$5:$AD$39,IF(L1554="F-15",2,IF(L1554="F-30",3,IF(L1554="F-60",4,IF(L1554="F-90",5,IF(L1554="F-120",6,IF(L1554="F-150",7,0)))))),0),0)+IF(AND(O1554="FIRE TEX 5120",OR(E1554="IN",E1554="C",E1554="Z",E1554="L"),J1554=3),VLOOKUP(_xlfn.MINIFS('FIRE TEX 5120'!$B$5:$B$40,'FIRE TEX 5120'!$B$5:$B$40,"&gt;="&amp;M1554),'FIRE TEX 5120'!$B$5:$G$40,IF(L1554="F-15",2,IF(L1554="F-30",3,IF(L1554="F-60",4,IF(L1554="F-90",5,IF(L1554="F-120",6,0))))),0),0)+IF(AND(O1554="FIRE TEX 5120",OR(E1554="IN",E1554="C",E1554="Z",E1554="L"),J1554=4),VLOOKUP(_xlfn.MINIFS('FIRE TEX 5120'!$H$4:$H$40,'FIRE TEX 5120'!$H$4:$H$40,"&gt;="&amp;M1554),'FIRE TEX 5120'!$H$4:$M$40,IF(L1554="F-15",2,IF(L1554="F-30",3,IF(L1554="F-60",4,IF(L1554="F-90",5,IF(L1554="F-120",6,0))))),0),0)+IF(AND(O1554="FIRE TEX 5120",E1554="CJ"),VLOOKUP(_xlfn.MINIFS('FIRE TEX 5120'!$O$5:$O$40,'FIRE TEX 5120'!$O$5:$O$40,"&gt;="&amp;M1554),'FIRE TEX 5120'!$O$5:$T$40,IF(L1554="F-15",2,IF(L1554="F-30",3,IF(L1554="F-60",4,IF(L1554="F-90",5,IF(L1554="F-120",6,0))))),0),0)</f>
        <v>0</v>
      </c>
      <c r="Q1554" s="46">
        <f t="shared" si="139"/>
        <v>0</v>
      </c>
      <c r="R1554" s="46">
        <f t="shared" si="140"/>
        <v>0</v>
      </c>
      <c r="S1554" s="46" t="e">
        <f t="shared" si="141"/>
        <v>#VALUE!</v>
      </c>
      <c r="T1554" s="677">
        <f t="shared" si="142"/>
        <v>0</v>
      </c>
      <c r="U1554" s="80">
        <f>(IF(O1554="Stofire",(S1554*#REF!),0))+(IF(O1554="Fire Control",(S1554*$U$2),0))+(IF(O1554="Fire Tex",(S1554*$U$3),0))+(IF(O1554="WB7",(S1554*#REF!),0)+(IF(O1554="FX 2003",(S1554*$U$5),0)))</f>
        <v>0</v>
      </c>
      <c r="V1554" s="651">
        <f t="shared" si="143"/>
        <v>0</v>
      </c>
    </row>
    <row r="1555" spans="4:22" x14ac:dyDescent="0.25">
      <c r="D1555" s="118">
        <f>+CUBICACION!D1554</f>
        <v>0</v>
      </c>
      <c r="E1555" s="118">
        <f>+CUBICACION!F1554</f>
        <v>0</v>
      </c>
      <c r="F1555" s="118">
        <f>+CUBICACION!E1554</f>
        <v>0</v>
      </c>
      <c r="G1555" s="118">
        <v>12</v>
      </c>
      <c r="H1555" s="118">
        <v>2</v>
      </c>
      <c r="I1555" s="820">
        <v>26385</v>
      </c>
      <c r="J1555" s="118">
        <f>+CUBICACION!J1554</f>
        <v>0</v>
      </c>
      <c r="K1555" s="118">
        <v>4334</v>
      </c>
      <c r="L1555" s="118">
        <f>+CUBICACION!L1554</f>
        <v>0</v>
      </c>
      <c r="M1555" s="64">
        <f>+CUBICACION!M1554</f>
        <v>0</v>
      </c>
      <c r="N1555" s="824" t="str">
        <f>+CUBICACION!N1554</f>
        <v/>
      </c>
      <c r="O1555" s="675">
        <f>+CUBICACION!O1554</f>
        <v>0</v>
      </c>
      <c r="P1555" s="15">
        <f>IF(O1555="Fire Control",VLOOKUP(_xlfn.MINIFS('FIRE CONTROL'!$C$4:$C$37,'FIRE CONTROL'!$C$4:$C$37,"&gt;="&amp;M1555),'FIRE CONTROL'!$C$4:$G$37,IF(L1555="F-15",2,IF(L1555="F-30",3,IF(L1555="F-60",4,IF(L1555="F-90",5,0)))),0),0)+IF(AND(O1555="FIRE TEX 5062",OR(E1555="IN",E1555="C",E1555="Z",E1555="L"),J1555=3),VLOOKUP(_xlfn.MINIFS('FIRE TEX 5062'!$B$4:$B$34,'FIRE TEX 5062'!$B$4:$B$34,"&gt;="&amp;M1555),'FIRE TEX 5062'!$B$4:$F$34,IF(L1555="F-15",2,IF(L1555="F-30",3,IF(L1555="F-60",4,IF(L1555="F-90",5,0)))),0),0)+IF(AND(O1555="FIRE TEX 5062",OR(E1555="IN",E1555="C",E1555="Z",E1555="L"),J1555=4),VLOOKUP(_xlfn.MINIFS('FIRE TEX 5062'!$G$4:$G$34,'FIRE TEX 5062'!$G$4:$G$34,"&gt;="&amp;M1555),'FIRE TEX 5062'!$G$4:$K$34,IF(L1555="F-15",2,IF(L1555="F-30",3,IF(L1555="F-60",4,IF(L1555="F-90",5,0)))),0),0)+IF(AND(O1555="FIRE TEX 5062",E1555="CJ",J1555=3),VLOOKUP(_xlfn.MINIFS('FIRE TEX 5062'!$L$4:$L$34,'FIRE TEX 5062'!$L$4:$L$34,"&gt;="&amp;M1555),'FIRE TEX 5062'!$L$4:$P$34,IF(L1555="F-15",2,IF(L1555="F-30",3,IF(L1555="F-60",4,IF(L1555="F-90",5,0)))),0),0)+IF(AND(O1555="FIRE TEX 5062",E1555="CJ",J1555=4),VLOOKUP(_xlfn.MINIFS('FIRE TEX 5062'!$Q$3:$Q$34,'FIRE TEX 5062'!$Q$3:$Q$34,"&gt;="&amp;M1555),'FIRE TEX 5062'!$Q$3:$U$34,IF(L1555="F-15",2,IF(L1555="F-30",3,IF(L1555="F-60",4,IF(L1555="F-90",5,0)))),0),0)+IF(AND(O1555="FIRE TEX 5090",OR(E1555="IN",E1555="C",E1555="Z",E1555="L"),J1555=3),VLOOKUP(_xlfn.MINIFS('FIRE TEX 5090'!$B$5:$B$43,'FIRE TEX 5090'!$B$5:$B$43,"&gt;="&amp;M1555),'FIRE TEX 5090'!$B$5:$H$43,IF(L1555="F-15",2,IF(L1555="F-30",3,IF(L1555="F-60",4,IF(L1555="F-90",5,IF(L1555="F-120",6,IF(L1555="F-150",7,0)))))),0),0)+IF(AND(O1555="FIRE TEX 5090",OR(E1555="IN",E1555="C",E1555="Z",E1555="L"),J1555=4),VLOOKUP(_xlfn.MINIFS('FIRE TEX 5090'!$J$5:$J$43,'FIRE TEX 5090'!$J$5:$J$43,"&gt;="&amp;M1555),'FIRE TEX 5090'!$J$5:$P$43,IF(L1555="F-15",2,IF(L1555="F-30",3,IF(L1555="F-60",4,IF(L1555="F-90",5,IF(L1555="F-120",6,IF(L1555="F-150",7,0)))))),0),0)+IF(AND(O1555="FIRE TEX 5090",E1555="CJ",J1555=3),VLOOKUP(_xlfn.MINIFS('FIRE TEX 5090'!$R$5:$R$30,'FIRE TEX 5090'!$R$5:$R$30,"&gt;="&amp;M1555),'FIRE TEX 5090'!$R$5:$W$30,IF(L1555="F-15",2,IF(L1555="F-30",3,IF(L1555="F-60",4,IF(L1555="F-90",5,IF(L1555="F-120",6,IF(L1555="F-150",7,0)))))),0),0)+IF(AND(O1555="FIRE TEX 5090",E1555="CJ",J1555=4),VLOOKUP(_xlfn.MINIFS('FIRE TEX 5090'!$Y$5:$Y$39,'FIRE TEX 5090'!$Y$5:$Y$39,"&gt;="&amp;M1555),'FIRE TEX 5090'!$Y$5:$AD$39,IF(L1555="F-15",2,IF(L1555="F-30",3,IF(L1555="F-60",4,IF(L1555="F-90",5,IF(L1555="F-120",6,IF(L1555="F-150",7,0)))))),0),0)+IF(AND(O1555="FIRE TEX 5120",OR(E1555="IN",E1555="C",E1555="Z",E1555="L"),J1555=3),VLOOKUP(_xlfn.MINIFS('FIRE TEX 5120'!$B$5:$B$40,'FIRE TEX 5120'!$B$5:$B$40,"&gt;="&amp;M1555),'FIRE TEX 5120'!$B$5:$G$40,IF(L1555="F-15",2,IF(L1555="F-30",3,IF(L1555="F-60",4,IF(L1555="F-90",5,IF(L1555="F-120",6,0))))),0),0)+IF(AND(O1555="FIRE TEX 5120",OR(E1555="IN",E1555="C",E1555="Z",E1555="L"),J1555=4),VLOOKUP(_xlfn.MINIFS('FIRE TEX 5120'!$H$4:$H$40,'FIRE TEX 5120'!$H$4:$H$40,"&gt;="&amp;M1555),'FIRE TEX 5120'!$H$4:$M$40,IF(L1555="F-15",2,IF(L1555="F-30",3,IF(L1555="F-60",4,IF(L1555="F-90",5,IF(L1555="F-120",6,0))))),0),0)+IF(AND(O1555="FIRE TEX 5120",E1555="CJ"),VLOOKUP(_xlfn.MINIFS('FIRE TEX 5120'!$O$5:$O$40,'FIRE TEX 5120'!$O$5:$O$40,"&gt;="&amp;M1555),'FIRE TEX 5120'!$O$5:$T$40,IF(L1555="F-15",2,IF(L1555="F-30",3,IF(L1555="F-60",4,IF(L1555="F-90",5,IF(L1555="F-120",6,0))))),0),0)</f>
        <v>0</v>
      </c>
      <c r="Q1555" s="46">
        <f t="shared" si="139"/>
        <v>0</v>
      </c>
      <c r="R1555" s="46">
        <f t="shared" si="140"/>
        <v>0</v>
      </c>
      <c r="S1555" s="46" t="e">
        <f t="shared" si="141"/>
        <v>#VALUE!</v>
      </c>
      <c r="T1555" s="677">
        <f t="shared" si="142"/>
        <v>0</v>
      </c>
      <c r="U1555" s="80">
        <f>(IF(O1555="Stofire",(S1555*#REF!),0))+(IF(O1555="Fire Control",(S1555*$U$2),0))+(IF(O1555="Fire Tex",(S1555*$U$3),0))+(IF(O1555="WB7",(S1555*#REF!),0)+(IF(O1555="FX 2003",(S1555*$U$5),0)))</f>
        <v>0</v>
      </c>
      <c r="V1555" s="651">
        <f t="shared" si="143"/>
        <v>0</v>
      </c>
    </row>
    <row r="1556" spans="4:22" x14ac:dyDescent="0.25">
      <c r="D1556" s="118">
        <f>+CUBICACION!D1555</f>
        <v>0</v>
      </c>
      <c r="E1556" s="118">
        <f>+CUBICACION!F1555</f>
        <v>0</v>
      </c>
      <c r="F1556" s="118">
        <f>+CUBICACION!E1555</f>
        <v>0</v>
      </c>
      <c r="G1556" s="118">
        <v>12</v>
      </c>
      <c r="H1556" s="118">
        <v>2</v>
      </c>
      <c r="I1556" s="820">
        <v>26385</v>
      </c>
      <c r="J1556" s="118">
        <f>+CUBICACION!J1555</f>
        <v>0</v>
      </c>
      <c r="K1556" s="118">
        <v>4335</v>
      </c>
      <c r="L1556" s="118">
        <f>+CUBICACION!L1555</f>
        <v>0</v>
      </c>
      <c r="M1556" s="64">
        <f>+CUBICACION!M1555</f>
        <v>0</v>
      </c>
      <c r="N1556" s="824" t="str">
        <f>+CUBICACION!N1555</f>
        <v/>
      </c>
      <c r="O1556" s="675">
        <f>+CUBICACION!O1555</f>
        <v>0</v>
      </c>
      <c r="P1556" s="15">
        <f>IF(O1556="Fire Control",VLOOKUP(_xlfn.MINIFS('FIRE CONTROL'!$C$4:$C$37,'FIRE CONTROL'!$C$4:$C$37,"&gt;="&amp;M1556),'FIRE CONTROL'!$C$4:$G$37,IF(L1556="F-15",2,IF(L1556="F-30",3,IF(L1556="F-60",4,IF(L1556="F-90",5,0)))),0),0)+IF(AND(O1556="FIRE TEX 5062",OR(E1556="IN",E1556="C",E1556="Z",E1556="L"),J1556=3),VLOOKUP(_xlfn.MINIFS('FIRE TEX 5062'!$B$4:$B$34,'FIRE TEX 5062'!$B$4:$B$34,"&gt;="&amp;M1556),'FIRE TEX 5062'!$B$4:$F$34,IF(L1556="F-15",2,IF(L1556="F-30",3,IF(L1556="F-60",4,IF(L1556="F-90",5,0)))),0),0)+IF(AND(O1556="FIRE TEX 5062",OR(E1556="IN",E1556="C",E1556="Z",E1556="L"),J1556=4),VLOOKUP(_xlfn.MINIFS('FIRE TEX 5062'!$G$4:$G$34,'FIRE TEX 5062'!$G$4:$G$34,"&gt;="&amp;M1556),'FIRE TEX 5062'!$G$4:$K$34,IF(L1556="F-15",2,IF(L1556="F-30",3,IF(L1556="F-60",4,IF(L1556="F-90",5,0)))),0),0)+IF(AND(O1556="FIRE TEX 5062",E1556="CJ",J1556=3),VLOOKUP(_xlfn.MINIFS('FIRE TEX 5062'!$L$4:$L$34,'FIRE TEX 5062'!$L$4:$L$34,"&gt;="&amp;M1556),'FIRE TEX 5062'!$L$4:$P$34,IF(L1556="F-15",2,IF(L1556="F-30",3,IF(L1556="F-60",4,IF(L1556="F-90",5,0)))),0),0)+IF(AND(O1556="FIRE TEX 5062",E1556="CJ",J1556=4),VLOOKUP(_xlfn.MINIFS('FIRE TEX 5062'!$Q$3:$Q$34,'FIRE TEX 5062'!$Q$3:$Q$34,"&gt;="&amp;M1556),'FIRE TEX 5062'!$Q$3:$U$34,IF(L1556="F-15",2,IF(L1556="F-30",3,IF(L1556="F-60",4,IF(L1556="F-90",5,0)))),0),0)+IF(AND(O1556="FIRE TEX 5090",OR(E1556="IN",E1556="C",E1556="Z",E1556="L"),J1556=3),VLOOKUP(_xlfn.MINIFS('FIRE TEX 5090'!$B$5:$B$43,'FIRE TEX 5090'!$B$5:$B$43,"&gt;="&amp;M1556),'FIRE TEX 5090'!$B$5:$H$43,IF(L1556="F-15",2,IF(L1556="F-30",3,IF(L1556="F-60",4,IF(L1556="F-90",5,IF(L1556="F-120",6,IF(L1556="F-150",7,0)))))),0),0)+IF(AND(O1556="FIRE TEX 5090",OR(E1556="IN",E1556="C",E1556="Z",E1556="L"),J1556=4),VLOOKUP(_xlfn.MINIFS('FIRE TEX 5090'!$J$5:$J$43,'FIRE TEX 5090'!$J$5:$J$43,"&gt;="&amp;M1556),'FIRE TEX 5090'!$J$5:$P$43,IF(L1556="F-15",2,IF(L1556="F-30",3,IF(L1556="F-60",4,IF(L1556="F-90",5,IF(L1556="F-120",6,IF(L1556="F-150",7,0)))))),0),0)+IF(AND(O1556="FIRE TEX 5090",E1556="CJ",J1556=3),VLOOKUP(_xlfn.MINIFS('FIRE TEX 5090'!$R$5:$R$30,'FIRE TEX 5090'!$R$5:$R$30,"&gt;="&amp;M1556),'FIRE TEX 5090'!$R$5:$W$30,IF(L1556="F-15",2,IF(L1556="F-30",3,IF(L1556="F-60",4,IF(L1556="F-90",5,IF(L1556="F-120",6,IF(L1556="F-150",7,0)))))),0),0)+IF(AND(O1556="FIRE TEX 5090",E1556="CJ",J1556=4),VLOOKUP(_xlfn.MINIFS('FIRE TEX 5090'!$Y$5:$Y$39,'FIRE TEX 5090'!$Y$5:$Y$39,"&gt;="&amp;M1556),'FIRE TEX 5090'!$Y$5:$AD$39,IF(L1556="F-15",2,IF(L1556="F-30",3,IF(L1556="F-60",4,IF(L1556="F-90",5,IF(L1556="F-120",6,IF(L1556="F-150",7,0)))))),0),0)+IF(AND(O1556="FIRE TEX 5120",OR(E1556="IN",E1556="C",E1556="Z",E1556="L"),J1556=3),VLOOKUP(_xlfn.MINIFS('FIRE TEX 5120'!$B$5:$B$40,'FIRE TEX 5120'!$B$5:$B$40,"&gt;="&amp;M1556),'FIRE TEX 5120'!$B$5:$G$40,IF(L1556="F-15",2,IF(L1556="F-30",3,IF(L1556="F-60",4,IF(L1556="F-90",5,IF(L1556="F-120",6,0))))),0),0)+IF(AND(O1556="FIRE TEX 5120",OR(E1556="IN",E1556="C",E1556="Z",E1556="L"),J1556=4),VLOOKUP(_xlfn.MINIFS('FIRE TEX 5120'!$H$4:$H$40,'FIRE TEX 5120'!$H$4:$H$40,"&gt;="&amp;M1556),'FIRE TEX 5120'!$H$4:$M$40,IF(L1556="F-15",2,IF(L1556="F-30",3,IF(L1556="F-60",4,IF(L1556="F-90",5,IF(L1556="F-120",6,0))))),0),0)+IF(AND(O1556="FIRE TEX 5120",E1556="CJ"),VLOOKUP(_xlfn.MINIFS('FIRE TEX 5120'!$O$5:$O$40,'FIRE TEX 5120'!$O$5:$O$40,"&gt;="&amp;M1556),'FIRE TEX 5120'!$O$5:$T$40,IF(L1556="F-15",2,IF(L1556="F-30",3,IF(L1556="F-60",4,IF(L1556="F-90",5,IF(L1556="F-120",6,0))))),0),0)</f>
        <v>0</v>
      </c>
      <c r="Q1556" s="46">
        <f t="shared" si="139"/>
        <v>0</v>
      </c>
      <c r="R1556" s="46">
        <f t="shared" si="140"/>
        <v>0</v>
      </c>
      <c r="S1556" s="46" t="e">
        <f t="shared" si="141"/>
        <v>#VALUE!</v>
      </c>
      <c r="T1556" s="677">
        <f t="shared" si="142"/>
        <v>0</v>
      </c>
      <c r="U1556" s="80">
        <f>(IF(O1556="Stofire",(S1556*#REF!),0))+(IF(O1556="Fire Control",(S1556*$U$2),0))+(IF(O1556="Fire Tex",(S1556*$U$3),0))+(IF(O1556="WB7",(S1556*#REF!),0)+(IF(O1556="FX 2003",(S1556*$U$5),0)))</f>
        <v>0</v>
      </c>
      <c r="V1556" s="651">
        <f t="shared" si="143"/>
        <v>0</v>
      </c>
    </row>
    <row r="1557" spans="4:22" x14ac:dyDescent="0.25">
      <c r="D1557" s="118">
        <f>+CUBICACION!D1556</f>
        <v>0</v>
      </c>
      <c r="E1557" s="118">
        <f>+CUBICACION!F1556</f>
        <v>0</v>
      </c>
      <c r="F1557" s="118">
        <f>+CUBICACION!E1556</f>
        <v>0</v>
      </c>
      <c r="G1557" s="118">
        <v>12</v>
      </c>
      <c r="H1557" s="118">
        <v>2</v>
      </c>
      <c r="I1557" s="820">
        <v>26385</v>
      </c>
      <c r="J1557" s="118">
        <f>+CUBICACION!J1556</f>
        <v>0</v>
      </c>
      <c r="K1557" s="118">
        <v>4336</v>
      </c>
      <c r="L1557" s="118">
        <f>+CUBICACION!L1556</f>
        <v>0</v>
      </c>
      <c r="M1557" s="64">
        <f>+CUBICACION!M1556</f>
        <v>0</v>
      </c>
      <c r="N1557" s="824" t="str">
        <f>+CUBICACION!N1556</f>
        <v/>
      </c>
      <c r="O1557" s="675">
        <f>+CUBICACION!O1556</f>
        <v>0</v>
      </c>
      <c r="P1557" s="15">
        <f>IF(O1557="Fire Control",VLOOKUP(_xlfn.MINIFS('FIRE CONTROL'!$C$4:$C$37,'FIRE CONTROL'!$C$4:$C$37,"&gt;="&amp;M1557),'FIRE CONTROL'!$C$4:$G$37,IF(L1557="F-15",2,IF(L1557="F-30",3,IF(L1557="F-60",4,IF(L1557="F-90",5,0)))),0),0)+IF(AND(O1557="FIRE TEX 5062",OR(E1557="IN",E1557="C",E1557="Z",E1557="L"),J1557=3),VLOOKUP(_xlfn.MINIFS('FIRE TEX 5062'!$B$4:$B$34,'FIRE TEX 5062'!$B$4:$B$34,"&gt;="&amp;M1557),'FIRE TEX 5062'!$B$4:$F$34,IF(L1557="F-15",2,IF(L1557="F-30",3,IF(L1557="F-60",4,IF(L1557="F-90",5,0)))),0),0)+IF(AND(O1557="FIRE TEX 5062",OR(E1557="IN",E1557="C",E1557="Z",E1557="L"),J1557=4),VLOOKUP(_xlfn.MINIFS('FIRE TEX 5062'!$G$4:$G$34,'FIRE TEX 5062'!$G$4:$G$34,"&gt;="&amp;M1557),'FIRE TEX 5062'!$G$4:$K$34,IF(L1557="F-15",2,IF(L1557="F-30",3,IF(L1557="F-60",4,IF(L1557="F-90",5,0)))),0),0)+IF(AND(O1557="FIRE TEX 5062",E1557="CJ",J1557=3),VLOOKUP(_xlfn.MINIFS('FIRE TEX 5062'!$L$4:$L$34,'FIRE TEX 5062'!$L$4:$L$34,"&gt;="&amp;M1557),'FIRE TEX 5062'!$L$4:$P$34,IF(L1557="F-15",2,IF(L1557="F-30",3,IF(L1557="F-60",4,IF(L1557="F-90",5,0)))),0),0)+IF(AND(O1557="FIRE TEX 5062",E1557="CJ",J1557=4),VLOOKUP(_xlfn.MINIFS('FIRE TEX 5062'!$Q$3:$Q$34,'FIRE TEX 5062'!$Q$3:$Q$34,"&gt;="&amp;M1557),'FIRE TEX 5062'!$Q$3:$U$34,IF(L1557="F-15",2,IF(L1557="F-30",3,IF(L1557="F-60",4,IF(L1557="F-90",5,0)))),0),0)+IF(AND(O1557="FIRE TEX 5090",OR(E1557="IN",E1557="C",E1557="Z",E1557="L"),J1557=3),VLOOKUP(_xlfn.MINIFS('FIRE TEX 5090'!$B$5:$B$43,'FIRE TEX 5090'!$B$5:$B$43,"&gt;="&amp;M1557),'FIRE TEX 5090'!$B$5:$H$43,IF(L1557="F-15",2,IF(L1557="F-30",3,IF(L1557="F-60",4,IF(L1557="F-90",5,IF(L1557="F-120",6,IF(L1557="F-150",7,0)))))),0),0)+IF(AND(O1557="FIRE TEX 5090",OR(E1557="IN",E1557="C",E1557="Z",E1557="L"),J1557=4),VLOOKUP(_xlfn.MINIFS('FIRE TEX 5090'!$J$5:$J$43,'FIRE TEX 5090'!$J$5:$J$43,"&gt;="&amp;M1557),'FIRE TEX 5090'!$J$5:$P$43,IF(L1557="F-15",2,IF(L1557="F-30",3,IF(L1557="F-60",4,IF(L1557="F-90",5,IF(L1557="F-120",6,IF(L1557="F-150",7,0)))))),0),0)+IF(AND(O1557="FIRE TEX 5090",E1557="CJ",J1557=3),VLOOKUP(_xlfn.MINIFS('FIRE TEX 5090'!$R$5:$R$30,'FIRE TEX 5090'!$R$5:$R$30,"&gt;="&amp;M1557),'FIRE TEX 5090'!$R$5:$W$30,IF(L1557="F-15",2,IF(L1557="F-30",3,IF(L1557="F-60",4,IF(L1557="F-90",5,IF(L1557="F-120",6,IF(L1557="F-150",7,0)))))),0),0)+IF(AND(O1557="FIRE TEX 5090",E1557="CJ",J1557=4),VLOOKUP(_xlfn.MINIFS('FIRE TEX 5090'!$Y$5:$Y$39,'FIRE TEX 5090'!$Y$5:$Y$39,"&gt;="&amp;M1557),'FIRE TEX 5090'!$Y$5:$AD$39,IF(L1557="F-15",2,IF(L1557="F-30",3,IF(L1557="F-60",4,IF(L1557="F-90",5,IF(L1557="F-120",6,IF(L1557="F-150",7,0)))))),0),0)+IF(AND(O1557="FIRE TEX 5120",OR(E1557="IN",E1557="C",E1557="Z",E1557="L"),J1557=3),VLOOKUP(_xlfn.MINIFS('FIRE TEX 5120'!$B$5:$B$40,'FIRE TEX 5120'!$B$5:$B$40,"&gt;="&amp;M1557),'FIRE TEX 5120'!$B$5:$G$40,IF(L1557="F-15",2,IF(L1557="F-30",3,IF(L1557="F-60",4,IF(L1557="F-90",5,IF(L1557="F-120",6,0))))),0),0)+IF(AND(O1557="FIRE TEX 5120",OR(E1557="IN",E1557="C",E1557="Z",E1557="L"),J1557=4),VLOOKUP(_xlfn.MINIFS('FIRE TEX 5120'!$H$4:$H$40,'FIRE TEX 5120'!$H$4:$H$40,"&gt;="&amp;M1557),'FIRE TEX 5120'!$H$4:$M$40,IF(L1557="F-15",2,IF(L1557="F-30",3,IF(L1557="F-60",4,IF(L1557="F-90",5,IF(L1557="F-120",6,0))))),0),0)+IF(AND(O1557="FIRE TEX 5120",E1557="CJ"),VLOOKUP(_xlfn.MINIFS('FIRE TEX 5120'!$O$5:$O$40,'FIRE TEX 5120'!$O$5:$O$40,"&gt;="&amp;M1557),'FIRE TEX 5120'!$O$5:$T$40,IF(L1557="F-15",2,IF(L1557="F-30",3,IF(L1557="F-60",4,IF(L1557="F-90",5,IF(L1557="F-120",6,0))))),0),0)</f>
        <v>0</v>
      </c>
      <c r="Q1557" s="46">
        <f t="shared" si="139"/>
        <v>0</v>
      </c>
      <c r="R1557" s="46">
        <f t="shared" si="140"/>
        <v>0</v>
      </c>
      <c r="S1557" s="46" t="e">
        <f t="shared" si="141"/>
        <v>#VALUE!</v>
      </c>
      <c r="T1557" s="677">
        <f t="shared" si="142"/>
        <v>0</v>
      </c>
      <c r="U1557" s="80">
        <f>(IF(O1557="Stofire",(S1557*#REF!),0))+(IF(O1557="Fire Control",(S1557*$U$2),0))+(IF(O1557="Fire Tex",(S1557*$U$3),0))+(IF(O1557="WB7",(S1557*#REF!),0)+(IF(O1557="FX 2003",(S1557*$U$5),0)))</f>
        <v>0</v>
      </c>
      <c r="V1557" s="651">
        <f t="shared" si="143"/>
        <v>0</v>
      </c>
    </row>
    <row r="1558" spans="4:22" x14ac:dyDescent="0.25">
      <c r="D1558" s="118">
        <f>+CUBICACION!D1557</f>
        <v>0</v>
      </c>
      <c r="E1558" s="118">
        <f>+CUBICACION!F1557</f>
        <v>0</v>
      </c>
      <c r="F1558" s="118">
        <f>+CUBICACION!E1557</f>
        <v>0</v>
      </c>
      <c r="G1558" s="118">
        <v>12</v>
      </c>
      <c r="H1558" s="118">
        <v>2</v>
      </c>
      <c r="I1558" s="820">
        <v>26385</v>
      </c>
      <c r="J1558" s="118">
        <f>+CUBICACION!J1557</f>
        <v>0</v>
      </c>
      <c r="K1558" s="118">
        <v>4337</v>
      </c>
      <c r="L1558" s="118">
        <f>+CUBICACION!L1557</f>
        <v>0</v>
      </c>
      <c r="M1558" s="64">
        <f>+CUBICACION!M1557</f>
        <v>0</v>
      </c>
      <c r="N1558" s="824" t="str">
        <f>+CUBICACION!N1557</f>
        <v/>
      </c>
      <c r="O1558" s="675">
        <f>+CUBICACION!O1557</f>
        <v>0</v>
      </c>
      <c r="P1558" s="15">
        <f>IF(O1558="Fire Control",VLOOKUP(_xlfn.MINIFS('FIRE CONTROL'!$C$4:$C$37,'FIRE CONTROL'!$C$4:$C$37,"&gt;="&amp;M1558),'FIRE CONTROL'!$C$4:$G$37,IF(L1558="F-15",2,IF(L1558="F-30",3,IF(L1558="F-60",4,IF(L1558="F-90",5,0)))),0),0)+IF(AND(O1558="FIRE TEX 5062",OR(E1558="IN",E1558="C",E1558="Z",E1558="L"),J1558=3),VLOOKUP(_xlfn.MINIFS('FIRE TEX 5062'!$B$4:$B$34,'FIRE TEX 5062'!$B$4:$B$34,"&gt;="&amp;M1558),'FIRE TEX 5062'!$B$4:$F$34,IF(L1558="F-15",2,IF(L1558="F-30",3,IF(L1558="F-60",4,IF(L1558="F-90",5,0)))),0),0)+IF(AND(O1558="FIRE TEX 5062",OR(E1558="IN",E1558="C",E1558="Z",E1558="L"),J1558=4),VLOOKUP(_xlfn.MINIFS('FIRE TEX 5062'!$G$4:$G$34,'FIRE TEX 5062'!$G$4:$G$34,"&gt;="&amp;M1558),'FIRE TEX 5062'!$G$4:$K$34,IF(L1558="F-15",2,IF(L1558="F-30",3,IF(L1558="F-60",4,IF(L1558="F-90",5,0)))),0),0)+IF(AND(O1558="FIRE TEX 5062",E1558="CJ",J1558=3),VLOOKUP(_xlfn.MINIFS('FIRE TEX 5062'!$L$4:$L$34,'FIRE TEX 5062'!$L$4:$L$34,"&gt;="&amp;M1558),'FIRE TEX 5062'!$L$4:$P$34,IF(L1558="F-15",2,IF(L1558="F-30",3,IF(L1558="F-60",4,IF(L1558="F-90",5,0)))),0),0)+IF(AND(O1558="FIRE TEX 5062",E1558="CJ",J1558=4),VLOOKUP(_xlfn.MINIFS('FIRE TEX 5062'!$Q$3:$Q$34,'FIRE TEX 5062'!$Q$3:$Q$34,"&gt;="&amp;M1558),'FIRE TEX 5062'!$Q$3:$U$34,IF(L1558="F-15",2,IF(L1558="F-30",3,IF(L1558="F-60",4,IF(L1558="F-90",5,0)))),0),0)+IF(AND(O1558="FIRE TEX 5090",OR(E1558="IN",E1558="C",E1558="Z",E1558="L"),J1558=3),VLOOKUP(_xlfn.MINIFS('FIRE TEX 5090'!$B$5:$B$43,'FIRE TEX 5090'!$B$5:$B$43,"&gt;="&amp;M1558),'FIRE TEX 5090'!$B$5:$H$43,IF(L1558="F-15",2,IF(L1558="F-30",3,IF(L1558="F-60",4,IF(L1558="F-90",5,IF(L1558="F-120",6,IF(L1558="F-150",7,0)))))),0),0)+IF(AND(O1558="FIRE TEX 5090",OR(E1558="IN",E1558="C",E1558="Z",E1558="L"),J1558=4),VLOOKUP(_xlfn.MINIFS('FIRE TEX 5090'!$J$5:$J$43,'FIRE TEX 5090'!$J$5:$J$43,"&gt;="&amp;M1558),'FIRE TEX 5090'!$J$5:$P$43,IF(L1558="F-15",2,IF(L1558="F-30",3,IF(L1558="F-60",4,IF(L1558="F-90",5,IF(L1558="F-120",6,IF(L1558="F-150",7,0)))))),0),0)+IF(AND(O1558="FIRE TEX 5090",E1558="CJ",J1558=3),VLOOKUP(_xlfn.MINIFS('FIRE TEX 5090'!$R$5:$R$30,'FIRE TEX 5090'!$R$5:$R$30,"&gt;="&amp;M1558),'FIRE TEX 5090'!$R$5:$W$30,IF(L1558="F-15",2,IF(L1558="F-30",3,IF(L1558="F-60",4,IF(L1558="F-90",5,IF(L1558="F-120",6,IF(L1558="F-150",7,0)))))),0),0)+IF(AND(O1558="FIRE TEX 5090",E1558="CJ",J1558=4),VLOOKUP(_xlfn.MINIFS('FIRE TEX 5090'!$Y$5:$Y$39,'FIRE TEX 5090'!$Y$5:$Y$39,"&gt;="&amp;M1558),'FIRE TEX 5090'!$Y$5:$AD$39,IF(L1558="F-15",2,IF(L1558="F-30",3,IF(L1558="F-60",4,IF(L1558="F-90",5,IF(L1558="F-120",6,IF(L1558="F-150",7,0)))))),0),0)+IF(AND(O1558="FIRE TEX 5120",OR(E1558="IN",E1558="C",E1558="Z",E1558="L"),J1558=3),VLOOKUP(_xlfn.MINIFS('FIRE TEX 5120'!$B$5:$B$40,'FIRE TEX 5120'!$B$5:$B$40,"&gt;="&amp;M1558),'FIRE TEX 5120'!$B$5:$G$40,IF(L1558="F-15",2,IF(L1558="F-30",3,IF(L1558="F-60",4,IF(L1558="F-90",5,IF(L1558="F-120",6,0))))),0),0)+IF(AND(O1558="FIRE TEX 5120",OR(E1558="IN",E1558="C",E1558="Z",E1558="L"),J1558=4),VLOOKUP(_xlfn.MINIFS('FIRE TEX 5120'!$H$4:$H$40,'FIRE TEX 5120'!$H$4:$H$40,"&gt;="&amp;M1558),'FIRE TEX 5120'!$H$4:$M$40,IF(L1558="F-15",2,IF(L1558="F-30",3,IF(L1558="F-60",4,IF(L1558="F-90",5,IF(L1558="F-120",6,0))))),0),0)+IF(AND(O1558="FIRE TEX 5120",E1558="CJ"),VLOOKUP(_xlfn.MINIFS('FIRE TEX 5120'!$O$5:$O$40,'FIRE TEX 5120'!$O$5:$O$40,"&gt;="&amp;M1558),'FIRE TEX 5120'!$O$5:$T$40,IF(L1558="F-15",2,IF(L1558="F-30",3,IF(L1558="F-60",4,IF(L1558="F-90",5,IF(L1558="F-120",6,0))))),0),0)</f>
        <v>0</v>
      </c>
      <c r="Q1558" s="46">
        <f t="shared" si="139"/>
        <v>0</v>
      </c>
      <c r="R1558" s="46">
        <f t="shared" si="140"/>
        <v>0</v>
      </c>
      <c r="S1558" s="46" t="e">
        <f t="shared" si="141"/>
        <v>#VALUE!</v>
      </c>
      <c r="T1558" s="677">
        <f t="shared" si="142"/>
        <v>0</v>
      </c>
      <c r="U1558" s="80">
        <f>(IF(O1558="Stofire",(S1558*#REF!),0))+(IF(O1558="Fire Control",(S1558*$U$2),0))+(IF(O1558="Fire Tex",(S1558*$U$3),0))+(IF(O1558="WB7",(S1558*#REF!),0)+(IF(O1558="FX 2003",(S1558*$U$5),0)))</f>
        <v>0</v>
      </c>
      <c r="V1558" s="651">
        <f t="shared" si="143"/>
        <v>0</v>
      </c>
    </row>
    <row r="1559" spans="4:22" x14ac:dyDescent="0.25">
      <c r="D1559" s="118">
        <f>+CUBICACION!D1558</f>
        <v>0</v>
      </c>
      <c r="E1559" s="118">
        <f>+CUBICACION!F1558</f>
        <v>0</v>
      </c>
      <c r="F1559" s="118">
        <f>+CUBICACION!E1558</f>
        <v>0</v>
      </c>
      <c r="G1559" s="118">
        <v>12</v>
      </c>
      <c r="H1559" s="118">
        <v>2</v>
      </c>
      <c r="I1559" s="820">
        <v>26385</v>
      </c>
      <c r="J1559" s="118">
        <f>+CUBICACION!J1558</f>
        <v>0</v>
      </c>
      <c r="K1559" s="118">
        <v>4338</v>
      </c>
      <c r="L1559" s="118">
        <f>+CUBICACION!L1558</f>
        <v>0</v>
      </c>
      <c r="M1559" s="64">
        <f>+CUBICACION!M1558</f>
        <v>0</v>
      </c>
      <c r="N1559" s="824" t="str">
        <f>+CUBICACION!N1558</f>
        <v/>
      </c>
      <c r="O1559" s="675">
        <f>+CUBICACION!O1558</f>
        <v>0</v>
      </c>
      <c r="P1559" s="15">
        <f>IF(O1559="Fire Control",VLOOKUP(_xlfn.MINIFS('FIRE CONTROL'!$C$4:$C$37,'FIRE CONTROL'!$C$4:$C$37,"&gt;="&amp;M1559),'FIRE CONTROL'!$C$4:$G$37,IF(L1559="F-15",2,IF(L1559="F-30",3,IF(L1559="F-60",4,IF(L1559="F-90",5,0)))),0),0)+IF(AND(O1559="FIRE TEX 5062",OR(E1559="IN",E1559="C",E1559="Z",E1559="L"),J1559=3),VLOOKUP(_xlfn.MINIFS('FIRE TEX 5062'!$B$4:$B$34,'FIRE TEX 5062'!$B$4:$B$34,"&gt;="&amp;M1559),'FIRE TEX 5062'!$B$4:$F$34,IF(L1559="F-15",2,IF(L1559="F-30",3,IF(L1559="F-60",4,IF(L1559="F-90",5,0)))),0),0)+IF(AND(O1559="FIRE TEX 5062",OR(E1559="IN",E1559="C",E1559="Z",E1559="L"),J1559=4),VLOOKUP(_xlfn.MINIFS('FIRE TEX 5062'!$G$4:$G$34,'FIRE TEX 5062'!$G$4:$G$34,"&gt;="&amp;M1559),'FIRE TEX 5062'!$G$4:$K$34,IF(L1559="F-15",2,IF(L1559="F-30",3,IF(L1559="F-60",4,IF(L1559="F-90",5,0)))),0),0)+IF(AND(O1559="FIRE TEX 5062",E1559="CJ",J1559=3),VLOOKUP(_xlfn.MINIFS('FIRE TEX 5062'!$L$4:$L$34,'FIRE TEX 5062'!$L$4:$L$34,"&gt;="&amp;M1559),'FIRE TEX 5062'!$L$4:$P$34,IF(L1559="F-15",2,IF(L1559="F-30",3,IF(L1559="F-60",4,IF(L1559="F-90",5,0)))),0),0)+IF(AND(O1559="FIRE TEX 5062",E1559="CJ",J1559=4),VLOOKUP(_xlfn.MINIFS('FIRE TEX 5062'!$Q$3:$Q$34,'FIRE TEX 5062'!$Q$3:$Q$34,"&gt;="&amp;M1559),'FIRE TEX 5062'!$Q$3:$U$34,IF(L1559="F-15",2,IF(L1559="F-30",3,IF(L1559="F-60",4,IF(L1559="F-90",5,0)))),0),0)+IF(AND(O1559="FIRE TEX 5090",OR(E1559="IN",E1559="C",E1559="Z",E1559="L"),J1559=3),VLOOKUP(_xlfn.MINIFS('FIRE TEX 5090'!$B$5:$B$43,'FIRE TEX 5090'!$B$5:$B$43,"&gt;="&amp;M1559),'FIRE TEX 5090'!$B$5:$H$43,IF(L1559="F-15",2,IF(L1559="F-30",3,IF(L1559="F-60",4,IF(L1559="F-90",5,IF(L1559="F-120",6,IF(L1559="F-150",7,0)))))),0),0)+IF(AND(O1559="FIRE TEX 5090",OR(E1559="IN",E1559="C",E1559="Z",E1559="L"),J1559=4),VLOOKUP(_xlfn.MINIFS('FIRE TEX 5090'!$J$5:$J$43,'FIRE TEX 5090'!$J$5:$J$43,"&gt;="&amp;M1559),'FIRE TEX 5090'!$J$5:$P$43,IF(L1559="F-15",2,IF(L1559="F-30",3,IF(L1559="F-60",4,IF(L1559="F-90",5,IF(L1559="F-120",6,IF(L1559="F-150",7,0)))))),0),0)+IF(AND(O1559="FIRE TEX 5090",E1559="CJ",J1559=3),VLOOKUP(_xlfn.MINIFS('FIRE TEX 5090'!$R$5:$R$30,'FIRE TEX 5090'!$R$5:$R$30,"&gt;="&amp;M1559),'FIRE TEX 5090'!$R$5:$W$30,IF(L1559="F-15",2,IF(L1559="F-30",3,IF(L1559="F-60",4,IF(L1559="F-90",5,IF(L1559="F-120",6,IF(L1559="F-150",7,0)))))),0),0)+IF(AND(O1559="FIRE TEX 5090",E1559="CJ",J1559=4),VLOOKUP(_xlfn.MINIFS('FIRE TEX 5090'!$Y$5:$Y$39,'FIRE TEX 5090'!$Y$5:$Y$39,"&gt;="&amp;M1559),'FIRE TEX 5090'!$Y$5:$AD$39,IF(L1559="F-15",2,IF(L1559="F-30",3,IF(L1559="F-60",4,IF(L1559="F-90",5,IF(L1559="F-120",6,IF(L1559="F-150",7,0)))))),0),0)+IF(AND(O1559="FIRE TEX 5120",OR(E1559="IN",E1559="C",E1559="Z",E1559="L"),J1559=3),VLOOKUP(_xlfn.MINIFS('FIRE TEX 5120'!$B$5:$B$40,'FIRE TEX 5120'!$B$5:$B$40,"&gt;="&amp;M1559),'FIRE TEX 5120'!$B$5:$G$40,IF(L1559="F-15",2,IF(L1559="F-30",3,IF(L1559="F-60",4,IF(L1559="F-90",5,IF(L1559="F-120",6,0))))),0),0)+IF(AND(O1559="FIRE TEX 5120",OR(E1559="IN",E1559="C",E1559="Z",E1559="L"),J1559=4),VLOOKUP(_xlfn.MINIFS('FIRE TEX 5120'!$H$4:$H$40,'FIRE TEX 5120'!$H$4:$H$40,"&gt;="&amp;M1559),'FIRE TEX 5120'!$H$4:$M$40,IF(L1559="F-15",2,IF(L1559="F-30",3,IF(L1559="F-60",4,IF(L1559="F-90",5,IF(L1559="F-120",6,0))))),0),0)+IF(AND(O1559="FIRE TEX 5120",E1559="CJ"),VLOOKUP(_xlfn.MINIFS('FIRE TEX 5120'!$O$5:$O$40,'FIRE TEX 5120'!$O$5:$O$40,"&gt;="&amp;M1559),'FIRE TEX 5120'!$O$5:$T$40,IF(L1559="F-15",2,IF(L1559="F-30",3,IF(L1559="F-60",4,IF(L1559="F-90",5,IF(L1559="F-120",6,0))))),0),0)</f>
        <v>0</v>
      </c>
      <c r="Q1559" s="46">
        <f t="shared" si="139"/>
        <v>0</v>
      </c>
      <c r="R1559" s="46">
        <f t="shared" si="140"/>
        <v>0</v>
      </c>
      <c r="S1559" s="46" t="e">
        <f t="shared" si="141"/>
        <v>#VALUE!</v>
      </c>
      <c r="T1559" s="677">
        <f t="shared" si="142"/>
        <v>0</v>
      </c>
      <c r="U1559" s="80">
        <f>(IF(O1559="Stofire",(S1559*#REF!),0))+(IF(O1559="Fire Control",(S1559*$U$2),0))+(IF(O1559="Fire Tex",(S1559*$U$3),0))+(IF(O1559="WB7",(S1559*#REF!),0)+(IF(O1559="FX 2003",(S1559*$U$5),0)))</f>
        <v>0</v>
      </c>
      <c r="V1559" s="651">
        <f t="shared" si="143"/>
        <v>0</v>
      </c>
    </row>
    <row r="1560" spans="4:22" x14ac:dyDescent="0.25">
      <c r="D1560" s="118">
        <f>+CUBICACION!D1559</f>
        <v>0</v>
      </c>
      <c r="E1560" s="118">
        <f>+CUBICACION!F1559</f>
        <v>0</v>
      </c>
      <c r="F1560" s="118">
        <f>+CUBICACION!E1559</f>
        <v>0</v>
      </c>
      <c r="G1560" s="118">
        <v>12</v>
      </c>
      <c r="H1560" s="118">
        <v>2</v>
      </c>
      <c r="I1560" s="820">
        <v>26385</v>
      </c>
      <c r="J1560" s="118">
        <f>+CUBICACION!J1559</f>
        <v>0</v>
      </c>
      <c r="K1560" s="118">
        <v>4339</v>
      </c>
      <c r="L1560" s="118">
        <f>+CUBICACION!L1559</f>
        <v>0</v>
      </c>
      <c r="M1560" s="64">
        <f>+CUBICACION!M1559</f>
        <v>0</v>
      </c>
      <c r="N1560" s="824" t="str">
        <f>+CUBICACION!N1559</f>
        <v/>
      </c>
      <c r="O1560" s="675">
        <f>+CUBICACION!O1559</f>
        <v>0</v>
      </c>
      <c r="P1560" s="15">
        <f>IF(O1560="Fire Control",VLOOKUP(_xlfn.MINIFS('FIRE CONTROL'!$C$4:$C$37,'FIRE CONTROL'!$C$4:$C$37,"&gt;="&amp;M1560),'FIRE CONTROL'!$C$4:$G$37,IF(L1560="F-15",2,IF(L1560="F-30",3,IF(L1560="F-60",4,IF(L1560="F-90",5,0)))),0),0)+IF(AND(O1560="FIRE TEX 5062",OR(E1560="IN",E1560="C",E1560="Z",E1560="L"),J1560=3),VLOOKUP(_xlfn.MINIFS('FIRE TEX 5062'!$B$4:$B$34,'FIRE TEX 5062'!$B$4:$B$34,"&gt;="&amp;M1560),'FIRE TEX 5062'!$B$4:$F$34,IF(L1560="F-15",2,IF(L1560="F-30",3,IF(L1560="F-60",4,IF(L1560="F-90",5,0)))),0),0)+IF(AND(O1560="FIRE TEX 5062",OR(E1560="IN",E1560="C",E1560="Z",E1560="L"),J1560=4),VLOOKUP(_xlfn.MINIFS('FIRE TEX 5062'!$G$4:$G$34,'FIRE TEX 5062'!$G$4:$G$34,"&gt;="&amp;M1560),'FIRE TEX 5062'!$G$4:$K$34,IF(L1560="F-15",2,IF(L1560="F-30",3,IF(L1560="F-60",4,IF(L1560="F-90",5,0)))),0),0)+IF(AND(O1560="FIRE TEX 5062",E1560="CJ",J1560=3),VLOOKUP(_xlfn.MINIFS('FIRE TEX 5062'!$L$4:$L$34,'FIRE TEX 5062'!$L$4:$L$34,"&gt;="&amp;M1560),'FIRE TEX 5062'!$L$4:$P$34,IF(L1560="F-15",2,IF(L1560="F-30",3,IF(L1560="F-60",4,IF(L1560="F-90",5,0)))),0),0)+IF(AND(O1560="FIRE TEX 5062",E1560="CJ",J1560=4),VLOOKUP(_xlfn.MINIFS('FIRE TEX 5062'!$Q$3:$Q$34,'FIRE TEX 5062'!$Q$3:$Q$34,"&gt;="&amp;M1560),'FIRE TEX 5062'!$Q$3:$U$34,IF(L1560="F-15",2,IF(L1560="F-30",3,IF(L1560="F-60",4,IF(L1560="F-90",5,0)))),0),0)+IF(AND(O1560="FIRE TEX 5090",OR(E1560="IN",E1560="C",E1560="Z",E1560="L"),J1560=3),VLOOKUP(_xlfn.MINIFS('FIRE TEX 5090'!$B$5:$B$43,'FIRE TEX 5090'!$B$5:$B$43,"&gt;="&amp;M1560),'FIRE TEX 5090'!$B$5:$H$43,IF(L1560="F-15",2,IF(L1560="F-30",3,IF(L1560="F-60",4,IF(L1560="F-90",5,IF(L1560="F-120",6,IF(L1560="F-150",7,0)))))),0),0)+IF(AND(O1560="FIRE TEX 5090",OR(E1560="IN",E1560="C",E1560="Z",E1560="L"),J1560=4),VLOOKUP(_xlfn.MINIFS('FIRE TEX 5090'!$J$5:$J$43,'FIRE TEX 5090'!$J$5:$J$43,"&gt;="&amp;M1560),'FIRE TEX 5090'!$J$5:$P$43,IF(L1560="F-15",2,IF(L1560="F-30",3,IF(L1560="F-60",4,IF(L1560="F-90",5,IF(L1560="F-120",6,IF(L1560="F-150",7,0)))))),0),0)+IF(AND(O1560="FIRE TEX 5090",E1560="CJ",J1560=3),VLOOKUP(_xlfn.MINIFS('FIRE TEX 5090'!$R$5:$R$30,'FIRE TEX 5090'!$R$5:$R$30,"&gt;="&amp;M1560),'FIRE TEX 5090'!$R$5:$W$30,IF(L1560="F-15",2,IF(L1560="F-30",3,IF(L1560="F-60",4,IF(L1560="F-90",5,IF(L1560="F-120",6,IF(L1560="F-150",7,0)))))),0),0)+IF(AND(O1560="FIRE TEX 5090",E1560="CJ",J1560=4),VLOOKUP(_xlfn.MINIFS('FIRE TEX 5090'!$Y$5:$Y$39,'FIRE TEX 5090'!$Y$5:$Y$39,"&gt;="&amp;M1560),'FIRE TEX 5090'!$Y$5:$AD$39,IF(L1560="F-15",2,IF(L1560="F-30",3,IF(L1560="F-60",4,IF(L1560="F-90",5,IF(L1560="F-120",6,IF(L1560="F-150",7,0)))))),0),0)+IF(AND(O1560="FIRE TEX 5120",OR(E1560="IN",E1560="C",E1560="Z",E1560="L"),J1560=3),VLOOKUP(_xlfn.MINIFS('FIRE TEX 5120'!$B$5:$B$40,'FIRE TEX 5120'!$B$5:$B$40,"&gt;="&amp;M1560),'FIRE TEX 5120'!$B$5:$G$40,IF(L1560="F-15",2,IF(L1560="F-30",3,IF(L1560="F-60",4,IF(L1560="F-90",5,IF(L1560="F-120",6,0))))),0),0)+IF(AND(O1560="FIRE TEX 5120",OR(E1560="IN",E1560="C",E1560="Z",E1560="L"),J1560=4),VLOOKUP(_xlfn.MINIFS('FIRE TEX 5120'!$H$4:$H$40,'FIRE TEX 5120'!$H$4:$H$40,"&gt;="&amp;M1560),'FIRE TEX 5120'!$H$4:$M$40,IF(L1560="F-15",2,IF(L1560="F-30",3,IF(L1560="F-60",4,IF(L1560="F-90",5,IF(L1560="F-120",6,0))))),0),0)+IF(AND(O1560="FIRE TEX 5120",E1560="CJ"),VLOOKUP(_xlfn.MINIFS('FIRE TEX 5120'!$O$5:$O$40,'FIRE TEX 5120'!$O$5:$O$40,"&gt;="&amp;M1560),'FIRE TEX 5120'!$O$5:$T$40,IF(L1560="F-15",2,IF(L1560="F-30",3,IF(L1560="F-60",4,IF(L1560="F-90",5,IF(L1560="F-120",6,0))))),0),0)</f>
        <v>0</v>
      </c>
      <c r="Q1560" s="46">
        <f t="shared" si="139"/>
        <v>0</v>
      </c>
      <c r="R1560" s="46">
        <f t="shared" si="140"/>
        <v>0</v>
      </c>
      <c r="S1560" s="46" t="e">
        <f t="shared" si="141"/>
        <v>#VALUE!</v>
      </c>
      <c r="T1560" s="677">
        <f t="shared" si="142"/>
        <v>0</v>
      </c>
      <c r="U1560" s="80">
        <f>(IF(O1560="Stofire",(S1560*#REF!),0))+(IF(O1560="Fire Control",(S1560*$U$2),0))+(IF(O1560="Fire Tex",(S1560*$U$3),0))+(IF(O1560="WB7",(S1560*#REF!),0)+(IF(O1560="FX 2003",(S1560*$U$5),0)))</f>
        <v>0</v>
      </c>
      <c r="V1560" s="651">
        <f t="shared" si="143"/>
        <v>0</v>
      </c>
    </row>
    <row r="1561" spans="4:22" x14ac:dyDescent="0.25">
      <c r="D1561" s="118">
        <f>+CUBICACION!D1560</f>
        <v>0</v>
      </c>
      <c r="E1561" s="118">
        <f>+CUBICACION!F1560</f>
        <v>0</v>
      </c>
      <c r="F1561" s="118">
        <f>+CUBICACION!E1560</f>
        <v>0</v>
      </c>
      <c r="G1561" s="118">
        <v>12</v>
      </c>
      <c r="H1561" s="118">
        <v>2</v>
      </c>
      <c r="I1561" s="820">
        <v>26385</v>
      </c>
      <c r="J1561" s="118">
        <f>+CUBICACION!J1560</f>
        <v>0</v>
      </c>
      <c r="K1561" s="118">
        <v>4340</v>
      </c>
      <c r="L1561" s="118">
        <f>+CUBICACION!L1560</f>
        <v>0</v>
      </c>
      <c r="M1561" s="64">
        <f>+CUBICACION!M1560</f>
        <v>0</v>
      </c>
      <c r="N1561" s="824" t="str">
        <f>+CUBICACION!N1560</f>
        <v/>
      </c>
      <c r="O1561" s="675">
        <f>+CUBICACION!O1560</f>
        <v>0</v>
      </c>
      <c r="P1561" s="15">
        <f>IF(O1561="Fire Control",VLOOKUP(_xlfn.MINIFS('FIRE CONTROL'!$C$4:$C$37,'FIRE CONTROL'!$C$4:$C$37,"&gt;="&amp;M1561),'FIRE CONTROL'!$C$4:$G$37,IF(L1561="F-15",2,IF(L1561="F-30",3,IF(L1561="F-60",4,IF(L1561="F-90",5,0)))),0),0)+IF(AND(O1561="FIRE TEX 5062",OR(E1561="IN",E1561="C",E1561="Z",E1561="L"),J1561=3),VLOOKUP(_xlfn.MINIFS('FIRE TEX 5062'!$B$4:$B$34,'FIRE TEX 5062'!$B$4:$B$34,"&gt;="&amp;M1561),'FIRE TEX 5062'!$B$4:$F$34,IF(L1561="F-15",2,IF(L1561="F-30",3,IF(L1561="F-60",4,IF(L1561="F-90",5,0)))),0),0)+IF(AND(O1561="FIRE TEX 5062",OR(E1561="IN",E1561="C",E1561="Z",E1561="L"),J1561=4),VLOOKUP(_xlfn.MINIFS('FIRE TEX 5062'!$G$4:$G$34,'FIRE TEX 5062'!$G$4:$G$34,"&gt;="&amp;M1561),'FIRE TEX 5062'!$G$4:$K$34,IF(L1561="F-15",2,IF(L1561="F-30",3,IF(L1561="F-60",4,IF(L1561="F-90",5,0)))),0),0)+IF(AND(O1561="FIRE TEX 5062",E1561="CJ",J1561=3),VLOOKUP(_xlfn.MINIFS('FIRE TEX 5062'!$L$4:$L$34,'FIRE TEX 5062'!$L$4:$L$34,"&gt;="&amp;M1561),'FIRE TEX 5062'!$L$4:$P$34,IF(L1561="F-15",2,IF(L1561="F-30",3,IF(L1561="F-60",4,IF(L1561="F-90",5,0)))),0),0)+IF(AND(O1561="FIRE TEX 5062",E1561="CJ",J1561=4),VLOOKUP(_xlfn.MINIFS('FIRE TEX 5062'!$Q$3:$Q$34,'FIRE TEX 5062'!$Q$3:$Q$34,"&gt;="&amp;M1561),'FIRE TEX 5062'!$Q$3:$U$34,IF(L1561="F-15",2,IF(L1561="F-30",3,IF(L1561="F-60",4,IF(L1561="F-90",5,0)))),0),0)+IF(AND(O1561="FIRE TEX 5090",OR(E1561="IN",E1561="C",E1561="Z",E1561="L"),J1561=3),VLOOKUP(_xlfn.MINIFS('FIRE TEX 5090'!$B$5:$B$43,'FIRE TEX 5090'!$B$5:$B$43,"&gt;="&amp;M1561),'FIRE TEX 5090'!$B$5:$H$43,IF(L1561="F-15",2,IF(L1561="F-30",3,IF(L1561="F-60",4,IF(L1561="F-90",5,IF(L1561="F-120",6,IF(L1561="F-150",7,0)))))),0),0)+IF(AND(O1561="FIRE TEX 5090",OR(E1561="IN",E1561="C",E1561="Z",E1561="L"),J1561=4),VLOOKUP(_xlfn.MINIFS('FIRE TEX 5090'!$J$5:$J$43,'FIRE TEX 5090'!$J$5:$J$43,"&gt;="&amp;M1561),'FIRE TEX 5090'!$J$5:$P$43,IF(L1561="F-15",2,IF(L1561="F-30",3,IF(L1561="F-60",4,IF(L1561="F-90",5,IF(L1561="F-120",6,IF(L1561="F-150",7,0)))))),0),0)+IF(AND(O1561="FIRE TEX 5090",E1561="CJ",J1561=3),VLOOKUP(_xlfn.MINIFS('FIRE TEX 5090'!$R$5:$R$30,'FIRE TEX 5090'!$R$5:$R$30,"&gt;="&amp;M1561),'FIRE TEX 5090'!$R$5:$W$30,IF(L1561="F-15",2,IF(L1561="F-30",3,IF(L1561="F-60",4,IF(L1561="F-90",5,IF(L1561="F-120",6,IF(L1561="F-150",7,0)))))),0),0)+IF(AND(O1561="FIRE TEX 5090",E1561="CJ",J1561=4),VLOOKUP(_xlfn.MINIFS('FIRE TEX 5090'!$Y$5:$Y$39,'FIRE TEX 5090'!$Y$5:$Y$39,"&gt;="&amp;M1561),'FIRE TEX 5090'!$Y$5:$AD$39,IF(L1561="F-15",2,IF(L1561="F-30",3,IF(L1561="F-60",4,IF(L1561="F-90",5,IF(L1561="F-120",6,IF(L1561="F-150",7,0)))))),0),0)+IF(AND(O1561="FIRE TEX 5120",OR(E1561="IN",E1561="C",E1561="Z",E1561="L"),J1561=3),VLOOKUP(_xlfn.MINIFS('FIRE TEX 5120'!$B$5:$B$40,'FIRE TEX 5120'!$B$5:$B$40,"&gt;="&amp;M1561),'FIRE TEX 5120'!$B$5:$G$40,IF(L1561="F-15",2,IF(L1561="F-30",3,IF(L1561="F-60",4,IF(L1561="F-90",5,IF(L1561="F-120",6,0))))),0),0)+IF(AND(O1561="FIRE TEX 5120",OR(E1561="IN",E1561="C",E1561="Z",E1561="L"),J1561=4),VLOOKUP(_xlfn.MINIFS('FIRE TEX 5120'!$H$4:$H$40,'FIRE TEX 5120'!$H$4:$H$40,"&gt;="&amp;M1561),'FIRE TEX 5120'!$H$4:$M$40,IF(L1561="F-15",2,IF(L1561="F-30",3,IF(L1561="F-60",4,IF(L1561="F-90",5,IF(L1561="F-120",6,0))))),0),0)+IF(AND(O1561="FIRE TEX 5120",E1561="CJ"),VLOOKUP(_xlfn.MINIFS('FIRE TEX 5120'!$O$5:$O$40,'FIRE TEX 5120'!$O$5:$O$40,"&gt;="&amp;M1561),'FIRE TEX 5120'!$O$5:$T$40,IF(L1561="F-15",2,IF(L1561="F-30",3,IF(L1561="F-60",4,IF(L1561="F-90",5,IF(L1561="F-120",6,0))))),0),0)</f>
        <v>0</v>
      </c>
      <c r="Q1561" s="46">
        <f t="shared" si="139"/>
        <v>0</v>
      </c>
      <c r="R1561" s="46">
        <f t="shared" si="140"/>
        <v>0</v>
      </c>
      <c r="S1561" s="46" t="e">
        <f t="shared" si="141"/>
        <v>#VALUE!</v>
      </c>
      <c r="T1561" s="677">
        <f t="shared" si="142"/>
        <v>0</v>
      </c>
      <c r="U1561" s="80">
        <f>(IF(O1561="Stofire",(S1561*#REF!),0))+(IF(O1561="Fire Control",(S1561*$U$2),0))+(IF(O1561="Fire Tex",(S1561*$U$3),0))+(IF(O1561="WB7",(S1561*#REF!),0)+(IF(O1561="FX 2003",(S1561*$U$5),0)))</f>
        <v>0</v>
      </c>
      <c r="V1561" s="651">
        <f t="shared" si="143"/>
        <v>0</v>
      </c>
    </row>
    <row r="1562" spans="4:22" x14ac:dyDescent="0.25">
      <c r="D1562" s="118">
        <f>+CUBICACION!D1561</f>
        <v>0</v>
      </c>
      <c r="E1562" s="118">
        <f>+CUBICACION!F1561</f>
        <v>0</v>
      </c>
      <c r="F1562" s="118">
        <f>+CUBICACION!E1561</f>
        <v>0</v>
      </c>
      <c r="G1562" s="118">
        <v>12</v>
      </c>
      <c r="H1562" s="118">
        <v>2</v>
      </c>
      <c r="I1562" s="820">
        <v>26385</v>
      </c>
      <c r="J1562" s="118">
        <f>+CUBICACION!J1561</f>
        <v>0</v>
      </c>
      <c r="K1562" s="118">
        <v>4341</v>
      </c>
      <c r="L1562" s="118">
        <f>+CUBICACION!L1561</f>
        <v>0</v>
      </c>
      <c r="M1562" s="64">
        <f>+CUBICACION!M1561</f>
        <v>0</v>
      </c>
      <c r="N1562" s="824" t="str">
        <f>+CUBICACION!N1561</f>
        <v/>
      </c>
      <c r="O1562" s="675">
        <f>+CUBICACION!O1561</f>
        <v>0</v>
      </c>
      <c r="P1562" s="15">
        <f>IF(O1562="Fire Control",VLOOKUP(_xlfn.MINIFS('FIRE CONTROL'!$C$4:$C$37,'FIRE CONTROL'!$C$4:$C$37,"&gt;="&amp;M1562),'FIRE CONTROL'!$C$4:$G$37,IF(L1562="F-15",2,IF(L1562="F-30",3,IF(L1562="F-60",4,IF(L1562="F-90",5,0)))),0),0)+IF(AND(O1562="FIRE TEX 5062",OR(E1562="IN",E1562="C",E1562="Z",E1562="L"),J1562=3),VLOOKUP(_xlfn.MINIFS('FIRE TEX 5062'!$B$4:$B$34,'FIRE TEX 5062'!$B$4:$B$34,"&gt;="&amp;M1562),'FIRE TEX 5062'!$B$4:$F$34,IF(L1562="F-15",2,IF(L1562="F-30",3,IF(L1562="F-60",4,IF(L1562="F-90",5,0)))),0),0)+IF(AND(O1562="FIRE TEX 5062",OR(E1562="IN",E1562="C",E1562="Z",E1562="L"),J1562=4),VLOOKUP(_xlfn.MINIFS('FIRE TEX 5062'!$G$4:$G$34,'FIRE TEX 5062'!$G$4:$G$34,"&gt;="&amp;M1562),'FIRE TEX 5062'!$G$4:$K$34,IF(L1562="F-15",2,IF(L1562="F-30",3,IF(L1562="F-60",4,IF(L1562="F-90",5,0)))),0),0)+IF(AND(O1562="FIRE TEX 5062",E1562="CJ",J1562=3),VLOOKUP(_xlfn.MINIFS('FIRE TEX 5062'!$L$4:$L$34,'FIRE TEX 5062'!$L$4:$L$34,"&gt;="&amp;M1562),'FIRE TEX 5062'!$L$4:$P$34,IF(L1562="F-15",2,IF(L1562="F-30",3,IF(L1562="F-60",4,IF(L1562="F-90",5,0)))),0),0)+IF(AND(O1562="FIRE TEX 5062",E1562="CJ",J1562=4),VLOOKUP(_xlfn.MINIFS('FIRE TEX 5062'!$Q$3:$Q$34,'FIRE TEX 5062'!$Q$3:$Q$34,"&gt;="&amp;M1562),'FIRE TEX 5062'!$Q$3:$U$34,IF(L1562="F-15",2,IF(L1562="F-30",3,IF(L1562="F-60",4,IF(L1562="F-90",5,0)))),0),0)+IF(AND(O1562="FIRE TEX 5090",OR(E1562="IN",E1562="C",E1562="Z",E1562="L"),J1562=3),VLOOKUP(_xlfn.MINIFS('FIRE TEX 5090'!$B$5:$B$43,'FIRE TEX 5090'!$B$5:$B$43,"&gt;="&amp;M1562),'FIRE TEX 5090'!$B$5:$H$43,IF(L1562="F-15",2,IF(L1562="F-30",3,IF(L1562="F-60",4,IF(L1562="F-90",5,IF(L1562="F-120",6,IF(L1562="F-150",7,0)))))),0),0)+IF(AND(O1562="FIRE TEX 5090",OR(E1562="IN",E1562="C",E1562="Z",E1562="L"),J1562=4),VLOOKUP(_xlfn.MINIFS('FIRE TEX 5090'!$J$5:$J$43,'FIRE TEX 5090'!$J$5:$J$43,"&gt;="&amp;M1562),'FIRE TEX 5090'!$J$5:$P$43,IF(L1562="F-15",2,IF(L1562="F-30",3,IF(L1562="F-60",4,IF(L1562="F-90",5,IF(L1562="F-120",6,IF(L1562="F-150",7,0)))))),0),0)+IF(AND(O1562="FIRE TEX 5090",E1562="CJ",J1562=3),VLOOKUP(_xlfn.MINIFS('FIRE TEX 5090'!$R$5:$R$30,'FIRE TEX 5090'!$R$5:$R$30,"&gt;="&amp;M1562),'FIRE TEX 5090'!$R$5:$W$30,IF(L1562="F-15",2,IF(L1562="F-30",3,IF(L1562="F-60",4,IF(L1562="F-90",5,IF(L1562="F-120",6,IF(L1562="F-150",7,0)))))),0),0)+IF(AND(O1562="FIRE TEX 5090",E1562="CJ",J1562=4),VLOOKUP(_xlfn.MINIFS('FIRE TEX 5090'!$Y$5:$Y$39,'FIRE TEX 5090'!$Y$5:$Y$39,"&gt;="&amp;M1562),'FIRE TEX 5090'!$Y$5:$AD$39,IF(L1562="F-15",2,IF(L1562="F-30",3,IF(L1562="F-60",4,IF(L1562="F-90",5,IF(L1562="F-120",6,IF(L1562="F-150",7,0)))))),0),0)+IF(AND(O1562="FIRE TEX 5120",OR(E1562="IN",E1562="C",E1562="Z",E1562="L"),J1562=3),VLOOKUP(_xlfn.MINIFS('FIRE TEX 5120'!$B$5:$B$40,'FIRE TEX 5120'!$B$5:$B$40,"&gt;="&amp;M1562),'FIRE TEX 5120'!$B$5:$G$40,IF(L1562="F-15",2,IF(L1562="F-30",3,IF(L1562="F-60",4,IF(L1562="F-90",5,IF(L1562="F-120",6,0))))),0),0)+IF(AND(O1562="FIRE TEX 5120",OR(E1562="IN",E1562="C",E1562="Z",E1562="L"),J1562=4),VLOOKUP(_xlfn.MINIFS('FIRE TEX 5120'!$H$4:$H$40,'FIRE TEX 5120'!$H$4:$H$40,"&gt;="&amp;M1562),'FIRE TEX 5120'!$H$4:$M$40,IF(L1562="F-15",2,IF(L1562="F-30",3,IF(L1562="F-60",4,IF(L1562="F-90",5,IF(L1562="F-120",6,0))))),0),0)+IF(AND(O1562="FIRE TEX 5120",E1562="CJ"),VLOOKUP(_xlfn.MINIFS('FIRE TEX 5120'!$O$5:$O$40,'FIRE TEX 5120'!$O$5:$O$40,"&gt;="&amp;M1562),'FIRE TEX 5120'!$O$5:$T$40,IF(L1562="F-15",2,IF(L1562="F-30",3,IF(L1562="F-60",4,IF(L1562="F-90",5,IF(L1562="F-120",6,0))))),0),0)</f>
        <v>0</v>
      </c>
      <c r="Q1562" s="46">
        <f t="shared" si="139"/>
        <v>0</v>
      </c>
      <c r="R1562" s="46">
        <f t="shared" si="140"/>
        <v>0</v>
      </c>
      <c r="S1562" s="46" t="e">
        <f t="shared" si="141"/>
        <v>#VALUE!</v>
      </c>
      <c r="T1562" s="677">
        <f t="shared" si="142"/>
        <v>0</v>
      </c>
      <c r="U1562" s="80">
        <f>(IF(O1562="Stofire",(S1562*#REF!),0))+(IF(O1562="Fire Control",(S1562*$U$2),0))+(IF(O1562="Fire Tex",(S1562*$U$3),0))+(IF(O1562="WB7",(S1562*#REF!),0)+(IF(O1562="FX 2003",(S1562*$U$5),0)))</f>
        <v>0</v>
      </c>
      <c r="V1562" s="651">
        <f t="shared" si="143"/>
        <v>0</v>
      </c>
    </row>
    <row r="1563" spans="4:22" x14ac:dyDescent="0.25">
      <c r="D1563" s="118">
        <f>+CUBICACION!D1562</f>
        <v>0</v>
      </c>
      <c r="E1563" s="118">
        <f>+CUBICACION!F1562</f>
        <v>0</v>
      </c>
      <c r="F1563" s="118">
        <f>+CUBICACION!E1562</f>
        <v>0</v>
      </c>
      <c r="G1563" s="118">
        <v>12</v>
      </c>
      <c r="H1563" s="118">
        <v>2</v>
      </c>
      <c r="I1563" s="820">
        <v>26385</v>
      </c>
      <c r="J1563" s="118">
        <f>+CUBICACION!J1562</f>
        <v>0</v>
      </c>
      <c r="K1563" s="118">
        <v>4342</v>
      </c>
      <c r="L1563" s="118">
        <f>+CUBICACION!L1562</f>
        <v>0</v>
      </c>
      <c r="M1563" s="64">
        <f>+CUBICACION!M1562</f>
        <v>0</v>
      </c>
      <c r="N1563" s="824" t="str">
        <f>+CUBICACION!N1562</f>
        <v/>
      </c>
      <c r="O1563" s="675">
        <f>+CUBICACION!O1562</f>
        <v>0</v>
      </c>
      <c r="P1563" s="15">
        <f>IF(O1563="Fire Control",VLOOKUP(_xlfn.MINIFS('FIRE CONTROL'!$C$4:$C$37,'FIRE CONTROL'!$C$4:$C$37,"&gt;="&amp;M1563),'FIRE CONTROL'!$C$4:$G$37,IF(L1563="F-15",2,IF(L1563="F-30",3,IF(L1563="F-60",4,IF(L1563="F-90",5,0)))),0),0)+IF(AND(O1563="FIRE TEX 5062",OR(E1563="IN",E1563="C",E1563="Z",E1563="L"),J1563=3),VLOOKUP(_xlfn.MINIFS('FIRE TEX 5062'!$B$4:$B$34,'FIRE TEX 5062'!$B$4:$B$34,"&gt;="&amp;M1563),'FIRE TEX 5062'!$B$4:$F$34,IF(L1563="F-15",2,IF(L1563="F-30",3,IF(L1563="F-60",4,IF(L1563="F-90",5,0)))),0),0)+IF(AND(O1563="FIRE TEX 5062",OR(E1563="IN",E1563="C",E1563="Z",E1563="L"),J1563=4),VLOOKUP(_xlfn.MINIFS('FIRE TEX 5062'!$G$4:$G$34,'FIRE TEX 5062'!$G$4:$G$34,"&gt;="&amp;M1563),'FIRE TEX 5062'!$G$4:$K$34,IF(L1563="F-15",2,IF(L1563="F-30",3,IF(L1563="F-60",4,IF(L1563="F-90",5,0)))),0),0)+IF(AND(O1563="FIRE TEX 5062",E1563="CJ",J1563=3),VLOOKUP(_xlfn.MINIFS('FIRE TEX 5062'!$L$4:$L$34,'FIRE TEX 5062'!$L$4:$L$34,"&gt;="&amp;M1563),'FIRE TEX 5062'!$L$4:$P$34,IF(L1563="F-15",2,IF(L1563="F-30",3,IF(L1563="F-60",4,IF(L1563="F-90",5,0)))),0),0)+IF(AND(O1563="FIRE TEX 5062",E1563="CJ",J1563=4),VLOOKUP(_xlfn.MINIFS('FIRE TEX 5062'!$Q$3:$Q$34,'FIRE TEX 5062'!$Q$3:$Q$34,"&gt;="&amp;M1563),'FIRE TEX 5062'!$Q$3:$U$34,IF(L1563="F-15",2,IF(L1563="F-30",3,IF(L1563="F-60",4,IF(L1563="F-90",5,0)))),0),0)+IF(AND(O1563="FIRE TEX 5090",OR(E1563="IN",E1563="C",E1563="Z",E1563="L"),J1563=3),VLOOKUP(_xlfn.MINIFS('FIRE TEX 5090'!$B$5:$B$43,'FIRE TEX 5090'!$B$5:$B$43,"&gt;="&amp;M1563),'FIRE TEX 5090'!$B$5:$H$43,IF(L1563="F-15",2,IF(L1563="F-30",3,IF(L1563="F-60",4,IF(L1563="F-90",5,IF(L1563="F-120",6,IF(L1563="F-150",7,0)))))),0),0)+IF(AND(O1563="FIRE TEX 5090",OR(E1563="IN",E1563="C",E1563="Z",E1563="L"),J1563=4),VLOOKUP(_xlfn.MINIFS('FIRE TEX 5090'!$J$5:$J$43,'FIRE TEX 5090'!$J$5:$J$43,"&gt;="&amp;M1563),'FIRE TEX 5090'!$J$5:$P$43,IF(L1563="F-15",2,IF(L1563="F-30",3,IF(L1563="F-60",4,IF(L1563="F-90",5,IF(L1563="F-120",6,IF(L1563="F-150",7,0)))))),0),0)+IF(AND(O1563="FIRE TEX 5090",E1563="CJ",J1563=3),VLOOKUP(_xlfn.MINIFS('FIRE TEX 5090'!$R$5:$R$30,'FIRE TEX 5090'!$R$5:$R$30,"&gt;="&amp;M1563),'FIRE TEX 5090'!$R$5:$W$30,IF(L1563="F-15",2,IF(L1563="F-30",3,IF(L1563="F-60",4,IF(L1563="F-90",5,IF(L1563="F-120",6,IF(L1563="F-150",7,0)))))),0),0)+IF(AND(O1563="FIRE TEX 5090",E1563="CJ",J1563=4),VLOOKUP(_xlfn.MINIFS('FIRE TEX 5090'!$Y$5:$Y$39,'FIRE TEX 5090'!$Y$5:$Y$39,"&gt;="&amp;M1563),'FIRE TEX 5090'!$Y$5:$AD$39,IF(L1563="F-15",2,IF(L1563="F-30",3,IF(L1563="F-60",4,IF(L1563="F-90",5,IF(L1563="F-120",6,IF(L1563="F-150",7,0)))))),0),0)+IF(AND(O1563="FIRE TEX 5120",OR(E1563="IN",E1563="C",E1563="Z",E1563="L"),J1563=3),VLOOKUP(_xlfn.MINIFS('FIRE TEX 5120'!$B$5:$B$40,'FIRE TEX 5120'!$B$5:$B$40,"&gt;="&amp;M1563),'FIRE TEX 5120'!$B$5:$G$40,IF(L1563="F-15",2,IF(L1563="F-30",3,IF(L1563="F-60",4,IF(L1563="F-90",5,IF(L1563="F-120",6,0))))),0),0)+IF(AND(O1563="FIRE TEX 5120",OR(E1563="IN",E1563="C",E1563="Z",E1563="L"),J1563=4),VLOOKUP(_xlfn.MINIFS('FIRE TEX 5120'!$H$4:$H$40,'FIRE TEX 5120'!$H$4:$H$40,"&gt;="&amp;M1563),'FIRE TEX 5120'!$H$4:$M$40,IF(L1563="F-15",2,IF(L1563="F-30",3,IF(L1563="F-60",4,IF(L1563="F-90",5,IF(L1563="F-120",6,0))))),0),0)+IF(AND(O1563="FIRE TEX 5120",E1563="CJ"),VLOOKUP(_xlfn.MINIFS('FIRE TEX 5120'!$O$5:$O$40,'FIRE TEX 5120'!$O$5:$O$40,"&gt;="&amp;M1563),'FIRE TEX 5120'!$O$5:$T$40,IF(L1563="F-15",2,IF(L1563="F-30",3,IF(L1563="F-60",4,IF(L1563="F-90",5,IF(L1563="F-120",6,0))))),0),0)</f>
        <v>0</v>
      </c>
      <c r="Q1563" s="46">
        <f t="shared" si="139"/>
        <v>0</v>
      </c>
      <c r="R1563" s="46">
        <f t="shared" si="140"/>
        <v>0</v>
      </c>
      <c r="S1563" s="46" t="e">
        <f t="shared" si="141"/>
        <v>#VALUE!</v>
      </c>
      <c r="T1563" s="677">
        <f t="shared" si="142"/>
        <v>0</v>
      </c>
      <c r="U1563" s="80">
        <f>(IF(O1563="Stofire",(S1563*#REF!),0))+(IF(O1563="Fire Control",(S1563*$U$2),0))+(IF(O1563="Fire Tex",(S1563*$U$3),0))+(IF(O1563="WB7",(S1563*#REF!),0)+(IF(O1563="FX 2003",(S1563*$U$5),0)))</f>
        <v>0</v>
      </c>
      <c r="V1563" s="651">
        <f t="shared" si="143"/>
        <v>0</v>
      </c>
    </row>
    <row r="1564" spans="4:22" x14ac:dyDescent="0.25">
      <c r="D1564" s="118">
        <f>+CUBICACION!D1563</f>
        <v>0</v>
      </c>
      <c r="E1564" s="118">
        <f>+CUBICACION!F1563</f>
        <v>0</v>
      </c>
      <c r="F1564" s="118">
        <f>+CUBICACION!E1563</f>
        <v>0</v>
      </c>
      <c r="G1564" s="118">
        <v>12</v>
      </c>
      <c r="H1564" s="118">
        <v>2</v>
      </c>
      <c r="I1564" s="820">
        <v>26385</v>
      </c>
      <c r="J1564" s="118">
        <f>+CUBICACION!J1563</f>
        <v>0</v>
      </c>
      <c r="K1564" s="118">
        <v>4343</v>
      </c>
      <c r="L1564" s="118">
        <f>+CUBICACION!L1563</f>
        <v>0</v>
      </c>
      <c r="M1564" s="64">
        <f>+CUBICACION!M1563</f>
        <v>0</v>
      </c>
      <c r="N1564" s="824" t="str">
        <f>+CUBICACION!N1563</f>
        <v/>
      </c>
      <c r="O1564" s="675">
        <f>+CUBICACION!O1563</f>
        <v>0</v>
      </c>
      <c r="P1564" s="15">
        <f>IF(O1564="Fire Control",VLOOKUP(_xlfn.MINIFS('FIRE CONTROL'!$C$4:$C$37,'FIRE CONTROL'!$C$4:$C$37,"&gt;="&amp;M1564),'FIRE CONTROL'!$C$4:$G$37,IF(L1564="F-15",2,IF(L1564="F-30",3,IF(L1564="F-60",4,IF(L1564="F-90",5,0)))),0),0)+IF(AND(O1564="FIRE TEX 5062",OR(E1564="IN",E1564="C",E1564="Z",E1564="L"),J1564=3),VLOOKUP(_xlfn.MINIFS('FIRE TEX 5062'!$B$4:$B$34,'FIRE TEX 5062'!$B$4:$B$34,"&gt;="&amp;M1564),'FIRE TEX 5062'!$B$4:$F$34,IF(L1564="F-15",2,IF(L1564="F-30",3,IF(L1564="F-60",4,IF(L1564="F-90",5,0)))),0),0)+IF(AND(O1564="FIRE TEX 5062",OR(E1564="IN",E1564="C",E1564="Z",E1564="L"),J1564=4),VLOOKUP(_xlfn.MINIFS('FIRE TEX 5062'!$G$4:$G$34,'FIRE TEX 5062'!$G$4:$G$34,"&gt;="&amp;M1564),'FIRE TEX 5062'!$G$4:$K$34,IF(L1564="F-15",2,IF(L1564="F-30",3,IF(L1564="F-60",4,IF(L1564="F-90",5,0)))),0),0)+IF(AND(O1564="FIRE TEX 5062",E1564="CJ",J1564=3),VLOOKUP(_xlfn.MINIFS('FIRE TEX 5062'!$L$4:$L$34,'FIRE TEX 5062'!$L$4:$L$34,"&gt;="&amp;M1564),'FIRE TEX 5062'!$L$4:$P$34,IF(L1564="F-15",2,IF(L1564="F-30",3,IF(L1564="F-60",4,IF(L1564="F-90",5,0)))),0),0)+IF(AND(O1564="FIRE TEX 5062",E1564="CJ",J1564=4),VLOOKUP(_xlfn.MINIFS('FIRE TEX 5062'!$Q$3:$Q$34,'FIRE TEX 5062'!$Q$3:$Q$34,"&gt;="&amp;M1564),'FIRE TEX 5062'!$Q$3:$U$34,IF(L1564="F-15",2,IF(L1564="F-30",3,IF(L1564="F-60",4,IF(L1564="F-90",5,0)))),0),0)+IF(AND(O1564="FIRE TEX 5090",OR(E1564="IN",E1564="C",E1564="Z",E1564="L"),J1564=3),VLOOKUP(_xlfn.MINIFS('FIRE TEX 5090'!$B$5:$B$43,'FIRE TEX 5090'!$B$5:$B$43,"&gt;="&amp;M1564),'FIRE TEX 5090'!$B$5:$H$43,IF(L1564="F-15",2,IF(L1564="F-30",3,IF(L1564="F-60",4,IF(L1564="F-90",5,IF(L1564="F-120",6,IF(L1564="F-150",7,0)))))),0),0)+IF(AND(O1564="FIRE TEX 5090",OR(E1564="IN",E1564="C",E1564="Z",E1564="L"),J1564=4),VLOOKUP(_xlfn.MINIFS('FIRE TEX 5090'!$J$5:$J$43,'FIRE TEX 5090'!$J$5:$J$43,"&gt;="&amp;M1564),'FIRE TEX 5090'!$J$5:$P$43,IF(L1564="F-15",2,IF(L1564="F-30",3,IF(L1564="F-60",4,IF(L1564="F-90",5,IF(L1564="F-120",6,IF(L1564="F-150",7,0)))))),0),0)+IF(AND(O1564="FIRE TEX 5090",E1564="CJ",J1564=3),VLOOKUP(_xlfn.MINIFS('FIRE TEX 5090'!$R$5:$R$30,'FIRE TEX 5090'!$R$5:$R$30,"&gt;="&amp;M1564),'FIRE TEX 5090'!$R$5:$W$30,IF(L1564="F-15",2,IF(L1564="F-30",3,IF(L1564="F-60",4,IF(L1564="F-90",5,IF(L1564="F-120",6,IF(L1564="F-150",7,0)))))),0),0)+IF(AND(O1564="FIRE TEX 5090",E1564="CJ",J1564=4),VLOOKUP(_xlfn.MINIFS('FIRE TEX 5090'!$Y$5:$Y$39,'FIRE TEX 5090'!$Y$5:$Y$39,"&gt;="&amp;M1564),'FIRE TEX 5090'!$Y$5:$AD$39,IF(L1564="F-15",2,IF(L1564="F-30",3,IF(L1564="F-60",4,IF(L1564="F-90",5,IF(L1564="F-120",6,IF(L1564="F-150",7,0)))))),0),0)+IF(AND(O1564="FIRE TEX 5120",OR(E1564="IN",E1564="C",E1564="Z",E1564="L"),J1564=3),VLOOKUP(_xlfn.MINIFS('FIRE TEX 5120'!$B$5:$B$40,'FIRE TEX 5120'!$B$5:$B$40,"&gt;="&amp;M1564),'FIRE TEX 5120'!$B$5:$G$40,IF(L1564="F-15",2,IF(L1564="F-30",3,IF(L1564="F-60",4,IF(L1564="F-90",5,IF(L1564="F-120",6,0))))),0),0)+IF(AND(O1564="FIRE TEX 5120",OR(E1564="IN",E1564="C",E1564="Z",E1564="L"),J1564=4),VLOOKUP(_xlfn.MINIFS('FIRE TEX 5120'!$H$4:$H$40,'FIRE TEX 5120'!$H$4:$H$40,"&gt;="&amp;M1564),'FIRE TEX 5120'!$H$4:$M$40,IF(L1564="F-15",2,IF(L1564="F-30",3,IF(L1564="F-60",4,IF(L1564="F-90",5,IF(L1564="F-120",6,0))))),0),0)+IF(AND(O1564="FIRE TEX 5120",E1564="CJ"),VLOOKUP(_xlfn.MINIFS('FIRE TEX 5120'!$O$5:$O$40,'FIRE TEX 5120'!$O$5:$O$40,"&gt;="&amp;M1564),'FIRE TEX 5120'!$O$5:$T$40,IF(L1564="F-15",2,IF(L1564="F-30",3,IF(L1564="F-60",4,IF(L1564="F-90",5,IF(L1564="F-120",6,0))))),0),0)</f>
        <v>0</v>
      </c>
      <c r="Q1564" s="46">
        <f t="shared" si="139"/>
        <v>0</v>
      </c>
      <c r="R1564" s="46">
        <f t="shared" si="140"/>
        <v>0</v>
      </c>
      <c r="S1564" s="46" t="e">
        <f t="shared" si="141"/>
        <v>#VALUE!</v>
      </c>
      <c r="T1564" s="677">
        <f t="shared" si="142"/>
        <v>0</v>
      </c>
      <c r="U1564" s="80">
        <f>(IF(O1564="Stofire",(S1564*#REF!),0))+(IF(O1564="Fire Control",(S1564*$U$2),0))+(IF(O1564="Fire Tex",(S1564*$U$3),0))+(IF(O1564="WB7",(S1564*#REF!),0)+(IF(O1564="FX 2003",(S1564*$U$5),0)))</f>
        <v>0</v>
      </c>
      <c r="V1564" s="651">
        <f t="shared" si="143"/>
        <v>0</v>
      </c>
    </row>
    <row r="1565" spans="4:22" x14ac:dyDescent="0.25">
      <c r="D1565" s="118">
        <f>+CUBICACION!D1564</f>
        <v>0</v>
      </c>
      <c r="E1565" s="118">
        <f>+CUBICACION!F1564</f>
        <v>0</v>
      </c>
      <c r="F1565" s="118">
        <f>+CUBICACION!E1564</f>
        <v>0</v>
      </c>
      <c r="G1565" s="118">
        <v>12</v>
      </c>
      <c r="H1565" s="118">
        <v>2</v>
      </c>
      <c r="I1565" s="820">
        <v>26385</v>
      </c>
      <c r="J1565" s="118">
        <f>+CUBICACION!J1564</f>
        <v>0</v>
      </c>
      <c r="K1565" s="118">
        <v>4344</v>
      </c>
      <c r="L1565" s="118">
        <f>+CUBICACION!L1564</f>
        <v>0</v>
      </c>
      <c r="M1565" s="64">
        <f>+CUBICACION!M1564</f>
        <v>0</v>
      </c>
      <c r="N1565" s="824" t="str">
        <f>+CUBICACION!N1564</f>
        <v/>
      </c>
      <c r="O1565" s="675">
        <f>+CUBICACION!O1564</f>
        <v>0</v>
      </c>
      <c r="P1565" s="15">
        <f>IF(O1565="Fire Control",VLOOKUP(_xlfn.MINIFS('FIRE CONTROL'!$C$4:$C$37,'FIRE CONTROL'!$C$4:$C$37,"&gt;="&amp;M1565),'FIRE CONTROL'!$C$4:$G$37,IF(L1565="F-15",2,IF(L1565="F-30",3,IF(L1565="F-60",4,IF(L1565="F-90",5,0)))),0),0)+IF(AND(O1565="FIRE TEX 5062",OR(E1565="IN",E1565="C",E1565="Z",E1565="L"),J1565=3),VLOOKUP(_xlfn.MINIFS('FIRE TEX 5062'!$B$4:$B$34,'FIRE TEX 5062'!$B$4:$B$34,"&gt;="&amp;M1565),'FIRE TEX 5062'!$B$4:$F$34,IF(L1565="F-15",2,IF(L1565="F-30",3,IF(L1565="F-60",4,IF(L1565="F-90",5,0)))),0),0)+IF(AND(O1565="FIRE TEX 5062",OR(E1565="IN",E1565="C",E1565="Z",E1565="L"),J1565=4),VLOOKUP(_xlfn.MINIFS('FIRE TEX 5062'!$G$4:$G$34,'FIRE TEX 5062'!$G$4:$G$34,"&gt;="&amp;M1565),'FIRE TEX 5062'!$G$4:$K$34,IF(L1565="F-15",2,IF(L1565="F-30",3,IF(L1565="F-60",4,IF(L1565="F-90",5,0)))),0),0)+IF(AND(O1565="FIRE TEX 5062",E1565="CJ",J1565=3),VLOOKUP(_xlfn.MINIFS('FIRE TEX 5062'!$L$4:$L$34,'FIRE TEX 5062'!$L$4:$L$34,"&gt;="&amp;M1565),'FIRE TEX 5062'!$L$4:$P$34,IF(L1565="F-15",2,IF(L1565="F-30",3,IF(L1565="F-60",4,IF(L1565="F-90",5,0)))),0),0)+IF(AND(O1565="FIRE TEX 5062",E1565="CJ",J1565=4),VLOOKUP(_xlfn.MINIFS('FIRE TEX 5062'!$Q$3:$Q$34,'FIRE TEX 5062'!$Q$3:$Q$34,"&gt;="&amp;M1565),'FIRE TEX 5062'!$Q$3:$U$34,IF(L1565="F-15",2,IF(L1565="F-30",3,IF(L1565="F-60",4,IF(L1565="F-90",5,0)))),0),0)+IF(AND(O1565="FIRE TEX 5090",OR(E1565="IN",E1565="C",E1565="Z",E1565="L"),J1565=3),VLOOKUP(_xlfn.MINIFS('FIRE TEX 5090'!$B$5:$B$43,'FIRE TEX 5090'!$B$5:$B$43,"&gt;="&amp;M1565),'FIRE TEX 5090'!$B$5:$H$43,IF(L1565="F-15",2,IF(L1565="F-30",3,IF(L1565="F-60",4,IF(L1565="F-90",5,IF(L1565="F-120",6,IF(L1565="F-150",7,0)))))),0),0)+IF(AND(O1565="FIRE TEX 5090",OR(E1565="IN",E1565="C",E1565="Z",E1565="L"),J1565=4),VLOOKUP(_xlfn.MINIFS('FIRE TEX 5090'!$J$5:$J$43,'FIRE TEX 5090'!$J$5:$J$43,"&gt;="&amp;M1565),'FIRE TEX 5090'!$J$5:$P$43,IF(L1565="F-15",2,IF(L1565="F-30",3,IF(L1565="F-60",4,IF(L1565="F-90",5,IF(L1565="F-120",6,IF(L1565="F-150",7,0)))))),0),0)+IF(AND(O1565="FIRE TEX 5090",E1565="CJ",J1565=3),VLOOKUP(_xlfn.MINIFS('FIRE TEX 5090'!$R$5:$R$30,'FIRE TEX 5090'!$R$5:$R$30,"&gt;="&amp;M1565),'FIRE TEX 5090'!$R$5:$W$30,IF(L1565="F-15",2,IF(L1565="F-30",3,IF(L1565="F-60",4,IF(L1565="F-90",5,IF(L1565="F-120",6,IF(L1565="F-150",7,0)))))),0),0)+IF(AND(O1565="FIRE TEX 5090",E1565="CJ",J1565=4),VLOOKUP(_xlfn.MINIFS('FIRE TEX 5090'!$Y$5:$Y$39,'FIRE TEX 5090'!$Y$5:$Y$39,"&gt;="&amp;M1565),'FIRE TEX 5090'!$Y$5:$AD$39,IF(L1565="F-15",2,IF(L1565="F-30",3,IF(L1565="F-60",4,IF(L1565="F-90",5,IF(L1565="F-120",6,IF(L1565="F-150",7,0)))))),0),0)+IF(AND(O1565="FIRE TEX 5120",OR(E1565="IN",E1565="C",E1565="Z",E1565="L"),J1565=3),VLOOKUP(_xlfn.MINIFS('FIRE TEX 5120'!$B$5:$B$40,'FIRE TEX 5120'!$B$5:$B$40,"&gt;="&amp;M1565),'FIRE TEX 5120'!$B$5:$G$40,IF(L1565="F-15",2,IF(L1565="F-30",3,IF(L1565="F-60",4,IF(L1565="F-90",5,IF(L1565="F-120",6,0))))),0),0)+IF(AND(O1565="FIRE TEX 5120",OR(E1565="IN",E1565="C",E1565="Z",E1565="L"),J1565=4),VLOOKUP(_xlfn.MINIFS('FIRE TEX 5120'!$H$4:$H$40,'FIRE TEX 5120'!$H$4:$H$40,"&gt;="&amp;M1565),'FIRE TEX 5120'!$H$4:$M$40,IF(L1565="F-15",2,IF(L1565="F-30",3,IF(L1565="F-60",4,IF(L1565="F-90",5,IF(L1565="F-120",6,0))))),0),0)+IF(AND(O1565="FIRE TEX 5120",E1565="CJ"),VLOOKUP(_xlfn.MINIFS('FIRE TEX 5120'!$O$5:$O$40,'FIRE TEX 5120'!$O$5:$O$40,"&gt;="&amp;M1565),'FIRE TEX 5120'!$O$5:$T$40,IF(L1565="F-15",2,IF(L1565="F-30",3,IF(L1565="F-60",4,IF(L1565="F-90",5,IF(L1565="F-120",6,0))))),0),0)</f>
        <v>0</v>
      </c>
      <c r="Q1565" s="46">
        <f t="shared" si="139"/>
        <v>0</v>
      </c>
      <c r="R1565" s="46">
        <f t="shared" si="140"/>
        <v>0</v>
      </c>
      <c r="S1565" s="46" t="e">
        <f t="shared" si="141"/>
        <v>#VALUE!</v>
      </c>
      <c r="T1565" s="677">
        <f t="shared" si="142"/>
        <v>0</v>
      </c>
      <c r="U1565" s="80">
        <f>(IF(O1565="Stofire",(S1565*#REF!),0))+(IF(O1565="Fire Control",(S1565*$U$2),0))+(IF(O1565="Fire Tex",(S1565*$U$3),0))+(IF(O1565="WB7",(S1565*#REF!),0)+(IF(O1565="FX 2003",(S1565*$U$5),0)))</f>
        <v>0</v>
      </c>
      <c r="V1565" s="651">
        <f t="shared" si="143"/>
        <v>0</v>
      </c>
    </row>
    <row r="1566" spans="4:22" x14ac:dyDescent="0.25">
      <c r="D1566" s="118">
        <f>+CUBICACION!D1565</f>
        <v>0</v>
      </c>
      <c r="E1566" s="118">
        <f>+CUBICACION!F1565</f>
        <v>0</v>
      </c>
      <c r="F1566" s="118">
        <f>+CUBICACION!E1565</f>
        <v>0</v>
      </c>
      <c r="G1566" s="118">
        <v>12</v>
      </c>
      <c r="H1566" s="118">
        <v>2</v>
      </c>
      <c r="I1566" s="820">
        <v>26385</v>
      </c>
      <c r="J1566" s="118">
        <f>+CUBICACION!J1565</f>
        <v>0</v>
      </c>
      <c r="K1566" s="118">
        <v>4345</v>
      </c>
      <c r="L1566" s="118">
        <f>+CUBICACION!L1565</f>
        <v>0</v>
      </c>
      <c r="M1566" s="64">
        <f>+CUBICACION!M1565</f>
        <v>0</v>
      </c>
      <c r="N1566" s="824" t="str">
        <f>+CUBICACION!N1565</f>
        <v/>
      </c>
      <c r="O1566" s="675">
        <f>+CUBICACION!O1565</f>
        <v>0</v>
      </c>
      <c r="P1566" s="15">
        <f>IF(O1566="Fire Control",VLOOKUP(_xlfn.MINIFS('FIRE CONTROL'!$C$4:$C$37,'FIRE CONTROL'!$C$4:$C$37,"&gt;="&amp;M1566),'FIRE CONTROL'!$C$4:$G$37,IF(L1566="F-15",2,IF(L1566="F-30",3,IF(L1566="F-60",4,IF(L1566="F-90",5,0)))),0),0)+IF(AND(O1566="FIRE TEX 5062",OR(E1566="IN",E1566="C",E1566="Z",E1566="L"),J1566=3),VLOOKUP(_xlfn.MINIFS('FIRE TEX 5062'!$B$4:$B$34,'FIRE TEX 5062'!$B$4:$B$34,"&gt;="&amp;M1566),'FIRE TEX 5062'!$B$4:$F$34,IF(L1566="F-15",2,IF(L1566="F-30",3,IF(L1566="F-60",4,IF(L1566="F-90",5,0)))),0),0)+IF(AND(O1566="FIRE TEX 5062",OR(E1566="IN",E1566="C",E1566="Z",E1566="L"),J1566=4),VLOOKUP(_xlfn.MINIFS('FIRE TEX 5062'!$G$4:$G$34,'FIRE TEX 5062'!$G$4:$G$34,"&gt;="&amp;M1566),'FIRE TEX 5062'!$G$4:$K$34,IF(L1566="F-15",2,IF(L1566="F-30",3,IF(L1566="F-60",4,IF(L1566="F-90",5,0)))),0),0)+IF(AND(O1566="FIRE TEX 5062",E1566="CJ",J1566=3),VLOOKUP(_xlfn.MINIFS('FIRE TEX 5062'!$L$4:$L$34,'FIRE TEX 5062'!$L$4:$L$34,"&gt;="&amp;M1566),'FIRE TEX 5062'!$L$4:$P$34,IF(L1566="F-15",2,IF(L1566="F-30",3,IF(L1566="F-60",4,IF(L1566="F-90",5,0)))),0),0)+IF(AND(O1566="FIRE TEX 5062",E1566="CJ",J1566=4),VLOOKUP(_xlfn.MINIFS('FIRE TEX 5062'!$Q$3:$Q$34,'FIRE TEX 5062'!$Q$3:$Q$34,"&gt;="&amp;M1566),'FIRE TEX 5062'!$Q$3:$U$34,IF(L1566="F-15",2,IF(L1566="F-30",3,IF(L1566="F-60",4,IF(L1566="F-90",5,0)))),0),0)+IF(AND(O1566="FIRE TEX 5090",OR(E1566="IN",E1566="C",E1566="Z",E1566="L"),J1566=3),VLOOKUP(_xlfn.MINIFS('FIRE TEX 5090'!$B$5:$B$43,'FIRE TEX 5090'!$B$5:$B$43,"&gt;="&amp;M1566),'FIRE TEX 5090'!$B$5:$H$43,IF(L1566="F-15",2,IF(L1566="F-30",3,IF(L1566="F-60",4,IF(L1566="F-90",5,IF(L1566="F-120",6,IF(L1566="F-150",7,0)))))),0),0)+IF(AND(O1566="FIRE TEX 5090",OR(E1566="IN",E1566="C",E1566="Z",E1566="L"),J1566=4),VLOOKUP(_xlfn.MINIFS('FIRE TEX 5090'!$J$5:$J$43,'FIRE TEX 5090'!$J$5:$J$43,"&gt;="&amp;M1566),'FIRE TEX 5090'!$J$5:$P$43,IF(L1566="F-15",2,IF(L1566="F-30",3,IF(L1566="F-60",4,IF(L1566="F-90",5,IF(L1566="F-120",6,IF(L1566="F-150",7,0)))))),0),0)+IF(AND(O1566="FIRE TEX 5090",E1566="CJ",J1566=3),VLOOKUP(_xlfn.MINIFS('FIRE TEX 5090'!$R$5:$R$30,'FIRE TEX 5090'!$R$5:$R$30,"&gt;="&amp;M1566),'FIRE TEX 5090'!$R$5:$W$30,IF(L1566="F-15",2,IF(L1566="F-30",3,IF(L1566="F-60",4,IF(L1566="F-90",5,IF(L1566="F-120",6,IF(L1566="F-150",7,0)))))),0),0)+IF(AND(O1566="FIRE TEX 5090",E1566="CJ",J1566=4),VLOOKUP(_xlfn.MINIFS('FIRE TEX 5090'!$Y$5:$Y$39,'FIRE TEX 5090'!$Y$5:$Y$39,"&gt;="&amp;M1566),'FIRE TEX 5090'!$Y$5:$AD$39,IF(L1566="F-15",2,IF(L1566="F-30",3,IF(L1566="F-60",4,IF(L1566="F-90",5,IF(L1566="F-120",6,IF(L1566="F-150",7,0)))))),0),0)+IF(AND(O1566="FIRE TEX 5120",OR(E1566="IN",E1566="C",E1566="Z",E1566="L"),J1566=3),VLOOKUP(_xlfn.MINIFS('FIRE TEX 5120'!$B$5:$B$40,'FIRE TEX 5120'!$B$5:$B$40,"&gt;="&amp;M1566),'FIRE TEX 5120'!$B$5:$G$40,IF(L1566="F-15",2,IF(L1566="F-30",3,IF(L1566="F-60",4,IF(L1566="F-90",5,IF(L1566="F-120",6,0))))),0),0)+IF(AND(O1566="FIRE TEX 5120",OR(E1566="IN",E1566="C",E1566="Z",E1566="L"),J1566=4),VLOOKUP(_xlfn.MINIFS('FIRE TEX 5120'!$H$4:$H$40,'FIRE TEX 5120'!$H$4:$H$40,"&gt;="&amp;M1566),'FIRE TEX 5120'!$H$4:$M$40,IF(L1566="F-15",2,IF(L1566="F-30",3,IF(L1566="F-60",4,IF(L1566="F-90",5,IF(L1566="F-120",6,0))))),0),0)+IF(AND(O1566="FIRE TEX 5120",E1566="CJ"),VLOOKUP(_xlfn.MINIFS('FIRE TEX 5120'!$O$5:$O$40,'FIRE TEX 5120'!$O$5:$O$40,"&gt;="&amp;M1566),'FIRE TEX 5120'!$O$5:$T$40,IF(L1566="F-15",2,IF(L1566="F-30",3,IF(L1566="F-60",4,IF(L1566="F-90",5,IF(L1566="F-120",6,0))))),0),0)</f>
        <v>0</v>
      </c>
      <c r="Q1566" s="46">
        <f t="shared" si="139"/>
        <v>0</v>
      </c>
      <c r="R1566" s="46">
        <f t="shared" si="140"/>
        <v>0</v>
      </c>
      <c r="S1566" s="46" t="e">
        <f t="shared" si="141"/>
        <v>#VALUE!</v>
      </c>
      <c r="T1566" s="677">
        <f t="shared" si="142"/>
        <v>0</v>
      </c>
      <c r="U1566" s="80">
        <f>(IF(O1566="Stofire",(S1566*#REF!),0))+(IF(O1566="Fire Control",(S1566*$U$2),0))+(IF(O1566="Fire Tex",(S1566*$U$3),0))+(IF(O1566="WB7",(S1566*#REF!),0)+(IF(O1566="FX 2003",(S1566*$U$5),0)))</f>
        <v>0</v>
      </c>
      <c r="V1566" s="651">
        <f t="shared" si="143"/>
        <v>0</v>
      </c>
    </row>
    <row r="1567" spans="4:22" x14ac:dyDescent="0.25">
      <c r="D1567" s="118">
        <f>+CUBICACION!D1566</f>
        <v>0</v>
      </c>
      <c r="E1567" s="118">
        <f>+CUBICACION!F1566</f>
        <v>0</v>
      </c>
      <c r="F1567" s="118">
        <f>+CUBICACION!E1566</f>
        <v>0</v>
      </c>
      <c r="G1567" s="118">
        <v>12</v>
      </c>
      <c r="H1567" s="118">
        <v>2</v>
      </c>
      <c r="I1567" s="820">
        <v>26385</v>
      </c>
      <c r="J1567" s="118">
        <f>+CUBICACION!J1566</f>
        <v>0</v>
      </c>
      <c r="K1567" s="118">
        <v>4346</v>
      </c>
      <c r="L1567" s="118">
        <f>+CUBICACION!L1566</f>
        <v>0</v>
      </c>
      <c r="M1567" s="64">
        <f>+CUBICACION!M1566</f>
        <v>0</v>
      </c>
      <c r="N1567" s="824" t="str">
        <f>+CUBICACION!N1566</f>
        <v/>
      </c>
      <c r="O1567" s="675">
        <f>+CUBICACION!O1566</f>
        <v>0</v>
      </c>
      <c r="P1567" s="15">
        <f>IF(O1567="Fire Control",VLOOKUP(_xlfn.MINIFS('FIRE CONTROL'!$C$4:$C$37,'FIRE CONTROL'!$C$4:$C$37,"&gt;="&amp;M1567),'FIRE CONTROL'!$C$4:$G$37,IF(L1567="F-15",2,IF(L1567="F-30",3,IF(L1567="F-60",4,IF(L1567="F-90",5,0)))),0),0)+IF(AND(O1567="FIRE TEX 5062",OR(E1567="IN",E1567="C",E1567="Z",E1567="L"),J1567=3),VLOOKUP(_xlfn.MINIFS('FIRE TEX 5062'!$B$4:$B$34,'FIRE TEX 5062'!$B$4:$B$34,"&gt;="&amp;M1567),'FIRE TEX 5062'!$B$4:$F$34,IF(L1567="F-15",2,IF(L1567="F-30",3,IF(L1567="F-60",4,IF(L1567="F-90",5,0)))),0),0)+IF(AND(O1567="FIRE TEX 5062",OR(E1567="IN",E1567="C",E1567="Z",E1567="L"),J1567=4),VLOOKUP(_xlfn.MINIFS('FIRE TEX 5062'!$G$4:$G$34,'FIRE TEX 5062'!$G$4:$G$34,"&gt;="&amp;M1567),'FIRE TEX 5062'!$G$4:$K$34,IF(L1567="F-15",2,IF(L1567="F-30",3,IF(L1567="F-60",4,IF(L1567="F-90",5,0)))),0),0)+IF(AND(O1567="FIRE TEX 5062",E1567="CJ",J1567=3),VLOOKUP(_xlfn.MINIFS('FIRE TEX 5062'!$L$4:$L$34,'FIRE TEX 5062'!$L$4:$L$34,"&gt;="&amp;M1567),'FIRE TEX 5062'!$L$4:$P$34,IF(L1567="F-15",2,IF(L1567="F-30",3,IF(L1567="F-60",4,IF(L1567="F-90",5,0)))),0),0)+IF(AND(O1567="FIRE TEX 5062",E1567="CJ",J1567=4),VLOOKUP(_xlfn.MINIFS('FIRE TEX 5062'!$Q$3:$Q$34,'FIRE TEX 5062'!$Q$3:$Q$34,"&gt;="&amp;M1567),'FIRE TEX 5062'!$Q$3:$U$34,IF(L1567="F-15",2,IF(L1567="F-30",3,IF(L1567="F-60",4,IF(L1567="F-90",5,0)))),0),0)+IF(AND(O1567="FIRE TEX 5090",OR(E1567="IN",E1567="C",E1567="Z",E1567="L"),J1567=3),VLOOKUP(_xlfn.MINIFS('FIRE TEX 5090'!$B$5:$B$43,'FIRE TEX 5090'!$B$5:$B$43,"&gt;="&amp;M1567),'FIRE TEX 5090'!$B$5:$H$43,IF(L1567="F-15",2,IF(L1567="F-30",3,IF(L1567="F-60",4,IF(L1567="F-90",5,IF(L1567="F-120",6,IF(L1567="F-150",7,0)))))),0),0)+IF(AND(O1567="FIRE TEX 5090",OR(E1567="IN",E1567="C",E1567="Z",E1567="L"),J1567=4),VLOOKUP(_xlfn.MINIFS('FIRE TEX 5090'!$J$5:$J$43,'FIRE TEX 5090'!$J$5:$J$43,"&gt;="&amp;M1567),'FIRE TEX 5090'!$J$5:$P$43,IF(L1567="F-15",2,IF(L1567="F-30",3,IF(L1567="F-60",4,IF(L1567="F-90",5,IF(L1567="F-120",6,IF(L1567="F-150",7,0)))))),0),0)+IF(AND(O1567="FIRE TEX 5090",E1567="CJ",J1567=3),VLOOKUP(_xlfn.MINIFS('FIRE TEX 5090'!$R$5:$R$30,'FIRE TEX 5090'!$R$5:$R$30,"&gt;="&amp;M1567),'FIRE TEX 5090'!$R$5:$W$30,IF(L1567="F-15",2,IF(L1567="F-30",3,IF(L1567="F-60",4,IF(L1567="F-90",5,IF(L1567="F-120",6,IF(L1567="F-150",7,0)))))),0),0)+IF(AND(O1567="FIRE TEX 5090",E1567="CJ",J1567=4),VLOOKUP(_xlfn.MINIFS('FIRE TEX 5090'!$Y$5:$Y$39,'FIRE TEX 5090'!$Y$5:$Y$39,"&gt;="&amp;M1567),'FIRE TEX 5090'!$Y$5:$AD$39,IF(L1567="F-15",2,IF(L1567="F-30",3,IF(L1567="F-60",4,IF(L1567="F-90",5,IF(L1567="F-120",6,IF(L1567="F-150",7,0)))))),0),0)+IF(AND(O1567="FIRE TEX 5120",OR(E1567="IN",E1567="C",E1567="Z",E1567="L"),J1567=3),VLOOKUP(_xlfn.MINIFS('FIRE TEX 5120'!$B$5:$B$40,'FIRE TEX 5120'!$B$5:$B$40,"&gt;="&amp;M1567),'FIRE TEX 5120'!$B$5:$G$40,IF(L1567="F-15",2,IF(L1567="F-30",3,IF(L1567="F-60",4,IF(L1567="F-90",5,IF(L1567="F-120",6,0))))),0),0)+IF(AND(O1567="FIRE TEX 5120",OR(E1567="IN",E1567="C",E1567="Z",E1567="L"),J1567=4),VLOOKUP(_xlfn.MINIFS('FIRE TEX 5120'!$H$4:$H$40,'FIRE TEX 5120'!$H$4:$H$40,"&gt;="&amp;M1567),'FIRE TEX 5120'!$H$4:$M$40,IF(L1567="F-15",2,IF(L1567="F-30",3,IF(L1567="F-60",4,IF(L1567="F-90",5,IF(L1567="F-120",6,0))))),0),0)+IF(AND(O1567="FIRE TEX 5120",E1567="CJ"),VLOOKUP(_xlfn.MINIFS('FIRE TEX 5120'!$O$5:$O$40,'FIRE TEX 5120'!$O$5:$O$40,"&gt;="&amp;M1567),'FIRE TEX 5120'!$O$5:$T$40,IF(L1567="F-15",2,IF(L1567="F-30",3,IF(L1567="F-60",4,IF(L1567="F-90",5,IF(L1567="F-120",6,0))))),0),0)</f>
        <v>0</v>
      </c>
      <c r="Q1567" s="46">
        <f t="shared" si="139"/>
        <v>0</v>
      </c>
      <c r="R1567" s="46">
        <f t="shared" si="140"/>
        <v>0</v>
      </c>
      <c r="S1567" s="46" t="e">
        <f t="shared" si="141"/>
        <v>#VALUE!</v>
      </c>
      <c r="T1567" s="677">
        <f t="shared" si="142"/>
        <v>0</v>
      </c>
      <c r="U1567" s="80">
        <f>(IF(O1567="Stofire",(S1567*#REF!),0))+(IF(O1567="Fire Control",(S1567*$U$2),0))+(IF(O1567="Fire Tex",(S1567*$U$3),0))+(IF(O1567="WB7",(S1567*#REF!),0)+(IF(O1567="FX 2003",(S1567*$U$5),0)))</f>
        <v>0</v>
      </c>
      <c r="V1567" s="651">
        <f t="shared" si="143"/>
        <v>0</v>
      </c>
    </row>
    <row r="1568" spans="4:22" x14ac:dyDescent="0.25">
      <c r="D1568" s="118">
        <f>+CUBICACION!D1567</f>
        <v>0</v>
      </c>
      <c r="E1568" s="118">
        <f>+CUBICACION!F1567</f>
        <v>0</v>
      </c>
      <c r="F1568" s="118">
        <f>+CUBICACION!E1567</f>
        <v>0</v>
      </c>
      <c r="G1568" s="118">
        <v>12</v>
      </c>
      <c r="H1568" s="118">
        <v>2</v>
      </c>
      <c r="I1568" s="820">
        <v>26385</v>
      </c>
      <c r="J1568" s="118">
        <f>+CUBICACION!J1567</f>
        <v>0</v>
      </c>
      <c r="K1568" s="118">
        <v>4347</v>
      </c>
      <c r="L1568" s="118">
        <f>+CUBICACION!L1567</f>
        <v>0</v>
      </c>
      <c r="M1568" s="64">
        <f>+CUBICACION!M1567</f>
        <v>0</v>
      </c>
      <c r="N1568" s="824" t="str">
        <f>+CUBICACION!N1567</f>
        <v/>
      </c>
      <c r="O1568" s="675">
        <f>+CUBICACION!O1567</f>
        <v>0</v>
      </c>
      <c r="P1568" s="15">
        <f>IF(O1568="Fire Control",VLOOKUP(_xlfn.MINIFS('FIRE CONTROL'!$C$4:$C$37,'FIRE CONTROL'!$C$4:$C$37,"&gt;="&amp;M1568),'FIRE CONTROL'!$C$4:$G$37,IF(L1568="F-15",2,IF(L1568="F-30",3,IF(L1568="F-60",4,IF(L1568="F-90",5,0)))),0),0)+IF(AND(O1568="FIRE TEX 5062",OR(E1568="IN",E1568="C",E1568="Z",E1568="L"),J1568=3),VLOOKUP(_xlfn.MINIFS('FIRE TEX 5062'!$B$4:$B$34,'FIRE TEX 5062'!$B$4:$B$34,"&gt;="&amp;M1568),'FIRE TEX 5062'!$B$4:$F$34,IF(L1568="F-15",2,IF(L1568="F-30",3,IF(L1568="F-60",4,IF(L1568="F-90",5,0)))),0),0)+IF(AND(O1568="FIRE TEX 5062",OR(E1568="IN",E1568="C",E1568="Z",E1568="L"),J1568=4),VLOOKUP(_xlfn.MINIFS('FIRE TEX 5062'!$G$4:$G$34,'FIRE TEX 5062'!$G$4:$G$34,"&gt;="&amp;M1568),'FIRE TEX 5062'!$G$4:$K$34,IF(L1568="F-15",2,IF(L1568="F-30",3,IF(L1568="F-60",4,IF(L1568="F-90",5,0)))),0),0)+IF(AND(O1568="FIRE TEX 5062",E1568="CJ",J1568=3),VLOOKUP(_xlfn.MINIFS('FIRE TEX 5062'!$L$4:$L$34,'FIRE TEX 5062'!$L$4:$L$34,"&gt;="&amp;M1568),'FIRE TEX 5062'!$L$4:$P$34,IF(L1568="F-15",2,IF(L1568="F-30",3,IF(L1568="F-60",4,IF(L1568="F-90",5,0)))),0),0)+IF(AND(O1568="FIRE TEX 5062",E1568="CJ",J1568=4),VLOOKUP(_xlfn.MINIFS('FIRE TEX 5062'!$Q$3:$Q$34,'FIRE TEX 5062'!$Q$3:$Q$34,"&gt;="&amp;M1568),'FIRE TEX 5062'!$Q$3:$U$34,IF(L1568="F-15",2,IF(L1568="F-30",3,IF(L1568="F-60",4,IF(L1568="F-90",5,0)))),0),0)+IF(AND(O1568="FIRE TEX 5090",OR(E1568="IN",E1568="C",E1568="Z",E1568="L"),J1568=3),VLOOKUP(_xlfn.MINIFS('FIRE TEX 5090'!$B$5:$B$43,'FIRE TEX 5090'!$B$5:$B$43,"&gt;="&amp;M1568),'FIRE TEX 5090'!$B$5:$H$43,IF(L1568="F-15",2,IF(L1568="F-30",3,IF(L1568="F-60",4,IF(L1568="F-90",5,IF(L1568="F-120",6,IF(L1568="F-150",7,0)))))),0),0)+IF(AND(O1568="FIRE TEX 5090",OR(E1568="IN",E1568="C",E1568="Z",E1568="L"),J1568=4),VLOOKUP(_xlfn.MINIFS('FIRE TEX 5090'!$J$5:$J$43,'FIRE TEX 5090'!$J$5:$J$43,"&gt;="&amp;M1568),'FIRE TEX 5090'!$J$5:$P$43,IF(L1568="F-15",2,IF(L1568="F-30",3,IF(L1568="F-60",4,IF(L1568="F-90",5,IF(L1568="F-120",6,IF(L1568="F-150",7,0)))))),0),0)+IF(AND(O1568="FIRE TEX 5090",E1568="CJ",J1568=3),VLOOKUP(_xlfn.MINIFS('FIRE TEX 5090'!$R$5:$R$30,'FIRE TEX 5090'!$R$5:$R$30,"&gt;="&amp;M1568),'FIRE TEX 5090'!$R$5:$W$30,IF(L1568="F-15",2,IF(L1568="F-30",3,IF(L1568="F-60",4,IF(L1568="F-90",5,IF(L1568="F-120",6,IF(L1568="F-150",7,0)))))),0),0)+IF(AND(O1568="FIRE TEX 5090",E1568="CJ",J1568=4),VLOOKUP(_xlfn.MINIFS('FIRE TEX 5090'!$Y$5:$Y$39,'FIRE TEX 5090'!$Y$5:$Y$39,"&gt;="&amp;M1568),'FIRE TEX 5090'!$Y$5:$AD$39,IF(L1568="F-15",2,IF(L1568="F-30",3,IF(L1568="F-60",4,IF(L1568="F-90",5,IF(L1568="F-120",6,IF(L1568="F-150",7,0)))))),0),0)+IF(AND(O1568="FIRE TEX 5120",OR(E1568="IN",E1568="C",E1568="Z",E1568="L"),J1568=3),VLOOKUP(_xlfn.MINIFS('FIRE TEX 5120'!$B$5:$B$40,'FIRE TEX 5120'!$B$5:$B$40,"&gt;="&amp;M1568),'FIRE TEX 5120'!$B$5:$G$40,IF(L1568="F-15",2,IF(L1568="F-30",3,IF(L1568="F-60",4,IF(L1568="F-90",5,IF(L1568="F-120",6,0))))),0),0)+IF(AND(O1568="FIRE TEX 5120",OR(E1568="IN",E1568="C",E1568="Z",E1568="L"),J1568=4),VLOOKUP(_xlfn.MINIFS('FIRE TEX 5120'!$H$4:$H$40,'FIRE TEX 5120'!$H$4:$H$40,"&gt;="&amp;M1568),'FIRE TEX 5120'!$H$4:$M$40,IF(L1568="F-15",2,IF(L1568="F-30",3,IF(L1568="F-60",4,IF(L1568="F-90",5,IF(L1568="F-120",6,0))))),0),0)+IF(AND(O1568="FIRE TEX 5120",E1568="CJ"),VLOOKUP(_xlfn.MINIFS('FIRE TEX 5120'!$O$5:$O$40,'FIRE TEX 5120'!$O$5:$O$40,"&gt;="&amp;M1568),'FIRE TEX 5120'!$O$5:$T$40,IF(L1568="F-15",2,IF(L1568="F-30",3,IF(L1568="F-60",4,IF(L1568="F-90",5,IF(L1568="F-120",6,0))))),0),0)</f>
        <v>0</v>
      </c>
      <c r="Q1568" s="46">
        <f t="shared" si="139"/>
        <v>0</v>
      </c>
      <c r="R1568" s="46">
        <f t="shared" si="140"/>
        <v>0</v>
      </c>
      <c r="S1568" s="46" t="e">
        <f t="shared" si="141"/>
        <v>#VALUE!</v>
      </c>
      <c r="T1568" s="677">
        <f t="shared" si="142"/>
        <v>0</v>
      </c>
      <c r="U1568" s="80">
        <f>(IF(O1568="Stofire",(S1568*#REF!),0))+(IF(O1568="Fire Control",(S1568*$U$2),0))+(IF(O1568="Fire Tex",(S1568*$U$3),0))+(IF(O1568="WB7",(S1568*#REF!),0)+(IF(O1568="FX 2003",(S1568*$U$5),0)))</f>
        <v>0</v>
      </c>
      <c r="V1568" s="651">
        <f t="shared" si="143"/>
        <v>0</v>
      </c>
    </row>
    <row r="1569" spans="4:22" x14ac:dyDescent="0.25">
      <c r="D1569" s="118">
        <f>+CUBICACION!D1568</f>
        <v>0</v>
      </c>
      <c r="E1569" s="118">
        <f>+CUBICACION!F1568</f>
        <v>0</v>
      </c>
      <c r="F1569" s="118">
        <f>+CUBICACION!E1568</f>
        <v>0</v>
      </c>
      <c r="G1569" s="118">
        <v>12</v>
      </c>
      <c r="H1569" s="118">
        <v>2</v>
      </c>
      <c r="I1569" s="820">
        <v>26385</v>
      </c>
      <c r="J1569" s="118">
        <f>+CUBICACION!J1568</f>
        <v>0</v>
      </c>
      <c r="K1569" s="118">
        <v>4348</v>
      </c>
      <c r="L1569" s="118">
        <f>+CUBICACION!L1568</f>
        <v>0</v>
      </c>
      <c r="M1569" s="64">
        <f>+CUBICACION!M1568</f>
        <v>0</v>
      </c>
      <c r="N1569" s="824" t="str">
        <f>+CUBICACION!N1568</f>
        <v/>
      </c>
      <c r="O1569" s="675">
        <f>+CUBICACION!O1568</f>
        <v>0</v>
      </c>
      <c r="P1569" s="15">
        <f>IF(O1569="Fire Control",VLOOKUP(_xlfn.MINIFS('FIRE CONTROL'!$C$4:$C$37,'FIRE CONTROL'!$C$4:$C$37,"&gt;="&amp;M1569),'FIRE CONTROL'!$C$4:$G$37,IF(L1569="F-15",2,IF(L1569="F-30",3,IF(L1569="F-60",4,IF(L1569="F-90",5,0)))),0),0)+IF(AND(O1569="FIRE TEX 5062",OR(E1569="IN",E1569="C",E1569="Z",E1569="L"),J1569=3),VLOOKUP(_xlfn.MINIFS('FIRE TEX 5062'!$B$4:$B$34,'FIRE TEX 5062'!$B$4:$B$34,"&gt;="&amp;M1569),'FIRE TEX 5062'!$B$4:$F$34,IF(L1569="F-15",2,IF(L1569="F-30",3,IF(L1569="F-60",4,IF(L1569="F-90",5,0)))),0),0)+IF(AND(O1569="FIRE TEX 5062",OR(E1569="IN",E1569="C",E1569="Z",E1569="L"),J1569=4),VLOOKUP(_xlfn.MINIFS('FIRE TEX 5062'!$G$4:$G$34,'FIRE TEX 5062'!$G$4:$G$34,"&gt;="&amp;M1569),'FIRE TEX 5062'!$G$4:$K$34,IF(L1569="F-15",2,IF(L1569="F-30",3,IF(L1569="F-60",4,IF(L1569="F-90",5,0)))),0),0)+IF(AND(O1569="FIRE TEX 5062",E1569="CJ",J1569=3),VLOOKUP(_xlfn.MINIFS('FIRE TEX 5062'!$L$4:$L$34,'FIRE TEX 5062'!$L$4:$L$34,"&gt;="&amp;M1569),'FIRE TEX 5062'!$L$4:$P$34,IF(L1569="F-15",2,IF(L1569="F-30",3,IF(L1569="F-60",4,IF(L1569="F-90",5,0)))),0),0)+IF(AND(O1569="FIRE TEX 5062",E1569="CJ",J1569=4),VLOOKUP(_xlfn.MINIFS('FIRE TEX 5062'!$Q$3:$Q$34,'FIRE TEX 5062'!$Q$3:$Q$34,"&gt;="&amp;M1569),'FIRE TEX 5062'!$Q$3:$U$34,IF(L1569="F-15",2,IF(L1569="F-30",3,IF(L1569="F-60",4,IF(L1569="F-90",5,0)))),0),0)+IF(AND(O1569="FIRE TEX 5090",OR(E1569="IN",E1569="C",E1569="Z",E1569="L"),J1569=3),VLOOKUP(_xlfn.MINIFS('FIRE TEX 5090'!$B$5:$B$43,'FIRE TEX 5090'!$B$5:$B$43,"&gt;="&amp;M1569),'FIRE TEX 5090'!$B$5:$H$43,IF(L1569="F-15",2,IF(L1569="F-30",3,IF(L1569="F-60",4,IF(L1569="F-90",5,IF(L1569="F-120",6,IF(L1569="F-150",7,0)))))),0),0)+IF(AND(O1569="FIRE TEX 5090",OR(E1569="IN",E1569="C",E1569="Z",E1569="L"),J1569=4),VLOOKUP(_xlfn.MINIFS('FIRE TEX 5090'!$J$5:$J$43,'FIRE TEX 5090'!$J$5:$J$43,"&gt;="&amp;M1569),'FIRE TEX 5090'!$J$5:$P$43,IF(L1569="F-15",2,IF(L1569="F-30",3,IF(L1569="F-60",4,IF(L1569="F-90",5,IF(L1569="F-120",6,IF(L1569="F-150",7,0)))))),0),0)+IF(AND(O1569="FIRE TEX 5090",E1569="CJ",J1569=3),VLOOKUP(_xlfn.MINIFS('FIRE TEX 5090'!$R$5:$R$30,'FIRE TEX 5090'!$R$5:$R$30,"&gt;="&amp;M1569),'FIRE TEX 5090'!$R$5:$W$30,IF(L1569="F-15",2,IF(L1569="F-30",3,IF(L1569="F-60",4,IF(L1569="F-90",5,IF(L1569="F-120",6,IF(L1569="F-150",7,0)))))),0),0)+IF(AND(O1569="FIRE TEX 5090",E1569="CJ",J1569=4),VLOOKUP(_xlfn.MINIFS('FIRE TEX 5090'!$Y$5:$Y$39,'FIRE TEX 5090'!$Y$5:$Y$39,"&gt;="&amp;M1569),'FIRE TEX 5090'!$Y$5:$AD$39,IF(L1569="F-15",2,IF(L1569="F-30",3,IF(L1569="F-60",4,IF(L1569="F-90",5,IF(L1569="F-120",6,IF(L1569="F-150",7,0)))))),0),0)+IF(AND(O1569="FIRE TEX 5120",OR(E1569="IN",E1569="C",E1569="Z",E1569="L"),J1569=3),VLOOKUP(_xlfn.MINIFS('FIRE TEX 5120'!$B$5:$B$40,'FIRE TEX 5120'!$B$5:$B$40,"&gt;="&amp;M1569),'FIRE TEX 5120'!$B$5:$G$40,IF(L1569="F-15",2,IF(L1569="F-30",3,IF(L1569="F-60",4,IF(L1569="F-90",5,IF(L1569="F-120",6,0))))),0),0)+IF(AND(O1569="FIRE TEX 5120",OR(E1569="IN",E1569="C",E1569="Z",E1569="L"),J1569=4),VLOOKUP(_xlfn.MINIFS('FIRE TEX 5120'!$H$4:$H$40,'FIRE TEX 5120'!$H$4:$H$40,"&gt;="&amp;M1569),'FIRE TEX 5120'!$H$4:$M$40,IF(L1569="F-15",2,IF(L1569="F-30",3,IF(L1569="F-60",4,IF(L1569="F-90",5,IF(L1569="F-120",6,0))))),0),0)+IF(AND(O1569="FIRE TEX 5120",E1569="CJ"),VLOOKUP(_xlfn.MINIFS('FIRE TEX 5120'!$O$5:$O$40,'FIRE TEX 5120'!$O$5:$O$40,"&gt;="&amp;M1569),'FIRE TEX 5120'!$O$5:$T$40,IF(L1569="F-15",2,IF(L1569="F-30",3,IF(L1569="F-60",4,IF(L1569="F-90",5,IF(L1569="F-120",6,0))))),0),0)</f>
        <v>0</v>
      </c>
      <c r="Q1569" s="46">
        <f t="shared" si="139"/>
        <v>0</v>
      </c>
      <c r="R1569" s="46">
        <f t="shared" si="140"/>
        <v>0</v>
      </c>
      <c r="S1569" s="46" t="e">
        <f t="shared" si="141"/>
        <v>#VALUE!</v>
      </c>
      <c r="T1569" s="677">
        <f t="shared" si="142"/>
        <v>0</v>
      </c>
      <c r="U1569" s="80">
        <f>(IF(O1569="Stofire",(S1569*#REF!),0))+(IF(O1569="Fire Control",(S1569*$U$2),0))+(IF(O1569="Fire Tex",(S1569*$U$3),0))+(IF(O1569="WB7",(S1569*#REF!),0)+(IF(O1569="FX 2003",(S1569*$U$5),0)))</f>
        <v>0</v>
      </c>
      <c r="V1569" s="651">
        <f t="shared" si="143"/>
        <v>0</v>
      </c>
    </row>
    <row r="1570" spans="4:22" x14ac:dyDescent="0.25">
      <c r="D1570" s="118">
        <f>+CUBICACION!D1569</f>
        <v>0</v>
      </c>
      <c r="E1570" s="118">
        <f>+CUBICACION!F1569</f>
        <v>0</v>
      </c>
      <c r="F1570" s="118">
        <f>+CUBICACION!E1569</f>
        <v>0</v>
      </c>
      <c r="G1570" s="118">
        <v>12</v>
      </c>
      <c r="H1570" s="118">
        <v>2</v>
      </c>
      <c r="I1570" s="820">
        <v>26385</v>
      </c>
      <c r="J1570" s="118">
        <f>+CUBICACION!J1569</f>
        <v>0</v>
      </c>
      <c r="K1570" s="118">
        <v>4349</v>
      </c>
      <c r="L1570" s="118">
        <f>+CUBICACION!L1569</f>
        <v>0</v>
      </c>
      <c r="M1570" s="64">
        <f>+CUBICACION!M1569</f>
        <v>0</v>
      </c>
      <c r="N1570" s="824" t="str">
        <f>+CUBICACION!N1569</f>
        <v/>
      </c>
      <c r="O1570" s="675">
        <f>+CUBICACION!O1569</f>
        <v>0</v>
      </c>
      <c r="P1570" s="15">
        <f>IF(O1570="Fire Control",VLOOKUP(_xlfn.MINIFS('FIRE CONTROL'!$C$4:$C$37,'FIRE CONTROL'!$C$4:$C$37,"&gt;="&amp;M1570),'FIRE CONTROL'!$C$4:$G$37,IF(L1570="F-15",2,IF(L1570="F-30",3,IF(L1570="F-60",4,IF(L1570="F-90",5,0)))),0),0)+IF(AND(O1570="FIRE TEX 5062",OR(E1570="IN",E1570="C",E1570="Z",E1570="L"),J1570=3),VLOOKUP(_xlfn.MINIFS('FIRE TEX 5062'!$B$4:$B$34,'FIRE TEX 5062'!$B$4:$B$34,"&gt;="&amp;M1570),'FIRE TEX 5062'!$B$4:$F$34,IF(L1570="F-15",2,IF(L1570="F-30",3,IF(L1570="F-60",4,IF(L1570="F-90",5,0)))),0),0)+IF(AND(O1570="FIRE TEX 5062",OR(E1570="IN",E1570="C",E1570="Z",E1570="L"),J1570=4),VLOOKUP(_xlfn.MINIFS('FIRE TEX 5062'!$G$4:$G$34,'FIRE TEX 5062'!$G$4:$G$34,"&gt;="&amp;M1570),'FIRE TEX 5062'!$G$4:$K$34,IF(L1570="F-15",2,IF(L1570="F-30",3,IF(L1570="F-60",4,IF(L1570="F-90",5,0)))),0),0)+IF(AND(O1570="FIRE TEX 5062",E1570="CJ",J1570=3),VLOOKUP(_xlfn.MINIFS('FIRE TEX 5062'!$L$4:$L$34,'FIRE TEX 5062'!$L$4:$L$34,"&gt;="&amp;M1570),'FIRE TEX 5062'!$L$4:$P$34,IF(L1570="F-15",2,IF(L1570="F-30",3,IF(L1570="F-60",4,IF(L1570="F-90",5,0)))),0),0)+IF(AND(O1570="FIRE TEX 5062",E1570="CJ",J1570=4),VLOOKUP(_xlfn.MINIFS('FIRE TEX 5062'!$Q$3:$Q$34,'FIRE TEX 5062'!$Q$3:$Q$34,"&gt;="&amp;M1570),'FIRE TEX 5062'!$Q$3:$U$34,IF(L1570="F-15",2,IF(L1570="F-30",3,IF(L1570="F-60",4,IF(L1570="F-90",5,0)))),0),0)+IF(AND(O1570="FIRE TEX 5090",OR(E1570="IN",E1570="C",E1570="Z",E1570="L"),J1570=3),VLOOKUP(_xlfn.MINIFS('FIRE TEX 5090'!$B$5:$B$43,'FIRE TEX 5090'!$B$5:$B$43,"&gt;="&amp;M1570),'FIRE TEX 5090'!$B$5:$H$43,IF(L1570="F-15",2,IF(L1570="F-30",3,IF(L1570="F-60",4,IF(L1570="F-90",5,IF(L1570="F-120",6,IF(L1570="F-150",7,0)))))),0),0)+IF(AND(O1570="FIRE TEX 5090",OR(E1570="IN",E1570="C",E1570="Z",E1570="L"),J1570=4),VLOOKUP(_xlfn.MINIFS('FIRE TEX 5090'!$J$5:$J$43,'FIRE TEX 5090'!$J$5:$J$43,"&gt;="&amp;M1570),'FIRE TEX 5090'!$J$5:$P$43,IF(L1570="F-15",2,IF(L1570="F-30",3,IF(L1570="F-60",4,IF(L1570="F-90",5,IF(L1570="F-120",6,IF(L1570="F-150",7,0)))))),0),0)+IF(AND(O1570="FIRE TEX 5090",E1570="CJ",J1570=3),VLOOKUP(_xlfn.MINIFS('FIRE TEX 5090'!$R$5:$R$30,'FIRE TEX 5090'!$R$5:$R$30,"&gt;="&amp;M1570),'FIRE TEX 5090'!$R$5:$W$30,IF(L1570="F-15",2,IF(L1570="F-30",3,IF(L1570="F-60",4,IF(L1570="F-90",5,IF(L1570="F-120",6,IF(L1570="F-150",7,0)))))),0),0)+IF(AND(O1570="FIRE TEX 5090",E1570="CJ",J1570=4),VLOOKUP(_xlfn.MINIFS('FIRE TEX 5090'!$Y$5:$Y$39,'FIRE TEX 5090'!$Y$5:$Y$39,"&gt;="&amp;M1570),'FIRE TEX 5090'!$Y$5:$AD$39,IF(L1570="F-15",2,IF(L1570="F-30",3,IF(L1570="F-60",4,IF(L1570="F-90",5,IF(L1570="F-120",6,IF(L1570="F-150",7,0)))))),0),0)+IF(AND(O1570="FIRE TEX 5120",OR(E1570="IN",E1570="C",E1570="Z",E1570="L"),J1570=3),VLOOKUP(_xlfn.MINIFS('FIRE TEX 5120'!$B$5:$B$40,'FIRE TEX 5120'!$B$5:$B$40,"&gt;="&amp;M1570),'FIRE TEX 5120'!$B$5:$G$40,IF(L1570="F-15",2,IF(L1570="F-30",3,IF(L1570="F-60",4,IF(L1570="F-90",5,IF(L1570="F-120",6,0))))),0),0)+IF(AND(O1570="FIRE TEX 5120",OR(E1570="IN",E1570="C",E1570="Z",E1570="L"),J1570=4),VLOOKUP(_xlfn.MINIFS('FIRE TEX 5120'!$H$4:$H$40,'FIRE TEX 5120'!$H$4:$H$40,"&gt;="&amp;M1570),'FIRE TEX 5120'!$H$4:$M$40,IF(L1570="F-15",2,IF(L1570="F-30",3,IF(L1570="F-60",4,IF(L1570="F-90",5,IF(L1570="F-120",6,0))))),0),0)+IF(AND(O1570="FIRE TEX 5120",E1570="CJ"),VLOOKUP(_xlfn.MINIFS('FIRE TEX 5120'!$O$5:$O$40,'FIRE TEX 5120'!$O$5:$O$40,"&gt;="&amp;M1570),'FIRE TEX 5120'!$O$5:$T$40,IF(L1570="F-15",2,IF(L1570="F-30",3,IF(L1570="F-60",4,IF(L1570="F-90",5,IF(L1570="F-120",6,0))))),0),0)</f>
        <v>0</v>
      </c>
      <c r="Q1570" s="46">
        <f t="shared" si="139"/>
        <v>0</v>
      </c>
      <c r="R1570" s="46">
        <f t="shared" si="140"/>
        <v>0</v>
      </c>
      <c r="S1570" s="46" t="e">
        <f t="shared" si="141"/>
        <v>#VALUE!</v>
      </c>
      <c r="T1570" s="677">
        <f t="shared" si="142"/>
        <v>0</v>
      </c>
      <c r="U1570" s="80">
        <f>(IF(O1570="Stofire",(S1570*#REF!),0))+(IF(O1570="Fire Control",(S1570*$U$2),0))+(IF(O1570="Fire Tex",(S1570*$U$3),0))+(IF(O1570="WB7",(S1570*#REF!),0)+(IF(O1570="FX 2003",(S1570*$U$5),0)))</f>
        <v>0</v>
      </c>
      <c r="V1570" s="651">
        <f t="shared" si="143"/>
        <v>0</v>
      </c>
    </row>
    <row r="1571" spans="4:22" x14ac:dyDescent="0.25">
      <c r="D1571" s="118">
        <f>+CUBICACION!D1570</f>
        <v>0</v>
      </c>
      <c r="E1571" s="118">
        <f>+CUBICACION!F1570</f>
        <v>0</v>
      </c>
      <c r="F1571" s="118">
        <f>+CUBICACION!E1570</f>
        <v>0</v>
      </c>
      <c r="G1571" s="118">
        <v>12</v>
      </c>
      <c r="H1571" s="118">
        <v>2</v>
      </c>
      <c r="I1571" s="820">
        <v>26385</v>
      </c>
      <c r="J1571" s="118">
        <f>+CUBICACION!J1570</f>
        <v>0</v>
      </c>
      <c r="K1571" s="118">
        <v>4350</v>
      </c>
      <c r="L1571" s="118">
        <f>+CUBICACION!L1570</f>
        <v>0</v>
      </c>
      <c r="M1571" s="64">
        <f>+CUBICACION!M1570</f>
        <v>0</v>
      </c>
      <c r="N1571" s="824" t="str">
        <f>+CUBICACION!N1570</f>
        <v/>
      </c>
      <c r="O1571" s="675">
        <f>+CUBICACION!O1570</f>
        <v>0</v>
      </c>
      <c r="P1571" s="15">
        <f>IF(O1571="Fire Control",VLOOKUP(_xlfn.MINIFS('FIRE CONTROL'!$C$4:$C$37,'FIRE CONTROL'!$C$4:$C$37,"&gt;="&amp;M1571),'FIRE CONTROL'!$C$4:$G$37,IF(L1571="F-15",2,IF(L1571="F-30",3,IF(L1571="F-60",4,IF(L1571="F-90",5,0)))),0),0)+IF(AND(O1571="FIRE TEX 5062",OR(E1571="IN",E1571="C",E1571="Z",E1571="L"),J1571=3),VLOOKUP(_xlfn.MINIFS('FIRE TEX 5062'!$B$4:$B$34,'FIRE TEX 5062'!$B$4:$B$34,"&gt;="&amp;M1571),'FIRE TEX 5062'!$B$4:$F$34,IF(L1571="F-15",2,IF(L1571="F-30",3,IF(L1571="F-60",4,IF(L1571="F-90",5,0)))),0),0)+IF(AND(O1571="FIRE TEX 5062",OR(E1571="IN",E1571="C",E1571="Z",E1571="L"),J1571=4),VLOOKUP(_xlfn.MINIFS('FIRE TEX 5062'!$G$4:$G$34,'FIRE TEX 5062'!$G$4:$G$34,"&gt;="&amp;M1571),'FIRE TEX 5062'!$G$4:$K$34,IF(L1571="F-15",2,IF(L1571="F-30",3,IF(L1571="F-60",4,IF(L1571="F-90",5,0)))),0),0)+IF(AND(O1571="FIRE TEX 5062",E1571="CJ",J1571=3),VLOOKUP(_xlfn.MINIFS('FIRE TEX 5062'!$L$4:$L$34,'FIRE TEX 5062'!$L$4:$L$34,"&gt;="&amp;M1571),'FIRE TEX 5062'!$L$4:$P$34,IF(L1571="F-15",2,IF(L1571="F-30",3,IF(L1571="F-60",4,IF(L1571="F-90",5,0)))),0),0)+IF(AND(O1571="FIRE TEX 5062",E1571="CJ",J1571=4),VLOOKUP(_xlfn.MINIFS('FIRE TEX 5062'!$Q$3:$Q$34,'FIRE TEX 5062'!$Q$3:$Q$34,"&gt;="&amp;M1571),'FIRE TEX 5062'!$Q$3:$U$34,IF(L1571="F-15",2,IF(L1571="F-30",3,IF(L1571="F-60",4,IF(L1571="F-90",5,0)))),0),0)+IF(AND(O1571="FIRE TEX 5090",OR(E1571="IN",E1571="C",E1571="Z",E1571="L"),J1571=3),VLOOKUP(_xlfn.MINIFS('FIRE TEX 5090'!$B$5:$B$43,'FIRE TEX 5090'!$B$5:$B$43,"&gt;="&amp;M1571),'FIRE TEX 5090'!$B$5:$H$43,IF(L1571="F-15",2,IF(L1571="F-30",3,IF(L1571="F-60",4,IF(L1571="F-90",5,IF(L1571="F-120",6,IF(L1571="F-150",7,0)))))),0),0)+IF(AND(O1571="FIRE TEX 5090",OR(E1571="IN",E1571="C",E1571="Z",E1571="L"),J1571=4),VLOOKUP(_xlfn.MINIFS('FIRE TEX 5090'!$J$5:$J$43,'FIRE TEX 5090'!$J$5:$J$43,"&gt;="&amp;M1571),'FIRE TEX 5090'!$J$5:$P$43,IF(L1571="F-15",2,IF(L1571="F-30",3,IF(L1571="F-60",4,IF(L1571="F-90",5,IF(L1571="F-120",6,IF(L1571="F-150",7,0)))))),0),0)+IF(AND(O1571="FIRE TEX 5090",E1571="CJ",J1571=3),VLOOKUP(_xlfn.MINIFS('FIRE TEX 5090'!$R$5:$R$30,'FIRE TEX 5090'!$R$5:$R$30,"&gt;="&amp;M1571),'FIRE TEX 5090'!$R$5:$W$30,IF(L1571="F-15",2,IF(L1571="F-30",3,IF(L1571="F-60",4,IF(L1571="F-90",5,IF(L1571="F-120",6,IF(L1571="F-150",7,0)))))),0),0)+IF(AND(O1571="FIRE TEX 5090",E1571="CJ",J1571=4),VLOOKUP(_xlfn.MINIFS('FIRE TEX 5090'!$Y$5:$Y$39,'FIRE TEX 5090'!$Y$5:$Y$39,"&gt;="&amp;M1571),'FIRE TEX 5090'!$Y$5:$AD$39,IF(L1571="F-15",2,IF(L1571="F-30",3,IF(L1571="F-60",4,IF(L1571="F-90",5,IF(L1571="F-120",6,IF(L1571="F-150",7,0)))))),0),0)+IF(AND(O1571="FIRE TEX 5120",OR(E1571="IN",E1571="C",E1571="Z",E1571="L"),J1571=3),VLOOKUP(_xlfn.MINIFS('FIRE TEX 5120'!$B$5:$B$40,'FIRE TEX 5120'!$B$5:$B$40,"&gt;="&amp;M1571),'FIRE TEX 5120'!$B$5:$G$40,IF(L1571="F-15",2,IF(L1571="F-30",3,IF(L1571="F-60",4,IF(L1571="F-90",5,IF(L1571="F-120",6,0))))),0),0)+IF(AND(O1571="FIRE TEX 5120",OR(E1571="IN",E1571="C",E1571="Z",E1571="L"),J1571=4),VLOOKUP(_xlfn.MINIFS('FIRE TEX 5120'!$H$4:$H$40,'FIRE TEX 5120'!$H$4:$H$40,"&gt;="&amp;M1571),'FIRE TEX 5120'!$H$4:$M$40,IF(L1571="F-15",2,IF(L1571="F-30",3,IF(L1571="F-60",4,IF(L1571="F-90",5,IF(L1571="F-120",6,0))))),0),0)+IF(AND(O1571="FIRE TEX 5120",E1571="CJ"),VLOOKUP(_xlfn.MINIFS('FIRE TEX 5120'!$O$5:$O$40,'FIRE TEX 5120'!$O$5:$O$40,"&gt;="&amp;M1571),'FIRE TEX 5120'!$O$5:$T$40,IF(L1571="F-15",2,IF(L1571="F-30",3,IF(L1571="F-60",4,IF(L1571="F-90",5,IF(L1571="F-120",6,0))))),0),0)</f>
        <v>0</v>
      </c>
      <c r="Q1571" s="46">
        <f t="shared" si="139"/>
        <v>0</v>
      </c>
      <c r="R1571" s="46">
        <f t="shared" si="140"/>
        <v>0</v>
      </c>
      <c r="S1571" s="46" t="e">
        <f t="shared" si="141"/>
        <v>#VALUE!</v>
      </c>
      <c r="T1571" s="677">
        <f t="shared" si="142"/>
        <v>0</v>
      </c>
      <c r="U1571" s="80">
        <f>(IF(O1571="Stofire",(S1571*#REF!),0))+(IF(O1571="Fire Control",(S1571*$U$2),0))+(IF(O1571="Fire Tex",(S1571*$U$3),0))+(IF(O1571="WB7",(S1571*#REF!),0)+(IF(O1571="FX 2003",(S1571*$U$5),0)))</f>
        <v>0</v>
      </c>
      <c r="V1571" s="651">
        <f t="shared" si="143"/>
        <v>0</v>
      </c>
    </row>
    <row r="1572" spans="4:22" x14ac:dyDescent="0.25">
      <c r="D1572" s="118">
        <f>+CUBICACION!D1571</f>
        <v>0</v>
      </c>
      <c r="E1572" s="118">
        <f>+CUBICACION!F1571</f>
        <v>0</v>
      </c>
      <c r="F1572" s="118">
        <f>+CUBICACION!E1571</f>
        <v>0</v>
      </c>
      <c r="G1572" s="118">
        <v>12</v>
      </c>
      <c r="H1572" s="118">
        <v>2</v>
      </c>
      <c r="I1572" s="820">
        <v>26385</v>
      </c>
      <c r="J1572" s="118">
        <f>+CUBICACION!J1571</f>
        <v>0</v>
      </c>
      <c r="K1572" s="118">
        <v>4351</v>
      </c>
      <c r="L1572" s="118">
        <f>+CUBICACION!L1571</f>
        <v>0</v>
      </c>
      <c r="M1572" s="64">
        <f>+CUBICACION!M1571</f>
        <v>0</v>
      </c>
      <c r="N1572" s="824" t="str">
        <f>+CUBICACION!N1571</f>
        <v/>
      </c>
      <c r="O1572" s="675">
        <f>+CUBICACION!O1571</f>
        <v>0</v>
      </c>
      <c r="P1572" s="15">
        <f>IF(O1572="Fire Control",VLOOKUP(_xlfn.MINIFS('FIRE CONTROL'!$C$4:$C$37,'FIRE CONTROL'!$C$4:$C$37,"&gt;="&amp;M1572),'FIRE CONTROL'!$C$4:$G$37,IF(L1572="F-15",2,IF(L1572="F-30",3,IF(L1572="F-60",4,IF(L1572="F-90",5,0)))),0),0)+IF(AND(O1572="FIRE TEX 5062",OR(E1572="IN",E1572="C",E1572="Z",E1572="L"),J1572=3),VLOOKUP(_xlfn.MINIFS('FIRE TEX 5062'!$B$4:$B$34,'FIRE TEX 5062'!$B$4:$B$34,"&gt;="&amp;M1572),'FIRE TEX 5062'!$B$4:$F$34,IF(L1572="F-15",2,IF(L1572="F-30",3,IF(L1572="F-60",4,IF(L1572="F-90",5,0)))),0),0)+IF(AND(O1572="FIRE TEX 5062",OR(E1572="IN",E1572="C",E1572="Z",E1572="L"),J1572=4),VLOOKUP(_xlfn.MINIFS('FIRE TEX 5062'!$G$4:$G$34,'FIRE TEX 5062'!$G$4:$G$34,"&gt;="&amp;M1572),'FIRE TEX 5062'!$G$4:$K$34,IF(L1572="F-15",2,IF(L1572="F-30",3,IF(L1572="F-60",4,IF(L1572="F-90",5,0)))),0),0)+IF(AND(O1572="FIRE TEX 5062",E1572="CJ",J1572=3),VLOOKUP(_xlfn.MINIFS('FIRE TEX 5062'!$L$4:$L$34,'FIRE TEX 5062'!$L$4:$L$34,"&gt;="&amp;M1572),'FIRE TEX 5062'!$L$4:$P$34,IF(L1572="F-15",2,IF(L1572="F-30",3,IF(L1572="F-60",4,IF(L1572="F-90",5,0)))),0),0)+IF(AND(O1572="FIRE TEX 5062",E1572="CJ",J1572=4),VLOOKUP(_xlfn.MINIFS('FIRE TEX 5062'!$Q$3:$Q$34,'FIRE TEX 5062'!$Q$3:$Q$34,"&gt;="&amp;M1572),'FIRE TEX 5062'!$Q$3:$U$34,IF(L1572="F-15",2,IF(L1572="F-30",3,IF(L1572="F-60",4,IF(L1572="F-90",5,0)))),0),0)+IF(AND(O1572="FIRE TEX 5090",OR(E1572="IN",E1572="C",E1572="Z",E1572="L"),J1572=3),VLOOKUP(_xlfn.MINIFS('FIRE TEX 5090'!$B$5:$B$43,'FIRE TEX 5090'!$B$5:$B$43,"&gt;="&amp;M1572),'FIRE TEX 5090'!$B$5:$H$43,IF(L1572="F-15",2,IF(L1572="F-30",3,IF(L1572="F-60",4,IF(L1572="F-90",5,IF(L1572="F-120",6,IF(L1572="F-150",7,0)))))),0),0)+IF(AND(O1572="FIRE TEX 5090",OR(E1572="IN",E1572="C",E1572="Z",E1572="L"),J1572=4),VLOOKUP(_xlfn.MINIFS('FIRE TEX 5090'!$J$5:$J$43,'FIRE TEX 5090'!$J$5:$J$43,"&gt;="&amp;M1572),'FIRE TEX 5090'!$J$5:$P$43,IF(L1572="F-15",2,IF(L1572="F-30",3,IF(L1572="F-60",4,IF(L1572="F-90",5,IF(L1572="F-120",6,IF(L1572="F-150",7,0)))))),0),0)+IF(AND(O1572="FIRE TEX 5090",E1572="CJ",J1572=3),VLOOKUP(_xlfn.MINIFS('FIRE TEX 5090'!$R$5:$R$30,'FIRE TEX 5090'!$R$5:$R$30,"&gt;="&amp;M1572),'FIRE TEX 5090'!$R$5:$W$30,IF(L1572="F-15",2,IF(L1572="F-30",3,IF(L1572="F-60",4,IF(L1572="F-90",5,IF(L1572="F-120",6,IF(L1572="F-150",7,0)))))),0),0)+IF(AND(O1572="FIRE TEX 5090",E1572="CJ",J1572=4),VLOOKUP(_xlfn.MINIFS('FIRE TEX 5090'!$Y$5:$Y$39,'FIRE TEX 5090'!$Y$5:$Y$39,"&gt;="&amp;M1572),'FIRE TEX 5090'!$Y$5:$AD$39,IF(L1572="F-15",2,IF(L1572="F-30",3,IF(L1572="F-60",4,IF(L1572="F-90",5,IF(L1572="F-120",6,IF(L1572="F-150",7,0)))))),0),0)+IF(AND(O1572="FIRE TEX 5120",OR(E1572="IN",E1572="C",E1572="Z",E1572="L"),J1572=3),VLOOKUP(_xlfn.MINIFS('FIRE TEX 5120'!$B$5:$B$40,'FIRE TEX 5120'!$B$5:$B$40,"&gt;="&amp;M1572),'FIRE TEX 5120'!$B$5:$G$40,IF(L1572="F-15",2,IF(L1572="F-30",3,IF(L1572="F-60",4,IF(L1572="F-90",5,IF(L1572="F-120",6,0))))),0),0)+IF(AND(O1572="FIRE TEX 5120",OR(E1572="IN",E1572="C",E1572="Z",E1572="L"),J1572=4),VLOOKUP(_xlfn.MINIFS('FIRE TEX 5120'!$H$4:$H$40,'FIRE TEX 5120'!$H$4:$H$40,"&gt;="&amp;M1572),'FIRE TEX 5120'!$H$4:$M$40,IF(L1572="F-15",2,IF(L1572="F-30",3,IF(L1572="F-60",4,IF(L1572="F-90",5,IF(L1572="F-120",6,0))))),0),0)+IF(AND(O1572="FIRE TEX 5120",E1572="CJ"),VLOOKUP(_xlfn.MINIFS('FIRE TEX 5120'!$O$5:$O$40,'FIRE TEX 5120'!$O$5:$O$40,"&gt;="&amp;M1572),'FIRE TEX 5120'!$O$5:$T$40,IF(L1572="F-15",2,IF(L1572="F-30",3,IF(L1572="F-60",4,IF(L1572="F-90",5,IF(L1572="F-120",6,0))))),0),0)</f>
        <v>0</v>
      </c>
      <c r="Q1572" s="46">
        <f t="shared" si="139"/>
        <v>0</v>
      </c>
      <c r="R1572" s="46">
        <f t="shared" si="140"/>
        <v>0</v>
      </c>
      <c r="S1572" s="46" t="e">
        <f t="shared" si="141"/>
        <v>#VALUE!</v>
      </c>
      <c r="T1572" s="677">
        <f t="shared" si="142"/>
        <v>0</v>
      </c>
      <c r="U1572" s="80">
        <f>(IF(O1572="Stofire",(S1572*#REF!),0))+(IF(O1572="Fire Control",(S1572*$U$2),0))+(IF(O1572="Fire Tex",(S1572*$U$3),0))+(IF(O1572="WB7",(S1572*#REF!),0)+(IF(O1572="FX 2003",(S1572*$U$5),0)))</f>
        <v>0</v>
      </c>
      <c r="V1572" s="651">
        <f t="shared" si="143"/>
        <v>0</v>
      </c>
    </row>
    <row r="1573" spans="4:22" x14ac:dyDescent="0.25">
      <c r="D1573" s="118">
        <f>+CUBICACION!D1572</f>
        <v>0</v>
      </c>
      <c r="E1573" s="118">
        <f>+CUBICACION!F1572</f>
        <v>0</v>
      </c>
      <c r="F1573" s="118">
        <f>+CUBICACION!E1572</f>
        <v>0</v>
      </c>
      <c r="G1573" s="118">
        <v>12</v>
      </c>
      <c r="H1573" s="118">
        <v>2</v>
      </c>
      <c r="I1573" s="820">
        <v>26385</v>
      </c>
      <c r="J1573" s="118">
        <f>+CUBICACION!J1572</f>
        <v>0</v>
      </c>
      <c r="K1573" s="118">
        <v>4352</v>
      </c>
      <c r="L1573" s="118">
        <f>+CUBICACION!L1572</f>
        <v>0</v>
      </c>
      <c r="M1573" s="64">
        <f>+CUBICACION!M1572</f>
        <v>0</v>
      </c>
      <c r="N1573" s="824" t="str">
        <f>+CUBICACION!N1572</f>
        <v/>
      </c>
      <c r="O1573" s="675">
        <f>+CUBICACION!O1572</f>
        <v>0</v>
      </c>
      <c r="P1573" s="15">
        <f>IF(O1573="Fire Control",VLOOKUP(_xlfn.MINIFS('FIRE CONTROL'!$C$4:$C$37,'FIRE CONTROL'!$C$4:$C$37,"&gt;="&amp;M1573),'FIRE CONTROL'!$C$4:$G$37,IF(L1573="F-15",2,IF(L1573="F-30",3,IF(L1573="F-60",4,IF(L1573="F-90",5,0)))),0),0)+IF(AND(O1573="FIRE TEX 5062",OR(E1573="IN",E1573="C",E1573="Z",E1573="L"),J1573=3),VLOOKUP(_xlfn.MINIFS('FIRE TEX 5062'!$B$4:$B$34,'FIRE TEX 5062'!$B$4:$B$34,"&gt;="&amp;M1573),'FIRE TEX 5062'!$B$4:$F$34,IF(L1573="F-15",2,IF(L1573="F-30",3,IF(L1573="F-60",4,IF(L1573="F-90",5,0)))),0),0)+IF(AND(O1573="FIRE TEX 5062",OR(E1573="IN",E1573="C",E1573="Z",E1573="L"),J1573=4),VLOOKUP(_xlfn.MINIFS('FIRE TEX 5062'!$G$4:$G$34,'FIRE TEX 5062'!$G$4:$G$34,"&gt;="&amp;M1573),'FIRE TEX 5062'!$G$4:$K$34,IF(L1573="F-15",2,IF(L1573="F-30",3,IF(L1573="F-60",4,IF(L1573="F-90",5,0)))),0),0)+IF(AND(O1573="FIRE TEX 5062",E1573="CJ",J1573=3),VLOOKUP(_xlfn.MINIFS('FIRE TEX 5062'!$L$4:$L$34,'FIRE TEX 5062'!$L$4:$L$34,"&gt;="&amp;M1573),'FIRE TEX 5062'!$L$4:$P$34,IF(L1573="F-15",2,IF(L1573="F-30",3,IF(L1573="F-60",4,IF(L1573="F-90",5,0)))),0),0)+IF(AND(O1573="FIRE TEX 5062",E1573="CJ",J1573=4),VLOOKUP(_xlfn.MINIFS('FIRE TEX 5062'!$Q$3:$Q$34,'FIRE TEX 5062'!$Q$3:$Q$34,"&gt;="&amp;M1573),'FIRE TEX 5062'!$Q$3:$U$34,IF(L1573="F-15",2,IF(L1573="F-30",3,IF(L1573="F-60",4,IF(L1573="F-90",5,0)))),0),0)+IF(AND(O1573="FIRE TEX 5090",OR(E1573="IN",E1573="C",E1573="Z",E1573="L"),J1573=3),VLOOKUP(_xlfn.MINIFS('FIRE TEX 5090'!$B$5:$B$43,'FIRE TEX 5090'!$B$5:$B$43,"&gt;="&amp;M1573),'FIRE TEX 5090'!$B$5:$H$43,IF(L1573="F-15",2,IF(L1573="F-30",3,IF(L1573="F-60",4,IF(L1573="F-90",5,IF(L1573="F-120",6,IF(L1573="F-150",7,0)))))),0),0)+IF(AND(O1573="FIRE TEX 5090",OR(E1573="IN",E1573="C",E1573="Z",E1573="L"),J1573=4),VLOOKUP(_xlfn.MINIFS('FIRE TEX 5090'!$J$5:$J$43,'FIRE TEX 5090'!$J$5:$J$43,"&gt;="&amp;M1573),'FIRE TEX 5090'!$J$5:$P$43,IF(L1573="F-15",2,IF(L1573="F-30",3,IF(L1573="F-60",4,IF(L1573="F-90",5,IF(L1573="F-120",6,IF(L1573="F-150",7,0)))))),0),0)+IF(AND(O1573="FIRE TEX 5090",E1573="CJ",J1573=3),VLOOKUP(_xlfn.MINIFS('FIRE TEX 5090'!$R$5:$R$30,'FIRE TEX 5090'!$R$5:$R$30,"&gt;="&amp;M1573),'FIRE TEX 5090'!$R$5:$W$30,IF(L1573="F-15",2,IF(L1573="F-30",3,IF(L1573="F-60",4,IF(L1573="F-90",5,IF(L1573="F-120",6,IF(L1573="F-150",7,0)))))),0),0)+IF(AND(O1573="FIRE TEX 5090",E1573="CJ",J1573=4),VLOOKUP(_xlfn.MINIFS('FIRE TEX 5090'!$Y$5:$Y$39,'FIRE TEX 5090'!$Y$5:$Y$39,"&gt;="&amp;M1573),'FIRE TEX 5090'!$Y$5:$AD$39,IF(L1573="F-15",2,IF(L1573="F-30",3,IF(L1573="F-60",4,IF(L1573="F-90",5,IF(L1573="F-120",6,IF(L1573="F-150",7,0)))))),0),0)+IF(AND(O1573="FIRE TEX 5120",OR(E1573="IN",E1573="C",E1573="Z",E1573="L"),J1573=3),VLOOKUP(_xlfn.MINIFS('FIRE TEX 5120'!$B$5:$B$40,'FIRE TEX 5120'!$B$5:$B$40,"&gt;="&amp;M1573),'FIRE TEX 5120'!$B$5:$G$40,IF(L1573="F-15",2,IF(L1573="F-30",3,IF(L1573="F-60",4,IF(L1573="F-90",5,IF(L1573="F-120",6,0))))),0),0)+IF(AND(O1573="FIRE TEX 5120",OR(E1573="IN",E1573="C",E1573="Z",E1573="L"),J1573=4),VLOOKUP(_xlfn.MINIFS('FIRE TEX 5120'!$H$4:$H$40,'FIRE TEX 5120'!$H$4:$H$40,"&gt;="&amp;M1573),'FIRE TEX 5120'!$H$4:$M$40,IF(L1573="F-15",2,IF(L1573="F-30",3,IF(L1573="F-60",4,IF(L1573="F-90",5,IF(L1573="F-120",6,0))))),0),0)+IF(AND(O1573="FIRE TEX 5120",E1573="CJ"),VLOOKUP(_xlfn.MINIFS('FIRE TEX 5120'!$O$5:$O$40,'FIRE TEX 5120'!$O$5:$O$40,"&gt;="&amp;M1573),'FIRE TEX 5120'!$O$5:$T$40,IF(L1573="F-15",2,IF(L1573="F-30",3,IF(L1573="F-60",4,IF(L1573="F-90",5,IF(L1573="F-120",6,0))))),0),0)</f>
        <v>0</v>
      </c>
      <c r="Q1573" s="46">
        <f t="shared" si="139"/>
        <v>0</v>
      </c>
      <c r="R1573" s="46">
        <f t="shared" si="140"/>
        <v>0</v>
      </c>
      <c r="S1573" s="46" t="e">
        <f t="shared" si="141"/>
        <v>#VALUE!</v>
      </c>
      <c r="T1573" s="677">
        <f t="shared" si="142"/>
        <v>0</v>
      </c>
      <c r="U1573" s="80">
        <f>(IF(O1573="Stofire",(S1573*#REF!),0))+(IF(O1573="Fire Control",(S1573*$U$2),0))+(IF(O1573="Fire Tex",(S1573*$U$3),0))+(IF(O1573="WB7",(S1573*#REF!),0)+(IF(O1573="FX 2003",(S1573*$U$5),0)))</f>
        <v>0</v>
      </c>
      <c r="V1573" s="651">
        <f t="shared" si="143"/>
        <v>0</v>
      </c>
    </row>
    <row r="1574" spans="4:22" x14ac:dyDescent="0.25">
      <c r="D1574" s="118">
        <f>+CUBICACION!D1573</f>
        <v>0</v>
      </c>
      <c r="E1574" s="118">
        <f>+CUBICACION!F1573</f>
        <v>0</v>
      </c>
      <c r="F1574" s="118">
        <f>+CUBICACION!E1573</f>
        <v>0</v>
      </c>
      <c r="G1574" s="118">
        <v>12</v>
      </c>
      <c r="H1574" s="118">
        <v>2</v>
      </c>
      <c r="I1574" s="820">
        <v>26385</v>
      </c>
      <c r="J1574" s="118">
        <f>+CUBICACION!J1573</f>
        <v>0</v>
      </c>
      <c r="K1574" s="118">
        <v>4353</v>
      </c>
      <c r="L1574" s="118">
        <f>+CUBICACION!L1573</f>
        <v>0</v>
      </c>
      <c r="M1574" s="64">
        <f>+CUBICACION!M1573</f>
        <v>0</v>
      </c>
      <c r="N1574" s="824" t="str">
        <f>+CUBICACION!N1573</f>
        <v/>
      </c>
      <c r="O1574" s="675">
        <f>+CUBICACION!O1573</f>
        <v>0</v>
      </c>
      <c r="P1574" s="15">
        <f>IF(O1574="Fire Control",VLOOKUP(_xlfn.MINIFS('FIRE CONTROL'!$C$4:$C$37,'FIRE CONTROL'!$C$4:$C$37,"&gt;="&amp;M1574),'FIRE CONTROL'!$C$4:$G$37,IF(L1574="F-15",2,IF(L1574="F-30",3,IF(L1574="F-60",4,IF(L1574="F-90",5,0)))),0),0)+IF(AND(O1574="FIRE TEX 5062",OR(E1574="IN",E1574="C",E1574="Z",E1574="L"),J1574=3),VLOOKUP(_xlfn.MINIFS('FIRE TEX 5062'!$B$4:$B$34,'FIRE TEX 5062'!$B$4:$B$34,"&gt;="&amp;M1574),'FIRE TEX 5062'!$B$4:$F$34,IF(L1574="F-15",2,IF(L1574="F-30",3,IF(L1574="F-60",4,IF(L1574="F-90",5,0)))),0),0)+IF(AND(O1574="FIRE TEX 5062",OR(E1574="IN",E1574="C",E1574="Z",E1574="L"),J1574=4),VLOOKUP(_xlfn.MINIFS('FIRE TEX 5062'!$G$4:$G$34,'FIRE TEX 5062'!$G$4:$G$34,"&gt;="&amp;M1574),'FIRE TEX 5062'!$G$4:$K$34,IF(L1574="F-15",2,IF(L1574="F-30",3,IF(L1574="F-60",4,IF(L1574="F-90",5,0)))),0),0)+IF(AND(O1574="FIRE TEX 5062",E1574="CJ",J1574=3),VLOOKUP(_xlfn.MINIFS('FIRE TEX 5062'!$L$4:$L$34,'FIRE TEX 5062'!$L$4:$L$34,"&gt;="&amp;M1574),'FIRE TEX 5062'!$L$4:$P$34,IF(L1574="F-15",2,IF(L1574="F-30",3,IF(L1574="F-60",4,IF(L1574="F-90",5,0)))),0),0)+IF(AND(O1574="FIRE TEX 5062",E1574="CJ",J1574=4),VLOOKUP(_xlfn.MINIFS('FIRE TEX 5062'!$Q$3:$Q$34,'FIRE TEX 5062'!$Q$3:$Q$34,"&gt;="&amp;M1574),'FIRE TEX 5062'!$Q$3:$U$34,IF(L1574="F-15",2,IF(L1574="F-30",3,IF(L1574="F-60",4,IF(L1574="F-90",5,0)))),0),0)+IF(AND(O1574="FIRE TEX 5090",OR(E1574="IN",E1574="C",E1574="Z",E1574="L"),J1574=3),VLOOKUP(_xlfn.MINIFS('FIRE TEX 5090'!$B$5:$B$43,'FIRE TEX 5090'!$B$5:$B$43,"&gt;="&amp;M1574),'FIRE TEX 5090'!$B$5:$H$43,IF(L1574="F-15",2,IF(L1574="F-30",3,IF(L1574="F-60",4,IF(L1574="F-90",5,IF(L1574="F-120",6,IF(L1574="F-150",7,0)))))),0),0)+IF(AND(O1574="FIRE TEX 5090",OR(E1574="IN",E1574="C",E1574="Z",E1574="L"),J1574=4),VLOOKUP(_xlfn.MINIFS('FIRE TEX 5090'!$J$5:$J$43,'FIRE TEX 5090'!$J$5:$J$43,"&gt;="&amp;M1574),'FIRE TEX 5090'!$J$5:$P$43,IF(L1574="F-15",2,IF(L1574="F-30",3,IF(L1574="F-60",4,IF(L1574="F-90",5,IF(L1574="F-120",6,IF(L1574="F-150",7,0)))))),0),0)+IF(AND(O1574="FIRE TEX 5090",E1574="CJ",J1574=3),VLOOKUP(_xlfn.MINIFS('FIRE TEX 5090'!$R$5:$R$30,'FIRE TEX 5090'!$R$5:$R$30,"&gt;="&amp;M1574),'FIRE TEX 5090'!$R$5:$W$30,IF(L1574="F-15",2,IF(L1574="F-30",3,IF(L1574="F-60",4,IF(L1574="F-90",5,IF(L1574="F-120",6,IF(L1574="F-150",7,0)))))),0),0)+IF(AND(O1574="FIRE TEX 5090",E1574="CJ",J1574=4),VLOOKUP(_xlfn.MINIFS('FIRE TEX 5090'!$Y$5:$Y$39,'FIRE TEX 5090'!$Y$5:$Y$39,"&gt;="&amp;M1574),'FIRE TEX 5090'!$Y$5:$AD$39,IF(L1574="F-15",2,IF(L1574="F-30",3,IF(L1574="F-60",4,IF(L1574="F-90",5,IF(L1574="F-120",6,IF(L1574="F-150",7,0)))))),0),0)+IF(AND(O1574="FIRE TEX 5120",OR(E1574="IN",E1574="C",E1574="Z",E1574="L"),J1574=3),VLOOKUP(_xlfn.MINIFS('FIRE TEX 5120'!$B$5:$B$40,'FIRE TEX 5120'!$B$5:$B$40,"&gt;="&amp;M1574),'FIRE TEX 5120'!$B$5:$G$40,IF(L1574="F-15",2,IF(L1574="F-30",3,IF(L1574="F-60",4,IF(L1574="F-90",5,IF(L1574="F-120",6,0))))),0),0)+IF(AND(O1574="FIRE TEX 5120",OR(E1574="IN",E1574="C",E1574="Z",E1574="L"),J1574=4),VLOOKUP(_xlfn.MINIFS('FIRE TEX 5120'!$H$4:$H$40,'FIRE TEX 5120'!$H$4:$H$40,"&gt;="&amp;M1574),'FIRE TEX 5120'!$H$4:$M$40,IF(L1574="F-15",2,IF(L1574="F-30",3,IF(L1574="F-60",4,IF(L1574="F-90",5,IF(L1574="F-120",6,0))))),0),0)+IF(AND(O1574="FIRE TEX 5120",E1574="CJ"),VLOOKUP(_xlfn.MINIFS('FIRE TEX 5120'!$O$5:$O$40,'FIRE TEX 5120'!$O$5:$O$40,"&gt;="&amp;M1574),'FIRE TEX 5120'!$O$5:$T$40,IF(L1574="F-15",2,IF(L1574="F-30",3,IF(L1574="F-60",4,IF(L1574="F-90",5,IF(L1574="F-120",6,0))))),0),0)</f>
        <v>0</v>
      </c>
      <c r="Q1574" s="46">
        <f t="shared" si="139"/>
        <v>0</v>
      </c>
      <c r="R1574" s="46">
        <f t="shared" si="140"/>
        <v>0</v>
      </c>
      <c r="S1574" s="46" t="e">
        <f t="shared" si="141"/>
        <v>#VALUE!</v>
      </c>
      <c r="T1574" s="677">
        <f t="shared" si="142"/>
        <v>0</v>
      </c>
      <c r="U1574" s="80">
        <f>(IF(O1574="Stofire",(S1574*#REF!),0))+(IF(O1574="Fire Control",(S1574*$U$2),0))+(IF(O1574="Fire Tex",(S1574*$U$3),0))+(IF(O1574="WB7",(S1574*#REF!),0)+(IF(O1574="FX 2003",(S1574*$U$5),0)))</f>
        <v>0</v>
      </c>
      <c r="V1574" s="651">
        <f t="shared" si="143"/>
        <v>0</v>
      </c>
    </row>
    <row r="1575" spans="4:22" x14ac:dyDescent="0.25">
      <c r="D1575" s="118">
        <f>+CUBICACION!D1574</f>
        <v>0</v>
      </c>
      <c r="E1575" s="118">
        <f>+CUBICACION!F1574</f>
        <v>0</v>
      </c>
      <c r="F1575" s="118">
        <f>+CUBICACION!E1574</f>
        <v>0</v>
      </c>
      <c r="G1575" s="118">
        <v>12</v>
      </c>
      <c r="H1575" s="118">
        <v>2</v>
      </c>
      <c r="I1575" s="820">
        <v>26385</v>
      </c>
      <c r="J1575" s="118">
        <f>+CUBICACION!J1574</f>
        <v>0</v>
      </c>
      <c r="K1575" s="118">
        <v>4354</v>
      </c>
      <c r="L1575" s="118">
        <f>+CUBICACION!L1574</f>
        <v>0</v>
      </c>
      <c r="M1575" s="64">
        <f>+CUBICACION!M1574</f>
        <v>0</v>
      </c>
      <c r="N1575" s="824" t="str">
        <f>+CUBICACION!N1574</f>
        <v/>
      </c>
      <c r="O1575" s="675">
        <f>+CUBICACION!O1574</f>
        <v>0</v>
      </c>
      <c r="P1575" s="15">
        <f>IF(O1575="Fire Control",VLOOKUP(_xlfn.MINIFS('FIRE CONTROL'!$C$4:$C$37,'FIRE CONTROL'!$C$4:$C$37,"&gt;="&amp;M1575),'FIRE CONTROL'!$C$4:$G$37,IF(L1575="F-15",2,IF(L1575="F-30",3,IF(L1575="F-60",4,IF(L1575="F-90",5,0)))),0),0)+IF(AND(O1575="FIRE TEX 5062",OR(E1575="IN",E1575="C",E1575="Z",E1575="L"),J1575=3),VLOOKUP(_xlfn.MINIFS('FIRE TEX 5062'!$B$4:$B$34,'FIRE TEX 5062'!$B$4:$B$34,"&gt;="&amp;M1575),'FIRE TEX 5062'!$B$4:$F$34,IF(L1575="F-15",2,IF(L1575="F-30",3,IF(L1575="F-60",4,IF(L1575="F-90",5,0)))),0),0)+IF(AND(O1575="FIRE TEX 5062",OR(E1575="IN",E1575="C",E1575="Z",E1575="L"),J1575=4),VLOOKUP(_xlfn.MINIFS('FIRE TEX 5062'!$G$4:$G$34,'FIRE TEX 5062'!$G$4:$G$34,"&gt;="&amp;M1575),'FIRE TEX 5062'!$G$4:$K$34,IF(L1575="F-15",2,IF(L1575="F-30",3,IF(L1575="F-60",4,IF(L1575="F-90",5,0)))),0),0)+IF(AND(O1575="FIRE TEX 5062",E1575="CJ",J1575=3),VLOOKUP(_xlfn.MINIFS('FIRE TEX 5062'!$L$4:$L$34,'FIRE TEX 5062'!$L$4:$L$34,"&gt;="&amp;M1575),'FIRE TEX 5062'!$L$4:$P$34,IF(L1575="F-15",2,IF(L1575="F-30",3,IF(L1575="F-60",4,IF(L1575="F-90",5,0)))),0),0)+IF(AND(O1575="FIRE TEX 5062",E1575="CJ",J1575=4),VLOOKUP(_xlfn.MINIFS('FIRE TEX 5062'!$Q$3:$Q$34,'FIRE TEX 5062'!$Q$3:$Q$34,"&gt;="&amp;M1575),'FIRE TEX 5062'!$Q$3:$U$34,IF(L1575="F-15",2,IF(L1575="F-30",3,IF(L1575="F-60",4,IF(L1575="F-90",5,0)))),0),0)+IF(AND(O1575="FIRE TEX 5090",OR(E1575="IN",E1575="C",E1575="Z",E1575="L"),J1575=3),VLOOKUP(_xlfn.MINIFS('FIRE TEX 5090'!$B$5:$B$43,'FIRE TEX 5090'!$B$5:$B$43,"&gt;="&amp;M1575),'FIRE TEX 5090'!$B$5:$H$43,IF(L1575="F-15",2,IF(L1575="F-30",3,IF(L1575="F-60",4,IF(L1575="F-90",5,IF(L1575="F-120",6,IF(L1575="F-150",7,0)))))),0),0)+IF(AND(O1575="FIRE TEX 5090",OR(E1575="IN",E1575="C",E1575="Z",E1575="L"),J1575=4),VLOOKUP(_xlfn.MINIFS('FIRE TEX 5090'!$J$5:$J$43,'FIRE TEX 5090'!$J$5:$J$43,"&gt;="&amp;M1575),'FIRE TEX 5090'!$J$5:$P$43,IF(L1575="F-15",2,IF(L1575="F-30",3,IF(L1575="F-60",4,IF(L1575="F-90",5,IF(L1575="F-120",6,IF(L1575="F-150",7,0)))))),0),0)+IF(AND(O1575="FIRE TEX 5090",E1575="CJ",J1575=3),VLOOKUP(_xlfn.MINIFS('FIRE TEX 5090'!$R$5:$R$30,'FIRE TEX 5090'!$R$5:$R$30,"&gt;="&amp;M1575),'FIRE TEX 5090'!$R$5:$W$30,IF(L1575="F-15",2,IF(L1575="F-30",3,IF(L1575="F-60",4,IF(L1575="F-90",5,IF(L1575="F-120",6,IF(L1575="F-150",7,0)))))),0),0)+IF(AND(O1575="FIRE TEX 5090",E1575="CJ",J1575=4),VLOOKUP(_xlfn.MINIFS('FIRE TEX 5090'!$Y$5:$Y$39,'FIRE TEX 5090'!$Y$5:$Y$39,"&gt;="&amp;M1575),'FIRE TEX 5090'!$Y$5:$AD$39,IF(L1575="F-15",2,IF(L1575="F-30",3,IF(L1575="F-60",4,IF(L1575="F-90",5,IF(L1575="F-120",6,IF(L1575="F-150",7,0)))))),0),0)+IF(AND(O1575="FIRE TEX 5120",OR(E1575="IN",E1575="C",E1575="Z",E1575="L"),J1575=3),VLOOKUP(_xlfn.MINIFS('FIRE TEX 5120'!$B$5:$B$40,'FIRE TEX 5120'!$B$5:$B$40,"&gt;="&amp;M1575),'FIRE TEX 5120'!$B$5:$G$40,IF(L1575="F-15",2,IF(L1575="F-30",3,IF(L1575="F-60",4,IF(L1575="F-90",5,IF(L1575="F-120",6,0))))),0),0)+IF(AND(O1575="FIRE TEX 5120",OR(E1575="IN",E1575="C",E1575="Z",E1575="L"),J1575=4),VLOOKUP(_xlfn.MINIFS('FIRE TEX 5120'!$H$4:$H$40,'FIRE TEX 5120'!$H$4:$H$40,"&gt;="&amp;M1575),'FIRE TEX 5120'!$H$4:$M$40,IF(L1575="F-15",2,IF(L1575="F-30",3,IF(L1575="F-60",4,IF(L1575="F-90",5,IF(L1575="F-120",6,0))))),0),0)+IF(AND(O1575="FIRE TEX 5120",E1575="CJ"),VLOOKUP(_xlfn.MINIFS('FIRE TEX 5120'!$O$5:$O$40,'FIRE TEX 5120'!$O$5:$O$40,"&gt;="&amp;M1575),'FIRE TEX 5120'!$O$5:$T$40,IF(L1575="F-15",2,IF(L1575="F-30",3,IF(L1575="F-60",4,IF(L1575="F-90",5,IF(L1575="F-120",6,0))))),0),0)</f>
        <v>0</v>
      </c>
      <c r="Q1575" s="46">
        <f t="shared" si="139"/>
        <v>0</v>
      </c>
      <c r="R1575" s="46">
        <f t="shared" si="140"/>
        <v>0</v>
      </c>
      <c r="S1575" s="46" t="e">
        <f t="shared" si="141"/>
        <v>#VALUE!</v>
      </c>
      <c r="T1575" s="677">
        <f t="shared" si="142"/>
        <v>0</v>
      </c>
      <c r="U1575" s="80">
        <f>(IF(O1575="Stofire",(S1575*#REF!),0))+(IF(O1575="Fire Control",(S1575*$U$2),0))+(IF(O1575="Fire Tex",(S1575*$U$3),0))+(IF(O1575="WB7",(S1575*#REF!),0)+(IF(O1575="FX 2003",(S1575*$U$5),0)))</f>
        <v>0</v>
      </c>
      <c r="V1575" s="651">
        <f t="shared" si="143"/>
        <v>0</v>
      </c>
    </row>
    <row r="1576" spans="4:22" x14ac:dyDescent="0.25">
      <c r="D1576" s="118">
        <f>+CUBICACION!D1575</f>
        <v>0</v>
      </c>
      <c r="E1576" s="118">
        <f>+CUBICACION!F1575</f>
        <v>0</v>
      </c>
      <c r="F1576" s="118">
        <f>+CUBICACION!E1575</f>
        <v>0</v>
      </c>
      <c r="G1576" s="118">
        <v>12</v>
      </c>
      <c r="H1576" s="118">
        <v>2</v>
      </c>
      <c r="I1576" s="820">
        <v>26385</v>
      </c>
      <c r="J1576" s="118">
        <f>+CUBICACION!J1575</f>
        <v>0</v>
      </c>
      <c r="K1576" s="118">
        <v>4355</v>
      </c>
      <c r="L1576" s="118">
        <f>+CUBICACION!L1575</f>
        <v>0</v>
      </c>
      <c r="M1576" s="64">
        <f>+CUBICACION!M1575</f>
        <v>0</v>
      </c>
      <c r="N1576" s="824" t="str">
        <f>+CUBICACION!N1575</f>
        <v/>
      </c>
      <c r="O1576" s="675">
        <f>+CUBICACION!O1575</f>
        <v>0</v>
      </c>
      <c r="P1576" s="15">
        <f>IF(O1576="Fire Control",VLOOKUP(_xlfn.MINIFS('FIRE CONTROL'!$C$4:$C$37,'FIRE CONTROL'!$C$4:$C$37,"&gt;="&amp;M1576),'FIRE CONTROL'!$C$4:$G$37,IF(L1576="F-15",2,IF(L1576="F-30",3,IF(L1576="F-60",4,IF(L1576="F-90",5,0)))),0),0)+IF(AND(O1576="FIRE TEX 5062",OR(E1576="IN",E1576="C",E1576="Z",E1576="L"),J1576=3),VLOOKUP(_xlfn.MINIFS('FIRE TEX 5062'!$B$4:$B$34,'FIRE TEX 5062'!$B$4:$B$34,"&gt;="&amp;M1576),'FIRE TEX 5062'!$B$4:$F$34,IF(L1576="F-15",2,IF(L1576="F-30",3,IF(L1576="F-60",4,IF(L1576="F-90",5,0)))),0),0)+IF(AND(O1576="FIRE TEX 5062",OR(E1576="IN",E1576="C",E1576="Z",E1576="L"),J1576=4),VLOOKUP(_xlfn.MINIFS('FIRE TEX 5062'!$G$4:$G$34,'FIRE TEX 5062'!$G$4:$G$34,"&gt;="&amp;M1576),'FIRE TEX 5062'!$G$4:$K$34,IF(L1576="F-15",2,IF(L1576="F-30",3,IF(L1576="F-60",4,IF(L1576="F-90",5,0)))),0),0)+IF(AND(O1576="FIRE TEX 5062",E1576="CJ",J1576=3),VLOOKUP(_xlfn.MINIFS('FIRE TEX 5062'!$L$4:$L$34,'FIRE TEX 5062'!$L$4:$L$34,"&gt;="&amp;M1576),'FIRE TEX 5062'!$L$4:$P$34,IF(L1576="F-15",2,IF(L1576="F-30",3,IF(L1576="F-60",4,IF(L1576="F-90",5,0)))),0),0)+IF(AND(O1576="FIRE TEX 5062",E1576="CJ",J1576=4),VLOOKUP(_xlfn.MINIFS('FIRE TEX 5062'!$Q$3:$Q$34,'FIRE TEX 5062'!$Q$3:$Q$34,"&gt;="&amp;M1576),'FIRE TEX 5062'!$Q$3:$U$34,IF(L1576="F-15",2,IF(L1576="F-30",3,IF(L1576="F-60",4,IF(L1576="F-90",5,0)))),0),0)+IF(AND(O1576="FIRE TEX 5090",OR(E1576="IN",E1576="C",E1576="Z",E1576="L"),J1576=3),VLOOKUP(_xlfn.MINIFS('FIRE TEX 5090'!$B$5:$B$43,'FIRE TEX 5090'!$B$5:$B$43,"&gt;="&amp;M1576),'FIRE TEX 5090'!$B$5:$H$43,IF(L1576="F-15",2,IF(L1576="F-30",3,IF(L1576="F-60",4,IF(L1576="F-90",5,IF(L1576="F-120",6,IF(L1576="F-150",7,0)))))),0),0)+IF(AND(O1576="FIRE TEX 5090",OR(E1576="IN",E1576="C",E1576="Z",E1576="L"),J1576=4),VLOOKUP(_xlfn.MINIFS('FIRE TEX 5090'!$J$5:$J$43,'FIRE TEX 5090'!$J$5:$J$43,"&gt;="&amp;M1576),'FIRE TEX 5090'!$J$5:$P$43,IF(L1576="F-15",2,IF(L1576="F-30",3,IF(L1576="F-60",4,IF(L1576="F-90",5,IF(L1576="F-120",6,IF(L1576="F-150",7,0)))))),0),0)+IF(AND(O1576="FIRE TEX 5090",E1576="CJ",J1576=3),VLOOKUP(_xlfn.MINIFS('FIRE TEX 5090'!$R$5:$R$30,'FIRE TEX 5090'!$R$5:$R$30,"&gt;="&amp;M1576),'FIRE TEX 5090'!$R$5:$W$30,IF(L1576="F-15",2,IF(L1576="F-30",3,IF(L1576="F-60",4,IF(L1576="F-90",5,IF(L1576="F-120",6,IF(L1576="F-150",7,0)))))),0),0)+IF(AND(O1576="FIRE TEX 5090",E1576="CJ",J1576=4),VLOOKUP(_xlfn.MINIFS('FIRE TEX 5090'!$Y$5:$Y$39,'FIRE TEX 5090'!$Y$5:$Y$39,"&gt;="&amp;M1576),'FIRE TEX 5090'!$Y$5:$AD$39,IF(L1576="F-15",2,IF(L1576="F-30",3,IF(L1576="F-60",4,IF(L1576="F-90",5,IF(L1576="F-120",6,IF(L1576="F-150",7,0)))))),0),0)+IF(AND(O1576="FIRE TEX 5120",OR(E1576="IN",E1576="C",E1576="Z",E1576="L"),J1576=3),VLOOKUP(_xlfn.MINIFS('FIRE TEX 5120'!$B$5:$B$40,'FIRE TEX 5120'!$B$5:$B$40,"&gt;="&amp;M1576),'FIRE TEX 5120'!$B$5:$G$40,IF(L1576="F-15",2,IF(L1576="F-30",3,IF(L1576="F-60",4,IF(L1576="F-90",5,IF(L1576="F-120",6,0))))),0),0)+IF(AND(O1576="FIRE TEX 5120",OR(E1576="IN",E1576="C",E1576="Z",E1576="L"),J1576=4),VLOOKUP(_xlfn.MINIFS('FIRE TEX 5120'!$H$4:$H$40,'FIRE TEX 5120'!$H$4:$H$40,"&gt;="&amp;M1576),'FIRE TEX 5120'!$H$4:$M$40,IF(L1576="F-15",2,IF(L1576="F-30",3,IF(L1576="F-60",4,IF(L1576="F-90",5,IF(L1576="F-120",6,0))))),0),0)+IF(AND(O1576="FIRE TEX 5120",E1576="CJ"),VLOOKUP(_xlfn.MINIFS('FIRE TEX 5120'!$O$5:$O$40,'FIRE TEX 5120'!$O$5:$O$40,"&gt;="&amp;M1576),'FIRE TEX 5120'!$O$5:$T$40,IF(L1576="F-15",2,IF(L1576="F-30",3,IF(L1576="F-60",4,IF(L1576="F-90",5,IF(L1576="F-120",6,0))))),0),0)</f>
        <v>0</v>
      </c>
      <c r="Q1576" s="46">
        <f t="shared" si="139"/>
        <v>0</v>
      </c>
      <c r="R1576" s="46">
        <f t="shared" si="140"/>
        <v>0</v>
      </c>
      <c r="S1576" s="46" t="e">
        <f t="shared" si="141"/>
        <v>#VALUE!</v>
      </c>
      <c r="T1576" s="677">
        <f t="shared" si="142"/>
        <v>0</v>
      </c>
      <c r="U1576" s="80">
        <f>(IF(O1576="Stofire",(S1576*#REF!),0))+(IF(O1576="Fire Control",(S1576*$U$2),0))+(IF(O1576="Fire Tex",(S1576*$U$3),0))+(IF(O1576="WB7",(S1576*#REF!),0)+(IF(O1576="FX 2003",(S1576*$U$5),0)))</f>
        <v>0</v>
      </c>
      <c r="V1576" s="651">
        <f t="shared" si="143"/>
        <v>0</v>
      </c>
    </row>
    <row r="1577" spans="4:22" x14ac:dyDescent="0.25">
      <c r="D1577" s="118">
        <f>+CUBICACION!D1576</f>
        <v>0</v>
      </c>
      <c r="E1577" s="118">
        <f>+CUBICACION!F1576</f>
        <v>0</v>
      </c>
      <c r="F1577" s="118">
        <f>+CUBICACION!E1576</f>
        <v>0</v>
      </c>
      <c r="G1577" s="118">
        <v>12</v>
      </c>
      <c r="H1577" s="118">
        <v>2</v>
      </c>
      <c r="I1577" s="820">
        <v>26385</v>
      </c>
      <c r="J1577" s="118">
        <f>+CUBICACION!J1576</f>
        <v>0</v>
      </c>
      <c r="K1577" s="118">
        <v>4356</v>
      </c>
      <c r="L1577" s="118">
        <f>+CUBICACION!L1576</f>
        <v>0</v>
      </c>
      <c r="M1577" s="64">
        <f>+CUBICACION!M1576</f>
        <v>0</v>
      </c>
      <c r="N1577" s="824" t="str">
        <f>+CUBICACION!N1576</f>
        <v/>
      </c>
      <c r="O1577" s="675">
        <f>+CUBICACION!O1576</f>
        <v>0</v>
      </c>
      <c r="P1577" s="15">
        <f>IF(O1577="Fire Control",VLOOKUP(_xlfn.MINIFS('FIRE CONTROL'!$C$4:$C$37,'FIRE CONTROL'!$C$4:$C$37,"&gt;="&amp;M1577),'FIRE CONTROL'!$C$4:$G$37,IF(L1577="F-15",2,IF(L1577="F-30",3,IF(L1577="F-60",4,IF(L1577="F-90",5,0)))),0),0)+IF(AND(O1577="FIRE TEX 5062",OR(E1577="IN",E1577="C",E1577="Z",E1577="L"),J1577=3),VLOOKUP(_xlfn.MINIFS('FIRE TEX 5062'!$B$4:$B$34,'FIRE TEX 5062'!$B$4:$B$34,"&gt;="&amp;M1577),'FIRE TEX 5062'!$B$4:$F$34,IF(L1577="F-15",2,IF(L1577="F-30",3,IF(L1577="F-60",4,IF(L1577="F-90",5,0)))),0),0)+IF(AND(O1577="FIRE TEX 5062",OR(E1577="IN",E1577="C",E1577="Z",E1577="L"),J1577=4),VLOOKUP(_xlfn.MINIFS('FIRE TEX 5062'!$G$4:$G$34,'FIRE TEX 5062'!$G$4:$G$34,"&gt;="&amp;M1577),'FIRE TEX 5062'!$G$4:$K$34,IF(L1577="F-15",2,IF(L1577="F-30",3,IF(L1577="F-60",4,IF(L1577="F-90",5,0)))),0),0)+IF(AND(O1577="FIRE TEX 5062",E1577="CJ",J1577=3),VLOOKUP(_xlfn.MINIFS('FIRE TEX 5062'!$L$4:$L$34,'FIRE TEX 5062'!$L$4:$L$34,"&gt;="&amp;M1577),'FIRE TEX 5062'!$L$4:$P$34,IF(L1577="F-15",2,IF(L1577="F-30",3,IF(L1577="F-60",4,IF(L1577="F-90",5,0)))),0),0)+IF(AND(O1577="FIRE TEX 5062",E1577="CJ",J1577=4),VLOOKUP(_xlfn.MINIFS('FIRE TEX 5062'!$Q$3:$Q$34,'FIRE TEX 5062'!$Q$3:$Q$34,"&gt;="&amp;M1577),'FIRE TEX 5062'!$Q$3:$U$34,IF(L1577="F-15",2,IF(L1577="F-30",3,IF(L1577="F-60",4,IF(L1577="F-90",5,0)))),0),0)+IF(AND(O1577="FIRE TEX 5090",OR(E1577="IN",E1577="C",E1577="Z",E1577="L"),J1577=3),VLOOKUP(_xlfn.MINIFS('FIRE TEX 5090'!$B$5:$B$43,'FIRE TEX 5090'!$B$5:$B$43,"&gt;="&amp;M1577),'FIRE TEX 5090'!$B$5:$H$43,IF(L1577="F-15",2,IF(L1577="F-30",3,IF(L1577="F-60",4,IF(L1577="F-90",5,IF(L1577="F-120",6,IF(L1577="F-150",7,0)))))),0),0)+IF(AND(O1577="FIRE TEX 5090",OR(E1577="IN",E1577="C",E1577="Z",E1577="L"),J1577=4),VLOOKUP(_xlfn.MINIFS('FIRE TEX 5090'!$J$5:$J$43,'FIRE TEX 5090'!$J$5:$J$43,"&gt;="&amp;M1577),'FIRE TEX 5090'!$J$5:$P$43,IF(L1577="F-15",2,IF(L1577="F-30",3,IF(L1577="F-60",4,IF(L1577="F-90",5,IF(L1577="F-120",6,IF(L1577="F-150",7,0)))))),0),0)+IF(AND(O1577="FIRE TEX 5090",E1577="CJ",J1577=3),VLOOKUP(_xlfn.MINIFS('FIRE TEX 5090'!$R$5:$R$30,'FIRE TEX 5090'!$R$5:$R$30,"&gt;="&amp;M1577),'FIRE TEX 5090'!$R$5:$W$30,IF(L1577="F-15",2,IF(L1577="F-30",3,IF(L1577="F-60",4,IF(L1577="F-90",5,IF(L1577="F-120",6,IF(L1577="F-150",7,0)))))),0),0)+IF(AND(O1577="FIRE TEX 5090",E1577="CJ",J1577=4),VLOOKUP(_xlfn.MINIFS('FIRE TEX 5090'!$Y$5:$Y$39,'FIRE TEX 5090'!$Y$5:$Y$39,"&gt;="&amp;M1577),'FIRE TEX 5090'!$Y$5:$AD$39,IF(L1577="F-15",2,IF(L1577="F-30",3,IF(L1577="F-60",4,IF(L1577="F-90",5,IF(L1577="F-120",6,IF(L1577="F-150",7,0)))))),0),0)+IF(AND(O1577="FIRE TEX 5120",OR(E1577="IN",E1577="C",E1577="Z",E1577="L"),J1577=3),VLOOKUP(_xlfn.MINIFS('FIRE TEX 5120'!$B$5:$B$40,'FIRE TEX 5120'!$B$5:$B$40,"&gt;="&amp;M1577),'FIRE TEX 5120'!$B$5:$G$40,IF(L1577="F-15",2,IF(L1577="F-30",3,IF(L1577="F-60",4,IF(L1577="F-90",5,IF(L1577="F-120",6,0))))),0),0)+IF(AND(O1577="FIRE TEX 5120",OR(E1577="IN",E1577="C",E1577="Z",E1577="L"),J1577=4),VLOOKUP(_xlfn.MINIFS('FIRE TEX 5120'!$H$4:$H$40,'FIRE TEX 5120'!$H$4:$H$40,"&gt;="&amp;M1577),'FIRE TEX 5120'!$H$4:$M$40,IF(L1577="F-15",2,IF(L1577="F-30",3,IF(L1577="F-60",4,IF(L1577="F-90",5,IF(L1577="F-120",6,0))))),0),0)+IF(AND(O1577="FIRE TEX 5120",E1577="CJ"),VLOOKUP(_xlfn.MINIFS('FIRE TEX 5120'!$O$5:$O$40,'FIRE TEX 5120'!$O$5:$O$40,"&gt;="&amp;M1577),'FIRE TEX 5120'!$O$5:$T$40,IF(L1577="F-15",2,IF(L1577="F-30",3,IF(L1577="F-60",4,IF(L1577="F-90",5,IF(L1577="F-120",6,0))))),0),0)</f>
        <v>0</v>
      </c>
      <c r="Q1577" s="46">
        <f t="shared" si="139"/>
        <v>0</v>
      </c>
      <c r="R1577" s="46">
        <f t="shared" si="140"/>
        <v>0</v>
      </c>
      <c r="S1577" s="46" t="e">
        <f t="shared" si="141"/>
        <v>#VALUE!</v>
      </c>
      <c r="T1577" s="677">
        <f t="shared" si="142"/>
        <v>0</v>
      </c>
      <c r="U1577" s="80">
        <f>(IF(O1577="Stofire",(S1577*#REF!),0))+(IF(O1577="Fire Control",(S1577*$U$2),0))+(IF(O1577="Fire Tex",(S1577*$U$3),0))+(IF(O1577="WB7",(S1577*#REF!),0)+(IF(O1577="FX 2003",(S1577*$U$5),0)))</f>
        <v>0</v>
      </c>
      <c r="V1577" s="651">
        <f t="shared" si="143"/>
        <v>0</v>
      </c>
    </row>
    <row r="1578" spans="4:22" x14ac:dyDescent="0.25">
      <c r="D1578" s="118">
        <f>+CUBICACION!D1577</f>
        <v>0</v>
      </c>
      <c r="E1578" s="118">
        <f>+CUBICACION!F1577</f>
        <v>0</v>
      </c>
      <c r="F1578" s="118">
        <f>+CUBICACION!E1577</f>
        <v>0</v>
      </c>
      <c r="G1578" s="118">
        <v>12</v>
      </c>
      <c r="H1578" s="118">
        <v>2</v>
      </c>
      <c r="I1578" s="820">
        <v>26385</v>
      </c>
      <c r="J1578" s="118">
        <f>+CUBICACION!J1577</f>
        <v>0</v>
      </c>
      <c r="K1578" s="118">
        <v>4357</v>
      </c>
      <c r="L1578" s="118">
        <f>+CUBICACION!L1577</f>
        <v>0</v>
      </c>
      <c r="M1578" s="64">
        <f>+CUBICACION!M1577</f>
        <v>0</v>
      </c>
      <c r="N1578" s="824" t="str">
        <f>+CUBICACION!N1577</f>
        <v/>
      </c>
      <c r="O1578" s="675">
        <f>+CUBICACION!O1577</f>
        <v>0</v>
      </c>
      <c r="P1578" s="15">
        <f>IF(O1578="Fire Control",VLOOKUP(_xlfn.MINIFS('FIRE CONTROL'!$C$4:$C$37,'FIRE CONTROL'!$C$4:$C$37,"&gt;="&amp;M1578),'FIRE CONTROL'!$C$4:$G$37,IF(L1578="F-15",2,IF(L1578="F-30",3,IF(L1578="F-60",4,IF(L1578="F-90",5,0)))),0),0)+IF(AND(O1578="FIRE TEX 5062",OR(E1578="IN",E1578="C",E1578="Z",E1578="L"),J1578=3),VLOOKUP(_xlfn.MINIFS('FIRE TEX 5062'!$B$4:$B$34,'FIRE TEX 5062'!$B$4:$B$34,"&gt;="&amp;M1578),'FIRE TEX 5062'!$B$4:$F$34,IF(L1578="F-15",2,IF(L1578="F-30",3,IF(L1578="F-60",4,IF(L1578="F-90",5,0)))),0),0)+IF(AND(O1578="FIRE TEX 5062",OR(E1578="IN",E1578="C",E1578="Z",E1578="L"),J1578=4),VLOOKUP(_xlfn.MINIFS('FIRE TEX 5062'!$G$4:$G$34,'FIRE TEX 5062'!$G$4:$G$34,"&gt;="&amp;M1578),'FIRE TEX 5062'!$G$4:$K$34,IF(L1578="F-15",2,IF(L1578="F-30",3,IF(L1578="F-60",4,IF(L1578="F-90",5,0)))),0),0)+IF(AND(O1578="FIRE TEX 5062",E1578="CJ",J1578=3),VLOOKUP(_xlfn.MINIFS('FIRE TEX 5062'!$L$4:$L$34,'FIRE TEX 5062'!$L$4:$L$34,"&gt;="&amp;M1578),'FIRE TEX 5062'!$L$4:$P$34,IF(L1578="F-15",2,IF(L1578="F-30",3,IF(L1578="F-60",4,IF(L1578="F-90",5,0)))),0),0)+IF(AND(O1578="FIRE TEX 5062",E1578="CJ",J1578=4),VLOOKUP(_xlfn.MINIFS('FIRE TEX 5062'!$Q$3:$Q$34,'FIRE TEX 5062'!$Q$3:$Q$34,"&gt;="&amp;M1578),'FIRE TEX 5062'!$Q$3:$U$34,IF(L1578="F-15",2,IF(L1578="F-30",3,IF(L1578="F-60",4,IF(L1578="F-90",5,0)))),0),0)+IF(AND(O1578="FIRE TEX 5090",OR(E1578="IN",E1578="C",E1578="Z",E1578="L"),J1578=3),VLOOKUP(_xlfn.MINIFS('FIRE TEX 5090'!$B$5:$B$43,'FIRE TEX 5090'!$B$5:$B$43,"&gt;="&amp;M1578),'FIRE TEX 5090'!$B$5:$H$43,IF(L1578="F-15",2,IF(L1578="F-30",3,IF(L1578="F-60",4,IF(L1578="F-90",5,IF(L1578="F-120",6,IF(L1578="F-150",7,0)))))),0),0)+IF(AND(O1578="FIRE TEX 5090",OR(E1578="IN",E1578="C",E1578="Z",E1578="L"),J1578=4),VLOOKUP(_xlfn.MINIFS('FIRE TEX 5090'!$J$5:$J$43,'FIRE TEX 5090'!$J$5:$J$43,"&gt;="&amp;M1578),'FIRE TEX 5090'!$J$5:$P$43,IF(L1578="F-15",2,IF(L1578="F-30",3,IF(L1578="F-60",4,IF(L1578="F-90",5,IF(L1578="F-120",6,IF(L1578="F-150",7,0)))))),0),0)+IF(AND(O1578="FIRE TEX 5090",E1578="CJ",J1578=3),VLOOKUP(_xlfn.MINIFS('FIRE TEX 5090'!$R$5:$R$30,'FIRE TEX 5090'!$R$5:$R$30,"&gt;="&amp;M1578),'FIRE TEX 5090'!$R$5:$W$30,IF(L1578="F-15",2,IF(L1578="F-30",3,IF(L1578="F-60",4,IF(L1578="F-90",5,IF(L1578="F-120",6,IF(L1578="F-150",7,0)))))),0),0)+IF(AND(O1578="FIRE TEX 5090",E1578="CJ",J1578=4),VLOOKUP(_xlfn.MINIFS('FIRE TEX 5090'!$Y$5:$Y$39,'FIRE TEX 5090'!$Y$5:$Y$39,"&gt;="&amp;M1578),'FIRE TEX 5090'!$Y$5:$AD$39,IF(L1578="F-15",2,IF(L1578="F-30",3,IF(L1578="F-60",4,IF(L1578="F-90",5,IF(L1578="F-120",6,IF(L1578="F-150",7,0)))))),0),0)+IF(AND(O1578="FIRE TEX 5120",OR(E1578="IN",E1578="C",E1578="Z",E1578="L"),J1578=3),VLOOKUP(_xlfn.MINIFS('FIRE TEX 5120'!$B$5:$B$40,'FIRE TEX 5120'!$B$5:$B$40,"&gt;="&amp;M1578),'FIRE TEX 5120'!$B$5:$G$40,IF(L1578="F-15",2,IF(L1578="F-30",3,IF(L1578="F-60",4,IF(L1578="F-90",5,IF(L1578="F-120",6,0))))),0),0)+IF(AND(O1578="FIRE TEX 5120",OR(E1578="IN",E1578="C",E1578="Z",E1578="L"),J1578=4),VLOOKUP(_xlfn.MINIFS('FIRE TEX 5120'!$H$4:$H$40,'FIRE TEX 5120'!$H$4:$H$40,"&gt;="&amp;M1578),'FIRE TEX 5120'!$H$4:$M$40,IF(L1578="F-15",2,IF(L1578="F-30",3,IF(L1578="F-60",4,IF(L1578="F-90",5,IF(L1578="F-120",6,0))))),0),0)+IF(AND(O1578="FIRE TEX 5120",E1578="CJ"),VLOOKUP(_xlfn.MINIFS('FIRE TEX 5120'!$O$5:$O$40,'FIRE TEX 5120'!$O$5:$O$40,"&gt;="&amp;M1578),'FIRE TEX 5120'!$O$5:$T$40,IF(L1578="F-15",2,IF(L1578="F-30",3,IF(L1578="F-60",4,IF(L1578="F-90",5,IF(L1578="F-120",6,0))))),0),0)</f>
        <v>0</v>
      </c>
      <c r="Q1578" s="46">
        <f t="shared" si="139"/>
        <v>0</v>
      </c>
      <c r="R1578" s="46">
        <f t="shared" si="140"/>
        <v>0</v>
      </c>
      <c r="S1578" s="46" t="e">
        <f t="shared" si="141"/>
        <v>#VALUE!</v>
      </c>
      <c r="T1578" s="677">
        <f t="shared" si="142"/>
        <v>0</v>
      </c>
      <c r="U1578" s="80">
        <f>(IF(O1578="Stofire",(S1578*#REF!),0))+(IF(O1578="Fire Control",(S1578*$U$2),0))+(IF(O1578="Fire Tex",(S1578*$U$3),0))+(IF(O1578="WB7",(S1578*#REF!),0)+(IF(O1578="FX 2003",(S1578*$U$5),0)))</f>
        <v>0</v>
      </c>
      <c r="V1578" s="651">
        <f t="shared" si="143"/>
        <v>0</v>
      </c>
    </row>
    <row r="1579" spans="4:22" x14ac:dyDescent="0.25">
      <c r="D1579" s="118">
        <f>+CUBICACION!D1578</f>
        <v>0</v>
      </c>
      <c r="E1579" s="118">
        <f>+CUBICACION!F1578</f>
        <v>0</v>
      </c>
      <c r="F1579" s="118">
        <f>+CUBICACION!E1578</f>
        <v>0</v>
      </c>
      <c r="G1579" s="118">
        <v>12</v>
      </c>
      <c r="H1579" s="118">
        <v>2</v>
      </c>
      <c r="I1579" s="820">
        <v>26385</v>
      </c>
      <c r="J1579" s="118">
        <f>+CUBICACION!J1578</f>
        <v>0</v>
      </c>
      <c r="K1579" s="118">
        <v>4358</v>
      </c>
      <c r="L1579" s="118">
        <f>+CUBICACION!L1578</f>
        <v>0</v>
      </c>
      <c r="M1579" s="64">
        <f>+CUBICACION!M1578</f>
        <v>0</v>
      </c>
      <c r="N1579" s="824" t="str">
        <f>+CUBICACION!N1578</f>
        <v/>
      </c>
      <c r="O1579" s="675">
        <f>+CUBICACION!O1578</f>
        <v>0</v>
      </c>
      <c r="P1579" s="15">
        <f>IF(O1579="Fire Control",VLOOKUP(_xlfn.MINIFS('FIRE CONTROL'!$C$4:$C$37,'FIRE CONTROL'!$C$4:$C$37,"&gt;="&amp;M1579),'FIRE CONTROL'!$C$4:$G$37,IF(L1579="F-15",2,IF(L1579="F-30",3,IF(L1579="F-60",4,IF(L1579="F-90",5,0)))),0),0)+IF(AND(O1579="FIRE TEX 5062",OR(E1579="IN",E1579="C",E1579="Z",E1579="L"),J1579=3),VLOOKUP(_xlfn.MINIFS('FIRE TEX 5062'!$B$4:$B$34,'FIRE TEX 5062'!$B$4:$B$34,"&gt;="&amp;M1579),'FIRE TEX 5062'!$B$4:$F$34,IF(L1579="F-15",2,IF(L1579="F-30",3,IF(L1579="F-60",4,IF(L1579="F-90",5,0)))),0),0)+IF(AND(O1579="FIRE TEX 5062",OR(E1579="IN",E1579="C",E1579="Z",E1579="L"),J1579=4),VLOOKUP(_xlfn.MINIFS('FIRE TEX 5062'!$G$4:$G$34,'FIRE TEX 5062'!$G$4:$G$34,"&gt;="&amp;M1579),'FIRE TEX 5062'!$G$4:$K$34,IF(L1579="F-15",2,IF(L1579="F-30",3,IF(L1579="F-60",4,IF(L1579="F-90",5,0)))),0),0)+IF(AND(O1579="FIRE TEX 5062",E1579="CJ",J1579=3),VLOOKUP(_xlfn.MINIFS('FIRE TEX 5062'!$L$4:$L$34,'FIRE TEX 5062'!$L$4:$L$34,"&gt;="&amp;M1579),'FIRE TEX 5062'!$L$4:$P$34,IF(L1579="F-15",2,IF(L1579="F-30",3,IF(L1579="F-60",4,IF(L1579="F-90",5,0)))),0),0)+IF(AND(O1579="FIRE TEX 5062",E1579="CJ",J1579=4),VLOOKUP(_xlfn.MINIFS('FIRE TEX 5062'!$Q$3:$Q$34,'FIRE TEX 5062'!$Q$3:$Q$34,"&gt;="&amp;M1579),'FIRE TEX 5062'!$Q$3:$U$34,IF(L1579="F-15",2,IF(L1579="F-30",3,IF(L1579="F-60",4,IF(L1579="F-90",5,0)))),0),0)+IF(AND(O1579="FIRE TEX 5090",OR(E1579="IN",E1579="C",E1579="Z",E1579="L"),J1579=3),VLOOKUP(_xlfn.MINIFS('FIRE TEX 5090'!$B$5:$B$43,'FIRE TEX 5090'!$B$5:$B$43,"&gt;="&amp;M1579),'FIRE TEX 5090'!$B$5:$H$43,IF(L1579="F-15",2,IF(L1579="F-30",3,IF(L1579="F-60",4,IF(L1579="F-90",5,IF(L1579="F-120",6,IF(L1579="F-150",7,0)))))),0),0)+IF(AND(O1579="FIRE TEX 5090",OR(E1579="IN",E1579="C",E1579="Z",E1579="L"),J1579=4),VLOOKUP(_xlfn.MINIFS('FIRE TEX 5090'!$J$5:$J$43,'FIRE TEX 5090'!$J$5:$J$43,"&gt;="&amp;M1579),'FIRE TEX 5090'!$J$5:$P$43,IF(L1579="F-15",2,IF(L1579="F-30",3,IF(L1579="F-60",4,IF(L1579="F-90",5,IF(L1579="F-120",6,IF(L1579="F-150",7,0)))))),0),0)+IF(AND(O1579="FIRE TEX 5090",E1579="CJ",J1579=3),VLOOKUP(_xlfn.MINIFS('FIRE TEX 5090'!$R$5:$R$30,'FIRE TEX 5090'!$R$5:$R$30,"&gt;="&amp;M1579),'FIRE TEX 5090'!$R$5:$W$30,IF(L1579="F-15",2,IF(L1579="F-30",3,IF(L1579="F-60",4,IF(L1579="F-90",5,IF(L1579="F-120",6,IF(L1579="F-150",7,0)))))),0),0)+IF(AND(O1579="FIRE TEX 5090",E1579="CJ",J1579=4),VLOOKUP(_xlfn.MINIFS('FIRE TEX 5090'!$Y$5:$Y$39,'FIRE TEX 5090'!$Y$5:$Y$39,"&gt;="&amp;M1579),'FIRE TEX 5090'!$Y$5:$AD$39,IF(L1579="F-15",2,IF(L1579="F-30",3,IF(L1579="F-60",4,IF(L1579="F-90",5,IF(L1579="F-120",6,IF(L1579="F-150",7,0)))))),0),0)+IF(AND(O1579="FIRE TEX 5120",OR(E1579="IN",E1579="C",E1579="Z",E1579="L"),J1579=3),VLOOKUP(_xlfn.MINIFS('FIRE TEX 5120'!$B$5:$B$40,'FIRE TEX 5120'!$B$5:$B$40,"&gt;="&amp;M1579),'FIRE TEX 5120'!$B$5:$G$40,IF(L1579="F-15",2,IF(L1579="F-30",3,IF(L1579="F-60",4,IF(L1579="F-90",5,IF(L1579="F-120",6,0))))),0),0)+IF(AND(O1579="FIRE TEX 5120",OR(E1579="IN",E1579="C",E1579="Z",E1579="L"),J1579=4),VLOOKUP(_xlfn.MINIFS('FIRE TEX 5120'!$H$4:$H$40,'FIRE TEX 5120'!$H$4:$H$40,"&gt;="&amp;M1579),'FIRE TEX 5120'!$H$4:$M$40,IF(L1579="F-15",2,IF(L1579="F-30",3,IF(L1579="F-60",4,IF(L1579="F-90",5,IF(L1579="F-120",6,0))))),0),0)+IF(AND(O1579="FIRE TEX 5120",E1579="CJ"),VLOOKUP(_xlfn.MINIFS('FIRE TEX 5120'!$O$5:$O$40,'FIRE TEX 5120'!$O$5:$O$40,"&gt;="&amp;M1579),'FIRE TEX 5120'!$O$5:$T$40,IF(L1579="F-15",2,IF(L1579="F-30",3,IF(L1579="F-60",4,IF(L1579="F-90",5,IF(L1579="F-120",6,0))))),0),0)</f>
        <v>0</v>
      </c>
      <c r="Q1579" s="46">
        <f t="shared" si="139"/>
        <v>0</v>
      </c>
      <c r="R1579" s="46">
        <f t="shared" si="140"/>
        <v>0</v>
      </c>
      <c r="S1579" s="46" t="e">
        <f t="shared" si="141"/>
        <v>#VALUE!</v>
      </c>
      <c r="T1579" s="677">
        <f t="shared" si="142"/>
        <v>0</v>
      </c>
      <c r="U1579" s="80">
        <f>(IF(O1579="Stofire",(S1579*#REF!),0))+(IF(O1579="Fire Control",(S1579*$U$2),0))+(IF(O1579="Fire Tex",(S1579*$U$3),0))+(IF(O1579="WB7",(S1579*#REF!),0)+(IF(O1579="FX 2003",(S1579*$U$5),0)))</f>
        <v>0</v>
      </c>
      <c r="V1579" s="651">
        <f t="shared" si="143"/>
        <v>0</v>
      </c>
    </row>
    <row r="1580" spans="4:22" x14ac:dyDescent="0.25">
      <c r="D1580" s="118">
        <f>+CUBICACION!D1579</f>
        <v>0</v>
      </c>
      <c r="E1580" s="118">
        <f>+CUBICACION!F1579</f>
        <v>0</v>
      </c>
      <c r="F1580" s="118">
        <f>+CUBICACION!E1579</f>
        <v>0</v>
      </c>
      <c r="G1580" s="118">
        <v>12</v>
      </c>
      <c r="H1580" s="118">
        <v>2</v>
      </c>
      <c r="I1580" s="820">
        <v>26385</v>
      </c>
      <c r="J1580" s="118">
        <f>+CUBICACION!J1579</f>
        <v>0</v>
      </c>
      <c r="K1580" s="118">
        <v>4359</v>
      </c>
      <c r="L1580" s="118">
        <f>+CUBICACION!L1579</f>
        <v>0</v>
      </c>
      <c r="M1580" s="64">
        <f>+CUBICACION!M1579</f>
        <v>0</v>
      </c>
      <c r="N1580" s="824" t="str">
        <f>+CUBICACION!N1579</f>
        <v/>
      </c>
      <c r="O1580" s="675">
        <f>+CUBICACION!O1579</f>
        <v>0</v>
      </c>
      <c r="P1580" s="15">
        <f>IF(O1580="Fire Control",VLOOKUP(_xlfn.MINIFS('FIRE CONTROL'!$C$4:$C$37,'FIRE CONTROL'!$C$4:$C$37,"&gt;="&amp;M1580),'FIRE CONTROL'!$C$4:$G$37,IF(L1580="F-15",2,IF(L1580="F-30",3,IF(L1580="F-60",4,IF(L1580="F-90",5,0)))),0),0)+IF(AND(O1580="FIRE TEX 5062",OR(E1580="IN",E1580="C",E1580="Z",E1580="L"),J1580=3),VLOOKUP(_xlfn.MINIFS('FIRE TEX 5062'!$B$4:$B$34,'FIRE TEX 5062'!$B$4:$B$34,"&gt;="&amp;M1580),'FIRE TEX 5062'!$B$4:$F$34,IF(L1580="F-15",2,IF(L1580="F-30",3,IF(L1580="F-60",4,IF(L1580="F-90",5,0)))),0),0)+IF(AND(O1580="FIRE TEX 5062",OR(E1580="IN",E1580="C",E1580="Z",E1580="L"),J1580=4),VLOOKUP(_xlfn.MINIFS('FIRE TEX 5062'!$G$4:$G$34,'FIRE TEX 5062'!$G$4:$G$34,"&gt;="&amp;M1580),'FIRE TEX 5062'!$G$4:$K$34,IF(L1580="F-15",2,IF(L1580="F-30",3,IF(L1580="F-60",4,IF(L1580="F-90",5,0)))),0),0)+IF(AND(O1580="FIRE TEX 5062",E1580="CJ",J1580=3),VLOOKUP(_xlfn.MINIFS('FIRE TEX 5062'!$L$4:$L$34,'FIRE TEX 5062'!$L$4:$L$34,"&gt;="&amp;M1580),'FIRE TEX 5062'!$L$4:$P$34,IF(L1580="F-15",2,IF(L1580="F-30",3,IF(L1580="F-60",4,IF(L1580="F-90",5,0)))),0),0)+IF(AND(O1580="FIRE TEX 5062",E1580="CJ",J1580=4),VLOOKUP(_xlfn.MINIFS('FIRE TEX 5062'!$Q$3:$Q$34,'FIRE TEX 5062'!$Q$3:$Q$34,"&gt;="&amp;M1580),'FIRE TEX 5062'!$Q$3:$U$34,IF(L1580="F-15",2,IF(L1580="F-30",3,IF(L1580="F-60",4,IF(L1580="F-90",5,0)))),0),0)+IF(AND(O1580="FIRE TEX 5090",OR(E1580="IN",E1580="C",E1580="Z",E1580="L"),J1580=3),VLOOKUP(_xlfn.MINIFS('FIRE TEX 5090'!$B$5:$B$43,'FIRE TEX 5090'!$B$5:$B$43,"&gt;="&amp;M1580),'FIRE TEX 5090'!$B$5:$H$43,IF(L1580="F-15",2,IF(L1580="F-30",3,IF(L1580="F-60",4,IF(L1580="F-90",5,IF(L1580="F-120",6,IF(L1580="F-150",7,0)))))),0),0)+IF(AND(O1580="FIRE TEX 5090",OR(E1580="IN",E1580="C",E1580="Z",E1580="L"),J1580=4),VLOOKUP(_xlfn.MINIFS('FIRE TEX 5090'!$J$5:$J$43,'FIRE TEX 5090'!$J$5:$J$43,"&gt;="&amp;M1580),'FIRE TEX 5090'!$J$5:$P$43,IF(L1580="F-15",2,IF(L1580="F-30",3,IF(L1580="F-60",4,IF(L1580="F-90",5,IF(L1580="F-120",6,IF(L1580="F-150",7,0)))))),0),0)+IF(AND(O1580="FIRE TEX 5090",E1580="CJ",J1580=3),VLOOKUP(_xlfn.MINIFS('FIRE TEX 5090'!$R$5:$R$30,'FIRE TEX 5090'!$R$5:$R$30,"&gt;="&amp;M1580),'FIRE TEX 5090'!$R$5:$W$30,IF(L1580="F-15",2,IF(L1580="F-30",3,IF(L1580="F-60",4,IF(L1580="F-90",5,IF(L1580="F-120",6,IF(L1580="F-150",7,0)))))),0),0)+IF(AND(O1580="FIRE TEX 5090",E1580="CJ",J1580=4),VLOOKUP(_xlfn.MINIFS('FIRE TEX 5090'!$Y$5:$Y$39,'FIRE TEX 5090'!$Y$5:$Y$39,"&gt;="&amp;M1580),'FIRE TEX 5090'!$Y$5:$AD$39,IF(L1580="F-15",2,IF(L1580="F-30",3,IF(L1580="F-60",4,IF(L1580="F-90",5,IF(L1580="F-120",6,IF(L1580="F-150",7,0)))))),0),0)+IF(AND(O1580="FIRE TEX 5120",OR(E1580="IN",E1580="C",E1580="Z",E1580="L"),J1580=3),VLOOKUP(_xlfn.MINIFS('FIRE TEX 5120'!$B$5:$B$40,'FIRE TEX 5120'!$B$5:$B$40,"&gt;="&amp;M1580),'FIRE TEX 5120'!$B$5:$G$40,IF(L1580="F-15",2,IF(L1580="F-30",3,IF(L1580="F-60",4,IF(L1580="F-90",5,IF(L1580="F-120",6,0))))),0),0)+IF(AND(O1580="FIRE TEX 5120",OR(E1580="IN",E1580="C",E1580="Z",E1580="L"),J1580=4),VLOOKUP(_xlfn.MINIFS('FIRE TEX 5120'!$H$4:$H$40,'FIRE TEX 5120'!$H$4:$H$40,"&gt;="&amp;M1580),'FIRE TEX 5120'!$H$4:$M$40,IF(L1580="F-15",2,IF(L1580="F-30",3,IF(L1580="F-60",4,IF(L1580="F-90",5,IF(L1580="F-120",6,0))))),0),0)+IF(AND(O1580="FIRE TEX 5120",E1580="CJ"),VLOOKUP(_xlfn.MINIFS('FIRE TEX 5120'!$O$5:$O$40,'FIRE TEX 5120'!$O$5:$O$40,"&gt;="&amp;M1580),'FIRE TEX 5120'!$O$5:$T$40,IF(L1580="F-15",2,IF(L1580="F-30",3,IF(L1580="F-60",4,IF(L1580="F-90",5,IF(L1580="F-120",6,0))))),0),0)</f>
        <v>0</v>
      </c>
      <c r="Q1580" s="46">
        <f t="shared" si="139"/>
        <v>0</v>
      </c>
      <c r="R1580" s="46">
        <f t="shared" si="140"/>
        <v>0</v>
      </c>
      <c r="S1580" s="46" t="e">
        <f t="shared" si="141"/>
        <v>#VALUE!</v>
      </c>
      <c r="T1580" s="677">
        <f t="shared" si="142"/>
        <v>0</v>
      </c>
      <c r="U1580" s="80">
        <f>(IF(O1580="Stofire",(S1580*#REF!),0))+(IF(O1580="Fire Control",(S1580*$U$2),0))+(IF(O1580="Fire Tex",(S1580*$U$3),0))+(IF(O1580="WB7",(S1580*#REF!),0)+(IF(O1580="FX 2003",(S1580*$U$5),0)))</f>
        <v>0</v>
      </c>
      <c r="V1580" s="651">
        <f t="shared" si="143"/>
        <v>0</v>
      </c>
    </row>
    <row r="1581" spans="4:22" x14ac:dyDescent="0.25">
      <c r="D1581" s="118">
        <f>+CUBICACION!D1580</f>
        <v>0</v>
      </c>
      <c r="E1581" s="118">
        <f>+CUBICACION!F1580</f>
        <v>0</v>
      </c>
      <c r="F1581" s="118">
        <f>+CUBICACION!E1580</f>
        <v>0</v>
      </c>
      <c r="G1581" s="118">
        <v>12</v>
      </c>
      <c r="H1581" s="118">
        <v>2</v>
      </c>
      <c r="I1581" s="820">
        <v>26385</v>
      </c>
      <c r="J1581" s="118">
        <f>+CUBICACION!J1580</f>
        <v>0</v>
      </c>
      <c r="K1581" s="118">
        <v>4360</v>
      </c>
      <c r="L1581" s="118">
        <f>+CUBICACION!L1580</f>
        <v>0</v>
      </c>
      <c r="M1581" s="64">
        <f>+CUBICACION!M1580</f>
        <v>0</v>
      </c>
      <c r="N1581" s="824" t="str">
        <f>+CUBICACION!N1580</f>
        <v/>
      </c>
      <c r="O1581" s="675">
        <f>+CUBICACION!O1580</f>
        <v>0</v>
      </c>
      <c r="P1581" s="15">
        <f>IF(O1581="Fire Control",VLOOKUP(_xlfn.MINIFS('FIRE CONTROL'!$C$4:$C$37,'FIRE CONTROL'!$C$4:$C$37,"&gt;="&amp;M1581),'FIRE CONTROL'!$C$4:$G$37,IF(L1581="F-15",2,IF(L1581="F-30",3,IF(L1581="F-60",4,IF(L1581="F-90",5,0)))),0),0)+IF(AND(O1581="FIRE TEX 5062",OR(E1581="IN",E1581="C",E1581="Z",E1581="L"),J1581=3),VLOOKUP(_xlfn.MINIFS('FIRE TEX 5062'!$B$4:$B$34,'FIRE TEX 5062'!$B$4:$B$34,"&gt;="&amp;M1581),'FIRE TEX 5062'!$B$4:$F$34,IF(L1581="F-15",2,IF(L1581="F-30",3,IF(L1581="F-60",4,IF(L1581="F-90",5,0)))),0),0)+IF(AND(O1581="FIRE TEX 5062",OR(E1581="IN",E1581="C",E1581="Z",E1581="L"),J1581=4),VLOOKUP(_xlfn.MINIFS('FIRE TEX 5062'!$G$4:$G$34,'FIRE TEX 5062'!$G$4:$G$34,"&gt;="&amp;M1581),'FIRE TEX 5062'!$G$4:$K$34,IF(L1581="F-15",2,IF(L1581="F-30",3,IF(L1581="F-60",4,IF(L1581="F-90",5,0)))),0),0)+IF(AND(O1581="FIRE TEX 5062",E1581="CJ",J1581=3),VLOOKUP(_xlfn.MINIFS('FIRE TEX 5062'!$L$4:$L$34,'FIRE TEX 5062'!$L$4:$L$34,"&gt;="&amp;M1581),'FIRE TEX 5062'!$L$4:$P$34,IF(L1581="F-15",2,IF(L1581="F-30",3,IF(L1581="F-60",4,IF(L1581="F-90",5,0)))),0),0)+IF(AND(O1581="FIRE TEX 5062",E1581="CJ",J1581=4),VLOOKUP(_xlfn.MINIFS('FIRE TEX 5062'!$Q$3:$Q$34,'FIRE TEX 5062'!$Q$3:$Q$34,"&gt;="&amp;M1581),'FIRE TEX 5062'!$Q$3:$U$34,IF(L1581="F-15",2,IF(L1581="F-30",3,IF(L1581="F-60",4,IF(L1581="F-90",5,0)))),0),0)+IF(AND(O1581="FIRE TEX 5090",OR(E1581="IN",E1581="C",E1581="Z",E1581="L"),J1581=3),VLOOKUP(_xlfn.MINIFS('FIRE TEX 5090'!$B$5:$B$43,'FIRE TEX 5090'!$B$5:$B$43,"&gt;="&amp;M1581),'FIRE TEX 5090'!$B$5:$H$43,IF(L1581="F-15",2,IF(L1581="F-30",3,IF(L1581="F-60",4,IF(L1581="F-90",5,IF(L1581="F-120",6,IF(L1581="F-150",7,0)))))),0),0)+IF(AND(O1581="FIRE TEX 5090",OR(E1581="IN",E1581="C",E1581="Z",E1581="L"),J1581=4),VLOOKUP(_xlfn.MINIFS('FIRE TEX 5090'!$J$5:$J$43,'FIRE TEX 5090'!$J$5:$J$43,"&gt;="&amp;M1581),'FIRE TEX 5090'!$J$5:$P$43,IF(L1581="F-15",2,IF(L1581="F-30",3,IF(L1581="F-60",4,IF(L1581="F-90",5,IF(L1581="F-120",6,IF(L1581="F-150",7,0)))))),0),0)+IF(AND(O1581="FIRE TEX 5090",E1581="CJ",J1581=3),VLOOKUP(_xlfn.MINIFS('FIRE TEX 5090'!$R$5:$R$30,'FIRE TEX 5090'!$R$5:$R$30,"&gt;="&amp;M1581),'FIRE TEX 5090'!$R$5:$W$30,IF(L1581="F-15",2,IF(L1581="F-30",3,IF(L1581="F-60",4,IF(L1581="F-90",5,IF(L1581="F-120",6,IF(L1581="F-150",7,0)))))),0),0)+IF(AND(O1581="FIRE TEX 5090",E1581="CJ",J1581=4),VLOOKUP(_xlfn.MINIFS('FIRE TEX 5090'!$Y$5:$Y$39,'FIRE TEX 5090'!$Y$5:$Y$39,"&gt;="&amp;M1581),'FIRE TEX 5090'!$Y$5:$AD$39,IF(L1581="F-15",2,IF(L1581="F-30",3,IF(L1581="F-60",4,IF(L1581="F-90",5,IF(L1581="F-120",6,IF(L1581="F-150",7,0)))))),0),0)+IF(AND(O1581="FIRE TEX 5120",OR(E1581="IN",E1581="C",E1581="Z",E1581="L"),J1581=3),VLOOKUP(_xlfn.MINIFS('FIRE TEX 5120'!$B$5:$B$40,'FIRE TEX 5120'!$B$5:$B$40,"&gt;="&amp;M1581),'FIRE TEX 5120'!$B$5:$G$40,IF(L1581="F-15",2,IF(L1581="F-30",3,IF(L1581="F-60",4,IF(L1581="F-90",5,IF(L1581="F-120",6,0))))),0),0)+IF(AND(O1581="FIRE TEX 5120",OR(E1581="IN",E1581="C",E1581="Z",E1581="L"),J1581=4),VLOOKUP(_xlfn.MINIFS('FIRE TEX 5120'!$H$4:$H$40,'FIRE TEX 5120'!$H$4:$H$40,"&gt;="&amp;M1581),'FIRE TEX 5120'!$H$4:$M$40,IF(L1581="F-15",2,IF(L1581="F-30",3,IF(L1581="F-60",4,IF(L1581="F-90",5,IF(L1581="F-120",6,0))))),0),0)+IF(AND(O1581="FIRE TEX 5120",E1581="CJ"),VLOOKUP(_xlfn.MINIFS('FIRE TEX 5120'!$O$5:$O$40,'FIRE TEX 5120'!$O$5:$O$40,"&gt;="&amp;M1581),'FIRE TEX 5120'!$O$5:$T$40,IF(L1581="F-15",2,IF(L1581="F-30",3,IF(L1581="F-60",4,IF(L1581="F-90",5,IF(L1581="F-120",6,0))))),0),0)</f>
        <v>0</v>
      </c>
      <c r="Q1581" s="46">
        <f t="shared" ref="Q1581:Q1621" si="144">IF(P1581="","",IF(P1581="dar valor","",0.03937*P1581))</f>
        <v>0</v>
      </c>
      <c r="R1581" s="46">
        <f t="shared" ref="R1581:R1621" si="145">+(IF(O1581="Fire Control",((65*1.5/Q1581)*0.75*4),0))+(IF(OR(O1581="Fire Tex 5062",O1581="Fire Tex 5090",O1581="Fire Tex 5120"),((66*1.5/Q1581)*0.7*5),0))</f>
        <v>0</v>
      </c>
      <c r="S1581" s="46" t="e">
        <f t="shared" ref="S1581:S1621" si="146">IF(R1581="","",+N1581/R1581)</f>
        <v>#VALUE!</v>
      </c>
      <c r="T1581" s="677">
        <f t="shared" ref="T1581:T1621" si="147">(IF(O1581="Stofire",(S1581/(7*1)),0))+(IF(O1581="Fire Control",(S1581/(7*1)),0))+(IF(O1581="Fire Tex",(S1581/(7*1)),0))+(IF(O1581="WB7",(S1581/(7*1)),0))+(IF(O1581="FX 2003",(S1581/(7*1)),0))</f>
        <v>0</v>
      </c>
      <c r="U1581" s="80">
        <f>(IF(O1581="Stofire",(S1581*#REF!),0))+(IF(O1581="Fire Control",(S1581*$U$2),0))+(IF(O1581="Fire Tex",(S1581*$U$3),0))+(IF(O1581="WB7",(S1581*#REF!),0)+(IF(O1581="FX 2003",(S1581*$U$5),0)))</f>
        <v>0</v>
      </c>
      <c r="V1581" s="651">
        <f t="shared" ref="V1581:V1621" si="148">_xlfn.CEILING.MATH(M1581,10)</f>
        <v>0</v>
      </c>
    </row>
    <row r="1582" spans="4:22" x14ac:dyDescent="0.25">
      <c r="D1582" s="118">
        <f>+CUBICACION!D1581</f>
        <v>0</v>
      </c>
      <c r="E1582" s="118">
        <f>+CUBICACION!F1581</f>
        <v>0</v>
      </c>
      <c r="F1582" s="118">
        <f>+CUBICACION!E1581</f>
        <v>0</v>
      </c>
      <c r="G1582" s="118">
        <v>12</v>
      </c>
      <c r="H1582" s="118">
        <v>2</v>
      </c>
      <c r="I1582" s="820">
        <v>26385</v>
      </c>
      <c r="J1582" s="118">
        <f>+CUBICACION!J1581</f>
        <v>0</v>
      </c>
      <c r="K1582" s="118">
        <v>4361</v>
      </c>
      <c r="L1582" s="118">
        <f>+CUBICACION!L1581</f>
        <v>0</v>
      </c>
      <c r="M1582" s="64">
        <f>+CUBICACION!M1581</f>
        <v>0</v>
      </c>
      <c r="N1582" s="824" t="str">
        <f>+CUBICACION!N1581</f>
        <v/>
      </c>
      <c r="O1582" s="675">
        <f>+CUBICACION!O1581</f>
        <v>0</v>
      </c>
      <c r="P1582" s="15">
        <f>IF(O1582="Fire Control",VLOOKUP(_xlfn.MINIFS('FIRE CONTROL'!$C$4:$C$37,'FIRE CONTROL'!$C$4:$C$37,"&gt;="&amp;M1582),'FIRE CONTROL'!$C$4:$G$37,IF(L1582="F-15",2,IF(L1582="F-30",3,IF(L1582="F-60",4,IF(L1582="F-90",5,0)))),0),0)+IF(AND(O1582="FIRE TEX 5062",OR(E1582="IN",E1582="C",E1582="Z",E1582="L"),J1582=3),VLOOKUP(_xlfn.MINIFS('FIRE TEX 5062'!$B$4:$B$34,'FIRE TEX 5062'!$B$4:$B$34,"&gt;="&amp;M1582),'FIRE TEX 5062'!$B$4:$F$34,IF(L1582="F-15",2,IF(L1582="F-30",3,IF(L1582="F-60",4,IF(L1582="F-90",5,0)))),0),0)+IF(AND(O1582="FIRE TEX 5062",OR(E1582="IN",E1582="C",E1582="Z",E1582="L"),J1582=4),VLOOKUP(_xlfn.MINIFS('FIRE TEX 5062'!$G$4:$G$34,'FIRE TEX 5062'!$G$4:$G$34,"&gt;="&amp;M1582),'FIRE TEX 5062'!$G$4:$K$34,IF(L1582="F-15",2,IF(L1582="F-30",3,IF(L1582="F-60",4,IF(L1582="F-90",5,0)))),0),0)+IF(AND(O1582="FIRE TEX 5062",E1582="CJ",J1582=3),VLOOKUP(_xlfn.MINIFS('FIRE TEX 5062'!$L$4:$L$34,'FIRE TEX 5062'!$L$4:$L$34,"&gt;="&amp;M1582),'FIRE TEX 5062'!$L$4:$P$34,IF(L1582="F-15",2,IF(L1582="F-30",3,IF(L1582="F-60",4,IF(L1582="F-90",5,0)))),0),0)+IF(AND(O1582="FIRE TEX 5062",E1582="CJ",J1582=4),VLOOKUP(_xlfn.MINIFS('FIRE TEX 5062'!$Q$3:$Q$34,'FIRE TEX 5062'!$Q$3:$Q$34,"&gt;="&amp;M1582),'FIRE TEX 5062'!$Q$3:$U$34,IF(L1582="F-15",2,IF(L1582="F-30",3,IF(L1582="F-60",4,IF(L1582="F-90",5,0)))),0),0)+IF(AND(O1582="FIRE TEX 5090",OR(E1582="IN",E1582="C",E1582="Z",E1582="L"),J1582=3),VLOOKUP(_xlfn.MINIFS('FIRE TEX 5090'!$B$5:$B$43,'FIRE TEX 5090'!$B$5:$B$43,"&gt;="&amp;M1582),'FIRE TEX 5090'!$B$5:$H$43,IF(L1582="F-15",2,IF(L1582="F-30",3,IF(L1582="F-60",4,IF(L1582="F-90",5,IF(L1582="F-120",6,IF(L1582="F-150",7,0)))))),0),0)+IF(AND(O1582="FIRE TEX 5090",OR(E1582="IN",E1582="C",E1582="Z",E1582="L"),J1582=4),VLOOKUP(_xlfn.MINIFS('FIRE TEX 5090'!$J$5:$J$43,'FIRE TEX 5090'!$J$5:$J$43,"&gt;="&amp;M1582),'FIRE TEX 5090'!$J$5:$P$43,IF(L1582="F-15",2,IF(L1582="F-30",3,IF(L1582="F-60",4,IF(L1582="F-90",5,IF(L1582="F-120",6,IF(L1582="F-150",7,0)))))),0),0)+IF(AND(O1582="FIRE TEX 5090",E1582="CJ",J1582=3),VLOOKUP(_xlfn.MINIFS('FIRE TEX 5090'!$R$5:$R$30,'FIRE TEX 5090'!$R$5:$R$30,"&gt;="&amp;M1582),'FIRE TEX 5090'!$R$5:$W$30,IF(L1582="F-15",2,IF(L1582="F-30",3,IF(L1582="F-60",4,IF(L1582="F-90",5,IF(L1582="F-120",6,IF(L1582="F-150",7,0)))))),0),0)+IF(AND(O1582="FIRE TEX 5090",E1582="CJ",J1582=4),VLOOKUP(_xlfn.MINIFS('FIRE TEX 5090'!$Y$5:$Y$39,'FIRE TEX 5090'!$Y$5:$Y$39,"&gt;="&amp;M1582),'FIRE TEX 5090'!$Y$5:$AD$39,IF(L1582="F-15",2,IF(L1582="F-30",3,IF(L1582="F-60",4,IF(L1582="F-90",5,IF(L1582="F-120",6,IF(L1582="F-150",7,0)))))),0),0)+IF(AND(O1582="FIRE TEX 5120",OR(E1582="IN",E1582="C",E1582="Z",E1582="L"),J1582=3),VLOOKUP(_xlfn.MINIFS('FIRE TEX 5120'!$B$5:$B$40,'FIRE TEX 5120'!$B$5:$B$40,"&gt;="&amp;M1582),'FIRE TEX 5120'!$B$5:$G$40,IF(L1582="F-15",2,IF(L1582="F-30",3,IF(L1582="F-60",4,IF(L1582="F-90",5,IF(L1582="F-120",6,0))))),0),0)+IF(AND(O1582="FIRE TEX 5120",OR(E1582="IN",E1582="C",E1582="Z",E1582="L"),J1582=4),VLOOKUP(_xlfn.MINIFS('FIRE TEX 5120'!$H$4:$H$40,'FIRE TEX 5120'!$H$4:$H$40,"&gt;="&amp;M1582),'FIRE TEX 5120'!$H$4:$M$40,IF(L1582="F-15",2,IF(L1582="F-30",3,IF(L1582="F-60",4,IF(L1582="F-90",5,IF(L1582="F-120",6,0))))),0),0)+IF(AND(O1582="FIRE TEX 5120",E1582="CJ"),VLOOKUP(_xlfn.MINIFS('FIRE TEX 5120'!$O$5:$O$40,'FIRE TEX 5120'!$O$5:$O$40,"&gt;="&amp;M1582),'FIRE TEX 5120'!$O$5:$T$40,IF(L1582="F-15",2,IF(L1582="F-30",3,IF(L1582="F-60",4,IF(L1582="F-90",5,IF(L1582="F-120",6,0))))),0),0)</f>
        <v>0</v>
      </c>
      <c r="Q1582" s="46">
        <f t="shared" si="144"/>
        <v>0</v>
      </c>
      <c r="R1582" s="46">
        <f t="shared" si="145"/>
        <v>0</v>
      </c>
      <c r="S1582" s="46" t="e">
        <f t="shared" si="146"/>
        <v>#VALUE!</v>
      </c>
      <c r="T1582" s="677">
        <f t="shared" si="147"/>
        <v>0</v>
      </c>
      <c r="U1582" s="80">
        <f>(IF(O1582="Stofire",(S1582*#REF!),0))+(IF(O1582="Fire Control",(S1582*$U$2),0))+(IF(O1582="Fire Tex",(S1582*$U$3),0))+(IF(O1582="WB7",(S1582*#REF!),0)+(IF(O1582="FX 2003",(S1582*$U$5),0)))</f>
        <v>0</v>
      </c>
      <c r="V1582" s="651">
        <f t="shared" si="148"/>
        <v>0</v>
      </c>
    </row>
    <row r="1583" spans="4:22" x14ac:dyDescent="0.25">
      <c r="D1583" s="118">
        <f>+CUBICACION!D1582</f>
        <v>0</v>
      </c>
      <c r="E1583" s="118">
        <f>+CUBICACION!F1582</f>
        <v>0</v>
      </c>
      <c r="F1583" s="118">
        <f>+CUBICACION!E1582</f>
        <v>0</v>
      </c>
      <c r="G1583" s="118">
        <v>12</v>
      </c>
      <c r="H1583" s="118">
        <v>2</v>
      </c>
      <c r="I1583" s="820">
        <v>26385</v>
      </c>
      <c r="J1583" s="118">
        <f>+CUBICACION!J1582</f>
        <v>0</v>
      </c>
      <c r="K1583" s="118">
        <v>4362</v>
      </c>
      <c r="L1583" s="118">
        <f>+CUBICACION!L1582</f>
        <v>0</v>
      </c>
      <c r="M1583" s="64">
        <f>+CUBICACION!M1582</f>
        <v>0</v>
      </c>
      <c r="N1583" s="824" t="str">
        <f>+CUBICACION!N1582</f>
        <v/>
      </c>
      <c r="O1583" s="675">
        <f>+CUBICACION!O1582</f>
        <v>0</v>
      </c>
      <c r="P1583" s="15">
        <f>IF(O1583="Fire Control",VLOOKUP(_xlfn.MINIFS('FIRE CONTROL'!$C$4:$C$37,'FIRE CONTROL'!$C$4:$C$37,"&gt;="&amp;M1583),'FIRE CONTROL'!$C$4:$G$37,IF(L1583="F-15",2,IF(L1583="F-30",3,IF(L1583="F-60",4,IF(L1583="F-90",5,0)))),0),0)+IF(AND(O1583="FIRE TEX 5062",OR(E1583="IN",E1583="C",E1583="Z",E1583="L"),J1583=3),VLOOKUP(_xlfn.MINIFS('FIRE TEX 5062'!$B$4:$B$34,'FIRE TEX 5062'!$B$4:$B$34,"&gt;="&amp;M1583),'FIRE TEX 5062'!$B$4:$F$34,IF(L1583="F-15",2,IF(L1583="F-30",3,IF(L1583="F-60",4,IF(L1583="F-90",5,0)))),0),0)+IF(AND(O1583="FIRE TEX 5062",OR(E1583="IN",E1583="C",E1583="Z",E1583="L"),J1583=4),VLOOKUP(_xlfn.MINIFS('FIRE TEX 5062'!$G$4:$G$34,'FIRE TEX 5062'!$G$4:$G$34,"&gt;="&amp;M1583),'FIRE TEX 5062'!$G$4:$K$34,IF(L1583="F-15",2,IF(L1583="F-30",3,IF(L1583="F-60",4,IF(L1583="F-90",5,0)))),0),0)+IF(AND(O1583="FIRE TEX 5062",E1583="CJ",J1583=3),VLOOKUP(_xlfn.MINIFS('FIRE TEX 5062'!$L$4:$L$34,'FIRE TEX 5062'!$L$4:$L$34,"&gt;="&amp;M1583),'FIRE TEX 5062'!$L$4:$P$34,IF(L1583="F-15",2,IF(L1583="F-30",3,IF(L1583="F-60",4,IF(L1583="F-90",5,0)))),0),0)+IF(AND(O1583="FIRE TEX 5062",E1583="CJ",J1583=4),VLOOKUP(_xlfn.MINIFS('FIRE TEX 5062'!$Q$3:$Q$34,'FIRE TEX 5062'!$Q$3:$Q$34,"&gt;="&amp;M1583),'FIRE TEX 5062'!$Q$3:$U$34,IF(L1583="F-15",2,IF(L1583="F-30",3,IF(L1583="F-60",4,IF(L1583="F-90",5,0)))),0),0)+IF(AND(O1583="FIRE TEX 5090",OR(E1583="IN",E1583="C",E1583="Z",E1583="L"),J1583=3),VLOOKUP(_xlfn.MINIFS('FIRE TEX 5090'!$B$5:$B$43,'FIRE TEX 5090'!$B$5:$B$43,"&gt;="&amp;M1583),'FIRE TEX 5090'!$B$5:$H$43,IF(L1583="F-15",2,IF(L1583="F-30",3,IF(L1583="F-60",4,IF(L1583="F-90",5,IF(L1583="F-120",6,IF(L1583="F-150",7,0)))))),0),0)+IF(AND(O1583="FIRE TEX 5090",OR(E1583="IN",E1583="C",E1583="Z",E1583="L"),J1583=4),VLOOKUP(_xlfn.MINIFS('FIRE TEX 5090'!$J$5:$J$43,'FIRE TEX 5090'!$J$5:$J$43,"&gt;="&amp;M1583),'FIRE TEX 5090'!$J$5:$P$43,IF(L1583="F-15",2,IF(L1583="F-30",3,IF(L1583="F-60",4,IF(L1583="F-90",5,IF(L1583="F-120",6,IF(L1583="F-150",7,0)))))),0),0)+IF(AND(O1583="FIRE TEX 5090",E1583="CJ",J1583=3),VLOOKUP(_xlfn.MINIFS('FIRE TEX 5090'!$R$5:$R$30,'FIRE TEX 5090'!$R$5:$R$30,"&gt;="&amp;M1583),'FIRE TEX 5090'!$R$5:$W$30,IF(L1583="F-15",2,IF(L1583="F-30",3,IF(L1583="F-60",4,IF(L1583="F-90",5,IF(L1583="F-120",6,IF(L1583="F-150",7,0)))))),0),0)+IF(AND(O1583="FIRE TEX 5090",E1583="CJ",J1583=4),VLOOKUP(_xlfn.MINIFS('FIRE TEX 5090'!$Y$5:$Y$39,'FIRE TEX 5090'!$Y$5:$Y$39,"&gt;="&amp;M1583),'FIRE TEX 5090'!$Y$5:$AD$39,IF(L1583="F-15",2,IF(L1583="F-30",3,IF(L1583="F-60",4,IF(L1583="F-90",5,IF(L1583="F-120",6,IF(L1583="F-150",7,0)))))),0),0)+IF(AND(O1583="FIRE TEX 5120",OR(E1583="IN",E1583="C",E1583="Z",E1583="L"),J1583=3),VLOOKUP(_xlfn.MINIFS('FIRE TEX 5120'!$B$5:$B$40,'FIRE TEX 5120'!$B$5:$B$40,"&gt;="&amp;M1583),'FIRE TEX 5120'!$B$5:$G$40,IF(L1583="F-15",2,IF(L1583="F-30",3,IF(L1583="F-60",4,IF(L1583="F-90",5,IF(L1583="F-120",6,0))))),0),0)+IF(AND(O1583="FIRE TEX 5120",OR(E1583="IN",E1583="C",E1583="Z",E1583="L"),J1583=4),VLOOKUP(_xlfn.MINIFS('FIRE TEX 5120'!$H$4:$H$40,'FIRE TEX 5120'!$H$4:$H$40,"&gt;="&amp;M1583),'FIRE TEX 5120'!$H$4:$M$40,IF(L1583="F-15",2,IF(L1583="F-30",3,IF(L1583="F-60",4,IF(L1583="F-90",5,IF(L1583="F-120",6,0))))),0),0)+IF(AND(O1583="FIRE TEX 5120",E1583="CJ"),VLOOKUP(_xlfn.MINIFS('FIRE TEX 5120'!$O$5:$O$40,'FIRE TEX 5120'!$O$5:$O$40,"&gt;="&amp;M1583),'FIRE TEX 5120'!$O$5:$T$40,IF(L1583="F-15",2,IF(L1583="F-30",3,IF(L1583="F-60",4,IF(L1583="F-90",5,IF(L1583="F-120",6,0))))),0),0)</f>
        <v>0</v>
      </c>
      <c r="Q1583" s="46">
        <f t="shared" si="144"/>
        <v>0</v>
      </c>
      <c r="R1583" s="46">
        <f t="shared" si="145"/>
        <v>0</v>
      </c>
      <c r="S1583" s="46" t="e">
        <f t="shared" si="146"/>
        <v>#VALUE!</v>
      </c>
      <c r="T1583" s="677">
        <f t="shared" si="147"/>
        <v>0</v>
      </c>
      <c r="U1583" s="80">
        <f>(IF(O1583="Stofire",(S1583*#REF!),0))+(IF(O1583="Fire Control",(S1583*$U$2),0))+(IF(O1583="Fire Tex",(S1583*$U$3),0))+(IF(O1583="WB7",(S1583*#REF!),0)+(IF(O1583="FX 2003",(S1583*$U$5),0)))</f>
        <v>0</v>
      </c>
      <c r="V1583" s="651">
        <f t="shared" si="148"/>
        <v>0</v>
      </c>
    </row>
    <row r="1584" spans="4:22" x14ac:dyDescent="0.25">
      <c r="D1584" s="118">
        <f>+CUBICACION!D1583</f>
        <v>0</v>
      </c>
      <c r="E1584" s="118">
        <f>+CUBICACION!F1583</f>
        <v>0</v>
      </c>
      <c r="F1584" s="118">
        <f>+CUBICACION!E1583</f>
        <v>0</v>
      </c>
      <c r="G1584" s="118">
        <v>12</v>
      </c>
      <c r="H1584" s="118">
        <v>2</v>
      </c>
      <c r="I1584" s="820">
        <v>26385</v>
      </c>
      <c r="J1584" s="118">
        <f>+CUBICACION!J1583</f>
        <v>0</v>
      </c>
      <c r="K1584" s="118">
        <v>4363</v>
      </c>
      <c r="L1584" s="118">
        <f>+CUBICACION!L1583</f>
        <v>0</v>
      </c>
      <c r="M1584" s="64">
        <f>+CUBICACION!M1583</f>
        <v>0</v>
      </c>
      <c r="N1584" s="824" t="str">
        <f>+CUBICACION!N1583</f>
        <v/>
      </c>
      <c r="O1584" s="675">
        <f>+CUBICACION!O1583</f>
        <v>0</v>
      </c>
      <c r="P1584" s="15">
        <f>IF(O1584="Fire Control",VLOOKUP(_xlfn.MINIFS('FIRE CONTROL'!$C$4:$C$37,'FIRE CONTROL'!$C$4:$C$37,"&gt;="&amp;M1584),'FIRE CONTROL'!$C$4:$G$37,IF(L1584="F-15",2,IF(L1584="F-30",3,IF(L1584="F-60",4,IF(L1584="F-90",5,0)))),0),0)+IF(AND(O1584="FIRE TEX 5062",OR(E1584="IN",E1584="C",E1584="Z",E1584="L"),J1584=3),VLOOKUP(_xlfn.MINIFS('FIRE TEX 5062'!$B$4:$B$34,'FIRE TEX 5062'!$B$4:$B$34,"&gt;="&amp;M1584),'FIRE TEX 5062'!$B$4:$F$34,IF(L1584="F-15",2,IF(L1584="F-30",3,IF(L1584="F-60",4,IF(L1584="F-90",5,0)))),0),0)+IF(AND(O1584="FIRE TEX 5062",OR(E1584="IN",E1584="C",E1584="Z",E1584="L"),J1584=4),VLOOKUP(_xlfn.MINIFS('FIRE TEX 5062'!$G$4:$G$34,'FIRE TEX 5062'!$G$4:$G$34,"&gt;="&amp;M1584),'FIRE TEX 5062'!$G$4:$K$34,IF(L1584="F-15",2,IF(L1584="F-30",3,IF(L1584="F-60",4,IF(L1584="F-90",5,0)))),0),0)+IF(AND(O1584="FIRE TEX 5062",E1584="CJ",J1584=3),VLOOKUP(_xlfn.MINIFS('FIRE TEX 5062'!$L$4:$L$34,'FIRE TEX 5062'!$L$4:$L$34,"&gt;="&amp;M1584),'FIRE TEX 5062'!$L$4:$P$34,IF(L1584="F-15",2,IF(L1584="F-30",3,IF(L1584="F-60",4,IF(L1584="F-90",5,0)))),0),0)+IF(AND(O1584="FIRE TEX 5062",E1584="CJ",J1584=4),VLOOKUP(_xlfn.MINIFS('FIRE TEX 5062'!$Q$3:$Q$34,'FIRE TEX 5062'!$Q$3:$Q$34,"&gt;="&amp;M1584),'FIRE TEX 5062'!$Q$3:$U$34,IF(L1584="F-15",2,IF(L1584="F-30",3,IF(L1584="F-60",4,IF(L1584="F-90",5,0)))),0),0)+IF(AND(O1584="FIRE TEX 5090",OR(E1584="IN",E1584="C",E1584="Z",E1584="L"),J1584=3),VLOOKUP(_xlfn.MINIFS('FIRE TEX 5090'!$B$5:$B$43,'FIRE TEX 5090'!$B$5:$B$43,"&gt;="&amp;M1584),'FIRE TEX 5090'!$B$5:$H$43,IF(L1584="F-15",2,IF(L1584="F-30",3,IF(L1584="F-60",4,IF(L1584="F-90",5,IF(L1584="F-120",6,IF(L1584="F-150",7,0)))))),0),0)+IF(AND(O1584="FIRE TEX 5090",OR(E1584="IN",E1584="C",E1584="Z",E1584="L"),J1584=4),VLOOKUP(_xlfn.MINIFS('FIRE TEX 5090'!$J$5:$J$43,'FIRE TEX 5090'!$J$5:$J$43,"&gt;="&amp;M1584),'FIRE TEX 5090'!$J$5:$P$43,IF(L1584="F-15",2,IF(L1584="F-30",3,IF(L1584="F-60",4,IF(L1584="F-90",5,IF(L1584="F-120",6,IF(L1584="F-150",7,0)))))),0),0)+IF(AND(O1584="FIRE TEX 5090",E1584="CJ",J1584=3),VLOOKUP(_xlfn.MINIFS('FIRE TEX 5090'!$R$5:$R$30,'FIRE TEX 5090'!$R$5:$R$30,"&gt;="&amp;M1584),'FIRE TEX 5090'!$R$5:$W$30,IF(L1584="F-15",2,IF(L1584="F-30",3,IF(L1584="F-60",4,IF(L1584="F-90",5,IF(L1584="F-120",6,IF(L1584="F-150",7,0)))))),0),0)+IF(AND(O1584="FIRE TEX 5090",E1584="CJ",J1584=4),VLOOKUP(_xlfn.MINIFS('FIRE TEX 5090'!$Y$5:$Y$39,'FIRE TEX 5090'!$Y$5:$Y$39,"&gt;="&amp;M1584),'FIRE TEX 5090'!$Y$5:$AD$39,IF(L1584="F-15",2,IF(L1584="F-30",3,IF(L1584="F-60",4,IF(L1584="F-90",5,IF(L1584="F-120",6,IF(L1584="F-150",7,0)))))),0),0)+IF(AND(O1584="FIRE TEX 5120",OR(E1584="IN",E1584="C",E1584="Z",E1584="L"),J1584=3),VLOOKUP(_xlfn.MINIFS('FIRE TEX 5120'!$B$5:$B$40,'FIRE TEX 5120'!$B$5:$B$40,"&gt;="&amp;M1584),'FIRE TEX 5120'!$B$5:$G$40,IF(L1584="F-15",2,IF(L1584="F-30",3,IF(L1584="F-60",4,IF(L1584="F-90",5,IF(L1584="F-120",6,0))))),0),0)+IF(AND(O1584="FIRE TEX 5120",OR(E1584="IN",E1584="C",E1584="Z",E1584="L"),J1584=4),VLOOKUP(_xlfn.MINIFS('FIRE TEX 5120'!$H$4:$H$40,'FIRE TEX 5120'!$H$4:$H$40,"&gt;="&amp;M1584),'FIRE TEX 5120'!$H$4:$M$40,IF(L1584="F-15",2,IF(L1584="F-30",3,IF(L1584="F-60",4,IF(L1584="F-90",5,IF(L1584="F-120",6,0))))),0),0)+IF(AND(O1584="FIRE TEX 5120",E1584="CJ"),VLOOKUP(_xlfn.MINIFS('FIRE TEX 5120'!$O$5:$O$40,'FIRE TEX 5120'!$O$5:$O$40,"&gt;="&amp;M1584),'FIRE TEX 5120'!$O$5:$T$40,IF(L1584="F-15",2,IF(L1584="F-30",3,IF(L1584="F-60",4,IF(L1584="F-90",5,IF(L1584="F-120",6,0))))),0),0)</f>
        <v>0</v>
      </c>
      <c r="Q1584" s="46">
        <f t="shared" si="144"/>
        <v>0</v>
      </c>
      <c r="R1584" s="46">
        <f t="shared" si="145"/>
        <v>0</v>
      </c>
      <c r="S1584" s="46" t="e">
        <f t="shared" si="146"/>
        <v>#VALUE!</v>
      </c>
      <c r="T1584" s="677">
        <f t="shared" si="147"/>
        <v>0</v>
      </c>
      <c r="U1584" s="80">
        <f>(IF(O1584="Stofire",(S1584*#REF!),0))+(IF(O1584="Fire Control",(S1584*$U$2),0))+(IF(O1584="Fire Tex",(S1584*$U$3),0))+(IF(O1584="WB7",(S1584*#REF!),0)+(IF(O1584="FX 2003",(S1584*$U$5),0)))</f>
        <v>0</v>
      </c>
      <c r="V1584" s="651">
        <f t="shared" si="148"/>
        <v>0</v>
      </c>
    </row>
    <row r="1585" spans="4:22" x14ac:dyDescent="0.25">
      <c r="D1585" s="118">
        <f>+CUBICACION!D1584</f>
        <v>0</v>
      </c>
      <c r="E1585" s="118">
        <f>+CUBICACION!F1584</f>
        <v>0</v>
      </c>
      <c r="F1585" s="118">
        <f>+CUBICACION!E1584</f>
        <v>0</v>
      </c>
      <c r="G1585" s="118">
        <v>12</v>
      </c>
      <c r="H1585" s="118">
        <v>2</v>
      </c>
      <c r="I1585" s="820">
        <v>26385</v>
      </c>
      <c r="J1585" s="118">
        <f>+CUBICACION!J1584</f>
        <v>0</v>
      </c>
      <c r="K1585" s="118">
        <v>4364</v>
      </c>
      <c r="L1585" s="118">
        <f>+CUBICACION!L1584</f>
        <v>0</v>
      </c>
      <c r="M1585" s="64">
        <f>+CUBICACION!M1584</f>
        <v>0</v>
      </c>
      <c r="N1585" s="824" t="str">
        <f>+CUBICACION!N1584</f>
        <v/>
      </c>
      <c r="O1585" s="675">
        <f>+CUBICACION!O1584</f>
        <v>0</v>
      </c>
      <c r="P1585" s="15">
        <f>IF(O1585="Fire Control",VLOOKUP(_xlfn.MINIFS('FIRE CONTROL'!$C$4:$C$37,'FIRE CONTROL'!$C$4:$C$37,"&gt;="&amp;M1585),'FIRE CONTROL'!$C$4:$G$37,IF(L1585="F-15",2,IF(L1585="F-30",3,IF(L1585="F-60",4,IF(L1585="F-90",5,0)))),0),0)+IF(AND(O1585="FIRE TEX 5062",OR(E1585="IN",E1585="C",E1585="Z",E1585="L"),J1585=3),VLOOKUP(_xlfn.MINIFS('FIRE TEX 5062'!$B$4:$B$34,'FIRE TEX 5062'!$B$4:$B$34,"&gt;="&amp;M1585),'FIRE TEX 5062'!$B$4:$F$34,IF(L1585="F-15",2,IF(L1585="F-30",3,IF(L1585="F-60",4,IF(L1585="F-90",5,0)))),0),0)+IF(AND(O1585="FIRE TEX 5062",OR(E1585="IN",E1585="C",E1585="Z",E1585="L"),J1585=4),VLOOKUP(_xlfn.MINIFS('FIRE TEX 5062'!$G$4:$G$34,'FIRE TEX 5062'!$G$4:$G$34,"&gt;="&amp;M1585),'FIRE TEX 5062'!$G$4:$K$34,IF(L1585="F-15",2,IF(L1585="F-30",3,IF(L1585="F-60",4,IF(L1585="F-90",5,0)))),0),0)+IF(AND(O1585="FIRE TEX 5062",E1585="CJ",J1585=3),VLOOKUP(_xlfn.MINIFS('FIRE TEX 5062'!$L$4:$L$34,'FIRE TEX 5062'!$L$4:$L$34,"&gt;="&amp;M1585),'FIRE TEX 5062'!$L$4:$P$34,IF(L1585="F-15",2,IF(L1585="F-30",3,IF(L1585="F-60",4,IF(L1585="F-90",5,0)))),0),0)+IF(AND(O1585="FIRE TEX 5062",E1585="CJ",J1585=4),VLOOKUP(_xlfn.MINIFS('FIRE TEX 5062'!$Q$3:$Q$34,'FIRE TEX 5062'!$Q$3:$Q$34,"&gt;="&amp;M1585),'FIRE TEX 5062'!$Q$3:$U$34,IF(L1585="F-15",2,IF(L1585="F-30",3,IF(L1585="F-60",4,IF(L1585="F-90",5,0)))),0),0)+IF(AND(O1585="FIRE TEX 5090",OR(E1585="IN",E1585="C",E1585="Z",E1585="L"),J1585=3),VLOOKUP(_xlfn.MINIFS('FIRE TEX 5090'!$B$5:$B$43,'FIRE TEX 5090'!$B$5:$B$43,"&gt;="&amp;M1585),'FIRE TEX 5090'!$B$5:$H$43,IF(L1585="F-15",2,IF(L1585="F-30",3,IF(L1585="F-60",4,IF(L1585="F-90",5,IF(L1585="F-120",6,IF(L1585="F-150",7,0)))))),0),0)+IF(AND(O1585="FIRE TEX 5090",OR(E1585="IN",E1585="C",E1585="Z",E1585="L"),J1585=4),VLOOKUP(_xlfn.MINIFS('FIRE TEX 5090'!$J$5:$J$43,'FIRE TEX 5090'!$J$5:$J$43,"&gt;="&amp;M1585),'FIRE TEX 5090'!$J$5:$P$43,IF(L1585="F-15",2,IF(L1585="F-30",3,IF(L1585="F-60",4,IF(L1585="F-90",5,IF(L1585="F-120",6,IF(L1585="F-150",7,0)))))),0),0)+IF(AND(O1585="FIRE TEX 5090",E1585="CJ",J1585=3),VLOOKUP(_xlfn.MINIFS('FIRE TEX 5090'!$R$5:$R$30,'FIRE TEX 5090'!$R$5:$R$30,"&gt;="&amp;M1585),'FIRE TEX 5090'!$R$5:$W$30,IF(L1585="F-15",2,IF(L1585="F-30",3,IF(L1585="F-60",4,IF(L1585="F-90",5,IF(L1585="F-120",6,IF(L1585="F-150",7,0)))))),0),0)+IF(AND(O1585="FIRE TEX 5090",E1585="CJ",J1585=4),VLOOKUP(_xlfn.MINIFS('FIRE TEX 5090'!$Y$5:$Y$39,'FIRE TEX 5090'!$Y$5:$Y$39,"&gt;="&amp;M1585),'FIRE TEX 5090'!$Y$5:$AD$39,IF(L1585="F-15",2,IF(L1585="F-30",3,IF(L1585="F-60",4,IF(L1585="F-90",5,IF(L1585="F-120",6,IF(L1585="F-150",7,0)))))),0),0)+IF(AND(O1585="FIRE TEX 5120",OR(E1585="IN",E1585="C",E1585="Z",E1585="L"),J1585=3),VLOOKUP(_xlfn.MINIFS('FIRE TEX 5120'!$B$5:$B$40,'FIRE TEX 5120'!$B$5:$B$40,"&gt;="&amp;M1585),'FIRE TEX 5120'!$B$5:$G$40,IF(L1585="F-15",2,IF(L1585="F-30",3,IF(L1585="F-60",4,IF(L1585="F-90",5,IF(L1585="F-120",6,0))))),0),0)+IF(AND(O1585="FIRE TEX 5120",OR(E1585="IN",E1585="C",E1585="Z",E1585="L"),J1585=4),VLOOKUP(_xlfn.MINIFS('FIRE TEX 5120'!$H$4:$H$40,'FIRE TEX 5120'!$H$4:$H$40,"&gt;="&amp;M1585),'FIRE TEX 5120'!$H$4:$M$40,IF(L1585="F-15",2,IF(L1585="F-30",3,IF(L1585="F-60",4,IF(L1585="F-90",5,IF(L1585="F-120",6,0))))),0),0)+IF(AND(O1585="FIRE TEX 5120",E1585="CJ"),VLOOKUP(_xlfn.MINIFS('FIRE TEX 5120'!$O$5:$O$40,'FIRE TEX 5120'!$O$5:$O$40,"&gt;="&amp;M1585),'FIRE TEX 5120'!$O$5:$T$40,IF(L1585="F-15",2,IF(L1585="F-30",3,IF(L1585="F-60",4,IF(L1585="F-90",5,IF(L1585="F-120",6,0))))),0),0)</f>
        <v>0</v>
      </c>
      <c r="Q1585" s="46">
        <f t="shared" si="144"/>
        <v>0</v>
      </c>
      <c r="R1585" s="46">
        <f t="shared" si="145"/>
        <v>0</v>
      </c>
      <c r="S1585" s="46" t="e">
        <f t="shared" si="146"/>
        <v>#VALUE!</v>
      </c>
      <c r="T1585" s="677">
        <f t="shared" si="147"/>
        <v>0</v>
      </c>
      <c r="U1585" s="80">
        <f>(IF(O1585="Stofire",(S1585*#REF!),0))+(IF(O1585="Fire Control",(S1585*$U$2),0))+(IF(O1585="Fire Tex",(S1585*$U$3),0))+(IF(O1585="WB7",(S1585*#REF!),0)+(IF(O1585="FX 2003",(S1585*$U$5),0)))</f>
        <v>0</v>
      </c>
      <c r="V1585" s="651">
        <f t="shared" si="148"/>
        <v>0</v>
      </c>
    </row>
    <row r="1586" spans="4:22" x14ac:dyDescent="0.25">
      <c r="D1586" s="118">
        <f>+CUBICACION!D1585</f>
        <v>0</v>
      </c>
      <c r="E1586" s="118">
        <f>+CUBICACION!F1585</f>
        <v>0</v>
      </c>
      <c r="F1586" s="118">
        <f>+CUBICACION!E1585</f>
        <v>0</v>
      </c>
      <c r="G1586" s="118">
        <v>12</v>
      </c>
      <c r="H1586" s="118">
        <v>2</v>
      </c>
      <c r="I1586" s="820">
        <v>26385</v>
      </c>
      <c r="J1586" s="118">
        <f>+CUBICACION!J1585</f>
        <v>0</v>
      </c>
      <c r="K1586" s="118">
        <v>4365</v>
      </c>
      <c r="L1586" s="118">
        <f>+CUBICACION!L1585</f>
        <v>0</v>
      </c>
      <c r="M1586" s="64">
        <f>+CUBICACION!M1585</f>
        <v>0</v>
      </c>
      <c r="N1586" s="824" t="str">
        <f>+CUBICACION!N1585</f>
        <v/>
      </c>
      <c r="O1586" s="675">
        <f>+CUBICACION!O1585</f>
        <v>0</v>
      </c>
      <c r="P1586" s="15">
        <f>IF(O1586="Fire Control",VLOOKUP(_xlfn.MINIFS('FIRE CONTROL'!$C$4:$C$37,'FIRE CONTROL'!$C$4:$C$37,"&gt;="&amp;M1586),'FIRE CONTROL'!$C$4:$G$37,IF(L1586="F-15",2,IF(L1586="F-30",3,IF(L1586="F-60",4,IF(L1586="F-90",5,0)))),0),0)+IF(AND(O1586="FIRE TEX 5062",OR(E1586="IN",E1586="C",E1586="Z",E1586="L"),J1586=3),VLOOKUP(_xlfn.MINIFS('FIRE TEX 5062'!$B$4:$B$34,'FIRE TEX 5062'!$B$4:$B$34,"&gt;="&amp;M1586),'FIRE TEX 5062'!$B$4:$F$34,IF(L1586="F-15",2,IF(L1586="F-30",3,IF(L1586="F-60",4,IF(L1586="F-90",5,0)))),0),0)+IF(AND(O1586="FIRE TEX 5062",OR(E1586="IN",E1586="C",E1586="Z",E1586="L"),J1586=4),VLOOKUP(_xlfn.MINIFS('FIRE TEX 5062'!$G$4:$G$34,'FIRE TEX 5062'!$G$4:$G$34,"&gt;="&amp;M1586),'FIRE TEX 5062'!$G$4:$K$34,IF(L1586="F-15",2,IF(L1586="F-30",3,IF(L1586="F-60",4,IF(L1586="F-90",5,0)))),0),0)+IF(AND(O1586="FIRE TEX 5062",E1586="CJ",J1586=3),VLOOKUP(_xlfn.MINIFS('FIRE TEX 5062'!$L$4:$L$34,'FIRE TEX 5062'!$L$4:$L$34,"&gt;="&amp;M1586),'FIRE TEX 5062'!$L$4:$P$34,IF(L1586="F-15",2,IF(L1586="F-30",3,IF(L1586="F-60",4,IF(L1586="F-90",5,0)))),0),0)+IF(AND(O1586="FIRE TEX 5062",E1586="CJ",J1586=4),VLOOKUP(_xlfn.MINIFS('FIRE TEX 5062'!$Q$3:$Q$34,'FIRE TEX 5062'!$Q$3:$Q$34,"&gt;="&amp;M1586),'FIRE TEX 5062'!$Q$3:$U$34,IF(L1586="F-15",2,IF(L1586="F-30",3,IF(L1586="F-60",4,IF(L1586="F-90",5,0)))),0),0)+IF(AND(O1586="FIRE TEX 5090",OR(E1586="IN",E1586="C",E1586="Z",E1586="L"),J1586=3),VLOOKUP(_xlfn.MINIFS('FIRE TEX 5090'!$B$5:$B$43,'FIRE TEX 5090'!$B$5:$B$43,"&gt;="&amp;M1586),'FIRE TEX 5090'!$B$5:$H$43,IF(L1586="F-15",2,IF(L1586="F-30",3,IF(L1586="F-60",4,IF(L1586="F-90",5,IF(L1586="F-120",6,IF(L1586="F-150",7,0)))))),0),0)+IF(AND(O1586="FIRE TEX 5090",OR(E1586="IN",E1586="C",E1586="Z",E1586="L"),J1586=4),VLOOKUP(_xlfn.MINIFS('FIRE TEX 5090'!$J$5:$J$43,'FIRE TEX 5090'!$J$5:$J$43,"&gt;="&amp;M1586),'FIRE TEX 5090'!$J$5:$P$43,IF(L1586="F-15",2,IF(L1586="F-30",3,IF(L1586="F-60",4,IF(L1586="F-90",5,IF(L1586="F-120",6,IF(L1586="F-150",7,0)))))),0),0)+IF(AND(O1586="FIRE TEX 5090",E1586="CJ",J1586=3),VLOOKUP(_xlfn.MINIFS('FIRE TEX 5090'!$R$5:$R$30,'FIRE TEX 5090'!$R$5:$R$30,"&gt;="&amp;M1586),'FIRE TEX 5090'!$R$5:$W$30,IF(L1586="F-15",2,IF(L1586="F-30",3,IF(L1586="F-60",4,IF(L1586="F-90",5,IF(L1586="F-120",6,IF(L1586="F-150",7,0)))))),0),0)+IF(AND(O1586="FIRE TEX 5090",E1586="CJ",J1586=4),VLOOKUP(_xlfn.MINIFS('FIRE TEX 5090'!$Y$5:$Y$39,'FIRE TEX 5090'!$Y$5:$Y$39,"&gt;="&amp;M1586),'FIRE TEX 5090'!$Y$5:$AD$39,IF(L1586="F-15",2,IF(L1586="F-30",3,IF(L1586="F-60",4,IF(L1586="F-90",5,IF(L1586="F-120",6,IF(L1586="F-150",7,0)))))),0),0)+IF(AND(O1586="FIRE TEX 5120",OR(E1586="IN",E1586="C",E1586="Z",E1586="L"),J1586=3),VLOOKUP(_xlfn.MINIFS('FIRE TEX 5120'!$B$5:$B$40,'FIRE TEX 5120'!$B$5:$B$40,"&gt;="&amp;M1586),'FIRE TEX 5120'!$B$5:$G$40,IF(L1586="F-15",2,IF(L1586="F-30",3,IF(L1586="F-60",4,IF(L1586="F-90",5,IF(L1586="F-120",6,0))))),0),0)+IF(AND(O1586="FIRE TEX 5120",OR(E1586="IN",E1586="C",E1586="Z",E1586="L"),J1586=4),VLOOKUP(_xlfn.MINIFS('FIRE TEX 5120'!$H$4:$H$40,'FIRE TEX 5120'!$H$4:$H$40,"&gt;="&amp;M1586),'FIRE TEX 5120'!$H$4:$M$40,IF(L1586="F-15",2,IF(L1586="F-30",3,IF(L1586="F-60",4,IF(L1586="F-90",5,IF(L1586="F-120",6,0))))),0),0)+IF(AND(O1586="FIRE TEX 5120",E1586="CJ"),VLOOKUP(_xlfn.MINIFS('FIRE TEX 5120'!$O$5:$O$40,'FIRE TEX 5120'!$O$5:$O$40,"&gt;="&amp;M1586),'FIRE TEX 5120'!$O$5:$T$40,IF(L1586="F-15",2,IF(L1586="F-30",3,IF(L1586="F-60",4,IF(L1586="F-90",5,IF(L1586="F-120",6,0))))),0),0)</f>
        <v>0</v>
      </c>
      <c r="Q1586" s="46">
        <f t="shared" si="144"/>
        <v>0</v>
      </c>
      <c r="R1586" s="46">
        <f t="shared" si="145"/>
        <v>0</v>
      </c>
      <c r="S1586" s="46" t="e">
        <f t="shared" si="146"/>
        <v>#VALUE!</v>
      </c>
      <c r="T1586" s="677">
        <f t="shared" si="147"/>
        <v>0</v>
      </c>
      <c r="U1586" s="80">
        <f>(IF(O1586="Stofire",(S1586*#REF!),0))+(IF(O1586="Fire Control",(S1586*$U$2),0))+(IF(O1586="Fire Tex",(S1586*$U$3),0))+(IF(O1586="WB7",(S1586*#REF!),0)+(IF(O1586="FX 2003",(S1586*$U$5),0)))</f>
        <v>0</v>
      </c>
      <c r="V1586" s="651">
        <f t="shared" si="148"/>
        <v>0</v>
      </c>
    </row>
    <row r="1587" spans="4:22" x14ac:dyDescent="0.25">
      <c r="D1587" s="118">
        <f>+CUBICACION!D1586</f>
        <v>0</v>
      </c>
      <c r="E1587" s="118">
        <f>+CUBICACION!F1586</f>
        <v>0</v>
      </c>
      <c r="F1587" s="118">
        <f>+CUBICACION!E1586</f>
        <v>0</v>
      </c>
      <c r="G1587" s="118">
        <v>12</v>
      </c>
      <c r="H1587" s="118">
        <v>2</v>
      </c>
      <c r="I1587" s="820">
        <v>26385</v>
      </c>
      <c r="J1587" s="118">
        <f>+CUBICACION!J1586</f>
        <v>0</v>
      </c>
      <c r="K1587" s="118">
        <v>4366</v>
      </c>
      <c r="L1587" s="118">
        <f>+CUBICACION!L1586</f>
        <v>0</v>
      </c>
      <c r="M1587" s="64">
        <f>+CUBICACION!M1586</f>
        <v>0</v>
      </c>
      <c r="N1587" s="824" t="str">
        <f>+CUBICACION!N1586</f>
        <v/>
      </c>
      <c r="O1587" s="675">
        <f>+CUBICACION!O1586</f>
        <v>0</v>
      </c>
      <c r="P1587" s="15">
        <f>IF(O1587="Fire Control",VLOOKUP(_xlfn.MINIFS('FIRE CONTROL'!$C$4:$C$37,'FIRE CONTROL'!$C$4:$C$37,"&gt;="&amp;M1587),'FIRE CONTROL'!$C$4:$G$37,IF(L1587="F-15",2,IF(L1587="F-30",3,IF(L1587="F-60",4,IF(L1587="F-90",5,0)))),0),0)+IF(AND(O1587="FIRE TEX 5062",OR(E1587="IN",E1587="C",E1587="Z",E1587="L"),J1587=3),VLOOKUP(_xlfn.MINIFS('FIRE TEX 5062'!$B$4:$B$34,'FIRE TEX 5062'!$B$4:$B$34,"&gt;="&amp;M1587),'FIRE TEX 5062'!$B$4:$F$34,IF(L1587="F-15",2,IF(L1587="F-30",3,IF(L1587="F-60",4,IF(L1587="F-90",5,0)))),0),0)+IF(AND(O1587="FIRE TEX 5062",OR(E1587="IN",E1587="C",E1587="Z",E1587="L"),J1587=4),VLOOKUP(_xlfn.MINIFS('FIRE TEX 5062'!$G$4:$G$34,'FIRE TEX 5062'!$G$4:$G$34,"&gt;="&amp;M1587),'FIRE TEX 5062'!$G$4:$K$34,IF(L1587="F-15",2,IF(L1587="F-30",3,IF(L1587="F-60",4,IF(L1587="F-90",5,0)))),0),0)+IF(AND(O1587="FIRE TEX 5062",E1587="CJ",J1587=3),VLOOKUP(_xlfn.MINIFS('FIRE TEX 5062'!$L$4:$L$34,'FIRE TEX 5062'!$L$4:$L$34,"&gt;="&amp;M1587),'FIRE TEX 5062'!$L$4:$P$34,IF(L1587="F-15",2,IF(L1587="F-30",3,IF(L1587="F-60",4,IF(L1587="F-90",5,0)))),0),0)+IF(AND(O1587="FIRE TEX 5062",E1587="CJ",J1587=4),VLOOKUP(_xlfn.MINIFS('FIRE TEX 5062'!$Q$3:$Q$34,'FIRE TEX 5062'!$Q$3:$Q$34,"&gt;="&amp;M1587),'FIRE TEX 5062'!$Q$3:$U$34,IF(L1587="F-15",2,IF(L1587="F-30",3,IF(L1587="F-60",4,IF(L1587="F-90",5,0)))),0),0)+IF(AND(O1587="FIRE TEX 5090",OR(E1587="IN",E1587="C",E1587="Z",E1587="L"),J1587=3),VLOOKUP(_xlfn.MINIFS('FIRE TEX 5090'!$B$5:$B$43,'FIRE TEX 5090'!$B$5:$B$43,"&gt;="&amp;M1587),'FIRE TEX 5090'!$B$5:$H$43,IF(L1587="F-15",2,IF(L1587="F-30",3,IF(L1587="F-60",4,IF(L1587="F-90",5,IF(L1587="F-120",6,IF(L1587="F-150",7,0)))))),0),0)+IF(AND(O1587="FIRE TEX 5090",OR(E1587="IN",E1587="C",E1587="Z",E1587="L"),J1587=4),VLOOKUP(_xlfn.MINIFS('FIRE TEX 5090'!$J$5:$J$43,'FIRE TEX 5090'!$J$5:$J$43,"&gt;="&amp;M1587),'FIRE TEX 5090'!$J$5:$P$43,IF(L1587="F-15",2,IF(L1587="F-30",3,IF(L1587="F-60",4,IF(L1587="F-90",5,IF(L1587="F-120",6,IF(L1587="F-150",7,0)))))),0),0)+IF(AND(O1587="FIRE TEX 5090",E1587="CJ",J1587=3),VLOOKUP(_xlfn.MINIFS('FIRE TEX 5090'!$R$5:$R$30,'FIRE TEX 5090'!$R$5:$R$30,"&gt;="&amp;M1587),'FIRE TEX 5090'!$R$5:$W$30,IF(L1587="F-15",2,IF(L1587="F-30",3,IF(L1587="F-60",4,IF(L1587="F-90",5,IF(L1587="F-120",6,IF(L1587="F-150",7,0)))))),0),0)+IF(AND(O1587="FIRE TEX 5090",E1587="CJ",J1587=4),VLOOKUP(_xlfn.MINIFS('FIRE TEX 5090'!$Y$5:$Y$39,'FIRE TEX 5090'!$Y$5:$Y$39,"&gt;="&amp;M1587),'FIRE TEX 5090'!$Y$5:$AD$39,IF(L1587="F-15",2,IF(L1587="F-30",3,IF(L1587="F-60",4,IF(L1587="F-90",5,IF(L1587="F-120",6,IF(L1587="F-150",7,0)))))),0),0)+IF(AND(O1587="FIRE TEX 5120",OR(E1587="IN",E1587="C",E1587="Z",E1587="L"),J1587=3),VLOOKUP(_xlfn.MINIFS('FIRE TEX 5120'!$B$5:$B$40,'FIRE TEX 5120'!$B$5:$B$40,"&gt;="&amp;M1587),'FIRE TEX 5120'!$B$5:$G$40,IF(L1587="F-15",2,IF(L1587="F-30",3,IF(L1587="F-60",4,IF(L1587="F-90",5,IF(L1587="F-120",6,0))))),0),0)+IF(AND(O1587="FIRE TEX 5120",OR(E1587="IN",E1587="C",E1587="Z",E1587="L"),J1587=4),VLOOKUP(_xlfn.MINIFS('FIRE TEX 5120'!$H$4:$H$40,'FIRE TEX 5120'!$H$4:$H$40,"&gt;="&amp;M1587),'FIRE TEX 5120'!$H$4:$M$40,IF(L1587="F-15",2,IF(L1587="F-30",3,IF(L1587="F-60",4,IF(L1587="F-90",5,IF(L1587="F-120",6,0))))),0),0)+IF(AND(O1587="FIRE TEX 5120",E1587="CJ"),VLOOKUP(_xlfn.MINIFS('FIRE TEX 5120'!$O$5:$O$40,'FIRE TEX 5120'!$O$5:$O$40,"&gt;="&amp;M1587),'FIRE TEX 5120'!$O$5:$T$40,IF(L1587="F-15",2,IF(L1587="F-30",3,IF(L1587="F-60",4,IF(L1587="F-90",5,IF(L1587="F-120",6,0))))),0),0)</f>
        <v>0</v>
      </c>
      <c r="Q1587" s="46">
        <f t="shared" si="144"/>
        <v>0</v>
      </c>
      <c r="R1587" s="46">
        <f t="shared" si="145"/>
        <v>0</v>
      </c>
      <c r="S1587" s="46" t="e">
        <f t="shared" si="146"/>
        <v>#VALUE!</v>
      </c>
      <c r="T1587" s="677">
        <f t="shared" si="147"/>
        <v>0</v>
      </c>
      <c r="U1587" s="80">
        <f>(IF(O1587="Stofire",(S1587*#REF!),0))+(IF(O1587="Fire Control",(S1587*$U$2),0))+(IF(O1587="Fire Tex",(S1587*$U$3),0))+(IF(O1587="WB7",(S1587*#REF!),0)+(IF(O1587="FX 2003",(S1587*$U$5),0)))</f>
        <v>0</v>
      </c>
      <c r="V1587" s="651">
        <f t="shared" si="148"/>
        <v>0</v>
      </c>
    </row>
    <row r="1588" spans="4:22" x14ac:dyDescent="0.25">
      <c r="D1588" s="118">
        <f>+CUBICACION!D1587</f>
        <v>0</v>
      </c>
      <c r="E1588" s="118">
        <f>+CUBICACION!F1587</f>
        <v>0</v>
      </c>
      <c r="F1588" s="118">
        <f>+CUBICACION!E1587</f>
        <v>0</v>
      </c>
      <c r="G1588" s="118">
        <v>12</v>
      </c>
      <c r="H1588" s="118">
        <v>2</v>
      </c>
      <c r="I1588" s="820">
        <v>26385</v>
      </c>
      <c r="J1588" s="118">
        <f>+CUBICACION!J1587</f>
        <v>0</v>
      </c>
      <c r="K1588" s="118">
        <v>4367</v>
      </c>
      <c r="L1588" s="118">
        <f>+CUBICACION!L1587</f>
        <v>0</v>
      </c>
      <c r="M1588" s="64">
        <f>+CUBICACION!M1587</f>
        <v>0</v>
      </c>
      <c r="N1588" s="824" t="str">
        <f>+CUBICACION!N1587</f>
        <v/>
      </c>
      <c r="O1588" s="675">
        <f>+CUBICACION!O1587</f>
        <v>0</v>
      </c>
      <c r="P1588" s="15">
        <f>IF(O1588="Fire Control",VLOOKUP(_xlfn.MINIFS('FIRE CONTROL'!$C$4:$C$37,'FIRE CONTROL'!$C$4:$C$37,"&gt;="&amp;M1588),'FIRE CONTROL'!$C$4:$G$37,IF(L1588="F-15",2,IF(L1588="F-30",3,IF(L1588="F-60",4,IF(L1588="F-90",5,0)))),0),0)+IF(AND(O1588="FIRE TEX 5062",OR(E1588="IN",E1588="C",E1588="Z",E1588="L"),J1588=3),VLOOKUP(_xlfn.MINIFS('FIRE TEX 5062'!$B$4:$B$34,'FIRE TEX 5062'!$B$4:$B$34,"&gt;="&amp;M1588),'FIRE TEX 5062'!$B$4:$F$34,IF(L1588="F-15",2,IF(L1588="F-30",3,IF(L1588="F-60",4,IF(L1588="F-90",5,0)))),0),0)+IF(AND(O1588="FIRE TEX 5062",OR(E1588="IN",E1588="C",E1588="Z",E1588="L"),J1588=4),VLOOKUP(_xlfn.MINIFS('FIRE TEX 5062'!$G$4:$G$34,'FIRE TEX 5062'!$G$4:$G$34,"&gt;="&amp;M1588),'FIRE TEX 5062'!$G$4:$K$34,IF(L1588="F-15",2,IF(L1588="F-30",3,IF(L1588="F-60",4,IF(L1588="F-90",5,0)))),0),0)+IF(AND(O1588="FIRE TEX 5062",E1588="CJ",J1588=3),VLOOKUP(_xlfn.MINIFS('FIRE TEX 5062'!$L$4:$L$34,'FIRE TEX 5062'!$L$4:$L$34,"&gt;="&amp;M1588),'FIRE TEX 5062'!$L$4:$P$34,IF(L1588="F-15",2,IF(L1588="F-30",3,IF(L1588="F-60",4,IF(L1588="F-90",5,0)))),0),0)+IF(AND(O1588="FIRE TEX 5062",E1588="CJ",J1588=4),VLOOKUP(_xlfn.MINIFS('FIRE TEX 5062'!$Q$3:$Q$34,'FIRE TEX 5062'!$Q$3:$Q$34,"&gt;="&amp;M1588),'FIRE TEX 5062'!$Q$3:$U$34,IF(L1588="F-15",2,IF(L1588="F-30",3,IF(L1588="F-60",4,IF(L1588="F-90",5,0)))),0),0)+IF(AND(O1588="FIRE TEX 5090",OR(E1588="IN",E1588="C",E1588="Z",E1588="L"),J1588=3),VLOOKUP(_xlfn.MINIFS('FIRE TEX 5090'!$B$5:$B$43,'FIRE TEX 5090'!$B$5:$B$43,"&gt;="&amp;M1588),'FIRE TEX 5090'!$B$5:$H$43,IF(L1588="F-15",2,IF(L1588="F-30",3,IF(L1588="F-60",4,IF(L1588="F-90",5,IF(L1588="F-120",6,IF(L1588="F-150",7,0)))))),0),0)+IF(AND(O1588="FIRE TEX 5090",OR(E1588="IN",E1588="C",E1588="Z",E1588="L"),J1588=4),VLOOKUP(_xlfn.MINIFS('FIRE TEX 5090'!$J$5:$J$43,'FIRE TEX 5090'!$J$5:$J$43,"&gt;="&amp;M1588),'FIRE TEX 5090'!$J$5:$P$43,IF(L1588="F-15",2,IF(L1588="F-30",3,IF(L1588="F-60",4,IF(L1588="F-90",5,IF(L1588="F-120",6,IF(L1588="F-150",7,0)))))),0),0)+IF(AND(O1588="FIRE TEX 5090",E1588="CJ",J1588=3),VLOOKUP(_xlfn.MINIFS('FIRE TEX 5090'!$R$5:$R$30,'FIRE TEX 5090'!$R$5:$R$30,"&gt;="&amp;M1588),'FIRE TEX 5090'!$R$5:$W$30,IF(L1588="F-15",2,IF(L1588="F-30",3,IF(L1588="F-60",4,IF(L1588="F-90",5,IF(L1588="F-120",6,IF(L1588="F-150",7,0)))))),0),0)+IF(AND(O1588="FIRE TEX 5090",E1588="CJ",J1588=4),VLOOKUP(_xlfn.MINIFS('FIRE TEX 5090'!$Y$5:$Y$39,'FIRE TEX 5090'!$Y$5:$Y$39,"&gt;="&amp;M1588),'FIRE TEX 5090'!$Y$5:$AD$39,IF(L1588="F-15",2,IF(L1588="F-30",3,IF(L1588="F-60",4,IF(L1588="F-90",5,IF(L1588="F-120",6,IF(L1588="F-150",7,0)))))),0),0)+IF(AND(O1588="FIRE TEX 5120",OR(E1588="IN",E1588="C",E1588="Z",E1588="L"),J1588=3),VLOOKUP(_xlfn.MINIFS('FIRE TEX 5120'!$B$5:$B$40,'FIRE TEX 5120'!$B$5:$B$40,"&gt;="&amp;M1588),'FIRE TEX 5120'!$B$5:$G$40,IF(L1588="F-15",2,IF(L1588="F-30",3,IF(L1588="F-60",4,IF(L1588="F-90",5,IF(L1588="F-120",6,0))))),0),0)+IF(AND(O1588="FIRE TEX 5120",OR(E1588="IN",E1588="C",E1588="Z",E1588="L"),J1588=4),VLOOKUP(_xlfn.MINIFS('FIRE TEX 5120'!$H$4:$H$40,'FIRE TEX 5120'!$H$4:$H$40,"&gt;="&amp;M1588),'FIRE TEX 5120'!$H$4:$M$40,IF(L1588="F-15",2,IF(L1588="F-30",3,IF(L1588="F-60",4,IF(L1588="F-90",5,IF(L1588="F-120",6,0))))),0),0)+IF(AND(O1588="FIRE TEX 5120",E1588="CJ"),VLOOKUP(_xlfn.MINIFS('FIRE TEX 5120'!$O$5:$O$40,'FIRE TEX 5120'!$O$5:$O$40,"&gt;="&amp;M1588),'FIRE TEX 5120'!$O$5:$T$40,IF(L1588="F-15",2,IF(L1588="F-30",3,IF(L1588="F-60",4,IF(L1588="F-90",5,IF(L1588="F-120",6,0))))),0),0)</f>
        <v>0</v>
      </c>
      <c r="Q1588" s="46">
        <f t="shared" si="144"/>
        <v>0</v>
      </c>
      <c r="R1588" s="46">
        <f t="shared" si="145"/>
        <v>0</v>
      </c>
      <c r="S1588" s="46" t="e">
        <f t="shared" si="146"/>
        <v>#VALUE!</v>
      </c>
      <c r="T1588" s="677">
        <f t="shared" si="147"/>
        <v>0</v>
      </c>
      <c r="U1588" s="80">
        <f>(IF(O1588="Stofire",(S1588*#REF!),0))+(IF(O1588="Fire Control",(S1588*$U$2),0))+(IF(O1588="Fire Tex",(S1588*$U$3),0))+(IF(O1588="WB7",(S1588*#REF!),0)+(IF(O1588="FX 2003",(S1588*$U$5),0)))</f>
        <v>0</v>
      </c>
      <c r="V1588" s="651">
        <f t="shared" si="148"/>
        <v>0</v>
      </c>
    </row>
    <row r="1589" spans="4:22" x14ac:dyDescent="0.25">
      <c r="D1589" s="118">
        <f>+CUBICACION!D1588</f>
        <v>0</v>
      </c>
      <c r="E1589" s="118">
        <f>+CUBICACION!F1588</f>
        <v>0</v>
      </c>
      <c r="F1589" s="118">
        <f>+CUBICACION!E1588</f>
        <v>0</v>
      </c>
      <c r="G1589" s="118">
        <v>12</v>
      </c>
      <c r="H1589" s="118">
        <v>2</v>
      </c>
      <c r="I1589" s="820">
        <v>26385</v>
      </c>
      <c r="J1589" s="118">
        <f>+CUBICACION!J1588</f>
        <v>0</v>
      </c>
      <c r="K1589" s="118">
        <v>4368</v>
      </c>
      <c r="L1589" s="118">
        <f>+CUBICACION!L1588</f>
        <v>0</v>
      </c>
      <c r="M1589" s="64">
        <f>+CUBICACION!M1588</f>
        <v>0</v>
      </c>
      <c r="N1589" s="824" t="str">
        <f>+CUBICACION!N1588</f>
        <v/>
      </c>
      <c r="O1589" s="675">
        <f>+CUBICACION!O1588</f>
        <v>0</v>
      </c>
      <c r="P1589" s="15">
        <f>IF(O1589="Fire Control",VLOOKUP(_xlfn.MINIFS('FIRE CONTROL'!$C$4:$C$37,'FIRE CONTROL'!$C$4:$C$37,"&gt;="&amp;M1589),'FIRE CONTROL'!$C$4:$G$37,IF(L1589="F-15",2,IF(L1589="F-30",3,IF(L1589="F-60",4,IF(L1589="F-90",5,0)))),0),0)+IF(AND(O1589="FIRE TEX 5062",OR(E1589="IN",E1589="C",E1589="Z",E1589="L"),J1589=3),VLOOKUP(_xlfn.MINIFS('FIRE TEX 5062'!$B$4:$B$34,'FIRE TEX 5062'!$B$4:$B$34,"&gt;="&amp;M1589),'FIRE TEX 5062'!$B$4:$F$34,IF(L1589="F-15",2,IF(L1589="F-30",3,IF(L1589="F-60",4,IF(L1589="F-90",5,0)))),0),0)+IF(AND(O1589="FIRE TEX 5062",OR(E1589="IN",E1589="C",E1589="Z",E1589="L"),J1589=4),VLOOKUP(_xlfn.MINIFS('FIRE TEX 5062'!$G$4:$G$34,'FIRE TEX 5062'!$G$4:$G$34,"&gt;="&amp;M1589),'FIRE TEX 5062'!$G$4:$K$34,IF(L1589="F-15",2,IF(L1589="F-30",3,IF(L1589="F-60",4,IF(L1589="F-90",5,0)))),0),0)+IF(AND(O1589="FIRE TEX 5062",E1589="CJ",J1589=3),VLOOKUP(_xlfn.MINIFS('FIRE TEX 5062'!$L$4:$L$34,'FIRE TEX 5062'!$L$4:$L$34,"&gt;="&amp;M1589),'FIRE TEX 5062'!$L$4:$P$34,IF(L1589="F-15",2,IF(L1589="F-30",3,IF(L1589="F-60",4,IF(L1589="F-90",5,0)))),0),0)+IF(AND(O1589="FIRE TEX 5062",E1589="CJ",J1589=4),VLOOKUP(_xlfn.MINIFS('FIRE TEX 5062'!$Q$3:$Q$34,'FIRE TEX 5062'!$Q$3:$Q$34,"&gt;="&amp;M1589),'FIRE TEX 5062'!$Q$3:$U$34,IF(L1589="F-15",2,IF(L1589="F-30",3,IF(L1589="F-60",4,IF(L1589="F-90",5,0)))),0),0)+IF(AND(O1589="FIRE TEX 5090",OR(E1589="IN",E1589="C",E1589="Z",E1589="L"),J1589=3),VLOOKUP(_xlfn.MINIFS('FIRE TEX 5090'!$B$5:$B$43,'FIRE TEX 5090'!$B$5:$B$43,"&gt;="&amp;M1589),'FIRE TEX 5090'!$B$5:$H$43,IF(L1589="F-15",2,IF(L1589="F-30",3,IF(L1589="F-60",4,IF(L1589="F-90",5,IF(L1589="F-120",6,IF(L1589="F-150",7,0)))))),0),0)+IF(AND(O1589="FIRE TEX 5090",OR(E1589="IN",E1589="C",E1589="Z",E1589="L"),J1589=4),VLOOKUP(_xlfn.MINIFS('FIRE TEX 5090'!$J$5:$J$43,'FIRE TEX 5090'!$J$5:$J$43,"&gt;="&amp;M1589),'FIRE TEX 5090'!$J$5:$P$43,IF(L1589="F-15",2,IF(L1589="F-30",3,IF(L1589="F-60",4,IF(L1589="F-90",5,IF(L1589="F-120",6,IF(L1589="F-150",7,0)))))),0),0)+IF(AND(O1589="FIRE TEX 5090",E1589="CJ",J1589=3),VLOOKUP(_xlfn.MINIFS('FIRE TEX 5090'!$R$5:$R$30,'FIRE TEX 5090'!$R$5:$R$30,"&gt;="&amp;M1589),'FIRE TEX 5090'!$R$5:$W$30,IF(L1589="F-15",2,IF(L1589="F-30",3,IF(L1589="F-60",4,IF(L1589="F-90",5,IF(L1589="F-120",6,IF(L1589="F-150",7,0)))))),0),0)+IF(AND(O1589="FIRE TEX 5090",E1589="CJ",J1589=4),VLOOKUP(_xlfn.MINIFS('FIRE TEX 5090'!$Y$5:$Y$39,'FIRE TEX 5090'!$Y$5:$Y$39,"&gt;="&amp;M1589),'FIRE TEX 5090'!$Y$5:$AD$39,IF(L1589="F-15",2,IF(L1589="F-30",3,IF(L1589="F-60",4,IF(L1589="F-90",5,IF(L1589="F-120",6,IF(L1589="F-150",7,0)))))),0),0)+IF(AND(O1589="FIRE TEX 5120",OR(E1589="IN",E1589="C",E1589="Z",E1589="L"),J1589=3),VLOOKUP(_xlfn.MINIFS('FIRE TEX 5120'!$B$5:$B$40,'FIRE TEX 5120'!$B$5:$B$40,"&gt;="&amp;M1589),'FIRE TEX 5120'!$B$5:$G$40,IF(L1589="F-15",2,IF(L1589="F-30",3,IF(L1589="F-60",4,IF(L1589="F-90",5,IF(L1589="F-120",6,0))))),0),0)+IF(AND(O1589="FIRE TEX 5120",OR(E1589="IN",E1589="C",E1589="Z",E1589="L"),J1589=4),VLOOKUP(_xlfn.MINIFS('FIRE TEX 5120'!$H$4:$H$40,'FIRE TEX 5120'!$H$4:$H$40,"&gt;="&amp;M1589),'FIRE TEX 5120'!$H$4:$M$40,IF(L1589="F-15",2,IF(L1589="F-30",3,IF(L1589="F-60",4,IF(L1589="F-90",5,IF(L1589="F-120",6,0))))),0),0)+IF(AND(O1589="FIRE TEX 5120",E1589="CJ"),VLOOKUP(_xlfn.MINIFS('FIRE TEX 5120'!$O$5:$O$40,'FIRE TEX 5120'!$O$5:$O$40,"&gt;="&amp;M1589),'FIRE TEX 5120'!$O$5:$T$40,IF(L1589="F-15",2,IF(L1589="F-30",3,IF(L1589="F-60",4,IF(L1589="F-90",5,IF(L1589="F-120",6,0))))),0),0)</f>
        <v>0</v>
      </c>
      <c r="Q1589" s="46">
        <f t="shared" si="144"/>
        <v>0</v>
      </c>
      <c r="R1589" s="46">
        <f t="shared" si="145"/>
        <v>0</v>
      </c>
      <c r="S1589" s="46" t="e">
        <f t="shared" si="146"/>
        <v>#VALUE!</v>
      </c>
      <c r="T1589" s="677">
        <f t="shared" si="147"/>
        <v>0</v>
      </c>
      <c r="U1589" s="80">
        <f>(IF(O1589="Stofire",(S1589*#REF!),0))+(IF(O1589="Fire Control",(S1589*$U$2),0))+(IF(O1589="Fire Tex",(S1589*$U$3),0))+(IF(O1589="WB7",(S1589*#REF!),0)+(IF(O1589="FX 2003",(S1589*$U$5),0)))</f>
        <v>0</v>
      </c>
      <c r="V1589" s="651">
        <f t="shared" si="148"/>
        <v>0</v>
      </c>
    </row>
    <row r="1590" spans="4:22" x14ac:dyDescent="0.25">
      <c r="D1590" s="118">
        <f>+CUBICACION!D1589</f>
        <v>0</v>
      </c>
      <c r="E1590" s="118">
        <f>+CUBICACION!F1589</f>
        <v>0</v>
      </c>
      <c r="F1590" s="118">
        <f>+CUBICACION!E1589</f>
        <v>0</v>
      </c>
      <c r="G1590" s="118">
        <v>12</v>
      </c>
      <c r="H1590" s="118">
        <v>2</v>
      </c>
      <c r="I1590" s="820">
        <v>26385</v>
      </c>
      <c r="J1590" s="118">
        <f>+CUBICACION!J1589</f>
        <v>0</v>
      </c>
      <c r="K1590" s="118">
        <v>4369</v>
      </c>
      <c r="L1590" s="118">
        <f>+CUBICACION!L1589</f>
        <v>0</v>
      </c>
      <c r="M1590" s="64">
        <f>+CUBICACION!M1589</f>
        <v>0</v>
      </c>
      <c r="N1590" s="824" t="str">
        <f>+CUBICACION!N1589</f>
        <v/>
      </c>
      <c r="O1590" s="675">
        <f>+CUBICACION!O1589</f>
        <v>0</v>
      </c>
      <c r="P1590" s="15">
        <f>IF(O1590="Fire Control",VLOOKUP(_xlfn.MINIFS('FIRE CONTROL'!$C$4:$C$37,'FIRE CONTROL'!$C$4:$C$37,"&gt;="&amp;M1590),'FIRE CONTROL'!$C$4:$G$37,IF(L1590="F-15",2,IF(L1590="F-30",3,IF(L1590="F-60",4,IF(L1590="F-90",5,0)))),0),0)+IF(AND(O1590="FIRE TEX 5062",OR(E1590="IN",E1590="C",E1590="Z",E1590="L"),J1590=3),VLOOKUP(_xlfn.MINIFS('FIRE TEX 5062'!$B$4:$B$34,'FIRE TEX 5062'!$B$4:$B$34,"&gt;="&amp;M1590),'FIRE TEX 5062'!$B$4:$F$34,IF(L1590="F-15",2,IF(L1590="F-30",3,IF(L1590="F-60",4,IF(L1590="F-90",5,0)))),0),0)+IF(AND(O1590="FIRE TEX 5062",OR(E1590="IN",E1590="C",E1590="Z",E1590="L"),J1590=4),VLOOKUP(_xlfn.MINIFS('FIRE TEX 5062'!$G$4:$G$34,'FIRE TEX 5062'!$G$4:$G$34,"&gt;="&amp;M1590),'FIRE TEX 5062'!$G$4:$K$34,IF(L1590="F-15",2,IF(L1590="F-30",3,IF(L1590="F-60",4,IF(L1590="F-90",5,0)))),0),0)+IF(AND(O1590="FIRE TEX 5062",E1590="CJ",J1590=3),VLOOKUP(_xlfn.MINIFS('FIRE TEX 5062'!$L$4:$L$34,'FIRE TEX 5062'!$L$4:$L$34,"&gt;="&amp;M1590),'FIRE TEX 5062'!$L$4:$P$34,IF(L1590="F-15",2,IF(L1590="F-30",3,IF(L1590="F-60",4,IF(L1590="F-90",5,0)))),0),0)+IF(AND(O1590="FIRE TEX 5062",E1590="CJ",J1590=4),VLOOKUP(_xlfn.MINIFS('FIRE TEX 5062'!$Q$3:$Q$34,'FIRE TEX 5062'!$Q$3:$Q$34,"&gt;="&amp;M1590),'FIRE TEX 5062'!$Q$3:$U$34,IF(L1590="F-15",2,IF(L1590="F-30",3,IF(L1590="F-60",4,IF(L1590="F-90",5,0)))),0),0)+IF(AND(O1590="FIRE TEX 5090",OR(E1590="IN",E1590="C",E1590="Z",E1590="L"),J1590=3),VLOOKUP(_xlfn.MINIFS('FIRE TEX 5090'!$B$5:$B$43,'FIRE TEX 5090'!$B$5:$B$43,"&gt;="&amp;M1590),'FIRE TEX 5090'!$B$5:$H$43,IF(L1590="F-15",2,IF(L1590="F-30",3,IF(L1590="F-60",4,IF(L1590="F-90",5,IF(L1590="F-120",6,IF(L1590="F-150",7,0)))))),0),0)+IF(AND(O1590="FIRE TEX 5090",OR(E1590="IN",E1590="C",E1590="Z",E1590="L"),J1590=4),VLOOKUP(_xlfn.MINIFS('FIRE TEX 5090'!$J$5:$J$43,'FIRE TEX 5090'!$J$5:$J$43,"&gt;="&amp;M1590),'FIRE TEX 5090'!$J$5:$P$43,IF(L1590="F-15",2,IF(L1590="F-30",3,IF(L1590="F-60",4,IF(L1590="F-90",5,IF(L1590="F-120",6,IF(L1590="F-150",7,0)))))),0),0)+IF(AND(O1590="FIRE TEX 5090",E1590="CJ",J1590=3),VLOOKUP(_xlfn.MINIFS('FIRE TEX 5090'!$R$5:$R$30,'FIRE TEX 5090'!$R$5:$R$30,"&gt;="&amp;M1590),'FIRE TEX 5090'!$R$5:$W$30,IF(L1590="F-15",2,IF(L1590="F-30",3,IF(L1590="F-60",4,IF(L1590="F-90",5,IF(L1590="F-120",6,IF(L1590="F-150",7,0)))))),0),0)+IF(AND(O1590="FIRE TEX 5090",E1590="CJ",J1590=4),VLOOKUP(_xlfn.MINIFS('FIRE TEX 5090'!$Y$5:$Y$39,'FIRE TEX 5090'!$Y$5:$Y$39,"&gt;="&amp;M1590),'FIRE TEX 5090'!$Y$5:$AD$39,IF(L1590="F-15",2,IF(L1590="F-30",3,IF(L1590="F-60",4,IF(L1590="F-90",5,IF(L1590="F-120",6,IF(L1590="F-150",7,0)))))),0),0)+IF(AND(O1590="FIRE TEX 5120",OR(E1590="IN",E1590="C",E1590="Z",E1590="L"),J1590=3),VLOOKUP(_xlfn.MINIFS('FIRE TEX 5120'!$B$5:$B$40,'FIRE TEX 5120'!$B$5:$B$40,"&gt;="&amp;M1590),'FIRE TEX 5120'!$B$5:$G$40,IF(L1590="F-15",2,IF(L1590="F-30",3,IF(L1590="F-60",4,IF(L1590="F-90",5,IF(L1590="F-120",6,0))))),0),0)+IF(AND(O1590="FIRE TEX 5120",OR(E1590="IN",E1590="C",E1590="Z",E1590="L"),J1590=4),VLOOKUP(_xlfn.MINIFS('FIRE TEX 5120'!$H$4:$H$40,'FIRE TEX 5120'!$H$4:$H$40,"&gt;="&amp;M1590),'FIRE TEX 5120'!$H$4:$M$40,IF(L1590="F-15",2,IF(L1590="F-30",3,IF(L1590="F-60",4,IF(L1590="F-90",5,IF(L1590="F-120",6,0))))),0),0)+IF(AND(O1590="FIRE TEX 5120",E1590="CJ"),VLOOKUP(_xlfn.MINIFS('FIRE TEX 5120'!$O$5:$O$40,'FIRE TEX 5120'!$O$5:$O$40,"&gt;="&amp;M1590),'FIRE TEX 5120'!$O$5:$T$40,IF(L1590="F-15",2,IF(L1590="F-30",3,IF(L1590="F-60",4,IF(L1590="F-90",5,IF(L1590="F-120",6,0))))),0),0)</f>
        <v>0</v>
      </c>
      <c r="Q1590" s="46">
        <f t="shared" si="144"/>
        <v>0</v>
      </c>
      <c r="R1590" s="46">
        <f t="shared" si="145"/>
        <v>0</v>
      </c>
      <c r="S1590" s="46" t="e">
        <f t="shared" si="146"/>
        <v>#VALUE!</v>
      </c>
      <c r="T1590" s="677">
        <f t="shared" si="147"/>
        <v>0</v>
      </c>
      <c r="U1590" s="80">
        <f>(IF(O1590="Stofire",(S1590*#REF!),0))+(IF(O1590="Fire Control",(S1590*$U$2),0))+(IF(O1590="Fire Tex",(S1590*$U$3),0))+(IF(O1590="WB7",(S1590*#REF!),0)+(IF(O1590="FX 2003",(S1590*$U$5),0)))</f>
        <v>0</v>
      </c>
      <c r="V1590" s="651">
        <f t="shared" si="148"/>
        <v>0</v>
      </c>
    </row>
    <row r="1591" spans="4:22" x14ac:dyDescent="0.25">
      <c r="D1591" s="118">
        <f>+CUBICACION!D1590</f>
        <v>0</v>
      </c>
      <c r="E1591" s="118">
        <f>+CUBICACION!F1590</f>
        <v>0</v>
      </c>
      <c r="F1591" s="118">
        <f>+CUBICACION!E1590</f>
        <v>0</v>
      </c>
      <c r="G1591" s="118">
        <v>12</v>
      </c>
      <c r="H1591" s="118">
        <v>2</v>
      </c>
      <c r="I1591" s="820">
        <v>26385</v>
      </c>
      <c r="J1591" s="118">
        <f>+CUBICACION!J1590</f>
        <v>0</v>
      </c>
      <c r="K1591" s="118">
        <v>4370</v>
      </c>
      <c r="L1591" s="118">
        <f>+CUBICACION!L1590</f>
        <v>0</v>
      </c>
      <c r="M1591" s="64">
        <f>+CUBICACION!M1590</f>
        <v>0</v>
      </c>
      <c r="N1591" s="824" t="str">
        <f>+CUBICACION!N1590</f>
        <v/>
      </c>
      <c r="O1591" s="675">
        <f>+CUBICACION!O1590</f>
        <v>0</v>
      </c>
      <c r="P1591" s="15">
        <f>IF(O1591="Fire Control",VLOOKUP(_xlfn.MINIFS('FIRE CONTROL'!$C$4:$C$37,'FIRE CONTROL'!$C$4:$C$37,"&gt;="&amp;M1591),'FIRE CONTROL'!$C$4:$G$37,IF(L1591="F-15",2,IF(L1591="F-30",3,IF(L1591="F-60",4,IF(L1591="F-90",5,0)))),0),0)+IF(AND(O1591="FIRE TEX 5062",OR(E1591="IN",E1591="C",E1591="Z",E1591="L"),J1591=3),VLOOKUP(_xlfn.MINIFS('FIRE TEX 5062'!$B$4:$B$34,'FIRE TEX 5062'!$B$4:$B$34,"&gt;="&amp;M1591),'FIRE TEX 5062'!$B$4:$F$34,IF(L1591="F-15",2,IF(L1591="F-30",3,IF(L1591="F-60",4,IF(L1591="F-90",5,0)))),0),0)+IF(AND(O1591="FIRE TEX 5062",OR(E1591="IN",E1591="C",E1591="Z",E1591="L"),J1591=4),VLOOKUP(_xlfn.MINIFS('FIRE TEX 5062'!$G$4:$G$34,'FIRE TEX 5062'!$G$4:$G$34,"&gt;="&amp;M1591),'FIRE TEX 5062'!$G$4:$K$34,IF(L1591="F-15",2,IF(L1591="F-30",3,IF(L1591="F-60",4,IF(L1591="F-90",5,0)))),0),0)+IF(AND(O1591="FIRE TEX 5062",E1591="CJ",J1591=3),VLOOKUP(_xlfn.MINIFS('FIRE TEX 5062'!$L$4:$L$34,'FIRE TEX 5062'!$L$4:$L$34,"&gt;="&amp;M1591),'FIRE TEX 5062'!$L$4:$P$34,IF(L1591="F-15",2,IF(L1591="F-30",3,IF(L1591="F-60",4,IF(L1591="F-90",5,0)))),0),0)+IF(AND(O1591="FIRE TEX 5062",E1591="CJ",J1591=4),VLOOKUP(_xlfn.MINIFS('FIRE TEX 5062'!$Q$3:$Q$34,'FIRE TEX 5062'!$Q$3:$Q$34,"&gt;="&amp;M1591),'FIRE TEX 5062'!$Q$3:$U$34,IF(L1591="F-15",2,IF(L1591="F-30",3,IF(L1591="F-60",4,IF(L1591="F-90",5,0)))),0),0)+IF(AND(O1591="FIRE TEX 5090",OR(E1591="IN",E1591="C",E1591="Z",E1591="L"),J1591=3),VLOOKUP(_xlfn.MINIFS('FIRE TEX 5090'!$B$5:$B$43,'FIRE TEX 5090'!$B$5:$B$43,"&gt;="&amp;M1591),'FIRE TEX 5090'!$B$5:$H$43,IF(L1591="F-15",2,IF(L1591="F-30",3,IF(L1591="F-60",4,IF(L1591="F-90",5,IF(L1591="F-120",6,IF(L1591="F-150",7,0)))))),0),0)+IF(AND(O1591="FIRE TEX 5090",OR(E1591="IN",E1591="C",E1591="Z",E1591="L"),J1591=4),VLOOKUP(_xlfn.MINIFS('FIRE TEX 5090'!$J$5:$J$43,'FIRE TEX 5090'!$J$5:$J$43,"&gt;="&amp;M1591),'FIRE TEX 5090'!$J$5:$P$43,IF(L1591="F-15",2,IF(L1591="F-30",3,IF(L1591="F-60",4,IF(L1591="F-90",5,IF(L1591="F-120",6,IF(L1591="F-150",7,0)))))),0),0)+IF(AND(O1591="FIRE TEX 5090",E1591="CJ",J1591=3),VLOOKUP(_xlfn.MINIFS('FIRE TEX 5090'!$R$5:$R$30,'FIRE TEX 5090'!$R$5:$R$30,"&gt;="&amp;M1591),'FIRE TEX 5090'!$R$5:$W$30,IF(L1591="F-15",2,IF(L1591="F-30",3,IF(L1591="F-60",4,IF(L1591="F-90",5,IF(L1591="F-120",6,IF(L1591="F-150",7,0)))))),0),0)+IF(AND(O1591="FIRE TEX 5090",E1591="CJ",J1591=4),VLOOKUP(_xlfn.MINIFS('FIRE TEX 5090'!$Y$5:$Y$39,'FIRE TEX 5090'!$Y$5:$Y$39,"&gt;="&amp;M1591),'FIRE TEX 5090'!$Y$5:$AD$39,IF(L1591="F-15",2,IF(L1591="F-30",3,IF(L1591="F-60",4,IF(L1591="F-90",5,IF(L1591="F-120",6,IF(L1591="F-150",7,0)))))),0),0)+IF(AND(O1591="FIRE TEX 5120",OR(E1591="IN",E1591="C",E1591="Z",E1591="L"),J1591=3),VLOOKUP(_xlfn.MINIFS('FIRE TEX 5120'!$B$5:$B$40,'FIRE TEX 5120'!$B$5:$B$40,"&gt;="&amp;M1591),'FIRE TEX 5120'!$B$5:$G$40,IF(L1591="F-15",2,IF(L1591="F-30",3,IF(L1591="F-60",4,IF(L1591="F-90",5,IF(L1591="F-120",6,0))))),0),0)+IF(AND(O1591="FIRE TEX 5120",OR(E1591="IN",E1591="C",E1591="Z",E1591="L"),J1591=4),VLOOKUP(_xlfn.MINIFS('FIRE TEX 5120'!$H$4:$H$40,'FIRE TEX 5120'!$H$4:$H$40,"&gt;="&amp;M1591),'FIRE TEX 5120'!$H$4:$M$40,IF(L1591="F-15",2,IF(L1591="F-30",3,IF(L1591="F-60",4,IF(L1591="F-90",5,IF(L1591="F-120",6,0))))),0),0)+IF(AND(O1591="FIRE TEX 5120",E1591="CJ"),VLOOKUP(_xlfn.MINIFS('FIRE TEX 5120'!$O$5:$O$40,'FIRE TEX 5120'!$O$5:$O$40,"&gt;="&amp;M1591),'FIRE TEX 5120'!$O$5:$T$40,IF(L1591="F-15",2,IF(L1591="F-30",3,IF(L1591="F-60",4,IF(L1591="F-90",5,IF(L1591="F-120",6,0))))),0),0)</f>
        <v>0</v>
      </c>
      <c r="Q1591" s="46">
        <f t="shared" si="144"/>
        <v>0</v>
      </c>
      <c r="R1591" s="46">
        <f t="shared" si="145"/>
        <v>0</v>
      </c>
      <c r="S1591" s="46" t="e">
        <f t="shared" si="146"/>
        <v>#VALUE!</v>
      </c>
      <c r="T1591" s="677">
        <f t="shared" si="147"/>
        <v>0</v>
      </c>
      <c r="U1591" s="80">
        <f>(IF(O1591="Stofire",(S1591*#REF!),0))+(IF(O1591="Fire Control",(S1591*$U$2),0))+(IF(O1591="Fire Tex",(S1591*$U$3),0))+(IF(O1591="WB7",(S1591*#REF!),0)+(IF(O1591="FX 2003",(S1591*$U$5),0)))</f>
        <v>0</v>
      </c>
      <c r="V1591" s="651">
        <f t="shared" si="148"/>
        <v>0</v>
      </c>
    </row>
    <row r="1592" spans="4:22" x14ac:dyDescent="0.25">
      <c r="D1592" s="118">
        <f>+CUBICACION!D1591</f>
        <v>0</v>
      </c>
      <c r="E1592" s="118">
        <f>+CUBICACION!F1591</f>
        <v>0</v>
      </c>
      <c r="F1592" s="118">
        <f>+CUBICACION!E1591</f>
        <v>0</v>
      </c>
      <c r="G1592" s="118">
        <v>12</v>
      </c>
      <c r="H1592" s="118">
        <v>2</v>
      </c>
      <c r="I1592" s="820">
        <v>26385</v>
      </c>
      <c r="J1592" s="118">
        <f>+CUBICACION!J1591</f>
        <v>0</v>
      </c>
      <c r="K1592" s="118">
        <v>4371</v>
      </c>
      <c r="L1592" s="118">
        <f>+CUBICACION!L1591</f>
        <v>0</v>
      </c>
      <c r="M1592" s="64">
        <f>+CUBICACION!M1591</f>
        <v>0</v>
      </c>
      <c r="N1592" s="824" t="str">
        <f>+CUBICACION!N1591</f>
        <v/>
      </c>
      <c r="O1592" s="675">
        <f>+CUBICACION!O1591</f>
        <v>0</v>
      </c>
      <c r="P1592" s="15">
        <f>IF(O1592="Fire Control",VLOOKUP(_xlfn.MINIFS('FIRE CONTROL'!$C$4:$C$37,'FIRE CONTROL'!$C$4:$C$37,"&gt;="&amp;M1592),'FIRE CONTROL'!$C$4:$G$37,IF(L1592="F-15",2,IF(L1592="F-30",3,IF(L1592="F-60",4,IF(L1592="F-90",5,0)))),0),0)+IF(AND(O1592="FIRE TEX 5062",OR(E1592="IN",E1592="C",E1592="Z",E1592="L"),J1592=3),VLOOKUP(_xlfn.MINIFS('FIRE TEX 5062'!$B$4:$B$34,'FIRE TEX 5062'!$B$4:$B$34,"&gt;="&amp;M1592),'FIRE TEX 5062'!$B$4:$F$34,IF(L1592="F-15",2,IF(L1592="F-30",3,IF(L1592="F-60",4,IF(L1592="F-90",5,0)))),0),0)+IF(AND(O1592="FIRE TEX 5062",OR(E1592="IN",E1592="C",E1592="Z",E1592="L"),J1592=4),VLOOKUP(_xlfn.MINIFS('FIRE TEX 5062'!$G$4:$G$34,'FIRE TEX 5062'!$G$4:$G$34,"&gt;="&amp;M1592),'FIRE TEX 5062'!$G$4:$K$34,IF(L1592="F-15",2,IF(L1592="F-30",3,IF(L1592="F-60",4,IF(L1592="F-90",5,0)))),0),0)+IF(AND(O1592="FIRE TEX 5062",E1592="CJ",J1592=3),VLOOKUP(_xlfn.MINIFS('FIRE TEX 5062'!$L$4:$L$34,'FIRE TEX 5062'!$L$4:$L$34,"&gt;="&amp;M1592),'FIRE TEX 5062'!$L$4:$P$34,IF(L1592="F-15",2,IF(L1592="F-30",3,IF(L1592="F-60",4,IF(L1592="F-90",5,0)))),0),0)+IF(AND(O1592="FIRE TEX 5062",E1592="CJ",J1592=4),VLOOKUP(_xlfn.MINIFS('FIRE TEX 5062'!$Q$3:$Q$34,'FIRE TEX 5062'!$Q$3:$Q$34,"&gt;="&amp;M1592),'FIRE TEX 5062'!$Q$3:$U$34,IF(L1592="F-15",2,IF(L1592="F-30",3,IF(L1592="F-60",4,IF(L1592="F-90",5,0)))),0),0)+IF(AND(O1592="FIRE TEX 5090",OR(E1592="IN",E1592="C",E1592="Z",E1592="L"),J1592=3),VLOOKUP(_xlfn.MINIFS('FIRE TEX 5090'!$B$5:$B$43,'FIRE TEX 5090'!$B$5:$B$43,"&gt;="&amp;M1592),'FIRE TEX 5090'!$B$5:$H$43,IF(L1592="F-15",2,IF(L1592="F-30",3,IF(L1592="F-60",4,IF(L1592="F-90",5,IF(L1592="F-120",6,IF(L1592="F-150",7,0)))))),0),0)+IF(AND(O1592="FIRE TEX 5090",OR(E1592="IN",E1592="C",E1592="Z",E1592="L"),J1592=4),VLOOKUP(_xlfn.MINIFS('FIRE TEX 5090'!$J$5:$J$43,'FIRE TEX 5090'!$J$5:$J$43,"&gt;="&amp;M1592),'FIRE TEX 5090'!$J$5:$P$43,IF(L1592="F-15",2,IF(L1592="F-30",3,IF(L1592="F-60",4,IF(L1592="F-90",5,IF(L1592="F-120",6,IF(L1592="F-150",7,0)))))),0),0)+IF(AND(O1592="FIRE TEX 5090",E1592="CJ",J1592=3),VLOOKUP(_xlfn.MINIFS('FIRE TEX 5090'!$R$5:$R$30,'FIRE TEX 5090'!$R$5:$R$30,"&gt;="&amp;M1592),'FIRE TEX 5090'!$R$5:$W$30,IF(L1592="F-15",2,IF(L1592="F-30",3,IF(L1592="F-60",4,IF(L1592="F-90",5,IF(L1592="F-120",6,IF(L1592="F-150",7,0)))))),0),0)+IF(AND(O1592="FIRE TEX 5090",E1592="CJ",J1592=4),VLOOKUP(_xlfn.MINIFS('FIRE TEX 5090'!$Y$5:$Y$39,'FIRE TEX 5090'!$Y$5:$Y$39,"&gt;="&amp;M1592),'FIRE TEX 5090'!$Y$5:$AD$39,IF(L1592="F-15",2,IF(L1592="F-30",3,IF(L1592="F-60",4,IF(L1592="F-90",5,IF(L1592="F-120",6,IF(L1592="F-150",7,0)))))),0),0)+IF(AND(O1592="FIRE TEX 5120",OR(E1592="IN",E1592="C",E1592="Z",E1592="L"),J1592=3),VLOOKUP(_xlfn.MINIFS('FIRE TEX 5120'!$B$5:$B$40,'FIRE TEX 5120'!$B$5:$B$40,"&gt;="&amp;M1592),'FIRE TEX 5120'!$B$5:$G$40,IF(L1592="F-15",2,IF(L1592="F-30",3,IF(L1592="F-60",4,IF(L1592="F-90",5,IF(L1592="F-120",6,0))))),0),0)+IF(AND(O1592="FIRE TEX 5120",OR(E1592="IN",E1592="C",E1592="Z",E1592="L"),J1592=4),VLOOKUP(_xlfn.MINIFS('FIRE TEX 5120'!$H$4:$H$40,'FIRE TEX 5120'!$H$4:$H$40,"&gt;="&amp;M1592),'FIRE TEX 5120'!$H$4:$M$40,IF(L1592="F-15",2,IF(L1592="F-30",3,IF(L1592="F-60",4,IF(L1592="F-90",5,IF(L1592="F-120",6,0))))),0),0)+IF(AND(O1592="FIRE TEX 5120",E1592="CJ"),VLOOKUP(_xlfn.MINIFS('FIRE TEX 5120'!$O$5:$O$40,'FIRE TEX 5120'!$O$5:$O$40,"&gt;="&amp;M1592),'FIRE TEX 5120'!$O$5:$T$40,IF(L1592="F-15",2,IF(L1592="F-30",3,IF(L1592="F-60",4,IF(L1592="F-90",5,IF(L1592="F-120",6,0))))),0),0)</f>
        <v>0</v>
      </c>
      <c r="Q1592" s="46">
        <f t="shared" si="144"/>
        <v>0</v>
      </c>
      <c r="R1592" s="46">
        <f t="shared" si="145"/>
        <v>0</v>
      </c>
      <c r="S1592" s="46" t="e">
        <f t="shared" si="146"/>
        <v>#VALUE!</v>
      </c>
      <c r="T1592" s="677">
        <f t="shared" si="147"/>
        <v>0</v>
      </c>
      <c r="U1592" s="80">
        <f>(IF(O1592="Stofire",(S1592*#REF!),0))+(IF(O1592="Fire Control",(S1592*$U$2),0))+(IF(O1592="Fire Tex",(S1592*$U$3),0))+(IF(O1592="WB7",(S1592*#REF!),0)+(IF(O1592="FX 2003",(S1592*$U$5),0)))</f>
        <v>0</v>
      </c>
      <c r="V1592" s="651">
        <f t="shared" si="148"/>
        <v>0</v>
      </c>
    </row>
    <row r="1593" spans="4:22" x14ac:dyDescent="0.25">
      <c r="D1593" s="118">
        <f>+CUBICACION!D1592</f>
        <v>0</v>
      </c>
      <c r="E1593" s="118">
        <f>+CUBICACION!F1592</f>
        <v>0</v>
      </c>
      <c r="F1593" s="118">
        <f>+CUBICACION!E1592</f>
        <v>0</v>
      </c>
      <c r="G1593" s="118">
        <v>12</v>
      </c>
      <c r="H1593" s="118">
        <v>2</v>
      </c>
      <c r="I1593" s="820">
        <v>26385</v>
      </c>
      <c r="J1593" s="118">
        <f>+CUBICACION!J1592</f>
        <v>0</v>
      </c>
      <c r="K1593" s="118">
        <v>4372</v>
      </c>
      <c r="L1593" s="118">
        <f>+CUBICACION!L1592</f>
        <v>0</v>
      </c>
      <c r="M1593" s="64">
        <f>+CUBICACION!M1592</f>
        <v>0</v>
      </c>
      <c r="N1593" s="824" t="str">
        <f>+CUBICACION!N1592</f>
        <v/>
      </c>
      <c r="O1593" s="675">
        <f>+CUBICACION!O1592</f>
        <v>0</v>
      </c>
      <c r="P1593" s="15">
        <f>IF(O1593="Fire Control",VLOOKUP(_xlfn.MINIFS('FIRE CONTROL'!$C$4:$C$37,'FIRE CONTROL'!$C$4:$C$37,"&gt;="&amp;M1593),'FIRE CONTROL'!$C$4:$G$37,IF(L1593="F-15",2,IF(L1593="F-30",3,IF(L1593="F-60",4,IF(L1593="F-90",5,0)))),0),0)+IF(AND(O1593="FIRE TEX 5062",OR(E1593="IN",E1593="C",E1593="Z",E1593="L"),J1593=3),VLOOKUP(_xlfn.MINIFS('FIRE TEX 5062'!$B$4:$B$34,'FIRE TEX 5062'!$B$4:$B$34,"&gt;="&amp;M1593),'FIRE TEX 5062'!$B$4:$F$34,IF(L1593="F-15",2,IF(L1593="F-30",3,IF(L1593="F-60",4,IF(L1593="F-90",5,0)))),0),0)+IF(AND(O1593="FIRE TEX 5062",OR(E1593="IN",E1593="C",E1593="Z",E1593="L"),J1593=4),VLOOKUP(_xlfn.MINIFS('FIRE TEX 5062'!$G$4:$G$34,'FIRE TEX 5062'!$G$4:$G$34,"&gt;="&amp;M1593),'FIRE TEX 5062'!$G$4:$K$34,IF(L1593="F-15",2,IF(L1593="F-30",3,IF(L1593="F-60",4,IF(L1593="F-90",5,0)))),0),0)+IF(AND(O1593="FIRE TEX 5062",E1593="CJ",J1593=3),VLOOKUP(_xlfn.MINIFS('FIRE TEX 5062'!$L$4:$L$34,'FIRE TEX 5062'!$L$4:$L$34,"&gt;="&amp;M1593),'FIRE TEX 5062'!$L$4:$P$34,IF(L1593="F-15",2,IF(L1593="F-30",3,IF(L1593="F-60",4,IF(L1593="F-90",5,0)))),0),0)+IF(AND(O1593="FIRE TEX 5062",E1593="CJ",J1593=4),VLOOKUP(_xlfn.MINIFS('FIRE TEX 5062'!$Q$3:$Q$34,'FIRE TEX 5062'!$Q$3:$Q$34,"&gt;="&amp;M1593),'FIRE TEX 5062'!$Q$3:$U$34,IF(L1593="F-15",2,IF(L1593="F-30",3,IF(L1593="F-60",4,IF(L1593="F-90",5,0)))),0),0)+IF(AND(O1593="FIRE TEX 5090",OR(E1593="IN",E1593="C",E1593="Z",E1593="L"),J1593=3),VLOOKUP(_xlfn.MINIFS('FIRE TEX 5090'!$B$5:$B$43,'FIRE TEX 5090'!$B$5:$B$43,"&gt;="&amp;M1593),'FIRE TEX 5090'!$B$5:$H$43,IF(L1593="F-15",2,IF(L1593="F-30",3,IF(L1593="F-60",4,IF(L1593="F-90",5,IF(L1593="F-120",6,IF(L1593="F-150",7,0)))))),0),0)+IF(AND(O1593="FIRE TEX 5090",OR(E1593="IN",E1593="C",E1593="Z",E1593="L"),J1593=4),VLOOKUP(_xlfn.MINIFS('FIRE TEX 5090'!$J$5:$J$43,'FIRE TEX 5090'!$J$5:$J$43,"&gt;="&amp;M1593),'FIRE TEX 5090'!$J$5:$P$43,IF(L1593="F-15",2,IF(L1593="F-30",3,IF(L1593="F-60",4,IF(L1593="F-90",5,IF(L1593="F-120",6,IF(L1593="F-150",7,0)))))),0),0)+IF(AND(O1593="FIRE TEX 5090",E1593="CJ",J1593=3),VLOOKUP(_xlfn.MINIFS('FIRE TEX 5090'!$R$5:$R$30,'FIRE TEX 5090'!$R$5:$R$30,"&gt;="&amp;M1593),'FIRE TEX 5090'!$R$5:$W$30,IF(L1593="F-15",2,IF(L1593="F-30",3,IF(L1593="F-60",4,IF(L1593="F-90",5,IF(L1593="F-120",6,IF(L1593="F-150",7,0)))))),0),0)+IF(AND(O1593="FIRE TEX 5090",E1593="CJ",J1593=4),VLOOKUP(_xlfn.MINIFS('FIRE TEX 5090'!$Y$5:$Y$39,'FIRE TEX 5090'!$Y$5:$Y$39,"&gt;="&amp;M1593),'FIRE TEX 5090'!$Y$5:$AD$39,IF(L1593="F-15",2,IF(L1593="F-30",3,IF(L1593="F-60",4,IF(L1593="F-90",5,IF(L1593="F-120",6,IF(L1593="F-150",7,0)))))),0),0)+IF(AND(O1593="FIRE TEX 5120",OR(E1593="IN",E1593="C",E1593="Z",E1593="L"),J1593=3),VLOOKUP(_xlfn.MINIFS('FIRE TEX 5120'!$B$5:$B$40,'FIRE TEX 5120'!$B$5:$B$40,"&gt;="&amp;M1593),'FIRE TEX 5120'!$B$5:$G$40,IF(L1593="F-15",2,IF(L1593="F-30",3,IF(L1593="F-60",4,IF(L1593="F-90",5,IF(L1593="F-120",6,0))))),0),0)+IF(AND(O1593="FIRE TEX 5120",OR(E1593="IN",E1593="C",E1593="Z",E1593="L"),J1593=4),VLOOKUP(_xlfn.MINIFS('FIRE TEX 5120'!$H$4:$H$40,'FIRE TEX 5120'!$H$4:$H$40,"&gt;="&amp;M1593),'FIRE TEX 5120'!$H$4:$M$40,IF(L1593="F-15",2,IF(L1593="F-30",3,IF(L1593="F-60",4,IF(L1593="F-90",5,IF(L1593="F-120",6,0))))),0),0)+IF(AND(O1593="FIRE TEX 5120",E1593="CJ"),VLOOKUP(_xlfn.MINIFS('FIRE TEX 5120'!$O$5:$O$40,'FIRE TEX 5120'!$O$5:$O$40,"&gt;="&amp;M1593),'FIRE TEX 5120'!$O$5:$T$40,IF(L1593="F-15",2,IF(L1593="F-30",3,IF(L1593="F-60",4,IF(L1593="F-90",5,IF(L1593="F-120",6,0))))),0),0)</f>
        <v>0</v>
      </c>
      <c r="Q1593" s="46">
        <f t="shared" si="144"/>
        <v>0</v>
      </c>
      <c r="R1593" s="46">
        <f t="shared" si="145"/>
        <v>0</v>
      </c>
      <c r="S1593" s="46" t="e">
        <f t="shared" si="146"/>
        <v>#VALUE!</v>
      </c>
      <c r="T1593" s="677">
        <f t="shared" si="147"/>
        <v>0</v>
      </c>
      <c r="U1593" s="80">
        <f>(IF(O1593="Stofire",(S1593*#REF!),0))+(IF(O1593="Fire Control",(S1593*$U$2),0))+(IF(O1593="Fire Tex",(S1593*$U$3),0))+(IF(O1593="WB7",(S1593*#REF!),0)+(IF(O1593="FX 2003",(S1593*$U$5),0)))</f>
        <v>0</v>
      </c>
      <c r="V1593" s="651">
        <f t="shared" si="148"/>
        <v>0</v>
      </c>
    </row>
    <row r="1594" spans="4:22" x14ac:dyDescent="0.25">
      <c r="D1594" s="118">
        <f>+CUBICACION!D1593</f>
        <v>0</v>
      </c>
      <c r="E1594" s="118">
        <f>+CUBICACION!F1593</f>
        <v>0</v>
      </c>
      <c r="F1594" s="118">
        <f>+CUBICACION!E1593</f>
        <v>0</v>
      </c>
      <c r="G1594" s="118">
        <v>12</v>
      </c>
      <c r="H1594" s="118">
        <v>2</v>
      </c>
      <c r="I1594" s="820">
        <v>26385</v>
      </c>
      <c r="J1594" s="118">
        <f>+CUBICACION!J1593</f>
        <v>0</v>
      </c>
      <c r="K1594" s="118">
        <v>4373</v>
      </c>
      <c r="L1594" s="118">
        <f>+CUBICACION!L1593</f>
        <v>0</v>
      </c>
      <c r="M1594" s="64">
        <f>+CUBICACION!M1593</f>
        <v>0</v>
      </c>
      <c r="N1594" s="824" t="str">
        <f>+CUBICACION!N1593</f>
        <v/>
      </c>
      <c r="O1594" s="675">
        <f>+CUBICACION!O1593</f>
        <v>0</v>
      </c>
      <c r="P1594" s="15">
        <f>IF(O1594="Fire Control",VLOOKUP(_xlfn.MINIFS('FIRE CONTROL'!$C$4:$C$37,'FIRE CONTROL'!$C$4:$C$37,"&gt;="&amp;M1594),'FIRE CONTROL'!$C$4:$G$37,IF(L1594="F-15",2,IF(L1594="F-30",3,IF(L1594="F-60",4,IF(L1594="F-90",5,0)))),0),0)+IF(AND(O1594="FIRE TEX 5062",OR(E1594="IN",E1594="C",E1594="Z",E1594="L"),J1594=3),VLOOKUP(_xlfn.MINIFS('FIRE TEX 5062'!$B$4:$B$34,'FIRE TEX 5062'!$B$4:$B$34,"&gt;="&amp;M1594),'FIRE TEX 5062'!$B$4:$F$34,IF(L1594="F-15",2,IF(L1594="F-30",3,IF(L1594="F-60",4,IF(L1594="F-90",5,0)))),0),0)+IF(AND(O1594="FIRE TEX 5062",OR(E1594="IN",E1594="C",E1594="Z",E1594="L"),J1594=4),VLOOKUP(_xlfn.MINIFS('FIRE TEX 5062'!$G$4:$G$34,'FIRE TEX 5062'!$G$4:$G$34,"&gt;="&amp;M1594),'FIRE TEX 5062'!$G$4:$K$34,IF(L1594="F-15",2,IF(L1594="F-30",3,IF(L1594="F-60",4,IF(L1594="F-90",5,0)))),0),0)+IF(AND(O1594="FIRE TEX 5062",E1594="CJ",J1594=3),VLOOKUP(_xlfn.MINIFS('FIRE TEX 5062'!$L$4:$L$34,'FIRE TEX 5062'!$L$4:$L$34,"&gt;="&amp;M1594),'FIRE TEX 5062'!$L$4:$P$34,IF(L1594="F-15",2,IF(L1594="F-30",3,IF(L1594="F-60",4,IF(L1594="F-90",5,0)))),0),0)+IF(AND(O1594="FIRE TEX 5062",E1594="CJ",J1594=4),VLOOKUP(_xlfn.MINIFS('FIRE TEX 5062'!$Q$3:$Q$34,'FIRE TEX 5062'!$Q$3:$Q$34,"&gt;="&amp;M1594),'FIRE TEX 5062'!$Q$3:$U$34,IF(L1594="F-15",2,IF(L1594="F-30",3,IF(L1594="F-60",4,IF(L1594="F-90",5,0)))),0),0)+IF(AND(O1594="FIRE TEX 5090",OR(E1594="IN",E1594="C",E1594="Z",E1594="L"),J1594=3),VLOOKUP(_xlfn.MINIFS('FIRE TEX 5090'!$B$5:$B$43,'FIRE TEX 5090'!$B$5:$B$43,"&gt;="&amp;M1594),'FIRE TEX 5090'!$B$5:$H$43,IF(L1594="F-15",2,IF(L1594="F-30",3,IF(L1594="F-60",4,IF(L1594="F-90",5,IF(L1594="F-120",6,IF(L1594="F-150",7,0)))))),0),0)+IF(AND(O1594="FIRE TEX 5090",OR(E1594="IN",E1594="C",E1594="Z",E1594="L"),J1594=4),VLOOKUP(_xlfn.MINIFS('FIRE TEX 5090'!$J$5:$J$43,'FIRE TEX 5090'!$J$5:$J$43,"&gt;="&amp;M1594),'FIRE TEX 5090'!$J$5:$P$43,IF(L1594="F-15",2,IF(L1594="F-30",3,IF(L1594="F-60",4,IF(L1594="F-90",5,IF(L1594="F-120",6,IF(L1594="F-150",7,0)))))),0),0)+IF(AND(O1594="FIRE TEX 5090",E1594="CJ",J1594=3),VLOOKUP(_xlfn.MINIFS('FIRE TEX 5090'!$R$5:$R$30,'FIRE TEX 5090'!$R$5:$R$30,"&gt;="&amp;M1594),'FIRE TEX 5090'!$R$5:$W$30,IF(L1594="F-15",2,IF(L1594="F-30",3,IF(L1594="F-60",4,IF(L1594="F-90",5,IF(L1594="F-120",6,IF(L1594="F-150",7,0)))))),0),0)+IF(AND(O1594="FIRE TEX 5090",E1594="CJ",J1594=4),VLOOKUP(_xlfn.MINIFS('FIRE TEX 5090'!$Y$5:$Y$39,'FIRE TEX 5090'!$Y$5:$Y$39,"&gt;="&amp;M1594),'FIRE TEX 5090'!$Y$5:$AD$39,IF(L1594="F-15",2,IF(L1594="F-30",3,IF(L1594="F-60",4,IF(L1594="F-90",5,IF(L1594="F-120",6,IF(L1594="F-150",7,0)))))),0),0)+IF(AND(O1594="FIRE TEX 5120",OR(E1594="IN",E1594="C",E1594="Z",E1594="L"),J1594=3),VLOOKUP(_xlfn.MINIFS('FIRE TEX 5120'!$B$5:$B$40,'FIRE TEX 5120'!$B$5:$B$40,"&gt;="&amp;M1594),'FIRE TEX 5120'!$B$5:$G$40,IF(L1594="F-15",2,IF(L1594="F-30",3,IF(L1594="F-60",4,IF(L1594="F-90",5,IF(L1594="F-120",6,0))))),0),0)+IF(AND(O1594="FIRE TEX 5120",OR(E1594="IN",E1594="C",E1594="Z",E1594="L"),J1594=4),VLOOKUP(_xlfn.MINIFS('FIRE TEX 5120'!$H$4:$H$40,'FIRE TEX 5120'!$H$4:$H$40,"&gt;="&amp;M1594),'FIRE TEX 5120'!$H$4:$M$40,IF(L1594="F-15",2,IF(L1594="F-30",3,IF(L1594="F-60",4,IF(L1594="F-90",5,IF(L1594="F-120",6,0))))),0),0)+IF(AND(O1594="FIRE TEX 5120",E1594="CJ"),VLOOKUP(_xlfn.MINIFS('FIRE TEX 5120'!$O$5:$O$40,'FIRE TEX 5120'!$O$5:$O$40,"&gt;="&amp;M1594),'FIRE TEX 5120'!$O$5:$T$40,IF(L1594="F-15",2,IF(L1594="F-30",3,IF(L1594="F-60",4,IF(L1594="F-90",5,IF(L1594="F-120",6,0))))),0),0)</f>
        <v>0</v>
      </c>
      <c r="Q1594" s="46">
        <f t="shared" si="144"/>
        <v>0</v>
      </c>
      <c r="R1594" s="46">
        <f t="shared" si="145"/>
        <v>0</v>
      </c>
      <c r="S1594" s="46" t="e">
        <f t="shared" si="146"/>
        <v>#VALUE!</v>
      </c>
      <c r="T1594" s="677">
        <f t="shared" si="147"/>
        <v>0</v>
      </c>
      <c r="U1594" s="80">
        <f>(IF(O1594="Stofire",(S1594*#REF!),0))+(IF(O1594="Fire Control",(S1594*$U$2),0))+(IF(O1594="Fire Tex",(S1594*$U$3),0))+(IF(O1594="WB7",(S1594*#REF!),0)+(IF(O1594="FX 2003",(S1594*$U$5),0)))</f>
        <v>0</v>
      </c>
      <c r="V1594" s="651">
        <f t="shared" si="148"/>
        <v>0</v>
      </c>
    </row>
    <row r="1595" spans="4:22" x14ac:dyDescent="0.25">
      <c r="D1595" s="118">
        <f>+CUBICACION!D1594</f>
        <v>0</v>
      </c>
      <c r="E1595" s="118">
        <f>+CUBICACION!F1594</f>
        <v>0</v>
      </c>
      <c r="F1595" s="118">
        <f>+CUBICACION!E1594</f>
        <v>0</v>
      </c>
      <c r="G1595" s="118">
        <v>12</v>
      </c>
      <c r="H1595" s="118">
        <v>2</v>
      </c>
      <c r="I1595" s="820">
        <v>26385</v>
      </c>
      <c r="J1595" s="118">
        <f>+CUBICACION!J1594</f>
        <v>0</v>
      </c>
      <c r="K1595" s="118">
        <v>4374</v>
      </c>
      <c r="L1595" s="118">
        <f>+CUBICACION!L1594</f>
        <v>0</v>
      </c>
      <c r="M1595" s="64">
        <f>+CUBICACION!M1594</f>
        <v>0</v>
      </c>
      <c r="N1595" s="824" t="str">
        <f>+CUBICACION!N1594</f>
        <v/>
      </c>
      <c r="O1595" s="675">
        <f>+CUBICACION!O1594</f>
        <v>0</v>
      </c>
      <c r="P1595" s="15">
        <f>IF(O1595="Fire Control",VLOOKUP(_xlfn.MINIFS('FIRE CONTROL'!$C$4:$C$37,'FIRE CONTROL'!$C$4:$C$37,"&gt;="&amp;M1595),'FIRE CONTROL'!$C$4:$G$37,IF(L1595="F-15",2,IF(L1595="F-30",3,IF(L1595="F-60",4,IF(L1595="F-90",5,0)))),0),0)+IF(AND(O1595="FIRE TEX 5062",OR(E1595="IN",E1595="C",E1595="Z",E1595="L"),J1595=3),VLOOKUP(_xlfn.MINIFS('FIRE TEX 5062'!$B$4:$B$34,'FIRE TEX 5062'!$B$4:$B$34,"&gt;="&amp;M1595),'FIRE TEX 5062'!$B$4:$F$34,IF(L1595="F-15",2,IF(L1595="F-30",3,IF(L1595="F-60",4,IF(L1595="F-90",5,0)))),0),0)+IF(AND(O1595="FIRE TEX 5062",OR(E1595="IN",E1595="C",E1595="Z",E1595="L"),J1595=4),VLOOKUP(_xlfn.MINIFS('FIRE TEX 5062'!$G$4:$G$34,'FIRE TEX 5062'!$G$4:$G$34,"&gt;="&amp;M1595),'FIRE TEX 5062'!$G$4:$K$34,IF(L1595="F-15",2,IF(L1595="F-30",3,IF(L1595="F-60",4,IF(L1595="F-90",5,0)))),0),0)+IF(AND(O1595="FIRE TEX 5062",E1595="CJ",J1595=3),VLOOKUP(_xlfn.MINIFS('FIRE TEX 5062'!$L$4:$L$34,'FIRE TEX 5062'!$L$4:$L$34,"&gt;="&amp;M1595),'FIRE TEX 5062'!$L$4:$P$34,IF(L1595="F-15",2,IF(L1595="F-30",3,IF(L1595="F-60",4,IF(L1595="F-90",5,0)))),0),0)+IF(AND(O1595="FIRE TEX 5062",E1595="CJ",J1595=4),VLOOKUP(_xlfn.MINIFS('FIRE TEX 5062'!$Q$3:$Q$34,'FIRE TEX 5062'!$Q$3:$Q$34,"&gt;="&amp;M1595),'FIRE TEX 5062'!$Q$3:$U$34,IF(L1595="F-15",2,IF(L1595="F-30",3,IF(L1595="F-60",4,IF(L1595="F-90",5,0)))),0),0)+IF(AND(O1595="FIRE TEX 5090",OR(E1595="IN",E1595="C",E1595="Z",E1595="L"),J1595=3),VLOOKUP(_xlfn.MINIFS('FIRE TEX 5090'!$B$5:$B$43,'FIRE TEX 5090'!$B$5:$B$43,"&gt;="&amp;M1595),'FIRE TEX 5090'!$B$5:$H$43,IF(L1595="F-15",2,IF(L1595="F-30",3,IF(L1595="F-60",4,IF(L1595="F-90",5,IF(L1595="F-120",6,IF(L1595="F-150",7,0)))))),0),0)+IF(AND(O1595="FIRE TEX 5090",OR(E1595="IN",E1595="C",E1595="Z",E1595="L"),J1595=4),VLOOKUP(_xlfn.MINIFS('FIRE TEX 5090'!$J$5:$J$43,'FIRE TEX 5090'!$J$5:$J$43,"&gt;="&amp;M1595),'FIRE TEX 5090'!$J$5:$P$43,IF(L1595="F-15",2,IF(L1595="F-30",3,IF(L1595="F-60",4,IF(L1595="F-90",5,IF(L1595="F-120",6,IF(L1595="F-150",7,0)))))),0),0)+IF(AND(O1595="FIRE TEX 5090",E1595="CJ",J1595=3),VLOOKUP(_xlfn.MINIFS('FIRE TEX 5090'!$R$5:$R$30,'FIRE TEX 5090'!$R$5:$R$30,"&gt;="&amp;M1595),'FIRE TEX 5090'!$R$5:$W$30,IF(L1595="F-15",2,IF(L1595="F-30",3,IF(L1595="F-60",4,IF(L1595="F-90",5,IF(L1595="F-120",6,IF(L1595="F-150",7,0)))))),0),0)+IF(AND(O1595="FIRE TEX 5090",E1595="CJ",J1595=4),VLOOKUP(_xlfn.MINIFS('FIRE TEX 5090'!$Y$5:$Y$39,'FIRE TEX 5090'!$Y$5:$Y$39,"&gt;="&amp;M1595),'FIRE TEX 5090'!$Y$5:$AD$39,IF(L1595="F-15",2,IF(L1595="F-30",3,IF(L1595="F-60",4,IF(L1595="F-90",5,IF(L1595="F-120",6,IF(L1595="F-150",7,0)))))),0),0)+IF(AND(O1595="FIRE TEX 5120",OR(E1595="IN",E1595="C",E1595="Z",E1595="L"),J1595=3),VLOOKUP(_xlfn.MINIFS('FIRE TEX 5120'!$B$5:$B$40,'FIRE TEX 5120'!$B$5:$B$40,"&gt;="&amp;M1595),'FIRE TEX 5120'!$B$5:$G$40,IF(L1595="F-15",2,IF(L1595="F-30",3,IF(L1595="F-60",4,IF(L1595="F-90",5,IF(L1595="F-120",6,0))))),0),0)+IF(AND(O1595="FIRE TEX 5120",OR(E1595="IN",E1595="C",E1595="Z",E1595="L"),J1595=4),VLOOKUP(_xlfn.MINIFS('FIRE TEX 5120'!$H$4:$H$40,'FIRE TEX 5120'!$H$4:$H$40,"&gt;="&amp;M1595),'FIRE TEX 5120'!$H$4:$M$40,IF(L1595="F-15",2,IF(L1595="F-30",3,IF(L1595="F-60",4,IF(L1595="F-90",5,IF(L1595="F-120",6,0))))),0),0)+IF(AND(O1595="FIRE TEX 5120",E1595="CJ"),VLOOKUP(_xlfn.MINIFS('FIRE TEX 5120'!$O$5:$O$40,'FIRE TEX 5120'!$O$5:$O$40,"&gt;="&amp;M1595),'FIRE TEX 5120'!$O$5:$T$40,IF(L1595="F-15",2,IF(L1595="F-30",3,IF(L1595="F-60",4,IF(L1595="F-90",5,IF(L1595="F-120",6,0))))),0),0)</f>
        <v>0</v>
      </c>
      <c r="Q1595" s="46">
        <f t="shared" si="144"/>
        <v>0</v>
      </c>
      <c r="R1595" s="46">
        <f t="shared" si="145"/>
        <v>0</v>
      </c>
      <c r="S1595" s="46" t="e">
        <f t="shared" si="146"/>
        <v>#VALUE!</v>
      </c>
      <c r="T1595" s="677">
        <f t="shared" si="147"/>
        <v>0</v>
      </c>
      <c r="U1595" s="80">
        <f>(IF(O1595="Stofire",(S1595*#REF!),0))+(IF(O1595="Fire Control",(S1595*$U$2),0))+(IF(O1595="Fire Tex",(S1595*$U$3),0))+(IF(O1595="WB7",(S1595*#REF!),0)+(IF(O1595="FX 2003",(S1595*$U$5),0)))</f>
        <v>0</v>
      </c>
      <c r="V1595" s="651">
        <f t="shared" si="148"/>
        <v>0</v>
      </c>
    </row>
    <row r="1596" spans="4:22" x14ac:dyDescent="0.25">
      <c r="D1596" s="118">
        <f>+CUBICACION!D1595</f>
        <v>0</v>
      </c>
      <c r="E1596" s="118">
        <f>+CUBICACION!F1595</f>
        <v>0</v>
      </c>
      <c r="F1596" s="118">
        <f>+CUBICACION!E1595</f>
        <v>0</v>
      </c>
      <c r="G1596" s="118">
        <v>12</v>
      </c>
      <c r="H1596" s="118">
        <v>2</v>
      </c>
      <c r="I1596" s="820">
        <v>26385</v>
      </c>
      <c r="J1596" s="118">
        <f>+CUBICACION!J1595</f>
        <v>0</v>
      </c>
      <c r="K1596" s="118">
        <v>4375</v>
      </c>
      <c r="L1596" s="118">
        <f>+CUBICACION!L1595</f>
        <v>0</v>
      </c>
      <c r="M1596" s="64">
        <f>+CUBICACION!M1595</f>
        <v>0</v>
      </c>
      <c r="N1596" s="824" t="str">
        <f>+CUBICACION!N1595</f>
        <v/>
      </c>
      <c r="O1596" s="675">
        <f>+CUBICACION!O1595</f>
        <v>0</v>
      </c>
      <c r="P1596" s="15">
        <f>IF(O1596="Fire Control",VLOOKUP(_xlfn.MINIFS('FIRE CONTROL'!$C$4:$C$37,'FIRE CONTROL'!$C$4:$C$37,"&gt;="&amp;M1596),'FIRE CONTROL'!$C$4:$G$37,IF(L1596="F-15",2,IF(L1596="F-30",3,IF(L1596="F-60",4,IF(L1596="F-90",5,0)))),0),0)+IF(AND(O1596="FIRE TEX 5062",OR(E1596="IN",E1596="C",E1596="Z",E1596="L"),J1596=3),VLOOKUP(_xlfn.MINIFS('FIRE TEX 5062'!$B$4:$B$34,'FIRE TEX 5062'!$B$4:$B$34,"&gt;="&amp;M1596),'FIRE TEX 5062'!$B$4:$F$34,IF(L1596="F-15",2,IF(L1596="F-30",3,IF(L1596="F-60",4,IF(L1596="F-90",5,0)))),0),0)+IF(AND(O1596="FIRE TEX 5062",OR(E1596="IN",E1596="C",E1596="Z",E1596="L"),J1596=4),VLOOKUP(_xlfn.MINIFS('FIRE TEX 5062'!$G$4:$G$34,'FIRE TEX 5062'!$G$4:$G$34,"&gt;="&amp;M1596),'FIRE TEX 5062'!$G$4:$K$34,IF(L1596="F-15",2,IF(L1596="F-30",3,IF(L1596="F-60",4,IF(L1596="F-90",5,0)))),0),0)+IF(AND(O1596="FIRE TEX 5062",E1596="CJ",J1596=3),VLOOKUP(_xlfn.MINIFS('FIRE TEX 5062'!$L$4:$L$34,'FIRE TEX 5062'!$L$4:$L$34,"&gt;="&amp;M1596),'FIRE TEX 5062'!$L$4:$P$34,IF(L1596="F-15",2,IF(L1596="F-30",3,IF(L1596="F-60",4,IF(L1596="F-90",5,0)))),0),0)+IF(AND(O1596="FIRE TEX 5062",E1596="CJ",J1596=4),VLOOKUP(_xlfn.MINIFS('FIRE TEX 5062'!$Q$3:$Q$34,'FIRE TEX 5062'!$Q$3:$Q$34,"&gt;="&amp;M1596),'FIRE TEX 5062'!$Q$3:$U$34,IF(L1596="F-15",2,IF(L1596="F-30",3,IF(L1596="F-60",4,IF(L1596="F-90",5,0)))),0),0)+IF(AND(O1596="FIRE TEX 5090",OR(E1596="IN",E1596="C",E1596="Z",E1596="L"),J1596=3),VLOOKUP(_xlfn.MINIFS('FIRE TEX 5090'!$B$5:$B$43,'FIRE TEX 5090'!$B$5:$B$43,"&gt;="&amp;M1596),'FIRE TEX 5090'!$B$5:$H$43,IF(L1596="F-15",2,IF(L1596="F-30",3,IF(L1596="F-60",4,IF(L1596="F-90",5,IF(L1596="F-120",6,IF(L1596="F-150",7,0)))))),0),0)+IF(AND(O1596="FIRE TEX 5090",OR(E1596="IN",E1596="C",E1596="Z",E1596="L"),J1596=4),VLOOKUP(_xlfn.MINIFS('FIRE TEX 5090'!$J$5:$J$43,'FIRE TEX 5090'!$J$5:$J$43,"&gt;="&amp;M1596),'FIRE TEX 5090'!$J$5:$P$43,IF(L1596="F-15",2,IF(L1596="F-30",3,IF(L1596="F-60",4,IF(L1596="F-90",5,IF(L1596="F-120",6,IF(L1596="F-150",7,0)))))),0),0)+IF(AND(O1596="FIRE TEX 5090",E1596="CJ",J1596=3),VLOOKUP(_xlfn.MINIFS('FIRE TEX 5090'!$R$5:$R$30,'FIRE TEX 5090'!$R$5:$R$30,"&gt;="&amp;M1596),'FIRE TEX 5090'!$R$5:$W$30,IF(L1596="F-15",2,IF(L1596="F-30",3,IF(L1596="F-60",4,IF(L1596="F-90",5,IF(L1596="F-120",6,IF(L1596="F-150",7,0)))))),0),0)+IF(AND(O1596="FIRE TEX 5090",E1596="CJ",J1596=4),VLOOKUP(_xlfn.MINIFS('FIRE TEX 5090'!$Y$5:$Y$39,'FIRE TEX 5090'!$Y$5:$Y$39,"&gt;="&amp;M1596),'FIRE TEX 5090'!$Y$5:$AD$39,IF(L1596="F-15",2,IF(L1596="F-30",3,IF(L1596="F-60",4,IF(L1596="F-90",5,IF(L1596="F-120",6,IF(L1596="F-150",7,0)))))),0),0)+IF(AND(O1596="FIRE TEX 5120",OR(E1596="IN",E1596="C",E1596="Z",E1596="L"),J1596=3),VLOOKUP(_xlfn.MINIFS('FIRE TEX 5120'!$B$5:$B$40,'FIRE TEX 5120'!$B$5:$B$40,"&gt;="&amp;M1596),'FIRE TEX 5120'!$B$5:$G$40,IF(L1596="F-15",2,IF(L1596="F-30",3,IF(L1596="F-60",4,IF(L1596="F-90",5,IF(L1596="F-120",6,0))))),0),0)+IF(AND(O1596="FIRE TEX 5120",OR(E1596="IN",E1596="C",E1596="Z",E1596="L"),J1596=4),VLOOKUP(_xlfn.MINIFS('FIRE TEX 5120'!$H$4:$H$40,'FIRE TEX 5120'!$H$4:$H$40,"&gt;="&amp;M1596),'FIRE TEX 5120'!$H$4:$M$40,IF(L1596="F-15",2,IF(L1596="F-30",3,IF(L1596="F-60",4,IF(L1596="F-90",5,IF(L1596="F-120",6,0))))),0),0)+IF(AND(O1596="FIRE TEX 5120",E1596="CJ"),VLOOKUP(_xlfn.MINIFS('FIRE TEX 5120'!$O$5:$O$40,'FIRE TEX 5120'!$O$5:$O$40,"&gt;="&amp;M1596),'FIRE TEX 5120'!$O$5:$T$40,IF(L1596="F-15",2,IF(L1596="F-30",3,IF(L1596="F-60",4,IF(L1596="F-90",5,IF(L1596="F-120",6,0))))),0),0)</f>
        <v>0</v>
      </c>
      <c r="Q1596" s="46">
        <f t="shared" si="144"/>
        <v>0</v>
      </c>
      <c r="R1596" s="46">
        <f t="shared" si="145"/>
        <v>0</v>
      </c>
      <c r="S1596" s="46" t="e">
        <f t="shared" si="146"/>
        <v>#VALUE!</v>
      </c>
      <c r="T1596" s="677">
        <f t="shared" si="147"/>
        <v>0</v>
      </c>
      <c r="U1596" s="80">
        <f>(IF(O1596="Stofire",(S1596*#REF!),0))+(IF(O1596="Fire Control",(S1596*$U$2),0))+(IF(O1596="Fire Tex",(S1596*$U$3),0))+(IF(O1596="WB7",(S1596*#REF!),0)+(IF(O1596="FX 2003",(S1596*$U$5),0)))</f>
        <v>0</v>
      </c>
      <c r="V1596" s="651">
        <f t="shared" si="148"/>
        <v>0</v>
      </c>
    </row>
    <row r="1597" spans="4:22" x14ac:dyDescent="0.25">
      <c r="D1597" s="118">
        <f>+CUBICACION!D1596</f>
        <v>0</v>
      </c>
      <c r="E1597" s="118">
        <f>+CUBICACION!F1596</f>
        <v>0</v>
      </c>
      <c r="F1597" s="118">
        <f>+CUBICACION!E1596</f>
        <v>0</v>
      </c>
      <c r="G1597" s="118">
        <v>12</v>
      </c>
      <c r="H1597" s="118">
        <v>2</v>
      </c>
      <c r="I1597" s="820">
        <v>26385</v>
      </c>
      <c r="J1597" s="118">
        <f>+CUBICACION!J1596</f>
        <v>0</v>
      </c>
      <c r="K1597" s="118">
        <v>4376</v>
      </c>
      <c r="L1597" s="118">
        <f>+CUBICACION!L1596</f>
        <v>0</v>
      </c>
      <c r="M1597" s="64">
        <f>+CUBICACION!M1596</f>
        <v>0</v>
      </c>
      <c r="N1597" s="824" t="str">
        <f>+CUBICACION!N1596</f>
        <v/>
      </c>
      <c r="O1597" s="675">
        <f>+CUBICACION!O1596</f>
        <v>0</v>
      </c>
      <c r="P1597" s="15">
        <f>IF(O1597="Fire Control",VLOOKUP(_xlfn.MINIFS('FIRE CONTROL'!$C$4:$C$37,'FIRE CONTROL'!$C$4:$C$37,"&gt;="&amp;M1597),'FIRE CONTROL'!$C$4:$G$37,IF(L1597="F-15",2,IF(L1597="F-30",3,IF(L1597="F-60",4,IF(L1597="F-90",5,0)))),0),0)+IF(AND(O1597="FIRE TEX 5062",OR(E1597="IN",E1597="C",E1597="Z",E1597="L"),J1597=3),VLOOKUP(_xlfn.MINIFS('FIRE TEX 5062'!$B$4:$B$34,'FIRE TEX 5062'!$B$4:$B$34,"&gt;="&amp;M1597),'FIRE TEX 5062'!$B$4:$F$34,IF(L1597="F-15",2,IF(L1597="F-30",3,IF(L1597="F-60",4,IF(L1597="F-90",5,0)))),0),0)+IF(AND(O1597="FIRE TEX 5062",OR(E1597="IN",E1597="C",E1597="Z",E1597="L"),J1597=4),VLOOKUP(_xlfn.MINIFS('FIRE TEX 5062'!$G$4:$G$34,'FIRE TEX 5062'!$G$4:$G$34,"&gt;="&amp;M1597),'FIRE TEX 5062'!$G$4:$K$34,IF(L1597="F-15",2,IF(L1597="F-30",3,IF(L1597="F-60",4,IF(L1597="F-90",5,0)))),0),0)+IF(AND(O1597="FIRE TEX 5062",E1597="CJ",J1597=3),VLOOKUP(_xlfn.MINIFS('FIRE TEX 5062'!$L$4:$L$34,'FIRE TEX 5062'!$L$4:$L$34,"&gt;="&amp;M1597),'FIRE TEX 5062'!$L$4:$P$34,IF(L1597="F-15",2,IF(L1597="F-30",3,IF(L1597="F-60",4,IF(L1597="F-90",5,0)))),0),0)+IF(AND(O1597="FIRE TEX 5062",E1597="CJ",J1597=4),VLOOKUP(_xlfn.MINIFS('FIRE TEX 5062'!$Q$3:$Q$34,'FIRE TEX 5062'!$Q$3:$Q$34,"&gt;="&amp;M1597),'FIRE TEX 5062'!$Q$3:$U$34,IF(L1597="F-15",2,IF(L1597="F-30",3,IF(L1597="F-60",4,IF(L1597="F-90",5,0)))),0),0)+IF(AND(O1597="FIRE TEX 5090",OR(E1597="IN",E1597="C",E1597="Z",E1597="L"),J1597=3),VLOOKUP(_xlfn.MINIFS('FIRE TEX 5090'!$B$5:$B$43,'FIRE TEX 5090'!$B$5:$B$43,"&gt;="&amp;M1597),'FIRE TEX 5090'!$B$5:$H$43,IF(L1597="F-15",2,IF(L1597="F-30",3,IF(L1597="F-60",4,IF(L1597="F-90",5,IF(L1597="F-120",6,IF(L1597="F-150",7,0)))))),0),0)+IF(AND(O1597="FIRE TEX 5090",OR(E1597="IN",E1597="C",E1597="Z",E1597="L"),J1597=4),VLOOKUP(_xlfn.MINIFS('FIRE TEX 5090'!$J$5:$J$43,'FIRE TEX 5090'!$J$5:$J$43,"&gt;="&amp;M1597),'FIRE TEX 5090'!$J$5:$P$43,IF(L1597="F-15",2,IF(L1597="F-30",3,IF(L1597="F-60",4,IF(L1597="F-90",5,IF(L1597="F-120",6,IF(L1597="F-150",7,0)))))),0),0)+IF(AND(O1597="FIRE TEX 5090",E1597="CJ",J1597=3),VLOOKUP(_xlfn.MINIFS('FIRE TEX 5090'!$R$5:$R$30,'FIRE TEX 5090'!$R$5:$R$30,"&gt;="&amp;M1597),'FIRE TEX 5090'!$R$5:$W$30,IF(L1597="F-15",2,IF(L1597="F-30",3,IF(L1597="F-60",4,IF(L1597="F-90",5,IF(L1597="F-120",6,IF(L1597="F-150",7,0)))))),0),0)+IF(AND(O1597="FIRE TEX 5090",E1597="CJ",J1597=4),VLOOKUP(_xlfn.MINIFS('FIRE TEX 5090'!$Y$5:$Y$39,'FIRE TEX 5090'!$Y$5:$Y$39,"&gt;="&amp;M1597),'FIRE TEX 5090'!$Y$5:$AD$39,IF(L1597="F-15",2,IF(L1597="F-30",3,IF(L1597="F-60",4,IF(L1597="F-90",5,IF(L1597="F-120",6,IF(L1597="F-150",7,0)))))),0),0)+IF(AND(O1597="FIRE TEX 5120",OR(E1597="IN",E1597="C",E1597="Z",E1597="L"),J1597=3),VLOOKUP(_xlfn.MINIFS('FIRE TEX 5120'!$B$5:$B$40,'FIRE TEX 5120'!$B$5:$B$40,"&gt;="&amp;M1597),'FIRE TEX 5120'!$B$5:$G$40,IF(L1597="F-15",2,IF(L1597="F-30",3,IF(L1597="F-60",4,IF(L1597="F-90",5,IF(L1597="F-120",6,0))))),0),0)+IF(AND(O1597="FIRE TEX 5120",OR(E1597="IN",E1597="C",E1597="Z",E1597="L"),J1597=4),VLOOKUP(_xlfn.MINIFS('FIRE TEX 5120'!$H$4:$H$40,'FIRE TEX 5120'!$H$4:$H$40,"&gt;="&amp;M1597),'FIRE TEX 5120'!$H$4:$M$40,IF(L1597="F-15",2,IF(L1597="F-30",3,IF(L1597="F-60",4,IF(L1597="F-90",5,IF(L1597="F-120",6,0))))),0),0)+IF(AND(O1597="FIRE TEX 5120",E1597="CJ"),VLOOKUP(_xlfn.MINIFS('FIRE TEX 5120'!$O$5:$O$40,'FIRE TEX 5120'!$O$5:$O$40,"&gt;="&amp;M1597),'FIRE TEX 5120'!$O$5:$T$40,IF(L1597="F-15",2,IF(L1597="F-30",3,IF(L1597="F-60",4,IF(L1597="F-90",5,IF(L1597="F-120",6,0))))),0),0)</f>
        <v>0</v>
      </c>
      <c r="Q1597" s="46">
        <f t="shared" si="144"/>
        <v>0</v>
      </c>
      <c r="R1597" s="46">
        <f t="shared" si="145"/>
        <v>0</v>
      </c>
      <c r="S1597" s="46" t="e">
        <f t="shared" si="146"/>
        <v>#VALUE!</v>
      </c>
      <c r="T1597" s="677">
        <f t="shared" si="147"/>
        <v>0</v>
      </c>
      <c r="U1597" s="80">
        <f>(IF(O1597="Stofire",(S1597*#REF!),0))+(IF(O1597="Fire Control",(S1597*$U$2),0))+(IF(O1597="Fire Tex",(S1597*$U$3),0))+(IF(O1597="WB7",(S1597*#REF!),0)+(IF(O1597="FX 2003",(S1597*$U$5),0)))</f>
        <v>0</v>
      </c>
      <c r="V1597" s="651">
        <f t="shared" si="148"/>
        <v>0</v>
      </c>
    </row>
    <row r="1598" spans="4:22" x14ac:dyDescent="0.25">
      <c r="D1598" s="118">
        <f>+CUBICACION!D1597</f>
        <v>0</v>
      </c>
      <c r="E1598" s="118">
        <f>+CUBICACION!F1597</f>
        <v>0</v>
      </c>
      <c r="F1598" s="118">
        <f>+CUBICACION!E1597</f>
        <v>0</v>
      </c>
      <c r="G1598" s="118">
        <v>12</v>
      </c>
      <c r="H1598" s="118">
        <v>2</v>
      </c>
      <c r="I1598" s="820">
        <v>26385</v>
      </c>
      <c r="J1598" s="118">
        <f>+CUBICACION!J1597</f>
        <v>0</v>
      </c>
      <c r="K1598" s="118">
        <v>4377</v>
      </c>
      <c r="L1598" s="118">
        <f>+CUBICACION!L1597</f>
        <v>0</v>
      </c>
      <c r="M1598" s="64">
        <f>+CUBICACION!M1597</f>
        <v>0</v>
      </c>
      <c r="N1598" s="824" t="str">
        <f>+CUBICACION!N1597</f>
        <v/>
      </c>
      <c r="O1598" s="675">
        <f>+CUBICACION!O1597</f>
        <v>0</v>
      </c>
      <c r="P1598" s="15">
        <f>IF(O1598="Fire Control",VLOOKUP(_xlfn.MINIFS('FIRE CONTROL'!$C$4:$C$37,'FIRE CONTROL'!$C$4:$C$37,"&gt;="&amp;M1598),'FIRE CONTROL'!$C$4:$G$37,IF(L1598="F-15",2,IF(L1598="F-30",3,IF(L1598="F-60",4,IF(L1598="F-90",5,0)))),0),0)+IF(AND(O1598="FIRE TEX 5062",OR(E1598="IN",E1598="C",E1598="Z",E1598="L"),J1598=3),VLOOKUP(_xlfn.MINIFS('FIRE TEX 5062'!$B$4:$B$34,'FIRE TEX 5062'!$B$4:$B$34,"&gt;="&amp;M1598),'FIRE TEX 5062'!$B$4:$F$34,IF(L1598="F-15",2,IF(L1598="F-30",3,IF(L1598="F-60",4,IF(L1598="F-90",5,0)))),0),0)+IF(AND(O1598="FIRE TEX 5062",OR(E1598="IN",E1598="C",E1598="Z",E1598="L"),J1598=4),VLOOKUP(_xlfn.MINIFS('FIRE TEX 5062'!$G$4:$G$34,'FIRE TEX 5062'!$G$4:$G$34,"&gt;="&amp;M1598),'FIRE TEX 5062'!$G$4:$K$34,IF(L1598="F-15",2,IF(L1598="F-30",3,IF(L1598="F-60",4,IF(L1598="F-90",5,0)))),0),0)+IF(AND(O1598="FIRE TEX 5062",E1598="CJ",J1598=3),VLOOKUP(_xlfn.MINIFS('FIRE TEX 5062'!$L$4:$L$34,'FIRE TEX 5062'!$L$4:$L$34,"&gt;="&amp;M1598),'FIRE TEX 5062'!$L$4:$P$34,IF(L1598="F-15",2,IF(L1598="F-30",3,IF(L1598="F-60",4,IF(L1598="F-90",5,0)))),0),0)+IF(AND(O1598="FIRE TEX 5062",E1598="CJ",J1598=4),VLOOKUP(_xlfn.MINIFS('FIRE TEX 5062'!$Q$3:$Q$34,'FIRE TEX 5062'!$Q$3:$Q$34,"&gt;="&amp;M1598),'FIRE TEX 5062'!$Q$3:$U$34,IF(L1598="F-15",2,IF(L1598="F-30",3,IF(L1598="F-60",4,IF(L1598="F-90",5,0)))),0),0)+IF(AND(O1598="FIRE TEX 5090",OR(E1598="IN",E1598="C",E1598="Z",E1598="L"),J1598=3),VLOOKUP(_xlfn.MINIFS('FIRE TEX 5090'!$B$5:$B$43,'FIRE TEX 5090'!$B$5:$B$43,"&gt;="&amp;M1598),'FIRE TEX 5090'!$B$5:$H$43,IF(L1598="F-15",2,IF(L1598="F-30",3,IF(L1598="F-60",4,IF(L1598="F-90",5,IF(L1598="F-120",6,IF(L1598="F-150",7,0)))))),0),0)+IF(AND(O1598="FIRE TEX 5090",OR(E1598="IN",E1598="C",E1598="Z",E1598="L"),J1598=4),VLOOKUP(_xlfn.MINIFS('FIRE TEX 5090'!$J$5:$J$43,'FIRE TEX 5090'!$J$5:$J$43,"&gt;="&amp;M1598),'FIRE TEX 5090'!$J$5:$P$43,IF(L1598="F-15",2,IF(L1598="F-30",3,IF(L1598="F-60",4,IF(L1598="F-90",5,IF(L1598="F-120",6,IF(L1598="F-150",7,0)))))),0),0)+IF(AND(O1598="FIRE TEX 5090",E1598="CJ",J1598=3),VLOOKUP(_xlfn.MINIFS('FIRE TEX 5090'!$R$5:$R$30,'FIRE TEX 5090'!$R$5:$R$30,"&gt;="&amp;M1598),'FIRE TEX 5090'!$R$5:$W$30,IF(L1598="F-15",2,IF(L1598="F-30",3,IF(L1598="F-60",4,IF(L1598="F-90",5,IF(L1598="F-120",6,IF(L1598="F-150",7,0)))))),0),0)+IF(AND(O1598="FIRE TEX 5090",E1598="CJ",J1598=4),VLOOKUP(_xlfn.MINIFS('FIRE TEX 5090'!$Y$5:$Y$39,'FIRE TEX 5090'!$Y$5:$Y$39,"&gt;="&amp;M1598),'FIRE TEX 5090'!$Y$5:$AD$39,IF(L1598="F-15",2,IF(L1598="F-30",3,IF(L1598="F-60",4,IF(L1598="F-90",5,IF(L1598="F-120",6,IF(L1598="F-150",7,0)))))),0),0)+IF(AND(O1598="FIRE TEX 5120",OR(E1598="IN",E1598="C",E1598="Z",E1598="L"),J1598=3),VLOOKUP(_xlfn.MINIFS('FIRE TEX 5120'!$B$5:$B$40,'FIRE TEX 5120'!$B$5:$B$40,"&gt;="&amp;M1598),'FIRE TEX 5120'!$B$5:$G$40,IF(L1598="F-15",2,IF(L1598="F-30",3,IF(L1598="F-60",4,IF(L1598="F-90",5,IF(L1598="F-120",6,0))))),0),0)+IF(AND(O1598="FIRE TEX 5120",OR(E1598="IN",E1598="C",E1598="Z",E1598="L"),J1598=4),VLOOKUP(_xlfn.MINIFS('FIRE TEX 5120'!$H$4:$H$40,'FIRE TEX 5120'!$H$4:$H$40,"&gt;="&amp;M1598),'FIRE TEX 5120'!$H$4:$M$40,IF(L1598="F-15",2,IF(L1598="F-30",3,IF(L1598="F-60",4,IF(L1598="F-90",5,IF(L1598="F-120",6,0))))),0),0)+IF(AND(O1598="FIRE TEX 5120",E1598="CJ"),VLOOKUP(_xlfn.MINIFS('FIRE TEX 5120'!$O$5:$O$40,'FIRE TEX 5120'!$O$5:$O$40,"&gt;="&amp;M1598),'FIRE TEX 5120'!$O$5:$T$40,IF(L1598="F-15",2,IF(L1598="F-30",3,IF(L1598="F-60",4,IF(L1598="F-90",5,IF(L1598="F-120",6,0))))),0),0)</f>
        <v>0</v>
      </c>
      <c r="Q1598" s="46">
        <f t="shared" si="144"/>
        <v>0</v>
      </c>
      <c r="R1598" s="46">
        <f t="shared" si="145"/>
        <v>0</v>
      </c>
      <c r="S1598" s="46" t="e">
        <f t="shared" si="146"/>
        <v>#VALUE!</v>
      </c>
      <c r="T1598" s="677">
        <f t="shared" si="147"/>
        <v>0</v>
      </c>
      <c r="U1598" s="80">
        <f>(IF(O1598="Stofire",(S1598*#REF!),0))+(IF(O1598="Fire Control",(S1598*$U$2),0))+(IF(O1598="Fire Tex",(S1598*$U$3),0))+(IF(O1598="WB7",(S1598*#REF!),0)+(IF(O1598="FX 2003",(S1598*$U$5),0)))</f>
        <v>0</v>
      </c>
      <c r="V1598" s="651">
        <f t="shared" si="148"/>
        <v>0</v>
      </c>
    </row>
    <row r="1599" spans="4:22" x14ac:dyDescent="0.25">
      <c r="D1599" s="118">
        <f>+CUBICACION!D1598</f>
        <v>0</v>
      </c>
      <c r="E1599" s="118">
        <f>+CUBICACION!F1598</f>
        <v>0</v>
      </c>
      <c r="F1599" s="118">
        <f>+CUBICACION!E1598</f>
        <v>0</v>
      </c>
      <c r="G1599" s="118">
        <v>12</v>
      </c>
      <c r="H1599" s="118">
        <v>2</v>
      </c>
      <c r="I1599" s="820">
        <v>26385</v>
      </c>
      <c r="J1599" s="118">
        <f>+CUBICACION!J1598</f>
        <v>0</v>
      </c>
      <c r="K1599" s="118">
        <v>4378</v>
      </c>
      <c r="L1599" s="118">
        <f>+CUBICACION!L1598</f>
        <v>0</v>
      </c>
      <c r="M1599" s="64">
        <f>+CUBICACION!M1598</f>
        <v>0</v>
      </c>
      <c r="N1599" s="824" t="str">
        <f>+CUBICACION!N1598</f>
        <v/>
      </c>
      <c r="O1599" s="675">
        <f>+CUBICACION!O1598</f>
        <v>0</v>
      </c>
      <c r="P1599" s="15">
        <f>IF(O1599="Fire Control",VLOOKUP(_xlfn.MINIFS('FIRE CONTROL'!$C$4:$C$37,'FIRE CONTROL'!$C$4:$C$37,"&gt;="&amp;M1599),'FIRE CONTROL'!$C$4:$G$37,IF(L1599="F-15",2,IF(L1599="F-30",3,IF(L1599="F-60",4,IF(L1599="F-90",5,0)))),0),0)+IF(AND(O1599="FIRE TEX 5062",OR(E1599="IN",E1599="C",E1599="Z",E1599="L"),J1599=3),VLOOKUP(_xlfn.MINIFS('FIRE TEX 5062'!$B$4:$B$34,'FIRE TEX 5062'!$B$4:$B$34,"&gt;="&amp;M1599),'FIRE TEX 5062'!$B$4:$F$34,IF(L1599="F-15",2,IF(L1599="F-30",3,IF(L1599="F-60",4,IF(L1599="F-90",5,0)))),0),0)+IF(AND(O1599="FIRE TEX 5062",OR(E1599="IN",E1599="C",E1599="Z",E1599="L"),J1599=4),VLOOKUP(_xlfn.MINIFS('FIRE TEX 5062'!$G$4:$G$34,'FIRE TEX 5062'!$G$4:$G$34,"&gt;="&amp;M1599),'FIRE TEX 5062'!$G$4:$K$34,IF(L1599="F-15",2,IF(L1599="F-30",3,IF(L1599="F-60",4,IF(L1599="F-90",5,0)))),0),0)+IF(AND(O1599="FIRE TEX 5062",E1599="CJ",J1599=3),VLOOKUP(_xlfn.MINIFS('FIRE TEX 5062'!$L$4:$L$34,'FIRE TEX 5062'!$L$4:$L$34,"&gt;="&amp;M1599),'FIRE TEX 5062'!$L$4:$P$34,IF(L1599="F-15",2,IF(L1599="F-30",3,IF(L1599="F-60",4,IF(L1599="F-90",5,0)))),0),0)+IF(AND(O1599="FIRE TEX 5062",E1599="CJ",J1599=4),VLOOKUP(_xlfn.MINIFS('FIRE TEX 5062'!$Q$3:$Q$34,'FIRE TEX 5062'!$Q$3:$Q$34,"&gt;="&amp;M1599),'FIRE TEX 5062'!$Q$3:$U$34,IF(L1599="F-15",2,IF(L1599="F-30",3,IF(L1599="F-60",4,IF(L1599="F-90",5,0)))),0),0)+IF(AND(O1599="FIRE TEX 5090",OR(E1599="IN",E1599="C",E1599="Z",E1599="L"),J1599=3),VLOOKUP(_xlfn.MINIFS('FIRE TEX 5090'!$B$5:$B$43,'FIRE TEX 5090'!$B$5:$B$43,"&gt;="&amp;M1599),'FIRE TEX 5090'!$B$5:$H$43,IF(L1599="F-15",2,IF(L1599="F-30",3,IF(L1599="F-60",4,IF(L1599="F-90",5,IF(L1599="F-120",6,IF(L1599="F-150",7,0)))))),0),0)+IF(AND(O1599="FIRE TEX 5090",OR(E1599="IN",E1599="C",E1599="Z",E1599="L"),J1599=4),VLOOKUP(_xlfn.MINIFS('FIRE TEX 5090'!$J$5:$J$43,'FIRE TEX 5090'!$J$5:$J$43,"&gt;="&amp;M1599),'FIRE TEX 5090'!$J$5:$P$43,IF(L1599="F-15",2,IF(L1599="F-30",3,IF(L1599="F-60",4,IF(L1599="F-90",5,IF(L1599="F-120",6,IF(L1599="F-150",7,0)))))),0),0)+IF(AND(O1599="FIRE TEX 5090",E1599="CJ",J1599=3),VLOOKUP(_xlfn.MINIFS('FIRE TEX 5090'!$R$5:$R$30,'FIRE TEX 5090'!$R$5:$R$30,"&gt;="&amp;M1599),'FIRE TEX 5090'!$R$5:$W$30,IF(L1599="F-15",2,IF(L1599="F-30",3,IF(L1599="F-60",4,IF(L1599="F-90",5,IF(L1599="F-120",6,IF(L1599="F-150",7,0)))))),0),0)+IF(AND(O1599="FIRE TEX 5090",E1599="CJ",J1599=4),VLOOKUP(_xlfn.MINIFS('FIRE TEX 5090'!$Y$5:$Y$39,'FIRE TEX 5090'!$Y$5:$Y$39,"&gt;="&amp;M1599),'FIRE TEX 5090'!$Y$5:$AD$39,IF(L1599="F-15",2,IF(L1599="F-30",3,IF(L1599="F-60",4,IF(L1599="F-90",5,IF(L1599="F-120",6,IF(L1599="F-150",7,0)))))),0),0)+IF(AND(O1599="FIRE TEX 5120",OR(E1599="IN",E1599="C",E1599="Z",E1599="L"),J1599=3),VLOOKUP(_xlfn.MINIFS('FIRE TEX 5120'!$B$5:$B$40,'FIRE TEX 5120'!$B$5:$B$40,"&gt;="&amp;M1599),'FIRE TEX 5120'!$B$5:$G$40,IF(L1599="F-15",2,IF(L1599="F-30",3,IF(L1599="F-60",4,IF(L1599="F-90",5,IF(L1599="F-120",6,0))))),0),0)+IF(AND(O1599="FIRE TEX 5120",OR(E1599="IN",E1599="C",E1599="Z",E1599="L"),J1599=4),VLOOKUP(_xlfn.MINIFS('FIRE TEX 5120'!$H$4:$H$40,'FIRE TEX 5120'!$H$4:$H$40,"&gt;="&amp;M1599),'FIRE TEX 5120'!$H$4:$M$40,IF(L1599="F-15",2,IF(L1599="F-30",3,IF(L1599="F-60",4,IF(L1599="F-90",5,IF(L1599="F-120",6,0))))),0),0)+IF(AND(O1599="FIRE TEX 5120",E1599="CJ"),VLOOKUP(_xlfn.MINIFS('FIRE TEX 5120'!$O$5:$O$40,'FIRE TEX 5120'!$O$5:$O$40,"&gt;="&amp;M1599),'FIRE TEX 5120'!$O$5:$T$40,IF(L1599="F-15",2,IF(L1599="F-30",3,IF(L1599="F-60",4,IF(L1599="F-90",5,IF(L1599="F-120",6,0))))),0),0)</f>
        <v>0</v>
      </c>
      <c r="Q1599" s="46">
        <f t="shared" si="144"/>
        <v>0</v>
      </c>
      <c r="R1599" s="46">
        <f t="shared" si="145"/>
        <v>0</v>
      </c>
      <c r="S1599" s="46" t="e">
        <f t="shared" si="146"/>
        <v>#VALUE!</v>
      </c>
      <c r="T1599" s="677">
        <f t="shared" si="147"/>
        <v>0</v>
      </c>
      <c r="U1599" s="80">
        <f>(IF(O1599="Stofire",(S1599*#REF!),0))+(IF(O1599="Fire Control",(S1599*$U$2),0))+(IF(O1599="Fire Tex",(S1599*$U$3),0))+(IF(O1599="WB7",(S1599*#REF!),0)+(IF(O1599="FX 2003",(S1599*$U$5),0)))</f>
        <v>0</v>
      </c>
      <c r="V1599" s="651">
        <f t="shared" si="148"/>
        <v>0</v>
      </c>
    </row>
    <row r="1600" spans="4:22" x14ac:dyDescent="0.25">
      <c r="D1600" s="118">
        <f>+CUBICACION!D1599</f>
        <v>0</v>
      </c>
      <c r="E1600" s="118">
        <f>+CUBICACION!F1599</f>
        <v>0</v>
      </c>
      <c r="F1600" s="118">
        <f>+CUBICACION!E1599</f>
        <v>0</v>
      </c>
      <c r="G1600" s="118">
        <v>12</v>
      </c>
      <c r="H1600" s="118">
        <v>2</v>
      </c>
      <c r="I1600" s="820">
        <v>26385</v>
      </c>
      <c r="J1600" s="118">
        <f>+CUBICACION!J1599</f>
        <v>0</v>
      </c>
      <c r="K1600" s="118">
        <v>4379</v>
      </c>
      <c r="L1600" s="118">
        <f>+CUBICACION!L1599</f>
        <v>0</v>
      </c>
      <c r="M1600" s="64">
        <f>+CUBICACION!M1599</f>
        <v>0</v>
      </c>
      <c r="N1600" s="824" t="str">
        <f>+CUBICACION!N1599</f>
        <v/>
      </c>
      <c r="O1600" s="675">
        <f>+CUBICACION!O1599</f>
        <v>0</v>
      </c>
      <c r="P1600" s="15">
        <f>IF(O1600="Fire Control",VLOOKUP(_xlfn.MINIFS('FIRE CONTROL'!$C$4:$C$37,'FIRE CONTROL'!$C$4:$C$37,"&gt;="&amp;M1600),'FIRE CONTROL'!$C$4:$G$37,IF(L1600="F-15",2,IF(L1600="F-30",3,IF(L1600="F-60",4,IF(L1600="F-90",5,0)))),0),0)+IF(AND(O1600="FIRE TEX 5062",OR(E1600="IN",E1600="C",E1600="Z",E1600="L"),J1600=3),VLOOKUP(_xlfn.MINIFS('FIRE TEX 5062'!$B$4:$B$34,'FIRE TEX 5062'!$B$4:$B$34,"&gt;="&amp;M1600),'FIRE TEX 5062'!$B$4:$F$34,IF(L1600="F-15",2,IF(L1600="F-30",3,IF(L1600="F-60",4,IF(L1600="F-90",5,0)))),0),0)+IF(AND(O1600="FIRE TEX 5062",OR(E1600="IN",E1600="C",E1600="Z",E1600="L"),J1600=4),VLOOKUP(_xlfn.MINIFS('FIRE TEX 5062'!$G$4:$G$34,'FIRE TEX 5062'!$G$4:$G$34,"&gt;="&amp;M1600),'FIRE TEX 5062'!$G$4:$K$34,IF(L1600="F-15",2,IF(L1600="F-30",3,IF(L1600="F-60",4,IF(L1600="F-90",5,0)))),0),0)+IF(AND(O1600="FIRE TEX 5062",E1600="CJ",J1600=3),VLOOKUP(_xlfn.MINIFS('FIRE TEX 5062'!$L$4:$L$34,'FIRE TEX 5062'!$L$4:$L$34,"&gt;="&amp;M1600),'FIRE TEX 5062'!$L$4:$P$34,IF(L1600="F-15",2,IF(L1600="F-30",3,IF(L1600="F-60",4,IF(L1600="F-90",5,0)))),0),0)+IF(AND(O1600="FIRE TEX 5062",E1600="CJ",J1600=4),VLOOKUP(_xlfn.MINIFS('FIRE TEX 5062'!$Q$3:$Q$34,'FIRE TEX 5062'!$Q$3:$Q$34,"&gt;="&amp;M1600),'FIRE TEX 5062'!$Q$3:$U$34,IF(L1600="F-15",2,IF(L1600="F-30",3,IF(L1600="F-60",4,IF(L1600="F-90",5,0)))),0),0)+IF(AND(O1600="FIRE TEX 5090",OR(E1600="IN",E1600="C",E1600="Z",E1600="L"),J1600=3),VLOOKUP(_xlfn.MINIFS('FIRE TEX 5090'!$B$5:$B$43,'FIRE TEX 5090'!$B$5:$B$43,"&gt;="&amp;M1600),'FIRE TEX 5090'!$B$5:$H$43,IF(L1600="F-15",2,IF(L1600="F-30",3,IF(L1600="F-60",4,IF(L1600="F-90",5,IF(L1600="F-120",6,IF(L1600="F-150",7,0)))))),0),0)+IF(AND(O1600="FIRE TEX 5090",OR(E1600="IN",E1600="C",E1600="Z",E1600="L"),J1600=4),VLOOKUP(_xlfn.MINIFS('FIRE TEX 5090'!$J$5:$J$43,'FIRE TEX 5090'!$J$5:$J$43,"&gt;="&amp;M1600),'FIRE TEX 5090'!$J$5:$P$43,IF(L1600="F-15",2,IF(L1600="F-30",3,IF(L1600="F-60",4,IF(L1600="F-90",5,IF(L1600="F-120",6,IF(L1600="F-150",7,0)))))),0),0)+IF(AND(O1600="FIRE TEX 5090",E1600="CJ",J1600=3),VLOOKUP(_xlfn.MINIFS('FIRE TEX 5090'!$R$5:$R$30,'FIRE TEX 5090'!$R$5:$R$30,"&gt;="&amp;M1600),'FIRE TEX 5090'!$R$5:$W$30,IF(L1600="F-15",2,IF(L1600="F-30",3,IF(L1600="F-60",4,IF(L1600="F-90",5,IF(L1600="F-120",6,IF(L1600="F-150",7,0)))))),0),0)+IF(AND(O1600="FIRE TEX 5090",E1600="CJ",J1600=4),VLOOKUP(_xlfn.MINIFS('FIRE TEX 5090'!$Y$5:$Y$39,'FIRE TEX 5090'!$Y$5:$Y$39,"&gt;="&amp;M1600),'FIRE TEX 5090'!$Y$5:$AD$39,IF(L1600="F-15",2,IF(L1600="F-30",3,IF(L1600="F-60",4,IF(L1600="F-90",5,IF(L1600="F-120",6,IF(L1600="F-150",7,0)))))),0),0)+IF(AND(O1600="FIRE TEX 5120",OR(E1600="IN",E1600="C",E1600="Z",E1600="L"),J1600=3),VLOOKUP(_xlfn.MINIFS('FIRE TEX 5120'!$B$5:$B$40,'FIRE TEX 5120'!$B$5:$B$40,"&gt;="&amp;M1600),'FIRE TEX 5120'!$B$5:$G$40,IF(L1600="F-15",2,IF(L1600="F-30",3,IF(L1600="F-60",4,IF(L1600="F-90",5,IF(L1600="F-120",6,0))))),0),0)+IF(AND(O1600="FIRE TEX 5120",OR(E1600="IN",E1600="C",E1600="Z",E1600="L"),J1600=4),VLOOKUP(_xlfn.MINIFS('FIRE TEX 5120'!$H$4:$H$40,'FIRE TEX 5120'!$H$4:$H$40,"&gt;="&amp;M1600),'FIRE TEX 5120'!$H$4:$M$40,IF(L1600="F-15",2,IF(L1600="F-30",3,IF(L1600="F-60",4,IF(L1600="F-90",5,IF(L1600="F-120",6,0))))),0),0)+IF(AND(O1600="FIRE TEX 5120",E1600="CJ"),VLOOKUP(_xlfn.MINIFS('FIRE TEX 5120'!$O$5:$O$40,'FIRE TEX 5120'!$O$5:$O$40,"&gt;="&amp;M1600),'FIRE TEX 5120'!$O$5:$T$40,IF(L1600="F-15",2,IF(L1600="F-30",3,IF(L1600="F-60",4,IF(L1600="F-90",5,IF(L1600="F-120",6,0))))),0),0)</f>
        <v>0</v>
      </c>
      <c r="Q1600" s="46">
        <f t="shared" si="144"/>
        <v>0</v>
      </c>
      <c r="R1600" s="46">
        <f t="shared" si="145"/>
        <v>0</v>
      </c>
      <c r="S1600" s="46" t="e">
        <f t="shared" si="146"/>
        <v>#VALUE!</v>
      </c>
      <c r="T1600" s="677">
        <f t="shared" si="147"/>
        <v>0</v>
      </c>
      <c r="U1600" s="80">
        <f>(IF(O1600="Stofire",(S1600*#REF!),0))+(IF(O1600="Fire Control",(S1600*$U$2),0))+(IF(O1600="Fire Tex",(S1600*$U$3),0))+(IF(O1600="WB7",(S1600*#REF!),0)+(IF(O1600="FX 2003",(S1600*$U$5),0)))</f>
        <v>0</v>
      </c>
      <c r="V1600" s="651">
        <f t="shared" si="148"/>
        <v>0</v>
      </c>
    </row>
    <row r="1601" spans="4:22" x14ac:dyDescent="0.25">
      <c r="D1601" s="118">
        <f>+CUBICACION!D1600</f>
        <v>0</v>
      </c>
      <c r="E1601" s="118">
        <f>+CUBICACION!F1600</f>
        <v>0</v>
      </c>
      <c r="F1601" s="118">
        <f>+CUBICACION!E1600</f>
        <v>0</v>
      </c>
      <c r="G1601" s="118">
        <v>12</v>
      </c>
      <c r="H1601" s="118">
        <v>2</v>
      </c>
      <c r="I1601" s="820">
        <v>26385</v>
      </c>
      <c r="J1601" s="118">
        <f>+CUBICACION!J1600</f>
        <v>0</v>
      </c>
      <c r="K1601" s="118">
        <v>4380</v>
      </c>
      <c r="L1601" s="118">
        <f>+CUBICACION!L1600</f>
        <v>0</v>
      </c>
      <c r="M1601" s="64">
        <f>+CUBICACION!M1600</f>
        <v>0</v>
      </c>
      <c r="N1601" s="824" t="str">
        <f>+CUBICACION!N1600</f>
        <v/>
      </c>
      <c r="O1601" s="675">
        <f>+CUBICACION!O1600</f>
        <v>0</v>
      </c>
      <c r="P1601" s="15">
        <f>IF(O1601="Fire Control",VLOOKUP(_xlfn.MINIFS('FIRE CONTROL'!$C$4:$C$37,'FIRE CONTROL'!$C$4:$C$37,"&gt;="&amp;M1601),'FIRE CONTROL'!$C$4:$G$37,IF(L1601="F-15",2,IF(L1601="F-30",3,IF(L1601="F-60",4,IF(L1601="F-90",5,0)))),0),0)+IF(AND(O1601="FIRE TEX 5062",OR(E1601="IN",E1601="C",E1601="Z",E1601="L"),J1601=3),VLOOKUP(_xlfn.MINIFS('FIRE TEX 5062'!$B$4:$B$34,'FIRE TEX 5062'!$B$4:$B$34,"&gt;="&amp;M1601),'FIRE TEX 5062'!$B$4:$F$34,IF(L1601="F-15",2,IF(L1601="F-30",3,IF(L1601="F-60",4,IF(L1601="F-90",5,0)))),0),0)+IF(AND(O1601="FIRE TEX 5062",OR(E1601="IN",E1601="C",E1601="Z",E1601="L"),J1601=4),VLOOKUP(_xlfn.MINIFS('FIRE TEX 5062'!$G$4:$G$34,'FIRE TEX 5062'!$G$4:$G$34,"&gt;="&amp;M1601),'FIRE TEX 5062'!$G$4:$K$34,IF(L1601="F-15",2,IF(L1601="F-30",3,IF(L1601="F-60",4,IF(L1601="F-90",5,0)))),0),0)+IF(AND(O1601="FIRE TEX 5062",E1601="CJ",J1601=3),VLOOKUP(_xlfn.MINIFS('FIRE TEX 5062'!$L$4:$L$34,'FIRE TEX 5062'!$L$4:$L$34,"&gt;="&amp;M1601),'FIRE TEX 5062'!$L$4:$P$34,IF(L1601="F-15",2,IF(L1601="F-30",3,IF(L1601="F-60",4,IF(L1601="F-90",5,0)))),0),0)+IF(AND(O1601="FIRE TEX 5062",E1601="CJ",J1601=4),VLOOKUP(_xlfn.MINIFS('FIRE TEX 5062'!$Q$3:$Q$34,'FIRE TEX 5062'!$Q$3:$Q$34,"&gt;="&amp;M1601),'FIRE TEX 5062'!$Q$3:$U$34,IF(L1601="F-15",2,IF(L1601="F-30",3,IF(L1601="F-60",4,IF(L1601="F-90",5,0)))),0),0)+IF(AND(O1601="FIRE TEX 5090",OR(E1601="IN",E1601="C",E1601="Z",E1601="L"),J1601=3),VLOOKUP(_xlfn.MINIFS('FIRE TEX 5090'!$B$5:$B$43,'FIRE TEX 5090'!$B$5:$B$43,"&gt;="&amp;M1601),'FIRE TEX 5090'!$B$5:$H$43,IF(L1601="F-15",2,IF(L1601="F-30",3,IF(L1601="F-60",4,IF(L1601="F-90",5,IF(L1601="F-120",6,IF(L1601="F-150",7,0)))))),0),0)+IF(AND(O1601="FIRE TEX 5090",OR(E1601="IN",E1601="C",E1601="Z",E1601="L"),J1601=4),VLOOKUP(_xlfn.MINIFS('FIRE TEX 5090'!$J$5:$J$43,'FIRE TEX 5090'!$J$5:$J$43,"&gt;="&amp;M1601),'FIRE TEX 5090'!$J$5:$P$43,IF(L1601="F-15",2,IF(L1601="F-30",3,IF(L1601="F-60",4,IF(L1601="F-90",5,IF(L1601="F-120",6,IF(L1601="F-150",7,0)))))),0),0)+IF(AND(O1601="FIRE TEX 5090",E1601="CJ",J1601=3),VLOOKUP(_xlfn.MINIFS('FIRE TEX 5090'!$R$5:$R$30,'FIRE TEX 5090'!$R$5:$R$30,"&gt;="&amp;M1601),'FIRE TEX 5090'!$R$5:$W$30,IF(L1601="F-15",2,IF(L1601="F-30",3,IF(L1601="F-60",4,IF(L1601="F-90",5,IF(L1601="F-120",6,IF(L1601="F-150",7,0)))))),0),0)+IF(AND(O1601="FIRE TEX 5090",E1601="CJ",J1601=4),VLOOKUP(_xlfn.MINIFS('FIRE TEX 5090'!$Y$5:$Y$39,'FIRE TEX 5090'!$Y$5:$Y$39,"&gt;="&amp;M1601),'FIRE TEX 5090'!$Y$5:$AD$39,IF(L1601="F-15",2,IF(L1601="F-30",3,IF(L1601="F-60",4,IF(L1601="F-90",5,IF(L1601="F-120",6,IF(L1601="F-150",7,0)))))),0),0)+IF(AND(O1601="FIRE TEX 5120",OR(E1601="IN",E1601="C",E1601="Z",E1601="L"),J1601=3),VLOOKUP(_xlfn.MINIFS('FIRE TEX 5120'!$B$5:$B$40,'FIRE TEX 5120'!$B$5:$B$40,"&gt;="&amp;M1601),'FIRE TEX 5120'!$B$5:$G$40,IF(L1601="F-15",2,IF(L1601="F-30",3,IF(L1601="F-60",4,IF(L1601="F-90",5,IF(L1601="F-120",6,0))))),0),0)+IF(AND(O1601="FIRE TEX 5120",OR(E1601="IN",E1601="C",E1601="Z",E1601="L"),J1601=4),VLOOKUP(_xlfn.MINIFS('FIRE TEX 5120'!$H$4:$H$40,'FIRE TEX 5120'!$H$4:$H$40,"&gt;="&amp;M1601),'FIRE TEX 5120'!$H$4:$M$40,IF(L1601="F-15",2,IF(L1601="F-30",3,IF(L1601="F-60",4,IF(L1601="F-90",5,IF(L1601="F-120",6,0))))),0),0)+IF(AND(O1601="FIRE TEX 5120",E1601="CJ"),VLOOKUP(_xlfn.MINIFS('FIRE TEX 5120'!$O$5:$O$40,'FIRE TEX 5120'!$O$5:$O$40,"&gt;="&amp;M1601),'FIRE TEX 5120'!$O$5:$T$40,IF(L1601="F-15",2,IF(L1601="F-30",3,IF(L1601="F-60",4,IF(L1601="F-90",5,IF(L1601="F-120",6,0))))),0),0)</f>
        <v>0</v>
      </c>
      <c r="Q1601" s="46">
        <f t="shared" si="144"/>
        <v>0</v>
      </c>
      <c r="R1601" s="46">
        <f t="shared" si="145"/>
        <v>0</v>
      </c>
      <c r="S1601" s="46" t="e">
        <f t="shared" si="146"/>
        <v>#VALUE!</v>
      </c>
      <c r="T1601" s="677">
        <f t="shared" si="147"/>
        <v>0</v>
      </c>
      <c r="U1601" s="80">
        <f>(IF(O1601="Stofire",(S1601*#REF!),0))+(IF(O1601="Fire Control",(S1601*$U$2),0))+(IF(O1601="Fire Tex",(S1601*$U$3),0))+(IF(O1601="WB7",(S1601*#REF!),0)+(IF(O1601="FX 2003",(S1601*$U$5),0)))</f>
        <v>0</v>
      </c>
      <c r="V1601" s="651">
        <f t="shared" si="148"/>
        <v>0</v>
      </c>
    </row>
    <row r="1602" spans="4:22" x14ac:dyDescent="0.25">
      <c r="D1602" s="118">
        <f>+CUBICACION!D1601</f>
        <v>0</v>
      </c>
      <c r="E1602" s="118">
        <f>+CUBICACION!F1601</f>
        <v>0</v>
      </c>
      <c r="F1602" s="118">
        <f>+CUBICACION!E1601</f>
        <v>0</v>
      </c>
      <c r="G1602" s="118">
        <v>12</v>
      </c>
      <c r="H1602" s="118">
        <v>2</v>
      </c>
      <c r="I1602" s="820">
        <v>26385</v>
      </c>
      <c r="J1602" s="118">
        <f>+CUBICACION!J1601</f>
        <v>0</v>
      </c>
      <c r="K1602" s="118">
        <v>4381</v>
      </c>
      <c r="L1602" s="118">
        <f>+CUBICACION!L1601</f>
        <v>0</v>
      </c>
      <c r="M1602" s="64">
        <f>+CUBICACION!M1601</f>
        <v>0</v>
      </c>
      <c r="N1602" s="824" t="str">
        <f>+CUBICACION!N1601</f>
        <v/>
      </c>
      <c r="O1602" s="675">
        <f>+CUBICACION!O1601</f>
        <v>0</v>
      </c>
      <c r="P1602" s="15">
        <f>IF(O1602="Fire Control",VLOOKUP(_xlfn.MINIFS('FIRE CONTROL'!$C$4:$C$37,'FIRE CONTROL'!$C$4:$C$37,"&gt;="&amp;M1602),'FIRE CONTROL'!$C$4:$G$37,IF(L1602="F-15",2,IF(L1602="F-30",3,IF(L1602="F-60",4,IF(L1602="F-90",5,0)))),0),0)+IF(AND(O1602="FIRE TEX 5062",OR(E1602="IN",E1602="C",E1602="Z",E1602="L"),J1602=3),VLOOKUP(_xlfn.MINIFS('FIRE TEX 5062'!$B$4:$B$34,'FIRE TEX 5062'!$B$4:$B$34,"&gt;="&amp;M1602),'FIRE TEX 5062'!$B$4:$F$34,IF(L1602="F-15",2,IF(L1602="F-30",3,IF(L1602="F-60",4,IF(L1602="F-90",5,0)))),0),0)+IF(AND(O1602="FIRE TEX 5062",OR(E1602="IN",E1602="C",E1602="Z",E1602="L"),J1602=4),VLOOKUP(_xlfn.MINIFS('FIRE TEX 5062'!$G$4:$G$34,'FIRE TEX 5062'!$G$4:$G$34,"&gt;="&amp;M1602),'FIRE TEX 5062'!$G$4:$K$34,IF(L1602="F-15",2,IF(L1602="F-30",3,IF(L1602="F-60",4,IF(L1602="F-90",5,0)))),0),0)+IF(AND(O1602="FIRE TEX 5062",E1602="CJ",J1602=3),VLOOKUP(_xlfn.MINIFS('FIRE TEX 5062'!$L$4:$L$34,'FIRE TEX 5062'!$L$4:$L$34,"&gt;="&amp;M1602),'FIRE TEX 5062'!$L$4:$P$34,IF(L1602="F-15",2,IF(L1602="F-30",3,IF(L1602="F-60",4,IF(L1602="F-90",5,0)))),0),0)+IF(AND(O1602="FIRE TEX 5062",E1602="CJ",J1602=4),VLOOKUP(_xlfn.MINIFS('FIRE TEX 5062'!$Q$3:$Q$34,'FIRE TEX 5062'!$Q$3:$Q$34,"&gt;="&amp;M1602),'FIRE TEX 5062'!$Q$3:$U$34,IF(L1602="F-15",2,IF(L1602="F-30",3,IF(L1602="F-60",4,IF(L1602="F-90",5,0)))),0),0)+IF(AND(O1602="FIRE TEX 5090",OR(E1602="IN",E1602="C",E1602="Z",E1602="L"),J1602=3),VLOOKUP(_xlfn.MINIFS('FIRE TEX 5090'!$B$5:$B$43,'FIRE TEX 5090'!$B$5:$B$43,"&gt;="&amp;M1602),'FIRE TEX 5090'!$B$5:$H$43,IF(L1602="F-15",2,IF(L1602="F-30",3,IF(L1602="F-60",4,IF(L1602="F-90",5,IF(L1602="F-120",6,IF(L1602="F-150",7,0)))))),0),0)+IF(AND(O1602="FIRE TEX 5090",OR(E1602="IN",E1602="C",E1602="Z",E1602="L"),J1602=4),VLOOKUP(_xlfn.MINIFS('FIRE TEX 5090'!$J$5:$J$43,'FIRE TEX 5090'!$J$5:$J$43,"&gt;="&amp;M1602),'FIRE TEX 5090'!$J$5:$P$43,IF(L1602="F-15",2,IF(L1602="F-30",3,IF(L1602="F-60",4,IF(L1602="F-90",5,IF(L1602="F-120",6,IF(L1602="F-150",7,0)))))),0),0)+IF(AND(O1602="FIRE TEX 5090",E1602="CJ",J1602=3),VLOOKUP(_xlfn.MINIFS('FIRE TEX 5090'!$R$5:$R$30,'FIRE TEX 5090'!$R$5:$R$30,"&gt;="&amp;M1602),'FIRE TEX 5090'!$R$5:$W$30,IF(L1602="F-15",2,IF(L1602="F-30",3,IF(L1602="F-60",4,IF(L1602="F-90",5,IF(L1602="F-120",6,IF(L1602="F-150",7,0)))))),0),0)+IF(AND(O1602="FIRE TEX 5090",E1602="CJ",J1602=4),VLOOKUP(_xlfn.MINIFS('FIRE TEX 5090'!$Y$5:$Y$39,'FIRE TEX 5090'!$Y$5:$Y$39,"&gt;="&amp;M1602),'FIRE TEX 5090'!$Y$5:$AD$39,IF(L1602="F-15",2,IF(L1602="F-30",3,IF(L1602="F-60",4,IF(L1602="F-90",5,IF(L1602="F-120",6,IF(L1602="F-150",7,0)))))),0),0)+IF(AND(O1602="FIRE TEX 5120",OR(E1602="IN",E1602="C",E1602="Z",E1602="L"),J1602=3),VLOOKUP(_xlfn.MINIFS('FIRE TEX 5120'!$B$5:$B$40,'FIRE TEX 5120'!$B$5:$B$40,"&gt;="&amp;M1602),'FIRE TEX 5120'!$B$5:$G$40,IF(L1602="F-15",2,IF(L1602="F-30",3,IF(L1602="F-60",4,IF(L1602="F-90",5,IF(L1602="F-120",6,0))))),0),0)+IF(AND(O1602="FIRE TEX 5120",OR(E1602="IN",E1602="C",E1602="Z",E1602="L"),J1602=4),VLOOKUP(_xlfn.MINIFS('FIRE TEX 5120'!$H$4:$H$40,'FIRE TEX 5120'!$H$4:$H$40,"&gt;="&amp;M1602),'FIRE TEX 5120'!$H$4:$M$40,IF(L1602="F-15",2,IF(L1602="F-30",3,IF(L1602="F-60",4,IF(L1602="F-90",5,IF(L1602="F-120",6,0))))),0),0)+IF(AND(O1602="FIRE TEX 5120",E1602="CJ"),VLOOKUP(_xlfn.MINIFS('FIRE TEX 5120'!$O$5:$O$40,'FIRE TEX 5120'!$O$5:$O$40,"&gt;="&amp;M1602),'FIRE TEX 5120'!$O$5:$T$40,IF(L1602="F-15",2,IF(L1602="F-30",3,IF(L1602="F-60",4,IF(L1602="F-90",5,IF(L1602="F-120",6,0))))),0),0)</f>
        <v>0</v>
      </c>
      <c r="Q1602" s="46">
        <f t="shared" si="144"/>
        <v>0</v>
      </c>
      <c r="R1602" s="46">
        <f t="shared" si="145"/>
        <v>0</v>
      </c>
      <c r="S1602" s="46" t="e">
        <f t="shared" si="146"/>
        <v>#VALUE!</v>
      </c>
      <c r="T1602" s="677">
        <f t="shared" si="147"/>
        <v>0</v>
      </c>
      <c r="U1602" s="80">
        <f>(IF(O1602="Stofire",(S1602*#REF!),0))+(IF(O1602="Fire Control",(S1602*$U$2),0))+(IF(O1602="Fire Tex",(S1602*$U$3),0))+(IF(O1602="WB7",(S1602*#REF!),0)+(IF(O1602="FX 2003",(S1602*$U$5),0)))</f>
        <v>0</v>
      </c>
      <c r="V1602" s="651">
        <f>_xlfn.CEILING.MATH(M1602,10)</f>
        <v>0</v>
      </c>
    </row>
    <row r="1603" spans="4:22" x14ac:dyDescent="0.25">
      <c r="D1603" s="118">
        <f>+CUBICACION!D1602</f>
        <v>0</v>
      </c>
      <c r="E1603" s="118">
        <f>+CUBICACION!F1602</f>
        <v>0</v>
      </c>
      <c r="F1603" s="118">
        <f>+CUBICACION!E1602</f>
        <v>0</v>
      </c>
      <c r="G1603" s="118">
        <v>12</v>
      </c>
      <c r="H1603" s="118">
        <v>2</v>
      </c>
      <c r="I1603" s="820">
        <v>26385</v>
      </c>
      <c r="J1603" s="118">
        <f>+CUBICACION!J1602</f>
        <v>0</v>
      </c>
      <c r="K1603" s="118">
        <v>4382</v>
      </c>
      <c r="L1603" s="118">
        <f>+CUBICACION!L1602</f>
        <v>0</v>
      </c>
      <c r="M1603" s="64">
        <f>+CUBICACION!M1602</f>
        <v>0</v>
      </c>
      <c r="N1603" s="824" t="str">
        <f>+CUBICACION!N1602</f>
        <v/>
      </c>
      <c r="O1603" s="675">
        <f>+CUBICACION!O1602</f>
        <v>0</v>
      </c>
      <c r="P1603" s="15">
        <f>IF(O1603="Fire Control",VLOOKUP(_xlfn.MINIFS('FIRE CONTROL'!$C$4:$C$37,'FIRE CONTROL'!$C$4:$C$37,"&gt;="&amp;M1603),'FIRE CONTROL'!$C$4:$G$37,IF(L1603="F-15",2,IF(L1603="F-30",3,IF(L1603="F-60",4,IF(L1603="F-90",5,0)))),0),0)+IF(AND(O1603="FIRE TEX 5062",OR(E1603="IN",E1603="C",E1603="Z",E1603="L"),J1603=3),VLOOKUP(_xlfn.MINIFS('FIRE TEX 5062'!$B$4:$B$34,'FIRE TEX 5062'!$B$4:$B$34,"&gt;="&amp;M1603),'FIRE TEX 5062'!$B$4:$F$34,IF(L1603="F-15",2,IF(L1603="F-30",3,IF(L1603="F-60",4,IF(L1603="F-90",5,0)))),0),0)+IF(AND(O1603="FIRE TEX 5062",OR(E1603="IN",E1603="C",E1603="Z",E1603="L"),J1603=4),VLOOKUP(_xlfn.MINIFS('FIRE TEX 5062'!$G$4:$G$34,'FIRE TEX 5062'!$G$4:$G$34,"&gt;="&amp;M1603),'FIRE TEX 5062'!$G$4:$K$34,IF(L1603="F-15",2,IF(L1603="F-30",3,IF(L1603="F-60",4,IF(L1603="F-90",5,0)))),0),0)+IF(AND(O1603="FIRE TEX 5062",E1603="CJ",J1603=3),VLOOKUP(_xlfn.MINIFS('FIRE TEX 5062'!$L$4:$L$34,'FIRE TEX 5062'!$L$4:$L$34,"&gt;="&amp;M1603),'FIRE TEX 5062'!$L$4:$P$34,IF(L1603="F-15",2,IF(L1603="F-30",3,IF(L1603="F-60",4,IF(L1603="F-90",5,0)))),0),0)+IF(AND(O1603="FIRE TEX 5062",E1603="CJ",J1603=4),VLOOKUP(_xlfn.MINIFS('FIRE TEX 5062'!$Q$3:$Q$34,'FIRE TEX 5062'!$Q$3:$Q$34,"&gt;="&amp;M1603),'FIRE TEX 5062'!$Q$3:$U$34,IF(L1603="F-15",2,IF(L1603="F-30",3,IF(L1603="F-60",4,IF(L1603="F-90",5,0)))),0),0)+IF(AND(O1603="FIRE TEX 5090",OR(E1603="IN",E1603="C",E1603="Z",E1603="L"),J1603=3),VLOOKUP(_xlfn.MINIFS('FIRE TEX 5090'!$B$5:$B$43,'FIRE TEX 5090'!$B$5:$B$43,"&gt;="&amp;M1603),'FIRE TEX 5090'!$B$5:$H$43,IF(L1603="F-15",2,IF(L1603="F-30",3,IF(L1603="F-60",4,IF(L1603="F-90",5,IF(L1603="F-120",6,IF(L1603="F-150",7,0)))))),0),0)+IF(AND(O1603="FIRE TEX 5090",OR(E1603="IN",E1603="C",E1603="Z",E1603="L"),J1603=4),VLOOKUP(_xlfn.MINIFS('FIRE TEX 5090'!$J$5:$J$43,'FIRE TEX 5090'!$J$5:$J$43,"&gt;="&amp;M1603),'FIRE TEX 5090'!$J$5:$P$43,IF(L1603="F-15",2,IF(L1603="F-30",3,IF(L1603="F-60",4,IF(L1603="F-90",5,IF(L1603="F-120",6,IF(L1603="F-150",7,0)))))),0),0)+IF(AND(O1603="FIRE TEX 5090",E1603="CJ",J1603=3),VLOOKUP(_xlfn.MINIFS('FIRE TEX 5090'!$R$5:$R$30,'FIRE TEX 5090'!$R$5:$R$30,"&gt;="&amp;M1603),'FIRE TEX 5090'!$R$5:$W$30,IF(L1603="F-15",2,IF(L1603="F-30",3,IF(L1603="F-60",4,IF(L1603="F-90",5,IF(L1603="F-120",6,IF(L1603="F-150",7,0)))))),0),0)+IF(AND(O1603="FIRE TEX 5090",E1603="CJ",J1603=4),VLOOKUP(_xlfn.MINIFS('FIRE TEX 5090'!$Y$5:$Y$39,'FIRE TEX 5090'!$Y$5:$Y$39,"&gt;="&amp;M1603),'FIRE TEX 5090'!$Y$5:$AD$39,IF(L1603="F-15",2,IF(L1603="F-30",3,IF(L1603="F-60",4,IF(L1603="F-90",5,IF(L1603="F-120",6,IF(L1603="F-150",7,0)))))),0),0)+IF(AND(O1603="FIRE TEX 5120",OR(E1603="IN",E1603="C",E1603="Z",E1603="L"),J1603=3),VLOOKUP(_xlfn.MINIFS('FIRE TEX 5120'!$B$5:$B$40,'FIRE TEX 5120'!$B$5:$B$40,"&gt;="&amp;M1603),'FIRE TEX 5120'!$B$5:$G$40,IF(L1603="F-15",2,IF(L1603="F-30",3,IF(L1603="F-60",4,IF(L1603="F-90",5,IF(L1603="F-120",6,0))))),0),0)+IF(AND(O1603="FIRE TEX 5120",OR(E1603="IN",E1603="C",E1603="Z",E1603="L"),J1603=4),VLOOKUP(_xlfn.MINIFS('FIRE TEX 5120'!$H$4:$H$40,'FIRE TEX 5120'!$H$4:$H$40,"&gt;="&amp;M1603),'FIRE TEX 5120'!$H$4:$M$40,IF(L1603="F-15",2,IF(L1603="F-30",3,IF(L1603="F-60",4,IF(L1603="F-90",5,IF(L1603="F-120",6,0))))),0),0)+IF(AND(O1603="FIRE TEX 5120",E1603="CJ"),VLOOKUP(_xlfn.MINIFS('FIRE TEX 5120'!$O$5:$O$40,'FIRE TEX 5120'!$O$5:$O$40,"&gt;="&amp;M1603),'FIRE TEX 5120'!$O$5:$T$40,IF(L1603="F-15",2,IF(L1603="F-30",3,IF(L1603="F-60",4,IF(L1603="F-90",5,IF(L1603="F-120",6,0))))),0),0)</f>
        <v>0</v>
      </c>
      <c r="Q1603" s="46">
        <f t="shared" si="144"/>
        <v>0</v>
      </c>
      <c r="R1603" s="46">
        <f t="shared" si="145"/>
        <v>0</v>
      </c>
      <c r="S1603" s="46" t="e">
        <f t="shared" si="146"/>
        <v>#VALUE!</v>
      </c>
      <c r="T1603" s="677">
        <f t="shared" si="147"/>
        <v>0</v>
      </c>
      <c r="U1603" s="80">
        <f>(IF(O1603="Stofire",(S1603*#REF!),0))+(IF(O1603="Fire Control",(S1603*$U$2),0))+(IF(O1603="Fire Tex",(S1603*$U$3),0))+(IF(O1603="WB7",(S1603*#REF!),0)+(IF(O1603="FX 2003",(S1603*$U$5),0)))</f>
        <v>0</v>
      </c>
      <c r="V1603" s="651">
        <f t="shared" si="148"/>
        <v>0</v>
      </c>
    </row>
    <row r="1604" spans="4:22" x14ac:dyDescent="0.25">
      <c r="D1604" s="118">
        <f>+CUBICACION!D1603</f>
        <v>0</v>
      </c>
      <c r="E1604" s="118">
        <f>+CUBICACION!F1603</f>
        <v>0</v>
      </c>
      <c r="F1604" s="118">
        <f>+CUBICACION!E1603</f>
        <v>0</v>
      </c>
      <c r="G1604" s="118">
        <v>12</v>
      </c>
      <c r="H1604" s="118">
        <v>2</v>
      </c>
      <c r="I1604" s="820">
        <v>26385</v>
      </c>
      <c r="J1604" s="118">
        <f>+CUBICACION!J1603</f>
        <v>0</v>
      </c>
      <c r="K1604" s="118">
        <v>4383</v>
      </c>
      <c r="L1604" s="118">
        <f>+CUBICACION!L1603</f>
        <v>0</v>
      </c>
      <c r="M1604" s="64">
        <f>+CUBICACION!M1603</f>
        <v>0</v>
      </c>
      <c r="N1604" s="824" t="str">
        <f>+CUBICACION!N1603</f>
        <v/>
      </c>
      <c r="O1604" s="675">
        <f>+CUBICACION!O1603</f>
        <v>0</v>
      </c>
      <c r="P1604" s="15">
        <f>IF(O1604="Fire Control",VLOOKUP(_xlfn.MINIFS('FIRE CONTROL'!$C$4:$C$37,'FIRE CONTROL'!$C$4:$C$37,"&gt;="&amp;M1604),'FIRE CONTROL'!$C$4:$G$37,IF(L1604="F-15",2,IF(L1604="F-30",3,IF(L1604="F-60",4,IF(L1604="F-90",5,0)))),0),0)+IF(AND(O1604="FIRE TEX 5062",OR(E1604="IN",E1604="C",E1604="Z",E1604="L"),J1604=3),VLOOKUP(_xlfn.MINIFS('FIRE TEX 5062'!$B$4:$B$34,'FIRE TEX 5062'!$B$4:$B$34,"&gt;="&amp;M1604),'FIRE TEX 5062'!$B$4:$F$34,IF(L1604="F-15",2,IF(L1604="F-30",3,IF(L1604="F-60",4,IF(L1604="F-90",5,0)))),0),0)+IF(AND(O1604="FIRE TEX 5062",OR(E1604="IN",E1604="C",E1604="Z",E1604="L"),J1604=4),VLOOKUP(_xlfn.MINIFS('FIRE TEX 5062'!$G$4:$G$34,'FIRE TEX 5062'!$G$4:$G$34,"&gt;="&amp;M1604),'FIRE TEX 5062'!$G$4:$K$34,IF(L1604="F-15",2,IF(L1604="F-30",3,IF(L1604="F-60",4,IF(L1604="F-90",5,0)))),0),0)+IF(AND(O1604="FIRE TEX 5062",E1604="CJ",J1604=3),VLOOKUP(_xlfn.MINIFS('FIRE TEX 5062'!$L$4:$L$34,'FIRE TEX 5062'!$L$4:$L$34,"&gt;="&amp;M1604),'FIRE TEX 5062'!$L$4:$P$34,IF(L1604="F-15",2,IF(L1604="F-30",3,IF(L1604="F-60",4,IF(L1604="F-90",5,0)))),0),0)+IF(AND(O1604="FIRE TEX 5062",E1604="CJ",J1604=4),VLOOKUP(_xlfn.MINIFS('FIRE TEX 5062'!$Q$3:$Q$34,'FIRE TEX 5062'!$Q$3:$Q$34,"&gt;="&amp;M1604),'FIRE TEX 5062'!$Q$3:$U$34,IF(L1604="F-15",2,IF(L1604="F-30",3,IF(L1604="F-60",4,IF(L1604="F-90",5,0)))),0),0)+IF(AND(O1604="FIRE TEX 5090",OR(E1604="IN",E1604="C",E1604="Z",E1604="L"),J1604=3),VLOOKUP(_xlfn.MINIFS('FIRE TEX 5090'!$B$5:$B$43,'FIRE TEX 5090'!$B$5:$B$43,"&gt;="&amp;M1604),'FIRE TEX 5090'!$B$5:$H$43,IF(L1604="F-15",2,IF(L1604="F-30",3,IF(L1604="F-60",4,IF(L1604="F-90",5,IF(L1604="F-120",6,IF(L1604="F-150",7,0)))))),0),0)+IF(AND(O1604="FIRE TEX 5090",OR(E1604="IN",E1604="C",E1604="Z",E1604="L"),J1604=4),VLOOKUP(_xlfn.MINIFS('FIRE TEX 5090'!$J$5:$J$43,'FIRE TEX 5090'!$J$5:$J$43,"&gt;="&amp;M1604),'FIRE TEX 5090'!$J$5:$P$43,IF(L1604="F-15",2,IF(L1604="F-30",3,IF(L1604="F-60",4,IF(L1604="F-90",5,IF(L1604="F-120",6,IF(L1604="F-150",7,0)))))),0),0)+IF(AND(O1604="FIRE TEX 5090",E1604="CJ",J1604=3),VLOOKUP(_xlfn.MINIFS('FIRE TEX 5090'!$R$5:$R$30,'FIRE TEX 5090'!$R$5:$R$30,"&gt;="&amp;M1604),'FIRE TEX 5090'!$R$5:$W$30,IF(L1604="F-15",2,IF(L1604="F-30",3,IF(L1604="F-60",4,IF(L1604="F-90",5,IF(L1604="F-120",6,IF(L1604="F-150",7,0)))))),0),0)+IF(AND(O1604="FIRE TEX 5090",E1604="CJ",J1604=4),VLOOKUP(_xlfn.MINIFS('FIRE TEX 5090'!$Y$5:$Y$39,'FIRE TEX 5090'!$Y$5:$Y$39,"&gt;="&amp;M1604),'FIRE TEX 5090'!$Y$5:$AD$39,IF(L1604="F-15",2,IF(L1604="F-30",3,IF(L1604="F-60",4,IF(L1604="F-90",5,IF(L1604="F-120",6,IF(L1604="F-150",7,0)))))),0),0)+IF(AND(O1604="FIRE TEX 5120",OR(E1604="IN",E1604="C",E1604="Z",E1604="L"),J1604=3),VLOOKUP(_xlfn.MINIFS('FIRE TEX 5120'!$B$5:$B$40,'FIRE TEX 5120'!$B$5:$B$40,"&gt;="&amp;M1604),'FIRE TEX 5120'!$B$5:$G$40,IF(L1604="F-15",2,IF(L1604="F-30",3,IF(L1604="F-60",4,IF(L1604="F-90",5,IF(L1604="F-120",6,0))))),0),0)+IF(AND(O1604="FIRE TEX 5120",OR(E1604="IN",E1604="C",E1604="Z",E1604="L"),J1604=4),VLOOKUP(_xlfn.MINIFS('FIRE TEX 5120'!$H$4:$H$40,'FIRE TEX 5120'!$H$4:$H$40,"&gt;="&amp;M1604),'FIRE TEX 5120'!$H$4:$M$40,IF(L1604="F-15",2,IF(L1604="F-30",3,IF(L1604="F-60",4,IF(L1604="F-90",5,IF(L1604="F-120",6,0))))),0),0)+IF(AND(O1604="FIRE TEX 5120",E1604="CJ"),VLOOKUP(_xlfn.MINIFS('FIRE TEX 5120'!$O$5:$O$40,'FIRE TEX 5120'!$O$5:$O$40,"&gt;="&amp;M1604),'FIRE TEX 5120'!$O$5:$T$40,IF(L1604="F-15",2,IF(L1604="F-30",3,IF(L1604="F-60",4,IF(L1604="F-90",5,IF(L1604="F-120",6,0))))),0),0)</f>
        <v>0</v>
      </c>
      <c r="Q1604" s="46">
        <f t="shared" si="144"/>
        <v>0</v>
      </c>
      <c r="R1604" s="46">
        <f t="shared" si="145"/>
        <v>0</v>
      </c>
      <c r="S1604" s="46" t="e">
        <f t="shared" si="146"/>
        <v>#VALUE!</v>
      </c>
      <c r="T1604" s="677">
        <f t="shared" si="147"/>
        <v>0</v>
      </c>
      <c r="U1604" s="80">
        <f>(IF(O1604="Stofire",(S1604*#REF!),0))+(IF(O1604="Fire Control",(S1604*$U$2),0))+(IF(O1604="Fire Tex",(S1604*$U$3),0))+(IF(O1604="WB7",(S1604*#REF!),0)+(IF(O1604="FX 2003",(S1604*$U$5),0)))</f>
        <v>0</v>
      </c>
      <c r="V1604" s="651">
        <f t="shared" si="148"/>
        <v>0</v>
      </c>
    </row>
    <row r="1605" spans="4:22" x14ac:dyDescent="0.25">
      <c r="D1605" s="118">
        <f>+CUBICACION!D1604</f>
        <v>0</v>
      </c>
      <c r="E1605" s="118">
        <f>+CUBICACION!F1604</f>
        <v>0</v>
      </c>
      <c r="F1605" s="118">
        <f>+CUBICACION!E1604</f>
        <v>0</v>
      </c>
      <c r="G1605" s="118">
        <v>12</v>
      </c>
      <c r="H1605" s="118">
        <v>2</v>
      </c>
      <c r="I1605" s="820">
        <v>26385</v>
      </c>
      <c r="J1605" s="118">
        <f>+CUBICACION!J1604</f>
        <v>0</v>
      </c>
      <c r="K1605" s="118">
        <v>4384</v>
      </c>
      <c r="L1605" s="118">
        <f>+CUBICACION!L1604</f>
        <v>0</v>
      </c>
      <c r="M1605" s="64">
        <f>+CUBICACION!M1604</f>
        <v>0</v>
      </c>
      <c r="N1605" s="824" t="str">
        <f>+CUBICACION!N1604</f>
        <v/>
      </c>
      <c r="O1605" s="675">
        <f>+CUBICACION!O1604</f>
        <v>0</v>
      </c>
      <c r="P1605" s="15">
        <f>IF(O1605="Fire Control",VLOOKUP(_xlfn.MINIFS('FIRE CONTROL'!$C$4:$C$37,'FIRE CONTROL'!$C$4:$C$37,"&gt;="&amp;M1605),'FIRE CONTROL'!$C$4:$G$37,IF(L1605="F-15",2,IF(L1605="F-30",3,IF(L1605="F-60",4,IF(L1605="F-90",5,0)))),0),0)+IF(AND(O1605="FIRE TEX 5062",OR(E1605="IN",E1605="C",E1605="Z",E1605="L"),J1605=3),VLOOKUP(_xlfn.MINIFS('FIRE TEX 5062'!$B$4:$B$34,'FIRE TEX 5062'!$B$4:$B$34,"&gt;="&amp;M1605),'FIRE TEX 5062'!$B$4:$F$34,IF(L1605="F-15",2,IF(L1605="F-30",3,IF(L1605="F-60",4,IF(L1605="F-90",5,0)))),0),0)+IF(AND(O1605="FIRE TEX 5062",OR(E1605="IN",E1605="C",E1605="Z",E1605="L"),J1605=4),VLOOKUP(_xlfn.MINIFS('FIRE TEX 5062'!$G$4:$G$34,'FIRE TEX 5062'!$G$4:$G$34,"&gt;="&amp;M1605),'FIRE TEX 5062'!$G$4:$K$34,IF(L1605="F-15",2,IF(L1605="F-30",3,IF(L1605="F-60",4,IF(L1605="F-90",5,0)))),0),0)+IF(AND(O1605="FIRE TEX 5062",E1605="CJ",J1605=3),VLOOKUP(_xlfn.MINIFS('FIRE TEX 5062'!$L$4:$L$34,'FIRE TEX 5062'!$L$4:$L$34,"&gt;="&amp;M1605),'FIRE TEX 5062'!$L$4:$P$34,IF(L1605="F-15",2,IF(L1605="F-30",3,IF(L1605="F-60",4,IF(L1605="F-90",5,0)))),0),0)+IF(AND(O1605="FIRE TEX 5062",E1605="CJ",J1605=4),VLOOKUP(_xlfn.MINIFS('FIRE TEX 5062'!$Q$3:$Q$34,'FIRE TEX 5062'!$Q$3:$Q$34,"&gt;="&amp;M1605),'FIRE TEX 5062'!$Q$3:$U$34,IF(L1605="F-15",2,IF(L1605="F-30",3,IF(L1605="F-60",4,IF(L1605="F-90",5,0)))),0),0)+IF(AND(O1605="FIRE TEX 5090",OR(E1605="IN",E1605="C",E1605="Z",E1605="L"),J1605=3),VLOOKUP(_xlfn.MINIFS('FIRE TEX 5090'!$B$5:$B$43,'FIRE TEX 5090'!$B$5:$B$43,"&gt;="&amp;M1605),'FIRE TEX 5090'!$B$5:$H$43,IF(L1605="F-15",2,IF(L1605="F-30",3,IF(L1605="F-60",4,IF(L1605="F-90",5,IF(L1605="F-120",6,IF(L1605="F-150",7,0)))))),0),0)+IF(AND(O1605="FIRE TEX 5090",OR(E1605="IN",E1605="C",E1605="Z",E1605="L"),J1605=4),VLOOKUP(_xlfn.MINIFS('FIRE TEX 5090'!$J$5:$J$43,'FIRE TEX 5090'!$J$5:$J$43,"&gt;="&amp;M1605),'FIRE TEX 5090'!$J$5:$P$43,IF(L1605="F-15",2,IF(L1605="F-30",3,IF(L1605="F-60",4,IF(L1605="F-90",5,IF(L1605="F-120",6,IF(L1605="F-150",7,0)))))),0),0)+IF(AND(O1605="FIRE TEX 5090",E1605="CJ",J1605=3),VLOOKUP(_xlfn.MINIFS('FIRE TEX 5090'!$R$5:$R$30,'FIRE TEX 5090'!$R$5:$R$30,"&gt;="&amp;M1605),'FIRE TEX 5090'!$R$5:$W$30,IF(L1605="F-15",2,IF(L1605="F-30",3,IF(L1605="F-60",4,IF(L1605="F-90",5,IF(L1605="F-120",6,IF(L1605="F-150",7,0)))))),0),0)+IF(AND(O1605="FIRE TEX 5090",E1605="CJ",J1605=4),VLOOKUP(_xlfn.MINIFS('FIRE TEX 5090'!$Y$5:$Y$39,'FIRE TEX 5090'!$Y$5:$Y$39,"&gt;="&amp;M1605),'FIRE TEX 5090'!$Y$5:$AD$39,IF(L1605="F-15",2,IF(L1605="F-30",3,IF(L1605="F-60",4,IF(L1605="F-90",5,IF(L1605="F-120",6,IF(L1605="F-150",7,0)))))),0),0)+IF(AND(O1605="FIRE TEX 5120",OR(E1605="IN",E1605="C",E1605="Z",E1605="L"),J1605=3),VLOOKUP(_xlfn.MINIFS('FIRE TEX 5120'!$B$5:$B$40,'FIRE TEX 5120'!$B$5:$B$40,"&gt;="&amp;M1605),'FIRE TEX 5120'!$B$5:$G$40,IF(L1605="F-15",2,IF(L1605="F-30",3,IF(L1605="F-60",4,IF(L1605="F-90",5,IF(L1605="F-120",6,0))))),0),0)+IF(AND(O1605="FIRE TEX 5120",OR(E1605="IN",E1605="C",E1605="Z",E1605="L"),J1605=4),VLOOKUP(_xlfn.MINIFS('FIRE TEX 5120'!$H$4:$H$40,'FIRE TEX 5120'!$H$4:$H$40,"&gt;="&amp;M1605),'FIRE TEX 5120'!$H$4:$M$40,IF(L1605="F-15",2,IF(L1605="F-30",3,IF(L1605="F-60",4,IF(L1605="F-90",5,IF(L1605="F-120",6,0))))),0),0)+IF(AND(O1605="FIRE TEX 5120",E1605="CJ"),VLOOKUP(_xlfn.MINIFS('FIRE TEX 5120'!$O$5:$O$40,'FIRE TEX 5120'!$O$5:$O$40,"&gt;="&amp;M1605),'FIRE TEX 5120'!$O$5:$T$40,IF(L1605="F-15",2,IF(L1605="F-30",3,IF(L1605="F-60",4,IF(L1605="F-90",5,IF(L1605="F-120",6,0))))),0),0)</f>
        <v>0</v>
      </c>
      <c r="Q1605" s="46">
        <f t="shared" si="144"/>
        <v>0</v>
      </c>
      <c r="R1605" s="46">
        <f t="shared" si="145"/>
        <v>0</v>
      </c>
      <c r="S1605" s="46" t="e">
        <f t="shared" si="146"/>
        <v>#VALUE!</v>
      </c>
      <c r="T1605" s="677">
        <f t="shared" si="147"/>
        <v>0</v>
      </c>
      <c r="U1605" s="80">
        <f>(IF(O1605="Stofire",(S1605*#REF!),0))+(IF(O1605="Fire Control",(S1605*$U$2),0))+(IF(O1605="Fire Tex",(S1605*$U$3),0))+(IF(O1605="WB7",(S1605*#REF!),0)+(IF(O1605="FX 2003",(S1605*$U$5),0)))</f>
        <v>0</v>
      </c>
      <c r="V1605" s="651">
        <f t="shared" si="148"/>
        <v>0</v>
      </c>
    </row>
    <row r="1606" spans="4:22" x14ac:dyDescent="0.25">
      <c r="D1606" s="118">
        <f>+CUBICACION!D1605</f>
        <v>0</v>
      </c>
      <c r="E1606" s="118">
        <f>+CUBICACION!F1605</f>
        <v>0</v>
      </c>
      <c r="F1606" s="118">
        <f>+CUBICACION!E1605</f>
        <v>0</v>
      </c>
      <c r="G1606" s="118">
        <v>12</v>
      </c>
      <c r="H1606" s="118">
        <v>2</v>
      </c>
      <c r="I1606" s="820">
        <v>26385</v>
      </c>
      <c r="J1606" s="118">
        <f>+CUBICACION!J1605</f>
        <v>0</v>
      </c>
      <c r="K1606" s="118">
        <v>4385</v>
      </c>
      <c r="L1606" s="118">
        <f>+CUBICACION!L1605</f>
        <v>0</v>
      </c>
      <c r="M1606" s="64">
        <f>+CUBICACION!M1605</f>
        <v>0</v>
      </c>
      <c r="N1606" s="824" t="str">
        <f>+CUBICACION!N1605</f>
        <v/>
      </c>
      <c r="O1606" s="675">
        <f>+CUBICACION!O1605</f>
        <v>0</v>
      </c>
      <c r="P1606" s="15">
        <f>IF(O1606="Fire Control",VLOOKUP(_xlfn.MINIFS('FIRE CONTROL'!$C$4:$C$37,'FIRE CONTROL'!$C$4:$C$37,"&gt;="&amp;M1606),'FIRE CONTROL'!$C$4:$G$37,IF(L1606="F-15",2,IF(L1606="F-30",3,IF(L1606="F-60",4,IF(L1606="F-90",5,0)))),0),0)+IF(AND(O1606="FIRE TEX 5062",OR(E1606="IN",E1606="C",E1606="Z",E1606="L"),J1606=3),VLOOKUP(_xlfn.MINIFS('FIRE TEX 5062'!$B$4:$B$34,'FIRE TEX 5062'!$B$4:$B$34,"&gt;="&amp;M1606),'FIRE TEX 5062'!$B$4:$F$34,IF(L1606="F-15",2,IF(L1606="F-30",3,IF(L1606="F-60",4,IF(L1606="F-90",5,0)))),0),0)+IF(AND(O1606="FIRE TEX 5062",OR(E1606="IN",E1606="C",E1606="Z",E1606="L"),J1606=4),VLOOKUP(_xlfn.MINIFS('FIRE TEX 5062'!$G$4:$G$34,'FIRE TEX 5062'!$G$4:$G$34,"&gt;="&amp;M1606),'FIRE TEX 5062'!$G$4:$K$34,IF(L1606="F-15",2,IF(L1606="F-30",3,IF(L1606="F-60",4,IF(L1606="F-90",5,0)))),0),0)+IF(AND(O1606="FIRE TEX 5062",E1606="CJ",J1606=3),VLOOKUP(_xlfn.MINIFS('FIRE TEX 5062'!$L$4:$L$34,'FIRE TEX 5062'!$L$4:$L$34,"&gt;="&amp;M1606),'FIRE TEX 5062'!$L$4:$P$34,IF(L1606="F-15",2,IF(L1606="F-30",3,IF(L1606="F-60",4,IF(L1606="F-90",5,0)))),0),0)+IF(AND(O1606="FIRE TEX 5062",E1606="CJ",J1606=4),VLOOKUP(_xlfn.MINIFS('FIRE TEX 5062'!$Q$3:$Q$34,'FIRE TEX 5062'!$Q$3:$Q$34,"&gt;="&amp;M1606),'FIRE TEX 5062'!$Q$3:$U$34,IF(L1606="F-15",2,IF(L1606="F-30",3,IF(L1606="F-60",4,IF(L1606="F-90",5,0)))),0),0)+IF(AND(O1606="FIRE TEX 5090",OR(E1606="IN",E1606="C",E1606="Z",E1606="L"),J1606=3),VLOOKUP(_xlfn.MINIFS('FIRE TEX 5090'!$B$5:$B$43,'FIRE TEX 5090'!$B$5:$B$43,"&gt;="&amp;M1606),'FIRE TEX 5090'!$B$5:$H$43,IF(L1606="F-15",2,IF(L1606="F-30",3,IF(L1606="F-60",4,IF(L1606="F-90",5,IF(L1606="F-120",6,IF(L1606="F-150",7,0)))))),0),0)+IF(AND(O1606="FIRE TEX 5090",OR(E1606="IN",E1606="C",E1606="Z",E1606="L"),J1606=4),VLOOKUP(_xlfn.MINIFS('FIRE TEX 5090'!$J$5:$J$43,'FIRE TEX 5090'!$J$5:$J$43,"&gt;="&amp;M1606),'FIRE TEX 5090'!$J$5:$P$43,IF(L1606="F-15",2,IF(L1606="F-30",3,IF(L1606="F-60",4,IF(L1606="F-90",5,IF(L1606="F-120",6,IF(L1606="F-150",7,0)))))),0),0)+IF(AND(O1606="FIRE TEX 5090",E1606="CJ",J1606=3),VLOOKUP(_xlfn.MINIFS('FIRE TEX 5090'!$R$5:$R$30,'FIRE TEX 5090'!$R$5:$R$30,"&gt;="&amp;M1606),'FIRE TEX 5090'!$R$5:$W$30,IF(L1606="F-15",2,IF(L1606="F-30",3,IF(L1606="F-60",4,IF(L1606="F-90",5,IF(L1606="F-120",6,IF(L1606="F-150",7,0)))))),0),0)+IF(AND(O1606="FIRE TEX 5090",E1606="CJ",J1606=4),VLOOKUP(_xlfn.MINIFS('FIRE TEX 5090'!$Y$5:$Y$39,'FIRE TEX 5090'!$Y$5:$Y$39,"&gt;="&amp;M1606),'FIRE TEX 5090'!$Y$5:$AD$39,IF(L1606="F-15",2,IF(L1606="F-30",3,IF(L1606="F-60",4,IF(L1606="F-90",5,IF(L1606="F-120",6,IF(L1606="F-150",7,0)))))),0),0)+IF(AND(O1606="FIRE TEX 5120",OR(E1606="IN",E1606="C",E1606="Z",E1606="L"),J1606=3),VLOOKUP(_xlfn.MINIFS('FIRE TEX 5120'!$B$5:$B$40,'FIRE TEX 5120'!$B$5:$B$40,"&gt;="&amp;M1606),'FIRE TEX 5120'!$B$5:$G$40,IF(L1606="F-15",2,IF(L1606="F-30",3,IF(L1606="F-60",4,IF(L1606="F-90",5,IF(L1606="F-120",6,0))))),0),0)+IF(AND(O1606="FIRE TEX 5120",OR(E1606="IN",E1606="C",E1606="Z",E1606="L"),J1606=4),VLOOKUP(_xlfn.MINIFS('FIRE TEX 5120'!$H$4:$H$40,'FIRE TEX 5120'!$H$4:$H$40,"&gt;="&amp;M1606),'FIRE TEX 5120'!$H$4:$M$40,IF(L1606="F-15",2,IF(L1606="F-30",3,IF(L1606="F-60",4,IF(L1606="F-90",5,IF(L1606="F-120",6,0))))),0),0)+IF(AND(O1606="FIRE TEX 5120",E1606="CJ"),VLOOKUP(_xlfn.MINIFS('FIRE TEX 5120'!$O$5:$O$40,'FIRE TEX 5120'!$O$5:$O$40,"&gt;="&amp;M1606),'FIRE TEX 5120'!$O$5:$T$40,IF(L1606="F-15",2,IF(L1606="F-30",3,IF(L1606="F-60",4,IF(L1606="F-90",5,IF(L1606="F-120",6,0))))),0),0)</f>
        <v>0</v>
      </c>
      <c r="Q1606" s="46">
        <f t="shared" si="144"/>
        <v>0</v>
      </c>
      <c r="R1606" s="46">
        <f t="shared" si="145"/>
        <v>0</v>
      </c>
      <c r="S1606" s="46" t="e">
        <f t="shared" si="146"/>
        <v>#VALUE!</v>
      </c>
      <c r="T1606" s="677">
        <f t="shared" si="147"/>
        <v>0</v>
      </c>
      <c r="U1606" s="80">
        <f>(IF(O1606="Stofire",(S1606*#REF!),0))+(IF(O1606="Fire Control",(S1606*$U$2),0))+(IF(O1606="Fire Tex",(S1606*$U$3),0))+(IF(O1606="WB7",(S1606*#REF!),0)+(IF(O1606="FX 2003",(S1606*$U$5),0)))</f>
        <v>0</v>
      </c>
      <c r="V1606" s="651">
        <f t="shared" si="148"/>
        <v>0</v>
      </c>
    </row>
    <row r="1607" spans="4:22" x14ac:dyDescent="0.25">
      <c r="D1607" s="118">
        <f>+CUBICACION!D1606</f>
        <v>0</v>
      </c>
      <c r="E1607" s="118">
        <f>+CUBICACION!F1606</f>
        <v>0</v>
      </c>
      <c r="F1607" s="118">
        <f>+CUBICACION!E1606</f>
        <v>0</v>
      </c>
      <c r="G1607" s="118">
        <v>12</v>
      </c>
      <c r="H1607" s="118">
        <v>2</v>
      </c>
      <c r="I1607" s="820">
        <v>26385</v>
      </c>
      <c r="J1607" s="118">
        <f>+CUBICACION!J1606</f>
        <v>0</v>
      </c>
      <c r="K1607" s="118">
        <v>4386</v>
      </c>
      <c r="L1607" s="118">
        <f>+CUBICACION!L1606</f>
        <v>0</v>
      </c>
      <c r="M1607" s="64">
        <f>+CUBICACION!M1606</f>
        <v>0</v>
      </c>
      <c r="N1607" s="824" t="str">
        <f>+CUBICACION!N1606</f>
        <v/>
      </c>
      <c r="O1607" s="675">
        <f>+CUBICACION!O1606</f>
        <v>0</v>
      </c>
      <c r="P1607" s="15">
        <f>IF(O1607="Fire Control",VLOOKUP(_xlfn.MINIFS('FIRE CONTROL'!$C$4:$C$37,'FIRE CONTROL'!$C$4:$C$37,"&gt;="&amp;M1607),'FIRE CONTROL'!$C$4:$G$37,IF(L1607="F-15",2,IF(L1607="F-30",3,IF(L1607="F-60",4,IF(L1607="F-90",5,0)))),0),0)+IF(AND(O1607="FIRE TEX 5062",OR(E1607="IN",E1607="C",E1607="Z",E1607="L"),J1607=3),VLOOKUP(_xlfn.MINIFS('FIRE TEX 5062'!$B$4:$B$34,'FIRE TEX 5062'!$B$4:$B$34,"&gt;="&amp;M1607),'FIRE TEX 5062'!$B$4:$F$34,IF(L1607="F-15",2,IF(L1607="F-30",3,IF(L1607="F-60",4,IF(L1607="F-90",5,0)))),0),0)+IF(AND(O1607="FIRE TEX 5062",OR(E1607="IN",E1607="C",E1607="Z",E1607="L"),J1607=4),VLOOKUP(_xlfn.MINIFS('FIRE TEX 5062'!$G$4:$G$34,'FIRE TEX 5062'!$G$4:$G$34,"&gt;="&amp;M1607),'FIRE TEX 5062'!$G$4:$K$34,IF(L1607="F-15",2,IF(L1607="F-30",3,IF(L1607="F-60",4,IF(L1607="F-90",5,0)))),0),0)+IF(AND(O1607="FIRE TEX 5062",E1607="CJ",J1607=3),VLOOKUP(_xlfn.MINIFS('FIRE TEX 5062'!$L$4:$L$34,'FIRE TEX 5062'!$L$4:$L$34,"&gt;="&amp;M1607),'FIRE TEX 5062'!$L$4:$P$34,IF(L1607="F-15",2,IF(L1607="F-30",3,IF(L1607="F-60",4,IF(L1607="F-90",5,0)))),0),0)+IF(AND(O1607="FIRE TEX 5062",E1607="CJ",J1607=4),VLOOKUP(_xlfn.MINIFS('FIRE TEX 5062'!$Q$3:$Q$34,'FIRE TEX 5062'!$Q$3:$Q$34,"&gt;="&amp;M1607),'FIRE TEX 5062'!$Q$3:$U$34,IF(L1607="F-15",2,IF(L1607="F-30",3,IF(L1607="F-60",4,IF(L1607="F-90",5,0)))),0),0)+IF(AND(O1607="FIRE TEX 5090",OR(E1607="IN",E1607="C",E1607="Z",E1607="L"),J1607=3),VLOOKUP(_xlfn.MINIFS('FIRE TEX 5090'!$B$5:$B$43,'FIRE TEX 5090'!$B$5:$B$43,"&gt;="&amp;M1607),'FIRE TEX 5090'!$B$5:$H$43,IF(L1607="F-15",2,IF(L1607="F-30",3,IF(L1607="F-60",4,IF(L1607="F-90",5,IF(L1607="F-120",6,IF(L1607="F-150",7,0)))))),0),0)+IF(AND(O1607="FIRE TEX 5090",OR(E1607="IN",E1607="C",E1607="Z",E1607="L"),J1607=4),VLOOKUP(_xlfn.MINIFS('FIRE TEX 5090'!$J$5:$J$43,'FIRE TEX 5090'!$J$5:$J$43,"&gt;="&amp;M1607),'FIRE TEX 5090'!$J$5:$P$43,IF(L1607="F-15",2,IF(L1607="F-30",3,IF(L1607="F-60",4,IF(L1607="F-90",5,IF(L1607="F-120",6,IF(L1607="F-150",7,0)))))),0),0)+IF(AND(O1607="FIRE TEX 5090",E1607="CJ",J1607=3),VLOOKUP(_xlfn.MINIFS('FIRE TEX 5090'!$R$5:$R$30,'FIRE TEX 5090'!$R$5:$R$30,"&gt;="&amp;M1607),'FIRE TEX 5090'!$R$5:$W$30,IF(L1607="F-15",2,IF(L1607="F-30",3,IF(L1607="F-60",4,IF(L1607="F-90",5,IF(L1607="F-120",6,IF(L1607="F-150",7,0)))))),0),0)+IF(AND(O1607="FIRE TEX 5090",E1607="CJ",J1607=4),VLOOKUP(_xlfn.MINIFS('FIRE TEX 5090'!$Y$5:$Y$39,'FIRE TEX 5090'!$Y$5:$Y$39,"&gt;="&amp;M1607),'FIRE TEX 5090'!$Y$5:$AD$39,IF(L1607="F-15",2,IF(L1607="F-30",3,IF(L1607="F-60",4,IF(L1607="F-90",5,IF(L1607="F-120",6,IF(L1607="F-150",7,0)))))),0),0)+IF(AND(O1607="FIRE TEX 5120",OR(E1607="IN",E1607="C",E1607="Z",E1607="L"),J1607=3),VLOOKUP(_xlfn.MINIFS('FIRE TEX 5120'!$B$5:$B$40,'FIRE TEX 5120'!$B$5:$B$40,"&gt;="&amp;M1607),'FIRE TEX 5120'!$B$5:$G$40,IF(L1607="F-15",2,IF(L1607="F-30",3,IF(L1607="F-60",4,IF(L1607="F-90",5,IF(L1607="F-120",6,0))))),0),0)+IF(AND(O1607="FIRE TEX 5120",OR(E1607="IN",E1607="C",E1607="Z",E1607="L"),J1607=4),VLOOKUP(_xlfn.MINIFS('FIRE TEX 5120'!$H$4:$H$40,'FIRE TEX 5120'!$H$4:$H$40,"&gt;="&amp;M1607),'FIRE TEX 5120'!$H$4:$M$40,IF(L1607="F-15",2,IF(L1607="F-30",3,IF(L1607="F-60",4,IF(L1607="F-90",5,IF(L1607="F-120",6,0))))),0),0)+IF(AND(O1607="FIRE TEX 5120",E1607="CJ"),VLOOKUP(_xlfn.MINIFS('FIRE TEX 5120'!$O$5:$O$40,'FIRE TEX 5120'!$O$5:$O$40,"&gt;="&amp;M1607),'FIRE TEX 5120'!$O$5:$T$40,IF(L1607="F-15",2,IF(L1607="F-30",3,IF(L1607="F-60",4,IF(L1607="F-90",5,IF(L1607="F-120",6,0))))),0),0)</f>
        <v>0</v>
      </c>
      <c r="Q1607" s="46">
        <f t="shared" si="144"/>
        <v>0</v>
      </c>
      <c r="R1607" s="46">
        <f t="shared" si="145"/>
        <v>0</v>
      </c>
      <c r="S1607" s="46" t="e">
        <f t="shared" si="146"/>
        <v>#VALUE!</v>
      </c>
      <c r="T1607" s="677">
        <f t="shared" si="147"/>
        <v>0</v>
      </c>
      <c r="U1607" s="80">
        <f>(IF(O1607="Stofire",(S1607*#REF!),0))+(IF(O1607="Fire Control",(S1607*$U$2),0))+(IF(O1607="Fire Tex",(S1607*$U$3),0))+(IF(O1607="WB7",(S1607*#REF!),0)+(IF(O1607="FX 2003",(S1607*$U$5),0)))</f>
        <v>0</v>
      </c>
      <c r="V1607" s="651">
        <f t="shared" si="148"/>
        <v>0</v>
      </c>
    </row>
    <row r="1608" spans="4:22" x14ac:dyDescent="0.25">
      <c r="D1608" s="118">
        <f>+CUBICACION!D1607</f>
        <v>0</v>
      </c>
      <c r="E1608" s="118">
        <f>+CUBICACION!F1607</f>
        <v>0</v>
      </c>
      <c r="F1608" s="118">
        <f>+CUBICACION!E1607</f>
        <v>0</v>
      </c>
      <c r="G1608" s="118">
        <v>12</v>
      </c>
      <c r="H1608" s="118">
        <v>2</v>
      </c>
      <c r="I1608" s="820">
        <v>26385</v>
      </c>
      <c r="J1608" s="118">
        <f>+CUBICACION!J1607</f>
        <v>0</v>
      </c>
      <c r="K1608" s="118">
        <v>4387</v>
      </c>
      <c r="L1608" s="118">
        <f>+CUBICACION!L1607</f>
        <v>0</v>
      </c>
      <c r="M1608" s="64">
        <f>+CUBICACION!M1607</f>
        <v>0</v>
      </c>
      <c r="N1608" s="824" t="str">
        <f>+CUBICACION!N1607</f>
        <v/>
      </c>
      <c r="O1608" s="675">
        <f>+CUBICACION!O1607</f>
        <v>0</v>
      </c>
      <c r="P1608" s="15">
        <f>IF(O1608="Fire Control",VLOOKUP(_xlfn.MINIFS('FIRE CONTROL'!$C$4:$C$37,'FIRE CONTROL'!$C$4:$C$37,"&gt;="&amp;M1608),'FIRE CONTROL'!$C$4:$G$37,IF(L1608="F-15",2,IF(L1608="F-30",3,IF(L1608="F-60",4,IF(L1608="F-90",5,0)))),0),0)+IF(AND(O1608="FIRE TEX 5062",OR(E1608="IN",E1608="C",E1608="Z",E1608="L"),J1608=3),VLOOKUP(_xlfn.MINIFS('FIRE TEX 5062'!$B$4:$B$34,'FIRE TEX 5062'!$B$4:$B$34,"&gt;="&amp;M1608),'FIRE TEX 5062'!$B$4:$F$34,IF(L1608="F-15",2,IF(L1608="F-30",3,IF(L1608="F-60",4,IF(L1608="F-90",5,0)))),0),0)+IF(AND(O1608="FIRE TEX 5062",OR(E1608="IN",E1608="C",E1608="Z",E1608="L"),J1608=4),VLOOKUP(_xlfn.MINIFS('FIRE TEX 5062'!$G$4:$G$34,'FIRE TEX 5062'!$G$4:$G$34,"&gt;="&amp;M1608),'FIRE TEX 5062'!$G$4:$K$34,IF(L1608="F-15",2,IF(L1608="F-30",3,IF(L1608="F-60",4,IF(L1608="F-90",5,0)))),0),0)+IF(AND(O1608="FIRE TEX 5062",E1608="CJ",J1608=3),VLOOKUP(_xlfn.MINIFS('FIRE TEX 5062'!$L$4:$L$34,'FIRE TEX 5062'!$L$4:$L$34,"&gt;="&amp;M1608),'FIRE TEX 5062'!$L$4:$P$34,IF(L1608="F-15",2,IF(L1608="F-30",3,IF(L1608="F-60",4,IF(L1608="F-90",5,0)))),0),0)+IF(AND(O1608="FIRE TEX 5062",E1608="CJ",J1608=4),VLOOKUP(_xlfn.MINIFS('FIRE TEX 5062'!$Q$3:$Q$34,'FIRE TEX 5062'!$Q$3:$Q$34,"&gt;="&amp;M1608),'FIRE TEX 5062'!$Q$3:$U$34,IF(L1608="F-15",2,IF(L1608="F-30",3,IF(L1608="F-60",4,IF(L1608="F-90",5,0)))),0),0)+IF(AND(O1608="FIRE TEX 5090",OR(E1608="IN",E1608="C",E1608="Z",E1608="L"),J1608=3),VLOOKUP(_xlfn.MINIFS('FIRE TEX 5090'!$B$5:$B$43,'FIRE TEX 5090'!$B$5:$B$43,"&gt;="&amp;M1608),'FIRE TEX 5090'!$B$5:$H$43,IF(L1608="F-15",2,IF(L1608="F-30",3,IF(L1608="F-60",4,IF(L1608="F-90",5,IF(L1608="F-120",6,IF(L1608="F-150",7,0)))))),0),0)+IF(AND(O1608="FIRE TEX 5090",OR(E1608="IN",E1608="C",E1608="Z",E1608="L"),J1608=4),VLOOKUP(_xlfn.MINIFS('FIRE TEX 5090'!$J$5:$J$43,'FIRE TEX 5090'!$J$5:$J$43,"&gt;="&amp;M1608),'FIRE TEX 5090'!$J$5:$P$43,IF(L1608="F-15",2,IF(L1608="F-30",3,IF(L1608="F-60",4,IF(L1608="F-90",5,IF(L1608="F-120",6,IF(L1608="F-150",7,0)))))),0),0)+IF(AND(O1608="FIRE TEX 5090",E1608="CJ",J1608=3),VLOOKUP(_xlfn.MINIFS('FIRE TEX 5090'!$R$5:$R$30,'FIRE TEX 5090'!$R$5:$R$30,"&gt;="&amp;M1608),'FIRE TEX 5090'!$R$5:$W$30,IF(L1608="F-15",2,IF(L1608="F-30",3,IF(L1608="F-60",4,IF(L1608="F-90",5,IF(L1608="F-120",6,IF(L1608="F-150",7,0)))))),0),0)+IF(AND(O1608="FIRE TEX 5090",E1608="CJ",J1608=4),VLOOKUP(_xlfn.MINIFS('FIRE TEX 5090'!$Y$5:$Y$39,'FIRE TEX 5090'!$Y$5:$Y$39,"&gt;="&amp;M1608),'FIRE TEX 5090'!$Y$5:$AD$39,IF(L1608="F-15",2,IF(L1608="F-30",3,IF(L1608="F-60",4,IF(L1608="F-90",5,IF(L1608="F-120",6,IF(L1608="F-150",7,0)))))),0),0)+IF(AND(O1608="FIRE TEX 5120",OR(E1608="IN",E1608="C",E1608="Z",E1608="L"),J1608=3),VLOOKUP(_xlfn.MINIFS('FIRE TEX 5120'!$B$5:$B$40,'FIRE TEX 5120'!$B$5:$B$40,"&gt;="&amp;M1608),'FIRE TEX 5120'!$B$5:$G$40,IF(L1608="F-15",2,IF(L1608="F-30",3,IF(L1608="F-60",4,IF(L1608="F-90",5,IF(L1608="F-120",6,0))))),0),0)+IF(AND(O1608="FIRE TEX 5120",OR(E1608="IN",E1608="C",E1608="Z",E1608="L"),J1608=4),VLOOKUP(_xlfn.MINIFS('FIRE TEX 5120'!$H$4:$H$40,'FIRE TEX 5120'!$H$4:$H$40,"&gt;="&amp;M1608),'FIRE TEX 5120'!$H$4:$M$40,IF(L1608="F-15",2,IF(L1608="F-30",3,IF(L1608="F-60",4,IF(L1608="F-90",5,IF(L1608="F-120",6,0))))),0),0)+IF(AND(O1608="FIRE TEX 5120",E1608="CJ"),VLOOKUP(_xlfn.MINIFS('FIRE TEX 5120'!$O$5:$O$40,'FIRE TEX 5120'!$O$5:$O$40,"&gt;="&amp;M1608),'FIRE TEX 5120'!$O$5:$T$40,IF(L1608="F-15",2,IF(L1608="F-30",3,IF(L1608="F-60",4,IF(L1608="F-90",5,IF(L1608="F-120",6,0))))),0),0)</f>
        <v>0</v>
      </c>
      <c r="Q1608" s="46">
        <f t="shared" si="144"/>
        <v>0</v>
      </c>
      <c r="R1608" s="46">
        <f t="shared" si="145"/>
        <v>0</v>
      </c>
      <c r="S1608" s="46" t="e">
        <f t="shared" si="146"/>
        <v>#VALUE!</v>
      </c>
      <c r="T1608" s="677">
        <f t="shared" si="147"/>
        <v>0</v>
      </c>
      <c r="U1608" s="80">
        <f>(IF(O1608="Stofire",(S1608*#REF!),0))+(IF(O1608="Fire Control",(S1608*$U$2),0))+(IF(O1608="Fire Tex",(S1608*$U$3),0))+(IF(O1608="WB7",(S1608*#REF!),0)+(IF(O1608="FX 2003",(S1608*$U$5),0)))</f>
        <v>0</v>
      </c>
      <c r="V1608" s="651">
        <f t="shared" si="148"/>
        <v>0</v>
      </c>
    </row>
    <row r="1609" spans="4:22" x14ac:dyDescent="0.25">
      <c r="D1609" s="118">
        <f>+CUBICACION!D1608</f>
        <v>0</v>
      </c>
      <c r="E1609" s="118">
        <f>+CUBICACION!F1608</f>
        <v>0</v>
      </c>
      <c r="F1609" s="118">
        <f>+CUBICACION!E1608</f>
        <v>0</v>
      </c>
      <c r="G1609" s="118">
        <v>12</v>
      </c>
      <c r="H1609" s="118">
        <v>2</v>
      </c>
      <c r="I1609" s="820">
        <v>26385</v>
      </c>
      <c r="J1609" s="118">
        <f>+CUBICACION!J1608</f>
        <v>0</v>
      </c>
      <c r="K1609" s="118">
        <v>4388</v>
      </c>
      <c r="L1609" s="118">
        <f>+CUBICACION!L1608</f>
        <v>0</v>
      </c>
      <c r="M1609" s="64">
        <f>+CUBICACION!M1608</f>
        <v>0</v>
      </c>
      <c r="N1609" s="824" t="str">
        <f>+CUBICACION!N1608</f>
        <v/>
      </c>
      <c r="O1609" s="675">
        <f>+CUBICACION!O1608</f>
        <v>0</v>
      </c>
      <c r="P1609" s="15">
        <f>IF(O1609="Fire Control",VLOOKUP(_xlfn.MINIFS('FIRE CONTROL'!$C$4:$C$37,'FIRE CONTROL'!$C$4:$C$37,"&gt;="&amp;M1609),'FIRE CONTROL'!$C$4:$G$37,IF(L1609="F-15",2,IF(L1609="F-30",3,IF(L1609="F-60",4,IF(L1609="F-90",5,0)))),0),0)+IF(AND(O1609="FIRE TEX 5062",OR(E1609="IN",E1609="C",E1609="Z",E1609="L"),J1609=3),VLOOKUP(_xlfn.MINIFS('FIRE TEX 5062'!$B$4:$B$34,'FIRE TEX 5062'!$B$4:$B$34,"&gt;="&amp;M1609),'FIRE TEX 5062'!$B$4:$F$34,IF(L1609="F-15",2,IF(L1609="F-30",3,IF(L1609="F-60",4,IF(L1609="F-90",5,0)))),0),0)+IF(AND(O1609="FIRE TEX 5062",OR(E1609="IN",E1609="C",E1609="Z",E1609="L"),J1609=4),VLOOKUP(_xlfn.MINIFS('FIRE TEX 5062'!$G$4:$G$34,'FIRE TEX 5062'!$G$4:$G$34,"&gt;="&amp;M1609),'FIRE TEX 5062'!$G$4:$K$34,IF(L1609="F-15",2,IF(L1609="F-30",3,IF(L1609="F-60",4,IF(L1609="F-90",5,0)))),0),0)+IF(AND(O1609="FIRE TEX 5062",E1609="CJ",J1609=3),VLOOKUP(_xlfn.MINIFS('FIRE TEX 5062'!$L$4:$L$34,'FIRE TEX 5062'!$L$4:$L$34,"&gt;="&amp;M1609),'FIRE TEX 5062'!$L$4:$P$34,IF(L1609="F-15",2,IF(L1609="F-30",3,IF(L1609="F-60",4,IF(L1609="F-90",5,0)))),0),0)+IF(AND(O1609="FIRE TEX 5062",E1609="CJ",J1609=4),VLOOKUP(_xlfn.MINIFS('FIRE TEX 5062'!$Q$3:$Q$34,'FIRE TEX 5062'!$Q$3:$Q$34,"&gt;="&amp;M1609),'FIRE TEX 5062'!$Q$3:$U$34,IF(L1609="F-15",2,IF(L1609="F-30",3,IF(L1609="F-60",4,IF(L1609="F-90",5,0)))),0),0)+IF(AND(O1609="FIRE TEX 5090",OR(E1609="IN",E1609="C",E1609="Z",E1609="L"),J1609=3),VLOOKUP(_xlfn.MINIFS('FIRE TEX 5090'!$B$5:$B$43,'FIRE TEX 5090'!$B$5:$B$43,"&gt;="&amp;M1609),'FIRE TEX 5090'!$B$5:$H$43,IF(L1609="F-15",2,IF(L1609="F-30",3,IF(L1609="F-60",4,IF(L1609="F-90",5,IF(L1609="F-120",6,IF(L1609="F-150",7,0)))))),0),0)+IF(AND(O1609="FIRE TEX 5090",OR(E1609="IN",E1609="C",E1609="Z",E1609="L"),J1609=4),VLOOKUP(_xlfn.MINIFS('FIRE TEX 5090'!$J$5:$J$43,'FIRE TEX 5090'!$J$5:$J$43,"&gt;="&amp;M1609),'FIRE TEX 5090'!$J$5:$P$43,IF(L1609="F-15",2,IF(L1609="F-30",3,IF(L1609="F-60",4,IF(L1609="F-90",5,IF(L1609="F-120",6,IF(L1609="F-150",7,0)))))),0),0)+IF(AND(O1609="FIRE TEX 5090",E1609="CJ",J1609=3),VLOOKUP(_xlfn.MINIFS('FIRE TEX 5090'!$R$5:$R$30,'FIRE TEX 5090'!$R$5:$R$30,"&gt;="&amp;M1609),'FIRE TEX 5090'!$R$5:$W$30,IF(L1609="F-15",2,IF(L1609="F-30",3,IF(L1609="F-60",4,IF(L1609="F-90",5,IF(L1609="F-120",6,IF(L1609="F-150",7,0)))))),0),0)+IF(AND(O1609="FIRE TEX 5090",E1609="CJ",J1609=4),VLOOKUP(_xlfn.MINIFS('FIRE TEX 5090'!$Y$5:$Y$39,'FIRE TEX 5090'!$Y$5:$Y$39,"&gt;="&amp;M1609),'FIRE TEX 5090'!$Y$5:$AD$39,IF(L1609="F-15",2,IF(L1609="F-30",3,IF(L1609="F-60",4,IF(L1609="F-90",5,IF(L1609="F-120",6,IF(L1609="F-150",7,0)))))),0),0)+IF(AND(O1609="FIRE TEX 5120",OR(E1609="IN",E1609="C",E1609="Z",E1609="L"),J1609=3),VLOOKUP(_xlfn.MINIFS('FIRE TEX 5120'!$B$5:$B$40,'FIRE TEX 5120'!$B$5:$B$40,"&gt;="&amp;M1609),'FIRE TEX 5120'!$B$5:$G$40,IF(L1609="F-15",2,IF(L1609="F-30",3,IF(L1609="F-60",4,IF(L1609="F-90",5,IF(L1609="F-120",6,0))))),0),0)+IF(AND(O1609="FIRE TEX 5120",OR(E1609="IN",E1609="C",E1609="Z",E1609="L"),J1609=4),VLOOKUP(_xlfn.MINIFS('FIRE TEX 5120'!$H$4:$H$40,'FIRE TEX 5120'!$H$4:$H$40,"&gt;="&amp;M1609),'FIRE TEX 5120'!$H$4:$M$40,IF(L1609="F-15",2,IF(L1609="F-30",3,IF(L1609="F-60",4,IF(L1609="F-90",5,IF(L1609="F-120",6,0))))),0),0)+IF(AND(O1609="FIRE TEX 5120",E1609="CJ"),VLOOKUP(_xlfn.MINIFS('FIRE TEX 5120'!$O$5:$O$40,'FIRE TEX 5120'!$O$5:$O$40,"&gt;="&amp;M1609),'FIRE TEX 5120'!$O$5:$T$40,IF(L1609="F-15",2,IF(L1609="F-30",3,IF(L1609="F-60",4,IF(L1609="F-90",5,IF(L1609="F-120",6,0))))),0),0)</f>
        <v>0</v>
      </c>
      <c r="Q1609" s="46">
        <f t="shared" si="144"/>
        <v>0</v>
      </c>
      <c r="R1609" s="46">
        <f t="shared" si="145"/>
        <v>0</v>
      </c>
      <c r="S1609" s="46" t="e">
        <f t="shared" si="146"/>
        <v>#VALUE!</v>
      </c>
      <c r="T1609" s="677">
        <f t="shared" si="147"/>
        <v>0</v>
      </c>
      <c r="U1609" s="80">
        <f>(IF(O1609="Stofire",(S1609*#REF!),0))+(IF(O1609="Fire Control",(S1609*$U$2),0))+(IF(O1609="Fire Tex",(S1609*$U$3),0))+(IF(O1609="WB7",(S1609*#REF!),0)+(IF(O1609="FX 2003",(S1609*$U$5),0)))</f>
        <v>0</v>
      </c>
      <c r="V1609" s="651">
        <f t="shared" si="148"/>
        <v>0</v>
      </c>
    </row>
    <row r="1610" spans="4:22" x14ac:dyDescent="0.25">
      <c r="D1610" s="118">
        <f>+CUBICACION!D1609</f>
        <v>0</v>
      </c>
      <c r="E1610" s="118">
        <f>+CUBICACION!F1609</f>
        <v>0</v>
      </c>
      <c r="F1610" s="118">
        <f>+CUBICACION!E1609</f>
        <v>0</v>
      </c>
      <c r="G1610" s="118">
        <v>12</v>
      </c>
      <c r="H1610" s="118">
        <v>2</v>
      </c>
      <c r="I1610" s="820">
        <v>26385</v>
      </c>
      <c r="J1610" s="118">
        <f>+CUBICACION!J1609</f>
        <v>0</v>
      </c>
      <c r="K1610" s="118">
        <v>4389</v>
      </c>
      <c r="L1610" s="118">
        <f>+CUBICACION!L1609</f>
        <v>0</v>
      </c>
      <c r="M1610" s="64">
        <f>+CUBICACION!M1609</f>
        <v>0</v>
      </c>
      <c r="N1610" s="824" t="str">
        <f>+CUBICACION!N1609</f>
        <v/>
      </c>
      <c r="O1610" s="675">
        <f>+CUBICACION!O1609</f>
        <v>0</v>
      </c>
      <c r="P1610" s="15">
        <f>IF(O1610="Fire Control",VLOOKUP(_xlfn.MINIFS('FIRE CONTROL'!$C$4:$C$37,'FIRE CONTROL'!$C$4:$C$37,"&gt;="&amp;M1610),'FIRE CONTROL'!$C$4:$G$37,IF(L1610="F-15",2,IF(L1610="F-30",3,IF(L1610="F-60",4,IF(L1610="F-90",5,0)))),0),0)+IF(AND(O1610="FIRE TEX 5062",OR(E1610="IN",E1610="C",E1610="Z",E1610="L"),J1610=3),VLOOKUP(_xlfn.MINIFS('FIRE TEX 5062'!$B$4:$B$34,'FIRE TEX 5062'!$B$4:$B$34,"&gt;="&amp;M1610),'FIRE TEX 5062'!$B$4:$F$34,IF(L1610="F-15",2,IF(L1610="F-30",3,IF(L1610="F-60",4,IF(L1610="F-90",5,0)))),0),0)+IF(AND(O1610="FIRE TEX 5062",OR(E1610="IN",E1610="C",E1610="Z",E1610="L"),J1610=4),VLOOKUP(_xlfn.MINIFS('FIRE TEX 5062'!$G$4:$G$34,'FIRE TEX 5062'!$G$4:$G$34,"&gt;="&amp;M1610),'FIRE TEX 5062'!$G$4:$K$34,IF(L1610="F-15",2,IF(L1610="F-30",3,IF(L1610="F-60",4,IF(L1610="F-90",5,0)))),0),0)+IF(AND(O1610="FIRE TEX 5062",E1610="CJ",J1610=3),VLOOKUP(_xlfn.MINIFS('FIRE TEX 5062'!$L$4:$L$34,'FIRE TEX 5062'!$L$4:$L$34,"&gt;="&amp;M1610),'FIRE TEX 5062'!$L$4:$P$34,IF(L1610="F-15",2,IF(L1610="F-30",3,IF(L1610="F-60",4,IF(L1610="F-90",5,0)))),0),0)+IF(AND(O1610="FIRE TEX 5062",E1610="CJ",J1610=4),VLOOKUP(_xlfn.MINIFS('FIRE TEX 5062'!$Q$3:$Q$34,'FIRE TEX 5062'!$Q$3:$Q$34,"&gt;="&amp;M1610),'FIRE TEX 5062'!$Q$3:$U$34,IF(L1610="F-15",2,IF(L1610="F-30",3,IF(L1610="F-60",4,IF(L1610="F-90",5,0)))),0),0)+IF(AND(O1610="FIRE TEX 5090",OR(E1610="IN",E1610="C",E1610="Z",E1610="L"),J1610=3),VLOOKUP(_xlfn.MINIFS('FIRE TEX 5090'!$B$5:$B$43,'FIRE TEX 5090'!$B$5:$B$43,"&gt;="&amp;M1610),'FIRE TEX 5090'!$B$5:$H$43,IF(L1610="F-15",2,IF(L1610="F-30",3,IF(L1610="F-60",4,IF(L1610="F-90",5,IF(L1610="F-120",6,IF(L1610="F-150",7,0)))))),0),0)+IF(AND(O1610="FIRE TEX 5090",OR(E1610="IN",E1610="C",E1610="Z",E1610="L"),J1610=4),VLOOKUP(_xlfn.MINIFS('FIRE TEX 5090'!$J$5:$J$43,'FIRE TEX 5090'!$J$5:$J$43,"&gt;="&amp;M1610),'FIRE TEX 5090'!$J$5:$P$43,IF(L1610="F-15",2,IF(L1610="F-30",3,IF(L1610="F-60",4,IF(L1610="F-90",5,IF(L1610="F-120",6,IF(L1610="F-150",7,0)))))),0),0)+IF(AND(O1610="FIRE TEX 5090",E1610="CJ",J1610=3),VLOOKUP(_xlfn.MINIFS('FIRE TEX 5090'!$R$5:$R$30,'FIRE TEX 5090'!$R$5:$R$30,"&gt;="&amp;M1610),'FIRE TEX 5090'!$R$5:$W$30,IF(L1610="F-15",2,IF(L1610="F-30",3,IF(L1610="F-60",4,IF(L1610="F-90",5,IF(L1610="F-120",6,IF(L1610="F-150",7,0)))))),0),0)+IF(AND(O1610="FIRE TEX 5090",E1610="CJ",J1610=4),VLOOKUP(_xlfn.MINIFS('FIRE TEX 5090'!$Y$5:$Y$39,'FIRE TEX 5090'!$Y$5:$Y$39,"&gt;="&amp;M1610),'FIRE TEX 5090'!$Y$5:$AD$39,IF(L1610="F-15",2,IF(L1610="F-30",3,IF(L1610="F-60",4,IF(L1610="F-90",5,IF(L1610="F-120",6,IF(L1610="F-150",7,0)))))),0),0)+IF(AND(O1610="FIRE TEX 5120",OR(E1610="IN",E1610="C",E1610="Z",E1610="L"),J1610=3),VLOOKUP(_xlfn.MINIFS('FIRE TEX 5120'!$B$5:$B$40,'FIRE TEX 5120'!$B$5:$B$40,"&gt;="&amp;M1610),'FIRE TEX 5120'!$B$5:$G$40,IF(L1610="F-15",2,IF(L1610="F-30",3,IF(L1610="F-60",4,IF(L1610="F-90",5,IF(L1610="F-120",6,0))))),0),0)+IF(AND(O1610="FIRE TEX 5120",OR(E1610="IN",E1610="C",E1610="Z",E1610="L"),J1610=4),VLOOKUP(_xlfn.MINIFS('FIRE TEX 5120'!$H$4:$H$40,'FIRE TEX 5120'!$H$4:$H$40,"&gt;="&amp;M1610),'FIRE TEX 5120'!$H$4:$M$40,IF(L1610="F-15",2,IF(L1610="F-30",3,IF(L1610="F-60",4,IF(L1610="F-90",5,IF(L1610="F-120",6,0))))),0),0)+IF(AND(O1610="FIRE TEX 5120",E1610="CJ"),VLOOKUP(_xlfn.MINIFS('FIRE TEX 5120'!$O$5:$O$40,'FIRE TEX 5120'!$O$5:$O$40,"&gt;="&amp;M1610),'FIRE TEX 5120'!$O$5:$T$40,IF(L1610="F-15",2,IF(L1610="F-30",3,IF(L1610="F-60",4,IF(L1610="F-90",5,IF(L1610="F-120",6,0))))),0),0)</f>
        <v>0</v>
      </c>
      <c r="Q1610" s="46">
        <f t="shared" si="144"/>
        <v>0</v>
      </c>
      <c r="R1610" s="46">
        <f t="shared" si="145"/>
        <v>0</v>
      </c>
      <c r="S1610" s="46" t="e">
        <f t="shared" si="146"/>
        <v>#VALUE!</v>
      </c>
      <c r="T1610" s="677">
        <f t="shared" si="147"/>
        <v>0</v>
      </c>
      <c r="U1610" s="80">
        <f>(IF(O1610="Stofire",(S1610*#REF!),0))+(IF(O1610="Fire Control",(S1610*$U$2),0))+(IF(O1610="Fire Tex",(S1610*$U$3),0))+(IF(O1610="WB7",(S1610*#REF!),0)+(IF(O1610="FX 2003",(S1610*$U$5),0)))</f>
        <v>0</v>
      </c>
      <c r="V1610" s="651">
        <f t="shared" si="148"/>
        <v>0</v>
      </c>
    </row>
    <row r="1611" spans="4:22" x14ac:dyDescent="0.25">
      <c r="D1611" s="118">
        <f>+CUBICACION!D1610</f>
        <v>0</v>
      </c>
      <c r="E1611" s="118">
        <f>+CUBICACION!F1610</f>
        <v>0</v>
      </c>
      <c r="F1611" s="118">
        <f>+CUBICACION!E1610</f>
        <v>0</v>
      </c>
      <c r="G1611" s="118">
        <v>12</v>
      </c>
      <c r="H1611" s="118">
        <v>2</v>
      </c>
      <c r="I1611" s="820">
        <v>26385</v>
      </c>
      <c r="J1611" s="118">
        <f>+CUBICACION!J1610</f>
        <v>0</v>
      </c>
      <c r="K1611" s="118">
        <v>4390</v>
      </c>
      <c r="L1611" s="118">
        <f>+CUBICACION!L1610</f>
        <v>0</v>
      </c>
      <c r="M1611" s="64">
        <f>+CUBICACION!M1610</f>
        <v>0</v>
      </c>
      <c r="N1611" s="824" t="str">
        <f>+CUBICACION!N1610</f>
        <v/>
      </c>
      <c r="O1611" s="675">
        <f>+CUBICACION!O1610</f>
        <v>0</v>
      </c>
      <c r="P1611" s="15">
        <f>IF(O1611="Fire Control",VLOOKUP(_xlfn.MINIFS('FIRE CONTROL'!$C$4:$C$37,'FIRE CONTROL'!$C$4:$C$37,"&gt;="&amp;M1611),'FIRE CONTROL'!$C$4:$G$37,IF(L1611="F-15",2,IF(L1611="F-30",3,IF(L1611="F-60",4,IF(L1611="F-90",5,0)))),0),0)+IF(AND(O1611="FIRE TEX 5062",OR(E1611="IN",E1611="C",E1611="Z",E1611="L"),J1611=3),VLOOKUP(_xlfn.MINIFS('FIRE TEX 5062'!$B$4:$B$34,'FIRE TEX 5062'!$B$4:$B$34,"&gt;="&amp;M1611),'FIRE TEX 5062'!$B$4:$F$34,IF(L1611="F-15",2,IF(L1611="F-30",3,IF(L1611="F-60",4,IF(L1611="F-90",5,0)))),0),0)+IF(AND(O1611="FIRE TEX 5062",OR(E1611="IN",E1611="C",E1611="Z",E1611="L"),J1611=4),VLOOKUP(_xlfn.MINIFS('FIRE TEX 5062'!$G$4:$G$34,'FIRE TEX 5062'!$G$4:$G$34,"&gt;="&amp;M1611),'FIRE TEX 5062'!$G$4:$K$34,IF(L1611="F-15",2,IF(L1611="F-30",3,IF(L1611="F-60",4,IF(L1611="F-90",5,0)))),0),0)+IF(AND(O1611="FIRE TEX 5062",E1611="CJ",J1611=3),VLOOKUP(_xlfn.MINIFS('FIRE TEX 5062'!$L$4:$L$34,'FIRE TEX 5062'!$L$4:$L$34,"&gt;="&amp;M1611),'FIRE TEX 5062'!$L$4:$P$34,IF(L1611="F-15",2,IF(L1611="F-30",3,IF(L1611="F-60",4,IF(L1611="F-90",5,0)))),0),0)+IF(AND(O1611="FIRE TEX 5062",E1611="CJ",J1611=4),VLOOKUP(_xlfn.MINIFS('FIRE TEX 5062'!$Q$3:$Q$34,'FIRE TEX 5062'!$Q$3:$Q$34,"&gt;="&amp;M1611),'FIRE TEX 5062'!$Q$3:$U$34,IF(L1611="F-15",2,IF(L1611="F-30",3,IF(L1611="F-60",4,IF(L1611="F-90",5,0)))),0),0)+IF(AND(O1611="FIRE TEX 5090",OR(E1611="IN",E1611="C",E1611="Z",E1611="L"),J1611=3),VLOOKUP(_xlfn.MINIFS('FIRE TEX 5090'!$B$5:$B$43,'FIRE TEX 5090'!$B$5:$B$43,"&gt;="&amp;M1611),'FIRE TEX 5090'!$B$5:$H$43,IF(L1611="F-15",2,IF(L1611="F-30",3,IF(L1611="F-60",4,IF(L1611="F-90",5,IF(L1611="F-120",6,IF(L1611="F-150",7,0)))))),0),0)+IF(AND(O1611="FIRE TEX 5090",OR(E1611="IN",E1611="C",E1611="Z",E1611="L"),J1611=4),VLOOKUP(_xlfn.MINIFS('FIRE TEX 5090'!$J$5:$J$43,'FIRE TEX 5090'!$J$5:$J$43,"&gt;="&amp;M1611),'FIRE TEX 5090'!$J$5:$P$43,IF(L1611="F-15",2,IF(L1611="F-30",3,IF(L1611="F-60",4,IF(L1611="F-90",5,IF(L1611="F-120",6,IF(L1611="F-150",7,0)))))),0),0)+IF(AND(O1611="FIRE TEX 5090",E1611="CJ",J1611=3),VLOOKUP(_xlfn.MINIFS('FIRE TEX 5090'!$R$5:$R$30,'FIRE TEX 5090'!$R$5:$R$30,"&gt;="&amp;M1611),'FIRE TEX 5090'!$R$5:$W$30,IF(L1611="F-15",2,IF(L1611="F-30",3,IF(L1611="F-60",4,IF(L1611="F-90",5,IF(L1611="F-120",6,IF(L1611="F-150",7,0)))))),0),0)+IF(AND(O1611="FIRE TEX 5090",E1611="CJ",J1611=4),VLOOKUP(_xlfn.MINIFS('FIRE TEX 5090'!$Y$5:$Y$39,'FIRE TEX 5090'!$Y$5:$Y$39,"&gt;="&amp;M1611),'FIRE TEX 5090'!$Y$5:$AD$39,IF(L1611="F-15",2,IF(L1611="F-30",3,IF(L1611="F-60",4,IF(L1611="F-90",5,IF(L1611="F-120",6,IF(L1611="F-150",7,0)))))),0),0)+IF(AND(O1611="FIRE TEX 5120",OR(E1611="IN",E1611="C",E1611="Z",E1611="L"),J1611=3),VLOOKUP(_xlfn.MINIFS('FIRE TEX 5120'!$B$5:$B$40,'FIRE TEX 5120'!$B$5:$B$40,"&gt;="&amp;M1611),'FIRE TEX 5120'!$B$5:$G$40,IF(L1611="F-15",2,IF(L1611="F-30",3,IF(L1611="F-60",4,IF(L1611="F-90",5,IF(L1611="F-120",6,0))))),0),0)+IF(AND(O1611="FIRE TEX 5120",OR(E1611="IN",E1611="C",E1611="Z",E1611="L"),J1611=4),VLOOKUP(_xlfn.MINIFS('FIRE TEX 5120'!$H$4:$H$40,'FIRE TEX 5120'!$H$4:$H$40,"&gt;="&amp;M1611),'FIRE TEX 5120'!$H$4:$M$40,IF(L1611="F-15",2,IF(L1611="F-30",3,IF(L1611="F-60",4,IF(L1611="F-90",5,IF(L1611="F-120",6,0))))),0),0)+IF(AND(O1611="FIRE TEX 5120",E1611="CJ"),VLOOKUP(_xlfn.MINIFS('FIRE TEX 5120'!$O$5:$O$40,'FIRE TEX 5120'!$O$5:$O$40,"&gt;="&amp;M1611),'FIRE TEX 5120'!$O$5:$T$40,IF(L1611="F-15",2,IF(L1611="F-30",3,IF(L1611="F-60",4,IF(L1611="F-90",5,IF(L1611="F-120",6,0))))),0),0)</f>
        <v>0</v>
      </c>
      <c r="Q1611" s="46">
        <f t="shared" si="144"/>
        <v>0</v>
      </c>
      <c r="R1611" s="46">
        <f t="shared" si="145"/>
        <v>0</v>
      </c>
      <c r="S1611" s="46" t="e">
        <f t="shared" si="146"/>
        <v>#VALUE!</v>
      </c>
      <c r="T1611" s="677">
        <f t="shared" si="147"/>
        <v>0</v>
      </c>
      <c r="U1611" s="80">
        <f>(IF(O1611="Stofire",(S1611*#REF!),0))+(IF(O1611="Fire Control",(S1611*$U$2),0))+(IF(O1611="Fire Tex",(S1611*$U$3),0))+(IF(O1611="WB7",(S1611*#REF!),0)+(IF(O1611="FX 2003",(S1611*$U$5),0)))</f>
        <v>0</v>
      </c>
      <c r="V1611" s="651">
        <f t="shared" si="148"/>
        <v>0</v>
      </c>
    </row>
    <row r="1612" spans="4:22" x14ac:dyDescent="0.25">
      <c r="D1612" s="118">
        <f>+CUBICACION!D1611</f>
        <v>0</v>
      </c>
      <c r="E1612" s="118">
        <f>+CUBICACION!F1611</f>
        <v>0</v>
      </c>
      <c r="F1612" s="118">
        <f>+CUBICACION!E1611</f>
        <v>0</v>
      </c>
      <c r="G1612" s="118">
        <v>12</v>
      </c>
      <c r="H1612" s="118">
        <v>2</v>
      </c>
      <c r="I1612" s="820">
        <v>26385</v>
      </c>
      <c r="J1612" s="118">
        <f>+CUBICACION!J1611</f>
        <v>0</v>
      </c>
      <c r="K1612" s="118">
        <v>4391</v>
      </c>
      <c r="L1612" s="118">
        <f>+CUBICACION!L1611</f>
        <v>0</v>
      </c>
      <c r="M1612" s="64">
        <f>+CUBICACION!M1611</f>
        <v>0</v>
      </c>
      <c r="N1612" s="824" t="str">
        <f>+CUBICACION!N1611</f>
        <v/>
      </c>
      <c r="O1612" s="675">
        <f>+CUBICACION!O1611</f>
        <v>0</v>
      </c>
      <c r="P1612" s="15">
        <f>IF(O1612="Fire Control",VLOOKUP(_xlfn.MINIFS('FIRE CONTROL'!$C$4:$C$37,'FIRE CONTROL'!$C$4:$C$37,"&gt;="&amp;M1612),'FIRE CONTROL'!$C$4:$G$37,IF(L1612="F-15",2,IF(L1612="F-30",3,IF(L1612="F-60",4,IF(L1612="F-90",5,0)))),0),0)+IF(AND(O1612="FIRE TEX 5062",OR(E1612="IN",E1612="C",E1612="Z",E1612="L"),J1612=3),VLOOKUP(_xlfn.MINIFS('FIRE TEX 5062'!$B$4:$B$34,'FIRE TEX 5062'!$B$4:$B$34,"&gt;="&amp;M1612),'FIRE TEX 5062'!$B$4:$F$34,IF(L1612="F-15",2,IF(L1612="F-30",3,IF(L1612="F-60",4,IF(L1612="F-90",5,0)))),0),0)+IF(AND(O1612="FIRE TEX 5062",OR(E1612="IN",E1612="C",E1612="Z",E1612="L"),J1612=4),VLOOKUP(_xlfn.MINIFS('FIRE TEX 5062'!$G$4:$G$34,'FIRE TEX 5062'!$G$4:$G$34,"&gt;="&amp;M1612),'FIRE TEX 5062'!$G$4:$K$34,IF(L1612="F-15",2,IF(L1612="F-30",3,IF(L1612="F-60",4,IF(L1612="F-90",5,0)))),0),0)+IF(AND(O1612="FIRE TEX 5062",E1612="CJ",J1612=3),VLOOKUP(_xlfn.MINIFS('FIRE TEX 5062'!$L$4:$L$34,'FIRE TEX 5062'!$L$4:$L$34,"&gt;="&amp;M1612),'FIRE TEX 5062'!$L$4:$P$34,IF(L1612="F-15",2,IF(L1612="F-30",3,IF(L1612="F-60",4,IF(L1612="F-90",5,0)))),0),0)+IF(AND(O1612="FIRE TEX 5062",E1612="CJ",J1612=4),VLOOKUP(_xlfn.MINIFS('FIRE TEX 5062'!$Q$3:$Q$34,'FIRE TEX 5062'!$Q$3:$Q$34,"&gt;="&amp;M1612),'FIRE TEX 5062'!$Q$3:$U$34,IF(L1612="F-15",2,IF(L1612="F-30",3,IF(L1612="F-60",4,IF(L1612="F-90",5,0)))),0),0)+IF(AND(O1612="FIRE TEX 5090",OR(E1612="IN",E1612="C",E1612="Z",E1612="L"),J1612=3),VLOOKUP(_xlfn.MINIFS('FIRE TEX 5090'!$B$5:$B$43,'FIRE TEX 5090'!$B$5:$B$43,"&gt;="&amp;M1612),'FIRE TEX 5090'!$B$5:$H$43,IF(L1612="F-15",2,IF(L1612="F-30",3,IF(L1612="F-60",4,IF(L1612="F-90",5,IF(L1612="F-120",6,IF(L1612="F-150",7,0)))))),0),0)+IF(AND(O1612="FIRE TEX 5090",OR(E1612="IN",E1612="C",E1612="Z",E1612="L"),J1612=4),VLOOKUP(_xlfn.MINIFS('FIRE TEX 5090'!$J$5:$J$43,'FIRE TEX 5090'!$J$5:$J$43,"&gt;="&amp;M1612),'FIRE TEX 5090'!$J$5:$P$43,IF(L1612="F-15",2,IF(L1612="F-30",3,IF(L1612="F-60",4,IF(L1612="F-90",5,IF(L1612="F-120",6,IF(L1612="F-150",7,0)))))),0),0)+IF(AND(O1612="FIRE TEX 5090",E1612="CJ",J1612=3),VLOOKUP(_xlfn.MINIFS('FIRE TEX 5090'!$R$5:$R$30,'FIRE TEX 5090'!$R$5:$R$30,"&gt;="&amp;M1612),'FIRE TEX 5090'!$R$5:$W$30,IF(L1612="F-15",2,IF(L1612="F-30",3,IF(L1612="F-60",4,IF(L1612="F-90",5,IF(L1612="F-120",6,IF(L1612="F-150",7,0)))))),0),0)+IF(AND(O1612="FIRE TEX 5090",E1612="CJ",J1612=4),VLOOKUP(_xlfn.MINIFS('FIRE TEX 5090'!$Y$5:$Y$39,'FIRE TEX 5090'!$Y$5:$Y$39,"&gt;="&amp;M1612),'FIRE TEX 5090'!$Y$5:$AD$39,IF(L1612="F-15",2,IF(L1612="F-30",3,IF(L1612="F-60",4,IF(L1612="F-90",5,IF(L1612="F-120",6,IF(L1612="F-150",7,0)))))),0),0)+IF(AND(O1612="FIRE TEX 5120",OR(E1612="IN",E1612="C",E1612="Z",E1612="L"),J1612=3),VLOOKUP(_xlfn.MINIFS('FIRE TEX 5120'!$B$5:$B$40,'FIRE TEX 5120'!$B$5:$B$40,"&gt;="&amp;M1612),'FIRE TEX 5120'!$B$5:$G$40,IF(L1612="F-15",2,IF(L1612="F-30",3,IF(L1612="F-60",4,IF(L1612="F-90",5,IF(L1612="F-120",6,0))))),0),0)+IF(AND(O1612="FIRE TEX 5120",OR(E1612="IN",E1612="C",E1612="Z",E1612="L"),J1612=4),VLOOKUP(_xlfn.MINIFS('FIRE TEX 5120'!$H$4:$H$40,'FIRE TEX 5120'!$H$4:$H$40,"&gt;="&amp;M1612),'FIRE TEX 5120'!$H$4:$M$40,IF(L1612="F-15",2,IF(L1612="F-30",3,IF(L1612="F-60",4,IF(L1612="F-90",5,IF(L1612="F-120",6,0))))),0),0)+IF(AND(O1612="FIRE TEX 5120",E1612="CJ"),VLOOKUP(_xlfn.MINIFS('FIRE TEX 5120'!$O$5:$O$40,'FIRE TEX 5120'!$O$5:$O$40,"&gt;="&amp;M1612),'FIRE TEX 5120'!$O$5:$T$40,IF(L1612="F-15",2,IF(L1612="F-30",3,IF(L1612="F-60",4,IF(L1612="F-90",5,IF(L1612="F-120",6,0))))),0),0)</f>
        <v>0</v>
      </c>
      <c r="Q1612" s="46">
        <f t="shared" si="144"/>
        <v>0</v>
      </c>
      <c r="R1612" s="46">
        <f t="shared" si="145"/>
        <v>0</v>
      </c>
      <c r="S1612" s="46" t="e">
        <f t="shared" si="146"/>
        <v>#VALUE!</v>
      </c>
      <c r="T1612" s="677">
        <f t="shared" si="147"/>
        <v>0</v>
      </c>
      <c r="U1612" s="80">
        <f>(IF(O1612="Stofire",(S1612*#REF!),0))+(IF(O1612="Fire Control",(S1612*$U$2),0))+(IF(O1612="Fire Tex",(S1612*$U$3),0))+(IF(O1612="WB7",(S1612*#REF!),0)+(IF(O1612="FX 2003",(S1612*$U$5),0)))</f>
        <v>0</v>
      </c>
      <c r="V1612" s="651">
        <f t="shared" si="148"/>
        <v>0</v>
      </c>
    </row>
    <row r="1613" spans="4:22" x14ac:dyDescent="0.25">
      <c r="D1613" s="118">
        <f>+CUBICACION!D1612</f>
        <v>0</v>
      </c>
      <c r="E1613" s="118">
        <f>+CUBICACION!F1612</f>
        <v>0</v>
      </c>
      <c r="F1613" s="118">
        <f>+CUBICACION!E1612</f>
        <v>0</v>
      </c>
      <c r="G1613" s="118">
        <v>12</v>
      </c>
      <c r="H1613" s="118">
        <v>2</v>
      </c>
      <c r="I1613" s="820">
        <v>26385</v>
      </c>
      <c r="J1613" s="118">
        <f>+CUBICACION!J1612</f>
        <v>0</v>
      </c>
      <c r="K1613" s="118">
        <v>4392</v>
      </c>
      <c r="L1613" s="118">
        <f>+CUBICACION!L1612</f>
        <v>0</v>
      </c>
      <c r="M1613" s="64">
        <f>+CUBICACION!M1612</f>
        <v>0</v>
      </c>
      <c r="N1613" s="824" t="str">
        <f>+CUBICACION!N1612</f>
        <v/>
      </c>
      <c r="O1613" s="675">
        <f>+CUBICACION!O1612</f>
        <v>0</v>
      </c>
      <c r="P1613" s="15">
        <f>IF(O1613="Fire Control",VLOOKUP(_xlfn.MINIFS('FIRE CONTROL'!$C$4:$C$37,'FIRE CONTROL'!$C$4:$C$37,"&gt;="&amp;M1613),'FIRE CONTROL'!$C$4:$G$37,IF(L1613="F-15",2,IF(L1613="F-30",3,IF(L1613="F-60",4,IF(L1613="F-90",5,0)))),0),0)+IF(AND(O1613="FIRE TEX 5062",OR(E1613="IN",E1613="C",E1613="Z",E1613="L"),J1613=3),VLOOKUP(_xlfn.MINIFS('FIRE TEX 5062'!$B$4:$B$34,'FIRE TEX 5062'!$B$4:$B$34,"&gt;="&amp;M1613),'FIRE TEX 5062'!$B$4:$F$34,IF(L1613="F-15",2,IF(L1613="F-30",3,IF(L1613="F-60",4,IF(L1613="F-90",5,0)))),0),0)+IF(AND(O1613="FIRE TEX 5062",OR(E1613="IN",E1613="C",E1613="Z",E1613="L"),J1613=4),VLOOKUP(_xlfn.MINIFS('FIRE TEX 5062'!$G$4:$G$34,'FIRE TEX 5062'!$G$4:$G$34,"&gt;="&amp;M1613),'FIRE TEX 5062'!$G$4:$K$34,IF(L1613="F-15",2,IF(L1613="F-30",3,IF(L1613="F-60",4,IF(L1613="F-90",5,0)))),0),0)+IF(AND(O1613="FIRE TEX 5062",E1613="CJ",J1613=3),VLOOKUP(_xlfn.MINIFS('FIRE TEX 5062'!$L$4:$L$34,'FIRE TEX 5062'!$L$4:$L$34,"&gt;="&amp;M1613),'FIRE TEX 5062'!$L$4:$P$34,IF(L1613="F-15",2,IF(L1613="F-30",3,IF(L1613="F-60",4,IF(L1613="F-90",5,0)))),0),0)+IF(AND(O1613="FIRE TEX 5062",E1613="CJ",J1613=4),VLOOKUP(_xlfn.MINIFS('FIRE TEX 5062'!$Q$3:$Q$34,'FIRE TEX 5062'!$Q$3:$Q$34,"&gt;="&amp;M1613),'FIRE TEX 5062'!$Q$3:$U$34,IF(L1613="F-15",2,IF(L1613="F-30",3,IF(L1613="F-60",4,IF(L1613="F-90",5,0)))),0),0)+IF(AND(O1613="FIRE TEX 5090",OR(E1613="IN",E1613="C",E1613="Z",E1613="L"),J1613=3),VLOOKUP(_xlfn.MINIFS('FIRE TEX 5090'!$B$5:$B$43,'FIRE TEX 5090'!$B$5:$B$43,"&gt;="&amp;M1613),'FIRE TEX 5090'!$B$5:$H$43,IF(L1613="F-15",2,IF(L1613="F-30",3,IF(L1613="F-60",4,IF(L1613="F-90",5,IF(L1613="F-120",6,IF(L1613="F-150",7,0)))))),0),0)+IF(AND(O1613="FIRE TEX 5090",OR(E1613="IN",E1613="C",E1613="Z",E1613="L"),J1613=4),VLOOKUP(_xlfn.MINIFS('FIRE TEX 5090'!$J$5:$J$43,'FIRE TEX 5090'!$J$5:$J$43,"&gt;="&amp;M1613),'FIRE TEX 5090'!$J$5:$P$43,IF(L1613="F-15",2,IF(L1613="F-30",3,IF(L1613="F-60",4,IF(L1613="F-90",5,IF(L1613="F-120",6,IF(L1613="F-150",7,0)))))),0),0)+IF(AND(O1613="FIRE TEX 5090",E1613="CJ",J1613=3),VLOOKUP(_xlfn.MINIFS('FIRE TEX 5090'!$R$5:$R$30,'FIRE TEX 5090'!$R$5:$R$30,"&gt;="&amp;M1613),'FIRE TEX 5090'!$R$5:$W$30,IF(L1613="F-15",2,IF(L1613="F-30",3,IF(L1613="F-60",4,IF(L1613="F-90",5,IF(L1613="F-120",6,IF(L1613="F-150",7,0)))))),0),0)+IF(AND(O1613="FIRE TEX 5090",E1613="CJ",J1613=4),VLOOKUP(_xlfn.MINIFS('FIRE TEX 5090'!$Y$5:$Y$39,'FIRE TEX 5090'!$Y$5:$Y$39,"&gt;="&amp;M1613),'FIRE TEX 5090'!$Y$5:$AD$39,IF(L1613="F-15",2,IF(L1613="F-30",3,IF(L1613="F-60",4,IF(L1613="F-90",5,IF(L1613="F-120",6,IF(L1613="F-150",7,0)))))),0),0)+IF(AND(O1613="FIRE TEX 5120",OR(E1613="IN",E1613="C",E1613="Z",E1613="L"),J1613=3),VLOOKUP(_xlfn.MINIFS('FIRE TEX 5120'!$B$5:$B$40,'FIRE TEX 5120'!$B$5:$B$40,"&gt;="&amp;M1613),'FIRE TEX 5120'!$B$5:$G$40,IF(L1613="F-15",2,IF(L1613="F-30",3,IF(L1613="F-60",4,IF(L1613="F-90",5,IF(L1613="F-120",6,0))))),0),0)+IF(AND(O1613="FIRE TEX 5120",OR(E1613="IN",E1613="C",E1613="Z",E1613="L"),J1613=4),VLOOKUP(_xlfn.MINIFS('FIRE TEX 5120'!$H$4:$H$40,'FIRE TEX 5120'!$H$4:$H$40,"&gt;="&amp;M1613),'FIRE TEX 5120'!$H$4:$M$40,IF(L1613="F-15",2,IF(L1613="F-30",3,IF(L1613="F-60",4,IF(L1613="F-90",5,IF(L1613="F-120",6,0))))),0),0)+IF(AND(O1613="FIRE TEX 5120",E1613="CJ"),VLOOKUP(_xlfn.MINIFS('FIRE TEX 5120'!$O$5:$O$40,'FIRE TEX 5120'!$O$5:$O$40,"&gt;="&amp;M1613),'FIRE TEX 5120'!$O$5:$T$40,IF(L1613="F-15",2,IF(L1613="F-30",3,IF(L1613="F-60",4,IF(L1613="F-90",5,IF(L1613="F-120",6,0))))),0),0)</f>
        <v>0</v>
      </c>
      <c r="Q1613" s="46">
        <f t="shared" si="144"/>
        <v>0</v>
      </c>
      <c r="R1613" s="46">
        <f t="shared" si="145"/>
        <v>0</v>
      </c>
      <c r="S1613" s="46" t="e">
        <f t="shared" si="146"/>
        <v>#VALUE!</v>
      </c>
      <c r="T1613" s="677">
        <f t="shared" si="147"/>
        <v>0</v>
      </c>
      <c r="U1613" s="80">
        <f>(IF(O1613="Stofire",(S1613*#REF!),0))+(IF(O1613="Fire Control",(S1613*$U$2),0))+(IF(O1613="Fire Tex",(S1613*$U$3),0))+(IF(O1613="WB7",(S1613*#REF!),0)+(IF(O1613="FX 2003",(S1613*$U$5),0)))</f>
        <v>0</v>
      </c>
      <c r="V1613" s="651">
        <f t="shared" si="148"/>
        <v>0</v>
      </c>
    </row>
    <row r="1614" spans="4:22" x14ac:dyDescent="0.25">
      <c r="D1614" s="118">
        <f>+CUBICACION!D1613</f>
        <v>0</v>
      </c>
      <c r="E1614" s="118">
        <f>+CUBICACION!F1613</f>
        <v>0</v>
      </c>
      <c r="F1614" s="118">
        <f>+CUBICACION!E1613</f>
        <v>0</v>
      </c>
      <c r="G1614" s="118">
        <v>12</v>
      </c>
      <c r="H1614" s="118">
        <v>2</v>
      </c>
      <c r="I1614" s="820">
        <v>26385</v>
      </c>
      <c r="J1614" s="118">
        <f>+CUBICACION!J1613</f>
        <v>0</v>
      </c>
      <c r="K1614" s="118">
        <v>4393</v>
      </c>
      <c r="L1614" s="118">
        <f>+CUBICACION!L1613</f>
        <v>0</v>
      </c>
      <c r="M1614" s="64">
        <f>+CUBICACION!M1613</f>
        <v>0</v>
      </c>
      <c r="N1614" s="824" t="str">
        <f>+CUBICACION!N1613</f>
        <v/>
      </c>
      <c r="O1614" s="675">
        <f>+CUBICACION!O1613</f>
        <v>0</v>
      </c>
      <c r="P1614" s="15">
        <f>IF(O1614="Fire Control",VLOOKUP(_xlfn.MINIFS('FIRE CONTROL'!$C$4:$C$37,'FIRE CONTROL'!$C$4:$C$37,"&gt;="&amp;M1614),'FIRE CONTROL'!$C$4:$G$37,IF(L1614="F-15",2,IF(L1614="F-30",3,IF(L1614="F-60",4,IF(L1614="F-90",5,0)))),0),0)+IF(AND(O1614="FIRE TEX 5062",OR(E1614="IN",E1614="C",E1614="Z",E1614="L"),J1614=3),VLOOKUP(_xlfn.MINIFS('FIRE TEX 5062'!$B$4:$B$34,'FIRE TEX 5062'!$B$4:$B$34,"&gt;="&amp;M1614),'FIRE TEX 5062'!$B$4:$F$34,IF(L1614="F-15",2,IF(L1614="F-30",3,IF(L1614="F-60",4,IF(L1614="F-90",5,0)))),0),0)+IF(AND(O1614="FIRE TEX 5062",OR(E1614="IN",E1614="C",E1614="Z",E1614="L"),J1614=4),VLOOKUP(_xlfn.MINIFS('FIRE TEX 5062'!$G$4:$G$34,'FIRE TEX 5062'!$G$4:$G$34,"&gt;="&amp;M1614),'FIRE TEX 5062'!$G$4:$K$34,IF(L1614="F-15",2,IF(L1614="F-30",3,IF(L1614="F-60",4,IF(L1614="F-90",5,0)))),0),0)+IF(AND(O1614="FIRE TEX 5062",E1614="CJ",J1614=3),VLOOKUP(_xlfn.MINIFS('FIRE TEX 5062'!$L$4:$L$34,'FIRE TEX 5062'!$L$4:$L$34,"&gt;="&amp;M1614),'FIRE TEX 5062'!$L$4:$P$34,IF(L1614="F-15",2,IF(L1614="F-30",3,IF(L1614="F-60",4,IF(L1614="F-90",5,0)))),0),0)+IF(AND(O1614="FIRE TEX 5062",E1614="CJ",J1614=4),VLOOKUP(_xlfn.MINIFS('FIRE TEX 5062'!$Q$3:$Q$34,'FIRE TEX 5062'!$Q$3:$Q$34,"&gt;="&amp;M1614),'FIRE TEX 5062'!$Q$3:$U$34,IF(L1614="F-15",2,IF(L1614="F-30",3,IF(L1614="F-60",4,IF(L1614="F-90",5,0)))),0),0)+IF(AND(O1614="FIRE TEX 5090",OR(E1614="IN",E1614="C",E1614="Z",E1614="L"),J1614=3),VLOOKUP(_xlfn.MINIFS('FIRE TEX 5090'!$B$5:$B$43,'FIRE TEX 5090'!$B$5:$B$43,"&gt;="&amp;M1614),'FIRE TEX 5090'!$B$5:$H$43,IF(L1614="F-15",2,IF(L1614="F-30",3,IF(L1614="F-60",4,IF(L1614="F-90",5,IF(L1614="F-120",6,IF(L1614="F-150",7,0)))))),0),0)+IF(AND(O1614="FIRE TEX 5090",OR(E1614="IN",E1614="C",E1614="Z",E1614="L"),J1614=4),VLOOKUP(_xlfn.MINIFS('FIRE TEX 5090'!$J$5:$J$43,'FIRE TEX 5090'!$J$5:$J$43,"&gt;="&amp;M1614),'FIRE TEX 5090'!$J$5:$P$43,IF(L1614="F-15",2,IF(L1614="F-30",3,IF(L1614="F-60",4,IF(L1614="F-90",5,IF(L1614="F-120",6,IF(L1614="F-150",7,0)))))),0),0)+IF(AND(O1614="FIRE TEX 5090",E1614="CJ",J1614=3),VLOOKUP(_xlfn.MINIFS('FIRE TEX 5090'!$R$5:$R$30,'FIRE TEX 5090'!$R$5:$R$30,"&gt;="&amp;M1614),'FIRE TEX 5090'!$R$5:$W$30,IF(L1614="F-15",2,IF(L1614="F-30",3,IF(L1614="F-60",4,IF(L1614="F-90",5,IF(L1614="F-120",6,IF(L1614="F-150",7,0)))))),0),0)+IF(AND(O1614="FIRE TEX 5090",E1614="CJ",J1614=4),VLOOKUP(_xlfn.MINIFS('FIRE TEX 5090'!$Y$5:$Y$39,'FIRE TEX 5090'!$Y$5:$Y$39,"&gt;="&amp;M1614),'FIRE TEX 5090'!$Y$5:$AD$39,IF(L1614="F-15",2,IF(L1614="F-30",3,IF(L1614="F-60",4,IF(L1614="F-90",5,IF(L1614="F-120",6,IF(L1614="F-150",7,0)))))),0),0)+IF(AND(O1614="FIRE TEX 5120",OR(E1614="IN",E1614="C",E1614="Z",E1614="L"),J1614=3),VLOOKUP(_xlfn.MINIFS('FIRE TEX 5120'!$B$5:$B$40,'FIRE TEX 5120'!$B$5:$B$40,"&gt;="&amp;M1614),'FIRE TEX 5120'!$B$5:$G$40,IF(L1614="F-15",2,IF(L1614="F-30",3,IF(L1614="F-60",4,IF(L1614="F-90",5,IF(L1614="F-120",6,0))))),0),0)+IF(AND(O1614="FIRE TEX 5120",OR(E1614="IN",E1614="C",E1614="Z",E1614="L"),J1614=4),VLOOKUP(_xlfn.MINIFS('FIRE TEX 5120'!$H$4:$H$40,'FIRE TEX 5120'!$H$4:$H$40,"&gt;="&amp;M1614),'FIRE TEX 5120'!$H$4:$M$40,IF(L1614="F-15",2,IF(L1614="F-30",3,IF(L1614="F-60",4,IF(L1614="F-90",5,IF(L1614="F-120",6,0))))),0),0)+IF(AND(O1614="FIRE TEX 5120",E1614="CJ"),VLOOKUP(_xlfn.MINIFS('FIRE TEX 5120'!$O$5:$O$40,'FIRE TEX 5120'!$O$5:$O$40,"&gt;="&amp;M1614),'FIRE TEX 5120'!$O$5:$T$40,IF(L1614="F-15",2,IF(L1614="F-30",3,IF(L1614="F-60",4,IF(L1614="F-90",5,IF(L1614="F-120",6,0))))),0),0)</f>
        <v>0</v>
      </c>
      <c r="Q1614" s="46">
        <f t="shared" si="144"/>
        <v>0</v>
      </c>
      <c r="R1614" s="46">
        <f t="shared" si="145"/>
        <v>0</v>
      </c>
      <c r="S1614" s="46" t="e">
        <f t="shared" si="146"/>
        <v>#VALUE!</v>
      </c>
      <c r="T1614" s="677">
        <f t="shared" si="147"/>
        <v>0</v>
      </c>
      <c r="U1614" s="80">
        <f>(IF(O1614="Stofire",(S1614*#REF!),0))+(IF(O1614="Fire Control",(S1614*$U$2),0))+(IF(O1614="Fire Tex",(S1614*$U$3),0))+(IF(O1614="WB7",(S1614*#REF!),0)+(IF(O1614="FX 2003",(S1614*$U$5),0)))</f>
        <v>0</v>
      </c>
      <c r="V1614" s="651">
        <f t="shared" si="148"/>
        <v>0</v>
      </c>
    </row>
    <row r="1615" spans="4:22" x14ac:dyDescent="0.25">
      <c r="D1615" s="118">
        <f>+CUBICACION!D1614</f>
        <v>0</v>
      </c>
      <c r="E1615" s="118">
        <f>+CUBICACION!F1614</f>
        <v>0</v>
      </c>
      <c r="F1615" s="118">
        <f>+CUBICACION!E1614</f>
        <v>0</v>
      </c>
      <c r="G1615" s="118">
        <v>12</v>
      </c>
      <c r="H1615" s="118">
        <v>2</v>
      </c>
      <c r="I1615" s="820">
        <v>26385</v>
      </c>
      <c r="J1615" s="118">
        <f>+CUBICACION!J1614</f>
        <v>0</v>
      </c>
      <c r="K1615" s="118">
        <v>4394</v>
      </c>
      <c r="L1615" s="118">
        <f>+CUBICACION!L1614</f>
        <v>0</v>
      </c>
      <c r="M1615" s="64">
        <f>+CUBICACION!M1614</f>
        <v>0</v>
      </c>
      <c r="N1615" s="824" t="str">
        <f>+CUBICACION!N1614</f>
        <v/>
      </c>
      <c r="O1615" s="675">
        <f>+CUBICACION!O1614</f>
        <v>0</v>
      </c>
      <c r="P1615" s="15">
        <f>IF(O1615="Fire Control",VLOOKUP(_xlfn.MINIFS('FIRE CONTROL'!$C$4:$C$37,'FIRE CONTROL'!$C$4:$C$37,"&gt;="&amp;M1615),'FIRE CONTROL'!$C$4:$G$37,IF(L1615="F-15",2,IF(L1615="F-30",3,IF(L1615="F-60",4,IF(L1615="F-90",5,0)))),0),0)+IF(AND(O1615="FIRE TEX 5062",OR(E1615="IN",E1615="C",E1615="Z",E1615="L"),J1615=3),VLOOKUP(_xlfn.MINIFS('FIRE TEX 5062'!$B$4:$B$34,'FIRE TEX 5062'!$B$4:$B$34,"&gt;="&amp;M1615),'FIRE TEX 5062'!$B$4:$F$34,IF(L1615="F-15",2,IF(L1615="F-30",3,IF(L1615="F-60",4,IF(L1615="F-90",5,0)))),0),0)+IF(AND(O1615="FIRE TEX 5062",OR(E1615="IN",E1615="C",E1615="Z",E1615="L"),J1615=4),VLOOKUP(_xlfn.MINIFS('FIRE TEX 5062'!$G$4:$G$34,'FIRE TEX 5062'!$G$4:$G$34,"&gt;="&amp;M1615),'FIRE TEX 5062'!$G$4:$K$34,IF(L1615="F-15",2,IF(L1615="F-30",3,IF(L1615="F-60",4,IF(L1615="F-90",5,0)))),0),0)+IF(AND(O1615="FIRE TEX 5062",E1615="CJ",J1615=3),VLOOKUP(_xlfn.MINIFS('FIRE TEX 5062'!$L$4:$L$34,'FIRE TEX 5062'!$L$4:$L$34,"&gt;="&amp;M1615),'FIRE TEX 5062'!$L$4:$P$34,IF(L1615="F-15",2,IF(L1615="F-30",3,IF(L1615="F-60",4,IF(L1615="F-90",5,0)))),0),0)+IF(AND(O1615="FIRE TEX 5062",E1615="CJ",J1615=4),VLOOKUP(_xlfn.MINIFS('FIRE TEX 5062'!$Q$3:$Q$34,'FIRE TEX 5062'!$Q$3:$Q$34,"&gt;="&amp;M1615),'FIRE TEX 5062'!$Q$3:$U$34,IF(L1615="F-15",2,IF(L1615="F-30",3,IF(L1615="F-60",4,IF(L1615="F-90",5,0)))),0),0)+IF(AND(O1615="FIRE TEX 5090",OR(E1615="IN",E1615="C",E1615="Z",E1615="L"),J1615=3),VLOOKUP(_xlfn.MINIFS('FIRE TEX 5090'!$B$5:$B$43,'FIRE TEX 5090'!$B$5:$B$43,"&gt;="&amp;M1615),'FIRE TEX 5090'!$B$5:$H$43,IF(L1615="F-15",2,IF(L1615="F-30",3,IF(L1615="F-60",4,IF(L1615="F-90",5,IF(L1615="F-120",6,IF(L1615="F-150",7,0)))))),0),0)+IF(AND(O1615="FIRE TEX 5090",OR(E1615="IN",E1615="C",E1615="Z",E1615="L"),J1615=4),VLOOKUP(_xlfn.MINIFS('FIRE TEX 5090'!$J$5:$J$43,'FIRE TEX 5090'!$J$5:$J$43,"&gt;="&amp;M1615),'FIRE TEX 5090'!$J$5:$P$43,IF(L1615="F-15",2,IF(L1615="F-30",3,IF(L1615="F-60",4,IF(L1615="F-90",5,IF(L1615="F-120",6,IF(L1615="F-150",7,0)))))),0),0)+IF(AND(O1615="FIRE TEX 5090",E1615="CJ",J1615=3),VLOOKUP(_xlfn.MINIFS('FIRE TEX 5090'!$R$5:$R$30,'FIRE TEX 5090'!$R$5:$R$30,"&gt;="&amp;M1615),'FIRE TEX 5090'!$R$5:$W$30,IF(L1615="F-15",2,IF(L1615="F-30",3,IF(L1615="F-60",4,IF(L1615="F-90",5,IF(L1615="F-120",6,IF(L1615="F-150",7,0)))))),0),0)+IF(AND(O1615="FIRE TEX 5090",E1615="CJ",J1615=4),VLOOKUP(_xlfn.MINIFS('FIRE TEX 5090'!$Y$5:$Y$39,'FIRE TEX 5090'!$Y$5:$Y$39,"&gt;="&amp;M1615),'FIRE TEX 5090'!$Y$5:$AD$39,IF(L1615="F-15",2,IF(L1615="F-30",3,IF(L1615="F-60",4,IF(L1615="F-90",5,IF(L1615="F-120",6,IF(L1615="F-150",7,0)))))),0),0)+IF(AND(O1615="FIRE TEX 5120",OR(E1615="IN",E1615="C",E1615="Z",E1615="L"),J1615=3),VLOOKUP(_xlfn.MINIFS('FIRE TEX 5120'!$B$5:$B$40,'FIRE TEX 5120'!$B$5:$B$40,"&gt;="&amp;M1615),'FIRE TEX 5120'!$B$5:$G$40,IF(L1615="F-15",2,IF(L1615="F-30",3,IF(L1615="F-60",4,IF(L1615="F-90",5,IF(L1615="F-120",6,0))))),0),0)+IF(AND(O1615="FIRE TEX 5120",OR(E1615="IN",E1615="C",E1615="Z",E1615="L"),J1615=4),VLOOKUP(_xlfn.MINIFS('FIRE TEX 5120'!$H$4:$H$40,'FIRE TEX 5120'!$H$4:$H$40,"&gt;="&amp;M1615),'FIRE TEX 5120'!$H$4:$M$40,IF(L1615="F-15",2,IF(L1615="F-30",3,IF(L1615="F-60",4,IF(L1615="F-90",5,IF(L1615="F-120",6,0))))),0),0)+IF(AND(O1615="FIRE TEX 5120",E1615="CJ"),VLOOKUP(_xlfn.MINIFS('FIRE TEX 5120'!$O$5:$O$40,'FIRE TEX 5120'!$O$5:$O$40,"&gt;="&amp;M1615),'FIRE TEX 5120'!$O$5:$T$40,IF(L1615="F-15",2,IF(L1615="F-30",3,IF(L1615="F-60",4,IF(L1615="F-90",5,IF(L1615="F-120",6,0))))),0),0)</f>
        <v>0</v>
      </c>
      <c r="Q1615" s="46">
        <f t="shared" si="144"/>
        <v>0</v>
      </c>
      <c r="R1615" s="46">
        <f t="shared" si="145"/>
        <v>0</v>
      </c>
      <c r="S1615" s="46" t="e">
        <f t="shared" si="146"/>
        <v>#VALUE!</v>
      </c>
      <c r="T1615" s="677">
        <f t="shared" si="147"/>
        <v>0</v>
      </c>
      <c r="U1615" s="80">
        <f>(IF(O1615="Stofire",(S1615*#REF!),0))+(IF(O1615="Fire Control",(S1615*$U$2),0))+(IF(O1615="Fire Tex",(S1615*$U$3),0))+(IF(O1615="WB7",(S1615*#REF!),0)+(IF(O1615="FX 2003",(S1615*$U$5),0)))</f>
        <v>0</v>
      </c>
      <c r="V1615" s="651">
        <f t="shared" si="148"/>
        <v>0</v>
      </c>
    </row>
    <row r="1616" spans="4:22" x14ac:dyDescent="0.25">
      <c r="D1616" s="118">
        <f>+CUBICACION!D1615</f>
        <v>0</v>
      </c>
      <c r="E1616" s="118">
        <f>+CUBICACION!F1615</f>
        <v>0</v>
      </c>
      <c r="F1616" s="118">
        <f>+CUBICACION!E1615</f>
        <v>0</v>
      </c>
      <c r="G1616" s="118">
        <v>12</v>
      </c>
      <c r="H1616" s="118">
        <v>2</v>
      </c>
      <c r="I1616" s="820">
        <v>26385</v>
      </c>
      <c r="J1616" s="118">
        <f>+CUBICACION!J1615</f>
        <v>0</v>
      </c>
      <c r="K1616" s="118">
        <v>4395</v>
      </c>
      <c r="L1616" s="118">
        <f>+CUBICACION!L1615</f>
        <v>0</v>
      </c>
      <c r="M1616" s="64">
        <f>+CUBICACION!M1615</f>
        <v>0</v>
      </c>
      <c r="N1616" s="824" t="str">
        <f>+CUBICACION!N1615</f>
        <v/>
      </c>
      <c r="O1616" s="675">
        <f>+CUBICACION!O1615</f>
        <v>0</v>
      </c>
      <c r="P1616" s="15">
        <f>IF(O1616="Fire Control",VLOOKUP(_xlfn.MINIFS('FIRE CONTROL'!$C$4:$C$37,'FIRE CONTROL'!$C$4:$C$37,"&gt;="&amp;M1616),'FIRE CONTROL'!$C$4:$G$37,IF(L1616="F-15",2,IF(L1616="F-30",3,IF(L1616="F-60",4,IF(L1616="F-90",5,0)))),0),0)+IF(AND(O1616="FIRE TEX 5062",OR(E1616="IN",E1616="C",E1616="Z",E1616="L"),J1616=3),VLOOKUP(_xlfn.MINIFS('FIRE TEX 5062'!$B$4:$B$34,'FIRE TEX 5062'!$B$4:$B$34,"&gt;="&amp;M1616),'FIRE TEX 5062'!$B$4:$F$34,IF(L1616="F-15",2,IF(L1616="F-30",3,IF(L1616="F-60",4,IF(L1616="F-90",5,0)))),0),0)+IF(AND(O1616="FIRE TEX 5062",OR(E1616="IN",E1616="C",E1616="Z",E1616="L"),J1616=4),VLOOKUP(_xlfn.MINIFS('FIRE TEX 5062'!$G$4:$G$34,'FIRE TEX 5062'!$G$4:$G$34,"&gt;="&amp;M1616),'FIRE TEX 5062'!$G$4:$K$34,IF(L1616="F-15",2,IF(L1616="F-30",3,IF(L1616="F-60",4,IF(L1616="F-90",5,0)))),0),0)+IF(AND(O1616="FIRE TEX 5062",E1616="CJ",J1616=3),VLOOKUP(_xlfn.MINIFS('FIRE TEX 5062'!$L$4:$L$34,'FIRE TEX 5062'!$L$4:$L$34,"&gt;="&amp;M1616),'FIRE TEX 5062'!$L$4:$P$34,IF(L1616="F-15",2,IF(L1616="F-30",3,IF(L1616="F-60",4,IF(L1616="F-90",5,0)))),0),0)+IF(AND(O1616="FIRE TEX 5062",E1616="CJ",J1616=4),VLOOKUP(_xlfn.MINIFS('FIRE TEX 5062'!$Q$3:$Q$34,'FIRE TEX 5062'!$Q$3:$Q$34,"&gt;="&amp;M1616),'FIRE TEX 5062'!$Q$3:$U$34,IF(L1616="F-15",2,IF(L1616="F-30",3,IF(L1616="F-60",4,IF(L1616="F-90",5,0)))),0),0)+IF(AND(O1616="FIRE TEX 5090",OR(E1616="IN",E1616="C",E1616="Z",E1616="L"),J1616=3),VLOOKUP(_xlfn.MINIFS('FIRE TEX 5090'!$B$5:$B$43,'FIRE TEX 5090'!$B$5:$B$43,"&gt;="&amp;M1616),'FIRE TEX 5090'!$B$5:$H$43,IF(L1616="F-15",2,IF(L1616="F-30",3,IF(L1616="F-60",4,IF(L1616="F-90",5,IF(L1616="F-120",6,IF(L1616="F-150",7,0)))))),0),0)+IF(AND(O1616="FIRE TEX 5090",OR(E1616="IN",E1616="C",E1616="Z",E1616="L"),J1616=4),VLOOKUP(_xlfn.MINIFS('FIRE TEX 5090'!$J$5:$J$43,'FIRE TEX 5090'!$J$5:$J$43,"&gt;="&amp;M1616),'FIRE TEX 5090'!$J$5:$P$43,IF(L1616="F-15",2,IF(L1616="F-30",3,IF(L1616="F-60",4,IF(L1616="F-90",5,IF(L1616="F-120",6,IF(L1616="F-150",7,0)))))),0),0)+IF(AND(O1616="FIRE TEX 5090",E1616="CJ",J1616=3),VLOOKUP(_xlfn.MINIFS('FIRE TEX 5090'!$R$5:$R$30,'FIRE TEX 5090'!$R$5:$R$30,"&gt;="&amp;M1616),'FIRE TEX 5090'!$R$5:$W$30,IF(L1616="F-15",2,IF(L1616="F-30",3,IF(L1616="F-60",4,IF(L1616="F-90",5,IF(L1616="F-120",6,IF(L1616="F-150",7,0)))))),0),0)+IF(AND(O1616="FIRE TEX 5090",E1616="CJ",J1616=4),VLOOKUP(_xlfn.MINIFS('FIRE TEX 5090'!$Y$5:$Y$39,'FIRE TEX 5090'!$Y$5:$Y$39,"&gt;="&amp;M1616),'FIRE TEX 5090'!$Y$5:$AD$39,IF(L1616="F-15",2,IF(L1616="F-30",3,IF(L1616="F-60",4,IF(L1616="F-90",5,IF(L1616="F-120",6,IF(L1616="F-150",7,0)))))),0),0)+IF(AND(O1616="FIRE TEX 5120",OR(E1616="IN",E1616="C",E1616="Z",E1616="L"),J1616=3),VLOOKUP(_xlfn.MINIFS('FIRE TEX 5120'!$B$5:$B$40,'FIRE TEX 5120'!$B$5:$B$40,"&gt;="&amp;M1616),'FIRE TEX 5120'!$B$5:$G$40,IF(L1616="F-15",2,IF(L1616="F-30",3,IF(L1616="F-60",4,IF(L1616="F-90",5,IF(L1616="F-120",6,0))))),0),0)+IF(AND(O1616="FIRE TEX 5120",OR(E1616="IN",E1616="C",E1616="Z",E1616="L"),J1616=4),VLOOKUP(_xlfn.MINIFS('FIRE TEX 5120'!$H$4:$H$40,'FIRE TEX 5120'!$H$4:$H$40,"&gt;="&amp;M1616),'FIRE TEX 5120'!$H$4:$M$40,IF(L1616="F-15",2,IF(L1616="F-30",3,IF(L1616="F-60",4,IF(L1616="F-90",5,IF(L1616="F-120",6,0))))),0),0)+IF(AND(O1616="FIRE TEX 5120",E1616="CJ"),VLOOKUP(_xlfn.MINIFS('FIRE TEX 5120'!$O$5:$O$40,'FIRE TEX 5120'!$O$5:$O$40,"&gt;="&amp;M1616),'FIRE TEX 5120'!$O$5:$T$40,IF(L1616="F-15",2,IF(L1616="F-30",3,IF(L1616="F-60",4,IF(L1616="F-90",5,IF(L1616="F-120",6,0))))),0),0)</f>
        <v>0</v>
      </c>
      <c r="Q1616" s="46">
        <f t="shared" si="144"/>
        <v>0</v>
      </c>
      <c r="R1616" s="46">
        <f t="shared" si="145"/>
        <v>0</v>
      </c>
      <c r="S1616" s="46" t="e">
        <f t="shared" si="146"/>
        <v>#VALUE!</v>
      </c>
      <c r="T1616" s="677">
        <f t="shared" si="147"/>
        <v>0</v>
      </c>
      <c r="U1616" s="80">
        <f>(IF(O1616="Stofire",(S1616*#REF!),0))+(IF(O1616="Fire Control",(S1616*$U$2),0))+(IF(O1616="Fire Tex",(S1616*$U$3),0))+(IF(O1616="WB7",(S1616*#REF!),0)+(IF(O1616="FX 2003",(S1616*$U$5),0)))</f>
        <v>0</v>
      </c>
      <c r="V1616" s="651">
        <f t="shared" si="148"/>
        <v>0</v>
      </c>
    </row>
    <row r="1617" spans="4:22" x14ac:dyDescent="0.25">
      <c r="D1617" s="118">
        <f>+CUBICACION!D1616</f>
        <v>0</v>
      </c>
      <c r="E1617" s="118">
        <f>+CUBICACION!F1616</f>
        <v>0</v>
      </c>
      <c r="F1617" s="118">
        <f>+CUBICACION!E1616</f>
        <v>0</v>
      </c>
      <c r="G1617" s="118">
        <v>12</v>
      </c>
      <c r="H1617" s="118">
        <v>2</v>
      </c>
      <c r="I1617" s="820">
        <v>26385</v>
      </c>
      <c r="J1617" s="118">
        <f>+CUBICACION!J1616</f>
        <v>0</v>
      </c>
      <c r="K1617" s="118">
        <v>4396</v>
      </c>
      <c r="L1617" s="118">
        <f>+CUBICACION!L1616</f>
        <v>0</v>
      </c>
      <c r="M1617" s="64">
        <f>+CUBICACION!M1616</f>
        <v>0</v>
      </c>
      <c r="N1617" s="824" t="str">
        <f>+CUBICACION!N1616</f>
        <v/>
      </c>
      <c r="O1617" s="675">
        <f>+CUBICACION!O1616</f>
        <v>0</v>
      </c>
      <c r="P1617" s="15">
        <f>IF(O1617="Fire Control",VLOOKUP(_xlfn.MINIFS('FIRE CONTROL'!$C$4:$C$37,'FIRE CONTROL'!$C$4:$C$37,"&gt;="&amp;M1617),'FIRE CONTROL'!$C$4:$G$37,IF(L1617="F-15",2,IF(L1617="F-30",3,IF(L1617="F-60",4,IF(L1617="F-90",5,0)))),0),0)+IF(AND(O1617="FIRE TEX 5062",OR(E1617="IN",E1617="C",E1617="Z",E1617="L"),J1617=3),VLOOKUP(_xlfn.MINIFS('FIRE TEX 5062'!$B$4:$B$34,'FIRE TEX 5062'!$B$4:$B$34,"&gt;="&amp;M1617),'FIRE TEX 5062'!$B$4:$F$34,IF(L1617="F-15",2,IF(L1617="F-30",3,IF(L1617="F-60",4,IF(L1617="F-90",5,0)))),0),0)+IF(AND(O1617="FIRE TEX 5062",OR(E1617="IN",E1617="C",E1617="Z",E1617="L"),J1617=4),VLOOKUP(_xlfn.MINIFS('FIRE TEX 5062'!$G$4:$G$34,'FIRE TEX 5062'!$G$4:$G$34,"&gt;="&amp;M1617),'FIRE TEX 5062'!$G$4:$K$34,IF(L1617="F-15",2,IF(L1617="F-30",3,IF(L1617="F-60",4,IF(L1617="F-90",5,0)))),0),0)+IF(AND(O1617="FIRE TEX 5062",E1617="CJ",J1617=3),VLOOKUP(_xlfn.MINIFS('FIRE TEX 5062'!$L$4:$L$34,'FIRE TEX 5062'!$L$4:$L$34,"&gt;="&amp;M1617),'FIRE TEX 5062'!$L$4:$P$34,IF(L1617="F-15",2,IF(L1617="F-30",3,IF(L1617="F-60",4,IF(L1617="F-90",5,0)))),0),0)+IF(AND(O1617="FIRE TEX 5062",E1617="CJ",J1617=4),VLOOKUP(_xlfn.MINIFS('FIRE TEX 5062'!$Q$3:$Q$34,'FIRE TEX 5062'!$Q$3:$Q$34,"&gt;="&amp;M1617),'FIRE TEX 5062'!$Q$3:$U$34,IF(L1617="F-15",2,IF(L1617="F-30",3,IF(L1617="F-60",4,IF(L1617="F-90",5,0)))),0),0)+IF(AND(O1617="FIRE TEX 5090",OR(E1617="IN",E1617="C",E1617="Z",E1617="L"),J1617=3),VLOOKUP(_xlfn.MINIFS('FIRE TEX 5090'!$B$5:$B$43,'FIRE TEX 5090'!$B$5:$B$43,"&gt;="&amp;M1617),'FIRE TEX 5090'!$B$5:$H$43,IF(L1617="F-15",2,IF(L1617="F-30",3,IF(L1617="F-60",4,IF(L1617="F-90",5,IF(L1617="F-120",6,IF(L1617="F-150",7,0)))))),0),0)+IF(AND(O1617="FIRE TEX 5090",OR(E1617="IN",E1617="C",E1617="Z",E1617="L"),J1617=4),VLOOKUP(_xlfn.MINIFS('FIRE TEX 5090'!$J$5:$J$43,'FIRE TEX 5090'!$J$5:$J$43,"&gt;="&amp;M1617),'FIRE TEX 5090'!$J$5:$P$43,IF(L1617="F-15",2,IF(L1617="F-30",3,IF(L1617="F-60",4,IF(L1617="F-90",5,IF(L1617="F-120",6,IF(L1617="F-150",7,0)))))),0),0)+IF(AND(O1617="FIRE TEX 5090",E1617="CJ",J1617=3),VLOOKUP(_xlfn.MINIFS('FIRE TEX 5090'!$R$5:$R$30,'FIRE TEX 5090'!$R$5:$R$30,"&gt;="&amp;M1617),'FIRE TEX 5090'!$R$5:$W$30,IF(L1617="F-15",2,IF(L1617="F-30",3,IF(L1617="F-60",4,IF(L1617="F-90",5,IF(L1617="F-120",6,IF(L1617="F-150",7,0)))))),0),0)+IF(AND(O1617="FIRE TEX 5090",E1617="CJ",J1617=4),VLOOKUP(_xlfn.MINIFS('FIRE TEX 5090'!$Y$5:$Y$39,'FIRE TEX 5090'!$Y$5:$Y$39,"&gt;="&amp;M1617),'FIRE TEX 5090'!$Y$5:$AD$39,IF(L1617="F-15",2,IF(L1617="F-30",3,IF(L1617="F-60",4,IF(L1617="F-90",5,IF(L1617="F-120",6,IF(L1617="F-150",7,0)))))),0),0)+IF(AND(O1617="FIRE TEX 5120",OR(E1617="IN",E1617="C",E1617="Z",E1617="L"),J1617=3),VLOOKUP(_xlfn.MINIFS('FIRE TEX 5120'!$B$5:$B$40,'FIRE TEX 5120'!$B$5:$B$40,"&gt;="&amp;M1617),'FIRE TEX 5120'!$B$5:$G$40,IF(L1617="F-15",2,IF(L1617="F-30",3,IF(L1617="F-60",4,IF(L1617="F-90",5,IF(L1617="F-120",6,0))))),0),0)+IF(AND(O1617="FIRE TEX 5120",OR(E1617="IN",E1617="C",E1617="Z",E1617="L"),J1617=4),VLOOKUP(_xlfn.MINIFS('FIRE TEX 5120'!$H$4:$H$40,'FIRE TEX 5120'!$H$4:$H$40,"&gt;="&amp;M1617),'FIRE TEX 5120'!$H$4:$M$40,IF(L1617="F-15",2,IF(L1617="F-30",3,IF(L1617="F-60",4,IF(L1617="F-90",5,IF(L1617="F-120",6,0))))),0),0)+IF(AND(O1617="FIRE TEX 5120",E1617="CJ"),VLOOKUP(_xlfn.MINIFS('FIRE TEX 5120'!$O$5:$O$40,'FIRE TEX 5120'!$O$5:$O$40,"&gt;="&amp;M1617),'FIRE TEX 5120'!$O$5:$T$40,IF(L1617="F-15",2,IF(L1617="F-30",3,IF(L1617="F-60",4,IF(L1617="F-90",5,IF(L1617="F-120",6,0))))),0),0)</f>
        <v>0</v>
      </c>
      <c r="Q1617" s="46">
        <f t="shared" si="144"/>
        <v>0</v>
      </c>
      <c r="R1617" s="46">
        <f t="shared" si="145"/>
        <v>0</v>
      </c>
      <c r="S1617" s="46" t="e">
        <f t="shared" si="146"/>
        <v>#VALUE!</v>
      </c>
      <c r="T1617" s="677">
        <f t="shared" si="147"/>
        <v>0</v>
      </c>
      <c r="U1617" s="80">
        <f>(IF(O1617="Stofire",(S1617*#REF!),0))+(IF(O1617="Fire Control",(S1617*$U$2),0))+(IF(O1617="Fire Tex",(S1617*$U$3),0))+(IF(O1617="WB7",(S1617*#REF!),0)+(IF(O1617="FX 2003",(S1617*$U$5),0)))</f>
        <v>0</v>
      </c>
      <c r="V1617" s="651">
        <f t="shared" si="148"/>
        <v>0</v>
      </c>
    </row>
    <row r="1618" spans="4:22" x14ac:dyDescent="0.25">
      <c r="D1618" s="118">
        <f>+CUBICACION!D1617</f>
        <v>0</v>
      </c>
      <c r="E1618" s="118">
        <f>+CUBICACION!F1617</f>
        <v>0</v>
      </c>
      <c r="F1618" s="118">
        <f>+CUBICACION!E1617</f>
        <v>0</v>
      </c>
      <c r="G1618" s="118">
        <v>12</v>
      </c>
      <c r="H1618" s="118">
        <v>2</v>
      </c>
      <c r="I1618" s="820">
        <v>26385</v>
      </c>
      <c r="J1618" s="118">
        <f>+CUBICACION!J1617</f>
        <v>0</v>
      </c>
      <c r="K1618" s="118">
        <v>4397</v>
      </c>
      <c r="L1618" s="118">
        <f>+CUBICACION!L1617</f>
        <v>0</v>
      </c>
      <c r="M1618" s="64">
        <f>+CUBICACION!M1617</f>
        <v>0</v>
      </c>
      <c r="N1618" s="824" t="str">
        <f>+CUBICACION!N1617</f>
        <v/>
      </c>
      <c r="O1618" s="675">
        <f>+CUBICACION!O1617</f>
        <v>0</v>
      </c>
      <c r="P1618" s="15">
        <f>IF(O1618="Fire Control",VLOOKUP(_xlfn.MINIFS('FIRE CONTROL'!$C$4:$C$37,'FIRE CONTROL'!$C$4:$C$37,"&gt;="&amp;M1618),'FIRE CONTROL'!$C$4:$G$37,IF(L1618="F-15",2,IF(L1618="F-30",3,IF(L1618="F-60",4,IF(L1618="F-90",5,0)))),0),0)+IF(AND(O1618="FIRE TEX 5062",OR(E1618="IN",E1618="C",E1618="Z",E1618="L"),J1618=3),VLOOKUP(_xlfn.MINIFS('FIRE TEX 5062'!$B$4:$B$34,'FIRE TEX 5062'!$B$4:$B$34,"&gt;="&amp;M1618),'FIRE TEX 5062'!$B$4:$F$34,IF(L1618="F-15",2,IF(L1618="F-30",3,IF(L1618="F-60",4,IF(L1618="F-90",5,0)))),0),0)+IF(AND(O1618="FIRE TEX 5062",OR(E1618="IN",E1618="C",E1618="Z",E1618="L"),J1618=4),VLOOKUP(_xlfn.MINIFS('FIRE TEX 5062'!$G$4:$G$34,'FIRE TEX 5062'!$G$4:$G$34,"&gt;="&amp;M1618),'FIRE TEX 5062'!$G$4:$K$34,IF(L1618="F-15",2,IF(L1618="F-30",3,IF(L1618="F-60",4,IF(L1618="F-90",5,0)))),0),0)+IF(AND(O1618="FIRE TEX 5062",E1618="CJ",J1618=3),VLOOKUP(_xlfn.MINIFS('FIRE TEX 5062'!$L$4:$L$34,'FIRE TEX 5062'!$L$4:$L$34,"&gt;="&amp;M1618),'FIRE TEX 5062'!$L$4:$P$34,IF(L1618="F-15",2,IF(L1618="F-30",3,IF(L1618="F-60",4,IF(L1618="F-90",5,0)))),0),0)+IF(AND(O1618="FIRE TEX 5062",E1618="CJ",J1618=4),VLOOKUP(_xlfn.MINIFS('FIRE TEX 5062'!$Q$3:$Q$34,'FIRE TEX 5062'!$Q$3:$Q$34,"&gt;="&amp;M1618),'FIRE TEX 5062'!$Q$3:$U$34,IF(L1618="F-15",2,IF(L1618="F-30",3,IF(L1618="F-60",4,IF(L1618="F-90",5,0)))),0),0)+IF(AND(O1618="FIRE TEX 5090",OR(E1618="IN",E1618="C",E1618="Z",E1618="L"),J1618=3),VLOOKUP(_xlfn.MINIFS('FIRE TEX 5090'!$B$5:$B$43,'FIRE TEX 5090'!$B$5:$B$43,"&gt;="&amp;M1618),'FIRE TEX 5090'!$B$5:$H$43,IF(L1618="F-15",2,IF(L1618="F-30",3,IF(L1618="F-60",4,IF(L1618="F-90",5,IF(L1618="F-120",6,IF(L1618="F-150",7,0)))))),0),0)+IF(AND(O1618="FIRE TEX 5090",OR(E1618="IN",E1618="C",E1618="Z",E1618="L"),J1618=4),VLOOKUP(_xlfn.MINIFS('FIRE TEX 5090'!$J$5:$J$43,'FIRE TEX 5090'!$J$5:$J$43,"&gt;="&amp;M1618),'FIRE TEX 5090'!$J$5:$P$43,IF(L1618="F-15",2,IF(L1618="F-30",3,IF(L1618="F-60",4,IF(L1618="F-90",5,IF(L1618="F-120",6,IF(L1618="F-150",7,0)))))),0),0)+IF(AND(O1618="FIRE TEX 5090",E1618="CJ",J1618=3),VLOOKUP(_xlfn.MINIFS('FIRE TEX 5090'!$R$5:$R$30,'FIRE TEX 5090'!$R$5:$R$30,"&gt;="&amp;M1618),'FIRE TEX 5090'!$R$5:$W$30,IF(L1618="F-15",2,IF(L1618="F-30",3,IF(L1618="F-60",4,IF(L1618="F-90",5,IF(L1618="F-120",6,IF(L1618="F-150",7,0)))))),0),0)+IF(AND(O1618="FIRE TEX 5090",E1618="CJ",J1618=4),VLOOKUP(_xlfn.MINIFS('FIRE TEX 5090'!$Y$5:$Y$39,'FIRE TEX 5090'!$Y$5:$Y$39,"&gt;="&amp;M1618),'FIRE TEX 5090'!$Y$5:$AD$39,IF(L1618="F-15",2,IF(L1618="F-30",3,IF(L1618="F-60",4,IF(L1618="F-90",5,IF(L1618="F-120",6,IF(L1618="F-150",7,0)))))),0),0)+IF(AND(O1618="FIRE TEX 5120",OR(E1618="IN",E1618="C",E1618="Z",E1618="L"),J1618=3),VLOOKUP(_xlfn.MINIFS('FIRE TEX 5120'!$B$5:$B$40,'FIRE TEX 5120'!$B$5:$B$40,"&gt;="&amp;M1618),'FIRE TEX 5120'!$B$5:$G$40,IF(L1618="F-15",2,IF(L1618="F-30",3,IF(L1618="F-60",4,IF(L1618="F-90",5,IF(L1618="F-120",6,0))))),0),0)+IF(AND(O1618="FIRE TEX 5120",OR(E1618="IN",E1618="C",E1618="Z",E1618="L"),J1618=4),VLOOKUP(_xlfn.MINIFS('FIRE TEX 5120'!$H$4:$H$40,'FIRE TEX 5120'!$H$4:$H$40,"&gt;="&amp;M1618),'FIRE TEX 5120'!$H$4:$M$40,IF(L1618="F-15",2,IF(L1618="F-30",3,IF(L1618="F-60",4,IF(L1618="F-90",5,IF(L1618="F-120",6,0))))),0),0)+IF(AND(O1618="FIRE TEX 5120",E1618="CJ"),VLOOKUP(_xlfn.MINIFS('FIRE TEX 5120'!$O$5:$O$40,'FIRE TEX 5120'!$O$5:$O$40,"&gt;="&amp;M1618),'FIRE TEX 5120'!$O$5:$T$40,IF(L1618="F-15",2,IF(L1618="F-30",3,IF(L1618="F-60",4,IF(L1618="F-90",5,IF(L1618="F-120",6,0))))),0),0)</f>
        <v>0</v>
      </c>
      <c r="Q1618" s="46">
        <f t="shared" si="144"/>
        <v>0</v>
      </c>
      <c r="R1618" s="46">
        <f t="shared" si="145"/>
        <v>0</v>
      </c>
      <c r="S1618" s="46" t="e">
        <f t="shared" si="146"/>
        <v>#VALUE!</v>
      </c>
      <c r="T1618" s="677">
        <f t="shared" si="147"/>
        <v>0</v>
      </c>
      <c r="U1618" s="80">
        <f>(IF(O1618="Stofire",(S1618*#REF!),0))+(IF(O1618="Fire Control",(S1618*$U$2),0))+(IF(O1618="Fire Tex",(S1618*$U$3),0))+(IF(O1618="WB7",(S1618*#REF!),0)+(IF(O1618="FX 2003",(S1618*$U$5),0)))</f>
        <v>0</v>
      </c>
      <c r="V1618" s="651">
        <f t="shared" si="148"/>
        <v>0</v>
      </c>
    </row>
    <row r="1619" spans="4:22" x14ac:dyDescent="0.25">
      <c r="D1619" s="118">
        <f>+CUBICACION!D1618</f>
        <v>0</v>
      </c>
      <c r="E1619" s="118">
        <f>+CUBICACION!F1618</f>
        <v>0</v>
      </c>
      <c r="F1619" s="118">
        <f>+CUBICACION!E1618</f>
        <v>0</v>
      </c>
      <c r="G1619" s="118">
        <v>12</v>
      </c>
      <c r="H1619" s="118">
        <v>2</v>
      </c>
      <c r="I1619" s="820">
        <v>26385</v>
      </c>
      <c r="J1619" s="118">
        <f>+CUBICACION!J1618</f>
        <v>0</v>
      </c>
      <c r="K1619" s="118">
        <v>4398</v>
      </c>
      <c r="L1619" s="118">
        <f>+CUBICACION!L1618</f>
        <v>0</v>
      </c>
      <c r="M1619" s="64">
        <f>+CUBICACION!M1618</f>
        <v>0</v>
      </c>
      <c r="N1619" s="824" t="str">
        <f>+CUBICACION!N1618</f>
        <v/>
      </c>
      <c r="O1619" s="675">
        <f>+CUBICACION!O1618</f>
        <v>0</v>
      </c>
      <c r="P1619" s="15">
        <f>IF(O1619="Fire Control",VLOOKUP(_xlfn.MINIFS('FIRE CONTROL'!$C$4:$C$37,'FIRE CONTROL'!$C$4:$C$37,"&gt;="&amp;M1619),'FIRE CONTROL'!$C$4:$G$37,IF(L1619="F-15",2,IF(L1619="F-30",3,IF(L1619="F-60",4,IF(L1619="F-90",5,0)))),0),0)+IF(AND(O1619="FIRE TEX 5062",OR(E1619="IN",E1619="C",E1619="Z",E1619="L"),J1619=3),VLOOKUP(_xlfn.MINIFS('FIRE TEX 5062'!$B$4:$B$34,'FIRE TEX 5062'!$B$4:$B$34,"&gt;="&amp;M1619),'FIRE TEX 5062'!$B$4:$F$34,IF(L1619="F-15",2,IF(L1619="F-30",3,IF(L1619="F-60",4,IF(L1619="F-90",5,0)))),0),0)+IF(AND(O1619="FIRE TEX 5062",OR(E1619="IN",E1619="C",E1619="Z",E1619="L"),J1619=4),VLOOKUP(_xlfn.MINIFS('FIRE TEX 5062'!$G$4:$G$34,'FIRE TEX 5062'!$G$4:$G$34,"&gt;="&amp;M1619),'FIRE TEX 5062'!$G$4:$K$34,IF(L1619="F-15",2,IF(L1619="F-30",3,IF(L1619="F-60",4,IF(L1619="F-90",5,0)))),0),0)+IF(AND(O1619="FIRE TEX 5062",E1619="CJ",J1619=3),VLOOKUP(_xlfn.MINIFS('FIRE TEX 5062'!$L$4:$L$34,'FIRE TEX 5062'!$L$4:$L$34,"&gt;="&amp;M1619),'FIRE TEX 5062'!$L$4:$P$34,IF(L1619="F-15",2,IF(L1619="F-30",3,IF(L1619="F-60",4,IF(L1619="F-90",5,0)))),0),0)+IF(AND(O1619="FIRE TEX 5062",E1619="CJ",J1619=4),VLOOKUP(_xlfn.MINIFS('FIRE TEX 5062'!$Q$3:$Q$34,'FIRE TEX 5062'!$Q$3:$Q$34,"&gt;="&amp;M1619),'FIRE TEX 5062'!$Q$3:$U$34,IF(L1619="F-15",2,IF(L1619="F-30",3,IF(L1619="F-60",4,IF(L1619="F-90",5,0)))),0),0)+IF(AND(O1619="FIRE TEX 5090",OR(E1619="IN",E1619="C",E1619="Z",E1619="L"),J1619=3),VLOOKUP(_xlfn.MINIFS('FIRE TEX 5090'!$B$5:$B$43,'FIRE TEX 5090'!$B$5:$B$43,"&gt;="&amp;M1619),'FIRE TEX 5090'!$B$5:$H$43,IF(L1619="F-15",2,IF(L1619="F-30",3,IF(L1619="F-60",4,IF(L1619="F-90",5,IF(L1619="F-120",6,IF(L1619="F-150",7,0)))))),0),0)+IF(AND(O1619="FIRE TEX 5090",OR(E1619="IN",E1619="C",E1619="Z",E1619="L"),J1619=4),VLOOKUP(_xlfn.MINIFS('FIRE TEX 5090'!$J$5:$J$43,'FIRE TEX 5090'!$J$5:$J$43,"&gt;="&amp;M1619),'FIRE TEX 5090'!$J$5:$P$43,IF(L1619="F-15",2,IF(L1619="F-30",3,IF(L1619="F-60",4,IF(L1619="F-90",5,IF(L1619="F-120",6,IF(L1619="F-150",7,0)))))),0),0)+IF(AND(O1619="FIRE TEX 5090",E1619="CJ",J1619=3),VLOOKUP(_xlfn.MINIFS('FIRE TEX 5090'!$R$5:$R$30,'FIRE TEX 5090'!$R$5:$R$30,"&gt;="&amp;M1619),'FIRE TEX 5090'!$R$5:$W$30,IF(L1619="F-15",2,IF(L1619="F-30",3,IF(L1619="F-60",4,IF(L1619="F-90",5,IF(L1619="F-120",6,IF(L1619="F-150",7,0)))))),0),0)+IF(AND(O1619="FIRE TEX 5090",E1619="CJ",J1619=4),VLOOKUP(_xlfn.MINIFS('FIRE TEX 5090'!$Y$5:$Y$39,'FIRE TEX 5090'!$Y$5:$Y$39,"&gt;="&amp;M1619),'FIRE TEX 5090'!$Y$5:$AD$39,IF(L1619="F-15",2,IF(L1619="F-30",3,IF(L1619="F-60",4,IF(L1619="F-90",5,IF(L1619="F-120",6,IF(L1619="F-150",7,0)))))),0),0)+IF(AND(O1619="FIRE TEX 5120",OR(E1619="IN",E1619="C",E1619="Z",E1619="L"),J1619=3),VLOOKUP(_xlfn.MINIFS('FIRE TEX 5120'!$B$5:$B$40,'FIRE TEX 5120'!$B$5:$B$40,"&gt;="&amp;M1619),'FIRE TEX 5120'!$B$5:$G$40,IF(L1619="F-15",2,IF(L1619="F-30",3,IF(L1619="F-60",4,IF(L1619="F-90",5,IF(L1619="F-120",6,0))))),0),0)+IF(AND(O1619="FIRE TEX 5120",OR(E1619="IN",E1619="C",E1619="Z",E1619="L"),J1619=4),VLOOKUP(_xlfn.MINIFS('FIRE TEX 5120'!$H$4:$H$40,'FIRE TEX 5120'!$H$4:$H$40,"&gt;="&amp;M1619),'FIRE TEX 5120'!$H$4:$M$40,IF(L1619="F-15",2,IF(L1619="F-30",3,IF(L1619="F-60",4,IF(L1619="F-90",5,IF(L1619="F-120",6,0))))),0),0)+IF(AND(O1619="FIRE TEX 5120",E1619="CJ"),VLOOKUP(_xlfn.MINIFS('FIRE TEX 5120'!$O$5:$O$40,'FIRE TEX 5120'!$O$5:$O$40,"&gt;="&amp;M1619),'FIRE TEX 5120'!$O$5:$T$40,IF(L1619="F-15",2,IF(L1619="F-30",3,IF(L1619="F-60",4,IF(L1619="F-90",5,IF(L1619="F-120",6,0))))),0),0)</f>
        <v>0</v>
      </c>
      <c r="Q1619" s="46">
        <f t="shared" si="144"/>
        <v>0</v>
      </c>
      <c r="R1619" s="46">
        <f t="shared" si="145"/>
        <v>0</v>
      </c>
      <c r="S1619" s="46" t="e">
        <f t="shared" si="146"/>
        <v>#VALUE!</v>
      </c>
      <c r="T1619" s="677">
        <f t="shared" si="147"/>
        <v>0</v>
      </c>
      <c r="U1619" s="80">
        <f>(IF(O1619="Stofire",(S1619*#REF!),0))+(IF(O1619="Fire Control",(S1619*$U$2),0))+(IF(O1619="Fire Tex",(S1619*$U$3),0))+(IF(O1619="WB7",(S1619*#REF!),0)+(IF(O1619="FX 2003",(S1619*$U$5),0)))</f>
        <v>0</v>
      </c>
      <c r="V1619" s="651">
        <f t="shared" si="148"/>
        <v>0</v>
      </c>
    </row>
    <row r="1620" spans="4:22" x14ac:dyDescent="0.25">
      <c r="D1620" s="118">
        <f>+CUBICACION!D1619</f>
        <v>0</v>
      </c>
      <c r="E1620" s="118">
        <f>+CUBICACION!F1619</f>
        <v>0</v>
      </c>
      <c r="F1620" s="118">
        <f>+CUBICACION!E1619</f>
        <v>0</v>
      </c>
      <c r="G1620" s="118">
        <v>12</v>
      </c>
      <c r="H1620" s="118">
        <v>2</v>
      </c>
      <c r="I1620" s="820">
        <v>26385</v>
      </c>
      <c r="J1620" s="118">
        <f>+CUBICACION!J1619</f>
        <v>0</v>
      </c>
      <c r="K1620" s="118">
        <v>4399</v>
      </c>
      <c r="L1620" s="118">
        <f>+CUBICACION!L1619</f>
        <v>0</v>
      </c>
      <c r="M1620" s="64">
        <f>+CUBICACION!M1619</f>
        <v>0</v>
      </c>
      <c r="N1620" s="824" t="str">
        <f>+CUBICACION!N1619</f>
        <v/>
      </c>
      <c r="O1620" s="675">
        <f>+CUBICACION!O1619</f>
        <v>0</v>
      </c>
      <c r="P1620" s="15">
        <f>IF(O1620="Fire Control",VLOOKUP(_xlfn.MINIFS('FIRE CONTROL'!$C$4:$C$37,'FIRE CONTROL'!$C$4:$C$37,"&gt;="&amp;M1620),'FIRE CONTROL'!$C$4:$G$37,IF(L1620="F-15",2,IF(L1620="F-30",3,IF(L1620="F-60",4,IF(L1620="F-90",5,0)))),0),0)+IF(AND(O1620="FIRE TEX 5062",OR(E1620="IN",E1620="C",E1620="Z",E1620="L"),J1620=3),VLOOKUP(_xlfn.MINIFS('FIRE TEX 5062'!$B$4:$B$34,'FIRE TEX 5062'!$B$4:$B$34,"&gt;="&amp;M1620),'FIRE TEX 5062'!$B$4:$F$34,IF(L1620="F-15",2,IF(L1620="F-30",3,IF(L1620="F-60",4,IF(L1620="F-90",5,0)))),0),0)+IF(AND(O1620="FIRE TEX 5062",OR(E1620="IN",E1620="C",E1620="Z",E1620="L"),J1620=4),VLOOKUP(_xlfn.MINIFS('FIRE TEX 5062'!$G$4:$G$34,'FIRE TEX 5062'!$G$4:$G$34,"&gt;="&amp;M1620),'FIRE TEX 5062'!$G$4:$K$34,IF(L1620="F-15",2,IF(L1620="F-30",3,IF(L1620="F-60",4,IF(L1620="F-90",5,0)))),0),0)+IF(AND(O1620="FIRE TEX 5062",E1620="CJ",J1620=3),VLOOKUP(_xlfn.MINIFS('FIRE TEX 5062'!$L$4:$L$34,'FIRE TEX 5062'!$L$4:$L$34,"&gt;="&amp;M1620),'FIRE TEX 5062'!$L$4:$P$34,IF(L1620="F-15",2,IF(L1620="F-30",3,IF(L1620="F-60",4,IF(L1620="F-90",5,0)))),0),0)+IF(AND(O1620="FIRE TEX 5062",E1620="CJ",J1620=4),VLOOKUP(_xlfn.MINIFS('FIRE TEX 5062'!$Q$3:$Q$34,'FIRE TEX 5062'!$Q$3:$Q$34,"&gt;="&amp;M1620),'FIRE TEX 5062'!$Q$3:$U$34,IF(L1620="F-15",2,IF(L1620="F-30",3,IF(L1620="F-60",4,IF(L1620="F-90",5,0)))),0),0)+IF(AND(O1620="FIRE TEX 5090",OR(E1620="IN",E1620="C",E1620="Z",E1620="L"),J1620=3),VLOOKUP(_xlfn.MINIFS('FIRE TEX 5090'!$B$5:$B$43,'FIRE TEX 5090'!$B$5:$B$43,"&gt;="&amp;M1620),'FIRE TEX 5090'!$B$5:$H$43,IF(L1620="F-15",2,IF(L1620="F-30",3,IF(L1620="F-60",4,IF(L1620="F-90",5,IF(L1620="F-120",6,IF(L1620="F-150",7,0)))))),0),0)+IF(AND(O1620="FIRE TEX 5090",OR(E1620="IN",E1620="C",E1620="Z",E1620="L"),J1620=4),VLOOKUP(_xlfn.MINIFS('FIRE TEX 5090'!$J$5:$J$43,'FIRE TEX 5090'!$J$5:$J$43,"&gt;="&amp;M1620),'FIRE TEX 5090'!$J$5:$P$43,IF(L1620="F-15",2,IF(L1620="F-30",3,IF(L1620="F-60",4,IF(L1620="F-90",5,IF(L1620="F-120",6,IF(L1620="F-150",7,0)))))),0),0)+IF(AND(O1620="FIRE TEX 5090",E1620="CJ",J1620=3),VLOOKUP(_xlfn.MINIFS('FIRE TEX 5090'!$R$5:$R$30,'FIRE TEX 5090'!$R$5:$R$30,"&gt;="&amp;M1620),'FIRE TEX 5090'!$R$5:$W$30,IF(L1620="F-15",2,IF(L1620="F-30",3,IF(L1620="F-60",4,IF(L1620="F-90",5,IF(L1620="F-120",6,IF(L1620="F-150",7,0)))))),0),0)+IF(AND(O1620="FIRE TEX 5090",E1620="CJ",J1620=4),VLOOKUP(_xlfn.MINIFS('FIRE TEX 5090'!$Y$5:$Y$39,'FIRE TEX 5090'!$Y$5:$Y$39,"&gt;="&amp;M1620),'FIRE TEX 5090'!$Y$5:$AD$39,IF(L1620="F-15",2,IF(L1620="F-30",3,IF(L1620="F-60",4,IF(L1620="F-90",5,IF(L1620="F-120",6,IF(L1620="F-150",7,0)))))),0),0)+IF(AND(O1620="FIRE TEX 5120",OR(E1620="IN",E1620="C",E1620="Z",E1620="L"),J1620=3),VLOOKUP(_xlfn.MINIFS('FIRE TEX 5120'!$B$5:$B$40,'FIRE TEX 5120'!$B$5:$B$40,"&gt;="&amp;M1620),'FIRE TEX 5120'!$B$5:$G$40,IF(L1620="F-15",2,IF(L1620="F-30",3,IF(L1620="F-60",4,IF(L1620="F-90",5,IF(L1620="F-120",6,0))))),0),0)+IF(AND(O1620="FIRE TEX 5120",OR(E1620="IN",E1620="C",E1620="Z",E1620="L"),J1620=4),VLOOKUP(_xlfn.MINIFS('FIRE TEX 5120'!$H$4:$H$40,'FIRE TEX 5120'!$H$4:$H$40,"&gt;="&amp;M1620),'FIRE TEX 5120'!$H$4:$M$40,IF(L1620="F-15",2,IF(L1620="F-30",3,IF(L1620="F-60",4,IF(L1620="F-90",5,IF(L1620="F-120",6,0))))),0),0)+IF(AND(O1620="FIRE TEX 5120",E1620="CJ"),VLOOKUP(_xlfn.MINIFS('FIRE TEX 5120'!$O$5:$O$40,'FIRE TEX 5120'!$O$5:$O$40,"&gt;="&amp;M1620),'FIRE TEX 5120'!$O$5:$T$40,IF(L1620="F-15",2,IF(L1620="F-30",3,IF(L1620="F-60",4,IF(L1620="F-90",5,IF(L1620="F-120",6,0))))),0),0)</f>
        <v>0</v>
      </c>
      <c r="Q1620" s="46">
        <f t="shared" si="144"/>
        <v>0</v>
      </c>
      <c r="R1620" s="46">
        <f t="shared" si="145"/>
        <v>0</v>
      </c>
      <c r="S1620" s="46" t="e">
        <f t="shared" si="146"/>
        <v>#VALUE!</v>
      </c>
      <c r="T1620" s="677">
        <f t="shared" si="147"/>
        <v>0</v>
      </c>
      <c r="U1620" s="80">
        <f>(IF(O1620="Stofire",(S1620*#REF!),0))+(IF(O1620="Fire Control",(S1620*$U$2),0))+(IF(O1620="Fire Tex",(S1620*$U$3),0))+(IF(O1620="WB7",(S1620*#REF!),0)+(IF(O1620="FX 2003",(S1620*$U$5),0)))</f>
        <v>0</v>
      </c>
      <c r="V1620" s="651">
        <f t="shared" si="148"/>
        <v>0</v>
      </c>
    </row>
    <row r="1621" spans="4:22" x14ac:dyDescent="0.25">
      <c r="D1621" s="134">
        <f>+CUBICACION!D1620</f>
        <v>0</v>
      </c>
      <c r="E1621" s="134">
        <f>+CUBICACION!F1620</f>
        <v>0</v>
      </c>
      <c r="F1621" s="134">
        <f>+CUBICACION!E1620</f>
        <v>0</v>
      </c>
      <c r="G1621" s="134">
        <v>12</v>
      </c>
      <c r="H1621" s="134">
        <v>2</v>
      </c>
      <c r="I1621" s="863">
        <v>26385</v>
      </c>
      <c r="J1621" s="134">
        <f>+CUBICACION!J1620</f>
        <v>0</v>
      </c>
      <c r="K1621" s="134">
        <v>4400</v>
      </c>
      <c r="L1621" s="134">
        <f>+CUBICACION!L1620</f>
        <v>0</v>
      </c>
      <c r="M1621" s="864">
        <f>+CUBICACION!M1620</f>
        <v>0</v>
      </c>
      <c r="N1621" s="865" t="str">
        <f>+CUBICACION!N1620</f>
        <v/>
      </c>
      <c r="O1621" s="866">
        <f>+CUBICACION!O1620</f>
        <v>0</v>
      </c>
      <c r="P1621" s="15">
        <f>IF(O1621="Fire Control",VLOOKUP(_xlfn.MINIFS('FIRE CONTROL'!$C$4:$C$37,'FIRE CONTROL'!$C$4:$C$37,"&gt;="&amp;M1621),'FIRE CONTROL'!$C$4:$G$37,IF(L1621="F-15",2,IF(L1621="F-30",3,IF(L1621="F-60",4,IF(L1621="F-90",5,0)))),0),0)+IF(AND(O1621="FIRE TEX 5062",OR(E1621="IN",E1621="C",E1621="Z",E1621="L"),J1621=3),VLOOKUP(_xlfn.MINIFS('FIRE TEX 5062'!$B$4:$B$34,'FIRE TEX 5062'!$B$4:$B$34,"&gt;="&amp;M1621),'FIRE TEX 5062'!$B$4:$F$34,IF(L1621="F-15",2,IF(L1621="F-30",3,IF(L1621="F-60",4,IF(L1621="F-90",5,0)))),0),0)+IF(AND(O1621="FIRE TEX 5062",OR(E1621="IN",E1621="C",E1621="Z",E1621="L"),J1621=4),VLOOKUP(_xlfn.MINIFS('FIRE TEX 5062'!$G$4:$G$34,'FIRE TEX 5062'!$G$4:$G$34,"&gt;="&amp;M1621),'FIRE TEX 5062'!$G$4:$K$34,IF(L1621="F-15",2,IF(L1621="F-30",3,IF(L1621="F-60",4,IF(L1621="F-90",5,0)))),0),0)+IF(AND(O1621="FIRE TEX 5062",E1621="CJ",J1621=3),VLOOKUP(_xlfn.MINIFS('FIRE TEX 5062'!$L$4:$L$34,'FIRE TEX 5062'!$L$4:$L$34,"&gt;="&amp;M1621),'FIRE TEX 5062'!$L$4:$P$34,IF(L1621="F-15",2,IF(L1621="F-30",3,IF(L1621="F-60",4,IF(L1621="F-90",5,0)))),0),0)+IF(AND(O1621="FIRE TEX 5062",E1621="CJ",J1621=4),VLOOKUP(_xlfn.MINIFS('FIRE TEX 5062'!$Q$3:$Q$34,'FIRE TEX 5062'!$Q$3:$Q$34,"&gt;="&amp;M1621),'FIRE TEX 5062'!$Q$3:$U$34,IF(L1621="F-15",2,IF(L1621="F-30",3,IF(L1621="F-60",4,IF(L1621="F-90",5,0)))),0),0)+IF(AND(O1621="FIRE TEX 5090",OR(E1621="IN",E1621="C",E1621="Z",E1621="L"),J1621=3),VLOOKUP(_xlfn.MINIFS('FIRE TEX 5090'!$B$5:$B$43,'FIRE TEX 5090'!$B$5:$B$43,"&gt;="&amp;M1621),'FIRE TEX 5090'!$B$5:$H$43,IF(L1621="F-15",2,IF(L1621="F-30",3,IF(L1621="F-60",4,IF(L1621="F-90",5,IF(L1621="F-120",6,IF(L1621="F-150",7,0)))))),0),0)+IF(AND(O1621="FIRE TEX 5090",OR(E1621="IN",E1621="C",E1621="Z",E1621="L"),J1621=4),VLOOKUP(_xlfn.MINIFS('FIRE TEX 5090'!$J$5:$J$43,'FIRE TEX 5090'!$J$5:$J$43,"&gt;="&amp;M1621),'FIRE TEX 5090'!$J$5:$P$43,IF(L1621="F-15",2,IF(L1621="F-30",3,IF(L1621="F-60",4,IF(L1621="F-90",5,IF(L1621="F-120",6,IF(L1621="F-150",7,0)))))),0),0)+IF(AND(O1621="FIRE TEX 5090",E1621="CJ",J1621=3),VLOOKUP(_xlfn.MINIFS('FIRE TEX 5090'!$R$5:$R$30,'FIRE TEX 5090'!$R$5:$R$30,"&gt;="&amp;M1621),'FIRE TEX 5090'!$R$5:$W$30,IF(L1621="F-15",2,IF(L1621="F-30",3,IF(L1621="F-60",4,IF(L1621="F-90",5,IF(L1621="F-120",6,IF(L1621="F-150",7,0)))))),0),0)+IF(AND(O1621="FIRE TEX 5090",E1621="CJ",J1621=4),VLOOKUP(_xlfn.MINIFS('FIRE TEX 5090'!$Y$5:$Y$39,'FIRE TEX 5090'!$Y$5:$Y$39,"&gt;="&amp;M1621),'FIRE TEX 5090'!$Y$5:$AD$39,IF(L1621="F-15",2,IF(L1621="F-30",3,IF(L1621="F-60",4,IF(L1621="F-90",5,IF(L1621="F-120",6,IF(L1621="F-150",7,0)))))),0),0)+IF(AND(O1621="FIRE TEX 5120",OR(E1621="IN",E1621="C",E1621="Z",E1621="L"),J1621=3),VLOOKUP(_xlfn.MINIFS('FIRE TEX 5120'!$B$5:$B$40,'FIRE TEX 5120'!$B$5:$B$40,"&gt;="&amp;M1621),'FIRE TEX 5120'!$B$5:$G$40,IF(L1621="F-15",2,IF(L1621="F-30",3,IF(L1621="F-60",4,IF(L1621="F-90",5,IF(L1621="F-120",6,0))))),0),0)+IF(AND(O1621="FIRE TEX 5120",OR(E1621="IN",E1621="C",E1621="Z",E1621="L"),J1621=4),VLOOKUP(_xlfn.MINIFS('FIRE TEX 5120'!$H$4:$H$40,'FIRE TEX 5120'!$H$4:$H$40,"&gt;="&amp;M1621),'FIRE TEX 5120'!$H$4:$M$40,IF(L1621="F-15",2,IF(L1621="F-30",3,IF(L1621="F-60",4,IF(L1621="F-90",5,IF(L1621="F-120",6,0))))),0),0)+IF(AND(O1621="FIRE TEX 5120",E1621="CJ"),VLOOKUP(_xlfn.MINIFS('FIRE TEX 5120'!$O$5:$O$40,'FIRE TEX 5120'!$O$5:$O$40,"&gt;="&amp;M1621),'FIRE TEX 5120'!$O$5:$T$40,IF(L1621="F-15",2,IF(L1621="F-30",3,IF(L1621="F-60",4,IF(L1621="F-90",5,IF(L1621="F-120",6,0))))),0),0)</f>
        <v>0</v>
      </c>
      <c r="Q1621" s="867">
        <f t="shared" si="144"/>
        <v>0</v>
      </c>
      <c r="R1621" s="867">
        <f t="shared" si="145"/>
        <v>0</v>
      </c>
      <c r="S1621" s="867" t="e">
        <f t="shared" si="146"/>
        <v>#VALUE!</v>
      </c>
      <c r="T1621" s="868">
        <f t="shared" si="147"/>
        <v>0</v>
      </c>
      <c r="U1621" s="869">
        <f>(IF(O1621="Stofire",(S1621*#REF!),0))+(IF(O1621="Fire Control",(S1621*$U$2),0))+(IF(O1621="Fire Tex",(S1621*$U$3),0))+(IF(O1621="WB7",(S1621*#REF!),0)+(IF(O1621="FX 2003",(S1621*$U$5),0)))</f>
        <v>0</v>
      </c>
      <c r="V1621" s="870">
        <f t="shared" si="148"/>
        <v>0</v>
      </c>
    </row>
    <row r="1622" spans="4:22" x14ac:dyDescent="0.25">
      <c r="M1622" s="796"/>
      <c r="N1622" s="871"/>
      <c r="P1622" s="872"/>
      <c r="Q1622" s="18"/>
      <c r="R1622" s="18"/>
      <c r="S1622" s="18"/>
      <c r="T1622" s="672"/>
      <c r="U1622" s="873"/>
      <c r="V1622" s="4"/>
    </row>
    <row r="1623" spans="4:22" x14ac:dyDescent="0.25">
      <c r="M1623" s="796"/>
      <c r="N1623" s="871"/>
      <c r="P1623" s="872"/>
      <c r="Q1623" s="18"/>
      <c r="R1623" s="18"/>
      <c r="S1623" s="18"/>
      <c r="T1623" s="672"/>
      <c r="U1623" s="873"/>
      <c r="V1623" s="4"/>
    </row>
    <row r="1624" spans="4:22" x14ac:dyDescent="0.25">
      <c r="M1624" s="796"/>
      <c r="N1624" s="871"/>
      <c r="P1624" s="872"/>
      <c r="Q1624" s="18"/>
      <c r="R1624" s="18"/>
      <c r="S1624" s="18"/>
      <c r="T1624" s="672"/>
      <c r="U1624" s="873"/>
      <c r="V1624" s="4"/>
    </row>
    <row r="1625" spans="4:22" x14ac:dyDescent="0.25">
      <c r="M1625" s="796"/>
      <c r="N1625" s="871"/>
      <c r="P1625" s="872"/>
      <c r="Q1625" s="18"/>
      <c r="R1625" s="18"/>
      <c r="S1625" s="18"/>
      <c r="T1625" s="672"/>
      <c r="U1625" s="873"/>
      <c r="V1625" s="4"/>
    </row>
    <row r="1626" spans="4:22" x14ac:dyDescent="0.25">
      <c r="M1626" s="796"/>
      <c r="N1626" s="871"/>
      <c r="P1626" s="872"/>
      <c r="Q1626" s="18"/>
      <c r="R1626" s="18"/>
      <c r="S1626" s="18"/>
      <c r="T1626" s="672"/>
      <c r="U1626" s="873"/>
      <c r="V1626" s="4"/>
    </row>
    <row r="1627" spans="4:22" x14ac:dyDescent="0.25">
      <c r="M1627" s="796"/>
      <c r="N1627" s="871"/>
      <c r="P1627" s="872"/>
      <c r="Q1627" s="18"/>
      <c r="R1627" s="18"/>
      <c r="S1627" s="18"/>
      <c r="T1627" s="672"/>
      <c r="U1627" s="873"/>
      <c r="V1627" s="4"/>
    </row>
    <row r="1628" spans="4:22" x14ac:dyDescent="0.25">
      <c r="M1628" s="796"/>
      <c r="N1628" s="871"/>
      <c r="P1628" s="872"/>
      <c r="Q1628" s="18"/>
      <c r="R1628" s="18"/>
      <c r="S1628" s="18"/>
      <c r="T1628" s="672"/>
      <c r="U1628" s="873"/>
      <c r="V1628" s="4"/>
    </row>
    <row r="1629" spans="4:22" x14ac:dyDescent="0.25">
      <c r="M1629" s="796"/>
      <c r="N1629" s="871"/>
      <c r="P1629" s="872"/>
      <c r="Q1629" s="18"/>
      <c r="R1629" s="18"/>
      <c r="S1629" s="18"/>
      <c r="T1629" s="672"/>
      <c r="U1629" s="873"/>
      <c r="V1629" s="4"/>
    </row>
    <row r="1630" spans="4:22" x14ac:dyDescent="0.25">
      <c r="M1630" s="796"/>
      <c r="N1630" s="871"/>
      <c r="P1630" s="872"/>
      <c r="Q1630" s="18"/>
      <c r="R1630" s="18"/>
      <c r="S1630" s="18"/>
      <c r="T1630" s="672"/>
      <c r="U1630" s="873"/>
      <c r="V1630" s="4"/>
    </row>
    <row r="1631" spans="4:22" x14ac:dyDescent="0.25">
      <c r="M1631" s="796"/>
      <c r="N1631" s="871"/>
      <c r="P1631" s="872"/>
      <c r="Q1631" s="18"/>
      <c r="R1631" s="18"/>
      <c r="S1631" s="18"/>
      <c r="T1631" s="672"/>
      <c r="U1631" s="873"/>
      <c r="V1631" s="4"/>
    </row>
    <row r="1632" spans="4:22" x14ac:dyDescent="0.25">
      <c r="M1632" s="796"/>
      <c r="N1632" s="871"/>
      <c r="P1632" s="872"/>
      <c r="Q1632" s="18"/>
      <c r="R1632" s="18"/>
      <c r="S1632" s="18"/>
      <c r="T1632" s="672"/>
      <c r="U1632" s="873"/>
      <c r="V1632" s="4"/>
    </row>
    <row r="1633" spans="13:22" x14ac:dyDescent="0.25">
      <c r="M1633" s="796"/>
      <c r="N1633" s="871"/>
      <c r="P1633" s="872"/>
      <c r="Q1633" s="18"/>
      <c r="R1633" s="18"/>
      <c r="S1633" s="18"/>
      <c r="T1633" s="672"/>
      <c r="U1633" s="873"/>
      <c r="V1633" s="4"/>
    </row>
    <row r="1634" spans="13:22" x14ac:dyDescent="0.25">
      <c r="M1634" s="796"/>
      <c r="N1634" s="871"/>
      <c r="P1634" s="872"/>
      <c r="Q1634" s="18"/>
      <c r="R1634" s="18"/>
      <c r="S1634" s="18"/>
      <c r="T1634" s="672"/>
      <c r="U1634" s="873"/>
      <c r="V1634" s="4"/>
    </row>
    <row r="1635" spans="13:22" x14ac:dyDescent="0.25">
      <c r="M1635" s="796"/>
      <c r="N1635" s="871"/>
      <c r="P1635" s="872"/>
      <c r="Q1635" s="18"/>
      <c r="R1635" s="18"/>
      <c r="S1635" s="18"/>
      <c r="T1635" s="672"/>
      <c r="U1635" s="873"/>
      <c r="V1635" s="4"/>
    </row>
    <row r="1636" spans="13:22" x14ac:dyDescent="0.25">
      <c r="M1636" s="796"/>
      <c r="N1636" s="871"/>
      <c r="P1636" s="872"/>
      <c r="Q1636" s="18"/>
      <c r="R1636" s="18"/>
      <c r="S1636" s="18"/>
      <c r="T1636" s="672"/>
      <c r="U1636" s="873"/>
      <c r="V1636" s="4"/>
    </row>
    <row r="1637" spans="13:22" x14ac:dyDescent="0.25">
      <c r="M1637" s="796"/>
      <c r="N1637" s="871"/>
      <c r="P1637" s="872"/>
      <c r="Q1637" s="18"/>
      <c r="R1637" s="18"/>
      <c r="S1637" s="18"/>
      <c r="T1637" s="672"/>
      <c r="U1637" s="873"/>
      <c r="V1637" s="4"/>
    </row>
    <row r="1638" spans="13:22" x14ac:dyDescent="0.25">
      <c r="M1638" s="796"/>
      <c r="N1638" s="871"/>
      <c r="P1638" s="872"/>
      <c r="Q1638" s="18"/>
      <c r="R1638" s="18"/>
      <c r="S1638" s="18"/>
      <c r="T1638" s="672"/>
      <c r="U1638" s="873"/>
      <c r="V1638" s="4"/>
    </row>
    <row r="1639" spans="13:22" x14ac:dyDescent="0.25">
      <c r="M1639" s="796"/>
      <c r="N1639" s="871"/>
      <c r="P1639" s="872"/>
      <c r="Q1639" s="18"/>
      <c r="R1639" s="18"/>
      <c r="S1639" s="18"/>
      <c r="T1639" s="672"/>
      <c r="U1639" s="873"/>
      <c r="V1639" s="4"/>
    </row>
    <row r="1640" spans="13:22" x14ac:dyDescent="0.25">
      <c r="M1640" s="796"/>
      <c r="N1640" s="871"/>
      <c r="P1640" s="872"/>
      <c r="Q1640" s="18"/>
      <c r="R1640" s="18"/>
      <c r="S1640" s="18"/>
      <c r="T1640" s="672"/>
      <c r="U1640" s="873"/>
      <c r="V1640" s="4"/>
    </row>
    <row r="1641" spans="13:22" x14ac:dyDescent="0.25">
      <c r="M1641" s="796"/>
      <c r="N1641" s="871"/>
      <c r="P1641" s="872"/>
      <c r="Q1641" s="18"/>
      <c r="R1641" s="18"/>
      <c r="S1641" s="18"/>
      <c r="T1641" s="672"/>
      <c r="U1641" s="873"/>
      <c r="V1641" s="4"/>
    </row>
    <row r="1642" spans="13:22" x14ac:dyDescent="0.25">
      <c r="M1642" s="796"/>
      <c r="N1642" s="871"/>
      <c r="P1642" s="872"/>
      <c r="Q1642" s="18"/>
      <c r="R1642" s="18"/>
      <c r="S1642" s="18"/>
      <c r="T1642" s="672"/>
      <c r="U1642" s="873"/>
      <c r="V1642" s="4"/>
    </row>
    <row r="1643" spans="13:22" x14ac:dyDescent="0.25">
      <c r="M1643" s="796"/>
      <c r="N1643" s="871"/>
      <c r="P1643" s="872"/>
      <c r="Q1643" s="18"/>
      <c r="R1643" s="18"/>
      <c r="S1643" s="18"/>
      <c r="T1643" s="672"/>
      <c r="U1643" s="873"/>
      <c r="V1643" s="4"/>
    </row>
    <row r="1644" spans="13:22" x14ac:dyDescent="0.25">
      <c r="M1644" s="796"/>
      <c r="N1644" s="871"/>
      <c r="P1644" s="872"/>
      <c r="Q1644" s="18"/>
      <c r="R1644" s="18"/>
      <c r="S1644" s="18"/>
      <c r="T1644" s="672"/>
      <c r="U1644" s="873"/>
      <c r="V1644" s="4"/>
    </row>
    <row r="1645" spans="13:22" x14ac:dyDescent="0.25">
      <c r="M1645" s="796"/>
      <c r="N1645" s="871"/>
      <c r="P1645" s="872"/>
      <c r="Q1645" s="18"/>
      <c r="R1645" s="18"/>
      <c r="S1645" s="18"/>
      <c r="T1645" s="672"/>
      <c r="U1645" s="873"/>
      <c r="V1645" s="4"/>
    </row>
    <row r="1646" spans="13:22" x14ac:dyDescent="0.25">
      <c r="M1646" s="796"/>
      <c r="N1646" s="871"/>
      <c r="P1646" s="872"/>
      <c r="Q1646" s="18"/>
      <c r="R1646" s="18"/>
      <c r="S1646" s="18"/>
      <c r="T1646" s="672"/>
      <c r="U1646" s="873"/>
      <c r="V1646" s="4"/>
    </row>
    <row r="1647" spans="13:22" x14ac:dyDescent="0.25">
      <c r="M1647" s="796"/>
      <c r="N1647" s="871"/>
      <c r="P1647" s="872"/>
      <c r="Q1647" s="18"/>
      <c r="R1647" s="18"/>
      <c r="S1647" s="18"/>
      <c r="T1647" s="672"/>
      <c r="U1647" s="873"/>
      <c r="V1647" s="4"/>
    </row>
    <row r="1648" spans="13:22" x14ac:dyDescent="0.25">
      <c r="M1648" s="796"/>
      <c r="N1648" s="871"/>
      <c r="P1648" s="872"/>
      <c r="Q1648" s="18"/>
      <c r="R1648" s="18"/>
      <c r="S1648" s="18"/>
      <c r="T1648" s="672"/>
      <c r="U1648" s="873"/>
      <c r="V1648" s="4"/>
    </row>
    <row r="1649" spans="13:22" x14ac:dyDescent="0.25">
      <c r="M1649" s="796"/>
      <c r="N1649" s="871"/>
      <c r="P1649" s="872"/>
      <c r="Q1649" s="18"/>
      <c r="R1649" s="18"/>
      <c r="S1649" s="18"/>
      <c r="T1649" s="672"/>
      <c r="U1649" s="873"/>
      <c r="V1649" s="4"/>
    </row>
    <row r="1650" spans="13:22" x14ac:dyDescent="0.25">
      <c r="M1650" s="796"/>
      <c r="N1650" s="871"/>
      <c r="P1650" s="872"/>
      <c r="Q1650" s="18"/>
      <c r="R1650" s="18"/>
      <c r="S1650" s="18"/>
      <c r="T1650" s="672"/>
      <c r="U1650" s="873"/>
      <c r="V1650" s="4"/>
    </row>
    <row r="1651" spans="13:22" x14ac:dyDescent="0.25">
      <c r="M1651" s="796"/>
      <c r="N1651" s="871"/>
      <c r="P1651" s="872"/>
      <c r="Q1651" s="18"/>
      <c r="R1651" s="18"/>
      <c r="S1651" s="18"/>
      <c r="T1651" s="672"/>
      <c r="U1651" s="873"/>
      <c r="V1651" s="4"/>
    </row>
    <row r="1652" spans="13:22" x14ac:dyDescent="0.25">
      <c r="M1652" s="796"/>
      <c r="N1652" s="871"/>
      <c r="P1652" s="872"/>
      <c r="Q1652" s="18"/>
      <c r="R1652" s="18"/>
      <c r="S1652" s="18"/>
      <c r="T1652" s="672"/>
      <c r="U1652" s="873"/>
      <c r="V1652" s="4"/>
    </row>
    <row r="1653" spans="13:22" x14ac:dyDescent="0.25">
      <c r="M1653" s="796"/>
      <c r="N1653" s="871"/>
      <c r="P1653" s="872"/>
      <c r="Q1653" s="18"/>
      <c r="R1653" s="18"/>
      <c r="S1653" s="18"/>
      <c r="T1653" s="672"/>
      <c r="U1653" s="873"/>
      <c r="V1653" s="4"/>
    </row>
    <row r="1654" spans="13:22" x14ac:dyDescent="0.25">
      <c r="M1654" s="796"/>
      <c r="N1654" s="871"/>
      <c r="P1654" s="872"/>
      <c r="Q1654" s="18"/>
      <c r="R1654" s="18"/>
      <c r="S1654" s="18"/>
      <c r="T1654" s="672"/>
      <c r="U1654" s="873"/>
      <c r="V1654" s="4"/>
    </row>
    <row r="1655" spans="13:22" x14ac:dyDescent="0.25">
      <c r="M1655" s="796"/>
      <c r="N1655" s="871"/>
      <c r="P1655" s="872"/>
      <c r="Q1655" s="18"/>
      <c r="R1655" s="18"/>
      <c r="S1655" s="18"/>
      <c r="T1655" s="672"/>
      <c r="U1655" s="873"/>
      <c r="V1655" s="4"/>
    </row>
    <row r="1656" spans="13:22" x14ac:dyDescent="0.25">
      <c r="M1656" s="796"/>
      <c r="N1656" s="871"/>
      <c r="P1656" s="872"/>
      <c r="Q1656" s="18"/>
      <c r="R1656" s="18"/>
      <c r="S1656" s="18"/>
      <c r="T1656" s="672"/>
      <c r="U1656" s="873"/>
      <c r="V1656" s="4"/>
    </row>
    <row r="1657" spans="13:22" x14ac:dyDescent="0.25">
      <c r="M1657" s="796"/>
      <c r="N1657" s="871"/>
      <c r="P1657" s="872"/>
      <c r="Q1657" s="18"/>
      <c r="R1657" s="18"/>
      <c r="S1657" s="18"/>
      <c r="T1657" s="672"/>
      <c r="U1657" s="873"/>
      <c r="V1657" s="4"/>
    </row>
    <row r="1658" spans="13:22" x14ac:dyDescent="0.25">
      <c r="M1658" s="796"/>
      <c r="N1658" s="871"/>
      <c r="P1658" s="872"/>
      <c r="Q1658" s="18"/>
      <c r="R1658" s="18"/>
      <c r="S1658" s="18"/>
      <c r="T1658" s="672"/>
      <c r="U1658" s="873"/>
      <c r="V1658" s="4"/>
    </row>
    <row r="1659" spans="13:22" x14ac:dyDescent="0.25">
      <c r="M1659" s="796"/>
      <c r="N1659" s="871"/>
      <c r="P1659" s="872"/>
      <c r="Q1659" s="18"/>
      <c r="R1659" s="18"/>
      <c r="S1659" s="18"/>
      <c r="T1659" s="672"/>
      <c r="U1659" s="873"/>
      <c r="V1659" s="4"/>
    </row>
    <row r="1660" spans="13:22" x14ac:dyDescent="0.25">
      <c r="M1660" s="796"/>
      <c r="N1660" s="871"/>
      <c r="P1660" s="872"/>
      <c r="Q1660" s="18"/>
      <c r="R1660" s="18"/>
      <c r="S1660" s="18"/>
      <c r="T1660" s="672"/>
      <c r="U1660" s="873"/>
      <c r="V1660" s="4"/>
    </row>
    <row r="1661" spans="13:22" x14ac:dyDescent="0.25">
      <c r="M1661" s="796"/>
      <c r="N1661" s="871"/>
      <c r="P1661" s="872"/>
      <c r="Q1661" s="18"/>
      <c r="R1661" s="18"/>
      <c r="S1661" s="18"/>
      <c r="T1661" s="672"/>
      <c r="U1661" s="873"/>
      <c r="V1661" s="4"/>
    </row>
    <row r="1662" spans="13:22" x14ac:dyDescent="0.25">
      <c r="M1662" s="796"/>
      <c r="N1662" s="871"/>
      <c r="P1662" s="872"/>
      <c r="Q1662" s="18"/>
      <c r="R1662" s="18"/>
      <c r="S1662" s="18"/>
      <c r="T1662" s="672"/>
      <c r="U1662" s="873"/>
      <c r="V1662" s="4"/>
    </row>
    <row r="1663" spans="13:22" x14ac:dyDescent="0.25">
      <c r="M1663" s="796"/>
      <c r="N1663" s="871"/>
      <c r="P1663" s="872"/>
      <c r="Q1663" s="18"/>
      <c r="R1663" s="18"/>
      <c r="S1663" s="18"/>
      <c r="T1663" s="672"/>
      <c r="U1663" s="873"/>
      <c r="V1663" s="4"/>
    </row>
    <row r="1664" spans="13:22" x14ac:dyDescent="0.25">
      <c r="M1664" s="796"/>
      <c r="N1664" s="871"/>
      <c r="P1664" s="872"/>
      <c r="Q1664" s="18"/>
      <c r="R1664" s="18"/>
      <c r="S1664" s="18"/>
      <c r="T1664" s="672"/>
      <c r="U1664" s="873"/>
      <c r="V1664" s="4"/>
    </row>
    <row r="1665" spans="13:22" x14ac:dyDescent="0.25">
      <c r="M1665" s="796"/>
      <c r="N1665" s="871"/>
      <c r="P1665" s="872"/>
      <c r="Q1665" s="18"/>
      <c r="R1665" s="18"/>
      <c r="S1665" s="18"/>
      <c r="T1665" s="672"/>
      <c r="U1665" s="873"/>
      <c r="V1665" s="4"/>
    </row>
    <row r="1666" spans="13:22" x14ac:dyDescent="0.25">
      <c r="M1666" s="796"/>
      <c r="N1666" s="871"/>
      <c r="P1666" s="872"/>
      <c r="Q1666" s="18"/>
      <c r="R1666" s="18"/>
      <c r="S1666" s="18"/>
      <c r="T1666" s="672"/>
      <c r="U1666" s="873"/>
      <c r="V1666" s="4"/>
    </row>
    <row r="1667" spans="13:22" x14ac:dyDescent="0.25">
      <c r="M1667" s="796"/>
      <c r="N1667" s="871"/>
      <c r="P1667" s="872"/>
      <c r="Q1667" s="18"/>
      <c r="R1667" s="18"/>
      <c r="S1667" s="18"/>
      <c r="T1667" s="672"/>
      <c r="U1667" s="873"/>
      <c r="V1667" s="4"/>
    </row>
    <row r="1668" spans="13:22" x14ac:dyDescent="0.25">
      <c r="M1668" s="796"/>
      <c r="N1668" s="871"/>
      <c r="P1668" s="872"/>
      <c r="Q1668" s="18"/>
      <c r="R1668" s="18"/>
      <c r="S1668" s="18"/>
      <c r="T1668" s="672"/>
      <c r="U1668" s="873"/>
      <c r="V1668" s="4"/>
    </row>
    <row r="1669" spans="13:22" x14ac:dyDescent="0.25">
      <c r="M1669" s="796"/>
      <c r="N1669" s="871"/>
      <c r="P1669" s="872"/>
      <c r="Q1669" s="18"/>
      <c r="R1669" s="18"/>
      <c r="S1669" s="18"/>
      <c r="T1669" s="672"/>
      <c r="U1669" s="873"/>
      <c r="V1669" s="4"/>
    </row>
    <row r="1670" spans="13:22" x14ac:dyDescent="0.25">
      <c r="M1670" s="796"/>
      <c r="N1670" s="871"/>
      <c r="P1670" s="872"/>
      <c r="Q1670" s="18"/>
      <c r="R1670" s="18"/>
      <c r="S1670" s="18"/>
      <c r="T1670" s="672"/>
      <c r="U1670" s="873"/>
      <c r="V1670" s="4"/>
    </row>
    <row r="1671" spans="13:22" x14ac:dyDescent="0.25">
      <c r="M1671" s="796"/>
      <c r="N1671" s="871"/>
      <c r="P1671" s="872"/>
      <c r="Q1671" s="18"/>
      <c r="R1671" s="18"/>
      <c r="S1671" s="18"/>
      <c r="T1671" s="672"/>
      <c r="U1671" s="873"/>
      <c r="V1671" s="4"/>
    </row>
    <row r="1672" spans="13:22" x14ac:dyDescent="0.25">
      <c r="M1672" s="796"/>
      <c r="N1672" s="871"/>
      <c r="P1672" s="872"/>
      <c r="Q1672" s="18"/>
      <c r="R1672" s="18"/>
      <c r="S1672" s="18"/>
      <c r="T1672" s="672"/>
      <c r="U1672" s="873"/>
      <c r="V1672" s="4"/>
    </row>
    <row r="1673" spans="13:22" x14ac:dyDescent="0.25">
      <c r="M1673" s="796"/>
      <c r="N1673" s="871"/>
      <c r="P1673" s="872"/>
      <c r="Q1673" s="18"/>
      <c r="R1673" s="18"/>
      <c r="S1673" s="18"/>
      <c r="T1673" s="672"/>
      <c r="U1673" s="873"/>
      <c r="V1673" s="4"/>
    </row>
    <row r="1674" spans="13:22" x14ac:dyDescent="0.25">
      <c r="M1674" s="796"/>
      <c r="N1674" s="871"/>
      <c r="P1674" s="872"/>
      <c r="Q1674" s="18"/>
      <c r="R1674" s="18"/>
      <c r="S1674" s="18"/>
      <c r="T1674" s="672"/>
      <c r="U1674" s="873"/>
      <c r="V1674" s="4"/>
    </row>
    <row r="1675" spans="13:22" x14ac:dyDescent="0.25">
      <c r="M1675" s="796"/>
      <c r="N1675" s="871"/>
      <c r="P1675" s="872"/>
      <c r="Q1675" s="18"/>
      <c r="R1675" s="18"/>
      <c r="S1675" s="18"/>
      <c r="T1675" s="672"/>
      <c r="U1675" s="873"/>
      <c r="V1675" s="4"/>
    </row>
    <row r="1676" spans="13:22" x14ac:dyDescent="0.25">
      <c r="M1676" s="796"/>
      <c r="N1676" s="871"/>
      <c r="P1676" s="872"/>
      <c r="Q1676" s="18"/>
      <c r="R1676" s="18"/>
      <c r="S1676" s="18"/>
      <c r="T1676" s="672"/>
      <c r="U1676" s="873"/>
      <c r="V1676" s="4"/>
    </row>
    <row r="1677" spans="13:22" x14ac:dyDescent="0.25">
      <c r="M1677" s="796"/>
      <c r="N1677" s="871"/>
      <c r="P1677" s="872"/>
      <c r="Q1677" s="18"/>
      <c r="R1677" s="18"/>
      <c r="S1677" s="18"/>
      <c r="T1677" s="672"/>
      <c r="U1677" s="873"/>
      <c r="V1677" s="4"/>
    </row>
    <row r="1678" spans="13:22" x14ac:dyDescent="0.25">
      <c r="M1678" s="796"/>
      <c r="N1678" s="871"/>
      <c r="P1678" s="872"/>
      <c r="Q1678" s="18"/>
      <c r="R1678" s="18"/>
      <c r="S1678" s="18"/>
      <c r="T1678" s="672"/>
      <c r="U1678" s="873"/>
      <c r="V1678" s="4"/>
    </row>
    <row r="1679" spans="13:22" x14ac:dyDescent="0.25">
      <c r="M1679" s="796"/>
      <c r="N1679" s="871"/>
      <c r="P1679" s="872"/>
      <c r="Q1679" s="18"/>
      <c r="R1679" s="18"/>
      <c r="S1679" s="18"/>
      <c r="T1679" s="672"/>
      <c r="U1679" s="873"/>
      <c r="V1679" s="4"/>
    </row>
    <row r="1680" spans="13:22" x14ac:dyDescent="0.25">
      <c r="M1680" s="796"/>
      <c r="N1680" s="871"/>
      <c r="P1680" s="872"/>
      <c r="Q1680" s="18"/>
      <c r="R1680" s="18"/>
      <c r="S1680" s="18"/>
      <c r="T1680" s="672"/>
      <c r="U1680" s="873"/>
      <c r="V1680" s="4"/>
    </row>
    <row r="1681" spans="13:22" x14ac:dyDescent="0.25">
      <c r="M1681" s="796"/>
      <c r="N1681" s="871"/>
      <c r="P1681" s="872"/>
      <c r="Q1681" s="18"/>
      <c r="R1681" s="18"/>
      <c r="S1681" s="18"/>
      <c r="T1681" s="672"/>
      <c r="U1681" s="873"/>
      <c r="V1681" s="4"/>
    </row>
    <row r="1682" spans="13:22" x14ac:dyDescent="0.25">
      <c r="M1682" s="796"/>
      <c r="N1682" s="871"/>
      <c r="P1682" s="872"/>
      <c r="Q1682" s="18"/>
      <c r="R1682" s="18"/>
      <c r="S1682" s="18"/>
      <c r="T1682" s="672"/>
      <c r="U1682" s="873"/>
      <c r="V1682" s="4"/>
    </row>
    <row r="1683" spans="13:22" x14ac:dyDescent="0.25">
      <c r="M1683" s="796"/>
      <c r="N1683" s="871"/>
      <c r="P1683" s="872"/>
      <c r="Q1683" s="18"/>
      <c r="R1683" s="18"/>
      <c r="S1683" s="18"/>
      <c r="T1683" s="672"/>
      <c r="U1683" s="873"/>
      <c r="V1683" s="4"/>
    </row>
    <row r="1684" spans="13:22" x14ac:dyDescent="0.25">
      <c r="M1684" s="796"/>
      <c r="N1684" s="871"/>
      <c r="P1684" s="872"/>
      <c r="Q1684" s="18"/>
      <c r="R1684" s="18"/>
      <c r="S1684" s="18"/>
      <c r="T1684" s="672"/>
      <c r="U1684" s="873"/>
      <c r="V1684" s="4"/>
    </row>
    <row r="1685" spans="13:22" x14ac:dyDescent="0.25">
      <c r="M1685" s="796"/>
      <c r="N1685" s="871"/>
      <c r="P1685" s="872"/>
      <c r="Q1685" s="18"/>
      <c r="R1685" s="18"/>
      <c r="S1685" s="18"/>
      <c r="T1685" s="672"/>
      <c r="U1685" s="873"/>
      <c r="V1685" s="4"/>
    </row>
    <row r="1686" spans="13:22" x14ac:dyDescent="0.25">
      <c r="M1686" s="796"/>
      <c r="N1686" s="871"/>
      <c r="P1686" s="872"/>
      <c r="Q1686" s="18"/>
      <c r="R1686" s="18"/>
      <c r="S1686" s="18"/>
      <c r="T1686" s="672"/>
      <c r="U1686" s="873"/>
      <c r="V1686" s="4"/>
    </row>
    <row r="1687" spans="13:22" x14ac:dyDescent="0.25">
      <c r="M1687" s="796"/>
      <c r="N1687" s="871"/>
      <c r="P1687" s="872"/>
      <c r="Q1687" s="18"/>
      <c r="R1687" s="18"/>
      <c r="S1687" s="18"/>
      <c r="T1687" s="672"/>
      <c r="U1687" s="873"/>
      <c r="V1687" s="4"/>
    </row>
    <row r="1688" spans="13:22" x14ac:dyDescent="0.25">
      <c r="M1688" s="796"/>
      <c r="N1688" s="871"/>
      <c r="P1688" s="872"/>
      <c r="Q1688" s="18"/>
      <c r="R1688" s="18"/>
      <c r="S1688" s="18"/>
      <c r="T1688" s="672"/>
      <c r="U1688" s="873"/>
      <c r="V1688" s="4"/>
    </row>
    <row r="1689" spans="13:22" x14ac:dyDescent="0.25">
      <c r="M1689" s="796"/>
      <c r="N1689" s="871"/>
      <c r="P1689" s="872"/>
      <c r="Q1689" s="18"/>
      <c r="R1689" s="18"/>
      <c r="S1689" s="18"/>
      <c r="T1689" s="672"/>
      <c r="U1689" s="873"/>
      <c r="V1689" s="4"/>
    </row>
    <row r="1690" spans="13:22" x14ac:dyDescent="0.25">
      <c r="M1690" s="796"/>
      <c r="N1690" s="871"/>
      <c r="P1690" s="872"/>
      <c r="Q1690" s="18"/>
      <c r="R1690" s="18"/>
      <c r="S1690" s="18"/>
      <c r="T1690" s="672"/>
      <c r="U1690" s="873"/>
      <c r="V1690" s="4"/>
    </row>
    <row r="1691" spans="13:22" x14ac:dyDescent="0.25">
      <c r="M1691" s="796"/>
      <c r="N1691" s="871"/>
      <c r="P1691" s="872"/>
      <c r="Q1691" s="18"/>
      <c r="R1691" s="18"/>
      <c r="S1691" s="18"/>
      <c r="T1691" s="672"/>
      <c r="U1691" s="873"/>
      <c r="V1691" s="4"/>
    </row>
    <row r="1692" spans="13:22" x14ac:dyDescent="0.25">
      <c r="M1692" s="796"/>
      <c r="N1692" s="871"/>
      <c r="P1692" s="872"/>
      <c r="Q1692" s="18"/>
      <c r="R1692" s="18"/>
      <c r="S1692" s="18"/>
      <c r="T1692" s="672"/>
      <c r="U1692" s="873"/>
      <c r="V1692" s="4"/>
    </row>
    <row r="1693" spans="13:22" x14ac:dyDescent="0.25">
      <c r="M1693" s="796"/>
      <c r="N1693" s="871"/>
      <c r="P1693" s="872"/>
      <c r="Q1693" s="18"/>
      <c r="R1693" s="18"/>
      <c r="S1693" s="18"/>
      <c r="T1693" s="672"/>
      <c r="U1693" s="873"/>
      <c r="V1693" s="4"/>
    </row>
    <row r="1694" spans="13:22" x14ac:dyDescent="0.25">
      <c r="M1694" s="796"/>
      <c r="N1694" s="871"/>
      <c r="P1694" s="872"/>
      <c r="Q1694" s="18"/>
      <c r="R1694" s="18"/>
      <c r="S1694" s="18"/>
      <c r="T1694" s="672"/>
      <c r="U1694" s="873"/>
      <c r="V1694" s="4"/>
    </row>
    <row r="1695" spans="13:22" x14ac:dyDescent="0.25">
      <c r="M1695" s="796"/>
      <c r="N1695" s="871"/>
      <c r="P1695" s="872"/>
      <c r="Q1695" s="18"/>
      <c r="R1695" s="18"/>
      <c r="S1695" s="18"/>
      <c r="T1695" s="672"/>
      <c r="U1695" s="873"/>
      <c r="V1695" s="4"/>
    </row>
    <row r="1696" spans="13:22" x14ac:dyDescent="0.25">
      <c r="M1696" s="796"/>
      <c r="N1696" s="871"/>
      <c r="P1696" s="872"/>
      <c r="Q1696" s="18"/>
      <c r="R1696" s="18"/>
      <c r="S1696" s="18"/>
      <c r="T1696" s="672"/>
      <c r="U1696" s="873"/>
      <c r="V1696" s="4"/>
    </row>
    <row r="1697" spans="13:22" x14ac:dyDescent="0.25">
      <c r="M1697" s="796"/>
      <c r="N1697" s="871"/>
      <c r="P1697" s="872"/>
      <c r="Q1697" s="18"/>
      <c r="R1697" s="18"/>
      <c r="S1697" s="18"/>
      <c r="T1697" s="672"/>
      <c r="U1697" s="873"/>
      <c r="V1697" s="4"/>
    </row>
    <row r="1698" spans="13:22" x14ac:dyDescent="0.25">
      <c r="M1698" s="796"/>
      <c r="N1698" s="871"/>
      <c r="P1698" s="872"/>
      <c r="Q1698" s="18"/>
      <c r="R1698" s="18"/>
      <c r="S1698" s="18"/>
      <c r="T1698" s="672"/>
      <c r="U1698" s="873"/>
      <c r="V1698" s="4"/>
    </row>
    <row r="1699" spans="13:22" x14ac:dyDescent="0.25">
      <c r="M1699" s="796"/>
      <c r="N1699" s="871"/>
      <c r="P1699" s="872"/>
      <c r="Q1699" s="18"/>
      <c r="R1699" s="18"/>
      <c r="S1699" s="18"/>
      <c r="T1699" s="672"/>
      <c r="U1699" s="873"/>
      <c r="V1699" s="4"/>
    </row>
    <row r="1700" spans="13:22" x14ac:dyDescent="0.25">
      <c r="M1700" s="796"/>
      <c r="N1700" s="871"/>
      <c r="P1700" s="872"/>
      <c r="Q1700" s="18"/>
      <c r="R1700" s="18"/>
      <c r="S1700" s="18"/>
      <c r="T1700" s="672"/>
      <c r="U1700" s="873"/>
      <c r="V1700" s="4"/>
    </row>
    <row r="1701" spans="13:22" x14ac:dyDescent="0.25">
      <c r="M1701" s="796"/>
      <c r="N1701" s="871"/>
      <c r="P1701" s="872"/>
      <c r="Q1701" s="18"/>
      <c r="R1701" s="18"/>
      <c r="S1701" s="18"/>
      <c r="T1701" s="672"/>
      <c r="U1701" s="873"/>
      <c r="V1701" s="4"/>
    </row>
    <row r="1702" spans="13:22" x14ac:dyDescent="0.25">
      <c r="M1702" s="796"/>
      <c r="N1702" s="871"/>
      <c r="P1702" s="872"/>
      <c r="Q1702" s="18"/>
      <c r="R1702" s="18"/>
      <c r="S1702" s="18"/>
      <c r="T1702" s="672"/>
      <c r="U1702" s="873"/>
      <c r="V1702" s="4"/>
    </row>
    <row r="1703" spans="13:22" x14ac:dyDescent="0.25">
      <c r="M1703" s="796"/>
      <c r="N1703" s="871"/>
      <c r="P1703" s="872"/>
      <c r="Q1703" s="18"/>
      <c r="R1703" s="18"/>
      <c r="S1703" s="18"/>
      <c r="T1703" s="672"/>
      <c r="U1703" s="873"/>
      <c r="V1703" s="4"/>
    </row>
    <row r="1704" spans="13:22" x14ac:dyDescent="0.25">
      <c r="M1704" s="796"/>
      <c r="N1704" s="871"/>
      <c r="P1704" s="872"/>
      <c r="Q1704" s="18"/>
      <c r="R1704" s="18"/>
      <c r="S1704" s="18"/>
      <c r="T1704" s="672"/>
      <c r="U1704" s="873"/>
      <c r="V1704" s="4"/>
    </row>
    <row r="1705" spans="13:22" x14ac:dyDescent="0.25">
      <c r="M1705" s="796"/>
      <c r="N1705" s="871"/>
      <c r="P1705" s="872"/>
      <c r="Q1705" s="18"/>
      <c r="R1705" s="18"/>
      <c r="S1705" s="18"/>
      <c r="T1705" s="672"/>
      <c r="U1705" s="873"/>
      <c r="V1705" s="4"/>
    </row>
    <row r="1706" spans="13:22" x14ac:dyDescent="0.25">
      <c r="M1706" s="796"/>
      <c r="N1706" s="871"/>
      <c r="P1706" s="872"/>
      <c r="Q1706" s="18"/>
      <c r="R1706" s="18"/>
      <c r="S1706" s="18"/>
      <c r="T1706" s="672"/>
      <c r="U1706" s="873"/>
      <c r="V1706" s="4"/>
    </row>
    <row r="1707" spans="13:22" x14ac:dyDescent="0.25">
      <c r="M1707" s="796"/>
      <c r="N1707" s="871"/>
      <c r="P1707" s="872"/>
      <c r="Q1707" s="18"/>
      <c r="R1707" s="18"/>
      <c r="S1707" s="18"/>
      <c r="T1707" s="672"/>
      <c r="U1707" s="873"/>
      <c r="V1707" s="4"/>
    </row>
    <row r="1708" spans="13:22" x14ac:dyDescent="0.25">
      <c r="M1708" s="796"/>
      <c r="N1708" s="871"/>
      <c r="P1708" s="872"/>
      <c r="Q1708" s="18"/>
      <c r="R1708" s="18"/>
      <c r="S1708" s="18"/>
      <c r="T1708" s="672"/>
      <c r="U1708" s="873"/>
      <c r="V1708" s="4"/>
    </row>
    <row r="1709" spans="13:22" x14ac:dyDescent="0.25">
      <c r="M1709" s="796"/>
      <c r="N1709" s="871"/>
      <c r="P1709" s="872"/>
      <c r="Q1709" s="18"/>
      <c r="R1709" s="18"/>
      <c r="S1709" s="18"/>
      <c r="T1709" s="672"/>
      <c r="U1709" s="873"/>
      <c r="V1709" s="4"/>
    </row>
    <row r="1710" spans="13:22" x14ac:dyDescent="0.25">
      <c r="M1710" s="796"/>
      <c r="N1710" s="871"/>
      <c r="P1710" s="872"/>
      <c r="Q1710" s="18"/>
      <c r="R1710" s="18"/>
      <c r="S1710" s="18"/>
      <c r="T1710" s="672"/>
      <c r="U1710" s="873"/>
      <c r="V1710" s="4"/>
    </row>
    <row r="1711" spans="13:22" x14ac:dyDescent="0.25">
      <c r="M1711" s="796"/>
      <c r="N1711" s="871"/>
      <c r="P1711" s="872"/>
      <c r="Q1711" s="18"/>
      <c r="R1711" s="18"/>
      <c r="S1711" s="18"/>
      <c r="T1711" s="672"/>
      <c r="U1711" s="873"/>
      <c r="V1711" s="4"/>
    </row>
    <row r="1712" spans="13:22" x14ac:dyDescent="0.25">
      <c r="M1712" s="796"/>
      <c r="N1712" s="871"/>
      <c r="P1712" s="872"/>
      <c r="Q1712" s="18"/>
      <c r="R1712" s="18"/>
      <c r="S1712" s="18"/>
      <c r="T1712" s="672"/>
      <c r="U1712" s="873"/>
      <c r="V1712" s="4"/>
    </row>
    <row r="1713" spans="13:22" x14ac:dyDescent="0.25">
      <c r="M1713" s="796"/>
      <c r="N1713" s="871"/>
      <c r="P1713" s="872"/>
      <c r="Q1713" s="18"/>
      <c r="R1713" s="18"/>
      <c r="S1713" s="18"/>
      <c r="T1713" s="672"/>
      <c r="U1713" s="873"/>
      <c r="V1713" s="4"/>
    </row>
    <row r="1714" spans="13:22" x14ac:dyDescent="0.25">
      <c r="M1714" s="796"/>
      <c r="N1714" s="871"/>
      <c r="P1714" s="872"/>
      <c r="Q1714" s="18"/>
      <c r="R1714" s="18"/>
      <c r="S1714" s="18"/>
      <c r="T1714" s="672"/>
      <c r="U1714" s="873"/>
      <c r="V1714" s="4"/>
    </row>
    <row r="1715" spans="13:22" x14ac:dyDescent="0.25">
      <c r="M1715" s="796"/>
      <c r="N1715" s="871"/>
      <c r="P1715" s="872"/>
      <c r="Q1715" s="18"/>
      <c r="R1715" s="18"/>
      <c r="S1715" s="18"/>
      <c r="T1715" s="672"/>
      <c r="U1715" s="873"/>
      <c r="V1715" s="4"/>
    </row>
    <row r="1716" spans="13:22" x14ac:dyDescent="0.25">
      <c r="M1716" s="796"/>
      <c r="N1716" s="871"/>
      <c r="P1716" s="872"/>
      <c r="Q1716" s="18"/>
      <c r="R1716" s="18"/>
      <c r="S1716" s="18"/>
      <c r="T1716" s="672"/>
      <c r="U1716" s="873"/>
      <c r="V1716" s="4"/>
    </row>
    <row r="1717" spans="13:22" x14ac:dyDescent="0.25">
      <c r="M1717" s="796"/>
      <c r="N1717" s="871"/>
      <c r="P1717" s="872"/>
      <c r="Q1717" s="18"/>
      <c r="R1717" s="18"/>
      <c r="S1717" s="18"/>
      <c r="T1717" s="672"/>
      <c r="U1717" s="873"/>
      <c r="V1717" s="4"/>
    </row>
    <row r="1718" spans="13:22" x14ac:dyDescent="0.25">
      <c r="M1718" s="796"/>
      <c r="N1718" s="871"/>
      <c r="P1718" s="872"/>
      <c r="Q1718" s="18"/>
      <c r="R1718" s="18"/>
      <c r="S1718" s="18"/>
      <c r="T1718" s="672"/>
      <c r="U1718" s="873"/>
      <c r="V1718" s="4"/>
    </row>
    <row r="1719" spans="13:22" x14ac:dyDescent="0.25">
      <c r="M1719" s="796"/>
      <c r="N1719" s="871"/>
      <c r="P1719" s="872"/>
      <c r="Q1719" s="18"/>
      <c r="R1719" s="18"/>
      <c r="S1719" s="18"/>
      <c r="T1719" s="672"/>
      <c r="U1719" s="873"/>
      <c r="V1719" s="4"/>
    </row>
    <row r="1720" spans="13:22" x14ac:dyDescent="0.25">
      <c r="M1720" s="796"/>
      <c r="N1720" s="871"/>
      <c r="P1720" s="872"/>
      <c r="Q1720" s="18"/>
      <c r="R1720" s="18"/>
      <c r="S1720" s="18"/>
      <c r="T1720" s="672"/>
      <c r="U1720" s="873"/>
      <c r="V1720" s="4"/>
    </row>
    <row r="1721" spans="13:22" x14ac:dyDescent="0.25">
      <c r="M1721" s="796"/>
      <c r="N1721" s="871"/>
      <c r="P1721" s="872"/>
      <c r="Q1721" s="18"/>
      <c r="R1721" s="18"/>
      <c r="S1721" s="18"/>
      <c r="T1721" s="672"/>
      <c r="U1721" s="873"/>
      <c r="V1721" s="4"/>
    </row>
    <row r="1722" spans="13:22" x14ac:dyDescent="0.25">
      <c r="M1722" s="796"/>
      <c r="N1722" s="871"/>
      <c r="P1722" s="872"/>
      <c r="Q1722" s="18"/>
      <c r="R1722" s="18"/>
      <c r="S1722" s="18"/>
      <c r="T1722" s="672"/>
      <c r="U1722" s="873"/>
      <c r="V1722" s="4"/>
    </row>
    <row r="1723" spans="13:22" x14ac:dyDescent="0.25">
      <c r="M1723" s="796"/>
      <c r="N1723" s="871"/>
      <c r="P1723" s="872"/>
      <c r="Q1723" s="18"/>
      <c r="R1723" s="18"/>
      <c r="S1723" s="18"/>
      <c r="T1723" s="672"/>
      <c r="U1723" s="873"/>
      <c r="V1723" s="4"/>
    </row>
    <row r="1724" spans="13:22" x14ac:dyDescent="0.25">
      <c r="M1724" s="796"/>
      <c r="N1724" s="871"/>
      <c r="P1724" s="872"/>
      <c r="Q1724" s="18"/>
      <c r="R1724" s="18"/>
      <c r="S1724" s="18"/>
      <c r="T1724" s="672"/>
      <c r="U1724" s="873"/>
      <c r="V1724" s="4"/>
    </row>
    <row r="1725" spans="13:22" x14ac:dyDescent="0.25">
      <c r="M1725" s="796"/>
      <c r="N1725" s="871"/>
      <c r="P1725" s="872"/>
      <c r="Q1725" s="18"/>
      <c r="R1725" s="18"/>
      <c r="S1725" s="18"/>
      <c r="T1725" s="672"/>
      <c r="U1725" s="873"/>
      <c r="V1725" s="4"/>
    </row>
    <row r="1726" spans="13:22" x14ac:dyDescent="0.25">
      <c r="M1726" s="796"/>
      <c r="N1726" s="871"/>
      <c r="P1726" s="872"/>
      <c r="Q1726" s="18"/>
      <c r="R1726" s="18"/>
      <c r="S1726" s="18"/>
      <c r="T1726" s="672"/>
      <c r="U1726" s="873"/>
      <c r="V1726" s="4"/>
    </row>
    <row r="1727" spans="13:22" x14ac:dyDescent="0.25">
      <c r="M1727" s="796"/>
      <c r="N1727" s="871"/>
      <c r="P1727" s="872"/>
      <c r="Q1727" s="18"/>
      <c r="R1727" s="18"/>
      <c r="S1727" s="18"/>
      <c r="T1727" s="672"/>
      <c r="U1727" s="873"/>
      <c r="V1727" s="4"/>
    </row>
    <row r="1728" spans="13:22" x14ac:dyDescent="0.25">
      <c r="M1728" s="796"/>
      <c r="N1728" s="871"/>
      <c r="P1728" s="872"/>
      <c r="Q1728" s="18"/>
      <c r="R1728" s="18"/>
      <c r="S1728" s="18"/>
      <c r="T1728" s="672"/>
      <c r="U1728" s="873"/>
      <c r="V1728" s="4"/>
    </row>
    <row r="1729" spans="13:22" x14ac:dyDescent="0.25">
      <c r="M1729" s="796"/>
      <c r="N1729" s="871"/>
      <c r="P1729" s="872"/>
      <c r="Q1729" s="18"/>
      <c r="R1729" s="18"/>
      <c r="S1729" s="18"/>
      <c r="T1729" s="672"/>
      <c r="U1729" s="873"/>
      <c r="V1729" s="4"/>
    </row>
    <row r="1730" spans="13:22" x14ac:dyDescent="0.25">
      <c r="M1730" s="796"/>
      <c r="N1730" s="871"/>
      <c r="P1730" s="872"/>
      <c r="Q1730" s="18"/>
      <c r="R1730" s="18"/>
      <c r="S1730" s="18"/>
      <c r="T1730" s="672"/>
      <c r="U1730" s="873"/>
      <c r="V1730" s="4"/>
    </row>
    <row r="1731" spans="13:22" x14ac:dyDescent="0.25">
      <c r="M1731" s="796"/>
      <c r="N1731" s="871"/>
      <c r="P1731" s="872"/>
      <c r="Q1731" s="18"/>
      <c r="R1731" s="18"/>
      <c r="S1731" s="18"/>
      <c r="T1731" s="672"/>
      <c r="U1731" s="873"/>
      <c r="V1731" s="4"/>
    </row>
    <row r="1732" spans="13:22" x14ac:dyDescent="0.25">
      <c r="M1732" s="796"/>
      <c r="N1732" s="871"/>
      <c r="P1732" s="872"/>
      <c r="Q1732" s="18"/>
      <c r="R1732" s="18"/>
      <c r="S1732" s="18"/>
      <c r="T1732" s="672"/>
      <c r="U1732" s="873"/>
      <c r="V1732" s="4"/>
    </row>
    <row r="1733" spans="13:22" x14ac:dyDescent="0.25">
      <c r="M1733" s="796"/>
      <c r="N1733" s="871"/>
      <c r="P1733" s="872"/>
      <c r="Q1733" s="18"/>
      <c r="R1733" s="18"/>
      <c r="S1733" s="18"/>
      <c r="T1733" s="672"/>
      <c r="U1733" s="873"/>
      <c r="V1733" s="4"/>
    </row>
    <row r="1734" spans="13:22" x14ac:dyDescent="0.25">
      <c r="M1734" s="796"/>
      <c r="N1734" s="871"/>
      <c r="P1734" s="872"/>
      <c r="Q1734" s="18"/>
      <c r="R1734" s="18"/>
      <c r="S1734" s="18"/>
      <c r="T1734" s="672"/>
      <c r="U1734" s="873"/>
      <c r="V1734" s="4"/>
    </row>
    <row r="1735" spans="13:22" x14ac:dyDescent="0.25">
      <c r="M1735" s="796"/>
      <c r="N1735" s="871"/>
      <c r="P1735" s="872"/>
      <c r="Q1735" s="18"/>
      <c r="R1735" s="18"/>
      <c r="S1735" s="18"/>
      <c r="T1735" s="672"/>
      <c r="U1735" s="873"/>
      <c r="V1735" s="4"/>
    </row>
    <row r="1736" spans="13:22" x14ac:dyDescent="0.25">
      <c r="M1736" s="796"/>
      <c r="N1736" s="871"/>
      <c r="P1736" s="872"/>
      <c r="Q1736" s="18"/>
      <c r="R1736" s="18"/>
      <c r="S1736" s="18"/>
      <c r="T1736" s="672"/>
      <c r="U1736" s="873"/>
      <c r="V1736" s="4"/>
    </row>
    <row r="1737" spans="13:22" x14ac:dyDescent="0.25">
      <c r="M1737" s="796"/>
      <c r="N1737" s="871"/>
      <c r="P1737" s="872"/>
      <c r="Q1737" s="18"/>
      <c r="R1737" s="18"/>
      <c r="S1737" s="18"/>
      <c r="T1737" s="672"/>
      <c r="U1737" s="873"/>
      <c r="V1737" s="4"/>
    </row>
    <row r="1738" spans="13:22" x14ac:dyDescent="0.25">
      <c r="M1738" s="796"/>
      <c r="N1738" s="871"/>
      <c r="P1738" s="872"/>
      <c r="Q1738" s="18"/>
      <c r="R1738" s="18"/>
      <c r="S1738" s="18"/>
      <c r="T1738" s="672"/>
      <c r="U1738" s="873"/>
      <c r="V1738" s="4"/>
    </row>
    <row r="1739" spans="13:22" x14ac:dyDescent="0.25">
      <c r="M1739" s="796"/>
      <c r="N1739" s="871"/>
      <c r="P1739" s="872"/>
      <c r="Q1739" s="18"/>
      <c r="R1739" s="18"/>
      <c r="S1739" s="18"/>
      <c r="T1739" s="672"/>
      <c r="U1739" s="873"/>
      <c r="V1739" s="4"/>
    </row>
    <row r="1740" spans="13:22" x14ac:dyDescent="0.25">
      <c r="M1740" s="796"/>
      <c r="N1740" s="871"/>
      <c r="P1740" s="872"/>
      <c r="Q1740" s="18"/>
      <c r="R1740" s="18"/>
      <c r="S1740" s="18"/>
      <c r="T1740" s="672"/>
      <c r="U1740" s="873"/>
      <c r="V1740" s="4"/>
    </row>
    <row r="1741" spans="13:22" x14ac:dyDescent="0.25">
      <c r="M1741" s="796"/>
      <c r="N1741" s="871"/>
      <c r="P1741" s="872"/>
      <c r="Q1741" s="18"/>
      <c r="R1741" s="18"/>
      <c r="S1741" s="18"/>
      <c r="T1741" s="672"/>
      <c r="U1741" s="873"/>
      <c r="V1741" s="4"/>
    </row>
    <row r="1742" spans="13:22" x14ac:dyDescent="0.25">
      <c r="M1742" s="796"/>
      <c r="N1742" s="871"/>
      <c r="P1742" s="872"/>
      <c r="Q1742" s="18"/>
      <c r="R1742" s="18"/>
      <c r="S1742" s="18"/>
      <c r="T1742" s="672"/>
      <c r="U1742" s="873"/>
      <c r="V1742" s="4"/>
    </row>
    <row r="1743" spans="13:22" x14ac:dyDescent="0.25">
      <c r="M1743" s="796"/>
      <c r="N1743" s="871"/>
      <c r="P1743" s="872"/>
      <c r="Q1743" s="18"/>
      <c r="R1743" s="18"/>
      <c r="S1743" s="18"/>
      <c r="T1743" s="672"/>
      <c r="U1743" s="873"/>
      <c r="V1743" s="4"/>
    </row>
    <row r="1744" spans="13:22" x14ac:dyDescent="0.25">
      <c r="M1744" s="796"/>
      <c r="N1744" s="871"/>
      <c r="P1744" s="872"/>
      <c r="Q1744" s="18"/>
      <c r="R1744" s="18"/>
      <c r="S1744" s="18"/>
      <c r="T1744" s="672"/>
      <c r="U1744" s="873"/>
      <c r="V1744" s="4"/>
    </row>
    <row r="1745" spans="13:22" x14ac:dyDescent="0.25">
      <c r="M1745" s="796"/>
      <c r="N1745" s="871"/>
      <c r="P1745" s="872"/>
      <c r="Q1745" s="18"/>
      <c r="R1745" s="18"/>
      <c r="S1745" s="18"/>
      <c r="T1745" s="672"/>
      <c r="U1745" s="873"/>
      <c r="V1745" s="4"/>
    </row>
    <row r="1746" spans="13:22" x14ac:dyDescent="0.25">
      <c r="M1746" s="796"/>
      <c r="N1746" s="871"/>
      <c r="P1746" s="872"/>
      <c r="Q1746" s="18"/>
      <c r="R1746" s="18"/>
      <c r="S1746" s="18"/>
      <c r="T1746" s="672"/>
      <c r="U1746" s="873"/>
      <c r="V1746" s="4"/>
    </row>
    <row r="1747" spans="13:22" x14ac:dyDescent="0.25">
      <c r="M1747" s="796"/>
      <c r="N1747" s="871"/>
      <c r="P1747" s="872"/>
      <c r="Q1747" s="18"/>
      <c r="R1747" s="18"/>
      <c r="S1747" s="18"/>
      <c r="T1747" s="672"/>
      <c r="U1747" s="873"/>
      <c r="V1747" s="4"/>
    </row>
    <row r="1748" spans="13:22" x14ac:dyDescent="0.25">
      <c r="M1748" s="796"/>
      <c r="N1748" s="871"/>
      <c r="P1748" s="872"/>
      <c r="Q1748" s="18"/>
      <c r="R1748" s="18"/>
      <c r="S1748" s="18"/>
      <c r="T1748" s="672"/>
      <c r="U1748" s="873"/>
      <c r="V1748" s="4"/>
    </row>
    <row r="1749" spans="13:22" x14ac:dyDescent="0.25">
      <c r="M1749" s="796"/>
      <c r="N1749" s="871"/>
      <c r="P1749" s="872"/>
      <c r="Q1749" s="18"/>
      <c r="R1749" s="18"/>
      <c r="S1749" s="18"/>
      <c r="T1749" s="672"/>
      <c r="U1749" s="873"/>
      <c r="V1749" s="4"/>
    </row>
    <row r="1750" spans="13:22" x14ac:dyDescent="0.25">
      <c r="M1750" s="796"/>
      <c r="N1750" s="871"/>
      <c r="P1750" s="872"/>
      <c r="Q1750" s="18"/>
      <c r="R1750" s="18"/>
      <c r="S1750" s="18"/>
      <c r="T1750" s="672"/>
      <c r="U1750" s="873"/>
      <c r="V1750" s="4"/>
    </row>
    <row r="1751" spans="13:22" x14ac:dyDescent="0.25">
      <c r="M1751" s="796"/>
      <c r="N1751" s="871"/>
      <c r="P1751" s="872"/>
      <c r="Q1751" s="18"/>
      <c r="R1751" s="18"/>
      <c r="S1751" s="18"/>
      <c r="T1751" s="672"/>
      <c r="U1751" s="873"/>
      <c r="V1751" s="4"/>
    </row>
    <row r="1752" spans="13:22" x14ac:dyDescent="0.25">
      <c r="M1752" s="796"/>
      <c r="N1752" s="871"/>
      <c r="P1752" s="872"/>
      <c r="Q1752" s="18"/>
      <c r="R1752" s="18"/>
      <c r="S1752" s="18"/>
      <c r="T1752" s="672"/>
      <c r="U1752" s="873"/>
      <c r="V1752" s="4"/>
    </row>
    <row r="1753" spans="13:22" x14ac:dyDescent="0.25">
      <c r="M1753" s="796"/>
      <c r="N1753" s="871"/>
      <c r="P1753" s="872"/>
      <c r="Q1753" s="18"/>
      <c r="R1753" s="18"/>
      <c r="S1753" s="18"/>
      <c r="T1753" s="672"/>
      <c r="U1753" s="873"/>
      <c r="V1753" s="4"/>
    </row>
    <row r="1754" spans="13:22" x14ac:dyDescent="0.25">
      <c r="M1754" s="796"/>
      <c r="N1754" s="871"/>
      <c r="P1754" s="872"/>
      <c r="Q1754" s="18"/>
      <c r="R1754" s="18"/>
      <c r="S1754" s="18"/>
      <c r="T1754" s="672"/>
      <c r="U1754" s="873"/>
      <c r="V1754" s="4"/>
    </row>
    <row r="1755" spans="13:22" x14ac:dyDescent="0.25">
      <c r="M1755" s="796"/>
      <c r="N1755" s="871"/>
      <c r="P1755" s="872"/>
      <c r="Q1755" s="18"/>
      <c r="R1755" s="18"/>
      <c r="S1755" s="18"/>
      <c r="T1755" s="672"/>
      <c r="U1755" s="873"/>
      <c r="V1755" s="4"/>
    </row>
    <row r="1756" spans="13:22" x14ac:dyDescent="0.25">
      <c r="M1756" s="796"/>
      <c r="N1756" s="871"/>
      <c r="P1756" s="872"/>
      <c r="Q1756" s="18"/>
      <c r="R1756" s="18"/>
      <c r="S1756" s="18"/>
      <c r="T1756" s="672"/>
      <c r="U1756" s="873"/>
      <c r="V1756" s="4"/>
    </row>
    <row r="1757" spans="13:22" x14ac:dyDescent="0.25">
      <c r="M1757" s="796"/>
      <c r="N1757" s="871"/>
      <c r="P1757" s="872"/>
      <c r="Q1757" s="18"/>
      <c r="R1757" s="18"/>
      <c r="S1757" s="18"/>
      <c r="T1757" s="672"/>
      <c r="U1757" s="873"/>
      <c r="V1757" s="4"/>
    </row>
    <row r="1758" spans="13:22" x14ac:dyDescent="0.25">
      <c r="M1758" s="796"/>
      <c r="N1758" s="871"/>
      <c r="P1758" s="872"/>
      <c r="Q1758" s="18"/>
      <c r="R1758" s="18"/>
      <c r="S1758" s="18"/>
      <c r="T1758" s="672"/>
      <c r="U1758" s="873"/>
      <c r="V1758" s="4"/>
    </row>
    <row r="1759" spans="13:22" x14ac:dyDescent="0.25">
      <c r="M1759" s="796"/>
      <c r="N1759" s="871"/>
      <c r="P1759" s="872"/>
      <c r="Q1759" s="18"/>
      <c r="R1759" s="18"/>
      <c r="S1759" s="18"/>
      <c r="T1759" s="672"/>
      <c r="U1759" s="873"/>
      <c r="V1759" s="4"/>
    </row>
    <row r="1760" spans="13:22" x14ac:dyDescent="0.25">
      <c r="M1760" s="796"/>
      <c r="N1760" s="871"/>
      <c r="P1760" s="872"/>
      <c r="Q1760" s="18"/>
      <c r="R1760" s="18"/>
      <c r="S1760" s="18"/>
      <c r="T1760" s="672"/>
      <c r="U1760" s="873"/>
      <c r="V1760" s="4"/>
    </row>
    <row r="1761" spans="13:22" x14ac:dyDescent="0.25">
      <c r="M1761" s="796"/>
      <c r="N1761" s="871"/>
      <c r="P1761" s="872"/>
      <c r="Q1761" s="18"/>
      <c r="R1761" s="18"/>
      <c r="S1761" s="18"/>
      <c r="T1761" s="672"/>
      <c r="U1761" s="873"/>
      <c r="V1761" s="4"/>
    </row>
    <row r="1762" spans="13:22" x14ac:dyDescent="0.25">
      <c r="M1762" s="796"/>
      <c r="N1762" s="871"/>
      <c r="P1762" s="872"/>
      <c r="Q1762" s="18"/>
      <c r="R1762" s="18"/>
      <c r="S1762" s="18"/>
      <c r="T1762" s="672"/>
      <c r="U1762" s="873"/>
      <c r="V1762" s="4"/>
    </row>
    <row r="1763" spans="13:22" x14ac:dyDescent="0.25">
      <c r="M1763" s="796"/>
      <c r="N1763" s="871"/>
      <c r="P1763" s="872"/>
      <c r="Q1763" s="18"/>
      <c r="R1763" s="18"/>
      <c r="S1763" s="18"/>
      <c r="T1763" s="672"/>
      <c r="U1763" s="873"/>
      <c r="V1763" s="4"/>
    </row>
    <row r="1764" spans="13:22" x14ac:dyDescent="0.25">
      <c r="M1764" s="796"/>
      <c r="N1764" s="871"/>
      <c r="P1764" s="872"/>
      <c r="Q1764" s="18"/>
      <c r="R1764" s="18"/>
      <c r="S1764" s="18"/>
      <c r="T1764" s="672"/>
      <c r="U1764" s="873"/>
      <c r="V1764" s="4"/>
    </row>
    <row r="1765" spans="13:22" x14ac:dyDescent="0.25">
      <c r="M1765" s="796"/>
      <c r="N1765" s="871"/>
      <c r="P1765" s="872"/>
      <c r="Q1765" s="18"/>
      <c r="R1765" s="18"/>
      <c r="S1765" s="18"/>
      <c r="T1765" s="672"/>
      <c r="U1765" s="873"/>
      <c r="V1765" s="4"/>
    </row>
    <row r="1766" spans="13:22" x14ac:dyDescent="0.25">
      <c r="M1766" s="796"/>
      <c r="N1766" s="871"/>
      <c r="P1766" s="872"/>
      <c r="Q1766" s="18"/>
      <c r="R1766" s="18"/>
      <c r="S1766" s="18"/>
      <c r="T1766" s="672"/>
      <c r="U1766" s="873"/>
      <c r="V1766" s="4"/>
    </row>
    <row r="1767" spans="13:22" x14ac:dyDescent="0.25">
      <c r="M1767" s="796"/>
      <c r="N1767" s="871"/>
      <c r="P1767" s="872"/>
      <c r="Q1767" s="18"/>
      <c r="R1767" s="18"/>
      <c r="S1767" s="18"/>
      <c r="T1767" s="672"/>
      <c r="U1767" s="873"/>
      <c r="V1767" s="4"/>
    </row>
    <row r="1768" spans="13:22" x14ac:dyDescent="0.25">
      <c r="M1768" s="796"/>
      <c r="N1768" s="871"/>
      <c r="P1768" s="872"/>
      <c r="Q1768" s="18"/>
      <c r="R1768" s="18"/>
      <c r="S1768" s="18"/>
      <c r="T1768" s="672"/>
      <c r="U1768" s="873"/>
      <c r="V1768" s="4"/>
    </row>
    <row r="1769" spans="13:22" x14ac:dyDescent="0.25">
      <c r="M1769" s="796"/>
      <c r="N1769" s="871"/>
      <c r="P1769" s="872"/>
      <c r="Q1769" s="18"/>
      <c r="R1769" s="18"/>
      <c r="S1769" s="18"/>
      <c r="T1769" s="672"/>
      <c r="U1769" s="873"/>
      <c r="V1769" s="4"/>
    </row>
    <row r="1770" spans="13:22" x14ac:dyDescent="0.25">
      <c r="M1770" s="796"/>
      <c r="N1770" s="871"/>
      <c r="P1770" s="872"/>
      <c r="Q1770" s="18"/>
      <c r="R1770" s="18"/>
      <c r="S1770" s="18"/>
      <c r="T1770" s="672"/>
      <c r="U1770" s="873"/>
      <c r="V1770" s="4"/>
    </row>
    <row r="1771" spans="13:22" x14ac:dyDescent="0.25">
      <c r="M1771" s="796"/>
      <c r="N1771" s="871"/>
      <c r="P1771" s="872"/>
      <c r="Q1771" s="18"/>
      <c r="R1771" s="18"/>
      <c r="S1771" s="18"/>
      <c r="T1771" s="672"/>
      <c r="U1771" s="873"/>
      <c r="V1771" s="4"/>
    </row>
    <row r="1772" spans="13:22" x14ac:dyDescent="0.25">
      <c r="M1772" s="796"/>
      <c r="N1772" s="871"/>
      <c r="P1772" s="872"/>
      <c r="Q1772" s="18"/>
      <c r="R1772" s="18"/>
      <c r="S1772" s="18"/>
      <c r="T1772" s="672"/>
      <c r="U1772" s="873"/>
      <c r="V1772" s="4"/>
    </row>
    <row r="1773" spans="13:22" x14ac:dyDescent="0.25">
      <c r="M1773" s="796"/>
      <c r="N1773" s="871"/>
      <c r="P1773" s="872"/>
      <c r="Q1773" s="18"/>
      <c r="R1773" s="18"/>
      <c r="S1773" s="18"/>
      <c r="T1773" s="672"/>
      <c r="U1773" s="873"/>
      <c r="V1773" s="4"/>
    </row>
    <row r="1774" spans="13:22" x14ac:dyDescent="0.25">
      <c r="M1774" s="796"/>
      <c r="N1774" s="871"/>
      <c r="P1774" s="872"/>
      <c r="Q1774" s="18"/>
      <c r="R1774" s="18"/>
      <c r="S1774" s="18"/>
      <c r="T1774" s="672"/>
      <c r="U1774" s="873"/>
      <c r="V1774" s="4"/>
    </row>
    <row r="1775" spans="13:22" x14ac:dyDescent="0.25">
      <c r="M1775" s="796"/>
      <c r="N1775" s="871"/>
      <c r="P1775" s="872"/>
      <c r="Q1775" s="18"/>
      <c r="R1775" s="18"/>
      <c r="S1775" s="18"/>
      <c r="T1775" s="672"/>
      <c r="U1775" s="873"/>
      <c r="V1775" s="4"/>
    </row>
    <row r="1776" spans="13:22" x14ac:dyDescent="0.25">
      <c r="M1776" s="796"/>
      <c r="N1776" s="871"/>
      <c r="P1776" s="872"/>
      <c r="Q1776" s="18"/>
      <c r="R1776" s="18"/>
      <c r="S1776" s="18"/>
      <c r="T1776" s="672"/>
      <c r="U1776" s="873"/>
      <c r="V1776" s="4"/>
    </row>
    <row r="1777" spans="13:22" x14ac:dyDescent="0.25">
      <c r="M1777" s="796"/>
      <c r="N1777" s="871"/>
      <c r="P1777" s="872"/>
      <c r="Q1777" s="18"/>
      <c r="R1777" s="18"/>
      <c r="S1777" s="18"/>
      <c r="T1777" s="672"/>
      <c r="U1777" s="873"/>
      <c r="V1777" s="4"/>
    </row>
    <row r="1778" spans="13:22" x14ac:dyDescent="0.25">
      <c r="M1778" s="796"/>
      <c r="N1778" s="871"/>
      <c r="P1778" s="872"/>
      <c r="Q1778" s="18"/>
      <c r="R1778" s="18"/>
      <c r="S1778" s="18"/>
      <c r="T1778" s="672"/>
      <c r="U1778" s="873"/>
      <c r="V1778" s="4"/>
    </row>
    <row r="1779" spans="13:22" x14ac:dyDescent="0.25">
      <c r="M1779" s="796"/>
      <c r="N1779" s="871"/>
      <c r="P1779" s="872"/>
      <c r="Q1779" s="18"/>
      <c r="R1779" s="18"/>
      <c r="S1779" s="18"/>
      <c r="T1779" s="672"/>
      <c r="U1779" s="873"/>
      <c r="V1779" s="4"/>
    </row>
    <row r="1780" spans="13:22" x14ac:dyDescent="0.25">
      <c r="M1780" s="796"/>
      <c r="N1780" s="871"/>
      <c r="P1780" s="872"/>
      <c r="Q1780" s="18"/>
      <c r="R1780" s="18"/>
      <c r="S1780" s="18"/>
      <c r="T1780" s="672"/>
      <c r="U1780" s="873"/>
      <c r="V1780" s="4"/>
    </row>
    <row r="1781" spans="13:22" x14ac:dyDescent="0.25">
      <c r="M1781" s="796"/>
      <c r="N1781" s="871"/>
      <c r="P1781" s="872"/>
      <c r="Q1781" s="18"/>
      <c r="R1781" s="18"/>
      <c r="S1781" s="18"/>
      <c r="T1781" s="672"/>
      <c r="U1781" s="873"/>
      <c r="V1781" s="4"/>
    </row>
    <row r="1782" spans="13:22" x14ac:dyDescent="0.25">
      <c r="M1782" s="796"/>
      <c r="N1782" s="871"/>
      <c r="P1782" s="872"/>
      <c r="Q1782" s="18"/>
      <c r="R1782" s="18"/>
      <c r="S1782" s="18"/>
      <c r="T1782" s="672"/>
      <c r="U1782" s="873"/>
      <c r="V1782" s="4"/>
    </row>
    <row r="1783" spans="13:22" x14ac:dyDescent="0.25">
      <c r="M1783" s="796"/>
      <c r="N1783" s="871"/>
      <c r="P1783" s="872"/>
      <c r="Q1783" s="18"/>
      <c r="R1783" s="18"/>
      <c r="S1783" s="18"/>
      <c r="T1783" s="672"/>
      <c r="U1783" s="873"/>
      <c r="V1783" s="4"/>
    </row>
    <row r="1784" spans="13:22" x14ac:dyDescent="0.25">
      <c r="M1784" s="796"/>
      <c r="N1784" s="871"/>
      <c r="P1784" s="872"/>
      <c r="Q1784" s="18"/>
      <c r="R1784" s="18"/>
      <c r="S1784" s="18"/>
      <c r="T1784" s="672"/>
      <c r="U1784" s="873"/>
      <c r="V1784" s="4"/>
    </row>
    <row r="1785" spans="13:22" x14ac:dyDescent="0.25">
      <c r="M1785" s="796"/>
      <c r="N1785" s="871"/>
      <c r="P1785" s="872"/>
      <c r="Q1785" s="18"/>
      <c r="R1785" s="18"/>
      <c r="S1785" s="18"/>
      <c r="T1785" s="672"/>
      <c r="U1785" s="873"/>
      <c r="V1785" s="4"/>
    </row>
    <row r="1786" spans="13:22" x14ac:dyDescent="0.25">
      <c r="M1786" s="796"/>
      <c r="N1786" s="871"/>
      <c r="P1786" s="872"/>
      <c r="Q1786" s="18"/>
      <c r="R1786" s="18"/>
      <c r="S1786" s="18"/>
      <c r="T1786" s="672"/>
      <c r="U1786" s="873"/>
      <c r="V1786" s="4"/>
    </row>
    <row r="1787" spans="13:22" x14ac:dyDescent="0.25">
      <c r="M1787" s="796"/>
      <c r="N1787" s="871"/>
      <c r="P1787" s="872"/>
      <c r="Q1787" s="18"/>
      <c r="R1787" s="18"/>
      <c r="S1787" s="18"/>
      <c r="T1787" s="672"/>
      <c r="U1787" s="873"/>
      <c r="V1787" s="4"/>
    </row>
    <row r="1788" spans="13:22" x14ac:dyDescent="0.25">
      <c r="M1788" s="796"/>
      <c r="N1788" s="871"/>
      <c r="P1788" s="872"/>
      <c r="Q1788" s="18"/>
      <c r="R1788" s="18"/>
      <c r="S1788" s="18"/>
      <c r="T1788" s="672"/>
      <c r="U1788" s="873"/>
      <c r="V1788" s="4"/>
    </row>
    <row r="1789" spans="13:22" x14ac:dyDescent="0.25">
      <c r="M1789" s="796"/>
      <c r="N1789" s="871"/>
      <c r="P1789" s="872"/>
      <c r="Q1789" s="18"/>
      <c r="R1789" s="18"/>
      <c r="S1789" s="18"/>
      <c r="T1789" s="672"/>
      <c r="U1789" s="873"/>
      <c r="V1789" s="4"/>
    </row>
    <row r="1790" spans="13:22" x14ac:dyDescent="0.25">
      <c r="M1790" s="796"/>
      <c r="N1790" s="871"/>
      <c r="P1790" s="872"/>
      <c r="Q1790" s="18"/>
      <c r="R1790" s="18"/>
      <c r="S1790" s="18"/>
      <c r="T1790" s="672"/>
      <c r="U1790" s="873"/>
      <c r="V1790" s="4"/>
    </row>
    <row r="1791" spans="13:22" x14ac:dyDescent="0.25">
      <c r="M1791" s="796"/>
      <c r="N1791" s="871"/>
      <c r="P1791" s="872"/>
      <c r="Q1791" s="18"/>
      <c r="R1791" s="18"/>
      <c r="S1791" s="18"/>
      <c r="T1791" s="672"/>
      <c r="U1791" s="873"/>
      <c r="V1791" s="4"/>
    </row>
    <row r="1792" spans="13:22" x14ac:dyDescent="0.25">
      <c r="M1792" s="796"/>
      <c r="N1792" s="871"/>
      <c r="P1792" s="872"/>
      <c r="Q1792" s="18"/>
      <c r="R1792" s="18"/>
      <c r="S1792" s="18"/>
      <c r="T1792" s="672"/>
      <c r="U1792" s="873"/>
      <c r="V1792" s="4"/>
    </row>
    <row r="1793" spans="13:22" x14ac:dyDescent="0.25">
      <c r="M1793" s="796"/>
      <c r="N1793" s="871"/>
      <c r="P1793" s="872"/>
      <c r="Q1793" s="18"/>
      <c r="R1793" s="18"/>
      <c r="S1793" s="18"/>
      <c r="T1793" s="672"/>
      <c r="U1793" s="873"/>
      <c r="V1793" s="4"/>
    </row>
    <row r="1794" spans="13:22" x14ac:dyDescent="0.25">
      <c r="M1794" s="796"/>
      <c r="N1794" s="871"/>
      <c r="P1794" s="872"/>
      <c r="Q1794" s="18"/>
      <c r="R1794" s="18"/>
      <c r="S1794" s="18"/>
      <c r="T1794" s="672"/>
      <c r="U1794" s="873"/>
      <c r="V1794" s="4"/>
    </row>
    <row r="1795" spans="13:22" x14ac:dyDescent="0.25">
      <c r="M1795" s="796"/>
      <c r="N1795" s="871"/>
      <c r="P1795" s="872"/>
      <c r="Q1795" s="18"/>
      <c r="R1795" s="18"/>
      <c r="S1795" s="18"/>
      <c r="T1795" s="672"/>
      <c r="U1795" s="873"/>
      <c r="V1795" s="4"/>
    </row>
    <row r="1796" spans="13:22" x14ac:dyDescent="0.25">
      <c r="M1796" s="796"/>
      <c r="N1796" s="871"/>
      <c r="P1796" s="872"/>
      <c r="Q1796" s="18"/>
      <c r="R1796" s="18"/>
      <c r="S1796" s="18"/>
      <c r="T1796" s="672"/>
      <c r="U1796" s="873"/>
      <c r="V1796" s="4"/>
    </row>
    <row r="1797" spans="13:22" x14ac:dyDescent="0.25">
      <c r="M1797" s="796"/>
      <c r="N1797" s="871"/>
      <c r="P1797" s="872"/>
      <c r="Q1797" s="18"/>
      <c r="R1797" s="18"/>
      <c r="S1797" s="18"/>
      <c r="T1797" s="672"/>
      <c r="U1797" s="873"/>
      <c r="V1797" s="4"/>
    </row>
    <row r="1798" spans="13:22" x14ac:dyDescent="0.25">
      <c r="M1798" s="796"/>
      <c r="N1798" s="871"/>
      <c r="P1798" s="872"/>
      <c r="Q1798" s="18"/>
      <c r="R1798" s="18"/>
      <c r="S1798" s="18"/>
      <c r="T1798" s="672"/>
      <c r="U1798" s="873"/>
      <c r="V1798" s="4"/>
    </row>
    <row r="1799" spans="13:22" x14ac:dyDescent="0.25">
      <c r="M1799" s="796"/>
      <c r="N1799" s="871"/>
      <c r="P1799" s="872"/>
      <c r="Q1799" s="18"/>
      <c r="R1799" s="18"/>
      <c r="S1799" s="18"/>
      <c r="T1799" s="672"/>
      <c r="U1799" s="873"/>
      <c r="V1799" s="4"/>
    </row>
    <row r="1800" spans="13:22" x14ac:dyDescent="0.25">
      <c r="M1800" s="796"/>
      <c r="N1800" s="871"/>
      <c r="P1800" s="872"/>
      <c r="Q1800" s="18"/>
      <c r="R1800" s="18"/>
      <c r="S1800" s="18"/>
      <c r="T1800" s="672"/>
      <c r="U1800" s="873"/>
      <c r="V1800" s="4"/>
    </row>
    <row r="1801" spans="13:22" x14ac:dyDescent="0.25">
      <c r="M1801" s="796"/>
      <c r="N1801" s="871"/>
      <c r="P1801" s="872"/>
      <c r="Q1801" s="18"/>
      <c r="R1801" s="18"/>
      <c r="S1801" s="18"/>
      <c r="T1801" s="672"/>
      <c r="U1801" s="873"/>
      <c r="V1801" s="4"/>
    </row>
    <row r="1802" spans="13:22" x14ac:dyDescent="0.25">
      <c r="M1802" s="796"/>
      <c r="N1802" s="871"/>
      <c r="P1802" s="872"/>
      <c r="Q1802" s="18"/>
      <c r="R1802" s="18"/>
      <c r="S1802" s="18"/>
      <c r="T1802" s="672"/>
      <c r="U1802" s="873"/>
      <c r="V1802" s="4"/>
    </row>
    <row r="1803" spans="13:22" x14ac:dyDescent="0.25">
      <c r="M1803" s="796"/>
      <c r="N1803" s="871"/>
      <c r="P1803" s="872"/>
      <c r="Q1803" s="18"/>
      <c r="R1803" s="18"/>
      <c r="S1803" s="18"/>
      <c r="T1803" s="672"/>
      <c r="U1803" s="873"/>
      <c r="V1803" s="4"/>
    </row>
    <row r="1804" spans="13:22" x14ac:dyDescent="0.25">
      <c r="M1804" s="796"/>
      <c r="N1804" s="871"/>
      <c r="P1804" s="872"/>
      <c r="Q1804" s="18"/>
      <c r="R1804" s="18"/>
      <c r="S1804" s="18"/>
      <c r="T1804" s="672"/>
      <c r="U1804" s="873"/>
      <c r="V1804" s="4"/>
    </row>
    <row r="1805" spans="13:22" x14ac:dyDescent="0.25">
      <c r="M1805" s="796"/>
      <c r="N1805" s="871"/>
      <c r="P1805" s="872"/>
      <c r="Q1805" s="18"/>
      <c r="R1805" s="18"/>
      <c r="S1805" s="18"/>
      <c r="T1805" s="672"/>
      <c r="U1805" s="873"/>
      <c r="V1805" s="4"/>
    </row>
    <row r="1806" spans="13:22" x14ac:dyDescent="0.25">
      <c r="M1806" s="796"/>
      <c r="N1806" s="871"/>
      <c r="P1806" s="872"/>
      <c r="Q1806" s="18"/>
      <c r="R1806" s="18"/>
      <c r="S1806" s="18"/>
      <c r="T1806" s="672"/>
      <c r="U1806" s="873"/>
      <c r="V1806" s="4"/>
    </row>
    <row r="1807" spans="13:22" x14ac:dyDescent="0.25">
      <c r="M1807" s="796"/>
      <c r="N1807" s="871"/>
      <c r="P1807" s="872"/>
      <c r="Q1807" s="18"/>
      <c r="R1807" s="18"/>
      <c r="S1807" s="18"/>
      <c r="T1807" s="672"/>
      <c r="U1807" s="873"/>
      <c r="V1807" s="4"/>
    </row>
    <row r="1808" spans="13:22" x14ac:dyDescent="0.25">
      <c r="M1808" s="796"/>
      <c r="N1808" s="871"/>
      <c r="P1808" s="872"/>
      <c r="Q1808" s="18"/>
      <c r="R1808" s="18"/>
      <c r="S1808" s="18"/>
      <c r="T1808" s="672"/>
      <c r="U1808" s="873"/>
      <c r="V1808" s="4"/>
    </row>
    <row r="1809" spans="13:22" x14ac:dyDescent="0.25">
      <c r="M1809" s="796"/>
      <c r="N1809" s="871"/>
      <c r="P1809" s="872"/>
      <c r="Q1809" s="18"/>
      <c r="R1809" s="18"/>
      <c r="S1809" s="18"/>
      <c r="T1809" s="672"/>
      <c r="U1809" s="873"/>
      <c r="V1809" s="4"/>
    </row>
    <row r="1810" spans="13:22" x14ac:dyDescent="0.25">
      <c r="M1810" s="796"/>
      <c r="N1810" s="871"/>
      <c r="P1810" s="872"/>
      <c r="Q1810" s="18"/>
      <c r="R1810" s="18"/>
      <c r="S1810" s="18"/>
      <c r="T1810" s="672"/>
      <c r="U1810" s="873"/>
      <c r="V1810" s="4"/>
    </row>
    <row r="1811" spans="13:22" x14ac:dyDescent="0.25">
      <c r="M1811" s="796"/>
      <c r="N1811" s="871"/>
      <c r="P1811" s="872"/>
      <c r="Q1811" s="18"/>
      <c r="R1811" s="18"/>
      <c r="S1811" s="18"/>
      <c r="T1811" s="672"/>
      <c r="U1811" s="873"/>
      <c r="V1811" s="4"/>
    </row>
    <row r="1812" spans="13:22" x14ac:dyDescent="0.25">
      <c r="M1812" s="796"/>
      <c r="N1812" s="871"/>
      <c r="P1812" s="872"/>
      <c r="Q1812" s="18"/>
      <c r="R1812" s="18"/>
      <c r="S1812" s="18"/>
      <c r="T1812" s="672"/>
      <c r="U1812" s="873"/>
      <c r="V1812" s="4"/>
    </row>
    <row r="1813" spans="13:22" x14ac:dyDescent="0.25">
      <c r="M1813" s="796"/>
      <c r="N1813" s="871"/>
      <c r="P1813" s="872"/>
      <c r="Q1813" s="18"/>
      <c r="R1813" s="18"/>
      <c r="S1813" s="18"/>
      <c r="T1813" s="672"/>
      <c r="U1813" s="873"/>
      <c r="V1813" s="4"/>
    </row>
    <row r="1814" spans="13:22" x14ac:dyDescent="0.25">
      <c r="M1814" s="796"/>
      <c r="N1814" s="871"/>
      <c r="P1814" s="872"/>
      <c r="Q1814" s="18"/>
      <c r="R1814" s="18"/>
      <c r="S1814" s="18"/>
      <c r="T1814" s="672"/>
      <c r="U1814" s="873"/>
      <c r="V1814" s="4"/>
    </row>
    <row r="1815" spans="13:22" x14ac:dyDescent="0.25">
      <c r="M1815" s="796"/>
      <c r="N1815" s="871"/>
      <c r="P1815" s="872"/>
      <c r="Q1815" s="18"/>
      <c r="R1815" s="18"/>
      <c r="S1815" s="18"/>
      <c r="T1815" s="672"/>
      <c r="U1815" s="873"/>
      <c r="V1815" s="4"/>
    </row>
    <row r="1816" spans="13:22" x14ac:dyDescent="0.25">
      <c r="M1816" s="796"/>
      <c r="N1816" s="871"/>
      <c r="P1816" s="872"/>
      <c r="Q1816" s="18"/>
      <c r="R1816" s="18"/>
      <c r="S1816" s="18"/>
      <c r="T1816" s="672"/>
      <c r="U1816" s="873"/>
      <c r="V1816" s="4"/>
    </row>
    <row r="1817" spans="13:22" x14ac:dyDescent="0.25">
      <c r="M1817" s="796"/>
      <c r="N1817" s="871"/>
      <c r="P1817" s="872"/>
      <c r="Q1817" s="18"/>
      <c r="R1817" s="18"/>
      <c r="S1817" s="18"/>
      <c r="T1817" s="672"/>
      <c r="U1817" s="873"/>
      <c r="V1817" s="4"/>
    </row>
    <row r="1818" spans="13:22" x14ac:dyDescent="0.25">
      <c r="M1818" s="796"/>
      <c r="N1818" s="871"/>
      <c r="P1818" s="872"/>
      <c r="Q1818" s="18"/>
      <c r="R1818" s="18"/>
      <c r="S1818" s="18"/>
      <c r="T1818" s="672"/>
      <c r="U1818" s="873"/>
      <c r="V1818" s="4"/>
    </row>
    <row r="1819" spans="13:22" x14ac:dyDescent="0.25">
      <c r="M1819" s="796"/>
      <c r="N1819" s="871"/>
      <c r="P1819" s="872"/>
      <c r="Q1819" s="18"/>
      <c r="R1819" s="18"/>
      <c r="S1819" s="18"/>
      <c r="T1819" s="672"/>
      <c r="U1819" s="873"/>
      <c r="V1819" s="4"/>
    </row>
    <row r="1820" spans="13:22" x14ac:dyDescent="0.25">
      <c r="M1820" s="796"/>
      <c r="N1820" s="871"/>
      <c r="P1820" s="872"/>
      <c r="Q1820" s="18"/>
      <c r="R1820" s="18"/>
      <c r="S1820" s="18"/>
      <c r="T1820" s="672"/>
      <c r="U1820" s="873"/>
      <c r="V1820" s="4"/>
    </row>
    <row r="1821" spans="13:22" x14ac:dyDescent="0.25">
      <c r="M1821" s="796"/>
      <c r="N1821" s="871"/>
      <c r="P1821" s="872"/>
      <c r="Q1821" s="18"/>
      <c r="R1821" s="18"/>
      <c r="S1821" s="18"/>
      <c r="T1821" s="672"/>
      <c r="U1821" s="873"/>
      <c r="V1821" s="4"/>
    </row>
    <row r="1822" spans="13:22" x14ac:dyDescent="0.25">
      <c r="M1822" s="796"/>
      <c r="N1822" s="871"/>
      <c r="P1822" s="872"/>
      <c r="Q1822" s="18"/>
      <c r="R1822" s="18"/>
      <c r="S1822" s="18"/>
      <c r="T1822" s="672"/>
      <c r="U1822" s="873"/>
      <c r="V1822" s="4"/>
    </row>
    <row r="1823" spans="13:22" x14ac:dyDescent="0.25">
      <c r="M1823" s="796"/>
      <c r="N1823" s="871"/>
      <c r="P1823" s="872"/>
      <c r="Q1823" s="18"/>
      <c r="R1823" s="18"/>
      <c r="S1823" s="18"/>
      <c r="T1823" s="672"/>
      <c r="U1823" s="873"/>
      <c r="V1823" s="4"/>
    </row>
    <row r="1824" spans="13:22" x14ac:dyDescent="0.25">
      <c r="M1824" s="796"/>
      <c r="N1824" s="871"/>
      <c r="P1824" s="872"/>
      <c r="Q1824" s="18"/>
      <c r="R1824" s="18"/>
      <c r="S1824" s="18"/>
      <c r="T1824" s="672"/>
      <c r="U1824" s="873"/>
      <c r="V1824" s="4"/>
    </row>
    <row r="1825" spans="13:22" x14ac:dyDescent="0.25">
      <c r="M1825" s="796"/>
      <c r="N1825" s="871"/>
      <c r="P1825" s="872"/>
      <c r="Q1825" s="18"/>
      <c r="R1825" s="18"/>
      <c r="S1825" s="18"/>
      <c r="T1825" s="672"/>
      <c r="U1825" s="873"/>
      <c r="V1825" s="4"/>
    </row>
    <row r="1826" spans="13:22" x14ac:dyDescent="0.25">
      <c r="M1826" s="796"/>
      <c r="N1826" s="871"/>
      <c r="P1826" s="872"/>
      <c r="Q1826" s="18"/>
      <c r="R1826" s="18"/>
      <c r="S1826" s="18"/>
      <c r="T1826" s="672"/>
      <c r="U1826" s="873"/>
      <c r="V1826" s="4"/>
    </row>
    <row r="1827" spans="13:22" x14ac:dyDescent="0.25">
      <c r="M1827" s="796"/>
      <c r="N1827" s="871"/>
      <c r="P1827" s="872"/>
      <c r="Q1827" s="18"/>
      <c r="R1827" s="18"/>
      <c r="S1827" s="18"/>
      <c r="T1827" s="672"/>
      <c r="U1827" s="873"/>
      <c r="V1827" s="4"/>
    </row>
    <row r="1828" spans="13:22" x14ac:dyDescent="0.25">
      <c r="M1828" s="796"/>
      <c r="N1828" s="871"/>
      <c r="P1828" s="872"/>
      <c r="Q1828" s="18"/>
      <c r="R1828" s="18"/>
      <c r="S1828" s="18"/>
      <c r="T1828" s="672"/>
      <c r="U1828" s="873"/>
      <c r="V1828" s="4"/>
    </row>
    <row r="1829" spans="13:22" x14ac:dyDescent="0.25">
      <c r="M1829" s="796"/>
      <c r="N1829" s="871"/>
      <c r="P1829" s="872"/>
      <c r="Q1829" s="18"/>
      <c r="R1829" s="18"/>
      <c r="S1829" s="18"/>
      <c r="T1829" s="672"/>
      <c r="U1829" s="873"/>
      <c r="V1829" s="4"/>
    </row>
    <row r="1830" spans="13:22" x14ac:dyDescent="0.25">
      <c r="M1830" s="796"/>
      <c r="N1830" s="871"/>
      <c r="P1830" s="872"/>
      <c r="Q1830" s="18"/>
      <c r="R1830" s="18"/>
      <c r="S1830" s="18"/>
      <c r="T1830" s="672"/>
      <c r="U1830" s="873"/>
      <c r="V1830" s="4"/>
    </row>
    <row r="1831" spans="13:22" x14ac:dyDescent="0.25">
      <c r="M1831" s="796"/>
      <c r="N1831" s="871"/>
      <c r="P1831" s="872"/>
      <c r="Q1831" s="18"/>
      <c r="R1831" s="18"/>
      <c r="S1831" s="18"/>
      <c r="T1831" s="672"/>
      <c r="U1831" s="873"/>
      <c r="V1831" s="4"/>
    </row>
    <row r="1832" spans="13:22" x14ac:dyDescent="0.25">
      <c r="M1832" s="796"/>
      <c r="N1832" s="871"/>
      <c r="P1832" s="872"/>
      <c r="Q1832" s="18"/>
      <c r="R1832" s="18"/>
      <c r="S1832" s="18"/>
      <c r="T1832" s="672"/>
      <c r="U1832" s="873"/>
      <c r="V1832" s="4"/>
    </row>
    <row r="1833" spans="13:22" x14ac:dyDescent="0.25">
      <c r="M1833" s="796"/>
      <c r="N1833" s="871"/>
      <c r="P1833" s="872"/>
      <c r="Q1833" s="18"/>
      <c r="R1833" s="18"/>
      <c r="S1833" s="18"/>
      <c r="T1833" s="672"/>
      <c r="U1833" s="873"/>
      <c r="V1833" s="4"/>
    </row>
    <row r="1834" spans="13:22" x14ac:dyDescent="0.25">
      <c r="M1834" s="796"/>
      <c r="N1834" s="871"/>
      <c r="P1834" s="872"/>
      <c r="Q1834" s="18"/>
      <c r="R1834" s="18"/>
      <c r="S1834" s="18"/>
      <c r="T1834" s="672"/>
      <c r="U1834" s="873"/>
      <c r="V1834" s="4"/>
    </row>
    <row r="1835" spans="13:22" x14ac:dyDescent="0.25">
      <c r="M1835" s="796"/>
      <c r="N1835" s="871"/>
      <c r="P1835" s="872"/>
      <c r="Q1835" s="18"/>
      <c r="R1835" s="18"/>
      <c r="S1835" s="18"/>
      <c r="T1835" s="672"/>
      <c r="U1835" s="873"/>
      <c r="V1835" s="4"/>
    </row>
    <row r="1836" spans="13:22" x14ac:dyDescent="0.25">
      <c r="M1836" s="796"/>
      <c r="N1836" s="871"/>
      <c r="P1836" s="872"/>
      <c r="Q1836" s="18"/>
      <c r="R1836" s="18"/>
      <c r="S1836" s="18"/>
      <c r="T1836" s="672"/>
      <c r="U1836" s="873"/>
      <c r="V1836" s="4"/>
    </row>
    <row r="1837" spans="13:22" x14ac:dyDescent="0.25">
      <c r="M1837" s="796"/>
      <c r="N1837" s="871"/>
      <c r="P1837" s="872"/>
      <c r="Q1837" s="18"/>
      <c r="R1837" s="18"/>
      <c r="S1837" s="18"/>
      <c r="T1837" s="672"/>
      <c r="U1837" s="873"/>
      <c r="V1837" s="4"/>
    </row>
    <row r="1838" spans="13:22" x14ac:dyDescent="0.25">
      <c r="M1838" s="796"/>
      <c r="N1838" s="871"/>
      <c r="P1838" s="872"/>
      <c r="Q1838" s="18"/>
      <c r="R1838" s="18"/>
      <c r="S1838" s="18"/>
      <c r="T1838" s="672"/>
      <c r="U1838" s="873"/>
      <c r="V1838" s="4"/>
    </row>
    <row r="1839" spans="13:22" x14ac:dyDescent="0.25">
      <c r="M1839" s="796"/>
      <c r="N1839" s="871"/>
      <c r="P1839" s="872"/>
      <c r="Q1839" s="18"/>
      <c r="R1839" s="18"/>
      <c r="S1839" s="18"/>
      <c r="T1839" s="672"/>
      <c r="U1839" s="873"/>
      <c r="V1839" s="4"/>
    </row>
    <row r="1840" spans="13:22" x14ac:dyDescent="0.25">
      <c r="M1840" s="796"/>
      <c r="N1840" s="871"/>
      <c r="P1840" s="872"/>
      <c r="Q1840" s="18"/>
      <c r="R1840" s="18"/>
      <c r="S1840" s="18"/>
      <c r="T1840" s="672"/>
      <c r="U1840" s="873"/>
      <c r="V1840" s="4"/>
    </row>
    <row r="1841" spans="13:22" x14ac:dyDescent="0.25">
      <c r="M1841" s="796"/>
      <c r="N1841" s="871"/>
      <c r="P1841" s="872"/>
      <c r="Q1841" s="18"/>
      <c r="R1841" s="18"/>
      <c r="S1841" s="18"/>
      <c r="T1841" s="672"/>
      <c r="U1841" s="873"/>
      <c r="V1841" s="4"/>
    </row>
    <row r="1842" spans="13:22" x14ac:dyDescent="0.25">
      <c r="M1842" s="796"/>
      <c r="N1842" s="871"/>
      <c r="P1842" s="872"/>
      <c r="Q1842" s="18"/>
      <c r="R1842" s="18"/>
      <c r="S1842" s="18"/>
      <c r="T1842" s="672"/>
      <c r="U1842" s="873"/>
      <c r="V1842" s="4"/>
    </row>
    <row r="1843" spans="13:22" x14ac:dyDescent="0.25">
      <c r="M1843" s="796"/>
      <c r="N1843" s="871"/>
      <c r="P1843" s="872"/>
      <c r="Q1843" s="18"/>
      <c r="R1843" s="18"/>
      <c r="S1843" s="18"/>
      <c r="T1843" s="672"/>
      <c r="U1843" s="873"/>
      <c r="V1843" s="4"/>
    </row>
    <row r="1844" spans="13:22" x14ac:dyDescent="0.25">
      <c r="M1844" s="796"/>
      <c r="N1844" s="871"/>
      <c r="P1844" s="872"/>
      <c r="Q1844" s="18"/>
      <c r="R1844" s="18"/>
      <c r="S1844" s="18"/>
      <c r="T1844" s="672"/>
      <c r="U1844" s="873"/>
      <c r="V1844" s="4"/>
    </row>
    <row r="1845" spans="13:22" x14ac:dyDescent="0.25">
      <c r="M1845" s="796"/>
      <c r="N1845" s="871"/>
      <c r="P1845" s="872"/>
      <c r="Q1845" s="18"/>
      <c r="R1845" s="18"/>
      <c r="S1845" s="18"/>
      <c r="T1845" s="672"/>
      <c r="U1845" s="873"/>
      <c r="V1845" s="4"/>
    </row>
    <row r="1846" spans="13:22" x14ac:dyDescent="0.25">
      <c r="M1846" s="796"/>
      <c r="N1846" s="871"/>
      <c r="P1846" s="872"/>
      <c r="Q1846" s="18"/>
      <c r="R1846" s="18"/>
      <c r="S1846" s="18"/>
      <c r="T1846" s="672"/>
      <c r="U1846" s="873"/>
      <c r="V1846" s="4"/>
    </row>
    <row r="1847" spans="13:22" x14ac:dyDescent="0.25">
      <c r="M1847" s="796"/>
      <c r="N1847" s="871"/>
      <c r="P1847" s="872"/>
      <c r="Q1847" s="18"/>
      <c r="R1847" s="18"/>
      <c r="S1847" s="18"/>
      <c r="T1847" s="672"/>
      <c r="U1847" s="873"/>
      <c r="V1847" s="4"/>
    </row>
    <row r="1848" spans="13:22" x14ac:dyDescent="0.25">
      <c r="M1848" s="796"/>
      <c r="N1848" s="871"/>
      <c r="P1848" s="872"/>
      <c r="Q1848" s="18"/>
      <c r="R1848" s="18"/>
      <c r="S1848" s="18"/>
      <c r="T1848" s="672"/>
      <c r="U1848" s="873"/>
      <c r="V1848" s="4"/>
    </row>
    <row r="1849" spans="13:22" x14ac:dyDescent="0.25">
      <c r="M1849" s="796"/>
      <c r="N1849" s="871"/>
      <c r="P1849" s="872"/>
      <c r="Q1849" s="18"/>
      <c r="R1849" s="18"/>
      <c r="S1849" s="18"/>
      <c r="T1849" s="672"/>
      <c r="U1849" s="873"/>
      <c r="V1849" s="4"/>
    </row>
    <row r="1850" spans="13:22" x14ac:dyDescent="0.25">
      <c r="M1850" s="796"/>
      <c r="N1850" s="871"/>
      <c r="P1850" s="872"/>
      <c r="Q1850" s="18"/>
      <c r="R1850" s="18"/>
      <c r="S1850" s="18"/>
      <c r="T1850" s="672"/>
      <c r="U1850" s="873"/>
      <c r="V1850" s="4"/>
    </row>
    <row r="1851" spans="13:22" x14ac:dyDescent="0.25">
      <c r="M1851" s="796"/>
      <c r="N1851" s="871"/>
      <c r="P1851" s="872"/>
      <c r="Q1851" s="18"/>
      <c r="R1851" s="18"/>
      <c r="S1851" s="18"/>
      <c r="T1851" s="672"/>
      <c r="U1851" s="873"/>
      <c r="V1851" s="4"/>
    </row>
    <row r="1852" spans="13:22" x14ac:dyDescent="0.25">
      <c r="M1852" s="796"/>
      <c r="N1852" s="871"/>
      <c r="P1852" s="872"/>
      <c r="Q1852" s="18"/>
      <c r="R1852" s="18"/>
      <c r="S1852" s="18"/>
      <c r="T1852" s="672"/>
      <c r="U1852" s="873"/>
      <c r="V1852" s="4"/>
    </row>
    <row r="1853" spans="13:22" x14ac:dyDescent="0.25">
      <c r="M1853" s="796"/>
      <c r="N1853" s="871"/>
      <c r="P1853" s="872"/>
      <c r="Q1853" s="18"/>
      <c r="R1853" s="18"/>
      <c r="S1853" s="18"/>
      <c r="T1853" s="672"/>
      <c r="U1853" s="873"/>
      <c r="V1853" s="4"/>
    </row>
    <row r="1854" spans="13:22" x14ac:dyDescent="0.25">
      <c r="M1854" s="796"/>
      <c r="N1854" s="871"/>
      <c r="P1854" s="872"/>
      <c r="Q1854" s="18"/>
      <c r="R1854" s="18"/>
      <c r="S1854" s="18"/>
      <c r="T1854" s="672"/>
      <c r="U1854" s="873"/>
      <c r="V1854" s="4"/>
    </row>
    <row r="1855" spans="13:22" x14ac:dyDescent="0.25">
      <c r="M1855" s="796"/>
      <c r="N1855" s="871"/>
      <c r="P1855" s="872"/>
      <c r="Q1855" s="18"/>
      <c r="R1855" s="18"/>
      <c r="S1855" s="18"/>
      <c r="T1855" s="672"/>
      <c r="U1855" s="873"/>
      <c r="V1855" s="4"/>
    </row>
    <row r="1856" spans="13:22" x14ac:dyDescent="0.25">
      <c r="M1856" s="796"/>
      <c r="N1856" s="871"/>
      <c r="P1856" s="872"/>
      <c r="Q1856" s="18"/>
      <c r="R1856" s="18"/>
      <c r="S1856" s="18"/>
      <c r="T1856" s="672"/>
      <c r="U1856" s="873"/>
      <c r="V1856" s="4"/>
    </row>
    <row r="1857" spans="13:22" x14ac:dyDescent="0.25">
      <c r="M1857" s="796"/>
      <c r="N1857" s="871"/>
      <c r="P1857" s="872"/>
      <c r="Q1857" s="18"/>
      <c r="R1857" s="18"/>
      <c r="S1857" s="18"/>
      <c r="T1857" s="672"/>
      <c r="U1857" s="873"/>
      <c r="V1857" s="4"/>
    </row>
    <row r="1858" spans="13:22" x14ac:dyDescent="0.25">
      <c r="M1858" s="796"/>
      <c r="N1858" s="871"/>
      <c r="P1858" s="872"/>
      <c r="Q1858" s="18"/>
      <c r="R1858" s="18"/>
      <c r="S1858" s="18"/>
      <c r="T1858" s="672"/>
      <c r="U1858" s="873"/>
      <c r="V1858" s="4"/>
    </row>
    <row r="1859" spans="13:22" x14ac:dyDescent="0.25">
      <c r="M1859" s="796"/>
      <c r="N1859" s="871"/>
      <c r="P1859" s="872"/>
      <c r="Q1859" s="18"/>
      <c r="R1859" s="18"/>
      <c r="S1859" s="18"/>
      <c r="T1859" s="672"/>
      <c r="U1859" s="873"/>
      <c r="V1859" s="4"/>
    </row>
    <row r="1860" spans="13:22" x14ac:dyDescent="0.25">
      <c r="M1860" s="796"/>
      <c r="N1860" s="871"/>
      <c r="P1860" s="872"/>
      <c r="Q1860" s="18"/>
      <c r="R1860" s="18"/>
      <c r="S1860" s="18"/>
      <c r="T1860" s="672"/>
      <c r="U1860" s="873"/>
      <c r="V1860" s="4"/>
    </row>
    <row r="1861" spans="13:22" x14ac:dyDescent="0.25">
      <c r="M1861" s="796"/>
      <c r="N1861" s="871"/>
      <c r="P1861" s="872"/>
      <c r="Q1861" s="18"/>
      <c r="R1861" s="18"/>
      <c r="S1861" s="18"/>
      <c r="T1861" s="672"/>
      <c r="U1861" s="873"/>
      <c r="V1861" s="4"/>
    </row>
    <row r="1862" spans="13:22" x14ac:dyDescent="0.25">
      <c r="M1862" s="796"/>
      <c r="N1862" s="871"/>
      <c r="P1862" s="872"/>
      <c r="Q1862" s="18"/>
      <c r="R1862" s="18"/>
      <c r="S1862" s="18"/>
      <c r="T1862" s="672"/>
      <c r="U1862" s="873"/>
      <c r="V1862" s="4"/>
    </row>
    <row r="1863" spans="13:22" x14ac:dyDescent="0.25">
      <c r="M1863" s="796"/>
      <c r="N1863" s="871"/>
      <c r="P1863" s="872"/>
      <c r="Q1863" s="18"/>
      <c r="R1863" s="18"/>
      <c r="S1863" s="18"/>
      <c r="T1863" s="672"/>
      <c r="U1863" s="873"/>
      <c r="V1863" s="4"/>
    </row>
    <row r="1864" spans="13:22" x14ac:dyDescent="0.25">
      <c r="M1864" s="796"/>
      <c r="N1864" s="871"/>
      <c r="P1864" s="872"/>
      <c r="Q1864" s="18"/>
      <c r="R1864" s="18"/>
      <c r="S1864" s="18"/>
      <c r="T1864" s="672"/>
      <c r="U1864" s="873"/>
      <c r="V1864" s="4"/>
    </row>
    <row r="1865" spans="13:22" x14ac:dyDescent="0.25">
      <c r="M1865" s="796"/>
      <c r="N1865" s="871"/>
      <c r="P1865" s="872"/>
      <c r="Q1865" s="18"/>
      <c r="R1865" s="18"/>
      <c r="S1865" s="18"/>
      <c r="T1865" s="672"/>
      <c r="U1865" s="873"/>
      <c r="V1865" s="4"/>
    </row>
    <row r="1866" spans="13:22" x14ac:dyDescent="0.25">
      <c r="M1866" s="796"/>
      <c r="N1866" s="871"/>
      <c r="P1866" s="872"/>
      <c r="Q1866" s="18"/>
      <c r="R1866" s="18"/>
      <c r="S1866" s="18"/>
      <c r="T1866" s="672"/>
      <c r="U1866" s="873"/>
      <c r="V1866" s="4"/>
    </row>
    <row r="1867" spans="13:22" x14ac:dyDescent="0.25">
      <c r="M1867" s="796"/>
      <c r="N1867" s="871"/>
      <c r="P1867" s="872"/>
      <c r="Q1867" s="18"/>
      <c r="R1867" s="18"/>
      <c r="S1867" s="18"/>
      <c r="T1867" s="672"/>
      <c r="U1867" s="873"/>
      <c r="V1867" s="4"/>
    </row>
    <row r="1868" spans="13:22" x14ac:dyDescent="0.25">
      <c r="M1868" s="796"/>
      <c r="N1868" s="871"/>
      <c r="P1868" s="872"/>
      <c r="Q1868" s="18"/>
      <c r="R1868" s="18"/>
      <c r="S1868" s="18"/>
      <c r="T1868" s="672"/>
      <c r="U1868" s="873"/>
      <c r="V1868" s="4"/>
    </row>
    <row r="1869" spans="13:22" x14ac:dyDescent="0.25">
      <c r="M1869" s="796"/>
      <c r="N1869" s="871"/>
      <c r="P1869" s="872"/>
      <c r="Q1869" s="18"/>
      <c r="R1869" s="18"/>
      <c r="S1869" s="18"/>
      <c r="T1869" s="672"/>
      <c r="U1869" s="873"/>
      <c r="V1869" s="4"/>
    </row>
    <row r="1870" spans="13:22" x14ac:dyDescent="0.25">
      <c r="M1870" s="796"/>
      <c r="N1870" s="871"/>
      <c r="P1870" s="872"/>
      <c r="Q1870" s="18"/>
      <c r="R1870" s="18"/>
      <c r="S1870" s="18"/>
      <c r="T1870" s="672"/>
      <c r="U1870" s="873"/>
      <c r="V1870" s="4"/>
    </row>
    <row r="1871" spans="13:22" x14ac:dyDescent="0.25">
      <c r="M1871" s="796"/>
      <c r="N1871" s="871"/>
      <c r="P1871" s="872"/>
      <c r="Q1871" s="18"/>
      <c r="R1871" s="18"/>
      <c r="S1871" s="18"/>
      <c r="T1871" s="672"/>
      <c r="U1871" s="873"/>
      <c r="V1871" s="4"/>
    </row>
    <row r="1872" spans="13:22" x14ac:dyDescent="0.25">
      <c r="M1872" s="796"/>
      <c r="N1872" s="871"/>
      <c r="P1872" s="872"/>
      <c r="Q1872" s="18"/>
      <c r="R1872" s="18"/>
      <c r="S1872" s="18"/>
      <c r="T1872" s="672"/>
      <c r="U1872" s="873"/>
      <c r="V1872" s="4"/>
    </row>
    <row r="1873" spans="13:22" x14ac:dyDescent="0.25">
      <c r="M1873" s="796"/>
      <c r="N1873" s="871"/>
      <c r="P1873" s="872"/>
      <c r="Q1873" s="18"/>
      <c r="R1873" s="18"/>
      <c r="S1873" s="18"/>
      <c r="T1873" s="672"/>
      <c r="U1873" s="873"/>
      <c r="V1873" s="4"/>
    </row>
    <row r="1874" spans="13:22" x14ac:dyDescent="0.25">
      <c r="M1874" s="796"/>
      <c r="N1874" s="871"/>
      <c r="P1874" s="872"/>
      <c r="Q1874" s="18"/>
      <c r="R1874" s="18"/>
      <c r="S1874" s="18"/>
      <c r="T1874" s="672"/>
      <c r="U1874" s="873"/>
      <c r="V1874" s="4"/>
    </row>
    <row r="1875" spans="13:22" x14ac:dyDescent="0.25">
      <c r="M1875" s="796"/>
      <c r="N1875" s="871"/>
      <c r="P1875" s="872"/>
      <c r="Q1875" s="18"/>
      <c r="R1875" s="18"/>
      <c r="S1875" s="18"/>
      <c r="T1875" s="672"/>
      <c r="U1875" s="873"/>
      <c r="V1875" s="4"/>
    </row>
    <row r="1876" spans="13:22" x14ac:dyDescent="0.25">
      <c r="M1876" s="796"/>
      <c r="N1876" s="871"/>
      <c r="P1876" s="872"/>
      <c r="Q1876" s="18"/>
      <c r="R1876" s="18"/>
      <c r="S1876" s="18"/>
      <c r="T1876" s="672"/>
      <c r="U1876" s="873"/>
      <c r="V1876" s="4"/>
    </row>
    <row r="1877" spans="13:22" x14ac:dyDescent="0.25">
      <c r="M1877" s="796"/>
      <c r="N1877" s="871"/>
      <c r="P1877" s="872"/>
      <c r="Q1877" s="18"/>
      <c r="R1877" s="18"/>
      <c r="S1877" s="18"/>
      <c r="T1877" s="672"/>
      <c r="U1877" s="873"/>
      <c r="V1877" s="4"/>
    </row>
    <row r="1878" spans="13:22" x14ac:dyDescent="0.25">
      <c r="M1878" s="796"/>
      <c r="N1878" s="871"/>
      <c r="P1878" s="872"/>
      <c r="Q1878" s="18"/>
      <c r="R1878" s="18"/>
      <c r="S1878" s="18"/>
      <c r="T1878" s="672"/>
      <c r="U1878" s="873"/>
      <c r="V1878" s="4"/>
    </row>
    <row r="1879" spans="13:22" x14ac:dyDescent="0.25">
      <c r="M1879" s="796"/>
      <c r="N1879" s="871"/>
      <c r="P1879" s="872"/>
      <c r="Q1879" s="18"/>
      <c r="R1879" s="18"/>
      <c r="S1879" s="18"/>
      <c r="T1879" s="672"/>
      <c r="U1879" s="873"/>
      <c r="V1879" s="4"/>
    </row>
    <row r="1880" spans="13:22" x14ac:dyDescent="0.25">
      <c r="M1880" s="796"/>
      <c r="N1880" s="871"/>
      <c r="P1880" s="872"/>
      <c r="Q1880" s="18"/>
      <c r="R1880" s="18"/>
      <c r="S1880" s="18"/>
      <c r="T1880" s="672"/>
      <c r="U1880" s="873"/>
      <c r="V1880" s="4"/>
    </row>
    <row r="1881" spans="13:22" x14ac:dyDescent="0.25">
      <c r="M1881" s="796"/>
      <c r="N1881" s="871"/>
      <c r="P1881" s="872"/>
      <c r="Q1881" s="18"/>
      <c r="R1881" s="18"/>
      <c r="S1881" s="18"/>
      <c r="T1881" s="672"/>
      <c r="U1881" s="873"/>
      <c r="V1881" s="4"/>
    </row>
    <row r="1882" spans="13:22" x14ac:dyDescent="0.25">
      <c r="M1882" s="796"/>
      <c r="N1882" s="871"/>
      <c r="P1882" s="872"/>
      <c r="Q1882" s="18"/>
      <c r="R1882" s="18"/>
      <c r="S1882" s="18"/>
      <c r="T1882" s="672"/>
      <c r="U1882" s="873"/>
      <c r="V1882" s="4"/>
    </row>
    <row r="1883" spans="13:22" x14ac:dyDescent="0.25">
      <c r="M1883" s="796"/>
      <c r="N1883" s="871"/>
      <c r="P1883" s="872"/>
      <c r="Q1883" s="18"/>
      <c r="R1883" s="18"/>
      <c r="S1883" s="18"/>
      <c r="T1883" s="672"/>
      <c r="U1883" s="873"/>
      <c r="V1883" s="4"/>
    </row>
    <row r="1884" spans="13:22" x14ac:dyDescent="0.25">
      <c r="M1884" s="796"/>
      <c r="N1884" s="871"/>
      <c r="P1884" s="872"/>
      <c r="Q1884" s="18"/>
      <c r="R1884" s="18"/>
      <c r="S1884" s="18"/>
      <c r="T1884" s="672"/>
      <c r="U1884" s="873"/>
      <c r="V1884" s="4"/>
    </row>
    <row r="1885" spans="13:22" x14ac:dyDescent="0.25">
      <c r="M1885" s="796"/>
      <c r="N1885" s="871"/>
      <c r="P1885" s="872"/>
      <c r="Q1885" s="18"/>
      <c r="R1885" s="18"/>
      <c r="S1885" s="18"/>
      <c r="T1885" s="672"/>
      <c r="U1885" s="873"/>
      <c r="V1885" s="4"/>
    </row>
    <row r="1886" spans="13:22" x14ac:dyDescent="0.25">
      <c r="M1886" s="796"/>
      <c r="N1886" s="871"/>
      <c r="P1886" s="872"/>
      <c r="Q1886" s="18"/>
      <c r="R1886" s="18"/>
      <c r="S1886" s="18"/>
      <c r="T1886" s="672"/>
      <c r="U1886" s="873"/>
      <c r="V1886" s="4"/>
    </row>
    <row r="1887" spans="13:22" x14ac:dyDescent="0.25">
      <c r="M1887" s="796"/>
      <c r="N1887" s="871"/>
      <c r="P1887" s="872"/>
      <c r="Q1887" s="18"/>
      <c r="R1887" s="18"/>
      <c r="S1887" s="18"/>
      <c r="T1887" s="672"/>
      <c r="U1887" s="873"/>
      <c r="V1887" s="4"/>
    </row>
    <row r="1888" spans="13:22" x14ac:dyDescent="0.25">
      <c r="M1888" s="796"/>
      <c r="N1888" s="871"/>
      <c r="P1888" s="872"/>
      <c r="Q1888" s="18"/>
      <c r="R1888" s="18"/>
      <c r="S1888" s="18"/>
      <c r="T1888" s="672"/>
      <c r="U1888" s="873"/>
      <c r="V1888" s="4"/>
    </row>
    <row r="1889" spans="13:22" x14ac:dyDescent="0.25">
      <c r="M1889" s="796"/>
      <c r="N1889" s="871"/>
      <c r="P1889" s="872"/>
      <c r="Q1889" s="18"/>
      <c r="R1889" s="18"/>
      <c r="S1889" s="18"/>
      <c r="T1889" s="672"/>
      <c r="U1889" s="873"/>
      <c r="V1889" s="4"/>
    </row>
    <row r="1890" spans="13:22" x14ac:dyDescent="0.25">
      <c r="M1890" s="796"/>
      <c r="N1890" s="871"/>
      <c r="P1890" s="872"/>
      <c r="Q1890" s="18"/>
      <c r="R1890" s="18"/>
      <c r="S1890" s="18"/>
      <c r="T1890" s="672"/>
      <c r="U1890" s="873"/>
      <c r="V1890" s="4"/>
    </row>
    <row r="1891" spans="13:22" x14ac:dyDescent="0.25">
      <c r="M1891" s="796"/>
      <c r="N1891" s="871"/>
      <c r="P1891" s="872"/>
      <c r="Q1891" s="18"/>
      <c r="R1891" s="18"/>
      <c r="S1891" s="18"/>
      <c r="T1891" s="672"/>
      <c r="U1891" s="873"/>
      <c r="V1891" s="4"/>
    </row>
    <row r="1892" spans="13:22" x14ac:dyDescent="0.25">
      <c r="M1892" s="796"/>
      <c r="N1892" s="871"/>
      <c r="P1892" s="872"/>
      <c r="Q1892" s="18"/>
      <c r="R1892" s="18"/>
      <c r="S1892" s="18"/>
      <c r="T1892" s="672"/>
      <c r="U1892" s="873"/>
      <c r="V1892" s="4"/>
    </row>
    <row r="1893" spans="13:22" x14ac:dyDescent="0.25">
      <c r="M1893" s="796"/>
      <c r="N1893" s="871"/>
      <c r="P1893" s="872"/>
      <c r="Q1893" s="18"/>
      <c r="R1893" s="18"/>
      <c r="S1893" s="18"/>
      <c r="T1893" s="672"/>
      <c r="U1893" s="873"/>
      <c r="V1893" s="4"/>
    </row>
    <row r="1894" spans="13:22" x14ac:dyDescent="0.25">
      <c r="M1894" s="796"/>
      <c r="N1894" s="871"/>
      <c r="P1894" s="872"/>
      <c r="Q1894" s="18"/>
      <c r="R1894" s="18"/>
      <c r="S1894" s="18"/>
      <c r="T1894" s="672"/>
      <c r="U1894" s="873"/>
      <c r="V1894" s="4"/>
    </row>
    <row r="1895" spans="13:22" x14ac:dyDescent="0.25">
      <c r="M1895" s="796"/>
      <c r="N1895" s="871"/>
      <c r="P1895" s="872"/>
      <c r="Q1895" s="18"/>
      <c r="R1895" s="18"/>
      <c r="S1895" s="18"/>
      <c r="T1895" s="672"/>
      <c r="U1895" s="873"/>
      <c r="V1895" s="4"/>
    </row>
    <row r="1896" spans="13:22" x14ac:dyDescent="0.25">
      <c r="M1896" s="796"/>
      <c r="N1896" s="871"/>
      <c r="P1896" s="872"/>
      <c r="Q1896" s="18"/>
      <c r="R1896" s="18"/>
      <c r="S1896" s="18"/>
      <c r="T1896" s="672"/>
      <c r="U1896" s="873"/>
      <c r="V1896" s="4"/>
    </row>
    <row r="1897" spans="13:22" x14ac:dyDescent="0.25">
      <c r="M1897" s="796"/>
      <c r="N1897" s="871"/>
      <c r="P1897" s="872"/>
      <c r="Q1897" s="18"/>
      <c r="R1897" s="18"/>
      <c r="S1897" s="18"/>
      <c r="T1897" s="672"/>
      <c r="U1897" s="873"/>
      <c r="V1897" s="4"/>
    </row>
    <row r="1898" spans="13:22" x14ac:dyDescent="0.25">
      <c r="M1898" s="796"/>
      <c r="N1898" s="871"/>
      <c r="P1898" s="872"/>
      <c r="Q1898" s="18"/>
      <c r="R1898" s="18"/>
      <c r="S1898" s="18"/>
      <c r="T1898" s="672"/>
      <c r="U1898" s="873"/>
      <c r="V1898" s="4"/>
    </row>
    <row r="1899" spans="13:22" x14ac:dyDescent="0.25">
      <c r="M1899" s="796"/>
      <c r="N1899" s="871"/>
      <c r="P1899" s="872"/>
      <c r="Q1899" s="18"/>
      <c r="R1899" s="18"/>
      <c r="S1899" s="18"/>
      <c r="T1899" s="672"/>
      <c r="U1899" s="873"/>
      <c r="V1899" s="4"/>
    </row>
    <row r="1900" spans="13:22" x14ac:dyDescent="0.25">
      <c r="M1900" s="796"/>
      <c r="N1900" s="871"/>
      <c r="P1900" s="872"/>
      <c r="Q1900" s="18"/>
      <c r="R1900" s="18"/>
      <c r="S1900" s="18"/>
      <c r="T1900" s="672"/>
      <c r="U1900" s="873"/>
      <c r="V1900" s="4"/>
    </row>
    <row r="1901" spans="13:22" x14ac:dyDescent="0.25">
      <c r="M1901" s="796"/>
      <c r="N1901" s="871"/>
      <c r="P1901" s="872"/>
      <c r="Q1901" s="18"/>
      <c r="R1901" s="18"/>
      <c r="S1901" s="18"/>
      <c r="T1901" s="672"/>
      <c r="U1901" s="873"/>
      <c r="V1901" s="4"/>
    </row>
    <row r="1902" spans="13:22" x14ac:dyDescent="0.25">
      <c r="M1902" s="796"/>
      <c r="N1902" s="871"/>
      <c r="P1902" s="872"/>
      <c r="Q1902" s="18"/>
      <c r="R1902" s="18"/>
      <c r="S1902" s="18"/>
      <c r="T1902" s="672"/>
      <c r="U1902" s="873"/>
      <c r="V1902" s="4"/>
    </row>
    <row r="1903" spans="13:22" x14ac:dyDescent="0.25">
      <c r="M1903" s="796"/>
      <c r="N1903" s="871"/>
      <c r="P1903" s="872"/>
      <c r="Q1903" s="18"/>
      <c r="R1903" s="18"/>
      <c r="S1903" s="18"/>
      <c r="T1903" s="672"/>
      <c r="U1903" s="873"/>
      <c r="V1903" s="4"/>
    </row>
    <row r="1904" spans="13:22" x14ac:dyDescent="0.25">
      <c r="M1904" s="796"/>
      <c r="N1904" s="871"/>
      <c r="P1904" s="872"/>
      <c r="Q1904" s="18"/>
      <c r="R1904" s="18"/>
      <c r="S1904" s="18"/>
      <c r="T1904" s="672"/>
      <c r="U1904" s="873"/>
      <c r="V1904" s="4"/>
    </row>
    <row r="1905" spans="13:22" x14ac:dyDescent="0.25">
      <c r="M1905" s="796"/>
      <c r="N1905" s="871"/>
      <c r="P1905" s="872"/>
      <c r="Q1905" s="18"/>
      <c r="R1905" s="18"/>
      <c r="S1905" s="18"/>
      <c r="T1905" s="672"/>
      <c r="U1905" s="873"/>
      <c r="V1905" s="4"/>
    </row>
    <row r="1906" spans="13:22" x14ac:dyDescent="0.25">
      <c r="M1906" s="796"/>
      <c r="N1906" s="871"/>
      <c r="P1906" s="872"/>
      <c r="Q1906" s="18"/>
      <c r="R1906" s="18"/>
      <c r="S1906" s="18"/>
      <c r="T1906" s="672"/>
      <c r="U1906" s="873"/>
      <c r="V1906" s="4"/>
    </row>
    <row r="1907" spans="13:22" x14ac:dyDescent="0.25">
      <c r="M1907" s="796"/>
      <c r="N1907" s="871"/>
      <c r="P1907" s="872"/>
      <c r="Q1907" s="18"/>
      <c r="R1907" s="18"/>
      <c r="S1907" s="18"/>
      <c r="T1907" s="672"/>
      <c r="U1907" s="873"/>
      <c r="V1907" s="4"/>
    </row>
    <row r="1908" spans="13:22" x14ac:dyDescent="0.25">
      <c r="M1908" s="796"/>
      <c r="N1908" s="871"/>
      <c r="P1908" s="872"/>
      <c r="Q1908" s="18"/>
      <c r="R1908" s="18"/>
      <c r="S1908" s="18"/>
      <c r="T1908" s="672"/>
      <c r="U1908" s="873"/>
      <c r="V1908" s="4"/>
    </row>
    <row r="1909" spans="13:22" x14ac:dyDescent="0.25">
      <c r="M1909" s="796"/>
      <c r="N1909" s="871"/>
      <c r="P1909" s="872"/>
      <c r="Q1909" s="18"/>
      <c r="R1909" s="18"/>
      <c r="S1909" s="18"/>
      <c r="T1909" s="672"/>
      <c r="U1909" s="873"/>
      <c r="V1909" s="4"/>
    </row>
    <row r="1910" spans="13:22" x14ac:dyDescent="0.25">
      <c r="M1910" s="796"/>
      <c r="N1910" s="871"/>
      <c r="P1910" s="872"/>
      <c r="Q1910" s="18"/>
      <c r="R1910" s="18"/>
      <c r="S1910" s="18"/>
      <c r="T1910" s="672"/>
      <c r="U1910" s="873"/>
      <c r="V1910" s="4"/>
    </row>
    <row r="1911" spans="13:22" x14ac:dyDescent="0.25">
      <c r="M1911" s="796"/>
      <c r="N1911" s="871"/>
      <c r="P1911" s="872"/>
      <c r="Q1911" s="18"/>
      <c r="R1911" s="18"/>
      <c r="S1911" s="18"/>
      <c r="T1911" s="672"/>
      <c r="U1911" s="873"/>
      <c r="V1911" s="4"/>
    </row>
    <row r="1912" spans="13:22" x14ac:dyDescent="0.25">
      <c r="M1912" s="796"/>
      <c r="N1912" s="871"/>
      <c r="P1912" s="872"/>
      <c r="Q1912" s="18"/>
      <c r="R1912" s="18"/>
      <c r="S1912" s="18"/>
      <c r="T1912" s="672"/>
      <c r="U1912" s="873"/>
      <c r="V1912" s="4"/>
    </row>
    <row r="1913" spans="13:22" x14ac:dyDescent="0.25">
      <c r="M1913" s="796"/>
      <c r="N1913" s="871"/>
      <c r="P1913" s="872"/>
      <c r="Q1913" s="18"/>
      <c r="R1913" s="18"/>
      <c r="S1913" s="18"/>
      <c r="T1913" s="672"/>
      <c r="U1913" s="873"/>
      <c r="V1913" s="4"/>
    </row>
    <row r="1914" spans="13:22" x14ac:dyDescent="0.25">
      <c r="M1914" s="796"/>
      <c r="N1914" s="871"/>
      <c r="P1914" s="872"/>
      <c r="Q1914" s="18"/>
      <c r="R1914" s="18"/>
      <c r="S1914" s="18"/>
      <c r="T1914" s="672"/>
      <c r="U1914" s="873"/>
      <c r="V1914" s="4"/>
    </row>
    <row r="1915" spans="13:22" x14ac:dyDescent="0.25">
      <c r="M1915" s="796"/>
      <c r="N1915" s="871"/>
      <c r="P1915" s="872"/>
      <c r="Q1915" s="18"/>
      <c r="R1915" s="18"/>
      <c r="S1915" s="18"/>
      <c r="T1915" s="672"/>
      <c r="U1915" s="873"/>
      <c r="V1915" s="4"/>
    </row>
    <row r="1916" spans="13:22" x14ac:dyDescent="0.25">
      <c r="M1916" s="796"/>
      <c r="N1916" s="871"/>
      <c r="P1916" s="872"/>
      <c r="Q1916" s="18"/>
      <c r="R1916" s="18"/>
      <c r="S1916" s="18"/>
      <c r="T1916" s="672"/>
      <c r="U1916" s="873"/>
      <c r="V1916" s="4"/>
    </row>
    <row r="1917" spans="13:22" x14ac:dyDescent="0.25">
      <c r="M1917" s="796"/>
      <c r="N1917" s="871"/>
      <c r="P1917" s="872"/>
      <c r="Q1917" s="18"/>
      <c r="R1917" s="18"/>
      <c r="S1917" s="18"/>
      <c r="T1917" s="672"/>
      <c r="U1917" s="873"/>
      <c r="V1917" s="4"/>
    </row>
    <row r="1918" spans="13:22" x14ac:dyDescent="0.25">
      <c r="M1918" s="796"/>
      <c r="N1918" s="871"/>
      <c r="P1918" s="872"/>
      <c r="Q1918" s="18"/>
      <c r="R1918" s="18"/>
      <c r="S1918" s="18"/>
      <c r="T1918" s="672"/>
      <c r="U1918" s="873"/>
      <c r="V1918" s="4"/>
    </row>
    <row r="1919" spans="13:22" x14ac:dyDescent="0.25">
      <c r="M1919" s="796"/>
      <c r="N1919" s="871"/>
      <c r="P1919" s="872"/>
      <c r="Q1919" s="18"/>
      <c r="R1919" s="18"/>
      <c r="S1919" s="18"/>
      <c r="T1919" s="672"/>
      <c r="U1919" s="873"/>
      <c r="V1919" s="4"/>
    </row>
    <row r="1920" spans="13:22" x14ac:dyDescent="0.25">
      <c r="M1920" s="796"/>
      <c r="N1920" s="871"/>
      <c r="P1920" s="872"/>
      <c r="Q1920" s="18"/>
      <c r="R1920" s="18"/>
      <c r="S1920" s="18"/>
      <c r="T1920" s="672"/>
      <c r="U1920" s="873"/>
      <c r="V1920" s="4"/>
    </row>
    <row r="1921" spans="13:22" x14ac:dyDescent="0.25">
      <c r="M1921" s="796"/>
      <c r="N1921" s="871"/>
      <c r="P1921" s="872"/>
      <c r="Q1921" s="18"/>
      <c r="R1921" s="18"/>
      <c r="S1921" s="18"/>
      <c r="T1921" s="672"/>
      <c r="U1921" s="873"/>
      <c r="V1921" s="4"/>
    </row>
  </sheetData>
  <autoFilter ref="A8:V1621" xr:uid="{00000000-0001-0000-0400-000000000000}"/>
  <dataConsolidate/>
  <mergeCells count="32">
    <mergeCell ref="T8:T9"/>
    <mergeCell ref="U8:U9"/>
    <mergeCell ref="V8:V9"/>
    <mergeCell ref="J8:J9"/>
    <mergeCell ref="K8:K9"/>
    <mergeCell ref="L8:L9"/>
    <mergeCell ref="M8:M9"/>
    <mergeCell ref="N8:N9"/>
    <mergeCell ref="O8:O9"/>
    <mergeCell ref="Q8:Q9"/>
    <mergeCell ref="R8:R9"/>
    <mergeCell ref="S8:S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P8:P9"/>
    <mergeCell ref="N4:O4"/>
    <mergeCell ref="N5:O5"/>
    <mergeCell ref="N6:O6"/>
    <mergeCell ref="N7:O7"/>
    <mergeCell ref="N1:O1"/>
    <mergeCell ref="E2:F2"/>
    <mergeCell ref="L2:M2"/>
    <mergeCell ref="N2:O2"/>
    <mergeCell ref="L3:M3"/>
    <mergeCell ref="N3:O3"/>
  </mergeCells>
  <conditionalFormatting sqref="D10:D1921">
    <cfRule type="cellIs" dxfId="73" priority="138" operator="equal">
      <formula>"Viga bajo losa"</formula>
    </cfRule>
  </conditionalFormatting>
  <conditionalFormatting sqref="J10:J1921">
    <cfRule type="cellIs" dxfId="72" priority="235" operator="equal">
      <formula>4</formula>
    </cfRule>
    <cfRule type="cellIs" dxfId="71" priority="236" operator="equal">
      <formula>3</formula>
    </cfRule>
  </conditionalFormatting>
  <conditionalFormatting sqref="R1:T5">
    <cfRule type="cellIs" dxfId="70" priority="1" operator="equal">
      <formula>"CERT."</formula>
    </cfRule>
    <cfRule type="cellIs" dxfId="69" priority="2" operator="equal">
      <formula>"NO CERT."</formula>
    </cfRule>
  </conditionalFormatting>
  <conditionalFormatting sqref="R6:U6">
    <cfRule type="cellIs" dxfId="68" priority="3" operator="equal">
      <formula>"CERT."</formula>
    </cfRule>
    <cfRule type="cellIs" dxfId="67" priority="4" operator="equal">
      <formula>"NO CERT."</formula>
    </cfRule>
  </conditionalFormatting>
  <conditionalFormatting sqref="T1:T6">
    <cfRule type="cellIs" dxfId="66" priority="6" operator="equal">
      <formula>"No cert."</formula>
    </cfRule>
  </conditionalFormatting>
  <conditionalFormatting sqref="U1">
    <cfRule type="cellIs" dxfId="65" priority="21" operator="equal">
      <formula>"CERT."</formula>
    </cfRule>
    <cfRule type="cellIs" dxfId="64" priority="22" operator="equal">
      <formula>"NO CERT."</formula>
    </cfRule>
    <cfRule type="cellIs" dxfId="63" priority="24" operator="equal">
      <formula>"No cert."</formula>
    </cfRule>
  </conditionalFormatting>
  <conditionalFormatting sqref="V8">
    <cfRule type="cellIs" dxfId="62" priority="387" operator="equal">
      <formula>"No es certificable por WB7"</formula>
    </cfRule>
    <cfRule type="cellIs" dxfId="61" priority="388" operator="equal">
      <formula>"No es certificable por Fire Tex"</formula>
    </cfRule>
    <cfRule type="cellIs" dxfId="60" priority="389" operator="equal">
      <formula>"No es certificable por Fire Control"</formula>
    </cfRule>
    <cfRule type="cellIs" dxfId="59" priority="390" operator="equal">
      <formula>"Certificable"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</sheetPr>
  <dimension ref="A1:AA636"/>
  <sheetViews>
    <sheetView showGridLines="0" topLeftCell="D1" zoomScale="85" zoomScaleNormal="85" workbookViewId="0">
      <pane ySplit="9" topLeftCell="A10" activePane="bottomLeft" state="frozen"/>
      <selection activeCell="H1" sqref="H1"/>
      <selection pane="bottomLeft" activeCell="N39" sqref="N39"/>
    </sheetView>
  </sheetViews>
  <sheetFormatPr baseColWidth="10" defaultColWidth="9.140625" defaultRowHeight="15.75" x14ac:dyDescent="0.25"/>
  <cols>
    <col min="1" max="1" width="23.28515625" style="645" hidden="1" customWidth="1"/>
    <col min="2" max="2" width="12.42578125" style="645" hidden="1" customWidth="1"/>
    <col min="3" max="3" width="15.85546875" style="4" hidden="1" customWidth="1"/>
    <col min="4" max="4" width="23" style="4" bestFit="1" customWidth="1"/>
    <col min="5" max="5" width="10.5703125" style="4" customWidth="1"/>
    <col min="6" max="6" width="21" style="4" customWidth="1"/>
    <col min="7" max="7" width="12.42578125" style="4" hidden="1" customWidth="1"/>
    <col min="8" max="8" width="16.5703125" style="4" hidden="1" customWidth="1"/>
    <col min="9" max="9" width="9.140625" style="7" hidden="1" customWidth="1"/>
    <col min="10" max="10" width="11.85546875" style="4" customWidth="1"/>
    <col min="11" max="11" width="14" style="4" hidden="1" customWidth="1"/>
    <col min="12" max="12" width="11" style="4" customWidth="1"/>
    <col min="13" max="13" width="10.28515625" style="5" customWidth="1"/>
    <col min="14" max="14" width="11.85546875" style="5" bestFit="1" customWidth="1"/>
    <col min="15" max="15" width="16.42578125" style="4" customWidth="1"/>
    <col min="16" max="16" width="14.140625" style="4" customWidth="1"/>
    <col min="17" max="17" width="12" style="4" hidden="1" customWidth="1"/>
    <col min="18" max="18" width="13.5703125" style="4" customWidth="1"/>
    <col min="19" max="19" width="12.7109375" style="4" customWidth="1"/>
    <col min="20" max="20" width="13.5703125" style="4" customWidth="1"/>
    <col min="21" max="21" width="16.140625" style="4" customWidth="1"/>
    <col min="22" max="22" width="14.7109375" style="16" bestFit="1" customWidth="1"/>
    <col min="23" max="23" width="16.28515625" style="16" customWidth="1"/>
    <col min="24" max="24" width="9.140625" style="25"/>
    <col min="25" max="25" width="17" style="4" customWidth="1"/>
    <col min="26" max="26" width="10" style="4" customWidth="1"/>
    <col min="27" max="27" width="14" style="4" customWidth="1"/>
    <col min="28" max="16384" width="9.140625" style="4"/>
  </cols>
  <sheetData>
    <row r="1" spans="1:27" ht="16.5" customHeight="1" thickBot="1" x14ac:dyDescent="0.3">
      <c r="A1" s="21"/>
      <c r="B1" s="662"/>
      <c r="I1" s="4"/>
      <c r="M1" s="26"/>
      <c r="N1" s="21"/>
      <c r="O1" s="1084" t="s">
        <v>464</v>
      </c>
      <c r="P1"/>
      <c r="S1" s="22" t="s">
        <v>26</v>
      </c>
      <c r="T1" s="29" t="s">
        <v>11</v>
      </c>
      <c r="U1" s="29" t="s">
        <v>152</v>
      </c>
      <c r="V1" s="29" t="s">
        <v>57</v>
      </c>
      <c r="W1" s="23" t="s">
        <v>465</v>
      </c>
    </row>
    <row r="2" spans="1:27" ht="15.75" customHeight="1" thickBot="1" x14ac:dyDescent="0.3">
      <c r="A2" s="21"/>
      <c r="B2" s="662"/>
      <c r="E2" s="1066" t="s">
        <v>23</v>
      </c>
      <c r="F2" s="1067"/>
      <c r="I2" s="4"/>
      <c r="L2" s="1086" t="s">
        <v>20</v>
      </c>
      <c r="M2" s="1087"/>
      <c r="O2" s="1085"/>
      <c r="P2"/>
      <c r="Q2"/>
      <c r="S2" s="13" t="s">
        <v>140</v>
      </c>
      <c r="T2" s="14">
        <f>SUMIF($O$10:$O$500,"FX 2003",$N$10:$N$500)</f>
        <v>1626.6015555900012</v>
      </c>
      <c r="U2" s="14" t="e">
        <f>ROUNDUP(SUMIF($O$10:$O$500,"FX 2003",$S$10:$S$500),0)</f>
        <v>#DIV/0!</v>
      </c>
      <c r="V2" s="663">
        <v>110000</v>
      </c>
      <c r="W2" s="644">
        <f>MAX(P10:P500,O10:O500,$S$2)</f>
        <v>5007</v>
      </c>
    </row>
    <row r="3" spans="1:27" ht="16.5" thickBot="1" x14ac:dyDescent="0.3">
      <c r="A3" s="21"/>
      <c r="B3" s="662"/>
      <c r="E3" s="69" t="s">
        <v>27</v>
      </c>
      <c r="F3" s="70" t="s">
        <v>24</v>
      </c>
      <c r="I3" s="4"/>
      <c r="L3" s="1088" t="s">
        <v>32</v>
      </c>
      <c r="M3" s="1089"/>
      <c r="O3" s="664" t="s">
        <v>466</v>
      </c>
      <c r="P3"/>
      <c r="Q3"/>
      <c r="S3" s="12" t="s">
        <v>31</v>
      </c>
      <c r="T3" s="24">
        <f>SUM(T2)</f>
        <v>1626.6015555900012</v>
      </c>
      <c r="U3" s="24" t="e">
        <f>SUM(U2)</f>
        <v>#DIV/0!</v>
      </c>
      <c r="V3" s="654"/>
      <c r="W3" s="665"/>
    </row>
    <row r="4" spans="1:27" x14ac:dyDescent="0.25">
      <c r="A4" s="21"/>
      <c r="B4" s="662"/>
      <c r="E4" s="71" t="s">
        <v>19</v>
      </c>
      <c r="F4" s="72" t="s">
        <v>28</v>
      </c>
      <c r="I4" s="4"/>
      <c r="L4" s="27"/>
      <c r="M4" s="666"/>
      <c r="O4" s="667" t="s">
        <v>140</v>
      </c>
      <c r="P4"/>
      <c r="Q4"/>
      <c r="S4"/>
      <c r="T4"/>
      <c r="U4"/>
      <c r="V4"/>
      <c r="W4"/>
    </row>
    <row r="5" spans="1:27" x14ac:dyDescent="0.25">
      <c r="B5" s="4"/>
      <c r="E5" s="71" t="s">
        <v>100</v>
      </c>
      <c r="F5" s="72" t="s">
        <v>29</v>
      </c>
      <c r="I5" s="4"/>
      <c r="L5" s="668"/>
      <c r="M5" s="669"/>
      <c r="O5"/>
      <c r="P5"/>
      <c r="S5"/>
      <c r="T5"/>
      <c r="U5"/>
      <c r="V5"/>
      <c r="W5"/>
    </row>
    <row r="6" spans="1:27" ht="18.75" customHeight="1" thickBot="1" x14ac:dyDescent="0.3">
      <c r="B6" s="4"/>
      <c r="E6" s="73" t="s">
        <v>22</v>
      </c>
      <c r="F6" s="74" t="s">
        <v>21</v>
      </c>
      <c r="I6" s="4"/>
      <c r="L6" s="28"/>
      <c r="M6" s="670"/>
      <c r="O6"/>
      <c r="P6"/>
    </row>
    <row r="7" spans="1:27" x14ac:dyDescent="0.25">
      <c r="M7" s="21"/>
      <c r="O7"/>
      <c r="P7"/>
      <c r="Q7" s="35"/>
      <c r="R7" s="35"/>
      <c r="S7" s="662"/>
      <c r="T7" s="671"/>
      <c r="U7" s="672"/>
      <c r="V7" s="1074" t="s">
        <v>467</v>
      </c>
      <c r="W7" s="1082" t="s">
        <v>468</v>
      </c>
      <c r="X7" s="4"/>
    </row>
    <row r="8" spans="1:27" ht="18.75" customHeight="1" x14ac:dyDescent="0.25">
      <c r="A8" s="1072" t="s">
        <v>144</v>
      </c>
      <c r="B8" s="1072" t="s">
        <v>145</v>
      </c>
      <c r="C8" s="1074" t="s">
        <v>146</v>
      </c>
      <c r="D8" s="1072" t="s">
        <v>4</v>
      </c>
      <c r="E8" s="1074" t="s">
        <v>18</v>
      </c>
      <c r="F8" s="1072" t="s">
        <v>5</v>
      </c>
      <c r="G8" s="1072" t="s">
        <v>6</v>
      </c>
      <c r="H8" s="1074" t="s">
        <v>7</v>
      </c>
      <c r="I8" s="1076" t="s">
        <v>8</v>
      </c>
      <c r="J8" s="1074" t="s">
        <v>148</v>
      </c>
      <c r="K8" s="1074" t="s">
        <v>9</v>
      </c>
      <c r="L8" s="1074" t="s">
        <v>0</v>
      </c>
      <c r="M8" s="1080" t="s">
        <v>1</v>
      </c>
      <c r="N8" s="1080" t="s">
        <v>2</v>
      </c>
      <c r="O8" s="1074" t="s">
        <v>3</v>
      </c>
      <c r="P8" s="1072" t="s">
        <v>149</v>
      </c>
      <c r="Q8" s="1072" t="s">
        <v>150</v>
      </c>
      <c r="R8" s="1072" t="s">
        <v>151</v>
      </c>
      <c r="S8" s="1074" t="s">
        <v>152</v>
      </c>
      <c r="T8" s="1074" t="s">
        <v>469</v>
      </c>
      <c r="U8" s="1074" t="s">
        <v>30</v>
      </c>
      <c r="V8" s="1078"/>
      <c r="W8" s="1082"/>
      <c r="X8" s="4"/>
    </row>
    <row r="9" spans="1:27" ht="54" customHeight="1" thickBot="1" x14ac:dyDescent="0.3">
      <c r="A9" s="1073"/>
      <c r="B9" s="1073"/>
      <c r="C9" s="1075"/>
      <c r="D9" s="1073"/>
      <c r="E9" s="1075"/>
      <c r="F9" s="1073"/>
      <c r="G9" s="1073"/>
      <c r="H9" s="1075"/>
      <c r="I9" s="1077"/>
      <c r="J9" s="1075"/>
      <c r="K9" s="1075"/>
      <c r="L9" s="1075"/>
      <c r="M9" s="1081"/>
      <c r="N9" s="1081"/>
      <c r="O9" s="1075"/>
      <c r="P9" s="1073"/>
      <c r="Q9" s="1073"/>
      <c r="R9" s="1073"/>
      <c r="S9" s="1075"/>
      <c r="T9" s="1075"/>
      <c r="U9" s="1075"/>
      <c r="V9" s="1079"/>
      <c r="W9" s="1083"/>
      <c r="X9" s="4"/>
    </row>
    <row r="10" spans="1:27" x14ac:dyDescent="0.25">
      <c r="A10" s="673" t="s">
        <v>406</v>
      </c>
      <c r="B10" s="674" t="s">
        <v>407</v>
      </c>
      <c r="C10" s="661" t="s">
        <v>408</v>
      </c>
      <c r="D10" s="118" t="s">
        <v>10</v>
      </c>
      <c r="E10" s="118" t="s">
        <v>19</v>
      </c>
      <c r="F10" s="118" t="s">
        <v>494</v>
      </c>
      <c r="G10" s="118">
        <v>12</v>
      </c>
      <c r="H10" s="118">
        <v>2</v>
      </c>
      <c r="I10" s="118">
        <v>26385</v>
      </c>
      <c r="J10" s="675">
        <v>4</v>
      </c>
      <c r="K10" s="118">
        <v>2784</v>
      </c>
      <c r="L10" s="118" t="s">
        <v>156</v>
      </c>
      <c r="M10" s="64">
        <v>110</v>
      </c>
      <c r="N10" s="676">
        <v>1512.1</v>
      </c>
      <c r="O10" s="675" t="s">
        <v>491</v>
      </c>
      <c r="P10" s="15">
        <v>0</v>
      </c>
      <c r="Q10" s="648">
        <f t="shared" ref="Q10:Q73" si="0">IF(P10="","",IF(P10="dar valor","",0.03937*P10))</f>
        <v>0</v>
      </c>
      <c r="R10" s="46" t="str">
        <f>IF(O10="","",((IF(O10="Stofire",((65*1.5/Q10)*0.75*5),0))+(IF(O10="Fire Control",((65*1.5/Q10)*0.75*4),0))+(IF(O10="Fire Tex",((71*1.5/Q10)*0.75*5),0))+(IF(O10="WB7",((67*1.5/Q10)*0.75*5),0))+(IF(O10="FX 2003",((71*1.5/Q10)*0.75*5),0))))</f>
        <v/>
      </c>
      <c r="S10" s="46" t="str">
        <f t="shared" ref="S10:S73" si="1">IF(R10="","",+N10/R10)</f>
        <v/>
      </c>
      <c r="T10" s="677">
        <f>(IF(O10="Stofire",(S10/(7*1)),0))+(IF(O10="Fire Control",(S10/(7*1)),0))+(IF(O10="Fire Tex",(S10/(7*1)),0))+(IF(O10="WB7",(S10/(7*1)),0))+(IF(O10="FX 2003",(S10/(7*1)),0))</f>
        <v>0</v>
      </c>
      <c r="U10" s="80">
        <f>(IF(O10="FX 2003",(S10*$V$2),0))</f>
        <v>0</v>
      </c>
      <c r="V10" s="678">
        <f t="shared" ref="V10:V73" si="2">_xlfn.CEILING.MATH(M10,10)</f>
        <v>110</v>
      </c>
      <c r="W10" s="679">
        <f t="shared" ref="W10:W73" si="3">_xlfn.CEILING.MATH(M10,5)</f>
        <v>110</v>
      </c>
      <c r="X10" s="4"/>
    </row>
    <row r="11" spans="1:27" ht="16.5" thickBot="1" x14ac:dyDescent="0.3">
      <c r="A11" s="680" t="s">
        <v>406</v>
      </c>
      <c r="B11" s="681" t="s">
        <v>407</v>
      </c>
      <c r="C11" s="47" t="s">
        <v>408</v>
      </c>
      <c r="D11" s="118" t="s">
        <v>10</v>
      </c>
      <c r="E11" s="118" t="s">
        <v>17</v>
      </c>
      <c r="F11" s="118" t="s">
        <v>495</v>
      </c>
      <c r="G11" s="118">
        <v>12</v>
      </c>
      <c r="H11" s="118">
        <v>1</v>
      </c>
      <c r="I11" s="118">
        <v>91778</v>
      </c>
      <c r="J11" s="675">
        <v>4</v>
      </c>
      <c r="K11" s="118">
        <v>1781</v>
      </c>
      <c r="L11" s="118" t="s">
        <v>496</v>
      </c>
      <c r="M11" s="64">
        <v>150</v>
      </c>
      <c r="N11" s="676">
        <v>1168.8</v>
      </c>
      <c r="O11" s="675" t="s">
        <v>491</v>
      </c>
      <c r="P11" s="15">
        <v>0</v>
      </c>
      <c r="Q11" s="46">
        <f t="shared" si="0"/>
        <v>0</v>
      </c>
      <c r="R11" s="46" t="str">
        <f>IF(O11="","",((IF(O11="Stofire",((65*1.5/Q11)*0.75*5),0))+(IF(O11="Fire Control",((65*1.5/Q11)*0.75*4),0))+(IF(O11="Fire Tex",((71*1.5/Q11)*0.75*5),0))+(IF(O11="WB7",((67*1.5/Q11)*0.75*5),0))+(IF(O11="FX 2003",((71*1.5/Q11)*0.75*5),0))))</f>
        <v/>
      </c>
      <c r="S11" s="46" t="str">
        <f t="shared" si="1"/>
        <v/>
      </c>
      <c r="T11" s="677">
        <f>(IF(O11="Stofire",(S11/(7*1)),0))+(IF(O11="Fire Control",(S11/(7*1)),0))+(IF(O11="Fire Tex",(S11/(7*1)),0))+(IF(O11="WB7",(S11/(7*1)),0))+(IF(O11="FX 2003",(S11/(7*1)),0))</f>
        <v>0</v>
      </c>
      <c r="U11" s="80">
        <f>(IF(O11="FX 2003",(S11*$V$2),0))</f>
        <v>0</v>
      </c>
      <c r="V11" s="85">
        <f t="shared" si="2"/>
        <v>150</v>
      </c>
      <c r="W11" s="679">
        <f t="shared" si="3"/>
        <v>150</v>
      </c>
      <c r="X11" s="4"/>
    </row>
    <row r="12" spans="1:27" ht="18.75" thickBot="1" x14ac:dyDescent="0.3">
      <c r="A12" s="680" t="s">
        <v>409</v>
      </c>
      <c r="B12" s="681" t="s">
        <v>410</v>
      </c>
      <c r="C12" s="47" t="s">
        <v>408</v>
      </c>
      <c r="D12" s="118" t="s">
        <v>10</v>
      </c>
      <c r="E12" s="118" t="s">
        <v>19</v>
      </c>
      <c r="F12" s="118" t="s">
        <v>497</v>
      </c>
      <c r="G12" s="118">
        <v>12</v>
      </c>
      <c r="H12" s="118">
        <v>2</v>
      </c>
      <c r="I12" s="118">
        <v>12900</v>
      </c>
      <c r="J12" s="675">
        <v>4</v>
      </c>
      <c r="K12" s="118">
        <v>968</v>
      </c>
      <c r="L12" s="118" t="s">
        <v>156</v>
      </c>
      <c r="M12" s="64">
        <v>175</v>
      </c>
      <c r="N12" s="676">
        <v>356.35199999999998</v>
      </c>
      <c r="O12" s="675" t="s">
        <v>491</v>
      </c>
      <c r="P12" s="15">
        <v>0</v>
      </c>
      <c r="Q12" s="46">
        <f t="shared" si="0"/>
        <v>0</v>
      </c>
      <c r="R12" s="46" t="str">
        <f>IF(O12="","",((IF(O12="Stofire",((65*1.5/Q12)*0.75*5),0))+(IF(O12="Fire Control",((65*1.5/Q12)*0.75*4),0))+(IF(O12="Fire Tex",((71*1.5/Q12)*0.75*5),0))+(IF(O12="WB7",((67*1.5/Q12)*0.75*5),0))+(IF(O12="FX 2003",((71*1.5/Q12)*0.75*5),0))))</f>
        <v/>
      </c>
      <c r="S12" s="46" t="str">
        <f t="shared" si="1"/>
        <v/>
      </c>
      <c r="T12" s="677">
        <f>(IF(O12="Stofire",(S12/(7*1)),0))+(IF(O12="Fire Control",(S12/(7*1)),0))+(IF(O12="Fire Tex",(S12/(7*1)),0))+(IF(O12="WB7",(S12/(7*1)),0))+(IF(O12="FX 2003",(S12/(7*1)),0))</f>
        <v>0</v>
      </c>
      <c r="U12" s="80">
        <f t="shared" ref="U12:U75" si="4">(IF(O12="FX 2003",(S12*$V$2),0))</f>
        <v>0</v>
      </c>
      <c r="V12" s="85">
        <f t="shared" si="2"/>
        <v>180</v>
      </c>
      <c r="W12" s="679">
        <f t="shared" si="3"/>
        <v>175</v>
      </c>
      <c r="X12" s="4"/>
      <c r="Y12" s="12" t="s">
        <v>411</v>
      </c>
      <c r="Z12" s="654" t="s">
        <v>412</v>
      </c>
      <c r="AA12" s="39" t="s">
        <v>413</v>
      </c>
    </row>
    <row r="13" spans="1:27" x14ac:dyDescent="0.25">
      <c r="A13" s="680" t="s">
        <v>414</v>
      </c>
      <c r="B13" s="681" t="s">
        <v>415</v>
      </c>
      <c r="C13" s="47" t="s">
        <v>408</v>
      </c>
      <c r="D13" s="118" t="s">
        <v>10</v>
      </c>
      <c r="E13" s="118" t="s">
        <v>19</v>
      </c>
      <c r="F13" s="118" t="s">
        <v>498</v>
      </c>
      <c r="G13" s="118">
        <v>3</v>
      </c>
      <c r="H13" s="118">
        <v>1</v>
      </c>
      <c r="I13" s="118">
        <v>17971</v>
      </c>
      <c r="J13" s="675">
        <v>4</v>
      </c>
      <c r="K13" s="118">
        <v>2184</v>
      </c>
      <c r="L13" s="118" t="s">
        <v>156</v>
      </c>
      <c r="M13" s="64">
        <v>144</v>
      </c>
      <c r="N13" s="676">
        <v>445.44</v>
      </c>
      <c r="O13" s="675" t="s">
        <v>491</v>
      </c>
      <c r="P13" s="15">
        <v>0</v>
      </c>
      <c r="Q13" s="46">
        <f t="shared" si="0"/>
        <v>0</v>
      </c>
      <c r="R13" s="46" t="str">
        <f>IF(O13="","",((IF(O13="Stofire",((65*1.5/Q13)*0.75*5),0))+(IF(O13="Fire Control",((65*1.5/Q13)*0.75*4),0))+(IF(O13="Fire Tex",((71*1.5/Q13)*0.75*5),0))+(IF(O13="WB7",((67*1.5/Q13)*0.75*5),0))+(IF(O13="FX 2003",((71*1.5/Q13)*0.75*5),0))))</f>
        <v/>
      </c>
      <c r="S13" s="46" t="str">
        <f t="shared" si="1"/>
        <v/>
      </c>
      <c r="T13" s="677">
        <f t="shared" ref="T13:T76" si="5">(IF(O13="Stofire",(S13/(7*1)),0))+(IF(O13="Fire Control",(S13/(7*1)),0))+(IF(O13="Fire Tex",(S13/(7*1)),0))+(IF(O13="WB7",(S13/(7*1)),0))+(IF(O13="FX 2003",(S13/(7*1)),0))</f>
        <v>0</v>
      </c>
      <c r="U13" s="80">
        <f t="shared" si="4"/>
        <v>0</v>
      </c>
      <c r="V13" s="85">
        <f t="shared" si="2"/>
        <v>150</v>
      </c>
      <c r="W13" s="679">
        <f t="shared" si="3"/>
        <v>145</v>
      </c>
      <c r="X13" s="4"/>
      <c r="Y13" s="71" t="s">
        <v>416</v>
      </c>
      <c r="Z13" s="655">
        <f>ROUND((SUMIF($P$10:$P$500,"&lt;500",$N$10:$N$500)),2)</f>
        <v>17795.71</v>
      </c>
      <c r="AA13" s="656">
        <v>2200</v>
      </c>
    </row>
    <row r="14" spans="1:27" ht="16.5" thickBot="1" x14ac:dyDescent="0.3">
      <c r="A14" s="680" t="s">
        <v>417</v>
      </c>
      <c r="B14" s="681" t="s">
        <v>415</v>
      </c>
      <c r="C14" s="47" t="s">
        <v>408</v>
      </c>
      <c r="D14" s="118" t="s">
        <v>10</v>
      </c>
      <c r="E14" s="118" t="s">
        <v>19</v>
      </c>
      <c r="F14" s="118" t="s">
        <v>499</v>
      </c>
      <c r="G14" s="118">
        <v>2</v>
      </c>
      <c r="H14" s="118">
        <v>1</v>
      </c>
      <c r="I14" s="118">
        <v>7759</v>
      </c>
      <c r="J14" s="675">
        <v>4</v>
      </c>
      <c r="K14" s="118">
        <v>785</v>
      </c>
      <c r="L14" s="118" t="s">
        <v>156</v>
      </c>
      <c r="M14" s="64">
        <v>186</v>
      </c>
      <c r="N14" s="676">
        <v>400.89600000000002</v>
      </c>
      <c r="O14" s="675" t="s">
        <v>491</v>
      </c>
      <c r="P14" s="15">
        <v>0</v>
      </c>
      <c r="Q14" s="682">
        <f t="shared" si="0"/>
        <v>0</v>
      </c>
      <c r="R14" s="46" t="str">
        <f t="shared" ref="R14:R77" si="6">IF(O14="","",((IF(O14="Stofire",((65*1.5/Q14)*0.75*5),0))+(IF(O14="Fire Control",((65*1.5/Q14)*0.75*4),0))+(IF(O14="Fire Tex",((71*1.5/Q14)*0.75*5),0))+(IF(O14="WB7",((67*1.5/Q14)*0.75*5),0))+(IF(O14="FX 2003",((71*1.5/Q14)*0.75*5),0))))</f>
        <v/>
      </c>
      <c r="S14" s="46" t="str">
        <f t="shared" si="1"/>
        <v/>
      </c>
      <c r="T14" s="677">
        <f t="shared" si="5"/>
        <v>0</v>
      </c>
      <c r="U14" s="80">
        <f t="shared" si="4"/>
        <v>0</v>
      </c>
      <c r="V14" s="85">
        <f t="shared" si="2"/>
        <v>190</v>
      </c>
      <c r="W14" s="679">
        <f t="shared" si="3"/>
        <v>190</v>
      </c>
      <c r="X14" s="4"/>
      <c r="Y14" s="71" t="s">
        <v>418</v>
      </c>
      <c r="Z14" s="655">
        <f>ROUND(((SUMIF($P$10:$P$500,"&gt;=600",$N$10:$N$500))-(SUMIF($P$10:$P$500,"&gt;750",$N$10:$N$500))),2)</f>
        <v>73.599999999999994</v>
      </c>
      <c r="AA14" s="657">
        <v>2450</v>
      </c>
    </row>
    <row r="15" spans="1:27" x14ac:dyDescent="0.25">
      <c r="A15" s="680" t="s">
        <v>419</v>
      </c>
      <c r="B15" s="681" t="s">
        <v>415</v>
      </c>
      <c r="C15" s="47" t="s">
        <v>408</v>
      </c>
      <c r="D15" s="118" t="s">
        <v>10</v>
      </c>
      <c r="E15" s="118" t="s">
        <v>19</v>
      </c>
      <c r="F15" s="118" t="s">
        <v>500</v>
      </c>
      <c r="G15" s="118">
        <v>1</v>
      </c>
      <c r="H15" s="118">
        <v>1</v>
      </c>
      <c r="I15" s="118">
        <v>7100</v>
      </c>
      <c r="J15" s="675">
        <v>4</v>
      </c>
      <c r="K15" s="118">
        <v>785</v>
      </c>
      <c r="L15" s="118" t="s">
        <v>156</v>
      </c>
      <c r="M15" s="64">
        <v>164</v>
      </c>
      <c r="N15" s="676">
        <v>315.072</v>
      </c>
      <c r="O15" s="675" t="s">
        <v>491</v>
      </c>
      <c r="P15" s="15">
        <v>0</v>
      </c>
      <c r="Q15" s="648">
        <f t="shared" si="0"/>
        <v>0</v>
      </c>
      <c r="R15" s="46" t="str">
        <f t="shared" si="6"/>
        <v/>
      </c>
      <c r="S15" s="46" t="str">
        <f t="shared" si="1"/>
        <v/>
      </c>
      <c r="T15" s="677">
        <f t="shared" si="5"/>
        <v>0</v>
      </c>
      <c r="U15" s="80">
        <f t="shared" si="4"/>
        <v>0</v>
      </c>
      <c r="V15" s="85">
        <f t="shared" si="2"/>
        <v>170</v>
      </c>
      <c r="W15" s="679">
        <f t="shared" si="3"/>
        <v>165</v>
      </c>
      <c r="X15" s="4"/>
      <c r="Y15" s="71" t="s">
        <v>420</v>
      </c>
      <c r="Z15" s="655">
        <f>ROUND(((SUMIF($P$10:$P$500,"&gt;=800",$N$10:$N$500))-(SUMIF($P$10:$P$500,"&gt;1000",$N$10:$N$500))),2)</f>
        <v>123.34</v>
      </c>
      <c r="AA15" s="657">
        <v>2850</v>
      </c>
    </row>
    <row r="16" spans="1:27" ht="15.75" customHeight="1" x14ac:dyDescent="0.25">
      <c r="A16" s="680" t="s">
        <v>421</v>
      </c>
      <c r="B16" s="681" t="s">
        <v>422</v>
      </c>
      <c r="C16" s="47" t="s">
        <v>423</v>
      </c>
      <c r="D16" s="118" t="s">
        <v>10</v>
      </c>
      <c r="E16" s="118" t="s">
        <v>19</v>
      </c>
      <c r="F16" s="118" t="s">
        <v>501</v>
      </c>
      <c r="G16" s="118">
        <v>1</v>
      </c>
      <c r="H16" s="118">
        <v>1</v>
      </c>
      <c r="I16" s="118">
        <v>19050</v>
      </c>
      <c r="J16" s="675">
        <v>4</v>
      </c>
      <c r="K16" s="118">
        <v>1185</v>
      </c>
      <c r="L16" s="118" t="s">
        <v>156</v>
      </c>
      <c r="M16" s="64">
        <v>185</v>
      </c>
      <c r="N16" s="676">
        <v>245.28</v>
      </c>
      <c r="O16" s="675" t="s">
        <v>491</v>
      </c>
      <c r="P16" s="15">
        <v>0</v>
      </c>
      <c r="Q16" s="46">
        <f t="shared" si="0"/>
        <v>0</v>
      </c>
      <c r="R16" s="46" t="str">
        <f t="shared" si="6"/>
        <v/>
      </c>
      <c r="S16" s="46" t="str">
        <f t="shared" si="1"/>
        <v/>
      </c>
      <c r="T16" s="677">
        <f t="shared" si="5"/>
        <v>0</v>
      </c>
      <c r="U16" s="80">
        <f t="shared" si="4"/>
        <v>0</v>
      </c>
      <c r="V16" s="85">
        <f t="shared" si="2"/>
        <v>190</v>
      </c>
      <c r="W16" s="679">
        <f t="shared" si="3"/>
        <v>185</v>
      </c>
      <c r="X16" s="4"/>
      <c r="Y16" s="71" t="s">
        <v>424</v>
      </c>
      <c r="Z16" s="655">
        <f>ROUND(((SUMIF($P$10:$P$500,"&gt;=1100",$N$10:$N$500))-(SUMIF($P$10:$P$500,"&gt;1300",$N$10:$N$500))),2)</f>
        <v>96.8</v>
      </c>
      <c r="AA16" s="657">
        <v>3400</v>
      </c>
    </row>
    <row r="17" spans="1:27" x14ac:dyDescent="0.25">
      <c r="A17" s="680" t="s">
        <v>425</v>
      </c>
      <c r="B17" s="681" t="s">
        <v>426</v>
      </c>
      <c r="C17" s="47" t="s">
        <v>427</v>
      </c>
      <c r="D17" s="118" t="s">
        <v>10</v>
      </c>
      <c r="E17" s="118" t="s">
        <v>19</v>
      </c>
      <c r="F17" s="118" t="s">
        <v>502</v>
      </c>
      <c r="G17" s="118">
        <v>3</v>
      </c>
      <c r="H17" s="118">
        <v>1</v>
      </c>
      <c r="I17" s="118">
        <v>4255</v>
      </c>
      <c r="J17" s="675">
        <v>4</v>
      </c>
      <c r="K17" s="118">
        <v>1185</v>
      </c>
      <c r="L17" s="118" t="s">
        <v>156</v>
      </c>
      <c r="M17" s="64">
        <v>288</v>
      </c>
      <c r="N17" s="676">
        <v>1910.4</v>
      </c>
      <c r="O17" s="675" t="s">
        <v>491</v>
      </c>
      <c r="P17" s="15">
        <v>0</v>
      </c>
      <c r="Q17" s="46">
        <f t="shared" si="0"/>
        <v>0</v>
      </c>
      <c r="R17" s="46" t="str">
        <f t="shared" si="6"/>
        <v/>
      </c>
      <c r="S17" s="46" t="str">
        <f t="shared" si="1"/>
        <v/>
      </c>
      <c r="T17" s="677">
        <f t="shared" si="5"/>
        <v>0</v>
      </c>
      <c r="U17" s="80">
        <f t="shared" si="4"/>
        <v>0</v>
      </c>
      <c r="V17" s="85">
        <f t="shared" si="2"/>
        <v>290</v>
      </c>
      <c r="W17" s="679">
        <f t="shared" si="3"/>
        <v>290</v>
      </c>
      <c r="X17" s="4"/>
      <c r="Y17" s="71" t="s">
        <v>428</v>
      </c>
      <c r="Z17" s="655">
        <f>ROUND(((SUMIF($P$10:$P$500,"&gt;=1400",$N$10:$N$500))-(SUMIF($P$10:$P$500,"&gt;1600",$N$10:$N$500))),2)</f>
        <v>166.78</v>
      </c>
      <c r="AA17" s="657">
        <v>3700</v>
      </c>
    </row>
    <row r="18" spans="1:27" x14ac:dyDescent="0.25">
      <c r="A18" s="680" t="s">
        <v>429</v>
      </c>
      <c r="B18" s="681" t="s">
        <v>430</v>
      </c>
      <c r="C18" s="47" t="s">
        <v>431</v>
      </c>
      <c r="D18" s="118" t="s">
        <v>10</v>
      </c>
      <c r="E18" s="118" t="s">
        <v>19</v>
      </c>
      <c r="F18" s="118" t="s">
        <v>503</v>
      </c>
      <c r="G18" s="118">
        <v>1</v>
      </c>
      <c r="H18" s="118">
        <v>1</v>
      </c>
      <c r="I18" s="118">
        <v>89250</v>
      </c>
      <c r="J18" s="675">
        <v>4</v>
      </c>
      <c r="K18" s="118">
        <v>1190</v>
      </c>
      <c r="L18" s="118" t="s">
        <v>156</v>
      </c>
      <c r="M18" s="64">
        <v>279</v>
      </c>
      <c r="N18" s="676">
        <v>2484.48</v>
      </c>
      <c r="O18" s="675" t="s">
        <v>491</v>
      </c>
      <c r="P18" s="15">
        <v>0</v>
      </c>
      <c r="Q18" s="46">
        <f t="shared" si="0"/>
        <v>0</v>
      </c>
      <c r="R18" s="46" t="str">
        <f t="shared" si="6"/>
        <v/>
      </c>
      <c r="S18" s="46" t="str">
        <f t="shared" si="1"/>
        <v/>
      </c>
      <c r="T18" s="677">
        <f t="shared" si="5"/>
        <v>0</v>
      </c>
      <c r="U18" s="80">
        <f t="shared" si="4"/>
        <v>0</v>
      </c>
      <c r="V18" s="85">
        <f t="shared" si="2"/>
        <v>280</v>
      </c>
      <c r="W18" s="679">
        <f t="shared" si="3"/>
        <v>280</v>
      </c>
      <c r="X18" s="4"/>
      <c r="Y18" s="71" t="s">
        <v>432</v>
      </c>
      <c r="Z18" s="655">
        <f>ROUND(((SUMIF($P$10:$P$500,"&gt;=1700",$N$10:$N$500))-(SUMIF($P$10:$P$500,"&gt;1800",$N$10:$N$500))),2)</f>
        <v>0</v>
      </c>
      <c r="AA18" s="657">
        <v>4100</v>
      </c>
    </row>
    <row r="19" spans="1:27" x14ac:dyDescent="0.25">
      <c r="A19" s="680" t="s">
        <v>429</v>
      </c>
      <c r="B19" s="681" t="s">
        <v>430</v>
      </c>
      <c r="C19" s="47" t="s">
        <v>433</v>
      </c>
      <c r="D19" s="118" t="s">
        <v>10</v>
      </c>
      <c r="E19" s="118" t="s">
        <v>19</v>
      </c>
      <c r="F19" s="118" t="s">
        <v>504</v>
      </c>
      <c r="G19" s="118">
        <v>1</v>
      </c>
      <c r="H19" s="118">
        <v>1</v>
      </c>
      <c r="I19" s="118">
        <v>13000</v>
      </c>
      <c r="J19" s="675">
        <v>4</v>
      </c>
      <c r="K19" s="118">
        <v>1181</v>
      </c>
      <c r="L19" s="118" t="s">
        <v>156</v>
      </c>
      <c r="M19" s="64">
        <v>259</v>
      </c>
      <c r="N19" s="676">
        <v>119.4</v>
      </c>
      <c r="O19" s="675" t="s">
        <v>491</v>
      </c>
      <c r="P19" s="15">
        <v>0</v>
      </c>
      <c r="Q19" s="46">
        <f t="shared" si="0"/>
        <v>0</v>
      </c>
      <c r="R19" s="46" t="str">
        <f t="shared" si="6"/>
        <v/>
      </c>
      <c r="S19" s="46" t="str">
        <f t="shared" si="1"/>
        <v/>
      </c>
      <c r="T19" s="677">
        <f t="shared" si="5"/>
        <v>0</v>
      </c>
      <c r="U19" s="80">
        <f t="shared" si="4"/>
        <v>0</v>
      </c>
      <c r="V19" s="85">
        <f t="shared" si="2"/>
        <v>260</v>
      </c>
      <c r="W19" s="679">
        <f t="shared" si="3"/>
        <v>260</v>
      </c>
      <c r="X19" s="4"/>
      <c r="Y19" s="71" t="s">
        <v>434</v>
      </c>
      <c r="Z19" s="655">
        <f>ROUND(((SUMIF($P$10:$P$500,"&gt;=1900",$N$10:$N$500))-(SUMIF($P$10:$P$500,"&gt;2100",$N$10:$N$500))),2)</f>
        <v>0</v>
      </c>
      <c r="AA19" s="657">
        <v>7950</v>
      </c>
    </row>
    <row r="20" spans="1:27" x14ac:dyDescent="0.25">
      <c r="A20" s="680" t="s">
        <v>429</v>
      </c>
      <c r="B20" s="681" t="s">
        <v>430</v>
      </c>
      <c r="C20" s="47" t="s">
        <v>435</v>
      </c>
      <c r="D20" s="118" t="s">
        <v>10</v>
      </c>
      <c r="E20" s="118" t="s">
        <v>19</v>
      </c>
      <c r="F20" s="118" t="s">
        <v>494</v>
      </c>
      <c r="G20" s="118">
        <v>1</v>
      </c>
      <c r="H20" s="118">
        <v>1</v>
      </c>
      <c r="I20" s="118">
        <v>4250</v>
      </c>
      <c r="J20" s="675">
        <v>4</v>
      </c>
      <c r="K20" s="118">
        <v>1181</v>
      </c>
      <c r="L20" s="118" t="s">
        <v>156</v>
      </c>
      <c r="M20" s="64">
        <v>325</v>
      </c>
      <c r="N20" s="676">
        <v>199</v>
      </c>
      <c r="O20" s="675" t="s">
        <v>491</v>
      </c>
      <c r="P20" s="15">
        <v>0</v>
      </c>
      <c r="Q20" s="46">
        <f t="shared" si="0"/>
        <v>0</v>
      </c>
      <c r="R20" s="46" t="str">
        <f t="shared" si="6"/>
        <v/>
      </c>
      <c r="S20" s="46" t="str">
        <f t="shared" si="1"/>
        <v/>
      </c>
      <c r="T20" s="677">
        <f t="shared" si="5"/>
        <v>0</v>
      </c>
      <c r="U20" s="80">
        <f t="shared" si="4"/>
        <v>0</v>
      </c>
      <c r="V20" s="85">
        <f t="shared" si="2"/>
        <v>330</v>
      </c>
      <c r="W20" s="679">
        <f t="shared" si="3"/>
        <v>325</v>
      </c>
      <c r="X20" s="4"/>
      <c r="Y20" s="71" t="s">
        <v>436</v>
      </c>
      <c r="Z20" s="655">
        <f>ROUND(((SUMIF($P$10:$P$500,"&gt;=2150",$N$10:$N$500))-(SUMIF($P$10:$P$500,"&gt;2500",$N$10:$N$500))),2)</f>
        <v>0</v>
      </c>
      <c r="AA20" s="657">
        <v>8550</v>
      </c>
    </row>
    <row r="21" spans="1:27" x14ac:dyDescent="0.25">
      <c r="A21" s="680" t="s">
        <v>429</v>
      </c>
      <c r="B21" s="681" t="s">
        <v>430</v>
      </c>
      <c r="C21" s="47" t="s">
        <v>437</v>
      </c>
      <c r="D21" s="118" t="s">
        <v>505</v>
      </c>
      <c r="E21" s="118" t="s">
        <v>17</v>
      </c>
      <c r="F21" s="118" t="s">
        <v>495</v>
      </c>
      <c r="G21" s="118">
        <v>1</v>
      </c>
      <c r="H21" s="118">
        <v>1</v>
      </c>
      <c r="I21" s="118">
        <v>8500</v>
      </c>
      <c r="J21" s="675">
        <v>4</v>
      </c>
      <c r="K21" s="118">
        <v>1181</v>
      </c>
      <c r="L21" s="118" t="s">
        <v>156</v>
      </c>
      <c r="M21" s="64">
        <v>339</v>
      </c>
      <c r="N21" s="676">
        <v>211.45599999999999</v>
      </c>
      <c r="O21" s="675" t="s">
        <v>491</v>
      </c>
      <c r="P21" s="15">
        <v>0</v>
      </c>
      <c r="Q21" s="46">
        <f t="shared" si="0"/>
        <v>0</v>
      </c>
      <c r="R21" s="46" t="str">
        <f t="shared" si="6"/>
        <v/>
      </c>
      <c r="S21" s="46" t="str">
        <f t="shared" si="1"/>
        <v/>
      </c>
      <c r="T21" s="677">
        <f t="shared" si="5"/>
        <v>0</v>
      </c>
      <c r="U21" s="80">
        <f t="shared" si="4"/>
        <v>0</v>
      </c>
      <c r="V21" s="85">
        <f t="shared" si="2"/>
        <v>340</v>
      </c>
      <c r="W21" s="679">
        <f t="shared" si="3"/>
        <v>340</v>
      </c>
      <c r="X21" s="4"/>
      <c r="Y21" s="71" t="s">
        <v>438</v>
      </c>
      <c r="Z21" s="655">
        <f>ROUND(((SUMIF($P$10:$P$500,"&gt;=2550",$N$10:$N$500))-(SUMIF($P$10:$P$500,"&gt;3000",$N$10:$N$500))),2)</f>
        <v>0</v>
      </c>
      <c r="AA21" s="657">
        <v>8950</v>
      </c>
    </row>
    <row r="22" spans="1:27" x14ac:dyDescent="0.25">
      <c r="A22" s="680" t="s">
        <v>439</v>
      </c>
      <c r="B22" s="681" t="s">
        <v>430</v>
      </c>
      <c r="C22" s="47" t="s">
        <v>431</v>
      </c>
      <c r="D22" s="118" t="s">
        <v>505</v>
      </c>
      <c r="E22" s="118" t="s">
        <v>17</v>
      </c>
      <c r="F22" s="118" t="s">
        <v>495</v>
      </c>
      <c r="G22" s="118">
        <v>1</v>
      </c>
      <c r="H22" s="118">
        <v>1</v>
      </c>
      <c r="I22" s="118">
        <v>103000</v>
      </c>
      <c r="J22" s="675">
        <v>4</v>
      </c>
      <c r="K22" s="118">
        <v>1190</v>
      </c>
      <c r="L22" s="118" t="s">
        <v>156</v>
      </c>
      <c r="M22" s="64">
        <v>339</v>
      </c>
      <c r="N22" s="676">
        <v>547.17780000000005</v>
      </c>
      <c r="O22" s="675" t="s">
        <v>491</v>
      </c>
      <c r="P22" s="15">
        <v>0</v>
      </c>
      <c r="Q22" s="46">
        <f t="shared" si="0"/>
        <v>0</v>
      </c>
      <c r="R22" s="46" t="str">
        <f t="shared" si="6"/>
        <v/>
      </c>
      <c r="S22" s="46" t="str">
        <f t="shared" si="1"/>
        <v/>
      </c>
      <c r="T22" s="677">
        <f t="shared" si="5"/>
        <v>0</v>
      </c>
      <c r="U22" s="80">
        <f t="shared" si="4"/>
        <v>0</v>
      </c>
      <c r="V22" s="85">
        <f t="shared" si="2"/>
        <v>340</v>
      </c>
      <c r="W22" s="679">
        <f t="shared" si="3"/>
        <v>340</v>
      </c>
      <c r="X22" s="4"/>
      <c r="Y22" s="71" t="s">
        <v>440</v>
      </c>
      <c r="Z22" s="655">
        <f>ROUND(((SUMIF($P$10:$P$500,"&gt;=3050",$N$10:$N$500))-(SUMIF($P$10:$P$500,"&gt;3500",$N$10:$N$500))),2)</f>
        <v>0</v>
      </c>
      <c r="AA22" s="657">
        <v>9500</v>
      </c>
    </row>
    <row r="23" spans="1:27" x14ac:dyDescent="0.25">
      <c r="A23" s="680" t="s">
        <v>439</v>
      </c>
      <c r="B23" s="681" t="s">
        <v>430</v>
      </c>
      <c r="C23" s="47" t="s">
        <v>435</v>
      </c>
      <c r="D23" s="118" t="s">
        <v>505</v>
      </c>
      <c r="E23" s="118" t="s">
        <v>17</v>
      </c>
      <c r="F23" s="118" t="s">
        <v>506</v>
      </c>
      <c r="G23" s="118">
        <v>1</v>
      </c>
      <c r="H23" s="118">
        <v>1</v>
      </c>
      <c r="I23" s="118">
        <v>12750</v>
      </c>
      <c r="J23" s="675">
        <v>4</v>
      </c>
      <c r="K23" s="118">
        <v>1181</v>
      </c>
      <c r="L23" s="118" t="s">
        <v>156</v>
      </c>
      <c r="M23" s="64">
        <v>340</v>
      </c>
      <c r="N23" s="676">
        <v>277.09500000000003</v>
      </c>
      <c r="O23" s="675" t="s">
        <v>491</v>
      </c>
      <c r="P23" s="15">
        <v>0</v>
      </c>
      <c r="Q23" s="46">
        <f t="shared" si="0"/>
        <v>0</v>
      </c>
      <c r="R23" s="46" t="str">
        <f t="shared" si="6"/>
        <v/>
      </c>
      <c r="S23" s="46" t="str">
        <f t="shared" si="1"/>
        <v/>
      </c>
      <c r="T23" s="677">
        <f t="shared" si="5"/>
        <v>0</v>
      </c>
      <c r="U23" s="80">
        <f t="shared" si="4"/>
        <v>0</v>
      </c>
      <c r="V23" s="85">
        <f t="shared" si="2"/>
        <v>340</v>
      </c>
      <c r="W23" s="679">
        <f t="shared" si="3"/>
        <v>340</v>
      </c>
      <c r="X23" s="4"/>
      <c r="Y23" s="71" t="s">
        <v>441</v>
      </c>
      <c r="Z23" s="655">
        <f>ROUND(((SUMIF($P$10:$P$500,"&gt;=4050",$N$10:$N$500))-(SUMIF($P$10:$P$500,"&gt;4500",$N$10:$N$500))),2)</f>
        <v>0</v>
      </c>
      <c r="AA23" s="657">
        <v>10400</v>
      </c>
    </row>
    <row r="24" spans="1:27" x14ac:dyDescent="0.25">
      <c r="A24" s="680" t="s">
        <v>442</v>
      </c>
      <c r="B24" s="681" t="s">
        <v>443</v>
      </c>
      <c r="C24" s="47" t="s">
        <v>444</v>
      </c>
      <c r="D24" s="118" t="s">
        <v>505</v>
      </c>
      <c r="E24" s="118" t="s">
        <v>17</v>
      </c>
      <c r="F24" s="118" t="s">
        <v>506</v>
      </c>
      <c r="G24" s="118">
        <v>1</v>
      </c>
      <c r="H24" s="118">
        <v>1</v>
      </c>
      <c r="I24" s="118">
        <v>17500</v>
      </c>
      <c r="J24" s="675">
        <v>4</v>
      </c>
      <c r="K24" s="118">
        <v>1692</v>
      </c>
      <c r="L24" s="118" t="s">
        <v>156</v>
      </c>
      <c r="M24" s="64">
        <v>340</v>
      </c>
      <c r="N24" s="676">
        <v>598.52520000000004</v>
      </c>
      <c r="O24" s="675" t="s">
        <v>491</v>
      </c>
      <c r="P24" s="15">
        <v>0</v>
      </c>
      <c r="Q24" s="46">
        <f t="shared" si="0"/>
        <v>0</v>
      </c>
      <c r="R24" s="46" t="str">
        <f t="shared" si="6"/>
        <v/>
      </c>
      <c r="S24" s="46" t="str">
        <f t="shared" si="1"/>
        <v/>
      </c>
      <c r="T24" s="677">
        <f t="shared" si="5"/>
        <v>0</v>
      </c>
      <c r="U24" s="80">
        <f t="shared" si="4"/>
        <v>0</v>
      </c>
      <c r="V24" s="85">
        <f t="shared" si="2"/>
        <v>340</v>
      </c>
      <c r="W24" s="679">
        <f t="shared" si="3"/>
        <v>340</v>
      </c>
      <c r="X24" s="4"/>
      <c r="Y24" s="71" t="s">
        <v>445</v>
      </c>
      <c r="Z24" s="655">
        <f>ROUND(((SUMIF($P$10:$P$500,"&gt;=5050",$N$10:$N$500))-(SUMIF($P$10:$P$500,"&gt;5500",$N$10:$N$500))),2)</f>
        <v>0</v>
      </c>
      <c r="AA24" s="657">
        <v>11600</v>
      </c>
    </row>
    <row r="25" spans="1:27" x14ac:dyDescent="0.25">
      <c r="A25" s="680" t="s">
        <v>442</v>
      </c>
      <c r="B25" s="681" t="s">
        <v>443</v>
      </c>
      <c r="C25" s="47" t="s">
        <v>446</v>
      </c>
      <c r="D25" s="118" t="s">
        <v>505</v>
      </c>
      <c r="E25" s="118" t="s">
        <v>17</v>
      </c>
      <c r="F25" s="118" t="s">
        <v>507</v>
      </c>
      <c r="G25" s="118">
        <v>1</v>
      </c>
      <c r="H25" s="118">
        <v>1</v>
      </c>
      <c r="I25" s="118">
        <v>8500</v>
      </c>
      <c r="J25" s="675">
        <v>4</v>
      </c>
      <c r="K25" s="118">
        <v>1502</v>
      </c>
      <c r="L25" s="118" t="s">
        <v>156</v>
      </c>
      <c r="M25" s="64">
        <v>200</v>
      </c>
      <c r="N25" s="676">
        <v>27.559000000000001</v>
      </c>
      <c r="O25" s="675" t="s">
        <v>491</v>
      </c>
      <c r="P25" s="15">
        <v>0</v>
      </c>
      <c r="Q25" s="46">
        <f t="shared" si="0"/>
        <v>0</v>
      </c>
      <c r="R25" s="46" t="str">
        <f t="shared" si="6"/>
        <v/>
      </c>
      <c r="S25" s="46" t="str">
        <f t="shared" si="1"/>
        <v/>
      </c>
      <c r="T25" s="677">
        <f t="shared" si="5"/>
        <v>0</v>
      </c>
      <c r="U25" s="80">
        <f t="shared" si="4"/>
        <v>0</v>
      </c>
      <c r="V25" s="85">
        <f t="shared" si="2"/>
        <v>200</v>
      </c>
      <c r="W25" s="679">
        <f t="shared" si="3"/>
        <v>200</v>
      </c>
      <c r="X25" s="4"/>
      <c r="Y25" s="71" t="s">
        <v>447</v>
      </c>
      <c r="Z25" s="655">
        <f>ROUND(((SUMIF($P$10:$P$500,"&gt;=6050",$N$10:$N$500))-(SUMIF($P$10:$P$500,"&gt;6500",$N$10:$N$500))),2)</f>
        <v>0</v>
      </c>
      <c r="AA25" s="657">
        <v>12900</v>
      </c>
    </row>
    <row r="26" spans="1:27" x14ac:dyDescent="0.25">
      <c r="A26" s="680" t="s">
        <v>448</v>
      </c>
      <c r="B26" s="681" t="s">
        <v>443</v>
      </c>
      <c r="C26" s="47" t="s">
        <v>444</v>
      </c>
      <c r="D26" s="118" t="s">
        <v>505</v>
      </c>
      <c r="E26" s="118" t="s">
        <v>17</v>
      </c>
      <c r="F26" s="118" t="s">
        <v>507</v>
      </c>
      <c r="G26" s="118">
        <v>1</v>
      </c>
      <c r="H26" s="118">
        <v>1</v>
      </c>
      <c r="I26" s="118">
        <v>17500</v>
      </c>
      <c r="J26" s="675">
        <v>4</v>
      </c>
      <c r="K26" s="118">
        <v>1692</v>
      </c>
      <c r="L26" s="118" t="s">
        <v>156</v>
      </c>
      <c r="M26" s="64">
        <v>200</v>
      </c>
      <c r="N26" s="676">
        <v>173.22800000000001</v>
      </c>
      <c r="O26" s="675" t="s">
        <v>491</v>
      </c>
      <c r="P26" s="15">
        <v>0</v>
      </c>
      <c r="Q26" s="46">
        <f t="shared" si="0"/>
        <v>0</v>
      </c>
      <c r="R26" s="46" t="str">
        <f t="shared" si="6"/>
        <v/>
      </c>
      <c r="S26" s="46" t="str">
        <f t="shared" si="1"/>
        <v/>
      </c>
      <c r="T26" s="677">
        <f t="shared" si="5"/>
        <v>0</v>
      </c>
      <c r="U26" s="80">
        <f t="shared" si="4"/>
        <v>0</v>
      </c>
      <c r="V26" s="85">
        <f t="shared" si="2"/>
        <v>200</v>
      </c>
      <c r="W26" s="679">
        <f t="shared" si="3"/>
        <v>200</v>
      </c>
      <c r="X26" s="4"/>
      <c r="Y26" s="71" t="s">
        <v>449</v>
      </c>
      <c r="Z26" s="655">
        <f>ROUND(((SUMIF($P$10:$P$500,"&gt;=7050",$N$10:$N$500))-(SUMIF($P$10:$P$500,"&gt;7500",$N$10:$N$500))),2)</f>
        <v>0</v>
      </c>
      <c r="AA26" s="657">
        <v>14000</v>
      </c>
    </row>
    <row r="27" spans="1:27" ht="16.5" thickBot="1" x14ac:dyDescent="0.3">
      <c r="A27" s="680" t="s">
        <v>448</v>
      </c>
      <c r="B27" s="681" t="s">
        <v>443</v>
      </c>
      <c r="C27" s="47" t="s">
        <v>446</v>
      </c>
      <c r="D27" s="118" t="s">
        <v>508</v>
      </c>
      <c r="E27" s="118" t="s">
        <v>17</v>
      </c>
      <c r="F27" s="118" t="s">
        <v>506</v>
      </c>
      <c r="G27" s="118">
        <v>1</v>
      </c>
      <c r="H27" s="118">
        <v>1</v>
      </c>
      <c r="I27" s="118">
        <v>8500</v>
      </c>
      <c r="J27" s="675">
        <v>4</v>
      </c>
      <c r="K27" s="118">
        <v>1692</v>
      </c>
      <c r="L27" s="118" t="s">
        <v>156</v>
      </c>
      <c r="M27" s="64">
        <v>340</v>
      </c>
      <c r="N27" s="676">
        <v>5150.88</v>
      </c>
      <c r="O27" s="675" t="s">
        <v>491</v>
      </c>
      <c r="P27" s="15">
        <v>0</v>
      </c>
      <c r="Q27" s="46">
        <f t="shared" si="0"/>
        <v>0</v>
      </c>
      <c r="R27" s="46" t="str">
        <f t="shared" si="6"/>
        <v/>
      </c>
      <c r="S27" s="46" t="str">
        <f t="shared" si="1"/>
        <v/>
      </c>
      <c r="T27" s="677">
        <f t="shared" si="5"/>
        <v>0</v>
      </c>
      <c r="U27" s="80">
        <f t="shared" si="4"/>
        <v>0</v>
      </c>
      <c r="V27" s="85">
        <f t="shared" si="2"/>
        <v>340</v>
      </c>
      <c r="W27" s="679">
        <f t="shared" si="3"/>
        <v>340</v>
      </c>
      <c r="X27" s="4"/>
      <c r="Y27" s="683" t="s">
        <v>450</v>
      </c>
      <c r="Z27" s="658">
        <f>ROUND(((SUMIF($P$10:$P$500,"&gt;=7550",$N$10:$N$500))-(SUMIF($P$10:$P$500,"&gt;8000",$N$10:$N$500))),2)</f>
        <v>0</v>
      </c>
      <c r="AA27" s="684">
        <v>14900</v>
      </c>
    </row>
    <row r="28" spans="1:27" ht="17.25" thickTop="1" thickBot="1" x14ac:dyDescent="0.3">
      <c r="A28" s="680" t="s">
        <v>448</v>
      </c>
      <c r="B28" s="681" t="s">
        <v>451</v>
      </c>
      <c r="C28" s="47" t="s">
        <v>446</v>
      </c>
      <c r="D28" s="118" t="s">
        <v>508</v>
      </c>
      <c r="E28" s="118" t="s">
        <v>17</v>
      </c>
      <c r="F28" s="118" t="s">
        <v>506</v>
      </c>
      <c r="G28" s="118">
        <v>2</v>
      </c>
      <c r="H28" s="118">
        <v>1</v>
      </c>
      <c r="I28" s="118">
        <v>8500</v>
      </c>
      <c r="J28" s="675">
        <v>4</v>
      </c>
      <c r="K28" s="118">
        <v>1502</v>
      </c>
      <c r="L28" s="118" t="s">
        <v>156</v>
      </c>
      <c r="M28" s="64">
        <v>340</v>
      </c>
      <c r="N28" s="676">
        <v>439.04</v>
      </c>
      <c r="O28" s="675" t="s">
        <v>491</v>
      </c>
      <c r="P28" s="15">
        <v>0</v>
      </c>
      <c r="Q28" s="46">
        <f t="shared" si="0"/>
        <v>0</v>
      </c>
      <c r="R28" s="46" t="str">
        <f t="shared" si="6"/>
        <v/>
      </c>
      <c r="S28" s="46" t="str">
        <f t="shared" si="1"/>
        <v/>
      </c>
      <c r="T28" s="677">
        <f t="shared" si="5"/>
        <v>0</v>
      </c>
      <c r="U28" s="80">
        <f t="shared" si="4"/>
        <v>0</v>
      </c>
      <c r="V28" s="85">
        <f t="shared" si="2"/>
        <v>340</v>
      </c>
      <c r="W28" s="679">
        <f t="shared" si="3"/>
        <v>340</v>
      </c>
      <c r="X28" s="4"/>
      <c r="Y28" s="659" t="s">
        <v>142</v>
      </c>
      <c r="Z28" s="660">
        <f>SUM(Z13:Z27)</f>
        <v>18256.229999999996</v>
      </c>
      <c r="AA28" s="685"/>
    </row>
    <row r="29" spans="1:27" x14ac:dyDescent="0.25">
      <c r="A29" s="680" t="s">
        <v>452</v>
      </c>
      <c r="B29" s="681" t="s">
        <v>453</v>
      </c>
      <c r="C29" s="47" t="s">
        <v>454</v>
      </c>
      <c r="D29" s="118" t="s">
        <v>509</v>
      </c>
      <c r="E29" s="118" t="s">
        <v>510</v>
      </c>
      <c r="F29" s="118" t="s">
        <v>511</v>
      </c>
      <c r="G29" s="118">
        <v>2</v>
      </c>
      <c r="H29" s="118">
        <v>1</v>
      </c>
      <c r="I29" s="118">
        <v>11097</v>
      </c>
      <c r="J29" s="675">
        <v>4</v>
      </c>
      <c r="K29" s="118">
        <v>585</v>
      </c>
      <c r="L29" s="118" t="s">
        <v>156</v>
      </c>
      <c r="M29" s="64">
        <v>200</v>
      </c>
      <c r="N29" s="676">
        <v>234.47200000000001</v>
      </c>
      <c r="O29" s="675" t="s">
        <v>491</v>
      </c>
      <c r="P29" s="15">
        <v>0</v>
      </c>
      <c r="Q29" s="46">
        <f t="shared" si="0"/>
        <v>0</v>
      </c>
      <c r="R29" s="46" t="str">
        <f t="shared" si="6"/>
        <v/>
      </c>
      <c r="S29" s="46" t="str">
        <f t="shared" si="1"/>
        <v/>
      </c>
      <c r="T29" s="677">
        <f t="shared" si="5"/>
        <v>0</v>
      </c>
      <c r="U29" s="80">
        <f t="shared" si="4"/>
        <v>0</v>
      </c>
      <c r="V29" s="85">
        <f t="shared" si="2"/>
        <v>200</v>
      </c>
      <c r="W29" s="679">
        <f t="shared" si="3"/>
        <v>200</v>
      </c>
      <c r="X29" s="4"/>
    </row>
    <row r="30" spans="1:27" x14ac:dyDescent="0.25">
      <c r="A30" s="680" t="s">
        <v>452</v>
      </c>
      <c r="B30" s="681" t="s">
        <v>453</v>
      </c>
      <c r="C30" s="47" t="s">
        <v>408</v>
      </c>
      <c r="D30" s="118" t="s">
        <v>509</v>
      </c>
      <c r="E30" s="118" t="s">
        <v>510</v>
      </c>
      <c r="F30" s="118" t="s">
        <v>511</v>
      </c>
      <c r="G30" s="118">
        <v>29</v>
      </c>
      <c r="H30" s="118">
        <v>1</v>
      </c>
      <c r="I30" s="118">
        <v>1500</v>
      </c>
      <c r="J30" s="675">
        <v>4</v>
      </c>
      <c r="K30" s="118">
        <v>776</v>
      </c>
      <c r="L30" s="118" t="s">
        <v>156</v>
      </c>
      <c r="M30" s="64">
        <v>200</v>
      </c>
      <c r="N30" s="676">
        <v>60.671999999999997</v>
      </c>
      <c r="O30" s="675" t="s">
        <v>491</v>
      </c>
      <c r="P30" s="15">
        <v>0</v>
      </c>
      <c r="Q30" s="46">
        <f t="shared" si="0"/>
        <v>0</v>
      </c>
      <c r="R30" s="46" t="str">
        <f t="shared" si="6"/>
        <v/>
      </c>
      <c r="S30" s="46" t="str">
        <f t="shared" si="1"/>
        <v/>
      </c>
      <c r="T30" s="677">
        <f t="shared" si="5"/>
        <v>0</v>
      </c>
      <c r="U30" s="80">
        <f t="shared" si="4"/>
        <v>0</v>
      </c>
      <c r="V30" s="85">
        <f t="shared" si="2"/>
        <v>200</v>
      </c>
      <c r="W30" s="679">
        <f t="shared" si="3"/>
        <v>200</v>
      </c>
      <c r="X30" s="4"/>
    </row>
    <row r="31" spans="1:27" x14ac:dyDescent="0.25">
      <c r="A31" s="680" t="s">
        <v>452</v>
      </c>
      <c r="B31" s="681" t="s">
        <v>453</v>
      </c>
      <c r="C31" s="47" t="s">
        <v>408</v>
      </c>
      <c r="D31" s="118" t="s">
        <v>33</v>
      </c>
      <c r="E31" s="118" t="s">
        <v>17</v>
      </c>
      <c r="F31" s="118" t="s">
        <v>512</v>
      </c>
      <c r="G31" s="118">
        <v>1</v>
      </c>
      <c r="H31" s="118">
        <v>1</v>
      </c>
      <c r="I31" s="118">
        <v>1500</v>
      </c>
      <c r="J31" s="675">
        <v>4</v>
      </c>
      <c r="K31" s="118">
        <v>3879</v>
      </c>
      <c r="L31" s="118" t="s">
        <v>156</v>
      </c>
      <c r="M31" s="64">
        <v>258</v>
      </c>
      <c r="N31" s="676">
        <v>2.2523399999999998</v>
      </c>
      <c r="O31" s="675" t="s">
        <v>140</v>
      </c>
      <c r="P31" s="15">
        <v>4813</v>
      </c>
      <c r="Q31" s="46">
        <f t="shared" si="0"/>
        <v>189.48781000000002</v>
      </c>
      <c r="R31" s="46">
        <f t="shared" si="6"/>
        <v>2.1076553684376842</v>
      </c>
      <c r="S31" s="46">
        <f t="shared" si="1"/>
        <v>1.0686471961825355</v>
      </c>
      <c r="T31" s="677">
        <f t="shared" si="5"/>
        <v>0.15266388516893364</v>
      </c>
      <c r="U31" s="80">
        <f t="shared" si="4"/>
        <v>117551.1915800789</v>
      </c>
      <c r="V31" s="85">
        <f t="shared" si="2"/>
        <v>260</v>
      </c>
      <c r="W31" s="679">
        <f t="shared" si="3"/>
        <v>260</v>
      </c>
      <c r="X31" s="4"/>
    </row>
    <row r="32" spans="1:27" x14ac:dyDescent="0.25">
      <c r="A32" s="680" t="s">
        <v>456</v>
      </c>
      <c r="B32" s="681" t="s">
        <v>453</v>
      </c>
      <c r="C32" s="47" t="s">
        <v>457</v>
      </c>
      <c r="D32" s="118" t="s">
        <v>33</v>
      </c>
      <c r="E32" s="118" t="s">
        <v>17</v>
      </c>
      <c r="F32" s="118" t="s">
        <v>513</v>
      </c>
      <c r="G32" s="118">
        <v>2</v>
      </c>
      <c r="H32" s="118">
        <v>1</v>
      </c>
      <c r="I32" s="118">
        <v>11081</v>
      </c>
      <c r="J32" s="675">
        <v>4</v>
      </c>
      <c r="K32" s="118">
        <v>585</v>
      </c>
      <c r="L32" s="118" t="s">
        <v>156</v>
      </c>
      <c r="M32" s="64">
        <v>257</v>
      </c>
      <c r="N32" s="676">
        <v>2.8343400000000001</v>
      </c>
      <c r="O32" s="675" t="s">
        <v>140</v>
      </c>
      <c r="P32" s="15">
        <v>4813</v>
      </c>
      <c r="Q32" s="46">
        <f t="shared" si="0"/>
        <v>189.48781000000002</v>
      </c>
      <c r="R32" s="46">
        <f t="shared" si="6"/>
        <v>2.1076553684376842</v>
      </c>
      <c r="S32" s="46">
        <f t="shared" si="1"/>
        <v>1.3447834225862914</v>
      </c>
      <c r="T32" s="677">
        <f t="shared" si="5"/>
        <v>0.19211191751232734</v>
      </c>
      <c r="U32" s="80">
        <f t="shared" si="4"/>
        <v>147926.17648449205</v>
      </c>
      <c r="V32" s="85">
        <f t="shared" si="2"/>
        <v>260</v>
      </c>
      <c r="W32" s="679">
        <f t="shared" si="3"/>
        <v>260</v>
      </c>
      <c r="X32" s="4"/>
    </row>
    <row r="33" spans="1:27" x14ac:dyDescent="0.25">
      <c r="A33" s="680" t="s">
        <v>456</v>
      </c>
      <c r="B33" s="681" t="s">
        <v>453</v>
      </c>
      <c r="C33" s="47" t="s">
        <v>408</v>
      </c>
      <c r="D33" s="118" t="s">
        <v>33</v>
      </c>
      <c r="E33" s="118" t="s">
        <v>17</v>
      </c>
      <c r="F33" s="118" t="s">
        <v>514</v>
      </c>
      <c r="G33" s="118">
        <v>29</v>
      </c>
      <c r="H33" s="118">
        <v>1</v>
      </c>
      <c r="I33" s="118">
        <v>1500</v>
      </c>
      <c r="J33" s="675">
        <v>4</v>
      </c>
      <c r="K33" s="118">
        <v>776</v>
      </c>
      <c r="L33" s="118" t="s">
        <v>156</v>
      </c>
      <c r="M33" s="64">
        <v>257</v>
      </c>
      <c r="N33" s="676">
        <v>1.41717</v>
      </c>
      <c r="O33" s="675" t="s">
        <v>140</v>
      </c>
      <c r="P33" s="15">
        <v>4813</v>
      </c>
      <c r="Q33" s="46">
        <f t="shared" si="0"/>
        <v>189.48781000000002</v>
      </c>
      <c r="R33" s="46">
        <f t="shared" si="6"/>
        <v>2.1076553684376842</v>
      </c>
      <c r="S33" s="46">
        <f t="shared" si="1"/>
        <v>0.67239171129314568</v>
      </c>
      <c r="T33" s="677">
        <f t="shared" si="5"/>
        <v>9.605595875616367E-2</v>
      </c>
      <c r="U33" s="80">
        <f t="shared" si="4"/>
        <v>73963.088242246027</v>
      </c>
      <c r="V33" s="85">
        <f t="shared" si="2"/>
        <v>260</v>
      </c>
      <c r="W33" s="679">
        <f t="shared" si="3"/>
        <v>260</v>
      </c>
      <c r="X33" s="4"/>
    </row>
    <row r="34" spans="1:27" x14ac:dyDescent="0.25">
      <c r="A34" s="680" t="s">
        <v>456</v>
      </c>
      <c r="B34" s="681" t="s">
        <v>453</v>
      </c>
      <c r="C34" s="47" t="s">
        <v>408</v>
      </c>
      <c r="D34" s="118" t="s">
        <v>33</v>
      </c>
      <c r="E34" s="118" t="s">
        <v>17</v>
      </c>
      <c r="F34" s="118" t="s">
        <v>514</v>
      </c>
      <c r="G34" s="118">
        <v>1</v>
      </c>
      <c r="H34" s="118">
        <v>1</v>
      </c>
      <c r="I34" s="118">
        <v>1500</v>
      </c>
      <c r="J34" s="675">
        <v>4</v>
      </c>
      <c r="K34" s="118">
        <v>3879</v>
      </c>
      <c r="L34" s="118" t="s">
        <v>156</v>
      </c>
      <c r="M34" s="64">
        <v>257</v>
      </c>
      <c r="N34" s="676">
        <v>1.41717</v>
      </c>
      <c r="O34" s="675" t="s">
        <v>140</v>
      </c>
      <c r="P34" s="15">
        <v>4813</v>
      </c>
      <c r="Q34" s="46">
        <f t="shared" si="0"/>
        <v>189.48781000000002</v>
      </c>
      <c r="R34" s="46">
        <f t="shared" si="6"/>
        <v>2.1076553684376842</v>
      </c>
      <c r="S34" s="46">
        <f t="shared" si="1"/>
        <v>0.67239171129314568</v>
      </c>
      <c r="T34" s="677">
        <f t="shared" si="5"/>
        <v>9.605595875616367E-2</v>
      </c>
      <c r="U34" s="80">
        <f t="shared" si="4"/>
        <v>73963.088242246027</v>
      </c>
      <c r="V34" s="85">
        <f t="shared" si="2"/>
        <v>260</v>
      </c>
      <c r="W34" s="679">
        <f t="shared" si="3"/>
        <v>260</v>
      </c>
      <c r="X34" s="4"/>
    </row>
    <row r="35" spans="1:27" x14ac:dyDescent="0.25">
      <c r="A35" s="680" t="s">
        <v>458</v>
      </c>
      <c r="B35" s="681" t="s">
        <v>459</v>
      </c>
      <c r="C35" s="47" t="s">
        <v>460</v>
      </c>
      <c r="D35" s="118" t="s">
        <v>33</v>
      </c>
      <c r="E35" s="118" t="s">
        <v>17</v>
      </c>
      <c r="F35" s="118" t="s">
        <v>513</v>
      </c>
      <c r="G35" s="118">
        <v>2</v>
      </c>
      <c r="H35" s="118">
        <v>1</v>
      </c>
      <c r="I35" s="118">
        <v>12634</v>
      </c>
      <c r="J35" s="675">
        <v>4</v>
      </c>
      <c r="K35" s="118">
        <v>585</v>
      </c>
      <c r="L35" s="118" t="s">
        <v>156</v>
      </c>
      <c r="M35" s="64">
        <v>257</v>
      </c>
      <c r="N35" s="676">
        <v>1.41717</v>
      </c>
      <c r="O35" s="675" t="s">
        <v>140</v>
      </c>
      <c r="P35" s="15">
        <v>4813</v>
      </c>
      <c r="Q35" s="46">
        <f t="shared" si="0"/>
        <v>189.48781000000002</v>
      </c>
      <c r="R35" s="46">
        <f t="shared" si="6"/>
        <v>2.1076553684376842</v>
      </c>
      <c r="S35" s="46">
        <f t="shared" si="1"/>
        <v>0.67239171129314568</v>
      </c>
      <c r="T35" s="677">
        <f t="shared" si="5"/>
        <v>9.605595875616367E-2</v>
      </c>
      <c r="U35" s="80">
        <f t="shared" si="4"/>
        <v>73963.088242246027</v>
      </c>
      <c r="V35" s="85">
        <f t="shared" si="2"/>
        <v>260</v>
      </c>
      <c r="W35" s="679">
        <f t="shared" si="3"/>
        <v>260</v>
      </c>
      <c r="X35" s="4"/>
    </row>
    <row r="36" spans="1:27" x14ac:dyDescent="0.25">
      <c r="A36" s="680" t="s">
        <v>458</v>
      </c>
      <c r="B36" s="681" t="s">
        <v>459</v>
      </c>
      <c r="C36" s="47" t="s">
        <v>408</v>
      </c>
      <c r="D36" s="118" t="s">
        <v>33</v>
      </c>
      <c r="E36" s="118" t="s">
        <v>17</v>
      </c>
      <c r="F36" s="118" t="s">
        <v>514</v>
      </c>
      <c r="G36" s="118">
        <v>28</v>
      </c>
      <c r="H36" s="118">
        <v>1</v>
      </c>
      <c r="I36" s="118">
        <v>1500</v>
      </c>
      <c r="J36" s="675">
        <v>4</v>
      </c>
      <c r="K36" s="118">
        <v>776</v>
      </c>
      <c r="L36" s="118" t="s">
        <v>156</v>
      </c>
      <c r="M36" s="64">
        <v>257</v>
      </c>
      <c r="N36" s="676">
        <v>1.41717</v>
      </c>
      <c r="O36" s="675" t="s">
        <v>140</v>
      </c>
      <c r="P36" s="15">
        <v>4813</v>
      </c>
      <c r="Q36" s="46">
        <f t="shared" si="0"/>
        <v>189.48781000000002</v>
      </c>
      <c r="R36" s="46">
        <f t="shared" si="6"/>
        <v>2.1076553684376842</v>
      </c>
      <c r="S36" s="46">
        <f t="shared" si="1"/>
        <v>0.67239171129314568</v>
      </c>
      <c r="T36" s="677">
        <f t="shared" si="5"/>
        <v>9.605595875616367E-2</v>
      </c>
      <c r="U36" s="80">
        <f t="shared" si="4"/>
        <v>73963.088242246027</v>
      </c>
      <c r="V36" s="85">
        <f t="shared" si="2"/>
        <v>260</v>
      </c>
      <c r="W36" s="679">
        <f t="shared" si="3"/>
        <v>260</v>
      </c>
      <c r="X36" s="4"/>
      <c r="Y36" s="21"/>
      <c r="Z36" s="21"/>
      <c r="AA36" s="21"/>
    </row>
    <row r="37" spans="1:27" x14ac:dyDescent="0.25">
      <c r="A37" s="680" t="s">
        <v>461</v>
      </c>
      <c r="B37" s="681" t="s">
        <v>459</v>
      </c>
      <c r="C37" s="47" t="s">
        <v>462</v>
      </c>
      <c r="D37" s="118" t="s">
        <v>35</v>
      </c>
      <c r="E37" s="118" t="s">
        <v>17</v>
      </c>
      <c r="F37" s="118" t="s">
        <v>513</v>
      </c>
      <c r="G37" s="118">
        <v>2</v>
      </c>
      <c r="H37" s="118">
        <v>1</v>
      </c>
      <c r="I37" s="118">
        <v>11097</v>
      </c>
      <c r="J37" s="675">
        <v>4</v>
      </c>
      <c r="K37" s="118">
        <v>585</v>
      </c>
      <c r="L37" s="118" t="s">
        <v>156</v>
      </c>
      <c r="M37" s="64">
        <v>342</v>
      </c>
      <c r="N37" s="676">
        <v>2.640612</v>
      </c>
      <c r="O37" s="675" t="s">
        <v>140</v>
      </c>
      <c r="P37" s="15">
        <v>0</v>
      </c>
      <c r="Q37" s="46">
        <f t="shared" si="0"/>
        <v>0</v>
      </c>
      <c r="R37" s="46" t="e">
        <f t="shared" si="6"/>
        <v>#DIV/0!</v>
      </c>
      <c r="S37" s="46" t="e">
        <f t="shared" si="1"/>
        <v>#DIV/0!</v>
      </c>
      <c r="T37" s="677" t="e">
        <f t="shared" si="5"/>
        <v>#DIV/0!</v>
      </c>
      <c r="U37" s="80" t="e">
        <f t="shared" si="4"/>
        <v>#DIV/0!</v>
      </c>
      <c r="V37" s="85">
        <f t="shared" si="2"/>
        <v>350</v>
      </c>
      <c r="W37" s="679">
        <f t="shared" si="3"/>
        <v>345</v>
      </c>
      <c r="X37" s="4"/>
      <c r="Y37" s="21"/>
      <c r="Z37" s="21"/>
      <c r="AA37" s="21"/>
    </row>
    <row r="38" spans="1:27" x14ac:dyDescent="0.25">
      <c r="A38" s="680" t="s">
        <v>461</v>
      </c>
      <c r="B38" s="681" t="s">
        <v>459</v>
      </c>
      <c r="C38" s="47" t="s">
        <v>408</v>
      </c>
      <c r="D38" s="118" t="s">
        <v>36</v>
      </c>
      <c r="E38" s="118" t="s">
        <v>17</v>
      </c>
      <c r="F38" s="118" t="s">
        <v>514</v>
      </c>
      <c r="G38" s="118">
        <v>29</v>
      </c>
      <c r="H38" s="118">
        <v>1</v>
      </c>
      <c r="I38" s="118">
        <v>1500</v>
      </c>
      <c r="J38" s="675">
        <v>4</v>
      </c>
      <c r="K38" s="118">
        <v>776</v>
      </c>
      <c r="L38" s="118" t="s">
        <v>156</v>
      </c>
      <c r="M38" s="64">
        <v>342</v>
      </c>
      <c r="N38" s="676">
        <v>1.4655419999999999</v>
      </c>
      <c r="O38" s="675" t="s">
        <v>140</v>
      </c>
      <c r="P38" s="15">
        <v>0</v>
      </c>
      <c r="Q38" s="46">
        <f t="shared" si="0"/>
        <v>0</v>
      </c>
      <c r="R38" s="46" t="e">
        <f t="shared" si="6"/>
        <v>#DIV/0!</v>
      </c>
      <c r="S38" s="46" t="e">
        <f t="shared" si="1"/>
        <v>#DIV/0!</v>
      </c>
      <c r="T38" s="677" t="e">
        <f t="shared" si="5"/>
        <v>#DIV/0!</v>
      </c>
      <c r="U38" s="80" t="e">
        <f t="shared" si="4"/>
        <v>#DIV/0!</v>
      </c>
      <c r="V38" s="85">
        <f t="shared" si="2"/>
        <v>350</v>
      </c>
      <c r="W38" s="679">
        <f t="shared" si="3"/>
        <v>345</v>
      </c>
      <c r="X38" s="4"/>
      <c r="Y38" s="21"/>
      <c r="Z38" s="21"/>
      <c r="AA38" s="21"/>
    </row>
    <row r="39" spans="1:27" x14ac:dyDescent="0.25">
      <c r="A39" s="680" t="s">
        <v>461</v>
      </c>
      <c r="B39" s="681" t="s">
        <v>459</v>
      </c>
      <c r="C39" s="47" t="s">
        <v>408</v>
      </c>
      <c r="D39" s="118" t="s">
        <v>35</v>
      </c>
      <c r="E39" s="118" t="s">
        <v>17</v>
      </c>
      <c r="F39" s="118" t="s">
        <v>514</v>
      </c>
      <c r="G39" s="118">
        <v>1</v>
      </c>
      <c r="H39" s="118">
        <v>1</v>
      </c>
      <c r="I39" s="118">
        <v>1500</v>
      </c>
      <c r="J39" s="675">
        <v>4</v>
      </c>
      <c r="K39" s="118">
        <v>3879</v>
      </c>
      <c r="L39" s="118" t="s">
        <v>156</v>
      </c>
      <c r="M39" s="64">
        <v>342</v>
      </c>
      <c r="N39" s="676">
        <v>2.8105739999999999</v>
      </c>
      <c r="O39" s="675" t="s">
        <v>140</v>
      </c>
      <c r="P39" s="15">
        <v>0</v>
      </c>
      <c r="Q39" s="46">
        <f t="shared" si="0"/>
        <v>0</v>
      </c>
      <c r="R39" s="46" t="e">
        <f t="shared" si="6"/>
        <v>#DIV/0!</v>
      </c>
      <c r="S39" s="46" t="e">
        <f t="shared" si="1"/>
        <v>#DIV/0!</v>
      </c>
      <c r="T39" s="677" t="e">
        <f t="shared" si="5"/>
        <v>#DIV/0!</v>
      </c>
      <c r="U39" s="80" t="e">
        <f t="shared" si="4"/>
        <v>#DIV/0!</v>
      </c>
      <c r="V39" s="85">
        <f t="shared" si="2"/>
        <v>350</v>
      </c>
      <c r="W39" s="679">
        <f t="shared" si="3"/>
        <v>345</v>
      </c>
      <c r="X39" s="4"/>
      <c r="Y39" s="21"/>
      <c r="Z39" s="21"/>
      <c r="AA39" s="21"/>
    </row>
    <row r="40" spans="1:27" x14ac:dyDescent="0.25">
      <c r="A40" s="680" t="s">
        <v>406</v>
      </c>
      <c r="B40" s="681" t="s">
        <v>407</v>
      </c>
      <c r="C40" s="47" t="s">
        <v>408</v>
      </c>
      <c r="D40" s="118" t="s">
        <v>36</v>
      </c>
      <c r="E40" s="118" t="s">
        <v>17</v>
      </c>
      <c r="F40" s="118" t="s">
        <v>515</v>
      </c>
      <c r="G40" s="118">
        <v>12</v>
      </c>
      <c r="H40" s="118">
        <v>2</v>
      </c>
      <c r="I40" s="118">
        <v>26385</v>
      </c>
      <c r="J40" s="675">
        <v>4</v>
      </c>
      <c r="K40" s="118">
        <v>2784</v>
      </c>
      <c r="L40" s="118" t="s">
        <v>156</v>
      </c>
      <c r="M40" s="64">
        <v>342</v>
      </c>
      <c r="N40" s="676">
        <v>1.4325479999999999</v>
      </c>
      <c r="O40" s="675" t="s">
        <v>140</v>
      </c>
      <c r="P40" s="15">
        <v>0</v>
      </c>
      <c r="Q40" s="46">
        <f t="shared" si="0"/>
        <v>0</v>
      </c>
      <c r="R40" s="46" t="e">
        <f t="shared" si="6"/>
        <v>#DIV/0!</v>
      </c>
      <c r="S40" s="46" t="e">
        <f t="shared" si="1"/>
        <v>#DIV/0!</v>
      </c>
      <c r="T40" s="677" t="e">
        <f t="shared" si="5"/>
        <v>#DIV/0!</v>
      </c>
      <c r="U40" s="80" t="e">
        <f t="shared" si="4"/>
        <v>#DIV/0!</v>
      </c>
      <c r="V40" s="678">
        <f t="shared" si="2"/>
        <v>350</v>
      </c>
      <c r="W40" s="679">
        <f t="shared" si="3"/>
        <v>345</v>
      </c>
      <c r="X40" s="4"/>
      <c r="Y40" s="21"/>
      <c r="Z40" s="21"/>
      <c r="AA40" s="21"/>
    </row>
    <row r="41" spans="1:27" x14ac:dyDescent="0.25">
      <c r="A41" s="680" t="s">
        <v>406</v>
      </c>
      <c r="B41" s="681" t="s">
        <v>407</v>
      </c>
      <c r="C41" s="47" t="s">
        <v>408</v>
      </c>
      <c r="D41" s="118" t="s">
        <v>35</v>
      </c>
      <c r="E41" s="118" t="s">
        <v>17</v>
      </c>
      <c r="F41" s="118" t="s">
        <v>516</v>
      </c>
      <c r="G41" s="118">
        <v>12</v>
      </c>
      <c r="H41" s="118">
        <v>1</v>
      </c>
      <c r="I41" s="118">
        <v>91778</v>
      </c>
      <c r="J41" s="675">
        <v>4</v>
      </c>
      <c r="K41" s="118">
        <v>1781</v>
      </c>
      <c r="L41" s="118" t="s">
        <v>156</v>
      </c>
      <c r="M41" s="64">
        <v>342</v>
      </c>
      <c r="N41" s="676">
        <v>2.7226680000000001</v>
      </c>
      <c r="O41" s="675" t="s">
        <v>140</v>
      </c>
      <c r="P41" s="15">
        <v>0</v>
      </c>
      <c r="Q41" s="46">
        <f t="shared" si="0"/>
        <v>0</v>
      </c>
      <c r="R41" s="46" t="e">
        <f t="shared" si="6"/>
        <v>#DIV/0!</v>
      </c>
      <c r="S41" s="46" t="e">
        <f t="shared" si="1"/>
        <v>#DIV/0!</v>
      </c>
      <c r="T41" s="677" t="e">
        <f t="shared" si="5"/>
        <v>#DIV/0!</v>
      </c>
      <c r="U41" s="80" t="e">
        <f t="shared" si="4"/>
        <v>#DIV/0!</v>
      </c>
      <c r="V41" s="85">
        <f t="shared" si="2"/>
        <v>350</v>
      </c>
      <c r="W41" s="679">
        <f t="shared" si="3"/>
        <v>345</v>
      </c>
      <c r="X41" s="4"/>
      <c r="Y41" s="21"/>
      <c r="Z41" s="21"/>
      <c r="AA41" s="21"/>
    </row>
    <row r="42" spans="1:27" x14ac:dyDescent="0.25">
      <c r="A42" s="680" t="s">
        <v>409</v>
      </c>
      <c r="B42" s="681" t="s">
        <v>410</v>
      </c>
      <c r="C42" s="47" t="s">
        <v>408</v>
      </c>
      <c r="D42" s="118" t="s">
        <v>37</v>
      </c>
      <c r="E42" s="118" t="s">
        <v>17</v>
      </c>
      <c r="F42" s="118" t="s">
        <v>517</v>
      </c>
      <c r="G42" s="118">
        <v>12</v>
      </c>
      <c r="H42" s="118">
        <v>2</v>
      </c>
      <c r="I42" s="118">
        <v>12900</v>
      </c>
      <c r="J42" s="675">
        <v>4</v>
      </c>
      <c r="K42" s="118">
        <v>968</v>
      </c>
      <c r="L42" s="118" t="s">
        <v>156</v>
      </c>
      <c r="M42" s="64">
        <v>342</v>
      </c>
      <c r="N42" s="676">
        <v>6.2139480000000002</v>
      </c>
      <c r="O42" s="675" t="s">
        <v>140</v>
      </c>
      <c r="P42" s="15">
        <v>0</v>
      </c>
      <c r="Q42" s="46">
        <f t="shared" si="0"/>
        <v>0</v>
      </c>
      <c r="R42" s="46" t="e">
        <f t="shared" si="6"/>
        <v>#DIV/0!</v>
      </c>
      <c r="S42" s="46" t="e">
        <f t="shared" si="1"/>
        <v>#DIV/0!</v>
      </c>
      <c r="T42" s="677" t="e">
        <f t="shared" si="5"/>
        <v>#DIV/0!</v>
      </c>
      <c r="U42" s="80" t="e">
        <f t="shared" si="4"/>
        <v>#DIV/0!</v>
      </c>
      <c r="V42" s="85">
        <f t="shared" si="2"/>
        <v>350</v>
      </c>
      <c r="W42" s="679">
        <f t="shared" si="3"/>
        <v>345</v>
      </c>
      <c r="X42" s="4"/>
      <c r="Y42" s="21"/>
      <c r="Z42" s="21"/>
      <c r="AA42" s="21"/>
    </row>
    <row r="43" spans="1:27" x14ac:dyDescent="0.25">
      <c r="A43" s="680" t="s">
        <v>414</v>
      </c>
      <c r="B43" s="681" t="s">
        <v>415</v>
      </c>
      <c r="C43" s="47" t="s">
        <v>408</v>
      </c>
      <c r="D43" s="118" t="s">
        <v>35</v>
      </c>
      <c r="E43" s="118" t="s">
        <v>17</v>
      </c>
      <c r="F43" s="118" t="s">
        <v>518</v>
      </c>
      <c r="G43" s="118">
        <v>3</v>
      </c>
      <c r="H43" s="118">
        <v>1</v>
      </c>
      <c r="I43" s="118">
        <v>17971</v>
      </c>
      <c r="J43" s="675">
        <v>4</v>
      </c>
      <c r="K43" s="118">
        <v>2184</v>
      </c>
      <c r="L43" s="118" t="s">
        <v>156</v>
      </c>
      <c r="M43" s="64">
        <v>342</v>
      </c>
      <c r="N43" s="676">
        <v>2.9115060000000001</v>
      </c>
      <c r="O43" s="675" t="s">
        <v>140</v>
      </c>
      <c r="P43" s="15">
        <v>0</v>
      </c>
      <c r="Q43" s="46">
        <f t="shared" si="0"/>
        <v>0</v>
      </c>
      <c r="R43" s="46" t="e">
        <f t="shared" si="6"/>
        <v>#DIV/0!</v>
      </c>
      <c r="S43" s="46" t="e">
        <f t="shared" si="1"/>
        <v>#DIV/0!</v>
      </c>
      <c r="T43" s="677" t="e">
        <f t="shared" si="5"/>
        <v>#DIV/0!</v>
      </c>
      <c r="U43" s="80" t="e">
        <f t="shared" si="4"/>
        <v>#DIV/0!</v>
      </c>
      <c r="V43" s="85">
        <f t="shared" si="2"/>
        <v>350</v>
      </c>
      <c r="W43" s="679">
        <f t="shared" si="3"/>
        <v>345</v>
      </c>
      <c r="X43" s="4"/>
      <c r="Y43" s="21"/>
      <c r="Z43" s="21"/>
      <c r="AA43" s="21"/>
    </row>
    <row r="44" spans="1:27" x14ac:dyDescent="0.25">
      <c r="A44" s="680" t="s">
        <v>417</v>
      </c>
      <c r="B44" s="681" t="s">
        <v>415</v>
      </c>
      <c r="C44" s="47" t="s">
        <v>408</v>
      </c>
      <c r="D44" s="118" t="s">
        <v>36</v>
      </c>
      <c r="E44" s="118" t="s">
        <v>17</v>
      </c>
      <c r="F44" s="118" t="s">
        <v>519</v>
      </c>
      <c r="G44" s="118">
        <v>2</v>
      </c>
      <c r="H44" s="118">
        <v>1</v>
      </c>
      <c r="I44" s="118">
        <v>7759</v>
      </c>
      <c r="J44" s="675">
        <v>4</v>
      </c>
      <c r="K44" s="118">
        <v>785</v>
      </c>
      <c r="L44" s="118" t="s">
        <v>156</v>
      </c>
      <c r="M44" s="64">
        <v>342</v>
      </c>
      <c r="N44" s="676">
        <v>2.6527020000000001</v>
      </c>
      <c r="O44" s="675" t="s">
        <v>140</v>
      </c>
      <c r="P44" s="15">
        <v>0</v>
      </c>
      <c r="Q44" s="46">
        <f t="shared" si="0"/>
        <v>0</v>
      </c>
      <c r="R44" s="46" t="e">
        <f t="shared" si="6"/>
        <v>#DIV/0!</v>
      </c>
      <c r="S44" s="46" t="e">
        <f t="shared" si="1"/>
        <v>#DIV/0!</v>
      </c>
      <c r="T44" s="677" t="e">
        <f t="shared" si="5"/>
        <v>#DIV/0!</v>
      </c>
      <c r="U44" s="80" t="e">
        <f t="shared" si="4"/>
        <v>#DIV/0!</v>
      </c>
      <c r="V44" s="85">
        <f t="shared" si="2"/>
        <v>350</v>
      </c>
      <c r="W44" s="679">
        <f t="shared" si="3"/>
        <v>345</v>
      </c>
      <c r="X44" s="4"/>
      <c r="Y44" s="21"/>
      <c r="Z44" s="21"/>
      <c r="AA44" s="21"/>
    </row>
    <row r="45" spans="1:27" x14ac:dyDescent="0.25">
      <c r="A45" s="680" t="s">
        <v>419</v>
      </c>
      <c r="B45" s="681" t="s">
        <v>415</v>
      </c>
      <c r="C45" s="47" t="s">
        <v>408</v>
      </c>
      <c r="D45" s="118" t="s">
        <v>35</v>
      </c>
      <c r="E45" s="118" t="s">
        <v>17</v>
      </c>
      <c r="F45" s="118" t="s">
        <v>519</v>
      </c>
      <c r="G45" s="118">
        <v>1</v>
      </c>
      <c r="H45" s="118">
        <v>1</v>
      </c>
      <c r="I45" s="118">
        <v>7100</v>
      </c>
      <c r="J45" s="675">
        <v>4</v>
      </c>
      <c r="K45" s="118">
        <v>785</v>
      </c>
      <c r="L45" s="118" t="s">
        <v>156</v>
      </c>
      <c r="M45" s="64">
        <v>342</v>
      </c>
      <c r="N45" s="676">
        <v>3.5503260000000001</v>
      </c>
      <c r="O45" s="675" t="s">
        <v>140</v>
      </c>
      <c r="P45" s="15">
        <v>0</v>
      </c>
      <c r="Q45" s="46">
        <f t="shared" si="0"/>
        <v>0</v>
      </c>
      <c r="R45" s="46" t="e">
        <f t="shared" si="6"/>
        <v>#DIV/0!</v>
      </c>
      <c r="S45" s="46" t="e">
        <f t="shared" si="1"/>
        <v>#DIV/0!</v>
      </c>
      <c r="T45" s="677" t="e">
        <f t="shared" si="5"/>
        <v>#DIV/0!</v>
      </c>
      <c r="U45" s="80" t="e">
        <f t="shared" si="4"/>
        <v>#DIV/0!</v>
      </c>
      <c r="V45" s="85">
        <f t="shared" si="2"/>
        <v>350</v>
      </c>
      <c r="W45" s="679">
        <f t="shared" si="3"/>
        <v>345</v>
      </c>
      <c r="X45" s="4"/>
      <c r="Y45" s="21"/>
      <c r="Z45" s="21"/>
      <c r="AA45" s="21"/>
    </row>
    <row r="46" spans="1:27" x14ac:dyDescent="0.25">
      <c r="A46" s="680" t="s">
        <v>421</v>
      </c>
      <c r="B46" s="681" t="s">
        <v>422</v>
      </c>
      <c r="C46" s="47" t="s">
        <v>423</v>
      </c>
      <c r="D46" s="118" t="s">
        <v>35</v>
      </c>
      <c r="E46" s="118" t="s">
        <v>17</v>
      </c>
      <c r="F46" s="118" t="s">
        <v>520</v>
      </c>
      <c r="G46" s="118">
        <v>1</v>
      </c>
      <c r="H46" s="118">
        <v>1</v>
      </c>
      <c r="I46" s="118">
        <v>19050</v>
      </c>
      <c r="J46" s="675">
        <v>4</v>
      </c>
      <c r="K46" s="118">
        <v>1185</v>
      </c>
      <c r="L46" s="118" t="s">
        <v>156</v>
      </c>
      <c r="M46" s="64">
        <v>342</v>
      </c>
      <c r="N46" s="676">
        <v>2.9923920000000002</v>
      </c>
      <c r="O46" s="675" t="s">
        <v>140</v>
      </c>
      <c r="P46" s="15">
        <v>0</v>
      </c>
      <c r="Q46" s="46">
        <f t="shared" si="0"/>
        <v>0</v>
      </c>
      <c r="R46" s="46" t="e">
        <f t="shared" si="6"/>
        <v>#DIV/0!</v>
      </c>
      <c r="S46" s="46" t="e">
        <f t="shared" si="1"/>
        <v>#DIV/0!</v>
      </c>
      <c r="T46" s="677" t="e">
        <f t="shared" si="5"/>
        <v>#DIV/0!</v>
      </c>
      <c r="U46" s="80" t="e">
        <f t="shared" si="4"/>
        <v>#DIV/0!</v>
      </c>
      <c r="V46" s="85">
        <f t="shared" si="2"/>
        <v>350</v>
      </c>
      <c r="W46" s="679">
        <f t="shared" si="3"/>
        <v>345</v>
      </c>
      <c r="X46" s="4"/>
      <c r="Y46" s="21"/>
      <c r="Z46" s="21"/>
      <c r="AA46" s="21"/>
    </row>
    <row r="47" spans="1:27" x14ac:dyDescent="0.25">
      <c r="A47" s="680" t="s">
        <v>425</v>
      </c>
      <c r="B47" s="681" t="s">
        <v>426</v>
      </c>
      <c r="C47" s="47" t="s">
        <v>427</v>
      </c>
      <c r="D47" s="118" t="s">
        <v>35</v>
      </c>
      <c r="E47" s="118" t="s">
        <v>17</v>
      </c>
      <c r="F47" s="118" t="s">
        <v>520</v>
      </c>
      <c r="G47" s="118">
        <v>3</v>
      </c>
      <c r="H47" s="118">
        <v>1</v>
      </c>
      <c r="I47" s="118">
        <v>4255</v>
      </c>
      <c r="J47" s="675">
        <v>4</v>
      </c>
      <c r="K47" s="118">
        <v>1185</v>
      </c>
      <c r="L47" s="118" t="s">
        <v>156</v>
      </c>
      <c r="M47" s="64">
        <v>342</v>
      </c>
      <c r="N47" s="676">
        <v>3.5903399999999999</v>
      </c>
      <c r="O47" s="675" t="s">
        <v>140</v>
      </c>
      <c r="P47" s="15">
        <v>0</v>
      </c>
      <c r="Q47" s="46">
        <f t="shared" si="0"/>
        <v>0</v>
      </c>
      <c r="R47" s="46" t="e">
        <f t="shared" si="6"/>
        <v>#DIV/0!</v>
      </c>
      <c r="S47" s="46" t="e">
        <f t="shared" si="1"/>
        <v>#DIV/0!</v>
      </c>
      <c r="T47" s="677" t="e">
        <f t="shared" si="5"/>
        <v>#DIV/0!</v>
      </c>
      <c r="U47" s="80" t="e">
        <f t="shared" si="4"/>
        <v>#DIV/0!</v>
      </c>
      <c r="V47" s="85">
        <f t="shared" si="2"/>
        <v>350</v>
      </c>
      <c r="W47" s="679">
        <f t="shared" si="3"/>
        <v>345</v>
      </c>
      <c r="X47" s="4"/>
      <c r="Y47" s="21"/>
      <c r="Z47" s="21"/>
      <c r="AA47" s="21"/>
    </row>
    <row r="48" spans="1:27" x14ac:dyDescent="0.25">
      <c r="A48" s="680" t="s">
        <v>429</v>
      </c>
      <c r="B48" s="681" t="s">
        <v>430</v>
      </c>
      <c r="C48" s="47" t="s">
        <v>431</v>
      </c>
      <c r="D48" s="118" t="s">
        <v>36</v>
      </c>
      <c r="E48" s="118" t="s">
        <v>17</v>
      </c>
      <c r="F48" s="118" t="s">
        <v>521</v>
      </c>
      <c r="G48" s="118">
        <v>1</v>
      </c>
      <c r="H48" s="118">
        <v>1</v>
      </c>
      <c r="I48" s="118">
        <v>89250</v>
      </c>
      <c r="J48" s="675">
        <v>4</v>
      </c>
      <c r="K48" s="118">
        <v>1190</v>
      </c>
      <c r="L48" s="118" t="s">
        <v>156</v>
      </c>
      <c r="M48" s="64">
        <v>342</v>
      </c>
      <c r="N48" s="676">
        <v>2.9540160000000002</v>
      </c>
      <c r="O48" s="675" t="s">
        <v>140</v>
      </c>
      <c r="P48" s="15">
        <v>0</v>
      </c>
      <c r="Q48" s="46">
        <f t="shared" si="0"/>
        <v>0</v>
      </c>
      <c r="R48" s="46" t="e">
        <f t="shared" si="6"/>
        <v>#DIV/0!</v>
      </c>
      <c r="S48" s="46" t="e">
        <f t="shared" si="1"/>
        <v>#DIV/0!</v>
      </c>
      <c r="T48" s="677" t="e">
        <f t="shared" si="5"/>
        <v>#DIV/0!</v>
      </c>
      <c r="U48" s="80" t="e">
        <f t="shared" si="4"/>
        <v>#DIV/0!</v>
      </c>
      <c r="V48" s="85">
        <f t="shared" si="2"/>
        <v>350</v>
      </c>
      <c r="W48" s="679">
        <f t="shared" si="3"/>
        <v>345</v>
      </c>
      <c r="X48" s="4"/>
      <c r="Y48" s="21"/>
      <c r="Z48" s="21"/>
      <c r="AA48" s="21"/>
    </row>
    <row r="49" spans="1:27" x14ac:dyDescent="0.25">
      <c r="A49" s="680" t="s">
        <v>429</v>
      </c>
      <c r="B49" s="681" t="s">
        <v>430</v>
      </c>
      <c r="C49" s="47" t="s">
        <v>433</v>
      </c>
      <c r="D49" s="118" t="s">
        <v>36</v>
      </c>
      <c r="E49" s="118" t="s">
        <v>17</v>
      </c>
      <c r="F49" s="118" t="s">
        <v>522</v>
      </c>
      <c r="G49" s="118">
        <v>1</v>
      </c>
      <c r="H49" s="118">
        <v>1</v>
      </c>
      <c r="I49" s="118">
        <v>13000</v>
      </c>
      <c r="J49" s="675">
        <v>4</v>
      </c>
      <c r="K49" s="118">
        <v>1181</v>
      </c>
      <c r="L49" s="118" t="s">
        <v>156</v>
      </c>
      <c r="M49" s="64">
        <v>261</v>
      </c>
      <c r="N49" s="676">
        <v>1.7975383999999999</v>
      </c>
      <c r="O49" s="675" t="s">
        <v>140</v>
      </c>
      <c r="P49" s="15">
        <v>5007</v>
      </c>
      <c r="Q49" s="46">
        <f t="shared" si="0"/>
        <v>197.12559000000002</v>
      </c>
      <c r="R49" s="46">
        <f t="shared" si="6"/>
        <v>2.0259926679230227</v>
      </c>
      <c r="S49" s="46">
        <f t="shared" si="1"/>
        <v>0.88723835404733908</v>
      </c>
      <c r="T49" s="677">
        <f t="shared" si="5"/>
        <v>0.126748336292477</v>
      </c>
      <c r="U49" s="80">
        <f t="shared" si="4"/>
        <v>97596.218945207293</v>
      </c>
      <c r="V49" s="85">
        <f t="shared" si="2"/>
        <v>270</v>
      </c>
      <c r="W49" s="679">
        <f t="shared" si="3"/>
        <v>265</v>
      </c>
      <c r="X49" s="4"/>
      <c r="Y49" s="21"/>
      <c r="Z49" s="21"/>
      <c r="AA49" s="21"/>
    </row>
    <row r="50" spans="1:27" x14ac:dyDescent="0.25">
      <c r="A50" s="680" t="s">
        <v>429</v>
      </c>
      <c r="B50" s="681" t="s">
        <v>430</v>
      </c>
      <c r="C50" s="47" t="s">
        <v>435</v>
      </c>
      <c r="D50" s="118" t="s">
        <v>35</v>
      </c>
      <c r="E50" s="118" t="s">
        <v>17</v>
      </c>
      <c r="F50" s="118" t="s">
        <v>522</v>
      </c>
      <c r="G50" s="118">
        <v>1</v>
      </c>
      <c r="H50" s="118">
        <v>1</v>
      </c>
      <c r="I50" s="118">
        <v>4250</v>
      </c>
      <c r="J50" s="675">
        <v>4</v>
      </c>
      <c r="K50" s="118">
        <v>1181</v>
      </c>
      <c r="L50" s="118" t="s">
        <v>156</v>
      </c>
      <c r="M50" s="64">
        <v>342</v>
      </c>
      <c r="N50" s="676">
        <v>2.84544</v>
      </c>
      <c r="O50" s="675" t="s">
        <v>140</v>
      </c>
      <c r="P50" s="15">
        <v>0</v>
      </c>
      <c r="Q50" s="46">
        <f t="shared" si="0"/>
        <v>0</v>
      </c>
      <c r="R50" s="46" t="e">
        <f t="shared" si="6"/>
        <v>#DIV/0!</v>
      </c>
      <c r="S50" s="46" t="e">
        <f t="shared" si="1"/>
        <v>#DIV/0!</v>
      </c>
      <c r="T50" s="677" t="e">
        <f t="shared" si="5"/>
        <v>#DIV/0!</v>
      </c>
      <c r="U50" s="80" t="e">
        <f t="shared" si="4"/>
        <v>#DIV/0!</v>
      </c>
      <c r="V50" s="85">
        <f t="shared" si="2"/>
        <v>350</v>
      </c>
      <c r="W50" s="679">
        <f t="shared" si="3"/>
        <v>345</v>
      </c>
      <c r="X50" s="4"/>
      <c r="Y50" s="21"/>
      <c r="Z50" s="21"/>
      <c r="AA50" s="21"/>
    </row>
    <row r="51" spans="1:27" x14ac:dyDescent="0.25">
      <c r="A51" s="680" t="s">
        <v>429</v>
      </c>
      <c r="B51" s="681" t="s">
        <v>430</v>
      </c>
      <c r="C51" s="47" t="s">
        <v>437</v>
      </c>
      <c r="D51" s="118" t="s">
        <v>35</v>
      </c>
      <c r="E51" s="118" t="s">
        <v>17</v>
      </c>
      <c r="F51" s="118" t="s">
        <v>522</v>
      </c>
      <c r="G51" s="118">
        <v>1</v>
      </c>
      <c r="H51" s="118">
        <v>1</v>
      </c>
      <c r="I51" s="118">
        <v>8500</v>
      </c>
      <c r="J51" s="675">
        <v>4</v>
      </c>
      <c r="K51" s="118">
        <v>1181</v>
      </c>
      <c r="L51" s="118" t="s">
        <v>156</v>
      </c>
      <c r="M51" s="64">
        <v>342</v>
      </c>
      <c r="N51" s="676">
        <v>2.4672960000000002</v>
      </c>
      <c r="O51" s="675" t="s">
        <v>140</v>
      </c>
      <c r="P51" s="15">
        <v>0</v>
      </c>
      <c r="Q51" s="46">
        <f t="shared" si="0"/>
        <v>0</v>
      </c>
      <c r="R51" s="46" t="e">
        <f t="shared" si="6"/>
        <v>#DIV/0!</v>
      </c>
      <c r="S51" s="46" t="e">
        <f t="shared" si="1"/>
        <v>#DIV/0!</v>
      </c>
      <c r="T51" s="677" t="e">
        <f t="shared" si="5"/>
        <v>#DIV/0!</v>
      </c>
      <c r="U51" s="80" t="e">
        <f t="shared" si="4"/>
        <v>#DIV/0!</v>
      </c>
      <c r="V51" s="85">
        <f t="shared" si="2"/>
        <v>350</v>
      </c>
      <c r="W51" s="679">
        <f t="shared" si="3"/>
        <v>345</v>
      </c>
      <c r="X51" s="4"/>
      <c r="Y51" s="21"/>
      <c r="Z51" s="21"/>
      <c r="AA51" s="21"/>
    </row>
    <row r="52" spans="1:27" x14ac:dyDescent="0.25">
      <c r="A52" s="680" t="s">
        <v>439</v>
      </c>
      <c r="B52" s="681" t="s">
        <v>430</v>
      </c>
      <c r="C52" s="47" t="s">
        <v>431</v>
      </c>
      <c r="D52" s="118" t="s">
        <v>35</v>
      </c>
      <c r="E52" s="118" t="s">
        <v>17</v>
      </c>
      <c r="F52" s="118" t="s">
        <v>521</v>
      </c>
      <c r="G52" s="118">
        <v>1</v>
      </c>
      <c r="H52" s="118">
        <v>1</v>
      </c>
      <c r="I52" s="118">
        <v>103000</v>
      </c>
      <c r="J52" s="675">
        <v>4</v>
      </c>
      <c r="K52" s="118">
        <v>1190</v>
      </c>
      <c r="L52" s="118" t="s">
        <v>156</v>
      </c>
      <c r="M52" s="64">
        <v>342</v>
      </c>
      <c r="N52" s="676">
        <v>3.5503260000000001</v>
      </c>
      <c r="O52" s="675" t="s">
        <v>140</v>
      </c>
      <c r="P52" s="15">
        <v>0</v>
      </c>
      <c r="Q52" s="46">
        <f t="shared" si="0"/>
        <v>0</v>
      </c>
      <c r="R52" s="46" t="e">
        <f t="shared" si="6"/>
        <v>#DIV/0!</v>
      </c>
      <c r="S52" s="46" t="e">
        <f t="shared" si="1"/>
        <v>#DIV/0!</v>
      </c>
      <c r="T52" s="677" t="e">
        <f t="shared" si="5"/>
        <v>#DIV/0!</v>
      </c>
      <c r="U52" s="80" t="e">
        <f t="shared" si="4"/>
        <v>#DIV/0!</v>
      </c>
      <c r="V52" s="85">
        <f t="shared" si="2"/>
        <v>350</v>
      </c>
      <c r="W52" s="679">
        <f t="shared" si="3"/>
        <v>345</v>
      </c>
      <c r="X52" s="4"/>
    </row>
    <row r="53" spans="1:27" x14ac:dyDescent="0.25">
      <c r="A53" s="680" t="s">
        <v>439</v>
      </c>
      <c r="B53" s="681" t="s">
        <v>430</v>
      </c>
      <c r="C53" s="47" t="s">
        <v>435</v>
      </c>
      <c r="D53" s="118" t="s">
        <v>35</v>
      </c>
      <c r="E53" s="118" t="s">
        <v>17</v>
      </c>
      <c r="F53" s="118" t="s">
        <v>522</v>
      </c>
      <c r="G53" s="118">
        <v>1</v>
      </c>
      <c r="H53" s="118">
        <v>1</v>
      </c>
      <c r="I53" s="118">
        <v>12750</v>
      </c>
      <c r="J53" s="675">
        <v>4</v>
      </c>
      <c r="K53" s="118">
        <v>1181</v>
      </c>
      <c r="L53" s="118" t="s">
        <v>156</v>
      </c>
      <c r="M53" s="64">
        <v>342</v>
      </c>
      <c r="N53" s="676">
        <v>3.0689099999999998</v>
      </c>
      <c r="O53" s="675" t="s">
        <v>140</v>
      </c>
      <c r="P53" s="15">
        <v>0</v>
      </c>
      <c r="Q53" s="46">
        <f t="shared" si="0"/>
        <v>0</v>
      </c>
      <c r="R53" s="46" t="e">
        <f t="shared" si="6"/>
        <v>#DIV/0!</v>
      </c>
      <c r="S53" s="46" t="e">
        <f t="shared" si="1"/>
        <v>#DIV/0!</v>
      </c>
      <c r="T53" s="677" t="e">
        <f t="shared" si="5"/>
        <v>#DIV/0!</v>
      </c>
      <c r="U53" s="80" t="e">
        <f t="shared" si="4"/>
        <v>#DIV/0!</v>
      </c>
      <c r="V53" s="85">
        <f t="shared" si="2"/>
        <v>350</v>
      </c>
      <c r="W53" s="679">
        <f t="shared" si="3"/>
        <v>345</v>
      </c>
      <c r="X53" s="4"/>
    </row>
    <row r="54" spans="1:27" x14ac:dyDescent="0.25">
      <c r="A54" s="680" t="s">
        <v>442</v>
      </c>
      <c r="B54" s="681" t="s">
        <v>443</v>
      </c>
      <c r="C54" s="47" t="s">
        <v>444</v>
      </c>
      <c r="D54" s="118" t="s">
        <v>35</v>
      </c>
      <c r="E54" s="118" t="s">
        <v>17</v>
      </c>
      <c r="F54" s="118" t="s">
        <v>523</v>
      </c>
      <c r="G54" s="118">
        <v>1</v>
      </c>
      <c r="H54" s="118">
        <v>1</v>
      </c>
      <c r="I54" s="118">
        <v>17500</v>
      </c>
      <c r="J54" s="675">
        <v>4</v>
      </c>
      <c r="K54" s="118">
        <v>1692</v>
      </c>
      <c r="L54" s="118" t="s">
        <v>156</v>
      </c>
      <c r="M54" s="64">
        <v>342</v>
      </c>
      <c r="N54" s="676">
        <v>3.2600099999999999</v>
      </c>
      <c r="O54" s="675" t="s">
        <v>140</v>
      </c>
      <c r="P54" s="15">
        <v>0</v>
      </c>
      <c r="Q54" s="46">
        <f t="shared" si="0"/>
        <v>0</v>
      </c>
      <c r="R54" s="46" t="e">
        <f t="shared" si="6"/>
        <v>#DIV/0!</v>
      </c>
      <c r="S54" s="46" t="e">
        <f t="shared" si="1"/>
        <v>#DIV/0!</v>
      </c>
      <c r="T54" s="677" t="e">
        <f t="shared" si="5"/>
        <v>#DIV/0!</v>
      </c>
      <c r="U54" s="80" t="e">
        <f t="shared" si="4"/>
        <v>#DIV/0!</v>
      </c>
      <c r="V54" s="85">
        <f t="shared" si="2"/>
        <v>350</v>
      </c>
      <c r="W54" s="679">
        <f t="shared" si="3"/>
        <v>345</v>
      </c>
      <c r="X54" s="4"/>
    </row>
    <row r="55" spans="1:27" x14ac:dyDescent="0.25">
      <c r="A55" s="680" t="s">
        <v>442</v>
      </c>
      <c r="B55" s="681" t="s">
        <v>443</v>
      </c>
      <c r="C55" s="47" t="s">
        <v>446</v>
      </c>
      <c r="D55" s="118" t="s">
        <v>35</v>
      </c>
      <c r="E55" s="118" t="s">
        <v>17</v>
      </c>
      <c r="F55" s="118" t="s">
        <v>523</v>
      </c>
      <c r="G55" s="118">
        <v>1</v>
      </c>
      <c r="H55" s="118">
        <v>1</v>
      </c>
      <c r="I55" s="118">
        <v>8500</v>
      </c>
      <c r="J55" s="675">
        <v>4</v>
      </c>
      <c r="K55" s="118">
        <v>1502</v>
      </c>
      <c r="L55" s="118" t="s">
        <v>156</v>
      </c>
      <c r="M55" s="64">
        <v>342</v>
      </c>
      <c r="N55" s="676">
        <v>3.5503260000000001</v>
      </c>
      <c r="O55" s="675" t="s">
        <v>140</v>
      </c>
      <c r="P55" s="15">
        <v>0</v>
      </c>
      <c r="Q55" s="46">
        <f t="shared" si="0"/>
        <v>0</v>
      </c>
      <c r="R55" s="46" t="e">
        <f t="shared" si="6"/>
        <v>#DIV/0!</v>
      </c>
      <c r="S55" s="46" t="e">
        <f t="shared" si="1"/>
        <v>#DIV/0!</v>
      </c>
      <c r="T55" s="677" t="e">
        <f t="shared" si="5"/>
        <v>#DIV/0!</v>
      </c>
      <c r="U55" s="80" t="e">
        <f t="shared" si="4"/>
        <v>#DIV/0!</v>
      </c>
      <c r="V55" s="85">
        <f t="shared" si="2"/>
        <v>350</v>
      </c>
      <c r="W55" s="679">
        <f t="shared" si="3"/>
        <v>345</v>
      </c>
      <c r="X55" s="4"/>
    </row>
    <row r="56" spans="1:27" x14ac:dyDescent="0.25">
      <c r="A56" s="680" t="s">
        <v>448</v>
      </c>
      <c r="B56" s="681" t="s">
        <v>443</v>
      </c>
      <c r="C56" s="47" t="s">
        <v>444</v>
      </c>
      <c r="D56" s="118" t="s">
        <v>35</v>
      </c>
      <c r="E56" s="118" t="s">
        <v>17</v>
      </c>
      <c r="F56" s="118" t="s">
        <v>523</v>
      </c>
      <c r="G56" s="118">
        <v>1</v>
      </c>
      <c r="H56" s="118">
        <v>1</v>
      </c>
      <c r="I56" s="118">
        <v>17500</v>
      </c>
      <c r="J56" s="675">
        <v>4</v>
      </c>
      <c r="K56" s="118">
        <v>1692</v>
      </c>
      <c r="L56" s="118" t="s">
        <v>156</v>
      </c>
      <c r="M56" s="64">
        <v>342</v>
      </c>
      <c r="N56" s="676">
        <v>3.2460480000000005</v>
      </c>
      <c r="O56" s="675" t="s">
        <v>140</v>
      </c>
      <c r="P56" s="15">
        <v>0</v>
      </c>
      <c r="Q56" s="46">
        <f t="shared" si="0"/>
        <v>0</v>
      </c>
      <c r="R56" s="46" t="e">
        <f t="shared" si="6"/>
        <v>#DIV/0!</v>
      </c>
      <c r="S56" s="46" t="e">
        <f t="shared" si="1"/>
        <v>#DIV/0!</v>
      </c>
      <c r="T56" s="677" t="e">
        <f t="shared" si="5"/>
        <v>#DIV/0!</v>
      </c>
      <c r="U56" s="80" t="e">
        <f t="shared" si="4"/>
        <v>#DIV/0!</v>
      </c>
      <c r="V56" s="85">
        <f t="shared" si="2"/>
        <v>350</v>
      </c>
      <c r="W56" s="679">
        <f t="shared" si="3"/>
        <v>345</v>
      </c>
      <c r="X56" s="4"/>
    </row>
    <row r="57" spans="1:27" x14ac:dyDescent="0.25">
      <c r="A57" s="680" t="s">
        <v>448</v>
      </c>
      <c r="B57" s="681" t="s">
        <v>443</v>
      </c>
      <c r="C57" s="47" t="s">
        <v>446</v>
      </c>
      <c r="D57" s="118" t="s">
        <v>35</v>
      </c>
      <c r="E57" s="118" t="s">
        <v>17</v>
      </c>
      <c r="F57" s="118" t="s">
        <v>523</v>
      </c>
      <c r="G57" s="118">
        <v>1</v>
      </c>
      <c r="H57" s="118">
        <v>1</v>
      </c>
      <c r="I57" s="118">
        <v>8500</v>
      </c>
      <c r="J57" s="675">
        <v>4</v>
      </c>
      <c r="K57" s="118">
        <v>1692</v>
      </c>
      <c r="L57" s="118" t="s">
        <v>156</v>
      </c>
      <c r="M57" s="64">
        <v>342</v>
      </c>
      <c r="N57" s="676">
        <v>3.5503260000000001</v>
      </c>
      <c r="O57" s="675" t="s">
        <v>140</v>
      </c>
      <c r="P57" s="15">
        <v>0</v>
      </c>
      <c r="Q57" s="46">
        <f t="shared" si="0"/>
        <v>0</v>
      </c>
      <c r="R57" s="46" t="e">
        <f t="shared" si="6"/>
        <v>#DIV/0!</v>
      </c>
      <c r="S57" s="46" t="e">
        <f t="shared" si="1"/>
        <v>#DIV/0!</v>
      </c>
      <c r="T57" s="677" t="e">
        <f t="shared" si="5"/>
        <v>#DIV/0!</v>
      </c>
      <c r="U57" s="80" t="e">
        <f t="shared" si="4"/>
        <v>#DIV/0!</v>
      </c>
      <c r="V57" s="85">
        <f t="shared" si="2"/>
        <v>350</v>
      </c>
      <c r="W57" s="679">
        <f t="shared" si="3"/>
        <v>345</v>
      </c>
      <c r="X57" s="4"/>
    </row>
    <row r="58" spans="1:27" x14ac:dyDescent="0.25">
      <c r="A58" s="680" t="s">
        <v>448</v>
      </c>
      <c r="B58" s="681" t="s">
        <v>451</v>
      </c>
      <c r="C58" s="47" t="s">
        <v>446</v>
      </c>
      <c r="D58" s="118" t="s">
        <v>35</v>
      </c>
      <c r="E58" s="118" t="s">
        <v>17</v>
      </c>
      <c r="F58" s="118" t="s">
        <v>523</v>
      </c>
      <c r="G58" s="118">
        <v>2</v>
      </c>
      <c r="H58" s="118">
        <v>1</v>
      </c>
      <c r="I58" s="118">
        <v>8500</v>
      </c>
      <c r="J58" s="675">
        <v>4</v>
      </c>
      <c r="K58" s="118">
        <v>1502</v>
      </c>
      <c r="L58" s="118" t="s">
        <v>156</v>
      </c>
      <c r="M58" s="64">
        <v>342</v>
      </c>
      <c r="N58" s="676">
        <v>2.8596360000000001</v>
      </c>
      <c r="O58" s="675" t="s">
        <v>140</v>
      </c>
      <c r="P58" s="15">
        <v>0</v>
      </c>
      <c r="Q58" s="46">
        <f t="shared" si="0"/>
        <v>0</v>
      </c>
      <c r="R58" s="46" t="e">
        <f t="shared" si="6"/>
        <v>#DIV/0!</v>
      </c>
      <c r="S58" s="46" t="e">
        <f t="shared" si="1"/>
        <v>#DIV/0!</v>
      </c>
      <c r="T58" s="677" t="e">
        <f t="shared" si="5"/>
        <v>#DIV/0!</v>
      </c>
      <c r="U58" s="80" t="e">
        <f t="shared" si="4"/>
        <v>#DIV/0!</v>
      </c>
      <c r="V58" s="85">
        <f t="shared" si="2"/>
        <v>350</v>
      </c>
      <c r="W58" s="679">
        <f t="shared" si="3"/>
        <v>345</v>
      </c>
      <c r="X58" s="4"/>
    </row>
    <row r="59" spans="1:27" x14ac:dyDescent="0.25">
      <c r="A59" s="680" t="s">
        <v>452</v>
      </c>
      <c r="B59" s="681" t="s">
        <v>453</v>
      </c>
      <c r="C59" s="47" t="s">
        <v>454</v>
      </c>
      <c r="D59" s="118" t="s">
        <v>35</v>
      </c>
      <c r="E59" s="118" t="s">
        <v>17</v>
      </c>
      <c r="F59" s="118" t="s">
        <v>513</v>
      </c>
      <c r="G59" s="118">
        <v>2</v>
      </c>
      <c r="H59" s="118">
        <v>1</v>
      </c>
      <c r="I59" s="118">
        <v>11097</v>
      </c>
      <c r="J59" s="675">
        <v>4</v>
      </c>
      <c r="K59" s="118">
        <v>585</v>
      </c>
      <c r="L59" s="118" t="s">
        <v>156</v>
      </c>
      <c r="M59" s="64">
        <v>342</v>
      </c>
      <c r="N59" s="676">
        <v>2.5171380000000001</v>
      </c>
      <c r="O59" s="675" t="s">
        <v>140</v>
      </c>
      <c r="P59" s="15">
        <v>0</v>
      </c>
      <c r="Q59" s="46">
        <f t="shared" si="0"/>
        <v>0</v>
      </c>
      <c r="R59" s="46" t="e">
        <f t="shared" si="6"/>
        <v>#DIV/0!</v>
      </c>
      <c r="S59" s="46" t="e">
        <f t="shared" si="1"/>
        <v>#DIV/0!</v>
      </c>
      <c r="T59" s="677" t="e">
        <f t="shared" si="5"/>
        <v>#DIV/0!</v>
      </c>
      <c r="U59" s="80" t="e">
        <f t="shared" si="4"/>
        <v>#DIV/0!</v>
      </c>
      <c r="V59" s="85">
        <f t="shared" si="2"/>
        <v>350</v>
      </c>
      <c r="W59" s="679">
        <f t="shared" si="3"/>
        <v>345</v>
      </c>
      <c r="X59" s="4"/>
    </row>
    <row r="60" spans="1:27" x14ac:dyDescent="0.25">
      <c r="A60" s="680" t="s">
        <v>452</v>
      </c>
      <c r="B60" s="681" t="s">
        <v>453</v>
      </c>
      <c r="C60" s="47" t="s">
        <v>408</v>
      </c>
      <c r="D60" s="118" t="s">
        <v>35</v>
      </c>
      <c r="E60" s="118" t="s">
        <v>17</v>
      </c>
      <c r="F60" s="118" t="s">
        <v>514</v>
      </c>
      <c r="G60" s="118">
        <v>29</v>
      </c>
      <c r="H60" s="118">
        <v>1</v>
      </c>
      <c r="I60" s="118">
        <v>1500</v>
      </c>
      <c r="J60" s="675">
        <v>4</v>
      </c>
      <c r="K60" s="118">
        <v>776</v>
      </c>
      <c r="L60" s="118" t="s">
        <v>156</v>
      </c>
      <c r="M60" s="64">
        <v>342</v>
      </c>
      <c r="N60" s="676">
        <v>2.8596360000000001</v>
      </c>
      <c r="O60" s="675" t="s">
        <v>140</v>
      </c>
      <c r="P60" s="15">
        <v>0</v>
      </c>
      <c r="Q60" s="46">
        <f t="shared" si="0"/>
        <v>0</v>
      </c>
      <c r="R60" s="46" t="e">
        <f t="shared" si="6"/>
        <v>#DIV/0!</v>
      </c>
      <c r="S60" s="46" t="e">
        <f t="shared" si="1"/>
        <v>#DIV/0!</v>
      </c>
      <c r="T60" s="677" t="e">
        <f t="shared" si="5"/>
        <v>#DIV/0!</v>
      </c>
      <c r="U60" s="80" t="e">
        <f t="shared" si="4"/>
        <v>#DIV/0!</v>
      </c>
      <c r="V60" s="85">
        <f t="shared" si="2"/>
        <v>350</v>
      </c>
      <c r="W60" s="679">
        <f t="shared" si="3"/>
        <v>345</v>
      </c>
      <c r="X60" s="4"/>
    </row>
    <row r="61" spans="1:27" x14ac:dyDescent="0.25">
      <c r="A61" s="680" t="s">
        <v>452</v>
      </c>
      <c r="B61" s="681" t="s">
        <v>453</v>
      </c>
      <c r="C61" s="47" t="s">
        <v>408</v>
      </c>
      <c r="D61" s="118" t="s">
        <v>35</v>
      </c>
      <c r="E61" s="118" t="s">
        <v>17</v>
      </c>
      <c r="F61" s="118" t="s">
        <v>512</v>
      </c>
      <c r="G61" s="118">
        <v>1</v>
      </c>
      <c r="H61" s="118">
        <v>1</v>
      </c>
      <c r="I61" s="118">
        <v>1500</v>
      </c>
      <c r="J61" s="675">
        <v>4</v>
      </c>
      <c r="K61" s="118">
        <v>3879</v>
      </c>
      <c r="L61" s="118" t="s">
        <v>156</v>
      </c>
      <c r="M61" s="64">
        <v>342</v>
      </c>
      <c r="N61" s="676">
        <v>3.2460480000000005</v>
      </c>
      <c r="O61" s="675" t="s">
        <v>140</v>
      </c>
      <c r="P61" s="15">
        <v>0</v>
      </c>
      <c r="Q61" s="46">
        <f t="shared" si="0"/>
        <v>0</v>
      </c>
      <c r="R61" s="46" t="e">
        <f t="shared" si="6"/>
        <v>#DIV/0!</v>
      </c>
      <c r="S61" s="46" t="e">
        <f t="shared" si="1"/>
        <v>#DIV/0!</v>
      </c>
      <c r="T61" s="677" t="e">
        <f t="shared" si="5"/>
        <v>#DIV/0!</v>
      </c>
      <c r="U61" s="80" t="e">
        <f t="shared" si="4"/>
        <v>#DIV/0!</v>
      </c>
      <c r="V61" s="85">
        <f t="shared" si="2"/>
        <v>350</v>
      </c>
      <c r="W61" s="679">
        <f t="shared" si="3"/>
        <v>345</v>
      </c>
      <c r="X61" s="4"/>
    </row>
    <row r="62" spans="1:27" x14ac:dyDescent="0.25">
      <c r="A62" s="680" t="s">
        <v>456</v>
      </c>
      <c r="B62" s="681" t="s">
        <v>453</v>
      </c>
      <c r="C62" s="47" t="s">
        <v>457</v>
      </c>
      <c r="D62" s="118" t="s">
        <v>35</v>
      </c>
      <c r="E62" s="118" t="s">
        <v>17</v>
      </c>
      <c r="F62" s="118" t="s">
        <v>513</v>
      </c>
      <c r="G62" s="118">
        <v>2</v>
      </c>
      <c r="H62" s="118">
        <v>1</v>
      </c>
      <c r="I62" s="118">
        <v>11081</v>
      </c>
      <c r="J62" s="675">
        <v>4</v>
      </c>
      <c r="K62" s="118">
        <v>585</v>
      </c>
      <c r="L62" s="118" t="s">
        <v>156</v>
      </c>
      <c r="M62" s="64">
        <v>342</v>
      </c>
      <c r="N62" s="676">
        <v>3.5497800000000002</v>
      </c>
      <c r="O62" s="675" t="s">
        <v>140</v>
      </c>
      <c r="P62" s="15">
        <v>0</v>
      </c>
      <c r="Q62" s="46">
        <f t="shared" si="0"/>
        <v>0</v>
      </c>
      <c r="R62" s="46" t="e">
        <f t="shared" si="6"/>
        <v>#DIV/0!</v>
      </c>
      <c r="S62" s="46" t="e">
        <f t="shared" si="1"/>
        <v>#DIV/0!</v>
      </c>
      <c r="T62" s="677" t="e">
        <f t="shared" si="5"/>
        <v>#DIV/0!</v>
      </c>
      <c r="U62" s="80" t="e">
        <f t="shared" si="4"/>
        <v>#DIV/0!</v>
      </c>
      <c r="V62" s="85">
        <f t="shared" si="2"/>
        <v>350</v>
      </c>
      <c r="W62" s="679">
        <f t="shared" si="3"/>
        <v>345</v>
      </c>
      <c r="X62" s="4"/>
    </row>
    <row r="63" spans="1:27" x14ac:dyDescent="0.25">
      <c r="A63" s="680" t="s">
        <v>456</v>
      </c>
      <c r="B63" s="681" t="s">
        <v>453</v>
      </c>
      <c r="C63" s="47" t="s">
        <v>408</v>
      </c>
      <c r="D63" s="118" t="s">
        <v>12</v>
      </c>
      <c r="E63" s="118" t="s">
        <v>17</v>
      </c>
      <c r="F63" s="118" t="s">
        <v>514</v>
      </c>
      <c r="G63" s="118">
        <v>29</v>
      </c>
      <c r="H63" s="118">
        <v>1</v>
      </c>
      <c r="I63" s="118">
        <v>1500</v>
      </c>
      <c r="J63" s="675">
        <v>3</v>
      </c>
      <c r="K63" s="118">
        <v>776</v>
      </c>
      <c r="L63" s="118" t="s">
        <v>156</v>
      </c>
      <c r="M63" s="64">
        <v>404</v>
      </c>
      <c r="N63" s="676">
        <v>0</v>
      </c>
      <c r="O63" s="675" t="s">
        <v>140</v>
      </c>
      <c r="P63" s="15">
        <v>0</v>
      </c>
      <c r="Q63" s="46">
        <f t="shared" si="0"/>
        <v>0</v>
      </c>
      <c r="R63" s="46" t="e">
        <f t="shared" si="6"/>
        <v>#DIV/0!</v>
      </c>
      <c r="S63" s="46" t="e">
        <f t="shared" si="1"/>
        <v>#DIV/0!</v>
      </c>
      <c r="T63" s="677" t="e">
        <f t="shared" si="5"/>
        <v>#DIV/0!</v>
      </c>
      <c r="U63" s="80" t="e">
        <f t="shared" si="4"/>
        <v>#DIV/0!</v>
      </c>
      <c r="V63" s="85">
        <f t="shared" si="2"/>
        <v>410</v>
      </c>
      <c r="W63" s="679">
        <f t="shared" si="3"/>
        <v>405</v>
      </c>
      <c r="X63" s="4"/>
    </row>
    <row r="64" spans="1:27" x14ac:dyDescent="0.25">
      <c r="A64" s="680" t="s">
        <v>456</v>
      </c>
      <c r="B64" s="681" t="s">
        <v>453</v>
      </c>
      <c r="C64" s="47" t="s">
        <v>408</v>
      </c>
      <c r="D64" s="118" t="s">
        <v>12</v>
      </c>
      <c r="E64" s="118" t="s">
        <v>17</v>
      </c>
      <c r="F64" s="118" t="s">
        <v>514</v>
      </c>
      <c r="G64" s="118">
        <v>1</v>
      </c>
      <c r="H64" s="118">
        <v>1</v>
      </c>
      <c r="I64" s="118">
        <v>1500</v>
      </c>
      <c r="J64" s="675">
        <v>3</v>
      </c>
      <c r="K64" s="118">
        <v>3879</v>
      </c>
      <c r="L64" s="118" t="s">
        <v>156</v>
      </c>
      <c r="M64" s="64">
        <v>404</v>
      </c>
      <c r="N64" s="676">
        <v>0</v>
      </c>
      <c r="O64" s="675" t="s">
        <v>140</v>
      </c>
      <c r="P64" s="15">
        <v>0</v>
      </c>
      <c r="Q64" s="46">
        <f t="shared" si="0"/>
        <v>0</v>
      </c>
      <c r="R64" s="46" t="e">
        <f t="shared" si="6"/>
        <v>#DIV/0!</v>
      </c>
      <c r="S64" s="46" t="e">
        <f t="shared" si="1"/>
        <v>#DIV/0!</v>
      </c>
      <c r="T64" s="677" t="e">
        <f t="shared" si="5"/>
        <v>#DIV/0!</v>
      </c>
      <c r="U64" s="80" t="e">
        <f t="shared" si="4"/>
        <v>#DIV/0!</v>
      </c>
      <c r="V64" s="85">
        <f t="shared" si="2"/>
        <v>410</v>
      </c>
      <c r="W64" s="679">
        <f t="shared" si="3"/>
        <v>405</v>
      </c>
      <c r="X64" s="4"/>
    </row>
    <row r="65" spans="1:24" x14ac:dyDescent="0.25">
      <c r="A65" s="680" t="s">
        <v>458</v>
      </c>
      <c r="B65" s="681" t="s">
        <v>459</v>
      </c>
      <c r="C65" s="47" t="s">
        <v>460</v>
      </c>
      <c r="D65" s="118" t="s">
        <v>12</v>
      </c>
      <c r="E65" s="118" t="s">
        <v>17</v>
      </c>
      <c r="F65" s="118" t="s">
        <v>513</v>
      </c>
      <c r="G65" s="118">
        <v>2</v>
      </c>
      <c r="H65" s="118">
        <v>1</v>
      </c>
      <c r="I65" s="118">
        <v>12634</v>
      </c>
      <c r="J65" s="675">
        <v>3</v>
      </c>
      <c r="K65" s="118">
        <v>585</v>
      </c>
      <c r="L65" s="118" t="s">
        <v>156</v>
      </c>
      <c r="M65" s="64">
        <v>404</v>
      </c>
      <c r="N65" s="676">
        <v>0</v>
      </c>
      <c r="O65" s="675" t="s">
        <v>140</v>
      </c>
      <c r="P65" s="15">
        <v>0</v>
      </c>
      <c r="Q65" s="46">
        <f t="shared" si="0"/>
        <v>0</v>
      </c>
      <c r="R65" s="46" t="e">
        <f t="shared" si="6"/>
        <v>#DIV/0!</v>
      </c>
      <c r="S65" s="46" t="e">
        <f t="shared" si="1"/>
        <v>#DIV/0!</v>
      </c>
      <c r="T65" s="677" t="e">
        <f t="shared" si="5"/>
        <v>#DIV/0!</v>
      </c>
      <c r="U65" s="80" t="e">
        <f t="shared" si="4"/>
        <v>#DIV/0!</v>
      </c>
      <c r="V65" s="85">
        <f t="shared" si="2"/>
        <v>410</v>
      </c>
      <c r="W65" s="679">
        <f t="shared" si="3"/>
        <v>405</v>
      </c>
      <c r="X65" s="4"/>
    </row>
    <row r="66" spans="1:24" x14ac:dyDescent="0.25">
      <c r="A66" s="680" t="s">
        <v>458</v>
      </c>
      <c r="B66" s="681" t="s">
        <v>459</v>
      </c>
      <c r="C66" s="47" t="s">
        <v>408</v>
      </c>
      <c r="D66" s="118" t="s">
        <v>12</v>
      </c>
      <c r="E66" s="118" t="s">
        <v>17</v>
      </c>
      <c r="F66" s="118" t="s">
        <v>514</v>
      </c>
      <c r="G66" s="118">
        <v>28</v>
      </c>
      <c r="H66" s="118">
        <v>1</v>
      </c>
      <c r="I66" s="118">
        <v>1500</v>
      </c>
      <c r="J66" s="675">
        <v>3</v>
      </c>
      <c r="K66" s="118">
        <v>776</v>
      </c>
      <c r="L66" s="118" t="s">
        <v>156</v>
      </c>
      <c r="M66" s="64">
        <v>404</v>
      </c>
      <c r="N66" s="676">
        <v>0</v>
      </c>
      <c r="O66" s="675" t="s">
        <v>140</v>
      </c>
      <c r="P66" s="15">
        <v>0</v>
      </c>
      <c r="Q66" s="46">
        <f t="shared" si="0"/>
        <v>0</v>
      </c>
      <c r="R66" s="46" t="e">
        <f t="shared" si="6"/>
        <v>#DIV/0!</v>
      </c>
      <c r="S66" s="46" t="e">
        <f t="shared" si="1"/>
        <v>#DIV/0!</v>
      </c>
      <c r="T66" s="677" t="e">
        <f t="shared" si="5"/>
        <v>#DIV/0!</v>
      </c>
      <c r="U66" s="80" t="e">
        <f t="shared" si="4"/>
        <v>#DIV/0!</v>
      </c>
      <c r="V66" s="85">
        <f t="shared" si="2"/>
        <v>410</v>
      </c>
      <c r="W66" s="679">
        <f t="shared" si="3"/>
        <v>405</v>
      </c>
      <c r="X66" s="4"/>
    </row>
    <row r="67" spans="1:24" x14ac:dyDescent="0.25">
      <c r="A67" s="680" t="s">
        <v>461</v>
      </c>
      <c r="B67" s="681" t="s">
        <v>459</v>
      </c>
      <c r="C67" s="47" t="s">
        <v>462</v>
      </c>
      <c r="D67" s="118" t="s">
        <v>12</v>
      </c>
      <c r="E67" s="118" t="s">
        <v>17</v>
      </c>
      <c r="F67" s="118" t="s">
        <v>513</v>
      </c>
      <c r="G67" s="118">
        <v>2</v>
      </c>
      <c r="H67" s="118">
        <v>1</v>
      </c>
      <c r="I67" s="118">
        <v>11097</v>
      </c>
      <c r="J67" s="675">
        <v>3</v>
      </c>
      <c r="K67" s="118">
        <v>585</v>
      </c>
      <c r="L67" s="118" t="s">
        <v>156</v>
      </c>
      <c r="M67" s="64">
        <v>404</v>
      </c>
      <c r="N67" s="676">
        <v>0</v>
      </c>
      <c r="O67" s="675" t="s">
        <v>140</v>
      </c>
      <c r="P67" s="15">
        <v>0</v>
      </c>
      <c r="Q67" s="46">
        <f t="shared" si="0"/>
        <v>0</v>
      </c>
      <c r="R67" s="46" t="e">
        <f t="shared" si="6"/>
        <v>#DIV/0!</v>
      </c>
      <c r="S67" s="46" t="e">
        <f t="shared" si="1"/>
        <v>#DIV/0!</v>
      </c>
      <c r="T67" s="677" t="e">
        <f t="shared" si="5"/>
        <v>#DIV/0!</v>
      </c>
      <c r="U67" s="80" t="e">
        <f t="shared" si="4"/>
        <v>#DIV/0!</v>
      </c>
      <c r="V67" s="85">
        <f t="shared" si="2"/>
        <v>410</v>
      </c>
      <c r="W67" s="679">
        <f t="shared" si="3"/>
        <v>405</v>
      </c>
      <c r="X67" s="4"/>
    </row>
    <row r="68" spans="1:24" x14ac:dyDescent="0.25">
      <c r="A68" s="680" t="s">
        <v>461</v>
      </c>
      <c r="B68" s="681" t="s">
        <v>459</v>
      </c>
      <c r="C68" s="47" t="s">
        <v>408</v>
      </c>
      <c r="D68" s="118" t="s">
        <v>12</v>
      </c>
      <c r="E68" s="118" t="s">
        <v>17</v>
      </c>
      <c r="F68" s="118" t="s">
        <v>514</v>
      </c>
      <c r="G68" s="118">
        <v>29</v>
      </c>
      <c r="H68" s="118">
        <v>1</v>
      </c>
      <c r="I68" s="118">
        <v>1500</v>
      </c>
      <c r="J68" s="675">
        <v>3</v>
      </c>
      <c r="K68" s="118">
        <v>776</v>
      </c>
      <c r="L68" s="118" t="s">
        <v>156</v>
      </c>
      <c r="M68" s="64">
        <v>404</v>
      </c>
      <c r="N68" s="676">
        <v>0</v>
      </c>
      <c r="O68" s="675" t="s">
        <v>140</v>
      </c>
      <c r="P68" s="15">
        <v>0</v>
      </c>
      <c r="Q68" s="46">
        <f t="shared" si="0"/>
        <v>0</v>
      </c>
      <c r="R68" s="46" t="e">
        <f t="shared" si="6"/>
        <v>#DIV/0!</v>
      </c>
      <c r="S68" s="46" t="e">
        <f t="shared" si="1"/>
        <v>#DIV/0!</v>
      </c>
      <c r="T68" s="677" t="e">
        <f t="shared" si="5"/>
        <v>#DIV/0!</v>
      </c>
      <c r="U68" s="80" t="e">
        <f t="shared" si="4"/>
        <v>#DIV/0!</v>
      </c>
      <c r="V68" s="85">
        <f t="shared" si="2"/>
        <v>410</v>
      </c>
      <c r="W68" s="679">
        <f t="shared" si="3"/>
        <v>405</v>
      </c>
      <c r="X68" s="4"/>
    </row>
    <row r="69" spans="1:24" x14ac:dyDescent="0.25">
      <c r="A69" s="680" t="s">
        <v>461</v>
      </c>
      <c r="B69" s="681" t="s">
        <v>459</v>
      </c>
      <c r="C69" s="47" t="s">
        <v>408</v>
      </c>
      <c r="D69" s="118" t="s">
        <v>12</v>
      </c>
      <c r="E69" s="118" t="s">
        <v>17</v>
      </c>
      <c r="F69" s="118" t="s">
        <v>514</v>
      </c>
      <c r="G69" s="118">
        <v>1</v>
      </c>
      <c r="H69" s="118">
        <v>1</v>
      </c>
      <c r="I69" s="118">
        <v>1500</v>
      </c>
      <c r="J69" s="675">
        <v>3</v>
      </c>
      <c r="K69" s="118">
        <v>3879</v>
      </c>
      <c r="L69" s="118" t="s">
        <v>156</v>
      </c>
      <c r="M69" s="64">
        <v>404</v>
      </c>
      <c r="N69" s="676">
        <v>0</v>
      </c>
      <c r="O69" s="675" t="s">
        <v>140</v>
      </c>
      <c r="P69" s="15">
        <v>0</v>
      </c>
      <c r="Q69" s="46">
        <f t="shared" si="0"/>
        <v>0</v>
      </c>
      <c r="R69" s="46" t="e">
        <f t="shared" si="6"/>
        <v>#DIV/0!</v>
      </c>
      <c r="S69" s="46" t="e">
        <f t="shared" si="1"/>
        <v>#DIV/0!</v>
      </c>
      <c r="T69" s="677" t="e">
        <f t="shared" si="5"/>
        <v>#DIV/0!</v>
      </c>
      <c r="U69" s="80" t="e">
        <f t="shared" si="4"/>
        <v>#DIV/0!</v>
      </c>
      <c r="V69" s="85">
        <f t="shared" si="2"/>
        <v>410</v>
      </c>
      <c r="W69" s="679">
        <f t="shared" si="3"/>
        <v>405</v>
      </c>
      <c r="X69" s="4"/>
    </row>
    <row r="70" spans="1:24" x14ac:dyDescent="0.25">
      <c r="A70" s="680" t="s">
        <v>406</v>
      </c>
      <c r="B70" s="681" t="s">
        <v>407</v>
      </c>
      <c r="C70" s="47" t="s">
        <v>408</v>
      </c>
      <c r="D70" s="118" t="s">
        <v>12</v>
      </c>
      <c r="E70" s="118" t="s">
        <v>17</v>
      </c>
      <c r="F70" s="118" t="s">
        <v>515</v>
      </c>
      <c r="G70" s="118">
        <v>12</v>
      </c>
      <c r="H70" s="118">
        <v>2</v>
      </c>
      <c r="I70" s="118">
        <v>26385</v>
      </c>
      <c r="J70" s="675">
        <v>3</v>
      </c>
      <c r="K70" s="118">
        <v>2784</v>
      </c>
      <c r="L70" s="118" t="s">
        <v>156</v>
      </c>
      <c r="M70" s="64">
        <v>404</v>
      </c>
      <c r="N70" s="676">
        <v>0</v>
      </c>
      <c r="O70" s="675" t="s">
        <v>140</v>
      </c>
      <c r="P70" s="15">
        <v>0</v>
      </c>
      <c r="Q70" s="46">
        <f t="shared" si="0"/>
        <v>0</v>
      </c>
      <c r="R70" s="46" t="e">
        <f t="shared" si="6"/>
        <v>#DIV/0!</v>
      </c>
      <c r="S70" s="46" t="e">
        <f t="shared" si="1"/>
        <v>#DIV/0!</v>
      </c>
      <c r="T70" s="677" t="e">
        <f t="shared" si="5"/>
        <v>#DIV/0!</v>
      </c>
      <c r="U70" s="80" t="e">
        <f t="shared" si="4"/>
        <v>#DIV/0!</v>
      </c>
      <c r="V70" s="678">
        <f t="shared" si="2"/>
        <v>410</v>
      </c>
      <c r="W70" s="679">
        <f t="shared" si="3"/>
        <v>405</v>
      </c>
      <c r="X70" s="4"/>
    </row>
    <row r="71" spans="1:24" x14ac:dyDescent="0.25">
      <c r="A71" s="680" t="s">
        <v>406</v>
      </c>
      <c r="B71" s="681" t="s">
        <v>407</v>
      </c>
      <c r="C71" s="47" t="s">
        <v>408</v>
      </c>
      <c r="D71" s="118" t="s">
        <v>38</v>
      </c>
      <c r="E71" s="118" t="s">
        <v>19</v>
      </c>
      <c r="F71" s="118" t="s">
        <v>516</v>
      </c>
      <c r="G71" s="118">
        <v>12</v>
      </c>
      <c r="H71" s="118">
        <v>1</v>
      </c>
      <c r="I71" s="118">
        <v>91778</v>
      </c>
      <c r="J71" s="675">
        <v>3</v>
      </c>
      <c r="K71" s="118">
        <v>1781</v>
      </c>
      <c r="L71" s="118" t="s">
        <v>156</v>
      </c>
      <c r="M71" s="64">
        <v>224</v>
      </c>
      <c r="N71" s="676">
        <v>5.9249999999999998</v>
      </c>
      <c r="O71" s="675" t="s">
        <v>140</v>
      </c>
      <c r="P71" s="15">
        <v>1376</v>
      </c>
      <c r="Q71" s="46">
        <f t="shared" si="0"/>
        <v>54.173120000000004</v>
      </c>
      <c r="R71" s="46">
        <f t="shared" si="6"/>
        <v>7.3721986106762909</v>
      </c>
      <c r="S71" s="46">
        <f t="shared" si="1"/>
        <v>0.80369511361502344</v>
      </c>
      <c r="T71" s="677">
        <f t="shared" si="5"/>
        <v>0.11481358765928906</v>
      </c>
      <c r="U71" s="80">
        <f t="shared" si="4"/>
        <v>88406.462497652581</v>
      </c>
      <c r="V71" s="85">
        <f t="shared" si="2"/>
        <v>230</v>
      </c>
      <c r="W71" s="679">
        <f t="shared" si="3"/>
        <v>225</v>
      </c>
      <c r="X71" s="4"/>
    </row>
    <row r="72" spans="1:24" x14ac:dyDescent="0.25">
      <c r="A72" s="680" t="s">
        <v>409</v>
      </c>
      <c r="B72" s="681" t="s">
        <v>410</v>
      </c>
      <c r="C72" s="47" t="s">
        <v>408</v>
      </c>
      <c r="D72" s="118" t="s">
        <v>38</v>
      </c>
      <c r="E72" s="118" t="s">
        <v>19</v>
      </c>
      <c r="F72" s="118" t="s">
        <v>517</v>
      </c>
      <c r="G72" s="118">
        <v>12</v>
      </c>
      <c r="H72" s="118">
        <v>2</v>
      </c>
      <c r="I72" s="118">
        <v>12900</v>
      </c>
      <c r="J72" s="675">
        <v>3</v>
      </c>
      <c r="K72" s="118">
        <v>968</v>
      </c>
      <c r="L72" s="118" t="s">
        <v>156</v>
      </c>
      <c r="M72" s="64">
        <v>210</v>
      </c>
      <c r="N72" s="676">
        <v>1.38</v>
      </c>
      <c r="O72" s="675" t="s">
        <v>140</v>
      </c>
      <c r="P72" s="15">
        <v>1161</v>
      </c>
      <c r="Q72" s="46">
        <f t="shared" si="0"/>
        <v>45.708570000000002</v>
      </c>
      <c r="R72" s="46">
        <f t="shared" si="6"/>
        <v>8.7374205756163459</v>
      </c>
      <c r="S72" s="46">
        <f t="shared" si="1"/>
        <v>0.15794134985915489</v>
      </c>
      <c r="T72" s="677">
        <f t="shared" si="5"/>
        <v>2.256304997987927E-2</v>
      </c>
      <c r="U72" s="80">
        <f t="shared" si="4"/>
        <v>17373.548484507039</v>
      </c>
      <c r="V72" s="85">
        <f t="shared" si="2"/>
        <v>210</v>
      </c>
      <c r="W72" s="679">
        <f t="shared" si="3"/>
        <v>210</v>
      </c>
      <c r="X72" s="4"/>
    </row>
    <row r="73" spans="1:24" x14ac:dyDescent="0.25">
      <c r="A73" s="680" t="s">
        <v>414</v>
      </c>
      <c r="B73" s="681" t="s">
        <v>415</v>
      </c>
      <c r="C73" s="47" t="s">
        <v>408</v>
      </c>
      <c r="D73" s="118" t="s">
        <v>38</v>
      </c>
      <c r="E73" s="118" t="s">
        <v>19</v>
      </c>
      <c r="F73" s="118" t="s">
        <v>518</v>
      </c>
      <c r="G73" s="118">
        <v>3</v>
      </c>
      <c r="H73" s="118">
        <v>1</v>
      </c>
      <c r="I73" s="118">
        <v>17971</v>
      </c>
      <c r="J73" s="675">
        <v>3</v>
      </c>
      <c r="K73" s="118">
        <v>2184</v>
      </c>
      <c r="L73" s="118" t="s">
        <v>156</v>
      </c>
      <c r="M73" s="64">
        <v>210</v>
      </c>
      <c r="N73" s="676">
        <v>1.71879</v>
      </c>
      <c r="O73" s="675" t="s">
        <v>140</v>
      </c>
      <c r="P73" s="15">
        <v>1161</v>
      </c>
      <c r="Q73" s="46">
        <f t="shared" si="0"/>
        <v>45.708570000000002</v>
      </c>
      <c r="R73" s="46">
        <f t="shared" si="6"/>
        <v>8.7374205756163459</v>
      </c>
      <c r="S73" s="46">
        <f t="shared" si="1"/>
        <v>0.19671595124957744</v>
      </c>
      <c r="T73" s="677">
        <f t="shared" si="5"/>
        <v>2.8102278749939636E-2</v>
      </c>
      <c r="U73" s="80">
        <f t="shared" si="4"/>
        <v>21638.75463745352</v>
      </c>
      <c r="V73" s="85">
        <f t="shared" si="2"/>
        <v>210</v>
      </c>
      <c r="W73" s="679">
        <f t="shared" si="3"/>
        <v>210</v>
      </c>
      <c r="X73" s="4"/>
    </row>
    <row r="74" spans="1:24" x14ac:dyDescent="0.25">
      <c r="A74" s="680" t="s">
        <v>417</v>
      </c>
      <c r="B74" s="681" t="s">
        <v>415</v>
      </c>
      <c r="C74" s="47" t="s">
        <v>408</v>
      </c>
      <c r="D74" s="118" t="s">
        <v>38</v>
      </c>
      <c r="E74" s="118" t="s">
        <v>19</v>
      </c>
      <c r="F74" s="118" t="s">
        <v>519</v>
      </c>
      <c r="G74" s="118">
        <v>2</v>
      </c>
      <c r="H74" s="118">
        <v>1</v>
      </c>
      <c r="I74" s="118">
        <v>7759</v>
      </c>
      <c r="J74" s="675">
        <v>3</v>
      </c>
      <c r="K74" s="118">
        <v>785</v>
      </c>
      <c r="L74" s="118" t="s">
        <v>156</v>
      </c>
      <c r="M74" s="64">
        <v>224</v>
      </c>
      <c r="N74" s="676">
        <v>6.7149999999999999</v>
      </c>
      <c r="O74" s="675" t="s">
        <v>140</v>
      </c>
      <c r="P74" s="15">
        <v>1376</v>
      </c>
      <c r="Q74" s="46">
        <f t="shared" ref="Q74:Q137" si="7">IF(P74="","",IF(P74="dar valor","",0.03937*P74))</f>
        <v>54.173120000000004</v>
      </c>
      <c r="R74" s="46">
        <f t="shared" si="6"/>
        <v>7.3721986106762909</v>
      </c>
      <c r="S74" s="46">
        <f t="shared" ref="S74:S137" si="8">IF(R74="","",+N74/R74)</f>
        <v>0.91085446209702658</v>
      </c>
      <c r="T74" s="677">
        <f t="shared" si="5"/>
        <v>0.13012206601386095</v>
      </c>
      <c r="U74" s="80">
        <f t="shared" si="4"/>
        <v>100193.99083067292</v>
      </c>
      <c r="V74" s="85">
        <f t="shared" ref="V74:V137" si="9">_xlfn.CEILING.MATH(M74,10)</f>
        <v>230</v>
      </c>
      <c r="W74" s="679">
        <f t="shared" ref="W74:W137" si="10">_xlfn.CEILING.MATH(M74,5)</f>
        <v>225</v>
      </c>
      <c r="X74" s="4"/>
    </row>
    <row r="75" spans="1:24" x14ac:dyDescent="0.25">
      <c r="A75" s="680" t="s">
        <v>419</v>
      </c>
      <c r="B75" s="681" t="s">
        <v>415</v>
      </c>
      <c r="C75" s="47" t="s">
        <v>408</v>
      </c>
      <c r="D75" s="118" t="s">
        <v>38</v>
      </c>
      <c r="E75" s="118" t="s">
        <v>19</v>
      </c>
      <c r="F75" s="118" t="s">
        <v>519</v>
      </c>
      <c r="G75" s="118">
        <v>1</v>
      </c>
      <c r="H75" s="118">
        <v>1</v>
      </c>
      <c r="I75" s="118">
        <v>7100</v>
      </c>
      <c r="J75" s="675">
        <v>3</v>
      </c>
      <c r="K75" s="118">
        <v>785</v>
      </c>
      <c r="L75" s="118" t="s">
        <v>156</v>
      </c>
      <c r="M75" s="64">
        <v>224</v>
      </c>
      <c r="N75" s="676">
        <v>20.500499999999999</v>
      </c>
      <c r="O75" s="675" t="s">
        <v>140</v>
      </c>
      <c r="P75" s="15">
        <v>1376</v>
      </c>
      <c r="Q75" s="46">
        <f t="shared" si="7"/>
        <v>54.173120000000004</v>
      </c>
      <c r="R75" s="46">
        <f t="shared" si="6"/>
        <v>7.3721986106762909</v>
      </c>
      <c r="S75" s="46">
        <f t="shared" si="8"/>
        <v>2.7807850931079812</v>
      </c>
      <c r="T75" s="677">
        <f t="shared" si="5"/>
        <v>0.39725501330114016</v>
      </c>
      <c r="U75" s="80">
        <f t="shared" si="4"/>
        <v>305886.3602418779</v>
      </c>
      <c r="V75" s="85">
        <f t="shared" si="9"/>
        <v>230</v>
      </c>
      <c r="W75" s="679">
        <f t="shared" si="10"/>
        <v>225</v>
      </c>
      <c r="X75" s="4"/>
    </row>
    <row r="76" spans="1:24" x14ac:dyDescent="0.25">
      <c r="A76" s="680" t="s">
        <v>421</v>
      </c>
      <c r="B76" s="681" t="s">
        <v>422</v>
      </c>
      <c r="C76" s="47" t="s">
        <v>423</v>
      </c>
      <c r="D76" s="118" t="s">
        <v>38</v>
      </c>
      <c r="E76" s="118" t="s">
        <v>19</v>
      </c>
      <c r="F76" s="118" t="s">
        <v>520</v>
      </c>
      <c r="G76" s="118">
        <v>1</v>
      </c>
      <c r="H76" s="118">
        <v>1</v>
      </c>
      <c r="I76" s="118">
        <v>19050</v>
      </c>
      <c r="J76" s="675">
        <v>3</v>
      </c>
      <c r="K76" s="118">
        <v>1185</v>
      </c>
      <c r="L76" s="118" t="s">
        <v>156</v>
      </c>
      <c r="M76" s="64">
        <v>224</v>
      </c>
      <c r="N76" s="676">
        <v>3.16</v>
      </c>
      <c r="O76" s="675" t="s">
        <v>140</v>
      </c>
      <c r="P76" s="15">
        <v>1376</v>
      </c>
      <c r="Q76" s="46">
        <f t="shared" si="7"/>
        <v>54.173120000000004</v>
      </c>
      <c r="R76" s="46">
        <f t="shared" si="6"/>
        <v>7.3721986106762909</v>
      </c>
      <c r="S76" s="46">
        <f t="shared" si="8"/>
        <v>0.42863739392801253</v>
      </c>
      <c r="T76" s="677">
        <f t="shared" si="5"/>
        <v>6.1233913418287503E-2</v>
      </c>
      <c r="U76" s="80">
        <f t="shared" ref="U76:U139" si="11">(IF(O76="FX 2003",(S76*$V$2),0))</f>
        <v>47150.113332081375</v>
      </c>
      <c r="V76" s="85">
        <f t="shared" si="9"/>
        <v>230</v>
      </c>
      <c r="W76" s="679">
        <f t="shared" si="10"/>
        <v>225</v>
      </c>
      <c r="X76" s="4"/>
    </row>
    <row r="77" spans="1:24" x14ac:dyDescent="0.25">
      <c r="A77" s="680" t="s">
        <v>425</v>
      </c>
      <c r="B77" s="681" t="s">
        <v>426</v>
      </c>
      <c r="C77" s="47" t="s">
        <v>427</v>
      </c>
      <c r="D77" s="118" t="s">
        <v>38</v>
      </c>
      <c r="E77" s="118" t="s">
        <v>19</v>
      </c>
      <c r="F77" s="118" t="s">
        <v>520</v>
      </c>
      <c r="G77" s="118">
        <v>3</v>
      </c>
      <c r="H77" s="118">
        <v>1</v>
      </c>
      <c r="I77" s="118">
        <v>4255</v>
      </c>
      <c r="J77" s="675">
        <v>3</v>
      </c>
      <c r="K77" s="118">
        <v>1185</v>
      </c>
      <c r="L77" s="118" t="s">
        <v>156</v>
      </c>
      <c r="M77" s="64">
        <v>224</v>
      </c>
      <c r="N77" s="676">
        <v>2.1465879999999999</v>
      </c>
      <c r="O77" s="675" t="s">
        <v>140</v>
      </c>
      <c r="P77" s="15">
        <v>1376</v>
      </c>
      <c r="Q77" s="46">
        <f t="shared" si="7"/>
        <v>54.173120000000004</v>
      </c>
      <c r="R77" s="46">
        <f t="shared" si="6"/>
        <v>7.3721986106762909</v>
      </c>
      <c r="S77" s="46">
        <f t="shared" si="8"/>
        <v>0.29117338169529888</v>
      </c>
      <c r="T77" s="677">
        <f t="shared" ref="T77:T140" si="12">(IF(O77="Stofire",(S77/(7*1)),0))+(IF(O77="Fire Control",(S77/(7*1)),0))+(IF(O77="Fire Tex",(S77/(7*1)),0))+(IF(O77="WB7",(S77/(7*1)),0))+(IF(O77="FX 2003",(S77/(7*1)),0))</f>
        <v>4.1596197385042701E-2</v>
      </c>
      <c r="U77" s="80">
        <f t="shared" si="11"/>
        <v>32029.071986482879</v>
      </c>
      <c r="V77" s="85">
        <f t="shared" si="9"/>
        <v>230</v>
      </c>
      <c r="W77" s="679">
        <f t="shared" si="10"/>
        <v>225</v>
      </c>
      <c r="X77" s="4"/>
    </row>
    <row r="78" spans="1:24" x14ac:dyDescent="0.25">
      <c r="A78" s="680" t="s">
        <v>429</v>
      </c>
      <c r="B78" s="681" t="s">
        <v>430</v>
      </c>
      <c r="C78" s="47" t="s">
        <v>431</v>
      </c>
      <c r="D78" s="118" t="s">
        <v>38</v>
      </c>
      <c r="E78" s="118" t="s">
        <v>19</v>
      </c>
      <c r="F78" s="118" t="s">
        <v>521</v>
      </c>
      <c r="G78" s="118">
        <v>1</v>
      </c>
      <c r="H78" s="118">
        <v>1</v>
      </c>
      <c r="I78" s="118">
        <v>89250</v>
      </c>
      <c r="J78" s="675">
        <v>3</v>
      </c>
      <c r="K78" s="118">
        <v>1190</v>
      </c>
      <c r="L78" s="118" t="s">
        <v>156</v>
      </c>
      <c r="M78" s="64">
        <v>224</v>
      </c>
      <c r="N78" s="676">
        <v>6.9177140000000001</v>
      </c>
      <c r="O78" s="675" t="s">
        <v>140</v>
      </c>
      <c r="P78" s="15">
        <v>1376</v>
      </c>
      <c r="Q78" s="46">
        <f t="shared" si="7"/>
        <v>54.173120000000004</v>
      </c>
      <c r="R78" s="46">
        <f t="shared" ref="R78:R141" si="13">IF(O78="","",((IF(O78="Stofire",((65*1.5/Q78)*0.75*5),0))+(IF(O78="Fire Control",((65*1.5/Q78)*0.75*4),0))+(IF(O78="Fire Tex",((71*1.5/Q78)*0.75*5),0))+(IF(O78="WB7",((67*1.5/Q78)*0.75*5),0))+(IF(O78="FX 2003",((71*1.5/Q78)*0.75*5),0))))</f>
        <v>7.3721986106762909</v>
      </c>
      <c r="S78" s="46">
        <f t="shared" si="8"/>
        <v>0.93835155091750866</v>
      </c>
      <c r="T78" s="677">
        <f t="shared" si="12"/>
        <v>0.13405022155964411</v>
      </c>
      <c r="U78" s="80">
        <f t="shared" si="11"/>
        <v>103218.67060092595</v>
      </c>
      <c r="V78" s="85">
        <f t="shared" si="9"/>
        <v>230</v>
      </c>
      <c r="W78" s="679">
        <f t="shared" si="10"/>
        <v>225</v>
      </c>
      <c r="X78" s="4"/>
    </row>
    <row r="79" spans="1:24" x14ac:dyDescent="0.25">
      <c r="A79" s="680" t="s">
        <v>429</v>
      </c>
      <c r="B79" s="681" t="s">
        <v>430</v>
      </c>
      <c r="C79" s="47" t="s">
        <v>433</v>
      </c>
      <c r="D79" s="118" t="s">
        <v>38</v>
      </c>
      <c r="E79" s="118" t="s">
        <v>19</v>
      </c>
      <c r="F79" s="118" t="s">
        <v>522</v>
      </c>
      <c r="G79" s="118">
        <v>1</v>
      </c>
      <c r="H79" s="118">
        <v>1</v>
      </c>
      <c r="I79" s="118">
        <v>13000</v>
      </c>
      <c r="J79" s="675">
        <v>3</v>
      </c>
      <c r="K79" s="118">
        <v>1181</v>
      </c>
      <c r="L79" s="118" t="s">
        <v>156</v>
      </c>
      <c r="M79" s="64">
        <v>210</v>
      </c>
      <c r="N79" s="676">
        <v>0.96599999999999997</v>
      </c>
      <c r="O79" s="675" t="s">
        <v>140</v>
      </c>
      <c r="P79" s="15">
        <v>1161</v>
      </c>
      <c r="Q79" s="46">
        <f t="shared" si="7"/>
        <v>45.708570000000002</v>
      </c>
      <c r="R79" s="46">
        <f t="shared" si="13"/>
        <v>8.7374205756163459</v>
      </c>
      <c r="S79" s="46">
        <f t="shared" si="8"/>
        <v>0.11055894490140844</v>
      </c>
      <c r="T79" s="677">
        <f t="shared" si="12"/>
        <v>1.5794134985915493E-2</v>
      </c>
      <c r="U79" s="80">
        <f t="shared" si="11"/>
        <v>12161.483939154929</v>
      </c>
      <c r="V79" s="85">
        <f t="shared" si="9"/>
        <v>210</v>
      </c>
      <c r="W79" s="679">
        <f t="shared" si="10"/>
        <v>210</v>
      </c>
      <c r="X79" s="4"/>
    </row>
    <row r="80" spans="1:24" x14ac:dyDescent="0.25">
      <c r="A80" s="680" t="s">
        <v>429</v>
      </c>
      <c r="B80" s="681" t="s">
        <v>430</v>
      </c>
      <c r="C80" s="47" t="s">
        <v>435</v>
      </c>
      <c r="D80" s="118" t="s">
        <v>38</v>
      </c>
      <c r="E80" s="118" t="s">
        <v>19</v>
      </c>
      <c r="F80" s="118" t="s">
        <v>522</v>
      </c>
      <c r="G80" s="118">
        <v>1</v>
      </c>
      <c r="H80" s="118">
        <v>1</v>
      </c>
      <c r="I80" s="118">
        <v>4250</v>
      </c>
      <c r="J80" s="675">
        <v>3</v>
      </c>
      <c r="K80" s="118">
        <v>1181</v>
      </c>
      <c r="L80" s="118" t="s">
        <v>156</v>
      </c>
      <c r="M80" s="64">
        <v>224</v>
      </c>
      <c r="N80" s="676">
        <v>8.0975000000000001</v>
      </c>
      <c r="O80" s="675" t="s">
        <v>140</v>
      </c>
      <c r="P80" s="15">
        <v>1376</v>
      </c>
      <c r="Q80" s="46">
        <f t="shared" si="7"/>
        <v>54.173120000000004</v>
      </c>
      <c r="R80" s="46">
        <f t="shared" si="13"/>
        <v>7.3721986106762909</v>
      </c>
      <c r="S80" s="46">
        <f t="shared" si="8"/>
        <v>1.0983833219405321</v>
      </c>
      <c r="T80" s="677">
        <f t="shared" si="12"/>
        <v>0.15691190313436174</v>
      </c>
      <c r="U80" s="80">
        <f t="shared" si="11"/>
        <v>120822.16541345853</v>
      </c>
      <c r="V80" s="85">
        <f t="shared" si="9"/>
        <v>230</v>
      </c>
      <c r="W80" s="679">
        <f t="shared" si="10"/>
        <v>225</v>
      </c>
      <c r="X80" s="4"/>
    </row>
    <row r="81" spans="1:24" x14ac:dyDescent="0.25">
      <c r="A81" s="680" t="s">
        <v>429</v>
      </c>
      <c r="B81" s="681" t="s">
        <v>430</v>
      </c>
      <c r="C81" s="47" t="s">
        <v>437</v>
      </c>
      <c r="D81" s="118" t="s">
        <v>38</v>
      </c>
      <c r="E81" s="118" t="s">
        <v>19</v>
      </c>
      <c r="F81" s="118" t="s">
        <v>522</v>
      </c>
      <c r="G81" s="118">
        <v>1</v>
      </c>
      <c r="H81" s="118">
        <v>1</v>
      </c>
      <c r="I81" s="118">
        <v>8500</v>
      </c>
      <c r="J81" s="675">
        <v>3</v>
      </c>
      <c r="K81" s="118">
        <v>1181</v>
      </c>
      <c r="L81" s="118" t="s">
        <v>156</v>
      </c>
      <c r="M81" s="64">
        <v>224</v>
      </c>
      <c r="N81" s="676">
        <v>15.2075</v>
      </c>
      <c r="O81" s="675" t="s">
        <v>140</v>
      </c>
      <c r="P81" s="15">
        <v>1376</v>
      </c>
      <c r="Q81" s="46">
        <f t="shared" si="7"/>
        <v>54.173120000000004</v>
      </c>
      <c r="R81" s="46">
        <f t="shared" si="13"/>
        <v>7.3721986106762909</v>
      </c>
      <c r="S81" s="46">
        <f t="shared" si="8"/>
        <v>2.0628174582785603</v>
      </c>
      <c r="T81" s="677">
        <f t="shared" si="12"/>
        <v>0.29468820832550863</v>
      </c>
      <c r="U81" s="80">
        <f t="shared" si="11"/>
        <v>226909.92041064164</v>
      </c>
      <c r="V81" s="85">
        <f t="shared" si="9"/>
        <v>230</v>
      </c>
      <c r="W81" s="679">
        <f t="shared" si="10"/>
        <v>225</v>
      </c>
      <c r="X81" s="4"/>
    </row>
    <row r="82" spans="1:24" x14ac:dyDescent="0.25">
      <c r="A82" s="680" t="s">
        <v>439</v>
      </c>
      <c r="B82" s="681" t="s">
        <v>430</v>
      </c>
      <c r="C82" s="47" t="s">
        <v>431</v>
      </c>
      <c r="D82" s="118" t="s">
        <v>38</v>
      </c>
      <c r="E82" s="118" t="s">
        <v>19</v>
      </c>
      <c r="F82" s="118" t="s">
        <v>521</v>
      </c>
      <c r="G82" s="118">
        <v>1</v>
      </c>
      <c r="H82" s="118">
        <v>1</v>
      </c>
      <c r="I82" s="118">
        <v>103000</v>
      </c>
      <c r="J82" s="675">
        <v>3</v>
      </c>
      <c r="K82" s="118">
        <v>1190</v>
      </c>
      <c r="L82" s="118" t="s">
        <v>156</v>
      </c>
      <c r="M82" s="64">
        <v>224</v>
      </c>
      <c r="N82" s="676">
        <v>1.1850000000000001</v>
      </c>
      <c r="O82" s="675" t="s">
        <v>140</v>
      </c>
      <c r="P82" s="15">
        <v>1376</v>
      </c>
      <c r="Q82" s="46">
        <f t="shared" si="7"/>
        <v>54.173120000000004</v>
      </c>
      <c r="R82" s="46">
        <f t="shared" si="13"/>
        <v>7.3721986106762909</v>
      </c>
      <c r="S82" s="46">
        <f t="shared" si="8"/>
        <v>0.16073902272300469</v>
      </c>
      <c r="T82" s="677">
        <f t="shared" si="12"/>
        <v>2.2962717531857812E-2</v>
      </c>
      <c r="U82" s="80">
        <f t="shared" si="11"/>
        <v>17681.292499530515</v>
      </c>
      <c r="V82" s="85">
        <f t="shared" si="9"/>
        <v>230</v>
      </c>
      <c r="W82" s="679">
        <f t="shared" si="10"/>
        <v>225</v>
      </c>
      <c r="X82" s="4"/>
    </row>
    <row r="83" spans="1:24" x14ac:dyDescent="0.25">
      <c r="A83" s="680" t="s">
        <v>439</v>
      </c>
      <c r="B83" s="681" t="s">
        <v>430</v>
      </c>
      <c r="C83" s="47" t="s">
        <v>435</v>
      </c>
      <c r="D83" s="118" t="s">
        <v>38</v>
      </c>
      <c r="E83" s="118" t="s">
        <v>19</v>
      </c>
      <c r="F83" s="118" t="s">
        <v>522</v>
      </c>
      <c r="G83" s="118">
        <v>1</v>
      </c>
      <c r="H83" s="118">
        <v>1</v>
      </c>
      <c r="I83" s="118">
        <v>12750</v>
      </c>
      <c r="J83" s="675">
        <v>3</v>
      </c>
      <c r="K83" s="118">
        <v>1181</v>
      </c>
      <c r="L83" s="118" t="s">
        <v>156</v>
      </c>
      <c r="M83" s="64">
        <v>224</v>
      </c>
      <c r="N83" s="676">
        <v>2.37</v>
      </c>
      <c r="O83" s="675" t="s">
        <v>140</v>
      </c>
      <c r="P83" s="15">
        <v>1376</v>
      </c>
      <c r="Q83" s="46">
        <f t="shared" si="7"/>
        <v>54.173120000000004</v>
      </c>
      <c r="R83" s="46">
        <f t="shared" si="13"/>
        <v>7.3721986106762909</v>
      </c>
      <c r="S83" s="46">
        <f t="shared" si="8"/>
        <v>0.32147804544600939</v>
      </c>
      <c r="T83" s="677">
        <f t="shared" si="12"/>
        <v>4.5925435063715624E-2</v>
      </c>
      <c r="U83" s="80">
        <f t="shared" si="11"/>
        <v>35362.58499906103</v>
      </c>
      <c r="V83" s="85">
        <f t="shared" si="9"/>
        <v>230</v>
      </c>
      <c r="W83" s="679">
        <f t="shared" si="10"/>
        <v>225</v>
      </c>
      <c r="X83" s="4"/>
    </row>
    <row r="84" spans="1:24" x14ac:dyDescent="0.25">
      <c r="A84" s="680" t="s">
        <v>442</v>
      </c>
      <c r="B84" s="681" t="s">
        <v>443</v>
      </c>
      <c r="C84" s="47" t="s">
        <v>444</v>
      </c>
      <c r="D84" s="118" t="s">
        <v>38</v>
      </c>
      <c r="E84" s="118" t="s">
        <v>19</v>
      </c>
      <c r="F84" s="118" t="s">
        <v>523</v>
      </c>
      <c r="G84" s="118">
        <v>1</v>
      </c>
      <c r="H84" s="118">
        <v>1</v>
      </c>
      <c r="I84" s="118">
        <v>17500</v>
      </c>
      <c r="J84" s="675">
        <v>3</v>
      </c>
      <c r="K84" s="118">
        <v>1692</v>
      </c>
      <c r="L84" s="118" t="s">
        <v>156</v>
      </c>
      <c r="M84" s="64">
        <v>224</v>
      </c>
      <c r="N84" s="676">
        <v>9.48</v>
      </c>
      <c r="O84" s="675" t="s">
        <v>140</v>
      </c>
      <c r="P84" s="15">
        <v>1376</v>
      </c>
      <c r="Q84" s="46">
        <f t="shared" si="7"/>
        <v>54.173120000000004</v>
      </c>
      <c r="R84" s="46">
        <f t="shared" si="13"/>
        <v>7.3721986106762909</v>
      </c>
      <c r="S84" s="46">
        <f t="shared" si="8"/>
        <v>1.2859121817840375</v>
      </c>
      <c r="T84" s="677">
        <f t="shared" si="12"/>
        <v>0.18370174025486249</v>
      </c>
      <c r="U84" s="80">
        <f t="shared" si="11"/>
        <v>141450.33999624412</v>
      </c>
      <c r="V84" s="85">
        <f t="shared" si="9"/>
        <v>230</v>
      </c>
      <c r="W84" s="679">
        <f t="shared" si="10"/>
        <v>225</v>
      </c>
      <c r="X84" s="4"/>
    </row>
    <row r="85" spans="1:24" x14ac:dyDescent="0.25">
      <c r="A85" s="680" t="s">
        <v>442</v>
      </c>
      <c r="B85" s="681" t="s">
        <v>443</v>
      </c>
      <c r="C85" s="47" t="s">
        <v>446</v>
      </c>
      <c r="D85" s="118" t="s">
        <v>38</v>
      </c>
      <c r="E85" s="118" t="s">
        <v>19</v>
      </c>
      <c r="F85" s="118" t="s">
        <v>523</v>
      </c>
      <c r="G85" s="118">
        <v>1</v>
      </c>
      <c r="H85" s="118">
        <v>1</v>
      </c>
      <c r="I85" s="118">
        <v>8500</v>
      </c>
      <c r="J85" s="675">
        <v>3</v>
      </c>
      <c r="K85" s="118">
        <v>1502</v>
      </c>
      <c r="L85" s="118" t="s">
        <v>156</v>
      </c>
      <c r="M85" s="64">
        <v>224</v>
      </c>
      <c r="N85" s="676">
        <v>2.1235200000000001</v>
      </c>
      <c r="O85" s="675" t="s">
        <v>140</v>
      </c>
      <c r="P85" s="15">
        <v>1376</v>
      </c>
      <c r="Q85" s="46">
        <f t="shared" si="7"/>
        <v>54.173120000000004</v>
      </c>
      <c r="R85" s="46">
        <f t="shared" si="13"/>
        <v>7.3721986106762909</v>
      </c>
      <c r="S85" s="46">
        <f t="shared" si="8"/>
        <v>0.28804432871962443</v>
      </c>
      <c r="T85" s="677">
        <f t="shared" si="12"/>
        <v>4.1149189817089205E-2</v>
      </c>
      <c r="U85" s="80">
        <f t="shared" si="11"/>
        <v>31684.876159158688</v>
      </c>
      <c r="V85" s="85">
        <f t="shared" si="9"/>
        <v>230</v>
      </c>
      <c r="W85" s="679">
        <f t="shared" si="10"/>
        <v>225</v>
      </c>
      <c r="X85" s="4"/>
    </row>
    <row r="86" spans="1:24" x14ac:dyDescent="0.25">
      <c r="A86" s="680" t="s">
        <v>448</v>
      </c>
      <c r="B86" s="681" t="s">
        <v>443</v>
      </c>
      <c r="C86" s="47" t="s">
        <v>444</v>
      </c>
      <c r="D86" s="118" t="s">
        <v>38</v>
      </c>
      <c r="E86" s="118" t="s">
        <v>19</v>
      </c>
      <c r="F86" s="118" t="s">
        <v>523</v>
      </c>
      <c r="G86" s="118">
        <v>1</v>
      </c>
      <c r="H86" s="118">
        <v>1</v>
      </c>
      <c r="I86" s="118">
        <v>17500</v>
      </c>
      <c r="J86" s="675">
        <v>3</v>
      </c>
      <c r="K86" s="118">
        <v>1692</v>
      </c>
      <c r="L86" s="118" t="s">
        <v>156</v>
      </c>
      <c r="M86" s="64">
        <v>224</v>
      </c>
      <c r="N86" s="676">
        <v>11.138999999999999</v>
      </c>
      <c r="O86" s="675" t="s">
        <v>140</v>
      </c>
      <c r="P86" s="15">
        <v>1376</v>
      </c>
      <c r="Q86" s="46">
        <f t="shared" si="7"/>
        <v>54.173120000000004</v>
      </c>
      <c r="R86" s="46">
        <f t="shared" si="13"/>
        <v>7.3721986106762909</v>
      </c>
      <c r="S86" s="46">
        <f t="shared" si="8"/>
        <v>1.5109468135962441</v>
      </c>
      <c r="T86" s="677">
        <f t="shared" si="12"/>
        <v>0.21584954479946344</v>
      </c>
      <c r="U86" s="80">
        <f t="shared" si="11"/>
        <v>166204.14949558684</v>
      </c>
      <c r="V86" s="85">
        <f t="shared" si="9"/>
        <v>230</v>
      </c>
      <c r="W86" s="679">
        <f t="shared" si="10"/>
        <v>225</v>
      </c>
      <c r="X86" s="4"/>
    </row>
    <row r="87" spans="1:24" x14ac:dyDescent="0.25">
      <c r="A87" s="680" t="s">
        <v>448</v>
      </c>
      <c r="B87" s="681" t="s">
        <v>443</v>
      </c>
      <c r="C87" s="47" t="s">
        <v>446</v>
      </c>
      <c r="D87" s="118" t="s">
        <v>38</v>
      </c>
      <c r="E87" s="118" t="s">
        <v>19</v>
      </c>
      <c r="F87" s="118" t="s">
        <v>523</v>
      </c>
      <c r="G87" s="118">
        <v>1</v>
      </c>
      <c r="H87" s="118">
        <v>1</v>
      </c>
      <c r="I87" s="118">
        <v>8500</v>
      </c>
      <c r="J87" s="675">
        <v>3</v>
      </c>
      <c r="K87" s="118">
        <v>1692</v>
      </c>
      <c r="L87" s="118" t="s">
        <v>156</v>
      </c>
      <c r="M87" s="64">
        <v>210</v>
      </c>
      <c r="N87" s="676">
        <v>6.4859999999999998</v>
      </c>
      <c r="O87" s="675" t="s">
        <v>140</v>
      </c>
      <c r="P87" s="15">
        <v>1161</v>
      </c>
      <c r="Q87" s="46">
        <f t="shared" si="7"/>
        <v>45.708570000000002</v>
      </c>
      <c r="R87" s="46">
        <f t="shared" si="13"/>
        <v>8.7374205756163459</v>
      </c>
      <c r="S87" s="46">
        <f t="shared" si="8"/>
        <v>0.74232434433802807</v>
      </c>
      <c r="T87" s="677">
        <f t="shared" si="12"/>
        <v>0.10604633490543258</v>
      </c>
      <c r="U87" s="80">
        <f t="shared" si="11"/>
        <v>81655.677877183087</v>
      </c>
      <c r="V87" s="85">
        <f t="shared" si="9"/>
        <v>210</v>
      </c>
      <c r="W87" s="679">
        <f t="shared" si="10"/>
        <v>210</v>
      </c>
      <c r="X87" s="4"/>
    </row>
    <row r="88" spans="1:24" x14ac:dyDescent="0.25">
      <c r="A88" s="680" t="s">
        <v>448</v>
      </c>
      <c r="B88" s="681" t="s">
        <v>451</v>
      </c>
      <c r="C88" s="47" t="s">
        <v>446</v>
      </c>
      <c r="D88" s="118" t="s">
        <v>38</v>
      </c>
      <c r="E88" s="118" t="s">
        <v>19</v>
      </c>
      <c r="F88" s="118" t="s">
        <v>523</v>
      </c>
      <c r="G88" s="118">
        <v>2</v>
      </c>
      <c r="H88" s="118">
        <v>1</v>
      </c>
      <c r="I88" s="118">
        <v>8500</v>
      </c>
      <c r="J88" s="675">
        <v>3</v>
      </c>
      <c r="K88" s="118">
        <v>1502</v>
      </c>
      <c r="L88" s="118" t="s">
        <v>156</v>
      </c>
      <c r="M88" s="64">
        <v>210</v>
      </c>
      <c r="N88" s="676">
        <v>50.37</v>
      </c>
      <c r="O88" s="675" t="s">
        <v>140</v>
      </c>
      <c r="P88" s="15">
        <v>1161</v>
      </c>
      <c r="Q88" s="46">
        <f t="shared" si="7"/>
        <v>45.708570000000002</v>
      </c>
      <c r="R88" s="46">
        <f t="shared" si="13"/>
        <v>8.7374205756163459</v>
      </c>
      <c r="S88" s="46">
        <f t="shared" si="8"/>
        <v>5.7648592698591541</v>
      </c>
      <c r="T88" s="677">
        <f t="shared" si="12"/>
        <v>0.82355132426559341</v>
      </c>
      <c r="U88" s="80">
        <f t="shared" si="11"/>
        <v>634134.51968450693</v>
      </c>
      <c r="V88" s="85">
        <f t="shared" si="9"/>
        <v>210</v>
      </c>
      <c r="W88" s="679">
        <f t="shared" si="10"/>
        <v>210</v>
      </c>
      <c r="X88" s="4"/>
    </row>
    <row r="89" spans="1:24" x14ac:dyDescent="0.25">
      <c r="A89" s="680" t="s">
        <v>452</v>
      </c>
      <c r="B89" s="681" t="s">
        <v>453</v>
      </c>
      <c r="C89" s="47" t="s">
        <v>454</v>
      </c>
      <c r="D89" s="118" t="s">
        <v>38</v>
      </c>
      <c r="E89" s="118" t="s">
        <v>19</v>
      </c>
      <c r="F89" s="118" t="s">
        <v>513</v>
      </c>
      <c r="G89" s="118">
        <v>2</v>
      </c>
      <c r="H89" s="118">
        <v>1</v>
      </c>
      <c r="I89" s="118">
        <v>11097</v>
      </c>
      <c r="J89" s="675">
        <v>3</v>
      </c>
      <c r="K89" s="118">
        <v>585</v>
      </c>
      <c r="L89" s="118" t="s">
        <v>156</v>
      </c>
      <c r="M89" s="64">
        <v>224</v>
      </c>
      <c r="N89" s="676">
        <v>6.9124999999999996</v>
      </c>
      <c r="O89" s="675" t="s">
        <v>140</v>
      </c>
      <c r="P89" s="15">
        <v>1376</v>
      </c>
      <c r="Q89" s="46">
        <f t="shared" si="7"/>
        <v>54.173120000000004</v>
      </c>
      <c r="R89" s="46">
        <f t="shared" si="13"/>
        <v>7.3721986106762909</v>
      </c>
      <c r="S89" s="46">
        <f t="shared" si="8"/>
        <v>0.93764429921752734</v>
      </c>
      <c r="T89" s="677">
        <f t="shared" si="12"/>
        <v>0.13394918560250391</v>
      </c>
      <c r="U89" s="80">
        <f t="shared" si="11"/>
        <v>103140.872913928</v>
      </c>
      <c r="V89" s="85">
        <f t="shared" si="9"/>
        <v>230</v>
      </c>
      <c r="W89" s="679">
        <f t="shared" si="10"/>
        <v>225</v>
      </c>
      <c r="X89" s="4"/>
    </row>
    <row r="90" spans="1:24" x14ac:dyDescent="0.25">
      <c r="A90" s="680" t="s">
        <v>452</v>
      </c>
      <c r="B90" s="681" t="s">
        <v>453</v>
      </c>
      <c r="C90" s="47" t="s">
        <v>408</v>
      </c>
      <c r="D90" s="118" t="s">
        <v>38</v>
      </c>
      <c r="E90" s="118" t="s">
        <v>19</v>
      </c>
      <c r="F90" s="118" t="s">
        <v>514</v>
      </c>
      <c r="G90" s="118">
        <v>29</v>
      </c>
      <c r="H90" s="118">
        <v>1</v>
      </c>
      <c r="I90" s="118">
        <v>1500</v>
      </c>
      <c r="J90" s="675">
        <v>3</v>
      </c>
      <c r="K90" s="118">
        <v>776</v>
      </c>
      <c r="L90" s="118" t="s">
        <v>156</v>
      </c>
      <c r="M90" s="64">
        <v>224</v>
      </c>
      <c r="N90" s="676">
        <v>45.03</v>
      </c>
      <c r="O90" s="675" t="s">
        <v>140</v>
      </c>
      <c r="P90" s="15">
        <v>1376</v>
      </c>
      <c r="Q90" s="46">
        <f t="shared" si="7"/>
        <v>54.173120000000004</v>
      </c>
      <c r="R90" s="46">
        <f t="shared" si="13"/>
        <v>7.3721986106762909</v>
      </c>
      <c r="S90" s="46">
        <f t="shared" si="8"/>
        <v>6.1080828634741788</v>
      </c>
      <c r="T90" s="677">
        <f t="shared" si="12"/>
        <v>0.87258326621059701</v>
      </c>
      <c r="U90" s="80">
        <f t="shared" si="11"/>
        <v>671889.11498215969</v>
      </c>
      <c r="V90" s="85">
        <f t="shared" si="9"/>
        <v>230</v>
      </c>
      <c r="W90" s="679">
        <f t="shared" si="10"/>
        <v>225</v>
      </c>
      <c r="X90" s="4"/>
    </row>
    <row r="91" spans="1:24" x14ac:dyDescent="0.25">
      <c r="A91" s="680" t="s">
        <v>452</v>
      </c>
      <c r="B91" s="681" t="s">
        <v>453</v>
      </c>
      <c r="C91" s="47" t="s">
        <v>408</v>
      </c>
      <c r="D91" s="118" t="s">
        <v>38</v>
      </c>
      <c r="E91" s="118" t="s">
        <v>19</v>
      </c>
      <c r="F91" s="118" t="s">
        <v>512</v>
      </c>
      <c r="G91" s="118">
        <v>1</v>
      </c>
      <c r="H91" s="118">
        <v>1</v>
      </c>
      <c r="I91" s="118">
        <v>1500</v>
      </c>
      <c r="J91" s="675">
        <v>3</v>
      </c>
      <c r="K91" s="118">
        <v>3879</v>
      </c>
      <c r="L91" s="118" t="s">
        <v>156</v>
      </c>
      <c r="M91" s="64">
        <v>224</v>
      </c>
      <c r="N91" s="676">
        <v>2.9624999999999999</v>
      </c>
      <c r="O91" s="675" t="s">
        <v>140</v>
      </c>
      <c r="P91" s="15">
        <v>1376</v>
      </c>
      <c r="Q91" s="46">
        <f t="shared" si="7"/>
        <v>54.173120000000004</v>
      </c>
      <c r="R91" s="46">
        <f t="shared" si="13"/>
        <v>7.3721986106762909</v>
      </c>
      <c r="S91" s="46">
        <f t="shared" si="8"/>
        <v>0.40184755680751172</v>
      </c>
      <c r="T91" s="677">
        <f t="shared" si="12"/>
        <v>5.7406793829644531E-2</v>
      </c>
      <c r="U91" s="80">
        <f t="shared" si="11"/>
        <v>44203.231248826291</v>
      </c>
      <c r="V91" s="85">
        <f t="shared" si="9"/>
        <v>230</v>
      </c>
      <c r="W91" s="679">
        <f t="shared" si="10"/>
        <v>225</v>
      </c>
      <c r="X91" s="4"/>
    </row>
    <row r="92" spans="1:24" x14ac:dyDescent="0.25">
      <c r="A92" s="680" t="s">
        <v>456</v>
      </c>
      <c r="B92" s="681" t="s">
        <v>453</v>
      </c>
      <c r="C92" s="47" t="s">
        <v>457</v>
      </c>
      <c r="D92" s="118" t="s">
        <v>38</v>
      </c>
      <c r="E92" s="118" t="s">
        <v>19</v>
      </c>
      <c r="F92" s="118" t="s">
        <v>513</v>
      </c>
      <c r="G92" s="118">
        <v>2</v>
      </c>
      <c r="H92" s="118">
        <v>1</v>
      </c>
      <c r="I92" s="118">
        <v>11081</v>
      </c>
      <c r="J92" s="675">
        <v>3</v>
      </c>
      <c r="K92" s="118">
        <v>585</v>
      </c>
      <c r="L92" s="118" t="s">
        <v>156</v>
      </c>
      <c r="M92" s="64">
        <v>224</v>
      </c>
      <c r="N92" s="676">
        <v>4.5425000000000004</v>
      </c>
      <c r="O92" s="675" t="s">
        <v>140</v>
      </c>
      <c r="P92" s="15">
        <v>1376</v>
      </c>
      <c r="Q92" s="46">
        <f t="shared" si="7"/>
        <v>54.173120000000004</v>
      </c>
      <c r="R92" s="46">
        <f t="shared" si="13"/>
        <v>7.3721986106762909</v>
      </c>
      <c r="S92" s="46">
        <f t="shared" si="8"/>
        <v>0.61616625377151812</v>
      </c>
      <c r="T92" s="677">
        <f t="shared" si="12"/>
        <v>8.8023750538788303E-2</v>
      </c>
      <c r="U92" s="80">
        <f t="shared" si="11"/>
        <v>67778.287914866989</v>
      </c>
      <c r="V92" s="85">
        <f t="shared" si="9"/>
        <v>230</v>
      </c>
      <c r="W92" s="679">
        <f t="shared" si="10"/>
        <v>225</v>
      </c>
      <c r="X92" s="4"/>
    </row>
    <row r="93" spans="1:24" x14ac:dyDescent="0.25">
      <c r="A93" s="680" t="s">
        <v>456</v>
      </c>
      <c r="B93" s="681" t="s">
        <v>453</v>
      </c>
      <c r="C93" s="47" t="s">
        <v>408</v>
      </c>
      <c r="D93" s="118" t="s">
        <v>38</v>
      </c>
      <c r="E93" s="118" t="s">
        <v>19</v>
      </c>
      <c r="F93" s="118" t="s">
        <v>514</v>
      </c>
      <c r="G93" s="118">
        <v>29</v>
      </c>
      <c r="H93" s="118">
        <v>1</v>
      </c>
      <c r="I93" s="118">
        <v>1500</v>
      </c>
      <c r="J93" s="675">
        <v>3</v>
      </c>
      <c r="K93" s="118">
        <v>776</v>
      </c>
      <c r="L93" s="118" t="s">
        <v>156</v>
      </c>
      <c r="M93" s="64">
        <v>224</v>
      </c>
      <c r="N93" s="676">
        <v>5.7117000000000004</v>
      </c>
      <c r="O93" s="675" t="s">
        <v>140</v>
      </c>
      <c r="P93" s="15">
        <v>1376</v>
      </c>
      <c r="Q93" s="46">
        <f t="shared" si="7"/>
        <v>54.173120000000004</v>
      </c>
      <c r="R93" s="46">
        <f t="shared" si="13"/>
        <v>7.3721986106762909</v>
      </c>
      <c r="S93" s="46">
        <f t="shared" si="8"/>
        <v>0.77476208952488268</v>
      </c>
      <c r="T93" s="677">
        <f t="shared" si="12"/>
        <v>0.11068029850355467</v>
      </c>
      <c r="U93" s="80">
        <f t="shared" si="11"/>
        <v>85223.829847737099</v>
      </c>
      <c r="V93" s="85">
        <f t="shared" si="9"/>
        <v>230</v>
      </c>
      <c r="W93" s="679">
        <f t="shared" si="10"/>
        <v>225</v>
      </c>
      <c r="X93" s="4"/>
    </row>
    <row r="94" spans="1:24" x14ac:dyDescent="0.25">
      <c r="A94" s="680" t="s">
        <v>456</v>
      </c>
      <c r="B94" s="681" t="s">
        <v>453</v>
      </c>
      <c r="C94" s="47" t="s">
        <v>408</v>
      </c>
      <c r="D94" s="118" t="s">
        <v>38</v>
      </c>
      <c r="E94" s="118" t="s">
        <v>19</v>
      </c>
      <c r="F94" s="118" t="s">
        <v>514</v>
      </c>
      <c r="G94" s="118">
        <v>1</v>
      </c>
      <c r="H94" s="118">
        <v>1</v>
      </c>
      <c r="I94" s="118">
        <v>1500</v>
      </c>
      <c r="J94" s="675">
        <v>3</v>
      </c>
      <c r="K94" s="118">
        <v>3879</v>
      </c>
      <c r="L94" s="118" t="s">
        <v>156</v>
      </c>
      <c r="M94" s="64">
        <v>224</v>
      </c>
      <c r="N94" s="676">
        <v>2.9624999999999999</v>
      </c>
      <c r="O94" s="675" t="s">
        <v>140</v>
      </c>
      <c r="P94" s="15">
        <v>1376</v>
      </c>
      <c r="Q94" s="46">
        <f t="shared" si="7"/>
        <v>54.173120000000004</v>
      </c>
      <c r="R94" s="46">
        <f t="shared" si="13"/>
        <v>7.3721986106762909</v>
      </c>
      <c r="S94" s="46">
        <f t="shared" si="8"/>
        <v>0.40184755680751172</v>
      </c>
      <c r="T94" s="677">
        <f t="shared" si="12"/>
        <v>5.7406793829644531E-2</v>
      </c>
      <c r="U94" s="80">
        <f t="shared" si="11"/>
        <v>44203.231248826291</v>
      </c>
      <c r="V94" s="85">
        <f t="shared" si="9"/>
        <v>230</v>
      </c>
      <c r="W94" s="679">
        <f t="shared" si="10"/>
        <v>225</v>
      </c>
      <c r="X94" s="4"/>
    </row>
    <row r="95" spans="1:24" x14ac:dyDescent="0.25">
      <c r="A95" s="680" t="s">
        <v>458</v>
      </c>
      <c r="B95" s="681" t="s">
        <v>459</v>
      </c>
      <c r="C95" s="47" t="s">
        <v>460</v>
      </c>
      <c r="D95" s="118" t="s">
        <v>38</v>
      </c>
      <c r="E95" s="118" t="s">
        <v>19</v>
      </c>
      <c r="F95" s="118" t="s">
        <v>513</v>
      </c>
      <c r="G95" s="118">
        <v>2</v>
      </c>
      <c r="H95" s="118">
        <v>1</v>
      </c>
      <c r="I95" s="118">
        <v>12634</v>
      </c>
      <c r="J95" s="675">
        <v>3</v>
      </c>
      <c r="K95" s="118">
        <v>585</v>
      </c>
      <c r="L95" s="118" t="s">
        <v>156</v>
      </c>
      <c r="M95" s="64">
        <v>224</v>
      </c>
      <c r="N95" s="676">
        <v>3.3574999999999999</v>
      </c>
      <c r="O95" s="675" t="s">
        <v>140</v>
      </c>
      <c r="P95" s="15">
        <v>1376</v>
      </c>
      <c r="Q95" s="46">
        <f t="shared" si="7"/>
        <v>54.173120000000004</v>
      </c>
      <c r="R95" s="46">
        <f t="shared" si="13"/>
        <v>7.3721986106762909</v>
      </c>
      <c r="S95" s="46">
        <f t="shared" si="8"/>
        <v>0.45542723104851329</v>
      </c>
      <c r="T95" s="677">
        <f t="shared" si="12"/>
        <v>6.5061033006930474E-2</v>
      </c>
      <c r="U95" s="80">
        <f t="shared" si="11"/>
        <v>50096.99541533646</v>
      </c>
      <c r="V95" s="85">
        <f t="shared" si="9"/>
        <v>230</v>
      </c>
      <c r="W95" s="679">
        <f t="shared" si="10"/>
        <v>225</v>
      </c>
      <c r="X95" s="4"/>
    </row>
    <row r="96" spans="1:24" x14ac:dyDescent="0.25">
      <c r="A96" s="680" t="s">
        <v>458</v>
      </c>
      <c r="B96" s="681" t="s">
        <v>459</v>
      </c>
      <c r="C96" s="47" t="s">
        <v>408</v>
      </c>
      <c r="D96" s="118" t="s">
        <v>38</v>
      </c>
      <c r="E96" s="118" t="s">
        <v>19</v>
      </c>
      <c r="F96" s="118" t="s">
        <v>514</v>
      </c>
      <c r="G96" s="118">
        <v>28</v>
      </c>
      <c r="H96" s="118">
        <v>1</v>
      </c>
      <c r="I96" s="118">
        <v>1500</v>
      </c>
      <c r="J96" s="675">
        <v>3</v>
      </c>
      <c r="K96" s="118">
        <v>776</v>
      </c>
      <c r="L96" s="118" t="s">
        <v>156</v>
      </c>
      <c r="M96" s="64">
        <v>210</v>
      </c>
      <c r="N96" s="676">
        <v>29.497499999999999</v>
      </c>
      <c r="O96" s="675" t="s">
        <v>140</v>
      </c>
      <c r="P96" s="15">
        <v>1161</v>
      </c>
      <c r="Q96" s="46">
        <f t="shared" si="7"/>
        <v>45.708570000000002</v>
      </c>
      <c r="R96" s="46">
        <f t="shared" si="13"/>
        <v>8.7374205756163459</v>
      </c>
      <c r="S96" s="46">
        <f t="shared" si="8"/>
        <v>3.3759963532394361</v>
      </c>
      <c r="T96" s="677">
        <f t="shared" si="12"/>
        <v>0.48228519331991943</v>
      </c>
      <c r="U96" s="80">
        <f t="shared" si="11"/>
        <v>371359.59885633795</v>
      </c>
      <c r="V96" s="85">
        <f t="shared" si="9"/>
        <v>210</v>
      </c>
      <c r="W96" s="679">
        <f t="shared" si="10"/>
        <v>210</v>
      </c>
      <c r="X96" s="4"/>
    </row>
    <row r="97" spans="1:24" x14ac:dyDescent="0.25">
      <c r="A97" s="680" t="s">
        <v>461</v>
      </c>
      <c r="B97" s="681" t="s">
        <v>459</v>
      </c>
      <c r="C97" s="47" t="s">
        <v>462</v>
      </c>
      <c r="D97" s="118" t="s">
        <v>38</v>
      </c>
      <c r="E97" s="118" t="s">
        <v>19</v>
      </c>
      <c r="F97" s="118" t="s">
        <v>513</v>
      </c>
      <c r="G97" s="118">
        <v>2</v>
      </c>
      <c r="H97" s="118">
        <v>1</v>
      </c>
      <c r="I97" s="118">
        <v>11097</v>
      </c>
      <c r="J97" s="675">
        <v>3</v>
      </c>
      <c r="K97" s="118">
        <v>585</v>
      </c>
      <c r="L97" s="118" t="s">
        <v>156</v>
      </c>
      <c r="M97" s="64">
        <v>210</v>
      </c>
      <c r="N97" s="676">
        <v>6.3825000000000003</v>
      </c>
      <c r="O97" s="675" t="s">
        <v>140</v>
      </c>
      <c r="P97" s="15">
        <v>1161</v>
      </c>
      <c r="Q97" s="46">
        <f t="shared" si="7"/>
        <v>45.708570000000002</v>
      </c>
      <c r="R97" s="46">
        <f t="shared" si="13"/>
        <v>8.7374205756163459</v>
      </c>
      <c r="S97" s="46">
        <f t="shared" si="8"/>
        <v>0.73047874309859151</v>
      </c>
      <c r="T97" s="677">
        <f t="shared" si="12"/>
        <v>0.10435410615694164</v>
      </c>
      <c r="U97" s="80">
        <f t="shared" si="11"/>
        <v>80352.661740845069</v>
      </c>
      <c r="V97" s="85">
        <f t="shared" si="9"/>
        <v>210</v>
      </c>
      <c r="W97" s="679">
        <f t="shared" si="10"/>
        <v>210</v>
      </c>
      <c r="X97" s="4"/>
    </row>
    <row r="98" spans="1:24" x14ac:dyDescent="0.25">
      <c r="A98" s="680" t="s">
        <v>461</v>
      </c>
      <c r="B98" s="681" t="s">
        <v>459</v>
      </c>
      <c r="C98" s="47" t="s">
        <v>408</v>
      </c>
      <c r="D98" s="118" t="s">
        <v>33</v>
      </c>
      <c r="E98" s="118" t="s">
        <v>17</v>
      </c>
      <c r="F98" s="118" t="s">
        <v>514</v>
      </c>
      <c r="G98" s="118">
        <v>29</v>
      </c>
      <c r="H98" s="118">
        <v>1</v>
      </c>
      <c r="I98" s="118">
        <v>1500</v>
      </c>
      <c r="J98" s="675">
        <v>4</v>
      </c>
      <c r="K98" s="118">
        <v>776</v>
      </c>
      <c r="L98" s="118" t="s">
        <v>156</v>
      </c>
      <c r="M98" s="64">
        <v>342</v>
      </c>
      <c r="N98" s="676">
        <v>19.819800000000001</v>
      </c>
      <c r="O98" s="675" t="s">
        <v>140</v>
      </c>
      <c r="P98" s="15">
        <v>0</v>
      </c>
      <c r="Q98" s="46">
        <f t="shared" si="7"/>
        <v>0</v>
      </c>
      <c r="R98" s="46" t="e">
        <f t="shared" si="13"/>
        <v>#DIV/0!</v>
      </c>
      <c r="S98" s="46" t="e">
        <f t="shared" si="8"/>
        <v>#DIV/0!</v>
      </c>
      <c r="T98" s="677" t="e">
        <f t="shared" si="12"/>
        <v>#DIV/0!</v>
      </c>
      <c r="U98" s="80" t="e">
        <f t="shared" si="11"/>
        <v>#DIV/0!</v>
      </c>
      <c r="V98" s="85">
        <f t="shared" si="9"/>
        <v>350</v>
      </c>
      <c r="W98" s="679">
        <f t="shared" si="10"/>
        <v>345</v>
      </c>
      <c r="X98" s="4"/>
    </row>
    <row r="99" spans="1:24" x14ac:dyDescent="0.25">
      <c r="A99" s="680" t="s">
        <v>461</v>
      </c>
      <c r="B99" s="681" t="s">
        <v>459</v>
      </c>
      <c r="C99" s="47" t="s">
        <v>408</v>
      </c>
      <c r="D99" s="118" t="s">
        <v>33</v>
      </c>
      <c r="E99" s="118" t="s">
        <v>17</v>
      </c>
      <c r="F99" s="118" t="s">
        <v>514</v>
      </c>
      <c r="G99" s="118">
        <v>1</v>
      </c>
      <c r="H99" s="118">
        <v>1</v>
      </c>
      <c r="I99" s="118">
        <v>1500</v>
      </c>
      <c r="J99" s="675">
        <v>4</v>
      </c>
      <c r="K99" s="118">
        <v>3879</v>
      </c>
      <c r="L99" s="118" t="s">
        <v>156</v>
      </c>
      <c r="M99" s="64">
        <v>342</v>
      </c>
      <c r="N99" s="676">
        <v>5.6627999999999998</v>
      </c>
      <c r="O99" s="675" t="s">
        <v>140</v>
      </c>
      <c r="P99" s="15">
        <v>0</v>
      </c>
      <c r="Q99" s="46">
        <f t="shared" si="7"/>
        <v>0</v>
      </c>
      <c r="R99" s="46" t="e">
        <f t="shared" si="13"/>
        <v>#DIV/0!</v>
      </c>
      <c r="S99" s="46" t="e">
        <f t="shared" si="8"/>
        <v>#DIV/0!</v>
      </c>
      <c r="T99" s="677" t="e">
        <f t="shared" si="12"/>
        <v>#DIV/0!</v>
      </c>
      <c r="U99" s="80" t="e">
        <f t="shared" si="11"/>
        <v>#DIV/0!</v>
      </c>
      <c r="V99" s="85">
        <f t="shared" si="9"/>
        <v>350</v>
      </c>
      <c r="W99" s="679">
        <f t="shared" si="10"/>
        <v>345</v>
      </c>
      <c r="X99" s="4"/>
    </row>
    <row r="100" spans="1:24" x14ac:dyDescent="0.25">
      <c r="A100" s="680" t="s">
        <v>406</v>
      </c>
      <c r="B100" s="681" t="s">
        <v>407</v>
      </c>
      <c r="C100" s="47" t="s">
        <v>408</v>
      </c>
      <c r="D100" s="118" t="s">
        <v>33</v>
      </c>
      <c r="E100" s="118" t="s">
        <v>17</v>
      </c>
      <c r="F100" s="118" t="s">
        <v>515</v>
      </c>
      <c r="G100" s="118">
        <v>12</v>
      </c>
      <c r="H100" s="118">
        <v>2</v>
      </c>
      <c r="I100" s="118">
        <v>26385</v>
      </c>
      <c r="J100" s="675">
        <v>4</v>
      </c>
      <c r="K100" s="118">
        <v>2784</v>
      </c>
      <c r="L100" s="118" t="s">
        <v>156</v>
      </c>
      <c r="M100" s="64">
        <v>342</v>
      </c>
      <c r="N100" s="676">
        <v>1.0842000000000001</v>
      </c>
      <c r="O100" s="675" t="s">
        <v>140</v>
      </c>
      <c r="P100" s="15">
        <v>0</v>
      </c>
      <c r="Q100" s="46">
        <f t="shared" si="7"/>
        <v>0</v>
      </c>
      <c r="R100" s="46" t="e">
        <f t="shared" si="13"/>
        <v>#DIV/0!</v>
      </c>
      <c r="S100" s="46" t="e">
        <f t="shared" si="8"/>
        <v>#DIV/0!</v>
      </c>
      <c r="T100" s="677" t="e">
        <f t="shared" si="12"/>
        <v>#DIV/0!</v>
      </c>
      <c r="U100" s="80" t="e">
        <f t="shared" si="11"/>
        <v>#DIV/0!</v>
      </c>
      <c r="V100" s="678">
        <f t="shared" si="9"/>
        <v>350</v>
      </c>
      <c r="W100" s="679">
        <f t="shared" si="10"/>
        <v>345</v>
      </c>
      <c r="X100" s="4"/>
    </row>
    <row r="101" spans="1:24" x14ac:dyDescent="0.25">
      <c r="A101" s="680" t="s">
        <v>406</v>
      </c>
      <c r="B101" s="681" t="s">
        <v>407</v>
      </c>
      <c r="C101" s="47" t="s">
        <v>408</v>
      </c>
      <c r="D101" s="118" t="s">
        <v>33</v>
      </c>
      <c r="E101" s="118" t="s">
        <v>17</v>
      </c>
      <c r="F101" s="118" t="s">
        <v>516</v>
      </c>
      <c r="G101" s="118">
        <v>12</v>
      </c>
      <c r="H101" s="118">
        <v>1</v>
      </c>
      <c r="I101" s="118">
        <v>91778</v>
      </c>
      <c r="J101" s="675">
        <v>4</v>
      </c>
      <c r="K101" s="118">
        <v>1781</v>
      </c>
      <c r="L101" s="118" t="s">
        <v>156</v>
      </c>
      <c r="M101" s="64">
        <v>258</v>
      </c>
      <c r="N101" s="676">
        <v>5.6192399999999996</v>
      </c>
      <c r="O101" s="675" t="s">
        <v>140</v>
      </c>
      <c r="P101" s="15">
        <v>4813</v>
      </c>
      <c r="Q101" s="46">
        <f t="shared" si="7"/>
        <v>189.48781000000002</v>
      </c>
      <c r="R101" s="46">
        <f t="shared" si="13"/>
        <v>2.1076553684376842</v>
      </c>
      <c r="S101" s="46">
        <f t="shared" si="8"/>
        <v>2.6661094997543668</v>
      </c>
      <c r="T101" s="677">
        <f t="shared" si="12"/>
        <v>0.38087278567919525</v>
      </c>
      <c r="U101" s="80">
        <f t="shared" si="11"/>
        <v>293272.04497298034</v>
      </c>
      <c r="V101" s="85">
        <f t="shared" si="9"/>
        <v>260</v>
      </c>
      <c r="W101" s="679">
        <f t="shared" si="10"/>
        <v>260</v>
      </c>
      <c r="X101" s="4"/>
    </row>
    <row r="102" spans="1:24" x14ac:dyDescent="0.25">
      <c r="A102" s="680" t="s">
        <v>409</v>
      </c>
      <c r="B102" s="681" t="s">
        <v>410</v>
      </c>
      <c r="C102" s="47" t="s">
        <v>408</v>
      </c>
      <c r="D102" s="118" t="s">
        <v>33</v>
      </c>
      <c r="E102" s="118" t="s">
        <v>17</v>
      </c>
      <c r="F102" s="118" t="s">
        <v>517</v>
      </c>
      <c r="G102" s="118">
        <v>12</v>
      </c>
      <c r="H102" s="118">
        <v>2</v>
      </c>
      <c r="I102" s="118">
        <v>12900</v>
      </c>
      <c r="J102" s="675">
        <v>4</v>
      </c>
      <c r="K102" s="118">
        <v>968</v>
      </c>
      <c r="L102" s="118" t="s">
        <v>156</v>
      </c>
      <c r="M102" s="64">
        <v>258</v>
      </c>
      <c r="N102" s="676">
        <v>8.6997599999999995</v>
      </c>
      <c r="O102" s="675" t="s">
        <v>140</v>
      </c>
      <c r="P102" s="15">
        <v>4813</v>
      </c>
      <c r="Q102" s="46">
        <f t="shared" si="7"/>
        <v>189.48781000000002</v>
      </c>
      <c r="R102" s="46">
        <f t="shared" si="13"/>
        <v>2.1076553684376842</v>
      </c>
      <c r="S102" s="46">
        <f t="shared" si="8"/>
        <v>4.1276956993442262</v>
      </c>
      <c r="T102" s="677">
        <f t="shared" si="12"/>
        <v>0.58967081419203227</v>
      </c>
      <c r="U102" s="80">
        <f t="shared" si="11"/>
        <v>454046.52692786488</v>
      </c>
      <c r="V102" s="85">
        <f t="shared" si="9"/>
        <v>260</v>
      </c>
      <c r="W102" s="679">
        <f t="shared" si="10"/>
        <v>260</v>
      </c>
      <c r="X102" s="4"/>
    </row>
    <row r="103" spans="1:24" x14ac:dyDescent="0.25">
      <c r="A103" s="680" t="s">
        <v>414</v>
      </c>
      <c r="B103" s="681" t="s">
        <v>415</v>
      </c>
      <c r="C103" s="47" t="s">
        <v>408</v>
      </c>
      <c r="D103" s="118" t="s">
        <v>33</v>
      </c>
      <c r="E103" s="118" t="s">
        <v>17</v>
      </c>
      <c r="F103" s="118" t="s">
        <v>518</v>
      </c>
      <c r="G103" s="118">
        <v>3</v>
      </c>
      <c r="H103" s="118">
        <v>1</v>
      </c>
      <c r="I103" s="118">
        <v>17971</v>
      </c>
      <c r="J103" s="675">
        <v>4</v>
      </c>
      <c r="K103" s="118">
        <v>2184</v>
      </c>
      <c r="L103" s="118" t="s">
        <v>156</v>
      </c>
      <c r="M103" s="64">
        <v>258</v>
      </c>
      <c r="N103" s="676">
        <v>1.04877</v>
      </c>
      <c r="O103" s="675" t="s">
        <v>140</v>
      </c>
      <c r="P103" s="15">
        <v>4813</v>
      </c>
      <c r="Q103" s="46">
        <f t="shared" si="7"/>
        <v>189.48781000000002</v>
      </c>
      <c r="R103" s="46">
        <f t="shared" si="13"/>
        <v>2.1076553684376842</v>
      </c>
      <c r="S103" s="46">
        <f t="shared" si="8"/>
        <v>0.49760032674478882</v>
      </c>
      <c r="T103" s="677">
        <f t="shared" si="12"/>
        <v>7.1085760963541259E-2</v>
      </c>
      <c r="U103" s="80">
        <f t="shared" si="11"/>
        <v>54736.03594192677</v>
      </c>
      <c r="V103" s="85">
        <f t="shared" si="9"/>
        <v>260</v>
      </c>
      <c r="W103" s="679">
        <f t="shared" si="10"/>
        <v>260</v>
      </c>
      <c r="X103" s="4"/>
    </row>
    <row r="104" spans="1:24" x14ac:dyDescent="0.25">
      <c r="A104" s="680" t="s">
        <v>417</v>
      </c>
      <c r="B104" s="681" t="s">
        <v>415</v>
      </c>
      <c r="C104" s="47" t="s">
        <v>408</v>
      </c>
      <c r="D104" s="118" t="s">
        <v>33</v>
      </c>
      <c r="E104" s="118" t="s">
        <v>17</v>
      </c>
      <c r="F104" s="118" t="s">
        <v>519</v>
      </c>
      <c r="G104" s="118">
        <v>2</v>
      </c>
      <c r="H104" s="118">
        <v>1</v>
      </c>
      <c r="I104" s="118">
        <v>7759</v>
      </c>
      <c r="J104" s="675">
        <v>4</v>
      </c>
      <c r="K104" s="118">
        <v>785</v>
      </c>
      <c r="L104" s="118" t="s">
        <v>156</v>
      </c>
      <c r="M104" s="64">
        <v>258</v>
      </c>
      <c r="N104" s="676">
        <v>5.6192399999999996</v>
      </c>
      <c r="O104" s="675" t="s">
        <v>140</v>
      </c>
      <c r="P104" s="15">
        <v>4813</v>
      </c>
      <c r="Q104" s="46">
        <f t="shared" si="7"/>
        <v>189.48781000000002</v>
      </c>
      <c r="R104" s="46">
        <f t="shared" si="13"/>
        <v>2.1076553684376842</v>
      </c>
      <c r="S104" s="46">
        <f t="shared" si="8"/>
        <v>2.6661094997543668</v>
      </c>
      <c r="T104" s="677">
        <f t="shared" si="12"/>
        <v>0.38087278567919525</v>
      </c>
      <c r="U104" s="80">
        <f t="shared" si="11"/>
        <v>293272.04497298034</v>
      </c>
      <c r="V104" s="85">
        <f t="shared" si="9"/>
        <v>260</v>
      </c>
      <c r="W104" s="679">
        <f t="shared" si="10"/>
        <v>260</v>
      </c>
      <c r="X104" s="4"/>
    </row>
    <row r="105" spans="1:24" x14ac:dyDescent="0.25">
      <c r="A105" s="680" t="s">
        <v>419</v>
      </c>
      <c r="B105" s="681" t="s">
        <v>415</v>
      </c>
      <c r="C105" s="47" t="s">
        <v>408</v>
      </c>
      <c r="D105" s="118" t="s">
        <v>33</v>
      </c>
      <c r="E105" s="118" t="s">
        <v>17</v>
      </c>
      <c r="F105" s="118" t="s">
        <v>519</v>
      </c>
      <c r="G105" s="118">
        <v>1</v>
      </c>
      <c r="H105" s="118">
        <v>1</v>
      </c>
      <c r="I105" s="118">
        <v>7100</v>
      </c>
      <c r="J105" s="675">
        <v>4</v>
      </c>
      <c r="K105" s="118">
        <v>785</v>
      </c>
      <c r="L105" s="118" t="s">
        <v>156</v>
      </c>
      <c r="M105" s="64">
        <v>258</v>
      </c>
      <c r="N105" s="676">
        <v>7.6122899999999998</v>
      </c>
      <c r="O105" s="675" t="s">
        <v>140</v>
      </c>
      <c r="P105" s="15">
        <v>4813</v>
      </c>
      <c r="Q105" s="46">
        <f t="shared" si="7"/>
        <v>189.48781000000002</v>
      </c>
      <c r="R105" s="46">
        <f t="shared" si="13"/>
        <v>2.1076553684376842</v>
      </c>
      <c r="S105" s="46">
        <f t="shared" si="8"/>
        <v>3.6117337369261979</v>
      </c>
      <c r="T105" s="677">
        <f t="shared" si="12"/>
        <v>0.51596196241802827</v>
      </c>
      <c r="U105" s="80">
        <f t="shared" si="11"/>
        <v>397290.7110618818</v>
      </c>
      <c r="V105" s="85">
        <f t="shared" si="9"/>
        <v>260</v>
      </c>
      <c r="W105" s="679">
        <f t="shared" si="10"/>
        <v>260</v>
      </c>
      <c r="X105" s="4"/>
    </row>
    <row r="106" spans="1:24" x14ac:dyDescent="0.25">
      <c r="A106" s="680" t="s">
        <v>421</v>
      </c>
      <c r="B106" s="681" t="s">
        <v>422</v>
      </c>
      <c r="C106" s="47" t="s">
        <v>423</v>
      </c>
      <c r="D106" s="118" t="s">
        <v>33</v>
      </c>
      <c r="E106" s="118" t="s">
        <v>17</v>
      </c>
      <c r="F106" s="118" t="s">
        <v>520</v>
      </c>
      <c r="G106" s="118">
        <v>1</v>
      </c>
      <c r="H106" s="118">
        <v>1</v>
      </c>
      <c r="I106" s="118">
        <v>19050</v>
      </c>
      <c r="J106" s="675">
        <v>4</v>
      </c>
      <c r="K106" s="118">
        <v>1185</v>
      </c>
      <c r="L106" s="118" t="s">
        <v>156</v>
      </c>
      <c r="M106" s="64">
        <v>342</v>
      </c>
      <c r="N106" s="676">
        <v>16.988399999999999</v>
      </c>
      <c r="O106" s="675" t="s">
        <v>140</v>
      </c>
      <c r="P106" s="15">
        <v>0</v>
      </c>
      <c r="Q106" s="46">
        <f t="shared" si="7"/>
        <v>0</v>
      </c>
      <c r="R106" s="46" t="e">
        <f t="shared" si="13"/>
        <v>#DIV/0!</v>
      </c>
      <c r="S106" s="46" t="e">
        <f t="shared" si="8"/>
        <v>#DIV/0!</v>
      </c>
      <c r="T106" s="677" t="e">
        <f t="shared" si="12"/>
        <v>#DIV/0!</v>
      </c>
      <c r="U106" s="80" t="e">
        <f t="shared" si="11"/>
        <v>#DIV/0!</v>
      </c>
      <c r="V106" s="85">
        <f t="shared" si="9"/>
        <v>350</v>
      </c>
      <c r="W106" s="679">
        <f t="shared" si="10"/>
        <v>345</v>
      </c>
      <c r="X106" s="4"/>
    </row>
    <row r="107" spans="1:24" x14ac:dyDescent="0.25">
      <c r="A107" s="680" t="s">
        <v>425</v>
      </c>
      <c r="B107" s="681" t="s">
        <v>426</v>
      </c>
      <c r="C107" s="47" t="s">
        <v>427</v>
      </c>
      <c r="D107" s="118" t="s">
        <v>33</v>
      </c>
      <c r="E107" s="118" t="s">
        <v>17</v>
      </c>
      <c r="F107" s="118" t="s">
        <v>520</v>
      </c>
      <c r="G107" s="118">
        <v>3</v>
      </c>
      <c r="H107" s="118">
        <v>1</v>
      </c>
      <c r="I107" s="118">
        <v>4255</v>
      </c>
      <c r="J107" s="675">
        <v>4</v>
      </c>
      <c r="K107" s="118">
        <v>1185</v>
      </c>
      <c r="L107" s="118" t="s">
        <v>156</v>
      </c>
      <c r="M107" s="64">
        <v>342</v>
      </c>
      <c r="N107" s="676">
        <v>2.8313999999999999</v>
      </c>
      <c r="O107" s="675" t="s">
        <v>140</v>
      </c>
      <c r="P107" s="15">
        <v>0</v>
      </c>
      <c r="Q107" s="46">
        <f t="shared" si="7"/>
        <v>0</v>
      </c>
      <c r="R107" s="46" t="e">
        <f t="shared" si="13"/>
        <v>#DIV/0!</v>
      </c>
      <c r="S107" s="46" t="e">
        <f t="shared" si="8"/>
        <v>#DIV/0!</v>
      </c>
      <c r="T107" s="677" t="e">
        <f t="shared" si="12"/>
        <v>#DIV/0!</v>
      </c>
      <c r="U107" s="80" t="e">
        <f t="shared" si="11"/>
        <v>#DIV/0!</v>
      </c>
      <c r="V107" s="85">
        <f t="shared" si="9"/>
        <v>350</v>
      </c>
      <c r="W107" s="679">
        <f t="shared" si="10"/>
        <v>345</v>
      </c>
      <c r="X107" s="4"/>
    </row>
    <row r="108" spans="1:24" x14ac:dyDescent="0.25">
      <c r="A108" s="680" t="s">
        <v>429</v>
      </c>
      <c r="B108" s="681" t="s">
        <v>430</v>
      </c>
      <c r="C108" s="47" t="s">
        <v>431</v>
      </c>
      <c r="D108" s="118" t="s">
        <v>33</v>
      </c>
      <c r="E108" s="118" t="s">
        <v>17</v>
      </c>
      <c r="F108" s="118" t="s">
        <v>521</v>
      </c>
      <c r="G108" s="118">
        <v>1</v>
      </c>
      <c r="H108" s="118">
        <v>1</v>
      </c>
      <c r="I108" s="118">
        <v>89250</v>
      </c>
      <c r="J108" s="675">
        <v>4</v>
      </c>
      <c r="K108" s="118">
        <v>1190</v>
      </c>
      <c r="L108" s="118" t="s">
        <v>156</v>
      </c>
      <c r="M108" s="64">
        <v>342</v>
      </c>
      <c r="N108" s="676">
        <v>2.1684000000000001</v>
      </c>
      <c r="O108" s="675" t="s">
        <v>140</v>
      </c>
      <c r="P108" s="15">
        <v>0</v>
      </c>
      <c r="Q108" s="46">
        <f t="shared" si="7"/>
        <v>0</v>
      </c>
      <c r="R108" s="46" t="e">
        <f t="shared" si="13"/>
        <v>#DIV/0!</v>
      </c>
      <c r="S108" s="46" t="e">
        <f t="shared" si="8"/>
        <v>#DIV/0!</v>
      </c>
      <c r="T108" s="677" t="e">
        <f t="shared" si="12"/>
        <v>#DIV/0!</v>
      </c>
      <c r="U108" s="80" t="e">
        <f t="shared" si="11"/>
        <v>#DIV/0!</v>
      </c>
      <c r="V108" s="85">
        <f t="shared" si="9"/>
        <v>350</v>
      </c>
      <c r="W108" s="679">
        <f t="shared" si="10"/>
        <v>345</v>
      </c>
      <c r="X108" s="4"/>
    </row>
    <row r="109" spans="1:24" x14ac:dyDescent="0.25">
      <c r="A109" s="680" t="s">
        <v>429</v>
      </c>
      <c r="B109" s="681" t="s">
        <v>430</v>
      </c>
      <c r="C109" s="47" t="s">
        <v>433</v>
      </c>
      <c r="D109" s="118" t="s">
        <v>39</v>
      </c>
      <c r="E109" s="118" t="s">
        <v>17</v>
      </c>
      <c r="F109" s="118" t="s">
        <v>522</v>
      </c>
      <c r="G109" s="118">
        <v>1</v>
      </c>
      <c r="H109" s="118">
        <v>1</v>
      </c>
      <c r="I109" s="118">
        <v>13000</v>
      </c>
      <c r="J109" s="675">
        <v>4</v>
      </c>
      <c r="K109" s="118">
        <v>1181</v>
      </c>
      <c r="L109" s="118" t="s">
        <v>156</v>
      </c>
      <c r="M109" s="64">
        <v>342</v>
      </c>
      <c r="N109" s="676">
        <v>7.3279439999999996</v>
      </c>
      <c r="O109" s="675" t="s">
        <v>140</v>
      </c>
      <c r="P109" s="15">
        <v>0</v>
      </c>
      <c r="Q109" s="46">
        <f t="shared" si="7"/>
        <v>0</v>
      </c>
      <c r="R109" s="46" t="e">
        <f t="shared" si="13"/>
        <v>#DIV/0!</v>
      </c>
      <c r="S109" s="46" t="e">
        <f t="shared" si="8"/>
        <v>#DIV/0!</v>
      </c>
      <c r="T109" s="677" t="e">
        <f t="shared" si="12"/>
        <v>#DIV/0!</v>
      </c>
      <c r="U109" s="80" t="e">
        <f t="shared" si="11"/>
        <v>#DIV/0!</v>
      </c>
      <c r="V109" s="85">
        <f t="shared" si="9"/>
        <v>350</v>
      </c>
      <c r="W109" s="679">
        <f t="shared" si="10"/>
        <v>345</v>
      </c>
      <c r="X109" s="4"/>
    </row>
    <row r="110" spans="1:24" x14ac:dyDescent="0.25">
      <c r="A110" s="680" t="s">
        <v>429</v>
      </c>
      <c r="B110" s="681" t="s">
        <v>430</v>
      </c>
      <c r="C110" s="47" t="s">
        <v>435</v>
      </c>
      <c r="D110" s="118" t="s">
        <v>40</v>
      </c>
      <c r="E110" s="118" t="s">
        <v>17</v>
      </c>
      <c r="F110" s="118" t="s">
        <v>522</v>
      </c>
      <c r="G110" s="118">
        <v>1</v>
      </c>
      <c r="H110" s="118">
        <v>1</v>
      </c>
      <c r="I110" s="118">
        <v>4250</v>
      </c>
      <c r="J110" s="675">
        <v>4</v>
      </c>
      <c r="K110" s="118">
        <v>1181</v>
      </c>
      <c r="L110" s="118" t="s">
        <v>156</v>
      </c>
      <c r="M110" s="64">
        <v>342</v>
      </c>
      <c r="N110" s="676">
        <v>5.9602919999999999</v>
      </c>
      <c r="O110" s="675" t="s">
        <v>140</v>
      </c>
      <c r="P110" s="15">
        <v>0</v>
      </c>
      <c r="Q110" s="46">
        <f t="shared" si="7"/>
        <v>0</v>
      </c>
      <c r="R110" s="46" t="e">
        <f t="shared" si="13"/>
        <v>#DIV/0!</v>
      </c>
      <c r="S110" s="46" t="e">
        <f t="shared" si="8"/>
        <v>#DIV/0!</v>
      </c>
      <c r="T110" s="677" t="e">
        <f t="shared" si="12"/>
        <v>#DIV/0!</v>
      </c>
      <c r="U110" s="80" t="e">
        <f t="shared" si="11"/>
        <v>#DIV/0!</v>
      </c>
      <c r="V110" s="85">
        <f t="shared" si="9"/>
        <v>350</v>
      </c>
      <c r="W110" s="679">
        <f t="shared" si="10"/>
        <v>345</v>
      </c>
      <c r="X110" s="4"/>
    </row>
    <row r="111" spans="1:24" x14ac:dyDescent="0.25">
      <c r="A111" s="680" t="s">
        <v>429</v>
      </c>
      <c r="B111" s="681" t="s">
        <v>430</v>
      </c>
      <c r="C111" s="47" t="s">
        <v>437</v>
      </c>
      <c r="D111" s="118" t="s">
        <v>39</v>
      </c>
      <c r="E111" s="118" t="s">
        <v>17</v>
      </c>
      <c r="F111" s="118" t="s">
        <v>522</v>
      </c>
      <c r="G111" s="118">
        <v>1</v>
      </c>
      <c r="H111" s="118">
        <v>1</v>
      </c>
      <c r="I111" s="118">
        <v>8500</v>
      </c>
      <c r="J111" s="675">
        <v>4</v>
      </c>
      <c r="K111" s="118">
        <v>1181</v>
      </c>
      <c r="L111" s="118" t="s">
        <v>156</v>
      </c>
      <c r="M111" s="64">
        <v>261</v>
      </c>
      <c r="N111" s="676">
        <v>1.7975383999999999</v>
      </c>
      <c r="O111" s="675" t="s">
        <v>140</v>
      </c>
      <c r="P111" s="15">
        <v>5007</v>
      </c>
      <c r="Q111" s="46">
        <f t="shared" si="7"/>
        <v>197.12559000000002</v>
      </c>
      <c r="R111" s="46">
        <f t="shared" si="13"/>
        <v>2.0259926679230227</v>
      </c>
      <c r="S111" s="46">
        <f t="shared" si="8"/>
        <v>0.88723835404733908</v>
      </c>
      <c r="T111" s="677">
        <f t="shared" si="12"/>
        <v>0.126748336292477</v>
      </c>
      <c r="U111" s="80">
        <f t="shared" si="11"/>
        <v>97596.218945207293</v>
      </c>
      <c r="V111" s="85">
        <f t="shared" si="9"/>
        <v>270</v>
      </c>
      <c r="W111" s="679">
        <f t="shared" si="10"/>
        <v>265</v>
      </c>
      <c r="X111" s="4"/>
    </row>
    <row r="112" spans="1:24" x14ac:dyDescent="0.25">
      <c r="A112" s="680" t="s">
        <v>439</v>
      </c>
      <c r="B112" s="681" t="s">
        <v>430</v>
      </c>
      <c r="C112" s="47" t="s">
        <v>431</v>
      </c>
      <c r="D112" s="118" t="s">
        <v>36</v>
      </c>
      <c r="E112" s="118" t="s">
        <v>17</v>
      </c>
      <c r="F112" s="118" t="s">
        <v>521</v>
      </c>
      <c r="G112" s="118">
        <v>1</v>
      </c>
      <c r="H112" s="118">
        <v>1</v>
      </c>
      <c r="I112" s="118">
        <v>103000</v>
      </c>
      <c r="J112" s="675">
        <v>4</v>
      </c>
      <c r="K112" s="118">
        <v>1190</v>
      </c>
      <c r="L112" s="118" t="s">
        <v>156</v>
      </c>
      <c r="M112" s="64">
        <v>342</v>
      </c>
      <c r="N112" s="676">
        <v>1.539876</v>
      </c>
      <c r="O112" s="675" t="s">
        <v>140</v>
      </c>
      <c r="P112" s="15">
        <v>0</v>
      </c>
      <c r="Q112" s="46">
        <f t="shared" si="7"/>
        <v>0</v>
      </c>
      <c r="R112" s="46" t="e">
        <f t="shared" si="13"/>
        <v>#DIV/0!</v>
      </c>
      <c r="S112" s="46" t="e">
        <f t="shared" si="8"/>
        <v>#DIV/0!</v>
      </c>
      <c r="T112" s="677" t="e">
        <f t="shared" si="12"/>
        <v>#DIV/0!</v>
      </c>
      <c r="U112" s="80" t="e">
        <f t="shared" si="11"/>
        <v>#DIV/0!</v>
      </c>
      <c r="V112" s="85">
        <f t="shared" si="9"/>
        <v>350</v>
      </c>
      <c r="W112" s="679">
        <f t="shared" si="10"/>
        <v>345</v>
      </c>
      <c r="X112" s="4"/>
    </row>
    <row r="113" spans="1:24" x14ac:dyDescent="0.25">
      <c r="A113" s="680" t="s">
        <v>439</v>
      </c>
      <c r="B113" s="681" t="s">
        <v>430</v>
      </c>
      <c r="C113" s="47" t="s">
        <v>435</v>
      </c>
      <c r="D113" s="118" t="s">
        <v>36</v>
      </c>
      <c r="E113" s="118" t="s">
        <v>17</v>
      </c>
      <c r="F113" s="118" t="s">
        <v>522</v>
      </c>
      <c r="G113" s="118">
        <v>1</v>
      </c>
      <c r="H113" s="118">
        <v>1</v>
      </c>
      <c r="I113" s="118">
        <v>12750</v>
      </c>
      <c r="J113" s="675">
        <v>4</v>
      </c>
      <c r="K113" s="118">
        <v>1181</v>
      </c>
      <c r="L113" s="118" t="s">
        <v>156</v>
      </c>
      <c r="M113" s="64">
        <v>342</v>
      </c>
      <c r="N113" s="676">
        <v>1.4770080000000001</v>
      </c>
      <c r="O113" s="675" t="s">
        <v>140</v>
      </c>
      <c r="P113" s="15">
        <v>0</v>
      </c>
      <c r="Q113" s="46">
        <f t="shared" si="7"/>
        <v>0</v>
      </c>
      <c r="R113" s="46" t="e">
        <f t="shared" si="13"/>
        <v>#DIV/0!</v>
      </c>
      <c r="S113" s="46" t="e">
        <f t="shared" si="8"/>
        <v>#DIV/0!</v>
      </c>
      <c r="T113" s="677" t="e">
        <f t="shared" si="12"/>
        <v>#DIV/0!</v>
      </c>
      <c r="U113" s="80" t="e">
        <f t="shared" si="11"/>
        <v>#DIV/0!</v>
      </c>
      <c r="V113" s="85">
        <f t="shared" si="9"/>
        <v>350</v>
      </c>
      <c r="W113" s="679">
        <f t="shared" si="10"/>
        <v>345</v>
      </c>
      <c r="X113" s="4"/>
    </row>
    <row r="114" spans="1:24" x14ac:dyDescent="0.25">
      <c r="A114" s="680" t="s">
        <v>442</v>
      </c>
      <c r="B114" s="681" t="s">
        <v>443</v>
      </c>
      <c r="C114" s="47" t="s">
        <v>444</v>
      </c>
      <c r="D114" s="118" t="s">
        <v>40</v>
      </c>
      <c r="E114" s="118" t="s">
        <v>17</v>
      </c>
      <c r="F114" s="118" t="s">
        <v>523</v>
      </c>
      <c r="G114" s="118">
        <v>1</v>
      </c>
      <c r="H114" s="118">
        <v>1</v>
      </c>
      <c r="I114" s="118">
        <v>17500</v>
      </c>
      <c r="J114" s="675">
        <v>4</v>
      </c>
      <c r="K114" s="118">
        <v>1692</v>
      </c>
      <c r="L114" s="118" t="s">
        <v>156</v>
      </c>
      <c r="M114" s="64">
        <v>342</v>
      </c>
      <c r="N114" s="676">
        <v>3.1139939999999999</v>
      </c>
      <c r="O114" s="675" t="s">
        <v>140</v>
      </c>
      <c r="P114" s="15">
        <v>0</v>
      </c>
      <c r="Q114" s="46">
        <f t="shared" si="7"/>
        <v>0</v>
      </c>
      <c r="R114" s="46" t="e">
        <f t="shared" si="13"/>
        <v>#DIV/0!</v>
      </c>
      <c r="S114" s="46" t="e">
        <f t="shared" si="8"/>
        <v>#DIV/0!</v>
      </c>
      <c r="T114" s="677" t="e">
        <f t="shared" si="12"/>
        <v>#DIV/0!</v>
      </c>
      <c r="U114" s="80" t="e">
        <f t="shared" si="11"/>
        <v>#DIV/0!</v>
      </c>
      <c r="V114" s="85">
        <f t="shared" si="9"/>
        <v>350</v>
      </c>
      <c r="W114" s="679">
        <f t="shared" si="10"/>
        <v>345</v>
      </c>
      <c r="X114" s="4"/>
    </row>
    <row r="115" spans="1:24" x14ac:dyDescent="0.25">
      <c r="A115" s="680" t="s">
        <v>442</v>
      </c>
      <c r="B115" s="681" t="s">
        <v>443</v>
      </c>
      <c r="C115" s="47" t="s">
        <v>446</v>
      </c>
      <c r="D115" s="118" t="s">
        <v>40</v>
      </c>
      <c r="E115" s="118" t="s">
        <v>17</v>
      </c>
      <c r="F115" s="118" t="s">
        <v>523</v>
      </c>
      <c r="G115" s="118">
        <v>1</v>
      </c>
      <c r="H115" s="118">
        <v>1</v>
      </c>
      <c r="I115" s="118">
        <v>8500</v>
      </c>
      <c r="J115" s="675">
        <v>4</v>
      </c>
      <c r="K115" s="118">
        <v>1502</v>
      </c>
      <c r="L115" s="118" t="s">
        <v>156</v>
      </c>
      <c r="M115" s="64">
        <v>342</v>
      </c>
      <c r="N115" s="676">
        <v>2.806908</v>
      </c>
      <c r="O115" s="675" t="s">
        <v>140</v>
      </c>
      <c r="P115" s="15">
        <v>0</v>
      </c>
      <c r="Q115" s="46">
        <f t="shared" si="7"/>
        <v>0</v>
      </c>
      <c r="R115" s="46" t="e">
        <f t="shared" si="13"/>
        <v>#DIV/0!</v>
      </c>
      <c r="S115" s="46" t="e">
        <f t="shared" si="8"/>
        <v>#DIV/0!</v>
      </c>
      <c r="T115" s="677" t="e">
        <f t="shared" si="12"/>
        <v>#DIV/0!</v>
      </c>
      <c r="U115" s="80" t="e">
        <f t="shared" si="11"/>
        <v>#DIV/0!</v>
      </c>
      <c r="V115" s="85">
        <f t="shared" si="9"/>
        <v>350</v>
      </c>
      <c r="W115" s="679">
        <f t="shared" si="10"/>
        <v>345</v>
      </c>
      <c r="X115" s="4"/>
    </row>
    <row r="116" spans="1:24" x14ac:dyDescent="0.25">
      <c r="A116" s="680" t="s">
        <v>448</v>
      </c>
      <c r="B116" s="681" t="s">
        <v>443</v>
      </c>
      <c r="C116" s="47" t="s">
        <v>444</v>
      </c>
      <c r="D116" s="118" t="s">
        <v>40</v>
      </c>
      <c r="E116" s="118" t="s">
        <v>17</v>
      </c>
      <c r="F116" s="118" t="s">
        <v>523</v>
      </c>
      <c r="G116" s="118">
        <v>1</v>
      </c>
      <c r="H116" s="118">
        <v>1</v>
      </c>
      <c r="I116" s="118">
        <v>17500</v>
      </c>
      <c r="J116" s="675">
        <v>4</v>
      </c>
      <c r="K116" s="118">
        <v>1692</v>
      </c>
      <c r="L116" s="118" t="s">
        <v>156</v>
      </c>
      <c r="M116" s="64">
        <v>342</v>
      </c>
      <c r="N116" s="676">
        <v>3.8575680000000006</v>
      </c>
      <c r="O116" s="675" t="s">
        <v>140</v>
      </c>
      <c r="P116" s="15">
        <v>0</v>
      </c>
      <c r="Q116" s="46">
        <f t="shared" si="7"/>
        <v>0</v>
      </c>
      <c r="R116" s="46" t="e">
        <f t="shared" si="13"/>
        <v>#DIV/0!</v>
      </c>
      <c r="S116" s="46" t="e">
        <f t="shared" si="8"/>
        <v>#DIV/0!</v>
      </c>
      <c r="T116" s="677" t="e">
        <f t="shared" si="12"/>
        <v>#DIV/0!</v>
      </c>
      <c r="U116" s="80" t="e">
        <f t="shared" si="11"/>
        <v>#DIV/0!</v>
      </c>
      <c r="V116" s="85">
        <f t="shared" si="9"/>
        <v>350</v>
      </c>
      <c r="W116" s="679">
        <f t="shared" si="10"/>
        <v>345</v>
      </c>
      <c r="X116" s="4"/>
    </row>
    <row r="117" spans="1:24" x14ac:dyDescent="0.25">
      <c r="A117" s="680" t="s">
        <v>448</v>
      </c>
      <c r="B117" s="681" t="s">
        <v>443</v>
      </c>
      <c r="C117" s="47" t="s">
        <v>446</v>
      </c>
      <c r="D117" s="118" t="s">
        <v>36</v>
      </c>
      <c r="E117" s="118" t="s">
        <v>17</v>
      </c>
      <c r="F117" s="118" t="s">
        <v>523</v>
      </c>
      <c r="G117" s="118">
        <v>1</v>
      </c>
      <c r="H117" s="118">
        <v>1</v>
      </c>
      <c r="I117" s="118">
        <v>8500</v>
      </c>
      <c r="J117" s="675">
        <v>4</v>
      </c>
      <c r="K117" s="118">
        <v>1692</v>
      </c>
      <c r="L117" s="118" t="s">
        <v>156</v>
      </c>
      <c r="M117" s="64">
        <v>342</v>
      </c>
      <c r="N117" s="676">
        <v>1.4770080000000001</v>
      </c>
      <c r="O117" s="675" t="s">
        <v>140</v>
      </c>
      <c r="P117" s="15">
        <v>0</v>
      </c>
      <c r="Q117" s="46">
        <f t="shared" si="7"/>
        <v>0</v>
      </c>
      <c r="R117" s="46" t="e">
        <f t="shared" si="13"/>
        <v>#DIV/0!</v>
      </c>
      <c r="S117" s="46" t="e">
        <f t="shared" si="8"/>
        <v>#DIV/0!</v>
      </c>
      <c r="T117" s="677" t="e">
        <f t="shared" si="12"/>
        <v>#DIV/0!</v>
      </c>
      <c r="U117" s="80" t="e">
        <f t="shared" si="11"/>
        <v>#DIV/0!</v>
      </c>
      <c r="V117" s="85">
        <f t="shared" si="9"/>
        <v>350</v>
      </c>
      <c r="W117" s="679">
        <f t="shared" si="10"/>
        <v>345</v>
      </c>
      <c r="X117" s="4"/>
    </row>
    <row r="118" spans="1:24" x14ac:dyDescent="0.25">
      <c r="A118" s="680" t="s">
        <v>448</v>
      </c>
      <c r="B118" s="681" t="s">
        <v>451</v>
      </c>
      <c r="C118" s="47" t="s">
        <v>446</v>
      </c>
      <c r="D118" s="118" t="s">
        <v>36</v>
      </c>
      <c r="E118" s="118" t="s">
        <v>17</v>
      </c>
      <c r="F118" s="118" t="s">
        <v>523</v>
      </c>
      <c r="G118" s="118">
        <v>2</v>
      </c>
      <c r="H118" s="118">
        <v>1</v>
      </c>
      <c r="I118" s="118">
        <v>8500</v>
      </c>
      <c r="J118" s="675">
        <v>4</v>
      </c>
      <c r="K118" s="118">
        <v>1502</v>
      </c>
      <c r="L118" s="118" t="s">
        <v>156</v>
      </c>
      <c r="M118" s="64">
        <v>342</v>
      </c>
      <c r="N118" s="676">
        <v>1.4770080000000001</v>
      </c>
      <c r="O118" s="675" t="s">
        <v>140</v>
      </c>
      <c r="P118" s="15">
        <v>0</v>
      </c>
      <c r="Q118" s="46">
        <f t="shared" si="7"/>
        <v>0</v>
      </c>
      <c r="R118" s="46" t="e">
        <f t="shared" si="13"/>
        <v>#DIV/0!</v>
      </c>
      <c r="S118" s="46" t="e">
        <f t="shared" si="8"/>
        <v>#DIV/0!</v>
      </c>
      <c r="T118" s="677" t="e">
        <f t="shared" si="12"/>
        <v>#DIV/0!</v>
      </c>
      <c r="U118" s="80" t="e">
        <f t="shared" si="11"/>
        <v>#DIV/0!</v>
      </c>
      <c r="V118" s="85">
        <f t="shared" si="9"/>
        <v>350</v>
      </c>
      <c r="W118" s="679">
        <f t="shared" si="10"/>
        <v>345</v>
      </c>
      <c r="X118" s="4"/>
    </row>
    <row r="119" spans="1:24" x14ac:dyDescent="0.25">
      <c r="A119" s="680" t="s">
        <v>452</v>
      </c>
      <c r="B119" s="681" t="s">
        <v>453</v>
      </c>
      <c r="C119" s="47" t="s">
        <v>454</v>
      </c>
      <c r="D119" s="118" t="s">
        <v>36</v>
      </c>
      <c r="E119" s="118" t="s">
        <v>17</v>
      </c>
      <c r="F119" s="118" t="s">
        <v>513</v>
      </c>
      <c r="G119" s="118">
        <v>2</v>
      </c>
      <c r="H119" s="118">
        <v>1</v>
      </c>
      <c r="I119" s="118">
        <v>11097</v>
      </c>
      <c r="J119" s="675">
        <v>4</v>
      </c>
      <c r="K119" s="118">
        <v>585</v>
      </c>
      <c r="L119" s="118" t="s">
        <v>156</v>
      </c>
      <c r="M119" s="64">
        <v>342</v>
      </c>
      <c r="N119" s="676">
        <v>1.4770080000000001</v>
      </c>
      <c r="O119" s="675" t="s">
        <v>140</v>
      </c>
      <c r="P119" s="15">
        <v>0</v>
      </c>
      <c r="Q119" s="46">
        <f t="shared" si="7"/>
        <v>0</v>
      </c>
      <c r="R119" s="46" t="e">
        <f t="shared" si="13"/>
        <v>#DIV/0!</v>
      </c>
      <c r="S119" s="46" t="e">
        <f t="shared" si="8"/>
        <v>#DIV/0!</v>
      </c>
      <c r="T119" s="677" t="e">
        <f t="shared" si="12"/>
        <v>#DIV/0!</v>
      </c>
      <c r="U119" s="80" t="e">
        <f t="shared" si="11"/>
        <v>#DIV/0!</v>
      </c>
      <c r="V119" s="85">
        <f t="shared" si="9"/>
        <v>350</v>
      </c>
      <c r="W119" s="679">
        <f t="shared" si="10"/>
        <v>345</v>
      </c>
      <c r="X119" s="4"/>
    </row>
    <row r="120" spans="1:24" x14ac:dyDescent="0.25">
      <c r="A120" s="680" t="s">
        <v>452</v>
      </c>
      <c r="B120" s="681" t="s">
        <v>453</v>
      </c>
      <c r="C120" s="47" t="s">
        <v>408</v>
      </c>
      <c r="D120" s="118" t="s">
        <v>40</v>
      </c>
      <c r="E120" s="118" t="s">
        <v>17</v>
      </c>
      <c r="F120" s="118" t="s">
        <v>514</v>
      </c>
      <c r="G120" s="118">
        <v>29</v>
      </c>
      <c r="H120" s="118">
        <v>1</v>
      </c>
      <c r="I120" s="118">
        <v>1500</v>
      </c>
      <c r="J120" s="675">
        <v>4</v>
      </c>
      <c r="K120" s="118">
        <v>776</v>
      </c>
      <c r="L120" s="118" t="s">
        <v>156</v>
      </c>
      <c r="M120" s="64">
        <v>342</v>
      </c>
      <c r="N120" s="676">
        <v>3.6691980000000006</v>
      </c>
      <c r="O120" s="675" t="s">
        <v>140</v>
      </c>
      <c r="P120" s="15">
        <v>0</v>
      </c>
      <c r="Q120" s="46">
        <f t="shared" si="7"/>
        <v>0</v>
      </c>
      <c r="R120" s="46" t="e">
        <f t="shared" si="13"/>
        <v>#DIV/0!</v>
      </c>
      <c r="S120" s="46" t="e">
        <f t="shared" si="8"/>
        <v>#DIV/0!</v>
      </c>
      <c r="T120" s="677" t="e">
        <f t="shared" si="12"/>
        <v>#DIV/0!</v>
      </c>
      <c r="U120" s="80" t="e">
        <f t="shared" si="11"/>
        <v>#DIV/0!</v>
      </c>
      <c r="V120" s="85">
        <f t="shared" si="9"/>
        <v>350</v>
      </c>
      <c r="W120" s="679">
        <f t="shared" si="10"/>
        <v>345</v>
      </c>
      <c r="X120" s="4"/>
    </row>
    <row r="121" spans="1:24" x14ac:dyDescent="0.25">
      <c r="A121" s="680" t="s">
        <v>452</v>
      </c>
      <c r="B121" s="681" t="s">
        <v>453</v>
      </c>
      <c r="C121" s="47" t="s">
        <v>408</v>
      </c>
      <c r="D121" s="118" t="s">
        <v>40</v>
      </c>
      <c r="E121" s="118" t="s">
        <v>17</v>
      </c>
      <c r="F121" s="118" t="s">
        <v>512</v>
      </c>
      <c r="G121" s="118">
        <v>1</v>
      </c>
      <c r="H121" s="118">
        <v>1</v>
      </c>
      <c r="I121" s="118">
        <v>1500</v>
      </c>
      <c r="J121" s="675">
        <v>4</v>
      </c>
      <c r="K121" s="118">
        <v>3879</v>
      </c>
      <c r="L121" s="118" t="s">
        <v>156</v>
      </c>
      <c r="M121" s="64">
        <v>342</v>
      </c>
      <c r="N121" s="676">
        <v>3.9858780000000005</v>
      </c>
      <c r="O121" s="675" t="s">
        <v>140</v>
      </c>
      <c r="P121" s="15">
        <v>0</v>
      </c>
      <c r="Q121" s="46">
        <f t="shared" si="7"/>
        <v>0</v>
      </c>
      <c r="R121" s="46" t="e">
        <f t="shared" si="13"/>
        <v>#DIV/0!</v>
      </c>
      <c r="S121" s="46" t="e">
        <f t="shared" si="8"/>
        <v>#DIV/0!</v>
      </c>
      <c r="T121" s="677" t="e">
        <f t="shared" si="12"/>
        <v>#DIV/0!</v>
      </c>
      <c r="U121" s="80" t="e">
        <f t="shared" si="11"/>
        <v>#DIV/0!</v>
      </c>
      <c r="V121" s="85">
        <f t="shared" si="9"/>
        <v>350</v>
      </c>
      <c r="W121" s="679">
        <f t="shared" si="10"/>
        <v>345</v>
      </c>
      <c r="X121" s="4"/>
    </row>
    <row r="122" spans="1:24" x14ac:dyDescent="0.25">
      <c r="A122" s="680" t="s">
        <v>456</v>
      </c>
      <c r="B122" s="681" t="s">
        <v>453</v>
      </c>
      <c r="C122" s="47" t="s">
        <v>457</v>
      </c>
      <c r="D122" s="118" t="s">
        <v>40</v>
      </c>
      <c r="E122" s="118" t="s">
        <v>17</v>
      </c>
      <c r="F122" s="118" t="s">
        <v>513</v>
      </c>
      <c r="G122" s="118">
        <v>2</v>
      </c>
      <c r="H122" s="118">
        <v>1</v>
      </c>
      <c r="I122" s="118">
        <v>11081</v>
      </c>
      <c r="J122" s="675">
        <v>4</v>
      </c>
      <c r="K122" s="118">
        <v>585</v>
      </c>
      <c r="L122" s="118" t="s">
        <v>156</v>
      </c>
      <c r="M122" s="64">
        <v>342</v>
      </c>
      <c r="N122" s="676">
        <v>3.5366759999999999</v>
      </c>
      <c r="O122" s="675" t="s">
        <v>140</v>
      </c>
      <c r="P122" s="15">
        <v>0</v>
      </c>
      <c r="Q122" s="46">
        <f t="shared" si="7"/>
        <v>0</v>
      </c>
      <c r="R122" s="46" t="e">
        <f t="shared" si="13"/>
        <v>#DIV/0!</v>
      </c>
      <c r="S122" s="46" t="e">
        <f t="shared" si="8"/>
        <v>#DIV/0!</v>
      </c>
      <c r="T122" s="677" t="e">
        <f t="shared" si="12"/>
        <v>#DIV/0!</v>
      </c>
      <c r="U122" s="80" t="e">
        <f t="shared" si="11"/>
        <v>#DIV/0!</v>
      </c>
      <c r="V122" s="85">
        <f t="shared" si="9"/>
        <v>350</v>
      </c>
      <c r="W122" s="679">
        <f t="shared" si="10"/>
        <v>345</v>
      </c>
      <c r="X122" s="4"/>
    </row>
    <row r="123" spans="1:24" x14ac:dyDescent="0.25">
      <c r="A123" s="680" t="s">
        <v>456</v>
      </c>
      <c r="B123" s="681" t="s">
        <v>453</v>
      </c>
      <c r="C123" s="47" t="s">
        <v>408</v>
      </c>
      <c r="D123" s="118" t="s">
        <v>40</v>
      </c>
      <c r="E123" s="118" t="s">
        <v>17</v>
      </c>
      <c r="F123" s="118" t="s">
        <v>514</v>
      </c>
      <c r="G123" s="118">
        <v>29</v>
      </c>
      <c r="H123" s="118">
        <v>1</v>
      </c>
      <c r="I123" s="118">
        <v>1500</v>
      </c>
      <c r="J123" s="675">
        <v>4</v>
      </c>
      <c r="K123" s="118">
        <v>776</v>
      </c>
      <c r="L123" s="118" t="s">
        <v>156</v>
      </c>
      <c r="M123" s="64">
        <v>342</v>
      </c>
      <c r="N123" s="676">
        <v>3.8903280000000007</v>
      </c>
      <c r="O123" s="675" t="s">
        <v>140</v>
      </c>
      <c r="P123" s="15">
        <v>0</v>
      </c>
      <c r="Q123" s="46">
        <f t="shared" si="7"/>
        <v>0</v>
      </c>
      <c r="R123" s="46" t="e">
        <f t="shared" si="13"/>
        <v>#DIV/0!</v>
      </c>
      <c r="S123" s="46" t="e">
        <f t="shared" si="8"/>
        <v>#DIV/0!</v>
      </c>
      <c r="T123" s="677" t="e">
        <f t="shared" si="12"/>
        <v>#DIV/0!</v>
      </c>
      <c r="U123" s="80" t="e">
        <f t="shared" si="11"/>
        <v>#DIV/0!</v>
      </c>
      <c r="V123" s="85">
        <f t="shared" si="9"/>
        <v>350</v>
      </c>
      <c r="W123" s="679">
        <f t="shared" si="10"/>
        <v>345</v>
      </c>
      <c r="X123" s="4"/>
    </row>
    <row r="124" spans="1:24" x14ac:dyDescent="0.25">
      <c r="A124" s="680" t="s">
        <v>456</v>
      </c>
      <c r="B124" s="681" t="s">
        <v>453</v>
      </c>
      <c r="C124" s="47" t="s">
        <v>408</v>
      </c>
      <c r="D124" s="118" t="s">
        <v>40</v>
      </c>
      <c r="E124" s="118" t="s">
        <v>17</v>
      </c>
      <c r="F124" s="118" t="s">
        <v>514</v>
      </c>
      <c r="G124" s="118">
        <v>1</v>
      </c>
      <c r="H124" s="118">
        <v>1</v>
      </c>
      <c r="I124" s="118">
        <v>1500</v>
      </c>
      <c r="J124" s="675">
        <v>4</v>
      </c>
      <c r="K124" s="118">
        <v>3879</v>
      </c>
      <c r="L124" s="118" t="s">
        <v>156</v>
      </c>
      <c r="M124" s="64">
        <v>342</v>
      </c>
      <c r="N124" s="676">
        <v>3.225066</v>
      </c>
      <c r="O124" s="675" t="s">
        <v>140</v>
      </c>
      <c r="P124" s="15">
        <v>0</v>
      </c>
      <c r="Q124" s="46">
        <f t="shared" si="7"/>
        <v>0</v>
      </c>
      <c r="R124" s="46" t="e">
        <f t="shared" si="13"/>
        <v>#DIV/0!</v>
      </c>
      <c r="S124" s="46" t="e">
        <f t="shared" si="8"/>
        <v>#DIV/0!</v>
      </c>
      <c r="T124" s="677" t="e">
        <f t="shared" si="12"/>
        <v>#DIV/0!</v>
      </c>
      <c r="U124" s="80" t="e">
        <f t="shared" si="11"/>
        <v>#DIV/0!</v>
      </c>
      <c r="V124" s="85">
        <f t="shared" si="9"/>
        <v>350</v>
      </c>
      <c r="W124" s="679">
        <f t="shared" si="10"/>
        <v>345</v>
      </c>
      <c r="X124" s="4"/>
    </row>
    <row r="125" spans="1:24" x14ac:dyDescent="0.25">
      <c r="A125" s="680" t="s">
        <v>458</v>
      </c>
      <c r="B125" s="681" t="s">
        <v>459</v>
      </c>
      <c r="C125" s="47" t="s">
        <v>460</v>
      </c>
      <c r="D125" s="118" t="s">
        <v>40</v>
      </c>
      <c r="E125" s="118" t="s">
        <v>17</v>
      </c>
      <c r="F125" s="118" t="s">
        <v>513</v>
      </c>
      <c r="G125" s="118">
        <v>2</v>
      </c>
      <c r="H125" s="118">
        <v>1</v>
      </c>
      <c r="I125" s="118">
        <v>12634</v>
      </c>
      <c r="J125" s="675">
        <v>4</v>
      </c>
      <c r="K125" s="118">
        <v>585</v>
      </c>
      <c r="L125" s="118" t="s">
        <v>156</v>
      </c>
      <c r="M125" s="64">
        <v>342</v>
      </c>
      <c r="N125" s="676">
        <v>2.7004380000000001</v>
      </c>
      <c r="O125" s="675" t="s">
        <v>140</v>
      </c>
      <c r="P125" s="15">
        <v>0</v>
      </c>
      <c r="Q125" s="46">
        <f t="shared" si="7"/>
        <v>0</v>
      </c>
      <c r="R125" s="46" t="e">
        <f t="shared" si="13"/>
        <v>#DIV/0!</v>
      </c>
      <c r="S125" s="46" t="e">
        <f t="shared" si="8"/>
        <v>#DIV/0!</v>
      </c>
      <c r="T125" s="677" t="e">
        <f t="shared" si="12"/>
        <v>#DIV/0!</v>
      </c>
      <c r="U125" s="80" t="e">
        <f t="shared" si="11"/>
        <v>#DIV/0!</v>
      </c>
      <c r="V125" s="85">
        <f t="shared" si="9"/>
        <v>350</v>
      </c>
      <c r="W125" s="679">
        <f t="shared" si="10"/>
        <v>345</v>
      </c>
      <c r="X125" s="4"/>
    </row>
    <row r="126" spans="1:24" x14ac:dyDescent="0.25">
      <c r="A126" s="680" t="s">
        <v>458</v>
      </c>
      <c r="B126" s="681" t="s">
        <v>459</v>
      </c>
      <c r="C126" s="47" t="s">
        <v>408</v>
      </c>
      <c r="D126" s="118" t="s">
        <v>40</v>
      </c>
      <c r="E126" s="118" t="s">
        <v>17</v>
      </c>
      <c r="F126" s="118" t="s">
        <v>514</v>
      </c>
      <c r="G126" s="118">
        <v>28</v>
      </c>
      <c r="H126" s="118">
        <v>1</v>
      </c>
      <c r="I126" s="118">
        <v>1500</v>
      </c>
      <c r="J126" s="675">
        <v>4</v>
      </c>
      <c r="K126" s="118">
        <v>776</v>
      </c>
      <c r="L126" s="118" t="s">
        <v>156</v>
      </c>
      <c r="M126" s="64">
        <v>342</v>
      </c>
      <c r="N126" s="676">
        <v>3.2222580000000005</v>
      </c>
      <c r="O126" s="675" t="s">
        <v>140</v>
      </c>
      <c r="P126" s="15">
        <v>0</v>
      </c>
      <c r="Q126" s="46">
        <f t="shared" si="7"/>
        <v>0</v>
      </c>
      <c r="R126" s="46" t="e">
        <f t="shared" si="13"/>
        <v>#DIV/0!</v>
      </c>
      <c r="S126" s="46" t="e">
        <f t="shared" si="8"/>
        <v>#DIV/0!</v>
      </c>
      <c r="T126" s="677" t="e">
        <f t="shared" si="12"/>
        <v>#DIV/0!</v>
      </c>
      <c r="U126" s="80" t="e">
        <f t="shared" si="11"/>
        <v>#DIV/0!</v>
      </c>
      <c r="V126" s="85">
        <f t="shared" si="9"/>
        <v>350</v>
      </c>
      <c r="W126" s="679">
        <f t="shared" si="10"/>
        <v>345</v>
      </c>
      <c r="X126" s="4"/>
    </row>
    <row r="127" spans="1:24" x14ac:dyDescent="0.25">
      <c r="A127" s="680" t="s">
        <v>461</v>
      </c>
      <c r="B127" s="681" t="s">
        <v>459</v>
      </c>
      <c r="C127" s="47" t="s">
        <v>462</v>
      </c>
      <c r="D127" s="118" t="s">
        <v>40</v>
      </c>
      <c r="E127" s="118" t="s">
        <v>17</v>
      </c>
      <c r="F127" s="118" t="s">
        <v>513</v>
      </c>
      <c r="G127" s="118">
        <v>2</v>
      </c>
      <c r="H127" s="118">
        <v>1</v>
      </c>
      <c r="I127" s="118">
        <v>11097</v>
      </c>
      <c r="J127" s="675">
        <v>4</v>
      </c>
      <c r="K127" s="118">
        <v>585</v>
      </c>
      <c r="L127" s="118" t="s">
        <v>156</v>
      </c>
      <c r="M127" s="64">
        <v>342</v>
      </c>
      <c r="N127" s="676">
        <v>3.6691980000000006</v>
      </c>
      <c r="O127" s="675" t="s">
        <v>140</v>
      </c>
      <c r="P127" s="15">
        <v>0</v>
      </c>
      <c r="Q127" s="46">
        <f t="shared" si="7"/>
        <v>0</v>
      </c>
      <c r="R127" s="46" t="e">
        <f t="shared" si="13"/>
        <v>#DIV/0!</v>
      </c>
      <c r="S127" s="46" t="e">
        <f t="shared" si="8"/>
        <v>#DIV/0!</v>
      </c>
      <c r="T127" s="677" t="e">
        <f t="shared" si="12"/>
        <v>#DIV/0!</v>
      </c>
      <c r="U127" s="80" t="e">
        <f t="shared" si="11"/>
        <v>#DIV/0!</v>
      </c>
      <c r="V127" s="85">
        <f t="shared" si="9"/>
        <v>350</v>
      </c>
      <c r="W127" s="679">
        <f t="shared" si="10"/>
        <v>345</v>
      </c>
      <c r="X127" s="4"/>
    </row>
    <row r="128" spans="1:24" x14ac:dyDescent="0.25">
      <c r="A128" s="680" t="s">
        <v>461</v>
      </c>
      <c r="B128" s="681" t="s">
        <v>459</v>
      </c>
      <c r="C128" s="47" t="s">
        <v>408</v>
      </c>
      <c r="D128" s="118" t="s">
        <v>40</v>
      </c>
      <c r="E128" s="118" t="s">
        <v>17</v>
      </c>
      <c r="F128" s="118" t="s">
        <v>514</v>
      </c>
      <c r="G128" s="118">
        <v>29</v>
      </c>
      <c r="H128" s="118">
        <v>1</v>
      </c>
      <c r="I128" s="118">
        <v>1500</v>
      </c>
      <c r="J128" s="675">
        <v>4</v>
      </c>
      <c r="K128" s="118">
        <v>776</v>
      </c>
      <c r="L128" s="118" t="s">
        <v>156</v>
      </c>
      <c r="M128" s="64">
        <v>342</v>
      </c>
      <c r="N128" s="676">
        <v>3.9870480000000006</v>
      </c>
      <c r="O128" s="675" t="s">
        <v>140</v>
      </c>
      <c r="P128" s="15">
        <v>0</v>
      </c>
      <c r="Q128" s="46">
        <f t="shared" si="7"/>
        <v>0</v>
      </c>
      <c r="R128" s="46" t="e">
        <f t="shared" si="13"/>
        <v>#DIV/0!</v>
      </c>
      <c r="S128" s="46" t="e">
        <f t="shared" si="8"/>
        <v>#DIV/0!</v>
      </c>
      <c r="T128" s="677" t="e">
        <f t="shared" si="12"/>
        <v>#DIV/0!</v>
      </c>
      <c r="U128" s="80" t="e">
        <f t="shared" si="11"/>
        <v>#DIV/0!</v>
      </c>
      <c r="V128" s="85">
        <f t="shared" si="9"/>
        <v>350</v>
      </c>
      <c r="W128" s="679">
        <f t="shared" si="10"/>
        <v>345</v>
      </c>
      <c r="X128" s="4"/>
    </row>
    <row r="129" spans="1:24" x14ac:dyDescent="0.25">
      <c r="A129" s="680" t="s">
        <v>461</v>
      </c>
      <c r="B129" s="681" t="s">
        <v>459</v>
      </c>
      <c r="C129" s="47" t="s">
        <v>408</v>
      </c>
      <c r="D129" s="118" t="s">
        <v>40</v>
      </c>
      <c r="E129" s="118" t="s">
        <v>17</v>
      </c>
      <c r="F129" s="118" t="s">
        <v>514</v>
      </c>
      <c r="G129" s="118">
        <v>1</v>
      </c>
      <c r="H129" s="118">
        <v>1</v>
      </c>
      <c r="I129" s="118">
        <v>1500</v>
      </c>
      <c r="J129" s="675">
        <v>4</v>
      </c>
      <c r="K129" s="118">
        <v>3879</v>
      </c>
      <c r="L129" s="118" t="s">
        <v>156</v>
      </c>
      <c r="M129" s="64">
        <v>342</v>
      </c>
      <c r="N129" s="676">
        <v>3.6691980000000006</v>
      </c>
      <c r="O129" s="675" t="s">
        <v>140</v>
      </c>
      <c r="P129" s="15">
        <v>0</v>
      </c>
      <c r="Q129" s="46">
        <f t="shared" si="7"/>
        <v>0</v>
      </c>
      <c r="R129" s="46" t="e">
        <f t="shared" si="13"/>
        <v>#DIV/0!</v>
      </c>
      <c r="S129" s="46" t="e">
        <f t="shared" si="8"/>
        <v>#DIV/0!</v>
      </c>
      <c r="T129" s="677" t="e">
        <f t="shared" si="12"/>
        <v>#DIV/0!</v>
      </c>
      <c r="U129" s="80" t="e">
        <f t="shared" si="11"/>
        <v>#DIV/0!</v>
      </c>
      <c r="V129" s="85">
        <f t="shared" si="9"/>
        <v>350</v>
      </c>
      <c r="W129" s="679">
        <f t="shared" si="10"/>
        <v>345</v>
      </c>
      <c r="X129" s="4"/>
    </row>
    <row r="130" spans="1:24" x14ac:dyDescent="0.25">
      <c r="A130" s="680" t="s">
        <v>406</v>
      </c>
      <c r="B130" s="681" t="s">
        <v>407</v>
      </c>
      <c r="C130" s="47" t="s">
        <v>408</v>
      </c>
      <c r="D130" s="118" t="s">
        <v>41</v>
      </c>
      <c r="E130" s="118" t="s">
        <v>524</v>
      </c>
      <c r="F130" s="118" t="s">
        <v>515</v>
      </c>
      <c r="G130" s="118">
        <v>12</v>
      </c>
      <c r="H130" s="118">
        <v>2</v>
      </c>
      <c r="I130" s="118">
        <v>26385</v>
      </c>
      <c r="J130" s="675">
        <v>4</v>
      </c>
      <c r="K130" s="118">
        <v>2784</v>
      </c>
      <c r="L130" s="118" t="s">
        <v>490</v>
      </c>
      <c r="M130" s="64">
        <v>686</v>
      </c>
      <c r="N130" s="676">
        <v>6.8208000000000002</v>
      </c>
      <c r="O130" s="675" t="s">
        <v>140</v>
      </c>
      <c r="P130" s="15">
        <v>0</v>
      </c>
      <c r="Q130" s="46">
        <f t="shared" si="7"/>
        <v>0</v>
      </c>
      <c r="R130" s="46" t="e">
        <f t="shared" si="13"/>
        <v>#DIV/0!</v>
      </c>
      <c r="S130" s="46" t="e">
        <f t="shared" si="8"/>
        <v>#DIV/0!</v>
      </c>
      <c r="T130" s="677" t="e">
        <f t="shared" si="12"/>
        <v>#DIV/0!</v>
      </c>
      <c r="U130" s="80" t="e">
        <f t="shared" si="11"/>
        <v>#DIV/0!</v>
      </c>
      <c r="V130" s="678">
        <f t="shared" si="9"/>
        <v>690</v>
      </c>
      <c r="W130" s="679">
        <f t="shared" si="10"/>
        <v>690</v>
      </c>
      <c r="X130" s="4"/>
    </row>
    <row r="131" spans="1:24" x14ac:dyDescent="0.25">
      <c r="A131" s="680" t="s">
        <v>406</v>
      </c>
      <c r="B131" s="681" t="s">
        <v>407</v>
      </c>
      <c r="C131" s="47" t="s">
        <v>408</v>
      </c>
      <c r="D131" s="118" t="s">
        <v>42</v>
      </c>
      <c r="E131" s="118" t="s">
        <v>524</v>
      </c>
      <c r="F131" s="118" t="s">
        <v>516</v>
      </c>
      <c r="G131" s="118">
        <v>12</v>
      </c>
      <c r="H131" s="118">
        <v>1</v>
      </c>
      <c r="I131" s="118">
        <v>91778</v>
      </c>
      <c r="J131" s="675">
        <v>4</v>
      </c>
      <c r="K131" s="118">
        <v>1781</v>
      </c>
      <c r="L131" s="118" t="s">
        <v>490</v>
      </c>
      <c r="M131" s="64">
        <v>686</v>
      </c>
      <c r="N131" s="676">
        <v>7.3304</v>
      </c>
      <c r="O131" s="675" t="s">
        <v>140</v>
      </c>
      <c r="P131" s="15">
        <v>0</v>
      </c>
      <c r="Q131" s="46">
        <f t="shared" si="7"/>
        <v>0</v>
      </c>
      <c r="R131" s="46" t="e">
        <f t="shared" si="13"/>
        <v>#DIV/0!</v>
      </c>
      <c r="S131" s="46" t="e">
        <f t="shared" si="8"/>
        <v>#DIV/0!</v>
      </c>
      <c r="T131" s="677" t="e">
        <f t="shared" si="12"/>
        <v>#DIV/0!</v>
      </c>
      <c r="U131" s="80" t="e">
        <f t="shared" si="11"/>
        <v>#DIV/0!</v>
      </c>
      <c r="V131" s="85">
        <f t="shared" si="9"/>
        <v>690</v>
      </c>
      <c r="W131" s="679">
        <f t="shared" si="10"/>
        <v>690</v>
      </c>
      <c r="X131" s="4"/>
    </row>
    <row r="132" spans="1:24" x14ac:dyDescent="0.25">
      <c r="A132" s="680" t="s">
        <v>409</v>
      </c>
      <c r="B132" s="681" t="s">
        <v>410</v>
      </c>
      <c r="C132" s="47" t="s">
        <v>408</v>
      </c>
      <c r="D132" s="118" t="s">
        <v>43</v>
      </c>
      <c r="E132" s="118" t="s">
        <v>510</v>
      </c>
      <c r="F132" s="118" t="s">
        <v>517</v>
      </c>
      <c r="G132" s="118">
        <v>12</v>
      </c>
      <c r="H132" s="118">
        <v>2</v>
      </c>
      <c r="I132" s="118">
        <v>12900</v>
      </c>
      <c r="J132" s="675">
        <v>4</v>
      </c>
      <c r="K132" s="118">
        <v>968</v>
      </c>
      <c r="L132" s="118" t="s">
        <v>490</v>
      </c>
      <c r="M132" s="64">
        <v>703</v>
      </c>
      <c r="N132" s="676">
        <v>8.6020000000000003</v>
      </c>
      <c r="O132" s="675" t="s">
        <v>140</v>
      </c>
      <c r="P132" s="15">
        <v>0</v>
      </c>
      <c r="Q132" s="46">
        <f t="shared" si="7"/>
        <v>0</v>
      </c>
      <c r="R132" s="46" t="e">
        <f t="shared" si="13"/>
        <v>#DIV/0!</v>
      </c>
      <c r="S132" s="46" t="e">
        <f t="shared" si="8"/>
        <v>#DIV/0!</v>
      </c>
      <c r="T132" s="677" t="e">
        <f t="shared" si="12"/>
        <v>#DIV/0!</v>
      </c>
      <c r="U132" s="80" t="e">
        <f t="shared" si="11"/>
        <v>#DIV/0!</v>
      </c>
      <c r="V132" s="85">
        <f t="shared" si="9"/>
        <v>710</v>
      </c>
      <c r="W132" s="679">
        <f t="shared" si="10"/>
        <v>705</v>
      </c>
      <c r="X132" s="4"/>
    </row>
    <row r="133" spans="1:24" x14ac:dyDescent="0.25">
      <c r="A133" s="680" t="s">
        <v>414</v>
      </c>
      <c r="B133" s="681" t="s">
        <v>415</v>
      </c>
      <c r="C133" s="47" t="s">
        <v>408</v>
      </c>
      <c r="D133" s="118" t="s">
        <v>44</v>
      </c>
      <c r="E133" s="118" t="s">
        <v>510</v>
      </c>
      <c r="F133" s="118" t="s">
        <v>518</v>
      </c>
      <c r="G133" s="118">
        <v>3</v>
      </c>
      <c r="H133" s="118">
        <v>1</v>
      </c>
      <c r="I133" s="118">
        <v>17971</v>
      </c>
      <c r="J133" s="675">
        <v>4</v>
      </c>
      <c r="K133" s="118">
        <v>2184</v>
      </c>
      <c r="L133" s="118" t="s">
        <v>490</v>
      </c>
      <c r="M133" s="64">
        <v>703</v>
      </c>
      <c r="N133" s="676">
        <v>1.1642600000000001</v>
      </c>
      <c r="O133" s="675" t="s">
        <v>140</v>
      </c>
      <c r="P133" s="15">
        <v>0</v>
      </c>
      <c r="Q133" s="46">
        <f t="shared" si="7"/>
        <v>0</v>
      </c>
      <c r="R133" s="46" t="e">
        <f t="shared" si="13"/>
        <v>#DIV/0!</v>
      </c>
      <c r="S133" s="46" t="e">
        <f t="shared" si="8"/>
        <v>#DIV/0!</v>
      </c>
      <c r="T133" s="677" t="e">
        <f t="shared" si="12"/>
        <v>#DIV/0!</v>
      </c>
      <c r="U133" s="80" t="e">
        <f t="shared" si="11"/>
        <v>#DIV/0!</v>
      </c>
      <c r="V133" s="85">
        <f t="shared" si="9"/>
        <v>710</v>
      </c>
      <c r="W133" s="679">
        <f t="shared" si="10"/>
        <v>705</v>
      </c>
      <c r="X133" s="4"/>
    </row>
    <row r="134" spans="1:24" x14ac:dyDescent="0.25">
      <c r="A134" s="680" t="s">
        <v>417</v>
      </c>
      <c r="B134" s="681" t="s">
        <v>415</v>
      </c>
      <c r="C134" s="47" t="s">
        <v>408</v>
      </c>
      <c r="D134" s="118" t="s">
        <v>44</v>
      </c>
      <c r="E134" s="118" t="s">
        <v>510</v>
      </c>
      <c r="F134" s="118" t="s">
        <v>519</v>
      </c>
      <c r="G134" s="118">
        <v>2</v>
      </c>
      <c r="H134" s="118">
        <v>1</v>
      </c>
      <c r="I134" s="118">
        <v>7759</v>
      </c>
      <c r="J134" s="675">
        <v>4</v>
      </c>
      <c r="K134" s="118">
        <v>785</v>
      </c>
      <c r="L134" s="118" t="s">
        <v>490</v>
      </c>
      <c r="M134" s="64">
        <v>703</v>
      </c>
      <c r="N134" s="676">
        <v>2.7219120000000001</v>
      </c>
      <c r="O134" s="675" t="s">
        <v>140</v>
      </c>
      <c r="P134" s="15">
        <v>0</v>
      </c>
      <c r="Q134" s="46">
        <f t="shared" si="7"/>
        <v>0</v>
      </c>
      <c r="R134" s="46" t="e">
        <f t="shared" si="13"/>
        <v>#DIV/0!</v>
      </c>
      <c r="S134" s="46" t="e">
        <f t="shared" si="8"/>
        <v>#DIV/0!</v>
      </c>
      <c r="T134" s="677" t="e">
        <f t="shared" si="12"/>
        <v>#DIV/0!</v>
      </c>
      <c r="U134" s="80" t="e">
        <f t="shared" si="11"/>
        <v>#DIV/0!</v>
      </c>
      <c r="V134" s="85">
        <f t="shared" si="9"/>
        <v>710</v>
      </c>
      <c r="W134" s="679">
        <f t="shared" si="10"/>
        <v>705</v>
      </c>
      <c r="X134" s="4"/>
    </row>
    <row r="135" spans="1:24" x14ac:dyDescent="0.25">
      <c r="A135" s="680" t="s">
        <v>419</v>
      </c>
      <c r="B135" s="681" t="s">
        <v>415</v>
      </c>
      <c r="C135" s="47" t="s">
        <v>408</v>
      </c>
      <c r="D135" s="118" t="s">
        <v>41</v>
      </c>
      <c r="E135" s="118" t="s">
        <v>524</v>
      </c>
      <c r="F135" s="118" t="s">
        <v>519</v>
      </c>
      <c r="G135" s="118">
        <v>1</v>
      </c>
      <c r="H135" s="118">
        <v>1</v>
      </c>
      <c r="I135" s="118">
        <v>7100</v>
      </c>
      <c r="J135" s="675">
        <v>4</v>
      </c>
      <c r="K135" s="118">
        <v>785</v>
      </c>
      <c r="L135" s="118" t="s">
        <v>490</v>
      </c>
      <c r="M135" s="64">
        <v>686</v>
      </c>
      <c r="N135" s="676">
        <v>10.6624</v>
      </c>
      <c r="O135" s="675" t="s">
        <v>140</v>
      </c>
      <c r="P135" s="15">
        <v>0</v>
      </c>
      <c r="Q135" s="46">
        <f t="shared" si="7"/>
        <v>0</v>
      </c>
      <c r="R135" s="46" t="e">
        <f t="shared" si="13"/>
        <v>#DIV/0!</v>
      </c>
      <c r="S135" s="46" t="e">
        <f t="shared" si="8"/>
        <v>#DIV/0!</v>
      </c>
      <c r="T135" s="677" t="e">
        <f t="shared" si="12"/>
        <v>#DIV/0!</v>
      </c>
      <c r="U135" s="80" t="e">
        <f t="shared" si="11"/>
        <v>#DIV/0!</v>
      </c>
      <c r="V135" s="85">
        <f t="shared" si="9"/>
        <v>690</v>
      </c>
      <c r="W135" s="679">
        <f t="shared" si="10"/>
        <v>690</v>
      </c>
      <c r="X135" s="4"/>
    </row>
    <row r="136" spans="1:24" x14ac:dyDescent="0.25">
      <c r="A136" s="680" t="s">
        <v>421</v>
      </c>
      <c r="B136" s="681" t="s">
        <v>422</v>
      </c>
      <c r="C136" s="47" t="s">
        <v>423</v>
      </c>
      <c r="D136" s="118" t="s">
        <v>44</v>
      </c>
      <c r="E136" s="118" t="s">
        <v>510</v>
      </c>
      <c r="F136" s="118" t="s">
        <v>520</v>
      </c>
      <c r="G136" s="118">
        <v>1</v>
      </c>
      <c r="H136" s="118">
        <v>1</v>
      </c>
      <c r="I136" s="118">
        <v>19050</v>
      </c>
      <c r="J136" s="675">
        <v>4</v>
      </c>
      <c r="K136" s="118">
        <v>1185</v>
      </c>
      <c r="L136" s="118" t="s">
        <v>490</v>
      </c>
      <c r="M136" s="64">
        <v>703</v>
      </c>
      <c r="N136" s="676">
        <v>5.6800800000000002</v>
      </c>
      <c r="O136" s="675" t="s">
        <v>140</v>
      </c>
      <c r="P136" s="15">
        <v>0</v>
      </c>
      <c r="Q136" s="46">
        <f t="shared" si="7"/>
        <v>0</v>
      </c>
      <c r="R136" s="46" t="e">
        <f t="shared" si="13"/>
        <v>#DIV/0!</v>
      </c>
      <c r="S136" s="46" t="e">
        <f t="shared" si="8"/>
        <v>#DIV/0!</v>
      </c>
      <c r="T136" s="677" t="e">
        <f t="shared" si="12"/>
        <v>#DIV/0!</v>
      </c>
      <c r="U136" s="80" t="e">
        <f t="shared" si="11"/>
        <v>#DIV/0!</v>
      </c>
      <c r="V136" s="85">
        <f t="shared" si="9"/>
        <v>710</v>
      </c>
      <c r="W136" s="679">
        <f t="shared" si="10"/>
        <v>705</v>
      </c>
      <c r="X136" s="4"/>
    </row>
    <row r="137" spans="1:24" x14ac:dyDescent="0.25">
      <c r="A137" s="680" t="s">
        <v>425</v>
      </c>
      <c r="B137" s="681" t="s">
        <v>426</v>
      </c>
      <c r="C137" s="47" t="s">
        <v>427</v>
      </c>
      <c r="D137" s="118" t="s">
        <v>41</v>
      </c>
      <c r="E137" s="118" t="s">
        <v>524</v>
      </c>
      <c r="F137" s="118" t="s">
        <v>520</v>
      </c>
      <c r="G137" s="118">
        <v>3</v>
      </c>
      <c r="H137" s="118">
        <v>1</v>
      </c>
      <c r="I137" s="118">
        <v>4255</v>
      </c>
      <c r="J137" s="675">
        <v>4</v>
      </c>
      <c r="K137" s="118">
        <v>1185</v>
      </c>
      <c r="L137" s="118" t="s">
        <v>490</v>
      </c>
      <c r="M137" s="64">
        <v>686</v>
      </c>
      <c r="N137" s="676">
        <v>0.50960000000000005</v>
      </c>
      <c r="O137" s="675" t="s">
        <v>140</v>
      </c>
      <c r="P137" s="15">
        <v>0</v>
      </c>
      <c r="Q137" s="46">
        <f t="shared" si="7"/>
        <v>0</v>
      </c>
      <c r="R137" s="46" t="e">
        <f t="shared" si="13"/>
        <v>#DIV/0!</v>
      </c>
      <c r="S137" s="46" t="e">
        <f t="shared" si="8"/>
        <v>#DIV/0!</v>
      </c>
      <c r="T137" s="677" t="e">
        <f t="shared" si="12"/>
        <v>#DIV/0!</v>
      </c>
      <c r="U137" s="80" t="e">
        <f t="shared" si="11"/>
        <v>#DIV/0!</v>
      </c>
      <c r="V137" s="85">
        <f t="shared" si="9"/>
        <v>690</v>
      </c>
      <c r="W137" s="679">
        <f t="shared" si="10"/>
        <v>690</v>
      </c>
      <c r="X137" s="4"/>
    </row>
    <row r="138" spans="1:24" x14ac:dyDescent="0.25">
      <c r="A138" s="680" t="s">
        <v>429</v>
      </c>
      <c r="B138" s="681" t="s">
        <v>430</v>
      </c>
      <c r="C138" s="47" t="s">
        <v>431</v>
      </c>
      <c r="D138" s="118" t="s">
        <v>44</v>
      </c>
      <c r="E138" s="118" t="s">
        <v>510</v>
      </c>
      <c r="F138" s="118" t="s">
        <v>521</v>
      </c>
      <c r="G138" s="118">
        <v>1</v>
      </c>
      <c r="H138" s="118">
        <v>1</v>
      </c>
      <c r="I138" s="118">
        <v>89250</v>
      </c>
      <c r="J138" s="675">
        <v>4</v>
      </c>
      <c r="K138" s="118">
        <v>1190</v>
      </c>
      <c r="L138" s="118" t="s">
        <v>490</v>
      </c>
      <c r="M138" s="64">
        <v>703</v>
      </c>
      <c r="N138" s="676">
        <v>0.240396</v>
      </c>
      <c r="O138" s="675" t="s">
        <v>140</v>
      </c>
      <c r="P138" s="15">
        <v>0</v>
      </c>
      <c r="Q138" s="46">
        <f t="shared" ref="Q138:Q201" si="14">IF(P138="","",IF(P138="dar valor","",0.03937*P138))</f>
        <v>0</v>
      </c>
      <c r="R138" s="46" t="e">
        <f t="shared" si="13"/>
        <v>#DIV/0!</v>
      </c>
      <c r="S138" s="46" t="e">
        <f t="shared" ref="S138:S201" si="15">IF(R138="","",+N138/R138)</f>
        <v>#DIV/0!</v>
      </c>
      <c r="T138" s="677" t="e">
        <f t="shared" si="12"/>
        <v>#DIV/0!</v>
      </c>
      <c r="U138" s="80" t="e">
        <f t="shared" si="11"/>
        <v>#DIV/0!</v>
      </c>
      <c r="V138" s="85">
        <f t="shared" ref="V138:V201" si="16">_xlfn.CEILING.MATH(M138,10)</f>
        <v>710</v>
      </c>
      <c r="W138" s="679">
        <f t="shared" ref="W138:W201" si="17">_xlfn.CEILING.MATH(M138,5)</f>
        <v>705</v>
      </c>
      <c r="X138" s="4"/>
    </row>
    <row r="139" spans="1:24" x14ac:dyDescent="0.25">
      <c r="A139" s="680" t="s">
        <v>429</v>
      </c>
      <c r="B139" s="681" t="s">
        <v>430</v>
      </c>
      <c r="C139" s="47" t="s">
        <v>433</v>
      </c>
      <c r="D139" s="118" t="s">
        <v>44</v>
      </c>
      <c r="E139" s="118" t="s">
        <v>510</v>
      </c>
      <c r="F139" s="118" t="s">
        <v>522</v>
      </c>
      <c r="G139" s="118">
        <v>1</v>
      </c>
      <c r="H139" s="118">
        <v>1</v>
      </c>
      <c r="I139" s="118">
        <v>13000</v>
      </c>
      <c r="J139" s="675">
        <v>4</v>
      </c>
      <c r="K139" s="118">
        <v>1181</v>
      </c>
      <c r="L139" s="118" t="s">
        <v>490</v>
      </c>
      <c r="M139" s="64">
        <v>703</v>
      </c>
      <c r="N139" s="676">
        <v>1.20313</v>
      </c>
      <c r="O139" s="675" t="s">
        <v>140</v>
      </c>
      <c r="P139" s="15">
        <v>0</v>
      </c>
      <c r="Q139" s="46">
        <f t="shared" si="14"/>
        <v>0</v>
      </c>
      <c r="R139" s="46" t="e">
        <f t="shared" si="13"/>
        <v>#DIV/0!</v>
      </c>
      <c r="S139" s="46" t="e">
        <f t="shared" si="15"/>
        <v>#DIV/0!</v>
      </c>
      <c r="T139" s="677" t="e">
        <f t="shared" si="12"/>
        <v>#DIV/0!</v>
      </c>
      <c r="U139" s="80" t="e">
        <f t="shared" si="11"/>
        <v>#DIV/0!</v>
      </c>
      <c r="V139" s="85">
        <f t="shared" si="16"/>
        <v>710</v>
      </c>
      <c r="W139" s="679">
        <f t="shared" si="17"/>
        <v>705</v>
      </c>
      <c r="X139" s="4"/>
    </row>
    <row r="140" spans="1:24" x14ac:dyDescent="0.25">
      <c r="A140" s="680" t="s">
        <v>429</v>
      </c>
      <c r="B140" s="681" t="s">
        <v>430</v>
      </c>
      <c r="C140" s="47" t="s">
        <v>435</v>
      </c>
      <c r="D140" s="118" t="s">
        <v>44</v>
      </c>
      <c r="E140" s="118" t="s">
        <v>510</v>
      </c>
      <c r="F140" s="118" t="s">
        <v>522</v>
      </c>
      <c r="G140" s="118">
        <v>1</v>
      </c>
      <c r="H140" s="118">
        <v>1</v>
      </c>
      <c r="I140" s="118">
        <v>4250</v>
      </c>
      <c r="J140" s="675">
        <v>4</v>
      </c>
      <c r="K140" s="118">
        <v>1181</v>
      </c>
      <c r="L140" s="118" t="s">
        <v>490</v>
      </c>
      <c r="M140" s="64">
        <v>703</v>
      </c>
      <c r="N140" s="676">
        <v>1.2699450000000001</v>
      </c>
      <c r="O140" s="675" t="s">
        <v>140</v>
      </c>
      <c r="P140" s="15">
        <v>0</v>
      </c>
      <c r="Q140" s="46">
        <f t="shared" si="14"/>
        <v>0</v>
      </c>
      <c r="R140" s="46" t="e">
        <f t="shared" si="13"/>
        <v>#DIV/0!</v>
      </c>
      <c r="S140" s="46" t="e">
        <f t="shared" si="15"/>
        <v>#DIV/0!</v>
      </c>
      <c r="T140" s="677" t="e">
        <f t="shared" si="12"/>
        <v>#DIV/0!</v>
      </c>
      <c r="U140" s="80" t="e">
        <f t="shared" ref="U140:U203" si="18">(IF(O140="FX 2003",(S140*$V$2),0))</f>
        <v>#DIV/0!</v>
      </c>
      <c r="V140" s="85">
        <f t="shared" si="16"/>
        <v>710</v>
      </c>
      <c r="W140" s="679">
        <f t="shared" si="17"/>
        <v>705</v>
      </c>
      <c r="X140" s="4"/>
    </row>
    <row r="141" spans="1:24" x14ac:dyDescent="0.25">
      <c r="A141" s="680" t="s">
        <v>429</v>
      </c>
      <c r="B141" s="681" t="s">
        <v>430</v>
      </c>
      <c r="C141" s="47" t="s">
        <v>437</v>
      </c>
      <c r="D141" s="118" t="s">
        <v>41</v>
      </c>
      <c r="E141" s="118" t="s">
        <v>524</v>
      </c>
      <c r="F141" s="118" t="s">
        <v>522</v>
      </c>
      <c r="G141" s="118">
        <v>1</v>
      </c>
      <c r="H141" s="118">
        <v>1</v>
      </c>
      <c r="I141" s="118">
        <v>8500</v>
      </c>
      <c r="J141" s="675">
        <v>4</v>
      </c>
      <c r="K141" s="118">
        <v>1181</v>
      </c>
      <c r="L141" s="118" t="s">
        <v>490</v>
      </c>
      <c r="M141" s="64">
        <v>686</v>
      </c>
      <c r="N141" s="676">
        <v>2.3088799999999998</v>
      </c>
      <c r="O141" s="675" t="s">
        <v>140</v>
      </c>
      <c r="P141" s="15">
        <v>0</v>
      </c>
      <c r="Q141" s="46">
        <f t="shared" si="14"/>
        <v>0</v>
      </c>
      <c r="R141" s="46" t="e">
        <f t="shared" si="13"/>
        <v>#DIV/0!</v>
      </c>
      <c r="S141" s="46" t="e">
        <f t="shared" si="15"/>
        <v>#DIV/0!</v>
      </c>
      <c r="T141" s="677" t="e">
        <f t="shared" ref="T141:T204" si="19">(IF(O141="Stofire",(S141/(7*1)),0))+(IF(O141="Fire Control",(S141/(7*1)),0))+(IF(O141="Fire Tex",(S141/(7*1)),0))+(IF(O141="WB7",(S141/(7*1)),0))+(IF(O141="FX 2003",(S141/(7*1)),0))</f>
        <v>#DIV/0!</v>
      </c>
      <c r="U141" s="80" t="e">
        <f t="shared" si="18"/>
        <v>#DIV/0!</v>
      </c>
      <c r="V141" s="85">
        <f t="shared" si="16"/>
        <v>690</v>
      </c>
      <c r="W141" s="679">
        <f t="shared" si="17"/>
        <v>690</v>
      </c>
      <c r="X141" s="4"/>
    </row>
    <row r="142" spans="1:24" x14ac:dyDescent="0.25">
      <c r="A142" s="680" t="s">
        <v>439</v>
      </c>
      <c r="B142" s="681" t="s">
        <v>430</v>
      </c>
      <c r="C142" s="47" t="s">
        <v>431</v>
      </c>
      <c r="D142" s="118" t="s">
        <v>41</v>
      </c>
      <c r="E142" s="118" t="s">
        <v>524</v>
      </c>
      <c r="F142" s="118" t="s">
        <v>521</v>
      </c>
      <c r="G142" s="118">
        <v>1</v>
      </c>
      <c r="H142" s="118">
        <v>1</v>
      </c>
      <c r="I142" s="118">
        <v>103000</v>
      </c>
      <c r="J142" s="675">
        <v>4</v>
      </c>
      <c r="K142" s="118">
        <v>1190</v>
      </c>
      <c r="L142" s="118" t="s">
        <v>490</v>
      </c>
      <c r="M142" s="64">
        <v>686</v>
      </c>
      <c r="N142" s="676">
        <v>2.1364000000000001</v>
      </c>
      <c r="O142" s="675" t="s">
        <v>140</v>
      </c>
      <c r="P142" s="15">
        <v>0</v>
      </c>
      <c r="Q142" s="46">
        <f t="shared" si="14"/>
        <v>0</v>
      </c>
      <c r="R142" s="46" t="e">
        <f t="shared" ref="R142:R205" si="20">IF(O142="","",((IF(O142="Stofire",((65*1.5/Q142)*0.75*5),0))+(IF(O142="Fire Control",((65*1.5/Q142)*0.75*4),0))+(IF(O142="Fire Tex",((71*1.5/Q142)*0.75*5),0))+(IF(O142="WB7",((67*1.5/Q142)*0.75*5),0))+(IF(O142="FX 2003",((71*1.5/Q142)*0.75*5),0))))</f>
        <v>#DIV/0!</v>
      </c>
      <c r="S142" s="46" t="e">
        <f t="shared" si="15"/>
        <v>#DIV/0!</v>
      </c>
      <c r="T142" s="677" t="e">
        <f t="shared" si="19"/>
        <v>#DIV/0!</v>
      </c>
      <c r="U142" s="80" t="e">
        <f t="shared" si="18"/>
        <v>#DIV/0!</v>
      </c>
      <c r="V142" s="85">
        <f t="shared" si="16"/>
        <v>690</v>
      </c>
      <c r="W142" s="679">
        <f t="shared" si="17"/>
        <v>690</v>
      </c>
      <c r="X142" s="4"/>
    </row>
    <row r="143" spans="1:24" x14ac:dyDescent="0.25">
      <c r="A143" s="680" t="s">
        <v>439</v>
      </c>
      <c r="B143" s="681" t="s">
        <v>430</v>
      </c>
      <c r="C143" s="47" t="s">
        <v>435</v>
      </c>
      <c r="D143" s="118" t="s">
        <v>41</v>
      </c>
      <c r="E143" s="118" t="s">
        <v>524</v>
      </c>
      <c r="F143" s="118" t="s">
        <v>522</v>
      </c>
      <c r="G143" s="118">
        <v>1</v>
      </c>
      <c r="H143" s="118">
        <v>1</v>
      </c>
      <c r="I143" s="118">
        <v>12750</v>
      </c>
      <c r="J143" s="675">
        <v>4</v>
      </c>
      <c r="K143" s="118">
        <v>1181</v>
      </c>
      <c r="L143" s="118" t="s">
        <v>490</v>
      </c>
      <c r="M143" s="64">
        <v>686</v>
      </c>
      <c r="N143" s="676">
        <v>2.1795200000000001</v>
      </c>
      <c r="O143" s="675" t="s">
        <v>140</v>
      </c>
      <c r="P143" s="15">
        <v>0</v>
      </c>
      <c r="Q143" s="46">
        <f t="shared" si="14"/>
        <v>0</v>
      </c>
      <c r="R143" s="46" t="e">
        <f t="shared" si="20"/>
        <v>#DIV/0!</v>
      </c>
      <c r="S143" s="46" t="e">
        <f t="shared" si="15"/>
        <v>#DIV/0!</v>
      </c>
      <c r="T143" s="677" t="e">
        <f t="shared" si="19"/>
        <v>#DIV/0!</v>
      </c>
      <c r="U143" s="80" t="e">
        <f t="shared" si="18"/>
        <v>#DIV/0!</v>
      </c>
      <c r="V143" s="85">
        <f t="shared" si="16"/>
        <v>690</v>
      </c>
      <c r="W143" s="679">
        <f t="shared" si="17"/>
        <v>690</v>
      </c>
      <c r="X143" s="4"/>
    </row>
    <row r="144" spans="1:24" x14ac:dyDescent="0.25">
      <c r="A144" s="680" t="s">
        <v>442</v>
      </c>
      <c r="B144" s="681" t="s">
        <v>443</v>
      </c>
      <c r="C144" s="47" t="s">
        <v>444</v>
      </c>
      <c r="D144" s="118" t="s">
        <v>44</v>
      </c>
      <c r="E144" s="118" t="s">
        <v>510</v>
      </c>
      <c r="F144" s="118" t="s">
        <v>523</v>
      </c>
      <c r="G144" s="118">
        <v>1</v>
      </c>
      <c r="H144" s="118">
        <v>1</v>
      </c>
      <c r="I144" s="118">
        <v>17500</v>
      </c>
      <c r="J144" s="675">
        <v>4</v>
      </c>
      <c r="K144" s="118">
        <v>1692</v>
      </c>
      <c r="L144" s="118" t="s">
        <v>490</v>
      </c>
      <c r="M144" s="64">
        <v>703</v>
      </c>
      <c r="N144" s="676">
        <v>1.02488</v>
      </c>
      <c r="O144" s="675" t="s">
        <v>140</v>
      </c>
      <c r="P144" s="15">
        <v>0</v>
      </c>
      <c r="Q144" s="46">
        <f t="shared" si="14"/>
        <v>0</v>
      </c>
      <c r="R144" s="46" t="e">
        <f t="shared" si="20"/>
        <v>#DIV/0!</v>
      </c>
      <c r="S144" s="46" t="e">
        <f t="shared" si="15"/>
        <v>#DIV/0!</v>
      </c>
      <c r="T144" s="677" t="e">
        <f t="shared" si="19"/>
        <v>#DIV/0!</v>
      </c>
      <c r="U144" s="80" t="e">
        <f t="shared" si="18"/>
        <v>#DIV/0!</v>
      </c>
      <c r="V144" s="85">
        <f t="shared" si="16"/>
        <v>710</v>
      </c>
      <c r="W144" s="679">
        <f t="shared" si="17"/>
        <v>705</v>
      </c>
      <c r="X144" s="4"/>
    </row>
    <row r="145" spans="1:24" x14ac:dyDescent="0.25">
      <c r="A145" s="680" t="s">
        <v>442</v>
      </c>
      <c r="B145" s="681" t="s">
        <v>443</v>
      </c>
      <c r="C145" s="47" t="s">
        <v>446</v>
      </c>
      <c r="D145" s="118" t="s">
        <v>42</v>
      </c>
      <c r="E145" s="118" t="s">
        <v>524</v>
      </c>
      <c r="F145" s="118" t="s">
        <v>523</v>
      </c>
      <c r="G145" s="118">
        <v>1</v>
      </c>
      <c r="H145" s="118">
        <v>1</v>
      </c>
      <c r="I145" s="118">
        <v>8500</v>
      </c>
      <c r="J145" s="675">
        <v>4</v>
      </c>
      <c r="K145" s="118">
        <v>1502</v>
      </c>
      <c r="L145" s="118" t="s">
        <v>490</v>
      </c>
      <c r="M145" s="64">
        <v>686</v>
      </c>
      <c r="N145" s="676">
        <v>1.3328</v>
      </c>
      <c r="O145" s="675" t="s">
        <v>140</v>
      </c>
      <c r="P145" s="15">
        <v>0</v>
      </c>
      <c r="Q145" s="46">
        <f t="shared" si="14"/>
        <v>0</v>
      </c>
      <c r="R145" s="46" t="e">
        <f t="shared" si="20"/>
        <v>#DIV/0!</v>
      </c>
      <c r="S145" s="46" t="e">
        <f t="shared" si="15"/>
        <v>#DIV/0!</v>
      </c>
      <c r="T145" s="677" t="e">
        <f t="shared" si="19"/>
        <v>#DIV/0!</v>
      </c>
      <c r="U145" s="80" t="e">
        <f t="shared" si="18"/>
        <v>#DIV/0!</v>
      </c>
      <c r="V145" s="85">
        <f t="shared" si="16"/>
        <v>690</v>
      </c>
      <c r="W145" s="679">
        <f t="shared" si="17"/>
        <v>690</v>
      </c>
      <c r="X145" s="4"/>
    </row>
    <row r="146" spans="1:24" x14ac:dyDescent="0.25">
      <c r="A146" s="680" t="s">
        <v>448</v>
      </c>
      <c r="B146" s="681" t="s">
        <v>443</v>
      </c>
      <c r="C146" s="47" t="s">
        <v>444</v>
      </c>
      <c r="D146" s="118" t="s">
        <v>41</v>
      </c>
      <c r="E146" s="118" t="s">
        <v>524</v>
      </c>
      <c r="F146" s="118" t="s">
        <v>523</v>
      </c>
      <c r="G146" s="118">
        <v>1</v>
      </c>
      <c r="H146" s="118">
        <v>1</v>
      </c>
      <c r="I146" s="118">
        <v>17500</v>
      </c>
      <c r="J146" s="675">
        <v>4</v>
      </c>
      <c r="K146" s="118">
        <v>1692</v>
      </c>
      <c r="L146" s="118" t="s">
        <v>490</v>
      </c>
      <c r="M146" s="64">
        <v>686</v>
      </c>
      <c r="N146" s="676">
        <v>2.8224</v>
      </c>
      <c r="O146" s="675" t="s">
        <v>140</v>
      </c>
      <c r="P146" s="15">
        <v>0</v>
      </c>
      <c r="Q146" s="46">
        <f t="shared" si="14"/>
        <v>0</v>
      </c>
      <c r="R146" s="46" t="e">
        <f t="shared" si="20"/>
        <v>#DIV/0!</v>
      </c>
      <c r="S146" s="46" t="e">
        <f t="shared" si="15"/>
        <v>#DIV/0!</v>
      </c>
      <c r="T146" s="677" t="e">
        <f t="shared" si="19"/>
        <v>#DIV/0!</v>
      </c>
      <c r="U146" s="80" t="e">
        <f t="shared" si="18"/>
        <v>#DIV/0!</v>
      </c>
      <c r="V146" s="85">
        <f t="shared" si="16"/>
        <v>690</v>
      </c>
      <c r="W146" s="679">
        <f t="shared" si="17"/>
        <v>690</v>
      </c>
      <c r="X146" s="4"/>
    </row>
    <row r="147" spans="1:24" x14ac:dyDescent="0.25">
      <c r="A147" s="680" t="s">
        <v>448</v>
      </c>
      <c r="B147" s="681" t="s">
        <v>443</v>
      </c>
      <c r="C147" s="47" t="s">
        <v>446</v>
      </c>
      <c r="D147" s="118" t="s">
        <v>41</v>
      </c>
      <c r="E147" s="118" t="s">
        <v>524</v>
      </c>
      <c r="F147" s="118" t="s">
        <v>523</v>
      </c>
      <c r="G147" s="118">
        <v>1</v>
      </c>
      <c r="H147" s="118">
        <v>1</v>
      </c>
      <c r="I147" s="118">
        <v>8500</v>
      </c>
      <c r="J147" s="675">
        <v>4</v>
      </c>
      <c r="K147" s="118">
        <v>1692</v>
      </c>
      <c r="L147" s="118" t="s">
        <v>490</v>
      </c>
      <c r="M147" s="64">
        <v>686</v>
      </c>
      <c r="N147" s="676">
        <v>3.0575999999999999</v>
      </c>
      <c r="O147" s="675" t="s">
        <v>140</v>
      </c>
      <c r="P147" s="15">
        <v>0</v>
      </c>
      <c r="Q147" s="46">
        <f t="shared" si="14"/>
        <v>0</v>
      </c>
      <c r="R147" s="46" t="e">
        <f t="shared" si="20"/>
        <v>#DIV/0!</v>
      </c>
      <c r="S147" s="46" t="e">
        <f t="shared" si="15"/>
        <v>#DIV/0!</v>
      </c>
      <c r="T147" s="677" t="e">
        <f t="shared" si="19"/>
        <v>#DIV/0!</v>
      </c>
      <c r="U147" s="80" t="e">
        <f t="shared" si="18"/>
        <v>#DIV/0!</v>
      </c>
      <c r="V147" s="85">
        <f t="shared" si="16"/>
        <v>690</v>
      </c>
      <c r="W147" s="679">
        <f t="shared" si="17"/>
        <v>690</v>
      </c>
      <c r="X147" s="4"/>
    </row>
    <row r="148" spans="1:24" x14ac:dyDescent="0.25">
      <c r="A148" s="680" t="s">
        <v>448</v>
      </c>
      <c r="B148" s="681" t="s">
        <v>451</v>
      </c>
      <c r="C148" s="47" t="s">
        <v>446</v>
      </c>
      <c r="D148" s="118" t="s">
        <v>43</v>
      </c>
      <c r="E148" s="118" t="s">
        <v>510</v>
      </c>
      <c r="F148" s="118" t="s">
        <v>523</v>
      </c>
      <c r="G148" s="118">
        <v>2</v>
      </c>
      <c r="H148" s="118">
        <v>1</v>
      </c>
      <c r="I148" s="118">
        <v>8500</v>
      </c>
      <c r="J148" s="675">
        <v>4</v>
      </c>
      <c r="K148" s="118">
        <v>1502</v>
      </c>
      <c r="L148" s="118" t="s">
        <v>490</v>
      </c>
      <c r="M148" s="64">
        <v>703</v>
      </c>
      <c r="N148" s="676">
        <v>1.9550000000000001</v>
      </c>
      <c r="O148" s="675" t="s">
        <v>140</v>
      </c>
      <c r="P148" s="15">
        <v>0</v>
      </c>
      <c r="Q148" s="46">
        <f t="shared" si="14"/>
        <v>0</v>
      </c>
      <c r="R148" s="46" t="e">
        <f t="shared" si="20"/>
        <v>#DIV/0!</v>
      </c>
      <c r="S148" s="46" t="e">
        <f t="shared" si="15"/>
        <v>#DIV/0!</v>
      </c>
      <c r="T148" s="677" t="e">
        <f t="shared" si="19"/>
        <v>#DIV/0!</v>
      </c>
      <c r="U148" s="80" t="e">
        <f t="shared" si="18"/>
        <v>#DIV/0!</v>
      </c>
      <c r="V148" s="85">
        <f t="shared" si="16"/>
        <v>710</v>
      </c>
      <c r="W148" s="679">
        <f t="shared" si="17"/>
        <v>705</v>
      </c>
      <c r="X148" s="4"/>
    </row>
    <row r="149" spans="1:24" x14ac:dyDescent="0.25">
      <c r="A149" s="680" t="s">
        <v>452</v>
      </c>
      <c r="B149" s="681" t="s">
        <v>453</v>
      </c>
      <c r="C149" s="47" t="s">
        <v>454</v>
      </c>
      <c r="D149" s="118" t="s">
        <v>44</v>
      </c>
      <c r="E149" s="118" t="s">
        <v>510</v>
      </c>
      <c r="F149" s="118" t="s">
        <v>513</v>
      </c>
      <c r="G149" s="118">
        <v>2</v>
      </c>
      <c r="H149" s="118">
        <v>1</v>
      </c>
      <c r="I149" s="118">
        <v>11097</v>
      </c>
      <c r="J149" s="675">
        <v>4</v>
      </c>
      <c r="K149" s="118">
        <v>585</v>
      </c>
      <c r="L149" s="118" t="s">
        <v>490</v>
      </c>
      <c r="M149" s="64">
        <v>703</v>
      </c>
      <c r="N149" s="676">
        <v>1.4518979999999997</v>
      </c>
      <c r="O149" s="675" t="s">
        <v>140</v>
      </c>
      <c r="P149" s="15">
        <v>0</v>
      </c>
      <c r="Q149" s="46">
        <f t="shared" si="14"/>
        <v>0</v>
      </c>
      <c r="R149" s="46" t="e">
        <f t="shared" si="20"/>
        <v>#DIV/0!</v>
      </c>
      <c r="S149" s="46" t="e">
        <f t="shared" si="15"/>
        <v>#DIV/0!</v>
      </c>
      <c r="T149" s="677" t="e">
        <f t="shared" si="19"/>
        <v>#DIV/0!</v>
      </c>
      <c r="U149" s="80" t="e">
        <f t="shared" si="18"/>
        <v>#DIV/0!</v>
      </c>
      <c r="V149" s="85">
        <f t="shared" si="16"/>
        <v>710</v>
      </c>
      <c r="W149" s="679">
        <f t="shared" si="17"/>
        <v>705</v>
      </c>
      <c r="X149" s="4"/>
    </row>
    <row r="150" spans="1:24" x14ac:dyDescent="0.25">
      <c r="A150" s="680" t="s">
        <v>452</v>
      </c>
      <c r="B150" s="681" t="s">
        <v>453</v>
      </c>
      <c r="C150" s="47" t="s">
        <v>408</v>
      </c>
      <c r="D150" s="118" t="s">
        <v>44</v>
      </c>
      <c r="E150" s="118" t="s">
        <v>510</v>
      </c>
      <c r="F150" s="118" t="s">
        <v>514</v>
      </c>
      <c r="G150" s="118">
        <v>29</v>
      </c>
      <c r="H150" s="118">
        <v>1</v>
      </c>
      <c r="I150" s="118">
        <v>1500</v>
      </c>
      <c r="J150" s="675">
        <v>4</v>
      </c>
      <c r="K150" s="118">
        <v>776</v>
      </c>
      <c r="L150" s="118" t="s">
        <v>490</v>
      </c>
      <c r="M150" s="64">
        <v>703</v>
      </c>
      <c r="N150" s="676">
        <v>1.4851559999999999</v>
      </c>
      <c r="O150" s="675" t="s">
        <v>140</v>
      </c>
      <c r="P150" s="15">
        <v>0</v>
      </c>
      <c r="Q150" s="46">
        <f t="shared" si="14"/>
        <v>0</v>
      </c>
      <c r="R150" s="46" t="e">
        <f t="shared" si="20"/>
        <v>#DIV/0!</v>
      </c>
      <c r="S150" s="46" t="e">
        <f t="shared" si="15"/>
        <v>#DIV/0!</v>
      </c>
      <c r="T150" s="677" t="e">
        <f t="shared" si="19"/>
        <v>#DIV/0!</v>
      </c>
      <c r="U150" s="80" t="e">
        <f t="shared" si="18"/>
        <v>#DIV/0!</v>
      </c>
      <c r="V150" s="85">
        <f t="shared" si="16"/>
        <v>710</v>
      </c>
      <c r="W150" s="679">
        <f t="shared" si="17"/>
        <v>705</v>
      </c>
      <c r="X150" s="4"/>
    </row>
    <row r="151" spans="1:24" x14ac:dyDescent="0.25">
      <c r="A151" s="680" t="s">
        <v>452</v>
      </c>
      <c r="B151" s="681" t="s">
        <v>453</v>
      </c>
      <c r="C151" s="47" t="s">
        <v>408</v>
      </c>
      <c r="D151" s="118" t="s">
        <v>42</v>
      </c>
      <c r="E151" s="118" t="s">
        <v>524</v>
      </c>
      <c r="F151" s="118" t="s">
        <v>512</v>
      </c>
      <c r="G151" s="118">
        <v>1</v>
      </c>
      <c r="H151" s="118">
        <v>1</v>
      </c>
      <c r="I151" s="118">
        <v>1500</v>
      </c>
      <c r="J151" s="675">
        <v>4</v>
      </c>
      <c r="K151" s="118">
        <v>3879</v>
      </c>
      <c r="L151" s="118" t="s">
        <v>490</v>
      </c>
      <c r="M151" s="64">
        <v>686</v>
      </c>
      <c r="N151" s="676">
        <v>1.3328</v>
      </c>
      <c r="O151" s="675" t="s">
        <v>140</v>
      </c>
      <c r="P151" s="15">
        <v>0</v>
      </c>
      <c r="Q151" s="46">
        <f t="shared" si="14"/>
        <v>0</v>
      </c>
      <c r="R151" s="46" t="e">
        <f t="shared" si="20"/>
        <v>#DIV/0!</v>
      </c>
      <c r="S151" s="46" t="e">
        <f t="shared" si="15"/>
        <v>#DIV/0!</v>
      </c>
      <c r="T151" s="677" t="e">
        <f t="shared" si="19"/>
        <v>#DIV/0!</v>
      </c>
      <c r="U151" s="80" t="e">
        <f t="shared" si="18"/>
        <v>#DIV/0!</v>
      </c>
      <c r="V151" s="85">
        <f t="shared" si="16"/>
        <v>690</v>
      </c>
      <c r="W151" s="679">
        <f t="shared" si="17"/>
        <v>690</v>
      </c>
      <c r="X151" s="4"/>
    </row>
    <row r="152" spans="1:24" x14ac:dyDescent="0.25">
      <c r="A152" s="680" t="s">
        <v>456</v>
      </c>
      <c r="B152" s="681" t="s">
        <v>453</v>
      </c>
      <c r="C152" s="47" t="s">
        <v>457</v>
      </c>
      <c r="D152" s="118" t="s">
        <v>41</v>
      </c>
      <c r="E152" s="118" t="s">
        <v>524</v>
      </c>
      <c r="F152" s="118" t="s">
        <v>513</v>
      </c>
      <c r="G152" s="118">
        <v>2</v>
      </c>
      <c r="H152" s="118">
        <v>1</v>
      </c>
      <c r="I152" s="118">
        <v>11081</v>
      </c>
      <c r="J152" s="675">
        <v>4</v>
      </c>
      <c r="K152" s="118">
        <v>585</v>
      </c>
      <c r="L152" s="118" t="s">
        <v>490</v>
      </c>
      <c r="M152" s="64">
        <v>686</v>
      </c>
      <c r="N152" s="676">
        <v>0.7056</v>
      </c>
      <c r="O152" s="675" t="s">
        <v>140</v>
      </c>
      <c r="P152" s="15">
        <v>0</v>
      </c>
      <c r="Q152" s="46">
        <f t="shared" si="14"/>
        <v>0</v>
      </c>
      <c r="R152" s="46" t="e">
        <f t="shared" si="20"/>
        <v>#DIV/0!</v>
      </c>
      <c r="S152" s="46" t="e">
        <f t="shared" si="15"/>
        <v>#DIV/0!</v>
      </c>
      <c r="T152" s="677" t="e">
        <f t="shared" si="19"/>
        <v>#DIV/0!</v>
      </c>
      <c r="U152" s="80" t="e">
        <f t="shared" si="18"/>
        <v>#DIV/0!</v>
      </c>
      <c r="V152" s="85">
        <f t="shared" si="16"/>
        <v>690</v>
      </c>
      <c r="W152" s="679">
        <f t="shared" si="17"/>
        <v>690</v>
      </c>
      <c r="X152" s="4"/>
    </row>
    <row r="153" spans="1:24" x14ac:dyDescent="0.25">
      <c r="A153" s="680" t="s">
        <v>456</v>
      </c>
      <c r="B153" s="681" t="s">
        <v>453</v>
      </c>
      <c r="C153" s="47" t="s">
        <v>408</v>
      </c>
      <c r="D153" s="118" t="s">
        <v>41</v>
      </c>
      <c r="E153" s="118" t="s">
        <v>524</v>
      </c>
      <c r="F153" s="118" t="s">
        <v>514</v>
      </c>
      <c r="G153" s="118">
        <v>29</v>
      </c>
      <c r="H153" s="118">
        <v>1</v>
      </c>
      <c r="I153" s="118">
        <v>1500</v>
      </c>
      <c r="J153" s="675">
        <v>4</v>
      </c>
      <c r="K153" s="118">
        <v>776</v>
      </c>
      <c r="L153" s="118" t="s">
        <v>490</v>
      </c>
      <c r="M153" s="64">
        <v>686</v>
      </c>
      <c r="N153" s="676">
        <v>0.50960000000000005</v>
      </c>
      <c r="O153" s="675" t="s">
        <v>140</v>
      </c>
      <c r="P153" s="15">
        <v>0</v>
      </c>
      <c r="Q153" s="46">
        <f t="shared" si="14"/>
        <v>0</v>
      </c>
      <c r="R153" s="46" t="e">
        <f t="shared" si="20"/>
        <v>#DIV/0!</v>
      </c>
      <c r="S153" s="46" t="e">
        <f t="shared" si="15"/>
        <v>#DIV/0!</v>
      </c>
      <c r="T153" s="677" t="e">
        <f t="shared" si="19"/>
        <v>#DIV/0!</v>
      </c>
      <c r="U153" s="80" t="e">
        <f t="shared" si="18"/>
        <v>#DIV/0!</v>
      </c>
      <c r="V153" s="85">
        <f t="shared" si="16"/>
        <v>690</v>
      </c>
      <c r="W153" s="679">
        <f t="shared" si="17"/>
        <v>690</v>
      </c>
      <c r="X153" s="4"/>
    </row>
    <row r="154" spans="1:24" x14ac:dyDescent="0.25">
      <c r="A154" s="680" t="s">
        <v>456</v>
      </c>
      <c r="B154" s="681" t="s">
        <v>453</v>
      </c>
      <c r="C154" s="47" t="s">
        <v>408</v>
      </c>
      <c r="D154" s="118" t="s">
        <v>43</v>
      </c>
      <c r="E154" s="118" t="s">
        <v>510</v>
      </c>
      <c r="F154" s="118" t="s">
        <v>514</v>
      </c>
      <c r="G154" s="118">
        <v>1</v>
      </c>
      <c r="H154" s="118">
        <v>1</v>
      </c>
      <c r="I154" s="118">
        <v>1500</v>
      </c>
      <c r="J154" s="675">
        <v>4</v>
      </c>
      <c r="K154" s="118">
        <v>3879</v>
      </c>
      <c r="L154" s="118" t="s">
        <v>490</v>
      </c>
      <c r="M154" s="64">
        <v>703</v>
      </c>
      <c r="N154" s="676">
        <v>0.19550000000000001</v>
      </c>
      <c r="O154" s="675" t="s">
        <v>140</v>
      </c>
      <c r="P154" s="15">
        <v>0</v>
      </c>
      <c r="Q154" s="46">
        <f t="shared" si="14"/>
        <v>0</v>
      </c>
      <c r="R154" s="46" t="e">
        <f t="shared" si="20"/>
        <v>#DIV/0!</v>
      </c>
      <c r="S154" s="46" t="e">
        <f t="shared" si="15"/>
        <v>#DIV/0!</v>
      </c>
      <c r="T154" s="677" t="e">
        <f t="shared" si="19"/>
        <v>#DIV/0!</v>
      </c>
      <c r="U154" s="80" t="e">
        <f t="shared" si="18"/>
        <v>#DIV/0!</v>
      </c>
      <c r="V154" s="85">
        <f t="shared" si="16"/>
        <v>710</v>
      </c>
      <c r="W154" s="679">
        <f t="shared" si="17"/>
        <v>705</v>
      </c>
      <c r="X154" s="4"/>
    </row>
    <row r="155" spans="1:24" x14ac:dyDescent="0.25">
      <c r="A155" s="680" t="s">
        <v>458</v>
      </c>
      <c r="B155" s="681" t="s">
        <v>459</v>
      </c>
      <c r="C155" s="47" t="s">
        <v>460</v>
      </c>
      <c r="D155" s="118" t="s">
        <v>44</v>
      </c>
      <c r="E155" s="118" t="s">
        <v>510</v>
      </c>
      <c r="F155" s="118" t="s">
        <v>513</v>
      </c>
      <c r="G155" s="118">
        <v>2</v>
      </c>
      <c r="H155" s="118">
        <v>1</v>
      </c>
      <c r="I155" s="118">
        <v>12634</v>
      </c>
      <c r="J155" s="675">
        <v>4</v>
      </c>
      <c r="K155" s="118">
        <v>585</v>
      </c>
      <c r="L155" s="118" t="s">
        <v>490</v>
      </c>
      <c r="M155" s="64">
        <v>703</v>
      </c>
      <c r="N155" s="676">
        <v>0.43975999999999998</v>
      </c>
      <c r="O155" s="675" t="s">
        <v>140</v>
      </c>
      <c r="P155" s="15">
        <v>0</v>
      </c>
      <c r="Q155" s="46">
        <f t="shared" si="14"/>
        <v>0</v>
      </c>
      <c r="R155" s="46" t="e">
        <f t="shared" si="20"/>
        <v>#DIV/0!</v>
      </c>
      <c r="S155" s="46" t="e">
        <f t="shared" si="15"/>
        <v>#DIV/0!</v>
      </c>
      <c r="T155" s="677" t="e">
        <f t="shared" si="19"/>
        <v>#DIV/0!</v>
      </c>
      <c r="U155" s="80" t="e">
        <f t="shared" si="18"/>
        <v>#DIV/0!</v>
      </c>
      <c r="V155" s="85">
        <f t="shared" si="16"/>
        <v>710</v>
      </c>
      <c r="W155" s="679">
        <f t="shared" si="17"/>
        <v>705</v>
      </c>
      <c r="X155" s="4"/>
    </row>
    <row r="156" spans="1:24" x14ac:dyDescent="0.25">
      <c r="A156" s="680" t="s">
        <v>458</v>
      </c>
      <c r="B156" s="681" t="s">
        <v>459</v>
      </c>
      <c r="C156" s="47" t="s">
        <v>408</v>
      </c>
      <c r="D156" s="118" t="s">
        <v>44</v>
      </c>
      <c r="E156" s="118" t="s">
        <v>510</v>
      </c>
      <c r="F156" s="118" t="s">
        <v>514</v>
      </c>
      <c r="G156" s="118">
        <v>28</v>
      </c>
      <c r="H156" s="118">
        <v>1</v>
      </c>
      <c r="I156" s="118">
        <v>1500</v>
      </c>
      <c r="J156" s="675">
        <v>4</v>
      </c>
      <c r="K156" s="118">
        <v>776</v>
      </c>
      <c r="L156" s="118" t="s">
        <v>490</v>
      </c>
      <c r="M156" s="64">
        <v>703</v>
      </c>
      <c r="N156" s="676">
        <v>0.24437500000000001</v>
      </c>
      <c r="O156" s="675" t="s">
        <v>140</v>
      </c>
      <c r="P156" s="15">
        <v>0</v>
      </c>
      <c r="Q156" s="46">
        <f t="shared" si="14"/>
        <v>0</v>
      </c>
      <c r="R156" s="46" t="e">
        <f t="shared" si="20"/>
        <v>#DIV/0!</v>
      </c>
      <c r="S156" s="46" t="e">
        <f t="shared" si="15"/>
        <v>#DIV/0!</v>
      </c>
      <c r="T156" s="677" t="e">
        <f t="shared" si="19"/>
        <v>#DIV/0!</v>
      </c>
      <c r="U156" s="80" t="e">
        <f t="shared" si="18"/>
        <v>#DIV/0!</v>
      </c>
      <c r="V156" s="85">
        <f t="shared" si="16"/>
        <v>710</v>
      </c>
      <c r="W156" s="679">
        <f t="shared" si="17"/>
        <v>705</v>
      </c>
      <c r="X156" s="4"/>
    </row>
    <row r="157" spans="1:24" x14ac:dyDescent="0.25">
      <c r="A157" s="680" t="s">
        <v>461</v>
      </c>
      <c r="B157" s="681" t="s">
        <v>459</v>
      </c>
      <c r="C157" s="47" t="s">
        <v>462</v>
      </c>
      <c r="D157" s="118" t="s">
        <v>42</v>
      </c>
      <c r="E157" s="118" t="s">
        <v>524</v>
      </c>
      <c r="F157" s="118" t="s">
        <v>513</v>
      </c>
      <c r="G157" s="118">
        <v>2</v>
      </c>
      <c r="H157" s="118">
        <v>1</v>
      </c>
      <c r="I157" s="118">
        <v>11097</v>
      </c>
      <c r="J157" s="675">
        <v>4</v>
      </c>
      <c r="K157" s="118">
        <v>585</v>
      </c>
      <c r="L157" s="118" t="s">
        <v>490</v>
      </c>
      <c r="M157" s="64">
        <v>686</v>
      </c>
      <c r="N157" s="676">
        <v>1.3328</v>
      </c>
      <c r="O157" s="675" t="s">
        <v>140</v>
      </c>
      <c r="P157" s="15">
        <v>0</v>
      </c>
      <c r="Q157" s="46">
        <f t="shared" si="14"/>
        <v>0</v>
      </c>
      <c r="R157" s="46" t="e">
        <f t="shared" si="20"/>
        <v>#DIV/0!</v>
      </c>
      <c r="S157" s="46" t="e">
        <f t="shared" si="15"/>
        <v>#DIV/0!</v>
      </c>
      <c r="T157" s="677" t="e">
        <f t="shared" si="19"/>
        <v>#DIV/0!</v>
      </c>
      <c r="U157" s="80" t="e">
        <f t="shared" si="18"/>
        <v>#DIV/0!</v>
      </c>
      <c r="V157" s="85">
        <f t="shared" si="16"/>
        <v>690</v>
      </c>
      <c r="W157" s="679">
        <f t="shared" si="17"/>
        <v>690</v>
      </c>
      <c r="X157" s="4"/>
    </row>
    <row r="158" spans="1:24" x14ac:dyDescent="0.25">
      <c r="A158" s="680" t="s">
        <v>461</v>
      </c>
      <c r="B158" s="681" t="s">
        <v>459</v>
      </c>
      <c r="C158" s="47" t="s">
        <v>408</v>
      </c>
      <c r="D158" s="118" t="s">
        <v>41</v>
      </c>
      <c r="E158" s="118" t="s">
        <v>524</v>
      </c>
      <c r="F158" s="118" t="s">
        <v>514</v>
      </c>
      <c r="G158" s="118">
        <v>29</v>
      </c>
      <c r="H158" s="118">
        <v>1</v>
      </c>
      <c r="I158" s="118">
        <v>1500</v>
      </c>
      <c r="J158" s="675">
        <v>4</v>
      </c>
      <c r="K158" s="118">
        <v>776</v>
      </c>
      <c r="L158" s="118" t="s">
        <v>490</v>
      </c>
      <c r="M158" s="64">
        <v>686</v>
      </c>
      <c r="N158" s="676">
        <v>0.7056</v>
      </c>
      <c r="O158" s="675" t="s">
        <v>140</v>
      </c>
      <c r="P158" s="15">
        <v>0</v>
      </c>
      <c r="Q158" s="46">
        <f t="shared" si="14"/>
        <v>0</v>
      </c>
      <c r="R158" s="46" t="e">
        <f t="shared" si="20"/>
        <v>#DIV/0!</v>
      </c>
      <c r="S158" s="46" t="e">
        <f t="shared" si="15"/>
        <v>#DIV/0!</v>
      </c>
      <c r="T158" s="677" t="e">
        <f t="shared" si="19"/>
        <v>#DIV/0!</v>
      </c>
      <c r="U158" s="80" t="e">
        <f t="shared" si="18"/>
        <v>#DIV/0!</v>
      </c>
      <c r="V158" s="85">
        <f t="shared" si="16"/>
        <v>690</v>
      </c>
      <c r="W158" s="679">
        <f t="shared" si="17"/>
        <v>690</v>
      </c>
      <c r="X158" s="4"/>
    </row>
    <row r="159" spans="1:24" x14ac:dyDescent="0.25">
      <c r="A159" s="680" t="s">
        <v>461</v>
      </c>
      <c r="B159" s="681" t="s">
        <v>459</v>
      </c>
      <c r="C159" s="47" t="s">
        <v>408</v>
      </c>
      <c r="D159" s="118" t="s">
        <v>41</v>
      </c>
      <c r="E159" s="118" t="s">
        <v>524</v>
      </c>
      <c r="F159" s="118" t="s">
        <v>514</v>
      </c>
      <c r="G159" s="118">
        <v>1</v>
      </c>
      <c r="H159" s="118">
        <v>1</v>
      </c>
      <c r="I159" s="118">
        <v>1500</v>
      </c>
      <c r="J159" s="675">
        <v>4</v>
      </c>
      <c r="K159" s="118">
        <v>3879</v>
      </c>
      <c r="L159" s="118" t="s">
        <v>490</v>
      </c>
      <c r="M159" s="64">
        <v>686</v>
      </c>
      <c r="N159" s="676">
        <v>0.50960000000000005</v>
      </c>
      <c r="O159" s="675" t="s">
        <v>140</v>
      </c>
      <c r="P159" s="15">
        <v>0</v>
      </c>
      <c r="Q159" s="46">
        <f t="shared" si="14"/>
        <v>0</v>
      </c>
      <c r="R159" s="46" t="e">
        <f t="shared" si="20"/>
        <v>#DIV/0!</v>
      </c>
      <c r="S159" s="46" t="e">
        <f t="shared" si="15"/>
        <v>#DIV/0!</v>
      </c>
      <c r="T159" s="677" t="e">
        <f t="shared" si="19"/>
        <v>#DIV/0!</v>
      </c>
      <c r="U159" s="80" t="e">
        <f t="shared" si="18"/>
        <v>#DIV/0!</v>
      </c>
      <c r="V159" s="85">
        <f t="shared" si="16"/>
        <v>690</v>
      </c>
      <c r="W159" s="679">
        <f t="shared" si="17"/>
        <v>690</v>
      </c>
      <c r="X159" s="4"/>
    </row>
    <row r="160" spans="1:24" x14ac:dyDescent="0.25">
      <c r="A160" s="680" t="s">
        <v>406</v>
      </c>
      <c r="B160" s="681" t="s">
        <v>407</v>
      </c>
      <c r="C160" s="47" t="s">
        <v>408</v>
      </c>
      <c r="D160" s="118" t="s">
        <v>43</v>
      </c>
      <c r="E160" s="118" t="s">
        <v>510</v>
      </c>
      <c r="F160" s="118" t="s">
        <v>515</v>
      </c>
      <c r="G160" s="118">
        <v>12</v>
      </c>
      <c r="H160" s="118">
        <v>2</v>
      </c>
      <c r="I160" s="118">
        <v>26385</v>
      </c>
      <c r="J160" s="675">
        <v>4</v>
      </c>
      <c r="K160" s="118">
        <v>2784</v>
      </c>
      <c r="L160" s="118" t="s">
        <v>490</v>
      </c>
      <c r="M160" s="64">
        <v>703</v>
      </c>
      <c r="N160" s="676">
        <v>0.19550000000000001</v>
      </c>
      <c r="O160" s="675" t="s">
        <v>140</v>
      </c>
      <c r="P160" s="15">
        <v>0</v>
      </c>
      <c r="Q160" s="46">
        <f t="shared" si="14"/>
        <v>0</v>
      </c>
      <c r="R160" s="46" t="e">
        <f t="shared" si="20"/>
        <v>#DIV/0!</v>
      </c>
      <c r="S160" s="46" t="e">
        <f t="shared" si="15"/>
        <v>#DIV/0!</v>
      </c>
      <c r="T160" s="677" t="e">
        <f t="shared" si="19"/>
        <v>#DIV/0!</v>
      </c>
      <c r="U160" s="80" t="e">
        <f t="shared" si="18"/>
        <v>#DIV/0!</v>
      </c>
      <c r="V160" s="678">
        <f t="shared" si="16"/>
        <v>710</v>
      </c>
      <c r="W160" s="679">
        <f t="shared" si="17"/>
        <v>705</v>
      </c>
      <c r="X160" s="4"/>
    </row>
    <row r="161" spans="1:24" x14ac:dyDescent="0.25">
      <c r="A161" s="680" t="s">
        <v>406</v>
      </c>
      <c r="B161" s="681" t="s">
        <v>407</v>
      </c>
      <c r="C161" s="47" t="s">
        <v>408</v>
      </c>
      <c r="D161" s="118" t="s">
        <v>44</v>
      </c>
      <c r="E161" s="118" t="s">
        <v>510</v>
      </c>
      <c r="F161" s="118" t="s">
        <v>516</v>
      </c>
      <c r="G161" s="118">
        <v>12</v>
      </c>
      <c r="H161" s="118">
        <v>1</v>
      </c>
      <c r="I161" s="118">
        <v>91778</v>
      </c>
      <c r="J161" s="675">
        <v>4</v>
      </c>
      <c r="K161" s="118">
        <v>1781</v>
      </c>
      <c r="L161" s="118" t="s">
        <v>490</v>
      </c>
      <c r="M161" s="64">
        <v>703</v>
      </c>
      <c r="N161" s="676">
        <v>0.43975999999999998</v>
      </c>
      <c r="O161" s="675" t="s">
        <v>140</v>
      </c>
      <c r="P161" s="15">
        <v>0</v>
      </c>
      <c r="Q161" s="46">
        <f t="shared" si="14"/>
        <v>0</v>
      </c>
      <c r="R161" s="46" t="e">
        <f t="shared" si="20"/>
        <v>#DIV/0!</v>
      </c>
      <c r="S161" s="46" t="e">
        <f t="shared" si="15"/>
        <v>#DIV/0!</v>
      </c>
      <c r="T161" s="677" t="e">
        <f t="shared" si="19"/>
        <v>#DIV/0!</v>
      </c>
      <c r="U161" s="80" t="e">
        <f t="shared" si="18"/>
        <v>#DIV/0!</v>
      </c>
      <c r="V161" s="85">
        <f t="shared" si="16"/>
        <v>710</v>
      </c>
      <c r="W161" s="679">
        <f t="shared" si="17"/>
        <v>705</v>
      </c>
      <c r="X161" s="4"/>
    </row>
    <row r="162" spans="1:24" x14ac:dyDescent="0.25">
      <c r="A162" s="680" t="s">
        <v>409</v>
      </c>
      <c r="B162" s="681" t="s">
        <v>410</v>
      </c>
      <c r="C162" s="47" t="s">
        <v>408</v>
      </c>
      <c r="D162" s="118" t="s">
        <v>44</v>
      </c>
      <c r="E162" s="118" t="s">
        <v>510</v>
      </c>
      <c r="F162" s="118" t="s">
        <v>517</v>
      </c>
      <c r="G162" s="118">
        <v>12</v>
      </c>
      <c r="H162" s="118">
        <v>2</v>
      </c>
      <c r="I162" s="118">
        <v>12900</v>
      </c>
      <c r="J162" s="675">
        <v>4</v>
      </c>
      <c r="K162" s="118">
        <v>968</v>
      </c>
      <c r="L162" s="118" t="s">
        <v>490</v>
      </c>
      <c r="M162" s="64">
        <v>703</v>
      </c>
      <c r="N162" s="676">
        <v>0.24437500000000001</v>
      </c>
      <c r="O162" s="675" t="s">
        <v>140</v>
      </c>
      <c r="P162" s="15">
        <v>0</v>
      </c>
      <c r="Q162" s="46">
        <f t="shared" si="14"/>
        <v>0</v>
      </c>
      <c r="R162" s="46" t="e">
        <f t="shared" si="20"/>
        <v>#DIV/0!</v>
      </c>
      <c r="S162" s="46" t="e">
        <f t="shared" si="15"/>
        <v>#DIV/0!</v>
      </c>
      <c r="T162" s="677" t="e">
        <f t="shared" si="19"/>
        <v>#DIV/0!</v>
      </c>
      <c r="U162" s="80" t="e">
        <f t="shared" si="18"/>
        <v>#DIV/0!</v>
      </c>
      <c r="V162" s="85">
        <f t="shared" si="16"/>
        <v>710</v>
      </c>
      <c r="W162" s="679">
        <f t="shared" si="17"/>
        <v>705</v>
      </c>
      <c r="X162" s="4"/>
    </row>
    <row r="163" spans="1:24" x14ac:dyDescent="0.25">
      <c r="A163" s="680" t="s">
        <v>414</v>
      </c>
      <c r="B163" s="681" t="s">
        <v>415</v>
      </c>
      <c r="C163" s="47" t="s">
        <v>408</v>
      </c>
      <c r="D163" s="118" t="s">
        <v>42</v>
      </c>
      <c r="E163" s="118" t="s">
        <v>524</v>
      </c>
      <c r="F163" s="118" t="s">
        <v>518</v>
      </c>
      <c r="G163" s="118">
        <v>3</v>
      </c>
      <c r="H163" s="118">
        <v>1</v>
      </c>
      <c r="I163" s="118">
        <v>17971</v>
      </c>
      <c r="J163" s="675">
        <v>4</v>
      </c>
      <c r="K163" s="118">
        <v>2184</v>
      </c>
      <c r="L163" s="118" t="s">
        <v>490</v>
      </c>
      <c r="M163" s="64">
        <v>686</v>
      </c>
      <c r="N163" s="676">
        <v>7.3304</v>
      </c>
      <c r="O163" s="675" t="s">
        <v>140</v>
      </c>
      <c r="P163" s="15">
        <v>0</v>
      </c>
      <c r="Q163" s="46">
        <f t="shared" si="14"/>
        <v>0</v>
      </c>
      <c r="R163" s="46" t="e">
        <f t="shared" si="20"/>
        <v>#DIV/0!</v>
      </c>
      <c r="S163" s="46" t="e">
        <f t="shared" si="15"/>
        <v>#DIV/0!</v>
      </c>
      <c r="T163" s="677" t="e">
        <f t="shared" si="19"/>
        <v>#DIV/0!</v>
      </c>
      <c r="U163" s="80" t="e">
        <f t="shared" si="18"/>
        <v>#DIV/0!</v>
      </c>
      <c r="V163" s="85">
        <f t="shared" si="16"/>
        <v>690</v>
      </c>
      <c r="W163" s="679">
        <f t="shared" si="17"/>
        <v>690</v>
      </c>
      <c r="X163" s="4"/>
    </row>
    <row r="164" spans="1:24" x14ac:dyDescent="0.25">
      <c r="A164" s="680" t="s">
        <v>417</v>
      </c>
      <c r="B164" s="681" t="s">
        <v>415</v>
      </c>
      <c r="C164" s="47" t="s">
        <v>408</v>
      </c>
      <c r="D164" s="118" t="s">
        <v>43</v>
      </c>
      <c r="E164" s="118" t="s">
        <v>510</v>
      </c>
      <c r="F164" s="118" t="s">
        <v>519</v>
      </c>
      <c r="G164" s="118">
        <v>2</v>
      </c>
      <c r="H164" s="118">
        <v>1</v>
      </c>
      <c r="I164" s="118">
        <v>7759</v>
      </c>
      <c r="J164" s="675">
        <v>4</v>
      </c>
      <c r="K164" s="118">
        <v>785</v>
      </c>
      <c r="L164" s="118" t="s">
        <v>490</v>
      </c>
      <c r="M164" s="64">
        <v>703</v>
      </c>
      <c r="N164" s="676">
        <v>8.6020000000000003</v>
      </c>
      <c r="O164" s="675" t="s">
        <v>140</v>
      </c>
      <c r="P164" s="15">
        <v>0</v>
      </c>
      <c r="Q164" s="46">
        <f t="shared" si="14"/>
        <v>0</v>
      </c>
      <c r="R164" s="46" t="e">
        <f t="shared" si="20"/>
        <v>#DIV/0!</v>
      </c>
      <c r="S164" s="46" t="e">
        <f t="shared" si="15"/>
        <v>#DIV/0!</v>
      </c>
      <c r="T164" s="677" t="e">
        <f t="shared" si="19"/>
        <v>#DIV/0!</v>
      </c>
      <c r="U164" s="80" t="e">
        <f t="shared" si="18"/>
        <v>#DIV/0!</v>
      </c>
      <c r="V164" s="85">
        <f t="shared" si="16"/>
        <v>710</v>
      </c>
      <c r="W164" s="679">
        <f t="shared" si="17"/>
        <v>705</v>
      </c>
      <c r="X164" s="4"/>
    </row>
    <row r="165" spans="1:24" x14ac:dyDescent="0.25">
      <c r="A165" s="680" t="s">
        <v>419</v>
      </c>
      <c r="B165" s="681" t="s">
        <v>415</v>
      </c>
      <c r="C165" s="47" t="s">
        <v>408</v>
      </c>
      <c r="D165" s="118" t="s">
        <v>41</v>
      </c>
      <c r="E165" s="118" t="s">
        <v>524</v>
      </c>
      <c r="F165" s="118" t="s">
        <v>519</v>
      </c>
      <c r="G165" s="118">
        <v>1</v>
      </c>
      <c r="H165" s="118">
        <v>1</v>
      </c>
      <c r="I165" s="118">
        <v>7100</v>
      </c>
      <c r="J165" s="675">
        <v>4</v>
      </c>
      <c r="K165" s="118">
        <v>785</v>
      </c>
      <c r="L165" s="118" t="s">
        <v>490</v>
      </c>
      <c r="M165" s="64">
        <v>686</v>
      </c>
      <c r="N165" s="676">
        <v>2.4304000000000001</v>
      </c>
      <c r="O165" s="675" t="s">
        <v>140</v>
      </c>
      <c r="P165" s="15">
        <v>0</v>
      </c>
      <c r="Q165" s="46">
        <f t="shared" si="14"/>
        <v>0</v>
      </c>
      <c r="R165" s="46" t="e">
        <f t="shared" si="20"/>
        <v>#DIV/0!</v>
      </c>
      <c r="S165" s="46" t="e">
        <f t="shared" si="15"/>
        <v>#DIV/0!</v>
      </c>
      <c r="T165" s="677" t="e">
        <f t="shared" si="19"/>
        <v>#DIV/0!</v>
      </c>
      <c r="U165" s="80" t="e">
        <f t="shared" si="18"/>
        <v>#DIV/0!</v>
      </c>
      <c r="V165" s="85">
        <f t="shared" si="16"/>
        <v>690</v>
      </c>
      <c r="W165" s="679">
        <f t="shared" si="17"/>
        <v>690</v>
      </c>
      <c r="X165" s="4"/>
    </row>
    <row r="166" spans="1:24" x14ac:dyDescent="0.25">
      <c r="A166" s="680" t="s">
        <v>421</v>
      </c>
      <c r="B166" s="681" t="s">
        <v>422</v>
      </c>
      <c r="C166" s="47" t="s">
        <v>423</v>
      </c>
      <c r="D166" s="118" t="s">
        <v>44</v>
      </c>
      <c r="E166" s="118" t="s">
        <v>510</v>
      </c>
      <c r="F166" s="118" t="s">
        <v>520</v>
      </c>
      <c r="G166" s="118">
        <v>1</v>
      </c>
      <c r="H166" s="118">
        <v>1</v>
      </c>
      <c r="I166" s="118">
        <v>19050</v>
      </c>
      <c r="J166" s="675">
        <v>4</v>
      </c>
      <c r="K166" s="118">
        <v>1185</v>
      </c>
      <c r="L166" s="118" t="s">
        <v>490</v>
      </c>
      <c r="M166" s="64">
        <v>703</v>
      </c>
      <c r="N166" s="676">
        <v>1.189905</v>
      </c>
      <c r="O166" s="675" t="s">
        <v>140</v>
      </c>
      <c r="P166" s="15">
        <v>0</v>
      </c>
      <c r="Q166" s="46">
        <f t="shared" si="14"/>
        <v>0</v>
      </c>
      <c r="R166" s="46" t="e">
        <f t="shared" si="20"/>
        <v>#DIV/0!</v>
      </c>
      <c r="S166" s="46" t="e">
        <f t="shared" si="15"/>
        <v>#DIV/0!</v>
      </c>
      <c r="T166" s="677" t="e">
        <f t="shared" si="19"/>
        <v>#DIV/0!</v>
      </c>
      <c r="U166" s="80" t="e">
        <f t="shared" si="18"/>
        <v>#DIV/0!</v>
      </c>
      <c r="V166" s="85">
        <f t="shared" si="16"/>
        <v>710</v>
      </c>
      <c r="W166" s="679">
        <f t="shared" si="17"/>
        <v>705</v>
      </c>
      <c r="X166" s="4"/>
    </row>
    <row r="167" spans="1:24" x14ac:dyDescent="0.25">
      <c r="A167" s="680" t="s">
        <v>425</v>
      </c>
      <c r="B167" s="681" t="s">
        <v>426</v>
      </c>
      <c r="C167" s="47" t="s">
        <v>427</v>
      </c>
      <c r="D167" s="118" t="s">
        <v>41</v>
      </c>
      <c r="E167" s="118" t="s">
        <v>524</v>
      </c>
      <c r="F167" s="118" t="s">
        <v>520</v>
      </c>
      <c r="G167" s="118">
        <v>3</v>
      </c>
      <c r="H167" s="118">
        <v>1</v>
      </c>
      <c r="I167" s="118">
        <v>4255</v>
      </c>
      <c r="J167" s="675">
        <v>4</v>
      </c>
      <c r="K167" s="118">
        <v>1185</v>
      </c>
      <c r="L167" s="118" t="s">
        <v>490</v>
      </c>
      <c r="M167" s="64">
        <v>686</v>
      </c>
      <c r="N167" s="676">
        <v>1.4896</v>
      </c>
      <c r="O167" s="675" t="s">
        <v>140</v>
      </c>
      <c r="P167" s="15">
        <v>0</v>
      </c>
      <c r="Q167" s="46">
        <f t="shared" si="14"/>
        <v>0</v>
      </c>
      <c r="R167" s="46" t="e">
        <f t="shared" si="20"/>
        <v>#DIV/0!</v>
      </c>
      <c r="S167" s="46" t="e">
        <f t="shared" si="15"/>
        <v>#DIV/0!</v>
      </c>
      <c r="T167" s="677" t="e">
        <f t="shared" si="19"/>
        <v>#DIV/0!</v>
      </c>
      <c r="U167" s="80" t="e">
        <f t="shared" si="18"/>
        <v>#DIV/0!</v>
      </c>
      <c r="V167" s="85">
        <f t="shared" si="16"/>
        <v>690</v>
      </c>
      <c r="W167" s="679">
        <f t="shared" si="17"/>
        <v>690</v>
      </c>
      <c r="X167" s="4"/>
    </row>
    <row r="168" spans="1:24" x14ac:dyDescent="0.25">
      <c r="A168" s="680" t="s">
        <v>429</v>
      </c>
      <c r="B168" s="681" t="s">
        <v>430</v>
      </c>
      <c r="C168" s="47" t="s">
        <v>431</v>
      </c>
      <c r="D168" s="118" t="s">
        <v>44</v>
      </c>
      <c r="E168" s="118" t="s">
        <v>510</v>
      </c>
      <c r="F168" s="118" t="s">
        <v>521</v>
      </c>
      <c r="G168" s="118">
        <v>1</v>
      </c>
      <c r="H168" s="118">
        <v>1</v>
      </c>
      <c r="I168" s="118">
        <v>89250</v>
      </c>
      <c r="J168" s="675">
        <v>4</v>
      </c>
      <c r="K168" s="118">
        <v>1190</v>
      </c>
      <c r="L168" s="118" t="s">
        <v>490</v>
      </c>
      <c r="M168" s="64">
        <v>703</v>
      </c>
      <c r="N168" s="676">
        <v>0.72594899999999984</v>
      </c>
      <c r="O168" s="675" t="s">
        <v>140</v>
      </c>
      <c r="P168" s="15">
        <v>0</v>
      </c>
      <c r="Q168" s="46">
        <f t="shared" si="14"/>
        <v>0</v>
      </c>
      <c r="R168" s="46" t="e">
        <f t="shared" si="20"/>
        <v>#DIV/0!</v>
      </c>
      <c r="S168" s="46" t="e">
        <f t="shared" si="15"/>
        <v>#DIV/0!</v>
      </c>
      <c r="T168" s="677" t="e">
        <f t="shared" si="19"/>
        <v>#DIV/0!</v>
      </c>
      <c r="U168" s="80" t="e">
        <f t="shared" si="18"/>
        <v>#DIV/0!</v>
      </c>
      <c r="V168" s="85">
        <f t="shared" si="16"/>
        <v>710</v>
      </c>
      <c r="W168" s="679">
        <f t="shared" si="17"/>
        <v>705</v>
      </c>
      <c r="X168" s="4"/>
    </row>
    <row r="169" spans="1:24" x14ac:dyDescent="0.25">
      <c r="A169" s="680" t="s">
        <v>429</v>
      </c>
      <c r="B169" s="681" t="s">
        <v>430</v>
      </c>
      <c r="C169" s="47" t="s">
        <v>433</v>
      </c>
      <c r="D169" s="118" t="s">
        <v>41</v>
      </c>
      <c r="E169" s="118" t="s">
        <v>524</v>
      </c>
      <c r="F169" s="118" t="s">
        <v>522</v>
      </c>
      <c r="G169" s="118">
        <v>1</v>
      </c>
      <c r="H169" s="118">
        <v>1</v>
      </c>
      <c r="I169" s="118">
        <v>13000</v>
      </c>
      <c r="J169" s="675">
        <v>4</v>
      </c>
      <c r="K169" s="118">
        <v>1181</v>
      </c>
      <c r="L169" s="118" t="s">
        <v>490</v>
      </c>
      <c r="M169" s="64">
        <v>686</v>
      </c>
      <c r="N169" s="676">
        <v>3.8416000000000001</v>
      </c>
      <c r="O169" s="675" t="s">
        <v>140</v>
      </c>
      <c r="P169" s="15">
        <v>0</v>
      </c>
      <c r="Q169" s="46">
        <f t="shared" si="14"/>
        <v>0</v>
      </c>
      <c r="R169" s="46" t="e">
        <f t="shared" si="20"/>
        <v>#DIV/0!</v>
      </c>
      <c r="S169" s="46" t="e">
        <f t="shared" si="15"/>
        <v>#DIV/0!</v>
      </c>
      <c r="T169" s="677" t="e">
        <f t="shared" si="19"/>
        <v>#DIV/0!</v>
      </c>
      <c r="U169" s="80" t="e">
        <f t="shared" si="18"/>
        <v>#DIV/0!</v>
      </c>
      <c r="V169" s="85">
        <f t="shared" si="16"/>
        <v>690</v>
      </c>
      <c r="W169" s="679">
        <f t="shared" si="17"/>
        <v>690</v>
      </c>
      <c r="X169" s="4"/>
    </row>
    <row r="170" spans="1:24" x14ac:dyDescent="0.25">
      <c r="A170" s="680" t="s">
        <v>429</v>
      </c>
      <c r="B170" s="681" t="s">
        <v>430</v>
      </c>
      <c r="C170" s="47" t="s">
        <v>435</v>
      </c>
      <c r="D170" s="118" t="s">
        <v>44</v>
      </c>
      <c r="E170" s="118" t="s">
        <v>510</v>
      </c>
      <c r="F170" s="118" t="s">
        <v>522</v>
      </c>
      <c r="G170" s="118">
        <v>1</v>
      </c>
      <c r="H170" s="118">
        <v>1</v>
      </c>
      <c r="I170" s="118">
        <v>4250</v>
      </c>
      <c r="J170" s="675">
        <v>4</v>
      </c>
      <c r="K170" s="118">
        <v>1181</v>
      </c>
      <c r="L170" s="118" t="s">
        <v>490</v>
      </c>
      <c r="M170" s="64">
        <v>703</v>
      </c>
      <c r="N170" s="676">
        <v>1.7425029999999999</v>
      </c>
      <c r="O170" s="675" t="s">
        <v>140</v>
      </c>
      <c r="P170" s="15">
        <v>0</v>
      </c>
      <c r="Q170" s="46">
        <f t="shared" si="14"/>
        <v>0</v>
      </c>
      <c r="R170" s="46" t="e">
        <f t="shared" si="20"/>
        <v>#DIV/0!</v>
      </c>
      <c r="S170" s="46" t="e">
        <f t="shared" si="15"/>
        <v>#DIV/0!</v>
      </c>
      <c r="T170" s="677" t="e">
        <f t="shared" si="19"/>
        <v>#DIV/0!</v>
      </c>
      <c r="U170" s="80" t="e">
        <f t="shared" si="18"/>
        <v>#DIV/0!</v>
      </c>
      <c r="V170" s="85">
        <f t="shared" si="16"/>
        <v>710</v>
      </c>
      <c r="W170" s="679">
        <f t="shared" si="17"/>
        <v>705</v>
      </c>
      <c r="X170" s="4"/>
    </row>
    <row r="171" spans="1:24" x14ac:dyDescent="0.25">
      <c r="A171" s="680" t="s">
        <v>429</v>
      </c>
      <c r="B171" s="681" t="s">
        <v>430</v>
      </c>
      <c r="C171" s="47" t="s">
        <v>437</v>
      </c>
      <c r="D171" s="118" t="s">
        <v>41</v>
      </c>
      <c r="E171" s="118" t="s">
        <v>524</v>
      </c>
      <c r="F171" s="118" t="s">
        <v>522</v>
      </c>
      <c r="G171" s="118">
        <v>1</v>
      </c>
      <c r="H171" s="118">
        <v>1</v>
      </c>
      <c r="I171" s="118">
        <v>8500</v>
      </c>
      <c r="J171" s="675">
        <v>4</v>
      </c>
      <c r="K171" s="118">
        <v>1181</v>
      </c>
      <c r="L171" s="118" t="s">
        <v>490</v>
      </c>
      <c r="M171" s="64">
        <v>686</v>
      </c>
      <c r="N171" s="676">
        <v>2.6656</v>
      </c>
      <c r="O171" s="675" t="s">
        <v>140</v>
      </c>
      <c r="P171" s="15">
        <v>0</v>
      </c>
      <c r="Q171" s="46">
        <f t="shared" si="14"/>
        <v>0</v>
      </c>
      <c r="R171" s="46" t="e">
        <f t="shared" si="20"/>
        <v>#DIV/0!</v>
      </c>
      <c r="S171" s="46" t="e">
        <f t="shared" si="15"/>
        <v>#DIV/0!</v>
      </c>
      <c r="T171" s="677" t="e">
        <f t="shared" si="19"/>
        <v>#DIV/0!</v>
      </c>
      <c r="U171" s="80" t="e">
        <f t="shared" si="18"/>
        <v>#DIV/0!</v>
      </c>
      <c r="V171" s="85">
        <f t="shared" si="16"/>
        <v>690</v>
      </c>
      <c r="W171" s="679">
        <f t="shared" si="17"/>
        <v>690</v>
      </c>
      <c r="X171" s="4"/>
    </row>
    <row r="172" spans="1:24" x14ac:dyDescent="0.25">
      <c r="A172" s="680" t="s">
        <v>439</v>
      </c>
      <c r="B172" s="681" t="s">
        <v>430</v>
      </c>
      <c r="C172" s="47" t="s">
        <v>431</v>
      </c>
      <c r="D172" s="118" t="s">
        <v>44</v>
      </c>
      <c r="E172" s="118" t="s">
        <v>510</v>
      </c>
      <c r="F172" s="118" t="s">
        <v>521</v>
      </c>
      <c r="G172" s="118">
        <v>1</v>
      </c>
      <c r="H172" s="118">
        <v>1</v>
      </c>
      <c r="I172" s="118">
        <v>103000</v>
      </c>
      <c r="J172" s="675">
        <v>4</v>
      </c>
      <c r="K172" s="118">
        <v>1190</v>
      </c>
      <c r="L172" s="118" t="s">
        <v>490</v>
      </c>
      <c r="M172" s="64">
        <v>703</v>
      </c>
      <c r="N172" s="676">
        <v>1.3896599999999999</v>
      </c>
      <c r="O172" s="675" t="s">
        <v>140</v>
      </c>
      <c r="P172" s="15">
        <v>0</v>
      </c>
      <c r="Q172" s="46">
        <f t="shared" si="14"/>
        <v>0</v>
      </c>
      <c r="R172" s="46" t="e">
        <f t="shared" si="20"/>
        <v>#DIV/0!</v>
      </c>
      <c r="S172" s="46" t="e">
        <f t="shared" si="15"/>
        <v>#DIV/0!</v>
      </c>
      <c r="T172" s="677" t="e">
        <f t="shared" si="19"/>
        <v>#DIV/0!</v>
      </c>
      <c r="U172" s="80" t="e">
        <f t="shared" si="18"/>
        <v>#DIV/0!</v>
      </c>
      <c r="V172" s="85">
        <f t="shared" si="16"/>
        <v>710</v>
      </c>
      <c r="W172" s="679">
        <f t="shared" si="17"/>
        <v>705</v>
      </c>
      <c r="X172" s="4"/>
    </row>
    <row r="173" spans="1:24" x14ac:dyDescent="0.25">
      <c r="A173" s="680" t="s">
        <v>439</v>
      </c>
      <c r="B173" s="681" t="s">
        <v>430</v>
      </c>
      <c r="C173" s="47" t="s">
        <v>435</v>
      </c>
      <c r="D173" s="118" t="s">
        <v>41</v>
      </c>
      <c r="E173" s="118" t="s">
        <v>524</v>
      </c>
      <c r="F173" s="118" t="s">
        <v>522</v>
      </c>
      <c r="G173" s="118">
        <v>1</v>
      </c>
      <c r="H173" s="118">
        <v>1</v>
      </c>
      <c r="I173" s="118">
        <v>12750</v>
      </c>
      <c r="J173" s="675">
        <v>4</v>
      </c>
      <c r="K173" s="118">
        <v>1181</v>
      </c>
      <c r="L173" s="118" t="s">
        <v>490</v>
      </c>
      <c r="M173" s="64">
        <v>686</v>
      </c>
      <c r="N173" s="676">
        <v>4.5236799999999997</v>
      </c>
      <c r="O173" s="675" t="s">
        <v>140</v>
      </c>
      <c r="P173" s="15">
        <v>0</v>
      </c>
      <c r="Q173" s="46">
        <f t="shared" si="14"/>
        <v>0</v>
      </c>
      <c r="R173" s="46" t="e">
        <f t="shared" si="20"/>
        <v>#DIV/0!</v>
      </c>
      <c r="S173" s="46" t="e">
        <f t="shared" si="15"/>
        <v>#DIV/0!</v>
      </c>
      <c r="T173" s="677" t="e">
        <f t="shared" si="19"/>
        <v>#DIV/0!</v>
      </c>
      <c r="U173" s="80" t="e">
        <f t="shared" si="18"/>
        <v>#DIV/0!</v>
      </c>
      <c r="V173" s="85">
        <f t="shared" si="16"/>
        <v>690</v>
      </c>
      <c r="W173" s="679">
        <f t="shared" si="17"/>
        <v>690</v>
      </c>
      <c r="X173" s="4"/>
    </row>
    <row r="174" spans="1:24" x14ac:dyDescent="0.25">
      <c r="A174" s="680" t="s">
        <v>442</v>
      </c>
      <c r="B174" s="681" t="s">
        <v>443</v>
      </c>
      <c r="C174" s="47" t="s">
        <v>444</v>
      </c>
      <c r="D174" s="118" t="s">
        <v>44</v>
      </c>
      <c r="E174" s="118" t="s">
        <v>510</v>
      </c>
      <c r="F174" s="118" t="s">
        <v>523</v>
      </c>
      <c r="G174" s="118">
        <v>1</v>
      </c>
      <c r="H174" s="118">
        <v>1</v>
      </c>
      <c r="I174" s="118">
        <v>17500</v>
      </c>
      <c r="J174" s="675">
        <v>4</v>
      </c>
      <c r="K174" s="118">
        <v>1692</v>
      </c>
      <c r="L174" s="118" t="s">
        <v>490</v>
      </c>
      <c r="M174" s="64">
        <v>703</v>
      </c>
      <c r="N174" s="676">
        <v>2.22939</v>
      </c>
      <c r="O174" s="675" t="s">
        <v>140</v>
      </c>
      <c r="P174" s="15">
        <v>0</v>
      </c>
      <c r="Q174" s="46">
        <f t="shared" si="14"/>
        <v>0</v>
      </c>
      <c r="R174" s="46" t="e">
        <f t="shared" si="20"/>
        <v>#DIV/0!</v>
      </c>
      <c r="S174" s="46" t="e">
        <f t="shared" si="15"/>
        <v>#DIV/0!</v>
      </c>
      <c r="T174" s="677" t="e">
        <f t="shared" si="19"/>
        <v>#DIV/0!</v>
      </c>
      <c r="U174" s="80" t="e">
        <f t="shared" si="18"/>
        <v>#DIV/0!</v>
      </c>
      <c r="V174" s="85">
        <f t="shared" si="16"/>
        <v>710</v>
      </c>
      <c r="W174" s="679">
        <f t="shared" si="17"/>
        <v>705</v>
      </c>
      <c r="X174" s="4"/>
    </row>
    <row r="175" spans="1:24" x14ac:dyDescent="0.25">
      <c r="A175" s="680" t="s">
        <v>442</v>
      </c>
      <c r="B175" s="681" t="s">
        <v>443</v>
      </c>
      <c r="C175" s="47" t="s">
        <v>446</v>
      </c>
      <c r="D175" s="118" t="s">
        <v>41</v>
      </c>
      <c r="E175" s="118" t="s">
        <v>524</v>
      </c>
      <c r="F175" s="118" t="s">
        <v>523</v>
      </c>
      <c r="G175" s="118">
        <v>1</v>
      </c>
      <c r="H175" s="118">
        <v>1</v>
      </c>
      <c r="I175" s="118">
        <v>8500</v>
      </c>
      <c r="J175" s="675">
        <v>4</v>
      </c>
      <c r="K175" s="118">
        <v>1502</v>
      </c>
      <c r="L175" s="118" t="s">
        <v>490</v>
      </c>
      <c r="M175" s="64">
        <v>686</v>
      </c>
      <c r="N175" s="676">
        <v>2.1795200000000001</v>
      </c>
      <c r="O175" s="675" t="s">
        <v>140</v>
      </c>
      <c r="P175" s="15">
        <v>0</v>
      </c>
      <c r="Q175" s="46">
        <f t="shared" si="14"/>
        <v>0</v>
      </c>
      <c r="R175" s="46" t="e">
        <f t="shared" si="20"/>
        <v>#DIV/0!</v>
      </c>
      <c r="S175" s="46" t="e">
        <f t="shared" si="15"/>
        <v>#DIV/0!</v>
      </c>
      <c r="T175" s="677" t="e">
        <f t="shared" si="19"/>
        <v>#DIV/0!</v>
      </c>
      <c r="U175" s="80" t="e">
        <f t="shared" si="18"/>
        <v>#DIV/0!</v>
      </c>
      <c r="V175" s="85">
        <f t="shared" si="16"/>
        <v>690</v>
      </c>
      <c r="W175" s="679">
        <f t="shared" si="17"/>
        <v>690</v>
      </c>
      <c r="X175" s="4"/>
    </row>
    <row r="176" spans="1:24" x14ac:dyDescent="0.25">
      <c r="A176" s="680" t="s">
        <v>448</v>
      </c>
      <c r="B176" s="681" t="s">
        <v>443</v>
      </c>
      <c r="C176" s="47" t="s">
        <v>444</v>
      </c>
      <c r="D176" s="118" t="s">
        <v>44</v>
      </c>
      <c r="E176" s="118" t="s">
        <v>510</v>
      </c>
      <c r="F176" s="118" t="s">
        <v>523</v>
      </c>
      <c r="G176" s="118">
        <v>1</v>
      </c>
      <c r="H176" s="118">
        <v>1</v>
      </c>
      <c r="I176" s="118">
        <v>17500</v>
      </c>
      <c r="J176" s="675">
        <v>4</v>
      </c>
      <c r="K176" s="118">
        <v>1692</v>
      </c>
      <c r="L176" s="118" t="s">
        <v>490</v>
      </c>
      <c r="M176" s="64">
        <v>703</v>
      </c>
      <c r="N176" s="676">
        <v>1.02488</v>
      </c>
      <c r="O176" s="675" t="s">
        <v>140</v>
      </c>
      <c r="P176" s="15">
        <v>0</v>
      </c>
      <c r="Q176" s="46">
        <f t="shared" si="14"/>
        <v>0</v>
      </c>
      <c r="R176" s="46" t="e">
        <f t="shared" si="20"/>
        <v>#DIV/0!</v>
      </c>
      <c r="S176" s="46" t="e">
        <f t="shared" si="15"/>
        <v>#DIV/0!</v>
      </c>
      <c r="T176" s="677" t="e">
        <f t="shared" si="19"/>
        <v>#DIV/0!</v>
      </c>
      <c r="U176" s="80" t="e">
        <f t="shared" si="18"/>
        <v>#DIV/0!</v>
      </c>
      <c r="V176" s="85">
        <f t="shared" si="16"/>
        <v>710</v>
      </c>
      <c r="W176" s="679">
        <f t="shared" si="17"/>
        <v>705</v>
      </c>
      <c r="X176" s="4"/>
    </row>
    <row r="177" spans="1:24" x14ac:dyDescent="0.25">
      <c r="A177" s="680" t="s">
        <v>448</v>
      </c>
      <c r="B177" s="681" t="s">
        <v>443</v>
      </c>
      <c r="C177" s="47" t="s">
        <v>446</v>
      </c>
      <c r="D177" s="118" t="s">
        <v>41</v>
      </c>
      <c r="E177" s="118" t="s">
        <v>524</v>
      </c>
      <c r="F177" s="118" t="s">
        <v>523</v>
      </c>
      <c r="G177" s="118">
        <v>1</v>
      </c>
      <c r="H177" s="118">
        <v>1</v>
      </c>
      <c r="I177" s="118">
        <v>8500</v>
      </c>
      <c r="J177" s="675">
        <v>4</v>
      </c>
      <c r="K177" s="118">
        <v>1692</v>
      </c>
      <c r="L177" s="118" t="s">
        <v>490</v>
      </c>
      <c r="M177" s="64">
        <v>686</v>
      </c>
      <c r="N177" s="676">
        <v>2.6734399999999998</v>
      </c>
      <c r="O177" s="675" t="s">
        <v>140</v>
      </c>
      <c r="P177" s="15">
        <v>0</v>
      </c>
      <c r="Q177" s="46">
        <f t="shared" si="14"/>
        <v>0</v>
      </c>
      <c r="R177" s="46" t="e">
        <f t="shared" si="20"/>
        <v>#DIV/0!</v>
      </c>
      <c r="S177" s="46" t="e">
        <f t="shared" si="15"/>
        <v>#DIV/0!</v>
      </c>
      <c r="T177" s="677" t="e">
        <f t="shared" si="19"/>
        <v>#DIV/0!</v>
      </c>
      <c r="U177" s="80" t="e">
        <f t="shared" si="18"/>
        <v>#DIV/0!</v>
      </c>
      <c r="V177" s="85">
        <f t="shared" si="16"/>
        <v>690</v>
      </c>
      <c r="W177" s="679">
        <f t="shared" si="17"/>
        <v>690</v>
      </c>
      <c r="X177" s="4"/>
    </row>
    <row r="178" spans="1:24" x14ac:dyDescent="0.25">
      <c r="A178" s="680" t="s">
        <v>448</v>
      </c>
      <c r="B178" s="681" t="s">
        <v>451</v>
      </c>
      <c r="C178" s="47" t="s">
        <v>446</v>
      </c>
      <c r="D178" s="118" t="s">
        <v>44</v>
      </c>
      <c r="E178" s="118" t="s">
        <v>510</v>
      </c>
      <c r="F178" s="118" t="s">
        <v>523</v>
      </c>
      <c r="G178" s="118">
        <v>2</v>
      </c>
      <c r="H178" s="118">
        <v>1</v>
      </c>
      <c r="I178" s="118">
        <v>8500</v>
      </c>
      <c r="J178" s="675">
        <v>4</v>
      </c>
      <c r="K178" s="118">
        <v>1502</v>
      </c>
      <c r="L178" s="118" t="s">
        <v>490</v>
      </c>
      <c r="M178" s="64">
        <v>703</v>
      </c>
      <c r="N178" s="676">
        <v>1.4200200000000001</v>
      </c>
      <c r="O178" s="675" t="s">
        <v>140</v>
      </c>
      <c r="P178" s="15">
        <v>0</v>
      </c>
      <c r="Q178" s="46">
        <f t="shared" si="14"/>
        <v>0</v>
      </c>
      <c r="R178" s="46" t="e">
        <f t="shared" si="20"/>
        <v>#DIV/0!</v>
      </c>
      <c r="S178" s="46" t="e">
        <f t="shared" si="15"/>
        <v>#DIV/0!</v>
      </c>
      <c r="T178" s="677" t="e">
        <f t="shared" si="19"/>
        <v>#DIV/0!</v>
      </c>
      <c r="U178" s="80" t="e">
        <f t="shared" si="18"/>
        <v>#DIV/0!</v>
      </c>
      <c r="V178" s="85">
        <f t="shared" si="16"/>
        <v>710</v>
      </c>
      <c r="W178" s="679">
        <f t="shared" si="17"/>
        <v>705</v>
      </c>
      <c r="X178" s="4"/>
    </row>
    <row r="179" spans="1:24" x14ac:dyDescent="0.25">
      <c r="A179" s="680" t="s">
        <v>452</v>
      </c>
      <c r="B179" s="681" t="s">
        <v>453</v>
      </c>
      <c r="C179" s="47" t="s">
        <v>454</v>
      </c>
      <c r="D179" s="118" t="s">
        <v>41</v>
      </c>
      <c r="E179" s="118" t="s">
        <v>524</v>
      </c>
      <c r="F179" s="118" t="s">
        <v>513</v>
      </c>
      <c r="G179" s="118">
        <v>2</v>
      </c>
      <c r="H179" s="118">
        <v>1</v>
      </c>
      <c r="I179" s="118">
        <v>11097</v>
      </c>
      <c r="J179" s="675">
        <v>4</v>
      </c>
      <c r="K179" s="118">
        <v>585</v>
      </c>
      <c r="L179" s="118" t="s">
        <v>490</v>
      </c>
      <c r="M179" s="64">
        <v>686</v>
      </c>
      <c r="N179" s="676">
        <v>1.573488</v>
      </c>
      <c r="O179" s="675" t="s">
        <v>140</v>
      </c>
      <c r="P179" s="15">
        <v>0</v>
      </c>
      <c r="Q179" s="46">
        <f t="shared" si="14"/>
        <v>0</v>
      </c>
      <c r="R179" s="46" t="e">
        <f t="shared" si="20"/>
        <v>#DIV/0!</v>
      </c>
      <c r="S179" s="46" t="e">
        <f t="shared" si="15"/>
        <v>#DIV/0!</v>
      </c>
      <c r="T179" s="677" t="e">
        <f t="shared" si="19"/>
        <v>#DIV/0!</v>
      </c>
      <c r="U179" s="80" t="e">
        <f t="shared" si="18"/>
        <v>#DIV/0!</v>
      </c>
      <c r="V179" s="85">
        <f t="shared" si="16"/>
        <v>690</v>
      </c>
      <c r="W179" s="679">
        <f t="shared" si="17"/>
        <v>690</v>
      </c>
      <c r="X179" s="4"/>
    </row>
    <row r="180" spans="1:24" x14ac:dyDescent="0.25">
      <c r="A180" s="680" t="s">
        <v>452</v>
      </c>
      <c r="B180" s="681" t="s">
        <v>453</v>
      </c>
      <c r="C180" s="47" t="s">
        <v>408</v>
      </c>
      <c r="D180" s="118" t="s">
        <v>44</v>
      </c>
      <c r="E180" s="118" t="s">
        <v>510</v>
      </c>
      <c r="F180" s="118" t="s">
        <v>514</v>
      </c>
      <c r="G180" s="118">
        <v>29</v>
      </c>
      <c r="H180" s="118">
        <v>1</v>
      </c>
      <c r="I180" s="118">
        <v>1500</v>
      </c>
      <c r="J180" s="675">
        <v>4</v>
      </c>
      <c r="K180" s="118">
        <v>776</v>
      </c>
      <c r="L180" s="118" t="s">
        <v>490</v>
      </c>
      <c r="M180" s="64">
        <v>703</v>
      </c>
      <c r="N180" s="676">
        <v>0.76879799999999998</v>
      </c>
      <c r="O180" s="675" t="s">
        <v>140</v>
      </c>
      <c r="P180" s="15">
        <v>0</v>
      </c>
      <c r="Q180" s="46">
        <f t="shared" si="14"/>
        <v>0</v>
      </c>
      <c r="R180" s="46" t="e">
        <f t="shared" si="20"/>
        <v>#DIV/0!</v>
      </c>
      <c r="S180" s="46" t="e">
        <f t="shared" si="15"/>
        <v>#DIV/0!</v>
      </c>
      <c r="T180" s="677" t="e">
        <f t="shared" si="19"/>
        <v>#DIV/0!</v>
      </c>
      <c r="U180" s="80" t="e">
        <f t="shared" si="18"/>
        <v>#DIV/0!</v>
      </c>
      <c r="V180" s="85">
        <f t="shared" si="16"/>
        <v>710</v>
      </c>
      <c r="W180" s="679">
        <f t="shared" si="17"/>
        <v>705</v>
      </c>
      <c r="X180" s="4"/>
    </row>
    <row r="181" spans="1:24" x14ac:dyDescent="0.25">
      <c r="A181" s="680" t="s">
        <v>452</v>
      </c>
      <c r="B181" s="681" t="s">
        <v>453</v>
      </c>
      <c r="C181" s="47" t="s">
        <v>408</v>
      </c>
      <c r="D181" s="118" t="s">
        <v>41</v>
      </c>
      <c r="E181" s="118" t="s">
        <v>524</v>
      </c>
      <c r="F181" s="118" t="s">
        <v>512</v>
      </c>
      <c r="G181" s="118">
        <v>1</v>
      </c>
      <c r="H181" s="118">
        <v>1</v>
      </c>
      <c r="I181" s="118">
        <v>1500</v>
      </c>
      <c r="J181" s="675">
        <v>4</v>
      </c>
      <c r="K181" s="118">
        <v>3879</v>
      </c>
      <c r="L181" s="118" t="s">
        <v>490</v>
      </c>
      <c r="M181" s="64">
        <v>686</v>
      </c>
      <c r="N181" s="676">
        <v>2.2736000000000001</v>
      </c>
      <c r="O181" s="675" t="s">
        <v>140</v>
      </c>
      <c r="P181" s="15">
        <v>0</v>
      </c>
      <c r="Q181" s="46">
        <f t="shared" si="14"/>
        <v>0</v>
      </c>
      <c r="R181" s="46" t="e">
        <f t="shared" si="20"/>
        <v>#DIV/0!</v>
      </c>
      <c r="S181" s="46" t="e">
        <f t="shared" si="15"/>
        <v>#DIV/0!</v>
      </c>
      <c r="T181" s="677" t="e">
        <f t="shared" si="19"/>
        <v>#DIV/0!</v>
      </c>
      <c r="U181" s="80" t="e">
        <f t="shared" si="18"/>
        <v>#DIV/0!</v>
      </c>
      <c r="V181" s="85">
        <f t="shared" si="16"/>
        <v>690</v>
      </c>
      <c r="W181" s="679">
        <f t="shared" si="17"/>
        <v>690</v>
      </c>
      <c r="X181" s="4"/>
    </row>
    <row r="182" spans="1:24" x14ac:dyDescent="0.25">
      <c r="A182" s="680" t="s">
        <v>456</v>
      </c>
      <c r="B182" s="681" t="s">
        <v>453</v>
      </c>
      <c r="C182" s="47" t="s">
        <v>457</v>
      </c>
      <c r="D182" s="118" t="s">
        <v>44</v>
      </c>
      <c r="E182" s="118" t="s">
        <v>510</v>
      </c>
      <c r="F182" s="118" t="s">
        <v>513</v>
      </c>
      <c r="G182" s="118">
        <v>2</v>
      </c>
      <c r="H182" s="118">
        <v>1</v>
      </c>
      <c r="I182" s="118">
        <v>11081</v>
      </c>
      <c r="J182" s="675">
        <v>4</v>
      </c>
      <c r="K182" s="118">
        <v>585</v>
      </c>
      <c r="L182" s="118" t="s">
        <v>490</v>
      </c>
      <c r="M182" s="64">
        <v>703</v>
      </c>
      <c r="N182" s="676">
        <v>1.196</v>
      </c>
      <c r="O182" s="675" t="s">
        <v>140</v>
      </c>
      <c r="P182" s="15">
        <v>0</v>
      </c>
      <c r="Q182" s="46">
        <f t="shared" si="14"/>
        <v>0</v>
      </c>
      <c r="R182" s="46" t="e">
        <f t="shared" si="20"/>
        <v>#DIV/0!</v>
      </c>
      <c r="S182" s="46" t="e">
        <f t="shared" si="15"/>
        <v>#DIV/0!</v>
      </c>
      <c r="T182" s="677" t="e">
        <f t="shared" si="19"/>
        <v>#DIV/0!</v>
      </c>
      <c r="U182" s="80" t="e">
        <f t="shared" si="18"/>
        <v>#DIV/0!</v>
      </c>
      <c r="V182" s="85">
        <f t="shared" si="16"/>
        <v>710</v>
      </c>
      <c r="W182" s="679">
        <f t="shared" si="17"/>
        <v>705</v>
      </c>
      <c r="X182" s="4"/>
    </row>
    <row r="183" spans="1:24" x14ac:dyDescent="0.25">
      <c r="A183" s="680" t="s">
        <v>456</v>
      </c>
      <c r="B183" s="681" t="s">
        <v>453</v>
      </c>
      <c r="C183" s="47" t="s">
        <v>408</v>
      </c>
      <c r="D183" s="118" t="s">
        <v>41</v>
      </c>
      <c r="E183" s="118" t="s">
        <v>524</v>
      </c>
      <c r="F183" s="118" t="s">
        <v>514</v>
      </c>
      <c r="G183" s="118">
        <v>29</v>
      </c>
      <c r="H183" s="118">
        <v>1</v>
      </c>
      <c r="I183" s="118">
        <v>1500</v>
      </c>
      <c r="J183" s="675">
        <v>4</v>
      </c>
      <c r="K183" s="118">
        <v>776</v>
      </c>
      <c r="L183" s="118" t="s">
        <v>490</v>
      </c>
      <c r="M183" s="64">
        <v>686</v>
      </c>
      <c r="N183" s="676">
        <v>2.8616000000000001</v>
      </c>
      <c r="O183" s="675" t="s">
        <v>140</v>
      </c>
      <c r="P183" s="15">
        <v>0</v>
      </c>
      <c r="Q183" s="46">
        <f t="shared" si="14"/>
        <v>0</v>
      </c>
      <c r="R183" s="46" t="e">
        <f t="shared" si="20"/>
        <v>#DIV/0!</v>
      </c>
      <c r="S183" s="46" t="e">
        <f t="shared" si="15"/>
        <v>#DIV/0!</v>
      </c>
      <c r="T183" s="677" t="e">
        <f t="shared" si="19"/>
        <v>#DIV/0!</v>
      </c>
      <c r="U183" s="80" t="e">
        <f t="shared" si="18"/>
        <v>#DIV/0!</v>
      </c>
      <c r="V183" s="85">
        <f t="shared" si="16"/>
        <v>690</v>
      </c>
      <c r="W183" s="679">
        <f t="shared" si="17"/>
        <v>690</v>
      </c>
      <c r="X183" s="4"/>
    </row>
    <row r="184" spans="1:24" x14ac:dyDescent="0.25">
      <c r="A184" s="680" t="s">
        <v>456</v>
      </c>
      <c r="B184" s="681" t="s">
        <v>453</v>
      </c>
      <c r="C184" s="47" t="s">
        <v>408</v>
      </c>
      <c r="D184" s="118" t="s">
        <v>44</v>
      </c>
      <c r="E184" s="118" t="s">
        <v>510</v>
      </c>
      <c r="F184" s="118" t="s">
        <v>514</v>
      </c>
      <c r="G184" s="118">
        <v>1</v>
      </c>
      <c r="H184" s="118">
        <v>1</v>
      </c>
      <c r="I184" s="118">
        <v>1500</v>
      </c>
      <c r="J184" s="675">
        <v>4</v>
      </c>
      <c r="K184" s="118">
        <v>3879</v>
      </c>
      <c r="L184" s="118" t="s">
        <v>490</v>
      </c>
      <c r="M184" s="64">
        <v>703</v>
      </c>
      <c r="N184" s="676">
        <v>1.4559</v>
      </c>
      <c r="O184" s="675" t="s">
        <v>140</v>
      </c>
      <c r="P184" s="15">
        <v>0</v>
      </c>
      <c r="Q184" s="46">
        <f t="shared" si="14"/>
        <v>0</v>
      </c>
      <c r="R184" s="46" t="e">
        <f t="shared" si="20"/>
        <v>#DIV/0!</v>
      </c>
      <c r="S184" s="46" t="e">
        <f t="shared" si="15"/>
        <v>#DIV/0!</v>
      </c>
      <c r="T184" s="677" t="e">
        <f t="shared" si="19"/>
        <v>#DIV/0!</v>
      </c>
      <c r="U184" s="80" t="e">
        <f t="shared" si="18"/>
        <v>#DIV/0!</v>
      </c>
      <c r="V184" s="85">
        <f t="shared" si="16"/>
        <v>710</v>
      </c>
      <c r="W184" s="679">
        <f t="shared" si="17"/>
        <v>705</v>
      </c>
      <c r="X184" s="4"/>
    </row>
    <row r="185" spans="1:24" x14ac:dyDescent="0.25">
      <c r="A185" s="680" t="s">
        <v>458</v>
      </c>
      <c r="B185" s="681" t="s">
        <v>459</v>
      </c>
      <c r="C185" s="47" t="s">
        <v>460</v>
      </c>
      <c r="D185" s="118" t="s">
        <v>41</v>
      </c>
      <c r="E185" s="118" t="s">
        <v>524</v>
      </c>
      <c r="F185" s="118" t="s">
        <v>513</v>
      </c>
      <c r="G185" s="118">
        <v>2</v>
      </c>
      <c r="H185" s="118">
        <v>1</v>
      </c>
      <c r="I185" s="118">
        <v>12634</v>
      </c>
      <c r="J185" s="675">
        <v>4</v>
      </c>
      <c r="K185" s="118">
        <v>585</v>
      </c>
      <c r="L185" s="118" t="s">
        <v>490</v>
      </c>
      <c r="M185" s="64">
        <v>686</v>
      </c>
      <c r="N185" s="676">
        <v>3.0575999999999999</v>
      </c>
      <c r="O185" s="675" t="s">
        <v>140</v>
      </c>
      <c r="P185" s="15">
        <v>0</v>
      </c>
      <c r="Q185" s="46">
        <f t="shared" si="14"/>
        <v>0</v>
      </c>
      <c r="R185" s="46" t="e">
        <f t="shared" si="20"/>
        <v>#DIV/0!</v>
      </c>
      <c r="S185" s="46" t="e">
        <f t="shared" si="15"/>
        <v>#DIV/0!</v>
      </c>
      <c r="T185" s="677" t="e">
        <f t="shared" si="19"/>
        <v>#DIV/0!</v>
      </c>
      <c r="U185" s="80" t="e">
        <f t="shared" si="18"/>
        <v>#DIV/0!</v>
      </c>
      <c r="V185" s="85">
        <f t="shared" si="16"/>
        <v>690</v>
      </c>
      <c r="W185" s="679">
        <f t="shared" si="17"/>
        <v>690</v>
      </c>
      <c r="X185" s="4"/>
    </row>
    <row r="186" spans="1:24" x14ac:dyDescent="0.25">
      <c r="A186" s="680" t="s">
        <v>458</v>
      </c>
      <c r="B186" s="681" t="s">
        <v>459</v>
      </c>
      <c r="C186" s="47" t="s">
        <v>408</v>
      </c>
      <c r="D186" s="118" t="s">
        <v>42</v>
      </c>
      <c r="E186" s="118" t="s">
        <v>524</v>
      </c>
      <c r="F186" s="118" t="s">
        <v>514</v>
      </c>
      <c r="G186" s="118">
        <v>28</v>
      </c>
      <c r="H186" s="118">
        <v>1</v>
      </c>
      <c r="I186" s="118">
        <v>1500</v>
      </c>
      <c r="J186" s="675">
        <v>4</v>
      </c>
      <c r="K186" s="118">
        <v>776</v>
      </c>
      <c r="L186" s="118" t="s">
        <v>490</v>
      </c>
      <c r="M186" s="64">
        <v>686</v>
      </c>
      <c r="N186" s="676">
        <v>0.66639999999999999</v>
      </c>
      <c r="O186" s="675" t="s">
        <v>140</v>
      </c>
      <c r="P186" s="15">
        <v>0</v>
      </c>
      <c r="Q186" s="46">
        <f t="shared" si="14"/>
        <v>0</v>
      </c>
      <c r="R186" s="46" t="e">
        <f t="shared" si="20"/>
        <v>#DIV/0!</v>
      </c>
      <c r="S186" s="46" t="e">
        <f t="shared" si="15"/>
        <v>#DIV/0!</v>
      </c>
      <c r="T186" s="677" t="e">
        <f t="shared" si="19"/>
        <v>#DIV/0!</v>
      </c>
      <c r="U186" s="80" t="e">
        <f t="shared" si="18"/>
        <v>#DIV/0!</v>
      </c>
      <c r="V186" s="85">
        <f t="shared" si="16"/>
        <v>690</v>
      </c>
      <c r="W186" s="679">
        <f t="shared" si="17"/>
        <v>690</v>
      </c>
      <c r="X186" s="4"/>
    </row>
    <row r="187" spans="1:24" x14ac:dyDescent="0.25">
      <c r="A187" s="680" t="s">
        <v>461</v>
      </c>
      <c r="B187" s="681" t="s">
        <v>459</v>
      </c>
      <c r="C187" s="47" t="s">
        <v>462</v>
      </c>
      <c r="D187" s="118" t="s">
        <v>43</v>
      </c>
      <c r="E187" s="118" t="s">
        <v>510</v>
      </c>
      <c r="F187" s="118" t="s">
        <v>513</v>
      </c>
      <c r="G187" s="118">
        <v>2</v>
      </c>
      <c r="H187" s="118">
        <v>1</v>
      </c>
      <c r="I187" s="118">
        <v>11097</v>
      </c>
      <c r="J187" s="675">
        <v>4</v>
      </c>
      <c r="K187" s="118">
        <v>585</v>
      </c>
      <c r="L187" s="118" t="s">
        <v>490</v>
      </c>
      <c r="M187" s="64">
        <v>703</v>
      </c>
      <c r="N187" s="676">
        <v>0.97750000000000004</v>
      </c>
      <c r="O187" s="675" t="s">
        <v>140</v>
      </c>
      <c r="P187" s="15">
        <v>0</v>
      </c>
      <c r="Q187" s="46">
        <f t="shared" si="14"/>
        <v>0</v>
      </c>
      <c r="R187" s="46" t="e">
        <f t="shared" si="20"/>
        <v>#DIV/0!</v>
      </c>
      <c r="S187" s="46" t="e">
        <f t="shared" si="15"/>
        <v>#DIV/0!</v>
      </c>
      <c r="T187" s="677" t="e">
        <f t="shared" si="19"/>
        <v>#DIV/0!</v>
      </c>
      <c r="U187" s="80" t="e">
        <f t="shared" si="18"/>
        <v>#DIV/0!</v>
      </c>
      <c r="V187" s="85">
        <f t="shared" si="16"/>
        <v>710</v>
      </c>
      <c r="W187" s="679">
        <f t="shared" si="17"/>
        <v>705</v>
      </c>
      <c r="X187" s="4"/>
    </row>
    <row r="188" spans="1:24" x14ac:dyDescent="0.25">
      <c r="A188" s="680" t="s">
        <v>461</v>
      </c>
      <c r="B188" s="681" t="s">
        <v>459</v>
      </c>
      <c r="C188" s="47" t="s">
        <v>408</v>
      </c>
      <c r="D188" s="118" t="s">
        <v>44</v>
      </c>
      <c r="E188" s="118" t="s">
        <v>510</v>
      </c>
      <c r="F188" s="118" t="s">
        <v>514</v>
      </c>
      <c r="G188" s="118">
        <v>29</v>
      </c>
      <c r="H188" s="118">
        <v>1</v>
      </c>
      <c r="I188" s="118">
        <v>1500</v>
      </c>
      <c r="J188" s="675">
        <v>4</v>
      </c>
      <c r="K188" s="118">
        <v>776</v>
      </c>
      <c r="L188" s="118" t="s">
        <v>490</v>
      </c>
      <c r="M188" s="64">
        <v>703</v>
      </c>
      <c r="N188" s="676">
        <v>0.48668</v>
      </c>
      <c r="O188" s="675" t="s">
        <v>140</v>
      </c>
      <c r="P188" s="15">
        <v>0</v>
      </c>
      <c r="Q188" s="46">
        <f t="shared" si="14"/>
        <v>0</v>
      </c>
      <c r="R188" s="46" t="e">
        <f t="shared" si="20"/>
        <v>#DIV/0!</v>
      </c>
      <c r="S188" s="46" t="e">
        <f t="shared" si="15"/>
        <v>#DIV/0!</v>
      </c>
      <c r="T188" s="677" t="e">
        <f t="shared" si="19"/>
        <v>#DIV/0!</v>
      </c>
      <c r="U188" s="80" t="e">
        <f t="shared" si="18"/>
        <v>#DIV/0!</v>
      </c>
      <c r="V188" s="85">
        <f t="shared" si="16"/>
        <v>710</v>
      </c>
      <c r="W188" s="679">
        <f t="shared" si="17"/>
        <v>705</v>
      </c>
      <c r="X188" s="4"/>
    </row>
    <row r="189" spans="1:24" x14ac:dyDescent="0.25">
      <c r="A189" s="680" t="s">
        <v>461</v>
      </c>
      <c r="B189" s="681" t="s">
        <v>459</v>
      </c>
      <c r="C189" s="47" t="s">
        <v>408</v>
      </c>
      <c r="D189" s="118" t="s">
        <v>44</v>
      </c>
      <c r="E189" s="118" t="s">
        <v>510</v>
      </c>
      <c r="F189" s="118" t="s">
        <v>514</v>
      </c>
      <c r="G189" s="118">
        <v>1</v>
      </c>
      <c r="H189" s="118">
        <v>1</v>
      </c>
      <c r="I189" s="118">
        <v>1500</v>
      </c>
      <c r="J189" s="675">
        <v>4</v>
      </c>
      <c r="K189" s="118">
        <v>3879</v>
      </c>
      <c r="L189" s="118" t="s">
        <v>490</v>
      </c>
      <c r="M189" s="64">
        <v>703</v>
      </c>
      <c r="N189" s="676">
        <v>0.99010399999999998</v>
      </c>
      <c r="O189" s="675" t="s">
        <v>140</v>
      </c>
      <c r="P189" s="15">
        <v>0</v>
      </c>
      <c r="Q189" s="46">
        <f t="shared" si="14"/>
        <v>0</v>
      </c>
      <c r="R189" s="46" t="e">
        <f t="shared" si="20"/>
        <v>#DIV/0!</v>
      </c>
      <c r="S189" s="46" t="e">
        <f t="shared" si="15"/>
        <v>#DIV/0!</v>
      </c>
      <c r="T189" s="677" t="e">
        <f t="shared" si="19"/>
        <v>#DIV/0!</v>
      </c>
      <c r="U189" s="80" t="e">
        <f t="shared" si="18"/>
        <v>#DIV/0!</v>
      </c>
      <c r="V189" s="85">
        <f t="shared" si="16"/>
        <v>710</v>
      </c>
      <c r="W189" s="679">
        <f t="shared" si="17"/>
        <v>705</v>
      </c>
      <c r="X189" s="4"/>
    </row>
    <row r="190" spans="1:24" x14ac:dyDescent="0.25">
      <c r="A190" s="680" t="s">
        <v>406</v>
      </c>
      <c r="B190" s="681" t="s">
        <v>407</v>
      </c>
      <c r="C190" s="47" t="s">
        <v>408</v>
      </c>
      <c r="D190" s="118" t="s">
        <v>41</v>
      </c>
      <c r="E190" s="118" t="s">
        <v>524</v>
      </c>
      <c r="F190" s="118" t="s">
        <v>515</v>
      </c>
      <c r="G190" s="118">
        <v>12</v>
      </c>
      <c r="H190" s="118">
        <v>2</v>
      </c>
      <c r="I190" s="118">
        <v>26385</v>
      </c>
      <c r="J190" s="675">
        <v>4</v>
      </c>
      <c r="K190" s="118">
        <v>2784</v>
      </c>
      <c r="L190" s="118" t="s">
        <v>490</v>
      </c>
      <c r="M190" s="64">
        <v>686</v>
      </c>
      <c r="N190" s="676">
        <v>2.05016</v>
      </c>
      <c r="O190" s="675" t="s">
        <v>140</v>
      </c>
      <c r="P190" s="15">
        <v>0</v>
      </c>
      <c r="Q190" s="46">
        <f t="shared" si="14"/>
        <v>0</v>
      </c>
      <c r="R190" s="46" t="e">
        <f t="shared" si="20"/>
        <v>#DIV/0!</v>
      </c>
      <c r="S190" s="46" t="e">
        <f t="shared" si="15"/>
        <v>#DIV/0!</v>
      </c>
      <c r="T190" s="677" t="e">
        <f t="shared" si="19"/>
        <v>#DIV/0!</v>
      </c>
      <c r="U190" s="80" t="e">
        <f t="shared" si="18"/>
        <v>#DIV/0!</v>
      </c>
      <c r="V190" s="678">
        <f t="shared" si="16"/>
        <v>690</v>
      </c>
      <c r="W190" s="679">
        <f t="shared" si="17"/>
        <v>690</v>
      </c>
      <c r="X190" s="4"/>
    </row>
    <row r="191" spans="1:24" x14ac:dyDescent="0.25">
      <c r="A191" s="680" t="s">
        <v>406</v>
      </c>
      <c r="B191" s="681" t="s">
        <v>407</v>
      </c>
      <c r="C191" s="47" t="s">
        <v>408</v>
      </c>
      <c r="D191" s="118" t="s">
        <v>42</v>
      </c>
      <c r="E191" s="118" t="s">
        <v>524</v>
      </c>
      <c r="F191" s="118" t="s">
        <v>516</v>
      </c>
      <c r="G191" s="118">
        <v>12</v>
      </c>
      <c r="H191" s="118">
        <v>1</v>
      </c>
      <c r="I191" s="118">
        <v>91778</v>
      </c>
      <c r="J191" s="675">
        <v>4</v>
      </c>
      <c r="K191" s="118">
        <v>1781</v>
      </c>
      <c r="L191" s="118" t="s">
        <v>490</v>
      </c>
      <c r="M191" s="64">
        <v>686</v>
      </c>
      <c r="N191" s="676">
        <v>0.66639999999999999</v>
      </c>
      <c r="O191" s="675" t="s">
        <v>140</v>
      </c>
      <c r="P191" s="15">
        <v>0</v>
      </c>
      <c r="Q191" s="46">
        <f t="shared" si="14"/>
        <v>0</v>
      </c>
      <c r="R191" s="46" t="e">
        <f t="shared" si="20"/>
        <v>#DIV/0!</v>
      </c>
      <c r="S191" s="46" t="e">
        <f t="shared" si="15"/>
        <v>#DIV/0!</v>
      </c>
      <c r="T191" s="677" t="e">
        <f t="shared" si="19"/>
        <v>#DIV/0!</v>
      </c>
      <c r="U191" s="80" t="e">
        <f t="shared" si="18"/>
        <v>#DIV/0!</v>
      </c>
      <c r="V191" s="85">
        <f t="shared" si="16"/>
        <v>690</v>
      </c>
      <c r="W191" s="679">
        <f t="shared" si="17"/>
        <v>690</v>
      </c>
      <c r="X191" s="4"/>
    </row>
    <row r="192" spans="1:24" x14ac:dyDescent="0.25">
      <c r="A192" s="680" t="s">
        <v>409</v>
      </c>
      <c r="B192" s="681" t="s">
        <v>410</v>
      </c>
      <c r="C192" s="47" t="s">
        <v>408</v>
      </c>
      <c r="D192" s="118" t="s">
        <v>43</v>
      </c>
      <c r="E192" s="118" t="s">
        <v>510</v>
      </c>
      <c r="F192" s="118" t="s">
        <v>517</v>
      </c>
      <c r="G192" s="118">
        <v>12</v>
      </c>
      <c r="H192" s="118">
        <v>2</v>
      </c>
      <c r="I192" s="118">
        <v>12900</v>
      </c>
      <c r="J192" s="675">
        <v>4</v>
      </c>
      <c r="K192" s="118">
        <v>968</v>
      </c>
      <c r="L192" s="118" t="s">
        <v>490</v>
      </c>
      <c r="M192" s="64">
        <v>703</v>
      </c>
      <c r="N192" s="676">
        <v>0.58650000000000002</v>
      </c>
      <c r="O192" s="675" t="s">
        <v>140</v>
      </c>
      <c r="P192" s="15">
        <v>0</v>
      </c>
      <c r="Q192" s="46">
        <f t="shared" si="14"/>
        <v>0</v>
      </c>
      <c r="R192" s="46" t="e">
        <f t="shared" si="20"/>
        <v>#DIV/0!</v>
      </c>
      <c r="S192" s="46" t="e">
        <f t="shared" si="15"/>
        <v>#DIV/0!</v>
      </c>
      <c r="T192" s="677" t="e">
        <f t="shared" si="19"/>
        <v>#DIV/0!</v>
      </c>
      <c r="U192" s="80" t="e">
        <f t="shared" si="18"/>
        <v>#DIV/0!</v>
      </c>
      <c r="V192" s="85">
        <f t="shared" si="16"/>
        <v>710</v>
      </c>
      <c r="W192" s="679">
        <f t="shared" si="17"/>
        <v>705</v>
      </c>
      <c r="X192" s="4"/>
    </row>
    <row r="193" spans="1:24" x14ac:dyDescent="0.25">
      <c r="A193" s="680" t="s">
        <v>414</v>
      </c>
      <c r="B193" s="681" t="s">
        <v>415</v>
      </c>
      <c r="C193" s="47" t="s">
        <v>408</v>
      </c>
      <c r="D193" s="118" t="s">
        <v>44</v>
      </c>
      <c r="E193" s="118" t="s">
        <v>510</v>
      </c>
      <c r="F193" s="118" t="s">
        <v>518</v>
      </c>
      <c r="G193" s="118">
        <v>3</v>
      </c>
      <c r="H193" s="118">
        <v>1</v>
      </c>
      <c r="I193" s="118">
        <v>17971</v>
      </c>
      <c r="J193" s="675">
        <v>4</v>
      </c>
      <c r="K193" s="118">
        <v>2184</v>
      </c>
      <c r="L193" s="118" t="s">
        <v>490</v>
      </c>
      <c r="M193" s="64">
        <v>703</v>
      </c>
      <c r="N193" s="676">
        <v>0.24265</v>
      </c>
      <c r="O193" s="675" t="s">
        <v>140</v>
      </c>
      <c r="P193" s="15">
        <v>0</v>
      </c>
      <c r="Q193" s="46">
        <f t="shared" si="14"/>
        <v>0</v>
      </c>
      <c r="R193" s="46" t="e">
        <f t="shared" si="20"/>
        <v>#DIV/0!</v>
      </c>
      <c r="S193" s="46" t="e">
        <f t="shared" si="15"/>
        <v>#DIV/0!</v>
      </c>
      <c r="T193" s="677" t="e">
        <f t="shared" si="19"/>
        <v>#DIV/0!</v>
      </c>
      <c r="U193" s="80" t="e">
        <f t="shared" si="18"/>
        <v>#DIV/0!</v>
      </c>
      <c r="V193" s="85">
        <f t="shared" si="16"/>
        <v>710</v>
      </c>
      <c r="W193" s="679">
        <f t="shared" si="17"/>
        <v>705</v>
      </c>
      <c r="X193" s="4"/>
    </row>
    <row r="194" spans="1:24" x14ac:dyDescent="0.25">
      <c r="A194" s="680" t="s">
        <v>417</v>
      </c>
      <c r="B194" s="681" t="s">
        <v>415</v>
      </c>
      <c r="C194" s="47" t="s">
        <v>408</v>
      </c>
      <c r="D194" s="118" t="s">
        <v>44</v>
      </c>
      <c r="E194" s="118" t="s">
        <v>510</v>
      </c>
      <c r="F194" s="118" t="s">
        <v>519</v>
      </c>
      <c r="G194" s="118">
        <v>2</v>
      </c>
      <c r="H194" s="118">
        <v>1</v>
      </c>
      <c r="I194" s="118">
        <v>7759</v>
      </c>
      <c r="J194" s="675">
        <v>4</v>
      </c>
      <c r="K194" s="118">
        <v>785</v>
      </c>
      <c r="L194" s="118" t="s">
        <v>490</v>
      </c>
      <c r="M194" s="64">
        <v>703</v>
      </c>
      <c r="N194" s="676">
        <v>0.75106499999999998</v>
      </c>
      <c r="O194" s="675" t="s">
        <v>140</v>
      </c>
      <c r="P194" s="15">
        <v>0</v>
      </c>
      <c r="Q194" s="46">
        <f t="shared" si="14"/>
        <v>0</v>
      </c>
      <c r="R194" s="46" t="e">
        <f t="shared" si="20"/>
        <v>#DIV/0!</v>
      </c>
      <c r="S194" s="46" t="e">
        <f t="shared" si="15"/>
        <v>#DIV/0!</v>
      </c>
      <c r="T194" s="677" t="e">
        <f t="shared" si="19"/>
        <v>#DIV/0!</v>
      </c>
      <c r="U194" s="80" t="e">
        <f t="shared" si="18"/>
        <v>#DIV/0!</v>
      </c>
      <c r="V194" s="85">
        <f t="shared" si="16"/>
        <v>710</v>
      </c>
      <c r="W194" s="679">
        <f t="shared" si="17"/>
        <v>705</v>
      </c>
      <c r="X194" s="4"/>
    </row>
    <row r="195" spans="1:24" x14ac:dyDescent="0.25">
      <c r="A195" s="680" t="s">
        <v>419</v>
      </c>
      <c r="B195" s="681" t="s">
        <v>415</v>
      </c>
      <c r="C195" s="47" t="s">
        <v>408</v>
      </c>
      <c r="D195" s="118" t="s">
        <v>42</v>
      </c>
      <c r="E195" s="118" t="s">
        <v>524</v>
      </c>
      <c r="F195" s="118" t="s">
        <v>519</v>
      </c>
      <c r="G195" s="118">
        <v>1</v>
      </c>
      <c r="H195" s="118">
        <v>1</v>
      </c>
      <c r="I195" s="118">
        <v>7100</v>
      </c>
      <c r="J195" s="675">
        <v>4</v>
      </c>
      <c r="K195" s="118">
        <v>785</v>
      </c>
      <c r="L195" s="118" t="s">
        <v>490</v>
      </c>
      <c r="M195" s="64">
        <v>518</v>
      </c>
      <c r="N195" s="676">
        <v>1.3191999999999999</v>
      </c>
      <c r="O195" s="675" t="s">
        <v>140</v>
      </c>
      <c r="P195" s="15">
        <v>0</v>
      </c>
      <c r="Q195" s="46">
        <f t="shared" si="14"/>
        <v>0</v>
      </c>
      <c r="R195" s="46" t="e">
        <f t="shared" si="20"/>
        <v>#DIV/0!</v>
      </c>
      <c r="S195" s="46" t="e">
        <f t="shared" si="15"/>
        <v>#DIV/0!</v>
      </c>
      <c r="T195" s="677" t="e">
        <f t="shared" si="19"/>
        <v>#DIV/0!</v>
      </c>
      <c r="U195" s="80" t="e">
        <f t="shared" si="18"/>
        <v>#DIV/0!</v>
      </c>
      <c r="V195" s="85">
        <f t="shared" si="16"/>
        <v>520</v>
      </c>
      <c r="W195" s="679">
        <f t="shared" si="17"/>
        <v>520</v>
      </c>
      <c r="X195" s="4"/>
    </row>
    <row r="196" spans="1:24" x14ac:dyDescent="0.25">
      <c r="A196" s="680" t="s">
        <v>421</v>
      </c>
      <c r="B196" s="681" t="s">
        <v>422</v>
      </c>
      <c r="C196" s="47" t="s">
        <v>423</v>
      </c>
      <c r="D196" s="118" t="s">
        <v>43</v>
      </c>
      <c r="E196" s="118" t="s">
        <v>510</v>
      </c>
      <c r="F196" s="118" t="s">
        <v>520</v>
      </c>
      <c r="G196" s="118">
        <v>1</v>
      </c>
      <c r="H196" s="118">
        <v>1</v>
      </c>
      <c r="I196" s="118">
        <v>19050</v>
      </c>
      <c r="J196" s="675">
        <v>4</v>
      </c>
      <c r="K196" s="118">
        <v>1185</v>
      </c>
      <c r="L196" s="118" t="s">
        <v>490</v>
      </c>
      <c r="M196" s="64">
        <v>703</v>
      </c>
      <c r="N196" s="676">
        <v>1.9550000000000001</v>
      </c>
      <c r="O196" s="675" t="s">
        <v>140</v>
      </c>
      <c r="P196" s="15">
        <v>0</v>
      </c>
      <c r="Q196" s="46">
        <f t="shared" si="14"/>
        <v>0</v>
      </c>
      <c r="R196" s="46" t="e">
        <f t="shared" si="20"/>
        <v>#DIV/0!</v>
      </c>
      <c r="S196" s="46" t="e">
        <f t="shared" si="15"/>
        <v>#DIV/0!</v>
      </c>
      <c r="T196" s="677" t="e">
        <f t="shared" si="19"/>
        <v>#DIV/0!</v>
      </c>
      <c r="U196" s="80" t="e">
        <f t="shared" si="18"/>
        <v>#DIV/0!</v>
      </c>
      <c r="V196" s="85">
        <f t="shared" si="16"/>
        <v>710</v>
      </c>
      <c r="W196" s="679">
        <f t="shared" si="17"/>
        <v>705</v>
      </c>
      <c r="X196" s="4"/>
    </row>
    <row r="197" spans="1:24" x14ac:dyDescent="0.25">
      <c r="A197" s="680" t="s">
        <v>425</v>
      </c>
      <c r="B197" s="681" t="s">
        <v>426</v>
      </c>
      <c r="C197" s="47" t="s">
        <v>427</v>
      </c>
      <c r="D197" s="118" t="s">
        <v>45</v>
      </c>
      <c r="E197" s="118" t="s">
        <v>17</v>
      </c>
      <c r="F197" s="118" t="s">
        <v>520</v>
      </c>
      <c r="G197" s="118">
        <v>3</v>
      </c>
      <c r="H197" s="118">
        <v>1</v>
      </c>
      <c r="I197" s="118">
        <v>4255</v>
      </c>
      <c r="J197" s="675">
        <v>4</v>
      </c>
      <c r="K197" s="118">
        <v>1185</v>
      </c>
      <c r="L197" s="118" t="s">
        <v>490</v>
      </c>
      <c r="M197" s="64">
        <v>342</v>
      </c>
      <c r="N197" s="676">
        <v>0.17277000000000001</v>
      </c>
      <c r="O197" s="675" t="s">
        <v>140</v>
      </c>
      <c r="P197" s="15">
        <v>1531</v>
      </c>
      <c r="Q197" s="46">
        <f t="shared" si="14"/>
        <v>60.275470000000006</v>
      </c>
      <c r="R197" s="46">
        <f t="shared" si="20"/>
        <v>6.6258297114895992</v>
      </c>
      <c r="S197" s="46">
        <f t="shared" si="15"/>
        <v>2.6075224918685448E-2</v>
      </c>
      <c r="T197" s="677">
        <f t="shared" si="19"/>
        <v>3.7250321312407783E-3</v>
      </c>
      <c r="U197" s="80">
        <f t="shared" si="18"/>
        <v>2868.2747410553993</v>
      </c>
      <c r="V197" s="85">
        <f t="shared" si="16"/>
        <v>350</v>
      </c>
      <c r="W197" s="679">
        <f t="shared" si="17"/>
        <v>345</v>
      </c>
      <c r="X197" s="4"/>
    </row>
    <row r="198" spans="1:24" x14ac:dyDescent="0.25">
      <c r="A198" s="680" t="s">
        <v>429</v>
      </c>
      <c r="B198" s="681" t="s">
        <v>430</v>
      </c>
      <c r="C198" s="47" t="s">
        <v>431</v>
      </c>
      <c r="D198" s="118" t="s">
        <v>45</v>
      </c>
      <c r="E198" s="118" t="s">
        <v>17</v>
      </c>
      <c r="F198" s="118" t="s">
        <v>521</v>
      </c>
      <c r="G198" s="118">
        <v>1</v>
      </c>
      <c r="H198" s="118">
        <v>1</v>
      </c>
      <c r="I198" s="118">
        <v>89250</v>
      </c>
      <c r="J198" s="675">
        <v>4</v>
      </c>
      <c r="K198" s="118">
        <v>1190</v>
      </c>
      <c r="L198" s="118" t="s">
        <v>490</v>
      </c>
      <c r="M198" s="64">
        <v>342</v>
      </c>
      <c r="N198" s="676">
        <v>0.20416500000000001</v>
      </c>
      <c r="O198" s="675" t="s">
        <v>140</v>
      </c>
      <c r="P198" s="15">
        <v>1531</v>
      </c>
      <c r="Q198" s="46">
        <f t="shared" si="14"/>
        <v>60.275470000000006</v>
      </c>
      <c r="R198" s="46">
        <f t="shared" si="20"/>
        <v>6.6258297114895992</v>
      </c>
      <c r="S198" s="46">
        <f t="shared" si="15"/>
        <v>3.0813499424225354E-2</v>
      </c>
      <c r="T198" s="677">
        <f t="shared" si="19"/>
        <v>4.4019284891750506E-3</v>
      </c>
      <c r="U198" s="80">
        <f t="shared" si="18"/>
        <v>3389.4849366647891</v>
      </c>
      <c r="V198" s="85">
        <f t="shared" si="16"/>
        <v>350</v>
      </c>
      <c r="W198" s="679">
        <f t="shared" si="17"/>
        <v>345</v>
      </c>
      <c r="X198" s="4"/>
    </row>
    <row r="199" spans="1:24" x14ac:dyDescent="0.25">
      <c r="A199" s="680" t="s">
        <v>429</v>
      </c>
      <c r="B199" s="681" t="s">
        <v>430</v>
      </c>
      <c r="C199" s="47" t="s">
        <v>433</v>
      </c>
      <c r="D199" s="118" t="s">
        <v>45</v>
      </c>
      <c r="E199" s="118" t="s">
        <v>17</v>
      </c>
      <c r="F199" s="118" t="s">
        <v>522</v>
      </c>
      <c r="G199" s="118">
        <v>1</v>
      </c>
      <c r="H199" s="118">
        <v>1</v>
      </c>
      <c r="I199" s="118">
        <v>13000</v>
      </c>
      <c r="J199" s="675">
        <v>4</v>
      </c>
      <c r="K199" s="118">
        <v>1181</v>
      </c>
      <c r="L199" s="118" t="s">
        <v>490</v>
      </c>
      <c r="M199" s="64">
        <v>342</v>
      </c>
      <c r="N199" s="676">
        <v>0.26668199999999997</v>
      </c>
      <c r="O199" s="675" t="s">
        <v>140</v>
      </c>
      <c r="P199" s="15">
        <v>1531</v>
      </c>
      <c r="Q199" s="46">
        <f t="shared" si="14"/>
        <v>60.275470000000006</v>
      </c>
      <c r="R199" s="46">
        <f t="shared" si="20"/>
        <v>6.6258297114895992</v>
      </c>
      <c r="S199" s="46">
        <f t="shared" si="15"/>
        <v>4.0248846048300466E-2</v>
      </c>
      <c r="T199" s="677">
        <f t="shared" si="19"/>
        <v>5.7498351497572093E-3</v>
      </c>
      <c r="U199" s="80">
        <f t="shared" si="18"/>
        <v>4427.3730653130515</v>
      </c>
      <c r="V199" s="85">
        <f t="shared" si="16"/>
        <v>350</v>
      </c>
      <c r="W199" s="679">
        <f t="shared" si="17"/>
        <v>345</v>
      </c>
      <c r="X199" s="4"/>
    </row>
    <row r="200" spans="1:24" x14ac:dyDescent="0.25">
      <c r="A200" s="680" t="s">
        <v>429</v>
      </c>
      <c r="B200" s="681" t="s">
        <v>430</v>
      </c>
      <c r="C200" s="47" t="s">
        <v>435</v>
      </c>
      <c r="D200" s="118" t="s">
        <v>45</v>
      </c>
      <c r="E200" s="118" t="s">
        <v>17</v>
      </c>
      <c r="F200" s="118" t="s">
        <v>522</v>
      </c>
      <c r="G200" s="118">
        <v>1</v>
      </c>
      <c r="H200" s="118">
        <v>1</v>
      </c>
      <c r="I200" s="118">
        <v>4250</v>
      </c>
      <c r="J200" s="675">
        <v>4</v>
      </c>
      <c r="K200" s="118">
        <v>1181</v>
      </c>
      <c r="L200" s="118" t="s">
        <v>490</v>
      </c>
      <c r="M200" s="64">
        <v>342</v>
      </c>
      <c r="N200" s="676">
        <v>0.29702400000000001</v>
      </c>
      <c r="O200" s="675" t="s">
        <v>140</v>
      </c>
      <c r="P200" s="15">
        <v>1531</v>
      </c>
      <c r="Q200" s="46">
        <f t="shared" si="14"/>
        <v>60.275470000000006</v>
      </c>
      <c r="R200" s="46">
        <f t="shared" si="20"/>
        <v>6.6258297114895992</v>
      </c>
      <c r="S200" s="46">
        <f t="shared" si="15"/>
        <v>4.4828197061107987E-2</v>
      </c>
      <c r="T200" s="677">
        <f t="shared" si="19"/>
        <v>6.404028151586855E-3</v>
      </c>
      <c r="U200" s="80">
        <f t="shared" si="18"/>
        <v>4931.1016767218789</v>
      </c>
      <c r="V200" s="85">
        <f t="shared" si="16"/>
        <v>350</v>
      </c>
      <c r="W200" s="679">
        <f t="shared" si="17"/>
        <v>345</v>
      </c>
      <c r="X200" s="4"/>
    </row>
    <row r="201" spans="1:24" x14ac:dyDescent="0.25">
      <c r="A201" s="680" t="s">
        <v>429</v>
      </c>
      <c r="B201" s="681" t="s">
        <v>430</v>
      </c>
      <c r="C201" s="47" t="s">
        <v>437</v>
      </c>
      <c r="D201" s="118" t="s">
        <v>46</v>
      </c>
      <c r="E201" s="118" t="s">
        <v>17</v>
      </c>
      <c r="F201" s="118" t="s">
        <v>522</v>
      </c>
      <c r="G201" s="118">
        <v>1</v>
      </c>
      <c r="H201" s="118">
        <v>1</v>
      </c>
      <c r="I201" s="118">
        <v>8500</v>
      </c>
      <c r="J201" s="675">
        <v>4</v>
      </c>
      <c r="K201" s="118">
        <v>1181</v>
      </c>
      <c r="L201" s="118" t="s">
        <v>490</v>
      </c>
      <c r="M201" s="64">
        <v>255</v>
      </c>
      <c r="N201" s="676">
        <v>6.7504999999999997</v>
      </c>
      <c r="O201" s="675" t="s">
        <v>140</v>
      </c>
      <c r="P201" s="15">
        <v>873</v>
      </c>
      <c r="Q201" s="46">
        <f t="shared" si="14"/>
        <v>34.370010000000001</v>
      </c>
      <c r="R201" s="46">
        <f t="shared" si="20"/>
        <v>11.619868600561944</v>
      </c>
      <c r="S201" s="46">
        <f t="shared" si="15"/>
        <v>0.58094460721126762</v>
      </c>
      <c r="T201" s="677">
        <f t="shared" si="19"/>
        <v>8.29920867444668E-2</v>
      </c>
      <c r="U201" s="80">
        <f t="shared" si="18"/>
        <v>63903.906793239439</v>
      </c>
      <c r="V201" s="85">
        <f t="shared" si="16"/>
        <v>260</v>
      </c>
      <c r="W201" s="679">
        <f t="shared" si="17"/>
        <v>255</v>
      </c>
      <c r="X201" s="4"/>
    </row>
    <row r="202" spans="1:24" x14ac:dyDescent="0.25">
      <c r="A202" s="680" t="s">
        <v>439</v>
      </c>
      <c r="B202" s="681" t="s">
        <v>430</v>
      </c>
      <c r="C202" s="47" t="s">
        <v>431</v>
      </c>
      <c r="D202" s="118" t="s">
        <v>44</v>
      </c>
      <c r="E202" s="118" t="s">
        <v>510</v>
      </c>
      <c r="F202" s="118" t="s">
        <v>521</v>
      </c>
      <c r="G202" s="118">
        <v>1</v>
      </c>
      <c r="H202" s="118">
        <v>1</v>
      </c>
      <c r="I202" s="118">
        <v>103000</v>
      </c>
      <c r="J202" s="675">
        <v>4</v>
      </c>
      <c r="K202" s="118">
        <v>1190</v>
      </c>
      <c r="L202" s="118" t="s">
        <v>490</v>
      </c>
      <c r="M202" s="64">
        <v>703</v>
      </c>
      <c r="N202" s="676">
        <v>1.4162939999999999</v>
      </c>
      <c r="O202" s="675" t="s">
        <v>140</v>
      </c>
      <c r="P202" s="15">
        <v>0</v>
      </c>
      <c r="Q202" s="46">
        <f t="shared" ref="Q202:Q265" si="21">IF(P202="","",IF(P202="dar valor","",0.03937*P202))</f>
        <v>0</v>
      </c>
      <c r="R202" s="46" t="e">
        <f t="shared" si="20"/>
        <v>#DIV/0!</v>
      </c>
      <c r="S202" s="46" t="e">
        <f t="shared" ref="S202:S265" si="22">IF(R202="","",+N202/R202)</f>
        <v>#DIV/0!</v>
      </c>
      <c r="T202" s="677" t="e">
        <f t="shared" si="19"/>
        <v>#DIV/0!</v>
      </c>
      <c r="U202" s="80" t="e">
        <f t="shared" si="18"/>
        <v>#DIV/0!</v>
      </c>
      <c r="V202" s="85">
        <f t="shared" ref="V202:V265" si="23">_xlfn.CEILING.MATH(M202,10)</f>
        <v>710</v>
      </c>
      <c r="W202" s="679">
        <f t="shared" ref="W202:W265" si="24">_xlfn.CEILING.MATH(M202,5)</f>
        <v>705</v>
      </c>
      <c r="X202" s="4"/>
    </row>
    <row r="203" spans="1:24" x14ac:dyDescent="0.25">
      <c r="A203" s="680" t="s">
        <v>439</v>
      </c>
      <c r="B203" s="681" t="s">
        <v>430</v>
      </c>
      <c r="C203" s="47" t="s">
        <v>435</v>
      </c>
      <c r="D203" s="118" t="s">
        <v>44</v>
      </c>
      <c r="E203" s="118" t="s">
        <v>524</v>
      </c>
      <c r="F203" s="118" t="s">
        <v>522</v>
      </c>
      <c r="G203" s="118">
        <v>1</v>
      </c>
      <c r="H203" s="118">
        <v>1</v>
      </c>
      <c r="I203" s="118">
        <v>12750</v>
      </c>
      <c r="J203" s="675">
        <v>4</v>
      </c>
      <c r="K203" s="118">
        <v>1181</v>
      </c>
      <c r="L203" s="118" t="s">
        <v>490</v>
      </c>
      <c r="M203" s="64">
        <v>518</v>
      </c>
      <c r="N203" s="676">
        <v>0.47301080000000001</v>
      </c>
      <c r="O203" s="675" t="s">
        <v>140</v>
      </c>
      <c r="P203" s="15">
        <v>0</v>
      </c>
      <c r="Q203" s="46">
        <f t="shared" si="21"/>
        <v>0</v>
      </c>
      <c r="R203" s="46" t="e">
        <f t="shared" si="20"/>
        <v>#DIV/0!</v>
      </c>
      <c r="S203" s="46" t="e">
        <f t="shared" si="22"/>
        <v>#DIV/0!</v>
      </c>
      <c r="T203" s="677" t="e">
        <f t="shared" si="19"/>
        <v>#DIV/0!</v>
      </c>
      <c r="U203" s="80" t="e">
        <f t="shared" si="18"/>
        <v>#DIV/0!</v>
      </c>
      <c r="V203" s="85">
        <f t="shared" si="23"/>
        <v>520</v>
      </c>
      <c r="W203" s="679">
        <f t="shared" si="24"/>
        <v>520</v>
      </c>
      <c r="X203" s="4"/>
    </row>
    <row r="204" spans="1:24" x14ac:dyDescent="0.25">
      <c r="A204" s="680" t="s">
        <v>442</v>
      </c>
      <c r="B204" s="681" t="s">
        <v>443</v>
      </c>
      <c r="C204" s="47" t="s">
        <v>444</v>
      </c>
      <c r="D204" s="118" t="s">
        <v>44</v>
      </c>
      <c r="E204" s="118" t="s">
        <v>510</v>
      </c>
      <c r="F204" s="118" t="s">
        <v>523</v>
      </c>
      <c r="G204" s="118">
        <v>1</v>
      </c>
      <c r="H204" s="118">
        <v>1</v>
      </c>
      <c r="I204" s="118">
        <v>17500</v>
      </c>
      <c r="J204" s="675">
        <v>4</v>
      </c>
      <c r="K204" s="118">
        <v>1692</v>
      </c>
      <c r="L204" s="118" t="s">
        <v>490</v>
      </c>
      <c r="M204" s="64">
        <v>703</v>
      </c>
      <c r="N204" s="676">
        <v>0.36668899999999999</v>
      </c>
      <c r="O204" s="675" t="s">
        <v>140</v>
      </c>
      <c r="P204" s="15">
        <v>0</v>
      </c>
      <c r="Q204" s="46">
        <f t="shared" si="21"/>
        <v>0</v>
      </c>
      <c r="R204" s="46" t="e">
        <f t="shared" si="20"/>
        <v>#DIV/0!</v>
      </c>
      <c r="S204" s="46" t="e">
        <f t="shared" si="22"/>
        <v>#DIV/0!</v>
      </c>
      <c r="T204" s="677" t="e">
        <f t="shared" si="19"/>
        <v>#DIV/0!</v>
      </c>
      <c r="U204" s="80" t="e">
        <f t="shared" ref="U204:U267" si="25">(IF(O204="FX 2003",(S204*$V$2),0))</f>
        <v>#DIV/0!</v>
      </c>
      <c r="V204" s="85">
        <f t="shared" si="23"/>
        <v>710</v>
      </c>
      <c r="W204" s="679">
        <f t="shared" si="24"/>
        <v>705</v>
      </c>
      <c r="X204" s="4"/>
    </row>
    <row r="205" spans="1:24" x14ac:dyDescent="0.25">
      <c r="A205" s="680" t="s">
        <v>442</v>
      </c>
      <c r="B205" s="681" t="s">
        <v>443</v>
      </c>
      <c r="C205" s="47" t="s">
        <v>446</v>
      </c>
      <c r="D205" s="118" t="s">
        <v>44</v>
      </c>
      <c r="E205" s="118" t="s">
        <v>510</v>
      </c>
      <c r="F205" s="118" t="s">
        <v>523</v>
      </c>
      <c r="G205" s="118">
        <v>1</v>
      </c>
      <c r="H205" s="118">
        <v>1</v>
      </c>
      <c r="I205" s="118">
        <v>8500</v>
      </c>
      <c r="J205" s="675">
        <v>4</v>
      </c>
      <c r="K205" s="118">
        <v>1502</v>
      </c>
      <c r="L205" s="118" t="s">
        <v>490</v>
      </c>
      <c r="M205" s="64">
        <v>703</v>
      </c>
      <c r="N205" s="676">
        <v>0.17249999999999999</v>
      </c>
      <c r="O205" s="675" t="s">
        <v>140</v>
      </c>
      <c r="P205" s="15">
        <v>0</v>
      </c>
      <c r="Q205" s="46">
        <f t="shared" si="21"/>
        <v>0</v>
      </c>
      <c r="R205" s="46" t="e">
        <f t="shared" si="20"/>
        <v>#DIV/0!</v>
      </c>
      <c r="S205" s="46" t="e">
        <f t="shared" si="22"/>
        <v>#DIV/0!</v>
      </c>
      <c r="T205" s="677" t="e">
        <f t="shared" ref="T205:T268" si="26">(IF(O205="Stofire",(S205/(7*1)),0))+(IF(O205="Fire Control",(S205/(7*1)),0))+(IF(O205="Fire Tex",(S205/(7*1)),0))+(IF(O205="WB7",(S205/(7*1)),0))+(IF(O205="FX 2003",(S205/(7*1)),0))</f>
        <v>#DIV/0!</v>
      </c>
      <c r="U205" s="80" t="e">
        <f t="shared" si="25"/>
        <v>#DIV/0!</v>
      </c>
      <c r="V205" s="85">
        <f t="shared" si="23"/>
        <v>710</v>
      </c>
      <c r="W205" s="679">
        <f t="shared" si="24"/>
        <v>705</v>
      </c>
      <c r="X205" s="4"/>
    </row>
    <row r="206" spans="1:24" x14ac:dyDescent="0.25">
      <c r="A206" s="680" t="s">
        <v>448</v>
      </c>
      <c r="B206" s="681" t="s">
        <v>443</v>
      </c>
      <c r="C206" s="47" t="s">
        <v>444</v>
      </c>
      <c r="D206" s="118" t="s">
        <v>41</v>
      </c>
      <c r="E206" s="118" t="s">
        <v>524</v>
      </c>
      <c r="F206" s="118" t="s">
        <v>523</v>
      </c>
      <c r="G206" s="118">
        <v>1</v>
      </c>
      <c r="H206" s="118">
        <v>1</v>
      </c>
      <c r="I206" s="118">
        <v>17500</v>
      </c>
      <c r="J206" s="675">
        <v>4</v>
      </c>
      <c r="K206" s="118">
        <v>1692</v>
      </c>
      <c r="L206" s="118" t="s">
        <v>490</v>
      </c>
      <c r="M206" s="64">
        <v>518</v>
      </c>
      <c r="N206" s="676">
        <v>2.8323999999999998</v>
      </c>
      <c r="O206" s="675" t="s">
        <v>140</v>
      </c>
      <c r="P206" s="15">
        <v>0</v>
      </c>
      <c r="Q206" s="46">
        <f t="shared" si="21"/>
        <v>0</v>
      </c>
      <c r="R206" s="46" t="e">
        <f t="shared" ref="R206:R269" si="27">IF(O206="","",((IF(O206="Stofire",((65*1.5/Q206)*0.75*5),0))+(IF(O206="Fire Control",((65*1.5/Q206)*0.75*4),0))+(IF(O206="Fire Tex",((71*1.5/Q206)*0.75*5),0))+(IF(O206="WB7",((67*1.5/Q206)*0.75*5),0))+(IF(O206="FX 2003",((71*1.5/Q206)*0.75*5),0))))</f>
        <v>#DIV/0!</v>
      </c>
      <c r="S206" s="46" t="e">
        <f t="shared" si="22"/>
        <v>#DIV/0!</v>
      </c>
      <c r="T206" s="677" t="e">
        <f t="shared" si="26"/>
        <v>#DIV/0!</v>
      </c>
      <c r="U206" s="80" t="e">
        <f t="shared" si="25"/>
        <v>#DIV/0!</v>
      </c>
      <c r="V206" s="85">
        <f t="shared" si="23"/>
        <v>520</v>
      </c>
      <c r="W206" s="679">
        <f t="shared" si="24"/>
        <v>520</v>
      </c>
      <c r="X206" s="4"/>
    </row>
    <row r="207" spans="1:24" x14ac:dyDescent="0.25">
      <c r="A207" s="680" t="s">
        <v>448</v>
      </c>
      <c r="B207" s="681" t="s">
        <v>443</v>
      </c>
      <c r="C207" s="47" t="s">
        <v>446</v>
      </c>
      <c r="D207" s="118" t="s">
        <v>44</v>
      </c>
      <c r="E207" s="118" t="s">
        <v>510</v>
      </c>
      <c r="F207" s="118" t="s">
        <v>523</v>
      </c>
      <c r="G207" s="118">
        <v>1</v>
      </c>
      <c r="H207" s="118">
        <v>1</v>
      </c>
      <c r="I207" s="118">
        <v>8500</v>
      </c>
      <c r="J207" s="675">
        <v>4</v>
      </c>
      <c r="K207" s="118">
        <v>1692</v>
      </c>
      <c r="L207" s="118" t="s">
        <v>490</v>
      </c>
      <c r="M207" s="64">
        <v>703</v>
      </c>
      <c r="N207" s="676">
        <v>0.26380999999999999</v>
      </c>
      <c r="O207" s="675" t="s">
        <v>140</v>
      </c>
      <c r="P207" s="15">
        <v>0</v>
      </c>
      <c r="Q207" s="46">
        <f t="shared" si="21"/>
        <v>0</v>
      </c>
      <c r="R207" s="46" t="e">
        <f t="shared" si="27"/>
        <v>#DIV/0!</v>
      </c>
      <c r="S207" s="46" t="e">
        <f t="shared" si="22"/>
        <v>#DIV/0!</v>
      </c>
      <c r="T207" s="677" t="e">
        <f t="shared" si="26"/>
        <v>#DIV/0!</v>
      </c>
      <c r="U207" s="80" t="e">
        <f t="shared" si="25"/>
        <v>#DIV/0!</v>
      </c>
      <c r="V207" s="85">
        <f t="shared" si="23"/>
        <v>710</v>
      </c>
      <c r="W207" s="679">
        <f t="shared" si="24"/>
        <v>705</v>
      </c>
      <c r="X207" s="4"/>
    </row>
    <row r="208" spans="1:24" x14ac:dyDescent="0.25">
      <c r="A208" s="680" t="s">
        <v>448</v>
      </c>
      <c r="B208" s="681" t="s">
        <v>451</v>
      </c>
      <c r="C208" s="47" t="s">
        <v>446</v>
      </c>
      <c r="D208" s="118" t="s">
        <v>44</v>
      </c>
      <c r="E208" s="118" t="s">
        <v>510</v>
      </c>
      <c r="F208" s="118" t="s">
        <v>523</v>
      </c>
      <c r="G208" s="118">
        <v>2</v>
      </c>
      <c r="H208" s="118">
        <v>1</v>
      </c>
      <c r="I208" s="118">
        <v>8500</v>
      </c>
      <c r="J208" s="675">
        <v>4</v>
      </c>
      <c r="K208" s="118">
        <v>1502</v>
      </c>
      <c r="L208" s="118" t="s">
        <v>490</v>
      </c>
      <c r="M208" s="64">
        <v>703</v>
      </c>
      <c r="N208" s="676">
        <v>0.37616500000000003</v>
      </c>
      <c r="O208" s="675" t="s">
        <v>140</v>
      </c>
      <c r="P208" s="15">
        <v>0</v>
      </c>
      <c r="Q208" s="46">
        <f t="shared" si="21"/>
        <v>0</v>
      </c>
      <c r="R208" s="46" t="e">
        <f t="shared" si="27"/>
        <v>#DIV/0!</v>
      </c>
      <c r="S208" s="46" t="e">
        <f t="shared" si="22"/>
        <v>#DIV/0!</v>
      </c>
      <c r="T208" s="677" t="e">
        <f t="shared" si="26"/>
        <v>#DIV/0!</v>
      </c>
      <c r="U208" s="80" t="e">
        <f t="shared" si="25"/>
        <v>#DIV/0!</v>
      </c>
      <c r="V208" s="85">
        <f t="shared" si="23"/>
        <v>710</v>
      </c>
      <c r="W208" s="679">
        <f t="shared" si="24"/>
        <v>705</v>
      </c>
      <c r="X208" s="4"/>
    </row>
    <row r="209" spans="1:24" x14ac:dyDescent="0.25">
      <c r="A209" s="680" t="s">
        <v>452</v>
      </c>
      <c r="B209" s="681" t="s">
        <v>453</v>
      </c>
      <c r="C209" s="47" t="s">
        <v>454</v>
      </c>
      <c r="D209" s="118" t="s">
        <v>44</v>
      </c>
      <c r="E209" s="118" t="s">
        <v>524</v>
      </c>
      <c r="F209" s="118" t="s">
        <v>513</v>
      </c>
      <c r="G209" s="118">
        <v>2</v>
      </c>
      <c r="H209" s="118">
        <v>1</v>
      </c>
      <c r="I209" s="118">
        <v>11097</v>
      </c>
      <c r="J209" s="675">
        <v>4</v>
      </c>
      <c r="K209" s="118">
        <v>585</v>
      </c>
      <c r="L209" s="118" t="s">
        <v>490</v>
      </c>
      <c r="M209" s="64">
        <v>518</v>
      </c>
      <c r="N209" s="676">
        <v>0.47638639999999999</v>
      </c>
      <c r="O209" s="675" t="s">
        <v>140</v>
      </c>
      <c r="P209" s="15">
        <v>0</v>
      </c>
      <c r="Q209" s="46">
        <f t="shared" si="21"/>
        <v>0</v>
      </c>
      <c r="R209" s="46" t="e">
        <f t="shared" si="27"/>
        <v>#DIV/0!</v>
      </c>
      <c r="S209" s="46" t="e">
        <f t="shared" si="22"/>
        <v>#DIV/0!</v>
      </c>
      <c r="T209" s="677" t="e">
        <f t="shared" si="26"/>
        <v>#DIV/0!</v>
      </c>
      <c r="U209" s="80" t="e">
        <f t="shared" si="25"/>
        <v>#DIV/0!</v>
      </c>
      <c r="V209" s="85">
        <f t="shared" si="23"/>
        <v>520</v>
      </c>
      <c r="W209" s="679">
        <f t="shared" si="24"/>
        <v>520</v>
      </c>
      <c r="X209" s="4"/>
    </row>
    <row r="210" spans="1:24" x14ac:dyDescent="0.25">
      <c r="A210" s="680" t="s">
        <v>452</v>
      </c>
      <c r="B210" s="681" t="s">
        <v>453</v>
      </c>
      <c r="C210" s="47" t="s">
        <v>408</v>
      </c>
      <c r="D210" s="118" t="s">
        <v>44</v>
      </c>
      <c r="E210" s="118" t="s">
        <v>510</v>
      </c>
      <c r="F210" s="118" t="s">
        <v>514</v>
      </c>
      <c r="G210" s="118">
        <v>29</v>
      </c>
      <c r="H210" s="118">
        <v>1</v>
      </c>
      <c r="I210" s="118">
        <v>1500</v>
      </c>
      <c r="J210" s="675">
        <v>4</v>
      </c>
      <c r="K210" s="118">
        <v>776</v>
      </c>
      <c r="L210" s="118" t="s">
        <v>490</v>
      </c>
      <c r="M210" s="64">
        <v>703</v>
      </c>
      <c r="N210" s="676">
        <v>1.5195179999999997</v>
      </c>
      <c r="O210" s="675" t="s">
        <v>140</v>
      </c>
      <c r="P210" s="15">
        <v>0</v>
      </c>
      <c r="Q210" s="46">
        <f t="shared" si="21"/>
        <v>0</v>
      </c>
      <c r="R210" s="46" t="e">
        <f t="shared" si="27"/>
        <v>#DIV/0!</v>
      </c>
      <c r="S210" s="46" t="e">
        <f t="shared" si="22"/>
        <v>#DIV/0!</v>
      </c>
      <c r="T210" s="677" t="e">
        <f t="shared" si="26"/>
        <v>#DIV/0!</v>
      </c>
      <c r="U210" s="80" t="e">
        <f t="shared" si="25"/>
        <v>#DIV/0!</v>
      </c>
      <c r="V210" s="85">
        <f t="shared" si="23"/>
        <v>710</v>
      </c>
      <c r="W210" s="679">
        <f t="shared" si="24"/>
        <v>705</v>
      </c>
      <c r="X210" s="4"/>
    </row>
    <row r="211" spans="1:24" x14ac:dyDescent="0.25">
      <c r="A211" s="680" t="s">
        <v>452</v>
      </c>
      <c r="B211" s="681" t="s">
        <v>453</v>
      </c>
      <c r="C211" s="47" t="s">
        <v>408</v>
      </c>
      <c r="D211" s="118" t="s">
        <v>41</v>
      </c>
      <c r="E211" s="118" t="s">
        <v>524</v>
      </c>
      <c r="F211" s="118" t="s">
        <v>512</v>
      </c>
      <c r="G211" s="118">
        <v>1</v>
      </c>
      <c r="H211" s="118">
        <v>1</v>
      </c>
      <c r="I211" s="118">
        <v>1500</v>
      </c>
      <c r="J211" s="675">
        <v>4</v>
      </c>
      <c r="K211" s="118">
        <v>3879</v>
      </c>
      <c r="L211" s="118" t="s">
        <v>490</v>
      </c>
      <c r="M211" s="64">
        <v>518</v>
      </c>
      <c r="N211" s="676">
        <v>0.65959999999999996</v>
      </c>
      <c r="O211" s="675" t="s">
        <v>140</v>
      </c>
      <c r="P211" s="15">
        <v>0</v>
      </c>
      <c r="Q211" s="46">
        <f t="shared" si="21"/>
        <v>0</v>
      </c>
      <c r="R211" s="46" t="e">
        <f t="shared" si="27"/>
        <v>#DIV/0!</v>
      </c>
      <c r="S211" s="46" t="e">
        <f t="shared" si="22"/>
        <v>#DIV/0!</v>
      </c>
      <c r="T211" s="677" t="e">
        <f t="shared" si="26"/>
        <v>#DIV/0!</v>
      </c>
      <c r="U211" s="80" t="e">
        <f t="shared" si="25"/>
        <v>#DIV/0!</v>
      </c>
      <c r="V211" s="85">
        <f t="shared" si="23"/>
        <v>520</v>
      </c>
      <c r="W211" s="679">
        <f t="shared" si="24"/>
        <v>520</v>
      </c>
      <c r="X211" s="4"/>
    </row>
    <row r="212" spans="1:24" x14ac:dyDescent="0.25">
      <c r="A212" s="680" t="s">
        <v>456</v>
      </c>
      <c r="B212" s="681" t="s">
        <v>453</v>
      </c>
      <c r="C212" s="47" t="s">
        <v>457</v>
      </c>
      <c r="D212" s="118" t="s">
        <v>42</v>
      </c>
      <c r="E212" s="118" t="s">
        <v>524</v>
      </c>
      <c r="F212" s="118" t="s">
        <v>513</v>
      </c>
      <c r="G212" s="118">
        <v>2</v>
      </c>
      <c r="H212" s="118">
        <v>1</v>
      </c>
      <c r="I212" s="118">
        <v>11081</v>
      </c>
      <c r="J212" s="675">
        <v>4</v>
      </c>
      <c r="K212" s="118">
        <v>585</v>
      </c>
      <c r="L212" s="118" t="s">
        <v>490</v>
      </c>
      <c r="M212" s="64">
        <v>518</v>
      </c>
      <c r="N212" s="676">
        <v>0.65959999999999996</v>
      </c>
      <c r="O212" s="675" t="s">
        <v>140</v>
      </c>
      <c r="P212" s="15">
        <v>0</v>
      </c>
      <c r="Q212" s="46">
        <f t="shared" si="21"/>
        <v>0</v>
      </c>
      <c r="R212" s="46" t="e">
        <f t="shared" si="27"/>
        <v>#DIV/0!</v>
      </c>
      <c r="S212" s="46" t="e">
        <f t="shared" si="22"/>
        <v>#DIV/0!</v>
      </c>
      <c r="T212" s="677" t="e">
        <f t="shared" si="26"/>
        <v>#DIV/0!</v>
      </c>
      <c r="U212" s="80" t="e">
        <f t="shared" si="25"/>
        <v>#DIV/0!</v>
      </c>
      <c r="V212" s="85">
        <f t="shared" si="23"/>
        <v>520</v>
      </c>
      <c r="W212" s="679">
        <f t="shared" si="24"/>
        <v>520</v>
      </c>
      <c r="X212" s="4"/>
    </row>
    <row r="213" spans="1:24" x14ac:dyDescent="0.25">
      <c r="A213" s="680" t="s">
        <v>456</v>
      </c>
      <c r="B213" s="681" t="s">
        <v>453</v>
      </c>
      <c r="C213" s="47" t="s">
        <v>408</v>
      </c>
      <c r="D213" s="118" t="s">
        <v>44</v>
      </c>
      <c r="E213" s="118" t="s">
        <v>510</v>
      </c>
      <c r="F213" s="118" t="s">
        <v>514</v>
      </c>
      <c r="G213" s="118">
        <v>29</v>
      </c>
      <c r="H213" s="118">
        <v>1</v>
      </c>
      <c r="I213" s="118">
        <v>1500</v>
      </c>
      <c r="J213" s="675">
        <v>4</v>
      </c>
      <c r="K213" s="118">
        <v>776</v>
      </c>
      <c r="L213" s="118" t="s">
        <v>490</v>
      </c>
      <c r="M213" s="64">
        <v>527</v>
      </c>
      <c r="N213" s="676">
        <v>0.24610000000000001</v>
      </c>
      <c r="O213" s="675" t="s">
        <v>140</v>
      </c>
      <c r="P213" s="15">
        <v>0</v>
      </c>
      <c r="Q213" s="46">
        <f t="shared" si="21"/>
        <v>0</v>
      </c>
      <c r="R213" s="46" t="e">
        <f t="shared" si="27"/>
        <v>#DIV/0!</v>
      </c>
      <c r="S213" s="46" t="e">
        <f t="shared" si="22"/>
        <v>#DIV/0!</v>
      </c>
      <c r="T213" s="677" t="e">
        <f t="shared" si="26"/>
        <v>#DIV/0!</v>
      </c>
      <c r="U213" s="80" t="e">
        <f t="shared" si="25"/>
        <v>#DIV/0!</v>
      </c>
      <c r="V213" s="85">
        <f t="shared" si="23"/>
        <v>530</v>
      </c>
      <c r="W213" s="679">
        <f t="shared" si="24"/>
        <v>530</v>
      </c>
      <c r="X213" s="4"/>
    </row>
    <row r="214" spans="1:24" x14ac:dyDescent="0.25">
      <c r="A214" s="680" t="s">
        <v>456</v>
      </c>
      <c r="B214" s="681" t="s">
        <v>453</v>
      </c>
      <c r="C214" s="47" t="s">
        <v>408</v>
      </c>
      <c r="D214" s="118" t="s">
        <v>41</v>
      </c>
      <c r="E214" s="118" t="s">
        <v>524</v>
      </c>
      <c r="F214" s="118" t="s">
        <v>514</v>
      </c>
      <c r="G214" s="118">
        <v>1</v>
      </c>
      <c r="H214" s="118">
        <v>1</v>
      </c>
      <c r="I214" s="118">
        <v>1500</v>
      </c>
      <c r="J214" s="675">
        <v>4</v>
      </c>
      <c r="K214" s="118">
        <v>3879</v>
      </c>
      <c r="L214" s="118" t="s">
        <v>490</v>
      </c>
      <c r="M214" s="64">
        <v>518</v>
      </c>
      <c r="N214" s="676">
        <v>0.50439999999999996</v>
      </c>
      <c r="O214" s="675" t="s">
        <v>140</v>
      </c>
      <c r="P214" s="15">
        <v>0</v>
      </c>
      <c r="Q214" s="46">
        <f t="shared" si="21"/>
        <v>0</v>
      </c>
      <c r="R214" s="46" t="e">
        <f t="shared" si="27"/>
        <v>#DIV/0!</v>
      </c>
      <c r="S214" s="46" t="e">
        <f t="shared" si="22"/>
        <v>#DIV/0!</v>
      </c>
      <c r="T214" s="677" t="e">
        <f t="shared" si="26"/>
        <v>#DIV/0!</v>
      </c>
      <c r="U214" s="80" t="e">
        <f t="shared" si="25"/>
        <v>#DIV/0!</v>
      </c>
      <c r="V214" s="85">
        <f t="shared" si="23"/>
        <v>520</v>
      </c>
      <c r="W214" s="679">
        <f t="shared" si="24"/>
        <v>520</v>
      </c>
      <c r="X214" s="4"/>
    </row>
    <row r="215" spans="1:24" x14ac:dyDescent="0.25">
      <c r="A215" s="680" t="s">
        <v>458</v>
      </c>
      <c r="B215" s="681" t="s">
        <v>459</v>
      </c>
      <c r="C215" s="47" t="s">
        <v>460</v>
      </c>
      <c r="D215" s="118" t="s">
        <v>42</v>
      </c>
      <c r="E215" s="118" t="s">
        <v>524</v>
      </c>
      <c r="F215" s="118" t="s">
        <v>513</v>
      </c>
      <c r="G215" s="118">
        <v>2</v>
      </c>
      <c r="H215" s="118">
        <v>1</v>
      </c>
      <c r="I215" s="118">
        <v>12634</v>
      </c>
      <c r="J215" s="675">
        <v>4</v>
      </c>
      <c r="K215" s="118">
        <v>585</v>
      </c>
      <c r="L215" s="118" t="s">
        <v>490</v>
      </c>
      <c r="M215" s="64">
        <v>518</v>
      </c>
      <c r="N215" s="676">
        <v>0.65959999999999996</v>
      </c>
      <c r="O215" s="675" t="s">
        <v>140</v>
      </c>
      <c r="P215" s="15">
        <v>0</v>
      </c>
      <c r="Q215" s="46">
        <f t="shared" si="21"/>
        <v>0</v>
      </c>
      <c r="R215" s="46" t="e">
        <f t="shared" si="27"/>
        <v>#DIV/0!</v>
      </c>
      <c r="S215" s="46" t="e">
        <f t="shared" si="22"/>
        <v>#DIV/0!</v>
      </c>
      <c r="T215" s="677" t="e">
        <f t="shared" si="26"/>
        <v>#DIV/0!</v>
      </c>
      <c r="U215" s="80" t="e">
        <f t="shared" si="25"/>
        <v>#DIV/0!</v>
      </c>
      <c r="V215" s="85">
        <f t="shared" si="23"/>
        <v>520</v>
      </c>
      <c r="W215" s="679">
        <f t="shared" si="24"/>
        <v>520</v>
      </c>
      <c r="X215" s="4"/>
    </row>
    <row r="216" spans="1:24" x14ac:dyDescent="0.25">
      <c r="A216" s="680" t="s">
        <v>458</v>
      </c>
      <c r="B216" s="681" t="s">
        <v>459</v>
      </c>
      <c r="C216" s="47" t="s">
        <v>408</v>
      </c>
      <c r="D216" s="118" t="s">
        <v>44</v>
      </c>
      <c r="E216" s="118" t="s">
        <v>510</v>
      </c>
      <c r="F216" s="118" t="s">
        <v>514</v>
      </c>
      <c r="G216" s="118">
        <v>28</v>
      </c>
      <c r="H216" s="118">
        <v>1</v>
      </c>
      <c r="I216" s="118">
        <v>1500</v>
      </c>
      <c r="J216" s="675">
        <v>4</v>
      </c>
      <c r="K216" s="118">
        <v>776</v>
      </c>
      <c r="L216" s="118" t="s">
        <v>490</v>
      </c>
      <c r="M216" s="64">
        <v>703</v>
      </c>
      <c r="N216" s="676">
        <v>0.24610000000000001</v>
      </c>
      <c r="O216" s="675" t="s">
        <v>140</v>
      </c>
      <c r="P216" s="15">
        <v>0</v>
      </c>
      <c r="Q216" s="46">
        <f t="shared" si="21"/>
        <v>0</v>
      </c>
      <c r="R216" s="46" t="e">
        <f t="shared" si="27"/>
        <v>#DIV/0!</v>
      </c>
      <c r="S216" s="46" t="e">
        <f t="shared" si="22"/>
        <v>#DIV/0!</v>
      </c>
      <c r="T216" s="677" t="e">
        <f t="shared" si="26"/>
        <v>#DIV/0!</v>
      </c>
      <c r="U216" s="80" t="e">
        <f t="shared" si="25"/>
        <v>#DIV/0!</v>
      </c>
      <c r="V216" s="85">
        <f t="shared" si="23"/>
        <v>710</v>
      </c>
      <c r="W216" s="679">
        <f t="shared" si="24"/>
        <v>705</v>
      </c>
      <c r="X216" s="4"/>
    </row>
    <row r="217" spans="1:24" x14ac:dyDescent="0.25">
      <c r="A217" s="680" t="s">
        <v>461</v>
      </c>
      <c r="B217" s="681" t="s">
        <v>459</v>
      </c>
      <c r="C217" s="47" t="s">
        <v>462</v>
      </c>
      <c r="D217" s="118" t="s">
        <v>41</v>
      </c>
      <c r="E217" s="118" t="s">
        <v>524</v>
      </c>
      <c r="F217" s="118" t="s">
        <v>513</v>
      </c>
      <c r="G217" s="118">
        <v>2</v>
      </c>
      <c r="H217" s="118">
        <v>1</v>
      </c>
      <c r="I217" s="118">
        <v>11097</v>
      </c>
      <c r="J217" s="675">
        <v>4</v>
      </c>
      <c r="K217" s="118">
        <v>585</v>
      </c>
      <c r="L217" s="118" t="s">
        <v>490</v>
      </c>
      <c r="M217" s="64">
        <v>518</v>
      </c>
      <c r="N217" s="676">
        <v>0.50439999999999996</v>
      </c>
      <c r="O217" s="675" t="s">
        <v>140</v>
      </c>
      <c r="P217" s="15">
        <v>0</v>
      </c>
      <c r="Q217" s="46">
        <f t="shared" si="21"/>
        <v>0</v>
      </c>
      <c r="R217" s="46" t="e">
        <f t="shared" si="27"/>
        <v>#DIV/0!</v>
      </c>
      <c r="S217" s="46" t="e">
        <f t="shared" si="22"/>
        <v>#DIV/0!</v>
      </c>
      <c r="T217" s="677" t="e">
        <f t="shared" si="26"/>
        <v>#DIV/0!</v>
      </c>
      <c r="U217" s="80" t="e">
        <f t="shared" si="25"/>
        <v>#DIV/0!</v>
      </c>
      <c r="V217" s="85">
        <f t="shared" si="23"/>
        <v>520</v>
      </c>
      <c r="W217" s="679">
        <f t="shared" si="24"/>
        <v>520</v>
      </c>
      <c r="X217" s="4"/>
    </row>
    <row r="218" spans="1:24" x14ac:dyDescent="0.25">
      <c r="A218" s="680" t="s">
        <v>461</v>
      </c>
      <c r="B218" s="681" t="s">
        <v>459</v>
      </c>
      <c r="C218" s="47" t="s">
        <v>408</v>
      </c>
      <c r="D218" s="118" t="s">
        <v>42</v>
      </c>
      <c r="E218" s="118" t="s">
        <v>524</v>
      </c>
      <c r="F218" s="118" t="s">
        <v>514</v>
      </c>
      <c r="G218" s="118">
        <v>29</v>
      </c>
      <c r="H218" s="118">
        <v>1</v>
      </c>
      <c r="I218" s="118">
        <v>1500</v>
      </c>
      <c r="J218" s="675">
        <v>4</v>
      </c>
      <c r="K218" s="118">
        <v>776</v>
      </c>
      <c r="L218" s="118" t="s">
        <v>490</v>
      </c>
      <c r="M218" s="64">
        <v>518</v>
      </c>
      <c r="N218" s="676">
        <v>0.65959999999999996</v>
      </c>
      <c r="O218" s="675" t="s">
        <v>140</v>
      </c>
      <c r="P218" s="15">
        <v>0</v>
      </c>
      <c r="Q218" s="46">
        <f t="shared" si="21"/>
        <v>0</v>
      </c>
      <c r="R218" s="46" t="e">
        <f t="shared" si="27"/>
        <v>#DIV/0!</v>
      </c>
      <c r="S218" s="46" t="e">
        <f t="shared" si="22"/>
        <v>#DIV/0!</v>
      </c>
      <c r="T218" s="677" t="e">
        <f t="shared" si="26"/>
        <v>#DIV/0!</v>
      </c>
      <c r="U218" s="80" t="e">
        <f t="shared" si="25"/>
        <v>#DIV/0!</v>
      </c>
      <c r="V218" s="85">
        <f t="shared" si="23"/>
        <v>520</v>
      </c>
      <c r="W218" s="679">
        <f t="shared" si="24"/>
        <v>520</v>
      </c>
      <c r="X218" s="4"/>
    </row>
    <row r="219" spans="1:24" x14ac:dyDescent="0.25">
      <c r="A219" s="680" t="s">
        <v>461</v>
      </c>
      <c r="B219" s="681" t="s">
        <v>459</v>
      </c>
      <c r="C219" s="47" t="s">
        <v>408</v>
      </c>
      <c r="D219" s="118" t="s">
        <v>44</v>
      </c>
      <c r="E219" s="118" t="s">
        <v>510</v>
      </c>
      <c r="F219" s="118" t="s">
        <v>514</v>
      </c>
      <c r="G219" s="118">
        <v>1</v>
      </c>
      <c r="H219" s="118">
        <v>1</v>
      </c>
      <c r="I219" s="118">
        <v>1500</v>
      </c>
      <c r="J219" s="675">
        <v>4</v>
      </c>
      <c r="K219" s="118">
        <v>3879</v>
      </c>
      <c r="L219" s="118" t="s">
        <v>490</v>
      </c>
      <c r="M219" s="64">
        <v>703</v>
      </c>
      <c r="N219" s="676">
        <v>0.24610000000000001</v>
      </c>
      <c r="O219" s="675" t="s">
        <v>140</v>
      </c>
      <c r="P219" s="15">
        <v>0</v>
      </c>
      <c r="Q219" s="46">
        <f t="shared" si="21"/>
        <v>0</v>
      </c>
      <c r="R219" s="46" t="e">
        <f t="shared" si="27"/>
        <v>#DIV/0!</v>
      </c>
      <c r="S219" s="46" t="e">
        <f t="shared" si="22"/>
        <v>#DIV/0!</v>
      </c>
      <c r="T219" s="677" t="e">
        <f t="shared" si="26"/>
        <v>#DIV/0!</v>
      </c>
      <c r="U219" s="80" t="e">
        <f t="shared" si="25"/>
        <v>#DIV/0!</v>
      </c>
      <c r="V219" s="85">
        <f t="shared" si="23"/>
        <v>710</v>
      </c>
      <c r="W219" s="679">
        <f t="shared" si="24"/>
        <v>705</v>
      </c>
      <c r="X219" s="4"/>
    </row>
    <row r="220" spans="1:24" x14ac:dyDescent="0.25">
      <c r="A220" s="680" t="s">
        <v>406</v>
      </c>
      <c r="B220" s="681" t="s">
        <v>407</v>
      </c>
      <c r="C220" s="47" t="s">
        <v>408</v>
      </c>
      <c r="D220" s="118" t="s">
        <v>41</v>
      </c>
      <c r="E220" s="118" t="s">
        <v>524</v>
      </c>
      <c r="F220" s="118" t="s">
        <v>515</v>
      </c>
      <c r="G220" s="118">
        <v>12</v>
      </c>
      <c r="H220" s="118">
        <v>2</v>
      </c>
      <c r="I220" s="118">
        <v>26385</v>
      </c>
      <c r="J220" s="675">
        <v>4</v>
      </c>
      <c r="K220" s="118">
        <v>2784</v>
      </c>
      <c r="L220" s="118" t="s">
        <v>490</v>
      </c>
      <c r="M220" s="64">
        <v>518</v>
      </c>
      <c r="N220" s="676">
        <v>0.50439999999999996</v>
      </c>
      <c r="O220" s="675" t="s">
        <v>140</v>
      </c>
      <c r="P220" s="15">
        <v>0</v>
      </c>
      <c r="Q220" s="46">
        <f t="shared" si="21"/>
        <v>0</v>
      </c>
      <c r="R220" s="46" t="e">
        <f t="shared" si="27"/>
        <v>#DIV/0!</v>
      </c>
      <c r="S220" s="46" t="e">
        <f t="shared" si="22"/>
        <v>#DIV/0!</v>
      </c>
      <c r="T220" s="677" t="e">
        <f t="shared" si="26"/>
        <v>#DIV/0!</v>
      </c>
      <c r="U220" s="80" t="e">
        <f t="shared" si="25"/>
        <v>#DIV/0!</v>
      </c>
      <c r="V220" s="678">
        <f t="shared" si="23"/>
        <v>520</v>
      </c>
      <c r="W220" s="679">
        <f t="shared" si="24"/>
        <v>520</v>
      </c>
      <c r="X220" s="4"/>
    </row>
    <row r="221" spans="1:24" x14ac:dyDescent="0.25">
      <c r="A221" s="680" t="s">
        <v>406</v>
      </c>
      <c r="B221" s="681" t="s">
        <v>407</v>
      </c>
      <c r="C221" s="47" t="s">
        <v>408</v>
      </c>
      <c r="D221" s="118" t="s">
        <v>42</v>
      </c>
      <c r="E221" s="118" t="s">
        <v>524</v>
      </c>
      <c r="F221" s="118" t="s">
        <v>516</v>
      </c>
      <c r="G221" s="118">
        <v>12</v>
      </c>
      <c r="H221" s="118">
        <v>1</v>
      </c>
      <c r="I221" s="118">
        <v>91778</v>
      </c>
      <c r="J221" s="675">
        <v>4</v>
      </c>
      <c r="K221" s="118">
        <v>1781</v>
      </c>
      <c r="L221" s="118" t="s">
        <v>490</v>
      </c>
      <c r="M221" s="64">
        <v>518</v>
      </c>
      <c r="N221" s="676">
        <v>0.65959999999999996</v>
      </c>
      <c r="O221" s="675" t="s">
        <v>140</v>
      </c>
      <c r="P221" s="15">
        <v>0</v>
      </c>
      <c r="Q221" s="46">
        <f t="shared" si="21"/>
        <v>0</v>
      </c>
      <c r="R221" s="46" t="e">
        <f t="shared" si="27"/>
        <v>#DIV/0!</v>
      </c>
      <c r="S221" s="46" t="e">
        <f t="shared" si="22"/>
        <v>#DIV/0!</v>
      </c>
      <c r="T221" s="677" t="e">
        <f t="shared" si="26"/>
        <v>#DIV/0!</v>
      </c>
      <c r="U221" s="80" t="e">
        <f t="shared" si="25"/>
        <v>#DIV/0!</v>
      </c>
      <c r="V221" s="85">
        <f t="shared" si="23"/>
        <v>520</v>
      </c>
      <c r="W221" s="679">
        <f t="shared" si="24"/>
        <v>520</v>
      </c>
      <c r="X221" s="4"/>
    </row>
    <row r="222" spans="1:24" x14ac:dyDescent="0.25">
      <c r="A222" s="680" t="s">
        <v>409</v>
      </c>
      <c r="B222" s="681" t="s">
        <v>410</v>
      </c>
      <c r="C222" s="47" t="s">
        <v>408</v>
      </c>
      <c r="D222" s="118" t="s">
        <v>44</v>
      </c>
      <c r="E222" s="118" t="s">
        <v>510</v>
      </c>
      <c r="F222" s="118" t="s">
        <v>517</v>
      </c>
      <c r="G222" s="118">
        <v>12</v>
      </c>
      <c r="H222" s="118">
        <v>2</v>
      </c>
      <c r="I222" s="118">
        <v>12900</v>
      </c>
      <c r="J222" s="675">
        <v>4</v>
      </c>
      <c r="K222" s="118">
        <v>968</v>
      </c>
      <c r="L222" s="118" t="s">
        <v>490</v>
      </c>
      <c r="M222" s="64">
        <v>703</v>
      </c>
      <c r="N222" s="676">
        <v>0.24610000000000001</v>
      </c>
      <c r="O222" s="675" t="s">
        <v>140</v>
      </c>
      <c r="P222" s="15">
        <v>0</v>
      </c>
      <c r="Q222" s="46">
        <f t="shared" si="21"/>
        <v>0</v>
      </c>
      <c r="R222" s="46" t="e">
        <f t="shared" si="27"/>
        <v>#DIV/0!</v>
      </c>
      <c r="S222" s="46" t="e">
        <f t="shared" si="22"/>
        <v>#DIV/0!</v>
      </c>
      <c r="T222" s="677" t="e">
        <f t="shared" si="26"/>
        <v>#DIV/0!</v>
      </c>
      <c r="U222" s="80" t="e">
        <f t="shared" si="25"/>
        <v>#DIV/0!</v>
      </c>
      <c r="V222" s="85">
        <f t="shared" si="23"/>
        <v>710</v>
      </c>
      <c r="W222" s="679">
        <f t="shared" si="24"/>
        <v>705</v>
      </c>
      <c r="X222" s="4"/>
    </row>
    <row r="223" spans="1:24" x14ac:dyDescent="0.25">
      <c r="A223" s="680" t="s">
        <v>414</v>
      </c>
      <c r="B223" s="681" t="s">
        <v>415</v>
      </c>
      <c r="C223" s="47" t="s">
        <v>408</v>
      </c>
      <c r="D223" s="118" t="s">
        <v>41</v>
      </c>
      <c r="E223" s="118" t="s">
        <v>524</v>
      </c>
      <c r="F223" s="118" t="s">
        <v>518</v>
      </c>
      <c r="G223" s="118">
        <v>3</v>
      </c>
      <c r="H223" s="118">
        <v>1</v>
      </c>
      <c r="I223" s="118">
        <v>17971</v>
      </c>
      <c r="J223" s="675">
        <v>4</v>
      </c>
      <c r="K223" s="118">
        <v>2184</v>
      </c>
      <c r="L223" s="118" t="s">
        <v>490</v>
      </c>
      <c r="M223" s="64">
        <v>518</v>
      </c>
      <c r="N223" s="676">
        <v>0.50439999999999996</v>
      </c>
      <c r="O223" s="675" t="s">
        <v>140</v>
      </c>
      <c r="P223" s="15">
        <v>0</v>
      </c>
      <c r="Q223" s="46">
        <f t="shared" si="21"/>
        <v>0</v>
      </c>
      <c r="R223" s="46" t="e">
        <f t="shared" si="27"/>
        <v>#DIV/0!</v>
      </c>
      <c r="S223" s="46" t="e">
        <f t="shared" si="22"/>
        <v>#DIV/0!</v>
      </c>
      <c r="T223" s="677" t="e">
        <f t="shared" si="26"/>
        <v>#DIV/0!</v>
      </c>
      <c r="U223" s="80" t="e">
        <f t="shared" si="25"/>
        <v>#DIV/0!</v>
      </c>
      <c r="V223" s="85">
        <f t="shared" si="23"/>
        <v>520</v>
      </c>
      <c r="W223" s="679">
        <f t="shared" si="24"/>
        <v>520</v>
      </c>
      <c r="X223" s="4"/>
    </row>
    <row r="224" spans="1:24" x14ac:dyDescent="0.25">
      <c r="A224" s="680" t="s">
        <v>417</v>
      </c>
      <c r="B224" s="681" t="s">
        <v>415</v>
      </c>
      <c r="C224" s="47" t="s">
        <v>408</v>
      </c>
      <c r="D224" s="118" t="s">
        <v>42</v>
      </c>
      <c r="E224" s="118" t="s">
        <v>524</v>
      </c>
      <c r="F224" s="118" t="s">
        <v>519</v>
      </c>
      <c r="G224" s="118">
        <v>2</v>
      </c>
      <c r="H224" s="118">
        <v>1</v>
      </c>
      <c r="I224" s="118">
        <v>7759</v>
      </c>
      <c r="J224" s="675">
        <v>4</v>
      </c>
      <c r="K224" s="118">
        <v>785</v>
      </c>
      <c r="L224" s="118" t="s">
        <v>490</v>
      </c>
      <c r="M224" s="64">
        <v>518</v>
      </c>
      <c r="N224" s="676">
        <v>0.40825360000000005</v>
      </c>
      <c r="O224" s="675" t="s">
        <v>140</v>
      </c>
      <c r="P224" s="15">
        <v>0</v>
      </c>
      <c r="Q224" s="46">
        <f t="shared" si="21"/>
        <v>0</v>
      </c>
      <c r="R224" s="46" t="e">
        <f t="shared" si="27"/>
        <v>#DIV/0!</v>
      </c>
      <c r="S224" s="46" t="e">
        <f t="shared" si="22"/>
        <v>#DIV/0!</v>
      </c>
      <c r="T224" s="677" t="e">
        <f t="shared" si="26"/>
        <v>#DIV/0!</v>
      </c>
      <c r="U224" s="80" t="e">
        <f t="shared" si="25"/>
        <v>#DIV/0!</v>
      </c>
      <c r="V224" s="85">
        <f t="shared" si="23"/>
        <v>520</v>
      </c>
      <c r="W224" s="679">
        <f t="shared" si="24"/>
        <v>520</v>
      </c>
      <c r="X224" s="4"/>
    </row>
    <row r="225" spans="1:24" x14ac:dyDescent="0.25">
      <c r="A225" s="680" t="s">
        <v>419</v>
      </c>
      <c r="B225" s="681" t="s">
        <v>415</v>
      </c>
      <c r="C225" s="47" t="s">
        <v>408</v>
      </c>
      <c r="D225" s="118" t="s">
        <v>42</v>
      </c>
      <c r="E225" s="118" t="s">
        <v>524</v>
      </c>
      <c r="F225" s="118" t="s">
        <v>519</v>
      </c>
      <c r="G225" s="118">
        <v>1</v>
      </c>
      <c r="H225" s="118">
        <v>1</v>
      </c>
      <c r="I225" s="118">
        <v>7100</v>
      </c>
      <c r="J225" s="675">
        <v>4</v>
      </c>
      <c r="K225" s="118">
        <v>785</v>
      </c>
      <c r="L225" s="118" t="s">
        <v>490</v>
      </c>
      <c r="M225" s="64">
        <v>518</v>
      </c>
      <c r="N225" s="676">
        <v>0.38761200000000001</v>
      </c>
      <c r="O225" s="675" t="s">
        <v>140</v>
      </c>
      <c r="P225" s="15">
        <v>0</v>
      </c>
      <c r="Q225" s="46">
        <f t="shared" si="21"/>
        <v>0</v>
      </c>
      <c r="R225" s="46" t="e">
        <f t="shared" si="27"/>
        <v>#DIV/0!</v>
      </c>
      <c r="S225" s="46" t="e">
        <f t="shared" si="22"/>
        <v>#DIV/0!</v>
      </c>
      <c r="T225" s="677" t="e">
        <f t="shared" si="26"/>
        <v>#DIV/0!</v>
      </c>
      <c r="U225" s="80" t="e">
        <f t="shared" si="25"/>
        <v>#DIV/0!</v>
      </c>
      <c r="V225" s="85">
        <f t="shared" si="23"/>
        <v>520</v>
      </c>
      <c r="W225" s="679">
        <f t="shared" si="24"/>
        <v>520</v>
      </c>
      <c r="X225" s="4"/>
    </row>
    <row r="226" spans="1:24" x14ac:dyDescent="0.25">
      <c r="A226" s="680" t="s">
        <v>421</v>
      </c>
      <c r="B226" s="681" t="s">
        <v>422</v>
      </c>
      <c r="C226" s="47" t="s">
        <v>423</v>
      </c>
      <c r="D226" s="118" t="s">
        <v>47</v>
      </c>
      <c r="E226" s="118" t="s">
        <v>524</v>
      </c>
      <c r="F226" s="118" t="s">
        <v>520</v>
      </c>
      <c r="G226" s="118">
        <v>1</v>
      </c>
      <c r="H226" s="118">
        <v>1</v>
      </c>
      <c r="I226" s="118">
        <v>19050</v>
      </c>
      <c r="J226" s="675">
        <v>4</v>
      </c>
      <c r="K226" s="118">
        <v>1185</v>
      </c>
      <c r="L226" s="118" t="s">
        <v>490</v>
      </c>
      <c r="M226" s="64">
        <v>518</v>
      </c>
      <c r="N226" s="676">
        <v>0.34966560000000002</v>
      </c>
      <c r="O226" s="675" t="s">
        <v>140</v>
      </c>
      <c r="P226" s="15">
        <v>0</v>
      </c>
      <c r="Q226" s="46">
        <f t="shared" si="21"/>
        <v>0</v>
      </c>
      <c r="R226" s="46" t="e">
        <f t="shared" si="27"/>
        <v>#DIV/0!</v>
      </c>
      <c r="S226" s="46" t="e">
        <f t="shared" si="22"/>
        <v>#DIV/0!</v>
      </c>
      <c r="T226" s="677" t="e">
        <f t="shared" si="26"/>
        <v>#DIV/0!</v>
      </c>
      <c r="U226" s="80" t="e">
        <f t="shared" si="25"/>
        <v>#DIV/0!</v>
      </c>
      <c r="V226" s="85">
        <f t="shared" si="23"/>
        <v>520</v>
      </c>
      <c r="W226" s="679">
        <f t="shared" si="24"/>
        <v>520</v>
      </c>
      <c r="X226" s="4"/>
    </row>
    <row r="227" spans="1:24" x14ac:dyDescent="0.25">
      <c r="A227" s="680" t="s">
        <v>425</v>
      </c>
      <c r="B227" s="681" t="s">
        <v>426</v>
      </c>
      <c r="C227" s="47" t="s">
        <v>427</v>
      </c>
      <c r="D227" s="118" t="s">
        <v>47</v>
      </c>
      <c r="E227" s="118" t="s">
        <v>524</v>
      </c>
      <c r="F227" s="118" t="s">
        <v>520</v>
      </c>
      <c r="G227" s="118">
        <v>3</v>
      </c>
      <c r="H227" s="118">
        <v>1</v>
      </c>
      <c r="I227" s="118">
        <v>4255</v>
      </c>
      <c r="J227" s="675">
        <v>4</v>
      </c>
      <c r="K227" s="118">
        <v>1185</v>
      </c>
      <c r="L227" s="118" t="s">
        <v>490</v>
      </c>
      <c r="M227" s="64">
        <v>518</v>
      </c>
      <c r="N227" s="676">
        <v>0.73820879999999989</v>
      </c>
      <c r="O227" s="675" t="s">
        <v>140</v>
      </c>
      <c r="P227" s="15">
        <v>0</v>
      </c>
      <c r="Q227" s="46">
        <f t="shared" si="21"/>
        <v>0</v>
      </c>
      <c r="R227" s="46" t="e">
        <f t="shared" si="27"/>
        <v>#DIV/0!</v>
      </c>
      <c r="S227" s="46" t="e">
        <f t="shared" si="22"/>
        <v>#DIV/0!</v>
      </c>
      <c r="T227" s="677" t="e">
        <f t="shared" si="26"/>
        <v>#DIV/0!</v>
      </c>
      <c r="U227" s="80" t="e">
        <f t="shared" si="25"/>
        <v>#DIV/0!</v>
      </c>
      <c r="V227" s="85">
        <f t="shared" si="23"/>
        <v>520</v>
      </c>
      <c r="W227" s="679">
        <f t="shared" si="24"/>
        <v>520</v>
      </c>
      <c r="X227" s="4"/>
    </row>
    <row r="228" spans="1:24" x14ac:dyDescent="0.25">
      <c r="A228" s="680" t="s">
        <v>429</v>
      </c>
      <c r="B228" s="681" t="s">
        <v>430</v>
      </c>
      <c r="C228" s="47" t="s">
        <v>431</v>
      </c>
      <c r="D228" s="118" t="s">
        <v>48</v>
      </c>
      <c r="E228" s="118" t="s">
        <v>524</v>
      </c>
      <c r="F228" s="118" t="s">
        <v>521</v>
      </c>
      <c r="G228" s="118">
        <v>1</v>
      </c>
      <c r="H228" s="118">
        <v>1</v>
      </c>
      <c r="I228" s="118">
        <v>89250</v>
      </c>
      <c r="J228" s="675">
        <v>4</v>
      </c>
      <c r="K228" s="118">
        <v>1190</v>
      </c>
      <c r="L228" s="118" t="s">
        <v>490</v>
      </c>
      <c r="M228" s="64">
        <v>518</v>
      </c>
      <c r="N228" s="676">
        <v>1.0864</v>
      </c>
      <c r="O228" s="675" t="s">
        <v>140</v>
      </c>
      <c r="P228" s="15">
        <v>0</v>
      </c>
      <c r="Q228" s="46">
        <f t="shared" si="21"/>
        <v>0</v>
      </c>
      <c r="R228" s="46" t="e">
        <f t="shared" si="27"/>
        <v>#DIV/0!</v>
      </c>
      <c r="S228" s="46" t="e">
        <f t="shared" si="22"/>
        <v>#DIV/0!</v>
      </c>
      <c r="T228" s="677" t="e">
        <f t="shared" si="26"/>
        <v>#DIV/0!</v>
      </c>
      <c r="U228" s="80" t="e">
        <f t="shared" si="25"/>
        <v>#DIV/0!</v>
      </c>
      <c r="V228" s="85">
        <f t="shared" si="23"/>
        <v>520</v>
      </c>
      <c r="W228" s="679">
        <f t="shared" si="24"/>
        <v>520</v>
      </c>
      <c r="X228" s="4"/>
    </row>
    <row r="229" spans="1:24" x14ac:dyDescent="0.25">
      <c r="A229" s="680" t="s">
        <v>429</v>
      </c>
      <c r="B229" s="681" t="s">
        <v>430</v>
      </c>
      <c r="C229" s="47" t="s">
        <v>433</v>
      </c>
      <c r="D229" s="118" t="s">
        <v>44</v>
      </c>
      <c r="E229" s="118" t="s">
        <v>510</v>
      </c>
      <c r="F229" s="118" t="s">
        <v>522</v>
      </c>
      <c r="G229" s="118">
        <v>1</v>
      </c>
      <c r="H229" s="118">
        <v>1</v>
      </c>
      <c r="I229" s="118">
        <v>13000</v>
      </c>
      <c r="J229" s="675">
        <v>4</v>
      </c>
      <c r="K229" s="118">
        <v>1181</v>
      </c>
      <c r="L229" s="118" t="s">
        <v>490</v>
      </c>
      <c r="M229" s="64">
        <v>703</v>
      </c>
      <c r="N229" s="676">
        <v>0.31845800000000002</v>
      </c>
      <c r="O229" s="675" t="s">
        <v>140</v>
      </c>
      <c r="P229" s="15">
        <v>0</v>
      </c>
      <c r="Q229" s="46">
        <f t="shared" si="21"/>
        <v>0</v>
      </c>
      <c r="R229" s="46" t="e">
        <f t="shared" si="27"/>
        <v>#DIV/0!</v>
      </c>
      <c r="S229" s="46" t="e">
        <f t="shared" si="22"/>
        <v>#DIV/0!</v>
      </c>
      <c r="T229" s="677" t="e">
        <f t="shared" si="26"/>
        <v>#DIV/0!</v>
      </c>
      <c r="U229" s="80" t="e">
        <f t="shared" si="25"/>
        <v>#DIV/0!</v>
      </c>
      <c r="V229" s="85">
        <f t="shared" si="23"/>
        <v>710</v>
      </c>
      <c r="W229" s="679">
        <f t="shared" si="24"/>
        <v>705</v>
      </c>
      <c r="X229" s="4"/>
    </row>
    <row r="230" spans="1:24" x14ac:dyDescent="0.25">
      <c r="A230" s="680" t="s">
        <v>429</v>
      </c>
      <c r="B230" s="681" t="s">
        <v>430</v>
      </c>
      <c r="C230" s="47" t="s">
        <v>435</v>
      </c>
      <c r="D230" s="118" t="s">
        <v>44</v>
      </c>
      <c r="E230" s="118" t="s">
        <v>524</v>
      </c>
      <c r="F230" s="118" t="s">
        <v>522</v>
      </c>
      <c r="G230" s="118">
        <v>1</v>
      </c>
      <c r="H230" s="118">
        <v>1</v>
      </c>
      <c r="I230" s="118">
        <v>4250</v>
      </c>
      <c r="J230" s="675">
        <v>4</v>
      </c>
      <c r="K230" s="118">
        <v>1181</v>
      </c>
      <c r="L230" s="118" t="s">
        <v>490</v>
      </c>
      <c r="M230" s="64">
        <v>518</v>
      </c>
      <c r="N230" s="676">
        <v>1.6668480000000001</v>
      </c>
      <c r="O230" s="675" t="s">
        <v>140</v>
      </c>
      <c r="P230" s="15">
        <v>0</v>
      </c>
      <c r="Q230" s="46">
        <f t="shared" si="21"/>
        <v>0</v>
      </c>
      <c r="R230" s="46" t="e">
        <f t="shared" si="27"/>
        <v>#DIV/0!</v>
      </c>
      <c r="S230" s="46" t="e">
        <f t="shared" si="22"/>
        <v>#DIV/0!</v>
      </c>
      <c r="T230" s="677" t="e">
        <f t="shared" si="26"/>
        <v>#DIV/0!</v>
      </c>
      <c r="U230" s="80" t="e">
        <f t="shared" si="25"/>
        <v>#DIV/0!</v>
      </c>
      <c r="V230" s="85">
        <f t="shared" si="23"/>
        <v>520</v>
      </c>
      <c r="W230" s="679">
        <f t="shared" si="24"/>
        <v>520</v>
      </c>
      <c r="X230" s="4"/>
    </row>
    <row r="231" spans="1:24" x14ac:dyDescent="0.25">
      <c r="A231" s="680" t="s">
        <v>429</v>
      </c>
      <c r="B231" s="681" t="s">
        <v>430</v>
      </c>
      <c r="C231" s="47" t="s">
        <v>437</v>
      </c>
      <c r="D231" s="118" t="s">
        <v>43</v>
      </c>
      <c r="E231" s="118" t="s">
        <v>17</v>
      </c>
      <c r="F231" s="118" t="s">
        <v>522</v>
      </c>
      <c r="G231" s="118">
        <v>1</v>
      </c>
      <c r="H231" s="118">
        <v>1</v>
      </c>
      <c r="I231" s="118">
        <v>8500</v>
      </c>
      <c r="J231" s="675">
        <v>4</v>
      </c>
      <c r="K231" s="118">
        <v>1181</v>
      </c>
      <c r="L231" s="118" t="s">
        <v>490</v>
      </c>
      <c r="M231" s="64">
        <v>342</v>
      </c>
      <c r="N231" s="676">
        <v>0.41339999999999999</v>
      </c>
      <c r="O231" s="675" t="s">
        <v>140</v>
      </c>
      <c r="P231" s="15">
        <v>1531</v>
      </c>
      <c r="Q231" s="46">
        <f t="shared" si="21"/>
        <v>60.275470000000006</v>
      </c>
      <c r="R231" s="46">
        <f t="shared" si="27"/>
        <v>6.6258297114895992</v>
      </c>
      <c r="S231" s="46">
        <f t="shared" si="22"/>
        <v>6.2392186035680752E-2</v>
      </c>
      <c r="T231" s="677">
        <f t="shared" si="26"/>
        <v>8.9131694336686794E-3</v>
      </c>
      <c r="U231" s="80">
        <f t="shared" si="25"/>
        <v>6863.1404639248831</v>
      </c>
      <c r="V231" s="85">
        <f t="shared" si="23"/>
        <v>350</v>
      </c>
      <c r="W231" s="679">
        <f t="shared" si="24"/>
        <v>345</v>
      </c>
      <c r="X231" s="4"/>
    </row>
    <row r="232" spans="1:24" x14ac:dyDescent="0.25">
      <c r="A232" s="680" t="s">
        <v>439</v>
      </c>
      <c r="B232" s="681" t="s">
        <v>430</v>
      </c>
      <c r="C232" s="47" t="s">
        <v>431</v>
      </c>
      <c r="D232" s="118" t="s">
        <v>42</v>
      </c>
      <c r="E232" s="118" t="s">
        <v>524</v>
      </c>
      <c r="F232" s="118" t="s">
        <v>521</v>
      </c>
      <c r="G232" s="118">
        <v>1</v>
      </c>
      <c r="H232" s="118">
        <v>1</v>
      </c>
      <c r="I232" s="118">
        <v>103000</v>
      </c>
      <c r="J232" s="675">
        <v>4</v>
      </c>
      <c r="K232" s="118">
        <v>1190</v>
      </c>
      <c r="L232" s="118" t="s">
        <v>490</v>
      </c>
      <c r="M232" s="64">
        <v>518</v>
      </c>
      <c r="N232" s="676">
        <v>1.3191999999999999</v>
      </c>
      <c r="O232" s="675" t="s">
        <v>140</v>
      </c>
      <c r="P232" s="15">
        <v>0</v>
      </c>
      <c r="Q232" s="46">
        <f t="shared" si="21"/>
        <v>0</v>
      </c>
      <c r="R232" s="46" t="e">
        <f t="shared" si="27"/>
        <v>#DIV/0!</v>
      </c>
      <c r="S232" s="46" t="e">
        <f t="shared" si="22"/>
        <v>#DIV/0!</v>
      </c>
      <c r="T232" s="677" t="e">
        <f t="shared" si="26"/>
        <v>#DIV/0!</v>
      </c>
      <c r="U232" s="80" t="e">
        <f t="shared" si="25"/>
        <v>#DIV/0!</v>
      </c>
      <c r="V232" s="85">
        <f t="shared" si="23"/>
        <v>520</v>
      </c>
      <c r="W232" s="679">
        <f t="shared" si="24"/>
        <v>520</v>
      </c>
      <c r="X232" s="4"/>
    </row>
    <row r="233" spans="1:24" x14ac:dyDescent="0.25">
      <c r="A233" s="680" t="s">
        <v>439</v>
      </c>
      <c r="B233" s="681" t="s">
        <v>430</v>
      </c>
      <c r="C233" s="47" t="s">
        <v>435</v>
      </c>
      <c r="D233" s="118" t="s">
        <v>43</v>
      </c>
      <c r="E233" s="118" t="s">
        <v>510</v>
      </c>
      <c r="F233" s="118" t="s">
        <v>522</v>
      </c>
      <c r="G233" s="118">
        <v>1</v>
      </c>
      <c r="H233" s="118">
        <v>1</v>
      </c>
      <c r="I233" s="118">
        <v>12750</v>
      </c>
      <c r="J233" s="675">
        <v>4</v>
      </c>
      <c r="K233" s="118">
        <v>1181</v>
      </c>
      <c r="L233" s="118" t="s">
        <v>490</v>
      </c>
      <c r="M233" s="64">
        <v>703</v>
      </c>
      <c r="N233" s="676">
        <v>1.9550000000000001</v>
      </c>
      <c r="O233" s="675" t="s">
        <v>140</v>
      </c>
      <c r="P233" s="15">
        <v>0</v>
      </c>
      <c r="Q233" s="46">
        <f t="shared" si="21"/>
        <v>0</v>
      </c>
      <c r="R233" s="46" t="e">
        <f t="shared" si="27"/>
        <v>#DIV/0!</v>
      </c>
      <c r="S233" s="46" t="e">
        <f t="shared" si="22"/>
        <v>#DIV/0!</v>
      </c>
      <c r="T233" s="677" t="e">
        <f t="shared" si="26"/>
        <v>#DIV/0!</v>
      </c>
      <c r="U233" s="80" t="e">
        <f t="shared" si="25"/>
        <v>#DIV/0!</v>
      </c>
      <c r="V233" s="85">
        <f t="shared" si="23"/>
        <v>710</v>
      </c>
      <c r="W233" s="679">
        <f t="shared" si="24"/>
        <v>705</v>
      </c>
      <c r="X233" s="4"/>
    </row>
    <row r="234" spans="1:24" x14ac:dyDescent="0.25">
      <c r="A234" s="680" t="s">
        <v>442</v>
      </c>
      <c r="B234" s="681" t="s">
        <v>443</v>
      </c>
      <c r="C234" s="47" t="s">
        <v>444</v>
      </c>
      <c r="D234" s="118" t="s">
        <v>45</v>
      </c>
      <c r="E234" s="118" t="s">
        <v>17</v>
      </c>
      <c r="F234" s="118" t="s">
        <v>523</v>
      </c>
      <c r="G234" s="118">
        <v>1</v>
      </c>
      <c r="H234" s="118">
        <v>1</v>
      </c>
      <c r="I234" s="118">
        <v>17500</v>
      </c>
      <c r="J234" s="675">
        <v>4</v>
      </c>
      <c r="K234" s="118">
        <v>1692</v>
      </c>
      <c r="L234" s="118" t="s">
        <v>490</v>
      </c>
      <c r="M234" s="64">
        <v>342</v>
      </c>
      <c r="N234" s="676">
        <v>0.17004</v>
      </c>
      <c r="O234" s="675" t="s">
        <v>140</v>
      </c>
      <c r="P234" s="15">
        <v>1531</v>
      </c>
      <c r="Q234" s="46">
        <f t="shared" si="21"/>
        <v>60.275470000000006</v>
      </c>
      <c r="R234" s="46">
        <f t="shared" si="27"/>
        <v>6.6258297114895992</v>
      </c>
      <c r="S234" s="46">
        <f t="shared" si="22"/>
        <v>2.5663201048638496E-2</v>
      </c>
      <c r="T234" s="677">
        <f t="shared" si="26"/>
        <v>3.6661715783769281E-3</v>
      </c>
      <c r="U234" s="80">
        <f t="shared" si="25"/>
        <v>2822.9521153502346</v>
      </c>
      <c r="V234" s="85">
        <f t="shared" si="23"/>
        <v>350</v>
      </c>
      <c r="W234" s="679">
        <f t="shared" si="24"/>
        <v>345</v>
      </c>
      <c r="X234" s="4"/>
    </row>
    <row r="235" spans="1:24" x14ac:dyDescent="0.25">
      <c r="A235" s="680" t="s">
        <v>442</v>
      </c>
      <c r="B235" s="681" t="s">
        <v>443</v>
      </c>
      <c r="C235" s="47" t="s">
        <v>446</v>
      </c>
      <c r="D235" s="118" t="s">
        <v>45</v>
      </c>
      <c r="E235" s="118" t="s">
        <v>17</v>
      </c>
      <c r="F235" s="118" t="s">
        <v>523</v>
      </c>
      <c r="G235" s="118">
        <v>1</v>
      </c>
      <c r="H235" s="118">
        <v>1</v>
      </c>
      <c r="I235" s="118">
        <v>8500</v>
      </c>
      <c r="J235" s="675">
        <v>4</v>
      </c>
      <c r="K235" s="118">
        <v>1502</v>
      </c>
      <c r="L235" s="118" t="s">
        <v>490</v>
      </c>
      <c r="M235" s="64">
        <v>342</v>
      </c>
      <c r="N235" s="676">
        <v>0.19500000000000001</v>
      </c>
      <c r="O235" s="675" t="s">
        <v>140</v>
      </c>
      <c r="P235" s="15">
        <v>1531</v>
      </c>
      <c r="Q235" s="46">
        <f t="shared" si="21"/>
        <v>60.275470000000006</v>
      </c>
      <c r="R235" s="46">
        <f t="shared" si="27"/>
        <v>6.6258297114895992</v>
      </c>
      <c r="S235" s="46">
        <f t="shared" si="22"/>
        <v>2.9430276431924883E-2</v>
      </c>
      <c r="T235" s="677">
        <f t="shared" si="26"/>
        <v>4.2043252045606975E-3</v>
      </c>
      <c r="U235" s="80">
        <f t="shared" si="25"/>
        <v>3237.3304075117371</v>
      </c>
      <c r="V235" s="85">
        <f t="shared" si="23"/>
        <v>350</v>
      </c>
      <c r="W235" s="679">
        <f t="shared" si="24"/>
        <v>345</v>
      </c>
      <c r="X235" s="4"/>
    </row>
    <row r="236" spans="1:24" x14ac:dyDescent="0.25">
      <c r="A236" s="680" t="s">
        <v>448</v>
      </c>
      <c r="B236" s="681" t="s">
        <v>443</v>
      </c>
      <c r="C236" s="47" t="s">
        <v>444</v>
      </c>
      <c r="D236" s="118" t="s">
        <v>45</v>
      </c>
      <c r="E236" s="118" t="s">
        <v>17</v>
      </c>
      <c r="F236" s="118" t="s">
        <v>523</v>
      </c>
      <c r="G236" s="118">
        <v>1</v>
      </c>
      <c r="H236" s="118">
        <v>1</v>
      </c>
      <c r="I236" s="118">
        <v>17500</v>
      </c>
      <c r="J236" s="675">
        <v>4</v>
      </c>
      <c r="K236" s="118">
        <v>1692</v>
      </c>
      <c r="L236" s="118" t="s">
        <v>490</v>
      </c>
      <c r="M236" s="64">
        <v>342</v>
      </c>
      <c r="N236" s="676">
        <v>0.27479399999999998</v>
      </c>
      <c r="O236" s="675" t="s">
        <v>140</v>
      </c>
      <c r="P236" s="15">
        <v>1531</v>
      </c>
      <c r="Q236" s="46">
        <f t="shared" si="21"/>
        <v>60.275470000000006</v>
      </c>
      <c r="R236" s="46">
        <f t="shared" si="27"/>
        <v>6.6258297114895992</v>
      </c>
      <c r="S236" s="46">
        <f t="shared" si="22"/>
        <v>4.1473145547868545E-2</v>
      </c>
      <c r="T236" s="677">
        <f t="shared" si="26"/>
        <v>5.924735078266935E-3</v>
      </c>
      <c r="U236" s="80">
        <f t="shared" si="25"/>
        <v>4562.0460102655397</v>
      </c>
      <c r="V236" s="85">
        <f t="shared" si="23"/>
        <v>350</v>
      </c>
      <c r="W236" s="679">
        <f t="shared" si="24"/>
        <v>345</v>
      </c>
      <c r="X236" s="4"/>
    </row>
    <row r="237" spans="1:24" x14ac:dyDescent="0.25">
      <c r="A237" s="680" t="s">
        <v>448</v>
      </c>
      <c r="B237" s="681" t="s">
        <v>443</v>
      </c>
      <c r="C237" s="47" t="s">
        <v>446</v>
      </c>
      <c r="D237" s="118" t="s">
        <v>45</v>
      </c>
      <c r="E237" s="118" t="s">
        <v>17</v>
      </c>
      <c r="F237" s="118" t="s">
        <v>523</v>
      </c>
      <c r="G237" s="118">
        <v>1</v>
      </c>
      <c r="H237" s="118">
        <v>1</v>
      </c>
      <c r="I237" s="118">
        <v>8500</v>
      </c>
      <c r="J237" s="675">
        <v>4</v>
      </c>
      <c r="K237" s="118">
        <v>1692</v>
      </c>
      <c r="L237" s="118" t="s">
        <v>490</v>
      </c>
      <c r="M237" s="64">
        <v>342</v>
      </c>
      <c r="N237" s="676">
        <v>0.30232799999999999</v>
      </c>
      <c r="O237" s="675" t="s">
        <v>140</v>
      </c>
      <c r="P237" s="15">
        <v>1531</v>
      </c>
      <c r="Q237" s="46">
        <f t="shared" si="21"/>
        <v>60.275470000000006</v>
      </c>
      <c r="R237" s="46">
        <f t="shared" si="27"/>
        <v>6.6258297114895992</v>
      </c>
      <c r="S237" s="46">
        <f t="shared" si="22"/>
        <v>4.5628700580056337E-2</v>
      </c>
      <c r="T237" s="677">
        <f t="shared" si="26"/>
        <v>6.518385797150905E-3</v>
      </c>
      <c r="U237" s="80">
        <f t="shared" si="25"/>
        <v>5019.1570638061967</v>
      </c>
      <c r="V237" s="85">
        <f t="shared" si="23"/>
        <v>350</v>
      </c>
      <c r="W237" s="679">
        <f t="shared" si="24"/>
        <v>345</v>
      </c>
      <c r="X237" s="4"/>
    </row>
    <row r="238" spans="1:24" x14ac:dyDescent="0.25">
      <c r="A238" s="680" t="s">
        <v>448</v>
      </c>
      <c r="B238" s="681" t="s">
        <v>451</v>
      </c>
      <c r="C238" s="47" t="s">
        <v>446</v>
      </c>
      <c r="D238" s="118" t="s">
        <v>46</v>
      </c>
      <c r="E238" s="118" t="s">
        <v>17</v>
      </c>
      <c r="F238" s="118" t="s">
        <v>523</v>
      </c>
      <c r="G238" s="118">
        <v>2</v>
      </c>
      <c r="H238" s="118">
        <v>1</v>
      </c>
      <c r="I238" s="118">
        <v>8500</v>
      </c>
      <c r="J238" s="675">
        <v>4</v>
      </c>
      <c r="K238" s="118">
        <v>1502</v>
      </c>
      <c r="L238" s="118" t="s">
        <v>490</v>
      </c>
      <c r="M238" s="64">
        <v>255</v>
      </c>
      <c r="N238" s="676">
        <v>6.7504999999999997</v>
      </c>
      <c r="O238" s="675" t="s">
        <v>140</v>
      </c>
      <c r="P238" s="15">
        <v>873</v>
      </c>
      <c r="Q238" s="46">
        <f t="shared" si="21"/>
        <v>34.370010000000001</v>
      </c>
      <c r="R238" s="46">
        <f t="shared" si="27"/>
        <v>11.619868600561944</v>
      </c>
      <c r="S238" s="46">
        <f t="shared" si="22"/>
        <v>0.58094460721126762</v>
      </c>
      <c r="T238" s="677">
        <f t="shared" si="26"/>
        <v>8.29920867444668E-2</v>
      </c>
      <c r="U238" s="80">
        <f t="shared" si="25"/>
        <v>63903.906793239439</v>
      </c>
      <c r="V238" s="85">
        <f t="shared" si="23"/>
        <v>260</v>
      </c>
      <c r="W238" s="679">
        <f t="shared" si="24"/>
        <v>255</v>
      </c>
      <c r="X238" s="4"/>
    </row>
    <row r="239" spans="1:24" x14ac:dyDescent="0.25">
      <c r="A239" s="680" t="s">
        <v>452</v>
      </c>
      <c r="B239" s="681" t="s">
        <v>453</v>
      </c>
      <c r="C239" s="47" t="s">
        <v>454</v>
      </c>
      <c r="D239" s="118" t="s">
        <v>44</v>
      </c>
      <c r="E239" s="118" t="s">
        <v>510</v>
      </c>
      <c r="F239" s="118" t="s">
        <v>513</v>
      </c>
      <c r="G239" s="118">
        <v>2</v>
      </c>
      <c r="H239" s="118">
        <v>1</v>
      </c>
      <c r="I239" s="118">
        <v>11097</v>
      </c>
      <c r="J239" s="675">
        <v>4</v>
      </c>
      <c r="K239" s="118">
        <v>585</v>
      </c>
      <c r="L239" s="118" t="s">
        <v>490</v>
      </c>
      <c r="M239" s="64">
        <v>703</v>
      </c>
      <c r="N239" s="676">
        <v>1.416156</v>
      </c>
      <c r="O239" s="675" t="s">
        <v>140</v>
      </c>
      <c r="P239" s="15">
        <v>0</v>
      </c>
      <c r="Q239" s="46">
        <f t="shared" si="21"/>
        <v>0</v>
      </c>
      <c r="R239" s="46" t="e">
        <f t="shared" si="27"/>
        <v>#DIV/0!</v>
      </c>
      <c r="S239" s="46" t="e">
        <f t="shared" si="22"/>
        <v>#DIV/0!</v>
      </c>
      <c r="T239" s="677" t="e">
        <f t="shared" si="26"/>
        <v>#DIV/0!</v>
      </c>
      <c r="U239" s="80" t="e">
        <f t="shared" si="25"/>
        <v>#DIV/0!</v>
      </c>
      <c r="V239" s="85">
        <f t="shared" si="23"/>
        <v>710</v>
      </c>
      <c r="W239" s="679">
        <f t="shared" si="24"/>
        <v>705</v>
      </c>
      <c r="X239" s="4"/>
    </row>
    <row r="240" spans="1:24" x14ac:dyDescent="0.25">
      <c r="A240" s="680" t="s">
        <v>452</v>
      </c>
      <c r="B240" s="681" t="s">
        <v>453</v>
      </c>
      <c r="C240" s="47" t="s">
        <v>408</v>
      </c>
      <c r="D240" s="118" t="s">
        <v>44</v>
      </c>
      <c r="E240" s="118" t="s">
        <v>524</v>
      </c>
      <c r="F240" s="118" t="s">
        <v>514</v>
      </c>
      <c r="G240" s="118">
        <v>29</v>
      </c>
      <c r="H240" s="118">
        <v>1</v>
      </c>
      <c r="I240" s="118">
        <v>1500</v>
      </c>
      <c r="J240" s="675">
        <v>4</v>
      </c>
      <c r="K240" s="118">
        <v>776</v>
      </c>
      <c r="L240" s="118" t="s">
        <v>490</v>
      </c>
      <c r="M240" s="64">
        <v>518</v>
      </c>
      <c r="N240" s="676">
        <v>0.27222079999999999</v>
      </c>
      <c r="O240" s="675" t="s">
        <v>140</v>
      </c>
      <c r="P240" s="15">
        <v>0</v>
      </c>
      <c r="Q240" s="46">
        <f t="shared" si="21"/>
        <v>0</v>
      </c>
      <c r="R240" s="46" t="e">
        <f t="shared" si="27"/>
        <v>#DIV/0!</v>
      </c>
      <c r="S240" s="46" t="e">
        <f t="shared" si="22"/>
        <v>#DIV/0!</v>
      </c>
      <c r="T240" s="677" t="e">
        <f t="shared" si="26"/>
        <v>#DIV/0!</v>
      </c>
      <c r="U240" s="80" t="e">
        <f t="shared" si="25"/>
        <v>#DIV/0!</v>
      </c>
      <c r="V240" s="85">
        <f t="shared" si="23"/>
        <v>520</v>
      </c>
      <c r="W240" s="679">
        <f t="shared" si="24"/>
        <v>520</v>
      </c>
      <c r="X240" s="4"/>
    </row>
    <row r="241" spans="1:24" x14ac:dyDescent="0.25">
      <c r="A241" s="680" t="s">
        <v>452</v>
      </c>
      <c r="B241" s="681" t="s">
        <v>453</v>
      </c>
      <c r="C241" s="47" t="s">
        <v>408</v>
      </c>
      <c r="D241" s="118" t="s">
        <v>44</v>
      </c>
      <c r="E241" s="118" t="s">
        <v>510</v>
      </c>
      <c r="F241" s="118" t="s">
        <v>512</v>
      </c>
      <c r="G241" s="118">
        <v>1</v>
      </c>
      <c r="H241" s="118">
        <v>1</v>
      </c>
      <c r="I241" s="118">
        <v>1500</v>
      </c>
      <c r="J241" s="675">
        <v>4</v>
      </c>
      <c r="K241" s="118">
        <v>3879</v>
      </c>
      <c r="L241" s="118" t="s">
        <v>490</v>
      </c>
      <c r="M241" s="64">
        <v>703</v>
      </c>
      <c r="N241" s="676">
        <v>0.28287699999999999</v>
      </c>
      <c r="O241" s="675" t="s">
        <v>140</v>
      </c>
      <c r="P241" s="15">
        <v>0</v>
      </c>
      <c r="Q241" s="46">
        <f t="shared" si="21"/>
        <v>0</v>
      </c>
      <c r="R241" s="46" t="e">
        <f t="shared" si="27"/>
        <v>#DIV/0!</v>
      </c>
      <c r="S241" s="46" t="e">
        <f t="shared" si="22"/>
        <v>#DIV/0!</v>
      </c>
      <c r="T241" s="677" t="e">
        <f t="shared" si="26"/>
        <v>#DIV/0!</v>
      </c>
      <c r="U241" s="80" t="e">
        <f t="shared" si="25"/>
        <v>#DIV/0!</v>
      </c>
      <c r="V241" s="85">
        <f t="shared" si="23"/>
        <v>710</v>
      </c>
      <c r="W241" s="679">
        <f t="shared" si="24"/>
        <v>705</v>
      </c>
      <c r="X241" s="4"/>
    </row>
    <row r="242" spans="1:24" x14ac:dyDescent="0.25">
      <c r="A242" s="680" t="s">
        <v>456</v>
      </c>
      <c r="B242" s="681" t="s">
        <v>453</v>
      </c>
      <c r="C242" s="47" t="s">
        <v>457</v>
      </c>
      <c r="D242" s="118" t="s">
        <v>44</v>
      </c>
      <c r="E242" s="118" t="s">
        <v>510</v>
      </c>
      <c r="F242" s="118" t="s">
        <v>513</v>
      </c>
      <c r="G242" s="118">
        <v>2</v>
      </c>
      <c r="H242" s="118">
        <v>1</v>
      </c>
      <c r="I242" s="118">
        <v>11081</v>
      </c>
      <c r="J242" s="675">
        <v>4</v>
      </c>
      <c r="K242" s="118">
        <v>585</v>
      </c>
      <c r="L242" s="118" t="s">
        <v>490</v>
      </c>
      <c r="M242" s="64">
        <v>703</v>
      </c>
      <c r="N242" s="676">
        <v>0.28832799999999997</v>
      </c>
      <c r="O242" s="675" t="s">
        <v>140</v>
      </c>
      <c r="P242" s="15">
        <v>0</v>
      </c>
      <c r="Q242" s="46">
        <f t="shared" si="21"/>
        <v>0</v>
      </c>
      <c r="R242" s="46" t="e">
        <f t="shared" si="27"/>
        <v>#DIV/0!</v>
      </c>
      <c r="S242" s="46" t="e">
        <f t="shared" si="22"/>
        <v>#DIV/0!</v>
      </c>
      <c r="T242" s="677" t="e">
        <f t="shared" si="26"/>
        <v>#DIV/0!</v>
      </c>
      <c r="U242" s="80" t="e">
        <f t="shared" si="25"/>
        <v>#DIV/0!</v>
      </c>
      <c r="V242" s="85">
        <f t="shared" si="23"/>
        <v>710</v>
      </c>
      <c r="W242" s="679">
        <f t="shared" si="24"/>
        <v>705</v>
      </c>
      <c r="X242" s="4"/>
    </row>
    <row r="243" spans="1:24" x14ac:dyDescent="0.25">
      <c r="A243" s="680" t="s">
        <v>456</v>
      </c>
      <c r="B243" s="681" t="s">
        <v>453</v>
      </c>
      <c r="C243" s="47" t="s">
        <v>408</v>
      </c>
      <c r="D243" s="118" t="s">
        <v>41</v>
      </c>
      <c r="E243" s="118" t="s">
        <v>524</v>
      </c>
      <c r="F243" s="118" t="s">
        <v>514</v>
      </c>
      <c r="G243" s="118">
        <v>29</v>
      </c>
      <c r="H243" s="118">
        <v>1</v>
      </c>
      <c r="I243" s="118">
        <v>1500</v>
      </c>
      <c r="J243" s="675">
        <v>4</v>
      </c>
      <c r="K243" s="118">
        <v>776</v>
      </c>
      <c r="L243" s="118" t="s">
        <v>490</v>
      </c>
      <c r="M243" s="64">
        <v>518</v>
      </c>
      <c r="N243" s="676">
        <v>2.8323999999999998</v>
      </c>
      <c r="O243" s="675" t="s">
        <v>140</v>
      </c>
      <c r="P243" s="15">
        <v>0</v>
      </c>
      <c r="Q243" s="46">
        <f t="shared" si="21"/>
        <v>0</v>
      </c>
      <c r="R243" s="46" t="e">
        <f t="shared" si="27"/>
        <v>#DIV/0!</v>
      </c>
      <c r="S243" s="46" t="e">
        <f t="shared" si="22"/>
        <v>#DIV/0!</v>
      </c>
      <c r="T243" s="677" t="e">
        <f t="shared" si="26"/>
        <v>#DIV/0!</v>
      </c>
      <c r="U243" s="80" t="e">
        <f t="shared" si="25"/>
        <v>#DIV/0!</v>
      </c>
      <c r="V243" s="85">
        <f t="shared" si="23"/>
        <v>520</v>
      </c>
      <c r="W243" s="679">
        <f t="shared" si="24"/>
        <v>520</v>
      </c>
      <c r="X243" s="4"/>
    </row>
    <row r="244" spans="1:24" x14ac:dyDescent="0.25">
      <c r="A244" s="680" t="s">
        <v>456</v>
      </c>
      <c r="B244" s="681" t="s">
        <v>453</v>
      </c>
      <c r="C244" s="47" t="s">
        <v>408</v>
      </c>
      <c r="D244" s="118" t="s">
        <v>44</v>
      </c>
      <c r="E244" s="118" t="s">
        <v>510</v>
      </c>
      <c r="F244" s="118" t="s">
        <v>514</v>
      </c>
      <c r="G244" s="118">
        <v>1</v>
      </c>
      <c r="H244" s="118">
        <v>1</v>
      </c>
      <c r="I244" s="118">
        <v>1500</v>
      </c>
      <c r="J244" s="675">
        <v>4</v>
      </c>
      <c r="K244" s="118">
        <v>3879</v>
      </c>
      <c r="L244" s="118" t="s">
        <v>490</v>
      </c>
      <c r="M244" s="64">
        <v>703</v>
      </c>
      <c r="N244" s="676">
        <v>1.5195179999999997</v>
      </c>
      <c r="O244" s="675" t="s">
        <v>140</v>
      </c>
      <c r="P244" s="15">
        <v>0</v>
      </c>
      <c r="Q244" s="46">
        <f t="shared" si="21"/>
        <v>0</v>
      </c>
      <c r="R244" s="46" t="e">
        <f t="shared" si="27"/>
        <v>#DIV/0!</v>
      </c>
      <c r="S244" s="46" t="e">
        <f t="shared" si="22"/>
        <v>#DIV/0!</v>
      </c>
      <c r="T244" s="677" t="e">
        <f t="shared" si="26"/>
        <v>#DIV/0!</v>
      </c>
      <c r="U244" s="80" t="e">
        <f t="shared" si="25"/>
        <v>#DIV/0!</v>
      </c>
      <c r="V244" s="85">
        <f t="shared" si="23"/>
        <v>710</v>
      </c>
      <c r="W244" s="679">
        <f t="shared" si="24"/>
        <v>705</v>
      </c>
      <c r="X244" s="4"/>
    </row>
    <row r="245" spans="1:24" x14ac:dyDescent="0.25">
      <c r="A245" s="680" t="s">
        <v>458</v>
      </c>
      <c r="B245" s="681" t="s">
        <v>459</v>
      </c>
      <c r="C245" s="47" t="s">
        <v>460</v>
      </c>
      <c r="D245" s="118" t="s">
        <v>44</v>
      </c>
      <c r="E245" s="118" t="s">
        <v>524</v>
      </c>
      <c r="F245" s="118" t="s">
        <v>513</v>
      </c>
      <c r="G245" s="118">
        <v>2</v>
      </c>
      <c r="H245" s="118">
        <v>1</v>
      </c>
      <c r="I245" s="118">
        <v>12634</v>
      </c>
      <c r="J245" s="675">
        <v>4</v>
      </c>
      <c r="K245" s="118">
        <v>585</v>
      </c>
      <c r="L245" s="118" t="s">
        <v>490</v>
      </c>
      <c r="M245" s="64">
        <v>518</v>
      </c>
      <c r="N245" s="676">
        <v>0.40386920000000004</v>
      </c>
      <c r="O245" s="675" t="s">
        <v>140</v>
      </c>
      <c r="P245" s="15">
        <v>0</v>
      </c>
      <c r="Q245" s="46">
        <f t="shared" si="21"/>
        <v>0</v>
      </c>
      <c r="R245" s="46" t="e">
        <f t="shared" si="27"/>
        <v>#DIV/0!</v>
      </c>
      <c r="S245" s="46" t="e">
        <f t="shared" si="22"/>
        <v>#DIV/0!</v>
      </c>
      <c r="T245" s="677" t="e">
        <f t="shared" si="26"/>
        <v>#DIV/0!</v>
      </c>
      <c r="U245" s="80" t="e">
        <f t="shared" si="25"/>
        <v>#DIV/0!</v>
      </c>
      <c r="V245" s="85">
        <f t="shared" si="23"/>
        <v>520</v>
      </c>
      <c r="W245" s="679">
        <f t="shared" si="24"/>
        <v>520</v>
      </c>
      <c r="X245" s="4"/>
    </row>
    <row r="246" spans="1:24" x14ac:dyDescent="0.25">
      <c r="A246" s="680" t="s">
        <v>458</v>
      </c>
      <c r="B246" s="681" t="s">
        <v>459</v>
      </c>
      <c r="C246" s="47" t="s">
        <v>408</v>
      </c>
      <c r="D246" s="118" t="s">
        <v>44</v>
      </c>
      <c r="E246" s="118" t="s">
        <v>510</v>
      </c>
      <c r="F246" s="118" t="s">
        <v>514</v>
      </c>
      <c r="G246" s="118">
        <v>28</v>
      </c>
      <c r="H246" s="118">
        <v>1</v>
      </c>
      <c r="I246" s="118">
        <v>1500</v>
      </c>
      <c r="J246" s="675">
        <v>4</v>
      </c>
      <c r="K246" s="118">
        <v>776</v>
      </c>
      <c r="L246" s="118" t="s">
        <v>490</v>
      </c>
      <c r="M246" s="64">
        <v>703</v>
      </c>
      <c r="N246" s="676">
        <v>0.34792099999999998</v>
      </c>
      <c r="O246" s="675" t="s">
        <v>140</v>
      </c>
      <c r="P246" s="15">
        <v>0</v>
      </c>
      <c r="Q246" s="46">
        <f t="shared" si="21"/>
        <v>0</v>
      </c>
      <c r="R246" s="46" t="e">
        <f t="shared" si="27"/>
        <v>#DIV/0!</v>
      </c>
      <c r="S246" s="46" t="e">
        <f t="shared" si="22"/>
        <v>#DIV/0!</v>
      </c>
      <c r="T246" s="677" t="e">
        <f t="shared" si="26"/>
        <v>#DIV/0!</v>
      </c>
      <c r="U246" s="80" t="e">
        <f t="shared" si="25"/>
        <v>#DIV/0!</v>
      </c>
      <c r="V246" s="85">
        <f t="shared" si="23"/>
        <v>710</v>
      </c>
      <c r="W246" s="679">
        <f t="shared" si="24"/>
        <v>705</v>
      </c>
      <c r="X246" s="4"/>
    </row>
    <row r="247" spans="1:24" x14ac:dyDescent="0.25">
      <c r="A247" s="680" t="s">
        <v>461</v>
      </c>
      <c r="B247" s="681" t="s">
        <v>459</v>
      </c>
      <c r="C247" s="47" t="s">
        <v>462</v>
      </c>
      <c r="D247" s="118" t="s">
        <v>44</v>
      </c>
      <c r="E247" s="118" t="s">
        <v>510</v>
      </c>
      <c r="F247" s="118" t="s">
        <v>513</v>
      </c>
      <c r="G247" s="118">
        <v>2</v>
      </c>
      <c r="H247" s="118">
        <v>1</v>
      </c>
      <c r="I247" s="118">
        <v>11097</v>
      </c>
      <c r="J247" s="675">
        <v>4</v>
      </c>
      <c r="K247" s="118">
        <v>585</v>
      </c>
      <c r="L247" s="118" t="s">
        <v>490</v>
      </c>
      <c r="M247" s="64">
        <v>703</v>
      </c>
      <c r="N247" s="676">
        <v>0.34536800000000001</v>
      </c>
      <c r="O247" s="675" t="s">
        <v>140</v>
      </c>
      <c r="P247" s="15">
        <v>0</v>
      </c>
      <c r="Q247" s="46">
        <f t="shared" si="21"/>
        <v>0</v>
      </c>
      <c r="R247" s="46" t="e">
        <f t="shared" si="27"/>
        <v>#DIV/0!</v>
      </c>
      <c r="S247" s="46" t="e">
        <f t="shared" si="22"/>
        <v>#DIV/0!</v>
      </c>
      <c r="T247" s="677" t="e">
        <f t="shared" si="26"/>
        <v>#DIV/0!</v>
      </c>
      <c r="U247" s="80" t="e">
        <f t="shared" si="25"/>
        <v>#DIV/0!</v>
      </c>
      <c r="V247" s="85">
        <f t="shared" si="23"/>
        <v>710</v>
      </c>
      <c r="W247" s="679">
        <f t="shared" si="24"/>
        <v>705</v>
      </c>
      <c r="X247" s="4"/>
    </row>
    <row r="248" spans="1:24" x14ac:dyDescent="0.25">
      <c r="A248" s="680" t="s">
        <v>461</v>
      </c>
      <c r="B248" s="681" t="s">
        <v>459</v>
      </c>
      <c r="C248" s="47" t="s">
        <v>408</v>
      </c>
      <c r="D248" s="118" t="s">
        <v>41</v>
      </c>
      <c r="E248" s="118" t="s">
        <v>524</v>
      </c>
      <c r="F248" s="118" t="s">
        <v>514</v>
      </c>
      <c r="G248" s="118">
        <v>29</v>
      </c>
      <c r="H248" s="118">
        <v>1</v>
      </c>
      <c r="I248" s="118">
        <v>1500</v>
      </c>
      <c r="J248" s="675">
        <v>4</v>
      </c>
      <c r="K248" s="118">
        <v>776</v>
      </c>
      <c r="L248" s="118" t="s">
        <v>490</v>
      </c>
      <c r="M248" s="64">
        <v>518</v>
      </c>
      <c r="N248" s="676">
        <v>3.2204000000000002</v>
      </c>
      <c r="O248" s="675" t="s">
        <v>140</v>
      </c>
      <c r="P248" s="15">
        <v>0</v>
      </c>
      <c r="Q248" s="46">
        <f t="shared" si="21"/>
        <v>0</v>
      </c>
      <c r="R248" s="46" t="e">
        <f t="shared" si="27"/>
        <v>#DIV/0!</v>
      </c>
      <c r="S248" s="46" t="e">
        <f t="shared" si="22"/>
        <v>#DIV/0!</v>
      </c>
      <c r="T248" s="677" t="e">
        <f t="shared" si="26"/>
        <v>#DIV/0!</v>
      </c>
      <c r="U248" s="80" t="e">
        <f t="shared" si="25"/>
        <v>#DIV/0!</v>
      </c>
      <c r="V248" s="85">
        <f t="shared" si="23"/>
        <v>520</v>
      </c>
      <c r="W248" s="679">
        <f t="shared" si="24"/>
        <v>520</v>
      </c>
      <c r="X248" s="4"/>
    </row>
    <row r="249" spans="1:24" x14ac:dyDescent="0.25">
      <c r="A249" s="680" t="s">
        <v>461</v>
      </c>
      <c r="B249" s="681" t="s">
        <v>459</v>
      </c>
      <c r="C249" s="47" t="s">
        <v>408</v>
      </c>
      <c r="D249" s="118" t="s">
        <v>47</v>
      </c>
      <c r="E249" s="118" t="s">
        <v>524</v>
      </c>
      <c r="F249" s="118" t="s">
        <v>514</v>
      </c>
      <c r="G249" s="118">
        <v>1</v>
      </c>
      <c r="H249" s="118">
        <v>1</v>
      </c>
      <c r="I249" s="118">
        <v>1500</v>
      </c>
      <c r="J249" s="675">
        <v>4</v>
      </c>
      <c r="K249" s="118">
        <v>3879</v>
      </c>
      <c r="L249" s="118" t="s">
        <v>490</v>
      </c>
      <c r="M249" s="64">
        <v>518</v>
      </c>
      <c r="N249" s="676">
        <v>31.958085599999997</v>
      </c>
      <c r="O249" s="675" t="s">
        <v>140</v>
      </c>
      <c r="P249" s="15">
        <v>0</v>
      </c>
      <c r="Q249" s="46">
        <f t="shared" si="21"/>
        <v>0</v>
      </c>
      <c r="R249" s="46" t="e">
        <f t="shared" si="27"/>
        <v>#DIV/0!</v>
      </c>
      <c r="S249" s="46" t="e">
        <f t="shared" si="22"/>
        <v>#DIV/0!</v>
      </c>
      <c r="T249" s="677" t="e">
        <f t="shared" si="26"/>
        <v>#DIV/0!</v>
      </c>
      <c r="U249" s="80" t="e">
        <f t="shared" si="25"/>
        <v>#DIV/0!</v>
      </c>
      <c r="V249" s="85">
        <f t="shared" si="23"/>
        <v>520</v>
      </c>
      <c r="W249" s="679">
        <f t="shared" si="24"/>
        <v>520</v>
      </c>
      <c r="X249" s="4"/>
    </row>
    <row r="250" spans="1:24" x14ac:dyDescent="0.25">
      <c r="A250" s="680" t="s">
        <v>406</v>
      </c>
      <c r="B250" s="681" t="s">
        <v>407</v>
      </c>
      <c r="C250" s="47" t="s">
        <v>408</v>
      </c>
      <c r="D250" s="118" t="s">
        <v>48</v>
      </c>
      <c r="E250" s="118" t="s">
        <v>524</v>
      </c>
      <c r="F250" s="118" t="s">
        <v>515</v>
      </c>
      <c r="G250" s="118">
        <v>12</v>
      </c>
      <c r="H250" s="118">
        <v>2</v>
      </c>
      <c r="I250" s="118">
        <v>26385</v>
      </c>
      <c r="J250" s="675">
        <v>4</v>
      </c>
      <c r="K250" s="118">
        <v>2784</v>
      </c>
      <c r="L250" s="118" t="s">
        <v>490</v>
      </c>
      <c r="M250" s="64">
        <v>518</v>
      </c>
      <c r="N250" s="676">
        <v>31.913</v>
      </c>
      <c r="O250" s="675" t="s">
        <v>140</v>
      </c>
      <c r="P250" s="15">
        <v>0</v>
      </c>
      <c r="Q250" s="46">
        <f t="shared" si="21"/>
        <v>0</v>
      </c>
      <c r="R250" s="46" t="e">
        <f t="shared" si="27"/>
        <v>#DIV/0!</v>
      </c>
      <c r="S250" s="46" t="e">
        <f t="shared" si="22"/>
        <v>#DIV/0!</v>
      </c>
      <c r="T250" s="677" t="e">
        <f t="shared" si="26"/>
        <v>#DIV/0!</v>
      </c>
      <c r="U250" s="80" t="e">
        <f t="shared" si="25"/>
        <v>#DIV/0!</v>
      </c>
      <c r="V250" s="678">
        <f t="shared" si="23"/>
        <v>520</v>
      </c>
      <c r="W250" s="679">
        <f t="shared" si="24"/>
        <v>520</v>
      </c>
      <c r="X250" s="4"/>
    </row>
    <row r="251" spans="1:24" x14ac:dyDescent="0.25">
      <c r="A251" s="680" t="s">
        <v>406</v>
      </c>
      <c r="B251" s="681" t="s">
        <v>407</v>
      </c>
      <c r="C251" s="47" t="s">
        <v>408</v>
      </c>
      <c r="D251" s="118" t="s">
        <v>42</v>
      </c>
      <c r="E251" s="118" t="s">
        <v>524</v>
      </c>
      <c r="F251" s="118" t="s">
        <v>516</v>
      </c>
      <c r="G251" s="118">
        <v>12</v>
      </c>
      <c r="H251" s="118">
        <v>1</v>
      </c>
      <c r="I251" s="118">
        <v>91778</v>
      </c>
      <c r="J251" s="675">
        <v>4</v>
      </c>
      <c r="K251" s="118">
        <v>1781</v>
      </c>
      <c r="L251" s="118" t="s">
        <v>490</v>
      </c>
      <c r="M251" s="64">
        <v>518</v>
      </c>
      <c r="N251" s="676">
        <v>2.0369999999999999</v>
      </c>
      <c r="O251" s="675" t="s">
        <v>140</v>
      </c>
      <c r="P251" s="15">
        <v>0</v>
      </c>
      <c r="Q251" s="46">
        <f t="shared" si="21"/>
        <v>0</v>
      </c>
      <c r="R251" s="46" t="e">
        <f t="shared" si="27"/>
        <v>#DIV/0!</v>
      </c>
      <c r="S251" s="46" t="e">
        <f t="shared" si="22"/>
        <v>#DIV/0!</v>
      </c>
      <c r="T251" s="677" t="e">
        <f t="shared" si="26"/>
        <v>#DIV/0!</v>
      </c>
      <c r="U251" s="80" t="e">
        <f t="shared" si="25"/>
        <v>#DIV/0!</v>
      </c>
      <c r="V251" s="85">
        <f t="shared" si="23"/>
        <v>520</v>
      </c>
      <c r="W251" s="679">
        <f t="shared" si="24"/>
        <v>520</v>
      </c>
      <c r="X251" s="4"/>
    </row>
    <row r="252" spans="1:24" x14ac:dyDescent="0.25">
      <c r="A252" s="680" t="s">
        <v>409</v>
      </c>
      <c r="B252" s="681" t="s">
        <v>410</v>
      </c>
      <c r="C252" s="47" t="s">
        <v>408</v>
      </c>
      <c r="D252" s="118" t="s">
        <v>49</v>
      </c>
      <c r="E252" s="118" t="s">
        <v>524</v>
      </c>
      <c r="F252" s="118" t="s">
        <v>517</v>
      </c>
      <c r="G252" s="118">
        <v>12</v>
      </c>
      <c r="H252" s="118">
        <v>2</v>
      </c>
      <c r="I252" s="118">
        <v>12900</v>
      </c>
      <c r="J252" s="675">
        <v>4</v>
      </c>
      <c r="K252" s="118">
        <v>968</v>
      </c>
      <c r="L252" s="118" t="s">
        <v>490</v>
      </c>
      <c r="M252" s="64">
        <v>518</v>
      </c>
      <c r="N252" s="676">
        <v>4.9489594000000006</v>
      </c>
      <c r="O252" s="675" t="s">
        <v>140</v>
      </c>
      <c r="P252" s="15">
        <v>0</v>
      </c>
      <c r="Q252" s="46">
        <f t="shared" si="21"/>
        <v>0</v>
      </c>
      <c r="R252" s="46" t="e">
        <f t="shared" si="27"/>
        <v>#DIV/0!</v>
      </c>
      <c r="S252" s="46" t="e">
        <f t="shared" si="22"/>
        <v>#DIV/0!</v>
      </c>
      <c r="T252" s="677" t="e">
        <f t="shared" si="26"/>
        <v>#DIV/0!</v>
      </c>
      <c r="U252" s="80" t="e">
        <f t="shared" si="25"/>
        <v>#DIV/0!</v>
      </c>
      <c r="V252" s="85">
        <f t="shared" si="23"/>
        <v>520</v>
      </c>
      <c r="W252" s="679">
        <f t="shared" si="24"/>
        <v>520</v>
      </c>
      <c r="X252" s="4"/>
    </row>
    <row r="253" spans="1:24" x14ac:dyDescent="0.25">
      <c r="A253" s="680" t="s">
        <v>414</v>
      </c>
      <c r="B253" s="681" t="s">
        <v>415</v>
      </c>
      <c r="C253" s="47" t="s">
        <v>408</v>
      </c>
      <c r="D253" s="118" t="s">
        <v>49</v>
      </c>
      <c r="E253" s="118" t="s">
        <v>524</v>
      </c>
      <c r="F253" s="118" t="s">
        <v>518</v>
      </c>
      <c r="G253" s="118">
        <v>3</v>
      </c>
      <c r="H253" s="118">
        <v>1</v>
      </c>
      <c r="I253" s="118">
        <v>17971</v>
      </c>
      <c r="J253" s="675">
        <v>4</v>
      </c>
      <c r="K253" s="118">
        <v>2184</v>
      </c>
      <c r="L253" s="118" t="s">
        <v>490</v>
      </c>
      <c r="M253" s="64">
        <v>518</v>
      </c>
      <c r="N253" s="676">
        <v>4.7274696</v>
      </c>
      <c r="O253" s="675" t="s">
        <v>140</v>
      </c>
      <c r="P253" s="15">
        <v>0</v>
      </c>
      <c r="Q253" s="46">
        <f t="shared" si="21"/>
        <v>0</v>
      </c>
      <c r="R253" s="46" t="e">
        <f t="shared" si="27"/>
        <v>#DIV/0!</v>
      </c>
      <c r="S253" s="46" t="e">
        <f t="shared" si="22"/>
        <v>#DIV/0!</v>
      </c>
      <c r="T253" s="677" t="e">
        <f t="shared" si="26"/>
        <v>#DIV/0!</v>
      </c>
      <c r="U253" s="80" t="e">
        <f t="shared" si="25"/>
        <v>#DIV/0!</v>
      </c>
      <c r="V253" s="85">
        <f t="shared" si="23"/>
        <v>520</v>
      </c>
      <c r="W253" s="679">
        <f t="shared" si="24"/>
        <v>520</v>
      </c>
      <c r="X253" s="4"/>
    </row>
    <row r="254" spans="1:24" x14ac:dyDescent="0.25">
      <c r="A254" s="680" t="s">
        <v>417</v>
      </c>
      <c r="B254" s="681" t="s">
        <v>415</v>
      </c>
      <c r="C254" s="47" t="s">
        <v>408</v>
      </c>
      <c r="D254" s="118" t="s">
        <v>49</v>
      </c>
      <c r="E254" s="118" t="s">
        <v>510</v>
      </c>
      <c r="F254" s="118" t="s">
        <v>519</v>
      </c>
      <c r="G254" s="118">
        <v>2</v>
      </c>
      <c r="H254" s="118">
        <v>1</v>
      </c>
      <c r="I254" s="118">
        <v>7759</v>
      </c>
      <c r="J254" s="675">
        <v>4</v>
      </c>
      <c r="K254" s="118">
        <v>785</v>
      </c>
      <c r="L254" s="118" t="s">
        <v>490</v>
      </c>
      <c r="M254" s="64">
        <v>703</v>
      </c>
      <c r="N254" s="676">
        <v>3.6357019999999993</v>
      </c>
      <c r="O254" s="675" t="s">
        <v>140</v>
      </c>
      <c r="P254" s="15">
        <v>0</v>
      </c>
      <c r="Q254" s="46">
        <f t="shared" si="21"/>
        <v>0</v>
      </c>
      <c r="R254" s="46" t="e">
        <f t="shared" si="27"/>
        <v>#DIV/0!</v>
      </c>
      <c r="S254" s="46" t="e">
        <f t="shared" si="22"/>
        <v>#DIV/0!</v>
      </c>
      <c r="T254" s="677" t="e">
        <f t="shared" si="26"/>
        <v>#DIV/0!</v>
      </c>
      <c r="U254" s="80" t="e">
        <f t="shared" si="25"/>
        <v>#DIV/0!</v>
      </c>
      <c r="V254" s="85">
        <f t="shared" si="23"/>
        <v>710</v>
      </c>
      <c r="W254" s="679">
        <f t="shared" si="24"/>
        <v>705</v>
      </c>
      <c r="X254" s="4"/>
    </row>
    <row r="255" spans="1:24" x14ac:dyDescent="0.25">
      <c r="A255" s="680" t="s">
        <v>419</v>
      </c>
      <c r="B255" s="681" t="s">
        <v>415</v>
      </c>
      <c r="C255" s="47" t="s">
        <v>408</v>
      </c>
      <c r="D255" s="118" t="s">
        <v>49</v>
      </c>
      <c r="E255" s="118" t="s">
        <v>510</v>
      </c>
      <c r="F255" s="118" t="s">
        <v>519</v>
      </c>
      <c r="G255" s="118">
        <v>1</v>
      </c>
      <c r="H255" s="118">
        <v>1</v>
      </c>
      <c r="I255" s="118">
        <v>7100</v>
      </c>
      <c r="J255" s="675">
        <v>4</v>
      </c>
      <c r="K255" s="118">
        <v>785</v>
      </c>
      <c r="L255" s="118" t="s">
        <v>490</v>
      </c>
      <c r="M255" s="64">
        <v>703</v>
      </c>
      <c r="N255" s="676">
        <v>3.3835760000000001</v>
      </c>
      <c r="O255" s="675" t="s">
        <v>140</v>
      </c>
      <c r="P255" s="15">
        <v>0</v>
      </c>
      <c r="Q255" s="46">
        <f t="shared" si="21"/>
        <v>0</v>
      </c>
      <c r="R255" s="46" t="e">
        <f t="shared" si="27"/>
        <v>#DIV/0!</v>
      </c>
      <c r="S255" s="46" t="e">
        <f t="shared" si="22"/>
        <v>#DIV/0!</v>
      </c>
      <c r="T255" s="677" t="e">
        <f t="shared" si="26"/>
        <v>#DIV/0!</v>
      </c>
      <c r="U255" s="80" t="e">
        <f t="shared" si="25"/>
        <v>#DIV/0!</v>
      </c>
      <c r="V255" s="85">
        <f t="shared" si="23"/>
        <v>710</v>
      </c>
      <c r="W255" s="679">
        <f t="shared" si="24"/>
        <v>705</v>
      </c>
      <c r="X255" s="4"/>
    </row>
    <row r="256" spans="1:24" x14ac:dyDescent="0.25">
      <c r="A256" s="680" t="s">
        <v>421</v>
      </c>
      <c r="B256" s="681" t="s">
        <v>422</v>
      </c>
      <c r="C256" s="47" t="s">
        <v>423</v>
      </c>
      <c r="D256" s="118" t="s">
        <v>49</v>
      </c>
      <c r="E256" s="118" t="s">
        <v>510</v>
      </c>
      <c r="F256" s="118" t="s">
        <v>520</v>
      </c>
      <c r="G256" s="118">
        <v>1</v>
      </c>
      <c r="H256" s="118">
        <v>1</v>
      </c>
      <c r="I256" s="118">
        <v>19050</v>
      </c>
      <c r="J256" s="675">
        <v>4</v>
      </c>
      <c r="K256" s="118">
        <v>1185</v>
      </c>
      <c r="L256" s="118" t="s">
        <v>490</v>
      </c>
      <c r="M256" s="64">
        <v>703</v>
      </c>
      <c r="N256" s="676">
        <v>3.4497469999999995</v>
      </c>
      <c r="O256" s="675" t="s">
        <v>140</v>
      </c>
      <c r="P256" s="15">
        <v>0</v>
      </c>
      <c r="Q256" s="46">
        <f t="shared" si="21"/>
        <v>0</v>
      </c>
      <c r="R256" s="46" t="e">
        <f t="shared" si="27"/>
        <v>#DIV/0!</v>
      </c>
      <c r="S256" s="46" t="e">
        <f t="shared" si="22"/>
        <v>#DIV/0!</v>
      </c>
      <c r="T256" s="677" t="e">
        <f t="shared" si="26"/>
        <v>#DIV/0!</v>
      </c>
      <c r="U256" s="80" t="e">
        <f t="shared" si="25"/>
        <v>#DIV/0!</v>
      </c>
      <c r="V256" s="85">
        <f t="shared" si="23"/>
        <v>710</v>
      </c>
      <c r="W256" s="679">
        <f t="shared" si="24"/>
        <v>705</v>
      </c>
      <c r="X256" s="4"/>
    </row>
    <row r="257" spans="1:24" x14ac:dyDescent="0.25">
      <c r="A257" s="680" t="s">
        <v>425</v>
      </c>
      <c r="B257" s="681" t="s">
        <v>426</v>
      </c>
      <c r="C257" s="47" t="s">
        <v>427</v>
      </c>
      <c r="D257" s="118" t="s">
        <v>49</v>
      </c>
      <c r="E257" s="118" t="s">
        <v>510</v>
      </c>
      <c r="F257" s="118" t="s">
        <v>520</v>
      </c>
      <c r="G257" s="118">
        <v>3</v>
      </c>
      <c r="H257" s="118">
        <v>1</v>
      </c>
      <c r="I257" s="118">
        <v>4255</v>
      </c>
      <c r="J257" s="675">
        <v>4</v>
      </c>
      <c r="K257" s="118">
        <v>1185</v>
      </c>
      <c r="L257" s="118" t="s">
        <v>490</v>
      </c>
      <c r="M257" s="64">
        <v>703</v>
      </c>
      <c r="N257" s="676">
        <v>3.4538525</v>
      </c>
      <c r="O257" s="675" t="s">
        <v>140</v>
      </c>
      <c r="P257" s="15">
        <v>0</v>
      </c>
      <c r="Q257" s="46">
        <f t="shared" si="21"/>
        <v>0</v>
      </c>
      <c r="R257" s="46" t="e">
        <f t="shared" si="27"/>
        <v>#DIV/0!</v>
      </c>
      <c r="S257" s="46" t="e">
        <f t="shared" si="22"/>
        <v>#DIV/0!</v>
      </c>
      <c r="T257" s="677" t="e">
        <f t="shared" si="26"/>
        <v>#DIV/0!</v>
      </c>
      <c r="U257" s="80" t="e">
        <f t="shared" si="25"/>
        <v>#DIV/0!</v>
      </c>
      <c r="V257" s="85">
        <f t="shared" si="23"/>
        <v>710</v>
      </c>
      <c r="W257" s="679">
        <f t="shared" si="24"/>
        <v>705</v>
      </c>
      <c r="X257" s="4"/>
    </row>
    <row r="258" spans="1:24" x14ac:dyDescent="0.25">
      <c r="A258" s="680" t="s">
        <v>429</v>
      </c>
      <c r="B258" s="681" t="s">
        <v>430</v>
      </c>
      <c r="C258" s="47" t="s">
        <v>431</v>
      </c>
      <c r="D258" s="118" t="s">
        <v>50</v>
      </c>
      <c r="E258" s="118" t="s">
        <v>510</v>
      </c>
      <c r="F258" s="118" t="s">
        <v>521</v>
      </c>
      <c r="G258" s="118">
        <v>1</v>
      </c>
      <c r="H258" s="118">
        <v>1</v>
      </c>
      <c r="I258" s="118">
        <v>89250</v>
      </c>
      <c r="J258" s="675">
        <v>4</v>
      </c>
      <c r="K258" s="118">
        <v>1190</v>
      </c>
      <c r="L258" s="118" t="s">
        <v>490</v>
      </c>
      <c r="M258" s="64">
        <v>703</v>
      </c>
      <c r="N258" s="676">
        <v>1.7100615000000001</v>
      </c>
      <c r="O258" s="675" t="s">
        <v>140</v>
      </c>
      <c r="P258" s="15">
        <v>0</v>
      </c>
      <c r="Q258" s="46">
        <f t="shared" si="21"/>
        <v>0</v>
      </c>
      <c r="R258" s="46" t="e">
        <f t="shared" si="27"/>
        <v>#DIV/0!</v>
      </c>
      <c r="S258" s="46" t="e">
        <f t="shared" si="22"/>
        <v>#DIV/0!</v>
      </c>
      <c r="T258" s="677" t="e">
        <f t="shared" si="26"/>
        <v>#DIV/0!</v>
      </c>
      <c r="U258" s="80" t="e">
        <f t="shared" si="25"/>
        <v>#DIV/0!</v>
      </c>
      <c r="V258" s="85">
        <f t="shared" si="23"/>
        <v>710</v>
      </c>
      <c r="W258" s="679">
        <f t="shared" si="24"/>
        <v>705</v>
      </c>
      <c r="X258" s="4"/>
    </row>
    <row r="259" spans="1:24" x14ac:dyDescent="0.25">
      <c r="A259" s="680" t="s">
        <v>429</v>
      </c>
      <c r="B259" s="681" t="s">
        <v>430</v>
      </c>
      <c r="C259" s="47" t="s">
        <v>433</v>
      </c>
      <c r="D259" s="118" t="s">
        <v>50</v>
      </c>
      <c r="E259" s="118" t="s">
        <v>510</v>
      </c>
      <c r="F259" s="118" t="s">
        <v>522</v>
      </c>
      <c r="G259" s="118">
        <v>1</v>
      </c>
      <c r="H259" s="118">
        <v>1</v>
      </c>
      <c r="I259" s="118">
        <v>13000</v>
      </c>
      <c r="J259" s="675">
        <v>4</v>
      </c>
      <c r="K259" s="118">
        <v>1181</v>
      </c>
      <c r="L259" s="118" t="s">
        <v>490</v>
      </c>
      <c r="M259" s="64">
        <v>703</v>
      </c>
      <c r="N259" s="676">
        <v>1.8440939999999999</v>
      </c>
      <c r="O259" s="675" t="s">
        <v>140</v>
      </c>
      <c r="P259" s="15">
        <v>0</v>
      </c>
      <c r="Q259" s="46">
        <f t="shared" si="21"/>
        <v>0</v>
      </c>
      <c r="R259" s="46" t="e">
        <f t="shared" si="27"/>
        <v>#DIV/0!</v>
      </c>
      <c r="S259" s="46" t="e">
        <f t="shared" si="22"/>
        <v>#DIV/0!</v>
      </c>
      <c r="T259" s="677" t="e">
        <f t="shared" si="26"/>
        <v>#DIV/0!</v>
      </c>
      <c r="U259" s="80" t="e">
        <f t="shared" si="25"/>
        <v>#DIV/0!</v>
      </c>
      <c r="V259" s="85">
        <f t="shared" si="23"/>
        <v>710</v>
      </c>
      <c r="W259" s="679">
        <f t="shared" si="24"/>
        <v>705</v>
      </c>
      <c r="X259" s="4"/>
    </row>
    <row r="260" spans="1:24" x14ac:dyDescent="0.25">
      <c r="A260" s="680" t="s">
        <v>429</v>
      </c>
      <c r="B260" s="681" t="s">
        <v>430</v>
      </c>
      <c r="C260" s="47" t="s">
        <v>435</v>
      </c>
      <c r="D260" s="118" t="s">
        <v>50</v>
      </c>
      <c r="E260" s="118" t="s">
        <v>510</v>
      </c>
      <c r="F260" s="118" t="s">
        <v>522</v>
      </c>
      <c r="G260" s="118">
        <v>1</v>
      </c>
      <c r="H260" s="118">
        <v>1</v>
      </c>
      <c r="I260" s="118">
        <v>4250</v>
      </c>
      <c r="J260" s="675">
        <v>4</v>
      </c>
      <c r="K260" s="118">
        <v>1181</v>
      </c>
      <c r="L260" s="118" t="s">
        <v>490</v>
      </c>
      <c r="M260" s="64">
        <v>703</v>
      </c>
      <c r="N260" s="676">
        <v>1.7607765000000002</v>
      </c>
      <c r="O260" s="675" t="s">
        <v>140</v>
      </c>
      <c r="P260" s="15">
        <v>0</v>
      </c>
      <c r="Q260" s="46">
        <f t="shared" si="21"/>
        <v>0</v>
      </c>
      <c r="R260" s="46" t="e">
        <f t="shared" si="27"/>
        <v>#DIV/0!</v>
      </c>
      <c r="S260" s="46" t="e">
        <f t="shared" si="22"/>
        <v>#DIV/0!</v>
      </c>
      <c r="T260" s="677" t="e">
        <f t="shared" si="26"/>
        <v>#DIV/0!</v>
      </c>
      <c r="U260" s="80" t="e">
        <f t="shared" si="25"/>
        <v>#DIV/0!</v>
      </c>
      <c r="V260" s="85">
        <f t="shared" si="23"/>
        <v>710</v>
      </c>
      <c r="W260" s="679">
        <f t="shared" si="24"/>
        <v>705</v>
      </c>
      <c r="X260" s="4"/>
    </row>
    <row r="261" spans="1:24" x14ac:dyDescent="0.25">
      <c r="A261" s="680" t="s">
        <v>429</v>
      </c>
      <c r="B261" s="681" t="s">
        <v>430</v>
      </c>
      <c r="C261" s="47" t="s">
        <v>437</v>
      </c>
      <c r="D261" s="118" t="s">
        <v>50</v>
      </c>
      <c r="E261" s="118" t="s">
        <v>510</v>
      </c>
      <c r="F261" s="118" t="s">
        <v>522</v>
      </c>
      <c r="G261" s="118">
        <v>1</v>
      </c>
      <c r="H261" s="118">
        <v>1</v>
      </c>
      <c r="I261" s="118">
        <v>8500</v>
      </c>
      <c r="J261" s="675">
        <v>4</v>
      </c>
      <c r="K261" s="118">
        <v>1181</v>
      </c>
      <c r="L261" s="118" t="s">
        <v>490</v>
      </c>
      <c r="M261" s="64">
        <v>703</v>
      </c>
      <c r="N261" s="676">
        <v>1.7572345</v>
      </c>
      <c r="O261" s="675" t="s">
        <v>140</v>
      </c>
      <c r="P261" s="15">
        <v>0</v>
      </c>
      <c r="Q261" s="46">
        <f t="shared" si="21"/>
        <v>0</v>
      </c>
      <c r="R261" s="46" t="e">
        <f t="shared" si="27"/>
        <v>#DIV/0!</v>
      </c>
      <c r="S261" s="46" t="e">
        <f t="shared" si="22"/>
        <v>#DIV/0!</v>
      </c>
      <c r="T261" s="677" t="e">
        <f t="shared" si="26"/>
        <v>#DIV/0!</v>
      </c>
      <c r="U261" s="80" t="e">
        <f t="shared" si="25"/>
        <v>#DIV/0!</v>
      </c>
      <c r="V261" s="85">
        <f t="shared" si="23"/>
        <v>710</v>
      </c>
      <c r="W261" s="679">
        <f t="shared" si="24"/>
        <v>705</v>
      </c>
      <c r="X261" s="4"/>
    </row>
    <row r="262" spans="1:24" x14ac:dyDescent="0.25">
      <c r="A262" s="680" t="s">
        <v>439</v>
      </c>
      <c r="B262" s="681" t="s">
        <v>430</v>
      </c>
      <c r="C262" s="47" t="s">
        <v>431</v>
      </c>
      <c r="D262" s="118" t="s">
        <v>50</v>
      </c>
      <c r="E262" s="118" t="s">
        <v>510</v>
      </c>
      <c r="F262" s="118" t="s">
        <v>521</v>
      </c>
      <c r="G262" s="118">
        <v>1</v>
      </c>
      <c r="H262" s="118">
        <v>1</v>
      </c>
      <c r="I262" s="118">
        <v>103000</v>
      </c>
      <c r="J262" s="675">
        <v>4</v>
      </c>
      <c r="K262" s="118">
        <v>1190</v>
      </c>
      <c r="L262" s="118" t="s">
        <v>490</v>
      </c>
      <c r="M262" s="64">
        <v>703</v>
      </c>
      <c r="N262" s="676">
        <v>1.7811429999999999</v>
      </c>
      <c r="O262" s="675" t="s">
        <v>140</v>
      </c>
      <c r="P262" s="15">
        <v>0</v>
      </c>
      <c r="Q262" s="46">
        <f t="shared" si="21"/>
        <v>0</v>
      </c>
      <c r="R262" s="46" t="e">
        <f t="shared" si="27"/>
        <v>#DIV/0!</v>
      </c>
      <c r="S262" s="46" t="e">
        <f t="shared" si="22"/>
        <v>#DIV/0!</v>
      </c>
      <c r="T262" s="677" t="e">
        <f t="shared" si="26"/>
        <v>#DIV/0!</v>
      </c>
      <c r="U262" s="80" t="e">
        <f t="shared" si="25"/>
        <v>#DIV/0!</v>
      </c>
      <c r="V262" s="85">
        <f t="shared" si="23"/>
        <v>710</v>
      </c>
      <c r="W262" s="679">
        <f t="shared" si="24"/>
        <v>705</v>
      </c>
      <c r="X262" s="4"/>
    </row>
    <row r="263" spans="1:24" x14ac:dyDescent="0.25">
      <c r="A263" s="680" t="s">
        <v>439</v>
      </c>
      <c r="B263" s="681" t="s">
        <v>430</v>
      </c>
      <c r="C263" s="47" t="s">
        <v>435</v>
      </c>
      <c r="D263" s="118" t="s">
        <v>50</v>
      </c>
      <c r="E263" s="118" t="s">
        <v>510</v>
      </c>
      <c r="F263" s="118" t="s">
        <v>522</v>
      </c>
      <c r="G263" s="118">
        <v>1</v>
      </c>
      <c r="H263" s="118">
        <v>1</v>
      </c>
      <c r="I263" s="118">
        <v>12750</v>
      </c>
      <c r="J263" s="675">
        <v>4</v>
      </c>
      <c r="K263" s="118">
        <v>1181</v>
      </c>
      <c r="L263" s="118" t="s">
        <v>490</v>
      </c>
      <c r="M263" s="64">
        <v>703</v>
      </c>
      <c r="N263" s="676">
        <v>1.841518</v>
      </c>
      <c r="O263" s="675" t="s">
        <v>140</v>
      </c>
      <c r="P263" s="15">
        <v>0</v>
      </c>
      <c r="Q263" s="46">
        <f t="shared" si="21"/>
        <v>0</v>
      </c>
      <c r="R263" s="46" t="e">
        <f t="shared" si="27"/>
        <v>#DIV/0!</v>
      </c>
      <c r="S263" s="46" t="e">
        <f t="shared" si="22"/>
        <v>#DIV/0!</v>
      </c>
      <c r="T263" s="677" t="e">
        <f t="shared" si="26"/>
        <v>#DIV/0!</v>
      </c>
      <c r="U263" s="80" t="e">
        <f t="shared" si="25"/>
        <v>#DIV/0!</v>
      </c>
      <c r="V263" s="85">
        <f t="shared" si="23"/>
        <v>710</v>
      </c>
      <c r="W263" s="679">
        <f t="shared" si="24"/>
        <v>705</v>
      </c>
      <c r="X263" s="4"/>
    </row>
    <row r="264" spans="1:24" x14ac:dyDescent="0.25">
      <c r="A264" s="680" t="s">
        <v>442</v>
      </c>
      <c r="B264" s="681" t="s">
        <v>443</v>
      </c>
      <c r="C264" s="47" t="s">
        <v>444</v>
      </c>
      <c r="D264" s="118" t="s">
        <v>50</v>
      </c>
      <c r="E264" s="118" t="s">
        <v>510</v>
      </c>
      <c r="F264" s="118" t="s">
        <v>523</v>
      </c>
      <c r="G264" s="118">
        <v>1</v>
      </c>
      <c r="H264" s="118">
        <v>1</v>
      </c>
      <c r="I264" s="118">
        <v>17500</v>
      </c>
      <c r="J264" s="675">
        <v>4</v>
      </c>
      <c r="K264" s="118">
        <v>1692</v>
      </c>
      <c r="L264" s="118" t="s">
        <v>490</v>
      </c>
      <c r="M264" s="64">
        <v>703</v>
      </c>
      <c r="N264" s="676">
        <v>1.9312754999999999</v>
      </c>
      <c r="O264" s="675" t="s">
        <v>140</v>
      </c>
      <c r="P264" s="15">
        <v>0</v>
      </c>
      <c r="Q264" s="46">
        <f t="shared" si="21"/>
        <v>0</v>
      </c>
      <c r="R264" s="46" t="e">
        <f t="shared" si="27"/>
        <v>#DIV/0!</v>
      </c>
      <c r="S264" s="46" t="e">
        <f t="shared" si="22"/>
        <v>#DIV/0!</v>
      </c>
      <c r="T264" s="677" t="e">
        <f t="shared" si="26"/>
        <v>#DIV/0!</v>
      </c>
      <c r="U264" s="80" t="e">
        <f t="shared" si="25"/>
        <v>#DIV/0!</v>
      </c>
      <c r="V264" s="85">
        <f t="shared" si="23"/>
        <v>710</v>
      </c>
      <c r="W264" s="679">
        <f t="shared" si="24"/>
        <v>705</v>
      </c>
      <c r="X264" s="4"/>
    </row>
    <row r="265" spans="1:24" x14ac:dyDescent="0.25">
      <c r="A265" s="680" t="s">
        <v>442</v>
      </c>
      <c r="B265" s="681" t="s">
        <v>443</v>
      </c>
      <c r="C265" s="47" t="s">
        <v>446</v>
      </c>
      <c r="D265" s="118" t="s">
        <v>50</v>
      </c>
      <c r="E265" s="118" t="s">
        <v>510</v>
      </c>
      <c r="F265" s="118" t="s">
        <v>523</v>
      </c>
      <c r="G265" s="118">
        <v>1</v>
      </c>
      <c r="H265" s="118">
        <v>1</v>
      </c>
      <c r="I265" s="118">
        <v>8500</v>
      </c>
      <c r="J265" s="675">
        <v>4</v>
      </c>
      <c r="K265" s="118">
        <v>1502</v>
      </c>
      <c r="L265" s="118" t="s">
        <v>490</v>
      </c>
      <c r="M265" s="64">
        <v>703</v>
      </c>
      <c r="N265" s="676">
        <v>1.8866784999999999</v>
      </c>
      <c r="O265" s="675" t="s">
        <v>140</v>
      </c>
      <c r="P265" s="15">
        <v>0</v>
      </c>
      <c r="Q265" s="46">
        <f t="shared" si="21"/>
        <v>0</v>
      </c>
      <c r="R265" s="46" t="e">
        <f t="shared" si="27"/>
        <v>#DIV/0!</v>
      </c>
      <c r="S265" s="46" t="e">
        <f t="shared" si="22"/>
        <v>#DIV/0!</v>
      </c>
      <c r="T265" s="677" t="e">
        <f t="shared" si="26"/>
        <v>#DIV/0!</v>
      </c>
      <c r="U265" s="80" t="e">
        <f t="shared" si="25"/>
        <v>#DIV/0!</v>
      </c>
      <c r="V265" s="85">
        <f t="shared" si="23"/>
        <v>710</v>
      </c>
      <c r="W265" s="679">
        <f t="shared" si="24"/>
        <v>705</v>
      </c>
      <c r="X265" s="4"/>
    </row>
    <row r="266" spans="1:24" x14ac:dyDescent="0.25">
      <c r="A266" s="680" t="s">
        <v>448</v>
      </c>
      <c r="B266" s="681" t="s">
        <v>443</v>
      </c>
      <c r="C266" s="47" t="s">
        <v>444</v>
      </c>
      <c r="D266" s="118" t="s">
        <v>50</v>
      </c>
      <c r="E266" s="118" t="s">
        <v>510</v>
      </c>
      <c r="F266" s="118" t="s">
        <v>523</v>
      </c>
      <c r="G266" s="118">
        <v>1</v>
      </c>
      <c r="H266" s="118">
        <v>1</v>
      </c>
      <c r="I266" s="118">
        <v>17500</v>
      </c>
      <c r="J266" s="675">
        <v>4</v>
      </c>
      <c r="K266" s="118">
        <v>1692</v>
      </c>
      <c r="L266" s="118" t="s">
        <v>490</v>
      </c>
      <c r="M266" s="64">
        <v>703</v>
      </c>
      <c r="N266" s="676">
        <v>1.8451405000000001</v>
      </c>
      <c r="O266" s="675" t="s">
        <v>140</v>
      </c>
      <c r="P266" s="15">
        <v>0</v>
      </c>
      <c r="Q266" s="46">
        <f t="shared" ref="Q266:Q329" si="28">IF(P266="","",IF(P266="dar valor","",0.03937*P266))</f>
        <v>0</v>
      </c>
      <c r="R266" s="46" t="e">
        <f t="shared" si="27"/>
        <v>#DIV/0!</v>
      </c>
      <c r="S266" s="46" t="e">
        <f t="shared" ref="S266:S329" si="29">IF(R266="","",+N266/R266)</f>
        <v>#DIV/0!</v>
      </c>
      <c r="T266" s="677" t="e">
        <f t="shared" si="26"/>
        <v>#DIV/0!</v>
      </c>
      <c r="U266" s="80" t="e">
        <f t="shared" si="25"/>
        <v>#DIV/0!</v>
      </c>
      <c r="V266" s="85">
        <f t="shared" ref="V266:V329" si="30">_xlfn.CEILING.MATH(M266,10)</f>
        <v>710</v>
      </c>
      <c r="W266" s="679">
        <f t="shared" ref="W266:W329" si="31">_xlfn.CEILING.MATH(M266,5)</f>
        <v>705</v>
      </c>
      <c r="X266" s="4"/>
    </row>
    <row r="267" spans="1:24" x14ac:dyDescent="0.25">
      <c r="A267" s="680" t="s">
        <v>448</v>
      </c>
      <c r="B267" s="681" t="s">
        <v>443</v>
      </c>
      <c r="C267" s="47" t="s">
        <v>446</v>
      </c>
      <c r="D267" s="118" t="s">
        <v>50</v>
      </c>
      <c r="E267" s="118" t="s">
        <v>510</v>
      </c>
      <c r="F267" s="118" t="s">
        <v>523</v>
      </c>
      <c r="G267" s="118">
        <v>1</v>
      </c>
      <c r="H267" s="118">
        <v>1</v>
      </c>
      <c r="I267" s="118">
        <v>8500</v>
      </c>
      <c r="J267" s="675">
        <v>4</v>
      </c>
      <c r="K267" s="118">
        <v>1692</v>
      </c>
      <c r="L267" s="118" t="s">
        <v>490</v>
      </c>
      <c r="M267" s="64">
        <v>703</v>
      </c>
      <c r="N267" s="676">
        <v>1.8068225</v>
      </c>
      <c r="O267" s="675" t="s">
        <v>140</v>
      </c>
      <c r="P267" s="15">
        <v>0</v>
      </c>
      <c r="Q267" s="46">
        <f t="shared" si="28"/>
        <v>0</v>
      </c>
      <c r="R267" s="46" t="e">
        <f t="shared" si="27"/>
        <v>#DIV/0!</v>
      </c>
      <c r="S267" s="46" t="e">
        <f t="shared" si="29"/>
        <v>#DIV/0!</v>
      </c>
      <c r="T267" s="677" t="e">
        <f t="shared" si="26"/>
        <v>#DIV/0!</v>
      </c>
      <c r="U267" s="80" t="e">
        <f t="shared" si="25"/>
        <v>#DIV/0!</v>
      </c>
      <c r="V267" s="85">
        <f t="shared" si="30"/>
        <v>710</v>
      </c>
      <c r="W267" s="679">
        <f t="shared" si="31"/>
        <v>705</v>
      </c>
      <c r="X267" s="4"/>
    </row>
    <row r="268" spans="1:24" x14ac:dyDescent="0.25">
      <c r="A268" s="680" t="s">
        <v>448</v>
      </c>
      <c r="B268" s="681" t="s">
        <v>451</v>
      </c>
      <c r="C268" s="47" t="s">
        <v>446</v>
      </c>
      <c r="D268" s="118" t="s">
        <v>50</v>
      </c>
      <c r="E268" s="118" t="s">
        <v>510</v>
      </c>
      <c r="F268" s="118" t="s">
        <v>523</v>
      </c>
      <c r="G268" s="118">
        <v>2</v>
      </c>
      <c r="H268" s="118">
        <v>1</v>
      </c>
      <c r="I268" s="118">
        <v>8500</v>
      </c>
      <c r="J268" s="675">
        <v>4</v>
      </c>
      <c r="K268" s="118">
        <v>1502</v>
      </c>
      <c r="L268" s="118" t="s">
        <v>490</v>
      </c>
      <c r="M268" s="64">
        <v>703</v>
      </c>
      <c r="N268" s="676">
        <v>1.645581</v>
      </c>
      <c r="O268" s="675" t="s">
        <v>140</v>
      </c>
      <c r="P268" s="15">
        <v>0</v>
      </c>
      <c r="Q268" s="46">
        <f t="shared" si="28"/>
        <v>0</v>
      </c>
      <c r="R268" s="46" t="e">
        <f t="shared" si="27"/>
        <v>#DIV/0!</v>
      </c>
      <c r="S268" s="46" t="e">
        <f t="shared" si="29"/>
        <v>#DIV/0!</v>
      </c>
      <c r="T268" s="677" t="e">
        <f t="shared" si="26"/>
        <v>#DIV/0!</v>
      </c>
      <c r="U268" s="80" t="e">
        <f t="shared" ref="U268:U331" si="32">(IF(O268="FX 2003",(S268*$V$2),0))</f>
        <v>#DIV/0!</v>
      </c>
      <c r="V268" s="85">
        <f t="shared" si="30"/>
        <v>710</v>
      </c>
      <c r="W268" s="679">
        <f t="shared" si="31"/>
        <v>705</v>
      </c>
      <c r="X268" s="4"/>
    </row>
    <row r="269" spans="1:24" x14ac:dyDescent="0.25">
      <c r="A269" s="680" t="s">
        <v>452</v>
      </c>
      <c r="B269" s="681" t="s">
        <v>453</v>
      </c>
      <c r="C269" s="47" t="s">
        <v>454</v>
      </c>
      <c r="D269" s="118" t="s">
        <v>50</v>
      </c>
      <c r="E269" s="118" t="s">
        <v>510</v>
      </c>
      <c r="F269" s="118" t="s">
        <v>513</v>
      </c>
      <c r="G269" s="118">
        <v>2</v>
      </c>
      <c r="H269" s="118">
        <v>1</v>
      </c>
      <c r="I269" s="118">
        <v>11097</v>
      </c>
      <c r="J269" s="675">
        <v>4</v>
      </c>
      <c r="K269" s="118">
        <v>585</v>
      </c>
      <c r="L269" s="118" t="s">
        <v>490</v>
      </c>
      <c r="M269" s="64">
        <v>703</v>
      </c>
      <c r="N269" s="676">
        <v>1.5234624999999999</v>
      </c>
      <c r="O269" s="675" t="s">
        <v>140</v>
      </c>
      <c r="P269" s="15">
        <v>0</v>
      </c>
      <c r="Q269" s="46">
        <f t="shared" si="28"/>
        <v>0</v>
      </c>
      <c r="R269" s="46" t="e">
        <f t="shared" si="27"/>
        <v>#DIV/0!</v>
      </c>
      <c r="S269" s="46" t="e">
        <f t="shared" si="29"/>
        <v>#DIV/0!</v>
      </c>
      <c r="T269" s="677" t="e">
        <f t="shared" ref="T269:T332" si="33">(IF(O269="Stofire",(S269/(7*1)),0))+(IF(O269="Fire Control",(S269/(7*1)),0))+(IF(O269="Fire Tex",(S269/(7*1)),0))+(IF(O269="WB7",(S269/(7*1)),0))+(IF(O269="FX 2003",(S269/(7*1)),0))</f>
        <v>#DIV/0!</v>
      </c>
      <c r="U269" s="80" t="e">
        <f t="shared" si="32"/>
        <v>#DIV/0!</v>
      </c>
      <c r="V269" s="85">
        <f t="shared" si="30"/>
        <v>710</v>
      </c>
      <c r="W269" s="679">
        <f t="shared" si="31"/>
        <v>705</v>
      </c>
      <c r="X269" s="4"/>
    </row>
    <row r="270" spans="1:24" x14ac:dyDescent="0.25">
      <c r="A270" s="680" t="s">
        <v>452</v>
      </c>
      <c r="B270" s="681" t="s">
        <v>453</v>
      </c>
      <c r="C270" s="47" t="s">
        <v>408</v>
      </c>
      <c r="D270" s="118" t="s">
        <v>51</v>
      </c>
      <c r="E270" s="118" t="s">
        <v>510</v>
      </c>
      <c r="F270" s="118" t="s">
        <v>514</v>
      </c>
      <c r="G270" s="118">
        <v>29</v>
      </c>
      <c r="H270" s="118">
        <v>1</v>
      </c>
      <c r="I270" s="118">
        <v>1500</v>
      </c>
      <c r="J270" s="675">
        <v>4</v>
      </c>
      <c r="K270" s="118">
        <v>776</v>
      </c>
      <c r="L270" s="118" t="s">
        <v>490</v>
      </c>
      <c r="M270" s="64">
        <v>703</v>
      </c>
      <c r="N270" s="676">
        <v>0.66839150000000003</v>
      </c>
      <c r="O270" s="675" t="s">
        <v>140</v>
      </c>
      <c r="P270" s="15">
        <v>0</v>
      </c>
      <c r="Q270" s="46">
        <f t="shared" si="28"/>
        <v>0</v>
      </c>
      <c r="R270" s="46" t="e">
        <f t="shared" ref="R270:R333" si="34">IF(O270="","",((IF(O270="Stofire",((65*1.5/Q270)*0.75*5),0))+(IF(O270="Fire Control",((65*1.5/Q270)*0.75*4),0))+(IF(O270="Fire Tex",((71*1.5/Q270)*0.75*5),0))+(IF(O270="WB7",((67*1.5/Q270)*0.75*5),0))+(IF(O270="FX 2003",((71*1.5/Q270)*0.75*5),0))))</f>
        <v>#DIV/0!</v>
      </c>
      <c r="S270" s="46" t="e">
        <f t="shared" si="29"/>
        <v>#DIV/0!</v>
      </c>
      <c r="T270" s="677" t="e">
        <f t="shared" si="33"/>
        <v>#DIV/0!</v>
      </c>
      <c r="U270" s="80" t="e">
        <f t="shared" si="32"/>
        <v>#DIV/0!</v>
      </c>
      <c r="V270" s="85">
        <f t="shared" si="30"/>
        <v>710</v>
      </c>
      <c r="W270" s="679">
        <f t="shared" si="31"/>
        <v>705</v>
      </c>
      <c r="X270" s="4"/>
    </row>
    <row r="271" spans="1:24" x14ac:dyDescent="0.25">
      <c r="A271" s="680" t="s">
        <v>452</v>
      </c>
      <c r="B271" s="681" t="s">
        <v>453</v>
      </c>
      <c r="C271" s="47" t="s">
        <v>408</v>
      </c>
      <c r="D271" s="118" t="s">
        <v>51</v>
      </c>
      <c r="E271" s="118" t="s">
        <v>510</v>
      </c>
      <c r="F271" s="118" t="s">
        <v>512</v>
      </c>
      <c r="G271" s="118">
        <v>1</v>
      </c>
      <c r="H271" s="118">
        <v>1</v>
      </c>
      <c r="I271" s="118">
        <v>1500</v>
      </c>
      <c r="J271" s="675">
        <v>4</v>
      </c>
      <c r="K271" s="118">
        <v>3879</v>
      </c>
      <c r="L271" s="118" t="s">
        <v>490</v>
      </c>
      <c r="M271" s="64">
        <v>703</v>
      </c>
      <c r="N271" s="676">
        <v>0.82335400000000003</v>
      </c>
      <c r="O271" s="675" t="s">
        <v>140</v>
      </c>
      <c r="P271" s="15">
        <v>0</v>
      </c>
      <c r="Q271" s="46">
        <f t="shared" si="28"/>
        <v>0</v>
      </c>
      <c r="R271" s="46" t="e">
        <f t="shared" si="34"/>
        <v>#DIV/0!</v>
      </c>
      <c r="S271" s="46" t="e">
        <f t="shared" si="29"/>
        <v>#DIV/0!</v>
      </c>
      <c r="T271" s="677" t="e">
        <f t="shared" si="33"/>
        <v>#DIV/0!</v>
      </c>
      <c r="U271" s="80" t="e">
        <f t="shared" si="32"/>
        <v>#DIV/0!</v>
      </c>
      <c r="V271" s="85">
        <f t="shared" si="30"/>
        <v>710</v>
      </c>
      <c r="W271" s="679">
        <f t="shared" si="31"/>
        <v>705</v>
      </c>
      <c r="X271" s="4"/>
    </row>
    <row r="272" spans="1:24" x14ac:dyDescent="0.25">
      <c r="A272" s="680" t="s">
        <v>456</v>
      </c>
      <c r="B272" s="681" t="s">
        <v>453</v>
      </c>
      <c r="C272" s="47" t="s">
        <v>457</v>
      </c>
      <c r="D272" s="118" t="s">
        <v>51</v>
      </c>
      <c r="E272" s="118" t="s">
        <v>510</v>
      </c>
      <c r="F272" s="118" t="s">
        <v>513</v>
      </c>
      <c r="G272" s="118">
        <v>2</v>
      </c>
      <c r="H272" s="118">
        <v>1</v>
      </c>
      <c r="I272" s="118">
        <v>11081</v>
      </c>
      <c r="J272" s="675">
        <v>4</v>
      </c>
      <c r="K272" s="118">
        <v>585</v>
      </c>
      <c r="L272" s="118" t="s">
        <v>490</v>
      </c>
      <c r="M272" s="64">
        <v>703</v>
      </c>
      <c r="N272" s="676">
        <v>0.98515900000000001</v>
      </c>
      <c r="O272" s="675" t="s">
        <v>140</v>
      </c>
      <c r="P272" s="15">
        <v>0</v>
      </c>
      <c r="Q272" s="46">
        <f t="shared" si="28"/>
        <v>0</v>
      </c>
      <c r="R272" s="46" t="e">
        <f t="shared" si="34"/>
        <v>#DIV/0!</v>
      </c>
      <c r="S272" s="46" t="e">
        <f t="shared" si="29"/>
        <v>#DIV/0!</v>
      </c>
      <c r="T272" s="677" t="e">
        <f t="shared" si="33"/>
        <v>#DIV/0!</v>
      </c>
      <c r="U272" s="80" t="e">
        <f t="shared" si="32"/>
        <v>#DIV/0!</v>
      </c>
      <c r="V272" s="85">
        <f t="shared" si="30"/>
        <v>710</v>
      </c>
      <c r="W272" s="679">
        <f t="shared" si="31"/>
        <v>705</v>
      </c>
      <c r="X272" s="4"/>
    </row>
    <row r="273" spans="1:24" x14ac:dyDescent="0.25">
      <c r="A273" s="680" t="s">
        <v>456</v>
      </c>
      <c r="B273" s="681" t="s">
        <v>453</v>
      </c>
      <c r="C273" s="47" t="s">
        <v>408</v>
      </c>
      <c r="D273" s="118" t="s">
        <v>51</v>
      </c>
      <c r="E273" s="118" t="s">
        <v>510</v>
      </c>
      <c r="F273" s="118" t="s">
        <v>514</v>
      </c>
      <c r="G273" s="118">
        <v>29</v>
      </c>
      <c r="H273" s="118">
        <v>1</v>
      </c>
      <c r="I273" s="118">
        <v>1500</v>
      </c>
      <c r="J273" s="675">
        <v>4</v>
      </c>
      <c r="K273" s="118">
        <v>776</v>
      </c>
      <c r="L273" s="118" t="s">
        <v>490</v>
      </c>
      <c r="M273" s="64">
        <v>703</v>
      </c>
      <c r="N273" s="676">
        <v>0.97928249999999994</v>
      </c>
      <c r="O273" s="675" t="s">
        <v>140</v>
      </c>
      <c r="P273" s="15">
        <v>0</v>
      </c>
      <c r="Q273" s="46">
        <f t="shared" si="28"/>
        <v>0</v>
      </c>
      <c r="R273" s="46" t="e">
        <f t="shared" si="34"/>
        <v>#DIV/0!</v>
      </c>
      <c r="S273" s="46" t="e">
        <f t="shared" si="29"/>
        <v>#DIV/0!</v>
      </c>
      <c r="T273" s="677" t="e">
        <f t="shared" si="33"/>
        <v>#DIV/0!</v>
      </c>
      <c r="U273" s="80" t="e">
        <f t="shared" si="32"/>
        <v>#DIV/0!</v>
      </c>
      <c r="V273" s="85">
        <f t="shared" si="30"/>
        <v>710</v>
      </c>
      <c r="W273" s="679">
        <f t="shared" si="31"/>
        <v>705</v>
      </c>
      <c r="X273" s="4"/>
    </row>
    <row r="274" spans="1:24" x14ac:dyDescent="0.25">
      <c r="A274" s="680" t="s">
        <v>456</v>
      </c>
      <c r="B274" s="681" t="s">
        <v>453</v>
      </c>
      <c r="C274" s="47" t="s">
        <v>408</v>
      </c>
      <c r="D274" s="118" t="s">
        <v>51</v>
      </c>
      <c r="E274" s="118" t="s">
        <v>510</v>
      </c>
      <c r="F274" s="118" t="s">
        <v>514</v>
      </c>
      <c r="G274" s="118">
        <v>1</v>
      </c>
      <c r="H274" s="118">
        <v>1</v>
      </c>
      <c r="I274" s="118">
        <v>1500</v>
      </c>
      <c r="J274" s="675">
        <v>4</v>
      </c>
      <c r="K274" s="118">
        <v>3879</v>
      </c>
      <c r="L274" s="118" t="s">
        <v>490</v>
      </c>
      <c r="M274" s="64">
        <v>703</v>
      </c>
      <c r="N274" s="676">
        <v>0.804678</v>
      </c>
      <c r="O274" s="675" t="s">
        <v>140</v>
      </c>
      <c r="P274" s="15">
        <v>0</v>
      </c>
      <c r="Q274" s="46">
        <f t="shared" si="28"/>
        <v>0</v>
      </c>
      <c r="R274" s="46" t="e">
        <f t="shared" si="34"/>
        <v>#DIV/0!</v>
      </c>
      <c r="S274" s="46" t="e">
        <f t="shared" si="29"/>
        <v>#DIV/0!</v>
      </c>
      <c r="T274" s="677" t="e">
        <f t="shared" si="33"/>
        <v>#DIV/0!</v>
      </c>
      <c r="U274" s="80" t="e">
        <f t="shared" si="32"/>
        <v>#DIV/0!</v>
      </c>
      <c r="V274" s="85">
        <f t="shared" si="30"/>
        <v>710</v>
      </c>
      <c r="W274" s="679">
        <f t="shared" si="31"/>
        <v>705</v>
      </c>
      <c r="X274" s="4"/>
    </row>
    <row r="275" spans="1:24" x14ac:dyDescent="0.25">
      <c r="A275" s="680" t="s">
        <v>458</v>
      </c>
      <c r="B275" s="681" t="s">
        <v>459</v>
      </c>
      <c r="C275" s="47" t="s">
        <v>460</v>
      </c>
      <c r="D275" s="118" t="s">
        <v>51</v>
      </c>
      <c r="E275" s="118" t="s">
        <v>510</v>
      </c>
      <c r="F275" s="118" t="s">
        <v>513</v>
      </c>
      <c r="G275" s="118">
        <v>2</v>
      </c>
      <c r="H275" s="118">
        <v>1</v>
      </c>
      <c r="I275" s="118">
        <v>12634</v>
      </c>
      <c r="J275" s="675">
        <v>4</v>
      </c>
      <c r="K275" s="118">
        <v>585</v>
      </c>
      <c r="L275" s="118" t="s">
        <v>490</v>
      </c>
      <c r="M275" s="64">
        <v>703</v>
      </c>
      <c r="N275" s="676">
        <v>0.63756000000000002</v>
      </c>
      <c r="O275" s="675" t="s">
        <v>140</v>
      </c>
      <c r="P275" s="15">
        <v>0</v>
      </c>
      <c r="Q275" s="46">
        <f t="shared" si="28"/>
        <v>0</v>
      </c>
      <c r="R275" s="46" t="e">
        <f t="shared" si="34"/>
        <v>#DIV/0!</v>
      </c>
      <c r="S275" s="46" t="e">
        <f t="shared" si="29"/>
        <v>#DIV/0!</v>
      </c>
      <c r="T275" s="677" t="e">
        <f t="shared" si="33"/>
        <v>#DIV/0!</v>
      </c>
      <c r="U275" s="80" t="e">
        <f t="shared" si="32"/>
        <v>#DIV/0!</v>
      </c>
      <c r="V275" s="85">
        <f t="shared" si="30"/>
        <v>710</v>
      </c>
      <c r="W275" s="679">
        <f t="shared" si="31"/>
        <v>705</v>
      </c>
      <c r="X275" s="4"/>
    </row>
    <row r="276" spans="1:24" x14ac:dyDescent="0.25">
      <c r="A276" s="680" t="s">
        <v>458</v>
      </c>
      <c r="B276" s="681" t="s">
        <v>459</v>
      </c>
      <c r="C276" s="47" t="s">
        <v>408</v>
      </c>
      <c r="D276" s="118" t="s">
        <v>45</v>
      </c>
      <c r="E276" s="118" t="s">
        <v>17</v>
      </c>
      <c r="F276" s="118" t="s">
        <v>514</v>
      </c>
      <c r="G276" s="118">
        <v>28</v>
      </c>
      <c r="H276" s="118">
        <v>1</v>
      </c>
      <c r="I276" s="118">
        <v>1500</v>
      </c>
      <c r="J276" s="675">
        <v>4</v>
      </c>
      <c r="K276" s="118">
        <v>776</v>
      </c>
      <c r="L276" s="118" t="s">
        <v>490</v>
      </c>
      <c r="M276" s="64">
        <v>342</v>
      </c>
      <c r="N276" s="676">
        <v>4.2164849999999996</v>
      </c>
      <c r="O276" s="675" t="s">
        <v>140</v>
      </c>
      <c r="P276" s="15">
        <v>1531</v>
      </c>
      <c r="Q276" s="46">
        <f t="shared" si="28"/>
        <v>60.275470000000006</v>
      </c>
      <c r="R276" s="46">
        <f t="shared" si="34"/>
        <v>6.6258297114895992</v>
      </c>
      <c r="S276" s="46">
        <f t="shared" si="29"/>
        <v>0.63637086728751169</v>
      </c>
      <c r="T276" s="677">
        <f t="shared" si="33"/>
        <v>9.0910123898215955E-2</v>
      </c>
      <c r="U276" s="80">
        <f t="shared" si="32"/>
        <v>70000.795401626281</v>
      </c>
      <c r="V276" s="85">
        <f t="shared" si="30"/>
        <v>350</v>
      </c>
      <c r="W276" s="679">
        <f t="shared" si="31"/>
        <v>345</v>
      </c>
      <c r="X276" s="4"/>
    </row>
    <row r="277" spans="1:24" x14ac:dyDescent="0.25">
      <c r="A277" s="680" t="s">
        <v>461</v>
      </c>
      <c r="B277" s="681" t="s">
        <v>459</v>
      </c>
      <c r="C277" s="47" t="s">
        <v>462</v>
      </c>
      <c r="D277" s="118" t="s">
        <v>45</v>
      </c>
      <c r="E277" s="118" t="s">
        <v>17</v>
      </c>
      <c r="F277" s="118" t="s">
        <v>513</v>
      </c>
      <c r="G277" s="118">
        <v>2</v>
      </c>
      <c r="H277" s="118">
        <v>1</v>
      </c>
      <c r="I277" s="118">
        <v>11097</v>
      </c>
      <c r="J277" s="675">
        <v>4</v>
      </c>
      <c r="K277" s="118">
        <v>585</v>
      </c>
      <c r="L277" s="118" t="s">
        <v>490</v>
      </c>
      <c r="M277" s="64">
        <v>342</v>
      </c>
      <c r="N277" s="676">
        <v>4.4969925000000002</v>
      </c>
      <c r="O277" s="675" t="s">
        <v>140</v>
      </c>
      <c r="P277" s="15">
        <v>1531</v>
      </c>
      <c r="Q277" s="46">
        <f t="shared" si="28"/>
        <v>60.275470000000006</v>
      </c>
      <c r="R277" s="46">
        <f t="shared" si="34"/>
        <v>6.6258297114895992</v>
      </c>
      <c r="S277" s="46">
        <f t="shared" si="29"/>
        <v>0.67870631993483577</v>
      </c>
      <c r="T277" s="677">
        <f t="shared" si="33"/>
        <v>9.6958045704976542E-2</v>
      </c>
      <c r="U277" s="80">
        <f t="shared" si="32"/>
        <v>74657.695192831932</v>
      </c>
      <c r="V277" s="85">
        <f t="shared" si="30"/>
        <v>350</v>
      </c>
      <c r="W277" s="679">
        <f t="shared" si="31"/>
        <v>345</v>
      </c>
      <c r="X277" s="4"/>
    </row>
    <row r="278" spans="1:24" x14ac:dyDescent="0.25">
      <c r="A278" s="680" t="s">
        <v>461</v>
      </c>
      <c r="B278" s="681" t="s">
        <v>459</v>
      </c>
      <c r="C278" s="47" t="s">
        <v>408</v>
      </c>
      <c r="D278" s="118" t="s">
        <v>45</v>
      </c>
      <c r="E278" s="118" t="s">
        <v>17</v>
      </c>
      <c r="F278" s="118" t="s">
        <v>514</v>
      </c>
      <c r="G278" s="118">
        <v>29</v>
      </c>
      <c r="H278" s="118">
        <v>1</v>
      </c>
      <c r="I278" s="118">
        <v>1500</v>
      </c>
      <c r="J278" s="675">
        <v>4</v>
      </c>
      <c r="K278" s="118">
        <v>776</v>
      </c>
      <c r="L278" s="118" t="s">
        <v>490</v>
      </c>
      <c r="M278" s="64">
        <v>342</v>
      </c>
      <c r="N278" s="676">
        <v>4.7774999999999999</v>
      </c>
      <c r="O278" s="675" t="s">
        <v>140</v>
      </c>
      <c r="P278" s="15">
        <v>1531</v>
      </c>
      <c r="Q278" s="46">
        <f t="shared" si="28"/>
        <v>60.275470000000006</v>
      </c>
      <c r="R278" s="46">
        <f t="shared" si="34"/>
        <v>6.6258297114895992</v>
      </c>
      <c r="S278" s="46">
        <f t="shared" si="29"/>
        <v>0.72104177258215962</v>
      </c>
      <c r="T278" s="677">
        <f t="shared" si="33"/>
        <v>0.10300596751173709</v>
      </c>
      <c r="U278" s="80">
        <f t="shared" si="32"/>
        <v>79314.594984037554</v>
      </c>
      <c r="V278" s="85">
        <f t="shared" si="30"/>
        <v>350</v>
      </c>
      <c r="W278" s="679">
        <f t="shared" si="31"/>
        <v>345</v>
      </c>
      <c r="X278" s="4"/>
    </row>
    <row r="279" spans="1:24" x14ac:dyDescent="0.25">
      <c r="A279" s="680" t="s">
        <v>461</v>
      </c>
      <c r="B279" s="681" t="s">
        <v>459</v>
      </c>
      <c r="C279" s="47" t="s">
        <v>408</v>
      </c>
      <c r="D279" s="118" t="s">
        <v>45</v>
      </c>
      <c r="E279" s="118" t="s">
        <v>17</v>
      </c>
      <c r="F279" s="118" t="s">
        <v>514</v>
      </c>
      <c r="G279" s="118">
        <v>1</v>
      </c>
      <c r="H279" s="118">
        <v>1</v>
      </c>
      <c r="I279" s="118">
        <v>1500</v>
      </c>
      <c r="J279" s="675">
        <v>4</v>
      </c>
      <c r="K279" s="118">
        <v>3879</v>
      </c>
      <c r="L279" s="118" t="s">
        <v>490</v>
      </c>
      <c r="M279" s="64">
        <v>342</v>
      </c>
      <c r="N279" s="676">
        <v>5.0373960000000002</v>
      </c>
      <c r="O279" s="675" t="s">
        <v>140</v>
      </c>
      <c r="P279" s="15">
        <v>1531</v>
      </c>
      <c r="Q279" s="46">
        <f t="shared" si="28"/>
        <v>60.275470000000006</v>
      </c>
      <c r="R279" s="46">
        <f t="shared" si="34"/>
        <v>6.6258297114895992</v>
      </c>
      <c r="S279" s="46">
        <f t="shared" si="29"/>
        <v>0.76026644501062912</v>
      </c>
      <c r="T279" s="677">
        <f t="shared" si="33"/>
        <v>0.10860949214437558</v>
      </c>
      <c r="U279" s="80">
        <f t="shared" si="32"/>
        <v>83629.308951169209</v>
      </c>
      <c r="V279" s="85">
        <f t="shared" si="30"/>
        <v>350</v>
      </c>
      <c r="W279" s="679">
        <f t="shared" si="31"/>
        <v>345</v>
      </c>
      <c r="X279" s="4"/>
    </row>
    <row r="280" spans="1:24" x14ac:dyDescent="0.25">
      <c r="A280" s="680" t="s">
        <v>406</v>
      </c>
      <c r="B280" s="681" t="s">
        <v>407</v>
      </c>
      <c r="C280" s="47" t="s">
        <v>408</v>
      </c>
      <c r="D280" s="118" t="s">
        <v>45</v>
      </c>
      <c r="E280" s="118" t="s">
        <v>17</v>
      </c>
      <c r="F280" s="118" t="s">
        <v>515</v>
      </c>
      <c r="G280" s="118">
        <v>12</v>
      </c>
      <c r="H280" s="118">
        <v>2</v>
      </c>
      <c r="I280" s="118">
        <v>26385</v>
      </c>
      <c r="J280" s="675">
        <v>4</v>
      </c>
      <c r="K280" s="118">
        <v>2784</v>
      </c>
      <c r="L280" s="118" t="s">
        <v>490</v>
      </c>
      <c r="M280" s="64">
        <v>342</v>
      </c>
      <c r="N280" s="676">
        <v>5.3032979999999998</v>
      </c>
      <c r="O280" s="675" t="s">
        <v>140</v>
      </c>
      <c r="P280" s="15">
        <v>1531</v>
      </c>
      <c r="Q280" s="46">
        <f t="shared" si="28"/>
        <v>60.275470000000006</v>
      </c>
      <c r="R280" s="46">
        <f t="shared" si="34"/>
        <v>6.6258297114895992</v>
      </c>
      <c r="S280" s="46">
        <f t="shared" si="29"/>
        <v>0.80039756995320188</v>
      </c>
      <c r="T280" s="677">
        <f t="shared" si="33"/>
        <v>0.11434250999331455</v>
      </c>
      <c r="U280" s="80">
        <f t="shared" si="32"/>
        <v>88043.73269485221</v>
      </c>
      <c r="V280" s="678">
        <f t="shared" si="30"/>
        <v>350</v>
      </c>
      <c r="W280" s="679">
        <f t="shared" si="31"/>
        <v>345</v>
      </c>
      <c r="X280" s="4"/>
    </row>
    <row r="281" spans="1:24" x14ac:dyDescent="0.25">
      <c r="A281" s="680" t="s">
        <v>406</v>
      </c>
      <c r="B281" s="681" t="s">
        <v>407</v>
      </c>
      <c r="C281" s="47" t="s">
        <v>408</v>
      </c>
      <c r="D281" s="118" t="s">
        <v>10</v>
      </c>
      <c r="E281" s="118" t="s">
        <v>17</v>
      </c>
      <c r="F281" s="118" t="s">
        <v>516</v>
      </c>
      <c r="G281" s="118">
        <v>12</v>
      </c>
      <c r="H281" s="118">
        <v>1</v>
      </c>
      <c r="I281" s="118">
        <v>91778</v>
      </c>
      <c r="J281" s="675">
        <v>4</v>
      </c>
      <c r="K281" s="118">
        <v>1781</v>
      </c>
      <c r="L281" s="118" t="s">
        <v>490</v>
      </c>
      <c r="M281" s="64">
        <v>255</v>
      </c>
      <c r="N281" s="676">
        <v>59.141864249999998</v>
      </c>
      <c r="O281" s="675" t="s">
        <v>140</v>
      </c>
      <c r="P281" s="15">
        <v>873</v>
      </c>
      <c r="Q281" s="46">
        <f t="shared" si="28"/>
        <v>34.370010000000001</v>
      </c>
      <c r="R281" s="46">
        <f t="shared" si="34"/>
        <v>11.619868600561944</v>
      </c>
      <c r="S281" s="46">
        <f t="shared" si="29"/>
        <v>5.0897188499308728</v>
      </c>
      <c r="T281" s="677">
        <f t="shared" si="33"/>
        <v>0.72710269284726758</v>
      </c>
      <c r="U281" s="80">
        <f t="shared" si="32"/>
        <v>559869.07349239604</v>
      </c>
      <c r="V281" s="85">
        <f t="shared" si="30"/>
        <v>260</v>
      </c>
      <c r="W281" s="679">
        <f t="shared" si="31"/>
        <v>255</v>
      </c>
      <c r="X281" s="4"/>
    </row>
    <row r="282" spans="1:24" x14ac:dyDescent="0.25">
      <c r="A282" s="680" t="s">
        <v>409</v>
      </c>
      <c r="B282" s="681" t="s">
        <v>410</v>
      </c>
      <c r="C282" s="47" t="s">
        <v>408</v>
      </c>
      <c r="D282" s="118" t="s">
        <v>47</v>
      </c>
      <c r="E282" s="118" t="s">
        <v>524</v>
      </c>
      <c r="F282" s="118" t="s">
        <v>517</v>
      </c>
      <c r="G282" s="118">
        <v>12</v>
      </c>
      <c r="H282" s="118">
        <v>2</v>
      </c>
      <c r="I282" s="118">
        <v>12900</v>
      </c>
      <c r="J282" s="675">
        <v>4</v>
      </c>
      <c r="K282" s="118">
        <v>968</v>
      </c>
      <c r="L282" s="118" t="s">
        <v>490</v>
      </c>
      <c r="M282" s="64">
        <v>518</v>
      </c>
      <c r="N282" s="676">
        <v>6.8481611999999989</v>
      </c>
      <c r="O282" s="675" t="s">
        <v>140</v>
      </c>
      <c r="P282" s="15">
        <v>0</v>
      </c>
      <c r="Q282" s="46">
        <f t="shared" si="28"/>
        <v>0</v>
      </c>
      <c r="R282" s="46" t="e">
        <f t="shared" si="34"/>
        <v>#DIV/0!</v>
      </c>
      <c r="S282" s="46" t="e">
        <f t="shared" si="29"/>
        <v>#DIV/0!</v>
      </c>
      <c r="T282" s="677" t="e">
        <f t="shared" si="33"/>
        <v>#DIV/0!</v>
      </c>
      <c r="U282" s="80" t="e">
        <f t="shared" si="32"/>
        <v>#DIV/0!</v>
      </c>
      <c r="V282" s="85">
        <f t="shared" si="30"/>
        <v>520</v>
      </c>
      <c r="W282" s="679">
        <f t="shared" si="31"/>
        <v>520</v>
      </c>
      <c r="X282" s="4"/>
    </row>
    <row r="283" spans="1:24" x14ac:dyDescent="0.25">
      <c r="A283" s="680" t="s">
        <v>414</v>
      </c>
      <c r="B283" s="681" t="s">
        <v>415</v>
      </c>
      <c r="C283" s="47" t="s">
        <v>408</v>
      </c>
      <c r="D283" s="118" t="s">
        <v>47</v>
      </c>
      <c r="E283" s="118" t="s">
        <v>524</v>
      </c>
      <c r="F283" s="118" t="s">
        <v>518</v>
      </c>
      <c r="G283" s="118">
        <v>3</v>
      </c>
      <c r="H283" s="118">
        <v>1</v>
      </c>
      <c r="I283" s="118">
        <v>17971</v>
      </c>
      <c r="J283" s="675">
        <v>4</v>
      </c>
      <c r="K283" s="118">
        <v>2184</v>
      </c>
      <c r="L283" s="118" t="s">
        <v>490</v>
      </c>
      <c r="M283" s="64">
        <v>518</v>
      </c>
      <c r="N283" s="676">
        <v>5.7553979999999996</v>
      </c>
      <c r="O283" s="675" t="s">
        <v>140</v>
      </c>
      <c r="P283" s="15">
        <v>0</v>
      </c>
      <c r="Q283" s="46">
        <f t="shared" si="28"/>
        <v>0</v>
      </c>
      <c r="R283" s="46" t="e">
        <f t="shared" si="34"/>
        <v>#DIV/0!</v>
      </c>
      <c r="S283" s="46" t="e">
        <f t="shared" si="29"/>
        <v>#DIV/0!</v>
      </c>
      <c r="T283" s="677" t="e">
        <f t="shared" si="33"/>
        <v>#DIV/0!</v>
      </c>
      <c r="U283" s="80" t="e">
        <f t="shared" si="32"/>
        <v>#DIV/0!</v>
      </c>
      <c r="V283" s="85">
        <f t="shared" si="30"/>
        <v>520</v>
      </c>
      <c r="W283" s="679">
        <f t="shared" si="31"/>
        <v>520</v>
      </c>
      <c r="X283" s="4"/>
    </row>
    <row r="284" spans="1:24" x14ac:dyDescent="0.25">
      <c r="A284" s="680" t="s">
        <v>417</v>
      </c>
      <c r="B284" s="681" t="s">
        <v>415</v>
      </c>
      <c r="C284" s="47" t="s">
        <v>408</v>
      </c>
      <c r="D284" s="118" t="s">
        <v>48</v>
      </c>
      <c r="E284" s="118" t="s">
        <v>524</v>
      </c>
      <c r="F284" s="118" t="s">
        <v>519</v>
      </c>
      <c r="G284" s="118">
        <v>2</v>
      </c>
      <c r="H284" s="118">
        <v>1</v>
      </c>
      <c r="I284" s="118">
        <v>7759</v>
      </c>
      <c r="J284" s="675">
        <v>4</v>
      </c>
      <c r="K284" s="118">
        <v>785</v>
      </c>
      <c r="L284" s="118" t="s">
        <v>490</v>
      </c>
      <c r="M284" s="64">
        <v>518</v>
      </c>
      <c r="N284" s="676">
        <v>12.585750000000001</v>
      </c>
      <c r="O284" s="675" t="s">
        <v>140</v>
      </c>
      <c r="P284" s="15">
        <v>0</v>
      </c>
      <c r="Q284" s="46">
        <f t="shared" si="28"/>
        <v>0</v>
      </c>
      <c r="R284" s="46" t="e">
        <f t="shared" si="34"/>
        <v>#DIV/0!</v>
      </c>
      <c r="S284" s="46" t="e">
        <f t="shared" si="29"/>
        <v>#DIV/0!</v>
      </c>
      <c r="T284" s="677" t="e">
        <f t="shared" si="33"/>
        <v>#DIV/0!</v>
      </c>
      <c r="U284" s="80" t="e">
        <f t="shared" si="32"/>
        <v>#DIV/0!</v>
      </c>
      <c r="V284" s="85">
        <f t="shared" si="30"/>
        <v>520</v>
      </c>
      <c r="W284" s="679">
        <f t="shared" si="31"/>
        <v>520</v>
      </c>
      <c r="X284" s="4"/>
    </row>
    <row r="285" spans="1:24" x14ac:dyDescent="0.25">
      <c r="A285" s="680" t="s">
        <v>419</v>
      </c>
      <c r="B285" s="681" t="s">
        <v>415</v>
      </c>
      <c r="C285" s="47" t="s">
        <v>408</v>
      </c>
      <c r="D285" s="118" t="s">
        <v>42</v>
      </c>
      <c r="E285" s="118" t="s">
        <v>524</v>
      </c>
      <c r="F285" s="118" t="s">
        <v>519</v>
      </c>
      <c r="G285" s="118">
        <v>1</v>
      </c>
      <c r="H285" s="118">
        <v>1</v>
      </c>
      <c r="I285" s="118">
        <v>7100</v>
      </c>
      <c r="J285" s="675">
        <v>4</v>
      </c>
      <c r="K285" s="118">
        <v>785</v>
      </c>
      <c r="L285" s="118" t="s">
        <v>490</v>
      </c>
      <c r="M285" s="64">
        <v>518</v>
      </c>
      <c r="N285" s="676">
        <v>0.98939999999999995</v>
      </c>
      <c r="O285" s="675" t="s">
        <v>140</v>
      </c>
      <c r="P285" s="15">
        <v>0</v>
      </c>
      <c r="Q285" s="46">
        <f t="shared" si="28"/>
        <v>0</v>
      </c>
      <c r="R285" s="46" t="e">
        <f t="shared" si="34"/>
        <v>#DIV/0!</v>
      </c>
      <c r="S285" s="46" t="e">
        <f t="shared" si="29"/>
        <v>#DIV/0!</v>
      </c>
      <c r="T285" s="677" t="e">
        <f t="shared" si="33"/>
        <v>#DIV/0!</v>
      </c>
      <c r="U285" s="80" t="e">
        <f t="shared" si="32"/>
        <v>#DIV/0!</v>
      </c>
      <c r="V285" s="85">
        <f t="shared" si="30"/>
        <v>520</v>
      </c>
      <c r="W285" s="679">
        <f t="shared" si="31"/>
        <v>520</v>
      </c>
      <c r="X285" s="4"/>
    </row>
    <row r="286" spans="1:24" x14ac:dyDescent="0.25">
      <c r="A286" s="680" t="s">
        <v>421</v>
      </c>
      <c r="B286" s="681" t="s">
        <v>422</v>
      </c>
      <c r="C286" s="47" t="s">
        <v>423</v>
      </c>
      <c r="D286" s="118" t="s">
        <v>42</v>
      </c>
      <c r="E286" s="118" t="s">
        <v>524</v>
      </c>
      <c r="F286" s="118" t="s">
        <v>520</v>
      </c>
      <c r="G286" s="118">
        <v>1</v>
      </c>
      <c r="H286" s="118">
        <v>1</v>
      </c>
      <c r="I286" s="118">
        <v>19050</v>
      </c>
      <c r="J286" s="675">
        <v>4</v>
      </c>
      <c r="K286" s="118">
        <v>1185</v>
      </c>
      <c r="L286" s="118" t="s">
        <v>490</v>
      </c>
      <c r="M286" s="64">
        <v>518</v>
      </c>
      <c r="N286" s="676">
        <v>0.873</v>
      </c>
      <c r="O286" s="675" t="s">
        <v>140</v>
      </c>
      <c r="P286" s="15">
        <v>0</v>
      </c>
      <c r="Q286" s="46">
        <f t="shared" si="28"/>
        <v>0</v>
      </c>
      <c r="R286" s="46" t="e">
        <f t="shared" si="34"/>
        <v>#DIV/0!</v>
      </c>
      <c r="S286" s="46" t="e">
        <f t="shared" si="29"/>
        <v>#DIV/0!</v>
      </c>
      <c r="T286" s="677" t="e">
        <f t="shared" si="33"/>
        <v>#DIV/0!</v>
      </c>
      <c r="U286" s="80" t="e">
        <f t="shared" si="32"/>
        <v>#DIV/0!</v>
      </c>
      <c r="V286" s="85">
        <f t="shared" si="30"/>
        <v>520</v>
      </c>
      <c r="W286" s="679">
        <f t="shared" si="31"/>
        <v>520</v>
      </c>
      <c r="X286" s="4"/>
    </row>
    <row r="287" spans="1:24" x14ac:dyDescent="0.25">
      <c r="A287" s="680" t="s">
        <v>425</v>
      </c>
      <c r="B287" s="681" t="s">
        <v>426</v>
      </c>
      <c r="C287" s="47" t="s">
        <v>427</v>
      </c>
      <c r="D287" s="118" t="s">
        <v>49</v>
      </c>
      <c r="E287" s="118" t="s">
        <v>524</v>
      </c>
      <c r="F287" s="118" t="s">
        <v>520</v>
      </c>
      <c r="G287" s="118">
        <v>3</v>
      </c>
      <c r="H287" s="118">
        <v>1</v>
      </c>
      <c r="I287" s="118">
        <v>4255</v>
      </c>
      <c r="J287" s="675">
        <v>4</v>
      </c>
      <c r="K287" s="118">
        <v>1185</v>
      </c>
      <c r="L287" s="118" t="s">
        <v>490</v>
      </c>
      <c r="M287" s="64">
        <v>518</v>
      </c>
      <c r="N287" s="676">
        <v>2.1269772000000002</v>
      </c>
      <c r="O287" s="675" t="s">
        <v>140</v>
      </c>
      <c r="P287" s="15">
        <v>0</v>
      </c>
      <c r="Q287" s="46">
        <f t="shared" si="28"/>
        <v>0</v>
      </c>
      <c r="R287" s="46" t="e">
        <f t="shared" si="34"/>
        <v>#DIV/0!</v>
      </c>
      <c r="S287" s="46" t="e">
        <f t="shared" si="29"/>
        <v>#DIV/0!</v>
      </c>
      <c r="T287" s="677" t="e">
        <f t="shared" si="33"/>
        <v>#DIV/0!</v>
      </c>
      <c r="U287" s="80" t="e">
        <f t="shared" si="32"/>
        <v>#DIV/0!</v>
      </c>
      <c r="V287" s="85">
        <f t="shared" si="30"/>
        <v>520</v>
      </c>
      <c r="W287" s="679">
        <f t="shared" si="31"/>
        <v>520</v>
      </c>
      <c r="X287" s="4"/>
    </row>
    <row r="288" spans="1:24" x14ac:dyDescent="0.25">
      <c r="A288" s="680" t="s">
        <v>429</v>
      </c>
      <c r="B288" s="681" t="s">
        <v>430</v>
      </c>
      <c r="C288" s="47" t="s">
        <v>431</v>
      </c>
      <c r="D288" s="118" t="s">
        <v>49</v>
      </c>
      <c r="E288" s="118" t="s">
        <v>510</v>
      </c>
      <c r="F288" s="118" t="s">
        <v>521</v>
      </c>
      <c r="G288" s="118">
        <v>1</v>
      </c>
      <c r="H288" s="118">
        <v>1</v>
      </c>
      <c r="I288" s="118">
        <v>89250</v>
      </c>
      <c r="J288" s="675">
        <v>4</v>
      </c>
      <c r="K288" s="118">
        <v>1190</v>
      </c>
      <c r="L288" s="118" t="s">
        <v>490</v>
      </c>
      <c r="M288" s="64">
        <v>703</v>
      </c>
      <c r="N288" s="676">
        <v>1.5722685000000001</v>
      </c>
      <c r="O288" s="675" t="s">
        <v>140</v>
      </c>
      <c r="P288" s="15">
        <v>0</v>
      </c>
      <c r="Q288" s="46">
        <f t="shared" si="28"/>
        <v>0</v>
      </c>
      <c r="R288" s="46" t="e">
        <f t="shared" si="34"/>
        <v>#DIV/0!</v>
      </c>
      <c r="S288" s="46" t="e">
        <f t="shared" si="29"/>
        <v>#DIV/0!</v>
      </c>
      <c r="T288" s="677" t="e">
        <f t="shared" si="33"/>
        <v>#DIV/0!</v>
      </c>
      <c r="U288" s="80" t="e">
        <f t="shared" si="32"/>
        <v>#DIV/0!</v>
      </c>
      <c r="V288" s="85">
        <f t="shared" si="30"/>
        <v>710</v>
      </c>
      <c r="W288" s="679">
        <f t="shared" si="31"/>
        <v>705</v>
      </c>
      <c r="X288" s="4"/>
    </row>
    <row r="289" spans="1:24" x14ac:dyDescent="0.25">
      <c r="A289" s="680" t="s">
        <v>429</v>
      </c>
      <c r="B289" s="681" t="s">
        <v>430</v>
      </c>
      <c r="C289" s="47" t="s">
        <v>433</v>
      </c>
      <c r="D289" s="118" t="s">
        <v>49</v>
      </c>
      <c r="E289" s="118" t="s">
        <v>510</v>
      </c>
      <c r="F289" s="118" t="s">
        <v>522</v>
      </c>
      <c r="G289" s="118">
        <v>1</v>
      </c>
      <c r="H289" s="118">
        <v>1</v>
      </c>
      <c r="I289" s="118">
        <v>13000</v>
      </c>
      <c r="J289" s="675">
        <v>4</v>
      </c>
      <c r="K289" s="118">
        <v>1181</v>
      </c>
      <c r="L289" s="118" t="s">
        <v>490</v>
      </c>
      <c r="M289" s="64">
        <v>703</v>
      </c>
      <c r="N289" s="676">
        <v>1.4501040000000001</v>
      </c>
      <c r="O289" s="675" t="s">
        <v>140</v>
      </c>
      <c r="P289" s="15">
        <v>0</v>
      </c>
      <c r="Q289" s="46">
        <f t="shared" si="28"/>
        <v>0</v>
      </c>
      <c r="R289" s="46" t="e">
        <f t="shared" si="34"/>
        <v>#DIV/0!</v>
      </c>
      <c r="S289" s="46" t="e">
        <f t="shared" si="29"/>
        <v>#DIV/0!</v>
      </c>
      <c r="T289" s="677" t="e">
        <f t="shared" si="33"/>
        <v>#DIV/0!</v>
      </c>
      <c r="U289" s="80" t="e">
        <f t="shared" si="32"/>
        <v>#DIV/0!</v>
      </c>
      <c r="V289" s="85">
        <f t="shared" si="30"/>
        <v>710</v>
      </c>
      <c r="W289" s="679">
        <f t="shared" si="31"/>
        <v>705</v>
      </c>
      <c r="X289" s="4"/>
    </row>
    <row r="290" spans="1:24" x14ac:dyDescent="0.25">
      <c r="A290" s="680" t="s">
        <v>429</v>
      </c>
      <c r="B290" s="681" t="s">
        <v>430</v>
      </c>
      <c r="C290" s="47" t="s">
        <v>435</v>
      </c>
      <c r="D290" s="118" t="s">
        <v>49</v>
      </c>
      <c r="E290" s="118" t="s">
        <v>510</v>
      </c>
      <c r="F290" s="118" t="s">
        <v>522</v>
      </c>
      <c r="G290" s="118">
        <v>1</v>
      </c>
      <c r="H290" s="118">
        <v>1</v>
      </c>
      <c r="I290" s="118">
        <v>4250</v>
      </c>
      <c r="J290" s="675">
        <v>4</v>
      </c>
      <c r="K290" s="118">
        <v>1181</v>
      </c>
      <c r="L290" s="118" t="s">
        <v>490</v>
      </c>
      <c r="M290" s="64">
        <v>703</v>
      </c>
      <c r="N290" s="676">
        <v>1.4784629999999999</v>
      </c>
      <c r="O290" s="675" t="s">
        <v>140</v>
      </c>
      <c r="P290" s="15">
        <v>0</v>
      </c>
      <c r="Q290" s="46">
        <f t="shared" si="28"/>
        <v>0</v>
      </c>
      <c r="R290" s="46" t="e">
        <f t="shared" si="34"/>
        <v>#DIV/0!</v>
      </c>
      <c r="S290" s="46" t="e">
        <f t="shared" si="29"/>
        <v>#DIV/0!</v>
      </c>
      <c r="T290" s="677" t="e">
        <f t="shared" si="33"/>
        <v>#DIV/0!</v>
      </c>
      <c r="U290" s="80" t="e">
        <f t="shared" si="32"/>
        <v>#DIV/0!</v>
      </c>
      <c r="V290" s="85">
        <f t="shared" si="30"/>
        <v>710</v>
      </c>
      <c r="W290" s="679">
        <f t="shared" si="31"/>
        <v>705</v>
      </c>
      <c r="X290" s="4"/>
    </row>
    <row r="291" spans="1:24" x14ac:dyDescent="0.25">
      <c r="A291" s="680" t="s">
        <v>429</v>
      </c>
      <c r="B291" s="681" t="s">
        <v>430</v>
      </c>
      <c r="C291" s="47" t="s">
        <v>437</v>
      </c>
      <c r="D291" s="118" t="s">
        <v>49</v>
      </c>
      <c r="E291" s="118" t="s">
        <v>510</v>
      </c>
      <c r="F291" s="118" t="s">
        <v>522</v>
      </c>
      <c r="G291" s="118">
        <v>1</v>
      </c>
      <c r="H291" s="118">
        <v>1</v>
      </c>
      <c r="I291" s="118">
        <v>8500</v>
      </c>
      <c r="J291" s="675">
        <v>4</v>
      </c>
      <c r="K291" s="118">
        <v>1181</v>
      </c>
      <c r="L291" s="118" t="s">
        <v>490</v>
      </c>
      <c r="M291" s="64">
        <v>703</v>
      </c>
      <c r="N291" s="676">
        <v>1.4802225</v>
      </c>
      <c r="O291" s="675" t="s">
        <v>140</v>
      </c>
      <c r="P291" s="15">
        <v>0</v>
      </c>
      <c r="Q291" s="46">
        <f t="shared" si="28"/>
        <v>0</v>
      </c>
      <c r="R291" s="46" t="e">
        <f t="shared" si="34"/>
        <v>#DIV/0!</v>
      </c>
      <c r="S291" s="46" t="e">
        <f t="shared" si="29"/>
        <v>#DIV/0!</v>
      </c>
      <c r="T291" s="677" t="e">
        <f t="shared" si="33"/>
        <v>#DIV/0!</v>
      </c>
      <c r="U291" s="80" t="e">
        <f t="shared" si="32"/>
        <v>#DIV/0!</v>
      </c>
      <c r="V291" s="85">
        <f t="shared" si="30"/>
        <v>710</v>
      </c>
      <c r="W291" s="679">
        <f t="shared" si="31"/>
        <v>705</v>
      </c>
      <c r="X291" s="4"/>
    </row>
    <row r="292" spans="1:24" x14ac:dyDescent="0.25">
      <c r="A292" s="680" t="s">
        <v>439</v>
      </c>
      <c r="B292" s="681" t="s">
        <v>430</v>
      </c>
      <c r="C292" s="47" t="s">
        <v>431</v>
      </c>
      <c r="D292" s="118" t="s">
        <v>52</v>
      </c>
      <c r="E292" s="118" t="s">
        <v>510</v>
      </c>
      <c r="F292" s="118" t="s">
        <v>521</v>
      </c>
      <c r="G292" s="118">
        <v>1</v>
      </c>
      <c r="H292" s="118">
        <v>1</v>
      </c>
      <c r="I292" s="118">
        <v>103000</v>
      </c>
      <c r="J292" s="675">
        <v>4</v>
      </c>
      <c r="K292" s="118">
        <v>1190</v>
      </c>
      <c r="L292" s="118" t="s">
        <v>490</v>
      </c>
      <c r="M292" s="64">
        <v>703</v>
      </c>
      <c r="N292" s="676">
        <v>0.73288350000000013</v>
      </c>
      <c r="O292" s="675" t="s">
        <v>140</v>
      </c>
      <c r="P292" s="15">
        <v>0</v>
      </c>
      <c r="Q292" s="46">
        <f t="shared" si="28"/>
        <v>0</v>
      </c>
      <c r="R292" s="46" t="e">
        <f t="shared" si="34"/>
        <v>#DIV/0!</v>
      </c>
      <c r="S292" s="46" t="e">
        <f t="shared" si="29"/>
        <v>#DIV/0!</v>
      </c>
      <c r="T292" s="677" t="e">
        <f t="shared" si="33"/>
        <v>#DIV/0!</v>
      </c>
      <c r="U292" s="80" t="e">
        <f t="shared" si="32"/>
        <v>#DIV/0!</v>
      </c>
      <c r="V292" s="85">
        <f t="shared" si="30"/>
        <v>710</v>
      </c>
      <c r="W292" s="679">
        <f t="shared" si="31"/>
        <v>705</v>
      </c>
      <c r="X292" s="4"/>
    </row>
    <row r="293" spans="1:24" x14ac:dyDescent="0.25">
      <c r="A293" s="680" t="s">
        <v>439</v>
      </c>
      <c r="B293" s="681" t="s">
        <v>430</v>
      </c>
      <c r="C293" s="47" t="s">
        <v>435</v>
      </c>
      <c r="D293" s="118" t="s">
        <v>52</v>
      </c>
      <c r="E293" s="118" t="s">
        <v>510</v>
      </c>
      <c r="F293" s="118" t="s">
        <v>522</v>
      </c>
      <c r="G293" s="118">
        <v>1</v>
      </c>
      <c r="H293" s="118">
        <v>1</v>
      </c>
      <c r="I293" s="118">
        <v>12750</v>
      </c>
      <c r="J293" s="675">
        <v>4</v>
      </c>
      <c r="K293" s="118">
        <v>1181</v>
      </c>
      <c r="L293" s="118" t="s">
        <v>490</v>
      </c>
      <c r="M293" s="64">
        <v>703</v>
      </c>
      <c r="N293" s="676">
        <v>0.79032599999999997</v>
      </c>
      <c r="O293" s="675" t="s">
        <v>140</v>
      </c>
      <c r="P293" s="15">
        <v>0</v>
      </c>
      <c r="Q293" s="46">
        <f t="shared" si="28"/>
        <v>0</v>
      </c>
      <c r="R293" s="46" t="e">
        <f t="shared" si="34"/>
        <v>#DIV/0!</v>
      </c>
      <c r="S293" s="46" t="e">
        <f t="shared" si="29"/>
        <v>#DIV/0!</v>
      </c>
      <c r="T293" s="677" t="e">
        <f t="shared" si="33"/>
        <v>#DIV/0!</v>
      </c>
      <c r="U293" s="80" t="e">
        <f t="shared" si="32"/>
        <v>#DIV/0!</v>
      </c>
      <c r="V293" s="85">
        <f t="shared" si="30"/>
        <v>710</v>
      </c>
      <c r="W293" s="679">
        <f t="shared" si="31"/>
        <v>705</v>
      </c>
      <c r="X293" s="4"/>
    </row>
    <row r="294" spans="1:24" x14ac:dyDescent="0.25">
      <c r="A294" s="680" t="s">
        <v>442</v>
      </c>
      <c r="B294" s="681" t="s">
        <v>443</v>
      </c>
      <c r="C294" s="47" t="s">
        <v>444</v>
      </c>
      <c r="D294" s="118" t="s">
        <v>52</v>
      </c>
      <c r="E294" s="118" t="s">
        <v>510</v>
      </c>
      <c r="F294" s="118" t="s">
        <v>523</v>
      </c>
      <c r="G294" s="118">
        <v>1</v>
      </c>
      <c r="H294" s="118">
        <v>1</v>
      </c>
      <c r="I294" s="118">
        <v>17500</v>
      </c>
      <c r="J294" s="675">
        <v>4</v>
      </c>
      <c r="K294" s="118">
        <v>1692</v>
      </c>
      <c r="L294" s="118" t="s">
        <v>490</v>
      </c>
      <c r="M294" s="64">
        <v>703</v>
      </c>
      <c r="N294" s="676">
        <v>0.75461850000000008</v>
      </c>
      <c r="O294" s="675" t="s">
        <v>140</v>
      </c>
      <c r="P294" s="15">
        <v>0</v>
      </c>
      <c r="Q294" s="46">
        <f t="shared" si="28"/>
        <v>0</v>
      </c>
      <c r="R294" s="46" t="e">
        <f t="shared" si="34"/>
        <v>#DIV/0!</v>
      </c>
      <c r="S294" s="46" t="e">
        <f t="shared" si="29"/>
        <v>#DIV/0!</v>
      </c>
      <c r="T294" s="677" t="e">
        <f t="shared" si="33"/>
        <v>#DIV/0!</v>
      </c>
      <c r="U294" s="80" t="e">
        <f t="shared" si="32"/>
        <v>#DIV/0!</v>
      </c>
      <c r="V294" s="85">
        <f t="shared" si="30"/>
        <v>710</v>
      </c>
      <c r="W294" s="679">
        <f t="shared" si="31"/>
        <v>705</v>
      </c>
      <c r="X294" s="4"/>
    </row>
    <row r="295" spans="1:24" x14ac:dyDescent="0.25">
      <c r="A295" s="680" t="s">
        <v>442</v>
      </c>
      <c r="B295" s="681" t="s">
        <v>443</v>
      </c>
      <c r="C295" s="47" t="s">
        <v>446</v>
      </c>
      <c r="D295" s="118" t="s">
        <v>52</v>
      </c>
      <c r="E295" s="118" t="s">
        <v>510</v>
      </c>
      <c r="F295" s="118" t="s">
        <v>523</v>
      </c>
      <c r="G295" s="118">
        <v>1</v>
      </c>
      <c r="H295" s="118">
        <v>1</v>
      </c>
      <c r="I295" s="118">
        <v>8500</v>
      </c>
      <c r="J295" s="675">
        <v>4</v>
      </c>
      <c r="K295" s="118">
        <v>1502</v>
      </c>
      <c r="L295" s="118" t="s">
        <v>490</v>
      </c>
      <c r="M295" s="64">
        <v>703</v>
      </c>
      <c r="N295" s="676">
        <v>0.75310049999999995</v>
      </c>
      <c r="O295" s="675" t="s">
        <v>140</v>
      </c>
      <c r="P295" s="15">
        <v>0</v>
      </c>
      <c r="Q295" s="46">
        <f t="shared" si="28"/>
        <v>0</v>
      </c>
      <c r="R295" s="46" t="e">
        <f t="shared" si="34"/>
        <v>#DIV/0!</v>
      </c>
      <c r="S295" s="46" t="e">
        <f t="shared" si="29"/>
        <v>#DIV/0!</v>
      </c>
      <c r="T295" s="677" t="e">
        <f t="shared" si="33"/>
        <v>#DIV/0!</v>
      </c>
      <c r="U295" s="80" t="e">
        <f t="shared" si="32"/>
        <v>#DIV/0!</v>
      </c>
      <c r="V295" s="85">
        <f t="shared" si="30"/>
        <v>710</v>
      </c>
      <c r="W295" s="679">
        <f t="shared" si="31"/>
        <v>705</v>
      </c>
      <c r="X295" s="4"/>
    </row>
    <row r="296" spans="1:24" x14ac:dyDescent="0.25">
      <c r="A296" s="680" t="s">
        <v>448</v>
      </c>
      <c r="B296" s="681" t="s">
        <v>443</v>
      </c>
      <c r="C296" s="47" t="s">
        <v>444</v>
      </c>
      <c r="D296" s="118" t="s">
        <v>52</v>
      </c>
      <c r="E296" s="118" t="s">
        <v>510</v>
      </c>
      <c r="F296" s="118" t="s">
        <v>523</v>
      </c>
      <c r="G296" s="118">
        <v>1</v>
      </c>
      <c r="H296" s="118">
        <v>1</v>
      </c>
      <c r="I296" s="118">
        <v>17500</v>
      </c>
      <c r="J296" s="675">
        <v>4</v>
      </c>
      <c r="K296" s="118">
        <v>1692</v>
      </c>
      <c r="L296" s="118" t="s">
        <v>490</v>
      </c>
      <c r="M296" s="64">
        <v>703</v>
      </c>
      <c r="N296" s="676">
        <v>0.76338149999999994</v>
      </c>
      <c r="O296" s="675" t="s">
        <v>140</v>
      </c>
      <c r="P296" s="15">
        <v>0</v>
      </c>
      <c r="Q296" s="46">
        <f t="shared" si="28"/>
        <v>0</v>
      </c>
      <c r="R296" s="46" t="e">
        <f t="shared" si="34"/>
        <v>#DIV/0!</v>
      </c>
      <c r="S296" s="46" t="e">
        <f t="shared" si="29"/>
        <v>#DIV/0!</v>
      </c>
      <c r="T296" s="677" t="e">
        <f t="shared" si="33"/>
        <v>#DIV/0!</v>
      </c>
      <c r="U296" s="80" t="e">
        <f t="shared" si="32"/>
        <v>#DIV/0!</v>
      </c>
      <c r="V296" s="85">
        <f t="shared" si="30"/>
        <v>710</v>
      </c>
      <c r="W296" s="679">
        <f t="shared" si="31"/>
        <v>705</v>
      </c>
      <c r="X296" s="4"/>
    </row>
    <row r="297" spans="1:24" x14ac:dyDescent="0.25">
      <c r="A297" s="680" t="s">
        <v>448</v>
      </c>
      <c r="B297" s="681" t="s">
        <v>443</v>
      </c>
      <c r="C297" s="47" t="s">
        <v>446</v>
      </c>
      <c r="D297" s="118" t="s">
        <v>52</v>
      </c>
      <c r="E297" s="118" t="s">
        <v>510</v>
      </c>
      <c r="F297" s="118" t="s">
        <v>523</v>
      </c>
      <c r="G297" s="118">
        <v>1</v>
      </c>
      <c r="H297" s="118">
        <v>1</v>
      </c>
      <c r="I297" s="118">
        <v>8500</v>
      </c>
      <c r="J297" s="675">
        <v>4</v>
      </c>
      <c r="K297" s="118">
        <v>1692</v>
      </c>
      <c r="L297" s="118" t="s">
        <v>490</v>
      </c>
      <c r="M297" s="64">
        <v>703</v>
      </c>
      <c r="N297" s="676">
        <v>0.78922199999999998</v>
      </c>
      <c r="O297" s="675" t="s">
        <v>140</v>
      </c>
      <c r="P297" s="15">
        <v>0</v>
      </c>
      <c r="Q297" s="46">
        <f t="shared" si="28"/>
        <v>0</v>
      </c>
      <c r="R297" s="46" t="e">
        <f t="shared" si="34"/>
        <v>#DIV/0!</v>
      </c>
      <c r="S297" s="46" t="e">
        <f t="shared" si="29"/>
        <v>#DIV/0!</v>
      </c>
      <c r="T297" s="677" t="e">
        <f t="shared" si="33"/>
        <v>#DIV/0!</v>
      </c>
      <c r="U297" s="80" t="e">
        <f t="shared" si="32"/>
        <v>#DIV/0!</v>
      </c>
      <c r="V297" s="85">
        <f t="shared" si="30"/>
        <v>710</v>
      </c>
      <c r="W297" s="679">
        <f t="shared" si="31"/>
        <v>705</v>
      </c>
      <c r="X297" s="4"/>
    </row>
    <row r="298" spans="1:24" x14ac:dyDescent="0.25">
      <c r="A298" s="680" t="s">
        <v>448</v>
      </c>
      <c r="B298" s="681" t="s">
        <v>451</v>
      </c>
      <c r="C298" s="47" t="s">
        <v>446</v>
      </c>
      <c r="D298" s="118" t="s">
        <v>52</v>
      </c>
      <c r="E298" s="118" t="s">
        <v>510</v>
      </c>
      <c r="F298" s="118" t="s">
        <v>523</v>
      </c>
      <c r="G298" s="118">
        <v>2</v>
      </c>
      <c r="H298" s="118">
        <v>1</v>
      </c>
      <c r="I298" s="118">
        <v>8500</v>
      </c>
      <c r="J298" s="675">
        <v>4</v>
      </c>
      <c r="K298" s="118">
        <v>1502</v>
      </c>
      <c r="L298" s="118" t="s">
        <v>490</v>
      </c>
      <c r="M298" s="64">
        <v>703</v>
      </c>
      <c r="N298" s="676">
        <v>0.82768949999999997</v>
      </c>
      <c r="O298" s="675" t="s">
        <v>140</v>
      </c>
      <c r="P298" s="15">
        <v>0</v>
      </c>
      <c r="Q298" s="46">
        <f t="shared" si="28"/>
        <v>0</v>
      </c>
      <c r="R298" s="46" t="e">
        <f t="shared" si="34"/>
        <v>#DIV/0!</v>
      </c>
      <c r="S298" s="46" t="e">
        <f t="shared" si="29"/>
        <v>#DIV/0!</v>
      </c>
      <c r="T298" s="677" t="e">
        <f t="shared" si="33"/>
        <v>#DIV/0!</v>
      </c>
      <c r="U298" s="80" t="e">
        <f t="shared" si="32"/>
        <v>#DIV/0!</v>
      </c>
      <c r="V298" s="85">
        <f t="shared" si="30"/>
        <v>710</v>
      </c>
      <c r="W298" s="679">
        <f t="shared" si="31"/>
        <v>705</v>
      </c>
      <c r="X298" s="4"/>
    </row>
    <row r="299" spans="1:24" x14ac:dyDescent="0.25">
      <c r="A299" s="680" t="s">
        <v>452</v>
      </c>
      <c r="B299" s="681" t="s">
        <v>453</v>
      </c>
      <c r="C299" s="47" t="s">
        <v>454</v>
      </c>
      <c r="D299" s="118" t="s">
        <v>52</v>
      </c>
      <c r="E299" s="118" t="s">
        <v>510</v>
      </c>
      <c r="F299" s="118" t="s">
        <v>513</v>
      </c>
      <c r="G299" s="118">
        <v>2</v>
      </c>
      <c r="H299" s="118">
        <v>1</v>
      </c>
      <c r="I299" s="118">
        <v>11097</v>
      </c>
      <c r="J299" s="675">
        <v>4</v>
      </c>
      <c r="K299" s="118">
        <v>585</v>
      </c>
      <c r="L299" s="118" t="s">
        <v>490</v>
      </c>
      <c r="M299" s="64">
        <v>703</v>
      </c>
      <c r="N299" s="676">
        <v>0.80857650000000003</v>
      </c>
      <c r="O299" s="675" t="s">
        <v>140</v>
      </c>
      <c r="P299" s="15">
        <v>0</v>
      </c>
      <c r="Q299" s="46">
        <f t="shared" si="28"/>
        <v>0</v>
      </c>
      <c r="R299" s="46" t="e">
        <f t="shared" si="34"/>
        <v>#DIV/0!</v>
      </c>
      <c r="S299" s="46" t="e">
        <f t="shared" si="29"/>
        <v>#DIV/0!</v>
      </c>
      <c r="T299" s="677" t="e">
        <f t="shared" si="33"/>
        <v>#DIV/0!</v>
      </c>
      <c r="U299" s="80" t="e">
        <f t="shared" si="32"/>
        <v>#DIV/0!</v>
      </c>
      <c r="V299" s="85">
        <f t="shared" si="30"/>
        <v>710</v>
      </c>
      <c r="W299" s="679">
        <f t="shared" si="31"/>
        <v>705</v>
      </c>
      <c r="X299" s="4"/>
    </row>
    <row r="300" spans="1:24" x14ac:dyDescent="0.25">
      <c r="A300" s="680" t="s">
        <v>452</v>
      </c>
      <c r="B300" s="681" t="s">
        <v>453</v>
      </c>
      <c r="C300" s="47" t="s">
        <v>408</v>
      </c>
      <c r="D300" s="118" t="s">
        <v>52</v>
      </c>
      <c r="E300" s="118" t="s">
        <v>510</v>
      </c>
      <c r="F300" s="118" t="s">
        <v>514</v>
      </c>
      <c r="G300" s="118">
        <v>29</v>
      </c>
      <c r="H300" s="118">
        <v>1</v>
      </c>
      <c r="I300" s="118">
        <v>1500</v>
      </c>
      <c r="J300" s="675">
        <v>4</v>
      </c>
      <c r="K300" s="118">
        <v>776</v>
      </c>
      <c r="L300" s="118" t="s">
        <v>490</v>
      </c>
      <c r="M300" s="64">
        <v>703</v>
      </c>
      <c r="N300" s="676">
        <v>0.79077450000000005</v>
      </c>
      <c r="O300" s="675" t="s">
        <v>140</v>
      </c>
      <c r="P300" s="15">
        <v>0</v>
      </c>
      <c r="Q300" s="46">
        <f t="shared" si="28"/>
        <v>0</v>
      </c>
      <c r="R300" s="46" t="e">
        <f t="shared" si="34"/>
        <v>#DIV/0!</v>
      </c>
      <c r="S300" s="46" t="e">
        <f t="shared" si="29"/>
        <v>#DIV/0!</v>
      </c>
      <c r="T300" s="677" t="e">
        <f t="shared" si="33"/>
        <v>#DIV/0!</v>
      </c>
      <c r="U300" s="80" t="e">
        <f t="shared" si="32"/>
        <v>#DIV/0!</v>
      </c>
      <c r="V300" s="85">
        <f t="shared" si="30"/>
        <v>710</v>
      </c>
      <c r="W300" s="679">
        <f t="shared" si="31"/>
        <v>705</v>
      </c>
      <c r="X300" s="4"/>
    </row>
    <row r="301" spans="1:24" x14ac:dyDescent="0.25">
      <c r="A301" s="680" t="s">
        <v>452</v>
      </c>
      <c r="B301" s="681" t="s">
        <v>453</v>
      </c>
      <c r="C301" s="47" t="s">
        <v>408</v>
      </c>
      <c r="D301" s="118" t="s">
        <v>52</v>
      </c>
      <c r="E301" s="118" t="s">
        <v>510</v>
      </c>
      <c r="F301" s="118" t="s">
        <v>512</v>
      </c>
      <c r="G301" s="118">
        <v>1</v>
      </c>
      <c r="H301" s="118">
        <v>1</v>
      </c>
      <c r="I301" s="118">
        <v>1500</v>
      </c>
      <c r="J301" s="675">
        <v>4</v>
      </c>
      <c r="K301" s="118">
        <v>3879</v>
      </c>
      <c r="L301" s="118" t="s">
        <v>490</v>
      </c>
      <c r="M301" s="64">
        <v>703</v>
      </c>
      <c r="N301" s="676">
        <v>0.7743525</v>
      </c>
      <c r="O301" s="675" t="s">
        <v>140</v>
      </c>
      <c r="P301" s="15">
        <v>0</v>
      </c>
      <c r="Q301" s="46">
        <f t="shared" si="28"/>
        <v>0</v>
      </c>
      <c r="R301" s="46" t="e">
        <f t="shared" si="34"/>
        <v>#DIV/0!</v>
      </c>
      <c r="S301" s="46" t="e">
        <f t="shared" si="29"/>
        <v>#DIV/0!</v>
      </c>
      <c r="T301" s="677" t="e">
        <f t="shared" si="33"/>
        <v>#DIV/0!</v>
      </c>
      <c r="U301" s="80" t="e">
        <f t="shared" si="32"/>
        <v>#DIV/0!</v>
      </c>
      <c r="V301" s="85">
        <f t="shared" si="30"/>
        <v>710</v>
      </c>
      <c r="W301" s="679">
        <f t="shared" si="31"/>
        <v>705</v>
      </c>
      <c r="X301" s="4"/>
    </row>
    <row r="302" spans="1:24" x14ac:dyDescent="0.25">
      <c r="A302" s="680" t="s">
        <v>456</v>
      </c>
      <c r="B302" s="681" t="s">
        <v>453</v>
      </c>
      <c r="C302" s="47" t="s">
        <v>457</v>
      </c>
      <c r="D302" s="118" t="s">
        <v>52</v>
      </c>
      <c r="E302" s="118" t="s">
        <v>510</v>
      </c>
      <c r="F302" s="118" t="s">
        <v>513</v>
      </c>
      <c r="G302" s="118">
        <v>2</v>
      </c>
      <c r="H302" s="118">
        <v>1</v>
      </c>
      <c r="I302" s="118">
        <v>11081</v>
      </c>
      <c r="J302" s="675">
        <v>4</v>
      </c>
      <c r="K302" s="118">
        <v>585</v>
      </c>
      <c r="L302" s="118" t="s">
        <v>490</v>
      </c>
      <c r="M302" s="64">
        <v>703</v>
      </c>
      <c r="N302" s="676">
        <v>0.66340049999999995</v>
      </c>
      <c r="O302" s="675" t="s">
        <v>140</v>
      </c>
      <c r="P302" s="15">
        <v>0</v>
      </c>
      <c r="Q302" s="46">
        <f t="shared" si="28"/>
        <v>0</v>
      </c>
      <c r="R302" s="46" t="e">
        <f t="shared" si="34"/>
        <v>#DIV/0!</v>
      </c>
      <c r="S302" s="46" t="e">
        <f t="shared" si="29"/>
        <v>#DIV/0!</v>
      </c>
      <c r="T302" s="677" t="e">
        <f t="shared" si="33"/>
        <v>#DIV/0!</v>
      </c>
      <c r="U302" s="80" t="e">
        <f t="shared" si="32"/>
        <v>#DIV/0!</v>
      </c>
      <c r="V302" s="85">
        <f t="shared" si="30"/>
        <v>710</v>
      </c>
      <c r="W302" s="679">
        <f t="shared" si="31"/>
        <v>705</v>
      </c>
      <c r="X302" s="4"/>
    </row>
    <row r="303" spans="1:24" x14ac:dyDescent="0.25">
      <c r="A303" s="680" t="s">
        <v>456</v>
      </c>
      <c r="B303" s="681" t="s">
        <v>453</v>
      </c>
      <c r="C303" s="47" t="s">
        <v>408</v>
      </c>
      <c r="D303" s="118" t="s">
        <v>43</v>
      </c>
      <c r="E303" s="118" t="s">
        <v>510</v>
      </c>
      <c r="F303" s="118" t="s">
        <v>514</v>
      </c>
      <c r="G303" s="118">
        <v>29</v>
      </c>
      <c r="H303" s="118">
        <v>1</v>
      </c>
      <c r="I303" s="118">
        <v>1500</v>
      </c>
      <c r="J303" s="675">
        <v>4</v>
      </c>
      <c r="K303" s="118">
        <v>776</v>
      </c>
      <c r="L303" s="118" t="s">
        <v>490</v>
      </c>
      <c r="M303" s="64">
        <v>703</v>
      </c>
      <c r="N303" s="676">
        <v>0.28645350000000003</v>
      </c>
      <c r="O303" s="675" t="s">
        <v>140</v>
      </c>
      <c r="P303" s="15">
        <v>0</v>
      </c>
      <c r="Q303" s="46">
        <f t="shared" si="28"/>
        <v>0</v>
      </c>
      <c r="R303" s="46" t="e">
        <f t="shared" si="34"/>
        <v>#DIV/0!</v>
      </c>
      <c r="S303" s="46" t="e">
        <f t="shared" si="29"/>
        <v>#DIV/0!</v>
      </c>
      <c r="T303" s="677" t="e">
        <f t="shared" si="33"/>
        <v>#DIV/0!</v>
      </c>
      <c r="U303" s="80" t="e">
        <f t="shared" si="32"/>
        <v>#DIV/0!</v>
      </c>
      <c r="V303" s="85">
        <f t="shared" si="30"/>
        <v>710</v>
      </c>
      <c r="W303" s="679">
        <f t="shared" si="31"/>
        <v>705</v>
      </c>
      <c r="X303" s="4"/>
    </row>
    <row r="304" spans="1:24" x14ac:dyDescent="0.25">
      <c r="A304" s="680" t="s">
        <v>456</v>
      </c>
      <c r="B304" s="681" t="s">
        <v>453</v>
      </c>
      <c r="C304" s="47" t="s">
        <v>408</v>
      </c>
      <c r="D304" s="118" t="s">
        <v>43</v>
      </c>
      <c r="E304" s="118" t="s">
        <v>510</v>
      </c>
      <c r="F304" s="118" t="s">
        <v>514</v>
      </c>
      <c r="G304" s="118">
        <v>1</v>
      </c>
      <c r="H304" s="118">
        <v>1</v>
      </c>
      <c r="I304" s="118">
        <v>1500</v>
      </c>
      <c r="J304" s="675">
        <v>4</v>
      </c>
      <c r="K304" s="118">
        <v>3879</v>
      </c>
      <c r="L304" s="118" t="s">
        <v>490</v>
      </c>
      <c r="M304" s="64">
        <v>703</v>
      </c>
      <c r="N304" s="676">
        <v>0.37021949999999992</v>
      </c>
      <c r="O304" s="675" t="s">
        <v>140</v>
      </c>
      <c r="P304" s="15">
        <v>0</v>
      </c>
      <c r="Q304" s="46">
        <f t="shared" si="28"/>
        <v>0</v>
      </c>
      <c r="R304" s="46" t="e">
        <f t="shared" si="34"/>
        <v>#DIV/0!</v>
      </c>
      <c r="S304" s="46" t="e">
        <f t="shared" si="29"/>
        <v>#DIV/0!</v>
      </c>
      <c r="T304" s="677" t="e">
        <f t="shared" si="33"/>
        <v>#DIV/0!</v>
      </c>
      <c r="U304" s="80" t="e">
        <f t="shared" si="32"/>
        <v>#DIV/0!</v>
      </c>
      <c r="V304" s="85">
        <f t="shared" si="30"/>
        <v>710</v>
      </c>
      <c r="W304" s="679">
        <f t="shared" si="31"/>
        <v>705</v>
      </c>
      <c r="X304" s="4"/>
    </row>
    <row r="305" spans="1:24" x14ac:dyDescent="0.25">
      <c r="A305" s="680" t="s">
        <v>458</v>
      </c>
      <c r="B305" s="681" t="s">
        <v>459</v>
      </c>
      <c r="C305" s="47" t="s">
        <v>460</v>
      </c>
      <c r="D305" s="118" t="s">
        <v>43</v>
      </c>
      <c r="E305" s="118" t="s">
        <v>510</v>
      </c>
      <c r="F305" s="118" t="s">
        <v>513</v>
      </c>
      <c r="G305" s="118">
        <v>2</v>
      </c>
      <c r="H305" s="118">
        <v>1</v>
      </c>
      <c r="I305" s="118">
        <v>12634</v>
      </c>
      <c r="J305" s="675">
        <v>4</v>
      </c>
      <c r="K305" s="118">
        <v>585</v>
      </c>
      <c r="L305" s="118" t="s">
        <v>490</v>
      </c>
      <c r="M305" s="64">
        <v>703</v>
      </c>
      <c r="N305" s="676">
        <v>0.422211</v>
      </c>
      <c r="O305" s="675" t="s">
        <v>140</v>
      </c>
      <c r="P305" s="15">
        <v>0</v>
      </c>
      <c r="Q305" s="46">
        <f t="shared" si="28"/>
        <v>0</v>
      </c>
      <c r="R305" s="46" t="e">
        <f t="shared" si="34"/>
        <v>#DIV/0!</v>
      </c>
      <c r="S305" s="46" t="e">
        <f t="shared" si="29"/>
        <v>#DIV/0!</v>
      </c>
      <c r="T305" s="677" t="e">
        <f t="shared" si="33"/>
        <v>#DIV/0!</v>
      </c>
      <c r="U305" s="80" t="e">
        <f t="shared" si="32"/>
        <v>#DIV/0!</v>
      </c>
      <c r="V305" s="85">
        <f t="shared" si="30"/>
        <v>710</v>
      </c>
      <c r="W305" s="679">
        <f t="shared" si="31"/>
        <v>705</v>
      </c>
      <c r="X305" s="4"/>
    </row>
    <row r="306" spans="1:24" x14ac:dyDescent="0.25">
      <c r="A306" s="680" t="s">
        <v>458</v>
      </c>
      <c r="B306" s="681" t="s">
        <v>459</v>
      </c>
      <c r="C306" s="47" t="s">
        <v>408</v>
      </c>
      <c r="D306" s="118" t="s">
        <v>43</v>
      </c>
      <c r="E306" s="118" t="s">
        <v>510</v>
      </c>
      <c r="F306" s="118" t="s">
        <v>514</v>
      </c>
      <c r="G306" s="118">
        <v>28</v>
      </c>
      <c r="H306" s="118">
        <v>1</v>
      </c>
      <c r="I306" s="118">
        <v>1500</v>
      </c>
      <c r="J306" s="675">
        <v>4</v>
      </c>
      <c r="K306" s="118">
        <v>776</v>
      </c>
      <c r="L306" s="118" t="s">
        <v>490</v>
      </c>
      <c r="M306" s="64">
        <v>703</v>
      </c>
      <c r="N306" s="676">
        <v>0.41969250000000002</v>
      </c>
      <c r="O306" s="675" t="s">
        <v>140</v>
      </c>
      <c r="P306" s="15">
        <v>0</v>
      </c>
      <c r="Q306" s="46">
        <f t="shared" si="28"/>
        <v>0</v>
      </c>
      <c r="R306" s="46" t="e">
        <f t="shared" si="34"/>
        <v>#DIV/0!</v>
      </c>
      <c r="S306" s="46" t="e">
        <f t="shared" si="29"/>
        <v>#DIV/0!</v>
      </c>
      <c r="T306" s="677" t="e">
        <f t="shared" si="33"/>
        <v>#DIV/0!</v>
      </c>
      <c r="U306" s="80" t="e">
        <f t="shared" si="32"/>
        <v>#DIV/0!</v>
      </c>
      <c r="V306" s="85">
        <f t="shared" si="30"/>
        <v>710</v>
      </c>
      <c r="W306" s="679">
        <f t="shared" si="31"/>
        <v>705</v>
      </c>
      <c r="X306" s="4"/>
    </row>
    <row r="307" spans="1:24" x14ac:dyDescent="0.25">
      <c r="A307" s="680" t="s">
        <v>461</v>
      </c>
      <c r="B307" s="681" t="s">
        <v>459</v>
      </c>
      <c r="C307" s="47" t="s">
        <v>462</v>
      </c>
      <c r="D307" s="118" t="s">
        <v>43</v>
      </c>
      <c r="E307" s="118" t="s">
        <v>510</v>
      </c>
      <c r="F307" s="118" t="s">
        <v>513</v>
      </c>
      <c r="G307" s="118">
        <v>2</v>
      </c>
      <c r="H307" s="118">
        <v>1</v>
      </c>
      <c r="I307" s="118">
        <v>11097</v>
      </c>
      <c r="J307" s="675">
        <v>4</v>
      </c>
      <c r="K307" s="118">
        <v>585</v>
      </c>
      <c r="L307" s="118" t="s">
        <v>490</v>
      </c>
      <c r="M307" s="64">
        <v>703</v>
      </c>
      <c r="N307" s="676">
        <v>0.344862</v>
      </c>
      <c r="O307" s="675" t="s">
        <v>140</v>
      </c>
      <c r="P307" s="15">
        <v>0</v>
      </c>
      <c r="Q307" s="46">
        <f t="shared" si="28"/>
        <v>0</v>
      </c>
      <c r="R307" s="46" t="e">
        <f t="shared" si="34"/>
        <v>#DIV/0!</v>
      </c>
      <c r="S307" s="46" t="e">
        <f t="shared" si="29"/>
        <v>#DIV/0!</v>
      </c>
      <c r="T307" s="677" t="e">
        <f t="shared" si="33"/>
        <v>#DIV/0!</v>
      </c>
      <c r="U307" s="80" t="e">
        <f t="shared" si="32"/>
        <v>#DIV/0!</v>
      </c>
      <c r="V307" s="85">
        <f t="shared" si="30"/>
        <v>710</v>
      </c>
      <c r="W307" s="679">
        <f t="shared" si="31"/>
        <v>705</v>
      </c>
      <c r="X307" s="4"/>
    </row>
    <row r="308" spans="1:24" x14ac:dyDescent="0.25">
      <c r="A308" s="680" t="s">
        <v>461</v>
      </c>
      <c r="B308" s="681" t="s">
        <v>459</v>
      </c>
      <c r="C308" s="47" t="s">
        <v>408</v>
      </c>
      <c r="D308" s="118" t="s">
        <v>45</v>
      </c>
      <c r="E308" s="118" t="s">
        <v>17</v>
      </c>
      <c r="F308" s="118" t="s">
        <v>514</v>
      </c>
      <c r="G308" s="118">
        <v>29</v>
      </c>
      <c r="H308" s="118">
        <v>1</v>
      </c>
      <c r="I308" s="118">
        <v>1500</v>
      </c>
      <c r="J308" s="675">
        <v>4</v>
      </c>
      <c r="K308" s="118">
        <v>776</v>
      </c>
      <c r="L308" s="118" t="s">
        <v>490</v>
      </c>
      <c r="M308" s="64">
        <v>342</v>
      </c>
      <c r="N308" s="676">
        <v>2.2728419999999998</v>
      </c>
      <c r="O308" s="675" t="s">
        <v>140</v>
      </c>
      <c r="P308" s="15">
        <v>1531</v>
      </c>
      <c r="Q308" s="46">
        <f t="shared" si="28"/>
        <v>60.275470000000006</v>
      </c>
      <c r="R308" s="46">
        <f t="shared" si="34"/>
        <v>6.6258297114895992</v>
      </c>
      <c r="S308" s="46">
        <f t="shared" si="29"/>
        <v>0.34302752997994362</v>
      </c>
      <c r="T308" s="677">
        <f t="shared" si="33"/>
        <v>4.9003932854277663E-2</v>
      </c>
      <c r="U308" s="80">
        <f t="shared" si="32"/>
        <v>37733.028297793797</v>
      </c>
      <c r="V308" s="85">
        <f t="shared" si="30"/>
        <v>350</v>
      </c>
      <c r="W308" s="679">
        <f t="shared" si="31"/>
        <v>345</v>
      </c>
      <c r="X308" s="4"/>
    </row>
    <row r="309" spans="1:24" x14ac:dyDescent="0.25">
      <c r="A309" s="680" t="s">
        <v>461</v>
      </c>
      <c r="B309" s="681" t="s">
        <v>459</v>
      </c>
      <c r="C309" s="47" t="s">
        <v>408</v>
      </c>
      <c r="D309" s="118" t="s">
        <v>45</v>
      </c>
      <c r="E309" s="118" t="s">
        <v>17</v>
      </c>
      <c r="F309" s="118" t="s">
        <v>514</v>
      </c>
      <c r="G309" s="118">
        <v>1</v>
      </c>
      <c r="H309" s="118">
        <v>1</v>
      </c>
      <c r="I309" s="118">
        <v>1500</v>
      </c>
      <c r="J309" s="675">
        <v>4</v>
      </c>
      <c r="K309" s="118">
        <v>3879</v>
      </c>
      <c r="L309" s="118" t="s">
        <v>490</v>
      </c>
      <c r="M309" s="64">
        <v>342</v>
      </c>
      <c r="N309" s="676">
        <v>2.1442589999999999</v>
      </c>
      <c r="O309" s="675" t="s">
        <v>140</v>
      </c>
      <c r="P309" s="15">
        <v>1531</v>
      </c>
      <c r="Q309" s="46">
        <f t="shared" si="28"/>
        <v>60.275470000000006</v>
      </c>
      <c r="R309" s="46">
        <f t="shared" si="34"/>
        <v>6.6258297114895992</v>
      </c>
      <c r="S309" s="46">
        <f t="shared" si="29"/>
        <v>0.32362120570073238</v>
      </c>
      <c r="T309" s="677">
        <f t="shared" si="33"/>
        <v>4.6231600814390338E-2</v>
      </c>
      <c r="U309" s="80">
        <f t="shared" si="32"/>
        <v>35598.332627080563</v>
      </c>
      <c r="V309" s="85">
        <f t="shared" si="30"/>
        <v>350</v>
      </c>
      <c r="W309" s="679">
        <f t="shared" si="31"/>
        <v>345</v>
      </c>
      <c r="X309" s="4"/>
    </row>
    <row r="310" spans="1:24" x14ac:dyDescent="0.25">
      <c r="A310" s="680" t="s">
        <v>406</v>
      </c>
      <c r="B310" s="681" t="s">
        <v>407</v>
      </c>
      <c r="C310" s="47" t="s">
        <v>408</v>
      </c>
      <c r="D310" s="118" t="s">
        <v>45</v>
      </c>
      <c r="E310" s="118" t="s">
        <v>17</v>
      </c>
      <c r="F310" s="118" t="s">
        <v>515</v>
      </c>
      <c r="G310" s="118">
        <v>12</v>
      </c>
      <c r="H310" s="118">
        <v>2</v>
      </c>
      <c r="I310" s="118">
        <v>26385</v>
      </c>
      <c r="J310" s="675">
        <v>4</v>
      </c>
      <c r="K310" s="118">
        <v>2784</v>
      </c>
      <c r="L310" s="118" t="s">
        <v>490</v>
      </c>
      <c r="M310" s="64">
        <v>342</v>
      </c>
      <c r="N310" s="676">
        <v>2.0474999999999999</v>
      </c>
      <c r="O310" s="675" t="s">
        <v>140</v>
      </c>
      <c r="P310" s="15">
        <v>1531</v>
      </c>
      <c r="Q310" s="46">
        <f t="shared" si="28"/>
        <v>60.275470000000006</v>
      </c>
      <c r="R310" s="46">
        <f t="shared" si="34"/>
        <v>6.6258297114895992</v>
      </c>
      <c r="S310" s="46">
        <f t="shared" si="29"/>
        <v>0.30901790253521128</v>
      </c>
      <c r="T310" s="677">
        <f t="shared" si="33"/>
        <v>4.4145414647887328E-2</v>
      </c>
      <c r="U310" s="80">
        <f t="shared" si="32"/>
        <v>33991.969278873243</v>
      </c>
      <c r="V310" s="678">
        <f t="shared" si="30"/>
        <v>350</v>
      </c>
      <c r="W310" s="679">
        <f t="shared" si="31"/>
        <v>345</v>
      </c>
      <c r="X310" s="4"/>
    </row>
    <row r="311" spans="1:24" x14ac:dyDescent="0.25">
      <c r="A311" s="680" t="s">
        <v>406</v>
      </c>
      <c r="B311" s="681" t="s">
        <v>407</v>
      </c>
      <c r="C311" s="47" t="s">
        <v>408</v>
      </c>
      <c r="D311" s="118" t="s">
        <v>45</v>
      </c>
      <c r="E311" s="118" t="s">
        <v>17</v>
      </c>
      <c r="F311" s="118" t="s">
        <v>516</v>
      </c>
      <c r="G311" s="118">
        <v>12</v>
      </c>
      <c r="H311" s="118">
        <v>1</v>
      </c>
      <c r="I311" s="118">
        <v>91778</v>
      </c>
      <c r="J311" s="675">
        <v>4</v>
      </c>
      <c r="K311" s="118">
        <v>1781</v>
      </c>
      <c r="L311" s="118" t="s">
        <v>490</v>
      </c>
      <c r="M311" s="64">
        <v>342</v>
      </c>
      <c r="N311" s="676">
        <v>1.9272825</v>
      </c>
      <c r="O311" s="675" t="s">
        <v>140</v>
      </c>
      <c r="P311" s="15">
        <v>1531</v>
      </c>
      <c r="Q311" s="46">
        <f t="shared" si="28"/>
        <v>60.275470000000006</v>
      </c>
      <c r="R311" s="46">
        <f t="shared" si="34"/>
        <v>6.6258297114895992</v>
      </c>
      <c r="S311" s="46">
        <f t="shared" si="29"/>
        <v>0.2908741371149296</v>
      </c>
      <c r="T311" s="677">
        <f t="shared" si="33"/>
        <v>4.1553448159275655E-2</v>
      </c>
      <c r="U311" s="80">
        <f t="shared" si="32"/>
        <v>31996.155082642257</v>
      </c>
      <c r="V311" s="85">
        <f t="shared" si="30"/>
        <v>350</v>
      </c>
      <c r="W311" s="679">
        <f t="shared" si="31"/>
        <v>345</v>
      </c>
      <c r="X311" s="4"/>
    </row>
    <row r="312" spans="1:24" x14ac:dyDescent="0.25">
      <c r="A312" s="680" t="s">
        <v>409</v>
      </c>
      <c r="B312" s="681" t="s">
        <v>410</v>
      </c>
      <c r="C312" s="47" t="s">
        <v>408</v>
      </c>
      <c r="D312" s="118" t="s">
        <v>45</v>
      </c>
      <c r="E312" s="118" t="s">
        <v>17</v>
      </c>
      <c r="F312" s="118" t="s">
        <v>517</v>
      </c>
      <c r="G312" s="118">
        <v>12</v>
      </c>
      <c r="H312" s="118">
        <v>2</v>
      </c>
      <c r="I312" s="118">
        <v>12900</v>
      </c>
      <c r="J312" s="675">
        <v>4</v>
      </c>
      <c r="K312" s="118">
        <v>968</v>
      </c>
      <c r="L312" s="118" t="s">
        <v>490</v>
      </c>
      <c r="M312" s="64">
        <v>342</v>
      </c>
      <c r="N312" s="676">
        <v>1.8070649999999999</v>
      </c>
      <c r="O312" s="675" t="s">
        <v>140</v>
      </c>
      <c r="P312" s="15">
        <v>1531</v>
      </c>
      <c r="Q312" s="46">
        <f t="shared" si="28"/>
        <v>60.275470000000006</v>
      </c>
      <c r="R312" s="46">
        <f t="shared" si="34"/>
        <v>6.6258297114895992</v>
      </c>
      <c r="S312" s="46">
        <f t="shared" si="29"/>
        <v>0.27273037169464787</v>
      </c>
      <c r="T312" s="677">
        <f t="shared" si="33"/>
        <v>3.8961481670663982E-2</v>
      </c>
      <c r="U312" s="80">
        <f t="shared" si="32"/>
        <v>30000.340886411264</v>
      </c>
      <c r="V312" s="85">
        <f t="shared" si="30"/>
        <v>350</v>
      </c>
      <c r="W312" s="679">
        <f t="shared" si="31"/>
        <v>345</v>
      </c>
      <c r="X312" s="4"/>
    </row>
    <row r="313" spans="1:24" x14ac:dyDescent="0.25">
      <c r="A313" s="680" t="s">
        <v>414</v>
      </c>
      <c r="B313" s="681" t="s">
        <v>415</v>
      </c>
      <c r="C313" s="47" t="s">
        <v>408</v>
      </c>
      <c r="D313" s="118" t="s">
        <v>10</v>
      </c>
      <c r="E313" s="118" t="s">
        <v>17</v>
      </c>
      <c r="F313" s="118" t="s">
        <v>518</v>
      </c>
      <c r="G313" s="118">
        <v>3</v>
      </c>
      <c r="H313" s="118">
        <v>1</v>
      </c>
      <c r="I313" s="118">
        <v>17971</v>
      </c>
      <c r="J313" s="675">
        <v>4</v>
      </c>
      <c r="K313" s="118">
        <v>2184</v>
      </c>
      <c r="L313" s="118" t="s">
        <v>490</v>
      </c>
      <c r="M313" s="64">
        <v>255</v>
      </c>
      <c r="N313" s="676">
        <v>25.346513250000001</v>
      </c>
      <c r="O313" s="675" t="s">
        <v>140</v>
      </c>
      <c r="P313" s="15">
        <v>873</v>
      </c>
      <c r="Q313" s="46">
        <f t="shared" si="28"/>
        <v>34.370010000000001</v>
      </c>
      <c r="R313" s="46">
        <f t="shared" si="34"/>
        <v>11.619868600561944</v>
      </c>
      <c r="S313" s="46">
        <f t="shared" si="29"/>
        <v>2.1813080785418029</v>
      </c>
      <c r="T313" s="677">
        <f t="shared" si="33"/>
        <v>0.3116154397916861</v>
      </c>
      <c r="U313" s="80">
        <f t="shared" si="32"/>
        <v>239943.88863959833</v>
      </c>
      <c r="V313" s="85">
        <f t="shared" si="30"/>
        <v>260</v>
      </c>
      <c r="W313" s="679">
        <f t="shared" si="31"/>
        <v>255</v>
      </c>
      <c r="X313" s="4"/>
    </row>
    <row r="314" spans="1:24" x14ac:dyDescent="0.25">
      <c r="A314" s="680" t="s">
        <v>417</v>
      </c>
      <c r="B314" s="681" t="s">
        <v>415</v>
      </c>
      <c r="C314" s="47" t="s">
        <v>408</v>
      </c>
      <c r="D314" s="118" t="s">
        <v>47</v>
      </c>
      <c r="E314" s="118" t="s">
        <v>524</v>
      </c>
      <c r="F314" s="118" t="s">
        <v>519</v>
      </c>
      <c r="G314" s="118">
        <v>2</v>
      </c>
      <c r="H314" s="118">
        <v>1</v>
      </c>
      <c r="I314" s="118">
        <v>7759</v>
      </c>
      <c r="J314" s="675">
        <v>4</v>
      </c>
      <c r="K314" s="118">
        <v>785</v>
      </c>
      <c r="L314" s="118" t="s">
        <v>490</v>
      </c>
      <c r="M314" s="64">
        <v>518</v>
      </c>
      <c r="N314" s="676">
        <v>1.1801602</v>
      </c>
      <c r="O314" s="675" t="s">
        <v>140</v>
      </c>
      <c r="P314" s="15">
        <v>0</v>
      </c>
      <c r="Q314" s="46">
        <f t="shared" si="28"/>
        <v>0</v>
      </c>
      <c r="R314" s="46" t="e">
        <f t="shared" si="34"/>
        <v>#DIV/0!</v>
      </c>
      <c r="S314" s="46" t="e">
        <f t="shared" si="29"/>
        <v>#DIV/0!</v>
      </c>
      <c r="T314" s="677" t="e">
        <f t="shared" si="33"/>
        <v>#DIV/0!</v>
      </c>
      <c r="U314" s="80" t="e">
        <f t="shared" si="32"/>
        <v>#DIV/0!</v>
      </c>
      <c r="V314" s="85">
        <f t="shared" si="30"/>
        <v>520</v>
      </c>
      <c r="W314" s="679">
        <f t="shared" si="31"/>
        <v>520</v>
      </c>
      <c r="X314" s="4"/>
    </row>
    <row r="315" spans="1:24" x14ac:dyDescent="0.25">
      <c r="A315" s="680" t="s">
        <v>419</v>
      </c>
      <c r="B315" s="681" t="s">
        <v>415</v>
      </c>
      <c r="C315" s="47" t="s">
        <v>408</v>
      </c>
      <c r="D315" s="118" t="s">
        <v>47</v>
      </c>
      <c r="E315" s="118" t="s">
        <v>524</v>
      </c>
      <c r="F315" s="118" t="s">
        <v>519</v>
      </c>
      <c r="G315" s="118">
        <v>1</v>
      </c>
      <c r="H315" s="118">
        <v>1</v>
      </c>
      <c r="I315" s="118">
        <v>7100</v>
      </c>
      <c r="J315" s="675">
        <v>4</v>
      </c>
      <c r="K315" s="118">
        <v>785</v>
      </c>
      <c r="L315" s="118" t="s">
        <v>490</v>
      </c>
      <c r="M315" s="64">
        <v>518</v>
      </c>
      <c r="N315" s="676">
        <v>1.918466</v>
      </c>
      <c r="O315" s="675" t="s">
        <v>140</v>
      </c>
      <c r="P315" s="15">
        <v>0</v>
      </c>
      <c r="Q315" s="46">
        <f t="shared" si="28"/>
        <v>0</v>
      </c>
      <c r="R315" s="46" t="e">
        <f t="shared" si="34"/>
        <v>#DIV/0!</v>
      </c>
      <c r="S315" s="46" t="e">
        <f t="shared" si="29"/>
        <v>#DIV/0!</v>
      </c>
      <c r="T315" s="677" t="e">
        <f t="shared" si="33"/>
        <v>#DIV/0!</v>
      </c>
      <c r="U315" s="80" t="e">
        <f t="shared" si="32"/>
        <v>#DIV/0!</v>
      </c>
      <c r="V315" s="85">
        <f t="shared" si="30"/>
        <v>520</v>
      </c>
      <c r="W315" s="679">
        <f t="shared" si="31"/>
        <v>520</v>
      </c>
      <c r="X315" s="4"/>
    </row>
    <row r="316" spans="1:24" x14ac:dyDescent="0.25">
      <c r="A316" s="680" t="s">
        <v>421</v>
      </c>
      <c r="B316" s="681" t="s">
        <v>422</v>
      </c>
      <c r="C316" s="47" t="s">
        <v>423</v>
      </c>
      <c r="D316" s="118" t="s">
        <v>48</v>
      </c>
      <c r="E316" s="118" t="s">
        <v>524</v>
      </c>
      <c r="F316" s="118" t="s">
        <v>520</v>
      </c>
      <c r="G316" s="118">
        <v>1</v>
      </c>
      <c r="H316" s="118">
        <v>1</v>
      </c>
      <c r="I316" s="118">
        <v>19050</v>
      </c>
      <c r="J316" s="675">
        <v>4</v>
      </c>
      <c r="K316" s="118">
        <v>1185</v>
      </c>
      <c r="L316" s="118" t="s">
        <v>490</v>
      </c>
      <c r="M316" s="64">
        <v>518</v>
      </c>
      <c r="N316" s="676">
        <v>3.0943000000000001</v>
      </c>
      <c r="O316" s="675" t="s">
        <v>140</v>
      </c>
      <c r="P316" s="15">
        <v>0</v>
      </c>
      <c r="Q316" s="46">
        <f t="shared" si="28"/>
        <v>0</v>
      </c>
      <c r="R316" s="46" t="e">
        <f t="shared" si="34"/>
        <v>#DIV/0!</v>
      </c>
      <c r="S316" s="46" t="e">
        <f t="shared" si="29"/>
        <v>#DIV/0!</v>
      </c>
      <c r="T316" s="677" t="e">
        <f t="shared" si="33"/>
        <v>#DIV/0!</v>
      </c>
      <c r="U316" s="80" t="e">
        <f t="shared" si="32"/>
        <v>#DIV/0!</v>
      </c>
      <c r="V316" s="85">
        <f t="shared" si="30"/>
        <v>520</v>
      </c>
      <c r="W316" s="679">
        <f t="shared" si="31"/>
        <v>520</v>
      </c>
      <c r="X316" s="4"/>
    </row>
    <row r="317" spans="1:24" x14ac:dyDescent="0.25">
      <c r="A317" s="680" t="s">
        <v>425</v>
      </c>
      <c r="B317" s="681" t="s">
        <v>426</v>
      </c>
      <c r="C317" s="47" t="s">
        <v>427</v>
      </c>
      <c r="D317" s="118" t="s">
        <v>42</v>
      </c>
      <c r="E317" s="118" t="s">
        <v>524</v>
      </c>
      <c r="F317" s="118" t="s">
        <v>520</v>
      </c>
      <c r="G317" s="118">
        <v>3</v>
      </c>
      <c r="H317" s="118">
        <v>1</v>
      </c>
      <c r="I317" s="118">
        <v>4255</v>
      </c>
      <c r="J317" s="675">
        <v>4</v>
      </c>
      <c r="K317" s="118">
        <v>1185</v>
      </c>
      <c r="L317" s="118" t="s">
        <v>490</v>
      </c>
      <c r="M317" s="64">
        <v>518</v>
      </c>
      <c r="N317" s="676">
        <v>0.16489999999999999</v>
      </c>
      <c r="O317" s="675" t="s">
        <v>140</v>
      </c>
      <c r="P317" s="15">
        <v>0</v>
      </c>
      <c r="Q317" s="46">
        <f t="shared" si="28"/>
        <v>0</v>
      </c>
      <c r="R317" s="46" t="e">
        <f t="shared" si="34"/>
        <v>#DIV/0!</v>
      </c>
      <c r="S317" s="46" t="e">
        <f t="shared" si="29"/>
        <v>#DIV/0!</v>
      </c>
      <c r="T317" s="677" t="e">
        <f t="shared" si="33"/>
        <v>#DIV/0!</v>
      </c>
      <c r="U317" s="80" t="e">
        <f t="shared" si="32"/>
        <v>#DIV/0!</v>
      </c>
      <c r="V317" s="85">
        <f t="shared" si="30"/>
        <v>520</v>
      </c>
      <c r="W317" s="679">
        <f t="shared" si="31"/>
        <v>520</v>
      </c>
      <c r="X317" s="4"/>
    </row>
    <row r="318" spans="1:24" x14ac:dyDescent="0.25">
      <c r="A318" s="680" t="s">
        <v>429</v>
      </c>
      <c r="B318" s="681" t="s">
        <v>430</v>
      </c>
      <c r="C318" s="47" t="s">
        <v>431</v>
      </c>
      <c r="D318" s="118" t="s">
        <v>42</v>
      </c>
      <c r="E318" s="118" t="s">
        <v>524</v>
      </c>
      <c r="F318" s="118" t="s">
        <v>521</v>
      </c>
      <c r="G318" s="118">
        <v>1</v>
      </c>
      <c r="H318" s="118">
        <v>1</v>
      </c>
      <c r="I318" s="118">
        <v>89250</v>
      </c>
      <c r="J318" s="675">
        <v>4</v>
      </c>
      <c r="K318" s="118">
        <v>1190</v>
      </c>
      <c r="L318" s="118" t="s">
        <v>490</v>
      </c>
      <c r="M318" s="64">
        <v>518</v>
      </c>
      <c r="N318" s="676">
        <v>0.20406860000000002</v>
      </c>
      <c r="O318" s="675" t="s">
        <v>140</v>
      </c>
      <c r="P318" s="15">
        <v>0</v>
      </c>
      <c r="Q318" s="46">
        <f t="shared" si="28"/>
        <v>0</v>
      </c>
      <c r="R318" s="46" t="e">
        <f t="shared" si="34"/>
        <v>#DIV/0!</v>
      </c>
      <c r="S318" s="46" t="e">
        <f t="shared" si="29"/>
        <v>#DIV/0!</v>
      </c>
      <c r="T318" s="677" t="e">
        <f t="shared" si="33"/>
        <v>#DIV/0!</v>
      </c>
      <c r="U318" s="80" t="e">
        <f t="shared" si="32"/>
        <v>#DIV/0!</v>
      </c>
      <c r="V318" s="85">
        <f t="shared" si="30"/>
        <v>520</v>
      </c>
      <c r="W318" s="679">
        <f t="shared" si="31"/>
        <v>520</v>
      </c>
      <c r="X318" s="4"/>
    </row>
    <row r="319" spans="1:24" x14ac:dyDescent="0.25">
      <c r="A319" s="680" t="s">
        <v>429</v>
      </c>
      <c r="B319" s="681" t="s">
        <v>430</v>
      </c>
      <c r="C319" s="47" t="s">
        <v>433</v>
      </c>
      <c r="D319" s="118" t="s">
        <v>49</v>
      </c>
      <c r="E319" s="118" t="s">
        <v>510</v>
      </c>
      <c r="F319" s="118" t="s">
        <v>522</v>
      </c>
      <c r="G319" s="118">
        <v>1</v>
      </c>
      <c r="H319" s="118">
        <v>1</v>
      </c>
      <c r="I319" s="118">
        <v>13000</v>
      </c>
      <c r="J319" s="675">
        <v>4</v>
      </c>
      <c r="K319" s="118">
        <v>1181</v>
      </c>
      <c r="L319" s="118" t="s">
        <v>490</v>
      </c>
      <c r="M319" s="64">
        <v>703</v>
      </c>
      <c r="N319" s="676">
        <v>0.51939749999999996</v>
      </c>
      <c r="O319" s="675" t="s">
        <v>140</v>
      </c>
      <c r="P319" s="15">
        <v>0</v>
      </c>
      <c r="Q319" s="46">
        <f t="shared" si="28"/>
        <v>0</v>
      </c>
      <c r="R319" s="46" t="e">
        <f t="shared" si="34"/>
        <v>#DIV/0!</v>
      </c>
      <c r="S319" s="46" t="e">
        <f t="shared" si="29"/>
        <v>#DIV/0!</v>
      </c>
      <c r="T319" s="677" t="e">
        <f t="shared" si="33"/>
        <v>#DIV/0!</v>
      </c>
      <c r="U319" s="80" t="e">
        <f t="shared" si="32"/>
        <v>#DIV/0!</v>
      </c>
      <c r="V319" s="85">
        <f t="shared" si="30"/>
        <v>710</v>
      </c>
      <c r="W319" s="679">
        <f t="shared" si="31"/>
        <v>705</v>
      </c>
      <c r="X319" s="4"/>
    </row>
    <row r="320" spans="1:24" x14ac:dyDescent="0.25">
      <c r="A320" s="680" t="s">
        <v>429</v>
      </c>
      <c r="B320" s="681" t="s">
        <v>430</v>
      </c>
      <c r="C320" s="47" t="s">
        <v>435</v>
      </c>
      <c r="D320" s="118" t="s">
        <v>49</v>
      </c>
      <c r="E320" s="118" t="s">
        <v>510</v>
      </c>
      <c r="F320" s="118" t="s">
        <v>522</v>
      </c>
      <c r="G320" s="118">
        <v>1</v>
      </c>
      <c r="H320" s="118">
        <v>1</v>
      </c>
      <c r="I320" s="118">
        <v>4250</v>
      </c>
      <c r="J320" s="675">
        <v>4</v>
      </c>
      <c r="K320" s="118">
        <v>1181</v>
      </c>
      <c r="L320" s="118" t="s">
        <v>490</v>
      </c>
      <c r="M320" s="64">
        <v>703</v>
      </c>
      <c r="N320" s="676">
        <v>0.48336800000000002</v>
      </c>
      <c r="O320" s="675" t="s">
        <v>140</v>
      </c>
      <c r="P320" s="15">
        <v>0</v>
      </c>
      <c r="Q320" s="46">
        <f t="shared" si="28"/>
        <v>0</v>
      </c>
      <c r="R320" s="46" t="e">
        <f t="shared" si="34"/>
        <v>#DIV/0!</v>
      </c>
      <c r="S320" s="46" t="e">
        <f t="shared" si="29"/>
        <v>#DIV/0!</v>
      </c>
      <c r="T320" s="677" t="e">
        <f t="shared" si="33"/>
        <v>#DIV/0!</v>
      </c>
      <c r="U320" s="80" t="e">
        <f t="shared" si="32"/>
        <v>#DIV/0!</v>
      </c>
      <c r="V320" s="85">
        <f t="shared" si="30"/>
        <v>710</v>
      </c>
      <c r="W320" s="679">
        <f t="shared" si="31"/>
        <v>705</v>
      </c>
      <c r="X320" s="4"/>
    </row>
    <row r="321" spans="1:24" x14ac:dyDescent="0.25">
      <c r="A321" s="680" t="s">
        <v>429</v>
      </c>
      <c r="B321" s="681" t="s">
        <v>430</v>
      </c>
      <c r="C321" s="47" t="s">
        <v>437</v>
      </c>
      <c r="D321" s="118" t="s">
        <v>49</v>
      </c>
      <c r="E321" s="118" t="s">
        <v>510</v>
      </c>
      <c r="F321" s="118" t="s">
        <v>522</v>
      </c>
      <c r="G321" s="118">
        <v>1</v>
      </c>
      <c r="H321" s="118">
        <v>1</v>
      </c>
      <c r="I321" s="118">
        <v>8500</v>
      </c>
      <c r="J321" s="675">
        <v>4</v>
      </c>
      <c r="K321" s="118">
        <v>1181</v>
      </c>
      <c r="L321" s="118" t="s">
        <v>490</v>
      </c>
      <c r="M321" s="64">
        <v>703</v>
      </c>
      <c r="N321" s="676">
        <v>0.49282099999999995</v>
      </c>
      <c r="O321" s="675" t="s">
        <v>140</v>
      </c>
      <c r="P321" s="15">
        <v>0</v>
      </c>
      <c r="Q321" s="46">
        <f t="shared" si="28"/>
        <v>0</v>
      </c>
      <c r="R321" s="46" t="e">
        <f t="shared" si="34"/>
        <v>#DIV/0!</v>
      </c>
      <c r="S321" s="46" t="e">
        <f t="shared" si="29"/>
        <v>#DIV/0!</v>
      </c>
      <c r="T321" s="677" t="e">
        <f t="shared" si="33"/>
        <v>#DIV/0!</v>
      </c>
      <c r="U321" s="80" t="e">
        <f t="shared" si="32"/>
        <v>#DIV/0!</v>
      </c>
      <c r="V321" s="85">
        <f t="shared" si="30"/>
        <v>710</v>
      </c>
      <c r="W321" s="679">
        <f t="shared" si="31"/>
        <v>705</v>
      </c>
      <c r="X321" s="4"/>
    </row>
    <row r="322" spans="1:24" x14ac:dyDescent="0.25">
      <c r="A322" s="680" t="s">
        <v>439</v>
      </c>
      <c r="B322" s="681" t="s">
        <v>430</v>
      </c>
      <c r="C322" s="47" t="s">
        <v>431</v>
      </c>
      <c r="D322" s="118" t="s">
        <v>49</v>
      </c>
      <c r="E322" s="118" t="s">
        <v>510</v>
      </c>
      <c r="F322" s="118" t="s">
        <v>521</v>
      </c>
      <c r="G322" s="118">
        <v>1</v>
      </c>
      <c r="H322" s="118">
        <v>1</v>
      </c>
      <c r="I322" s="118">
        <v>103000</v>
      </c>
      <c r="J322" s="675">
        <v>4</v>
      </c>
      <c r="K322" s="118">
        <v>1190</v>
      </c>
      <c r="L322" s="118" t="s">
        <v>490</v>
      </c>
      <c r="M322" s="64">
        <v>703</v>
      </c>
      <c r="N322" s="676">
        <v>0.4934075</v>
      </c>
      <c r="O322" s="675" t="s">
        <v>140</v>
      </c>
      <c r="P322" s="15">
        <v>0</v>
      </c>
      <c r="Q322" s="46">
        <f t="shared" si="28"/>
        <v>0</v>
      </c>
      <c r="R322" s="46" t="e">
        <f t="shared" si="34"/>
        <v>#DIV/0!</v>
      </c>
      <c r="S322" s="46" t="e">
        <f t="shared" si="29"/>
        <v>#DIV/0!</v>
      </c>
      <c r="T322" s="677" t="e">
        <f t="shared" si="33"/>
        <v>#DIV/0!</v>
      </c>
      <c r="U322" s="80" t="e">
        <f t="shared" si="32"/>
        <v>#DIV/0!</v>
      </c>
      <c r="V322" s="85">
        <f t="shared" si="30"/>
        <v>710</v>
      </c>
      <c r="W322" s="679">
        <f t="shared" si="31"/>
        <v>705</v>
      </c>
      <c r="X322" s="4"/>
    </row>
    <row r="323" spans="1:24" x14ac:dyDescent="0.25">
      <c r="A323" s="680" t="s">
        <v>439</v>
      </c>
      <c r="B323" s="681" t="s">
        <v>430</v>
      </c>
      <c r="C323" s="47" t="s">
        <v>435</v>
      </c>
      <c r="D323" s="118" t="s">
        <v>50</v>
      </c>
      <c r="E323" s="118" t="s">
        <v>510</v>
      </c>
      <c r="F323" s="118" t="s">
        <v>522</v>
      </c>
      <c r="G323" s="118">
        <v>1</v>
      </c>
      <c r="H323" s="118">
        <v>1</v>
      </c>
      <c r="I323" s="118">
        <v>12750</v>
      </c>
      <c r="J323" s="675">
        <v>4</v>
      </c>
      <c r="K323" s="118">
        <v>1181</v>
      </c>
      <c r="L323" s="118" t="s">
        <v>490</v>
      </c>
      <c r="M323" s="64">
        <v>703</v>
      </c>
      <c r="N323" s="676">
        <v>0.17396049999999999</v>
      </c>
      <c r="O323" s="675" t="s">
        <v>140</v>
      </c>
      <c r="P323" s="15">
        <v>0</v>
      </c>
      <c r="Q323" s="46">
        <f t="shared" si="28"/>
        <v>0</v>
      </c>
      <c r="R323" s="46" t="e">
        <f t="shared" si="34"/>
        <v>#DIV/0!</v>
      </c>
      <c r="S323" s="46" t="e">
        <f t="shared" si="29"/>
        <v>#DIV/0!</v>
      </c>
      <c r="T323" s="677" t="e">
        <f t="shared" si="33"/>
        <v>#DIV/0!</v>
      </c>
      <c r="U323" s="80" t="e">
        <f t="shared" si="32"/>
        <v>#DIV/0!</v>
      </c>
      <c r="V323" s="85">
        <f t="shared" si="30"/>
        <v>710</v>
      </c>
      <c r="W323" s="679">
        <f t="shared" si="31"/>
        <v>705</v>
      </c>
      <c r="X323" s="4"/>
    </row>
    <row r="324" spans="1:24" x14ac:dyDescent="0.25">
      <c r="A324" s="680" t="s">
        <v>442</v>
      </c>
      <c r="B324" s="681" t="s">
        <v>443</v>
      </c>
      <c r="C324" s="47" t="s">
        <v>444</v>
      </c>
      <c r="D324" s="118" t="s">
        <v>50</v>
      </c>
      <c r="E324" s="118" t="s">
        <v>510</v>
      </c>
      <c r="F324" s="118" t="s">
        <v>523</v>
      </c>
      <c r="G324" s="118">
        <v>1</v>
      </c>
      <c r="H324" s="118">
        <v>1</v>
      </c>
      <c r="I324" s="118">
        <v>17500</v>
      </c>
      <c r="J324" s="675">
        <v>4</v>
      </c>
      <c r="K324" s="118">
        <v>1692</v>
      </c>
      <c r="L324" s="118" t="s">
        <v>490</v>
      </c>
      <c r="M324" s="64">
        <v>703</v>
      </c>
      <c r="N324" s="676">
        <v>0.19409699999999999</v>
      </c>
      <c r="O324" s="675" t="s">
        <v>140</v>
      </c>
      <c r="P324" s="15">
        <v>0</v>
      </c>
      <c r="Q324" s="46">
        <f t="shared" si="28"/>
        <v>0</v>
      </c>
      <c r="R324" s="46" t="e">
        <f t="shared" si="34"/>
        <v>#DIV/0!</v>
      </c>
      <c r="S324" s="46" t="e">
        <f t="shared" si="29"/>
        <v>#DIV/0!</v>
      </c>
      <c r="T324" s="677" t="e">
        <f t="shared" si="33"/>
        <v>#DIV/0!</v>
      </c>
      <c r="U324" s="80" t="e">
        <f t="shared" si="32"/>
        <v>#DIV/0!</v>
      </c>
      <c r="V324" s="85">
        <f t="shared" si="30"/>
        <v>710</v>
      </c>
      <c r="W324" s="679">
        <f t="shared" si="31"/>
        <v>705</v>
      </c>
      <c r="X324" s="4"/>
    </row>
    <row r="325" spans="1:24" x14ac:dyDescent="0.25">
      <c r="A325" s="680" t="s">
        <v>442</v>
      </c>
      <c r="B325" s="681" t="s">
        <v>443</v>
      </c>
      <c r="C325" s="47" t="s">
        <v>446</v>
      </c>
      <c r="D325" s="118" t="s">
        <v>50</v>
      </c>
      <c r="E325" s="118" t="s">
        <v>510</v>
      </c>
      <c r="F325" s="118" t="s">
        <v>523</v>
      </c>
      <c r="G325" s="118">
        <v>1</v>
      </c>
      <c r="H325" s="118">
        <v>1</v>
      </c>
      <c r="I325" s="118">
        <v>8500</v>
      </c>
      <c r="J325" s="675">
        <v>4</v>
      </c>
      <c r="K325" s="118">
        <v>1502</v>
      </c>
      <c r="L325" s="118" t="s">
        <v>490</v>
      </c>
      <c r="M325" s="64">
        <v>703</v>
      </c>
      <c r="N325" s="676">
        <v>0.25444899999999998</v>
      </c>
      <c r="O325" s="675" t="s">
        <v>140</v>
      </c>
      <c r="P325" s="15">
        <v>0</v>
      </c>
      <c r="Q325" s="46">
        <f t="shared" si="28"/>
        <v>0</v>
      </c>
      <c r="R325" s="46" t="e">
        <f t="shared" si="34"/>
        <v>#DIV/0!</v>
      </c>
      <c r="S325" s="46" t="e">
        <f t="shared" si="29"/>
        <v>#DIV/0!</v>
      </c>
      <c r="T325" s="677" t="e">
        <f t="shared" si="33"/>
        <v>#DIV/0!</v>
      </c>
      <c r="U325" s="80" t="e">
        <f t="shared" si="32"/>
        <v>#DIV/0!</v>
      </c>
      <c r="V325" s="85">
        <f t="shared" si="30"/>
        <v>710</v>
      </c>
      <c r="W325" s="679">
        <f t="shared" si="31"/>
        <v>705</v>
      </c>
      <c r="X325" s="4"/>
    </row>
    <row r="326" spans="1:24" x14ac:dyDescent="0.25">
      <c r="A326" s="680" t="s">
        <v>448</v>
      </c>
      <c r="B326" s="681" t="s">
        <v>443</v>
      </c>
      <c r="C326" s="47" t="s">
        <v>444</v>
      </c>
      <c r="D326" s="118" t="s">
        <v>50</v>
      </c>
      <c r="E326" s="118" t="s">
        <v>510</v>
      </c>
      <c r="F326" s="118" t="s">
        <v>523</v>
      </c>
      <c r="G326" s="118">
        <v>1</v>
      </c>
      <c r="H326" s="118">
        <v>1</v>
      </c>
      <c r="I326" s="118">
        <v>17500</v>
      </c>
      <c r="J326" s="675">
        <v>4</v>
      </c>
      <c r="K326" s="118">
        <v>1692</v>
      </c>
      <c r="L326" s="118" t="s">
        <v>490</v>
      </c>
      <c r="M326" s="64">
        <v>703</v>
      </c>
      <c r="N326" s="676">
        <v>0.26307399999999997</v>
      </c>
      <c r="O326" s="675" t="s">
        <v>140</v>
      </c>
      <c r="P326" s="15">
        <v>0</v>
      </c>
      <c r="Q326" s="46">
        <f t="shared" si="28"/>
        <v>0</v>
      </c>
      <c r="R326" s="46" t="e">
        <f t="shared" si="34"/>
        <v>#DIV/0!</v>
      </c>
      <c r="S326" s="46" t="e">
        <f t="shared" si="29"/>
        <v>#DIV/0!</v>
      </c>
      <c r="T326" s="677" t="e">
        <f t="shared" si="33"/>
        <v>#DIV/0!</v>
      </c>
      <c r="U326" s="80" t="e">
        <f t="shared" si="32"/>
        <v>#DIV/0!</v>
      </c>
      <c r="V326" s="85">
        <f t="shared" si="30"/>
        <v>710</v>
      </c>
      <c r="W326" s="679">
        <f t="shared" si="31"/>
        <v>705</v>
      </c>
      <c r="X326" s="4"/>
    </row>
    <row r="327" spans="1:24" x14ac:dyDescent="0.25">
      <c r="A327" s="680" t="s">
        <v>448</v>
      </c>
      <c r="B327" s="681" t="s">
        <v>443</v>
      </c>
      <c r="C327" s="47" t="s">
        <v>446</v>
      </c>
      <c r="D327" s="118" t="s">
        <v>50</v>
      </c>
      <c r="E327" s="118" t="s">
        <v>510</v>
      </c>
      <c r="F327" s="118" t="s">
        <v>523</v>
      </c>
      <c r="G327" s="118">
        <v>1</v>
      </c>
      <c r="H327" s="118">
        <v>1</v>
      </c>
      <c r="I327" s="118">
        <v>8500</v>
      </c>
      <c r="J327" s="675">
        <v>4</v>
      </c>
      <c r="K327" s="118">
        <v>1692</v>
      </c>
      <c r="L327" s="118" t="s">
        <v>490</v>
      </c>
      <c r="M327" s="64">
        <v>703</v>
      </c>
      <c r="N327" s="676">
        <v>0.27589649999999999</v>
      </c>
      <c r="O327" s="675" t="s">
        <v>140</v>
      </c>
      <c r="P327" s="15">
        <v>0</v>
      </c>
      <c r="Q327" s="46">
        <f t="shared" si="28"/>
        <v>0</v>
      </c>
      <c r="R327" s="46" t="e">
        <f t="shared" si="34"/>
        <v>#DIV/0!</v>
      </c>
      <c r="S327" s="46" t="e">
        <f t="shared" si="29"/>
        <v>#DIV/0!</v>
      </c>
      <c r="T327" s="677" t="e">
        <f t="shared" si="33"/>
        <v>#DIV/0!</v>
      </c>
      <c r="U327" s="80" t="e">
        <f t="shared" si="32"/>
        <v>#DIV/0!</v>
      </c>
      <c r="V327" s="85">
        <f t="shared" si="30"/>
        <v>710</v>
      </c>
      <c r="W327" s="679">
        <f t="shared" si="31"/>
        <v>705</v>
      </c>
      <c r="X327" s="4"/>
    </row>
    <row r="328" spans="1:24" x14ac:dyDescent="0.25">
      <c r="A328" s="680" t="s">
        <v>448</v>
      </c>
      <c r="B328" s="681" t="s">
        <v>451</v>
      </c>
      <c r="C328" s="47" t="s">
        <v>446</v>
      </c>
      <c r="D328" s="118" t="s">
        <v>50</v>
      </c>
      <c r="E328" s="118" t="s">
        <v>510</v>
      </c>
      <c r="F328" s="118" t="s">
        <v>523</v>
      </c>
      <c r="G328" s="118">
        <v>2</v>
      </c>
      <c r="H328" s="118">
        <v>1</v>
      </c>
      <c r="I328" s="118">
        <v>8500</v>
      </c>
      <c r="J328" s="675">
        <v>4</v>
      </c>
      <c r="K328" s="118">
        <v>1502</v>
      </c>
      <c r="L328" s="118" t="s">
        <v>490</v>
      </c>
      <c r="M328" s="64">
        <v>703</v>
      </c>
      <c r="N328" s="676">
        <v>0.26416650000000003</v>
      </c>
      <c r="O328" s="675" t="s">
        <v>140</v>
      </c>
      <c r="P328" s="15">
        <v>0</v>
      </c>
      <c r="Q328" s="46">
        <f t="shared" si="28"/>
        <v>0</v>
      </c>
      <c r="R328" s="46" t="e">
        <f t="shared" si="34"/>
        <v>#DIV/0!</v>
      </c>
      <c r="S328" s="46" t="e">
        <f t="shared" si="29"/>
        <v>#DIV/0!</v>
      </c>
      <c r="T328" s="677" t="e">
        <f t="shared" si="33"/>
        <v>#DIV/0!</v>
      </c>
      <c r="U328" s="80" t="e">
        <f t="shared" si="32"/>
        <v>#DIV/0!</v>
      </c>
      <c r="V328" s="85">
        <f t="shared" si="30"/>
        <v>710</v>
      </c>
      <c r="W328" s="679">
        <f t="shared" si="31"/>
        <v>705</v>
      </c>
      <c r="X328" s="4"/>
    </row>
    <row r="329" spans="1:24" x14ac:dyDescent="0.25">
      <c r="A329" s="680" t="s">
        <v>452</v>
      </c>
      <c r="B329" s="681" t="s">
        <v>453</v>
      </c>
      <c r="C329" s="47" t="s">
        <v>454</v>
      </c>
      <c r="D329" s="118" t="s">
        <v>50</v>
      </c>
      <c r="E329" s="118" t="s">
        <v>510</v>
      </c>
      <c r="F329" s="118" t="s">
        <v>513</v>
      </c>
      <c r="G329" s="118">
        <v>2</v>
      </c>
      <c r="H329" s="118">
        <v>1</v>
      </c>
      <c r="I329" s="118">
        <v>11097</v>
      </c>
      <c r="J329" s="675">
        <v>4</v>
      </c>
      <c r="K329" s="118">
        <v>585</v>
      </c>
      <c r="L329" s="118" t="s">
        <v>490</v>
      </c>
      <c r="M329" s="64">
        <v>703</v>
      </c>
      <c r="N329" s="676">
        <v>0.26359149999999998</v>
      </c>
      <c r="O329" s="675" t="s">
        <v>140</v>
      </c>
      <c r="P329" s="15">
        <v>0</v>
      </c>
      <c r="Q329" s="46">
        <f t="shared" si="28"/>
        <v>0</v>
      </c>
      <c r="R329" s="46" t="e">
        <f t="shared" si="34"/>
        <v>#DIV/0!</v>
      </c>
      <c r="S329" s="46" t="e">
        <f t="shared" si="29"/>
        <v>#DIV/0!</v>
      </c>
      <c r="T329" s="677" t="e">
        <f t="shared" si="33"/>
        <v>#DIV/0!</v>
      </c>
      <c r="U329" s="80" t="e">
        <f t="shared" si="32"/>
        <v>#DIV/0!</v>
      </c>
      <c r="V329" s="85">
        <f t="shared" si="30"/>
        <v>710</v>
      </c>
      <c r="W329" s="679">
        <f t="shared" si="31"/>
        <v>705</v>
      </c>
      <c r="X329" s="4"/>
    </row>
    <row r="330" spans="1:24" x14ac:dyDescent="0.25">
      <c r="A330" s="680" t="s">
        <v>452</v>
      </c>
      <c r="B330" s="681" t="s">
        <v>453</v>
      </c>
      <c r="C330" s="47" t="s">
        <v>408</v>
      </c>
      <c r="D330" s="118" t="s">
        <v>50</v>
      </c>
      <c r="E330" s="118" t="s">
        <v>510</v>
      </c>
      <c r="F330" s="118" t="s">
        <v>514</v>
      </c>
      <c r="G330" s="118">
        <v>29</v>
      </c>
      <c r="H330" s="118">
        <v>1</v>
      </c>
      <c r="I330" s="118">
        <v>1500</v>
      </c>
      <c r="J330" s="675">
        <v>4</v>
      </c>
      <c r="K330" s="118">
        <v>776</v>
      </c>
      <c r="L330" s="118" t="s">
        <v>490</v>
      </c>
      <c r="M330" s="64">
        <v>703</v>
      </c>
      <c r="N330" s="676">
        <v>0.2581175</v>
      </c>
      <c r="O330" s="675" t="s">
        <v>140</v>
      </c>
      <c r="P330" s="15">
        <v>0</v>
      </c>
      <c r="Q330" s="46">
        <f t="shared" ref="Q330:Q369" si="35">IF(P330="","",IF(P330="dar valor","",0.03937*P330))</f>
        <v>0</v>
      </c>
      <c r="R330" s="46" t="e">
        <f t="shared" si="34"/>
        <v>#DIV/0!</v>
      </c>
      <c r="S330" s="46" t="e">
        <f t="shared" ref="S330:S369" si="36">IF(R330="","",+N330/R330)</f>
        <v>#DIV/0!</v>
      </c>
      <c r="T330" s="677" t="e">
        <f t="shared" si="33"/>
        <v>#DIV/0!</v>
      </c>
      <c r="U330" s="80" t="e">
        <f t="shared" si="32"/>
        <v>#DIV/0!</v>
      </c>
      <c r="V330" s="85">
        <f t="shared" ref="V330:V354" si="37">_xlfn.CEILING.MATH(M330,10)</f>
        <v>710</v>
      </c>
      <c r="W330" s="679">
        <f t="shared" ref="W330:W369" si="38">_xlfn.CEILING.MATH(M330,5)</f>
        <v>705</v>
      </c>
      <c r="X330" s="4"/>
    </row>
    <row r="331" spans="1:24" x14ac:dyDescent="0.25">
      <c r="A331" s="680" t="s">
        <v>452</v>
      </c>
      <c r="B331" s="681" t="s">
        <v>453</v>
      </c>
      <c r="C331" s="47" t="s">
        <v>408</v>
      </c>
      <c r="D331" s="118" t="s">
        <v>50</v>
      </c>
      <c r="E331" s="118" t="s">
        <v>510</v>
      </c>
      <c r="F331" s="118" t="s">
        <v>512</v>
      </c>
      <c r="G331" s="118">
        <v>1</v>
      </c>
      <c r="H331" s="118">
        <v>1</v>
      </c>
      <c r="I331" s="118">
        <v>1500</v>
      </c>
      <c r="J331" s="675">
        <v>4</v>
      </c>
      <c r="K331" s="118">
        <v>3879</v>
      </c>
      <c r="L331" s="118" t="s">
        <v>490</v>
      </c>
      <c r="M331" s="64">
        <v>703</v>
      </c>
      <c r="N331" s="676">
        <v>0.22113350000000001</v>
      </c>
      <c r="O331" s="675" t="s">
        <v>140</v>
      </c>
      <c r="P331" s="15">
        <v>0</v>
      </c>
      <c r="Q331" s="46">
        <f t="shared" si="35"/>
        <v>0</v>
      </c>
      <c r="R331" s="46" t="e">
        <f t="shared" si="34"/>
        <v>#DIV/0!</v>
      </c>
      <c r="S331" s="46" t="e">
        <f t="shared" si="36"/>
        <v>#DIV/0!</v>
      </c>
      <c r="T331" s="677" t="e">
        <f t="shared" si="33"/>
        <v>#DIV/0!</v>
      </c>
      <c r="U331" s="80" t="e">
        <f t="shared" si="32"/>
        <v>#DIV/0!</v>
      </c>
      <c r="V331" s="85">
        <f t="shared" si="37"/>
        <v>710</v>
      </c>
      <c r="W331" s="679">
        <f t="shared" si="38"/>
        <v>705</v>
      </c>
      <c r="X331" s="4"/>
    </row>
    <row r="332" spans="1:24" x14ac:dyDescent="0.25">
      <c r="A332" s="680" t="s">
        <v>456</v>
      </c>
      <c r="B332" s="681" t="s">
        <v>453</v>
      </c>
      <c r="C332" s="47" t="s">
        <v>457</v>
      </c>
      <c r="D332" s="118" t="s">
        <v>51</v>
      </c>
      <c r="E332" s="118" t="s">
        <v>510</v>
      </c>
      <c r="F332" s="118" t="s">
        <v>513</v>
      </c>
      <c r="G332" s="118">
        <v>2</v>
      </c>
      <c r="H332" s="118">
        <v>1</v>
      </c>
      <c r="I332" s="118">
        <v>11081</v>
      </c>
      <c r="J332" s="675">
        <v>4</v>
      </c>
      <c r="K332" s="118">
        <v>585</v>
      </c>
      <c r="L332" s="118" t="s">
        <v>490</v>
      </c>
      <c r="M332" s="64">
        <v>703</v>
      </c>
      <c r="N332" s="676">
        <v>0.12470600000000001</v>
      </c>
      <c r="O332" s="675" t="s">
        <v>140</v>
      </c>
      <c r="P332" s="15">
        <v>0</v>
      </c>
      <c r="Q332" s="46">
        <f t="shared" si="35"/>
        <v>0</v>
      </c>
      <c r="R332" s="46" t="e">
        <f t="shared" si="34"/>
        <v>#DIV/0!</v>
      </c>
      <c r="S332" s="46" t="e">
        <f t="shared" si="36"/>
        <v>#DIV/0!</v>
      </c>
      <c r="T332" s="677" t="e">
        <f t="shared" si="33"/>
        <v>#DIV/0!</v>
      </c>
      <c r="U332" s="80" t="e">
        <f t="shared" ref="U332:U369" si="39">(IF(O332="FX 2003",(S332*$V$2),0))</f>
        <v>#DIV/0!</v>
      </c>
      <c r="V332" s="85">
        <f t="shared" si="37"/>
        <v>710</v>
      </c>
      <c r="W332" s="679">
        <f t="shared" si="38"/>
        <v>705</v>
      </c>
      <c r="X332" s="4"/>
    </row>
    <row r="333" spans="1:24" x14ac:dyDescent="0.25">
      <c r="A333" s="680" t="s">
        <v>456</v>
      </c>
      <c r="B333" s="681" t="s">
        <v>453</v>
      </c>
      <c r="C333" s="47" t="s">
        <v>408</v>
      </c>
      <c r="D333" s="118" t="s">
        <v>51</v>
      </c>
      <c r="E333" s="118" t="s">
        <v>510</v>
      </c>
      <c r="F333" s="118" t="s">
        <v>514</v>
      </c>
      <c r="G333" s="118">
        <v>29</v>
      </c>
      <c r="H333" s="118">
        <v>1</v>
      </c>
      <c r="I333" s="118">
        <v>1500</v>
      </c>
      <c r="J333" s="675">
        <v>4</v>
      </c>
      <c r="K333" s="118">
        <v>776</v>
      </c>
      <c r="L333" s="118" t="s">
        <v>490</v>
      </c>
      <c r="M333" s="64">
        <v>703</v>
      </c>
      <c r="N333" s="676">
        <v>0.14361199999999999</v>
      </c>
      <c r="O333" s="675" t="s">
        <v>140</v>
      </c>
      <c r="P333" s="15">
        <v>0</v>
      </c>
      <c r="Q333" s="46">
        <f t="shared" si="35"/>
        <v>0</v>
      </c>
      <c r="R333" s="46" t="e">
        <f t="shared" si="34"/>
        <v>#DIV/0!</v>
      </c>
      <c r="S333" s="46" t="e">
        <f t="shared" si="36"/>
        <v>#DIV/0!</v>
      </c>
      <c r="T333" s="677" t="e">
        <f t="shared" ref="T333:T369" si="40">(IF(O333="Stofire",(S333/(7*1)),0))+(IF(O333="Fire Control",(S333/(7*1)),0))+(IF(O333="Fire Tex",(S333/(7*1)),0))+(IF(O333="WB7",(S333/(7*1)),0))+(IF(O333="FX 2003",(S333/(7*1)),0))</f>
        <v>#DIV/0!</v>
      </c>
      <c r="U333" s="80" t="e">
        <f t="shared" si="39"/>
        <v>#DIV/0!</v>
      </c>
      <c r="V333" s="85">
        <f t="shared" si="37"/>
        <v>710</v>
      </c>
      <c r="W333" s="679">
        <f t="shared" si="38"/>
        <v>705</v>
      </c>
      <c r="X333" s="4"/>
    </row>
    <row r="334" spans="1:24" x14ac:dyDescent="0.25">
      <c r="A334" s="680" t="s">
        <v>456</v>
      </c>
      <c r="B334" s="681" t="s">
        <v>453</v>
      </c>
      <c r="C334" s="47" t="s">
        <v>408</v>
      </c>
      <c r="D334" s="118" t="s">
        <v>51</v>
      </c>
      <c r="E334" s="118" t="s">
        <v>510</v>
      </c>
      <c r="F334" s="118" t="s">
        <v>514</v>
      </c>
      <c r="G334" s="118">
        <v>1</v>
      </c>
      <c r="H334" s="118">
        <v>1</v>
      </c>
      <c r="I334" s="118">
        <v>1500</v>
      </c>
      <c r="J334" s="675">
        <v>4</v>
      </c>
      <c r="K334" s="118">
        <v>3879</v>
      </c>
      <c r="L334" s="118" t="s">
        <v>490</v>
      </c>
      <c r="M334" s="64">
        <v>703</v>
      </c>
      <c r="N334" s="676">
        <v>0.1427725</v>
      </c>
      <c r="O334" s="675" t="s">
        <v>140</v>
      </c>
      <c r="P334" s="15">
        <v>0</v>
      </c>
      <c r="Q334" s="46">
        <f t="shared" si="35"/>
        <v>0</v>
      </c>
      <c r="R334" s="46" t="e">
        <f t="shared" ref="R334:R369" si="41">IF(O334="","",((IF(O334="Stofire",((65*1.5/Q334)*0.75*5),0))+(IF(O334="Fire Control",((65*1.5/Q334)*0.75*4),0))+(IF(O334="Fire Tex",((71*1.5/Q334)*0.75*5),0))+(IF(O334="WB7",((67*1.5/Q334)*0.75*5),0))+(IF(O334="FX 2003",((71*1.5/Q334)*0.75*5),0))))</f>
        <v>#DIV/0!</v>
      </c>
      <c r="S334" s="46" t="e">
        <f t="shared" si="36"/>
        <v>#DIV/0!</v>
      </c>
      <c r="T334" s="677" t="e">
        <f t="shared" si="40"/>
        <v>#DIV/0!</v>
      </c>
      <c r="U334" s="80" t="e">
        <f t="shared" si="39"/>
        <v>#DIV/0!</v>
      </c>
      <c r="V334" s="85">
        <f t="shared" si="37"/>
        <v>710</v>
      </c>
      <c r="W334" s="679">
        <f t="shared" si="38"/>
        <v>705</v>
      </c>
      <c r="X334" s="4"/>
    </row>
    <row r="335" spans="1:24" x14ac:dyDescent="0.25">
      <c r="A335" s="680" t="s">
        <v>458</v>
      </c>
      <c r="B335" s="681" t="s">
        <v>459</v>
      </c>
      <c r="C335" s="47" t="s">
        <v>460</v>
      </c>
      <c r="D335" s="118" t="s">
        <v>51</v>
      </c>
      <c r="E335" s="118" t="s">
        <v>510</v>
      </c>
      <c r="F335" s="118" t="s">
        <v>513</v>
      </c>
      <c r="G335" s="118">
        <v>2</v>
      </c>
      <c r="H335" s="118">
        <v>1</v>
      </c>
      <c r="I335" s="118">
        <v>12634</v>
      </c>
      <c r="J335" s="675">
        <v>4</v>
      </c>
      <c r="K335" s="118">
        <v>585</v>
      </c>
      <c r="L335" s="118" t="s">
        <v>490</v>
      </c>
      <c r="M335" s="64">
        <v>703</v>
      </c>
      <c r="N335" s="676">
        <v>0.11782899999999999</v>
      </c>
      <c r="O335" s="675" t="s">
        <v>140</v>
      </c>
      <c r="P335" s="15">
        <v>0</v>
      </c>
      <c r="Q335" s="46">
        <f t="shared" si="35"/>
        <v>0</v>
      </c>
      <c r="R335" s="46" t="e">
        <f t="shared" si="41"/>
        <v>#DIV/0!</v>
      </c>
      <c r="S335" s="46" t="e">
        <f t="shared" si="36"/>
        <v>#DIV/0!</v>
      </c>
      <c r="T335" s="677" t="e">
        <f t="shared" si="40"/>
        <v>#DIV/0!</v>
      </c>
      <c r="U335" s="80" t="e">
        <f t="shared" si="39"/>
        <v>#DIV/0!</v>
      </c>
      <c r="V335" s="85">
        <f t="shared" si="37"/>
        <v>710</v>
      </c>
      <c r="W335" s="679">
        <f t="shared" si="38"/>
        <v>705</v>
      </c>
      <c r="X335" s="4"/>
    </row>
    <row r="336" spans="1:24" x14ac:dyDescent="0.25">
      <c r="A336" s="680" t="s">
        <v>458</v>
      </c>
      <c r="B336" s="681" t="s">
        <v>459</v>
      </c>
      <c r="C336" s="47" t="s">
        <v>408</v>
      </c>
      <c r="D336" s="118" t="s">
        <v>45</v>
      </c>
      <c r="E336" s="118" t="s">
        <v>17</v>
      </c>
      <c r="F336" s="118" t="s">
        <v>514</v>
      </c>
      <c r="G336" s="118">
        <v>28</v>
      </c>
      <c r="H336" s="118">
        <v>1</v>
      </c>
      <c r="I336" s="118">
        <v>1500</v>
      </c>
      <c r="J336" s="675">
        <v>4</v>
      </c>
      <c r="K336" s="118">
        <v>776</v>
      </c>
      <c r="L336" s="118" t="s">
        <v>490</v>
      </c>
      <c r="M336" s="64">
        <v>342</v>
      </c>
      <c r="N336" s="676">
        <v>2.1442589999999999</v>
      </c>
      <c r="O336" s="675" t="s">
        <v>140</v>
      </c>
      <c r="P336" s="15">
        <v>1531</v>
      </c>
      <c r="Q336" s="46">
        <f t="shared" si="35"/>
        <v>60.275470000000006</v>
      </c>
      <c r="R336" s="46">
        <f t="shared" si="41"/>
        <v>6.6258297114895992</v>
      </c>
      <c r="S336" s="46">
        <f t="shared" si="36"/>
        <v>0.32362120570073238</v>
      </c>
      <c r="T336" s="677">
        <f t="shared" si="40"/>
        <v>4.6231600814390338E-2</v>
      </c>
      <c r="U336" s="80">
        <f t="shared" si="39"/>
        <v>35598.332627080563</v>
      </c>
      <c r="V336" s="85">
        <f t="shared" si="37"/>
        <v>350</v>
      </c>
      <c r="W336" s="679">
        <f t="shared" si="38"/>
        <v>345</v>
      </c>
      <c r="X336" s="4"/>
    </row>
    <row r="337" spans="1:24" x14ac:dyDescent="0.25">
      <c r="A337" s="680" t="s">
        <v>461</v>
      </c>
      <c r="B337" s="681" t="s">
        <v>459</v>
      </c>
      <c r="C337" s="47" t="s">
        <v>462</v>
      </c>
      <c r="D337" s="118" t="s">
        <v>45</v>
      </c>
      <c r="E337" s="118" t="s">
        <v>17</v>
      </c>
      <c r="F337" s="118" t="s">
        <v>513</v>
      </c>
      <c r="G337" s="118">
        <v>2</v>
      </c>
      <c r="H337" s="118">
        <v>1</v>
      </c>
      <c r="I337" s="118">
        <v>11097</v>
      </c>
      <c r="J337" s="675">
        <v>4</v>
      </c>
      <c r="K337" s="118">
        <v>585</v>
      </c>
      <c r="L337" s="118" t="s">
        <v>490</v>
      </c>
      <c r="M337" s="64">
        <v>342</v>
      </c>
      <c r="N337" s="676">
        <v>2.0328750000000002</v>
      </c>
      <c r="O337" s="675" t="s">
        <v>140</v>
      </c>
      <c r="P337" s="15">
        <v>1531</v>
      </c>
      <c r="Q337" s="46">
        <f t="shared" si="35"/>
        <v>60.275470000000006</v>
      </c>
      <c r="R337" s="46">
        <f t="shared" si="41"/>
        <v>6.6258297114895992</v>
      </c>
      <c r="S337" s="46">
        <f t="shared" si="36"/>
        <v>0.30681063180281692</v>
      </c>
      <c r="T337" s="677">
        <f t="shared" si="40"/>
        <v>4.3830090257545272E-2</v>
      </c>
      <c r="U337" s="80">
        <f t="shared" si="39"/>
        <v>33749.169498309864</v>
      </c>
      <c r="V337" s="85">
        <f t="shared" si="37"/>
        <v>350</v>
      </c>
      <c r="W337" s="679">
        <f t="shared" si="38"/>
        <v>345</v>
      </c>
      <c r="X337" s="4"/>
    </row>
    <row r="338" spans="1:24" x14ac:dyDescent="0.25">
      <c r="A338" s="680" t="s">
        <v>461</v>
      </c>
      <c r="B338" s="681" t="s">
        <v>459</v>
      </c>
      <c r="C338" s="47" t="s">
        <v>408</v>
      </c>
      <c r="D338" s="118" t="s">
        <v>45</v>
      </c>
      <c r="E338" s="118" t="s">
        <v>17</v>
      </c>
      <c r="F338" s="118" t="s">
        <v>514</v>
      </c>
      <c r="G338" s="118">
        <v>29</v>
      </c>
      <c r="H338" s="118">
        <v>1</v>
      </c>
      <c r="I338" s="118">
        <v>1500</v>
      </c>
      <c r="J338" s="675">
        <v>4</v>
      </c>
      <c r="K338" s="118">
        <v>776</v>
      </c>
      <c r="L338" s="118" t="s">
        <v>490</v>
      </c>
      <c r="M338" s="64">
        <v>342</v>
      </c>
      <c r="N338" s="676">
        <v>1.9125989999999999</v>
      </c>
      <c r="O338" s="675" t="s">
        <v>140</v>
      </c>
      <c r="P338" s="15">
        <v>1531</v>
      </c>
      <c r="Q338" s="46">
        <f t="shared" si="35"/>
        <v>60.275470000000006</v>
      </c>
      <c r="R338" s="46">
        <f t="shared" si="41"/>
        <v>6.6258297114895992</v>
      </c>
      <c r="S338" s="46">
        <f t="shared" si="36"/>
        <v>0.28865803729960565</v>
      </c>
      <c r="T338" s="677">
        <f t="shared" si="40"/>
        <v>4.1236862471372239E-2</v>
      </c>
      <c r="U338" s="80">
        <f t="shared" si="39"/>
        <v>31752.384102956621</v>
      </c>
      <c r="V338" s="85">
        <f t="shared" si="37"/>
        <v>350</v>
      </c>
      <c r="W338" s="679">
        <f t="shared" si="38"/>
        <v>345</v>
      </c>
      <c r="X338" s="4"/>
    </row>
    <row r="339" spans="1:24" x14ac:dyDescent="0.25">
      <c r="A339" s="680" t="s">
        <v>461</v>
      </c>
      <c r="B339" s="681" t="s">
        <v>459</v>
      </c>
      <c r="C339" s="47" t="s">
        <v>408</v>
      </c>
      <c r="D339" s="118" t="s">
        <v>45</v>
      </c>
      <c r="E339" s="118" t="s">
        <v>17</v>
      </c>
      <c r="F339" s="118" t="s">
        <v>514</v>
      </c>
      <c r="G339" s="118">
        <v>1</v>
      </c>
      <c r="H339" s="118">
        <v>1</v>
      </c>
      <c r="I339" s="118">
        <v>1500</v>
      </c>
      <c r="J339" s="675">
        <v>4</v>
      </c>
      <c r="K339" s="118">
        <v>3879</v>
      </c>
      <c r="L339" s="118" t="s">
        <v>490</v>
      </c>
      <c r="M339" s="64">
        <v>342</v>
      </c>
      <c r="N339" s="676">
        <v>1.7923815000000001</v>
      </c>
      <c r="O339" s="675" t="s">
        <v>140</v>
      </c>
      <c r="P339" s="15">
        <v>1531</v>
      </c>
      <c r="Q339" s="46">
        <f t="shared" si="35"/>
        <v>60.275470000000006</v>
      </c>
      <c r="R339" s="46">
        <f t="shared" si="41"/>
        <v>6.6258297114895992</v>
      </c>
      <c r="S339" s="46">
        <f t="shared" si="36"/>
        <v>0.27051427187932398</v>
      </c>
      <c r="T339" s="677">
        <f t="shared" si="40"/>
        <v>3.8644895982760566E-2</v>
      </c>
      <c r="U339" s="80">
        <f t="shared" si="39"/>
        <v>29756.569906725636</v>
      </c>
      <c r="V339" s="85">
        <f t="shared" si="37"/>
        <v>350</v>
      </c>
      <c r="W339" s="679">
        <f t="shared" si="38"/>
        <v>345</v>
      </c>
      <c r="X339" s="4"/>
    </row>
    <row r="340" spans="1:24" x14ac:dyDescent="0.25">
      <c r="A340" s="680" t="s">
        <v>406</v>
      </c>
      <c r="B340" s="681" t="s">
        <v>407</v>
      </c>
      <c r="C340" s="47" t="s">
        <v>408</v>
      </c>
      <c r="D340" s="118" t="s">
        <v>10</v>
      </c>
      <c r="E340" s="118" t="s">
        <v>17</v>
      </c>
      <c r="F340" s="118" t="s">
        <v>515</v>
      </c>
      <c r="G340" s="118">
        <v>12</v>
      </c>
      <c r="H340" s="118">
        <v>2</v>
      </c>
      <c r="I340" s="118">
        <v>26385</v>
      </c>
      <c r="J340" s="675">
        <v>4</v>
      </c>
      <c r="K340" s="118">
        <v>2784</v>
      </c>
      <c r="L340" s="118" t="s">
        <v>490</v>
      </c>
      <c r="M340" s="64">
        <v>255</v>
      </c>
      <c r="N340" s="676">
        <v>25.346513250000001</v>
      </c>
      <c r="O340" s="675" t="s">
        <v>140</v>
      </c>
      <c r="P340" s="15">
        <v>873</v>
      </c>
      <c r="Q340" s="46">
        <f t="shared" si="35"/>
        <v>34.370010000000001</v>
      </c>
      <c r="R340" s="46">
        <f t="shared" si="41"/>
        <v>11.619868600561944</v>
      </c>
      <c r="S340" s="46">
        <f t="shared" si="36"/>
        <v>2.1813080785418029</v>
      </c>
      <c r="T340" s="677">
        <f t="shared" si="40"/>
        <v>0.3116154397916861</v>
      </c>
      <c r="U340" s="80">
        <f t="shared" si="39"/>
        <v>239943.88863959833</v>
      </c>
      <c r="V340" s="678">
        <f t="shared" si="37"/>
        <v>260</v>
      </c>
      <c r="W340" s="679">
        <f t="shared" si="38"/>
        <v>255</v>
      </c>
      <c r="X340" s="4"/>
    </row>
    <row r="341" spans="1:24" x14ac:dyDescent="0.25">
      <c r="A341" s="680" t="s">
        <v>406</v>
      </c>
      <c r="B341" s="681" t="s">
        <v>407</v>
      </c>
      <c r="C341" s="47" t="s">
        <v>408</v>
      </c>
      <c r="D341" s="118" t="s">
        <v>53</v>
      </c>
      <c r="E341" s="118" t="s">
        <v>19</v>
      </c>
      <c r="F341" s="118" t="s">
        <v>516</v>
      </c>
      <c r="G341" s="118">
        <v>12</v>
      </c>
      <c r="H341" s="118">
        <v>1</v>
      </c>
      <c r="I341" s="118">
        <v>91778</v>
      </c>
      <c r="J341" s="675">
        <v>4</v>
      </c>
      <c r="K341" s="118">
        <v>1781</v>
      </c>
      <c r="L341" s="118" t="s">
        <v>156</v>
      </c>
      <c r="M341" s="64">
        <v>439</v>
      </c>
      <c r="N341" s="676">
        <v>9.1090598400000005</v>
      </c>
      <c r="O341" s="675" t="s">
        <v>140</v>
      </c>
      <c r="P341" s="15">
        <v>0</v>
      </c>
      <c r="Q341" s="46">
        <f t="shared" si="35"/>
        <v>0</v>
      </c>
      <c r="R341" s="46" t="e">
        <f t="shared" si="41"/>
        <v>#DIV/0!</v>
      </c>
      <c r="S341" s="46" t="e">
        <f t="shared" si="36"/>
        <v>#DIV/0!</v>
      </c>
      <c r="T341" s="677" t="e">
        <f t="shared" si="40"/>
        <v>#DIV/0!</v>
      </c>
      <c r="U341" s="80" t="e">
        <f t="shared" si="39"/>
        <v>#DIV/0!</v>
      </c>
      <c r="V341" s="85">
        <f t="shared" si="37"/>
        <v>440</v>
      </c>
      <c r="W341" s="679">
        <f t="shared" si="38"/>
        <v>440</v>
      </c>
      <c r="X341" s="4"/>
    </row>
    <row r="342" spans="1:24" x14ac:dyDescent="0.25">
      <c r="A342" s="680" t="s">
        <v>409</v>
      </c>
      <c r="B342" s="681" t="s">
        <v>410</v>
      </c>
      <c r="C342" s="47" t="s">
        <v>408</v>
      </c>
      <c r="D342" s="118" t="s">
        <v>54</v>
      </c>
      <c r="E342" s="118" t="s">
        <v>525</v>
      </c>
      <c r="F342" s="118" t="s">
        <v>517</v>
      </c>
      <c r="G342" s="118">
        <v>12</v>
      </c>
      <c r="H342" s="118">
        <v>2</v>
      </c>
      <c r="I342" s="118">
        <v>12900</v>
      </c>
      <c r="J342" s="675">
        <v>3</v>
      </c>
      <c r="K342" s="118">
        <v>968</v>
      </c>
      <c r="L342" s="118" t="s">
        <v>156</v>
      </c>
      <c r="M342" s="64">
        <v>173</v>
      </c>
      <c r="N342" s="676">
        <v>0.17514550000000001</v>
      </c>
      <c r="O342" s="675" t="s">
        <v>140</v>
      </c>
      <c r="P342" s="15">
        <v>0</v>
      </c>
      <c r="Q342" s="46">
        <f t="shared" si="35"/>
        <v>0</v>
      </c>
      <c r="R342" s="46" t="e">
        <f t="shared" si="41"/>
        <v>#DIV/0!</v>
      </c>
      <c r="S342" s="46" t="e">
        <f t="shared" si="36"/>
        <v>#DIV/0!</v>
      </c>
      <c r="T342" s="677" t="e">
        <f t="shared" si="40"/>
        <v>#DIV/0!</v>
      </c>
      <c r="U342" s="80" t="e">
        <f t="shared" si="39"/>
        <v>#DIV/0!</v>
      </c>
      <c r="V342" s="85">
        <f t="shared" si="37"/>
        <v>180</v>
      </c>
      <c r="W342" s="679">
        <f t="shared" si="38"/>
        <v>175</v>
      </c>
      <c r="X342" s="4"/>
    </row>
    <row r="343" spans="1:24" x14ac:dyDescent="0.25">
      <c r="A343" s="680" t="s">
        <v>414</v>
      </c>
      <c r="B343" s="681" t="s">
        <v>415</v>
      </c>
      <c r="C343" s="47" t="s">
        <v>408</v>
      </c>
      <c r="D343" s="118" t="s">
        <v>54</v>
      </c>
      <c r="E343" s="118" t="s">
        <v>525</v>
      </c>
      <c r="F343" s="118" t="s">
        <v>518</v>
      </c>
      <c r="G343" s="118">
        <v>3</v>
      </c>
      <c r="H343" s="118">
        <v>1</v>
      </c>
      <c r="I343" s="118">
        <v>17971</v>
      </c>
      <c r="J343" s="675">
        <v>3</v>
      </c>
      <c r="K343" s="118">
        <v>2184</v>
      </c>
      <c r="L343" s="118" t="s">
        <v>156</v>
      </c>
      <c r="M343" s="64">
        <v>173</v>
      </c>
      <c r="N343" s="676">
        <v>0.17923449999999999</v>
      </c>
      <c r="O343" s="675" t="s">
        <v>140</v>
      </c>
      <c r="P343" s="15">
        <v>0</v>
      </c>
      <c r="Q343" s="46">
        <f t="shared" si="35"/>
        <v>0</v>
      </c>
      <c r="R343" s="46" t="e">
        <f t="shared" si="41"/>
        <v>#DIV/0!</v>
      </c>
      <c r="S343" s="46" t="e">
        <f t="shared" si="36"/>
        <v>#DIV/0!</v>
      </c>
      <c r="T343" s="677" t="e">
        <f t="shared" si="40"/>
        <v>#DIV/0!</v>
      </c>
      <c r="U343" s="80" t="e">
        <f t="shared" si="39"/>
        <v>#DIV/0!</v>
      </c>
      <c r="V343" s="85">
        <f t="shared" si="37"/>
        <v>180</v>
      </c>
      <c r="W343" s="679">
        <f t="shared" si="38"/>
        <v>175</v>
      </c>
      <c r="X343" s="4"/>
    </row>
    <row r="344" spans="1:24" x14ac:dyDescent="0.25">
      <c r="A344" s="680" t="s">
        <v>417</v>
      </c>
      <c r="B344" s="681" t="s">
        <v>415</v>
      </c>
      <c r="C344" s="47" t="s">
        <v>408</v>
      </c>
      <c r="D344" s="118" t="s">
        <v>55</v>
      </c>
      <c r="E344" s="118" t="s">
        <v>525</v>
      </c>
      <c r="F344" s="118" t="s">
        <v>519</v>
      </c>
      <c r="G344" s="118">
        <v>2</v>
      </c>
      <c r="H344" s="118">
        <v>1</v>
      </c>
      <c r="I344" s="118">
        <v>7759</v>
      </c>
      <c r="J344" s="675">
        <v>3</v>
      </c>
      <c r="K344" s="118">
        <v>785</v>
      </c>
      <c r="L344" s="118" t="s">
        <v>156</v>
      </c>
      <c r="M344" s="64">
        <v>379</v>
      </c>
      <c r="N344" s="676">
        <v>1.5358320000000001</v>
      </c>
      <c r="O344" s="675" t="s">
        <v>140</v>
      </c>
      <c r="P344" s="15">
        <v>0</v>
      </c>
      <c r="Q344" s="46">
        <f t="shared" si="35"/>
        <v>0</v>
      </c>
      <c r="R344" s="46" t="e">
        <f t="shared" si="41"/>
        <v>#DIV/0!</v>
      </c>
      <c r="S344" s="46" t="e">
        <f t="shared" si="36"/>
        <v>#DIV/0!</v>
      </c>
      <c r="T344" s="677" t="e">
        <f t="shared" si="40"/>
        <v>#DIV/0!</v>
      </c>
      <c r="U344" s="80" t="e">
        <f t="shared" si="39"/>
        <v>#DIV/0!</v>
      </c>
      <c r="V344" s="85">
        <f t="shared" si="37"/>
        <v>380</v>
      </c>
      <c r="W344" s="679">
        <f t="shared" si="38"/>
        <v>380</v>
      </c>
      <c r="X344" s="4"/>
    </row>
    <row r="345" spans="1:24" x14ac:dyDescent="0.25">
      <c r="A345" s="680" t="s">
        <v>419</v>
      </c>
      <c r="B345" s="681" t="s">
        <v>415</v>
      </c>
      <c r="C345" s="47" t="s">
        <v>408</v>
      </c>
      <c r="D345" s="118" t="s">
        <v>53</v>
      </c>
      <c r="E345" s="118" t="s">
        <v>19</v>
      </c>
      <c r="F345" s="118" t="s">
        <v>519</v>
      </c>
      <c r="G345" s="118">
        <v>1</v>
      </c>
      <c r="H345" s="118">
        <v>1</v>
      </c>
      <c r="I345" s="118">
        <v>7100</v>
      </c>
      <c r="J345" s="675">
        <v>4</v>
      </c>
      <c r="K345" s="118">
        <v>785</v>
      </c>
      <c r="L345" s="118" t="s">
        <v>156</v>
      </c>
      <c r="M345" s="64">
        <v>439</v>
      </c>
      <c r="N345" s="676">
        <v>10.194883200000001</v>
      </c>
      <c r="O345" s="675" t="s">
        <v>140</v>
      </c>
      <c r="P345" s="15">
        <v>0</v>
      </c>
      <c r="Q345" s="46">
        <f t="shared" si="35"/>
        <v>0</v>
      </c>
      <c r="R345" s="46" t="e">
        <f t="shared" si="41"/>
        <v>#DIV/0!</v>
      </c>
      <c r="S345" s="46" t="e">
        <f t="shared" si="36"/>
        <v>#DIV/0!</v>
      </c>
      <c r="T345" s="677" t="e">
        <f t="shared" si="40"/>
        <v>#DIV/0!</v>
      </c>
      <c r="U345" s="80" t="e">
        <f t="shared" si="39"/>
        <v>#DIV/0!</v>
      </c>
      <c r="V345" s="85">
        <f t="shared" si="37"/>
        <v>440</v>
      </c>
      <c r="W345" s="679">
        <f t="shared" si="38"/>
        <v>440</v>
      </c>
      <c r="X345" s="4"/>
    </row>
    <row r="346" spans="1:24" x14ac:dyDescent="0.25">
      <c r="A346" s="680" t="s">
        <v>421</v>
      </c>
      <c r="B346" s="681" t="s">
        <v>422</v>
      </c>
      <c r="C346" s="47" t="s">
        <v>423</v>
      </c>
      <c r="D346" s="118" t="s">
        <v>54</v>
      </c>
      <c r="E346" s="118" t="s">
        <v>525</v>
      </c>
      <c r="F346" s="118" t="s">
        <v>520</v>
      </c>
      <c r="G346" s="118">
        <v>1</v>
      </c>
      <c r="H346" s="118">
        <v>1</v>
      </c>
      <c r="I346" s="118">
        <v>19050</v>
      </c>
      <c r="J346" s="675">
        <v>3</v>
      </c>
      <c r="K346" s="118">
        <v>1185</v>
      </c>
      <c r="L346" s="118" t="s">
        <v>156</v>
      </c>
      <c r="M346" s="64">
        <v>173</v>
      </c>
      <c r="N346" s="676">
        <v>0.17514550000000001</v>
      </c>
      <c r="O346" s="675" t="s">
        <v>140</v>
      </c>
      <c r="P346" s="15">
        <v>0</v>
      </c>
      <c r="Q346" s="46">
        <f t="shared" si="35"/>
        <v>0</v>
      </c>
      <c r="R346" s="46" t="e">
        <f t="shared" si="41"/>
        <v>#DIV/0!</v>
      </c>
      <c r="S346" s="46" t="e">
        <f t="shared" si="36"/>
        <v>#DIV/0!</v>
      </c>
      <c r="T346" s="677" t="e">
        <f t="shared" si="40"/>
        <v>#DIV/0!</v>
      </c>
      <c r="U346" s="80" t="e">
        <f t="shared" si="39"/>
        <v>#DIV/0!</v>
      </c>
      <c r="V346" s="85">
        <f t="shared" si="37"/>
        <v>180</v>
      </c>
      <c r="W346" s="679">
        <f t="shared" si="38"/>
        <v>175</v>
      </c>
      <c r="X346" s="4"/>
    </row>
    <row r="347" spans="1:24" x14ac:dyDescent="0.25">
      <c r="A347" s="680" t="s">
        <v>425</v>
      </c>
      <c r="B347" s="681" t="s">
        <v>426</v>
      </c>
      <c r="C347" s="47" t="s">
        <v>427</v>
      </c>
      <c r="D347" s="118" t="s">
        <v>56</v>
      </c>
      <c r="E347" s="118" t="s">
        <v>525</v>
      </c>
      <c r="F347" s="118" t="s">
        <v>520</v>
      </c>
      <c r="G347" s="118">
        <v>3</v>
      </c>
      <c r="H347" s="118">
        <v>1</v>
      </c>
      <c r="I347" s="118">
        <v>4255</v>
      </c>
      <c r="J347" s="675">
        <v>3</v>
      </c>
      <c r="K347" s="118">
        <v>1185</v>
      </c>
      <c r="L347" s="118" t="s">
        <v>156</v>
      </c>
      <c r="M347" s="64">
        <v>379</v>
      </c>
      <c r="N347" s="676">
        <v>1.23255</v>
      </c>
      <c r="O347" s="675" t="s">
        <v>140</v>
      </c>
      <c r="P347" s="15">
        <v>0</v>
      </c>
      <c r="Q347" s="46">
        <f t="shared" si="35"/>
        <v>0</v>
      </c>
      <c r="R347" s="46" t="e">
        <f t="shared" si="41"/>
        <v>#DIV/0!</v>
      </c>
      <c r="S347" s="46" t="e">
        <f t="shared" si="36"/>
        <v>#DIV/0!</v>
      </c>
      <c r="T347" s="677" t="e">
        <f t="shared" si="40"/>
        <v>#DIV/0!</v>
      </c>
      <c r="U347" s="80" t="e">
        <f t="shared" si="39"/>
        <v>#DIV/0!</v>
      </c>
      <c r="V347" s="85">
        <f t="shared" si="37"/>
        <v>380</v>
      </c>
      <c r="W347" s="679">
        <f t="shared" si="38"/>
        <v>380</v>
      </c>
      <c r="X347" s="4"/>
    </row>
    <row r="348" spans="1:24" x14ac:dyDescent="0.25">
      <c r="A348" s="680" t="s">
        <v>429</v>
      </c>
      <c r="B348" s="681" t="s">
        <v>430</v>
      </c>
      <c r="C348" s="47" t="s">
        <v>431</v>
      </c>
      <c r="D348" s="118" t="s">
        <v>12</v>
      </c>
      <c r="E348" s="118">
        <v>0</v>
      </c>
      <c r="F348" s="118" t="s">
        <v>521</v>
      </c>
      <c r="G348" s="118">
        <v>1</v>
      </c>
      <c r="H348" s="118">
        <v>1</v>
      </c>
      <c r="I348" s="118">
        <v>89250</v>
      </c>
      <c r="J348" s="675">
        <v>4</v>
      </c>
      <c r="K348" s="118">
        <v>1190</v>
      </c>
      <c r="L348" s="118" t="s">
        <v>156</v>
      </c>
      <c r="M348" s="64">
        <v>336</v>
      </c>
      <c r="N348" s="676">
        <v>106.2075</v>
      </c>
      <c r="O348" s="675" t="s">
        <v>140</v>
      </c>
      <c r="P348" s="15">
        <v>0</v>
      </c>
      <c r="Q348" s="46">
        <f t="shared" si="35"/>
        <v>0</v>
      </c>
      <c r="R348" s="46" t="e">
        <f t="shared" si="41"/>
        <v>#DIV/0!</v>
      </c>
      <c r="S348" s="46" t="e">
        <f t="shared" si="36"/>
        <v>#DIV/0!</v>
      </c>
      <c r="T348" s="677" t="e">
        <f t="shared" si="40"/>
        <v>#DIV/0!</v>
      </c>
      <c r="U348" s="80" t="e">
        <f t="shared" si="39"/>
        <v>#DIV/0!</v>
      </c>
      <c r="V348" s="85">
        <f t="shared" si="37"/>
        <v>340</v>
      </c>
      <c r="W348" s="679">
        <f t="shared" si="38"/>
        <v>340</v>
      </c>
      <c r="X348" s="4"/>
    </row>
    <row r="349" spans="1:24" x14ac:dyDescent="0.25">
      <c r="A349" s="680" t="s">
        <v>429</v>
      </c>
      <c r="B349" s="681" t="s">
        <v>430</v>
      </c>
      <c r="C349" s="47" t="s">
        <v>433</v>
      </c>
      <c r="D349" s="118" t="s">
        <v>12</v>
      </c>
      <c r="E349" s="118">
        <v>0</v>
      </c>
      <c r="F349" s="118" t="s">
        <v>522</v>
      </c>
      <c r="G349" s="118">
        <v>1</v>
      </c>
      <c r="H349" s="118">
        <v>1</v>
      </c>
      <c r="I349" s="118">
        <v>13000</v>
      </c>
      <c r="J349" s="675">
        <v>4</v>
      </c>
      <c r="K349" s="118">
        <v>1181</v>
      </c>
      <c r="L349" s="118" t="s">
        <v>156</v>
      </c>
      <c r="M349" s="64">
        <v>169</v>
      </c>
      <c r="N349" s="676">
        <v>15.353</v>
      </c>
      <c r="O349" s="675" t="s">
        <v>140</v>
      </c>
      <c r="P349" s="15">
        <v>0</v>
      </c>
      <c r="Q349" s="46">
        <f t="shared" si="35"/>
        <v>0</v>
      </c>
      <c r="R349" s="46" t="e">
        <f t="shared" si="41"/>
        <v>#DIV/0!</v>
      </c>
      <c r="S349" s="46" t="e">
        <f t="shared" si="36"/>
        <v>#DIV/0!</v>
      </c>
      <c r="T349" s="677" t="e">
        <f t="shared" si="40"/>
        <v>#DIV/0!</v>
      </c>
      <c r="U349" s="80" t="e">
        <f t="shared" si="39"/>
        <v>#DIV/0!</v>
      </c>
      <c r="V349" s="85">
        <f t="shared" si="37"/>
        <v>170</v>
      </c>
      <c r="W349" s="679">
        <f t="shared" si="38"/>
        <v>170</v>
      </c>
      <c r="X349" s="4"/>
    </row>
    <row r="350" spans="1:24" x14ac:dyDescent="0.25">
      <c r="A350" s="680" t="s">
        <v>429</v>
      </c>
      <c r="B350" s="681" t="s">
        <v>430</v>
      </c>
      <c r="C350" s="47" t="s">
        <v>435</v>
      </c>
      <c r="D350" s="118" t="s">
        <v>12</v>
      </c>
      <c r="E350" s="118">
        <v>0</v>
      </c>
      <c r="F350" s="118" t="s">
        <v>522</v>
      </c>
      <c r="G350" s="118">
        <v>1</v>
      </c>
      <c r="H350" s="118">
        <v>1</v>
      </c>
      <c r="I350" s="118">
        <v>4250</v>
      </c>
      <c r="J350" s="675">
        <v>4</v>
      </c>
      <c r="K350" s="118">
        <v>1181</v>
      </c>
      <c r="L350" s="118" t="s">
        <v>156</v>
      </c>
      <c r="M350" s="64">
        <v>169</v>
      </c>
      <c r="N350" s="676">
        <v>5.0192500000000004</v>
      </c>
      <c r="O350" s="675" t="s">
        <v>140</v>
      </c>
      <c r="P350" s="15">
        <v>0</v>
      </c>
      <c r="Q350" s="46">
        <f t="shared" si="35"/>
        <v>0</v>
      </c>
      <c r="R350" s="46" t="e">
        <f t="shared" si="41"/>
        <v>#DIV/0!</v>
      </c>
      <c r="S350" s="46" t="e">
        <f t="shared" si="36"/>
        <v>#DIV/0!</v>
      </c>
      <c r="T350" s="677" t="e">
        <f t="shared" si="40"/>
        <v>#DIV/0!</v>
      </c>
      <c r="U350" s="80" t="e">
        <f t="shared" si="39"/>
        <v>#DIV/0!</v>
      </c>
      <c r="V350" s="85">
        <f t="shared" si="37"/>
        <v>170</v>
      </c>
      <c r="W350" s="679">
        <f t="shared" si="38"/>
        <v>170</v>
      </c>
      <c r="X350" s="4"/>
    </row>
    <row r="351" spans="1:24" x14ac:dyDescent="0.25">
      <c r="A351" s="680" t="s">
        <v>429</v>
      </c>
      <c r="B351" s="681" t="s">
        <v>430</v>
      </c>
      <c r="C351" s="47" t="s">
        <v>437</v>
      </c>
      <c r="D351" s="118" t="s">
        <v>12</v>
      </c>
      <c r="E351" s="118">
        <v>0</v>
      </c>
      <c r="F351" s="118" t="s">
        <v>522</v>
      </c>
      <c r="G351" s="118">
        <v>1</v>
      </c>
      <c r="H351" s="118">
        <v>1</v>
      </c>
      <c r="I351" s="118">
        <v>8500</v>
      </c>
      <c r="J351" s="675">
        <v>4</v>
      </c>
      <c r="K351" s="118">
        <v>1181</v>
      </c>
      <c r="L351" s="118" t="s">
        <v>156</v>
      </c>
      <c r="M351" s="64">
        <v>169</v>
      </c>
      <c r="N351" s="676">
        <v>10.038500000000001</v>
      </c>
      <c r="O351" s="675" t="s">
        <v>140</v>
      </c>
      <c r="P351" s="15">
        <v>0</v>
      </c>
      <c r="Q351" s="46">
        <f t="shared" si="35"/>
        <v>0</v>
      </c>
      <c r="R351" s="46" t="e">
        <f t="shared" si="41"/>
        <v>#DIV/0!</v>
      </c>
      <c r="S351" s="46" t="e">
        <f t="shared" si="36"/>
        <v>#DIV/0!</v>
      </c>
      <c r="T351" s="677" t="e">
        <f t="shared" si="40"/>
        <v>#DIV/0!</v>
      </c>
      <c r="U351" s="80" t="e">
        <f t="shared" si="39"/>
        <v>#DIV/0!</v>
      </c>
      <c r="V351" s="85">
        <f t="shared" si="37"/>
        <v>170</v>
      </c>
      <c r="W351" s="679">
        <f t="shared" si="38"/>
        <v>170</v>
      </c>
      <c r="X351" s="4"/>
    </row>
    <row r="352" spans="1:24" x14ac:dyDescent="0.25">
      <c r="A352" s="680" t="s">
        <v>439</v>
      </c>
      <c r="B352" s="681" t="s">
        <v>430</v>
      </c>
      <c r="C352" s="47" t="s">
        <v>431</v>
      </c>
      <c r="D352" s="118" t="s">
        <v>12</v>
      </c>
      <c r="E352" s="118" t="s">
        <v>19</v>
      </c>
      <c r="F352" s="118" t="s">
        <v>521</v>
      </c>
      <c r="G352" s="118">
        <v>1</v>
      </c>
      <c r="H352" s="118">
        <v>1</v>
      </c>
      <c r="I352" s="118">
        <v>103000</v>
      </c>
      <c r="J352" s="675">
        <v>4</v>
      </c>
      <c r="K352" s="118">
        <v>1190</v>
      </c>
      <c r="L352" s="118" t="s">
        <v>156</v>
      </c>
      <c r="M352" s="64">
        <v>287</v>
      </c>
      <c r="N352" s="676">
        <v>122.57</v>
      </c>
      <c r="O352" s="675" t="s">
        <v>140</v>
      </c>
      <c r="P352" s="15">
        <v>1493</v>
      </c>
      <c r="Q352" s="46">
        <f t="shared" si="35"/>
        <v>58.779410000000006</v>
      </c>
      <c r="R352" s="46">
        <f t="shared" si="41"/>
        <v>6.7944710571269766</v>
      </c>
      <c r="S352" s="46">
        <f t="shared" si="36"/>
        <v>18.039667690015648</v>
      </c>
      <c r="T352" s="677">
        <f t="shared" si="40"/>
        <v>2.5770953842879498</v>
      </c>
      <c r="U352" s="80">
        <f t="shared" si="39"/>
        <v>1984363.4459017213</v>
      </c>
      <c r="V352" s="85">
        <f t="shared" si="37"/>
        <v>290</v>
      </c>
      <c r="W352" s="679">
        <f t="shared" si="38"/>
        <v>290</v>
      </c>
      <c r="X352" s="4"/>
    </row>
    <row r="353" spans="1:24" x14ac:dyDescent="0.25">
      <c r="A353" s="680" t="s">
        <v>439</v>
      </c>
      <c r="B353" s="681" t="s">
        <v>430</v>
      </c>
      <c r="C353" s="47" t="s">
        <v>435</v>
      </c>
      <c r="D353" s="118" t="s">
        <v>12</v>
      </c>
      <c r="E353" s="118">
        <v>0</v>
      </c>
      <c r="F353" s="118" t="s">
        <v>522</v>
      </c>
      <c r="G353" s="118">
        <v>1</v>
      </c>
      <c r="H353" s="118">
        <v>1</v>
      </c>
      <c r="I353" s="118">
        <v>12750</v>
      </c>
      <c r="J353" s="675">
        <v>4</v>
      </c>
      <c r="K353" s="118">
        <v>1181</v>
      </c>
      <c r="L353" s="118" t="s">
        <v>156</v>
      </c>
      <c r="M353" s="64">
        <v>169</v>
      </c>
      <c r="N353" s="676">
        <v>15.05775</v>
      </c>
      <c r="O353" s="675" t="s">
        <v>140</v>
      </c>
      <c r="P353" s="15">
        <v>0</v>
      </c>
      <c r="Q353" s="46">
        <f t="shared" si="35"/>
        <v>0</v>
      </c>
      <c r="R353" s="46" t="e">
        <f t="shared" si="41"/>
        <v>#DIV/0!</v>
      </c>
      <c r="S353" s="46" t="e">
        <f t="shared" si="36"/>
        <v>#DIV/0!</v>
      </c>
      <c r="T353" s="677" t="e">
        <f t="shared" si="40"/>
        <v>#DIV/0!</v>
      </c>
      <c r="U353" s="80" t="e">
        <f t="shared" si="39"/>
        <v>#DIV/0!</v>
      </c>
      <c r="V353" s="85">
        <f t="shared" si="37"/>
        <v>170</v>
      </c>
      <c r="W353" s="679">
        <f t="shared" si="38"/>
        <v>170</v>
      </c>
      <c r="X353" s="4"/>
    </row>
    <row r="354" spans="1:24" x14ac:dyDescent="0.25">
      <c r="A354" s="680" t="s">
        <v>442</v>
      </c>
      <c r="B354" s="681" t="s">
        <v>443</v>
      </c>
      <c r="C354" s="47" t="s">
        <v>444</v>
      </c>
      <c r="D354" s="118" t="s">
        <v>12</v>
      </c>
      <c r="E354" s="118" t="s">
        <v>19</v>
      </c>
      <c r="F354" s="118" t="s">
        <v>523</v>
      </c>
      <c r="G354" s="118">
        <v>1</v>
      </c>
      <c r="H354" s="118">
        <v>1</v>
      </c>
      <c r="I354" s="118">
        <v>17500</v>
      </c>
      <c r="J354" s="675">
        <v>4</v>
      </c>
      <c r="K354" s="118">
        <v>1692</v>
      </c>
      <c r="L354" s="118" t="s">
        <v>156</v>
      </c>
      <c r="M354" s="64">
        <v>177</v>
      </c>
      <c r="N354" s="676">
        <v>29.61</v>
      </c>
      <c r="O354" s="675" t="s">
        <v>140</v>
      </c>
      <c r="P354" s="15">
        <v>727</v>
      </c>
      <c r="Q354" s="46">
        <f t="shared" si="35"/>
        <v>28.62199</v>
      </c>
      <c r="R354" s="46">
        <f t="shared" si="41"/>
        <v>13.953432308515236</v>
      </c>
      <c r="S354" s="46">
        <f t="shared" si="36"/>
        <v>2.1220585261971832</v>
      </c>
      <c r="T354" s="677">
        <f t="shared" si="40"/>
        <v>0.30315121802816902</v>
      </c>
      <c r="U354" s="80">
        <f t="shared" si="39"/>
        <v>233426.43788169016</v>
      </c>
      <c r="V354" s="85">
        <f t="shared" si="37"/>
        <v>180</v>
      </c>
      <c r="W354" s="679">
        <f t="shared" si="38"/>
        <v>180</v>
      </c>
      <c r="X354" s="4"/>
    </row>
    <row r="355" spans="1:24" x14ac:dyDescent="0.25">
      <c r="A355" s="680" t="s">
        <v>442</v>
      </c>
      <c r="B355" s="681" t="s">
        <v>443</v>
      </c>
      <c r="C355" s="47" t="s">
        <v>446</v>
      </c>
      <c r="D355" s="118" t="s">
        <v>13</v>
      </c>
      <c r="E355" s="118" t="s">
        <v>19</v>
      </c>
      <c r="F355" s="118" t="s">
        <v>523</v>
      </c>
      <c r="G355" s="118">
        <v>1</v>
      </c>
      <c r="H355" s="118">
        <v>1</v>
      </c>
      <c r="I355" s="118">
        <v>8500</v>
      </c>
      <c r="J355" s="675">
        <v>3</v>
      </c>
      <c r="K355" s="118">
        <v>1502</v>
      </c>
      <c r="L355" s="118" t="s">
        <v>156</v>
      </c>
      <c r="M355" s="64">
        <v>158</v>
      </c>
      <c r="N355" s="676">
        <v>12.766999999999999</v>
      </c>
      <c r="O355" s="675" t="s">
        <v>140</v>
      </c>
      <c r="P355" s="15">
        <v>763</v>
      </c>
      <c r="Q355" s="46">
        <f t="shared" si="35"/>
        <v>30.03931</v>
      </c>
      <c r="R355" s="46">
        <f t="shared" si="41"/>
        <v>13.295079014797611</v>
      </c>
      <c r="S355" s="46">
        <f t="shared" si="36"/>
        <v>0.9602801146040687</v>
      </c>
      <c r="T355" s="677">
        <f t="shared" si="40"/>
        <v>0.13718287351486697</v>
      </c>
      <c r="U355" s="80">
        <f t="shared" si="39"/>
        <v>105630.81260644755</v>
      </c>
      <c r="V355" s="85">
        <f>_xlfn.CEILING.MATH(M355,10)</f>
        <v>160</v>
      </c>
      <c r="W355" s="679">
        <f t="shared" si="38"/>
        <v>160</v>
      </c>
      <c r="X355" s="4"/>
    </row>
    <row r="356" spans="1:24" x14ac:dyDescent="0.25">
      <c r="A356" s="680" t="s">
        <v>448</v>
      </c>
      <c r="B356" s="681" t="s">
        <v>443</v>
      </c>
      <c r="C356" s="47" t="s">
        <v>444</v>
      </c>
      <c r="D356" s="118" t="s">
        <v>12</v>
      </c>
      <c r="E356" s="118" t="s">
        <v>19</v>
      </c>
      <c r="F356" s="118" t="s">
        <v>523</v>
      </c>
      <c r="G356" s="118">
        <v>1</v>
      </c>
      <c r="H356" s="118">
        <v>1</v>
      </c>
      <c r="I356" s="118">
        <v>17500</v>
      </c>
      <c r="J356" s="675">
        <v>4</v>
      </c>
      <c r="K356" s="118">
        <v>1692</v>
      </c>
      <c r="L356" s="118" t="s">
        <v>156</v>
      </c>
      <c r="M356" s="64">
        <v>177</v>
      </c>
      <c r="N356" s="676">
        <v>29.61</v>
      </c>
      <c r="O356" s="675" t="s">
        <v>140</v>
      </c>
      <c r="P356" s="15">
        <v>727</v>
      </c>
      <c r="Q356" s="46">
        <f t="shared" si="35"/>
        <v>28.62199</v>
      </c>
      <c r="R356" s="46">
        <f t="shared" si="41"/>
        <v>13.953432308515236</v>
      </c>
      <c r="S356" s="46">
        <f t="shared" si="36"/>
        <v>2.1220585261971832</v>
      </c>
      <c r="T356" s="677">
        <f t="shared" si="40"/>
        <v>0.30315121802816902</v>
      </c>
      <c r="U356" s="80">
        <f t="shared" si="39"/>
        <v>233426.43788169016</v>
      </c>
      <c r="V356" s="85">
        <f>_xlfn.CEILING.MATH(M356,10)</f>
        <v>180</v>
      </c>
      <c r="W356" s="679">
        <f t="shared" si="38"/>
        <v>180</v>
      </c>
      <c r="X356" s="4"/>
    </row>
    <row r="357" spans="1:24" x14ac:dyDescent="0.25">
      <c r="A357" s="680" t="s">
        <v>448</v>
      </c>
      <c r="B357" s="681" t="s">
        <v>443</v>
      </c>
      <c r="C357" s="47" t="s">
        <v>446</v>
      </c>
      <c r="D357" s="118" t="s">
        <v>12</v>
      </c>
      <c r="E357" s="118" t="s">
        <v>19</v>
      </c>
      <c r="F357" s="118" t="s">
        <v>523</v>
      </c>
      <c r="G357" s="118">
        <v>1</v>
      </c>
      <c r="H357" s="118">
        <v>1</v>
      </c>
      <c r="I357" s="118">
        <v>8500</v>
      </c>
      <c r="J357" s="675">
        <v>4</v>
      </c>
      <c r="K357" s="118">
        <v>1692</v>
      </c>
      <c r="L357" s="118" t="s">
        <v>156</v>
      </c>
      <c r="M357" s="64">
        <v>177</v>
      </c>
      <c r="N357" s="676">
        <v>14.382</v>
      </c>
      <c r="O357" s="675" t="s">
        <v>140</v>
      </c>
      <c r="P357" s="15">
        <v>727</v>
      </c>
      <c r="Q357" s="46">
        <f t="shared" si="35"/>
        <v>28.62199</v>
      </c>
      <c r="R357" s="46">
        <f t="shared" si="41"/>
        <v>13.953432308515236</v>
      </c>
      <c r="S357" s="46">
        <f t="shared" si="36"/>
        <v>1.0307141412957745</v>
      </c>
      <c r="T357" s="677">
        <f t="shared" si="40"/>
        <v>0.14724487732796779</v>
      </c>
      <c r="U357" s="80">
        <f t="shared" si="39"/>
        <v>113378.55554253521</v>
      </c>
      <c r="V357" s="85">
        <f t="shared" ref="V357:V369" si="42">_xlfn.CEILING.MATH(M357,10)</f>
        <v>180</v>
      </c>
      <c r="W357" s="679">
        <f t="shared" si="38"/>
        <v>180</v>
      </c>
      <c r="X357" s="4"/>
    </row>
    <row r="358" spans="1:24" x14ac:dyDescent="0.25">
      <c r="A358" s="680" t="s">
        <v>448</v>
      </c>
      <c r="B358" s="681" t="s">
        <v>451</v>
      </c>
      <c r="C358" s="47" t="s">
        <v>446</v>
      </c>
      <c r="D358" s="118" t="s">
        <v>13</v>
      </c>
      <c r="E358" s="118" t="s">
        <v>19</v>
      </c>
      <c r="F358" s="118" t="s">
        <v>523</v>
      </c>
      <c r="G358" s="118">
        <v>2</v>
      </c>
      <c r="H358" s="118">
        <v>1</v>
      </c>
      <c r="I358" s="118">
        <v>8500</v>
      </c>
      <c r="J358" s="675">
        <v>3</v>
      </c>
      <c r="K358" s="118">
        <v>1502</v>
      </c>
      <c r="L358" s="118" t="s">
        <v>156</v>
      </c>
      <c r="M358" s="64">
        <v>158</v>
      </c>
      <c r="N358" s="676">
        <v>25.533999999999999</v>
      </c>
      <c r="O358" s="675" t="s">
        <v>140</v>
      </c>
      <c r="P358" s="15">
        <v>763</v>
      </c>
      <c r="Q358" s="46">
        <f t="shared" si="35"/>
        <v>30.03931</v>
      </c>
      <c r="R358" s="46">
        <f t="shared" si="41"/>
        <v>13.295079014797611</v>
      </c>
      <c r="S358" s="46">
        <f t="shared" si="36"/>
        <v>1.9205602292081374</v>
      </c>
      <c r="T358" s="677">
        <f t="shared" si="40"/>
        <v>0.27436574702973393</v>
      </c>
      <c r="U358" s="80">
        <f t="shared" si="39"/>
        <v>211261.6252128951</v>
      </c>
      <c r="V358" s="85">
        <f t="shared" si="42"/>
        <v>160</v>
      </c>
      <c r="W358" s="679">
        <f t="shared" si="38"/>
        <v>160</v>
      </c>
      <c r="X358" s="4"/>
    </row>
    <row r="359" spans="1:24" x14ac:dyDescent="0.25">
      <c r="A359" s="680" t="s">
        <v>452</v>
      </c>
      <c r="B359" s="681" t="s">
        <v>453</v>
      </c>
      <c r="C359" s="47" t="s">
        <v>454</v>
      </c>
      <c r="D359" s="118" t="s">
        <v>14</v>
      </c>
      <c r="E359" s="118">
        <v>0</v>
      </c>
      <c r="F359" s="118" t="s">
        <v>513</v>
      </c>
      <c r="G359" s="118">
        <v>2</v>
      </c>
      <c r="H359" s="118">
        <v>1</v>
      </c>
      <c r="I359" s="118">
        <v>11097</v>
      </c>
      <c r="J359" s="675">
        <v>4</v>
      </c>
      <c r="K359" s="118">
        <v>585</v>
      </c>
      <c r="L359" s="118" t="s">
        <v>455</v>
      </c>
      <c r="M359" s="64">
        <v>206</v>
      </c>
      <c r="N359" s="676">
        <v>12.98349</v>
      </c>
      <c r="O359" s="675" t="s">
        <v>140</v>
      </c>
      <c r="P359" s="15">
        <v>0</v>
      </c>
      <c r="Q359" s="46">
        <f t="shared" si="35"/>
        <v>0</v>
      </c>
      <c r="R359" s="46" t="e">
        <f t="shared" si="41"/>
        <v>#DIV/0!</v>
      </c>
      <c r="S359" s="46" t="e">
        <f t="shared" si="36"/>
        <v>#DIV/0!</v>
      </c>
      <c r="T359" s="677" t="e">
        <f t="shared" si="40"/>
        <v>#DIV/0!</v>
      </c>
      <c r="U359" s="80" t="e">
        <f t="shared" si="39"/>
        <v>#DIV/0!</v>
      </c>
      <c r="V359" s="85">
        <f t="shared" si="42"/>
        <v>210</v>
      </c>
      <c r="W359" s="679">
        <f t="shared" si="38"/>
        <v>210</v>
      </c>
      <c r="X359" s="4"/>
    </row>
    <row r="360" spans="1:24" x14ac:dyDescent="0.25">
      <c r="A360" s="680" t="s">
        <v>452</v>
      </c>
      <c r="B360" s="681" t="s">
        <v>453</v>
      </c>
      <c r="C360" s="47" t="s">
        <v>408</v>
      </c>
      <c r="D360" s="118" t="s">
        <v>15</v>
      </c>
      <c r="E360" s="118">
        <v>0</v>
      </c>
      <c r="F360" s="118" t="s">
        <v>514</v>
      </c>
      <c r="G360" s="118">
        <v>29</v>
      </c>
      <c r="H360" s="118">
        <v>1</v>
      </c>
      <c r="I360" s="118">
        <v>1500</v>
      </c>
      <c r="J360" s="675">
        <v>3</v>
      </c>
      <c r="K360" s="118">
        <v>776</v>
      </c>
      <c r="L360" s="118" t="s">
        <v>455</v>
      </c>
      <c r="M360" s="64">
        <v>389</v>
      </c>
      <c r="N360" s="676">
        <v>33.756</v>
      </c>
      <c r="O360" s="675" t="s">
        <v>140</v>
      </c>
      <c r="P360" s="15">
        <v>0</v>
      </c>
      <c r="Q360" s="46">
        <f t="shared" si="35"/>
        <v>0</v>
      </c>
      <c r="R360" s="46" t="e">
        <f t="shared" si="41"/>
        <v>#DIV/0!</v>
      </c>
      <c r="S360" s="46" t="e">
        <f t="shared" si="36"/>
        <v>#DIV/0!</v>
      </c>
      <c r="T360" s="677" t="e">
        <f t="shared" si="40"/>
        <v>#DIV/0!</v>
      </c>
      <c r="U360" s="80" t="e">
        <f t="shared" si="39"/>
        <v>#DIV/0!</v>
      </c>
      <c r="V360" s="85">
        <f t="shared" si="42"/>
        <v>390</v>
      </c>
      <c r="W360" s="679">
        <f t="shared" si="38"/>
        <v>390</v>
      </c>
      <c r="X360" s="4"/>
    </row>
    <row r="361" spans="1:24" x14ac:dyDescent="0.25">
      <c r="A361" s="680" t="s">
        <v>452</v>
      </c>
      <c r="B361" s="681" t="s">
        <v>453</v>
      </c>
      <c r="C361" s="47" t="s">
        <v>408</v>
      </c>
      <c r="D361" s="118" t="s">
        <v>16</v>
      </c>
      <c r="E361" s="118">
        <v>0</v>
      </c>
      <c r="F361" s="118" t="s">
        <v>512</v>
      </c>
      <c r="G361" s="118">
        <v>1</v>
      </c>
      <c r="H361" s="118">
        <v>1</v>
      </c>
      <c r="I361" s="118">
        <v>1500</v>
      </c>
      <c r="J361" s="675">
        <v>3</v>
      </c>
      <c r="K361" s="118">
        <v>3879</v>
      </c>
      <c r="L361" s="118" t="s">
        <v>455</v>
      </c>
      <c r="M361" s="64">
        <v>389</v>
      </c>
      <c r="N361" s="676">
        <v>5.8185000000000002</v>
      </c>
      <c r="O361" s="675" t="s">
        <v>140</v>
      </c>
      <c r="P361" s="15">
        <v>0</v>
      </c>
      <c r="Q361" s="46">
        <f t="shared" si="35"/>
        <v>0</v>
      </c>
      <c r="R361" s="46" t="e">
        <f t="shared" si="41"/>
        <v>#DIV/0!</v>
      </c>
      <c r="S361" s="46" t="e">
        <f t="shared" si="36"/>
        <v>#DIV/0!</v>
      </c>
      <c r="T361" s="677" t="e">
        <f t="shared" si="40"/>
        <v>#DIV/0!</v>
      </c>
      <c r="U361" s="80" t="e">
        <f t="shared" si="39"/>
        <v>#DIV/0!</v>
      </c>
      <c r="V361" s="85">
        <f t="shared" si="42"/>
        <v>390</v>
      </c>
      <c r="W361" s="679">
        <f t="shared" si="38"/>
        <v>390</v>
      </c>
      <c r="X361" s="4"/>
    </row>
    <row r="362" spans="1:24" x14ac:dyDescent="0.25">
      <c r="A362" s="680" t="s">
        <v>456</v>
      </c>
      <c r="B362" s="681" t="s">
        <v>453</v>
      </c>
      <c r="C362" s="47" t="s">
        <v>457</v>
      </c>
      <c r="D362" s="118" t="s">
        <v>14</v>
      </c>
      <c r="E362" s="118">
        <v>0</v>
      </c>
      <c r="F362" s="118" t="s">
        <v>513</v>
      </c>
      <c r="G362" s="118">
        <v>2</v>
      </c>
      <c r="H362" s="118">
        <v>1</v>
      </c>
      <c r="I362" s="118">
        <v>11081</v>
      </c>
      <c r="J362" s="675">
        <v>4</v>
      </c>
      <c r="K362" s="118">
        <v>585</v>
      </c>
      <c r="L362" s="118" t="s">
        <v>455</v>
      </c>
      <c r="M362" s="64">
        <v>206</v>
      </c>
      <c r="N362" s="676">
        <v>12.96477</v>
      </c>
      <c r="O362" s="675" t="s">
        <v>140</v>
      </c>
      <c r="P362" s="15">
        <v>0</v>
      </c>
      <c r="Q362" s="46">
        <f t="shared" si="35"/>
        <v>0</v>
      </c>
      <c r="R362" s="46" t="e">
        <f t="shared" si="41"/>
        <v>#DIV/0!</v>
      </c>
      <c r="S362" s="46" t="e">
        <f t="shared" si="36"/>
        <v>#DIV/0!</v>
      </c>
      <c r="T362" s="677" t="e">
        <f t="shared" si="40"/>
        <v>#DIV/0!</v>
      </c>
      <c r="U362" s="80" t="e">
        <f t="shared" si="39"/>
        <v>#DIV/0!</v>
      </c>
      <c r="V362" s="85">
        <f t="shared" si="42"/>
        <v>210</v>
      </c>
      <c r="W362" s="679">
        <f t="shared" si="38"/>
        <v>210</v>
      </c>
      <c r="X362" s="4"/>
    </row>
    <row r="363" spans="1:24" x14ac:dyDescent="0.25">
      <c r="A363" s="680" t="s">
        <v>456</v>
      </c>
      <c r="B363" s="681" t="s">
        <v>453</v>
      </c>
      <c r="C363" s="47" t="s">
        <v>408</v>
      </c>
      <c r="D363" s="118" t="s">
        <v>15</v>
      </c>
      <c r="E363" s="118">
        <v>0</v>
      </c>
      <c r="F363" s="118" t="s">
        <v>514</v>
      </c>
      <c r="G363" s="118">
        <v>29</v>
      </c>
      <c r="H363" s="118">
        <v>1</v>
      </c>
      <c r="I363" s="118">
        <v>1500</v>
      </c>
      <c r="J363" s="675">
        <v>3</v>
      </c>
      <c r="K363" s="118">
        <v>776</v>
      </c>
      <c r="L363" s="118" t="s">
        <v>455</v>
      </c>
      <c r="M363" s="64">
        <v>389</v>
      </c>
      <c r="N363" s="676">
        <v>33.756</v>
      </c>
      <c r="O363" s="675" t="s">
        <v>140</v>
      </c>
      <c r="P363" s="15">
        <v>0</v>
      </c>
      <c r="Q363" s="46">
        <f t="shared" si="35"/>
        <v>0</v>
      </c>
      <c r="R363" s="46" t="e">
        <f t="shared" si="41"/>
        <v>#DIV/0!</v>
      </c>
      <c r="S363" s="46" t="e">
        <f t="shared" si="36"/>
        <v>#DIV/0!</v>
      </c>
      <c r="T363" s="677" t="e">
        <f t="shared" si="40"/>
        <v>#DIV/0!</v>
      </c>
      <c r="U363" s="80" t="e">
        <f t="shared" si="39"/>
        <v>#DIV/0!</v>
      </c>
      <c r="V363" s="85">
        <f t="shared" si="42"/>
        <v>390</v>
      </c>
      <c r="W363" s="679">
        <f t="shared" si="38"/>
        <v>390</v>
      </c>
      <c r="X363" s="4"/>
    </row>
    <row r="364" spans="1:24" x14ac:dyDescent="0.25">
      <c r="A364" s="680" t="s">
        <v>456</v>
      </c>
      <c r="B364" s="681" t="s">
        <v>453</v>
      </c>
      <c r="C364" s="47" t="s">
        <v>408</v>
      </c>
      <c r="D364" s="118" t="s">
        <v>16</v>
      </c>
      <c r="E364" s="118">
        <v>0</v>
      </c>
      <c r="F364" s="118" t="s">
        <v>514</v>
      </c>
      <c r="G364" s="118">
        <v>1</v>
      </c>
      <c r="H364" s="118">
        <v>1</v>
      </c>
      <c r="I364" s="118">
        <v>1500</v>
      </c>
      <c r="J364" s="675">
        <v>3</v>
      </c>
      <c r="K364" s="118">
        <v>3879</v>
      </c>
      <c r="L364" s="118" t="s">
        <v>455</v>
      </c>
      <c r="M364" s="64">
        <v>389</v>
      </c>
      <c r="N364" s="676">
        <v>5.8185000000000002</v>
      </c>
      <c r="O364" s="675" t="s">
        <v>140</v>
      </c>
      <c r="P364" s="15">
        <v>0</v>
      </c>
      <c r="Q364" s="46">
        <f t="shared" si="35"/>
        <v>0</v>
      </c>
      <c r="R364" s="46" t="e">
        <f t="shared" si="41"/>
        <v>#DIV/0!</v>
      </c>
      <c r="S364" s="46" t="e">
        <f t="shared" si="36"/>
        <v>#DIV/0!</v>
      </c>
      <c r="T364" s="677" t="e">
        <f t="shared" si="40"/>
        <v>#DIV/0!</v>
      </c>
      <c r="U364" s="80" t="e">
        <f t="shared" si="39"/>
        <v>#DIV/0!</v>
      </c>
      <c r="V364" s="85">
        <f t="shared" si="42"/>
        <v>390</v>
      </c>
      <c r="W364" s="679">
        <f t="shared" si="38"/>
        <v>390</v>
      </c>
      <c r="X364" s="4"/>
    </row>
    <row r="365" spans="1:24" x14ac:dyDescent="0.25">
      <c r="A365" s="680" t="s">
        <v>458</v>
      </c>
      <c r="B365" s="681" t="s">
        <v>459</v>
      </c>
      <c r="C365" s="47" t="s">
        <v>460</v>
      </c>
      <c r="D365" s="118" t="s">
        <v>14</v>
      </c>
      <c r="E365" s="118">
        <v>0</v>
      </c>
      <c r="F365" s="118" t="s">
        <v>513</v>
      </c>
      <c r="G365" s="118">
        <v>2</v>
      </c>
      <c r="H365" s="118">
        <v>1</v>
      </c>
      <c r="I365" s="118">
        <v>12634</v>
      </c>
      <c r="J365" s="675">
        <v>4</v>
      </c>
      <c r="K365" s="118">
        <v>585</v>
      </c>
      <c r="L365" s="118" t="s">
        <v>455</v>
      </c>
      <c r="M365" s="64">
        <v>206</v>
      </c>
      <c r="N365" s="676">
        <v>14.781779999999999</v>
      </c>
      <c r="O365" s="675" t="s">
        <v>140</v>
      </c>
      <c r="P365" s="15">
        <v>0</v>
      </c>
      <c r="Q365" s="46">
        <f t="shared" si="35"/>
        <v>0</v>
      </c>
      <c r="R365" s="46" t="e">
        <f t="shared" si="41"/>
        <v>#DIV/0!</v>
      </c>
      <c r="S365" s="46" t="e">
        <f t="shared" si="36"/>
        <v>#DIV/0!</v>
      </c>
      <c r="T365" s="677" t="e">
        <f t="shared" si="40"/>
        <v>#DIV/0!</v>
      </c>
      <c r="U365" s="80" t="e">
        <f t="shared" si="39"/>
        <v>#DIV/0!</v>
      </c>
      <c r="V365" s="85">
        <f t="shared" si="42"/>
        <v>210</v>
      </c>
      <c r="W365" s="679">
        <f t="shared" si="38"/>
        <v>210</v>
      </c>
      <c r="X365" s="4"/>
    </row>
    <row r="366" spans="1:24" x14ac:dyDescent="0.25">
      <c r="A366" s="680" t="s">
        <v>458</v>
      </c>
      <c r="B366" s="681" t="s">
        <v>459</v>
      </c>
      <c r="C366" s="47" t="s">
        <v>408</v>
      </c>
      <c r="D366" s="118" t="s">
        <v>15</v>
      </c>
      <c r="E366" s="118">
        <v>0</v>
      </c>
      <c r="F366" s="118" t="s">
        <v>514</v>
      </c>
      <c r="G366" s="118">
        <v>28</v>
      </c>
      <c r="H366" s="118">
        <v>1</v>
      </c>
      <c r="I366" s="118">
        <v>1500</v>
      </c>
      <c r="J366" s="675">
        <v>3</v>
      </c>
      <c r="K366" s="118">
        <v>776</v>
      </c>
      <c r="L366" s="118" t="s">
        <v>455</v>
      </c>
      <c r="M366" s="64">
        <v>389</v>
      </c>
      <c r="N366" s="676">
        <v>32.591999999999999</v>
      </c>
      <c r="O366" s="675" t="s">
        <v>140</v>
      </c>
      <c r="P366" s="15">
        <v>0</v>
      </c>
      <c r="Q366" s="46">
        <f t="shared" si="35"/>
        <v>0</v>
      </c>
      <c r="R366" s="46" t="e">
        <f t="shared" si="41"/>
        <v>#DIV/0!</v>
      </c>
      <c r="S366" s="46" t="e">
        <f t="shared" si="36"/>
        <v>#DIV/0!</v>
      </c>
      <c r="T366" s="677" t="e">
        <f t="shared" si="40"/>
        <v>#DIV/0!</v>
      </c>
      <c r="U366" s="80" t="e">
        <f t="shared" si="39"/>
        <v>#DIV/0!</v>
      </c>
      <c r="V366" s="85">
        <f t="shared" si="42"/>
        <v>390</v>
      </c>
      <c r="W366" s="679">
        <f t="shared" si="38"/>
        <v>390</v>
      </c>
      <c r="X366" s="4"/>
    </row>
    <row r="367" spans="1:24" x14ac:dyDescent="0.25">
      <c r="A367" s="680" t="s">
        <v>461</v>
      </c>
      <c r="B367" s="681" t="s">
        <v>459</v>
      </c>
      <c r="C367" s="47" t="s">
        <v>462</v>
      </c>
      <c r="D367" s="118" t="s">
        <v>14</v>
      </c>
      <c r="E367" s="118">
        <v>0</v>
      </c>
      <c r="F367" s="118" t="s">
        <v>513</v>
      </c>
      <c r="G367" s="118">
        <v>2</v>
      </c>
      <c r="H367" s="118">
        <v>1</v>
      </c>
      <c r="I367" s="118">
        <v>11097</v>
      </c>
      <c r="J367" s="675">
        <v>4</v>
      </c>
      <c r="K367" s="118">
        <v>585</v>
      </c>
      <c r="L367" s="118" t="s">
        <v>455</v>
      </c>
      <c r="M367" s="64">
        <v>206</v>
      </c>
      <c r="N367" s="676">
        <v>12.98349</v>
      </c>
      <c r="O367" s="675" t="s">
        <v>140</v>
      </c>
      <c r="P367" s="15">
        <v>0</v>
      </c>
      <c r="Q367" s="46">
        <f t="shared" si="35"/>
        <v>0</v>
      </c>
      <c r="R367" s="46" t="e">
        <f t="shared" si="41"/>
        <v>#DIV/0!</v>
      </c>
      <c r="S367" s="46" t="e">
        <f t="shared" si="36"/>
        <v>#DIV/0!</v>
      </c>
      <c r="T367" s="677" t="e">
        <f t="shared" si="40"/>
        <v>#DIV/0!</v>
      </c>
      <c r="U367" s="80" t="e">
        <f t="shared" si="39"/>
        <v>#DIV/0!</v>
      </c>
      <c r="V367" s="85">
        <f t="shared" si="42"/>
        <v>210</v>
      </c>
      <c r="W367" s="679">
        <f t="shared" si="38"/>
        <v>210</v>
      </c>
      <c r="X367" s="4"/>
    </row>
    <row r="368" spans="1:24" x14ac:dyDescent="0.25">
      <c r="A368" s="680" t="s">
        <v>461</v>
      </c>
      <c r="B368" s="681" t="s">
        <v>459</v>
      </c>
      <c r="C368" s="47" t="s">
        <v>408</v>
      </c>
      <c r="D368" s="118" t="s">
        <v>15</v>
      </c>
      <c r="E368" s="118">
        <v>0</v>
      </c>
      <c r="F368" s="118" t="s">
        <v>514</v>
      </c>
      <c r="G368" s="118">
        <v>29</v>
      </c>
      <c r="H368" s="118">
        <v>1</v>
      </c>
      <c r="I368" s="118">
        <v>1500</v>
      </c>
      <c r="J368" s="675">
        <v>3</v>
      </c>
      <c r="K368" s="118">
        <v>776</v>
      </c>
      <c r="L368" s="118" t="s">
        <v>455</v>
      </c>
      <c r="M368" s="64">
        <v>389</v>
      </c>
      <c r="N368" s="676">
        <v>33.756</v>
      </c>
      <c r="O368" s="675" t="s">
        <v>140</v>
      </c>
      <c r="P368" s="15">
        <v>0</v>
      </c>
      <c r="Q368" s="46">
        <f t="shared" si="35"/>
        <v>0</v>
      </c>
      <c r="R368" s="46" t="e">
        <f t="shared" si="41"/>
        <v>#DIV/0!</v>
      </c>
      <c r="S368" s="46" t="e">
        <f t="shared" si="36"/>
        <v>#DIV/0!</v>
      </c>
      <c r="T368" s="677" t="e">
        <f t="shared" si="40"/>
        <v>#DIV/0!</v>
      </c>
      <c r="U368" s="80" t="e">
        <f t="shared" si="39"/>
        <v>#DIV/0!</v>
      </c>
      <c r="V368" s="85">
        <f t="shared" si="42"/>
        <v>390</v>
      </c>
      <c r="W368" s="679">
        <f t="shared" si="38"/>
        <v>390</v>
      </c>
      <c r="X368" s="4"/>
    </row>
    <row r="369" spans="1:24" ht="16.5" thickBot="1" x14ac:dyDescent="0.3">
      <c r="A369" s="680" t="s">
        <v>461</v>
      </c>
      <c r="B369" s="681" t="s">
        <v>459</v>
      </c>
      <c r="C369" s="47" t="s">
        <v>408</v>
      </c>
      <c r="D369" s="118" t="s">
        <v>16</v>
      </c>
      <c r="E369" s="118">
        <v>0</v>
      </c>
      <c r="F369" s="118" t="s">
        <v>514</v>
      </c>
      <c r="G369" s="118">
        <v>1</v>
      </c>
      <c r="H369" s="118">
        <v>1</v>
      </c>
      <c r="I369" s="118">
        <v>1500</v>
      </c>
      <c r="J369" s="675">
        <v>3</v>
      </c>
      <c r="K369" s="118">
        <v>3879</v>
      </c>
      <c r="L369" s="118" t="s">
        <v>455</v>
      </c>
      <c r="M369" s="64">
        <v>389</v>
      </c>
      <c r="N369" s="676">
        <v>5.8185000000000002</v>
      </c>
      <c r="O369" s="675" t="s">
        <v>140</v>
      </c>
      <c r="P369" s="15">
        <v>0</v>
      </c>
      <c r="Q369" s="46">
        <f t="shared" si="35"/>
        <v>0</v>
      </c>
      <c r="R369" s="46" t="e">
        <f t="shared" si="41"/>
        <v>#DIV/0!</v>
      </c>
      <c r="S369" s="46" t="e">
        <f t="shared" si="36"/>
        <v>#DIV/0!</v>
      </c>
      <c r="T369" s="677" t="e">
        <f t="shared" si="40"/>
        <v>#DIV/0!</v>
      </c>
      <c r="U369" s="80" t="e">
        <f t="shared" si="39"/>
        <v>#DIV/0!</v>
      </c>
      <c r="V369" s="686">
        <f t="shared" si="42"/>
        <v>390</v>
      </c>
      <c r="W369" s="687">
        <f t="shared" si="38"/>
        <v>390</v>
      </c>
      <c r="X369" s="4"/>
    </row>
    <row r="370" spans="1:24" x14ac:dyDescent="0.25">
      <c r="V370" s="4"/>
      <c r="W370" s="4"/>
      <c r="X370" s="4"/>
    </row>
    <row r="371" spans="1:24" x14ac:dyDescent="0.25">
      <c r="V371" s="4"/>
      <c r="W371" s="4"/>
      <c r="X371" s="4"/>
    </row>
    <row r="372" spans="1:24" x14ac:dyDescent="0.25">
      <c r="V372" s="4"/>
      <c r="W372" s="4"/>
      <c r="X372" s="4"/>
    </row>
    <row r="373" spans="1:24" x14ac:dyDescent="0.25">
      <c r="V373" s="4"/>
      <c r="W373" s="4"/>
      <c r="X373" s="4"/>
    </row>
    <row r="374" spans="1:24" x14ac:dyDescent="0.25">
      <c r="V374" s="4"/>
      <c r="W374" s="4"/>
      <c r="X374" s="4"/>
    </row>
    <row r="375" spans="1:24" x14ac:dyDescent="0.25">
      <c r="V375" s="4"/>
      <c r="W375" s="4"/>
      <c r="X375" s="4"/>
    </row>
    <row r="376" spans="1:24" x14ac:dyDescent="0.25">
      <c r="V376" s="4"/>
      <c r="W376" s="4"/>
      <c r="X376" s="4"/>
    </row>
    <row r="377" spans="1:24" x14ac:dyDescent="0.25">
      <c r="V377" s="4"/>
      <c r="W377" s="4"/>
      <c r="X377" s="4"/>
    </row>
    <row r="378" spans="1:24" x14ac:dyDescent="0.25">
      <c r="V378" s="4"/>
      <c r="W378" s="4"/>
      <c r="X378" s="4"/>
    </row>
    <row r="379" spans="1:24" x14ac:dyDescent="0.25">
      <c r="V379" s="4"/>
      <c r="W379" s="4"/>
      <c r="X379" s="4"/>
    </row>
    <row r="380" spans="1:24" x14ac:dyDescent="0.25">
      <c r="V380" s="4"/>
      <c r="W380" s="4"/>
      <c r="X380" s="4"/>
    </row>
    <row r="381" spans="1:24" x14ac:dyDescent="0.25">
      <c r="V381" s="4"/>
      <c r="W381" s="4"/>
      <c r="X381" s="4"/>
    </row>
    <row r="382" spans="1:24" x14ac:dyDescent="0.25">
      <c r="V382" s="4"/>
      <c r="W382" s="4"/>
      <c r="X382" s="4"/>
    </row>
    <row r="383" spans="1:24" x14ac:dyDescent="0.25">
      <c r="V383" s="4"/>
      <c r="W383" s="4"/>
      <c r="X383" s="4"/>
    </row>
    <row r="384" spans="1:24" x14ac:dyDescent="0.25">
      <c r="V384" s="4"/>
      <c r="W384" s="4"/>
      <c r="X384" s="4"/>
    </row>
    <row r="385" spans="22:24" x14ac:dyDescent="0.25">
      <c r="V385" s="4"/>
      <c r="W385" s="4"/>
      <c r="X385" s="4"/>
    </row>
    <row r="386" spans="22:24" x14ac:dyDescent="0.25">
      <c r="V386" s="4"/>
      <c r="W386" s="4"/>
      <c r="X386" s="4"/>
    </row>
    <row r="387" spans="22:24" x14ac:dyDescent="0.25">
      <c r="V387" s="4"/>
      <c r="W387" s="4"/>
      <c r="X387" s="4"/>
    </row>
    <row r="388" spans="22:24" x14ac:dyDescent="0.25">
      <c r="V388" s="4"/>
      <c r="W388" s="4"/>
      <c r="X388" s="4"/>
    </row>
    <row r="389" spans="22:24" x14ac:dyDescent="0.25">
      <c r="V389" s="4"/>
      <c r="W389" s="4"/>
      <c r="X389" s="4"/>
    </row>
    <row r="390" spans="22:24" x14ac:dyDescent="0.25">
      <c r="V390" s="4"/>
      <c r="W390" s="4"/>
      <c r="X390" s="4"/>
    </row>
    <row r="391" spans="22:24" x14ac:dyDescent="0.25">
      <c r="V391" s="4"/>
      <c r="W391" s="4"/>
      <c r="X391" s="4"/>
    </row>
    <row r="392" spans="22:24" x14ac:dyDescent="0.25">
      <c r="V392" s="4"/>
      <c r="W392" s="4"/>
      <c r="X392" s="4"/>
    </row>
    <row r="393" spans="22:24" x14ac:dyDescent="0.25">
      <c r="V393" s="4"/>
      <c r="W393" s="4"/>
      <c r="X393" s="4"/>
    </row>
    <row r="394" spans="22:24" x14ac:dyDescent="0.25">
      <c r="V394" s="4"/>
      <c r="W394" s="4"/>
      <c r="X394" s="4"/>
    </row>
    <row r="395" spans="22:24" x14ac:dyDescent="0.25">
      <c r="V395" s="4"/>
      <c r="W395" s="4"/>
      <c r="X395" s="4"/>
    </row>
    <row r="396" spans="22:24" x14ac:dyDescent="0.25">
      <c r="V396" s="4"/>
      <c r="W396" s="4"/>
      <c r="X396" s="4"/>
    </row>
    <row r="397" spans="22:24" x14ac:dyDescent="0.25">
      <c r="V397" s="4"/>
      <c r="W397" s="4"/>
      <c r="X397" s="4"/>
    </row>
    <row r="398" spans="22:24" x14ac:dyDescent="0.25">
      <c r="V398" s="4"/>
      <c r="W398" s="4"/>
      <c r="X398" s="4"/>
    </row>
    <row r="399" spans="22:24" x14ac:dyDescent="0.25">
      <c r="V399" s="4"/>
      <c r="W399" s="4"/>
      <c r="X399" s="4"/>
    </row>
    <row r="400" spans="22:24" x14ac:dyDescent="0.25">
      <c r="V400" s="4"/>
      <c r="W400" s="4"/>
      <c r="X400" s="4"/>
    </row>
    <row r="401" spans="22:24" x14ac:dyDescent="0.25">
      <c r="V401" s="4"/>
      <c r="W401" s="4"/>
      <c r="X401" s="4"/>
    </row>
    <row r="402" spans="22:24" x14ac:dyDescent="0.25">
      <c r="V402" s="4"/>
      <c r="W402" s="4"/>
      <c r="X402" s="4"/>
    </row>
    <row r="403" spans="22:24" x14ac:dyDescent="0.25">
      <c r="V403" s="4"/>
      <c r="W403" s="4"/>
      <c r="X403" s="4"/>
    </row>
    <row r="404" spans="22:24" x14ac:dyDescent="0.25">
      <c r="V404" s="4"/>
      <c r="W404" s="4"/>
      <c r="X404" s="4"/>
    </row>
    <row r="405" spans="22:24" x14ac:dyDescent="0.25">
      <c r="V405" s="4"/>
      <c r="W405" s="4"/>
      <c r="X405" s="4"/>
    </row>
    <row r="406" spans="22:24" x14ac:dyDescent="0.25">
      <c r="V406" s="4"/>
      <c r="W406" s="4"/>
      <c r="X406" s="4"/>
    </row>
    <row r="407" spans="22:24" x14ac:dyDescent="0.25">
      <c r="V407" s="4"/>
      <c r="W407" s="4"/>
      <c r="X407" s="4"/>
    </row>
    <row r="408" spans="22:24" x14ac:dyDescent="0.25">
      <c r="V408" s="4"/>
      <c r="W408" s="4"/>
      <c r="X408" s="4"/>
    </row>
    <row r="409" spans="22:24" x14ac:dyDescent="0.25">
      <c r="V409" s="4"/>
      <c r="W409" s="4"/>
      <c r="X409" s="4"/>
    </row>
    <row r="410" spans="22:24" x14ac:dyDescent="0.25">
      <c r="V410" s="4"/>
      <c r="W410" s="4"/>
      <c r="X410" s="4"/>
    </row>
    <row r="411" spans="22:24" x14ac:dyDescent="0.25">
      <c r="V411" s="4"/>
      <c r="W411" s="4"/>
      <c r="X411" s="4"/>
    </row>
    <row r="412" spans="22:24" x14ac:dyDescent="0.25">
      <c r="V412" s="4"/>
      <c r="W412" s="4"/>
      <c r="X412" s="4"/>
    </row>
    <row r="413" spans="22:24" x14ac:dyDescent="0.25">
      <c r="V413" s="4"/>
      <c r="W413" s="4"/>
      <c r="X413" s="4"/>
    </row>
    <row r="414" spans="22:24" x14ac:dyDescent="0.25">
      <c r="V414" s="4"/>
      <c r="W414" s="4"/>
      <c r="X414" s="4"/>
    </row>
    <row r="415" spans="22:24" x14ac:dyDescent="0.25">
      <c r="V415" s="4"/>
      <c r="W415" s="4"/>
      <c r="X415" s="4"/>
    </row>
    <row r="416" spans="22:24" x14ac:dyDescent="0.25">
      <c r="V416" s="4"/>
      <c r="W416" s="4"/>
      <c r="X416" s="4"/>
    </row>
    <row r="417" spans="22:24" x14ac:dyDescent="0.25">
      <c r="V417" s="4"/>
      <c r="W417" s="4"/>
      <c r="X417" s="4"/>
    </row>
    <row r="418" spans="22:24" x14ac:dyDescent="0.25">
      <c r="V418" s="4"/>
      <c r="W418" s="4"/>
      <c r="X418" s="4"/>
    </row>
    <row r="419" spans="22:24" x14ac:dyDescent="0.25">
      <c r="V419" s="4"/>
      <c r="W419" s="4"/>
      <c r="X419" s="4"/>
    </row>
    <row r="420" spans="22:24" x14ac:dyDescent="0.25">
      <c r="V420" s="4"/>
      <c r="W420" s="4"/>
      <c r="X420" s="4"/>
    </row>
    <row r="421" spans="22:24" x14ac:dyDescent="0.25">
      <c r="V421" s="4"/>
      <c r="W421" s="4"/>
      <c r="X421" s="4"/>
    </row>
    <row r="422" spans="22:24" x14ac:dyDescent="0.25">
      <c r="V422" s="4"/>
      <c r="W422" s="4"/>
      <c r="X422" s="4"/>
    </row>
    <row r="423" spans="22:24" x14ac:dyDescent="0.25">
      <c r="V423" s="4"/>
      <c r="W423" s="4"/>
      <c r="X423" s="4"/>
    </row>
    <row r="424" spans="22:24" x14ac:dyDescent="0.25">
      <c r="V424" s="4"/>
      <c r="W424" s="4"/>
      <c r="X424" s="4"/>
    </row>
    <row r="425" spans="22:24" x14ac:dyDescent="0.25">
      <c r="V425" s="4"/>
      <c r="W425" s="4"/>
      <c r="X425" s="4"/>
    </row>
    <row r="426" spans="22:24" x14ac:dyDescent="0.25">
      <c r="V426" s="4"/>
      <c r="W426" s="4"/>
      <c r="X426" s="4"/>
    </row>
    <row r="427" spans="22:24" x14ac:dyDescent="0.25">
      <c r="V427" s="4"/>
      <c r="W427" s="4"/>
      <c r="X427" s="4"/>
    </row>
    <row r="428" spans="22:24" x14ac:dyDescent="0.25">
      <c r="V428" s="4"/>
      <c r="W428" s="4"/>
      <c r="X428" s="4"/>
    </row>
    <row r="429" spans="22:24" x14ac:dyDescent="0.25">
      <c r="V429" s="4"/>
      <c r="W429" s="4"/>
      <c r="X429" s="4"/>
    </row>
    <row r="430" spans="22:24" x14ac:dyDescent="0.25">
      <c r="V430" s="4"/>
      <c r="W430" s="4"/>
      <c r="X430" s="4"/>
    </row>
    <row r="431" spans="22:24" x14ac:dyDescent="0.25">
      <c r="V431" s="4"/>
      <c r="W431" s="4"/>
      <c r="X431" s="4"/>
    </row>
    <row r="432" spans="22:24" x14ac:dyDescent="0.25">
      <c r="V432" s="4"/>
      <c r="W432" s="4"/>
      <c r="X432" s="4"/>
    </row>
    <row r="433" spans="22:24" x14ac:dyDescent="0.25">
      <c r="V433" s="4"/>
      <c r="W433" s="4"/>
      <c r="X433" s="4"/>
    </row>
    <row r="434" spans="22:24" x14ac:dyDescent="0.25">
      <c r="V434" s="4"/>
      <c r="W434" s="4"/>
      <c r="X434" s="4"/>
    </row>
    <row r="435" spans="22:24" x14ac:dyDescent="0.25">
      <c r="V435" s="4"/>
      <c r="W435" s="4"/>
      <c r="X435" s="4"/>
    </row>
    <row r="436" spans="22:24" x14ac:dyDescent="0.25">
      <c r="V436" s="4"/>
      <c r="W436" s="4"/>
      <c r="X436" s="4"/>
    </row>
    <row r="437" spans="22:24" x14ac:dyDescent="0.25">
      <c r="V437" s="4"/>
      <c r="W437" s="4"/>
      <c r="X437" s="4"/>
    </row>
    <row r="438" spans="22:24" x14ac:dyDescent="0.25">
      <c r="V438" s="4"/>
      <c r="W438" s="4"/>
      <c r="X438" s="4"/>
    </row>
    <row r="439" spans="22:24" x14ac:dyDescent="0.25">
      <c r="V439" s="4"/>
      <c r="W439" s="4"/>
      <c r="X439" s="4"/>
    </row>
    <row r="440" spans="22:24" x14ac:dyDescent="0.25">
      <c r="V440" s="4"/>
      <c r="W440" s="4"/>
      <c r="X440" s="4"/>
    </row>
    <row r="441" spans="22:24" x14ac:dyDescent="0.25">
      <c r="V441" s="4"/>
      <c r="W441" s="4"/>
      <c r="X441" s="4"/>
    </row>
    <row r="442" spans="22:24" x14ac:dyDescent="0.25">
      <c r="V442" s="4"/>
      <c r="W442" s="4"/>
      <c r="X442" s="4"/>
    </row>
    <row r="443" spans="22:24" x14ac:dyDescent="0.25">
      <c r="V443" s="4"/>
      <c r="W443" s="4"/>
      <c r="X443" s="4"/>
    </row>
    <row r="444" spans="22:24" x14ac:dyDescent="0.25">
      <c r="V444" s="4"/>
      <c r="W444" s="4"/>
      <c r="X444" s="4"/>
    </row>
    <row r="445" spans="22:24" x14ac:dyDescent="0.25">
      <c r="V445" s="4"/>
      <c r="W445" s="4"/>
      <c r="X445" s="4"/>
    </row>
    <row r="446" spans="22:24" x14ac:dyDescent="0.25">
      <c r="V446" s="4"/>
      <c r="W446" s="4"/>
      <c r="X446" s="4"/>
    </row>
    <row r="447" spans="22:24" x14ac:dyDescent="0.25">
      <c r="V447" s="4"/>
      <c r="W447" s="4"/>
      <c r="X447" s="4"/>
    </row>
    <row r="448" spans="22:24" x14ac:dyDescent="0.25">
      <c r="V448" s="4"/>
      <c r="W448" s="4"/>
      <c r="X448" s="4"/>
    </row>
    <row r="449" spans="22:24" x14ac:dyDescent="0.25">
      <c r="V449" s="4"/>
      <c r="W449" s="4"/>
      <c r="X449" s="4"/>
    </row>
    <row r="450" spans="22:24" x14ac:dyDescent="0.25">
      <c r="V450" s="4"/>
      <c r="W450" s="4"/>
      <c r="X450" s="4"/>
    </row>
    <row r="451" spans="22:24" x14ac:dyDescent="0.25">
      <c r="V451" s="4"/>
      <c r="W451" s="4"/>
      <c r="X451" s="4"/>
    </row>
    <row r="452" spans="22:24" x14ac:dyDescent="0.25">
      <c r="V452" s="4"/>
      <c r="W452" s="4"/>
      <c r="X452" s="4"/>
    </row>
    <row r="453" spans="22:24" x14ac:dyDescent="0.25">
      <c r="V453" s="4"/>
      <c r="W453" s="4"/>
      <c r="X453" s="4"/>
    </row>
    <row r="454" spans="22:24" x14ac:dyDescent="0.25">
      <c r="V454" s="4"/>
      <c r="W454" s="4"/>
      <c r="X454" s="4"/>
    </row>
    <row r="455" spans="22:24" x14ac:dyDescent="0.25">
      <c r="V455" s="4"/>
      <c r="W455" s="4"/>
      <c r="X455" s="4"/>
    </row>
    <row r="456" spans="22:24" x14ac:dyDescent="0.25">
      <c r="V456" s="4"/>
      <c r="W456" s="4"/>
      <c r="X456" s="4"/>
    </row>
    <row r="457" spans="22:24" x14ac:dyDescent="0.25">
      <c r="V457" s="4"/>
      <c r="W457" s="4"/>
      <c r="X457" s="4"/>
    </row>
    <row r="458" spans="22:24" x14ac:dyDescent="0.25">
      <c r="V458" s="4"/>
      <c r="W458" s="4"/>
      <c r="X458" s="4"/>
    </row>
    <row r="459" spans="22:24" x14ac:dyDescent="0.25">
      <c r="V459" s="4"/>
      <c r="W459" s="4"/>
      <c r="X459" s="4"/>
    </row>
    <row r="460" spans="22:24" x14ac:dyDescent="0.25">
      <c r="V460" s="4"/>
      <c r="W460" s="4"/>
      <c r="X460" s="4"/>
    </row>
    <row r="461" spans="22:24" x14ac:dyDescent="0.25">
      <c r="V461" s="4"/>
      <c r="W461" s="4"/>
      <c r="X461" s="4"/>
    </row>
    <row r="462" spans="22:24" x14ac:dyDescent="0.25">
      <c r="V462" s="4"/>
      <c r="W462" s="4"/>
      <c r="X462" s="4"/>
    </row>
    <row r="463" spans="22:24" x14ac:dyDescent="0.25">
      <c r="V463" s="4"/>
      <c r="W463" s="4"/>
      <c r="X463" s="4"/>
    </row>
    <row r="464" spans="22:24" x14ac:dyDescent="0.25">
      <c r="V464" s="4"/>
      <c r="W464" s="4"/>
      <c r="X464" s="4"/>
    </row>
    <row r="465" spans="22:24" x14ac:dyDescent="0.25">
      <c r="V465" s="4"/>
      <c r="W465" s="4"/>
      <c r="X465" s="4"/>
    </row>
    <row r="466" spans="22:24" x14ac:dyDescent="0.25">
      <c r="V466" s="4"/>
      <c r="W466" s="4"/>
      <c r="X466" s="4"/>
    </row>
    <row r="467" spans="22:24" x14ac:dyDescent="0.25">
      <c r="V467" s="4"/>
      <c r="W467" s="4"/>
      <c r="X467" s="4"/>
    </row>
    <row r="468" spans="22:24" x14ac:dyDescent="0.25">
      <c r="V468" s="4"/>
      <c r="W468" s="4"/>
      <c r="X468" s="4"/>
    </row>
    <row r="469" spans="22:24" x14ac:dyDescent="0.25">
      <c r="V469" s="4"/>
      <c r="W469" s="4"/>
      <c r="X469" s="4"/>
    </row>
    <row r="470" spans="22:24" x14ac:dyDescent="0.25">
      <c r="V470" s="4"/>
      <c r="W470" s="4"/>
      <c r="X470" s="4"/>
    </row>
    <row r="471" spans="22:24" x14ac:dyDescent="0.25">
      <c r="V471" s="4"/>
      <c r="W471" s="4"/>
      <c r="X471" s="4"/>
    </row>
    <row r="472" spans="22:24" x14ac:dyDescent="0.25">
      <c r="V472" s="4"/>
      <c r="W472" s="4"/>
      <c r="X472" s="4"/>
    </row>
    <row r="473" spans="22:24" x14ac:dyDescent="0.25">
      <c r="V473" s="4"/>
      <c r="W473" s="4"/>
      <c r="X473" s="4"/>
    </row>
    <row r="474" spans="22:24" x14ac:dyDescent="0.25">
      <c r="V474" s="4"/>
      <c r="W474" s="4"/>
      <c r="X474" s="4"/>
    </row>
    <row r="475" spans="22:24" x14ac:dyDescent="0.25">
      <c r="V475" s="4"/>
      <c r="W475" s="4"/>
      <c r="X475" s="4"/>
    </row>
    <row r="476" spans="22:24" x14ac:dyDescent="0.25">
      <c r="V476" s="4"/>
      <c r="W476" s="4"/>
      <c r="X476" s="4"/>
    </row>
    <row r="477" spans="22:24" x14ac:dyDescent="0.25">
      <c r="V477" s="4"/>
      <c r="W477" s="4"/>
      <c r="X477" s="4"/>
    </row>
    <row r="478" spans="22:24" x14ac:dyDescent="0.25">
      <c r="V478" s="4"/>
      <c r="W478" s="4"/>
      <c r="X478" s="4"/>
    </row>
    <row r="479" spans="22:24" x14ac:dyDescent="0.25">
      <c r="V479" s="4"/>
      <c r="W479" s="4"/>
      <c r="X479" s="4"/>
    </row>
    <row r="480" spans="22:24" x14ac:dyDescent="0.25">
      <c r="V480" s="4"/>
      <c r="W480" s="4"/>
      <c r="X480" s="4"/>
    </row>
    <row r="481" spans="22:24" x14ac:dyDescent="0.25">
      <c r="V481" s="4"/>
      <c r="W481" s="4"/>
      <c r="X481" s="4"/>
    </row>
    <row r="482" spans="22:24" x14ac:dyDescent="0.25">
      <c r="V482" s="4"/>
      <c r="W482" s="4"/>
      <c r="X482" s="4"/>
    </row>
    <row r="483" spans="22:24" x14ac:dyDescent="0.25">
      <c r="V483" s="4"/>
      <c r="W483" s="4"/>
      <c r="X483" s="4"/>
    </row>
    <row r="484" spans="22:24" x14ac:dyDescent="0.25">
      <c r="V484" s="4"/>
      <c r="W484" s="4"/>
      <c r="X484" s="4"/>
    </row>
    <row r="485" spans="22:24" x14ac:dyDescent="0.25">
      <c r="V485" s="4"/>
      <c r="W485" s="4"/>
      <c r="X485" s="4"/>
    </row>
    <row r="486" spans="22:24" x14ac:dyDescent="0.25">
      <c r="V486" s="4"/>
      <c r="W486" s="4"/>
      <c r="X486" s="4"/>
    </row>
    <row r="487" spans="22:24" x14ac:dyDescent="0.25">
      <c r="V487" s="4"/>
      <c r="W487" s="4"/>
      <c r="X487" s="4"/>
    </row>
    <row r="488" spans="22:24" x14ac:dyDescent="0.25">
      <c r="V488" s="4"/>
      <c r="W488" s="4"/>
      <c r="X488" s="4"/>
    </row>
    <row r="489" spans="22:24" x14ac:dyDescent="0.25">
      <c r="V489" s="4"/>
      <c r="W489" s="4"/>
      <c r="X489" s="4"/>
    </row>
    <row r="490" spans="22:24" x14ac:dyDescent="0.25">
      <c r="V490" s="4"/>
      <c r="W490" s="4"/>
      <c r="X490" s="4"/>
    </row>
    <row r="491" spans="22:24" x14ac:dyDescent="0.25">
      <c r="V491" s="4"/>
      <c r="W491" s="4"/>
      <c r="X491" s="4"/>
    </row>
    <row r="492" spans="22:24" x14ac:dyDescent="0.25">
      <c r="V492" s="4"/>
      <c r="W492" s="4"/>
      <c r="X492" s="4"/>
    </row>
    <row r="493" spans="22:24" x14ac:dyDescent="0.25">
      <c r="V493" s="4"/>
      <c r="W493" s="4"/>
      <c r="X493" s="4"/>
    </row>
    <row r="494" spans="22:24" x14ac:dyDescent="0.25">
      <c r="V494" s="4"/>
      <c r="W494" s="4"/>
      <c r="X494" s="4"/>
    </row>
    <row r="495" spans="22:24" x14ac:dyDescent="0.25">
      <c r="V495" s="4"/>
      <c r="W495" s="4"/>
      <c r="X495" s="4"/>
    </row>
    <row r="496" spans="22:24" x14ac:dyDescent="0.25">
      <c r="V496" s="4"/>
      <c r="W496" s="4"/>
      <c r="X496" s="4"/>
    </row>
    <row r="497" spans="22:24" x14ac:dyDescent="0.25">
      <c r="V497" s="4"/>
      <c r="W497" s="4"/>
      <c r="X497" s="4"/>
    </row>
    <row r="498" spans="22:24" x14ac:dyDescent="0.25">
      <c r="V498" s="4"/>
      <c r="W498" s="4"/>
      <c r="X498" s="4"/>
    </row>
    <row r="499" spans="22:24" x14ac:dyDescent="0.25">
      <c r="V499" s="4"/>
      <c r="W499" s="4"/>
      <c r="X499" s="4"/>
    </row>
    <row r="500" spans="22:24" x14ac:dyDescent="0.25">
      <c r="V500" s="4"/>
      <c r="W500" s="4"/>
      <c r="X500" s="4"/>
    </row>
    <row r="501" spans="22:24" x14ac:dyDescent="0.25">
      <c r="V501" s="4"/>
      <c r="W501" s="4"/>
      <c r="X501" s="4"/>
    </row>
    <row r="502" spans="22:24" x14ac:dyDescent="0.25">
      <c r="V502" s="4"/>
      <c r="W502" s="4"/>
      <c r="X502" s="4"/>
    </row>
    <row r="503" spans="22:24" x14ac:dyDescent="0.25">
      <c r="V503" s="4"/>
      <c r="W503" s="4"/>
      <c r="X503" s="4"/>
    </row>
    <row r="504" spans="22:24" x14ac:dyDescent="0.25">
      <c r="V504" s="4"/>
      <c r="W504" s="4"/>
      <c r="X504" s="4"/>
    </row>
    <row r="505" spans="22:24" x14ac:dyDescent="0.25">
      <c r="V505" s="4"/>
      <c r="W505" s="4"/>
      <c r="X505" s="4"/>
    </row>
    <row r="506" spans="22:24" x14ac:dyDescent="0.25">
      <c r="V506" s="4"/>
      <c r="W506" s="4"/>
      <c r="X506" s="4"/>
    </row>
    <row r="507" spans="22:24" x14ac:dyDescent="0.25">
      <c r="V507" s="4"/>
      <c r="W507" s="4"/>
      <c r="X507" s="4"/>
    </row>
    <row r="508" spans="22:24" x14ac:dyDescent="0.25">
      <c r="V508" s="4"/>
      <c r="W508" s="4"/>
      <c r="X508" s="4"/>
    </row>
    <row r="509" spans="22:24" x14ac:dyDescent="0.25">
      <c r="V509" s="4"/>
      <c r="W509" s="4"/>
      <c r="X509" s="4"/>
    </row>
    <row r="510" spans="22:24" x14ac:dyDescent="0.25">
      <c r="V510" s="4"/>
      <c r="W510" s="4"/>
      <c r="X510" s="4"/>
    </row>
    <row r="511" spans="22:24" x14ac:dyDescent="0.25">
      <c r="V511" s="4"/>
      <c r="W511" s="4"/>
      <c r="X511" s="4"/>
    </row>
    <row r="512" spans="22:24" x14ac:dyDescent="0.25">
      <c r="V512" s="4"/>
      <c r="W512" s="4"/>
      <c r="X512" s="4"/>
    </row>
    <row r="513" spans="22:24" x14ac:dyDescent="0.25">
      <c r="V513" s="4"/>
      <c r="W513" s="4"/>
      <c r="X513" s="4"/>
    </row>
    <row r="514" spans="22:24" x14ac:dyDescent="0.25">
      <c r="V514" s="4"/>
      <c r="W514" s="4"/>
      <c r="X514" s="4"/>
    </row>
    <row r="515" spans="22:24" x14ac:dyDescent="0.25">
      <c r="V515" s="4"/>
      <c r="W515" s="4"/>
      <c r="X515" s="4"/>
    </row>
    <row r="516" spans="22:24" x14ac:dyDescent="0.25">
      <c r="V516" s="4"/>
      <c r="W516" s="4"/>
      <c r="X516" s="4"/>
    </row>
    <row r="517" spans="22:24" x14ac:dyDescent="0.25">
      <c r="V517" s="4"/>
      <c r="W517" s="4"/>
      <c r="X517" s="4"/>
    </row>
    <row r="518" spans="22:24" x14ac:dyDescent="0.25">
      <c r="V518" s="4"/>
      <c r="W518" s="4"/>
      <c r="X518" s="4"/>
    </row>
    <row r="519" spans="22:24" x14ac:dyDescent="0.25">
      <c r="V519" s="4"/>
      <c r="W519" s="4"/>
      <c r="X519" s="4"/>
    </row>
    <row r="520" spans="22:24" x14ac:dyDescent="0.25">
      <c r="V520" s="4"/>
      <c r="W520" s="4"/>
      <c r="X520" s="4"/>
    </row>
    <row r="521" spans="22:24" x14ac:dyDescent="0.25">
      <c r="V521" s="4"/>
      <c r="W521" s="4"/>
      <c r="X521" s="4"/>
    </row>
    <row r="522" spans="22:24" x14ac:dyDescent="0.25">
      <c r="V522" s="4"/>
      <c r="W522" s="4"/>
      <c r="X522" s="4"/>
    </row>
    <row r="523" spans="22:24" x14ac:dyDescent="0.25">
      <c r="V523" s="4"/>
      <c r="W523" s="4"/>
      <c r="X523" s="4"/>
    </row>
    <row r="524" spans="22:24" x14ac:dyDescent="0.25">
      <c r="V524" s="4"/>
      <c r="W524" s="4"/>
      <c r="X524" s="4"/>
    </row>
    <row r="525" spans="22:24" x14ac:dyDescent="0.25">
      <c r="V525" s="4"/>
      <c r="W525" s="4"/>
      <c r="X525" s="4"/>
    </row>
    <row r="526" spans="22:24" x14ac:dyDescent="0.25">
      <c r="V526" s="4"/>
      <c r="W526" s="4"/>
      <c r="X526" s="4"/>
    </row>
    <row r="527" spans="22:24" x14ac:dyDescent="0.25">
      <c r="V527" s="4"/>
      <c r="W527" s="4"/>
      <c r="X527" s="4"/>
    </row>
    <row r="528" spans="22:24" x14ac:dyDescent="0.25">
      <c r="V528" s="4"/>
      <c r="W528" s="4"/>
      <c r="X528" s="4"/>
    </row>
    <row r="529" spans="22:24" x14ac:dyDescent="0.25">
      <c r="V529" s="4"/>
      <c r="W529" s="4"/>
      <c r="X529" s="4"/>
    </row>
    <row r="530" spans="22:24" x14ac:dyDescent="0.25">
      <c r="V530" s="4"/>
      <c r="W530" s="4"/>
      <c r="X530" s="4"/>
    </row>
    <row r="531" spans="22:24" x14ac:dyDescent="0.25">
      <c r="V531" s="4"/>
      <c r="W531" s="4"/>
      <c r="X531" s="4"/>
    </row>
    <row r="532" spans="22:24" x14ac:dyDescent="0.25">
      <c r="V532" s="4"/>
      <c r="W532" s="4"/>
      <c r="X532" s="4"/>
    </row>
    <row r="533" spans="22:24" x14ac:dyDescent="0.25">
      <c r="V533" s="4"/>
      <c r="W533" s="4"/>
      <c r="X533" s="4"/>
    </row>
    <row r="534" spans="22:24" x14ac:dyDescent="0.25">
      <c r="V534" s="4"/>
      <c r="W534" s="4"/>
      <c r="X534" s="4"/>
    </row>
    <row r="535" spans="22:24" x14ac:dyDescent="0.25">
      <c r="V535" s="4"/>
      <c r="W535" s="4"/>
      <c r="X535" s="4"/>
    </row>
    <row r="536" spans="22:24" x14ac:dyDescent="0.25">
      <c r="V536" s="4"/>
      <c r="W536" s="4"/>
      <c r="X536" s="4"/>
    </row>
    <row r="537" spans="22:24" x14ac:dyDescent="0.25">
      <c r="V537" s="4"/>
      <c r="W537" s="4"/>
      <c r="X537" s="4"/>
    </row>
    <row r="538" spans="22:24" x14ac:dyDescent="0.25">
      <c r="V538" s="4"/>
      <c r="W538" s="4"/>
      <c r="X538" s="4"/>
    </row>
    <row r="539" spans="22:24" x14ac:dyDescent="0.25">
      <c r="V539" s="4"/>
      <c r="W539" s="4"/>
      <c r="X539" s="4"/>
    </row>
    <row r="540" spans="22:24" x14ac:dyDescent="0.25">
      <c r="V540" s="4"/>
      <c r="W540" s="4"/>
      <c r="X540" s="4"/>
    </row>
    <row r="541" spans="22:24" x14ac:dyDescent="0.25">
      <c r="V541" s="4"/>
      <c r="W541" s="4"/>
      <c r="X541" s="4"/>
    </row>
    <row r="542" spans="22:24" x14ac:dyDescent="0.25">
      <c r="V542" s="4"/>
      <c r="W542" s="4"/>
      <c r="X542" s="4"/>
    </row>
    <row r="543" spans="22:24" x14ac:dyDescent="0.25">
      <c r="V543" s="4"/>
      <c r="W543" s="4"/>
      <c r="X543" s="4"/>
    </row>
    <row r="544" spans="22:24" x14ac:dyDescent="0.25">
      <c r="V544" s="4"/>
      <c r="W544" s="4"/>
      <c r="X544" s="4"/>
    </row>
    <row r="545" spans="22:24" x14ac:dyDescent="0.25">
      <c r="V545" s="4"/>
      <c r="W545" s="4"/>
      <c r="X545" s="4"/>
    </row>
    <row r="546" spans="22:24" x14ac:dyDescent="0.25">
      <c r="V546" s="4"/>
      <c r="W546" s="4"/>
      <c r="X546" s="4"/>
    </row>
    <row r="547" spans="22:24" x14ac:dyDescent="0.25">
      <c r="V547" s="4"/>
      <c r="W547" s="4"/>
      <c r="X547" s="4"/>
    </row>
    <row r="548" spans="22:24" x14ac:dyDescent="0.25">
      <c r="V548" s="4"/>
      <c r="W548" s="4"/>
      <c r="X548" s="4"/>
    </row>
    <row r="549" spans="22:24" x14ac:dyDescent="0.25">
      <c r="V549" s="4"/>
      <c r="W549" s="4"/>
      <c r="X549" s="4"/>
    </row>
    <row r="550" spans="22:24" x14ac:dyDescent="0.25">
      <c r="V550" s="4"/>
      <c r="W550" s="4"/>
      <c r="X550" s="4"/>
    </row>
    <row r="551" spans="22:24" x14ac:dyDescent="0.25">
      <c r="V551" s="4"/>
      <c r="W551" s="4"/>
      <c r="X551" s="4"/>
    </row>
    <row r="552" spans="22:24" x14ac:dyDescent="0.25">
      <c r="V552" s="4"/>
      <c r="W552" s="4"/>
      <c r="X552" s="4"/>
    </row>
    <row r="553" spans="22:24" x14ac:dyDescent="0.25">
      <c r="V553" s="4"/>
      <c r="W553" s="4"/>
      <c r="X553" s="4"/>
    </row>
    <row r="554" spans="22:24" x14ac:dyDescent="0.25">
      <c r="V554" s="4"/>
      <c r="W554" s="4"/>
      <c r="X554" s="4"/>
    </row>
    <row r="555" spans="22:24" x14ac:dyDescent="0.25">
      <c r="V555" s="4"/>
      <c r="W555" s="4"/>
      <c r="X555" s="4"/>
    </row>
    <row r="556" spans="22:24" x14ac:dyDescent="0.25">
      <c r="V556" s="4"/>
      <c r="W556" s="4"/>
      <c r="X556" s="4"/>
    </row>
    <row r="557" spans="22:24" x14ac:dyDescent="0.25">
      <c r="V557" s="4"/>
      <c r="W557" s="4"/>
      <c r="X557" s="4"/>
    </row>
    <row r="558" spans="22:24" x14ac:dyDescent="0.25">
      <c r="V558" s="4"/>
      <c r="W558" s="4"/>
      <c r="X558" s="4"/>
    </row>
    <row r="559" spans="22:24" x14ac:dyDescent="0.25">
      <c r="V559" s="4"/>
      <c r="W559" s="4"/>
      <c r="X559" s="4"/>
    </row>
    <row r="560" spans="22:24" x14ac:dyDescent="0.25">
      <c r="V560" s="4"/>
      <c r="W560" s="4"/>
      <c r="X560" s="4"/>
    </row>
    <row r="561" spans="22:24" x14ac:dyDescent="0.25">
      <c r="V561" s="4"/>
      <c r="W561" s="4"/>
      <c r="X561" s="4"/>
    </row>
    <row r="562" spans="22:24" x14ac:dyDescent="0.25">
      <c r="V562" s="4"/>
      <c r="W562" s="4"/>
      <c r="X562" s="4"/>
    </row>
    <row r="563" spans="22:24" x14ac:dyDescent="0.25">
      <c r="V563" s="4"/>
      <c r="W563" s="4"/>
      <c r="X563" s="4"/>
    </row>
    <row r="564" spans="22:24" x14ac:dyDescent="0.25">
      <c r="V564" s="4"/>
      <c r="W564" s="4"/>
      <c r="X564" s="4"/>
    </row>
    <row r="565" spans="22:24" x14ac:dyDescent="0.25">
      <c r="V565" s="4"/>
      <c r="W565" s="4"/>
      <c r="X565" s="4"/>
    </row>
    <row r="566" spans="22:24" x14ac:dyDescent="0.25">
      <c r="V566" s="4"/>
      <c r="W566" s="4"/>
      <c r="X566" s="4"/>
    </row>
    <row r="567" spans="22:24" x14ac:dyDescent="0.25">
      <c r="V567" s="4"/>
      <c r="W567" s="4"/>
      <c r="X567" s="4"/>
    </row>
    <row r="568" spans="22:24" x14ac:dyDescent="0.25">
      <c r="V568" s="4"/>
      <c r="W568" s="4"/>
      <c r="X568" s="4"/>
    </row>
    <row r="569" spans="22:24" x14ac:dyDescent="0.25">
      <c r="V569" s="4"/>
      <c r="W569" s="4"/>
      <c r="X569" s="4"/>
    </row>
    <row r="570" spans="22:24" x14ac:dyDescent="0.25">
      <c r="V570" s="4"/>
      <c r="W570" s="4"/>
      <c r="X570" s="4"/>
    </row>
    <row r="571" spans="22:24" x14ac:dyDescent="0.25">
      <c r="V571" s="4"/>
      <c r="W571" s="4"/>
      <c r="X571" s="4"/>
    </row>
    <row r="572" spans="22:24" x14ac:dyDescent="0.25">
      <c r="V572" s="4"/>
      <c r="W572" s="4"/>
      <c r="X572" s="4"/>
    </row>
    <row r="573" spans="22:24" x14ac:dyDescent="0.25">
      <c r="V573" s="4"/>
      <c r="W573" s="4"/>
      <c r="X573" s="4"/>
    </row>
    <row r="574" spans="22:24" x14ac:dyDescent="0.25">
      <c r="V574" s="4"/>
      <c r="W574" s="4"/>
      <c r="X574" s="4"/>
    </row>
    <row r="575" spans="22:24" x14ac:dyDescent="0.25">
      <c r="V575" s="4"/>
      <c r="W575" s="4"/>
      <c r="X575" s="4"/>
    </row>
    <row r="576" spans="22:24" x14ac:dyDescent="0.25">
      <c r="V576" s="4"/>
      <c r="W576" s="4"/>
      <c r="X576" s="4"/>
    </row>
    <row r="577" spans="22:24" x14ac:dyDescent="0.25">
      <c r="V577" s="4"/>
      <c r="W577" s="4"/>
      <c r="X577" s="4"/>
    </row>
    <row r="578" spans="22:24" x14ac:dyDescent="0.25">
      <c r="V578" s="4"/>
      <c r="W578" s="4"/>
      <c r="X578" s="4"/>
    </row>
    <row r="579" spans="22:24" x14ac:dyDescent="0.25">
      <c r="V579" s="4"/>
      <c r="W579" s="4"/>
      <c r="X579" s="4"/>
    </row>
    <row r="580" spans="22:24" x14ac:dyDescent="0.25">
      <c r="V580" s="4"/>
      <c r="W580" s="4"/>
      <c r="X580" s="4"/>
    </row>
    <row r="581" spans="22:24" x14ac:dyDescent="0.25">
      <c r="V581" s="4"/>
      <c r="W581" s="4"/>
      <c r="X581" s="4"/>
    </row>
    <row r="582" spans="22:24" x14ac:dyDescent="0.25">
      <c r="V582" s="4"/>
      <c r="W582" s="4"/>
      <c r="X582" s="4"/>
    </row>
    <row r="583" spans="22:24" x14ac:dyDescent="0.25">
      <c r="V583" s="4"/>
      <c r="W583" s="4"/>
      <c r="X583" s="4"/>
    </row>
    <row r="584" spans="22:24" x14ac:dyDescent="0.25">
      <c r="V584" s="4"/>
      <c r="W584" s="4"/>
      <c r="X584" s="4"/>
    </row>
    <row r="585" spans="22:24" x14ac:dyDescent="0.25">
      <c r="V585" s="4"/>
      <c r="W585" s="4"/>
      <c r="X585" s="4"/>
    </row>
    <row r="586" spans="22:24" x14ac:dyDescent="0.25">
      <c r="V586" s="4"/>
      <c r="W586" s="4"/>
      <c r="X586" s="4"/>
    </row>
    <row r="587" spans="22:24" x14ac:dyDescent="0.25">
      <c r="V587" s="4"/>
      <c r="W587" s="4"/>
      <c r="X587" s="4"/>
    </row>
    <row r="588" spans="22:24" x14ac:dyDescent="0.25">
      <c r="V588" s="4"/>
      <c r="W588" s="4"/>
      <c r="X588" s="4"/>
    </row>
    <row r="589" spans="22:24" x14ac:dyDescent="0.25">
      <c r="V589" s="4"/>
      <c r="W589" s="4"/>
      <c r="X589" s="4"/>
    </row>
    <row r="590" spans="22:24" x14ac:dyDescent="0.25">
      <c r="V590" s="4"/>
      <c r="W590" s="4"/>
      <c r="X590" s="4"/>
    </row>
    <row r="591" spans="22:24" x14ac:dyDescent="0.25">
      <c r="V591" s="4"/>
      <c r="W591" s="4"/>
      <c r="X591" s="4"/>
    </row>
    <row r="592" spans="22:24" x14ac:dyDescent="0.25">
      <c r="V592" s="4"/>
      <c r="W592" s="4"/>
      <c r="X592" s="4"/>
    </row>
    <row r="593" spans="22:24" x14ac:dyDescent="0.25">
      <c r="V593" s="4"/>
      <c r="W593" s="4"/>
      <c r="X593" s="4"/>
    </row>
    <row r="594" spans="22:24" x14ac:dyDescent="0.25">
      <c r="V594" s="4"/>
      <c r="W594" s="4"/>
      <c r="X594" s="4"/>
    </row>
    <row r="595" spans="22:24" x14ac:dyDescent="0.25">
      <c r="V595" s="4"/>
      <c r="W595" s="4"/>
      <c r="X595" s="4"/>
    </row>
    <row r="596" spans="22:24" x14ac:dyDescent="0.25">
      <c r="V596" s="4"/>
      <c r="W596" s="4"/>
      <c r="X596" s="4"/>
    </row>
    <row r="597" spans="22:24" x14ac:dyDescent="0.25">
      <c r="V597" s="4"/>
      <c r="W597" s="4"/>
      <c r="X597" s="4"/>
    </row>
    <row r="598" spans="22:24" x14ac:dyDescent="0.25">
      <c r="V598" s="4"/>
      <c r="W598" s="4"/>
      <c r="X598" s="4"/>
    </row>
    <row r="599" spans="22:24" x14ac:dyDescent="0.25">
      <c r="V599" s="4"/>
      <c r="W599" s="4"/>
      <c r="X599" s="4"/>
    </row>
    <row r="600" spans="22:24" x14ac:dyDescent="0.25">
      <c r="V600" s="4"/>
      <c r="W600" s="4"/>
      <c r="X600" s="4"/>
    </row>
    <row r="601" spans="22:24" x14ac:dyDescent="0.25">
      <c r="V601" s="4"/>
      <c r="W601" s="4"/>
      <c r="X601" s="4"/>
    </row>
    <row r="602" spans="22:24" x14ac:dyDescent="0.25">
      <c r="V602" s="4"/>
      <c r="W602" s="4"/>
      <c r="X602" s="4"/>
    </row>
    <row r="603" spans="22:24" x14ac:dyDescent="0.25">
      <c r="V603" s="4"/>
      <c r="W603" s="4"/>
      <c r="X603" s="4"/>
    </row>
    <row r="604" spans="22:24" x14ac:dyDescent="0.25">
      <c r="V604" s="4"/>
      <c r="W604" s="4"/>
      <c r="X604" s="4"/>
    </row>
    <row r="605" spans="22:24" x14ac:dyDescent="0.25">
      <c r="V605" s="4"/>
      <c r="W605" s="4"/>
      <c r="X605" s="4"/>
    </row>
    <row r="606" spans="22:24" x14ac:dyDescent="0.25">
      <c r="V606" s="4"/>
      <c r="W606" s="4"/>
      <c r="X606" s="4"/>
    </row>
    <row r="607" spans="22:24" x14ac:dyDescent="0.25">
      <c r="V607" s="4"/>
      <c r="W607" s="4"/>
      <c r="X607" s="4"/>
    </row>
    <row r="608" spans="22:24" x14ac:dyDescent="0.25">
      <c r="V608" s="4"/>
      <c r="W608" s="4"/>
      <c r="X608" s="4"/>
    </row>
    <row r="609" spans="22:24" x14ac:dyDescent="0.25">
      <c r="V609" s="4"/>
      <c r="W609" s="4"/>
      <c r="X609" s="4"/>
    </row>
    <row r="610" spans="22:24" x14ac:dyDescent="0.25">
      <c r="V610" s="4"/>
      <c r="W610" s="4"/>
      <c r="X610" s="4"/>
    </row>
    <row r="611" spans="22:24" x14ac:dyDescent="0.25">
      <c r="V611" s="4"/>
      <c r="W611" s="4"/>
      <c r="X611" s="4"/>
    </row>
    <row r="612" spans="22:24" x14ac:dyDescent="0.25">
      <c r="V612" s="4"/>
      <c r="W612" s="4"/>
      <c r="X612" s="4"/>
    </row>
    <row r="613" spans="22:24" x14ac:dyDescent="0.25">
      <c r="V613" s="4"/>
      <c r="W613" s="4"/>
      <c r="X613" s="4"/>
    </row>
    <row r="614" spans="22:24" x14ac:dyDescent="0.25">
      <c r="V614" s="4"/>
      <c r="W614" s="4"/>
      <c r="X614" s="4"/>
    </row>
    <row r="615" spans="22:24" x14ac:dyDescent="0.25">
      <c r="V615" s="4"/>
      <c r="W615" s="4"/>
      <c r="X615" s="4"/>
    </row>
    <row r="616" spans="22:24" x14ac:dyDescent="0.25">
      <c r="V616" s="4"/>
      <c r="W616" s="4"/>
      <c r="X616" s="4"/>
    </row>
    <row r="617" spans="22:24" x14ac:dyDescent="0.25">
      <c r="V617" s="4"/>
      <c r="W617" s="4"/>
      <c r="X617" s="4"/>
    </row>
    <row r="618" spans="22:24" x14ac:dyDescent="0.25">
      <c r="V618" s="4"/>
      <c r="W618" s="4"/>
      <c r="X618" s="4"/>
    </row>
    <row r="619" spans="22:24" x14ac:dyDescent="0.25">
      <c r="V619" s="4"/>
      <c r="W619" s="4"/>
      <c r="X619" s="4"/>
    </row>
    <row r="620" spans="22:24" x14ac:dyDescent="0.25">
      <c r="V620" s="4"/>
      <c r="W620" s="4"/>
      <c r="X620" s="4"/>
    </row>
    <row r="621" spans="22:24" x14ac:dyDescent="0.25">
      <c r="V621" s="4"/>
      <c r="W621" s="4"/>
      <c r="X621" s="4"/>
    </row>
    <row r="622" spans="22:24" x14ac:dyDescent="0.25">
      <c r="V622" s="4"/>
      <c r="W622" s="4"/>
      <c r="X622" s="4"/>
    </row>
    <row r="623" spans="22:24" x14ac:dyDescent="0.25">
      <c r="V623" s="4"/>
      <c r="W623" s="4"/>
      <c r="X623" s="4"/>
    </row>
    <row r="624" spans="22:24" x14ac:dyDescent="0.25">
      <c r="V624" s="4"/>
      <c r="W624" s="4"/>
      <c r="X624" s="4"/>
    </row>
    <row r="625" spans="22:24" x14ac:dyDescent="0.25">
      <c r="V625" s="4"/>
      <c r="W625" s="4"/>
      <c r="X625" s="4"/>
    </row>
    <row r="626" spans="22:24" x14ac:dyDescent="0.25">
      <c r="V626" s="4"/>
      <c r="W626" s="4"/>
      <c r="X626" s="4"/>
    </row>
    <row r="627" spans="22:24" x14ac:dyDescent="0.25">
      <c r="V627" s="4"/>
      <c r="W627" s="4"/>
      <c r="X627" s="4"/>
    </row>
    <row r="628" spans="22:24" x14ac:dyDescent="0.25">
      <c r="V628" s="4"/>
      <c r="W628" s="4"/>
      <c r="X628" s="4"/>
    </row>
    <row r="629" spans="22:24" x14ac:dyDescent="0.25">
      <c r="V629" s="4"/>
      <c r="W629" s="4"/>
      <c r="X629" s="4"/>
    </row>
    <row r="630" spans="22:24" x14ac:dyDescent="0.25">
      <c r="V630" s="4"/>
      <c r="W630" s="4"/>
      <c r="X630" s="4"/>
    </row>
    <row r="631" spans="22:24" x14ac:dyDescent="0.25">
      <c r="V631" s="4"/>
      <c r="W631" s="4"/>
      <c r="X631" s="4"/>
    </row>
    <row r="632" spans="22:24" x14ac:dyDescent="0.25">
      <c r="V632" s="4"/>
      <c r="W632" s="4"/>
      <c r="X632" s="4"/>
    </row>
    <row r="633" spans="22:24" x14ac:dyDescent="0.25">
      <c r="V633" s="4"/>
      <c r="W633" s="4"/>
      <c r="X633" s="4"/>
    </row>
    <row r="634" spans="22:24" x14ac:dyDescent="0.25">
      <c r="V634" s="4"/>
      <c r="W634" s="4"/>
      <c r="X634" s="4"/>
    </row>
    <row r="635" spans="22:24" x14ac:dyDescent="0.25">
      <c r="V635" s="4"/>
      <c r="W635" s="4"/>
      <c r="X635" s="4"/>
    </row>
    <row r="636" spans="22:24" x14ac:dyDescent="0.25">
      <c r="V636" s="4"/>
      <c r="W636" s="4"/>
      <c r="X636" s="4"/>
    </row>
  </sheetData>
  <mergeCells count="27">
    <mergeCell ref="A8:A9"/>
    <mergeCell ref="B8:B9"/>
    <mergeCell ref="C8:C9"/>
    <mergeCell ref="D8:D9"/>
    <mergeCell ref="E8:E9"/>
    <mergeCell ref="O1:O2"/>
    <mergeCell ref="E2:F2"/>
    <mergeCell ref="L2:M2"/>
    <mergeCell ref="L3:M3"/>
    <mergeCell ref="V7:V9"/>
    <mergeCell ref="P8:P9"/>
    <mergeCell ref="F8:F9"/>
    <mergeCell ref="K8:K9"/>
    <mergeCell ref="L8:L9"/>
    <mergeCell ref="M8:M9"/>
    <mergeCell ref="N8:N9"/>
    <mergeCell ref="O8:O9"/>
    <mergeCell ref="Q8:Q9"/>
    <mergeCell ref="R8:R9"/>
    <mergeCell ref="S8:S9"/>
    <mergeCell ref="T8:T9"/>
    <mergeCell ref="W7:W9"/>
    <mergeCell ref="G8:G9"/>
    <mergeCell ref="H8:H9"/>
    <mergeCell ref="I8:I9"/>
    <mergeCell ref="J8:J9"/>
    <mergeCell ref="U8:U9"/>
  </mergeCells>
  <conditionalFormatting sqref="J10:J369">
    <cfRule type="cellIs" dxfId="58" priority="1" operator="equal">
      <formula>4</formula>
    </cfRule>
    <cfRule type="cellIs" dxfId="57" priority="2" operator="equal">
      <formula>3</formula>
    </cfRule>
  </conditionalFormatting>
  <conditionalFormatting sqref="S1:U5 W1:W5 V3">
    <cfRule type="cellIs" dxfId="56" priority="7" operator="equal">
      <formula>"CERT."</formula>
    </cfRule>
    <cfRule type="cellIs" dxfId="55" priority="8" operator="equal">
      <formula>"NO CERT."</formula>
    </cfRule>
  </conditionalFormatting>
  <conditionalFormatting sqref="U1:U5">
    <cfRule type="cellIs" dxfId="54" priority="10" operator="equal">
      <formula>"No cert."</formula>
    </cfRule>
  </conditionalFormatting>
  <conditionalFormatting sqref="V1">
    <cfRule type="cellIs" dxfId="53" priority="3" operator="equal">
      <formula>"CERT."</formula>
    </cfRule>
    <cfRule type="cellIs" dxfId="52" priority="4" operator="equal">
      <formula>"NO CERT."</formula>
    </cfRule>
    <cfRule type="cellIs" dxfId="51" priority="6" operator="equal">
      <formula>"No cert."</formula>
    </cfRule>
  </conditionalFormatting>
  <conditionalFormatting sqref="V7:W7">
    <cfRule type="cellIs" dxfId="50" priority="11" operator="equal">
      <formula>"No es certificable por WB7"</formula>
    </cfRule>
    <cfRule type="cellIs" dxfId="49" priority="12" operator="equal">
      <formula>"No es certificable por Fire Tex"</formula>
    </cfRule>
    <cfRule type="cellIs" dxfId="48" priority="13" operator="equal">
      <formula>"No es certificable por Fire Control"</formula>
    </cfRule>
    <cfRule type="cellIs" dxfId="47" priority="14" operator="equal">
      <formula>"Certificable"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-0.249977111117893"/>
  </sheetPr>
  <dimension ref="B1:F37"/>
  <sheetViews>
    <sheetView showGridLines="0" zoomScale="85" zoomScaleNormal="85" workbookViewId="0">
      <selection activeCell="B4" sqref="B4"/>
    </sheetView>
  </sheetViews>
  <sheetFormatPr baseColWidth="10" defaultColWidth="11.42578125" defaultRowHeight="15" x14ac:dyDescent="0.25"/>
  <cols>
    <col min="1" max="1" width="11.42578125" style="6"/>
    <col min="2" max="2" width="11.85546875" style="6" customWidth="1"/>
    <col min="3" max="16384" width="11.42578125" style="6"/>
  </cols>
  <sheetData>
    <row r="1" spans="2:6" ht="15.75" thickBot="1" x14ac:dyDescent="0.3"/>
    <row r="2" spans="2:6" ht="17.25" customHeight="1" thickBot="1" x14ac:dyDescent="0.3">
      <c r="B2" s="1012" t="s">
        <v>79</v>
      </c>
      <c r="C2" s="1014" t="s">
        <v>470</v>
      </c>
      <c r="D2" s="1014"/>
      <c r="E2" s="1014"/>
      <c r="F2" s="1015"/>
    </row>
    <row r="3" spans="2:6" ht="15.75" thickBot="1" x14ac:dyDescent="0.3">
      <c r="B3" s="1013"/>
      <c r="C3" s="688" t="s">
        <v>471</v>
      </c>
      <c r="D3" s="689" t="s">
        <v>472</v>
      </c>
      <c r="E3" s="689" t="s">
        <v>473</v>
      </c>
      <c r="F3" s="690" t="s">
        <v>81</v>
      </c>
    </row>
    <row r="4" spans="2:6" ht="15.75" thickBot="1" x14ac:dyDescent="0.3">
      <c r="B4" s="691">
        <v>60</v>
      </c>
      <c r="C4" s="58">
        <v>400</v>
      </c>
      <c r="D4" s="61">
        <v>400</v>
      </c>
      <c r="E4" s="692">
        <v>800</v>
      </c>
      <c r="F4" s="693">
        <v>1500</v>
      </c>
    </row>
    <row r="5" spans="2:6" ht="15.75" thickBot="1" x14ac:dyDescent="0.3">
      <c r="B5" s="694">
        <v>70</v>
      </c>
      <c r="C5" s="59">
        <v>400</v>
      </c>
      <c r="D5" s="62">
        <v>400</v>
      </c>
      <c r="E5" s="692">
        <v>850</v>
      </c>
      <c r="F5" s="693">
        <v>1600</v>
      </c>
    </row>
    <row r="6" spans="2:6" ht="15.75" thickBot="1" x14ac:dyDescent="0.3">
      <c r="B6" s="694">
        <v>80</v>
      </c>
      <c r="C6" s="59">
        <v>400</v>
      </c>
      <c r="D6" s="62">
        <v>400</v>
      </c>
      <c r="E6" s="692">
        <v>900</v>
      </c>
      <c r="F6" s="693">
        <v>1700</v>
      </c>
    </row>
    <row r="7" spans="2:6" ht="15.75" thickBot="1" x14ac:dyDescent="0.3">
      <c r="B7" s="694">
        <v>90</v>
      </c>
      <c r="C7" s="59">
        <v>400</v>
      </c>
      <c r="D7" s="62">
        <v>400</v>
      </c>
      <c r="E7" s="61">
        <v>950</v>
      </c>
      <c r="F7" s="693">
        <v>1800</v>
      </c>
    </row>
    <row r="8" spans="2:6" ht="15.75" thickBot="1" x14ac:dyDescent="0.3">
      <c r="B8" s="694">
        <v>100</v>
      </c>
      <c r="C8" s="59">
        <v>400</v>
      </c>
      <c r="D8" s="62">
        <v>400</v>
      </c>
      <c r="E8" s="692">
        <v>1000</v>
      </c>
      <c r="F8" s="696"/>
    </row>
    <row r="9" spans="2:6" ht="15.75" thickBot="1" x14ac:dyDescent="0.3">
      <c r="B9" s="694">
        <v>110</v>
      </c>
      <c r="C9" s="59">
        <v>400</v>
      </c>
      <c r="D9" s="63">
        <v>400</v>
      </c>
      <c r="E9" s="692">
        <v>1050</v>
      </c>
      <c r="F9" s="696"/>
    </row>
    <row r="10" spans="2:6" ht="15.75" thickBot="1" x14ac:dyDescent="0.3">
      <c r="B10" s="694">
        <v>120</v>
      </c>
      <c r="C10" s="59">
        <v>400</v>
      </c>
      <c r="D10" s="61">
        <v>450</v>
      </c>
      <c r="E10" s="692">
        <v>1100</v>
      </c>
      <c r="F10" s="696"/>
    </row>
    <row r="11" spans="2:6" ht="15.75" thickBot="1" x14ac:dyDescent="0.3">
      <c r="B11" s="694">
        <v>130</v>
      </c>
      <c r="C11" s="59">
        <v>400</v>
      </c>
      <c r="D11" s="62">
        <v>450</v>
      </c>
      <c r="E11" s="61">
        <v>1150</v>
      </c>
      <c r="F11" s="62"/>
    </row>
    <row r="12" spans="2:6" ht="15.75" thickBot="1" x14ac:dyDescent="0.3">
      <c r="B12" s="694">
        <v>140</v>
      </c>
      <c r="C12" s="59">
        <v>400</v>
      </c>
      <c r="D12" s="63">
        <v>450</v>
      </c>
      <c r="E12" s="61">
        <v>1200</v>
      </c>
      <c r="F12" s="62"/>
    </row>
    <row r="13" spans="2:6" ht="15.75" thickBot="1" x14ac:dyDescent="0.3">
      <c r="B13" s="694">
        <v>150</v>
      </c>
      <c r="C13" s="59">
        <v>400</v>
      </c>
      <c r="D13" s="62">
        <v>500</v>
      </c>
      <c r="E13" s="63">
        <v>1200</v>
      </c>
      <c r="F13" s="62"/>
    </row>
    <row r="14" spans="2:6" ht="15.75" thickBot="1" x14ac:dyDescent="0.3">
      <c r="B14" s="694">
        <v>160</v>
      </c>
      <c r="C14" s="59">
        <v>400</v>
      </c>
      <c r="D14" s="62">
        <v>500</v>
      </c>
      <c r="E14" s="63">
        <v>1250</v>
      </c>
      <c r="F14" s="62"/>
    </row>
    <row r="15" spans="2:6" ht="15.75" thickBot="1" x14ac:dyDescent="0.3">
      <c r="B15" s="694">
        <v>170</v>
      </c>
      <c r="C15" s="59">
        <v>400</v>
      </c>
      <c r="D15" s="61">
        <v>550</v>
      </c>
      <c r="E15" s="692">
        <v>1300</v>
      </c>
      <c r="F15" s="62"/>
    </row>
    <row r="16" spans="2:6" ht="15.75" thickBot="1" x14ac:dyDescent="0.3">
      <c r="B16" s="694">
        <v>180</v>
      </c>
      <c r="C16" s="59">
        <v>400</v>
      </c>
      <c r="D16" s="62">
        <v>550</v>
      </c>
      <c r="E16" s="692">
        <v>1350</v>
      </c>
      <c r="F16" s="62"/>
    </row>
    <row r="17" spans="2:6" ht="15.75" thickBot="1" x14ac:dyDescent="0.3">
      <c r="B17" s="694">
        <v>190</v>
      </c>
      <c r="C17" s="59">
        <v>400</v>
      </c>
      <c r="D17" s="62">
        <v>550</v>
      </c>
      <c r="E17" s="61">
        <v>1400</v>
      </c>
      <c r="F17" s="62"/>
    </row>
    <row r="18" spans="2:6" x14ac:dyDescent="0.25">
      <c r="B18" s="694">
        <v>200</v>
      </c>
      <c r="C18" s="59">
        <v>400</v>
      </c>
      <c r="D18" s="136">
        <v>600</v>
      </c>
      <c r="E18" s="58">
        <v>1450</v>
      </c>
      <c r="F18" s="62"/>
    </row>
    <row r="19" spans="2:6" ht="15.75" thickBot="1" x14ac:dyDescent="0.3">
      <c r="B19" s="694">
        <v>210</v>
      </c>
      <c r="C19" s="59">
        <v>400</v>
      </c>
      <c r="D19" s="6">
        <v>600</v>
      </c>
      <c r="E19" s="60">
        <v>1450</v>
      </c>
      <c r="F19" s="62"/>
    </row>
    <row r="20" spans="2:6" ht="15.75" thickBot="1" x14ac:dyDescent="0.3">
      <c r="B20" s="694">
        <v>220</v>
      </c>
      <c r="C20" s="59">
        <v>400</v>
      </c>
      <c r="D20" s="62">
        <v>600</v>
      </c>
      <c r="E20" s="63">
        <v>1500</v>
      </c>
      <c r="F20" s="62"/>
    </row>
    <row r="21" spans="2:6" ht="15.75" thickBot="1" x14ac:dyDescent="0.3">
      <c r="B21" s="694">
        <v>230</v>
      </c>
      <c r="C21" s="59">
        <v>400</v>
      </c>
      <c r="D21" s="61">
        <v>650</v>
      </c>
      <c r="E21" s="61">
        <v>1550</v>
      </c>
      <c r="F21" s="62"/>
    </row>
    <row r="22" spans="2:6" x14ac:dyDescent="0.25">
      <c r="B22" s="694">
        <v>240</v>
      </c>
      <c r="C22" s="59">
        <v>400</v>
      </c>
      <c r="D22" s="6">
        <v>650</v>
      </c>
      <c r="E22" s="58">
        <v>1600</v>
      </c>
      <c r="F22" s="62"/>
    </row>
    <row r="23" spans="2:6" ht="15.75" thickBot="1" x14ac:dyDescent="0.3">
      <c r="B23" s="694">
        <v>250</v>
      </c>
      <c r="C23" s="59">
        <v>400</v>
      </c>
      <c r="D23" s="137">
        <v>650</v>
      </c>
      <c r="E23" s="60">
        <v>1600</v>
      </c>
      <c r="F23" s="62"/>
    </row>
    <row r="24" spans="2:6" ht="15.75" thickBot="1" x14ac:dyDescent="0.3">
      <c r="B24" s="694">
        <v>260</v>
      </c>
      <c r="C24" s="59">
        <v>400</v>
      </c>
      <c r="D24" s="61">
        <v>700</v>
      </c>
      <c r="E24" s="62">
        <v>1650</v>
      </c>
      <c r="F24" s="62"/>
    </row>
    <row r="25" spans="2:6" x14ac:dyDescent="0.25">
      <c r="B25" s="694">
        <v>270</v>
      </c>
      <c r="C25" s="59">
        <v>400</v>
      </c>
      <c r="D25" s="6">
        <v>700</v>
      </c>
      <c r="E25" s="58">
        <v>1700</v>
      </c>
      <c r="F25" s="62"/>
    </row>
    <row r="26" spans="2:6" ht="15.75" thickBot="1" x14ac:dyDescent="0.3">
      <c r="B26" s="694">
        <v>280</v>
      </c>
      <c r="C26" s="59">
        <v>400</v>
      </c>
      <c r="D26" s="6">
        <v>700</v>
      </c>
      <c r="E26" s="60">
        <v>1700</v>
      </c>
      <c r="F26" s="62"/>
    </row>
    <row r="27" spans="2:6" ht="15.75" thickBot="1" x14ac:dyDescent="0.3">
      <c r="B27" s="694">
        <v>290</v>
      </c>
      <c r="C27" s="59">
        <v>400</v>
      </c>
      <c r="D27" s="63">
        <v>700</v>
      </c>
      <c r="E27" s="62">
        <v>1750</v>
      </c>
      <c r="F27" s="62"/>
    </row>
    <row r="28" spans="2:6" x14ac:dyDescent="0.25">
      <c r="B28" s="694">
        <v>300</v>
      </c>
      <c r="C28" s="59">
        <v>400</v>
      </c>
      <c r="D28" s="136">
        <v>750</v>
      </c>
      <c r="E28" s="58">
        <v>1800</v>
      </c>
      <c r="F28" s="62"/>
    </row>
    <row r="29" spans="2:6" ht="15.75" thickBot="1" x14ac:dyDescent="0.3">
      <c r="B29" s="694">
        <v>310</v>
      </c>
      <c r="C29" s="59">
        <v>400</v>
      </c>
      <c r="D29" s="6">
        <v>750</v>
      </c>
      <c r="E29" s="60">
        <v>1800</v>
      </c>
      <c r="F29" s="62"/>
    </row>
    <row r="30" spans="2:6" ht="15.75" thickBot="1" x14ac:dyDescent="0.3">
      <c r="B30" s="694">
        <v>320</v>
      </c>
      <c r="C30" s="59">
        <v>400</v>
      </c>
      <c r="D30" s="63">
        <v>750</v>
      </c>
      <c r="E30"/>
      <c r="F30" s="62"/>
    </row>
    <row r="31" spans="2:6" x14ac:dyDescent="0.25">
      <c r="B31" s="694">
        <v>330</v>
      </c>
      <c r="C31" s="59">
        <v>400</v>
      </c>
      <c r="D31" s="61">
        <v>800</v>
      </c>
      <c r="E31"/>
      <c r="F31" s="62"/>
    </row>
    <row r="32" spans="2:6" x14ac:dyDescent="0.25">
      <c r="B32" s="694">
        <v>340</v>
      </c>
      <c r="C32" s="59">
        <v>400</v>
      </c>
      <c r="D32" s="62">
        <v>800</v>
      </c>
      <c r="E32"/>
      <c r="F32" s="62"/>
    </row>
    <row r="33" spans="2:6" ht="15.75" thickBot="1" x14ac:dyDescent="0.3">
      <c r="B33" s="694">
        <v>350</v>
      </c>
      <c r="C33" s="60">
        <v>400</v>
      </c>
      <c r="D33" s="62">
        <v>800</v>
      </c>
      <c r="F33" s="62"/>
    </row>
    <row r="34" spans="2:6" x14ac:dyDescent="0.25">
      <c r="B34" s="694">
        <v>360</v>
      </c>
      <c r="C34" s="58">
        <v>450</v>
      </c>
      <c r="D34" s="62">
        <v>800</v>
      </c>
      <c r="F34" s="62"/>
    </row>
    <row r="35" spans="2:6" ht="15.75" thickBot="1" x14ac:dyDescent="0.3">
      <c r="B35" s="694">
        <v>370</v>
      </c>
      <c r="C35" s="59">
        <v>450</v>
      </c>
      <c r="D35" s="63">
        <v>800</v>
      </c>
      <c r="F35" s="62"/>
    </row>
    <row r="36" spans="2:6" x14ac:dyDescent="0.25">
      <c r="B36" s="694">
        <v>380</v>
      </c>
      <c r="C36" s="59">
        <v>450</v>
      </c>
      <c r="D36" s="61">
        <v>850</v>
      </c>
      <c r="F36" s="62"/>
    </row>
    <row r="37" spans="2:6" ht="15.75" thickBot="1" x14ac:dyDescent="0.3">
      <c r="B37" s="695">
        <v>390</v>
      </c>
      <c r="C37" s="60">
        <v>450</v>
      </c>
      <c r="D37" s="63">
        <v>850</v>
      </c>
      <c r="E37" s="137"/>
      <c r="F37" s="63"/>
    </row>
  </sheetData>
  <mergeCells count="2">
    <mergeCell ref="B2:B3"/>
    <mergeCell ref="C2:F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S203"/>
  <sheetViews>
    <sheetView showGridLines="0" zoomScale="85" zoomScaleNormal="85" workbookViewId="0">
      <selection activeCell="J56" sqref="J56"/>
    </sheetView>
  </sheetViews>
  <sheetFormatPr baseColWidth="10" defaultColWidth="11.42578125" defaultRowHeight="15" x14ac:dyDescent="0.25"/>
  <cols>
    <col min="1" max="1" width="11.42578125" style="6"/>
    <col min="2" max="2" width="11.85546875" style="6" customWidth="1"/>
    <col min="3" max="16384" width="11.42578125" style="6"/>
  </cols>
  <sheetData>
    <row r="1" spans="2:17" ht="15.75" thickBot="1" x14ac:dyDescent="0.3"/>
    <row r="2" spans="2:17" ht="17.25" customHeight="1" x14ac:dyDescent="0.25">
      <c r="B2" s="1094" t="s">
        <v>79</v>
      </c>
      <c r="C2" s="1097" t="s">
        <v>474</v>
      </c>
      <c r="D2" s="1097"/>
      <c r="E2" s="1097"/>
      <c r="F2" s="1097"/>
      <c r="G2" s="1097"/>
      <c r="H2" s="1098"/>
      <c r="K2" s="1094" t="s">
        <v>79</v>
      </c>
      <c r="L2" s="1090" t="s">
        <v>475</v>
      </c>
      <c r="M2" s="1090"/>
      <c r="N2" s="1090"/>
      <c r="O2" s="1090"/>
      <c r="P2" s="1090"/>
      <c r="Q2" s="1091"/>
    </row>
    <row r="3" spans="2:17" ht="15.75" thickBot="1" x14ac:dyDescent="0.3">
      <c r="B3" s="1095"/>
      <c r="C3" s="697">
        <v>60</v>
      </c>
      <c r="D3" s="698">
        <v>75</v>
      </c>
      <c r="E3" s="698">
        <v>90</v>
      </c>
      <c r="F3" s="51">
        <v>105</v>
      </c>
      <c r="G3" s="698">
        <v>120</v>
      </c>
      <c r="H3" s="51">
        <v>150</v>
      </c>
      <c r="K3" s="1095"/>
      <c r="L3" s="699">
        <v>60</v>
      </c>
      <c r="M3" s="698">
        <v>75</v>
      </c>
      <c r="N3" s="698">
        <v>90</v>
      </c>
      <c r="O3" s="51">
        <v>105</v>
      </c>
      <c r="P3" s="698">
        <v>120</v>
      </c>
      <c r="Q3" s="51">
        <v>150</v>
      </c>
    </row>
    <row r="4" spans="2:17" x14ac:dyDescent="0.25">
      <c r="B4" s="700">
        <v>25</v>
      </c>
      <c r="C4" s="701">
        <v>478</v>
      </c>
      <c r="D4" s="702">
        <v>500</v>
      </c>
      <c r="E4" s="702">
        <v>961</v>
      </c>
      <c r="F4" s="702">
        <v>957</v>
      </c>
      <c r="G4" s="703">
        <v>1299</v>
      </c>
      <c r="H4" s="704">
        <v>2426</v>
      </c>
      <c r="K4" s="700">
        <v>25</v>
      </c>
      <c r="L4" s="705">
        <v>470</v>
      </c>
      <c r="M4" s="706">
        <v>477</v>
      </c>
      <c r="N4" s="706">
        <v>697</v>
      </c>
      <c r="O4" s="706">
        <v>943</v>
      </c>
      <c r="P4" s="707">
        <v>1518</v>
      </c>
      <c r="Q4" s="704">
        <v>5622</v>
      </c>
    </row>
    <row r="5" spans="2:17" x14ac:dyDescent="0.25">
      <c r="B5" s="708">
        <v>30</v>
      </c>
      <c r="C5" s="709">
        <v>478</v>
      </c>
      <c r="D5" s="710">
        <v>521</v>
      </c>
      <c r="E5" s="710">
        <v>961</v>
      </c>
      <c r="F5" s="710">
        <v>957</v>
      </c>
      <c r="G5" s="711">
        <v>1299</v>
      </c>
      <c r="H5" s="712">
        <v>2426</v>
      </c>
      <c r="K5" s="708">
        <v>30</v>
      </c>
      <c r="L5" s="713">
        <v>470</v>
      </c>
      <c r="M5" s="714">
        <v>500</v>
      </c>
      <c r="N5" s="714">
        <v>722</v>
      </c>
      <c r="O5" s="715">
        <v>1000</v>
      </c>
      <c r="P5" s="715">
        <v>1518</v>
      </c>
      <c r="Q5" s="712">
        <v>5622</v>
      </c>
    </row>
    <row r="6" spans="2:17" x14ac:dyDescent="0.25">
      <c r="B6" s="708">
        <v>35</v>
      </c>
      <c r="C6" s="709">
        <v>478</v>
      </c>
      <c r="D6" s="710">
        <v>574</v>
      </c>
      <c r="E6" s="710">
        <v>961</v>
      </c>
      <c r="F6" s="710">
        <v>957</v>
      </c>
      <c r="G6" s="711">
        <v>1416</v>
      </c>
      <c r="H6" s="712">
        <v>2426</v>
      </c>
      <c r="K6" s="708">
        <v>35</v>
      </c>
      <c r="L6" s="713">
        <v>500</v>
      </c>
      <c r="M6" s="714">
        <v>557</v>
      </c>
      <c r="N6" s="714">
        <v>785</v>
      </c>
      <c r="O6" s="715">
        <v>1000</v>
      </c>
      <c r="P6" s="715">
        <v>1518</v>
      </c>
      <c r="Q6" s="712">
        <v>5622</v>
      </c>
    </row>
    <row r="7" spans="2:17" x14ac:dyDescent="0.25">
      <c r="B7" s="708">
        <v>40</v>
      </c>
      <c r="C7" s="709">
        <v>478</v>
      </c>
      <c r="D7" s="710">
        <v>628</v>
      </c>
      <c r="E7" s="710">
        <v>961</v>
      </c>
      <c r="F7" s="711">
        <v>1064</v>
      </c>
      <c r="G7" s="711">
        <v>1547</v>
      </c>
      <c r="H7" s="712">
        <v>2426</v>
      </c>
      <c r="K7" s="708">
        <v>40</v>
      </c>
      <c r="L7" s="713">
        <v>500</v>
      </c>
      <c r="M7" s="714">
        <v>614</v>
      </c>
      <c r="N7" s="714">
        <v>848</v>
      </c>
      <c r="O7" s="715">
        <v>1127</v>
      </c>
      <c r="P7" s="715">
        <v>1654</v>
      </c>
      <c r="Q7" s="712">
        <v>5622</v>
      </c>
    </row>
    <row r="8" spans="2:17" x14ac:dyDescent="0.25">
      <c r="B8" s="708">
        <v>45</v>
      </c>
      <c r="C8" s="709">
        <v>478</v>
      </c>
      <c r="D8" s="710">
        <v>681</v>
      </c>
      <c r="E8" s="710">
        <v>961</v>
      </c>
      <c r="F8" s="711">
        <v>1171</v>
      </c>
      <c r="G8" s="711">
        <v>1678</v>
      </c>
      <c r="H8" s="712">
        <v>2426</v>
      </c>
      <c r="K8" s="708">
        <v>45</v>
      </c>
      <c r="L8" s="713">
        <v>500</v>
      </c>
      <c r="M8" s="714">
        <v>670</v>
      </c>
      <c r="N8" s="714">
        <v>912</v>
      </c>
      <c r="O8" s="715">
        <v>1254</v>
      </c>
      <c r="P8" s="715">
        <v>1791</v>
      </c>
      <c r="Q8" s="712">
        <v>5622</v>
      </c>
    </row>
    <row r="9" spans="2:17" x14ac:dyDescent="0.25">
      <c r="B9" s="708">
        <v>50</v>
      </c>
      <c r="C9" s="709">
        <v>478</v>
      </c>
      <c r="D9" s="710">
        <v>734</v>
      </c>
      <c r="E9" s="710">
        <v>961</v>
      </c>
      <c r="F9" s="711">
        <v>1279</v>
      </c>
      <c r="G9" s="711">
        <v>1810</v>
      </c>
      <c r="H9" s="712">
        <v>2797</v>
      </c>
      <c r="K9" s="708">
        <v>50</v>
      </c>
      <c r="L9" s="713">
        <v>500</v>
      </c>
      <c r="M9" s="714">
        <v>727</v>
      </c>
      <c r="N9" s="714">
        <v>975</v>
      </c>
      <c r="O9" s="715">
        <v>1381</v>
      </c>
      <c r="P9" s="715">
        <v>1927</v>
      </c>
      <c r="Q9" s="712">
        <v>5622</v>
      </c>
    </row>
    <row r="10" spans="2:17" x14ac:dyDescent="0.25">
      <c r="B10" s="708">
        <v>55</v>
      </c>
      <c r="C10" s="709">
        <v>521</v>
      </c>
      <c r="D10" s="710">
        <v>787</v>
      </c>
      <c r="E10" s="711">
        <v>1026</v>
      </c>
      <c r="F10" s="711">
        <v>1386</v>
      </c>
      <c r="G10" s="711">
        <v>1941</v>
      </c>
      <c r="H10" s="712">
        <v>3169</v>
      </c>
      <c r="K10" s="708">
        <v>55</v>
      </c>
      <c r="L10" s="713">
        <v>534</v>
      </c>
      <c r="M10" s="714">
        <v>784</v>
      </c>
      <c r="N10" s="715">
        <v>1054</v>
      </c>
      <c r="O10" s="715">
        <v>1508</v>
      </c>
      <c r="P10" s="715">
        <v>2063</v>
      </c>
      <c r="Q10" s="712">
        <v>5622</v>
      </c>
    </row>
    <row r="11" spans="2:17" x14ac:dyDescent="0.25">
      <c r="B11" s="708">
        <v>60</v>
      </c>
      <c r="C11" s="709">
        <v>563</v>
      </c>
      <c r="D11" s="710">
        <v>840</v>
      </c>
      <c r="E11" s="711">
        <v>1091</v>
      </c>
      <c r="F11" s="711">
        <v>1493</v>
      </c>
      <c r="G11" s="711">
        <v>2072</v>
      </c>
      <c r="H11" s="712">
        <v>3541</v>
      </c>
      <c r="K11" s="708">
        <v>60</v>
      </c>
      <c r="L11" s="713">
        <v>579</v>
      </c>
      <c r="M11" s="714">
        <v>841</v>
      </c>
      <c r="N11" s="715">
        <v>1143</v>
      </c>
      <c r="O11" s="715">
        <v>1636</v>
      </c>
      <c r="P11" s="715">
        <v>2200</v>
      </c>
      <c r="Q11" s="712">
        <v>5622</v>
      </c>
    </row>
    <row r="12" spans="2:17" x14ac:dyDescent="0.25">
      <c r="B12" s="708">
        <v>65</v>
      </c>
      <c r="C12" s="709">
        <v>606</v>
      </c>
      <c r="D12" s="710">
        <v>894</v>
      </c>
      <c r="E12" s="711">
        <v>1155</v>
      </c>
      <c r="F12" s="711">
        <v>1600</v>
      </c>
      <c r="G12" s="711">
        <v>2203</v>
      </c>
      <c r="H12" s="712">
        <v>3913</v>
      </c>
      <c r="K12" s="708">
        <v>65</v>
      </c>
      <c r="L12" s="713">
        <v>624</v>
      </c>
      <c r="M12" s="714">
        <v>898</v>
      </c>
      <c r="N12" s="715">
        <v>1232</v>
      </c>
      <c r="O12" s="715">
        <v>1763</v>
      </c>
      <c r="P12" s="715">
        <v>2336</v>
      </c>
      <c r="Q12" s="712">
        <v>5622</v>
      </c>
    </row>
    <row r="13" spans="2:17" x14ac:dyDescent="0.25">
      <c r="B13" s="708">
        <v>70</v>
      </c>
      <c r="C13" s="709">
        <v>649</v>
      </c>
      <c r="D13" s="710">
        <v>947</v>
      </c>
      <c r="E13" s="711">
        <v>1220</v>
      </c>
      <c r="F13" s="711">
        <v>1707</v>
      </c>
      <c r="G13" s="711">
        <v>2334</v>
      </c>
      <c r="H13" s="712">
        <v>4285</v>
      </c>
      <c r="K13" s="708">
        <v>70</v>
      </c>
      <c r="L13" s="713">
        <v>668</v>
      </c>
      <c r="M13" s="714">
        <v>955</v>
      </c>
      <c r="N13" s="715">
        <v>1321</v>
      </c>
      <c r="O13" s="715">
        <v>1890</v>
      </c>
      <c r="P13" s="715">
        <v>2473</v>
      </c>
      <c r="Q13" s="712">
        <v>5622</v>
      </c>
    </row>
    <row r="14" spans="2:17" x14ac:dyDescent="0.25">
      <c r="B14" s="708">
        <v>75</v>
      </c>
      <c r="C14" s="709">
        <v>692</v>
      </c>
      <c r="D14" s="711">
        <v>1000</v>
      </c>
      <c r="E14" s="711">
        <v>1284</v>
      </c>
      <c r="F14" s="711">
        <v>1814</v>
      </c>
      <c r="G14" s="711">
        <v>2465</v>
      </c>
      <c r="H14" s="712">
        <v>4656</v>
      </c>
      <c r="K14" s="708">
        <v>75</v>
      </c>
      <c r="L14" s="713">
        <v>713</v>
      </c>
      <c r="M14" s="715">
        <v>1010</v>
      </c>
      <c r="N14" s="715">
        <v>1411</v>
      </c>
      <c r="O14" s="715">
        <v>2017</v>
      </c>
      <c r="P14" s="715">
        <v>2563</v>
      </c>
      <c r="Q14" s="712">
        <v>5622</v>
      </c>
    </row>
    <row r="15" spans="2:17" x14ac:dyDescent="0.25">
      <c r="B15" s="708">
        <v>80</v>
      </c>
      <c r="C15" s="709">
        <v>735</v>
      </c>
      <c r="D15" s="711">
        <v>1032</v>
      </c>
      <c r="E15" s="711">
        <v>1349</v>
      </c>
      <c r="F15" s="711">
        <v>1921</v>
      </c>
      <c r="G15" s="711">
        <v>2606</v>
      </c>
      <c r="H15" s="712">
        <v>5028</v>
      </c>
      <c r="K15" s="708">
        <v>80</v>
      </c>
      <c r="L15" s="713">
        <v>758</v>
      </c>
      <c r="M15" s="715">
        <v>1061</v>
      </c>
      <c r="N15" s="715">
        <v>1500</v>
      </c>
      <c r="O15" s="715">
        <v>2144</v>
      </c>
      <c r="P15" s="715">
        <v>2641</v>
      </c>
      <c r="Q15" s="712">
        <v>5622</v>
      </c>
    </row>
    <row r="16" spans="2:17" x14ac:dyDescent="0.25">
      <c r="B16" s="708">
        <v>85</v>
      </c>
      <c r="C16" s="709">
        <v>777</v>
      </c>
      <c r="D16" s="711">
        <v>1063</v>
      </c>
      <c r="E16" s="711">
        <v>1414</v>
      </c>
      <c r="F16" s="711">
        <v>2029</v>
      </c>
      <c r="G16" s="711">
        <v>2750</v>
      </c>
      <c r="H16" s="712">
        <v>5400</v>
      </c>
      <c r="K16" s="708">
        <v>85</v>
      </c>
      <c r="L16" s="713">
        <v>803</v>
      </c>
      <c r="M16" s="715">
        <v>1111</v>
      </c>
      <c r="N16" s="715">
        <v>1589</v>
      </c>
      <c r="O16" s="715">
        <v>2271</v>
      </c>
      <c r="P16" s="715">
        <v>2720</v>
      </c>
      <c r="Q16" s="712">
        <v>5622</v>
      </c>
    </row>
    <row r="17" spans="2:17" x14ac:dyDescent="0.25">
      <c r="B17" s="708">
        <v>90</v>
      </c>
      <c r="C17" s="709">
        <v>820</v>
      </c>
      <c r="D17" s="711">
        <v>1095</v>
      </c>
      <c r="E17" s="711">
        <v>1478</v>
      </c>
      <c r="F17" s="711">
        <v>2136</v>
      </c>
      <c r="G17" s="711">
        <v>2894</v>
      </c>
      <c r="H17" s="712">
        <v>5772</v>
      </c>
      <c r="K17" s="708">
        <v>90</v>
      </c>
      <c r="L17" s="713">
        <v>848</v>
      </c>
      <c r="M17" s="715">
        <v>1162</v>
      </c>
      <c r="N17" s="715">
        <v>1679</v>
      </c>
      <c r="O17" s="715">
        <v>2398</v>
      </c>
      <c r="P17" s="715">
        <v>2799</v>
      </c>
      <c r="Q17" s="712">
        <v>5622</v>
      </c>
    </row>
    <row r="18" spans="2:17" x14ac:dyDescent="0.25">
      <c r="B18" s="708">
        <v>95</v>
      </c>
      <c r="C18" s="709">
        <v>863</v>
      </c>
      <c r="D18" s="711">
        <v>1127</v>
      </c>
      <c r="E18" s="711">
        <v>1543</v>
      </c>
      <c r="F18" s="711">
        <v>2243</v>
      </c>
      <c r="G18" s="711">
        <v>3038</v>
      </c>
      <c r="H18" s="62"/>
      <c r="K18" s="708">
        <v>95</v>
      </c>
      <c r="L18" s="713">
        <v>892</v>
      </c>
      <c r="M18" s="715">
        <v>1213</v>
      </c>
      <c r="N18" s="715">
        <v>1768</v>
      </c>
      <c r="O18" s="715">
        <v>2519</v>
      </c>
      <c r="P18" s="715">
        <v>2877</v>
      </c>
      <c r="Q18" s="712">
        <v>5622</v>
      </c>
    </row>
    <row r="19" spans="2:17" x14ac:dyDescent="0.25">
      <c r="B19" s="708">
        <v>100</v>
      </c>
      <c r="C19" s="709">
        <v>906</v>
      </c>
      <c r="D19" s="711">
        <v>1158</v>
      </c>
      <c r="E19" s="711">
        <v>1608</v>
      </c>
      <c r="F19" s="711">
        <v>2350</v>
      </c>
      <c r="G19" s="711">
        <v>3183</v>
      </c>
      <c r="H19" s="62"/>
      <c r="K19" s="708">
        <v>100</v>
      </c>
      <c r="L19" s="713">
        <v>937</v>
      </c>
      <c r="M19" s="715">
        <v>1263</v>
      </c>
      <c r="N19" s="715">
        <v>1857</v>
      </c>
      <c r="O19" s="715">
        <v>2659</v>
      </c>
      <c r="P19" s="715">
        <v>2956</v>
      </c>
      <c r="Q19" s="712">
        <v>5622</v>
      </c>
    </row>
    <row r="20" spans="2:17" x14ac:dyDescent="0.25">
      <c r="B20" s="708">
        <v>105</v>
      </c>
      <c r="C20" s="709">
        <v>949</v>
      </c>
      <c r="D20" s="711">
        <v>1190</v>
      </c>
      <c r="E20" s="711">
        <v>1672</v>
      </c>
      <c r="F20" s="711">
        <v>2457</v>
      </c>
      <c r="G20" s="711">
        <v>3327</v>
      </c>
      <c r="H20" s="62"/>
      <c r="K20" s="708">
        <v>105</v>
      </c>
      <c r="L20" s="713">
        <v>982</v>
      </c>
      <c r="M20" s="715">
        <v>1314</v>
      </c>
      <c r="N20" s="715">
        <v>1946</v>
      </c>
      <c r="O20" s="715">
        <v>2800</v>
      </c>
      <c r="P20" s="715">
        <v>3034</v>
      </c>
      <c r="Q20" s="712">
        <v>5622</v>
      </c>
    </row>
    <row r="21" spans="2:17" x14ac:dyDescent="0.25">
      <c r="B21" s="708">
        <v>110</v>
      </c>
      <c r="C21" s="709">
        <v>991</v>
      </c>
      <c r="D21" s="711">
        <v>1222</v>
      </c>
      <c r="E21" s="711">
        <v>1737</v>
      </c>
      <c r="F21" s="711">
        <v>2561</v>
      </c>
      <c r="G21" s="711">
        <v>3471</v>
      </c>
      <c r="H21" s="62"/>
      <c r="K21" s="708">
        <v>110</v>
      </c>
      <c r="L21" s="716">
        <v>1017</v>
      </c>
      <c r="M21" s="715">
        <v>1364</v>
      </c>
      <c r="N21" s="715">
        <v>2036</v>
      </c>
      <c r="O21" s="715">
        <v>2941</v>
      </c>
      <c r="P21" s="715">
        <v>3113</v>
      </c>
      <c r="Q21" s="712">
        <v>5622</v>
      </c>
    </row>
    <row r="22" spans="2:17" x14ac:dyDescent="0.25">
      <c r="B22" s="708">
        <v>115</v>
      </c>
      <c r="C22" s="717">
        <v>1014</v>
      </c>
      <c r="D22" s="711">
        <v>1253</v>
      </c>
      <c r="E22" s="711">
        <v>1802</v>
      </c>
      <c r="F22" s="711">
        <v>2663</v>
      </c>
      <c r="G22" s="711">
        <v>3585</v>
      </c>
      <c r="H22" s="62"/>
      <c r="K22" s="708">
        <v>115</v>
      </c>
      <c r="L22" s="716">
        <v>1046</v>
      </c>
      <c r="M22" s="715">
        <v>1415</v>
      </c>
      <c r="N22" s="715">
        <v>2125</v>
      </c>
      <c r="O22" s="715">
        <v>3081</v>
      </c>
      <c r="P22" s="715">
        <v>3191</v>
      </c>
      <c r="Q22" s="712">
        <v>5622</v>
      </c>
    </row>
    <row r="23" spans="2:17" x14ac:dyDescent="0.25">
      <c r="B23" s="708">
        <v>120</v>
      </c>
      <c r="C23" s="717">
        <v>1030</v>
      </c>
      <c r="D23" s="711">
        <v>1285</v>
      </c>
      <c r="E23" s="711">
        <v>1866</v>
      </c>
      <c r="F23" s="711">
        <v>2765</v>
      </c>
      <c r="G23" s="711">
        <v>3692</v>
      </c>
      <c r="H23" s="62"/>
      <c r="K23" s="708">
        <v>120</v>
      </c>
      <c r="L23" s="716">
        <v>1074</v>
      </c>
      <c r="M23" s="715">
        <v>1466</v>
      </c>
      <c r="N23" s="715">
        <v>2214</v>
      </c>
      <c r="O23" s="715">
        <v>3222</v>
      </c>
      <c r="P23" s="715">
        <v>3270</v>
      </c>
      <c r="Q23" s="712">
        <v>5675</v>
      </c>
    </row>
    <row r="24" spans="2:17" x14ac:dyDescent="0.25">
      <c r="B24" s="708">
        <v>125</v>
      </c>
      <c r="C24" s="717">
        <v>1047</v>
      </c>
      <c r="D24" s="711">
        <v>1316</v>
      </c>
      <c r="E24" s="711">
        <v>1931</v>
      </c>
      <c r="F24" s="711">
        <v>2867</v>
      </c>
      <c r="G24" s="711">
        <v>3799</v>
      </c>
      <c r="H24" s="62"/>
      <c r="K24" s="708">
        <v>125</v>
      </c>
      <c r="L24" s="716">
        <v>1103</v>
      </c>
      <c r="M24" s="715">
        <v>1516</v>
      </c>
      <c r="N24" s="715">
        <v>2304</v>
      </c>
      <c r="O24" s="715">
        <v>3363</v>
      </c>
      <c r="P24" s="715">
        <v>3368</v>
      </c>
      <c r="Q24" s="712">
        <v>5727</v>
      </c>
    </row>
    <row r="25" spans="2:17" x14ac:dyDescent="0.25">
      <c r="B25" s="708">
        <v>130</v>
      </c>
      <c r="C25" s="717">
        <v>1064</v>
      </c>
      <c r="D25" s="711">
        <v>1348</v>
      </c>
      <c r="E25" s="711">
        <v>1996</v>
      </c>
      <c r="F25" s="711">
        <v>2969</v>
      </c>
      <c r="G25" s="711">
        <v>3906</v>
      </c>
      <c r="H25" s="62"/>
      <c r="K25" s="708">
        <v>130</v>
      </c>
      <c r="L25" s="716">
        <v>1131</v>
      </c>
      <c r="M25" s="715">
        <v>1567</v>
      </c>
      <c r="N25" s="715">
        <v>2393</v>
      </c>
      <c r="O25" s="715">
        <v>3500</v>
      </c>
      <c r="P25" s="715">
        <v>3501</v>
      </c>
      <c r="Q25" s="712">
        <v>5780</v>
      </c>
    </row>
    <row r="26" spans="2:17" x14ac:dyDescent="0.25">
      <c r="B26" s="708">
        <v>135</v>
      </c>
      <c r="C26" s="717">
        <v>1081</v>
      </c>
      <c r="D26" s="711">
        <v>1380</v>
      </c>
      <c r="E26" s="711">
        <v>2060</v>
      </c>
      <c r="F26" s="711">
        <v>3071</v>
      </c>
      <c r="G26" s="711">
        <v>4012</v>
      </c>
      <c r="H26" s="62"/>
      <c r="K26" s="708">
        <v>135</v>
      </c>
      <c r="L26" s="716">
        <v>1160</v>
      </c>
      <c r="M26" s="715">
        <v>1617</v>
      </c>
      <c r="N26" s="715">
        <v>2482</v>
      </c>
      <c r="O26" s="715">
        <v>3517</v>
      </c>
      <c r="P26" s="715">
        <v>3522</v>
      </c>
      <c r="Q26" s="712">
        <v>5832</v>
      </c>
    </row>
    <row r="27" spans="2:17" x14ac:dyDescent="0.25">
      <c r="B27" s="708">
        <v>140</v>
      </c>
      <c r="C27" s="717">
        <v>1098</v>
      </c>
      <c r="D27" s="711">
        <v>1411</v>
      </c>
      <c r="E27" s="711">
        <v>2125</v>
      </c>
      <c r="F27" s="711">
        <v>3173</v>
      </c>
      <c r="G27" s="711">
        <v>4119</v>
      </c>
      <c r="H27" s="62"/>
      <c r="K27" s="708">
        <v>140</v>
      </c>
      <c r="L27" s="716">
        <v>1188</v>
      </c>
      <c r="M27" s="715">
        <v>1668</v>
      </c>
      <c r="N27" s="715">
        <v>2528</v>
      </c>
      <c r="O27" s="715">
        <v>3533</v>
      </c>
      <c r="P27" s="715">
        <v>3584</v>
      </c>
      <c r="Q27" s="712">
        <v>5885</v>
      </c>
    </row>
    <row r="28" spans="2:17" x14ac:dyDescent="0.25">
      <c r="B28" s="708">
        <v>145</v>
      </c>
      <c r="C28" s="717">
        <v>1115</v>
      </c>
      <c r="D28" s="711">
        <v>1443</v>
      </c>
      <c r="E28" s="711">
        <v>2190</v>
      </c>
      <c r="F28" s="711">
        <v>3276</v>
      </c>
      <c r="G28" s="711">
        <v>4226</v>
      </c>
      <c r="H28" s="62"/>
      <c r="K28" s="708">
        <v>145</v>
      </c>
      <c r="L28" s="716">
        <v>1217</v>
      </c>
      <c r="M28" s="715">
        <v>1719</v>
      </c>
      <c r="N28" s="715">
        <v>2564</v>
      </c>
      <c r="O28" s="715">
        <v>3550</v>
      </c>
      <c r="P28" s="715">
        <v>3663</v>
      </c>
      <c r="Q28" s="712">
        <v>5938</v>
      </c>
    </row>
    <row r="29" spans="2:17" x14ac:dyDescent="0.25">
      <c r="B29" s="708">
        <v>150</v>
      </c>
      <c r="C29" s="717">
        <v>1132</v>
      </c>
      <c r="D29" s="711">
        <v>1475</v>
      </c>
      <c r="E29" s="711">
        <v>2254</v>
      </c>
      <c r="F29" s="711">
        <v>3378</v>
      </c>
      <c r="G29" s="711">
        <v>4333</v>
      </c>
      <c r="H29" s="62"/>
      <c r="K29" s="708">
        <v>150</v>
      </c>
      <c r="L29" s="716">
        <v>1245</v>
      </c>
      <c r="M29" s="715">
        <v>1769</v>
      </c>
      <c r="N29" s="715">
        <v>2599</v>
      </c>
      <c r="O29" s="715">
        <v>3566</v>
      </c>
      <c r="P29" s="715">
        <v>3741</v>
      </c>
      <c r="Q29" s="712">
        <v>5990</v>
      </c>
    </row>
    <row r="30" spans="2:17" x14ac:dyDescent="0.25">
      <c r="B30" s="708">
        <v>155</v>
      </c>
      <c r="C30" s="717">
        <v>1149</v>
      </c>
      <c r="D30" s="711">
        <v>1506</v>
      </c>
      <c r="E30" s="711">
        <v>2319</v>
      </c>
      <c r="F30" s="711">
        <v>3480</v>
      </c>
      <c r="G30" s="711">
        <v>4439</v>
      </c>
      <c r="H30" s="62"/>
      <c r="K30" s="708">
        <v>155</v>
      </c>
      <c r="L30" s="716">
        <v>1274</v>
      </c>
      <c r="M30" s="715">
        <v>1820</v>
      </c>
      <c r="N30" s="715">
        <v>2635</v>
      </c>
      <c r="O30" s="715">
        <v>3582</v>
      </c>
      <c r="P30" s="715">
        <v>3820</v>
      </c>
      <c r="Q30" s="712">
        <v>6043</v>
      </c>
    </row>
    <row r="31" spans="2:17" x14ac:dyDescent="0.25">
      <c r="B31" s="708">
        <v>160</v>
      </c>
      <c r="C31" s="717">
        <v>1166</v>
      </c>
      <c r="D31" s="711">
        <v>1538</v>
      </c>
      <c r="E31" s="711">
        <v>2384</v>
      </c>
      <c r="F31" s="711">
        <v>3529</v>
      </c>
      <c r="G31" s="711">
        <v>4546</v>
      </c>
      <c r="H31" s="62"/>
      <c r="K31" s="708">
        <v>160</v>
      </c>
      <c r="L31" s="716">
        <v>1302</v>
      </c>
      <c r="M31" s="715">
        <v>1870</v>
      </c>
      <c r="N31" s="715">
        <v>2670</v>
      </c>
      <c r="O31" s="715">
        <v>3599</v>
      </c>
      <c r="P31" s="715">
        <v>3898</v>
      </c>
      <c r="Q31" s="712">
        <v>6095</v>
      </c>
    </row>
    <row r="32" spans="2:17" x14ac:dyDescent="0.25">
      <c r="B32" s="708">
        <v>165</v>
      </c>
      <c r="C32" s="717">
        <v>1182</v>
      </c>
      <c r="D32" s="711">
        <v>1570</v>
      </c>
      <c r="E32" s="711">
        <v>2448</v>
      </c>
      <c r="F32" s="711">
        <v>3566</v>
      </c>
      <c r="G32" s="711">
        <v>4653</v>
      </c>
      <c r="H32" s="62"/>
      <c r="K32" s="708">
        <v>165</v>
      </c>
      <c r="L32" s="716">
        <v>1331</v>
      </c>
      <c r="M32" s="715">
        <v>1921</v>
      </c>
      <c r="N32" s="715">
        <v>2706</v>
      </c>
      <c r="O32" s="715">
        <v>3615</v>
      </c>
      <c r="P32" s="715">
        <v>3977</v>
      </c>
      <c r="Q32" s="712">
        <v>6148</v>
      </c>
    </row>
    <row r="33" spans="2:17" x14ac:dyDescent="0.25">
      <c r="B33" s="708">
        <v>170</v>
      </c>
      <c r="C33" s="717">
        <v>1199</v>
      </c>
      <c r="D33" s="711">
        <v>1601</v>
      </c>
      <c r="E33" s="711">
        <v>2512</v>
      </c>
      <c r="F33" s="711">
        <v>3602</v>
      </c>
      <c r="G33" s="711">
        <v>4760</v>
      </c>
      <c r="H33" s="62"/>
      <c r="K33" s="708">
        <v>170</v>
      </c>
      <c r="L33" s="716">
        <v>1359</v>
      </c>
      <c r="M33" s="715">
        <v>1972</v>
      </c>
      <c r="N33" s="715">
        <v>2741</v>
      </c>
      <c r="O33" s="715">
        <v>3632</v>
      </c>
      <c r="P33" s="715">
        <v>4055</v>
      </c>
      <c r="Q33" s="712">
        <v>6200</v>
      </c>
    </row>
    <row r="34" spans="2:17" x14ac:dyDescent="0.25">
      <c r="B34" s="708">
        <v>175</v>
      </c>
      <c r="C34" s="717">
        <v>1216</v>
      </c>
      <c r="D34" s="711">
        <v>1633</v>
      </c>
      <c r="E34" s="711">
        <v>2574</v>
      </c>
      <c r="F34" s="711">
        <v>3638</v>
      </c>
      <c r="G34" s="711">
        <v>4866</v>
      </c>
      <c r="H34" s="62"/>
      <c r="K34" s="708">
        <v>175</v>
      </c>
      <c r="L34" s="716">
        <v>1388</v>
      </c>
      <c r="M34" s="715">
        <v>2022</v>
      </c>
      <c r="N34" s="715">
        <v>2777</v>
      </c>
      <c r="O34" s="715">
        <v>3648</v>
      </c>
      <c r="P34" s="715">
        <v>4134</v>
      </c>
      <c r="Q34" s="712">
        <v>6253</v>
      </c>
    </row>
    <row r="35" spans="2:17" x14ac:dyDescent="0.25">
      <c r="B35" s="708">
        <v>180</v>
      </c>
      <c r="C35" s="717">
        <v>1233</v>
      </c>
      <c r="D35" s="711">
        <v>1665</v>
      </c>
      <c r="E35" s="711">
        <v>2636</v>
      </c>
      <c r="F35" s="711">
        <v>3675</v>
      </c>
      <c r="G35" s="711">
        <v>4973</v>
      </c>
      <c r="H35" s="62"/>
      <c r="K35" s="708">
        <v>180</v>
      </c>
      <c r="L35" s="716">
        <v>1416</v>
      </c>
      <c r="M35" s="715">
        <v>2073</v>
      </c>
      <c r="N35" s="715">
        <v>2812</v>
      </c>
      <c r="O35" s="715">
        <v>3665</v>
      </c>
      <c r="P35" s="715">
        <v>4213</v>
      </c>
      <c r="Q35" s="712">
        <v>6306</v>
      </c>
    </row>
    <row r="36" spans="2:17" x14ac:dyDescent="0.25">
      <c r="B36" s="708">
        <v>185</v>
      </c>
      <c r="C36" s="717">
        <v>1250</v>
      </c>
      <c r="D36" s="711">
        <v>1696</v>
      </c>
      <c r="E36" s="711">
        <v>2698</v>
      </c>
      <c r="F36" s="711">
        <v>3711</v>
      </c>
      <c r="G36" s="711">
        <v>5080</v>
      </c>
      <c r="H36" s="62"/>
      <c r="K36" s="708">
        <v>185</v>
      </c>
      <c r="L36" s="716">
        <v>1445</v>
      </c>
      <c r="M36" s="715">
        <v>2123</v>
      </c>
      <c r="N36" s="715">
        <v>2848</v>
      </c>
      <c r="O36" s="715">
        <v>3681</v>
      </c>
      <c r="P36" s="715">
        <v>4291</v>
      </c>
      <c r="Q36" s="712">
        <v>6358</v>
      </c>
    </row>
    <row r="37" spans="2:17" x14ac:dyDescent="0.25">
      <c r="B37" s="708">
        <v>190</v>
      </c>
      <c r="C37" s="717">
        <v>1267</v>
      </c>
      <c r="D37" s="711">
        <v>1728</v>
      </c>
      <c r="E37" s="711">
        <v>2759</v>
      </c>
      <c r="F37" s="711">
        <v>3748</v>
      </c>
      <c r="G37" s="711">
        <v>5187</v>
      </c>
      <c r="H37" s="62"/>
      <c r="K37" s="708">
        <v>190</v>
      </c>
      <c r="L37" s="716">
        <v>1473</v>
      </c>
      <c r="M37" s="715">
        <v>2174</v>
      </c>
      <c r="N37" s="715">
        <v>2883</v>
      </c>
      <c r="O37" s="715">
        <v>3697</v>
      </c>
      <c r="P37" s="715">
        <v>4370</v>
      </c>
      <c r="Q37" s="712">
        <v>6411</v>
      </c>
    </row>
    <row r="38" spans="2:17" x14ac:dyDescent="0.25">
      <c r="B38" s="708">
        <v>195</v>
      </c>
      <c r="C38" s="717">
        <v>1284</v>
      </c>
      <c r="D38" s="711">
        <v>1759</v>
      </c>
      <c r="E38" s="711">
        <v>2821</v>
      </c>
      <c r="F38" s="711">
        <v>3784</v>
      </c>
      <c r="G38" s="711">
        <v>5293</v>
      </c>
      <c r="H38" s="62"/>
      <c r="K38" s="708">
        <v>195</v>
      </c>
      <c r="L38" s="716">
        <v>1502</v>
      </c>
      <c r="M38" s="715">
        <v>2225</v>
      </c>
      <c r="N38" s="715">
        <v>2918</v>
      </c>
      <c r="O38" s="715">
        <v>3714</v>
      </c>
      <c r="P38" s="715">
        <v>4448</v>
      </c>
      <c r="Q38" s="712">
        <v>6463</v>
      </c>
    </row>
    <row r="39" spans="2:17" x14ac:dyDescent="0.25">
      <c r="B39" s="708">
        <v>200</v>
      </c>
      <c r="C39" s="717">
        <v>1301</v>
      </c>
      <c r="D39" s="711">
        <v>1791</v>
      </c>
      <c r="E39" s="711">
        <v>2883</v>
      </c>
      <c r="F39" s="711">
        <v>3820</v>
      </c>
      <c r="G39" s="711">
        <v>5400</v>
      </c>
      <c r="H39" s="62"/>
      <c r="K39" s="708">
        <v>200</v>
      </c>
      <c r="L39" s="716">
        <v>1530</v>
      </c>
      <c r="M39" s="715">
        <v>2275</v>
      </c>
      <c r="N39" s="715">
        <v>2954</v>
      </c>
      <c r="O39" s="715">
        <v>3730</v>
      </c>
      <c r="P39" s="715">
        <v>4527</v>
      </c>
      <c r="Q39" s="712">
        <v>6516</v>
      </c>
    </row>
    <row r="40" spans="2:17" x14ac:dyDescent="0.25">
      <c r="B40" s="708">
        <v>205</v>
      </c>
      <c r="C40" s="717">
        <v>1318</v>
      </c>
      <c r="D40" s="711">
        <v>1823</v>
      </c>
      <c r="E40" s="711">
        <v>2944</v>
      </c>
      <c r="F40" s="711">
        <v>3857</v>
      </c>
      <c r="G40" s="711">
        <v>5507</v>
      </c>
      <c r="H40" s="62"/>
      <c r="K40" s="708">
        <v>205</v>
      </c>
      <c r="L40" s="716">
        <v>1559</v>
      </c>
      <c r="M40" s="715">
        <v>2326</v>
      </c>
      <c r="N40" s="715">
        <v>2989</v>
      </c>
      <c r="O40" s="715">
        <v>3747</v>
      </c>
      <c r="P40" s="715">
        <v>4605</v>
      </c>
      <c r="Q40" s="712">
        <v>6569</v>
      </c>
    </row>
    <row r="41" spans="2:17" x14ac:dyDescent="0.25">
      <c r="B41" s="708">
        <v>210</v>
      </c>
      <c r="C41" s="717">
        <v>1334</v>
      </c>
      <c r="D41" s="711">
        <v>1854</v>
      </c>
      <c r="E41" s="711">
        <v>3006</v>
      </c>
      <c r="F41" s="711">
        <v>3893</v>
      </c>
      <c r="G41" s="711">
        <v>5613</v>
      </c>
      <c r="H41" s="62"/>
      <c r="K41" s="708">
        <v>210</v>
      </c>
      <c r="L41" s="716">
        <v>1587</v>
      </c>
      <c r="M41" s="715">
        <v>2376</v>
      </c>
      <c r="N41" s="715">
        <v>3025</v>
      </c>
      <c r="O41" s="715">
        <v>3763</v>
      </c>
      <c r="P41" s="715">
        <v>4684</v>
      </c>
      <c r="Q41" s="712">
        <v>6621</v>
      </c>
    </row>
    <row r="42" spans="2:17" x14ac:dyDescent="0.25">
      <c r="B42" s="708">
        <v>215</v>
      </c>
      <c r="C42" s="717">
        <v>1351</v>
      </c>
      <c r="D42" s="711">
        <v>1886</v>
      </c>
      <c r="E42" s="711">
        <v>3068</v>
      </c>
      <c r="F42" s="711">
        <v>3930</v>
      </c>
      <c r="G42" s="711">
        <v>5720</v>
      </c>
      <c r="H42" s="62"/>
      <c r="K42" s="708">
        <v>215</v>
      </c>
      <c r="L42" s="716">
        <v>1616</v>
      </c>
      <c r="M42" s="715">
        <v>2427</v>
      </c>
      <c r="N42" s="715">
        <v>3060</v>
      </c>
      <c r="O42" s="715">
        <v>3779</v>
      </c>
      <c r="P42" s="715">
        <v>4762</v>
      </c>
      <c r="Q42" s="712">
        <v>6674</v>
      </c>
    </row>
    <row r="43" spans="2:17" x14ac:dyDescent="0.25">
      <c r="B43" s="708">
        <v>220</v>
      </c>
      <c r="C43" s="717">
        <v>1368</v>
      </c>
      <c r="D43" s="711">
        <v>1918</v>
      </c>
      <c r="E43" s="711">
        <v>3130</v>
      </c>
      <c r="F43" s="711">
        <v>3966</v>
      </c>
      <c r="G43" s="711">
        <v>5827</v>
      </c>
      <c r="H43" s="62"/>
      <c r="K43" s="708">
        <v>220</v>
      </c>
      <c r="L43" s="716">
        <v>1644</v>
      </c>
      <c r="M43" s="715">
        <v>2478</v>
      </c>
      <c r="N43" s="715">
        <v>3096</v>
      </c>
      <c r="O43" s="715">
        <v>3796</v>
      </c>
      <c r="P43" s="715">
        <v>4809</v>
      </c>
      <c r="Q43" s="712">
        <v>6726</v>
      </c>
    </row>
    <row r="44" spans="2:17" x14ac:dyDescent="0.25">
      <c r="B44" s="708">
        <v>225</v>
      </c>
      <c r="C44" s="717">
        <v>1385</v>
      </c>
      <c r="D44" s="711">
        <v>1949</v>
      </c>
      <c r="E44" s="711">
        <v>3191</v>
      </c>
      <c r="F44" s="711">
        <v>4002</v>
      </c>
      <c r="H44" s="62"/>
      <c r="K44" s="708">
        <v>225</v>
      </c>
      <c r="L44" s="716">
        <v>1673</v>
      </c>
      <c r="M44" s="715">
        <v>2510</v>
      </c>
      <c r="N44" s="715">
        <v>3131</v>
      </c>
      <c r="O44" s="715">
        <v>3812</v>
      </c>
      <c r="P44" s="715">
        <v>4826</v>
      </c>
      <c r="Q44" s="712">
        <v>6779</v>
      </c>
    </row>
    <row r="45" spans="2:17" x14ac:dyDescent="0.25">
      <c r="B45" s="708">
        <v>230</v>
      </c>
      <c r="C45" s="717">
        <v>1402</v>
      </c>
      <c r="D45" s="711">
        <v>1981</v>
      </c>
      <c r="E45" s="711">
        <v>3253</v>
      </c>
      <c r="F45" s="711">
        <v>4039</v>
      </c>
      <c r="H45" s="62"/>
      <c r="K45" s="708">
        <v>230</v>
      </c>
      <c r="L45" s="716">
        <v>1702</v>
      </c>
      <c r="M45" s="715">
        <v>2528</v>
      </c>
      <c r="N45" s="715">
        <v>3167</v>
      </c>
      <c r="O45" s="715">
        <v>3829</v>
      </c>
      <c r="P45" s="715">
        <v>4843</v>
      </c>
      <c r="Q45" s="712">
        <v>6832</v>
      </c>
    </row>
    <row r="46" spans="2:17" x14ac:dyDescent="0.25">
      <c r="B46" s="708">
        <v>235</v>
      </c>
      <c r="C46" s="717">
        <v>1419</v>
      </c>
      <c r="D46" s="711">
        <v>2013</v>
      </c>
      <c r="E46" s="711">
        <v>3315</v>
      </c>
      <c r="F46" s="711">
        <v>4075</v>
      </c>
      <c r="H46" s="62"/>
      <c r="K46" s="708">
        <v>235</v>
      </c>
      <c r="L46" s="716">
        <v>1730</v>
      </c>
      <c r="M46" s="715">
        <v>2546</v>
      </c>
      <c r="N46" s="715">
        <v>3202</v>
      </c>
      <c r="O46" s="715">
        <v>3845</v>
      </c>
      <c r="P46" s="715">
        <v>4860</v>
      </c>
      <c r="Q46" s="712">
        <v>6884</v>
      </c>
    </row>
    <row r="47" spans="2:17" x14ac:dyDescent="0.25">
      <c r="B47" s="708">
        <v>240</v>
      </c>
      <c r="C47" s="717">
        <v>1436</v>
      </c>
      <c r="D47" s="711">
        <v>2044</v>
      </c>
      <c r="E47" s="711">
        <v>3377</v>
      </c>
      <c r="F47" s="711">
        <v>4111</v>
      </c>
      <c r="H47" s="62"/>
      <c r="K47" s="708">
        <v>240</v>
      </c>
      <c r="L47" s="716">
        <v>1759</v>
      </c>
      <c r="M47" s="715">
        <v>2564</v>
      </c>
      <c r="N47" s="715">
        <v>3238</v>
      </c>
      <c r="O47" s="715">
        <v>3861</v>
      </c>
      <c r="P47" s="715">
        <v>4878</v>
      </c>
      <c r="Q47" s="712">
        <v>6937</v>
      </c>
    </row>
    <row r="48" spans="2:17" x14ac:dyDescent="0.25">
      <c r="B48" s="708">
        <v>245</v>
      </c>
      <c r="C48" s="717">
        <v>1453</v>
      </c>
      <c r="D48" s="711">
        <v>2076</v>
      </c>
      <c r="E48" s="711">
        <v>3438</v>
      </c>
      <c r="F48" s="711">
        <v>4148</v>
      </c>
      <c r="H48" s="62"/>
      <c r="K48" s="708">
        <v>245</v>
      </c>
      <c r="L48" s="716">
        <v>1787</v>
      </c>
      <c r="M48" s="715">
        <v>2582</v>
      </c>
      <c r="N48" s="715">
        <v>3273</v>
      </c>
      <c r="O48" s="715">
        <v>3878</v>
      </c>
      <c r="P48" s="715">
        <v>4895</v>
      </c>
      <c r="Q48" s="712">
        <v>6989</v>
      </c>
    </row>
    <row r="49" spans="2:17" x14ac:dyDescent="0.25">
      <c r="B49" s="708">
        <v>250</v>
      </c>
      <c r="C49" s="717">
        <v>1470</v>
      </c>
      <c r="D49" s="711">
        <v>2108</v>
      </c>
      <c r="E49" s="711">
        <v>3500</v>
      </c>
      <c r="F49" s="711">
        <v>4184</v>
      </c>
      <c r="H49" s="62"/>
      <c r="K49" s="708">
        <v>250</v>
      </c>
      <c r="L49" s="716">
        <v>1816</v>
      </c>
      <c r="M49" s="715">
        <v>2600</v>
      </c>
      <c r="N49" s="715">
        <v>3309</v>
      </c>
      <c r="O49" s="715">
        <v>3894</v>
      </c>
      <c r="P49" s="715">
        <v>4912</v>
      </c>
      <c r="Q49" s="712">
        <v>7041</v>
      </c>
    </row>
    <row r="50" spans="2:17" x14ac:dyDescent="0.25">
      <c r="B50" s="708">
        <v>255</v>
      </c>
      <c r="C50" s="717">
        <v>1486</v>
      </c>
      <c r="D50" s="711">
        <v>2139</v>
      </c>
      <c r="E50" s="711">
        <v>3513</v>
      </c>
      <c r="F50" s="711">
        <v>4221</v>
      </c>
      <c r="H50" s="62"/>
      <c r="K50" s="708">
        <v>255</v>
      </c>
      <c r="L50" s="716">
        <v>1844</v>
      </c>
      <c r="M50" s="715">
        <v>2618</v>
      </c>
      <c r="N50" s="715">
        <v>3344</v>
      </c>
      <c r="O50" s="715">
        <v>3911</v>
      </c>
      <c r="P50" s="715">
        <v>4929</v>
      </c>
      <c r="Q50" s="712">
        <v>7093</v>
      </c>
    </row>
    <row r="51" spans="2:17" x14ac:dyDescent="0.25">
      <c r="B51" s="708">
        <v>260</v>
      </c>
      <c r="C51" s="717">
        <v>1503</v>
      </c>
      <c r="D51" s="711">
        <v>2171</v>
      </c>
      <c r="E51" s="711">
        <v>3525</v>
      </c>
      <c r="F51" s="711">
        <v>4257</v>
      </c>
      <c r="H51" s="62"/>
      <c r="K51" s="708">
        <v>260</v>
      </c>
      <c r="L51" s="716">
        <v>1873</v>
      </c>
      <c r="M51" s="715">
        <v>2636</v>
      </c>
      <c r="N51" s="715">
        <v>3379</v>
      </c>
      <c r="O51" s="715">
        <v>3927</v>
      </c>
      <c r="P51" s="715">
        <v>4946</v>
      </c>
      <c r="Q51" s="712">
        <v>7145</v>
      </c>
    </row>
    <row r="52" spans="2:17" x14ac:dyDescent="0.25">
      <c r="B52" s="708">
        <v>265</v>
      </c>
      <c r="C52" s="717">
        <v>1520</v>
      </c>
      <c r="D52" s="711">
        <v>2203</v>
      </c>
      <c r="E52" s="711">
        <v>3538</v>
      </c>
      <c r="F52" s="711">
        <v>4293</v>
      </c>
      <c r="H52" s="62"/>
      <c r="K52" s="708">
        <v>265</v>
      </c>
      <c r="L52" s="716">
        <v>1901</v>
      </c>
      <c r="M52" s="715">
        <v>2654</v>
      </c>
      <c r="N52" s="715">
        <v>3415</v>
      </c>
      <c r="O52" s="715">
        <v>3943</v>
      </c>
      <c r="P52" s="715">
        <v>4963</v>
      </c>
      <c r="Q52" s="712">
        <v>7197</v>
      </c>
    </row>
    <row r="53" spans="2:17" x14ac:dyDescent="0.25">
      <c r="B53" s="708">
        <v>270</v>
      </c>
      <c r="C53" s="717">
        <v>1537</v>
      </c>
      <c r="D53" s="711">
        <v>2234</v>
      </c>
      <c r="E53" s="711">
        <v>3551</v>
      </c>
      <c r="F53" s="711">
        <v>4330</v>
      </c>
      <c r="H53" s="62"/>
      <c r="K53" s="708">
        <v>270</v>
      </c>
      <c r="L53" s="716">
        <v>1930</v>
      </c>
      <c r="M53" s="715">
        <v>2672</v>
      </c>
      <c r="N53" s="715">
        <v>3450</v>
      </c>
      <c r="O53" s="715">
        <v>3960</v>
      </c>
      <c r="P53" s="715">
        <v>4981</v>
      </c>
      <c r="Q53" s="712">
        <v>7249</v>
      </c>
    </row>
    <row r="54" spans="2:17" x14ac:dyDescent="0.25">
      <c r="B54" s="708">
        <v>275</v>
      </c>
      <c r="C54" s="717">
        <v>1554</v>
      </c>
      <c r="D54" s="711">
        <v>2266</v>
      </c>
      <c r="E54" s="711">
        <v>3563</v>
      </c>
      <c r="F54" s="711">
        <v>4366</v>
      </c>
      <c r="H54" s="62"/>
      <c r="K54" s="708">
        <v>275</v>
      </c>
      <c r="L54" s="716">
        <v>1958</v>
      </c>
      <c r="M54" s="715">
        <v>2690</v>
      </c>
      <c r="N54" s="715">
        <v>3486</v>
      </c>
      <c r="O54" s="715">
        <v>3976</v>
      </c>
      <c r="P54" s="715">
        <v>4998</v>
      </c>
      <c r="Q54" s="712">
        <v>7301</v>
      </c>
    </row>
    <row r="55" spans="2:17" x14ac:dyDescent="0.25">
      <c r="B55" s="708">
        <v>280</v>
      </c>
      <c r="C55" s="717">
        <v>1571</v>
      </c>
      <c r="D55" s="711">
        <v>2297</v>
      </c>
      <c r="E55" s="711">
        <v>3576</v>
      </c>
      <c r="F55" s="711">
        <v>4403</v>
      </c>
      <c r="H55" s="62"/>
      <c r="K55" s="708">
        <v>280</v>
      </c>
      <c r="L55" s="716">
        <v>1987</v>
      </c>
      <c r="M55" s="715">
        <v>2708</v>
      </c>
      <c r="N55" s="715">
        <v>3509</v>
      </c>
      <c r="O55" s="715">
        <v>3993</v>
      </c>
      <c r="P55" s="715">
        <v>5015</v>
      </c>
      <c r="Q55" s="712">
        <v>7353</v>
      </c>
    </row>
    <row r="56" spans="2:17" x14ac:dyDescent="0.25">
      <c r="B56" s="708">
        <v>285</v>
      </c>
      <c r="C56" s="717">
        <v>1588</v>
      </c>
      <c r="D56" s="711">
        <v>2329</v>
      </c>
      <c r="E56" s="711">
        <v>3589</v>
      </c>
      <c r="F56" s="711">
        <v>4439</v>
      </c>
      <c r="H56" s="62"/>
      <c r="K56" s="708">
        <v>285</v>
      </c>
      <c r="L56" s="716">
        <v>2015</v>
      </c>
      <c r="M56" s="715">
        <v>2726</v>
      </c>
      <c r="N56" s="715">
        <v>3524</v>
      </c>
      <c r="O56" s="715">
        <v>4009</v>
      </c>
      <c r="P56" s="715">
        <v>5032</v>
      </c>
      <c r="Q56" s="712">
        <v>7405</v>
      </c>
    </row>
    <row r="57" spans="2:17" x14ac:dyDescent="0.25">
      <c r="B57" s="708">
        <v>290</v>
      </c>
      <c r="C57" s="717">
        <v>1605</v>
      </c>
      <c r="D57" s="711">
        <v>2361</v>
      </c>
      <c r="E57" s="711">
        <v>3601</v>
      </c>
      <c r="F57" s="711">
        <v>4475</v>
      </c>
      <c r="H57" s="62"/>
      <c r="K57" s="708">
        <v>290</v>
      </c>
      <c r="L57" s="716">
        <v>2044</v>
      </c>
      <c r="M57" s="715">
        <v>2744</v>
      </c>
      <c r="N57" s="715">
        <v>3539</v>
      </c>
      <c r="O57" s="715">
        <v>4026</v>
      </c>
      <c r="P57" s="715">
        <v>5049</v>
      </c>
      <c r="Q57" s="712">
        <v>7457</v>
      </c>
    </row>
    <row r="58" spans="2:17" x14ac:dyDescent="0.25">
      <c r="B58" s="708">
        <v>295</v>
      </c>
      <c r="C58" s="717">
        <v>1622</v>
      </c>
      <c r="D58" s="711">
        <v>2392</v>
      </c>
      <c r="E58" s="711">
        <v>3614</v>
      </c>
      <c r="F58" s="711">
        <v>4512</v>
      </c>
      <c r="H58" s="62"/>
      <c r="K58" s="708">
        <v>295</v>
      </c>
      <c r="L58" s="716">
        <v>2072</v>
      </c>
      <c r="M58" s="715">
        <v>2762</v>
      </c>
      <c r="N58" s="715">
        <v>3554</v>
      </c>
      <c r="O58" s="715">
        <v>4042</v>
      </c>
      <c r="P58" s="715">
        <v>5066</v>
      </c>
      <c r="Q58" s="712">
        <v>7509</v>
      </c>
    </row>
    <row r="59" spans="2:17" x14ac:dyDescent="0.25">
      <c r="B59" s="708">
        <v>300</v>
      </c>
      <c r="C59" s="717">
        <v>1639</v>
      </c>
      <c r="D59" s="711">
        <v>2424</v>
      </c>
      <c r="E59" s="711">
        <v>3627</v>
      </c>
      <c r="F59" s="711">
        <v>4548</v>
      </c>
      <c r="H59" s="62"/>
      <c r="K59" s="708">
        <v>300</v>
      </c>
      <c r="L59" s="716">
        <v>2101</v>
      </c>
      <c r="M59" s="715">
        <v>2780</v>
      </c>
      <c r="N59" s="715">
        <v>3568</v>
      </c>
      <c r="O59" s="715">
        <v>4058</v>
      </c>
      <c r="P59" s="715">
        <v>5084</v>
      </c>
      <c r="Q59" s="712">
        <v>7561</v>
      </c>
    </row>
    <row r="60" spans="2:17" x14ac:dyDescent="0.25">
      <c r="B60" s="708">
        <v>305</v>
      </c>
      <c r="C60" s="717">
        <v>1655</v>
      </c>
      <c r="D60" s="711">
        <v>2456</v>
      </c>
      <c r="E60" s="711">
        <v>3639</v>
      </c>
      <c r="F60" s="711">
        <v>4585</v>
      </c>
      <c r="H60" s="62"/>
      <c r="K60" s="708">
        <v>305</v>
      </c>
      <c r="L60" s="716">
        <v>2129</v>
      </c>
      <c r="M60" s="715">
        <v>2798</v>
      </c>
      <c r="N60" s="715">
        <v>3583</v>
      </c>
      <c r="O60" s="715">
        <v>4075</v>
      </c>
      <c r="P60" s="715">
        <v>5101</v>
      </c>
      <c r="Q60" s="712">
        <v>7613</v>
      </c>
    </row>
    <row r="61" spans="2:17" x14ac:dyDescent="0.25">
      <c r="B61" s="708">
        <v>310</v>
      </c>
      <c r="C61" s="717">
        <v>1672</v>
      </c>
      <c r="D61" s="711">
        <v>2487</v>
      </c>
      <c r="E61" s="711">
        <v>3652</v>
      </c>
      <c r="F61" s="711">
        <v>4621</v>
      </c>
      <c r="H61" s="62"/>
      <c r="K61" s="708">
        <v>310</v>
      </c>
      <c r="L61" s="716">
        <v>2158</v>
      </c>
      <c r="M61" s="715">
        <v>2816</v>
      </c>
      <c r="N61" s="715">
        <v>3598</v>
      </c>
      <c r="O61" s="715">
        <v>4097</v>
      </c>
      <c r="P61" s="715">
        <v>5118</v>
      </c>
      <c r="Q61" s="712">
        <v>7665</v>
      </c>
    </row>
    <row r="62" spans="2:17" x14ac:dyDescent="0.25">
      <c r="B62" s="708">
        <v>315</v>
      </c>
      <c r="C62" s="717">
        <v>1689</v>
      </c>
      <c r="D62" s="711">
        <v>2519</v>
      </c>
      <c r="E62" s="711">
        <v>3665</v>
      </c>
      <c r="F62" s="711">
        <v>4657</v>
      </c>
      <c r="H62" s="62"/>
      <c r="K62" s="708">
        <v>315</v>
      </c>
      <c r="L62" s="716">
        <v>2186</v>
      </c>
      <c r="M62" s="715">
        <v>2834</v>
      </c>
      <c r="N62" s="715">
        <v>3613</v>
      </c>
      <c r="O62" s="715">
        <v>4116</v>
      </c>
      <c r="P62" s="715">
        <v>5135</v>
      </c>
      <c r="Q62" s="712">
        <v>7717</v>
      </c>
    </row>
    <row r="63" spans="2:17" x14ac:dyDescent="0.25">
      <c r="B63" s="708">
        <v>320</v>
      </c>
      <c r="C63" s="717">
        <v>1706</v>
      </c>
      <c r="D63" s="711">
        <v>2551</v>
      </c>
      <c r="E63" s="711">
        <v>3677</v>
      </c>
      <c r="F63" s="711">
        <v>4694</v>
      </c>
      <c r="H63" s="62"/>
      <c r="K63" s="708">
        <v>320</v>
      </c>
      <c r="L63" s="716">
        <v>2215</v>
      </c>
      <c r="M63" s="715">
        <v>2852</v>
      </c>
      <c r="N63" s="715">
        <v>3628</v>
      </c>
      <c r="O63" s="715">
        <v>4135</v>
      </c>
      <c r="P63" s="715">
        <v>5152</v>
      </c>
      <c r="Q63" s="712">
        <v>7769</v>
      </c>
    </row>
    <row r="64" spans="2:17" x14ac:dyDescent="0.25">
      <c r="B64" s="708">
        <v>325</v>
      </c>
      <c r="C64" s="717">
        <v>1723</v>
      </c>
      <c r="D64" s="711">
        <v>2582</v>
      </c>
      <c r="E64" s="711">
        <v>3690</v>
      </c>
      <c r="F64" s="711">
        <v>4730</v>
      </c>
      <c r="H64" s="62"/>
      <c r="K64" s="708">
        <v>325</v>
      </c>
      <c r="L64" s="716">
        <v>2243</v>
      </c>
      <c r="M64" s="715">
        <v>2870</v>
      </c>
      <c r="N64" s="715">
        <v>3643</v>
      </c>
      <c r="O64" s="715">
        <v>4153</v>
      </c>
      <c r="P64" s="711">
        <v>5169</v>
      </c>
      <c r="Q64" s="62"/>
    </row>
    <row r="65" spans="1:19" x14ac:dyDescent="0.25">
      <c r="B65" s="708">
        <v>330</v>
      </c>
      <c r="C65" s="717">
        <v>1740</v>
      </c>
      <c r="D65" s="711">
        <v>2614</v>
      </c>
      <c r="E65" s="711">
        <v>3703</v>
      </c>
      <c r="F65" s="711">
        <v>4767</v>
      </c>
      <c r="H65" s="62"/>
      <c r="K65" s="708">
        <v>330</v>
      </c>
      <c r="L65" s="716">
        <v>2272</v>
      </c>
      <c r="M65" s="715">
        <v>2888</v>
      </c>
      <c r="N65" s="715">
        <v>3658</v>
      </c>
      <c r="O65" s="715">
        <v>4172</v>
      </c>
      <c r="P65" s="711">
        <v>5187</v>
      </c>
      <c r="Q65" s="62"/>
    </row>
    <row r="66" spans="1:19" ht="15.75" thickBot="1" x14ac:dyDescent="0.3">
      <c r="B66" s="708">
        <v>335</v>
      </c>
      <c r="C66" s="717">
        <v>1757</v>
      </c>
      <c r="D66" s="711">
        <v>2646</v>
      </c>
      <c r="E66" s="711">
        <v>3715</v>
      </c>
      <c r="F66" s="1092"/>
      <c r="H66" s="62"/>
      <c r="K66" s="718">
        <v>335</v>
      </c>
      <c r="L66" s="719">
        <v>2300</v>
      </c>
      <c r="M66" s="720">
        <v>2906</v>
      </c>
      <c r="N66" s="720">
        <v>3672</v>
      </c>
      <c r="O66" s="720">
        <v>4190</v>
      </c>
      <c r="P66" s="721">
        <v>5204</v>
      </c>
      <c r="Q66" s="63"/>
    </row>
    <row r="67" spans="1:19" ht="15.75" thickBot="1" x14ac:dyDescent="0.3">
      <c r="B67" s="718">
        <v>340</v>
      </c>
      <c r="C67" s="722">
        <v>1774</v>
      </c>
      <c r="D67" s="721">
        <v>2678</v>
      </c>
      <c r="E67" s="721">
        <v>3728</v>
      </c>
      <c r="F67" s="1093"/>
      <c r="G67" s="137"/>
      <c r="H67" s="63"/>
    </row>
    <row r="69" spans="1:19" ht="15.75" thickBot="1" x14ac:dyDescent="0.3">
      <c r="A69" s="723"/>
      <c r="B69" s="723"/>
      <c r="C69" s="723"/>
      <c r="D69" s="723"/>
      <c r="E69" s="723"/>
      <c r="F69" s="723"/>
      <c r="G69" s="723"/>
      <c r="H69" s="723"/>
      <c r="I69" s="723"/>
      <c r="J69" s="723"/>
      <c r="K69" s="723"/>
      <c r="L69" s="723"/>
      <c r="M69" s="723"/>
      <c r="N69" s="723"/>
      <c r="O69" s="723"/>
      <c r="P69" s="723"/>
      <c r="Q69" s="723"/>
      <c r="R69" s="723"/>
      <c r="S69" s="723"/>
    </row>
    <row r="70" spans="1:19" ht="15.75" thickTop="1" x14ac:dyDescent="0.25"/>
    <row r="71" spans="1:19" ht="15.75" thickBot="1" x14ac:dyDescent="0.3"/>
    <row r="72" spans="1:19" x14ac:dyDescent="0.25">
      <c r="B72" s="1094" t="s">
        <v>79</v>
      </c>
      <c r="C72" s="1096" t="s">
        <v>476</v>
      </c>
      <c r="D72" s="1090"/>
      <c r="E72" s="1090"/>
      <c r="F72" s="1090"/>
      <c r="G72" s="1091"/>
      <c r="K72" s="1094" t="s">
        <v>79</v>
      </c>
      <c r="L72" s="1090" t="s">
        <v>477</v>
      </c>
      <c r="M72" s="1090"/>
      <c r="N72" s="1090"/>
      <c r="O72" s="1090"/>
      <c r="P72" s="1090"/>
      <c r="Q72" s="1091"/>
    </row>
    <row r="73" spans="1:19" ht="15.75" thickBot="1" x14ac:dyDescent="0.3">
      <c r="B73" s="1095"/>
      <c r="C73" s="699">
        <v>60</v>
      </c>
      <c r="D73" s="698">
        <v>75</v>
      </c>
      <c r="E73" s="698">
        <v>90</v>
      </c>
      <c r="F73" s="51">
        <v>105</v>
      </c>
      <c r="G73" s="51">
        <v>120</v>
      </c>
      <c r="K73" s="1095"/>
      <c r="L73" s="699">
        <v>60</v>
      </c>
      <c r="M73" s="698">
        <v>75</v>
      </c>
      <c r="N73" s="698">
        <v>90</v>
      </c>
      <c r="O73" s="51">
        <v>105</v>
      </c>
      <c r="P73" s="51">
        <v>120</v>
      </c>
      <c r="Q73" s="51">
        <v>150</v>
      </c>
    </row>
    <row r="74" spans="1:19" x14ac:dyDescent="0.25">
      <c r="B74" s="700">
        <v>25</v>
      </c>
      <c r="C74" s="724">
        <v>1706</v>
      </c>
      <c r="D74" s="707">
        <v>1706</v>
      </c>
      <c r="E74" s="707">
        <v>1706</v>
      </c>
      <c r="F74" s="707">
        <v>1706</v>
      </c>
      <c r="G74" s="704">
        <v>4275</v>
      </c>
      <c r="K74" s="725">
        <v>25</v>
      </c>
      <c r="L74" s="726">
        <v>850</v>
      </c>
      <c r="M74" s="727">
        <v>955</v>
      </c>
      <c r="N74" s="728">
        <v>1322</v>
      </c>
      <c r="O74" s="728">
        <v>1688</v>
      </c>
      <c r="P74" s="728">
        <v>2000</v>
      </c>
      <c r="Q74" s="729">
        <v>5400</v>
      </c>
    </row>
    <row r="75" spans="1:19" x14ac:dyDescent="0.25">
      <c r="B75" s="708">
        <v>30</v>
      </c>
      <c r="C75" s="716">
        <v>1706</v>
      </c>
      <c r="D75" s="715">
        <v>1706</v>
      </c>
      <c r="E75" s="715">
        <v>1706</v>
      </c>
      <c r="F75" s="715">
        <v>1735</v>
      </c>
      <c r="G75" s="712">
        <v>4275</v>
      </c>
      <c r="K75" s="708">
        <v>30</v>
      </c>
      <c r="L75" s="713">
        <v>850</v>
      </c>
      <c r="M75" s="714">
        <v>955</v>
      </c>
      <c r="N75" s="715">
        <v>1322</v>
      </c>
      <c r="O75" s="715">
        <v>1688</v>
      </c>
      <c r="P75" s="715">
        <v>2000</v>
      </c>
      <c r="Q75" s="712">
        <v>5400</v>
      </c>
    </row>
    <row r="76" spans="1:19" x14ac:dyDescent="0.25">
      <c r="B76" s="708">
        <v>35</v>
      </c>
      <c r="C76" s="716">
        <v>1706</v>
      </c>
      <c r="D76" s="715">
        <v>1706</v>
      </c>
      <c r="E76" s="715">
        <v>1706</v>
      </c>
      <c r="F76" s="715">
        <v>1876</v>
      </c>
      <c r="G76" s="712">
        <v>4275</v>
      </c>
      <c r="K76" s="708">
        <v>35</v>
      </c>
      <c r="L76" s="713">
        <v>850</v>
      </c>
      <c r="M76" s="714">
        <v>955</v>
      </c>
      <c r="N76" s="715">
        <v>1322</v>
      </c>
      <c r="O76" s="715">
        <v>1688</v>
      </c>
      <c r="P76" s="715">
        <v>2000</v>
      </c>
      <c r="Q76" s="712">
        <v>5400</v>
      </c>
    </row>
    <row r="77" spans="1:19" x14ac:dyDescent="0.25">
      <c r="B77" s="708">
        <v>40</v>
      </c>
      <c r="C77" s="716">
        <v>1706</v>
      </c>
      <c r="D77" s="715">
        <v>1706</v>
      </c>
      <c r="E77" s="715">
        <v>1706</v>
      </c>
      <c r="F77" s="715">
        <v>2017</v>
      </c>
      <c r="G77" s="712">
        <v>4275</v>
      </c>
      <c r="K77" s="708">
        <v>40</v>
      </c>
      <c r="L77" s="713">
        <v>850</v>
      </c>
      <c r="M77" s="714">
        <v>955</v>
      </c>
      <c r="N77" s="715">
        <v>1322</v>
      </c>
      <c r="O77" s="715">
        <v>1688</v>
      </c>
      <c r="P77" s="715">
        <v>2000</v>
      </c>
      <c r="Q77" s="712">
        <v>5400</v>
      </c>
    </row>
    <row r="78" spans="1:19" x14ac:dyDescent="0.25">
      <c r="B78" s="708">
        <v>45</v>
      </c>
      <c r="C78" s="716">
        <v>1706</v>
      </c>
      <c r="D78" s="715">
        <v>1706</v>
      </c>
      <c r="E78" s="715">
        <v>1706</v>
      </c>
      <c r="F78" s="715">
        <v>2158</v>
      </c>
      <c r="G78" s="712">
        <v>4275</v>
      </c>
      <c r="K78" s="708">
        <v>45</v>
      </c>
      <c r="L78" s="713">
        <v>850</v>
      </c>
      <c r="M78" s="714">
        <v>955</v>
      </c>
      <c r="N78" s="715">
        <v>1322</v>
      </c>
      <c r="O78" s="715">
        <v>1688</v>
      </c>
      <c r="P78" s="715">
        <v>2000</v>
      </c>
      <c r="Q78" s="712">
        <v>5400</v>
      </c>
    </row>
    <row r="79" spans="1:19" x14ac:dyDescent="0.25">
      <c r="B79" s="708">
        <v>50</v>
      </c>
      <c r="C79" s="716">
        <v>1706</v>
      </c>
      <c r="D79" s="715">
        <v>1706</v>
      </c>
      <c r="E79" s="715">
        <v>1706</v>
      </c>
      <c r="F79" s="715">
        <v>2299</v>
      </c>
      <c r="G79" s="712">
        <v>4275</v>
      </c>
      <c r="K79" s="708">
        <v>50</v>
      </c>
      <c r="L79" s="713">
        <v>850</v>
      </c>
      <c r="M79" s="714">
        <v>955</v>
      </c>
      <c r="N79" s="715">
        <v>1322</v>
      </c>
      <c r="O79" s="715">
        <v>1688</v>
      </c>
      <c r="P79" s="715">
        <v>2000</v>
      </c>
      <c r="Q79" s="712">
        <v>5400</v>
      </c>
    </row>
    <row r="80" spans="1:19" x14ac:dyDescent="0.25">
      <c r="B80" s="708">
        <v>55</v>
      </c>
      <c r="C80" s="716">
        <v>1706</v>
      </c>
      <c r="D80" s="715">
        <v>1706</v>
      </c>
      <c r="E80" s="715">
        <v>1706</v>
      </c>
      <c r="F80" s="715">
        <v>2440</v>
      </c>
      <c r="G80" s="712">
        <v>4275</v>
      </c>
      <c r="K80" s="708">
        <v>55</v>
      </c>
      <c r="L80" s="713">
        <v>850</v>
      </c>
      <c r="M80" s="715">
        <v>1011</v>
      </c>
      <c r="N80" s="715">
        <v>1390</v>
      </c>
      <c r="O80" s="715">
        <v>1770</v>
      </c>
      <c r="P80" s="715">
        <v>2500</v>
      </c>
      <c r="Q80" s="712">
        <v>5400</v>
      </c>
    </row>
    <row r="81" spans="2:17" x14ac:dyDescent="0.25">
      <c r="B81" s="708">
        <v>60</v>
      </c>
      <c r="C81" s="716">
        <v>1706</v>
      </c>
      <c r="D81" s="715">
        <v>1706</v>
      </c>
      <c r="E81" s="715">
        <v>1706</v>
      </c>
      <c r="F81" s="715">
        <v>2581</v>
      </c>
      <c r="G81" s="712">
        <v>4275</v>
      </c>
      <c r="K81" s="708">
        <v>60</v>
      </c>
      <c r="L81" s="713">
        <v>850</v>
      </c>
      <c r="M81" s="715">
        <v>1067</v>
      </c>
      <c r="N81" s="715">
        <v>1458</v>
      </c>
      <c r="O81" s="715">
        <v>1852</v>
      </c>
      <c r="P81" s="715">
        <v>3000</v>
      </c>
      <c r="Q81" s="712">
        <v>5400</v>
      </c>
    </row>
    <row r="82" spans="2:17" x14ac:dyDescent="0.25">
      <c r="B82" s="708">
        <v>65</v>
      </c>
      <c r="C82" s="716">
        <v>1706</v>
      </c>
      <c r="D82" s="715">
        <v>1706</v>
      </c>
      <c r="E82" s="715">
        <v>1706</v>
      </c>
      <c r="F82" s="715">
        <v>2722</v>
      </c>
      <c r="G82" s="712">
        <v>4275</v>
      </c>
      <c r="K82" s="708">
        <v>65</v>
      </c>
      <c r="L82" s="713">
        <v>886</v>
      </c>
      <c r="M82" s="715">
        <v>1124</v>
      </c>
      <c r="N82" s="715">
        <v>1526</v>
      </c>
      <c r="O82" s="715">
        <v>1934</v>
      </c>
      <c r="P82" s="715">
        <v>3123</v>
      </c>
      <c r="Q82" s="712">
        <v>5400</v>
      </c>
    </row>
    <row r="83" spans="2:17" x14ac:dyDescent="0.25">
      <c r="B83" s="708">
        <v>70</v>
      </c>
      <c r="C83" s="716">
        <v>1706</v>
      </c>
      <c r="D83" s="715">
        <v>1706</v>
      </c>
      <c r="E83" s="715">
        <v>1706</v>
      </c>
      <c r="F83" s="715">
        <v>2863</v>
      </c>
      <c r="G83" s="712">
        <v>4275</v>
      </c>
      <c r="K83" s="708">
        <v>70</v>
      </c>
      <c r="L83" s="713">
        <v>930</v>
      </c>
      <c r="M83" s="715">
        <v>1180</v>
      </c>
      <c r="N83" s="715">
        <v>1593</v>
      </c>
      <c r="O83" s="715">
        <v>2067</v>
      </c>
      <c r="P83" s="715">
        <v>3246</v>
      </c>
      <c r="Q83" s="712">
        <v>5400</v>
      </c>
    </row>
    <row r="84" spans="2:17" x14ac:dyDescent="0.25">
      <c r="B84" s="708">
        <v>75</v>
      </c>
      <c r="C84" s="716">
        <v>1706</v>
      </c>
      <c r="D84" s="715">
        <v>1706</v>
      </c>
      <c r="E84" s="715">
        <v>1744</v>
      </c>
      <c r="F84" s="715">
        <v>2878</v>
      </c>
      <c r="G84" s="712">
        <v>4275</v>
      </c>
      <c r="K84" s="708">
        <v>75</v>
      </c>
      <c r="L84" s="713">
        <v>974</v>
      </c>
      <c r="M84" s="715">
        <v>1236</v>
      </c>
      <c r="N84" s="715">
        <v>1661</v>
      </c>
      <c r="O84" s="715">
        <v>2400</v>
      </c>
      <c r="P84" s="715">
        <v>3369</v>
      </c>
      <c r="Q84" s="712">
        <v>5400</v>
      </c>
    </row>
    <row r="85" spans="2:17" x14ac:dyDescent="0.25">
      <c r="B85" s="708">
        <v>80</v>
      </c>
      <c r="C85" s="716">
        <v>1706</v>
      </c>
      <c r="D85" s="715">
        <v>1706</v>
      </c>
      <c r="E85" s="715">
        <v>1904</v>
      </c>
      <c r="F85" s="715">
        <v>3076</v>
      </c>
      <c r="G85" s="712">
        <v>4275</v>
      </c>
      <c r="K85" s="708">
        <v>80</v>
      </c>
      <c r="L85" s="716">
        <v>1018</v>
      </c>
      <c r="M85" s="715">
        <v>1292</v>
      </c>
      <c r="N85" s="715">
        <v>1729</v>
      </c>
      <c r="O85" s="715">
        <v>2733</v>
      </c>
      <c r="P85" s="715">
        <v>3492</v>
      </c>
      <c r="Q85" s="712">
        <v>5400</v>
      </c>
    </row>
    <row r="86" spans="2:17" x14ac:dyDescent="0.25">
      <c r="B86" s="708">
        <v>85</v>
      </c>
      <c r="C86" s="716">
        <v>1706</v>
      </c>
      <c r="D86" s="715">
        <v>1706</v>
      </c>
      <c r="E86" s="715">
        <v>2064</v>
      </c>
      <c r="F86" s="715">
        <v>3287</v>
      </c>
      <c r="G86" s="712">
        <v>4275</v>
      </c>
      <c r="K86" s="708">
        <v>85</v>
      </c>
      <c r="L86" s="716">
        <v>1061</v>
      </c>
      <c r="M86" s="715">
        <v>1348</v>
      </c>
      <c r="N86" s="715">
        <v>1797</v>
      </c>
      <c r="O86" s="715">
        <v>3022</v>
      </c>
      <c r="P86" s="715">
        <v>3615</v>
      </c>
      <c r="Q86" s="712">
        <v>5400</v>
      </c>
    </row>
    <row r="87" spans="2:17" x14ac:dyDescent="0.25">
      <c r="B87" s="708">
        <v>90</v>
      </c>
      <c r="C87" s="716">
        <v>1706</v>
      </c>
      <c r="D87" s="715">
        <v>1761</v>
      </c>
      <c r="E87" s="715">
        <v>2224</v>
      </c>
      <c r="F87" s="715">
        <v>3428</v>
      </c>
      <c r="G87" s="712">
        <v>4275</v>
      </c>
      <c r="K87" s="708">
        <v>90</v>
      </c>
      <c r="L87" s="716">
        <v>1105</v>
      </c>
      <c r="M87" s="715">
        <v>1404</v>
      </c>
      <c r="N87" s="715">
        <v>1864</v>
      </c>
      <c r="O87" s="715">
        <v>3135</v>
      </c>
      <c r="P87" s="715">
        <v>3738</v>
      </c>
      <c r="Q87" s="712">
        <v>5400</v>
      </c>
    </row>
    <row r="88" spans="2:17" x14ac:dyDescent="0.25">
      <c r="B88" s="708">
        <v>95</v>
      </c>
      <c r="C88" s="716">
        <v>1706</v>
      </c>
      <c r="D88" s="715">
        <v>1761</v>
      </c>
      <c r="E88" s="715">
        <v>2385</v>
      </c>
      <c r="F88" s="715">
        <v>3569</v>
      </c>
      <c r="G88" s="712">
        <v>4275</v>
      </c>
      <c r="K88" s="708">
        <v>95</v>
      </c>
      <c r="L88" s="716">
        <v>1149</v>
      </c>
      <c r="M88" s="715">
        <v>1461</v>
      </c>
      <c r="N88" s="715">
        <v>1932</v>
      </c>
      <c r="O88" s="715">
        <v>3247</v>
      </c>
      <c r="P88" s="715">
        <v>3861</v>
      </c>
      <c r="Q88" s="712">
        <v>5400</v>
      </c>
    </row>
    <row r="89" spans="2:17" x14ac:dyDescent="0.25">
      <c r="B89" s="708">
        <v>100</v>
      </c>
      <c r="C89" s="716">
        <v>1706</v>
      </c>
      <c r="D89" s="715">
        <v>1761</v>
      </c>
      <c r="E89" s="715">
        <v>2545</v>
      </c>
      <c r="F89" s="715">
        <v>3710</v>
      </c>
      <c r="G89" s="712">
        <v>4275</v>
      </c>
      <c r="K89" s="708">
        <v>100</v>
      </c>
      <c r="L89" s="716">
        <v>1193</v>
      </c>
      <c r="M89" s="715">
        <v>1517</v>
      </c>
      <c r="N89" s="715">
        <v>2000</v>
      </c>
      <c r="O89" s="715">
        <v>3360</v>
      </c>
      <c r="P89" s="715">
        <v>3984</v>
      </c>
      <c r="Q89" s="712">
        <v>5400</v>
      </c>
    </row>
    <row r="90" spans="2:17" x14ac:dyDescent="0.25">
      <c r="B90" s="708">
        <v>105</v>
      </c>
      <c r="C90" s="716">
        <v>1706</v>
      </c>
      <c r="D90" s="715">
        <v>1761</v>
      </c>
      <c r="E90" s="715">
        <v>2705</v>
      </c>
      <c r="F90" s="715">
        <v>3851</v>
      </c>
      <c r="G90" s="712">
        <v>4313</v>
      </c>
      <c r="K90" s="708">
        <v>105</v>
      </c>
      <c r="L90" s="716">
        <v>1237</v>
      </c>
      <c r="M90" s="715">
        <v>1573</v>
      </c>
      <c r="N90" s="715">
        <v>2200</v>
      </c>
      <c r="O90" s="715">
        <v>3472</v>
      </c>
      <c r="P90" s="715">
        <v>4107</v>
      </c>
      <c r="Q90" s="712">
        <v>5569</v>
      </c>
    </row>
    <row r="91" spans="2:17" x14ac:dyDescent="0.25">
      <c r="B91" s="708">
        <v>110</v>
      </c>
      <c r="C91" s="716">
        <v>1706</v>
      </c>
      <c r="D91" s="715">
        <v>1761</v>
      </c>
      <c r="E91" s="715">
        <v>2865</v>
      </c>
      <c r="F91" s="715">
        <v>3992</v>
      </c>
      <c r="G91" s="712">
        <v>4781</v>
      </c>
      <c r="K91" s="708">
        <v>110</v>
      </c>
      <c r="L91" s="716">
        <v>1281</v>
      </c>
      <c r="M91" s="715">
        <v>1629</v>
      </c>
      <c r="N91" s="715">
        <v>2400</v>
      </c>
      <c r="O91" s="715">
        <v>3585</v>
      </c>
      <c r="P91" s="715">
        <v>4230</v>
      </c>
      <c r="Q91" s="712">
        <v>5765</v>
      </c>
    </row>
    <row r="92" spans="2:17" x14ac:dyDescent="0.25">
      <c r="B92" s="708">
        <v>115</v>
      </c>
      <c r="C92" s="716">
        <v>1706</v>
      </c>
      <c r="D92" s="715">
        <v>1894</v>
      </c>
      <c r="E92" s="715">
        <v>3026</v>
      </c>
      <c r="F92" s="715">
        <v>4133</v>
      </c>
      <c r="G92" s="712">
        <v>5250</v>
      </c>
      <c r="K92" s="708">
        <v>115</v>
      </c>
      <c r="L92" s="716">
        <v>1325</v>
      </c>
      <c r="M92" s="715">
        <v>1685</v>
      </c>
      <c r="N92" s="715">
        <v>2600</v>
      </c>
      <c r="O92" s="715">
        <v>3697</v>
      </c>
      <c r="P92" s="715">
        <v>4352</v>
      </c>
      <c r="Q92" s="712">
        <v>5961</v>
      </c>
    </row>
    <row r="93" spans="2:17" x14ac:dyDescent="0.25">
      <c r="B93" s="708">
        <v>120</v>
      </c>
      <c r="C93" s="716">
        <v>1706</v>
      </c>
      <c r="D93" s="715">
        <v>2027</v>
      </c>
      <c r="E93" s="715">
        <v>3186</v>
      </c>
      <c r="F93" s="715">
        <v>4274</v>
      </c>
      <c r="G93" s="712">
        <v>5719</v>
      </c>
      <c r="K93" s="708">
        <v>120</v>
      </c>
      <c r="L93" s="716">
        <v>1368</v>
      </c>
      <c r="M93" s="715">
        <v>1742</v>
      </c>
      <c r="N93" s="715">
        <v>2800</v>
      </c>
      <c r="O93" s="715">
        <v>3810</v>
      </c>
      <c r="P93" s="715">
        <v>4475</v>
      </c>
      <c r="Q93" s="712">
        <v>6157</v>
      </c>
    </row>
    <row r="94" spans="2:17" x14ac:dyDescent="0.25">
      <c r="B94" s="708">
        <v>125</v>
      </c>
      <c r="C94" s="716">
        <v>1706</v>
      </c>
      <c r="D94" s="715">
        <v>2160</v>
      </c>
      <c r="E94" s="715">
        <v>3346</v>
      </c>
      <c r="F94" s="711">
        <v>4415</v>
      </c>
      <c r="G94" s="712">
        <v>6188</v>
      </c>
      <c r="K94" s="708">
        <v>125</v>
      </c>
      <c r="L94" s="716">
        <v>1412</v>
      </c>
      <c r="M94" s="715">
        <v>1798</v>
      </c>
      <c r="N94" s="715">
        <v>3000</v>
      </c>
      <c r="O94" s="715">
        <v>3922</v>
      </c>
      <c r="P94" s="715">
        <v>4598</v>
      </c>
      <c r="Q94" s="712">
        <v>6353</v>
      </c>
    </row>
    <row r="95" spans="2:17" x14ac:dyDescent="0.25">
      <c r="B95" s="708">
        <v>130</v>
      </c>
      <c r="C95" s="716">
        <v>1706</v>
      </c>
      <c r="D95" s="715">
        <v>2293</v>
      </c>
      <c r="E95" s="715">
        <v>3506</v>
      </c>
      <c r="F95" s="711">
        <v>4607</v>
      </c>
      <c r="G95" s="730"/>
      <c r="K95" s="708">
        <v>130</v>
      </c>
      <c r="L95" s="716">
        <v>1456</v>
      </c>
      <c r="M95" s="715">
        <v>1854</v>
      </c>
      <c r="N95" s="715">
        <v>3114</v>
      </c>
      <c r="O95" s="715">
        <v>4035</v>
      </c>
      <c r="P95" s="715">
        <v>4721</v>
      </c>
      <c r="Q95" s="712">
        <v>6549</v>
      </c>
    </row>
    <row r="96" spans="2:17" x14ac:dyDescent="0.25">
      <c r="B96" s="708">
        <v>135</v>
      </c>
      <c r="C96" s="716">
        <v>1706</v>
      </c>
      <c r="D96" s="715">
        <v>2426</v>
      </c>
      <c r="E96" s="715">
        <v>3667</v>
      </c>
      <c r="F96" s="711">
        <v>4875</v>
      </c>
      <c r="G96" s="730"/>
      <c r="K96" s="708">
        <v>135</v>
      </c>
      <c r="L96" s="716">
        <v>1500</v>
      </c>
      <c r="M96" s="715">
        <v>1910</v>
      </c>
      <c r="N96" s="715">
        <v>3227</v>
      </c>
      <c r="O96" s="715">
        <v>4147</v>
      </c>
      <c r="P96" s="715">
        <v>4844</v>
      </c>
      <c r="Q96" s="712">
        <v>6745</v>
      </c>
    </row>
    <row r="97" spans="2:17" x14ac:dyDescent="0.25">
      <c r="B97" s="708">
        <v>140</v>
      </c>
      <c r="C97" s="716">
        <v>1706</v>
      </c>
      <c r="D97" s="715">
        <v>2559</v>
      </c>
      <c r="E97" s="715">
        <v>3827</v>
      </c>
      <c r="F97" s="711">
        <v>5143</v>
      </c>
      <c r="G97" s="730"/>
      <c r="K97" s="708">
        <v>140</v>
      </c>
      <c r="L97" s="716">
        <v>1544</v>
      </c>
      <c r="M97" s="715">
        <v>1966</v>
      </c>
      <c r="N97" s="715">
        <v>3341</v>
      </c>
      <c r="O97" s="715">
        <v>4259</v>
      </c>
      <c r="P97" s="715">
        <v>4967</v>
      </c>
      <c r="Q97" s="712">
        <v>6941</v>
      </c>
    </row>
    <row r="98" spans="2:17" x14ac:dyDescent="0.25">
      <c r="B98" s="708">
        <v>145</v>
      </c>
      <c r="C98" s="716">
        <v>1706</v>
      </c>
      <c r="D98" s="715">
        <v>2691</v>
      </c>
      <c r="E98" s="715">
        <v>3987</v>
      </c>
      <c r="F98" s="711">
        <v>5411</v>
      </c>
      <c r="G98" s="730"/>
      <c r="K98" s="708">
        <v>145</v>
      </c>
      <c r="L98" s="716">
        <v>1588</v>
      </c>
      <c r="M98" s="715">
        <v>2051</v>
      </c>
      <c r="N98" s="715">
        <v>3455</v>
      </c>
      <c r="O98" s="715">
        <v>4372</v>
      </c>
      <c r="P98" s="715">
        <v>5090</v>
      </c>
      <c r="Q98" s="712">
        <v>7137</v>
      </c>
    </row>
    <row r="99" spans="2:17" x14ac:dyDescent="0.25">
      <c r="B99" s="708">
        <v>150</v>
      </c>
      <c r="C99" s="716">
        <v>1707</v>
      </c>
      <c r="D99" s="715">
        <v>2824</v>
      </c>
      <c r="E99" s="715">
        <v>4147</v>
      </c>
      <c r="F99" s="711">
        <v>5679</v>
      </c>
      <c r="G99" s="730"/>
      <c r="K99" s="708">
        <v>150</v>
      </c>
      <c r="L99" s="716">
        <v>1632</v>
      </c>
      <c r="M99" s="715">
        <v>2179</v>
      </c>
      <c r="N99" s="715">
        <v>3568</v>
      </c>
      <c r="O99" s="715">
        <v>4484</v>
      </c>
      <c r="P99" s="715">
        <v>5213</v>
      </c>
      <c r="Q99" s="712">
        <v>7333</v>
      </c>
    </row>
    <row r="100" spans="2:17" x14ac:dyDescent="0.25">
      <c r="B100" s="708">
        <v>155</v>
      </c>
      <c r="C100" s="716">
        <v>1793</v>
      </c>
      <c r="D100" s="715">
        <v>2957</v>
      </c>
      <c r="E100" s="715">
        <v>4308</v>
      </c>
      <c r="F100" s="711">
        <v>5946</v>
      </c>
      <c r="G100" s="730"/>
      <c r="K100" s="708">
        <v>155</v>
      </c>
      <c r="L100" s="716">
        <v>1675</v>
      </c>
      <c r="M100" s="715">
        <v>2308</v>
      </c>
      <c r="N100" s="715">
        <v>3682</v>
      </c>
      <c r="O100" s="715">
        <v>4597</v>
      </c>
      <c r="P100" s="715">
        <v>5336</v>
      </c>
      <c r="Q100" s="712">
        <v>7529</v>
      </c>
    </row>
    <row r="101" spans="2:17" x14ac:dyDescent="0.25">
      <c r="B101" s="708">
        <v>160</v>
      </c>
      <c r="C101" s="716">
        <v>1879</v>
      </c>
      <c r="D101" s="715">
        <v>3090</v>
      </c>
      <c r="E101" s="715">
        <v>4468</v>
      </c>
      <c r="F101" s="711">
        <v>6214</v>
      </c>
      <c r="G101" s="730"/>
      <c r="K101" s="708">
        <v>160</v>
      </c>
      <c r="L101" s="716">
        <v>1719</v>
      </c>
      <c r="M101" s="715">
        <v>2436</v>
      </c>
      <c r="N101" s="715">
        <v>3795</v>
      </c>
      <c r="O101" s="715">
        <v>4709</v>
      </c>
      <c r="P101" s="715">
        <v>5459</v>
      </c>
      <c r="Q101" s="712">
        <v>7725</v>
      </c>
    </row>
    <row r="102" spans="2:17" x14ac:dyDescent="0.25">
      <c r="B102" s="708">
        <v>165</v>
      </c>
      <c r="C102" s="716">
        <v>1966</v>
      </c>
      <c r="D102" s="715">
        <v>3223</v>
      </c>
      <c r="E102" s="711">
        <v>4640</v>
      </c>
      <c r="F102" s="711">
        <v>6482</v>
      </c>
      <c r="G102" s="730"/>
      <c r="K102" s="708">
        <v>165</v>
      </c>
      <c r="L102" s="716">
        <v>1763</v>
      </c>
      <c r="M102" s="715">
        <v>2564</v>
      </c>
      <c r="N102" s="715">
        <v>3909</v>
      </c>
      <c r="O102" s="715">
        <v>4822</v>
      </c>
      <c r="P102" s="715">
        <v>5582</v>
      </c>
      <c r="Q102" s="712">
        <v>7922</v>
      </c>
    </row>
    <row r="103" spans="2:17" x14ac:dyDescent="0.25">
      <c r="B103" s="708">
        <v>170</v>
      </c>
      <c r="C103" s="716">
        <v>2052</v>
      </c>
      <c r="D103" s="715">
        <v>3356</v>
      </c>
      <c r="E103" s="711">
        <v>4814</v>
      </c>
      <c r="F103" s="731"/>
      <c r="G103" s="730"/>
      <c r="K103" s="708">
        <v>170</v>
      </c>
      <c r="L103" s="716">
        <v>1807</v>
      </c>
      <c r="M103" s="715">
        <v>2692</v>
      </c>
      <c r="N103" s="715">
        <v>4020</v>
      </c>
      <c r="O103" s="715">
        <v>4934</v>
      </c>
      <c r="P103" s="715">
        <v>5705</v>
      </c>
      <c r="Q103" s="712">
        <v>8118</v>
      </c>
    </row>
    <row r="104" spans="2:17" x14ac:dyDescent="0.25">
      <c r="B104" s="708">
        <v>175</v>
      </c>
      <c r="C104" s="716">
        <v>2138</v>
      </c>
      <c r="D104" s="715">
        <v>3489</v>
      </c>
      <c r="E104" s="711">
        <v>4988</v>
      </c>
      <c r="F104" s="731"/>
      <c r="G104" s="730"/>
      <c r="K104" s="708">
        <v>175</v>
      </c>
      <c r="L104" s="716">
        <v>1851</v>
      </c>
      <c r="M104" s="715">
        <v>2821</v>
      </c>
      <c r="N104" s="715">
        <v>4119</v>
      </c>
      <c r="O104" s="715">
        <v>5047</v>
      </c>
      <c r="P104" s="715">
        <v>5828</v>
      </c>
      <c r="Q104" s="712">
        <v>8314</v>
      </c>
    </row>
    <row r="105" spans="2:17" x14ac:dyDescent="0.25">
      <c r="B105" s="708">
        <v>180</v>
      </c>
      <c r="C105" s="716">
        <v>2224</v>
      </c>
      <c r="D105" s="715">
        <v>3622</v>
      </c>
      <c r="E105" s="711">
        <v>5163</v>
      </c>
      <c r="F105" s="731"/>
      <c r="G105" s="730"/>
      <c r="K105" s="708">
        <v>180</v>
      </c>
      <c r="L105" s="716">
        <v>1895</v>
      </c>
      <c r="M105" s="715">
        <v>2949</v>
      </c>
      <c r="N105" s="715">
        <v>4218</v>
      </c>
      <c r="O105" s="715">
        <v>5159</v>
      </c>
      <c r="P105" s="715">
        <v>5951</v>
      </c>
      <c r="Q105" s="712">
        <v>8510</v>
      </c>
    </row>
    <row r="106" spans="2:17" x14ac:dyDescent="0.25">
      <c r="B106" s="708">
        <v>185</v>
      </c>
      <c r="C106" s="716">
        <v>2310</v>
      </c>
      <c r="D106" s="715">
        <v>3755</v>
      </c>
      <c r="E106" s="711">
        <v>5337</v>
      </c>
      <c r="F106" s="731"/>
      <c r="G106" s="730"/>
      <c r="K106" s="708">
        <v>185</v>
      </c>
      <c r="L106" s="716">
        <v>1939</v>
      </c>
      <c r="M106" s="715">
        <v>3059</v>
      </c>
      <c r="N106" s="715">
        <v>4317</v>
      </c>
      <c r="O106" s="715">
        <v>5272</v>
      </c>
      <c r="P106" s="711">
        <v>6088</v>
      </c>
      <c r="Q106" s="712">
        <v>8706</v>
      </c>
    </row>
    <row r="107" spans="2:17" x14ac:dyDescent="0.25">
      <c r="B107" s="708">
        <v>190</v>
      </c>
      <c r="C107" s="716">
        <v>2397</v>
      </c>
      <c r="D107" s="715">
        <v>3888</v>
      </c>
      <c r="E107" s="711">
        <v>5512</v>
      </c>
      <c r="F107" s="731"/>
      <c r="G107" s="730"/>
      <c r="K107" s="708">
        <v>190</v>
      </c>
      <c r="L107" s="716">
        <v>1982</v>
      </c>
      <c r="M107" s="715">
        <v>3157</v>
      </c>
      <c r="N107" s="715">
        <v>4416</v>
      </c>
      <c r="O107" s="715">
        <v>5384</v>
      </c>
      <c r="P107" s="711">
        <v>6235</v>
      </c>
      <c r="Q107" s="730"/>
    </row>
    <row r="108" spans="2:17" x14ac:dyDescent="0.25">
      <c r="B108" s="708">
        <v>195</v>
      </c>
      <c r="C108" s="716">
        <v>2483</v>
      </c>
      <c r="D108" s="715">
        <v>4021</v>
      </c>
      <c r="E108" s="711">
        <v>5686</v>
      </c>
      <c r="F108" s="731"/>
      <c r="G108" s="730"/>
      <c r="K108" s="708">
        <v>195</v>
      </c>
      <c r="L108" s="716">
        <v>2038</v>
      </c>
      <c r="M108" s="715">
        <v>3255</v>
      </c>
      <c r="N108" s="715">
        <v>4515</v>
      </c>
      <c r="O108" s="715">
        <v>5496</v>
      </c>
      <c r="P108" s="711">
        <v>6382</v>
      </c>
      <c r="Q108" s="730"/>
    </row>
    <row r="109" spans="2:17" x14ac:dyDescent="0.25">
      <c r="B109" s="708">
        <v>200</v>
      </c>
      <c r="C109" s="716">
        <v>2569</v>
      </c>
      <c r="D109" s="715">
        <v>4154</v>
      </c>
      <c r="E109" s="711">
        <v>5860</v>
      </c>
      <c r="F109" s="731"/>
      <c r="G109" s="730"/>
      <c r="K109" s="708">
        <v>200</v>
      </c>
      <c r="L109" s="716">
        <v>2103</v>
      </c>
      <c r="M109" s="715">
        <v>3353</v>
      </c>
      <c r="N109" s="715">
        <v>4614</v>
      </c>
      <c r="O109" s="715">
        <v>5609</v>
      </c>
      <c r="P109" s="711">
        <v>6529</v>
      </c>
      <c r="Q109" s="730"/>
    </row>
    <row r="110" spans="2:17" x14ac:dyDescent="0.25">
      <c r="B110" s="708">
        <v>205</v>
      </c>
      <c r="C110" s="716">
        <v>2655</v>
      </c>
      <c r="D110" s="715">
        <v>4287</v>
      </c>
      <c r="E110" s="711">
        <v>6035</v>
      </c>
      <c r="F110" s="731"/>
      <c r="G110" s="730"/>
      <c r="K110" s="708">
        <v>205</v>
      </c>
      <c r="L110" s="716">
        <v>2167</v>
      </c>
      <c r="M110" s="715">
        <v>3451</v>
      </c>
      <c r="N110" s="715">
        <v>4713</v>
      </c>
      <c r="O110" s="715">
        <v>5721</v>
      </c>
      <c r="P110" s="711">
        <v>6676</v>
      </c>
      <c r="Q110" s="730"/>
    </row>
    <row r="111" spans="2:17" x14ac:dyDescent="0.25">
      <c r="B111" s="708">
        <v>210</v>
      </c>
      <c r="C111" s="716">
        <v>2741</v>
      </c>
      <c r="D111" s="715">
        <v>4420</v>
      </c>
      <c r="E111" s="711">
        <v>6209</v>
      </c>
      <c r="F111" s="731"/>
      <c r="G111" s="730"/>
      <c r="K111" s="708">
        <v>210</v>
      </c>
      <c r="L111" s="716">
        <v>2231</v>
      </c>
      <c r="M111" s="715">
        <v>3549</v>
      </c>
      <c r="N111" s="715">
        <v>4812</v>
      </c>
      <c r="O111" s="715">
        <v>5834</v>
      </c>
      <c r="P111" s="711">
        <v>6824</v>
      </c>
      <c r="Q111" s="730"/>
    </row>
    <row r="112" spans="2:17" x14ac:dyDescent="0.25">
      <c r="B112" s="708">
        <v>215</v>
      </c>
      <c r="C112" s="716">
        <v>2828</v>
      </c>
      <c r="D112" s="711">
        <v>4541</v>
      </c>
      <c r="E112" s="711">
        <v>6384</v>
      </c>
      <c r="F112" s="731"/>
      <c r="G112" s="730"/>
      <c r="K112" s="708">
        <v>215</v>
      </c>
      <c r="L112" s="716">
        <v>2295</v>
      </c>
      <c r="M112" s="715">
        <v>3647</v>
      </c>
      <c r="N112" s="715">
        <v>4911</v>
      </c>
      <c r="O112" s="715">
        <v>5946</v>
      </c>
      <c r="P112" s="711">
        <v>6971</v>
      </c>
      <c r="Q112" s="730"/>
    </row>
    <row r="113" spans="2:17" x14ac:dyDescent="0.25">
      <c r="B113" s="708">
        <v>220</v>
      </c>
      <c r="C113" s="716">
        <v>2914</v>
      </c>
      <c r="D113" s="711">
        <v>4644</v>
      </c>
      <c r="E113" s="711">
        <v>6558</v>
      </c>
      <c r="F113" s="731"/>
      <c r="G113" s="730"/>
      <c r="K113" s="708">
        <v>220</v>
      </c>
      <c r="L113" s="716">
        <v>2359</v>
      </c>
      <c r="M113" s="715">
        <v>3745</v>
      </c>
      <c r="N113" s="715">
        <v>5010</v>
      </c>
      <c r="O113" s="715">
        <v>6061</v>
      </c>
      <c r="P113" s="711">
        <v>7118</v>
      </c>
      <c r="Q113" s="730"/>
    </row>
    <row r="114" spans="2:17" x14ac:dyDescent="0.25">
      <c r="B114" s="708">
        <v>225</v>
      </c>
      <c r="C114" s="716">
        <v>3000</v>
      </c>
      <c r="D114" s="711">
        <v>4747</v>
      </c>
      <c r="E114" s="731"/>
      <c r="F114" s="731"/>
      <c r="G114" s="62"/>
      <c r="K114" s="708">
        <v>225</v>
      </c>
      <c r="L114" s="716">
        <v>2423</v>
      </c>
      <c r="M114" s="715">
        <v>3843</v>
      </c>
      <c r="N114" s="715">
        <v>5109</v>
      </c>
      <c r="O114" s="715">
        <v>6178</v>
      </c>
      <c r="P114" s="711">
        <v>7265</v>
      </c>
      <c r="Q114" s="730"/>
    </row>
    <row r="115" spans="2:17" x14ac:dyDescent="0.25">
      <c r="B115" s="708">
        <v>230</v>
      </c>
      <c r="C115" s="716">
        <v>3086</v>
      </c>
      <c r="D115" s="711">
        <v>4849</v>
      </c>
      <c r="E115" s="731"/>
      <c r="F115" s="731"/>
      <c r="G115" s="62"/>
      <c r="K115" s="708">
        <v>230</v>
      </c>
      <c r="L115" s="716">
        <v>2487</v>
      </c>
      <c r="M115" s="715">
        <v>3941</v>
      </c>
      <c r="N115" s="715">
        <v>5208</v>
      </c>
      <c r="O115" s="715">
        <v>6295</v>
      </c>
      <c r="P115" s="711">
        <v>7412</v>
      </c>
      <c r="Q115" s="730"/>
    </row>
    <row r="116" spans="2:17" x14ac:dyDescent="0.25">
      <c r="B116" s="708">
        <v>235</v>
      </c>
      <c r="C116" s="716">
        <v>3172</v>
      </c>
      <c r="D116" s="711">
        <v>4952</v>
      </c>
      <c r="E116" s="731"/>
      <c r="F116" s="731"/>
      <c r="G116" s="62"/>
      <c r="K116" s="708">
        <v>235</v>
      </c>
      <c r="L116" s="716">
        <v>2551</v>
      </c>
      <c r="M116" s="715">
        <v>4040</v>
      </c>
      <c r="N116" s="715">
        <v>5307</v>
      </c>
      <c r="O116" s="715">
        <v>6411</v>
      </c>
      <c r="P116" s="711">
        <v>7559</v>
      </c>
      <c r="Q116" s="730"/>
    </row>
    <row r="117" spans="2:17" x14ac:dyDescent="0.25">
      <c r="B117" s="708">
        <v>240</v>
      </c>
      <c r="C117" s="716">
        <v>3259</v>
      </c>
      <c r="D117" s="711">
        <v>5055</v>
      </c>
      <c r="E117" s="731"/>
      <c r="F117" s="731"/>
      <c r="G117" s="62"/>
      <c r="K117" s="708">
        <v>240</v>
      </c>
      <c r="L117" s="716">
        <v>2615</v>
      </c>
      <c r="M117" s="715">
        <v>4140</v>
      </c>
      <c r="N117" s="715">
        <v>5406</v>
      </c>
      <c r="O117" s="715">
        <v>6528</v>
      </c>
      <c r="P117" s="711">
        <v>7706</v>
      </c>
      <c r="Q117" s="730"/>
    </row>
    <row r="118" spans="2:17" x14ac:dyDescent="0.25">
      <c r="B118" s="708">
        <v>245</v>
      </c>
      <c r="C118" s="716">
        <v>3345</v>
      </c>
      <c r="D118" s="711">
        <v>5158</v>
      </c>
      <c r="E118" s="731"/>
      <c r="F118" s="731"/>
      <c r="G118" s="62"/>
      <c r="K118" s="708">
        <v>245</v>
      </c>
      <c r="L118" s="716">
        <v>2679</v>
      </c>
      <c r="M118" s="715">
        <v>4240</v>
      </c>
      <c r="N118" s="715">
        <v>5505</v>
      </c>
      <c r="O118" s="715">
        <v>6645</v>
      </c>
      <c r="P118" s="711">
        <v>7853</v>
      </c>
      <c r="Q118" s="730"/>
    </row>
    <row r="119" spans="2:17" x14ac:dyDescent="0.25">
      <c r="B119" s="708">
        <v>250</v>
      </c>
      <c r="C119" s="716">
        <v>3431</v>
      </c>
      <c r="D119" s="711">
        <v>5260</v>
      </c>
      <c r="E119" s="731"/>
      <c r="F119" s="731"/>
      <c r="G119" s="62"/>
      <c r="K119" s="708">
        <v>250</v>
      </c>
      <c r="L119" s="716">
        <v>2744</v>
      </c>
      <c r="M119" s="715">
        <v>4340</v>
      </c>
      <c r="N119" s="715">
        <v>5604</v>
      </c>
      <c r="O119" s="715">
        <v>6762</v>
      </c>
      <c r="P119" s="711">
        <v>8000</v>
      </c>
      <c r="Q119" s="730"/>
    </row>
    <row r="120" spans="2:17" x14ac:dyDescent="0.25">
      <c r="B120" s="708">
        <v>255</v>
      </c>
      <c r="C120" s="716">
        <v>3517</v>
      </c>
      <c r="D120" s="711">
        <v>5363</v>
      </c>
      <c r="E120" s="731"/>
      <c r="F120" s="731"/>
      <c r="G120" s="62"/>
      <c r="K120" s="708">
        <v>255</v>
      </c>
      <c r="L120" s="716">
        <v>2808</v>
      </c>
      <c r="M120" s="715">
        <v>4440</v>
      </c>
      <c r="N120" s="715">
        <v>5703</v>
      </c>
      <c r="O120" s="715">
        <v>6879</v>
      </c>
      <c r="P120" s="711">
        <v>8147</v>
      </c>
      <c r="Q120" s="730"/>
    </row>
    <row r="121" spans="2:17" x14ac:dyDescent="0.25">
      <c r="B121" s="708">
        <v>260</v>
      </c>
      <c r="C121" s="716">
        <v>3603</v>
      </c>
      <c r="D121" s="711">
        <v>5466</v>
      </c>
      <c r="E121" s="731"/>
      <c r="F121" s="731"/>
      <c r="G121" s="62"/>
      <c r="K121" s="708">
        <v>260</v>
      </c>
      <c r="L121" s="716">
        <v>2872</v>
      </c>
      <c r="M121" s="715">
        <v>4540</v>
      </c>
      <c r="N121" s="715">
        <v>5802</v>
      </c>
      <c r="O121" s="715">
        <v>6995</v>
      </c>
      <c r="P121" s="711">
        <v>8294</v>
      </c>
      <c r="Q121" s="730"/>
    </row>
    <row r="122" spans="2:17" x14ac:dyDescent="0.25">
      <c r="B122" s="708">
        <v>265</v>
      </c>
      <c r="C122" s="716">
        <v>3690</v>
      </c>
      <c r="D122" s="711">
        <v>5568</v>
      </c>
      <c r="E122" s="731"/>
      <c r="F122" s="731"/>
      <c r="G122" s="62"/>
      <c r="K122" s="708">
        <v>265</v>
      </c>
      <c r="L122" s="716">
        <v>2936</v>
      </c>
      <c r="M122" s="715">
        <v>4640</v>
      </c>
      <c r="N122" s="715">
        <v>5901</v>
      </c>
      <c r="O122" s="715">
        <v>7112</v>
      </c>
      <c r="P122" s="711">
        <v>8441</v>
      </c>
      <c r="Q122" s="730"/>
    </row>
    <row r="123" spans="2:17" x14ac:dyDescent="0.25">
      <c r="B123" s="708">
        <v>270</v>
      </c>
      <c r="C123" s="716">
        <v>3776</v>
      </c>
      <c r="D123" s="711">
        <v>5671</v>
      </c>
      <c r="E123" s="731"/>
      <c r="F123" s="731"/>
      <c r="G123" s="62"/>
      <c r="K123" s="708">
        <v>270</v>
      </c>
      <c r="L123" s="716">
        <v>3000</v>
      </c>
      <c r="M123" s="715">
        <v>4740</v>
      </c>
      <c r="N123" s="715">
        <v>6000</v>
      </c>
      <c r="O123" s="715">
        <v>7229</v>
      </c>
      <c r="P123" s="711">
        <v>8588</v>
      </c>
      <c r="Q123" s="730"/>
    </row>
    <row r="124" spans="2:17" x14ac:dyDescent="0.25">
      <c r="B124" s="708">
        <v>275</v>
      </c>
      <c r="C124" s="716">
        <v>3862</v>
      </c>
      <c r="D124" s="711">
        <v>5774</v>
      </c>
      <c r="E124" s="731"/>
      <c r="F124" s="731"/>
      <c r="G124" s="62"/>
      <c r="K124" s="708">
        <v>275</v>
      </c>
      <c r="L124" s="716">
        <v>3116</v>
      </c>
      <c r="M124" s="715">
        <v>4840</v>
      </c>
      <c r="N124" s="715">
        <v>6087</v>
      </c>
      <c r="O124" s="715">
        <v>7346</v>
      </c>
      <c r="P124" s="711">
        <v>8735</v>
      </c>
      <c r="Q124" s="730"/>
    </row>
    <row r="125" spans="2:17" x14ac:dyDescent="0.25">
      <c r="B125" s="708">
        <v>280</v>
      </c>
      <c r="C125" s="716">
        <v>3948</v>
      </c>
      <c r="D125" s="711">
        <v>5877</v>
      </c>
      <c r="E125" s="731"/>
      <c r="F125" s="731"/>
      <c r="G125" s="62"/>
      <c r="K125" s="708">
        <v>280</v>
      </c>
      <c r="L125" s="716">
        <v>3233</v>
      </c>
      <c r="M125" s="715">
        <v>4940</v>
      </c>
      <c r="N125" s="715">
        <v>6174</v>
      </c>
      <c r="O125" s="711">
        <v>7463</v>
      </c>
      <c r="Q125" s="62"/>
    </row>
    <row r="126" spans="2:17" x14ac:dyDescent="0.25">
      <c r="B126" s="708">
        <v>285</v>
      </c>
      <c r="C126" s="716">
        <v>4034</v>
      </c>
      <c r="D126" s="711">
        <v>5979</v>
      </c>
      <c r="E126" s="731"/>
      <c r="F126" s="731"/>
      <c r="G126" s="62"/>
      <c r="K126" s="708">
        <v>285</v>
      </c>
      <c r="L126" s="716">
        <v>3349</v>
      </c>
      <c r="M126" s="715">
        <v>5040</v>
      </c>
      <c r="N126" s="715">
        <v>6261</v>
      </c>
      <c r="O126" s="711">
        <v>7579</v>
      </c>
      <c r="Q126" s="62"/>
    </row>
    <row r="127" spans="2:17" x14ac:dyDescent="0.25">
      <c r="B127" s="708">
        <v>290</v>
      </c>
      <c r="C127" s="716">
        <v>4121</v>
      </c>
      <c r="D127" s="711">
        <v>6082</v>
      </c>
      <c r="E127" s="731"/>
      <c r="F127" s="731"/>
      <c r="G127" s="62"/>
      <c r="K127" s="708">
        <v>290</v>
      </c>
      <c r="L127" s="716">
        <v>3465</v>
      </c>
      <c r="M127" s="715">
        <v>5140</v>
      </c>
      <c r="N127" s="715">
        <v>6348</v>
      </c>
      <c r="O127" s="711">
        <v>7696</v>
      </c>
      <c r="Q127" s="62"/>
    </row>
    <row r="128" spans="2:17" x14ac:dyDescent="0.25">
      <c r="B128" s="708">
        <v>295</v>
      </c>
      <c r="C128" s="716">
        <v>4207</v>
      </c>
      <c r="D128" s="711">
        <v>6185</v>
      </c>
      <c r="E128" s="731"/>
      <c r="F128" s="731"/>
      <c r="G128" s="62"/>
      <c r="K128" s="708">
        <v>295</v>
      </c>
      <c r="L128" s="716">
        <v>3581</v>
      </c>
      <c r="M128" s="715">
        <v>5240</v>
      </c>
      <c r="N128" s="715">
        <v>6435</v>
      </c>
      <c r="O128" s="711">
        <v>7813</v>
      </c>
      <c r="Q128" s="62"/>
    </row>
    <row r="129" spans="1:19" x14ac:dyDescent="0.25">
      <c r="B129" s="708">
        <v>300</v>
      </c>
      <c r="C129" s="716">
        <v>4293</v>
      </c>
      <c r="D129" s="711">
        <v>6288</v>
      </c>
      <c r="E129" s="731"/>
      <c r="F129" s="731"/>
      <c r="G129" s="62"/>
      <c r="K129" s="708">
        <v>300</v>
      </c>
      <c r="L129" s="716">
        <v>3698</v>
      </c>
      <c r="M129" s="715">
        <v>5340</v>
      </c>
      <c r="N129" s="715">
        <v>6522</v>
      </c>
      <c r="O129" s="711">
        <v>7930</v>
      </c>
      <c r="Q129" s="62"/>
    </row>
    <row r="130" spans="1:19" x14ac:dyDescent="0.25">
      <c r="B130" s="708">
        <v>305</v>
      </c>
      <c r="C130" s="716">
        <v>4379</v>
      </c>
      <c r="D130" s="711">
        <v>6390</v>
      </c>
      <c r="E130" s="731"/>
      <c r="F130" s="731"/>
      <c r="G130" s="62"/>
      <c r="K130" s="708">
        <v>305</v>
      </c>
      <c r="L130" s="716">
        <v>3814</v>
      </c>
      <c r="M130" s="715">
        <v>5440</v>
      </c>
      <c r="N130" s="715">
        <v>6609</v>
      </c>
      <c r="O130" s="711">
        <v>8047</v>
      </c>
      <c r="Q130" s="62"/>
    </row>
    <row r="131" spans="1:19" x14ac:dyDescent="0.25">
      <c r="B131" s="708">
        <v>310</v>
      </c>
      <c r="C131" s="716">
        <v>4466</v>
      </c>
      <c r="D131" s="711">
        <v>6493</v>
      </c>
      <c r="E131" s="731"/>
      <c r="F131" s="731"/>
      <c r="G131" s="62"/>
      <c r="K131" s="708">
        <v>310</v>
      </c>
      <c r="L131" s="716">
        <v>3930</v>
      </c>
      <c r="M131" s="715">
        <v>5540</v>
      </c>
      <c r="N131" s="715">
        <v>6696</v>
      </c>
      <c r="O131" s="711">
        <v>8164</v>
      </c>
      <c r="Q131" s="62"/>
    </row>
    <row r="132" spans="1:19" x14ac:dyDescent="0.25">
      <c r="B132" s="708">
        <v>315</v>
      </c>
      <c r="C132" s="717">
        <v>4551</v>
      </c>
      <c r="D132" s="711">
        <v>6596</v>
      </c>
      <c r="E132" s="731"/>
      <c r="F132" s="731"/>
      <c r="G132" s="62"/>
      <c r="K132" s="708">
        <v>315</v>
      </c>
      <c r="L132" s="716">
        <v>4033</v>
      </c>
      <c r="M132" s="715">
        <v>5640</v>
      </c>
      <c r="N132" s="715">
        <v>6783</v>
      </c>
      <c r="O132" s="711">
        <v>8280</v>
      </c>
      <c r="Q132" s="62"/>
    </row>
    <row r="133" spans="1:19" x14ac:dyDescent="0.25">
      <c r="B133" s="708">
        <v>320</v>
      </c>
      <c r="C133" s="717">
        <v>4636</v>
      </c>
      <c r="D133" s="731"/>
      <c r="E133" s="731"/>
      <c r="F133" s="731"/>
      <c r="G133" s="62"/>
      <c r="K133" s="708">
        <v>320</v>
      </c>
      <c r="L133" s="716">
        <v>4115</v>
      </c>
      <c r="M133" s="715">
        <v>5740</v>
      </c>
      <c r="N133" s="715">
        <v>6870</v>
      </c>
      <c r="O133" s="711">
        <v>8397</v>
      </c>
      <c r="Q133" s="62"/>
    </row>
    <row r="134" spans="1:19" ht="15.75" thickBot="1" x14ac:dyDescent="0.3">
      <c r="B134" s="708">
        <v>325</v>
      </c>
      <c r="C134" s="717">
        <v>4722</v>
      </c>
      <c r="D134" s="731"/>
      <c r="E134" s="731"/>
      <c r="F134" s="731"/>
      <c r="G134" s="62"/>
      <c r="K134" s="718">
        <v>325</v>
      </c>
      <c r="L134" s="719">
        <v>4197</v>
      </c>
      <c r="M134" s="720">
        <v>5840</v>
      </c>
      <c r="N134" s="720">
        <v>6957</v>
      </c>
      <c r="O134" s="721">
        <v>8514</v>
      </c>
      <c r="P134" s="137"/>
      <c r="Q134" s="63"/>
    </row>
    <row r="135" spans="1:19" ht="15.75" thickBot="1" x14ac:dyDescent="0.3">
      <c r="B135" s="718">
        <v>330</v>
      </c>
      <c r="C135" s="722">
        <v>4807</v>
      </c>
      <c r="D135" s="732"/>
      <c r="E135" s="732"/>
      <c r="F135" s="732"/>
      <c r="G135" s="63"/>
    </row>
    <row r="137" spans="1:19" ht="15.75" thickBot="1" x14ac:dyDescent="0.3">
      <c r="A137" s="723"/>
      <c r="B137" s="723"/>
      <c r="C137" s="723"/>
      <c r="D137" s="723"/>
      <c r="E137" s="723"/>
      <c r="F137" s="723"/>
      <c r="G137" s="723"/>
      <c r="H137" s="723"/>
      <c r="I137" s="723"/>
      <c r="J137" s="723"/>
      <c r="K137" s="723"/>
      <c r="L137" s="723"/>
      <c r="M137" s="723"/>
      <c r="N137" s="723"/>
      <c r="O137" s="723"/>
      <c r="P137" s="723"/>
      <c r="Q137" s="723"/>
      <c r="R137" s="723"/>
      <c r="S137" s="723"/>
    </row>
    <row r="138" spans="1:19" ht="15.75" thickTop="1" x14ac:dyDescent="0.25"/>
    <row r="139" spans="1:19" ht="15.75" thickBot="1" x14ac:dyDescent="0.3"/>
    <row r="140" spans="1:19" x14ac:dyDescent="0.25">
      <c r="B140" s="1094" t="s">
        <v>79</v>
      </c>
      <c r="C140" s="1096" t="s">
        <v>478</v>
      </c>
      <c r="D140" s="1090"/>
      <c r="E140" s="1090"/>
      <c r="F140" s="1090"/>
      <c r="G140" s="1090"/>
      <c r="H140" s="1091"/>
    </row>
    <row r="141" spans="1:19" ht="15.75" thickBot="1" x14ac:dyDescent="0.3">
      <c r="B141" s="1095"/>
      <c r="C141" s="699">
        <v>60</v>
      </c>
      <c r="D141" s="698">
        <v>75</v>
      </c>
      <c r="E141" s="698">
        <v>90</v>
      </c>
      <c r="F141" s="51">
        <v>105</v>
      </c>
      <c r="G141" s="51">
        <v>120</v>
      </c>
      <c r="H141" s="51">
        <v>150</v>
      </c>
    </row>
    <row r="142" spans="1:19" x14ac:dyDescent="0.25">
      <c r="B142" s="733">
        <v>25</v>
      </c>
      <c r="C142" s="734">
        <v>932</v>
      </c>
      <c r="D142" s="728">
        <v>1000</v>
      </c>
      <c r="E142" s="728">
        <v>1946</v>
      </c>
      <c r="F142" s="728">
        <v>2333</v>
      </c>
      <c r="G142" s="728">
        <v>3000</v>
      </c>
      <c r="H142" s="729">
        <v>8000</v>
      </c>
    </row>
    <row r="143" spans="1:19" x14ac:dyDescent="0.25">
      <c r="B143" s="735">
        <v>30</v>
      </c>
      <c r="C143" s="735">
        <v>932</v>
      </c>
      <c r="D143" s="715">
        <v>1000</v>
      </c>
      <c r="E143" s="715">
        <v>1946</v>
      </c>
      <c r="F143" s="715">
        <v>2333</v>
      </c>
      <c r="G143" s="715">
        <v>3000</v>
      </c>
      <c r="H143" s="712">
        <v>8000</v>
      </c>
    </row>
    <row r="144" spans="1:19" x14ac:dyDescent="0.25">
      <c r="B144" s="735">
        <v>35</v>
      </c>
      <c r="C144" s="735">
        <v>932</v>
      </c>
      <c r="D144" s="715">
        <v>1000</v>
      </c>
      <c r="E144" s="715">
        <v>1946</v>
      </c>
      <c r="F144" s="715">
        <v>2333</v>
      </c>
      <c r="G144" s="715">
        <v>3000</v>
      </c>
      <c r="H144" s="712">
        <v>8000</v>
      </c>
    </row>
    <row r="145" spans="2:8" x14ac:dyDescent="0.25">
      <c r="B145" s="735">
        <v>40</v>
      </c>
      <c r="C145" s="735">
        <v>932</v>
      </c>
      <c r="D145" s="715">
        <v>1000</v>
      </c>
      <c r="E145" s="715">
        <v>1946</v>
      </c>
      <c r="F145" s="715">
        <v>2333</v>
      </c>
      <c r="G145" s="715">
        <v>3000</v>
      </c>
      <c r="H145" s="712">
        <v>8000</v>
      </c>
    </row>
    <row r="146" spans="2:8" x14ac:dyDescent="0.25">
      <c r="B146" s="735">
        <v>45</v>
      </c>
      <c r="C146" s="735">
        <v>932</v>
      </c>
      <c r="D146" s="715">
        <v>1000</v>
      </c>
      <c r="E146" s="715">
        <v>1946</v>
      </c>
      <c r="F146" s="715">
        <v>2333</v>
      </c>
      <c r="G146" s="715">
        <v>3000</v>
      </c>
      <c r="H146" s="712">
        <v>8000</v>
      </c>
    </row>
    <row r="147" spans="2:8" x14ac:dyDescent="0.25">
      <c r="B147" s="735">
        <v>50</v>
      </c>
      <c r="C147" s="735">
        <v>932</v>
      </c>
      <c r="D147" s="715">
        <v>1057</v>
      </c>
      <c r="E147" s="715">
        <v>1946</v>
      </c>
      <c r="F147" s="715">
        <v>2333</v>
      </c>
      <c r="G147" s="715">
        <v>3000</v>
      </c>
      <c r="H147" s="712">
        <v>8000</v>
      </c>
    </row>
    <row r="148" spans="2:8" x14ac:dyDescent="0.25">
      <c r="B148" s="735">
        <v>55</v>
      </c>
      <c r="C148" s="735">
        <v>932</v>
      </c>
      <c r="D148" s="715">
        <v>1200</v>
      </c>
      <c r="E148" s="715">
        <v>1946</v>
      </c>
      <c r="F148" s="715">
        <v>2518</v>
      </c>
      <c r="G148" s="715">
        <v>3050</v>
      </c>
      <c r="H148" s="712">
        <v>8000</v>
      </c>
    </row>
    <row r="149" spans="2:8" x14ac:dyDescent="0.25">
      <c r="B149" s="735">
        <v>60</v>
      </c>
      <c r="C149" s="735">
        <v>951</v>
      </c>
      <c r="D149" s="715">
        <v>1343</v>
      </c>
      <c r="E149" s="715">
        <v>2081</v>
      </c>
      <c r="F149" s="715">
        <v>2703</v>
      </c>
      <c r="G149" s="715">
        <v>3300</v>
      </c>
      <c r="H149" s="712">
        <v>8000</v>
      </c>
    </row>
    <row r="150" spans="2:8" x14ac:dyDescent="0.25">
      <c r="B150" s="735">
        <v>65</v>
      </c>
      <c r="C150" s="735">
        <v>951</v>
      </c>
      <c r="D150" s="715">
        <v>1486</v>
      </c>
      <c r="E150" s="715">
        <v>2216</v>
      </c>
      <c r="F150" s="715">
        <v>2889</v>
      </c>
      <c r="G150" s="715">
        <v>3550</v>
      </c>
      <c r="H150" s="712">
        <v>8000</v>
      </c>
    </row>
    <row r="151" spans="2:8" x14ac:dyDescent="0.25">
      <c r="B151" s="735">
        <v>70</v>
      </c>
      <c r="C151" s="735">
        <v>951</v>
      </c>
      <c r="D151" s="715">
        <v>1629</v>
      </c>
      <c r="E151" s="715">
        <v>2351</v>
      </c>
      <c r="F151" s="715">
        <v>3052</v>
      </c>
      <c r="G151" s="715">
        <v>3800</v>
      </c>
      <c r="H151" s="712">
        <v>8000</v>
      </c>
    </row>
    <row r="152" spans="2:8" x14ac:dyDescent="0.25">
      <c r="B152" s="735">
        <v>75</v>
      </c>
      <c r="C152" s="735">
        <v>951</v>
      </c>
      <c r="D152" s="715">
        <v>1771</v>
      </c>
      <c r="E152" s="715">
        <v>2486</v>
      </c>
      <c r="F152" s="715">
        <v>3183</v>
      </c>
      <c r="G152" s="711">
        <v>4050</v>
      </c>
      <c r="H152" s="730"/>
    </row>
    <row r="153" spans="2:8" x14ac:dyDescent="0.25">
      <c r="B153" s="735">
        <v>80</v>
      </c>
      <c r="C153" s="736">
        <v>1033</v>
      </c>
      <c r="D153" s="715">
        <v>1914</v>
      </c>
      <c r="E153" s="715">
        <v>2622</v>
      </c>
      <c r="F153" s="715">
        <v>3313</v>
      </c>
      <c r="G153" s="711">
        <v>4300</v>
      </c>
      <c r="H153" s="730"/>
    </row>
    <row r="154" spans="2:8" x14ac:dyDescent="0.25">
      <c r="B154" s="735">
        <v>85</v>
      </c>
      <c r="C154" s="736">
        <v>1115</v>
      </c>
      <c r="D154" s="715">
        <v>2031</v>
      </c>
      <c r="E154" s="715">
        <v>2757</v>
      </c>
      <c r="F154" s="715">
        <v>3443</v>
      </c>
      <c r="G154" s="711">
        <v>4550</v>
      </c>
      <c r="H154" s="730"/>
    </row>
    <row r="155" spans="2:8" x14ac:dyDescent="0.25">
      <c r="B155" s="735">
        <v>90</v>
      </c>
      <c r="C155" s="736">
        <v>1197</v>
      </c>
      <c r="D155" s="715">
        <v>2109</v>
      </c>
      <c r="E155" s="715">
        <v>2892</v>
      </c>
      <c r="F155" s="715">
        <v>3574</v>
      </c>
      <c r="G155" s="711">
        <v>4800</v>
      </c>
      <c r="H155" s="730"/>
    </row>
    <row r="156" spans="2:8" x14ac:dyDescent="0.25">
      <c r="B156" s="735">
        <v>95</v>
      </c>
      <c r="C156" s="736">
        <v>1279</v>
      </c>
      <c r="D156" s="715">
        <v>2188</v>
      </c>
      <c r="E156" s="715">
        <v>3018</v>
      </c>
      <c r="F156" s="715">
        <v>3704</v>
      </c>
      <c r="G156" s="711">
        <v>5050</v>
      </c>
      <c r="H156" s="730"/>
    </row>
    <row r="157" spans="2:8" x14ac:dyDescent="0.25">
      <c r="B157" s="735">
        <v>100</v>
      </c>
      <c r="C157" s="736">
        <v>1361</v>
      </c>
      <c r="D157" s="715">
        <v>2266</v>
      </c>
      <c r="E157" s="715">
        <v>3107</v>
      </c>
      <c r="F157" s="715">
        <v>3835</v>
      </c>
      <c r="G157" s="711">
        <v>5300</v>
      </c>
      <c r="H157" s="730"/>
    </row>
    <row r="158" spans="2:8" x14ac:dyDescent="0.25">
      <c r="B158" s="735">
        <v>105</v>
      </c>
      <c r="C158" s="736">
        <v>1443</v>
      </c>
      <c r="D158" s="715">
        <v>2344</v>
      </c>
      <c r="E158" s="715">
        <v>3197</v>
      </c>
      <c r="F158" s="715">
        <v>3965</v>
      </c>
      <c r="G158" s="711">
        <v>5524</v>
      </c>
      <c r="H158" s="730"/>
    </row>
    <row r="159" spans="2:8" x14ac:dyDescent="0.25">
      <c r="B159" s="735">
        <v>110</v>
      </c>
      <c r="C159" s="736">
        <v>1525</v>
      </c>
      <c r="D159" s="715">
        <v>2422</v>
      </c>
      <c r="E159" s="715">
        <v>3287</v>
      </c>
      <c r="F159" s="715">
        <v>4096</v>
      </c>
      <c r="G159" s="711">
        <v>5644</v>
      </c>
      <c r="H159" s="730"/>
    </row>
    <row r="160" spans="2:8" x14ac:dyDescent="0.25">
      <c r="B160" s="735">
        <v>115</v>
      </c>
      <c r="C160" s="736">
        <v>1607</v>
      </c>
      <c r="D160" s="715">
        <v>2500</v>
      </c>
      <c r="E160" s="715">
        <v>3376</v>
      </c>
      <c r="F160" s="715">
        <v>4217</v>
      </c>
      <c r="G160" s="711">
        <v>5764</v>
      </c>
      <c r="H160" s="730"/>
    </row>
    <row r="161" spans="2:8" x14ac:dyDescent="0.25">
      <c r="B161" s="735">
        <v>120</v>
      </c>
      <c r="C161" s="736">
        <v>1689</v>
      </c>
      <c r="D161" s="715">
        <v>2578</v>
      </c>
      <c r="E161" s="715">
        <v>3466</v>
      </c>
      <c r="F161" s="715">
        <v>4300</v>
      </c>
      <c r="G161" s="711">
        <v>5885</v>
      </c>
      <c r="H161" s="730"/>
    </row>
    <row r="162" spans="2:8" x14ac:dyDescent="0.25">
      <c r="B162" s="735">
        <v>125</v>
      </c>
      <c r="C162" s="736">
        <v>1770</v>
      </c>
      <c r="D162" s="715">
        <v>2656</v>
      </c>
      <c r="E162" s="715">
        <v>3555</v>
      </c>
      <c r="F162" s="715">
        <v>4383</v>
      </c>
      <c r="G162" s="711">
        <v>6005</v>
      </c>
      <c r="H162" s="730"/>
    </row>
    <row r="163" spans="2:8" x14ac:dyDescent="0.25">
      <c r="B163" s="735">
        <v>130</v>
      </c>
      <c r="C163" s="736">
        <v>1852</v>
      </c>
      <c r="D163" s="715">
        <v>2734</v>
      </c>
      <c r="E163" s="715">
        <v>3645</v>
      </c>
      <c r="F163" s="715">
        <v>4467</v>
      </c>
      <c r="G163" s="711">
        <v>6125</v>
      </c>
      <c r="H163" s="730"/>
    </row>
    <row r="164" spans="2:8" x14ac:dyDescent="0.25">
      <c r="B164" s="735">
        <v>135</v>
      </c>
      <c r="C164" s="736">
        <v>1934</v>
      </c>
      <c r="D164" s="715">
        <v>2813</v>
      </c>
      <c r="E164" s="715">
        <v>3734</v>
      </c>
      <c r="F164" s="715">
        <v>4550</v>
      </c>
      <c r="G164" s="711">
        <v>6245</v>
      </c>
      <c r="H164" s="730"/>
    </row>
    <row r="165" spans="2:8" x14ac:dyDescent="0.25">
      <c r="B165" s="735">
        <v>140</v>
      </c>
      <c r="C165" s="736">
        <v>2007</v>
      </c>
      <c r="D165" s="715">
        <v>2891</v>
      </c>
      <c r="E165" s="715">
        <v>3824</v>
      </c>
      <c r="F165" s="715">
        <v>4633</v>
      </c>
      <c r="G165" s="711">
        <v>6365</v>
      </c>
      <c r="H165" s="730"/>
    </row>
    <row r="166" spans="2:8" x14ac:dyDescent="0.25">
      <c r="B166" s="735">
        <v>145</v>
      </c>
      <c r="C166" s="736">
        <v>2043</v>
      </c>
      <c r="D166" s="715">
        <v>2969</v>
      </c>
      <c r="E166" s="715">
        <v>3913</v>
      </c>
      <c r="F166" s="715">
        <v>4717</v>
      </c>
      <c r="G166" s="711">
        <v>6486</v>
      </c>
      <c r="H166" s="730"/>
    </row>
    <row r="167" spans="2:8" x14ac:dyDescent="0.25">
      <c r="B167" s="735">
        <v>150</v>
      </c>
      <c r="C167" s="736">
        <v>2079</v>
      </c>
      <c r="D167" s="715">
        <v>3031</v>
      </c>
      <c r="E167" s="715">
        <v>4003</v>
      </c>
      <c r="F167" s="715">
        <v>4800</v>
      </c>
      <c r="G167" s="711">
        <v>6606</v>
      </c>
      <c r="H167" s="730"/>
    </row>
    <row r="168" spans="2:8" x14ac:dyDescent="0.25">
      <c r="B168" s="735">
        <v>155</v>
      </c>
      <c r="C168" s="736">
        <v>2115</v>
      </c>
      <c r="D168" s="715">
        <v>3083</v>
      </c>
      <c r="E168" s="715">
        <v>4093</v>
      </c>
      <c r="F168" s="715">
        <v>4883</v>
      </c>
      <c r="G168" s="711">
        <v>6726</v>
      </c>
      <c r="H168" s="730"/>
    </row>
    <row r="169" spans="2:8" x14ac:dyDescent="0.25">
      <c r="B169" s="735">
        <v>160</v>
      </c>
      <c r="C169" s="736">
        <v>2151</v>
      </c>
      <c r="D169" s="715">
        <v>3134</v>
      </c>
      <c r="E169" s="715">
        <v>4182</v>
      </c>
      <c r="F169" s="715">
        <v>4967</v>
      </c>
      <c r="G169" s="711">
        <v>6846</v>
      </c>
      <c r="H169" s="730"/>
    </row>
    <row r="170" spans="2:8" x14ac:dyDescent="0.25">
      <c r="B170" s="735">
        <v>165</v>
      </c>
      <c r="C170" s="736">
        <v>2187</v>
      </c>
      <c r="D170" s="715">
        <v>3186</v>
      </c>
      <c r="E170" s="715">
        <v>4227</v>
      </c>
      <c r="F170" s="715">
        <v>5050</v>
      </c>
      <c r="G170" s="711">
        <v>6966</v>
      </c>
      <c r="H170" s="730"/>
    </row>
    <row r="171" spans="2:8" x14ac:dyDescent="0.25">
      <c r="B171" s="735">
        <v>170</v>
      </c>
      <c r="C171" s="736">
        <v>2223</v>
      </c>
      <c r="D171" s="715">
        <v>3238</v>
      </c>
      <c r="E171" s="715">
        <v>4260</v>
      </c>
      <c r="F171" s="715">
        <v>5133</v>
      </c>
      <c r="G171" s="711">
        <v>7087</v>
      </c>
      <c r="H171" s="730"/>
    </row>
    <row r="172" spans="2:8" x14ac:dyDescent="0.25">
      <c r="B172" s="735">
        <v>175</v>
      </c>
      <c r="C172" s="736">
        <v>2259</v>
      </c>
      <c r="D172" s="715">
        <v>3290</v>
      </c>
      <c r="E172" s="715">
        <v>4293</v>
      </c>
      <c r="F172" s="715">
        <v>5217</v>
      </c>
      <c r="G172" s="711">
        <v>7207</v>
      </c>
      <c r="H172" s="730"/>
    </row>
    <row r="173" spans="2:8" x14ac:dyDescent="0.25">
      <c r="B173" s="735">
        <v>180</v>
      </c>
      <c r="C173" s="736">
        <v>2295</v>
      </c>
      <c r="D173" s="715">
        <v>3341</v>
      </c>
      <c r="E173" s="715">
        <v>4326</v>
      </c>
      <c r="F173" s="715">
        <v>5300</v>
      </c>
      <c r="G173" s="711">
        <v>7327</v>
      </c>
      <c r="H173" s="730"/>
    </row>
    <row r="174" spans="2:8" x14ac:dyDescent="0.25">
      <c r="B174" s="735">
        <v>185</v>
      </c>
      <c r="C174" s="736">
        <v>2331</v>
      </c>
      <c r="D174" s="715">
        <v>3393</v>
      </c>
      <c r="E174" s="715">
        <v>4359</v>
      </c>
      <c r="F174" s="715">
        <v>5383</v>
      </c>
      <c r="G174" s="711">
        <v>7447</v>
      </c>
      <c r="H174" s="730"/>
    </row>
    <row r="175" spans="2:8" x14ac:dyDescent="0.25">
      <c r="B175" s="735">
        <v>190</v>
      </c>
      <c r="C175" s="736">
        <v>2367</v>
      </c>
      <c r="D175" s="715">
        <v>3445</v>
      </c>
      <c r="E175" s="715">
        <v>4392</v>
      </c>
      <c r="F175" s="715">
        <v>5467</v>
      </c>
      <c r="G175" s="711">
        <v>7567</v>
      </c>
      <c r="H175" s="730"/>
    </row>
    <row r="176" spans="2:8" x14ac:dyDescent="0.25">
      <c r="B176" s="735">
        <v>195</v>
      </c>
      <c r="C176" s="736">
        <v>2403</v>
      </c>
      <c r="D176" s="715">
        <v>3497</v>
      </c>
      <c r="E176" s="715">
        <v>4426</v>
      </c>
      <c r="F176" s="715">
        <v>5529</v>
      </c>
      <c r="G176" s="711">
        <v>7688</v>
      </c>
      <c r="H176" s="730"/>
    </row>
    <row r="177" spans="2:8" x14ac:dyDescent="0.25">
      <c r="B177" s="735">
        <v>200</v>
      </c>
      <c r="C177" s="736">
        <v>2439</v>
      </c>
      <c r="D177" s="715">
        <v>3548</v>
      </c>
      <c r="E177" s="715">
        <v>4459</v>
      </c>
      <c r="F177" s="715">
        <v>5576</v>
      </c>
      <c r="G177" s="711">
        <v>7808</v>
      </c>
      <c r="H177" s="730"/>
    </row>
    <row r="178" spans="2:8" x14ac:dyDescent="0.25">
      <c r="B178" s="735">
        <v>205</v>
      </c>
      <c r="C178" s="736">
        <v>2475</v>
      </c>
      <c r="D178" s="715">
        <v>3600</v>
      </c>
      <c r="E178" s="715">
        <v>4492</v>
      </c>
      <c r="F178" s="715">
        <v>5624</v>
      </c>
      <c r="G178" s="711">
        <v>7928</v>
      </c>
      <c r="H178" s="730"/>
    </row>
    <row r="179" spans="2:8" x14ac:dyDescent="0.25">
      <c r="B179" s="735">
        <v>210</v>
      </c>
      <c r="C179" s="736">
        <v>2511</v>
      </c>
      <c r="D179" s="715">
        <v>3652</v>
      </c>
      <c r="E179" s="715">
        <v>4525</v>
      </c>
      <c r="F179" s="715">
        <v>5672</v>
      </c>
      <c r="G179" s="711">
        <v>8048</v>
      </c>
      <c r="H179" s="730"/>
    </row>
    <row r="180" spans="2:8" x14ac:dyDescent="0.25">
      <c r="B180" s="735">
        <v>215</v>
      </c>
      <c r="C180" s="736">
        <v>2547</v>
      </c>
      <c r="D180" s="715">
        <v>3703</v>
      </c>
      <c r="E180" s="715">
        <v>4558</v>
      </c>
      <c r="F180" s="715">
        <v>5719</v>
      </c>
      <c r="G180" s="711">
        <v>8168</v>
      </c>
      <c r="H180" s="730"/>
    </row>
    <row r="181" spans="2:8" x14ac:dyDescent="0.25">
      <c r="B181" s="735">
        <v>220</v>
      </c>
      <c r="C181" s="736">
        <v>2583</v>
      </c>
      <c r="D181" s="715">
        <v>3755</v>
      </c>
      <c r="E181" s="715">
        <v>4591</v>
      </c>
      <c r="F181" s="715">
        <v>5767</v>
      </c>
      <c r="G181" s="711">
        <v>8288</v>
      </c>
      <c r="H181" s="730"/>
    </row>
    <row r="182" spans="2:8" x14ac:dyDescent="0.25">
      <c r="B182" s="735">
        <v>225</v>
      </c>
      <c r="C182" s="736">
        <v>2619</v>
      </c>
      <c r="D182" s="715">
        <v>3807</v>
      </c>
      <c r="E182" s="715">
        <v>4624</v>
      </c>
      <c r="F182" s="715">
        <v>5815</v>
      </c>
      <c r="G182" s="711">
        <v>8409</v>
      </c>
      <c r="H182" s="730"/>
    </row>
    <row r="183" spans="2:8" x14ac:dyDescent="0.25">
      <c r="B183" s="735">
        <v>230</v>
      </c>
      <c r="C183" s="736">
        <v>2655</v>
      </c>
      <c r="D183" s="715">
        <v>3859</v>
      </c>
      <c r="E183" s="715">
        <v>4658</v>
      </c>
      <c r="F183" s="711">
        <v>5863</v>
      </c>
      <c r="H183" s="62"/>
    </row>
    <row r="184" spans="2:8" x14ac:dyDescent="0.25">
      <c r="B184" s="735">
        <v>235</v>
      </c>
      <c r="C184" s="736">
        <v>2691</v>
      </c>
      <c r="D184" s="715">
        <v>3910</v>
      </c>
      <c r="E184" s="715">
        <v>4691</v>
      </c>
      <c r="F184" s="711">
        <v>5910</v>
      </c>
      <c r="H184" s="62"/>
    </row>
    <row r="185" spans="2:8" x14ac:dyDescent="0.25">
      <c r="B185" s="735">
        <v>240</v>
      </c>
      <c r="C185" s="736">
        <v>2727</v>
      </c>
      <c r="D185" s="715">
        <v>3962</v>
      </c>
      <c r="E185" s="715">
        <v>4724</v>
      </c>
      <c r="F185" s="711">
        <v>5958</v>
      </c>
      <c r="H185" s="62"/>
    </row>
    <row r="186" spans="2:8" x14ac:dyDescent="0.25">
      <c r="B186" s="735">
        <v>245</v>
      </c>
      <c r="C186" s="736">
        <v>2763</v>
      </c>
      <c r="D186" s="715">
        <v>4014</v>
      </c>
      <c r="E186" s="715">
        <v>4757</v>
      </c>
      <c r="F186" s="711">
        <v>6006</v>
      </c>
      <c r="H186" s="62"/>
    </row>
    <row r="187" spans="2:8" x14ac:dyDescent="0.25">
      <c r="B187" s="735">
        <v>250</v>
      </c>
      <c r="C187" s="736">
        <v>2799</v>
      </c>
      <c r="D187" s="715">
        <v>4066</v>
      </c>
      <c r="E187" s="715">
        <v>4790</v>
      </c>
      <c r="F187" s="711">
        <v>6053</v>
      </c>
      <c r="H187" s="62"/>
    </row>
    <row r="188" spans="2:8" x14ac:dyDescent="0.25">
      <c r="B188" s="735">
        <v>255</v>
      </c>
      <c r="C188" s="736">
        <v>2835</v>
      </c>
      <c r="D188" s="715">
        <v>4117</v>
      </c>
      <c r="E188" s="715">
        <v>4823</v>
      </c>
      <c r="F188" s="711">
        <v>6101</v>
      </c>
      <c r="H188" s="62"/>
    </row>
    <row r="189" spans="2:8" x14ac:dyDescent="0.25">
      <c r="B189" s="735">
        <v>260</v>
      </c>
      <c r="C189" s="736">
        <v>2871</v>
      </c>
      <c r="D189" s="715">
        <v>4169</v>
      </c>
      <c r="E189" s="715">
        <v>4857</v>
      </c>
      <c r="F189" s="711">
        <v>6149</v>
      </c>
      <c r="H189" s="62"/>
    </row>
    <row r="190" spans="2:8" x14ac:dyDescent="0.25">
      <c r="B190" s="735">
        <v>265</v>
      </c>
      <c r="C190" s="736">
        <v>2906</v>
      </c>
      <c r="D190" s="715">
        <v>4209</v>
      </c>
      <c r="E190" s="715">
        <v>4890</v>
      </c>
      <c r="F190" s="711">
        <v>6197</v>
      </c>
      <c r="H190" s="62"/>
    </row>
    <row r="191" spans="2:8" x14ac:dyDescent="0.25">
      <c r="B191" s="735">
        <v>270</v>
      </c>
      <c r="C191" s="736">
        <v>2942</v>
      </c>
      <c r="D191" s="715">
        <v>4231</v>
      </c>
      <c r="E191" s="715">
        <v>4923</v>
      </c>
      <c r="F191" s="711">
        <v>6244</v>
      </c>
      <c r="H191" s="62"/>
    </row>
    <row r="192" spans="2:8" x14ac:dyDescent="0.25">
      <c r="B192" s="735">
        <v>275</v>
      </c>
      <c r="C192" s="736">
        <v>2978</v>
      </c>
      <c r="D192" s="715">
        <v>4253</v>
      </c>
      <c r="E192" s="715">
        <v>4956</v>
      </c>
      <c r="F192" s="711">
        <v>6292</v>
      </c>
      <c r="H192" s="62"/>
    </row>
    <row r="193" spans="2:8" x14ac:dyDescent="0.25">
      <c r="B193" s="735">
        <v>280</v>
      </c>
      <c r="C193" s="736">
        <v>3014</v>
      </c>
      <c r="D193" s="715">
        <v>4276</v>
      </c>
      <c r="E193" s="715">
        <v>4989</v>
      </c>
      <c r="F193" s="711">
        <v>6340</v>
      </c>
      <c r="H193" s="62"/>
    </row>
    <row r="194" spans="2:8" x14ac:dyDescent="0.25">
      <c r="B194" s="735">
        <v>285</v>
      </c>
      <c r="C194" s="736">
        <v>3048</v>
      </c>
      <c r="D194" s="715">
        <v>4298</v>
      </c>
      <c r="E194" s="715">
        <v>5022</v>
      </c>
      <c r="F194" s="711">
        <v>6387</v>
      </c>
      <c r="H194" s="62"/>
    </row>
    <row r="195" spans="2:8" x14ac:dyDescent="0.25">
      <c r="B195" s="735">
        <v>290</v>
      </c>
      <c r="C195" s="736">
        <v>3082</v>
      </c>
      <c r="D195" s="715">
        <v>4320</v>
      </c>
      <c r="E195" s="715">
        <v>5056</v>
      </c>
      <c r="F195" s="711">
        <v>6435</v>
      </c>
      <c r="H195" s="62"/>
    </row>
    <row r="196" spans="2:8" x14ac:dyDescent="0.25">
      <c r="B196" s="735">
        <v>295</v>
      </c>
      <c r="C196" s="736">
        <v>3116</v>
      </c>
      <c r="D196" s="715">
        <v>4342</v>
      </c>
      <c r="E196" s="715">
        <v>5089</v>
      </c>
      <c r="F196" s="711">
        <v>6483</v>
      </c>
      <c r="H196" s="62"/>
    </row>
    <row r="197" spans="2:8" x14ac:dyDescent="0.25">
      <c r="B197" s="735">
        <v>300</v>
      </c>
      <c r="C197" s="736">
        <v>3150</v>
      </c>
      <c r="D197" s="715">
        <v>4364</v>
      </c>
      <c r="E197" s="715">
        <v>5122</v>
      </c>
      <c r="F197" s="711">
        <v>6531</v>
      </c>
      <c r="H197" s="62"/>
    </row>
    <row r="198" spans="2:8" x14ac:dyDescent="0.25">
      <c r="B198" s="735">
        <v>305</v>
      </c>
      <c r="C198" s="736">
        <v>3184</v>
      </c>
      <c r="D198" s="715">
        <v>4387</v>
      </c>
      <c r="E198" s="715">
        <v>5155</v>
      </c>
      <c r="F198" s="711">
        <v>6578</v>
      </c>
      <c r="H198" s="62"/>
    </row>
    <row r="199" spans="2:8" x14ac:dyDescent="0.25">
      <c r="B199" s="735">
        <v>310</v>
      </c>
      <c r="C199" s="736">
        <v>3218</v>
      </c>
      <c r="D199" s="715">
        <v>4409</v>
      </c>
      <c r="E199" s="715">
        <v>5188</v>
      </c>
      <c r="F199" s="711">
        <v>6626</v>
      </c>
      <c r="H199" s="62"/>
    </row>
    <row r="200" spans="2:8" x14ac:dyDescent="0.25">
      <c r="B200" s="735">
        <v>315</v>
      </c>
      <c r="C200" s="736">
        <v>3252</v>
      </c>
      <c r="D200" s="715">
        <v>4431</v>
      </c>
      <c r="E200" s="715">
        <v>5221</v>
      </c>
      <c r="F200" s="711">
        <v>6674</v>
      </c>
      <c r="H200" s="62"/>
    </row>
    <row r="201" spans="2:8" x14ac:dyDescent="0.25">
      <c r="B201" s="735">
        <v>320</v>
      </c>
      <c r="C201" s="736">
        <v>3286</v>
      </c>
      <c r="D201" s="715">
        <v>4453</v>
      </c>
      <c r="E201" s="715">
        <v>5255</v>
      </c>
      <c r="F201" s="711">
        <v>6721</v>
      </c>
      <c r="H201" s="62"/>
    </row>
    <row r="202" spans="2:8" x14ac:dyDescent="0.25">
      <c r="B202" s="735">
        <v>325</v>
      </c>
      <c r="C202" s="736">
        <v>3320</v>
      </c>
      <c r="D202" s="715">
        <v>4476</v>
      </c>
      <c r="E202" s="715">
        <v>5288</v>
      </c>
      <c r="F202" s="711">
        <v>6769</v>
      </c>
      <c r="H202" s="62"/>
    </row>
    <row r="203" spans="2:8" ht="15.75" thickBot="1" x14ac:dyDescent="0.3">
      <c r="B203" s="737">
        <v>330</v>
      </c>
      <c r="C203" s="738">
        <v>3354</v>
      </c>
      <c r="D203" s="720">
        <v>4498</v>
      </c>
      <c r="E203" s="720">
        <v>5321</v>
      </c>
      <c r="F203" s="721">
        <v>6817</v>
      </c>
      <c r="G203" s="137"/>
      <c r="H203" s="63"/>
    </row>
  </sheetData>
  <mergeCells count="11">
    <mergeCell ref="B140:B141"/>
    <mergeCell ref="C140:H140"/>
    <mergeCell ref="B2:B3"/>
    <mergeCell ref="C2:H2"/>
    <mergeCell ref="K2:K3"/>
    <mergeCell ref="L2:Q2"/>
    <mergeCell ref="F66:F67"/>
    <mergeCell ref="B72:B73"/>
    <mergeCell ref="C72:G72"/>
    <mergeCell ref="K72:K73"/>
    <mergeCell ref="L72:Q72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1" tint="0.14999847407452621"/>
  </sheetPr>
  <dimension ref="A1:K96"/>
  <sheetViews>
    <sheetView showGridLines="0" topLeftCell="A59" zoomScale="85" zoomScaleNormal="85" workbookViewId="0">
      <selection activeCell="O95" sqref="O95"/>
    </sheetView>
  </sheetViews>
  <sheetFormatPr baseColWidth="10" defaultRowHeight="15" x14ac:dyDescent="0.25"/>
  <cols>
    <col min="2" max="8" width="11.42578125" style="6"/>
  </cols>
  <sheetData>
    <row r="1" spans="2:7" ht="15.75" thickBot="1" x14ac:dyDescent="0.3"/>
    <row r="2" spans="2:7" ht="17.25" customHeight="1" x14ac:dyDescent="0.25">
      <c r="B2" s="1099" t="s">
        <v>79</v>
      </c>
      <c r="C2" s="1101" t="s">
        <v>474</v>
      </c>
      <c r="D2" s="1097"/>
      <c r="E2" s="1097"/>
      <c r="F2" s="1097"/>
      <c r="G2" s="1098"/>
    </row>
    <row r="3" spans="2:7" ht="15.75" thickBot="1" x14ac:dyDescent="0.3">
      <c r="B3" s="1100"/>
      <c r="C3" s="697" t="s">
        <v>455</v>
      </c>
      <c r="D3" s="698" t="s">
        <v>472</v>
      </c>
      <c r="E3" s="698" t="s">
        <v>156</v>
      </c>
      <c r="F3" s="51" t="s">
        <v>119</v>
      </c>
      <c r="G3" s="51" t="s">
        <v>120</v>
      </c>
    </row>
    <row r="4" spans="2:7" x14ac:dyDescent="0.25">
      <c r="B4" s="734">
        <v>75</v>
      </c>
      <c r="C4" s="757">
        <v>178</v>
      </c>
      <c r="D4" s="758">
        <v>178</v>
      </c>
      <c r="E4" s="758">
        <v>210</v>
      </c>
      <c r="F4" s="758">
        <v>932</v>
      </c>
      <c r="G4" s="759">
        <v>1758</v>
      </c>
    </row>
    <row r="5" spans="2:7" x14ac:dyDescent="0.25">
      <c r="B5" s="735">
        <v>80</v>
      </c>
      <c r="C5" s="760">
        <v>178</v>
      </c>
      <c r="D5" s="761">
        <v>178</v>
      </c>
      <c r="E5" s="761">
        <v>230</v>
      </c>
      <c r="F5" s="762">
        <v>1001</v>
      </c>
      <c r="G5" s="763">
        <v>1897</v>
      </c>
    </row>
    <row r="6" spans="2:7" x14ac:dyDescent="0.25">
      <c r="B6" s="735">
        <v>90</v>
      </c>
      <c r="C6" s="760">
        <v>178</v>
      </c>
      <c r="D6" s="761">
        <v>178</v>
      </c>
      <c r="E6" s="761">
        <v>270</v>
      </c>
      <c r="F6" s="762">
        <v>1138</v>
      </c>
      <c r="G6" s="763">
        <v>2175</v>
      </c>
    </row>
    <row r="7" spans="2:7" x14ac:dyDescent="0.25">
      <c r="B7" s="735">
        <v>100</v>
      </c>
      <c r="C7" s="760">
        <v>178</v>
      </c>
      <c r="D7" s="761">
        <v>178</v>
      </c>
      <c r="E7" s="761">
        <v>310</v>
      </c>
      <c r="F7" s="762">
        <v>1259</v>
      </c>
      <c r="G7" s="763">
        <v>2454</v>
      </c>
    </row>
    <row r="8" spans="2:7" x14ac:dyDescent="0.25">
      <c r="B8" s="735">
        <v>110</v>
      </c>
      <c r="C8" s="760">
        <v>178</v>
      </c>
      <c r="D8" s="761">
        <v>178</v>
      </c>
      <c r="E8" s="761">
        <v>351</v>
      </c>
      <c r="F8" s="762">
        <v>1376</v>
      </c>
      <c r="G8" s="763">
        <v>2723</v>
      </c>
    </row>
    <row r="9" spans="2:7" x14ac:dyDescent="0.25">
      <c r="B9" s="735">
        <v>120</v>
      </c>
      <c r="C9" s="760">
        <v>178</v>
      </c>
      <c r="D9" s="761">
        <v>178</v>
      </c>
      <c r="E9" s="761">
        <v>391</v>
      </c>
      <c r="F9" s="762">
        <v>1493</v>
      </c>
      <c r="G9" s="763">
        <v>2949</v>
      </c>
    </row>
    <row r="10" spans="2:7" x14ac:dyDescent="0.25">
      <c r="B10" s="735">
        <v>130</v>
      </c>
      <c r="C10" s="760">
        <v>178</v>
      </c>
      <c r="D10" s="761">
        <v>178</v>
      </c>
      <c r="E10" s="761">
        <v>431</v>
      </c>
      <c r="F10" s="762">
        <v>1611</v>
      </c>
      <c r="G10" s="763">
        <v>3175</v>
      </c>
    </row>
    <row r="11" spans="2:7" x14ac:dyDescent="0.25">
      <c r="B11" s="735">
        <v>140</v>
      </c>
      <c r="C11" s="760">
        <v>178</v>
      </c>
      <c r="D11" s="761">
        <v>178</v>
      </c>
      <c r="E11" s="761">
        <v>472</v>
      </c>
      <c r="F11" s="762">
        <v>1728</v>
      </c>
      <c r="G11" s="763">
        <v>3401</v>
      </c>
    </row>
    <row r="12" spans="2:7" x14ac:dyDescent="0.25">
      <c r="B12" s="735">
        <v>150</v>
      </c>
      <c r="C12" s="760">
        <v>178</v>
      </c>
      <c r="D12" s="761">
        <v>178</v>
      </c>
      <c r="E12" s="761">
        <v>512</v>
      </c>
      <c r="F12" s="762">
        <v>1845</v>
      </c>
      <c r="G12" s="763">
        <v>3627</v>
      </c>
    </row>
    <row r="13" spans="2:7" x14ac:dyDescent="0.25">
      <c r="B13" s="735">
        <v>160</v>
      </c>
      <c r="C13" s="760">
        <v>178</v>
      </c>
      <c r="D13" s="761">
        <v>178</v>
      </c>
      <c r="E13" s="761">
        <v>552</v>
      </c>
      <c r="F13" s="762">
        <v>1962</v>
      </c>
      <c r="G13" s="763">
        <v>3853</v>
      </c>
    </row>
    <row r="14" spans="2:7" x14ac:dyDescent="0.25">
      <c r="B14" s="735">
        <v>170</v>
      </c>
      <c r="C14" s="760">
        <v>178</v>
      </c>
      <c r="D14" s="761">
        <v>178</v>
      </c>
      <c r="E14" s="761">
        <v>592</v>
      </c>
      <c r="F14" s="762">
        <v>2080</v>
      </c>
      <c r="G14" s="763">
        <v>4079</v>
      </c>
    </row>
    <row r="15" spans="2:7" x14ac:dyDescent="0.25">
      <c r="B15" s="735">
        <v>180</v>
      </c>
      <c r="C15" s="760">
        <v>178</v>
      </c>
      <c r="D15" s="761">
        <v>178</v>
      </c>
      <c r="E15" s="761">
        <v>633</v>
      </c>
      <c r="F15" s="762">
        <v>2197</v>
      </c>
      <c r="G15" s="764">
        <v>4305</v>
      </c>
    </row>
    <row r="16" spans="2:7" x14ac:dyDescent="0.25">
      <c r="B16" s="735">
        <v>190</v>
      </c>
      <c r="C16" s="760">
        <v>178</v>
      </c>
      <c r="D16" s="761">
        <v>178</v>
      </c>
      <c r="E16" s="761">
        <v>673</v>
      </c>
      <c r="F16" s="765">
        <v>2314</v>
      </c>
      <c r="G16" s="766"/>
    </row>
    <row r="17" spans="1:11" x14ac:dyDescent="0.25">
      <c r="B17" s="735">
        <v>200</v>
      </c>
      <c r="C17" s="760">
        <v>178</v>
      </c>
      <c r="D17" s="761">
        <v>178</v>
      </c>
      <c r="E17" s="761">
        <v>713</v>
      </c>
      <c r="F17" s="765">
        <v>2432</v>
      </c>
      <c r="G17" s="767"/>
    </row>
    <row r="18" spans="1:11" x14ac:dyDescent="0.25">
      <c r="B18" s="735">
        <v>210</v>
      </c>
      <c r="C18" s="760">
        <v>178</v>
      </c>
      <c r="D18" s="761">
        <v>178</v>
      </c>
      <c r="E18" s="761">
        <v>754</v>
      </c>
      <c r="F18" s="765">
        <v>2549</v>
      </c>
      <c r="G18" s="767"/>
    </row>
    <row r="19" spans="1:11" x14ac:dyDescent="0.25">
      <c r="B19" s="735">
        <v>220</v>
      </c>
      <c r="C19" s="760">
        <v>178</v>
      </c>
      <c r="D19" s="761">
        <v>178</v>
      </c>
      <c r="E19" s="761">
        <v>794</v>
      </c>
      <c r="F19" s="765">
        <v>2666</v>
      </c>
      <c r="G19" s="767"/>
    </row>
    <row r="20" spans="1:11" x14ac:dyDescent="0.25">
      <c r="B20" s="735">
        <v>230</v>
      </c>
      <c r="C20" s="760">
        <v>178</v>
      </c>
      <c r="D20" s="761">
        <v>178</v>
      </c>
      <c r="E20" s="761">
        <v>834</v>
      </c>
      <c r="F20" s="765">
        <v>2778</v>
      </c>
      <c r="G20" s="767"/>
    </row>
    <row r="21" spans="1:11" x14ac:dyDescent="0.25">
      <c r="B21" s="735">
        <v>240</v>
      </c>
      <c r="C21" s="760">
        <v>178</v>
      </c>
      <c r="D21" s="761">
        <v>178</v>
      </c>
      <c r="E21" s="761">
        <v>874</v>
      </c>
      <c r="F21" s="765">
        <v>2890</v>
      </c>
      <c r="G21" s="767"/>
    </row>
    <row r="22" spans="1:11" x14ac:dyDescent="0.25">
      <c r="B22" s="735">
        <v>250</v>
      </c>
      <c r="C22" s="760">
        <v>178</v>
      </c>
      <c r="D22" s="761">
        <v>187</v>
      </c>
      <c r="E22" s="761">
        <v>915</v>
      </c>
      <c r="F22" s="765">
        <v>3001</v>
      </c>
      <c r="G22" s="767"/>
    </row>
    <row r="23" spans="1:11" x14ac:dyDescent="0.25">
      <c r="B23" s="735">
        <v>260</v>
      </c>
      <c r="C23" s="760">
        <v>178</v>
      </c>
      <c r="D23" s="761">
        <v>211</v>
      </c>
      <c r="E23" s="761">
        <v>955</v>
      </c>
      <c r="F23" s="765">
        <v>3113</v>
      </c>
      <c r="G23" s="767"/>
    </row>
    <row r="24" spans="1:11" x14ac:dyDescent="0.25">
      <c r="B24" s="735">
        <v>270</v>
      </c>
      <c r="C24" s="760">
        <v>178</v>
      </c>
      <c r="D24" s="761">
        <v>235</v>
      </c>
      <c r="E24" s="761">
        <v>995</v>
      </c>
      <c r="F24" s="765">
        <v>3224</v>
      </c>
      <c r="G24" s="767"/>
    </row>
    <row r="25" spans="1:11" x14ac:dyDescent="0.25">
      <c r="B25" s="735">
        <v>280</v>
      </c>
      <c r="C25" s="760">
        <v>178</v>
      </c>
      <c r="D25" s="761">
        <v>259</v>
      </c>
      <c r="E25" s="762">
        <v>1036</v>
      </c>
      <c r="F25" s="765">
        <v>3336</v>
      </c>
      <c r="G25" s="767"/>
    </row>
    <row r="26" spans="1:11" x14ac:dyDescent="0.25">
      <c r="B26" s="735">
        <v>290</v>
      </c>
      <c r="C26" s="760">
        <v>178</v>
      </c>
      <c r="D26" s="761">
        <v>283</v>
      </c>
      <c r="E26" s="762">
        <v>1076</v>
      </c>
      <c r="F26" s="765">
        <v>3447</v>
      </c>
      <c r="G26" s="767"/>
    </row>
    <row r="27" spans="1:11" x14ac:dyDescent="0.25">
      <c r="B27" s="735">
        <v>300</v>
      </c>
      <c r="C27" s="760">
        <v>178</v>
      </c>
      <c r="D27" s="761">
        <v>307</v>
      </c>
      <c r="E27" s="762">
        <v>1116</v>
      </c>
      <c r="F27" s="765">
        <v>3559</v>
      </c>
      <c r="G27" s="767"/>
    </row>
    <row r="28" spans="1:11" ht="15.75" thickBot="1" x14ac:dyDescent="0.3">
      <c r="B28" s="737">
        <v>310</v>
      </c>
      <c r="C28" s="768">
        <v>178</v>
      </c>
      <c r="D28" s="769">
        <v>331</v>
      </c>
      <c r="E28" s="770">
        <v>1156</v>
      </c>
      <c r="F28" s="771">
        <v>3670</v>
      </c>
      <c r="G28" s="772"/>
    </row>
    <row r="30" spans="1:11" ht="15.75" thickBot="1" x14ac:dyDescent="0.3">
      <c r="A30" s="773"/>
      <c r="B30" s="723"/>
      <c r="C30" s="723"/>
      <c r="D30" s="723"/>
      <c r="E30" s="723"/>
      <c r="F30" s="723"/>
      <c r="G30" s="723"/>
      <c r="H30" s="723"/>
      <c r="I30" s="773"/>
      <c r="J30" s="773"/>
      <c r="K30" s="773"/>
    </row>
    <row r="31" spans="1:11" ht="15.75" thickTop="1" x14ac:dyDescent="0.25"/>
    <row r="32" spans="1:11" ht="15.75" thickBot="1" x14ac:dyDescent="0.3"/>
    <row r="33" spans="2:8" x14ac:dyDescent="0.25">
      <c r="B33" s="1099" t="s">
        <v>79</v>
      </c>
      <c r="C33" s="1096" t="s">
        <v>475</v>
      </c>
      <c r="D33" s="1090"/>
      <c r="E33" s="1090"/>
      <c r="F33" s="1090"/>
      <c r="G33" s="1090"/>
      <c r="H33" s="1091"/>
    </row>
    <row r="34" spans="2:8" ht="15.75" thickBot="1" x14ac:dyDescent="0.3">
      <c r="B34" s="1100"/>
      <c r="C34" s="697" t="s">
        <v>455</v>
      </c>
      <c r="D34" s="698" t="s">
        <v>472</v>
      </c>
      <c r="E34" s="698" t="s">
        <v>156</v>
      </c>
      <c r="F34" s="51" t="s">
        <v>119</v>
      </c>
      <c r="G34" s="51" t="s">
        <v>120</v>
      </c>
      <c r="H34" s="51" t="s">
        <v>463</v>
      </c>
    </row>
    <row r="35" spans="2:8" x14ac:dyDescent="0.25">
      <c r="B35" s="734">
        <v>60</v>
      </c>
      <c r="C35" s="757">
        <v>183</v>
      </c>
      <c r="D35" s="758">
        <v>183</v>
      </c>
      <c r="E35" s="758">
        <v>257</v>
      </c>
      <c r="F35" s="758">
        <v>942</v>
      </c>
      <c r="G35" s="774">
        <v>1592</v>
      </c>
      <c r="H35" s="759">
        <v>2386</v>
      </c>
    </row>
    <row r="36" spans="2:8" x14ac:dyDescent="0.25">
      <c r="B36" s="694">
        <v>70</v>
      </c>
      <c r="C36" s="760">
        <v>183</v>
      </c>
      <c r="D36" s="761">
        <v>183</v>
      </c>
      <c r="E36" s="761">
        <v>356</v>
      </c>
      <c r="F36" s="762">
        <v>1040</v>
      </c>
      <c r="G36" s="762">
        <v>1802</v>
      </c>
      <c r="H36" s="763">
        <v>2861</v>
      </c>
    </row>
    <row r="37" spans="2:8" x14ac:dyDescent="0.25">
      <c r="B37" s="735">
        <v>80</v>
      </c>
      <c r="C37" s="760">
        <v>183</v>
      </c>
      <c r="D37" s="761">
        <v>183</v>
      </c>
      <c r="E37" s="761">
        <v>455</v>
      </c>
      <c r="F37" s="762">
        <v>1137</v>
      </c>
      <c r="G37" s="762">
        <v>2018</v>
      </c>
      <c r="H37" s="763">
        <v>3336</v>
      </c>
    </row>
    <row r="38" spans="2:8" x14ac:dyDescent="0.25">
      <c r="B38" s="735">
        <v>90</v>
      </c>
      <c r="C38" s="760">
        <v>183</v>
      </c>
      <c r="D38" s="761">
        <v>183</v>
      </c>
      <c r="E38" s="761">
        <v>525</v>
      </c>
      <c r="F38" s="762">
        <v>1235</v>
      </c>
      <c r="G38" s="762">
        <v>2291</v>
      </c>
      <c r="H38" s="763">
        <v>3869</v>
      </c>
    </row>
    <row r="39" spans="2:8" x14ac:dyDescent="0.25">
      <c r="B39" s="735">
        <v>100</v>
      </c>
      <c r="C39" s="760">
        <v>183</v>
      </c>
      <c r="D39" s="761">
        <v>183</v>
      </c>
      <c r="E39" s="761">
        <v>572</v>
      </c>
      <c r="F39" s="762">
        <v>1332</v>
      </c>
      <c r="G39" s="762">
        <v>2564</v>
      </c>
      <c r="H39" s="763">
        <v>4408</v>
      </c>
    </row>
    <row r="40" spans="2:8" x14ac:dyDescent="0.25">
      <c r="B40" s="735">
        <v>110</v>
      </c>
      <c r="C40" s="760">
        <v>183</v>
      </c>
      <c r="D40" s="761">
        <v>183</v>
      </c>
      <c r="E40" s="761">
        <v>618</v>
      </c>
      <c r="F40" s="762">
        <v>1430</v>
      </c>
      <c r="G40" s="762">
        <v>2837</v>
      </c>
      <c r="H40" s="763">
        <v>4863</v>
      </c>
    </row>
    <row r="41" spans="2:8" x14ac:dyDescent="0.25">
      <c r="B41" s="735">
        <v>120</v>
      </c>
      <c r="C41" s="760">
        <v>183</v>
      </c>
      <c r="D41" s="761">
        <v>183</v>
      </c>
      <c r="E41" s="761">
        <v>664</v>
      </c>
      <c r="F41" s="762">
        <v>1527</v>
      </c>
      <c r="G41" s="762">
        <v>3110</v>
      </c>
      <c r="H41" s="763">
        <v>5280</v>
      </c>
    </row>
    <row r="42" spans="2:8" x14ac:dyDescent="0.25">
      <c r="B42" s="735">
        <v>130</v>
      </c>
      <c r="C42" s="760">
        <v>183</v>
      </c>
      <c r="D42" s="761">
        <v>183</v>
      </c>
      <c r="E42" s="761">
        <v>710</v>
      </c>
      <c r="F42" s="762">
        <v>1625</v>
      </c>
      <c r="G42" s="762">
        <v>3381</v>
      </c>
      <c r="H42" s="763">
        <v>5697</v>
      </c>
    </row>
    <row r="43" spans="2:8" x14ac:dyDescent="0.25">
      <c r="B43" s="735">
        <v>140</v>
      </c>
      <c r="C43" s="760">
        <v>183</v>
      </c>
      <c r="D43" s="761">
        <v>183</v>
      </c>
      <c r="E43" s="761">
        <v>757</v>
      </c>
      <c r="F43" s="762">
        <v>1722</v>
      </c>
      <c r="G43" s="762">
        <v>3572</v>
      </c>
      <c r="H43" s="763">
        <v>6113</v>
      </c>
    </row>
    <row r="44" spans="2:8" x14ac:dyDescent="0.25">
      <c r="B44" s="735">
        <v>150</v>
      </c>
      <c r="C44" s="760">
        <v>183</v>
      </c>
      <c r="D44" s="761">
        <v>183</v>
      </c>
      <c r="E44" s="761">
        <v>803</v>
      </c>
      <c r="F44" s="762">
        <v>1820</v>
      </c>
      <c r="G44" s="762">
        <v>3764</v>
      </c>
      <c r="H44" s="764">
        <v>6530</v>
      </c>
    </row>
    <row r="45" spans="2:8" x14ac:dyDescent="0.25">
      <c r="B45" s="735">
        <v>160</v>
      </c>
      <c r="C45" s="760">
        <v>183</v>
      </c>
      <c r="D45" s="761">
        <v>183</v>
      </c>
      <c r="E45" s="761">
        <v>849</v>
      </c>
      <c r="F45" s="762">
        <v>1918</v>
      </c>
      <c r="G45" s="765">
        <v>3955</v>
      </c>
      <c r="H45" s="764"/>
    </row>
    <row r="46" spans="2:8" x14ac:dyDescent="0.25">
      <c r="B46" s="735">
        <v>170</v>
      </c>
      <c r="C46" s="760">
        <v>183</v>
      </c>
      <c r="D46" s="761">
        <v>183</v>
      </c>
      <c r="E46" s="761">
        <v>895</v>
      </c>
      <c r="F46" s="762">
        <v>2017</v>
      </c>
      <c r="G46" s="765">
        <v>4147</v>
      </c>
      <c r="H46" s="775"/>
    </row>
    <row r="47" spans="2:8" x14ac:dyDescent="0.25">
      <c r="B47" s="735">
        <v>180</v>
      </c>
      <c r="C47" s="760">
        <v>183</v>
      </c>
      <c r="D47" s="761">
        <v>183</v>
      </c>
      <c r="E47" s="761">
        <v>941</v>
      </c>
      <c r="F47" s="762">
        <v>2123</v>
      </c>
      <c r="G47" s="765">
        <v>4339</v>
      </c>
      <c r="H47" s="767"/>
    </row>
    <row r="48" spans="2:8" x14ac:dyDescent="0.25">
      <c r="B48" s="735">
        <v>190</v>
      </c>
      <c r="C48" s="760">
        <v>183</v>
      </c>
      <c r="D48" s="761">
        <v>183</v>
      </c>
      <c r="E48" s="761">
        <v>988</v>
      </c>
      <c r="F48" s="762">
        <v>2228</v>
      </c>
      <c r="G48" s="765">
        <v>4530</v>
      </c>
      <c r="H48" s="767"/>
    </row>
    <row r="49" spans="2:8" x14ac:dyDescent="0.25">
      <c r="B49" s="735">
        <v>200</v>
      </c>
      <c r="C49" s="760">
        <v>183</v>
      </c>
      <c r="D49" s="761">
        <v>183</v>
      </c>
      <c r="E49" s="762">
        <v>1034</v>
      </c>
      <c r="F49" s="762">
        <v>2334</v>
      </c>
      <c r="G49" s="765">
        <v>4727</v>
      </c>
      <c r="H49" s="767"/>
    </row>
    <row r="50" spans="2:8" x14ac:dyDescent="0.25">
      <c r="B50" s="735">
        <v>210</v>
      </c>
      <c r="C50" s="760">
        <v>183</v>
      </c>
      <c r="D50" s="761">
        <v>183</v>
      </c>
      <c r="E50" s="762">
        <v>1080</v>
      </c>
      <c r="F50" s="762">
        <v>2439</v>
      </c>
      <c r="G50" s="765">
        <v>4926</v>
      </c>
      <c r="H50" s="767"/>
    </row>
    <row r="51" spans="2:8" x14ac:dyDescent="0.25">
      <c r="B51" s="735">
        <v>220</v>
      </c>
      <c r="C51" s="760">
        <v>183</v>
      </c>
      <c r="D51" s="761">
        <v>183</v>
      </c>
      <c r="E51" s="762">
        <v>1126</v>
      </c>
      <c r="F51" s="762">
        <v>2544</v>
      </c>
      <c r="G51" s="765">
        <v>5125</v>
      </c>
      <c r="H51" s="767"/>
    </row>
    <row r="52" spans="2:8" x14ac:dyDescent="0.25">
      <c r="B52" s="735">
        <v>230</v>
      </c>
      <c r="C52" s="760">
        <v>183</v>
      </c>
      <c r="D52" s="761">
        <v>183</v>
      </c>
      <c r="E52" s="762">
        <v>1172</v>
      </c>
      <c r="F52" s="762">
        <v>2650</v>
      </c>
      <c r="G52" s="765">
        <v>5323</v>
      </c>
      <c r="H52" s="767"/>
    </row>
    <row r="53" spans="2:8" x14ac:dyDescent="0.25">
      <c r="B53" s="735">
        <v>240</v>
      </c>
      <c r="C53" s="760">
        <v>183</v>
      </c>
      <c r="D53" s="761">
        <v>183</v>
      </c>
      <c r="E53" s="762">
        <v>1219</v>
      </c>
      <c r="F53" s="762">
        <v>2755</v>
      </c>
      <c r="G53" s="765">
        <v>5522</v>
      </c>
      <c r="H53" s="767"/>
    </row>
    <row r="54" spans="2:8" x14ac:dyDescent="0.25">
      <c r="B54" s="735">
        <v>250</v>
      </c>
      <c r="C54" s="760">
        <v>183</v>
      </c>
      <c r="D54" s="761">
        <v>183</v>
      </c>
      <c r="E54" s="762">
        <v>1265</v>
      </c>
      <c r="F54" s="762">
        <v>2861</v>
      </c>
      <c r="G54" s="765">
        <v>5721</v>
      </c>
      <c r="H54" s="767"/>
    </row>
    <row r="55" spans="2:8" x14ac:dyDescent="0.25">
      <c r="B55" s="735">
        <v>260</v>
      </c>
      <c r="C55" s="760">
        <v>183</v>
      </c>
      <c r="D55" s="761">
        <v>183</v>
      </c>
      <c r="E55" s="762">
        <v>1311</v>
      </c>
      <c r="F55" s="762">
        <v>2966</v>
      </c>
      <c r="G55" s="765">
        <v>5919</v>
      </c>
      <c r="H55" s="767"/>
    </row>
    <row r="56" spans="2:8" x14ac:dyDescent="0.25">
      <c r="B56" s="735">
        <v>270</v>
      </c>
      <c r="C56" s="760">
        <v>183</v>
      </c>
      <c r="D56" s="761">
        <v>183</v>
      </c>
      <c r="E56" s="762">
        <v>1357</v>
      </c>
      <c r="F56" s="762">
        <v>3072</v>
      </c>
      <c r="G56" s="765">
        <v>6118</v>
      </c>
      <c r="H56" s="767"/>
    </row>
    <row r="57" spans="2:8" x14ac:dyDescent="0.25">
      <c r="B57" s="735">
        <v>280</v>
      </c>
      <c r="C57" s="760">
        <v>183</v>
      </c>
      <c r="D57" s="761">
        <v>193</v>
      </c>
      <c r="E57" s="762">
        <v>1403</v>
      </c>
      <c r="F57" s="762">
        <v>3177</v>
      </c>
      <c r="G57" s="765">
        <v>6317</v>
      </c>
      <c r="H57" s="767"/>
    </row>
    <row r="58" spans="2:8" x14ac:dyDescent="0.25">
      <c r="B58" s="735">
        <v>290</v>
      </c>
      <c r="C58" s="760">
        <v>183</v>
      </c>
      <c r="D58" s="761">
        <v>210</v>
      </c>
      <c r="E58" s="762">
        <v>1450</v>
      </c>
      <c r="F58" s="762">
        <v>3283</v>
      </c>
      <c r="G58" s="765">
        <v>6516</v>
      </c>
      <c r="H58" s="767"/>
    </row>
    <row r="59" spans="2:8" x14ac:dyDescent="0.25">
      <c r="B59" s="735">
        <v>300</v>
      </c>
      <c r="C59" s="760">
        <v>183</v>
      </c>
      <c r="D59" s="761">
        <v>228</v>
      </c>
      <c r="E59" s="762">
        <v>1496</v>
      </c>
      <c r="F59" s="762">
        <v>3393</v>
      </c>
      <c r="G59" s="776">
        <v>6714</v>
      </c>
      <c r="H59" s="767"/>
    </row>
    <row r="60" spans="2:8" x14ac:dyDescent="0.25">
      <c r="B60" s="694">
        <v>310</v>
      </c>
      <c r="C60" s="760">
        <v>183</v>
      </c>
      <c r="D60" s="761">
        <v>245</v>
      </c>
      <c r="E60" s="762">
        <v>1542</v>
      </c>
      <c r="F60" s="765">
        <v>3542</v>
      </c>
      <c r="G60" s="777"/>
      <c r="H60" s="730"/>
    </row>
    <row r="61" spans="2:8" x14ac:dyDescent="0.25">
      <c r="B61" s="735">
        <v>320</v>
      </c>
      <c r="C61" s="760">
        <v>183</v>
      </c>
      <c r="D61" s="761">
        <v>263</v>
      </c>
      <c r="E61" s="762">
        <v>1588</v>
      </c>
      <c r="F61" s="765">
        <v>3692</v>
      </c>
      <c r="G61" s="778"/>
      <c r="H61" s="730"/>
    </row>
    <row r="62" spans="2:8" x14ac:dyDescent="0.25">
      <c r="B62" s="735">
        <v>330</v>
      </c>
      <c r="C62" s="760">
        <v>183</v>
      </c>
      <c r="D62" s="761">
        <v>280</v>
      </c>
      <c r="E62" s="762">
        <v>1634</v>
      </c>
      <c r="F62" s="765">
        <v>3841</v>
      </c>
      <c r="G62" s="778"/>
      <c r="H62" s="730"/>
    </row>
    <row r="63" spans="2:8" x14ac:dyDescent="0.25">
      <c r="B63" s="735">
        <v>340</v>
      </c>
      <c r="C63" s="760">
        <v>183</v>
      </c>
      <c r="D63" s="761">
        <v>298</v>
      </c>
      <c r="E63" s="762">
        <v>1681</v>
      </c>
      <c r="F63" s="765">
        <v>3991</v>
      </c>
      <c r="G63" s="778"/>
      <c r="H63" s="730"/>
    </row>
    <row r="64" spans="2:8" x14ac:dyDescent="0.25">
      <c r="B64" s="735">
        <v>350</v>
      </c>
      <c r="C64" s="760">
        <v>183</v>
      </c>
      <c r="D64" s="761">
        <v>315</v>
      </c>
      <c r="E64" s="762">
        <v>1727</v>
      </c>
      <c r="F64" s="765">
        <v>4140</v>
      </c>
      <c r="G64" s="778"/>
      <c r="H64" s="730"/>
    </row>
    <row r="65" spans="1:11" x14ac:dyDescent="0.25">
      <c r="B65" s="735">
        <v>360</v>
      </c>
      <c r="C65" s="760">
        <v>183</v>
      </c>
      <c r="D65" s="761">
        <v>332</v>
      </c>
      <c r="E65" s="762">
        <v>1773</v>
      </c>
      <c r="F65" s="765">
        <v>4289</v>
      </c>
      <c r="G65" s="778"/>
      <c r="H65" s="730"/>
    </row>
    <row r="66" spans="1:11" ht="15.75" thickBot="1" x14ac:dyDescent="0.3">
      <c r="B66" s="737">
        <v>370</v>
      </c>
      <c r="C66" s="768">
        <v>183</v>
      </c>
      <c r="D66" s="769">
        <v>350</v>
      </c>
      <c r="E66" s="770">
        <v>1819</v>
      </c>
      <c r="F66" s="771">
        <v>4439</v>
      </c>
      <c r="G66" s="779"/>
      <c r="H66" s="780"/>
    </row>
    <row r="67" spans="1:11" x14ac:dyDescent="0.25">
      <c r="B67" s="756"/>
      <c r="C67" s="781"/>
      <c r="D67" s="781"/>
      <c r="E67" s="782"/>
      <c r="F67" s="782"/>
      <c r="G67" s="731"/>
      <c r="H67" s="731"/>
    </row>
    <row r="68" spans="1:11" ht="15.75" thickBot="1" x14ac:dyDescent="0.3">
      <c r="A68" s="773"/>
      <c r="B68" s="723"/>
      <c r="C68" s="723"/>
      <c r="D68" s="723"/>
      <c r="E68" s="723"/>
      <c r="F68" s="723"/>
      <c r="G68" s="723"/>
      <c r="H68" s="723"/>
      <c r="I68" s="773"/>
      <c r="J68" s="773"/>
      <c r="K68" s="773"/>
    </row>
    <row r="69" spans="1:11" ht="15.75" thickTop="1" x14ac:dyDescent="0.25"/>
    <row r="70" spans="1:11" ht="15.75" thickBot="1" x14ac:dyDescent="0.3"/>
    <row r="71" spans="1:11" x14ac:dyDescent="0.25">
      <c r="B71" s="1094" t="s">
        <v>79</v>
      </c>
      <c r="C71" s="1096" t="s">
        <v>477</v>
      </c>
      <c r="D71" s="1090"/>
      <c r="E71" s="1090"/>
      <c r="F71" s="1090"/>
      <c r="G71" s="1090"/>
      <c r="H71" s="1091"/>
    </row>
    <row r="72" spans="1:11" ht="15.75" thickBot="1" x14ac:dyDescent="0.3">
      <c r="B72" s="1095"/>
      <c r="C72" s="697" t="s">
        <v>455</v>
      </c>
      <c r="D72" s="698" t="s">
        <v>472</v>
      </c>
      <c r="E72" s="698" t="s">
        <v>156</v>
      </c>
      <c r="F72" s="51" t="s">
        <v>119</v>
      </c>
      <c r="G72" s="51" t="s">
        <v>120</v>
      </c>
      <c r="H72" s="51" t="s">
        <v>463</v>
      </c>
    </row>
    <row r="73" spans="1:11" x14ac:dyDescent="0.25">
      <c r="B73" s="708">
        <v>80</v>
      </c>
      <c r="C73" s="757">
        <v>266</v>
      </c>
      <c r="D73" s="758">
        <v>266</v>
      </c>
      <c r="E73" s="758">
        <v>507</v>
      </c>
      <c r="F73" s="774">
        <v>1313</v>
      </c>
      <c r="G73" s="774">
        <v>2518</v>
      </c>
      <c r="H73" s="759">
        <v>4620</v>
      </c>
    </row>
    <row r="74" spans="1:11" x14ac:dyDescent="0.25">
      <c r="B74" s="708">
        <v>85</v>
      </c>
      <c r="C74" s="760">
        <v>266</v>
      </c>
      <c r="D74" s="761">
        <v>266</v>
      </c>
      <c r="E74" s="761">
        <v>542</v>
      </c>
      <c r="F74" s="762">
        <v>1395</v>
      </c>
      <c r="G74" s="762">
        <v>2671</v>
      </c>
      <c r="H74" s="763">
        <v>4903</v>
      </c>
    </row>
    <row r="75" spans="1:11" x14ac:dyDescent="0.25">
      <c r="B75" s="708">
        <v>90</v>
      </c>
      <c r="C75" s="760">
        <v>266</v>
      </c>
      <c r="D75" s="761">
        <v>266</v>
      </c>
      <c r="E75" s="761">
        <v>577</v>
      </c>
      <c r="F75" s="762">
        <v>1478</v>
      </c>
      <c r="G75" s="762">
        <v>2823</v>
      </c>
      <c r="H75" s="763">
        <v>5185</v>
      </c>
    </row>
    <row r="76" spans="1:11" x14ac:dyDescent="0.25">
      <c r="B76" s="708">
        <v>95</v>
      </c>
      <c r="C76" s="760">
        <v>266</v>
      </c>
      <c r="D76" s="761">
        <v>266</v>
      </c>
      <c r="E76" s="761">
        <v>612</v>
      </c>
      <c r="F76" s="762">
        <v>1560</v>
      </c>
      <c r="G76" s="762">
        <v>2992</v>
      </c>
      <c r="H76" s="763">
        <v>5467</v>
      </c>
    </row>
    <row r="77" spans="1:11" x14ac:dyDescent="0.25">
      <c r="B77" s="708">
        <v>100</v>
      </c>
      <c r="C77" s="760">
        <v>266</v>
      </c>
      <c r="D77" s="761">
        <v>266</v>
      </c>
      <c r="E77" s="761">
        <v>646</v>
      </c>
      <c r="F77" s="762">
        <v>1643</v>
      </c>
      <c r="G77" s="762">
        <v>3219</v>
      </c>
      <c r="H77" s="763">
        <v>5749</v>
      </c>
    </row>
    <row r="78" spans="1:11" x14ac:dyDescent="0.25">
      <c r="B78" s="708">
        <v>105</v>
      </c>
      <c r="C78" s="760">
        <v>266</v>
      </c>
      <c r="D78" s="761">
        <v>266</v>
      </c>
      <c r="E78" s="761">
        <v>681</v>
      </c>
      <c r="F78" s="762">
        <v>1725</v>
      </c>
      <c r="G78" s="762">
        <v>3445</v>
      </c>
      <c r="H78" s="763">
        <v>6032</v>
      </c>
    </row>
    <row r="79" spans="1:11" x14ac:dyDescent="0.25">
      <c r="B79" s="708">
        <v>110</v>
      </c>
      <c r="C79" s="760">
        <v>266</v>
      </c>
      <c r="D79" s="761">
        <v>266</v>
      </c>
      <c r="E79" s="761">
        <v>716</v>
      </c>
      <c r="F79" s="762">
        <v>1807</v>
      </c>
      <c r="G79" s="762">
        <v>3672</v>
      </c>
      <c r="H79" s="764">
        <v>6733</v>
      </c>
    </row>
    <row r="80" spans="1:11" x14ac:dyDescent="0.25">
      <c r="B80" s="708">
        <v>115</v>
      </c>
      <c r="C80" s="760">
        <v>266</v>
      </c>
      <c r="D80" s="761">
        <v>266</v>
      </c>
      <c r="E80" s="761">
        <v>751</v>
      </c>
      <c r="F80" s="762">
        <v>1890</v>
      </c>
      <c r="G80" s="765">
        <v>3898</v>
      </c>
      <c r="H80" s="764"/>
    </row>
    <row r="81" spans="2:8" x14ac:dyDescent="0.25">
      <c r="B81" s="708">
        <v>120</v>
      </c>
      <c r="C81" s="760">
        <v>266</v>
      </c>
      <c r="D81" s="761">
        <v>266</v>
      </c>
      <c r="E81" s="761">
        <v>786</v>
      </c>
      <c r="F81" s="762">
        <v>1972</v>
      </c>
      <c r="G81" s="765">
        <v>4125</v>
      </c>
      <c r="H81" s="775"/>
    </row>
    <row r="82" spans="2:8" x14ac:dyDescent="0.25">
      <c r="B82" s="708">
        <v>125</v>
      </c>
      <c r="C82" s="760">
        <v>266</v>
      </c>
      <c r="D82" s="761">
        <v>266</v>
      </c>
      <c r="E82" s="761">
        <v>821</v>
      </c>
      <c r="F82" s="762">
        <v>2055</v>
      </c>
      <c r="G82" s="765">
        <v>4351</v>
      </c>
      <c r="H82" s="775"/>
    </row>
    <row r="83" spans="2:8" x14ac:dyDescent="0.25">
      <c r="B83" s="708">
        <v>130</v>
      </c>
      <c r="C83" s="760">
        <v>266</v>
      </c>
      <c r="D83" s="761">
        <v>266</v>
      </c>
      <c r="E83" s="761">
        <v>856</v>
      </c>
      <c r="F83" s="762">
        <v>2137</v>
      </c>
      <c r="G83" s="765">
        <v>4560</v>
      </c>
      <c r="H83" s="775"/>
    </row>
    <row r="84" spans="2:8" x14ac:dyDescent="0.25">
      <c r="B84" s="708">
        <v>135</v>
      </c>
      <c r="C84" s="760">
        <v>266</v>
      </c>
      <c r="D84" s="761">
        <v>266</v>
      </c>
      <c r="E84" s="761">
        <v>891</v>
      </c>
      <c r="F84" s="762">
        <v>2219</v>
      </c>
      <c r="G84" s="765">
        <v>4760</v>
      </c>
      <c r="H84" s="767"/>
    </row>
    <row r="85" spans="2:8" x14ac:dyDescent="0.25">
      <c r="B85" s="708">
        <v>140</v>
      </c>
      <c r="C85" s="760">
        <v>266</v>
      </c>
      <c r="D85" s="761">
        <v>266</v>
      </c>
      <c r="E85" s="761">
        <v>926</v>
      </c>
      <c r="F85" s="762">
        <v>2302</v>
      </c>
      <c r="G85" s="765">
        <v>4961</v>
      </c>
      <c r="H85" s="767"/>
    </row>
    <row r="86" spans="2:8" x14ac:dyDescent="0.25">
      <c r="B86" s="708">
        <v>145</v>
      </c>
      <c r="C86" s="760">
        <v>266</v>
      </c>
      <c r="D86" s="761">
        <v>266</v>
      </c>
      <c r="E86" s="761">
        <v>961</v>
      </c>
      <c r="F86" s="762">
        <v>2384</v>
      </c>
      <c r="G86" s="765">
        <v>5161</v>
      </c>
      <c r="H86" s="767"/>
    </row>
    <row r="87" spans="2:8" x14ac:dyDescent="0.25">
      <c r="B87" s="708">
        <v>150</v>
      </c>
      <c r="C87" s="760">
        <v>266</v>
      </c>
      <c r="D87" s="761">
        <v>266</v>
      </c>
      <c r="E87" s="761">
        <v>996</v>
      </c>
      <c r="F87" s="762">
        <v>2466</v>
      </c>
      <c r="G87" s="765">
        <v>5362</v>
      </c>
      <c r="H87" s="767"/>
    </row>
    <row r="88" spans="2:8" x14ac:dyDescent="0.25">
      <c r="B88" s="708">
        <v>155</v>
      </c>
      <c r="C88" s="760">
        <v>266</v>
      </c>
      <c r="D88" s="761">
        <v>266</v>
      </c>
      <c r="E88" s="762">
        <v>1031</v>
      </c>
      <c r="F88" s="762">
        <v>2549</v>
      </c>
      <c r="G88" s="765">
        <v>5562</v>
      </c>
      <c r="H88" s="767"/>
    </row>
    <row r="89" spans="2:8" x14ac:dyDescent="0.25">
      <c r="B89" s="708">
        <v>160</v>
      </c>
      <c r="C89" s="760">
        <v>266</v>
      </c>
      <c r="D89" s="761">
        <v>266</v>
      </c>
      <c r="E89" s="762">
        <v>1066</v>
      </c>
      <c r="F89" s="762">
        <v>2631</v>
      </c>
      <c r="G89" s="765">
        <v>5762</v>
      </c>
      <c r="H89" s="767"/>
    </row>
    <row r="90" spans="2:8" x14ac:dyDescent="0.25">
      <c r="B90" s="708">
        <v>165</v>
      </c>
      <c r="C90" s="760">
        <v>266</v>
      </c>
      <c r="D90" s="761">
        <v>266</v>
      </c>
      <c r="E90" s="762">
        <v>1101</v>
      </c>
      <c r="F90" s="762">
        <v>2714</v>
      </c>
      <c r="G90" s="765">
        <v>5963</v>
      </c>
      <c r="H90" s="767"/>
    </row>
    <row r="91" spans="2:8" x14ac:dyDescent="0.25">
      <c r="B91" s="708">
        <v>170</v>
      </c>
      <c r="C91" s="760">
        <v>266</v>
      </c>
      <c r="D91" s="761">
        <v>266</v>
      </c>
      <c r="E91" s="762">
        <v>1150</v>
      </c>
      <c r="F91" s="762">
        <v>2796</v>
      </c>
      <c r="G91" s="765">
        <v>6176</v>
      </c>
      <c r="H91" s="767"/>
    </row>
    <row r="92" spans="2:8" x14ac:dyDescent="0.25">
      <c r="B92" s="708">
        <v>175</v>
      </c>
      <c r="C92" s="760">
        <v>266</v>
      </c>
      <c r="D92" s="761">
        <v>266</v>
      </c>
      <c r="E92" s="762">
        <v>1230</v>
      </c>
      <c r="F92" s="762">
        <v>2878</v>
      </c>
      <c r="G92" s="765">
        <v>6506</v>
      </c>
      <c r="H92" s="767"/>
    </row>
    <row r="93" spans="2:8" x14ac:dyDescent="0.25">
      <c r="B93" s="708">
        <v>180</v>
      </c>
      <c r="C93" s="760">
        <v>266</v>
      </c>
      <c r="D93" s="761">
        <v>266</v>
      </c>
      <c r="E93" s="762">
        <v>1310</v>
      </c>
      <c r="F93" s="762">
        <v>2977</v>
      </c>
      <c r="G93" s="765">
        <v>6836</v>
      </c>
      <c r="H93" s="767"/>
    </row>
    <row r="94" spans="2:8" x14ac:dyDescent="0.25">
      <c r="B94" s="708">
        <v>185</v>
      </c>
      <c r="C94" s="760">
        <v>266</v>
      </c>
      <c r="D94" s="761">
        <v>266</v>
      </c>
      <c r="E94" s="762">
        <v>1389</v>
      </c>
      <c r="F94" s="762">
        <v>3133</v>
      </c>
      <c r="G94" s="765">
        <v>7166</v>
      </c>
      <c r="H94" s="767"/>
    </row>
    <row r="95" spans="2:8" x14ac:dyDescent="0.25">
      <c r="B95" s="708">
        <v>190</v>
      </c>
      <c r="C95" s="760">
        <v>266</v>
      </c>
      <c r="D95" s="761">
        <v>266</v>
      </c>
      <c r="E95" s="762">
        <v>1469</v>
      </c>
      <c r="F95" s="762">
        <v>3289</v>
      </c>
      <c r="G95" s="765">
        <v>7496</v>
      </c>
      <c r="H95" s="767"/>
    </row>
    <row r="96" spans="2:8" ht="15.75" thickBot="1" x14ac:dyDescent="0.3">
      <c r="B96" s="718">
        <v>195</v>
      </c>
      <c r="C96" s="768">
        <v>266</v>
      </c>
      <c r="D96" s="769">
        <v>266</v>
      </c>
      <c r="E96" s="770">
        <v>1548</v>
      </c>
      <c r="F96" s="770">
        <v>3445</v>
      </c>
      <c r="G96" s="771">
        <v>7826</v>
      </c>
      <c r="H96" s="772"/>
    </row>
  </sheetData>
  <mergeCells count="6">
    <mergeCell ref="B2:B3"/>
    <mergeCell ref="C2:G2"/>
    <mergeCell ref="B33:B34"/>
    <mergeCell ref="C33:H33"/>
    <mergeCell ref="B71:B72"/>
    <mergeCell ref="C71:H7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6" tint="-0.249977111117893"/>
  </sheetPr>
  <dimension ref="A1:S115"/>
  <sheetViews>
    <sheetView showGridLines="0" zoomScale="85" zoomScaleNormal="85" workbookViewId="0">
      <selection activeCell="O43" sqref="O43"/>
    </sheetView>
  </sheetViews>
  <sheetFormatPr baseColWidth="10" defaultColWidth="11.42578125" defaultRowHeight="15" x14ac:dyDescent="0.25"/>
  <cols>
    <col min="1" max="1" width="11.42578125" style="6"/>
    <col min="2" max="2" width="11.85546875" style="6" customWidth="1"/>
    <col min="3" max="4" width="11.42578125" style="6"/>
    <col min="5" max="5" width="13" style="6" customWidth="1"/>
    <col min="6" max="16384" width="11.42578125" style="6"/>
  </cols>
  <sheetData>
    <row r="1" spans="2:17" ht="15.75" thickBot="1" x14ac:dyDescent="0.3"/>
    <row r="2" spans="2:17" ht="17.25" customHeight="1" x14ac:dyDescent="0.25">
      <c r="B2" s="1094" t="s">
        <v>79</v>
      </c>
      <c r="C2" s="1096" t="s">
        <v>479</v>
      </c>
      <c r="D2" s="1090"/>
      <c r="E2" s="1090"/>
      <c r="F2" s="1090"/>
      <c r="G2"/>
      <c r="H2"/>
      <c r="K2" s="1094" t="s">
        <v>79</v>
      </c>
      <c r="L2" s="1096" t="s">
        <v>480</v>
      </c>
      <c r="M2" s="1090"/>
      <c r="N2" s="1090"/>
      <c r="O2" s="1090"/>
      <c r="P2"/>
      <c r="Q2"/>
    </row>
    <row r="3" spans="2:17" ht="15.75" thickBot="1" x14ac:dyDescent="0.3">
      <c r="B3" s="1095"/>
      <c r="C3" s="697">
        <v>30</v>
      </c>
      <c r="D3" s="698">
        <v>60</v>
      </c>
      <c r="E3" s="698">
        <v>90</v>
      </c>
      <c r="F3" s="51">
        <v>120</v>
      </c>
      <c r="G3"/>
      <c r="H3"/>
      <c r="K3" s="1095"/>
      <c r="L3" s="699">
        <v>30</v>
      </c>
      <c r="M3" s="698">
        <v>60</v>
      </c>
      <c r="N3" s="698">
        <v>90</v>
      </c>
      <c r="O3" s="51">
        <v>120</v>
      </c>
      <c r="P3"/>
      <c r="Q3"/>
    </row>
    <row r="4" spans="2:17" ht="15.75" thickBot="1" x14ac:dyDescent="0.3">
      <c r="B4" s="739">
        <v>60</v>
      </c>
      <c r="C4" s="740">
        <v>184</v>
      </c>
      <c r="D4" s="740">
        <v>448</v>
      </c>
      <c r="E4" s="740">
        <v>859</v>
      </c>
      <c r="F4" s="741">
        <v>2538</v>
      </c>
      <c r="G4"/>
      <c r="H4"/>
      <c r="K4" s="739">
        <v>70</v>
      </c>
      <c r="L4" s="740">
        <v>198</v>
      </c>
      <c r="M4" s="740">
        <v>319</v>
      </c>
      <c r="N4" s="741">
        <v>1011</v>
      </c>
      <c r="O4" s="741">
        <v>2240</v>
      </c>
      <c r="P4"/>
      <c r="Q4"/>
    </row>
    <row r="5" spans="2:17" ht="15.75" thickBot="1" x14ac:dyDescent="0.3">
      <c r="B5" s="742">
        <v>70</v>
      </c>
      <c r="C5" s="743">
        <v>184</v>
      </c>
      <c r="D5" s="743">
        <v>522</v>
      </c>
      <c r="E5" s="744">
        <v>1050</v>
      </c>
      <c r="F5" s="744">
        <v>3089</v>
      </c>
      <c r="G5"/>
      <c r="H5"/>
      <c r="K5" s="742">
        <v>80</v>
      </c>
      <c r="L5" s="743">
        <v>198</v>
      </c>
      <c r="M5" s="743">
        <v>356</v>
      </c>
      <c r="N5" s="744">
        <v>1145</v>
      </c>
      <c r="O5" s="744">
        <v>3146</v>
      </c>
      <c r="P5"/>
      <c r="Q5"/>
    </row>
    <row r="6" spans="2:17" ht="15.75" thickBot="1" x14ac:dyDescent="0.3">
      <c r="B6" s="742">
        <v>80</v>
      </c>
      <c r="C6" s="743">
        <v>184</v>
      </c>
      <c r="D6" s="743">
        <v>549</v>
      </c>
      <c r="E6" s="744">
        <v>1226</v>
      </c>
      <c r="F6" s="744">
        <v>3640</v>
      </c>
      <c r="G6"/>
      <c r="H6"/>
      <c r="K6" s="742">
        <v>90</v>
      </c>
      <c r="L6" s="743">
        <v>198</v>
      </c>
      <c r="M6" s="743">
        <v>393</v>
      </c>
      <c r="N6" s="744">
        <v>1278</v>
      </c>
      <c r="O6" s="744">
        <v>3857</v>
      </c>
      <c r="P6"/>
      <c r="Q6"/>
    </row>
    <row r="7" spans="2:17" ht="15.75" thickBot="1" x14ac:dyDescent="0.3">
      <c r="B7" s="742">
        <v>90</v>
      </c>
      <c r="C7" s="743">
        <v>184</v>
      </c>
      <c r="D7" s="743">
        <v>576</v>
      </c>
      <c r="E7" s="744">
        <v>1365</v>
      </c>
      <c r="F7" s="1102"/>
      <c r="G7"/>
      <c r="H7"/>
      <c r="K7" s="742">
        <v>100</v>
      </c>
      <c r="L7" s="743">
        <v>198</v>
      </c>
      <c r="M7" s="743">
        <v>430</v>
      </c>
      <c r="N7" s="744">
        <v>1411</v>
      </c>
      <c r="O7" s="744">
        <v>3965</v>
      </c>
      <c r="P7"/>
      <c r="Q7"/>
    </row>
    <row r="8" spans="2:17" ht="15.75" thickBot="1" x14ac:dyDescent="0.3">
      <c r="B8" s="742">
        <v>100</v>
      </c>
      <c r="C8" s="743">
        <v>184</v>
      </c>
      <c r="D8" s="743">
        <v>602</v>
      </c>
      <c r="E8" s="744">
        <v>1504</v>
      </c>
      <c r="F8" s="1103"/>
      <c r="G8"/>
      <c r="H8"/>
      <c r="K8" s="742">
        <v>110</v>
      </c>
      <c r="L8" s="743">
        <v>198</v>
      </c>
      <c r="M8" s="743">
        <v>468</v>
      </c>
      <c r="N8" s="744">
        <v>1544</v>
      </c>
      <c r="O8" s="744">
        <v>4073</v>
      </c>
      <c r="P8"/>
      <c r="Q8"/>
    </row>
    <row r="9" spans="2:17" ht="15.75" thickBot="1" x14ac:dyDescent="0.3">
      <c r="B9" s="742">
        <v>110</v>
      </c>
      <c r="C9" s="743">
        <v>184</v>
      </c>
      <c r="D9" s="743">
        <v>629</v>
      </c>
      <c r="E9" s="744">
        <v>1643</v>
      </c>
      <c r="F9" s="1103"/>
      <c r="G9"/>
      <c r="H9"/>
      <c r="K9" s="742">
        <v>120</v>
      </c>
      <c r="L9" s="743">
        <v>198</v>
      </c>
      <c r="M9" s="743">
        <v>505</v>
      </c>
      <c r="N9" s="744">
        <v>1677</v>
      </c>
      <c r="O9" s="744">
        <v>4181</v>
      </c>
      <c r="P9"/>
      <c r="Q9"/>
    </row>
    <row r="10" spans="2:17" ht="15.75" thickBot="1" x14ac:dyDescent="0.3">
      <c r="B10" s="742">
        <v>120</v>
      </c>
      <c r="C10" s="743">
        <v>184</v>
      </c>
      <c r="D10" s="743">
        <v>656</v>
      </c>
      <c r="E10" s="744">
        <v>1781</v>
      </c>
      <c r="F10" s="1103"/>
      <c r="G10"/>
      <c r="H10"/>
      <c r="K10" s="742">
        <v>130</v>
      </c>
      <c r="L10" s="743">
        <v>198</v>
      </c>
      <c r="M10" s="743">
        <v>542</v>
      </c>
      <c r="N10" s="744">
        <v>1810</v>
      </c>
      <c r="O10" s="744">
        <v>4289</v>
      </c>
      <c r="P10"/>
      <c r="Q10"/>
    </row>
    <row r="11" spans="2:17" ht="15.75" thickBot="1" x14ac:dyDescent="0.3">
      <c r="B11" s="742">
        <v>130</v>
      </c>
      <c r="C11" s="743">
        <v>184</v>
      </c>
      <c r="D11" s="743">
        <v>683</v>
      </c>
      <c r="E11" s="744">
        <v>1920</v>
      </c>
      <c r="F11" s="1103"/>
      <c r="G11"/>
      <c r="H11"/>
      <c r="K11" s="742">
        <v>140</v>
      </c>
      <c r="L11" s="743">
        <v>198</v>
      </c>
      <c r="M11" s="743">
        <v>579</v>
      </c>
      <c r="N11" s="744">
        <v>1943</v>
      </c>
      <c r="O11" s="744">
        <v>4397</v>
      </c>
      <c r="P11"/>
      <c r="Q11"/>
    </row>
    <row r="12" spans="2:17" ht="15.75" thickBot="1" x14ac:dyDescent="0.3">
      <c r="B12" s="742">
        <v>140</v>
      </c>
      <c r="C12" s="743">
        <v>184</v>
      </c>
      <c r="D12" s="743">
        <v>709</v>
      </c>
      <c r="E12" s="744">
        <v>2059</v>
      </c>
      <c r="F12" s="1103"/>
      <c r="G12"/>
      <c r="H12"/>
      <c r="K12" s="742">
        <v>150</v>
      </c>
      <c r="L12" s="743">
        <v>198</v>
      </c>
      <c r="M12" s="743">
        <v>616</v>
      </c>
      <c r="N12" s="744">
        <v>2076</v>
      </c>
      <c r="O12" s="744">
        <v>4505</v>
      </c>
      <c r="P12"/>
      <c r="Q12"/>
    </row>
    <row r="13" spans="2:17" ht="15.75" thickBot="1" x14ac:dyDescent="0.3">
      <c r="B13" s="742">
        <v>150</v>
      </c>
      <c r="C13" s="743">
        <v>184</v>
      </c>
      <c r="D13" s="743">
        <v>736</v>
      </c>
      <c r="E13" s="744">
        <v>2198</v>
      </c>
      <c r="F13" s="1103"/>
      <c r="G13"/>
      <c r="H13"/>
      <c r="K13" s="742">
        <v>160</v>
      </c>
      <c r="L13" s="743">
        <v>198</v>
      </c>
      <c r="M13" s="743">
        <v>653</v>
      </c>
      <c r="N13" s="744">
        <v>2208</v>
      </c>
      <c r="O13" s="744">
        <v>4613</v>
      </c>
      <c r="P13"/>
      <c r="Q13"/>
    </row>
    <row r="14" spans="2:17" ht="15.75" thickBot="1" x14ac:dyDescent="0.3">
      <c r="B14" s="742">
        <v>160</v>
      </c>
      <c r="C14" s="743">
        <v>184</v>
      </c>
      <c r="D14" s="743">
        <v>763</v>
      </c>
      <c r="E14" s="744">
        <v>2337</v>
      </c>
      <c r="F14" s="1103"/>
      <c r="G14"/>
      <c r="H14"/>
      <c r="K14" s="742">
        <v>170</v>
      </c>
      <c r="L14" s="743">
        <v>198</v>
      </c>
      <c r="M14" s="743">
        <v>690</v>
      </c>
      <c r="N14" s="744">
        <v>2341</v>
      </c>
      <c r="O14" s="744">
        <v>4721</v>
      </c>
      <c r="P14"/>
      <c r="Q14"/>
    </row>
    <row r="15" spans="2:17" ht="15.75" thickBot="1" x14ac:dyDescent="0.3">
      <c r="B15" s="742">
        <v>170</v>
      </c>
      <c r="C15" s="743">
        <v>184</v>
      </c>
      <c r="D15" s="743">
        <v>790</v>
      </c>
      <c r="E15" s="744">
        <v>2475</v>
      </c>
      <c r="F15" s="1103"/>
      <c r="G15"/>
      <c r="H15"/>
      <c r="K15" s="742">
        <v>180</v>
      </c>
      <c r="L15" s="743">
        <v>198</v>
      </c>
      <c r="M15" s="743">
        <v>727</v>
      </c>
      <c r="N15" s="744">
        <v>2474</v>
      </c>
      <c r="O15" s="744">
        <v>4829</v>
      </c>
      <c r="P15"/>
      <c r="Q15"/>
    </row>
    <row r="16" spans="2:17" ht="15.75" thickBot="1" x14ac:dyDescent="0.3">
      <c r="B16" s="742">
        <v>180</v>
      </c>
      <c r="C16" s="743">
        <v>184</v>
      </c>
      <c r="D16" s="743">
        <v>816</v>
      </c>
      <c r="E16" s="744">
        <v>2585</v>
      </c>
      <c r="F16" s="1103"/>
      <c r="G16"/>
      <c r="H16"/>
      <c r="K16" s="742">
        <v>190</v>
      </c>
      <c r="L16" s="743">
        <v>198</v>
      </c>
      <c r="M16" s="743">
        <v>764</v>
      </c>
      <c r="N16" s="744">
        <v>2607</v>
      </c>
      <c r="O16" s="744">
        <v>4937</v>
      </c>
      <c r="P16"/>
      <c r="Q16"/>
    </row>
    <row r="17" spans="2:17" ht="15.75" thickBot="1" x14ac:dyDescent="0.3">
      <c r="B17" s="742">
        <v>190</v>
      </c>
      <c r="C17" s="743">
        <v>206</v>
      </c>
      <c r="D17" s="743">
        <v>898</v>
      </c>
      <c r="E17" s="744">
        <v>2695</v>
      </c>
      <c r="F17" s="1103"/>
      <c r="G17"/>
      <c r="H17"/>
      <c r="K17" s="742">
        <v>200</v>
      </c>
      <c r="L17" s="743">
        <v>198</v>
      </c>
      <c r="M17" s="743">
        <v>801</v>
      </c>
      <c r="N17" s="744">
        <v>2764</v>
      </c>
      <c r="O17" s="744">
        <v>5045</v>
      </c>
      <c r="P17"/>
      <c r="Q17"/>
    </row>
    <row r="18" spans="2:17" ht="15.75" thickBot="1" x14ac:dyDescent="0.3">
      <c r="B18" s="742">
        <v>200</v>
      </c>
      <c r="C18" s="743">
        <v>231</v>
      </c>
      <c r="D18" s="744">
        <v>1030</v>
      </c>
      <c r="E18" s="744">
        <v>2805</v>
      </c>
      <c r="F18" s="1103"/>
      <c r="G18"/>
      <c r="H18"/>
      <c r="K18" s="742">
        <v>210</v>
      </c>
      <c r="L18" s="743">
        <v>198</v>
      </c>
      <c r="M18" s="743">
        <v>861</v>
      </c>
      <c r="N18" s="744">
        <v>2975</v>
      </c>
      <c r="O18" s="744">
        <v>5153</v>
      </c>
      <c r="P18"/>
      <c r="Q18"/>
    </row>
    <row r="19" spans="2:17" ht="15.75" thickBot="1" x14ac:dyDescent="0.3">
      <c r="B19" s="742">
        <v>210</v>
      </c>
      <c r="C19" s="743">
        <v>256</v>
      </c>
      <c r="D19" s="744">
        <v>1161</v>
      </c>
      <c r="E19" s="744">
        <v>2916</v>
      </c>
      <c r="F19" s="1103"/>
      <c r="G19"/>
      <c r="H19"/>
      <c r="K19" s="742">
        <v>220</v>
      </c>
      <c r="L19" s="743">
        <v>198</v>
      </c>
      <c r="M19" s="743">
        <v>940</v>
      </c>
      <c r="N19" s="744">
        <v>3187</v>
      </c>
      <c r="O19" s="744">
        <v>5261</v>
      </c>
      <c r="P19"/>
      <c r="Q19"/>
    </row>
    <row r="20" spans="2:17" ht="15.75" thickBot="1" x14ac:dyDescent="0.3">
      <c r="B20" s="742">
        <v>220</v>
      </c>
      <c r="C20" s="743">
        <v>281</v>
      </c>
      <c r="D20" s="744">
        <v>1271</v>
      </c>
      <c r="E20" s="744">
        <v>3026</v>
      </c>
      <c r="F20" s="1103"/>
      <c r="G20"/>
      <c r="H20"/>
      <c r="K20" s="742">
        <v>230</v>
      </c>
      <c r="L20" s="743">
        <v>198</v>
      </c>
      <c r="M20" s="744">
        <v>1019</v>
      </c>
      <c r="N20" s="744">
        <v>3398</v>
      </c>
      <c r="O20" s="744">
        <v>5369</v>
      </c>
      <c r="P20"/>
      <c r="Q20"/>
    </row>
    <row r="21" spans="2:17" ht="15.75" thickBot="1" x14ac:dyDescent="0.3">
      <c r="B21" s="742">
        <v>230</v>
      </c>
      <c r="C21" s="743">
        <v>306</v>
      </c>
      <c r="D21" s="744">
        <v>1376</v>
      </c>
      <c r="E21" s="744">
        <v>3136</v>
      </c>
      <c r="F21" s="1103"/>
      <c r="G21"/>
      <c r="H21"/>
      <c r="K21" s="742">
        <v>240</v>
      </c>
      <c r="L21" s="743">
        <v>198</v>
      </c>
      <c r="M21" s="744">
        <v>1098</v>
      </c>
      <c r="N21" s="744">
        <v>3609</v>
      </c>
      <c r="O21" s="744">
        <v>5477</v>
      </c>
      <c r="P21"/>
      <c r="Q21"/>
    </row>
    <row r="22" spans="2:17" ht="15.75" thickBot="1" x14ac:dyDescent="0.3">
      <c r="B22" s="742">
        <v>240</v>
      </c>
      <c r="C22" s="743">
        <v>332</v>
      </c>
      <c r="D22" s="744">
        <v>1481</v>
      </c>
      <c r="E22" s="744">
        <v>3246</v>
      </c>
      <c r="F22" s="1103"/>
      <c r="G22"/>
      <c r="H22"/>
      <c r="K22" s="742">
        <v>245</v>
      </c>
      <c r="L22" s="743">
        <v>198</v>
      </c>
      <c r="M22" s="744">
        <v>1138</v>
      </c>
      <c r="N22" s="744">
        <v>3715</v>
      </c>
      <c r="O22" s="744">
        <v>5531</v>
      </c>
      <c r="P22"/>
      <c r="Q22"/>
    </row>
    <row r="23" spans="2:17" ht="15.75" thickBot="1" x14ac:dyDescent="0.3">
      <c r="B23" s="742">
        <v>250</v>
      </c>
      <c r="C23" s="743">
        <v>357</v>
      </c>
      <c r="D23" s="744">
        <v>1586</v>
      </c>
      <c r="E23" s="744">
        <v>3356</v>
      </c>
      <c r="F23" s="1103"/>
      <c r="G23"/>
      <c r="H23"/>
      <c r="K23" s="742">
        <v>250</v>
      </c>
      <c r="L23" s="743">
        <v>198</v>
      </c>
      <c r="M23" s="744">
        <v>1177</v>
      </c>
      <c r="N23" s="744">
        <v>3809</v>
      </c>
      <c r="O23" s="1105"/>
      <c r="P23"/>
      <c r="Q23"/>
    </row>
    <row r="24" spans="2:17" ht="15.75" thickBot="1" x14ac:dyDescent="0.3">
      <c r="B24" s="742">
        <v>260</v>
      </c>
      <c r="C24" s="743">
        <v>382</v>
      </c>
      <c r="D24" s="744">
        <v>1691</v>
      </c>
      <c r="E24" s="744">
        <v>3466</v>
      </c>
      <c r="F24" s="1103"/>
      <c r="G24"/>
      <c r="H24"/>
      <c r="K24" s="742">
        <v>260</v>
      </c>
      <c r="L24" s="743">
        <v>198</v>
      </c>
      <c r="M24" s="744">
        <v>1256</v>
      </c>
      <c r="N24" s="744">
        <v>3916</v>
      </c>
      <c r="O24" s="1106"/>
      <c r="P24"/>
      <c r="Q24"/>
    </row>
    <row r="25" spans="2:17" ht="15.75" thickBot="1" x14ac:dyDescent="0.3">
      <c r="B25" s="742">
        <v>270</v>
      </c>
      <c r="C25" s="743">
        <v>407</v>
      </c>
      <c r="D25" s="744">
        <v>1795</v>
      </c>
      <c r="E25" s="744">
        <v>3576</v>
      </c>
      <c r="F25" s="1103"/>
      <c r="G25"/>
      <c r="H25"/>
      <c r="K25" s="742">
        <v>270</v>
      </c>
      <c r="L25" s="743">
        <v>198</v>
      </c>
      <c r="M25" s="744">
        <v>1335</v>
      </c>
      <c r="N25" s="744">
        <v>4023</v>
      </c>
      <c r="O25" s="1106"/>
      <c r="P25"/>
      <c r="Q25"/>
    </row>
    <row r="26" spans="2:17" ht="15.75" thickBot="1" x14ac:dyDescent="0.3">
      <c r="B26" s="742">
        <v>280</v>
      </c>
      <c r="C26" s="743">
        <v>432</v>
      </c>
      <c r="D26" s="744">
        <v>1900</v>
      </c>
      <c r="E26" s="744">
        <v>3686</v>
      </c>
      <c r="F26" s="1103"/>
      <c r="G26"/>
      <c r="H26"/>
      <c r="K26" s="742">
        <v>280</v>
      </c>
      <c r="L26" s="743">
        <v>198</v>
      </c>
      <c r="M26" s="744">
        <v>1414</v>
      </c>
      <c r="N26" s="744">
        <v>4129</v>
      </c>
      <c r="O26" s="1106"/>
      <c r="P26"/>
      <c r="Q26"/>
    </row>
    <row r="27" spans="2:17" ht="15.75" thickBot="1" x14ac:dyDescent="0.3">
      <c r="B27" s="742">
        <v>290</v>
      </c>
      <c r="C27" s="743">
        <v>458</v>
      </c>
      <c r="D27" s="744">
        <v>2005</v>
      </c>
      <c r="E27" s="744">
        <v>3796</v>
      </c>
      <c r="F27" s="1103"/>
      <c r="G27"/>
      <c r="H27"/>
      <c r="K27" s="742">
        <v>290</v>
      </c>
      <c r="L27" s="743">
        <v>198</v>
      </c>
      <c r="M27" s="744">
        <v>1493</v>
      </c>
      <c r="N27" s="744">
        <v>4236</v>
      </c>
      <c r="O27" s="1106"/>
      <c r="P27"/>
      <c r="Q27"/>
    </row>
    <row r="28" spans="2:17" ht="15.75" thickBot="1" x14ac:dyDescent="0.3">
      <c r="B28" s="742">
        <v>300</v>
      </c>
      <c r="C28" s="743">
        <v>483</v>
      </c>
      <c r="D28" s="744">
        <v>2110</v>
      </c>
      <c r="E28" s="744">
        <v>3906</v>
      </c>
      <c r="F28" s="1103"/>
      <c r="G28"/>
      <c r="H28"/>
      <c r="K28" s="742">
        <v>300</v>
      </c>
      <c r="L28" s="743">
        <v>198</v>
      </c>
      <c r="M28" s="744">
        <v>1572</v>
      </c>
      <c r="N28" s="744">
        <v>4343</v>
      </c>
      <c r="O28" s="1106"/>
      <c r="P28"/>
      <c r="Q28"/>
    </row>
    <row r="29" spans="2:17" ht="15.75" thickBot="1" x14ac:dyDescent="0.3">
      <c r="B29" s="742">
        <v>310</v>
      </c>
      <c r="C29" s="743">
        <v>508</v>
      </c>
      <c r="D29" s="744">
        <v>2215</v>
      </c>
      <c r="E29" s="1102"/>
      <c r="F29" s="1103"/>
      <c r="G29"/>
      <c r="H29"/>
      <c r="K29" s="742">
        <v>310</v>
      </c>
      <c r="L29" s="743">
        <v>198</v>
      </c>
      <c r="M29" s="744">
        <v>1651</v>
      </c>
      <c r="N29" s="744">
        <v>4449</v>
      </c>
      <c r="O29" s="1106"/>
      <c r="P29"/>
      <c r="Q29"/>
    </row>
    <row r="30" spans="2:17" ht="15.75" thickBot="1" x14ac:dyDescent="0.3">
      <c r="B30" s="742">
        <v>320</v>
      </c>
      <c r="C30" s="743">
        <v>536</v>
      </c>
      <c r="D30" s="744">
        <v>2319</v>
      </c>
      <c r="E30" s="1103"/>
      <c r="F30" s="1103"/>
      <c r="G30"/>
      <c r="H30"/>
      <c r="K30" s="742">
        <v>320</v>
      </c>
      <c r="L30" s="743">
        <v>198</v>
      </c>
      <c r="M30" s="744">
        <v>1769</v>
      </c>
      <c r="N30" s="744">
        <v>4556</v>
      </c>
      <c r="O30" s="1106"/>
      <c r="P30"/>
      <c r="Q30"/>
    </row>
    <row r="31" spans="2:17" ht="15.75" thickBot="1" x14ac:dyDescent="0.3">
      <c r="B31" s="742">
        <v>330</v>
      </c>
      <c r="C31" s="743">
        <v>567</v>
      </c>
      <c r="D31" s="744">
        <v>2424</v>
      </c>
      <c r="E31" s="1103"/>
      <c r="F31" s="1103"/>
      <c r="G31"/>
      <c r="H31"/>
      <c r="K31" s="742">
        <v>330</v>
      </c>
      <c r="L31" s="743">
        <v>217</v>
      </c>
      <c r="M31" s="744">
        <v>1927</v>
      </c>
      <c r="N31" s="744">
        <v>4663</v>
      </c>
      <c r="O31" s="1106"/>
      <c r="P31"/>
      <c r="Q31"/>
    </row>
    <row r="32" spans="2:17" ht="15.75" thickBot="1" x14ac:dyDescent="0.3">
      <c r="B32" s="742">
        <v>340</v>
      </c>
      <c r="C32" s="743">
        <v>598</v>
      </c>
      <c r="D32" s="744">
        <v>2540</v>
      </c>
      <c r="E32" s="1103"/>
      <c r="F32" s="1103"/>
      <c r="G32"/>
      <c r="H32"/>
      <c r="K32" s="742">
        <v>340</v>
      </c>
      <c r="L32" s="743">
        <v>243</v>
      </c>
      <c r="M32" s="744">
        <v>2085</v>
      </c>
      <c r="N32" s="744">
        <v>4769</v>
      </c>
      <c r="O32" s="1106"/>
      <c r="P32"/>
      <c r="Q32"/>
    </row>
    <row r="33" spans="1:19" ht="15.75" thickBot="1" x14ac:dyDescent="0.3">
      <c r="B33" s="742">
        <v>345</v>
      </c>
      <c r="C33" s="743">
        <v>613</v>
      </c>
      <c r="D33" s="744">
        <v>2602</v>
      </c>
      <c r="E33" s="1104"/>
      <c r="F33" s="1104"/>
      <c r="G33"/>
      <c r="H33"/>
      <c r="K33" s="742">
        <v>350</v>
      </c>
      <c r="L33" s="743">
        <v>269</v>
      </c>
      <c r="M33" s="744">
        <v>2242</v>
      </c>
      <c r="N33" s="744">
        <v>4876</v>
      </c>
      <c r="O33" s="1106"/>
      <c r="P33"/>
      <c r="Q33"/>
    </row>
    <row r="34" spans="1:19" ht="15.75" thickBot="1" x14ac:dyDescent="0.3">
      <c r="B34" s="745"/>
      <c r="G34"/>
      <c r="H34"/>
      <c r="K34" s="742">
        <v>360</v>
      </c>
      <c r="L34" s="743">
        <v>295</v>
      </c>
      <c r="M34" s="744">
        <v>2400</v>
      </c>
      <c r="N34" s="744">
        <v>4983</v>
      </c>
      <c r="O34" s="1106"/>
      <c r="P34"/>
      <c r="Q34"/>
    </row>
    <row r="35" spans="1:19" ht="15.75" thickBot="1" x14ac:dyDescent="0.3">
      <c r="B35"/>
      <c r="C35"/>
      <c r="D35"/>
      <c r="E35"/>
      <c r="F35"/>
      <c r="G35"/>
      <c r="H35"/>
      <c r="K35" s="742">
        <v>370</v>
      </c>
      <c r="L35" s="743">
        <v>321</v>
      </c>
      <c r="M35" s="744">
        <v>2558</v>
      </c>
      <c r="N35" s="744">
        <v>5089</v>
      </c>
      <c r="O35" s="1106"/>
      <c r="P35"/>
      <c r="Q35"/>
    </row>
    <row r="36" spans="1:19" ht="15.75" thickBot="1" x14ac:dyDescent="0.3">
      <c r="B36"/>
      <c r="C36"/>
      <c r="D36"/>
      <c r="E36"/>
      <c r="F36"/>
      <c r="G36"/>
      <c r="H36"/>
      <c r="K36" s="742">
        <v>380</v>
      </c>
      <c r="L36" s="746"/>
      <c r="M36" s="746"/>
      <c r="N36" s="744">
        <v>5249</v>
      </c>
      <c r="O36" s="1107"/>
      <c r="P36"/>
      <c r="Q36"/>
    </row>
    <row r="37" spans="1:19" x14ac:dyDescent="0.25">
      <c r="P37"/>
      <c r="Q37"/>
    </row>
    <row r="38" spans="1:19" ht="15.75" thickBot="1" x14ac:dyDescent="0.3">
      <c r="A38" s="723"/>
      <c r="B38" s="723"/>
      <c r="C38" s="723"/>
      <c r="D38" s="723"/>
      <c r="E38" s="723"/>
      <c r="F38" s="723"/>
      <c r="G38" s="723"/>
      <c r="H38" s="723"/>
      <c r="I38" s="723"/>
      <c r="J38" s="723"/>
      <c r="K38" s="723"/>
      <c r="L38" s="723"/>
      <c r="M38" s="723"/>
      <c r="N38" s="723"/>
      <c r="O38" s="723"/>
      <c r="P38" s="723"/>
      <c r="Q38" s="723"/>
      <c r="R38" s="723"/>
      <c r="S38" s="723"/>
    </row>
    <row r="39" spans="1:19" ht="15.75" thickTop="1" x14ac:dyDescent="0.25"/>
    <row r="40" spans="1:19" ht="15.75" thickBot="1" x14ac:dyDescent="0.3"/>
    <row r="41" spans="1:19" x14ac:dyDescent="0.25">
      <c r="B41" s="1094" t="s">
        <v>79</v>
      </c>
      <c r="C41" s="1096" t="s">
        <v>481</v>
      </c>
      <c r="D41" s="1090"/>
      <c r="E41" s="1090"/>
      <c r="F41"/>
      <c r="G41"/>
      <c r="K41" s="1094" t="s">
        <v>79</v>
      </c>
      <c r="L41" s="1096" t="s">
        <v>482</v>
      </c>
      <c r="M41" s="1090"/>
      <c r="N41" s="1090"/>
      <c r="O41" s="1090"/>
      <c r="P41"/>
      <c r="Q41"/>
    </row>
    <row r="42" spans="1:19" ht="15.75" thickBot="1" x14ac:dyDescent="0.3">
      <c r="B42" s="1095"/>
      <c r="C42" s="699">
        <v>30</v>
      </c>
      <c r="D42" s="698">
        <v>60</v>
      </c>
      <c r="E42" s="698">
        <v>90</v>
      </c>
      <c r="F42"/>
      <c r="G42"/>
      <c r="K42" s="1095"/>
      <c r="L42" s="699">
        <v>30</v>
      </c>
      <c r="M42" s="698">
        <v>60</v>
      </c>
      <c r="N42" s="698">
        <v>90</v>
      </c>
      <c r="O42" s="51">
        <v>120</v>
      </c>
      <c r="P42"/>
      <c r="Q42"/>
    </row>
    <row r="43" spans="1:19" ht="15.75" thickBot="1" x14ac:dyDescent="0.3">
      <c r="B43" s="747">
        <v>70</v>
      </c>
      <c r="C43" s="748">
        <v>448</v>
      </c>
      <c r="D43" s="740">
        <v>448</v>
      </c>
      <c r="E43" s="749">
        <v>1499</v>
      </c>
      <c r="F43"/>
      <c r="G43"/>
      <c r="K43" s="739">
        <v>60</v>
      </c>
      <c r="L43" s="740">
        <v>364</v>
      </c>
      <c r="M43" s="740">
        <v>428</v>
      </c>
      <c r="N43" s="741">
        <v>1748</v>
      </c>
      <c r="O43" s="750">
        <v>4160</v>
      </c>
      <c r="P43"/>
      <c r="Q43"/>
    </row>
    <row r="44" spans="1:19" ht="15.75" thickBot="1" x14ac:dyDescent="0.3">
      <c r="B44" s="751">
        <v>80</v>
      </c>
      <c r="C44" s="752">
        <v>448</v>
      </c>
      <c r="D44" s="743">
        <v>448</v>
      </c>
      <c r="E44" s="753">
        <v>1831</v>
      </c>
      <c r="F44"/>
      <c r="G44"/>
      <c r="K44" s="742">
        <v>70</v>
      </c>
      <c r="L44" s="743">
        <v>364</v>
      </c>
      <c r="M44" s="743">
        <v>597</v>
      </c>
      <c r="N44" s="744">
        <v>1999</v>
      </c>
      <c r="O44" s="754">
        <v>4750</v>
      </c>
      <c r="P44"/>
      <c r="Q44"/>
    </row>
    <row r="45" spans="1:19" ht="15.75" thickBot="1" x14ac:dyDescent="0.3">
      <c r="B45" s="751">
        <v>90</v>
      </c>
      <c r="C45" s="752">
        <v>448</v>
      </c>
      <c r="D45" s="743">
        <v>448</v>
      </c>
      <c r="E45" s="753">
        <v>2462</v>
      </c>
      <c r="F45"/>
      <c r="G45"/>
      <c r="K45" s="742">
        <v>75</v>
      </c>
      <c r="L45" s="743">
        <v>364</v>
      </c>
      <c r="M45" s="743">
        <v>682</v>
      </c>
      <c r="N45" s="744">
        <v>2221</v>
      </c>
      <c r="O45" s="754">
        <v>5054</v>
      </c>
      <c r="P45"/>
      <c r="Q45"/>
    </row>
    <row r="46" spans="1:19" ht="15.75" thickBot="1" x14ac:dyDescent="0.3">
      <c r="B46" s="751">
        <v>100</v>
      </c>
      <c r="C46" s="752">
        <v>448</v>
      </c>
      <c r="D46" s="743">
        <v>448</v>
      </c>
      <c r="E46" s="753">
        <v>2493</v>
      </c>
      <c r="F46"/>
      <c r="G46"/>
      <c r="K46" s="742">
        <v>80</v>
      </c>
      <c r="L46" s="743">
        <v>364</v>
      </c>
      <c r="M46" s="743">
        <v>767</v>
      </c>
      <c r="N46" s="744">
        <v>3101</v>
      </c>
      <c r="O46" s="1108"/>
      <c r="P46"/>
      <c r="Q46"/>
    </row>
    <row r="47" spans="1:19" ht="15.75" thickBot="1" x14ac:dyDescent="0.3">
      <c r="B47" s="751">
        <v>105</v>
      </c>
      <c r="C47" s="752">
        <v>448</v>
      </c>
      <c r="D47" s="743">
        <v>448</v>
      </c>
      <c r="E47" s="753">
        <v>2658</v>
      </c>
      <c r="F47"/>
      <c r="G47"/>
      <c r="K47" s="742">
        <v>90</v>
      </c>
      <c r="L47" s="743">
        <v>364</v>
      </c>
      <c r="M47" s="743">
        <v>936</v>
      </c>
      <c r="N47" s="744">
        <v>3676</v>
      </c>
      <c r="O47" s="1109"/>
      <c r="P47"/>
      <c r="Q47"/>
    </row>
    <row r="48" spans="1:19" ht="15.75" thickBot="1" x14ac:dyDescent="0.3">
      <c r="B48" s="751">
        <v>110</v>
      </c>
      <c r="C48" s="752">
        <v>448</v>
      </c>
      <c r="D48" s="743">
        <v>555</v>
      </c>
      <c r="E48" s="1108"/>
      <c r="F48"/>
      <c r="G48"/>
      <c r="K48" s="742">
        <v>100</v>
      </c>
      <c r="L48" s="743">
        <v>364</v>
      </c>
      <c r="M48" s="744">
        <v>1146</v>
      </c>
      <c r="N48" s="744">
        <v>4101</v>
      </c>
      <c r="O48" s="1109"/>
      <c r="P48"/>
      <c r="Q48"/>
    </row>
    <row r="49" spans="2:17" ht="15.75" thickBot="1" x14ac:dyDescent="0.3">
      <c r="B49" s="751">
        <v>120</v>
      </c>
      <c r="C49" s="752">
        <v>448</v>
      </c>
      <c r="D49" s="743">
        <v>947</v>
      </c>
      <c r="E49" s="1109"/>
      <c r="F49"/>
      <c r="G49"/>
      <c r="K49" s="742">
        <v>110</v>
      </c>
      <c r="L49" s="743">
        <v>364</v>
      </c>
      <c r="M49" s="744">
        <v>1371</v>
      </c>
      <c r="N49" s="744">
        <v>4525</v>
      </c>
      <c r="O49" s="1109"/>
      <c r="P49"/>
      <c r="Q49"/>
    </row>
    <row r="50" spans="2:17" ht="15.75" thickBot="1" x14ac:dyDescent="0.3">
      <c r="B50" s="751">
        <v>130</v>
      </c>
      <c r="C50" s="752">
        <v>448</v>
      </c>
      <c r="D50" s="744">
        <v>1339</v>
      </c>
      <c r="E50" s="1109"/>
      <c r="F50"/>
      <c r="G50"/>
      <c r="K50" s="742">
        <v>120</v>
      </c>
      <c r="L50" s="743">
        <v>364</v>
      </c>
      <c r="M50" s="744">
        <v>1595</v>
      </c>
      <c r="N50" s="744">
        <v>4950</v>
      </c>
      <c r="O50" s="1109"/>
      <c r="P50"/>
      <c r="Q50"/>
    </row>
    <row r="51" spans="2:17" ht="15.75" thickBot="1" x14ac:dyDescent="0.3">
      <c r="B51" s="751">
        <v>140</v>
      </c>
      <c r="C51" s="752">
        <v>448</v>
      </c>
      <c r="D51" s="744">
        <v>1556</v>
      </c>
      <c r="E51" s="1109"/>
      <c r="F51"/>
      <c r="G51"/>
      <c r="K51" s="742">
        <v>125</v>
      </c>
      <c r="L51" s="743">
        <v>364</v>
      </c>
      <c r="M51" s="744">
        <v>1708</v>
      </c>
      <c r="N51" s="744">
        <v>5163</v>
      </c>
      <c r="O51" s="1109"/>
      <c r="P51"/>
      <c r="Q51"/>
    </row>
    <row r="52" spans="2:17" ht="15.75" thickBot="1" x14ac:dyDescent="0.3">
      <c r="B52" s="751">
        <v>150</v>
      </c>
      <c r="C52" s="752">
        <v>448</v>
      </c>
      <c r="D52" s="744">
        <v>1614</v>
      </c>
      <c r="E52" s="1109"/>
      <c r="F52"/>
      <c r="G52"/>
      <c r="K52" s="742">
        <v>130</v>
      </c>
      <c r="L52" s="743">
        <v>364</v>
      </c>
      <c r="M52" s="744">
        <v>1820</v>
      </c>
      <c r="N52" s="1108"/>
      <c r="O52" s="1109"/>
      <c r="P52"/>
      <c r="Q52"/>
    </row>
    <row r="53" spans="2:17" ht="15.75" thickBot="1" x14ac:dyDescent="0.3">
      <c r="B53" s="751">
        <v>160</v>
      </c>
      <c r="C53" s="752">
        <v>448</v>
      </c>
      <c r="D53" s="744">
        <v>1672</v>
      </c>
      <c r="E53" s="1109"/>
      <c r="F53"/>
      <c r="G53"/>
      <c r="K53" s="742">
        <v>140</v>
      </c>
      <c r="L53" s="743">
        <v>364</v>
      </c>
      <c r="M53" s="744">
        <v>2044</v>
      </c>
      <c r="N53" s="1109"/>
      <c r="O53" s="1109"/>
      <c r="P53"/>
      <c r="Q53"/>
    </row>
    <row r="54" spans="2:17" ht="15.75" thickBot="1" x14ac:dyDescent="0.3">
      <c r="B54" s="751">
        <v>170</v>
      </c>
      <c r="C54" s="752">
        <v>448</v>
      </c>
      <c r="D54" s="744">
        <v>1729</v>
      </c>
      <c r="E54" s="1109"/>
      <c r="F54"/>
      <c r="G54"/>
      <c r="K54" s="742">
        <v>150</v>
      </c>
      <c r="L54" s="743">
        <v>364</v>
      </c>
      <c r="M54" s="744">
        <v>2270</v>
      </c>
      <c r="N54" s="1109"/>
      <c r="O54" s="1109"/>
      <c r="P54"/>
      <c r="Q54"/>
    </row>
    <row r="55" spans="2:17" ht="15.75" thickBot="1" x14ac:dyDescent="0.3">
      <c r="B55" s="751">
        <v>180</v>
      </c>
      <c r="C55" s="752">
        <v>448</v>
      </c>
      <c r="D55" s="744">
        <v>1787</v>
      </c>
      <c r="E55" s="1109"/>
      <c r="F55"/>
      <c r="G55"/>
      <c r="K55" s="742">
        <v>160</v>
      </c>
      <c r="L55" s="743">
        <v>364</v>
      </c>
      <c r="M55" s="744">
        <v>2592</v>
      </c>
      <c r="N55" s="1109"/>
      <c r="O55" s="1109"/>
      <c r="P55"/>
      <c r="Q55"/>
    </row>
    <row r="56" spans="2:17" ht="15.75" thickBot="1" x14ac:dyDescent="0.3">
      <c r="B56" s="751">
        <v>190</v>
      </c>
      <c r="C56" s="752">
        <v>448</v>
      </c>
      <c r="D56" s="744">
        <v>1845</v>
      </c>
      <c r="E56" s="1109"/>
      <c r="F56"/>
      <c r="G56"/>
      <c r="K56" s="742">
        <v>170</v>
      </c>
      <c r="L56" s="743">
        <v>364</v>
      </c>
      <c r="M56" s="744">
        <v>2914</v>
      </c>
      <c r="N56" s="1109"/>
      <c r="O56" s="1109"/>
      <c r="P56"/>
      <c r="Q56"/>
    </row>
    <row r="57" spans="2:17" ht="15.75" thickBot="1" x14ac:dyDescent="0.3">
      <c r="B57" s="751">
        <v>200</v>
      </c>
      <c r="C57" s="752">
        <v>448</v>
      </c>
      <c r="D57" s="744">
        <v>1903</v>
      </c>
      <c r="E57" s="1109"/>
      <c r="F57"/>
      <c r="G57"/>
      <c r="K57" s="742">
        <v>180</v>
      </c>
      <c r="L57" s="743">
        <v>364</v>
      </c>
      <c r="M57" s="744">
        <v>3236</v>
      </c>
      <c r="N57" s="1109"/>
      <c r="O57" s="1109"/>
      <c r="P57"/>
      <c r="Q57"/>
    </row>
    <row r="58" spans="2:17" ht="15.75" thickBot="1" x14ac:dyDescent="0.3">
      <c r="B58" s="751">
        <v>210</v>
      </c>
      <c r="C58" s="752">
        <v>448</v>
      </c>
      <c r="D58" s="744">
        <v>1961</v>
      </c>
      <c r="E58" s="1109"/>
      <c r="F58"/>
      <c r="G58"/>
      <c r="K58" s="742">
        <v>190</v>
      </c>
      <c r="L58" s="743">
        <v>386</v>
      </c>
      <c r="M58" s="744">
        <v>3452</v>
      </c>
      <c r="N58" s="1109"/>
      <c r="O58" s="1109"/>
      <c r="P58"/>
      <c r="Q58"/>
    </row>
    <row r="59" spans="2:17" ht="15.75" thickBot="1" x14ac:dyDescent="0.3">
      <c r="B59" s="751">
        <v>220</v>
      </c>
      <c r="C59" s="752">
        <v>448</v>
      </c>
      <c r="D59" s="744">
        <v>2018</v>
      </c>
      <c r="E59" s="1109"/>
      <c r="F59"/>
      <c r="G59"/>
      <c r="K59" s="742">
        <v>200</v>
      </c>
      <c r="L59" s="743">
        <v>456</v>
      </c>
      <c r="M59" s="744">
        <v>3646</v>
      </c>
      <c r="N59" s="1109"/>
      <c r="O59" s="1109"/>
      <c r="P59"/>
      <c r="Q59"/>
    </row>
    <row r="60" spans="2:17" ht="15.75" thickBot="1" x14ac:dyDescent="0.3">
      <c r="B60" s="751">
        <v>230</v>
      </c>
      <c r="C60" s="752">
        <v>448</v>
      </c>
      <c r="D60" s="744">
        <v>2076</v>
      </c>
      <c r="E60" s="1109"/>
      <c r="F60"/>
      <c r="G60"/>
      <c r="K60" s="742">
        <v>210</v>
      </c>
      <c r="L60" s="743">
        <v>526</v>
      </c>
      <c r="M60" s="744">
        <v>3841</v>
      </c>
      <c r="N60" s="1109"/>
      <c r="O60" s="1109"/>
      <c r="P60"/>
      <c r="Q60"/>
    </row>
    <row r="61" spans="2:17" ht="15.75" thickBot="1" x14ac:dyDescent="0.3">
      <c r="B61" s="751">
        <v>240</v>
      </c>
      <c r="C61" s="752">
        <v>448</v>
      </c>
      <c r="D61" s="744">
        <v>2134</v>
      </c>
      <c r="E61" s="1109"/>
      <c r="F61"/>
      <c r="G61"/>
      <c r="K61" s="742">
        <v>220</v>
      </c>
      <c r="L61" s="743">
        <v>595</v>
      </c>
      <c r="M61" s="744">
        <v>4035</v>
      </c>
      <c r="N61" s="1109"/>
      <c r="O61" s="1109"/>
      <c r="P61"/>
      <c r="Q61"/>
    </row>
    <row r="62" spans="2:17" ht="15.75" thickBot="1" x14ac:dyDescent="0.3">
      <c r="B62" s="751">
        <v>250</v>
      </c>
      <c r="C62" s="752">
        <v>448</v>
      </c>
      <c r="D62" s="744">
        <v>2192</v>
      </c>
      <c r="E62" s="1109"/>
      <c r="F62"/>
      <c r="G62"/>
      <c r="K62" s="742">
        <v>230</v>
      </c>
      <c r="L62" s="743">
        <v>665</v>
      </c>
      <c r="M62" s="744">
        <v>4230</v>
      </c>
      <c r="N62" s="1109"/>
      <c r="O62" s="1109"/>
      <c r="P62"/>
      <c r="Q62"/>
    </row>
    <row r="63" spans="2:17" ht="15.75" thickBot="1" x14ac:dyDescent="0.3">
      <c r="B63" s="751">
        <v>260</v>
      </c>
      <c r="C63" s="752">
        <v>448</v>
      </c>
      <c r="D63" s="744">
        <v>2249</v>
      </c>
      <c r="E63" s="1109"/>
      <c r="F63"/>
      <c r="G63"/>
      <c r="K63" s="742">
        <v>240</v>
      </c>
      <c r="L63" s="743">
        <v>734</v>
      </c>
      <c r="M63" s="744">
        <v>4424</v>
      </c>
      <c r="N63" s="1109"/>
      <c r="O63" s="1109"/>
      <c r="P63"/>
      <c r="Q63"/>
    </row>
    <row r="64" spans="2:17" ht="15.75" thickBot="1" x14ac:dyDescent="0.3">
      <c r="B64" s="751">
        <v>270</v>
      </c>
      <c r="C64" s="752">
        <v>448</v>
      </c>
      <c r="D64" s="744">
        <v>2307</v>
      </c>
      <c r="E64" s="1109"/>
      <c r="F64"/>
      <c r="G64"/>
      <c r="K64" s="742">
        <v>250</v>
      </c>
      <c r="L64" s="743">
        <v>804</v>
      </c>
      <c r="M64" s="744">
        <v>4619</v>
      </c>
      <c r="N64" s="1109"/>
      <c r="O64" s="1109"/>
      <c r="P64"/>
      <c r="Q64"/>
    </row>
    <row r="65" spans="1:19" ht="15.75" thickBot="1" x14ac:dyDescent="0.3">
      <c r="B65" s="751">
        <v>280</v>
      </c>
      <c r="C65" s="752">
        <v>448</v>
      </c>
      <c r="D65" s="744">
        <v>2365</v>
      </c>
      <c r="E65" s="1109"/>
      <c r="F65"/>
      <c r="G65"/>
      <c r="K65" s="742">
        <v>260</v>
      </c>
      <c r="L65" s="743">
        <v>873</v>
      </c>
      <c r="M65" s="744">
        <v>4813</v>
      </c>
      <c r="N65" s="1109"/>
      <c r="O65" s="1109"/>
      <c r="P65"/>
      <c r="Q65"/>
    </row>
    <row r="66" spans="1:19" ht="15.75" thickBot="1" x14ac:dyDescent="0.3">
      <c r="B66" s="751">
        <v>290</v>
      </c>
      <c r="C66" s="752">
        <v>448</v>
      </c>
      <c r="D66" s="744">
        <v>2423</v>
      </c>
      <c r="E66" s="1109"/>
      <c r="F66"/>
      <c r="G66"/>
      <c r="K66" s="742">
        <v>270</v>
      </c>
      <c r="L66" s="743">
        <v>943</v>
      </c>
      <c r="M66" s="744">
        <v>5007</v>
      </c>
      <c r="N66" s="1109"/>
      <c r="O66" s="1109"/>
      <c r="P66"/>
      <c r="Q66"/>
    </row>
    <row r="67" spans="1:19" ht="15.75" thickBot="1" x14ac:dyDescent="0.3">
      <c r="B67" s="751">
        <v>300</v>
      </c>
      <c r="C67" s="752">
        <v>448</v>
      </c>
      <c r="D67" s="744">
        <v>2480</v>
      </c>
      <c r="E67" s="1109"/>
      <c r="F67"/>
      <c r="G67"/>
      <c r="K67" s="742">
        <v>275</v>
      </c>
      <c r="L67" s="743">
        <v>977</v>
      </c>
      <c r="M67" s="744">
        <v>5105</v>
      </c>
      <c r="N67" s="1109"/>
      <c r="O67" s="1109"/>
      <c r="P67"/>
      <c r="Q67"/>
    </row>
    <row r="68" spans="1:19" ht="15.75" thickBot="1" x14ac:dyDescent="0.3">
      <c r="B68" s="751">
        <v>310</v>
      </c>
      <c r="C68" s="752">
        <v>448</v>
      </c>
      <c r="D68" s="744">
        <v>2538</v>
      </c>
      <c r="E68" s="1109"/>
      <c r="F68"/>
      <c r="G68"/>
      <c r="K68" s="742">
        <v>280</v>
      </c>
      <c r="L68" s="744">
        <v>1019</v>
      </c>
      <c r="M68" s="1108"/>
      <c r="N68" s="1109"/>
      <c r="O68" s="1109"/>
      <c r="P68"/>
      <c r="Q68"/>
    </row>
    <row r="69" spans="1:19" ht="15.75" thickBot="1" x14ac:dyDescent="0.3">
      <c r="B69" s="751">
        <v>320</v>
      </c>
      <c r="C69" s="752">
        <v>448</v>
      </c>
      <c r="D69" s="744">
        <v>2596</v>
      </c>
      <c r="E69" s="1109"/>
      <c r="F69"/>
      <c r="G69"/>
      <c r="K69" s="742">
        <v>300</v>
      </c>
      <c r="L69" s="744">
        <v>1190</v>
      </c>
      <c r="M69" s="1109"/>
      <c r="N69" s="1109"/>
      <c r="O69" s="1109"/>
      <c r="P69"/>
      <c r="Q69"/>
    </row>
    <row r="70" spans="1:19" ht="15.75" thickBot="1" x14ac:dyDescent="0.3">
      <c r="B70" s="751">
        <v>330</v>
      </c>
      <c r="C70" s="752">
        <v>448</v>
      </c>
      <c r="D70" s="744">
        <v>2654</v>
      </c>
      <c r="E70" s="1109"/>
      <c r="F70"/>
      <c r="G70"/>
      <c r="K70" s="742">
        <v>320</v>
      </c>
      <c r="L70" s="744">
        <v>1360</v>
      </c>
      <c r="M70" s="1109"/>
      <c r="N70" s="1109"/>
      <c r="O70" s="1109"/>
      <c r="P70"/>
      <c r="Q70"/>
    </row>
    <row r="71" spans="1:19" ht="15.75" thickBot="1" x14ac:dyDescent="0.3">
      <c r="B71" s="751">
        <v>335</v>
      </c>
      <c r="C71" s="752">
        <v>448</v>
      </c>
      <c r="D71" s="744">
        <v>2682</v>
      </c>
      <c r="E71" s="1109"/>
      <c r="F71"/>
      <c r="G71"/>
      <c r="K71" s="742">
        <v>340</v>
      </c>
      <c r="L71" s="744">
        <v>1531</v>
      </c>
      <c r="M71" s="1109"/>
      <c r="N71" s="1109"/>
      <c r="O71" s="1109"/>
      <c r="P71"/>
      <c r="Q71"/>
    </row>
    <row r="72" spans="1:19" ht="15.75" thickBot="1" x14ac:dyDescent="0.3">
      <c r="B72" s="751">
        <v>340</v>
      </c>
      <c r="C72" s="752">
        <v>448</v>
      </c>
      <c r="D72" s="1108"/>
      <c r="E72" s="1109"/>
      <c r="F72"/>
      <c r="G72"/>
      <c r="K72" s="742">
        <v>360</v>
      </c>
      <c r="L72" s="744">
        <v>1701</v>
      </c>
      <c r="M72" s="1109"/>
      <c r="N72" s="1109"/>
      <c r="O72" s="1109"/>
      <c r="P72"/>
      <c r="Q72"/>
    </row>
    <row r="73" spans="1:19" ht="15.75" thickBot="1" x14ac:dyDescent="0.3">
      <c r="B73" s="751">
        <v>350</v>
      </c>
      <c r="C73" s="752">
        <v>448</v>
      </c>
      <c r="D73" s="1110"/>
      <c r="E73" s="1110"/>
      <c r="F73"/>
      <c r="G73"/>
      <c r="K73" s="742">
        <v>380</v>
      </c>
      <c r="L73" s="744">
        <v>1871</v>
      </c>
      <c r="M73" s="1109"/>
      <c r="N73" s="1109"/>
      <c r="O73" s="1109"/>
      <c r="P73"/>
      <c r="Q73"/>
    </row>
    <row r="74" spans="1:19" ht="15.75" thickBot="1" x14ac:dyDescent="0.3">
      <c r="B74" s="755"/>
      <c r="C74"/>
      <c r="D74"/>
      <c r="E74"/>
      <c r="F74"/>
      <c r="G74"/>
      <c r="K74" s="742">
        <v>400</v>
      </c>
      <c r="L74" s="744">
        <v>2042</v>
      </c>
      <c r="M74" s="1109"/>
      <c r="N74" s="1109"/>
      <c r="O74" s="1109"/>
      <c r="P74"/>
      <c r="Q74"/>
    </row>
    <row r="75" spans="1:19" ht="15.75" thickBot="1" x14ac:dyDescent="0.3">
      <c r="B75" s="756"/>
      <c r="C75" s="731"/>
      <c r="D75" s="731"/>
      <c r="E75" s="731"/>
      <c r="F75" s="731"/>
      <c r="G75" s="731"/>
      <c r="K75" s="742">
        <v>410</v>
      </c>
      <c r="L75" s="744">
        <v>2127</v>
      </c>
      <c r="M75" s="1109"/>
      <c r="N75" s="1109"/>
      <c r="O75" s="1109"/>
      <c r="P75"/>
      <c r="Q75"/>
    </row>
    <row r="76" spans="1:19" ht="15.75" thickBot="1" x14ac:dyDescent="0.3">
      <c r="B76" s="756"/>
      <c r="C76" s="731"/>
      <c r="D76" s="731"/>
      <c r="E76" s="731"/>
      <c r="F76" s="731"/>
      <c r="G76" s="731"/>
      <c r="K76" s="742">
        <v>415</v>
      </c>
      <c r="L76" s="744">
        <v>2170</v>
      </c>
      <c r="M76" s="1110"/>
      <c r="N76" s="1110"/>
      <c r="O76" s="1110"/>
      <c r="P76"/>
      <c r="Q76"/>
    </row>
    <row r="78" spans="1:19" ht="15.75" thickBot="1" x14ac:dyDescent="0.3">
      <c r="A78" s="723"/>
      <c r="B78" s="723"/>
      <c r="C78" s="723"/>
      <c r="D78" s="723"/>
      <c r="E78" s="723"/>
      <c r="F78" s="723"/>
      <c r="G78" s="723"/>
      <c r="H78" s="723"/>
      <c r="I78" s="723"/>
      <c r="J78" s="723"/>
      <c r="K78" s="723"/>
      <c r="L78" s="723"/>
      <c r="M78" s="723"/>
      <c r="N78" s="723"/>
      <c r="O78" s="723"/>
      <c r="P78" s="723"/>
      <c r="Q78" s="723"/>
      <c r="R78" s="723"/>
      <c r="S78" s="723"/>
    </row>
    <row r="79" spans="1:19" ht="15.75" thickTop="1" x14ac:dyDescent="0.25"/>
    <row r="80" spans="1:19" ht="15.75" thickBot="1" x14ac:dyDescent="0.3"/>
    <row r="81" spans="2:8" x14ac:dyDescent="0.25">
      <c r="B81" s="1094" t="s">
        <v>79</v>
      </c>
      <c r="C81" s="1096" t="s">
        <v>483</v>
      </c>
      <c r="D81" s="1090"/>
      <c r="E81" s="1090"/>
      <c r="F81" s="1090"/>
      <c r="G81"/>
      <c r="H81"/>
    </row>
    <row r="82" spans="2:8" ht="15.75" thickBot="1" x14ac:dyDescent="0.3">
      <c r="B82" s="1095"/>
      <c r="C82" s="699">
        <v>30</v>
      </c>
      <c r="D82" s="698">
        <v>60</v>
      </c>
      <c r="E82" s="698">
        <v>90</v>
      </c>
      <c r="F82" s="51">
        <v>120</v>
      </c>
      <c r="G82"/>
      <c r="H82"/>
    </row>
    <row r="83" spans="2:8" ht="15.75" thickBot="1" x14ac:dyDescent="0.3">
      <c r="B83" s="739">
        <v>40</v>
      </c>
      <c r="C83" s="740">
        <v>338</v>
      </c>
      <c r="D83" s="740">
        <v>338</v>
      </c>
      <c r="E83" s="741">
        <v>1098</v>
      </c>
      <c r="F83" s="750">
        <v>2730</v>
      </c>
      <c r="G83"/>
      <c r="H83"/>
    </row>
    <row r="84" spans="2:8" ht="15.75" thickBot="1" x14ac:dyDescent="0.3">
      <c r="B84" s="742">
        <v>50</v>
      </c>
      <c r="C84" s="743">
        <v>338</v>
      </c>
      <c r="D84" s="743">
        <v>493</v>
      </c>
      <c r="E84" s="744">
        <v>1293</v>
      </c>
      <c r="F84" s="754">
        <v>3040</v>
      </c>
      <c r="G84"/>
      <c r="H84"/>
    </row>
    <row r="85" spans="2:8" ht="15.75" thickBot="1" x14ac:dyDescent="0.3">
      <c r="B85" s="742">
        <v>60</v>
      </c>
      <c r="C85" s="743">
        <v>338</v>
      </c>
      <c r="D85" s="743">
        <v>618</v>
      </c>
      <c r="E85" s="744">
        <v>1534</v>
      </c>
      <c r="F85" s="754">
        <v>4105</v>
      </c>
      <c r="G85"/>
      <c r="H85"/>
    </row>
    <row r="86" spans="2:8" ht="15.75" thickBot="1" x14ac:dyDescent="0.3">
      <c r="B86" s="742">
        <v>65</v>
      </c>
      <c r="C86" s="743">
        <v>338</v>
      </c>
      <c r="D86" s="743">
        <v>681</v>
      </c>
      <c r="E86" s="744">
        <v>1654</v>
      </c>
      <c r="F86" s="754">
        <v>4638</v>
      </c>
      <c r="G86"/>
      <c r="H86"/>
    </row>
    <row r="87" spans="2:8" ht="15.75" thickBot="1" x14ac:dyDescent="0.3">
      <c r="B87" s="742">
        <v>70</v>
      </c>
      <c r="C87" s="743">
        <v>338</v>
      </c>
      <c r="D87" s="743">
        <v>744</v>
      </c>
      <c r="E87" s="744">
        <v>1921</v>
      </c>
      <c r="F87" s="1108"/>
      <c r="G87"/>
      <c r="H87"/>
    </row>
    <row r="88" spans="2:8" ht="15.75" thickBot="1" x14ac:dyDescent="0.3">
      <c r="B88" s="742">
        <v>80</v>
      </c>
      <c r="C88" s="743">
        <v>338</v>
      </c>
      <c r="D88" s="743">
        <v>870</v>
      </c>
      <c r="E88" s="744">
        <v>2821</v>
      </c>
      <c r="F88" s="1109"/>
      <c r="G88"/>
      <c r="H88"/>
    </row>
    <row r="89" spans="2:8" ht="15.75" thickBot="1" x14ac:dyDescent="0.3">
      <c r="B89" s="742">
        <v>90</v>
      </c>
      <c r="C89" s="743">
        <v>338</v>
      </c>
      <c r="D89" s="743">
        <v>995</v>
      </c>
      <c r="E89" s="744">
        <v>3197</v>
      </c>
      <c r="F89" s="1109"/>
      <c r="G89"/>
      <c r="H89"/>
    </row>
    <row r="90" spans="2:8" ht="15.75" thickBot="1" x14ac:dyDescent="0.3">
      <c r="B90" s="742">
        <v>100</v>
      </c>
      <c r="C90" s="743">
        <v>338</v>
      </c>
      <c r="D90" s="744">
        <v>1121</v>
      </c>
      <c r="E90" s="744">
        <v>3412</v>
      </c>
      <c r="F90" s="1109"/>
      <c r="G90"/>
      <c r="H90"/>
    </row>
    <row r="91" spans="2:8" ht="15.75" thickBot="1" x14ac:dyDescent="0.3">
      <c r="B91" s="742">
        <v>110</v>
      </c>
      <c r="C91" s="743">
        <v>338</v>
      </c>
      <c r="D91" s="744">
        <v>1247</v>
      </c>
      <c r="E91" s="744">
        <v>3627</v>
      </c>
      <c r="F91" s="1109"/>
      <c r="G91"/>
      <c r="H91"/>
    </row>
    <row r="92" spans="2:8" ht="15.75" thickBot="1" x14ac:dyDescent="0.3">
      <c r="B92" s="742">
        <v>120</v>
      </c>
      <c r="C92" s="743">
        <v>338</v>
      </c>
      <c r="D92" s="744">
        <v>1372</v>
      </c>
      <c r="E92" s="744">
        <v>3841</v>
      </c>
      <c r="F92" s="1109"/>
      <c r="G92"/>
      <c r="H92"/>
    </row>
    <row r="93" spans="2:8" ht="15.75" thickBot="1" x14ac:dyDescent="0.3">
      <c r="B93" s="742">
        <v>130</v>
      </c>
      <c r="C93" s="743">
        <v>338</v>
      </c>
      <c r="D93" s="744">
        <v>1498</v>
      </c>
      <c r="E93" s="744">
        <v>4056</v>
      </c>
      <c r="F93" s="1109"/>
      <c r="G93"/>
      <c r="H93"/>
    </row>
    <row r="94" spans="2:8" ht="15.75" thickBot="1" x14ac:dyDescent="0.3">
      <c r="B94" s="742">
        <v>140</v>
      </c>
      <c r="C94" s="743">
        <v>338</v>
      </c>
      <c r="D94" s="744">
        <v>1624</v>
      </c>
      <c r="E94" s="744">
        <v>4190</v>
      </c>
      <c r="F94" s="1109"/>
      <c r="G94"/>
      <c r="H94"/>
    </row>
    <row r="95" spans="2:8" ht="15.75" thickBot="1" x14ac:dyDescent="0.3">
      <c r="B95" s="742">
        <v>150</v>
      </c>
      <c r="C95" s="743">
        <v>338</v>
      </c>
      <c r="D95" s="744">
        <v>1787</v>
      </c>
      <c r="E95" s="744">
        <v>4313</v>
      </c>
      <c r="F95" s="1109"/>
      <c r="G95"/>
      <c r="H95"/>
    </row>
    <row r="96" spans="2:8" ht="15.75" thickBot="1" x14ac:dyDescent="0.3">
      <c r="B96" s="742">
        <v>160</v>
      </c>
      <c r="C96" s="743">
        <v>338</v>
      </c>
      <c r="D96" s="744">
        <v>2085</v>
      </c>
      <c r="E96" s="744">
        <v>4437</v>
      </c>
      <c r="F96" s="1109"/>
      <c r="G96"/>
      <c r="H96"/>
    </row>
    <row r="97" spans="2:8" ht="15.75" thickBot="1" x14ac:dyDescent="0.3">
      <c r="B97" s="742">
        <v>170</v>
      </c>
      <c r="C97" s="743">
        <v>338</v>
      </c>
      <c r="D97" s="744">
        <v>2382</v>
      </c>
      <c r="E97" s="744">
        <v>4561</v>
      </c>
      <c r="F97" s="1109"/>
      <c r="G97"/>
      <c r="H97"/>
    </row>
    <row r="98" spans="2:8" ht="15.75" thickBot="1" x14ac:dyDescent="0.3">
      <c r="B98" s="742">
        <v>180</v>
      </c>
      <c r="C98" s="743">
        <v>338</v>
      </c>
      <c r="D98" s="744">
        <v>2680</v>
      </c>
      <c r="E98" s="744">
        <v>4685</v>
      </c>
      <c r="F98" s="1109"/>
      <c r="G98"/>
      <c r="H98"/>
    </row>
    <row r="99" spans="2:8" ht="15.75" thickBot="1" x14ac:dyDescent="0.3">
      <c r="B99" s="742">
        <v>190</v>
      </c>
      <c r="C99" s="743">
        <v>338</v>
      </c>
      <c r="D99" s="744">
        <v>2977</v>
      </c>
      <c r="E99" s="744">
        <v>4808</v>
      </c>
      <c r="F99" s="1109"/>
      <c r="G99"/>
      <c r="H99"/>
    </row>
    <row r="100" spans="2:8" ht="15.75" thickBot="1" x14ac:dyDescent="0.3">
      <c r="B100" s="742">
        <v>200</v>
      </c>
      <c r="C100" s="743">
        <v>381</v>
      </c>
      <c r="D100" s="744">
        <v>3104</v>
      </c>
      <c r="E100" s="744">
        <v>4932</v>
      </c>
      <c r="F100" s="1109"/>
      <c r="G100"/>
      <c r="H100"/>
    </row>
    <row r="101" spans="2:8" ht="15.75" thickBot="1" x14ac:dyDescent="0.3">
      <c r="B101" s="742">
        <v>210</v>
      </c>
      <c r="C101" s="743">
        <v>437</v>
      </c>
      <c r="D101" s="744">
        <v>3192</v>
      </c>
      <c r="E101" s="744">
        <v>5056</v>
      </c>
      <c r="F101" s="1109"/>
      <c r="G101"/>
      <c r="H101"/>
    </row>
    <row r="102" spans="2:8" ht="15.75" thickBot="1" x14ac:dyDescent="0.3">
      <c r="B102" s="742">
        <v>220</v>
      </c>
      <c r="C102" s="743">
        <v>493</v>
      </c>
      <c r="D102" s="744">
        <v>3280</v>
      </c>
      <c r="E102" s="744">
        <v>5180</v>
      </c>
      <c r="F102" s="1109"/>
      <c r="G102"/>
      <c r="H102"/>
    </row>
    <row r="103" spans="2:8" ht="15.75" thickBot="1" x14ac:dyDescent="0.3">
      <c r="B103" s="742">
        <v>225</v>
      </c>
      <c r="C103" s="743">
        <v>520</v>
      </c>
      <c r="D103" s="744">
        <v>3324</v>
      </c>
      <c r="E103" s="744">
        <v>5241</v>
      </c>
      <c r="F103" s="1109"/>
      <c r="G103"/>
      <c r="H103"/>
    </row>
    <row r="104" spans="2:8" ht="15.75" thickBot="1" x14ac:dyDescent="0.3">
      <c r="B104" s="742">
        <v>230</v>
      </c>
      <c r="C104" s="743">
        <v>548</v>
      </c>
      <c r="D104" s="744">
        <v>3368</v>
      </c>
      <c r="E104" s="1108"/>
      <c r="F104" s="1109"/>
      <c r="G104"/>
      <c r="H104"/>
    </row>
    <row r="105" spans="2:8" ht="15.75" thickBot="1" x14ac:dyDescent="0.3">
      <c r="B105" s="742">
        <v>240</v>
      </c>
      <c r="C105" s="743">
        <v>604</v>
      </c>
      <c r="D105" s="744">
        <v>3455</v>
      </c>
      <c r="E105" s="1109"/>
      <c r="F105" s="1109"/>
      <c r="G105"/>
      <c r="H105"/>
    </row>
    <row r="106" spans="2:8" ht="15.75" thickBot="1" x14ac:dyDescent="0.3">
      <c r="B106" s="742">
        <v>250</v>
      </c>
      <c r="C106" s="743">
        <v>660</v>
      </c>
      <c r="D106" s="744">
        <v>3543</v>
      </c>
      <c r="E106" s="1109"/>
      <c r="F106" s="1109"/>
      <c r="G106"/>
      <c r="H106"/>
    </row>
    <row r="107" spans="2:8" ht="15.75" thickBot="1" x14ac:dyDescent="0.3">
      <c r="B107" s="742">
        <v>260</v>
      </c>
      <c r="C107" s="743">
        <v>716</v>
      </c>
      <c r="D107" s="744">
        <v>3631</v>
      </c>
      <c r="E107" s="1109"/>
      <c r="F107" s="1109"/>
      <c r="G107"/>
      <c r="H107"/>
    </row>
    <row r="108" spans="2:8" ht="15.75" thickBot="1" x14ac:dyDescent="0.3">
      <c r="B108" s="742">
        <v>270</v>
      </c>
      <c r="C108" s="743">
        <v>771</v>
      </c>
      <c r="D108" s="744">
        <v>3718</v>
      </c>
      <c r="E108" s="1109"/>
      <c r="F108" s="1109"/>
      <c r="G108"/>
      <c r="H108"/>
    </row>
    <row r="109" spans="2:8" ht="15.75" thickBot="1" x14ac:dyDescent="0.3">
      <c r="B109" s="742">
        <v>280</v>
      </c>
      <c r="C109" s="743">
        <v>827</v>
      </c>
      <c r="D109" s="744">
        <v>3806</v>
      </c>
      <c r="E109" s="1109"/>
      <c r="F109" s="1109"/>
      <c r="G109"/>
      <c r="H109"/>
    </row>
    <row r="110" spans="2:8" ht="15.75" thickBot="1" x14ac:dyDescent="0.3">
      <c r="B110" s="742">
        <v>290</v>
      </c>
      <c r="C110" s="743">
        <v>883</v>
      </c>
      <c r="D110" s="744">
        <v>3894</v>
      </c>
      <c r="E110" s="1109"/>
      <c r="F110" s="1109"/>
      <c r="G110"/>
      <c r="H110"/>
    </row>
    <row r="111" spans="2:8" ht="15.75" thickBot="1" x14ac:dyDescent="0.3">
      <c r="B111" s="742">
        <v>300</v>
      </c>
      <c r="C111" s="743">
        <v>939</v>
      </c>
      <c r="D111" s="744">
        <v>3982</v>
      </c>
      <c r="E111" s="1109"/>
      <c r="F111" s="1109"/>
      <c r="G111"/>
      <c r="H111"/>
    </row>
    <row r="112" spans="2:8" ht="15.75" thickBot="1" x14ac:dyDescent="0.3">
      <c r="B112" s="742">
        <v>310</v>
      </c>
      <c r="C112" s="743">
        <v>994</v>
      </c>
      <c r="D112" s="744">
        <v>4069</v>
      </c>
      <c r="E112" s="1109"/>
      <c r="F112" s="1109"/>
      <c r="G112"/>
      <c r="H112"/>
    </row>
    <row r="113" spans="2:8" ht="15.75" thickBot="1" x14ac:dyDescent="0.3">
      <c r="B113" s="742">
        <v>320</v>
      </c>
      <c r="C113" s="744">
        <v>1050</v>
      </c>
      <c r="D113" s="744">
        <v>4265</v>
      </c>
      <c r="E113" s="1109"/>
      <c r="F113" s="1109"/>
      <c r="G113"/>
      <c r="H113"/>
    </row>
    <row r="114" spans="2:8" ht="15.75" thickBot="1" x14ac:dyDescent="0.3">
      <c r="B114" s="742">
        <v>330</v>
      </c>
      <c r="C114" s="744">
        <v>1106</v>
      </c>
      <c r="D114" s="744">
        <v>4474</v>
      </c>
      <c r="E114" s="1109"/>
      <c r="F114" s="1109"/>
      <c r="G114"/>
      <c r="H114"/>
    </row>
    <row r="115" spans="2:8" ht="15.75" thickBot="1" x14ac:dyDescent="0.3">
      <c r="B115" s="742">
        <v>340</v>
      </c>
      <c r="C115" s="744">
        <v>1162</v>
      </c>
      <c r="D115" s="744">
        <v>4684</v>
      </c>
      <c r="E115" s="1110"/>
      <c r="F115" s="1110"/>
      <c r="G115"/>
      <c r="H115"/>
    </row>
  </sheetData>
  <mergeCells count="20">
    <mergeCell ref="B81:B82"/>
    <mergeCell ref="C81:F81"/>
    <mergeCell ref="F87:F115"/>
    <mergeCell ref="E104:E115"/>
    <mergeCell ref="B41:B42"/>
    <mergeCell ref="C41:E41"/>
    <mergeCell ref="D72:D73"/>
    <mergeCell ref="K41:K42"/>
    <mergeCell ref="L41:O41"/>
    <mergeCell ref="O46:O76"/>
    <mergeCell ref="E48:E73"/>
    <mergeCell ref="N52:N76"/>
    <mergeCell ref="M68:M76"/>
    <mergeCell ref="B2:B3"/>
    <mergeCell ref="C2:F2"/>
    <mergeCell ref="K2:K3"/>
    <mergeCell ref="L2:O2"/>
    <mergeCell ref="F7:F33"/>
    <mergeCell ref="O23:O36"/>
    <mergeCell ref="E29:E33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N589"/>
  <sheetViews>
    <sheetView showGridLines="0" zoomScale="85" zoomScaleNormal="85" workbookViewId="0">
      <selection activeCell="K10" sqref="K10"/>
    </sheetView>
  </sheetViews>
  <sheetFormatPr baseColWidth="10" defaultRowHeight="15.75" x14ac:dyDescent="0.25"/>
  <cols>
    <col min="1" max="1" width="19.140625" style="4" customWidth="1"/>
    <col min="2" max="2" width="9.140625" style="4" customWidth="1"/>
    <col min="3" max="3" width="13.5703125" style="4" customWidth="1"/>
    <col min="4" max="4" width="10.7109375" style="5" customWidth="1"/>
    <col min="5" max="5" width="11" style="5" customWidth="1"/>
    <col min="6" max="6" width="16.42578125" style="4" customWidth="1"/>
    <col min="7" max="7" width="9.28515625" style="4" bestFit="1" customWidth="1"/>
    <col min="8" max="8" width="12" style="4" customWidth="1"/>
    <col min="9" max="9" width="13.5703125" style="4" customWidth="1"/>
    <col min="10" max="10" width="11.42578125" style="4"/>
    <col min="11" max="11" width="30.7109375" style="4" bestFit="1" customWidth="1"/>
  </cols>
  <sheetData>
    <row r="1" spans="1:14" ht="16.5" thickBot="1" x14ac:dyDescent="0.3"/>
    <row r="2" spans="1:14" x14ac:dyDescent="0.25">
      <c r="A2" s="1111" t="s">
        <v>141</v>
      </c>
      <c r="B2" s="1112"/>
      <c r="C2" s="1112"/>
      <c r="D2" s="1112"/>
      <c r="E2" s="1112"/>
      <c r="F2" s="1112"/>
      <c r="G2" s="1112"/>
      <c r="H2" s="1112"/>
      <c r="I2" s="1112"/>
      <c r="J2" s="1112"/>
      <c r="K2" s="1113"/>
    </row>
    <row r="3" spans="1:14" ht="50.25" thickBot="1" x14ac:dyDescent="0.3">
      <c r="A3" s="788" t="s">
        <v>147</v>
      </c>
      <c r="B3" s="138" t="s">
        <v>148</v>
      </c>
      <c r="C3" s="138" t="s">
        <v>0</v>
      </c>
      <c r="D3" s="140" t="s">
        <v>1</v>
      </c>
      <c r="E3" s="140" t="s">
        <v>2</v>
      </c>
      <c r="F3" s="138" t="s">
        <v>3</v>
      </c>
      <c r="G3" s="139" t="s">
        <v>149</v>
      </c>
      <c r="H3" s="139" t="s">
        <v>150</v>
      </c>
      <c r="I3" s="139" t="s">
        <v>151</v>
      </c>
      <c r="J3" s="138" t="s">
        <v>152</v>
      </c>
      <c r="K3" s="789" t="s">
        <v>153</v>
      </c>
    </row>
    <row r="4" spans="1:14" x14ac:dyDescent="0.25">
      <c r="A4" s="790" t="s">
        <v>484</v>
      </c>
      <c r="B4" s="1">
        <v>4</v>
      </c>
      <c r="C4" s="2"/>
      <c r="D4" s="131"/>
      <c r="E4" s="791"/>
      <c r="F4" s="3" t="s">
        <v>141</v>
      </c>
      <c r="G4" s="792">
        <v>500</v>
      </c>
      <c r="H4" s="793">
        <f>IF(G4="","",IF(G4="dar valor","",0.03937*G4))</f>
        <v>19.685000000000002</v>
      </c>
      <c r="I4" s="794">
        <f>IF(H4="","",+(67*1.5/H4)*0.75*5)</f>
        <v>19.14528829057658</v>
      </c>
      <c r="J4" s="793">
        <f>IF(I4="","",+E4/I4)</f>
        <v>0</v>
      </c>
      <c r="K4" s="650" t="str">
        <f>IF(D4&gt;(IF(C4="F-15",370,"0")+IF(C4="F-30",370,"0")+IF(C4="F-60",370,"0")+IF(C4="F-90",370,"0")+IF(C4="F-120",300,"0")+IF(C4="F-150",150,"0")),"NO ES CERTIFICABLE POR WB7","CERTIFICABLE")</f>
        <v>CERTIFICABLE</v>
      </c>
    </row>
    <row r="5" spans="1:14" x14ac:dyDescent="0.25">
      <c r="A5" s="795"/>
      <c r="B5" s="36"/>
      <c r="D5" s="796"/>
      <c r="H5" s="18"/>
      <c r="I5" s="135"/>
      <c r="J5" s="18"/>
      <c r="K5" s="797"/>
    </row>
    <row r="6" spans="1:14" ht="50.25" thickBot="1" x14ac:dyDescent="0.3">
      <c r="A6" s="788" t="s">
        <v>147</v>
      </c>
      <c r="B6" s="138" t="s">
        <v>148</v>
      </c>
      <c r="C6" s="138" t="s">
        <v>0</v>
      </c>
      <c r="D6" s="140" t="s">
        <v>1</v>
      </c>
      <c r="E6" s="140" t="s">
        <v>2</v>
      </c>
      <c r="F6" s="138" t="s">
        <v>3</v>
      </c>
      <c r="G6" s="139" t="s">
        <v>149</v>
      </c>
      <c r="H6" s="139" t="s">
        <v>150</v>
      </c>
      <c r="I6" s="139" t="s">
        <v>151</v>
      </c>
      <c r="J6" s="138" t="s">
        <v>152</v>
      </c>
      <c r="K6" s="789" t="s">
        <v>153</v>
      </c>
    </row>
    <row r="7" spans="1:14" x14ac:dyDescent="0.25">
      <c r="A7" s="790" t="s">
        <v>484</v>
      </c>
      <c r="B7" s="1">
        <v>3</v>
      </c>
      <c r="C7" s="2"/>
      <c r="D7" s="131"/>
      <c r="E7" s="791"/>
      <c r="F7" s="3" t="s">
        <v>141</v>
      </c>
      <c r="G7" s="792"/>
      <c r="H7" s="793" t="str">
        <f>IF(G7="","",IF(G7="dar valor","",0.03937*G7))</f>
        <v/>
      </c>
      <c r="I7" s="794" t="str">
        <f>IF(H7="","",+(67*1.5/H7)*0.75*5)</f>
        <v/>
      </c>
      <c r="J7" s="793" t="str">
        <f>IF(I7="","",+E7/I7)</f>
        <v/>
      </c>
      <c r="K7" s="650" t="str">
        <f>IF(D7&gt;(IF(C7="F-15",310,"0")+IF(C7="F-30",310,"0")+IF(C7="F-60",310,"0")+IF(C7="F-90",310,"0")+IF(C7="F-120",180,"0")),"NO ES CERTIFICABLE POR WB7","CERTIFICABLE")</f>
        <v>CERTIFICABLE</v>
      </c>
    </row>
    <row r="8" spans="1:14" x14ac:dyDescent="0.25">
      <c r="A8" s="795"/>
      <c r="B8" s="36"/>
      <c r="D8" s="796"/>
      <c r="H8" s="18"/>
      <c r="I8" s="135"/>
      <c r="J8" s="18"/>
      <c r="K8" s="797"/>
    </row>
    <row r="9" spans="1:14" ht="50.25" thickBot="1" x14ac:dyDescent="0.3">
      <c r="A9" s="788" t="s">
        <v>147</v>
      </c>
      <c r="B9" s="138" t="s">
        <v>148</v>
      </c>
      <c r="C9" s="138" t="s">
        <v>0</v>
      </c>
      <c r="D9" s="140" t="s">
        <v>1</v>
      </c>
      <c r="E9" s="140" t="s">
        <v>2</v>
      </c>
      <c r="F9" s="138" t="s">
        <v>3</v>
      </c>
      <c r="G9" s="139" t="s">
        <v>149</v>
      </c>
      <c r="H9" s="139" t="s">
        <v>150</v>
      </c>
      <c r="I9" s="139" t="s">
        <v>151</v>
      </c>
      <c r="J9" s="138" t="s">
        <v>152</v>
      </c>
      <c r="K9" s="789" t="s">
        <v>153</v>
      </c>
    </row>
    <row r="10" spans="1:14" ht="16.5" thickBot="1" x14ac:dyDescent="0.3">
      <c r="A10" s="798" t="s">
        <v>485</v>
      </c>
      <c r="B10" s="799">
        <v>4</v>
      </c>
      <c r="C10" s="800"/>
      <c r="D10" s="801"/>
      <c r="E10" s="802"/>
      <c r="F10" s="800" t="s">
        <v>141</v>
      </c>
      <c r="G10" s="803"/>
      <c r="H10" s="804" t="str">
        <f>IF(G10="","",IF(G10="dar valor","",0.03937*G10))</f>
        <v/>
      </c>
      <c r="I10" s="805" t="str">
        <f>IF(H10="","",+(67*1.5/H10)*0.75*5)</f>
        <v/>
      </c>
      <c r="J10" s="804" t="str">
        <f>IF(I10="","",+E10/I10)</f>
        <v/>
      </c>
      <c r="K10" s="806" t="str">
        <f>IF(D10&gt;(IF(C10="F-15",195,"0")+IF(C10="F-30",195,"0")+IF(C10="F-60",195,"0")+IF(C10="F-90",195,"0")+IF(C10="F-120",195,"0")+IF(C10="F-150",110,"0")),"NO ES CERTIFICABLE POR WB7","CERTIFICABLE")</f>
        <v>CERTIFICABLE</v>
      </c>
    </row>
    <row r="11" spans="1:14" ht="15" x14ac:dyDescent="0.25">
      <c r="A11"/>
      <c r="B11"/>
      <c r="C11"/>
      <c r="D11"/>
      <c r="E11"/>
      <c r="F11"/>
      <c r="G11"/>
      <c r="H11"/>
      <c r="I11"/>
      <c r="J11"/>
      <c r="K11"/>
    </row>
    <row r="12" spans="1:14" ht="16.5" thickBot="1" x14ac:dyDescent="0.3">
      <c r="A12" s="807"/>
      <c r="B12" s="807"/>
      <c r="C12" s="807"/>
      <c r="D12" s="807"/>
      <c r="E12" s="807" t="str">
        <f>+IF(A12="","",#REF!*#REF!*#REF!*#REF!/1000000)</f>
        <v/>
      </c>
      <c r="F12" s="807"/>
      <c r="G12" s="807"/>
      <c r="H12" s="807"/>
      <c r="I12" s="807"/>
      <c r="J12" s="807"/>
      <c r="K12" s="807"/>
      <c r="L12" s="773"/>
      <c r="M12" s="773"/>
      <c r="N12" s="773"/>
    </row>
    <row r="13" spans="1:14" ht="16.5" thickTop="1" x14ac:dyDescent="0.25">
      <c r="A13" s="643"/>
      <c r="B13" s="643"/>
      <c r="C13" s="643"/>
      <c r="D13" s="643"/>
      <c r="E13" s="643"/>
      <c r="F13" s="643"/>
      <c r="G13" s="643"/>
      <c r="H13" s="643"/>
      <c r="I13" s="643"/>
      <c r="J13" s="643"/>
      <c r="K13" s="643"/>
    </row>
    <row r="14" spans="1:14" ht="16.5" thickBot="1" x14ac:dyDescent="0.3">
      <c r="A14" s="643"/>
      <c r="B14" s="643"/>
      <c r="C14" s="643"/>
      <c r="D14" s="643"/>
      <c r="E14" s="643" t="str">
        <f>+IF(A14="","",#REF!*#REF!*#REF!*#REF!/1000000)</f>
        <v/>
      </c>
      <c r="F14" s="643"/>
      <c r="G14" s="643"/>
      <c r="H14" s="643"/>
      <c r="I14" s="643"/>
      <c r="J14" s="643"/>
      <c r="K14" s="643"/>
    </row>
    <row r="15" spans="1:14" x14ac:dyDescent="0.25">
      <c r="A15" s="1111" t="s">
        <v>404</v>
      </c>
      <c r="B15" s="1112"/>
      <c r="C15" s="1112"/>
      <c r="D15" s="1112"/>
      <c r="E15" s="1112"/>
      <c r="F15" s="1112"/>
      <c r="G15" s="1112"/>
      <c r="H15" s="1112"/>
      <c r="I15" s="1112"/>
      <c r="J15" s="1112"/>
      <c r="K15" s="1113"/>
    </row>
    <row r="16" spans="1:14" ht="50.25" thickBot="1" x14ac:dyDescent="0.3">
      <c r="A16" s="788" t="s">
        <v>147</v>
      </c>
      <c r="B16" s="138" t="s">
        <v>148</v>
      </c>
      <c r="C16" s="138" t="s">
        <v>0</v>
      </c>
      <c r="D16" s="140" t="s">
        <v>1</v>
      </c>
      <c r="E16" s="140" t="s">
        <v>2</v>
      </c>
      <c r="F16" s="138" t="s">
        <v>3</v>
      </c>
      <c r="G16" s="139" t="s">
        <v>149</v>
      </c>
      <c r="H16" s="139" t="s">
        <v>150</v>
      </c>
      <c r="I16" s="139" t="s">
        <v>151</v>
      </c>
      <c r="J16" s="138" t="s">
        <v>152</v>
      </c>
      <c r="K16" s="789" t="s">
        <v>153</v>
      </c>
    </row>
    <row r="17" spans="1:14" ht="16.5" thickBot="1" x14ac:dyDescent="0.3">
      <c r="A17" s="808"/>
      <c r="B17" s="799"/>
      <c r="C17" s="809"/>
      <c r="D17" s="810"/>
      <c r="E17" s="811"/>
      <c r="F17" s="800" t="s">
        <v>404</v>
      </c>
      <c r="G17" s="803"/>
      <c r="H17" s="804" t="str">
        <f>IF(G17="","",IF(G17="dar valor","",0.03937*G17))</f>
        <v/>
      </c>
      <c r="I17" s="805" t="str">
        <f>IF(H17="","",+(67*1.5/H17)*0.75*5)</f>
        <v/>
      </c>
      <c r="J17" s="804" t="str">
        <f>IF(I17="","",+E17/I17)</f>
        <v/>
      </c>
      <c r="K17" s="806" t="str">
        <f>IF(D17&gt;(IF(C17="F-15",390,"0")+IF(C17="F-30",390,"0")+IF(C17="F-60",340,"0")+IF(C17="F-90",120,"0")),"NO ES CERTIFICABLE POR FIRE CONTROL","CERTIFICABLE")</f>
        <v>CERTIFICABLE</v>
      </c>
    </row>
    <row r="18" spans="1:14" x14ac:dyDescent="0.25">
      <c r="A18" s="812"/>
      <c r="B18" s="812"/>
      <c r="C18" s="812"/>
      <c r="D18" s="812"/>
      <c r="E18" s="812" t="str">
        <f>+IF(A18="","",#REF!*#REF!*#REF!*#REF!/1000000)</f>
        <v/>
      </c>
      <c r="F18" s="812"/>
      <c r="G18" s="812"/>
      <c r="H18" s="812"/>
      <c r="I18" s="812"/>
      <c r="J18" s="812"/>
      <c r="K18" s="812"/>
    </row>
    <row r="19" spans="1:14" ht="16.5" thickBot="1" x14ac:dyDescent="0.3">
      <c r="A19" s="807"/>
      <c r="B19" s="807"/>
      <c r="C19" s="807"/>
      <c r="D19" s="807"/>
      <c r="E19" s="807" t="str">
        <f>+IF(A19="","",#REF!*#REF!*#REF!*#REF!/1000000)</f>
        <v/>
      </c>
      <c r="F19" s="807"/>
      <c r="G19" s="807"/>
      <c r="H19" s="807"/>
      <c r="I19" s="807"/>
      <c r="J19" s="807"/>
      <c r="K19" s="807"/>
      <c r="L19" s="773"/>
      <c r="M19" s="773"/>
      <c r="N19" s="773"/>
    </row>
    <row r="20" spans="1:14" ht="16.5" thickTop="1" x14ac:dyDescent="0.25">
      <c r="A20" s="643"/>
      <c r="B20" s="643"/>
      <c r="C20" s="643"/>
      <c r="D20" s="643"/>
      <c r="E20" s="643"/>
      <c r="F20" s="643"/>
      <c r="G20" s="643"/>
      <c r="H20" s="643"/>
      <c r="I20" s="643"/>
      <c r="J20" s="643"/>
      <c r="K20" s="643"/>
    </row>
    <row r="21" spans="1:14" ht="16.5" thickBot="1" x14ac:dyDescent="0.3">
      <c r="A21" s="643"/>
      <c r="B21" s="643"/>
      <c r="C21" s="643"/>
      <c r="D21" s="643"/>
      <c r="E21" s="643" t="str">
        <f>+IF(A21="","",#REF!*#REF!*#REF!*#REF!/1000000)</f>
        <v/>
      </c>
      <c r="F21" s="643"/>
      <c r="G21" s="643"/>
      <c r="H21" s="643"/>
      <c r="I21" s="643"/>
      <c r="J21" s="643"/>
      <c r="K21" s="643"/>
    </row>
    <row r="22" spans="1:14" x14ac:dyDescent="0.25">
      <c r="A22" s="1111" t="s">
        <v>486</v>
      </c>
      <c r="B22" s="1112"/>
      <c r="C22" s="1112"/>
      <c r="D22" s="1112"/>
      <c r="E22" s="1112"/>
      <c r="F22" s="1112"/>
      <c r="G22" s="1112"/>
      <c r="H22" s="1112"/>
      <c r="I22" s="1112"/>
      <c r="J22" s="1112"/>
      <c r="K22" s="1113"/>
    </row>
    <row r="23" spans="1:14" ht="50.25" thickBot="1" x14ac:dyDescent="0.3">
      <c r="A23" s="788" t="s">
        <v>147</v>
      </c>
      <c r="B23" s="138" t="s">
        <v>148</v>
      </c>
      <c r="C23" s="138" t="s">
        <v>0</v>
      </c>
      <c r="D23" s="140" t="s">
        <v>1</v>
      </c>
      <c r="E23" s="140" t="s">
        <v>2</v>
      </c>
      <c r="F23" s="138" t="s">
        <v>3</v>
      </c>
      <c r="G23" s="139" t="s">
        <v>149</v>
      </c>
      <c r="H23" s="139" t="s">
        <v>150</v>
      </c>
      <c r="I23" s="139" t="s">
        <v>151</v>
      </c>
      <c r="J23" s="138" t="s">
        <v>152</v>
      </c>
      <c r="K23" s="789" t="s">
        <v>153</v>
      </c>
    </row>
    <row r="24" spans="1:14" x14ac:dyDescent="0.25">
      <c r="A24" s="813" t="s">
        <v>484</v>
      </c>
      <c r="B24" s="814">
        <v>3</v>
      </c>
      <c r="C24" s="792"/>
      <c r="D24" s="815"/>
      <c r="E24" s="791"/>
      <c r="F24" s="792" t="s">
        <v>487</v>
      </c>
      <c r="G24" s="792"/>
      <c r="H24" s="793" t="str">
        <f>IF(G24="","",IF(G24="dar valor","",0.03937*G24))</f>
        <v/>
      </c>
      <c r="I24" s="794" t="str">
        <f>IF(H24="","",+(67*1.5/H24)*0.75*5)</f>
        <v/>
      </c>
      <c r="J24" s="793" t="str">
        <f>IF(I24="","",+E24/I24)</f>
        <v/>
      </c>
      <c r="K24" s="816" t="str">
        <f>IF(D24&gt;(IF(C24="F-60",340,"0")+IF(C24="F-75",340,"0")+IF(C24="F-90",340,"0")+IF(C24="F-105",330,"0")+IF(C24="F-120",220,"0")+IF(C24="F-150",90,"0")),"NO ES CERTIFICABLE POR FIRE TEX","CERTIFICABLE")</f>
        <v>CERTIFICABLE</v>
      </c>
    </row>
    <row r="25" spans="1:14" ht="16.5" thickBot="1" x14ac:dyDescent="0.3">
      <c r="A25" s="817"/>
      <c r="B25" s="643"/>
      <c r="C25" s="643"/>
      <c r="D25" s="643"/>
      <c r="E25" s="643" t="str">
        <f>+IF(A25="","",#REF!*#REF!*#REF!*#REF!/1000000)</f>
        <v/>
      </c>
      <c r="F25" s="643"/>
      <c r="G25" s="643"/>
      <c r="H25" s="643"/>
      <c r="I25" s="643"/>
      <c r="J25" s="643"/>
      <c r="K25" s="818"/>
    </row>
    <row r="26" spans="1:14" x14ac:dyDescent="0.25">
      <c r="A26" s="1111" t="s">
        <v>486</v>
      </c>
      <c r="B26" s="1112"/>
      <c r="C26" s="1112"/>
      <c r="D26" s="1112"/>
      <c r="E26" s="1112"/>
      <c r="F26" s="1112"/>
      <c r="G26" s="1112"/>
      <c r="H26" s="1112"/>
      <c r="I26" s="1112"/>
      <c r="J26" s="1112"/>
      <c r="K26" s="1113"/>
    </row>
    <row r="27" spans="1:14" ht="50.25" thickBot="1" x14ac:dyDescent="0.3">
      <c r="A27" s="788" t="s">
        <v>147</v>
      </c>
      <c r="B27" s="138" t="s">
        <v>148</v>
      </c>
      <c r="C27" s="138" t="s">
        <v>0</v>
      </c>
      <c r="D27" s="140" t="s">
        <v>1</v>
      </c>
      <c r="E27" s="140" t="s">
        <v>2</v>
      </c>
      <c r="F27" s="138" t="s">
        <v>3</v>
      </c>
      <c r="G27" s="139" t="s">
        <v>149</v>
      </c>
      <c r="H27" s="139" t="s">
        <v>150</v>
      </c>
      <c r="I27" s="139" t="s">
        <v>151</v>
      </c>
      <c r="J27" s="138" t="s">
        <v>152</v>
      </c>
      <c r="K27" s="789" t="s">
        <v>153</v>
      </c>
    </row>
    <row r="28" spans="1:14" x14ac:dyDescent="0.25">
      <c r="A28" s="813" t="s">
        <v>484</v>
      </c>
      <c r="B28" s="814">
        <v>4</v>
      </c>
      <c r="C28" s="792"/>
      <c r="D28" s="815"/>
      <c r="E28" s="791"/>
      <c r="F28" s="792" t="s">
        <v>487</v>
      </c>
      <c r="G28" s="792"/>
      <c r="H28" s="793" t="str">
        <f>IF(G28="","",IF(G28="dar valor","",0.03937*G28))</f>
        <v/>
      </c>
      <c r="I28" s="794" t="str">
        <f>IF(H28="","",+(67*1.5/H28)*0.75*5)</f>
        <v/>
      </c>
      <c r="J28" s="793" t="str">
        <f>IF(I28="","",+E28/I28)</f>
        <v/>
      </c>
      <c r="K28" s="816" t="str">
        <f>IF(D28&gt;(IF(C28="F-60",335,"0")+IF(C28="F-75",335,"0")+IF(C28="F-90",335,"0")+IF(C28="F-105",335,"0")+IF(C28="F-120",335,"0")+IF(C28="F-150",320,"0")),"NO ES CERTIFICABLE POR FIRE TEX","CERTIFICABLE")</f>
        <v>CERTIFICABLE</v>
      </c>
    </row>
    <row r="29" spans="1:14" ht="16.5" thickBot="1" x14ac:dyDescent="0.3">
      <c r="A29" s="817"/>
      <c r="B29" s="643"/>
      <c r="C29" s="643"/>
      <c r="D29" s="643"/>
      <c r="E29" s="643" t="str">
        <f>+IF(A29="","",#REF!*#REF!*#REF!*#REF!/1000000)</f>
        <v/>
      </c>
      <c r="F29" s="643"/>
      <c r="G29" s="643"/>
      <c r="H29" s="643"/>
      <c r="I29" s="643"/>
      <c r="J29" s="643"/>
      <c r="K29" s="818"/>
    </row>
    <row r="30" spans="1:14" x14ac:dyDescent="0.25">
      <c r="A30" s="1111" t="s">
        <v>486</v>
      </c>
      <c r="B30" s="1112"/>
      <c r="C30" s="1112"/>
      <c r="D30" s="1112"/>
      <c r="E30" s="1112"/>
      <c r="F30" s="1112"/>
      <c r="G30" s="1112"/>
      <c r="H30" s="1112"/>
      <c r="I30" s="1112"/>
      <c r="J30" s="1112"/>
      <c r="K30" s="1113"/>
    </row>
    <row r="31" spans="1:14" ht="50.25" thickBot="1" x14ac:dyDescent="0.3">
      <c r="A31" s="788" t="s">
        <v>147</v>
      </c>
      <c r="B31" s="138" t="s">
        <v>148</v>
      </c>
      <c r="C31" s="138" t="s">
        <v>0</v>
      </c>
      <c r="D31" s="140" t="s">
        <v>1</v>
      </c>
      <c r="E31" s="140" t="s">
        <v>2</v>
      </c>
      <c r="F31" s="138" t="s">
        <v>3</v>
      </c>
      <c r="G31" s="139" t="s">
        <v>149</v>
      </c>
      <c r="H31" s="139" t="s">
        <v>150</v>
      </c>
      <c r="I31" s="139" t="s">
        <v>151</v>
      </c>
      <c r="J31" s="138" t="s">
        <v>152</v>
      </c>
      <c r="K31" s="789" t="s">
        <v>153</v>
      </c>
    </row>
    <row r="32" spans="1:14" x14ac:dyDescent="0.25">
      <c r="A32" s="790" t="s">
        <v>485</v>
      </c>
      <c r="B32" s="1">
        <v>3</v>
      </c>
      <c r="C32" s="2"/>
      <c r="D32" s="131"/>
      <c r="E32" s="791"/>
      <c r="F32" s="3" t="s">
        <v>487</v>
      </c>
      <c r="G32" s="792"/>
      <c r="H32" s="793" t="str">
        <f>IF(G32="","",IF(G32="dar valor","",0.03937*G32))</f>
        <v/>
      </c>
      <c r="I32" s="794" t="str">
        <f>IF(H32="","",+(67*1.5/H32)*0.75*5)</f>
        <v/>
      </c>
      <c r="J32" s="793" t="str">
        <f>IF(I32="","",+E32/I32)</f>
        <v/>
      </c>
      <c r="K32" s="650" t="str">
        <f>IF(D32&gt;(IF(C32="F-60",330,"0")+IF(C32="F-75",315,"0")+IF(C32="F-90",220,"0")+IF(C32="F-105",165,"0")+IF(C32="F-120",125,"0")),"NO ES CERTIFICABLE POR FIRE TEX","CERTIFICABLE")</f>
        <v>CERTIFICABLE</v>
      </c>
    </row>
    <row r="33" spans="1:14" ht="16.5" thickBot="1" x14ac:dyDescent="0.3">
      <c r="A33" s="817"/>
      <c r="B33" s="643"/>
      <c r="C33" s="643"/>
      <c r="D33" s="643"/>
      <c r="E33" s="643" t="str">
        <f>+IF(A33="","",#REF!*#REF!*#REF!*#REF!/1000000)</f>
        <v/>
      </c>
      <c r="F33" s="643"/>
      <c r="G33" s="643"/>
      <c r="H33" s="643"/>
      <c r="I33" s="643"/>
      <c r="J33" s="643"/>
      <c r="K33" s="818"/>
    </row>
    <row r="34" spans="1:14" x14ac:dyDescent="0.25">
      <c r="A34" s="1111" t="s">
        <v>486</v>
      </c>
      <c r="B34" s="1112"/>
      <c r="C34" s="1112"/>
      <c r="D34" s="1112"/>
      <c r="E34" s="1112"/>
      <c r="F34" s="1112"/>
      <c r="G34" s="1112"/>
      <c r="H34" s="1112"/>
      <c r="I34" s="1112"/>
      <c r="J34" s="1112"/>
      <c r="K34" s="1113"/>
    </row>
    <row r="35" spans="1:14" ht="50.25" thickBot="1" x14ac:dyDescent="0.3">
      <c r="A35" s="788" t="s">
        <v>147</v>
      </c>
      <c r="B35" s="138" t="s">
        <v>148</v>
      </c>
      <c r="C35" s="138" t="s">
        <v>0</v>
      </c>
      <c r="D35" s="140" t="s">
        <v>1</v>
      </c>
      <c r="E35" s="140" t="s">
        <v>2</v>
      </c>
      <c r="F35" s="138" t="s">
        <v>3</v>
      </c>
      <c r="G35" s="139" t="s">
        <v>149</v>
      </c>
      <c r="H35" s="139" t="s">
        <v>150</v>
      </c>
      <c r="I35" s="139" t="s">
        <v>151</v>
      </c>
      <c r="J35" s="138" t="s">
        <v>152</v>
      </c>
      <c r="K35" s="789" t="s">
        <v>153</v>
      </c>
    </row>
    <row r="36" spans="1:14" x14ac:dyDescent="0.25">
      <c r="A36" s="790" t="s">
        <v>485</v>
      </c>
      <c r="B36" s="1">
        <v>4</v>
      </c>
      <c r="C36" s="2"/>
      <c r="D36" s="131"/>
      <c r="E36" s="791"/>
      <c r="F36" s="3" t="s">
        <v>487</v>
      </c>
      <c r="G36" s="792"/>
      <c r="H36" s="793" t="str">
        <f>IF(G36="","",IF(G36="dar valor","",0.03937*G36))</f>
        <v/>
      </c>
      <c r="I36" s="794" t="str">
        <f>IF(H36="","",+(67*1.5/H36)*0.75*5)</f>
        <v/>
      </c>
      <c r="J36" s="793" t="str">
        <f>IF(I36="","",+E36/I36)</f>
        <v/>
      </c>
      <c r="K36" s="650" t="str">
        <f>IF(D36&gt;(IF(C36="F-60",325,"0")+IF(C36="F-75",325,"0")+IF(C36="F-90",325,"0")+IF(C36="F-105",325,"0")+IF(C36="F-120",275,"0")+IF(C36="F-150",185,"0")),"NO ES CERTIFICABLE POR FIRE TEX","CERTIFICABLE")</f>
        <v>CERTIFICABLE</v>
      </c>
    </row>
    <row r="37" spans="1:14" ht="16.5" thickBot="1" x14ac:dyDescent="0.3">
      <c r="A37" s="817"/>
      <c r="B37" s="643"/>
      <c r="C37" s="643"/>
      <c r="D37" s="643"/>
      <c r="E37" s="643" t="str">
        <f>+IF(A37="","",#REF!*#REF!*#REF!*#REF!/1000000)</f>
        <v/>
      </c>
      <c r="F37" s="643"/>
      <c r="G37" s="643"/>
      <c r="H37" s="643"/>
      <c r="I37" s="643"/>
      <c r="J37" s="643"/>
      <c r="K37" s="818"/>
    </row>
    <row r="38" spans="1:14" x14ac:dyDescent="0.25">
      <c r="A38" s="1111" t="s">
        <v>486</v>
      </c>
      <c r="B38" s="1112"/>
      <c r="C38" s="1112"/>
      <c r="D38" s="1112"/>
      <c r="E38" s="1112"/>
      <c r="F38" s="1112"/>
      <c r="G38" s="1112"/>
      <c r="H38" s="1112"/>
      <c r="I38" s="1112"/>
      <c r="J38" s="1112"/>
      <c r="K38" s="1113"/>
    </row>
    <row r="39" spans="1:14" ht="50.25" thickBot="1" x14ac:dyDescent="0.3">
      <c r="A39" s="788" t="s">
        <v>147</v>
      </c>
      <c r="B39" s="138" t="s">
        <v>148</v>
      </c>
      <c r="C39" s="138" t="s">
        <v>0</v>
      </c>
      <c r="D39" s="140" t="s">
        <v>1</v>
      </c>
      <c r="E39" s="140" t="s">
        <v>2</v>
      </c>
      <c r="F39" s="138" t="s">
        <v>3</v>
      </c>
      <c r="G39" s="139" t="s">
        <v>149</v>
      </c>
      <c r="H39" s="139" t="s">
        <v>150</v>
      </c>
      <c r="I39" s="139" t="s">
        <v>151</v>
      </c>
      <c r="J39" s="138" t="s">
        <v>152</v>
      </c>
      <c r="K39" s="789" t="s">
        <v>153</v>
      </c>
    </row>
    <row r="40" spans="1:14" ht="16.5" thickBot="1" x14ac:dyDescent="0.3">
      <c r="A40" s="808" t="s">
        <v>488</v>
      </c>
      <c r="B40" s="799"/>
      <c r="C40" s="809"/>
      <c r="D40" s="810"/>
      <c r="E40" s="811"/>
      <c r="F40" s="800" t="s">
        <v>487</v>
      </c>
      <c r="G40" s="803"/>
      <c r="H40" s="804" t="str">
        <f>IF(G40="","",IF(G40="dar valor","",0.03937*G40))</f>
        <v/>
      </c>
      <c r="I40" s="805" t="str">
        <f>IF(H40="","",+(67*1.5/H40)*0.75*5)</f>
        <v/>
      </c>
      <c r="J40" s="804" t="str">
        <f>IF(I40="","",+E40/I40)</f>
        <v/>
      </c>
      <c r="K40" s="806" t="str">
        <f>IF(D40&gt;(IF(C40="F-60",330,"0")+IF(C40="F-75",330,"0")+IF(C40="F-90",330,"0")+IF(C40="F-105",330,"0")+IF(C40="F-120",225,"0")+IF(C40="F-150",70,"0")),"NO ES CERTIFICABLE POR FIRE TEX","CERTIFICABLE")</f>
        <v>CERTIFICABLE</v>
      </c>
    </row>
    <row r="41" spans="1:14" x14ac:dyDescent="0.25">
      <c r="A41" s="643"/>
      <c r="B41" s="643"/>
      <c r="C41" s="643"/>
      <c r="D41" s="643"/>
      <c r="E41" s="643" t="str">
        <f>+IF(A41="","",#REF!*#REF!*#REF!*#REF!/1000000)</f>
        <v/>
      </c>
      <c r="F41" s="643"/>
      <c r="G41" s="643"/>
      <c r="H41" s="643"/>
      <c r="I41" s="643"/>
      <c r="J41" s="643"/>
      <c r="K41" s="643"/>
    </row>
    <row r="42" spans="1:14" ht="16.5" thickBot="1" x14ac:dyDescent="0.3">
      <c r="A42" s="807"/>
      <c r="B42" s="807"/>
      <c r="C42" s="807"/>
      <c r="D42" s="807"/>
      <c r="E42" s="807" t="str">
        <f>+IF(A42="","",#REF!*#REF!*#REF!*#REF!/1000000)</f>
        <v/>
      </c>
      <c r="F42" s="807"/>
      <c r="G42" s="807"/>
      <c r="H42" s="807"/>
      <c r="I42" s="807"/>
      <c r="J42" s="807"/>
      <c r="K42" s="807"/>
      <c r="L42" s="773"/>
      <c r="M42" s="773"/>
      <c r="N42" s="773"/>
    </row>
    <row r="43" spans="1:14" ht="16.5" thickTop="1" x14ac:dyDescent="0.25">
      <c r="A43" s="643"/>
      <c r="B43" s="643"/>
      <c r="C43" s="643"/>
      <c r="D43" s="643"/>
      <c r="E43" s="643" t="str">
        <f>+IF(A43="","",#REF!*#REF!*#REF!*#REF!/1000000)</f>
        <v/>
      </c>
      <c r="F43" s="643"/>
      <c r="G43" s="643"/>
      <c r="H43" s="643"/>
      <c r="I43" s="643"/>
      <c r="J43" s="643"/>
      <c r="K43" s="643"/>
    </row>
    <row r="44" spans="1:14" ht="16.5" thickBot="1" x14ac:dyDescent="0.3">
      <c r="A44" s="643"/>
      <c r="B44" s="643"/>
      <c r="C44" s="643"/>
      <c r="D44" s="643"/>
      <c r="E44" s="643" t="str">
        <f>+IF(A44="","",#REF!*#REF!*#REF!*#REF!/1000000)</f>
        <v/>
      </c>
      <c r="F44" s="643"/>
      <c r="G44" s="643"/>
      <c r="H44" s="643"/>
      <c r="I44" s="643"/>
      <c r="J44" s="643"/>
      <c r="K44" s="643"/>
    </row>
    <row r="45" spans="1:14" x14ac:dyDescent="0.25">
      <c r="A45" s="1111" t="s">
        <v>403</v>
      </c>
      <c r="B45" s="1112"/>
      <c r="C45" s="1112"/>
      <c r="D45" s="1112"/>
      <c r="E45" s="1112"/>
      <c r="F45" s="1112"/>
      <c r="G45" s="1112"/>
      <c r="H45" s="1112"/>
      <c r="I45" s="1112"/>
      <c r="J45" s="1112"/>
      <c r="K45" s="1113"/>
    </row>
    <row r="46" spans="1:14" ht="50.25" thickBot="1" x14ac:dyDescent="0.3">
      <c r="A46" s="788" t="s">
        <v>147</v>
      </c>
      <c r="B46" s="138" t="s">
        <v>148</v>
      </c>
      <c r="C46" s="138" t="s">
        <v>0</v>
      </c>
      <c r="D46" s="140" t="s">
        <v>1</v>
      </c>
      <c r="E46" s="140" t="s">
        <v>2</v>
      </c>
      <c r="F46" s="138" t="s">
        <v>3</v>
      </c>
      <c r="G46" s="139" t="s">
        <v>149</v>
      </c>
      <c r="H46" s="139" t="s">
        <v>150</v>
      </c>
      <c r="I46" s="139" t="s">
        <v>151</v>
      </c>
      <c r="J46" s="138" t="s">
        <v>152</v>
      </c>
      <c r="K46" s="789" t="s">
        <v>153</v>
      </c>
    </row>
    <row r="47" spans="1:14" ht="16.5" thickBot="1" x14ac:dyDescent="0.3">
      <c r="A47" s="808"/>
      <c r="B47" s="799"/>
      <c r="C47" s="809"/>
      <c r="D47" s="810"/>
      <c r="E47" s="811"/>
      <c r="F47" s="800" t="s">
        <v>404</v>
      </c>
      <c r="G47" s="803"/>
      <c r="H47" s="804" t="str">
        <f>IF(G47="","",IF(G47="dar valor","",0.03937*G47))</f>
        <v/>
      </c>
      <c r="I47" s="805" t="str">
        <f>IF(H47="","",+(67*1.5/H47)*0.75*5)</f>
        <v/>
      </c>
      <c r="J47" s="804" t="str">
        <f>IF(I47="","",+E47/I47)</f>
        <v/>
      </c>
      <c r="K47" s="806" t="str">
        <f>IF(D47&gt;(IF(C47="F-15",390,"0")+IF(C47="F-30",390,"0")+IF(C47="F-60",310,"0")+IF(C47="F-90",90,"0")),"NO ES CERTIFICABLE POR STOFIRE","CERTIFICABLE")</f>
        <v>CERTIFICABLE</v>
      </c>
    </row>
    <row r="48" spans="1:14" x14ac:dyDescent="0.25">
      <c r="A48" s="643"/>
      <c r="B48" s="643"/>
      <c r="C48" s="643"/>
      <c r="D48" s="643"/>
      <c r="E48" s="643" t="str">
        <f>+IF(A48="","",#REF!*#REF!*#REF!*#REF!/1000000)</f>
        <v/>
      </c>
      <c r="F48" s="643"/>
      <c r="G48" s="643"/>
      <c r="H48" s="643"/>
      <c r="I48" s="643"/>
      <c r="J48" s="643"/>
      <c r="K48" s="643"/>
    </row>
    <row r="49" spans="1:11" x14ac:dyDescent="0.25">
      <c r="A49" s="643"/>
      <c r="B49" s="643"/>
      <c r="C49" s="643"/>
      <c r="D49" s="643"/>
      <c r="E49" s="643" t="str">
        <f>+IF(A49="","",#REF!*#REF!*#REF!*#REF!/1000000)</f>
        <v/>
      </c>
      <c r="F49" s="643"/>
      <c r="G49" s="643"/>
      <c r="H49" s="643"/>
      <c r="I49" s="643"/>
      <c r="J49" s="643"/>
      <c r="K49" s="643"/>
    </row>
    <row r="50" spans="1:11" x14ac:dyDescent="0.25">
      <c r="A50" s="643"/>
      <c r="B50" s="643"/>
      <c r="C50" s="643"/>
      <c r="D50" s="643"/>
      <c r="E50" s="643" t="str">
        <f>+IF(A50="","",#REF!*#REF!*#REF!*#REF!/1000000)</f>
        <v/>
      </c>
      <c r="F50" s="643"/>
      <c r="G50" s="643"/>
      <c r="H50" s="643"/>
      <c r="I50" s="643"/>
      <c r="J50" s="643"/>
      <c r="K50" s="643"/>
    </row>
    <row r="51" spans="1:11" x14ac:dyDescent="0.25">
      <c r="A51" s="643"/>
      <c r="B51" s="643"/>
      <c r="C51" s="643"/>
      <c r="D51" s="643"/>
      <c r="E51" s="643" t="str">
        <f>+IF(A51="","",#REF!*#REF!*#REF!*#REF!/1000000)</f>
        <v/>
      </c>
      <c r="F51" s="643"/>
      <c r="G51" s="643"/>
      <c r="H51" s="643"/>
      <c r="I51" s="643"/>
      <c r="J51" s="643"/>
      <c r="K51" s="643"/>
    </row>
    <row r="52" spans="1:11" x14ac:dyDescent="0.25">
      <c r="A52" s="643"/>
      <c r="B52" s="643"/>
      <c r="C52" s="643"/>
      <c r="D52" s="643"/>
      <c r="E52" s="643" t="str">
        <f>+IF(A52="","",#REF!*#REF!*#REF!*#REF!/1000000)</f>
        <v/>
      </c>
      <c r="F52" s="643"/>
      <c r="G52" s="643"/>
      <c r="H52" s="643"/>
      <c r="I52" s="643"/>
      <c r="J52" s="643"/>
      <c r="K52" s="643"/>
    </row>
    <row r="53" spans="1:11" x14ac:dyDescent="0.25">
      <c r="A53" s="643"/>
      <c r="B53" s="643"/>
      <c r="C53" s="643"/>
      <c r="D53" s="643"/>
      <c r="E53" s="643" t="str">
        <f>+IF(A53="","",#REF!*#REF!*#REF!*#REF!/1000000)</f>
        <v/>
      </c>
      <c r="F53" s="643"/>
      <c r="G53" s="643"/>
      <c r="H53" s="643"/>
      <c r="I53" s="643"/>
      <c r="J53" s="643"/>
      <c r="K53" s="643"/>
    </row>
    <row r="54" spans="1:11" x14ac:dyDescent="0.25">
      <c r="A54" s="643"/>
      <c r="B54" s="643"/>
      <c r="C54" s="643"/>
      <c r="D54" s="643"/>
      <c r="E54" s="643" t="str">
        <f>+IF(A54="","",#REF!*#REF!*#REF!*#REF!/1000000)</f>
        <v/>
      </c>
      <c r="F54" s="643"/>
      <c r="G54" s="643"/>
      <c r="H54" s="643"/>
      <c r="I54" s="643"/>
      <c r="J54" s="643"/>
      <c r="K54" s="643"/>
    </row>
    <row r="55" spans="1:11" x14ac:dyDescent="0.25">
      <c r="A55" s="643"/>
      <c r="B55" s="643"/>
      <c r="C55" s="643"/>
      <c r="D55" s="643"/>
      <c r="E55" s="643" t="str">
        <f>+IF(A55="","",#REF!*#REF!*#REF!*#REF!/1000000)</f>
        <v/>
      </c>
      <c r="F55" s="643"/>
      <c r="G55" s="643"/>
      <c r="H55" s="643"/>
      <c r="I55" s="643"/>
      <c r="J55" s="643"/>
      <c r="K55" s="643"/>
    </row>
    <row r="56" spans="1:11" x14ac:dyDescent="0.25">
      <c r="A56" s="643"/>
      <c r="B56" s="643"/>
      <c r="C56" s="643"/>
      <c r="D56" s="643"/>
      <c r="E56" s="643" t="str">
        <f>+IF(A56="","",#REF!*#REF!*#REF!*#REF!/1000000)</f>
        <v/>
      </c>
      <c r="F56" s="643"/>
      <c r="G56" s="643"/>
      <c r="H56" s="643"/>
      <c r="I56" s="643"/>
      <c r="J56" s="643"/>
      <c r="K56" s="643"/>
    </row>
    <row r="57" spans="1:11" x14ac:dyDescent="0.25">
      <c r="A57" s="643"/>
      <c r="B57" s="643"/>
      <c r="C57" s="643"/>
      <c r="D57" s="643"/>
      <c r="E57" s="643" t="str">
        <f>+IF(A57="","",#REF!*#REF!*#REF!*#REF!/1000000)</f>
        <v/>
      </c>
      <c r="F57" s="643"/>
      <c r="G57" s="643"/>
      <c r="H57" s="643"/>
      <c r="I57" s="643"/>
      <c r="J57" s="643"/>
      <c r="K57" s="643"/>
    </row>
    <row r="58" spans="1:11" x14ac:dyDescent="0.25">
      <c r="A58" s="643"/>
      <c r="B58" s="643"/>
      <c r="C58" s="643"/>
      <c r="D58" s="643"/>
      <c r="E58" s="643" t="str">
        <f>+IF(A58="","",#REF!*#REF!*#REF!*#REF!/1000000)</f>
        <v/>
      </c>
      <c r="F58" s="643"/>
      <c r="G58" s="643"/>
      <c r="H58" s="643"/>
      <c r="I58" s="643"/>
      <c r="J58" s="643"/>
      <c r="K58" s="643"/>
    </row>
    <row r="59" spans="1:11" x14ac:dyDescent="0.25">
      <c r="A59" s="643"/>
      <c r="B59" s="643"/>
      <c r="C59" s="643"/>
      <c r="D59" s="643"/>
      <c r="E59" s="643" t="str">
        <f>+IF(A59="","",#REF!*#REF!*#REF!*#REF!/1000000)</f>
        <v/>
      </c>
      <c r="F59" s="643"/>
      <c r="G59" s="643"/>
      <c r="H59" s="643"/>
      <c r="I59" s="643"/>
      <c r="J59" s="643"/>
      <c r="K59" s="643"/>
    </row>
    <row r="60" spans="1:11" x14ac:dyDescent="0.25">
      <c r="A60" s="643"/>
      <c r="B60" s="643"/>
      <c r="C60" s="643"/>
      <c r="D60" s="643"/>
      <c r="E60" s="643" t="str">
        <f>+IF(A60="","",#REF!*#REF!*#REF!*#REF!/1000000)</f>
        <v/>
      </c>
      <c r="F60" s="643"/>
      <c r="G60" s="643"/>
      <c r="H60" s="643"/>
      <c r="I60" s="643"/>
      <c r="J60" s="643"/>
      <c r="K60" s="643"/>
    </row>
    <row r="61" spans="1:11" x14ac:dyDescent="0.25">
      <c r="A61" s="643"/>
      <c r="B61" s="643"/>
      <c r="C61" s="643"/>
      <c r="D61" s="643"/>
      <c r="E61" s="643" t="str">
        <f>+IF(A61="","",#REF!*#REF!*#REF!*#REF!/1000000)</f>
        <v/>
      </c>
      <c r="F61" s="643"/>
      <c r="G61" s="643"/>
      <c r="H61" s="643"/>
      <c r="I61" s="643"/>
      <c r="J61" s="643"/>
      <c r="K61" s="643"/>
    </row>
    <row r="62" spans="1:11" x14ac:dyDescent="0.25">
      <c r="A62" s="643"/>
      <c r="B62" s="643"/>
      <c r="C62" s="643"/>
      <c r="D62" s="643"/>
      <c r="E62" s="643" t="str">
        <f>+IF(A62="","",#REF!*#REF!*#REF!*#REF!/1000000)</f>
        <v/>
      </c>
      <c r="F62" s="643"/>
      <c r="G62" s="643"/>
      <c r="H62" s="643"/>
      <c r="I62" s="643"/>
      <c r="J62" s="643"/>
      <c r="K62" s="643"/>
    </row>
    <row r="63" spans="1:11" x14ac:dyDescent="0.25">
      <c r="A63" s="643"/>
      <c r="B63" s="643"/>
      <c r="C63" s="643"/>
      <c r="D63" s="643"/>
      <c r="E63" s="643" t="str">
        <f>+IF(A63="","",#REF!*#REF!*#REF!*#REF!/1000000)</f>
        <v/>
      </c>
      <c r="F63" s="643"/>
      <c r="G63" s="643"/>
      <c r="H63" s="643"/>
      <c r="I63" s="643"/>
      <c r="J63" s="643"/>
      <c r="K63" s="643"/>
    </row>
    <row r="64" spans="1:11" x14ac:dyDescent="0.25">
      <c r="A64" s="643"/>
      <c r="B64" s="643"/>
      <c r="C64" s="643"/>
      <c r="D64" s="643"/>
      <c r="E64" s="643" t="str">
        <f>+IF(A64="","",#REF!*#REF!*#REF!*#REF!/1000000)</f>
        <v/>
      </c>
      <c r="F64" s="643"/>
      <c r="G64" s="643"/>
      <c r="H64" s="643"/>
      <c r="I64" s="643"/>
      <c r="J64" s="643"/>
      <c r="K64" s="643"/>
    </row>
    <row r="65" spans="1:11" x14ac:dyDescent="0.25">
      <c r="A65" s="643"/>
      <c r="B65" s="643"/>
      <c r="C65" s="643"/>
      <c r="D65" s="643"/>
      <c r="E65" s="643" t="str">
        <f>+IF(A65="","",#REF!*#REF!*#REF!*#REF!/1000000)</f>
        <v/>
      </c>
      <c r="F65" s="643"/>
      <c r="G65" s="643"/>
      <c r="H65" s="643"/>
      <c r="I65" s="643"/>
      <c r="J65" s="643"/>
      <c r="K65" s="643"/>
    </row>
    <row r="66" spans="1:11" x14ac:dyDescent="0.25">
      <c r="A66" s="643"/>
      <c r="B66" s="643"/>
      <c r="C66" s="643"/>
      <c r="D66" s="643"/>
      <c r="E66" s="643" t="str">
        <f>+IF(A66="","",#REF!*#REF!*#REF!*#REF!/1000000)</f>
        <v/>
      </c>
      <c r="F66" s="643"/>
      <c r="G66" s="643"/>
      <c r="H66" s="643"/>
      <c r="I66" s="643"/>
      <c r="J66" s="643"/>
      <c r="K66" s="643"/>
    </row>
    <row r="67" spans="1:11" x14ac:dyDescent="0.25">
      <c r="A67" s="643"/>
      <c r="B67" s="643"/>
      <c r="C67" s="643"/>
      <c r="D67" s="643"/>
      <c r="E67" s="643" t="str">
        <f>+IF(A67="","",#REF!*#REF!*#REF!*#REF!/1000000)</f>
        <v/>
      </c>
      <c r="F67" s="643"/>
      <c r="G67" s="643"/>
      <c r="H67" s="643"/>
      <c r="I67" s="643"/>
      <c r="J67" s="643"/>
      <c r="K67" s="643"/>
    </row>
    <row r="68" spans="1:11" x14ac:dyDescent="0.25">
      <c r="A68" s="643"/>
      <c r="B68" s="643"/>
      <c r="C68" s="643"/>
      <c r="D68" s="643"/>
      <c r="E68" s="643" t="str">
        <f>+IF(A68="","",#REF!*#REF!*#REF!*#REF!/1000000)</f>
        <v/>
      </c>
      <c r="F68" s="643"/>
      <c r="G68" s="643"/>
      <c r="H68" s="643"/>
      <c r="I68" s="643"/>
      <c r="J68" s="643"/>
      <c r="K68" s="643"/>
    </row>
    <row r="69" spans="1:11" x14ac:dyDescent="0.25">
      <c r="A69" s="643"/>
      <c r="B69" s="643"/>
      <c r="C69" s="643"/>
      <c r="D69" s="643"/>
      <c r="E69" s="643" t="str">
        <f>+IF(A69="","",#REF!*#REF!*#REF!*#REF!/1000000)</f>
        <v/>
      </c>
      <c r="F69" s="643"/>
      <c r="G69" s="643"/>
      <c r="H69" s="643"/>
      <c r="I69" s="643"/>
      <c r="J69" s="643"/>
      <c r="K69" s="643"/>
    </row>
    <row r="70" spans="1:11" x14ac:dyDescent="0.25">
      <c r="A70" s="643"/>
      <c r="B70" s="643"/>
      <c r="C70" s="643"/>
      <c r="D70" s="643"/>
      <c r="E70" s="643" t="str">
        <f>+IF(A70="","",#REF!*#REF!*#REF!*#REF!/1000000)</f>
        <v/>
      </c>
      <c r="F70" s="643"/>
      <c r="G70" s="643"/>
      <c r="H70" s="643"/>
      <c r="I70" s="643"/>
      <c r="J70" s="643"/>
      <c r="K70" s="643"/>
    </row>
    <row r="71" spans="1:11" x14ac:dyDescent="0.25">
      <c r="A71" s="643"/>
      <c r="B71" s="643"/>
      <c r="C71" s="643"/>
      <c r="D71" s="643"/>
      <c r="E71" s="643" t="str">
        <f>+IF(A71="","",#REF!*#REF!*#REF!*#REF!/1000000)</f>
        <v/>
      </c>
      <c r="F71" s="643"/>
      <c r="G71" s="643"/>
      <c r="H71" s="643"/>
      <c r="I71" s="643"/>
      <c r="J71" s="643"/>
      <c r="K71" s="643"/>
    </row>
    <row r="72" spans="1:11" x14ac:dyDescent="0.25">
      <c r="A72" s="643"/>
      <c r="B72" s="643"/>
      <c r="C72" s="643"/>
      <c r="D72" s="643"/>
      <c r="E72" s="643" t="str">
        <f>+IF(A72="","",#REF!*#REF!*#REF!*#REF!/1000000)</f>
        <v/>
      </c>
      <c r="F72" s="643"/>
      <c r="G72" s="643"/>
      <c r="H72" s="643"/>
      <c r="I72" s="643"/>
      <c r="J72" s="643"/>
      <c r="K72" s="643"/>
    </row>
    <row r="73" spans="1:11" x14ac:dyDescent="0.25">
      <c r="A73" s="643"/>
      <c r="B73" s="643"/>
      <c r="C73" s="643"/>
      <c r="D73" s="643"/>
      <c r="E73" s="643" t="str">
        <f>+IF(A73="","",#REF!*#REF!*#REF!*#REF!/1000000)</f>
        <v/>
      </c>
      <c r="F73" s="643"/>
      <c r="G73" s="643"/>
      <c r="H73" s="643"/>
      <c r="I73" s="643"/>
      <c r="J73" s="643"/>
      <c r="K73" s="643"/>
    </row>
    <row r="74" spans="1:11" x14ac:dyDescent="0.25">
      <c r="A74" s="643"/>
      <c r="B74" s="643"/>
      <c r="C74" s="643"/>
      <c r="D74" s="643"/>
      <c r="E74" s="643" t="str">
        <f>+IF(A74="","",#REF!*#REF!*#REF!*#REF!/1000000)</f>
        <v/>
      </c>
      <c r="F74" s="643"/>
      <c r="G74" s="643"/>
      <c r="H74" s="643"/>
      <c r="I74" s="643"/>
      <c r="J74" s="643"/>
      <c r="K74" s="643"/>
    </row>
    <row r="75" spans="1:11" x14ac:dyDescent="0.25">
      <c r="A75" s="643"/>
      <c r="B75" s="643"/>
      <c r="C75" s="643"/>
      <c r="D75" s="643"/>
      <c r="E75" s="643" t="str">
        <f>+IF(A75="","",#REF!*#REF!*#REF!*#REF!/1000000)</f>
        <v/>
      </c>
      <c r="F75" s="643"/>
      <c r="G75" s="643"/>
      <c r="H75" s="643"/>
      <c r="I75" s="643"/>
      <c r="J75" s="643"/>
      <c r="K75" s="643"/>
    </row>
    <row r="76" spans="1:11" x14ac:dyDescent="0.25">
      <c r="A76" s="643"/>
      <c r="B76" s="643"/>
      <c r="C76" s="643"/>
      <c r="D76" s="643"/>
      <c r="E76" s="643" t="str">
        <f>+IF(A76="","",#REF!*#REF!*#REF!*#REF!/1000000)</f>
        <v/>
      </c>
      <c r="F76" s="643"/>
      <c r="G76" s="643"/>
      <c r="H76" s="643"/>
      <c r="I76" s="643"/>
      <c r="J76" s="643"/>
      <c r="K76" s="643"/>
    </row>
    <row r="77" spans="1:11" x14ac:dyDescent="0.25">
      <c r="A77" s="643"/>
      <c r="B77" s="643"/>
      <c r="C77" s="643"/>
      <c r="D77" s="643"/>
      <c r="E77" s="643" t="str">
        <f>+IF(A77="","",#REF!*#REF!*#REF!*#REF!/1000000)</f>
        <v/>
      </c>
      <c r="F77" s="643"/>
      <c r="G77" s="643"/>
      <c r="H77" s="643"/>
      <c r="I77" s="643"/>
      <c r="J77" s="643"/>
      <c r="K77" s="643"/>
    </row>
    <row r="78" spans="1:11" x14ac:dyDescent="0.25">
      <c r="A78" s="643"/>
      <c r="B78" s="643"/>
      <c r="C78" s="643"/>
      <c r="D78" s="643"/>
      <c r="E78" s="643" t="str">
        <f>+IF(A78="","",#REF!*#REF!*#REF!*#REF!/1000000)</f>
        <v/>
      </c>
      <c r="F78" s="643"/>
      <c r="G78" s="643"/>
      <c r="H78" s="643"/>
      <c r="I78" s="643"/>
      <c r="J78" s="643"/>
      <c r="K78" s="643"/>
    </row>
    <row r="79" spans="1:11" x14ac:dyDescent="0.25">
      <c r="A79" s="643"/>
      <c r="B79" s="643"/>
      <c r="C79" s="643"/>
      <c r="D79" s="643"/>
      <c r="E79" s="643" t="str">
        <f>+IF(A79="","",#REF!*#REF!*#REF!*#REF!/1000000)</f>
        <v/>
      </c>
      <c r="F79" s="643"/>
      <c r="G79" s="643"/>
      <c r="H79" s="643"/>
      <c r="I79" s="643"/>
      <c r="J79" s="643"/>
      <c r="K79" s="643"/>
    </row>
    <row r="80" spans="1:11" x14ac:dyDescent="0.25">
      <c r="A80" s="643"/>
      <c r="B80" s="643"/>
      <c r="C80" s="643"/>
      <c r="D80" s="643"/>
      <c r="E80" s="643" t="str">
        <f>+IF(A80="","",#REF!*#REF!*#REF!*#REF!/1000000)</f>
        <v/>
      </c>
      <c r="F80" s="643"/>
      <c r="G80" s="643"/>
      <c r="H80" s="643"/>
      <c r="I80" s="643"/>
      <c r="J80" s="643"/>
      <c r="K80" s="643"/>
    </row>
    <row r="81" spans="1:11" x14ac:dyDescent="0.25">
      <c r="A81" s="643"/>
      <c r="B81" s="643"/>
      <c r="C81" s="643"/>
      <c r="D81" s="643"/>
      <c r="E81" s="643"/>
      <c r="F81" s="643"/>
      <c r="G81" s="643"/>
      <c r="H81" s="643"/>
      <c r="I81" s="643"/>
      <c r="J81" s="643"/>
      <c r="K81" s="643"/>
    </row>
    <row r="82" spans="1:11" x14ac:dyDescent="0.25">
      <c r="A82" s="643"/>
      <c r="B82" s="643"/>
      <c r="C82" s="643"/>
      <c r="D82" s="643"/>
      <c r="E82" s="643"/>
      <c r="F82" s="643"/>
      <c r="G82" s="643"/>
      <c r="H82" s="643"/>
      <c r="I82" s="643"/>
      <c r="J82" s="643"/>
      <c r="K82" s="643"/>
    </row>
    <row r="83" spans="1:11" x14ac:dyDescent="0.25">
      <c r="A83" s="643"/>
      <c r="B83" s="643"/>
      <c r="C83" s="643"/>
      <c r="D83" s="643"/>
      <c r="E83" s="643"/>
      <c r="F83" s="643"/>
      <c r="G83" s="643"/>
      <c r="H83" s="643"/>
      <c r="I83" s="643"/>
      <c r="J83" s="643"/>
      <c r="K83" s="643"/>
    </row>
    <row r="84" spans="1:11" x14ac:dyDescent="0.25">
      <c r="A84" s="643"/>
      <c r="B84" s="643"/>
      <c r="C84" s="643"/>
      <c r="D84" s="643"/>
      <c r="E84" s="643"/>
      <c r="F84" s="643"/>
      <c r="G84" s="643"/>
      <c r="H84" s="643"/>
      <c r="I84" s="643"/>
      <c r="J84" s="643"/>
      <c r="K84" s="643"/>
    </row>
    <row r="85" spans="1:11" x14ac:dyDescent="0.25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</row>
    <row r="86" spans="1:11" x14ac:dyDescent="0.25">
      <c r="A86" s="643"/>
      <c r="B86" s="643"/>
      <c r="C86" s="643"/>
      <c r="D86" s="643"/>
      <c r="E86" s="643"/>
      <c r="F86" s="643"/>
      <c r="G86" s="643"/>
      <c r="H86" s="643"/>
      <c r="I86" s="643"/>
      <c r="J86" s="643"/>
      <c r="K86" s="643"/>
    </row>
    <row r="87" spans="1:11" x14ac:dyDescent="0.25">
      <c r="A87" s="643"/>
      <c r="B87" s="643"/>
      <c r="C87" s="643"/>
      <c r="D87" s="643"/>
      <c r="E87" s="643"/>
      <c r="F87" s="643"/>
      <c r="G87" s="643"/>
      <c r="H87" s="643"/>
      <c r="I87" s="643"/>
      <c r="J87" s="643"/>
      <c r="K87" s="643"/>
    </row>
    <row r="88" spans="1:11" x14ac:dyDescent="0.25">
      <c r="A88" s="643"/>
      <c r="B88" s="643"/>
      <c r="C88" s="643"/>
      <c r="D88" s="643"/>
      <c r="E88" s="643"/>
      <c r="F88" s="643"/>
      <c r="G88" s="643"/>
      <c r="H88" s="643"/>
      <c r="I88" s="643"/>
      <c r="J88" s="643"/>
      <c r="K88" s="643"/>
    </row>
    <row r="89" spans="1:11" x14ac:dyDescent="0.25">
      <c r="A89" s="643"/>
      <c r="B89" s="643"/>
      <c r="C89" s="643"/>
      <c r="D89" s="643"/>
      <c r="E89" s="643"/>
      <c r="F89" s="643"/>
      <c r="G89" s="643"/>
      <c r="H89" s="643"/>
      <c r="I89" s="643"/>
      <c r="J89" s="643"/>
      <c r="K89" s="643"/>
    </row>
    <row r="90" spans="1:11" x14ac:dyDescent="0.25">
      <c r="A90" s="643"/>
      <c r="B90" s="643"/>
      <c r="C90" s="643"/>
      <c r="D90" s="643"/>
      <c r="E90" s="643"/>
      <c r="F90" s="643"/>
      <c r="G90" s="643"/>
      <c r="H90" s="643"/>
      <c r="I90" s="643"/>
      <c r="J90" s="643"/>
      <c r="K90" s="643"/>
    </row>
    <row r="91" spans="1:11" x14ac:dyDescent="0.25">
      <c r="A91" s="643"/>
      <c r="B91" s="643"/>
      <c r="C91" s="643"/>
      <c r="D91" s="643"/>
      <c r="E91" s="643"/>
      <c r="F91" s="643"/>
      <c r="G91" s="643"/>
      <c r="H91" s="643"/>
      <c r="I91" s="643"/>
      <c r="J91" s="643"/>
      <c r="K91" s="643"/>
    </row>
    <row r="92" spans="1:11" x14ac:dyDescent="0.25">
      <c r="A92" s="643"/>
      <c r="B92" s="643"/>
      <c r="C92" s="643"/>
      <c r="D92" s="643"/>
      <c r="E92" s="643"/>
      <c r="F92" s="643"/>
      <c r="G92" s="643"/>
      <c r="H92" s="643"/>
      <c r="I92" s="643"/>
      <c r="J92" s="643"/>
      <c r="K92" s="643"/>
    </row>
    <row r="93" spans="1:11" x14ac:dyDescent="0.25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</row>
    <row r="94" spans="1:11" x14ac:dyDescent="0.25">
      <c r="A94" s="643"/>
      <c r="B94" s="643"/>
      <c r="C94" s="643"/>
      <c r="D94" s="643"/>
      <c r="E94" s="643"/>
      <c r="F94" s="643"/>
      <c r="G94" s="643"/>
      <c r="H94" s="643"/>
      <c r="I94" s="643"/>
      <c r="J94" s="643"/>
      <c r="K94" s="643"/>
    </row>
    <row r="95" spans="1:11" x14ac:dyDescent="0.25">
      <c r="A95" s="643"/>
      <c r="B95" s="643"/>
      <c r="C95" s="643"/>
      <c r="D95" s="643"/>
      <c r="E95" s="643"/>
      <c r="F95" s="643"/>
      <c r="G95" s="643"/>
      <c r="H95" s="643"/>
      <c r="I95" s="643"/>
      <c r="J95" s="643"/>
      <c r="K95" s="643"/>
    </row>
    <row r="96" spans="1:11" x14ac:dyDescent="0.25">
      <c r="A96" s="643"/>
      <c r="B96" s="643"/>
      <c r="C96" s="643"/>
      <c r="D96" s="643"/>
      <c r="E96" s="643"/>
      <c r="F96" s="643"/>
      <c r="G96" s="643"/>
      <c r="H96" s="643"/>
      <c r="I96" s="643"/>
      <c r="J96" s="643"/>
      <c r="K96" s="643"/>
    </row>
    <row r="97" spans="1:11" x14ac:dyDescent="0.25">
      <c r="A97" s="643"/>
      <c r="B97" s="643"/>
      <c r="C97" s="643"/>
      <c r="D97" s="643"/>
      <c r="E97" s="643"/>
      <c r="F97" s="643"/>
      <c r="G97" s="643"/>
      <c r="H97" s="643"/>
      <c r="I97" s="643"/>
      <c r="J97" s="643"/>
      <c r="K97" s="643"/>
    </row>
    <row r="98" spans="1:11" x14ac:dyDescent="0.25">
      <c r="A98" s="643"/>
      <c r="B98" s="643"/>
      <c r="C98" s="643"/>
      <c r="D98" s="643"/>
      <c r="E98" s="643"/>
      <c r="F98" s="643"/>
      <c r="G98" s="643"/>
      <c r="H98" s="643"/>
      <c r="I98" s="643"/>
      <c r="J98" s="643"/>
      <c r="K98" s="643"/>
    </row>
    <row r="99" spans="1:11" x14ac:dyDescent="0.25">
      <c r="A99" s="643"/>
      <c r="B99" s="643"/>
      <c r="C99" s="643"/>
      <c r="D99" s="643"/>
      <c r="E99" s="643"/>
      <c r="F99" s="643"/>
      <c r="G99" s="643"/>
      <c r="H99" s="643"/>
      <c r="I99" s="643"/>
      <c r="J99" s="643"/>
      <c r="K99" s="643"/>
    </row>
    <row r="100" spans="1:11" x14ac:dyDescent="0.25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</row>
    <row r="101" spans="1:11" x14ac:dyDescent="0.25">
      <c r="A101" s="643"/>
      <c r="B101" s="643"/>
      <c r="C101" s="643"/>
      <c r="D101" s="643"/>
      <c r="E101" s="643"/>
      <c r="F101" s="643"/>
      <c r="G101" s="643"/>
      <c r="H101" s="643"/>
      <c r="I101" s="643"/>
      <c r="J101" s="643"/>
      <c r="K101" s="643"/>
    </row>
    <row r="102" spans="1:11" x14ac:dyDescent="0.25">
      <c r="A102" s="643"/>
      <c r="B102" s="643"/>
      <c r="C102" s="643"/>
      <c r="D102" s="643"/>
      <c r="E102" s="643"/>
      <c r="F102" s="643"/>
      <c r="G102" s="643"/>
      <c r="H102" s="643"/>
      <c r="I102" s="643"/>
      <c r="J102" s="643"/>
      <c r="K102" s="643"/>
    </row>
    <row r="103" spans="1:11" x14ac:dyDescent="0.25">
      <c r="A103" s="643"/>
      <c r="B103" s="643"/>
      <c r="C103" s="643"/>
      <c r="D103" s="643"/>
      <c r="E103" s="643"/>
      <c r="F103" s="643"/>
      <c r="G103" s="643"/>
      <c r="H103" s="643"/>
      <c r="I103" s="643"/>
      <c r="J103" s="643"/>
      <c r="K103" s="643"/>
    </row>
    <row r="104" spans="1:11" x14ac:dyDescent="0.25">
      <c r="A104" s="643"/>
      <c r="B104" s="643"/>
      <c r="C104" s="643"/>
      <c r="D104" s="643"/>
      <c r="E104" s="643"/>
      <c r="F104" s="643"/>
      <c r="G104" s="643"/>
      <c r="H104" s="643"/>
      <c r="I104" s="643"/>
      <c r="J104" s="643"/>
      <c r="K104" s="643"/>
    </row>
    <row r="105" spans="1:11" x14ac:dyDescent="0.25">
      <c r="A105" s="643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</row>
    <row r="106" spans="1:11" x14ac:dyDescent="0.25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</row>
    <row r="107" spans="1:11" x14ac:dyDescent="0.25">
      <c r="A107" s="643"/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</row>
    <row r="108" spans="1:11" x14ac:dyDescent="0.25">
      <c r="A108" s="643"/>
      <c r="B108" s="643"/>
      <c r="C108" s="643"/>
      <c r="D108" s="643"/>
      <c r="E108" s="643"/>
      <c r="F108" s="643"/>
      <c r="G108" s="643"/>
      <c r="H108" s="643"/>
      <c r="I108" s="643"/>
      <c r="J108" s="643"/>
      <c r="K108" s="643"/>
    </row>
    <row r="109" spans="1:11" x14ac:dyDescent="0.25">
      <c r="A109" s="643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</row>
    <row r="110" spans="1:11" x14ac:dyDescent="0.25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</row>
    <row r="111" spans="1:11" x14ac:dyDescent="0.25">
      <c r="A111" s="643"/>
      <c r="B111" s="643"/>
      <c r="C111" s="643"/>
      <c r="D111" s="643"/>
      <c r="E111" s="643"/>
      <c r="F111" s="643"/>
      <c r="G111" s="643"/>
      <c r="H111" s="643"/>
      <c r="I111" s="643"/>
      <c r="J111" s="643"/>
      <c r="K111" s="643"/>
    </row>
    <row r="112" spans="1:11" x14ac:dyDescent="0.25">
      <c r="A112" s="643"/>
      <c r="B112" s="643"/>
      <c r="C112" s="643"/>
      <c r="D112" s="643"/>
      <c r="E112" s="643"/>
      <c r="F112" s="643"/>
      <c r="G112" s="643"/>
      <c r="H112" s="643"/>
      <c r="I112" s="643"/>
      <c r="J112" s="643"/>
      <c r="K112" s="643"/>
    </row>
    <row r="113" spans="1:11" x14ac:dyDescent="0.25">
      <c r="A113" s="643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</row>
    <row r="114" spans="1:11" x14ac:dyDescent="0.25">
      <c r="A114" s="643"/>
      <c r="B114" s="643"/>
      <c r="C114" s="643"/>
      <c r="D114" s="643"/>
      <c r="E114" s="643"/>
      <c r="F114" s="643"/>
      <c r="G114" s="643"/>
      <c r="H114" s="643"/>
      <c r="I114" s="643"/>
      <c r="J114" s="643"/>
      <c r="K114" s="643"/>
    </row>
    <row r="115" spans="1:11" x14ac:dyDescent="0.25">
      <c r="A115" s="643"/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</row>
    <row r="116" spans="1:11" x14ac:dyDescent="0.25">
      <c r="A116" s="643"/>
      <c r="B116" s="643"/>
      <c r="C116" s="643"/>
      <c r="D116" s="643"/>
      <c r="E116" s="643"/>
      <c r="F116" s="643"/>
      <c r="G116" s="643"/>
      <c r="H116" s="643"/>
      <c r="I116" s="643"/>
      <c r="J116" s="643"/>
      <c r="K116" s="643"/>
    </row>
    <row r="117" spans="1:11" x14ac:dyDescent="0.25">
      <c r="A117" s="643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</row>
    <row r="118" spans="1:11" x14ac:dyDescent="0.25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</row>
    <row r="119" spans="1:11" x14ac:dyDescent="0.25">
      <c r="A119" s="643"/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</row>
    <row r="120" spans="1:11" x14ac:dyDescent="0.25">
      <c r="A120" s="643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</row>
    <row r="121" spans="1:11" x14ac:dyDescent="0.25">
      <c r="A121" s="643"/>
      <c r="B121" s="643"/>
      <c r="C121" s="643"/>
      <c r="D121" s="643"/>
      <c r="E121" s="643"/>
      <c r="F121" s="643"/>
      <c r="G121" s="643"/>
      <c r="H121" s="643"/>
      <c r="I121" s="643"/>
      <c r="J121" s="643"/>
      <c r="K121" s="643"/>
    </row>
    <row r="122" spans="1:11" x14ac:dyDescent="0.25">
      <c r="A122" s="643"/>
      <c r="B122" s="643"/>
      <c r="C122" s="643"/>
      <c r="D122" s="643"/>
      <c r="E122" s="643"/>
      <c r="F122" s="643"/>
      <c r="G122" s="643"/>
      <c r="H122" s="643"/>
      <c r="I122" s="643"/>
      <c r="J122" s="643"/>
      <c r="K122" s="643"/>
    </row>
    <row r="123" spans="1:11" x14ac:dyDescent="0.25">
      <c r="A123" s="643"/>
      <c r="B123" s="643"/>
      <c r="C123" s="643"/>
      <c r="D123" s="643"/>
      <c r="E123" s="643"/>
      <c r="F123" s="643"/>
      <c r="G123" s="643"/>
      <c r="H123" s="643"/>
      <c r="I123" s="643"/>
      <c r="J123" s="643"/>
      <c r="K123" s="643"/>
    </row>
    <row r="124" spans="1:11" x14ac:dyDescent="0.25">
      <c r="A124" s="643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</row>
    <row r="125" spans="1:11" x14ac:dyDescent="0.25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</row>
    <row r="126" spans="1:11" x14ac:dyDescent="0.25">
      <c r="A126" s="643"/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</row>
    <row r="127" spans="1:11" x14ac:dyDescent="0.25">
      <c r="A127" s="643"/>
      <c r="B127" s="643"/>
      <c r="C127" s="643"/>
      <c r="D127" s="643"/>
      <c r="E127" s="643"/>
      <c r="F127" s="643"/>
      <c r="G127" s="643"/>
      <c r="H127" s="643"/>
      <c r="I127" s="643"/>
      <c r="J127" s="643"/>
      <c r="K127" s="643"/>
    </row>
    <row r="128" spans="1:11" x14ac:dyDescent="0.25">
      <c r="A128" s="643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</row>
    <row r="129" spans="1:11" x14ac:dyDescent="0.25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</row>
    <row r="130" spans="1:11" x14ac:dyDescent="0.25">
      <c r="A130" s="643"/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</row>
    <row r="131" spans="1:11" x14ac:dyDescent="0.25">
      <c r="A131" s="643"/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</row>
    <row r="132" spans="1:11" x14ac:dyDescent="0.25">
      <c r="A132" s="643"/>
      <c r="B132" s="643"/>
      <c r="C132" s="643"/>
      <c r="D132" s="643"/>
      <c r="E132" s="643"/>
      <c r="F132" s="643"/>
      <c r="G132" s="643"/>
      <c r="H132" s="643"/>
      <c r="I132" s="643"/>
      <c r="J132" s="643"/>
      <c r="K132" s="643"/>
    </row>
    <row r="133" spans="1:11" x14ac:dyDescent="0.25">
      <c r="A133" s="643"/>
      <c r="B133" s="643"/>
      <c r="C133" s="643"/>
      <c r="D133" s="643"/>
      <c r="E133" s="643"/>
      <c r="F133" s="643"/>
      <c r="G133" s="643"/>
      <c r="H133" s="643"/>
      <c r="I133" s="643"/>
      <c r="J133" s="643"/>
      <c r="K133" s="643"/>
    </row>
    <row r="134" spans="1:11" x14ac:dyDescent="0.25">
      <c r="A134" s="643"/>
      <c r="B134" s="643"/>
      <c r="C134" s="643"/>
      <c r="D134" s="643"/>
      <c r="E134" s="643"/>
      <c r="F134" s="643"/>
      <c r="G134" s="643"/>
      <c r="H134" s="643"/>
      <c r="I134" s="643"/>
      <c r="J134" s="643"/>
      <c r="K134" s="643"/>
    </row>
    <row r="135" spans="1:11" x14ac:dyDescent="0.25">
      <c r="A135" s="643"/>
      <c r="B135" s="643"/>
      <c r="C135" s="643"/>
      <c r="D135" s="643"/>
      <c r="E135" s="643"/>
      <c r="F135" s="643"/>
      <c r="G135" s="643"/>
      <c r="H135" s="643"/>
      <c r="I135" s="643"/>
      <c r="J135" s="643"/>
      <c r="K135" s="643"/>
    </row>
    <row r="136" spans="1:11" x14ac:dyDescent="0.25">
      <c r="A136" s="643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</row>
    <row r="137" spans="1:11" x14ac:dyDescent="0.25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</row>
    <row r="138" spans="1:11" x14ac:dyDescent="0.25">
      <c r="A138" s="643"/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</row>
    <row r="139" spans="1:11" x14ac:dyDescent="0.25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</row>
    <row r="140" spans="1:11" x14ac:dyDescent="0.25">
      <c r="A140" s="643"/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</row>
    <row r="141" spans="1:11" x14ac:dyDescent="0.25">
      <c r="A141" s="643"/>
      <c r="B141" s="643"/>
      <c r="C141" s="643"/>
      <c r="D141" s="643"/>
      <c r="E141" s="643"/>
      <c r="F141" s="643"/>
      <c r="G141" s="643"/>
      <c r="H141" s="643"/>
      <c r="I141" s="643"/>
      <c r="J141" s="643"/>
      <c r="K141" s="643"/>
    </row>
    <row r="142" spans="1:11" x14ac:dyDescent="0.25">
      <c r="A142" s="643"/>
      <c r="B142" s="643"/>
      <c r="C142" s="643"/>
      <c r="D142" s="643"/>
      <c r="E142" s="643"/>
      <c r="F142" s="643"/>
      <c r="G142" s="643"/>
      <c r="H142" s="643"/>
      <c r="I142" s="643"/>
      <c r="J142" s="643"/>
      <c r="K142" s="643"/>
    </row>
    <row r="143" spans="1:11" x14ac:dyDescent="0.25">
      <c r="A143" s="643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</row>
    <row r="144" spans="1:11" x14ac:dyDescent="0.25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</row>
    <row r="145" spans="1:11" x14ac:dyDescent="0.25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</row>
    <row r="146" spans="1:11" x14ac:dyDescent="0.25">
      <c r="A146" s="643"/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</row>
    <row r="147" spans="1:11" x14ac:dyDescent="0.25">
      <c r="A147" s="643"/>
      <c r="B147" s="643"/>
      <c r="C147" s="643"/>
      <c r="D147" s="643"/>
      <c r="E147" s="643"/>
      <c r="F147" s="643"/>
      <c r="G147" s="643"/>
      <c r="H147" s="643"/>
      <c r="I147" s="643"/>
      <c r="J147" s="643"/>
      <c r="K147" s="643"/>
    </row>
    <row r="148" spans="1:11" x14ac:dyDescent="0.25">
      <c r="A148" s="643"/>
      <c r="B148" s="643"/>
      <c r="C148" s="643"/>
      <c r="D148" s="643"/>
      <c r="E148" s="643"/>
      <c r="F148" s="643"/>
      <c r="G148" s="643"/>
      <c r="H148" s="643"/>
      <c r="I148" s="643"/>
      <c r="J148" s="643"/>
      <c r="K148" s="643"/>
    </row>
    <row r="149" spans="1:11" x14ac:dyDescent="0.25">
      <c r="A149" s="643"/>
      <c r="B149" s="643"/>
      <c r="C149" s="643"/>
      <c r="D149" s="643"/>
      <c r="E149" s="643"/>
      <c r="F149" s="643"/>
      <c r="G149" s="643"/>
      <c r="H149" s="643"/>
      <c r="I149" s="643"/>
      <c r="J149" s="643"/>
      <c r="K149" s="643"/>
    </row>
    <row r="150" spans="1:11" x14ac:dyDescent="0.25">
      <c r="A150" s="643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</row>
    <row r="151" spans="1:11" x14ac:dyDescent="0.25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</row>
    <row r="152" spans="1:11" x14ac:dyDescent="0.25">
      <c r="A152" s="643"/>
      <c r="B152" s="643"/>
      <c r="C152" s="643"/>
      <c r="D152" s="643"/>
      <c r="E152" s="643"/>
      <c r="F152" s="643"/>
      <c r="G152" s="643"/>
      <c r="H152" s="643"/>
      <c r="I152" s="643"/>
      <c r="J152" s="643"/>
      <c r="K152" s="643"/>
    </row>
    <row r="153" spans="1:11" x14ac:dyDescent="0.25">
      <c r="A153" s="643"/>
      <c r="B153" s="643"/>
      <c r="C153" s="643"/>
      <c r="D153" s="643"/>
      <c r="E153" s="643"/>
      <c r="F153" s="643"/>
      <c r="G153" s="643"/>
      <c r="H153" s="643"/>
      <c r="I153" s="643"/>
      <c r="J153" s="643"/>
      <c r="K153" s="643"/>
    </row>
    <row r="154" spans="1:11" x14ac:dyDescent="0.25">
      <c r="A154" s="643"/>
      <c r="B154" s="643"/>
      <c r="C154" s="643"/>
      <c r="D154" s="643"/>
      <c r="E154" s="643"/>
      <c r="F154" s="643"/>
      <c r="G154" s="643"/>
      <c r="H154" s="643"/>
      <c r="I154" s="643"/>
      <c r="J154" s="643"/>
      <c r="K154" s="643"/>
    </row>
    <row r="155" spans="1:11" x14ac:dyDescent="0.25">
      <c r="A155" s="643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</row>
    <row r="156" spans="1:11" x14ac:dyDescent="0.25">
      <c r="A156" s="643"/>
      <c r="B156" s="643"/>
      <c r="C156" s="643"/>
      <c r="D156" s="643"/>
      <c r="E156" s="643"/>
      <c r="F156" s="643"/>
      <c r="G156" s="643"/>
      <c r="H156" s="643"/>
      <c r="I156" s="643"/>
      <c r="J156" s="643"/>
      <c r="K156" s="643"/>
    </row>
    <row r="157" spans="1:11" x14ac:dyDescent="0.25">
      <c r="A157" s="643"/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</row>
    <row r="158" spans="1:11" x14ac:dyDescent="0.25">
      <c r="A158" s="643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</row>
    <row r="159" spans="1:11" x14ac:dyDescent="0.25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</row>
    <row r="160" spans="1:11" x14ac:dyDescent="0.25">
      <c r="A160" s="643"/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</row>
    <row r="161" spans="1:11" x14ac:dyDescent="0.25">
      <c r="A161" s="643"/>
      <c r="B161" s="643"/>
      <c r="C161" s="643"/>
      <c r="D161" s="643"/>
      <c r="E161" s="643"/>
      <c r="F161" s="643"/>
      <c r="G161" s="643"/>
      <c r="H161" s="643"/>
      <c r="I161" s="643"/>
      <c r="J161" s="643"/>
      <c r="K161" s="643"/>
    </row>
    <row r="162" spans="1:11" x14ac:dyDescent="0.25">
      <c r="A162" s="643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</row>
    <row r="163" spans="1:11" x14ac:dyDescent="0.25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</row>
    <row r="164" spans="1:11" x14ac:dyDescent="0.25">
      <c r="A164" s="643"/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</row>
    <row r="165" spans="1:11" x14ac:dyDescent="0.25">
      <c r="A165" s="643"/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</row>
    <row r="166" spans="1:11" x14ac:dyDescent="0.25">
      <c r="A166" s="643"/>
      <c r="B166" s="643"/>
      <c r="C166" s="643"/>
      <c r="D166" s="643"/>
      <c r="E166" s="643"/>
      <c r="F166" s="643"/>
      <c r="G166" s="643"/>
      <c r="H166" s="643"/>
      <c r="I166" s="643"/>
      <c r="J166" s="643"/>
      <c r="K166" s="643"/>
    </row>
    <row r="167" spans="1:11" x14ac:dyDescent="0.25">
      <c r="A167" s="643"/>
      <c r="B167" s="643"/>
      <c r="C167" s="643"/>
      <c r="D167" s="643"/>
      <c r="E167" s="643"/>
      <c r="F167" s="643"/>
      <c r="G167" s="643"/>
      <c r="H167" s="643"/>
      <c r="I167" s="643"/>
      <c r="J167" s="643"/>
      <c r="K167" s="643"/>
    </row>
    <row r="168" spans="1:11" x14ac:dyDescent="0.25">
      <c r="A168" s="643"/>
      <c r="B168" s="643"/>
      <c r="C168" s="643"/>
      <c r="D168" s="643"/>
      <c r="E168" s="643"/>
      <c r="F168" s="643"/>
      <c r="G168" s="643"/>
      <c r="H168" s="643"/>
      <c r="I168" s="643"/>
      <c r="J168" s="643"/>
      <c r="K168" s="643"/>
    </row>
    <row r="169" spans="1:11" x14ac:dyDescent="0.25">
      <c r="A169" s="643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</row>
    <row r="170" spans="1:11" x14ac:dyDescent="0.25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</row>
    <row r="171" spans="1:11" x14ac:dyDescent="0.25">
      <c r="A171" s="643"/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</row>
    <row r="172" spans="1:11" x14ac:dyDescent="0.25">
      <c r="A172" s="643"/>
      <c r="B172" s="643"/>
      <c r="C172" s="643"/>
      <c r="D172" s="643"/>
      <c r="E172" s="643"/>
      <c r="F172" s="643"/>
      <c r="G172" s="643"/>
      <c r="H172" s="643"/>
      <c r="I172" s="643"/>
      <c r="J172" s="643"/>
      <c r="K172" s="643"/>
    </row>
    <row r="173" spans="1:11" x14ac:dyDescent="0.25">
      <c r="A173" s="643"/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</row>
    <row r="174" spans="1:11" x14ac:dyDescent="0.25">
      <c r="A174" s="643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</row>
    <row r="175" spans="1:11" x14ac:dyDescent="0.25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</row>
    <row r="176" spans="1:11" x14ac:dyDescent="0.25">
      <c r="A176" s="643"/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</row>
    <row r="177" spans="1:11" x14ac:dyDescent="0.25">
      <c r="A177" s="643"/>
      <c r="B177" s="643"/>
      <c r="C177" s="643"/>
      <c r="D177" s="643"/>
      <c r="E177" s="643"/>
      <c r="F177" s="643"/>
      <c r="G177" s="643"/>
      <c r="H177" s="643"/>
      <c r="I177" s="643"/>
      <c r="J177" s="643"/>
      <c r="K177" s="643"/>
    </row>
    <row r="178" spans="1:11" x14ac:dyDescent="0.25">
      <c r="A178" s="643"/>
      <c r="B178" s="643"/>
      <c r="C178" s="643"/>
      <c r="D178" s="643"/>
      <c r="E178" s="643"/>
      <c r="F178" s="643"/>
      <c r="G178" s="643"/>
      <c r="H178" s="643"/>
      <c r="I178" s="643"/>
      <c r="J178" s="643"/>
      <c r="K178" s="643"/>
    </row>
    <row r="179" spans="1:11" x14ac:dyDescent="0.25">
      <c r="A179" s="643"/>
      <c r="B179" s="643"/>
      <c r="C179" s="643"/>
      <c r="D179" s="643"/>
      <c r="E179" s="643"/>
      <c r="F179" s="643"/>
      <c r="G179" s="643"/>
      <c r="H179" s="643"/>
      <c r="I179" s="643"/>
      <c r="J179" s="643"/>
      <c r="K179" s="643"/>
    </row>
    <row r="180" spans="1:11" x14ac:dyDescent="0.25">
      <c r="A180" s="643"/>
      <c r="B180" s="643"/>
      <c r="C180" s="643"/>
      <c r="D180" s="643"/>
      <c r="E180" s="643"/>
      <c r="F180" s="643"/>
      <c r="G180" s="643"/>
      <c r="H180" s="643"/>
      <c r="I180" s="643"/>
      <c r="J180" s="643"/>
      <c r="K180" s="643"/>
    </row>
    <row r="181" spans="1:11" x14ac:dyDescent="0.25">
      <c r="A181" s="643"/>
      <c r="B181" s="643"/>
      <c r="C181" s="643"/>
      <c r="D181" s="643"/>
      <c r="E181" s="643"/>
      <c r="F181" s="643"/>
      <c r="G181" s="643"/>
      <c r="H181" s="643"/>
      <c r="I181" s="643"/>
      <c r="J181" s="643"/>
      <c r="K181" s="643"/>
    </row>
    <row r="182" spans="1:11" x14ac:dyDescent="0.25">
      <c r="A182" s="643"/>
      <c r="B182" s="643"/>
      <c r="C182" s="643"/>
      <c r="D182" s="643"/>
      <c r="E182" s="643"/>
      <c r="F182" s="643"/>
      <c r="G182" s="643"/>
      <c r="H182" s="643"/>
      <c r="I182" s="643"/>
      <c r="J182" s="643"/>
      <c r="K182" s="643"/>
    </row>
    <row r="183" spans="1:11" x14ac:dyDescent="0.25">
      <c r="A183" s="643"/>
      <c r="B183" s="643"/>
      <c r="C183" s="643"/>
      <c r="D183" s="643"/>
      <c r="E183" s="643"/>
      <c r="F183" s="643"/>
      <c r="G183" s="643"/>
      <c r="H183" s="643"/>
      <c r="I183" s="643"/>
      <c r="J183" s="643"/>
      <c r="K183" s="643"/>
    </row>
    <row r="184" spans="1:11" x14ac:dyDescent="0.25">
      <c r="A184" s="643"/>
      <c r="B184" s="643"/>
      <c r="C184" s="643"/>
      <c r="D184" s="643"/>
      <c r="E184" s="643"/>
      <c r="F184" s="643"/>
      <c r="G184" s="643"/>
      <c r="H184" s="643"/>
      <c r="I184" s="643"/>
      <c r="J184" s="643"/>
      <c r="K184" s="643"/>
    </row>
    <row r="185" spans="1:11" x14ac:dyDescent="0.25">
      <c r="A185" s="643"/>
      <c r="B185" s="643"/>
      <c r="C185" s="643"/>
      <c r="D185" s="643"/>
      <c r="E185" s="643"/>
      <c r="F185" s="643"/>
      <c r="G185" s="643"/>
      <c r="H185" s="643"/>
      <c r="I185" s="643"/>
      <c r="J185" s="643"/>
      <c r="K185" s="643"/>
    </row>
    <row r="186" spans="1:11" x14ac:dyDescent="0.25">
      <c r="A186" s="643"/>
      <c r="B186" s="643"/>
      <c r="C186" s="643"/>
      <c r="D186" s="643"/>
      <c r="E186" s="643"/>
      <c r="F186" s="643"/>
      <c r="G186" s="643"/>
      <c r="H186" s="643"/>
      <c r="I186" s="643"/>
      <c r="J186" s="643"/>
      <c r="K186" s="643"/>
    </row>
    <row r="187" spans="1:11" x14ac:dyDescent="0.25">
      <c r="A187" s="643"/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</row>
    <row r="188" spans="1:11" x14ac:dyDescent="0.25">
      <c r="A188" s="643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</row>
    <row r="189" spans="1:11" x14ac:dyDescent="0.25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</row>
    <row r="190" spans="1:11" x14ac:dyDescent="0.25">
      <c r="A190" s="643"/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</row>
    <row r="191" spans="1:11" x14ac:dyDescent="0.25">
      <c r="A191" s="643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</row>
    <row r="192" spans="1:11" x14ac:dyDescent="0.25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</row>
    <row r="193" spans="1:11" x14ac:dyDescent="0.25">
      <c r="A193" s="643"/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</row>
    <row r="194" spans="1:11" x14ac:dyDescent="0.25">
      <c r="A194" s="643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</row>
    <row r="195" spans="1:11" x14ac:dyDescent="0.25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</row>
    <row r="196" spans="1:11" x14ac:dyDescent="0.25">
      <c r="A196" s="643"/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</row>
    <row r="197" spans="1:11" x14ac:dyDescent="0.25">
      <c r="A197" s="643"/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</row>
    <row r="198" spans="1:11" x14ac:dyDescent="0.25">
      <c r="A198" s="643"/>
      <c r="B198" s="643"/>
      <c r="C198" s="643"/>
      <c r="D198" s="643"/>
      <c r="E198" s="643"/>
      <c r="F198" s="643"/>
      <c r="G198" s="643"/>
      <c r="H198" s="643"/>
      <c r="I198" s="643"/>
      <c r="J198" s="643"/>
      <c r="K198" s="643"/>
    </row>
    <row r="199" spans="1:11" x14ac:dyDescent="0.25">
      <c r="A199" s="643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</row>
    <row r="200" spans="1:11" x14ac:dyDescent="0.25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</row>
    <row r="201" spans="1:11" x14ac:dyDescent="0.25">
      <c r="A201" s="643"/>
      <c r="B201" s="643"/>
      <c r="C201" s="643"/>
      <c r="D201" s="643"/>
      <c r="E201" s="643"/>
      <c r="F201" s="643"/>
      <c r="G201" s="643"/>
      <c r="H201" s="643"/>
      <c r="I201" s="643"/>
      <c r="J201" s="643"/>
      <c r="K201" s="643"/>
    </row>
    <row r="202" spans="1:11" x14ac:dyDescent="0.25">
      <c r="A202" s="643"/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</row>
    <row r="203" spans="1:11" x14ac:dyDescent="0.25">
      <c r="A203" s="643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</row>
    <row r="204" spans="1:11" x14ac:dyDescent="0.25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</row>
    <row r="205" spans="1:11" x14ac:dyDescent="0.25">
      <c r="A205" s="643"/>
      <c r="B205" s="643"/>
      <c r="C205" s="643"/>
      <c r="D205" s="643"/>
      <c r="E205" s="643"/>
      <c r="F205" s="643"/>
      <c r="G205" s="643"/>
      <c r="H205" s="643"/>
      <c r="I205" s="643"/>
      <c r="J205" s="643"/>
      <c r="K205" s="643"/>
    </row>
    <row r="206" spans="1:11" x14ac:dyDescent="0.25">
      <c r="A206" s="643"/>
      <c r="B206" s="643"/>
      <c r="C206" s="643"/>
      <c r="D206" s="643"/>
      <c r="E206" s="643"/>
      <c r="F206" s="643"/>
      <c r="G206" s="643"/>
      <c r="H206" s="643"/>
      <c r="I206" s="643"/>
      <c r="J206" s="643"/>
      <c r="K206" s="643"/>
    </row>
    <row r="207" spans="1:11" x14ac:dyDescent="0.25">
      <c r="A207" s="643"/>
      <c r="B207" s="643"/>
      <c r="C207" s="643"/>
      <c r="D207" s="643"/>
      <c r="E207" s="643"/>
      <c r="F207" s="643"/>
      <c r="G207" s="643"/>
      <c r="H207" s="643"/>
      <c r="I207" s="643"/>
      <c r="J207" s="643"/>
      <c r="K207" s="643"/>
    </row>
    <row r="208" spans="1:11" x14ac:dyDescent="0.25">
      <c r="A208" s="643"/>
      <c r="B208" s="643"/>
      <c r="C208" s="643"/>
      <c r="D208" s="643"/>
      <c r="E208" s="643"/>
      <c r="F208" s="643"/>
      <c r="G208" s="643"/>
      <c r="H208" s="643"/>
      <c r="I208" s="643"/>
      <c r="J208" s="643"/>
      <c r="K208" s="643"/>
    </row>
    <row r="209" spans="1:11" x14ac:dyDescent="0.25">
      <c r="A209" s="643"/>
      <c r="B209" s="643"/>
      <c r="C209" s="643"/>
      <c r="D209" s="643"/>
      <c r="E209" s="643"/>
      <c r="F209" s="643"/>
      <c r="G209" s="643"/>
      <c r="H209" s="643"/>
      <c r="I209" s="643"/>
      <c r="J209" s="643"/>
      <c r="K209" s="643"/>
    </row>
    <row r="210" spans="1:11" x14ac:dyDescent="0.25">
      <c r="A210" s="643"/>
      <c r="B210" s="643"/>
      <c r="C210" s="643"/>
      <c r="D210" s="643"/>
      <c r="E210" s="643"/>
      <c r="F210" s="643"/>
      <c r="G210" s="643"/>
      <c r="H210" s="643"/>
      <c r="I210" s="643"/>
      <c r="J210" s="643"/>
      <c r="K210" s="643"/>
    </row>
    <row r="211" spans="1:11" x14ac:dyDescent="0.25">
      <c r="A211" s="643"/>
      <c r="B211" s="643"/>
      <c r="C211" s="643"/>
      <c r="D211" s="643"/>
      <c r="E211" s="643"/>
      <c r="F211" s="643"/>
      <c r="G211" s="643"/>
      <c r="H211" s="643"/>
      <c r="I211" s="643"/>
      <c r="J211" s="643"/>
      <c r="K211" s="643"/>
    </row>
    <row r="212" spans="1:11" x14ac:dyDescent="0.25">
      <c r="A212" s="643"/>
      <c r="B212" s="643"/>
      <c r="C212" s="643"/>
      <c r="D212" s="643"/>
      <c r="E212" s="643"/>
      <c r="F212" s="643"/>
      <c r="G212" s="643"/>
      <c r="H212" s="643"/>
      <c r="I212" s="643"/>
      <c r="J212" s="643"/>
      <c r="K212" s="643"/>
    </row>
    <row r="213" spans="1:11" x14ac:dyDescent="0.25">
      <c r="A213" s="643"/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</row>
    <row r="214" spans="1:11" x14ac:dyDescent="0.25">
      <c r="A214" s="643"/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</row>
    <row r="215" spans="1:11" x14ac:dyDescent="0.25">
      <c r="A215" s="643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</row>
    <row r="216" spans="1:11" x14ac:dyDescent="0.25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</row>
    <row r="217" spans="1:11" x14ac:dyDescent="0.25">
      <c r="A217" s="643"/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</row>
    <row r="218" spans="1:11" x14ac:dyDescent="0.25">
      <c r="A218" s="643"/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</row>
    <row r="219" spans="1:11" x14ac:dyDescent="0.25">
      <c r="A219" s="643"/>
      <c r="B219" s="643"/>
      <c r="C219" s="643"/>
      <c r="D219" s="643"/>
      <c r="E219" s="643"/>
      <c r="F219" s="643"/>
      <c r="G219" s="643"/>
      <c r="H219" s="643"/>
      <c r="I219" s="643"/>
      <c r="J219" s="643"/>
      <c r="K219" s="643"/>
    </row>
    <row r="220" spans="1:11" x14ac:dyDescent="0.25">
      <c r="A220" s="643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</row>
    <row r="221" spans="1:11" x14ac:dyDescent="0.25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</row>
    <row r="222" spans="1:11" x14ac:dyDescent="0.25">
      <c r="A222" s="643"/>
      <c r="B222" s="643"/>
      <c r="C222" s="643"/>
      <c r="D222" s="643"/>
      <c r="E222" s="643"/>
      <c r="F222" s="643"/>
      <c r="G222" s="643"/>
      <c r="H222" s="643"/>
      <c r="I222" s="643"/>
      <c r="J222" s="643"/>
      <c r="K222" s="643"/>
    </row>
    <row r="223" spans="1:11" x14ac:dyDescent="0.25">
      <c r="A223" s="643"/>
      <c r="B223" s="643"/>
      <c r="C223" s="643"/>
      <c r="D223" s="643"/>
      <c r="E223" s="643"/>
      <c r="F223" s="643"/>
      <c r="G223" s="643"/>
      <c r="H223" s="643"/>
      <c r="I223" s="643"/>
      <c r="J223" s="643"/>
      <c r="K223" s="643"/>
    </row>
    <row r="224" spans="1:11" x14ac:dyDescent="0.25">
      <c r="A224" s="643"/>
      <c r="B224" s="643"/>
      <c r="C224" s="643"/>
      <c r="D224" s="643"/>
      <c r="E224" s="643"/>
      <c r="F224" s="643"/>
      <c r="G224" s="643"/>
      <c r="H224" s="643"/>
      <c r="I224" s="643"/>
      <c r="J224" s="643"/>
      <c r="K224" s="643"/>
    </row>
    <row r="225" spans="1:11" x14ac:dyDescent="0.25">
      <c r="A225" s="643"/>
      <c r="B225" s="643"/>
      <c r="C225" s="643"/>
      <c r="D225" s="643"/>
      <c r="E225" s="643"/>
      <c r="F225" s="643"/>
      <c r="G225" s="643"/>
      <c r="H225" s="643"/>
      <c r="I225" s="643"/>
      <c r="J225" s="643"/>
      <c r="K225" s="643"/>
    </row>
    <row r="226" spans="1:11" x14ac:dyDescent="0.25">
      <c r="A226" s="643"/>
      <c r="B226" s="643"/>
      <c r="C226" s="643"/>
      <c r="D226" s="643"/>
      <c r="E226" s="643"/>
      <c r="F226" s="643"/>
      <c r="G226" s="643"/>
      <c r="H226" s="643"/>
      <c r="I226" s="643"/>
      <c r="J226" s="643"/>
      <c r="K226" s="643"/>
    </row>
    <row r="227" spans="1:11" x14ac:dyDescent="0.25">
      <c r="A227" s="643"/>
      <c r="B227" s="643"/>
      <c r="C227" s="643"/>
      <c r="D227" s="643"/>
      <c r="E227" s="643"/>
      <c r="F227" s="643"/>
      <c r="G227" s="643"/>
      <c r="H227" s="643"/>
      <c r="I227" s="643"/>
      <c r="J227" s="643"/>
      <c r="K227" s="643"/>
    </row>
    <row r="228" spans="1:11" x14ac:dyDescent="0.25">
      <c r="A228" s="643"/>
      <c r="B228" s="643"/>
      <c r="C228" s="643"/>
      <c r="D228" s="643"/>
      <c r="E228" s="643"/>
      <c r="F228" s="643"/>
      <c r="G228" s="643"/>
      <c r="H228" s="643"/>
      <c r="I228" s="643"/>
      <c r="J228" s="643"/>
      <c r="K228" s="643"/>
    </row>
    <row r="229" spans="1:11" x14ac:dyDescent="0.25">
      <c r="A229" s="643"/>
      <c r="B229" s="643"/>
      <c r="C229" s="643"/>
      <c r="D229" s="643"/>
      <c r="E229" s="643"/>
      <c r="F229" s="643"/>
      <c r="G229" s="643"/>
      <c r="H229" s="643"/>
      <c r="I229" s="643"/>
      <c r="J229" s="643"/>
      <c r="K229" s="643"/>
    </row>
    <row r="230" spans="1:11" x14ac:dyDescent="0.25">
      <c r="A230" s="643"/>
      <c r="B230" s="643"/>
      <c r="C230" s="643"/>
      <c r="D230" s="643"/>
      <c r="E230" s="643"/>
      <c r="F230" s="643"/>
      <c r="G230" s="643"/>
      <c r="H230" s="643"/>
      <c r="I230" s="643"/>
      <c r="J230" s="643"/>
      <c r="K230" s="643"/>
    </row>
    <row r="231" spans="1:11" x14ac:dyDescent="0.25">
      <c r="A231" s="643"/>
      <c r="B231" s="643"/>
      <c r="C231" s="643"/>
      <c r="D231" s="643"/>
      <c r="E231" s="643"/>
      <c r="F231" s="643"/>
      <c r="G231" s="643"/>
      <c r="H231" s="643"/>
      <c r="I231" s="643"/>
      <c r="J231" s="643"/>
      <c r="K231" s="643"/>
    </row>
    <row r="232" spans="1:11" x14ac:dyDescent="0.25">
      <c r="A232" s="643"/>
      <c r="B232" s="643"/>
      <c r="C232" s="643"/>
      <c r="D232" s="643"/>
      <c r="E232" s="643"/>
      <c r="F232" s="643"/>
      <c r="G232" s="643"/>
      <c r="H232" s="643"/>
      <c r="I232" s="643"/>
      <c r="J232" s="643"/>
      <c r="K232" s="643"/>
    </row>
    <row r="233" spans="1:11" x14ac:dyDescent="0.25">
      <c r="A233" s="643"/>
      <c r="B233" s="643"/>
      <c r="C233" s="643"/>
      <c r="D233" s="643"/>
      <c r="E233" s="643"/>
      <c r="F233" s="643"/>
      <c r="G233" s="643"/>
      <c r="H233" s="643"/>
      <c r="I233" s="643"/>
      <c r="J233" s="643"/>
      <c r="K233" s="643"/>
    </row>
    <row r="234" spans="1:11" x14ac:dyDescent="0.25">
      <c r="A234" s="643"/>
      <c r="B234" s="643"/>
      <c r="C234" s="643"/>
      <c r="D234" s="643"/>
      <c r="E234" s="643"/>
      <c r="F234" s="643"/>
      <c r="G234" s="643"/>
      <c r="H234" s="643"/>
      <c r="I234" s="643"/>
      <c r="J234" s="643"/>
      <c r="K234" s="643"/>
    </row>
    <row r="235" spans="1:11" x14ac:dyDescent="0.25">
      <c r="A235" s="643"/>
      <c r="B235" s="643"/>
      <c r="C235" s="643"/>
      <c r="D235" s="643"/>
      <c r="E235" s="643"/>
      <c r="F235" s="643"/>
      <c r="G235" s="643"/>
      <c r="H235" s="643"/>
      <c r="I235" s="643"/>
      <c r="J235" s="643"/>
      <c r="K235" s="643"/>
    </row>
    <row r="236" spans="1:11" x14ac:dyDescent="0.25">
      <c r="A236" s="643"/>
      <c r="B236" s="643"/>
      <c r="C236" s="643"/>
      <c r="D236" s="643"/>
      <c r="E236" s="643"/>
      <c r="F236" s="643"/>
      <c r="G236" s="643"/>
      <c r="H236" s="643"/>
      <c r="I236" s="643"/>
      <c r="J236" s="643"/>
      <c r="K236" s="643"/>
    </row>
    <row r="237" spans="1:11" x14ac:dyDescent="0.25">
      <c r="A237" s="643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</row>
    <row r="238" spans="1:11" x14ac:dyDescent="0.25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</row>
    <row r="239" spans="1:11" x14ac:dyDescent="0.25">
      <c r="A239" s="643"/>
      <c r="B239" s="643"/>
      <c r="C239" s="643"/>
      <c r="D239" s="643"/>
      <c r="E239" s="643"/>
      <c r="F239" s="643"/>
      <c r="G239" s="643"/>
      <c r="H239" s="643"/>
      <c r="I239" s="643"/>
      <c r="J239" s="643"/>
      <c r="K239" s="643"/>
    </row>
    <row r="240" spans="1:11" x14ac:dyDescent="0.25">
      <c r="A240" s="643"/>
      <c r="B240" s="643"/>
      <c r="C240" s="643"/>
      <c r="D240" s="643"/>
      <c r="E240" s="643"/>
      <c r="F240" s="643"/>
      <c r="G240" s="643"/>
      <c r="H240" s="643"/>
      <c r="I240" s="643"/>
      <c r="J240" s="643"/>
      <c r="K240" s="643"/>
    </row>
    <row r="241" spans="1:11" x14ac:dyDescent="0.25">
      <c r="A241" s="643"/>
      <c r="B241" s="643"/>
      <c r="C241" s="643"/>
      <c r="D241" s="643"/>
      <c r="E241" s="643"/>
      <c r="F241" s="643"/>
      <c r="G241" s="643"/>
      <c r="H241" s="643"/>
      <c r="I241" s="643"/>
      <c r="J241" s="643"/>
      <c r="K241" s="643"/>
    </row>
    <row r="242" spans="1:11" x14ac:dyDescent="0.25">
      <c r="A242" s="643"/>
      <c r="B242" s="643"/>
      <c r="C242" s="643"/>
      <c r="D242" s="643"/>
      <c r="E242" s="643"/>
      <c r="F242" s="643"/>
      <c r="G242" s="643"/>
      <c r="H242" s="643"/>
      <c r="I242" s="643"/>
      <c r="J242" s="643"/>
      <c r="K242" s="643"/>
    </row>
    <row r="243" spans="1:11" x14ac:dyDescent="0.25">
      <c r="A243" s="643"/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</row>
    <row r="244" spans="1:11" x14ac:dyDescent="0.25">
      <c r="A244" s="643"/>
      <c r="B244" s="643"/>
      <c r="C244" s="643"/>
      <c r="D244" s="643"/>
      <c r="E244" s="643"/>
      <c r="F244" s="643"/>
      <c r="G244" s="643"/>
      <c r="H244" s="643"/>
      <c r="I244" s="643"/>
      <c r="J244" s="643"/>
      <c r="K244" s="643"/>
    </row>
    <row r="245" spans="1:11" x14ac:dyDescent="0.25">
      <c r="A245" s="643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</row>
    <row r="246" spans="1:11" x14ac:dyDescent="0.25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</row>
    <row r="247" spans="1:11" x14ac:dyDescent="0.25">
      <c r="A247" s="643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</row>
    <row r="248" spans="1:11" x14ac:dyDescent="0.25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</row>
    <row r="249" spans="1:11" x14ac:dyDescent="0.25">
      <c r="A249" s="643"/>
      <c r="B249" s="643"/>
      <c r="C249" s="643"/>
      <c r="D249" s="643"/>
      <c r="E249" s="643"/>
      <c r="F249" s="643"/>
      <c r="G249" s="643"/>
      <c r="H249" s="643"/>
      <c r="I249" s="643"/>
      <c r="J249" s="643"/>
      <c r="K249" s="643"/>
    </row>
    <row r="250" spans="1:11" x14ac:dyDescent="0.25">
      <c r="A250" s="643"/>
      <c r="B250" s="643"/>
      <c r="C250" s="643"/>
      <c r="D250" s="643"/>
      <c r="E250" s="643"/>
      <c r="F250" s="643"/>
      <c r="G250" s="643"/>
      <c r="H250" s="643"/>
      <c r="I250" s="643"/>
      <c r="J250" s="643"/>
      <c r="K250" s="643"/>
    </row>
    <row r="251" spans="1:11" x14ac:dyDescent="0.25">
      <c r="A251" s="643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</row>
    <row r="252" spans="1:11" x14ac:dyDescent="0.25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</row>
    <row r="253" spans="1:11" x14ac:dyDescent="0.25">
      <c r="A253" s="643"/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</row>
    <row r="254" spans="1:11" x14ac:dyDescent="0.25">
      <c r="A254" s="643"/>
      <c r="B254" s="643"/>
      <c r="C254" s="643"/>
      <c r="D254" s="643"/>
      <c r="E254" s="643"/>
      <c r="F254" s="643"/>
      <c r="G254" s="643"/>
      <c r="H254" s="643"/>
      <c r="I254" s="643"/>
      <c r="J254" s="643"/>
      <c r="K254" s="643"/>
    </row>
    <row r="255" spans="1:11" x14ac:dyDescent="0.25">
      <c r="A255" s="643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</row>
    <row r="256" spans="1:11" x14ac:dyDescent="0.25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</row>
    <row r="257" spans="1:11" x14ac:dyDescent="0.25">
      <c r="A257" s="643"/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</row>
    <row r="258" spans="1:11" x14ac:dyDescent="0.25">
      <c r="A258" s="643"/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</row>
    <row r="259" spans="1:11" x14ac:dyDescent="0.25">
      <c r="A259" s="643"/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</row>
    <row r="260" spans="1:11" x14ac:dyDescent="0.25">
      <c r="A260" s="643"/>
      <c r="B260" s="643"/>
      <c r="C260" s="643"/>
      <c r="D260" s="643"/>
      <c r="E260" s="643"/>
      <c r="F260" s="643"/>
      <c r="G260" s="643"/>
      <c r="H260" s="643"/>
      <c r="I260" s="643"/>
      <c r="J260" s="643"/>
      <c r="K260" s="643"/>
    </row>
    <row r="261" spans="1:11" x14ac:dyDescent="0.25">
      <c r="A261" s="643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</row>
    <row r="262" spans="1:11" x14ac:dyDescent="0.25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</row>
    <row r="263" spans="1:11" x14ac:dyDescent="0.25">
      <c r="A263" s="643"/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</row>
    <row r="264" spans="1:11" x14ac:dyDescent="0.25">
      <c r="A264" s="643"/>
      <c r="B264" s="643"/>
      <c r="C264" s="643"/>
      <c r="D264" s="643"/>
      <c r="E264" s="643"/>
      <c r="F264" s="643"/>
      <c r="G264" s="643"/>
      <c r="H264" s="643"/>
      <c r="I264" s="643"/>
      <c r="J264" s="643"/>
      <c r="K264" s="643"/>
    </row>
    <row r="265" spans="1:11" x14ac:dyDescent="0.25">
      <c r="A265" s="643"/>
      <c r="B265" s="643"/>
      <c r="C265" s="643"/>
      <c r="D265" s="643"/>
      <c r="E265" s="643"/>
      <c r="F265" s="643"/>
      <c r="G265" s="643"/>
      <c r="H265" s="643"/>
      <c r="I265" s="643"/>
      <c r="J265" s="643"/>
      <c r="K265" s="643"/>
    </row>
    <row r="266" spans="1:11" x14ac:dyDescent="0.25">
      <c r="A266" s="643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</row>
    <row r="267" spans="1:11" x14ac:dyDescent="0.25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</row>
    <row r="268" spans="1:11" x14ac:dyDescent="0.25">
      <c r="A268" s="643"/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</row>
    <row r="269" spans="1:11" x14ac:dyDescent="0.25">
      <c r="A269" s="643"/>
      <c r="B269" s="643"/>
      <c r="C269" s="643"/>
      <c r="D269" s="643"/>
      <c r="E269" s="643"/>
      <c r="F269" s="643"/>
      <c r="G269" s="643"/>
      <c r="H269" s="643"/>
      <c r="I269" s="643"/>
      <c r="J269" s="643"/>
      <c r="K269" s="643"/>
    </row>
    <row r="270" spans="1:11" x14ac:dyDescent="0.25">
      <c r="A270" s="643"/>
      <c r="B270" s="643"/>
      <c r="C270" s="643"/>
      <c r="D270" s="643"/>
      <c r="E270" s="643"/>
      <c r="F270" s="643"/>
      <c r="G270" s="643"/>
      <c r="H270" s="643"/>
      <c r="I270" s="643"/>
      <c r="J270" s="643"/>
      <c r="K270" s="643"/>
    </row>
    <row r="271" spans="1:11" x14ac:dyDescent="0.25">
      <c r="A271" s="643"/>
      <c r="B271" s="643"/>
      <c r="C271" s="643"/>
      <c r="D271" s="643"/>
      <c r="E271" s="643"/>
      <c r="F271" s="643"/>
      <c r="G271" s="643"/>
      <c r="H271" s="643"/>
      <c r="I271" s="643"/>
      <c r="J271" s="643"/>
      <c r="K271" s="643"/>
    </row>
    <row r="272" spans="1:11" x14ac:dyDescent="0.25">
      <c r="A272" s="643"/>
      <c r="B272" s="643"/>
      <c r="C272" s="643"/>
      <c r="D272" s="643"/>
      <c r="E272" s="643"/>
      <c r="F272" s="643"/>
      <c r="G272" s="643"/>
      <c r="H272" s="643"/>
      <c r="I272" s="643"/>
      <c r="J272" s="643"/>
      <c r="K272" s="643"/>
    </row>
    <row r="273" spans="1:11" x14ac:dyDescent="0.25">
      <c r="A273" s="643"/>
      <c r="B273" s="643"/>
      <c r="C273" s="643"/>
      <c r="D273" s="643"/>
      <c r="E273" s="643"/>
      <c r="F273" s="643"/>
      <c r="G273" s="643"/>
      <c r="H273" s="643"/>
      <c r="I273" s="643"/>
      <c r="J273" s="643"/>
      <c r="K273" s="643"/>
    </row>
    <row r="274" spans="1:11" x14ac:dyDescent="0.25">
      <c r="A274" s="643"/>
      <c r="B274" s="643"/>
      <c r="C274" s="643"/>
      <c r="D274" s="643"/>
      <c r="E274" s="643"/>
      <c r="F274" s="643"/>
      <c r="G274" s="643"/>
      <c r="H274" s="643"/>
      <c r="I274" s="643"/>
      <c r="J274" s="643"/>
      <c r="K274" s="643"/>
    </row>
    <row r="275" spans="1:11" x14ac:dyDescent="0.25">
      <c r="A275" s="643"/>
      <c r="B275" s="643"/>
      <c r="C275" s="643"/>
      <c r="D275" s="643"/>
      <c r="E275" s="643"/>
      <c r="F275" s="643"/>
      <c r="G275" s="643"/>
      <c r="H275" s="643"/>
      <c r="I275" s="643"/>
      <c r="J275" s="643"/>
      <c r="K275" s="643"/>
    </row>
    <row r="276" spans="1:11" x14ac:dyDescent="0.25">
      <c r="A276" s="643"/>
      <c r="B276" s="643"/>
      <c r="C276" s="643"/>
      <c r="D276" s="643"/>
      <c r="E276" s="643"/>
      <c r="F276" s="643"/>
      <c r="G276" s="643"/>
      <c r="H276" s="643"/>
      <c r="I276" s="643"/>
      <c r="J276" s="643"/>
      <c r="K276" s="643"/>
    </row>
    <row r="277" spans="1:11" x14ac:dyDescent="0.25">
      <c r="A277" s="643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</row>
    <row r="278" spans="1:11" x14ac:dyDescent="0.25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</row>
    <row r="279" spans="1:11" x14ac:dyDescent="0.25">
      <c r="A279" s="643"/>
      <c r="B279" s="643"/>
      <c r="C279" s="643"/>
      <c r="D279" s="643"/>
      <c r="E279" s="643"/>
      <c r="F279" s="643"/>
      <c r="G279" s="643"/>
      <c r="H279" s="643"/>
      <c r="I279" s="643"/>
      <c r="J279" s="643"/>
      <c r="K279" s="643"/>
    </row>
    <row r="280" spans="1:11" x14ac:dyDescent="0.25">
      <c r="A280" s="643"/>
      <c r="B280" s="643"/>
      <c r="C280" s="643"/>
      <c r="D280" s="643"/>
      <c r="E280" s="643"/>
      <c r="F280" s="643"/>
      <c r="G280" s="643"/>
      <c r="H280" s="643"/>
      <c r="I280" s="643"/>
      <c r="J280" s="643"/>
      <c r="K280" s="643"/>
    </row>
    <row r="281" spans="1:11" x14ac:dyDescent="0.25">
      <c r="A281" s="643"/>
      <c r="B281" s="643"/>
      <c r="C281" s="643"/>
      <c r="D281" s="643"/>
      <c r="E281" s="643"/>
      <c r="F281" s="643"/>
      <c r="G281" s="643"/>
      <c r="H281" s="643"/>
      <c r="I281" s="643"/>
      <c r="J281" s="643"/>
      <c r="K281" s="643"/>
    </row>
    <row r="282" spans="1:11" x14ac:dyDescent="0.25">
      <c r="A282" s="643"/>
      <c r="B282" s="643"/>
      <c r="C282" s="643"/>
      <c r="D282" s="643"/>
      <c r="E282" s="643"/>
      <c r="F282" s="643"/>
      <c r="G282" s="643"/>
      <c r="H282" s="643"/>
      <c r="I282" s="643"/>
      <c r="J282" s="643"/>
      <c r="K282" s="643"/>
    </row>
    <row r="283" spans="1:11" x14ac:dyDescent="0.25">
      <c r="A283" s="643"/>
      <c r="B283" s="643"/>
      <c r="C283" s="643"/>
      <c r="D283" s="643"/>
      <c r="E283" s="643"/>
      <c r="F283" s="643"/>
      <c r="G283" s="643"/>
      <c r="H283" s="643"/>
      <c r="I283" s="643"/>
      <c r="J283" s="643"/>
      <c r="K283" s="643"/>
    </row>
    <row r="284" spans="1:11" x14ac:dyDescent="0.25">
      <c r="A284" s="643"/>
      <c r="B284" s="643"/>
      <c r="C284" s="643"/>
      <c r="D284" s="643"/>
      <c r="E284" s="643"/>
      <c r="F284" s="643"/>
      <c r="G284" s="643"/>
      <c r="H284" s="643"/>
      <c r="I284" s="643"/>
      <c r="J284" s="643"/>
      <c r="K284" s="643"/>
    </row>
    <row r="285" spans="1:11" x14ac:dyDescent="0.25">
      <c r="A285" s="643"/>
      <c r="B285" s="643"/>
      <c r="C285" s="643"/>
      <c r="D285" s="643"/>
      <c r="E285" s="643"/>
      <c r="F285" s="643"/>
      <c r="G285" s="643"/>
      <c r="H285" s="643"/>
      <c r="I285" s="643"/>
      <c r="J285" s="643"/>
      <c r="K285" s="643"/>
    </row>
    <row r="286" spans="1:11" x14ac:dyDescent="0.25">
      <c r="A286" s="643"/>
      <c r="B286" s="643"/>
      <c r="C286" s="643"/>
      <c r="D286" s="643"/>
      <c r="E286" s="643"/>
      <c r="F286" s="643"/>
      <c r="G286" s="643"/>
      <c r="H286" s="643"/>
      <c r="I286" s="643"/>
      <c r="J286" s="643"/>
      <c r="K286" s="643"/>
    </row>
    <row r="287" spans="1:11" x14ac:dyDescent="0.25">
      <c r="A287" s="643"/>
      <c r="B287" s="643"/>
      <c r="C287" s="643"/>
      <c r="D287" s="643"/>
      <c r="E287" s="643"/>
      <c r="F287" s="643"/>
      <c r="G287" s="643"/>
      <c r="H287" s="643"/>
      <c r="I287" s="643"/>
      <c r="J287" s="643"/>
      <c r="K287" s="643"/>
    </row>
    <row r="288" spans="1:11" x14ac:dyDescent="0.25">
      <c r="A288" s="643"/>
      <c r="B288" s="643"/>
      <c r="C288" s="643"/>
      <c r="D288" s="643"/>
      <c r="E288" s="643"/>
      <c r="F288" s="643"/>
      <c r="G288" s="643"/>
      <c r="H288" s="643"/>
      <c r="I288" s="643"/>
      <c r="J288" s="643"/>
      <c r="K288" s="643"/>
    </row>
    <row r="289" spans="1:11" x14ac:dyDescent="0.25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</row>
    <row r="290" spans="1:11" x14ac:dyDescent="0.25">
      <c r="A290" s="643"/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</row>
    <row r="291" spans="1:11" x14ac:dyDescent="0.25">
      <c r="A291" s="643"/>
      <c r="B291" s="643"/>
      <c r="C291" s="643"/>
      <c r="D291" s="643"/>
      <c r="E291" s="643"/>
      <c r="F291" s="643"/>
      <c r="G291" s="643"/>
      <c r="H291" s="643"/>
      <c r="I291" s="643"/>
      <c r="J291" s="643"/>
      <c r="K291" s="643"/>
    </row>
    <row r="292" spans="1:11" x14ac:dyDescent="0.25">
      <c r="A292" s="643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</row>
    <row r="293" spans="1:11" x14ac:dyDescent="0.25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</row>
    <row r="294" spans="1:11" x14ac:dyDescent="0.25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</row>
    <row r="295" spans="1:11" x14ac:dyDescent="0.25">
      <c r="A295" s="643"/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</row>
    <row r="296" spans="1:11" x14ac:dyDescent="0.25">
      <c r="A296" s="643"/>
      <c r="B296" s="643"/>
      <c r="C296" s="643"/>
      <c r="D296" s="643"/>
      <c r="E296" s="643"/>
      <c r="F296" s="643"/>
      <c r="G296" s="643"/>
      <c r="H296" s="643"/>
      <c r="I296" s="643"/>
      <c r="J296" s="643"/>
      <c r="K296" s="643"/>
    </row>
    <row r="297" spans="1:11" x14ac:dyDescent="0.25">
      <c r="A297" s="643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</row>
    <row r="298" spans="1:11" x14ac:dyDescent="0.25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</row>
    <row r="299" spans="1:11" x14ac:dyDescent="0.25">
      <c r="A299" s="643"/>
      <c r="B299" s="643"/>
      <c r="C299" s="643"/>
      <c r="D299" s="643"/>
      <c r="E299" s="643"/>
      <c r="F299" s="643"/>
      <c r="G299" s="643"/>
      <c r="H299" s="643"/>
      <c r="I299" s="643"/>
      <c r="J299" s="643"/>
      <c r="K299" s="643"/>
    </row>
    <row r="300" spans="1:11" x14ac:dyDescent="0.25">
      <c r="A300" s="643"/>
      <c r="B300" s="643"/>
      <c r="C300" s="643"/>
      <c r="D300" s="643"/>
      <c r="E300" s="643"/>
      <c r="F300" s="643"/>
      <c r="G300" s="643"/>
      <c r="H300" s="643"/>
      <c r="I300" s="643"/>
      <c r="J300" s="643"/>
      <c r="K300" s="643"/>
    </row>
    <row r="301" spans="1:11" x14ac:dyDescent="0.25">
      <c r="A301" s="643"/>
      <c r="B301" s="643"/>
      <c r="C301" s="643"/>
      <c r="D301" s="643"/>
      <c r="E301" s="643"/>
      <c r="F301" s="643"/>
      <c r="G301" s="643"/>
      <c r="H301" s="643"/>
      <c r="I301" s="643"/>
      <c r="J301" s="643"/>
      <c r="K301" s="643"/>
    </row>
    <row r="302" spans="1:11" x14ac:dyDescent="0.25">
      <c r="A302" s="643"/>
      <c r="B302" s="643"/>
      <c r="C302" s="643"/>
      <c r="D302" s="643"/>
      <c r="E302" s="643"/>
      <c r="F302" s="643"/>
      <c r="G302" s="643"/>
      <c r="H302" s="643"/>
      <c r="I302" s="643"/>
      <c r="J302" s="643"/>
      <c r="K302" s="643"/>
    </row>
    <row r="303" spans="1:11" x14ac:dyDescent="0.25">
      <c r="A303" s="643"/>
      <c r="B303" s="643"/>
      <c r="C303" s="643"/>
      <c r="D303" s="643"/>
      <c r="E303" s="643"/>
      <c r="F303" s="643"/>
      <c r="G303" s="643"/>
      <c r="H303" s="643"/>
      <c r="I303" s="643"/>
      <c r="J303" s="643"/>
      <c r="K303" s="643"/>
    </row>
    <row r="304" spans="1:11" x14ac:dyDescent="0.25">
      <c r="A304" s="643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</row>
    <row r="305" spans="1:11" x14ac:dyDescent="0.25">
      <c r="A305" s="643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</row>
    <row r="306" spans="1:11" x14ac:dyDescent="0.25">
      <c r="A306" s="643"/>
      <c r="B306" s="643"/>
      <c r="C306" s="643"/>
      <c r="D306" s="643"/>
      <c r="E306" s="643"/>
      <c r="F306" s="643"/>
      <c r="G306" s="643"/>
      <c r="H306" s="643"/>
      <c r="I306" s="643"/>
      <c r="J306" s="643"/>
      <c r="K306" s="643"/>
    </row>
    <row r="307" spans="1:11" x14ac:dyDescent="0.25">
      <c r="A307" s="643"/>
      <c r="B307" s="643"/>
      <c r="C307" s="643"/>
      <c r="D307" s="643"/>
      <c r="E307" s="643"/>
      <c r="F307" s="643"/>
      <c r="G307" s="643"/>
      <c r="H307" s="643"/>
      <c r="I307" s="643"/>
      <c r="J307" s="643"/>
      <c r="K307" s="643"/>
    </row>
    <row r="308" spans="1:11" x14ac:dyDescent="0.25">
      <c r="A308" s="643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</row>
    <row r="309" spans="1:11" x14ac:dyDescent="0.25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</row>
    <row r="310" spans="1:11" x14ac:dyDescent="0.25">
      <c r="A310" s="643"/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</row>
    <row r="311" spans="1:11" x14ac:dyDescent="0.25">
      <c r="A311" s="643"/>
      <c r="B311" s="643"/>
      <c r="C311" s="643"/>
      <c r="D311" s="643"/>
      <c r="E311" s="643"/>
      <c r="F311" s="643"/>
      <c r="G311" s="643"/>
      <c r="H311" s="643"/>
      <c r="I311" s="643"/>
      <c r="J311" s="643"/>
      <c r="K311" s="643"/>
    </row>
    <row r="312" spans="1:11" x14ac:dyDescent="0.25">
      <c r="A312" s="643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</row>
    <row r="313" spans="1:11" x14ac:dyDescent="0.25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</row>
    <row r="314" spans="1:11" x14ac:dyDescent="0.25">
      <c r="A314" s="643"/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</row>
    <row r="315" spans="1:11" x14ac:dyDescent="0.25">
      <c r="A315" s="643"/>
      <c r="B315" s="643"/>
      <c r="C315" s="643"/>
      <c r="D315" s="643"/>
      <c r="E315" s="643"/>
      <c r="F315" s="643"/>
      <c r="G315" s="643"/>
      <c r="H315" s="643"/>
      <c r="I315" s="643"/>
      <c r="J315" s="643"/>
      <c r="K315" s="643"/>
    </row>
    <row r="316" spans="1:11" x14ac:dyDescent="0.25">
      <c r="A316" s="643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</row>
    <row r="317" spans="1:11" x14ac:dyDescent="0.25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</row>
    <row r="318" spans="1:11" x14ac:dyDescent="0.25">
      <c r="A318" s="643"/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</row>
    <row r="319" spans="1:11" x14ac:dyDescent="0.25">
      <c r="A319" s="643"/>
      <c r="B319" s="643"/>
      <c r="C319" s="643"/>
      <c r="D319" s="643"/>
      <c r="E319" s="643"/>
      <c r="F319" s="643"/>
      <c r="G319" s="643"/>
      <c r="H319" s="643"/>
      <c r="I319" s="643"/>
      <c r="J319" s="643"/>
      <c r="K319" s="643"/>
    </row>
    <row r="320" spans="1:11" x14ac:dyDescent="0.25">
      <c r="A320" s="643"/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</row>
    <row r="321" spans="1:11" x14ac:dyDescent="0.25">
      <c r="A321" s="643"/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</row>
    <row r="322" spans="1:11" x14ac:dyDescent="0.25">
      <c r="A322" s="643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</row>
    <row r="323" spans="1:11" x14ac:dyDescent="0.25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</row>
    <row r="324" spans="1:11" x14ac:dyDescent="0.25">
      <c r="A324" s="643"/>
      <c r="B324" s="643"/>
      <c r="C324" s="643"/>
      <c r="D324" s="643"/>
      <c r="E324" s="643"/>
      <c r="F324" s="643"/>
      <c r="G324" s="643"/>
      <c r="H324" s="643"/>
      <c r="I324" s="643"/>
      <c r="J324" s="643"/>
      <c r="K324" s="643"/>
    </row>
    <row r="325" spans="1:11" x14ac:dyDescent="0.25">
      <c r="A325" s="643"/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</row>
    <row r="326" spans="1:11" x14ac:dyDescent="0.25">
      <c r="A326" s="643"/>
      <c r="B326" s="643"/>
      <c r="C326" s="643"/>
      <c r="D326" s="643"/>
      <c r="E326" s="643"/>
      <c r="F326" s="643"/>
      <c r="G326" s="643"/>
      <c r="H326" s="643"/>
      <c r="I326" s="643"/>
      <c r="J326" s="643"/>
      <c r="K326" s="643"/>
    </row>
    <row r="327" spans="1:11" x14ac:dyDescent="0.25">
      <c r="A327" s="643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</row>
    <row r="328" spans="1:11" x14ac:dyDescent="0.25">
      <c r="A328" s="643"/>
      <c r="B328" s="643"/>
      <c r="C328" s="643"/>
      <c r="D328" s="643"/>
      <c r="E328" s="643"/>
      <c r="F328" s="643"/>
      <c r="G328" s="643"/>
      <c r="H328" s="643"/>
      <c r="I328" s="643"/>
      <c r="J328" s="643"/>
      <c r="K328" s="643"/>
    </row>
    <row r="329" spans="1:11" x14ac:dyDescent="0.25">
      <c r="A329" s="643"/>
      <c r="B329" s="643"/>
      <c r="C329" s="643"/>
      <c r="D329" s="643"/>
      <c r="E329" s="643"/>
      <c r="F329" s="643"/>
      <c r="G329" s="643"/>
      <c r="H329" s="643"/>
      <c r="I329" s="643"/>
      <c r="J329" s="643"/>
      <c r="K329" s="643"/>
    </row>
    <row r="330" spans="1:11" x14ac:dyDescent="0.25">
      <c r="A330" s="643"/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</row>
    <row r="331" spans="1:11" x14ac:dyDescent="0.25">
      <c r="A331" s="643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</row>
    <row r="332" spans="1:11" x14ac:dyDescent="0.25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</row>
    <row r="333" spans="1:11" x14ac:dyDescent="0.25">
      <c r="A333" s="643"/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</row>
    <row r="334" spans="1:11" x14ac:dyDescent="0.25">
      <c r="A334" s="643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</row>
    <row r="335" spans="1:11" x14ac:dyDescent="0.25">
      <c r="A335" s="643"/>
      <c r="B335" s="643"/>
      <c r="C335" s="643"/>
      <c r="D335" s="643"/>
      <c r="E335" s="643"/>
      <c r="F335" s="643"/>
      <c r="G335" s="643"/>
      <c r="H335" s="643"/>
      <c r="I335" s="643"/>
      <c r="J335" s="643"/>
      <c r="K335" s="643"/>
    </row>
    <row r="336" spans="1:11" x14ac:dyDescent="0.25">
      <c r="A336" s="643"/>
      <c r="B336" s="643"/>
      <c r="C336" s="643"/>
      <c r="D336" s="643"/>
      <c r="E336" s="643"/>
      <c r="F336" s="643"/>
      <c r="G336" s="643"/>
      <c r="H336" s="643"/>
      <c r="I336" s="643"/>
      <c r="J336" s="643"/>
      <c r="K336" s="643"/>
    </row>
    <row r="337" spans="1:11" x14ac:dyDescent="0.25">
      <c r="A337" s="643"/>
      <c r="B337" s="643"/>
      <c r="C337" s="643"/>
      <c r="D337" s="643"/>
      <c r="E337" s="643"/>
      <c r="F337" s="643"/>
      <c r="G337" s="643"/>
      <c r="H337" s="643"/>
      <c r="I337" s="643"/>
      <c r="J337" s="643"/>
      <c r="K337" s="643"/>
    </row>
    <row r="338" spans="1:11" x14ac:dyDescent="0.25">
      <c r="A338" s="643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</row>
    <row r="339" spans="1:11" x14ac:dyDescent="0.25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</row>
    <row r="340" spans="1:11" x14ac:dyDescent="0.25">
      <c r="A340" s="643"/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</row>
    <row r="341" spans="1:11" x14ac:dyDescent="0.25">
      <c r="A341" s="643"/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</row>
    <row r="342" spans="1:11" x14ac:dyDescent="0.25">
      <c r="A342" s="643"/>
      <c r="B342" s="643"/>
      <c r="C342" s="643"/>
      <c r="D342" s="643"/>
      <c r="E342" s="643"/>
      <c r="F342" s="643"/>
      <c r="G342" s="643"/>
      <c r="H342" s="643"/>
      <c r="I342" s="643"/>
      <c r="J342" s="643"/>
      <c r="K342" s="643"/>
    </row>
    <row r="343" spans="1:11" x14ac:dyDescent="0.25">
      <c r="A343" s="643"/>
      <c r="B343" s="643"/>
      <c r="C343" s="643"/>
      <c r="D343" s="643"/>
      <c r="E343" s="643"/>
      <c r="F343" s="643"/>
      <c r="G343" s="643"/>
      <c r="H343" s="643"/>
      <c r="I343" s="643"/>
      <c r="J343" s="643"/>
      <c r="K343" s="643"/>
    </row>
    <row r="344" spans="1:11" x14ac:dyDescent="0.25">
      <c r="A344" s="643"/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</row>
    <row r="345" spans="1:11" x14ac:dyDescent="0.25">
      <c r="A345" s="643"/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</row>
    <row r="346" spans="1:11" x14ac:dyDescent="0.25">
      <c r="A346" s="643"/>
      <c r="B346" s="643"/>
      <c r="C346" s="643"/>
      <c r="D346" s="643"/>
      <c r="E346" s="643"/>
      <c r="F346" s="643"/>
      <c r="G346" s="643"/>
      <c r="H346" s="643"/>
      <c r="I346" s="643"/>
      <c r="J346" s="643"/>
      <c r="K346" s="643"/>
    </row>
    <row r="347" spans="1:11" x14ac:dyDescent="0.25">
      <c r="A347" s="643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</row>
    <row r="348" spans="1:11" x14ac:dyDescent="0.25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</row>
    <row r="349" spans="1:11" x14ac:dyDescent="0.25">
      <c r="A349" s="643"/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</row>
    <row r="350" spans="1:11" x14ac:dyDescent="0.25">
      <c r="A350" s="643"/>
      <c r="B350" s="643"/>
      <c r="C350" s="643"/>
      <c r="D350" s="643"/>
      <c r="E350" s="643"/>
      <c r="F350" s="643"/>
      <c r="G350" s="643"/>
      <c r="H350" s="643"/>
      <c r="I350" s="643"/>
      <c r="J350" s="643"/>
      <c r="K350" s="643"/>
    </row>
    <row r="351" spans="1:11" x14ac:dyDescent="0.25">
      <c r="A351" s="643"/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</row>
    <row r="352" spans="1:11" x14ac:dyDescent="0.25">
      <c r="A352" s="643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</row>
    <row r="353" spans="1:11" x14ac:dyDescent="0.25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</row>
    <row r="354" spans="1:11" x14ac:dyDescent="0.25">
      <c r="A354" s="643"/>
      <c r="B354" s="643"/>
      <c r="C354" s="643"/>
      <c r="D354" s="643"/>
      <c r="E354" s="643"/>
      <c r="F354" s="643"/>
      <c r="G354" s="643"/>
      <c r="H354" s="643"/>
      <c r="I354" s="643"/>
      <c r="J354" s="643"/>
      <c r="K354" s="643"/>
    </row>
    <row r="355" spans="1:11" x14ac:dyDescent="0.25">
      <c r="A355" s="643"/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</row>
    <row r="356" spans="1:11" x14ac:dyDescent="0.25">
      <c r="A356" s="643"/>
      <c r="B356" s="643"/>
      <c r="C356" s="643"/>
      <c r="D356" s="643"/>
      <c r="E356" s="643"/>
      <c r="F356" s="643"/>
      <c r="G356" s="643"/>
      <c r="H356" s="643"/>
      <c r="I356" s="643"/>
      <c r="J356" s="643"/>
      <c r="K356" s="643"/>
    </row>
    <row r="357" spans="1:11" x14ac:dyDescent="0.25">
      <c r="A357" s="643"/>
      <c r="B357" s="643"/>
      <c r="C357" s="643"/>
      <c r="D357" s="643"/>
      <c r="E357" s="643"/>
      <c r="F357" s="643"/>
      <c r="G357" s="643"/>
      <c r="H357" s="643"/>
      <c r="I357" s="643"/>
      <c r="J357" s="643"/>
      <c r="K357" s="643"/>
    </row>
    <row r="358" spans="1:11" x14ac:dyDescent="0.25">
      <c r="A358" s="643"/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</row>
    <row r="359" spans="1:11" x14ac:dyDescent="0.25">
      <c r="A359" s="643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</row>
    <row r="360" spans="1:11" x14ac:dyDescent="0.25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</row>
    <row r="361" spans="1:11" x14ac:dyDescent="0.25">
      <c r="A361" s="643"/>
      <c r="B361" s="643"/>
      <c r="C361" s="643"/>
      <c r="D361" s="643"/>
      <c r="E361" s="643"/>
      <c r="F361" s="643"/>
      <c r="G361" s="643"/>
      <c r="H361" s="643"/>
      <c r="I361" s="643"/>
      <c r="J361" s="643"/>
      <c r="K361" s="643"/>
    </row>
    <row r="362" spans="1:11" x14ac:dyDescent="0.25">
      <c r="A362" s="643"/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</row>
    <row r="363" spans="1:11" x14ac:dyDescent="0.25">
      <c r="A363" s="643"/>
      <c r="B363" s="643"/>
      <c r="C363" s="643"/>
      <c r="D363" s="643"/>
      <c r="E363" s="643"/>
      <c r="F363" s="643"/>
      <c r="G363" s="643"/>
      <c r="H363" s="643"/>
      <c r="I363" s="643"/>
      <c r="J363" s="643"/>
      <c r="K363" s="643"/>
    </row>
    <row r="364" spans="1:11" x14ac:dyDescent="0.25">
      <c r="A364" s="643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</row>
    <row r="365" spans="1:11" x14ac:dyDescent="0.25">
      <c r="A365" s="643"/>
      <c r="B365" s="643"/>
      <c r="C365" s="643"/>
      <c r="D365" s="643"/>
      <c r="E365" s="643"/>
      <c r="F365" s="643"/>
      <c r="G365" s="643"/>
      <c r="H365" s="643"/>
      <c r="I365" s="643"/>
      <c r="J365" s="643"/>
      <c r="K365" s="643"/>
    </row>
    <row r="366" spans="1:11" x14ac:dyDescent="0.25">
      <c r="A366" s="643"/>
      <c r="B366" s="643"/>
      <c r="C366" s="643"/>
      <c r="D366" s="643"/>
      <c r="E366" s="643"/>
      <c r="F366" s="643"/>
      <c r="G366" s="643"/>
      <c r="H366" s="643"/>
      <c r="I366" s="643"/>
      <c r="J366" s="643"/>
      <c r="K366" s="643"/>
    </row>
    <row r="367" spans="1:11" x14ac:dyDescent="0.25">
      <c r="A367" s="643"/>
      <c r="B367" s="643"/>
      <c r="C367" s="643"/>
      <c r="D367" s="643"/>
      <c r="E367" s="643"/>
      <c r="F367" s="643"/>
      <c r="G367" s="643"/>
      <c r="H367" s="643"/>
      <c r="I367" s="643"/>
      <c r="J367" s="643"/>
      <c r="K367" s="643"/>
    </row>
    <row r="368" spans="1:11" x14ac:dyDescent="0.25">
      <c r="A368" s="643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</row>
    <row r="369" spans="1:11" x14ac:dyDescent="0.25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</row>
    <row r="370" spans="1:11" x14ac:dyDescent="0.25">
      <c r="A370" s="643"/>
      <c r="B370" s="643"/>
      <c r="C370" s="643"/>
      <c r="D370" s="643"/>
      <c r="E370" s="643"/>
      <c r="F370" s="643"/>
      <c r="G370" s="643"/>
      <c r="H370" s="643"/>
      <c r="I370" s="643"/>
      <c r="J370" s="643"/>
      <c r="K370" s="643"/>
    </row>
    <row r="371" spans="1:11" x14ac:dyDescent="0.25">
      <c r="A371" s="643"/>
      <c r="B371" s="643"/>
      <c r="C371" s="643"/>
      <c r="D371" s="643"/>
      <c r="E371" s="643"/>
      <c r="F371" s="643"/>
      <c r="G371" s="643"/>
      <c r="H371" s="643"/>
      <c r="I371" s="643"/>
      <c r="J371" s="643"/>
      <c r="K371" s="643"/>
    </row>
    <row r="372" spans="1:11" x14ac:dyDescent="0.25">
      <c r="A372" s="643"/>
      <c r="B372" s="643"/>
      <c r="C372" s="643"/>
      <c r="D372" s="643"/>
      <c r="E372" s="643"/>
      <c r="F372" s="643"/>
      <c r="G372" s="643"/>
      <c r="H372" s="643"/>
      <c r="I372" s="643"/>
      <c r="J372" s="643"/>
      <c r="K372" s="643"/>
    </row>
    <row r="373" spans="1:11" x14ac:dyDescent="0.25">
      <c r="A373" s="643"/>
      <c r="B373" s="643"/>
      <c r="C373" s="643"/>
      <c r="D373" s="643"/>
      <c r="E373" s="643"/>
      <c r="F373" s="643"/>
      <c r="G373" s="643"/>
      <c r="H373" s="643"/>
      <c r="I373" s="643"/>
      <c r="J373" s="643"/>
      <c r="K373" s="643"/>
    </row>
    <row r="374" spans="1:11" x14ac:dyDescent="0.25">
      <c r="A374" s="643"/>
      <c r="B374" s="643"/>
      <c r="C374" s="643"/>
      <c r="D374" s="643"/>
      <c r="E374" s="643"/>
      <c r="F374" s="643"/>
      <c r="G374" s="643"/>
      <c r="H374" s="643"/>
      <c r="I374" s="643"/>
      <c r="J374" s="643"/>
      <c r="K374" s="643"/>
    </row>
    <row r="375" spans="1:11" x14ac:dyDescent="0.25">
      <c r="A375" s="643"/>
      <c r="B375" s="643"/>
      <c r="C375" s="643"/>
      <c r="D375" s="643"/>
      <c r="E375" s="643"/>
      <c r="F375" s="643"/>
      <c r="G375" s="643"/>
      <c r="H375" s="643"/>
      <c r="I375" s="643"/>
      <c r="J375" s="643"/>
      <c r="K375" s="643"/>
    </row>
    <row r="376" spans="1:11" x14ac:dyDescent="0.25">
      <c r="A376" s="643"/>
      <c r="B376" s="643"/>
      <c r="C376" s="643"/>
      <c r="D376" s="643"/>
      <c r="E376" s="643"/>
      <c r="F376" s="643"/>
      <c r="G376" s="643"/>
      <c r="H376" s="643"/>
      <c r="I376" s="643"/>
      <c r="J376" s="643"/>
      <c r="K376" s="643"/>
    </row>
    <row r="377" spans="1:11" x14ac:dyDescent="0.25">
      <c r="A377" s="643"/>
      <c r="B377" s="643"/>
      <c r="C377" s="643"/>
      <c r="D377" s="643"/>
      <c r="E377" s="643"/>
      <c r="F377" s="643"/>
      <c r="G377" s="643"/>
      <c r="H377" s="643"/>
      <c r="I377" s="643"/>
      <c r="J377" s="643"/>
      <c r="K377" s="643"/>
    </row>
    <row r="378" spans="1:11" x14ac:dyDescent="0.25">
      <c r="A378" s="643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</row>
    <row r="379" spans="1:11" x14ac:dyDescent="0.25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</row>
    <row r="380" spans="1:11" x14ac:dyDescent="0.25">
      <c r="A380" s="643"/>
      <c r="B380" s="643"/>
      <c r="C380" s="643"/>
      <c r="D380" s="643"/>
      <c r="E380" s="643"/>
      <c r="F380" s="643"/>
      <c r="G380" s="643"/>
      <c r="H380" s="643"/>
      <c r="I380" s="643"/>
      <c r="J380" s="643"/>
      <c r="K380" s="643"/>
    </row>
    <row r="381" spans="1:11" x14ac:dyDescent="0.25">
      <c r="A381" s="643"/>
      <c r="B381" s="643"/>
      <c r="C381" s="643"/>
      <c r="D381" s="643"/>
      <c r="E381" s="643"/>
      <c r="F381" s="643"/>
      <c r="G381" s="643"/>
      <c r="H381" s="643"/>
      <c r="I381" s="643"/>
      <c r="J381" s="643"/>
      <c r="K381" s="643"/>
    </row>
    <row r="382" spans="1:11" x14ac:dyDescent="0.25">
      <c r="A382" s="643"/>
      <c r="B382" s="643"/>
      <c r="C382" s="643"/>
      <c r="D382" s="643"/>
      <c r="E382" s="643"/>
      <c r="F382" s="643"/>
      <c r="G382" s="643"/>
      <c r="H382" s="643"/>
      <c r="I382" s="643"/>
      <c r="J382" s="643"/>
      <c r="K382" s="643"/>
    </row>
    <row r="383" spans="1:11" x14ac:dyDescent="0.25">
      <c r="A383" s="643"/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</row>
    <row r="384" spans="1:11" x14ac:dyDescent="0.25">
      <c r="A384" s="643"/>
      <c r="B384" s="643"/>
      <c r="C384" s="643"/>
      <c r="D384" s="643"/>
      <c r="E384" s="643"/>
      <c r="F384" s="643"/>
      <c r="G384" s="643"/>
      <c r="H384" s="643"/>
      <c r="I384" s="643"/>
      <c r="J384" s="643"/>
      <c r="K384" s="643"/>
    </row>
    <row r="385" spans="1:11" x14ac:dyDescent="0.25">
      <c r="A385" s="643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</row>
    <row r="386" spans="1:11" x14ac:dyDescent="0.25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</row>
    <row r="387" spans="1:11" x14ac:dyDescent="0.25">
      <c r="A387" s="643"/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</row>
    <row r="388" spans="1:11" x14ac:dyDescent="0.25">
      <c r="A388" s="643"/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</row>
    <row r="389" spans="1:11" x14ac:dyDescent="0.25">
      <c r="A389" s="643"/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</row>
    <row r="390" spans="1:11" x14ac:dyDescent="0.25">
      <c r="A390" s="643"/>
      <c r="B390" s="643"/>
      <c r="C390" s="643"/>
      <c r="D390" s="643"/>
      <c r="E390" s="643"/>
      <c r="F390" s="643"/>
      <c r="G390" s="643"/>
      <c r="H390" s="643"/>
      <c r="I390" s="643"/>
      <c r="J390" s="643"/>
      <c r="K390" s="643"/>
    </row>
    <row r="391" spans="1:11" x14ac:dyDescent="0.25">
      <c r="A391" s="643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</row>
    <row r="392" spans="1:11" x14ac:dyDescent="0.25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</row>
    <row r="393" spans="1:11" x14ac:dyDescent="0.25">
      <c r="A393" s="643"/>
      <c r="B393" s="643"/>
      <c r="C393" s="643"/>
      <c r="D393" s="643"/>
      <c r="E393" s="643"/>
      <c r="F393" s="643"/>
      <c r="G393" s="643"/>
      <c r="H393" s="643"/>
      <c r="I393" s="643"/>
      <c r="J393" s="643"/>
      <c r="K393" s="643"/>
    </row>
    <row r="394" spans="1:11" x14ac:dyDescent="0.25">
      <c r="A394" s="643"/>
      <c r="B394" s="643"/>
      <c r="C394" s="643"/>
      <c r="D394" s="643"/>
      <c r="E394" s="643"/>
      <c r="F394" s="643"/>
      <c r="G394" s="643"/>
      <c r="H394" s="643"/>
      <c r="I394" s="643"/>
      <c r="J394" s="643"/>
      <c r="K394" s="643"/>
    </row>
    <row r="395" spans="1:11" x14ac:dyDescent="0.25">
      <c r="A395" s="643"/>
      <c r="B395" s="643"/>
      <c r="C395" s="643"/>
      <c r="D395" s="643"/>
      <c r="E395" s="643"/>
      <c r="F395" s="643"/>
      <c r="G395" s="643"/>
      <c r="H395" s="643"/>
      <c r="I395" s="643"/>
      <c r="J395" s="643"/>
      <c r="K395" s="643"/>
    </row>
    <row r="396" spans="1:11" x14ac:dyDescent="0.25">
      <c r="A396" s="643"/>
      <c r="B396" s="643"/>
      <c r="C396" s="643"/>
      <c r="D396" s="643"/>
      <c r="E396" s="643"/>
      <c r="F396" s="643"/>
      <c r="G396" s="643"/>
      <c r="H396" s="643"/>
      <c r="I396" s="643"/>
      <c r="J396" s="643"/>
      <c r="K396" s="643"/>
    </row>
    <row r="397" spans="1:11" x14ac:dyDescent="0.25">
      <c r="A397" s="643"/>
      <c r="B397" s="643"/>
      <c r="C397" s="643"/>
      <c r="D397" s="643"/>
      <c r="E397" s="643"/>
      <c r="F397" s="643"/>
      <c r="G397" s="643"/>
      <c r="H397" s="643"/>
      <c r="I397" s="643"/>
      <c r="J397" s="643"/>
      <c r="K397" s="643"/>
    </row>
    <row r="398" spans="1:11" x14ac:dyDescent="0.25">
      <c r="A398" s="643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</row>
    <row r="399" spans="1:11" x14ac:dyDescent="0.25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</row>
    <row r="400" spans="1:11" x14ac:dyDescent="0.25">
      <c r="A400" s="643"/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</row>
    <row r="401" spans="1:11" x14ac:dyDescent="0.25">
      <c r="A401" s="643"/>
      <c r="B401" s="643"/>
      <c r="C401" s="643"/>
      <c r="D401" s="643"/>
      <c r="E401" s="643"/>
      <c r="F401" s="643"/>
      <c r="G401" s="643"/>
      <c r="H401" s="643"/>
      <c r="I401" s="643"/>
      <c r="J401" s="643"/>
      <c r="K401" s="643"/>
    </row>
    <row r="402" spans="1:11" x14ac:dyDescent="0.25">
      <c r="A402" s="643"/>
      <c r="B402" s="643"/>
      <c r="C402" s="643"/>
      <c r="D402" s="643"/>
      <c r="E402" s="643"/>
      <c r="F402" s="643"/>
      <c r="G402" s="643"/>
      <c r="H402" s="643"/>
      <c r="I402" s="643"/>
      <c r="J402" s="643"/>
      <c r="K402" s="643"/>
    </row>
    <row r="403" spans="1:11" x14ac:dyDescent="0.25">
      <c r="A403" s="643"/>
      <c r="B403" s="643"/>
      <c r="C403" s="643"/>
      <c r="D403" s="643"/>
      <c r="E403" s="643"/>
      <c r="F403" s="643"/>
      <c r="G403" s="643"/>
      <c r="H403" s="643"/>
      <c r="I403" s="643"/>
      <c r="J403" s="643"/>
      <c r="K403" s="643"/>
    </row>
    <row r="404" spans="1:11" x14ac:dyDescent="0.25">
      <c r="A404" s="643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</row>
    <row r="405" spans="1:11" x14ac:dyDescent="0.25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</row>
    <row r="406" spans="1:11" x14ac:dyDescent="0.25">
      <c r="A406" s="643"/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</row>
    <row r="407" spans="1:11" x14ac:dyDescent="0.25">
      <c r="A407" s="643"/>
      <c r="B407" s="643"/>
      <c r="C407" s="643"/>
      <c r="D407" s="643"/>
      <c r="E407" s="643"/>
      <c r="F407" s="643"/>
      <c r="G407" s="643"/>
      <c r="H407" s="643"/>
      <c r="I407" s="643"/>
      <c r="J407" s="643"/>
      <c r="K407" s="643"/>
    </row>
    <row r="408" spans="1:11" x14ac:dyDescent="0.25">
      <c r="A408" s="643"/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</row>
    <row r="409" spans="1:11" x14ac:dyDescent="0.25">
      <c r="A409" s="643"/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</row>
    <row r="410" spans="1:11" x14ac:dyDescent="0.25">
      <c r="A410" s="643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</row>
    <row r="411" spans="1:11" x14ac:dyDescent="0.25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</row>
    <row r="412" spans="1:11" x14ac:dyDescent="0.25">
      <c r="A412" s="643"/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</row>
    <row r="413" spans="1:11" x14ac:dyDescent="0.25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</row>
    <row r="414" spans="1:11" x14ac:dyDescent="0.25">
      <c r="A414" s="643"/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</row>
    <row r="415" spans="1:11" x14ac:dyDescent="0.25">
      <c r="A415" s="643"/>
      <c r="B415" s="643"/>
      <c r="C415" s="643"/>
      <c r="D415" s="643"/>
      <c r="E415" s="643"/>
      <c r="F415" s="643"/>
      <c r="G415" s="643"/>
      <c r="H415" s="643"/>
      <c r="I415" s="643"/>
      <c r="J415" s="643"/>
      <c r="K415" s="643"/>
    </row>
    <row r="416" spans="1:11" x14ac:dyDescent="0.25">
      <c r="A416" s="643"/>
      <c r="B416" s="643"/>
      <c r="C416" s="643"/>
      <c r="D416" s="643"/>
      <c r="E416" s="643"/>
      <c r="F416" s="643"/>
      <c r="G416" s="643"/>
      <c r="H416" s="643"/>
      <c r="I416" s="643"/>
      <c r="J416" s="643"/>
      <c r="K416" s="643"/>
    </row>
    <row r="417" spans="1:11" x14ac:dyDescent="0.25">
      <c r="A417" s="643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</row>
    <row r="418" spans="1:11" x14ac:dyDescent="0.25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</row>
    <row r="419" spans="1:11" x14ac:dyDescent="0.25">
      <c r="A419" s="643"/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</row>
    <row r="420" spans="1:11" x14ac:dyDescent="0.25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</row>
    <row r="421" spans="1:11" x14ac:dyDescent="0.25">
      <c r="A421" s="643"/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</row>
    <row r="422" spans="1:11" x14ac:dyDescent="0.25">
      <c r="A422" s="643"/>
      <c r="B422" s="643"/>
      <c r="C422" s="643"/>
      <c r="D422" s="643"/>
      <c r="E422" s="643"/>
      <c r="F422" s="643"/>
      <c r="G422" s="643"/>
      <c r="H422" s="643"/>
      <c r="I422" s="643"/>
      <c r="J422" s="643"/>
      <c r="K422" s="643"/>
    </row>
    <row r="423" spans="1:11" x14ac:dyDescent="0.25">
      <c r="A423" s="643"/>
      <c r="B423" s="643"/>
      <c r="C423" s="643"/>
      <c r="D423" s="643"/>
      <c r="E423" s="643"/>
      <c r="F423" s="643"/>
      <c r="G423" s="643"/>
      <c r="H423" s="643"/>
      <c r="I423" s="643"/>
      <c r="J423" s="643"/>
      <c r="K423" s="643"/>
    </row>
    <row r="424" spans="1:11" x14ac:dyDescent="0.25">
      <c r="A424" s="643"/>
      <c r="B424" s="643"/>
      <c r="C424" s="643"/>
      <c r="D424" s="643"/>
      <c r="E424" s="643"/>
      <c r="F424" s="643"/>
      <c r="G424" s="643"/>
      <c r="H424" s="643"/>
      <c r="I424" s="643"/>
      <c r="J424" s="643"/>
      <c r="K424" s="643"/>
    </row>
    <row r="425" spans="1:11" x14ac:dyDescent="0.25">
      <c r="A425" s="643"/>
      <c r="B425" s="643"/>
      <c r="C425" s="643"/>
      <c r="D425" s="643"/>
      <c r="E425" s="643"/>
      <c r="F425" s="643"/>
      <c r="G425" s="643"/>
      <c r="H425" s="643"/>
      <c r="I425" s="643"/>
      <c r="J425" s="643"/>
      <c r="K425" s="643"/>
    </row>
    <row r="426" spans="1:11" x14ac:dyDescent="0.25">
      <c r="A426" s="643"/>
      <c r="B426" s="643"/>
      <c r="C426" s="643"/>
      <c r="D426" s="643"/>
      <c r="E426" s="643"/>
      <c r="F426" s="643"/>
      <c r="G426" s="643"/>
      <c r="H426" s="643"/>
      <c r="I426" s="643"/>
      <c r="J426" s="643"/>
      <c r="K426" s="643"/>
    </row>
    <row r="427" spans="1:11" x14ac:dyDescent="0.25">
      <c r="A427" s="643"/>
      <c r="B427" s="643"/>
      <c r="C427" s="643"/>
      <c r="D427" s="643"/>
      <c r="E427" s="643"/>
      <c r="F427" s="643"/>
      <c r="G427" s="643"/>
      <c r="H427" s="643"/>
      <c r="I427" s="643"/>
      <c r="J427" s="643"/>
      <c r="K427" s="643"/>
    </row>
    <row r="428" spans="1:11" x14ac:dyDescent="0.25">
      <c r="A428" s="643"/>
      <c r="B428" s="643"/>
      <c r="C428" s="643"/>
      <c r="D428" s="643"/>
      <c r="E428" s="643"/>
      <c r="F428" s="643"/>
      <c r="G428" s="643"/>
      <c r="H428" s="643"/>
      <c r="I428" s="643"/>
      <c r="J428" s="643"/>
      <c r="K428" s="643"/>
    </row>
    <row r="429" spans="1:11" x14ac:dyDescent="0.25">
      <c r="A429" s="643"/>
      <c r="B429" s="643"/>
      <c r="C429" s="643"/>
      <c r="D429" s="643"/>
      <c r="E429" s="643"/>
      <c r="F429" s="643"/>
      <c r="G429" s="643"/>
      <c r="H429" s="643"/>
      <c r="I429" s="643"/>
      <c r="J429" s="643"/>
      <c r="K429" s="643"/>
    </row>
    <row r="430" spans="1:11" x14ac:dyDescent="0.25">
      <c r="A430" s="643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</row>
    <row r="431" spans="1:11" x14ac:dyDescent="0.25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</row>
    <row r="432" spans="1:11" x14ac:dyDescent="0.25">
      <c r="A432" s="643"/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</row>
    <row r="433" spans="1:11" x14ac:dyDescent="0.25">
      <c r="A433" s="643"/>
      <c r="B433" s="643"/>
      <c r="C433" s="643"/>
      <c r="D433" s="643"/>
      <c r="E433" s="643"/>
      <c r="F433" s="643"/>
      <c r="G433" s="643"/>
      <c r="H433" s="643"/>
      <c r="I433" s="643"/>
      <c r="J433" s="643"/>
      <c r="K433" s="643"/>
    </row>
    <row r="434" spans="1:11" x14ac:dyDescent="0.25">
      <c r="A434" s="643"/>
      <c r="B434" s="643"/>
      <c r="C434" s="643"/>
      <c r="D434" s="643"/>
      <c r="E434" s="643"/>
      <c r="F434" s="643"/>
      <c r="G434" s="643"/>
      <c r="H434" s="643"/>
      <c r="I434" s="643"/>
      <c r="J434" s="643"/>
      <c r="K434" s="643"/>
    </row>
    <row r="435" spans="1:11" x14ac:dyDescent="0.25">
      <c r="A435" s="643"/>
      <c r="B435" s="643"/>
      <c r="C435" s="643"/>
      <c r="D435" s="643"/>
      <c r="E435" s="643"/>
      <c r="F435" s="643"/>
      <c r="G435" s="643"/>
      <c r="H435" s="643"/>
      <c r="I435" s="643"/>
      <c r="J435" s="643"/>
      <c r="K435" s="643"/>
    </row>
    <row r="436" spans="1:11" x14ac:dyDescent="0.25">
      <c r="A436" s="643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</row>
    <row r="437" spans="1:11" x14ac:dyDescent="0.25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</row>
    <row r="438" spans="1:11" x14ac:dyDescent="0.25">
      <c r="A438" s="643"/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</row>
    <row r="439" spans="1:11" x14ac:dyDescent="0.25">
      <c r="A439" s="643"/>
      <c r="B439" s="643"/>
      <c r="C439" s="643"/>
      <c r="D439" s="643"/>
      <c r="E439" s="643"/>
      <c r="F439" s="643"/>
      <c r="G439" s="643"/>
      <c r="H439" s="643"/>
      <c r="I439" s="643"/>
      <c r="J439" s="643"/>
      <c r="K439" s="643"/>
    </row>
    <row r="440" spans="1:11" x14ac:dyDescent="0.25">
      <c r="A440" s="643"/>
      <c r="B440" s="643"/>
      <c r="C440" s="643"/>
      <c r="D440" s="643"/>
      <c r="E440" s="643"/>
      <c r="F440" s="643"/>
      <c r="G440" s="643"/>
      <c r="H440" s="643"/>
      <c r="I440" s="643"/>
      <c r="J440" s="643"/>
      <c r="K440" s="643"/>
    </row>
    <row r="441" spans="1:11" x14ac:dyDescent="0.25">
      <c r="A441" s="643"/>
      <c r="B441" s="643"/>
      <c r="C441" s="643"/>
      <c r="D441" s="643"/>
      <c r="E441" s="643"/>
      <c r="F441" s="643"/>
      <c r="G441" s="643"/>
      <c r="H441" s="643"/>
      <c r="I441" s="643"/>
      <c r="J441" s="643"/>
      <c r="K441" s="643"/>
    </row>
    <row r="442" spans="1:11" x14ac:dyDescent="0.25">
      <c r="A442" s="643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</row>
    <row r="443" spans="1:11" x14ac:dyDescent="0.25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</row>
    <row r="444" spans="1:11" x14ac:dyDescent="0.25">
      <c r="A444" s="643"/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</row>
    <row r="445" spans="1:11" x14ac:dyDescent="0.25">
      <c r="A445" s="643"/>
      <c r="B445" s="643"/>
      <c r="C445" s="643"/>
      <c r="D445" s="643"/>
      <c r="E445" s="643"/>
      <c r="F445" s="643"/>
      <c r="G445" s="643"/>
      <c r="H445" s="643"/>
      <c r="I445" s="643"/>
      <c r="J445" s="643"/>
      <c r="K445" s="643"/>
    </row>
    <row r="446" spans="1:11" x14ac:dyDescent="0.25">
      <c r="A446" s="643"/>
      <c r="B446" s="643"/>
      <c r="C446" s="643"/>
      <c r="D446" s="643"/>
      <c r="E446" s="643"/>
      <c r="F446" s="643"/>
      <c r="G446" s="643"/>
      <c r="H446" s="643"/>
      <c r="I446" s="643"/>
      <c r="J446" s="643"/>
      <c r="K446" s="643"/>
    </row>
    <row r="447" spans="1:11" x14ac:dyDescent="0.25">
      <c r="A447" s="643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</row>
    <row r="448" spans="1:11" x14ac:dyDescent="0.25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</row>
    <row r="449" spans="1:11" x14ac:dyDescent="0.25">
      <c r="A449" s="643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</row>
    <row r="450" spans="1:11" x14ac:dyDescent="0.25">
      <c r="A450" s="643"/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</row>
    <row r="451" spans="1:11" x14ac:dyDescent="0.25">
      <c r="A451" s="643"/>
      <c r="B451" s="643"/>
      <c r="C451" s="643"/>
      <c r="D451" s="643"/>
      <c r="E451" s="643"/>
      <c r="F451" s="643"/>
      <c r="G451" s="643"/>
      <c r="H451" s="643"/>
      <c r="I451" s="643"/>
      <c r="J451" s="643"/>
      <c r="K451" s="643"/>
    </row>
    <row r="452" spans="1:11" x14ac:dyDescent="0.25">
      <c r="A452" s="643"/>
      <c r="B452" s="643"/>
      <c r="C452" s="643"/>
      <c r="D452" s="643"/>
      <c r="E452" s="643"/>
      <c r="F452" s="643"/>
      <c r="G452" s="643"/>
      <c r="H452" s="643"/>
      <c r="I452" s="643"/>
      <c r="J452" s="643"/>
      <c r="K452" s="643"/>
    </row>
    <row r="453" spans="1:11" x14ac:dyDescent="0.25">
      <c r="A453" s="643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</row>
    <row r="454" spans="1:11" x14ac:dyDescent="0.25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</row>
    <row r="455" spans="1:11" x14ac:dyDescent="0.25">
      <c r="A455" s="643"/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</row>
    <row r="456" spans="1:11" x14ac:dyDescent="0.25">
      <c r="A456" s="643"/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</row>
    <row r="457" spans="1:11" x14ac:dyDescent="0.25">
      <c r="A457" s="643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</row>
    <row r="458" spans="1:11" x14ac:dyDescent="0.25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</row>
    <row r="459" spans="1:11" x14ac:dyDescent="0.25">
      <c r="A459" s="643"/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</row>
    <row r="460" spans="1:11" x14ac:dyDescent="0.25">
      <c r="A460" s="643"/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</row>
    <row r="461" spans="1:11" x14ac:dyDescent="0.25">
      <c r="A461" s="643"/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</row>
    <row r="462" spans="1:11" x14ac:dyDescent="0.25">
      <c r="A462" s="643"/>
      <c r="B462" s="643"/>
      <c r="C462" s="643"/>
      <c r="D462" s="643"/>
      <c r="E462" s="643"/>
      <c r="F462" s="643"/>
      <c r="G462" s="643"/>
      <c r="H462" s="643"/>
      <c r="I462" s="643"/>
      <c r="J462" s="643"/>
      <c r="K462" s="643"/>
    </row>
    <row r="463" spans="1:11" x14ac:dyDescent="0.25">
      <c r="A463" s="643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</row>
    <row r="464" spans="1:11" x14ac:dyDescent="0.25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</row>
    <row r="465" spans="1:11" x14ac:dyDescent="0.25">
      <c r="A465" s="643"/>
      <c r="B465" s="643"/>
      <c r="C465" s="643"/>
      <c r="D465" s="643"/>
      <c r="E465" s="643"/>
      <c r="F465" s="643"/>
      <c r="G465" s="643"/>
      <c r="H465" s="643"/>
      <c r="I465" s="643"/>
      <c r="J465" s="643"/>
      <c r="K465" s="643"/>
    </row>
    <row r="466" spans="1:11" x14ac:dyDescent="0.25">
      <c r="A466" s="643"/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</row>
    <row r="467" spans="1:11" x14ac:dyDescent="0.25">
      <c r="A467" s="643"/>
      <c r="B467" s="643"/>
      <c r="C467" s="643"/>
      <c r="D467" s="643"/>
      <c r="E467" s="643"/>
      <c r="F467" s="643"/>
      <c r="G467" s="643"/>
      <c r="H467" s="643"/>
      <c r="I467" s="643"/>
      <c r="J467" s="643"/>
      <c r="K467" s="643"/>
    </row>
    <row r="468" spans="1:11" x14ac:dyDescent="0.25">
      <c r="A468" s="643"/>
      <c r="B468" s="643"/>
      <c r="C468" s="643"/>
      <c r="D468" s="643"/>
      <c r="E468" s="643"/>
      <c r="F468" s="643"/>
      <c r="G468" s="643"/>
      <c r="H468" s="643"/>
      <c r="I468" s="643"/>
      <c r="J468" s="643"/>
      <c r="K468" s="643"/>
    </row>
    <row r="469" spans="1:11" x14ac:dyDescent="0.25">
      <c r="A469" s="643"/>
      <c r="B469" s="643"/>
      <c r="C469" s="643"/>
      <c r="D469" s="643"/>
      <c r="E469" s="643"/>
      <c r="F469" s="643"/>
      <c r="G469" s="643"/>
      <c r="H469" s="643"/>
      <c r="I469" s="643"/>
      <c r="J469" s="643"/>
      <c r="K469" s="643"/>
    </row>
    <row r="470" spans="1:11" x14ac:dyDescent="0.25">
      <c r="A470" s="643"/>
      <c r="B470" s="643"/>
      <c r="C470" s="643"/>
      <c r="D470" s="643"/>
      <c r="E470" s="643"/>
      <c r="F470" s="643"/>
      <c r="G470" s="643"/>
      <c r="H470" s="643"/>
      <c r="I470" s="643"/>
      <c r="J470" s="643"/>
      <c r="K470" s="643"/>
    </row>
    <row r="471" spans="1:11" x14ac:dyDescent="0.25">
      <c r="A471" s="643"/>
      <c r="B471" s="643"/>
      <c r="C471" s="643"/>
      <c r="D471" s="643"/>
      <c r="E471" s="643"/>
      <c r="F471" s="643"/>
      <c r="G471" s="643"/>
      <c r="H471" s="643"/>
      <c r="I471" s="643"/>
      <c r="J471" s="643"/>
      <c r="K471" s="643"/>
    </row>
    <row r="472" spans="1:11" x14ac:dyDescent="0.25">
      <c r="A472" s="643"/>
      <c r="B472" s="643"/>
      <c r="C472" s="643"/>
      <c r="D472" s="643"/>
      <c r="E472" s="643"/>
      <c r="F472" s="643"/>
      <c r="G472" s="643"/>
      <c r="H472" s="643"/>
      <c r="I472" s="643"/>
      <c r="J472" s="643"/>
      <c r="K472" s="643"/>
    </row>
    <row r="473" spans="1:11" x14ac:dyDescent="0.25">
      <c r="A473" s="643"/>
      <c r="B473" s="643"/>
      <c r="C473" s="643"/>
      <c r="D473" s="643"/>
      <c r="E473" s="643"/>
      <c r="F473" s="643"/>
      <c r="G473" s="643"/>
      <c r="H473" s="643"/>
      <c r="I473" s="643"/>
      <c r="J473" s="643"/>
      <c r="K473" s="643"/>
    </row>
    <row r="474" spans="1:11" x14ac:dyDescent="0.25">
      <c r="A474" s="643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</row>
    <row r="475" spans="1:11" x14ac:dyDescent="0.25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</row>
    <row r="476" spans="1:11" x14ac:dyDescent="0.25">
      <c r="A476" s="643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</row>
    <row r="477" spans="1:11" x14ac:dyDescent="0.25">
      <c r="A477" s="643"/>
      <c r="B477" s="643"/>
      <c r="C477" s="643"/>
      <c r="D477" s="643"/>
      <c r="E477" s="643"/>
      <c r="F477" s="643"/>
      <c r="G477" s="643"/>
      <c r="H477" s="643"/>
      <c r="I477" s="643"/>
      <c r="J477" s="643"/>
      <c r="K477" s="643"/>
    </row>
    <row r="478" spans="1:11" x14ac:dyDescent="0.25">
      <c r="A478" s="643"/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</row>
    <row r="479" spans="1:11" x14ac:dyDescent="0.25">
      <c r="A479" s="643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</row>
    <row r="480" spans="1:11" x14ac:dyDescent="0.25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</row>
    <row r="481" spans="1:11" x14ac:dyDescent="0.25">
      <c r="A481" s="643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</row>
    <row r="482" spans="1:11" x14ac:dyDescent="0.25">
      <c r="A482" s="643"/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</row>
    <row r="483" spans="1:11" x14ac:dyDescent="0.25">
      <c r="A483" s="643"/>
      <c r="B483" s="643"/>
      <c r="C483" s="643"/>
      <c r="D483" s="643"/>
      <c r="E483" s="643"/>
      <c r="F483" s="643"/>
      <c r="G483" s="643"/>
      <c r="H483" s="643"/>
      <c r="I483" s="643"/>
      <c r="J483" s="643"/>
      <c r="K483" s="643"/>
    </row>
    <row r="484" spans="1:11" x14ac:dyDescent="0.25">
      <c r="A484" s="643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</row>
    <row r="485" spans="1:11" x14ac:dyDescent="0.25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</row>
    <row r="486" spans="1:11" x14ac:dyDescent="0.25">
      <c r="A486" s="643"/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</row>
    <row r="487" spans="1:11" x14ac:dyDescent="0.25">
      <c r="A487" s="643"/>
      <c r="B487" s="643"/>
      <c r="C487" s="643"/>
      <c r="D487" s="643"/>
      <c r="E487" s="643"/>
      <c r="F487" s="643"/>
      <c r="G487" s="643"/>
      <c r="H487" s="643"/>
      <c r="I487" s="643"/>
      <c r="J487" s="643"/>
      <c r="K487" s="643"/>
    </row>
    <row r="488" spans="1:11" x14ac:dyDescent="0.25">
      <c r="A488" s="643"/>
      <c r="B488" s="643"/>
      <c r="C488" s="643"/>
      <c r="D488" s="643"/>
      <c r="E488" s="643"/>
      <c r="F488" s="643"/>
      <c r="G488" s="643"/>
      <c r="H488" s="643"/>
      <c r="I488" s="643"/>
      <c r="J488" s="643"/>
      <c r="K488" s="643"/>
    </row>
    <row r="489" spans="1:11" x14ac:dyDescent="0.25">
      <c r="A489" s="643"/>
      <c r="B489" s="643"/>
      <c r="C489" s="643"/>
      <c r="D489" s="643"/>
      <c r="E489" s="643"/>
      <c r="F489" s="643"/>
      <c r="G489" s="643"/>
      <c r="H489" s="643"/>
      <c r="I489" s="643"/>
      <c r="J489" s="643"/>
      <c r="K489" s="643"/>
    </row>
    <row r="490" spans="1:11" x14ac:dyDescent="0.25">
      <c r="A490" s="643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</row>
    <row r="491" spans="1:11" x14ac:dyDescent="0.25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</row>
    <row r="492" spans="1:11" x14ac:dyDescent="0.25">
      <c r="A492" s="643"/>
      <c r="B492" s="643"/>
      <c r="C492" s="643"/>
      <c r="D492" s="643"/>
      <c r="E492" s="643"/>
      <c r="F492" s="643"/>
      <c r="G492" s="643"/>
      <c r="H492" s="643"/>
      <c r="I492" s="643"/>
      <c r="J492" s="643"/>
      <c r="K492" s="643"/>
    </row>
    <row r="493" spans="1:11" x14ac:dyDescent="0.25">
      <c r="A493" s="643"/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</row>
    <row r="494" spans="1:11" x14ac:dyDescent="0.25">
      <c r="A494" s="643"/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</row>
    <row r="495" spans="1:11" x14ac:dyDescent="0.25">
      <c r="A495" s="643"/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</row>
    <row r="496" spans="1:11" x14ac:dyDescent="0.25">
      <c r="A496" s="643"/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</row>
    <row r="497" spans="1:11" x14ac:dyDescent="0.25">
      <c r="A497" s="643"/>
      <c r="B497" s="643"/>
      <c r="C497" s="643"/>
      <c r="D497" s="643"/>
      <c r="E497" s="643"/>
      <c r="F497" s="643"/>
      <c r="G497" s="643"/>
      <c r="H497" s="643"/>
      <c r="I497" s="643"/>
      <c r="J497" s="643"/>
      <c r="K497" s="643"/>
    </row>
    <row r="498" spans="1:11" x14ac:dyDescent="0.25">
      <c r="A498" s="643"/>
      <c r="B498" s="643"/>
      <c r="C498" s="643"/>
      <c r="D498" s="643"/>
      <c r="E498" s="643"/>
      <c r="F498" s="643"/>
      <c r="G498" s="643"/>
      <c r="H498" s="643"/>
      <c r="I498" s="643"/>
      <c r="J498" s="643"/>
      <c r="K498" s="643"/>
    </row>
    <row r="499" spans="1:11" x14ac:dyDescent="0.25">
      <c r="A499" s="643"/>
      <c r="B499" s="643"/>
      <c r="C499" s="643"/>
      <c r="D499" s="643"/>
      <c r="E499" s="643"/>
      <c r="F499" s="643"/>
      <c r="G499" s="643"/>
      <c r="H499" s="643"/>
      <c r="I499" s="643"/>
      <c r="J499" s="643"/>
      <c r="K499" s="643"/>
    </row>
    <row r="500" spans="1:11" x14ac:dyDescent="0.25">
      <c r="A500" s="643"/>
      <c r="B500" s="643"/>
      <c r="C500" s="643"/>
      <c r="D500" s="643"/>
      <c r="E500" s="643"/>
      <c r="F500" s="643"/>
      <c r="G500" s="643"/>
      <c r="H500" s="643"/>
      <c r="I500" s="643"/>
      <c r="J500" s="643"/>
      <c r="K500" s="643"/>
    </row>
    <row r="501" spans="1:11" x14ac:dyDescent="0.25">
      <c r="A501" s="643"/>
      <c r="B501" s="643"/>
      <c r="C501" s="643"/>
      <c r="D501" s="643"/>
      <c r="E501" s="643"/>
      <c r="F501" s="643"/>
      <c r="G501" s="643"/>
      <c r="H501" s="643"/>
      <c r="I501" s="643"/>
      <c r="J501" s="643"/>
      <c r="K501" s="643"/>
    </row>
    <row r="502" spans="1:11" x14ac:dyDescent="0.25">
      <c r="A502" s="643"/>
      <c r="B502" s="643"/>
      <c r="C502" s="643"/>
      <c r="D502" s="643"/>
      <c r="E502" s="643"/>
      <c r="F502" s="643"/>
      <c r="G502" s="643"/>
      <c r="H502" s="643"/>
      <c r="I502" s="643"/>
      <c r="J502" s="643"/>
      <c r="K502" s="643"/>
    </row>
    <row r="503" spans="1:11" x14ac:dyDescent="0.25">
      <c r="A503" s="643"/>
      <c r="B503" s="643"/>
      <c r="C503" s="643"/>
      <c r="D503" s="643"/>
      <c r="E503" s="643"/>
      <c r="F503" s="643"/>
      <c r="G503" s="643"/>
      <c r="H503" s="643"/>
      <c r="I503" s="643"/>
      <c r="J503" s="643"/>
      <c r="K503" s="643"/>
    </row>
    <row r="504" spans="1:11" x14ac:dyDescent="0.25">
      <c r="A504" s="643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</row>
    <row r="505" spans="1:11" x14ac:dyDescent="0.25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</row>
    <row r="506" spans="1:11" x14ac:dyDescent="0.25">
      <c r="A506" s="643"/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</row>
    <row r="507" spans="1:11" x14ac:dyDescent="0.25">
      <c r="A507" s="643"/>
      <c r="B507" s="643"/>
      <c r="C507" s="643"/>
      <c r="D507" s="643"/>
      <c r="E507" s="643"/>
      <c r="F507" s="643"/>
      <c r="G507" s="643"/>
      <c r="H507" s="643"/>
      <c r="I507" s="643"/>
      <c r="J507" s="643"/>
      <c r="K507" s="643"/>
    </row>
    <row r="508" spans="1:11" x14ac:dyDescent="0.25">
      <c r="A508" s="643"/>
      <c r="B508" s="643"/>
      <c r="C508" s="643"/>
      <c r="D508" s="643"/>
      <c r="E508" s="643"/>
      <c r="F508" s="643"/>
      <c r="G508" s="643"/>
      <c r="H508" s="643"/>
      <c r="I508" s="643"/>
      <c r="J508" s="643"/>
      <c r="K508" s="643"/>
    </row>
    <row r="509" spans="1:11" x14ac:dyDescent="0.25">
      <c r="A509" s="643"/>
      <c r="B509" s="643"/>
      <c r="C509" s="643"/>
      <c r="D509" s="643"/>
      <c r="E509" s="643"/>
      <c r="F509" s="643"/>
      <c r="G509" s="643"/>
      <c r="H509" s="643"/>
      <c r="I509" s="643"/>
      <c r="J509" s="643"/>
      <c r="K509" s="643"/>
    </row>
    <row r="510" spans="1:11" x14ac:dyDescent="0.25">
      <c r="A510" s="643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</row>
    <row r="511" spans="1:11" x14ac:dyDescent="0.25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</row>
    <row r="512" spans="1:11" x14ac:dyDescent="0.25">
      <c r="A512" s="643"/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</row>
    <row r="513" spans="1:11" x14ac:dyDescent="0.25">
      <c r="A513" s="643"/>
      <c r="B513" s="643"/>
      <c r="C513" s="643"/>
      <c r="D513" s="643"/>
      <c r="E513" s="643"/>
      <c r="F513" s="643"/>
      <c r="G513" s="643"/>
      <c r="H513" s="643"/>
      <c r="I513" s="643"/>
      <c r="J513" s="643"/>
      <c r="K513" s="643"/>
    </row>
    <row r="514" spans="1:11" x14ac:dyDescent="0.25">
      <c r="A514" s="643"/>
      <c r="B514" s="643"/>
      <c r="C514" s="643"/>
      <c r="D514" s="643"/>
      <c r="E514" s="643"/>
      <c r="F514" s="643"/>
      <c r="G514" s="643"/>
      <c r="H514" s="643"/>
      <c r="I514" s="643"/>
      <c r="J514" s="643"/>
      <c r="K514" s="643"/>
    </row>
    <row r="515" spans="1:11" x14ac:dyDescent="0.25">
      <c r="A515" s="643"/>
      <c r="B515" s="643"/>
      <c r="C515" s="643"/>
      <c r="D515" s="643"/>
      <c r="E515" s="643"/>
      <c r="F515" s="643"/>
      <c r="G515" s="643"/>
      <c r="H515" s="643"/>
      <c r="I515" s="643"/>
      <c r="J515" s="643"/>
      <c r="K515" s="643"/>
    </row>
    <row r="516" spans="1:11" x14ac:dyDescent="0.25">
      <c r="A516" s="643"/>
      <c r="B516" s="643"/>
      <c r="C516" s="643"/>
      <c r="D516" s="643"/>
      <c r="E516" s="643"/>
      <c r="F516" s="643"/>
      <c r="G516" s="643"/>
      <c r="H516" s="643"/>
      <c r="I516" s="643"/>
      <c r="J516" s="643"/>
      <c r="K516" s="643"/>
    </row>
    <row r="517" spans="1:11" x14ac:dyDescent="0.25">
      <c r="A517" s="643"/>
      <c r="B517" s="643"/>
      <c r="C517" s="643"/>
      <c r="D517" s="643"/>
      <c r="E517" s="643"/>
      <c r="F517" s="643"/>
      <c r="G517" s="643"/>
      <c r="H517" s="643"/>
      <c r="I517" s="643"/>
      <c r="J517" s="643"/>
      <c r="K517" s="643"/>
    </row>
    <row r="518" spans="1:11" x14ac:dyDescent="0.25">
      <c r="A518" s="643"/>
      <c r="B518" s="643"/>
      <c r="C518" s="643"/>
      <c r="D518" s="643"/>
      <c r="E518" s="643"/>
      <c r="F518" s="643"/>
      <c r="G518" s="643"/>
      <c r="H518" s="643"/>
      <c r="I518" s="643"/>
      <c r="J518" s="643"/>
      <c r="K518" s="643"/>
    </row>
    <row r="519" spans="1:11" x14ac:dyDescent="0.25">
      <c r="A519" s="643"/>
      <c r="B519" s="643"/>
      <c r="C519" s="643"/>
      <c r="D519" s="643"/>
      <c r="E519" s="643"/>
      <c r="F519" s="643"/>
      <c r="G519" s="643"/>
      <c r="H519" s="643"/>
      <c r="I519" s="643"/>
      <c r="J519" s="643"/>
      <c r="K519" s="643"/>
    </row>
    <row r="520" spans="1:11" x14ac:dyDescent="0.25">
      <c r="A520" s="643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</row>
    <row r="521" spans="1:11" x14ac:dyDescent="0.25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</row>
    <row r="522" spans="1:11" x14ac:dyDescent="0.25">
      <c r="A522" s="643"/>
      <c r="B522" s="643"/>
      <c r="C522" s="643"/>
      <c r="D522" s="643"/>
      <c r="E522" s="643"/>
      <c r="F522" s="643"/>
      <c r="G522" s="643"/>
      <c r="H522" s="643"/>
      <c r="I522" s="643"/>
      <c r="J522" s="643"/>
      <c r="K522" s="643"/>
    </row>
    <row r="523" spans="1:11" x14ac:dyDescent="0.25">
      <c r="A523" s="643"/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</row>
    <row r="524" spans="1:11" x14ac:dyDescent="0.25">
      <c r="A524" s="643"/>
      <c r="B524" s="643"/>
      <c r="C524" s="643"/>
      <c r="D524" s="643"/>
      <c r="E524" s="643"/>
      <c r="F524" s="643"/>
      <c r="G524" s="643"/>
      <c r="H524" s="643"/>
      <c r="I524" s="643"/>
      <c r="J524" s="643"/>
      <c r="K524" s="643"/>
    </row>
    <row r="525" spans="1:11" x14ac:dyDescent="0.25">
      <c r="A525" s="643"/>
      <c r="B525" s="643"/>
      <c r="C525" s="643"/>
      <c r="D525" s="643"/>
      <c r="E525" s="643"/>
      <c r="F525" s="643"/>
      <c r="G525" s="643"/>
      <c r="H525" s="643"/>
      <c r="I525" s="643"/>
      <c r="J525" s="643"/>
      <c r="K525" s="643"/>
    </row>
    <row r="526" spans="1:11" x14ac:dyDescent="0.25">
      <c r="A526" s="643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</row>
    <row r="527" spans="1:11" x14ac:dyDescent="0.25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</row>
    <row r="528" spans="1:11" x14ac:dyDescent="0.25">
      <c r="A528" s="643"/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</row>
    <row r="529" spans="1:11" x14ac:dyDescent="0.25">
      <c r="A529" s="643"/>
      <c r="B529" s="643"/>
      <c r="C529" s="643"/>
      <c r="D529" s="643"/>
      <c r="E529" s="643"/>
      <c r="F529" s="643"/>
      <c r="G529" s="643"/>
      <c r="H529" s="643"/>
      <c r="I529" s="643"/>
      <c r="J529" s="643"/>
      <c r="K529" s="643"/>
    </row>
    <row r="530" spans="1:11" x14ac:dyDescent="0.25">
      <c r="A530" s="643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</row>
    <row r="531" spans="1:11" x14ac:dyDescent="0.25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</row>
    <row r="532" spans="1:11" x14ac:dyDescent="0.25">
      <c r="A532" s="643"/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</row>
    <row r="533" spans="1:11" x14ac:dyDescent="0.25">
      <c r="A533" s="643"/>
      <c r="B533" s="643"/>
      <c r="C533" s="643"/>
      <c r="D533" s="643"/>
      <c r="E533" s="643"/>
      <c r="F533" s="643"/>
      <c r="G533" s="643"/>
      <c r="H533" s="643"/>
      <c r="I533" s="643"/>
      <c r="J533" s="643"/>
      <c r="K533" s="643"/>
    </row>
    <row r="534" spans="1:11" x14ac:dyDescent="0.25">
      <c r="A534" s="643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</row>
    <row r="535" spans="1:11" x14ac:dyDescent="0.25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</row>
    <row r="536" spans="1:11" x14ac:dyDescent="0.25">
      <c r="A536" s="643"/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</row>
    <row r="537" spans="1:11" x14ac:dyDescent="0.25">
      <c r="A537" s="643"/>
      <c r="B537" s="643"/>
      <c r="C537" s="643"/>
      <c r="D537" s="643"/>
      <c r="E537" s="643"/>
      <c r="F537" s="643"/>
      <c r="G537" s="643"/>
      <c r="H537" s="643"/>
      <c r="I537" s="643"/>
      <c r="J537" s="643"/>
      <c r="K537" s="643"/>
    </row>
    <row r="538" spans="1:11" x14ac:dyDescent="0.25">
      <c r="A538" s="643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</row>
    <row r="539" spans="1:11" x14ac:dyDescent="0.25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</row>
    <row r="540" spans="1:11" x14ac:dyDescent="0.25">
      <c r="A540" s="643"/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</row>
    <row r="541" spans="1:11" x14ac:dyDescent="0.25">
      <c r="A541" s="643"/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</row>
    <row r="542" spans="1:11" x14ac:dyDescent="0.25">
      <c r="A542" s="643"/>
      <c r="B542" s="643"/>
      <c r="C542" s="643"/>
      <c r="D542" s="643"/>
      <c r="E542" s="643"/>
      <c r="F542" s="643"/>
      <c r="G542" s="643"/>
      <c r="H542" s="643"/>
      <c r="I542" s="643"/>
      <c r="J542" s="643"/>
      <c r="K542" s="643"/>
    </row>
    <row r="543" spans="1:11" x14ac:dyDescent="0.25">
      <c r="A543" s="643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</row>
    <row r="544" spans="1:11" x14ac:dyDescent="0.25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</row>
    <row r="545" spans="1:11" x14ac:dyDescent="0.25">
      <c r="A545" s="643"/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</row>
    <row r="546" spans="1:11" x14ac:dyDescent="0.25">
      <c r="A546" s="643"/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</row>
    <row r="547" spans="1:11" x14ac:dyDescent="0.25">
      <c r="A547" s="643"/>
      <c r="B547" s="643"/>
      <c r="C547" s="643"/>
      <c r="D547" s="643"/>
      <c r="E547" s="643"/>
      <c r="F547" s="643"/>
      <c r="G547" s="643"/>
      <c r="H547" s="643"/>
      <c r="I547" s="643"/>
      <c r="J547" s="643"/>
      <c r="K547" s="643"/>
    </row>
    <row r="548" spans="1:11" x14ac:dyDescent="0.25">
      <c r="A548" s="643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</row>
    <row r="549" spans="1:11" x14ac:dyDescent="0.25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</row>
    <row r="550" spans="1:11" x14ac:dyDescent="0.25">
      <c r="A550" s="643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</row>
    <row r="551" spans="1:11" x14ac:dyDescent="0.25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</row>
    <row r="552" spans="1:11" x14ac:dyDescent="0.25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</row>
    <row r="553" spans="1:11" x14ac:dyDescent="0.25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</row>
    <row r="554" spans="1:11" x14ac:dyDescent="0.25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</row>
    <row r="555" spans="1:11" x14ac:dyDescent="0.25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</row>
    <row r="556" spans="1:11" x14ac:dyDescent="0.25">
      <c r="A556" s="643"/>
      <c r="B556" s="643"/>
      <c r="C556" s="643"/>
      <c r="D556" s="643"/>
      <c r="E556" s="643"/>
      <c r="F556" s="643"/>
      <c r="G556" s="643"/>
      <c r="H556" s="643"/>
      <c r="I556" s="643"/>
      <c r="J556" s="643"/>
      <c r="K556" s="643"/>
    </row>
    <row r="557" spans="1:11" x14ac:dyDescent="0.25">
      <c r="A557" s="643"/>
      <c r="B557" s="643"/>
      <c r="C557" s="643"/>
      <c r="D557" s="643"/>
      <c r="E557" s="643"/>
      <c r="F557" s="643"/>
      <c r="G557" s="643"/>
      <c r="H557" s="643"/>
      <c r="I557" s="643"/>
      <c r="J557" s="643"/>
      <c r="K557" s="643"/>
    </row>
    <row r="558" spans="1:11" x14ac:dyDescent="0.25">
      <c r="A558" s="643"/>
      <c r="B558" s="643"/>
      <c r="C558" s="643"/>
      <c r="D558" s="643"/>
      <c r="E558" s="643"/>
      <c r="F558" s="643"/>
      <c r="G558" s="643"/>
      <c r="H558" s="643"/>
      <c r="I558" s="643"/>
      <c r="J558" s="643"/>
      <c r="K558" s="643"/>
    </row>
    <row r="559" spans="1:11" x14ac:dyDescent="0.25">
      <c r="A559" s="643"/>
      <c r="B559" s="643"/>
      <c r="C559" s="643"/>
      <c r="D559" s="643"/>
      <c r="E559" s="643"/>
      <c r="F559" s="643"/>
      <c r="G559" s="643"/>
      <c r="H559" s="643"/>
      <c r="I559" s="643"/>
      <c r="J559" s="643"/>
      <c r="K559" s="643"/>
    </row>
    <row r="560" spans="1:11" x14ac:dyDescent="0.25">
      <c r="A560" s="643"/>
      <c r="B560" s="643"/>
      <c r="C560" s="643"/>
      <c r="D560" s="643"/>
      <c r="E560" s="643"/>
      <c r="F560" s="643"/>
      <c r="G560" s="643"/>
      <c r="H560" s="643"/>
      <c r="I560" s="643"/>
      <c r="J560" s="643"/>
      <c r="K560" s="643"/>
    </row>
    <row r="561" spans="1:11" x14ac:dyDescent="0.25">
      <c r="A561" s="643"/>
      <c r="B561" s="643"/>
      <c r="C561" s="643"/>
      <c r="D561" s="643"/>
      <c r="E561" s="643"/>
      <c r="F561" s="643"/>
      <c r="G561" s="643"/>
      <c r="H561" s="643"/>
      <c r="I561" s="643"/>
      <c r="J561" s="643"/>
      <c r="K561" s="643"/>
    </row>
    <row r="562" spans="1:11" x14ac:dyDescent="0.25">
      <c r="A562" s="643"/>
      <c r="B562" s="643"/>
      <c r="C562" s="643"/>
      <c r="D562" s="643"/>
      <c r="E562" s="643"/>
      <c r="F562" s="643"/>
      <c r="G562" s="643"/>
      <c r="H562" s="643"/>
      <c r="I562" s="643"/>
      <c r="J562" s="643"/>
      <c r="K562" s="643"/>
    </row>
    <row r="563" spans="1:11" x14ac:dyDescent="0.25">
      <c r="A563" s="643"/>
      <c r="B563" s="643"/>
      <c r="C563" s="643"/>
      <c r="D563" s="643"/>
      <c r="E563" s="643"/>
      <c r="F563" s="643"/>
      <c r="G563" s="643"/>
      <c r="H563" s="643"/>
      <c r="I563" s="643"/>
      <c r="J563" s="643"/>
      <c r="K563" s="643"/>
    </row>
    <row r="564" spans="1:11" x14ac:dyDescent="0.25">
      <c r="A564" s="643"/>
      <c r="B564" s="643"/>
      <c r="C564" s="643"/>
      <c r="D564" s="643"/>
      <c r="E564" s="643"/>
      <c r="F564" s="643"/>
      <c r="G564" s="643"/>
      <c r="H564" s="643"/>
      <c r="I564" s="643"/>
      <c r="J564" s="643"/>
      <c r="K564" s="643"/>
    </row>
    <row r="565" spans="1:11" x14ac:dyDescent="0.25">
      <c r="A565" s="643"/>
      <c r="B565" s="643"/>
      <c r="C565" s="643"/>
      <c r="D565" s="643"/>
      <c r="E565" s="643"/>
      <c r="F565" s="643"/>
      <c r="G565" s="643"/>
      <c r="H565" s="643"/>
      <c r="I565" s="643"/>
      <c r="J565" s="643"/>
      <c r="K565" s="643"/>
    </row>
    <row r="566" spans="1:11" x14ac:dyDescent="0.25">
      <c r="A566" s="643"/>
      <c r="B566" s="643"/>
      <c r="C566" s="643"/>
      <c r="D566" s="643"/>
      <c r="E566" s="643"/>
      <c r="F566" s="643"/>
      <c r="G566" s="643"/>
      <c r="H566" s="643"/>
      <c r="I566" s="643"/>
      <c r="J566" s="643"/>
      <c r="K566" s="643"/>
    </row>
    <row r="567" spans="1:11" x14ac:dyDescent="0.25">
      <c r="A567" s="643"/>
      <c r="B567" s="643"/>
      <c r="C567" s="643"/>
      <c r="D567" s="643"/>
      <c r="E567" s="643"/>
      <c r="F567" s="643"/>
      <c r="G567" s="643"/>
      <c r="H567" s="643"/>
      <c r="I567" s="643"/>
      <c r="J567" s="643"/>
      <c r="K567" s="643"/>
    </row>
    <row r="568" spans="1:11" x14ac:dyDescent="0.25">
      <c r="A568" s="643"/>
      <c r="B568" s="643"/>
      <c r="C568" s="643"/>
      <c r="D568" s="643"/>
      <c r="E568" s="643"/>
      <c r="F568" s="643"/>
      <c r="G568" s="643"/>
      <c r="H568" s="643"/>
      <c r="I568" s="643"/>
      <c r="J568" s="643"/>
      <c r="K568" s="643"/>
    </row>
    <row r="569" spans="1:11" x14ac:dyDescent="0.25">
      <c r="A569" s="643"/>
      <c r="B569" s="643"/>
      <c r="C569" s="643"/>
      <c r="D569" s="643"/>
      <c r="E569" s="643"/>
      <c r="F569" s="643"/>
      <c r="G569" s="643"/>
      <c r="H569" s="643"/>
      <c r="I569" s="643"/>
      <c r="J569" s="643"/>
      <c r="K569" s="643"/>
    </row>
    <row r="570" spans="1:11" x14ac:dyDescent="0.25">
      <c r="A570" s="643"/>
      <c r="B570" s="643"/>
      <c r="C570" s="643"/>
      <c r="D570" s="643"/>
      <c r="E570" s="643"/>
      <c r="F570" s="643"/>
      <c r="G570" s="643"/>
      <c r="H570" s="643"/>
      <c r="I570" s="643"/>
      <c r="J570" s="643"/>
      <c r="K570" s="643"/>
    </row>
    <row r="571" spans="1:11" x14ac:dyDescent="0.25">
      <c r="A571" s="643"/>
      <c r="B571" s="643"/>
      <c r="C571" s="643"/>
      <c r="D571" s="643"/>
      <c r="E571" s="643"/>
      <c r="F571" s="643"/>
      <c r="G571" s="643"/>
      <c r="H571" s="643"/>
      <c r="I571" s="643"/>
      <c r="J571" s="643"/>
      <c r="K571" s="643"/>
    </row>
    <row r="572" spans="1:11" x14ac:dyDescent="0.25">
      <c r="A572" s="643"/>
      <c r="B572" s="643"/>
      <c r="C572" s="643"/>
      <c r="D572" s="643"/>
      <c r="E572" s="643"/>
      <c r="F572" s="643"/>
      <c r="G572" s="643"/>
      <c r="H572" s="643"/>
      <c r="I572" s="643"/>
      <c r="J572" s="643"/>
      <c r="K572" s="643"/>
    </row>
    <row r="573" spans="1:11" x14ac:dyDescent="0.25">
      <c r="A573" s="643"/>
      <c r="B573" s="643"/>
      <c r="C573" s="643"/>
      <c r="D573" s="643"/>
      <c r="E573" s="643"/>
      <c r="F573" s="643"/>
      <c r="G573" s="643"/>
      <c r="H573" s="643"/>
      <c r="I573" s="643"/>
      <c r="J573" s="643"/>
      <c r="K573" s="643"/>
    </row>
    <row r="574" spans="1:11" x14ac:dyDescent="0.25">
      <c r="A574" s="643"/>
      <c r="B574" s="643"/>
      <c r="C574" s="643"/>
      <c r="D574" s="643"/>
      <c r="E574" s="643"/>
      <c r="F574" s="643"/>
      <c r="G574" s="643"/>
      <c r="H574" s="643"/>
      <c r="I574" s="643"/>
      <c r="J574" s="643"/>
      <c r="K574" s="643"/>
    </row>
    <row r="575" spans="1:11" x14ac:dyDescent="0.25">
      <c r="A575" s="643"/>
      <c r="B575" s="643"/>
      <c r="C575" s="643"/>
      <c r="D575" s="643"/>
      <c r="E575" s="643"/>
      <c r="F575" s="643"/>
      <c r="G575" s="643"/>
      <c r="H575" s="643"/>
      <c r="I575" s="643"/>
      <c r="J575" s="643"/>
      <c r="K575" s="643"/>
    </row>
    <row r="576" spans="1:11" x14ac:dyDescent="0.25">
      <c r="A576" s="643"/>
      <c r="B576" s="643"/>
      <c r="C576" s="643"/>
      <c r="D576" s="643"/>
      <c r="E576" s="643"/>
      <c r="F576" s="643"/>
      <c r="G576" s="643"/>
      <c r="H576" s="643"/>
      <c r="I576" s="643"/>
      <c r="J576" s="643"/>
      <c r="K576" s="643"/>
    </row>
    <row r="577" spans="1:11" x14ac:dyDescent="0.25">
      <c r="A577" s="643"/>
      <c r="B577" s="643"/>
      <c r="C577" s="643"/>
      <c r="D577" s="643"/>
      <c r="E577" s="643"/>
      <c r="F577" s="643"/>
      <c r="G577" s="643"/>
      <c r="H577" s="643"/>
      <c r="I577" s="643"/>
      <c r="J577" s="643"/>
      <c r="K577" s="643"/>
    </row>
    <row r="578" spans="1:11" x14ac:dyDescent="0.25">
      <c r="A578" s="643"/>
      <c r="B578" s="643"/>
      <c r="C578" s="643"/>
      <c r="D578" s="643"/>
      <c r="E578" s="643"/>
      <c r="F578" s="643"/>
      <c r="G578" s="643"/>
      <c r="H578" s="643"/>
      <c r="I578" s="643"/>
      <c r="J578" s="643"/>
      <c r="K578" s="643"/>
    </row>
    <row r="579" spans="1:11" x14ac:dyDescent="0.25">
      <c r="A579" s="643"/>
      <c r="B579" s="643"/>
      <c r="C579" s="643"/>
      <c r="D579" s="643"/>
      <c r="E579" s="643"/>
      <c r="F579" s="643"/>
      <c r="G579" s="643"/>
      <c r="H579" s="643"/>
      <c r="I579" s="643"/>
      <c r="J579" s="643"/>
      <c r="K579" s="643"/>
    </row>
    <row r="580" spans="1:11" x14ac:dyDescent="0.25">
      <c r="A580" s="643"/>
      <c r="B580" s="643"/>
      <c r="C580" s="643"/>
      <c r="D580" s="643"/>
      <c r="E580" s="643"/>
      <c r="F580" s="643"/>
      <c r="G580" s="643"/>
      <c r="H580" s="643"/>
      <c r="I580" s="643"/>
      <c r="J580" s="643"/>
      <c r="K580" s="643"/>
    </row>
    <row r="581" spans="1:11" x14ac:dyDescent="0.25">
      <c r="A581" s="643"/>
      <c r="B581" s="643"/>
      <c r="C581" s="643"/>
      <c r="D581" s="643"/>
      <c r="E581" s="643"/>
      <c r="F581" s="643"/>
      <c r="G581" s="643"/>
      <c r="H581" s="643"/>
      <c r="I581" s="643"/>
      <c r="J581" s="643"/>
      <c r="K581" s="643"/>
    </row>
    <row r="582" spans="1:11" x14ac:dyDescent="0.25">
      <c r="A582" s="643"/>
      <c r="B582" s="643"/>
      <c r="C582" s="643"/>
      <c r="D582" s="643"/>
      <c r="E582" s="643"/>
      <c r="F582" s="643"/>
      <c r="G582" s="643"/>
      <c r="H582" s="643"/>
      <c r="I582" s="643"/>
      <c r="J582" s="643"/>
      <c r="K582" s="643"/>
    </row>
    <row r="583" spans="1:11" x14ac:dyDescent="0.25">
      <c r="A583" s="643"/>
      <c r="B583" s="643"/>
      <c r="C583" s="643"/>
      <c r="D583" s="643"/>
      <c r="E583" s="643"/>
      <c r="F583" s="643"/>
      <c r="G583" s="643"/>
      <c r="H583" s="643"/>
      <c r="I583" s="643"/>
      <c r="J583" s="643"/>
      <c r="K583" s="643"/>
    </row>
    <row r="584" spans="1:11" x14ac:dyDescent="0.25">
      <c r="A584" s="643"/>
      <c r="B584" s="643"/>
      <c r="C584" s="643"/>
      <c r="D584" s="643"/>
      <c r="E584" s="643"/>
      <c r="F584" s="643"/>
      <c r="G584" s="643"/>
      <c r="H584" s="643"/>
      <c r="I584" s="643"/>
      <c r="J584" s="643"/>
      <c r="K584" s="643"/>
    </row>
    <row r="585" spans="1:11" x14ac:dyDescent="0.25">
      <c r="A585" s="643"/>
      <c r="B585" s="643"/>
      <c r="C585" s="643"/>
      <c r="D585" s="643"/>
      <c r="E585" s="643"/>
      <c r="F585" s="643"/>
      <c r="G585" s="643"/>
      <c r="H585" s="643"/>
      <c r="I585" s="643"/>
      <c r="J585" s="643"/>
      <c r="K585" s="643"/>
    </row>
    <row r="586" spans="1:11" x14ac:dyDescent="0.25">
      <c r="A586" s="643"/>
      <c r="B586" s="643"/>
      <c r="C586" s="643"/>
      <c r="D586" s="643"/>
      <c r="E586" s="643"/>
      <c r="F586" s="643"/>
      <c r="G586" s="643"/>
      <c r="H586" s="643"/>
      <c r="I586" s="643"/>
      <c r="J586" s="643"/>
      <c r="K586" s="643"/>
    </row>
    <row r="587" spans="1:11" x14ac:dyDescent="0.25">
      <c r="A587" s="643"/>
      <c r="B587" s="643"/>
      <c r="C587" s="643"/>
      <c r="D587" s="643"/>
      <c r="E587" s="643"/>
      <c r="F587" s="643"/>
      <c r="G587" s="643"/>
      <c r="H587" s="643"/>
      <c r="I587" s="643"/>
      <c r="J587" s="643"/>
      <c r="K587" s="643"/>
    </row>
    <row r="588" spans="1:11" x14ac:dyDescent="0.25">
      <c r="C588" s="643"/>
      <c r="D588" s="643"/>
      <c r="E588" s="643"/>
      <c r="F588" s="643"/>
      <c r="G588" s="643"/>
      <c r="H588" s="643"/>
      <c r="I588" s="643"/>
      <c r="J588" s="643"/>
      <c r="K588" s="643"/>
    </row>
    <row r="589" spans="1:11" x14ac:dyDescent="0.25">
      <c r="C589" s="643"/>
      <c r="D589" s="643"/>
      <c r="E589" s="643"/>
      <c r="F589" s="643"/>
      <c r="G589" s="643"/>
      <c r="H589" s="643"/>
      <c r="I589" s="643"/>
      <c r="J589" s="643"/>
      <c r="K589" s="643"/>
    </row>
  </sheetData>
  <mergeCells count="8">
    <mergeCell ref="A38:K38"/>
    <mergeCell ref="A45:K45"/>
    <mergeCell ref="A2:K2"/>
    <mergeCell ref="A15:K15"/>
    <mergeCell ref="A22:K22"/>
    <mergeCell ref="A26:K26"/>
    <mergeCell ref="A30:K30"/>
    <mergeCell ref="A34:K34"/>
  </mergeCells>
  <conditionalFormatting sqref="B4:B5">
    <cfRule type="cellIs" dxfId="46" priority="24" operator="equal">
      <formula>4</formula>
    </cfRule>
    <cfRule type="cellIs" dxfId="45" priority="25" operator="equal">
      <formula>3</formula>
    </cfRule>
  </conditionalFormatting>
  <conditionalFormatting sqref="B7:B8">
    <cfRule type="cellIs" dxfId="44" priority="22" operator="equal">
      <formula>4</formula>
    </cfRule>
    <cfRule type="cellIs" dxfId="43" priority="23" operator="equal">
      <formula>3</formula>
    </cfRule>
  </conditionalFormatting>
  <conditionalFormatting sqref="B10:B11">
    <cfRule type="cellIs" dxfId="42" priority="20" operator="equal">
      <formula>4</formula>
    </cfRule>
    <cfRule type="cellIs" dxfId="41" priority="21" operator="equal">
      <formula>3</formula>
    </cfRule>
  </conditionalFormatting>
  <conditionalFormatting sqref="B17">
    <cfRule type="cellIs" dxfId="40" priority="18" operator="equal">
      <formula>4</formula>
    </cfRule>
    <cfRule type="cellIs" dxfId="39" priority="19" operator="equal">
      <formula>3</formula>
    </cfRule>
  </conditionalFormatting>
  <conditionalFormatting sqref="B24">
    <cfRule type="cellIs" dxfId="38" priority="16" operator="equal">
      <formula>4</formula>
    </cfRule>
    <cfRule type="cellIs" dxfId="37" priority="17" operator="equal">
      <formula>3</formula>
    </cfRule>
  </conditionalFormatting>
  <conditionalFormatting sqref="B28">
    <cfRule type="cellIs" dxfId="36" priority="14" operator="equal">
      <formula>4</formula>
    </cfRule>
    <cfRule type="cellIs" dxfId="35" priority="15" operator="equal">
      <formula>3</formula>
    </cfRule>
  </conditionalFormatting>
  <conditionalFormatting sqref="B32">
    <cfRule type="cellIs" dxfId="34" priority="12" operator="equal">
      <formula>4</formula>
    </cfRule>
    <cfRule type="cellIs" dxfId="33" priority="13" operator="equal">
      <formula>3</formula>
    </cfRule>
  </conditionalFormatting>
  <conditionalFormatting sqref="B36">
    <cfRule type="cellIs" dxfId="32" priority="10" operator="equal">
      <formula>4</formula>
    </cfRule>
    <cfRule type="cellIs" dxfId="31" priority="11" operator="equal">
      <formula>3</formula>
    </cfRule>
  </conditionalFormatting>
  <conditionalFormatting sqref="B40">
    <cfRule type="cellIs" dxfId="30" priority="8" operator="equal">
      <formula>4</formula>
    </cfRule>
    <cfRule type="cellIs" dxfId="29" priority="9" operator="equal">
      <formula>3</formula>
    </cfRule>
  </conditionalFormatting>
  <conditionalFormatting sqref="B47">
    <cfRule type="cellIs" dxfId="28" priority="6" operator="equal">
      <formula>4</formula>
    </cfRule>
    <cfRule type="cellIs" dxfId="27" priority="7" operator="equal">
      <formula>3</formula>
    </cfRule>
  </conditionalFormatting>
  <conditionalFormatting sqref="K1:K3 K5:K6 K8:K9 K11:K1048576">
    <cfRule type="cellIs" dxfId="26" priority="1" operator="equal">
      <formula>"No es certificable por Stofire"</formula>
    </cfRule>
    <cfRule type="cellIs" dxfId="25" priority="2" operator="equal">
      <formula>"No es certificable por Fire Tex"</formula>
    </cfRule>
    <cfRule type="cellIs" dxfId="24" priority="3" operator="equal">
      <formula>"No es certificable por Fire Control"</formula>
    </cfRule>
    <cfRule type="cellIs" dxfId="23" priority="4" operator="equal">
      <formula>"No es certificable por WB7"</formula>
    </cfRule>
    <cfRule type="cellIs" dxfId="22" priority="5" operator="equal">
      <formula>"CERTIFICABLE"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-0.249977111117893"/>
  </sheetPr>
  <dimension ref="B1:L33"/>
  <sheetViews>
    <sheetView showGridLines="0" zoomScale="120" zoomScaleNormal="120" workbookViewId="0">
      <selection activeCell="E14" sqref="E14"/>
    </sheetView>
  </sheetViews>
  <sheetFormatPr baseColWidth="10" defaultColWidth="11.42578125" defaultRowHeight="15" x14ac:dyDescent="0.25"/>
  <cols>
    <col min="1" max="2" width="11.42578125" style="6"/>
    <col min="3" max="3" width="18" style="6" customWidth="1"/>
    <col min="4" max="4" width="16.140625" style="6" customWidth="1"/>
    <col min="5" max="5" width="11.42578125" style="6"/>
    <col min="6" max="6" width="18.42578125" style="6" customWidth="1"/>
    <col min="7" max="7" width="19.42578125" style="6" customWidth="1"/>
    <col min="8" max="16384" width="11.42578125" style="6"/>
  </cols>
  <sheetData>
    <row r="1" spans="2:12" x14ac:dyDescent="0.25"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2:12" ht="17.25" customHeight="1" thickBot="1" x14ac:dyDescent="0.3">
      <c r="B2" s="105"/>
      <c r="C2" s="105"/>
      <c r="D2" s="105"/>
      <c r="E2" s="54"/>
      <c r="F2" s="105"/>
      <c r="G2" s="105"/>
      <c r="H2" s="105"/>
      <c r="I2" s="54"/>
      <c r="J2" s="105"/>
      <c r="K2" s="105"/>
      <c r="L2" s="105"/>
    </row>
    <row r="3" spans="2:12" ht="15.75" thickBot="1" x14ac:dyDescent="0.3">
      <c r="B3" s="106"/>
      <c r="C3" s="1114" t="s">
        <v>118</v>
      </c>
      <c r="D3" s="1115"/>
      <c r="E3" s="54"/>
      <c r="F3" s="1116" t="s">
        <v>129</v>
      </c>
      <c r="G3" s="1117"/>
      <c r="H3" s="106"/>
      <c r="I3" s="54"/>
      <c r="J3" s="106"/>
      <c r="K3" s="106"/>
      <c r="L3" s="106"/>
    </row>
    <row r="4" spans="2:12" ht="15.75" thickBot="1" x14ac:dyDescent="0.3">
      <c r="B4" s="107"/>
      <c r="C4" s="1118" t="s">
        <v>119</v>
      </c>
      <c r="D4" s="1119"/>
      <c r="E4" s="54"/>
      <c r="F4" s="122" t="s">
        <v>120</v>
      </c>
      <c r="G4" s="125"/>
      <c r="H4" s="54"/>
      <c r="I4" s="54"/>
      <c r="J4" s="107"/>
      <c r="K4" s="107"/>
      <c r="L4" s="54"/>
    </row>
    <row r="5" spans="2:12" x14ac:dyDescent="0.25">
      <c r="B5" s="107"/>
      <c r="C5" s="123" t="s">
        <v>122</v>
      </c>
      <c r="D5" s="108" t="s">
        <v>123</v>
      </c>
      <c r="E5" s="54"/>
      <c r="F5" s="126" t="s">
        <v>122</v>
      </c>
      <c r="G5" s="108" t="s">
        <v>123</v>
      </c>
      <c r="H5" s="54"/>
      <c r="I5" s="54"/>
      <c r="J5" s="107"/>
      <c r="K5" s="107"/>
      <c r="L5" s="54"/>
    </row>
    <row r="6" spans="2:12" x14ac:dyDescent="0.25">
      <c r="B6" s="107"/>
      <c r="C6" s="103" t="s">
        <v>124</v>
      </c>
      <c r="D6" s="124" t="s">
        <v>121</v>
      </c>
      <c r="E6" s="54"/>
      <c r="F6" s="59" t="s">
        <v>124</v>
      </c>
      <c r="G6" s="124" t="s">
        <v>121</v>
      </c>
      <c r="H6" s="54"/>
      <c r="I6" s="54"/>
      <c r="J6" s="107"/>
      <c r="K6" s="107"/>
      <c r="L6" s="54"/>
    </row>
    <row r="7" spans="2:12" x14ac:dyDescent="0.25">
      <c r="B7" s="107"/>
      <c r="C7" s="123" t="s">
        <v>125</v>
      </c>
      <c r="D7" s="109" t="s">
        <v>126</v>
      </c>
      <c r="E7" s="54"/>
      <c r="F7" s="124" t="s">
        <v>125</v>
      </c>
      <c r="G7" s="109" t="s">
        <v>126</v>
      </c>
      <c r="H7" s="54"/>
      <c r="I7" s="54"/>
      <c r="J7" s="107"/>
      <c r="K7" s="107"/>
      <c r="L7" s="54"/>
    </row>
    <row r="8" spans="2:12" x14ac:dyDescent="0.25">
      <c r="B8" s="107"/>
      <c r="C8" s="123" t="s">
        <v>127</v>
      </c>
      <c r="D8" s="109" t="s">
        <v>128</v>
      </c>
      <c r="E8" s="54"/>
      <c r="F8" s="124" t="s">
        <v>127</v>
      </c>
      <c r="G8" s="109" t="s">
        <v>128</v>
      </c>
      <c r="H8" s="54"/>
      <c r="I8" s="54"/>
      <c r="J8" s="107"/>
      <c r="K8" s="107"/>
      <c r="L8" s="54"/>
    </row>
    <row r="9" spans="2:12" ht="15.75" thickBot="1" x14ac:dyDescent="0.3">
      <c r="B9" s="107"/>
      <c r="C9" s="123"/>
      <c r="D9" s="109"/>
      <c r="E9" s="54"/>
      <c r="F9" s="124"/>
      <c r="G9" s="124"/>
      <c r="H9" s="54"/>
      <c r="I9" s="54"/>
      <c r="J9" s="107"/>
      <c r="K9" s="107"/>
      <c r="L9" s="54"/>
    </row>
    <row r="10" spans="2:12" ht="15.75" thickBot="1" x14ac:dyDescent="0.3">
      <c r="B10" s="54"/>
      <c r="C10" s="127" t="s">
        <v>132</v>
      </c>
      <c r="D10" s="128" t="s">
        <v>131</v>
      </c>
      <c r="E10" s="54"/>
      <c r="F10" s="127" t="s">
        <v>132</v>
      </c>
      <c r="G10" s="129" t="s">
        <v>130</v>
      </c>
      <c r="H10" s="54"/>
      <c r="I10" s="54"/>
      <c r="J10" s="54"/>
      <c r="K10" s="54"/>
      <c r="L10" s="54"/>
    </row>
    <row r="11" spans="2:12" x14ac:dyDescent="0.25"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</row>
    <row r="12" spans="2:12" x14ac:dyDescent="0.25">
      <c r="B12" s="105"/>
      <c r="C12" s="105"/>
      <c r="D12" s="105"/>
      <c r="E12" s="54"/>
      <c r="F12" s="105"/>
      <c r="G12" s="105"/>
      <c r="H12" s="105"/>
      <c r="I12" s="54"/>
      <c r="J12" s="54"/>
      <c r="K12" s="54"/>
      <c r="L12" s="54"/>
    </row>
    <row r="13" spans="2:12" x14ac:dyDescent="0.25">
      <c r="B13" s="106"/>
      <c r="C13" s="106"/>
      <c r="D13" s="106"/>
      <c r="E13" s="54"/>
      <c r="F13" s="106"/>
      <c r="G13" s="106"/>
      <c r="H13" s="106"/>
      <c r="I13" s="54"/>
      <c r="J13" s="54"/>
      <c r="K13" s="54"/>
      <c r="L13" s="54"/>
    </row>
    <row r="14" spans="2:12" x14ac:dyDescent="0.25">
      <c r="B14" s="107"/>
      <c r="C14" s="107"/>
      <c r="D14" s="54"/>
      <c r="E14" s="54"/>
      <c r="F14" s="107"/>
      <c r="G14" s="107"/>
      <c r="H14" s="54"/>
      <c r="I14" s="54"/>
      <c r="J14" s="54"/>
      <c r="K14" s="54"/>
      <c r="L14" s="54"/>
    </row>
    <row r="15" spans="2:12" x14ac:dyDescent="0.25">
      <c r="B15" s="107"/>
      <c r="C15" s="107"/>
      <c r="D15" s="54"/>
      <c r="E15" s="54"/>
      <c r="F15" s="107"/>
      <c r="G15" s="107"/>
      <c r="H15" s="54"/>
      <c r="I15" s="54"/>
      <c r="J15" s="54"/>
      <c r="K15" s="54"/>
      <c r="L15" s="54"/>
    </row>
    <row r="16" spans="2:12" x14ac:dyDescent="0.25">
      <c r="B16" s="107"/>
      <c r="C16" s="107"/>
      <c r="D16" s="54"/>
      <c r="E16" s="54"/>
      <c r="F16" s="107"/>
      <c r="G16" s="107"/>
      <c r="H16" s="54"/>
      <c r="I16" s="54"/>
      <c r="J16" s="54"/>
      <c r="K16" s="54"/>
      <c r="L16" s="54"/>
    </row>
    <row r="17" spans="2:12" x14ac:dyDescent="0.25">
      <c r="B17" s="107"/>
      <c r="C17" s="107"/>
      <c r="D17" s="54"/>
      <c r="E17" s="54"/>
      <c r="F17" s="107"/>
      <c r="G17" s="107"/>
      <c r="H17" s="54"/>
      <c r="I17" s="54"/>
      <c r="J17" s="54"/>
      <c r="K17" s="54"/>
      <c r="L17" s="54"/>
    </row>
    <row r="18" spans="2:12" x14ac:dyDescent="0.25">
      <c r="B18" s="107"/>
      <c r="C18" s="107"/>
      <c r="D18" s="54"/>
      <c r="E18" s="54"/>
      <c r="F18" s="107"/>
      <c r="G18" s="107"/>
      <c r="H18" s="54"/>
      <c r="I18" s="54"/>
      <c r="J18" s="54"/>
      <c r="K18" s="54"/>
      <c r="L18" s="54"/>
    </row>
    <row r="19" spans="2:12" x14ac:dyDescent="0.25">
      <c r="B19" s="107"/>
      <c r="C19" s="107"/>
      <c r="D19" s="54"/>
      <c r="E19" s="54"/>
      <c r="F19" s="107"/>
      <c r="G19" s="107"/>
      <c r="H19" s="54"/>
      <c r="I19" s="54"/>
      <c r="J19" s="54"/>
      <c r="K19" s="54"/>
      <c r="L19" s="54"/>
    </row>
    <row r="20" spans="2:12" x14ac:dyDescent="0.25"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</row>
    <row r="21" spans="2:12" x14ac:dyDescent="0.25"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</row>
    <row r="22" spans="2:12" x14ac:dyDescent="0.25"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2:12" x14ac:dyDescent="0.25"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</row>
    <row r="24" spans="2:12" x14ac:dyDescent="0.25"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</row>
    <row r="25" spans="2:12" x14ac:dyDescent="0.25"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</row>
    <row r="26" spans="2:12" x14ac:dyDescent="0.25"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</row>
    <row r="27" spans="2:12" x14ac:dyDescent="0.25"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</row>
    <row r="28" spans="2:12" x14ac:dyDescent="0.25"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</row>
    <row r="29" spans="2:12" x14ac:dyDescent="0.25"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</row>
    <row r="30" spans="2:12" x14ac:dyDescent="0.25"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</row>
    <row r="31" spans="2:12" x14ac:dyDescent="0.25"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</row>
    <row r="32" spans="2:12" x14ac:dyDescent="0.25"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</row>
    <row r="33" spans="2:12" x14ac:dyDescent="0.25"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</row>
  </sheetData>
  <mergeCells count="3">
    <mergeCell ref="C3:D3"/>
    <mergeCell ref="F3:G3"/>
    <mergeCell ref="C4:D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-0.249977111117893"/>
  </sheetPr>
  <dimension ref="B1:L19"/>
  <sheetViews>
    <sheetView showGridLines="0" zoomScale="85" zoomScaleNormal="85" workbookViewId="0">
      <selection activeCell="L4" sqref="L4"/>
    </sheetView>
  </sheetViews>
  <sheetFormatPr baseColWidth="10" defaultColWidth="11.42578125" defaultRowHeight="15" x14ac:dyDescent="0.25"/>
  <cols>
    <col min="1" max="16384" width="11.42578125" style="6"/>
  </cols>
  <sheetData>
    <row r="1" spans="2:12" ht="15.75" thickBot="1" x14ac:dyDescent="0.3"/>
    <row r="2" spans="2:12" ht="17.25" customHeight="1" thickBot="1" x14ac:dyDescent="0.3">
      <c r="B2" s="1120" t="s">
        <v>63</v>
      </c>
      <c r="C2" s="1121"/>
      <c r="D2" s="1122"/>
      <c r="F2" s="1120" t="s">
        <v>63</v>
      </c>
      <c r="G2" s="1121"/>
      <c r="H2" s="1122"/>
      <c r="J2" s="1120" t="s">
        <v>63</v>
      </c>
      <c r="K2" s="1121"/>
      <c r="L2" s="1122"/>
    </row>
    <row r="3" spans="2:12" ht="15.75" thickBot="1" x14ac:dyDescent="0.3">
      <c r="B3" s="1123" t="s">
        <v>69</v>
      </c>
      <c r="C3" s="1124"/>
      <c r="D3" s="1125"/>
      <c r="F3" s="1123" t="s">
        <v>85</v>
      </c>
      <c r="G3" s="1124"/>
      <c r="H3" s="1125"/>
      <c r="J3" s="1123" t="s">
        <v>134</v>
      </c>
      <c r="K3" s="1124"/>
      <c r="L3" s="1125"/>
    </row>
    <row r="4" spans="2:12" x14ac:dyDescent="0.25">
      <c r="B4" s="1126" t="s">
        <v>64</v>
      </c>
      <c r="C4" s="1127"/>
      <c r="D4" s="31">
        <v>-3.345E-4</v>
      </c>
      <c r="F4" s="1126" t="s">
        <v>64</v>
      </c>
      <c r="G4" s="1127"/>
      <c r="H4" s="31">
        <v>-3.3070000000000002E-4</v>
      </c>
      <c r="J4" s="1126" t="s">
        <v>64</v>
      </c>
      <c r="K4" s="1127"/>
      <c r="L4" s="58">
        <v>-5.2170000000000005E-4</v>
      </c>
    </row>
    <row r="5" spans="2:12" x14ac:dyDescent="0.25">
      <c r="B5" s="1128" t="s">
        <v>65</v>
      </c>
      <c r="C5" s="1129"/>
      <c r="D5" s="32">
        <v>0.23517871000000001</v>
      </c>
      <c r="F5" s="1128" t="s">
        <v>65</v>
      </c>
      <c r="G5" s="1129"/>
      <c r="H5" s="32">
        <v>0.2796304</v>
      </c>
      <c r="J5" s="1128" t="s">
        <v>65</v>
      </c>
      <c r="K5" s="1129"/>
      <c r="L5" s="59">
        <v>0.24151059999999999</v>
      </c>
    </row>
    <row r="6" spans="2:12" x14ac:dyDescent="0.25">
      <c r="B6" s="1128" t="s">
        <v>66</v>
      </c>
      <c r="C6" s="1129"/>
      <c r="D6" s="32">
        <v>3.7664272900000002</v>
      </c>
      <c r="F6" s="1128" t="s">
        <v>66</v>
      </c>
      <c r="G6" s="1129"/>
      <c r="H6" s="32">
        <v>3.4903350500000001</v>
      </c>
      <c r="J6" s="1128" t="s">
        <v>66</v>
      </c>
      <c r="K6" s="1129"/>
      <c r="L6" s="59">
        <v>3.81893875</v>
      </c>
    </row>
    <row r="7" spans="2:12" x14ac:dyDescent="0.25">
      <c r="B7" s="1128" t="s">
        <v>67</v>
      </c>
      <c r="C7" s="1129"/>
      <c r="D7" s="32">
        <v>1.34647E-3</v>
      </c>
      <c r="F7" s="1128" t="s">
        <v>67</v>
      </c>
      <c r="G7" s="1129"/>
      <c r="H7" s="32">
        <v>1.47357E-3</v>
      </c>
      <c r="J7" s="1128" t="s">
        <v>67</v>
      </c>
      <c r="K7" s="1129"/>
      <c r="L7" s="59">
        <v>2.0415799999999999E-3</v>
      </c>
    </row>
    <row r="8" spans="2:12" x14ac:dyDescent="0.25">
      <c r="B8" s="1128" t="s">
        <v>84</v>
      </c>
      <c r="C8" s="1129"/>
      <c r="D8" s="32">
        <v>-0.68101330000000004</v>
      </c>
      <c r="F8" s="1128" t="s">
        <v>84</v>
      </c>
      <c r="G8" s="1129"/>
      <c r="H8" s="32">
        <v>-0.8351944</v>
      </c>
      <c r="J8" s="1128" t="s">
        <v>84</v>
      </c>
      <c r="K8" s="1129"/>
      <c r="L8" s="59">
        <v>-0.64800720000000001</v>
      </c>
    </row>
    <row r="9" spans="2:12" ht="15.75" thickBot="1" x14ac:dyDescent="0.3">
      <c r="B9" s="1130" t="s">
        <v>68</v>
      </c>
      <c r="C9" s="1131"/>
      <c r="D9" s="33">
        <v>-26.555014</v>
      </c>
      <c r="F9" s="1130" t="s">
        <v>68</v>
      </c>
      <c r="G9" s="1131"/>
      <c r="H9" s="33">
        <v>-26.513840999999999</v>
      </c>
      <c r="J9" s="1130" t="s">
        <v>68</v>
      </c>
      <c r="K9" s="1131"/>
      <c r="L9" s="60">
        <v>-28.524432000000001</v>
      </c>
    </row>
    <row r="11" spans="2:12" ht="15.75" thickBot="1" x14ac:dyDescent="0.3"/>
    <row r="12" spans="2:12" ht="15.75" thickBot="1" x14ac:dyDescent="0.3">
      <c r="B12" s="1132"/>
      <c r="C12" s="1132"/>
      <c r="D12" s="1132"/>
      <c r="F12" s="1120" t="s">
        <v>63</v>
      </c>
      <c r="G12" s="1121"/>
      <c r="H12" s="1122"/>
    </row>
    <row r="13" spans="2:12" ht="15.75" thickBot="1" x14ac:dyDescent="0.3">
      <c r="B13" s="1133"/>
      <c r="C13" s="1133"/>
      <c r="D13" s="1133"/>
      <c r="F13" s="1123" t="s">
        <v>86</v>
      </c>
      <c r="G13" s="1124"/>
      <c r="H13" s="1125"/>
    </row>
    <row r="14" spans="2:12" x14ac:dyDescent="0.25">
      <c r="B14" s="1134"/>
      <c r="C14" s="1134"/>
      <c r="D14" s="54"/>
      <c r="F14" s="1126" t="s">
        <v>64</v>
      </c>
      <c r="G14" s="1127"/>
      <c r="H14" s="58">
        <v>-3.0469999999999998E-4</v>
      </c>
    </row>
    <row r="15" spans="2:12" x14ac:dyDescent="0.25">
      <c r="B15" s="1134"/>
      <c r="C15" s="1134"/>
      <c r="D15" s="54"/>
      <c r="F15" s="1128" t="s">
        <v>65</v>
      </c>
      <c r="G15" s="1129"/>
      <c r="H15" s="59">
        <v>0.20766128</v>
      </c>
    </row>
    <row r="16" spans="2:12" x14ac:dyDescent="0.25">
      <c r="B16" s="1134"/>
      <c r="C16" s="1134"/>
      <c r="D16" s="54"/>
      <c r="F16" s="1128" t="s">
        <v>66</v>
      </c>
      <c r="G16" s="1129"/>
      <c r="H16" s="59">
        <v>0.20831664999999999</v>
      </c>
    </row>
    <row r="17" spans="2:8" x14ac:dyDescent="0.25">
      <c r="B17" s="1134"/>
      <c r="C17" s="1134"/>
      <c r="D17" s="54"/>
      <c r="F17" s="1128" t="s">
        <v>67</v>
      </c>
      <c r="G17" s="1129"/>
      <c r="H17" s="59">
        <v>1.4322600000000001E-3</v>
      </c>
    </row>
    <row r="18" spans="2:8" x14ac:dyDescent="0.25">
      <c r="B18" s="1134"/>
      <c r="C18" s="1134"/>
      <c r="D18" s="54"/>
      <c r="F18" s="1128" t="s">
        <v>84</v>
      </c>
      <c r="G18" s="1129"/>
      <c r="H18" s="59">
        <v>-0.70198039999999995</v>
      </c>
    </row>
    <row r="19" spans="2:8" ht="15.75" thickBot="1" x14ac:dyDescent="0.3">
      <c r="B19" s="1134"/>
      <c r="C19" s="1134"/>
      <c r="D19" s="54"/>
      <c r="F19" s="1130" t="s">
        <v>68</v>
      </c>
      <c r="G19" s="1131"/>
      <c r="H19" s="60">
        <v>-5.5983304</v>
      </c>
    </row>
  </sheetData>
  <mergeCells count="40">
    <mergeCell ref="B19:C19"/>
    <mergeCell ref="F12:H12"/>
    <mergeCell ref="F13:H13"/>
    <mergeCell ref="F14:G14"/>
    <mergeCell ref="F15:G15"/>
    <mergeCell ref="F16:G16"/>
    <mergeCell ref="F17:G17"/>
    <mergeCell ref="F18:G18"/>
    <mergeCell ref="F19:G19"/>
    <mergeCell ref="B14:C14"/>
    <mergeCell ref="B15:C15"/>
    <mergeCell ref="B16:C16"/>
    <mergeCell ref="B17:C17"/>
    <mergeCell ref="B18:C18"/>
    <mergeCell ref="J7:K7"/>
    <mergeCell ref="J8:K8"/>
    <mergeCell ref="J9:K9"/>
    <mergeCell ref="B12:D12"/>
    <mergeCell ref="B13:D13"/>
    <mergeCell ref="B9:C9"/>
    <mergeCell ref="F7:G7"/>
    <mergeCell ref="F8:G8"/>
    <mergeCell ref="F9:G9"/>
    <mergeCell ref="B7:C7"/>
    <mergeCell ref="B8:C8"/>
    <mergeCell ref="J2:L2"/>
    <mergeCell ref="J3:L3"/>
    <mergeCell ref="J4:K4"/>
    <mergeCell ref="J5:K5"/>
    <mergeCell ref="J6:K6"/>
    <mergeCell ref="F2:H2"/>
    <mergeCell ref="F3:H3"/>
    <mergeCell ref="F4:G4"/>
    <mergeCell ref="F5:G5"/>
    <mergeCell ref="F6:G6"/>
    <mergeCell ref="B2:D2"/>
    <mergeCell ref="B3:D3"/>
    <mergeCell ref="B4:C4"/>
    <mergeCell ref="B5:C5"/>
    <mergeCell ref="B6:C6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B2:L41"/>
  <sheetViews>
    <sheetView showGridLines="0" zoomScale="80" zoomScaleNormal="80" workbookViewId="0">
      <selection activeCell="L8" sqref="L8"/>
    </sheetView>
  </sheetViews>
  <sheetFormatPr baseColWidth="10" defaultColWidth="11.42578125" defaultRowHeight="15" x14ac:dyDescent="0.25"/>
  <cols>
    <col min="1" max="1" width="11.42578125" style="6"/>
    <col min="2" max="2" width="11.85546875" style="6" customWidth="1"/>
    <col min="3" max="3" width="13" style="6" bestFit="1" customWidth="1"/>
    <col min="4" max="4" width="16.7109375" style="6" customWidth="1"/>
    <col min="5" max="7" width="11.42578125" style="6"/>
    <col min="8" max="8" width="22.28515625" style="6" customWidth="1"/>
    <col min="9" max="11" width="11.42578125" style="6"/>
    <col min="12" max="12" width="21.85546875" style="6" customWidth="1"/>
    <col min="13" max="16384" width="11.42578125" style="6"/>
  </cols>
  <sheetData>
    <row r="2" spans="2:12" x14ac:dyDescent="0.25">
      <c r="B2" s="1134"/>
      <c r="C2" s="1134"/>
      <c r="D2" s="1134"/>
    </row>
    <row r="3" spans="2:12" x14ac:dyDescent="0.25">
      <c r="B3" s="1140"/>
      <c r="C3" s="1141"/>
      <c r="D3" s="1141"/>
    </row>
    <row r="4" spans="2:12" ht="15.75" thickBot="1" x14ac:dyDescent="0.3">
      <c r="B4" s="1140"/>
      <c r="C4" s="52"/>
      <c r="D4" s="52"/>
    </row>
    <row r="5" spans="2:12" ht="15.75" thickBot="1" x14ac:dyDescent="0.3">
      <c r="B5" s="1120" t="s">
        <v>99</v>
      </c>
      <c r="C5" s="1121"/>
      <c r="D5" s="1122"/>
      <c r="F5" s="1120" t="s">
        <v>99</v>
      </c>
      <c r="G5" s="1121"/>
      <c r="H5" s="1122"/>
      <c r="J5" s="1120" t="s">
        <v>99</v>
      </c>
      <c r="K5" s="1121"/>
      <c r="L5" s="1122"/>
    </row>
    <row r="6" spans="2:12" ht="15.75" thickBot="1" x14ac:dyDescent="0.3">
      <c r="B6" s="1138" t="s">
        <v>85</v>
      </c>
      <c r="C6" s="1139"/>
      <c r="D6" s="1125"/>
      <c r="F6" s="1123" t="s">
        <v>69</v>
      </c>
      <c r="G6" s="1124"/>
      <c r="H6" s="1125"/>
      <c r="J6" s="1123" t="s">
        <v>83</v>
      </c>
      <c r="K6" s="1124"/>
      <c r="L6" s="1125"/>
    </row>
    <row r="7" spans="2:12" x14ac:dyDescent="0.25">
      <c r="B7" s="1126" t="s">
        <v>87</v>
      </c>
      <c r="C7" s="1137"/>
      <c r="D7" s="61">
        <f>-1.00040821955546*(10^(-7))</f>
        <v>-1.00040821955546E-7</v>
      </c>
      <c r="F7" s="1126" t="s">
        <v>87</v>
      </c>
      <c r="G7" s="1127"/>
      <c r="H7" s="58">
        <f>-1.897*10^-17</f>
        <v>-1.8970000000000003E-17</v>
      </c>
      <c r="J7" s="1126" t="s">
        <v>87</v>
      </c>
      <c r="K7" s="1137"/>
      <c r="L7" s="58">
        <f>-2.0116*10^-16</f>
        <v>-2.0116E-16</v>
      </c>
    </row>
    <row r="8" spans="2:12" x14ac:dyDescent="0.25">
      <c r="B8" s="1128" t="s">
        <v>88</v>
      </c>
      <c r="C8" s="1136"/>
      <c r="D8" s="62">
        <f>4.21196380357183*10^-7</f>
        <v>4.2119638035718303E-7</v>
      </c>
      <c r="F8" s="1128" t="s">
        <v>88</v>
      </c>
      <c r="G8" s="1129"/>
      <c r="H8" s="59">
        <f>2.139476*10^-14</f>
        <v>2.1394760000000002E-14</v>
      </c>
      <c r="J8" s="1128" t="s">
        <v>88</v>
      </c>
      <c r="K8" s="1136"/>
      <c r="L8" s="59">
        <f>7.6103649*10^-13</f>
        <v>7.6103649000000007E-13</v>
      </c>
    </row>
    <row r="9" spans="2:12" x14ac:dyDescent="0.25">
      <c r="B9" s="1128" t="s">
        <v>89</v>
      </c>
      <c r="C9" s="1136"/>
      <c r="D9" s="62">
        <f>2.02174775542879*10^-3</f>
        <v>2.0217477554287902E-3</v>
      </c>
      <c r="F9" s="1128" t="s">
        <v>89</v>
      </c>
      <c r="G9" s="1129"/>
      <c r="H9" s="59">
        <f>-6.7128792*10^-12</f>
        <v>-6.7128791999999999E-12</v>
      </c>
      <c r="J9" s="1128" t="s">
        <v>89</v>
      </c>
      <c r="K9" s="1136"/>
      <c r="L9" s="59">
        <f>-8.8862132251*10^-10</f>
        <v>-8.8862132251000012E-10</v>
      </c>
    </row>
    <row r="10" spans="2:12" x14ac:dyDescent="0.25">
      <c r="B10" s="1128" t="s">
        <v>90</v>
      </c>
      <c r="C10" s="1136"/>
      <c r="D10" s="62">
        <f>-3.97145689615686*10^-3</f>
        <v>-3.9714568961568605E-3</v>
      </c>
      <c r="F10" s="1128" t="s">
        <v>90</v>
      </c>
      <c r="G10" s="1129"/>
      <c r="H10" s="59">
        <f>1.5577748618*10^-10</f>
        <v>1.5577748618000002E-10</v>
      </c>
      <c r="J10" s="1128" t="s">
        <v>90</v>
      </c>
      <c r="K10" s="1136"/>
      <c r="L10" s="59">
        <f>2.387441892678*10^-8</f>
        <v>2.3874418926780001E-8</v>
      </c>
    </row>
    <row r="11" spans="2:12" x14ac:dyDescent="0.25">
      <c r="B11" s="1128" t="s">
        <v>91</v>
      </c>
      <c r="C11" s="1136"/>
      <c r="D11" s="62">
        <f>4.05763511826216*10^0</f>
        <v>4.0576351182621604</v>
      </c>
      <c r="F11" s="1128" t="s">
        <v>91</v>
      </c>
      <c r="G11" s="1129"/>
      <c r="H11" s="59">
        <f>-2.893122293874*10^-8</f>
        <v>-2.8931222938740004E-8</v>
      </c>
      <c r="J11" s="1128" t="s">
        <v>91</v>
      </c>
      <c r="K11" s="1136"/>
      <c r="L11" s="59">
        <f>8.55403739*10^-12</f>
        <v>8.5540373899999986E-12</v>
      </c>
    </row>
    <row r="12" spans="2:12" ht="15.75" thickBot="1" x14ac:dyDescent="0.3">
      <c r="B12" s="1130" t="s">
        <v>92</v>
      </c>
      <c r="C12" s="1135"/>
      <c r="D12" s="63">
        <f>-2.43506573089921*10^1</f>
        <v>-24.350657308992098</v>
      </c>
      <c r="F12" s="1128" t="s">
        <v>92</v>
      </c>
      <c r="G12" s="1129"/>
      <c r="H12" s="59">
        <f>8.164105192*10^-11</f>
        <v>8.1641051919999991E-11</v>
      </c>
      <c r="J12" s="1128" t="s">
        <v>92</v>
      </c>
      <c r="K12" s="1136"/>
      <c r="L12" s="59">
        <f>-2.197477450038*10^-8</f>
        <v>-2.1974774500379999E-8</v>
      </c>
    </row>
    <row r="13" spans="2:12" x14ac:dyDescent="0.25">
      <c r="B13" s="54"/>
      <c r="C13" s="54"/>
      <c r="D13" s="54"/>
      <c r="F13" s="1128" t="s">
        <v>93</v>
      </c>
      <c r="G13" s="1129"/>
      <c r="H13" s="59">
        <f>-1.023850435534*10^-7</f>
        <v>-1.0238504355339999E-7</v>
      </c>
      <c r="J13" s="1128" t="s">
        <v>93</v>
      </c>
      <c r="K13" s="1136"/>
      <c r="L13" s="59">
        <f>1.9038298107202*10^-5</f>
        <v>1.9038298107202002E-5</v>
      </c>
    </row>
    <row r="14" spans="2:12" x14ac:dyDescent="0.25">
      <c r="B14" s="54"/>
      <c r="C14" s="54"/>
      <c r="D14" s="54"/>
      <c r="F14" s="1128" t="s">
        <v>94</v>
      </c>
      <c r="G14" s="1129"/>
      <c r="H14" s="59">
        <f>4.17337285525331*10^-5</f>
        <v>4.1733728552533096E-5</v>
      </c>
      <c r="J14" s="1128" t="s">
        <v>94</v>
      </c>
      <c r="K14" s="1136"/>
      <c r="L14" s="59">
        <f>3.67972051868191*10^-3</f>
        <v>3.67972051868191E-3</v>
      </c>
    </row>
    <row r="15" spans="2:12" x14ac:dyDescent="0.25">
      <c r="B15" s="54"/>
      <c r="C15" s="54"/>
      <c r="D15" s="54"/>
      <c r="F15" s="1128" t="s">
        <v>95</v>
      </c>
      <c r="G15" s="1129"/>
      <c r="H15" s="59">
        <f>1.40802505233871*10^-3</f>
        <v>1.40802505233871E-3</v>
      </c>
      <c r="J15" s="1128" t="s">
        <v>95</v>
      </c>
      <c r="K15" s="1136"/>
      <c r="L15" s="59">
        <f>2.99301558453577*10^0</f>
        <v>2.9930155845357702</v>
      </c>
    </row>
    <row r="16" spans="2:12" ht="15.75" thickBot="1" x14ac:dyDescent="0.3">
      <c r="B16" s="54"/>
      <c r="C16" s="54"/>
      <c r="D16" s="54"/>
      <c r="F16" s="1128" t="s">
        <v>96</v>
      </c>
      <c r="G16" s="1129"/>
      <c r="H16" s="59">
        <f>-3.84287089416288*10^-5</f>
        <v>-3.8428708941628803E-5</v>
      </c>
      <c r="J16" s="1130" t="s">
        <v>96</v>
      </c>
      <c r="K16" s="1135"/>
      <c r="L16" s="60">
        <f>-1.92731236907205*10^1</f>
        <v>-19.273123690720499</v>
      </c>
    </row>
    <row r="17" spans="2:8" x14ac:dyDescent="0.25">
      <c r="B17" s="54"/>
      <c r="C17" s="54"/>
      <c r="D17" s="54"/>
      <c r="F17" s="1128" t="s">
        <v>97</v>
      </c>
      <c r="G17" s="1129"/>
      <c r="H17" s="59">
        <f>4.002971746384*10^-2</f>
        <v>4.0029717463840007E-2</v>
      </c>
    </row>
    <row r="18" spans="2:8" ht="15.75" thickBot="1" x14ac:dyDescent="0.3">
      <c r="B18" s="54"/>
      <c r="C18" s="54"/>
      <c r="D18" s="54"/>
      <c r="F18" s="1130" t="s">
        <v>98</v>
      </c>
      <c r="G18" s="1131"/>
      <c r="H18" s="60">
        <f>-9.03152761041661*10^0</f>
        <v>-9.0315276104166102</v>
      </c>
    </row>
    <row r="19" spans="2:8" x14ac:dyDescent="0.25">
      <c r="B19" s="54"/>
      <c r="C19" s="54"/>
      <c r="D19" s="54"/>
    </row>
    <row r="20" spans="2:8" ht="15.75" thickBot="1" x14ac:dyDescent="0.3">
      <c r="B20" s="54"/>
      <c r="C20" s="54"/>
      <c r="D20" s="54"/>
    </row>
    <row r="21" spans="2:8" ht="15.75" thickBot="1" x14ac:dyDescent="0.3">
      <c r="B21" s="1120" t="s">
        <v>99</v>
      </c>
      <c r="C21" s="1121"/>
      <c r="D21" s="1122"/>
    </row>
    <row r="22" spans="2:8" ht="15.75" thickBot="1" x14ac:dyDescent="0.3">
      <c r="B22" s="1123" t="s">
        <v>86</v>
      </c>
      <c r="C22" s="1124"/>
      <c r="D22" s="1125"/>
    </row>
    <row r="23" spans="2:8" x14ac:dyDescent="0.25">
      <c r="B23" s="1126" t="s">
        <v>87</v>
      </c>
      <c r="C23" s="1137"/>
      <c r="D23" s="58">
        <f>1.00112925*10^-12</f>
        <v>1.00112925E-12</v>
      </c>
    </row>
    <row r="24" spans="2:8" x14ac:dyDescent="0.25">
      <c r="B24" s="1128" t="s">
        <v>88</v>
      </c>
      <c r="C24" s="1136"/>
      <c r="D24" s="59">
        <f>-8.2102795973*10^-10</f>
        <v>-8.2102795972999999E-10</v>
      </c>
    </row>
    <row r="25" spans="2:8" x14ac:dyDescent="0.25">
      <c r="B25" s="1128" t="s">
        <v>89</v>
      </c>
      <c r="C25" s="1136"/>
      <c r="D25" s="59">
        <f>3.093562682308*10^-8</f>
        <v>3.093562682308E-8</v>
      </c>
    </row>
    <row r="26" spans="2:8" x14ac:dyDescent="0.25">
      <c r="B26" s="1128" t="s">
        <v>90</v>
      </c>
      <c r="C26" s="1136"/>
      <c r="D26" s="59">
        <f>-3.519529241557*10^-8</f>
        <v>-3.519529241557E-8</v>
      </c>
    </row>
    <row r="27" spans="2:8" x14ac:dyDescent="0.25">
      <c r="B27" s="1128" t="s">
        <v>91</v>
      </c>
      <c r="C27" s="1136"/>
      <c r="D27" s="59">
        <f>2.72909110300593*10^-5</f>
        <v>2.7290911030059302E-5</v>
      </c>
    </row>
    <row r="28" spans="2:8" x14ac:dyDescent="0.25">
      <c r="B28" s="1128" t="s">
        <v>92</v>
      </c>
      <c r="C28" s="1136"/>
      <c r="D28" s="59">
        <f>1.08292430968405*10^-3</f>
        <v>1.08292430968405E-3</v>
      </c>
    </row>
    <row r="29" spans="2:8" x14ac:dyDescent="0.25">
      <c r="B29" s="1128" t="s">
        <v>93</v>
      </c>
      <c r="C29" s="1136"/>
      <c r="D29" s="59">
        <f>8.32582848396177*10^-6</f>
        <v>8.3258284839617687E-6</v>
      </c>
    </row>
    <row r="30" spans="2:8" x14ac:dyDescent="0.25">
      <c r="B30" s="1128" t="s">
        <v>94</v>
      </c>
      <c r="C30" s="1136"/>
      <c r="D30" s="59">
        <f>6.68510292318892*10^-3</f>
        <v>6.6851029231889195E-3</v>
      </c>
    </row>
    <row r="31" spans="2:8" ht="15.75" thickBot="1" x14ac:dyDescent="0.3">
      <c r="B31" s="1130" t="s">
        <v>95</v>
      </c>
      <c r="C31" s="1135"/>
      <c r="D31" s="60">
        <f>-5.85817757701964*10^0</f>
        <v>-5.8581775770196396</v>
      </c>
    </row>
    <row r="32" spans="2:8" x14ac:dyDescent="0.25">
      <c r="B32" s="54"/>
      <c r="C32" s="54"/>
      <c r="D32" s="54"/>
    </row>
    <row r="33" spans="2:4" x14ac:dyDescent="0.25">
      <c r="B33" s="54"/>
      <c r="C33" s="54"/>
      <c r="D33" s="54"/>
    </row>
    <row r="34" spans="2:4" x14ac:dyDescent="0.25">
      <c r="B34" s="54"/>
      <c r="C34" s="54"/>
      <c r="D34" s="54"/>
    </row>
    <row r="35" spans="2:4" x14ac:dyDescent="0.25">
      <c r="B35" s="54"/>
      <c r="C35" s="54"/>
      <c r="D35" s="54"/>
    </row>
    <row r="36" spans="2:4" x14ac:dyDescent="0.25">
      <c r="B36" s="54"/>
      <c r="C36" s="54"/>
      <c r="D36" s="54"/>
    </row>
    <row r="37" spans="2:4" x14ac:dyDescent="0.25">
      <c r="B37" s="54"/>
      <c r="C37" s="54"/>
      <c r="D37" s="54"/>
    </row>
    <row r="38" spans="2:4" x14ac:dyDescent="0.25">
      <c r="B38" s="54"/>
      <c r="C38" s="54"/>
      <c r="D38" s="54"/>
    </row>
    <row r="39" spans="2:4" x14ac:dyDescent="0.25">
      <c r="B39" s="54"/>
      <c r="C39" s="54"/>
      <c r="D39" s="54"/>
    </row>
    <row r="40" spans="2:4" x14ac:dyDescent="0.25">
      <c r="B40" s="54"/>
      <c r="C40" s="54"/>
      <c r="D40" s="54"/>
    </row>
    <row r="41" spans="2:4" x14ac:dyDescent="0.25">
      <c r="B41" s="54"/>
      <c r="C41" s="54"/>
      <c r="D41" s="54"/>
    </row>
  </sheetData>
  <mergeCells count="48">
    <mergeCell ref="F10:G10"/>
    <mergeCell ref="F11:G11"/>
    <mergeCell ref="B2:D2"/>
    <mergeCell ref="B3:B4"/>
    <mergeCell ref="C3:D3"/>
    <mergeCell ref="F14:G14"/>
    <mergeCell ref="F15:G15"/>
    <mergeCell ref="F16:G16"/>
    <mergeCell ref="B5:D5"/>
    <mergeCell ref="B6:D6"/>
    <mergeCell ref="B7:C7"/>
    <mergeCell ref="B8:C8"/>
    <mergeCell ref="B9:C9"/>
    <mergeCell ref="B10:C10"/>
    <mergeCell ref="B11:C11"/>
    <mergeCell ref="B12:C12"/>
    <mergeCell ref="F5:H5"/>
    <mergeCell ref="F6:H6"/>
    <mergeCell ref="F7:G7"/>
    <mergeCell ref="F8:G8"/>
    <mergeCell ref="F9:G9"/>
    <mergeCell ref="F17:G17"/>
    <mergeCell ref="F18:G18"/>
    <mergeCell ref="J5:L5"/>
    <mergeCell ref="J6:L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F12:G12"/>
    <mergeCell ref="F13:G13"/>
    <mergeCell ref="B21:D21"/>
    <mergeCell ref="B22:D22"/>
    <mergeCell ref="B23:C23"/>
    <mergeCell ref="B24:C24"/>
    <mergeCell ref="B25:C25"/>
    <mergeCell ref="B31:C31"/>
    <mergeCell ref="B26:C26"/>
    <mergeCell ref="B27:C27"/>
    <mergeCell ref="B28:C28"/>
    <mergeCell ref="B29:C29"/>
    <mergeCell ref="B30:C30"/>
  </mergeCells>
  <phoneticPr fontId="10" type="noConversion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030A0"/>
  </sheetPr>
  <dimension ref="B2:L43"/>
  <sheetViews>
    <sheetView showGridLines="0" zoomScale="80" zoomScaleNormal="80" workbookViewId="0">
      <selection activeCell="J6" sqref="J6:L6"/>
    </sheetView>
  </sheetViews>
  <sheetFormatPr baseColWidth="10" defaultColWidth="11.42578125" defaultRowHeight="15" x14ac:dyDescent="0.25"/>
  <cols>
    <col min="1" max="1" width="11.42578125" style="6"/>
    <col min="2" max="2" width="11.85546875" style="6" customWidth="1"/>
    <col min="3" max="4" width="16.7109375" style="6" customWidth="1"/>
    <col min="5" max="7" width="11.42578125" style="6"/>
    <col min="8" max="8" width="22.28515625" style="6" customWidth="1"/>
    <col min="9" max="11" width="11.42578125" style="6"/>
    <col min="12" max="12" width="21.85546875" style="6" customWidth="1"/>
    <col min="13" max="16384" width="11.42578125" style="6"/>
  </cols>
  <sheetData>
    <row r="2" spans="2:12" x14ac:dyDescent="0.25">
      <c r="B2" s="1134"/>
      <c r="C2" s="1134"/>
      <c r="D2" s="1134"/>
    </row>
    <row r="3" spans="2:12" ht="15.75" thickBot="1" x14ac:dyDescent="0.3">
      <c r="B3" s="104"/>
      <c r="C3" s="49"/>
      <c r="D3" s="49"/>
      <c r="E3" s="54"/>
      <c r="F3" s="54"/>
      <c r="G3" s="54"/>
      <c r="H3" s="54"/>
      <c r="I3" s="54"/>
      <c r="J3" s="54"/>
      <c r="K3" s="54"/>
      <c r="L3" s="54"/>
    </row>
    <row r="4" spans="2:12" ht="15.75" thickBot="1" x14ac:dyDescent="0.3">
      <c r="B4" s="1142" t="s">
        <v>111</v>
      </c>
      <c r="C4" s="1143"/>
      <c r="D4" s="1144"/>
      <c r="E4" s="54"/>
      <c r="F4" s="54"/>
      <c r="G4" s="54"/>
      <c r="H4" s="54"/>
      <c r="I4" s="54"/>
      <c r="J4" s="54"/>
      <c r="K4" s="54"/>
      <c r="L4" s="54"/>
    </row>
    <row r="5" spans="2:12" ht="15.75" thickBot="1" x14ac:dyDescent="0.3">
      <c r="B5" s="116" t="s">
        <v>112</v>
      </c>
      <c r="C5" s="1145" t="s">
        <v>114</v>
      </c>
      <c r="D5" s="1146"/>
      <c r="E5" s="54"/>
      <c r="F5" s="105"/>
      <c r="G5" s="105"/>
      <c r="H5" s="105"/>
      <c r="I5" s="54"/>
      <c r="J5" s="1132"/>
      <c r="K5" s="1132"/>
      <c r="L5" s="1132"/>
    </row>
    <row r="6" spans="2:12" ht="15.75" thickBot="1" x14ac:dyDescent="0.3">
      <c r="B6" s="115" t="s">
        <v>113</v>
      </c>
      <c r="C6" s="115" t="s">
        <v>81</v>
      </c>
      <c r="D6" s="115" t="s">
        <v>82</v>
      </c>
      <c r="E6" s="54"/>
      <c r="F6" s="106"/>
      <c r="G6" s="106"/>
      <c r="H6" s="106"/>
      <c r="I6" s="54"/>
      <c r="J6" s="1133"/>
      <c r="K6" s="1133"/>
      <c r="L6" s="1133"/>
    </row>
    <row r="7" spans="2:12" x14ac:dyDescent="0.25">
      <c r="B7" s="111">
        <v>95</v>
      </c>
      <c r="C7" s="108">
        <v>16</v>
      </c>
      <c r="D7" s="108">
        <v>23</v>
      </c>
      <c r="E7" s="54"/>
      <c r="F7" s="107"/>
      <c r="G7" s="107"/>
      <c r="H7" s="54"/>
      <c r="I7" s="54"/>
      <c r="J7" s="1134"/>
      <c r="K7" s="1134"/>
      <c r="L7" s="54"/>
    </row>
    <row r="8" spans="2:12" x14ac:dyDescent="0.25">
      <c r="B8" s="112">
        <v>100</v>
      </c>
      <c r="C8" s="109">
        <v>16</v>
      </c>
      <c r="D8" s="109">
        <v>23</v>
      </c>
      <c r="E8" s="54"/>
      <c r="F8" s="107"/>
      <c r="G8" s="107"/>
      <c r="H8" s="54"/>
      <c r="I8" s="54"/>
      <c r="J8" s="1134"/>
      <c r="K8" s="1134"/>
      <c r="L8" s="54"/>
    </row>
    <row r="9" spans="2:12" x14ac:dyDescent="0.25">
      <c r="B9" s="103">
        <v>110</v>
      </c>
      <c r="C9" s="109">
        <v>17</v>
      </c>
      <c r="D9" s="109">
        <v>24</v>
      </c>
      <c r="E9" s="54"/>
      <c r="F9" s="107"/>
      <c r="G9" s="107"/>
      <c r="H9" s="54"/>
      <c r="I9" s="54"/>
      <c r="J9" s="1134"/>
      <c r="K9" s="1134"/>
      <c r="L9" s="54"/>
    </row>
    <row r="10" spans="2:12" x14ac:dyDescent="0.25">
      <c r="B10" s="112">
        <v>120</v>
      </c>
      <c r="C10" s="109">
        <v>18</v>
      </c>
      <c r="D10" s="109">
        <v>25</v>
      </c>
      <c r="E10" s="54"/>
      <c r="F10" s="107"/>
      <c r="G10" s="107"/>
      <c r="H10" s="54"/>
      <c r="I10" s="54"/>
      <c r="J10" s="1134"/>
      <c r="K10" s="1134"/>
      <c r="L10" s="54"/>
    </row>
    <row r="11" spans="2:12" x14ac:dyDescent="0.25">
      <c r="B11" s="103">
        <v>130</v>
      </c>
      <c r="C11" s="109">
        <v>19</v>
      </c>
      <c r="D11" s="109">
        <v>26</v>
      </c>
      <c r="E11" s="54"/>
      <c r="F11" s="107"/>
      <c r="G11" s="107"/>
      <c r="H11" s="54"/>
      <c r="I11" s="54"/>
      <c r="J11" s="1134"/>
      <c r="K11" s="1134"/>
      <c r="L11" s="54"/>
    </row>
    <row r="12" spans="2:12" x14ac:dyDescent="0.25">
      <c r="B12" s="112">
        <v>140</v>
      </c>
      <c r="C12" s="109">
        <v>19</v>
      </c>
      <c r="D12" s="109">
        <v>27</v>
      </c>
      <c r="E12" s="54"/>
      <c r="F12" s="107"/>
      <c r="G12" s="107"/>
      <c r="H12" s="54"/>
      <c r="I12" s="54"/>
      <c r="J12" s="1134"/>
      <c r="K12" s="1134"/>
      <c r="L12" s="54"/>
    </row>
    <row r="13" spans="2:12" x14ac:dyDescent="0.25">
      <c r="B13" s="103">
        <v>150</v>
      </c>
      <c r="C13" s="109">
        <v>20</v>
      </c>
      <c r="D13" s="109">
        <v>28</v>
      </c>
      <c r="E13" s="54"/>
      <c r="F13" s="107"/>
      <c r="G13" s="107"/>
      <c r="H13" s="54"/>
      <c r="I13" s="54"/>
      <c r="J13" s="1134"/>
      <c r="K13" s="1134"/>
      <c r="L13" s="54"/>
    </row>
    <row r="14" spans="2:12" x14ac:dyDescent="0.25">
      <c r="B14" s="112">
        <v>160</v>
      </c>
      <c r="C14" s="109">
        <v>21</v>
      </c>
      <c r="D14" s="109">
        <v>29</v>
      </c>
      <c r="E14" s="54"/>
      <c r="F14" s="107"/>
      <c r="G14" s="107"/>
      <c r="H14" s="54"/>
      <c r="I14" s="54"/>
      <c r="J14" s="1134"/>
      <c r="K14" s="1134"/>
      <c r="L14" s="54"/>
    </row>
    <row r="15" spans="2:12" x14ac:dyDescent="0.25">
      <c r="B15" s="103">
        <v>170</v>
      </c>
      <c r="C15" s="109">
        <v>21</v>
      </c>
      <c r="D15" s="109">
        <v>30</v>
      </c>
      <c r="E15" s="54"/>
      <c r="F15" s="107"/>
      <c r="G15" s="107"/>
      <c r="H15" s="54"/>
      <c r="I15" s="54"/>
      <c r="J15" s="1134"/>
      <c r="K15" s="1134"/>
      <c r="L15" s="54"/>
    </row>
    <row r="16" spans="2:12" x14ac:dyDescent="0.25">
      <c r="B16" s="112">
        <v>180</v>
      </c>
      <c r="C16" s="109">
        <v>22</v>
      </c>
      <c r="D16" s="109">
        <v>30</v>
      </c>
      <c r="E16" s="54"/>
      <c r="F16" s="107"/>
      <c r="G16" s="107"/>
      <c r="H16" s="54"/>
      <c r="I16" s="54"/>
      <c r="J16" s="1134"/>
      <c r="K16" s="1134"/>
      <c r="L16" s="54"/>
    </row>
    <row r="17" spans="2:12" x14ac:dyDescent="0.25">
      <c r="B17" s="103">
        <v>190</v>
      </c>
      <c r="C17" s="109">
        <v>23</v>
      </c>
      <c r="D17" s="109">
        <v>31</v>
      </c>
      <c r="E17" s="54"/>
      <c r="F17" s="107"/>
      <c r="G17" s="107"/>
      <c r="H17" s="54"/>
      <c r="I17" s="54"/>
      <c r="J17" s="54"/>
      <c r="K17" s="54"/>
      <c r="L17" s="54"/>
    </row>
    <row r="18" spans="2:12" x14ac:dyDescent="0.25">
      <c r="B18" s="112">
        <v>200</v>
      </c>
      <c r="C18" s="109">
        <v>24</v>
      </c>
      <c r="D18" s="109">
        <v>32</v>
      </c>
      <c r="E18" s="54"/>
      <c r="F18" s="107"/>
      <c r="G18" s="107"/>
      <c r="H18" s="54"/>
      <c r="I18" s="54"/>
      <c r="J18" s="54"/>
      <c r="K18" s="54"/>
      <c r="L18" s="54"/>
    </row>
    <row r="19" spans="2:12" x14ac:dyDescent="0.25">
      <c r="B19" s="103">
        <v>210</v>
      </c>
      <c r="C19" s="109">
        <v>24</v>
      </c>
      <c r="D19" s="109">
        <v>33</v>
      </c>
      <c r="E19" s="54"/>
      <c r="F19" s="54"/>
      <c r="G19" s="54"/>
      <c r="H19" s="54"/>
      <c r="I19" s="54"/>
      <c r="J19" s="54"/>
      <c r="K19" s="54"/>
      <c r="L19" s="54"/>
    </row>
    <row r="20" spans="2:12" x14ac:dyDescent="0.25">
      <c r="B20" s="112">
        <v>220</v>
      </c>
      <c r="C20" s="109">
        <v>25</v>
      </c>
      <c r="D20" s="109">
        <v>34</v>
      </c>
      <c r="E20" s="54"/>
      <c r="F20" s="54"/>
      <c r="G20" s="54"/>
      <c r="H20" s="54"/>
      <c r="I20" s="54"/>
      <c r="J20" s="54"/>
      <c r="K20" s="54"/>
      <c r="L20" s="54"/>
    </row>
    <row r="21" spans="2:12" x14ac:dyDescent="0.25">
      <c r="B21" s="103">
        <v>230</v>
      </c>
      <c r="C21" s="114">
        <v>26</v>
      </c>
      <c r="D21" s="109">
        <v>34</v>
      </c>
      <c r="E21" s="54"/>
      <c r="F21" s="54"/>
      <c r="G21" s="54"/>
      <c r="H21" s="54"/>
      <c r="I21" s="54"/>
      <c r="J21" s="54"/>
      <c r="K21" s="54"/>
      <c r="L21" s="54"/>
    </row>
    <row r="22" spans="2:12" x14ac:dyDescent="0.25">
      <c r="B22" s="112">
        <v>240</v>
      </c>
      <c r="C22" s="114">
        <v>26</v>
      </c>
      <c r="D22" s="109">
        <v>34</v>
      </c>
      <c r="E22" s="54"/>
      <c r="F22" s="54"/>
      <c r="G22" s="54"/>
      <c r="H22" s="54"/>
      <c r="I22" s="54"/>
      <c r="J22" s="54"/>
      <c r="K22" s="54"/>
      <c r="L22" s="54"/>
    </row>
    <row r="23" spans="2:12" x14ac:dyDescent="0.25">
      <c r="B23" s="103">
        <v>250</v>
      </c>
      <c r="C23" s="114">
        <v>26</v>
      </c>
      <c r="D23" s="109">
        <v>34</v>
      </c>
      <c r="E23" s="54"/>
      <c r="F23" s="54"/>
      <c r="G23" s="54"/>
      <c r="H23" s="54"/>
      <c r="I23" s="54"/>
      <c r="J23" s="54"/>
      <c r="K23" s="54"/>
      <c r="L23" s="54"/>
    </row>
    <row r="24" spans="2:12" x14ac:dyDescent="0.25">
      <c r="B24" s="112">
        <v>260</v>
      </c>
      <c r="C24" s="114">
        <v>26</v>
      </c>
      <c r="D24" s="109">
        <v>34</v>
      </c>
      <c r="E24" s="54"/>
      <c r="F24" s="54"/>
      <c r="G24" s="54"/>
      <c r="H24" s="54"/>
      <c r="I24" s="54"/>
      <c r="J24" s="54"/>
      <c r="K24" s="54"/>
      <c r="L24" s="54"/>
    </row>
    <row r="25" spans="2:12" x14ac:dyDescent="0.25">
      <c r="B25" s="103">
        <v>270</v>
      </c>
      <c r="C25" s="114">
        <v>26</v>
      </c>
      <c r="D25" s="109">
        <v>34</v>
      </c>
      <c r="E25" s="54"/>
      <c r="F25" s="54"/>
      <c r="G25" s="54"/>
      <c r="H25" s="54"/>
      <c r="I25" s="54"/>
      <c r="J25" s="54"/>
      <c r="K25" s="54"/>
      <c r="L25" s="54"/>
    </row>
    <row r="26" spans="2:12" x14ac:dyDescent="0.25">
      <c r="B26" s="103">
        <v>280</v>
      </c>
      <c r="C26" s="114">
        <v>26</v>
      </c>
      <c r="D26" s="109">
        <v>34</v>
      </c>
      <c r="E26" s="54"/>
      <c r="F26" s="54"/>
      <c r="G26" s="54"/>
      <c r="H26" s="54"/>
      <c r="I26" s="54"/>
      <c r="J26" s="54"/>
      <c r="K26" s="54"/>
      <c r="L26" s="54"/>
    </row>
    <row r="27" spans="2:12" x14ac:dyDescent="0.25">
      <c r="B27" s="112">
        <v>290</v>
      </c>
      <c r="C27" s="114">
        <v>26</v>
      </c>
      <c r="D27" s="109">
        <v>34</v>
      </c>
      <c r="E27" s="54"/>
      <c r="F27" s="54"/>
      <c r="G27" s="54"/>
      <c r="H27" s="54"/>
      <c r="I27" s="54"/>
      <c r="J27" s="54"/>
      <c r="K27" s="54"/>
      <c r="L27" s="54"/>
    </row>
    <row r="28" spans="2:12" x14ac:dyDescent="0.25">
      <c r="B28" s="103">
        <v>300</v>
      </c>
      <c r="C28" s="109">
        <v>27</v>
      </c>
      <c r="D28" s="109">
        <v>34</v>
      </c>
      <c r="E28" s="54"/>
      <c r="F28" s="54"/>
      <c r="G28" s="54"/>
      <c r="H28" s="54"/>
      <c r="I28" s="54"/>
      <c r="J28" s="54"/>
      <c r="K28" s="54"/>
      <c r="L28" s="54"/>
    </row>
    <row r="29" spans="2:12" x14ac:dyDescent="0.25">
      <c r="B29" s="103">
        <v>310</v>
      </c>
      <c r="C29" s="109">
        <v>27</v>
      </c>
      <c r="D29" s="109">
        <v>34</v>
      </c>
      <c r="E29" s="54"/>
      <c r="F29" s="54"/>
      <c r="G29" s="54"/>
      <c r="H29" s="54"/>
      <c r="I29" s="54"/>
      <c r="J29" s="54"/>
      <c r="K29" s="54"/>
      <c r="L29" s="54"/>
    </row>
    <row r="30" spans="2:12" x14ac:dyDescent="0.25">
      <c r="B30" s="112">
        <v>320</v>
      </c>
      <c r="C30" s="109">
        <v>27</v>
      </c>
      <c r="D30" s="109">
        <v>34</v>
      </c>
      <c r="E30" s="54"/>
      <c r="F30" s="54"/>
      <c r="G30" s="54"/>
      <c r="H30" s="54"/>
      <c r="I30" s="54"/>
      <c r="J30" s="54"/>
      <c r="K30" s="54"/>
      <c r="L30" s="54"/>
    </row>
    <row r="31" spans="2:12" x14ac:dyDescent="0.25">
      <c r="B31" s="103">
        <v>330</v>
      </c>
      <c r="C31" s="109">
        <v>27</v>
      </c>
      <c r="D31" s="109">
        <v>34</v>
      </c>
      <c r="E31" s="54"/>
      <c r="F31" s="54"/>
      <c r="G31" s="54"/>
      <c r="H31" s="54"/>
      <c r="I31" s="54"/>
      <c r="J31" s="54"/>
      <c r="K31" s="54"/>
      <c r="L31" s="54"/>
    </row>
    <row r="32" spans="2:12" x14ac:dyDescent="0.25">
      <c r="B32" s="103">
        <v>340</v>
      </c>
      <c r="C32" s="109">
        <v>27</v>
      </c>
      <c r="D32" s="109">
        <v>34</v>
      </c>
      <c r="E32" s="54"/>
      <c r="F32" s="54"/>
      <c r="G32" s="54"/>
      <c r="H32" s="54"/>
      <c r="I32" s="54"/>
      <c r="J32" s="54"/>
      <c r="K32" s="54"/>
      <c r="L32" s="54"/>
    </row>
    <row r="33" spans="2:4" x14ac:dyDescent="0.25">
      <c r="B33" s="112">
        <v>350</v>
      </c>
      <c r="C33" s="109">
        <v>27</v>
      </c>
      <c r="D33" s="109">
        <v>34</v>
      </c>
    </row>
    <row r="34" spans="2:4" x14ac:dyDescent="0.25">
      <c r="B34" s="103">
        <v>360</v>
      </c>
      <c r="C34" s="109">
        <v>27</v>
      </c>
      <c r="D34" s="109">
        <v>34</v>
      </c>
    </row>
    <row r="35" spans="2:4" x14ac:dyDescent="0.25">
      <c r="B35" s="103">
        <v>370</v>
      </c>
      <c r="C35" s="109">
        <v>27</v>
      </c>
      <c r="D35" s="109">
        <v>34</v>
      </c>
    </row>
    <row r="36" spans="2:4" x14ac:dyDescent="0.25">
      <c r="B36" s="112">
        <v>380</v>
      </c>
      <c r="C36" s="109">
        <v>27</v>
      </c>
      <c r="D36" s="109">
        <v>34</v>
      </c>
    </row>
    <row r="37" spans="2:4" x14ac:dyDescent="0.25">
      <c r="B37" s="103">
        <v>390</v>
      </c>
      <c r="C37" s="109">
        <v>27</v>
      </c>
      <c r="D37" s="109">
        <v>34</v>
      </c>
    </row>
    <row r="38" spans="2:4" x14ac:dyDescent="0.25">
      <c r="B38" s="103">
        <v>400</v>
      </c>
      <c r="C38" s="109">
        <v>27</v>
      </c>
      <c r="D38" s="109">
        <v>34</v>
      </c>
    </row>
    <row r="39" spans="2:4" x14ac:dyDescent="0.25">
      <c r="B39" s="112">
        <v>410</v>
      </c>
      <c r="C39" s="109">
        <v>27</v>
      </c>
      <c r="D39" s="109">
        <v>34</v>
      </c>
    </row>
    <row r="40" spans="2:4" x14ac:dyDescent="0.25">
      <c r="B40" s="103">
        <v>420</v>
      </c>
      <c r="C40" s="109">
        <v>27</v>
      </c>
      <c r="D40" s="109">
        <v>34</v>
      </c>
    </row>
    <row r="41" spans="2:4" x14ac:dyDescent="0.25">
      <c r="B41" s="103">
        <v>430</v>
      </c>
      <c r="C41" s="109">
        <v>27</v>
      </c>
      <c r="D41" s="109">
        <v>34</v>
      </c>
    </row>
    <row r="42" spans="2:4" x14ac:dyDescent="0.25">
      <c r="B42" s="112">
        <v>440</v>
      </c>
      <c r="C42" s="59">
        <v>28</v>
      </c>
      <c r="D42" s="109">
        <v>34</v>
      </c>
    </row>
    <row r="43" spans="2:4" ht="15.75" thickBot="1" x14ac:dyDescent="0.3">
      <c r="B43" s="113">
        <v>450</v>
      </c>
      <c r="C43" s="60">
        <v>29</v>
      </c>
      <c r="D43" s="110">
        <v>34</v>
      </c>
    </row>
  </sheetData>
  <mergeCells count="15">
    <mergeCell ref="J16:K16"/>
    <mergeCell ref="J12:K12"/>
    <mergeCell ref="J13:K13"/>
    <mergeCell ref="J14:K14"/>
    <mergeCell ref="J10:K10"/>
    <mergeCell ref="J11:K11"/>
    <mergeCell ref="B2:D2"/>
    <mergeCell ref="J5:L5"/>
    <mergeCell ref="B4:D4"/>
    <mergeCell ref="C5:D5"/>
    <mergeCell ref="J15:K15"/>
    <mergeCell ref="J8:K8"/>
    <mergeCell ref="J9:K9"/>
    <mergeCell ref="J6:L6"/>
    <mergeCell ref="J7:K7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8" tint="-0.249977111117893"/>
  </sheetPr>
  <dimension ref="B1:L40"/>
  <sheetViews>
    <sheetView showGridLines="0" zoomScale="85" zoomScaleNormal="85" workbookViewId="0">
      <selection activeCell="J10" sqref="J10"/>
    </sheetView>
  </sheetViews>
  <sheetFormatPr baseColWidth="10" defaultColWidth="11.42578125" defaultRowHeight="15" x14ac:dyDescent="0.25"/>
  <cols>
    <col min="1" max="1" width="11.42578125" style="6"/>
    <col min="2" max="2" width="11.85546875" style="6" customWidth="1"/>
    <col min="3" max="16384" width="11.42578125" style="6"/>
  </cols>
  <sheetData>
    <row r="1" spans="2:12" ht="15.75" thickBot="1" x14ac:dyDescent="0.3">
      <c r="B1" s="1147" t="s">
        <v>100</v>
      </c>
      <c r="C1" s="1148"/>
      <c r="D1" s="1149"/>
      <c r="F1" s="1147" t="s">
        <v>77</v>
      </c>
      <c r="G1" s="1148"/>
      <c r="H1" s="1149"/>
      <c r="J1" s="1147" t="s">
        <v>78</v>
      </c>
      <c r="K1" s="1148"/>
      <c r="L1" s="1149"/>
    </row>
    <row r="2" spans="2:12" ht="17.25" customHeight="1" x14ac:dyDescent="0.25">
      <c r="B2" s="1150" t="s">
        <v>79</v>
      </c>
      <c r="C2" s="1152" t="s">
        <v>80</v>
      </c>
      <c r="D2" s="1153"/>
      <c r="E2" s="49"/>
      <c r="F2" s="1150" t="s">
        <v>79</v>
      </c>
      <c r="G2" s="1152" t="s">
        <v>80</v>
      </c>
      <c r="H2" s="1153"/>
      <c r="J2" s="1150" t="s">
        <v>79</v>
      </c>
      <c r="K2" s="1152" t="s">
        <v>80</v>
      </c>
      <c r="L2" s="1153"/>
    </row>
    <row r="3" spans="2:12" ht="15.75" thickBot="1" x14ac:dyDescent="0.3">
      <c r="B3" s="1151"/>
      <c r="C3" s="50" t="s">
        <v>81</v>
      </c>
      <c r="D3" s="51" t="s">
        <v>82</v>
      </c>
      <c r="E3" s="52"/>
      <c r="F3" s="1151"/>
      <c r="G3" s="50" t="s">
        <v>81</v>
      </c>
      <c r="H3" s="51" t="s">
        <v>82</v>
      </c>
      <c r="J3" s="1151"/>
      <c r="K3" s="50" t="s">
        <v>81</v>
      </c>
      <c r="L3" s="51" t="s">
        <v>82</v>
      </c>
    </row>
    <row r="4" spans="2:12" x14ac:dyDescent="0.25">
      <c r="B4" s="53">
        <v>95</v>
      </c>
      <c r="C4" s="53">
        <v>19</v>
      </c>
      <c r="D4" s="53">
        <v>26</v>
      </c>
      <c r="E4" s="54"/>
      <c r="F4" s="53">
        <v>95</v>
      </c>
      <c r="G4" s="53">
        <v>14</v>
      </c>
      <c r="H4" s="53">
        <v>20</v>
      </c>
      <c r="J4" s="53">
        <v>95</v>
      </c>
      <c r="K4" s="53">
        <v>17</v>
      </c>
      <c r="L4" s="53">
        <v>24</v>
      </c>
    </row>
    <row r="5" spans="2:12" x14ac:dyDescent="0.25">
      <c r="B5" s="55">
        <v>100</v>
      </c>
      <c r="C5" s="55">
        <v>19</v>
      </c>
      <c r="D5" s="55">
        <v>27</v>
      </c>
      <c r="E5" s="54"/>
      <c r="F5" s="55">
        <v>100</v>
      </c>
      <c r="G5" s="55">
        <v>14</v>
      </c>
      <c r="H5" s="55">
        <v>20</v>
      </c>
      <c r="J5" s="55">
        <v>100</v>
      </c>
      <c r="K5" s="55">
        <v>17</v>
      </c>
      <c r="L5" s="55">
        <v>25</v>
      </c>
    </row>
    <row r="6" spans="2:12" x14ac:dyDescent="0.25">
      <c r="B6" s="55">
        <v>110</v>
      </c>
      <c r="C6" s="55">
        <v>20</v>
      </c>
      <c r="D6" s="55">
        <v>28</v>
      </c>
      <c r="E6" s="54"/>
      <c r="F6" s="55">
        <v>110</v>
      </c>
      <c r="G6" s="55">
        <v>15</v>
      </c>
      <c r="H6" s="55">
        <v>21</v>
      </c>
      <c r="J6" s="55">
        <v>110</v>
      </c>
      <c r="K6" s="55">
        <v>18</v>
      </c>
      <c r="L6" s="55">
        <v>26</v>
      </c>
    </row>
    <row r="7" spans="2:12" x14ac:dyDescent="0.25">
      <c r="B7" s="55">
        <v>120</v>
      </c>
      <c r="C7" s="55">
        <v>21</v>
      </c>
      <c r="D7" s="55">
        <v>30</v>
      </c>
      <c r="E7" s="54"/>
      <c r="F7" s="55">
        <v>120</v>
      </c>
      <c r="G7" s="55">
        <v>16</v>
      </c>
      <c r="H7" s="55">
        <v>22</v>
      </c>
      <c r="J7" s="55">
        <v>120</v>
      </c>
      <c r="K7" s="55">
        <v>19</v>
      </c>
      <c r="L7" s="55">
        <v>27</v>
      </c>
    </row>
    <row r="8" spans="2:12" x14ac:dyDescent="0.25">
      <c r="B8" s="55">
        <v>130</v>
      </c>
      <c r="C8" s="55">
        <v>22</v>
      </c>
      <c r="D8" s="55">
        <v>31</v>
      </c>
      <c r="E8" s="54"/>
      <c r="F8" s="55">
        <v>130</v>
      </c>
      <c r="G8" s="55">
        <v>16</v>
      </c>
      <c r="H8" s="55">
        <v>23</v>
      </c>
      <c r="J8" s="55">
        <v>130</v>
      </c>
      <c r="K8" s="55">
        <v>20</v>
      </c>
      <c r="L8" s="55">
        <v>28</v>
      </c>
    </row>
    <row r="9" spans="2:12" x14ac:dyDescent="0.25">
      <c r="B9" s="55">
        <v>144</v>
      </c>
      <c r="C9" s="55">
        <v>26</v>
      </c>
      <c r="D9" s="55">
        <v>33</v>
      </c>
      <c r="E9" s="54"/>
      <c r="F9" s="55">
        <v>140</v>
      </c>
      <c r="G9" s="55">
        <v>17</v>
      </c>
      <c r="H9" s="55">
        <v>24</v>
      </c>
      <c r="J9" s="55">
        <v>140</v>
      </c>
      <c r="K9" s="55">
        <v>21</v>
      </c>
      <c r="L9" s="55">
        <v>29</v>
      </c>
    </row>
    <row r="10" spans="2:12" x14ac:dyDescent="0.25">
      <c r="B10" s="55">
        <v>150</v>
      </c>
      <c r="C10" s="55">
        <v>25</v>
      </c>
      <c r="D10" s="55">
        <v>35</v>
      </c>
      <c r="E10" s="54"/>
      <c r="F10" s="55">
        <v>150</v>
      </c>
      <c r="G10" s="55">
        <v>18</v>
      </c>
      <c r="H10" s="55">
        <v>25</v>
      </c>
      <c r="J10" s="55">
        <v>150</v>
      </c>
      <c r="K10" s="55">
        <v>21</v>
      </c>
      <c r="L10" s="55">
        <v>30</v>
      </c>
    </row>
    <row r="11" spans="2:12" x14ac:dyDescent="0.25">
      <c r="B11" s="55">
        <v>160</v>
      </c>
      <c r="C11" s="55">
        <v>28</v>
      </c>
      <c r="D11" s="55">
        <v>39</v>
      </c>
      <c r="E11" s="54"/>
      <c r="F11" s="55">
        <v>160</v>
      </c>
      <c r="G11" s="55">
        <v>19</v>
      </c>
      <c r="H11" s="55">
        <v>26</v>
      </c>
      <c r="J11" s="55">
        <v>160</v>
      </c>
      <c r="K11" s="55">
        <v>22</v>
      </c>
      <c r="L11" s="55">
        <v>31</v>
      </c>
    </row>
    <row r="12" spans="2:12" x14ac:dyDescent="0.25">
      <c r="B12" s="55">
        <v>165</v>
      </c>
      <c r="C12" s="55">
        <v>29</v>
      </c>
      <c r="D12" s="55">
        <v>41</v>
      </c>
      <c r="E12" s="54"/>
      <c r="F12" s="55">
        <v>170</v>
      </c>
      <c r="G12" s="55">
        <v>19</v>
      </c>
      <c r="H12" s="55">
        <v>27</v>
      </c>
      <c r="J12" s="55">
        <v>170</v>
      </c>
      <c r="K12" s="55">
        <v>23</v>
      </c>
      <c r="L12" s="55">
        <v>32</v>
      </c>
    </row>
    <row r="13" spans="2:12" x14ac:dyDescent="0.25">
      <c r="B13" s="55">
        <v>177</v>
      </c>
      <c r="C13" s="55">
        <v>32</v>
      </c>
      <c r="D13" s="55">
        <v>45</v>
      </c>
      <c r="E13" s="54"/>
      <c r="F13" s="55">
        <v>180</v>
      </c>
      <c r="G13" s="55">
        <v>20</v>
      </c>
      <c r="H13" s="55">
        <v>28</v>
      </c>
      <c r="J13" s="55">
        <v>180</v>
      </c>
      <c r="K13" s="55">
        <v>24</v>
      </c>
      <c r="L13" s="55">
        <v>33</v>
      </c>
    </row>
    <row r="14" spans="2:12" x14ac:dyDescent="0.25">
      <c r="B14" s="55">
        <v>177</v>
      </c>
      <c r="C14" s="55">
        <v>32</v>
      </c>
      <c r="D14" s="55">
        <v>45</v>
      </c>
      <c r="E14" s="54"/>
      <c r="F14" s="55">
        <v>190</v>
      </c>
      <c r="G14" s="55">
        <v>21</v>
      </c>
      <c r="H14" s="55">
        <v>29</v>
      </c>
      <c r="J14" s="55">
        <v>190</v>
      </c>
      <c r="K14" s="55">
        <v>25</v>
      </c>
      <c r="L14" s="55">
        <v>34</v>
      </c>
    </row>
    <row r="15" spans="2:12" x14ac:dyDescent="0.25">
      <c r="B15" s="55">
        <v>180</v>
      </c>
      <c r="C15" s="55">
        <v>32</v>
      </c>
      <c r="D15" s="55">
        <v>45</v>
      </c>
      <c r="E15" s="54"/>
      <c r="F15" s="55">
        <v>200</v>
      </c>
      <c r="G15" s="55">
        <v>22</v>
      </c>
      <c r="H15" s="55">
        <v>30</v>
      </c>
      <c r="J15" s="55">
        <v>200</v>
      </c>
      <c r="K15" s="55">
        <v>26</v>
      </c>
      <c r="L15" s="55">
        <v>35</v>
      </c>
    </row>
    <row r="16" spans="2:12" x14ac:dyDescent="0.25">
      <c r="B16" s="55">
        <v>190</v>
      </c>
      <c r="C16" s="55">
        <v>32</v>
      </c>
      <c r="D16" s="55">
        <v>45</v>
      </c>
      <c r="E16" s="54"/>
      <c r="F16" s="55">
        <v>210</v>
      </c>
      <c r="G16" s="55">
        <v>23</v>
      </c>
      <c r="H16" s="55">
        <v>31</v>
      </c>
      <c r="J16" s="55">
        <v>210</v>
      </c>
      <c r="K16" s="55">
        <v>27</v>
      </c>
      <c r="L16" s="55">
        <v>36</v>
      </c>
    </row>
    <row r="17" spans="2:12" x14ac:dyDescent="0.25">
      <c r="B17" s="55">
        <v>200</v>
      </c>
      <c r="C17" s="55">
        <v>32</v>
      </c>
      <c r="D17" s="55">
        <v>45</v>
      </c>
      <c r="E17" s="54"/>
      <c r="F17" s="55">
        <v>220</v>
      </c>
      <c r="G17" s="55">
        <v>24</v>
      </c>
      <c r="H17" s="55">
        <v>32</v>
      </c>
      <c r="J17" s="55">
        <v>220</v>
      </c>
      <c r="K17" s="55">
        <v>27</v>
      </c>
      <c r="L17" s="55">
        <v>37</v>
      </c>
    </row>
    <row r="18" spans="2:12" x14ac:dyDescent="0.25">
      <c r="B18" s="55">
        <v>204</v>
      </c>
      <c r="C18" s="55">
        <v>32</v>
      </c>
      <c r="D18" s="55">
        <v>45</v>
      </c>
      <c r="E18" s="54"/>
      <c r="F18" s="55">
        <v>230</v>
      </c>
      <c r="G18" s="55">
        <v>24</v>
      </c>
      <c r="H18" s="55">
        <v>32</v>
      </c>
      <c r="J18" s="55">
        <v>230</v>
      </c>
      <c r="K18" s="55">
        <v>28</v>
      </c>
      <c r="L18" s="55">
        <v>38</v>
      </c>
    </row>
    <row r="19" spans="2:12" x14ac:dyDescent="0.25">
      <c r="B19" s="55">
        <v>210</v>
      </c>
      <c r="C19" s="55">
        <v>32</v>
      </c>
      <c r="D19" s="55">
        <v>45</v>
      </c>
      <c r="E19" s="54"/>
      <c r="F19" s="55">
        <v>240</v>
      </c>
      <c r="G19" s="55">
        <v>25</v>
      </c>
      <c r="H19" s="55">
        <v>33</v>
      </c>
      <c r="J19" s="55">
        <v>240</v>
      </c>
      <c r="K19" s="55">
        <v>28</v>
      </c>
      <c r="L19" s="55">
        <v>38</v>
      </c>
    </row>
    <row r="20" spans="2:12" x14ac:dyDescent="0.25">
      <c r="B20" s="55">
        <v>220</v>
      </c>
      <c r="C20" s="55">
        <v>32</v>
      </c>
      <c r="D20" s="55">
        <v>45</v>
      </c>
      <c r="E20" s="54"/>
      <c r="F20" s="55">
        <v>250</v>
      </c>
      <c r="G20" s="55">
        <v>25</v>
      </c>
      <c r="H20" s="55">
        <v>33</v>
      </c>
      <c r="J20" s="55">
        <v>250</v>
      </c>
      <c r="K20" s="55">
        <v>28</v>
      </c>
      <c r="L20" s="55">
        <v>38</v>
      </c>
    </row>
    <row r="21" spans="2:12" x14ac:dyDescent="0.25">
      <c r="B21" s="55">
        <v>230</v>
      </c>
      <c r="C21" s="55">
        <v>32</v>
      </c>
      <c r="D21" s="55">
        <v>45</v>
      </c>
      <c r="E21" s="54"/>
      <c r="F21" s="55">
        <v>260</v>
      </c>
      <c r="G21" s="55">
        <v>25</v>
      </c>
      <c r="H21" s="55">
        <v>33</v>
      </c>
      <c r="J21" s="55">
        <v>260</v>
      </c>
      <c r="K21" s="55">
        <v>29</v>
      </c>
      <c r="L21" s="55">
        <v>38</v>
      </c>
    </row>
    <row r="22" spans="2:12" x14ac:dyDescent="0.25">
      <c r="B22" s="56">
        <v>234</v>
      </c>
      <c r="C22" s="55">
        <v>32</v>
      </c>
      <c r="D22" s="55">
        <v>45</v>
      </c>
      <c r="E22" s="54"/>
      <c r="F22" s="55">
        <v>270</v>
      </c>
      <c r="G22" s="55">
        <v>26</v>
      </c>
      <c r="H22" s="55">
        <v>34</v>
      </c>
      <c r="J22" s="55">
        <v>270</v>
      </c>
      <c r="K22" s="55">
        <v>29</v>
      </c>
      <c r="L22" s="55">
        <v>38</v>
      </c>
    </row>
    <row r="23" spans="2:12" x14ac:dyDescent="0.25">
      <c r="B23" s="55">
        <v>240</v>
      </c>
      <c r="C23" s="55">
        <v>32</v>
      </c>
      <c r="D23" s="55">
        <v>45</v>
      </c>
      <c r="E23" s="54"/>
      <c r="F23" s="55">
        <v>280</v>
      </c>
      <c r="G23" s="55">
        <v>26</v>
      </c>
      <c r="H23" s="55">
        <v>34</v>
      </c>
      <c r="J23" s="55">
        <v>280</v>
      </c>
      <c r="K23" s="55">
        <v>29</v>
      </c>
      <c r="L23" s="55">
        <v>38</v>
      </c>
    </row>
    <row r="24" spans="2:12" x14ac:dyDescent="0.25">
      <c r="E24" s="54"/>
      <c r="F24" s="55">
        <v>290</v>
      </c>
      <c r="G24" s="55">
        <v>27</v>
      </c>
      <c r="H24" s="55">
        <v>34</v>
      </c>
      <c r="J24" s="55">
        <v>290</v>
      </c>
      <c r="K24" s="55">
        <v>30</v>
      </c>
      <c r="L24" s="55">
        <v>38</v>
      </c>
    </row>
    <row r="25" spans="2:12" x14ac:dyDescent="0.25">
      <c r="E25" s="54"/>
      <c r="F25" s="55">
        <v>300</v>
      </c>
      <c r="G25" s="55">
        <v>27</v>
      </c>
      <c r="H25" s="55">
        <v>35</v>
      </c>
      <c r="J25" s="55">
        <v>300</v>
      </c>
      <c r="K25" s="55">
        <v>31</v>
      </c>
      <c r="L25" s="55">
        <v>38</v>
      </c>
    </row>
    <row r="26" spans="2:12" x14ac:dyDescent="0.25">
      <c r="E26" s="54"/>
      <c r="F26" s="55">
        <v>310</v>
      </c>
      <c r="G26" s="55">
        <v>28</v>
      </c>
      <c r="H26" s="55">
        <v>35</v>
      </c>
      <c r="J26" s="55">
        <v>310</v>
      </c>
      <c r="K26" s="55">
        <v>31</v>
      </c>
      <c r="L26" s="55">
        <v>38</v>
      </c>
    </row>
    <row r="27" spans="2:12" x14ac:dyDescent="0.25">
      <c r="E27" s="54"/>
      <c r="F27" s="55">
        <v>320</v>
      </c>
      <c r="G27" s="55">
        <v>28</v>
      </c>
      <c r="H27" s="55">
        <v>35</v>
      </c>
      <c r="J27" s="55">
        <v>320</v>
      </c>
      <c r="K27" s="55">
        <v>31</v>
      </c>
      <c r="L27" s="55">
        <v>38</v>
      </c>
    </row>
    <row r="28" spans="2:12" x14ac:dyDescent="0.25">
      <c r="E28" s="54"/>
      <c r="F28" s="55">
        <v>330</v>
      </c>
      <c r="G28" s="55">
        <v>28</v>
      </c>
      <c r="H28" s="55">
        <v>35</v>
      </c>
      <c r="J28" s="55">
        <v>330</v>
      </c>
      <c r="K28" s="55">
        <v>31</v>
      </c>
      <c r="L28" s="55">
        <v>39</v>
      </c>
    </row>
    <row r="29" spans="2:12" x14ac:dyDescent="0.25">
      <c r="E29" s="54"/>
      <c r="F29" s="55">
        <v>340</v>
      </c>
      <c r="G29" s="55">
        <v>29</v>
      </c>
      <c r="H29" s="55">
        <v>36</v>
      </c>
      <c r="J29" s="55">
        <v>340</v>
      </c>
      <c r="K29" s="55">
        <v>31</v>
      </c>
      <c r="L29" s="55">
        <v>39</v>
      </c>
    </row>
    <row r="30" spans="2:12" x14ac:dyDescent="0.25">
      <c r="E30" s="57"/>
      <c r="F30" s="55">
        <v>350</v>
      </c>
      <c r="G30" s="55">
        <v>29</v>
      </c>
      <c r="H30" s="55">
        <v>36</v>
      </c>
      <c r="J30" s="55">
        <v>350</v>
      </c>
      <c r="K30" s="55">
        <v>31</v>
      </c>
      <c r="L30" s="55">
        <v>39</v>
      </c>
    </row>
    <row r="31" spans="2:12" x14ac:dyDescent="0.25">
      <c r="E31" s="57"/>
      <c r="F31" s="55">
        <v>360</v>
      </c>
      <c r="G31" s="55">
        <v>29</v>
      </c>
      <c r="H31" s="55">
        <v>36</v>
      </c>
      <c r="J31" s="55">
        <v>360</v>
      </c>
      <c r="K31" s="55">
        <v>31</v>
      </c>
      <c r="L31" s="55">
        <v>39</v>
      </c>
    </row>
    <row r="32" spans="2:12" x14ac:dyDescent="0.25">
      <c r="E32" s="57"/>
      <c r="F32" s="55">
        <v>370</v>
      </c>
      <c r="G32" s="55">
        <v>29</v>
      </c>
      <c r="H32" s="55">
        <v>37</v>
      </c>
      <c r="J32" s="55">
        <v>370</v>
      </c>
      <c r="K32" s="55">
        <v>31</v>
      </c>
      <c r="L32" s="55">
        <v>39</v>
      </c>
    </row>
    <row r="33" spans="5:12" x14ac:dyDescent="0.25">
      <c r="E33" s="54"/>
      <c r="F33" s="55">
        <v>380</v>
      </c>
      <c r="G33" s="55">
        <v>30</v>
      </c>
      <c r="H33" s="55">
        <v>37</v>
      </c>
      <c r="J33" s="55">
        <v>380</v>
      </c>
      <c r="K33" s="55">
        <v>31</v>
      </c>
      <c r="L33" s="55">
        <v>39</v>
      </c>
    </row>
    <row r="34" spans="5:12" x14ac:dyDescent="0.25">
      <c r="E34" s="54"/>
      <c r="F34" s="55">
        <v>390</v>
      </c>
      <c r="G34" s="55">
        <v>30</v>
      </c>
      <c r="H34" s="55">
        <v>37</v>
      </c>
      <c r="J34" s="55">
        <v>390</v>
      </c>
      <c r="K34" s="55">
        <v>31</v>
      </c>
      <c r="L34" s="55">
        <v>39</v>
      </c>
    </row>
    <row r="35" spans="5:12" x14ac:dyDescent="0.25">
      <c r="E35" s="54"/>
      <c r="F35" s="55">
        <v>400</v>
      </c>
      <c r="G35" s="55">
        <v>30</v>
      </c>
      <c r="H35" s="55">
        <v>37</v>
      </c>
      <c r="J35" s="55">
        <v>400</v>
      </c>
      <c r="K35" s="55">
        <v>31</v>
      </c>
      <c r="L35" s="55">
        <v>39</v>
      </c>
    </row>
    <row r="36" spans="5:12" x14ac:dyDescent="0.25">
      <c r="E36" s="54"/>
      <c r="F36" s="54"/>
      <c r="J36" s="55">
        <v>410</v>
      </c>
      <c r="K36" s="55">
        <v>31</v>
      </c>
      <c r="L36" s="55">
        <v>39</v>
      </c>
    </row>
    <row r="37" spans="5:12" x14ac:dyDescent="0.25">
      <c r="E37" s="54"/>
      <c r="F37" s="54"/>
      <c r="J37" s="55">
        <v>420</v>
      </c>
      <c r="K37" s="55">
        <v>32</v>
      </c>
      <c r="L37" s="55">
        <v>39</v>
      </c>
    </row>
    <row r="38" spans="5:12" x14ac:dyDescent="0.25">
      <c r="E38" s="54"/>
      <c r="F38" s="54"/>
      <c r="J38" s="55">
        <v>430</v>
      </c>
      <c r="K38" s="55">
        <v>32</v>
      </c>
      <c r="L38" s="55">
        <v>39</v>
      </c>
    </row>
    <row r="39" spans="5:12" x14ac:dyDescent="0.25">
      <c r="J39" s="55">
        <v>440</v>
      </c>
      <c r="K39" s="55">
        <v>33</v>
      </c>
      <c r="L39" s="55">
        <v>40</v>
      </c>
    </row>
    <row r="40" spans="5:12" x14ac:dyDescent="0.25">
      <c r="J40" s="55">
        <v>450</v>
      </c>
      <c r="K40" s="55">
        <v>34</v>
      </c>
      <c r="L40" s="55">
        <v>41</v>
      </c>
    </row>
  </sheetData>
  <mergeCells count="9">
    <mergeCell ref="B1:D1"/>
    <mergeCell ref="F1:H1"/>
    <mergeCell ref="J1:L1"/>
    <mergeCell ref="B2:B3"/>
    <mergeCell ref="C2:D2"/>
    <mergeCell ref="F2:F3"/>
    <mergeCell ref="G2:H2"/>
    <mergeCell ref="J2:J3"/>
    <mergeCell ref="K2:L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C00000"/>
  </sheetPr>
  <dimension ref="A1:Y636"/>
  <sheetViews>
    <sheetView showGridLines="0" topLeftCell="N1" zoomScaleNormal="100" workbookViewId="0">
      <pane ySplit="9" topLeftCell="A10" activePane="bottomLeft" state="frozen"/>
      <selection activeCell="H1" sqref="H1"/>
      <selection pane="bottomLeft" activeCell="U10" sqref="U10"/>
    </sheetView>
  </sheetViews>
  <sheetFormatPr baseColWidth="10" defaultColWidth="9.140625" defaultRowHeight="15.75" x14ac:dyDescent="0.25"/>
  <cols>
    <col min="1" max="1" width="21.42578125" style="4" customWidth="1"/>
    <col min="2" max="2" width="17.28515625" style="4" customWidth="1"/>
    <col min="3" max="3" width="11.28515625" style="4" customWidth="1"/>
    <col min="4" max="4" width="6.7109375" style="4" bestFit="1" customWidth="1"/>
    <col min="5" max="5" width="14.140625" style="4" customWidth="1"/>
    <col min="6" max="6" width="12.28515625" style="7" customWidth="1"/>
    <col min="7" max="7" width="8.140625" style="4" customWidth="1"/>
    <col min="8" max="8" width="14.140625" style="4" customWidth="1"/>
    <col min="9" max="9" width="11" style="4" customWidth="1"/>
    <col min="10" max="10" width="10.28515625" style="5" customWidth="1"/>
    <col min="11" max="11" width="11.85546875" style="5" bestFit="1" customWidth="1"/>
    <col min="12" max="13" width="16.42578125" style="4" customWidth="1"/>
    <col min="14" max="14" width="14.28515625" style="4" customWidth="1"/>
    <col min="15" max="15" width="8.7109375" style="4" customWidth="1"/>
    <col min="16" max="16" width="15.85546875" style="4" customWidth="1"/>
    <col min="17" max="17" width="10.7109375" style="4" customWidth="1"/>
    <col min="18" max="18" width="14.85546875" style="4" bestFit="1" customWidth="1"/>
    <col min="19" max="19" width="12.7109375" style="4" customWidth="1"/>
    <col min="20" max="20" width="12.140625" style="4" customWidth="1"/>
    <col min="21" max="21" width="7.28515625" style="4" bestFit="1" customWidth="1"/>
    <col min="22" max="22" width="16.5703125" style="4" customWidth="1"/>
    <col min="23" max="24" width="16.28515625" style="16" customWidth="1"/>
    <col min="25" max="25" width="9.140625" style="25"/>
    <col min="26" max="16384" width="9.140625" style="4"/>
  </cols>
  <sheetData>
    <row r="1" spans="1:25" ht="29.45" customHeight="1" thickBot="1" x14ac:dyDescent="0.3">
      <c r="F1" s="4"/>
      <c r="J1" s="26"/>
      <c r="K1" s="21"/>
      <c r="L1" s="25"/>
      <c r="M1" s="25"/>
      <c r="N1" s="22" t="s">
        <v>26</v>
      </c>
      <c r="O1" s="29" t="s">
        <v>11</v>
      </c>
      <c r="P1" s="29" t="s">
        <v>72</v>
      </c>
      <c r="Q1" s="23" t="s">
        <v>57</v>
      </c>
      <c r="R1" s="77" t="s">
        <v>106</v>
      </c>
      <c r="S1" s="77" t="s">
        <v>107</v>
      </c>
      <c r="U1" s="35"/>
      <c r="V1" s="86" t="s">
        <v>101</v>
      </c>
      <c r="W1" s="89">
        <v>1</v>
      </c>
      <c r="X1" s="35"/>
    </row>
    <row r="2" spans="1:25" ht="15.75" customHeight="1" x14ac:dyDescent="0.25">
      <c r="A2" s="1066" t="s">
        <v>23</v>
      </c>
      <c r="B2" s="1067"/>
      <c r="C2"/>
      <c r="F2" s="4"/>
      <c r="G2" s="1086" t="s">
        <v>20</v>
      </c>
      <c r="H2" s="1154"/>
      <c r="I2" s="1087"/>
      <c r="J2" s="26"/>
      <c r="M2" s="66"/>
      <c r="N2" s="13" t="s">
        <v>60</v>
      </c>
      <c r="O2" s="14">
        <f>SUMIF($L$10:$L$500,"Blaze Shield II",$K$10:$K$500)</f>
        <v>0</v>
      </c>
      <c r="P2" s="14">
        <f>ROUNDUP(SUMIF($L$10:$L$500,"Blaze Shield II",$O$10:$O$500),0)</f>
        <v>0</v>
      </c>
      <c r="Q2" s="37">
        <v>14145</v>
      </c>
      <c r="R2" s="38">
        <f>+SUM($P$10:$P$369)</f>
        <v>0</v>
      </c>
      <c r="S2" s="78">
        <f>+IF(P2&gt;0,ROUNDUP(((P2/W2)/$W$1)+$W$4+#REF!,0),0)</f>
        <v>0</v>
      </c>
      <c r="U2" s="75"/>
      <c r="V2" s="87" t="s">
        <v>102</v>
      </c>
      <c r="W2" s="90">
        <v>40</v>
      </c>
      <c r="X2" s="36"/>
    </row>
    <row r="3" spans="1:25" ht="16.5" thickBot="1" x14ac:dyDescent="0.3">
      <c r="A3" s="69" t="s">
        <v>27</v>
      </c>
      <c r="B3" s="70" t="s">
        <v>24</v>
      </c>
      <c r="C3"/>
      <c r="F3" s="4"/>
      <c r="G3" s="69" t="s">
        <v>32</v>
      </c>
      <c r="H3" s="1088" t="s">
        <v>71</v>
      </c>
      <c r="I3" s="1089"/>
      <c r="J3" s="67"/>
      <c r="M3" s="68"/>
      <c r="N3" s="17" t="s">
        <v>62</v>
      </c>
      <c r="O3" s="18">
        <f>SUMIF($L$10:$L$500,"Cafco 400",$K$10:$K$500)</f>
        <v>238.30904399999997</v>
      </c>
      <c r="P3" s="18">
        <f>ROUNDUP(SUMIF($L$10:$L$500,"Cafco 400",$R$10:$R$500),0)</f>
        <v>78</v>
      </c>
      <c r="Q3" s="38">
        <v>16110</v>
      </c>
      <c r="R3" s="38">
        <f>+SUM($S$10:$S$369)</f>
        <v>1254637.8515534089</v>
      </c>
      <c r="S3" s="78" t="e">
        <f>+IF(P3&gt;0,ROUNDUP(((P3/$W$3)/$W$1)+$W$4+#REF!,0),0)</f>
        <v>#REF!</v>
      </c>
      <c r="U3" s="76"/>
      <c r="V3" s="87" t="s">
        <v>103</v>
      </c>
      <c r="W3" s="90">
        <v>35</v>
      </c>
      <c r="X3" s="36"/>
    </row>
    <row r="4" spans="1:25" ht="16.5" thickBot="1" x14ac:dyDescent="0.3">
      <c r="A4" s="71" t="s">
        <v>19</v>
      </c>
      <c r="B4" s="72" t="s">
        <v>28</v>
      </c>
      <c r="C4"/>
      <c r="F4" s="4"/>
      <c r="G4" s="27"/>
      <c r="H4" s="1058" t="s">
        <v>60</v>
      </c>
      <c r="I4" s="1059"/>
      <c r="J4" s="4"/>
      <c r="N4" s="20" t="s">
        <v>61</v>
      </c>
      <c r="O4" s="19">
        <f>SUMIF($L$10:$L$500,"Cafco 300",$K$10:$K$500)</f>
        <v>9543.1865419999922</v>
      </c>
      <c r="P4" s="19">
        <f>ROUNDUP(SUMIF($L$10:$L$500,"Cafco 300",$U$10:$U$500),0)</f>
        <v>2242</v>
      </c>
      <c r="Q4" s="38">
        <v>15014</v>
      </c>
      <c r="R4" s="38">
        <f>+SUM($V$10:$V$369)</f>
        <v>33660592.897694685</v>
      </c>
      <c r="S4" s="78" t="e">
        <f>+IF(P4&gt;0,ROUNDUP(((P4/$W$3)/$W$1)+$W$4+#REF!,0),0)</f>
        <v>#REF!</v>
      </c>
      <c r="U4" s="76"/>
      <c r="V4" s="87" t="s">
        <v>104</v>
      </c>
      <c r="W4" s="90">
        <v>1</v>
      </c>
      <c r="X4" s="36"/>
    </row>
    <row r="5" spans="1:25" ht="16.5" thickBot="1" x14ac:dyDescent="0.3">
      <c r="A5" s="71" t="s">
        <v>17</v>
      </c>
      <c r="B5" s="72" t="s">
        <v>29</v>
      </c>
      <c r="C5"/>
      <c r="F5" s="4"/>
      <c r="G5" s="45"/>
      <c r="H5" s="1060" t="s">
        <v>62</v>
      </c>
      <c r="I5" s="1061"/>
      <c r="J5" s="4"/>
      <c r="N5" s="12" t="s">
        <v>31</v>
      </c>
      <c r="O5" s="24">
        <f ca="1">SUM(O2:O5)</f>
        <v>26440852.286841843</v>
      </c>
      <c r="P5" s="24">
        <f>SUM(P2:P4)</f>
        <v>2320</v>
      </c>
      <c r="Q5" s="39"/>
      <c r="R5" s="79">
        <f>+SUM(R2:R4)</f>
        <v>34915230.749248095</v>
      </c>
      <c r="S5" s="39" t="e">
        <f>+SUM(S2:S4)</f>
        <v>#REF!</v>
      </c>
      <c r="U5" s="35"/>
      <c r="V5" s="88" t="s">
        <v>105</v>
      </c>
      <c r="W5" s="91">
        <v>1</v>
      </c>
      <c r="X5" s="36"/>
    </row>
    <row r="6" spans="1:25" ht="18.75" customHeight="1" thickBot="1" x14ac:dyDescent="0.3">
      <c r="A6" s="73" t="s">
        <v>22</v>
      </c>
      <c r="B6" s="74" t="s">
        <v>21</v>
      </c>
      <c r="C6"/>
      <c r="F6" s="4"/>
      <c r="G6" s="28"/>
      <c r="H6" s="1062" t="s">
        <v>61</v>
      </c>
      <c r="I6" s="1063"/>
      <c r="J6" s="65"/>
      <c r="N6"/>
      <c r="X6" s="36"/>
      <c r="Y6" s="4"/>
    </row>
    <row r="7" spans="1:25" ht="16.5" thickBot="1" x14ac:dyDescent="0.3">
      <c r="J7" s="21"/>
      <c r="K7" s="1038"/>
      <c r="L7" s="1038"/>
      <c r="N7" s="1155" t="s">
        <v>60</v>
      </c>
      <c r="O7" s="1156"/>
      <c r="P7" s="1156"/>
      <c r="Q7" s="1155" t="s">
        <v>62</v>
      </c>
      <c r="R7" s="1156"/>
      <c r="S7" s="1157"/>
      <c r="T7" s="1155" t="s">
        <v>61</v>
      </c>
      <c r="U7" s="1156"/>
      <c r="V7" s="1157"/>
      <c r="W7" s="92"/>
      <c r="X7" s="92"/>
      <c r="Y7" s="4"/>
    </row>
    <row r="8" spans="1:25" ht="18.75" customHeight="1" x14ac:dyDescent="0.25">
      <c r="A8" s="1072" t="s">
        <v>4</v>
      </c>
      <c r="B8" s="1074" t="s">
        <v>5</v>
      </c>
      <c r="C8" s="1074" t="s">
        <v>18</v>
      </c>
      <c r="D8" s="1072" t="s">
        <v>6</v>
      </c>
      <c r="E8" s="1074" t="s">
        <v>7</v>
      </c>
      <c r="F8" s="1076" t="s">
        <v>8</v>
      </c>
      <c r="G8" s="1074" t="s">
        <v>76</v>
      </c>
      <c r="H8" s="1074" t="s">
        <v>9</v>
      </c>
      <c r="I8" s="1074" t="s">
        <v>0</v>
      </c>
      <c r="J8" s="1080" t="s">
        <v>1</v>
      </c>
      <c r="K8" s="1080" t="s">
        <v>2</v>
      </c>
      <c r="L8" s="1074" t="s">
        <v>3</v>
      </c>
      <c r="M8" s="1074" t="s">
        <v>25</v>
      </c>
      <c r="N8" s="1159" t="s">
        <v>58</v>
      </c>
      <c r="O8" s="1158" t="s">
        <v>59</v>
      </c>
      <c r="P8" s="1158" t="s">
        <v>30</v>
      </c>
      <c r="Q8" s="1159" t="s">
        <v>58</v>
      </c>
      <c r="R8" s="1158" t="s">
        <v>59</v>
      </c>
      <c r="S8" s="1162" t="s">
        <v>30</v>
      </c>
      <c r="T8" s="1159" t="s">
        <v>58</v>
      </c>
      <c r="U8" s="1158" t="s">
        <v>59</v>
      </c>
      <c r="V8" s="1162" t="s">
        <v>30</v>
      </c>
      <c r="W8" s="1160" t="s">
        <v>1</v>
      </c>
      <c r="X8" s="92"/>
      <c r="Y8" s="4"/>
    </row>
    <row r="9" spans="1:25" ht="54" customHeight="1" thickBot="1" x14ac:dyDescent="0.3">
      <c r="A9" s="1073"/>
      <c r="B9" s="1075"/>
      <c r="C9" s="1075"/>
      <c r="D9" s="1073"/>
      <c r="E9" s="1075"/>
      <c r="F9" s="1077"/>
      <c r="G9" s="1075"/>
      <c r="H9" s="1075"/>
      <c r="I9" s="1075"/>
      <c r="J9" s="1081"/>
      <c r="K9" s="1081"/>
      <c r="L9" s="1075"/>
      <c r="M9" s="1075"/>
      <c r="N9" s="1078"/>
      <c r="O9" s="1074"/>
      <c r="P9" s="1074"/>
      <c r="Q9" s="1078"/>
      <c r="R9" s="1074"/>
      <c r="S9" s="1082"/>
      <c r="T9" s="1078"/>
      <c r="U9" s="1074"/>
      <c r="V9" s="1082"/>
      <c r="W9" s="1161"/>
      <c r="X9" s="92"/>
      <c r="Y9" s="4"/>
    </row>
    <row r="10" spans="1:25" ht="15.6" customHeight="1" x14ac:dyDescent="0.25">
      <c r="A10" s="3" t="s">
        <v>33</v>
      </c>
      <c r="B10" s="40" t="s">
        <v>73</v>
      </c>
      <c r="C10" s="3" t="s">
        <v>19</v>
      </c>
      <c r="D10" s="3">
        <v>1</v>
      </c>
      <c r="E10" s="3">
        <v>1</v>
      </c>
      <c r="F10" s="10">
        <v>73140</v>
      </c>
      <c r="G10" s="9">
        <v>4</v>
      </c>
      <c r="H10" s="3">
        <v>391</v>
      </c>
      <c r="I10" s="34">
        <v>120</v>
      </c>
      <c r="J10" s="11">
        <v>96</v>
      </c>
      <c r="K10" s="44">
        <f t="shared" ref="K10:K73" si="0">+IF(C10="","",(H10*F10*E10*D10)/1000000)</f>
        <v>28.597740000000002</v>
      </c>
      <c r="L10" s="3" t="s">
        <v>61</v>
      </c>
      <c r="M10" s="3" t="s">
        <v>70</v>
      </c>
      <c r="N10" s="15">
        <f>ROUND((IF(L10="Blaze Shield II",IF(M10="Idiem software",IF(AND(C10="IN",G10=4),((('BLAZE SHIELD II'!$D$4*('HOJA DE CÁLCULO RESPALDO'!I10^2)+'BLAZE SHIELD II'!$D$5*'HOJA DE CÁLCULO RESPALDO'!I10+'BLAZE SHIELD II'!$D$6)*LN(J10))+('BLAZE SHIELD II'!$D$7*('HOJA DE CÁLCULO RESPALDO'!I10^2)+'BLAZE SHIELD II'!$D$8*'HOJA DE CÁLCULO RESPALDO'!I10+'BLAZE SHIELD II'!$D$9)),0),0),0))+(IF(L10="Blaze Shield II",IF(M10="Idiem software",IF(C10="Cj",((('BLAZE SHIELD II'!$H$4*('HOJA DE CÁLCULO RESPALDO'!I10^2)+'BLAZE SHIELD II'!$H$5*'HOJA DE CÁLCULO RESPALDO'!I10+'BLAZE SHIELD II'!$H$6)*LN(J10))+('BLAZE SHIELD II'!$H$7*('HOJA DE CÁLCULO RESPALDO'!I10^2)+'BLAZE SHIELD II'!$H$8*'HOJA DE CÁLCULO RESPALDO'!I10+'BLAZE SHIELD II'!$H$9)),0),0),0))+(IF(L10="Blaze Shield II",IF(M10="Idiem software",IF(C10="C",((('BLAZE SHIELD II'!$L$4*('HOJA DE CÁLCULO RESPALDO'!I10^2)+'BLAZE SHIELD II'!$L$5*'HOJA DE CÁLCULO RESPALDO'!I10+'BLAZE SHIELD II'!$L$6)*LN(J10))+('BLAZE SHIELD II'!$L$7*('HOJA DE CÁLCULO RESPALDO'!I10^2)+'BLAZE SHIELD II'!$L$8*'HOJA DE CÁLCULO RESPALDO'!I10+'BLAZE SHIELD II'!$L$9)),0),0),0))+(IF(L10="Blaze Shield II",IF(M10="Idiem software",IF(AND(C10="IN",G10=3),((('BLAZE SHIELD II'!$H$14*('HOJA DE CÁLCULO RESPALDO'!I10^2)+'BLAZE SHIELD II'!$H$15*'HOJA DE CÁLCULO RESPALDO'!I10+'BLAZE SHIELD II'!$H$16)*LN(J10))+('BLAZE SHIELD II'!$H$17*('HOJA DE CÁLCULO RESPALDO'!I10^2)+'BLAZE SHIELD II'!$H$18*'HOJA DE CÁLCULO RESPALDO'!I10+'BLAZE SHIELD II'!$H$19)),0),0),0)),0)</f>
        <v>0</v>
      </c>
      <c r="O10" s="46">
        <f>((IF(L10="Blaze Shield II",((K10*N10*0.43)/38),0)))</f>
        <v>0</v>
      </c>
      <c r="P10" s="80">
        <f t="shared" ref="P10:P73" si="1">+O10*$Q$2</f>
        <v>0</v>
      </c>
      <c r="Q10" s="85">
        <f>ROUND((IF(L10="Cafco 400",IF(M10="Idiem software",IF(AND(C10="IN",G10=4),((('CAFCO 400 '!$H$7*(J10^4)+'CAFCO 400 '!$H$8*(J10^3)+'CAFCO 400 '!$H$9*(J10^2)+'CAFCO 400 '!$H$10*J10+'CAFCO 400 '!$H$11)*I10^2)+(('CAFCO 400 '!$H$12*(J10^3)+'CAFCO 400 '!$H$13*(J10^2)+'CAFCO 400 '!$H$14*J10+'CAFCO 400 '!$H$15)*I10)+('CAFCO 400 '!$H$16*(J10^2)+'CAFCO 400 '!$H$17*J10+'CAFCO 400 '!$H$18)),0),0),0))+(IF(L10="Cafco 400",IF(M10="Idiem software",IF(C10="Cj",(((('CAFCO 400 '!$D$7*LN(J10)+'CAFCO 400 '!$D$8)*I10^2)+(('CAFCO 400 '!$D$9*LN(J10)+'CAFCO 400 '!$D$10)*I10)+('CAFCO 400 '!$D$11*LN(J10)+'CAFCO 400 '!$D$12))),0),0),0))+(IF(L10="Cafco 400",IF(M10="Idiem software",IF(C10="C",((('CAFCO 400 '!$L$7*(J10^3)+'CAFCO 400 '!$L$8*(J10^2)+'CAFCO 400 '!$L$9*J10+'CAFCO 400 '!$L$10)*I10^2)+(('CAFCO 400 '!$L$11*(J10^3)+'CAFCO 400 '!$L$12*(J10^2)+'CAFCO 400 '!$L$13*J10+'CAFCO 400 '!$L$14)*I10)+('CAFCO 400 '!$L$15*LN(J10)+'CAFCO 400 '!$L$16)),0),0),0))+(IF(L10="Cafco 400",IF(M10="Idiem software",IF(AND(C10="IN",G10=3),((('CAFCO 400 '!$D$23*(J10^2)+'CAFCO 400 '!$D$24*(J10)+'CAFCO 400 '!$D$25)*I10^2)+(('CAFCO 400 '!$D$26*(J10^2)+'CAFCO 400 '!$D$27*J10+'CAFCO 400 '!$D$28)*I10)+('CAFCO 400 '!$D$29*(J10^2)+'CAFCO 400 '!$D$30*J10+'CAFCO 400 '!$D$31)),0),0),0)),0)</f>
        <v>0</v>
      </c>
      <c r="R10" s="47">
        <f>+((IF(L10="Cafco 400",((K10*Q10*0.43)/23),0)))</f>
        <v>0</v>
      </c>
      <c r="S10" s="82">
        <f t="shared" ref="S10:S73" si="2">+R10*$Q$3</f>
        <v>0</v>
      </c>
      <c r="T10" s="81">
        <f>+IF(AND(J10&gt;=95,J10&lt;=240),IF(AND(C10="Cj",I10=90),VLOOKUP(W10,'CAFCO 300 IDIEM TABLAS'!$B$4:$D$23,2,FALSE),0)+IF(AND(J10&gt;=95,J10&lt;=240),IF(AND(C10="Cj",I10=120),VLOOKUP(W10,'CAFCO 300 IDIEM TABLAS'!$B$4:$D$23,3,FALSE),0))+IF(AND(J10&gt;=95,J10&lt;=400,G10=3),IF(AND(C10="IN",I10=90),VLOOKUP(W10,'CAFCO 300 IDIEM TABLAS'!$F$4:$H$35,2,FALSE),0),0)+IF(AND(J10&gt;=95,J10&lt;=400,G10=3),IF(AND(C10="IN",I10=120),VLOOKUP(W10,'CAFCO 300 IDIEM TABLAS'!$F$4:$H$35,3,FALSE),0),0)+IF(AND(J10&gt;=95,J10&lt;=450,G10=4),IF(AND(C10="IN",I10=90),VLOOKUP(W10,'CAFCO 300 IDIEM TABLAS'!$J$4:$L$40,2,FALSE),0),0)+IF(AND(J10&gt;=95,J10&lt;=450,G10=4),IF(AND(C10="IN",I10=120),VLOOKUP(W10,'CAFCO 300 IDIEM TABLAS'!$J$4:$L$40,3,FALSE),0),0))</f>
        <v>25</v>
      </c>
      <c r="U10" s="48">
        <f>+((IF(L10="Cafco 300",((K10*T10*0.43)/31.16),0)))</f>
        <v>9.8660367458279854</v>
      </c>
      <c r="V10" s="82">
        <f t="shared" ref="V10:V73" si="3">+U10*$Q$4</f>
        <v>148128.67570186139</v>
      </c>
      <c r="W10" s="64">
        <f>+IF(J10=LOOKUP(J10,'CAFCO 300 IDIEM TABLAS'!$J$4:$J$40),'HOJA DE CÁLCULO RESPALDO'!J10,CEILING(J10,10))</f>
        <v>100</v>
      </c>
      <c r="X10" s="36"/>
      <c r="Y10" s="4"/>
    </row>
    <row r="11" spans="1:25" x14ac:dyDescent="0.25">
      <c r="A11" s="2" t="s">
        <v>33</v>
      </c>
      <c r="B11" s="40" t="s">
        <v>73</v>
      </c>
      <c r="C11" s="3" t="s">
        <v>19</v>
      </c>
      <c r="D11" s="3">
        <v>1</v>
      </c>
      <c r="E11" s="2">
        <v>1</v>
      </c>
      <c r="F11" s="10">
        <v>73140</v>
      </c>
      <c r="G11" s="1">
        <v>3</v>
      </c>
      <c r="H11" s="3">
        <v>391</v>
      </c>
      <c r="I11" s="34">
        <v>5400</v>
      </c>
      <c r="J11" s="11">
        <v>200</v>
      </c>
      <c r="K11" s="44">
        <f t="shared" si="0"/>
        <v>28.597740000000002</v>
      </c>
      <c r="L11" s="3" t="s">
        <v>62</v>
      </c>
      <c r="M11" s="3" t="s">
        <v>70</v>
      </c>
      <c r="N11" s="15">
        <f>ROUND((IF(L11="Blaze Shield II",IF(M11="Idiem software",IF(AND(C11="IN",G11=4),((('BLAZE SHIELD II'!$D$4*('HOJA DE CÁLCULO RESPALDO'!I11^2)+'BLAZE SHIELD II'!$D$5*'HOJA DE CÁLCULO RESPALDO'!I11+'BLAZE SHIELD II'!$D$6)*LN(J11))+('BLAZE SHIELD II'!$D$7*('HOJA DE CÁLCULO RESPALDO'!I11^2)+'BLAZE SHIELD II'!$D$8*'HOJA DE CÁLCULO RESPALDO'!I11+'BLAZE SHIELD II'!$D$9)),0),0),0))+(IF(L11="Blaze Shield II",IF(M11="Idiem software",IF(C11="Cj",((('BLAZE SHIELD II'!$H$4*('HOJA DE CÁLCULO RESPALDO'!I11^2)+'BLAZE SHIELD II'!$H$5*'HOJA DE CÁLCULO RESPALDO'!I11+'BLAZE SHIELD II'!$H$6)*LN(J11))+('BLAZE SHIELD II'!$H$7*('HOJA DE CÁLCULO RESPALDO'!I11^2)+'BLAZE SHIELD II'!$H$8*'HOJA DE CÁLCULO RESPALDO'!I11+'BLAZE SHIELD II'!$H$9)),0),0),0))+(IF(L11="Blaze Shield II",IF(M11="Idiem software",IF(C11="C",((('BLAZE SHIELD II'!$L$4*('HOJA DE CÁLCULO RESPALDO'!I11^2)+'BLAZE SHIELD II'!$L$5*'HOJA DE CÁLCULO RESPALDO'!I11+'BLAZE SHIELD II'!$L$6)*LN(J11))+('BLAZE SHIELD II'!$L$7*('HOJA DE CÁLCULO RESPALDO'!I11^2)+'BLAZE SHIELD II'!$L$8*'HOJA DE CÁLCULO RESPALDO'!I11+'BLAZE SHIELD II'!$L$9)),0),0),0))+(IF(L11="Blaze Shield II",IF(M11="Idiem software",IF(AND(C11="IN",G11=3),((('BLAZE SHIELD II'!$H$14*('HOJA DE CÁLCULO RESPALDO'!I11^2)+'BLAZE SHIELD II'!$H$15*'HOJA DE CÁLCULO RESPALDO'!I11+'BLAZE SHIELD II'!$H$16)*LN(J11))+('BLAZE SHIELD II'!$H$17*('HOJA DE CÁLCULO RESPALDO'!I11^2)+'BLAZE SHIELD II'!$H$18*'HOJA DE CÁLCULO RESPALDO'!I11+'BLAZE SHIELD II'!$H$19)),0),0),0)),0)</f>
        <v>0</v>
      </c>
      <c r="O11" s="46">
        <f t="shared" ref="O11:O74" si="4">((IF(L11="Blaze Shield II",((K11*N11*0.43)/38),0)))</f>
        <v>0</v>
      </c>
      <c r="P11" s="80">
        <f t="shared" si="1"/>
        <v>0</v>
      </c>
      <c r="Q11" s="85">
        <f>ROUND((IF(L11="Cafco 400",IF(M11="Idiem software",IF(AND(C11="IN",G11=4),((('CAFCO 400 '!$H$7*(J11^4)+'CAFCO 400 '!$H$8*(J11^3)+'CAFCO 400 '!$H$9*(J11^2)+'CAFCO 400 '!$H$10*J11+'CAFCO 400 '!$H$11)*I11^2)+(('CAFCO 400 '!$H$12*(J11^3)+'CAFCO 400 '!$H$13*(J11^2)+'CAFCO 400 '!$H$14*J11+'CAFCO 400 '!$H$15)*I11)+('CAFCO 400 '!$H$16*(J11^2)+'CAFCO 400 '!$H$17*J11+'CAFCO 400 '!$H$18)),0),0),0))+(IF(L11="Cafco 400",IF(M11="Idiem software",IF(C11="Cj",(((('CAFCO 400 '!$D$7*LN(J11)+'CAFCO 400 '!$D$8)*I11^2)+(('CAFCO 400 '!$D$9*LN(J11)+'CAFCO 400 '!$D$10)*I11)+('CAFCO 400 '!$D$11*LN(J11)+'CAFCO 400 '!$D$12))),0),0),0))+(IF(L11="Cafco 400",IF(M11="Idiem software",IF(C11="C",((('CAFCO 400 '!$L$7*(J11^3)+'CAFCO 400 '!$L$8*(J11^2)+'CAFCO 400 '!$L$9*J11+'CAFCO 400 '!$L$10)*I11^2)+(('CAFCO 400 '!$L$11*(J11^3)+'CAFCO 400 '!$L$12*(J11^2)+'CAFCO 400 '!$L$13*J11+'CAFCO 400 '!$L$14)*I11)+('CAFCO 400 '!$L$15*LN(J11)+'CAFCO 400 '!$L$16)),0),0),0))+(IF(L11="Cafco 400",IF(M11="Idiem software",IF(AND(C11="IN",G11=3),((('CAFCO 400 '!$D$23*(J11^2)+'CAFCO 400 '!$D$24*(J11)+'CAFCO 400 '!$D$25)*I11^2)+(('CAFCO 400 '!$D$26*(J11^2)+'CAFCO 400 '!$D$27*J11+'CAFCO 400 '!$D$28)*I11)+('CAFCO 400 '!$D$29*(J11^2)+'CAFCO 400 '!$D$30*J11+'CAFCO 400 '!$D$31)),0),0),0)),0)</f>
        <v>21</v>
      </c>
      <c r="R11" s="47">
        <f t="shared" ref="R11:R74" si="5">+((IF(L11="Cafco 400",((K11*Q11*0.43)/23),0)))</f>
        <v>11.2277214</v>
      </c>
      <c r="S11" s="82">
        <f t="shared" si="2"/>
        <v>180878.59175399999</v>
      </c>
      <c r="T11" s="81">
        <f>+IF(AND(J11&gt;=95,J11&lt;=240),IF(AND(C11="Cj",I11=90),VLOOKUP(W11,'CAFCO 300 IDIEM TABLAS'!$B$4:$D$23,2,FALSE),0)+IF(AND(J11&gt;=95,J11&lt;=240),IF(AND(C11="Cj",I11=120),VLOOKUP(W11,'CAFCO 300 IDIEM TABLAS'!$B$4:$D$23,3,FALSE),0))+IF(AND(J11&gt;=95,J11&lt;=400,G11=3),IF(AND(C11="IN",I11=90),VLOOKUP(W11,'CAFCO 300 IDIEM TABLAS'!$F$4:$H$35,2,FALSE),0),0)+IF(AND(J11&gt;=95,J11&lt;=400,G11=3),IF(AND(C11="IN",I11=120),VLOOKUP(W11,'CAFCO 300 IDIEM TABLAS'!$F$4:$H$35,3,FALSE),0),0)+IF(AND(J11&gt;=95,J11&lt;=450,G11=4),IF(AND(C11="IN",I11=90),VLOOKUP(W11,'CAFCO 300 IDIEM TABLAS'!$J$4:$L$40,2,FALSE),0),0)+IF(AND(J11&gt;=95,J11&lt;=450,G11=4),IF(AND(C11="IN",I11=120),VLOOKUP(W11,'CAFCO 300 IDIEM TABLAS'!$J$4:$L$40,3,FALSE),0),0))</f>
        <v>0</v>
      </c>
      <c r="U11" s="48">
        <f t="shared" ref="U11:U74" si="6">+((IF(L11="Cafco 300",((K11*T11*0.43)/31.16),0)))</f>
        <v>0</v>
      </c>
      <c r="V11" s="82">
        <f t="shared" si="3"/>
        <v>0</v>
      </c>
      <c r="W11" s="64">
        <f>+IF(J11=LOOKUP(J11,'CAFCO 300 IDIEM TABLAS'!$J$4:$J$40),'HOJA DE CÁLCULO RESPALDO'!J11,MROUND('HOJA DE CÁLCULO RESPALDO'!J11,10))</f>
        <v>200</v>
      </c>
      <c r="X11" s="36" t="s">
        <v>115</v>
      </c>
      <c r="Y11" s="4"/>
    </row>
    <row r="12" spans="1:25" ht="15.6" customHeight="1" x14ac:dyDescent="0.25">
      <c r="A12" s="2" t="s">
        <v>34</v>
      </c>
      <c r="B12" s="40" t="s">
        <v>73</v>
      </c>
      <c r="C12" s="3" t="s">
        <v>19</v>
      </c>
      <c r="D12" s="3">
        <v>1</v>
      </c>
      <c r="E12" s="2">
        <v>2</v>
      </c>
      <c r="F12" s="8">
        <v>12900</v>
      </c>
      <c r="G12" s="1">
        <v>4</v>
      </c>
      <c r="H12" s="2">
        <v>968</v>
      </c>
      <c r="I12" s="34">
        <v>5400</v>
      </c>
      <c r="J12" s="11">
        <v>95</v>
      </c>
      <c r="K12" s="44">
        <f t="shared" si="0"/>
        <v>24.974399999999999</v>
      </c>
      <c r="L12" s="3" t="s">
        <v>62</v>
      </c>
      <c r="M12" s="3" t="s">
        <v>70</v>
      </c>
      <c r="N12" s="15">
        <f>ROUND((IF(L12="Blaze Shield II",IF(M12="Idiem software",IF(AND(C12="IN",G12=4),((('BLAZE SHIELD II'!$D$4*('HOJA DE CÁLCULO RESPALDO'!I12^2)+'BLAZE SHIELD II'!$D$5*'HOJA DE CÁLCULO RESPALDO'!I12+'BLAZE SHIELD II'!$D$6)*LN(J12))+('BLAZE SHIELD II'!$D$7*('HOJA DE CÁLCULO RESPALDO'!I12^2)+'BLAZE SHIELD II'!$D$8*'HOJA DE CÁLCULO RESPALDO'!I12+'BLAZE SHIELD II'!$D$9)),0),0),0))+(IF(L12="Blaze Shield II",IF(M12="Idiem software",IF(C12="Cj",((('BLAZE SHIELD II'!$H$4*('HOJA DE CÁLCULO RESPALDO'!I12^2)+'BLAZE SHIELD II'!$H$5*'HOJA DE CÁLCULO RESPALDO'!I12+'BLAZE SHIELD II'!$H$6)*LN(J12))+('BLAZE SHIELD II'!$H$7*('HOJA DE CÁLCULO RESPALDO'!I12^2)+'BLAZE SHIELD II'!$H$8*'HOJA DE CÁLCULO RESPALDO'!I12+'BLAZE SHIELD II'!$H$9)),0),0),0))+(IF(L12="Blaze Shield II",IF(M12="Idiem software",IF(C12="C",((('BLAZE SHIELD II'!$L$4*('HOJA DE CÁLCULO RESPALDO'!I12^2)+'BLAZE SHIELD II'!$L$5*'HOJA DE CÁLCULO RESPALDO'!I12+'BLAZE SHIELD II'!$L$6)*LN(J12))+('BLAZE SHIELD II'!$L$7*('HOJA DE CÁLCULO RESPALDO'!I12^2)+'BLAZE SHIELD II'!$L$8*'HOJA DE CÁLCULO RESPALDO'!I12+'BLAZE SHIELD II'!$L$9)),0),0),0))+(IF(L12="Blaze Shield II",IF(M12="Idiem software",IF(AND(C12="IN",G12=3),((('BLAZE SHIELD II'!$H$14*('HOJA DE CÁLCULO RESPALDO'!I12^2)+'BLAZE SHIELD II'!$H$15*'HOJA DE CÁLCULO RESPALDO'!I12+'BLAZE SHIELD II'!$H$16)*LN(J12))+('BLAZE SHIELD II'!$H$17*('HOJA DE CÁLCULO RESPALDO'!I12^2)+'BLAZE SHIELD II'!$H$18*'HOJA DE CÁLCULO RESPALDO'!I12+'BLAZE SHIELD II'!$H$19)),0),0),0)),0)</f>
        <v>0</v>
      </c>
      <c r="O12" s="46">
        <f t="shared" si="4"/>
        <v>0</v>
      </c>
      <c r="P12" s="80">
        <f t="shared" si="1"/>
        <v>0</v>
      </c>
      <c r="Q12" s="85">
        <f>ROUND((IF(L12="Cafco 400",IF(M12="Idiem software",IF(AND(C12="IN",G12=4),((('CAFCO 400 '!$H$7*(J12^4)+'CAFCO 400 '!$H$8*(J12^3)+'CAFCO 400 '!$H$9*(J12^2)+'CAFCO 400 '!$H$10*J12+'CAFCO 400 '!$H$11)*I12^2)+(('CAFCO 400 '!$H$12*(J12^3)+'CAFCO 400 '!$H$13*(J12^2)+'CAFCO 400 '!$H$14*J12+'CAFCO 400 '!$H$15)*I12)+('CAFCO 400 '!$H$16*(J12^2)+'CAFCO 400 '!$H$17*J12+'CAFCO 400 '!$H$18)),0),0),0))+(IF(L12="Cafco 400",IF(M12="Idiem software",IF(C12="Cj",(((('CAFCO 400 '!$D$7*LN(J12)+'CAFCO 400 '!$D$8)*I12^2)+(('CAFCO 400 '!$D$9*LN(J12)+'CAFCO 400 '!$D$10)*I12)+('CAFCO 400 '!$D$11*LN(J12)+'CAFCO 400 '!$D$12))),0),0),0))+(IF(L12="Cafco 400",IF(M12="Idiem software",IF(C12="C",((('CAFCO 400 '!$L$7*(J12^3)+'CAFCO 400 '!$L$8*(J12^2)+'CAFCO 400 '!$L$9*J12+'CAFCO 400 '!$L$10)*I12^2)+(('CAFCO 400 '!$L$11*(J12^3)+'CAFCO 400 '!$L$12*(J12^2)+'CAFCO 400 '!$L$13*J12+'CAFCO 400 '!$L$14)*I12)+('CAFCO 400 '!$L$15*LN(J12)+'CAFCO 400 '!$L$16)),0),0),0))+(IF(L12="Cafco 400",IF(M12="Idiem software",IF(AND(C12="IN",G12=3),((('CAFCO 400 '!$D$23*(J12^2)+'CAFCO 400 '!$D$24*(J12)+'CAFCO 400 '!$D$25)*I12^2)+(('CAFCO 400 '!$D$26*(J12^2)+'CAFCO 400 '!$D$27*J12+'CAFCO 400 '!$D$28)*I12)+('CAFCO 400 '!$D$29*(J12^2)+'CAFCO 400 '!$D$30*J12+'CAFCO 400 '!$D$31)),0),0),0)),0)</f>
        <v>17</v>
      </c>
      <c r="R12" s="47">
        <f t="shared" si="5"/>
        <v>7.9375158260869565</v>
      </c>
      <c r="S12" s="82">
        <f t="shared" si="2"/>
        <v>127873.37995826086</v>
      </c>
      <c r="T12" s="81">
        <f>+IF(AND(J12&gt;=95,J12&lt;=240),IF(AND(C12="Cj",I12=90),VLOOKUP(W12,'CAFCO 300 IDIEM TABLAS'!$B$4:$D$23,2,FALSE),0)+IF(AND(J12&gt;=95,J12&lt;=240),IF(AND(C12="Cj",I12=120),VLOOKUP(W12,'CAFCO 300 IDIEM TABLAS'!$B$4:$D$23,3,FALSE),0))+IF(AND(J12&gt;=95,J12&lt;=400,G12=3),IF(AND(C12="IN",I12=90),VLOOKUP(W12,'CAFCO 300 IDIEM TABLAS'!$F$4:$H$35,2,FALSE),0),0)+IF(AND(J12&gt;=95,J12&lt;=400,G12=3),IF(AND(C12="IN",I12=120),VLOOKUP(W12,'CAFCO 300 IDIEM TABLAS'!$F$4:$H$35,3,FALSE),0),0)+IF(AND(J12&gt;=95,J12&lt;=450,G12=4),IF(AND(C12="IN",I12=90),VLOOKUP(W12,'CAFCO 300 IDIEM TABLAS'!$J$4:$L$40,2,FALSE),0),0)+IF(AND(J12&gt;=95,J12&lt;=450,G12=4),IF(AND(C12="IN",I12=120),VLOOKUP(W12,'CAFCO 300 IDIEM TABLAS'!$J$4:$L$40,3,FALSE),0),0))</f>
        <v>0</v>
      </c>
      <c r="U12" s="48">
        <f t="shared" si="6"/>
        <v>0</v>
      </c>
      <c r="V12" s="82">
        <f t="shared" si="3"/>
        <v>0</v>
      </c>
      <c r="W12" s="64">
        <f>+IF(J12=LOOKUP(J12,'CAFCO 300 IDIEM TABLAS'!$J$4:$J$40),'HOJA DE CÁLCULO RESPALDO'!J12,MROUND('HOJA DE CÁLCULO RESPALDO'!J12,10))</f>
        <v>95</v>
      </c>
      <c r="X12" s="36" t="s">
        <v>116</v>
      </c>
      <c r="Y12" s="4"/>
    </row>
    <row r="13" spans="1:25" x14ac:dyDescent="0.25">
      <c r="A13" s="2" t="s">
        <v>33</v>
      </c>
      <c r="B13" s="40" t="s">
        <v>73</v>
      </c>
      <c r="C13" s="3" t="s">
        <v>19</v>
      </c>
      <c r="D13" s="3">
        <v>1</v>
      </c>
      <c r="E13" s="2">
        <v>1</v>
      </c>
      <c r="F13" s="8">
        <v>17971</v>
      </c>
      <c r="G13" s="1">
        <v>4</v>
      </c>
      <c r="H13" s="2">
        <v>2184</v>
      </c>
      <c r="I13" s="34">
        <v>5400</v>
      </c>
      <c r="J13" s="11">
        <v>95</v>
      </c>
      <c r="K13" s="44">
        <f t="shared" si="0"/>
        <v>39.248663999999998</v>
      </c>
      <c r="L13" s="3" t="s">
        <v>62</v>
      </c>
      <c r="M13" s="3" t="s">
        <v>70</v>
      </c>
      <c r="N13" s="15">
        <f>ROUND((IF(L13="Blaze Shield II",IF(M13="Idiem software",IF(AND(C13="IN",G13=4),((('BLAZE SHIELD II'!$D$4*('HOJA DE CÁLCULO RESPALDO'!I13^2)+'BLAZE SHIELD II'!$D$5*'HOJA DE CÁLCULO RESPALDO'!I13+'BLAZE SHIELD II'!$D$6)*LN(J13))+('BLAZE SHIELD II'!$D$7*('HOJA DE CÁLCULO RESPALDO'!I13^2)+'BLAZE SHIELD II'!$D$8*'HOJA DE CÁLCULO RESPALDO'!I13+'BLAZE SHIELD II'!$D$9)),0),0),0))+(IF(L13="Blaze Shield II",IF(M13="Idiem software",IF(C13="Cj",((('BLAZE SHIELD II'!$H$4*('HOJA DE CÁLCULO RESPALDO'!I13^2)+'BLAZE SHIELD II'!$H$5*'HOJA DE CÁLCULO RESPALDO'!I13+'BLAZE SHIELD II'!$H$6)*LN(J13))+('BLAZE SHIELD II'!$H$7*('HOJA DE CÁLCULO RESPALDO'!I13^2)+'BLAZE SHIELD II'!$H$8*'HOJA DE CÁLCULO RESPALDO'!I13+'BLAZE SHIELD II'!$H$9)),0),0),0))+(IF(L13="Blaze Shield II",IF(M13="Idiem software",IF(C13="C",((('BLAZE SHIELD II'!$L$4*('HOJA DE CÁLCULO RESPALDO'!I13^2)+'BLAZE SHIELD II'!$L$5*'HOJA DE CÁLCULO RESPALDO'!I13+'BLAZE SHIELD II'!$L$6)*LN(J13))+('BLAZE SHIELD II'!$L$7*('HOJA DE CÁLCULO RESPALDO'!I13^2)+'BLAZE SHIELD II'!$L$8*'HOJA DE CÁLCULO RESPALDO'!I13+'BLAZE SHIELD II'!$L$9)),0),0),0))+(IF(L13="Blaze Shield II",IF(M13="Idiem software",IF(AND(C13="IN",G13=3),((('BLAZE SHIELD II'!$H$14*('HOJA DE CÁLCULO RESPALDO'!I13^2)+'BLAZE SHIELD II'!$H$15*'HOJA DE CÁLCULO RESPALDO'!I13+'BLAZE SHIELD II'!$H$16)*LN(J13))+('BLAZE SHIELD II'!$H$17*('HOJA DE CÁLCULO RESPALDO'!I13^2)+'BLAZE SHIELD II'!$H$18*'HOJA DE CÁLCULO RESPALDO'!I13+'BLAZE SHIELD II'!$H$19)),0),0),0)),0)</f>
        <v>0</v>
      </c>
      <c r="O13" s="46">
        <f t="shared" si="4"/>
        <v>0</v>
      </c>
      <c r="P13" s="80">
        <f t="shared" si="1"/>
        <v>0</v>
      </c>
      <c r="Q13" s="85">
        <f>ROUND((IF(L13="Cafco 400",IF(M13="Idiem software",IF(AND(C13="IN",G13=4),((('CAFCO 400 '!$H$7*(J13^4)+'CAFCO 400 '!$H$8*(J13^3)+'CAFCO 400 '!$H$9*(J13^2)+'CAFCO 400 '!$H$10*J13+'CAFCO 400 '!$H$11)*I13^2)+(('CAFCO 400 '!$H$12*(J13^3)+'CAFCO 400 '!$H$13*(J13^2)+'CAFCO 400 '!$H$14*J13+'CAFCO 400 '!$H$15)*I13)+('CAFCO 400 '!$H$16*(J13^2)+'CAFCO 400 '!$H$17*J13+'CAFCO 400 '!$H$18)),0),0),0))+(IF(L13="Cafco 400",IF(M13="Idiem software",IF(C13="Cj",(((('CAFCO 400 '!$D$7*LN(J13)+'CAFCO 400 '!$D$8)*I13^2)+(('CAFCO 400 '!$D$9*LN(J13)+'CAFCO 400 '!$D$10)*I13)+('CAFCO 400 '!$D$11*LN(J13)+'CAFCO 400 '!$D$12))),0),0),0))+(IF(L13="Cafco 400",IF(M13="Idiem software",IF(C13="C",((('CAFCO 400 '!$L$7*(J13^3)+'CAFCO 400 '!$L$8*(J13^2)+'CAFCO 400 '!$L$9*J13+'CAFCO 400 '!$L$10)*I13^2)+(('CAFCO 400 '!$L$11*(J13^3)+'CAFCO 400 '!$L$12*(J13^2)+'CAFCO 400 '!$L$13*J13+'CAFCO 400 '!$L$14)*I13)+('CAFCO 400 '!$L$15*LN(J13)+'CAFCO 400 '!$L$16)),0),0),0))+(IF(L13="Cafco 400",IF(M13="Idiem software",IF(AND(C13="IN",G13=3),((('CAFCO 400 '!$D$23*(J13^2)+'CAFCO 400 '!$D$24*(J13)+'CAFCO 400 '!$D$25)*I13^2)+(('CAFCO 400 '!$D$26*(J13^2)+'CAFCO 400 '!$D$27*J13+'CAFCO 400 '!$D$28)*I13)+('CAFCO 400 '!$D$29*(J13^2)+'CAFCO 400 '!$D$30*J13+'CAFCO 400 '!$D$31)),0),0),0)),0)</f>
        <v>17</v>
      </c>
      <c r="R13" s="47">
        <f t="shared" si="5"/>
        <v>12.474249297391305</v>
      </c>
      <c r="S13" s="82">
        <f t="shared" si="2"/>
        <v>200960.15618097392</v>
      </c>
      <c r="T13" s="81">
        <f>+IF(AND(J13&gt;=95,J13&lt;=240),IF(AND(C13="Cj",I13=90),VLOOKUP(W13,'CAFCO 300 IDIEM TABLAS'!$B$4:$D$23,2,FALSE),0)+IF(AND(J13&gt;=95,J13&lt;=240),IF(AND(C13="Cj",I13=120),VLOOKUP(W13,'CAFCO 300 IDIEM TABLAS'!$B$4:$D$23,3,FALSE),0))+IF(AND(J13&gt;=95,J13&lt;=400,G13=3),IF(AND(C13="IN",I13=90),VLOOKUP(W13,'CAFCO 300 IDIEM TABLAS'!$F$4:$H$35,2,FALSE),0),0)+IF(AND(J13&gt;=95,J13&lt;=400,G13=3),IF(AND(C13="IN",I13=120),VLOOKUP(W13,'CAFCO 300 IDIEM TABLAS'!$F$4:$H$35,3,FALSE),0),0)+IF(AND(J13&gt;=95,J13&lt;=450,G13=4),IF(AND(C13="IN",I13=90),VLOOKUP(W13,'CAFCO 300 IDIEM TABLAS'!$J$4:$L$40,2,FALSE),0),0)+IF(AND(J13&gt;=95,J13&lt;=450,G13=4),IF(AND(C13="IN",I13=120),VLOOKUP(W13,'CAFCO 300 IDIEM TABLAS'!$J$4:$L$40,3,FALSE),0),0))</f>
        <v>0</v>
      </c>
      <c r="U13" s="48">
        <f t="shared" si="6"/>
        <v>0</v>
      </c>
      <c r="V13" s="82">
        <f t="shared" si="3"/>
        <v>0</v>
      </c>
      <c r="W13" s="64">
        <f>+IF(J13=LOOKUP(J13,'CAFCO 300 IDIEM TABLAS'!$J$4:$J$40),'HOJA DE CÁLCULO RESPALDO'!J13,MROUND('HOJA DE CÁLCULO RESPALDO'!J13,10))</f>
        <v>95</v>
      </c>
      <c r="X13" s="36"/>
      <c r="Y13" s="4"/>
    </row>
    <row r="14" spans="1:25" ht="15.6" customHeight="1" x14ac:dyDescent="0.25">
      <c r="A14" s="2" t="s">
        <v>33</v>
      </c>
      <c r="B14" s="40" t="s">
        <v>73</v>
      </c>
      <c r="C14" s="3" t="s">
        <v>19</v>
      </c>
      <c r="D14" s="3">
        <v>1</v>
      </c>
      <c r="E14" s="2">
        <v>1</v>
      </c>
      <c r="F14" s="8">
        <v>7759</v>
      </c>
      <c r="G14" s="1">
        <v>4</v>
      </c>
      <c r="H14" s="2">
        <v>785</v>
      </c>
      <c r="I14" s="34">
        <v>5400</v>
      </c>
      <c r="J14" s="11">
        <v>95</v>
      </c>
      <c r="K14" s="44">
        <f t="shared" si="0"/>
        <v>6.0908150000000001</v>
      </c>
      <c r="L14" s="3" t="s">
        <v>62</v>
      </c>
      <c r="M14" s="3" t="s">
        <v>70</v>
      </c>
      <c r="N14" s="15">
        <f>ROUND((IF(L14="Blaze Shield II",IF(M14="Idiem software",IF(AND(C14="IN",G14=4),((('BLAZE SHIELD II'!$D$4*('HOJA DE CÁLCULO RESPALDO'!I14^2)+'BLAZE SHIELD II'!$D$5*'HOJA DE CÁLCULO RESPALDO'!I14+'BLAZE SHIELD II'!$D$6)*LN(J14))+('BLAZE SHIELD II'!$D$7*('HOJA DE CÁLCULO RESPALDO'!I14^2)+'BLAZE SHIELD II'!$D$8*'HOJA DE CÁLCULO RESPALDO'!I14+'BLAZE SHIELD II'!$D$9)),0),0),0))+(IF(L14="Blaze Shield II",IF(M14="Idiem software",IF(C14="Cj",((('BLAZE SHIELD II'!$H$4*('HOJA DE CÁLCULO RESPALDO'!I14^2)+'BLAZE SHIELD II'!$H$5*'HOJA DE CÁLCULO RESPALDO'!I14+'BLAZE SHIELD II'!$H$6)*LN(J14))+('BLAZE SHIELD II'!$H$7*('HOJA DE CÁLCULO RESPALDO'!I14^2)+'BLAZE SHIELD II'!$H$8*'HOJA DE CÁLCULO RESPALDO'!I14+'BLAZE SHIELD II'!$H$9)),0),0),0))+(IF(L14="Blaze Shield II",IF(M14="Idiem software",IF(C14="C",((('BLAZE SHIELD II'!$L$4*('HOJA DE CÁLCULO RESPALDO'!I14^2)+'BLAZE SHIELD II'!$L$5*'HOJA DE CÁLCULO RESPALDO'!I14+'BLAZE SHIELD II'!$L$6)*LN(J14))+('BLAZE SHIELD II'!$L$7*('HOJA DE CÁLCULO RESPALDO'!I14^2)+'BLAZE SHIELD II'!$L$8*'HOJA DE CÁLCULO RESPALDO'!I14+'BLAZE SHIELD II'!$L$9)),0),0),0))+(IF(L14="Blaze Shield II",IF(M14="Idiem software",IF(AND(C14="IN",G14=3),((('BLAZE SHIELD II'!$H$14*('HOJA DE CÁLCULO RESPALDO'!I14^2)+'BLAZE SHIELD II'!$H$15*'HOJA DE CÁLCULO RESPALDO'!I14+'BLAZE SHIELD II'!$H$16)*LN(J14))+('BLAZE SHIELD II'!$H$17*('HOJA DE CÁLCULO RESPALDO'!I14^2)+'BLAZE SHIELD II'!$H$18*'HOJA DE CÁLCULO RESPALDO'!I14+'BLAZE SHIELD II'!$H$19)),0),0),0)),0)</f>
        <v>0</v>
      </c>
      <c r="O14" s="46">
        <f t="shared" si="4"/>
        <v>0</v>
      </c>
      <c r="P14" s="80">
        <f t="shared" si="1"/>
        <v>0</v>
      </c>
      <c r="Q14" s="85">
        <f>ROUND((IF(L14="Cafco 400",IF(M14="Idiem software",IF(AND(C14="IN",G14=4),((('CAFCO 400 '!$H$7*(J14^4)+'CAFCO 400 '!$H$8*(J14^3)+'CAFCO 400 '!$H$9*(J14^2)+'CAFCO 400 '!$H$10*J14+'CAFCO 400 '!$H$11)*I14^2)+(('CAFCO 400 '!$H$12*(J14^3)+'CAFCO 400 '!$H$13*(J14^2)+'CAFCO 400 '!$H$14*J14+'CAFCO 400 '!$H$15)*I14)+('CAFCO 400 '!$H$16*(J14^2)+'CAFCO 400 '!$H$17*J14+'CAFCO 400 '!$H$18)),0),0),0))+(IF(L14="Cafco 400",IF(M14="Idiem software",IF(C14="Cj",(((('CAFCO 400 '!$D$7*LN(J14)+'CAFCO 400 '!$D$8)*I14^2)+(('CAFCO 400 '!$D$9*LN(J14)+'CAFCO 400 '!$D$10)*I14)+('CAFCO 400 '!$D$11*LN(J14)+'CAFCO 400 '!$D$12))),0),0),0))+(IF(L14="Cafco 400",IF(M14="Idiem software",IF(C14="C",((('CAFCO 400 '!$L$7*(J14^3)+'CAFCO 400 '!$L$8*(J14^2)+'CAFCO 400 '!$L$9*J14+'CAFCO 400 '!$L$10)*I14^2)+(('CAFCO 400 '!$L$11*(J14^3)+'CAFCO 400 '!$L$12*(J14^2)+'CAFCO 400 '!$L$13*J14+'CAFCO 400 '!$L$14)*I14)+('CAFCO 400 '!$L$15*LN(J14)+'CAFCO 400 '!$L$16)),0),0),0))+(IF(L14="Cafco 400",IF(M14="Idiem software",IF(AND(C14="IN",G14=3),((('CAFCO 400 '!$D$23*(J14^2)+'CAFCO 400 '!$D$24*(J14)+'CAFCO 400 '!$D$25)*I14^2)+(('CAFCO 400 '!$D$26*(J14^2)+'CAFCO 400 '!$D$27*J14+'CAFCO 400 '!$D$28)*I14)+('CAFCO 400 '!$D$29*(J14^2)+'CAFCO 400 '!$D$30*J14+'CAFCO 400 '!$D$31)),0),0),0)),0)</f>
        <v>17</v>
      </c>
      <c r="R14" s="47">
        <f t="shared" si="5"/>
        <v>1.9358198978260872</v>
      </c>
      <c r="S14" s="82">
        <f t="shared" si="2"/>
        <v>31186.058553978266</v>
      </c>
      <c r="T14" s="81">
        <f>+IF(AND(J14&gt;=95,J14&lt;=240),IF(AND(C14="Cj",I14=90),VLOOKUP(W14,'CAFCO 300 IDIEM TABLAS'!$B$4:$D$23,2,FALSE),0)+IF(AND(J14&gt;=95,J14&lt;=240),IF(AND(C14="Cj",I14=120),VLOOKUP(W14,'CAFCO 300 IDIEM TABLAS'!$B$4:$D$23,3,FALSE),0))+IF(AND(J14&gt;=95,J14&lt;=400,G14=3),IF(AND(C14="IN",I14=90),VLOOKUP(W14,'CAFCO 300 IDIEM TABLAS'!$F$4:$H$35,2,FALSE),0),0)+IF(AND(J14&gt;=95,J14&lt;=400,G14=3),IF(AND(C14="IN",I14=120),VLOOKUP(W14,'CAFCO 300 IDIEM TABLAS'!$F$4:$H$35,3,FALSE),0),0)+IF(AND(J14&gt;=95,J14&lt;=450,G14=4),IF(AND(C14="IN",I14=90),VLOOKUP(W14,'CAFCO 300 IDIEM TABLAS'!$J$4:$L$40,2,FALSE),0),0)+IF(AND(J14&gt;=95,J14&lt;=450,G14=4),IF(AND(C14="IN",I14=120),VLOOKUP(W14,'CAFCO 300 IDIEM TABLAS'!$J$4:$L$40,3,FALSE),0),0))</f>
        <v>0</v>
      </c>
      <c r="U14" s="48">
        <f t="shared" si="6"/>
        <v>0</v>
      </c>
      <c r="V14" s="82">
        <f t="shared" si="3"/>
        <v>0</v>
      </c>
      <c r="W14" s="64">
        <f>+IF(J14=LOOKUP(J14,'CAFCO 300 IDIEM TABLAS'!$J$4:$J$40),'HOJA DE CÁLCULO RESPALDO'!J14,MROUND('HOJA DE CÁLCULO RESPALDO'!J14,10))</f>
        <v>95</v>
      </c>
      <c r="X14" s="36"/>
      <c r="Y14" s="4"/>
    </row>
    <row r="15" spans="1:25" x14ac:dyDescent="0.25">
      <c r="A15" s="2" t="s">
        <v>33</v>
      </c>
      <c r="B15" s="41" t="s">
        <v>73</v>
      </c>
      <c r="C15" s="3" t="s">
        <v>19</v>
      </c>
      <c r="D15" s="3">
        <v>1</v>
      </c>
      <c r="E15" s="2">
        <v>1</v>
      </c>
      <c r="F15" s="8">
        <v>7100</v>
      </c>
      <c r="G15" s="1">
        <v>4</v>
      </c>
      <c r="H15" s="2">
        <v>785</v>
      </c>
      <c r="I15" s="34">
        <v>5400</v>
      </c>
      <c r="J15" s="11">
        <v>95</v>
      </c>
      <c r="K15" s="44">
        <f t="shared" si="0"/>
        <v>5.5735000000000001</v>
      </c>
      <c r="L15" s="3" t="s">
        <v>62</v>
      </c>
      <c r="M15" s="3" t="s">
        <v>70</v>
      </c>
      <c r="N15" s="15">
        <f>ROUND((IF(L15="Blaze Shield II",IF(M15="Idiem software",IF(AND(C15="IN",G15=4),((('BLAZE SHIELD II'!$D$4*('HOJA DE CÁLCULO RESPALDO'!I15^2)+'BLAZE SHIELD II'!$D$5*'HOJA DE CÁLCULO RESPALDO'!I15+'BLAZE SHIELD II'!$D$6)*LN(J15))+('BLAZE SHIELD II'!$D$7*('HOJA DE CÁLCULO RESPALDO'!I15^2)+'BLAZE SHIELD II'!$D$8*'HOJA DE CÁLCULO RESPALDO'!I15+'BLAZE SHIELD II'!$D$9)),0),0),0))+(IF(L15="Blaze Shield II",IF(M15="Idiem software",IF(C15="Cj",((('BLAZE SHIELD II'!$H$4*('HOJA DE CÁLCULO RESPALDO'!I15^2)+'BLAZE SHIELD II'!$H$5*'HOJA DE CÁLCULO RESPALDO'!I15+'BLAZE SHIELD II'!$H$6)*LN(J15))+('BLAZE SHIELD II'!$H$7*('HOJA DE CÁLCULO RESPALDO'!I15^2)+'BLAZE SHIELD II'!$H$8*'HOJA DE CÁLCULO RESPALDO'!I15+'BLAZE SHIELD II'!$H$9)),0),0),0))+(IF(L15="Blaze Shield II",IF(M15="Idiem software",IF(C15="C",((('BLAZE SHIELD II'!$L$4*('HOJA DE CÁLCULO RESPALDO'!I15^2)+'BLAZE SHIELD II'!$L$5*'HOJA DE CÁLCULO RESPALDO'!I15+'BLAZE SHIELD II'!$L$6)*LN(J15))+('BLAZE SHIELD II'!$L$7*('HOJA DE CÁLCULO RESPALDO'!I15^2)+'BLAZE SHIELD II'!$L$8*'HOJA DE CÁLCULO RESPALDO'!I15+'BLAZE SHIELD II'!$L$9)),0),0),0))+(IF(L15="Blaze Shield II",IF(M15="Idiem software",IF(AND(C15="IN",G15=3),((('BLAZE SHIELD II'!$H$14*('HOJA DE CÁLCULO RESPALDO'!I15^2)+'BLAZE SHIELD II'!$H$15*'HOJA DE CÁLCULO RESPALDO'!I15+'BLAZE SHIELD II'!$H$16)*LN(J15))+('BLAZE SHIELD II'!$H$17*('HOJA DE CÁLCULO RESPALDO'!I15^2)+'BLAZE SHIELD II'!$H$18*'HOJA DE CÁLCULO RESPALDO'!I15+'BLAZE SHIELD II'!$H$19)),0),0),0)),0)</f>
        <v>0</v>
      </c>
      <c r="O15" s="46">
        <f t="shared" si="4"/>
        <v>0</v>
      </c>
      <c r="P15" s="80">
        <f t="shared" si="1"/>
        <v>0</v>
      </c>
      <c r="Q15" s="85">
        <f>ROUND((IF(L15="Cafco 400",IF(M15="Idiem software",IF(AND(C15="IN",G15=4),((('CAFCO 400 '!$H$7*(J15^4)+'CAFCO 400 '!$H$8*(J15^3)+'CAFCO 400 '!$H$9*(J15^2)+'CAFCO 400 '!$H$10*J15+'CAFCO 400 '!$H$11)*I15^2)+(('CAFCO 400 '!$H$12*(J15^3)+'CAFCO 400 '!$H$13*(J15^2)+'CAFCO 400 '!$H$14*J15+'CAFCO 400 '!$H$15)*I15)+('CAFCO 400 '!$H$16*(J15^2)+'CAFCO 400 '!$H$17*J15+'CAFCO 400 '!$H$18)),0),0),0))+(IF(L15="Cafco 400",IF(M15="Idiem software",IF(C15="Cj",(((('CAFCO 400 '!$D$7*LN(J15)+'CAFCO 400 '!$D$8)*I15^2)+(('CAFCO 400 '!$D$9*LN(J15)+'CAFCO 400 '!$D$10)*I15)+('CAFCO 400 '!$D$11*LN(J15)+'CAFCO 400 '!$D$12))),0),0),0))+(IF(L15="Cafco 400",IF(M15="Idiem software",IF(C15="C",((('CAFCO 400 '!$L$7*(J15^3)+'CAFCO 400 '!$L$8*(J15^2)+'CAFCO 400 '!$L$9*J15+'CAFCO 400 '!$L$10)*I15^2)+(('CAFCO 400 '!$L$11*(J15^3)+'CAFCO 400 '!$L$12*(J15^2)+'CAFCO 400 '!$L$13*J15+'CAFCO 400 '!$L$14)*I15)+('CAFCO 400 '!$L$15*LN(J15)+'CAFCO 400 '!$L$16)),0),0),0))+(IF(L15="Cafco 400",IF(M15="Idiem software",IF(AND(C15="IN",G15=3),((('CAFCO 400 '!$D$23*(J15^2)+'CAFCO 400 '!$D$24*(J15)+'CAFCO 400 '!$D$25)*I15^2)+(('CAFCO 400 '!$D$26*(J15^2)+'CAFCO 400 '!$D$27*J15+'CAFCO 400 '!$D$28)*I15)+('CAFCO 400 '!$D$29*(J15^2)+'CAFCO 400 '!$D$30*J15+'CAFCO 400 '!$D$31)),0),0),0)),0)</f>
        <v>17</v>
      </c>
      <c r="R15" s="47">
        <f t="shared" si="5"/>
        <v>1.7714036956521737</v>
      </c>
      <c r="S15" s="82">
        <f t="shared" si="2"/>
        <v>28537.313536956517</v>
      </c>
      <c r="T15" s="81">
        <f>+IF(AND(J15&gt;=95,J15&lt;=240),IF(AND(C15="Cj",I15=90),VLOOKUP(W15,'CAFCO 300 IDIEM TABLAS'!$B$4:$D$23,2,FALSE),0)+IF(AND(J15&gt;=95,J15&lt;=240),IF(AND(C15="Cj",I15=120),VLOOKUP(W15,'CAFCO 300 IDIEM TABLAS'!$B$4:$D$23,3,FALSE),0))+IF(AND(J15&gt;=95,J15&lt;=400,G15=3),IF(AND(C15="IN",I15=90),VLOOKUP(W15,'CAFCO 300 IDIEM TABLAS'!$F$4:$H$35,2,FALSE),0),0)+IF(AND(J15&gt;=95,J15&lt;=400,G15=3),IF(AND(C15="IN",I15=120),VLOOKUP(W15,'CAFCO 300 IDIEM TABLAS'!$F$4:$H$35,3,FALSE),0),0)+IF(AND(J15&gt;=95,J15&lt;=450,G15=4),IF(AND(C15="IN",I15=90),VLOOKUP(W15,'CAFCO 300 IDIEM TABLAS'!$J$4:$L$40,2,FALSE),0),0)+IF(AND(J15&gt;=95,J15&lt;=450,G15=4),IF(AND(C15="IN",I15=120),VLOOKUP(W15,'CAFCO 300 IDIEM TABLAS'!$J$4:$L$40,3,FALSE),0),0))</f>
        <v>0</v>
      </c>
      <c r="U15" s="48">
        <f t="shared" si="6"/>
        <v>0</v>
      </c>
      <c r="V15" s="82">
        <f t="shared" si="3"/>
        <v>0</v>
      </c>
      <c r="W15" s="64">
        <f>+IF(J15=LOOKUP(J15,'CAFCO 300 IDIEM TABLAS'!$J$4:$J$40),'HOJA DE CÁLCULO RESPALDO'!J15,MROUND('HOJA DE CÁLCULO RESPALDO'!J15,10))</f>
        <v>95</v>
      </c>
      <c r="X15" s="36"/>
      <c r="Y15" s="4"/>
    </row>
    <row r="16" spans="1:25" ht="15.75" customHeight="1" thickBot="1" x14ac:dyDescent="0.3">
      <c r="A16" s="2" t="s">
        <v>33</v>
      </c>
      <c r="B16" s="42" t="s">
        <v>73</v>
      </c>
      <c r="C16" s="3" t="s">
        <v>19</v>
      </c>
      <c r="D16" s="3">
        <v>1</v>
      </c>
      <c r="E16" s="2">
        <v>1</v>
      </c>
      <c r="F16" s="8">
        <v>19050</v>
      </c>
      <c r="G16" s="1">
        <v>4</v>
      </c>
      <c r="H16" s="2">
        <v>1185</v>
      </c>
      <c r="I16" s="34">
        <v>5400</v>
      </c>
      <c r="J16" s="11">
        <v>95</v>
      </c>
      <c r="K16" s="44">
        <f t="shared" si="0"/>
        <v>22.574249999999999</v>
      </c>
      <c r="L16" s="3" t="s">
        <v>62</v>
      </c>
      <c r="M16" s="3" t="s">
        <v>70</v>
      </c>
      <c r="N16" s="15">
        <f>ROUND((IF(L16="Blaze Shield II",IF(M16="Idiem software",IF(AND(C16="IN",G16=4),((('BLAZE SHIELD II'!$D$4*('HOJA DE CÁLCULO RESPALDO'!I16^2)+'BLAZE SHIELD II'!$D$5*'HOJA DE CÁLCULO RESPALDO'!I16+'BLAZE SHIELD II'!$D$6)*LN(J16))+('BLAZE SHIELD II'!$D$7*('HOJA DE CÁLCULO RESPALDO'!I16^2)+'BLAZE SHIELD II'!$D$8*'HOJA DE CÁLCULO RESPALDO'!I16+'BLAZE SHIELD II'!$D$9)),0),0),0))+(IF(L16="Blaze Shield II",IF(M16="Idiem software",IF(C16="Cj",((('BLAZE SHIELD II'!$H$4*('HOJA DE CÁLCULO RESPALDO'!I16^2)+'BLAZE SHIELD II'!$H$5*'HOJA DE CÁLCULO RESPALDO'!I16+'BLAZE SHIELD II'!$H$6)*LN(J16))+('BLAZE SHIELD II'!$H$7*('HOJA DE CÁLCULO RESPALDO'!I16^2)+'BLAZE SHIELD II'!$H$8*'HOJA DE CÁLCULO RESPALDO'!I16+'BLAZE SHIELD II'!$H$9)),0),0),0))+(IF(L16="Blaze Shield II",IF(M16="Idiem software",IF(C16="C",((('BLAZE SHIELD II'!$L$4*('HOJA DE CÁLCULO RESPALDO'!I16^2)+'BLAZE SHIELD II'!$L$5*'HOJA DE CÁLCULO RESPALDO'!I16+'BLAZE SHIELD II'!$L$6)*LN(J16))+('BLAZE SHIELD II'!$L$7*('HOJA DE CÁLCULO RESPALDO'!I16^2)+'BLAZE SHIELD II'!$L$8*'HOJA DE CÁLCULO RESPALDO'!I16+'BLAZE SHIELD II'!$L$9)),0),0),0))+(IF(L16="Blaze Shield II",IF(M16="Idiem software",IF(AND(C16="IN",G16=3),((('BLAZE SHIELD II'!$H$14*('HOJA DE CÁLCULO RESPALDO'!I16^2)+'BLAZE SHIELD II'!$H$15*'HOJA DE CÁLCULO RESPALDO'!I16+'BLAZE SHIELD II'!$H$16)*LN(J16))+('BLAZE SHIELD II'!$H$17*('HOJA DE CÁLCULO RESPALDO'!I16^2)+'BLAZE SHIELD II'!$H$18*'HOJA DE CÁLCULO RESPALDO'!I16+'BLAZE SHIELD II'!$H$19)),0),0),0)),0)</f>
        <v>0</v>
      </c>
      <c r="O16" s="46">
        <f t="shared" si="4"/>
        <v>0</v>
      </c>
      <c r="P16" s="80">
        <f t="shared" si="1"/>
        <v>0</v>
      </c>
      <c r="Q16" s="85">
        <f>ROUND((IF(L16="Cafco 400",IF(M16="Idiem software",IF(AND(C16="IN",G16=4),((('CAFCO 400 '!$H$7*(J16^4)+'CAFCO 400 '!$H$8*(J16^3)+'CAFCO 400 '!$H$9*(J16^2)+'CAFCO 400 '!$H$10*J16+'CAFCO 400 '!$H$11)*I16^2)+(('CAFCO 400 '!$H$12*(J16^3)+'CAFCO 400 '!$H$13*(J16^2)+'CAFCO 400 '!$H$14*J16+'CAFCO 400 '!$H$15)*I16)+('CAFCO 400 '!$H$16*(J16^2)+'CAFCO 400 '!$H$17*J16+'CAFCO 400 '!$H$18)),0),0),0))+(IF(L16="Cafco 400",IF(M16="Idiem software",IF(C16="Cj",(((('CAFCO 400 '!$D$7*LN(J16)+'CAFCO 400 '!$D$8)*I16^2)+(('CAFCO 400 '!$D$9*LN(J16)+'CAFCO 400 '!$D$10)*I16)+('CAFCO 400 '!$D$11*LN(J16)+'CAFCO 400 '!$D$12))),0),0),0))+(IF(L16="Cafco 400",IF(M16="Idiem software",IF(C16="C",((('CAFCO 400 '!$L$7*(J16^3)+'CAFCO 400 '!$L$8*(J16^2)+'CAFCO 400 '!$L$9*J16+'CAFCO 400 '!$L$10)*I16^2)+(('CAFCO 400 '!$L$11*(J16^3)+'CAFCO 400 '!$L$12*(J16^2)+'CAFCO 400 '!$L$13*J16+'CAFCO 400 '!$L$14)*I16)+('CAFCO 400 '!$L$15*LN(J16)+'CAFCO 400 '!$L$16)),0),0),0))+(IF(L16="Cafco 400",IF(M16="Idiem software",IF(AND(C16="IN",G16=3),((('CAFCO 400 '!$D$23*(J16^2)+'CAFCO 400 '!$D$24*(J16)+'CAFCO 400 '!$D$25)*I16^2)+(('CAFCO 400 '!$D$26*(J16^2)+'CAFCO 400 '!$D$27*J16+'CAFCO 400 '!$D$28)*I16)+('CAFCO 400 '!$D$29*(J16^2)+'CAFCO 400 '!$D$30*J16+'CAFCO 400 '!$D$31)),0),0),0)),0)</f>
        <v>17</v>
      </c>
      <c r="R16" s="47">
        <f t="shared" si="5"/>
        <v>7.1746855434782608</v>
      </c>
      <c r="S16" s="82">
        <f t="shared" si="2"/>
        <v>115584.18410543478</v>
      </c>
      <c r="T16" s="81">
        <f>+IF(AND(J16&gt;=95,J16&lt;=240),IF(AND(C16="Cj",I16=90),VLOOKUP(W16,'CAFCO 300 IDIEM TABLAS'!$B$4:$D$23,2,FALSE),0)+IF(AND(J16&gt;=95,J16&lt;=240),IF(AND(C16="Cj",I16=120),VLOOKUP(W16,'CAFCO 300 IDIEM TABLAS'!$B$4:$D$23,3,FALSE),0))+IF(AND(J16&gt;=95,J16&lt;=400,G16=3),IF(AND(C16="IN",I16=90),VLOOKUP(W16,'CAFCO 300 IDIEM TABLAS'!$F$4:$H$35,2,FALSE),0),0)+IF(AND(J16&gt;=95,J16&lt;=400,G16=3),IF(AND(C16="IN",I16=120),VLOOKUP(W16,'CAFCO 300 IDIEM TABLAS'!$F$4:$H$35,3,FALSE),0),0)+IF(AND(J16&gt;=95,J16&lt;=450,G16=4),IF(AND(C16="IN",I16=90),VLOOKUP(W16,'CAFCO 300 IDIEM TABLAS'!$J$4:$L$40,2,FALSE),0),0)+IF(AND(J16&gt;=95,J16&lt;=450,G16=4),IF(AND(C16="IN",I16=120),VLOOKUP(W16,'CAFCO 300 IDIEM TABLAS'!$J$4:$L$40,3,FALSE),0),0))</f>
        <v>0</v>
      </c>
      <c r="U16" s="48">
        <f t="shared" si="6"/>
        <v>0</v>
      </c>
      <c r="V16" s="82">
        <f t="shared" si="3"/>
        <v>0</v>
      </c>
      <c r="W16" s="64">
        <f>+IF(J16=LOOKUP(J16,'CAFCO 300 IDIEM TABLAS'!$J$4:$J$40),'HOJA DE CÁLCULO RESPALDO'!J16,MROUND('HOJA DE CÁLCULO RESPALDO'!J16,10))</f>
        <v>95</v>
      </c>
      <c r="X16" s="36"/>
      <c r="Y16" s="4"/>
    </row>
    <row r="17" spans="1:25" ht="16.5" thickTop="1" x14ac:dyDescent="0.25">
      <c r="A17" s="2" t="s">
        <v>33</v>
      </c>
      <c r="B17" s="40" t="s">
        <v>73</v>
      </c>
      <c r="C17" s="3" t="s">
        <v>19</v>
      </c>
      <c r="D17" s="3">
        <v>1</v>
      </c>
      <c r="E17" s="2">
        <v>1</v>
      </c>
      <c r="F17" s="8">
        <v>4255</v>
      </c>
      <c r="G17" s="1">
        <v>4</v>
      </c>
      <c r="H17" s="2">
        <v>1185</v>
      </c>
      <c r="I17" s="34">
        <v>5400</v>
      </c>
      <c r="J17" s="11">
        <v>95</v>
      </c>
      <c r="K17" s="44">
        <f t="shared" si="0"/>
        <v>5.0421750000000003</v>
      </c>
      <c r="L17" s="3" t="s">
        <v>62</v>
      </c>
      <c r="M17" s="3" t="s">
        <v>70</v>
      </c>
      <c r="N17" s="15">
        <f>ROUND((IF(L17="Blaze Shield II",IF(M17="Idiem software",IF(AND(C17="IN",G17=4),((('BLAZE SHIELD II'!$D$4*('HOJA DE CÁLCULO RESPALDO'!I17^2)+'BLAZE SHIELD II'!$D$5*'HOJA DE CÁLCULO RESPALDO'!I17+'BLAZE SHIELD II'!$D$6)*LN(J17))+('BLAZE SHIELD II'!$D$7*('HOJA DE CÁLCULO RESPALDO'!I17^2)+'BLAZE SHIELD II'!$D$8*'HOJA DE CÁLCULO RESPALDO'!I17+'BLAZE SHIELD II'!$D$9)),0),0),0))+(IF(L17="Blaze Shield II",IF(M17="Idiem software",IF(C17="Cj",((('BLAZE SHIELD II'!$H$4*('HOJA DE CÁLCULO RESPALDO'!I17^2)+'BLAZE SHIELD II'!$H$5*'HOJA DE CÁLCULO RESPALDO'!I17+'BLAZE SHIELD II'!$H$6)*LN(J17))+('BLAZE SHIELD II'!$H$7*('HOJA DE CÁLCULO RESPALDO'!I17^2)+'BLAZE SHIELD II'!$H$8*'HOJA DE CÁLCULO RESPALDO'!I17+'BLAZE SHIELD II'!$H$9)),0),0),0))+(IF(L17="Blaze Shield II",IF(M17="Idiem software",IF(C17="C",((('BLAZE SHIELD II'!$L$4*('HOJA DE CÁLCULO RESPALDO'!I17^2)+'BLAZE SHIELD II'!$L$5*'HOJA DE CÁLCULO RESPALDO'!I17+'BLAZE SHIELD II'!$L$6)*LN(J17))+('BLAZE SHIELD II'!$L$7*('HOJA DE CÁLCULO RESPALDO'!I17^2)+'BLAZE SHIELD II'!$L$8*'HOJA DE CÁLCULO RESPALDO'!I17+'BLAZE SHIELD II'!$L$9)),0),0),0))+(IF(L17="Blaze Shield II",IF(M17="Idiem software",IF(AND(C17="IN",G17=3),((('BLAZE SHIELD II'!$H$14*('HOJA DE CÁLCULO RESPALDO'!I17^2)+'BLAZE SHIELD II'!$H$15*'HOJA DE CÁLCULO RESPALDO'!I17+'BLAZE SHIELD II'!$H$16)*LN(J17))+('BLAZE SHIELD II'!$H$17*('HOJA DE CÁLCULO RESPALDO'!I17^2)+'BLAZE SHIELD II'!$H$18*'HOJA DE CÁLCULO RESPALDO'!I17+'BLAZE SHIELD II'!$H$19)),0),0),0)),0)</f>
        <v>0</v>
      </c>
      <c r="O17" s="46">
        <f t="shared" si="4"/>
        <v>0</v>
      </c>
      <c r="P17" s="80">
        <f t="shared" si="1"/>
        <v>0</v>
      </c>
      <c r="Q17" s="85">
        <f>ROUND((IF(L17="Cafco 400",IF(M17="Idiem software",IF(AND(C17="IN",G17=4),((('CAFCO 400 '!$H$7*(J17^4)+'CAFCO 400 '!$H$8*(J17^3)+'CAFCO 400 '!$H$9*(J17^2)+'CAFCO 400 '!$H$10*J17+'CAFCO 400 '!$H$11)*I17^2)+(('CAFCO 400 '!$H$12*(J17^3)+'CAFCO 400 '!$H$13*(J17^2)+'CAFCO 400 '!$H$14*J17+'CAFCO 400 '!$H$15)*I17)+('CAFCO 400 '!$H$16*(J17^2)+'CAFCO 400 '!$H$17*J17+'CAFCO 400 '!$H$18)),0),0),0))+(IF(L17="Cafco 400",IF(M17="Idiem software",IF(C17="Cj",(((('CAFCO 400 '!$D$7*LN(J17)+'CAFCO 400 '!$D$8)*I17^2)+(('CAFCO 400 '!$D$9*LN(J17)+'CAFCO 400 '!$D$10)*I17)+('CAFCO 400 '!$D$11*LN(J17)+'CAFCO 400 '!$D$12))),0),0),0))+(IF(L17="Cafco 400",IF(M17="Idiem software",IF(C17="C",((('CAFCO 400 '!$L$7*(J17^3)+'CAFCO 400 '!$L$8*(J17^2)+'CAFCO 400 '!$L$9*J17+'CAFCO 400 '!$L$10)*I17^2)+(('CAFCO 400 '!$L$11*(J17^3)+'CAFCO 400 '!$L$12*(J17^2)+'CAFCO 400 '!$L$13*J17+'CAFCO 400 '!$L$14)*I17)+('CAFCO 400 '!$L$15*LN(J17)+'CAFCO 400 '!$L$16)),0),0),0))+(IF(L17="Cafco 400",IF(M17="Idiem software",IF(AND(C17="IN",G17=3),((('CAFCO 400 '!$D$23*(J17^2)+'CAFCO 400 '!$D$24*(J17)+'CAFCO 400 '!$D$25)*I17^2)+(('CAFCO 400 '!$D$26*(J17^2)+'CAFCO 400 '!$D$27*J17+'CAFCO 400 '!$D$28)*I17)+('CAFCO 400 '!$D$29*(J17^2)+'CAFCO 400 '!$D$30*J17+'CAFCO 400 '!$D$31)),0),0),0)),0)</f>
        <v>17</v>
      </c>
      <c r="R17" s="47">
        <f t="shared" si="5"/>
        <v>1.60253475</v>
      </c>
      <c r="S17" s="82">
        <f t="shared" si="2"/>
        <v>25816.834822500001</v>
      </c>
      <c r="T17" s="81">
        <f>+IF(AND(J17&gt;=95,J17&lt;=240),IF(AND(C17="Cj",I17=90),VLOOKUP(W17,'CAFCO 300 IDIEM TABLAS'!$B$4:$D$23,2,FALSE),0)+IF(AND(J17&gt;=95,J17&lt;=240),IF(AND(C17="Cj",I17=120),VLOOKUP(W17,'CAFCO 300 IDIEM TABLAS'!$B$4:$D$23,3,FALSE),0))+IF(AND(J17&gt;=95,J17&lt;=400,G17=3),IF(AND(C17="IN",I17=90),VLOOKUP(W17,'CAFCO 300 IDIEM TABLAS'!$F$4:$H$35,2,FALSE),0),0)+IF(AND(J17&gt;=95,J17&lt;=400,G17=3),IF(AND(C17="IN",I17=120),VLOOKUP(W17,'CAFCO 300 IDIEM TABLAS'!$F$4:$H$35,3,FALSE),0),0)+IF(AND(J17&gt;=95,J17&lt;=450,G17=4),IF(AND(C17="IN",I17=90),VLOOKUP(W17,'CAFCO 300 IDIEM TABLAS'!$J$4:$L$40,2,FALSE),0),0)+IF(AND(J17&gt;=95,J17&lt;=450,G17=4),IF(AND(C17="IN",I17=120),VLOOKUP(W17,'CAFCO 300 IDIEM TABLAS'!$J$4:$L$40,3,FALSE),0),0))</f>
        <v>0</v>
      </c>
      <c r="U17" s="48">
        <f t="shared" si="6"/>
        <v>0</v>
      </c>
      <c r="V17" s="82">
        <f t="shared" si="3"/>
        <v>0</v>
      </c>
      <c r="W17" s="64">
        <f>+IF(J17=LOOKUP(J17,'CAFCO 300 IDIEM TABLAS'!$J$4:$J$40),'HOJA DE CÁLCULO RESPALDO'!J17,MROUND('HOJA DE CÁLCULO RESPALDO'!J17,10))</f>
        <v>95</v>
      </c>
      <c r="X17" s="36"/>
      <c r="Y17" s="4"/>
    </row>
    <row r="18" spans="1:25" ht="15.6" customHeight="1" thickBot="1" x14ac:dyDescent="0.3">
      <c r="A18" s="2" t="s">
        <v>33</v>
      </c>
      <c r="B18" s="43" t="s">
        <v>73</v>
      </c>
      <c r="C18" s="3" t="s">
        <v>19</v>
      </c>
      <c r="D18" s="3">
        <v>1</v>
      </c>
      <c r="E18" s="2">
        <v>1</v>
      </c>
      <c r="F18" s="8">
        <v>89250</v>
      </c>
      <c r="G18" s="1">
        <v>4</v>
      </c>
      <c r="H18" s="2">
        <v>1190</v>
      </c>
      <c r="I18" s="34">
        <v>5400</v>
      </c>
      <c r="J18" s="11">
        <v>95</v>
      </c>
      <c r="K18" s="44">
        <f t="shared" si="0"/>
        <v>106.2075</v>
      </c>
      <c r="L18" s="3" t="s">
        <v>62</v>
      </c>
      <c r="M18" s="3" t="s">
        <v>70</v>
      </c>
      <c r="N18" s="15">
        <f>ROUND((IF(L18="Blaze Shield II",IF(M18="Idiem software",IF(AND(C18="IN",G18=4),((('BLAZE SHIELD II'!$D$4*('HOJA DE CÁLCULO RESPALDO'!I18^2)+'BLAZE SHIELD II'!$D$5*'HOJA DE CÁLCULO RESPALDO'!I18+'BLAZE SHIELD II'!$D$6)*LN(J18))+('BLAZE SHIELD II'!$D$7*('HOJA DE CÁLCULO RESPALDO'!I18^2)+'BLAZE SHIELD II'!$D$8*'HOJA DE CÁLCULO RESPALDO'!I18+'BLAZE SHIELD II'!$D$9)),0),0),0))+(IF(L18="Blaze Shield II",IF(M18="Idiem software",IF(C18="Cj",((('BLAZE SHIELD II'!$H$4*('HOJA DE CÁLCULO RESPALDO'!I18^2)+'BLAZE SHIELD II'!$H$5*'HOJA DE CÁLCULO RESPALDO'!I18+'BLAZE SHIELD II'!$H$6)*LN(J18))+('BLAZE SHIELD II'!$H$7*('HOJA DE CÁLCULO RESPALDO'!I18^2)+'BLAZE SHIELD II'!$H$8*'HOJA DE CÁLCULO RESPALDO'!I18+'BLAZE SHIELD II'!$H$9)),0),0),0))+(IF(L18="Blaze Shield II",IF(M18="Idiem software",IF(C18="C",((('BLAZE SHIELD II'!$L$4*('HOJA DE CÁLCULO RESPALDO'!I18^2)+'BLAZE SHIELD II'!$L$5*'HOJA DE CÁLCULO RESPALDO'!I18+'BLAZE SHIELD II'!$L$6)*LN(J18))+('BLAZE SHIELD II'!$L$7*('HOJA DE CÁLCULO RESPALDO'!I18^2)+'BLAZE SHIELD II'!$L$8*'HOJA DE CÁLCULO RESPALDO'!I18+'BLAZE SHIELD II'!$L$9)),0),0),0))+(IF(L18="Blaze Shield II",IF(M18="Idiem software",IF(AND(C18="IN",G18=3),((('BLAZE SHIELD II'!$H$14*('HOJA DE CÁLCULO RESPALDO'!I18^2)+'BLAZE SHIELD II'!$H$15*'HOJA DE CÁLCULO RESPALDO'!I18+'BLAZE SHIELD II'!$H$16)*LN(J18))+('BLAZE SHIELD II'!$H$17*('HOJA DE CÁLCULO RESPALDO'!I18^2)+'BLAZE SHIELD II'!$H$18*'HOJA DE CÁLCULO RESPALDO'!I18+'BLAZE SHIELD II'!$H$19)),0),0),0)),0)</f>
        <v>0</v>
      </c>
      <c r="O18" s="46">
        <f t="shared" si="4"/>
        <v>0</v>
      </c>
      <c r="P18" s="80">
        <f t="shared" si="1"/>
        <v>0</v>
      </c>
      <c r="Q18" s="85">
        <f>ROUND((IF(L18="Cafco 400",IF(M18="Idiem software",IF(AND(C18="IN",G18=4),((('CAFCO 400 '!$H$7*(J18^4)+'CAFCO 400 '!$H$8*(J18^3)+'CAFCO 400 '!$H$9*(J18^2)+'CAFCO 400 '!$H$10*J18+'CAFCO 400 '!$H$11)*I18^2)+(('CAFCO 400 '!$H$12*(J18^3)+'CAFCO 400 '!$H$13*(J18^2)+'CAFCO 400 '!$H$14*J18+'CAFCO 400 '!$H$15)*I18)+('CAFCO 400 '!$H$16*(J18^2)+'CAFCO 400 '!$H$17*J18+'CAFCO 400 '!$H$18)),0),0),0))+(IF(L18="Cafco 400",IF(M18="Idiem software",IF(C18="Cj",(((('CAFCO 400 '!$D$7*LN(J18)+'CAFCO 400 '!$D$8)*I18^2)+(('CAFCO 400 '!$D$9*LN(J18)+'CAFCO 400 '!$D$10)*I18)+('CAFCO 400 '!$D$11*LN(J18)+'CAFCO 400 '!$D$12))),0),0),0))+(IF(L18="Cafco 400",IF(M18="Idiem software",IF(C18="C",((('CAFCO 400 '!$L$7*(J18^3)+'CAFCO 400 '!$L$8*(J18^2)+'CAFCO 400 '!$L$9*J18+'CAFCO 400 '!$L$10)*I18^2)+(('CAFCO 400 '!$L$11*(J18^3)+'CAFCO 400 '!$L$12*(J18^2)+'CAFCO 400 '!$L$13*J18+'CAFCO 400 '!$L$14)*I18)+('CAFCO 400 '!$L$15*LN(J18)+'CAFCO 400 '!$L$16)),0),0),0))+(IF(L18="Cafco 400",IF(M18="Idiem software",IF(AND(C18="IN",G18=3),((('CAFCO 400 '!$D$23*(J18^2)+'CAFCO 400 '!$D$24*(J18)+'CAFCO 400 '!$D$25)*I18^2)+(('CAFCO 400 '!$D$26*(J18^2)+'CAFCO 400 '!$D$27*J18+'CAFCO 400 '!$D$28)*I18)+('CAFCO 400 '!$D$29*(J18^2)+'CAFCO 400 '!$D$30*J18+'CAFCO 400 '!$D$31)),0),0),0)),0)</f>
        <v>17</v>
      </c>
      <c r="R18" s="47">
        <f t="shared" si="5"/>
        <v>33.755514130434783</v>
      </c>
      <c r="S18" s="82">
        <f t="shared" si="2"/>
        <v>543801.33264130435</v>
      </c>
      <c r="T18" s="81">
        <f>+IF(AND(J18&gt;=95,J18&lt;=240),IF(AND(C18="Cj",I18=90),VLOOKUP(W18,'CAFCO 300 IDIEM TABLAS'!$B$4:$D$23,2,FALSE),0)+IF(AND(J18&gt;=95,J18&lt;=240),IF(AND(C18="Cj",I18=120),VLOOKUP(W18,'CAFCO 300 IDIEM TABLAS'!$B$4:$D$23,3,FALSE),0))+IF(AND(J18&gt;=95,J18&lt;=400,G18=3),IF(AND(C18="IN",I18=90),VLOOKUP(W18,'CAFCO 300 IDIEM TABLAS'!$F$4:$H$35,2,FALSE),0),0)+IF(AND(J18&gt;=95,J18&lt;=400,G18=3),IF(AND(C18="IN",I18=120),VLOOKUP(W18,'CAFCO 300 IDIEM TABLAS'!$F$4:$H$35,3,FALSE),0),0)+IF(AND(J18&gt;=95,J18&lt;=450,G18=4),IF(AND(C18="IN",I18=90),VLOOKUP(W18,'CAFCO 300 IDIEM TABLAS'!$J$4:$L$40,2,FALSE),0),0)+IF(AND(J18&gt;=95,J18&lt;=450,G18=4),IF(AND(C18="IN",I18=120),VLOOKUP(W18,'CAFCO 300 IDIEM TABLAS'!$J$4:$L$40,3,FALSE),0),0))</f>
        <v>0</v>
      </c>
      <c r="U18" s="48">
        <f t="shared" si="6"/>
        <v>0</v>
      </c>
      <c r="V18" s="82">
        <f t="shared" si="3"/>
        <v>0</v>
      </c>
      <c r="W18" s="64">
        <f>+IF(J18=LOOKUP(J18,'CAFCO 300 IDIEM TABLAS'!$J$4:$J$40),'HOJA DE CÁLCULO RESPALDO'!J18,MROUND('HOJA DE CÁLCULO RESPALDO'!J18,10))</f>
        <v>95</v>
      </c>
      <c r="X18" s="36"/>
      <c r="Y18" s="4"/>
    </row>
    <row r="19" spans="1:25" ht="16.5" thickTop="1" x14ac:dyDescent="0.25">
      <c r="A19" s="2" t="s">
        <v>33</v>
      </c>
      <c r="B19" s="40" t="s">
        <v>74</v>
      </c>
      <c r="C19" s="3" t="s">
        <v>19</v>
      </c>
      <c r="D19" s="3">
        <v>1</v>
      </c>
      <c r="E19" s="2">
        <v>1</v>
      </c>
      <c r="F19" s="8">
        <v>13000</v>
      </c>
      <c r="G19" s="1">
        <v>4</v>
      </c>
      <c r="H19" s="2">
        <v>1181</v>
      </c>
      <c r="I19" s="34">
        <v>90</v>
      </c>
      <c r="J19" s="11">
        <v>95</v>
      </c>
      <c r="K19" s="44">
        <f t="shared" si="0"/>
        <v>15.353</v>
      </c>
      <c r="L19" s="3" t="s">
        <v>61</v>
      </c>
      <c r="M19" s="3" t="s">
        <v>70</v>
      </c>
      <c r="N19" s="15">
        <f>ROUND((IF(L19="Blaze Shield II",IF(M19="Idiem software",IF(AND(C19="IN",G19=4),((('BLAZE SHIELD II'!$D$4*('HOJA DE CÁLCULO RESPALDO'!I19^2)+'BLAZE SHIELD II'!$D$5*'HOJA DE CÁLCULO RESPALDO'!I19+'BLAZE SHIELD II'!$D$6)*LN(J19))+('BLAZE SHIELD II'!$D$7*('HOJA DE CÁLCULO RESPALDO'!I19^2)+'BLAZE SHIELD II'!$D$8*'HOJA DE CÁLCULO RESPALDO'!I19+'BLAZE SHIELD II'!$D$9)),0),0),0))+(IF(L19="Blaze Shield II",IF(M19="Idiem software",IF(C19="Cj",((('BLAZE SHIELD II'!$H$4*('HOJA DE CÁLCULO RESPALDO'!I19^2)+'BLAZE SHIELD II'!$H$5*'HOJA DE CÁLCULO RESPALDO'!I19+'BLAZE SHIELD II'!$H$6)*LN(J19))+('BLAZE SHIELD II'!$H$7*('HOJA DE CÁLCULO RESPALDO'!I19^2)+'BLAZE SHIELD II'!$H$8*'HOJA DE CÁLCULO RESPALDO'!I19+'BLAZE SHIELD II'!$H$9)),0),0),0))+(IF(L19="Blaze Shield II",IF(M19="Idiem software",IF(C19="C",((('BLAZE SHIELD II'!$L$4*('HOJA DE CÁLCULO RESPALDO'!I19^2)+'BLAZE SHIELD II'!$L$5*'HOJA DE CÁLCULO RESPALDO'!I19+'BLAZE SHIELD II'!$L$6)*LN(J19))+('BLAZE SHIELD II'!$L$7*('HOJA DE CÁLCULO RESPALDO'!I19^2)+'BLAZE SHIELD II'!$L$8*'HOJA DE CÁLCULO RESPALDO'!I19+'BLAZE SHIELD II'!$L$9)),0),0),0))+(IF(L19="Blaze Shield II",IF(M19="Idiem software",IF(AND(C19="IN",G19=3),((('BLAZE SHIELD II'!$H$14*('HOJA DE CÁLCULO RESPALDO'!I19^2)+'BLAZE SHIELD II'!$H$15*'HOJA DE CÁLCULO RESPALDO'!I19+'BLAZE SHIELD II'!$H$16)*LN(J19))+('BLAZE SHIELD II'!$H$17*('HOJA DE CÁLCULO RESPALDO'!I19^2)+'BLAZE SHIELD II'!$H$18*'HOJA DE CÁLCULO RESPALDO'!I19+'BLAZE SHIELD II'!$H$19)),0),0),0)),0)</f>
        <v>0</v>
      </c>
      <c r="O19" s="46">
        <f t="shared" si="4"/>
        <v>0</v>
      </c>
      <c r="P19" s="80">
        <f t="shared" si="1"/>
        <v>0</v>
      </c>
      <c r="Q19" s="85">
        <f>ROUND((IF(L19="Cafco 400",IF(M19="Idiem software",IF(AND(C19="IN",G19=4),((('CAFCO 400 '!$H$7*(J19^4)+'CAFCO 400 '!$H$8*(J19^3)+'CAFCO 400 '!$H$9*(J19^2)+'CAFCO 400 '!$H$10*J19+'CAFCO 400 '!$H$11)*I19^2)+(('CAFCO 400 '!$H$12*(J19^3)+'CAFCO 400 '!$H$13*(J19^2)+'CAFCO 400 '!$H$14*J19+'CAFCO 400 '!$H$15)*I19)+('CAFCO 400 '!$H$16*(J19^2)+'CAFCO 400 '!$H$17*J19+'CAFCO 400 '!$H$18)),0),0),0))+(IF(L19="Cafco 400",IF(M19="Idiem software",IF(C19="Cj",(((('CAFCO 400 '!$D$7*LN(J19)+'CAFCO 400 '!$D$8)*I19^2)+(('CAFCO 400 '!$D$9*LN(J19)+'CAFCO 400 '!$D$10)*I19)+('CAFCO 400 '!$D$11*LN(J19)+'CAFCO 400 '!$D$12))),0),0),0))+(IF(L19="Cafco 400",IF(M19="Idiem software",IF(C19="C",((('CAFCO 400 '!$L$7*(J19^3)+'CAFCO 400 '!$L$8*(J19^2)+'CAFCO 400 '!$L$9*J19+'CAFCO 400 '!$L$10)*I19^2)+(('CAFCO 400 '!$L$11*(J19^3)+'CAFCO 400 '!$L$12*(J19^2)+'CAFCO 400 '!$L$13*J19+'CAFCO 400 '!$L$14)*I19)+('CAFCO 400 '!$L$15*LN(J19)+'CAFCO 400 '!$L$16)),0),0),0))+(IF(L19="Cafco 400",IF(M19="Idiem software",IF(AND(C19="IN",G19=3),((('CAFCO 400 '!$D$23*(J19^2)+'CAFCO 400 '!$D$24*(J19)+'CAFCO 400 '!$D$25)*I19^2)+(('CAFCO 400 '!$D$26*(J19^2)+'CAFCO 400 '!$D$27*J19+'CAFCO 400 '!$D$28)*I19)+('CAFCO 400 '!$D$29*(J19^2)+'CAFCO 400 '!$D$30*J19+'CAFCO 400 '!$D$31)),0),0),0)),0)</f>
        <v>0</v>
      </c>
      <c r="R19" s="47">
        <f t="shared" si="5"/>
        <v>0</v>
      </c>
      <c r="S19" s="82">
        <f t="shared" si="2"/>
        <v>0</v>
      </c>
      <c r="T19" s="81">
        <f>+IF(AND(J19&gt;=95,J19&lt;=240),IF(AND(C19="Cj",I19=90),VLOOKUP(W19,'CAFCO 300 IDIEM TABLAS'!$B$4:$D$23,2,FALSE),0)+IF(AND(J19&gt;=95,J19&lt;=240),IF(AND(C19="Cj",I19=120),VLOOKUP(W19,'CAFCO 300 IDIEM TABLAS'!$B$4:$D$23,3,FALSE),0))+IF(AND(J19&gt;=95,J19&lt;=400,G19=3),IF(AND(C19="IN",I19=90),VLOOKUP(W19,'CAFCO 300 IDIEM TABLAS'!$F$4:$H$35,2,FALSE),0),0)+IF(AND(J19&gt;=95,J19&lt;=400,G19=3),IF(AND(C19="IN",I19=120),VLOOKUP(W19,'CAFCO 300 IDIEM TABLAS'!$F$4:$H$35,3,FALSE),0),0)+IF(AND(J19&gt;=95,J19&lt;=450,G19=4),IF(AND(C19="IN",I19=90),VLOOKUP(W19,'CAFCO 300 IDIEM TABLAS'!$J$4:$L$40,2,FALSE),0),0)+IF(AND(J19&gt;=95,J19&lt;=450,G19=4),IF(AND(C19="IN",I19=120),VLOOKUP(W19,'CAFCO 300 IDIEM TABLAS'!$J$4:$L$40,3,FALSE),0),0))</f>
        <v>17</v>
      </c>
      <c r="U19" s="48">
        <f t="shared" si="6"/>
        <v>3.6017467907573808</v>
      </c>
      <c r="V19" s="82">
        <f t="shared" si="3"/>
        <v>54076.626316431313</v>
      </c>
      <c r="W19" s="64">
        <f>+IF(J19=LOOKUP(J19,'CAFCO 300 IDIEM TABLAS'!$J$4:$J$40),'HOJA DE CÁLCULO RESPALDO'!J19,MROUND('HOJA DE CÁLCULO RESPALDO'!J19,10))</f>
        <v>95</v>
      </c>
      <c r="X19" s="36"/>
      <c r="Y19" s="4"/>
    </row>
    <row r="20" spans="1:25" ht="15.6" customHeight="1" x14ac:dyDescent="0.25">
      <c r="A20" s="2" t="s">
        <v>33</v>
      </c>
      <c r="B20" s="41" t="s">
        <v>75</v>
      </c>
      <c r="C20" s="3" t="s">
        <v>19</v>
      </c>
      <c r="D20" s="3">
        <v>1</v>
      </c>
      <c r="E20" s="2">
        <v>1</v>
      </c>
      <c r="F20" s="8">
        <v>4250</v>
      </c>
      <c r="G20" s="1">
        <v>4</v>
      </c>
      <c r="H20" s="2">
        <v>1181</v>
      </c>
      <c r="I20" s="34">
        <v>90</v>
      </c>
      <c r="J20" s="11">
        <v>95</v>
      </c>
      <c r="K20" s="44">
        <f t="shared" si="0"/>
        <v>5.0192500000000004</v>
      </c>
      <c r="L20" s="3" t="s">
        <v>61</v>
      </c>
      <c r="M20" s="3" t="s">
        <v>70</v>
      </c>
      <c r="N20" s="15">
        <f>ROUND((IF(L20="Blaze Shield II",IF(M20="Idiem software",IF(AND(C20="IN",G20=4),((('BLAZE SHIELD II'!$D$4*('HOJA DE CÁLCULO RESPALDO'!I20^2)+'BLAZE SHIELD II'!$D$5*'HOJA DE CÁLCULO RESPALDO'!I20+'BLAZE SHIELD II'!$D$6)*LN(J20))+('BLAZE SHIELD II'!$D$7*('HOJA DE CÁLCULO RESPALDO'!I20^2)+'BLAZE SHIELD II'!$D$8*'HOJA DE CÁLCULO RESPALDO'!I20+'BLAZE SHIELD II'!$D$9)),0),0),0))+(IF(L20="Blaze Shield II",IF(M20="Idiem software",IF(C20="Cj",((('BLAZE SHIELD II'!$H$4*('HOJA DE CÁLCULO RESPALDO'!I20^2)+'BLAZE SHIELD II'!$H$5*'HOJA DE CÁLCULO RESPALDO'!I20+'BLAZE SHIELD II'!$H$6)*LN(J20))+('BLAZE SHIELD II'!$H$7*('HOJA DE CÁLCULO RESPALDO'!I20^2)+'BLAZE SHIELD II'!$H$8*'HOJA DE CÁLCULO RESPALDO'!I20+'BLAZE SHIELD II'!$H$9)),0),0),0))+(IF(L20="Blaze Shield II",IF(M20="Idiem software",IF(C20="C",((('BLAZE SHIELD II'!$L$4*('HOJA DE CÁLCULO RESPALDO'!I20^2)+'BLAZE SHIELD II'!$L$5*'HOJA DE CÁLCULO RESPALDO'!I20+'BLAZE SHIELD II'!$L$6)*LN(J20))+('BLAZE SHIELD II'!$L$7*('HOJA DE CÁLCULO RESPALDO'!I20^2)+'BLAZE SHIELD II'!$L$8*'HOJA DE CÁLCULO RESPALDO'!I20+'BLAZE SHIELD II'!$L$9)),0),0),0))+(IF(L20="Blaze Shield II",IF(M20="Idiem software",IF(AND(C20="IN",G20=3),((('BLAZE SHIELD II'!$H$14*('HOJA DE CÁLCULO RESPALDO'!I20^2)+'BLAZE SHIELD II'!$H$15*'HOJA DE CÁLCULO RESPALDO'!I20+'BLAZE SHIELD II'!$H$16)*LN(J20))+('BLAZE SHIELD II'!$H$17*('HOJA DE CÁLCULO RESPALDO'!I20^2)+'BLAZE SHIELD II'!$H$18*'HOJA DE CÁLCULO RESPALDO'!I20+'BLAZE SHIELD II'!$H$19)),0),0),0)),0)</f>
        <v>0</v>
      </c>
      <c r="O20" s="46">
        <f t="shared" si="4"/>
        <v>0</v>
      </c>
      <c r="P20" s="80">
        <f t="shared" si="1"/>
        <v>0</v>
      </c>
      <c r="Q20" s="85">
        <f>ROUND((IF(L20="Cafco 400",IF(M20="Idiem software",IF(AND(C20="IN",G20=4),((('CAFCO 400 '!$H$7*(J20^4)+'CAFCO 400 '!$H$8*(J20^3)+'CAFCO 400 '!$H$9*(J20^2)+'CAFCO 400 '!$H$10*J20+'CAFCO 400 '!$H$11)*I20^2)+(('CAFCO 400 '!$H$12*(J20^3)+'CAFCO 400 '!$H$13*(J20^2)+'CAFCO 400 '!$H$14*J20+'CAFCO 400 '!$H$15)*I20)+('CAFCO 400 '!$H$16*(J20^2)+'CAFCO 400 '!$H$17*J20+'CAFCO 400 '!$H$18)),0),0),0))+(IF(L20="Cafco 400",IF(M20="Idiem software",IF(C20="Cj",(((('CAFCO 400 '!$D$7*LN(J20)+'CAFCO 400 '!$D$8)*I20^2)+(('CAFCO 400 '!$D$9*LN(J20)+'CAFCO 400 '!$D$10)*I20)+('CAFCO 400 '!$D$11*LN(J20)+'CAFCO 400 '!$D$12))),0),0),0))+(IF(L20="Cafco 400",IF(M20="Idiem software",IF(C20="C",((('CAFCO 400 '!$L$7*(J20^3)+'CAFCO 400 '!$L$8*(J20^2)+'CAFCO 400 '!$L$9*J20+'CAFCO 400 '!$L$10)*I20^2)+(('CAFCO 400 '!$L$11*(J20^3)+'CAFCO 400 '!$L$12*(J20^2)+'CAFCO 400 '!$L$13*J20+'CAFCO 400 '!$L$14)*I20)+('CAFCO 400 '!$L$15*LN(J20)+'CAFCO 400 '!$L$16)),0),0),0))+(IF(L20="Cafco 400",IF(M20="Idiem software",IF(AND(C20="IN",G20=3),((('CAFCO 400 '!$D$23*(J20^2)+'CAFCO 400 '!$D$24*(J20)+'CAFCO 400 '!$D$25)*I20^2)+(('CAFCO 400 '!$D$26*(J20^2)+'CAFCO 400 '!$D$27*J20+'CAFCO 400 '!$D$28)*I20)+('CAFCO 400 '!$D$29*(J20^2)+'CAFCO 400 '!$D$30*J20+'CAFCO 400 '!$D$31)),0),0),0)),0)</f>
        <v>0</v>
      </c>
      <c r="R20" s="47">
        <f t="shared" si="5"/>
        <v>0</v>
      </c>
      <c r="S20" s="82">
        <f t="shared" si="2"/>
        <v>0</v>
      </c>
      <c r="T20" s="81">
        <f>+IF(AND(J20&gt;=95,J20&lt;=240),IF(AND(C20="Cj",I20=90),VLOOKUP(W20,'CAFCO 300 IDIEM TABLAS'!$B$4:$D$23,2,FALSE),0)+IF(AND(J20&gt;=95,J20&lt;=240),IF(AND(C20="Cj",I20=120),VLOOKUP(W20,'CAFCO 300 IDIEM TABLAS'!$B$4:$D$23,3,FALSE),0))+IF(AND(J20&gt;=95,J20&lt;=400,G20=3),IF(AND(C20="IN",I20=90),VLOOKUP(W20,'CAFCO 300 IDIEM TABLAS'!$F$4:$H$35,2,FALSE),0),0)+IF(AND(J20&gt;=95,J20&lt;=400,G20=3),IF(AND(C20="IN",I20=120),VLOOKUP(W20,'CAFCO 300 IDIEM TABLAS'!$F$4:$H$35,3,FALSE),0),0)+IF(AND(J20&gt;=95,J20&lt;=450,G20=4),IF(AND(C20="IN",I20=90),VLOOKUP(W20,'CAFCO 300 IDIEM TABLAS'!$J$4:$L$40,2,FALSE),0),0)+IF(AND(J20&gt;=95,J20&lt;=450,G20=4),IF(AND(C20="IN",I20=120),VLOOKUP(W20,'CAFCO 300 IDIEM TABLAS'!$J$4:$L$40,3,FALSE),0),0))</f>
        <v>17</v>
      </c>
      <c r="U20" s="48">
        <f t="shared" si="6"/>
        <v>1.177494143132221</v>
      </c>
      <c r="V20" s="82">
        <f t="shared" si="3"/>
        <v>17678.897064987166</v>
      </c>
      <c r="W20" s="64">
        <f>+IF(J20=LOOKUP(J20,'CAFCO 300 IDIEM TABLAS'!$J$4:$J$40),'HOJA DE CÁLCULO RESPALDO'!J20,MROUND('HOJA DE CÁLCULO RESPALDO'!J20,10))</f>
        <v>95</v>
      </c>
      <c r="X20" s="36"/>
      <c r="Y20" s="4"/>
    </row>
    <row r="21" spans="1:25" x14ac:dyDescent="0.25">
      <c r="A21" s="2" t="s">
        <v>33</v>
      </c>
      <c r="B21" s="3" t="s">
        <v>17</v>
      </c>
      <c r="C21" s="3" t="s">
        <v>19</v>
      </c>
      <c r="D21" s="3">
        <v>1</v>
      </c>
      <c r="E21" s="2">
        <v>1</v>
      </c>
      <c r="F21" s="8">
        <v>8500</v>
      </c>
      <c r="G21" s="1">
        <v>4</v>
      </c>
      <c r="H21" s="2">
        <v>1181</v>
      </c>
      <c r="I21" s="34">
        <v>90</v>
      </c>
      <c r="J21" s="11">
        <v>95</v>
      </c>
      <c r="K21" s="44">
        <f t="shared" si="0"/>
        <v>10.038500000000001</v>
      </c>
      <c r="L21" s="3" t="s">
        <v>61</v>
      </c>
      <c r="M21" s="3" t="s">
        <v>70</v>
      </c>
      <c r="N21" s="15">
        <f>ROUND((IF(L21="Blaze Shield II",IF(M21="Idiem software",IF(AND(C21="IN",G21=4),((('BLAZE SHIELD II'!$D$4*('HOJA DE CÁLCULO RESPALDO'!I21^2)+'BLAZE SHIELD II'!$D$5*'HOJA DE CÁLCULO RESPALDO'!I21+'BLAZE SHIELD II'!$D$6)*LN(J21))+('BLAZE SHIELD II'!$D$7*('HOJA DE CÁLCULO RESPALDO'!I21^2)+'BLAZE SHIELD II'!$D$8*'HOJA DE CÁLCULO RESPALDO'!I21+'BLAZE SHIELD II'!$D$9)),0),0),0))+(IF(L21="Blaze Shield II",IF(M21="Idiem software",IF(C21="Cj",((('BLAZE SHIELD II'!$H$4*('HOJA DE CÁLCULO RESPALDO'!I21^2)+'BLAZE SHIELD II'!$H$5*'HOJA DE CÁLCULO RESPALDO'!I21+'BLAZE SHIELD II'!$H$6)*LN(J21))+('BLAZE SHIELD II'!$H$7*('HOJA DE CÁLCULO RESPALDO'!I21^2)+'BLAZE SHIELD II'!$H$8*'HOJA DE CÁLCULO RESPALDO'!I21+'BLAZE SHIELD II'!$H$9)),0),0),0))+(IF(L21="Blaze Shield II",IF(M21="Idiem software",IF(C21="C",((('BLAZE SHIELD II'!$L$4*('HOJA DE CÁLCULO RESPALDO'!I21^2)+'BLAZE SHIELD II'!$L$5*'HOJA DE CÁLCULO RESPALDO'!I21+'BLAZE SHIELD II'!$L$6)*LN(J21))+('BLAZE SHIELD II'!$L$7*('HOJA DE CÁLCULO RESPALDO'!I21^2)+'BLAZE SHIELD II'!$L$8*'HOJA DE CÁLCULO RESPALDO'!I21+'BLAZE SHIELD II'!$L$9)),0),0),0))+(IF(L21="Blaze Shield II",IF(M21="Idiem software",IF(AND(C21="IN",G21=3),((('BLAZE SHIELD II'!$H$14*('HOJA DE CÁLCULO RESPALDO'!I21^2)+'BLAZE SHIELD II'!$H$15*'HOJA DE CÁLCULO RESPALDO'!I21+'BLAZE SHIELD II'!$H$16)*LN(J21))+('BLAZE SHIELD II'!$H$17*('HOJA DE CÁLCULO RESPALDO'!I21^2)+'BLAZE SHIELD II'!$H$18*'HOJA DE CÁLCULO RESPALDO'!I21+'BLAZE SHIELD II'!$H$19)),0),0),0)),0)</f>
        <v>0</v>
      </c>
      <c r="O21" s="46">
        <f t="shared" si="4"/>
        <v>0</v>
      </c>
      <c r="P21" s="80">
        <f t="shared" si="1"/>
        <v>0</v>
      </c>
      <c r="Q21" s="85">
        <f>ROUND((IF(L21="Cafco 400",IF(M21="Idiem software",IF(AND(C21="IN",G21=4),((('CAFCO 400 '!$H$7*(J21^4)+'CAFCO 400 '!$H$8*(J21^3)+'CAFCO 400 '!$H$9*(J21^2)+'CAFCO 400 '!$H$10*J21+'CAFCO 400 '!$H$11)*I21^2)+(('CAFCO 400 '!$H$12*(J21^3)+'CAFCO 400 '!$H$13*(J21^2)+'CAFCO 400 '!$H$14*J21+'CAFCO 400 '!$H$15)*I21)+('CAFCO 400 '!$H$16*(J21^2)+'CAFCO 400 '!$H$17*J21+'CAFCO 400 '!$H$18)),0),0),0))+(IF(L21="Cafco 400",IF(M21="Idiem software",IF(C21="Cj",(((('CAFCO 400 '!$D$7*LN(J21)+'CAFCO 400 '!$D$8)*I21^2)+(('CAFCO 400 '!$D$9*LN(J21)+'CAFCO 400 '!$D$10)*I21)+('CAFCO 400 '!$D$11*LN(J21)+'CAFCO 400 '!$D$12))),0),0),0))+(IF(L21="Cafco 400",IF(M21="Idiem software",IF(C21="C",((('CAFCO 400 '!$L$7*(J21^3)+'CAFCO 400 '!$L$8*(J21^2)+'CAFCO 400 '!$L$9*J21+'CAFCO 400 '!$L$10)*I21^2)+(('CAFCO 400 '!$L$11*(J21^3)+'CAFCO 400 '!$L$12*(J21^2)+'CAFCO 400 '!$L$13*J21+'CAFCO 400 '!$L$14)*I21)+('CAFCO 400 '!$L$15*LN(J21)+'CAFCO 400 '!$L$16)),0),0),0))+(IF(L21="Cafco 400",IF(M21="Idiem software",IF(AND(C21="IN",G21=3),((('CAFCO 400 '!$D$23*(J21^2)+'CAFCO 400 '!$D$24*(J21)+'CAFCO 400 '!$D$25)*I21^2)+(('CAFCO 400 '!$D$26*(J21^2)+'CAFCO 400 '!$D$27*J21+'CAFCO 400 '!$D$28)*I21)+('CAFCO 400 '!$D$29*(J21^2)+'CAFCO 400 '!$D$30*J21+'CAFCO 400 '!$D$31)),0),0),0)),0)</f>
        <v>0</v>
      </c>
      <c r="R21" s="47">
        <f t="shared" si="5"/>
        <v>0</v>
      </c>
      <c r="S21" s="82">
        <f t="shared" si="2"/>
        <v>0</v>
      </c>
      <c r="T21" s="81">
        <f>+IF(AND(J21&gt;=95,J21&lt;=240),IF(AND(C21="Cj",I21=90),VLOOKUP(W21,'CAFCO 300 IDIEM TABLAS'!$B$4:$D$23,2,FALSE),0)+IF(AND(J21&gt;=95,J21&lt;=240),IF(AND(C21="Cj",I21=120),VLOOKUP(W21,'CAFCO 300 IDIEM TABLAS'!$B$4:$D$23,3,FALSE),0))+IF(AND(J21&gt;=95,J21&lt;=400,G21=3),IF(AND(C21="IN",I21=90),VLOOKUP(W21,'CAFCO 300 IDIEM TABLAS'!$F$4:$H$35,2,FALSE),0),0)+IF(AND(J21&gt;=95,J21&lt;=400,G21=3),IF(AND(C21="IN",I21=120),VLOOKUP(W21,'CAFCO 300 IDIEM TABLAS'!$F$4:$H$35,3,FALSE),0),0)+IF(AND(J21&gt;=95,J21&lt;=450,G21=4),IF(AND(C21="IN",I21=90),VLOOKUP(W21,'CAFCO 300 IDIEM TABLAS'!$J$4:$L$40,2,FALSE),0),0)+IF(AND(J21&gt;=95,J21&lt;=450,G21=4),IF(AND(C21="IN",I21=120),VLOOKUP(W21,'CAFCO 300 IDIEM TABLAS'!$J$4:$L$40,3,FALSE),0),0))</f>
        <v>17</v>
      </c>
      <c r="U21" s="48">
        <f t="shared" si="6"/>
        <v>2.354988286264442</v>
      </c>
      <c r="V21" s="82">
        <f t="shared" si="3"/>
        <v>35357.794129974332</v>
      </c>
      <c r="W21" s="64">
        <f>+IF(J21=LOOKUP(J21,'CAFCO 300 IDIEM TABLAS'!$J$4:$J$40),'HOJA DE CÁLCULO RESPALDO'!J21,MROUND('HOJA DE CÁLCULO RESPALDO'!J21,10))</f>
        <v>95</v>
      </c>
      <c r="X21" s="36"/>
      <c r="Y21" s="4"/>
    </row>
    <row r="22" spans="1:25" ht="15.6" customHeight="1" x14ac:dyDescent="0.25">
      <c r="A22" s="2" t="s">
        <v>33</v>
      </c>
      <c r="B22" s="3" t="s">
        <v>17</v>
      </c>
      <c r="C22" s="3" t="s">
        <v>19</v>
      </c>
      <c r="D22" s="3">
        <v>1</v>
      </c>
      <c r="E22" s="2">
        <v>1</v>
      </c>
      <c r="F22" s="8">
        <v>103000</v>
      </c>
      <c r="G22" s="1">
        <v>4</v>
      </c>
      <c r="H22" s="2">
        <v>1190</v>
      </c>
      <c r="I22" s="34">
        <v>90</v>
      </c>
      <c r="J22" s="11">
        <v>95</v>
      </c>
      <c r="K22" s="44">
        <f t="shared" si="0"/>
        <v>122.57</v>
      </c>
      <c r="L22" s="3" t="s">
        <v>61</v>
      </c>
      <c r="M22" s="3" t="s">
        <v>70</v>
      </c>
      <c r="N22" s="15">
        <f>ROUND((IF(L22="Blaze Shield II",IF(M22="Idiem software",IF(AND(C22="IN",G22=4),((('BLAZE SHIELD II'!$D$4*('HOJA DE CÁLCULO RESPALDO'!I22^2)+'BLAZE SHIELD II'!$D$5*'HOJA DE CÁLCULO RESPALDO'!I22+'BLAZE SHIELD II'!$D$6)*LN(J22))+('BLAZE SHIELD II'!$D$7*('HOJA DE CÁLCULO RESPALDO'!I22^2)+'BLAZE SHIELD II'!$D$8*'HOJA DE CÁLCULO RESPALDO'!I22+'BLAZE SHIELD II'!$D$9)),0),0),0))+(IF(L22="Blaze Shield II",IF(M22="Idiem software",IF(C22="Cj",((('BLAZE SHIELD II'!$H$4*('HOJA DE CÁLCULO RESPALDO'!I22^2)+'BLAZE SHIELD II'!$H$5*'HOJA DE CÁLCULO RESPALDO'!I22+'BLAZE SHIELD II'!$H$6)*LN(J22))+('BLAZE SHIELD II'!$H$7*('HOJA DE CÁLCULO RESPALDO'!I22^2)+'BLAZE SHIELD II'!$H$8*'HOJA DE CÁLCULO RESPALDO'!I22+'BLAZE SHIELD II'!$H$9)),0),0),0))+(IF(L22="Blaze Shield II",IF(M22="Idiem software",IF(C22="C",((('BLAZE SHIELD II'!$L$4*('HOJA DE CÁLCULO RESPALDO'!I22^2)+'BLAZE SHIELD II'!$L$5*'HOJA DE CÁLCULO RESPALDO'!I22+'BLAZE SHIELD II'!$L$6)*LN(J22))+('BLAZE SHIELD II'!$L$7*('HOJA DE CÁLCULO RESPALDO'!I22^2)+'BLAZE SHIELD II'!$L$8*'HOJA DE CÁLCULO RESPALDO'!I22+'BLAZE SHIELD II'!$L$9)),0),0),0))+(IF(L22="Blaze Shield II",IF(M22="Idiem software",IF(AND(C22="IN",G22=3),((('BLAZE SHIELD II'!$H$14*('HOJA DE CÁLCULO RESPALDO'!I22^2)+'BLAZE SHIELD II'!$H$15*'HOJA DE CÁLCULO RESPALDO'!I22+'BLAZE SHIELD II'!$H$16)*LN(J22))+('BLAZE SHIELD II'!$H$17*('HOJA DE CÁLCULO RESPALDO'!I22^2)+'BLAZE SHIELD II'!$H$18*'HOJA DE CÁLCULO RESPALDO'!I22+'BLAZE SHIELD II'!$H$19)),0),0),0)),0)</f>
        <v>0</v>
      </c>
      <c r="O22" s="46">
        <f t="shared" si="4"/>
        <v>0</v>
      </c>
      <c r="P22" s="80">
        <f t="shared" si="1"/>
        <v>0</v>
      </c>
      <c r="Q22" s="85">
        <f>ROUND((IF(L22="Cafco 400",IF(M22="Idiem software",IF(AND(C22="IN",G22=4),((('CAFCO 400 '!$H$7*(J22^4)+'CAFCO 400 '!$H$8*(J22^3)+'CAFCO 400 '!$H$9*(J22^2)+'CAFCO 400 '!$H$10*J22+'CAFCO 400 '!$H$11)*I22^2)+(('CAFCO 400 '!$H$12*(J22^3)+'CAFCO 400 '!$H$13*(J22^2)+'CAFCO 400 '!$H$14*J22+'CAFCO 400 '!$H$15)*I22)+('CAFCO 400 '!$H$16*(J22^2)+'CAFCO 400 '!$H$17*J22+'CAFCO 400 '!$H$18)),0),0),0))+(IF(L22="Cafco 400",IF(M22="Idiem software",IF(C22="Cj",(((('CAFCO 400 '!$D$7*LN(J22)+'CAFCO 400 '!$D$8)*I22^2)+(('CAFCO 400 '!$D$9*LN(J22)+'CAFCO 400 '!$D$10)*I22)+('CAFCO 400 '!$D$11*LN(J22)+'CAFCO 400 '!$D$12))),0),0),0))+(IF(L22="Cafco 400",IF(M22="Idiem software",IF(C22="C",((('CAFCO 400 '!$L$7*(J22^3)+'CAFCO 400 '!$L$8*(J22^2)+'CAFCO 400 '!$L$9*J22+'CAFCO 400 '!$L$10)*I22^2)+(('CAFCO 400 '!$L$11*(J22^3)+'CAFCO 400 '!$L$12*(J22^2)+'CAFCO 400 '!$L$13*J22+'CAFCO 400 '!$L$14)*I22)+('CAFCO 400 '!$L$15*LN(J22)+'CAFCO 400 '!$L$16)),0),0),0))+(IF(L22="Cafco 400",IF(M22="Idiem software",IF(AND(C22="IN",G22=3),((('CAFCO 400 '!$D$23*(J22^2)+'CAFCO 400 '!$D$24*(J22)+'CAFCO 400 '!$D$25)*I22^2)+(('CAFCO 400 '!$D$26*(J22^2)+'CAFCO 400 '!$D$27*J22+'CAFCO 400 '!$D$28)*I22)+('CAFCO 400 '!$D$29*(J22^2)+'CAFCO 400 '!$D$30*J22+'CAFCO 400 '!$D$31)),0),0),0)),0)</f>
        <v>0</v>
      </c>
      <c r="R22" s="47">
        <f t="shared" si="5"/>
        <v>0</v>
      </c>
      <c r="S22" s="82">
        <f t="shared" si="2"/>
        <v>0</v>
      </c>
      <c r="T22" s="81">
        <f>+IF(AND(J22&gt;=95,J22&lt;=240),IF(AND(C22="Cj",I22=90),VLOOKUP(W22,'CAFCO 300 IDIEM TABLAS'!$B$4:$D$23,2,FALSE),0)+IF(AND(J22&gt;=95,J22&lt;=240),IF(AND(C22="Cj",I22=120),VLOOKUP(W22,'CAFCO 300 IDIEM TABLAS'!$B$4:$D$23,3,FALSE),0))+IF(AND(J22&gt;=95,J22&lt;=400,G22=3),IF(AND(C22="IN",I22=90),VLOOKUP(W22,'CAFCO 300 IDIEM TABLAS'!$F$4:$H$35,2,FALSE),0),0)+IF(AND(J22&gt;=95,J22&lt;=400,G22=3),IF(AND(C22="IN",I22=120),VLOOKUP(W22,'CAFCO 300 IDIEM TABLAS'!$F$4:$H$35,3,FALSE),0),0)+IF(AND(J22&gt;=95,J22&lt;=450,G22=4),IF(AND(C22="IN",I22=90),VLOOKUP(W22,'CAFCO 300 IDIEM TABLAS'!$J$4:$L$40,2,FALSE),0),0)+IF(AND(J22&gt;=95,J22&lt;=450,G22=4),IF(AND(C22="IN",I22=120),VLOOKUP(W22,'CAFCO 300 IDIEM TABLAS'!$J$4:$L$40,3,FALSE),0),0))</f>
        <v>17</v>
      </c>
      <c r="U22" s="48">
        <f t="shared" si="6"/>
        <v>28.754387034659821</v>
      </c>
      <c r="V22" s="82">
        <f t="shared" si="3"/>
        <v>431718.36693838256</v>
      </c>
      <c r="W22" s="64">
        <f>+IF(J22=LOOKUP(J22,'CAFCO 300 IDIEM TABLAS'!$J$4:$J$40),'HOJA DE CÁLCULO RESPALDO'!J22,MROUND('HOJA DE CÁLCULO RESPALDO'!J22,10))</f>
        <v>95</v>
      </c>
      <c r="X22" s="36"/>
      <c r="Y22" s="4"/>
    </row>
    <row r="23" spans="1:25" x14ac:dyDescent="0.25">
      <c r="A23" s="2" t="s">
        <v>33</v>
      </c>
      <c r="B23" s="3" t="s">
        <v>17</v>
      </c>
      <c r="C23" s="3" t="s">
        <v>19</v>
      </c>
      <c r="D23" s="3">
        <v>1</v>
      </c>
      <c r="E23" s="2">
        <v>1</v>
      </c>
      <c r="F23" s="8">
        <v>12750</v>
      </c>
      <c r="G23" s="1">
        <v>4</v>
      </c>
      <c r="H23" s="2">
        <v>1181</v>
      </c>
      <c r="I23" s="34">
        <v>90</v>
      </c>
      <c r="J23" s="11">
        <v>95</v>
      </c>
      <c r="K23" s="44">
        <f t="shared" si="0"/>
        <v>15.05775</v>
      </c>
      <c r="L23" s="3" t="s">
        <v>61</v>
      </c>
      <c r="M23" s="3" t="s">
        <v>70</v>
      </c>
      <c r="N23" s="15">
        <f>ROUND((IF(L23="Blaze Shield II",IF(M23="Idiem software",IF(AND(C23="IN",G23=4),((('BLAZE SHIELD II'!$D$4*('HOJA DE CÁLCULO RESPALDO'!I23^2)+'BLAZE SHIELD II'!$D$5*'HOJA DE CÁLCULO RESPALDO'!I23+'BLAZE SHIELD II'!$D$6)*LN(J23))+('BLAZE SHIELD II'!$D$7*('HOJA DE CÁLCULO RESPALDO'!I23^2)+'BLAZE SHIELD II'!$D$8*'HOJA DE CÁLCULO RESPALDO'!I23+'BLAZE SHIELD II'!$D$9)),0),0),0))+(IF(L23="Blaze Shield II",IF(M23="Idiem software",IF(C23="Cj",((('BLAZE SHIELD II'!$H$4*('HOJA DE CÁLCULO RESPALDO'!I23^2)+'BLAZE SHIELD II'!$H$5*'HOJA DE CÁLCULO RESPALDO'!I23+'BLAZE SHIELD II'!$H$6)*LN(J23))+('BLAZE SHIELD II'!$H$7*('HOJA DE CÁLCULO RESPALDO'!I23^2)+'BLAZE SHIELD II'!$H$8*'HOJA DE CÁLCULO RESPALDO'!I23+'BLAZE SHIELD II'!$H$9)),0),0),0))+(IF(L23="Blaze Shield II",IF(M23="Idiem software",IF(C23="C",((('BLAZE SHIELD II'!$L$4*('HOJA DE CÁLCULO RESPALDO'!I23^2)+'BLAZE SHIELD II'!$L$5*'HOJA DE CÁLCULO RESPALDO'!I23+'BLAZE SHIELD II'!$L$6)*LN(J23))+('BLAZE SHIELD II'!$L$7*('HOJA DE CÁLCULO RESPALDO'!I23^2)+'BLAZE SHIELD II'!$L$8*'HOJA DE CÁLCULO RESPALDO'!I23+'BLAZE SHIELD II'!$L$9)),0),0),0))+(IF(L23="Blaze Shield II",IF(M23="Idiem software",IF(AND(C23="IN",G23=3),((('BLAZE SHIELD II'!$H$14*('HOJA DE CÁLCULO RESPALDO'!I23^2)+'BLAZE SHIELD II'!$H$15*'HOJA DE CÁLCULO RESPALDO'!I23+'BLAZE SHIELD II'!$H$16)*LN(J23))+('BLAZE SHIELD II'!$H$17*('HOJA DE CÁLCULO RESPALDO'!I23^2)+'BLAZE SHIELD II'!$H$18*'HOJA DE CÁLCULO RESPALDO'!I23+'BLAZE SHIELD II'!$H$19)),0),0),0)),0)</f>
        <v>0</v>
      </c>
      <c r="O23" s="46">
        <f t="shared" si="4"/>
        <v>0</v>
      </c>
      <c r="P23" s="80">
        <f t="shared" si="1"/>
        <v>0</v>
      </c>
      <c r="Q23" s="85">
        <f>ROUND((IF(L23="Cafco 400",IF(M23="Idiem software",IF(AND(C23="IN",G23=4),((('CAFCO 400 '!$H$7*(J23^4)+'CAFCO 400 '!$H$8*(J23^3)+'CAFCO 400 '!$H$9*(J23^2)+'CAFCO 400 '!$H$10*J23+'CAFCO 400 '!$H$11)*I23^2)+(('CAFCO 400 '!$H$12*(J23^3)+'CAFCO 400 '!$H$13*(J23^2)+'CAFCO 400 '!$H$14*J23+'CAFCO 400 '!$H$15)*I23)+('CAFCO 400 '!$H$16*(J23^2)+'CAFCO 400 '!$H$17*J23+'CAFCO 400 '!$H$18)),0),0),0))+(IF(L23="Cafco 400",IF(M23="Idiem software",IF(C23="Cj",(((('CAFCO 400 '!$D$7*LN(J23)+'CAFCO 400 '!$D$8)*I23^2)+(('CAFCO 400 '!$D$9*LN(J23)+'CAFCO 400 '!$D$10)*I23)+('CAFCO 400 '!$D$11*LN(J23)+'CAFCO 400 '!$D$12))),0),0),0))+(IF(L23="Cafco 400",IF(M23="Idiem software",IF(C23="C",((('CAFCO 400 '!$L$7*(J23^3)+'CAFCO 400 '!$L$8*(J23^2)+'CAFCO 400 '!$L$9*J23+'CAFCO 400 '!$L$10)*I23^2)+(('CAFCO 400 '!$L$11*(J23^3)+'CAFCO 400 '!$L$12*(J23^2)+'CAFCO 400 '!$L$13*J23+'CAFCO 400 '!$L$14)*I23)+('CAFCO 400 '!$L$15*LN(J23)+'CAFCO 400 '!$L$16)),0),0),0))+(IF(L23="Cafco 400",IF(M23="Idiem software",IF(AND(C23="IN",G23=3),((('CAFCO 400 '!$D$23*(J23^2)+'CAFCO 400 '!$D$24*(J23)+'CAFCO 400 '!$D$25)*I23^2)+(('CAFCO 400 '!$D$26*(J23^2)+'CAFCO 400 '!$D$27*J23+'CAFCO 400 '!$D$28)*I23)+('CAFCO 400 '!$D$29*(J23^2)+'CAFCO 400 '!$D$30*J23+'CAFCO 400 '!$D$31)),0),0),0)),0)</f>
        <v>0</v>
      </c>
      <c r="R23" s="47">
        <f t="shared" si="5"/>
        <v>0</v>
      </c>
      <c r="S23" s="82">
        <f t="shared" si="2"/>
        <v>0</v>
      </c>
      <c r="T23" s="81">
        <f>+IF(AND(J23&gt;=95,J23&lt;=240),IF(AND(C23="Cj",I23=90),VLOOKUP(W23,'CAFCO 300 IDIEM TABLAS'!$B$4:$D$23,2,FALSE),0)+IF(AND(J23&gt;=95,J23&lt;=240),IF(AND(C23="Cj",I23=120),VLOOKUP(W23,'CAFCO 300 IDIEM TABLAS'!$B$4:$D$23,3,FALSE),0))+IF(AND(J23&gt;=95,J23&lt;=400,G23=3),IF(AND(C23="IN",I23=90),VLOOKUP(W23,'CAFCO 300 IDIEM TABLAS'!$F$4:$H$35,2,FALSE),0),0)+IF(AND(J23&gt;=95,J23&lt;=400,G23=3),IF(AND(C23="IN",I23=120),VLOOKUP(W23,'CAFCO 300 IDIEM TABLAS'!$F$4:$H$35,3,FALSE),0),0)+IF(AND(J23&gt;=95,J23&lt;=450,G23=4),IF(AND(C23="IN",I23=90),VLOOKUP(W23,'CAFCO 300 IDIEM TABLAS'!$J$4:$L$40,2,FALSE),0),0)+IF(AND(J23&gt;=95,J23&lt;=450,G23=4),IF(AND(C23="IN",I23=120),VLOOKUP(W23,'CAFCO 300 IDIEM TABLAS'!$J$4:$L$40,3,FALSE),0),0))</f>
        <v>17</v>
      </c>
      <c r="U23" s="48">
        <f t="shared" si="6"/>
        <v>3.5324824293966626</v>
      </c>
      <c r="V23" s="82">
        <f t="shared" si="3"/>
        <v>53036.691194961495</v>
      </c>
      <c r="W23" s="64">
        <f>+IF(J23=LOOKUP(J23,'CAFCO 300 IDIEM TABLAS'!$J$4:$J$40),'HOJA DE CÁLCULO RESPALDO'!J23,MROUND('HOJA DE CÁLCULO RESPALDO'!J23,10))</f>
        <v>95</v>
      </c>
      <c r="X23" s="36"/>
      <c r="Y23" s="4"/>
    </row>
    <row r="24" spans="1:25" ht="15.6" customHeight="1" x14ac:dyDescent="0.25">
      <c r="A24" s="2" t="s">
        <v>33</v>
      </c>
      <c r="B24" s="3" t="s">
        <v>17</v>
      </c>
      <c r="C24" s="3" t="s">
        <v>19</v>
      </c>
      <c r="D24" s="3">
        <v>1</v>
      </c>
      <c r="E24" s="2">
        <v>1</v>
      </c>
      <c r="F24" s="8">
        <v>17500</v>
      </c>
      <c r="G24" s="1">
        <v>4</v>
      </c>
      <c r="H24" s="2">
        <v>1692</v>
      </c>
      <c r="I24" s="34">
        <v>90</v>
      </c>
      <c r="J24" s="11">
        <v>95</v>
      </c>
      <c r="K24" s="44">
        <f t="shared" si="0"/>
        <v>29.61</v>
      </c>
      <c r="L24" s="3" t="s">
        <v>61</v>
      </c>
      <c r="M24" s="3" t="s">
        <v>70</v>
      </c>
      <c r="N24" s="15">
        <f>ROUND((IF(L24="Blaze Shield II",IF(M24="Idiem software",IF(AND(C24="IN",G24=4),((('BLAZE SHIELD II'!$D$4*('HOJA DE CÁLCULO RESPALDO'!I24^2)+'BLAZE SHIELD II'!$D$5*'HOJA DE CÁLCULO RESPALDO'!I24+'BLAZE SHIELD II'!$D$6)*LN(J24))+('BLAZE SHIELD II'!$D$7*('HOJA DE CÁLCULO RESPALDO'!I24^2)+'BLAZE SHIELD II'!$D$8*'HOJA DE CÁLCULO RESPALDO'!I24+'BLAZE SHIELD II'!$D$9)),0),0),0))+(IF(L24="Blaze Shield II",IF(M24="Idiem software",IF(C24="Cj",((('BLAZE SHIELD II'!$H$4*('HOJA DE CÁLCULO RESPALDO'!I24^2)+'BLAZE SHIELD II'!$H$5*'HOJA DE CÁLCULO RESPALDO'!I24+'BLAZE SHIELD II'!$H$6)*LN(J24))+('BLAZE SHIELD II'!$H$7*('HOJA DE CÁLCULO RESPALDO'!I24^2)+'BLAZE SHIELD II'!$H$8*'HOJA DE CÁLCULO RESPALDO'!I24+'BLAZE SHIELD II'!$H$9)),0),0),0))+(IF(L24="Blaze Shield II",IF(M24="Idiem software",IF(C24="C",((('BLAZE SHIELD II'!$L$4*('HOJA DE CÁLCULO RESPALDO'!I24^2)+'BLAZE SHIELD II'!$L$5*'HOJA DE CÁLCULO RESPALDO'!I24+'BLAZE SHIELD II'!$L$6)*LN(J24))+('BLAZE SHIELD II'!$L$7*('HOJA DE CÁLCULO RESPALDO'!I24^2)+'BLAZE SHIELD II'!$L$8*'HOJA DE CÁLCULO RESPALDO'!I24+'BLAZE SHIELD II'!$L$9)),0),0),0))+(IF(L24="Blaze Shield II",IF(M24="Idiem software",IF(AND(C24="IN",G24=3),((('BLAZE SHIELD II'!$H$14*('HOJA DE CÁLCULO RESPALDO'!I24^2)+'BLAZE SHIELD II'!$H$15*'HOJA DE CÁLCULO RESPALDO'!I24+'BLAZE SHIELD II'!$H$16)*LN(J24))+('BLAZE SHIELD II'!$H$17*('HOJA DE CÁLCULO RESPALDO'!I24^2)+'BLAZE SHIELD II'!$H$18*'HOJA DE CÁLCULO RESPALDO'!I24+'BLAZE SHIELD II'!$H$19)),0),0),0)),0)</f>
        <v>0</v>
      </c>
      <c r="O24" s="46">
        <f t="shared" si="4"/>
        <v>0</v>
      </c>
      <c r="P24" s="80">
        <f t="shared" si="1"/>
        <v>0</v>
      </c>
      <c r="Q24" s="85">
        <f>ROUND((IF(L24="Cafco 400",IF(M24="Idiem software",IF(AND(C24="IN",G24=4),((('CAFCO 400 '!$H$7*(J24^4)+'CAFCO 400 '!$H$8*(J24^3)+'CAFCO 400 '!$H$9*(J24^2)+'CAFCO 400 '!$H$10*J24+'CAFCO 400 '!$H$11)*I24^2)+(('CAFCO 400 '!$H$12*(J24^3)+'CAFCO 400 '!$H$13*(J24^2)+'CAFCO 400 '!$H$14*J24+'CAFCO 400 '!$H$15)*I24)+('CAFCO 400 '!$H$16*(J24^2)+'CAFCO 400 '!$H$17*J24+'CAFCO 400 '!$H$18)),0),0),0))+(IF(L24="Cafco 400",IF(M24="Idiem software",IF(C24="Cj",(((('CAFCO 400 '!$D$7*LN(J24)+'CAFCO 400 '!$D$8)*I24^2)+(('CAFCO 400 '!$D$9*LN(J24)+'CAFCO 400 '!$D$10)*I24)+('CAFCO 400 '!$D$11*LN(J24)+'CAFCO 400 '!$D$12))),0),0),0))+(IF(L24="Cafco 400",IF(M24="Idiem software",IF(C24="C",((('CAFCO 400 '!$L$7*(J24^3)+'CAFCO 400 '!$L$8*(J24^2)+'CAFCO 400 '!$L$9*J24+'CAFCO 400 '!$L$10)*I24^2)+(('CAFCO 400 '!$L$11*(J24^3)+'CAFCO 400 '!$L$12*(J24^2)+'CAFCO 400 '!$L$13*J24+'CAFCO 400 '!$L$14)*I24)+('CAFCO 400 '!$L$15*LN(J24)+'CAFCO 400 '!$L$16)),0),0),0))+(IF(L24="Cafco 400",IF(M24="Idiem software",IF(AND(C24="IN",G24=3),((('CAFCO 400 '!$D$23*(J24^2)+'CAFCO 400 '!$D$24*(J24)+'CAFCO 400 '!$D$25)*I24^2)+(('CAFCO 400 '!$D$26*(J24^2)+'CAFCO 400 '!$D$27*J24+'CAFCO 400 '!$D$28)*I24)+('CAFCO 400 '!$D$29*(J24^2)+'CAFCO 400 '!$D$30*J24+'CAFCO 400 '!$D$31)),0),0),0)),0)</f>
        <v>0</v>
      </c>
      <c r="R24" s="47">
        <f t="shared" si="5"/>
        <v>0</v>
      </c>
      <c r="S24" s="82">
        <f t="shared" si="2"/>
        <v>0</v>
      </c>
      <c r="T24" s="81">
        <f>+IF(AND(J24&gt;=95,J24&lt;=240),IF(AND(C24="Cj",I24=90),VLOOKUP(W24,'CAFCO 300 IDIEM TABLAS'!$B$4:$D$23,2,FALSE),0)+IF(AND(J24&gt;=95,J24&lt;=240),IF(AND(C24="Cj",I24=120),VLOOKUP(W24,'CAFCO 300 IDIEM TABLAS'!$B$4:$D$23,3,FALSE),0))+IF(AND(J24&gt;=95,J24&lt;=400,G24=3),IF(AND(C24="IN",I24=90),VLOOKUP(W24,'CAFCO 300 IDIEM TABLAS'!$F$4:$H$35,2,FALSE),0),0)+IF(AND(J24&gt;=95,J24&lt;=400,G24=3),IF(AND(C24="IN",I24=120),VLOOKUP(W24,'CAFCO 300 IDIEM TABLAS'!$F$4:$H$35,3,FALSE),0),0)+IF(AND(J24&gt;=95,J24&lt;=450,G24=4),IF(AND(C24="IN",I24=90),VLOOKUP(W24,'CAFCO 300 IDIEM TABLAS'!$J$4:$L$40,2,FALSE),0),0)+IF(AND(J24&gt;=95,J24&lt;=450,G24=4),IF(AND(C24="IN",I24=120),VLOOKUP(W24,'CAFCO 300 IDIEM TABLAS'!$J$4:$L$40,3,FALSE),0),0))</f>
        <v>17</v>
      </c>
      <c r="U24" s="48">
        <f t="shared" si="6"/>
        <v>6.94637676508344</v>
      </c>
      <c r="V24" s="82">
        <f t="shared" si="3"/>
        <v>104292.90075096277</v>
      </c>
      <c r="W24" s="64">
        <f>+IF(J24=LOOKUP(J24,'CAFCO 300 IDIEM TABLAS'!$J$4:$J$40),'HOJA DE CÁLCULO RESPALDO'!J24,MROUND('HOJA DE CÁLCULO RESPALDO'!J24,10))</f>
        <v>95</v>
      </c>
      <c r="X24" s="36"/>
      <c r="Y24" s="4"/>
    </row>
    <row r="25" spans="1:25" x14ac:dyDescent="0.25">
      <c r="A25" s="2" t="s">
        <v>33</v>
      </c>
      <c r="B25" s="3" t="s">
        <v>17</v>
      </c>
      <c r="C25" s="3" t="s">
        <v>19</v>
      </c>
      <c r="D25" s="3">
        <v>1</v>
      </c>
      <c r="E25" s="2">
        <v>1</v>
      </c>
      <c r="F25" s="8">
        <v>8500</v>
      </c>
      <c r="G25" s="1">
        <v>4</v>
      </c>
      <c r="H25" s="2">
        <v>1502</v>
      </c>
      <c r="I25" s="34">
        <v>90</v>
      </c>
      <c r="J25" s="11">
        <v>95</v>
      </c>
      <c r="K25" s="44">
        <f t="shared" si="0"/>
        <v>12.766999999999999</v>
      </c>
      <c r="L25" s="3" t="s">
        <v>61</v>
      </c>
      <c r="M25" s="3" t="s">
        <v>70</v>
      </c>
      <c r="N25" s="15">
        <f>ROUND((IF(L25="Blaze Shield II",IF(M25="Idiem software",IF(AND(C25="IN",G25=4),((('BLAZE SHIELD II'!$D$4*('HOJA DE CÁLCULO RESPALDO'!I25^2)+'BLAZE SHIELD II'!$D$5*'HOJA DE CÁLCULO RESPALDO'!I25+'BLAZE SHIELD II'!$D$6)*LN(J25))+('BLAZE SHIELD II'!$D$7*('HOJA DE CÁLCULO RESPALDO'!I25^2)+'BLAZE SHIELD II'!$D$8*'HOJA DE CÁLCULO RESPALDO'!I25+'BLAZE SHIELD II'!$D$9)),0),0),0))+(IF(L25="Blaze Shield II",IF(M25="Idiem software",IF(C25="Cj",((('BLAZE SHIELD II'!$H$4*('HOJA DE CÁLCULO RESPALDO'!I25^2)+'BLAZE SHIELD II'!$H$5*'HOJA DE CÁLCULO RESPALDO'!I25+'BLAZE SHIELD II'!$H$6)*LN(J25))+('BLAZE SHIELD II'!$H$7*('HOJA DE CÁLCULO RESPALDO'!I25^2)+'BLAZE SHIELD II'!$H$8*'HOJA DE CÁLCULO RESPALDO'!I25+'BLAZE SHIELD II'!$H$9)),0),0),0))+(IF(L25="Blaze Shield II",IF(M25="Idiem software",IF(C25="C",((('BLAZE SHIELD II'!$L$4*('HOJA DE CÁLCULO RESPALDO'!I25^2)+'BLAZE SHIELD II'!$L$5*'HOJA DE CÁLCULO RESPALDO'!I25+'BLAZE SHIELD II'!$L$6)*LN(J25))+('BLAZE SHIELD II'!$L$7*('HOJA DE CÁLCULO RESPALDO'!I25^2)+'BLAZE SHIELD II'!$L$8*'HOJA DE CÁLCULO RESPALDO'!I25+'BLAZE SHIELD II'!$L$9)),0),0),0))+(IF(L25="Blaze Shield II",IF(M25="Idiem software",IF(AND(C25="IN",G25=3),((('BLAZE SHIELD II'!$H$14*('HOJA DE CÁLCULO RESPALDO'!I25^2)+'BLAZE SHIELD II'!$H$15*'HOJA DE CÁLCULO RESPALDO'!I25+'BLAZE SHIELD II'!$H$16)*LN(J25))+('BLAZE SHIELD II'!$H$17*('HOJA DE CÁLCULO RESPALDO'!I25^2)+'BLAZE SHIELD II'!$H$18*'HOJA DE CÁLCULO RESPALDO'!I25+'BLAZE SHIELD II'!$H$19)),0),0),0)),0)</f>
        <v>0</v>
      </c>
      <c r="O25" s="46">
        <f t="shared" si="4"/>
        <v>0</v>
      </c>
      <c r="P25" s="80">
        <f t="shared" si="1"/>
        <v>0</v>
      </c>
      <c r="Q25" s="85">
        <f>ROUND((IF(L25="Cafco 400",IF(M25="Idiem software",IF(AND(C25="IN",G25=4),((('CAFCO 400 '!$H$7*(J25^4)+'CAFCO 400 '!$H$8*(J25^3)+'CAFCO 400 '!$H$9*(J25^2)+'CAFCO 400 '!$H$10*J25+'CAFCO 400 '!$H$11)*I25^2)+(('CAFCO 400 '!$H$12*(J25^3)+'CAFCO 400 '!$H$13*(J25^2)+'CAFCO 400 '!$H$14*J25+'CAFCO 400 '!$H$15)*I25)+('CAFCO 400 '!$H$16*(J25^2)+'CAFCO 400 '!$H$17*J25+'CAFCO 400 '!$H$18)),0),0),0))+(IF(L25="Cafco 400",IF(M25="Idiem software",IF(C25="Cj",(((('CAFCO 400 '!$D$7*LN(J25)+'CAFCO 400 '!$D$8)*I25^2)+(('CAFCO 400 '!$D$9*LN(J25)+'CAFCO 400 '!$D$10)*I25)+('CAFCO 400 '!$D$11*LN(J25)+'CAFCO 400 '!$D$12))),0),0),0))+(IF(L25="Cafco 400",IF(M25="Idiem software",IF(C25="C",((('CAFCO 400 '!$L$7*(J25^3)+'CAFCO 400 '!$L$8*(J25^2)+'CAFCO 400 '!$L$9*J25+'CAFCO 400 '!$L$10)*I25^2)+(('CAFCO 400 '!$L$11*(J25^3)+'CAFCO 400 '!$L$12*(J25^2)+'CAFCO 400 '!$L$13*J25+'CAFCO 400 '!$L$14)*I25)+('CAFCO 400 '!$L$15*LN(J25)+'CAFCO 400 '!$L$16)),0),0),0))+(IF(L25="Cafco 400",IF(M25="Idiem software",IF(AND(C25="IN",G25=3),((('CAFCO 400 '!$D$23*(J25^2)+'CAFCO 400 '!$D$24*(J25)+'CAFCO 400 '!$D$25)*I25^2)+(('CAFCO 400 '!$D$26*(J25^2)+'CAFCO 400 '!$D$27*J25+'CAFCO 400 '!$D$28)*I25)+('CAFCO 400 '!$D$29*(J25^2)+'CAFCO 400 '!$D$30*J25+'CAFCO 400 '!$D$31)),0),0),0)),0)</f>
        <v>0</v>
      </c>
      <c r="R25" s="47">
        <f t="shared" si="5"/>
        <v>0</v>
      </c>
      <c r="S25" s="82">
        <f t="shared" si="2"/>
        <v>0</v>
      </c>
      <c r="T25" s="81">
        <f>+IF(AND(J25&gt;=95,J25&lt;=240),IF(AND(C25="Cj",I25=90),VLOOKUP(W25,'CAFCO 300 IDIEM TABLAS'!$B$4:$D$23,2,FALSE),0)+IF(AND(J25&gt;=95,J25&lt;=240),IF(AND(C25="Cj",I25=120),VLOOKUP(W25,'CAFCO 300 IDIEM TABLAS'!$B$4:$D$23,3,FALSE),0))+IF(AND(J25&gt;=95,J25&lt;=400,G25=3),IF(AND(C25="IN",I25=90),VLOOKUP(W25,'CAFCO 300 IDIEM TABLAS'!$F$4:$H$35,2,FALSE),0),0)+IF(AND(J25&gt;=95,J25&lt;=400,G25=3),IF(AND(C25="IN",I25=120),VLOOKUP(W25,'CAFCO 300 IDIEM TABLAS'!$F$4:$H$35,3,FALSE),0),0)+IF(AND(J25&gt;=95,J25&lt;=450,G25=4),IF(AND(C25="IN",I25=90),VLOOKUP(W25,'CAFCO 300 IDIEM TABLAS'!$J$4:$L$40,2,FALSE),0),0)+IF(AND(J25&gt;=95,J25&lt;=450,G25=4),IF(AND(C25="IN",I25=120),VLOOKUP(W25,'CAFCO 300 IDIEM TABLAS'!$J$4:$L$40,3,FALSE),0),0))</f>
        <v>17</v>
      </c>
      <c r="U25" s="48">
        <f t="shared" si="6"/>
        <v>2.9950824775353015</v>
      </c>
      <c r="V25" s="82">
        <f t="shared" si="3"/>
        <v>44968.168317715019</v>
      </c>
      <c r="W25" s="64">
        <f>+IF(J25=LOOKUP(J25,'CAFCO 300 IDIEM TABLAS'!$J$4:$J$40),'HOJA DE CÁLCULO RESPALDO'!J25,MROUND('HOJA DE CÁLCULO RESPALDO'!J25,10))</f>
        <v>95</v>
      </c>
      <c r="X25" s="36"/>
      <c r="Y25" s="4"/>
    </row>
    <row r="26" spans="1:25" ht="15.6" customHeight="1" x14ac:dyDescent="0.25">
      <c r="A26" s="2" t="s">
        <v>33</v>
      </c>
      <c r="B26" s="3" t="s">
        <v>17</v>
      </c>
      <c r="C26" s="3" t="s">
        <v>19</v>
      </c>
      <c r="D26" s="3">
        <v>1</v>
      </c>
      <c r="E26" s="2">
        <v>1</v>
      </c>
      <c r="F26" s="8">
        <v>17500</v>
      </c>
      <c r="G26" s="1">
        <v>4</v>
      </c>
      <c r="H26" s="2">
        <v>1692</v>
      </c>
      <c r="I26" s="34">
        <v>90</v>
      </c>
      <c r="J26" s="11">
        <v>95</v>
      </c>
      <c r="K26" s="44">
        <f t="shared" si="0"/>
        <v>29.61</v>
      </c>
      <c r="L26" s="3" t="s">
        <v>61</v>
      </c>
      <c r="M26" s="3" t="s">
        <v>70</v>
      </c>
      <c r="N26" s="15">
        <f>ROUND((IF(L26="Blaze Shield II",IF(M26="Idiem software",IF(AND(C26="IN",G26=4),((('BLAZE SHIELD II'!$D$4*('HOJA DE CÁLCULO RESPALDO'!I26^2)+'BLAZE SHIELD II'!$D$5*'HOJA DE CÁLCULO RESPALDO'!I26+'BLAZE SHIELD II'!$D$6)*LN(J26))+('BLAZE SHIELD II'!$D$7*('HOJA DE CÁLCULO RESPALDO'!I26^2)+'BLAZE SHIELD II'!$D$8*'HOJA DE CÁLCULO RESPALDO'!I26+'BLAZE SHIELD II'!$D$9)),0),0),0))+(IF(L26="Blaze Shield II",IF(M26="Idiem software",IF(C26="Cj",((('BLAZE SHIELD II'!$H$4*('HOJA DE CÁLCULO RESPALDO'!I26^2)+'BLAZE SHIELD II'!$H$5*'HOJA DE CÁLCULO RESPALDO'!I26+'BLAZE SHIELD II'!$H$6)*LN(J26))+('BLAZE SHIELD II'!$H$7*('HOJA DE CÁLCULO RESPALDO'!I26^2)+'BLAZE SHIELD II'!$H$8*'HOJA DE CÁLCULO RESPALDO'!I26+'BLAZE SHIELD II'!$H$9)),0),0),0))+(IF(L26="Blaze Shield II",IF(M26="Idiem software",IF(C26="C",((('BLAZE SHIELD II'!$L$4*('HOJA DE CÁLCULO RESPALDO'!I26^2)+'BLAZE SHIELD II'!$L$5*'HOJA DE CÁLCULO RESPALDO'!I26+'BLAZE SHIELD II'!$L$6)*LN(J26))+('BLAZE SHIELD II'!$L$7*('HOJA DE CÁLCULO RESPALDO'!I26^2)+'BLAZE SHIELD II'!$L$8*'HOJA DE CÁLCULO RESPALDO'!I26+'BLAZE SHIELD II'!$L$9)),0),0),0))+(IF(L26="Blaze Shield II",IF(M26="Idiem software",IF(AND(C26="IN",G26=3),((('BLAZE SHIELD II'!$H$14*('HOJA DE CÁLCULO RESPALDO'!I26^2)+'BLAZE SHIELD II'!$H$15*'HOJA DE CÁLCULO RESPALDO'!I26+'BLAZE SHIELD II'!$H$16)*LN(J26))+('BLAZE SHIELD II'!$H$17*('HOJA DE CÁLCULO RESPALDO'!I26^2)+'BLAZE SHIELD II'!$H$18*'HOJA DE CÁLCULO RESPALDO'!I26+'BLAZE SHIELD II'!$H$19)),0),0),0)),0)</f>
        <v>0</v>
      </c>
      <c r="O26" s="46">
        <f t="shared" si="4"/>
        <v>0</v>
      </c>
      <c r="P26" s="80">
        <f t="shared" si="1"/>
        <v>0</v>
      </c>
      <c r="Q26" s="85">
        <f>ROUND((IF(L26="Cafco 400",IF(M26="Idiem software",IF(AND(C26="IN",G26=4),((('CAFCO 400 '!$H$7*(J26^4)+'CAFCO 400 '!$H$8*(J26^3)+'CAFCO 400 '!$H$9*(J26^2)+'CAFCO 400 '!$H$10*J26+'CAFCO 400 '!$H$11)*I26^2)+(('CAFCO 400 '!$H$12*(J26^3)+'CAFCO 400 '!$H$13*(J26^2)+'CAFCO 400 '!$H$14*J26+'CAFCO 400 '!$H$15)*I26)+('CAFCO 400 '!$H$16*(J26^2)+'CAFCO 400 '!$H$17*J26+'CAFCO 400 '!$H$18)),0),0),0))+(IF(L26="Cafco 400",IF(M26="Idiem software",IF(C26="Cj",(((('CAFCO 400 '!$D$7*LN(J26)+'CAFCO 400 '!$D$8)*I26^2)+(('CAFCO 400 '!$D$9*LN(J26)+'CAFCO 400 '!$D$10)*I26)+('CAFCO 400 '!$D$11*LN(J26)+'CAFCO 400 '!$D$12))),0),0),0))+(IF(L26="Cafco 400",IF(M26="Idiem software",IF(C26="C",((('CAFCO 400 '!$L$7*(J26^3)+'CAFCO 400 '!$L$8*(J26^2)+'CAFCO 400 '!$L$9*J26+'CAFCO 400 '!$L$10)*I26^2)+(('CAFCO 400 '!$L$11*(J26^3)+'CAFCO 400 '!$L$12*(J26^2)+'CAFCO 400 '!$L$13*J26+'CAFCO 400 '!$L$14)*I26)+('CAFCO 400 '!$L$15*LN(J26)+'CAFCO 400 '!$L$16)),0),0),0))+(IF(L26="Cafco 400",IF(M26="Idiem software",IF(AND(C26="IN",G26=3),((('CAFCO 400 '!$D$23*(J26^2)+'CAFCO 400 '!$D$24*(J26)+'CAFCO 400 '!$D$25)*I26^2)+(('CAFCO 400 '!$D$26*(J26^2)+'CAFCO 400 '!$D$27*J26+'CAFCO 400 '!$D$28)*I26)+('CAFCO 400 '!$D$29*(J26^2)+'CAFCO 400 '!$D$30*J26+'CAFCO 400 '!$D$31)),0),0),0)),0)</f>
        <v>0</v>
      </c>
      <c r="R26" s="47">
        <f t="shared" si="5"/>
        <v>0</v>
      </c>
      <c r="S26" s="82">
        <f t="shared" si="2"/>
        <v>0</v>
      </c>
      <c r="T26" s="81">
        <f>+IF(AND(J26&gt;=95,J26&lt;=240),IF(AND(C26="Cj",I26=90),VLOOKUP(W26,'CAFCO 300 IDIEM TABLAS'!$B$4:$D$23,2,FALSE),0)+IF(AND(J26&gt;=95,J26&lt;=240),IF(AND(C26="Cj",I26=120),VLOOKUP(W26,'CAFCO 300 IDIEM TABLAS'!$B$4:$D$23,3,FALSE),0))+IF(AND(J26&gt;=95,J26&lt;=400,G26=3),IF(AND(C26="IN",I26=90),VLOOKUP(W26,'CAFCO 300 IDIEM TABLAS'!$F$4:$H$35,2,FALSE),0),0)+IF(AND(J26&gt;=95,J26&lt;=400,G26=3),IF(AND(C26="IN",I26=120),VLOOKUP(W26,'CAFCO 300 IDIEM TABLAS'!$F$4:$H$35,3,FALSE),0),0)+IF(AND(J26&gt;=95,J26&lt;=450,G26=4),IF(AND(C26="IN",I26=90),VLOOKUP(W26,'CAFCO 300 IDIEM TABLAS'!$J$4:$L$40,2,FALSE),0),0)+IF(AND(J26&gt;=95,J26&lt;=450,G26=4),IF(AND(C26="IN",I26=120),VLOOKUP(W26,'CAFCO 300 IDIEM TABLAS'!$J$4:$L$40,3,FALSE),0),0))</f>
        <v>17</v>
      </c>
      <c r="U26" s="48">
        <f t="shared" si="6"/>
        <v>6.94637676508344</v>
      </c>
      <c r="V26" s="82">
        <f t="shared" si="3"/>
        <v>104292.90075096277</v>
      </c>
      <c r="W26" s="64">
        <f>+IF(J26=LOOKUP(J26,'CAFCO 300 IDIEM TABLAS'!$J$4:$J$40),'HOJA DE CÁLCULO RESPALDO'!J26,MROUND('HOJA DE CÁLCULO RESPALDO'!J26,10))</f>
        <v>95</v>
      </c>
      <c r="X26" s="36"/>
      <c r="Y26" s="4"/>
    </row>
    <row r="27" spans="1:25" x14ac:dyDescent="0.25">
      <c r="A27" s="2" t="s">
        <v>33</v>
      </c>
      <c r="B27" s="3" t="s">
        <v>17</v>
      </c>
      <c r="C27" s="3" t="s">
        <v>19</v>
      </c>
      <c r="D27" s="3">
        <v>1</v>
      </c>
      <c r="E27" s="2">
        <v>1</v>
      </c>
      <c r="F27" s="8">
        <v>8500</v>
      </c>
      <c r="G27" s="1">
        <v>4</v>
      </c>
      <c r="H27" s="2">
        <v>1692</v>
      </c>
      <c r="I27" s="34">
        <v>90</v>
      </c>
      <c r="J27" s="11">
        <v>95</v>
      </c>
      <c r="K27" s="44">
        <f t="shared" si="0"/>
        <v>14.382</v>
      </c>
      <c r="L27" s="3" t="s">
        <v>61</v>
      </c>
      <c r="M27" s="3" t="s">
        <v>70</v>
      </c>
      <c r="N27" s="15">
        <f>ROUND((IF(L27="Blaze Shield II",IF(M27="Idiem software",IF(AND(C27="IN",G27=4),((('BLAZE SHIELD II'!$D$4*('HOJA DE CÁLCULO RESPALDO'!I27^2)+'BLAZE SHIELD II'!$D$5*'HOJA DE CÁLCULO RESPALDO'!I27+'BLAZE SHIELD II'!$D$6)*LN(J27))+('BLAZE SHIELD II'!$D$7*('HOJA DE CÁLCULO RESPALDO'!I27^2)+'BLAZE SHIELD II'!$D$8*'HOJA DE CÁLCULO RESPALDO'!I27+'BLAZE SHIELD II'!$D$9)),0),0),0))+(IF(L27="Blaze Shield II",IF(M27="Idiem software",IF(C27="Cj",((('BLAZE SHIELD II'!$H$4*('HOJA DE CÁLCULO RESPALDO'!I27^2)+'BLAZE SHIELD II'!$H$5*'HOJA DE CÁLCULO RESPALDO'!I27+'BLAZE SHIELD II'!$H$6)*LN(J27))+('BLAZE SHIELD II'!$H$7*('HOJA DE CÁLCULO RESPALDO'!I27^2)+'BLAZE SHIELD II'!$H$8*'HOJA DE CÁLCULO RESPALDO'!I27+'BLAZE SHIELD II'!$H$9)),0),0),0))+(IF(L27="Blaze Shield II",IF(M27="Idiem software",IF(C27="C",((('BLAZE SHIELD II'!$L$4*('HOJA DE CÁLCULO RESPALDO'!I27^2)+'BLAZE SHIELD II'!$L$5*'HOJA DE CÁLCULO RESPALDO'!I27+'BLAZE SHIELD II'!$L$6)*LN(J27))+('BLAZE SHIELD II'!$L$7*('HOJA DE CÁLCULO RESPALDO'!I27^2)+'BLAZE SHIELD II'!$L$8*'HOJA DE CÁLCULO RESPALDO'!I27+'BLAZE SHIELD II'!$L$9)),0),0),0))+(IF(L27="Blaze Shield II",IF(M27="Idiem software",IF(AND(C27="IN",G27=3),((('BLAZE SHIELD II'!$H$14*('HOJA DE CÁLCULO RESPALDO'!I27^2)+'BLAZE SHIELD II'!$H$15*'HOJA DE CÁLCULO RESPALDO'!I27+'BLAZE SHIELD II'!$H$16)*LN(J27))+('BLAZE SHIELD II'!$H$17*('HOJA DE CÁLCULO RESPALDO'!I27^2)+'BLAZE SHIELD II'!$H$18*'HOJA DE CÁLCULO RESPALDO'!I27+'BLAZE SHIELD II'!$H$19)),0),0),0)),0)</f>
        <v>0</v>
      </c>
      <c r="O27" s="46">
        <f t="shared" si="4"/>
        <v>0</v>
      </c>
      <c r="P27" s="80">
        <f t="shared" si="1"/>
        <v>0</v>
      </c>
      <c r="Q27" s="85">
        <f>ROUND((IF(L27="Cafco 400",IF(M27="Idiem software",IF(AND(C27="IN",G27=4),((('CAFCO 400 '!$H$7*(J27^4)+'CAFCO 400 '!$H$8*(J27^3)+'CAFCO 400 '!$H$9*(J27^2)+'CAFCO 400 '!$H$10*J27+'CAFCO 400 '!$H$11)*I27^2)+(('CAFCO 400 '!$H$12*(J27^3)+'CAFCO 400 '!$H$13*(J27^2)+'CAFCO 400 '!$H$14*J27+'CAFCO 400 '!$H$15)*I27)+('CAFCO 400 '!$H$16*(J27^2)+'CAFCO 400 '!$H$17*J27+'CAFCO 400 '!$H$18)),0),0),0))+(IF(L27="Cafco 400",IF(M27="Idiem software",IF(C27="Cj",(((('CAFCO 400 '!$D$7*LN(J27)+'CAFCO 400 '!$D$8)*I27^2)+(('CAFCO 400 '!$D$9*LN(J27)+'CAFCO 400 '!$D$10)*I27)+('CAFCO 400 '!$D$11*LN(J27)+'CAFCO 400 '!$D$12))),0),0),0))+(IF(L27="Cafco 400",IF(M27="Idiem software",IF(C27="C",((('CAFCO 400 '!$L$7*(J27^3)+'CAFCO 400 '!$L$8*(J27^2)+'CAFCO 400 '!$L$9*J27+'CAFCO 400 '!$L$10)*I27^2)+(('CAFCO 400 '!$L$11*(J27^3)+'CAFCO 400 '!$L$12*(J27^2)+'CAFCO 400 '!$L$13*J27+'CAFCO 400 '!$L$14)*I27)+('CAFCO 400 '!$L$15*LN(J27)+'CAFCO 400 '!$L$16)),0),0),0))+(IF(L27="Cafco 400",IF(M27="Idiem software",IF(AND(C27="IN",G27=3),((('CAFCO 400 '!$D$23*(J27^2)+'CAFCO 400 '!$D$24*(J27)+'CAFCO 400 '!$D$25)*I27^2)+(('CAFCO 400 '!$D$26*(J27^2)+'CAFCO 400 '!$D$27*J27+'CAFCO 400 '!$D$28)*I27)+('CAFCO 400 '!$D$29*(J27^2)+'CAFCO 400 '!$D$30*J27+'CAFCO 400 '!$D$31)),0),0),0)),0)</f>
        <v>0</v>
      </c>
      <c r="R27" s="47">
        <f t="shared" si="5"/>
        <v>0</v>
      </c>
      <c r="S27" s="82">
        <f t="shared" si="2"/>
        <v>0</v>
      </c>
      <c r="T27" s="81">
        <f>+IF(AND(J27&gt;=95,J27&lt;=240),IF(AND(C27="Cj",I27=90),VLOOKUP(W27,'CAFCO 300 IDIEM TABLAS'!$B$4:$D$23,2,FALSE),0)+IF(AND(J27&gt;=95,J27&lt;=240),IF(AND(C27="Cj",I27=120),VLOOKUP(W27,'CAFCO 300 IDIEM TABLAS'!$B$4:$D$23,3,FALSE),0))+IF(AND(J27&gt;=95,J27&lt;=400,G27=3),IF(AND(C27="IN",I27=90),VLOOKUP(W27,'CAFCO 300 IDIEM TABLAS'!$F$4:$H$35,2,FALSE),0),0)+IF(AND(J27&gt;=95,J27&lt;=400,G27=3),IF(AND(C27="IN",I27=120),VLOOKUP(W27,'CAFCO 300 IDIEM TABLAS'!$F$4:$H$35,3,FALSE),0),0)+IF(AND(J27&gt;=95,J27&lt;=450,G27=4),IF(AND(C27="IN",I27=90),VLOOKUP(W27,'CAFCO 300 IDIEM TABLAS'!$J$4:$L$40,2,FALSE),0),0)+IF(AND(J27&gt;=95,J27&lt;=450,G27=4),IF(AND(C27="IN",I27=120),VLOOKUP(W27,'CAFCO 300 IDIEM TABLAS'!$J$4:$L$40,3,FALSE),0),0))</f>
        <v>17</v>
      </c>
      <c r="U27" s="48">
        <f t="shared" si="6"/>
        <v>3.3739544287548138</v>
      </c>
      <c r="V27" s="82">
        <f t="shared" si="3"/>
        <v>50656.551793324776</v>
      </c>
      <c r="W27" s="64">
        <f>+IF(J27=LOOKUP(J27,'CAFCO 300 IDIEM TABLAS'!$J$4:$J$40),'HOJA DE CÁLCULO RESPALDO'!J27,MROUND('HOJA DE CÁLCULO RESPALDO'!J27,10))</f>
        <v>95</v>
      </c>
      <c r="X27" s="36"/>
      <c r="Y27" s="4"/>
    </row>
    <row r="28" spans="1:25" ht="15.6" customHeight="1" x14ac:dyDescent="0.25">
      <c r="A28" s="2" t="s">
        <v>33</v>
      </c>
      <c r="B28" s="3" t="s">
        <v>17</v>
      </c>
      <c r="C28" s="3" t="s">
        <v>19</v>
      </c>
      <c r="D28" s="3">
        <v>1</v>
      </c>
      <c r="E28" s="2">
        <v>1</v>
      </c>
      <c r="F28" s="8">
        <v>8500</v>
      </c>
      <c r="G28" s="1">
        <v>4</v>
      </c>
      <c r="H28" s="2">
        <v>1502</v>
      </c>
      <c r="I28" s="34">
        <v>90</v>
      </c>
      <c r="J28" s="11">
        <v>95</v>
      </c>
      <c r="K28" s="44">
        <f t="shared" si="0"/>
        <v>12.766999999999999</v>
      </c>
      <c r="L28" s="3" t="s">
        <v>61</v>
      </c>
      <c r="M28" s="3" t="s">
        <v>70</v>
      </c>
      <c r="N28" s="15">
        <f>ROUND((IF(L28="Blaze Shield II",IF(M28="Idiem software",IF(AND(C28="IN",G28=4),((('BLAZE SHIELD II'!$D$4*('HOJA DE CÁLCULO RESPALDO'!I28^2)+'BLAZE SHIELD II'!$D$5*'HOJA DE CÁLCULO RESPALDO'!I28+'BLAZE SHIELD II'!$D$6)*LN(J28))+('BLAZE SHIELD II'!$D$7*('HOJA DE CÁLCULO RESPALDO'!I28^2)+'BLAZE SHIELD II'!$D$8*'HOJA DE CÁLCULO RESPALDO'!I28+'BLAZE SHIELD II'!$D$9)),0),0),0))+(IF(L28="Blaze Shield II",IF(M28="Idiem software",IF(C28="Cj",((('BLAZE SHIELD II'!$H$4*('HOJA DE CÁLCULO RESPALDO'!I28^2)+'BLAZE SHIELD II'!$H$5*'HOJA DE CÁLCULO RESPALDO'!I28+'BLAZE SHIELD II'!$H$6)*LN(J28))+('BLAZE SHIELD II'!$H$7*('HOJA DE CÁLCULO RESPALDO'!I28^2)+'BLAZE SHIELD II'!$H$8*'HOJA DE CÁLCULO RESPALDO'!I28+'BLAZE SHIELD II'!$H$9)),0),0),0))+(IF(L28="Blaze Shield II",IF(M28="Idiem software",IF(C28="C",((('BLAZE SHIELD II'!$L$4*('HOJA DE CÁLCULO RESPALDO'!I28^2)+'BLAZE SHIELD II'!$L$5*'HOJA DE CÁLCULO RESPALDO'!I28+'BLAZE SHIELD II'!$L$6)*LN(J28))+('BLAZE SHIELD II'!$L$7*('HOJA DE CÁLCULO RESPALDO'!I28^2)+'BLAZE SHIELD II'!$L$8*'HOJA DE CÁLCULO RESPALDO'!I28+'BLAZE SHIELD II'!$L$9)),0),0),0))+(IF(L28="Blaze Shield II",IF(M28="Idiem software",IF(AND(C28="IN",G28=3),((('BLAZE SHIELD II'!$H$14*('HOJA DE CÁLCULO RESPALDO'!I28^2)+'BLAZE SHIELD II'!$H$15*'HOJA DE CÁLCULO RESPALDO'!I28+'BLAZE SHIELD II'!$H$16)*LN(J28))+('BLAZE SHIELD II'!$H$17*('HOJA DE CÁLCULO RESPALDO'!I28^2)+'BLAZE SHIELD II'!$H$18*'HOJA DE CÁLCULO RESPALDO'!I28+'BLAZE SHIELD II'!$H$19)),0),0),0)),0)</f>
        <v>0</v>
      </c>
      <c r="O28" s="46">
        <f t="shared" si="4"/>
        <v>0</v>
      </c>
      <c r="P28" s="80">
        <f t="shared" si="1"/>
        <v>0</v>
      </c>
      <c r="Q28" s="85">
        <f>ROUND((IF(L28="Cafco 400",IF(M28="Idiem software",IF(AND(C28="IN",G28=4),((('CAFCO 400 '!$H$7*(J28^4)+'CAFCO 400 '!$H$8*(J28^3)+'CAFCO 400 '!$H$9*(J28^2)+'CAFCO 400 '!$H$10*J28+'CAFCO 400 '!$H$11)*I28^2)+(('CAFCO 400 '!$H$12*(J28^3)+'CAFCO 400 '!$H$13*(J28^2)+'CAFCO 400 '!$H$14*J28+'CAFCO 400 '!$H$15)*I28)+('CAFCO 400 '!$H$16*(J28^2)+'CAFCO 400 '!$H$17*J28+'CAFCO 400 '!$H$18)),0),0),0))+(IF(L28="Cafco 400",IF(M28="Idiem software",IF(C28="Cj",(((('CAFCO 400 '!$D$7*LN(J28)+'CAFCO 400 '!$D$8)*I28^2)+(('CAFCO 400 '!$D$9*LN(J28)+'CAFCO 400 '!$D$10)*I28)+('CAFCO 400 '!$D$11*LN(J28)+'CAFCO 400 '!$D$12))),0),0),0))+(IF(L28="Cafco 400",IF(M28="Idiem software",IF(C28="C",((('CAFCO 400 '!$L$7*(J28^3)+'CAFCO 400 '!$L$8*(J28^2)+'CAFCO 400 '!$L$9*J28+'CAFCO 400 '!$L$10)*I28^2)+(('CAFCO 400 '!$L$11*(J28^3)+'CAFCO 400 '!$L$12*(J28^2)+'CAFCO 400 '!$L$13*J28+'CAFCO 400 '!$L$14)*I28)+('CAFCO 400 '!$L$15*LN(J28)+'CAFCO 400 '!$L$16)),0),0),0))+(IF(L28="Cafco 400",IF(M28="Idiem software",IF(AND(C28="IN",G28=3),((('CAFCO 400 '!$D$23*(J28^2)+'CAFCO 400 '!$D$24*(J28)+'CAFCO 400 '!$D$25)*I28^2)+(('CAFCO 400 '!$D$26*(J28^2)+'CAFCO 400 '!$D$27*J28+'CAFCO 400 '!$D$28)*I28)+('CAFCO 400 '!$D$29*(J28^2)+'CAFCO 400 '!$D$30*J28+'CAFCO 400 '!$D$31)),0),0),0)),0)</f>
        <v>0</v>
      </c>
      <c r="R28" s="47">
        <f t="shared" si="5"/>
        <v>0</v>
      </c>
      <c r="S28" s="82">
        <f t="shared" si="2"/>
        <v>0</v>
      </c>
      <c r="T28" s="81">
        <f>+IF(AND(J28&gt;=95,J28&lt;=240),IF(AND(C28="Cj",I28=90),VLOOKUP(W28,'CAFCO 300 IDIEM TABLAS'!$B$4:$D$23,2,FALSE),0)+IF(AND(J28&gt;=95,J28&lt;=240),IF(AND(C28="Cj",I28=120),VLOOKUP(W28,'CAFCO 300 IDIEM TABLAS'!$B$4:$D$23,3,FALSE),0))+IF(AND(J28&gt;=95,J28&lt;=400,G28=3),IF(AND(C28="IN",I28=90),VLOOKUP(W28,'CAFCO 300 IDIEM TABLAS'!$F$4:$H$35,2,FALSE),0),0)+IF(AND(J28&gt;=95,J28&lt;=400,G28=3),IF(AND(C28="IN",I28=120),VLOOKUP(W28,'CAFCO 300 IDIEM TABLAS'!$F$4:$H$35,3,FALSE),0),0)+IF(AND(J28&gt;=95,J28&lt;=450,G28=4),IF(AND(C28="IN",I28=90),VLOOKUP(W28,'CAFCO 300 IDIEM TABLAS'!$J$4:$L$40,2,FALSE),0),0)+IF(AND(J28&gt;=95,J28&lt;=450,G28=4),IF(AND(C28="IN",I28=120),VLOOKUP(W28,'CAFCO 300 IDIEM TABLAS'!$J$4:$L$40,3,FALSE),0),0))</f>
        <v>17</v>
      </c>
      <c r="U28" s="48">
        <f t="shared" si="6"/>
        <v>2.9950824775353015</v>
      </c>
      <c r="V28" s="82">
        <f t="shared" si="3"/>
        <v>44968.168317715019</v>
      </c>
      <c r="W28" s="64">
        <f>+IF(J28=LOOKUP(J28,'CAFCO 300 IDIEM TABLAS'!$J$4:$J$40),'HOJA DE CÁLCULO RESPALDO'!J28,MROUND('HOJA DE CÁLCULO RESPALDO'!J28,10))</f>
        <v>95</v>
      </c>
      <c r="X28" s="36"/>
      <c r="Y28" s="4"/>
    </row>
    <row r="29" spans="1:25" x14ac:dyDescent="0.25">
      <c r="A29" s="2" t="s">
        <v>33</v>
      </c>
      <c r="B29" s="3" t="s">
        <v>17</v>
      </c>
      <c r="C29" s="3" t="s">
        <v>19</v>
      </c>
      <c r="D29" s="3">
        <v>1</v>
      </c>
      <c r="E29" s="2">
        <v>1</v>
      </c>
      <c r="F29" s="8">
        <v>11097</v>
      </c>
      <c r="G29" s="1">
        <v>4</v>
      </c>
      <c r="H29" s="2">
        <v>585</v>
      </c>
      <c r="I29" s="34">
        <v>90</v>
      </c>
      <c r="J29" s="11">
        <v>95</v>
      </c>
      <c r="K29" s="44">
        <f t="shared" si="0"/>
        <v>6.4917449999999999</v>
      </c>
      <c r="L29" s="3" t="s">
        <v>61</v>
      </c>
      <c r="M29" s="3" t="s">
        <v>70</v>
      </c>
      <c r="N29" s="15">
        <f>ROUND((IF(L29="Blaze Shield II",IF(M29="Idiem software",IF(AND(C29="IN",G29=4),((('BLAZE SHIELD II'!$D$4*('HOJA DE CÁLCULO RESPALDO'!I29^2)+'BLAZE SHIELD II'!$D$5*'HOJA DE CÁLCULO RESPALDO'!I29+'BLAZE SHIELD II'!$D$6)*LN(J29))+('BLAZE SHIELD II'!$D$7*('HOJA DE CÁLCULO RESPALDO'!I29^2)+'BLAZE SHIELD II'!$D$8*'HOJA DE CÁLCULO RESPALDO'!I29+'BLAZE SHIELD II'!$D$9)),0),0),0))+(IF(L29="Blaze Shield II",IF(M29="Idiem software",IF(C29="Cj",((('BLAZE SHIELD II'!$H$4*('HOJA DE CÁLCULO RESPALDO'!I29^2)+'BLAZE SHIELD II'!$H$5*'HOJA DE CÁLCULO RESPALDO'!I29+'BLAZE SHIELD II'!$H$6)*LN(J29))+('BLAZE SHIELD II'!$H$7*('HOJA DE CÁLCULO RESPALDO'!I29^2)+'BLAZE SHIELD II'!$H$8*'HOJA DE CÁLCULO RESPALDO'!I29+'BLAZE SHIELD II'!$H$9)),0),0),0))+(IF(L29="Blaze Shield II",IF(M29="Idiem software",IF(C29="C",((('BLAZE SHIELD II'!$L$4*('HOJA DE CÁLCULO RESPALDO'!I29^2)+'BLAZE SHIELD II'!$L$5*'HOJA DE CÁLCULO RESPALDO'!I29+'BLAZE SHIELD II'!$L$6)*LN(J29))+('BLAZE SHIELD II'!$L$7*('HOJA DE CÁLCULO RESPALDO'!I29^2)+'BLAZE SHIELD II'!$L$8*'HOJA DE CÁLCULO RESPALDO'!I29+'BLAZE SHIELD II'!$L$9)),0),0),0))+(IF(L29="Blaze Shield II",IF(M29="Idiem software",IF(AND(C29="IN",G29=3),((('BLAZE SHIELD II'!$H$14*('HOJA DE CÁLCULO RESPALDO'!I29^2)+'BLAZE SHIELD II'!$H$15*'HOJA DE CÁLCULO RESPALDO'!I29+'BLAZE SHIELD II'!$H$16)*LN(J29))+('BLAZE SHIELD II'!$H$17*('HOJA DE CÁLCULO RESPALDO'!I29^2)+'BLAZE SHIELD II'!$H$18*'HOJA DE CÁLCULO RESPALDO'!I29+'BLAZE SHIELD II'!$H$19)),0),0),0)),0)</f>
        <v>0</v>
      </c>
      <c r="O29" s="46">
        <f t="shared" si="4"/>
        <v>0</v>
      </c>
      <c r="P29" s="80">
        <f t="shared" si="1"/>
        <v>0</v>
      </c>
      <c r="Q29" s="85">
        <f>ROUND((IF(L29="Cafco 400",IF(M29="Idiem software",IF(AND(C29="IN",G29=4),((('CAFCO 400 '!$H$7*(J29^4)+'CAFCO 400 '!$H$8*(J29^3)+'CAFCO 400 '!$H$9*(J29^2)+'CAFCO 400 '!$H$10*J29+'CAFCO 400 '!$H$11)*I29^2)+(('CAFCO 400 '!$H$12*(J29^3)+'CAFCO 400 '!$H$13*(J29^2)+'CAFCO 400 '!$H$14*J29+'CAFCO 400 '!$H$15)*I29)+('CAFCO 400 '!$H$16*(J29^2)+'CAFCO 400 '!$H$17*J29+'CAFCO 400 '!$H$18)),0),0),0))+(IF(L29="Cafco 400",IF(M29="Idiem software",IF(C29="Cj",(((('CAFCO 400 '!$D$7*LN(J29)+'CAFCO 400 '!$D$8)*I29^2)+(('CAFCO 400 '!$D$9*LN(J29)+'CAFCO 400 '!$D$10)*I29)+('CAFCO 400 '!$D$11*LN(J29)+'CAFCO 400 '!$D$12))),0),0),0))+(IF(L29="Cafco 400",IF(M29="Idiem software",IF(C29="C",((('CAFCO 400 '!$L$7*(J29^3)+'CAFCO 400 '!$L$8*(J29^2)+'CAFCO 400 '!$L$9*J29+'CAFCO 400 '!$L$10)*I29^2)+(('CAFCO 400 '!$L$11*(J29^3)+'CAFCO 400 '!$L$12*(J29^2)+'CAFCO 400 '!$L$13*J29+'CAFCO 400 '!$L$14)*I29)+('CAFCO 400 '!$L$15*LN(J29)+'CAFCO 400 '!$L$16)),0),0),0))+(IF(L29="Cafco 400",IF(M29="Idiem software",IF(AND(C29="IN",G29=3),((('CAFCO 400 '!$D$23*(J29^2)+'CAFCO 400 '!$D$24*(J29)+'CAFCO 400 '!$D$25)*I29^2)+(('CAFCO 400 '!$D$26*(J29^2)+'CAFCO 400 '!$D$27*J29+'CAFCO 400 '!$D$28)*I29)+('CAFCO 400 '!$D$29*(J29^2)+'CAFCO 400 '!$D$30*J29+'CAFCO 400 '!$D$31)),0),0),0)),0)</f>
        <v>0</v>
      </c>
      <c r="R29" s="47">
        <f t="shared" si="5"/>
        <v>0</v>
      </c>
      <c r="S29" s="82">
        <f t="shared" si="2"/>
        <v>0</v>
      </c>
      <c r="T29" s="81">
        <f>+IF(AND(J29&gt;=95,J29&lt;=240),IF(AND(C29="Cj",I29=90),VLOOKUP(W29,'CAFCO 300 IDIEM TABLAS'!$B$4:$D$23,2,FALSE),0)+IF(AND(J29&gt;=95,J29&lt;=240),IF(AND(C29="Cj",I29=120),VLOOKUP(W29,'CAFCO 300 IDIEM TABLAS'!$B$4:$D$23,3,FALSE),0))+IF(AND(J29&gt;=95,J29&lt;=400,G29=3),IF(AND(C29="IN",I29=90),VLOOKUP(W29,'CAFCO 300 IDIEM TABLAS'!$F$4:$H$35,2,FALSE),0),0)+IF(AND(J29&gt;=95,J29&lt;=400,G29=3),IF(AND(C29="IN",I29=120),VLOOKUP(W29,'CAFCO 300 IDIEM TABLAS'!$F$4:$H$35,3,FALSE),0),0)+IF(AND(J29&gt;=95,J29&lt;=450,G29=4),IF(AND(C29="IN",I29=90),VLOOKUP(W29,'CAFCO 300 IDIEM TABLAS'!$J$4:$L$40,2,FALSE),0),0)+IF(AND(J29&gt;=95,J29&lt;=450,G29=4),IF(AND(C29="IN",I29=120),VLOOKUP(W29,'CAFCO 300 IDIEM TABLAS'!$J$4:$L$40,3,FALSE),0),0))</f>
        <v>17</v>
      </c>
      <c r="U29" s="48">
        <f t="shared" si="6"/>
        <v>1.5229350433247753</v>
      </c>
      <c r="V29" s="82">
        <f t="shared" si="3"/>
        <v>22865.346740478177</v>
      </c>
      <c r="W29" s="64">
        <f>+IF(J29=LOOKUP(J29,'CAFCO 300 IDIEM TABLAS'!$J$4:$J$40),'HOJA DE CÁLCULO RESPALDO'!J29,MROUND('HOJA DE CÁLCULO RESPALDO'!J29,10))</f>
        <v>95</v>
      </c>
      <c r="X29" s="36"/>
      <c r="Y29" s="4"/>
    </row>
    <row r="30" spans="1:25" ht="15.6" customHeight="1" x14ac:dyDescent="0.25">
      <c r="A30" s="2" t="s">
        <v>33</v>
      </c>
      <c r="B30" s="3" t="s">
        <v>17</v>
      </c>
      <c r="C30" s="3" t="s">
        <v>19</v>
      </c>
      <c r="D30" s="3">
        <v>1</v>
      </c>
      <c r="E30" s="2">
        <v>1</v>
      </c>
      <c r="F30" s="8">
        <v>1500</v>
      </c>
      <c r="G30" s="1">
        <v>4</v>
      </c>
      <c r="H30" s="2">
        <v>776</v>
      </c>
      <c r="I30" s="34">
        <v>90</v>
      </c>
      <c r="J30" s="11">
        <v>95</v>
      </c>
      <c r="K30" s="44">
        <f t="shared" si="0"/>
        <v>1.1639999999999999</v>
      </c>
      <c r="L30" s="3" t="s">
        <v>61</v>
      </c>
      <c r="M30" s="3" t="s">
        <v>70</v>
      </c>
      <c r="N30" s="15">
        <f>ROUND((IF(L30="Blaze Shield II",IF(M30="Idiem software",IF(AND(C30="IN",G30=4),((('BLAZE SHIELD II'!$D$4*('HOJA DE CÁLCULO RESPALDO'!I30^2)+'BLAZE SHIELD II'!$D$5*'HOJA DE CÁLCULO RESPALDO'!I30+'BLAZE SHIELD II'!$D$6)*LN(J30))+('BLAZE SHIELD II'!$D$7*('HOJA DE CÁLCULO RESPALDO'!I30^2)+'BLAZE SHIELD II'!$D$8*'HOJA DE CÁLCULO RESPALDO'!I30+'BLAZE SHIELD II'!$D$9)),0),0),0))+(IF(L30="Blaze Shield II",IF(M30="Idiem software",IF(C30="Cj",((('BLAZE SHIELD II'!$H$4*('HOJA DE CÁLCULO RESPALDO'!I30^2)+'BLAZE SHIELD II'!$H$5*'HOJA DE CÁLCULO RESPALDO'!I30+'BLAZE SHIELD II'!$H$6)*LN(J30))+('BLAZE SHIELD II'!$H$7*('HOJA DE CÁLCULO RESPALDO'!I30^2)+'BLAZE SHIELD II'!$H$8*'HOJA DE CÁLCULO RESPALDO'!I30+'BLAZE SHIELD II'!$H$9)),0),0),0))+(IF(L30="Blaze Shield II",IF(M30="Idiem software",IF(C30="C",((('BLAZE SHIELD II'!$L$4*('HOJA DE CÁLCULO RESPALDO'!I30^2)+'BLAZE SHIELD II'!$L$5*'HOJA DE CÁLCULO RESPALDO'!I30+'BLAZE SHIELD II'!$L$6)*LN(J30))+('BLAZE SHIELD II'!$L$7*('HOJA DE CÁLCULO RESPALDO'!I30^2)+'BLAZE SHIELD II'!$L$8*'HOJA DE CÁLCULO RESPALDO'!I30+'BLAZE SHIELD II'!$L$9)),0),0),0))+(IF(L30="Blaze Shield II",IF(M30="Idiem software",IF(AND(C30="IN",G30=3),((('BLAZE SHIELD II'!$H$14*('HOJA DE CÁLCULO RESPALDO'!I30^2)+'BLAZE SHIELD II'!$H$15*'HOJA DE CÁLCULO RESPALDO'!I30+'BLAZE SHIELD II'!$H$16)*LN(J30))+('BLAZE SHIELD II'!$H$17*('HOJA DE CÁLCULO RESPALDO'!I30^2)+'BLAZE SHIELD II'!$H$18*'HOJA DE CÁLCULO RESPALDO'!I30+'BLAZE SHIELD II'!$H$19)),0),0),0)),0)</f>
        <v>0</v>
      </c>
      <c r="O30" s="46">
        <f t="shared" si="4"/>
        <v>0</v>
      </c>
      <c r="P30" s="80">
        <f t="shared" si="1"/>
        <v>0</v>
      </c>
      <c r="Q30" s="85">
        <f>ROUND((IF(L30="Cafco 400",IF(M30="Idiem software",IF(AND(C30="IN",G30=4),((('CAFCO 400 '!$H$7*(J30^4)+'CAFCO 400 '!$H$8*(J30^3)+'CAFCO 400 '!$H$9*(J30^2)+'CAFCO 400 '!$H$10*J30+'CAFCO 400 '!$H$11)*I30^2)+(('CAFCO 400 '!$H$12*(J30^3)+'CAFCO 400 '!$H$13*(J30^2)+'CAFCO 400 '!$H$14*J30+'CAFCO 400 '!$H$15)*I30)+('CAFCO 400 '!$H$16*(J30^2)+'CAFCO 400 '!$H$17*J30+'CAFCO 400 '!$H$18)),0),0),0))+(IF(L30="Cafco 400",IF(M30="Idiem software",IF(C30="Cj",(((('CAFCO 400 '!$D$7*LN(J30)+'CAFCO 400 '!$D$8)*I30^2)+(('CAFCO 400 '!$D$9*LN(J30)+'CAFCO 400 '!$D$10)*I30)+('CAFCO 400 '!$D$11*LN(J30)+'CAFCO 400 '!$D$12))),0),0),0))+(IF(L30="Cafco 400",IF(M30="Idiem software",IF(C30="C",((('CAFCO 400 '!$L$7*(J30^3)+'CAFCO 400 '!$L$8*(J30^2)+'CAFCO 400 '!$L$9*J30+'CAFCO 400 '!$L$10)*I30^2)+(('CAFCO 400 '!$L$11*(J30^3)+'CAFCO 400 '!$L$12*(J30^2)+'CAFCO 400 '!$L$13*J30+'CAFCO 400 '!$L$14)*I30)+('CAFCO 400 '!$L$15*LN(J30)+'CAFCO 400 '!$L$16)),0),0),0))+(IF(L30="Cafco 400",IF(M30="Idiem software",IF(AND(C30="IN",G30=3),((('CAFCO 400 '!$D$23*(J30^2)+'CAFCO 400 '!$D$24*(J30)+'CAFCO 400 '!$D$25)*I30^2)+(('CAFCO 400 '!$D$26*(J30^2)+'CAFCO 400 '!$D$27*J30+'CAFCO 400 '!$D$28)*I30)+('CAFCO 400 '!$D$29*(J30^2)+'CAFCO 400 '!$D$30*J30+'CAFCO 400 '!$D$31)),0),0),0)),0)</f>
        <v>0</v>
      </c>
      <c r="R30" s="47">
        <f t="shared" si="5"/>
        <v>0</v>
      </c>
      <c r="S30" s="82">
        <f t="shared" si="2"/>
        <v>0</v>
      </c>
      <c r="T30" s="81">
        <f>+IF(AND(J30&gt;=95,J30&lt;=240),IF(AND(C30="Cj",I30=90),VLOOKUP(W30,'CAFCO 300 IDIEM TABLAS'!$B$4:$D$23,2,FALSE),0)+IF(AND(J30&gt;=95,J30&lt;=240),IF(AND(C30="Cj",I30=120),VLOOKUP(W30,'CAFCO 300 IDIEM TABLAS'!$B$4:$D$23,3,FALSE),0))+IF(AND(J30&gt;=95,J30&lt;=400,G30=3),IF(AND(C30="IN",I30=90),VLOOKUP(W30,'CAFCO 300 IDIEM TABLAS'!$F$4:$H$35,2,FALSE),0),0)+IF(AND(J30&gt;=95,J30&lt;=400,G30=3),IF(AND(C30="IN",I30=120),VLOOKUP(W30,'CAFCO 300 IDIEM TABLAS'!$F$4:$H$35,3,FALSE),0),0)+IF(AND(J30&gt;=95,J30&lt;=450,G30=4),IF(AND(C30="IN",I30=90),VLOOKUP(W30,'CAFCO 300 IDIEM TABLAS'!$J$4:$L$40,2,FALSE),0),0)+IF(AND(J30&gt;=95,J30&lt;=450,G30=4),IF(AND(C30="IN",I30=120),VLOOKUP(W30,'CAFCO 300 IDIEM TABLAS'!$J$4:$L$40,3,FALSE),0),0))</f>
        <v>17</v>
      </c>
      <c r="U30" s="48">
        <f t="shared" si="6"/>
        <v>0.2730693196405648</v>
      </c>
      <c r="V30" s="82">
        <f t="shared" si="3"/>
        <v>4099.8627650834396</v>
      </c>
      <c r="W30" s="64">
        <f>+IF(J30=LOOKUP(J30,'CAFCO 300 IDIEM TABLAS'!$J$4:$J$40),'HOJA DE CÁLCULO RESPALDO'!J30,MROUND('HOJA DE CÁLCULO RESPALDO'!J30,10))</f>
        <v>95</v>
      </c>
      <c r="X30" s="36"/>
      <c r="Y30" s="4"/>
    </row>
    <row r="31" spans="1:25" x14ac:dyDescent="0.25">
      <c r="A31" s="2" t="s">
        <v>33</v>
      </c>
      <c r="B31" s="3" t="s">
        <v>17</v>
      </c>
      <c r="C31" s="3" t="s">
        <v>19</v>
      </c>
      <c r="D31" s="3">
        <v>1</v>
      </c>
      <c r="E31" s="2">
        <v>1</v>
      </c>
      <c r="F31" s="8">
        <v>1500</v>
      </c>
      <c r="G31" s="1">
        <v>4</v>
      </c>
      <c r="H31" s="2">
        <v>3879</v>
      </c>
      <c r="I31" s="34">
        <v>90</v>
      </c>
      <c r="J31" s="11">
        <v>95</v>
      </c>
      <c r="K31" s="44">
        <f t="shared" si="0"/>
        <v>5.8185000000000002</v>
      </c>
      <c r="L31" s="3" t="s">
        <v>61</v>
      </c>
      <c r="M31" s="3" t="s">
        <v>70</v>
      </c>
      <c r="N31" s="15">
        <f>ROUND((IF(L31="Blaze Shield II",IF(M31="Idiem software",IF(AND(C31="IN",G31=4),((('BLAZE SHIELD II'!$D$4*('HOJA DE CÁLCULO RESPALDO'!I31^2)+'BLAZE SHIELD II'!$D$5*'HOJA DE CÁLCULO RESPALDO'!I31+'BLAZE SHIELD II'!$D$6)*LN(J31))+('BLAZE SHIELD II'!$D$7*('HOJA DE CÁLCULO RESPALDO'!I31^2)+'BLAZE SHIELD II'!$D$8*'HOJA DE CÁLCULO RESPALDO'!I31+'BLAZE SHIELD II'!$D$9)),0),0),0))+(IF(L31="Blaze Shield II",IF(M31="Idiem software",IF(C31="Cj",((('BLAZE SHIELD II'!$H$4*('HOJA DE CÁLCULO RESPALDO'!I31^2)+'BLAZE SHIELD II'!$H$5*'HOJA DE CÁLCULO RESPALDO'!I31+'BLAZE SHIELD II'!$H$6)*LN(J31))+('BLAZE SHIELD II'!$H$7*('HOJA DE CÁLCULO RESPALDO'!I31^2)+'BLAZE SHIELD II'!$H$8*'HOJA DE CÁLCULO RESPALDO'!I31+'BLAZE SHIELD II'!$H$9)),0),0),0))+(IF(L31="Blaze Shield II",IF(M31="Idiem software",IF(C31="C",((('BLAZE SHIELD II'!$L$4*('HOJA DE CÁLCULO RESPALDO'!I31^2)+'BLAZE SHIELD II'!$L$5*'HOJA DE CÁLCULO RESPALDO'!I31+'BLAZE SHIELD II'!$L$6)*LN(J31))+('BLAZE SHIELD II'!$L$7*('HOJA DE CÁLCULO RESPALDO'!I31^2)+'BLAZE SHIELD II'!$L$8*'HOJA DE CÁLCULO RESPALDO'!I31+'BLAZE SHIELD II'!$L$9)),0),0),0))+(IF(L31="Blaze Shield II",IF(M31="Idiem software",IF(AND(C31="IN",G31=3),((('BLAZE SHIELD II'!$H$14*('HOJA DE CÁLCULO RESPALDO'!I31^2)+'BLAZE SHIELD II'!$H$15*'HOJA DE CÁLCULO RESPALDO'!I31+'BLAZE SHIELD II'!$H$16)*LN(J31))+('BLAZE SHIELD II'!$H$17*('HOJA DE CÁLCULO RESPALDO'!I31^2)+'BLAZE SHIELD II'!$H$18*'HOJA DE CÁLCULO RESPALDO'!I31+'BLAZE SHIELD II'!$H$19)),0),0),0)),0)</f>
        <v>0</v>
      </c>
      <c r="O31" s="46">
        <f t="shared" si="4"/>
        <v>0</v>
      </c>
      <c r="P31" s="80">
        <f t="shared" si="1"/>
        <v>0</v>
      </c>
      <c r="Q31" s="85">
        <f>ROUND((IF(L31="Cafco 400",IF(M31="Idiem software",IF(AND(C31="IN",G31=4),((('CAFCO 400 '!$H$7*(J31^4)+'CAFCO 400 '!$H$8*(J31^3)+'CAFCO 400 '!$H$9*(J31^2)+'CAFCO 400 '!$H$10*J31+'CAFCO 400 '!$H$11)*I31^2)+(('CAFCO 400 '!$H$12*(J31^3)+'CAFCO 400 '!$H$13*(J31^2)+'CAFCO 400 '!$H$14*J31+'CAFCO 400 '!$H$15)*I31)+('CAFCO 400 '!$H$16*(J31^2)+'CAFCO 400 '!$H$17*J31+'CAFCO 400 '!$H$18)),0),0),0))+(IF(L31="Cafco 400",IF(M31="Idiem software",IF(C31="Cj",(((('CAFCO 400 '!$D$7*LN(J31)+'CAFCO 400 '!$D$8)*I31^2)+(('CAFCO 400 '!$D$9*LN(J31)+'CAFCO 400 '!$D$10)*I31)+('CAFCO 400 '!$D$11*LN(J31)+'CAFCO 400 '!$D$12))),0),0),0))+(IF(L31="Cafco 400",IF(M31="Idiem software",IF(C31="C",((('CAFCO 400 '!$L$7*(J31^3)+'CAFCO 400 '!$L$8*(J31^2)+'CAFCO 400 '!$L$9*J31+'CAFCO 400 '!$L$10)*I31^2)+(('CAFCO 400 '!$L$11*(J31^3)+'CAFCO 400 '!$L$12*(J31^2)+'CAFCO 400 '!$L$13*J31+'CAFCO 400 '!$L$14)*I31)+('CAFCO 400 '!$L$15*LN(J31)+'CAFCO 400 '!$L$16)),0),0),0))+(IF(L31="Cafco 400",IF(M31="Idiem software",IF(AND(C31="IN",G31=3),((('CAFCO 400 '!$D$23*(J31^2)+'CAFCO 400 '!$D$24*(J31)+'CAFCO 400 '!$D$25)*I31^2)+(('CAFCO 400 '!$D$26*(J31^2)+'CAFCO 400 '!$D$27*J31+'CAFCO 400 '!$D$28)*I31)+('CAFCO 400 '!$D$29*(J31^2)+'CAFCO 400 '!$D$30*J31+'CAFCO 400 '!$D$31)),0),0),0)),0)</f>
        <v>0</v>
      </c>
      <c r="R31" s="47">
        <f t="shared" si="5"/>
        <v>0</v>
      </c>
      <c r="S31" s="82">
        <f t="shared" si="2"/>
        <v>0</v>
      </c>
      <c r="T31" s="81">
        <f>+IF(AND(J31&gt;=95,J31&lt;=240),IF(AND(C31="Cj",I31=90),VLOOKUP(W31,'CAFCO 300 IDIEM TABLAS'!$B$4:$D$23,2,FALSE),0)+IF(AND(J31&gt;=95,J31&lt;=240),IF(AND(C31="Cj",I31=120),VLOOKUP(W31,'CAFCO 300 IDIEM TABLAS'!$B$4:$D$23,3,FALSE),0))+IF(AND(J31&gt;=95,J31&lt;=400,G31=3),IF(AND(C31="IN",I31=90),VLOOKUP(W31,'CAFCO 300 IDIEM TABLAS'!$F$4:$H$35,2,FALSE),0),0)+IF(AND(J31&gt;=95,J31&lt;=400,G31=3),IF(AND(C31="IN",I31=120),VLOOKUP(W31,'CAFCO 300 IDIEM TABLAS'!$F$4:$H$35,3,FALSE),0),0)+IF(AND(J31&gt;=95,J31&lt;=450,G31=4),IF(AND(C31="IN",I31=90),VLOOKUP(W31,'CAFCO 300 IDIEM TABLAS'!$J$4:$L$40,2,FALSE),0),0)+IF(AND(J31&gt;=95,J31&lt;=450,G31=4),IF(AND(C31="IN",I31=120),VLOOKUP(W31,'CAFCO 300 IDIEM TABLAS'!$J$4:$L$40,3,FALSE),0),0))</f>
        <v>17</v>
      </c>
      <c r="U31" s="48">
        <f t="shared" si="6"/>
        <v>1.3649947047496791</v>
      </c>
      <c r="V31" s="82">
        <f t="shared" si="3"/>
        <v>20494.030497111682</v>
      </c>
      <c r="W31" s="64">
        <f>+IF(J31=LOOKUP(J31,'CAFCO 300 IDIEM TABLAS'!$J$4:$J$40),'HOJA DE CÁLCULO RESPALDO'!J31,MROUND('HOJA DE CÁLCULO RESPALDO'!J31,10))</f>
        <v>95</v>
      </c>
      <c r="X31" s="36"/>
      <c r="Y31" s="4"/>
    </row>
    <row r="32" spans="1:25" ht="15.6" customHeight="1" x14ac:dyDescent="0.25">
      <c r="A32" s="2" t="s">
        <v>33</v>
      </c>
      <c r="B32" s="3" t="s">
        <v>17</v>
      </c>
      <c r="C32" s="3" t="s">
        <v>19</v>
      </c>
      <c r="D32" s="3">
        <v>1</v>
      </c>
      <c r="E32" s="2">
        <v>1</v>
      </c>
      <c r="F32" s="8">
        <v>11081</v>
      </c>
      <c r="G32" s="1">
        <v>4</v>
      </c>
      <c r="H32" s="2">
        <v>585</v>
      </c>
      <c r="I32" s="34">
        <v>90</v>
      </c>
      <c r="J32" s="11">
        <v>95</v>
      </c>
      <c r="K32" s="44">
        <f t="shared" si="0"/>
        <v>6.4823849999999998</v>
      </c>
      <c r="L32" s="3" t="s">
        <v>61</v>
      </c>
      <c r="M32" s="3" t="s">
        <v>70</v>
      </c>
      <c r="N32" s="15">
        <f>ROUND((IF(L32="Blaze Shield II",IF(M32="Idiem software",IF(AND(C32="IN",G32=4),((('BLAZE SHIELD II'!$D$4*('HOJA DE CÁLCULO RESPALDO'!I32^2)+'BLAZE SHIELD II'!$D$5*'HOJA DE CÁLCULO RESPALDO'!I32+'BLAZE SHIELD II'!$D$6)*LN(J32))+('BLAZE SHIELD II'!$D$7*('HOJA DE CÁLCULO RESPALDO'!I32^2)+'BLAZE SHIELD II'!$D$8*'HOJA DE CÁLCULO RESPALDO'!I32+'BLAZE SHIELD II'!$D$9)),0),0),0))+(IF(L32="Blaze Shield II",IF(M32="Idiem software",IF(C32="Cj",((('BLAZE SHIELD II'!$H$4*('HOJA DE CÁLCULO RESPALDO'!I32^2)+'BLAZE SHIELD II'!$H$5*'HOJA DE CÁLCULO RESPALDO'!I32+'BLAZE SHIELD II'!$H$6)*LN(J32))+('BLAZE SHIELD II'!$H$7*('HOJA DE CÁLCULO RESPALDO'!I32^2)+'BLAZE SHIELD II'!$H$8*'HOJA DE CÁLCULO RESPALDO'!I32+'BLAZE SHIELD II'!$H$9)),0),0),0))+(IF(L32="Blaze Shield II",IF(M32="Idiem software",IF(C32="C",((('BLAZE SHIELD II'!$L$4*('HOJA DE CÁLCULO RESPALDO'!I32^2)+'BLAZE SHIELD II'!$L$5*'HOJA DE CÁLCULO RESPALDO'!I32+'BLAZE SHIELD II'!$L$6)*LN(J32))+('BLAZE SHIELD II'!$L$7*('HOJA DE CÁLCULO RESPALDO'!I32^2)+'BLAZE SHIELD II'!$L$8*'HOJA DE CÁLCULO RESPALDO'!I32+'BLAZE SHIELD II'!$L$9)),0),0),0))+(IF(L32="Blaze Shield II",IF(M32="Idiem software",IF(AND(C32="IN",G32=3),((('BLAZE SHIELD II'!$H$14*('HOJA DE CÁLCULO RESPALDO'!I32^2)+'BLAZE SHIELD II'!$H$15*'HOJA DE CÁLCULO RESPALDO'!I32+'BLAZE SHIELD II'!$H$16)*LN(J32))+('BLAZE SHIELD II'!$H$17*('HOJA DE CÁLCULO RESPALDO'!I32^2)+'BLAZE SHIELD II'!$H$18*'HOJA DE CÁLCULO RESPALDO'!I32+'BLAZE SHIELD II'!$H$19)),0),0),0)),0)</f>
        <v>0</v>
      </c>
      <c r="O32" s="46">
        <f t="shared" si="4"/>
        <v>0</v>
      </c>
      <c r="P32" s="80">
        <f t="shared" si="1"/>
        <v>0</v>
      </c>
      <c r="Q32" s="85">
        <f>ROUND((IF(L32="Cafco 400",IF(M32="Idiem software",IF(AND(C32="IN",G32=4),((('CAFCO 400 '!$H$7*(J32^4)+'CAFCO 400 '!$H$8*(J32^3)+'CAFCO 400 '!$H$9*(J32^2)+'CAFCO 400 '!$H$10*J32+'CAFCO 400 '!$H$11)*I32^2)+(('CAFCO 400 '!$H$12*(J32^3)+'CAFCO 400 '!$H$13*(J32^2)+'CAFCO 400 '!$H$14*J32+'CAFCO 400 '!$H$15)*I32)+('CAFCO 400 '!$H$16*(J32^2)+'CAFCO 400 '!$H$17*J32+'CAFCO 400 '!$H$18)),0),0),0))+(IF(L32="Cafco 400",IF(M32="Idiem software",IF(C32="Cj",(((('CAFCO 400 '!$D$7*LN(J32)+'CAFCO 400 '!$D$8)*I32^2)+(('CAFCO 400 '!$D$9*LN(J32)+'CAFCO 400 '!$D$10)*I32)+('CAFCO 400 '!$D$11*LN(J32)+'CAFCO 400 '!$D$12))),0),0),0))+(IF(L32="Cafco 400",IF(M32="Idiem software",IF(C32="C",((('CAFCO 400 '!$L$7*(J32^3)+'CAFCO 400 '!$L$8*(J32^2)+'CAFCO 400 '!$L$9*J32+'CAFCO 400 '!$L$10)*I32^2)+(('CAFCO 400 '!$L$11*(J32^3)+'CAFCO 400 '!$L$12*(J32^2)+'CAFCO 400 '!$L$13*J32+'CAFCO 400 '!$L$14)*I32)+('CAFCO 400 '!$L$15*LN(J32)+'CAFCO 400 '!$L$16)),0),0),0))+(IF(L32="Cafco 400",IF(M32="Idiem software",IF(AND(C32="IN",G32=3),((('CAFCO 400 '!$D$23*(J32^2)+'CAFCO 400 '!$D$24*(J32)+'CAFCO 400 '!$D$25)*I32^2)+(('CAFCO 400 '!$D$26*(J32^2)+'CAFCO 400 '!$D$27*J32+'CAFCO 400 '!$D$28)*I32)+('CAFCO 400 '!$D$29*(J32^2)+'CAFCO 400 '!$D$30*J32+'CAFCO 400 '!$D$31)),0),0),0)),0)</f>
        <v>0</v>
      </c>
      <c r="R32" s="47">
        <f t="shared" si="5"/>
        <v>0</v>
      </c>
      <c r="S32" s="82">
        <f t="shared" si="2"/>
        <v>0</v>
      </c>
      <c r="T32" s="81">
        <f>+IF(AND(J32&gt;=95,J32&lt;=240),IF(AND(C32="Cj",I32=90),VLOOKUP(W32,'CAFCO 300 IDIEM TABLAS'!$B$4:$D$23,2,FALSE),0)+IF(AND(J32&gt;=95,J32&lt;=240),IF(AND(C32="Cj",I32=120),VLOOKUP(W32,'CAFCO 300 IDIEM TABLAS'!$B$4:$D$23,3,FALSE),0))+IF(AND(J32&gt;=95,J32&lt;=400,G32=3),IF(AND(C32="IN",I32=90),VLOOKUP(W32,'CAFCO 300 IDIEM TABLAS'!$F$4:$H$35,2,FALSE),0),0)+IF(AND(J32&gt;=95,J32&lt;=400,G32=3),IF(AND(C32="IN",I32=120),VLOOKUP(W32,'CAFCO 300 IDIEM TABLAS'!$F$4:$H$35,3,FALSE),0),0)+IF(AND(J32&gt;=95,J32&lt;=450,G32=4),IF(AND(C32="IN",I32=90),VLOOKUP(W32,'CAFCO 300 IDIEM TABLAS'!$J$4:$L$40,2,FALSE),0),0)+IF(AND(J32&gt;=95,J32&lt;=450,G32=4),IF(AND(C32="IN",I32=120),VLOOKUP(W32,'CAFCO 300 IDIEM TABLAS'!$J$4:$L$40,3,FALSE),0),0))</f>
        <v>17</v>
      </c>
      <c r="U32" s="48">
        <f t="shared" si="6"/>
        <v>1.5207392281771501</v>
      </c>
      <c r="V32" s="82">
        <f t="shared" si="3"/>
        <v>22832.378771851731</v>
      </c>
      <c r="W32" s="64">
        <f>+IF(J32=LOOKUP(J32,'CAFCO 300 IDIEM TABLAS'!$J$4:$J$40),'HOJA DE CÁLCULO RESPALDO'!J32,MROUND('HOJA DE CÁLCULO RESPALDO'!J32,10))</f>
        <v>95</v>
      </c>
      <c r="X32" s="36"/>
      <c r="Y32" s="4"/>
    </row>
    <row r="33" spans="1:25" x14ac:dyDescent="0.25">
      <c r="A33" s="2" t="s">
        <v>33</v>
      </c>
      <c r="B33" s="3" t="s">
        <v>17</v>
      </c>
      <c r="C33" s="3" t="s">
        <v>19</v>
      </c>
      <c r="D33" s="3">
        <v>1</v>
      </c>
      <c r="E33" s="2">
        <v>1</v>
      </c>
      <c r="F33" s="8">
        <v>1500</v>
      </c>
      <c r="G33" s="1">
        <v>4</v>
      </c>
      <c r="H33" s="2">
        <v>776</v>
      </c>
      <c r="I33" s="34">
        <v>90</v>
      </c>
      <c r="J33" s="11">
        <v>95</v>
      </c>
      <c r="K33" s="44">
        <f t="shared" si="0"/>
        <v>1.1639999999999999</v>
      </c>
      <c r="L33" s="3" t="s">
        <v>61</v>
      </c>
      <c r="M33" s="3" t="s">
        <v>70</v>
      </c>
      <c r="N33" s="15">
        <f>ROUND((IF(L33="Blaze Shield II",IF(M33="Idiem software",IF(AND(C33="IN",G33=4),((('BLAZE SHIELD II'!$D$4*('HOJA DE CÁLCULO RESPALDO'!I33^2)+'BLAZE SHIELD II'!$D$5*'HOJA DE CÁLCULO RESPALDO'!I33+'BLAZE SHIELD II'!$D$6)*LN(J33))+('BLAZE SHIELD II'!$D$7*('HOJA DE CÁLCULO RESPALDO'!I33^2)+'BLAZE SHIELD II'!$D$8*'HOJA DE CÁLCULO RESPALDO'!I33+'BLAZE SHIELD II'!$D$9)),0),0),0))+(IF(L33="Blaze Shield II",IF(M33="Idiem software",IF(C33="Cj",((('BLAZE SHIELD II'!$H$4*('HOJA DE CÁLCULO RESPALDO'!I33^2)+'BLAZE SHIELD II'!$H$5*'HOJA DE CÁLCULO RESPALDO'!I33+'BLAZE SHIELD II'!$H$6)*LN(J33))+('BLAZE SHIELD II'!$H$7*('HOJA DE CÁLCULO RESPALDO'!I33^2)+'BLAZE SHIELD II'!$H$8*'HOJA DE CÁLCULO RESPALDO'!I33+'BLAZE SHIELD II'!$H$9)),0),0),0))+(IF(L33="Blaze Shield II",IF(M33="Idiem software",IF(C33="C",((('BLAZE SHIELD II'!$L$4*('HOJA DE CÁLCULO RESPALDO'!I33^2)+'BLAZE SHIELD II'!$L$5*'HOJA DE CÁLCULO RESPALDO'!I33+'BLAZE SHIELD II'!$L$6)*LN(J33))+('BLAZE SHIELD II'!$L$7*('HOJA DE CÁLCULO RESPALDO'!I33^2)+'BLAZE SHIELD II'!$L$8*'HOJA DE CÁLCULO RESPALDO'!I33+'BLAZE SHIELD II'!$L$9)),0),0),0))+(IF(L33="Blaze Shield II",IF(M33="Idiem software",IF(AND(C33="IN",G33=3),((('BLAZE SHIELD II'!$H$14*('HOJA DE CÁLCULO RESPALDO'!I33^2)+'BLAZE SHIELD II'!$H$15*'HOJA DE CÁLCULO RESPALDO'!I33+'BLAZE SHIELD II'!$H$16)*LN(J33))+('BLAZE SHIELD II'!$H$17*('HOJA DE CÁLCULO RESPALDO'!I33^2)+'BLAZE SHIELD II'!$H$18*'HOJA DE CÁLCULO RESPALDO'!I33+'BLAZE SHIELD II'!$H$19)),0),0),0)),0)</f>
        <v>0</v>
      </c>
      <c r="O33" s="46">
        <f t="shared" si="4"/>
        <v>0</v>
      </c>
      <c r="P33" s="80">
        <f t="shared" si="1"/>
        <v>0</v>
      </c>
      <c r="Q33" s="85">
        <f>ROUND((IF(L33="Cafco 400",IF(M33="Idiem software",IF(AND(C33="IN",G33=4),((('CAFCO 400 '!$H$7*(J33^4)+'CAFCO 400 '!$H$8*(J33^3)+'CAFCO 400 '!$H$9*(J33^2)+'CAFCO 400 '!$H$10*J33+'CAFCO 400 '!$H$11)*I33^2)+(('CAFCO 400 '!$H$12*(J33^3)+'CAFCO 400 '!$H$13*(J33^2)+'CAFCO 400 '!$H$14*J33+'CAFCO 400 '!$H$15)*I33)+('CAFCO 400 '!$H$16*(J33^2)+'CAFCO 400 '!$H$17*J33+'CAFCO 400 '!$H$18)),0),0),0))+(IF(L33="Cafco 400",IF(M33="Idiem software",IF(C33="Cj",(((('CAFCO 400 '!$D$7*LN(J33)+'CAFCO 400 '!$D$8)*I33^2)+(('CAFCO 400 '!$D$9*LN(J33)+'CAFCO 400 '!$D$10)*I33)+('CAFCO 400 '!$D$11*LN(J33)+'CAFCO 400 '!$D$12))),0),0),0))+(IF(L33="Cafco 400",IF(M33="Idiem software",IF(C33="C",((('CAFCO 400 '!$L$7*(J33^3)+'CAFCO 400 '!$L$8*(J33^2)+'CAFCO 400 '!$L$9*J33+'CAFCO 400 '!$L$10)*I33^2)+(('CAFCO 400 '!$L$11*(J33^3)+'CAFCO 400 '!$L$12*(J33^2)+'CAFCO 400 '!$L$13*J33+'CAFCO 400 '!$L$14)*I33)+('CAFCO 400 '!$L$15*LN(J33)+'CAFCO 400 '!$L$16)),0),0),0))+(IF(L33="Cafco 400",IF(M33="Idiem software",IF(AND(C33="IN",G33=3),((('CAFCO 400 '!$D$23*(J33^2)+'CAFCO 400 '!$D$24*(J33)+'CAFCO 400 '!$D$25)*I33^2)+(('CAFCO 400 '!$D$26*(J33^2)+'CAFCO 400 '!$D$27*J33+'CAFCO 400 '!$D$28)*I33)+('CAFCO 400 '!$D$29*(J33^2)+'CAFCO 400 '!$D$30*J33+'CAFCO 400 '!$D$31)),0),0),0)),0)</f>
        <v>0</v>
      </c>
      <c r="R33" s="47">
        <f t="shared" si="5"/>
        <v>0</v>
      </c>
      <c r="S33" s="82">
        <f t="shared" si="2"/>
        <v>0</v>
      </c>
      <c r="T33" s="81">
        <f>+IF(AND(J33&gt;=95,J33&lt;=240),IF(AND(C33="Cj",I33=90),VLOOKUP(W33,'CAFCO 300 IDIEM TABLAS'!$B$4:$D$23,2,FALSE),0)+IF(AND(J33&gt;=95,J33&lt;=240),IF(AND(C33="Cj",I33=120),VLOOKUP(W33,'CAFCO 300 IDIEM TABLAS'!$B$4:$D$23,3,FALSE),0))+IF(AND(J33&gt;=95,J33&lt;=400,G33=3),IF(AND(C33="IN",I33=90),VLOOKUP(W33,'CAFCO 300 IDIEM TABLAS'!$F$4:$H$35,2,FALSE),0),0)+IF(AND(J33&gt;=95,J33&lt;=400,G33=3),IF(AND(C33="IN",I33=120),VLOOKUP(W33,'CAFCO 300 IDIEM TABLAS'!$F$4:$H$35,3,FALSE),0),0)+IF(AND(J33&gt;=95,J33&lt;=450,G33=4),IF(AND(C33="IN",I33=90),VLOOKUP(W33,'CAFCO 300 IDIEM TABLAS'!$J$4:$L$40,2,FALSE),0),0)+IF(AND(J33&gt;=95,J33&lt;=450,G33=4),IF(AND(C33="IN",I33=120),VLOOKUP(W33,'CAFCO 300 IDIEM TABLAS'!$J$4:$L$40,3,FALSE),0),0))</f>
        <v>17</v>
      </c>
      <c r="U33" s="48">
        <f t="shared" si="6"/>
        <v>0.2730693196405648</v>
      </c>
      <c r="V33" s="82">
        <f t="shared" si="3"/>
        <v>4099.8627650834396</v>
      </c>
      <c r="W33" s="64">
        <f>+IF(J33=LOOKUP(J33,'CAFCO 300 IDIEM TABLAS'!$J$4:$J$40),'HOJA DE CÁLCULO RESPALDO'!J33,MROUND('HOJA DE CÁLCULO RESPALDO'!J33,10))</f>
        <v>95</v>
      </c>
      <c r="X33" s="36"/>
      <c r="Y33" s="4"/>
    </row>
    <row r="34" spans="1:25" ht="15.6" customHeight="1" x14ac:dyDescent="0.25">
      <c r="A34" s="2" t="s">
        <v>33</v>
      </c>
      <c r="B34" s="3" t="s">
        <v>17</v>
      </c>
      <c r="C34" s="3" t="s">
        <v>19</v>
      </c>
      <c r="D34" s="3">
        <v>1</v>
      </c>
      <c r="E34" s="2">
        <v>1</v>
      </c>
      <c r="F34" s="8">
        <v>1500</v>
      </c>
      <c r="G34" s="1">
        <v>4</v>
      </c>
      <c r="H34" s="2">
        <v>3879</v>
      </c>
      <c r="I34" s="34">
        <v>90</v>
      </c>
      <c r="J34" s="11">
        <v>95</v>
      </c>
      <c r="K34" s="44">
        <f t="shared" si="0"/>
        <v>5.8185000000000002</v>
      </c>
      <c r="L34" s="3" t="s">
        <v>61</v>
      </c>
      <c r="M34" s="3" t="s">
        <v>70</v>
      </c>
      <c r="N34" s="15">
        <f>ROUND((IF(L34="Blaze Shield II",IF(M34="Idiem software",IF(AND(C34="IN",G34=4),((('BLAZE SHIELD II'!$D$4*('HOJA DE CÁLCULO RESPALDO'!I34^2)+'BLAZE SHIELD II'!$D$5*'HOJA DE CÁLCULO RESPALDO'!I34+'BLAZE SHIELD II'!$D$6)*LN(J34))+('BLAZE SHIELD II'!$D$7*('HOJA DE CÁLCULO RESPALDO'!I34^2)+'BLAZE SHIELD II'!$D$8*'HOJA DE CÁLCULO RESPALDO'!I34+'BLAZE SHIELD II'!$D$9)),0),0),0))+(IF(L34="Blaze Shield II",IF(M34="Idiem software",IF(C34="Cj",((('BLAZE SHIELD II'!$H$4*('HOJA DE CÁLCULO RESPALDO'!I34^2)+'BLAZE SHIELD II'!$H$5*'HOJA DE CÁLCULO RESPALDO'!I34+'BLAZE SHIELD II'!$H$6)*LN(J34))+('BLAZE SHIELD II'!$H$7*('HOJA DE CÁLCULO RESPALDO'!I34^2)+'BLAZE SHIELD II'!$H$8*'HOJA DE CÁLCULO RESPALDO'!I34+'BLAZE SHIELD II'!$H$9)),0),0),0))+(IF(L34="Blaze Shield II",IF(M34="Idiem software",IF(C34="C",((('BLAZE SHIELD II'!$L$4*('HOJA DE CÁLCULO RESPALDO'!I34^2)+'BLAZE SHIELD II'!$L$5*'HOJA DE CÁLCULO RESPALDO'!I34+'BLAZE SHIELD II'!$L$6)*LN(J34))+('BLAZE SHIELD II'!$L$7*('HOJA DE CÁLCULO RESPALDO'!I34^2)+'BLAZE SHIELD II'!$L$8*'HOJA DE CÁLCULO RESPALDO'!I34+'BLAZE SHIELD II'!$L$9)),0),0),0))+(IF(L34="Blaze Shield II",IF(M34="Idiem software",IF(AND(C34="IN",G34=3),((('BLAZE SHIELD II'!$H$14*('HOJA DE CÁLCULO RESPALDO'!I34^2)+'BLAZE SHIELD II'!$H$15*'HOJA DE CÁLCULO RESPALDO'!I34+'BLAZE SHIELD II'!$H$16)*LN(J34))+('BLAZE SHIELD II'!$H$17*('HOJA DE CÁLCULO RESPALDO'!I34^2)+'BLAZE SHIELD II'!$H$18*'HOJA DE CÁLCULO RESPALDO'!I34+'BLAZE SHIELD II'!$H$19)),0),0),0)),0)</f>
        <v>0</v>
      </c>
      <c r="O34" s="46">
        <f t="shared" si="4"/>
        <v>0</v>
      </c>
      <c r="P34" s="80">
        <f t="shared" si="1"/>
        <v>0</v>
      </c>
      <c r="Q34" s="85">
        <f>ROUND((IF(L34="Cafco 400",IF(M34="Idiem software",IF(AND(C34="IN",G34=4),((('CAFCO 400 '!$H$7*(J34^4)+'CAFCO 400 '!$H$8*(J34^3)+'CAFCO 400 '!$H$9*(J34^2)+'CAFCO 400 '!$H$10*J34+'CAFCO 400 '!$H$11)*I34^2)+(('CAFCO 400 '!$H$12*(J34^3)+'CAFCO 400 '!$H$13*(J34^2)+'CAFCO 400 '!$H$14*J34+'CAFCO 400 '!$H$15)*I34)+('CAFCO 400 '!$H$16*(J34^2)+'CAFCO 400 '!$H$17*J34+'CAFCO 400 '!$H$18)),0),0),0))+(IF(L34="Cafco 400",IF(M34="Idiem software",IF(C34="Cj",(((('CAFCO 400 '!$D$7*LN(J34)+'CAFCO 400 '!$D$8)*I34^2)+(('CAFCO 400 '!$D$9*LN(J34)+'CAFCO 400 '!$D$10)*I34)+('CAFCO 400 '!$D$11*LN(J34)+'CAFCO 400 '!$D$12))),0),0),0))+(IF(L34="Cafco 400",IF(M34="Idiem software",IF(C34="C",((('CAFCO 400 '!$L$7*(J34^3)+'CAFCO 400 '!$L$8*(J34^2)+'CAFCO 400 '!$L$9*J34+'CAFCO 400 '!$L$10)*I34^2)+(('CAFCO 400 '!$L$11*(J34^3)+'CAFCO 400 '!$L$12*(J34^2)+'CAFCO 400 '!$L$13*J34+'CAFCO 400 '!$L$14)*I34)+('CAFCO 400 '!$L$15*LN(J34)+'CAFCO 400 '!$L$16)),0),0),0))+(IF(L34="Cafco 400",IF(M34="Idiem software",IF(AND(C34="IN",G34=3),((('CAFCO 400 '!$D$23*(J34^2)+'CAFCO 400 '!$D$24*(J34)+'CAFCO 400 '!$D$25)*I34^2)+(('CAFCO 400 '!$D$26*(J34^2)+'CAFCO 400 '!$D$27*J34+'CAFCO 400 '!$D$28)*I34)+('CAFCO 400 '!$D$29*(J34^2)+'CAFCO 400 '!$D$30*J34+'CAFCO 400 '!$D$31)),0),0),0)),0)</f>
        <v>0</v>
      </c>
      <c r="R34" s="47">
        <f t="shared" si="5"/>
        <v>0</v>
      </c>
      <c r="S34" s="82">
        <f t="shared" si="2"/>
        <v>0</v>
      </c>
      <c r="T34" s="81">
        <f>+IF(AND(J34&gt;=95,J34&lt;=240),IF(AND(C34="Cj",I34=90),VLOOKUP(W34,'CAFCO 300 IDIEM TABLAS'!$B$4:$D$23,2,FALSE),0)+IF(AND(J34&gt;=95,J34&lt;=240),IF(AND(C34="Cj",I34=120),VLOOKUP(W34,'CAFCO 300 IDIEM TABLAS'!$B$4:$D$23,3,FALSE),0))+IF(AND(J34&gt;=95,J34&lt;=400,G34=3),IF(AND(C34="IN",I34=90),VLOOKUP(W34,'CAFCO 300 IDIEM TABLAS'!$F$4:$H$35,2,FALSE),0),0)+IF(AND(J34&gt;=95,J34&lt;=400,G34=3),IF(AND(C34="IN",I34=120),VLOOKUP(W34,'CAFCO 300 IDIEM TABLAS'!$F$4:$H$35,3,FALSE),0),0)+IF(AND(J34&gt;=95,J34&lt;=450,G34=4),IF(AND(C34="IN",I34=90),VLOOKUP(W34,'CAFCO 300 IDIEM TABLAS'!$J$4:$L$40,2,FALSE),0),0)+IF(AND(J34&gt;=95,J34&lt;=450,G34=4),IF(AND(C34="IN",I34=120),VLOOKUP(W34,'CAFCO 300 IDIEM TABLAS'!$J$4:$L$40,3,FALSE),0),0))</f>
        <v>17</v>
      </c>
      <c r="U34" s="48">
        <f t="shared" si="6"/>
        <v>1.3649947047496791</v>
      </c>
      <c r="V34" s="82">
        <f t="shared" si="3"/>
        <v>20494.030497111682</v>
      </c>
      <c r="W34" s="64">
        <f>+IF(J34=LOOKUP(J34,'CAFCO 300 IDIEM TABLAS'!$J$4:$J$40),'HOJA DE CÁLCULO RESPALDO'!J34,MROUND('HOJA DE CÁLCULO RESPALDO'!J34,10))</f>
        <v>95</v>
      </c>
      <c r="X34" s="36"/>
      <c r="Y34" s="4"/>
    </row>
    <row r="35" spans="1:25" x14ac:dyDescent="0.25">
      <c r="A35" s="2" t="s">
        <v>33</v>
      </c>
      <c r="B35" s="3" t="s">
        <v>17</v>
      </c>
      <c r="C35" s="3" t="s">
        <v>19</v>
      </c>
      <c r="D35" s="3">
        <v>1</v>
      </c>
      <c r="E35" s="2">
        <v>1</v>
      </c>
      <c r="F35" s="8">
        <v>12634</v>
      </c>
      <c r="G35" s="1">
        <v>4</v>
      </c>
      <c r="H35" s="2">
        <v>585</v>
      </c>
      <c r="I35" s="34">
        <v>90</v>
      </c>
      <c r="J35" s="11">
        <v>95</v>
      </c>
      <c r="K35" s="44">
        <f t="shared" si="0"/>
        <v>7.3908899999999997</v>
      </c>
      <c r="L35" s="3" t="s">
        <v>61</v>
      </c>
      <c r="M35" s="3" t="s">
        <v>70</v>
      </c>
      <c r="N35" s="15">
        <f>ROUND((IF(L35="Blaze Shield II",IF(M35="Idiem software",IF(AND(C35="IN",G35=4),((('BLAZE SHIELD II'!$D$4*('HOJA DE CÁLCULO RESPALDO'!I35^2)+'BLAZE SHIELD II'!$D$5*'HOJA DE CÁLCULO RESPALDO'!I35+'BLAZE SHIELD II'!$D$6)*LN(J35))+('BLAZE SHIELD II'!$D$7*('HOJA DE CÁLCULO RESPALDO'!I35^2)+'BLAZE SHIELD II'!$D$8*'HOJA DE CÁLCULO RESPALDO'!I35+'BLAZE SHIELD II'!$D$9)),0),0),0))+(IF(L35="Blaze Shield II",IF(M35="Idiem software",IF(C35="Cj",((('BLAZE SHIELD II'!$H$4*('HOJA DE CÁLCULO RESPALDO'!I35^2)+'BLAZE SHIELD II'!$H$5*'HOJA DE CÁLCULO RESPALDO'!I35+'BLAZE SHIELD II'!$H$6)*LN(J35))+('BLAZE SHIELD II'!$H$7*('HOJA DE CÁLCULO RESPALDO'!I35^2)+'BLAZE SHIELD II'!$H$8*'HOJA DE CÁLCULO RESPALDO'!I35+'BLAZE SHIELD II'!$H$9)),0),0),0))+(IF(L35="Blaze Shield II",IF(M35="Idiem software",IF(C35="C",((('BLAZE SHIELD II'!$L$4*('HOJA DE CÁLCULO RESPALDO'!I35^2)+'BLAZE SHIELD II'!$L$5*'HOJA DE CÁLCULO RESPALDO'!I35+'BLAZE SHIELD II'!$L$6)*LN(J35))+('BLAZE SHIELD II'!$L$7*('HOJA DE CÁLCULO RESPALDO'!I35^2)+'BLAZE SHIELD II'!$L$8*'HOJA DE CÁLCULO RESPALDO'!I35+'BLAZE SHIELD II'!$L$9)),0),0),0))+(IF(L35="Blaze Shield II",IF(M35="Idiem software",IF(AND(C35="IN",G35=3),((('BLAZE SHIELD II'!$H$14*('HOJA DE CÁLCULO RESPALDO'!I35^2)+'BLAZE SHIELD II'!$H$15*'HOJA DE CÁLCULO RESPALDO'!I35+'BLAZE SHIELD II'!$H$16)*LN(J35))+('BLAZE SHIELD II'!$H$17*('HOJA DE CÁLCULO RESPALDO'!I35^2)+'BLAZE SHIELD II'!$H$18*'HOJA DE CÁLCULO RESPALDO'!I35+'BLAZE SHIELD II'!$H$19)),0),0),0)),0)</f>
        <v>0</v>
      </c>
      <c r="O35" s="46">
        <f t="shared" si="4"/>
        <v>0</v>
      </c>
      <c r="P35" s="80">
        <f t="shared" si="1"/>
        <v>0</v>
      </c>
      <c r="Q35" s="85">
        <f>ROUND((IF(L35="Cafco 400",IF(M35="Idiem software",IF(AND(C35="IN",G35=4),((('CAFCO 400 '!$H$7*(J35^4)+'CAFCO 400 '!$H$8*(J35^3)+'CAFCO 400 '!$H$9*(J35^2)+'CAFCO 400 '!$H$10*J35+'CAFCO 400 '!$H$11)*I35^2)+(('CAFCO 400 '!$H$12*(J35^3)+'CAFCO 400 '!$H$13*(J35^2)+'CAFCO 400 '!$H$14*J35+'CAFCO 400 '!$H$15)*I35)+('CAFCO 400 '!$H$16*(J35^2)+'CAFCO 400 '!$H$17*J35+'CAFCO 400 '!$H$18)),0),0),0))+(IF(L35="Cafco 400",IF(M35="Idiem software",IF(C35="Cj",(((('CAFCO 400 '!$D$7*LN(J35)+'CAFCO 400 '!$D$8)*I35^2)+(('CAFCO 400 '!$D$9*LN(J35)+'CAFCO 400 '!$D$10)*I35)+('CAFCO 400 '!$D$11*LN(J35)+'CAFCO 400 '!$D$12))),0),0),0))+(IF(L35="Cafco 400",IF(M35="Idiem software",IF(C35="C",((('CAFCO 400 '!$L$7*(J35^3)+'CAFCO 400 '!$L$8*(J35^2)+'CAFCO 400 '!$L$9*J35+'CAFCO 400 '!$L$10)*I35^2)+(('CAFCO 400 '!$L$11*(J35^3)+'CAFCO 400 '!$L$12*(J35^2)+'CAFCO 400 '!$L$13*J35+'CAFCO 400 '!$L$14)*I35)+('CAFCO 400 '!$L$15*LN(J35)+'CAFCO 400 '!$L$16)),0),0),0))+(IF(L35="Cafco 400",IF(M35="Idiem software",IF(AND(C35="IN",G35=3),((('CAFCO 400 '!$D$23*(J35^2)+'CAFCO 400 '!$D$24*(J35)+'CAFCO 400 '!$D$25)*I35^2)+(('CAFCO 400 '!$D$26*(J35^2)+'CAFCO 400 '!$D$27*J35+'CAFCO 400 '!$D$28)*I35)+('CAFCO 400 '!$D$29*(J35^2)+'CAFCO 400 '!$D$30*J35+'CAFCO 400 '!$D$31)),0),0),0)),0)</f>
        <v>0</v>
      </c>
      <c r="R35" s="47">
        <f t="shared" si="5"/>
        <v>0</v>
      </c>
      <c r="S35" s="82">
        <f t="shared" si="2"/>
        <v>0</v>
      </c>
      <c r="T35" s="81">
        <f>+IF(AND(J35&gt;=95,J35&lt;=240),IF(AND(C35="Cj",I35=90),VLOOKUP(W35,'CAFCO 300 IDIEM TABLAS'!$B$4:$D$23,2,FALSE),0)+IF(AND(J35&gt;=95,J35&lt;=240),IF(AND(C35="Cj",I35=120),VLOOKUP(W35,'CAFCO 300 IDIEM TABLAS'!$B$4:$D$23,3,FALSE),0))+IF(AND(J35&gt;=95,J35&lt;=400,G35=3),IF(AND(C35="IN",I35=90),VLOOKUP(W35,'CAFCO 300 IDIEM TABLAS'!$F$4:$H$35,2,FALSE),0),0)+IF(AND(J35&gt;=95,J35&lt;=400,G35=3),IF(AND(C35="IN",I35=120),VLOOKUP(W35,'CAFCO 300 IDIEM TABLAS'!$F$4:$H$35,3,FALSE),0),0)+IF(AND(J35&gt;=95,J35&lt;=450,G35=4),IF(AND(C35="IN",I35=90),VLOOKUP(W35,'CAFCO 300 IDIEM TABLAS'!$J$4:$L$40,2,FALSE),0),0)+IF(AND(J35&gt;=95,J35&lt;=450,G35=4),IF(AND(C35="IN",I35=120),VLOOKUP(W35,'CAFCO 300 IDIEM TABLAS'!$J$4:$L$40,3,FALSE),0),0))</f>
        <v>17</v>
      </c>
      <c r="U35" s="48">
        <f t="shared" si="6"/>
        <v>1.7338705359435174</v>
      </c>
      <c r="V35" s="82">
        <f t="shared" si="3"/>
        <v>26032.33222665597</v>
      </c>
      <c r="W35" s="64">
        <f>+IF(J35=LOOKUP(J35,'CAFCO 300 IDIEM TABLAS'!$J$4:$J$40),'HOJA DE CÁLCULO RESPALDO'!J35,MROUND('HOJA DE CÁLCULO RESPALDO'!J35,10))</f>
        <v>95</v>
      </c>
      <c r="X35" s="36"/>
      <c r="Y35" s="4"/>
    </row>
    <row r="36" spans="1:25" ht="15.6" customHeight="1" x14ac:dyDescent="0.25">
      <c r="A36" s="2" t="s">
        <v>33</v>
      </c>
      <c r="B36" s="3" t="s">
        <v>17</v>
      </c>
      <c r="C36" s="3" t="s">
        <v>19</v>
      </c>
      <c r="D36" s="3">
        <v>1</v>
      </c>
      <c r="E36" s="2">
        <v>1</v>
      </c>
      <c r="F36" s="8">
        <v>1500</v>
      </c>
      <c r="G36" s="1">
        <v>4</v>
      </c>
      <c r="H36" s="2">
        <v>776</v>
      </c>
      <c r="I36" s="34">
        <v>90</v>
      </c>
      <c r="J36" s="11">
        <v>95</v>
      </c>
      <c r="K36" s="44">
        <f t="shared" si="0"/>
        <v>1.1639999999999999</v>
      </c>
      <c r="L36" s="3" t="s">
        <v>61</v>
      </c>
      <c r="M36" s="3" t="s">
        <v>70</v>
      </c>
      <c r="N36" s="15">
        <f>ROUND((IF(L36="Blaze Shield II",IF(M36="Idiem software",IF(AND(C36="IN",G36=4),((('BLAZE SHIELD II'!$D$4*('HOJA DE CÁLCULO RESPALDO'!I36^2)+'BLAZE SHIELD II'!$D$5*'HOJA DE CÁLCULO RESPALDO'!I36+'BLAZE SHIELD II'!$D$6)*LN(J36))+('BLAZE SHIELD II'!$D$7*('HOJA DE CÁLCULO RESPALDO'!I36^2)+'BLAZE SHIELD II'!$D$8*'HOJA DE CÁLCULO RESPALDO'!I36+'BLAZE SHIELD II'!$D$9)),0),0),0))+(IF(L36="Blaze Shield II",IF(M36="Idiem software",IF(C36="Cj",((('BLAZE SHIELD II'!$H$4*('HOJA DE CÁLCULO RESPALDO'!I36^2)+'BLAZE SHIELD II'!$H$5*'HOJA DE CÁLCULO RESPALDO'!I36+'BLAZE SHIELD II'!$H$6)*LN(J36))+('BLAZE SHIELD II'!$H$7*('HOJA DE CÁLCULO RESPALDO'!I36^2)+'BLAZE SHIELD II'!$H$8*'HOJA DE CÁLCULO RESPALDO'!I36+'BLAZE SHIELD II'!$H$9)),0),0),0))+(IF(L36="Blaze Shield II",IF(M36="Idiem software",IF(C36="C",((('BLAZE SHIELD II'!$L$4*('HOJA DE CÁLCULO RESPALDO'!I36^2)+'BLAZE SHIELD II'!$L$5*'HOJA DE CÁLCULO RESPALDO'!I36+'BLAZE SHIELD II'!$L$6)*LN(J36))+('BLAZE SHIELD II'!$L$7*('HOJA DE CÁLCULO RESPALDO'!I36^2)+'BLAZE SHIELD II'!$L$8*'HOJA DE CÁLCULO RESPALDO'!I36+'BLAZE SHIELD II'!$L$9)),0),0),0))+(IF(L36="Blaze Shield II",IF(M36="Idiem software",IF(AND(C36="IN",G36=3),((('BLAZE SHIELD II'!$H$14*('HOJA DE CÁLCULO RESPALDO'!I36^2)+'BLAZE SHIELD II'!$H$15*'HOJA DE CÁLCULO RESPALDO'!I36+'BLAZE SHIELD II'!$H$16)*LN(J36))+('BLAZE SHIELD II'!$H$17*('HOJA DE CÁLCULO RESPALDO'!I36^2)+'BLAZE SHIELD II'!$H$18*'HOJA DE CÁLCULO RESPALDO'!I36+'BLAZE SHIELD II'!$H$19)),0),0),0)),0)</f>
        <v>0</v>
      </c>
      <c r="O36" s="46">
        <f t="shared" si="4"/>
        <v>0</v>
      </c>
      <c r="P36" s="80">
        <f t="shared" si="1"/>
        <v>0</v>
      </c>
      <c r="Q36" s="85">
        <f>ROUND((IF(L36="Cafco 400",IF(M36="Idiem software",IF(AND(C36="IN",G36=4),((('CAFCO 400 '!$H$7*(J36^4)+'CAFCO 400 '!$H$8*(J36^3)+'CAFCO 400 '!$H$9*(J36^2)+'CAFCO 400 '!$H$10*J36+'CAFCO 400 '!$H$11)*I36^2)+(('CAFCO 400 '!$H$12*(J36^3)+'CAFCO 400 '!$H$13*(J36^2)+'CAFCO 400 '!$H$14*J36+'CAFCO 400 '!$H$15)*I36)+('CAFCO 400 '!$H$16*(J36^2)+'CAFCO 400 '!$H$17*J36+'CAFCO 400 '!$H$18)),0),0),0))+(IF(L36="Cafco 400",IF(M36="Idiem software",IF(C36="Cj",(((('CAFCO 400 '!$D$7*LN(J36)+'CAFCO 400 '!$D$8)*I36^2)+(('CAFCO 400 '!$D$9*LN(J36)+'CAFCO 400 '!$D$10)*I36)+('CAFCO 400 '!$D$11*LN(J36)+'CAFCO 400 '!$D$12))),0),0),0))+(IF(L36="Cafco 400",IF(M36="Idiem software",IF(C36="C",((('CAFCO 400 '!$L$7*(J36^3)+'CAFCO 400 '!$L$8*(J36^2)+'CAFCO 400 '!$L$9*J36+'CAFCO 400 '!$L$10)*I36^2)+(('CAFCO 400 '!$L$11*(J36^3)+'CAFCO 400 '!$L$12*(J36^2)+'CAFCO 400 '!$L$13*J36+'CAFCO 400 '!$L$14)*I36)+('CAFCO 400 '!$L$15*LN(J36)+'CAFCO 400 '!$L$16)),0),0),0))+(IF(L36="Cafco 400",IF(M36="Idiem software",IF(AND(C36="IN",G36=3),((('CAFCO 400 '!$D$23*(J36^2)+'CAFCO 400 '!$D$24*(J36)+'CAFCO 400 '!$D$25)*I36^2)+(('CAFCO 400 '!$D$26*(J36^2)+'CAFCO 400 '!$D$27*J36+'CAFCO 400 '!$D$28)*I36)+('CAFCO 400 '!$D$29*(J36^2)+'CAFCO 400 '!$D$30*J36+'CAFCO 400 '!$D$31)),0),0),0)),0)</f>
        <v>0</v>
      </c>
      <c r="R36" s="47">
        <f t="shared" si="5"/>
        <v>0</v>
      </c>
      <c r="S36" s="82">
        <f t="shared" si="2"/>
        <v>0</v>
      </c>
      <c r="T36" s="81">
        <f>+IF(AND(J36&gt;=95,J36&lt;=240),IF(AND(C36="Cj",I36=90),VLOOKUP(W36,'CAFCO 300 IDIEM TABLAS'!$B$4:$D$23,2,FALSE),0)+IF(AND(J36&gt;=95,J36&lt;=240),IF(AND(C36="Cj",I36=120),VLOOKUP(W36,'CAFCO 300 IDIEM TABLAS'!$B$4:$D$23,3,FALSE),0))+IF(AND(J36&gt;=95,J36&lt;=400,G36=3),IF(AND(C36="IN",I36=90),VLOOKUP(W36,'CAFCO 300 IDIEM TABLAS'!$F$4:$H$35,2,FALSE),0),0)+IF(AND(J36&gt;=95,J36&lt;=400,G36=3),IF(AND(C36="IN",I36=120),VLOOKUP(W36,'CAFCO 300 IDIEM TABLAS'!$F$4:$H$35,3,FALSE),0),0)+IF(AND(J36&gt;=95,J36&lt;=450,G36=4),IF(AND(C36="IN",I36=90),VLOOKUP(W36,'CAFCO 300 IDIEM TABLAS'!$J$4:$L$40,2,FALSE),0),0)+IF(AND(J36&gt;=95,J36&lt;=450,G36=4),IF(AND(C36="IN",I36=120),VLOOKUP(W36,'CAFCO 300 IDIEM TABLAS'!$J$4:$L$40,3,FALSE),0),0))</f>
        <v>17</v>
      </c>
      <c r="U36" s="48">
        <f t="shared" si="6"/>
        <v>0.2730693196405648</v>
      </c>
      <c r="V36" s="82">
        <f t="shared" si="3"/>
        <v>4099.8627650834396</v>
      </c>
      <c r="W36" s="64">
        <f>+IF(J36=LOOKUP(J36,'CAFCO 300 IDIEM TABLAS'!$J$4:$J$40),'HOJA DE CÁLCULO RESPALDO'!J36,MROUND('HOJA DE CÁLCULO RESPALDO'!J36,10))</f>
        <v>95</v>
      </c>
      <c r="X36" s="36"/>
      <c r="Y36" s="4"/>
    </row>
    <row r="37" spans="1:25" x14ac:dyDescent="0.25">
      <c r="A37" s="2" t="s">
        <v>35</v>
      </c>
      <c r="B37" s="3" t="s">
        <v>17</v>
      </c>
      <c r="C37" s="3" t="s">
        <v>19</v>
      </c>
      <c r="D37" s="3">
        <v>1</v>
      </c>
      <c r="E37" s="2">
        <v>1</v>
      </c>
      <c r="F37" s="8">
        <v>11097</v>
      </c>
      <c r="G37" s="1">
        <v>4</v>
      </c>
      <c r="H37" s="2">
        <v>585</v>
      </c>
      <c r="I37" s="34">
        <v>90</v>
      </c>
      <c r="J37" s="11">
        <v>95</v>
      </c>
      <c r="K37" s="44">
        <f t="shared" si="0"/>
        <v>6.4917449999999999</v>
      </c>
      <c r="L37" s="3" t="s">
        <v>61</v>
      </c>
      <c r="M37" s="3" t="s">
        <v>70</v>
      </c>
      <c r="N37" s="15">
        <f>ROUND((IF(L37="Blaze Shield II",IF(M37="Idiem software",IF(AND(C37="IN",G37=4),((('BLAZE SHIELD II'!$D$4*('HOJA DE CÁLCULO RESPALDO'!I37^2)+'BLAZE SHIELD II'!$D$5*'HOJA DE CÁLCULO RESPALDO'!I37+'BLAZE SHIELD II'!$D$6)*LN(J37))+('BLAZE SHIELD II'!$D$7*('HOJA DE CÁLCULO RESPALDO'!I37^2)+'BLAZE SHIELD II'!$D$8*'HOJA DE CÁLCULO RESPALDO'!I37+'BLAZE SHIELD II'!$D$9)),0),0),0))+(IF(L37="Blaze Shield II",IF(M37="Idiem software",IF(C37="Cj",((('BLAZE SHIELD II'!$H$4*('HOJA DE CÁLCULO RESPALDO'!I37^2)+'BLAZE SHIELD II'!$H$5*'HOJA DE CÁLCULO RESPALDO'!I37+'BLAZE SHIELD II'!$H$6)*LN(J37))+('BLAZE SHIELD II'!$H$7*('HOJA DE CÁLCULO RESPALDO'!I37^2)+'BLAZE SHIELD II'!$H$8*'HOJA DE CÁLCULO RESPALDO'!I37+'BLAZE SHIELD II'!$H$9)),0),0),0))+(IF(L37="Blaze Shield II",IF(M37="Idiem software",IF(C37="C",((('BLAZE SHIELD II'!$L$4*('HOJA DE CÁLCULO RESPALDO'!I37^2)+'BLAZE SHIELD II'!$L$5*'HOJA DE CÁLCULO RESPALDO'!I37+'BLAZE SHIELD II'!$L$6)*LN(J37))+('BLAZE SHIELD II'!$L$7*('HOJA DE CÁLCULO RESPALDO'!I37^2)+'BLAZE SHIELD II'!$L$8*'HOJA DE CÁLCULO RESPALDO'!I37+'BLAZE SHIELD II'!$L$9)),0),0),0))+(IF(L37="Blaze Shield II",IF(M37="Idiem software",IF(AND(C37="IN",G37=3),((('BLAZE SHIELD II'!$H$14*('HOJA DE CÁLCULO RESPALDO'!I37^2)+'BLAZE SHIELD II'!$H$15*'HOJA DE CÁLCULO RESPALDO'!I37+'BLAZE SHIELD II'!$H$16)*LN(J37))+('BLAZE SHIELD II'!$H$17*('HOJA DE CÁLCULO RESPALDO'!I37^2)+'BLAZE SHIELD II'!$H$18*'HOJA DE CÁLCULO RESPALDO'!I37+'BLAZE SHIELD II'!$H$19)),0),0),0)),0)</f>
        <v>0</v>
      </c>
      <c r="O37" s="46">
        <f t="shared" si="4"/>
        <v>0</v>
      </c>
      <c r="P37" s="80">
        <f t="shared" si="1"/>
        <v>0</v>
      </c>
      <c r="Q37" s="85">
        <f>ROUND((IF(L37="Cafco 400",IF(M37="Idiem software",IF(AND(C37="IN",G37=4),((('CAFCO 400 '!$H$7*(J37^4)+'CAFCO 400 '!$H$8*(J37^3)+'CAFCO 400 '!$H$9*(J37^2)+'CAFCO 400 '!$H$10*J37+'CAFCO 400 '!$H$11)*I37^2)+(('CAFCO 400 '!$H$12*(J37^3)+'CAFCO 400 '!$H$13*(J37^2)+'CAFCO 400 '!$H$14*J37+'CAFCO 400 '!$H$15)*I37)+('CAFCO 400 '!$H$16*(J37^2)+'CAFCO 400 '!$H$17*J37+'CAFCO 400 '!$H$18)),0),0),0))+(IF(L37="Cafco 400",IF(M37="Idiem software",IF(C37="Cj",(((('CAFCO 400 '!$D$7*LN(J37)+'CAFCO 400 '!$D$8)*I37^2)+(('CAFCO 400 '!$D$9*LN(J37)+'CAFCO 400 '!$D$10)*I37)+('CAFCO 400 '!$D$11*LN(J37)+'CAFCO 400 '!$D$12))),0),0),0))+(IF(L37="Cafco 400",IF(M37="Idiem software",IF(C37="C",((('CAFCO 400 '!$L$7*(J37^3)+'CAFCO 400 '!$L$8*(J37^2)+'CAFCO 400 '!$L$9*J37+'CAFCO 400 '!$L$10)*I37^2)+(('CAFCO 400 '!$L$11*(J37^3)+'CAFCO 400 '!$L$12*(J37^2)+'CAFCO 400 '!$L$13*J37+'CAFCO 400 '!$L$14)*I37)+('CAFCO 400 '!$L$15*LN(J37)+'CAFCO 400 '!$L$16)),0),0),0))+(IF(L37="Cafco 400",IF(M37="Idiem software",IF(AND(C37="IN",G37=3),((('CAFCO 400 '!$D$23*(J37^2)+'CAFCO 400 '!$D$24*(J37)+'CAFCO 400 '!$D$25)*I37^2)+(('CAFCO 400 '!$D$26*(J37^2)+'CAFCO 400 '!$D$27*J37+'CAFCO 400 '!$D$28)*I37)+('CAFCO 400 '!$D$29*(J37^2)+'CAFCO 400 '!$D$30*J37+'CAFCO 400 '!$D$31)),0),0),0)),0)</f>
        <v>0</v>
      </c>
      <c r="R37" s="47">
        <f t="shared" si="5"/>
        <v>0</v>
      </c>
      <c r="S37" s="82">
        <f t="shared" si="2"/>
        <v>0</v>
      </c>
      <c r="T37" s="81">
        <f>+IF(AND(J37&gt;=95,J37&lt;=240),IF(AND(C37="Cj",I37=90),VLOOKUP(W37,'CAFCO 300 IDIEM TABLAS'!$B$4:$D$23,2,FALSE),0)+IF(AND(J37&gt;=95,J37&lt;=240),IF(AND(C37="Cj",I37=120),VLOOKUP(W37,'CAFCO 300 IDIEM TABLAS'!$B$4:$D$23,3,FALSE),0))+IF(AND(J37&gt;=95,J37&lt;=400,G37=3),IF(AND(C37="IN",I37=90),VLOOKUP(W37,'CAFCO 300 IDIEM TABLAS'!$F$4:$H$35,2,FALSE),0),0)+IF(AND(J37&gt;=95,J37&lt;=400,G37=3),IF(AND(C37="IN",I37=120),VLOOKUP(W37,'CAFCO 300 IDIEM TABLAS'!$F$4:$H$35,3,FALSE),0),0)+IF(AND(J37&gt;=95,J37&lt;=450,G37=4),IF(AND(C37="IN",I37=90),VLOOKUP(W37,'CAFCO 300 IDIEM TABLAS'!$J$4:$L$40,2,FALSE),0),0)+IF(AND(J37&gt;=95,J37&lt;=450,G37=4),IF(AND(C37="IN",I37=120),VLOOKUP(W37,'CAFCO 300 IDIEM TABLAS'!$J$4:$L$40,3,FALSE),0),0))</f>
        <v>17</v>
      </c>
      <c r="U37" s="48">
        <f t="shared" si="6"/>
        <v>1.5229350433247753</v>
      </c>
      <c r="V37" s="82">
        <f t="shared" si="3"/>
        <v>22865.346740478177</v>
      </c>
      <c r="W37" s="64">
        <f>+IF(J37=LOOKUP(J37,'CAFCO 300 IDIEM TABLAS'!$J$4:$J$40),'HOJA DE CÁLCULO RESPALDO'!J37,MROUND('HOJA DE CÁLCULO RESPALDO'!J37,10))</f>
        <v>95</v>
      </c>
      <c r="X37" s="36"/>
      <c r="Y37" s="4"/>
    </row>
    <row r="38" spans="1:25" ht="15.6" customHeight="1" x14ac:dyDescent="0.25">
      <c r="A38" s="2" t="s">
        <v>36</v>
      </c>
      <c r="B38" s="3" t="s">
        <v>17</v>
      </c>
      <c r="C38" s="3" t="s">
        <v>19</v>
      </c>
      <c r="D38" s="3">
        <v>1</v>
      </c>
      <c r="E38" s="2">
        <v>1</v>
      </c>
      <c r="F38" s="8">
        <v>1500</v>
      </c>
      <c r="G38" s="1">
        <v>4</v>
      </c>
      <c r="H38" s="2">
        <v>776</v>
      </c>
      <c r="I38" s="34">
        <v>90</v>
      </c>
      <c r="J38" s="11">
        <v>95</v>
      </c>
      <c r="K38" s="44">
        <f t="shared" si="0"/>
        <v>1.1639999999999999</v>
      </c>
      <c r="L38" s="3" t="s">
        <v>61</v>
      </c>
      <c r="M38" s="3" t="s">
        <v>70</v>
      </c>
      <c r="N38" s="15">
        <f>ROUND((IF(L38="Blaze Shield II",IF(M38="Idiem software",IF(AND(C38="IN",G38=4),((('BLAZE SHIELD II'!$D$4*('HOJA DE CÁLCULO RESPALDO'!I38^2)+'BLAZE SHIELD II'!$D$5*'HOJA DE CÁLCULO RESPALDO'!I38+'BLAZE SHIELD II'!$D$6)*LN(J38))+('BLAZE SHIELD II'!$D$7*('HOJA DE CÁLCULO RESPALDO'!I38^2)+'BLAZE SHIELD II'!$D$8*'HOJA DE CÁLCULO RESPALDO'!I38+'BLAZE SHIELD II'!$D$9)),0),0),0))+(IF(L38="Blaze Shield II",IF(M38="Idiem software",IF(C38="Cj",((('BLAZE SHIELD II'!$H$4*('HOJA DE CÁLCULO RESPALDO'!I38^2)+'BLAZE SHIELD II'!$H$5*'HOJA DE CÁLCULO RESPALDO'!I38+'BLAZE SHIELD II'!$H$6)*LN(J38))+('BLAZE SHIELD II'!$H$7*('HOJA DE CÁLCULO RESPALDO'!I38^2)+'BLAZE SHIELD II'!$H$8*'HOJA DE CÁLCULO RESPALDO'!I38+'BLAZE SHIELD II'!$H$9)),0),0),0))+(IF(L38="Blaze Shield II",IF(M38="Idiem software",IF(C38="C",((('BLAZE SHIELD II'!$L$4*('HOJA DE CÁLCULO RESPALDO'!I38^2)+'BLAZE SHIELD II'!$L$5*'HOJA DE CÁLCULO RESPALDO'!I38+'BLAZE SHIELD II'!$L$6)*LN(J38))+('BLAZE SHIELD II'!$L$7*('HOJA DE CÁLCULO RESPALDO'!I38^2)+'BLAZE SHIELD II'!$L$8*'HOJA DE CÁLCULO RESPALDO'!I38+'BLAZE SHIELD II'!$L$9)),0),0),0))+(IF(L38="Blaze Shield II",IF(M38="Idiem software",IF(AND(C38="IN",G38=3),((('BLAZE SHIELD II'!$H$14*('HOJA DE CÁLCULO RESPALDO'!I38^2)+'BLAZE SHIELD II'!$H$15*'HOJA DE CÁLCULO RESPALDO'!I38+'BLAZE SHIELD II'!$H$16)*LN(J38))+('BLAZE SHIELD II'!$H$17*('HOJA DE CÁLCULO RESPALDO'!I38^2)+'BLAZE SHIELD II'!$H$18*'HOJA DE CÁLCULO RESPALDO'!I38+'BLAZE SHIELD II'!$H$19)),0),0),0)),0)</f>
        <v>0</v>
      </c>
      <c r="O38" s="46">
        <f t="shared" si="4"/>
        <v>0</v>
      </c>
      <c r="P38" s="80">
        <f t="shared" si="1"/>
        <v>0</v>
      </c>
      <c r="Q38" s="85">
        <f>ROUND((IF(L38="Cafco 400",IF(M38="Idiem software",IF(AND(C38="IN",G38=4),((('CAFCO 400 '!$H$7*(J38^4)+'CAFCO 400 '!$H$8*(J38^3)+'CAFCO 400 '!$H$9*(J38^2)+'CAFCO 400 '!$H$10*J38+'CAFCO 400 '!$H$11)*I38^2)+(('CAFCO 400 '!$H$12*(J38^3)+'CAFCO 400 '!$H$13*(J38^2)+'CAFCO 400 '!$H$14*J38+'CAFCO 400 '!$H$15)*I38)+('CAFCO 400 '!$H$16*(J38^2)+'CAFCO 400 '!$H$17*J38+'CAFCO 400 '!$H$18)),0),0),0))+(IF(L38="Cafco 400",IF(M38="Idiem software",IF(C38="Cj",(((('CAFCO 400 '!$D$7*LN(J38)+'CAFCO 400 '!$D$8)*I38^2)+(('CAFCO 400 '!$D$9*LN(J38)+'CAFCO 400 '!$D$10)*I38)+('CAFCO 400 '!$D$11*LN(J38)+'CAFCO 400 '!$D$12))),0),0),0))+(IF(L38="Cafco 400",IF(M38="Idiem software",IF(C38="C",((('CAFCO 400 '!$L$7*(J38^3)+'CAFCO 400 '!$L$8*(J38^2)+'CAFCO 400 '!$L$9*J38+'CAFCO 400 '!$L$10)*I38^2)+(('CAFCO 400 '!$L$11*(J38^3)+'CAFCO 400 '!$L$12*(J38^2)+'CAFCO 400 '!$L$13*J38+'CAFCO 400 '!$L$14)*I38)+('CAFCO 400 '!$L$15*LN(J38)+'CAFCO 400 '!$L$16)),0),0),0))+(IF(L38="Cafco 400",IF(M38="Idiem software",IF(AND(C38="IN",G38=3),((('CAFCO 400 '!$D$23*(J38^2)+'CAFCO 400 '!$D$24*(J38)+'CAFCO 400 '!$D$25)*I38^2)+(('CAFCO 400 '!$D$26*(J38^2)+'CAFCO 400 '!$D$27*J38+'CAFCO 400 '!$D$28)*I38)+('CAFCO 400 '!$D$29*(J38^2)+'CAFCO 400 '!$D$30*J38+'CAFCO 400 '!$D$31)),0),0),0)),0)</f>
        <v>0</v>
      </c>
      <c r="R38" s="47">
        <f t="shared" si="5"/>
        <v>0</v>
      </c>
      <c r="S38" s="82">
        <f t="shared" si="2"/>
        <v>0</v>
      </c>
      <c r="T38" s="81">
        <f>+IF(AND(J38&gt;=95,J38&lt;=240),IF(AND(C38="Cj",I38=90),VLOOKUP(W38,'CAFCO 300 IDIEM TABLAS'!$B$4:$D$23,2,FALSE),0)+IF(AND(J38&gt;=95,J38&lt;=240),IF(AND(C38="Cj",I38=120),VLOOKUP(W38,'CAFCO 300 IDIEM TABLAS'!$B$4:$D$23,3,FALSE),0))+IF(AND(J38&gt;=95,J38&lt;=400,G38=3),IF(AND(C38="IN",I38=90),VLOOKUP(W38,'CAFCO 300 IDIEM TABLAS'!$F$4:$H$35,2,FALSE),0),0)+IF(AND(J38&gt;=95,J38&lt;=400,G38=3),IF(AND(C38="IN",I38=120),VLOOKUP(W38,'CAFCO 300 IDIEM TABLAS'!$F$4:$H$35,3,FALSE),0),0)+IF(AND(J38&gt;=95,J38&lt;=450,G38=4),IF(AND(C38="IN",I38=90),VLOOKUP(W38,'CAFCO 300 IDIEM TABLAS'!$J$4:$L$40,2,FALSE),0),0)+IF(AND(J38&gt;=95,J38&lt;=450,G38=4),IF(AND(C38="IN",I38=120),VLOOKUP(W38,'CAFCO 300 IDIEM TABLAS'!$J$4:$L$40,3,FALSE),0),0))</f>
        <v>17</v>
      </c>
      <c r="U38" s="48">
        <f t="shared" si="6"/>
        <v>0.2730693196405648</v>
      </c>
      <c r="V38" s="82">
        <f t="shared" si="3"/>
        <v>4099.8627650834396</v>
      </c>
      <c r="W38" s="64">
        <f>+IF(J38=LOOKUP(J38,'CAFCO 300 IDIEM TABLAS'!$J$4:$J$40),'HOJA DE CÁLCULO RESPALDO'!J38,MROUND('HOJA DE CÁLCULO RESPALDO'!J38,10))</f>
        <v>95</v>
      </c>
      <c r="X38" s="36"/>
      <c r="Y38" s="4"/>
    </row>
    <row r="39" spans="1:25" x14ac:dyDescent="0.25">
      <c r="A39" s="2" t="s">
        <v>35</v>
      </c>
      <c r="B39" s="3" t="s">
        <v>17</v>
      </c>
      <c r="C39" s="3" t="s">
        <v>19</v>
      </c>
      <c r="D39" s="3">
        <v>1</v>
      </c>
      <c r="E39" s="2">
        <v>1</v>
      </c>
      <c r="F39" s="8">
        <v>1500</v>
      </c>
      <c r="G39" s="1">
        <v>4</v>
      </c>
      <c r="H39" s="2">
        <v>3879</v>
      </c>
      <c r="I39" s="34">
        <v>90</v>
      </c>
      <c r="J39" s="11">
        <v>95</v>
      </c>
      <c r="K39" s="44">
        <f t="shared" si="0"/>
        <v>5.8185000000000002</v>
      </c>
      <c r="L39" s="3" t="s">
        <v>61</v>
      </c>
      <c r="M39" s="3" t="s">
        <v>70</v>
      </c>
      <c r="N39" s="15">
        <f>ROUND((IF(L39="Blaze Shield II",IF(M39="Idiem software",IF(AND(C39="IN",G39=4),((('BLAZE SHIELD II'!$D$4*('HOJA DE CÁLCULO RESPALDO'!I39^2)+'BLAZE SHIELD II'!$D$5*'HOJA DE CÁLCULO RESPALDO'!I39+'BLAZE SHIELD II'!$D$6)*LN(J39))+('BLAZE SHIELD II'!$D$7*('HOJA DE CÁLCULO RESPALDO'!I39^2)+'BLAZE SHIELD II'!$D$8*'HOJA DE CÁLCULO RESPALDO'!I39+'BLAZE SHIELD II'!$D$9)),0),0),0))+(IF(L39="Blaze Shield II",IF(M39="Idiem software",IF(C39="Cj",((('BLAZE SHIELD II'!$H$4*('HOJA DE CÁLCULO RESPALDO'!I39^2)+'BLAZE SHIELD II'!$H$5*'HOJA DE CÁLCULO RESPALDO'!I39+'BLAZE SHIELD II'!$H$6)*LN(J39))+('BLAZE SHIELD II'!$H$7*('HOJA DE CÁLCULO RESPALDO'!I39^2)+'BLAZE SHIELD II'!$H$8*'HOJA DE CÁLCULO RESPALDO'!I39+'BLAZE SHIELD II'!$H$9)),0),0),0))+(IF(L39="Blaze Shield II",IF(M39="Idiem software",IF(C39="C",((('BLAZE SHIELD II'!$L$4*('HOJA DE CÁLCULO RESPALDO'!I39^2)+'BLAZE SHIELD II'!$L$5*'HOJA DE CÁLCULO RESPALDO'!I39+'BLAZE SHIELD II'!$L$6)*LN(J39))+('BLAZE SHIELD II'!$L$7*('HOJA DE CÁLCULO RESPALDO'!I39^2)+'BLAZE SHIELD II'!$L$8*'HOJA DE CÁLCULO RESPALDO'!I39+'BLAZE SHIELD II'!$L$9)),0),0),0))+(IF(L39="Blaze Shield II",IF(M39="Idiem software",IF(AND(C39="IN",G39=3),((('BLAZE SHIELD II'!$H$14*('HOJA DE CÁLCULO RESPALDO'!I39^2)+'BLAZE SHIELD II'!$H$15*'HOJA DE CÁLCULO RESPALDO'!I39+'BLAZE SHIELD II'!$H$16)*LN(J39))+('BLAZE SHIELD II'!$H$17*('HOJA DE CÁLCULO RESPALDO'!I39^2)+'BLAZE SHIELD II'!$H$18*'HOJA DE CÁLCULO RESPALDO'!I39+'BLAZE SHIELD II'!$H$19)),0),0),0)),0)</f>
        <v>0</v>
      </c>
      <c r="O39" s="46">
        <f t="shared" si="4"/>
        <v>0</v>
      </c>
      <c r="P39" s="80">
        <f t="shared" si="1"/>
        <v>0</v>
      </c>
      <c r="Q39" s="85">
        <f>ROUND((IF(L39="Cafco 400",IF(M39="Idiem software",IF(AND(C39="IN",G39=4),((('CAFCO 400 '!$H$7*(J39^4)+'CAFCO 400 '!$H$8*(J39^3)+'CAFCO 400 '!$H$9*(J39^2)+'CAFCO 400 '!$H$10*J39+'CAFCO 400 '!$H$11)*I39^2)+(('CAFCO 400 '!$H$12*(J39^3)+'CAFCO 400 '!$H$13*(J39^2)+'CAFCO 400 '!$H$14*J39+'CAFCO 400 '!$H$15)*I39)+('CAFCO 400 '!$H$16*(J39^2)+'CAFCO 400 '!$H$17*J39+'CAFCO 400 '!$H$18)),0),0),0))+(IF(L39="Cafco 400",IF(M39="Idiem software",IF(C39="Cj",(((('CAFCO 400 '!$D$7*LN(J39)+'CAFCO 400 '!$D$8)*I39^2)+(('CAFCO 400 '!$D$9*LN(J39)+'CAFCO 400 '!$D$10)*I39)+('CAFCO 400 '!$D$11*LN(J39)+'CAFCO 400 '!$D$12))),0),0),0))+(IF(L39="Cafco 400",IF(M39="Idiem software",IF(C39="C",((('CAFCO 400 '!$L$7*(J39^3)+'CAFCO 400 '!$L$8*(J39^2)+'CAFCO 400 '!$L$9*J39+'CAFCO 400 '!$L$10)*I39^2)+(('CAFCO 400 '!$L$11*(J39^3)+'CAFCO 400 '!$L$12*(J39^2)+'CAFCO 400 '!$L$13*J39+'CAFCO 400 '!$L$14)*I39)+('CAFCO 400 '!$L$15*LN(J39)+'CAFCO 400 '!$L$16)),0),0),0))+(IF(L39="Cafco 400",IF(M39="Idiem software",IF(AND(C39="IN",G39=3),((('CAFCO 400 '!$D$23*(J39^2)+'CAFCO 400 '!$D$24*(J39)+'CAFCO 400 '!$D$25)*I39^2)+(('CAFCO 400 '!$D$26*(J39^2)+'CAFCO 400 '!$D$27*J39+'CAFCO 400 '!$D$28)*I39)+('CAFCO 400 '!$D$29*(J39^2)+'CAFCO 400 '!$D$30*J39+'CAFCO 400 '!$D$31)),0),0),0)),0)</f>
        <v>0</v>
      </c>
      <c r="R39" s="47">
        <f t="shared" si="5"/>
        <v>0</v>
      </c>
      <c r="S39" s="82">
        <f t="shared" si="2"/>
        <v>0</v>
      </c>
      <c r="T39" s="81">
        <f>+IF(AND(J39&gt;=95,J39&lt;=240),IF(AND(C39="Cj",I39=90),VLOOKUP(W39,'CAFCO 300 IDIEM TABLAS'!$B$4:$D$23,2,FALSE),0)+IF(AND(J39&gt;=95,J39&lt;=240),IF(AND(C39="Cj",I39=120),VLOOKUP(W39,'CAFCO 300 IDIEM TABLAS'!$B$4:$D$23,3,FALSE),0))+IF(AND(J39&gt;=95,J39&lt;=400,G39=3),IF(AND(C39="IN",I39=90),VLOOKUP(W39,'CAFCO 300 IDIEM TABLAS'!$F$4:$H$35,2,FALSE),0),0)+IF(AND(J39&gt;=95,J39&lt;=400,G39=3),IF(AND(C39="IN",I39=120),VLOOKUP(W39,'CAFCO 300 IDIEM TABLAS'!$F$4:$H$35,3,FALSE),0),0)+IF(AND(J39&gt;=95,J39&lt;=450,G39=4),IF(AND(C39="IN",I39=90),VLOOKUP(W39,'CAFCO 300 IDIEM TABLAS'!$J$4:$L$40,2,FALSE),0),0)+IF(AND(J39&gt;=95,J39&lt;=450,G39=4),IF(AND(C39="IN",I39=120),VLOOKUP(W39,'CAFCO 300 IDIEM TABLAS'!$J$4:$L$40,3,FALSE),0),0))</f>
        <v>17</v>
      </c>
      <c r="U39" s="48">
        <f t="shared" si="6"/>
        <v>1.3649947047496791</v>
      </c>
      <c r="V39" s="82">
        <f t="shared" si="3"/>
        <v>20494.030497111682</v>
      </c>
      <c r="W39" s="64">
        <f>+IF(J39=LOOKUP(J39,'CAFCO 300 IDIEM TABLAS'!$J$4:$J$40),'HOJA DE CÁLCULO RESPALDO'!J39,MROUND('HOJA DE CÁLCULO RESPALDO'!J39,10))</f>
        <v>95</v>
      </c>
      <c r="X39" s="36"/>
      <c r="Y39" s="4"/>
    </row>
    <row r="40" spans="1:25" ht="15.6" customHeight="1" x14ac:dyDescent="0.25">
      <c r="A40" s="2" t="s">
        <v>36</v>
      </c>
      <c r="B40" s="3" t="s">
        <v>17</v>
      </c>
      <c r="C40" s="3" t="s">
        <v>19</v>
      </c>
      <c r="D40" s="3">
        <v>1</v>
      </c>
      <c r="E40" s="2">
        <v>2</v>
      </c>
      <c r="F40" s="8">
        <v>26385</v>
      </c>
      <c r="G40" s="1">
        <v>4</v>
      </c>
      <c r="H40" s="2">
        <v>2784</v>
      </c>
      <c r="I40" s="34">
        <v>90</v>
      </c>
      <c r="J40" s="11">
        <v>95</v>
      </c>
      <c r="K40" s="44">
        <f t="shared" si="0"/>
        <v>146.91167999999999</v>
      </c>
      <c r="L40" s="3" t="s">
        <v>61</v>
      </c>
      <c r="M40" s="3" t="s">
        <v>70</v>
      </c>
      <c r="N40" s="15">
        <f>ROUND((IF(L40="Blaze Shield II",IF(M40="Idiem software",IF(AND(C40="IN",G40=4),((('BLAZE SHIELD II'!$D$4*('HOJA DE CÁLCULO RESPALDO'!I40^2)+'BLAZE SHIELD II'!$D$5*'HOJA DE CÁLCULO RESPALDO'!I40+'BLAZE SHIELD II'!$D$6)*LN(J40))+('BLAZE SHIELD II'!$D$7*('HOJA DE CÁLCULO RESPALDO'!I40^2)+'BLAZE SHIELD II'!$D$8*'HOJA DE CÁLCULO RESPALDO'!I40+'BLAZE SHIELD II'!$D$9)),0),0),0))+(IF(L40="Blaze Shield II",IF(M40="Idiem software",IF(C40="Cj",((('BLAZE SHIELD II'!$H$4*('HOJA DE CÁLCULO RESPALDO'!I40^2)+'BLAZE SHIELD II'!$H$5*'HOJA DE CÁLCULO RESPALDO'!I40+'BLAZE SHIELD II'!$H$6)*LN(J40))+('BLAZE SHIELD II'!$H$7*('HOJA DE CÁLCULO RESPALDO'!I40^2)+'BLAZE SHIELD II'!$H$8*'HOJA DE CÁLCULO RESPALDO'!I40+'BLAZE SHIELD II'!$H$9)),0),0),0))+(IF(L40="Blaze Shield II",IF(M40="Idiem software",IF(C40="C",((('BLAZE SHIELD II'!$L$4*('HOJA DE CÁLCULO RESPALDO'!I40^2)+'BLAZE SHIELD II'!$L$5*'HOJA DE CÁLCULO RESPALDO'!I40+'BLAZE SHIELD II'!$L$6)*LN(J40))+('BLAZE SHIELD II'!$L$7*('HOJA DE CÁLCULO RESPALDO'!I40^2)+'BLAZE SHIELD II'!$L$8*'HOJA DE CÁLCULO RESPALDO'!I40+'BLAZE SHIELD II'!$L$9)),0),0),0))+(IF(L40="Blaze Shield II",IF(M40="Idiem software",IF(AND(C40="IN",G40=3),((('BLAZE SHIELD II'!$H$14*('HOJA DE CÁLCULO RESPALDO'!I40^2)+'BLAZE SHIELD II'!$H$15*'HOJA DE CÁLCULO RESPALDO'!I40+'BLAZE SHIELD II'!$H$16)*LN(J40))+('BLAZE SHIELD II'!$H$17*('HOJA DE CÁLCULO RESPALDO'!I40^2)+'BLAZE SHIELD II'!$H$18*'HOJA DE CÁLCULO RESPALDO'!I40+'BLAZE SHIELD II'!$H$19)),0),0),0)),0)</f>
        <v>0</v>
      </c>
      <c r="O40" s="46">
        <f t="shared" si="4"/>
        <v>0</v>
      </c>
      <c r="P40" s="80">
        <f t="shared" si="1"/>
        <v>0</v>
      </c>
      <c r="Q40" s="85">
        <f>ROUND((IF(L40="Cafco 400",IF(M40="Idiem software",IF(AND(C40="IN",G40=4),((('CAFCO 400 '!$H$7*(J40^4)+'CAFCO 400 '!$H$8*(J40^3)+'CAFCO 400 '!$H$9*(J40^2)+'CAFCO 400 '!$H$10*J40+'CAFCO 400 '!$H$11)*I40^2)+(('CAFCO 400 '!$H$12*(J40^3)+'CAFCO 400 '!$H$13*(J40^2)+'CAFCO 400 '!$H$14*J40+'CAFCO 400 '!$H$15)*I40)+('CAFCO 400 '!$H$16*(J40^2)+'CAFCO 400 '!$H$17*J40+'CAFCO 400 '!$H$18)),0),0),0))+(IF(L40="Cafco 400",IF(M40="Idiem software",IF(C40="Cj",(((('CAFCO 400 '!$D$7*LN(J40)+'CAFCO 400 '!$D$8)*I40^2)+(('CAFCO 400 '!$D$9*LN(J40)+'CAFCO 400 '!$D$10)*I40)+('CAFCO 400 '!$D$11*LN(J40)+'CAFCO 400 '!$D$12))),0),0),0))+(IF(L40="Cafco 400",IF(M40="Idiem software",IF(C40="C",((('CAFCO 400 '!$L$7*(J40^3)+'CAFCO 400 '!$L$8*(J40^2)+'CAFCO 400 '!$L$9*J40+'CAFCO 400 '!$L$10)*I40^2)+(('CAFCO 400 '!$L$11*(J40^3)+'CAFCO 400 '!$L$12*(J40^2)+'CAFCO 400 '!$L$13*J40+'CAFCO 400 '!$L$14)*I40)+('CAFCO 400 '!$L$15*LN(J40)+'CAFCO 400 '!$L$16)),0),0),0))+(IF(L40="Cafco 400",IF(M40="Idiem software",IF(AND(C40="IN",G40=3),((('CAFCO 400 '!$D$23*(J40^2)+'CAFCO 400 '!$D$24*(J40)+'CAFCO 400 '!$D$25)*I40^2)+(('CAFCO 400 '!$D$26*(J40^2)+'CAFCO 400 '!$D$27*J40+'CAFCO 400 '!$D$28)*I40)+('CAFCO 400 '!$D$29*(J40^2)+'CAFCO 400 '!$D$30*J40+'CAFCO 400 '!$D$31)),0),0),0)),0)</f>
        <v>0</v>
      </c>
      <c r="R40" s="47">
        <f t="shared" si="5"/>
        <v>0</v>
      </c>
      <c r="S40" s="82">
        <f t="shared" si="2"/>
        <v>0</v>
      </c>
      <c r="T40" s="81">
        <f>+IF(AND(J40&gt;=95,J40&lt;=240),IF(AND(C40="Cj",I40=90),VLOOKUP(W40,'CAFCO 300 IDIEM TABLAS'!$B$4:$D$23,2,FALSE),0)+IF(AND(J40&gt;=95,J40&lt;=240),IF(AND(C40="Cj",I40=120),VLOOKUP(W40,'CAFCO 300 IDIEM TABLAS'!$B$4:$D$23,3,FALSE),0))+IF(AND(J40&gt;=95,J40&lt;=400,G40=3),IF(AND(C40="IN",I40=90),VLOOKUP(W40,'CAFCO 300 IDIEM TABLAS'!$F$4:$H$35,2,FALSE),0),0)+IF(AND(J40&gt;=95,J40&lt;=400,G40=3),IF(AND(C40="IN",I40=120),VLOOKUP(W40,'CAFCO 300 IDIEM TABLAS'!$F$4:$H$35,3,FALSE),0),0)+IF(AND(J40&gt;=95,J40&lt;=450,G40=4),IF(AND(C40="IN",I40=90),VLOOKUP(W40,'CAFCO 300 IDIEM TABLAS'!$J$4:$L$40,2,FALSE),0),0)+IF(AND(J40&gt;=95,J40&lt;=450,G40=4),IF(AND(C40="IN",I40=120),VLOOKUP(W40,'CAFCO 300 IDIEM TABLAS'!$J$4:$L$40,3,FALSE),0),0))</f>
        <v>17</v>
      </c>
      <c r="U40" s="48">
        <f t="shared" si="6"/>
        <v>34.464838921694479</v>
      </c>
      <c r="V40" s="82">
        <f t="shared" si="3"/>
        <v>517455.09157032089</v>
      </c>
      <c r="W40" s="64">
        <f>+IF(J40=LOOKUP(J40,'CAFCO 300 IDIEM TABLAS'!$J$4:$J$40),'HOJA DE CÁLCULO RESPALDO'!J40,MROUND('HOJA DE CÁLCULO RESPALDO'!J40,10))</f>
        <v>95</v>
      </c>
      <c r="X40" s="36"/>
      <c r="Y40" s="4"/>
    </row>
    <row r="41" spans="1:25" x14ac:dyDescent="0.25">
      <c r="A41" s="2" t="s">
        <v>35</v>
      </c>
      <c r="B41" s="3" t="s">
        <v>17</v>
      </c>
      <c r="C41" s="3" t="s">
        <v>19</v>
      </c>
      <c r="D41" s="3">
        <v>1</v>
      </c>
      <c r="E41" s="2">
        <v>1</v>
      </c>
      <c r="F41" s="8">
        <v>91778</v>
      </c>
      <c r="G41" s="1">
        <v>4</v>
      </c>
      <c r="H41" s="2">
        <v>1781</v>
      </c>
      <c r="I41" s="34">
        <v>90</v>
      </c>
      <c r="J41" s="11">
        <v>95</v>
      </c>
      <c r="K41" s="44">
        <f t="shared" si="0"/>
        <v>163.45661799999999</v>
      </c>
      <c r="L41" s="3" t="s">
        <v>61</v>
      </c>
      <c r="M41" s="3" t="s">
        <v>70</v>
      </c>
      <c r="N41" s="15">
        <f>ROUND((IF(L41="Blaze Shield II",IF(M41="Idiem software",IF(AND(C41="IN",G41=4),((('BLAZE SHIELD II'!$D$4*('HOJA DE CÁLCULO RESPALDO'!I41^2)+'BLAZE SHIELD II'!$D$5*'HOJA DE CÁLCULO RESPALDO'!I41+'BLAZE SHIELD II'!$D$6)*LN(J41))+('BLAZE SHIELD II'!$D$7*('HOJA DE CÁLCULO RESPALDO'!I41^2)+'BLAZE SHIELD II'!$D$8*'HOJA DE CÁLCULO RESPALDO'!I41+'BLAZE SHIELD II'!$D$9)),0),0),0))+(IF(L41="Blaze Shield II",IF(M41="Idiem software",IF(C41="Cj",((('BLAZE SHIELD II'!$H$4*('HOJA DE CÁLCULO RESPALDO'!I41^2)+'BLAZE SHIELD II'!$H$5*'HOJA DE CÁLCULO RESPALDO'!I41+'BLAZE SHIELD II'!$H$6)*LN(J41))+('BLAZE SHIELD II'!$H$7*('HOJA DE CÁLCULO RESPALDO'!I41^2)+'BLAZE SHIELD II'!$H$8*'HOJA DE CÁLCULO RESPALDO'!I41+'BLAZE SHIELD II'!$H$9)),0),0),0))+(IF(L41="Blaze Shield II",IF(M41="Idiem software",IF(C41="C",((('BLAZE SHIELD II'!$L$4*('HOJA DE CÁLCULO RESPALDO'!I41^2)+'BLAZE SHIELD II'!$L$5*'HOJA DE CÁLCULO RESPALDO'!I41+'BLAZE SHIELD II'!$L$6)*LN(J41))+('BLAZE SHIELD II'!$L$7*('HOJA DE CÁLCULO RESPALDO'!I41^2)+'BLAZE SHIELD II'!$L$8*'HOJA DE CÁLCULO RESPALDO'!I41+'BLAZE SHIELD II'!$L$9)),0),0),0))+(IF(L41="Blaze Shield II",IF(M41="Idiem software",IF(AND(C41="IN",G41=3),((('BLAZE SHIELD II'!$H$14*('HOJA DE CÁLCULO RESPALDO'!I41^2)+'BLAZE SHIELD II'!$H$15*'HOJA DE CÁLCULO RESPALDO'!I41+'BLAZE SHIELD II'!$H$16)*LN(J41))+('BLAZE SHIELD II'!$H$17*('HOJA DE CÁLCULO RESPALDO'!I41^2)+'BLAZE SHIELD II'!$H$18*'HOJA DE CÁLCULO RESPALDO'!I41+'BLAZE SHIELD II'!$H$19)),0),0),0)),0)</f>
        <v>0</v>
      </c>
      <c r="O41" s="46">
        <f t="shared" si="4"/>
        <v>0</v>
      </c>
      <c r="P41" s="80">
        <f t="shared" si="1"/>
        <v>0</v>
      </c>
      <c r="Q41" s="85">
        <f>ROUND((IF(L41="Cafco 400",IF(M41="Idiem software",IF(AND(C41="IN",G41=4),((('CAFCO 400 '!$H$7*(J41^4)+'CAFCO 400 '!$H$8*(J41^3)+'CAFCO 400 '!$H$9*(J41^2)+'CAFCO 400 '!$H$10*J41+'CAFCO 400 '!$H$11)*I41^2)+(('CAFCO 400 '!$H$12*(J41^3)+'CAFCO 400 '!$H$13*(J41^2)+'CAFCO 400 '!$H$14*J41+'CAFCO 400 '!$H$15)*I41)+('CAFCO 400 '!$H$16*(J41^2)+'CAFCO 400 '!$H$17*J41+'CAFCO 400 '!$H$18)),0),0),0))+(IF(L41="Cafco 400",IF(M41="Idiem software",IF(C41="Cj",(((('CAFCO 400 '!$D$7*LN(J41)+'CAFCO 400 '!$D$8)*I41^2)+(('CAFCO 400 '!$D$9*LN(J41)+'CAFCO 400 '!$D$10)*I41)+('CAFCO 400 '!$D$11*LN(J41)+'CAFCO 400 '!$D$12))),0),0),0))+(IF(L41="Cafco 400",IF(M41="Idiem software",IF(C41="C",((('CAFCO 400 '!$L$7*(J41^3)+'CAFCO 400 '!$L$8*(J41^2)+'CAFCO 400 '!$L$9*J41+'CAFCO 400 '!$L$10)*I41^2)+(('CAFCO 400 '!$L$11*(J41^3)+'CAFCO 400 '!$L$12*(J41^2)+'CAFCO 400 '!$L$13*J41+'CAFCO 400 '!$L$14)*I41)+('CAFCO 400 '!$L$15*LN(J41)+'CAFCO 400 '!$L$16)),0),0),0))+(IF(L41="Cafco 400",IF(M41="Idiem software",IF(AND(C41="IN",G41=3),((('CAFCO 400 '!$D$23*(J41^2)+'CAFCO 400 '!$D$24*(J41)+'CAFCO 400 '!$D$25)*I41^2)+(('CAFCO 400 '!$D$26*(J41^2)+'CAFCO 400 '!$D$27*J41+'CAFCO 400 '!$D$28)*I41)+('CAFCO 400 '!$D$29*(J41^2)+'CAFCO 400 '!$D$30*J41+'CAFCO 400 '!$D$31)),0),0),0)),0)</f>
        <v>0</v>
      </c>
      <c r="R41" s="47">
        <f t="shared" si="5"/>
        <v>0</v>
      </c>
      <c r="S41" s="82">
        <f t="shared" si="2"/>
        <v>0</v>
      </c>
      <c r="T41" s="81">
        <f>+IF(AND(J41&gt;=95,J41&lt;=240),IF(AND(C41="Cj",I41=90),VLOOKUP(W41,'CAFCO 300 IDIEM TABLAS'!$B$4:$D$23,2,FALSE),0)+IF(AND(J41&gt;=95,J41&lt;=240),IF(AND(C41="Cj",I41=120),VLOOKUP(W41,'CAFCO 300 IDIEM TABLAS'!$B$4:$D$23,3,FALSE),0))+IF(AND(J41&gt;=95,J41&lt;=400,G41=3),IF(AND(C41="IN",I41=90),VLOOKUP(W41,'CAFCO 300 IDIEM TABLAS'!$F$4:$H$35,2,FALSE),0),0)+IF(AND(J41&gt;=95,J41&lt;=400,G41=3),IF(AND(C41="IN",I41=120),VLOOKUP(W41,'CAFCO 300 IDIEM TABLAS'!$F$4:$H$35,3,FALSE),0),0)+IF(AND(J41&gt;=95,J41&lt;=450,G41=4),IF(AND(C41="IN",I41=90),VLOOKUP(W41,'CAFCO 300 IDIEM TABLAS'!$J$4:$L$40,2,FALSE),0),0)+IF(AND(J41&gt;=95,J41&lt;=450,G41=4),IF(AND(C41="IN",I41=120),VLOOKUP(W41,'CAFCO 300 IDIEM TABLAS'!$J$4:$L$40,3,FALSE),0),0))</f>
        <v>17</v>
      </c>
      <c r="U41" s="48">
        <f t="shared" si="6"/>
        <v>38.34620916495507</v>
      </c>
      <c r="V41" s="82">
        <f t="shared" si="3"/>
        <v>575729.98440263537</v>
      </c>
      <c r="W41" s="64">
        <f>+IF(J41=LOOKUP(J41,'CAFCO 300 IDIEM TABLAS'!$J$4:$J$40),'HOJA DE CÁLCULO RESPALDO'!J41,MROUND('HOJA DE CÁLCULO RESPALDO'!J41,10))</f>
        <v>95</v>
      </c>
      <c r="X41" s="36"/>
      <c r="Y41" s="4"/>
    </row>
    <row r="42" spans="1:25" ht="15.6" customHeight="1" x14ac:dyDescent="0.25">
      <c r="A42" s="2" t="s">
        <v>37</v>
      </c>
      <c r="B42" s="3" t="s">
        <v>17</v>
      </c>
      <c r="C42" s="3" t="s">
        <v>19</v>
      </c>
      <c r="D42" s="3">
        <v>1</v>
      </c>
      <c r="E42" s="2">
        <v>2</v>
      </c>
      <c r="F42" s="8">
        <v>12900</v>
      </c>
      <c r="G42" s="1">
        <v>4</v>
      </c>
      <c r="H42" s="2">
        <v>968</v>
      </c>
      <c r="I42" s="34">
        <v>90</v>
      </c>
      <c r="J42" s="11">
        <v>95</v>
      </c>
      <c r="K42" s="44">
        <f t="shared" si="0"/>
        <v>24.974399999999999</v>
      </c>
      <c r="L42" s="3" t="s">
        <v>61</v>
      </c>
      <c r="M42" s="3" t="s">
        <v>70</v>
      </c>
      <c r="N42" s="15">
        <f>ROUND((IF(L42="Blaze Shield II",IF(M42="Idiem software",IF(AND(C42="IN",G42=4),((('BLAZE SHIELD II'!$D$4*('HOJA DE CÁLCULO RESPALDO'!I42^2)+'BLAZE SHIELD II'!$D$5*'HOJA DE CÁLCULO RESPALDO'!I42+'BLAZE SHIELD II'!$D$6)*LN(J42))+('BLAZE SHIELD II'!$D$7*('HOJA DE CÁLCULO RESPALDO'!I42^2)+'BLAZE SHIELD II'!$D$8*'HOJA DE CÁLCULO RESPALDO'!I42+'BLAZE SHIELD II'!$D$9)),0),0),0))+(IF(L42="Blaze Shield II",IF(M42="Idiem software",IF(C42="Cj",((('BLAZE SHIELD II'!$H$4*('HOJA DE CÁLCULO RESPALDO'!I42^2)+'BLAZE SHIELD II'!$H$5*'HOJA DE CÁLCULO RESPALDO'!I42+'BLAZE SHIELD II'!$H$6)*LN(J42))+('BLAZE SHIELD II'!$H$7*('HOJA DE CÁLCULO RESPALDO'!I42^2)+'BLAZE SHIELD II'!$H$8*'HOJA DE CÁLCULO RESPALDO'!I42+'BLAZE SHIELD II'!$H$9)),0),0),0))+(IF(L42="Blaze Shield II",IF(M42="Idiem software",IF(C42="C",((('BLAZE SHIELD II'!$L$4*('HOJA DE CÁLCULO RESPALDO'!I42^2)+'BLAZE SHIELD II'!$L$5*'HOJA DE CÁLCULO RESPALDO'!I42+'BLAZE SHIELD II'!$L$6)*LN(J42))+('BLAZE SHIELD II'!$L$7*('HOJA DE CÁLCULO RESPALDO'!I42^2)+'BLAZE SHIELD II'!$L$8*'HOJA DE CÁLCULO RESPALDO'!I42+'BLAZE SHIELD II'!$L$9)),0),0),0))+(IF(L42="Blaze Shield II",IF(M42="Idiem software",IF(AND(C42="IN",G42=3),((('BLAZE SHIELD II'!$H$14*('HOJA DE CÁLCULO RESPALDO'!I42^2)+'BLAZE SHIELD II'!$H$15*'HOJA DE CÁLCULO RESPALDO'!I42+'BLAZE SHIELD II'!$H$16)*LN(J42))+('BLAZE SHIELD II'!$H$17*('HOJA DE CÁLCULO RESPALDO'!I42^2)+'BLAZE SHIELD II'!$H$18*'HOJA DE CÁLCULO RESPALDO'!I42+'BLAZE SHIELD II'!$H$19)),0),0),0)),0)</f>
        <v>0</v>
      </c>
      <c r="O42" s="46">
        <f t="shared" si="4"/>
        <v>0</v>
      </c>
      <c r="P42" s="80">
        <f t="shared" si="1"/>
        <v>0</v>
      </c>
      <c r="Q42" s="85">
        <f>ROUND((IF(L42="Cafco 400",IF(M42="Idiem software",IF(AND(C42="IN",G42=4),((('CAFCO 400 '!$H$7*(J42^4)+'CAFCO 400 '!$H$8*(J42^3)+'CAFCO 400 '!$H$9*(J42^2)+'CAFCO 400 '!$H$10*J42+'CAFCO 400 '!$H$11)*I42^2)+(('CAFCO 400 '!$H$12*(J42^3)+'CAFCO 400 '!$H$13*(J42^2)+'CAFCO 400 '!$H$14*J42+'CAFCO 400 '!$H$15)*I42)+('CAFCO 400 '!$H$16*(J42^2)+'CAFCO 400 '!$H$17*J42+'CAFCO 400 '!$H$18)),0),0),0))+(IF(L42="Cafco 400",IF(M42="Idiem software",IF(C42="Cj",(((('CAFCO 400 '!$D$7*LN(J42)+'CAFCO 400 '!$D$8)*I42^2)+(('CAFCO 400 '!$D$9*LN(J42)+'CAFCO 400 '!$D$10)*I42)+('CAFCO 400 '!$D$11*LN(J42)+'CAFCO 400 '!$D$12))),0),0),0))+(IF(L42="Cafco 400",IF(M42="Idiem software",IF(C42="C",((('CAFCO 400 '!$L$7*(J42^3)+'CAFCO 400 '!$L$8*(J42^2)+'CAFCO 400 '!$L$9*J42+'CAFCO 400 '!$L$10)*I42^2)+(('CAFCO 400 '!$L$11*(J42^3)+'CAFCO 400 '!$L$12*(J42^2)+'CAFCO 400 '!$L$13*J42+'CAFCO 400 '!$L$14)*I42)+('CAFCO 400 '!$L$15*LN(J42)+'CAFCO 400 '!$L$16)),0),0),0))+(IF(L42="Cafco 400",IF(M42="Idiem software",IF(AND(C42="IN",G42=3),((('CAFCO 400 '!$D$23*(J42^2)+'CAFCO 400 '!$D$24*(J42)+'CAFCO 400 '!$D$25)*I42^2)+(('CAFCO 400 '!$D$26*(J42^2)+'CAFCO 400 '!$D$27*J42+'CAFCO 400 '!$D$28)*I42)+('CAFCO 400 '!$D$29*(J42^2)+'CAFCO 400 '!$D$30*J42+'CAFCO 400 '!$D$31)),0),0),0)),0)</f>
        <v>0</v>
      </c>
      <c r="R42" s="47">
        <f t="shared" si="5"/>
        <v>0</v>
      </c>
      <c r="S42" s="82">
        <f t="shared" si="2"/>
        <v>0</v>
      </c>
      <c r="T42" s="81">
        <f>+IF(AND(J42&gt;=95,J42&lt;=240),IF(AND(C42="Cj",I42=90),VLOOKUP(W42,'CAFCO 300 IDIEM TABLAS'!$B$4:$D$23,2,FALSE),0)+IF(AND(J42&gt;=95,J42&lt;=240),IF(AND(C42="Cj",I42=120),VLOOKUP(W42,'CAFCO 300 IDIEM TABLAS'!$B$4:$D$23,3,FALSE),0))+IF(AND(J42&gt;=95,J42&lt;=400,G42=3),IF(AND(C42="IN",I42=90),VLOOKUP(W42,'CAFCO 300 IDIEM TABLAS'!$F$4:$H$35,2,FALSE),0),0)+IF(AND(J42&gt;=95,J42&lt;=400,G42=3),IF(AND(C42="IN",I42=120),VLOOKUP(W42,'CAFCO 300 IDIEM TABLAS'!$F$4:$H$35,3,FALSE),0),0)+IF(AND(J42&gt;=95,J42&lt;=450,G42=4),IF(AND(C42="IN",I42=90),VLOOKUP(W42,'CAFCO 300 IDIEM TABLAS'!$J$4:$L$40,2,FALSE),0),0)+IF(AND(J42&gt;=95,J42&lt;=450,G42=4),IF(AND(C42="IN",I42=120),VLOOKUP(W42,'CAFCO 300 IDIEM TABLAS'!$J$4:$L$40,3,FALSE),0),0))</f>
        <v>17</v>
      </c>
      <c r="U42" s="48">
        <f t="shared" si="6"/>
        <v>5.8588852374839533</v>
      </c>
      <c r="V42" s="82">
        <f t="shared" si="3"/>
        <v>87965.302955584077</v>
      </c>
      <c r="W42" s="64">
        <f>+IF(J42=LOOKUP(J42,'CAFCO 300 IDIEM TABLAS'!$J$4:$J$40),'HOJA DE CÁLCULO RESPALDO'!J42,MROUND('HOJA DE CÁLCULO RESPALDO'!J42,10))</f>
        <v>95</v>
      </c>
      <c r="X42" s="36"/>
      <c r="Y42" s="4"/>
    </row>
    <row r="43" spans="1:25" x14ac:dyDescent="0.25">
      <c r="A43" s="2" t="s">
        <v>35</v>
      </c>
      <c r="B43" s="3" t="s">
        <v>17</v>
      </c>
      <c r="C43" s="3" t="s">
        <v>19</v>
      </c>
      <c r="D43" s="3">
        <v>1</v>
      </c>
      <c r="E43" s="2">
        <v>1</v>
      </c>
      <c r="F43" s="8">
        <v>17971</v>
      </c>
      <c r="G43" s="1">
        <v>4</v>
      </c>
      <c r="H43" s="2">
        <v>2184</v>
      </c>
      <c r="I43" s="34">
        <v>90</v>
      </c>
      <c r="J43" s="11">
        <v>95</v>
      </c>
      <c r="K43" s="44">
        <f t="shared" si="0"/>
        <v>39.248663999999998</v>
      </c>
      <c r="L43" s="3" t="s">
        <v>61</v>
      </c>
      <c r="M43" s="3" t="s">
        <v>70</v>
      </c>
      <c r="N43" s="15">
        <f>ROUND((IF(L43="Blaze Shield II",IF(M43="Idiem software",IF(AND(C43="IN",G43=4),((('BLAZE SHIELD II'!$D$4*('HOJA DE CÁLCULO RESPALDO'!I43^2)+'BLAZE SHIELD II'!$D$5*'HOJA DE CÁLCULO RESPALDO'!I43+'BLAZE SHIELD II'!$D$6)*LN(J43))+('BLAZE SHIELD II'!$D$7*('HOJA DE CÁLCULO RESPALDO'!I43^2)+'BLAZE SHIELD II'!$D$8*'HOJA DE CÁLCULO RESPALDO'!I43+'BLAZE SHIELD II'!$D$9)),0),0),0))+(IF(L43="Blaze Shield II",IF(M43="Idiem software",IF(C43="Cj",((('BLAZE SHIELD II'!$H$4*('HOJA DE CÁLCULO RESPALDO'!I43^2)+'BLAZE SHIELD II'!$H$5*'HOJA DE CÁLCULO RESPALDO'!I43+'BLAZE SHIELD II'!$H$6)*LN(J43))+('BLAZE SHIELD II'!$H$7*('HOJA DE CÁLCULO RESPALDO'!I43^2)+'BLAZE SHIELD II'!$H$8*'HOJA DE CÁLCULO RESPALDO'!I43+'BLAZE SHIELD II'!$H$9)),0),0),0))+(IF(L43="Blaze Shield II",IF(M43="Idiem software",IF(C43="C",((('BLAZE SHIELD II'!$L$4*('HOJA DE CÁLCULO RESPALDO'!I43^2)+'BLAZE SHIELD II'!$L$5*'HOJA DE CÁLCULO RESPALDO'!I43+'BLAZE SHIELD II'!$L$6)*LN(J43))+('BLAZE SHIELD II'!$L$7*('HOJA DE CÁLCULO RESPALDO'!I43^2)+'BLAZE SHIELD II'!$L$8*'HOJA DE CÁLCULO RESPALDO'!I43+'BLAZE SHIELD II'!$L$9)),0),0),0))+(IF(L43="Blaze Shield II",IF(M43="Idiem software",IF(AND(C43="IN",G43=3),((('BLAZE SHIELD II'!$H$14*('HOJA DE CÁLCULO RESPALDO'!I43^2)+'BLAZE SHIELD II'!$H$15*'HOJA DE CÁLCULO RESPALDO'!I43+'BLAZE SHIELD II'!$H$16)*LN(J43))+('BLAZE SHIELD II'!$H$17*('HOJA DE CÁLCULO RESPALDO'!I43^2)+'BLAZE SHIELD II'!$H$18*'HOJA DE CÁLCULO RESPALDO'!I43+'BLAZE SHIELD II'!$H$19)),0),0),0)),0)</f>
        <v>0</v>
      </c>
      <c r="O43" s="46">
        <f t="shared" si="4"/>
        <v>0</v>
      </c>
      <c r="P43" s="80">
        <f t="shared" si="1"/>
        <v>0</v>
      </c>
      <c r="Q43" s="85">
        <f>ROUND((IF(L43="Cafco 400",IF(M43="Idiem software",IF(AND(C43="IN",G43=4),((('CAFCO 400 '!$H$7*(J43^4)+'CAFCO 400 '!$H$8*(J43^3)+'CAFCO 400 '!$H$9*(J43^2)+'CAFCO 400 '!$H$10*J43+'CAFCO 400 '!$H$11)*I43^2)+(('CAFCO 400 '!$H$12*(J43^3)+'CAFCO 400 '!$H$13*(J43^2)+'CAFCO 400 '!$H$14*J43+'CAFCO 400 '!$H$15)*I43)+('CAFCO 400 '!$H$16*(J43^2)+'CAFCO 400 '!$H$17*J43+'CAFCO 400 '!$H$18)),0),0),0))+(IF(L43="Cafco 400",IF(M43="Idiem software",IF(C43="Cj",(((('CAFCO 400 '!$D$7*LN(J43)+'CAFCO 400 '!$D$8)*I43^2)+(('CAFCO 400 '!$D$9*LN(J43)+'CAFCO 400 '!$D$10)*I43)+('CAFCO 400 '!$D$11*LN(J43)+'CAFCO 400 '!$D$12))),0),0),0))+(IF(L43="Cafco 400",IF(M43="Idiem software",IF(C43="C",((('CAFCO 400 '!$L$7*(J43^3)+'CAFCO 400 '!$L$8*(J43^2)+'CAFCO 400 '!$L$9*J43+'CAFCO 400 '!$L$10)*I43^2)+(('CAFCO 400 '!$L$11*(J43^3)+'CAFCO 400 '!$L$12*(J43^2)+'CAFCO 400 '!$L$13*J43+'CAFCO 400 '!$L$14)*I43)+('CAFCO 400 '!$L$15*LN(J43)+'CAFCO 400 '!$L$16)),0),0),0))+(IF(L43="Cafco 400",IF(M43="Idiem software",IF(AND(C43="IN",G43=3),((('CAFCO 400 '!$D$23*(J43^2)+'CAFCO 400 '!$D$24*(J43)+'CAFCO 400 '!$D$25)*I43^2)+(('CAFCO 400 '!$D$26*(J43^2)+'CAFCO 400 '!$D$27*J43+'CAFCO 400 '!$D$28)*I43)+('CAFCO 400 '!$D$29*(J43^2)+'CAFCO 400 '!$D$30*J43+'CAFCO 400 '!$D$31)),0),0),0)),0)</f>
        <v>0</v>
      </c>
      <c r="R43" s="47">
        <f t="shared" si="5"/>
        <v>0</v>
      </c>
      <c r="S43" s="82">
        <f t="shared" si="2"/>
        <v>0</v>
      </c>
      <c r="T43" s="81">
        <f>+IF(AND(J43&gt;=95,J43&lt;=240),IF(AND(C43="Cj",I43=90),VLOOKUP(W43,'CAFCO 300 IDIEM TABLAS'!$B$4:$D$23,2,FALSE),0)+IF(AND(J43&gt;=95,J43&lt;=240),IF(AND(C43="Cj",I43=120),VLOOKUP(W43,'CAFCO 300 IDIEM TABLAS'!$B$4:$D$23,3,FALSE),0))+IF(AND(J43&gt;=95,J43&lt;=400,G43=3),IF(AND(C43="IN",I43=90),VLOOKUP(W43,'CAFCO 300 IDIEM TABLAS'!$F$4:$H$35,2,FALSE),0),0)+IF(AND(J43&gt;=95,J43&lt;=400,G43=3),IF(AND(C43="IN",I43=120),VLOOKUP(W43,'CAFCO 300 IDIEM TABLAS'!$F$4:$H$35,3,FALSE),0),0)+IF(AND(J43&gt;=95,J43&lt;=450,G43=4),IF(AND(C43="IN",I43=90),VLOOKUP(W43,'CAFCO 300 IDIEM TABLAS'!$J$4:$L$40,2,FALSE),0),0)+IF(AND(J43&gt;=95,J43&lt;=450,G43=4),IF(AND(C43="IN",I43=120),VLOOKUP(W43,'CAFCO 300 IDIEM TABLAS'!$J$4:$L$40,3,FALSE),0),0))</f>
        <v>17</v>
      </c>
      <c r="U43" s="48">
        <f t="shared" si="6"/>
        <v>9.2075652708600764</v>
      </c>
      <c r="V43" s="82">
        <f t="shared" si="3"/>
        <v>138242.3849766932</v>
      </c>
      <c r="W43" s="64">
        <f>+IF(J43=LOOKUP(J43,'CAFCO 300 IDIEM TABLAS'!$J$4:$J$40),'HOJA DE CÁLCULO RESPALDO'!J43,MROUND('HOJA DE CÁLCULO RESPALDO'!J43,10))</f>
        <v>95</v>
      </c>
      <c r="X43" s="36"/>
      <c r="Y43" s="4"/>
    </row>
    <row r="44" spans="1:25" ht="15.6" customHeight="1" x14ac:dyDescent="0.25">
      <c r="A44" s="2" t="s">
        <v>36</v>
      </c>
      <c r="B44" s="3" t="s">
        <v>17</v>
      </c>
      <c r="C44" s="3" t="s">
        <v>19</v>
      </c>
      <c r="D44" s="3">
        <v>1</v>
      </c>
      <c r="E44" s="2">
        <v>1</v>
      </c>
      <c r="F44" s="8">
        <v>7759</v>
      </c>
      <c r="G44" s="1">
        <v>4</v>
      </c>
      <c r="H44" s="2">
        <v>785</v>
      </c>
      <c r="I44" s="34">
        <v>90</v>
      </c>
      <c r="J44" s="11">
        <v>95</v>
      </c>
      <c r="K44" s="44">
        <f t="shared" si="0"/>
        <v>6.0908150000000001</v>
      </c>
      <c r="L44" s="3" t="s">
        <v>61</v>
      </c>
      <c r="M44" s="3" t="s">
        <v>70</v>
      </c>
      <c r="N44" s="15">
        <f>ROUND((IF(L44="Blaze Shield II",IF(M44="Idiem software",IF(AND(C44="IN",G44=4),((('BLAZE SHIELD II'!$D$4*('HOJA DE CÁLCULO RESPALDO'!I44^2)+'BLAZE SHIELD II'!$D$5*'HOJA DE CÁLCULO RESPALDO'!I44+'BLAZE SHIELD II'!$D$6)*LN(J44))+('BLAZE SHIELD II'!$D$7*('HOJA DE CÁLCULO RESPALDO'!I44^2)+'BLAZE SHIELD II'!$D$8*'HOJA DE CÁLCULO RESPALDO'!I44+'BLAZE SHIELD II'!$D$9)),0),0),0))+(IF(L44="Blaze Shield II",IF(M44="Idiem software",IF(C44="Cj",((('BLAZE SHIELD II'!$H$4*('HOJA DE CÁLCULO RESPALDO'!I44^2)+'BLAZE SHIELD II'!$H$5*'HOJA DE CÁLCULO RESPALDO'!I44+'BLAZE SHIELD II'!$H$6)*LN(J44))+('BLAZE SHIELD II'!$H$7*('HOJA DE CÁLCULO RESPALDO'!I44^2)+'BLAZE SHIELD II'!$H$8*'HOJA DE CÁLCULO RESPALDO'!I44+'BLAZE SHIELD II'!$H$9)),0),0),0))+(IF(L44="Blaze Shield II",IF(M44="Idiem software",IF(C44="C",((('BLAZE SHIELD II'!$L$4*('HOJA DE CÁLCULO RESPALDO'!I44^2)+'BLAZE SHIELD II'!$L$5*'HOJA DE CÁLCULO RESPALDO'!I44+'BLAZE SHIELD II'!$L$6)*LN(J44))+('BLAZE SHIELD II'!$L$7*('HOJA DE CÁLCULO RESPALDO'!I44^2)+'BLAZE SHIELD II'!$L$8*'HOJA DE CÁLCULO RESPALDO'!I44+'BLAZE SHIELD II'!$L$9)),0),0),0))+(IF(L44="Blaze Shield II",IF(M44="Idiem software",IF(AND(C44="IN",G44=3),((('BLAZE SHIELD II'!$H$14*('HOJA DE CÁLCULO RESPALDO'!I44^2)+'BLAZE SHIELD II'!$H$15*'HOJA DE CÁLCULO RESPALDO'!I44+'BLAZE SHIELD II'!$H$16)*LN(J44))+('BLAZE SHIELD II'!$H$17*('HOJA DE CÁLCULO RESPALDO'!I44^2)+'BLAZE SHIELD II'!$H$18*'HOJA DE CÁLCULO RESPALDO'!I44+'BLAZE SHIELD II'!$H$19)),0),0),0)),0)</f>
        <v>0</v>
      </c>
      <c r="O44" s="46">
        <f t="shared" si="4"/>
        <v>0</v>
      </c>
      <c r="P44" s="80">
        <f t="shared" si="1"/>
        <v>0</v>
      </c>
      <c r="Q44" s="85">
        <f>ROUND((IF(L44="Cafco 400",IF(M44="Idiem software",IF(AND(C44="IN",G44=4),((('CAFCO 400 '!$H$7*(J44^4)+'CAFCO 400 '!$H$8*(J44^3)+'CAFCO 400 '!$H$9*(J44^2)+'CAFCO 400 '!$H$10*J44+'CAFCO 400 '!$H$11)*I44^2)+(('CAFCO 400 '!$H$12*(J44^3)+'CAFCO 400 '!$H$13*(J44^2)+'CAFCO 400 '!$H$14*J44+'CAFCO 400 '!$H$15)*I44)+('CAFCO 400 '!$H$16*(J44^2)+'CAFCO 400 '!$H$17*J44+'CAFCO 400 '!$H$18)),0),0),0))+(IF(L44="Cafco 400",IF(M44="Idiem software",IF(C44="Cj",(((('CAFCO 400 '!$D$7*LN(J44)+'CAFCO 400 '!$D$8)*I44^2)+(('CAFCO 400 '!$D$9*LN(J44)+'CAFCO 400 '!$D$10)*I44)+('CAFCO 400 '!$D$11*LN(J44)+'CAFCO 400 '!$D$12))),0),0),0))+(IF(L44="Cafco 400",IF(M44="Idiem software",IF(C44="C",((('CAFCO 400 '!$L$7*(J44^3)+'CAFCO 400 '!$L$8*(J44^2)+'CAFCO 400 '!$L$9*J44+'CAFCO 400 '!$L$10)*I44^2)+(('CAFCO 400 '!$L$11*(J44^3)+'CAFCO 400 '!$L$12*(J44^2)+'CAFCO 400 '!$L$13*J44+'CAFCO 400 '!$L$14)*I44)+('CAFCO 400 '!$L$15*LN(J44)+'CAFCO 400 '!$L$16)),0),0),0))+(IF(L44="Cafco 400",IF(M44="Idiem software",IF(AND(C44="IN",G44=3),((('CAFCO 400 '!$D$23*(J44^2)+'CAFCO 400 '!$D$24*(J44)+'CAFCO 400 '!$D$25)*I44^2)+(('CAFCO 400 '!$D$26*(J44^2)+'CAFCO 400 '!$D$27*J44+'CAFCO 400 '!$D$28)*I44)+('CAFCO 400 '!$D$29*(J44^2)+'CAFCO 400 '!$D$30*J44+'CAFCO 400 '!$D$31)),0),0),0)),0)</f>
        <v>0</v>
      </c>
      <c r="R44" s="47">
        <f t="shared" si="5"/>
        <v>0</v>
      </c>
      <c r="S44" s="82">
        <f t="shared" si="2"/>
        <v>0</v>
      </c>
      <c r="T44" s="81">
        <f>+IF(AND(J44&gt;=95,J44&lt;=240),IF(AND(C44="Cj",I44=90),VLOOKUP(W44,'CAFCO 300 IDIEM TABLAS'!$B$4:$D$23,2,FALSE),0)+IF(AND(J44&gt;=95,J44&lt;=240),IF(AND(C44="Cj",I44=120),VLOOKUP(W44,'CAFCO 300 IDIEM TABLAS'!$B$4:$D$23,3,FALSE),0))+IF(AND(J44&gt;=95,J44&lt;=400,G44=3),IF(AND(C44="IN",I44=90),VLOOKUP(W44,'CAFCO 300 IDIEM TABLAS'!$F$4:$H$35,2,FALSE),0),0)+IF(AND(J44&gt;=95,J44&lt;=400,G44=3),IF(AND(C44="IN",I44=120),VLOOKUP(W44,'CAFCO 300 IDIEM TABLAS'!$F$4:$H$35,3,FALSE),0),0)+IF(AND(J44&gt;=95,J44&lt;=450,G44=4),IF(AND(C44="IN",I44=90),VLOOKUP(W44,'CAFCO 300 IDIEM TABLAS'!$J$4:$L$40,2,FALSE),0),0)+IF(AND(J44&gt;=95,J44&lt;=450,G44=4),IF(AND(C44="IN",I44=120),VLOOKUP(W44,'CAFCO 300 IDIEM TABLAS'!$J$4:$L$40,3,FALSE),0),0))</f>
        <v>17</v>
      </c>
      <c r="U44" s="48">
        <f t="shared" si="6"/>
        <v>1.42887861521181</v>
      </c>
      <c r="V44" s="82">
        <f t="shared" si="3"/>
        <v>21453.183528790116</v>
      </c>
      <c r="W44" s="64">
        <f>+IF(J44=LOOKUP(J44,'CAFCO 300 IDIEM TABLAS'!$J$4:$J$40),'HOJA DE CÁLCULO RESPALDO'!J44,MROUND('HOJA DE CÁLCULO RESPALDO'!J44,10))</f>
        <v>95</v>
      </c>
      <c r="X44" s="36"/>
      <c r="Y44" s="4"/>
    </row>
    <row r="45" spans="1:25" x14ac:dyDescent="0.25">
      <c r="A45" s="2" t="s">
        <v>35</v>
      </c>
      <c r="B45" s="3" t="s">
        <v>17</v>
      </c>
      <c r="C45" s="3" t="s">
        <v>19</v>
      </c>
      <c r="D45" s="3">
        <v>1</v>
      </c>
      <c r="E45" s="2">
        <v>1</v>
      </c>
      <c r="F45" s="8">
        <v>7100</v>
      </c>
      <c r="G45" s="1">
        <v>4</v>
      </c>
      <c r="H45" s="2">
        <v>785</v>
      </c>
      <c r="I45" s="34">
        <v>90</v>
      </c>
      <c r="J45" s="11">
        <v>95</v>
      </c>
      <c r="K45" s="44">
        <f t="shared" si="0"/>
        <v>5.5735000000000001</v>
      </c>
      <c r="L45" s="3" t="s">
        <v>61</v>
      </c>
      <c r="M45" s="3" t="s">
        <v>70</v>
      </c>
      <c r="N45" s="15">
        <f>ROUND((IF(L45="Blaze Shield II",IF(M45="Idiem software",IF(AND(C45="IN",G45=4),((('BLAZE SHIELD II'!$D$4*('HOJA DE CÁLCULO RESPALDO'!I45^2)+'BLAZE SHIELD II'!$D$5*'HOJA DE CÁLCULO RESPALDO'!I45+'BLAZE SHIELD II'!$D$6)*LN(J45))+('BLAZE SHIELD II'!$D$7*('HOJA DE CÁLCULO RESPALDO'!I45^2)+'BLAZE SHIELD II'!$D$8*'HOJA DE CÁLCULO RESPALDO'!I45+'BLAZE SHIELD II'!$D$9)),0),0),0))+(IF(L45="Blaze Shield II",IF(M45="Idiem software",IF(C45="Cj",((('BLAZE SHIELD II'!$H$4*('HOJA DE CÁLCULO RESPALDO'!I45^2)+'BLAZE SHIELD II'!$H$5*'HOJA DE CÁLCULO RESPALDO'!I45+'BLAZE SHIELD II'!$H$6)*LN(J45))+('BLAZE SHIELD II'!$H$7*('HOJA DE CÁLCULO RESPALDO'!I45^2)+'BLAZE SHIELD II'!$H$8*'HOJA DE CÁLCULO RESPALDO'!I45+'BLAZE SHIELD II'!$H$9)),0),0),0))+(IF(L45="Blaze Shield II",IF(M45="Idiem software",IF(C45="C",((('BLAZE SHIELD II'!$L$4*('HOJA DE CÁLCULO RESPALDO'!I45^2)+'BLAZE SHIELD II'!$L$5*'HOJA DE CÁLCULO RESPALDO'!I45+'BLAZE SHIELD II'!$L$6)*LN(J45))+('BLAZE SHIELD II'!$L$7*('HOJA DE CÁLCULO RESPALDO'!I45^2)+'BLAZE SHIELD II'!$L$8*'HOJA DE CÁLCULO RESPALDO'!I45+'BLAZE SHIELD II'!$L$9)),0),0),0))+(IF(L45="Blaze Shield II",IF(M45="Idiem software",IF(AND(C45="IN",G45=3),((('BLAZE SHIELD II'!$H$14*('HOJA DE CÁLCULO RESPALDO'!I45^2)+'BLAZE SHIELD II'!$H$15*'HOJA DE CÁLCULO RESPALDO'!I45+'BLAZE SHIELD II'!$H$16)*LN(J45))+('BLAZE SHIELD II'!$H$17*('HOJA DE CÁLCULO RESPALDO'!I45^2)+'BLAZE SHIELD II'!$H$18*'HOJA DE CÁLCULO RESPALDO'!I45+'BLAZE SHIELD II'!$H$19)),0),0),0)),0)</f>
        <v>0</v>
      </c>
      <c r="O45" s="46">
        <f t="shared" si="4"/>
        <v>0</v>
      </c>
      <c r="P45" s="80">
        <f t="shared" si="1"/>
        <v>0</v>
      </c>
      <c r="Q45" s="85">
        <f>ROUND((IF(L45="Cafco 400",IF(M45="Idiem software",IF(AND(C45="IN",G45=4),((('CAFCO 400 '!$H$7*(J45^4)+'CAFCO 400 '!$H$8*(J45^3)+'CAFCO 400 '!$H$9*(J45^2)+'CAFCO 400 '!$H$10*J45+'CAFCO 400 '!$H$11)*I45^2)+(('CAFCO 400 '!$H$12*(J45^3)+'CAFCO 400 '!$H$13*(J45^2)+'CAFCO 400 '!$H$14*J45+'CAFCO 400 '!$H$15)*I45)+('CAFCO 400 '!$H$16*(J45^2)+'CAFCO 400 '!$H$17*J45+'CAFCO 400 '!$H$18)),0),0),0))+(IF(L45="Cafco 400",IF(M45="Idiem software",IF(C45="Cj",(((('CAFCO 400 '!$D$7*LN(J45)+'CAFCO 400 '!$D$8)*I45^2)+(('CAFCO 400 '!$D$9*LN(J45)+'CAFCO 400 '!$D$10)*I45)+('CAFCO 400 '!$D$11*LN(J45)+'CAFCO 400 '!$D$12))),0),0),0))+(IF(L45="Cafco 400",IF(M45="Idiem software",IF(C45="C",((('CAFCO 400 '!$L$7*(J45^3)+'CAFCO 400 '!$L$8*(J45^2)+'CAFCO 400 '!$L$9*J45+'CAFCO 400 '!$L$10)*I45^2)+(('CAFCO 400 '!$L$11*(J45^3)+'CAFCO 400 '!$L$12*(J45^2)+'CAFCO 400 '!$L$13*J45+'CAFCO 400 '!$L$14)*I45)+('CAFCO 400 '!$L$15*LN(J45)+'CAFCO 400 '!$L$16)),0),0),0))+(IF(L45="Cafco 400",IF(M45="Idiem software",IF(AND(C45="IN",G45=3),((('CAFCO 400 '!$D$23*(J45^2)+'CAFCO 400 '!$D$24*(J45)+'CAFCO 400 '!$D$25)*I45^2)+(('CAFCO 400 '!$D$26*(J45^2)+'CAFCO 400 '!$D$27*J45+'CAFCO 400 '!$D$28)*I45)+('CAFCO 400 '!$D$29*(J45^2)+'CAFCO 400 '!$D$30*J45+'CAFCO 400 '!$D$31)),0),0),0)),0)</f>
        <v>0</v>
      </c>
      <c r="R45" s="47">
        <f t="shared" si="5"/>
        <v>0</v>
      </c>
      <c r="S45" s="82">
        <f t="shared" si="2"/>
        <v>0</v>
      </c>
      <c r="T45" s="81">
        <f>+IF(AND(J45&gt;=95,J45&lt;=240),IF(AND(C45="Cj",I45=90),VLOOKUP(W45,'CAFCO 300 IDIEM TABLAS'!$B$4:$D$23,2,FALSE),0)+IF(AND(J45&gt;=95,J45&lt;=240),IF(AND(C45="Cj",I45=120),VLOOKUP(W45,'CAFCO 300 IDIEM TABLAS'!$B$4:$D$23,3,FALSE),0))+IF(AND(J45&gt;=95,J45&lt;=400,G45=3),IF(AND(C45="IN",I45=90),VLOOKUP(W45,'CAFCO 300 IDIEM TABLAS'!$F$4:$H$35,2,FALSE),0),0)+IF(AND(J45&gt;=95,J45&lt;=400,G45=3),IF(AND(C45="IN",I45=120),VLOOKUP(W45,'CAFCO 300 IDIEM TABLAS'!$F$4:$H$35,3,FALSE),0),0)+IF(AND(J45&gt;=95,J45&lt;=450,G45=4),IF(AND(C45="IN",I45=90),VLOOKUP(W45,'CAFCO 300 IDIEM TABLAS'!$J$4:$L$40,2,FALSE),0),0)+IF(AND(J45&gt;=95,J45&lt;=450,G45=4),IF(AND(C45="IN",I45=120),VLOOKUP(W45,'CAFCO 300 IDIEM TABLAS'!$J$4:$L$40,3,FALSE),0),0))</f>
        <v>17</v>
      </c>
      <c r="U45" s="48">
        <f t="shared" si="6"/>
        <v>1.3075187740693195</v>
      </c>
      <c r="V45" s="82">
        <f t="shared" si="3"/>
        <v>19631.086873876764</v>
      </c>
      <c r="W45" s="64">
        <f>+IF(J45=LOOKUP(J45,'CAFCO 300 IDIEM TABLAS'!$J$4:$J$40),'HOJA DE CÁLCULO RESPALDO'!J45,MROUND('HOJA DE CÁLCULO RESPALDO'!J45,10))</f>
        <v>95</v>
      </c>
      <c r="X45" s="36"/>
      <c r="Y45" s="4"/>
    </row>
    <row r="46" spans="1:25" ht="15.6" customHeight="1" x14ac:dyDescent="0.25">
      <c r="A46" s="2" t="s">
        <v>35</v>
      </c>
      <c r="B46" s="3" t="s">
        <v>17</v>
      </c>
      <c r="C46" s="3" t="s">
        <v>19</v>
      </c>
      <c r="D46" s="3">
        <v>1</v>
      </c>
      <c r="E46" s="2">
        <v>1</v>
      </c>
      <c r="F46" s="8">
        <v>19050</v>
      </c>
      <c r="G46" s="1">
        <v>4</v>
      </c>
      <c r="H46" s="2">
        <v>1185</v>
      </c>
      <c r="I46" s="34">
        <v>90</v>
      </c>
      <c r="J46" s="11">
        <v>95</v>
      </c>
      <c r="K46" s="44">
        <f t="shared" si="0"/>
        <v>22.574249999999999</v>
      </c>
      <c r="L46" s="3" t="s">
        <v>61</v>
      </c>
      <c r="M46" s="3" t="s">
        <v>70</v>
      </c>
      <c r="N46" s="15">
        <f>ROUND((IF(L46="Blaze Shield II",IF(M46="Idiem software",IF(AND(C46="IN",G46=4),((('BLAZE SHIELD II'!$D$4*('HOJA DE CÁLCULO RESPALDO'!I46^2)+'BLAZE SHIELD II'!$D$5*'HOJA DE CÁLCULO RESPALDO'!I46+'BLAZE SHIELD II'!$D$6)*LN(J46))+('BLAZE SHIELD II'!$D$7*('HOJA DE CÁLCULO RESPALDO'!I46^2)+'BLAZE SHIELD II'!$D$8*'HOJA DE CÁLCULO RESPALDO'!I46+'BLAZE SHIELD II'!$D$9)),0),0),0))+(IF(L46="Blaze Shield II",IF(M46="Idiem software",IF(C46="Cj",((('BLAZE SHIELD II'!$H$4*('HOJA DE CÁLCULO RESPALDO'!I46^2)+'BLAZE SHIELD II'!$H$5*'HOJA DE CÁLCULO RESPALDO'!I46+'BLAZE SHIELD II'!$H$6)*LN(J46))+('BLAZE SHIELD II'!$H$7*('HOJA DE CÁLCULO RESPALDO'!I46^2)+'BLAZE SHIELD II'!$H$8*'HOJA DE CÁLCULO RESPALDO'!I46+'BLAZE SHIELD II'!$H$9)),0),0),0))+(IF(L46="Blaze Shield II",IF(M46="Idiem software",IF(C46="C",((('BLAZE SHIELD II'!$L$4*('HOJA DE CÁLCULO RESPALDO'!I46^2)+'BLAZE SHIELD II'!$L$5*'HOJA DE CÁLCULO RESPALDO'!I46+'BLAZE SHIELD II'!$L$6)*LN(J46))+('BLAZE SHIELD II'!$L$7*('HOJA DE CÁLCULO RESPALDO'!I46^2)+'BLAZE SHIELD II'!$L$8*'HOJA DE CÁLCULO RESPALDO'!I46+'BLAZE SHIELD II'!$L$9)),0),0),0))+(IF(L46="Blaze Shield II",IF(M46="Idiem software",IF(AND(C46="IN",G46=3),((('BLAZE SHIELD II'!$H$14*('HOJA DE CÁLCULO RESPALDO'!I46^2)+'BLAZE SHIELD II'!$H$15*'HOJA DE CÁLCULO RESPALDO'!I46+'BLAZE SHIELD II'!$H$16)*LN(J46))+('BLAZE SHIELD II'!$H$17*('HOJA DE CÁLCULO RESPALDO'!I46^2)+'BLAZE SHIELD II'!$H$18*'HOJA DE CÁLCULO RESPALDO'!I46+'BLAZE SHIELD II'!$H$19)),0),0),0)),0)</f>
        <v>0</v>
      </c>
      <c r="O46" s="46">
        <f t="shared" si="4"/>
        <v>0</v>
      </c>
      <c r="P46" s="80">
        <f t="shared" si="1"/>
        <v>0</v>
      </c>
      <c r="Q46" s="85">
        <f>ROUND((IF(L46="Cafco 400",IF(M46="Idiem software",IF(AND(C46="IN",G46=4),((('CAFCO 400 '!$H$7*(J46^4)+'CAFCO 400 '!$H$8*(J46^3)+'CAFCO 400 '!$H$9*(J46^2)+'CAFCO 400 '!$H$10*J46+'CAFCO 400 '!$H$11)*I46^2)+(('CAFCO 400 '!$H$12*(J46^3)+'CAFCO 400 '!$H$13*(J46^2)+'CAFCO 400 '!$H$14*J46+'CAFCO 400 '!$H$15)*I46)+('CAFCO 400 '!$H$16*(J46^2)+'CAFCO 400 '!$H$17*J46+'CAFCO 400 '!$H$18)),0),0),0))+(IF(L46="Cafco 400",IF(M46="Idiem software",IF(C46="Cj",(((('CAFCO 400 '!$D$7*LN(J46)+'CAFCO 400 '!$D$8)*I46^2)+(('CAFCO 400 '!$D$9*LN(J46)+'CAFCO 400 '!$D$10)*I46)+('CAFCO 400 '!$D$11*LN(J46)+'CAFCO 400 '!$D$12))),0),0),0))+(IF(L46="Cafco 400",IF(M46="Idiem software",IF(C46="C",((('CAFCO 400 '!$L$7*(J46^3)+'CAFCO 400 '!$L$8*(J46^2)+'CAFCO 400 '!$L$9*J46+'CAFCO 400 '!$L$10)*I46^2)+(('CAFCO 400 '!$L$11*(J46^3)+'CAFCO 400 '!$L$12*(J46^2)+'CAFCO 400 '!$L$13*J46+'CAFCO 400 '!$L$14)*I46)+('CAFCO 400 '!$L$15*LN(J46)+'CAFCO 400 '!$L$16)),0),0),0))+(IF(L46="Cafco 400",IF(M46="Idiem software",IF(AND(C46="IN",G46=3),((('CAFCO 400 '!$D$23*(J46^2)+'CAFCO 400 '!$D$24*(J46)+'CAFCO 400 '!$D$25)*I46^2)+(('CAFCO 400 '!$D$26*(J46^2)+'CAFCO 400 '!$D$27*J46+'CAFCO 400 '!$D$28)*I46)+('CAFCO 400 '!$D$29*(J46^2)+'CAFCO 400 '!$D$30*J46+'CAFCO 400 '!$D$31)),0),0),0)),0)</f>
        <v>0</v>
      </c>
      <c r="R46" s="47">
        <f t="shared" si="5"/>
        <v>0</v>
      </c>
      <c r="S46" s="82">
        <f t="shared" si="2"/>
        <v>0</v>
      </c>
      <c r="T46" s="81">
        <f>+IF(AND(J46&gt;=95,J46&lt;=240),IF(AND(C46="Cj",I46=90),VLOOKUP(W46,'CAFCO 300 IDIEM TABLAS'!$B$4:$D$23,2,FALSE),0)+IF(AND(J46&gt;=95,J46&lt;=240),IF(AND(C46="Cj",I46=120),VLOOKUP(W46,'CAFCO 300 IDIEM TABLAS'!$B$4:$D$23,3,FALSE),0))+IF(AND(J46&gt;=95,J46&lt;=400,G46=3),IF(AND(C46="IN",I46=90),VLOOKUP(W46,'CAFCO 300 IDIEM TABLAS'!$F$4:$H$35,2,FALSE),0),0)+IF(AND(J46&gt;=95,J46&lt;=400,G46=3),IF(AND(C46="IN",I46=120),VLOOKUP(W46,'CAFCO 300 IDIEM TABLAS'!$F$4:$H$35,3,FALSE),0),0)+IF(AND(J46&gt;=95,J46&lt;=450,G46=4),IF(AND(C46="IN",I46=90),VLOOKUP(W46,'CAFCO 300 IDIEM TABLAS'!$J$4:$L$40,2,FALSE),0),0)+IF(AND(J46&gt;=95,J46&lt;=450,G46=4),IF(AND(C46="IN",I46=120),VLOOKUP(W46,'CAFCO 300 IDIEM TABLAS'!$J$4:$L$40,3,FALSE),0),0))</f>
        <v>17</v>
      </c>
      <c r="U46" s="48">
        <f t="shared" si="6"/>
        <v>5.2958205231065465</v>
      </c>
      <c r="V46" s="82">
        <f t="shared" si="3"/>
        <v>79511.449333921686</v>
      </c>
      <c r="W46" s="64">
        <f>+IF(J46=LOOKUP(J46,'CAFCO 300 IDIEM TABLAS'!$J$4:$J$40),'HOJA DE CÁLCULO RESPALDO'!J46,MROUND('HOJA DE CÁLCULO RESPALDO'!J46,10))</f>
        <v>95</v>
      </c>
      <c r="X46" s="36"/>
      <c r="Y46" s="4"/>
    </row>
    <row r="47" spans="1:25" x14ac:dyDescent="0.25">
      <c r="A47" s="2" t="s">
        <v>35</v>
      </c>
      <c r="B47" s="3" t="s">
        <v>17</v>
      </c>
      <c r="C47" s="3" t="s">
        <v>19</v>
      </c>
      <c r="D47" s="3">
        <v>1</v>
      </c>
      <c r="E47" s="2">
        <v>1</v>
      </c>
      <c r="F47" s="8">
        <v>4255</v>
      </c>
      <c r="G47" s="1">
        <v>4</v>
      </c>
      <c r="H47" s="2">
        <v>1185</v>
      </c>
      <c r="I47" s="34">
        <v>90</v>
      </c>
      <c r="J47" s="11">
        <v>95</v>
      </c>
      <c r="K47" s="44">
        <f t="shared" si="0"/>
        <v>5.0421750000000003</v>
      </c>
      <c r="L47" s="3" t="s">
        <v>61</v>
      </c>
      <c r="M47" s="3" t="s">
        <v>70</v>
      </c>
      <c r="N47" s="15">
        <f>ROUND((IF(L47="Blaze Shield II",IF(M47="Idiem software",IF(AND(C47="IN",G47=4),((('BLAZE SHIELD II'!$D$4*('HOJA DE CÁLCULO RESPALDO'!I47^2)+'BLAZE SHIELD II'!$D$5*'HOJA DE CÁLCULO RESPALDO'!I47+'BLAZE SHIELD II'!$D$6)*LN(J47))+('BLAZE SHIELD II'!$D$7*('HOJA DE CÁLCULO RESPALDO'!I47^2)+'BLAZE SHIELD II'!$D$8*'HOJA DE CÁLCULO RESPALDO'!I47+'BLAZE SHIELD II'!$D$9)),0),0),0))+(IF(L47="Blaze Shield II",IF(M47="Idiem software",IF(C47="Cj",((('BLAZE SHIELD II'!$H$4*('HOJA DE CÁLCULO RESPALDO'!I47^2)+'BLAZE SHIELD II'!$H$5*'HOJA DE CÁLCULO RESPALDO'!I47+'BLAZE SHIELD II'!$H$6)*LN(J47))+('BLAZE SHIELD II'!$H$7*('HOJA DE CÁLCULO RESPALDO'!I47^2)+'BLAZE SHIELD II'!$H$8*'HOJA DE CÁLCULO RESPALDO'!I47+'BLAZE SHIELD II'!$H$9)),0),0),0))+(IF(L47="Blaze Shield II",IF(M47="Idiem software",IF(C47="C",((('BLAZE SHIELD II'!$L$4*('HOJA DE CÁLCULO RESPALDO'!I47^2)+'BLAZE SHIELD II'!$L$5*'HOJA DE CÁLCULO RESPALDO'!I47+'BLAZE SHIELD II'!$L$6)*LN(J47))+('BLAZE SHIELD II'!$L$7*('HOJA DE CÁLCULO RESPALDO'!I47^2)+'BLAZE SHIELD II'!$L$8*'HOJA DE CÁLCULO RESPALDO'!I47+'BLAZE SHIELD II'!$L$9)),0),0),0))+(IF(L47="Blaze Shield II",IF(M47="Idiem software",IF(AND(C47="IN",G47=3),((('BLAZE SHIELD II'!$H$14*('HOJA DE CÁLCULO RESPALDO'!I47^2)+'BLAZE SHIELD II'!$H$15*'HOJA DE CÁLCULO RESPALDO'!I47+'BLAZE SHIELD II'!$H$16)*LN(J47))+('BLAZE SHIELD II'!$H$17*('HOJA DE CÁLCULO RESPALDO'!I47^2)+'BLAZE SHIELD II'!$H$18*'HOJA DE CÁLCULO RESPALDO'!I47+'BLAZE SHIELD II'!$H$19)),0),0),0)),0)</f>
        <v>0</v>
      </c>
      <c r="O47" s="46">
        <f t="shared" si="4"/>
        <v>0</v>
      </c>
      <c r="P47" s="80">
        <f t="shared" si="1"/>
        <v>0</v>
      </c>
      <c r="Q47" s="85">
        <f>ROUND((IF(L47="Cafco 400",IF(M47="Idiem software",IF(AND(C47="IN",G47=4),((('CAFCO 400 '!$H$7*(J47^4)+'CAFCO 400 '!$H$8*(J47^3)+'CAFCO 400 '!$H$9*(J47^2)+'CAFCO 400 '!$H$10*J47+'CAFCO 400 '!$H$11)*I47^2)+(('CAFCO 400 '!$H$12*(J47^3)+'CAFCO 400 '!$H$13*(J47^2)+'CAFCO 400 '!$H$14*J47+'CAFCO 400 '!$H$15)*I47)+('CAFCO 400 '!$H$16*(J47^2)+'CAFCO 400 '!$H$17*J47+'CAFCO 400 '!$H$18)),0),0),0))+(IF(L47="Cafco 400",IF(M47="Idiem software",IF(C47="Cj",(((('CAFCO 400 '!$D$7*LN(J47)+'CAFCO 400 '!$D$8)*I47^2)+(('CAFCO 400 '!$D$9*LN(J47)+'CAFCO 400 '!$D$10)*I47)+('CAFCO 400 '!$D$11*LN(J47)+'CAFCO 400 '!$D$12))),0),0),0))+(IF(L47="Cafco 400",IF(M47="Idiem software",IF(C47="C",((('CAFCO 400 '!$L$7*(J47^3)+'CAFCO 400 '!$L$8*(J47^2)+'CAFCO 400 '!$L$9*J47+'CAFCO 400 '!$L$10)*I47^2)+(('CAFCO 400 '!$L$11*(J47^3)+'CAFCO 400 '!$L$12*(J47^2)+'CAFCO 400 '!$L$13*J47+'CAFCO 400 '!$L$14)*I47)+('CAFCO 400 '!$L$15*LN(J47)+'CAFCO 400 '!$L$16)),0),0),0))+(IF(L47="Cafco 400",IF(M47="Idiem software",IF(AND(C47="IN",G47=3),((('CAFCO 400 '!$D$23*(J47^2)+'CAFCO 400 '!$D$24*(J47)+'CAFCO 400 '!$D$25)*I47^2)+(('CAFCO 400 '!$D$26*(J47^2)+'CAFCO 400 '!$D$27*J47+'CAFCO 400 '!$D$28)*I47)+('CAFCO 400 '!$D$29*(J47^2)+'CAFCO 400 '!$D$30*J47+'CAFCO 400 '!$D$31)),0),0),0)),0)</f>
        <v>0</v>
      </c>
      <c r="R47" s="47">
        <f t="shared" si="5"/>
        <v>0</v>
      </c>
      <c r="S47" s="82">
        <f t="shared" si="2"/>
        <v>0</v>
      </c>
      <c r="T47" s="81">
        <f>+IF(AND(J47&gt;=95,J47&lt;=240),IF(AND(C47="Cj",I47=90),VLOOKUP(W47,'CAFCO 300 IDIEM TABLAS'!$B$4:$D$23,2,FALSE),0)+IF(AND(J47&gt;=95,J47&lt;=240),IF(AND(C47="Cj",I47=120),VLOOKUP(W47,'CAFCO 300 IDIEM TABLAS'!$B$4:$D$23,3,FALSE),0))+IF(AND(J47&gt;=95,J47&lt;=400,G47=3),IF(AND(C47="IN",I47=90),VLOOKUP(W47,'CAFCO 300 IDIEM TABLAS'!$F$4:$H$35,2,FALSE),0),0)+IF(AND(J47&gt;=95,J47&lt;=400,G47=3),IF(AND(C47="IN",I47=120),VLOOKUP(W47,'CAFCO 300 IDIEM TABLAS'!$F$4:$H$35,3,FALSE),0),0)+IF(AND(J47&gt;=95,J47&lt;=450,G47=4),IF(AND(C47="IN",I47=90),VLOOKUP(W47,'CAFCO 300 IDIEM TABLAS'!$J$4:$L$40,2,FALSE),0),0)+IF(AND(J47&gt;=95,J47&lt;=450,G47=4),IF(AND(C47="IN",I47=120),VLOOKUP(W47,'CAFCO 300 IDIEM TABLAS'!$J$4:$L$40,3,FALSE),0),0))</f>
        <v>17</v>
      </c>
      <c r="U47" s="48">
        <f t="shared" si="6"/>
        <v>1.1828722480744545</v>
      </c>
      <c r="V47" s="82">
        <f t="shared" si="3"/>
        <v>17759.643932589861</v>
      </c>
      <c r="W47" s="64">
        <f>+IF(J47=LOOKUP(J47,'CAFCO 300 IDIEM TABLAS'!$J$4:$J$40),'HOJA DE CÁLCULO RESPALDO'!J47,MROUND('HOJA DE CÁLCULO RESPALDO'!J47,10))</f>
        <v>95</v>
      </c>
      <c r="X47" s="36"/>
      <c r="Y47" s="4"/>
    </row>
    <row r="48" spans="1:25" ht="15.6" customHeight="1" x14ac:dyDescent="0.25">
      <c r="A48" s="2" t="s">
        <v>36</v>
      </c>
      <c r="B48" s="3" t="s">
        <v>17</v>
      </c>
      <c r="C48" s="3" t="s">
        <v>19</v>
      </c>
      <c r="D48" s="3">
        <v>1</v>
      </c>
      <c r="E48" s="2">
        <v>1</v>
      </c>
      <c r="F48" s="8">
        <v>89250</v>
      </c>
      <c r="G48" s="1">
        <v>4</v>
      </c>
      <c r="H48" s="2">
        <v>1190</v>
      </c>
      <c r="I48" s="34">
        <v>90</v>
      </c>
      <c r="J48" s="11">
        <v>95</v>
      </c>
      <c r="K48" s="44">
        <f t="shared" si="0"/>
        <v>106.2075</v>
      </c>
      <c r="L48" s="3" t="s">
        <v>61</v>
      </c>
      <c r="M48" s="3" t="s">
        <v>70</v>
      </c>
      <c r="N48" s="15">
        <f>ROUND((IF(L48="Blaze Shield II",IF(M48="Idiem software",IF(AND(C48="IN",G48=4),((('BLAZE SHIELD II'!$D$4*('HOJA DE CÁLCULO RESPALDO'!I48^2)+'BLAZE SHIELD II'!$D$5*'HOJA DE CÁLCULO RESPALDO'!I48+'BLAZE SHIELD II'!$D$6)*LN(J48))+('BLAZE SHIELD II'!$D$7*('HOJA DE CÁLCULO RESPALDO'!I48^2)+'BLAZE SHIELD II'!$D$8*'HOJA DE CÁLCULO RESPALDO'!I48+'BLAZE SHIELD II'!$D$9)),0),0),0))+(IF(L48="Blaze Shield II",IF(M48="Idiem software",IF(C48="Cj",((('BLAZE SHIELD II'!$H$4*('HOJA DE CÁLCULO RESPALDO'!I48^2)+'BLAZE SHIELD II'!$H$5*'HOJA DE CÁLCULO RESPALDO'!I48+'BLAZE SHIELD II'!$H$6)*LN(J48))+('BLAZE SHIELD II'!$H$7*('HOJA DE CÁLCULO RESPALDO'!I48^2)+'BLAZE SHIELD II'!$H$8*'HOJA DE CÁLCULO RESPALDO'!I48+'BLAZE SHIELD II'!$H$9)),0),0),0))+(IF(L48="Blaze Shield II",IF(M48="Idiem software",IF(C48="C",((('BLAZE SHIELD II'!$L$4*('HOJA DE CÁLCULO RESPALDO'!I48^2)+'BLAZE SHIELD II'!$L$5*'HOJA DE CÁLCULO RESPALDO'!I48+'BLAZE SHIELD II'!$L$6)*LN(J48))+('BLAZE SHIELD II'!$L$7*('HOJA DE CÁLCULO RESPALDO'!I48^2)+'BLAZE SHIELD II'!$L$8*'HOJA DE CÁLCULO RESPALDO'!I48+'BLAZE SHIELD II'!$L$9)),0),0),0))+(IF(L48="Blaze Shield II",IF(M48="Idiem software",IF(AND(C48="IN",G48=3),((('BLAZE SHIELD II'!$H$14*('HOJA DE CÁLCULO RESPALDO'!I48^2)+'BLAZE SHIELD II'!$H$15*'HOJA DE CÁLCULO RESPALDO'!I48+'BLAZE SHIELD II'!$H$16)*LN(J48))+('BLAZE SHIELD II'!$H$17*('HOJA DE CÁLCULO RESPALDO'!I48^2)+'BLAZE SHIELD II'!$H$18*'HOJA DE CÁLCULO RESPALDO'!I48+'BLAZE SHIELD II'!$H$19)),0),0),0)),0)</f>
        <v>0</v>
      </c>
      <c r="O48" s="46">
        <f t="shared" si="4"/>
        <v>0</v>
      </c>
      <c r="P48" s="80">
        <f t="shared" si="1"/>
        <v>0</v>
      </c>
      <c r="Q48" s="85">
        <f>ROUND((IF(L48="Cafco 400",IF(M48="Idiem software",IF(AND(C48="IN",G48=4),((('CAFCO 400 '!$H$7*(J48^4)+'CAFCO 400 '!$H$8*(J48^3)+'CAFCO 400 '!$H$9*(J48^2)+'CAFCO 400 '!$H$10*J48+'CAFCO 400 '!$H$11)*I48^2)+(('CAFCO 400 '!$H$12*(J48^3)+'CAFCO 400 '!$H$13*(J48^2)+'CAFCO 400 '!$H$14*J48+'CAFCO 400 '!$H$15)*I48)+('CAFCO 400 '!$H$16*(J48^2)+'CAFCO 400 '!$H$17*J48+'CAFCO 400 '!$H$18)),0),0),0))+(IF(L48="Cafco 400",IF(M48="Idiem software",IF(C48="Cj",(((('CAFCO 400 '!$D$7*LN(J48)+'CAFCO 400 '!$D$8)*I48^2)+(('CAFCO 400 '!$D$9*LN(J48)+'CAFCO 400 '!$D$10)*I48)+('CAFCO 400 '!$D$11*LN(J48)+'CAFCO 400 '!$D$12))),0),0),0))+(IF(L48="Cafco 400",IF(M48="Idiem software",IF(C48="C",((('CAFCO 400 '!$L$7*(J48^3)+'CAFCO 400 '!$L$8*(J48^2)+'CAFCO 400 '!$L$9*J48+'CAFCO 400 '!$L$10)*I48^2)+(('CAFCO 400 '!$L$11*(J48^3)+'CAFCO 400 '!$L$12*(J48^2)+'CAFCO 400 '!$L$13*J48+'CAFCO 400 '!$L$14)*I48)+('CAFCO 400 '!$L$15*LN(J48)+'CAFCO 400 '!$L$16)),0),0),0))+(IF(L48="Cafco 400",IF(M48="Idiem software",IF(AND(C48="IN",G48=3),((('CAFCO 400 '!$D$23*(J48^2)+'CAFCO 400 '!$D$24*(J48)+'CAFCO 400 '!$D$25)*I48^2)+(('CAFCO 400 '!$D$26*(J48^2)+'CAFCO 400 '!$D$27*J48+'CAFCO 400 '!$D$28)*I48)+('CAFCO 400 '!$D$29*(J48^2)+'CAFCO 400 '!$D$30*J48+'CAFCO 400 '!$D$31)),0),0),0)),0)</f>
        <v>0</v>
      </c>
      <c r="R48" s="47">
        <f t="shared" si="5"/>
        <v>0</v>
      </c>
      <c r="S48" s="82">
        <f t="shared" si="2"/>
        <v>0</v>
      </c>
      <c r="T48" s="81">
        <f>+IF(AND(J48&gt;=95,J48&lt;=240),IF(AND(C48="Cj",I48=90),VLOOKUP(W48,'CAFCO 300 IDIEM TABLAS'!$B$4:$D$23,2,FALSE),0)+IF(AND(J48&gt;=95,J48&lt;=240),IF(AND(C48="Cj",I48=120),VLOOKUP(W48,'CAFCO 300 IDIEM TABLAS'!$B$4:$D$23,3,FALSE),0))+IF(AND(J48&gt;=95,J48&lt;=400,G48=3),IF(AND(C48="IN",I48=90),VLOOKUP(W48,'CAFCO 300 IDIEM TABLAS'!$F$4:$H$35,2,FALSE),0),0)+IF(AND(J48&gt;=95,J48&lt;=400,G48=3),IF(AND(C48="IN",I48=120),VLOOKUP(W48,'CAFCO 300 IDIEM TABLAS'!$F$4:$H$35,3,FALSE),0),0)+IF(AND(J48&gt;=95,J48&lt;=450,G48=4),IF(AND(C48="IN",I48=90),VLOOKUP(W48,'CAFCO 300 IDIEM TABLAS'!$J$4:$L$40,2,FALSE),0),0)+IF(AND(J48&gt;=95,J48&lt;=450,G48=4),IF(AND(C48="IN",I48=120),VLOOKUP(W48,'CAFCO 300 IDIEM TABLAS'!$J$4:$L$40,3,FALSE),0),0))</f>
        <v>17</v>
      </c>
      <c r="U48" s="48">
        <f t="shared" si="6"/>
        <v>24.915815949935812</v>
      </c>
      <c r="V48" s="82">
        <f t="shared" si="3"/>
        <v>374086.06067233626</v>
      </c>
      <c r="W48" s="64">
        <f>+IF(J48=LOOKUP(J48,'CAFCO 300 IDIEM TABLAS'!$J$4:$J$40),'HOJA DE CÁLCULO RESPALDO'!J48,MROUND('HOJA DE CÁLCULO RESPALDO'!J48,10))</f>
        <v>95</v>
      </c>
      <c r="X48" s="36"/>
      <c r="Y48" s="4"/>
    </row>
    <row r="49" spans="1:25" x14ac:dyDescent="0.25">
      <c r="A49" s="2" t="s">
        <v>36</v>
      </c>
      <c r="B49" s="3" t="s">
        <v>17</v>
      </c>
      <c r="C49" s="3" t="s">
        <v>19</v>
      </c>
      <c r="D49" s="3">
        <v>1</v>
      </c>
      <c r="E49" s="2">
        <v>1</v>
      </c>
      <c r="F49" s="8">
        <v>13000</v>
      </c>
      <c r="G49" s="1">
        <v>4</v>
      </c>
      <c r="H49" s="2">
        <v>1181</v>
      </c>
      <c r="I49" s="34">
        <v>90</v>
      </c>
      <c r="J49" s="11">
        <v>95</v>
      </c>
      <c r="K49" s="44">
        <f t="shared" si="0"/>
        <v>15.353</v>
      </c>
      <c r="L49" s="3" t="s">
        <v>61</v>
      </c>
      <c r="M49" s="3" t="s">
        <v>70</v>
      </c>
      <c r="N49" s="15">
        <f>ROUND((IF(L49="Blaze Shield II",IF(M49="Idiem software",IF(AND(C49="IN",G49=4),((('BLAZE SHIELD II'!$D$4*('HOJA DE CÁLCULO RESPALDO'!I49^2)+'BLAZE SHIELD II'!$D$5*'HOJA DE CÁLCULO RESPALDO'!I49+'BLAZE SHIELD II'!$D$6)*LN(J49))+('BLAZE SHIELD II'!$D$7*('HOJA DE CÁLCULO RESPALDO'!I49^2)+'BLAZE SHIELD II'!$D$8*'HOJA DE CÁLCULO RESPALDO'!I49+'BLAZE SHIELD II'!$D$9)),0),0),0))+(IF(L49="Blaze Shield II",IF(M49="Idiem software",IF(C49="Cj",((('BLAZE SHIELD II'!$H$4*('HOJA DE CÁLCULO RESPALDO'!I49^2)+'BLAZE SHIELD II'!$H$5*'HOJA DE CÁLCULO RESPALDO'!I49+'BLAZE SHIELD II'!$H$6)*LN(J49))+('BLAZE SHIELD II'!$H$7*('HOJA DE CÁLCULO RESPALDO'!I49^2)+'BLAZE SHIELD II'!$H$8*'HOJA DE CÁLCULO RESPALDO'!I49+'BLAZE SHIELD II'!$H$9)),0),0),0))+(IF(L49="Blaze Shield II",IF(M49="Idiem software",IF(C49="C",((('BLAZE SHIELD II'!$L$4*('HOJA DE CÁLCULO RESPALDO'!I49^2)+'BLAZE SHIELD II'!$L$5*'HOJA DE CÁLCULO RESPALDO'!I49+'BLAZE SHIELD II'!$L$6)*LN(J49))+('BLAZE SHIELD II'!$L$7*('HOJA DE CÁLCULO RESPALDO'!I49^2)+'BLAZE SHIELD II'!$L$8*'HOJA DE CÁLCULO RESPALDO'!I49+'BLAZE SHIELD II'!$L$9)),0),0),0))+(IF(L49="Blaze Shield II",IF(M49="Idiem software",IF(AND(C49="IN",G49=3),((('BLAZE SHIELD II'!$H$14*('HOJA DE CÁLCULO RESPALDO'!I49^2)+'BLAZE SHIELD II'!$H$15*'HOJA DE CÁLCULO RESPALDO'!I49+'BLAZE SHIELD II'!$H$16)*LN(J49))+('BLAZE SHIELD II'!$H$17*('HOJA DE CÁLCULO RESPALDO'!I49^2)+'BLAZE SHIELD II'!$H$18*'HOJA DE CÁLCULO RESPALDO'!I49+'BLAZE SHIELD II'!$H$19)),0),0),0)),0)</f>
        <v>0</v>
      </c>
      <c r="O49" s="46">
        <f t="shared" si="4"/>
        <v>0</v>
      </c>
      <c r="P49" s="80">
        <f t="shared" si="1"/>
        <v>0</v>
      </c>
      <c r="Q49" s="85">
        <f>ROUND((IF(L49="Cafco 400",IF(M49="Idiem software",IF(AND(C49="IN",G49=4),((('CAFCO 400 '!$H$7*(J49^4)+'CAFCO 400 '!$H$8*(J49^3)+'CAFCO 400 '!$H$9*(J49^2)+'CAFCO 400 '!$H$10*J49+'CAFCO 400 '!$H$11)*I49^2)+(('CAFCO 400 '!$H$12*(J49^3)+'CAFCO 400 '!$H$13*(J49^2)+'CAFCO 400 '!$H$14*J49+'CAFCO 400 '!$H$15)*I49)+('CAFCO 400 '!$H$16*(J49^2)+'CAFCO 400 '!$H$17*J49+'CAFCO 400 '!$H$18)),0),0),0))+(IF(L49="Cafco 400",IF(M49="Idiem software",IF(C49="Cj",(((('CAFCO 400 '!$D$7*LN(J49)+'CAFCO 400 '!$D$8)*I49^2)+(('CAFCO 400 '!$D$9*LN(J49)+'CAFCO 400 '!$D$10)*I49)+('CAFCO 400 '!$D$11*LN(J49)+'CAFCO 400 '!$D$12))),0),0),0))+(IF(L49="Cafco 400",IF(M49="Idiem software",IF(C49="C",((('CAFCO 400 '!$L$7*(J49^3)+'CAFCO 400 '!$L$8*(J49^2)+'CAFCO 400 '!$L$9*J49+'CAFCO 400 '!$L$10)*I49^2)+(('CAFCO 400 '!$L$11*(J49^3)+'CAFCO 400 '!$L$12*(J49^2)+'CAFCO 400 '!$L$13*J49+'CAFCO 400 '!$L$14)*I49)+('CAFCO 400 '!$L$15*LN(J49)+'CAFCO 400 '!$L$16)),0),0),0))+(IF(L49="Cafco 400",IF(M49="Idiem software",IF(AND(C49="IN",G49=3),((('CAFCO 400 '!$D$23*(J49^2)+'CAFCO 400 '!$D$24*(J49)+'CAFCO 400 '!$D$25)*I49^2)+(('CAFCO 400 '!$D$26*(J49^2)+'CAFCO 400 '!$D$27*J49+'CAFCO 400 '!$D$28)*I49)+('CAFCO 400 '!$D$29*(J49^2)+'CAFCO 400 '!$D$30*J49+'CAFCO 400 '!$D$31)),0),0),0)),0)</f>
        <v>0</v>
      </c>
      <c r="R49" s="47">
        <f t="shared" si="5"/>
        <v>0</v>
      </c>
      <c r="S49" s="82">
        <f t="shared" si="2"/>
        <v>0</v>
      </c>
      <c r="T49" s="81">
        <f>+IF(AND(J49&gt;=95,J49&lt;=240),IF(AND(C49="Cj",I49=90),VLOOKUP(W49,'CAFCO 300 IDIEM TABLAS'!$B$4:$D$23,2,FALSE),0)+IF(AND(J49&gt;=95,J49&lt;=240),IF(AND(C49="Cj",I49=120),VLOOKUP(W49,'CAFCO 300 IDIEM TABLAS'!$B$4:$D$23,3,FALSE),0))+IF(AND(J49&gt;=95,J49&lt;=400,G49=3),IF(AND(C49="IN",I49=90),VLOOKUP(W49,'CAFCO 300 IDIEM TABLAS'!$F$4:$H$35,2,FALSE),0),0)+IF(AND(J49&gt;=95,J49&lt;=400,G49=3),IF(AND(C49="IN",I49=120),VLOOKUP(W49,'CAFCO 300 IDIEM TABLAS'!$F$4:$H$35,3,FALSE),0),0)+IF(AND(J49&gt;=95,J49&lt;=450,G49=4),IF(AND(C49="IN",I49=90),VLOOKUP(W49,'CAFCO 300 IDIEM TABLAS'!$J$4:$L$40,2,FALSE),0),0)+IF(AND(J49&gt;=95,J49&lt;=450,G49=4),IF(AND(C49="IN",I49=120),VLOOKUP(W49,'CAFCO 300 IDIEM TABLAS'!$J$4:$L$40,3,FALSE),0),0))</f>
        <v>17</v>
      </c>
      <c r="U49" s="48">
        <f t="shared" si="6"/>
        <v>3.6017467907573808</v>
      </c>
      <c r="V49" s="82">
        <f t="shared" si="3"/>
        <v>54076.626316431313</v>
      </c>
      <c r="W49" s="64">
        <f>+IF(J49=LOOKUP(J49,'CAFCO 300 IDIEM TABLAS'!$J$4:$J$40),'HOJA DE CÁLCULO RESPALDO'!J49,MROUND('HOJA DE CÁLCULO RESPALDO'!J49,10))</f>
        <v>95</v>
      </c>
      <c r="X49" s="36"/>
      <c r="Y49" s="4"/>
    </row>
    <row r="50" spans="1:25" ht="15.6" customHeight="1" x14ac:dyDescent="0.25">
      <c r="A50" s="2" t="s">
        <v>35</v>
      </c>
      <c r="B50" s="3" t="s">
        <v>17</v>
      </c>
      <c r="C50" s="3" t="s">
        <v>19</v>
      </c>
      <c r="D50" s="3">
        <v>1</v>
      </c>
      <c r="E50" s="2">
        <v>1</v>
      </c>
      <c r="F50" s="8">
        <v>4250</v>
      </c>
      <c r="G50" s="1">
        <v>4</v>
      </c>
      <c r="H50" s="2">
        <v>1181</v>
      </c>
      <c r="I50" s="34">
        <v>90</v>
      </c>
      <c r="J50" s="11">
        <v>95</v>
      </c>
      <c r="K50" s="44">
        <f t="shared" si="0"/>
        <v>5.0192500000000004</v>
      </c>
      <c r="L50" s="3" t="s">
        <v>61</v>
      </c>
      <c r="M50" s="3" t="s">
        <v>70</v>
      </c>
      <c r="N50" s="15">
        <f>ROUND((IF(L50="Blaze Shield II",IF(M50="Idiem software",IF(AND(C50="IN",G50=4),((('BLAZE SHIELD II'!$D$4*('HOJA DE CÁLCULO RESPALDO'!I50^2)+'BLAZE SHIELD II'!$D$5*'HOJA DE CÁLCULO RESPALDO'!I50+'BLAZE SHIELD II'!$D$6)*LN(J50))+('BLAZE SHIELD II'!$D$7*('HOJA DE CÁLCULO RESPALDO'!I50^2)+'BLAZE SHIELD II'!$D$8*'HOJA DE CÁLCULO RESPALDO'!I50+'BLAZE SHIELD II'!$D$9)),0),0),0))+(IF(L50="Blaze Shield II",IF(M50="Idiem software",IF(C50="Cj",((('BLAZE SHIELD II'!$H$4*('HOJA DE CÁLCULO RESPALDO'!I50^2)+'BLAZE SHIELD II'!$H$5*'HOJA DE CÁLCULO RESPALDO'!I50+'BLAZE SHIELD II'!$H$6)*LN(J50))+('BLAZE SHIELD II'!$H$7*('HOJA DE CÁLCULO RESPALDO'!I50^2)+'BLAZE SHIELD II'!$H$8*'HOJA DE CÁLCULO RESPALDO'!I50+'BLAZE SHIELD II'!$H$9)),0),0),0))+(IF(L50="Blaze Shield II",IF(M50="Idiem software",IF(C50="C",((('BLAZE SHIELD II'!$L$4*('HOJA DE CÁLCULO RESPALDO'!I50^2)+'BLAZE SHIELD II'!$L$5*'HOJA DE CÁLCULO RESPALDO'!I50+'BLAZE SHIELD II'!$L$6)*LN(J50))+('BLAZE SHIELD II'!$L$7*('HOJA DE CÁLCULO RESPALDO'!I50^2)+'BLAZE SHIELD II'!$L$8*'HOJA DE CÁLCULO RESPALDO'!I50+'BLAZE SHIELD II'!$L$9)),0),0),0))+(IF(L50="Blaze Shield II",IF(M50="Idiem software",IF(AND(C50="IN",G50=3),((('BLAZE SHIELD II'!$H$14*('HOJA DE CÁLCULO RESPALDO'!I50^2)+'BLAZE SHIELD II'!$H$15*'HOJA DE CÁLCULO RESPALDO'!I50+'BLAZE SHIELD II'!$H$16)*LN(J50))+('BLAZE SHIELD II'!$H$17*('HOJA DE CÁLCULO RESPALDO'!I50^2)+'BLAZE SHIELD II'!$H$18*'HOJA DE CÁLCULO RESPALDO'!I50+'BLAZE SHIELD II'!$H$19)),0),0),0)),0)</f>
        <v>0</v>
      </c>
      <c r="O50" s="46">
        <f t="shared" si="4"/>
        <v>0</v>
      </c>
      <c r="P50" s="80">
        <f t="shared" si="1"/>
        <v>0</v>
      </c>
      <c r="Q50" s="85">
        <f>ROUND((IF(L50="Cafco 400",IF(M50="Idiem software",IF(AND(C50="IN",G50=4),((('CAFCO 400 '!$H$7*(J50^4)+'CAFCO 400 '!$H$8*(J50^3)+'CAFCO 400 '!$H$9*(J50^2)+'CAFCO 400 '!$H$10*J50+'CAFCO 400 '!$H$11)*I50^2)+(('CAFCO 400 '!$H$12*(J50^3)+'CAFCO 400 '!$H$13*(J50^2)+'CAFCO 400 '!$H$14*J50+'CAFCO 400 '!$H$15)*I50)+('CAFCO 400 '!$H$16*(J50^2)+'CAFCO 400 '!$H$17*J50+'CAFCO 400 '!$H$18)),0),0),0))+(IF(L50="Cafco 400",IF(M50="Idiem software",IF(C50="Cj",(((('CAFCO 400 '!$D$7*LN(J50)+'CAFCO 400 '!$D$8)*I50^2)+(('CAFCO 400 '!$D$9*LN(J50)+'CAFCO 400 '!$D$10)*I50)+('CAFCO 400 '!$D$11*LN(J50)+'CAFCO 400 '!$D$12))),0),0),0))+(IF(L50="Cafco 400",IF(M50="Idiem software",IF(C50="C",((('CAFCO 400 '!$L$7*(J50^3)+'CAFCO 400 '!$L$8*(J50^2)+'CAFCO 400 '!$L$9*J50+'CAFCO 400 '!$L$10)*I50^2)+(('CAFCO 400 '!$L$11*(J50^3)+'CAFCO 400 '!$L$12*(J50^2)+'CAFCO 400 '!$L$13*J50+'CAFCO 400 '!$L$14)*I50)+('CAFCO 400 '!$L$15*LN(J50)+'CAFCO 400 '!$L$16)),0),0),0))+(IF(L50="Cafco 400",IF(M50="Idiem software",IF(AND(C50="IN",G50=3),((('CAFCO 400 '!$D$23*(J50^2)+'CAFCO 400 '!$D$24*(J50)+'CAFCO 400 '!$D$25)*I50^2)+(('CAFCO 400 '!$D$26*(J50^2)+'CAFCO 400 '!$D$27*J50+'CAFCO 400 '!$D$28)*I50)+('CAFCO 400 '!$D$29*(J50^2)+'CAFCO 400 '!$D$30*J50+'CAFCO 400 '!$D$31)),0),0),0)),0)</f>
        <v>0</v>
      </c>
      <c r="R50" s="47">
        <f t="shared" si="5"/>
        <v>0</v>
      </c>
      <c r="S50" s="82">
        <f t="shared" si="2"/>
        <v>0</v>
      </c>
      <c r="T50" s="81">
        <f>+IF(AND(J50&gt;=95,J50&lt;=240),IF(AND(C50="Cj",I50=90),VLOOKUP(W50,'CAFCO 300 IDIEM TABLAS'!$B$4:$D$23,2,FALSE),0)+IF(AND(J50&gt;=95,J50&lt;=240),IF(AND(C50="Cj",I50=120),VLOOKUP(W50,'CAFCO 300 IDIEM TABLAS'!$B$4:$D$23,3,FALSE),0))+IF(AND(J50&gt;=95,J50&lt;=400,G50=3),IF(AND(C50="IN",I50=90),VLOOKUP(W50,'CAFCO 300 IDIEM TABLAS'!$F$4:$H$35,2,FALSE),0),0)+IF(AND(J50&gt;=95,J50&lt;=400,G50=3),IF(AND(C50="IN",I50=120),VLOOKUP(W50,'CAFCO 300 IDIEM TABLAS'!$F$4:$H$35,3,FALSE),0),0)+IF(AND(J50&gt;=95,J50&lt;=450,G50=4),IF(AND(C50="IN",I50=90),VLOOKUP(W50,'CAFCO 300 IDIEM TABLAS'!$J$4:$L$40,2,FALSE),0),0)+IF(AND(J50&gt;=95,J50&lt;=450,G50=4),IF(AND(C50="IN",I50=120),VLOOKUP(W50,'CAFCO 300 IDIEM TABLAS'!$J$4:$L$40,3,FALSE),0),0))</f>
        <v>17</v>
      </c>
      <c r="U50" s="48">
        <f t="shared" si="6"/>
        <v>1.177494143132221</v>
      </c>
      <c r="V50" s="82">
        <f t="shared" si="3"/>
        <v>17678.897064987166</v>
      </c>
      <c r="W50" s="64">
        <f>+IF(J50=LOOKUP(J50,'CAFCO 300 IDIEM TABLAS'!$J$4:$J$40),'HOJA DE CÁLCULO RESPALDO'!J50,MROUND('HOJA DE CÁLCULO RESPALDO'!J50,10))</f>
        <v>95</v>
      </c>
      <c r="X50" s="36"/>
      <c r="Y50" s="4"/>
    </row>
    <row r="51" spans="1:25" x14ac:dyDescent="0.25">
      <c r="A51" s="2" t="s">
        <v>35</v>
      </c>
      <c r="B51" s="3" t="s">
        <v>17</v>
      </c>
      <c r="C51" s="3" t="s">
        <v>19</v>
      </c>
      <c r="D51" s="3">
        <v>1</v>
      </c>
      <c r="E51" s="2">
        <v>1</v>
      </c>
      <c r="F51" s="8">
        <v>8500</v>
      </c>
      <c r="G51" s="1">
        <v>4</v>
      </c>
      <c r="H51" s="2">
        <v>1181</v>
      </c>
      <c r="I51" s="34">
        <v>90</v>
      </c>
      <c r="J51" s="11">
        <v>95</v>
      </c>
      <c r="K51" s="44">
        <f t="shared" si="0"/>
        <v>10.038500000000001</v>
      </c>
      <c r="L51" s="3" t="s">
        <v>61</v>
      </c>
      <c r="M51" s="3" t="s">
        <v>70</v>
      </c>
      <c r="N51" s="15">
        <f>ROUND((IF(L51="Blaze Shield II",IF(M51="Idiem software",IF(AND(C51="IN",G51=4),((('BLAZE SHIELD II'!$D$4*('HOJA DE CÁLCULO RESPALDO'!I51^2)+'BLAZE SHIELD II'!$D$5*'HOJA DE CÁLCULO RESPALDO'!I51+'BLAZE SHIELD II'!$D$6)*LN(J51))+('BLAZE SHIELD II'!$D$7*('HOJA DE CÁLCULO RESPALDO'!I51^2)+'BLAZE SHIELD II'!$D$8*'HOJA DE CÁLCULO RESPALDO'!I51+'BLAZE SHIELD II'!$D$9)),0),0),0))+(IF(L51="Blaze Shield II",IF(M51="Idiem software",IF(C51="Cj",((('BLAZE SHIELD II'!$H$4*('HOJA DE CÁLCULO RESPALDO'!I51^2)+'BLAZE SHIELD II'!$H$5*'HOJA DE CÁLCULO RESPALDO'!I51+'BLAZE SHIELD II'!$H$6)*LN(J51))+('BLAZE SHIELD II'!$H$7*('HOJA DE CÁLCULO RESPALDO'!I51^2)+'BLAZE SHIELD II'!$H$8*'HOJA DE CÁLCULO RESPALDO'!I51+'BLAZE SHIELD II'!$H$9)),0),0),0))+(IF(L51="Blaze Shield II",IF(M51="Idiem software",IF(C51="C",((('BLAZE SHIELD II'!$L$4*('HOJA DE CÁLCULO RESPALDO'!I51^2)+'BLAZE SHIELD II'!$L$5*'HOJA DE CÁLCULO RESPALDO'!I51+'BLAZE SHIELD II'!$L$6)*LN(J51))+('BLAZE SHIELD II'!$L$7*('HOJA DE CÁLCULO RESPALDO'!I51^2)+'BLAZE SHIELD II'!$L$8*'HOJA DE CÁLCULO RESPALDO'!I51+'BLAZE SHIELD II'!$L$9)),0),0),0))+(IF(L51="Blaze Shield II",IF(M51="Idiem software",IF(AND(C51="IN",G51=3),((('BLAZE SHIELD II'!$H$14*('HOJA DE CÁLCULO RESPALDO'!I51^2)+'BLAZE SHIELD II'!$H$15*'HOJA DE CÁLCULO RESPALDO'!I51+'BLAZE SHIELD II'!$H$16)*LN(J51))+('BLAZE SHIELD II'!$H$17*('HOJA DE CÁLCULO RESPALDO'!I51^2)+'BLAZE SHIELD II'!$H$18*'HOJA DE CÁLCULO RESPALDO'!I51+'BLAZE SHIELD II'!$H$19)),0),0),0)),0)</f>
        <v>0</v>
      </c>
      <c r="O51" s="46">
        <f t="shared" si="4"/>
        <v>0</v>
      </c>
      <c r="P51" s="80">
        <f t="shared" si="1"/>
        <v>0</v>
      </c>
      <c r="Q51" s="85">
        <f>ROUND((IF(L51="Cafco 400",IF(M51="Idiem software",IF(AND(C51="IN",G51=4),((('CAFCO 400 '!$H$7*(J51^4)+'CAFCO 400 '!$H$8*(J51^3)+'CAFCO 400 '!$H$9*(J51^2)+'CAFCO 400 '!$H$10*J51+'CAFCO 400 '!$H$11)*I51^2)+(('CAFCO 400 '!$H$12*(J51^3)+'CAFCO 400 '!$H$13*(J51^2)+'CAFCO 400 '!$H$14*J51+'CAFCO 400 '!$H$15)*I51)+('CAFCO 400 '!$H$16*(J51^2)+'CAFCO 400 '!$H$17*J51+'CAFCO 400 '!$H$18)),0),0),0))+(IF(L51="Cafco 400",IF(M51="Idiem software",IF(C51="Cj",(((('CAFCO 400 '!$D$7*LN(J51)+'CAFCO 400 '!$D$8)*I51^2)+(('CAFCO 400 '!$D$9*LN(J51)+'CAFCO 400 '!$D$10)*I51)+('CAFCO 400 '!$D$11*LN(J51)+'CAFCO 400 '!$D$12))),0),0),0))+(IF(L51="Cafco 400",IF(M51="Idiem software",IF(C51="C",((('CAFCO 400 '!$L$7*(J51^3)+'CAFCO 400 '!$L$8*(J51^2)+'CAFCO 400 '!$L$9*J51+'CAFCO 400 '!$L$10)*I51^2)+(('CAFCO 400 '!$L$11*(J51^3)+'CAFCO 400 '!$L$12*(J51^2)+'CAFCO 400 '!$L$13*J51+'CAFCO 400 '!$L$14)*I51)+('CAFCO 400 '!$L$15*LN(J51)+'CAFCO 400 '!$L$16)),0),0),0))+(IF(L51="Cafco 400",IF(M51="Idiem software",IF(AND(C51="IN",G51=3),((('CAFCO 400 '!$D$23*(J51^2)+'CAFCO 400 '!$D$24*(J51)+'CAFCO 400 '!$D$25)*I51^2)+(('CAFCO 400 '!$D$26*(J51^2)+'CAFCO 400 '!$D$27*J51+'CAFCO 400 '!$D$28)*I51)+('CAFCO 400 '!$D$29*(J51^2)+'CAFCO 400 '!$D$30*J51+'CAFCO 400 '!$D$31)),0),0),0)),0)</f>
        <v>0</v>
      </c>
      <c r="R51" s="47">
        <f t="shared" si="5"/>
        <v>0</v>
      </c>
      <c r="S51" s="82">
        <f t="shared" si="2"/>
        <v>0</v>
      </c>
      <c r="T51" s="81">
        <f>+IF(AND(J51&gt;=95,J51&lt;=240),IF(AND(C51="Cj",I51=90),VLOOKUP(W51,'CAFCO 300 IDIEM TABLAS'!$B$4:$D$23,2,FALSE),0)+IF(AND(J51&gt;=95,J51&lt;=240),IF(AND(C51="Cj",I51=120),VLOOKUP(W51,'CAFCO 300 IDIEM TABLAS'!$B$4:$D$23,3,FALSE),0))+IF(AND(J51&gt;=95,J51&lt;=400,G51=3),IF(AND(C51="IN",I51=90),VLOOKUP(W51,'CAFCO 300 IDIEM TABLAS'!$F$4:$H$35,2,FALSE),0),0)+IF(AND(J51&gt;=95,J51&lt;=400,G51=3),IF(AND(C51="IN",I51=120),VLOOKUP(W51,'CAFCO 300 IDIEM TABLAS'!$F$4:$H$35,3,FALSE),0),0)+IF(AND(J51&gt;=95,J51&lt;=450,G51=4),IF(AND(C51="IN",I51=90),VLOOKUP(W51,'CAFCO 300 IDIEM TABLAS'!$J$4:$L$40,2,FALSE),0),0)+IF(AND(J51&gt;=95,J51&lt;=450,G51=4),IF(AND(C51="IN",I51=120),VLOOKUP(W51,'CAFCO 300 IDIEM TABLAS'!$J$4:$L$40,3,FALSE),0),0))</f>
        <v>17</v>
      </c>
      <c r="U51" s="48">
        <f t="shared" si="6"/>
        <v>2.354988286264442</v>
      </c>
      <c r="V51" s="82">
        <f t="shared" si="3"/>
        <v>35357.794129974332</v>
      </c>
      <c r="W51" s="64">
        <f>+IF(J51=LOOKUP(J51,'CAFCO 300 IDIEM TABLAS'!$J$4:$J$40),'HOJA DE CÁLCULO RESPALDO'!J51,MROUND('HOJA DE CÁLCULO RESPALDO'!J51,10))</f>
        <v>95</v>
      </c>
      <c r="X51" s="36"/>
      <c r="Y51" s="4"/>
    </row>
    <row r="52" spans="1:25" ht="15.6" customHeight="1" x14ac:dyDescent="0.25">
      <c r="A52" s="2" t="s">
        <v>35</v>
      </c>
      <c r="B52" s="3" t="s">
        <v>17</v>
      </c>
      <c r="C52" s="3" t="s">
        <v>19</v>
      </c>
      <c r="D52" s="3">
        <v>1</v>
      </c>
      <c r="E52" s="2">
        <v>1</v>
      </c>
      <c r="F52" s="8">
        <v>103000</v>
      </c>
      <c r="G52" s="1">
        <v>4</v>
      </c>
      <c r="H52" s="2">
        <v>1190</v>
      </c>
      <c r="I52" s="34">
        <v>90</v>
      </c>
      <c r="J52" s="11">
        <v>95</v>
      </c>
      <c r="K52" s="44">
        <f t="shared" si="0"/>
        <v>122.57</v>
      </c>
      <c r="L52" s="3" t="s">
        <v>61</v>
      </c>
      <c r="M52" s="3" t="s">
        <v>70</v>
      </c>
      <c r="N52" s="15">
        <f>ROUND((IF(L52="Blaze Shield II",IF(M52="Idiem software",IF(AND(C52="IN",G52=4),((('BLAZE SHIELD II'!$D$4*('HOJA DE CÁLCULO RESPALDO'!I52^2)+'BLAZE SHIELD II'!$D$5*'HOJA DE CÁLCULO RESPALDO'!I52+'BLAZE SHIELD II'!$D$6)*LN(J52))+('BLAZE SHIELD II'!$D$7*('HOJA DE CÁLCULO RESPALDO'!I52^2)+'BLAZE SHIELD II'!$D$8*'HOJA DE CÁLCULO RESPALDO'!I52+'BLAZE SHIELD II'!$D$9)),0),0),0))+(IF(L52="Blaze Shield II",IF(M52="Idiem software",IF(C52="Cj",((('BLAZE SHIELD II'!$H$4*('HOJA DE CÁLCULO RESPALDO'!I52^2)+'BLAZE SHIELD II'!$H$5*'HOJA DE CÁLCULO RESPALDO'!I52+'BLAZE SHIELD II'!$H$6)*LN(J52))+('BLAZE SHIELD II'!$H$7*('HOJA DE CÁLCULO RESPALDO'!I52^2)+'BLAZE SHIELD II'!$H$8*'HOJA DE CÁLCULO RESPALDO'!I52+'BLAZE SHIELD II'!$H$9)),0),0),0))+(IF(L52="Blaze Shield II",IF(M52="Idiem software",IF(C52="C",((('BLAZE SHIELD II'!$L$4*('HOJA DE CÁLCULO RESPALDO'!I52^2)+'BLAZE SHIELD II'!$L$5*'HOJA DE CÁLCULO RESPALDO'!I52+'BLAZE SHIELD II'!$L$6)*LN(J52))+('BLAZE SHIELD II'!$L$7*('HOJA DE CÁLCULO RESPALDO'!I52^2)+'BLAZE SHIELD II'!$L$8*'HOJA DE CÁLCULO RESPALDO'!I52+'BLAZE SHIELD II'!$L$9)),0),0),0))+(IF(L52="Blaze Shield II",IF(M52="Idiem software",IF(AND(C52="IN",G52=3),((('BLAZE SHIELD II'!$H$14*('HOJA DE CÁLCULO RESPALDO'!I52^2)+'BLAZE SHIELD II'!$H$15*'HOJA DE CÁLCULO RESPALDO'!I52+'BLAZE SHIELD II'!$H$16)*LN(J52))+('BLAZE SHIELD II'!$H$17*('HOJA DE CÁLCULO RESPALDO'!I52^2)+'BLAZE SHIELD II'!$H$18*'HOJA DE CÁLCULO RESPALDO'!I52+'BLAZE SHIELD II'!$H$19)),0),0),0)),0)</f>
        <v>0</v>
      </c>
      <c r="O52" s="46">
        <f t="shared" si="4"/>
        <v>0</v>
      </c>
      <c r="P52" s="80">
        <f t="shared" si="1"/>
        <v>0</v>
      </c>
      <c r="Q52" s="85">
        <f>ROUND((IF(L52="Cafco 400",IF(M52="Idiem software",IF(AND(C52="IN",G52=4),((('CAFCO 400 '!$H$7*(J52^4)+'CAFCO 400 '!$H$8*(J52^3)+'CAFCO 400 '!$H$9*(J52^2)+'CAFCO 400 '!$H$10*J52+'CAFCO 400 '!$H$11)*I52^2)+(('CAFCO 400 '!$H$12*(J52^3)+'CAFCO 400 '!$H$13*(J52^2)+'CAFCO 400 '!$H$14*J52+'CAFCO 400 '!$H$15)*I52)+('CAFCO 400 '!$H$16*(J52^2)+'CAFCO 400 '!$H$17*J52+'CAFCO 400 '!$H$18)),0),0),0))+(IF(L52="Cafco 400",IF(M52="Idiem software",IF(C52="Cj",(((('CAFCO 400 '!$D$7*LN(J52)+'CAFCO 400 '!$D$8)*I52^2)+(('CAFCO 400 '!$D$9*LN(J52)+'CAFCO 400 '!$D$10)*I52)+('CAFCO 400 '!$D$11*LN(J52)+'CAFCO 400 '!$D$12))),0),0),0))+(IF(L52="Cafco 400",IF(M52="Idiem software",IF(C52="C",((('CAFCO 400 '!$L$7*(J52^3)+'CAFCO 400 '!$L$8*(J52^2)+'CAFCO 400 '!$L$9*J52+'CAFCO 400 '!$L$10)*I52^2)+(('CAFCO 400 '!$L$11*(J52^3)+'CAFCO 400 '!$L$12*(J52^2)+'CAFCO 400 '!$L$13*J52+'CAFCO 400 '!$L$14)*I52)+('CAFCO 400 '!$L$15*LN(J52)+'CAFCO 400 '!$L$16)),0),0),0))+(IF(L52="Cafco 400",IF(M52="Idiem software",IF(AND(C52="IN",G52=3),((('CAFCO 400 '!$D$23*(J52^2)+'CAFCO 400 '!$D$24*(J52)+'CAFCO 400 '!$D$25)*I52^2)+(('CAFCO 400 '!$D$26*(J52^2)+'CAFCO 400 '!$D$27*J52+'CAFCO 400 '!$D$28)*I52)+('CAFCO 400 '!$D$29*(J52^2)+'CAFCO 400 '!$D$30*J52+'CAFCO 400 '!$D$31)),0),0),0)),0)</f>
        <v>0</v>
      </c>
      <c r="R52" s="47">
        <f t="shared" si="5"/>
        <v>0</v>
      </c>
      <c r="S52" s="82">
        <f t="shared" si="2"/>
        <v>0</v>
      </c>
      <c r="T52" s="81">
        <f>+IF(AND(J52&gt;=95,J52&lt;=240),IF(AND(C52="Cj",I52=90),VLOOKUP(W52,'CAFCO 300 IDIEM TABLAS'!$B$4:$D$23,2,FALSE),0)+IF(AND(J52&gt;=95,J52&lt;=240),IF(AND(C52="Cj",I52=120),VLOOKUP(W52,'CAFCO 300 IDIEM TABLAS'!$B$4:$D$23,3,FALSE),0))+IF(AND(J52&gt;=95,J52&lt;=400,G52=3),IF(AND(C52="IN",I52=90),VLOOKUP(W52,'CAFCO 300 IDIEM TABLAS'!$F$4:$H$35,2,FALSE),0),0)+IF(AND(J52&gt;=95,J52&lt;=400,G52=3),IF(AND(C52="IN",I52=120),VLOOKUP(W52,'CAFCO 300 IDIEM TABLAS'!$F$4:$H$35,3,FALSE),0),0)+IF(AND(J52&gt;=95,J52&lt;=450,G52=4),IF(AND(C52="IN",I52=90),VLOOKUP(W52,'CAFCO 300 IDIEM TABLAS'!$J$4:$L$40,2,FALSE),0),0)+IF(AND(J52&gt;=95,J52&lt;=450,G52=4),IF(AND(C52="IN",I52=120),VLOOKUP(W52,'CAFCO 300 IDIEM TABLAS'!$J$4:$L$40,3,FALSE),0),0))</f>
        <v>17</v>
      </c>
      <c r="U52" s="48">
        <f t="shared" si="6"/>
        <v>28.754387034659821</v>
      </c>
      <c r="V52" s="82">
        <f t="shared" si="3"/>
        <v>431718.36693838256</v>
      </c>
      <c r="W52" s="64">
        <f>+IF(J52=LOOKUP(J52,'CAFCO 300 IDIEM TABLAS'!$J$4:$J$40),'HOJA DE CÁLCULO RESPALDO'!J52,MROUND('HOJA DE CÁLCULO RESPALDO'!J52,10))</f>
        <v>95</v>
      </c>
      <c r="X52" s="36"/>
      <c r="Y52" s="4"/>
    </row>
    <row r="53" spans="1:25" x14ac:dyDescent="0.25">
      <c r="A53" s="2" t="s">
        <v>35</v>
      </c>
      <c r="B53" s="3" t="s">
        <v>17</v>
      </c>
      <c r="C53" s="3" t="s">
        <v>19</v>
      </c>
      <c r="D53" s="3">
        <v>1</v>
      </c>
      <c r="E53" s="2">
        <v>1</v>
      </c>
      <c r="F53" s="8">
        <v>12750</v>
      </c>
      <c r="G53" s="1">
        <v>4</v>
      </c>
      <c r="H53" s="2">
        <v>1181</v>
      </c>
      <c r="I53" s="34">
        <v>90</v>
      </c>
      <c r="J53" s="11">
        <v>95</v>
      </c>
      <c r="K53" s="44">
        <f t="shared" si="0"/>
        <v>15.05775</v>
      </c>
      <c r="L53" s="3" t="s">
        <v>61</v>
      </c>
      <c r="M53" s="3" t="s">
        <v>70</v>
      </c>
      <c r="N53" s="15">
        <f>ROUND((IF(L53="Blaze Shield II",IF(M53="Idiem software",IF(AND(C53="IN",G53=4),((('BLAZE SHIELD II'!$D$4*('HOJA DE CÁLCULO RESPALDO'!I53^2)+'BLAZE SHIELD II'!$D$5*'HOJA DE CÁLCULO RESPALDO'!I53+'BLAZE SHIELD II'!$D$6)*LN(J53))+('BLAZE SHIELD II'!$D$7*('HOJA DE CÁLCULO RESPALDO'!I53^2)+'BLAZE SHIELD II'!$D$8*'HOJA DE CÁLCULO RESPALDO'!I53+'BLAZE SHIELD II'!$D$9)),0),0),0))+(IF(L53="Blaze Shield II",IF(M53="Idiem software",IF(C53="Cj",((('BLAZE SHIELD II'!$H$4*('HOJA DE CÁLCULO RESPALDO'!I53^2)+'BLAZE SHIELD II'!$H$5*'HOJA DE CÁLCULO RESPALDO'!I53+'BLAZE SHIELD II'!$H$6)*LN(J53))+('BLAZE SHIELD II'!$H$7*('HOJA DE CÁLCULO RESPALDO'!I53^2)+'BLAZE SHIELD II'!$H$8*'HOJA DE CÁLCULO RESPALDO'!I53+'BLAZE SHIELD II'!$H$9)),0),0),0))+(IF(L53="Blaze Shield II",IF(M53="Idiem software",IF(C53="C",((('BLAZE SHIELD II'!$L$4*('HOJA DE CÁLCULO RESPALDO'!I53^2)+'BLAZE SHIELD II'!$L$5*'HOJA DE CÁLCULO RESPALDO'!I53+'BLAZE SHIELD II'!$L$6)*LN(J53))+('BLAZE SHIELD II'!$L$7*('HOJA DE CÁLCULO RESPALDO'!I53^2)+'BLAZE SHIELD II'!$L$8*'HOJA DE CÁLCULO RESPALDO'!I53+'BLAZE SHIELD II'!$L$9)),0),0),0))+(IF(L53="Blaze Shield II",IF(M53="Idiem software",IF(AND(C53="IN",G53=3),((('BLAZE SHIELD II'!$H$14*('HOJA DE CÁLCULO RESPALDO'!I53^2)+'BLAZE SHIELD II'!$H$15*'HOJA DE CÁLCULO RESPALDO'!I53+'BLAZE SHIELD II'!$H$16)*LN(J53))+('BLAZE SHIELD II'!$H$17*('HOJA DE CÁLCULO RESPALDO'!I53^2)+'BLAZE SHIELD II'!$H$18*'HOJA DE CÁLCULO RESPALDO'!I53+'BLAZE SHIELD II'!$H$19)),0),0),0)),0)</f>
        <v>0</v>
      </c>
      <c r="O53" s="46">
        <f t="shared" si="4"/>
        <v>0</v>
      </c>
      <c r="P53" s="80">
        <f t="shared" si="1"/>
        <v>0</v>
      </c>
      <c r="Q53" s="85">
        <f>ROUND((IF(L53="Cafco 400",IF(M53="Idiem software",IF(AND(C53="IN",G53=4),((('CAFCO 400 '!$H$7*(J53^4)+'CAFCO 400 '!$H$8*(J53^3)+'CAFCO 400 '!$H$9*(J53^2)+'CAFCO 400 '!$H$10*J53+'CAFCO 400 '!$H$11)*I53^2)+(('CAFCO 400 '!$H$12*(J53^3)+'CAFCO 400 '!$H$13*(J53^2)+'CAFCO 400 '!$H$14*J53+'CAFCO 400 '!$H$15)*I53)+('CAFCO 400 '!$H$16*(J53^2)+'CAFCO 400 '!$H$17*J53+'CAFCO 400 '!$H$18)),0),0),0))+(IF(L53="Cafco 400",IF(M53="Idiem software",IF(C53="Cj",(((('CAFCO 400 '!$D$7*LN(J53)+'CAFCO 400 '!$D$8)*I53^2)+(('CAFCO 400 '!$D$9*LN(J53)+'CAFCO 400 '!$D$10)*I53)+('CAFCO 400 '!$D$11*LN(J53)+'CAFCO 400 '!$D$12))),0),0),0))+(IF(L53="Cafco 400",IF(M53="Idiem software",IF(C53="C",((('CAFCO 400 '!$L$7*(J53^3)+'CAFCO 400 '!$L$8*(J53^2)+'CAFCO 400 '!$L$9*J53+'CAFCO 400 '!$L$10)*I53^2)+(('CAFCO 400 '!$L$11*(J53^3)+'CAFCO 400 '!$L$12*(J53^2)+'CAFCO 400 '!$L$13*J53+'CAFCO 400 '!$L$14)*I53)+('CAFCO 400 '!$L$15*LN(J53)+'CAFCO 400 '!$L$16)),0),0),0))+(IF(L53="Cafco 400",IF(M53="Idiem software",IF(AND(C53="IN",G53=3),((('CAFCO 400 '!$D$23*(J53^2)+'CAFCO 400 '!$D$24*(J53)+'CAFCO 400 '!$D$25)*I53^2)+(('CAFCO 400 '!$D$26*(J53^2)+'CAFCO 400 '!$D$27*J53+'CAFCO 400 '!$D$28)*I53)+('CAFCO 400 '!$D$29*(J53^2)+'CAFCO 400 '!$D$30*J53+'CAFCO 400 '!$D$31)),0),0),0)),0)</f>
        <v>0</v>
      </c>
      <c r="R53" s="47">
        <f t="shared" si="5"/>
        <v>0</v>
      </c>
      <c r="S53" s="82">
        <f t="shared" si="2"/>
        <v>0</v>
      </c>
      <c r="T53" s="81">
        <f>+IF(AND(J53&gt;=95,J53&lt;=240),IF(AND(C53="Cj",I53=90),VLOOKUP(W53,'CAFCO 300 IDIEM TABLAS'!$B$4:$D$23,2,FALSE),0)+IF(AND(J53&gt;=95,J53&lt;=240),IF(AND(C53="Cj",I53=120),VLOOKUP(W53,'CAFCO 300 IDIEM TABLAS'!$B$4:$D$23,3,FALSE),0))+IF(AND(J53&gt;=95,J53&lt;=400,G53=3),IF(AND(C53="IN",I53=90),VLOOKUP(W53,'CAFCO 300 IDIEM TABLAS'!$F$4:$H$35,2,FALSE),0),0)+IF(AND(J53&gt;=95,J53&lt;=400,G53=3),IF(AND(C53="IN",I53=120),VLOOKUP(W53,'CAFCO 300 IDIEM TABLAS'!$F$4:$H$35,3,FALSE),0),0)+IF(AND(J53&gt;=95,J53&lt;=450,G53=4),IF(AND(C53="IN",I53=90),VLOOKUP(W53,'CAFCO 300 IDIEM TABLAS'!$J$4:$L$40,2,FALSE),0),0)+IF(AND(J53&gt;=95,J53&lt;=450,G53=4),IF(AND(C53="IN",I53=120),VLOOKUP(W53,'CAFCO 300 IDIEM TABLAS'!$J$4:$L$40,3,FALSE),0),0))</f>
        <v>17</v>
      </c>
      <c r="U53" s="48">
        <f t="shared" si="6"/>
        <v>3.5324824293966626</v>
      </c>
      <c r="V53" s="82">
        <f t="shared" si="3"/>
        <v>53036.691194961495</v>
      </c>
      <c r="W53" s="64">
        <f>+IF(J53=LOOKUP(J53,'CAFCO 300 IDIEM TABLAS'!$J$4:$J$40),'HOJA DE CÁLCULO RESPALDO'!J53,MROUND('HOJA DE CÁLCULO RESPALDO'!J53,10))</f>
        <v>95</v>
      </c>
      <c r="X53" s="36"/>
      <c r="Y53" s="4"/>
    </row>
    <row r="54" spans="1:25" ht="15.6" customHeight="1" x14ac:dyDescent="0.25">
      <c r="A54" s="2" t="s">
        <v>35</v>
      </c>
      <c r="B54" s="3" t="s">
        <v>17</v>
      </c>
      <c r="C54" s="3" t="s">
        <v>19</v>
      </c>
      <c r="D54" s="3">
        <v>1</v>
      </c>
      <c r="E54" s="2">
        <v>1</v>
      </c>
      <c r="F54" s="8">
        <v>17500</v>
      </c>
      <c r="G54" s="1">
        <v>4</v>
      </c>
      <c r="H54" s="2">
        <v>1692</v>
      </c>
      <c r="I54" s="34">
        <v>90</v>
      </c>
      <c r="J54" s="11">
        <v>95</v>
      </c>
      <c r="K54" s="44">
        <f t="shared" si="0"/>
        <v>29.61</v>
      </c>
      <c r="L54" s="3" t="s">
        <v>61</v>
      </c>
      <c r="M54" s="3" t="s">
        <v>70</v>
      </c>
      <c r="N54" s="15">
        <f>ROUND((IF(L54="Blaze Shield II",IF(M54="Idiem software",IF(AND(C54="IN",G54=4),((('BLAZE SHIELD II'!$D$4*('HOJA DE CÁLCULO RESPALDO'!I54^2)+'BLAZE SHIELD II'!$D$5*'HOJA DE CÁLCULO RESPALDO'!I54+'BLAZE SHIELD II'!$D$6)*LN(J54))+('BLAZE SHIELD II'!$D$7*('HOJA DE CÁLCULO RESPALDO'!I54^2)+'BLAZE SHIELD II'!$D$8*'HOJA DE CÁLCULO RESPALDO'!I54+'BLAZE SHIELD II'!$D$9)),0),0),0))+(IF(L54="Blaze Shield II",IF(M54="Idiem software",IF(C54="Cj",((('BLAZE SHIELD II'!$H$4*('HOJA DE CÁLCULO RESPALDO'!I54^2)+'BLAZE SHIELD II'!$H$5*'HOJA DE CÁLCULO RESPALDO'!I54+'BLAZE SHIELD II'!$H$6)*LN(J54))+('BLAZE SHIELD II'!$H$7*('HOJA DE CÁLCULO RESPALDO'!I54^2)+'BLAZE SHIELD II'!$H$8*'HOJA DE CÁLCULO RESPALDO'!I54+'BLAZE SHIELD II'!$H$9)),0),0),0))+(IF(L54="Blaze Shield II",IF(M54="Idiem software",IF(C54="C",((('BLAZE SHIELD II'!$L$4*('HOJA DE CÁLCULO RESPALDO'!I54^2)+'BLAZE SHIELD II'!$L$5*'HOJA DE CÁLCULO RESPALDO'!I54+'BLAZE SHIELD II'!$L$6)*LN(J54))+('BLAZE SHIELD II'!$L$7*('HOJA DE CÁLCULO RESPALDO'!I54^2)+'BLAZE SHIELD II'!$L$8*'HOJA DE CÁLCULO RESPALDO'!I54+'BLAZE SHIELD II'!$L$9)),0),0),0))+(IF(L54="Blaze Shield II",IF(M54="Idiem software",IF(AND(C54="IN",G54=3),((('BLAZE SHIELD II'!$H$14*('HOJA DE CÁLCULO RESPALDO'!I54^2)+'BLAZE SHIELD II'!$H$15*'HOJA DE CÁLCULO RESPALDO'!I54+'BLAZE SHIELD II'!$H$16)*LN(J54))+('BLAZE SHIELD II'!$H$17*('HOJA DE CÁLCULO RESPALDO'!I54^2)+'BLAZE SHIELD II'!$H$18*'HOJA DE CÁLCULO RESPALDO'!I54+'BLAZE SHIELD II'!$H$19)),0),0),0)),0)</f>
        <v>0</v>
      </c>
      <c r="O54" s="46">
        <f t="shared" si="4"/>
        <v>0</v>
      </c>
      <c r="P54" s="80">
        <f t="shared" si="1"/>
        <v>0</v>
      </c>
      <c r="Q54" s="85">
        <f>ROUND((IF(L54="Cafco 400",IF(M54="Idiem software",IF(AND(C54="IN",G54=4),((('CAFCO 400 '!$H$7*(J54^4)+'CAFCO 400 '!$H$8*(J54^3)+'CAFCO 400 '!$H$9*(J54^2)+'CAFCO 400 '!$H$10*J54+'CAFCO 400 '!$H$11)*I54^2)+(('CAFCO 400 '!$H$12*(J54^3)+'CAFCO 400 '!$H$13*(J54^2)+'CAFCO 400 '!$H$14*J54+'CAFCO 400 '!$H$15)*I54)+('CAFCO 400 '!$H$16*(J54^2)+'CAFCO 400 '!$H$17*J54+'CAFCO 400 '!$H$18)),0),0),0))+(IF(L54="Cafco 400",IF(M54="Idiem software",IF(C54="Cj",(((('CAFCO 400 '!$D$7*LN(J54)+'CAFCO 400 '!$D$8)*I54^2)+(('CAFCO 400 '!$D$9*LN(J54)+'CAFCO 400 '!$D$10)*I54)+('CAFCO 400 '!$D$11*LN(J54)+'CAFCO 400 '!$D$12))),0),0),0))+(IF(L54="Cafco 400",IF(M54="Idiem software",IF(C54="C",((('CAFCO 400 '!$L$7*(J54^3)+'CAFCO 400 '!$L$8*(J54^2)+'CAFCO 400 '!$L$9*J54+'CAFCO 400 '!$L$10)*I54^2)+(('CAFCO 400 '!$L$11*(J54^3)+'CAFCO 400 '!$L$12*(J54^2)+'CAFCO 400 '!$L$13*J54+'CAFCO 400 '!$L$14)*I54)+('CAFCO 400 '!$L$15*LN(J54)+'CAFCO 400 '!$L$16)),0),0),0))+(IF(L54="Cafco 400",IF(M54="Idiem software",IF(AND(C54="IN",G54=3),((('CAFCO 400 '!$D$23*(J54^2)+'CAFCO 400 '!$D$24*(J54)+'CAFCO 400 '!$D$25)*I54^2)+(('CAFCO 400 '!$D$26*(J54^2)+'CAFCO 400 '!$D$27*J54+'CAFCO 400 '!$D$28)*I54)+('CAFCO 400 '!$D$29*(J54^2)+'CAFCO 400 '!$D$30*J54+'CAFCO 400 '!$D$31)),0),0),0)),0)</f>
        <v>0</v>
      </c>
      <c r="R54" s="47">
        <f t="shared" si="5"/>
        <v>0</v>
      </c>
      <c r="S54" s="82">
        <f t="shared" si="2"/>
        <v>0</v>
      </c>
      <c r="T54" s="81">
        <f>+IF(AND(J54&gt;=95,J54&lt;=240),IF(AND(C54="Cj",I54=90),VLOOKUP(W54,'CAFCO 300 IDIEM TABLAS'!$B$4:$D$23,2,FALSE),0)+IF(AND(J54&gt;=95,J54&lt;=240),IF(AND(C54="Cj",I54=120),VLOOKUP(W54,'CAFCO 300 IDIEM TABLAS'!$B$4:$D$23,3,FALSE),0))+IF(AND(J54&gt;=95,J54&lt;=400,G54=3),IF(AND(C54="IN",I54=90),VLOOKUP(W54,'CAFCO 300 IDIEM TABLAS'!$F$4:$H$35,2,FALSE),0),0)+IF(AND(J54&gt;=95,J54&lt;=400,G54=3),IF(AND(C54="IN",I54=120),VLOOKUP(W54,'CAFCO 300 IDIEM TABLAS'!$F$4:$H$35,3,FALSE),0),0)+IF(AND(J54&gt;=95,J54&lt;=450,G54=4),IF(AND(C54="IN",I54=90),VLOOKUP(W54,'CAFCO 300 IDIEM TABLAS'!$J$4:$L$40,2,FALSE),0),0)+IF(AND(J54&gt;=95,J54&lt;=450,G54=4),IF(AND(C54="IN",I54=120),VLOOKUP(W54,'CAFCO 300 IDIEM TABLAS'!$J$4:$L$40,3,FALSE),0),0))</f>
        <v>17</v>
      </c>
      <c r="U54" s="48">
        <f t="shared" si="6"/>
        <v>6.94637676508344</v>
      </c>
      <c r="V54" s="82">
        <f t="shared" si="3"/>
        <v>104292.90075096277</v>
      </c>
      <c r="W54" s="64">
        <f>+IF(J54=LOOKUP(J54,'CAFCO 300 IDIEM TABLAS'!$J$4:$J$40),'HOJA DE CÁLCULO RESPALDO'!J54,MROUND('HOJA DE CÁLCULO RESPALDO'!J54,10))</f>
        <v>95</v>
      </c>
      <c r="X54" s="36"/>
      <c r="Y54" s="4"/>
    </row>
    <row r="55" spans="1:25" x14ac:dyDescent="0.25">
      <c r="A55" s="2" t="s">
        <v>35</v>
      </c>
      <c r="B55" s="3" t="s">
        <v>17</v>
      </c>
      <c r="C55" s="3" t="s">
        <v>19</v>
      </c>
      <c r="D55" s="3">
        <v>1</v>
      </c>
      <c r="E55" s="2">
        <v>1</v>
      </c>
      <c r="F55" s="8">
        <v>8500</v>
      </c>
      <c r="G55" s="1">
        <v>4</v>
      </c>
      <c r="H55" s="2">
        <v>1502</v>
      </c>
      <c r="I55" s="34">
        <v>90</v>
      </c>
      <c r="J55" s="11">
        <v>95</v>
      </c>
      <c r="K55" s="44">
        <f t="shared" si="0"/>
        <v>12.766999999999999</v>
      </c>
      <c r="L55" s="3" t="s">
        <v>61</v>
      </c>
      <c r="M55" s="3" t="s">
        <v>70</v>
      </c>
      <c r="N55" s="15">
        <f>ROUND((IF(L55="Blaze Shield II",IF(M55="Idiem software",IF(AND(C55="IN",G55=4),((('BLAZE SHIELD II'!$D$4*('HOJA DE CÁLCULO RESPALDO'!I55^2)+'BLAZE SHIELD II'!$D$5*'HOJA DE CÁLCULO RESPALDO'!I55+'BLAZE SHIELD II'!$D$6)*LN(J55))+('BLAZE SHIELD II'!$D$7*('HOJA DE CÁLCULO RESPALDO'!I55^2)+'BLAZE SHIELD II'!$D$8*'HOJA DE CÁLCULO RESPALDO'!I55+'BLAZE SHIELD II'!$D$9)),0),0),0))+(IF(L55="Blaze Shield II",IF(M55="Idiem software",IF(C55="Cj",((('BLAZE SHIELD II'!$H$4*('HOJA DE CÁLCULO RESPALDO'!I55^2)+'BLAZE SHIELD II'!$H$5*'HOJA DE CÁLCULO RESPALDO'!I55+'BLAZE SHIELD II'!$H$6)*LN(J55))+('BLAZE SHIELD II'!$H$7*('HOJA DE CÁLCULO RESPALDO'!I55^2)+'BLAZE SHIELD II'!$H$8*'HOJA DE CÁLCULO RESPALDO'!I55+'BLAZE SHIELD II'!$H$9)),0),0),0))+(IF(L55="Blaze Shield II",IF(M55="Idiem software",IF(C55="C",((('BLAZE SHIELD II'!$L$4*('HOJA DE CÁLCULO RESPALDO'!I55^2)+'BLAZE SHIELD II'!$L$5*'HOJA DE CÁLCULO RESPALDO'!I55+'BLAZE SHIELD II'!$L$6)*LN(J55))+('BLAZE SHIELD II'!$L$7*('HOJA DE CÁLCULO RESPALDO'!I55^2)+'BLAZE SHIELD II'!$L$8*'HOJA DE CÁLCULO RESPALDO'!I55+'BLAZE SHIELD II'!$L$9)),0),0),0))+(IF(L55="Blaze Shield II",IF(M55="Idiem software",IF(AND(C55="IN",G55=3),((('BLAZE SHIELD II'!$H$14*('HOJA DE CÁLCULO RESPALDO'!I55^2)+'BLAZE SHIELD II'!$H$15*'HOJA DE CÁLCULO RESPALDO'!I55+'BLAZE SHIELD II'!$H$16)*LN(J55))+('BLAZE SHIELD II'!$H$17*('HOJA DE CÁLCULO RESPALDO'!I55^2)+'BLAZE SHIELD II'!$H$18*'HOJA DE CÁLCULO RESPALDO'!I55+'BLAZE SHIELD II'!$H$19)),0),0),0)),0)</f>
        <v>0</v>
      </c>
      <c r="O55" s="46">
        <f t="shared" si="4"/>
        <v>0</v>
      </c>
      <c r="P55" s="80">
        <f t="shared" si="1"/>
        <v>0</v>
      </c>
      <c r="Q55" s="85">
        <f>ROUND((IF(L55="Cafco 400",IF(M55="Idiem software",IF(AND(C55="IN",G55=4),((('CAFCO 400 '!$H$7*(J55^4)+'CAFCO 400 '!$H$8*(J55^3)+'CAFCO 400 '!$H$9*(J55^2)+'CAFCO 400 '!$H$10*J55+'CAFCO 400 '!$H$11)*I55^2)+(('CAFCO 400 '!$H$12*(J55^3)+'CAFCO 400 '!$H$13*(J55^2)+'CAFCO 400 '!$H$14*J55+'CAFCO 400 '!$H$15)*I55)+('CAFCO 400 '!$H$16*(J55^2)+'CAFCO 400 '!$H$17*J55+'CAFCO 400 '!$H$18)),0),0),0))+(IF(L55="Cafco 400",IF(M55="Idiem software",IF(C55="Cj",(((('CAFCO 400 '!$D$7*LN(J55)+'CAFCO 400 '!$D$8)*I55^2)+(('CAFCO 400 '!$D$9*LN(J55)+'CAFCO 400 '!$D$10)*I55)+('CAFCO 400 '!$D$11*LN(J55)+'CAFCO 400 '!$D$12))),0),0),0))+(IF(L55="Cafco 400",IF(M55="Idiem software",IF(C55="C",((('CAFCO 400 '!$L$7*(J55^3)+'CAFCO 400 '!$L$8*(J55^2)+'CAFCO 400 '!$L$9*J55+'CAFCO 400 '!$L$10)*I55^2)+(('CAFCO 400 '!$L$11*(J55^3)+'CAFCO 400 '!$L$12*(J55^2)+'CAFCO 400 '!$L$13*J55+'CAFCO 400 '!$L$14)*I55)+('CAFCO 400 '!$L$15*LN(J55)+'CAFCO 400 '!$L$16)),0),0),0))+(IF(L55="Cafco 400",IF(M55="Idiem software",IF(AND(C55="IN",G55=3),((('CAFCO 400 '!$D$23*(J55^2)+'CAFCO 400 '!$D$24*(J55)+'CAFCO 400 '!$D$25)*I55^2)+(('CAFCO 400 '!$D$26*(J55^2)+'CAFCO 400 '!$D$27*J55+'CAFCO 400 '!$D$28)*I55)+('CAFCO 400 '!$D$29*(J55^2)+'CAFCO 400 '!$D$30*J55+'CAFCO 400 '!$D$31)),0),0),0)),0)</f>
        <v>0</v>
      </c>
      <c r="R55" s="47">
        <f t="shared" si="5"/>
        <v>0</v>
      </c>
      <c r="S55" s="82">
        <f t="shared" si="2"/>
        <v>0</v>
      </c>
      <c r="T55" s="81">
        <f>+IF(AND(J55&gt;=95,J55&lt;=240),IF(AND(C55="Cj",I55=90),VLOOKUP(W55,'CAFCO 300 IDIEM TABLAS'!$B$4:$D$23,2,FALSE),0)+IF(AND(J55&gt;=95,J55&lt;=240),IF(AND(C55="Cj",I55=120),VLOOKUP(W55,'CAFCO 300 IDIEM TABLAS'!$B$4:$D$23,3,FALSE),0))+IF(AND(J55&gt;=95,J55&lt;=400,G55=3),IF(AND(C55="IN",I55=90),VLOOKUP(W55,'CAFCO 300 IDIEM TABLAS'!$F$4:$H$35,2,FALSE),0),0)+IF(AND(J55&gt;=95,J55&lt;=400,G55=3),IF(AND(C55="IN",I55=120),VLOOKUP(W55,'CAFCO 300 IDIEM TABLAS'!$F$4:$H$35,3,FALSE),0),0)+IF(AND(J55&gt;=95,J55&lt;=450,G55=4),IF(AND(C55="IN",I55=90),VLOOKUP(W55,'CAFCO 300 IDIEM TABLAS'!$J$4:$L$40,2,FALSE),0),0)+IF(AND(J55&gt;=95,J55&lt;=450,G55=4),IF(AND(C55="IN",I55=120),VLOOKUP(W55,'CAFCO 300 IDIEM TABLAS'!$J$4:$L$40,3,FALSE),0),0))</f>
        <v>17</v>
      </c>
      <c r="U55" s="48">
        <f t="shared" si="6"/>
        <v>2.9950824775353015</v>
      </c>
      <c r="V55" s="82">
        <f t="shared" si="3"/>
        <v>44968.168317715019</v>
      </c>
      <c r="W55" s="64">
        <f>+IF(J55=LOOKUP(J55,'CAFCO 300 IDIEM TABLAS'!$J$4:$J$40),'HOJA DE CÁLCULO RESPALDO'!J55,MROUND('HOJA DE CÁLCULO RESPALDO'!J55,10))</f>
        <v>95</v>
      </c>
      <c r="X55" s="36"/>
      <c r="Y55" s="4"/>
    </row>
    <row r="56" spans="1:25" ht="15.6" customHeight="1" x14ac:dyDescent="0.25">
      <c r="A56" s="2" t="s">
        <v>35</v>
      </c>
      <c r="B56" s="3" t="s">
        <v>17</v>
      </c>
      <c r="C56" s="3" t="s">
        <v>19</v>
      </c>
      <c r="D56" s="3">
        <v>1</v>
      </c>
      <c r="E56" s="2">
        <v>1</v>
      </c>
      <c r="F56" s="8">
        <v>17500</v>
      </c>
      <c r="G56" s="1">
        <v>4</v>
      </c>
      <c r="H56" s="2">
        <v>1692</v>
      </c>
      <c r="I56" s="34">
        <v>90</v>
      </c>
      <c r="J56" s="11">
        <v>95</v>
      </c>
      <c r="K56" s="44">
        <f t="shared" si="0"/>
        <v>29.61</v>
      </c>
      <c r="L56" s="3" t="s">
        <v>61</v>
      </c>
      <c r="M56" s="3" t="s">
        <v>70</v>
      </c>
      <c r="N56" s="15">
        <f>ROUND((IF(L56="Blaze Shield II",IF(M56="Idiem software",IF(AND(C56="IN",G56=4),((('BLAZE SHIELD II'!$D$4*('HOJA DE CÁLCULO RESPALDO'!I56^2)+'BLAZE SHIELD II'!$D$5*'HOJA DE CÁLCULO RESPALDO'!I56+'BLAZE SHIELD II'!$D$6)*LN(J56))+('BLAZE SHIELD II'!$D$7*('HOJA DE CÁLCULO RESPALDO'!I56^2)+'BLAZE SHIELD II'!$D$8*'HOJA DE CÁLCULO RESPALDO'!I56+'BLAZE SHIELD II'!$D$9)),0),0),0))+(IF(L56="Blaze Shield II",IF(M56="Idiem software",IF(C56="Cj",((('BLAZE SHIELD II'!$H$4*('HOJA DE CÁLCULO RESPALDO'!I56^2)+'BLAZE SHIELD II'!$H$5*'HOJA DE CÁLCULO RESPALDO'!I56+'BLAZE SHIELD II'!$H$6)*LN(J56))+('BLAZE SHIELD II'!$H$7*('HOJA DE CÁLCULO RESPALDO'!I56^2)+'BLAZE SHIELD II'!$H$8*'HOJA DE CÁLCULO RESPALDO'!I56+'BLAZE SHIELD II'!$H$9)),0),0),0))+(IF(L56="Blaze Shield II",IF(M56="Idiem software",IF(C56="C",((('BLAZE SHIELD II'!$L$4*('HOJA DE CÁLCULO RESPALDO'!I56^2)+'BLAZE SHIELD II'!$L$5*'HOJA DE CÁLCULO RESPALDO'!I56+'BLAZE SHIELD II'!$L$6)*LN(J56))+('BLAZE SHIELD II'!$L$7*('HOJA DE CÁLCULO RESPALDO'!I56^2)+'BLAZE SHIELD II'!$L$8*'HOJA DE CÁLCULO RESPALDO'!I56+'BLAZE SHIELD II'!$L$9)),0),0),0))+(IF(L56="Blaze Shield II",IF(M56="Idiem software",IF(AND(C56="IN",G56=3),((('BLAZE SHIELD II'!$H$14*('HOJA DE CÁLCULO RESPALDO'!I56^2)+'BLAZE SHIELD II'!$H$15*'HOJA DE CÁLCULO RESPALDO'!I56+'BLAZE SHIELD II'!$H$16)*LN(J56))+('BLAZE SHIELD II'!$H$17*('HOJA DE CÁLCULO RESPALDO'!I56^2)+'BLAZE SHIELD II'!$H$18*'HOJA DE CÁLCULO RESPALDO'!I56+'BLAZE SHIELD II'!$H$19)),0),0),0)),0)</f>
        <v>0</v>
      </c>
      <c r="O56" s="46">
        <f t="shared" si="4"/>
        <v>0</v>
      </c>
      <c r="P56" s="80">
        <f t="shared" si="1"/>
        <v>0</v>
      </c>
      <c r="Q56" s="85">
        <f>ROUND((IF(L56="Cafco 400",IF(M56="Idiem software",IF(AND(C56="IN",G56=4),((('CAFCO 400 '!$H$7*(J56^4)+'CAFCO 400 '!$H$8*(J56^3)+'CAFCO 400 '!$H$9*(J56^2)+'CAFCO 400 '!$H$10*J56+'CAFCO 400 '!$H$11)*I56^2)+(('CAFCO 400 '!$H$12*(J56^3)+'CAFCO 400 '!$H$13*(J56^2)+'CAFCO 400 '!$H$14*J56+'CAFCO 400 '!$H$15)*I56)+('CAFCO 400 '!$H$16*(J56^2)+'CAFCO 400 '!$H$17*J56+'CAFCO 400 '!$H$18)),0),0),0))+(IF(L56="Cafco 400",IF(M56="Idiem software",IF(C56="Cj",(((('CAFCO 400 '!$D$7*LN(J56)+'CAFCO 400 '!$D$8)*I56^2)+(('CAFCO 400 '!$D$9*LN(J56)+'CAFCO 400 '!$D$10)*I56)+('CAFCO 400 '!$D$11*LN(J56)+'CAFCO 400 '!$D$12))),0),0),0))+(IF(L56="Cafco 400",IF(M56="Idiem software",IF(C56="C",((('CAFCO 400 '!$L$7*(J56^3)+'CAFCO 400 '!$L$8*(J56^2)+'CAFCO 400 '!$L$9*J56+'CAFCO 400 '!$L$10)*I56^2)+(('CAFCO 400 '!$L$11*(J56^3)+'CAFCO 400 '!$L$12*(J56^2)+'CAFCO 400 '!$L$13*J56+'CAFCO 400 '!$L$14)*I56)+('CAFCO 400 '!$L$15*LN(J56)+'CAFCO 400 '!$L$16)),0),0),0))+(IF(L56="Cafco 400",IF(M56="Idiem software",IF(AND(C56="IN",G56=3),((('CAFCO 400 '!$D$23*(J56^2)+'CAFCO 400 '!$D$24*(J56)+'CAFCO 400 '!$D$25)*I56^2)+(('CAFCO 400 '!$D$26*(J56^2)+'CAFCO 400 '!$D$27*J56+'CAFCO 400 '!$D$28)*I56)+('CAFCO 400 '!$D$29*(J56^2)+'CAFCO 400 '!$D$30*J56+'CAFCO 400 '!$D$31)),0),0),0)),0)</f>
        <v>0</v>
      </c>
      <c r="R56" s="47">
        <f t="shared" si="5"/>
        <v>0</v>
      </c>
      <c r="S56" s="82">
        <f t="shared" si="2"/>
        <v>0</v>
      </c>
      <c r="T56" s="81">
        <f>+IF(AND(J56&gt;=95,J56&lt;=240),IF(AND(C56="Cj",I56=90),VLOOKUP(W56,'CAFCO 300 IDIEM TABLAS'!$B$4:$D$23,2,FALSE),0)+IF(AND(J56&gt;=95,J56&lt;=240),IF(AND(C56="Cj",I56=120),VLOOKUP(W56,'CAFCO 300 IDIEM TABLAS'!$B$4:$D$23,3,FALSE),0))+IF(AND(J56&gt;=95,J56&lt;=400,G56=3),IF(AND(C56="IN",I56=90),VLOOKUP(W56,'CAFCO 300 IDIEM TABLAS'!$F$4:$H$35,2,FALSE),0),0)+IF(AND(J56&gt;=95,J56&lt;=400,G56=3),IF(AND(C56="IN",I56=120),VLOOKUP(W56,'CAFCO 300 IDIEM TABLAS'!$F$4:$H$35,3,FALSE),0),0)+IF(AND(J56&gt;=95,J56&lt;=450,G56=4),IF(AND(C56="IN",I56=90),VLOOKUP(W56,'CAFCO 300 IDIEM TABLAS'!$J$4:$L$40,2,FALSE),0),0)+IF(AND(J56&gt;=95,J56&lt;=450,G56=4),IF(AND(C56="IN",I56=120),VLOOKUP(W56,'CAFCO 300 IDIEM TABLAS'!$J$4:$L$40,3,FALSE),0),0))</f>
        <v>17</v>
      </c>
      <c r="U56" s="48">
        <f t="shared" si="6"/>
        <v>6.94637676508344</v>
      </c>
      <c r="V56" s="82">
        <f t="shared" si="3"/>
        <v>104292.90075096277</v>
      </c>
      <c r="W56" s="64">
        <f>+IF(J56=LOOKUP(J56,'CAFCO 300 IDIEM TABLAS'!$J$4:$J$40),'HOJA DE CÁLCULO RESPALDO'!J56,MROUND('HOJA DE CÁLCULO RESPALDO'!J56,10))</f>
        <v>95</v>
      </c>
      <c r="X56" s="36"/>
      <c r="Y56" s="4"/>
    </row>
    <row r="57" spans="1:25" x14ac:dyDescent="0.25">
      <c r="A57" s="2" t="s">
        <v>35</v>
      </c>
      <c r="B57" s="3" t="s">
        <v>17</v>
      </c>
      <c r="C57" s="3" t="s">
        <v>19</v>
      </c>
      <c r="D57" s="3">
        <v>1</v>
      </c>
      <c r="E57" s="2">
        <v>1</v>
      </c>
      <c r="F57" s="8">
        <v>8500</v>
      </c>
      <c r="G57" s="1">
        <v>4</v>
      </c>
      <c r="H57" s="2">
        <v>1692</v>
      </c>
      <c r="I57" s="34">
        <v>90</v>
      </c>
      <c r="J57" s="11">
        <v>95</v>
      </c>
      <c r="K57" s="44">
        <f t="shared" si="0"/>
        <v>14.382</v>
      </c>
      <c r="L57" s="3" t="s">
        <v>61</v>
      </c>
      <c r="M57" s="3" t="s">
        <v>70</v>
      </c>
      <c r="N57" s="15">
        <f>ROUND((IF(L57="Blaze Shield II",IF(M57="Idiem software",IF(AND(C57="IN",G57=4),((('BLAZE SHIELD II'!$D$4*('HOJA DE CÁLCULO RESPALDO'!I57^2)+'BLAZE SHIELD II'!$D$5*'HOJA DE CÁLCULO RESPALDO'!I57+'BLAZE SHIELD II'!$D$6)*LN(J57))+('BLAZE SHIELD II'!$D$7*('HOJA DE CÁLCULO RESPALDO'!I57^2)+'BLAZE SHIELD II'!$D$8*'HOJA DE CÁLCULO RESPALDO'!I57+'BLAZE SHIELD II'!$D$9)),0),0),0))+(IF(L57="Blaze Shield II",IF(M57="Idiem software",IF(C57="Cj",((('BLAZE SHIELD II'!$H$4*('HOJA DE CÁLCULO RESPALDO'!I57^2)+'BLAZE SHIELD II'!$H$5*'HOJA DE CÁLCULO RESPALDO'!I57+'BLAZE SHIELD II'!$H$6)*LN(J57))+('BLAZE SHIELD II'!$H$7*('HOJA DE CÁLCULO RESPALDO'!I57^2)+'BLAZE SHIELD II'!$H$8*'HOJA DE CÁLCULO RESPALDO'!I57+'BLAZE SHIELD II'!$H$9)),0),0),0))+(IF(L57="Blaze Shield II",IF(M57="Idiem software",IF(C57="C",((('BLAZE SHIELD II'!$L$4*('HOJA DE CÁLCULO RESPALDO'!I57^2)+'BLAZE SHIELD II'!$L$5*'HOJA DE CÁLCULO RESPALDO'!I57+'BLAZE SHIELD II'!$L$6)*LN(J57))+('BLAZE SHIELD II'!$L$7*('HOJA DE CÁLCULO RESPALDO'!I57^2)+'BLAZE SHIELD II'!$L$8*'HOJA DE CÁLCULO RESPALDO'!I57+'BLAZE SHIELD II'!$L$9)),0),0),0))+(IF(L57="Blaze Shield II",IF(M57="Idiem software",IF(AND(C57="IN",G57=3),((('BLAZE SHIELD II'!$H$14*('HOJA DE CÁLCULO RESPALDO'!I57^2)+'BLAZE SHIELD II'!$H$15*'HOJA DE CÁLCULO RESPALDO'!I57+'BLAZE SHIELD II'!$H$16)*LN(J57))+('BLAZE SHIELD II'!$H$17*('HOJA DE CÁLCULO RESPALDO'!I57^2)+'BLAZE SHIELD II'!$H$18*'HOJA DE CÁLCULO RESPALDO'!I57+'BLAZE SHIELD II'!$H$19)),0),0),0)),0)</f>
        <v>0</v>
      </c>
      <c r="O57" s="46">
        <f t="shared" si="4"/>
        <v>0</v>
      </c>
      <c r="P57" s="80">
        <f t="shared" si="1"/>
        <v>0</v>
      </c>
      <c r="Q57" s="85">
        <f>ROUND((IF(L57="Cafco 400",IF(M57="Idiem software",IF(AND(C57="IN",G57=4),((('CAFCO 400 '!$H$7*(J57^4)+'CAFCO 400 '!$H$8*(J57^3)+'CAFCO 400 '!$H$9*(J57^2)+'CAFCO 400 '!$H$10*J57+'CAFCO 400 '!$H$11)*I57^2)+(('CAFCO 400 '!$H$12*(J57^3)+'CAFCO 400 '!$H$13*(J57^2)+'CAFCO 400 '!$H$14*J57+'CAFCO 400 '!$H$15)*I57)+('CAFCO 400 '!$H$16*(J57^2)+'CAFCO 400 '!$H$17*J57+'CAFCO 400 '!$H$18)),0),0),0))+(IF(L57="Cafco 400",IF(M57="Idiem software",IF(C57="Cj",(((('CAFCO 400 '!$D$7*LN(J57)+'CAFCO 400 '!$D$8)*I57^2)+(('CAFCO 400 '!$D$9*LN(J57)+'CAFCO 400 '!$D$10)*I57)+('CAFCO 400 '!$D$11*LN(J57)+'CAFCO 400 '!$D$12))),0),0),0))+(IF(L57="Cafco 400",IF(M57="Idiem software",IF(C57="C",((('CAFCO 400 '!$L$7*(J57^3)+'CAFCO 400 '!$L$8*(J57^2)+'CAFCO 400 '!$L$9*J57+'CAFCO 400 '!$L$10)*I57^2)+(('CAFCO 400 '!$L$11*(J57^3)+'CAFCO 400 '!$L$12*(J57^2)+'CAFCO 400 '!$L$13*J57+'CAFCO 400 '!$L$14)*I57)+('CAFCO 400 '!$L$15*LN(J57)+'CAFCO 400 '!$L$16)),0),0),0))+(IF(L57="Cafco 400",IF(M57="Idiem software",IF(AND(C57="IN",G57=3),((('CAFCO 400 '!$D$23*(J57^2)+'CAFCO 400 '!$D$24*(J57)+'CAFCO 400 '!$D$25)*I57^2)+(('CAFCO 400 '!$D$26*(J57^2)+'CAFCO 400 '!$D$27*J57+'CAFCO 400 '!$D$28)*I57)+('CAFCO 400 '!$D$29*(J57^2)+'CAFCO 400 '!$D$30*J57+'CAFCO 400 '!$D$31)),0),0),0)),0)</f>
        <v>0</v>
      </c>
      <c r="R57" s="47">
        <f t="shared" si="5"/>
        <v>0</v>
      </c>
      <c r="S57" s="82">
        <f t="shared" si="2"/>
        <v>0</v>
      </c>
      <c r="T57" s="81">
        <f>+IF(AND(J57&gt;=95,J57&lt;=240),IF(AND(C57="Cj",I57=90),VLOOKUP(W57,'CAFCO 300 IDIEM TABLAS'!$B$4:$D$23,2,FALSE),0)+IF(AND(J57&gt;=95,J57&lt;=240),IF(AND(C57="Cj",I57=120),VLOOKUP(W57,'CAFCO 300 IDIEM TABLAS'!$B$4:$D$23,3,FALSE),0))+IF(AND(J57&gt;=95,J57&lt;=400,G57=3),IF(AND(C57="IN",I57=90),VLOOKUP(W57,'CAFCO 300 IDIEM TABLAS'!$F$4:$H$35,2,FALSE),0),0)+IF(AND(J57&gt;=95,J57&lt;=400,G57=3),IF(AND(C57="IN",I57=120),VLOOKUP(W57,'CAFCO 300 IDIEM TABLAS'!$F$4:$H$35,3,FALSE),0),0)+IF(AND(J57&gt;=95,J57&lt;=450,G57=4),IF(AND(C57="IN",I57=90),VLOOKUP(W57,'CAFCO 300 IDIEM TABLAS'!$J$4:$L$40,2,FALSE),0),0)+IF(AND(J57&gt;=95,J57&lt;=450,G57=4),IF(AND(C57="IN",I57=120),VLOOKUP(W57,'CAFCO 300 IDIEM TABLAS'!$J$4:$L$40,3,FALSE),0),0))</f>
        <v>17</v>
      </c>
      <c r="U57" s="48">
        <f t="shared" si="6"/>
        <v>3.3739544287548138</v>
      </c>
      <c r="V57" s="82">
        <f t="shared" si="3"/>
        <v>50656.551793324776</v>
      </c>
      <c r="W57" s="64">
        <f>+IF(J57=LOOKUP(J57,'CAFCO 300 IDIEM TABLAS'!$J$4:$J$40),'HOJA DE CÁLCULO RESPALDO'!J57,MROUND('HOJA DE CÁLCULO RESPALDO'!J57,10))</f>
        <v>95</v>
      </c>
      <c r="X57" s="36"/>
      <c r="Y57" s="4"/>
    </row>
    <row r="58" spans="1:25" ht="15.6" customHeight="1" x14ac:dyDescent="0.25">
      <c r="A58" s="2" t="s">
        <v>35</v>
      </c>
      <c r="B58" s="3" t="s">
        <v>17</v>
      </c>
      <c r="C58" s="3" t="s">
        <v>19</v>
      </c>
      <c r="D58" s="3">
        <v>1</v>
      </c>
      <c r="E58" s="2">
        <v>1</v>
      </c>
      <c r="F58" s="8">
        <v>8500</v>
      </c>
      <c r="G58" s="1">
        <v>4</v>
      </c>
      <c r="H58" s="2">
        <v>1502</v>
      </c>
      <c r="I58" s="34">
        <v>90</v>
      </c>
      <c r="J58" s="11">
        <v>95</v>
      </c>
      <c r="K58" s="44">
        <f t="shared" si="0"/>
        <v>12.766999999999999</v>
      </c>
      <c r="L58" s="3" t="s">
        <v>61</v>
      </c>
      <c r="M58" s="3" t="s">
        <v>70</v>
      </c>
      <c r="N58" s="15">
        <f>ROUND((IF(L58="Blaze Shield II",IF(M58="Idiem software",IF(AND(C58="IN",G58=4),((('BLAZE SHIELD II'!$D$4*('HOJA DE CÁLCULO RESPALDO'!I58^2)+'BLAZE SHIELD II'!$D$5*'HOJA DE CÁLCULO RESPALDO'!I58+'BLAZE SHIELD II'!$D$6)*LN(J58))+('BLAZE SHIELD II'!$D$7*('HOJA DE CÁLCULO RESPALDO'!I58^2)+'BLAZE SHIELD II'!$D$8*'HOJA DE CÁLCULO RESPALDO'!I58+'BLAZE SHIELD II'!$D$9)),0),0),0))+(IF(L58="Blaze Shield II",IF(M58="Idiem software",IF(C58="Cj",((('BLAZE SHIELD II'!$H$4*('HOJA DE CÁLCULO RESPALDO'!I58^2)+'BLAZE SHIELD II'!$H$5*'HOJA DE CÁLCULO RESPALDO'!I58+'BLAZE SHIELD II'!$H$6)*LN(J58))+('BLAZE SHIELD II'!$H$7*('HOJA DE CÁLCULO RESPALDO'!I58^2)+'BLAZE SHIELD II'!$H$8*'HOJA DE CÁLCULO RESPALDO'!I58+'BLAZE SHIELD II'!$H$9)),0),0),0))+(IF(L58="Blaze Shield II",IF(M58="Idiem software",IF(C58="C",((('BLAZE SHIELD II'!$L$4*('HOJA DE CÁLCULO RESPALDO'!I58^2)+'BLAZE SHIELD II'!$L$5*'HOJA DE CÁLCULO RESPALDO'!I58+'BLAZE SHIELD II'!$L$6)*LN(J58))+('BLAZE SHIELD II'!$L$7*('HOJA DE CÁLCULO RESPALDO'!I58^2)+'BLAZE SHIELD II'!$L$8*'HOJA DE CÁLCULO RESPALDO'!I58+'BLAZE SHIELD II'!$L$9)),0),0),0))+(IF(L58="Blaze Shield II",IF(M58="Idiem software",IF(AND(C58="IN",G58=3),((('BLAZE SHIELD II'!$H$14*('HOJA DE CÁLCULO RESPALDO'!I58^2)+'BLAZE SHIELD II'!$H$15*'HOJA DE CÁLCULO RESPALDO'!I58+'BLAZE SHIELD II'!$H$16)*LN(J58))+('BLAZE SHIELD II'!$H$17*('HOJA DE CÁLCULO RESPALDO'!I58^2)+'BLAZE SHIELD II'!$H$18*'HOJA DE CÁLCULO RESPALDO'!I58+'BLAZE SHIELD II'!$H$19)),0),0),0)),0)</f>
        <v>0</v>
      </c>
      <c r="O58" s="46">
        <f t="shared" si="4"/>
        <v>0</v>
      </c>
      <c r="P58" s="80">
        <f t="shared" si="1"/>
        <v>0</v>
      </c>
      <c r="Q58" s="85">
        <f>ROUND((IF(L58="Cafco 400",IF(M58="Idiem software",IF(AND(C58="IN",G58=4),((('CAFCO 400 '!$H$7*(J58^4)+'CAFCO 400 '!$H$8*(J58^3)+'CAFCO 400 '!$H$9*(J58^2)+'CAFCO 400 '!$H$10*J58+'CAFCO 400 '!$H$11)*I58^2)+(('CAFCO 400 '!$H$12*(J58^3)+'CAFCO 400 '!$H$13*(J58^2)+'CAFCO 400 '!$H$14*J58+'CAFCO 400 '!$H$15)*I58)+('CAFCO 400 '!$H$16*(J58^2)+'CAFCO 400 '!$H$17*J58+'CAFCO 400 '!$H$18)),0),0),0))+(IF(L58="Cafco 400",IF(M58="Idiem software",IF(C58="Cj",(((('CAFCO 400 '!$D$7*LN(J58)+'CAFCO 400 '!$D$8)*I58^2)+(('CAFCO 400 '!$D$9*LN(J58)+'CAFCO 400 '!$D$10)*I58)+('CAFCO 400 '!$D$11*LN(J58)+'CAFCO 400 '!$D$12))),0),0),0))+(IF(L58="Cafco 400",IF(M58="Idiem software",IF(C58="C",((('CAFCO 400 '!$L$7*(J58^3)+'CAFCO 400 '!$L$8*(J58^2)+'CAFCO 400 '!$L$9*J58+'CAFCO 400 '!$L$10)*I58^2)+(('CAFCO 400 '!$L$11*(J58^3)+'CAFCO 400 '!$L$12*(J58^2)+'CAFCO 400 '!$L$13*J58+'CAFCO 400 '!$L$14)*I58)+('CAFCO 400 '!$L$15*LN(J58)+'CAFCO 400 '!$L$16)),0),0),0))+(IF(L58="Cafco 400",IF(M58="Idiem software",IF(AND(C58="IN",G58=3),((('CAFCO 400 '!$D$23*(J58^2)+'CAFCO 400 '!$D$24*(J58)+'CAFCO 400 '!$D$25)*I58^2)+(('CAFCO 400 '!$D$26*(J58^2)+'CAFCO 400 '!$D$27*J58+'CAFCO 400 '!$D$28)*I58)+('CAFCO 400 '!$D$29*(J58^2)+'CAFCO 400 '!$D$30*J58+'CAFCO 400 '!$D$31)),0),0),0)),0)</f>
        <v>0</v>
      </c>
      <c r="R58" s="47">
        <f t="shared" si="5"/>
        <v>0</v>
      </c>
      <c r="S58" s="82">
        <f t="shared" si="2"/>
        <v>0</v>
      </c>
      <c r="T58" s="81">
        <f>+IF(AND(J58&gt;=95,J58&lt;=240),IF(AND(C58="Cj",I58=90),VLOOKUP(W58,'CAFCO 300 IDIEM TABLAS'!$B$4:$D$23,2,FALSE),0)+IF(AND(J58&gt;=95,J58&lt;=240),IF(AND(C58="Cj",I58=120),VLOOKUP(W58,'CAFCO 300 IDIEM TABLAS'!$B$4:$D$23,3,FALSE),0))+IF(AND(J58&gt;=95,J58&lt;=400,G58=3),IF(AND(C58="IN",I58=90),VLOOKUP(W58,'CAFCO 300 IDIEM TABLAS'!$F$4:$H$35,2,FALSE),0),0)+IF(AND(J58&gt;=95,J58&lt;=400,G58=3),IF(AND(C58="IN",I58=120),VLOOKUP(W58,'CAFCO 300 IDIEM TABLAS'!$F$4:$H$35,3,FALSE),0),0)+IF(AND(J58&gt;=95,J58&lt;=450,G58=4),IF(AND(C58="IN",I58=90),VLOOKUP(W58,'CAFCO 300 IDIEM TABLAS'!$J$4:$L$40,2,FALSE),0),0)+IF(AND(J58&gt;=95,J58&lt;=450,G58=4),IF(AND(C58="IN",I58=120),VLOOKUP(W58,'CAFCO 300 IDIEM TABLAS'!$J$4:$L$40,3,FALSE),0),0))</f>
        <v>17</v>
      </c>
      <c r="U58" s="48">
        <f t="shared" si="6"/>
        <v>2.9950824775353015</v>
      </c>
      <c r="V58" s="82">
        <f t="shared" si="3"/>
        <v>44968.168317715019</v>
      </c>
      <c r="W58" s="64">
        <f>+IF(J58=LOOKUP(J58,'CAFCO 300 IDIEM TABLAS'!$J$4:$J$40),'HOJA DE CÁLCULO RESPALDO'!J58,MROUND('HOJA DE CÁLCULO RESPALDO'!J58,10))</f>
        <v>95</v>
      </c>
      <c r="X58" s="36"/>
      <c r="Y58" s="4"/>
    </row>
    <row r="59" spans="1:25" x14ac:dyDescent="0.25">
      <c r="A59" s="2" t="s">
        <v>35</v>
      </c>
      <c r="B59" s="3" t="s">
        <v>17</v>
      </c>
      <c r="C59" s="3" t="s">
        <v>19</v>
      </c>
      <c r="D59" s="3">
        <v>1</v>
      </c>
      <c r="E59" s="2">
        <v>1</v>
      </c>
      <c r="F59" s="8">
        <v>11097</v>
      </c>
      <c r="G59" s="1">
        <v>4</v>
      </c>
      <c r="H59" s="2">
        <v>585</v>
      </c>
      <c r="I59" s="34">
        <v>90</v>
      </c>
      <c r="J59" s="11">
        <v>95</v>
      </c>
      <c r="K59" s="44">
        <f t="shared" si="0"/>
        <v>6.4917449999999999</v>
      </c>
      <c r="L59" s="3" t="s">
        <v>61</v>
      </c>
      <c r="M59" s="3" t="s">
        <v>70</v>
      </c>
      <c r="N59" s="15">
        <f>ROUND((IF(L59="Blaze Shield II",IF(M59="Idiem software",IF(AND(C59="IN",G59=4),((('BLAZE SHIELD II'!$D$4*('HOJA DE CÁLCULO RESPALDO'!I59^2)+'BLAZE SHIELD II'!$D$5*'HOJA DE CÁLCULO RESPALDO'!I59+'BLAZE SHIELD II'!$D$6)*LN(J59))+('BLAZE SHIELD II'!$D$7*('HOJA DE CÁLCULO RESPALDO'!I59^2)+'BLAZE SHIELD II'!$D$8*'HOJA DE CÁLCULO RESPALDO'!I59+'BLAZE SHIELD II'!$D$9)),0),0),0))+(IF(L59="Blaze Shield II",IF(M59="Idiem software",IF(C59="Cj",((('BLAZE SHIELD II'!$H$4*('HOJA DE CÁLCULO RESPALDO'!I59^2)+'BLAZE SHIELD II'!$H$5*'HOJA DE CÁLCULO RESPALDO'!I59+'BLAZE SHIELD II'!$H$6)*LN(J59))+('BLAZE SHIELD II'!$H$7*('HOJA DE CÁLCULO RESPALDO'!I59^2)+'BLAZE SHIELD II'!$H$8*'HOJA DE CÁLCULO RESPALDO'!I59+'BLAZE SHIELD II'!$H$9)),0),0),0))+(IF(L59="Blaze Shield II",IF(M59="Idiem software",IF(C59="C",((('BLAZE SHIELD II'!$L$4*('HOJA DE CÁLCULO RESPALDO'!I59^2)+'BLAZE SHIELD II'!$L$5*'HOJA DE CÁLCULO RESPALDO'!I59+'BLAZE SHIELD II'!$L$6)*LN(J59))+('BLAZE SHIELD II'!$L$7*('HOJA DE CÁLCULO RESPALDO'!I59^2)+'BLAZE SHIELD II'!$L$8*'HOJA DE CÁLCULO RESPALDO'!I59+'BLAZE SHIELD II'!$L$9)),0),0),0))+(IF(L59="Blaze Shield II",IF(M59="Idiem software",IF(AND(C59="IN",G59=3),((('BLAZE SHIELD II'!$H$14*('HOJA DE CÁLCULO RESPALDO'!I59^2)+'BLAZE SHIELD II'!$H$15*'HOJA DE CÁLCULO RESPALDO'!I59+'BLAZE SHIELD II'!$H$16)*LN(J59))+('BLAZE SHIELD II'!$H$17*('HOJA DE CÁLCULO RESPALDO'!I59^2)+'BLAZE SHIELD II'!$H$18*'HOJA DE CÁLCULO RESPALDO'!I59+'BLAZE SHIELD II'!$H$19)),0),0),0)),0)</f>
        <v>0</v>
      </c>
      <c r="O59" s="46">
        <f t="shared" si="4"/>
        <v>0</v>
      </c>
      <c r="P59" s="80">
        <f t="shared" si="1"/>
        <v>0</v>
      </c>
      <c r="Q59" s="85">
        <f>ROUND((IF(L59="Cafco 400",IF(M59="Idiem software",IF(AND(C59="IN",G59=4),((('CAFCO 400 '!$H$7*(J59^4)+'CAFCO 400 '!$H$8*(J59^3)+'CAFCO 400 '!$H$9*(J59^2)+'CAFCO 400 '!$H$10*J59+'CAFCO 400 '!$H$11)*I59^2)+(('CAFCO 400 '!$H$12*(J59^3)+'CAFCO 400 '!$H$13*(J59^2)+'CAFCO 400 '!$H$14*J59+'CAFCO 400 '!$H$15)*I59)+('CAFCO 400 '!$H$16*(J59^2)+'CAFCO 400 '!$H$17*J59+'CAFCO 400 '!$H$18)),0),0),0))+(IF(L59="Cafco 400",IF(M59="Idiem software",IF(C59="Cj",(((('CAFCO 400 '!$D$7*LN(J59)+'CAFCO 400 '!$D$8)*I59^2)+(('CAFCO 400 '!$D$9*LN(J59)+'CAFCO 400 '!$D$10)*I59)+('CAFCO 400 '!$D$11*LN(J59)+'CAFCO 400 '!$D$12))),0),0),0))+(IF(L59="Cafco 400",IF(M59="Idiem software",IF(C59="C",((('CAFCO 400 '!$L$7*(J59^3)+'CAFCO 400 '!$L$8*(J59^2)+'CAFCO 400 '!$L$9*J59+'CAFCO 400 '!$L$10)*I59^2)+(('CAFCO 400 '!$L$11*(J59^3)+'CAFCO 400 '!$L$12*(J59^2)+'CAFCO 400 '!$L$13*J59+'CAFCO 400 '!$L$14)*I59)+('CAFCO 400 '!$L$15*LN(J59)+'CAFCO 400 '!$L$16)),0),0),0))+(IF(L59="Cafco 400",IF(M59="Idiem software",IF(AND(C59="IN",G59=3),((('CAFCO 400 '!$D$23*(J59^2)+'CAFCO 400 '!$D$24*(J59)+'CAFCO 400 '!$D$25)*I59^2)+(('CAFCO 400 '!$D$26*(J59^2)+'CAFCO 400 '!$D$27*J59+'CAFCO 400 '!$D$28)*I59)+('CAFCO 400 '!$D$29*(J59^2)+'CAFCO 400 '!$D$30*J59+'CAFCO 400 '!$D$31)),0),0),0)),0)</f>
        <v>0</v>
      </c>
      <c r="R59" s="47">
        <f t="shared" si="5"/>
        <v>0</v>
      </c>
      <c r="S59" s="82">
        <f t="shared" si="2"/>
        <v>0</v>
      </c>
      <c r="T59" s="81">
        <f>+IF(AND(J59&gt;=95,J59&lt;=240),IF(AND(C59="Cj",I59=90),VLOOKUP(W59,'CAFCO 300 IDIEM TABLAS'!$B$4:$D$23,2,FALSE),0)+IF(AND(J59&gt;=95,J59&lt;=240),IF(AND(C59="Cj",I59=120),VLOOKUP(W59,'CAFCO 300 IDIEM TABLAS'!$B$4:$D$23,3,FALSE),0))+IF(AND(J59&gt;=95,J59&lt;=400,G59=3),IF(AND(C59="IN",I59=90),VLOOKUP(W59,'CAFCO 300 IDIEM TABLAS'!$F$4:$H$35,2,FALSE),0),0)+IF(AND(J59&gt;=95,J59&lt;=400,G59=3),IF(AND(C59="IN",I59=120),VLOOKUP(W59,'CAFCO 300 IDIEM TABLAS'!$F$4:$H$35,3,FALSE),0),0)+IF(AND(J59&gt;=95,J59&lt;=450,G59=4),IF(AND(C59="IN",I59=90),VLOOKUP(W59,'CAFCO 300 IDIEM TABLAS'!$J$4:$L$40,2,FALSE),0),0)+IF(AND(J59&gt;=95,J59&lt;=450,G59=4),IF(AND(C59="IN",I59=120),VLOOKUP(W59,'CAFCO 300 IDIEM TABLAS'!$J$4:$L$40,3,FALSE),0),0))</f>
        <v>17</v>
      </c>
      <c r="U59" s="48">
        <f t="shared" si="6"/>
        <v>1.5229350433247753</v>
      </c>
      <c r="V59" s="82">
        <f t="shared" si="3"/>
        <v>22865.346740478177</v>
      </c>
      <c r="W59" s="64">
        <f>+IF(J59=LOOKUP(J59,'CAFCO 300 IDIEM TABLAS'!$J$4:$J$40),'HOJA DE CÁLCULO RESPALDO'!J59,MROUND('HOJA DE CÁLCULO RESPALDO'!J59,10))</f>
        <v>95</v>
      </c>
      <c r="X59" s="36"/>
      <c r="Y59" s="4"/>
    </row>
    <row r="60" spans="1:25" ht="15.6" customHeight="1" x14ac:dyDescent="0.25">
      <c r="A60" s="2" t="s">
        <v>35</v>
      </c>
      <c r="B60" s="3" t="s">
        <v>17</v>
      </c>
      <c r="C60" s="3" t="s">
        <v>19</v>
      </c>
      <c r="D60" s="3">
        <v>1</v>
      </c>
      <c r="E60" s="2">
        <v>1</v>
      </c>
      <c r="F60" s="8">
        <v>1500</v>
      </c>
      <c r="G60" s="1">
        <v>4</v>
      </c>
      <c r="H60" s="2">
        <v>776</v>
      </c>
      <c r="I60" s="34">
        <v>90</v>
      </c>
      <c r="J60" s="11">
        <v>95</v>
      </c>
      <c r="K60" s="44">
        <f t="shared" si="0"/>
        <v>1.1639999999999999</v>
      </c>
      <c r="L60" s="3" t="s">
        <v>61</v>
      </c>
      <c r="M60" s="3" t="s">
        <v>70</v>
      </c>
      <c r="N60" s="15">
        <f>ROUND((IF(L60="Blaze Shield II",IF(M60="Idiem software",IF(AND(C60="IN",G60=4),((('BLAZE SHIELD II'!$D$4*('HOJA DE CÁLCULO RESPALDO'!I60^2)+'BLAZE SHIELD II'!$D$5*'HOJA DE CÁLCULO RESPALDO'!I60+'BLAZE SHIELD II'!$D$6)*LN(J60))+('BLAZE SHIELD II'!$D$7*('HOJA DE CÁLCULO RESPALDO'!I60^2)+'BLAZE SHIELD II'!$D$8*'HOJA DE CÁLCULO RESPALDO'!I60+'BLAZE SHIELD II'!$D$9)),0),0),0))+(IF(L60="Blaze Shield II",IF(M60="Idiem software",IF(C60="Cj",((('BLAZE SHIELD II'!$H$4*('HOJA DE CÁLCULO RESPALDO'!I60^2)+'BLAZE SHIELD II'!$H$5*'HOJA DE CÁLCULO RESPALDO'!I60+'BLAZE SHIELD II'!$H$6)*LN(J60))+('BLAZE SHIELD II'!$H$7*('HOJA DE CÁLCULO RESPALDO'!I60^2)+'BLAZE SHIELD II'!$H$8*'HOJA DE CÁLCULO RESPALDO'!I60+'BLAZE SHIELD II'!$H$9)),0),0),0))+(IF(L60="Blaze Shield II",IF(M60="Idiem software",IF(C60="C",((('BLAZE SHIELD II'!$L$4*('HOJA DE CÁLCULO RESPALDO'!I60^2)+'BLAZE SHIELD II'!$L$5*'HOJA DE CÁLCULO RESPALDO'!I60+'BLAZE SHIELD II'!$L$6)*LN(J60))+('BLAZE SHIELD II'!$L$7*('HOJA DE CÁLCULO RESPALDO'!I60^2)+'BLAZE SHIELD II'!$L$8*'HOJA DE CÁLCULO RESPALDO'!I60+'BLAZE SHIELD II'!$L$9)),0),0),0))+(IF(L60="Blaze Shield II",IF(M60="Idiem software",IF(AND(C60="IN",G60=3),((('BLAZE SHIELD II'!$H$14*('HOJA DE CÁLCULO RESPALDO'!I60^2)+'BLAZE SHIELD II'!$H$15*'HOJA DE CÁLCULO RESPALDO'!I60+'BLAZE SHIELD II'!$H$16)*LN(J60))+('BLAZE SHIELD II'!$H$17*('HOJA DE CÁLCULO RESPALDO'!I60^2)+'BLAZE SHIELD II'!$H$18*'HOJA DE CÁLCULO RESPALDO'!I60+'BLAZE SHIELD II'!$H$19)),0),0),0)),0)</f>
        <v>0</v>
      </c>
      <c r="O60" s="46">
        <f t="shared" si="4"/>
        <v>0</v>
      </c>
      <c r="P60" s="80">
        <f t="shared" si="1"/>
        <v>0</v>
      </c>
      <c r="Q60" s="85">
        <f>ROUND((IF(L60="Cafco 400",IF(M60="Idiem software",IF(AND(C60="IN",G60=4),((('CAFCO 400 '!$H$7*(J60^4)+'CAFCO 400 '!$H$8*(J60^3)+'CAFCO 400 '!$H$9*(J60^2)+'CAFCO 400 '!$H$10*J60+'CAFCO 400 '!$H$11)*I60^2)+(('CAFCO 400 '!$H$12*(J60^3)+'CAFCO 400 '!$H$13*(J60^2)+'CAFCO 400 '!$H$14*J60+'CAFCO 400 '!$H$15)*I60)+('CAFCO 400 '!$H$16*(J60^2)+'CAFCO 400 '!$H$17*J60+'CAFCO 400 '!$H$18)),0),0),0))+(IF(L60="Cafco 400",IF(M60="Idiem software",IF(C60="Cj",(((('CAFCO 400 '!$D$7*LN(J60)+'CAFCO 400 '!$D$8)*I60^2)+(('CAFCO 400 '!$D$9*LN(J60)+'CAFCO 400 '!$D$10)*I60)+('CAFCO 400 '!$D$11*LN(J60)+'CAFCO 400 '!$D$12))),0),0),0))+(IF(L60="Cafco 400",IF(M60="Idiem software",IF(C60="C",((('CAFCO 400 '!$L$7*(J60^3)+'CAFCO 400 '!$L$8*(J60^2)+'CAFCO 400 '!$L$9*J60+'CAFCO 400 '!$L$10)*I60^2)+(('CAFCO 400 '!$L$11*(J60^3)+'CAFCO 400 '!$L$12*(J60^2)+'CAFCO 400 '!$L$13*J60+'CAFCO 400 '!$L$14)*I60)+('CAFCO 400 '!$L$15*LN(J60)+'CAFCO 400 '!$L$16)),0),0),0))+(IF(L60="Cafco 400",IF(M60="Idiem software",IF(AND(C60="IN",G60=3),((('CAFCO 400 '!$D$23*(J60^2)+'CAFCO 400 '!$D$24*(J60)+'CAFCO 400 '!$D$25)*I60^2)+(('CAFCO 400 '!$D$26*(J60^2)+'CAFCO 400 '!$D$27*J60+'CAFCO 400 '!$D$28)*I60)+('CAFCO 400 '!$D$29*(J60^2)+'CAFCO 400 '!$D$30*J60+'CAFCO 400 '!$D$31)),0),0),0)),0)</f>
        <v>0</v>
      </c>
      <c r="R60" s="47">
        <f t="shared" si="5"/>
        <v>0</v>
      </c>
      <c r="S60" s="82">
        <f t="shared" si="2"/>
        <v>0</v>
      </c>
      <c r="T60" s="81">
        <f>+IF(AND(J60&gt;=95,J60&lt;=240),IF(AND(C60="Cj",I60=90),VLOOKUP(W60,'CAFCO 300 IDIEM TABLAS'!$B$4:$D$23,2,FALSE),0)+IF(AND(J60&gt;=95,J60&lt;=240),IF(AND(C60="Cj",I60=120),VLOOKUP(W60,'CAFCO 300 IDIEM TABLAS'!$B$4:$D$23,3,FALSE),0))+IF(AND(J60&gt;=95,J60&lt;=400,G60=3),IF(AND(C60="IN",I60=90),VLOOKUP(W60,'CAFCO 300 IDIEM TABLAS'!$F$4:$H$35,2,FALSE),0),0)+IF(AND(J60&gt;=95,J60&lt;=400,G60=3),IF(AND(C60="IN",I60=120),VLOOKUP(W60,'CAFCO 300 IDIEM TABLAS'!$F$4:$H$35,3,FALSE),0),0)+IF(AND(J60&gt;=95,J60&lt;=450,G60=4),IF(AND(C60="IN",I60=90),VLOOKUP(W60,'CAFCO 300 IDIEM TABLAS'!$J$4:$L$40,2,FALSE),0),0)+IF(AND(J60&gt;=95,J60&lt;=450,G60=4),IF(AND(C60="IN",I60=120),VLOOKUP(W60,'CAFCO 300 IDIEM TABLAS'!$J$4:$L$40,3,FALSE),0),0))</f>
        <v>17</v>
      </c>
      <c r="U60" s="48">
        <f t="shared" si="6"/>
        <v>0.2730693196405648</v>
      </c>
      <c r="V60" s="82">
        <f t="shared" si="3"/>
        <v>4099.8627650834396</v>
      </c>
      <c r="W60" s="64">
        <f>+IF(J60=LOOKUP(J60,'CAFCO 300 IDIEM TABLAS'!$J$4:$J$40),'HOJA DE CÁLCULO RESPALDO'!J60,MROUND('HOJA DE CÁLCULO RESPALDO'!J60,10))</f>
        <v>95</v>
      </c>
      <c r="X60" s="36"/>
      <c r="Y60" s="4"/>
    </row>
    <row r="61" spans="1:25" x14ac:dyDescent="0.25">
      <c r="A61" s="2" t="s">
        <v>35</v>
      </c>
      <c r="B61" s="3" t="s">
        <v>17</v>
      </c>
      <c r="C61" s="3" t="s">
        <v>19</v>
      </c>
      <c r="D61" s="3">
        <v>1</v>
      </c>
      <c r="E61" s="2">
        <v>1</v>
      </c>
      <c r="F61" s="8">
        <v>1500</v>
      </c>
      <c r="G61" s="1">
        <v>4</v>
      </c>
      <c r="H61" s="2">
        <v>3879</v>
      </c>
      <c r="I61" s="34">
        <v>90</v>
      </c>
      <c r="J61" s="11">
        <v>95</v>
      </c>
      <c r="K61" s="44">
        <f t="shared" si="0"/>
        <v>5.8185000000000002</v>
      </c>
      <c r="L61" s="3" t="s">
        <v>61</v>
      </c>
      <c r="M61" s="3" t="s">
        <v>70</v>
      </c>
      <c r="N61" s="15">
        <f>ROUND((IF(L61="Blaze Shield II",IF(M61="Idiem software",IF(AND(C61="IN",G61=4),((('BLAZE SHIELD II'!$D$4*('HOJA DE CÁLCULO RESPALDO'!I61^2)+'BLAZE SHIELD II'!$D$5*'HOJA DE CÁLCULO RESPALDO'!I61+'BLAZE SHIELD II'!$D$6)*LN(J61))+('BLAZE SHIELD II'!$D$7*('HOJA DE CÁLCULO RESPALDO'!I61^2)+'BLAZE SHIELD II'!$D$8*'HOJA DE CÁLCULO RESPALDO'!I61+'BLAZE SHIELD II'!$D$9)),0),0),0))+(IF(L61="Blaze Shield II",IF(M61="Idiem software",IF(C61="Cj",((('BLAZE SHIELD II'!$H$4*('HOJA DE CÁLCULO RESPALDO'!I61^2)+'BLAZE SHIELD II'!$H$5*'HOJA DE CÁLCULO RESPALDO'!I61+'BLAZE SHIELD II'!$H$6)*LN(J61))+('BLAZE SHIELD II'!$H$7*('HOJA DE CÁLCULO RESPALDO'!I61^2)+'BLAZE SHIELD II'!$H$8*'HOJA DE CÁLCULO RESPALDO'!I61+'BLAZE SHIELD II'!$H$9)),0),0),0))+(IF(L61="Blaze Shield II",IF(M61="Idiem software",IF(C61="C",((('BLAZE SHIELD II'!$L$4*('HOJA DE CÁLCULO RESPALDO'!I61^2)+'BLAZE SHIELD II'!$L$5*'HOJA DE CÁLCULO RESPALDO'!I61+'BLAZE SHIELD II'!$L$6)*LN(J61))+('BLAZE SHIELD II'!$L$7*('HOJA DE CÁLCULO RESPALDO'!I61^2)+'BLAZE SHIELD II'!$L$8*'HOJA DE CÁLCULO RESPALDO'!I61+'BLAZE SHIELD II'!$L$9)),0),0),0))+(IF(L61="Blaze Shield II",IF(M61="Idiem software",IF(AND(C61="IN",G61=3),((('BLAZE SHIELD II'!$H$14*('HOJA DE CÁLCULO RESPALDO'!I61^2)+'BLAZE SHIELD II'!$H$15*'HOJA DE CÁLCULO RESPALDO'!I61+'BLAZE SHIELD II'!$H$16)*LN(J61))+('BLAZE SHIELD II'!$H$17*('HOJA DE CÁLCULO RESPALDO'!I61^2)+'BLAZE SHIELD II'!$H$18*'HOJA DE CÁLCULO RESPALDO'!I61+'BLAZE SHIELD II'!$H$19)),0),0),0)),0)</f>
        <v>0</v>
      </c>
      <c r="O61" s="46">
        <f t="shared" si="4"/>
        <v>0</v>
      </c>
      <c r="P61" s="80">
        <f t="shared" si="1"/>
        <v>0</v>
      </c>
      <c r="Q61" s="85">
        <f>ROUND((IF(L61="Cafco 400",IF(M61="Idiem software",IF(AND(C61="IN",G61=4),((('CAFCO 400 '!$H$7*(J61^4)+'CAFCO 400 '!$H$8*(J61^3)+'CAFCO 400 '!$H$9*(J61^2)+'CAFCO 400 '!$H$10*J61+'CAFCO 400 '!$H$11)*I61^2)+(('CAFCO 400 '!$H$12*(J61^3)+'CAFCO 400 '!$H$13*(J61^2)+'CAFCO 400 '!$H$14*J61+'CAFCO 400 '!$H$15)*I61)+('CAFCO 400 '!$H$16*(J61^2)+'CAFCO 400 '!$H$17*J61+'CAFCO 400 '!$H$18)),0),0),0))+(IF(L61="Cafco 400",IF(M61="Idiem software",IF(C61="Cj",(((('CAFCO 400 '!$D$7*LN(J61)+'CAFCO 400 '!$D$8)*I61^2)+(('CAFCO 400 '!$D$9*LN(J61)+'CAFCO 400 '!$D$10)*I61)+('CAFCO 400 '!$D$11*LN(J61)+'CAFCO 400 '!$D$12))),0),0),0))+(IF(L61="Cafco 400",IF(M61="Idiem software",IF(C61="C",((('CAFCO 400 '!$L$7*(J61^3)+'CAFCO 400 '!$L$8*(J61^2)+'CAFCO 400 '!$L$9*J61+'CAFCO 400 '!$L$10)*I61^2)+(('CAFCO 400 '!$L$11*(J61^3)+'CAFCO 400 '!$L$12*(J61^2)+'CAFCO 400 '!$L$13*J61+'CAFCO 400 '!$L$14)*I61)+('CAFCO 400 '!$L$15*LN(J61)+'CAFCO 400 '!$L$16)),0),0),0))+(IF(L61="Cafco 400",IF(M61="Idiem software",IF(AND(C61="IN",G61=3),((('CAFCO 400 '!$D$23*(J61^2)+'CAFCO 400 '!$D$24*(J61)+'CAFCO 400 '!$D$25)*I61^2)+(('CAFCO 400 '!$D$26*(J61^2)+'CAFCO 400 '!$D$27*J61+'CAFCO 400 '!$D$28)*I61)+('CAFCO 400 '!$D$29*(J61^2)+'CAFCO 400 '!$D$30*J61+'CAFCO 400 '!$D$31)),0),0),0)),0)</f>
        <v>0</v>
      </c>
      <c r="R61" s="47">
        <f t="shared" si="5"/>
        <v>0</v>
      </c>
      <c r="S61" s="82">
        <f t="shared" si="2"/>
        <v>0</v>
      </c>
      <c r="T61" s="81">
        <f>+IF(AND(J61&gt;=95,J61&lt;=240),IF(AND(C61="Cj",I61=90),VLOOKUP(W61,'CAFCO 300 IDIEM TABLAS'!$B$4:$D$23,2,FALSE),0)+IF(AND(J61&gt;=95,J61&lt;=240),IF(AND(C61="Cj",I61=120),VLOOKUP(W61,'CAFCO 300 IDIEM TABLAS'!$B$4:$D$23,3,FALSE),0))+IF(AND(J61&gt;=95,J61&lt;=400,G61=3),IF(AND(C61="IN",I61=90),VLOOKUP(W61,'CAFCO 300 IDIEM TABLAS'!$F$4:$H$35,2,FALSE),0),0)+IF(AND(J61&gt;=95,J61&lt;=400,G61=3),IF(AND(C61="IN",I61=120),VLOOKUP(W61,'CAFCO 300 IDIEM TABLAS'!$F$4:$H$35,3,FALSE),0),0)+IF(AND(J61&gt;=95,J61&lt;=450,G61=4),IF(AND(C61="IN",I61=90),VLOOKUP(W61,'CAFCO 300 IDIEM TABLAS'!$J$4:$L$40,2,FALSE),0),0)+IF(AND(J61&gt;=95,J61&lt;=450,G61=4),IF(AND(C61="IN",I61=120),VLOOKUP(W61,'CAFCO 300 IDIEM TABLAS'!$J$4:$L$40,3,FALSE),0),0))</f>
        <v>17</v>
      </c>
      <c r="U61" s="48">
        <f t="shared" si="6"/>
        <v>1.3649947047496791</v>
      </c>
      <c r="V61" s="82">
        <f t="shared" si="3"/>
        <v>20494.030497111682</v>
      </c>
      <c r="W61" s="64">
        <f>+IF(J61=LOOKUP(J61,'CAFCO 300 IDIEM TABLAS'!$J$4:$J$40),'HOJA DE CÁLCULO RESPALDO'!J61,MROUND('HOJA DE CÁLCULO RESPALDO'!J61,10))</f>
        <v>95</v>
      </c>
      <c r="X61" s="36"/>
      <c r="Y61" s="4"/>
    </row>
    <row r="62" spans="1:25" ht="15.6" customHeight="1" x14ac:dyDescent="0.25">
      <c r="A62" s="2" t="s">
        <v>35</v>
      </c>
      <c r="B62" s="3" t="s">
        <v>17</v>
      </c>
      <c r="C62" s="3" t="s">
        <v>19</v>
      </c>
      <c r="D62" s="3">
        <v>1</v>
      </c>
      <c r="E62" s="2">
        <v>1</v>
      </c>
      <c r="F62" s="8">
        <v>11081</v>
      </c>
      <c r="G62" s="1">
        <v>4</v>
      </c>
      <c r="H62" s="2">
        <v>585</v>
      </c>
      <c r="I62" s="34">
        <v>90</v>
      </c>
      <c r="J62" s="11">
        <v>95</v>
      </c>
      <c r="K62" s="44">
        <f t="shared" si="0"/>
        <v>6.4823849999999998</v>
      </c>
      <c r="L62" s="3" t="s">
        <v>61</v>
      </c>
      <c r="M62" s="3" t="s">
        <v>70</v>
      </c>
      <c r="N62" s="15">
        <f>ROUND((IF(L62="Blaze Shield II",IF(M62="Idiem software",IF(AND(C62="IN",G62=4),((('BLAZE SHIELD II'!$D$4*('HOJA DE CÁLCULO RESPALDO'!I62^2)+'BLAZE SHIELD II'!$D$5*'HOJA DE CÁLCULO RESPALDO'!I62+'BLAZE SHIELD II'!$D$6)*LN(J62))+('BLAZE SHIELD II'!$D$7*('HOJA DE CÁLCULO RESPALDO'!I62^2)+'BLAZE SHIELD II'!$D$8*'HOJA DE CÁLCULO RESPALDO'!I62+'BLAZE SHIELD II'!$D$9)),0),0),0))+(IF(L62="Blaze Shield II",IF(M62="Idiem software",IF(C62="Cj",((('BLAZE SHIELD II'!$H$4*('HOJA DE CÁLCULO RESPALDO'!I62^2)+'BLAZE SHIELD II'!$H$5*'HOJA DE CÁLCULO RESPALDO'!I62+'BLAZE SHIELD II'!$H$6)*LN(J62))+('BLAZE SHIELD II'!$H$7*('HOJA DE CÁLCULO RESPALDO'!I62^2)+'BLAZE SHIELD II'!$H$8*'HOJA DE CÁLCULO RESPALDO'!I62+'BLAZE SHIELD II'!$H$9)),0),0),0))+(IF(L62="Blaze Shield II",IF(M62="Idiem software",IF(C62="C",((('BLAZE SHIELD II'!$L$4*('HOJA DE CÁLCULO RESPALDO'!I62^2)+'BLAZE SHIELD II'!$L$5*'HOJA DE CÁLCULO RESPALDO'!I62+'BLAZE SHIELD II'!$L$6)*LN(J62))+('BLAZE SHIELD II'!$L$7*('HOJA DE CÁLCULO RESPALDO'!I62^2)+'BLAZE SHIELD II'!$L$8*'HOJA DE CÁLCULO RESPALDO'!I62+'BLAZE SHIELD II'!$L$9)),0),0),0))+(IF(L62="Blaze Shield II",IF(M62="Idiem software",IF(AND(C62="IN",G62=3),((('BLAZE SHIELD II'!$H$14*('HOJA DE CÁLCULO RESPALDO'!I62^2)+'BLAZE SHIELD II'!$H$15*'HOJA DE CÁLCULO RESPALDO'!I62+'BLAZE SHIELD II'!$H$16)*LN(J62))+('BLAZE SHIELD II'!$H$17*('HOJA DE CÁLCULO RESPALDO'!I62^2)+'BLAZE SHIELD II'!$H$18*'HOJA DE CÁLCULO RESPALDO'!I62+'BLAZE SHIELD II'!$H$19)),0),0),0)),0)</f>
        <v>0</v>
      </c>
      <c r="O62" s="46">
        <f t="shared" si="4"/>
        <v>0</v>
      </c>
      <c r="P62" s="80">
        <f t="shared" si="1"/>
        <v>0</v>
      </c>
      <c r="Q62" s="85">
        <f>ROUND((IF(L62="Cafco 400",IF(M62="Idiem software",IF(AND(C62="IN",G62=4),((('CAFCO 400 '!$H$7*(J62^4)+'CAFCO 400 '!$H$8*(J62^3)+'CAFCO 400 '!$H$9*(J62^2)+'CAFCO 400 '!$H$10*J62+'CAFCO 400 '!$H$11)*I62^2)+(('CAFCO 400 '!$H$12*(J62^3)+'CAFCO 400 '!$H$13*(J62^2)+'CAFCO 400 '!$H$14*J62+'CAFCO 400 '!$H$15)*I62)+('CAFCO 400 '!$H$16*(J62^2)+'CAFCO 400 '!$H$17*J62+'CAFCO 400 '!$H$18)),0),0),0))+(IF(L62="Cafco 400",IF(M62="Idiem software",IF(C62="Cj",(((('CAFCO 400 '!$D$7*LN(J62)+'CAFCO 400 '!$D$8)*I62^2)+(('CAFCO 400 '!$D$9*LN(J62)+'CAFCO 400 '!$D$10)*I62)+('CAFCO 400 '!$D$11*LN(J62)+'CAFCO 400 '!$D$12))),0),0),0))+(IF(L62="Cafco 400",IF(M62="Idiem software",IF(C62="C",((('CAFCO 400 '!$L$7*(J62^3)+'CAFCO 400 '!$L$8*(J62^2)+'CAFCO 400 '!$L$9*J62+'CAFCO 400 '!$L$10)*I62^2)+(('CAFCO 400 '!$L$11*(J62^3)+'CAFCO 400 '!$L$12*(J62^2)+'CAFCO 400 '!$L$13*J62+'CAFCO 400 '!$L$14)*I62)+('CAFCO 400 '!$L$15*LN(J62)+'CAFCO 400 '!$L$16)),0),0),0))+(IF(L62="Cafco 400",IF(M62="Idiem software",IF(AND(C62="IN",G62=3),((('CAFCO 400 '!$D$23*(J62^2)+'CAFCO 400 '!$D$24*(J62)+'CAFCO 400 '!$D$25)*I62^2)+(('CAFCO 400 '!$D$26*(J62^2)+'CAFCO 400 '!$D$27*J62+'CAFCO 400 '!$D$28)*I62)+('CAFCO 400 '!$D$29*(J62^2)+'CAFCO 400 '!$D$30*J62+'CAFCO 400 '!$D$31)),0),0),0)),0)</f>
        <v>0</v>
      </c>
      <c r="R62" s="47">
        <f t="shared" si="5"/>
        <v>0</v>
      </c>
      <c r="S62" s="82">
        <f t="shared" si="2"/>
        <v>0</v>
      </c>
      <c r="T62" s="81">
        <f>+IF(AND(J62&gt;=95,J62&lt;=240),IF(AND(C62="Cj",I62=90),VLOOKUP(W62,'CAFCO 300 IDIEM TABLAS'!$B$4:$D$23,2,FALSE),0)+IF(AND(J62&gt;=95,J62&lt;=240),IF(AND(C62="Cj",I62=120),VLOOKUP(W62,'CAFCO 300 IDIEM TABLAS'!$B$4:$D$23,3,FALSE),0))+IF(AND(J62&gt;=95,J62&lt;=400,G62=3),IF(AND(C62="IN",I62=90),VLOOKUP(W62,'CAFCO 300 IDIEM TABLAS'!$F$4:$H$35,2,FALSE),0),0)+IF(AND(J62&gt;=95,J62&lt;=400,G62=3),IF(AND(C62="IN",I62=120),VLOOKUP(W62,'CAFCO 300 IDIEM TABLAS'!$F$4:$H$35,3,FALSE),0),0)+IF(AND(J62&gt;=95,J62&lt;=450,G62=4),IF(AND(C62="IN",I62=90),VLOOKUP(W62,'CAFCO 300 IDIEM TABLAS'!$J$4:$L$40,2,FALSE),0),0)+IF(AND(J62&gt;=95,J62&lt;=450,G62=4),IF(AND(C62="IN",I62=120),VLOOKUP(W62,'CAFCO 300 IDIEM TABLAS'!$J$4:$L$40,3,FALSE),0),0))</f>
        <v>17</v>
      </c>
      <c r="U62" s="48">
        <f t="shared" si="6"/>
        <v>1.5207392281771501</v>
      </c>
      <c r="V62" s="82">
        <f t="shared" si="3"/>
        <v>22832.378771851731</v>
      </c>
      <c r="W62" s="64">
        <f>+IF(J62=LOOKUP(J62,'CAFCO 300 IDIEM TABLAS'!$J$4:$J$40),'HOJA DE CÁLCULO RESPALDO'!J62,MROUND('HOJA DE CÁLCULO RESPALDO'!J62,10))</f>
        <v>95</v>
      </c>
      <c r="X62" s="36"/>
      <c r="Y62" s="4"/>
    </row>
    <row r="63" spans="1:25" x14ac:dyDescent="0.25">
      <c r="A63" s="30" t="s">
        <v>12</v>
      </c>
      <c r="B63" s="3" t="s">
        <v>17</v>
      </c>
      <c r="C63" s="3" t="s">
        <v>19</v>
      </c>
      <c r="D63" s="3">
        <v>1</v>
      </c>
      <c r="E63" s="2">
        <v>1</v>
      </c>
      <c r="F63" s="8">
        <v>1500</v>
      </c>
      <c r="G63" s="1">
        <v>4</v>
      </c>
      <c r="H63" s="2">
        <v>776</v>
      </c>
      <c r="I63" s="34">
        <v>90</v>
      </c>
      <c r="J63" s="11">
        <v>95</v>
      </c>
      <c r="K63" s="44">
        <f t="shared" si="0"/>
        <v>1.1639999999999999</v>
      </c>
      <c r="L63" s="3" t="s">
        <v>61</v>
      </c>
      <c r="M63" s="3" t="s">
        <v>70</v>
      </c>
      <c r="N63" s="15">
        <f>ROUND((IF(L63="Blaze Shield II",IF(M63="Idiem software",IF(AND(C63="IN",G63=4),((('BLAZE SHIELD II'!$D$4*('HOJA DE CÁLCULO RESPALDO'!I63^2)+'BLAZE SHIELD II'!$D$5*'HOJA DE CÁLCULO RESPALDO'!I63+'BLAZE SHIELD II'!$D$6)*LN(J63))+('BLAZE SHIELD II'!$D$7*('HOJA DE CÁLCULO RESPALDO'!I63^2)+'BLAZE SHIELD II'!$D$8*'HOJA DE CÁLCULO RESPALDO'!I63+'BLAZE SHIELD II'!$D$9)),0),0),0))+(IF(L63="Blaze Shield II",IF(M63="Idiem software",IF(C63="Cj",((('BLAZE SHIELD II'!$H$4*('HOJA DE CÁLCULO RESPALDO'!I63^2)+'BLAZE SHIELD II'!$H$5*'HOJA DE CÁLCULO RESPALDO'!I63+'BLAZE SHIELD II'!$H$6)*LN(J63))+('BLAZE SHIELD II'!$H$7*('HOJA DE CÁLCULO RESPALDO'!I63^2)+'BLAZE SHIELD II'!$H$8*'HOJA DE CÁLCULO RESPALDO'!I63+'BLAZE SHIELD II'!$H$9)),0),0),0))+(IF(L63="Blaze Shield II",IF(M63="Idiem software",IF(C63="C",((('BLAZE SHIELD II'!$L$4*('HOJA DE CÁLCULO RESPALDO'!I63^2)+'BLAZE SHIELD II'!$L$5*'HOJA DE CÁLCULO RESPALDO'!I63+'BLAZE SHIELD II'!$L$6)*LN(J63))+('BLAZE SHIELD II'!$L$7*('HOJA DE CÁLCULO RESPALDO'!I63^2)+'BLAZE SHIELD II'!$L$8*'HOJA DE CÁLCULO RESPALDO'!I63+'BLAZE SHIELD II'!$L$9)),0),0),0))+(IF(L63="Blaze Shield II",IF(M63="Idiem software",IF(AND(C63="IN",G63=3),((('BLAZE SHIELD II'!$H$14*('HOJA DE CÁLCULO RESPALDO'!I63^2)+'BLAZE SHIELD II'!$H$15*'HOJA DE CÁLCULO RESPALDO'!I63+'BLAZE SHIELD II'!$H$16)*LN(J63))+('BLAZE SHIELD II'!$H$17*('HOJA DE CÁLCULO RESPALDO'!I63^2)+'BLAZE SHIELD II'!$H$18*'HOJA DE CÁLCULO RESPALDO'!I63+'BLAZE SHIELD II'!$H$19)),0),0),0)),0)</f>
        <v>0</v>
      </c>
      <c r="O63" s="46">
        <f t="shared" si="4"/>
        <v>0</v>
      </c>
      <c r="P63" s="80">
        <f t="shared" si="1"/>
        <v>0</v>
      </c>
      <c r="Q63" s="85">
        <f>ROUND((IF(L63="Cafco 400",IF(M63="Idiem software",IF(AND(C63="IN",G63=4),((('CAFCO 400 '!$H$7*(J63^4)+'CAFCO 400 '!$H$8*(J63^3)+'CAFCO 400 '!$H$9*(J63^2)+'CAFCO 400 '!$H$10*J63+'CAFCO 400 '!$H$11)*I63^2)+(('CAFCO 400 '!$H$12*(J63^3)+'CAFCO 400 '!$H$13*(J63^2)+'CAFCO 400 '!$H$14*J63+'CAFCO 400 '!$H$15)*I63)+('CAFCO 400 '!$H$16*(J63^2)+'CAFCO 400 '!$H$17*J63+'CAFCO 400 '!$H$18)),0),0),0))+(IF(L63="Cafco 400",IF(M63="Idiem software",IF(C63="Cj",(((('CAFCO 400 '!$D$7*LN(J63)+'CAFCO 400 '!$D$8)*I63^2)+(('CAFCO 400 '!$D$9*LN(J63)+'CAFCO 400 '!$D$10)*I63)+('CAFCO 400 '!$D$11*LN(J63)+'CAFCO 400 '!$D$12))),0),0),0))+(IF(L63="Cafco 400",IF(M63="Idiem software",IF(C63="C",((('CAFCO 400 '!$L$7*(J63^3)+'CAFCO 400 '!$L$8*(J63^2)+'CAFCO 400 '!$L$9*J63+'CAFCO 400 '!$L$10)*I63^2)+(('CAFCO 400 '!$L$11*(J63^3)+'CAFCO 400 '!$L$12*(J63^2)+'CAFCO 400 '!$L$13*J63+'CAFCO 400 '!$L$14)*I63)+('CAFCO 400 '!$L$15*LN(J63)+'CAFCO 400 '!$L$16)),0),0),0))+(IF(L63="Cafco 400",IF(M63="Idiem software",IF(AND(C63="IN",G63=3),((('CAFCO 400 '!$D$23*(J63^2)+'CAFCO 400 '!$D$24*(J63)+'CAFCO 400 '!$D$25)*I63^2)+(('CAFCO 400 '!$D$26*(J63^2)+'CAFCO 400 '!$D$27*J63+'CAFCO 400 '!$D$28)*I63)+('CAFCO 400 '!$D$29*(J63^2)+'CAFCO 400 '!$D$30*J63+'CAFCO 400 '!$D$31)),0),0),0)),0)</f>
        <v>0</v>
      </c>
      <c r="R63" s="47">
        <f t="shared" si="5"/>
        <v>0</v>
      </c>
      <c r="S63" s="82">
        <f t="shared" si="2"/>
        <v>0</v>
      </c>
      <c r="T63" s="81">
        <f>+IF(AND(J63&gt;=95,J63&lt;=240),IF(AND(C63="Cj",I63=90),VLOOKUP(W63,'CAFCO 300 IDIEM TABLAS'!$B$4:$D$23,2,FALSE),0)+IF(AND(J63&gt;=95,J63&lt;=240),IF(AND(C63="Cj",I63=120),VLOOKUP(W63,'CAFCO 300 IDIEM TABLAS'!$B$4:$D$23,3,FALSE),0))+IF(AND(J63&gt;=95,J63&lt;=400,G63=3),IF(AND(C63="IN",I63=90),VLOOKUP(W63,'CAFCO 300 IDIEM TABLAS'!$F$4:$H$35,2,FALSE),0),0)+IF(AND(J63&gt;=95,J63&lt;=400,G63=3),IF(AND(C63="IN",I63=120),VLOOKUP(W63,'CAFCO 300 IDIEM TABLAS'!$F$4:$H$35,3,FALSE),0),0)+IF(AND(J63&gt;=95,J63&lt;=450,G63=4),IF(AND(C63="IN",I63=90),VLOOKUP(W63,'CAFCO 300 IDIEM TABLAS'!$J$4:$L$40,2,FALSE),0),0)+IF(AND(J63&gt;=95,J63&lt;=450,G63=4),IF(AND(C63="IN",I63=120),VLOOKUP(W63,'CAFCO 300 IDIEM TABLAS'!$J$4:$L$40,3,FALSE),0),0))</f>
        <v>17</v>
      </c>
      <c r="U63" s="48">
        <f t="shared" si="6"/>
        <v>0.2730693196405648</v>
      </c>
      <c r="V63" s="82">
        <f t="shared" si="3"/>
        <v>4099.8627650834396</v>
      </c>
      <c r="W63" s="64">
        <f>+IF(J63=LOOKUP(J63,'CAFCO 300 IDIEM TABLAS'!$J$4:$J$40),'HOJA DE CÁLCULO RESPALDO'!J63,MROUND('HOJA DE CÁLCULO RESPALDO'!J63,10))</f>
        <v>95</v>
      </c>
      <c r="X63" s="36"/>
      <c r="Y63" s="4"/>
    </row>
    <row r="64" spans="1:25" ht="15.6" customHeight="1" x14ac:dyDescent="0.25">
      <c r="A64" s="30" t="s">
        <v>12</v>
      </c>
      <c r="B64" s="3" t="s">
        <v>17</v>
      </c>
      <c r="C64" s="3" t="s">
        <v>19</v>
      </c>
      <c r="D64" s="3">
        <v>1</v>
      </c>
      <c r="E64" s="2">
        <v>1</v>
      </c>
      <c r="F64" s="8">
        <v>1500</v>
      </c>
      <c r="G64" s="1">
        <v>4</v>
      </c>
      <c r="H64" s="2">
        <v>3879</v>
      </c>
      <c r="I64" s="34">
        <v>90</v>
      </c>
      <c r="J64" s="11">
        <v>95</v>
      </c>
      <c r="K64" s="44">
        <f t="shared" si="0"/>
        <v>5.8185000000000002</v>
      </c>
      <c r="L64" s="3" t="s">
        <v>61</v>
      </c>
      <c r="M64" s="3" t="s">
        <v>70</v>
      </c>
      <c r="N64" s="15">
        <f>ROUND((IF(L64="Blaze Shield II",IF(M64="Idiem software",IF(AND(C64="IN",G64=4),((('BLAZE SHIELD II'!$D$4*('HOJA DE CÁLCULO RESPALDO'!I64^2)+'BLAZE SHIELD II'!$D$5*'HOJA DE CÁLCULO RESPALDO'!I64+'BLAZE SHIELD II'!$D$6)*LN(J64))+('BLAZE SHIELD II'!$D$7*('HOJA DE CÁLCULO RESPALDO'!I64^2)+'BLAZE SHIELD II'!$D$8*'HOJA DE CÁLCULO RESPALDO'!I64+'BLAZE SHIELD II'!$D$9)),0),0),0))+(IF(L64="Blaze Shield II",IF(M64="Idiem software",IF(C64="Cj",((('BLAZE SHIELD II'!$H$4*('HOJA DE CÁLCULO RESPALDO'!I64^2)+'BLAZE SHIELD II'!$H$5*'HOJA DE CÁLCULO RESPALDO'!I64+'BLAZE SHIELD II'!$H$6)*LN(J64))+('BLAZE SHIELD II'!$H$7*('HOJA DE CÁLCULO RESPALDO'!I64^2)+'BLAZE SHIELD II'!$H$8*'HOJA DE CÁLCULO RESPALDO'!I64+'BLAZE SHIELD II'!$H$9)),0),0),0))+(IF(L64="Blaze Shield II",IF(M64="Idiem software",IF(C64="C",((('BLAZE SHIELD II'!$L$4*('HOJA DE CÁLCULO RESPALDO'!I64^2)+'BLAZE SHIELD II'!$L$5*'HOJA DE CÁLCULO RESPALDO'!I64+'BLAZE SHIELD II'!$L$6)*LN(J64))+('BLAZE SHIELD II'!$L$7*('HOJA DE CÁLCULO RESPALDO'!I64^2)+'BLAZE SHIELD II'!$L$8*'HOJA DE CÁLCULO RESPALDO'!I64+'BLAZE SHIELD II'!$L$9)),0),0),0))+(IF(L64="Blaze Shield II",IF(M64="Idiem software",IF(AND(C64="IN",G64=3),((('BLAZE SHIELD II'!$H$14*('HOJA DE CÁLCULO RESPALDO'!I64^2)+'BLAZE SHIELD II'!$H$15*'HOJA DE CÁLCULO RESPALDO'!I64+'BLAZE SHIELD II'!$H$16)*LN(J64))+('BLAZE SHIELD II'!$H$17*('HOJA DE CÁLCULO RESPALDO'!I64^2)+'BLAZE SHIELD II'!$H$18*'HOJA DE CÁLCULO RESPALDO'!I64+'BLAZE SHIELD II'!$H$19)),0),0),0)),0)</f>
        <v>0</v>
      </c>
      <c r="O64" s="46">
        <f t="shared" si="4"/>
        <v>0</v>
      </c>
      <c r="P64" s="80">
        <f t="shared" si="1"/>
        <v>0</v>
      </c>
      <c r="Q64" s="85">
        <f>ROUND((IF(L64="Cafco 400",IF(M64="Idiem software",IF(AND(C64="IN",G64=4),((('CAFCO 400 '!$H$7*(J64^4)+'CAFCO 400 '!$H$8*(J64^3)+'CAFCO 400 '!$H$9*(J64^2)+'CAFCO 400 '!$H$10*J64+'CAFCO 400 '!$H$11)*I64^2)+(('CAFCO 400 '!$H$12*(J64^3)+'CAFCO 400 '!$H$13*(J64^2)+'CAFCO 400 '!$H$14*J64+'CAFCO 400 '!$H$15)*I64)+('CAFCO 400 '!$H$16*(J64^2)+'CAFCO 400 '!$H$17*J64+'CAFCO 400 '!$H$18)),0),0),0))+(IF(L64="Cafco 400",IF(M64="Idiem software",IF(C64="Cj",(((('CAFCO 400 '!$D$7*LN(J64)+'CAFCO 400 '!$D$8)*I64^2)+(('CAFCO 400 '!$D$9*LN(J64)+'CAFCO 400 '!$D$10)*I64)+('CAFCO 400 '!$D$11*LN(J64)+'CAFCO 400 '!$D$12))),0),0),0))+(IF(L64="Cafco 400",IF(M64="Idiem software",IF(C64="C",((('CAFCO 400 '!$L$7*(J64^3)+'CAFCO 400 '!$L$8*(J64^2)+'CAFCO 400 '!$L$9*J64+'CAFCO 400 '!$L$10)*I64^2)+(('CAFCO 400 '!$L$11*(J64^3)+'CAFCO 400 '!$L$12*(J64^2)+'CAFCO 400 '!$L$13*J64+'CAFCO 400 '!$L$14)*I64)+('CAFCO 400 '!$L$15*LN(J64)+'CAFCO 400 '!$L$16)),0),0),0))+(IF(L64="Cafco 400",IF(M64="Idiem software",IF(AND(C64="IN",G64=3),((('CAFCO 400 '!$D$23*(J64^2)+'CAFCO 400 '!$D$24*(J64)+'CAFCO 400 '!$D$25)*I64^2)+(('CAFCO 400 '!$D$26*(J64^2)+'CAFCO 400 '!$D$27*J64+'CAFCO 400 '!$D$28)*I64)+('CAFCO 400 '!$D$29*(J64^2)+'CAFCO 400 '!$D$30*J64+'CAFCO 400 '!$D$31)),0),0),0)),0)</f>
        <v>0</v>
      </c>
      <c r="R64" s="47">
        <f t="shared" si="5"/>
        <v>0</v>
      </c>
      <c r="S64" s="82">
        <f t="shared" si="2"/>
        <v>0</v>
      </c>
      <c r="T64" s="81">
        <f>+IF(AND(J64&gt;=95,J64&lt;=240),IF(AND(C64="Cj",I64=90),VLOOKUP(W64,'CAFCO 300 IDIEM TABLAS'!$B$4:$D$23,2,FALSE),0)+IF(AND(J64&gt;=95,J64&lt;=240),IF(AND(C64="Cj",I64=120),VLOOKUP(W64,'CAFCO 300 IDIEM TABLAS'!$B$4:$D$23,3,FALSE),0))+IF(AND(J64&gt;=95,J64&lt;=400,G64=3),IF(AND(C64="IN",I64=90),VLOOKUP(W64,'CAFCO 300 IDIEM TABLAS'!$F$4:$H$35,2,FALSE),0),0)+IF(AND(J64&gt;=95,J64&lt;=400,G64=3),IF(AND(C64="IN",I64=120),VLOOKUP(W64,'CAFCO 300 IDIEM TABLAS'!$F$4:$H$35,3,FALSE),0),0)+IF(AND(J64&gt;=95,J64&lt;=450,G64=4),IF(AND(C64="IN",I64=90),VLOOKUP(W64,'CAFCO 300 IDIEM TABLAS'!$J$4:$L$40,2,FALSE),0),0)+IF(AND(J64&gt;=95,J64&lt;=450,G64=4),IF(AND(C64="IN",I64=120),VLOOKUP(W64,'CAFCO 300 IDIEM TABLAS'!$J$4:$L$40,3,FALSE),0),0))</f>
        <v>17</v>
      </c>
      <c r="U64" s="48">
        <f t="shared" si="6"/>
        <v>1.3649947047496791</v>
      </c>
      <c r="V64" s="82">
        <f t="shared" si="3"/>
        <v>20494.030497111682</v>
      </c>
      <c r="W64" s="64">
        <f>+IF(J64=LOOKUP(J64,'CAFCO 300 IDIEM TABLAS'!$J$4:$J$40),'HOJA DE CÁLCULO RESPALDO'!J64,MROUND('HOJA DE CÁLCULO RESPALDO'!J64,10))</f>
        <v>95</v>
      </c>
      <c r="X64" s="36"/>
      <c r="Y64" s="4"/>
    </row>
    <row r="65" spans="1:25" x14ac:dyDescent="0.25">
      <c r="A65" s="30" t="s">
        <v>12</v>
      </c>
      <c r="B65" s="3" t="s">
        <v>17</v>
      </c>
      <c r="C65" s="3" t="s">
        <v>19</v>
      </c>
      <c r="D65" s="3">
        <v>1</v>
      </c>
      <c r="E65" s="2">
        <v>1</v>
      </c>
      <c r="F65" s="8">
        <v>12634</v>
      </c>
      <c r="G65" s="1">
        <v>4</v>
      </c>
      <c r="H65" s="2">
        <v>585</v>
      </c>
      <c r="I65" s="34">
        <v>90</v>
      </c>
      <c r="J65" s="11">
        <v>95</v>
      </c>
      <c r="K65" s="44">
        <f t="shared" si="0"/>
        <v>7.3908899999999997</v>
      </c>
      <c r="L65" s="3" t="s">
        <v>61</v>
      </c>
      <c r="M65" s="3" t="s">
        <v>70</v>
      </c>
      <c r="N65" s="15">
        <f>ROUND((IF(L65="Blaze Shield II",IF(M65="Idiem software",IF(AND(C65="IN",G65=4),((('BLAZE SHIELD II'!$D$4*('HOJA DE CÁLCULO RESPALDO'!I65^2)+'BLAZE SHIELD II'!$D$5*'HOJA DE CÁLCULO RESPALDO'!I65+'BLAZE SHIELD II'!$D$6)*LN(J65))+('BLAZE SHIELD II'!$D$7*('HOJA DE CÁLCULO RESPALDO'!I65^2)+'BLAZE SHIELD II'!$D$8*'HOJA DE CÁLCULO RESPALDO'!I65+'BLAZE SHIELD II'!$D$9)),0),0),0))+(IF(L65="Blaze Shield II",IF(M65="Idiem software",IF(C65="Cj",((('BLAZE SHIELD II'!$H$4*('HOJA DE CÁLCULO RESPALDO'!I65^2)+'BLAZE SHIELD II'!$H$5*'HOJA DE CÁLCULO RESPALDO'!I65+'BLAZE SHIELD II'!$H$6)*LN(J65))+('BLAZE SHIELD II'!$H$7*('HOJA DE CÁLCULO RESPALDO'!I65^2)+'BLAZE SHIELD II'!$H$8*'HOJA DE CÁLCULO RESPALDO'!I65+'BLAZE SHIELD II'!$H$9)),0),0),0))+(IF(L65="Blaze Shield II",IF(M65="Idiem software",IF(C65="C",((('BLAZE SHIELD II'!$L$4*('HOJA DE CÁLCULO RESPALDO'!I65^2)+'BLAZE SHIELD II'!$L$5*'HOJA DE CÁLCULO RESPALDO'!I65+'BLAZE SHIELD II'!$L$6)*LN(J65))+('BLAZE SHIELD II'!$L$7*('HOJA DE CÁLCULO RESPALDO'!I65^2)+'BLAZE SHIELD II'!$L$8*'HOJA DE CÁLCULO RESPALDO'!I65+'BLAZE SHIELD II'!$L$9)),0),0),0))+(IF(L65="Blaze Shield II",IF(M65="Idiem software",IF(AND(C65="IN",G65=3),((('BLAZE SHIELD II'!$H$14*('HOJA DE CÁLCULO RESPALDO'!I65^2)+'BLAZE SHIELD II'!$H$15*'HOJA DE CÁLCULO RESPALDO'!I65+'BLAZE SHIELD II'!$H$16)*LN(J65))+('BLAZE SHIELD II'!$H$17*('HOJA DE CÁLCULO RESPALDO'!I65^2)+'BLAZE SHIELD II'!$H$18*'HOJA DE CÁLCULO RESPALDO'!I65+'BLAZE SHIELD II'!$H$19)),0),0),0)),0)</f>
        <v>0</v>
      </c>
      <c r="O65" s="46">
        <f t="shared" si="4"/>
        <v>0</v>
      </c>
      <c r="P65" s="80">
        <f t="shared" si="1"/>
        <v>0</v>
      </c>
      <c r="Q65" s="85">
        <f>ROUND((IF(L65="Cafco 400",IF(M65="Idiem software",IF(AND(C65="IN",G65=4),((('CAFCO 400 '!$H$7*(J65^4)+'CAFCO 400 '!$H$8*(J65^3)+'CAFCO 400 '!$H$9*(J65^2)+'CAFCO 400 '!$H$10*J65+'CAFCO 400 '!$H$11)*I65^2)+(('CAFCO 400 '!$H$12*(J65^3)+'CAFCO 400 '!$H$13*(J65^2)+'CAFCO 400 '!$H$14*J65+'CAFCO 400 '!$H$15)*I65)+('CAFCO 400 '!$H$16*(J65^2)+'CAFCO 400 '!$H$17*J65+'CAFCO 400 '!$H$18)),0),0),0))+(IF(L65="Cafco 400",IF(M65="Idiem software",IF(C65="Cj",(((('CAFCO 400 '!$D$7*LN(J65)+'CAFCO 400 '!$D$8)*I65^2)+(('CAFCO 400 '!$D$9*LN(J65)+'CAFCO 400 '!$D$10)*I65)+('CAFCO 400 '!$D$11*LN(J65)+'CAFCO 400 '!$D$12))),0),0),0))+(IF(L65="Cafco 400",IF(M65="Idiem software",IF(C65="C",((('CAFCO 400 '!$L$7*(J65^3)+'CAFCO 400 '!$L$8*(J65^2)+'CAFCO 400 '!$L$9*J65+'CAFCO 400 '!$L$10)*I65^2)+(('CAFCO 400 '!$L$11*(J65^3)+'CAFCO 400 '!$L$12*(J65^2)+'CAFCO 400 '!$L$13*J65+'CAFCO 400 '!$L$14)*I65)+('CAFCO 400 '!$L$15*LN(J65)+'CAFCO 400 '!$L$16)),0),0),0))+(IF(L65="Cafco 400",IF(M65="Idiem software",IF(AND(C65="IN",G65=3),((('CAFCO 400 '!$D$23*(J65^2)+'CAFCO 400 '!$D$24*(J65)+'CAFCO 400 '!$D$25)*I65^2)+(('CAFCO 400 '!$D$26*(J65^2)+'CAFCO 400 '!$D$27*J65+'CAFCO 400 '!$D$28)*I65)+('CAFCO 400 '!$D$29*(J65^2)+'CAFCO 400 '!$D$30*J65+'CAFCO 400 '!$D$31)),0),0),0)),0)</f>
        <v>0</v>
      </c>
      <c r="R65" s="47">
        <f t="shared" si="5"/>
        <v>0</v>
      </c>
      <c r="S65" s="82">
        <f t="shared" si="2"/>
        <v>0</v>
      </c>
      <c r="T65" s="81">
        <f>+IF(AND(J65&gt;=95,J65&lt;=240),IF(AND(C65="Cj",I65=90),VLOOKUP(W65,'CAFCO 300 IDIEM TABLAS'!$B$4:$D$23,2,FALSE),0)+IF(AND(J65&gt;=95,J65&lt;=240),IF(AND(C65="Cj",I65=120),VLOOKUP(W65,'CAFCO 300 IDIEM TABLAS'!$B$4:$D$23,3,FALSE),0))+IF(AND(J65&gt;=95,J65&lt;=400,G65=3),IF(AND(C65="IN",I65=90),VLOOKUP(W65,'CAFCO 300 IDIEM TABLAS'!$F$4:$H$35,2,FALSE),0),0)+IF(AND(J65&gt;=95,J65&lt;=400,G65=3),IF(AND(C65="IN",I65=120),VLOOKUP(W65,'CAFCO 300 IDIEM TABLAS'!$F$4:$H$35,3,FALSE),0),0)+IF(AND(J65&gt;=95,J65&lt;=450,G65=4),IF(AND(C65="IN",I65=90),VLOOKUP(W65,'CAFCO 300 IDIEM TABLAS'!$J$4:$L$40,2,FALSE),0),0)+IF(AND(J65&gt;=95,J65&lt;=450,G65=4),IF(AND(C65="IN",I65=120),VLOOKUP(W65,'CAFCO 300 IDIEM TABLAS'!$J$4:$L$40,3,FALSE),0),0))</f>
        <v>17</v>
      </c>
      <c r="U65" s="48">
        <f t="shared" si="6"/>
        <v>1.7338705359435174</v>
      </c>
      <c r="V65" s="82">
        <f t="shared" si="3"/>
        <v>26032.33222665597</v>
      </c>
      <c r="W65" s="64">
        <f>+IF(J65=LOOKUP(J65,'CAFCO 300 IDIEM TABLAS'!$J$4:$J$40),'HOJA DE CÁLCULO RESPALDO'!J65,MROUND('HOJA DE CÁLCULO RESPALDO'!J65,10))</f>
        <v>95</v>
      </c>
      <c r="X65" s="36"/>
      <c r="Y65" s="4"/>
    </row>
    <row r="66" spans="1:25" ht="15.6" customHeight="1" x14ac:dyDescent="0.25">
      <c r="A66" s="30" t="s">
        <v>12</v>
      </c>
      <c r="B66" s="3" t="s">
        <v>17</v>
      </c>
      <c r="C66" s="3" t="s">
        <v>19</v>
      </c>
      <c r="D66" s="3">
        <v>1</v>
      </c>
      <c r="E66" s="2">
        <v>1</v>
      </c>
      <c r="F66" s="8">
        <v>1500</v>
      </c>
      <c r="G66" s="1">
        <v>4</v>
      </c>
      <c r="H66" s="2">
        <v>776</v>
      </c>
      <c r="I66" s="34">
        <v>90</v>
      </c>
      <c r="J66" s="11">
        <v>95</v>
      </c>
      <c r="K66" s="44">
        <f t="shared" si="0"/>
        <v>1.1639999999999999</v>
      </c>
      <c r="L66" s="3" t="s">
        <v>61</v>
      </c>
      <c r="M66" s="3" t="s">
        <v>70</v>
      </c>
      <c r="N66" s="15">
        <f>ROUND((IF(L66="Blaze Shield II",IF(M66="Idiem software",IF(AND(C66="IN",G66=4),((('BLAZE SHIELD II'!$D$4*('HOJA DE CÁLCULO RESPALDO'!I66^2)+'BLAZE SHIELD II'!$D$5*'HOJA DE CÁLCULO RESPALDO'!I66+'BLAZE SHIELD II'!$D$6)*LN(J66))+('BLAZE SHIELD II'!$D$7*('HOJA DE CÁLCULO RESPALDO'!I66^2)+'BLAZE SHIELD II'!$D$8*'HOJA DE CÁLCULO RESPALDO'!I66+'BLAZE SHIELD II'!$D$9)),0),0),0))+(IF(L66="Blaze Shield II",IF(M66="Idiem software",IF(C66="Cj",((('BLAZE SHIELD II'!$H$4*('HOJA DE CÁLCULO RESPALDO'!I66^2)+'BLAZE SHIELD II'!$H$5*'HOJA DE CÁLCULO RESPALDO'!I66+'BLAZE SHIELD II'!$H$6)*LN(J66))+('BLAZE SHIELD II'!$H$7*('HOJA DE CÁLCULO RESPALDO'!I66^2)+'BLAZE SHIELD II'!$H$8*'HOJA DE CÁLCULO RESPALDO'!I66+'BLAZE SHIELD II'!$H$9)),0),0),0))+(IF(L66="Blaze Shield II",IF(M66="Idiem software",IF(C66="C",((('BLAZE SHIELD II'!$L$4*('HOJA DE CÁLCULO RESPALDO'!I66^2)+'BLAZE SHIELD II'!$L$5*'HOJA DE CÁLCULO RESPALDO'!I66+'BLAZE SHIELD II'!$L$6)*LN(J66))+('BLAZE SHIELD II'!$L$7*('HOJA DE CÁLCULO RESPALDO'!I66^2)+'BLAZE SHIELD II'!$L$8*'HOJA DE CÁLCULO RESPALDO'!I66+'BLAZE SHIELD II'!$L$9)),0),0),0))+(IF(L66="Blaze Shield II",IF(M66="Idiem software",IF(AND(C66="IN",G66=3),((('BLAZE SHIELD II'!$H$14*('HOJA DE CÁLCULO RESPALDO'!I66^2)+'BLAZE SHIELD II'!$H$15*'HOJA DE CÁLCULO RESPALDO'!I66+'BLAZE SHIELD II'!$H$16)*LN(J66))+('BLAZE SHIELD II'!$H$17*('HOJA DE CÁLCULO RESPALDO'!I66^2)+'BLAZE SHIELD II'!$H$18*'HOJA DE CÁLCULO RESPALDO'!I66+'BLAZE SHIELD II'!$H$19)),0),0),0)),0)</f>
        <v>0</v>
      </c>
      <c r="O66" s="46">
        <f t="shared" si="4"/>
        <v>0</v>
      </c>
      <c r="P66" s="80">
        <f t="shared" si="1"/>
        <v>0</v>
      </c>
      <c r="Q66" s="85">
        <f>ROUND((IF(L66="Cafco 400",IF(M66="Idiem software",IF(AND(C66="IN",G66=4),((('CAFCO 400 '!$H$7*(J66^4)+'CAFCO 400 '!$H$8*(J66^3)+'CAFCO 400 '!$H$9*(J66^2)+'CAFCO 400 '!$H$10*J66+'CAFCO 400 '!$H$11)*I66^2)+(('CAFCO 400 '!$H$12*(J66^3)+'CAFCO 400 '!$H$13*(J66^2)+'CAFCO 400 '!$H$14*J66+'CAFCO 400 '!$H$15)*I66)+('CAFCO 400 '!$H$16*(J66^2)+'CAFCO 400 '!$H$17*J66+'CAFCO 400 '!$H$18)),0),0),0))+(IF(L66="Cafco 400",IF(M66="Idiem software",IF(C66="Cj",(((('CAFCO 400 '!$D$7*LN(J66)+'CAFCO 400 '!$D$8)*I66^2)+(('CAFCO 400 '!$D$9*LN(J66)+'CAFCO 400 '!$D$10)*I66)+('CAFCO 400 '!$D$11*LN(J66)+'CAFCO 400 '!$D$12))),0),0),0))+(IF(L66="Cafco 400",IF(M66="Idiem software",IF(C66="C",((('CAFCO 400 '!$L$7*(J66^3)+'CAFCO 400 '!$L$8*(J66^2)+'CAFCO 400 '!$L$9*J66+'CAFCO 400 '!$L$10)*I66^2)+(('CAFCO 400 '!$L$11*(J66^3)+'CAFCO 400 '!$L$12*(J66^2)+'CAFCO 400 '!$L$13*J66+'CAFCO 400 '!$L$14)*I66)+('CAFCO 400 '!$L$15*LN(J66)+'CAFCO 400 '!$L$16)),0),0),0))+(IF(L66="Cafco 400",IF(M66="Idiem software",IF(AND(C66="IN",G66=3),((('CAFCO 400 '!$D$23*(J66^2)+'CAFCO 400 '!$D$24*(J66)+'CAFCO 400 '!$D$25)*I66^2)+(('CAFCO 400 '!$D$26*(J66^2)+'CAFCO 400 '!$D$27*J66+'CAFCO 400 '!$D$28)*I66)+('CAFCO 400 '!$D$29*(J66^2)+'CAFCO 400 '!$D$30*J66+'CAFCO 400 '!$D$31)),0),0),0)),0)</f>
        <v>0</v>
      </c>
      <c r="R66" s="47">
        <f t="shared" si="5"/>
        <v>0</v>
      </c>
      <c r="S66" s="82">
        <f t="shared" si="2"/>
        <v>0</v>
      </c>
      <c r="T66" s="81">
        <f>+IF(AND(J66&gt;=95,J66&lt;=240),IF(AND(C66="Cj",I66=90),VLOOKUP(W66,'CAFCO 300 IDIEM TABLAS'!$B$4:$D$23,2,FALSE),0)+IF(AND(J66&gt;=95,J66&lt;=240),IF(AND(C66="Cj",I66=120),VLOOKUP(W66,'CAFCO 300 IDIEM TABLAS'!$B$4:$D$23,3,FALSE),0))+IF(AND(J66&gt;=95,J66&lt;=400,G66=3),IF(AND(C66="IN",I66=90),VLOOKUP(W66,'CAFCO 300 IDIEM TABLAS'!$F$4:$H$35,2,FALSE),0),0)+IF(AND(J66&gt;=95,J66&lt;=400,G66=3),IF(AND(C66="IN",I66=120),VLOOKUP(W66,'CAFCO 300 IDIEM TABLAS'!$F$4:$H$35,3,FALSE),0),0)+IF(AND(J66&gt;=95,J66&lt;=450,G66=4),IF(AND(C66="IN",I66=90),VLOOKUP(W66,'CAFCO 300 IDIEM TABLAS'!$J$4:$L$40,2,FALSE),0),0)+IF(AND(J66&gt;=95,J66&lt;=450,G66=4),IF(AND(C66="IN",I66=120),VLOOKUP(W66,'CAFCO 300 IDIEM TABLAS'!$J$4:$L$40,3,FALSE),0),0))</f>
        <v>17</v>
      </c>
      <c r="U66" s="48">
        <f t="shared" si="6"/>
        <v>0.2730693196405648</v>
      </c>
      <c r="V66" s="82">
        <f t="shared" si="3"/>
        <v>4099.8627650834396</v>
      </c>
      <c r="W66" s="64">
        <f>+IF(J66=LOOKUP(J66,'CAFCO 300 IDIEM TABLAS'!$J$4:$J$40),'HOJA DE CÁLCULO RESPALDO'!J66,MROUND('HOJA DE CÁLCULO RESPALDO'!J66,10))</f>
        <v>95</v>
      </c>
      <c r="X66" s="36"/>
      <c r="Y66" s="4"/>
    </row>
    <row r="67" spans="1:25" x14ac:dyDescent="0.25">
      <c r="A67" s="30" t="s">
        <v>12</v>
      </c>
      <c r="B67" s="3" t="s">
        <v>17</v>
      </c>
      <c r="C67" s="3" t="s">
        <v>19</v>
      </c>
      <c r="D67" s="3">
        <v>1</v>
      </c>
      <c r="E67" s="2">
        <v>1</v>
      </c>
      <c r="F67" s="8">
        <v>11097</v>
      </c>
      <c r="G67" s="1">
        <v>4</v>
      </c>
      <c r="H67" s="2">
        <v>585</v>
      </c>
      <c r="I67" s="34">
        <v>90</v>
      </c>
      <c r="J67" s="11">
        <v>95</v>
      </c>
      <c r="K67" s="44">
        <f t="shared" si="0"/>
        <v>6.4917449999999999</v>
      </c>
      <c r="L67" s="3" t="s">
        <v>61</v>
      </c>
      <c r="M67" s="3" t="s">
        <v>70</v>
      </c>
      <c r="N67" s="15">
        <f>ROUND((IF(L67="Blaze Shield II",IF(M67="Idiem software",IF(AND(C67="IN",G67=4),((('BLAZE SHIELD II'!$D$4*('HOJA DE CÁLCULO RESPALDO'!I67^2)+'BLAZE SHIELD II'!$D$5*'HOJA DE CÁLCULO RESPALDO'!I67+'BLAZE SHIELD II'!$D$6)*LN(J67))+('BLAZE SHIELD II'!$D$7*('HOJA DE CÁLCULO RESPALDO'!I67^2)+'BLAZE SHIELD II'!$D$8*'HOJA DE CÁLCULO RESPALDO'!I67+'BLAZE SHIELD II'!$D$9)),0),0),0))+(IF(L67="Blaze Shield II",IF(M67="Idiem software",IF(C67="Cj",((('BLAZE SHIELD II'!$H$4*('HOJA DE CÁLCULO RESPALDO'!I67^2)+'BLAZE SHIELD II'!$H$5*'HOJA DE CÁLCULO RESPALDO'!I67+'BLAZE SHIELD II'!$H$6)*LN(J67))+('BLAZE SHIELD II'!$H$7*('HOJA DE CÁLCULO RESPALDO'!I67^2)+'BLAZE SHIELD II'!$H$8*'HOJA DE CÁLCULO RESPALDO'!I67+'BLAZE SHIELD II'!$H$9)),0),0),0))+(IF(L67="Blaze Shield II",IF(M67="Idiem software",IF(C67="C",((('BLAZE SHIELD II'!$L$4*('HOJA DE CÁLCULO RESPALDO'!I67^2)+'BLAZE SHIELD II'!$L$5*'HOJA DE CÁLCULO RESPALDO'!I67+'BLAZE SHIELD II'!$L$6)*LN(J67))+('BLAZE SHIELD II'!$L$7*('HOJA DE CÁLCULO RESPALDO'!I67^2)+'BLAZE SHIELD II'!$L$8*'HOJA DE CÁLCULO RESPALDO'!I67+'BLAZE SHIELD II'!$L$9)),0),0),0))+(IF(L67="Blaze Shield II",IF(M67="Idiem software",IF(AND(C67="IN",G67=3),((('BLAZE SHIELD II'!$H$14*('HOJA DE CÁLCULO RESPALDO'!I67^2)+'BLAZE SHIELD II'!$H$15*'HOJA DE CÁLCULO RESPALDO'!I67+'BLAZE SHIELD II'!$H$16)*LN(J67))+('BLAZE SHIELD II'!$H$17*('HOJA DE CÁLCULO RESPALDO'!I67^2)+'BLAZE SHIELD II'!$H$18*'HOJA DE CÁLCULO RESPALDO'!I67+'BLAZE SHIELD II'!$H$19)),0),0),0)),0)</f>
        <v>0</v>
      </c>
      <c r="O67" s="46">
        <f t="shared" si="4"/>
        <v>0</v>
      </c>
      <c r="P67" s="80">
        <f t="shared" si="1"/>
        <v>0</v>
      </c>
      <c r="Q67" s="85">
        <f>ROUND((IF(L67="Cafco 400",IF(M67="Idiem software",IF(AND(C67="IN",G67=4),((('CAFCO 400 '!$H$7*(J67^4)+'CAFCO 400 '!$H$8*(J67^3)+'CAFCO 400 '!$H$9*(J67^2)+'CAFCO 400 '!$H$10*J67+'CAFCO 400 '!$H$11)*I67^2)+(('CAFCO 400 '!$H$12*(J67^3)+'CAFCO 400 '!$H$13*(J67^2)+'CAFCO 400 '!$H$14*J67+'CAFCO 400 '!$H$15)*I67)+('CAFCO 400 '!$H$16*(J67^2)+'CAFCO 400 '!$H$17*J67+'CAFCO 400 '!$H$18)),0),0),0))+(IF(L67="Cafco 400",IF(M67="Idiem software",IF(C67="Cj",(((('CAFCO 400 '!$D$7*LN(J67)+'CAFCO 400 '!$D$8)*I67^2)+(('CAFCO 400 '!$D$9*LN(J67)+'CAFCO 400 '!$D$10)*I67)+('CAFCO 400 '!$D$11*LN(J67)+'CAFCO 400 '!$D$12))),0),0),0))+(IF(L67="Cafco 400",IF(M67="Idiem software",IF(C67="C",((('CAFCO 400 '!$L$7*(J67^3)+'CAFCO 400 '!$L$8*(J67^2)+'CAFCO 400 '!$L$9*J67+'CAFCO 400 '!$L$10)*I67^2)+(('CAFCO 400 '!$L$11*(J67^3)+'CAFCO 400 '!$L$12*(J67^2)+'CAFCO 400 '!$L$13*J67+'CAFCO 400 '!$L$14)*I67)+('CAFCO 400 '!$L$15*LN(J67)+'CAFCO 400 '!$L$16)),0),0),0))+(IF(L67="Cafco 400",IF(M67="Idiem software",IF(AND(C67="IN",G67=3),((('CAFCO 400 '!$D$23*(J67^2)+'CAFCO 400 '!$D$24*(J67)+'CAFCO 400 '!$D$25)*I67^2)+(('CAFCO 400 '!$D$26*(J67^2)+'CAFCO 400 '!$D$27*J67+'CAFCO 400 '!$D$28)*I67)+('CAFCO 400 '!$D$29*(J67^2)+'CAFCO 400 '!$D$30*J67+'CAFCO 400 '!$D$31)),0),0),0)),0)</f>
        <v>0</v>
      </c>
      <c r="R67" s="47">
        <f t="shared" si="5"/>
        <v>0</v>
      </c>
      <c r="S67" s="82">
        <f t="shared" si="2"/>
        <v>0</v>
      </c>
      <c r="T67" s="81">
        <f>+IF(AND(J67&gt;=95,J67&lt;=240),IF(AND(C67="Cj",I67=90),VLOOKUP(W67,'CAFCO 300 IDIEM TABLAS'!$B$4:$D$23,2,FALSE),0)+IF(AND(J67&gt;=95,J67&lt;=240),IF(AND(C67="Cj",I67=120),VLOOKUP(W67,'CAFCO 300 IDIEM TABLAS'!$B$4:$D$23,3,FALSE),0))+IF(AND(J67&gt;=95,J67&lt;=400,G67=3),IF(AND(C67="IN",I67=90),VLOOKUP(W67,'CAFCO 300 IDIEM TABLAS'!$F$4:$H$35,2,FALSE),0),0)+IF(AND(J67&gt;=95,J67&lt;=400,G67=3),IF(AND(C67="IN",I67=120),VLOOKUP(W67,'CAFCO 300 IDIEM TABLAS'!$F$4:$H$35,3,FALSE),0),0)+IF(AND(J67&gt;=95,J67&lt;=450,G67=4),IF(AND(C67="IN",I67=90),VLOOKUP(W67,'CAFCO 300 IDIEM TABLAS'!$J$4:$L$40,2,FALSE),0),0)+IF(AND(J67&gt;=95,J67&lt;=450,G67=4),IF(AND(C67="IN",I67=120),VLOOKUP(W67,'CAFCO 300 IDIEM TABLAS'!$J$4:$L$40,3,FALSE),0),0))</f>
        <v>17</v>
      </c>
      <c r="U67" s="48">
        <f t="shared" si="6"/>
        <v>1.5229350433247753</v>
      </c>
      <c r="V67" s="82">
        <f t="shared" si="3"/>
        <v>22865.346740478177</v>
      </c>
      <c r="W67" s="64">
        <f>+IF(J67=LOOKUP(J67,'CAFCO 300 IDIEM TABLAS'!$J$4:$J$40),'HOJA DE CÁLCULO RESPALDO'!J67,MROUND('HOJA DE CÁLCULO RESPALDO'!J67,10))</f>
        <v>95</v>
      </c>
      <c r="X67" s="36"/>
      <c r="Y67" s="4"/>
    </row>
    <row r="68" spans="1:25" ht="15.6" customHeight="1" x14ac:dyDescent="0.25">
      <c r="A68" s="30" t="s">
        <v>12</v>
      </c>
      <c r="B68" s="3" t="s">
        <v>17</v>
      </c>
      <c r="C68" s="3" t="s">
        <v>19</v>
      </c>
      <c r="D68" s="3">
        <v>1</v>
      </c>
      <c r="E68" s="2">
        <v>1</v>
      </c>
      <c r="F68" s="8">
        <v>1500</v>
      </c>
      <c r="G68" s="1">
        <v>4</v>
      </c>
      <c r="H68" s="2">
        <v>776</v>
      </c>
      <c r="I68" s="34">
        <v>90</v>
      </c>
      <c r="J68" s="11">
        <v>95</v>
      </c>
      <c r="K68" s="44">
        <f t="shared" si="0"/>
        <v>1.1639999999999999</v>
      </c>
      <c r="L68" s="3" t="s">
        <v>61</v>
      </c>
      <c r="M68" s="3" t="s">
        <v>70</v>
      </c>
      <c r="N68" s="15">
        <f>ROUND((IF(L68="Blaze Shield II",IF(M68="Idiem software",IF(AND(C68="IN",G68=4),((('BLAZE SHIELD II'!$D$4*('HOJA DE CÁLCULO RESPALDO'!I68^2)+'BLAZE SHIELD II'!$D$5*'HOJA DE CÁLCULO RESPALDO'!I68+'BLAZE SHIELD II'!$D$6)*LN(J68))+('BLAZE SHIELD II'!$D$7*('HOJA DE CÁLCULO RESPALDO'!I68^2)+'BLAZE SHIELD II'!$D$8*'HOJA DE CÁLCULO RESPALDO'!I68+'BLAZE SHIELD II'!$D$9)),0),0),0))+(IF(L68="Blaze Shield II",IF(M68="Idiem software",IF(C68="Cj",((('BLAZE SHIELD II'!$H$4*('HOJA DE CÁLCULO RESPALDO'!I68^2)+'BLAZE SHIELD II'!$H$5*'HOJA DE CÁLCULO RESPALDO'!I68+'BLAZE SHIELD II'!$H$6)*LN(J68))+('BLAZE SHIELD II'!$H$7*('HOJA DE CÁLCULO RESPALDO'!I68^2)+'BLAZE SHIELD II'!$H$8*'HOJA DE CÁLCULO RESPALDO'!I68+'BLAZE SHIELD II'!$H$9)),0),0),0))+(IF(L68="Blaze Shield II",IF(M68="Idiem software",IF(C68="C",((('BLAZE SHIELD II'!$L$4*('HOJA DE CÁLCULO RESPALDO'!I68^2)+'BLAZE SHIELD II'!$L$5*'HOJA DE CÁLCULO RESPALDO'!I68+'BLAZE SHIELD II'!$L$6)*LN(J68))+('BLAZE SHIELD II'!$L$7*('HOJA DE CÁLCULO RESPALDO'!I68^2)+'BLAZE SHIELD II'!$L$8*'HOJA DE CÁLCULO RESPALDO'!I68+'BLAZE SHIELD II'!$L$9)),0),0),0))+(IF(L68="Blaze Shield II",IF(M68="Idiem software",IF(AND(C68="IN",G68=3),((('BLAZE SHIELD II'!$H$14*('HOJA DE CÁLCULO RESPALDO'!I68^2)+'BLAZE SHIELD II'!$H$15*'HOJA DE CÁLCULO RESPALDO'!I68+'BLAZE SHIELD II'!$H$16)*LN(J68))+('BLAZE SHIELD II'!$H$17*('HOJA DE CÁLCULO RESPALDO'!I68^2)+'BLAZE SHIELD II'!$H$18*'HOJA DE CÁLCULO RESPALDO'!I68+'BLAZE SHIELD II'!$H$19)),0),0),0)),0)</f>
        <v>0</v>
      </c>
      <c r="O68" s="46">
        <f t="shared" si="4"/>
        <v>0</v>
      </c>
      <c r="P68" s="80">
        <f t="shared" si="1"/>
        <v>0</v>
      </c>
      <c r="Q68" s="85">
        <f>ROUND((IF(L68="Cafco 400",IF(M68="Idiem software",IF(AND(C68="IN",G68=4),((('CAFCO 400 '!$H$7*(J68^4)+'CAFCO 400 '!$H$8*(J68^3)+'CAFCO 400 '!$H$9*(J68^2)+'CAFCO 400 '!$H$10*J68+'CAFCO 400 '!$H$11)*I68^2)+(('CAFCO 400 '!$H$12*(J68^3)+'CAFCO 400 '!$H$13*(J68^2)+'CAFCO 400 '!$H$14*J68+'CAFCO 400 '!$H$15)*I68)+('CAFCO 400 '!$H$16*(J68^2)+'CAFCO 400 '!$H$17*J68+'CAFCO 400 '!$H$18)),0),0),0))+(IF(L68="Cafco 400",IF(M68="Idiem software",IF(C68="Cj",(((('CAFCO 400 '!$D$7*LN(J68)+'CAFCO 400 '!$D$8)*I68^2)+(('CAFCO 400 '!$D$9*LN(J68)+'CAFCO 400 '!$D$10)*I68)+('CAFCO 400 '!$D$11*LN(J68)+'CAFCO 400 '!$D$12))),0),0),0))+(IF(L68="Cafco 400",IF(M68="Idiem software",IF(C68="C",((('CAFCO 400 '!$L$7*(J68^3)+'CAFCO 400 '!$L$8*(J68^2)+'CAFCO 400 '!$L$9*J68+'CAFCO 400 '!$L$10)*I68^2)+(('CAFCO 400 '!$L$11*(J68^3)+'CAFCO 400 '!$L$12*(J68^2)+'CAFCO 400 '!$L$13*J68+'CAFCO 400 '!$L$14)*I68)+('CAFCO 400 '!$L$15*LN(J68)+'CAFCO 400 '!$L$16)),0),0),0))+(IF(L68="Cafco 400",IF(M68="Idiem software",IF(AND(C68="IN",G68=3),((('CAFCO 400 '!$D$23*(J68^2)+'CAFCO 400 '!$D$24*(J68)+'CAFCO 400 '!$D$25)*I68^2)+(('CAFCO 400 '!$D$26*(J68^2)+'CAFCO 400 '!$D$27*J68+'CAFCO 400 '!$D$28)*I68)+('CAFCO 400 '!$D$29*(J68^2)+'CAFCO 400 '!$D$30*J68+'CAFCO 400 '!$D$31)),0),0),0)),0)</f>
        <v>0</v>
      </c>
      <c r="R68" s="47">
        <f t="shared" si="5"/>
        <v>0</v>
      </c>
      <c r="S68" s="82">
        <f t="shared" si="2"/>
        <v>0</v>
      </c>
      <c r="T68" s="81">
        <f>+IF(AND(J68&gt;=95,J68&lt;=240),IF(AND(C68="Cj",I68=90),VLOOKUP(W68,'CAFCO 300 IDIEM TABLAS'!$B$4:$D$23,2,FALSE),0)+IF(AND(J68&gt;=95,J68&lt;=240),IF(AND(C68="Cj",I68=120),VLOOKUP(W68,'CAFCO 300 IDIEM TABLAS'!$B$4:$D$23,3,FALSE),0))+IF(AND(J68&gt;=95,J68&lt;=400,G68=3),IF(AND(C68="IN",I68=90),VLOOKUP(W68,'CAFCO 300 IDIEM TABLAS'!$F$4:$H$35,2,FALSE),0),0)+IF(AND(J68&gt;=95,J68&lt;=400,G68=3),IF(AND(C68="IN",I68=120),VLOOKUP(W68,'CAFCO 300 IDIEM TABLAS'!$F$4:$H$35,3,FALSE),0),0)+IF(AND(J68&gt;=95,J68&lt;=450,G68=4),IF(AND(C68="IN",I68=90),VLOOKUP(W68,'CAFCO 300 IDIEM TABLAS'!$J$4:$L$40,2,FALSE),0),0)+IF(AND(J68&gt;=95,J68&lt;=450,G68=4),IF(AND(C68="IN",I68=120),VLOOKUP(W68,'CAFCO 300 IDIEM TABLAS'!$J$4:$L$40,3,FALSE),0),0))</f>
        <v>17</v>
      </c>
      <c r="U68" s="48">
        <f t="shared" si="6"/>
        <v>0.2730693196405648</v>
      </c>
      <c r="V68" s="82">
        <f t="shared" si="3"/>
        <v>4099.8627650834396</v>
      </c>
      <c r="W68" s="64">
        <f>+IF(J68=LOOKUP(J68,'CAFCO 300 IDIEM TABLAS'!$J$4:$J$40),'HOJA DE CÁLCULO RESPALDO'!J68,MROUND('HOJA DE CÁLCULO RESPALDO'!J68,10))</f>
        <v>95</v>
      </c>
      <c r="X68" s="36"/>
      <c r="Y68" s="4"/>
    </row>
    <row r="69" spans="1:25" x14ac:dyDescent="0.25">
      <c r="A69" s="30" t="s">
        <v>12</v>
      </c>
      <c r="B69" s="3" t="s">
        <v>17</v>
      </c>
      <c r="C69" s="3" t="s">
        <v>19</v>
      </c>
      <c r="D69" s="3">
        <v>1</v>
      </c>
      <c r="E69" s="2">
        <v>1</v>
      </c>
      <c r="F69" s="8">
        <v>1500</v>
      </c>
      <c r="G69" s="1">
        <v>4</v>
      </c>
      <c r="H69" s="2">
        <v>3879</v>
      </c>
      <c r="I69" s="34">
        <v>90</v>
      </c>
      <c r="J69" s="11">
        <v>95</v>
      </c>
      <c r="K69" s="44">
        <f t="shared" si="0"/>
        <v>5.8185000000000002</v>
      </c>
      <c r="L69" s="3" t="s">
        <v>61</v>
      </c>
      <c r="M69" s="3" t="s">
        <v>70</v>
      </c>
      <c r="N69" s="15">
        <f>ROUND((IF(L69="Blaze Shield II",IF(M69="Idiem software",IF(AND(C69="IN",G69=4),((('BLAZE SHIELD II'!$D$4*('HOJA DE CÁLCULO RESPALDO'!I69^2)+'BLAZE SHIELD II'!$D$5*'HOJA DE CÁLCULO RESPALDO'!I69+'BLAZE SHIELD II'!$D$6)*LN(J69))+('BLAZE SHIELD II'!$D$7*('HOJA DE CÁLCULO RESPALDO'!I69^2)+'BLAZE SHIELD II'!$D$8*'HOJA DE CÁLCULO RESPALDO'!I69+'BLAZE SHIELD II'!$D$9)),0),0),0))+(IF(L69="Blaze Shield II",IF(M69="Idiem software",IF(C69="Cj",((('BLAZE SHIELD II'!$H$4*('HOJA DE CÁLCULO RESPALDO'!I69^2)+'BLAZE SHIELD II'!$H$5*'HOJA DE CÁLCULO RESPALDO'!I69+'BLAZE SHIELD II'!$H$6)*LN(J69))+('BLAZE SHIELD II'!$H$7*('HOJA DE CÁLCULO RESPALDO'!I69^2)+'BLAZE SHIELD II'!$H$8*'HOJA DE CÁLCULO RESPALDO'!I69+'BLAZE SHIELD II'!$H$9)),0),0),0))+(IF(L69="Blaze Shield II",IF(M69="Idiem software",IF(C69="C",((('BLAZE SHIELD II'!$L$4*('HOJA DE CÁLCULO RESPALDO'!I69^2)+'BLAZE SHIELD II'!$L$5*'HOJA DE CÁLCULO RESPALDO'!I69+'BLAZE SHIELD II'!$L$6)*LN(J69))+('BLAZE SHIELD II'!$L$7*('HOJA DE CÁLCULO RESPALDO'!I69^2)+'BLAZE SHIELD II'!$L$8*'HOJA DE CÁLCULO RESPALDO'!I69+'BLAZE SHIELD II'!$L$9)),0),0),0))+(IF(L69="Blaze Shield II",IF(M69="Idiem software",IF(AND(C69="IN",G69=3),((('BLAZE SHIELD II'!$H$14*('HOJA DE CÁLCULO RESPALDO'!I69^2)+'BLAZE SHIELD II'!$H$15*'HOJA DE CÁLCULO RESPALDO'!I69+'BLAZE SHIELD II'!$H$16)*LN(J69))+('BLAZE SHIELD II'!$H$17*('HOJA DE CÁLCULO RESPALDO'!I69^2)+'BLAZE SHIELD II'!$H$18*'HOJA DE CÁLCULO RESPALDO'!I69+'BLAZE SHIELD II'!$H$19)),0),0),0)),0)</f>
        <v>0</v>
      </c>
      <c r="O69" s="46">
        <f t="shared" si="4"/>
        <v>0</v>
      </c>
      <c r="P69" s="80">
        <f t="shared" si="1"/>
        <v>0</v>
      </c>
      <c r="Q69" s="85">
        <f>ROUND((IF(L69="Cafco 400",IF(M69="Idiem software",IF(AND(C69="IN",G69=4),((('CAFCO 400 '!$H$7*(J69^4)+'CAFCO 400 '!$H$8*(J69^3)+'CAFCO 400 '!$H$9*(J69^2)+'CAFCO 400 '!$H$10*J69+'CAFCO 400 '!$H$11)*I69^2)+(('CAFCO 400 '!$H$12*(J69^3)+'CAFCO 400 '!$H$13*(J69^2)+'CAFCO 400 '!$H$14*J69+'CAFCO 400 '!$H$15)*I69)+('CAFCO 400 '!$H$16*(J69^2)+'CAFCO 400 '!$H$17*J69+'CAFCO 400 '!$H$18)),0),0),0))+(IF(L69="Cafco 400",IF(M69="Idiem software",IF(C69="Cj",(((('CAFCO 400 '!$D$7*LN(J69)+'CAFCO 400 '!$D$8)*I69^2)+(('CAFCO 400 '!$D$9*LN(J69)+'CAFCO 400 '!$D$10)*I69)+('CAFCO 400 '!$D$11*LN(J69)+'CAFCO 400 '!$D$12))),0),0),0))+(IF(L69="Cafco 400",IF(M69="Idiem software",IF(C69="C",((('CAFCO 400 '!$L$7*(J69^3)+'CAFCO 400 '!$L$8*(J69^2)+'CAFCO 400 '!$L$9*J69+'CAFCO 400 '!$L$10)*I69^2)+(('CAFCO 400 '!$L$11*(J69^3)+'CAFCO 400 '!$L$12*(J69^2)+'CAFCO 400 '!$L$13*J69+'CAFCO 400 '!$L$14)*I69)+('CAFCO 400 '!$L$15*LN(J69)+'CAFCO 400 '!$L$16)),0),0),0))+(IF(L69="Cafco 400",IF(M69="Idiem software",IF(AND(C69="IN",G69=3),((('CAFCO 400 '!$D$23*(J69^2)+'CAFCO 400 '!$D$24*(J69)+'CAFCO 400 '!$D$25)*I69^2)+(('CAFCO 400 '!$D$26*(J69^2)+'CAFCO 400 '!$D$27*J69+'CAFCO 400 '!$D$28)*I69)+('CAFCO 400 '!$D$29*(J69^2)+'CAFCO 400 '!$D$30*J69+'CAFCO 400 '!$D$31)),0),0),0)),0)</f>
        <v>0</v>
      </c>
      <c r="R69" s="47">
        <f t="shared" si="5"/>
        <v>0</v>
      </c>
      <c r="S69" s="82">
        <f t="shared" si="2"/>
        <v>0</v>
      </c>
      <c r="T69" s="81">
        <f>+IF(AND(J69&gt;=95,J69&lt;=240),IF(AND(C69="Cj",I69=90),VLOOKUP(W69,'CAFCO 300 IDIEM TABLAS'!$B$4:$D$23,2,FALSE),0)+IF(AND(J69&gt;=95,J69&lt;=240),IF(AND(C69="Cj",I69=120),VLOOKUP(W69,'CAFCO 300 IDIEM TABLAS'!$B$4:$D$23,3,FALSE),0))+IF(AND(J69&gt;=95,J69&lt;=400,G69=3),IF(AND(C69="IN",I69=90),VLOOKUP(W69,'CAFCO 300 IDIEM TABLAS'!$F$4:$H$35,2,FALSE),0),0)+IF(AND(J69&gt;=95,J69&lt;=400,G69=3),IF(AND(C69="IN",I69=120),VLOOKUP(W69,'CAFCO 300 IDIEM TABLAS'!$F$4:$H$35,3,FALSE),0),0)+IF(AND(J69&gt;=95,J69&lt;=450,G69=4),IF(AND(C69="IN",I69=90),VLOOKUP(W69,'CAFCO 300 IDIEM TABLAS'!$J$4:$L$40,2,FALSE),0),0)+IF(AND(J69&gt;=95,J69&lt;=450,G69=4),IF(AND(C69="IN",I69=120),VLOOKUP(W69,'CAFCO 300 IDIEM TABLAS'!$J$4:$L$40,3,FALSE),0),0))</f>
        <v>17</v>
      </c>
      <c r="U69" s="48">
        <f t="shared" si="6"/>
        <v>1.3649947047496791</v>
      </c>
      <c r="V69" s="82">
        <f t="shared" si="3"/>
        <v>20494.030497111682</v>
      </c>
      <c r="W69" s="64">
        <f>+IF(J69=LOOKUP(J69,'CAFCO 300 IDIEM TABLAS'!$J$4:$J$40),'HOJA DE CÁLCULO RESPALDO'!J69,MROUND('HOJA DE CÁLCULO RESPALDO'!J69,10))</f>
        <v>95</v>
      </c>
      <c r="X69" s="36"/>
      <c r="Y69" s="4"/>
    </row>
    <row r="70" spans="1:25" ht="15.6" customHeight="1" x14ac:dyDescent="0.25">
      <c r="A70" s="30" t="s">
        <v>12</v>
      </c>
      <c r="B70" s="3" t="s">
        <v>17</v>
      </c>
      <c r="C70" s="3" t="s">
        <v>19</v>
      </c>
      <c r="D70" s="3">
        <v>1</v>
      </c>
      <c r="E70" s="2">
        <v>2</v>
      </c>
      <c r="F70" s="8">
        <v>26385</v>
      </c>
      <c r="G70" s="1">
        <v>4</v>
      </c>
      <c r="H70" s="2">
        <v>2784</v>
      </c>
      <c r="I70" s="34">
        <v>90</v>
      </c>
      <c r="J70" s="11">
        <v>95</v>
      </c>
      <c r="K70" s="44">
        <f t="shared" si="0"/>
        <v>146.91167999999999</v>
      </c>
      <c r="L70" s="3" t="s">
        <v>61</v>
      </c>
      <c r="M70" s="3" t="s">
        <v>70</v>
      </c>
      <c r="N70" s="15">
        <f>ROUND((IF(L70="Blaze Shield II",IF(M70="Idiem software",IF(AND(C70="IN",G70=4),((('BLAZE SHIELD II'!$D$4*('HOJA DE CÁLCULO RESPALDO'!I70^2)+'BLAZE SHIELD II'!$D$5*'HOJA DE CÁLCULO RESPALDO'!I70+'BLAZE SHIELD II'!$D$6)*LN(J70))+('BLAZE SHIELD II'!$D$7*('HOJA DE CÁLCULO RESPALDO'!I70^2)+'BLAZE SHIELD II'!$D$8*'HOJA DE CÁLCULO RESPALDO'!I70+'BLAZE SHIELD II'!$D$9)),0),0),0))+(IF(L70="Blaze Shield II",IF(M70="Idiem software",IF(C70="Cj",((('BLAZE SHIELD II'!$H$4*('HOJA DE CÁLCULO RESPALDO'!I70^2)+'BLAZE SHIELD II'!$H$5*'HOJA DE CÁLCULO RESPALDO'!I70+'BLAZE SHIELD II'!$H$6)*LN(J70))+('BLAZE SHIELD II'!$H$7*('HOJA DE CÁLCULO RESPALDO'!I70^2)+'BLAZE SHIELD II'!$H$8*'HOJA DE CÁLCULO RESPALDO'!I70+'BLAZE SHIELD II'!$H$9)),0),0),0))+(IF(L70="Blaze Shield II",IF(M70="Idiem software",IF(C70="C",((('BLAZE SHIELD II'!$L$4*('HOJA DE CÁLCULO RESPALDO'!I70^2)+'BLAZE SHIELD II'!$L$5*'HOJA DE CÁLCULO RESPALDO'!I70+'BLAZE SHIELD II'!$L$6)*LN(J70))+('BLAZE SHIELD II'!$L$7*('HOJA DE CÁLCULO RESPALDO'!I70^2)+'BLAZE SHIELD II'!$L$8*'HOJA DE CÁLCULO RESPALDO'!I70+'BLAZE SHIELD II'!$L$9)),0),0),0))+(IF(L70="Blaze Shield II",IF(M70="Idiem software",IF(AND(C70="IN",G70=3),((('BLAZE SHIELD II'!$H$14*('HOJA DE CÁLCULO RESPALDO'!I70^2)+'BLAZE SHIELD II'!$H$15*'HOJA DE CÁLCULO RESPALDO'!I70+'BLAZE SHIELD II'!$H$16)*LN(J70))+('BLAZE SHIELD II'!$H$17*('HOJA DE CÁLCULO RESPALDO'!I70^2)+'BLAZE SHIELD II'!$H$18*'HOJA DE CÁLCULO RESPALDO'!I70+'BLAZE SHIELD II'!$H$19)),0),0),0)),0)</f>
        <v>0</v>
      </c>
      <c r="O70" s="46">
        <f t="shared" si="4"/>
        <v>0</v>
      </c>
      <c r="P70" s="80">
        <f t="shared" si="1"/>
        <v>0</v>
      </c>
      <c r="Q70" s="85">
        <f>ROUND((IF(L70="Cafco 400",IF(M70="Idiem software",IF(AND(C70="IN",G70=4),((('CAFCO 400 '!$H$7*(J70^4)+'CAFCO 400 '!$H$8*(J70^3)+'CAFCO 400 '!$H$9*(J70^2)+'CAFCO 400 '!$H$10*J70+'CAFCO 400 '!$H$11)*I70^2)+(('CAFCO 400 '!$H$12*(J70^3)+'CAFCO 400 '!$H$13*(J70^2)+'CAFCO 400 '!$H$14*J70+'CAFCO 400 '!$H$15)*I70)+('CAFCO 400 '!$H$16*(J70^2)+'CAFCO 400 '!$H$17*J70+'CAFCO 400 '!$H$18)),0),0),0))+(IF(L70="Cafco 400",IF(M70="Idiem software",IF(C70="Cj",(((('CAFCO 400 '!$D$7*LN(J70)+'CAFCO 400 '!$D$8)*I70^2)+(('CAFCO 400 '!$D$9*LN(J70)+'CAFCO 400 '!$D$10)*I70)+('CAFCO 400 '!$D$11*LN(J70)+'CAFCO 400 '!$D$12))),0),0),0))+(IF(L70="Cafco 400",IF(M70="Idiem software",IF(C70="C",((('CAFCO 400 '!$L$7*(J70^3)+'CAFCO 400 '!$L$8*(J70^2)+'CAFCO 400 '!$L$9*J70+'CAFCO 400 '!$L$10)*I70^2)+(('CAFCO 400 '!$L$11*(J70^3)+'CAFCO 400 '!$L$12*(J70^2)+'CAFCO 400 '!$L$13*J70+'CAFCO 400 '!$L$14)*I70)+('CAFCO 400 '!$L$15*LN(J70)+'CAFCO 400 '!$L$16)),0),0),0))+(IF(L70="Cafco 400",IF(M70="Idiem software",IF(AND(C70="IN",G70=3),((('CAFCO 400 '!$D$23*(J70^2)+'CAFCO 400 '!$D$24*(J70)+'CAFCO 400 '!$D$25)*I70^2)+(('CAFCO 400 '!$D$26*(J70^2)+'CAFCO 400 '!$D$27*J70+'CAFCO 400 '!$D$28)*I70)+('CAFCO 400 '!$D$29*(J70^2)+'CAFCO 400 '!$D$30*J70+'CAFCO 400 '!$D$31)),0),0),0)),0)</f>
        <v>0</v>
      </c>
      <c r="R70" s="47">
        <f t="shared" si="5"/>
        <v>0</v>
      </c>
      <c r="S70" s="82">
        <f t="shared" si="2"/>
        <v>0</v>
      </c>
      <c r="T70" s="81">
        <f>+IF(AND(J70&gt;=95,J70&lt;=240),IF(AND(C70="Cj",I70=90),VLOOKUP(W70,'CAFCO 300 IDIEM TABLAS'!$B$4:$D$23,2,FALSE),0)+IF(AND(J70&gt;=95,J70&lt;=240),IF(AND(C70="Cj",I70=120),VLOOKUP(W70,'CAFCO 300 IDIEM TABLAS'!$B$4:$D$23,3,FALSE),0))+IF(AND(J70&gt;=95,J70&lt;=400,G70=3),IF(AND(C70="IN",I70=90),VLOOKUP(W70,'CAFCO 300 IDIEM TABLAS'!$F$4:$H$35,2,FALSE),0),0)+IF(AND(J70&gt;=95,J70&lt;=400,G70=3),IF(AND(C70="IN",I70=120),VLOOKUP(W70,'CAFCO 300 IDIEM TABLAS'!$F$4:$H$35,3,FALSE),0),0)+IF(AND(J70&gt;=95,J70&lt;=450,G70=4),IF(AND(C70="IN",I70=90),VLOOKUP(W70,'CAFCO 300 IDIEM TABLAS'!$J$4:$L$40,2,FALSE),0),0)+IF(AND(J70&gt;=95,J70&lt;=450,G70=4),IF(AND(C70="IN",I70=120),VLOOKUP(W70,'CAFCO 300 IDIEM TABLAS'!$J$4:$L$40,3,FALSE),0),0))</f>
        <v>17</v>
      </c>
      <c r="U70" s="48">
        <f t="shared" si="6"/>
        <v>34.464838921694479</v>
      </c>
      <c r="V70" s="82">
        <f t="shared" si="3"/>
        <v>517455.09157032089</v>
      </c>
      <c r="W70" s="64">
        <f>+IF(J70=LOOKUP(J70,'CAFCO 300 IDIEM TABLAS'!$J$4:$J$40),'HOJA DE CÁLCULO RESPALDO'!J70,MROUND('HOJA DE CÁLCULO RESPALDO'!J70,10))</f>
        <v>95</v>
      </c>
      <c r="X70" s="36"/>
      <c r="Y70" s="4"/>
    </row>
    <row r="71" spans="1:25" x14ac:dyDescent="0.25">
      <c r="A71" s="2" t="s">
        <v>38</v>
      </c>
      <c r="B71" s="3" t="s">
        <v>17</v>
      </c>
      <c r="C71" s="3" t="s">
        <v>19</v>
      </c>
      <c r="D71" s="3">
        <v>1</v>
      </c>
      <c r="E71" s="2">
        <v>1</v>
      </c>
      <c r="F71" s="8">
        <v>91778</v>
      </c>
      <c r="G71" s="1">
        <v>4</v>
      </c>
      <c r="H71" s="2">
        <v>1781</v>
      </c>
      <c r="I71" s="34">
        <v>90</v>
      </c>
      <c r="J71" s="11">
        <v>95</v>
      </c>
      <c r="K71" s="44">
        <f t="shared" si="0"/>
        <v>163.45661799999999</v>
      </c>
      <c r="L71" s="3" t="s">
        <v>61</v>
      </c>
      <c r="M71" s="3" t="s">
        <v>70</v>
      </c>
      <c r="N71" s="15">
        <f>ROUND((IF(L71="Blaze Shield II",IF(M71="Idiem software",IF(AND(C71="IN",G71=4),((('BLAZE SHIELD II'!$D$4*('HOJA DE CÁLCULO RESPALDO'!I71^2)+'BLAZE SHIELD II'!$D$5*'HOJA DE CÁLCULO RESPALDO'!I71+'BLAZE SHIELD II'!$D$6)*LN(J71))+('BLAZE SHIELD II'!$D$7*('HOJA DE CÁLCULO RESPALDO'!I71^2)+'BLAZE SHIELD II'!$D$8*'HOJA DE CÁLCULO RESPALDO'!I71+'BLAZE SHIELD II'!$D$9)),0),0),0))+(IF(L71="Blaze Shield II",IF(M71="Idiem software",IF(C71="Cj",((('BLAZE SHIELD II'!$H$4*('HOJA DE CÁLCULO RESPALDO'!I71^2)+'BLAZE SHIELD II'!$H$5*'HOJA DE CÁLCULO RESPALDO'!I71+'BLAZE SHIELD II'!$H$6)*LN(J71))+('BLAZE SHIELD II'!$H$7*('HOJA DE CÁLCULO RESPALDO'!I71^2)+'BLAZE SHIELD II'!$H$8*'HOJA DE CÁLCULO RESPALDO'!I71+'BLAZE SHIELD II'!$H$9)),0),0),0))+(IF(L71="Blaze Shield II",IF(M71="Idiem software",IF(C71="C",((('BLAZE SHIELD II'!$L$4*('HOJA DE CÁLCULO RESPALDO'!I71^2)+'BLAZE SHIELD II'!$L$5*'HOJA DE CÁLCULO RESPALDO'!I71+'BLAZE SHIELD II'!$L$6)*LN(J71))+('BLAZE SHIELD II'!$L$7*('HOJA DE CÁLCULO RESPALDO'!I71^2)+'BLAZE SHIELD II'!$L$8*'HOJA DE CÁLCULO RESPALDO'!I71+'BLAZE SHIELD II'!$L$9)),0),0),0))+(IF(L71="Blaze Shield II",IF(M71="Idiem software",IF(AND(C71="IN",G71=3),((('BLAZE SHIELD II'!$H$14*('HOJA DE CÁLCULO RESPALDO'!I71^2)+'BLAZE SHIELD II'!$H$15*'HOJA DE CÁLCULO RESPALDO'!I71+'BLAZE SHIELD II'!$H$16)*LN(J71))+('BLAZE SHIELD II'!$H$17*('HOJA DE CÁLCULO RESPALDO'!I71^2)+'BLAZE SHIELD II'!$H$18*'HOJA DE CÁLCULO RESPALDO'!I71+'BLAZE SHIELD II'!$H$19)),0),0),0)),0)</f>
        <v>0</v>
      </c>
      <c r="O71" s="46">
        <f t="shared" si="4"/>
        <v>0</v>
      </c>
      <c r="P71" s="80">
        <f t="shared" si="1"/>
        <v>0</v>
      </c>
      <c r="Q71" s="85">
        <f>ROUND((IF(L71="Cafco 400",IF(M71="Idiem software",IF(AND(C71="IN",G71=4),((('CAFCO 400 '!$H$7*(J71^4)+'CAFCO 400 '!$H$8*(J71^3)+'CAFCO 400 '!$H$9*(J71^2)+'CAFCO 400 '!$H$10*J71+'CAFCO 400 '!$H$11)*I71^2)+(('CAFCO 400 '!$H$12*(J71^3)+'CAFCO 400 '!$H$13*(J71^2)+'CAFCO 400 '!$H$14*J71+'CAFCO 400 '!$H$15)*I71)+('CAFCO 400 '!$H$16*(J71^2)+'CAFCO 400 '!$H$17*J71+'CAFCO 400 '!$H$18)),0),0),0))+(IF(L71="Cafco 400",IF(M71="Idiem software",IF(C71="Cj",(((('CAFCO 400 '!$D$7*LN(J71)+'CAFCO 400 '!$D$8)*I71^2)+(('CAFCO 400 '!$D$9*LN(J71)+'CAFCO 400 '!$D$10)*I71)+('CAFCO 400 '!$D$11*LN(J71)+'CAFCO 400 '!$D$12))),0),0),0))+(IF(L71="Cafco 400",IF(M71="Idiem software",IF(C71="C",((('CAFCO 400 '!$L$7*(J71^3)+'CAFCO 400 '!$L$8*(J71^2)+'CAFCO 400 '!$L$9*J71+'CAFCO 400 '!$L$10)*I71^2)+(('CAFCO 400 '!$L$11*(J71^3)+'CAFCO 400 '!$L$12*(J71^2)+'CAFCO 400 '!$L$13*J71+'CAFCO 400 '!$L$14)*I71)+('CAFCO 400 '!$L$15*LN(J71)+'CAFCO 400 '!$L$16)),0),0),0))+(IF(L71="Cafco 400",IF(M71="Idiem software",IF(AND(C71="IN",G71=3),((('CAFCO 400 '!$D$23*(J71^2)+'CAFCO 400 '!$D$24*(J71)+'CAFCO 400 '!$D$25)*I71^2)+(('CAFCO 400 '!$D$26*(J71^2)+'CAFCO 400 '!$D$27*J71+'CAFCO 400 '!$D$28)*I71)+('CAFCO 400 '!$D$29*(J71^2)+'CAFCO 400 '!$D$30*J71+'CAFCO 400 '!$D$31)),0),0),0)),0)</f>
        <v>0</v>
      </c>
      <c r="R71" s="47">
        <f t="shared" si="5"/>
        <v>0</v>
      </c>
      <c r="S71" s="82">
        <f t="shared" si="2"/>
        <v>0</v>
      </c>
      <c r="T71" s="81">
        <f>+IF(AND(J71&gt;=95,J71&lt;=240),IF(AND(C71="Cj",I71=90),VLOOKUP(W71,'CAFCO 300 IDIEM TABLAS'!$B$4:$D$23,2,FALSE),0)+IF(AND(J71&gt;=95,J71&lt;=240),IF(AND(C71="Cj",I71=120),VLOOKUP(W71,'CAFCO 300 IDIEM TABLAS'!$B$4:$D$23,3,FALSE),0))+IF(AND(J71&gt;=95,J71&lt;=400,G71=3),IF(AND(C71="IN",I71=90),VLOOKUP(W71,'CAFCO 300 IDIEM TABLAS'!$F$4:$H$35,2,FALSE),0),0)+IF(AND(J71&gt;=95,J71&lt;=400,G71=3),IF(AND(C71="IN",I71=120),VLOOKUP(W71,'CAFCO 300 IDIEM TABLAS'!$F$4:$H$35,3,FALSE),0),0)+IF(AND(J71&gt;=95,J71&lt;=450,G71=4),IF(AND(C71="IN",I71=90),VLOOKUP(W71,'CAFCO 300 IDIEM TABLAS'!$J$4:$L$40,2,FALSE),0),0)+IF(AND(J71&gt;=95,J71&lt;=450,G71=4),IF(AND(C71="IN",I71=120),VLOOKUP(W71,'CAFCO 300 IDIEM TABLAS'!$J$4:$L$40,3,FALSE),0),0))</f>
        <v>17</v>
      </c>
      <c r="U71" s="48">
        <f t="shared" si="6"/>
        <v>38.34620916495507</v>
      </c>
      <c r="V71" s="82">
        <f t="shared" si="3"/>
        <v>575729.98440263537</v>
      </c>
      <c r="W71" s="64">
        <f>+IF(J71=LOOKUP(J71,'CAFCO 300 IDIEM TABLAS'!$J$4:$J$40),'HOJA DE CÁLCULO RESPALDO'!J71,MROUND('HOJA DE CÁLCULO RESPALDO'!J71,10))</f>
        <v>95</v>
      </c>
      <c r="X71" s="36"/>
      <c r="Y71" s="4"/>
    </row>
    <row r="72" spans="1:25" ht="15.6" customHeight="1" x14ac:dyDescent="0.25">
      <c r="A72" s="2" t="s">
        <v>38</v>
      </c>
      <c r="B72" s="3" t="s">
        <v>17</v>
      </c>
      <c r="C72" s="3" t="s">
        <v>19</v>
      </c>
      <c r="D72" s="3">
        <v>1</v>
      </c>
      <c r="E72" s="2">
        <v>2</v>
      </c>
      <c r="F72" s="8">
        <v>12900</v>
      </c>
      <c r="G72" s="1">
        <v>4</v>
      </c>
      <c r="H72" s="2">
        <v>968</v>
      </c>
      <c r="I72" s="34">
        <v>90</v>
      </c>
      <c r="J72" s="11">
        <v>95</v>
      </c>
      <c r="K72" s="44">
        <f t="shared" si="0"/>
        <v>24.974399999999999</v>
      </c>
      <c r="L72" s="3" t="s">
        <v>61</v>
      </c>
      <c r="M72" s="3" t="s">
        <v>70</v>
      </c>
      <c r="N72" s="15">
        <f>ROUND((IF(L72="Blaze Shield II",IF(M72="Idiem software",IF(AND(C72="IN",G72=4),((('BLAZE SHIELD II'!$D$4*('HOJA DE CÁLCULO RESPALDO'!I72^2)+'BLAZE SHIELD II'!$D$5*'HOJA DE CÁLCULO RESPALDO'!I72+'BLAZE SHIELD II'!$D$6)*LN(J72))+('BLAZE SHIELD II'!$D$7*('HOJA DE CÁLCULO RESPALDO'!I72^2)+'BLAZE SHIELD II'!$D$8*'HOJA DE CÁLCULO RESPALDO'!I72+'BLAZE SHIELD II'!$D$9)),0),0),0))+(IF(L72="Blaze Shield II",IF(M72="Idiem software",IF(C72="Cj",((('BLAZE SHIELD II'!$H$4*('HOJA DE CÁLCULO RESPALDO'!I72^2)+'BLAZE SHIELD II'!$H$5*'HOJA DE CÁLCULO RESPALDO'!I72+'BLAZE SHIELD II'!$H$6)*LN(J72))+('BLAZE SHIELD II'!$H$7*('HOJA DE CÁLCULO RESPALDO'!I72^2)+'BLAZE SHIELD II'!$H$8*'HOJA DE CÁLCULO RESPALDO'!I72+'BLAZE SHIELD II'!$H$9)),0),0),0))+(IF(L72="Blaze Shield II",IF(M72="Idiem software",IF(C72="C",((('BLAZE SHIELD II'!$L$4*('HOJA DE CÁLCULO RESPALDO'!I72^2)+'BLAZE SHIELD II'!$L$5*'HOJA DE CÁLCULO RESPALDO'!I72+'BLAZE SHIELD II'!$L$6)*LN(J72))+('BLAZE SHIELD II'!$L$7*('HOJA DE CÁLCULO RESPALDO'!I72^2)+'BLAZE SHIELD II'!$L$8*'HOJA DE CÁLCULO RESPALDO'!I72+'BLAZE SHIELD II'!$L$9)),0),0),0))+(IF(L72="Blaze Shield II",IF(M72="Idiem software",IF(AND(C72="IN",G72=3),((('BLAZE SHIELD II'!$H$14*('HOJA DE CÁLCULO RESPALDO'!I72^2)+'BLAZE SHIELD II'!$H$15*'HOJA DE CÁLCULO RESPALDO'!I72+'BLAZE SHIELD II'!$H$16)*LN(J72))+('BLAZE SHIELD II'!$H$17*('HOJA DE CÁLCULO RESPALDO'!I72^2)+'BLAZE SHIELD II'!$H$18*'HOJA DE CÁLCULO RESPALDO'!I72+'BLAZE SHIELD II'!$H$19)),0),0),0)),0)</f>
        <v>0</v>
      </c>
      <c r="O72" s="46">
        <f t="shared" si="4"/>
        <v>0</v>
      </c>
      <c r="P72" s="80">
        <f t="shared" si="1"/>
        <v>0</v>
      </c>
      <c r="Q72" s="85">
        <f>ROUND((IF(L72="Cafco 400",IF(M72="Idiem software",IF(AND(C72="IN",G72=4),((('CAFCO 400 '!$H$7*(J72^4)+'CAFCO 400 '!$H$8*(J72^3)+'CAFCO 400 '!$H$9*(J72^2)+'CAFCO 400 '!$H$10*J72+'CAFCO 400 '!$H$11)*I72^2)+(('CAFCO 400 '!$H$12*(J72^3)+'CAFCO 400 '!$H$13*(J72^2)+'CAFCO 400 '!$H$14*J72+'CAFCO 400 '!$H$15)*I72)+('CAFCO 400 '!$H$16*(J72^2)+'CAFCO 400 '!$H$17*J72+'CAFCO 400 '!$H$18)),0),0),0))+(IF(L72="Cafco 400",IF(M72="Idiem software",IF(C72="Cj",(((('CAFCO 400 '!$D$7*LN(J72)+'CAFCO 400 '!$D$8)*I72^2)+(('CAFCO 400 '!$D$9*LN(J72)+'CAFCO 400 '!$D$10)*I72)+('CAFCO 400 '!$D$11*LN(J72)+'CAFCO 400 '!$D$12))),0),0),0))+(IF(L72="Cafco 400",IF(M72="Idiem software",IF(C72="C",((('CAFCO 400 '!$L$7*(J72^3)+'CAFCO 400 '!$L$8*(J72^2)+'CAFCO 400 '!$L$9*J72+'CAFCO 400 '!$L$10)*I72^2)+(('CAFCO 400 '!$L$11*(J72^3)+'CAFCO 400 '!$L$12*(J72^2)+'CAFCO 400 '!$L$13*J72+'CAFCO 400 '!$L$14)*I72)+('CAFCO 400 '!$L$15*LN(J72)+'CAFCO 400 '!$L$16)),0),0),0))+(IF(L72="Cafco 400",IF(M72="Idiem software",IF(AND(C72="IN",G72=3),((('CAFCO 400 '!$D$23*(J72^2)+'CAFCO 400 '!$D$24*(J72)+'CAFCO 400 '!$D$25)*I72^2)+(('CAFCO 400 '!$D$26*(J72^2)+'CAFCO 400 '!$D$27*J72+'CAFCO 400 '!$D$28)*I72)+('CAFCO 400 '!$D$29*(J72^2)+'CAFCO 400 '!$D$30*J72+'CAFCO 400 '!$D$31)),0),0),0)),0)</f>
        <v>0</v>
      </c>
      <c r="R72" s="47">
        <f t="shared" si="5"/>
        <v>0</v>
      </c>
      <c r="S72" s="82">
        <f t="shared" si="2"/>
        <v>0</v>
      </c>
      <c r="T72" s="81">
        <f>+IF(AND(J72&gt;=95,J72&lt;=240),IF(AND(C72="Cj",I72=90),VLOOKUP(W72,'CAFCO 300 IDIEM TABLAS'!$B$4:$D$23,2,FALSE),0)+IF(AND(J72&gt;=95,J72&lt;=240),IF(AND(C72="Cj",I72=120),VLOOKUP(W72,'CAFCO 300 IDIEM TABLAS'!$B$4:$D$23,3,FALSE),0))+IF(AND(J72&gt;=95,J72&lt;=400,G72=3),IF(AND(C72="IN",I72=90),VLOOKUP(W72,'CAFCO 300 IDIEM TABLAS'!$F$4:$H$35,2,FALSE),0),0)+IF(AND(J72&gt;=95,J72&lt;=400,G72=3),IF(AND(C72="IN",I72=120),VLOOKUP(W72,'CAFCO 300 IDIEM TABLAS'!$F$4:$H$35,3,FALSE),0),0)+IF(AND(J72&gt;=95,J72&lt;=450,G72=4),IF(AND(C72="IN",I72=90),VLOOKUP(W72,'CAFCO 300 IDIEM TABLAS'!$J$4:$L$40,2,FALSE),0),0)+IF(AND(J72&gt;=95,J72&lt;=450,G72=4),IF(AND(C72="IN",I72=120),VLOOKUP(W72,'CAFCO 300 IDIEM TABLAS'!$J$4:$L$40,3,FALSE),0),0))</f>
        <v>17</v>
      </c>
      <c r="U72" s="48">
        <f t="shared" si="6"/>
        <v>5.8588852374839533</v>
      </c>
      <c r="V72" s="82">
        <f t="shared" si="3"/>
        <v>87965.302955584077</v>
      </c>
      <c r="W72" s="64">
        <f>+IF(J72=LOOKUP(J72,'CAFCO 300 IDIEM TABLAS'!$J$4:$J$40),'HOJA DE CÁLCULO RESPALDO'!J72,MROUND('HOJA DE CÁLCULO RESPALDO'!J72,10))</f>
        <v>95</v>
      </c>
      <c r="X72" s="36"/>
      <c r="Y72" s="4"/>
    </row>
    <row r="73" spans="1:25" x14ac:dyDescent="0.25">
      <c r="A73" s="2" t="s">
        <v>38</v>
      </c>
      <c r="B73" s="3" t="s">
        <v>17</v>
      </c>
      <c r="C73" s="3" t="s">
        <v>19</v>
      </c>
      <c r="D73" s="3">
        <v>1</v>
      </c>
      <c r="E73" s="2">
        <v>1</v>
      </c>
      <c r="F73" s="8">
        <v>17971</v>
      </c>
      <c r="G73" s="1">
        <v>4</v>
      </c>
      <c r="H73" s="2">
        <v>2184</v>
      </c>
      <c r="I73" s="34">
        <v>90</v>
      </c>
      <c r="J73" s="11">
        <v>95</v>
      </c>
      <c r="K73" s="44">
        <f t="shared" si="0"/>
        <v>39.248663999999998</v>
      </c>
      <c r="L73" s="3" t="s">
        <v>61</v>
      </c>
      <c r="M73" s="3" t="s">
        <v>70</v>
      </c>
      <c r="N73" s="15">
        <f>ROUND((IF(L73="Blaze Shield II",IF(M73="Idiem software",IF(AND(C73="IN",G73=4),((('BLAZE SHIELD II'!$D$4*('HOJA DE CÁLCULO RESPALDO'!I73^2)+'BLAZE SHIELD II'!$D$5*'HOJA DE CÁLCULO RESPALDO'!I73+'BLAZE SHIELD II'!$D$6)*LN(J73))+('BLAZE SHIELD II'!$D$7*('HOJA DE CÁLCULO RESPALDO'!I73^2)+'BLAZE SHIELD II'!$D$8*'HOJA DE CÁLCULO RESPALDO'!I73+'BLAZE SHIELD II'!$D$9)),0),0),0))+(IF(L73="Blaze Shield II",IF(M73="Idiem software",IF(C73="Cj",((('BLAZE SHIELD II'!$H$4*('HOJA DE CÁLCULO RESPALDO'!I73^2)+'BLAZE SHIELD II'!$H$5*'HOJA DE CÁLCULO RESPALDO'!I73+'BLAZE SHIELD II'!$H$6)*LN(J73))+('BLAZE SHIELD II'!$H$7*('HOJA DE CÁLCULO RESPALDO'!I73^2)+'BLAZE SHIELD II'!$H$8*'HOJA DE CÁLCULO RESPALDO'!I73+'BLAZE SHIELD II'!$H$9)),0),0),0))+(IF(L73="Blaze Shield II",IF(M73="Idiem software",IF(C73="C",((('BLAZE SHIELD II'!$L$4*('HOJA DE CÁLCULO RESPALDO'!I73^2)+'BLAZE SHIELD II'!$L$5*'HOJA DE CÁLCULO RESPALDO'!I73+'BLAZE SHIELD II'!$L$6)*LN(J73))+('BLAZE SHIELD II'!$L$7*('HOJA DE CÁLCULO RESPALDO'!I73^2)+'BLAZE SHIELD II'!$L$8*'HOJA DE CÁLCULO RESPALDO'!I73+'BLAZE SHIELD II'!$L$9)),0),0),0))+(IF(L73="Blaze Shield II",IF(M73="Idiem software",IF(AND(C73="IN",G73=3),((('BLAZE SHIELD II'!$H$14*('HOJA DE CÁLCULO RESPALDO'!I73^2)+'BLAZE SHIELD II'!$H$15*'HOJA DE CÁLCULO RESPALDO'!I73+'BLAZE SHIELD II'!$H$16)*LN(J73))+('BLAZE SHIELD II'!$H$17*('HOJA DE CÁLCULO RESPALDO'!I73^2)+'BLAZE SHIELD II'!$H$18*'HOJA DE CÁLCULO RESPALDO'!I73+'BLAZE SHIELD II'!$H$19)),0),0),0)),0)</f>
        <v>0</v>
      </c>
      <c r="O73" s="46">
        <f t="shared" si="4"/>
        <v>0</v>
      </c>
      <c r="P73" s="80">
        <f t="shared" si="1"/>
        <v>0</v>
      </c>
      <c r="Q73" s="85">
        <f>ROUND((IF(L73="Cafco 400",IF(M73="Idiem software",IF(AND(C73="IN",G73=4),((('CAFCO 400 '!$H$7*(J73^4)+'CAFCO 400 '!$H$8*(J73^3)+'CAFCO 400 '!$H$9*(J73^2)+'CAFCO 400 '!$H$10*J73+'CAFCO 400 '!$H$11)*I73^2)+(('CAFCO 400 '!$H$12*(J73^3)+'CAFCO 400 '!$H$13*(J73^2)+'CAFCO 400 '!$H$14*J73+'CAFCO 400 '!$H$15)*I73)+('CAFCO 400 '!$H$16*(J73^2)+'CAFCO 400 '!$H$17*J73+'CAFCO 400 '!$H$18)),0),0),0))+(IF(L73="Cafco 400",IF(M73="Idiem software",IF(C73="Cj",(((('CAFCO 400 '!$D$7*LN(J73)+'CAFCO 400 '!$D$8)*I73^2)+(('CAFCO 400 '!$D$9*LN(J73)+'CAFCO 400 '!$D$10)*I73)+('CAFCO 400 '!$D$11*LN(J73)+'CAFCO 400 '!$D$12))),0),0),0))+(IF(L73="Cafco 400",IF(M73="Idiem software",IF(C73="C",((('CAFCO 400 '!$L$7*(J73^3)+'CAFCO 400 '!$L$8*(J73^2)+'CAFCO 400 '!$L$9*J73+'CAFCO 400 '!$L$10)*I73^2)+(('CAFCO 400 '!$L$11*(J73^3)+'CAFCO 400 '!$L$12*(J73^2)+'CAFCO 400 '!$L$13*J73+'CAFCO 400 '!$L$14)*I73)+('CAFCO 400 '!$L$15*LN(J73)+'CAFCO 400 '!$L$16)),0),0),0))+(IF(L73="Cafco 400",IF(M73="Idiem software",IF(AND(C73="IN",G73=3),((('CAFCO 400 '!$D$23*(J73^2)+'CAFCO 400 '!$D$24*(J73)+'CAFCO 400 '!$D$25)*I73^2)+(('CAFCO 400 '!$D$26*(J73^2)+'CAFCO 400 '!$D$27*J73+'CAFCO 400 '!$D$28)*I73)+('CAFCO 400 '!$D$29*(J73^2)+'CAFCO 400 '!$D$30*J73+'CAFCO 400 '!$D$31)),0),0),0)),0)</f>
        <v>0</v>
      </c>
      <c r="R73" s="47">
        <f t="shared" si="5"/>
        <v>0</v>
      </c>
      <c r="S73" s="82">
        <f t="shared" si="2"/>
        <v>0</v>
      </c>
      <c r="T73" s="81">
        <f>+IF(AND(J73&gt;=95,J73&lt;=240),IF(AND(C73="Cj",I73=90),VLOOKUP(W73,'CAFCO 300 IDIEM TABLAS'!$B$4:$D$23,2,FALSE),0)+IF(AND(J73&gt;=95,J73&lt;=240),IF(AND(C73="Cj",I73=120),VLOOKUP(W73,'CAFCO 300 IDIEM TABLAS'!$B$4:$D$23,3,FALSE),0))+IF(AND(J73&gt;=95,J73&lt;=400,G73=3),IF(AND(C73="IN",I73=90),VLOOKUP(W73,'CAFCO 300 IDIEM TABLAS'!$F$4:$H$35,2,FALSE),0),0)+IF(AND(J73&gt;=95,J73&lt;=400,G73=3),IF(AND(C73="IN",I73=120),VLOOKUP(W73,'CAFCO 300 IDIEM TABLAS'!$F$4:$H$35,3,FALSE),0),0)+IF(AND(J73&gt;=95,J73&lt;=450,G73=4),IF(AND(C73="IN",I73=90),VLOOKUP(W73,'CAFCO 300 IDIEM TABLAS'!$J$4:$L$40,2,FALSE),0),0)+IF(AND(J73&gt;=95,J73&lt;=450,G73=4),IF(AND(C73="IN",I73=120),VLOOKUP(W73,'CAFCO 300 IDIEM TABLAS'!$J$4:$L$40,3,FALSE),0),0))</f>
        <v>17</v>
      </c>
      <c r="U73" s="48">
        <f t="shared" si="6"/>
        <v>9.2075652708600764</v>
      </c>
      <c r="V73" s="82">
        <f t="shared" si="3"/>
        <v>138242.3849766932</v>
      </c>
      <c r="W73" s="64">
        <f>+IF(J73=LOOKUP(J73,'CAFCO 300 IDIEM TABLAS'!$J$4:$J$40),'HOJA DE CÁLCULO RESPALDO'!J73,MROUND('HOJA DE CÁLCULO RESPALDO'!J73,10))</f>
        <v>95</v>
      </c>
      <c r="X73" s="36"/>
      <c r="Y73" s="4"/>
    </row>
    <row r="74" spans="1:25" ht="15.6" customHeight="1" x14ac:dyDescent="0.25">
      <c r="A74" s="2" t="s">
        <v>38</v>
      </c>
      <c r="B74" s="3" t="s">
        <v>17</v>
      </c>
      <c r="C74" s="3" t="s">
        <v>19</v>
      </c>
      <c r="D74" s="3">
        <v>1</v>
      </c>
      <c r="E74" s="2">
        <v>1</v>
      </c>
      <c r="F74" s="8">
        <v>7759</v>
      </c>
      <c r="G74" s="1">
        <v>4</v>
      </c>
      <c r="H74" s="2">
        <v>785</v>
      </c>
      <c r="I74" s="34">
        <v>90</v>
      </c>
      <c r="J74" s="11">
        <v>95</v>
      </c>
      <c r="K74" s="44">
        <f t="shared" ref="K74:K137" si="7">+IF(C74="","",(H74*F74*E74*D74)/1000000)</f>
        <v>6.0908150000000001</v>
      </c>
      <c r="L74" s="3" t="s">
        <v>61</v>
      </c>
      <c r="M74" s="3" t="s">
        <v>70</v>
      </c>
      <c r="N74" s="15">
        <f>ROUND((IF(L74="Blaze Shield II",IF(M74="Idiem software",IF(AND(C74="IN",G74=4),((('BLAZE SHIELD II'!$D$4*('HOJA DE CÁLCULO RESPALDO'!I74^2)+'BLAZE SHIELD II'!$D$5*'HOJA DE CÁLCULO RESPALDO'!I74+'BLAZE SHIELD II'!$D$6)*LN(J74))+('BLAZE SHIELD II'!$D$7*('HOJA DE CÁLCULO RESPALDO'!I74^2)+'BLAZE SHIELD II'!$D$8*'HOJA DE CÁLCULO RESPALDO'!I74+'BLAZE SHIELD II'!$D$9)),0),0),0))+(IF(L74="Blaze Shield II",IF(M74="Idiem software",IF(C74="Cj",((('BLAZE SHIELD II'!$H$4*('HOJA DE CÁLCULO RESPALDO'!I74^2)+'BLAZE SHIELD II'!$H$5*'HOJA DE CÁLCULO RESPALDO'!I74+'BLAZE SHIELD II'!$H$6)*LN(J74))+('BLAZE SHIELD II'!$H$7*('HOJA DE CÁLCULO RESPALDO'!I74^2)+'BLAZE SHIELD II'!$H$8*'HOJA DE CÁLCULO RESPALDO'!I74+'BLAZE SHIELD II'!$H$9)),0),0),0))+(IF(L74="Blaze Shield II",IF(M74="Idiem software",IF(C74="C",((('BLAZE SHIELD II'!$L$4*('HOJA DE CÁLCULO RESPALDO'!I74^2)+'BLAZE SHIELD II'!$L$5*'HOJA DE CÁLCULO RESPALDO'!I74+'BLAZE SHIELD II'!$L$6)*LN(J74))+('BLAZE SHIELD II'!$L$7*('HOJA DE CÁLCULO RESPALDO'!I74^2)+'BLAZE SHIELD II'!$L$8*'HOJA DE CÁLCULO RESPALDO'!I74+'BLAZE SHIELD II'!$L$9)),0),0),0))+(IF(L74="Blaze Shield II",IF(M74="Idiem software",IF(AND(C74="IN",G74=3),((('BLAZE SHIELD II'!$H$14*('HOJA DE CÁLCULO RESPALDO'!I74^2)+'BLAZE SHIELD II'!$H$15*'HOJA DE CÁLCULO RESPALDO'!I74+'BLAZE SHIELD II'!$H$16)*LN(J74))+('BLAZE SHIELD II'!$H$17*('HOJA DE CÁLCULO RESPALDO'!I74^2)+'BLAZE SHIELD II'!$H$18*'HOJA DE CÁLCULO RESPALDO'!I74+'BLAZE SHIELD II'!$H$19)),0),0),0)),0)</f>
        <v>0</v>
      </c>
      <c r="O74" s="46">
        <f t="shared" si="4"/>
        <v>0</v>
      </c>
      <c r="P74" s="80">
        <f t="shared" ref="P74:P137" si="8">+O74*$Q$2</f>
        <v>0</v>
      </c>
      <c r="Q74" s="85">
        <f>ROUND((IF(L74="Cafco 400",IF(M74="Idiem software",IF(AND(C74="IN",G74=4),((('CAFCO 400 '!$H$7*(J74^4)+'CAFCO 400 '!$H$8*(J74^3)+'CAFCO 400 '!$H$9*(J74^2)+'CAFCO 400 '!$H$10*J74+'CAFCO 400 '!$H$11)*I74^2)+(('CAFCO 400 '!$H$12*(J74^3)+'CAFCO 400 '!$H$13*(J74^2)+'CAFCO 400 '!$H$14*J74+'CAFCO 400 '!$H$15)*I74)+('CAFCO 400 '!$H$16*(J74^2)+'CAFCO 400 '!$H$17*J74+'CAFCO 400 '!$H$18)),0),0),0))+(IF(L74="Cafco 400",IF(M74="Idiem software",IF(C74="Cj",(((('CAFCO 400 '!$D$7*LN(J74)+'CAFCO 400 '!$D$8)*I74^2)+(('CAFCO 400 '!$D$9*LN(J74)+'CAFCO 400 '!$D$10)*I74)+('CAFCO 400 '!$D$11*LN(J74)+'CAFCO 400 '!$D$12))),0),0),0))+(IF(L74="Cafco 400",IF(M74="Idiem software",IF(C74="C",((('CAFCO 400 '!$L$7*(J74^3)+'CAFCO 400 '!$L$8*(J74^2)+'CAFCO 400 '!$L$9*J74+'CAFCO 400 '!$L$10)*I74^2)+(('CAFCO 400 '!$L$11*(J74^3)+'CAFCO 400 '!$L$12*(J74^2)+'CAFCO 400 '!$L$13*J74+'CAFCO 400 '!$L$14)*I74)+('CAFCO 400 '!$L$15*LN(J74)+'CAFCO 400 '!$L$16)),0),0),0))+(IF(L74="Cafco 400",IF(M74="Idiem software",IF(AND(C74="IN",G74=3),((('CAFCO 400 '!$D$23*(J74^2)+'CAFCO 400 '!$D$24*(J74)+'CAFCO 400 '!$D$25)*I74^2)+(('CAFCO 400 '!$D$26*(J74^2)+'CAFCO 400 '!$D$27*J74+'CAFCO 400 '!$D$28)*I74)+('CAFCO 400 '!$D$29*(J74^2)+'CAFCO 400 '!$D$30*J74+'CAFCO 400 '!$D$31)),0),0),0)),0)</f>
        <v>0</v>
      </c>
      <c r="R74" s="47">
        <f t="shared" si="5"/>
        <v>0</v>
      </c>
      <c r="S74" s="82">
        <f t="shared" ref="S74:S137" si="9">+R74*$Q$3</f>
        <v>0</v>
      </c>
      <c r="T74" s="81">
        <f>+IF(AND(J74&gt;=95,J74&lt;=240),IF(AND(C74="Cj",I74=90),VLOOKUP(W74,'CAFCO 300 IDIEM TABLAS'!$B$4:$D$23,2,FALSE),0)+IF(AND(J74&gt;=95,J74&lt;=240),IF(AND(C74="Cj",I74=120),VLOOKUP(W74,'CAFCO 300 IDIEM TABLAS'!$B$4:$D$23,3,FALSE),0))+IF(AND(J74&gt;=95,J74&lt;=400,G74=3),IF(AND(C74="IN",I74=90),VLOOKUP(W74,'CAFCO 300 IDIEM TABLAS'!$F$4:$H$35,2,FALSE),0),0)+IF(AND(J74&gt;=95,J74&lt;=400,G74=3),IF(AND(C74="IN",I74=120),VLOOKUP(W74,'CAFCO 300 IDIEM TABLAS'!$F$4:$H$35,3,FALSE),0),0)+IF(AND(J74&gt;=95,J74&lt;=450,G74=4),IF(AND(C74="IN",I74=90),VLOOKUP(W74,'CAFCO 300 IDIEM TABLAS'!$J$4:$L$40,2,FALSE),0),0)+IF(AND(J74&gt;=95,J74&lt;=450,G74=4),IF(AND(C74="IN",I74=120),VLOOKUP(W74,'CAFCO 300 IDIEM TABLAS'!$J$4:$L$40,3,FALSE),0),0))</f>
        <v>17</v>
      </c>
      <c r="U74" s="48">
        <f t="shared" si="6"/>
        <v>1.42887861521181</v>
      </c>
      <c r="V74" s="82">
        <f t="shared" ref="V74:V137" si="10">+U74*$Q$4</f>
        <v>21453.183528790116</v>
      </c>
      <c r="W74" s="64">
        <f>+IF(J74=LOOKUP(J74,'CAFCO 300 IDIEM TABLAS'!$J$4:$J$40),'HOJA DE CÁLCULO RESPALDO'!J74,MROUND('HOJA DE CÁLCULO RESPALDO'!J74,10))</f>
        <v>95</v>
      </c>
      <c r="X74" s="36"/>
      <c r="Y74" s="4"/>
    </row>
    <row r="75" spans="1:25" x14ac:dyDescent="0.25">
      <c r="A75" s="2" t="s">
        <v>38</v>
      </c>
      <c r="B75" s="3" t="s">
        <v>17</v>
      </c>
      <c r="C75" s="3" t="s">
        <v>19</v>
      </c>
      <c r="D75" s="3">
        <v>1</v>
      </c>
      <c r="E75" s="2">
        <v>1</v>
      </c>
      <c r="F75" s="8">
        <v>7100</v>
      </c>
      <c r="G75" s="1">
        <v>4</v>
      </c>
      <c r="H75" s="2">
        <v>785</v>
      </c>
      <c r="I75" s="34">
        <v>90</v>
      </c>
      <c r="J75" s="11">
        <v>95</v>
      </c>
      <c r="K75" s="44">
        <f t="shared" si="7"/>
        <v>5.5735000000000001</v>
      </c>
      <c r="L75" s="3" t="s">
        <v>61</v>
      </c>
      <c r="M75" s="3" t="s">
        <v>70</v>
      </c>
      <c r="N75" s="15">
        <f>ROUND((IF(L75="Blaze Shield II",IF(M75="Idiem software",IF(AND(C75="IN",G75=4),((('BLAZE SHIELD II'!$D$4*('HOJA DE CÁLCULO RESPALDO'!I75^2)+'BLAZE SHIELD II'!$D$5*'HOJA DE CÁLCULO RESPALDO'!I75+'BLAZE SHIELD II'!$D$6)*LN(J75))+('BLAZE SHIELD II'!$D$7*('HOJA DE CÁLCULO RESPALDO'!I75^2)+'BLAZE SHIELD II'!$D$8*'HOJA DE CÁLCULO RESPALDO'!I75+'BLAZE SHIELD II'!$D$9)),0),0),0))+(IF(L75="Blaze Shield II",IF(M75="Idiem software",IF(C75="Cj",((('BLAZE SHIELD II'!$H$4*('HOJA DE CÁLCULO RESPALDO'!I75^2)+'BLAZE SHIELD II'!$H$5*'HOJA DE CÁLCULO RESPALDO'!I75+'BLAZE SHIELD II'!$H$6)*LN(J75))+('BLAZE SHIELD II'!$H$7*('HOJA DE CÁLCULO RESPALDO'!I75^2)+'BLAZE SHIELD II'!$H$8*'HOJA DE CÁLCULO RESPALDO'!I75+'BLAZE SHIELD II'!$H$9)),0),0),0))+(IF(L75="Blaze Shield II",IF(M75="Idiem software",IF(C75="C",((('BLAZE SHIELD II'!$L$4*('HOJA DE CÁLCULO RESPALDO'!I75^2)+'BLAZE SHIELD II'!$L$5*'HOJA DE CÁLCULO RESPALDO'!I75+'BLAZE SHIELD II'!$L$6)*LN(J75))+('BLAZE SHIELD II'!$L$7*('HOJA DE CÁLCULO RESPALDO'!I75^2)+'BLAZE SHIELD II'!$L$8*'HOJA DE CÁLCULO RESPALDO'!I75+'BLAZE SHIELD II'!$L$9)),0),0),0))+(IF(L75="Blaze Shield II",IF(M75="Idiem software",IF(AND(C75="IN",G75=3),((('BLAZE SHIELD II'!$H$14*('HOJA DE CÁLCULO RESPALDO'!I75^2)+'BLAZE SHIELD II'!$H$15*'HOJA DE CÁLCULO RESPALDO'!I75+'BLAZE SHIELD II'!$H$16)*LN(J75))+('BLAZE SHIELD II'!$H$17*('HOJA DE CÁLCULO RESPALDO'!I75^2)+'BLAZE SHIELD II'!$H$18*'HOJA DE CÁLCULO RESPALDO'!I75+'BLAZE SHIELD II'!$H$19)),0),0),0)),0)</f>
        <v>0</v>
      </c>
      <c r="O75" s="46">
        <f t="shared" ref="O75:O138" si="11">((IF(L75="Blaze Shield II",((K75*N75*0.43)/38),0)))</f>
        <v>0</v>
      </c>
      <c r="P75" s="80">
        <f t="shared" si="8"/>
        <v>0</v>
      </c>
      <c r="Q75" s="85">
        <f>ROUND((IF(L75="Cafco 400",IF(M75="Idiem software",IF(AND(C75="IN",G75=4),((('CAFCO 400 '!$H$7*(J75^4)+'CAFCO 400 '!$H$8*(J75^3)+'CAFCO 400 '!$H$9*(J75^2)+'CAFCO 400 '!$H$10*J75+'CAFCO 400 '!$H$11)*I75^2)+(('CAFCO 400 '!$H$12*(J75^3)+'CAFCO 400 '!$H$13*(J75^2)+'CAFCO 400 '!$H$14*J75+'CAFCO 400 '!$H$15)*I75)+('CAFCO 400 '!$H$16*(J75^2)+'CAFCO 400 '!$H$17*J75+'CAFCO 400 '!$H$18)),0),0),0))+(IF(L75="Cafco 400",IF(M75="Idiem software",IF(C75="Cj",(((('CAFCO 400 '!$D$7*LN(J75)+'CAFCO 400 '!$D$8)*I75^2)+(('CAFCO 400 '!$D$9*LN(J75)+'CAFCO 400 '!$D$10)*I75)+('CAFCO 400 '!$D$11*LN(J75)+'CAFCO 400 '!$D$12))),0),0),0))+(IF(L75="Cafco 400",IF(M75="Idiem software",IF(C75="C",((('CAFCO 400 '!$L$7*(J75^3)+'CAFCO 400 '!$L$8*(J75^2)+'CAFCO 400 '!$L$9*J75+'CAFCO 400 '!$L$10)*I75^2)+(('CAFCO 400 '!$L$11*(J75^3)+'CAFCO 400 '!$L$12*(J75^2)+'CAFCO 400 '!$L$13*J75+'CAFCO 400 '!$L$14)*I75)+('CAFCO 400 '!$L$15*LN(J75)+'CAFCO 400 '!$L$16)),0),0),0))+(IF(L75="Cafco 400",IF(M75="Idiem software",IF(AND(C75="IN",G75=3),((('CAFCO 400 '!$D$23*(J75^2)+'CAFCO 400 '!$D$24*(J75)+'CAFCO 400 '!$D$25)*I75^2)+(('CAFCO 400 '!$D$26*(J75^2)+'CAFCO 400 '!$D$27*J75+'CAFCO 400 '!$D$28)*I75)+('CAFCO 400 '!$D$29*(J75^2)+'CAFCO 400 '!$D$30*J75+'CAFCO 400 '!$D$31)),0),0),0)),0)</f>
        <v>0</v>
      </c>
      <c r="R75" s="47">
        <f t="shared" ref="R75:R138" si="12">+((IF(L75="Cafco 400",((K75*Q75*0.43)/23),0)))</f>
        <v>0</v>
      </c>
      <c r="S75" s="82">
        <f t="shared" si="9"/>
        <v>0</v>
      </c>
      <c r="T75" s="81">
        <f>+IF(AND(J75&gt;=95,J75&lt;=240),IF(AND(C75="Cj",I75=90),VLOOKUP(W75,'CAFCO 300 IDIEM TABLAS'!$B$4:$D$23,2,FALSE),0)+IF(AND(J75&gt;=95,J75&lt;=240),IF(AND(C75="Cj",I75=120),VLOOKUP(W75,'CAFCO 300 IDIEM TABLAS'!$B$4:$D$23,3,FALSE),0))+IF(AND(J75&gt;=95,J75&lt;=400,G75=3),IF(AND(C75="IN",I75=90),VLOOKUP(W75,'CAFCO 300 IDIEM TABLAS'!$F$4:$H$35,2,FALSE),0),0)+IF(AND(J75&gt;=95,J75&lt;=400,G75=3),IF(AND(C75="IN",I75=120),VLOOKUP(W75,'CAFCO 300 IDIEM TABLAS'!$F$4:$H$35,3,FALSE),0),0)+IF(AND(J75&gt;=95,J75&lt;=450,G75=4),IF(AND(C75="IN",I75=90),VLOOKUP(W75,'CAFCO 300 IDIEM TABLAS'!$J$4:$L$40,2,FALSE),0),0)+IF(AND(J75&gt;=95,J75&lt;=450,G75=4),IF(AND(C75="IN",I75=120),VLOOKUP(W75,'CAFCO 300 IDIEM TABLAS'!$J$4:$L$40,3,FALSE),0),0))</f>
        <v>17</v>
      </c>
      <c r="U75" s="48">
        <f t="shared" ref="U75:U138" si="13">+((IF(L75="Cafco 300",((K75*T75*0.43)/31.16),0)))</f>
        <v>1.3075187740693195</v>
      </c>
      <c r="V75" s="82">
        <f t="shared" si="10"/>
        <v>19631.086873876764</v>
      </c>
      <c r="W75" s="64">
        <f>+IF(J75=LOOKUP(J75,'CAFCO 300 IDIEM TABLAS'!$J$4:$J$40),'HOJA DE CÁLCULO RESPALDO'!J75,MROUND('HOJA DE CÁLCULO RESPALDO'!J75,10))</f>
        <v>95</v>
      </c>
      <c r="X75" s="36"/>
      <c r="Y75" s="4"/>
    </row>
    <row r="76" spans="1:25" ht="15.6" customHeight="1" x14ac:dyDescent="0.25">
      <c r="A76" s="2" t="s">
        <v>38</v>
      </c>
      <c r="B76" s="3" t="s">
        <v>17</v>
      </c>
      <c r="C76" s="3" t="s">
        <v>19</v>
      </c>
      <c r="D76" s="3">
        <v>1</v>
      </c>
      <c r="E76" s="2">
        <v>1</v>
      </c>
      <c r="F76" s="8">
        <v>19050</v>
      </c>
      <c r="G76" s="1">
        <v>4</v>
      </c>
      <c r="H76" s="2">
        <v>1185</v>
      </c>
      <c r="I76" s="34">
        <v>90</v>
      </c>
      <c r="J76" s="11">
        <v>95</v>
      </c>
      <c r="K76" s="44">
        <f t="shared" si="7"/>
        <v>22.574249999999999</v>
      </c>
      <c r="L76" s="3" t="s">
        <v>61</v>
      </c>
      <c r="M76" s="3" t="s">
        <v>70</v>
      </c>
      <c r="N76" s="15">
        <f>ROUND((IF(L76="Blaze Shield II",IF(M76="Idiem software",IF(AND(C76="IN",G76=4),((('BLAZE SHIELD II'!$D$4*('HOJA DE CÁLCULO RESPALDO'!I76^2)+'BLAZE SHIELD II'!$D$5*'HOJA DE CÁLCULO RESPALDO'!I76+'BLAZE SHIELD II'!$D$6)*LN(J76))+('BLAZE SHIELD II'!$D$7*('HOJA DE CÁLCULO RESPALDO'!I76^2)+'BLAZE SHIELD II'!$D$8*'HOJA DE CÁLCULO RESPALDO'!I76+'BLAZE SHIELD II'!$D$9)),0),0),0))+(IF(L76="Blaze Shield II",IF(M76="Idiem software",IF(C76="Cj",((('BLAZE SHIELD II'!$H$4*('HOJA DE CÁLCULO RESPALDO'!I76^2)+'BLAZE SHIELD II'!$H$5*'HOJA DE CÁLCULO RESPALDO'!I76+'BLAZE SHIELD II'!$H$6)*LN(J76))+('BLAZE SHIELD II'!$H$7*('HOJA DE CÁLCULO RESPALDO'!I76^2)+'BLAZE SHIELD II'!$H$8*'HOJA DE CÁLCULO RESPALDO'!I76+'BLAZE SHIELD II'!$H$9)),0),0),0))+(IF(L76="Blaze Shield II",IF(M76="Idiem software",IF(C76="C",((('BLAZE SHIELD II'!$L$4*('HOJA DE CÁLCULO RESPALDO'!I76^2)+'BLAZE SHIELD II'!$L$5*'HOJA DE CÁLCULO RESPALDO'!I76+'BLAZE SHIELD II'!$L$6)*LN(J76))+('BLAZE SHIELD II'!$L$7*('HOJA DE CÁLCULO RESPALDO'!I76^2)+'BLAZE SHIELD II'!$L$8*'HOJA DE CÁLCULO RESPALDO'!I76+'BLAZE SHIELD II'!$L$9)),0),0),0))+(IF(L76="Blaze Shield II",IF(M76="Idiem software",IF(AND(C76="IN",G76=3),((('BLAZE SHIELD II'!$H$14*('HOJA DE CÁLCULO RESPALDO'!I76^2)+'BLAZE SHIELD II'!$H$15*'HOJA DE CÁLCULO RESPALDO'!I76+'BLAZE SHIELD II'!$H$16)*LN(J76))+('BLAZE SHIELD II'!$H$17*('HOJA DE CÁLCULO RESPALDO'!I76^2)+'BLAZE SHIELD II'!$H$18*'HOJA DE CÁLCULO RESPALDO'!I76+'BLAZE SHIELD II'!$H$19)),0),0),0)),0)</f>
        <v>0</v>
      </c>
      <c r="O76" s="46">
        <f t="shared" si="11"/>
        <v>0</v>
      </c>
      <c r="P76" s="80">
        <f t="shared" si="8"/>
        <v>0</v>
      </c>
      <c r="Q76" s="85">
        <f>ROUND((IF(L76="Cafco 400",IF(M76="Idiem software",IF(AND(C76="IN",G76=4),((('CAFCO 400 '!$H$7*(J76^4)+'CAFCO 400 '!$H$8*(J76^3)+'CAFCO 400 '!$H$9*(J76^2)+'CAFCO 400 '!$H$10*J76+'CAFCO 400 '!$H$11)*I76^2)+(('CAFCO 400 '!$H$12*(J76^3)+'CAFCO 400 '!$H$13*(J76^2)+'CAFCO 400 '!$H$14*J76+'CAFCO 400 '!$H$15)*I76)+('CAFCO 400 '!$H$16*(J76^2)+'CAFCO 400 '!$H$17*J76+'CAFCO 400 '!$H$18)),0),0),0))+(IF(L76="Cafco 400",IF(M76="Idiem software",IF(C76="Cj",(((('CAFCO 400 '!$D$7*LN(J76)+'CAFCO 400 '!$D$8)*I76^2)+(('CAFCO 400 '!$D$9*LN(J76)+'CAFCO 400 '!$D$10)*I76)+('CAFCO 400 '!$D$11*LN(J76)+'CAFCO 400 '!$D$12))),0),0),0))+(IF(L76="Cafco 400",IF(M76="Idiem software",IF(C76="C",((('CAFCO 400 '!$L$7*(J76^3)+'CAFCO 400 '!$L$8*(J76^2)+'CAFCO 400 '!$L$9*J76+'CAFCO 400 '!$L$10)*I76^2)+(('CAFCO 400 '!$L$11*(J76^3)+'CAFCO 400 '!$L$12*(J76^2)+'CAFCO 400 '!$L$13*J76+'CAFCO 400 '!$L$14)*I76)+('CAFCO 400 '!$L$15*LN(J76)+'CAFCO 400 '!$L$16)),0),0),0))+(IF(L76="Cafco 400",IF(M76="Idiem software",IF(AND(C76="IN",G76=3),((('CAFCO 400 '!$D$23*(J76^2)+'CAFCO 400 '!$D$24*(J76)+'CAFCO 400 '!$D$25)*I76^2)+(('CAFCO 400 '!$D$26*(J76^2)+'CAFCO 400 '!$D$27*J76+'CAFCO 400 '!$D$28)*I76)+('CAFCO 400 '!$D$29*(J76^2)+'CAFCO 400 '!$D$30*J76+'CAFCO 400 '!$D$31)),0),0),0)),0)</f>
        <v>0</v>
      </c>
      <c r="R76" s="47">
        <f t="shared" si="12"/>
        <v>0</v>
      </c>
      <c r="S76" s="82">
        <f t="shared" si="9"/>
        <v>0</v>
      </c>
      <c r="T76" s="81">
        <f>+IF(AND(J76&gt;=95,J76&lt;=240),IF(AND(C76="Cj",I76=90),VLOOKUP(W76,'CAFCO 300 IDIEM TABLAS'!$B$4:$D$23,2,FALSE),0)+IF(AND(J76&gt;=95,J76&lt;=240),IF(AND(C76="Cj",I76=120),VLOOKUP(W76,'CAFCO 300 IDIEM TABLAS'!$B$4:$D$23,3,FALSE),0))+IF(AND(J76&gt;=95,J76&lt;=400,G76=3),IF(AND(C76="IN",I76=90),VLOOKUP(W76,'CAFCO 300 IDIEM TABLAS'!$F$4:$H$35,2,FALSE),0),0)+IF(AND(J76&gt;=95,J76&lt;=400,G76=3),IF(AND(C76="IN",I76=120),VLOOKUP(W76,'CAFCO 300 IDIEM TABLAS'!$F$4:$H$35,3,FALSE),0),0)+IF(AND(J76&gt;=95,J76&lt;=450,G76=4),IF(AND(C76="IN",I76=90),VLOOKUP(W76,'CAFCO 300 IDIEM TABLAS'!$J$4:$L$40,2,FALSE),0),0)+IF(AND(J76&gt;=95,J76&lt;=450,G76=4),IF(AND(C76="IN",I76=120),VLOOKUP(W76,'CAFCO 300 IDIEM TABLAS'!$J$4:$L$40,3,FALSE),0),0))</f>
        <v>17</v>
      </c>
      <c r="U76" s="48">
        <f t="shared" si="13"/>
        <v>5.2958205231065465</v>
      </c>
      <c r="V76" s="82">
        <f t="shared" si="10"/>
        <v>79511.449333921686</v>
      </c>
      <c r="W76" s="64">
        <f>+IF(J76=LOOKUP(J76,'CAFCO 300 IDIEM TABLAS'!$J$4:$J$40),'HOJA DE CÁLCULO RESPALDO'!J76,MROUND('HOJA DE CÁLCULO RESPALDO'!J76,10))</f>
        <v>95</v>
      </c>
      <c r="X76" s="36"/>
      <c r="Y76" s="4"/>
    </row>
    <row r="77" spans="1:25" x14ac:dyDescent="0.25">
      <c r="A77" s="2" t="s">
        <v>38</v>
      </c>
      <c r="B77" s="3" t="s">
        <v>17</v>
      </c>
      <c r="C77" s="3" t="s">
        <v>19</v>
      </c>
      <c r="D77" s="3">
        <v>1</v>
      </c>
      <c r="E77" s="2">
        <v>1</v>
      </c>
      <c r="F77" s="8">
        <v>4255</v>
      </c>
      <c r="G77" s="1">
        <v>4</v>
      </c>
      <c r="H77" s="2">
        <v>1185</v>
      </c>
      <c r="I77" s="34">
        <v>90</v>
      </c>
      <c r="J77" s="11">
        <v>95</v>
      </c>
      <c r="K77" s="44">
        <f t="shared" si="7"/>
        <v>5.0421750000000003</v>
      </c>
      <c r="L77" s="3" t="s">
        <v>61</v>
      </c>
      <c r="M77" s="3" t="s">
        <v>70</v>
      </c>
      <c r="N77" s="15">
        <f>ROUND((IF(L77="Blaze Shield II",IF(M77="Idiem software",IF(AND(C77="IN",G77=4),((('BLAZE SHIELD II'!$D$4*('HOJA DE CÁLCULO RESPALDO'!I77^2)+'BLAZE SHIELD II'!$D$5*'HOJA DE CÁLCULO RESPALDO'!I77+'BLAZE SHIELD II'!$D$6)*LN(J77))+('BLAZE SHIELD II'!$D$7*('HOJA DE CÁLCULO RESPALDO'!I77^2)+'BLAZE SHIELD II'!$D$8*'HOJA DE CÁLCULO RESPALDO'!I77+'BLAZE SHIELD II'!$D$9)),0),0),0))+(IF(L77="Blaze Shield II",IF(M77="Idiem software",IF(C77="Cj",((('BLAZE SHIELD II'!$H$4*('HOJA DE CÁLCULO RESPALDO'!I77^2)+'BLAZE SHIELD II'!$H$5*'HOJA DE CÁLCULO RESPALDO'!I77+'BLAZE SHIELD II'!$H$6)*LN(J77))+('BLAZE SHIELD II'!$H$7*('HOJA DE CÁLCULO RESPALDO'!I77^2)+'BLAZE SHIELD II'!$H$8*'HOJA DE CÁLCULO RESPALDO'!I77+'BLAZE SHIELD II'!$H$9)),0),0),0))+(IF(L77="Blaze Shield II",IF(M77="Idiem software",IF(C77="C",((('BLAZE SHIELD II'!$L$4*('HOJA DE CÁLCULO RESPALDO'!I77^2)+'BLAZE SHIELD II'!$L$5*'HOJA DE CÁLCULO RESPALDO'!I77+'BLAZE SHIELD II'!$L$6)*LN(J77))+('BLAZE SHIELD II'!$L$7*('HOJA DE CÁLCULO RESPALDO'!I77^2)+'BLAZE SHIELD II'!$L$8*'HOJA DE CÁLCULO RESPALDO'!I77+'BLAZE SHIELD II'!$L$9)),0),0),0))+(IF(L77="Blaze Shield II",IF(M77="Idiem software",IF(AND(C77="IN",G77=3),((('BLAZE SHIELD II'!$H$14*('HOJA DE CÁLCULO RESPALDO'!I77^2)+'BLAZE SHIELD II'!$H$15*'HOJA DE CÁLCULO RESPALDO'!I77+'BLAZE SHIELD II'!$H$16)*LN(J77))+('BLAZE SHIELD II'!$H$17*('HOJA DE CÁLCULO RESPALDO'!I77^2)+'BLAZE SHIELD II'!$H$18*'HOJA DE CÁLCULO RESPALDO'!I77+'BLAZE SHIELD II'!$H$19)),0),0),0)),0)</f>
        <v>0</v>
      </c>
      <c r="O77" s="46">
        <f t="shared" si="11"/>
        <v>0</v>
      </c>
      <c r="P77" s="80">
        <f t="shared" si="8"/>
        <v>0</v>
      </c>
      <c r="Q77" s="85">
        <f>ROUND((IF(L77="Cafco 400",IF(M77="Idiem software",IF(AND(C77="IN",G77=4),((('CAFCO 400 '!$H$7*(J77^4)+'CAFCO 400 '!$H$8*(J77^3)+'CAFCO 400 '!$H$9*(J77^2)+'CAFCO 400 '!$H$10*J77+'CAFCO 400 '!$H$11)*I77^2)+(('CAFCO 400 '!$H$12*(J77^3)+'CAFCO 400 '!$H$13*(J77^2)+'CAFCO 400 '!$H$14*J77+'CAFCO 400 '!$H$15)*I77)+('CAFCO 400 '!$H$16*(J77^2)+'CAFCO 400 '!$H$17*J77+'CAFCO 400 '!$H$18)),0),0),0))+(IF(L77="Cafco 400",IF(M77="Idiem software",IF(C77="Cj",(((('CAFCO 400 '!$D$7*LN(J77)+'CAFCO 400 '!$D$8)*I77^2)+(('CAFCO 400 '!$D$9*LN(J77)+'CAFCO 400 '!$D$10)*I77)+('CAFCO 400 '!$D$11*LN(J77)+'CAFCO 400 '!$D$12))),0),0),0))+(IF(L77="Cafco 400",IF(M77="Idiem software",IF(C77="C",((('CAFCO 400 '!$L$7*(J77^3)+'CAFCO 400 '!$L$8*(J77^2)+'CAFCO 400 '!$L$9*J77+'CAFCO 400 '!$L$10)*I77^2)+(('CAFCO 400 '!$L$11*(J77^3)+'CAFCO 400 '!$L$12*(J77^2)+'CAFCO 400 '!$L$13*J77+'CAFCO 400 '!$L$14)*I77)+('CAFCO 400 '!$L$15*LN(J77)+'CAFCO 400 '!$L$16)),0),0),0))+(IF(L77="Cafco 400",IF(M77="Idiem software",IF(AND(C77="IN",G77=3),((('CAFCO 400 '!$D$23*(J77^2)+'CAFCO 400 '!$D$24*(J77)+'CAFCO 400 '!$D$25)*I77^2)+(('CAFCO 400 '!$D$26*(J77^2)+'CAFCO 400 '!$D$27*J77+'CAFCO 400 '!$D$28)*I77)+('CAFCO 400 '!$D$29*(J77^2)+'CAFCO 400 '!$D$30*J77+'CAFCO 400 '!$D$31)),0),0),0)),0)</f>
        <v>0</v>
      </c>
      <c r="R77" s="47">
        <f t="shared" si="12"/>
        <v>0</v>
      </c>
      <c r="S77" s="82">
        <f t="shared" si="9"/>
        <v>0</v>
      </c>
      <c r="T77" s="81">
        <f>+IF(AND(J77&gt;=95,J77&lt;=240),IF(AND(C77="Cj",I77=90),VLOOKUP(W77,'CAFCO 300 IDIEM TABLAS'!$B$4:$D$23,2,FALSE),0)+IF(AND(J77&gt;=95,J77&lt;=240),IF(AND(C77="Cj",I77=120),VLOOKUP(W77,'CAFCO 300 IDIEM TABLAS'!$B$4:$D$23,3,FALSE),0))+IF(AND(J77&gt;=95,J77&lt;=400,G77=3),IF(AND(C77="IN",I77=90),VLOOKUP(W77,'CAFCO 300 IDIEM TABLAS'!$F$4:$H$35,2,FALSE),0),0)+IF(AND(J77&gt;=95,J77&lt;=400,G77=3),IF(AND(C77="IN",I77=120),VLOOKUP(W77,'CAFCO 300 IDIEM TABLAS'!$F$4:$H$35,3,FALSE),0),0)+IF(AND(J77&gt;=95,J77&lt;=450,G77=4),IF(AND(C77="IN",I77=90),VLOOKUP(W77,'CAFCO 300 IDIEM TABLAS'!$J$4:$L$40,2,FALSE),0),0)+IF(AND(J77&gt;=95,J77&lt;=450,G77=4),IF(AND(C77="IN",I77=120),VLOOKUP(W77,'CAFCO 300 IDIEM TABLAS'!$J$4:$L$40,3,FALSE),0),0))</f>
        <v>17</v>
      </c>
      <c r="U77" s="48">
        <f t="shared" si="13"/>
        <v>1.1828722480744545</v>
      </c>
      <c r="V77" s="82">
        <f t="shared" si="10"/>
        <v>17759.643932589861</v>
      </c>
      <c r="W77" s="64">
        <f>+IF(J77=LOOKUP(J77,'CAFCO 300 IDIEM TABLAS'!$J$4:$J$40),'HOJA DE CÁLCULO RESPALDO'!J77,MROUND('HOJA DE CÁLCULO RESPALDO'!J77,10))</f>
        <v>95</v>
      </c>
      <c r="X77" s="36"/>
      <c r="Y77" s="4"/>
    </row>
    <row r="78" spans="1:25" ht="15.6" customHeight="1" x14ac:dyDescent="0.25">
      <c r="A78" s="2" t="s">
        <v>38</v>
      </c>
      <c r="B78" s="3" t="s">
        <v>17</v>
      </c>
      <c r="C78" s="3" t="s">
        <v>19</v>
      </c>
      <c r="D78" s="3">
        <v>1</v>
      </c>
      <c r="E78" s="2">
        <v>1</v>
      </c>
      <c r="F78" s="8">
        <v>89250</v>
      </c>
      <c r="G78" s="1">
        <v>4</v>
      </c>
      <c r="H78" s="2">
        <v>1190</v>
      </c>
      <c r="I78" s="34">
        <v>90</v>
      </c>
      <c r="J78" s="11">
        <v>95</v>
      </c>
      <c r="K78" s="44">
        <f t="shared" si="7"/>
        <v>106.2075</v>
      </c>
      <c r="L78" s="3" t="s">
        <v>61</v>
      </c>
      <c r="M78" s="3" t="s">
        <v>70</v>
      </c>
      <c r="N78" s="15">
        <f>ROUND((IF(L78="Blaze Shield II",IF(M78="Idiem software",IF(AND(C78="IN",G78=4),((('BLAZE SHIELD II'!$D$4*('HOJA DE CÁLCULO RESPALDO'!I78^2)+'BLAZE SHIELD II'!$D$5*'HOJA DE CÁLCULO RESPALDO'!I78+'BLAZE SHIELD II'!$D$6)*LN(J78))+('BLAZE SHIELD II'!$D$7*('HOJA DE CÁLCULO RESPALDO'!I78^2)+'BLAZE SHIELD II'!$D$8*'HOJA DE CÁLCULO RESPALDO'!I78+'BLAZE SHIELD II'!$D$9)),0),0),0))+(IF(L78="Blaze Shield II",IF(M78="Idiem software",IF(C78="Cj",((('BLAZE SHIELD II'!$H$4*('HOJA DE CÁLCULO RESPALDO'!I78^2)+'BLAZE SHIELD II'!$H$5*'HOJA DE CÁLCULO RESPALDO'!I78+'BLAZE SHIELD II'!$H$6)*LN(J78))+('BLAZE SHIELD II'!$H$7*('HOJA DE CÁLCULO RESPALDO'!I78^2)+'BLAZE SHIELD II'!$H$8*'HOJA DE CÁLCULO RESPALDO'!I78+'BLAZE SHIELD II'!$H$9)),0),0),0))+(IF(L78="Blaze Shield II",IF(M78="Idiem software",IF(C78="C",((('BLAZE SHIELD II'!$L$4*('HOJA DE CÁLCULO RESPALDO'!I78^2)+'BLAZE SHIELD II'!$L$5*'HOJA DE CÁLCULO RESPALDO'!I78+'BLAZE SHIELD II'!$L$6)*LN(J78))+('BLAZE SHIELD II'!$L$7*('HOJA DE CÁLCULO RESPALDO'!I78^2)+'BLAZE SHIELD II'!$L$8*'HOJA DE CÁLCULO RESPALDO'!I78+'BLAZE SHIELD II'!$L$9)),0),0),0))+(IF(L78="Blaze Shield II",IF(M78="Idiem software",IF(AND(C78="IN",G78=3),((('BLAZE SHIELD II'!$H$14*('HOJA DE CÁLCULO RESPALDO'!I78^2)+'BLAZE SHIELD II'!$H$15*'HOJA DE CÁLCULO RESPALDO'!I78+'BLAZE SHIELD II'!$H$16)*LN(J78))+('BLAZE SHIELD II'!$H$17*('HOJA DE CÁLCULO RESPALDO'!I78^2)+'BLAZE SHIELD II'!$H$18*'HOJA DE CÁLCULO RESPALDO'!I78+'BLAZE SHIELD II'!$H$19)),0),0),0)),0)</f>
        <v>0</v>
      </c>
      <c r="O78" s="46">
        <f t="shared" si="11"/>
        <v>0</v>
      </c>
      <c r="P78" s="80">
        <f t="shared" si="8"/>
        <v>0</v>
      </c>
      <c r="Q78" s="85">
        <f>ROUND((IF(L78="Cafco 400",IF(M78="Idiem software",IF(AND(C78="IN",G78=4),((('CAFCO 400 '!$H$7*(J78^4)+'CAFCO 400 '!$H$8*(J78^3)+'CAFCO 400 '!$H$9*(J78^2)+'CAFCO 400 '!$H$10*J78+'CAFCO 400 '!$H$11)*I78^2)+(('CAFCO 400 '!$H$12*(J78^3)+'CAFCO 400 '!$H$13*(J78^2)+'CAFCO 400 '!$H$14*J78+'CAFCO 400 '!$H$15)*I78)+('CAFCO 400 '!$H$16*(J78^2)+'CAFCO 400 '!$H$17*J78+'CAFCO 400 '!$H$18)),0),0),0))+(IF(L78="Cafco 400",IF(M78="Idiem software",IF(C78="Cj",(((('CAFCO 400 '!$D$7*LN(J78)+'CAFCO 400 '!$D$8)*I78^2)+(('CAFCO 400 '!$D$9*LN(J78)+'CAFCO 400 '!$D$10)*I78)+('CAFCO 400 '!$D$11*LN(J78)+'CAFCO 400 '!$D$12))),0),0),0))+(IF(L78="Cafco 400",IF(M78="Idiem software",IF(C78="C",((('CAFCO 400 '!$L$7*(J78^3)+'CAFCO 400 '!$L$8*(J78^2)+'CAFCO 400 '!$L$9*J78+'CAFCO 400 '!$L$10)*I78^2)+(('CAFCO 400 '!$L$11*(J78^3)+'CAFCO 400 '!$L$12*(J78^2)+'CAFCO 400 '!$L$13*J78+'CAFCO 400 '!$L$14)*I78)+('CAFCO 400 '!$L$15*LN(J78)+'CAFCO 400 '!$L$16)),0),0),0))+(IF(L78="Cafco 400",IF(M78="Idiem software",IF(AND(C78="IN",G78=3),((('CAFCO 400 '!$D$23*(J78^2)+'CAFCO 400 '!$D$24*(J78)+'CAFCO 400 '!$D$25)*I78^2)+(('CAFCO 400 '!$D$26*(J78^2)+'CAFCO 400 '!$D$27*J78+'CAFCO 400 '!$D$28)*I78)+('CAFCO 400 '!$D$29*(J78^2)+'CAFCO 400 '!$D$30*J78+'CAFCO 400 '!$D$31)),0),0),0)),0)</f>
        <v>0</v>
      </c>
      <c r="R78" s="47">
        <f t="shared" si="12"/>
        <v>0</v>
      </c>
      <c r="S78" s="82">
        <f t="shared" si="9"/>
        <v>0</v>
      </c>
      <c r="T78" s="81">
        <f>+IF(AND(J78&gt;=95,J78&lt;=240),IF(AND(C78="Cj",I78=90),VLOOKUP(W78,'CAFCO 300 IDIEM TABLAS'!$B$4:$D$23,2,FALSE),0)+IF(AND(J78&gt;=95,J78&lt;=240),IF(AND(C78="Cj",I78=120),VLOOKUP(W78,'CAFCO 300 IDIEM TABLAS'!$B$4:$D$23,3,FALSE),0))+IF(AND(J78&gt;=95,J78&lt;=400,G78=3),IF(AND(C78="IN",I78=90),VLOOKUP(W78,'CAFCO 300 IDIEM TABLAS'!$F$4:$H$35,2,FALSE),0),0)+IF(AND(J78&gt;=95,J78&lt;=400,G78=3),IF(AND(C78="IN",I78=120),VLOOKUP(W78,'CAFCO 300 IDIEM TABLAS'!$F$4:$H$35,3,FALSE),0),0)+IF(AND(J78&gt;=95,J78&lt;=450,G78=4),IF(AND(C78="IN",I78=90),VLOOKUP(W78,'CAFCO 300 IDIEM TABLAS'!$J$4:$L$40,2,FALSE),0),0)+IF(AND(J78&gt;=95,J78&lt;=450,G78=4),IF(AND(C78="IN",I78=120),VLOOKUP(W78,'CAFCO 300 IDIEM TABLAS'!$J$4:$L$40,3,FALSE),0),0))</f>
        <v>17</v>
      </c>
      <c r="U78" s="48">
        <f t="shared" si="13"/>
        <v>24.915815949935812</v>
      </c>
      <c r="V78" s="82">
        <f t="shared" si="10"/>
        <v>374086.06067233626</v>
      </c>
      <c r="W78" s="64">
        <f>+IF(J78=LOOKUP(J78,'CAFCO 300 IDIEM TABLAS'!$J$4:$J$40),'HOJA DE CÁLCULO RESPALDO'!J78,MROUND('HOJA DE CÁLCULO RESPALDO'!J78,10))</f>
        <v>95</v>
      </c>
      <c r="X78" s="36"/>
      <c r="Y78" s="4"/>
    </row>
    <row r="79" spans="1:25" x14ac:dyDescent="0.25">
      <c r="A79" s="2" t="s">
        <v>38</v>
      </c>
      <c r="B79" s="3" t="s">
        <v>17</v>
      </c>
      <c r="C79" s="3" t="s">
        <v>19</v>
      </c>
      <c r="D79" s="3">
        <v>1</v>
      </c>
      <c r="E79" s="2">
        <v>1</v>
      </c>
      <c r="F79" s="8">
        <v>13000</v>
      </c>
      <c r="G79" s="1">
        <v>4</v>
      </c>
      <c r="H79" s="2">
        <v>1181</v>
      </c>
      <c r="I79" s="34">
        <v>90</v>
      </c>
      <c r="J79" s="11">
        <v>95</v>
      </c>
      <c r="K79" s="44">
        <f t="shared" si="7"/>
        <v>15.353</v>
      </c>
      <c r="L79" s="3" t="s">
        <v>61</v>
      </c>
      <c r="M79" s="3" t="s">
        <v>70</v>
      </c>
      <c r="N79" s="15">
        <f>ROUND((IF(L79="Blaze Shield II",IF(M79="Idiem software",IF(AND(C79="IN",G79=4),((('BLAZE SHIELD II'!$D$4*('HOJA DE CÁLCULO RESPALDO'!I79^2)+'BLAZE SHIELD II'!$D$5*'HOJA DE CÁLCULO RESPALDO'!I79+'BLAZE SHIELD II'!$D$6)*LN(J79))+('BLAZE SHIELD II'!$D$7*('HOJA DE CÁLCULO RESPALDO'!I79^2)+'BLAZE SHIELD II'!$D$8*'HOJA DE CÁLCULO RESPALDO'!I79+'BLAZE SHIELD II'!$D$9)),0),0),0))+(IF(L79="Blaze Shield II",IF(M79="Idiem software",IF(C79="Cj",((('BLAZE SHIELD II'!$H$4*('HOJA DE CÁLCULO RESPALDO'!I79^2)+'BLAZE SHIELD II'!$H$5*'HOJA DE CÁLCULO RESPALDO'!I79+'BLAZE SHIELD II'!$H$6)*LN(J79))+('BLAZE SHIELD II'!$H$7*('HOJA DE CÁLCULO RESPALDO'!I79^2)+'BLAZE SHIELD II'!$H$8*'HOJA DE CÁLCULO RESPALDO'!I79+'BLAZE SHIELD II'!$H$9)),0),0),0))+(IF(L79="Blaze Shield II",IF(M79="Idiem software",IF(C79="C",((('BLAZE SHIELD II'!$L$4*('HOJA DE CÁLCULO RESPALDO'!I79^2)+'BLAZE SHIELD II'!$L$5*'HOJA DE CÁLCULO RESPALDO'!I79+'BLAZE SHIELD II'!$L$6)*LN(J79))+('BLAZE SHIELD II'!$L$7*('HOJA DE CÁLCULO RESPALDO'!I79^2)+'BLAZE SHIELD II'!$L$8*'HOJA DE CÁLCULO RESPALDO'!I79+'BLAZE SHIELD II'!$L$9)),0),0),0))+(IF(L79="Blaze Shield II",IF(M79="Idiem software",IF(AND(C79="IN",G79=3),((('BLAZE SHIELD II'!$H$14*('HOJA DE CÁLCULO RESPALDO'!I79^2)+'BLAZE SHIELD II'!$H$15*'HOJA DE CÁLCULO RESPALDO'!I79+'BLAZE SHIELD II'!$H$16)*LN(J79))+('BLAZE SHIELD II'!$H$17*('HOJA DE CÁLCULO RESPALDO'!I79^2)+'BLAZE SHIELD II'!$H$18*'HOJA DE CÁLCULO RESPALDO'!I79+'BLAZE SHIELD II'!$H$19)),0),0),0)),0)</f>
        <v>0</v>
      </c>
      <c r="O79" s="46">
        <f t="shared" si="11"/>
        <v>0</v>
      </c>
      <c r="P79" s="80">
        <f t="shared" si="8"/>
        <v>0</v>
      </c>
      <c r="Q79" s="85">
        <f>ROUND((IF(L79="Cafco 400",IF(M79="Idiem software",IF(AND(C79="IN",G79=4),((('CAFCO 400 '!$H$7*(J79^4)+'CAFCO 400 '!$H$8*(J79^3)+'CAFCO 400 '!$H$9*(J79^2)+'CAFCO 400 '!$H$10*J79+'CAFCO 400 '!$H$11)*I79^2)+(('CAFCO 400 '!$H$12*(J79^3)+'CAFCO 400 '!$H$13*(J79^2)+'CAFCO 400 '!$H$14*J79+'CAFCO 400 '!$H$15)*I79)+('CAFCO 400 '!$H$16*(J79^2)+'CAFCO 400 '!$H$17*J79+'CAFCO 400 '!$H$18)),0),0),0))+(IF(L79="Cafco 400",IF(M79="Idiem software",IF(C79="Cj",(((('CAFCO 400 '!$D$7*LN(J79)+'CAFCO 400 '!$D$8)*I79^2)+(('CAFCO 400 '!$D$9*LN(J79)+'CAFCO 400 '!$D$10)*I79)+('CAFCO 400 '!$D$11*LN(J79)+'CAFCO 400 '!$D$12))),0),0),0))+(IF(L79="Cafco 400",IF(M79="Idiem software",IF(C79="C",((('CAFCO 400 '!$L$7*(J79^3)+'CAFCO 400 '!$L$8*(J79^2)+'CAFCO 400 '!$L$9*J79+'CAFCO 400 '!$L$10)*I79^2)+(('CAFCO 400 '!$L$11*(J79^3)+'CAFCO 400 '!$L$12*(J79^2)+'CAFCO 400 '!$L$13*J79+'CAFCO 400 '!$L$14)*I79)+('CAFCO 400 '!$L$15*LN(J79)+'CAFCO 400 '!$L$16)),0),0),0))+(IF(L79="Cafco 400",IF(M79="Idiem software",IF(AND(C79="IN",G79=3),((('CAFCO 400 '!$D$23*(J79^2)+'CAFCO 400 '!$D$24*(J79)+'CAFCO 400 '!$D$25)*I79^2)+(('CAFCO 400 '!$D$26*(J79^2)+'CAFCO 400 '!$D$27*J79+'CAFCO 400 '!$D$28)*I79)+('CAFCO 400 '!$D$29*(J79^2)+'CAFCO 400 '!$D$30*J79+'CAFCO 400 '!$D$31)),0),0),0)),0)</f>
        <v>0</v>
      </c>
      <c r="R79" s="47">
        <f t="shared" si="12"/>
        <v>0</v>
      </c>
      <c r="S79" s="82">
        <f t="shared" si="9"/>
        <v>0</v>
      </c>
      <c r="T79" s="81">
        <f>+IF(AND(J79&gt;=95,J79&lt;=240),IF(AND(C79="Cj",I79=90),VLOOKUP(W79,'CAFCO 300 IDIEM TABLAS'!$B$4:$D$23,2,FALSE),0)+IF(AND(J79&gt;=95,J79&lt;=240),IF(AND(C79="Cj",I79=120),VLOOKUP(W79,'CAFCO 300 IDIEM TABLAS'!$B$4:$D$23,3,FALSE),0))+IF(AND(J79&gt;=95,J79&lt;=400,G79=3),IF(AND(C79="IN",I79=90),VLOOKUP(W79,'CAFCO 300 IDIEM TABLAS'!$F$4:$H$35,2,FALSE),0),0)+IF(AND(J79&gt;=95,J79&lt;=400,G79=3),IF(AND(C79="IN",I79=120),VLOOKUP(W79,'CAFCO 300 IDIEM TABLAS'!$F$4:$H$35,3,FALSE),0),0)+IF(AND(J79&gt;=95,J79&lt;=450,G79=4),IF(AND(C79="IN",I79=90),VLOOKUP(W79,'CAFCO 300 IDIEM TABLAS'!$J$4:$L$40,2,FALSE),0),0)+IF(AND(J79&gt;=95,J79&lt;=450,G79=4),IF(AND(C79="IN",I79=120),VLOOKUP(W79,'CAFCO 300 IDIEM TABLAS'!$J$4:$L$40,3,FALSE),0),0))</f>
        <v>17</v>
      </c>
      <c r="U79" s="48">
        <f t="shared" si="13"/>
        <v>3.6017467907573808</v>
      </c>
      <c r="V79" s="82">
        <f t="shared" si="10"/>
        <v>54076.626316431313</v>
      </c>
      <c r="W79" s="64">
        <f>+IF(J79=LOOKUP(J79,'CAFCO 300 IDIEM TABLAS'!$J$4:$J$40),'HOJA DE CÁLCULO RESPALDO'!J79,MROUND('HOJA DE CÁLCULO RESPALDO'!J79,10))</f>
        <v>95</v>
      </c>
      <c r="X79" s="36"/>
      <c r="Y79" s="4"/>
    </row>
    <row r="80" spans="1:25" ht="15.6" customHeight="1" x14ac:dyDescent="0.25">
      <c r="A80" s="2" t="s">
        <v>38</v>
      </c>
      <c r="B80" s="3" t="s">
        <v>17</v>
      </c>
      <c r="C80" s="3" t="s">
        <v>19</v>
      </c>
      <c r="D80" s="3">
        <v>1</v>
      </c>
      <c r="E80" s="2">
        <v>1</v>
      </c>
      <c r="F80" s="8">
        <v>4250</v>
      </c>
      <c r="G80" s="1">
        <v>4</v>
      </c>
      <c r="H80" s="2">
        <v>1181</v>
      </c>
      <c r="I80" s="34">
        <v>90</v>
      </c>
      <c r="J80" s="11">
        <v>95</v>
      </c>
      <c r="K80" s="44">
        <f t="shared" si="7"/>
        <v>5.0192500000000004</v>
      </c>
      <c r="L80" s="3" t="s">
        <v>61</v>
      </c>
      <c r="M80" s="3" t="s">
        <v>70</v>
      </c>
      <c r="N80" s="15">
        <f>ROUND((IF(L80="Blaze Shield II",IF(M80="Idiem software",IF(AND(C80="IN",G80=4),((('BLAZE SHIELD II'!$D$4*('HOJA DE CÁLCULO RESPALDO'!I80^2)+'BLAZE SHIELD II'!$D$5*'HOJA DE CÁLCULO RESPALDO'!I80+'BLAZE SHIELD II'!$D$6)*LN(J80))+('BLAZE SHIELD II'!$D$7*('HOJA DE CÁLCULO RESPALDO'!I80^2)+'BLAZE SHIELD II'!$D$8*'HOJA DE CÁLCULO RESPALDO'!I80+'BLAZE SHIELD II'!$D$9)),0),0),0))+(IF(L80="Blaze Shield II",IF(M80="Idiem software",IF(C80="Cj",((('BLAZE SHIELD II'!$H$4*('HOJA DE CÁLCULO RESPALDO'!I80^2)+'BLAZE SHIELD II'!$H$5*'HOJA DE CÁLCULO RESPALDO'!I80+'BLAZE SHIELD II'!$H$6)*LN(J80))+('BLAZE SHIELD II'!$H$7*('HOJA DE CÁLCULO RESPALDO'!I80^2)+'BLAZE SHIELD II'!$H$8*'HOJA DE CÁLCULO RESPALDO'!I80+'BLAZE SHIELD II'!$H$9)),0),0),0))+(IF(L80="Blaze Shield II",IF(M80="Idiem software",IF(C80="C",((('BLAZE SHIELD II'!$L$4*('HOJA DE CÁLCULO RESPALDO'!I80^2)+'BLAZE SHIELD II'!$L$5*'HOJA DE CÁLCULO RESPALDO'!I80+'BLAZE SHIELD II'!$L$6)*LN(J80))+('BLAZE SHIELD II'!$L$7*('HOJA DE CÁLCULO RESPALDO'!I80^2)+'BLAZE SHIELD II'!$L$8*'HOJA DE CÁLCULO RESPALDO'!I80+'BLAZE SHIELD II'!$L$9)),0),0),0))+(IF(L80="Blaze Shield II",IF(M80="Idiem software",IF(AND(C80="IN",G80=3),((('BLAZE SHIELD II'!$H$14*('HOJA DE CÁLCULO RESPALDO'!I80^2)+'BLAZE SHIELD II'!$H$15*'HOJA DE CÁLCULO RESPALDO'!I80+'BLAZE SHIELD II'!$H$16)*LN(J80))+('BLAZE SHIELD II'!$H$17*('HOJA DE CÁLCULO RESPALDO'!I80^2)+'BLAZE SHIELD II'!$H$18*'HOJA DE CÁLCULO RESPALDO'!I80+'BLAZE SHIELD II'!$H$19)),0),0),0)),0)</f>
        <v>0</v>
      </c>
      <c r="O80" s="46">
        <f t="shared" si="11"/>
        <v>0</v>
      </c>
      <c r="P80" s="80">
        <f t="shared" si="8"/>
        <v>0</v>
      </c>
      <c r="Q80" s="85">
        <f>ROUND((IF(L80="Cafco 400",IF(M80="Idiem software",IF(AND(C80="IN",G80=4),((('CAFCO 400 '!$H$7*(J80^4)+'CAFCO 400 '!$H$8*(J80^3)+'CAFCO 400 '!$H$9*(J80^2)+'CAFCO 400 '!$H$10*J80+'CAFCO 400 '!$H$11)*I80^2)+(('CAFCO 400 '!$H$12*(J80^3)+'CAFCO 400 '!$H$13*(J80^2)+'CAFCO 400 '!$H$14*J80+'CAFCO 400 '!$H$15)*I80)+('CAFCO 400 '!$H$16*(J80^2)+'CAFCO 400 '!$H$17*J80+'CAFCO 400 '!$H$18)),0),0),0))+(IF(L80="Cafco 400",IF(M80="Idiem software",IF(C80="Cj",(((('CAFCO 400 '!$D$7*LN(J80)+'CAFCO 400 '!$D$8)*I80^2)+(('CAFCO 400 '!$D$9*LN(J80)+'CAFCO 400 '!$D$10)*I80)+('CAFCO 400 '!$D$11*LN(J80)+'CAFCO 400 '!$D$12))),0),0),0))+(IF(L80="Cafco 400",IF(M80="Idiem software",IF(C80="C",((('CAFCO 400 '!$L$7*(J80^3)+'CAFCO 400 '!$L$8*(J80^2)+'CAFCO 400 '!$L$9*J80+'CAFCO 400 '!$L$10)*I80^2)+(('CAFCO 400 '!$L$11*(J80^3)+'CAFCO 400 '!$L$12*(J80^2)+'CAFCO 400 '!$L$13*J80+'CAFCO 400 '!$L$14)*I80)+('CAFCO 400 '!$L$15*LN(J80)+'CAFCO 400 '!$L$16)),0),0),0))+(IF(L80="Cafco 400",IF(M80="Idiem software",IF(AND(C80="IN",G80=3),((('CAFCO 400 '!$D$23*(J80^2)+'CAFCO 400 '!$D$24*(J80)+'CAFCO 400 '!$D$25)*I80^2)+(('CAFCO 400 '!$D$26*(J80^2)+'CAFCO 400 '!$D$27*J80+'CAFCO 400 '!$D$28)*I80)+('CAFCO 400 '!$D$29*(J80^2)+'CAFCO 400 '!$D$30*J80+'CAFCO 400 '!$D$31)),0),0),0)),0)</f>
        <v>0</v>
      </c>
      <c r="R80" s="47">
        <f t="shared" si="12"/>
        <v>0</v>
      </c>
      <c r="S80" s="82">
        <f t="shared" si="9"/>
        <v>0</v>
      </c>
      <c r="T80" s="81">
        <f>+IF(AND(J80&gt;=95,J80&lt;=240),IF(AND(C80="Cj",I80=90),VLOOKUP(W80,'CAFCO 300 IDIEM TABLAS'!$B$4:$D$23,2,FALSE),0)+IF(AND(J80&gt;=95,J80&lt;=240),IF(AND(C80="Cj",I80=120),VLOOKUP(W80,'CAFCO 300 IDIEM TABLAS'!$B$4:$D$23,3,FALSE),0))+IF(AND(J80&gt;=95,J80&lt;=400,G80=3),IF(AND(C80="IN",I80=90),VLOOKUP(W80,'CAFCO 300 IDIEM TABLAS'!$F$4:$H$35,2,FALSE),0),0)+IF(AND(J80&gt;=95,J80&lt;=400,G80=3),IF(AND(C80="IN",I80=120),VLOOKUP(W80,'CAFCO 300 IDIEM TABLAS'!$F$4:$H$35,3,FALSE),0),0)+IF(AND(J80&gt;=95,J80&lt;=450,G80=4),IF(AND(C80="IN",I80=90),VLOOKUP(W80,'CAFCO 300 IDIEM TABLAS'!$J$4:$L$40,2,FALSE),0),0)+IF(AND(J80&gt;=95,J80&lt;=450,G80=4),IF(AND(C80="IN",I80=120),VLOOKUP(W80,'CAFCO 300 IDIEM TABLAS'!$J$4:$L$40,3,FALSE),0),0))</f>
        <v>17</v>
      </c>
      <c r="U80" s="48">
        <f t="shared" si="13"/>
        <v>1.177494143132221</v>
      </c>
      <c r="V80" s="82">
        <f t="shared" si="10"/>
        <v>17678.897064987166</v>
      </c>
      <c r="W80" s="64">
        <f>+IF(J80=LOOKUP(J80,'CAFCO 300 IDIEM TABLAS'!$J$4:$J$40),'HOJA DE CÁLCULO RESPALDO'!J80,MROUND('HOJA DE CÁLCULO RESPALDO'!J80,10))</f>
        <v>95</v>
      </c>
      <c r="X80" s="36"/>
      <c r="Y80" s="4"/>
    </row>
    <row r="81" spans="1:25" x14ac:dyDescent="0.25">
      <c r="A81" s="2" t="s">
        <v>38</v>
      </c>
      <c r="B81" s="3" t="s">
        <v>17</v>
      </c>
      <c r="C81" s="3" t="s">
        <v>19</v>
      </c>
      <c r="D81" s="3">
        <v>1</v>
      </c>
      <c r="E81" s="2">
        <v>1</v>
      </c>
      <c r="F81" s="8">
        <v>8500</v>
      </c>
      <c r="G81" s="1">
        <v>4</v>
      </c>
      <c r="H81" s="2">
        <v>1181</v>
      </c>
      <c r="I81" s="34">
        <v>90</v>
      </c>
      <c r="J81" s="11">
        <v>95</v>
      </c>
      <c r="K81" s="44">
        <f t="shared" si="7"/>
        <v>10.038500000000001</v>
      </c>
      <c r="L81" s="3" t="s">
        <v>61</v>
      </c>
      <c r="M81" s="3" t="s">
        <v>70</v>
      </c>
      <c r="N81" s="15">
        <f>ROUND((IF(L81="Blaze Shield II",IF(M81="Idiem software",IF(AND(C81="IN",G81=4),((('BLAZE SHIELD II'!$D$4*('HOJA DE CÁLCULO RESPALDO'!I81^2)+'BLAZE SHIELD II'!$D$5*'HOJA DE CÁLCULO RESPALDO'!I81+'BLAZE SHIELD II'!$D$6)*LN(J81))+('BLAZE SHIELD II'!$D$7*('HOJA DE CÁLCULO RESPALDO'!I81^2)+'BLAZE SHIELD II'!$D$8*'HOJA DE CÁLCULO RESPALDO'!I81+'BLAZE SHIELD II'!$D$9)),0),0),0))+(IF(L81="Blaze Shield II",IF(M81="Idiem software",IF(C81="Cj",((('BLAZE SHIELD II'!$H$4*('HOJA DE CÁLCULO RESPALDO'!I81^2)+'BLAZE SHIELD II'!$H$5*'HOJA DE CÁLCULO RESPALDO'!I81+'BLAZE SHIELD II'!$H$6)*LN(J81))+('BLAZE SHIELD II'!$H$7*('HOJA DE CÁLCULO RESPALDO'!I81^2)+'BLAZE SHIELD II'!$H$8*'HOJA DE CÁLCULO RESPALDO'!I81+'BLAZE SHIELD II'!$H$9)),0),0),0))+(IF(L81="Blaze Shield II",IF(M81="Idiem software",IF(C81="C",((('BLAZE SHIELD II'!$L$4*('HOJA DE CÁLCULO RESPALDO'!I81^2)+'BLAZE SHIELD II'!$L$5*'HOJA DE CÁLCULO RESPALDO'!I81+'BLAZE SHIELD II'!$L$6)*LN(J81))+('BLAZE SHIELD II'!$L$7*('HOJA DE CÁLCULO RESPALDO'!I81^2)+'BLAZE SHIELD II'!$L$8*'HOJA DE CÁLCULO RESPALDO'!I81+'BLAZE SHIELD II'!$L$9)),0),0),0))+(IF(L81="Blaze Shield II",IF(M81="Idiem software",IF(AND(C81="IN",G81=3),((('BLAZE SHIELD II'!$H$14*('HOJA DE CÁLCULO RESPALDO'!I81^2)+'BLAZE SHIELD II'!$H$15*'HOJA DE CÁLCULO RESPALDO'!I81+'BLAZE SHIELD II'!$H$16)*LN(J81))+('BLAZE SHIELD II'!$H$17*('HOJA DE CÁLCULO RESPALDO'!I81^2)+'BLAZE SHIELD II'!$H$18*'HOJA DE CÁLCULO RESPALDO'!I81+'BLAZE SHIELD II'!$H$19)),0),0),0)),0)</f>
        <v>0</v>
      </c>
      <c r="O81" s="46">
        <f t="shared" si="11"/>
        <v>0</v>
      </c>
      <c r="P81" s="80">
        <f t="shared" si="8"/>
        <v>0</v>
      </c>
      <c r="Q81" s="85">
        <f>ROUND((IF(L81="Cafco 400",IF(M81="Idiem software",IF(AND(C81="IN",G81=4),((('CAFCO 400 '!$H$7*(J81^4)+'CAFCO 400 '!$H$8*(J81^3)+'CAFCO 400 '!$H$9*(J81^2)+'CAFCO 400 '!$H$10*J81+'CAFCO 400 '!$H$11)*I81^2)+(('CAFCO 400 '!$H$12*(J81^3)+'CAFCO 400 '!$H$13*(J81^2)+'CAFCO 400 '!$H$14*J81+'CAFCO 400 '!$H$15)*I81)+('CAFCO 400 '!$H$16*(J81^2)+'CAFCO 400 '!$H$17*J81+'CAFCO 400 '!$H$18)),0),0),0))+(IF(L81="Cafco 400",IF(M81="Idiem software",IF(C81="Cj",(((('CAFCO 400 '!$D$7*LN(J81)+'CAFCO 400 '!$D$8)*I81^2)+(('CAFCO 400 '!$D$9*LN(J81)+'CAFCO 400 '!$D$10)*I81)+('CAFCO 400 '!$D$11*LN(J81)+'CAFCO 400 '!$D$12))),0),0),0))+(IF(L81="Cafco 400",IF(M81="Idiem software",IF(C81="C",((('CAFCO 400 '!$L$7*(J81^3)+'CAFCO 400 '!$L$8*(J81^2)+'CAFCO 400 '!$L$9*J81+'CAFCO 400 '!$L$10)*I81^2)+(('CAFCO 400 '!$L$11*(J81^3)+'CAFCO 400 '!$L$12*(J81^2)+'CAFCO 400 '!$L$13*J81+'CAFCO 400 '!$L$14)*I81)+('CAFCO 400 '!$L$15*LN(J81)+'CAFCO 400 '!$L$16)),0),0),0))+(IF(L81="Cafco 400",IF(M81="Idiem software",IF(AND(C81="IN",G81=3),((('CAFCO 400 '!$D$23*(J81^2)+'CAFCO 400 '!$D$24*(J81)+'CAFCO 400 '!$D$25)*I81^2)+(('CAFCO 400 '!$D$26*(J81^2)+'CAFCO 400 '!$D$27*J81+'CAFCO 400 '!$D$28)*I81)+('CAFCO 400 '!$D$29*(J81^2)+'CAFCO 400 '!$D$30*J81+'CAFCO 400 '!$D$31)),0),0),0)),0)</f>
        <v>0</v>
      </c>
      <c r="R81" s="47">
        <f t="shared" si="12"/>
        <v>0</v>
      </c>
      <c r="S81" s="82">
        <f t="shared" si="9"/>
        <v>0</v>
      </c>
      <c r="T81" s="81">
        <f>+IF(AND(J81&gt;=95,J81&lt;=240),IF(AND(C81="Cj",I81=90),VLOOKUP(W81,'CAFCO 300 IDIEM TABLAS'!$B$4:$D$23,2,FALSE),0)+IF(AND(J81&gt;=95,J81&lt;=240),IF(AND(C81="Cj",I81=120),VLOOKUP(W81,'CAFCO 300 IDIEM TABLAS'!$B$4:$D$23,3,FALSE),0))+IF(AND(J81&gt;=95,J81&lt;=400,G81=3),IF(AND(C81="IN",I81=90),VLOOKUP(W81,'CAFCO 300 IDIEM TABLAS'!$F$4:$H$35,2,FALSE),0),0)+IF(AND(J81&gt;=95,J81&lt;=400,G81=3),IF(AND(C81="IN",I81=120),VLOOKUP(W81,'CAFCO 300 IDIEM TABLAS'!$F$4:$H$35,3,FALSE),0),0)+IF(AND(J81&gt;=95,J81&lt;=450,G81=4),IF(AND(C81="IN",I81=90),VLOOKUP(W81,'CAFCO 300 IDIEM TABLAS'!$J$4:$L$40,2,FALSE),0),0)+IF(AND(J81&gt;=95,J81&lt;=450,G81=4),IF(AND(C81="IN",I81=120),VLOOKUP(W81,'CAFCO 300 IDIEM TABLAS'!$J$4:$L$40,3,FALSE),0),0))</f>
        <v>17</v>
      </c>
      <c r="U81" s="48">
        <f t="shared" si="13"/>
        <v>2.354988286264442</v>
      </c>
      <c r="V81" s="82">
        <f t="shared" si="10"/>
        <v>35357.794129974332</v>
      </c>
      <c r="W81" s="64">
        <f>+IF(J81=LOOKUP(J81,'CAFCO 300 IDIEM TABLAS'!$J$4:$J$40),'HOJA DE CÁLCULO RESPALDO'!J81,MROUND('HOJA DE CÁLCULO RESPALDO'!J81,10))</f>
        <v>95</v>
      </c>
      <c r="X81" s="36"/>
      <c r="Y81" s="4"/>
    </row>
    <row r="82" spans="1:25" ht="15.6" customHeight="1" x14ac:dyDescent="0.25">
      <c r="A82" s="2" t="s">
        <v>38</v>
      </c>
      <c r="B82" s="3" t="s">
        <v>17</v>
      </c>
      <c r="C82" s="3" t="s">
        <v>19</v>
      </c>
      <c r="D82" s="3">
        <v>1</v>
      </c>
      <c r="E82" s="2">
        <v>1</v>
      </c>
      <c r="F82" s="8">
        <v>103000</v>
      </c>
      <c r="G82" s="1">
        <v>4</v>
      </c>
      <c r="H82" s="2">
        <v>1190</v>
      </c>
      <c r="I82" s="34">
        <v>90</v>
      </c>
      <c r="J82" s="11">
        <v>95</v>
      </c>
      <c r="K82" s="44">
        <f t="shared" si="7"/>
        <v>122.57</v>
      </c>
      <c r="L82" s="3" t="s">
        <v>61</v>
      </c>
      <c r="M82" s="3" t="s">
        <v>70</v>
      </c>
      <c r="N82" s="15">
        <f>ROUND((IF(L82="Blaze Shield II",IF(M82="Idiem software",IF(AND(C82="IN",G82=4),((('BLAZE SHIELD II'!$D$4*('HOJA DE CÁLCULO RESPALDO'!I82^2)+'BLAZE SHIELD II'!$D$5*'HOJA DE CÁLCULO RESPALDO'!I82+'BLAZE SHIELD II'!$D$6)*LN(J82))+('BLAZE SHIELD II'!$D$7*('HOJA DE CÁLCULO RESPALDO'!I82^2)+'BLAZE SHIELD II'!$D$8*'HOJA DE CÁLCULO RESPALDO'!I82+'BLAZE SHIELD II'!$D$9)),0),0),0))+(IF(L82="Blaze Shield II",IF(M82="Idiem software",IF(C82="Cj",((('BLAZE SHIELD II'!$H$4*('HOJA DE CÁLCULO RESPALDO'!I82^2)+'BLAZE SHIELD II'!$H$5*'HOJA DE CÁLCULO RESPALDO'!I82+'BLAZE SHIELD II'!$H$6)*LN(J82))+('BLAZE SHIELD II'!$H$7*('HOJA DE CÁLCULO RESPALDO'!I82^2)+'BLAZE SHIELD II'!$H$8*'HOJA DE CÁLCULO RESPALDO'!I82+'BLAZE SHIELD II'!$H$9)),0),0),0))+(IF(L82="Blaze Shield II",IF(M82="Idiem software",IF(C82="C",((('BLAZE SHIELD II'!$L$4*('HOJA DE CÁLCULO RESPALDO'!I82^2)+'BLAZE SHIELD II'!$L$5*'HOJA DE CÁLCULO RESPALDO'!I82+'BLAZE SHIELD II'!$L$6)*LN(J82))+('BLAZE SHIELD II'!$L$7*('HOJA DE CÁLCULO RESPALDO'!I82^2)+'BLAZE SHIELD II'!$L$8*'HOJA DE CÁLCULO RESPALDO'!I82+'BLAZE SHIELD II'!$L$9)),0),0),0))+(IF(L82="Blaze Shield II",IF(M82="Idiem software",IF(AND(C82="IN",G82=3),((('BLAZE SHIELD II'!$H$14*('HOJA DE CÁLCULO RESPALDO'!I82^2)+'BLAZE SHIELD II'!$H$15*'HOJA DE CÁLCULO RESPALDO'!I82+'BLAZE SHIELD II'!$H$16)*LN(J82))+('BLAZE SHIELD II'!$H$17*('HOJA DE CÁLCULO RESPALDO'!I82^2)+'BLAZE SHIELD II'!$H$18*'HOJA DE CÁLCULO RESPALDO'!I82+'BLAZE SHIELD II'!$H$19)),0),0),0)),0)</f>
        <v>0</v>
      </c>
      <c r="O82" s="46">
        <f t="shared" si="11"/>
        <v>0</v>
      </c>
      <c r="P82" s="80">
        <f t="shared" si="8"/>
        <v>0</v>
      </c>
      <c r="Q82" s="85">
        <f>ROUND((IF(L82="Cafco 400",IF(M82="Idiem software",IF(AND(C82="IN",G82=4),((('CAFCO 400 '!$H$7*(J82^4)+'CAFCO 400 '!$H$8*(J82^3)+'CAFCO 400 '!$H$9*(J82^2)+'CAFCO 400 '!$H$10*J82+'CAFCO 400 '!$H$11)*I82^2)+(('CAFCO 400 '!$H$12*(J82^3)+'CAFCO 400 '!$H$13*(J82^2)+'CAFCO 400 '!$H$14*J82+'CAFCO 400 '!$H$15)*I82)+('CAFCO 400 '!$H$16*(J82^2)+'CAFCO 400 '!$H$17*J82+'CAFCO 400 '!$H$18)),0),0),0))+(IF(L82="Cafco 400",IF(M82="Idiem software",IF(C82="Cj",(((('CAFCO 400 '!$D$7*LN(J82)+'CAFCO 400 '!$D$8)*I82^2)+(('CAFCO 400 '!$D$9*LN(J82)+'CAFCO 400 '!$D$10)*I82)+('CAFCO 400 '!$D$11*LN(J82)+'CAFCO 400 '!$D$12))),0),0),0))+(IF(L82="Cafco 400",IF(M82="Idiem software",IF(C82="C",((('CAFCO 400 '!$L$7*(J82^3)+'CAFCO 400 '!$L$8*(J82^2)+'CAFCO 400 '!$L$9*J82+'CAFCO 400 '!$L$10)*I82^2)+(('CAFCO 400 '!$L$11*(J82^3)+'CAFCO 400 '!$L$12*(J82^2)+'CAFCO 400 '!$L$13*J82+'CAFCO 400 '!$L$14)*I82)+('CAFCO 400 '!$L$15*LN(J82)+'CAFCO 400 '!$L$16)),0),0),0))+(IF(L82="Cafco 400",IF(M82="Idiem software",IF(AND(C82="IN",G82=3),((('CAFCO 400 '!$D$23*(J82^2)+'CAFCO 400 '!$D$24*(J82)+'CAFCO 400 '!$D$25)*I82^2)+(('CAFCO 400 '!$D$26*(J82^2)+'CAFCO 400 '!$D$27*J82+'CAFCO 400 '!$D$28)*I82)+('CAFCO 400 '!$D$29*(J82^2)+'CAFCO 400 '!$D$30*J82+'CAFCO 400 '!$D$31)),0),0),0)),0)</f>
        <v>0</v>
      </c>
      <c r="R82" s="47">
        <f t="shared" si="12"/>
        <v>0</v>
      </c>
      <c r="S82" s="82">
        <f t="shared" si="9"/>
        <v>0</v>
      </c>
      <c r="T82" s="81">
        <f>+IF(AND(J82&gt;=95,J82&lt;=240),IF(AND(C82="Cj",I82=90),VLOOKUP(W82,'CAFCO 300 IDIEM TABLAS'!$B$4:$D$23,2,FALSE),0)+IF(AND(J82&gt;=95,J82&lt;=240),IF(AND(C82="Cj",I82=120),VLOOKUP(W82,'CAFCO 300 IDIEM TABLAS'!$B$4:$D$23,3,FALSE),0))+IF(AND(J82&gt;=95,J82&lt;=400,G82=3),IF(AND(C82="IN",I82=90),VLOOKUP(W82,'CAFCO 300 IDIEM TABLAS'!$F$4:$H$35,2,FALSE),0),0)+IF(AND(J82&gt;=95,J82&lt;=400,G82=3),IF(AND(C82="IN",I82=120),VLOOKUP(W82,'CAFCO 300 IDIEM TABLAS'!$F$4:$H$35,3,FALSE),0),0)+IF(AND(J82&gt;=95,J82&lt;=450,G82=4),IF(AND(C82="IN",I82=90),VLOOKUP(W82,'CAFCO 300 IDIEM TABLAS'!$J$4:$L$40,2,FALSE),0),0)+IF(AND(J82&gt;=95,J82&lt;=450,G82=4),IF(AND(C82="IN",I82=120),VLOOKUP(W82,'CAFCO 300 IDIEM TABLAS'!$J$4:$L$40,3,FALSE),0),0))</f>
        <v>17</v>
      </c>
      <c r="U82" s="48">
        <f t="shared" si="13"/>
        <v>28.754387034659821</v>
      </c>
      <c r="V82" s="82">
        <f t="shared" si="10"/>
        <v>431718.36693838256</v>
      </c>
      <c r="W82" s="64">
        <f>+IF(J82=LOOKUP(J82,'CAFCO 300 IDIEM TABLAS'!$J$4:$J$40),'HOJA DE CÁLCULO RESPALDO'!J82,MROUND('HOJA DE CÁLCULO RESPALDO'!J82,10))</f>
        <v>95</v>
      </c>
      <c r="X82" s="36"/>
      <c r="Y82" s="4"/>
    </row>
    <row r="83" spans="1:25" x14ac:dyDescent="0.25">
      <c r="A83" s="2" t="s">
        <v>38</v>
      </c>
      <c r="B83" s="3" t="s">
        <v>17</v>
      </c>
      <c r="C83" s="3" t="s">
        <v>19</v>
      </c>
      <c r="D83" s="3">
        <v>1</v>
      </c>
      <c r="E83" s="2">
        <v>1</v>
      </c>
      <c r="F83" s="8">
        <v>12750</v>
      </c>
      <c r="G83" s="1">
        <v>4</v>
      </c>
      <c r="H83" s="2">
        <v>1181</v>
      </c>
      <c r="I83" s="34">
        <v>90</v>
      </c>
      <c r="J83" s="11">
        <v>95</v>
      </c>
      <c r="K83" s="44">
        <f t="shared" si="7"/>
        <v>15.05775</v>
      </c>
      <c r="L83" s="3" t="s">
        <v>61</v>
      </c>
      <c r="M83" s="3" t="s">
        <v>70</v>
      </c>
      <c r="N83" s="15">
        <f>ROUND((IF(L83="Blaze Shield II",IF(M83="Idiem software",IF(AND(C83="IN",G83=4),((('BLAZE SHIELD II'!$D$4*('HOJA DE CÁLCULO RESPALDO'!I83^2)+'BLAZE SHIELD II'!$D$5*'HOJA DE CÁLCULO RESPALDO'!I83+'BLAZE SHIELD II'!$D$6)*LN(J83))+('BLAZE SHIELD II'!$D$7*('HOJA DE CÁLCULO RESPALDO'!I83^2)+'BLAZE SHIELD II'!$D$8*'HOJA DE CÁLCULO RESPALDO'!I83+'BLAZE SHIELD II'!$D$9)),0),0),0))+(IF(L83="Blaze Shield II",IF(M83="Idiem software",IF(C83="Cj",((('BLAZE SHIELD II'!$H$4*('HOJA DE CÁLCULO RESPALDO'!I83^2)+'BLAZE SHIELD II'!$H$5*'HOJA DE CÁLCULO RESPALDO'!I83+'BLAZE SHIELD II'!$H$6)*LN(J83))+('BLAZE SHIELD II'!$H$7*('HOJA DE CÁLCULO RESPALDO'!I83^2)+'BLAZE SHIELD II'!$H$8*'HOJA DE CÁLCULO RESPALDO'!I83+'BLAZE SHIELD II'!$H$9)),0),0),0))+(IF(L83="Blaze Shield II",IF(M83="Idiem software",IF(C83="C",((('BLAZE SHIELD II'!$L$4*('HOJA DE CÁLCULO RESPALDO'!I83^2)+'BLAZE SHIELD II'!$L$5*'HOJA DE CÁLCULO RESPALDO'!I83+'BLAZE SHIELD II'!$L$6)*LN(J83))+('BLAZE SHIELD II'!$L$7*('HOJA DE CÁLCULO RESPALDO'!I83^2)+'BLAZE SHIELD II'!$L$8*'HOJA DE CÁLCULO RESPALDO'!I83+'BLAZE SHIELD II'!$L$9)),0),0),0))+(IF(L83="Blaze Shield II",IF(M83="Idiem software",IF(AND(C83="IN",G83=3),((('BLAZE SHIELD II'!$H$14*('HOJA DE CÁLCULO RESPALDO'!I83^2)+'BLAZE SHIELD II'!$H$15*'HOJA DE CÁLCULO RESPALDO'!I83+'BLAZE SHIELD II'!$H$16)*LN(J83))+('BLAZE SHIELD II'!$H$17*('HOJA DE CÁLCULO RESPALDO'!I83^2)+'BLAZE SHIELD II'!$H$18*'HOJA DE CÁLCULO RESPALDO'!I83+'BLAZE SHIELD II'!$H$19)),0),0),0)),0)</f>
        <v>0</v>
      </c>
      <c r="O83" s="46">
        <f t="shared" si="11"/>
        <v>0</v>
      </c>
      <c r="P83" s="80">
        <f t="shared" si="8"/>
        <v>0</v>
      </c>
      <c r="Q83" s="85">
        <f>ROUND((IF(L83="Cafco 400",IF(M83="Idiem software",IF(AND(C83="IN",G83=4),((('CAFCO 400 '!$H$7*(J83^4)+'CAFCO 400 '!$H$8*(J83^3)+'CAFCO 400 '!$H$9*(J83^2)+'CAFCO 400 '!$H$10*J83+'CAFCO 400 '!$H$11)*I83^2)+(('CAFCO 400 '!$H$12*(J83^3)+'CAFCO 400 '!$H$13*(J83^2)+'CAFCO 400 '!$H$14*J83+'CAFCO 400 '!$H$15)*I83)+('CAFCO 400 '!$H$16*(J83^2)+'CAFCO 400 '!$H$17*J83+'CAFCO 400 '!$H$18)),0),0),0))+(IF(L83="Cafco 400",IF(M83="Idiem software",IF(C83="Cj",(((('CAFCO 400 '!$D$7*LN(J83)+'CAFCO 400 '!$D$8)*I83^2)+(('CAFCO 400 '!$D$9*LN(J83)+'CAFCO 400 '!$D$10)*I83)+('CAFCO 400 '!$D$11*LN(J83)+'CAFCO 400 '!$D$12))),0),0),0))+(IF(L83="Cafco 400",IF(M83="Idiem software",IF(C83="C",((('CAFCO 400 '!$L$7*(J83^3)+'CAFCO 400 '!$L$8*(J83^2)+'CAFCO 400 '!$L$9*J83+'CAFCO 400 '!$L$10)*I83^2)+(('CAFCO 400 '!$L$11*(J83^3)+'CAFCO 400 '!$L$12*(J83^2)+'CAFCO 400 '!$L$13*J83+'CAFCO 400 '!$L$14)*I83)+('CAFCO 400 '!$L$15*LN(J83)+'CAFCO 400 '!$L$16)),0),0),0))+(IF(L83="Cafco 400",IF(M83="Idiem software",IF(AND(C83="IN",G83=3),((('CAFCO 400 '!$D$23*(J83^2)+'CAFCO 400 '!$D$24*(J83)+'CAFCO 400 '!$D$25)*I83^2)+(('CAFCO 400 '!$D$26*(J83^2)+'CAFCO 400 '!$D$27*J83+'CAFCO 400 '!$D$28)*I83)+('CAFCO 400 '!$D$29*(J83^2)+'CAFCO 400 '!$D$30*J83+'CAFCO 400 '!$D$31)),0),0),0)),0)</f>
        <v>0</v>
      </c>
      <c r="R83" s="47">
        <f t="shared" si="12"/>
        <v>0</v>
      </c>
      <c r="S83" s="82">
        <f t="shared" si="9"/>
        <v>0</v>
      </c>
      <c r="T83" s="81">
        <f>+IF(AND(J83&gt;=95,J83&lt;=240),IF(AND(C83="Cj",I83=90),VLOOKUP(W83,'CAFCO 300 IDIEM TABLAS'!$B$4:$D$23,2,FALSE),0)+IF(AND(J83&gt;=95,J83&lt;=240),IF(AND(C83="Cj",I83=120),VLOOKUP(W83,'CAFCO 300 IDIEM TABLAS'!$B$4:$D$23,3,FALSE),0))+IF(AND(J83&gt;=95,J83&lt;=400,G83=3),IF(AND(C83="IN",I83=90),VLOOKUP(W83,'CAFCO 300 IDIEM TABLAS'!$F$4:$H$35,2,FALSE),0),0)+IF(AND(J83&gt;=95,J83&lt;=400,G83=3),IF(AND(C83="IN",I83=120),VLOOKUP(W83,'CAFCO 300 IDIEM TABLAS'!$F$4:$H$35,3,FALSE),0),0)+IF(AND(J83&gt;=95,J83&lt;=450,G83=4),IF(AND(C83="IN",I83=90),VLOOKUP(W83,'CAFCO 300 IDIEM TABLAS'!$J$4:$L$40,2,FALSE),0),0)+IF(AND(J83&gt;=95,J83&lt;=450,G83=4),IF(AND(C83="IN",I83=120),VLOOKUP(W83,'CAFCO 300 IDIEM TABLAS'!$J$4:$L$40,3,FALSE),0),0))</f>
        <v>17</v>
      </c>
      <c r="U83" s="48">
        <f t="shared" si="13"/>
        <v>3.5324824293966626</v>
      </c>
      <c r="V83" s="82">
        <f t="shared" si="10"/>
        <v>53036.691194961495</v>
      </c>
      <c r="W83" s="64">
        <f>+IF(J83=LOOKUP(J83,'CAFCO 300 IDIEM TABLAS'!$J$4:$J$40),'HOJA DE CÁLCULO RESPALDO'!J83,MROUND('HOJA DE CÁLCULO RESPALDO'!J83,10))</f>
        <v>95</v>
      </c>
      <c r="X83" s="36"/>
      <c r="Y83" s="4"/>
    </row>
    <row r="84" spans="1:25" ht="15.6" customHeight="1" x14ac:dyDescent="0.25">
      <c r="A84" s="2" t="s">
        <v>38</v>
      </c>
      <c r="B84" s="3" t="s">
        <v>17</v>
      </c>
      <c r="C84" s="3" t="s">
        <v>19</v>
      </c>
      <c r="D84" s="3">
        <v>1</v>
      </c>
      <c r="E84" s="2">
        <v>1</v>
      </c>
      <c r="F84" s="8">
        <v>17500</v>
      </c>
      <c r="G84" s="1">
        <v>4</v>
      </c>
      <c r="H84" s="2">
        <v>1692</v>
      </c>
      <c r="I84" s="34">
        <v>90</v>
      </c>
      <c r="J84" s="11">
        <v>95</v>
      </c>
      <c r="K84" s="44">
        <f t="shared" si="7"/>
        <v>29.61</v>
      </c>
      <c r="L84" s="3" t="s">
        <v>61</v>
      </c>
      <c r="M84" s="3" t="s">
        <v>70</v>
      </c>
      <c r="N84" s="15">
        <f>ROUND((IF(L84="Blaze Shield II",IF(M84="Idiem software",IF(AND(C84="IN",G84=4),((('BLAZE SHIELD II'!$D$4*('HOJA DE CÁLCULO RESPALDO'!I84^2)+'BLAZE SHIELD II'!$D$5*'HOJA DE CÁLCULO RESPALDO'!I84+'BLAZE SHIELD II'!$D$6)*LN(J84))+('BLAZE SHIELD II'!$D$7*('HOJA DE CÁLCULO RESPALDO'!I84^2)+'BLAZE SHIELD II'!$D$8*'HOJA DE CÁLCULO RESPALDO'!I84+'BLAZE SHIELD II'!$D$9)),0),0),0))+(IF(L84="Blaze Shield II",IF(M84="Idiem software",IF(C84="Cj",((('BLAZE SHIELD II'!$H$4*('HOJA DE CÁLCULO RESPALDO'!I84^2)+'BLAZE SHIELD II'!$H$5*'HOJA DE CÁLCULO RESPALDO'!I84+'BLAZE SHIELD II'!$H$6)*LN(J84))+('BLAZE SHIELD II'!$H$7*('HOJA DE CÁLCULO RESPALDO'!I84^2)+'BLAZE SHIELD II'!$H$8*'HOJA DE CÁLCULO RESPALDO'!I84+'BLAZE SHIELD II'!$H$9)),0),0),0))+(IF(L84="Blaze Shield II",IF(M84="Idiem software",IF(C84="C",((('BLAZE SHIELD II'!$L$4*('HOJA DE CÁLCULO RESPALDO'!I84^2)+'BLAZE SHIELD II'!$L$5*'HOJA DE CÁLCULO RESPALDO'!I84+'BLAZE SHIELD II'!$L$6)*LN(J84))+('BLAZE SHIELD II'!$L$7*('HOJA DE CÁLCULO RESPALDO'!I84^2)+'BLAZE SHIELD II'!$L$8*'HOJA DE CÁLCULO RESPALDO'!I84+'BLAZE SHIELD II'!$L$9)),0),0),0))+(IF(L84="Blaze Shield II",IF(M84="Idiem software",IF(AND(C84="IN",G84=3),((('BLAZE SHIELD II'!$H$14*('HOJA DE CÁLCULO RESPALDO'!I84^2)+'BLAZE SHIELD II'!$H$15*'HOJA DE CÁLCULO RESPALDO'!I84+'BLAZE SHIELD II'!$H$16)*LN(J84))+('BLAZE SHIELD II'!$H$17*('HOJA DE CÁLCULO RESPALDO'!I84^2)+'BLAZE SHIELD II'!$H$18*'HOJA DE CÁLCULO RESPALDO'!I84+'BLAZE SHIELD II'!$H$19)),0),0),0)),0)</f>
        <v>0</v>
      </c>
      <c r="O84" s="46">
        <f t="shared" si="11"/>
        <v>0</v>
      </c>
      <c r="P84" s="80">
        <f t="shared" si="8"/>
        <v>0</v>
      </c>
      <c r="Q84" s="85">
        <f>ROUND((IF(L84="Cafco 400",IF(M84="Idiem software",IF(AND(C84="IN",G84=4),((('CAFCO 400 '!$H$7*(J84^4)+'CAFCO 400 '!$H$8*(J84^3)+'CAFCO 400 '!$H$9*(J84^2)+'CAFCO 400 '!$H$10*J84+'CAFCO 400 '!$H$11)*I84^2)+(('CAFCO 400 '!$H$12*(J84^3)+'CAFCO 400 '!$H$13*(J84^2)+'CAFCO 400 '!$H$14*J84+'CAFCO 400 '!$H$15)*I84)+('CAFCO 400 '!$H$16*(J84^2)+'CAFCO 400 '!$H$17*J84+'CAFCO 400 '!$H$18)),0),0),0))+(IF(L84="Cafco 400",IF(M84="Idiem software",IF(C84="Cj",(((('CAFCO 400 '!$D$7*LN(J84)+'CAFCO 400 '!$D$8)*I84^2)+(('CAFCO 400 '!$D$9*LN(J84)+'CAFCO 400 '!$D$10)*I84)+('CAFCO 400 '!$D$11*LN(J84)+'CAFCO 400 '!$D$12))),0),0),0))+(IF(L84="Cafco 400",IF(M84="Idiem software",IF(C84="C",((('CAFCO 400 '!$L$7*(J84^3)+'CAFCO 400 '!$L$8*(J84^2)+'CAFCO 400 '!$L$9*J84+'CAFCO 400 '!$L$10)*I84^2)+(('CAFCO 400 '!$L$11*(J84^3)+'CAFCO 400 '!$L$12*(J84^2)+'CAFCO 400 '!$L$13*J84+'CAFCO 400 '!$L$14)*I84)+('CAFCO 400 '!$L$15*LN(J84)+'CAFCO 400 '!$L$16)),0),0),0))+(IF(L84="Cafco 400",IF(M84="Idiem software",IF(AND(C84="IN",G84=3),((('CAFCO 400 '!$D$23*(J84^2)+'CAFCO 400 '!$D$24*(J84)+'CAFCO 400 '!$D$25)*I84^2)+(('CAFCO 400 '!$D$26*(J84^2)+'CAFCO 400 '!$D$27*J84+'CAFCO 400 '!$D$28)*I84)+('CAFCO 400 '!$D$29*(J84^2)+'CAFCO 400 '!$D$30*J84+'CAFCO 400 '!$D$31)),0),0),0)),0)</f>
        <v>0</v>
      </c>
      <c r="R84" s="47">
        <f t="shared" si="12"/>
        <v>0</v>
      </c>
      <c r="S84" s="82">
        <f t="shared" si="9"/>
        <v>0</v>
      </c>
      <c r="T84" s="81">
        <f>+IF(AND(J84&gt;=95,J84&lt;=240),IF(AND(C84="Cj",I84=90),VLOOKUP(W84,'CAFCO 300 IDIEM TABLAS'!$B$4:$D$23,2,FALSE),0)+IF(AND(J84&gt;=95,J84&lt;=240),IF(AND(C84="Cj",I84=120),VLOOKUP(W84,'CAFCO 300 IDIEM TABLAS'!$B$4:$D$23,3,FALSE),0))+IF(AND(J84&gt;=95,J84&lt;=400,G84=3),IF(AND(C84="IN",I84=90),VLOOKUP(W84,'CAFCO 300 IDIEM TABLAS'!$F$4:$H$35,2,FALSE),0),0)+IF(AND(J84&gt;=95,J84&lt;=400,G84=3),IF(AND(C84="IN",I84=120),VLOOKUP(W84,'CAFCO 300 IDIEM TABLAS'!$F$4:$H$35,3,FALSE),0),0)+IF(AND(J84&gt;=95,J84&lt;=450,G84=4),IF(AND(C84="IN",I84=90),VLOOKUP(W84,'CAFCO 300 IDIEM TABLAS'!$J$4:$L$40,2,FALSE),0),0)+IF(AND(J84&gt;=95,J84&lt;=450,G84=4),IF(AND(C84="IN",I84=120),VLOOKUP(W84,'CAFCO 300 IDIEM TABLAS'!$J$4:$L$40,3,FALSE),0),0))</f>
        <v>17</v>
      </c>
      <c r="U84" s="48">
        <f t="shared" si="13"/>
        <v>6.94637676508344</v>
      </c>
      <c r="V84" s="82">
        <f t="shared" si="10"/>
        <v>104292.90075096277</v>
      </c>
      <c r="W84" s="64">
        <f>+IF(J84=LOOKUP(J84,'CAFCO 300 IDIEM TABLAS'!$J$4:$J$40),'HOJA DE CÁLCULO RESPALDO'!J84,MROUND('HOJA DE CÁLCULO RESPALDO'!J84,10))</f>
        <v>95</v>
      </c>
      <c r="X84" s="36"/>
      <c r="Y84" s="4"/>
    </row>
    <row r="85" spans="1:25" x14ac:dyDescent="0.25">
      <c r="A85" s="2" t="s">
        <v>38</v>
      </c>
      <c r="B85" s="3" t="s">
        <v>17</v>
      </c>
      <c r="C85" s="3" t="s">
        <v>19</v>
      </c>
      <c r="D85" s="3">
        <v>1</v>
      </c>
      <c r="E85" s="2">
        <v>1</v>
      </c>
      <c r="F85" s="8">
        <v>8500</v>
      </c>
      <c r="G85" s="1">
        <v>4</v>
      </c>
      <c r="H85" s="2">
        <v>1502</v>
      </c>
      <c r="I85" s="34">
        <v>90</v>
      </c>
      <c r="J85" s="11">
        <v>95</v>
      </c>
      <c r="K85" s="44">
        <f t="shared" si="7"/>
        <v>12.766999999999999</v>
      </c>
      <c r="L85" s="3" t="s">
        <v>61</v>
      </c>
      <c r="M85" s="3" t="s">
        <v>70</v>
      </c>
      <c r="N85" s="15">
        <f>ROUND((IF(L85="Blaze Shield II",IF(M85="Idiem software",IF(AND(C85="IN",G85=4),((('BLAZE SHIELD II'!$D$4*('HOJA DE CÁLCULO RESPALDO'!I85^2)+'BLAZE SHIELD II'!$D$5*'HOJA DE CÁLCULO RESPALDO'!I85+'BLAZE SHIELD II'!$D$6)*LN(J85))+('BLAZE SHIELD II'!$D$7*('HOJA DE CÁLCULO RESPALDO'!I85^2)+'BLAZE SHIELD II'!$D$8*'HOJA DE CÁLCULO RESPALDO'!I85+'BLAZE SHIELD II'!$D$9)),0),0),0))+(IF(L85="Blaze Shield II",IF(M85="Idiem software",IF(C85="Cj",((('BLAZE SHIELD II'!$H$4*('HOJA DE CÁLCULO RESPALDO'!I85^2)+'BLAZE SHIELD II'!$H$5*'HOJA DE CÁLCULO RESPALDO'!I85+'BLAZE SHIELD II'!$H$6)*LN(J85))+('BLAZE SHIELD II'!$H$7*('HOJA DE CÁLCULO RESPALDO'!I85^2)+'BLAZE SHIELD II'!$H$8*'HOJA DE CÁLCULO RESPALDO'!I85+'BLAZE SHIELD II'!$H$9)),0),0),0))+(IF(L85="Blaze Shield II",IF(M85="Idiem software",IF(C85="C",((('BLAZE SHIELD II'!$L$4*('HOJA DE CÁLCULO RESPALDO'!I85^2)+'BLAZE SHIELD II'!$L$5*'HOJA DE CÁLCULO RESPALDO'!I85+'BLAZE SHIELD II'!$L$6)*LN(J85))+('BLAZE SHIELD II'!$L$7*('HOJA DE CÁLCULO RESPALDO'!I85^2)+'BLAZE SHIELD II'!$L$8*'HOJA DE CÁLCULO RESPALDO'!I85+'BLAZE SHIELD II'!$L$9)),0),0),0))+(IF(L85="Blaze Shield II",IF(M85="Idiem software",IF(AND(C85="IN",G85=3),((('BLAZE SHIELD II'!$H$14*('HOJA DE CÁLCULO RESPALDO'!I85^2)+'BLAZE SHIELD II'!$H$15*'HOJA DE CÁLCULO RESPALDO'!I85+'BLAZE SHIELD II'!$H$16)*LN(J85))+('BLAZE SHIELD II'!$H$17*('HOJA DE CÁLCULO RESPALDO'!I85^2)+'BLAZE SHIELD II'!$H$18*'HOJA DE CÁLCULO RESPALDO'!I85+'BLAZE SHIELD II'!$H$19)),0),0),0)),0)</f>
        <v>0</v>
      </c>
      <c r="O85" s="46">
        <f t="shared" si="11"/>
        <v>0</v>
      </c>
      <c r="P85" s="80">
        <f t="shared" si="8"/>
        <v>0</v>
      </c>
      <c r="Q85" s="85">
        <f>ROUND((IF(L85="Cafco 400",IF(M85="Idiem software",IF(AND(C85="IN",G85=4),((('CAFCO 400 '!$H$7*(J85^4)+'CAFCO 400 '!$H$8*(J85^3)+'CAFCO 400 '!$H$9*(J85^2)+'CAFCO 400 '!$H$10*J85+'CAFCO 400 '!$H$11)*I85^2)+(('CAFCO 400 '!$H$12*(J85^3)+'CAFCO 400 '!$H$13*(J85^2)+'CAFCO 400 '!$H$14*J85+'CAFCO 400 '!$H$15)*I85)+('CAFCO 400 '!$H$16*(J85^2)+'CAFCO 400 '!$H$17*J85+'CAFCO 400 '!$H$18)),0),0),0))+(IF(L85="Cafco 400",IF(M85="Idiem software",IF(C85="Cj",(((('CAFCO 400 '!$D$7*LN(J85)+'CAFCO 400 '!$D$8)*I85^2)+(('CAFCO 400 '!$D$9*LN(J85)+'CAFCO 400 '!$D$10)*I85)+('CAFCO 400 '!$D$11*LN(J85)+'CAFCO 400 '!$D$12))),0),0),0))+(IF(L85="Cafco 400",IF(M85="Idiem software",IF(C85="C",((('CAFCO 400 '!$L$7*(J85^3)+'CAFCO 400 '!$L$8*(J85^2)+'CAFCO 400 '!$L$9*J85+'CAFCO 400 '!$L$10)*I85^2)+(('CAFCO 400 '!$L$11*(J85^3)+'CAFCO 400 '!$L$12*(J85^2)+'CAFCO 400 '!$L$13*J85+'CAFCO 400 '!$L$14)*I85)+('CAFCO 400 '!$L$15*LN(J85)+'CAFCO 400 '!$L$16)),0),0),0))+(IF(L85="Cafco 400",IF(M85="Idiem software",IF(AND(C85="IN",G85=3),((('CAFCO 400 '!$D$23*(J85^2)+'CAFCO 400 '!$D$24*(J85)+'CAFCO 400 '!$D$25)*I85^2)+(('CAFCO 400 '!$D$26*(J85^2)+'CAFCO 400 '!$D$27*J85+'CAFCO 400 '!$D$28)*I85)+('CAFCO 400 '!$D$29*(J85^2)+'CAFCO 400 '!$D$30*J85+'CAFCO 400 '!$D$31)),0),0),0)),0)</f>
        <v>0</v>
      </c>
      <c r="R85" s="47">
        <f t="shared" si="12"/>
        <v>0</v>
      </c>
      <c r="S85" s="82">
        <f t="shared" si="9"/>
        <v>0</v>
      </c>
      <c r="T85" s="81">
        <f>+IF(AND(J85&gt;=95,J85&lt;=240),IF(AND(C85="Cj",I85=90),VLOOKUP(W85,'CAFCO 300 IDIEM TABLAS'!$B$4:$D$23,2,FALSE),0)+IF(AND(J85&gt;=95,J85&lt;=240),IF(AND(C85="Cj",I85=120),VLOOKUP(W85,'CAFCO 300 IDIEM TABLAS'!$B$4:$D$23,3,FALSE),0))+IF(AND(J85&gt;=95,J85&lt;=400,G85=3),IF(AND(C85="IN",I85=90),VLOOKUP(W85,'CAFCO 300 IDIEM TABLAS'!$F$4:$H$35,2,FALSE),0),0)+IF(AND(J85&gt;=95,J85&lt;=400,G85=3),IF(AND(C85="IN",I85=120),VLOOKUP(W85,'CAFCO 300 IDIEM TABLAS'!$F$4:$H$35,3,FALSE),0),0)+IF(AND(J85&gt;=95,J85&lt;=450,G85=4),IF(AND(C85="IN",I85=90),VLOOKUP(W85,'CAFCO 300 IDIEM TABLAS'!$J$4:$L$40,2,FALSE),0),0)+IF(AND(J85&gt;=95,J85&lt;=450,G85=4),IF(AND(C85="IN",I85=120),VLOOKUP(W85,'CAFCO 300 IDIEM TABLAS'!$J$4:$L$40,3,FALSE),0),0))</f>
        <v>17</v>
      </c>
      <c r="U85" s="48">
        <f t="shared" si="13"/>
        <v>2.9950824775353015</v>
      </c>
      <c r="V85" s="82">
        <f t="shared" si="10"/>
        <v>44968.168317715019</v>
      </c>
      <c r="W85" s="64">
        <f>+IF(J85=LOOKUP(J85,'CAFCO 300 IDIEM TABLAS'!$J$4:$J$40),'HOJA DE CÁLCULO RESPALDO'!J85,MROUND('HOJA DE CÁLCULO RESPALDO'!J85,10))</f>
        <v>95</v>
      </c>
      <c r="X85" s="36"/>
      <c r="Y85" s="4"/>
    </row>
    <row r="86" spans="1:25" ht="15.6" customHeight="1" x14ac:dyDescent="0.25">
      <c r="A86" s="2" t="s">
        <v>38</v>
      </c>
      <c r="B86" s="3" t="s">
        <v>17</v>
      </c>
      <c r="C86" s="3" t="s">
        <v>19</v>
      </c>
      <c r="D86" s="3">
        <v>1</v>
      </c>
      <c r="E86" s="2">
        <v>1</v>
      </c>
      <c r="F86" s="8">
        <v>17500</v>
      </c>
      <c r="G86" s="1">
        <v>4</v>
      </c>
      <c r="H86" s="2">
        <v>1692</v>
      </c>
      <c r="I86" s="34">
        <v>90</v>
      </c>
      <c r="J86" s="11">
        <v>95</v>
      </c>
      <c r="K86" s="44">
        <f t="shared" si="7"/>
        <v>29.61</v>
      </c>
      <c r="L86" s="3" t="s">
        <v>61</v>
      </c>
      <c r="M86" s="3" t="s">
        <v>70</v>
      </c>
      <c r="N86" s="15">
        <f>ROUND((IF(L86="Blaze Shield II",IF(M86="Idiem software",IF(AND(C86="IN",G86=4),((('BLAZE SHIELD II'!$D$4*('HOJA DE CÁLCULO RESPALDO'!I86^2)+'BLAZE SHIELD II'!$D$5*'HOJA DE CÁLCULO RESPALDO'!I86+'BLAZE SHIELD II'!$D$6)*LN(J86))+('BLAZE SHIELD II'!$D$7*('HOJA DE CÁLCULO RESPALDO'!I86^2)+'BLAZE SHIELD II'!$D$8*'HOJA DE CÁLCULO RESPALDO'!I86+'BLAZE SHIELD II'!$D$9)),0),0),0))+(IF(L86="Blaze Shield II",IF(M86="Idiem software",IF(C86="Cj",((('BLAZE SHIELD II'!$H$4*('HOJA DE CÁLCULO RESPALDO'!I86^2)+'BLAZE SHIELD II'!$H$5*'HOJA DE CÁLCULO RESPALDO'!I86+'BLAZE SHIELD II'!$H$6)*LN(J86))+('BLAZE SHIELD II'!$H$7*('HOJA DE CÁLCULO RESPALDO'!I86^2)+'BLAZE SHIELD II'!$H$8*'HOJA DE CÁLCULO RESPALDO'!I86+'BLAZE SHIELD II'!$H$9)),0),0),0))+(IF(L86="Blaze Shield II",IF(M86="Idiem software",IF(C86="C",((('BLAZE SHIELD II'!$L$4*('HOJA DE CÁLCULO RESPALDO'!I86^2)+'BLAZE SHIELD II'!$L$5*'HOJA DE CÁLCULO RESPALDO'!I86+'BLAZE SHIELD II'!$L$6)*LN(J86))+('BLAZE SHIELD II'!$L$7*('HOJA DE CÁLCULO RESPALDO'!I86^2)+'BLAZE SHIELD II'!$L$8*'HOJA DE CÁLCULO RESPALDO'!I86+'BLAZE SHIELD II'!$L$9)),0),0),0))+(IF(L86="Blaze Shield II",IF(M86="Idiem software",IF(AND(C86="IN",G86=3),((('BLAZE SHIELD II'!$H$14*('HOJA DE CÁLCULO RESPALDO'!I86^2)+'BLAZE SHIELD II'!$H$15*'HOJA DE CÁLCULO RESPALDO'!I86+'BLAZE SHIELD II'!$H$16)*LN(J86))+('BLAZE SHIELD II'!$H$17*('HOJA DE CÁLCULO RESPALDO'!I86^2)+'BLAZE SHIELD II'!$H$18*'HOJA DE CÁLCULO RESPALDO'!I86+'BLAZE SHIELD II'!$H$19)),0),0),0)),0)</f>
        <v>0</v>
      </c>
      <c r="O86" s="46">
        <f t="shared" si="11"/>
        <v>0</v>
      </c>
      <c r="P86" s="80">
        <f t="shared" si="8"/>
        <v>0</v>
      </c>
      <c r="Q86" s="85">
        <f>ROUND((IF(L86="Cafco 400",IF(M86="Idiem software",IF(AND(C86="IN",G86=4),((('CAFCO 400 '!$H$7*(J86^4)+'CAFCO 400 '!$H$8*(J86^3)+'CAFCO 400 '!$H$9*(J86^2)+'CAFCO 400 '!$H$10*J86+'CAFCO 400 '!$H$11)*I86^2)+(('CAFCO 400 '!$H$12*(J86^3)+'CAFCO 400 '!$H$13*(J86^2)+'CAFCO 400 '!$H$14*J86+'CAFCO 400 '!$H$15)*I86)+('CAFCO 400 '!$H$16*(J86^2)+'CAFCO 400 '!$H$17*J86+'CAFCO 400 '!$H$18)),0),0),0))+(IF(L86="Cafco 400",IF(M86="Idiem software",IF(C86="Cj",(((('CAFCO 400 '!$D$7*LN(J86)+'CAFCO 400 '!$D$8)*I86^2)+(('CAFCO 400 '!$D$9*LN(J86)+'CAFCO 400 '!$D$10)*I86)+('CAFCO 400 '!$D$11*LN(J86)+'CAFCO 400 '!$D$12))),0),0),0))+(IF(L86="Cafco 400",IF(M86="Idiem software",IF(C86="C",((('CAFCO 400 '!$L$7*(J86^3)+'CAFCO 400 '!$L$8*(J86^2)+'CAFCO 400 '!$L$9*J86+'CAFCO 400 '!$L$10)*I86^2)+(('CAFCO 400 '!$L$11*(J86^3)+'CAFCO 400 '!$L$12*(J86^2)+'CAFCO 400 '!$L$13*J86+'CAFCO 400 '!$L$14)*I86)+('CAFCO 400 '!$L$15*LN(J86)+'CAFCO 400 '!$L$16)),0),0),0))+(IF(L86="Cafco 400",IF(M86="Idiem software",IF(AND(C86="IN",G86=3),((('CAFCO 400 '!$D$23*(J86^2)+'CAFCO 400 '!$D$24*(J86)+'CAFCO 400 '!$D$25)*I86^2)+(('CAFCO 400 '!$D$26*(J86^2)+'CAFCO 400 '!$D$27*J86+'CAFCO 400 '!$D$28)*I86)+('CAFCO 400 '!$D$29*(J86^2)+'CAFCO 400 '!$D$30*J86+'CAFCO 400 '!$D$31)),0),0),0)),0)</f>
        <v>0</v>
      </c>
      <c r="R86" s="47">
        <f t="shared" si="12"/>
        <v>0</v>
      </c>
      <c r="S86" s="82">
        <f t="shared" si="9"/>
        <v>0</v>
      </c>
      <c r="T86" s="81">
        <f>+IF(AND(J86&gt;=95,J86&lt;=240),IF(AND(C86="Cj",I86=90),VLOOKUP(W86,'CAFCO 300 IDIEM TABLAS'!$B$4:$D$23,2,FALSE),0)+IF(AND(J86&gt;=95,J86&lt;=240),IF(AND(C86="Cj",I86=120),VLOOKUP(W86,'CAFCO 300 IDIEM TABLAS'!$B$4:$D$23,3,FALSE),0))+IF(AND(J86&gt;=95,J86&lt;=400,G86=3),IF(AND(C86="IN",I86=90),VLOOKUP(W86,'CAFCO 300 IDIEM TABLAS'!$F$4:$H$35,2,FALSE),0),0)+IF(AND(J86&gt;=95,J86&lt;=400,G86=3),IF(AND(C86="IN",I86=120),VLOOKUP(W86,'CAFCO 300 IDIEM TABLAS'!$F$4:$H$35,3,FALSE),0),0)+IF(AND(J86&gt;=95,J86&lt;=450,G86=4),IF(AND(C86="IN",I86=90),VLOOKUP(W86,'CAFCO 300 IDIEM TABLAS'!$J$4:$L$40,2,FALSE),0),0)+IF(AND(J86&gt;=95,J86&lt;=450,G86=4),IF(AND(C86="IN",I86=120),VLOOKUP(W86,'CAFCO 300 IDIEM TABLAS'!$J$4:$L$40,3,FALSE),0),0))</f>
        <v>17</v>
      </c>
      <c r="U86" s="48">
        <f t="shared" si="13"/>
        <v>6.94637676508344</v>
      </c>
      <c r="V86" s="82">
        <f t="shared" si="10"/>
        <v>104292.90075096277</v>
      </c>
      <c r="W86" s="64">
        <f>+IF(J86=LOOKUP(J86,'CAFCO 300 IDIEM TABLAS'!$J$4:$J$40),'HOJA DE CÁLCULO RESPALDO'!J86,MROUND('HOJA DE CÁLCULO RESPALDO'!J86,10))</f>
        <v>95</v>
      </c>
      <c r="X86" s="36"/>
      <c r="Y86" s="4"/>
    </row>
    <row r="87" spans="1:25" x14ac:dyDescent="0.25">
      <c r="A87" s="2" t="s">
        <v>38</v>
      </c>
      <c r="B87" s="3" t="s">
        <v>17</v>
      </c>
      <c r="C87" s="3" t="s">
        <v>19</v>
      </c>
      <c r="D87" s="3">
        <v>1</v>
      </c>
      <c r="E87" s="2">
        <v>1</v>
      </c>
      <c r="F87" s="8">
        <v>8500</v>
      </c>
      <c r="G87" s="1">
        <v>4</v>
      </c>
      <c r="H87" s="2">
        <v>1692</v>
      </c>
      <c r="I87" s="34">
        <v>90</v>
      </c>
      <c r="J87" s="11">
        <v>95</v>
      </c>
      <c r="K87" s="44">
        <f t="shared" si="7"/>
        <v>14.382</v>
      </c>
      <c r="L87" s="3" t="s">
        <v>61</v>
      </c>
      <c r="M87" s="3" t="s">
        <v>70</v>
      </c>
      <c r="N87" s="15">
        <f>ROUND((IF(L87="Blaze Shield II",IF(M87="Idiem software",IF(AND(C87="IN",G87=4),((('BLAZE SHIELD II'!$D$4*('HOJA DE CÁLCULO RESPALDO'!I87^2)+'BLAZE SHIELD II'!$D$5*'HOJA DE CÁLCULO RESPALDO'!I87+'BLAZE SHIELD II'!$D$6)*LN(J87))+('BLAZE SHIELD II'!$D$7*('HOJA DE CÁLCULO RESPALDO'!I87^2)+'BLAZE SHIELD II'!$D$8*'HOJA DE CÁLCULO RESPALDO'!I87+'BLAZE SHIELD II'!$D$9)),0),0),0))+(IF(L87="Blaze Shield II",IF(M87="Idiem software",IF(C87="Cj",((('BLAZE SHIELD II'!$H$4*('HOJA DE CÁLCULO RESPALDO'!I87^2)+'BLAZE SHIELD II'!$H$5*'HOJA DE CÁLCULO RESPALDO'!I87+'BLAZE SHIELD II'!$H$6)*LN(J87))+('BLAZE SHIELD II'!$H$7*('HOJA DE CÁLCULO RESPALDO'!I87^2)+'BLAZE SHIELD II'!$H$8*'HOJA DE CÁLCULO RESPALDO'!I87+'BLAZE SHIELD II'!$H$9)),0),0),0))+(IF(L87="Blaze Shield II",IF(M87="Idiem software",IF(C87="C",((('BLAZE SHIELD II'!$L$4*('HOJA DE CÁLCULO RESPALDO'!I87^2)+'BLAZE SHIELD II'!$L$5*'HOJA DE CÁLCULO RESPALDO'!I87+'BLAZE SHIELD II'!$L$6)*LN(J87))+('BLAZE SHIELD II'!$L$7*('HOJA DE CÁLCULO RESPALDO'!I87^2)+'BLAZE SHIELD II'!$L$8*'HOJA DE CÁLCULO RESPALDO'!I87+'BLAZE SHIELD II'!$L$9)),0),0),0))+(IF(L87="Blaze Shield II",IF(M87="Idiem software",IF(AND(C87="IN",G87=3),((('BLAZE SHIELD II'!$H$14*('HOJA DE CÁLCULO RESPALDO'!I87^2)+'BLAZE SHIELD II'!$H$15*'HOJA DE CÁLCULO RESPALDO'!I87+'BLAZE SHIELD II'!$H$16)*LN(J87))+('BLAZE SHIELD II'!$H$17*('HOJA DE CÁLCULO RESPALDO'!I87^2)+'BLAZE SHIELD II'!$H$18*'HOJA DE CÁLCULO RESPALDO'!I87+'BLAZE SHIELD II'!$H$19)),0),0),0)),0)</f>
        <v>0</v>
      </c>
      <c r="O87" s="46">
        <f t="shared" si="11"/>
        <v>0</v>
      </c>
      <c r="P87" s="80">
        <f t="shared" si="8"/>
        <v>0</v>
      </c>
      <c r="Q87" s="85">
        <f>ROUND((IF(L87="Cafco 400",IF(M87="Idiem software",IF(AND(C87="IN",G87=4),((('CAFCO 400 '!$H$7*(J87^4)+'CAFCO 400 '!$H$8*(J87^3)+'CAFCO 400 '!$H$9*(J87^2)+'CAFCO 400 '!$H$10*J87+'CAFCO 400 '!$H$11)*I87^2)+(('CAFCO 400 '!$H$12*(J87^3)+'CAFCO 400 '!$H$13*(J87^2)+'CAFCO 400 '!$H$14*J87+'CAFCO 400 '!$H$15)*I87)+('CAFCO 400 '!$H$16*(J87^2)+'CAFCO 400 '!$H$17*J87+'CAFCO 400 '!$H$18)),0),0),0))+(IF(L87="Cafco 400",IF(M87="Idiem software",IF(C87="Cj",(((('CAFCO 400 '!$D$7*LN(J87)+'CAFCO 400 '!$D$8)*I87^2)+(('CAFCO 400 '!$D$9*LN(J87)+'CAFCO 400 '!$D$10)*I87)+('CAFCO 400 '!$D$11*LN(J87)+'CAFCO 400 '!$D$12))),0),0),0))+(IF(L87="Cafco 400",IF(M87="Idiem software",IF(C87="C",((('CAFCO 400 '!$L$7*(J87^3)+'CAFCO 400 '!$L$8*(J87^2)+'CAFCO 400 '!$L$9*J87+'CAFCO 400 '!$L$10)*I87^2)+(('CAFCO 400 '!$L$11*(J87^3)+'CAFCO 400 '!$L$12*(J87^2)+'CAFCO 400 '!$L$13*J87+'CAFCO 400 '!$L$14)*I87)+('CAFCO 400 '!$L$15*LN(J87)+'CAFCO 400 '!$L$16)),0),0),0))+(IF(L87="Cafco 400",IF(M87="Idiem software",IF(AND(C87="IN",G87=3),((('CAFCO 400 '!$D$23*(J87^2)+'CAFCO 400 '!$D$24*(J87)+'CAFCO 400 '!$D$25)*I87^2)+(('CAFCO 400 '!$D$26*(J87^2)+'CAFCO 400 '!$D$27*J87+'CAFCO 400 '!$D$28)*I87)+('CAFCO 400 '!$D$29*(J87^2)+'CAFCO 400 '!$D$30*J87+'CAFCO 400 '!$D$31)),0),0),0)),0)</f>
        <v>0</v>
      </c>
      <c r="R87" s="47">
        <f t="shared" si="12"/>
        <v>0</v>
      </c>
      <c r="S87" s="82">
        <f t="shared" si="9"/>
        <v>0</v>
      </c>
      <c r="T87" s="81">
        <f>+IF(AND(J87&gt;=95,J87&lt;=240),IF(AND(C87="Cj",I87=90),VLOOKUP(W87,'CAFCO 300 IDIEM TABLAS'!$B$4:$D$23,2,FALSE),0)+IF(AND(J87&gt;=95,J87&lt;=240),IF(AND(C87="Cj",I87=120),VLOOKUP(W87,'CAFCO 300 IDIEM TABLAS'!$B$4:$D$23,3,FALSE),0))+IF(AND(J87&gt;=95,J87&lt;=400,G87=3),IF(AND(C87="IN",I87=90),VLOOKUP(W87,'CAFCO 300 IDIEM TABLAS'!$F$4:$H$35,2,FALSE),0),0)+IF(AND(J87&gt;=95,J87&lt;=400,G87=3),IF(AND(C87="IN",I87=120),VLOOKUP(W87,'CAFCO 300 IDIEM TABLAS'!$F$4:$H$35,3,FALSE),0),0)+IF(AND(J87&gt;=95,J87&lt;=450,G87=4),IF(AND(C87="IN",I87=90),VLOOKUP(W87,'CAFCO 300 IDIEM TABLAS'!$J$4:$L$40,2,FALSE),0),0)+IF(AND(J87&gt;=95,J87&lt;=450,G87=4),IF(AND(C87="IN",I87=120),VLOOKUP(W87,'CAFCO 300 IDIEM TABLAS'!$J$4:$L$40,3,FALSE),0),0))</f>
        <v>17</v>
      </c>
      <c r="U87" s="48">
        <f t="shared" si="13"/>
        <v>3.3739544287548138</v>
      </c>
      <c r="V87" s="82">
        <f t="shared" si="10"/>
        <v>50656.551793324776</v>
      </c>
      <c r="W87" s="64">
        <f>+IF(J87=LOOKUP(J87,'CAFCO 300 IDIEM TABLAS'!$J$4:$J$40),'HOJA DE CÁLCULO RESPALDO'!J87,MROUND('HOJA DE CÁLCULO RESPALDO'!J87,10))</f>
        <v>95</v>
      </c>
      <c r="X87" s="36"/>
      <c r="Y87" s="4"/>
    </row>
    <row r="88" spans="1:25" ht="15.6" customHeight="1" x14ac:dyDescent="0.25">
      <c r="A88" s="2" t="s">
        <v>38</v>
      </c>
      <c r="B88" s="3" t="s">
        <v>17</v>
      </c>
      <c r="C88" s="3" t="s">
        <v>19</v>
      </c>
      <c r="D88" s="3">
        <v>1</v>
      </c>
      <c r="E88" s="2">
        <v>1</v>
      </c>
      <c r="F88" s="8">
        <v>8500</v>
      </c>
      <c r="G88" s="1">
        <v>4</v>
      </c>
      <c r="H88" s="2">
        <v>1502</v>
      </c>
      <c r="I88" s="34">
        <v>90</v>
      </c>
      <c r="J88" s="11">
        <v>95</v>
      </c>
      <c r="K88" s="44">
        <f t="shared" si="7"/>
        <v>12.766999999999999</v>
      </c>
      <c r="L88" s="3" t="s">
        <v>61</v>
      </c>
      <c r="M88" s="3" t="s">
        <v>70</v>
      </c>
      <c r="N88" s="15">
        <f>ROUND((IF(L88="Blaze Shield II",IF(M88="Idiem software",IF(AND(C88="IN",G88=4),((('BLAZE SHIELD II'!$D$4*('HOJA DE CÁLCULO RESPALDO'!I88^2)+'BLAZE SHIELD II'!$D$5*'HOJA DE CÁLCULO RESPALDO'!I88+'BLAZE SHIELD II'!$D$6)*LN(J88))+('BLAZE SHIELD II'!$D$7*('HOJA DE CÁLCULO RESPALDO'!I88^2)+'BLAZE SHIELD II'!$D$8*'HOJA DE CÁLCULO RESPALDO'!I88+'BLAZE SHIELD II'!$D$9)),0),0),0))+(IF(L88="Blaze Shield II",IF(M88="Idiem software",IF(C88="Cj",((('BLAZE SHIELD II'!$H$4*('HOJA DE CÁLCULO RESPALDO'!I88^2)+'BLAZE SHIELD II'!$H$5*'HOJA DE CÁLCULO RESPALDO'!I88+'BLAZE SHIELD II'!$H$6)*LN(J88))+('BLAZE SHIELD II'!$H$7*('HOJA DE CÁLCULO RESPALDO'!I88^2)+'BLAZE SHIELD II'!$H$8*'HOJA DE CÁLCULO RESPALDO'!I88+'BLAZE SHIELD II'!$H$9)),0),0),0))+(IF(L88="Blaze Shield II",IF(M88="Idiem software",IF(C88="C",((('BLAZE SHIELD II'!$L$4*('HOJA DE CÁLCULO RESPALDO'!I88^2)+'BLAZE SHIELD II'!$L$5*'HOJA DE CÁLCULO RESPALDO'!I88+'BLAZE SHIELD II'!$L$6)*LN(J88))+('BLAZE SHIELD II'!$L$7*('HOJA DE CÁLCULO RESPALDO'!I88^2)+'BLAZE SHIELD II'!$L$8*'HOJA DE CÁLCULO RESPALDO'!I88+'BLAZE SHIELD II'!$L$9)),0),0),0))+(IF(L88="Blaze Shield II",IF(M88="Idiem software",IF(AND(C88="IN",G88=3),((('BLAZE SHIELD II'!$H$14*('HOJA DE CÁLCULO RESPALDO'!I88^2)+'BLAZE SHIELD II'!$H$15*'HOJA DE CÁLCULO RESPALDO'!I88+'BLAZE SHIELD II'!$H$16)*LN(J88))+('BLAZE SHIELD II'!$H$17*('HOJA DE CÁLCULO RESPALDO'!I88^2)+'BLAZE SHIELD II'!$H$18*'HOJA DE CÁLCULO RESPALDO'!I88+'BLAZE SHIELD II'!$H$19)),0),0),0)),0)</f>
        <v>0</v>
      </c>
      <c r="O88" s="46">
        <f t="shared" si="11"/>
        <v>0</v>
      </c>
      <c r="P88" s="80">
        <f t="shared" si="8"/>
        <v>0</v>
      </c>
      <c r="Q88" s="85">
        <f>ROUND((IF(L88="Cafco 400",IF(M88="Idiem software",IF(AND(C88="IN",G88=4),((('CAFCO 400 '!$H$7*(J88^4)+'CAFCO 400 '!$H$8*(J88^3)+'CAFCO 400 '!$H$9*(J88^2)+'CAFCO 400 '!$H$10*J88+'CAFCO 400 '!$H$11)*I88^2)+(('CAFCO 400 '!$H$12*(J88^3)+'CAFCO 400 '!$H$13*(J88^2)+'CAFCO 400 '!$H$14*J88+'CAFCO 400 '!$H$15)*I88)+('CAFCO 400 '!$H$16*(J88^2)+'CAFCO 400 '!$H$17*J88+'CAFCO 400 '!$H$18)),0),0),0))+(IF(L88="Cafco 400",IF(M88="Idiem software",IF(C88="Cj",(((('CAFCO 400 '!$D$7*LN(J88)+'CAFCO 400 '!$D$8)*I88^2)+(('CAFCO 400 '!$D$9*LN(J88)+'CAFCO 400 '!$D$10)*I88)+('CAFCO 400 '!$D$11*LN(J88)+'CAFCO 400 '!$D$12))),0),0),0))+(IF(L88="Cafco 400",IF(M88="Idiem software",IF(C88="C",((('CAFCO 400 '!$L$7*(J88^3)+'CAFCO 400 '!$L$8*(J88^2)+'CAFCO 400 '!$L$9*J88+'CAFCO 400 '!$L$10)*I88^2)+(('CAFCO 400 '!$L$11*(J88^3)+'CAFCO 400 '!$L$12*(J88^2)+'CAFCO 400 '!$L$13*J88+'CAFCO 400 '!$L$14)*I88)+('CAFCO 400 '!$L$15*LN(J88)+'CAFCO 400 '!$L$16)),0),0),0))+(IF(L88="Cafco 400",IF(M88="Idiem software",IF(AND(C88="IN",G88=3),((('CAFCO 400 '!$D$23*(J88^2)+'CAFCO 400 '!$D$24*(J88)+'CAFCO 400 '!$D$25)*I88^2)+(('CAFCO 400 '!$D$26*(J88^2)+'CAFCO 400 '!$D$27*J88+'CAFCO 400 '!$D$28)*I88)+('CAFCO 400 '!$D$29*(J88^2)+'CAFCO 400 '!$D$30*J88+'CAFCO 400 '!$D$31)),0),0),0)),0)</f>
        <v>0</v>
      </c>
      <c r="R88" s="47">
        <f t="shared" si="12"/>
        <v>0</v>
      </c>
      <c r="S88" s="82">
        <f t="shared" si="9"/>
        <v>0</v>
      </c>
      <c r="T88" s="81">
        <f>+IF(AND(J88&gt;=95,J88&lt;=240),IF(AND(C88="Cj",I88=90),VLOOKUP(W88,'CAFCO 300 IDIEM TABLAS'!$B$4:$D$23,2,FALSE),0)+IF(AND(J88&gt;=95,J88&lt;=240),IF(AND(C88="Cj",I88=120),VLOOKUP(W88,'CAFCO 300 IDIEM TABLAS'!$B$4:$D$23,3,FALSE),0))+IF(AND(J88&gt;=95,J88&lt;=400,G88=3),IF(AND(C88="IN",I88=90),VLOOKUP(W88,'CAFCO 300 IDIEM TABLAS'!$F$4:$H$35,2,FALSE),0),0)+IF(AND(J88&gt;=95,J88&lt;=400,G88=3),IF(AND(C88="IN",I88=120),VLOOKUP(W88,'CAFCO 300 IDIEM TABLAS'!$F$4:$H$35,3,FALSE),0),0)+IF(AND(J88&gt;=95,J88&lt;=450,G88=4),IF(AND(C88="IN",I88=90),VLOOKUP(W88,'CAFCO 300 IDIEM TABLAS'!$J$4:$L$40,2,FALSE),0),0)+IF(AND(J88&gt;=95,J88&lt;=450,G88=4),IF(AND(C88="IN",I88=120),VLOOKUP(W88,'CAFCO 300 IDIEM TABLAS'!$J$4:$L$40,3,FALSE),0),0))</f>
        <v>17</v>
      </c>
      <c r="U88" s="48">
        <f t="shared" si="13"/>
        <v>2.9950824775353015</v>
      </c>
      <c r="V88" s="82">
        <f t="shared" si="10"/>
        <v>44968.168317715019</v>
      </c>
      <c r="W88" s="64">
        <f>+IF(J88=LOOKUP(J88,'CAFCO 300 IDIEM TABLAS'!$J$4:$J$40),'HOJA DE CÁLCULO RESPALDO'!J88,MROUND('HOJA DE CÁLCULO RESPALDO'!J88,10))</f>
        <v>95</v>
      </c>
      <c r="X88" s="36"/>
      <c r="Y88" s="4"/>
    </row>
    <row r="89" spans="1:25" x14ac:dyDescent="0.25">
      <c r="A89" s="2" t="s">
        <v>38</v>
      </c>
      <c r="B89" s="3" t="s">
        <v>17</v>
      </c>
      <c r="C89" s="3" t="s">
        <v>19</v>
      </c>
      <c r="D89" s="3">
        <v>1</v>
      </c>
      <c r="E89" s="2">
        <v>1</v>
      </c>
      <c r="F89" s="8">
        <v>11097</v>
      </c>
      <c r="G89" s="1">
        <v>4</v>
      </c>
      <c r="H89" s="2">
        <v>585</v>
      </c>
      <c r="I89" s="34">
        <v>90</v>
      </c>
      <c r="J89" s="11">
        <v>95</v>
      </c>
      <c r="K89" s="44">
        <f t="shared" si="7"/>
        <v>6.4917449999999999</v>
      </c>
      <c r="L89" s="3" t="s">
        <v>61</v>
      </c>
      <c r="M89" s="3" t="s">
        <v>70</v>
      </c>
      <c r="N89" s="15">
        <f>ROUND((IF(L89="Blaze Shield II",IF(M89="Idiem software",IF(AND(C89="IN",G89=4),((('BLAZE SHIELD II'!$D$4*('HOJA DE CÁLCULO RESPALDO'!I89^2)+'BLAZE SHIELD II'!$D$5*'HOJA DE CÁLCULO RESPALDO'!I89+'BLAZE SHIELD II'!$D$6)*LN(J89))+('BLAZE SHIELD II'!$D$7*('HOJA DE CÁLCULO RESPALDO'!I89^2)+'BLAZE SHIELD II'!$D$8*'HOJA DE CÁLCULO RESPALDO'!I89+'BLAZE SHIELD II'!$D$9)),0),0),0))+(IF(L89="Blaze Shield II",IF(M89="Idiem software",IF(C89="Cj",((('BLAZE SHIELD II'!$H$4*('HOJA DE CÁLCULO RESPALDO'!I89^2)+'BLAZE SHIELD II'!$H$5*'HOJA DE CÁLCULO RESPALDO'!I89+'BLAZE SHIELD II'!$H$6)*LN(J89))+('BLAZE SHIELD II'!$H$7*('HOJA DE CÁLCULO RESPALDO'!I89^2)+'BLAZE SHIELD II'!$H$8*'HOJA DE CÁLCULO RESPALDO'!I89+'BLAZE SHIELD II'!$H$9)),0),0),0))+(IF(L89="Blaze Shield II",IF(M89="Idiem software",IF(C89="C",((('BLAZE SHIELD II'!$L$4*('HOJA DE CÁLCULO RESPALDO'!I89^2)+'BLAZE SHIELD II'!$L$5*'HOJA DE CÁLCULO RESPALDO'!I89+'BLAZE SHIELD II'!$L$6)*LN(J89))+('BLAZE SHIELD II'!$L$7*('HOJA DE CÁLCULO RESPALDO'!I89^2)+'BLAZE SHIELD II'!$L$8*'HOJA DE CÁLCULO RESPALDO'!I89+'BLAZE SHIELD II'!$L$9)),0),0),0))+(IF(L89="Blaze Shield II",IF(M89="Idiem software",IF(AND(C89="IN",G89=3),((('BLAZE SHIELD II'!$H$14*('HOJA DE CÁLCULO RESPALDO'!I89^2)+'BLAZE SHIELD II'!$H$15*'HOJA DE CÁLCULO RESPALDO'!I89+'BLAZE SHIELD II'!$H$16)*LN(J89))+('BLAZE SHIELD II'!$H$17*('HOJA DE CÁLCULO RESPALDO'!I89^2)+'BLAZE SHIELD II'!$H$18*'HOJA DE CÁLCULO RESPALDO'!I89+'BLAZE SHIELD II'!$H$19)),0),0),0)),0)</f>
        <v>0</v>
      </c>
      <c r="O89" s="46">
        <f t="shared" si="11"/>
        <v>0</v>
      </c>
      <c r="P89" s="80">
        <f t="shared" si="8"/>
        <v>0</v>
      </c>
      <c r="Q89" s="85">
        <f>ROUND((IF(L89="Cafco 400",IF(M89="Idiem software",IF(AND(C89="IN",G89=4),((('CAFCO 400 '!$H$7*(J89^4)+'CAFCO 400 '!$H$8*(J89^3)+'CAFCO 400 '!$H$9*(J89^2)+'CAFCO 400 '!$H$10*J89+'CAFCO 400 '!$H$11)*I89^2)+(('CAFCO 400 '!$H$12*(J89^3)+'CAFCO 400 '!$H$13*(J89^2)+'CAFCO 400 '!$H$14*J89+'CAFCO 400 '!$H$15)*I89)+('CAFCO 400 '!$H$16*(J89^2)+'CAFCO 400 '!$H$17*J89+'CAFCO 400 '!$H$18)),0),0),0))+(IF(L89="Cafco 400",IF(M89="Idiem software",IF(C89="Cj",(((('CAFCO 400 '!$D$7*LN(J89)+'CAFCO 400 '!$D$8)*I89^2)+(('CAFCO 400 '!$D$9*LN(J89)+'CAFCO 400 '!$D$10)*I89)+('CAFCO 400 '!$D$11*LN(J89)+'CAFCO 400 '!$D$12))),0),0),0))+(IF(L89="Cafco 400",IF(M89="Idiem software",IF(C89="C",((('CAFCO 400 '!$L$7*(J89^3)+'CAFCO 400 '!$L$8*(J89^2)+'CAFCO 400 '!$L$9*J89+'CAFCO 400 '!$L$10)*I89^2)+(('CAFCO 400 '!$L$11*(J89^3)+'CAFCO 400 '!$L$12*(J89^2)+'CAFCO 400 '!$L$13*J89+'CAFCO 400 '!$L$14)*I89)+('CAFCO 400 '!$L$15*LN(J89)+'CAFCO 400 '!$L$16)),0),0),0))+(IF(L89="Cafco 400",IF(M89="Idiem software",IF(AND(C89="IN",G89=3),((('CAFCO 400 '!$D$23*(J89^2)+'CAFCO 400 '!$D$24*(J89)+'CAFCO 400 '!$D$25)*I89^2)+(('CAFCO 400 '!$D$26*(J89^2)+'CAFCO 400 '!$D$27*J89+'CAFCO 400 '!$D$28)*I89)+('CAFCO 400 '!$D$29*(J89^2)+'CAFCO 400 '!$D$30*J89+'CAFCO 400 '!$D$31)),0),0),0)),0)</f>
        <v>0</v>
      </c>
      <c r="R89" s="47">
        <f t="shared" si="12"/>
        <v>0</v>
      </c>
      <c r="S89" s="82">
        <f t="shared" si="9"/>
        <v>0</v>
      </c>
      <c r="T89" s="81">
        <f>+IF(AND(J89&gt;=95,J89&lt;=240),IF(AND(C89="Cj",I89=90),VLOOKUP(W89,'CAFCO 300 IDIEM TABLAS'!$B$4:$D$23,2,FALSE),0)+IF(AND(J89&gt;=95,J89&lt;=240),IF(AND(C89="Cj",I89=120),VLOOKUP(W89,'CAFCO 300 IDIEM TABLAS'!$B$4:$D$23,3,FALSE),0))+IF(AND(J89&gt;=95,J89&lt;=400,G89=3),IF(AND(C89="IN",I89=90),VLOOKUP(W89,'CAFCO 300 IDIEM TABLAS'!$F$4:$H$35,2,FALSE),0),0)+IF(AND(J89&gt;=95,J89&lt;=400,G89=3),IF(AND(C89="IN",I89=120),VLOOKUP(W89,'CAFCO 300 IDIEM TABLAS'!$F$4:$H$35,3,FALSE),0),0)+IF(AND(J89&gt;=95,J89&lt;=450,G89=4),IF(AND(C89="IN",I89=90),VLOOKUP(W89,'CAFCO 300 IDIEM TABLAS'!$J$4:$L$40,2,FALSE),0),0)+IF(AND(J89&gt;=95,J89&lt;=450,G89=4),IF(AND(C89="IN",I89=120),VLOOKUP(W89,'CAFCO 300 IDIEM TABLAS'!$J$4:$L$40,3,FALSE),0),0))</f>
        <v>17</v>
      </c>
      <c r="U89" s="48">
        <f t="shared" si="13"/>
        <v>1.5229350433247753</v>
      </c>
      <c r="V89" s="82">
        <f t="shared" si="10"/>
        <v>22865.346740478177</v>
      </c>
      <c r="W89" s="64">
        <f>+IF(J89=LOOKUP(J89,'CAFCO 300 IDIEM TABLAS'!$J$4:$J$40),'HOJA DE CÁLCULO RESPALDO'!J89,MROUND('HOJA DE CÁLCULO RESPALDO'!J89,10))</f>
        <v>95</v>
      </c>
      <c r="X89" s="36"/>
      <c r="Y89" s="4"/>
    </row>
    <row r="90" spans="1:25" ht="15.6" customHeight="1" x14ac:dyDescent="0.25">
      <c r="A90" s="2" t="s">
        <v>38</v>
      </c>
      <c r="B90" s="3" t="s">
        <v>17</v>
      </c>
      <c r="C90" s="3" t="s">
        <v>19</v>
      </c>
      <c r="D90" s="3">
        <v>1</v>
      </c>
      <c r="E90" s="2">
        <v>1</v>
      </c>
      <c r="F90" s="8">
        <v>1500</v>
      </c>
      <c r="G90" s="1">
        <v>4</v>
      </c>
      <c r="H90" s="2">
        <v>776</v>
      </c>
      <c r="I90" s="34">
        <v>90</v>
      </c>
      <c r="J90" s="11">
        <v>95</v>
      </c>
      <c r="K90" s="44">
        <f t="shared" si="7"/>
        <v>1.1639999999999999</v>
      </c>
      <c r="L90" s="3" t="s">
        <v>61</v>
      </c>
      <c r="M90" s="3" t="s">
        <v>70</v>
      </c>
      <c r="N90" s="15">
        <f>ROUND((IF(L90="Blaze Shield II",IF(M90="Idiem software",IF(AND(C90="IN",G90=4),((('BLAZE SHIELD II'!$D$4*('HOJA DE CÁLCULO RESPALDO'!I90^2)+'BLAZE SHIELD II'!$D$5*'HOJA DE CÁLCULO RESPALDO'!I90+'BLAZE SHIELD II'!$D$6)*LN(J90))+('BLAZE SHIELD II'!$D$7*('HOJA DE CÁLCULO RESPALDO'!I90^2)+'BLAZE SHIELD II'!$D$8*'HOJA DE CÁLCULO RESPALDO'!I90+'BLAZE SHIELD II'!$D$9)),0),0),0))+(IF(L90="Blaze Shield II",IF(M90="Idiem software",IF(C90="Cj",((('BLAZE SHIELD II'!$H$4*('HOJA DE CÁLCULO RESPALDO'!I90^2)+'BLAZE SHIELD II'!$H$5*'HOJA DE CÁLCULO RESPALDO'!I90+'BLAZE SHIELD II'!$H$6)*LN(J90))+('BLAZE SHIELD II'!$H$7*('HOJA DE CÁLCULO RESPALDO'!I90^2)+'BLAZE SHIELD II'!$H$8*'HOJA DE CÁLCULO RESPALDO'!I90+'BLAZE SHIELD II'!$H$9)),0),0),0))+(IF(L90="Blaze Shield II",IF(M90="Idiem software",IF(C90="C",((('BLAZE SHIELD II'!$L$4*('HOJA DE CÁLCULO RESPALDO'!I90^2)+'BLAZE SHIELD II'!$L$5*'HOJA DE CÁLCULO RESPALDO'!I90+'BLAZE SHIELD II'!$L$6)*LN(J90))+('BLAZE SHIELD II'!$L$7*('HOJA DE CÁLCULO RESPALDO'!I90^2)+'BLAZE SHIELD II'!$L$8*'HOJA DE CÁLCULO RESPALDO'!I90+'BLAZE SHIELD II'!$L$9)),0),0),0))+(IF(L90="Blaze Shield II",IF(M90="Idiem software",IF(AND(C90="IN",G90=3),((('BLAZE SHIELD II'!$H$14*('HOJA DE CÁLCULO RESPALDO'!I90^2)+'BLAZE SHIELD II'!$H$15*'HOJA DE CÁLCULO RESPALDO'!I90+'BLAZE SHIELD II'!$H$16)*LN(J90))+('BLAZE SHIELD II'!$H$17*('HOJA DE CÁLCULO RESPALDO'!I90^2)+'BLAZE SHIELD II'!$H$18*'HOJA DE CÁLCULO RESPALDO'!I90+'BLAZE SHIELD II'!$H$19)),0),0),0)),0)</f>
        <v>0</v>
      </c>
      <c r="O90" s="46">
        <f t="shared" si="11"/>
        <v>0</v>
      </c>
      <c r="P90" s="80">
        <f t="shared" si="8"/>
        <v>0</v>
      </c>
      <c r="Q90" s="85">
        <f>ROUND((IF(L90="Cafco 400",IF(M90="Idiem software",IF(AND(C90="IN",G90=4),((('CAFCO 400 '!$H$7*(J90^4)+'CAFCO 400 '!$H$8*(J90^3)+'CAFCO 400 '!$H$9*(J90^2)+'CAFCO 400 '!$H$10*J90+'CAFCO 400 '!$H$11)*I90^2)+(('CAFCO 400 '!$H$12*(J90^3)+'CAFCO 400 '!$H$13*(J90^2)+'CAFCO 400 '!$H$14*J90+'CAFCO 400 '!$H$15)*I90)+('CAFCO 400 '!$H$16*(J90^2)+'CAFCO 400 '!$H$17*J90+'CAFCO 400 '!$H$18)),0),0),0))+(IF(L90="Cafco 400",IF(M90="Idiem software",IF(C90="Cj",(((('CAFCO 400 '!$D$7*LN(J90)+'CAFCO 400 '!$D$8)*I90^2)+(('CAFCO 400 '!$D$9*LN(J90)+'CAFCO 400 '!$D$10)*I90)+('CAFCO 400 '!$D$11*LN(J90)+'CAFCO 400 '!$D$12))),0),0),0))+(IF(L90="Cafco 400",IF(M90="Idiem software",IF(C90="C",((('CAFCO 400 '!$L$7*(J90^3)+'CAFCO 400 '!$L$8*(J90^2)+'CAFCO 400 '!$L$9*J90+'CAFCO 400 '!$L$10)*I90^2)+(('CAFCO 400 '!$L$11*(J90^3)+'CAFCO 400 '!$L$12*(J90^2)+'CAFCO 400 '!$L$13*J90+'CAFCO 400 '!$L$14)*I90)+('CAFCO 400 '!$L$15*LN(J90)+'CAFCO 400 '!$L$16)),0),0),0))+(IF(L90="Cafco 400",IF(M90="Idiem software",IF(AND(C90="IN",G90=3),((('CAFCO 400 '!$D$23*(J90^2)+'CAFCO 400 '!$D$24*(J90)+'CAFCO 400 '!$D$25)*I90^2)+(('CAFCO 400 '!$D$26*(J90^2)+'CAFCO 400 '!$D$27*J90+'CAFCO 400 '!$D$28)*I90)+('CAFCO 400 '!$D$29*(J90^2)+'CAFCO 400 '!$D$30*J90+'CAFCO 400 '!$D$31)),0),0),0)),0)</f>
        <v>0</v>
      </c>
      <c r="R90" s="47">
        <f t="shared" si="12"/>
        <v>0</v>
      </c>
      <c r="S90" s="82">
        <f t="shared" si="9"/>
        <v>0</v>
      </c>
      <c r="T90" s="81">
        <f>+IF(AND(J90&gt;=95,J90&lt;=240),IF(AND(C90="Cj",I90=90),VLOOKUP(W90,'CAFCO 300 IDIEM TABLAS'!$B$4:$D$23,2,FALSE),0)+IF(AND(J90&gt;=95,J90&lt;=240),IF(AND(C90="Cj",I90=120),VLOOKUP(W90,'CAFCO 300 IDIEM TABLAS'!$B$4:$D$23,3,FALSE),0))+IF(AND(J90&gt;=95,J90&lt;=400,G90=3),IF(AND(C90="IN",I90=90),VLOOKUP(W90,'CAFCO 300 IDIEM TABLAS'!$F$4:$H$35,2,FALSE),0),0)+IF(AND(J90&gt;=95,J90&lt;=400,G90=3),IF(AND(C90="IN",I90=120),VLOOKUP(W90,'CAFCO 300 IDIEM TABLAS'!$F$4:$H$35,3,FALSE),0),0)+IF(AND(J90&gt;=95,J90&lt;=450,G90=4),IF(AND(C90="IN",I90=90),VLOOKUP(W90,'CAFCO 300 IDIEM TABLAS'!$J$4:$L$40,2,FALSE),0),0)+IF(AND(J90&gt;=95,J90&lt;=450,G90=4),IF(AND(C90="IN",I90=120),VLOOKUP(W90,'CAFCO 300 IDIEM TABLAS'!$J$4:$L$40,3,FALSE),0),0))</f>
        <v>17</v>
      </c>
      <c r="U90" s="48">
        <f t="shared" si="13"/>
        <v>0.2730693196405648</v>
      </c>
      <c r="V90" s="82">
        <f t="shared" si="10"/>
        <v>4099.8627650834396</v>
      </c>
      <c r="W90" s="64">
        <f>+IF(J90=LOOKUP(J90,'CAFCO 300 IDIEM TABLAS'!$J$4:$J$40),'HOJA DE CÁLCULO RESPALDO'!J90,MROUND('HOJA DE CÁLCULO RESPALDO'!J90,10))</f>
        <v>95</v>
      </c>
      <c r="X90" s="36"/>
      <c r="Y90" s="4"/>
    </row>
    <row r="91" spans="1:25" x14ac:dyDescent="0.25">
      <c r="A91" s="2" t="s">
        <v>38</v>
      </c>
      <c r="B91" s="3" t="s">
        <v>17</v>
      </c>
      <c r="C91" s="3" t="s">
        <v>19</v>
      </c>
      <c r="D91" s="3">
        <v>1</v>
      </c>
      <c r="E91" s="2">
        <v>1</v>
      </c>
      <c r="F91" s="8">
        <v>1500</v>
      </c>
      <c r="G91" s="1">
        <v>4</v>
      </c>
      <c r="H91" s="2">
        <v>3879</v>
      </c>
      <c r="I91" s="34">
        <v>90</v>
      </c>
      <c r="J91" s="11">
        <v>95</v>
      </c>
      <c r="K91" s="44">
        <f t="shared" si="7"/>
        <v>5.8185000000000002</v>
      </c>
      <c r="L91" s="3" t="s">
        <v>61</v>
      </c>
      <c r="M91" s="3" t="s">
        <v>70</v>
      </c>
      <c r="N91" s="15">
        <f>ROUND((IF(L91="Blaze Shield II",IF(M91="Idiem software",IF(AND(C91="IN",G91=4),((('BLAZE SHIELD II'!$D$4*('HOJA DE CÁLCULO RESPALDO'!I91^2)+'BLAZE SHIELD II'!$D$5*'HOJA DE CÁLCULO RESPALDO'!I91+'BLAZE SHIELD II'!$D$6)*LN(J91))+('BLAZE SHIELD II'!$D$7*('HOJA DE CÁLCULO RESPALDO'!I91^2)+'BLAZE SHIELD II'!$D$8*'HOJA DE CÁLCULO RESPALDO'!I91+'BLAZE SHIELD II'!$D$9)),0),0),0))+(IF(L91="Blaze Shield II",IF(M91="Idiem software",IF(C91="Cj",((('BLAZE SHIELD II'!$H$4*('HOJA DE CÁLCULO RESPALDO'!I91^2)+'BLAZE SHIELD II'!$H$5*'HOJA DE CÁLCULO RESPALDO'!I91+'BLAZE SHIELD II'!$H$6)*LN(J91))+('BLAZE SHIELD II'!$H$7*('HOJA DE CÁLCULO RESPALDO'!I91^2)+'BLAZE SHIELD II'!$H$8*'HOJA DE CÁLCULO RESPALDO'!I91+'BLAZE SHIELD II'!$H$9)),0),0),0))+(IF(L91="Blaze Shield II",IF(M91="Idiem software",IF(C91="C",((('BLAZE SHIELD II'!$L$4*('HOJA DE CÁLCULO RESPALDO'!I91^2)+'BLAZE SHIELD II'!$L$5*'HOJA DE CÁLCULO RESPALDO'!I91+'BLAZE SHIELD II'!$L$6)*LN(J91))+('BLAZE SHIELD II'!$L$7*('HOJA DE CÁLCULO RESPALDO'!I91^2)+'BLAZE SHIELD II'!$L$8*'HOJA DE CÁLCULO RESPALDO'!I91+'BLAZE SHIELD II'!$L$9)),0),0),0))+(IF(L91="Blaze Shield II",IF(M91="Idiem software",IF(AND(C91="IN",G91=3),((('BLAZE SHIELD II'!$H$14*('HOJA DE CÁLCULO RESPALDO'!I91^2)+'BLAZE SHIELD II'!$H$15*'HOJA DE CÁLCULO RESPALDO'!I91+'BLAZE SHIELD II'!$H$16)*LN(J91))+('BLAZE SHIELD II'!$H$17*('HOJA DE CÁLCULO RESPALDO'!I91^2)+'BLAZE SHIELD II'!$H$18*'HOJA DE CÁLCULO RESPALDO'!I91+'BLAZE SHIELD II'!$H$19)),0),0),0)),0)</f>
        <v>0</v>
      </c>
      <c r="O91" s="46">
        <f t="shared" si="11"/>
        <v>0</v>
      </c>
      <c r="P91" s="80">
        <f t="shared" si="8"/>
        <v>0</v>
      </c>
      <c r="Q91" s="85">
        <f>ROUND((IF(L91="Cafco 400",IF(M91="Idiem software",IF(AND(C91="IN",G91=4),((('CAFCO 400 '!$H$7*(J91^4)+'CAFCO 400 '!$H$8*(J91^3)+'CAFCO 400 '!$H$9*(J91^2)+'CAFCO 400 '!$H$10*J91+'CAFCO 400 '!$H$11)*I91^2)+(('CAFCO 400 '!$H$12*(J91^3)+'CAFCO 400 '!$H$13*(J91^2)+'CAFCO 400 '!$H$14*J91+'CAFCO 400 '!$H$15)*I91)+('CAFCO 400 '!$H$16*(J91^2)+'CAFCO 400 '!$H$17*J91+'CAFCO 400 '!$H$18)),0),0),0))+(IF(L91="Cafco 400",IF(M91="Idiem software",IF(C91="Cj",(((('CAFCO 400 '!$D$7*LN(J91)+'CAFCO 400 '!$D$8)*I91^2)+(('CAFCO 400 '!$D$9*LN(J91)+'CAFCO 400 '!$D$10)*I91)+('CAFCO 400 '!$D$11*LN(J91)+'CAFCO 400 '!$D$12))),0),0),0))+(IF(L91="Cafco 400",IF(M91="Idiem software",IF(C91="C",((('CAFCO 400 '!$L$7*(J91^3)+'CAFCO 400 '!$L$8*(J91^2)+'CAFCO 400 '!$L$9*J91+'CAFCO 400 '!$L$10)*I91^2)+(('CAFCO 400 '!$L$11*(J91^3)+'CAFCO 400 '!$L$12*(J91^2)+'CAFCO 400 '!$L$13*J91+'CAFCO 400 '!$L$14)*I91)+('CAFCO 400 '!$L$15*LN(J91)+'CAFCO 400 '!$L$16)),0),0),0))+(IF(L91="Cafco 400",IF(M91="Idiem software",IF(AND(C91="IN",G91=3),((('CAFCO 400 '!$D$23*(J91^2)+'CAFCO 400 '!$D$24*(J91)+'CAFCO 400 '!$D$25)*I91^2)+(('CAFCO 400 '!$D$26*(J91^2)+'CAFCO 400 '!$D$27*J91+'CAFCO 400 '!$D$28)*I91)+('CAFCO 400 '!$D$29*(J91^2)+'CAFCO 400 '!$D$30*J91+'CAFCO 400 '!$D$31)),0),0),0)),0)</f>
        <v>0</v>
      </c>
      <c r="R91" s="47">
        <f t="shared" si="12"/>
        <v>0</v>
      </c>
      <c r="S91" s="82">
        <f t="shared" si="9"/>
        <v>0</v>
      </c>
      <c r="T91" s="81">
        <f>+IF(AND(J91&gt;=95,J91&lt;=240),IF(AND(C91="Cj",I91=90),VLOOKUP(W91,'CAFCO 300 IDIEM TABLAS'!$B$4:$D$23,2,FALSE),0)+IF(AND(J91&gt;=95,J91&lt;=240),IF(AND(C91="Cj",I91=120),VLOOKUP(W91,'CAFCO 300 IDIEM TABLAS'!$B$4:$D$23,3,FALSE),0))+IF(AND(J91&gt;=95,J91&lt;=400,G91=3),IF(AND(C91="IN",I91=90),VLOOKUP(W91,'CAFCO 300 IDIEM TABLAS'!$F$4:$H$35,2,FALSE),0),0)+IF(AND(J91&gt;=95,J91&lt;=400,G91=3),IF(AND(C91="IN",I91=120),VLOOKUP(W91,'CAFCO 300 IDIEM TABLAS'!$F$4:$H$35,3,FALSE),0),0)+IF(AND(J91&gt;=95,J91&lt;=450,G91=4),IF(AND(C91="IN",I91=90),VLOOKUP(W91,'CAFCO 300 IDIEM TABLAS'!$J$4:$L$40,2,FALSE),0),0)+IF(AND(J91&gt;=95,J91&lt;=450,G91=4),IF(AND(C91="IN",I91=120),VLOOKUP(W91,'CAFCO 300 IDIEM TABLAS'!$J$4:$L$40,3,FALSE),0),0))</f>
        <v>17</v>
      </c>
      <c r="U91" s="48">
        <f t="shared" si="13"/>
        <v>1.3649947047496791</v>
      </c>
      <c r="V91" s="82">
        <f t="shared" si="10"/>
        <v>20494.030497111682</v>
      </c>
      <c r="W91" s="64">
        <f>+IF(J91=LOOKUP(J91,'CAFCO 300 IDIEM TABLAS'!$J$4:$J$40),'HOJA DE CÁLCULO RESPALDO'!J91,MROUND('HOJA DE CÁLCULO RESPALDO'!J91,10))</f>
        <v>95</v>
      </c>
      <c r="X91" s="36"/>
      <c r="Y91" s="4"/>
    </row>
    <row r="92" spans="1:25" ht="15.6" customHeight="1" x14ac:dyDescent="0.25">
      <c r="A92" s="2" t="s">
        <v>38</v>
      </c>
      <c r="B92" s="3" t="s">
        <v>17</v>
      </c>
      <c r="C92" s="3" t="s">
        <v>19</v>
      </c>
      <c r="D92" s="3">
        <v>1</v>
      </c>
      <c r="E92" s="2">
        <v>1</v>
      </c>
      <c r="F92" s="8">
        <v>11081</v>
      </c>
      <c r="G92" s="1">
        <v>4</v>
      </c>
      <c r="H92" s="2">
        <v>585</v>
      </c>
      <c r="I92" s="34">
        <v>90</v>
      </c>
      <c r="J92" s="11">
        <v>95</v>
      </c>
      <c r="K92" s="44">
        <f t="shared" si="7"/>
        <v>6.4823849999999998</v>
      </c>
      <c r="L92" s="3" t="s">
        <v>61</v>
      </c>
      <c r="M92" s="3" t="s">
        <v>70</v>
      </c>
      <c r="N92" s="15">
        <f>ROUND((IF(L92="Blaze Shield II",IF(M92="Idiem software",IF(AND(C92="IN",G92=4),((('BLAZE SHIELD II'!$D$4*('HOJA DE CÁLCULO RESPALDO'!I92^2)+'BLAZE SHIELD II'!$D$5*'HOJA DE CÁLCULO RESPALDO'!I92+'BLAZE SHIELD II'!$D$6)*LN(J92))+('BLAZE SHIELD II'!$D$7*('HOJA DE CÁLCULO RESPALDO'!I92^2)+'BLAZE SHIELD II'!$D$8*'HOJA DE CÁLCULO RESPALDO'!I92+'BLAZE SHIELD II'!$D$9)),0),0),0))+(IF(L92="Blaze Shield II",IF(M92="Idiem software",IF(C92="Cj",((('BLAZE SHIELD II'!$H$4*('HOJA DE CÁLCULO RESPALDO'!I92^2)+'BLAZE SHIELD II'!$H$5*'HOJA DE CÁLCULO RESPALDO'!I92+'BLAZE SHIELD II'!$H$6)*LN(J92))+('BLAZE SHIELD II'!$H$7*('HOJA DE CÁLCULO RESPALDO'!I92^2)+'BLAZE SHIELD II'!$H$8*'HOJA DE CÁLCULO RESPALDO'!I92+'BLAZE SHIELD II'!$H$9)),0),0),0))+(IF(L92="Blaze Shield II",IF(M92="Idiem software",IF(C92="C",((('BLAZE SHIELD II'!$L$4*('HOJA DE CÁLCULO RESPALDO'!I92^2)+'BLAZE SHIELD II'!$L$5*'HOJA DE CÁLCULO RESPALDO'!I92+'BLAZE SHIELD II'!$L$6)*LN(J92))+('BLAZE SHIELD II'!$L$7*('HOJA DE CÁLCULO RESPALDO'!I92^2)+'BLAZE SHIELD II'!$L$8*'HOJA DE CÁLCULO RESPALDO'!I92+'BLAZE SHIELD II'!$L$9)),0),0),0))+(IF(L92="Blaze Shield II",IF(M92="Idiem software",IF(AND(C92="IN",G92=3),((('BLAZE SHIELD II'!$H$14*('HOJA DE CÁLCULO RESPALDO'!I92^2)+'BLAZE SHIELD II'!$H$15*'HOJA DE CÁLCULO RESPALDO'!I92+'BLAZE SHIELD II'!$H$16)*LN(J92))+('BLAZE SHIELD II'!$H$17*('HOJA DE CÁLCULO RESPALDO'!I92^2)+'BLAZE SHIELD II'!$H$18*'HOJA DE CÁLCULO RESPALDO'!I92+'BLAZE SHIELD II'!$H$19)),0),0),0)),0)</f>
        <v>0</v>
      </c>
      <c r="O92" s="46">
        <f t="shared" si="11"/>
        <v>0</v>
      </c>
      <c r="P92" s="80">
        <f t="shared" si="8"/>
        <v>0</v>
      </c>
      <c r="Q92" s="85">
        <f>ROUND((IF(L92="Cafco 400",IF(M92="Idiem software",IF(AND(C92="IN",G92=4),((('CAFCO 400 '!$H$7*(J92^4)+'CAFCO 400 '!$H$8*(J92^3)+'CAFCO 400 '!$H$9*(J92^2)+'CAFCO 400 '!$H$10*J92+'CAFCO 400 '!$H$11)*I92^2)+(('CAFCO 400 '!$H$12*(J92^3)+'CAFCO 400 '!$H$13*(J92^2)+'CAFCO 400 '!$H$14*J92+'CAFCO 400 '!$H$15)*I92)+('CAFCO 400 '!$H$16*(J92^2)+'CAFCO 400 '!$H$17*J92+'CAFCO 400 '!$H$18)),0),0),0))+(IF(L92="Cafco 400",IF(M92="Idiem software",IF(C92="Cj",(((('CAFCO 400 '!$D$7*LN(J92)+'CAFCO 400 '!$D$8)*I92^2)+(('CAFCO 400 '!$D$9*LN(J92)+'CAFCO 400 '!$D$10)*I92)+('CAFCO 400 '!$D$11*LN(J92)+'CAFCO 400 '!$D$12))),0),0),0))+(IF(L92="Cafco 400",IF(M92="Idiem software",IF(C92="C",((('CAFCO 400 '!$L$7*(J92^3)+'CAFCO 400 '!$L$8*(J92^2)+'CAFCO 400 '!$L$9*J92+'CAFCO 400 '!$L$10)*I92^2)+(('CAFCO 400 '!$L$11*(J92^3)+'CAFCO 400 '!$L$12*(J92^2)+'CAFCO 400 '!$L$13*J92+'CAFCO 400 '!$L$14)*I92)+('CAFCO 400 '!$L$15*LN(J92)+'CAFCO 400 '!$L$16)),0),0),0))+(IF(L92="Cafco 400",IF(M92="Idiem software",IF(AND(C92="IN",G92=3),((('CAFCO 400 '!$D$23*(J92^2)+'CAFCO 400 '!$D$24*(J92)+'CAFCO 400 '!$D$25)*I92^2)+(('CAFCO 400 '!$D$26*(J92^2)+'CAFCO 400 '!$D$27*J92+'CAFCO 400 '!$D$28)*I92)+('CAFCO 400 '!$D$29*(J92^2)+'CAFCO 400 '!$D$30*J92+'CAFCO 400 '!$D$31)),0),0),0)),0)</f>
        <v>0</v>
      </c>
      <c r="R92" s="47">
        <f t="shared" si="12"/>
        <v>0</v>
      </c>
      <c r="S92" s="82">
        <f t="shared" si="9"/>
        <v>0</v>
      </c>
      <c r="T92" s="81">
        <f>+IF(AND(J92&gt;=95,J92&lt;=240),IF(AND(C92="Cj",I92=90),VLOOKUP(W92,'CAFCO 300 IDIEM TABLAS'!$B$4:$D$23,2,FALSE),0)+IF(AND(J92&gt;=95,J92&lt;=240),IF(AND(C92="Cj",I92=120),VLOOKUP(W92,'CAFCO 300 IDIEM TABLAS'!$B$4:$D$23,3,FALSE),0))+IF(AND(J92&gt;=95,J92&lt;=400,G92=3),IF(AND(C92="IN",I92=90),VLOOKUP(W92,'CAFCO 300 IDIEM TABLAS'!$F$4:$H$35,2,FALSE),0),0)+IF(AND(J92&gt;=95,J92&lt;=400,G92=3),IF(AND(C92="IN",I92=120),VLOOKUP(W92,'CAFCO 300 IDIEM TABLAS'!$F$4:$H$35,3,FALSE),0),0)+IF(AND(J92&gt;=95,J92&lt;=450,G92=4),IF(AND(C92="IN",I92=90),VLOOKUP(W92,'CAFCO 300 IDIEM TABLAS'!$J$4:$L$40,2,FALSE),0),0)+IF(AND(J92&gt;=95,J92&lt;=450,G92=4),IF(AND(C92="IN",I92=120),VLOOKUP(W92,'CAFCO 300 IDIEM TABLAS'!$J$4:$L$40,3,FALSE),0),0))</f>
        <v>17</v>
      </c>
      <c r="U92" s="48">
        <f t="shared" si="13"/>
        <v>1.5207392281771501</v>
      </c>
      <c r="V92" s="82">
        <f t="shared" si="10"/>
        <v>22832.378771851731</v>
      </c>
      <c r="W92" s="64">
        <f>+IF(J92=LOOKUP(J92,'CAFCO 300 IDIEM TABLAS'!$J$4:$J$40),'HOJA DE CÁLCULO RESPALDO'!J92,MROUND('HOJA DE CÁLCULO RESPALDO'!J92,10))</f>
        <v>95</v>
      </c>
      <c r="X92" s="36"/>
      <c r="Y92" s="4"/>
    </row>
    <row r="93" spans="1:25" x14ac:dyDescent="0.25">
      <c r="A93" s="2" t="s">
        <v>38</v>
      </c>
      <c r="B93" s="3" t="s">
        <v>17</v>
      </c>
      <c r="C93" s="3" t="s">
        <v>19</v>
      </c>
      <c r="D93" s="3">
        <v>1</v>
      </c>
      <c r="E93" s="2">
        <v>1</v>
      </c>
      <c r="F93" s="8">
        <v>1500</v>
      </c>
      <c r="G93" s="1">
        <v>4</v>
      </c>
      <c r="H93" s="2">
        <v>776</v>
      </c>
      <c r="I93" s="34">
        <v>90</v>
      </c>
      <c r="J93" s="11">
        <v>95</v>
      </c>
      <c r="K93" s="44">
        <f t="shared" si="7"/>
        <v>1.1639999999999999</v>
      </c>
      <c r="L93" s="3" t="s">
        <v>61</v>
      </c>
      <c r="M93" s="3" t="s">
        <v>70</v>
      </c>
      <c r="N93" s="15">
        <f>ROUND((IF(L93="Blaze Shield II",IF(M93="Idiem software",IF(AND(C93="IN",G93=4),((('BLAZE SHIELD II'!$D$4*('HOJA DE CÁLCULO RESPALDO'!I93^2)+'BLAZE SHIELD II'!$D$5*'HOJA DE CÁLCULO RESPALDO'!I93+'BLAZE SHIELD II'!$D$6)*LN(J93))+('BLAZE SHIELD II'!$D$7*('HOJA DE CÁLCULO RESPALDO'!I93^2)+'BLAZE SHIELD II'!$D$8*'HOJA DE CÁLCULO RESPALDO'!I93+'BLAZE SHIELD II'!$D$9)),0),0),0))+(IF(L93="Blaze Shield II",IF(M93="Idiem software",IF(C93="Cj",((('BLAZE SHIELD II'!$H$4*('HOJA DE CÁLCULO RESPALDO'!I93^2)+'BLAZE SHIELD II'!$H$5*'HOJA DE CÁLCULO RESPALDO'!I93+'BLAZE SHIELD II'!$H$6)*LN(J93))+('BLAZE SHIELD II'!$H$7*('HOJA DE CÁLCULO RESPALDO'!I93^2)+'BLAZE SHIELD II'!$H$8*'HOJA DE CÁLCULO RESPALDO'!I93+'BLAZE SHIELD II'!$H$9)),0),0),0))+(IF(L93="Blaze Shield II",IF(M93="Idiem software",IF(C93="C",((('BLAZE SHIELD II'!$L$4*('HOJA DE CÁLCULO RESPALDO'!I93^2)+'BLAZE SHIELD II'!$L$5*'HOJA DE CÁLCULO RESPALDO'!I93+'BLAZE SHIELD II'!$L$6)*LN(J93))+('BLAZE SHIELD II'!$L$7*('HOJA DE CÁLCULO RESPALDO'!I93^2)+'BLAZE SHIELD II'!$L$8*'HOJA DE CÁLCULO RESPALDO'!I93+'BLAZE SHIELD II'!$L$9)),0),0),0))+(IF(L93="Blaze Shield II",IF(M93="Idiem software",IF(AND(C93="IN",G93=3),((('BLAZE SHIELD II'!$H$14*('HOJA DE CÁLCULO RESPALDO'!I93^2)+'BLAZE SHIELD II'!$H$15*'HOJA DE CÁLCULO RESPALDO'!I93+'BLAZE SHIELD II'!$H$16)*LN(J93))+('BLAZE SHIELD II'!$H$17*('HOJA DE CÁLCULO RESPALDO'!I93^2)+'BLAZE SHIELD II'!$H$18*'HOJA DE CÁLCULO RESPALDO'!I93+'BLAZE SHIELD II'!$H$19)),0),0),0)),0)</f>
        <v>0</v>
      </c>
      <c r="O93" s="46">
        <f t="shared" si="11"/>
        <v>0</v>
      </c>
      <c r="P93" s="80">
        <f t="shared" si="8"/>
        <v>0</v>
      </c>
      <c r="Q93" s="85">
        <f>ROUND((IF(L93="Cafco 400",IF(M93="Idiem software",IF(AND(C93="IN",G93=4),((('CAFCO 400 '!$H$7*(J93^4)+'CAFCO 400 '!$H$8*(J93^3)+'CAFCO 400 '!$H$9*(J93^2)+'CAFCO 400 '!$H$10*J93+'CAFCO 400 '!$H$11)*I93^2)+(('CAFCO 400 '!$H$12*(J93^3)+'CAFCO 400 '!$H$13*(J93^2)+'CAFCO 400 '!$H$14*J93+'CAFCO 400 '!$H$15)*I93)+('CAFCO 400 '!$H$16*(J93^2)+'CAFCO 400 '!$H$17*J93+'CAFCO 400 '!$H$18)),0),0),0))+(IF(L93="Cafco 400",IF(M93="Idiem software",IF(C93="Cj",(((('CAFCO 400 '!$D$7*LN(J93)+'CAFCO 400 '!$D$8)*I93^2)+(('CAFCO 400 '!$D$9*LN(J93)+'CAFCO 400 '!$D$10)*I93)+('CAFCO 400 '!$D$11*LN(J93)+'CAFCO 400 '!$D$12))),0),0),0))+(IF(L93="Cafco 400",IF(M93="Idiem software",IF(C93="C",((('CAFCO 400 '!$L$7*(J93^3)+'CAFCO 400 '!$L$8*(J93^2)+'CAFCO 400 '!$L$9*J93+'CAFCO 400 '!$L$10)*I93^2)+(('CAFCO 400 '!$L$11*(J93^3)+'CAFCO 400 '!$L$12*(J93^2)+'CAFCO 400 '!$L$13*J93+'CAFCO 400 '!$L$14)*I93)+('CAFCO 400 '!$L$15*LN(J93)+'CAFCO 400 '!$L$16)),0),0),0))+(IF(L93="Cafco 400",IF(M93="Idiem software",IF(AND(C93="IN",G93=3),((('CAFCO 400 '!$D$23*(J93^2)+'CAFCO 400 '!$D$24*(J93)+'CAFCO 400 '!$D$25)*I93^2)+(('CAFCO 400 '!$D$26*(J93^2)+'CAFCO 400 '!$D$27*J93+'CAFCO 400 '!$D$28)*I93)+('CAFCO 400 '!$D$29*(J93^2)+'CAFCO 400 '!$D$30*J93+'CAFCO 400 '!$D$31)),0),0),0)),0)</f>
        <v>0</v>
      </c>
      <c r="R93" s="47">
        <f t="shared" si="12"/>
        <v>0</v>
      </c>
      <c r="S93" s="82">
        <f t="shared" si="9"/>
        <v>0</v>
      </c>
      <c r="T93" s="81">
        <f>+IF(AND(J93&gt;=95,J93&lt;=240),IF(AND(C93="Cj",I93=90),VLOOKUP(W93,'CAFCO 300 IDIEM TABLAS'!$B$4:$D$23,2,FALSE),0)+IF(AND(J93&gt;=95,J93&lt;=240),IF(AND(C93="Cj",I93=120),VLOOKUP(W93,'CAFCO 300 IDIEM TABLAS'!$B$4:$D$23,3,FALSE),0))+IF(AND(J93&gt;=95,J93&lt;=400,G93=3),IF(AND(C93="IN",I93=90),VLOOKUP(W93,'CAFCO 300 IDIEM TABLAS'!$F$4:$H$35,2,FALSE),0),0)+IF(AND(J93&gt;=95,J93&lt;=400,G93=3),IF(AND(C93="IN",I93=120),VLOOKUP(W93,'CAFCO 300 IDIEM TABLAS'!$F$4:$H$35,3,FALSE),0),0)+IF(AND(J93&gt;=95,J93&lt;=450,G93=4),IF(AND(C93="IN",I93=90),VLOOKUP(W93,'CAFCO 300 IDIEM TABLAS'!$J$4:$L$40,2,FALSE),0),0)+IF(AND(J93&gt;=95,J93&lt;=450,G93=4),IF(AND(C93="IN",I93=120),VLOOKUP(W93,'CAFCO 300 IDIEM TABLAS'!$J$4:$L$40,3,FALSE),0),0))</f>
        <v>17</v>
      </c>
      <c r="U93" s="48">
        <f t="shared" si="13"/>
        <v>0.2730693196405648</v>
      </c>
      <c r="V93" s="82">
        <f t="shared" si="10"/>
        <v>4099.8627650834396</v>
      </c>
      <c r="W93" s="64">
        <f>+IF(J93=LOOKUP(J93,'CAFCO 300 IDIEM TABLAS'!$J$4:$J$40),'HOJA DE CÁLCULO RESPALDO'!J93,MROUND('HOJA DE CÁLCULO RESPALDO'!J93,10))</f>
        <v>95</v>
      </c>
      <c r="X93" s="36"/>
      <c r="Y93" s="4"/>
    </row>
    <row r="94" spans="1:25" ht="15.6" customHeight="1" x14ac:dyDescent="0.25">
      <c r="A94" s="2" t="s">
        <v>38</v>
      </c>
      <c r="B94" s="3" t="s">
        <v>17</v>
      </c>
      <c r="C94" s="3" t="s">
        <v>19</v>
      </c>
      <c r="D94" s="3">
        <v>1</v>
      </c>
      <c r="E94" s="2">
        <v>1</v>
      </c>
      <c r="F94" s="8">
        <v>1500</v>
      </c>
      <c r="G94" s="1">
        <v>4</v>
      </c>
      <c r="H94" s="2">
        <v>3879</v>
      </c>
      <c r="I94" s="34">
        <v>90</v>
      </c>
      <c r="J94" s="11">
        <v>95</v>
      </c>
      <c r="K94" s="44">
        <f t="shared" si="7"/>
        <v>5.8185000000000002</v>
      </c>
      <c r="L94" s="3" t="s">
        <v>61</v>
      </c>
      <c r="M94" s="3" t="s">
        <v>70</v>
      </c>
      <c r="N94" s="15">
        <f>ROUND((IF(L94="Blaze Shield II",IF(M94="Idiem software",IF(AND(C94="IN",G94=4),((('BLAZE SHIELD II'!$D$4*('HOJA DE CÁLCULO RESPALDO'!I94^2)+'BLAZE SHIELD II'!$D$5*'HOJA DE CÁLCULO RESPALDO'!I94+'BLAZE SHIELD II'!$D$6)*LN(J94))+('BLAZE SHIELD II'!$D$7*('HOJA DE CÁLCULO RESPALDO'!I94^2)+'BLAZE SHIELD II'!$D$8*'HOJA DE CÁLCULO RESPALDO'!I94+'BLAZE SHIELD II'!$D$9)),0),0),0))+(IF(L94="Blaze Shield II",IF(M94="Idiem software",IF(C94="Cj",((('BLAZE SHIELD II'!$H$4*('HOJA DE CÁLCULO RESPALDO'!I94^2)+'BLAZE SHIELD II'!$H$5*'HOJA DE CÁLCULO RESPALDO'!I94+'BLAZE SHIELD II'!$H$6)*LN(J94))+('BLAZE SHIELD II'!$H$7*('HOJA DE CÁLCULO RESPALDO'!I94^2)+'BLAZE SHIELD II'!$H$8*'HOJA DE CÁLCULO RESPALDO'!I94+'BLAZE SHIELD II'!$H$9)),0),0),0))+(IF(L94="Blaze Shield II",IF(M94="Idiem software",IF(C94="C",((('BLAZE SHIELD II'!$L$4*('HOJA DE CÁLCULO RESPALDO'!I94^2)+'BLAZE SHIELD II'!$L$5*'HOJA DE CÁLCULO RESPALDO'!I94+'BLAZE SHIELD II'!$L$6)*LN(J94))+('BLAZE SHIELD II'!$L$7*('HOJA DE CÁLCULO RESPALDO'!I94^2)+'BLAZE SHIELD II'!$L$8*'HOJA DE CÁLCULO RESPALDO'!I94+'BLAZE SHIELD II'!$L$9)),0),0),0))+(IF(L94="Blaze Shield II",IF(M94="Idiem software",IF(AND(C94="IN",G94=3),((('BLAZE SHIELD II'!$H$14*('HOJA DE CÁLCULO RESPALDO'!I94^2)+'BLAZE SHIELD II'!$H$15*'HOJA DE CÁLCULO RESPALDO'!I94+'BLAZE SHIELD II'!$H$16)*LN(J94))+('BLAZE SHIELD II'!$H$17*('HOJA DE CÁLCULO RESPALDO'!I94^2)+'BLAZE SHIELD II'!$H$18*'HOJA DE CÁLCULO RESPALDO'!I94+'BLAZE SHIELD II'!$H$19)),0),0),0)),0)</f>
        <v>0</v>
      </c>
      <c r="O94" s="46">
        <f t="shared" si="11"/>
        <v>0</v>
      </c>
      <c r="P94" s="80">
        <f t="shared" si="8"/>
        <v>0</v>
      </c>
      <c r="Q94" s="85">
        <f>ROUND((IF(L94="Cafco 400",IF(M94="Idiem software",IF(AND(C94="IN",G94=4),((('CAFCO 400 '!$H$7*(J94^4)+'CAFCO 400 '!$H$8*(J94^3)+'CAFCO 400 '!$H$9*(J94^2)+'CAFCO 400 '!$H$10*J94+'CAFCO 400 '!$H$11)*I94^2)+(('CAFCO 400 '!$H$12*(J94^3)+'CAFCO 400 '!$H$13*(J94^2)+'CAFCO 400 '!$H$14*J94+'CAFCO 400 '!$H$15)*I94)+('CAFCO 400 '!$H$16*(J94^2)+'CAFCO 400 '!$H$17*J94+'CAFCO 400 '!$H$18)),0),0),0))+(IF(L94="Cafco 400",IF(M94="Idiem software",IF(C94="Cj",(((('CAFCO 400 '!$D$7*LN(J94)+'CAFCO 400 '!$D$8)*I94^2)+(('CAFCO 400 '!$D$9*LN(J94)+'CAFCO 400 '!$D$10)*I94)+('CAFCO 400 '!$D$11*LN(J94)+'CAFCO 400 '!$D$12))),0),0),0))+(IF(L94="Cafco 400",IF(M94="Idiem software",IF(C94="C",((('CAFCO 400 '!$L$7*(J94^3)+'CAFCO 400 '!$L$8*(J94^2)+'CAFCO 400 '!$L$9*J94+'CAFCO 400 '!$L$10)*I94^2)+(('CAFCO 400 '!$L$11*(J94^3)+'CAFCO 400 '!$L$12*(J94^2)+'CAFCO 400 '!$L$13*J94+'CAFCO 400 '!$L$14)*I94)+('CAFCO 400 '!$L$15*LN(J94)+'CAFCO 400 '!$L$16)),0),0),0))+(IF(L94="Cafco 400",IF(M94="Idiem software",IF(AND(C94="IN",G94=3),((('CAFCO 400 '!$D$23*(J94^2)+'CAFCO 400 '!$D$24*(J94)+'CAFCO 400 '!$D$25)*I94^2)+(('CAFCO 400 '!$D$26*(J94^2)+'CAFCO 400 '!$D$27*J94+'CAFCO 400 '!$D$28)*I94)+('CAFCO 400 '!$D$29*(J94^2)+'CAFCO 400 '!$D$30*J94+'CAFCO 400 '!$D$31)),0),0),0)),0)</f>
        <v>0</v>
      </c>
      <c r="R94" s="47">
        <f t="shared" si="12"/>
        <v>0</v>
      </c>
      <c r="S94" s="82">
        <f t="shared" si="9"/>
        <v>0</v>
      </c>
      <c r="T94" s="81">
        <f>+IF(AND(J94&gt;=95,J94&lt;=240),IF(AND(C94="Cj",I94=90),VLOOKUP(W94,'CAFCO 300 IDIEM TABLAS'!$B$4:$D$23,2,FALSE),0)+IF(AND(J94&gt;=95,J94&lt;=240),IF(AND(C94="Cj",I94=120),VLOOKUP(W94,'CAFCO 300 IDIEM TABLAS'!$B$4:$D$23,3,FALSE),0))+IF(AND(J94&gt;=95,J94&lt;=400,G94=3),IF(AND(C94="IN",I94=90),VLOOKUP(W94,'CAFCO 300 IDIEM TABLAS'!$F$4:$H$35,2,FALSE),0),0)+IF(AND(J94&gt;=95,J94&lt;=400,G94=3),IF(AND(C94="IN",I94=120),VLOOKUP(W94,'CAFCO 300 IDIEM TABLAS'!$F$4:$H$35,3,FALSE),0),0)+IF(AND(J94&gt;=95,J94&lt;=450,G94=4),IF(AND(C94="IN",I94=90),VLOOKUP(W94,'CAFCO 300 IDIEM TABLAS'!$J$4:$L$40,2,FALSE),0),0)+IF(AND(J94&gt;=95,J94&lt;=450,G94=4),IF(AND(C94="IN",I94=120),VLOOKUP(W94,'CAFCO 300 IDIEM TABLAS'!$J$4:$L$40,3,FALSE),0),0))</f>
        <v>17</v>
      </c>
      <c r="U94" s="48">
        <f t="shared" si="13"/>
        <v>1.3649947047496791</v>
      </c>
      <c r="V94" s="82">
        <f t="shared" si="10"/>
        <v>20494.030497111682</v>
      </c>
      <c r="W94" s="64">
        <f>+IF(J94=LOOKUP(J94,'CAFCO 300 IDIEM TABLAS'!$J$4:$J$40),'HOJA DE CÁLCULO RESPALDO'!J94,MROUND('HOJA DE CÁLCULO RESPALDO'!J94,10))</f>
        <v>95</v>
      </c>
      <c r="X94" s="36"/>
      <c r="Y94" s="4"/>
    </row>
    <row r="95" spans="1:25" x14ac:dyDescent="0.25">
      <c r="A95" s="2" t="s">
        <v>38</v>
      </c>
      <c r="B95" s="3" t="s">
        <v>17</v>
      </c>
      <c r="C95" s="3" t="s">
        <v>19</v>
      </c>
      <c r="D95" s="3">
        <v>1</v>
      </c>
      <c r="E95" s="2">
        <v>1</v>
      </c>
      <c r="F95" s="8">
        <v>12634</v>
      </c>
      <c r="G95" s="1">
        <v>4</v>
      </c>
      <c r="H95" s="2">
        <v>585</v>
      </c>
      <c r="I95" s="34">
        <v>90</v>
      </c>
      <c r="J95" s="11">
        <v>95</v>
      </c>
      <c r="K95" s="44">
        <f t="shared" si="7"/>
        <v>7.3908899999999997</v>
      </c>
      <c r="L95" s="3" t="s">
        <v>61</v>
      </c>
      <c r="M95" s="3" t="s">
        <v>70</v>
      </c>
      <c r="N95" s="15">
        <f>ROUND((IF(L95="Blaze Shield II",IF(M95="Idiem software",IF(AND(C95="IN",G95=4),((('BLAZE SHIELD II'!$D$4*('HOJA DE CÁLCULO RESPALDO'!I95^2)+'BLAZE SHIELD II'!$D$5*'HOJA DE CÁLCULO RESPALDO'!I95+'BLAZE SHIELD II'!$D$6)*LN(J95))+('BLAZE SHIELD II'!$D$7*('HOJA DE CÁLCULO RESPALDO'!I95^2)+'BLAZE SHIELD II'!$D$8*'HOJA DE CÁLCULO RESPALDO'!I95+'BLAZE SHIELD II'!$D$9)),0),0),0))+(IF(L95="Blaze Shield II",IF(M95="Idiem software",IF(C95="Cj",((('BLAZE SHIELD II'!$H$4*('HOJA DE CÁLCULO RESPALDO'!I95^2)+'BLAZE SHIELD II'!$H$5*'HOJA DE CÁLCULO RESPALDO'!I95+'BLAZE SHIELD II'!$H$6)*LN(J95))+('BLAZE SHIELD II'!$H$7*('HOJA DE CÁLCULO RESPALDO'!I95^2)+'BLAZE SHIELD II'!$H$8*'HOJA DE CÁLCULO RESPALDO'!I95+'BLAZE SHIELD II'!$H$9)),0),0),0))+(IF(L95="Blaze Shield II",IF(M95="Idiem software",IF(C95="C",((('BLAZE SHIELD II'!$L$4*('HOJA DE CÁLCULO RESPALDO'!I95^2)+'BLAZE SHIELD II'!$L$5*'HOJA DE CÁLCULO RESPALDO'!I95+'BLAZE SHIELD II'!$L$6)*LN(J95))+('BLAZE SHIELD II'!$L$7*('HOJA DE CÁLCULO RESPALDO'!I95^2)+'BLAZE SHIELD II'!$L$8*'HOJA DE CÁLCULO RESPALDO'!I95+'BLAZE SHIELD II'!$L$9)),0),0),0))+(IF(L95="Blaze Shield II",IF(M95="Idiem software",IF(AND(C95="IN",G95=3),((('BLAZE SHIELD II'!$H$14*('HOJA DE CÁLCULO RESPALDO'!I95^2)+'BLAZE SHIELD II'!$H$15*'HOJA DE CÁLCULO RESPALDO'!I95+'BLAZE SHIELD II'!$H$16)*LN(J95))+('BLAZE SHIELD II'!$H$17*('HOJA DE CÁLCULO RESPALDO'!I95^2)+'BLAZE SHIELD II'!$H$18*'HOJA DE CÁLCULO RESPALDO'!I95+'BLAZE SHIELD II'!$H$19)),0),0),0)),0)</f>
        <v>0</v>
      </c>
      <c r="O95" s="46">
        <f t="shared" si="11"/>
        <v>0</v>
      </c>
      <c r="P95" s="80">
        <f t="shared" si="8"/>
        <v>0</v>
      </c>
      <c r="Q95" s="85">
        <f>ROUND((IF(L95="Cafco 400",IF(M95="Idiem software",IF(AND(C95="IN",G95=4),((('CAFCO 400 '!$H$7*(J95^4)+'CAFCO 400 '!$H$8*(J95^3)+'CAFCO 400 '!$H$9*(J95^2)+'CAFCO 400 '!$H$10*J95+'CAFCO 400 '!$H$11)*I95^2)+(('CAFCO 400 '!$H$12*(J95^3)+'CAFCO 400 '!$H$13*(J95^2)+'CAFCO 400 '!$H$14*J95+'CAFCO 400 '!$H$15)*I95)+('CAFCO 400 '!$H$16*(J95^2)+'CAFCO 400 '!$H$17*J95+'CAFCO 400 '!$H$18)),0),0),0))+(IF(L95="Cafco 400",IF(M95="Idiem software",IF(C95="Cj",(((('CAFCO 400 '!$D$7*LN(J95)+'CAFCO 400 '!$D$8)*I95^2)+(('CAFCO 400 '!$D$9*LN(J95)+'CAFCO 400 '!$D$10)*I95)+('CAFCO 400 '!$D$11*LN(J95)+'CAFCO 400 '!$D$12))),0),0),0))+(IF(L95="Cafco 400",IF(M95="Idiem software",IF(C95="C",((('CAFCO 400 '!$L$7*(J95^3)+'CAFCO 400 '!$L$8*(J95^2)+'CAFCO 400 '!$L$9*J95+'CAFCO 400 '!$L$10)*I95^2)+(('CAFCO 400 '!$L$11*(J95^3)+'CAFCO 400 '!$L$12*(J95^2)+'CAFCO 400 '!$L$13*J95+'CAFCO 400 '!$L$14)*I95)+('CAFCO 400 '!$L$15*LN(J95)+'CAFCO 400 '!$L$16)),0),0),0))+(IF(L95="Cafco 400",IF(M95="Idiem software",IF(AND(C95="IN",G95=3),((('CAFCO 400 '!$D$23*(J95^2)+'CAFCO 400 '!$D$24*(J95)+'CAFCO 400 '!$D$25)*I95^2)+(('CAFCO 400 '!$D$26*(J95^2)+'CAFCO 400 '!$D$27*J95+'CAFCO 400 '!$D$28)*I95)+('CAFCO 400 '!$D$29*(J95^2)+'CAFCO 400 '!$D$30*J95+'CAFCO 400 '!$D$31)),0),0),0)),0)</f>
        <v>0</v>
      </c>
      <c r="R95" s="47">
        <f t="shared" si="12"/>
        <v>0</v>
      </c>
      <c r="S95" s="82">
        <f t="shared" si="9"/>
        <v>0</v>
      </c>
      <c r="T95" s="81">
        <f>+IF(AND(J95&gt;=95,J95&lt;=240),IF(AND(C95="Cj",I95=90),VLOOKUP(W95,'CAFCO 300 IDIEM TABLAS'!$B$4:$D$23,2,FALSE),0)+IF(AND(J95&gt;=95,J95&lt;=240),IF(AND(C95="Cj",I95=120),VLOOKUP(W95,'CAFCO 300 IDIEM TABLAS'!$B$4:$D$23,3,FALSE),0))+IF(AND(J95&gt;=95,J95&lt;=400,G95=3),IF(AND(C95="IN",I95=90),VLOOKUP(W95,'CAFCO 300 IDIEM TABLAS'!$F$4:$H$35,2,FALSE),0),0)+IF(AND(J95&gt;=95,J95&lt;=400,G95=3),IF(AND(C95="IN",I95=120),VLOOKUP(W95,'CAFCO 300 IDIEM TABLAS'!$F$4:$H$35,3,FALSE),0),0)+IF(AND(J95&gt;=95,J95&lt;=450,G95=4),IF(AND(C95="IN",I95=90),VLOOKUP(W95,'CAFCO 300 IDIEM TABLAS'!$J$4:$L$40,2,FALSE),0),0)+IF(AND(J95&gt;=95,J95&lt;=450,G95=4),IF(AND(C95="IN",I95=120),VLOOKUP(W95,'CAFCO 300 IDIEM TABLAS'!$J$4:$L$40,3,FALSE),0),0))</f>
        <v>17</v>
      </c>
      <c r="U95" s="48">
        <f t="shared" si="13"/>
        <v>1.7338705359435174</v>
      </c>
      <c r="V95" s="82">
        <f t="shared" si="10"/>
        <v>26032.33222665597</v>
      </c>
      <c r="W95" s="64">
        <f>+IF(J95=LOOKUP(J95,'CAFCO 300 IDIEM TABLAS'!$J$4:$J$40),'HOJA DE CÁLCULO RESPALDO'!J95,MROUND('HOJA DE CÁLCULO RESPALDO'!J95,10))</f>
        <v>95</v>
      </c>
      <c r="X95" s="36"/>
      <c r="Y95" s="4"/>
    </row>
    <row r="96" spans="1:25" ht="15.6" customHeight="1" x14ac:dyDescent="0.25">
      <c r="A96" s="2" t="s">
        <v>38</v>
      </c>
      <c r="B96" s="3" t="s">
        <v>17</v>
      </c>
      <c r="C96" s="3" t="s">
        <v>19</v>
      </c>
      <c r="D96" s="3">
        <v>1</v>
      </c>
      <c r="E96" s="2">
        <v>1</v>
      </c>
      <c r="F96" s="8">
        <v>1500</v>
      </c>
      <c r="G96" s="1">
        <v>4</v>
      </c>
      <c r="H96" s="2">
        <v>776</v>
      </c>
      <c r="I96" s="34">
        <v>90</v>
      </c>
      <c r="J96" s="11">
        <v>95</v>
      </c>
      <c r="K96" s="44">
        <f t="shared" si="7"/>
        <v>1.1639999999999999</v>
      </c>
      <c r="L96" s="3" t="s">
        <v>61</v>
      </c>
      <c r="M96" s="3" t="s">
        <v>70</v>
      </c>
      <c r="N96" s="15">
        <f>ROUND((IF(L96="Blaze Shield II",IF(M96="Idiem software",IF(AND(C96="IN",G96=4),((('BLAZE SHIELD II'!$D$4*('HOJA DE CÁLCULO RESPALDO'!I96^2)+'BLAZE SHIELD II'!$D$5*'HOJA DE CÁLCULO RESPALDO'!I96+'BLAZE SHIELD II'!$D$6)*LN(J96))+('BLAZE SHIELD II'!$D$7*('HOJA DE CÁLCULO RESPALDO'!I96^2)+'BLAZE SHIELD II'!$D$8*'HOJA DE CÁLCULO RESPALDO'!I96+'BLAZE SHIELD II'!$D$9)),0),0),0))+(IF(L96="Blaze Shield II",IF(M96="Idiem software",IF(C96="Cj",((('BLAZE SHIELD II'!$H$4*('HOJA DE CÁLCULO RESPALDO'!I96^2)+'BLAZE SHIELD II'!$H$5*'HOJA DE CÁLCULO RESPALDO'!I96+'BLAZE SHIELD II'!$H$6)*LN(J96))+('BLAZE SHIELD II'!$H$7*('HOJA DE CÁLCULO RESPALDO'!I96^2)+'BLAZE SHIELD II'!$H$8*'HOJA DE CÁLCULO RESPALDO'!I96+'BLAZE SHIELD II'!$H$9)),0),0),0))+(IF(L96="Blaze Shield II",IF(M96="Idiem software",IF(C96="C",((('BLAZE SHIELD II'!$L$4*('HOJA DE CÁLCULO RESPALDO'!I96^2)+'BLAZE SHIELD II'!$L$5*'HOJA DE CÁLCULO RESPALDO'!I96+'BLAZE SHIELD II'!$L$6)*LN(J96))+('BLAZE SHIELD II'!$L$7*('HOJA DE CÁLCULO RESPALDO'!I96^2)+'BLAZE SHIELD II'!$L$8*'HOJA DE CÁLCULO RESPALDO'!I96+'BLAZE SHIELD II'!$L$9)),0),0),0))+(IF(L96="Blaze Shield II",IF(M96="Idiem software",IF(AND(C96="IN",G96=3),((('BLAZE SHIELD II'!$H$14*('HOJA DE CÁLCULO RESPALDO'!I96^2)+'BLAZE SHIELD II'!$H$15*'HOJA DE CÁLCULO RESPALDO'!I96+'BLAZE SHIELD II'!$H$16)*LN(J96))+('BLAZE SHIELD II'!$H$17*('HOJA DE CÁLCULO RESPALDO'!I96^2)+'BLAZE SHIELD II'!$H$18*'HOJA DE CÁLCULO RESPALDO'!I96+'BLAZE SHIELD II'!$H$19)),0),0),0)),0)</f>
        <v>0</v>
      </c>
      <c r="O96" s="46">
        <f t="shared" si="11"/>
        <v>0</v>
      </c>
      <c r="P96" s="80">
        <f t="shared" si="8"/>
        <v>0</v>
      </c>
      <c r="Q96" s="85">
        <f>ROUND((IF(L96="Cafco 400",IF(M96="Idiem software",IF(AND(C96="IN",G96=4),((('CAFCO 400 '!$H$7*(J96^4)+'CAFCO 400 '!$H$8*(J96^3)+'CAFCO 400 '!$H$9*(J96^2)+'CAFCO 400 '!$H$10*J96+'CAFCO 400 '!$H$11)*I96^2)+(('CAFCO 400 '!$H$12*(J96^3)+'CAFCO 400 '!$H$13*(J96^2)+'CAFCO 400 '!$H$14*J96+'CAFCO 400 '!$H$15)*I96)+('CAFCO 400 '!$H$16*(J96^2)+'CAFCO 400 '!$H$17*J96+'CAFCO 400 '!$H$18)),0),0),0))+(IF(L96="Cafco 400",IF(M96="Idiem software",IF(C96="Cj",(((('CAFCO 400 '!$D$7*LN(J96)+'CAFCO 400 '!$D$8)*I96^2)+(('CAFCO 400 '!$D$9*LN(J96)+'CAFCO 400 '!$D$10)*I96)+('CAFCO 400 '!$D$11*LN(J96)+'CAFCO 400 '!$D$12))),0),0),0))+(IF(L96="Cafco 400",IF(M96="Idiem software",IF(C96="C",((('CAFCO 400 '!$L$7*(J96^3)+'CAFCO 400 '!$L$8*(J96^2)+'CAFCO 400 '!$L$9*J96+'CAFCO 400 '!$L$10)*I96^2)+(('CAFCO 400 '!$L$11*(J96^3)+'CAFCO 400 '!$L$12*(J96^2)+'CAFCO 400 '!$L$13*J96+'CAFCO 400 '!$L$14)*I96)+('CAFCO 400 '!$L$15*LN(J96)+'CAFCO 400 '!$L$16)),0),0),0))+(IF(L96="Cafco 400",IF(M96="Idiem software",IF(AND(C96="IN",G96=3),((('CAFCO 400 '!$D$23*(J96^2)+'CAFCO 400 '!$D$24*(J96)+'CAFCO 400 '!$D$25)*I96^2)+(('CAFCO 400 '!$D$26*(J96^2)+'CAFCO 400 '!$D$27*J96+'CAFCO 400 '!$D$28)*I96)+('CAFCO 400 '!$D$29*(J96^2)+'CAFCO 400 '!$D$30*J96+'CAFCO 400 '!$D$31)),0),0),0)),0)</f>
        <v>0</v>
      </c>
      <c r="R96" s="47">
        <f t="shared" si="12"/>
        <v>0</v>
      </c>
      <c r="S96" s="82">
        <f t="shared" si="9"/>
        <v>0</v>
      </c>
      <c r="T96" s="81">
        <f>+IF(AND(J96&gt;=95,J96&lt;=240),IF(AND(C96="Cj",I96=90),VLOOKUP(W96,'CAFCO 300 IDIEM TABLAS'!$B$4:$D$23,2,FALSE),0)+IF(AND(J96&gt;=95,J96&lt;=240),IF(AND(C96="Cj",I96=120),VLOOKUP(W96,'CAFCO 300 IDIEM TABLAS'!$B$4:$D$23,3,FALSE),0))+IF(AND(J96&gt;=95,J96&lt;=400,G96=3),IF(AND(C96="IN",I96=90),VLOOKUP(W96,'CAFCO 300 IDIEM TABLAS'!$F$4:$H$35,2,FALSE),0),0)+IF(AND(J96&gt;=95,J96&lt;=400,G96=3),IF(AND(C96="IN",I96=120),VLOOKUP(W96,'CAFCO 300 IDIEM TABLAS'!$F$4:$H$35,3,FALSE),0),0)+IF(AND(J96&gt;=95,J96&lt;=450,G96=4),IF(AND(C96="IN",I96=90),VLOOKUP(W96,'CAFCO 300 IDIEM TABLAS'!$J$4:$L$40,2,FALSE),0),0)+IF(AND(J96&gt;=95,J96&lt;=450,G96=4),IF(AND(C96="IN",I96=120),VLOOKUP(W96,'CAFCO 300 IDIEM TABLAS'!$J$4:$L$40,3,FALSE),0),0))</f>
        <v>17</v>
      </c>
      <c r="U96" s="48">
        <f t="shared" si="13"/>
        <v>0.2730693196405648</v>
      </c>
      <c r="V96" s="82">
        <f t="shared" si="10"/>
        <v>4099.8627650834396</v>
      </c>
      <c r="W96" s="64">
        <f>+IF(J96=LOOKUP(J96,'CAFCO 300 IDIEM TABLAS'!$J$4:$J$40),'HOJA DE CÁLCULO RESPALDO'!J96,MROUND('HOJA DE CÁLCULO RESPALDO'!J96,10))</f>
        <v>95</v>
      </c>
      <c r="X96" s="36"/>
      <c r="Y96" s="4"/>
    </row>
    <row r="97" spans="1:25" x14ac:dyDescent="0.25">
      <c r="A97" s="2" t="s">
        <v>38</v>
      </c>
      <c r="B97" s="3" t="s">
        <v>17</v>
      </c>
      <c r="C97" s="3" t="s">
        <v>19</v>
      </c>
      <c r="D97" s="3">
        <v>1</v>
      </c>
      <c r="E97" s="2">
        <v>1</v>
      </c>
      <c r="F97" s="8">
        <v>11097</v>
      </c>
      <c r="G97" s="1">
        <v>4</v>
      </c>
      <c r="H97" s="2">
        <v>585</v>
      </c>
      <c r="I97" s="34">
        <v>90</v>
      </c>
      <c r="J97" s="11">
        <v>95</v>
      </c>
      <c r="K97" s="44">
        <f t="shared" si="7"/>
        <v>6.4917449999999999</v>
      </c>
      <c r="L97" s="3" t="s">
        <v>61</v>
      </c>
      <c r="M97" s="3" t="s">
        <v>70</v>
      </c>
      <c r="N97" s="15">
        <f>ROUND((IF(L97="Blaze Shield II",IF(M97="Idiem software",IF(AND(C97="IN",G97=4),((('BLAZE SHIELD II'!$D$4*('HOJA DE CÁLCULO RESPALDO'!I97^2)+'BLAZE SHIELD II'!$D$5*'HOJA DE CÁLCULO RESPALDO'!I97+'BLAZE SHIELD II'!$D$6)*LN(J97))+('BLAZE SHIELD II'!$D$7*('HOJA DE CÁLCULO RESPALDO'!I97^2)+'BLAZE SHIELD II'!$D$8*'HOJA DE CÁLCULO RESPALDO'!I97+'BLAZE SHIELD II'!$D$9)),0),0),0))+(IF(L97="Blaze Shield II",IF(M97="Idiem software",IF(C97="Cj",((('BLAZE SHIELD II'!$H$4*('HOJA DE CÁLCULO RESPALDO'!I97^2)+'BLAZE SHIELD II'!$H$5*'HOJA DE CÁLCULO RESPALDO'!I97+'BLAZE SHIELD II'!$H$6)*LN(J97))+('BLAZE SHIELD II'!$H$7*('HOJA DE CÁLCULO RESPALDO'!I97^2)+'BLAZE SHIELD II'!$H$8*'HOJA DE CÁLCULO RESPALDO'!I97+'BLAZE SHIELD II'!$H$9)),0),0),0))+(IF(L97="Blaze Shield II",IF(M97="Idiem software",IF(C97="C",((('BLAZE SHIELD II'!$L$4*('HOJA DE CÁLCULO RESPALDO'!I97^2)+'BLAZE SHIELD II'!$L$5*'HOJA DE CÁLCULO RESPALDO'!I97+'BLAZE SHIELD II'!$L$6)*LN(J97))+('BLAZE SHIELD II'!$L$7*('HOJA DE CÁLCULO RESPALDO'!I97^2)+'BLAZE SHIELD II'!$L$8*'HOJA DE CÁLCULO RESPALDO'!I97+'BLAZE SHIELD II'!$L$9)),0),0),0))+(IF(L97="Blaze Shield II",IF(M97="Idiem software",IF(AND(C97="IN",G97=3),((('BLAZE SHIELD II'!$H$14*('HOJA DE CÁLCULO RESPALDO'!I97^2)+'BLAZE SHIELD II'!$H$15*'HOJA DE CÁLCULO RESPALDO'!I97+'BLAZE SHIELD II'!$H$16)*LN(J97))+('BLAZE SHIELD II'!$H$17*('HOJA DE CÁLCULO RESPALDO'!I97^2)+'BLAZE SHIELD II'!$H$18*'HOJA DE CÁLCULO RESPALDO'!I97+'BLAZE SHIELD II'!$H$19)),0),0),0)),0)</f>
        <v>0</v>
      </c>
      <c r="O97" s="46">
        <f t="shared" si="11"/>
        <v>0</v>
      </c>
      <c r="P97" s="80">
        <f t="shared" si="8"/>
        <v>0</v>
      </c>
      <c r="Q97" s="85">
        <f>ROUND((IF(L97="Cafco 400",IF(M97="Idiem software",IF(AND(C97="IN",G97=4),((('CAFCO 400 '!$H$7*(J97^4)+'CAFCO 400 '!$H$8*(J97^3)+'CAFCO 400 '!$H$9*(J97^2)+'CAFCO 400 '!$H$10*J97+'CAFCO 400 '!$H$11)*I97^2)+(('CAFCO 400 '!$H$12*(J97^3)+'CAFCO 400 '!$H$13*(J97^2)+'CAFCO 400 '!$H$14*J97+'CAFCO 400 '!$H$15)*I97)+('CAFCO 400 '!$H$16*(J97^2)+'CAFCO 400 '!$H$17*J97+'CAFCO 400 '!$H$18)),0),0),0))+(IF(L97="Cafco 400",IF(M97="Idiem software",IF(C97="Cj",(((('CAFCO 400 '!$D$7*LN(J97)+'CAFCO 400 '!$D$8)*I97^2)+(('CAFCO 400 '!$D$9*LN(J97)+'CAFCO 400 '!$D$10)*I97)+('CAFCO 400 '!$D$11*LN(J97)+'CAFCO 400 '!$D$12))),0),0),0))+(IF(L97="Cafco 400",IF(M97="Idiem software",IF(C97="C",((('CAFCO 400 '!$L$7*(J97^3)+'CAFCO 400 '!$L$8*(J97^2)+'CAFCO 400 '!$L$9*J97+'CAFCO 400 '!$L$10)*I97^2)+(('CAFCO 400 '!$L$11*(J97^3)+'CAFCO 400 '!$L$12*(J97^2)+'CAFCO 400 '!$L$13*J97+'CAFCO 400 '!$L$14)*I97)+('CAFCO 400 '!$L$15*LN(J97)+'CAFCO 400 '!$L$16)),0),0),0))+(IF(L97="Cafco 400",IF(M97="Idiem software",IF(AND(C97="IN",G97=3),((('CAFCO 400 '!$D$23*(J97^2)+'CAFCO 400 '!$D$24*(J97)+'CAFCO 400 '!$D$25)*I97^2)+(('CAFCO 400 '!$D$26*(J97^2)+'CAFCO 400 '!$D$27*J97+'CAFCO 400 '!$D$28)*I97)+('CAFCO 400 '!$D$29*(J97^2)+'CAFCO 400 '!$D$30*J97+'CAFCO 400 '!$D$31)),0),0),0)),0)</f>
        <v>0</v>
      </c>
      <c r="R97" s="47">
        <f t="shared" si="12"/>
        <v>0</v>
      </c>
      <c r="S97" s="82">
        <f t="shared" si="9"/>
        <v>0</v>
      </c>
      <c r="T97" s="81">
        <f>+IF(AND(J97&gt;=95,J97&lt;=240),IF(AND(C97="Cj",I97=90),VLOOKUP(W97,'CAFCO 300 IDIEM TABLAS'!$B$4:$D$23,2,FALSE),0)+IF(AND(J97&gt;=95,J97&lt;=240),IF(AND(C97="Cj",I97=120),VLOOKUP(W97,'CAFCO 300 IDIEM TABLAS'!$B$4:$D$23,3,FALSE),0))+IF(AND(J97&gt;=95,J97&lt;=400,G97=3),IF(AND(C97="IN",I97=90),VLOOKUP(W97,'CAFCO 300 IDIEM TABLAS'!$F$4:$H$35,2,FALSE),0),0)+IF(AND(J97&gt;=95,J97&lt;=400,G97=3),IF(AND(C97="IN",I97=120),VLOOKUP(W97,'CAFCO 300 IDIEM TABLAS'!$F$4:$H$35,3,FALSE),0),0)+IF(AND(J97&gt;=95,J97&lt;=450,G97=4),IF(AND(C97="IN",I97=90),VLOOKUP(W97,'CAFCO 300 IDIEM TABLAS'!$J$4:$L$40,2,FALSE),0),0)+IF(AND(J97&gt;=95,J97&lt;=450,G97=4),IF(AND(C97="IN",I97=120),VLOOKUP(W97,'CAFCO 300 IDIEM TABLAS'!$J$4:$L$40,3,FALSE),0),0))</f>
        <v>17</v>
      </c>
      <c r="U97" s="48">
        <f t="shared" si="13"/>
        <v>1.5229350433247753</v>
      </c>
      <c r="V97" s="82">
        <f t="shared" si="10"/>
        <v>22865.346740478177</v>
      </c>
      <c r="W97" s="64">
        <f>+IF(J97=LOOKUP(J97,'CAFCO 300 IDIEM TABLAS'!$J$4:$J$40),'HOJA DE CÁLCULO RESPALDO'!J97,MROUND('HOJA DE CÁLCULO RESPALDO'!J97,10))</f>
        <v>95</v>
      </c>
      <c r="X97" s="36"/>
      <c r="Y97" s="4"/>
    </row>
    <row r="98" spans="1:25" ht="15.6" customHeight="1" x14ac:dyDescent="0.25">
      <c r="A98" s="2" t="s">
        <v>33</v>
      </c>
      <c r="B98" s="3" t="s">
        <v>17</v>
      </c>
      <c r="C98" s="3" t="s">
        <v>19</v>
      </c>
      <c r="D98" s="3">
        <v>1</v>
      </c>
      <c r="E98" s="2">
        <v>1</v>
      </c>
      <c r="F98" s="8">
        <v>1500</v>
      </c>
      <c r="G98" s="1">
        <v>4</v>
      </c>
      <c r="H98" s="2">
        <v>776</v>
      </c>
      <c r="I98" s="34">
        <v>90</v>
      </c>
      <c r="J98" s="11">
        <v>95</v>
      </c>
      <c r="K98" s="44">
        <f t="shared" si="7"/>
        <v>1.1639999999999999</v>
      </c>
      <c r="L98" s="3" t="s">
        <v>61</v>
      </c>
      <c r="M98" s="3" t="s">
        <v>70</v>
      </c>
      <c r="N98" s="15">
        <f>ROUND((IF(L98="Blaze Shield II",IF(M98="Idiem software",IF(AND(C98="IN",G98=4),((('BLAZE SHIELD II'!$D$4*('HOJA DE CÁLCULO RESPALDO'!I98^2)+'BLAZE SHIELD II'!$D$5*'HOJA DE CÁLCULO RESPALDO'!I98+'BLAZE SHIELD II'!$D$6)*LN(J98))+('BLAZE SHIELD II'!$D$7*('HOJA DE CÁLCULO RESPALDO'!I98^2)+'BLAZE SHIELD II'!$D$8*'HOJA DE CÁLCULO RESPALDO'!I98+'BLAZE SHIELD II'!$D$9)),0),0),0))+(IF(L98="Blaze Shield II",IF(M98="Idiem software",IF(C98="Cj",((('BLAZE SHIELD II'!$H$4*('HOJA DE CÁLCULO RESPALDO'!I98^2)+'BLAZE SHIELD II'!$H$5*'HOJA DE CÁLCULO RESPALDO'!I98+'BLAZE SHIELD II'!$H$6)*LN(J98))+('BLAZE SHIELD II'!$H$7*('HOJA DE CÁLCULO RESPALDO'!I98^2)+'BLAZE SHIELD II'!$H$8*'HOJA DE CÁLCULO RESPALDO'!I98+'BLAZE SHIELD II'!$H$9)),0),0),0))+(IF(L98="Blaze Shield II",IF(M98="Idiem software",IF(C98="C",((('BLAZE SHIELD II'!$L$4*('HOJA DE CÁLCULO RESPALDO'!I98^2)+'BLAZE SHIELD II'!$L$5*'HOJA DE CÁLCULO RESPALDO'!I98+'BLAZE SHIELD II'!$L$6)*LN(J98))+('BLAZE SHIELD II'!$L$7*('HOJA DE CÁLCULO RESPALDO'!I98^2)+'BLAZE SHIELD II'!$L$8*'HOJA DE CÁLCULO RESPALDO'!I98+'BLAZE SHIELD II'!$L$9)),0),0),0))+(IF(L98="Blaze Shield II",IF(M98="Idiem software",IF(AND(C98="IN",G98=3),((('BLAZE SHIELD II'!$H$14*('HOJA DE CÁLCULO RESPALDO'!I98^2)+'BLAZE SHIELD II'!$H$15*'HOJA DE CÁLCULO RESPALDO'!I98+'BLAZE SHIELD II'!$H$16)*LN(J98))+('BLAZE SHIELD II'!$H$17*('HOJA DE CÁLCULO RESPALDO'!I98^2)+'BLAZE SHIELD II'!$H$18*'HOJA DE CÁLCULO RESPALDO'!I98+'BLAZE SHIELD II'!$H$19)),0),0),0)),0)</f>
        <v>0</v>
      </c>
      <c r="O98" s="46">
        <f t="shared" si="11"/>
        <v>0</v>
      </c>
      <c r="P98" s="80">
        <f t="shared" si="8"/>
        <v>0</v>
      </c>
      <c r="Q98" s="85">
        <f>ROUND((IF(L98="Cafco 400",IF(M98="Idiem software",IF(AND(C98="IN",G98=4),((('CAFCO 400 '!$H$7*(J98^4)+'CAFCO 400 '!$H$8*(J98^3)+'CAFCO 400 '!$H$9*(J98^2)+'CAFCO 400 '!$H$10*J98+'CAFCO 400 '!$H$11)*I98^2)+(('CAFCO 400 '!$H$12*(J98^3)+'CAFCO 400 '!$H$13*(J98^2)+'CAFCO 400 '!$H$14*J98+'CAFCO 400 '!$H$15)*I98)+('CAFCO 400 '!$H$16*(J98^2)+'CAFCO 400 '!$H$17*J98+'CAFCO 400 '!$H$18)),0),0),0))+(IF(L98="Cafco 400",IF(M98="Idiem software",IF(C98="Cj",(((('CAFCO 400 '!$D$7*LN(J98)+'CAFCO 400 '!$D$8)*I98^2)+(('CAFCO 400 '!$D$9*LN(J98)+'CAFCO 400 '!$D$10)*I98)+('CAFCO 400 '!$D$11*LN(J98)+'CAFCO 400 '!$D$12))),0),0),0))+(IF(L98="Cafco 400",IF(M98="Idiem software",IF(C98="C",((('CAFCO 400 '!$L$7*(J98^3)+'CAFCO 400 '!$L$8*(J98^2)+'CAFCO 400 '!$L$9*J98+'CAFCO 400 '!$L$10)*I98^2)+(('CAFCO 400 '!$L$11*(J98^3)+'CAFCO 400 '!$L$12*(J98^2)+'CAFCO 400 '!$L$13*J98+'CAFCO 400 '!$L$14)*I98)+('CAFCO 400 '!$L$15*LN(J98)+'CAFCO 400 '!$L$16)),0),0),0))+(IF(L98="Cafco 400",IF(M98="Idiem software",IF(AND(C98="IN",G98=3),((('CAFCO 400 '!$D$23*(J98^2)+'CAFCO 400 '!$D$24*(J98)+'CAFCO 400 '!$D$25)*I98^2)+(('CAFCO 400 '!$D$26*(J98^2)+'CAFCO 400 '!$D$27*J98+'CAFCO 400 '!$D$28)*I98)+('CAFCO 400 '!$D$29*(J98^2)+'CAFCO 400 '!$D$30*J98+'CAFCO 400 '!$D$31)),0),0),0)),0)</f>
        <v>0</v>
      </c>
      <c r="R98" s="47">
        <f t="shared" si="12"/>
        <v>0</v>
      </c>
      <c r="S98" s="82">
        <f t="shared" si="9"/>
        <v>0</v>
      </c>
      <c r="T98" s="81">
        <f>+IF(AND(J98&gt;=95,J98&lt;=240),IF(AND(C98="Cj",I98=90),VLOOKUP(W98,'CAFCO 300 IDIEM TABLAS'!$B$4:$D$23,2,FALSE),0)+IF(AND(J98&gt;=95,J98&lt;=240),IF(AND(C98="Cj",I98=120),VLOOKUP(W98,'CAFCO 300 IDIEM TABLAS'!$B$4:$D$23,3,FALSE),0))+IF(AND(J98&gt;=95,J98&lt;=400,G98=3),IF(AND(C98="IN",I98=90),VLOOKUP(W98,'CAFCO 300 IDIEM TABLAS'!$F$4:$H$35,2,FALSE),0),0)+IF(AND(J98&gt;=95,J98&lt;=400,G98=3),IF(AND(C98="IN",I98=120),VLOOKUP(W98,'CAFCO 300 IDIEM TABLAS'!$F$4:$H$35,3,FALSE),0),0)+IF(AND(J98&gt;=95,J98&lt;=450,G98=4),IF(AND(C98="IN",I98=90),VLOOKUP(W98,'CAFCO 300 IDIEM TABLAS'!$J$4:$L$40,2,FALSE),0),0)+IF(AND(J98&gt;=95,J98&lt;=450,G98=4),IF(AND(C98="IN",I98=120),VLOOKUP(W98,'CAFCO 300 IDIEM TABLAS'!$J$4:$L$40,3,FALSE),0),0))</f>
        <v>17</v>
      </c>
      <c r="U98" s="48">
        <f t="shared" si="13"/>
        <v>0.2730693196405648</v>
      </c>
      <c r="V98" s="82">
        <f t="shared" si="10"/>
        <v>4099.8627650834396</v>
      </c>
      <c r="W98" s="64">
        <f>+IF(J98=LOOKUP(J98,'CAFCO 300 IDIEM TABLAS'!$J$4:$J$40),'HOJA DE CÁLCULO RESPALDO'!J98,MROUND('HOJA DE CÁLCULO RESPALDO'!J98,10))</f>
        <v>95</v>
      </c>
      <c r="X98" s="36"/>
      <c r="Y98" s="4"/>
    </row>
    <row r="99" spans="1:25" x14ac:dyDescent="0.25">
      <c r="A99" s="2" t="s">
        <v>33</v>
      </c>
      <c r="B99" s="3" t="s">
        <v>17</v>
      </c>
      <c r="C99" s="3" t="s">
        <v>19</v>
      </c>
      <c r="D99" s="3">
        <v>1</v>
      </c>
      <c r="E99" s="2">
        <v>1</v>
      </c>
      <c r="F99" s="8">
        <v>1500</v>
      </c>
      <c r="G99" s="1">
        <v>4</v>
      </c>
      <c r="H99" s="2">
        <v>3879</v>
      </c>
      <c r="I99" s="34">
        <v>90</v>
      </c>
      <c r="J99" s="11">
        <v>95</v>
      </c>
      <c r="K99" s="44">
        <f t="shared" si="7"/>
        <v>5.8185000000000002</v>
      </c>
      <c r="L99" s="3" t="s">
        <v>61</v>
      </c>
      <c r="M99" s="3" t="s">
        <v>70</v>
      </c>
      <c r="N99" s="15">
        <f>ROUND((IF(L99="Blaze Shield II",IF(M99="Idiem software",IF(AND(C99="IN",G99=4),((('BLAZE SHIELD II'!$D$4*('HOJA DE CÁLCULO RESPALDO'!I99^2)+'BLAZE SHIELD II'!$D$5*'HOJA DE CÁLCULO RESPALDO'!I99+'BLAZE SHIELD II'!$D$6)*LN(J99))+('BLAZE SHIELD II'!$D$7*('HOJA DE CÁLCULO RESPALDO'!I99^2)+'BLAZE SHIELD II'!$D$8*'HOJA DE CÁLCULO RESPALDO'!I99+'BLAZE SHIELD II'!$D$9)),0),0),0))+(IF(L99="Blaze Shield II",IF(M99="Idiem software",IF(C99="Cj",((('BLAZE SHIELD II'!$H$4*('HOJA DE CÁLCULO RESPALDO'!I99^2)+'BLAZE SHIELD II'!$H$5*'HOJA DE CÁLCULO RESPALDO'!I99+'BLAZE SHIELD II'!$H$6)*LN(J99))+('BLAZE SHIELD II'!$H$7*('HOJA DE CÁLCULO RESPALDO'!I99^2)+'BLAZE SHIELD II'!$H$8*'HOJA DE CÁLCULO RESPALDO'!I99+'BLAZE SHIELD II'!$H$9)),0),0),0))+(IF(L99="Blaze Shield II",IF(M99="Idiem software",IF(C99="C",((('BLAZE SHIELD II'!$L$4*('HOJA DE CÁLCULO RESPALDO'!I99^2)+'BLAZE SHIELD II'!$L$5*'HOJA DE CÁLCULO RESPALDO'!I99+'BLAZE SHIELD II'!$L$6)*LN(J99))+('BLAZE SHIELD II'!$L$7*('HOJA DE CÁLCULO RESPALDO'!I99^2)+'BLAZE SHIELD II'!$L$8*'HOJA DE CÁLCULO RESPALDO'!I99+'BLAZE SHIELD II'!$L$9)),0),0),0))+(IF(L99="Blaze Shield II",IF(M99="Idiem software",IF(AND(C99="IN",G99=3),((('BLAZE SHIELD II'!$H$14*('HOJA DE CÁLCULO RESPALDO'!I99^2)+'BLAZE SHIELD II'!$H$15*'HOJA DE CÁLCULO RESPALDO'!I99+'BLAZE SHIELD II'!$H$16)*LN(J99))+('BLAZE SHIELD II'!$H$17*('HOJA DE CÁLCULO RESPALDO'!I99^2)+'BLAZE SHIELD II'!$H$18*'HOJA DE CÁLCULO RESPALDO'!I99+'BLAZE SHIELD II'!$H$19)),0),0),0)),0)</f>
        <v>0</v>
      </c>
      <c r="O99" s="46">
        <f t="shared" si="11"/>
        <v>0</v>
      </c>
      <c r="P99" s="80">
        <f t="shared" si="8"/>
        <v>0</v>
      </c>
      <c r="Q99" s="85">
        <f>ROUND((IF(L99="Cafco 400",IF(M99="Idiem software",IF(AND(C99="IN",G99=4),((('CAFCO 400 '!$H$7*(J99^4)+'CAFCO 400 '!$H$8*(J99^3)+'CAFCO 400 '!$H$9*(J99^2)+'CAFCO 400 '!$H$10*J99+'CAFCO 400 '!$H$11)*I99^2)+(('CAFCO 400 '!$H$12*(J99^3)+'CAFCO 400 '!$H$13*(J99^2)+'CAFCO 400 '!$H$14*J99+'CAFCO 400 '!$H$15)*I99)+('CAFCO 400 '!$H$16*(J99^2)+'CAFCO 400 '!$H$17*J99+'CAFCO 400 '!$H$18)),0),0),0))+(IF(L99="Cafco 400",IF(M99="Idiem software",IF(C99="Cj",(((('CAFCO 400 '!$D$7*LN(J99)+'CAFCO 400 '!$D$8)*I99^2)+(('CAFCO 400 '!$D$9*LN(J99)+'CAFCO 400 '!$D$10)*I99)+('CAFCO 400 '!$D$11*LN(J99)+'CAFCO 400 '!$D$12))),0),0),0))+(IF(L99="Cafco 400",IF(M99="Idiem software",IF(C99="C",((('CAFCO 400 '!$L$7*(J99^3)+'CAFCO 400 '!$L$8*(J99^2)+'CAFCO 400 '!$L$9*J99+'CAFCO 400 '!$L$10)*I99^2)+(('CAFCO 400 '!$L$11*(J99^3)+'CAFCO 400 '!$L$12*(J99^2)+'CAFCO 400 '!$L$13*J99+'CAFCO 400 '!$L$14)*I99)+('CAFCO 400 '!$L$15*LN(J99)+'CAFCO 400 '!$L$16)),0),0),0))+(IF(L99="Cafco 400",IF(M99="Idiem software",IF(AND(C99="IN",G99=3),((('CAFCO 400 '!$D$23*(J99^2)+'CAFCO 400 '!$D$24*(J99)+'CAFCO 400 '!$D$25)*I99^2)+(('CAFCO 400 '!$D$26*(J99^2)+'CAFCO 400 '!$D$27*J99+'CAFCO 400 '!$D$28)*I99)+('CAFCO 400 '!$D$29*(J99^2)+'CAFCO 400 '!$D$30*J99+'CAFCO 400 '!$D$31)),0),0),0)),0)</f>
        <v>0</v>
      </c>
      <c r="R99" s="47">
        <f t="shared" si="12"/>
        <v>0</v>
      </c>
      <c r="S99" s="82">
        <f t="shared" si="9"/>
        <v>0</v>
      </c>
      <c r="T99" s="81">
        <f>+IF(AND(J99&gt;=95,J99&lt;=240),IF(AND(C99="Cj",I99=90),VLOOKUP(W99,'CAFCO 300 IDIEM TABLAS'!$B$4:$D$23,2,FALSE),0)+IF(AND(J99&gt;=95,J99&lt;=240),IF(AND(C99="Cj",I99=120),VLOOKUP(W99,'CAFCO 300 IDIEM TABLAS'!$B$4:$D$23,3,FALSE),0))+IF(AND(J99&gt;=95,J99&lt;=400,G99=3),IF(AND(C99="IN",I99=90),VLOOKUP(W99,'CAFCO 300 IDIEM TABLAS'!$F$4:$H$35,2,FALSE),0),0)+IF(AND(J99&gt;=95,J99&lt;=400,G99=3),IF(AND(C99="IN",I99=120),VLOOKUP(W99,'CAFCO 300 IDIEM TABLAS'!$F$4:$H$35,3,FALSE),0),0)+IF(AND(J99&gt;=95,J99&lt;=450,G99=4),IF(AND(C99="IN",I99=90),VLOOKUP(W99,'CAFCO 300 IDIEM TABLAS'!$J$4:$L$40,2,FALSE),0),0)+IF(AND(J99&gt;=95,J99&lt;=450,G99=4),IF(AND(C99="IN",I99=120),VLOOKUP(W99,'CAFCO 300 IDIEM TABLAS'!$J$4:$L$40,3,FALSE),0),0))</f>
        <v>17</v>
      </c>
      <c r="U99" s="48">
        <f t="shared" si="13"/>
        <v>1.3649947047496791</v>
      </c>
      <c r="V99" s="82">
        <f t="shared" si="10"/>
        <v>20494.030497111682</v>
      </c>
      <c r="W99" s="64">
        <f>+IF(J99=LOOKUP(J99,'CAFCO 300 IDIEM TABLAS'!$J$4:$J$40),'HOJA DE CÁLCULO RESPALDO'!J99,MROUND('HOJA DE CÁLCULO RESPALDO'!J99,10))</f>
        <v>95</v>
      </c>
      <c r="X99" s="36"/>
      <c r="Y99" s="4"/>
    </row>
    <row r="100" spans="1:25" ht="15.6" customHeight="1" x14ac:dyDescent="0.25">
      <c r="A100" s="2" t="s">
        <v>33</v>
      </c>
      <c r="B100" s="3" t="s">
        <v>17</v>
      </c>
      <c r="C100" s="3" t="s">
        <v>19</v>
      </c>
      <c r="D100" s="3">
        <v>1</v>
      </c>
      <c r="E100" s="2">
        <v>2</v>
      </c>
      <c r="F100" s="8">
        <v>26385</v>
      </c>
      <c r="G100" s="1">
        <v>4</v>
      </c>
      <c r="H100" s="2">
        <v>2784</v>
      </c>
      <c r="I100" s="34">
        <v>90</v>
      </c>
      <c r="J100" s="11">
        <v>95</v>
      </c>
      <c r="K100" s="44">
        <f t="shared" si="7"/>
        <v>146.91167999999999</v>
      </c>
      <c r="L100" s="3" t="s">
        <v>61</v>
      </c>
      <c r="M100" s="3" t="s">
        <v>70</v>
      </c>
      <c r="N100" s="15">
        <f>ROUND((IF(L100="Blaze Shield II",IF(M100="Idiem software",IF(AND(C100="IN",G100=4),((('BLAZE SHIELD II'!$D$4*('HOJA DE CÁLCULO RESPALDO'!I100^2)+'BLAZE SHIELD II'!$D$5*'HOJA DE CÁLCULO RESPALDO'!I100+'BLAZE SHIELD II'!$D$6)*LN(J100))+('BLAZE SHIELD II'!$D$7*('HOJA DE CÁLCULO RESPALDO'!I100^2)+'BLAZE SHIELD II'!$D$8*'HOJA DE CÁLCULO RESPALDO'!I100+'BLAZE SHIELD II'!$D$9)),0),0),0))+(IF(L100="Blaze Shield II",IF(M100="Idiem software",IF(C100="Cj",((('BLAZE SHIELD II'!$H$4*('HOJA DE CÁLCULO RESPALDO'!I100^2)+'BLAZE SHIELD II'!$H$5*'HOJA DE CÁLCULO RESPALDO'!I100+'BLAZE SHIELD II'!$H$6)*LN(J100))+('BLAZE SHIELD II'!$H$7*('HOJA DE CÁLCULO RESPALDO'!I100^2)+'BLAZE SHIELD II'!$H$8*'HOJA DE CÁLCULO RESPALDO'!I100+'BLAZE SHIELD II'!$H$9)),0),0),0))+(IF(L100="Blaze Shield II",IF(M100="Idiem software",IF(C100="C",((('BLAZE SHIELD II'!$L$4*('HOJA DE CÁLCULO RESPALDO'!I100^2)+'BLAZE SHIELD II'!$L$5*'HOJA DE CÁLCULO RESPALDO'!I100+'BLAZE SHIELD II'!$L$6)*LN(J100))+('BLAZE SHIELD II'!$L$7*('HOJA DE CÁLCULO RESPALDO'!I100^2)+'BLAZE SHIELD II'!$L$8*'HOJA DE CÁLCULO RESPALDO'!I100+'BLAZE SHIELD II'!$L$9)),0),0),0))+(IF(L100="Blaze Shield II",IF(M100="Idiem software",IF(AND(C100="IN",G100=3),((('BLAZE SHIELD II'!$H$14*('HOJA DE CÁLCULO RESPALDO'!I100^2)+'BLAZE SHIELD II'!$H$15*'HOJA DE CÁLCULO RESPALDO'!I100+'BLAZE SHIELD II'!$H$16)*LN(J100))+('BLAZE SHIELD II'!$H$17*('HOJA DE CÁLCULO RESPALDO'!I100^2)+'BLAZE SHIELD II'!$H$18*'HOJA DE CÁLCULO RESPALDO'!I100+'BLAZE SHIELD II'!$H$19)),0),0),0)),0)</f>
        <v>0</v>
      </c>
      <c r="O100" s="46">
        <f t="shared" si="11"/>
        <v>0</v>
      </c>
      <c r="P100" s="80">
        <f t="shared" si="8"/>
        <v>0</v>
      </c>
      <c r="Q100" s="85">
        <f>ROUND((IF(L100="Cafco 400",IF(M100="Idiem software",IF(AND(C100="IN",G100=4),((('CAFCO 400 '!$H$7*(J100^4)+'CAFCO 400 '!$H$8*(J100^3)+'CAFCO 400 '!$H$9*(J100^2)+'CAFCO 400 '!$H$10*J100+'CAFCO 400 '!$H$11)*I100^2)+(('CAFCO 400 '!$H$12*(J100^3)+'CAFCO 400 '!$H$13*(J100^2)+'CAFCO 400 '!$H$14*J100+'CAFCO 400 '!$H$15)*I100)+('CAFCO 400 '!$H$16*(J100^2)+'CAFCO 400 '!$H$17*J100+'CAFCO 400 '!$H$18)),0),0),0))+(IF(L100="Cafco 400",IF(M100="Idiem software",IF(C100="Cj",(((('CAFCO 400 '!$D$7*LN(J100)+'CAFCO 400 '!$D$8)*I100^2)+(('CAFCO 400 '!$D$9*LN(J100)+'CAFCO 400 '!$D$10)*I100)+('CAFCO 400 '!$D$11*LN(J100)+'CAFCO 400 '!$D$12))),0),0),0))+(IF(L100="Cafco 400",IF(M100="Idiem software",IF(C100="C",((('CAFCO 400 '!$L$7*(J100^3)+'CAFCO 400 '!$L$8*(J100^2)+'CAFCO 400 '!$L$9*J100+'CAFCO 400 '!$L$10)*I100^2)+(('CAFCO 400 '!$L$11*(J100^3)+'CAFCO 400 '!$L$12*(J100^2)+'CAFCO 400 '!$L$13*J100+'CAFCO 400 '!$L$14)*I100)+('CAFCO 400 '!$L$15*LN(J100)+'CAFCO 400 '!$L$16)),0),0),0))+(IF(L100="Cafco 400",IF(M100="Idiem software",IF(AND(C100="IN",G100=3),((('CAFCO 400 '!$D$23*(J100^2)+'CAFCO 400 '!$D$24*(J100)+'CAFCO 400 '!$D$25)*I100^2)+(('CAFCO 400 '!$D$26*(J100^2)+'CAFCO 400 '!$D$27*J100+'CAFCO 400 '!$D$28)*I100)+('CAFCO 400 '!$D$29*(J100^2)+'CAFCO 400 '!$D$30*J100+'CAFCO 400 '!$D$31)),0),0),0)),0)</f>
        <v>0</v>
      </c>
      <c r="R100" s="47">
        <f t="shared" si="12"/>
        <v>0</v>
      </c>
      <c r="S100" s="82">
        <f t="shared" si="9"/>
        <v>0</v>
      </c>
      <c r="T100" s="81">
        <f>+IF(AND(J100&gt;=95,J100&lt;=240),IF(AND(C100="Cj",I100=90),VLOOKUP(W100,'CAFCO 300 IDIEM TABLAS'!$B$4:$D$23,2,FALSE),0)+IF(AND(J100&gt;=95,J100&lt;=240),IF(AND(C100="Cj",I100=120),VLOOKUP(W100,'CAFCO 300 IDIEM TABLAS'!$B$4:$D$23,3,FALSE),0))+IF(AND(J100&gt;=95,J100&lt;=400,G100=3),IF(AND(C100="IN",I100=90),VLOOKUP(W100,'CAFCO 300 IDIEM TABLAS'!$F$4:$H$35,2,FALSE),0),0)+IF(AND(J100&gt;=95,J100&lt;=400,G100=3),IF(AND(C100="IN",I100=120),VLOOKUP(W100,'CAFCO 300 IDIEM TABLAS'!$F$4:$H$35,3,FALSE),0),0)+IF(AND(J100&gt;=95,J100&lt;=450,G100=4),IF(AND(C100="IN",I100=90),VLOOKUP(W100,'CAFCO 300 IDIEM TABLAS'!$J$4:$L$40,2,FALSE),0),0)+IF(AND(J100&gt;=95,J100&lt;=450,G100=4),IF(AND(C100="IN",I100=120),VLOOKUP(W100,'CAFCO 300 IDIEM TABLAS'!$J$4:$L$40,3,FALSE),0),0))</f>
        <v>17</v>
      </c>
      <c r="U100" s="48">
        <f t="shared" si="13"/>
        <v>34.464838921694479</v>
      </c>
      <c r="V100" s="82">
        <f t="shared" si="10"/>
        <v>517455.09157032089</v>
      </c>
      <c r="W100" s="64">
        <f>+IF(J100=LOOKUP(J100,'CAFCO 300 IDIEM TABLAS'!$J$4:$J$40),'HOJA DE CÁLCULO RESPALDO'!J100,MROUND('HOJA DE CÁLCULO RESPALDO'!J100,10))</f>
        <v>95</v>
      </c>
      <c r="X100" s="36"/>
      <c r="Y100" s="4"/>
    </row>
    <row r="101" spans="1:25" x14ac:dyDescent="0.25">
      <c r="A101" s="2" t="s">
        <v>33</v>
      </c>
      <c r="B101" s="3" t="s">
        <v>17</v>
      </c>
      <c r="C101" s="3" t="s">
        <v>19</v>
      </c>
      <c r="D101" s="3">
        <v>1</v>
      </c>
      <c r="E101" s="2">
        <v>1</v>
      </c>
      <c r="F101" s="8">
        <v>91778</v>
      </c>
      <c r="G101" s="1">
        <v>4</v>
      </c>
      <c r="H101" s="2">
        <v>1781</v>
      </c>
      <c r="I101" s="34">
        <v>90</v>
      </c>
      <c r="J101" s="11">
        <v>95</v>
      </c>
      <c r="K101" s="44">
        <f t="shared" si="7"/>
        <v>163.45661799999999</v>
      </c>
      <c r="L101" s="3" t="s">
        <v>61</v>
      </c>
      <c r="M101" s="3" t="s">
        <v>70</v>
      </c>
      <c r="N101" s="15">
        <f>ROUND((IF(L101="Blaze Shield II",IF(M101="Idiem software",IF(AND(C101="IN",G101=4),((('BLAZE SHIELD II'!$D$4*('HOJA DE CÁLCULO RESPALDO'!I101^2)+'BLAZE SHIELD II'!$D$5*'HOJA DE CÁLCULO RESPALDO'!I101+'BLAZE SHIELD II'!$D$6)*LN(J101))+('BLAZE SHIELD II'!$D$7*('HOJA DE CÁLCULO RESPALDO'!I101^2)+'BLAZE SHIELD II'!$D$8*'HOJA DE CÁLCULO RESPALDO'!I101+'BLAZE SHIELD II'!$D$9)),0),0),0))+(IF(L101="Blaze Shield II",IF(M101="Idiem software",IF(C101="Cj",((('BLAZE SHIELD II'!$H$4*('HOJA DE CÁLCULO RESPALDO'!I101^2)+'BLAZE SHIELD II'!$H$5*'HOJA DE CÁLCULO RESPALDO'!I101+'BLAZE SHIELD II'!$H$6)*LN(J101))+('BLAZE SHIELD II'!$H$7*('HOJA DE CÁLCULO RESPALDO'!I101^2)+'BLAZE SHIELD II'!$H$8*'HOJA DE CÁLCULO RESPALDO'!I101+'BLAZE SHIELD II'!$H$9)),0),0),0))+(IF(L101="Blaze Shield II",IF(M101="Idiem software",IF(C101="C",((('BLAZE SHIELD II'!$L$4*('HOJA DE CÁLCULO RESPALDO'!I101^2)+'BLAZE SHIELD II'!$L$5*'HOJA DE CÁLCULO RESPALDO'!I101+'BLAZE SHIELD II'!$L$6)*LN(J101))+('BLAZE SHIELD II'!$L$7*('HOJA DE CÁLCULO RESPALDO'!I101^2)+'BLAZE SHIELD II'!$L$8*'HOJA DE CÁLCULO RESPALDO'!I101+'BLAZE SHIELD II'!$L$9)),0),0),0))+(IF(L101="Blaze Shield II",IF(M101="Idiem software",IF(AND(C101="IN",G101=3),((('BLAZE SHIELD II'!$H$14*('HOJA DE CÁLCULO RESPALDO'!I101^2)+'BLAZE SHIELD II'!$H$15*'HOJA DE CÁLCULO RESPALDO'!I101+'BLAZE SHIELD II'!$H$16)*LN(J101))+('BLAZE SHIELD II'!$H$17*('HOJA DE CÁLCULO RESPALDO'!I101^2)+'BLAZE SHIELD II'!$H$18*'HOJA DE CÁLCULO RESPALDO'!I101+'BLAZE SHIELD II'!$H$19)),0),0),0)),0)</f>
        <v>0</v>
      </c>
      <c r="O101" s="46">
        <f t="shared" si="11"/>
        <v>0</v>
      </c>
      <c r="P101" s="80">
        <f t="shared" si="8"/>
        <v>0</v>
      </c>
      <c r="Q101" s="85">
        <f>ROUND((IF(L101="Cafco 400",IF(M101="Idiem software",IF(AND(C101="IN",G101=4),((('CAFCO 400 '!$H$7*(J101^4)+'CAFCO 400 '!$H$8*(J101^3)+'CAFCO 400 '!$H$9*(J101^2)+'CAFCO 400 '!$H$10*J101+'CAFCO 400 '!$H$11)*I101^2)+(('CAFCO 400 '!$H$12*(J101^3)+'CAFCO 400 '!$H$13*(J101^2)+'CAFCO 400 '!$H$14*J101+'CAFCO 400 '!$H$15)*I101)+('CAFCO 400 '!$H$16*(J101^2)+'CAFCO 400 '!$H$17*J101+'CAFCO 400 '!$H$18)),0),0),0))+(IF(L101="Cafco 400",IF(M101="Idiem software",IF(C101="Cj",(((('CAFCO 400 '!$D$7*LN(J101)+'CAFCO 400 '!$D$8)*I101^2)+(('CAFCO 400 '!$D$9*LN(J101)+'CAFCO 400 '!$D$10)*I101)+('CAFCO 400 '!$D$11*LN(J101)+'CAFCO 400 '!$D$12))),0),0),0))+(IF(L101="Cafco 400",IF(M101="Idiem software",IF(C101="C",((('CAFCO 400 '!$L$7*(J101^3)+'CAFCO 400 '!$L$8*(J101^2)+'CAFCO 400 '!$L$9*J101+'CAFCO 400 '!$L$10)*I101^2)+(('CAFCO 400 '!$L$11*(J101^3)+'CAFCO 400 '!$L$12*(J101^2)+'CAFCO 400 '!$L$13*J101+'CAFCO 400 '!$L$14)*I101)+('CAFCO 400 '!$L$15*LN(J101)+'CAFCO 400 '!$L$16)),0),0),0))+(IF(L101="Cafco 400",IF(M101="Idiem software",IF(AND(C101="IN",G101=3),((('CAFCO 400 '!$D$23*(J101^2)+'CAFCO 400 '!$D$24*(J101)+'CAFCO 400 '!$D$25)*I101^2)+(('CAFCO 400 '!$D$26*(J101^2)+'CAFCO 400 '!$D$27*J101+'CAFCO 400 '!$D$28)*I101)+('CAFCO 400 '!$D$29*(J101^2)+'CAFCO 400 '!$D$30*J101+'CAFCO 400 '!$D$31)),0),0),0)),0)</f>
        <v>0</v>
      </c>
      <c r="R101" s="47">
        <f t="shared" si="12"/>
        <v>0</v>
      </c>
      <c r="S101" s="82">
        <f t="shared" si="9"/>
        <v>0</v>
      </c>
      <c r="T101" s="81">
        <f>+IF(AND(J101&gt;=95,J101&lt;=240),IF(AND(C101="Cj",I101=90),VLOOKUP(W101,'CAFCO 300 IDIEM TABLAS'!$B$4:$D$23,2,FALSE),0)+IF(AND(J101&gt;=95,J101&lt;=240),IF(AND(C101="Cj",I101=120),VLOOKUP(W101,'CAFCO 300 IDIEM TABLAS'!$B$4:$D$23,3,FALSE),0))+IF(AND(J101&gt;=95,J101&lt;=400,G101=3),IF(AND(C101="IN",I101=90),VLOOKUP(W101,'CAFCO 300 IDIEM TABLAS'!$F$4:$H$35,2,FALSE),0),0)+IF(AND(J101&gt;=95,J101&lt;=400,G101=3),IF(AND(C101="IN",I101=120),VLOOKUP(W101,'CAFCO 300 IDIEM TABLAS'!$F$4:$H$35,3,FALSE),0),0)+IF(AND(J101&gt;=95,J101&lt;=450,G101=4),IF(AND(C101="IN",I101=90),VLOOKUP(W101,'CAFCO 300 IDIEM TABLAS'!$J$4:$L$40,2,FALSE),0),0)+IF(AND(J101&gt;=95,J101&lt;=450,G101=4),IF(AND(C101="IN",I101=120),VLOOKUP(W101,'CAFCO 300 IDIEM TABLAS'!$J$4:$L$40,3,FALSE),0),0))</f>
        <v>17</v>
      </c>
      <c r="U101" s="48">
        <f t="shared" si="13"/>
        <v>38.34620916495507</v>
      </c>
      <c r="V101" s="82">
        <f t="shared" si="10"/>
        <v>575729.98440263537</v>
      </c>
      <c r="W101" s="64">
        <f>+IF(J101=LOOKUP(J101,'CAFCO 300 IDIEM TABLAS'!$J$4:$J$40),'HOJA DE CÁLCULO RESPALDO'!J101,MROUND('HOJA DE CÁLCULO RESPALDO'!J101,10))</f>
        <v>95</v>
      </c>
      <c r="X101" s="36"/>
      <c r="Y101" s="4"/>
    </row>
    <row r="102" spans="1:25" ht="15.6" customHeight="1" x14ac:dyDescent="0.25">
      <c r="A102" s="2" t="s">
        <v>33</v>
      </c>
      <c r="B102" s="3" t="s">
        <v>17</v>
      </c>
      <c r="C102" s="3" t="s">
        <v>19</v>
      </c>
      <c r="D102" s="3">
        <v>1</v>
      </c>
      <c r="E102" s="2">
        <v>2</v>
      </c>
      <c r="F102" s="8">
        <v>12900</v>
      </c>
      <c r="G102" s="1">
        <v>4</v>
      </c>
      <c r="H102" s="2">
        <v>968</v>
      </c>
      <c r="I102" s="34">
        <v>90</v>
      </c>
      <c r="J102" s="11">
        <v>95</v>
      </c>
      <c r="K102" s="44">
        <f t="shared" si="7"/>
        <v>24.974399999999999</v>
      </c>
      <c r="L102" s="3" t="s">
        <v>61</v>
      </c>
      <c r="M102" s="3" t="s">
        <v>70</v>
      </c>
      <c r="N102" s="15">
        <f>ROUND((IF(L102="Blaze Shield II",IF(M102="Idiem software",IF(AND(C102="IN",G102=4),((('BLAZE SHIELD II'!$D$4*('HOJA DE CÁLCULO RESPALDO'!I102^2)+'BLAZE SHIELD II'!$D$5*'HOJA DE CÁLCULO RESPALDO'!I102+'BLAZE SHIELD II'!$D$6)*LN(J102))+('BLAZE SHIELD II'!$D$7*('HOJA DE CÁLCULO RESPALDO'!I102^2)+'BLAZE SHIELD II'!$D$8*'HOJA DE CÁLCULO RESPALDO'!I102+'BLAZE SHIELD II'!$D$9)),0),0),0))+(IF(L102="Blaze Shield II",IF(M102="Idiem software",IF(C102="Cj",((('BLAZE SHIELD II'!$H$4*('HOJA DE CÁLCULO RESPALDO'!I102^2)+'BLAZE SHIELD II'!$H$5*'HOJA DE CÁLCULO RESPALDO'!I102+'BLAZE SHIELD II'!$H$6)*LN(J102))+('BLAZE SHIELD II'!$H$7*('HOJA DE CÁLCULO RESPALDO'!I102^2)+'BLAZE SHIELD II'!$H$8*'HOJA DE CÁLCULO RESPALDO'!I102+'BLAZE SHIELD II'!$H$9)),0),0),0))+(IF(L102="Blaze Shield II",IF(M102="Idiem software",IF(C102="C",((('BLAZE SHIELD II'!$L$4*('HOJA DE CÁLCULO RESPALDO'!I102^2)+'BLAZE SHIELD II'!$L$5*'HOJA DE CÁLCULO RESPALDO'!I102+'BLAZE SHIELD II'!$L$6)*LN(J102))+('BLAZE SHIELD II'!$L$7*('HOJA DE CÁLCULO RESPALDO'!I102^2)+'BLAZE SHIELD II'!$L$8*'HOJA DE CÁLCULO RESPALDO'!I102+'BLAZE SHIELD II'!$L$9)),0),0),0))+(IF(L102="Blaze Shield II",IF(M102="Idiem software",IF(AND(C102="IN",G102=3),((('BLAZE SHIELD II'!$H$14*('HOJA DE CÁLCULO RESPALDO'!I102^2)+'BLAZE SHIELD II'!$H$15*'HOJA DE CÁLCULO RESPALDO'!I102+'BLAZE SHIELD II'!$H$16)*LN(J102))+('BLAZE SHIELD II'!$H$17*('HOJA DE CÁLCULO RESPALDO'!I102^2)+'BLAZE SHIELD II'!$H$18*'HOJA DE CÁLCULO RESPALDO'!I102+'BLAZE SHIELD II'!$H$19)),0),0),0)),0)</f>
        <v>0</v>
      </c>
      <c r="O102" s="46">
        <f t="shared" si="11"/>
        <v>0</v>
      </c>
      <c r="P102" s="80">
        <f t="shared" si="8"/>
        <v>0</v>
      </c>
      <c r="Q102" s="85">
        <f>ROUND((IF(L102="Cafco 400",IF(M102="Idiem software",IF(AND(C102="IN",G102=4),((('CAFCO 400 '!$H$7*(J102^4)+'CAFCO 400 '!$H$8*(J102^3)+'CAFCO 400 '!$H$9*(J102^2)+'CAFCO 400 '!$H$10*J102+'CAFCO 400 '!$H$11)*I102^2)+(('CAFCO 400 '!$H$12*(J102^3)+'CAFCO 400 '!$H$13*(J102^2)+'CAFCO 400 '!$H$14*J102+'CAFCO 400 '!$H$15)*I102)+('CAFCO 400 '!$H$16*(J102^2)+'CAFCO 400 '!$H$17*J102+'CAFCO 400 '!$H$18)),0),0),0))+(IF(L102="Cafco 400",IF(M102="Idiem software",IF(C102="Cj",(((('CAFCO 400 '!$D$7*LN(J102)+'CAFCO 400 '!$D$8)*I102^2)+(('CAFCO 400 '!$D$9*LN(J102)+'CAFCO 400 '!$D$10)*I102)+('CAFCO 400 '!$D$11*LN(J102)+'CAFCO 400 '!$D$12))),0),0),0))+(IF(L102="Cafco 400",IF(M102="Idiem software",IF(C102="C",((('CAFCO 400 '!$L$7*(J102^3)+'CAFCO 400 '!$L$8*(J102^2)+'CAFCO 400 '!$L$9*J102+'CAFCO 400 '!$L$10)*I102^2)+(('CAFCO 400 '!$L$11*(J102^3)+'CAFCO 400 '!$L$12*(J102^2)+'CAFCO 400 '!$L$13*J102+'CAFCO 400 '!$L$14)*I102)+('CAFCO 400 '!$L$15*LN(J102)+'CAFCO 400 '!$L$16)),0),0),0))+(IF(L102="Cafco 400",IF(M102="Idiem software",IF(AND(C102="IN",G102=3),((('CAFCO 400 '!$D$23*(J102^2)+'CAFCO 400 '!$D$24*(J102)+'CAFCO 400 '!$D$25)*I102^2)+(('CAFCO 400 '!$D$26*(J102^2)+'CAFCO 400 '!$D$27*J102+'CAFCO 400 '!$D$28)*I102)+('CAFCO 400 '!$D$29*(J102^2)+'CAFCO 400 '!$D$30*J102+'CAFCO 400 '!$D$31)),0),0),0)),0)</f>
        <v>0</v>
      </c>
      <c r="R102" s="47">
        <f t="shared" si="12"/>
        <v>0</v>
      </c>
      <c r="S102" s="82">
        <f t="shared" si="9"/>
        <v>0</v>
      </c>
      <c r="T102" s="81">
        <f>+IF(AND(J102&gt;=95,J102&lt;=240),IF(AND(C102="Cj",I102=90),VLOOKUP(W102,'CAFCO 300 IDIEM TABLAS'!$B$4:$D$23,2,FALSE),0)+IF(AND(J102&gt;=95,J102&lt;=240),IF(AND(C102="Cj",I102=120),VLOOKUP(W102,'CAFCO 300 IDIEM TABLAS'!$B$4:$D$23,3,FALSE),0))+IF(AND(J102&gt;=95,J102&lt;=400,G102=3),IF(AND(C102="IN",I102=90),VLOOKUP(W102,'CAFCO 300 IDIEM TABLAS'!$F$4:$H$35,2,FALSE),0),0)+IF(AND(J102&gt;=95,J102&lt;=400,G102=3),IF(AND(C102="IN",I102=120),VLOOKUP(W102,'CAFCO 300 IDIEM TABLAS'!$F$4:$H$35,3,FALSE),0),0)+IF(AND(J102&gt;=95,J102&lt;=450,G102=4),IF(AND(C102="IN",I102=90),VLOOKUP(W102,'CAFCO 300 IDIEM TABLAS'!$J$4:$L$40,2,FALSE),0),0)+IF(AND(J102&gt;=95,J102&lt;=450,G102=4),IF(AND(C102="IN",I102=120),VLOOKUP(W102,'CAFCO 300 IDIEM TABLAS'!$J$4:$L$40,3,FALSE),0),0))</f>
        <v>17</v>
      </c>
      <c r="U102" s="48">
        <f t="shared" si="13"/>
        <v>5.8588852374839533</v>
      </c>
      <c r="V102" s="82">
        <f t="shared" si="10"/>
        <v>87965.302955584077</v>
      </c>
      <c r="W102" s="64">
        <f>+IF(J102=LOOKUP(J102,'CAFCO 300 IDIEM TABLAS'!$J$4:$J$40),'HOJA DE CÁLCULO RESPALDO'!J102,MROUND('HOJA DE CÁLCULO RESPALDO'!J102,10))</f>
        <v>95</v>
      </c>
      <c r="X102" s="36"/>
      <c r="Y102" s="4"/>
    </row>
    <row r="103" spans="1:25" x14ac:dyDescent="0.25">
      <c r="A103" s="2" t="s">
        <v>33</v>
      </c>
      <c r="B103" s="3" t="s">
        <v>17</v>
      </c>
      <c r="C103" s="3" t="s">
        <v>19</v>
      </c>
      <c r="D103" s="3">
        <v>1</v>
      </c>
      <c r="E103" s="2">
        <v>1</v>
      </c>
      <c r="F103" s="8">
        <v>17971</v>
      </c>
      <c r="G103" s="1">
        <v>4</v>
      </c>
      <c r="H103" s="2">
        <v>2184</v>
      </c>
      <c r="I103" s="34">
        <v>90</v>
      </c>
      <c r="J103" s="11">
        <v>95</v>
      </c>
      <c r="K103" s="44">
        <f t="shared" si="7"/>
        <v>39.248663999999998</v>
      </c>
      <c r="L103" s="3" t="s">
        <v>61</v>
      </c>
      <c r="M103" s="3" t="s">
        <v>70</v>
      </c>
      <c r="N103" s="15">
        <f>ROUND((IF(L103="Blaze Shield II",IF(M103="Idiem software",IF(AND(C103="IN",G103=4),((('BLAZE SHIELD II'!$D$4*('HOJA DE CÁLCULO RESPALDO'!I103^2)+'BLAZE SHIELD II'!$D$5*'HOJA DE CÁLCULO RESPALDO'!I103+'BLAZE SHIELD II'!$D$6)*LN(J103))+('BLAZE SHIELD II'!$D$7*('HOJA DE CÁLCULO RESPALDO'!I103^2)+'BLAZE SHIELD II'!$D$8*'HOJA DE CÁLCULO RESPALDO'!I103+'BLAZE SHIELD II'!$D$9)),0),0),0))+(IF(L103="Blaze Shield II",IF(M103="Idiem software",IF(C103="Cj",((('BLAZE SHIELD II'!$H$4*('HOJA DE CÁLCULO RESPALDO'!I103^2)+'BLAZE SHIELD II'!$H$5*'HOJA DE CÁLCULO RESPALDO'!I103+'BLAZE SHIELD II'!$H$6)*LN(J103))+('BLAZE SHIELD II'!$H$7*('HOJA DE CÁLCULO RESPALDO'!I103^2)+'BLAZE SHIELD II'!$H$8*'HOJA DE CÁLCULO RESPALDO'!I103+'BLAZE SHIELD II'!$H$9)),0),0),0))+(IF(L103="Blaze Shield II",IF(M103="Idiem software",IF(C103="C",((('BLAZE SHIELD II'!$L$4*('HOJA DE CÁLCULO RESPALDO'!I103^2)+'BLAZE SHIELD II'!$L$5*'HOJA DE CÁLCULO RESPALDO'!I103+'BLAZE SHIELD II'!$L$6)*LN(J103))+('BLAZE SHIELD II'!$L$7*('HOJA DE CÁLCULO RESPALDO'!I103^2)+'BLAZE SHIELD II'!$L$8*'HOJA DE CÁLCULO RESPALDO'!I103+'BLAZE SHIELD II'!$L$9)),0),0),0))+(IF(L103="Blaze Shield II",IF(M103="Idiem software",IF(AND(C103="IN",G103=3),((('BLAZE SHIELD II'!$H$14*('HOJA DE CÁLCULO RESPALDO'!I103^2)+'BLAZE SHIELD II'!$H$15*'HOJA DE CÁLCULO RESPALDO'!I103+'BLAZE SHIELD II'!$H$16)*LN(J103))+('BLAZE SHIELD II'!$H$17*('HOJA DE CÁLCULO RESPALDO'!I103^2)+'BLAZE SHIELD II'!$H$18*'HOJA DE CÁLCULO RESPALDO'!I103+'BLAZE SHIELD II'!$H$19)),0),0),0)),0)</f>
        <v>0</v>
      </c>
      <c r="O103" s="46">
        <f t="shared" si="11"/>
        <v>0</v>
      </c>
      <c r="P103" s="80">
        <f t="shared" si="8"/>
        <v>0</v>
      </c>
      <c r="Q103" s="85">
        <f>ROUND((IF(L103="Cafco 400",IF(M103="Idiem software",IF(AND(C103="IN",G103=4),((('CAFCO 400 '!$H$7*(J103^4)+'CAFCO 400 '!$H$8*(J103^3)+'CAFCO 400 '!$H$9*(J103^2)+'CAFCO 400 '!$H$10*J103+'CAFCO 400 '!$H$11)*I103^2)+(('CAFCO 400 '!$H$12*(J103^3)+'CAFCO 400 '!$H$13*(J103^2)+'CAFCO 400 '!$H$14*J103+'CAFCO 400 '!$H$15)*I103)+('CAFCO 400 '!$H$16*(J103^2)+'CAFCO 400 '!$H$17*J103+'CAFCO 400 '!$H$18)),0),0),0))+(IF(L103="Cafco 400",IF(M103="Idiem software",IF(C103="Cj",(((('CAFCO 400 '!$D$7*LN(J103)+'CAFCO 400 '!$D$8)*I103^2)+(('CAFCO 400 '!$D$9*LN(J103)+'CAFCO 400 '!$D$10)*I103)+('CAFCO 400 '!$D$11*LN(J103)+'CAFCO 400 '!$D$12))),0),0),0))+(IF(L103="Cafco 400",IF(M103="Idiem software",IF(C103="C",((('CAFCO 400 '!$L$7*(J103^3)+'CAFCO 400 '!$L$8*(J103^2)+'CAFCO 400 '!$L$9*J103+'CAFCO 400 '!$L$10)*I103^2)+(('CAFCO 400 '!$L$11*(J103^3)+'CAFCO 400 '!$L$12*(J103^2)+'CAFCO 400 '!$L$13*J103+'CAFCO 400 '!$L$14)*I103)+('CAFCO 400 '!$L$15*LN(J103)+'CAFCO 400 '!$L$16)),0),0),0))+(IF(L103="Cafco 400",IF(M103="Idiem software",IF(AND(C103="IN",G103=3),((('CAFCO 400 '!$D$23*(J103^2)+'CAFCO 400 '!$D$24*(J103)+'CAFCO 400 '!$D$25)*I103^2)+(('CAFCO 400 '!$D$26*(J103^2)+'CAFCO 400 '!$D$27*J103+'CAFCO 400 '!$D$28)*I103)+('CAFCO 400 '!$D$29*(J103^2)+'CAFCO 400 '!$D$30*J103+'CAFCO 400 '!$D$31)),0),0),0)),0)</f>
        <v>0</v>
      </c>
      <c r="R103" s="47">
        <f t="shared" si="12"/>
        <v>0</v>
      </c>
      <c r="S103" s="82">
        <f t="shared" si="9"/>
        <v>0</v>
      </c>
      <c r="T103" s="81">
        <f>+IF(AND(J103&gt;=95,J103&lt;=240),IF(AND(C103="Cj",I103=90),VLOOKUP(W103,'CAFCO 300 IDIEM TABLAS'!$B$4:$D$23,2,FALSE),0)+IF(AND(J103&gt;=95,J103&lt;=240),IF(AND(C103="Cj",I103=120),VLOOKUP(W103,'CAFCO 300 IDIEM TABLAS'!$B$4:$D$23,3,FALSE),0))+IF(AND(J103&gt;=95,J103&lt;=400,G103=3),IF(AND(C103="IN",I103=90),VLOOKUP(W103,'CAFCO 300 IDIEM TABLAS'!$F$4:$H$35,2,FALSE),0),0)+IF(AND(J103&gt;=95,J103&lt;=400,G103=3),IF(AND(C103="IN",I103=120),VLOOKUP(W103,'CAFCO 300 IDIEM TABLAS'!$F$4:$H$35,3,FALSE),0),0)+IF(AND(J103&gt;=95,J103&lt;=450,G103=4),IF(AND(C103="IN",I103=90),VLOOKUP(W103,'CAFCO 300 IDIEM TABLAS'!$J$4:$L$40,2,FALSE),0),0)+IF(AND(J103&gt;=95,J103&lt;=450,G103=4),IF(AND(C103="IN",I103=120),VLOOKUP(W103,'CAFCO 300 IDIEM TABLAS'!$J$4:$L$40,3,FALSE),0),0))</f>
        <v>17</v>
      </c>
      <c r="U103" s="48">
        <f t="shared" si="13"/>
        <v>9.2075652708600764</v>
      </c>
      <c r="V103" s="82">
        <f t="shared" si="10"/>
        <v>138242.3849766932</v>
      </c>
      <c r="W103" s="64">
        <f>+IF(J103=LOOKUP(J103,'CAFCO 300 IDIEM TABLAS'!$J$4:$J$40),'HOJA DE CÁLCULO RESPALDO'!J103,MROUND('HOJA DE CÁLCULO RESPALDO'!J103,10))</f>
        <v>95</v>
      </c>
      <c r="X103" s="36"/>
      <c r="Y103" s="4"/>
    </row>
    <row r="104" spans="1:25" ht="15.6" customHeight="1" x14ac:dyDescent="0.25">
      <c r="A104" s="2" t="s">
        <v>33</v>
      </c>
      <c r="B104" s="3" t="s">
        <v>17</v>
      </c>
      <c r="C104" s="3" t="s">
        <v>19</v>
      </c>
      <c r="D104" s="3">
        <v>1</v>
      </c>
      <c r="E104" s="2">
        <v>1</v>
      </c>
      <c r="F104" s="8">
        <v>7759</v>
      </c>
      <c r="G104" s="1">
        <v>4</v>
      </c>
      <c r="H104" s="2">
        <v>785</v>
      </c>
      <c r="I104" s="34">
        <v>90</v>
      </c>
      <c r="J104" s="11">
        <v>95</v>
      </c>
      <c r="K104" s="44">
        <f t="shared" si="7"/>
        <v>6.0908150000000001</v>
      </c>
      <c r="L104" s="3" t="s">
        <v>61</v>
      </c>
      <c r="M104" s="3" t="s">
        <v>70</v>
      </c>
      <c r="N104" s="15">
        <f>ROUND((IF(L104="Blaze Shield II",IF(M104="Idiem software",IF(AND(C104="IN",G104=4),((('BLAZE SHIELD II'!$D$4*('HOJA DE CÁLCULO RESPALDO'!I104^2)+'BLAZE SHIELD II'!$D$5*'HOJA DE CÁLCULO RESPALDO'!I104+'BLAZE SHIELD II'!$D$6)*LN(J104))+('BLAZE SHIELD II'!$D$7*('HOJA DE CÁLCULO RESPALDO'!I104^2)+'BLAZE SHIELD II'!$D$8*'HOJA DE CÁLCULO RESPALDO'!I104+'BLAZE SHIELD II'!$D$9)),0),0),0))+(IF(L104="Blaze Shield II",IF(M104="Idiem software",IF(C104="Cj",((('BLAZE SHIELD II'!$H$4*('HOJA DE CÁLCULO RESPALDO'!I104^2)+'BLAZE SHIELD II'!$H$5*'HOJA DE CÁLCULO RESPALDO'!I104+'BLAZE SHIELD II'!$H$6)*LN(J104))+('BLAZE SHIELD II'!$H$7*('HOJA DE CÁLCULO RESPALDO'!I104^2)+'BLAZE SHIELD II'!$H$8*'HOJA DE CÁLCULO RESPALDO'!I104+'BLAZE SHIELD II'!$H$9)),0),0),0))+(IF(L104="Blaze Shield II",IF(M104="Idiem software",IF(C104="C",((('BLAZE SHIELD II'!$L$4*('HOJA DE CÁLCULO RESPALDO'!I104^2)+'BLAZE SHIELD II'!$L$5*'HOJA DE CÁLCULO RESPALDO'!I104+'BLAZE SHIELD II'!$L$6)*LN(J104))+('BLAZE SHIELD II'!$L$7*('HOJA DE CÁLCULO RESPALDO'!I104^2)+'BLAZE SHIELD II'!$L$8*'HOJA DE CÁLCULO RESPALDO'!I104+'BLAZE SHIELD II'!$L$9)),0),0),0))+(IF(L104="Blaze Shield II",IF(M104="Idiem software",IF(AND(C104="IN",G104=3),((('BLAZE SHIELD II'!$H$14*('HOJA DE CÁLCULO RESPALDO'!I104^2)+'BLAZE SHIELD II'!$H$15*'HOJA DE CÁLCULO RESPALDO'!I104+'BLAZE SHIELD II'!$H$16)*LN(J104))+('BLAZE SHIELD II'!$H$17*('HOJA DE CÁLCULO RESPALDO'!I104^2)+'BLAZE SHIELD II'!$H$18*'HOJA DE CÁLCULO RESPALDO'!I104+'BLAZE SHIELD II'!$H$19)),0),0),0)),0)</f>
        <v>0</v>
      </c>
      <c r="O104" s="46">
        <f t="shared" si="11"/>
        <v>0</v>
      </c>
      <c r="P104" s="80">
        <f t="shared" si="8"/>
        <v>0</v>
      </c>
      <c r="Q104" s="85">
        <f>ROUND((IF(L104="Cafco 400",IF(M104="Idiem software",IF(AND(C104="IN",G104=4),((('CAFCO 400 '!$H$7*(J104^4)+'CAFCO 400 '!$H$8*(J104^3)+'CAFCO 400 '!$H$9*(J104^2)+'CAFCO 400 '!$H$10*J104+'CAFCO 400 '!$H$11)*I104^2)+(('CAFCO 400 '!$H$12*(J104^3)+'CAFCO 400 '!$H$13*(J104^2)+'CAFCO 400 '!$H$14*J104+'CAFCO 400 '!$H$15)*I104)+('CAFCO 400 '!$H$16*(J104^2)+'CAFCO 400 '!$H$17*J104+'CAFCO 400 '!$H$18)),0),0),0))+(IF(L104="Cafco 400",IF(M104="Idiem software",IF(C104="Cj",(((('CAFCO 400 '!$D$7*LN(J104)+'CAFCO 400 '!$D$8)*I104^2)+(('CAFCO 400 '!$D$9*LN(J104)+'CAFCO 400 '!$D$10)*I104)+('CAFCO 400 '!$D$11*LN(J104)+'CAFCO 400 '!$D$12))),0),0),0))+(IF(L104="Cafco 400",IF(M104="Idiem software",IF(C104="C",((('CAFCO 400 '!$L$7*(J104^3)+'CAFCO 400 '!$L$8*(J104^2)+'CAFCO 400 '!$L$9*J104+'CAFCO 400 '!$L$10)*I104^2)+(('CAFCO 400 '!$L$11*(J104^3)+'CAFCO 400 '!$L$12*(J104^2)+'CAFCO 400 '!$L$13*J104+'CAFCO 400 '!$L$14)*I104)+('CAFCO 400 '!$L$15*LN(J104)+'CAFCO 400 '!$L$16)),0),0),0))+(IF(L104="Cafco 400",IF(M104="Idiem software",IF(AND(C104="IN",G104=3),((('CAFCO 400 '!$D$23*(J104^2)+'CAFCO 400 '!$D$24*(J104)+'CAFCO 400 '!$D$25)*I104^2)+(('CAFCO 400 '!$D$26*(J104^2)+'CAFCO 400 '!$D$27*J104+'CAFCO 400 '!$D$28)*I104)+('CAFCO 400 '!$D$29*(J104^2)+'CAFCO 400 '!$D$30*J104+'CAFCO 400 '!$D$31)),0),0),0)),0)</f>
        <v>0</v>
      </c>
      <c r="R104" s="47">
        <f t="shared" si="12"/>
        <v>0</v>
      </c>
      <c r="S104" s="82">
        <f t="shared" si="9"/>
        <v>0</v>
      </c>
      <c r="T104" s="81">
        <f>+IF(AND(J104&gt;=95,J104&lt;=240),IF(AND(C104="Cj",I104=90),VLOOKUP(W104,'CAFCO 300 IDIEM TABLAS'!$B$4:$D$23,2,FALSE),0)+IF(AND(J104&gt;=95,J104&lt;=240),IF(AND(C104="Cj",I104=120),VLOOKUP(W104,'CAFCO 300 IDIEM TABLAS'!$B$4:$D$23,3,FALSE),0))+IF(AND(J104&gt;=95,J104&lt;=400,G104=3),IF(AND(C104="IN",I104=90),VLOOKUP(W104,'CAFCO 300 IDIEM TABLAS'!$F$4:$H$35,2,FALSE),0),0)+IF(AND(J104&gt;=95,J104&lt;=400,G104=3),IF(AND(C104="IN",I104=120),VLOOKUP(W104,'CAFCO 300 IDIEM TABLAS'!$F$4:$H$35,3,FALSE),0),0)+IF(AND(J104&gt;=95,J104&lt;=450,G104=4),IF(AND(C104="IN",I104=90),VLOOKUP(W104,'CAFCO 300 IDIEM TABLAS'!$J$4:$L$40,2,FALSE),0),0)+IF(AND(J104&gt;=95,J104&lt;=450,G104=4),IF(AND(C104="IN",I104=120),VLOOKUP(W104,'CAFCO 300 IDIEM TABLAS'!$J$4:$L$40,3,FALSE),0),0))</f>
        <v>17</v>
      </c>
      <c r="U104" s="48">
        <f t="shared" si="13"/>
        <v>1.42887861521181</v>
      </c>
      <c r="V104" s="82">
        <f t="shared" si="10"/>
        <v>21453.183528790116</v>
      </c>
      <c r="W104" s="64">
        <f>+IF(J104=LOOKUP(J104,'CAFCO 300 IDIEM TABLAS'!$J$4:$J$40),'HOJA DE CÁLCULO RESPALDO'!J104,MROUND('HOJA DE CÁLCULO RESPALDO'!J104,10))</f>
        <v>95</v>
      </c>
      <c r="X104" s="36"/>
      <c r="Y104" s="4"/>
    </row>
    <row r="105" spans="1:25" x14ac:dyDescent="0.25">
      <c r="A105" s="2" t="s">
        <v>33</v>
      </c>
      <c r="B105" s="3" t="s">
        <v>17</v>
      </c>
      <c r="C105" s="3" t="s">
        <v>19</v>
      </c>
      <c r="D105" s="3">
        <v>1</v>
      </c>
      <c r="E105" s="2">
        <v>1</v>
      </c>
      <c r="F105" s="8">
        <v>7100</v>
      </c>
      <c r="G105" s="1">
        <v>4</v>
      </c>
      <c r="H105" s="2">
        <v>785</v>
      </c>
      <c r="I105" s="34">
        <v>90</v>
      </c>
      <c r="J105" s="11">
        <v>95</v>
      </c>
      <c r="K105" s="44">
        <f t="shared" si="7"/>
        <v>5.5735000000000001</v>
      </c>
      <c r="L105" s="3" t="s">
        <v>61</v>
      </c>
      <c r="M105" s="3" t="s">
        <v>70</v>
      </c>
      <c r="N105" s="15">
        <f>ROUND((IF(L105="Blaze Shield II",IF(M105="Idiem software",IF(AND(C105="IN",G105=4),((('BLAZE SHIELD II'!$D$4*('HOJA DE CÁLCULO RESPALDO'!I105^2)+'BLAZE SHIELD II'!$D$5*'HOJA DE CÁLCULO RESPALDO'!I105+'BLAZE SHIELD II'!$D$6)*LN(J105))+('BLAZE SHIELD II'!$D$7*('HOJA DE CÁLCULO RESPALDO'!I105^2)+'BLAZE SHIELD II'!$D$8*'HOJA DE CÁLCULO RESPALDO'!I105+'BLAZE SHIELD II'!$D$9)),0),0),0))+(IF(L105="Blaze Shield II",IF(M105="Idiem software",IF(C105="Cj",((('BLAZE SHIELD II'!$H$4*('HOJA DE CÁLCULO RESPALDO'!I105^2)+'BLAZE SHIELD II'!$H$5*'HOJA DE CÁLCULO RESPALDO'!I105+'BLAZE SHIELD II'!$H$6)*LN(J105))+('BLAZE SHIELD II'!$H$7*('HOJA DE CÁLCULO RESPALDO'!I105^2)+'BLAZE SHIELD II'!$H$8*'HOJA DE CÁLCULO RESPALDO'!I105+'BLAZE SHIELD II'!$H$9)),0),0),0))+(IF(L105="Blaze Shield II",IF(M105="Idiem software",IF(C105="C",((('BLAZE SHIELD II'!$L$4*('HOJA DE CÁLCULO RESPALDO'!I105^2)+'BLAZE SHIELD II'!$L$5*'HOJA DE CÁLCULO RESPALDO'!I105+'BLAZE SHIELD II'!$L$6)*LN(J105))+('BLAZE SHIELD II'!$L$7*('HOJA DE CÁLCULO RESPALDO'!I105^2)+'BLAZE SHIELD II'!$L$8*'HOJA DE CÁLCULO RESPALDO'!I105+'BLAZE SHIELD II'!$L$9)),0),0),0))+(IF(L105="Blaze Shield II",IF(M105="Idiem software",IF(AND(C105="IN",G105=3),((('BLAZE SHIELD II'!$H$14*('HOJA DE CÁLCULO RESPALDO'!I105^2)+'BLAZE SHIELD II'!$H$15*'HOJA DE CÁLCULO RESPALDO'!I105+'BLAZE SHIELD II'!$H$16)*LN(J105))+('BLAZE SHIELD II'!$H$17*('HOJA DE CÁLCULO RESPALDO'!I105^2)+'BLAZE SHIELD II'!$H$18*'HOJA DE CÁLCULO RESPALDO'!I105+'BLAZE SHIELD II'!$H$19)),0),0),0)),0)</f>
        <v>0</v>
      </c>
      <c r="O105" s="46">
        <f t="shared" si="11"/>
        <v>0</v>
      </c>
      <c r="P105" s="80">
        <f t="shared" si="8"/>
        <v>0</v>
      </c>
      <c r="Q105" s="85">
        <f>ROUND((IF(L105="Cafco 400",IF(M105="Idiem software",IF(AND(C105="IN",G105=4),((('CAFCO 400 '!$H$7*(J105^4)+'CAFCO 400 '!$H$8*(J105^3)+'CAFCO 400 '!$H$9*(J105^2)+'CAFCO 400 '!$H$10*J105+'CAFCO 400 '!$H$11)*I105^2)+(('CAFCO 400 '!$H$12*(J105^3)+'CAFCO 400 '!$H$13*(J105^2)+'CAFCO 400 '!$H$14*J105+'CAFCO 400 '!$H$15)*I105)+('CAFCO 400 '!$H$16*(J105^2)+'CAFCO 400 '!$H$17*J105+'CAFCO 400 '!$H$18)),0),0),0))+(IF(L105="Cafco 400",IF(M105="Idiem software",IF(C105="Cj",(((('CAFCO 400 '!$D$7*LN(J105)+'CAFCO 400 '!$D$8)*I105^2)+(('CAFCO 400 '!$D$9*LN(J105)+'CAFCO 400 '!$D$10)*I105)+('CAFCO 400 '!$D$11*LN(J105)+'CAFCO 400 '!$D$12))),0),0),0))+(IF(L105="Cafco 400",IF(M105="Idiem software",IF(C105="C",((('CAFCO 400 '!$L$7*(J105^3)+'CAFCO 400 '!$L$8*(J105^2)+'CAFCO 400 '!$L$9*J105+'CAFCO 400 '!$L$10)*I105^2)+(('CAFCO 400 '!$L$11*(J105^3)+'CAFCO 400 '!$L$12*(J105^2)+'CAFCO 400 '!$L$13*J105+'CAFCO 400 '!$L$14)*I105)+('CAFCO 400 '!$L$15*LN(J105)+'CAFCO 400 '!$L$16)),0),0),0))+(IF(L105="Cafco 400",IF(M105="Idiem software",IF(AND(C105="IN",G105=3),((('CAFCO 400 '!$D$23*(J105^2)+'CAFCO 400 '!$D$24*(J105)+'CAFCO 400 '!$D$25)*I105^2)+(('CAFCO 400 '!$D$26*(J105^2)+'CAFCO 400 '!$D$27*J105+'CAFCO 400 '!$D$28)*I105)+('CAFCO 400 '!$D$29*(J105^2)+'CAFCO 400 '!$D$30*J105+'CAFCO 400 '!$D$31)),0),0),0)),0)</f>
        <v>0</v>
      </c>
      <c r="R105" s="47">
        <f t="shared" si="12"/>
        <v>0</v>
      </c>
      <c r="S105" s="82">
        <f t="shared" si="9"/>
        <v>0</v>
      </c>
      <c r="T105" s="81">
        <f>+IF(AND(J105&gt;=95,J105&lt;=240),IF(AND(C105="Cj",I105=90),VLOOKUP(W105,'CAFCO 300 IDIEM TABLAS'!$B$4:$D$23,2,FALSE),0)+IF(AND(J105&gt;=95,J105&lt;=240),IF(AND(C105="Cj",I105=120),VLOOKUP(W105,'CAFCO 300 IDIEM TABLAS'!$B$4:$D$23,3,FALSE),0))+IF(AND(J105&gt;=95,J105&lt;=400,G105=3),IF(AND(C105="IN",I105=90),VLOOKUP(W105,'CAFCO 300 IDIEM TABLAS'!$F$4:$H$35,2,FALSE),0),0)+IF(AND(J105&gt;=95,J105&lt;=400,G105=3),IF(AND(C105="IN",I105=120),VLOOKUP(W105,'CAFCO 300 IDIEM TABLAS'!$F$4:$H$35,3,FALSE),0),0)+IF(AND(J105&gt;=95,J105&lt;=450,G105=4),IF(AND(C105="IN",I105=90),VLOOKUP(W105,'CAFCO 300 IDIEM TABLAS'!$J$4:$L$40,2,FALSE),0),0)+IF(AND(J105&gt;=95,J105&lt;=450,G105=4),IF(AND(C105="IN",I105=120),VLOOKUP(W105,'CAFCO 300 IDIEM TABLAS'!$J$4:$L$40,3,FALSE),0),0))</f>
        <v>17</v>
      </c>
      <c r="U105" s="48">
        <f t="shared" si="13"/>
        <v>1.3075187740693195</v>
      </c>
      <c r="V105" s="82">
        <f t="shared" si="10"/>
        <v>19631.086873876764</v>
      </c>
      <c r="W105" s="64">
        <f>+IF(J105=LOOKUP(J105,'CAFCO 300 IDIEM TABLAS'!$J$4:$J$40),'HOJA DE CÁLCULO RESPALDO'!J105,MROUND('HOJA DE CÁLCULO RESPALDO'!J105,10))</f>
        <v>95</v>
      </c>
      <c r="X105" s="36"/>
      <c r="Y105" s="4"/>
    </row>
    <row r="106" spans="1:25" ht="15.6" customHeight="1" x14ac:dyDescent="0.25">
      <c r="A106" s="2" t="s">
        <v>33</v>
      </c>
      <c r="B106" s="3" t="s">
        <v>17</v>
      </c>
      <c r="C106" s="3" t="s">
        <v>19</v>
      </c>
      <c r="D106" s="3">
        <v>1</v>
      </c>
      <c r="E106" s="2">
        <v>1</v>
      </c>
      <c r="F106" s="8">
        <v>19050</v>
      </c>
      <c r="G106" s="1">
        <v>4</v>
      </c>
      <c r="H106" s="2">
        <v>1185</v>
      </c>
      <c r="I106" s="34">
        <v>90</v>
      </c>
      <c r="J106" s="11">
        <v>95</v>
      </c>
      <c r="K106" s="44">
        <f t="shared" si="7"/>
        <v>22.574249999999999</v>
      </c>
      <c r="L106" s="3" t="s">
        <v>61</v>
      </c>
      <c r="M106" s="3" t="s">
        <v>70</v>
      </c>
      <c r="N106" s="15">
        <f>ROUND((IF(L106="Blaze Shield II",IF(M106="Idiem software",IF(AND(C106="IN",G106=4),((('BLAZE SHIELD II'!$D$4*('HOJA DE CÁLCULO RESPALDO'!I106^2)+'BLAZE SHIELD II'!$D$5*'HOJA DE CÁLCULO RESPALDO'!I106+'BLAZE SHIELD II'!$D$6)*LN(J106))+('BLAZE SHIELD II'!$D$7*('HOJA DE CÁLCULO RESPALDO'!I106^2)+'BLAZE SHIELD II'!$D$8*'HOJA DE CÁLCULO RESPALDO'!I106+'BLAZE SHIELD II'!$D$9)),0),0),0))+(IF(L106="Blaze Shield II",IF(M106="Idiem software",IF(C106="Cj",((('BLAZE SHIELD II'!$H$4*('HOJA DE CÁLCULO RESPALDO'!I106^2)+'BLAZE SHIELD II'!$H$5*'HOJA DE CÁLCULO RESPALDO'!I106+'BLAZE SHIELD II'!$H$6)*LN(J106))+('BLAZE SHIELD II'!$H$7*('HOJA DE CÁLCULO RESPALDO'!I106^2)+'BLAZE SHIELD II'!$H$8*'HOJA DE CÁLCULO RESPALDO'!I106+'BLAZE SHIELD II'!$H$9)),0),0),0))+(IF(L106="Blaze Shield II",IF(M106="Idiem software",IF(C106="C",((('BLAZE SHIELD II'!$L$4*('HOJA DE CÁLCULO RESPALDO'!I106^2)+'BLAZE SHIELD II'!$L$5*'HOJA DE CÁLCULO RESPALDO'!I106+'BLAZE SHIELD II'!$L$6)*LN(J106))+('BLAZE SHIELD II'!$L$7*('HOJA DE CÁLCULO RESPALDO'!I106^2)+'BLAZE SHIELD II'!$L$8*'HOJA DE CÁLCULO RESPALDO'!I106+'BLAZE SHIELD II'!$L$9)),0),0),0))+(IF(L106="Blaze Shield II",IF(M106="Idiem software",IF(AND(C106="IN",G106=3),((('BLAZE SHIELD II'!$H$14*('HOJA DE CÁLCULO RESPALDO'!I106^2)+'BLAZE SHIELD II'!$H$15*'HOJA DE CÁLCULO RESPALDO'!I106+'BLAZE SHIELD II'!$H$16)*LN(J106))+('BLAZE SHIELD II'!$H$17*('HOJA DE CÁLCULO RESPALDO'!I106^2)+'BLAZE SHIELD II'!$H$18*'HOJA DE CÁLCULO RESPALDO'!I106+'BLAZE SHIELD II'!$H$19)),0),0),0)),0)</f>
        <v>0</v>
      </c>
      <c r="O106" s="46">
        <f t="shared" si="11"/>
        <v>0</v>
      </c>
      <c r="P106" s="80">
        <f t="shared" si="8"/>
        <v>0</v>
      </c>
      <c r="Q106" s="85">
        <f>ROUND((IF(L106="Cafco 400",IF(M106="Idiem software",IF(AND(C106="IN",G106=4),((('CAFCO 400 '!$H$7*(J106^4)+'CAFCO 400 '!$H$8*(J106^3)+'CAFCO 400 '!$H$9*(J106^2)+'CAFCO 400 '!$H$10*J106+'CAFCO 400 '!$H$11)*I106^2)+(('CAFCO 400 '!$H$12*(J106^3)+'CAFCO 400 '!$H$13*(J106^2)+'CAFCO 400 '!$H$14*J106+'CAFCO 400 '!$H$15)*I106)+('CAFCO 400 '!$H$16*(J106^2)+'CAFCO 400 '!$H$17*J106+'CAFCO 400 '!$H$18)),0),0),0))+(IF(L106="Cafco 400",IF(M106="Idiem software",IF(C106="Cj",(((('CAFCO 400 '!$D$7*LN(J106)+'CAFCO 400 '!$D$8)*I106^2)+(('CAFCO 400 '!$D$9*LN(J106)+'CAFCO 400 '!$D$10)*I106)+('CAFCO 400 '!$D$11*LN(J106)+'CAFCO 400 '!$D$12))),0),0),0))+(IF(L106="Cafco 400",IF(M106="Idiem software",IF(C106="C",((('CAFCO 400 '!$L$7*(J106^3)+'CAFCO 400 '!$L$8*(J106^2)+'CAFCO 400 '!$L$9*J106+'CAFCO 400 '!$L$10)*I106^2)+(('CAFCO 400 '!$L$11*(J106^3)+'CAFCO 400 '!$L$12*(J106^2)+'CAFCO 400 '!$L$13*J106+'CAFCO 400 '!$L$14)*I106)+('CAFCO 400 '!$L$15*LN(J106)+'CAFCO 400 '!$L$16)),0),0),0))+(IF(L106="Cafco 400",IF(M106="Idiem software",IF(AND(C106="IN",G106=3),((('CAFCO 400 '!$D$23*(J106^2)+'CAFCO 400 '!$D$24*(J106)+'CAFCO 400 '!$D$25)*I106^2)+(('CAFCO 400 '!$D$26*(J106^2)+'CAFCO 400 '!$D$27*J106+'CAFCO 400 '!$D$28)*I106)+('CAFCO 400 '!$D$29*(J106^2)+'CAFCO 400 '!$D$30*J106+'CAFCO 400 '!$D$31)),0),0),0)),0)</f>
        <v>0</v>
      </c>
      <c r="R106" s="47">
        <f t="shared" si="12"/>
        <v>0</v>
      </c>
      <c r="S106" s="82">
        <f t="shared" si="9"/>
        <v>0</v>
      </c>
      <c r="T106" s="81">
        <f>+IF(AND(J106&gt;=95,J106&lt;=240),IF(AND(C106="Cj",I106=90),VLOOKUP(W106,'CAFCO 300 IDIEM TABLAS'!$B$4:$D$23,2,FALSE),0)+IF(AND(J106&gt;=95,J106&lt;=240),IF(AND(C106="Cj",I106=120),VLOOKUP(W106,'CAFCO 300 IDIEM TABLAS'!$B$4:$D$23,3,FALSE),0))+IF(AND(J106&gt;=95,J106&lt;=400,G106=3),IF(AND(C106="IN",I106=90),VLOOKUP(W106,'CAFCO 300 IDIEM TABLAS'!$F$4:$H$35,2,FALSE),0),0)+IF(AND(J106&gt;=95,J106&lt;=400,G106=3),IF(AND(C106="IN",I106=120),VLOOKUP(W106,'CAFCO 300 IDIEM TABLAS'!$F$4:$H$35,3,FALSE),0),0)+IF(AND(J106&gt;=95,J106&lt;=450,G106=4),IF(AND(C106="IN",I106=90),VLOOKUP(W106,'CAFCO 300 IDIEM TABLAS'!$J$4:$L$40,2,FALSE),0),0)+IF(AND(J106&gt;=95,J106&lt;=450,G106=4),IF(AND(C106="IN",I106=120),VLOOKUP(W106,'CAFCO 300 IDIEM TABLAS'!$J$4:$L$40,3,FALSE),0),0))</f>
        <v>17</v>
      </c>
      <c r="U106" s="48">
        <f t="shared" si="13"/>
        <v>5.2958205231065465</v>
      </c>
      <c r="V106" s="82">
        <f t="shared" si="10"/>
        <v>79511.449333921686</v>
      </c>
      <c r="W106" s="64">
        <f>+IF(J106=LOOKUP(J106,'CAFCO 300 IDIEM TABLAS'!$J$4:$J$40),'HOJA DE CÁLCULO RESPALDO'!J106,MROUND('HOJA DE CÁLCULO RESPALDO'!J106,10))</f>
        <v>95</v>
      </c>
      <c r="X106" s="36"/>
      <c r="Y106" s="4"/>
    </row>
    <row r="107" spans="1:25" x14ac:dyDescent="0.25">
      <c r="A107" s="2" t="s">
        <v>33</v>
      </c>
      <c r="B107" s="3" t="s">
        <v>17</v>
      </c>
      <c r="C107" s="3" t="s">
        <v>19</v>
      </c>
      <c r="D107" s="3">
        <v>1</v>
      </c>
      <c r="E107" s="2">
        <v>1</v>
      </c>
      <c r="F107" s="8">
        <v>4255</v>
      </c>
      <c r="G107" s="1">
        <v>4</v>
      </c>
      <c r="H107" s="2">
        <v>1185</v>
      </c>
      <c r="I107" s="34">
        <v>90</v>
      </c>
      <c r="J107" s="11">
        <v>95</v>
      </c>
      <c r="K107" s="44">
        <f t="shared" si="7"/>
        <v>5.0421750000000003</v>
      </c>
      <c r="L107" s="3" t="s">
        <v>61</v>
      </c>
      <c r="M107" s="3" t="s">
        <v>70</v>
      </c>
      <c r="N107" s="15">
        <f>ROUND((IF(L107="Blaze Shield II",IF(M107="Idiem software",IF(AND(C107="IN",G107=4),((('BLAZE SHIELD II'!$D$4*('HOJA DE CÁLCULO RESPALDO'!I107^2)+'BLAZE SHIELD II'!$D$5*'HOJA DE CÁLCULO RESPALDO'!I107+'BLAZE SHIELD II'!$D$6)*LN(J107))+('BLAZE SHIELD II'!$D$7*('HOJA DE CÁLCULO RESPALDO'!I107^2)+'BLAZE SHIELD II'!$D$8*'HOJA DE CÁLCULO RESPALDO'!I107+'BLAZE SHIELD II'!$D$9)),0),0),0))+(IF(L107="Blaze Shield II",IF(M107="Idiem software",IF(C107="Cj",((('BLAZE SHIELD II'!$H$4*('HOJA DE CÁLCULO RESPALDO'!I107^2)+'BLAZE SHIELD II'!$H$5*'HOJA DE CÁLCULO RESPALDO'!I107+'BLAZE SHIELD II'!$H$6)*LN(J107))+('BLAZE SHIELD II'!$H$7*('HOJA DE CÁLCULO RESPALDO'!I107^2)+'BLAZE SHIELD II'!$H$8*'HOJA DE CÁLCULO RESPALDO'!I107+'BLAZE SHIELD II'!$H$9)),0),0),0))+(IF(L107="Blaze Shield II",IF(M107="Idiem software",IF(C107="C",((('BLAZE SHIELD II'!$L$4*('HOJA DE CÁLCULO RESPALDO'!I107^2)+'BLAZE SHIELD II'!$L$5*'HOJA DE CÁLCULO RESPALDO'!I107+'BLAZE SHIELD II'!$L$6)*LN(J107))+('BLAZE SHIELD II'!$L$7*('HOJA DE CÁLCULO RESPALDO'!I107^2)+'BLAZE SHIELD II'!$L$8*'HOJA DE CÁLCULO RESPALDO'!I107+'BLAZE SHIELD II'!$L$9)),0),0),0))+(IF(L107="Blaze Shield II",IF(M107="Idiem software",IF(AND(C107="IN",G107=3),((('BLAZE SHIELD II'!$H$14*('HOJA DE CÁLCULO RESPALDO'!I107^2)+'BLAZE SHIELD II'!$H$15*'HOJA DE CÁLCULO RESPALDO'!I107+'BLAZE SHIELD II'!$H$16)*LN(J107))+('BLAZE SHIELD II'!$H$17*('HOJA DE CÁLCULO RESPALDO'!I107^2)+'BLAZE SHIELD II'!$H$18*'HOJA DE CÁLCULO RESPALDO'!I107+'BLAZE SHIELD II'!$H$19)),0),0),0)),0)</f>
        <v>0</v>
      </c>
      <c r="O107" s="46">
        <f t="shared" si="11"/>
        <v>0</v>
      </c>
      <c r="P107" s="80">
        <f t="shared" si="8"/>
        <v>0</v>
      </c>
      <c r="Q107" s="85">
        <f>ROUND((IF(L107="Cafco 400",IF(M107="Idiem software",IF(AND(C107="IN",G107=4),((('CAFCO 400 '!$H$7*(J107^4)+'CAFCO 400 '!$H$8*(J107^3)+'CAFCO 400 '!$H$9*(J107^2)+'CAFCO 400 '!$H$10*J107+'CAFCO 400 '!$H$11)*I107^2)+(('CAFCO 400 '!$H$12*(J107^3)+'CAFCO 400 '!$H$13*(J107^2)+'CAFCO 400 '!$H$14*J107+'CAFCO 400 '!$H$15)*I107)+('CAFCO 400 '!$H$16*(J107^2)+'CAFCO 400 '!$H$17*J107+'CAFCO 400 '!$H$18)),0),0),0))+(IF(L107="Cafco 400",IF(M107="Idiem software",IF(C107="Cj",(((('CAFCO 400 '!$D$7*LN(J107)+'CAFCO 400 '!$D$8)*I107^2)+(('CAFCO 400 '!$D$9*LN(J107)+'CAFCO 400 '!$D$10)*I107)+('CAFCO 400 '!$D$11*LN(J107)+'CAFCO 400 '!$D$12))),0),0),0))+(IF(L107="Cafco 400",IF(M107="Idiem software",IF(C107="C",((('CAFCO 400 '!$L$7*(J107^3)+'CAFCO 400 '!$L$8*(J107^2)+'CAFCO 400 '!$L$9*J107+'CAFCO 400 '!$L$10)*I107^2)+(('CAFCO 400 '!$L$11*(J107^3)+'CAFCO 400 '!$L$12*(J107^2)+'CAFCO 400 '!$L$13*J107+'CAFCO 400 '!$L$14)*I107)+('CAFCO 400 '!$L$15*LN(J107)+'CAFCO 400 '!$L$16)),0),0),0))+(IF(L107="Cafco 400",IF(M107="Idiem software",IF(AND(C107="IN",G107=3),((('CAFCO 400 '!$D$23*(J107^2)+'CAFCO 400 '!$D$24*(J107)+'CAFCO 400 '!$D$25)*I107^2)+(('CAFCO 400 '!$D$26*(J107^2)+'CAFCO 400 '!$D$27*J107+'CAFCO 400 '!$D$28)*I107)+('CAFCO 400 '!$D$29*(J107^2)+'CAFCO 400 '!$D$30*J107+'CAFCO 400 '!$D$31)),0),0),0)),0)</f>
        <v>0</v>
      </c>
      <c r="R107" s="47">
        <f t="shared" si="12"/>
        <v>0</v>
      </c>
      <c r="S107" s="82">
        <f t="shared" si="9"/>
        <v>0</v>
      </c>
      <c r="T107" s="81">
        <f>+IF(AND(J107&gt;=95,J107&lt;=240),IF(AND(C107="Cj",I107=90),VLOOKUP(W107,'CAFCO 300 IDIEM TABLAS'!$B$4:$D$23,2,FALSE),0)+IF(AND(J107&gt;=95,J107&lt;=240),IF(AND(C107="Cj",I107=120),VLOOKUP(W107,'CAFCO 300 IDIEM TABLAS'!$B$4:$D$23,3,FALSE),0))+IF(AND(J107&gt;=95,J107&lt;=400,G107=3),IF(AND(C107="IN",I107=90),VLOOKUP(W107,'CAFCO 300 IDIEM TABLAS'!$F$4:$H$35,2,FALSE),0),0)+IF(AND(J107&gt;=95,J107&lt;=400,G107=3),IF(AND(C107="IN",I107=120),VLOOKUP(W107,'CAFCO 300 IDIEM TABLAS'!$F$4:$H$35,3,FALSE),0),0)+IF(AND(J107&gt;=95,J107&lt;=450,G107=4),IF(AND(C107="IN",I107=90),VLOOKUP(W107,'CAFCO 300 IDIEM TABLAS'!$J$4:$L$40,2,FALSE),0),0)+IF(AND(J107&gt;=95,J107&lt;=450,G107=4),IF(AND(C107="IN",I107=120),VLOOKUP(W107,'CAFCO 300 IDIEM TABLAS'!$J$4:$L$40,3,FALSE),0),0))</f>
        <v>17</v>
      </c>
      <c r="U107" s="48">
        <f t="shared" si="13"/>
        <v>1.1828722480744545</v>
      </c>
      <c r="V107" s="82">
        <f t="shared" si="10"/>
        <v>17759.643932589861</v>
      </c>
      <c r="W107" s="64">
        <f>+IF(J107=LOOKUP(J107,'CAFCO 300 IDIEM TABLAS'!$J$4:$J$40),'HOJA DE CÁLCULO RESPALDO'!J107,MROUND('HOJA DE CÁLCULO RESPALDO'!J107,10))</f>
        <v>95</v>
      </c>
      <c r="X107" s="36"/>
      <c r="Y107" s="4"/>
    </row>
    <row r="108" spans="1:25" ht="15.6" customHeight="1" x14ac:dyDescent="0.25">
      <c r="A108" s="2" t="s">
        <v>33</v>
      </c>
      <c r="B108" s="3" t="s">
        <v>17</v>
      </c>
      <c r="C108" s="3" t="s">
        <v>19</v>
      </c>
      <c r="D108" s="3">
        <v>1</v>
      </c>
      <c r="E108" s="2">
        <v>1</v>
      </c>
      <c r="F108" s="8">
        <v>89250</v>
      </c>
      <c r="G108" s="1">
        <v>4</v>
      </c>
      <c r="H108" s="2">
        <v>1190</v>
      </c>
      <c r="I108" s="34">
        <v>90</v>
      </c>
      <c r="J108" s="11">
        <v>95</v>
      </c>
      <c r="K108" s="44">
        <f t="shared" si="7"/>
        <v>106.2075</v>
      </c>
      <c r="L108" s="3" t="s">
        <v>61</v>
      </c>
      <c r="M108" s="3" t="s">
        <v>70</v>
      </c>
      <c r="N108" s="15">
        <f>ROUND((IF(L108="Blaze Shield II",IF(M108="Idiem software",IF(AND(C108="IN",G108=4),((('BLAZE SHIELD II'!$D$4*('HOJA DE CÁLCULO RESPALDO'!I108^2)+'BLAZE SHIELD II'!$D$5*'HOJA DE CÁLCULO RESPALDO'!I108+'BLAZE SHIELD II'!$D$6)*LN(J108))+('BLAZE SHIELD II'!$D$7*('HOJA DE CÁLCULO RESPALDO'!I108^2)+'BLAZE SHIELD II'!$D$8*'HOJA DE CÁLCULO RESPALDO'!I108+'BLAZE SHIELD II'!$D$9)),0),0),0))+(IF(L108="Blaze Shield II",IF(M108="Idiem software",IF(C108="Cj",((('BLAZE SHIELD II'!$H$4*('HOJA DE CÁLCULO RESPALDO'!I108^2)+'BLAZE SHIELD II'!$H$5*'HOJA DE CÁLCULO RESPALDO'!I108+'BLAZE SHIELD II'!$H$6)*LN(J108))+('BLAZE SHIELD II'!$H$7*('HOJA DE CÁLCULO RESPALDO'!I108^2)+'BLAZE SHIELD II'!$H$8*'HOJA DE CÁLCULO RESPALDO'!I108+'BLAZE SHIELD II'!$H$9)),0),0),0))+(IF(L108="Blaze Shield II",IF(M108="Idiem software",IF(C108="C",((('BLAZE SHIELD II'!$L$4*('HOJA DE CÁLCULO RESPALDO'!I108^2)+'BLAZE SHIELD II'!$L$5*'HOJA DE CÁLCULO RESPALDO'!I108+'BLAZE SHIELD II'!$L$6)*LN(J108))+('BLAZE SHIELD II'!$L$7*('HOJA DE CÁLCULO RESPALDO'!I108^2)+'BLAZE SHIELD II'!$L$8*'HOJA DE CÁLCULO RESPALDO'!I108+'BLAZE SHIELD II'!$L$9)),0),0),0))+(IF(L108="Blaze Shield II",IF(M108="Idiem software",IF(AND(C108="IN",G108=3),((('BLAZE SHIELD II'!$H$14*('HOJA DE CÁLCULO RESPALDO'!I108^2)+'BLAZE SHIELD II'!$H$15*'HOJA DE CÁLCULO RESPALDO'!I108+'BLAZE SHIELD II'!$H$16)*LN(J108))+('BLAZE SHIELD II'!$H$17*('HOJA DE CÁLCULO RESPALDO'!I108^2)+'BLAZE SHIELD II'!$H$18*'HOJA DE CÁLCULO RESPALDO'!I108+'BLAZE SHIELD II'!$H$19)),0),0),0)),0)</f>
        <v>0</v>
      </c>
      <c r="O108" s="46">
        <f t="shared" si="11"/>
        <v>0</v>
      </c>
      <c r="P108" s="80">
        <f t="shared" si="8"/>
        <v>0</v>
      </c>
      <c r="Q108" s="85">
        <f>ROUND((IF(L108="Cafco 400",IF(M108="Idiem software",IF(AND(C108="IN",G108=4),((('CAFCO 400 '!$H$7*(J108^4)+'CAFCO 400 '!$H$8*(J108^3)+'CAFCO 400 '!$H$9*(J108^2)+'CAFCO 400 '!$H$10*J108+'CAFCO 400 '!$H$11)*I108^2)+(('CAFCO 400 '!$H$12*(J108^3)+'CAFCO 400 '!$H$13*(J108^2)+'CAFCO 400 '!$H$14*J108+'CAFCO 400 '!$H$15)*I108)+('CAFCO 400 '!$H$16*(J108^2)+'CAFCO 400 '!$H$17*J108+'CAFCO 400 '!$H$18)),0),0),0))+(IF(L108="Cafco 400",IF(M108="Idiem software",IF(C108="Cj",(((('CAFCO 400 '!$D$7*LN(J108)+'CAFCO 400 '!$D$8)*I108^2)+(('CAFCO 400 '!$D$9*LN(J108)+'CAFCO 400 '!$D$10)*I108)+('CAFCO 400 '!$D$11*LN(J108)+'CAFCO 400 '!$D$12))),0),0),0))+(IF(L108="Cafco 400",IF(M108="Idiem software",IF(C108="C",((('CAFCO 400 '!$L$7*(J108^3)+'CAFCO 400 '!$L$8*(J108^2)+'CAFCO 400 '!$L$9*J108+'CAFCO 400 '!$L$10)*I108^2)+(('CAFCO 400 '!$L$11*(J108^3)+'CAFCO 400 '!$L$12*(J108^2)+'CAFCO 400 '!$L$13*J108+'CAFCO 400 '!$L$14)*I108)+('CAFCO 400 '!$L$15*LN(J108)+'CAFCO 400 '!$L$16)),0),0),0))+(IF(L108="Cafco 400",IF(M108="Idiem software",IF(AND(C108="IN",G108=3),((('CAFCO 400 '!$D$23*(J108^2)+'CAFCO 400 '!$D$24*(J108)+'CAFCO 400 '!$D$25)*I108^2)+(('CAFCO 400 '!$D$26*(J108^2)+'CAFCO 400 '!$D$27*J108+'CAFCO 400 '!$D$28)*I108)+('CAFCO 400 '!$D$29*(J108^2)+'CAFCO 400 '!$D$30*J108+'CAFCO 400 '!$D$31)),0),0),0)),0)</f>
        <v>0</v>
      </c>
      <c r="R108" s="47">
        <f t="shared" si="12"/>
        <v>0</v>
      </c>
      <c r="S108" s="82">
        <f t="shared" si="9"/>
        <v>0</v>
      </c>
      <c r="T108" s="81">
        <f>+IF(AND(J108&gt;=95,J108&lt;=240),IF(AND(C108="Cj",I108=90),VLOOKUP(W108,'CAFCO 300 IDIEM TABLAS'!$B$4:$D$23,2,FALSE),0)+IF(AND(J108&gt;=95,J108&lt;=240),IF(AND(C108="Cj",I108=120),VLOOKUP(W108,'CAFCO 300 IDIEM TABLAS'!$B$4:$D$23,3,FALSE),0))+IF(AND(J108&gt;=95,J108&lt;=400,G108=3),IF(AND(C108="IN",I108=90),VLOOKUP(W108,'CAFCO 300 IDIEM TABLAS'!$F$4:$H$35,2,FALSE),0),0)+IF(AND(J108&gt;=95,J108&lt;=400,G108=3),IF(AND(C108="IN",I108=120),VLOOKUP(W108,'CAFCO 300 IDIEM TABLAS'!$F$4:$H$35,3,FALSE),0),0)+IF(AND(J108&gt;=95,J108&lt;=450,G108=4),IF(AND(C108="IN",I108=90),VLOOKUP(W108,'CAFCO 300 IDIEM TABLAS'!$J$4:$L$40,2,FALSE),0),0)+IF(AND(J108&gt;=95,J108&lt;=450,G108=4),IF(AND(C108="IN",I108=120),VLOOKUP(W108,'CAFCO 300 IDIEM TABLAS'!$J$4:$L$40,3,FALSE),0),0))</f>
        <v>17</v>
      </c>
      <c r="U108" s="48">
        <f t="shared" si="13"/>
        <v>24.915815949935812</v>
      </c>
      <c r="V108" s="82">
        <f t="shared" si="10"/>
        <v>374086.06067233626</v>
      </c>
      <c r="W108" s="64">
        <f>+IF(J108=LOOKUP(J108,'CAFCO 300 IDIEM TABLAS'!$J$4:$J$40),'HOJA DE CÁLCULO RESPALDO'!J108,MROUND('HOJA DE CÁLCULO RESPALDO'!J108,10))</f>
        <v>95</v>
      </c>
      <c r="X108" s="36"/>
      <c r="Y108" s="4"/>
    </row>
    <row r="109" spans="1:25" x14ac:dyDescent="0.25">
      <c r="A109" s="2" t="s">
        <v>39</v>
      </c>
      <c r="B109" s="3" t="s">
        <v>17</v>
      </c>
      <c r="C109" s="3" t="s">
        <v>19</v>
      </c>
      <c r="D109" s="3">
        <v>1</v>
      </c>
      <c r="E109" s="2">
        <v>1</v>
      </c>
      <c r="F109" s="8">
        <v>13000</v>
      </c>
      <c r="G109" s="1">
        <v>4</v>
      </c>
      <c r="H109" s="2">
        <v>1181</v>
      </c>
      <c r="I109" s="34">
        <v>90</v>
      </c>
      <c r="J109" s="11">
        <v>95</v>
      </c>
      <c r="K109" s="44">
        <f t="shared" si="7"/>
        <v>15.353</v>
      </c>
      <c r="L109" s="3" t="s">
        <v>61</v>
      </c>
      <c r="M109" s="3" t="s">
        <v>70</v>
      </c>
      <c r="N109" s="15">
        <f>ROUND((IF(L109="Blaze Shield II",IF(M109="Idiem software",IF(AND(C109="IN",G109=4),((('BLAZE SHIELD II'!$D$4*('HOJA DE CÁLCULO RESPALDO'!I109^2)+'BLAZE SHIELD II'!$D$5*'HOJA DE CÁLCULO RESPALDO'!I109+'BLAZE SHIELD II'!$D$6)*LN(J109))+('BLAZE SHIELD II'!$D$7*('HOJA DE CÁLCULO RESPALDO'!I109^2)+'BLAZE SHIELD II'!$D$8*'HOJA DE CÁLCULO RESPALDO'!I109+'BLAZE SHIELD II'!$D$9)),0),0),0))+(IF(L109="Blaze Shield II",IF(M109="Idiem software",IF(C109="Cj",((('BLAZE SHIELD II'!$H$4*('HOJA DE CÁLCULO RESPALDO'!I109^2)+'BLAZE SHIELD II'!$H$5*'HOJA DE CÁLCULO RESPALDO'!I109+'BLAZE SHIELD II'!$H$6)*LN(J109))+('BLAZE SHIELD II'!$H$7*('HOJA DE CÁLCULO RESPALDO'!I109^2)+'BLAZE SHIELD II'!$H$8*'HOJA DE CÁLCULO RESPALDO'!I109+'BLAZE SHIELD II'!$H$9)),0),0),0))+(IF(L109="Blaze Shield II",IF(M109="Idiem software",IF(C109="C",((('BLAZE SHIELD II'!$L$4*('HOJA DE CÁLCULO RESPALDO'!I109^2)+'BLAZE SHIELD II'!$L$5*'HOJA DE CÁLCULO RESPALDO'!I109+'BLAZE SHIELD II'!$L$6)*LN(J109))+('BLAZE SHIELD II'!$L$7*('HOJA DE CÁLCULO RESPALDO'!I109^2)+'BLAZE SHIELD II'!$L$8*'HOJA DE CÁLCULO RESPALDO'!I109+'BLAZE SHIELD II'!$L$9)),0),0),0))+(IF(L109="Blaze Shield II",IF(M109="Idiem software",IF(AND(C109="IN",G109=3),((('BLAZE SHIELD II'!$H$14*('HOJA DE CÁLCULO RESPALDO'!I109^2)+'BLAZE SHIELD II'!$H$15*'HOJA DE CÁLCULO RESPALDO'!I109+'BLAZE SHIELD II'!$H$16)*LN(J109))+('BLAZE SHIELD II'!$H$17*('HOJA DE CÁLCULO RESPALDO'!I109^2)+'BLAZE SHIELD II'!$H$18*'HOJA DE CÁLCULO RESPALDO'!I109+'BLAZE SHIELD II'!$H$19)),0),0),0)),0)</f>
        <v>0</v>
      </c>
      <c r="O109" s="46">
        <f t="shared" si="11"/>
        <v>0</v>
      </c>
      <c r="P109" s="80">
        <f t="shared" si="8"/>
        <v>0</v>
      </c>
      <c r="Q109" s="85">
        <f>ROUND((IF(L109="Cafco 400",IF(M109="Idiem software",IF(AND(C109="IN",G109=4),((('CAFCO 400 '!$H$7*(J109^4)+'CAFCO 400 '!$H$8*(J109^3)+'CAFCO 400 '!$H$9*(J109^2)+'CAFCO 400 '!$H$10*J109+'CAFCO 400 '!$H$11)*I109^2)+(('CAFCO 400 '!$H$12*(J109^3)+'CAFCO 400 '!$H$13*(J109^2)+'CAFCO 400 '!$H$14*J109+'CAFCO 400 '!$H$15)*I109)+('CAFCO 400 '!$H$16*(J109^2)+'CAFCO 400 '!$H$17*J109+'CAFCO 400 '!$H$18)),0),0),0))+(IF(L109="Cafco 400",IF(M109="Idiem software",IF(C109="Cj",(((('CAFCO 400 '!$D$7*LN(J109)+'CAFCO 400 '!$D$8)*I109^2)+(('CAFCO 400 '!$D$9*LN(J109)+'CAFCO 400 '!$D$10)*I109)+('CAFCO 400 '!$D$11*LN(J109)+'CAFCO 400 '!$D$12))),0),0),0))+(IF(L109="Cafco 400",IF(M109="Idiem software",IF(C109="C",((('CAFCO 400 '!$L$7*(J109^3)+'CAFCO 400 '!$L$8*(J109^2)+'CAFCO 400 '!$L$9*J109+'CAFCO 400 '!$L$10)*I109^2)+(('CAFCO 400 '!$L$11*(J109^3)+'CAFCO 400 '!$L$12*(J109^2)+'CAFCO 400 '!$L$13*J109+'CAFCO 400 '!$L$14)*I109)+('CAFCO 400 '!$L$15*LN(J109)+'CAFCO 400 '!$L$16)),0),0),0))+(IF(L109="Cafco 400",IF(M109="Idiem software",IF(AND(C109="IN",G109=3),((('CAFCO 400 '!$D$23*(J109^2)+'CAFCO 400 '!$D$24*(J109)+'CAFCO 400 '!$D$25)*I109^2)+(('CAFCO 400 '!$D$26*(J109^2)+'CAFCO 400 '!$D$27*J109+'CAFCO 400 '!$D$28)*I109)+('CAFCO 400 '!$D$29*(J109^2)+'CAFCO 400 '!$D$30*J109+'CAFCO 400 '!$D$31)),0),0),0)),0)</f>
        <v>0</v>
      </c>
      <c r="R109" s="47">
        <f t="shared" si="12"/>
        <v>0</v>
      </c>
      <c r="S109" s="82">
        <f t="shared" si="9"/>
        <v>0</v>
      </c>
      <c r="T109" s="81">
        <f>+IF(AND(J109&gt;=95,J109&lt;=240),IF(AND(C109="Cj",I109=90),VLOOKUP(W109,'CAFCO 300 IDIEM TABLAS'!$B$4:$D$23,2,FALSE),0)+IF(AND(J109&gt;=95,J109&lt;=240),IF(AND(C109="Cj",I109=120),VLOOKUP(W109,'CAFCO 300 IDIEM TABLAS'!$B$4:$D$23,3,FALSE),0))+IF(AND(J109&gt;=95,J109&lt;=400,G109=3),IF(AND(C109="IN",I109=90),VLOOKUP(W109,'CAFCO 300 IDIEM TABLAS'!$F$4:$H$35,2,FALSE),0),0)+IF(AND(J109&gt;=95,J109&lt;=400,G109=3),IF(AND(C109="IN",I109=120),VLOOKUP(W109,'CAFCO 300 IDIEM TABLAS'!$F$4:$H$35,3,FALSE),0),0)+IF(AND(J109&gt;=95,J109&lt;=450,G109=4),IF(AND(C109="IN",I109=90),VLOOKUP(W109,'CAFCO 300 IDIEM TABLAS'!$J$4:$L$40,2,FALSE),0),0)+IF(AND(J109&gt;=95,J109&lt;=450,G109=4),IF(AND(C109="IN",I109=120),VLOOKUP(W109,'CAFCO 300 IDIEM TABLAS'!$J$4:$L$40,3,FALSE),0),0))</f>
        <v>17</v>
      </c>
      <c r="U109" s="48">
        <f t="shared" si="13"/>
        <v>3.6017467907573808</v>
      </c>
      <c r="V109" s="82">
        <f t="shared" si="10"/>
        <v>54076.626316431313</v>
      </c>
      <c r="W109" s="64">
        <f>+IF(J109=LOOKUP(J109,'CAFCO 300 IDIEM TABLAS'!$J$4:$J$40),'HOJA DE CÁLCULO RESPALDO'!J109,MROUND('HOJA DE CÁLCULO RESPALDO'!J109,10))</f>
        <v>95</v>
      </c>
      <c r="X109" s="36"/>
      <c r="Y109" s="4"/>
    </row>
    <row r="110" spans="1:25" ht="15.6" customHeight="1" x14ac:dyDescent="0.25">
      <c r="A110" s="2" t="s">
        <v>40</v>
      </c>
      <c r="B110" s="3" t="s">
        <v>17</v>
      </c>
      <c r="C110" s="3" t="s">
        <v>19</v>
      </c>
      <c r="D110" s="3">
        <v>1</v>
      </c>
      <c r="E110" s="2">
        <v>1</v>
      </c>
      <c r="F110" s="8">
        <v>4250</v>
      </c>
      <c r="G110" s="1">
        <v>4</v>
      </c>
      <c r="H110" s="2">
        <v>1181</v>
      </c>
      <c r="I110" s="34">
        <v>90</v>
      </c>
      <c r="J110" s="11">
        <v>95</v>
      </c>
      <c r="K110" s="44">
        <f t="shared" si="7"/>
        <v>5.0192500000000004</v>
      </c>
      <c r="L110" s="3" t="s">
        <v>61</v>
      </c>
      <c r="M110" s="3" t="s">
        <v>70</v>
      </c>
      <c r="N110" s="15">
        <f>ROUND((IF(L110="Blaze Shield II",IF(M110="Idiem software",IF(AND(C110="IN",G110=4),((('BLAZE SHIELD II'!$D$4*('HOJA DE CÁLCULO RESPALDO'!I110^2)+'BLAZE SHIELD II'!$D$5*'HOJA DE CÁLCULO RESPALDO'!I110+'BLAZE SHIELD II'!$D$6)*LN(J110))+('BLAZE SHIELD II'!$D$7*('HOJA DE CÁLCULO RESPALDO'!I110^2)+'BLAZE SHIELD II'!$D$8*'HOJA DE CÁLCULO RESPALDO'!I110+'BLAZE SHIELD II'!$D$9)),0),0),0))+(IF(L110="Blaze Shield II",IF(M110="Idiem software",IF(C110="Cj",((('BLAZE SHIELD II'!$H$4*('HOJA DE CÁLCULO RESPALDO'!I110^2)+'BLAZE SHIELD II'!$H$5*'HOJA DE CÁLCULO RESPALDO'!I110+'BLAZE SHIELD II'!$H$6)*LN(J110))+('BLAZE SHIELD II'!$H$7*('HOJA DE CÁLCULO RESPALDO'!I110^2)+'BLAZE SHIELD II'!$H$8*'HOJA DE CÁLCULO RESPALDO'!I110+'BLAZE SHIELD II'!$H$9)),0),0),0))+(IF(L110="Blaze Shield II",IF(M110="Idiem software",IF(C110="C",((('BLAZE SHIELD II'!$L$4*('HOJA DE CÁLCULO RESPALDO'!I110^2)+'BLAZE SHIELD II'!$L$5*'HOJA DE CÁLCULO RESPALDO'!I110+'BLAZE SHIELD II'!$L$6)*LN(J110))+('BLAZE SHIELD II'!$L$7*('HOJA DE CÁLCULO RESPALDO'!I110^2)+'BLAZE SHIELD II'!$L$8*'HOJA DE CÁLCULO RESPALDO'!I110+'BLAZE SHIELD II'!$L$9)),0),0),0))+(IF(L110="Blaze Shield II",IF(M110="Idiem software",IF(AND(C110="IN",G110=3),((('BLAZE SHIELD II'!$H$14*('HOJA DE CÁLCULO RESPALDO'!I110^2)+'BLAZE SHIELD II'!$H$15*'HOJA DE CÁLCULO RESPALDO'!I110+'BLAZE SHIELD II'!$H$16)*LN(J110))+('BLAZE SHIELD II'!$H$17*('HOJA DE CÁLCULO RESPALDO'!I110^2)+'BLAZE SHIELD II'!$H$18*'HOJA DE CÁLCULO RESPALDO'!I110+'BLAZE SHIELD II'!$H$19)),0),0),0)),0)</f>
        <v>0</v>
      </c>
      <c r="O110" s="46">
        <f t="shared" si="11"/>
        <v>0</v>
      </c>
      <c r="P110" s="80">
        <f t="shared" si="8"/>
        <v>0</v>
      </c>
      <c r="Q110" s="85">
        <f>ROUND((IF(L110="Cafco 400",IF(M110="Idiem software",IF(AND(C110="IN",G110=4),((('CAFCO 400 '!$H$7*(J110^4)+'CAFCO 400 '!$H$8*(J110^3)+'CAFCO 400 '!$H$9*(J110^2)+'CAFCO 400 '!$H$10*J110+'CAFCO 400 '!$H$11)*I110^2)+(('CAFCO 400 '!$H$12*(J110^3)+'CAFCO 400 '!$H$13*(J110^2)+'CAFCO 400 '!$H$14*J110+'CAFCO 400 '!$H$15)*I110)+('CAFCO 400 '!$H$16*(J110^2)+'CAFCO 400 '!$H$17*J110+'CAFCO 400 '!$H$18)),0),0),0))+(IF(L110="Cafco 400",IF(M110="Idiem software",IF(C110="Cj",(((('CAFCO 400 '!$D$7*LN(J110)+'CAFCO 400 '!$D$8)*I110^2)+(('CAFCO 400 '!$D$9*LN(J110)+'CAFCO 400 '!$D$10)*I110)+('CAFCO 400 '!$D$11*LN(J110)+'CAFCO 400 '!$D$12))),0),0),0))+(IF(L110="Cafco 400",IF(M110="Idiem software",IF(C110="C",((('CAFCO 400 '!$L$7*(J110^3)+'CAFCO 400 '!$L$8*(J110^2)+'CAFCO 400 '!$L$9*J110+'CAFCO 400 '!$L$10)*I110^2)+(('CAFCO 400 '!$L$11*(J110^3)+'CAFCO 400 '!$L$12*(J110^2)+'CAFCO 400 '!$L$13*J110+'CAFCO 400 '!$L$14)*I110)+('CAFCO 400 '!$L$15*LN(J110)+'CAFCO 400 '!$L$16)),0),0),0))+(IF(L110="Cafco 400",IF(M110="Idiem software",IF(AND(C110="IN",G110=3),((('CAFCO 400 '!$D$23*(J110^2)+'CAFCO 400 '!$D$24*(J110)+'CAFCO 400 '!$D$25)*I110^2)+(('CAFCO 400 '!$D$26*(J110^2)+'CAFCO 400 '!$D$27*J110+'CAFCO 400 '!$D$28)*I110)+('CAFCO 400 '!$D$29*(J110^2)+'CAFCO 400 '!$D$30*J110+'CAFCO 400 '!$D$31)),0),0),0)),0)</f>
        <v>0</v>
      </c>
      <c r="R110" s="47">
        <f t="shared" si="12"/>
        <v>0</v>
      </c>
      <c r="S110" s="82">
        <f t="shared" si="9"/>
        <v>0</v>
      </c>
      <c r="T110" s="81">
        <f>+IF(AND(J110&gt;=95,J110&lt;=240),IF(AND(C110="Cj",I110=90),VLOOKUP(W110,'CAFCO 300 IDIEM TABLAS'!$B$4:$D$23,2,FALSE),0)+IF(AND(J110&gt;=95,J110&lt;=240),IF(AND(C110="Cj",I110=120),VLOOKUP(W110,'CAFCO 300 IDIEM TABLAS'!$B$4:$D$23,3,FALSE),0))+IF(AND(J110&gt;=95,J110&lt;=400,G110=3),IF(AND(C110="IN",I110=90),VLOOKUP(W110,'CAFCO 300 IDIEM TABLAS'!$F$4:$H$35,2,FALSE),0),0)+IF(AND(J110&gt;=95,J110&lt;=400,G110=3),IF(AND(C110="IN",I110=120),VLOOKUP(W110,'CAFCO 300 IDIEM TABLAS'!$F$4:$H$35,3,FALSE),0),0)+IF(AND(J110&gt;=95,J110&lt;=450,G110=4),IF(AND(C110="IN",I110=90),VLOOKUP(W110,'CAFCO 300 IDIEM TABLAS'!$J$4:$L$40,2,FALSE),0),0)+IF(AND(J110&gt;=95,J110&lt;=450,G110=4),IF(AND(C110="IN",I110=120),VLOOKUP(W110,'CAFCO 300 IDIEM TABLAS'!$J$4:$L$40,3,FALSE),0),0))</f>
        <v>17</v>
      </c>
      <c r="U110" s="48">
        <f t="shared" si="13"/>
        <v>1.177494143132221</v>
      </c>
      <c r="V110" s="82">
        <f t="shared" si="10"/>
        <v>17678.897064987166</v>
      </c>
      <c r="W110" s="64">
        <f>+IF(J110=LOOKUP(J110,'CAFCO 300 IDIEM TABLAS'!$J$4:$J$40),'HOJA DE CÁLCULO RESPALDO'!J110,MROUND('HOJA DE CÁLCULO RESPALDO'!J110,10))</f>
        <v>95</v>
      </c>
      <c r="X110" s="36"/>
      <c r="Y110" s="4"/>
    </row>
    <row r="111" spans="1:25" x14ac:dyDescent="0.25">
      <c r="A111" s="2" t="s">
        <v>39</v>
      </c>
      <c r="B111" s="3" t="s">
        <v>17</v>
      </c>
      <c r="C111" s="3" t="s">
        <v>19</v>
      </c>
      <c r="D111" s="3">
        <v>1</v>
      </c>
      <c r="E111" s="2">
        <v>1</v>
      </c>
      <c r="F111" s="8">
        <v>8500</v>
      </c>
      <c r="G111" s="1">
        <v>4</v>
      </c>
      <c r="H111" s="2">
        <v>1181</v>
      </c>
      <c r="I111" s="34">
        <v>90</v>
      </c>
      <c r="J111" s="11">
        <v>95</v>
      </c>
      <c r="K111" s="44">
        <f t="shared" si="7"/>
        <v>10.038500000000001</v>
      </c>
      <c r="L111" s="3" t="s">
        <v>61</v>
      </c>
      <c r="M111" s="3" t="s">
        <v>70</v>
      </c>
      <c r="N111" s="15">
        <f>ROUND((IF(L111="Blaze Shield II",IF(M111="Idiem software",IF(AND(C111="IN",G111=4),((('BLAZE SHIELD II'!$D$4*('HOJA DE CÁLCULO RESPALDO'!I111^2)+'BLAZE SHIELD II'!$D$5*'HOJA DE CÁLCULO RESPALDO'!I111+'BLAZE SHIELD II'!$D$6)*LN(J111))+('BLAZE SHIELD II'!$D$7*('HOJA DE CÁLCULO RESPALDO'!I111^2)+'BLAZE SHIELD II'!$D$8*'HOJA DE CÁLCULO RESPALDO'!I111+'BLAZE SHIELD II'!$D$9)),0),0),0))+(IF(L111="Blaze Shield II",IF(M111="Idiem software",IF(C111="Cj",((('BLAZE SHIELD II'!$H$4*('HOJA DE CÁLCULO RESPALDO'!I111^2)+'BLAZE SHIELD II'!$H$5*'HOJA DE CÁLCULO RESPALDO'!I111+'BLAZE SHIELD II'!$H$6)*LN(J111))+('BLAZE SHIELD II'!$H$7*('HOJA DE CÁLCULO RESPALDO'!I111^2)+'BLAZE SHIELD II'!$H$8*'HOJA DE CÁLCULO RESPALDO'!I111+'BLAZE SHIELD II'!$H$9)),0),0),0))+(IF(L111="Blaze Shield II",IF(M111="Idiem software",IF(C111="C",((('BLAZE SHIELD II'!$L$4*('HOJA DE CÁLCULO RESPALDO'!I111^2)+'BLAZE SHIELD II'!$L$5*'HOJA DE CÁLCULO RESPALDO'!I111+'BLAZE SHIELD II'!$L$6)*LN(J111))+('BLAZE SHIELD II'!$L$7*('HOJA DE CÁLCULO RESPALDO'!I111^2)+'BLAZE SHIELD II'!$L$8*'HOJA DE CÁLCULO RESPALDO'!I111+'BLAZE SHIELD II'!$L$9)),0),0),0))+(IF(L111="Blaze Shield II",IF(M111="Idiem software",IF(AND(C111="IN",G111=3),((('BLAZE SHIELD II'!$H$14*('HOJA DE CÁLCULO RESPALDO'!I111^2)+'BLAZE SHIELD II'!$H$15*'HOJA DE CÁLCULO RESPALDO'!I111+'BLAZE SHIELD II'!$H$16)*LN(J111))+('BLAZE SHIELD II'!$H$17*('HOJA DE CÁLCULO RESPALDO'!I111^2)+'BLAZE SHIELD II'!$H$18*'HOJA DE CÁLCULO RESPALDO'!I111+'BLAZE SHIELD II'!$H$19)),0),0),0)),0)</f>
        <v>0</v>
      </c>
      <c r="O111" s="46">
        <f t="shared" si="11"/>
        <v>0</v>
      </c>
      <c r="P111" s="80">
        <f t="shared" si="8"/>
        <v>0</v>
      </c>
      <c r="Q111" s="85">
        <f>ROUND((IF(L111="Cafco 400",IF(M111="Idiem software",IF(AND(C111="IN",G111=4),((('CAFCO 400 '!$H$7*(J111^4)+'CAFCO 400 '!$H$8*(J111^3)+'CAFCO 400 '!$H$9*(J111^2)+'CAFCO 400 '!$H$10*J111+'CAFCO 400 '!$H$11)*I111^2)+(('CAFCO 400 '!$H$12*(J111^3)+'CAFCO 400 '!$H$13*(J111^2)+'CAFCO 400 '!$H$14*J111+'CAFCO 400 '!$H$15)*I111)+('CAFCO 400 '!$H$16*(J111^2)+'CAFCO 400 '!$H$17*J111+'CAFCO 400 '!$H$18)),0),0),0))+(IF(L111="Cafco 400",IF(M111="Idiem software",IF(C111="Cj",(((('CAFCO 400 '!$D$7*LN(J111)+'CAFCO 400 '!$D$8)*I111^2)+(('CAFCO 400 '!$D$9*LN(J111)+'CAFCO 400 '!$D$10)*I111)+('CAFCO 400 '!$D$11*LN(J111)+'CAFCO 400 '!$D$12))),0),0),0))+(IF(L111="Cafco 400",IF(M111="Idiem software",IF(C111="C",((('CAFCO 400 '!$L$7*(J111^3)+'CAFCO 400 '!$L$8*(J111^2)+'CAFCO 400 '!$L$9*J111+'CAFCO 400 '!$L$10)*I111^2)+(('CAFCO 400 '!$L$11*(J111^3)+'CAFCO 400 '!$L$12*(J111^2)+'CAFCO 400 '!$L$13*J111+'CAFCO 400 '!$L$14)*I111)+('CAFCO 400 '!$L$15*LN(J111)+'CAFCO 400 '!$L$16)),0),0),0))+(IF(L111="Cafco 400",IF(M111="Idiem software",IF(AND(C111="IN",G111=3),((('CAFCO 400 '!$D$23*(J111^2)+'CAFCO 400 '!$D$24*(J111)+'CAFCO 400 '!$D$25)*I111^2)+(('CAFCO 400 '!$D$26*(J111^2)+'CAFCO 400 '!$D$27*J111+'CAFCO 400 '!$D$28)*I111)+('CAFCO 400 '!$D$29*(J111^2)+'CAFCO 400 '!$D$30*J111+'CAFCO 400 '!$D$31)),0),0),0)),0)</f>
        <v>0</v>
      </c>
      <c r="R111" s="47">
        <f t="shared" si="12"/>
        <v>0</v>
      </c>
      <c r="S111" s="82">
        <f t="shared" si="9"/>
        <v>0</v>
      </c>
      <c r="T111" s="81">
        <f>+IF(AND(J111&gt;=95,J111&lt;=240),IF(AND(C111="Cj",I111=90),VLOOKUP(W111,'CAFCO 300 IDIEM TABLAS'!$B$4:$D$23,2,FALSE),0)+IF(AND(J111&gt;=95,J111&lt;=240),IF(AND(C111="Cj",I111=120),VLOOKUP(W111,'CAFCO 300 IDIEM TABLAS'!$B$4:$D$23,3,FALSE),0))+IF(AND(J111&gt;=95,J111&lt;=400,G111=3),IF(AND(C111="IN",I111=90),VLOOKUP(W111,'CAFCO 300 IDIEM TABLAS'!$F$4:$H$35,2,FALSE),0),0)+IF(AND(J111&gt;=95,J111&lt;=400,G111=3),IF(AND(C111="IN",I111=120),VLOOKUP(W111,'CAFCO 300 IDIEM TABLAS'!$F$4:$H$35,3,FALSE),0),0)+IF(AND(J111&gt;=95,J111&lt;=450,G111=4),IF(AND(C111="IN",I111=90),VLOOKUP(W111,'CAFCO 300 IDIEM TABLAS'!$J$4:$L$40,2,FALSE),0),0)+IF(AND(J111&gt;=95,J111&lt;=450,G111=4),IF(AND(C111="IN",I111=120),VLOOKUP(W111,'CAFCO 300 IDIEM TABLAS'!$J$4:$L$40,3,FALSE),0),0))</f>
        <v>17</v>
      </c>
      <c r="U111" s="48">
        <f t="shared" si="13"/>
        <v>2.354988286264442</v>
      </c>
      <c r="V111" s="82">
        <f t="shared" si="10"/>
        <v>35357.794129974332</v>
      </c>
      <c r="W111" s="64">
        <f>+IF(J111=LOOKUP(J111,'CAFCO 300 IDIEM TABLAS'!$J$4:$J$40),'HOJA DE CÁLCULO RESPALDO'!J111,MROUND('HOJA DE CÁLCULO RESPALDO'!J111,10))</f>
        <v>95</v>
      </c>
      <c r="X111" s="36"/>
      <c r="Y111" s="4"/>
    </row>
    <row r="112" spans="1:25" ht="15.6" customHeight="1" x14ac:dyDescent="0.25">
      <c r="A112" s="2" t="s">
        <v>36</v>
      </c>
      <c r="B112" s="3" t="s">
        <v>17</v>
      </c>
      <c r="C112" s="3" t="s">
        <v>19</v>
      </c>
      <c r="D112" s="3">
        <v>1</v>
      </c>
      <c r="E112" s="2">
        <v>1</v>
      </c>
      <c r="F112" s="8">
        <v>103000</v>
      </c>
      <c r="G112" s="1">
        <v>4</v>
      </c>
      <c r="H112" s="2">
        <v>1190</v>
      </c>
      <c r="I112" s="34">
        <v>90</v>
      </c>
      <c r="J112" s="11">
        <v>95</v>
      </c>
      <c r="K112" s="44">
        <f t="shared" si="7"/>
        <v>122.57</v>
      </c>
      <c r="L112" s="3" t="s">
        <v>61</v>
      </c>
      <c r="M112" s="3" t="s">
        <v>70</v>
      </c>
      <c r="N112" s="15">
        <f>ROUND((IF(L112="Blaze Shield II",IF(M112="Idiem software",IF(AND(C112="IN",G112=4),((('BLAZE SHIELD II'!$D$4*('HOJA DE CÁLCULO RESPALDO'!I112^2)+'BLAZE SHIELD II'!$D$5*'HOJA DE CÁLCULO RESPALDO'!I112+'BLAZE SHIELD II'!$D$6)*LN(J112))+('BLAZE SHIELD II'!$D$7*('HOJA DE CÁLCULO RESPALDO'!I112^2)+'BLAZE SHIELD II'!$D$8*'HOJA DE CÁLCULO RESPALDO'!I112+'BLAZE SHIELD II'!$D$9)),0),0),0))+(IF(L112="Blaze Shield II",IF(M112="Idiem software",IF(C112="Cj",((('BLAZE SHIELD II'!$H$4*('HOJA DE CÁLCULO RESPALDO'!I112^2)+'BLAZE SHIELD II'!$H$5*'HOJA DE CÁLCULO RESPALDO'!I112+'BLAZE SHIELD II'!$H$6)*LN(J112))+('BLAZE SHIELD II'!$H$7*('HOJA DE CÁLCULO RESPALDO'!I112^2)+'BLAZE SHIELD II'!$H$8*'HOJA DE CÁLCULO RESPALDO'!I112+'BLAZE SHIELD II'!$H$9)),0),0),0))+(IF(L112="Blaze Shield II",IF(M112="Idiem software",IF(C112="C",((('BLAZE SHIELD II'!$L$4*('HOJA DE CÁLCULO RESPALDO'!I112^2)+'BLAZE SHIELD II'!$L$5*'HOJA DE CÁLCULO RESPALDO'!I112+'BLAZE SHIELD II'!$L$6)*LN(J112))+('BLAZE SHIELD II'!$L$7*('HOJA DE CÁLCULO RESPALDO'!I112^2)+'BLAZE SHIELD II'!$L$8*'HOJA DE CÁLCULO RESPALDO'!I112+'BLAZE SHIELD II'!$L$9)),0),0),0))+(IF(L112="Blaze Shield II",IF(M112="Idiem software",IF(AND(C112="IN",G112=3),((('BLAZE SHIELD II'!$H$14*('HOJA DE CÁLCULO RESPALDO'!I112^2)+'BLAZE SHIELD II'!$H$15*'HOJA DE CÁLCULO RESPALDO'!I112+'BLAZE SHIELD II'!$H$16)*LN(J112))+('BLAZE SHIELD II'!$H$17*('HOJA DE CÁLCULO RESPALDO'!I112^2)+'BLAZE SHIELD II'!$H$18*'HOJA DE CÁLCULO RESPALDO'!I112+'BLAZE SHIELD II'!$H$19)),0),0),0)),0)</f>
        <v>0</v>
      </c>
      <c r="O112" s="46">
        <f t="shared" si="11"/>
        <v>0</v>
      </c>
      <c r="P112" s="80">
        <f t="shared" si="8"/>
        <v>0</v>
      </c>
      <c r="Q112" s="85">
        <f>ROUND((IF(L112="Cafco 400",IF(M112="Idiem software",IF(AND(C112="IN",G112=4),((('CAFCO 400 '!$H$7*(J112^4)+'CAFCO 400 '!$H$8*(J112^3)+'CAFCO 400 '!$H$9*(J112^2)+'CAFCO 400 '!$H$10*J112+'CAFCO 400 '!$H$11)*I112^2)+(('CAFCO 400 '!$H$12*(J112^3)+'CAFCO 400 '!$H$13*(J112^2)+'CAFCO 400 '!$H$14*J112+'CAFCO 400 '!$H$15)*I112)+('CAFCO 400 '!$H$16*(J112^2)+'CAFCO 400 '!$H$17*J112+'CAFCO 400 '!$H$18)),0),0),0))+(IF(L112="Cafco 400",IF(M112="Idiem software",IF(C112="Cj",(((('CAFCO 400 '!$D$7*LN(J112)+'CAFCO 400 '!$D$8)*I112^2)+(('CAFCO 400 '!$D$9*LN(J112)+'CAFCO 400 '!$D$10)*I112)+('CAFCO 400 '!$D$11*LN(J112)+'CAFCO 400 '!$D$12))),0),0),0))+(IF(L112="Cafco 400",IF(M112="Idiem software",IF(C112="C",((('CAFCO 400 '!$L$7*(J112^3)+'CAFCO 400 '!$L$8*(J112^2)+'CAFCO 400 '!$L$9*J112+'CAFCO 400 '!$L$10)*I112^2)+(('CAFCO 400 '!$L$11*(J112^3)+'CAFCO 400 '!$L$12*(J112^2)+'CAFCO 400 '!$L$13*J112+'CAFCO 400 '!$L$14)*I112)+('CAFCO 400 '!$L$15*LN(J112)+'CAFCO 400 '!$L$16)),0),0),0))+(IF(L112="Cafco 400",IF(M112="Idiem software",IF(AND(C112="IN",G112=3),((('CAFCO 400 '!$D$23*(J112^2)+'CAFCO 400 '!$D$24*(J112)+'CAFCO 400 '!$D$25)*I112^2)+(('CAFCO 400 '!$D$26*(J112^2)+'CAFCO 400 '!$D$27*J112+'CAFCO 400 '!$D$28)*I112)+('CAFCO 400 '!$D$29*(J112^2)+'CAFCO 400 '!$D$30*J112+'CAFCO 400 '!$D$31)),0),0),0)),0)</f>
        <v>0</v>
      </c>
      <c r="R112" s="47">
        <f t="shared" si="12"/>
        <v>0</v>
      </c>
      <c r="S112" s="82">
        <f t="shared" si="9"/>
        <v>0</v>
      </c>
      <c r="T112" s="81">
        <f>+IF(AND(J112&gt;=95,J112&lt;=240),IF(AND(C112="Cj",I112=90),VLOOKUP(W112,'CAFCO 300 IDIEM TABLAS'!$B$4:$D$23,2,FALSE),0)+IF(AND(J112&gt;=95,J112&lt;=240),IF(AND(C112="Cj",I112=120),VLOOKUP(W112,'CAFCO 300 IDIEM TABLAS'!$B$4:$D$23,3,FALSE),0))+IF(AND(J112&gt;=95,J112&lt;=400,G112=3),IF(AND(C112="IN",I112=90),VLOOKUP(W112,'CAFCO 300 IDIEM TABLAS'!$F$4:$H$35,2,FALSE),0),0)+IF(AND(J112&gt;=95,J112&lt;=400,G112=3),IF(AND(C112="IN",I112=120),VLOOKUP(W112,'CAFCO 300 IDIEM TABLAS'!$F$4:$H$35,3,FALSE),0),0)+IF(AND(J112&gt;=95,J112&lt;=450,G112=4),IF(AND(C112="IN",I112=90),VLOOKUP(W112,'CAFCO 300 IDIEM TABLAS'!$J$4:$L$40,2,FALSE),0),0)+IF(AND(J112&gt;=95,J112&lt;=450,G112=4),IF(AND(C112="IN",I112=120),VLOOKUP(W112,'CAFCO 300 IDIEM TABLAS'!$J$4:$L$40,3,FALSE),0),0))</f>
        <v>17</v>
      </c>
      <c r="U112" s="48">
        <f t="shared" si="13"/>
        <v>28.754387034659821</v>
      </c>
      <c r="V112" s="82">
        <f t="shared" si="10"/>
        <v>431718.36693838256</v>
      </c>
      <c r="W112" s="64">
        <f>+IF(J112=LOOKUP(J112,'CAFCO 300 IDIEM TABLAS'!$J$4:$J$40),'HOJA DE CÁLCULO RESPALDO'!J112,MROUND('HOJA DE CÁLCULO RESPALDO'!J112,10))</f>
        <v>95</v>
      </c>
      <c r="X112" s="36"/>
      <c r="Y112" s="4"/>
    </row>
    <row r="113" spans="1:25" x14ac:dyDescent="0.25">
      <c r="A113" s="2" t="s">
        <v>36</v>
      </c>
      <c r="B113" s="3" t="s">
        <v>17</v>
      </c>
      <c r="C113" s="3" t="s">
        <v>19</v>
      </c>
      <c r="D113" s="3">
        <v>1</v>
      </c>
      <c r="E113" s="2">
        <v>1</v>
      </c>
      <c r="F113" s="8">
        <v>12750</v>
      </c>
      <c r="G113" s="1">
        <v>4</v>
      </c>
      <c r="H113" s="2">
        <v>1181</v>
      </c>
      <c r="I113" s="34">
        <v>90</v>
      </c>
      <c r="J113" s="11">
        <v>95</v>
      </c>
      <c r="K113" s="44">
        <f t="shared" si="7"/>
        <v>15.05775</v>
      </c>
      <c r="L113" s="3" t="s">
        <v>61</v>
      </c>
      <c r="M113" s="3" t="s">
        <v>70</v>
      </c>
      <c r="N113" s="15">
        <f>ROUND((IF(L113="Blaze Shield II",IF(M113="Idiem software",IF(AND(C113="IN",G113=4),((('BLAZE SHIELD II'!$D$4*('HOJA DE CÁLCULO RESPALDO'!I113^2)+'BLAZE SHIELD II'!$D$5*'HOJA DE CÁLCULO RESPALDO'!I113+'BLAZE SHIELD II'!$D$6)*LN(J113))+('BLAZE SHIELD II'!$D$7*('HOJA DE CÁLCULO RESPALDO'!I113^2)+'BLAZE SHIELD II'!$D$8*'HOJA DE CÁLCULO RESPALDO'!I113+'BLAZE SHIELD II'!$D$9)),0),0),0))+(IF(L113="Blaze Shield II",IF(M113="Idiem software",IF(C113="Cj",((('BLAZE SHIELD II'!$H$4*('HOJA DE CÁLCULO RESPALDO'!I113^2)+'BLAZE SHIELD II'!$H$5*'HOJA DE CÁLCULO RESPALDO'!I113+'BLAZE SHIELD II'!$H$6)*LN(J113))+('BLAZE SHIELD II'!$H$7*('HOJA DE CÁLCULO RESPALDO'!I113^2)+'BLAZE SHIELD II'!$H$8*'HOJA DE CÁLCULO RESPALDO'!I113+'BLAZE SHIELD II'!$H$9)),0),0),0))+(IF(L113="Blaze Shield II",IF(M113="Idiem software",IF(C113="C",((('BLAZE SHIELD II'!$L$4*('HOJA DE CÁLCULO RESPALDO'!I113^2)+'BLAZE SHIELD II'!$L$5*'HOJA DE CÁLCULO RESPALDO'!I113+'BLAZE SHIELD II'!$L$6)*LN(J113))+('BLAZE SHIELD II'!$L$7*('HOJA DE CÁLCULO RESPALDO'!I113^2)+'BLAZE SHIELD II'!$L$8*'HOJA DE CÁLCULO RESPALDO'!I113+'BLAZE SHIELD II'!$L$9)),0),0),0))+(IF(L113="Blaze Shield II",IF(M113="Idiem software",IF(AND(C113="IN",G113=3),((('BLAZE SHIELD II'!$H$14*('HOJA DE CÁLCULO RESPALDO'!I113^2)+'BLAZE SHIELD II'!$H$15*'HOJA DE CÁLCULO RESPALDO'!I113+'BLAZE SHIELD II'!$H$16)*LN(J113))+('BLAZE SHIELD II'!$H$17*('HOJA DE CÁLCULO RESPALDO'!I113^2)+'BLAZE SHIELD II'!$H$18*'HOJA DE CÁLCULO RESPALDO'!I113+'BLAZE SHIELD II'!$H$19)),0),0),0)),0)</f>
        <v>0</v>
      </c>
      <c r="O113" s="46">
        <f t="shared" si="11"/>
        <v>0</v>
      </c>
      <c r="P113" s="80">
        <f t="shared" si="8"/>
        <v>0</v>
      </c>
      <c r="Q113" s="85">
        <f>ROUND((IF(L113="Cafco 400",IF(M113="Idiem software",IF(AND(C113="IN",G113=4),((('CAFCO 400 '!$H$7*(J113^4)+'CAFCO 400 '!$H$8*(J113^3)+'CAFCO 400 '!$H$9*(J113^2)+'CAFCO 400 '!$H$10*J113+'CAFCO 400 '!$H$11)*I113^2)+(('CAFCO 400 '!$H$12*(J113^3)+'CAFCO 400 '!$H$13*(J113^2)+'CAFCO 400 '!$H$14*J113+'CAFCO 400 '!$H$15)*I113)+('CAFCO 400 '!$H$16*(J113^2)+'CAFCO 400 '!$H$17*J113+'CAFCO 400 '!$H$18)),0),0),0))+(IF(L113="Cafco 400",IF(M113="Idiem software",IF(C113="Cj",(((('CAFCO 400 '!$D$7*LN(J113)+'CAFCO 400 '!$D$8)*I113^2)+(('CAFCO 400 '!$D$9*LN(J113)+'CAFCO 400 '!$D$10)*I113)+('CAFCO 400 '!$D$11*LN(J113)+'CAFCO 400 '!$D$12))),0),0),0))+(IF(L113="Cafco 400",IF(M113="Idiem software",IF(C113="C",((('CAFCO 400 '!$L$7*(J113^3)+'CAFCO 400 '!$L$8*(J113^2)+'CAFCO 400 '!$L$9*J113+'CAFCO 400 '!$L$10)*I113^2)+(('CAFCO 400 '!$L$11*(J113^3)+'CAFCO 400 '!$L$12*(J113^2)+'CAFCO 400 '!$L$13*J113+'CAFCO 400 '!$L$14)*I113)+('CAFCO 400 '!$L$15*LN(J113)+'CAFCO 400 '!$L$16)),0),0),0))+(IF(L113="Cafco 400",IF(M113="Idiem software",IF(AND(C113="IN",G113=3),((('CAFCO 400 '!$D$23*(J113^2)+'CAFCO 400 '!$D$24*(J113)+'CAFCO 400 '!$D$25)*I113^2)+(('CAFCO 400 '!$D$26*(J113^2)+'CAFCO 400 '!$D$27*J113+'CAFCO 400 '!$D$28)*I113)+('CAFCO 400 '!$D$29*(J113^2)+'CAFCO 400 '!$D$30*J113+'CAFCO 400 '!$D$31)),0),0),0)),0)</f>
        <v>0</v>
      </c>
      <c r="R113" s="47">
        <f t="shared" si="12"/>
        <v>0</v>
      </c>
      <c r="S113" s="82">
        <f t="shared" si="9"/>
        <v>0</v>
      </c>
      <c r="T113" s="81">
        <f>+IF(AND(J113&gt;=95,J113&lt;=240),IF(AND(C113="Cj",I113=90),VLOOKUP(W113,'CAFCO 300 IDIEM TABLAS'!$B$4:$D$23,2,FALSE),0)+IF(AND(J113&gt;=95,J113&lt;=240),IF(AND(C113="Cj",I113=120),VLOOKUP(W113,'CAFCO 300 IDIEM TABLAS'!$B$4:$D$23,3,FALSE),0))+IF(AND(J113&gt;=95,J113&lt;=400,G113=3),IF(AND(C113="IN",I113=90),VLOOKUP(W113,'CAFCO 300 IDIEM TABLAS'!$F$4:$H$35,2,FALSE),0),0)+IF(AND(J113&gt;=95,J113&lt;=400,G113=3),IF(AND(C113="IN",I113=120),VLOOKUP(W113,'CAFCO 300 IDIEM TABLAS'!$F$4:$H$35,3,FALSE),0),0)+IF(AND(J113&gt;=95,J113&lt;=450,G113=4),IF(AND(C113="IN",I113=90),VLOOKUP(W113,'CAFCO 300 IDIEM TABLAS'!$J$4:$L$40,2,FALSE),0),0)+IF(AND(J113&gt;=95,J113&lt;=450,G113=4),IF(AND(C113="IN",I113=120),VLOOKUP(W113,'CAFCO 300 IDIEM TABLAS'!$J$4:$L$40,3,FALSE),0),0))</f>
        <v>17</v>
      </c>
      <c r="U113" s="48">
        <f t="shared" si="13"/>
        <v>3.5324824293966626</v>
      </c>
      <c r="V113" s="82">
        <f t="shared" si="10"/>
        <v>53036.691194961495</v>
      </c>
      <c r="W113" s="64">
        <f>+IF(J113=LOOKUP(J113,'CAFCO 300 IDIEM TABLAS'!$J$4:$J$40),'HOJA DE CÁLCULO RESPALDO'!J113,MROUND('HOJA DE CÁLCULO RESPALDO'!J113,10))</f>
        <v>95</v>
      </c>
      <c r="X113" s="36"/>
      <c r="Y113" s="4"/>
    </row>
    <row r="114" spans="1:25" ht="15.6" customHeight="1" x14ac:dyDescent="0.25">
      <c r="A114" s="2" t="s">
        <v>40</v>
      </c>
      <c r="B114" s="3" t="s">
        <v>17</v>
      </c>
      <c r="C114" s="3" t="s">
        <v>19</v>
      </c>
      <c r="D114" s="3">
        <v>1</v>
      </c>
      <c r="E114" s="2">
        <v>1</v>
      </c>
      <c r="F114" s="8">
        <v>17500</v>
      </c>
      <c r="G114" s="1">
        <v>4</v>
      </c>
      <c r="H114" s="2">
        <v>1692</v>
      </c>
      <c r="I114" s="34">
        <v>90</v>
      </c>
      <c r="J114" s="11">
        <v>95</v>
      </c>
      <c r="K114" s="44">
        <f t="shared" si="7"/>
        <v>29.61</v>
      </c>
      <c r="L114" s="3" t="s">
        <v>61</v>
      </c>
      <c r="M114" s="3" t="s">
        <v>70</v>
      </c>
      <c r="N114" s="15">
        <f>ROUND((IF(L114="Blaze Shield II",IF(M114="Idiem software",IF(AND(C114="IN",G114=4),((('BLAZE SHIELD II'!$D$4*('HOJA DE CÁLCULO RESPALDO'!I114^2)+'BLAZE SHIELD II'!$D$5*'HOJA DE CÁLCULO RESPALDO'!I114+'BLAZE SHIELD II'!$D$6)*LN(J114))+('BLAZE SHIELD II'!$D$7*('HOJA DE CÁLCULO RESPALDO'!I114^2)+'BLAZE SHIELD II'!$D$8*'HOJA DE CÁLCULO RESPALDO'!I114+'BLAZE SHIELD II'!$D$9)),0),0),0))+(IF(L114="Blaze Shield II",IF(M114="Idiem software",IF(C114="Cj",((('BLAZE SHIELD II'!$H$4*('HOJA DE CÁLCULO RESPALDO'!I114^2)+'BLAZE SHIELD II'!$H$5*'HOJA DE CÁLCULO RESPALDO'!I114+'BLAZE SHIELD II'!$H$6)*LN(J114))+('BLAZE SHIELD II'!$H$7*('HOJA DE CÁLCULO RESPALDO'!I114^2)+'BLAZE SHIELD II'!$H$8*'HOJA DE CÁLCULO RESPALDO'!I114+'BLAZE SHIELD II'!$H$9)),0),0),0))+(IF(L114="Blaze Shield II",IF(M114="Idiem software",IF(C114="C",((('BLAZE SHIELD II'!$L$4*('HOJA DE CÁLCULO RESPALDO'!I114^2)+'BLAZE SHIELD II'!$L$5*'HOJA DE CÁLCULO RESPALDO'!I114+'BLAZE SHIELD II'!$L$6)*LN(J114))+('BLAZE SHIELD II'!$L$7*('HOJA DE CÁLCULO RESPALDO'!I114^2)+'BLAZE SHIELD II'!$L$8*'HOJA DE CÁLCULO RESPALDO'!I114+'BLAZE SHIELD II'!$L$9)),0),0),0))+(IF(L114="Blaze Shield II",IF(M114="Idiem software",IF(AND(C114="IN",G114=3),((('BLAZE SHIELD II'!$H$14*('HOJA DE CÁLCULO RESPALDO'!I114^2)+'BLAZE SHIELD II'!$H$15*'HOJA DE CÁLCULO RESPALDO'!I114+'BLAZE SHIELD II'!$H$16)*LN(J114))+('BLAZE SHIELD II'!$H$17*('HOJA DE CÁLCULO RESPALDO'!I114^2)+'BLAZE SHIELD II'!$H$18*'HOJA DE CÁLCULO RESPALDO'!I114+'BLAZE SHIELD II'!$H$19)),0),0),0)),0)</f>
        <v>0</v>
      </c>
      <c r="O114" s="46">
        <f t="shared" si="11"/>
        <v>0</v>
      </c>
      <c r="P114" s="80">
        <f t="shared" si="8"/>
        <v>0</v>
      </c>
      <c r="Q114" s="85">
        <f>ROUND((IF(L114="Cafco 400",IF(M114="Idiem software",IF(AND(C114="IN",G114=4),((('CAFCO 400 '!$H$7*(J114^4)+'CAFCO 400 '!$H$8*(J114^3)+'CAFCO 400 '!$H$9*(J114^2)+'CAFCO 400 '!$H$10*J114+'CAFCO 400 '!$H$11)*I114^2)+(('CAFCO 400 '!$H$12*(J114^3)+'CAFCO 400 '!$H$13*(J114^2)+'CAFCO 400 '!$H$14*J114+'CAFCO 400 '!$H$15)*I114)+('CAFCO 400 '!$H$16*(J114^2)+'CAFCO 400 '!$H$17*J114+'CAFCO 400 '!$H$18)),0),0),0))+(IF(L114="Cafco 400",IF(M114="Idiem software",IF(C114="Cj",(((('CAFCO 400 '!$D$7*LN(J114)+'CAFCO 400 '!$D$8)*I114^2)+(('CAFCO 400 '!$D$9*LN(J114)+'CAFCO 400 '!$D$10)*I114)+('CAFCO 400 '!$D$11*LN(J114)+'CAFCO 400 '!$D$12))),0),0),0))+(IF(L114="Cafco 400",IF(M114="Idiem software",IF(C114="C",((('CAFCO 400 '!$L$7*(J114^3)+'CAFCO 400 '!$L$8*(J114^2)+'CAFCO 400 '!$L$9*J114+'CAFCO 400 '!$L$10)*I114^2)+(('CAFCO 400 '!$L$11*(J114^3)+'CAFCO 400 '!$L$12*(J114^2)+'CAFCO 400 '!$L$13*J114+'CAFCO 400 '!$L$14)*I114)+('CAFCO 400 '!$L$15*LN(J114)+'CAFCO 400 '!$L$16)),0),0),0))+(IF(L114="Cafco 400",IF(M114="Idiem software",IF(AND(C114="IN",G114=3),((('CAFCO 400 '!$D$23*(J114^2)+'CAFCO 400 '!$D$24*(J114)+'CAFCO 400 '!$D$25)*I114^2)+(('CAFCO 400 '!$D$26*(J114^2)+'CAFCO 400 '!$D$27*J114+'CAFCO 400 '!$D$28)*I114)+('CAFCO 400 '!$D$29*(J114^2)+'CAFCO 400 '!$D$30*J114+'CAFCO 400 '!$D$31)),0),0),0)),0)</f>
        <v>0</v>
      </c>
      <c r="R114" s="47">
        <f t="shared" si="12"/>
        <v>0</v>
      </c>
      <c r="S114" s="82">
        <f t="shared" si="9"/>
        <v>0</v>
      </c>
      <c r="T114" s="81">
        <f>+IF(AND(J114&gt;=95,J114&lt;=240),IF(AND(C114="Cj",I114=90),VLOOKUP(W114,'CAFCO 300 IDIEM TABLAS'!$B$4:$D$23,2,FALSE),0)+IF(AND(J114&gt;=95,J114&lt;=240),IF(AND(C114="Cj",I114=120),VLOOKUP(W114,'CAFCO 300 IDIEM TABLAS'!$B$4:$D$23,3,FALSE),0))+IF(AND(J114&gt;=95,J114&lt;=400,G114=3),IF(AND(C114="IN",I114=90),VLOOKUP(W114,'CAFCO 300 IDIEM TABLAS'!$F$4:$H$35,2,FALSE),0),0)+IF(AND(J114&gt;=95,J114&lt;=400,G114=3),IF(AND(C114="IN",I114=120),VLOOKUP(W114,'CAFCO 300 IDIEM TABLAS'!$F$4:$H$35,3,FALSE),0),0)+IF(AND(J114&gt;=95,J114&lt;=450,G114=4),IF(AND(C114="IN",I114=90),VLOOKUP(W114,'CAFCO 300 IDIEM TABLAS'!$J$4:$L$40,2,FALSE),0),0)+IF(AND(J114&gt;=95,J114&lt;=450,G114=4),IF(AND(C114="IN",I114=120),VLOOKUP(W114,'CAFCO 300 IDIEM TABLAS'!$J$4:$L$40,3,FALSE),0),0))</f>
        <v>17</v>
      </c>
      <c r="U114" s="48">
        <f t="shared" si="13"/>
        <v>6.94637676508344</v>
      </c>
      <c r="V114" s="82">
        <f t="shared" si="10"/>
        <v>104292.90075096277</v>
      </c>
      <c r="W114" s="64">
        <f>+IF(J114=LOOKUP(J114,'CAFCO 300 IDIEM TABLAS'!$J$4:$J$40),'HOJA DE CÁLCULO RESPALDO'!J114,MROUND('HOJA DE CÁLCULO RESPALDO'!J114,10))</f>
        <v>95</v>
      </c>
      <c r="X114" s="36"/>
      <c r="Y114" s="4"/>
    </row>
    <row r="115" spans="1:25" x14ac:dyDescent="0.25">
      <c r="A115" s="2" t="s">
        <v>40</v>
      </c>
      <c r="B115" s="3" t="s">
        <v>17</v>
      </c>
      <c r="C115" s="3" t="s">
        <v>19</v>
      </c>
      <c r="D115" s="3">
        <v>1</v>
      </c>
      <c r="E115" s="2">
        <v>1</v>
      </c>
      <c r="F115" s="8">
        <v>8500</v>
      </c>
      <c r="G115" s="1">
        <v>4</v>
      </c>
      <c r="H115" s="2">
        <v>1502</v>
      </c>
      <c r="I115" s="34">
        <v>90</v>
      </c>
      <c r="J115" s="11">
        <v>95</v>
      </c>
      <c r="K115" s="44">
        <f t="shared" si="7"/>
        <v>12.766999999999999</v>
      </c>
      <c r="L115" s="3" t="s">
        <v>61</v>
      </c>
      <c r="M115" s="3" t="s">
        <v>70</v>
      </c>
      <c r="N115" s="15">
        <f>ROUND((IF(L115="Blaze Shield II",IF(M115="Idiem software",IF(AND(C115="IN",G115=4),((('BLAZE SHIELD II'!$D$4*('HOJA DE CÁLCULO RESPALDO'!I115^2)+'BLAZE SHIELD II'!$D$5*'HOJA DE CÁLCULO RESPALDO'!I115+'BLAZE SHIELD II'!$D$6)*LN(J115))+('BLAZE SHIELD II'!$D$7*('HOJA DE CÁLCULO RESPALDO'!I115^2)+'BLAZE SHIELD II'!$D$8*'HOJA DE CÁLCULO RESPALDO'!I115+'BLAZE SHIELD II'!$D$9)),0),0),0))+(IF(L115="Blaze Shield II",IF(M115="Idiem software",IF(C115="Cj",((('BLAZE SHIELD II'!$H$4*('HOJA DE CÁLCULO RESPALDO'!I115^2)+'BLAZE SHIELD II'!$H$5*'HOJA DE CÁLCULO RESPALDO'!I115+'BLAZE SHIELD II'!$H$6)*LN(J115))+('BLAZE SHIELD II'!$H$7*('HOJA DE CÁLCULO RESPALDO'!I115^2)+'BLAZE SHIELD II'!$H$8*'HOJA DE CÁLCULO RESPALDO'!I115+'BLAZE SHIELD II'!$H$9)),0),0),0))+(IF(L115="Blaze Shield II",IF(M115="Idiem software",IF(C115="C",((('BLAZE SHIELD II'!$L$4*('HOJA DE CÁLCULO RESPALDO'!I115^2)+'BLAZE SHIELD II'!$L$5*'HOJA DE CÁLCULO RESPALDO'!I115+'BLAZE SHIELD II'!$L$6)*LN(J115))+('BLAZE SHIELD II'!$L$7*('HOJA DE CÁLCULO RESPALDO'!I115^2)+'BLAZE SHIELD II'!$L$8*'HOJA DE CÁLCULO RESPALDO'!I115+'BLAZE SHIELD II'!$L$9)),0),0),0))+(IF(L115="Blaze Shield II",IF(M115="Idiem software",IF(AND(C115="IN",G115=3),((('BLAZE SHIELD II'!$H$14*('HOJA DE CÁLCULO RESPALDO'!I115^2)+'BLAZE SHIELD II'!$H$15*'HOJA DE CÁLCULO RESPALDO'!I115+'BLAZE SHIELD II'!$H$16)*LN(J115))+('BLAZE SHIELD II'!$H$17*('HOJA DE CÁLCULO RESPALDO'!I115^2)+'BLAZE SHIELD II'!$H$18*'HOJA DE CÁLCULO RESPALDO'!I115+'BLAZE SHIELD II'!$H$19)),0),0),0)),0)</f>
        <v>0</v>
      </c>
      <c r="O115" s="46">
        <f t="shared" si="11"/>
        <v>0</v>
      </c>
      <c r="P115" s="80">
        <f t="shared" si="8"/>
        <v>0</v>
      </c>
      <c r="Q115" s="85">
        <f>ROUND((IF(L115="Cafco 400",IF(M115="Idiem software",IF(AND(C115="IN",G115=4),((('CAFCO 400 '!$H$7*(J115^4)+'CAFCO 400 '!$H$8*(J115^3)+'CAFCO 400 '!$H$9*(J115^2)+'CAFCO 400 '!$H$10*J115+'CAFCO 400 '!$H$11)*I115^2)+(('CAFCO 400 '!$H$12*(J115^3)+'CAFCO 400 '!$H$13*(J115^2)+'CAFCO 400 '!$H$14*J115+'CAFCO 400 '!$H$15)*I115)+('CAFCO 400 '!$H$16*(J115^2)+'CAFCO 400 '!$H$17*J115+'CAFCO 400 '!$H$18)),0),0),0))+(IF(L115="Cafco 400",IF(M115="Idiem software",IF(C115="Cj",(((('CAFCO 400 '!$D$7*LN(J115)+'CAFCO 400 '!$D$8)*I115^2)+(('CAFCO 400 '!$D$9*LN(J115)+'CAFCO 400 '!$D$10)*I115)+('CAFCO 400 '!$D$11*LN(J115)+'CAFCO 400 '!$D$12))),0),0),0))+(IF(L115="Cafco 400",IF(M115="Idiem software",IF(C115="C",((('CAFCO 400 '!$L$7*(J115^3)+'CAFCO 400 '!$L$8*(J115^2)+'CAFCO 400 '!$L$9*J115+'CAFCO 400 '!$L$10)*I115^2)+(('CAFCO 400 '!$L$11*(J115^3)+'CAFCO 400 '!$L$12*(J115^2)+'CAFCO 400 '!$L$13*J115+'CAFCO 400 '!$L$14)*I115)+('CAFCO 400 '!$L$15*LN(J115)+'CAFCO 400 '!$L$16)),0),0),0))+(IF(L115="Cafco 400",IF(M115="Idiem software",IF(AND(C115="IN",G115=3),((('CAFCO 400 '!$D$23*(J115^2)+'CAFCO 400 '!$D$24*(J115)+'CAFCO 400 '!$D$25)*I115^2)+(('CAFCO 400 '!$D$26*(J115^2)+'CAFCO 400 '!$D$27*J115+'CAFCO 400 '!$D$28)*I115)+('CAFCO 400 '!$D$29*(J115^2)+'CAFCO 400 '!$D$30*J115+'CAFCO 400 '!$D$31)),0),0),0)),0)</f>
        <v>0</v>
      </c>
      <c r="R115" s="47">
        <f t="shared" si="12"/>
        <v>0</v>
      </c>
      <c r="S115" s="82">
        <f t="shared" si="9"/>
        <v>0</v>
      </c>
      <c r="T115" s="81">
        <f>+IF(AND(J115&gt;=95,J115&lt;=240),IF(AND(C115="Cj",I115=90),VLOOKUP(W115,'CAFCO 300 IDIEM TABLAS'!$B$4:$D$23,2,FALSE),0)+IF(AND(J115&gt;=95,J115&lt;=240),IF(AND(C115="Cj",I115=120),VLOOKUP(W115,'CAFCO 300 IDIEM TABLAS'!$B$4:$D$23,3,FALSE),0))+IF(AND(J115&gt;=95,J115&lt;=400,G115=3),IF(AND(C115="IN",I115=90),VLOOKUP(W115,'CAFCO 300 IDIEM TABLAS'!$F$4:$H$35,2,FALSE),0),0)+IF(AND(J115&gt;=95,J115&lt;=400,G115=3),IF(AND(C115="IN",I115=120),VLOOKUP(W115,'CAFCO 300 IDIEM TABLAS'!$F$4:$H$35,3,FALSE),0),0)+IF(AND(J115&gt;=95,J115&lt;=450,G115=4),IF(AND(C115="IN",I115=90),VLOOKUP(W115,'CAFCO 300 IDIEM TABLAS'!$J$4:$L$40,2,FALSE),0),0)+IF(AND(J115&gt;=95,J115&lt;=450,G115=4),IF(AND(C115="IN",I115=120),VLOOKUP(W115,'CAFCO 300 IDIEM TABLAS'!$J$4:$L$40,3,FALSE),0),0))</f>
        <v>17</v>
      </c>
      <c r="U115" s="48">
        <f t="shared" si="13"/>
        <v>2.9950824775353015</v>
      </c>
      <c r="V115" s="82">
        <f t="shared" si="10"/>
        <v>44968.168317715019</v>
      </c>
      <c r="W115" s="64">
        <f>+IF(J115=LOOKUP(J115,'CAFCO 300 IDIEM TABLAS'!$J$4:$J$40),'HOJA DE CÁLCULO RESPALDO'!J115,MROUND('HOJA DE CÁLCULO RESPALDO'!J115,10))</f>
        <v>95</v>
      </c>
      <c r="X115" s="36"/>
      <c r="Y115" s="4"/>
    </row>
    <row r="116" spans="1:25" ht="15.6" customHeight="1" x14ac:dyDescent="0.25">
      <c r="A116" s="2" t="s">
        <v>40</v>
      </c>
      <c r="B116" s="3" t="s">
        <v>17</v>
      </c>
      <c r="C116" s="3" t="s">
        <v>19</v>
      </c>
      <c r="D116" s="3">
        <v>1</v>
      </c>
      <c r="E116" s="2">
        <v>1</v>
      </c>
      <c r="F116" s="8">
        <v>17500</v>
      </c>
      <c r="G116" s="1">
        <v>4</v>
      </c>
      <c r="H116" s="2">
        <v>1692</v>
      </c>
      <c r="I116" s="34">
        <v>90</v>
      </c>
      <c r="J116" s="11">
        <v>95</v>
      </c>
      <c r="K116" s="44">
        <f t="shared" si="7"/>
        <v>29.61</v>
      </c>
      <c r="L116" s="3" t="s">
        <v>61</v>
      </c>
      <c r="M116" s="3" t="s">
        <v>70</v>
      </c>
      <c r="N116" s="15">
        <f>ROUND((IF(L116="Blaze Shield II",IF(M116="Idiem software",IF(AND(C116="IN",G116=4),((('BLAZE SHIELD II'!$D$4*('HOJA DE CÁLCULO RESPALDO'!I116^2)+'BLAZE SHIELD II'!$D$5*'HOJA DE CÁLCULO RESPALDO'!I116+'BLAZE SHIELD II'!$D$6)*LN(J116))+('BLAZE SHIELD II'!$D$7*('HOJA DE CÁLCULO RESPALDO'!I116^2)+'BLAZE SHIELD II'!$D$8*'HOJA DE CÁLCULO RESPALDO'!I116+'BLAZE SHIELD II'!$D$9)),0),0),0))+(IF(L116="Blaze Shield II",IF(M116="Idiem software",IF(C116="Cj",((('BLAZE SHIELD II'!$H$4*('HOJA DE CÁLCULO RESPALDO'!I116^2)+'BLAZE SHIELD II'!$H$5*'HOJA DE CÁLCULO RESPALDO'!I116+'BLAZE SHIELD II'!$H$6)*LN(J116))+('BLAZE SHIELD II'!$H$7*('HOJA DE CÁLCULO RESPALDO'!I116^2)+'BLAZE SHIELD II'!$H$8*'HOJA DE CÁLCULO RESPALDO'!I116+'BLAZE SHIELD II'!$H$9)),0),0),0))+(IF(L116="Blaze Shield II",IF(M116="Idiem software",IF(C116="C",((('BLAZE SHIELD II'!$L$4*('HOJA DE CÁLCULO RESPALDO'!I116^2)+'BLAZE SHIELD II'!$L$5*'HOJA DE CÁLCULO RESPALDO'!I116+'BLAZE SHIELD II'!$L$6)*LN(J116))+('BLAZE SHIELD II'!$L$7*('HOJA DE CÁLCULO RESPALDO'!I116^2)+'BLAZE SHIELD II'!$L$8*'HOJA DE CÁLCULO RESPALDO'!I116+'BLAZE SHIELD II'!$L$9)),0),0),0))+(IF(L116="Blaze Shield II",IF(M116="Idiem software",IF(AND(C116="IN",G116=3),((('BLAZE SHIELD II'!$H$14*('HOJA DE CÁLCULO RESPALDO'!I116^2)+'BLAZE SHIELD II'!$H$15*'HOJA DE CÁLCULO RESPALDO'!I116+'BLAZE SHIELD II'!$H$16)*LN(J116))+('BLAZE SHIELD II'!$H$17*('HOJA DE CÁLCULO RESPALDO'!I116^2)+'BLAZE SHIELD II'!$H$18*'HOJA DE CÁLCULO RESPALDO'!I116+'BLAZE SHIELD II'!$H$19)),0),0),0)),0)</f>
        <v>0</v>
      </c>
      <c r="O116" s="46">
        <f t="shared" si="11"/>
        <v>0</v>
      </c>
      <c r="P116" s="80">
        <f t="shared" si="8"/>
        <v>0</v>
      </c>
      <c r="Q116" s="85">
        <f>ROUND((IF(L116="Cafco 400",IF(M116="Idiem software",IF(AND(C116="IN",G116=4),((('CAFCO 400 '!$H$7*(J116^4)+'CAFCO 400 '!$H$8*(J116^3)+'CAFCO 400 '!$H$9*(J116^2)+'CAFCO 400 '!$H$10*J116+'CAFCO 400 '!$H$11)*I116^2)+(('CAFCO 400 '!$H$12*(J116^3)+'CAFCO 400 '!$H$13*(J116^2)+'CAFCO 400 '!$H$14*J116+'CAFCO 400 '!$H$15)*I116)+('CAFCO 400 '!$H$16*(J116^2)+'CAFCO 400 '!$H$17*J116+'CAFCO 400 '!$H$18)),0),0),0))+(IF(L116="Cafco 400",IF(M116="Idiem software",IF(C116="Cj",(((('CAFCO 400 '!$D$7*LN(J116)+'CAFCO 400 '!$D$8)*I116^2)+(('CAFCO 400 '!$D$9*LN(J116)+'CAFCO 400 '!$D$10)*I116)+('CAFCO 400 '!$D$11*LN(J116)+'CAFCO 400 '!$D$12))),0),0),0))+(IF(L116="Cafco 400",IF(M116="Idiem software",IF(C116="C",((('CAFCO 400 '!$L$7*(J116^3)+'CAFCO 400 '!$L$8*(J116^2)+'CAFCO 400 '!$L$9*J116+'CAFCO 400 '!$L$10)*I116^2)+(('CAFCO 400 '!$L$11*(J116^3)+'CAFCO 400 '!$L$12*(J116^2)+'CAFCO 400 '!$L$13*J116+'CAFCO 400 '!$L$14)*I116)+('CAFCO 400 '!$L$15*LN(J116)+'CAFCO 400 '!$L$16)),0),0),0))+(IF(L116="Cafco 400",IF(M116="Idiem software",IF(AND(C116="IN",G116=3),((('CAFCO 400 '!$D$23*(J116^2)+'CAFCO 400 '!$D$24*(J116)+'CAFCO 400 '!$D$25)*I116^2)+(('CAFCO 400 '!$D$26*(J116^2)+'CAFCO 400 '!$D$27*J116+'CAFCO 400 '!$D$28)*I116)+('CAFCO 400 '!$D$29*(J116^2)+'CAFCO 400 '!$D$30*J116+'CAFCO 400 '!$D$31)),0),0),0)),0)</f>
        <v>0</v>
      </c>
      <c r="R116" s="47">
        <f t="shared" si="12"/>
        <v>0</v>
      </c>
      <c r="S116" s="82">
        <f t="shared" si="9"/>
        <v>0</v>
      </c>
      <c r="T116" s="81">
        <f>+IF(AND(J116&gt;=95,J116&lt;=240),IF(AND(C116="Cj",I116=90),VLOOKUP(W116,'CAFCO 300 IDIEM TABLAS'!$B$4:$D$23,2,FALSE),0)+IF(AND(J116&gt;=95,J116&lt;=240),IF(AND(C116="Cj",I116=120),VLOOKUP(W116,'CAFCO 300 IDIEM TABLAS'!$B$4:$D$23,3,FALSE),0))+IF(AND(J116&gt;=95,J116&lt;=400,G116=3),IF(AND(C116="IN",I116=90),VLOOKUP(W116,'CAFCO 300 IDIEM TABLAS'!$F$4:$H$35,2,FALSE),0),0)+IF(AND(J116&gt;=95,J116&lt;=400,G116=3),IF(AND(C116="IN",I116=120),VLOOKUP(W116,'CAFCO 300 IDIEM TABLAS'!$F$4:$H$35,3,FALSE),0),0)+IF(AND(J116&gt;=95,J116&lt;=450,G116=4),IF(AND(C116="IN",I116=90),VLOOKUP(W116,'CAFCO 300 IDIEM TABLAS'!$J$4:$L$40,2,FALSE),0),0)+IF(AND(J116&gt;=95,J116&lt;=450,G116=4),IF(AND(C116="IN",I116=120),VLOOKUP(W116,'CAFCO 300 IDIEM TABLAS'!$J$4:$L$40,3,FALSE),0),0))</f>
        <v>17</v>
      </c>
      <c r="U116" s="48">
        <f t="shared" si="13"/>
        <v>6.94637676508344</v>
      </c>
      <c r="V116" s="82">
        <f t="shared" si="10"/>
        <v>104292.90075096277</v>
      </c>
      <c r="W116" s="64">
        <f>+IF(J116=LOOKUP(J116,'CAFCO 300 IDIEM TABLAS'!$J$4:$J$40),'HOJA DE CÁLCULO RESPALDO'!J116,MROUND('HOJA DE CÁLCULO RESPALDO'!J116,10))</f>
        <v>95</v>
      </c>
      <c r="X116" s="36"/>
      <c r="Y116" s="4"/>
    </row>
    <row r="117" spans="1:25" x14ac:dyDescent="0.25">
      <c r="A117" s="2" t="s">
        <v>36</v>
      </c>
      <c r="B117" s="3" t="s">
        <v>17</v>
      </c>
      <c r="C117" s="3" t="s">
        <v>19</v>
      </c>
      <c r="D117" s="3">
        <v>1</v>
      </c>
      <c r="E117" s="2">
        <v>1</v>
      </c>
      <c r="F117" s="8">
        <v>8500</v>
      </c>
      <c r="G117" s="1">
        <v>4</v>
      </c>
      <c r="H117" s="2">
        <v>1692</v>
      </c>
      <c r="I117" s="34">
        <v>90</v>
      </c>
      <c r="J117" s="11">
        <v>95</v>
      </c>
      <c r="K117" s="44">
        <f t="shared" si="7"/>
        <v>14.382</v>
      </c>
      <c r="L117" s="3" t="s">
        <v>61</v>
      </c>
      <c r="M117" s="3" t="s">
        <v>70</v>
      </c>
      <c r="N117" s="15">
        <f>ROUND((IF(L117="Blaze Shield II",IF(M117="Idiem software",IF(AND(C117="IN",G117=4),((('BLAZE SHIELD II'!$D$4*('HOJA DE CÁLCULO RESPALDO'!I117^2)+'BLAZE SHIELD II'!$D$5*'HOJA DE CÁLCULO RESPALDO'!I117+'BLAZE SHIELD II'!$D$6)*LN(J117))+('BLAZE SHIELD II'!$D$7*('HOJA DE CÁLCULO RESPALDO'!I117^2)+'BLAZE SHIELD II'!$D$8*'HOJA DE CÁLCULO RESPALDO'!I117+'BLAZE SHIELD II'!$D$9)),0),0),0))+(IF(L117="Blaze Shield II",IF(M117="Idiem software",IF(C117="Cj",((('BLAZE SHIELD II'!$H$4*('HOJA DE CÁLCULO RESPALDO'!I117^2)+'BLAZE SHIELD II'!$H$5*'HOJA DE CÁLCULO RESPALDO'!I117+'BLAZE SHIELD II'!$H$6)*LN(J117))+('BLAZE SHIELD II'!$H$7*('HOJA DE CÁLCULO RESPALDO'!I117^2)+'BLAZE SHIELD II'!$H$8*'HOJA DE CÁLCULO RESPALDO'!I117+'BLAZE SHIELD II'!$H$9)),0),0),0))+(IF(L117="Blaze Shield II",IF(M117="Idiem software",IF(C117="C",((('BLAZE SHIELD II'!$L$4*('HOJA DE CÁLCULO RESPALDO'!I117^2)+'BLAZE SHIELD II'!$L$5*'HOJA DE CÁLCULO RESPALDO'!I117+'BLAZE SHIELD II'!$L$6)*LN(J117))+('BLAZE SHIELD II'!$L$7*('HOJA DE CÁLCULO RESPALDO'!I117^2)+'BLAZE SHIELD II'!$L$8*'HOJA DE CÁLCULO RESPALDO'!I117+'BLAZE SHIELD II'!$L$9)),0),0),0))+(IF(L117="Blaze Shield II",IF(M117="Idiem software",IF(AND(C117="IN",G117=3),((('BLAZE SHIELD II'!$H$14*('HOJA DE CÁLCULO RESPALDO'!I117^2)+'BLAZE SHIELD II'!$H$15*'HOJA DE CÁLCULO RESPALDO'!I117+'BLAZE SHIELD II'!$H$16)*LN(J117))+('BLAZE SHIELD II'!$H$17*('HOJA DE CÁLCULO RESPALDO'!I117^2)+'BLAZE SHIELD II'!$H$18*'HOJA DE CÁLCULO RESPALDO'!I117+'BLAZE SHIELD II'!$H$19)),0),0),0)),0)</f>
        <v>0</v>
      </c>
      <c r="O117" s="46">
        <f t="shared" si="11"/>
        <v>0</v>
      </c>
      <c r="P117" s="80">
        <f t="shared" si="8"/>
        <v>0</v>
      </c>
      <c r="Q117" s="85">
        <f>ROUND((IF(L117="Cafco 400",IF(M117="Idiem software",IF(AND(C117="IN",G117=4),((('CAFCO 400 '!$H$7*(J117^4)+'CAFCO 400 '!$H$8*(J117^3)+'CAFCO 400 '!$H$9*(J117^2)+'CAFCO 400 '!$H$10*J117+'CAFCO 400 '!$H$11)*I117^2)+(('CAFCO 400 '!$H$12*(J117^3)+'CAFCO 400 '!$H$13*(J117^2)+'CAFCO 400 '!$H$14*J117+'CAFCO 400 '!$H$15)*I117)+('CAFCO 400 '!$H$16*(J117^2)+'CAFCO 400 '!$H$17*J117+'CAFCO 400 '!$H$18)),0),0),0))+(IF(L117="Cafco 400",IF(M117="Idiem software",IF(C117="Cj",(((('CAFCO 400 '!$D$7*LN(J117)+'CAFCO 400 '!$D$8)*I117^2)+(('CAFCO 400 '!$D$9*LN(J117)+'CAFCO 400 '!$D$10)*I117)+('CAFCO 400 '!$D$11*LN(J117)+'CAFCO 400 '!$D$12))),0),0),0))+(IF(L117="Cafco 400",IF(M117="Idiem software",IF(C117="C",((('CAFCO 400 '!$L$7*(J117^3)+'CAFCO 400 '!$L$8*(J117^2)+'CAFCO 400 '!$L$9*J117+'CAFCO 400 '!$L$10)*I117^2)+(('CAFCO 400 '!$L$11*(J117^3)+'CAFCO 400 '!$L$12*(J117^2)+'CAFCO 400 '!$L$13*J117+'CAFCO 400 '!$L$14)*I117)+('CAFCO 400 '!$L$15*LN(J117)+'CAFCO 400 '!$L$16)),0),0),0))+(IF(L117="Cafco 400",IF(M117="Idiem software",IF(AND(C117="IN",G117=3),((('CAFCO 400 '!$D$23*(J117^2)+'CAFCO 400 '!$D$24*(J117)+'CAFCO 400 '!$D$25)*I117^2)+(('CAFCO 400 '!$D$26*(J117^2)+'CAFCO 400 '!$D$27*J117+'CAFCO 400 '!$D$28)*I117)+('CAFCO 400 '!$D$29*(J117^2)+'CAFCO 400 '!$D$30*J117+'CAFCO 400 '!$D$31)),0),0),0)),0)</f>
        <v>0</v>
      </c>
      <c r="R117" s="47">
        <f t="shared" si="12"/>
        <v>0</v>
      </c>
      <c r="S117" s="82">
        <f t="shared" si="9"/>
        <v>0</v>
      </c>
      <c r="T117" s="81">
        <f>+IF(AND(J117&gt;=95,J117&lt;=240),IF(AND(C117="Cj",I117=90),VLOOKUP(W117,'CAFCO 300 IDIEM TABLAS'!$B$4:$D$23,2,FALSE),0)+IF(AND(J117&gt;=95,J117&lt;=240),IF(AND(C117="Cj",I117=120),VLOOKUP(W117,'CAFCO 300 IDIEM TABLAS'!$B$4:$D$23,3,FALSE),0))+IF(AND(J117&gt;=95,J117&lt;=400,G117=3),IF(AND(C117="IN",I117=90),VLOOKUP(W117,'CAFCO 300 IDIEM TABLAS'!$F$4:$H$35,2,FALSE),0),0)+IF(AND(J117&gt;=95,J117&lt;=400,G117=3),IF(AND(C117="IN",I117=120),VLOOKUP(W117,'CAFCO 300 IDIEM TABLAS'!$F$4:$H$35,3,FALSE),0),0)+IF(AND(J117&gt;=95,J117&lt;=450,G117=4),IF(AND(C117="IN",I117=90),VLOOKUP(W117,'CAFCO 300 IDIEM TABLAS'!$J$4:$L$40,2,FALSE),0),0)+IF(AND(J117&gt;=95,J117&lt;=450,G117=4),IF(AND(C117="IN",I117=120),VLOOKUP(W117,'CAFCO 300 IDIEM TABLAS'!$J$4:$L$40,3,FALSE),0),0))</f>
        <v>17</v>
      </c>
      <c r="U117" s="48">
        <f t="shared" si="13"/>
        <v>3.3739544287548138</v>
      </c>
      <c r="V117" s="82">
        <f t="shared" si="10"/>
        <v>50656.551793324776</v>
      </c>
      <c r="W117" s="64">
        <f>+IF(J117=LOOKUP(J117,'CAFCO 300 IDIEM TABLAS'!$J$4:$J$40),'HOJA DE CÁLCULO RESPALDO'!J117,MROUND('HOJA DE CÁLCULO RESPALDO'!J117,10))</f>
        <v>95</v>
      </c>
      <c r="X117" s="36"/>
      <c r="Y117" s="4"/>
    </row>
    <row r="118" spans="1:25" ht="15.6" customHeight="1" x14ac:dyDescent="0.25">
      <c r="A118" s="2" t="s">
        <v>36</v>
      </c>
      <c r="B118" s="3" t="s">
        <v>17</v>
      </c>
      <c r="C118" s="3" t="s">
        <v>19</v>
      </c>
      <c r="D118" s="3">
        <v>1</v>
      </c>
      <c r="E118" s="2">
        <v>1</v>
      </c>
      <c r="F118" s="8">
        <v>8500</v>
      </c>
      <c r="G118" s="1">
        <v>4</v>
      </c>
      <c r="H118" s="2">
        <v>1502</v>
      </c>
      <c r="I118" s="34">
        <v>90</v>
      </c>
      <c r="J118" s="11">
        <v>95</v>
      </c>
      <c r="K118" s="44">
        <f t="shared" si="7"/>
        <v>12.766999999999999</v>
      </c>
      <c r="L118" s="3" t="s">
        <v>61</v>
      </c>
      <c r="M118" s="3" t="s">
        <v>70</v>
      </c>
      <c r="N118" s="15">
        <f>ROUND((IF(L118="Blaze Shield II",IF(M118="Idiem software",IF(AND(C118="IN",G118=4),((('BLAZE SHIELD II'!$D$4*('HOJA DE CÁLCULO RESPALDO'!I118^2)+'BLAZE SHIELD II'!$D$5*'HOJA DE CÁLCULO RESPALDO'!I118+'BLAZE SHIELD II'!$D$6)*LN(J118))+('BLAZE SHIELD II'!$D$7*('HOJA DE CÁLCULO RESPALDO'!I118^2)+'BLAZE SHIELD II'!$D$8*'HOJA DE CÁLCULO RESPALDO'!I118+'BLAZE SHIELD II'!$D$9)),0),0),0))+(IF(L118="Blaze Shield II",IF(M118="Idiem software",IF(C118="Cj",((('BLAZE SHIELD II'!$H$4*('HOJA DE CÁLCULO RESPALDO'!I118^2)+'BLAZE SHIELD II'!$H$5*'HOJA DE CÁLCULO RESPALDO'!I118+'BLAZE SHIELD II'!$H$6)*LN(J118))+('BLAZE SHIELD II'!$H$7*('HOJA DE CÁLCULO RESPALDO'!I118^2)+'BLAZE SHIELD II'!$H$8*'HOJA DE CÁLCULO RESPALDO'!I118+'BLAZE SHIELD II'!$H$9)),0),0),0))+(IF(L118="Blaze Shield II",IF(M118="Idiem software",IF(C118="C",((('BLAZE SHIELD II'!$L$4*('HOJA DE CÁLCULO RESPALDO'!I118^2)+'BLAZE SHIELD II'!$L$5*'HOJA DE CÁLCULO RESPALDO'!I118+'BLAZE SHIELD II'!$L$6)*LN(J118))+('BLAZE SHIELD II'!$L$7*('HOJA DE CÁLCULO RESPALDO'!I118^2)+'BLAZE SHIELD II'!$L$8*'HOJA DE CÁLCULO RESPALDO'!I118+'BLAZE SHIELD II'!$L$9)),0),0),0))+(IF(L118="Blaze Shield II",IF(M118="Idiem software",IF(AND(C118="IN",G118=3),((('BLAZE SHIELD II'!$H$14*('HOJA DE CÁLCULO RESPALDO'!I118^2)+'BLAZE SHIELD II'!$H$15*'HOJA DE CÁLCULO RESPALDO'!I118+'BLAZE SHIELD II'!$H$16)*LN(J118))+('BLAZE SHIELD II'!$H$17*('HOJA DE CÁLCULO RESPALDO'!I118^2)+'BLAZE SHIELD II'!$H$18*'HOJA DE CÁLCULO RESPALDO'!I118+'BLAZE SHIELD II'!$H$19)),0),0),0)),0)</f>
        <v>0</v>
      </c>
      <c r="O118" s="46">
        <f t="shared" si="11"/>
        <v>0</v>
      </c>
      <c r="P118" s="80">
        <f t="shared" si="8"/>
        <v>0</v>
      </c>
      <c r="Q118" s="85">
        <f>ROUND((IF(L118="Cafco 400",IF(M118="Idiem software",IF(AND(C118="IN",G118=4),((('CAFCO 400 '!$H$7*(J118^4)+'CAFCO 400 '!$H$8*(J118^3)+'CAFCO 400 '!$H$9*(J118^2)+'CAFCO 400 '!$H$10*J118+'CAFCO 400 '!$H$11)*I118^2)+(('CAFCO 400 '!$H$12*(J118^3)+'CAFCO 400 '!$H$13*(J118^2)+'CAFCO 400 '!$H$14*J118+'CAFCO 400 '!$H$15)*I118)+('CAFCO 400 '!$H$16*(J118^2)+'CAFCO 400 '!$H$17*J118+'CAFCO 400 '!$H$18)),0),0),0))+(IF(L118="Cafco 400",IF(M118="Idiem software",IF(C118="Cj",(((('CAFCO 400 '!$D$7*LN(J118)+'CAFCO 400 '!$D$8)*I118^2)+(('CAFCO 400 '!$D$9*LN(J118)+'CAFCO 400 '!$D$10)*I118)+('CAFCO 400 '!$D$11*LN(J118)+'CAFCO 400 '!$D$12))),0),0),0))+(IF(L118="Cafco 400",IF(M118="Idiem software",IF(C118="C",((('CAFCO 400 '!$L$7*(J118^3)+'CAFCO 400 '!$L$8*(J118^2)+'CAFCO 400 '!$L$9*J118+'CAFCO 400 '!$L$10)*I118^2)+(('CAFCO 400 '!$L$11*(J118^3)+'CAFCO 400 '!$L$12*(J118^2)+'CAFCO 400 '!$L$13*J118+'CAFCO 400 '!$L$14)*I118)+('CAFCO 400 '!$L$15*LN(J118)+'CAFCO 400 '!$L$16)),0),0),0))+(IF(L118="Cafco 400",IF(M118="Idiem software",IF(AND(C118="IN",G118=3),((('CAFCO 400 '!$D$23*(J118^2)+'CAFCO 400 '!$D$24*(J118)+'CAFCO 400 '!$D$25)*I118^2)+(('CAFCO 400 '!$D$26*(J118^2)+'CAFCO 400 '!$D$27*J118+'CAFCO 400 '!$D$28)*I118)+('CAFCO 400 '!$D$29*(J118^2)+'CAFCO 400 '!$D$30*J118+'CAFCO 400 '!$D$31)),0),0),0)),0)</f>
        <v>0</v>
      </c>
      <c r="R118" s="47">
        <f t="shared" si="12"/>
        <v>0</v>
      </c>
      <c r="S118" s="82">
        <f t="shared" si="9"/>
        <v>0</v>
      </c>
      <c r="T118" s="81">
        <f>+IF(AND(J118&gt;=95,J118&lt;=240),IF(AND(C118="Cj",I118=90),VLOOKUP(W118,'CAFCO 300 IDIEM TABLAS'!$B$4:$D$23,2,FALSE),0)+IF(AND(J118&gt;=95,J118&lt;=240),IF(AND(C118="Cj",I118=120),VLOOKUP(W118,'CAFCO 300 IDIEM TABLAS'!$B$4:$D$23,3,FALSE),0))+IF(AND(J118&gt;=95,J118&lt;=400,G118=3),IF(AND(C118="IN",I118=90),VLOOKUP(W118,'CAFCO 300 IDIEM TABLAS'!$F$4:$H$35,2,FALSE),0),0)+IF(AND(J118&gt;=95,J118&lt;=400,G118=3),IF(AND(C118="IN",I118=120),VLOOKUP(W118,'CAFCO 300 IDIEM TABLAS'!$F$4:$H$35,3,FALSE),0),0)+IF(AND(J118&gt;=95,J118&lt;=450,G118=4),IF(AND(C118="IN",I118=90),VLOOKUP(W118,'CAFCO 300 IDIEM TABLAS'!$J$4:$L$40,2,FALSE),0),0)+IF(AND(J118&gt;=95,J118&lt;=450,G118=4),IF(AND(C118="IN",I118=120),VLOOKUP(W118,'CAFCO 300 IDIEM TABLAS'!$J$4:$L$40,3,FALSE),0),0))</f>
        <v>17</v>
      </c>
      <c r="U118" s="48">
        <f t="shared" si="13"/>
        <v>2.9950824775353015</v>
      </c>
      <c r="V118" s="82">
        <f t="shared" si="10"/>
        <v>44968.168317715019</v>
      </c>
      <c r="W118" s="64">
        <f>+IF(J118=LOOKUP(J118,'CAFCO 300 IDIEM TABLAS'!$J$4:$J$40),'HOJA DE CÁLCULO RESPALDO'!J118,MROUND('HOJA DE CÁLCULO RESPALDO'!J118,10))</f>
        <v>95</v>
      </c>
      <c r="X118" s="36"/>
      <c r="Y118" s="4"/>
    </row>
    <row r="119" spans="1:25" x14ac:dyDescent="0.25">
      <c r="A119" s="2" t="s">
        <v>36</v>
      </c>
      <c r="B119" s="3" t="s">
        <v>17</v>
      </c>
      <c r="C119" s="3" t="s">
        <v>19</v>
      </c>
      <c r="D119" s="3">
        <v>1</v>
      </c>
      <c r="E119" s="2">
        <v>1</v>
      </c>
      <c r="F119" s="8">
        <v>11097</v>
      </c>
      <c r="G119" s="1">
        <v>4</v>
      </c>
      <c r="H119" s="2">
        <v>585</v>
      </c>
      <c r="I119" s="34">
        <v>90</v>
      </c>
      <c r="J119" s="11">
        <v>95</v>
      </c>
      <c r="K119" s="44">
        <f t="shared" si="7"/>
        <v>6.4917449999999999</v>
      </c>
      <c r="L119" s="3" t="s">
        <v>61</v>
      </c>
      <c r="M119" s="3" t="s">
        <v>70</v>
      </c>
      <c r="N119" s="15">
        <f>ROUND((IF(L119="Blaze Shield II",IF(M119="Idiem software",IF(AND(C119="IN",G119=4),((('BLAZE SHIELD II'!$D$4*('HOJA DE CÁLCULO RESPALDO'!I119^2)+'BLAZE SHIELD II'!$D$5*'HOJA DE CÁLCULO RESPALDO'!I119+'BLAZE SHIELD II'!$D$6)*LN(J119))+('BLAZE SHIELD II'!$D$7*('HOJA DE CÁLCULO RESPALDO'!I119^2)+'BLAZE SHIELD II'!$D$8*'HOJA DE CÁLCULO RESPALDO'!I119+'BLAZE SHIELD II'!$D$9)),0),0),0))+(IF(L119="Blaze Shield II",IF(M119="Idiem software",IF(C119="Cj",((('BLAZE SHIELD II'!$H$4*('HOJA DE CÁLCULO RESPALDO'!I119^2)+'BLAZE SHIELD II'!$H$5*'HOJA DE CÁLCULO RESPALDO'!I119+'BLAZE SHIELD II'!$H$6)*LN(J119))+('BLAZE SHIELD II'!$H$7*('HOJA DE CÁLCULO RESPALDO'!I119^2)+'BLAZE SHIELD II'!$H$8*'HOJA DE CÁLCULO RESPALDO'!I119+'BLAZE SHIELD II'!$H$9)),0),0),0))+(IF(L119="Blaze Shield II",IF(M119="Idiem software",IF(C119="C",((('BLAZE SHIELD II'!$L$4*('HOJA DE CÁLCULO RESPALDO'!I119^2)+'BLAZE SHIELD II'!$L$5*'HOJA DE CÁLCULO RESPALDO'!I119+'BLAZE SHIELD II'!$L$6)*LN(J119))+('BLAZE SHIELD II'!$L$7*('HOJA DE CÁLCULO RESPALDO'!I119^2)+'BLAZE SHIELD II'!$L$8*'HOJA DE CÁLCULO RESPALDO'!I119+'BLAZE SHIELD II'!$L$9)),0),0),0))+(IF(L119="Blaze Shield II",IF(M119="Idiem software",IF(AND(C119="IN",G119=3),((('BLAZE SHIELD II'!$H$14*('HOJA DE CÁLCULO RESPALDO'!I119^2)+'BLAZE SHIELD II'!$H$15*'HOJA DE CÁLCULO RESPALDO'!I119+'BLAZE SHIELD II'!$H$16)*LN(J119))+('BLAZE SHIELD II'!$H$17*('HOJA DE CÁLCULO RESPALDO'!I119^2)+'BLAZE SHIELD II'!$H$18*'HOJA DE CÁLCULO RESPALDO'!I119+'BLAZE SHIELD II'!$H$19)),0),0),0)),0)</f>
        <v>0</v>
      </c>
      <c r="O119" s="46">
        <f t="shared" si="11"/>
        <v>0</v>
      </c>
      <c r="P119" s="80">
        <f t="shared" si="8"/>
        <v>0</v>
      </c>
      <c r="Q119" s="85">
        <f>ROUND((IF(L119="Cafco 400",IF(M119="Idiem software",IF(AND(C119="IN",G119=4),((('CAFCO 400 '!$H$7*(J119^4)+'CAFCO 400 '!$H$8*(J119^3)+'CAFCO 400 '!$H$9*(J119^2)+'CAFCO 400 '!$H$10*J119+'CAFCO 400 '!$H$11)*I119^2)+(('CAFCO 400 '!$H$12*(J119^3)+'CAFCO 400 '!$H$13*(J119^2)+'CAFCO 400 '!$H$14*J119+'CAFCO 400 '!$H$15)*I119)+('CAFCO 400 '!$H$16*(J119^2)+'CAFCO 400 '!$H$17*J119+'CAFCO 400 '!$H$18)),0),0),0))+(IF(L119="Cafco 400",IF(M119="Idiem software",IF(C119="Cj",(((('CAFCO 400 '!$D$7*LN(J119)+'CAFCO 400 '!$D$8)*I119^2)+(('CAFCO 400 '!$D$9*LN(J119)+'CAFCO 400 '!$D$10)*I119)+('CAFCO 400 '!$D$11*LN(J119)+'CAFCO 400 '!$D$12))),0),0),0))+(IF(L119="Cafco 400",IF(M119="Idiem software",IF(C119="C",((('CAFCO 400 '!$L$7*(J119^3)+'CAFCO 400 '!$L$8*(J119^2)+'CAFCO 400 '!$L$9*J119+'CAFCO 400 '!$L$10)*I119^2)+(('CAFCO 400 '!$L$11*(J119^3)+'CAFCO 400 '!$L$12*(J119^2)+'CAFCO 400 '!$L$13*J119+'CAFCO 400 '!$L$14)*I119)+('CAFCO 400 '!$L$15*LN(J119)+'CAFCO 400 '!$L$16)),0),0),0))+(IF(L119="Cafco 400",IF(M119="Idiem software",IF(AND(C119="IN",G119=3),((('CAFCO 400 '!$D$23*(J119^2)+'CAFCO 400 '!$D$24*(J119)+'CAFCO 400 '!$D$25)*I119^2)+(('CAFCO 400 '!$D$26*(J119^2)+'CAFCO 400 '!$D$27*J119+'CAFCO 400 '!$D$28)*I119)+('CAFCO 400 '!$D$29*(J119^2)+'CAFCO 400 '!$D$30*J119+'CAFCO 400 '!$D$31)),0),0),0)),0)</f>
        <v>0</v>
      </c>
      <c r="R119" s="47">
        <f t="shared" si="12"/>
        <v>0</v>
      </c>
      <c r="S119" s="82">
        <f t="shared" si="9"/>
        <v>0</v>
      </c>
      <c r="T119" s="81">
        <f>+IF(AND(J119&gt;=95,J119&lt;=240),IF(AND(C119="Cj",I119=90),VLOOKUP(W119,'CAFCO 300 IDIEM TABLAS'!$B$4:$D$23,2,FALSE),0)+IF(AND(J119&gt;=95,J119&lt;=240),IF(AND(C119="Cj",I119=120),VLOOKUP(W119,'CAFCO 300 IDIEM TABLAS'!$B$4:$D$23,3,FALSE),0))+IF(AND(J119&gt;=95,J119&lt;=400,G119=3),IF(AND(C119="IN",I119=90),VLOOKUP(W119,'CAFCO 300 IDIEM TABLAS'!$F$4:$H$35,2,FALSE),0),0)+IF(AND(J119&gt;=95,J119&lt;=400,G119=3),IF(AND(C119="IN",I119=120),VLOOKUP(W119,'CAFCO 300 IDIEM TABLAS'!$F$4:$H$35,3,FALSE),0),0)+IF(AND(J119&gt;=95,J119&lt;=450,G119=4),IF(AND(C119="IN",I119=90),VLOOKUP(W119,'CAFCO 300 IDIEM TABLAS'!$J$4:$L$40,2,FALSE),0),0)+IF(AND(J119&gt;=95,J119&lt;=450,G119=4),IF(AND(C119="IN",I119=120),VLOOKUP(W119,'CAFCO 300 IDIEM TABLAS'!$J$4:$L$40,3,FALSE),0),0))</f>
        <v>17</v>
      </c>
      <c r="U119" s="48">
        <f t="shared" si="13"/>
        <v>1.5229350433247753</v>
      </c>
      <c r="V119" s="82">
        <f t="shared" si="10"/>
        <v>22865.346740478177</v>
      </c>
      <c r="W119" s="64">
        <f>+IF(J119=LOOKUP(J119,'CAFCO 300 IDIEM TABLAS'!$J$4:$J$40),'HOJA DE CÁLCULO RESPALDO'!J119,MROUND('HOJA DE CÁLCULO RESPALDO'!J119,10))</f>
        <v>95</v>
      </c>
      <c r="X119" s="36"/>
      <c r="Y119" s="4"/>
    </row>
    <row r="120" spans="1:25" ht="15.6" customHeight="1" x14ac:dyDescent="0.25">
      <c r="A120" s="2" t="s">
        <v>40</v>
      </c>
      <c r="B120" s="3" t="s">
        <v>17</v>
      </c>
      <c r="C120" s="3" t="s">
        <v>19</v>
      </c>
      <c r="D120" s="3">
        <v>1</v>
      </c>
      <c r="E120" s="2">
        <v>1</v>
      </c>
      <c r="F120" s="8">
        <v>1500</v>
      </c>
      <c r="G120" s="1">
        <v>4</v>
      </c>
      <c r="H120" s="2">
        <v>776</v>
      </c>
      <c r="I120" s="34">
        <v>90</v>
      </c>
      <c r="J120" s="11">
        <v>95</v>
      </c>
      <c r="K120" s="44">
        <f t="shared" si="7"/>
        <v>1.1639999999999999</v>
      </c>
      <c r="L120" s="3" t="s">
        <v>61</v>
      </c>
      <c r="M120" s="3" t="s">
        <v>70</v>
      </c>
      <c r="N120" s="15">
        <f>ROUND((IF(L120="Blaze Shield II",IF(M120="Idiem software",IF(AND(C120="IN",G120=4),((('BLAZE SHIELD II'!$D$4*('HOJA DE CÁLCULO RESPALDO'!I120^2)+'BLAZE SHIELD II'!$D$5*'HOJA DE CÁLCULO RESPALDO'!I120+'BLAZE SHIELD II'!$D$6)*LN(J120))+('BLAZE SHIELD II'!$D$7*('HOJA DE CÁLCULO RESPALDO'!I120^2)+'BLAZE SHIELD II'!$D$8*'HOJA DE CÁLCULO RESPALDO'!I120+'BLAZE SHIELD II'!$D$9)),0),0),0))+(IF(L120="Blaze Shield II",IF(M120="Idiem software",IF(C120="Cj",((('BLAZE SHIELD II'!$H$4*('HOJA DE CÁLCULO RESPALDO'!I120^2)+'BLAZE SHIELD II'!$H$5*'HOJA DE CÁLCULO RESPALDO'!I120+'BLAZE SHIELD II'!$H$6)*LN(J120))+('BLAZE SHIELD II'!$H$7*('HOJA DE CÁLCULO RESPALDO'!I120^2)+'BLAZE SHIELD II'!$H$8*'HOJA DE CÁLCULO RESPALDO'!I120+'BLAZE SHIELD II'!$H$9)),0),0),0))+(IF(L120="Blaze Shield II",IF(M120="Idiem software",IF(C120="C",((('BLAZE SHIELD II'!$L$4*('HOJA DE CÁLCULO RESPALDO'!I120^2)+'BLAZE SHIELD II'!$L$5*'HOJA DE CÁLCULO RESPALDO'!I120+'BLAZE SHIELD II'!$L$6)*LN(J120))+('BLAZE SHIELD II'!$L$7*('HOJA DE CÁLCULO RESPALDO'!I120^2)+'BLAZE SHIELD II'!$L$8*'HOJA DE CÁLCULO RESPALDO'!I120+'BLAZE SHIELD II'!$L$9)),0),0),0))+(IF(L120="Blaze Shield II",IF(M120="Idiem software",IF(AND(C120="IN",G120=3),((('BLAZE SHIELD II'!$H$14*('HOJA DE CÁLCULO RESPALDO'!I120^2)+'BLAZE SHIELD II'!$H$15*'HOJA DE CÁLCULO RESPALDO'!I120+'BLAZE SHIELD II'!$H$16)*LN(J120))+('BLAZE SHIELD II'!$H$17*('HOJA DE CÁLCULO RESPALDO'!I120^2)+'BLAZE SHIELD II'!$H$18*'HOJA DE CÁLCULO RESPALDO'!I120+'BLAZE SHIELD II'!$H$19)),0),0),0)),0)</f>
        <v>0</v>
      </c>
      <c r="O120" s="46">
        <f t="shared" si="11"/>
        <v>0</v>
      </c>
      <c r="P120" s="80">
        <f t="shared" si="8"/>
        <v>0</v>
      </c>
      <c r="Q120" s="85">
        <f>ROUND((IF(L120="Cafco 400",IF(M120="Idiem software",IF(AND(C120="IN",G120=4),((('CAFCO 400 '!$H$7*(J120^4)+'CAFCO 400 '!$H$8*(J120^3)+'CAFCO 400 '!$H$9*(J120^2)+'CAFCO 400 '!$H$10*J120+'CAFCO 400 '!$H$11)*I120^2)+(('CAFCO 400 '!$H$12*(J120^3)+'CAFCO 400 '!$H$13*(J120^2)+'CAFCO 400 '!$H$14*J120+'CAFCO 400 '!$H$15)*I120)+('CAFCO 400 '!$H$16*(J120^2)+'CAFCO 400 '!$H$17*J120+'CAFCO 400 '!$H$18)),0),0),0))+(IF(L120="Cafco 400",IF(M120="Idiem software",IF(C120="Cj",(((('CAFCO 400 '!$D$7*LN(J120)+'CAFCO 400 '!$D$8)*I120^2)+(('CAFCO 400 '!$D$9*LN(J120)+'CAFCO 400 '!$D$10)*I120)+('CAFCO 400 '!$D$11*LN(J120)+'CAFCO 400 '!$D$12))),0),0),0))+(IF(L120="Cafco 400",IF(M120="Idiem software",IF(C120="C",((('CAFCO 400 '!$L$7*(J120^3)+'CAFCO 400 '!$L$8*(J120^2)+'CAFCO 400 '!$L$9*J120+'CAFCO 400 '!$L$10)*I120^2)+(('CAFCO 400 '!$L$11*(J120^3)+'CAFCO 400 '!$L$12*(J120^2)+'CAFCO 400 '!$L$13*J120+'CAFCO 400 '!$L$14)*I120)+('CAFCO 400 '!$L$15*LN(J120)+'CAFCO 400 '!$L$16)),0),0),0))+(IF(L120="Cafco 400",IF(M120="Idiem software",IF(AND(C120="IN",G120=3),((('CAFCO 400 '!$D$23*(J120^2)+'CAFCO 400 '!$D$24*(J120)+'CAFCO 400 '!$D$25)*I120^2)+(('CAFCO 400 '!$D$26*(J120^2)+'CAFCO 400 '!$D$27*J120+'CAFCO 400 '!$D$28)*I120)+('CAFCO 400 '!$D$29*(J120^2)+'CAFCO 400 '!$D$30*J120+'CAFCO 400 '!$D$31)),0),0),0)),0)</f>
        <v>0</v>
      </c>
      <c r="R120" s="47">
        <f t="shared" si="12"/>
        <v>0</v>
      </c>
      <c r="S120" s="82">
        <f t="shared" si="9"/>
        <v>0</v>
      </c>
      <c r="T120" s="81">
        <f>+IF(AND(J120&gt;=95,J120&lt;=240),IF(AND(C120="Cj",I120=90),VLOOKUP(W120,'CAFCO 300 IDIEM TABLAS'!$B$4:$D$23,2,FALSE),0)+IF(AND(J120&gt;=95,J120&lt;=240),IF(AND(C120="Cj",I120=120),VLOOKUP(W120,'CAFCO 300 IDIEM TABLAS'!$B$4:$D$23,3,FALSE),0))+IF(AND(J120&gt;=95,J120&lt;=400,G120=3),IF(AND(C120="IN",I120=90),VLOOKUP(W120,'CAFCO 300 IDIEM TABLAS'!$F$4:$H$35,2,FALSE),0),0)+IF(AND(J120&gt;=95,J120&lt;=400,G120=3),IF(AND(C120="IN",I120=120),VLOOKUP(W120,'CAFCO 300 IDIEM TABLAS'!$F$4:$H$35,3,FALSE),0),0)+IF(AND(J120&gt;=95,J120&lt;=450,G120=4),IF(AND(C120="IN",I120=90),VLOOKUP(W120,'CAFCO 300 IDIEM TABLAS'!$J$4:$L$40,2,FALSE),0),0)+IF(AND(J120&gt;=95,J120&lt;=450,G120=4),IF(AND(C120="IN",I120=120),VLOOKUP(W120,'CAFCO 300 IDIEM TABLAS'!$J$4:$L$40,3,FALSE),0),0))</f>
        <v>17</v>
      </c>
      <c r="U120" s="48">
        <f t="shared" si="13"/>
        <v>0.2730693196405648</v>
      </c>
      <c r="V120" s="82">
        <f t="shared" si="10"/>
        <v>4099.8627650834396</v>
      </c>
      <c r="W120" s="64">
        <f>+IF(J120=LOOKUP(J120,'CAFCO 300 IDIEM TABLAS'!$J$4:$J$40),'HOJA DE CÁLCULO RESPALDO'!J120,MROUND('HOJA DE CÁLCULO RESPALDO'!J120,10))</f>
        <v>95</v>
      </c>
      <c r="X120" s="36"/>
      <c r="Y120" s="4"/>
    </row>
    <row r="121" spans="1:25" x14ac:dyDescent="0.25">
      <c r="A121" s="2" t="s">
        <v>40</v>
      </c>
      <c r="B121" s="3" t="s">
        <v>17</v>
      </c>
      <c r="C121" s="3" t="s">
        <v>19</v>
      </c>
      <c r="D121" s="3">
        <v>1</v>
      </c>
      <c r="E121" s="2">
        <v>1</v>
      </c>
      <c r="F121" s="8">
        <v>1500</v>
      </c>
      <c r="G121" s="1">
        <v>4</v>
      </c>
      <c r="H121" s="2">
        <v>3879</v>
      </c>
      <c r="I121" s="34">
        <v>90</v>
      </c>
      <c r="J121" s="11">
        <v>95</v>
      </c>
      <c r="K121" s="44">
        <f t="shared" si="7"/>
        <v>5.8185000000000002</v>
      </c>
      <c r="L121" s="3" t="s">
        <v>61</v>
      </c>
      <c r="M121" s="3" t="s">
        <v>70</v>
      </c>
      <c r="N121" s="15">
        <f>ROUND((IF(L121="Blaze Shield II",IF(M121="Idiem software",IF(AND(C121="IN",G121=4),((('BLAZE SHIELD II'!$D$4*('HOJA DE CÁLCULO RESPALDO'!I121^2)+'BLAZE SHIELD II'!$D$5*'HOJA DE CÁLCULO RESPALDO'!I121+'BLAZE SHIELD II'!$D$6)*LN(J121))+('BLAZE SHIELD II'!$D$7*('HOJA DE CÁLCULO RESPALDO'!I121^2)+'BLAZE SHIELD II'!$D$8*'HOJA DE CÁLCULO RESPALDO'!I121+'BLAZE SHIELD II'!$D$9)),0),0),0))+(IF(L121="Blaze Shield II",IF(M121="Idiem software",IF(C121="Cj",((('BLAZE SHIELD II'!$H$4*('HOJA DE CÁLCULO RESPALDO'!I121^2)+'BLAZE SHIELD II'!$H$5*'HOJA DE CÁLCULO RESPALDO'!I121+'BLAZE SHIELD II'!$H$6)*LN(J121))+('BLAZE SHIELD II'!$H$7*('HOJA DE CÁLCULO RESPALDO'!I121^2)+'BLAZE SHIELD II'!$H$8*'HOJA DE CÁLCULO RESPALDO'!I121+'BLAZE SHIELD II'!$H$9)),0),0),0))+(IF(L121="Blaze Shield II",IF(M121="Idiem software",IF(C121="C",((('BLAZE SHIELD II'!$L$4*('HOJA DE CÁLCULO RESPALDO'!I121^2)+'BLAZE SHIELD II'!$L$5*'HOJA DE CÁLCULO RESPALDO'!I121+'BLAZE SHIELD II'!$L$6)*LN(J121))+('BLAZE SHIELD II'!$L$7*('HOJA DE CÁLCULO RESPALDO'!I121^2)+'BLAZE SHIELD II'!$L$8*'HOJA DE CÁLCULO RESPALDO'!I121+'BLAZE SHIELD II'!$L$9)),0),0),0))+(IF(L121="Blaze Shield II",IF(M121="Idiem software",IF(AND(C121="IN",G121=3),((('BLAZE SHIELD II'!$H$14*('HOJA DE CÁLCULO RESPALDO'!I121^2)+'BLAZE SHIELD II'!$H$15*'HOJA DE CÁLCULO RESPALDO'!I121+'BLAZE SHIELD II'!$H$16)*LN(J121))+('BLAZE SHIELD II'!$H$17*('HOJA DE CÁLCULO RESPALDO'!I121^2)+'BLAZE SHIELD II'!$H$18*'HOJA DE CÁLCULO RESPALDO'!I121+'BLAZE SHIELD II'!$H$19)),0),0),0)),0)</f>
        <v>0</v>
      </c>
      <c r="O121" s="46">
        <f t="shared" si="11"/>
        <v>0</v>
      </c>
      <c r="P121" s="80">
        <f t="shared" si="8"/>
        <v>0</v>
      </c>
      <c r="Q121" s="85">
        <f>ROUND((IF(L121="Cafco 400",IF(M121="Idiem software",IF(AND(C121="IN",G121=4),((('CAFCO 400 '!$H$7*(J121^4)+'CAFCO 400 '!$H$8*(J121^3)+'CAFCO 400 '!$H$9*(J121^2)+'CAFCO 400 '!$H$10*J121+'CAFCO 400 '!$H$11)*I121^2)+(('CAFCO 400 '!$H$12*(J121^3)+'CAFCO 400 '!$H$13*(J121^2)+'CAFCO 400 '!$H$14*J121+'CAFCO 400 '!$H$15)*I121)+('CAFCO 400 '!$H$16*(J121^2)+'CAFCO 400 '!$H$17*J121+'CAFCO 400 '!$H$18)),0),0),0))+(IF(L121="Cafco 400",IF(M121="Idiem software",IF(C121="Cj",(((('CAFCO 400 '!$D$7*LN(J121)+'CAFCO 400 '!$D$8)*I121^2)+(('CAFCO 400 '!$D$9*LN(J121)+'CAFCO 400 '!$D$10)*I121)+('CAFCO 400 '!$D$11*LN(J121)+'CAFCO 400 '!$D$12))),0),0),0))+(IF(L121="Cafco 400",IF(M121="Idiem software",IF(C121="C",((('CAFCO 400 '!$L$7*(J121^3)+'CAFCO 400 '!$L$8*(J121^2)+'CAFCO 400 '!$L$9*J121+'CAFCO 400 '!$L$10)*I121^2)+(('CAFCO 400 '!$L$11*(J121^3)+'CAFCO 400 '!$L$12*(J121^2)+'CAFCO 400 '!$L$13*J121+'CAFCO 400 '!$L$14)*I121)+('CAFCO 400 '!$L$15*LN(J121)+'CAFCO 400 '!$L$16)),0),0),0))+(IF(L121="Cafco 400",IF(M121="Idiem software",IF(AND(C121="IN",G121=3),((('CAFCO 400 '!$D$23*(J121^2)+'CAFCO 400 '!$D$24*(J121)+'CAFCO 400 '!$D$25)*I121^2)+(('CAFCO 400 '!$D$26*(J121^2)+'CAFCO 400 '!$D$27*J121+'CAFCO 400 '!$D$28)*I121)+('CAFCO 400 '!$D$29*(J121^2)+'CAFCO 400 '!$D$30*J121+'CAFCO 400 '!$D$31)),0),0),0)),0)</f>
        <v>0</v>
      </c>
      <c r="R121" s="47">
        <f t="shared" si="12"/>
        <v>0</v>
      </c>
      <c r="S121" s="82">
        <f t="shared" si="9"/>
        <v>0</v>
      </c>
      <c r="T121" s="81">
        <f>+IF(AND(J121&gt;=95,J121&lt;=240),IF(AND(C121="Cj",I121=90),VLOOKUP(W121,'CAFCO 300 IDIEM TABLAS'!$B$4:$D$23,2,FALSE),0)+IF(AND(J121&gt;=95,J121&lt;=240),IF(AND(C121="Cj",I121=120),VLOOKUP(W121,'CAFCO 300 IDIEM TABLAS'!$B$4:$D$23,3,FALSE),0))+IF(AND(J121&gt;=95,J121&lt;=400,G121=3),IF(AND(C121="IN",I121=90),VLOOKUP(W121,'CAFCO 300 IDIEM TABLAS'!$F$4:$H$35,2,FALSE),0),0)+IF(AND(J121&gt;=95,J121&lt;=400,G121=3),IF(AND(C121="IN",I121=120),VLOOKUP(W121,'CAFCO 300 IDIEM TABLAS'!$F$4:$H$35,3,FALSE),0),0)+IF(AND(J121&gt;=95,J121&lt;=450,G121=4),IF(AND(C121="IN",I121=90),VLOOKUP(W121,'CAFCO 300 IDIEM TABLAS'!$J$4:$L$40,2,FALSE),0),0)+IF(AND(J121&gt;=95,J121&lt;=450,G121=4),IF(AND(C121="IN",I121=120),VLOOKUP(W121,'CAFCO 300 IDIEM TABLAS'!$J$4:$L$40,3,FALSE),0),0))</f>
        <v>17</v>
      </c>
      <c r="U121" s="48">
        <f t="shared" si="13"/>
        <v>1.3649947047496791</v>
      </c>
      <c r="V121" s="82">
        <f t="shared" si="10"/>
        <v>20494.030497111682</v>
      </c>
      <c r="W121" s="64">
        <f>+IF(J121=LOOKUP(J121,'CAFCO 300 IDIEM TABLAS'!$J$4:$J$40),'HOJA DE CÁLCULO RESPALDO'!J121,MROUND('HOJA DE CÁLCULO RESPALDO'!J121,10))</f>
        <v>95</v>
      </c>
      <c r="X121" s="36"/>
      <c r="Y121" s="4"/>
    </row>
    <row r="122" spans="1:25" ht="15.6" customHeight="1" x14ac:dyDescent="0.25">
      <c r="A122" s="2" t="s">
        <v>40</v>
      </c>
      <c r="B122" s="3" t="s">
        <v>17</v>
      </c>
      <c r="C122" s="3" t="s">
        <v>19</v>
      </c>
      <c r="D122" s="3">
        <v>1</v>
      </c>
      <c r="E122" s="2">
        <v>1</v>
      </c>
      <c r="F122" s="8">
        <v>11081</v>
      </c>
      <c r="G122" s="1">
        <v>4</v>
      </c>
      <c r="H122" s="2">
        <v>585</v>
      </c>
      <c r="I122" s="34">
        <v>90</v>
      </c>
      <c r="J122" s="11">
        <v>95</v>
      </c>
      <c r="K122" s="44">
        <f t="shared" si="7"/>
        <v>6.4823849999999998</v>
      </c>
      <c r="L122" s="3" t="s">
        <v>61</v>
      </c>
      <c r="M122" s="3" t="s">
        <v>70</v>
      </c>
      <c r="N122" s="15">
        <f>ROUND((IF(L122="Blaze Shield II",IF(M122="Idiem software",IF(AND(C122="IN",G122=4),((('BLAZE SHIELD II'!$D$4*('HOJA DE CÁLCULO RESPALDO'!I122^2)+'BLAZE SHIELD II'!$D$5*'HOJA DE CÁLCULO RESPALDO'!I122+'BLAZE SHIELD II'!$D$6)*LN(J122))+('BLAZE SHIELD II'!$D$7*('HOJA DE CÁLCULO RESPALDO'!I122^2)+'BLAZE SHIELD II'!$D$8*'HOJA DE CÁLCULO RESPALDO'!I122+'BLAZE SHIELD II'!$D$9)),0),0),0))+(IF(L122="Blaze Shield II",IF(M122="Idiem software",IF(C122="Cj",((('BLAZE SHIELD II'!$H$4*('HOJA DE CÁLCULO RESPALDO'!I122^2)+'BLAZE SHIELD II'!$H$5*'HOJA DE CÁLCULO RESPALDO'!I122+'BLAZE SHIELD II'!$H$6)*LN(J122))+('BLAZE SHIELD II'!$H$7*('HOJA DE CÁLCULO RESPALDO'!I122^2)+'BLAZE SHIELD II'!$H$8*'HOJA DE CÁLCULO RESPALDO'!I122+'BLAZE SHIELD II'!$H$9)),0),0),0))+(IF(L122="Blaze Shield II",IF(M122="Idiem software",IF(C122="C",((('BLAZE SHIELD II'!$L$4*('HOJA DE CÁLCULO RESPALDO'!I122^2)+'BLAZE SHIELD II'!$L$5*'HOJA DE CÁLCULO RESPALDO'!I122+'BLAZE SHIELD II'!$L$6)*LN(J122))+('BLAZE SHIELD II'!$L$7*('HOJA DE CÁLCULO RESPALDO'!I122^2)+'BLAZE SHIELD II'!$L$8*'HOJA DE CÁLCULO RESPALDO'!I122+'BLAZE SHIELD II'!$L$9)),0),0),0))+(IF(L122="Blaze Shield II",IF(M122="Idiem software",IF(AND(C122="IN",G122=3),((('BLAZE SHIELD II'!$H$14*('HOJA DE CÁLCULO RESPALDO'!I122^2)+'BLAZE SHIELD II'!$H$15*'HOJA DE CÁLCULO RESPALDO'!I122+'BLAZE SHIELD II'!$H$16)*LN(J122))+('BLAZE SHIELD II'!$H$17*('HOJA DE CÁLCULO RESPALDO'!I122^2)+'BLAZE SHIELD II'!$H$18*'HOJA DE CÁLCULO RESPALDO'!I122+'BLAZE SHIELD II'!$H$19)),0),0),0)),0)</f>
        <v>0</v>
      </c>
      <c r="O122" s="46">
        <f t="shared" si="11"/>
        <v>0</v>
      </c>
      <c r="P122" s="80">
        <f t="shared" si="8"/>
        <v>0</v>
      </c>
      <c r="Q122" s="85">
        <f>ROUND((IF(L122="Cafco 400",IF(M122="Idiem software",IF(AND(C122="IN",G122=4),((('CAFCO 400 '!$H$7*(J122^4)+'CAFCO 400 '!$H$8*(J122^3)+'CAFCO 400 '!$H$9*(J122^2)+'CAFCO 400 '!$H$10*J122+'CAFCO 400 '!$H$11)*I122^2)+(('CAFCO 400 '!$H$12*(J122^3)+'CAFCO 400 '!$H$13*(J122^2)+'CAFCO 400 '!$H$14*J122+'CAFCO 400 '!$H$15)*I122)+('CAFCO 400 '!$H$16*(J122^2)+'CAFCO 400 '!$H$17*J122+'CAFCO 400 '!$H$18)),0),0),0))+(IF(L122="Cafco 400",IF(M122="Idiem software",IF(C122="Cj",(((('CAFCO 400 '!$D$7*LN(J122)+'CAFCO 400 '!$D$8)*I122^2)+(('CAFCO 400 '!$D$9*LN(J122)+'CAFCO 400 '!$D$10)*I122)+('CAFCO 400 '!$D$11*LN(J122)+'CAFCO 400 '!$D$12))),0),0),0))+(IF(L122="Cafco 400",IF(M122="Idiem software",IF(C122="C",((('CAFCO 400 '!$L$7*(J122^3)+'CAFCO 400 '!$L$8*(J122^2)+'CAFCO 400 '!$L$9*J122+'CAFCO 400 '!$L$10)*I122^2)+(('CAFCO 400 '!$L$11*(J122^3)+'CAFCO 400 '!$L$12*(J122^2)+'CAFCO 400 '!$L$13*J122+'CAFCO 400 '!$L$14)*I122)+('CAFCO 400 '!$L$15*LN(J122)+'CAFCO 400 '!$L$16)),0),0),0))+(IF(L122="Cafco 400",IF(M122="Idiem software",IF(AND(C122="IN",G122=3),((('CAFCO 400 '!$D$23*(J122^2)+'CAFCO 400 '!$D$24*(J122)+'CAFCO 400 '!$D$25)*I122^2)+(('CAFCO 400 '!$D$26*(J122^2)+'CAFCO 400 '!$D$27*J122+'CAFCO 400 '!$D$28)*I122)+('CAFCO 400 '!$D$29*(J122^2)+'CAFCO 400 '!$D$30*J122+'CAFCO 400 '!$D$31)),0),0),0)),0)</f>
        <v>0</v>
      </c>
      <c r="R122" s="47">
        <f t="shared" si="12"/>
        <v>0</v>
      </c>
      <c r="S122" s="82">
        <f t="shared" si="9"/>
        <v>0</v>
      </c>
      <c r="T122" s="81">
        <f>+IF(AND(J122&gt;=95,J122&lt;=240),IF(AND(C122="Cj",I122=90),VLOOKUP(W122,'CAFCO 300 IDIEM TABLAS'!$B$4:$D$23,2,FALSE),0)+IF(AND(J122&gt;=95,J122&lt;=240),IF(AND(C122="Cj",I122=120),VLOOKUP(W122,'CAFCO 300 IDIEM TABLAS'!$B$4:$D$23,3,FALSE),0))+IF(AND(J122&gt;=95,J122&lt;=400,G122=3),IF(AND(C122="IN",I122=90),VLOOKUP(W122,'CAFCO 300 IDIEM TABLAS'!$F$4:$H$35,2,FALSE),0),0)+IF(AND(J122&gt;=95,J122&lt;=400,G122=3),IF(AND(C122="IN",I122=120),VLOOKUP(W122,'CAFCO 300 IDIEM TABLAS'!$F$4:$H$35,3,FALSE),0),0)+IF(AND(J122&gt;=95,J122&lt;=450,G122=4),IF(AND(C122="IN",I122=90),VLOOKUP(W122,'CAFCO 300 IDIEM TABLAS'!$J$4:$L$40,2,FALSE),0),0)+IF(AND(J122&gt;=95,J122&lt;=450,G122=4),IF(AND(C122="IN",I122=120),VLOOKUP(W122,'CAFCO 300 IDIEM TABLAS'!$J$4:$L$40,3,FALSE),0),0))</f>
        <v>17</v>
      </c>
      <c r="U122" s="48">
        <f t="shared" si="13"/>
        <v>1.5207392281771501</v>
      </c>
      <c r="V122" s="82">
        <f t="shared" si="10"/>
        <v>22832.378771851731</v>
      </c>
      <c r="W122" s="64">
        <f>+IF(J122=LOOKUP(J122,'CAFCO 300 IDIEM TABLAS'!$J$4:$J$40),'HOJA DE CÁLCULO RESPALDO'!J122,MROUND('HOJA DE CÁLCULO RESPALDO'!J122,10))</f>
        <v>95</v>
      </c>
      <c r="X122" s="36"/>
      <c r="Y122" s="4"/>
    </row>
    <row r="123" spans="1:25" x14ac:dyDescent="0.25">
      <c r="A123" s="2" t="s">
        <v>40</v>
      </c>
      <c r="B123" s="3" t="s">
        <v>17</v>
      </c>
      <c r="C123" s="3" t="s">
        <v>19</v>
      </c>
      <c r="D123" s="3">
        <v>1</v>
      </c>
      <c r="E123" s="2">
        <v>1</v>
      </c>
      <c r="F123" s="8">
        <v>1500</v>
      </c>
      <c r="G123" s="1">
        <v>4</v>
      </c>
      <c r="H123" s="2">
        <v>776</v>
      </c>
      <c r="I123" s="34">
        <v>90</v>
      </c>
      <c r="J123" s="11">
        <v>95</v>
      </c>
      <c r="K123" s="44">
        <f t="shared" si="7"/>
        <v>1.1639999999999999</v>
      </c>
      <c r="L123" s="3" t="s">
        <v>61</v>
      </c>
      <c r="M123" s="3" t="s">
        <v>70</v>
      </c>
      <c r="N123" s="15">
        <f>ROUND((IF(L123="Blaze Shield II",IF(M123="Idiem software",IF(AND(C123="IN",G123=4),((('BLAZE SHIELD II'!$D$4*('HOJA DE CÁLCULO RESPALDO'!I123^2)+'BLAZE SHIELD II'!$D$5*'HOJA DE CÁLCULO RESPALDO'!I123+'BLAZE SHIELD II'!$D$6)*LN(J123))+('BLAZE SHIELD II'!$D$7*('HOJA DE CÁLCULO RESPALDO'!I123^2)+'BLAZE SHIELD II'!$D$8*'HOJA DE CÁLCULO RESPALDO'!I123+'BLAZE SHIELD II'!$D$9)),0),0),0))+(IF(L123="Blaze Shield II",IF(M123="Idiem software",IF(C123="Cj",((('BLAZE SHIELD II'!$H$4*('HOJA DE CÁLCULO RESPALDO'!I123^2)+'BLAZE SHIELD II'!$H$5*'HOJA DE CÁLCULO RESPALDO'!I123+'BLAZE SHIELD II'!$H$6)*LN(J123))+('BLAZE SHIELD II'!$H$7*('HOJA DE CÁLCULO RESPALDO'!I123^2)+'BLAZE SHIELD II'!$H$8*'HOJA DE CÁLCULO RESPALDO'!I123+'BLAZE SHIELD II'!$H$9)),0),0),0))+(IF(L123="Blaze Shield II",IF(M123="Idiem software",IF(C123="C",((('BLAZE SHIELD II'!$L$4*('HOJA DE CÁLCULO RESPALDO'!I123^2)+'BLAZE SHIELD II'!$L$5*'HOJA DE CÁLCULO RESPALDO'!I123+'BLAZE SHIELD II'!$L$6)*LN(J123))+('BLAZE SHIELD II'!$L$7*('HOJA DE CÁLCULO RESPALDO'!I123^2)+'BLAZE SHIELD II'!$L$8*'HOJA DE CÁLCULO RESPALDO'!I123+'BLAZE SHIELD II'!$L$9)),0),0),0))+(IF(L123="Blaze Shield II",IF(M123="Idiem software",IF(AND(C123="IN",G123=3),((('BLAZE SHIELD II'!$H$14*('HOJA DE CÁLCULO RESPALDO'!I123^2)+'BLAZE SHIELD II'!$H$15*'HOJA DE CÁLCULO RESPALDO'!I123+'BLAZE SHIELD II'!$H$16)*LN(J123))+('BLAZE SHIELD II'!$H$17*('HOJA DE CÁLCULO RESPALDO'!I123^2)+'BLAZE SHIELD II'!$H$18*'HOJA DE CÁLCULO RESPALDO'!I123+'BLAZE SHIELD II'!$H$19)),0),0),0)),0)</f>
        <v>0</v>
      </c>
      <c r="O123" s="46">
        <f t="shared" si="11"/>
        <v>0</v>
      </c>
      <c r="P123" s="80">
        <f t="shared" si="8"/>
        <v>0</v>
      </c>
      <c r="Q123" s="85">
        <f>ROUND((IF(L123="Cafco 400",IF(M123="Idiem software",IF(AND(C123="IN",G123=4),((('CAFCO 400 '!$H$7*(J123^4)+'CAFCO 400 '!$H$8*(J123^3)+'CAFCO 400 '!$H$9*(J123^2)+'CAFCO 400 '!$H$10*J123+'CAFCO 400 '!$H$11)*I123^2)+(('CAFCO 400 '!$H$12*(J123^3)+'CAFCO 400 '!$H$13*(J123^2)+'CAFCO 400 '!$H$14*J123+'CAFCO 400 '!$H$15)*I123)+('CAFCO 400 '!$H$16*(J123^2)+'CAFCO 400 '!$H$17*J123+'CAFCO 400 '!$H$18)),0),0),0))+(IF(L123="Cafco 400",IF(M123="Idiem software",IF(C123="Cj",(((('CAFCO 400 '!$D$7*LN(J123)+'CAFCO 400 '!$D$8)*I123^2)+(('CAFCO 400 '!$D$9*LN(J123)+'CAFCO 400 '!$D$10)*I123)+('CAFCO 400 '!$D$11*LN(J123)+'CAFCO 400 '!$D$12))),0),0),0))+(IF(L123="Cafco 400",IF(M123="Idiem software",IF(C123="C",((('CAFCO 400 '!$L$7*(J123^3)+'CAFCO 400 '!$L$8*(J123^2)+'CAFCO 400 '!$L$9*J123+'CAFCO 400 '!$L$10)*I123^2)+(('CAFCO 400 '!$L$11*(J123^3)+'CAFCO 400 '!$L$12*(J123^2)+'CAFCO 400 '!$L$13*J123+'CAFCO 400 '!$L$14)*I123)+('CAFCO 400 '!$L$15*LN(J123)+'CAFCO 400 '!$L$16)),0),0),0))+(IF(L123="Cafco 400",IF(M123="Idiem software",IF(AND(C123="IN",G123=3),((('CAFCO 400 '!$D$23*(J123^2)+'CAFCO 400 '!$D$24*(J123)+'CAFCO 400 '!$D$25)*I123^2)+(('CAFCO 400 '!$D$26*(J123^2)+'CAFCO 400 '!$D$27*J123+'CAFCO 400 '!$D$28)*I123)+('CAFCO 400 '!$D$29*(J123^2)+'CAFCO 400 '!$D$30*J123+'CAFCO 400 '!$D$31)),0),0),0)),0)</f>
        <v>0</v>
      </c>
      <c r="R123" s="47">
        <f t="shared" si="12"/>
        <v>0</v>
      </c>
      <c r="S123" s="82">
        <f t="shared" si="9"/>
        <v>0</v>
      </c>
      <c r="T123" s="81">
        <f>+IF(AND(J123&gt;=95,J123&lt;=240),IF(AND(C123="Cj",I123=90),VLOOKUP(W123,'CAFCO 300 IDIEM TABLAS'!$B$4:$D$23,2,FALSE),0)+IF(AND(J123&gt;=95,J123&lt;=240),IF(AND(C123="Cj",I123=120),VLOOKUP(W123,'CAFCO 300 IDIEM TABLAS'!$B$4:$D$23,3,FALSE),0))+IF(AND(J123&gt;=95,J123&lt;=400,G123=3),IF(AND(C123="IN",I123=90),VLOOKUP(W123,'CAFCO 300 IDIEM TABLAS'!$F$4:$H$35,2,FALSE),0),0)+IF(AND(J123&gt;=95,J123&lt;=400,G123=3),IF(AND(C123="IN",I123=120),VLOOKUP(W123,'CAFCO 300 IDIEM TABLAS'!$F$4:$H$35,3,FALSE),0),0)+IF(AND(J123&gt;=95,J123&lt;=450,G123=4),IF(AND(C123="IN",I123=90),VLOOKUP(W123,'CAFCO 300 IDIEM TABLAS'!$J$4:$L$40,2,FALSE),0),0)+IF(AND(J123&gt;=95,J123&lt;=450,G123=4),IF(AND(C123="IN",I123=120),VLOOKUP(W123,'CAFCO 300 IDIEM TABLAS'!$J$4:$L$40,3,FALSE),0),0))</f>
        <v>17</v>
      </c>
      <c r="U123" s="48">
        <f t="shared" si="13"/>
        <v>0.2730693196405648</v>
      </c>
      <c r="V123" s="82">
        <f t="shared" si="10"/>
        <v>4099.8627650834396</v>
      </c>
      <c r="W123" s="64">
        <f>+IF(J123=LOOKUP(J123,'CAFCO 300 IDIEM TABLAS'!$J$4:$J$40),'HOJA DE CÁLCULO RESPALDO'!J123,MROUND('HOJA DE CÁLCULO RESPALDO'!J123,10))</f>
        <v>95</v>
      </c>
      <c r="X123" s="36"/>
      <c r="Y123" s="4"/>
    </row>
    <row r="124" spans="1:25" ht="15.6" customHeight="1" x14ac:dyDescent="0.25">
      <c r="A124" s="2" t="s">
        <v>40</v>
      </c>
      <c r="B124" s="3" t="s">
        <v>17</v>
      </c>
      <c r="C124" s="3" t="s">
        <v>19</v>
      </c>
      <c r="D124" s="3">
        <v>1</v>
      </c>
      <c r="E124" s="2">
        <v>1</v>
      </c>
      <c r="F124" s="8">
        <v>1500</v>
      </c>
      <c r="G124" s="1">
        <v>4</v>
      </c>
      <c r="H124" s="2">
        <v>3879</v>
      </c>
      <c r="I124" s="34">
        <v>90</v>
      </c>
      <c r="J124" s="11">
        <v>95</v>
      </c>
      <c r="K124" s="44">
        <f t="shared" si="7"/>
        <v>5.8185000000000002</v>
      </c>
      <c r="L124" s="3" t="s">
        <v>61</v>
      </c>
      <c r="M124" s="3" t="s">
        <v>70</v>
      </c>
      <c r="N124" s="15">
        <f>ROUND((IF(L124="Blaze Shield II",IF(M124="Idiem software",IF(AND(C124="IN",G124=4),((('BLAZE SHIELD II'!$D$4*('HOJA DE CÁLCULO RESPALDO'!I124^2)+'BLAZE SHIELD II'!$D$5*'HOJA DE CÁLCULO RESPALDO'!I124+'BLAZE SHIELD II'!$D$6)*LN(J124))+('BLAZE SHIELD II'!$D$7*('HOJA DE CÁLCULO RESPALDO'!I124^2)+'BLAZE SHIELD II'!$D$8*'HOJA DE CÁLCULO RESPALDO'!I124+'BLAZE SHIELD II'!$D$9)),0),0),0))+(IF(L124="Blaze Shield II",IF(M124="Idiem software",IF(C124="Cj",((('BLAZE SHIELD II'!$H$4*('HOJA DE CÁLCULO RESPALDO'!I124^2)+'BLAZE SHIELD II'!$H$5*'HOJA DE CÁLCULO RESPALDO'!I124+'BLAZE SHIELD II'!$H$6)*LN(J124))+('BLAZE SHIELD II'!$H$7*('HOJA DE CÁLCULO RESPALDO'!I124^2)+'BLAZE SHIELD II'!$H$8*'HOJA DE CÁLCULO RESPALDO'!I124+'BLAZE SHIELD II'!$H$9)),0),0),0))+(IF(L124="Blaze Shield II",IF(M124="Idiem software",IF(C124="C",((('BLAZE SHIELD II'!$L$4*('HOJA DE CÁLCULO RESPALDO'!I124^2)+'BLAZE SHIELD II'!$L$5*'HOJA DE CÁLCULO RESPALDO'!I124+'BLAZE SHIELD II'!$L$6)*LN(J124))+('BLAZE SHIELD II'!$L$7*('HOJA DE CÁLCULO RESPALDO'!I124^2)+'BLAZE SHIELD II'!$L$8*'HOJA DE CÁLCULO RESPALDO'!I124+'BLAZE SHIELD II'!$L$9)),0),0),0))+(IF(L124="Blaze Shield II",IF(M124="Idiem software",IF(AND(C124="IN",G124=3),((('BLAZE SHIELD II'!$H$14*('HOJA DE CÁLCULO RESPALDO'!I124^2)+'BLAZE SHIELD II'!$H$15*'HOJA DE CÁLCULO RESPALDO'!I124+'BLAZE SHIELD II'!$H$16)*LN(J124))+('BLAZE SHIELD II'!$H$17*('HOJA DE CÁLCULO RESPALDO'!I124^2)+'BLAZE SHIELD II'!$H$18*'HOJA DE CÁLCULO RESPALDO'!I124+'BLAZE SHIELD II'!$H$19)),0),0),0)),0)</f>
        <v>0</v>
      </c>
      <c r="O124" s="46">
        <f t="shared" si="11"/>
        <v>0</v>
      </c>
      <c r="P124" s="80">
        <f t="shared" si="8"/>
        <v>0</v>
      </c>
      <c r="Q124" s="85">
        <f>ROUND((IF(L124="Cafco 400",IF(M124="Idiem software",IF(AND(C124="IN",G124=4),((('CAFCO 400 '!$H$7*(J124^4)+'CAFCO 400 '!$H$8*(J124^3)+'CAFCO 400 '!$H$9*(J124^2)+'CAFCO 400 '!$H$10*J124+'CAFCO 400 '!$H$11)*I124^2)+(('CAFCO 400 '!$H$12*(J124^3)+'CAFCO 400 '!$H$13*(J124^2)+'CAFCO 400 '!$H$14*J124+'CAFCO 400 '!$H$15)*I124)+('CAFCO 400 '!$H$16*(J124^2)+'CAFCO 400 '!$H$17*J124+'CAFCO 400 '!$H$18)),0),0),0))+(IF(L124="Cafco 400",IF(M124="Idiem software",IF(C124="Cj",(((('CAFCO 400 '!$D$7*LN(J124)+'CAFCO 400 '!$D$8)*I124^2)+(('CAFCO 400 '!$D$9*LN(J124)+'CAFCO 400 '!$D$10)*I124)+('CAFCO 400 '!$D$11*LN(J124)+'CAFCO 400 '!$D$12))),0),0),0))+(IF(L124="Cafco 400",IF(M124="Idiem software",IF(C124="C",((('CAFCO 400 '!$L$7*(J124^3)+'CAFCO 400 '!$L$8*(J124^2)+'CAFCO 400 '!$L$9*J124+'CAFCO 400 '!$L$10)*I124^2)+(('CAFCO 400 '!$L$11*(J124^3)+'CAFCO 400 '!$L$12*(J124^2)+'CAFCO 400 '!$L$13*J124+'CAFCO 400 '!$L$14)*I124)+('CAFCO 400 '!$L$15*LN(J124)+'CAFCO 400 '!$L$16)),0),0),0))+(IF(L124="Cafco 400",IF(M124="Idiem software",IF(AND(C124="IN",G124=3),((('CAFCO 400 '!$D$23*(J124^2)+'CAFCO 400 '!$D$24*(J124)+'CAFCO 400 '!$D$25)*I124^2)+(('CAFCO 400 '!$D$26*(J124^2)+'CAFCO 400 '!$D$27*J124+'CAFCO 400 '!$D$28)*I124)+('CAFCO 400 '!$D$29*(J124^2)+'CAFCO 400 '!$D$30*J124+'CAFCO 400 '!$D$31)),0),0),0)),0)</f>
        <v>0</v>
      </c>
      <c r="R124" s="47">
        <f t="shared" si="12"/>
        <v>0</v>
      </c>
      <c r="S124" s="82">
        <f t="shared" si="9"/>
        <v>0</v>
      </c>
      <c r="T124" s="81">
        <f>+IF(AND(J124&gt;=95,J124&lt;=240),IF(AND(C124="Cj",I124=90),VLOOKUP(W124,'CAFCO 300 IDIEM TABLAS'!$B$4:$D$23,2,FALSE),0)+IF(AND(J124&gt;=95,J124&lt;=240),IF(AND(C124="Cj",I124=120),VLOOKUP(W124,'CAFCO 300 IDIEM TABLAS'!$B$4:$D$23,3,FALSE),0))+IF(AND(J124&gt;=95,J124&lt;=400,G124=3),IF(AND(C124="IN",I124=90),VLOOKUP(W124,'CAFCO 300 IDIEM TABLAS'!$F$4:$H$35,2,FALSE),0),0)+IF(AND(J124&gt;=95,J124&lt;=400,G124=3),IF(AND(C124="IN",I124=120),VLOOKUP(W124,'CAFCO 300 IDIEM TABLAS'!$F$4:$H$35,3,FALSE),0),0)+IF(AND(J124&gt;=95,J124&lt;=450,G124=4),IF(AND(C124="IN",I124=90),VLOOKUP(W124,'CAFCO 300 IDIEM TABLAS'!$J$4:$L$40,2,FALSE),0),0)+IF(AND(J124&gt;=95,J124&lt;=450,G124=4),IF(AND(C124="IN",I124=120),VLOOKUP(W124,'CAFCO 300 IDIEM TABLAS'!$J$4:$L$40,3,FALSE),0),0))</f>
        <v>17</v>
      </c>
      <c r="U124" s="48">
        <f t="shared" si="13"/>
        <v>1.3649947047496791</v>
      </c>
      <c r="V124" s="82">
        <f t="shared" si="10"/>
        <v>20494.030497111682</v>
      </c>
      <c r="W124" s="64">
        <f>+IF(J124=LOOKUP(J124,'CAFCO 300 IDIEM TABLAS'!$J$4:$J$40),'HOJA DE CÁLCULO RESPALDO'!J124,MROUND('HOJA DE CÁLCULO RESPALDO'!J124,10))</f>
        <v>95</v>
      </c>
      <c r="X124" s="36"/>
      <c r="Y124" s="4"/>
    </row>
    <row r="125" spans="1:25" x14ac:dyDescent="0.25">
      <c r="A125" s="2" t="s">
        <v>40</v>
      </c>
      <c r="B125" s="3" t="s">
        <v>17</v>
      </c>
      <c r="C125" s="3" t="s">
        <v>19</v>
      </c>
      <c r="D125" s="3">
        <v>1</v>
      </c>
      <c r="E125" s="2">
        <v>1</v>
      </c>
      <c r="F125" s="8">
        <v>12634</v>
      </c>
      <c r="G125" s="1">
        <v>4</v>
      </c>
      <c r="H125" s="2">
        <v>585</v>
      </c>
      <c r="I125" s="34">
        <v>90</v>
      </c>
      <c r="J125" s="11">
        <v>95</v>
      </c>
      <c r="K125" s="44">
        <f t="shared" si="7"/>
        <v>7.3908899999999997</v>
      </c>
      <c r="L125" s="3" t="s">
        <v>61</v>
      </c>
      <c r="M125" s="3" t="s">
        <v>70</v>
      </c>
      <c r="N125" s="15">
        <f>ROUND((IF(L125="Blaze Shield II",IF(M125="Idiem software",IF(AND(C125="IN",G125=4),((('BLAZE SHIELD II'!$D$4*('HOJA DE CÁLCULO RESPALDO'!I125^2)+'BLAZE SHIELD II'!$D$5*'HOJA DE CÁLCULO RESPALDO'!I125+'BLAZE SHIELD II'!$D$6)*LN(J125))+('BLAZE SHIELD II'!$D$7*('HOJA DE CÁLCULO RESPALDO'!I125^2)+'BLAZE SHIELD II'!$D$8*'HOJA DE CÁLCULO RESPALDO'!I125+'BLAZE SHIELD II'!$D$9)),0),0),0))+(IF(L125="Blaze Shield II",IF(M125="Idiem software",IF(C125="Cj",((('BLAZE SHIELD II'!$H$4*('HOJA DE CÁLCULO RESPALDO'!I125^2)+'BLAZE SHIELD II'!$H$5*'HOJA DE CÁLCULO RESPALDO'!I125+'BLAZE SHIELD II'!$H$6)*LN(J125))+('BLAZE SHIELD II'!$H$7*('HOJA DE CÁLCULO RESPALDO'!I125^2)+'BLAZE SHIELD II'!$H$8*'HOJA DE CÁLCULO RESPALDO'!I125+'BLAZE SHIELD II'!$H$9)),0),0),0))+(IF(L125="Blaze Shield II",IF(M125="Idiem software",IF(C125="C",((('BLAZE SHIELD II'!$L$4*('HOJA DE CÁLCULO RESPALDO'!I125^2)+'BLAZE SHIELD II'!$L$5*'HOJA DE CÁLCULO RESPALDO'!I125+'BLAZE SHIELD II'!$L$6)*LN(J125))+('BLAZE SHIELD II'!$L$7*('HOJA DE CÁLCULO RESPALDO'!I125^2)+'BLAZE SHIELD II'!$L$8*'HOJA DE CÁLCULO RESPALDO'!I125+'BLAZE SHIELD II'!$L$9)),0),0),0))+(IF(L125="Blaze Shield II",IF(M125="Idiem software",IF(AND(C125="IN",G125=3),((('BLAZE SHIELD II'!$H$14*('HOJA DE CÁLCULO RESPALDO'!I125^2)+'BLAZE SHIELD II'!$H$15*'HOJA DE CÁLCULO RESPALDO'!I125+'BLAZE SHIELD II'!$H$16)*LN(J125))+('BLAZE SHIELD II'!$H$17*('HOJA DE CÁLCULO RESPALDO'!I125^2)+'BLAZE SHIELD II'!$H$18*'HOJA DE CÁLCULO RESPALDO'!I125+'BLAZE SHIELD II'!$H$19)),0),0),0)),0)</f>
        <v>0</v>
      </c>
      <c r="O125" s="46">
        <f t="shared" si="11"/>
        <v>0</v>
      </c>
      <c r="P125" s="80">
        <f t="shared" si="8"/>
        <v>0</v>
      </c>
      <c r="Q125" s="85">
        <f>ROUND((IF(L125="Cafco 400",IF(M125="Idiem software",IF(AND(C125="IN",G125=4),((('CAFCO 400 '!$H$7*(J125^4)+'CAFCO 400 '!$H$8*(J125^3)+'CAFCO 400 '!$H$9*(J125^2)+'CAFCO 400 '!$H$10*J125+'CAFCO 400 '!$H$11)*I125^2)+(('CAFCO 400 '!$H$12*(J125^3)+'CAFCO 400 '!$H$13*(J125^2)+'CAFCO 400 '!$H$14*J125+'CAFCO 400 '!$H$15)*I125)+('CAFCO 400 '!$H$16*(J125^2)+'CAFCO 400 '!$H$17*J125+'CAFCO 400 '!$H$18)),0),0),0))+(IF(L125="Cafco 400",IF(M125="Idiem software",IF(C125="Cj",(((('CAFCO 400 '!$D$7*LN(J125)+'CAFCO 400 '!$D$8)*I125^2)+(('CAFCO 400 '!$D$9*LN(J125)+'CAFCO 400 '!$D$10)*I125)+('CAFCO 400 '!$D$11*LN(J125)+'CAFCO 400 '!$D$12))),0),0),0))+(IF(L125="Cafco 400",IF(M125="Idiem software",IF(C125="C",((('CAFCO 400 '!$L$7*(J125^3)+'CAFCO 400 '!$L$8*(J125^2)+'CAFCO 400 '!$L$9*J125+'CAFCO 400 '!$L$10)*I125^2)+(('CAFCO 400 '!$L$11*(J125^3)+'CAFCO 400 '!$L$12*(J125^2)+'CAFCO 400 '!$L$13*J125+'CAFCO 400 '!$L$14)*I125)+('CAFCO 400 '!$L$15*LN(J125)+'CAFCO 400 '!$L$16)),0),0),0))+(IF(L125="Cafco 400",IF(M125="Idiem software",IF(AND(C125="IN",G125=3),((('CAFCO 400 '!$D$23*(J125^2)+'CAFCO 400 '!$D$24*(J125)+'CAFCO 400 '!$D$25)*I125^2)+(('CAFCO 400 '!$D$26*(J125^2)+'CAFCO 400 '!$D$27*J125+'CAFCO 400 '!$D$28)*I125)+('CAFCO 400 '!$D$29*(J125^2)+'CAFCO 400 '!$D$30*J125+'CAFCO 400 '!$D$31)),0),0),0)),0)</f>
        <v>0</v>
      </c>
      <c r="R125" s="47">
        <f t="shared" si="12"/>
        <v>0</v>
      </c>
      <c r="S125" s="82">
        <f t="shared" si="9"/>
        <v>0</v>
      </c>
      <c r="T125" s="81">
        <f>+IF(AND(J125&gt;=95,J125&lt;=240),IF(AND(C125="Cj",I125=90),VLOOKUP(W125,'CAFCO 300 IDIEM TABLAS'!$B$4:$D$23,2,FALSE),0)+IF(AND(J125&gt;=95,J125&lt;=240),IF(AND(C125="Cj",I125=120),VLOOKUP(W125,'CAFCO 300 IDIEM TABLAS'!$B$4:$D$23,3,FALSE),0))+IF(AND(J125&gt;=95,J125&lt;=400,G125=3),IF(AND(C125="IN",I125=90),VLOOKUP(W125,'CAFCO 300 IDIEM TABLAS'!$F$4:$H$35,2,FALSE),0),0)+IF(AND(J125&gt;=95,J125&lt;=400,G125=3),IF(AND(C125="IN",I125=120),VLOOKUP(W125,'CAFCO 300 IDIEM TABLAS'!$F$4:$H$35,3,FALSE),0),0)+IF(AND(J125&gt;=95,J125&lt;=450,G125=4),IF(AND(C125="IN",I125=90),VLOOKUP(W125,'CAFCO 300 IDIEM TABLAS'!$J$4:$L$40,2,FALSE),0),0)+IF(AND(J125&gt;=95,J125&lt;=450,G125=4),IF(AND(C125="IN",I125=120),VLOOKUP(W125,'CAFCO 300 IDIEM TABLAS'!$J$4:$L$40,3,FALSE),0),0))</f>
        <v>17</v>
      </c>
      <c r="U125" s="48">
        <f t="shared" si="13"/>
        <v>1.7338705359435174</v>
      </c>
      <c r="V125" s="82">
        <f t="shared" si="10"/>
        <v>26032.33222665597</v>
      </c>
      <c r="W125" s="64">
        <f>+IF(J125=LOOKUP(J125,'CAFCO 300 IDIEM TABLAS'!$J$4:$J$40),'HOJA DE CÁLCULO RESPALDO'!J125,MROUND('HOJA DE CÁLCULO RESPALDO'!J125,10))</f>
        <v>95</v>
      </c>
      <c r="X125" s="36"/>
      <c r="Y125" s="4"/>
    </row>
    <row r="126" spans="1:25" ht="15.6" customHeight="1" x14ac:dyDescent="0.25">
      <c r="A126" s="2" t="s">
        <v>40</v>
      </c>
      <c r="B126" s="3" t="s">
        <v>17</v>
      </c>
      <c r="C126" s="3" t="s">
        <v>19</v>
      </c>
      <c r="D126" s="3">
        <v>1</v>
      </c>
      <c r="E126" s="2">
        <v>1</v>
      </c>
      <c r="F126" s="8">
        <v>1500</v>
      </c>
      <c r="G126" s="1">
        <v>4</v>
      </c>
      <c r="H126" s="2">
        <v>776</v>
      </c>
      <c r="I126" s="34">
        <v>90</v>
      </c>
      <c r="J126" s="11">
        <v>95</v>
      </c>
      <c r="K126" s="44">
        <f t="shared" si="7"/>
        <v>1.1639999999999999</v>
      </c>
      <c r="L126" s="3" t="s">
        <v>61</v>
      </c>
      <c r="M126" s="3" t="s">
        <v>70</v>
      </c>
      <c r="N126" s="15">
        <f>ROUND((IF(L126="Blaze Shield II",IF(M126="Idiem software",IF(AND(C126="IN",G126=4),((('BLAZE SHIELD II'!$D$4*('HOJA DE CÁLCULO RESPALDO'!I126^2)+'BLAZE SHIELD II'!$D$5*'HOJA DE CÁLCULO RESPALDO'!I126+'BLAZE SHIELD II'!$D$6)*LN(J126))+('BLAZE SHIELD II'!$D$7*('HOJA DE CÁLCULO RESPALDO'!I126^2)+'BLAZE SHIELD II'!$D$8*'HOJA DE CÁLCULO RESPALDO'!I126+'BLAZE SHIELD II'!$D$9)),0),0),0))+(IF(L126="Blaze Shield II",IF(M126="Idiem software",IF(C126="Cj",((('BLAZE SHIELD II'!$H$4*('HOJA DE CÁLCULO RESPALDO'!I126^2)+'BLAZE SHIELD II'!$H$5*'HOJA DE CÁLCULO RESPALDO'!I126+'BLAZE SHIELD II'!$H$6)*LN(J126))+('BLAZE SHIELD II'!$H$7*('HOJA DE CÁLCULO RESPALDO'!I126^2)+'BLAZE SHIELD II'!$H$8*'HOJA DE CÁLCULO RESPALDO'!I126+'BLAZE SHIELD II'!$H$9)),0),0),0))+(IF(L126="Blaze Shield II",IF(M126="Idiem software",IF(C126="C",((('BLAZE SHIELD II'!$L$4*('HOJA DE CÁLCULO RESPALDO'!I126^2)+'BLAZE SHIELD II'!$L$5*'HOJA DE CÁLCULO RESPALDO'!I126+'BLAZE SHIELD II'!$L$6)*LN(J126))+('BLAZE SHIELD II'!$L$7*('HOJA DE CÁLCULO RESPALDO'!I126^2)+'BLAZE SHIELD II'!$L$8*'HOJA DE CÁLCULO RESPALDO'!I126+'BLAZE SHIELD II'!$L$9)),0),0),0))+(IF(L126="Blaze Shield II",IF(M126="Idiem software",IF(AND(C126="IN",G126=3),((('BLAZE SHIELD II'!$H$14*('HOJA DE CÁLCULO RESPALDO'!I126^2)+'BLAZE SHIELD II'!$H$15*'HOJA DE CÁLCULO RESPALDO'!I126+'BLAZE SHIELD II'!$H$16)*LN(J126))+('BLAZE SHIELD II'!$H$17*('HOJA DE CÁLCULO RESPALDO'!I126^2)+'BLAZE SHIELD II'!$H$18*'HOJA DE CÁLCULO RESPALDO'!I126+'BLAZE SHIELD II'!$H$19)),0),0),0)),0)</f>
        <v>0</v>
      </c>
      <c r="O126" s="46">
        <f t="shared" si="11"/>
        <v>0</v>
      </c>
      <c r="P126" s="80">
        <f t="shared" si="8"/>
        <v>0</v>
      </c>
      <c r="Q126" s="85">
        <f>ROUND((IF(L126="Cafco 400",IF(M126="Idiem software",IF(AND(C126="IN",G126=4),((('CAFCO 400 '!$H$7*(J126^4)+'CAFCO 400 '!$H$8*(J126^3)+'CAFCO 400 '!$H$9*(J126^2)+'CAFCO 400 '!$H$10*J126+'CAFCO 400 '!$H$11)*I126^2)+(('CAFCO 400 '!$H$12*(J126^3)+'CAFCO 400 '!$H$13*(J126^2)+'CAFCO 400 '!$H$14*J126+'CAFCO 400 '!$H$15)*I126)+('CAFCO 400 '!$H$16*(J126^2)+'CAFCO 400 '!$H$17*J126+'CAFCO 400 '!$H$18)),0),0),0))+(IF(L126="Cafco 400",IF(M126="Idiem software",IF(C126="Cj",(((('CAFCO 400 '!$D$7*LN(J126)+'CAFCO 400 '!$D$8)*I126^2)+(('CAFCO 400 '!$D$9*LN(J126)+'CAFCO 400 '!$D$10)*I126)+('CAFCO 400 '!$D$11*LN(J126)+'CAFCO 400 '!$D$12))),0),0),0))+(IF(L126="Cafco 400",IF(M126="Idiem software",IF(C126="C",((('CAFCO 400 '!$L$7*(J126^3)+'CAFCO 400 '!$L$8*(J126^2)+'CAFCO 400 '!$L$9*J126+'CAFCO 400 '!$L$10)*I126^2)+(('CAFCO 400 '!$L$11*(J126^3)+'CAFCO 400 '!$L$12*(J126^2)+'CAFCO 400 '!$L$13*J126+'CAFCO 400 '!$L$14)*I126)+('CAFCO 400 '!$L$15*LN(J126)+'CAFCO 400 '!$L$16)),0),0),0))+(IF(L126="Cafco 400",IF(M126="Idiem software",IF(AND(C126="IN",G126=3),((('CAFCO 400 '!$D$23*(J126^2)+'CAFCO 400 '!$D$24*(J126)+'CAFCO 400 '!$D$25)*I126^2)+(('CAFCO 400 '!$D$26*(J126^2)+'CAFCO 400 '!$D$27*J126+'CAFCO 400 '!$D$28)*I126)+('CAFCO 400 '!$D$29*(J126^2)+'CAFCO 400 '!$D$30*J126+'CAFCO 400 '!$D$31)),0),0),0)),0)</f>
        <v>0</v>
      </c>
      <c r="R126" s="47">
        <f t="shared" si="12"/>
        <v>0</v>
      </c>
      <c r="S126" s="82">
        <f t="shared" si="9"/>
        <v>0</v>
      </c>
      <c r="T126" s="81">
        <f>+IF(AND(J126&gt;=95,J126&lt;=240),IF(AND(C126="Cj",I126=90),VLOOKUP(W126,'CAFCO 300 IDIEM TABLAS'!$B$4:$D$23,2,FALSE),0)+IF(AND(J126&gt;=95,J126&lt;=240),IF(AND(C126="Cj",I126=120),VLOOKUP(W126,'CAFCO 300 IDIEM TABLAS'!$B$4:$D$23,3,FALSE),0))+IF(AND(J126&gt;=95,J126&lt;=400,G126=3),IF(AND(C126="IN",I126=90),VLOOKUP(W126,'CAFCO 300 IDIEM TABLAS'!$F$4:$H$35,2,FALSE),0),0)+IF(AND(J126&gt;=95,J126&lt;=400,G126=3),IF(AND(C126="IN",I126=120),VLOOKUP(W126,'CAFCO 300 IDIEM TABLAS'!$F$4:$H$35,3,FALSE),0),0)+IF(AND(J126&gt;=95,J126&lt;=450,G126=4),IF(AND(C126="IN",I126=90),VLOOKUP(W126,'CAFCO 300 IDIEM TABLAS'!$J$4:$L$40,2,FALSE),0),0)+IF(AND(J126&gt;=95,J126&lt;=450,G126=4),IF(AND(C126="IN",I126=120),VLOOKUP(W126,'CAFCO 300 IDIEM TABLAS'!$J$4:$L$40,3,FALSE),0),0))</f>
        <v>17</v>
      </c>
      <c r="U126" s="48">
        <f t="shared" si="13"/>
        <v>0.2730693196405648</v>
      </c>
      <c r="V126" s="82">
        <f t="shared" si="10"/>
        <v>4099.8627650834396</v>
      </c>
      <c r="W126" s="64">
        <f>+IF(J126=LOOKUP(J126,'CAFCO 300 IDIEM TABLAS'!$J$4:$J$40),'HOJA DE CÁLCULO RESPALDO'!J126,MROUND('HOJA DE CÁLCULO RESPALDO'!J126,10))</f>
        <v>95</v>
      </c>
      <c r="X126" s="36"/>
      <c r="Y126" s="4"/>
    </row>
    <row r="127" spans="1:25" x14ac:dyDescent="0.25">
      <c r="A127" s="2" t="s">
        <v>40</v>
      </c>
      <c r="B127" s="3" t="s">
        <v>17</v>
      </c>
      <c r="C127" s="3" t="s">
        <v>19</v>
      </c>
      <c r="D127" s="3">
        <v>1</v>
      </c>
      <c r="E127" s="2">
        <v>1</v>
      </c>
      <c r="F127" s="8">
        <v>11097</v>
      </c>
      <c r="G127" s="1">
        <v>4</v>
      </c>
      <c r="H127" s="2">
        <v>585</v>
      </c>
      <c r="I127" s="34">
        <v>90</v>
      </c>
      <c r="J127" s="11">
        <v>95</v>
      </c>
      <c r="K127" s="44">
        <f t="shared" si="7"/>
        <v>6.4917449999999999</v>
      </c>
      <c r="L127" s="3" t="s">
        <v>61</v>
      </c>
      <c r="M127" s="3" t="s">
        <v>70</v>
      </c>
      <c r="N127" s="15">
        <f>ROUND((IF(L127="Blaze Shield II",IF(M127="Idiem software",IF(AND(C127="IN",G127=4),((('BLAZE SHIELD II'!$D$4*('HOJA DE CÁLCULO RESPALDO'!I127^2)+'BLAZE SHIELD II'!$D$5*'HOJA DE CÁLCULO RESPALDO'!I127+'BLAZE SHIELD II'!$D$6)*LN(J127))+('BLAZE SHIELD II'!$D$7*('HOJA DE CÁLCULO RESPALDO'!I127^2)+'BLAZE SHIELD II'!$D$8*'HOJA DE CÁLCULO RESPALDO'!I127+'BLAZE SHIELD II'!$D$9)),0),0),0))+(IF(L127="Blaze Shield II",IF(M127="Idiem software",IF(C127="Cj",((('BLAZE SHIELD II'!$H$4*('HOJA DE CÁLCULO RESPALDO'!I127^2)+'BLAZE SHIELD II'!$H$5*'HOJA DE CÁLCULO RESPALDO'!I127+'BLAZE SHIELD II'!$H$6)*LN(J127))+('BLAZE SHIELD II'!$H$7*('HOJA DE CÁLCULO RESPALDO'!I127^2)+'BLAZE SHIELD II'!$H$8*'HOJA DE CÁLCULO RESPALDO'!I127+'BLAZE SHIELD II'!$H$9)),0),0),0))+(IF(L127="Blaze Shield II",IF(M127="Idiem software",IF(C127="C",((('BLAZE SHIELD II'!$L$4*('HOJA DE CÁLCULO RESPALDO'!I127^2)+'BLAZE SHIELD II'!$L$5*'HOJA DE CÁLCULO RESPALDO'!I127+'BLAZE SHIELD II'!$L$6)*LN(J127))+('BLAZE SHIELD II'!$L$7*('HOJA DE CÁLCULO RESPALDO'!I127^2)+'BLAZE SHIELD II'!$L$8*'HOJA DE CÁLCULO RESPALDO'!I127+'BLAZE SHIELD II'!$L$9)),0),0),0))+(IF(L127="Blaze Shield II",IF(M127="Idiem software",IF(AND(C127="IN",G127=3),((('BLAZE SHIELD II'!$H$14*('HOJA DE CÁLCULO RESPALDO'!I127^2)+'BLAZE SHIELD II'!$H$15*'HOJA DE CÁLCULO RESPALDO'!I127+'BLAZE SHIELD II'!$H$16)*LN(J127))+('BLAZE SHIELD II'!$H$17*('HOJA DE CÁLCULO RESPALDO'!I127^2)+'BLAZE SHIELD II'!$H$18*'HOJA DE CÁLCULO RESPALDO'!I127+'BLAZE SHIELD II'!$H$19)),0),0),0)),0)</f>
        <v>0</v>
      </c>
      <c r="O127" s="46">
        <f t="shared" si="11"/>
        <v>0</v>
      </c>
      <c r="P127" s="80">
        <f t="shared" si="8"/>
        <v>0</v>
      </c>
      <c r="Q127" s="85">
        <f>ROUND((IF(L127="Cafco 400",IF(M127="Idiem software",IF(AND(C127="IN",G127=4),((('CAFCO 400 '!$H$7*(J127^4)+'CAFCO 400 '!$H$8*(J127^3)+'CAFCO 400 '!$H$9*(J127^2)+'CAFCO 400 '!$H$10*J127+'CAFCO 400 '!$H$11)*I127^2)+(('CAFCO 400 '!$H$12*(J127^3)+'CAFCO 400 '!$H$13*(J127^2)+'CAFCO 400 '!$H$14*J127+'CAFCO 400 '!$H$15)*I127)+('CAFCO 400 '!$H$16*(J127^2)+'CAFCO 400 '!$H$17*J127+'CAFCO 400 '!$H$18)),0),0),0))+(IF(L127="Cafco 400",IF(M127="Idiem software",IF(C127="Cj",(((('CAFCO 400 '!$D$7*LN(J127)+'CAFCO 400 '!$D$8)*I127^2)+(('CAFCO 400 '!$D$9*LN(J127)+'CAFCO 400 '!$D$10)*I127)+('CAFCO 400 '!$D$11*LN(J127)+'CAFCO 400 '!$D$12))),0),0),0))+(IF(L127="Cafco 400",IF(M127="Idiem software",IF(C127="C",((('CAFCO 400 '!$L$7*(J127^3)+'CAFCO 400 '!$L$8*(J127^2)+'CAFCO 400 '!$L$9*J127+'CAFCO 400 '!$L$10)*I127^2)+(('CAFCO 400 '!$L$11*(J127^3)+'CAFCO 400 '!$L$12*(J127^2)+'CAFCO 400 '!$L$13*J127+'CAFCO 400 '!$L$14)*I127)+('CAFCO 400 '!$L$15*LN(J127)+'CAFCO 400 '!$L$16)),0),0),0))+(IF(L127="Cafco 400",IF(M127="Idiem software",IF(AND(C127="IN",G127=3),((('CAFCO 400 '!$D$23*(J127^2)+'CAFCO 400 '!$D$24*(J127)+'CAFCO 400 '!$D$25)*I127^2)+(('CAFCO 400 '!$D$26*(J127^2)+'CAFCO 400 '!$D$27*J127+'CAFCO 400 '!$D$28)*I127)+('CAFCO 400 '!$D$29*(J127^2)+'CAFCO 400 '!$D$30*J127+'CAFCO 400 '!$D$31)),0),0),0)),0)</f>
        <v>0</v>
      </c>
      <c r="R127" s="47">
        <f t="shared" si="12"/>
        <v>0</v>
      </c>
      <c r="S127" s="82">
        <f t="shared" si="9"/>
        <v>0</v>
      </c>
      <c r="T127" s="81">
        <f>+IF(AND(J127&gt;=95,J127&lt;=240),IF(AND(C127="Cj",I127=90),VLOOKUP(W127,'CAFCO 300 IDIEM TABLAS'!$B$4:$D$23,2,FALSE),0)+IF(AND(J127&gt;=95,J127&lt;=240),IF(AND(C127="Cj",I127=120),VLOOKUP(W127,'CAFCO 300 IDIEM TABLAS'!$B$4:$D$23,3,FALSE),0))+IF(AND(J127&gt;=95,J127&lt;=400,G127=3),IF(AND(C127="IN",I127=90),VLOOKUP(W127,'CAFCO 300 IDIEM TABLAS'!$F$4:$H$35,2,FALSE),0),0)+IF(AND(J127&gt;=95,J127&lt;=400,G127=3),IF(AND(C127="IN",I127=120),VLOOKUP(W127,'CAFCO 300 IDIEM TABLAS'!$F$4:$H$35,3,FALSE),0),0)+IF(AND(J127&gt;=95,J127&lt;=450,G127=4),IF(AND(C127="IN",I127=90),VLOOKUP(W127,'CAFCO 300 IDIEM TABLAS'!$J$4:$L$40,2,FALSE),0),0)+IF(AND(J127&gt;=95,J127&lt;=450,G127=4),IF(AND(C127="IN",I127=120),VLOOKUP(W127,'CAFCO 300 IDIEM TABLAS'!$J$4:$L$40,3,FALSE),0),0))</f>
        <v>17</v>
      </c>
      <c r="U127" s="48">
        <f t="shared" si="13"/>
        <v>1.5229350433247753</v>
      </c>
      <c r="V127" s="82">
        <f t="shared" si="10"/>
        <v>22865.346740478177</v>
      </c>
      <c r="W127" s="64">
        <f>+IF(J127=LOOKUP(J127,'CAFCO 300 IDIEM TABLAS'!$J$4:$J$40),'HOJA DE CÁLCULO RESPALDO'!J127,MROUND('HOJA DE CÁLCULO RESPALDO'!J127,10))</f>
        <v>95</v>
      </c>
      <c r="X127" s="36"/>
      <c r="Y127" s="4"/>
    </row>
    <row r="128" spans="1:25" ht="15.6" customHeight="1" x14ac:dyDescent="0.25">
      <c r="A128" s="2" t="s">
        <v>40</v>
      </c>
      <c r="B128" s="3" t="s">
        <v>17</v>
      </c>
      <c r="C128" s="3" t="s">
        <v>19</v>
      </c>
      <c r="D128" s="3">
        <v>1</v>
      </c>
      <c r="E128" s="2">
        <v>1</v>
      </c>
      <c r="F128" s="8">
        <v>1500</v>
      </c>
      <c r="G128" s="1">
        <v>4</v>
      </c>
      <c r="H128" s="2">
        <v>776</v>
      </c>
      <c r="I128" s="34">
        <v>90</v>
      </c>
      <c r="J128" s="11">
        <v>95</v>
      </c>
      <c r="K128" s="44">
        <f t="shared" si="7"/>
        <v>1.1639999999999999</v>
      </c>
      <c r="L128" s="3" t="s">
        <v>61</v>
      </c>
      <c r="M128" s="3" t="s">
        <v>70</v>
      </c>
      <c r="N128" s="15">
        <f>ROUND((IF(L128="Blaze Shield II",IF(M128="Idiem software",IF(AND(C128="IN",G128=4),((('BLAZE SHIELD II'!$D$4*('HOJA DE CÁLCULO RESPALDO'!I128^2)+'BLAZE SHIELD II'!$D$5*'HOJA DE CÁLCULO RESPALDO'!I128+'BLAZE SHIELD II'!$D$6)*LN(J128))+('BLAZE SHIELD II'!$D$7*('HOJA DE CÁLCULO RESPALDO'!I128^2)+'BLAZE SHIELD II'!$D$8*'HOJA DE CÁLCULO RESPALDO'!I128+'BLAZE SHIELD II'!$D$9)),0),0),0))+(IF(L128="Blaze Shield II",IF(M128="Idiem software",IF(C128="Cj",((('BLAZE SHIELD II'!$H$4*('HOJA DE CÁLCULO RESPALDO'!I128^2)+'BLAZE SHIELD II'!$H$5*'HOJA DE CÁLCULO RESPALDO'!I128+'BLAZE SHIELD II'!$H$6)*LN(J128))+('BLAZE SHIELD II'!$H$7*('HOJA DE CÁLCULO RESPALDO'!I128^2)+'BLAZE SHIELD II'!$H$8*'HOJA DE CÁLCULO RESPALDO'!I128+'BLAZE SHIELD II'!$H$9)),0),0),0))+(IF(L128="Blaze Shield II",IF(M128="Idiem software",IF(C128="C",((('BLAZE SHIELD II'!$L$4*('HOJA DE CÁLCULO RESPALDO'!I128^2)+'BLAZE SHIELD II'!$L$5*'HOJA DE CÁLCULO RESPALDO'!I128+'BLAZE SHIELD II'!$L$6)*LN(J128))+('BLAZE SHIELD II'!$L$7*('HOJA DE CÁLCULO RESPALDO'!I128^2)+'BLAZE SHIELD II'!$L$8*'HOJA DE CÁLCULO RESPALDO'!I128+'BLAZE SHIELD II'!$L$9)),0),0),0))+(IF(L128="Blaze Shield II",IF(M128="Idiem software",IF(AND(C128="IN",G128=3),((('BLAZE SHIELD II'!$H$14*('HOJA DE CÁLCULO RESPALDO'!I128^2)+'BLAZE SHIELD II'!$H$15*'HOJA DE CÁLCULO RESPALDO'!I128+'BLAZE SHIELD II'!$H$16)*LN(J128))+('BLAZE SHIELD II'!$H$17*('HOJA DE CÁLCULO RESPALDO'!I128^2)+'BLAZE SHIELD II'!$H$18*'HOJA DE CÁLCULO RESPALDO'!I128+'BLAZE SHIELD II'!$H$19)),0),0),0)),0)</f>
        <v>0</v>
      </c>
      <c r="O128" s="46">
        <f t="shared" si="11"/>
        <v>0</v>
      </c>
      <c r="P128" s="80">
        <f t="shared" si="8"/>
        <v>0</v>
      </c>
      <c r="Q128" s="85">
        <f>ROUND((IF(L128="Cafco 400",IF(M128="Idiem software",IF(AND(C128="IN",G128=4),((('CAFCO 400 '!$H$7*(J128^4)+'CAFCO 400 '!$H$8*(J128^3)+'CAFCO 400 '!$H$9*(J128^2)+'CAFCO 400 '!$H$10*J128+'CAFCO 400 '!$H$11)*I128^2)+(('CAFCO 400 '!$H$12*(J128^3)+'CAFCO 400 '!$H$13*(J128^2)+'CAFCO 400 '!$H$14*J128+'CAFCO 400 '!$H$15)*I128)+('CAFCO 400 '!$H$16*(J128^2)+'CAFCO 400 '!$H$17*J128+'CAFCO 400 '!$H$18)),0),0),0))+(IF(L128="Cafco 400",IF(M128="Idiem software",IF(C128="Cj",(((('CAFCO 400 '!$D$7*LN(J128)+'CAFCO 400 '!$D$8)*I128^2)+(('CAFCO 400 '!$D$9*LN(J128)+'CAFCO 400 '!$D$10)*I128)+('CAFCO 400 '!$D$11*LN(J128)+'CAFCO 400 '!$D$12))),0),0),0))+(IF(L128="Cafco 400",IF(M128="Idiem software",IF(C128="C",((('CAFCO 400 '!$L$7*(J128^3)+'CAFCO 400 '!$L$8*(J128^2)+'CAFCO 400 '!$L$9*J128+'CAFCO 400 '!$L$10)*I128^2)+(('CAFCO 400 '!$L$11*(J128^3)+'CAFCO 400 '!$L$12*(J128^2)+'CAFCO 400 '!$L$13*J128+'CAFCO 400 '!$L$14)*I128)+('CAFCO 400 '!$L$15*LN(J128)+'CAFCO 400 '!$L$16)),0),0),0))+(IF(L128="Cafco 400",IF(M128="Idiem software",IF(AND(C128="IN",G128=3),((('CAFCO 400 '!$D$23*(J128^2)+'CAFCO 400 '!$D$24*(J128)+'CAFCO 400 '!$D$25)*I128^2)+(('CAFCO 400 '!$D$26*(J128^2)+'CAFCO 400 '!$D$27*J128+'CAFCO 400 '!$D$28)*I128)+('CAFCO 400 '!$D$29*(J128^2)+'CAFCO 400 '!$D$30*J128+'CAFCO 400 '!$D$31)),0),0),0)),0)</f>
        <v>0</v>
      </c>
      <c r="R128" s="47">
        <f t="shared" si="12"/>
        <v>0</v>
      </c>
      <c r="S128" s="82">
        <f t="shared" si="9"/>
        <v>0</v>
      </c>
      <c r="T128" s="81">
        <f>+IF(AND(J128&gt;=95,J128&lt;=240),IF(AND(C128="Cj",I128=90),VLOOKUP(W128,'CAFCO 300 IDIEM TABLAS'!$B$4:$D$23,2,FALSE),0)+IF(AND(J128&gt;=95,J128&lt;=240),IF(AND(C128="Cj",I128=120),VLOOKUP(W128,'CAFCO 300 IDIEM TABLAS'!$B$4:$D$23,3,FALSE),0))+IF(AND(J128&gt;=95,J128&lt;=400,G128=3),IF(AND(C128="IN",I128=90),VLOOKUP(W128,'CAFCO 300 IDIEM TABLAS'!$F$4:$H$35,2,FALSE),0),0)+IF(AND(J128&gt;=95,J128&lt;=400,G128=3),IF(AND(C128="IN",I128=120),VLOOKUP(W128,'CAFCO 300 IDIEM TABLAS'!$F$4:$H$35,3,FALSE),0),0)+IF(AND(J128&gt;=95,J128&lt;=450,G128=4),IF(AND(C128="IN",I128=90),VLOOKUP(W128,'CAFCO 300 IDIEM TABLAS'!$J$4:$L$40,2,FALSE),0),0)+IF(AND(J128&gt;=95,J128&lt;=450,G128=4),IF(AND(C128="IN",I128=120),VLOOKUP(W128,'CAFCO 300 IDIEM TABLAS'!$J$4:$L$40,3,FALSE),0),0))</f>
        <v>17</v>
      </c>
      <c r="U128" s="48">
        <f t="shared" si="13"/>
        <v>0.2730693196405648</v>
      </c>
      <c r="V128" s="82">
        <f t="shared" si="10"/>
        <v>4099.8627650834396</v>
      </c>
      <c r="W128" s="64">
        <f>+IF(J128=LOOKUP(J128,'CAFCO 300 IDIEM TABLAS'!$J$4:$J$40),'HOJA DE CÁLCULO RESPALDO'!J128,MROUND('HOJA DE CÁLCULO RESPALDO'!J128,10))</f>
        <v>95</v>
      </c>
      <c r="X128" s="36"/>
      <c r="Y128" s="4"/>
    </row>
    <row r="129" spans="1:25" x14ac:dyDescent="0.25">
      <c r="A129" s="2" t="s">
        <v>40</v>
      </c>
      <c r="B129" s="3" t="s">
        <v>17</v>
      </c>
      <c r="C129" s="3" t="s">
        <v>19</v>
      </c>
      <c r="D129" s="3">
        <v>1</v>
      </c>
      <c r="E129" s="2">
        <v>1</v>
      </c>
      <c r="F129" s="8">
        <v>1500</v>
      </c>
      <c r="G129" s="1">
        <v>4</v>
      </c>
      <c r="H129" s="2">
        <v>3879</v>
      </c>
      <c r="I129" s="34">
        <v>90</v>
      </c>
      <c r="J129" s="11">
        <v>95</v>
      </c>
      <c r="K129" s="44">
        <f t="shared" si="7"/>
        <v>5.8185000000000002</v>
      </c>
      <c r="L129" s="3" t="s">
        <v>61</v>
      </c>
      <c r="M129" s="3" t="s">
        <v>70</v>
      </c>
      <c r="N129" s="15">
        <f>ROUND((IF(L129="Blaze Shield II",IF(M129="Idiem software",IF(AND(C129="IN",G129=4),((('BLAZE SHIELD II'!$D$4*('HOJA DE CÁLCULO RESPALDO'!I129^2)+'BLAZE SHIELD II'!$D$5*'HOJA DE CÁLCULO RESPALDO'!I129+'BLAZE SHIELD II'!$D$6)*LN(J129))+('BLAZE SHIELD II'!$D$7*('HOJA DE CÁLCULO RESPALDO'!I129^2)+'BLAZE SHIELD II'!$D$8*'HOJA DE CÁLCULO RESPALDO'!I129+'BLAZE SHIELD II'!$D$9)),0),0),0))+(IF(L129="Blaze Shield II",IF(M129="Idiem software",IF(C129="Cj",((('BLAZE SHIELD II'!$H$4*('HOJA DE CÁLCULO RESPALDO'!I129^2)+'BLAZE SHIELD II'!$H$5*'HOJA DE CÁLCULO RESPALDO'!I129+'BLAZE SHIELD II'!$H$6)*LN(J129))+('BLAZE SHIELD II'!$H$7*('HOJA DE CÁLCULO RESPALDO'!I129^2)+'BLAZE SHIELD II'!$H$8*'HOJA DE CÁLCULO RESPALDO'!I129+'BLAZE SHIELD II'!$H$9)),0),0),0))+(IF(L129="Blaze Shield II",IF(M129="Idiem software",IF(C129="C",((('BLAZE SHIELD II'!$L$4*('HOJA DE CÁLCULO RESPALDO'!I129^2)+'BLAZE SHIELD II'!$L$5*'HOJA DE CÁLCULO RESPALDO'!I129+'BLAZE SHIELD II'!$L$6)*LN(J129))+('BLAZE SHIELD II'!$L$7*('HOJA DE CÁLCULO RESPALDO'!I129^2)+'BLAZE SHIELD II'!$L$8*'HOJA DE CÁLCULO RESPALDO'!I129+'BLAZE SHIELD II'!$L$9)),0),0),0))+(IF(L129="Blaze Shield II",IF(M129="Idiem software",IF(AND(C129="IN",G129=3),((('BLAZE SHIELD II'!$H$14*('HOJA DE CÁLCULO RESPALDO'!I129^2)+'BLAZE SHIELD II'!$H$15*'HOJA DE CÁLCULO RESPALDO'!I129+'BLAZE SHIELD II'!$H$16)*LN(J129))+('BLAZE SHIELD II'!$H$17*('HOJA DE CÁLCULO RESPALDO'!I129^2)+'BLAZE SHIELD II'!$H$18*'HOJA DE CÁLCULO RESPALDO'!I129+'BLAZE SHIELD II'!$H$19)),0),0),0)),0)</f>
        <v>0</v>
      </c>
      <c r="O129" s="46">
        <f t="shared" si="11"/>
        <v>0</v>
      </c>
      <c r="P129" s="80">
        <f t="shared" si="8"/>
        <v>0</v>
      </c>
      <c r="Q129" s="85">
        <f>ROUND((IF(L129="Cafco 400",IF(M129="Idiem software",IF(AND(C129="IN",G129=4),((('CAFCO 400 '!$H$7*(J129^4)+'CAFCO 400 '!$H$8*(J129^3)+'CAFCO 400 '!$H$9*(J129^2)+'CAFCO 400 '!$H$10*J129+'CAFCO 400 '!$H$11)*I129^2)+(('CAFCO 400 '!$H$12*(J129^3)+'CAFCO 400 '!$H$13*(J129^2)+'CAFCO 400 '!$H$14*J129+'CAFCO 400 '!$H$15)*I129)+('CAFCO 400 '!$H$16*(J129^2)+'CAFCO 400 '!$H$17*J129+'CAFCO 400 '!$H$18)),0),0),0))+(IF(L129="Cafco 400",IF(M129="Idiem software",IF(C129="Cj",(((('CAFCO 400 '!$D$7*LN(J129)+'CAFCO 400 '!$D$8)*I129^2)+(('CAFCO 400 '!$D$9*LN(J129)+'CAFCO 400 '!$D$10)*I129)+('CAFCO 400 '!$D$11*LN(J129)+'CAFCO 400 '!$D$12))),0),0),0))+(IF(L129="Cafco 400",IF(M129="Idiem software",IF(C129="C",((('CAFCO 400 '!$L$7*(J129^3)+'CAFCO 400 '!$L$8*(J129^2)+'CAFCO 400 '!$L$9*J129+'CAFCO 400 '!$L$10)*I129^2)+(('CAFCO 400 '!$L$11*(J129^3)+'CAFCO 400 '!$L$12*(J129^2)+'CAFCO 400 '!$L$13*J129+'CAFCO 400 '!$L$14)*I129)+('CAFCO 400 '!$L$15*LN(J129)+'CAFCO 400 '!$L$16)),0),0),0))+(IF(L129="Cafco 400",IF(M129="Idiem software",IF(AND(C129="IN",G129=3),((('CAFCO 400 '!$D$23*(J129^2)+'CAFCO 400 '!$D$24*(J129)+'CAFCO 400 '!$D$25)*I129^2)+(('CAFCO 400 '!$D$26*(J129^2)+'CAFCO 400 '!$D$27*J129+'CAFCO 400 '!$D$28)*I129)+('CAFCO 400 '!$D$29*(J129^2)+'CAFCO 400 '!$D$30*J129+'CAFCO 400 '!$D$31)),0),0),0)),0)</f>
        <v>0</v>
      </c>
      <c r="R129" s="47">
        <f t="shared" si="12"/>
        <v>0</v>
      </c>
      <c r="S129" s="82">
        <f t="shared" si="9"/>
        <v>0</v>
      </c>
      <c r="T129" s="81">
        <f>+IF(AND(J129&gt;=95,J129&lt;=240),IF(AND(C129="Cj",I129=90),VLOOKUP(W129,'CAFCO 300 IDIEM TABLAS'!$B$4:$D$23,2,FALSE),0)+IF(AND(J129&gt;=95,J129&lt;=240),IF(AND(C129="Cj",I129=120),VLOOKUP(W129,'CAFCO 300 IDIEM TABLAS'!$B$4:$D$23,3,FALSE),0))+IF(AND(J129&gt;=95,J129&lt;=400,G129=3),IF(AND(C129="IN",I129=90),VLOOKUP(W129,'CAFCO 300 IDIEM TABLAS'!$F$4:$H$35,2,FALSE),0),0)+IF(AND(J129&gt;=95,J129&lt;=400,G129=3),IF(AND(C129="IN",I129=120),VLOOKUP(W129,'CAFCO 300 IDIEM TABLAS'!$F$4:$H$35,3,FALSE),0),0)+IF(AND(J129&gt;=95,J129&lt;=450,G129=4),IF(AND(C129="IN",I129=90),VLOOKUP(W129,'CAFCO 300 IDIEM TABLAS'!$J$4:$L$40,2,FALSE),0),0)+IF(AND(J129&gt;=95,J129&lt;=450,G129=4),IF(AND(C129="IN",I129=120),VLOOKUP(W129,'CAFCO 300 IDIEM TABLAS'!$J$4:$L$40,3,FALSE),0),0))</f>
        <v>17</v>
      </c>
      <c r="U129" s="48">
        <f t="shared" si="13"/>
        <v>1.3649947047496791</v>
      </c>
      <c r="V129" s="82">
        <f t="shared" si="10"/>
        <v>20494.030497111682</v>
      </c>
      <c r="W129" s="64">
        <f>+IF(J129=LOOKUP(J129,'CAFCO 300 IDIEM TABLAS'!$J$4:$J$40),'HOJA DE CÁLCULO RESPALDO'!J129,MROUND('HOJA DE CÁLCULO RESPALDO'!J129,10))</f>
        <v>95</v>
      </c>
      <c r="X129" s="36"/>
      <c r="Y129" s="4"/>
    </row>
    <row r="130" spans="1:25" ht="15.6" customHeight="1" x14ac:dyDescent="0.25">
      <c r="A130" s="2" t="s">
        <v>41</v>
      </c>
      <c r="B130" s="3" t="s">
        <v>17</v>
      </c>
      <c r="C130" s="3" t="s">
        <v>19</v>
      </c>
      <c r="D130" s="3">
        <v>1</v>
      </c>
      <c r="E130" s="2">
        <v>2</v>
      </c>
      <c r="F130" s="8">
        <v>26385</v>
      </c>
      <c r="G130" s="1">
        <v>4</v>
      </c>
      <c r="H130" s="2">
        <v>2784</v>
      </c>
      <c r="I130" s="34">
        <v>90</v>
      </c>
      <c r="J130" s="11">
        <v>95</v>
      </c>
      <c r="K130" s="44">
        <f t="shared" si="7"/>
        <v>146.91167999999999</v>
      </c>
      <c r="L130" s="3" t="s">
        <v>61</v>
      </c>
      <c r="M130" s="3" t="s">
        <v>70</v>
      </c>
      <c r="N130" s="15">
        <f>ROUND((IF(L130="Blaze Shield II",IF(M130="Idiem software",IF(AND(C130="IN",G130=4),((('BLAZE SHIELD II'!$D$4*('HOJA DE CÁLCULO RESPALDO'!I130^2)+'BLAZE SHIELD II'!$D$5*'HOJA DE CÁLCULO RESPALDO'!I130+'BLAZE SHIELD II'!$D$6)*LN(J130))+('BLAZE SHIELD II'!$D$7*('HOJA DE CÁLCULO RESPALDO'!I130^2)+'BLAZE SHIELD II'!$D$8*'HOJA DE CÁLCULO RESPALDO'!I130+'BLAZE SHIELD II'!$D$9)),0),0),0))+(IF(L130="Blaze Shield II",IF(M130="Idiem software",IF(C130="Cj",((('BLAZE SHIELD II'!$H$4*('HOJA DE CÁLCULO RESPALDO'!I130^2)+'BLAZE SHIELD II'!$H$5*'HOJA DE CÁLCULO RESPALDO'!I130+'BLAZE SHIELD II'!$H$6)*LN(J130))+('BLAZE SHIELD II'!$H$7*('HOJA DE CÁLCULO RESPALDO'!I130^2)+'BLAZE SHIELD II'!$H$8*'HOJA DE CÁLCULO RESPALDO'!I130+'BLAZE SHIELD II'!$H$9)),0),0),0))+(IF(L130="Blaze Shield II",IF(M130="Idiem software",IF(C130="C",((('BLAZE SHIELD II'!$L$4*('HOJA DE CÁLCULO RESPALDO'!I130^2)+'BLAZE SHIELD II'!$L$5*'HOJA DE CÁLCULO RESPALDO'!I130+'BLAZE SHIELD II'!$L$6)*LN(J130))+('BLAZE SHIELD II'!$L$7*('HOJA DE CÁLCULO RESPALDO'!I130^2)+'BLAZE SHIELD II'!$L$8*'HOJA DE CÁLCULO RESPALDO'!I130+'BLAZE SHIELD II'!$L$9)),0),0),0))+(IF(L130="Blaze Shield II",IF(M130="Idiem software",IF(AND(C130="IN",G130=3),((('BLAZE SHIELD II'!$H$14*('HOJA DE CÁLCULO RESPALDO'!I130^2)+'BLAZE SHIELD II'!$H$15*'HOJA DE CÁLCULO RESPALDO'!I130+'BLAZE SHIELD II'!$H$16)*LN(J130))+('BLAZE SHIELD II'!$H$17*('HOJA DE CÁLCULO RESPALDO'!I130^2)+'BLAZE SHIELD II'!$H$18*'HOJA DE CÁLCULO RESPALDO'!I130+'BLAZE SHIELD II'!$H$19)),0),0),0)),0)</f>
        <v>0</v>
      </c>
      <c r="O130" s="46">
        <f t="shared" si="11"/>
        <v>0</v>
      </c>
      <c r="P130" s="80">
        <f t="shared" si="8"/>
        <v>0</v>
      </c>
      <c r="Q130" s="85">
        <f>ROUND((IF(L130="Cafco 400",IF(M130="Idiem software",IF(AND(C130="IN",G130=4),((('CAFCO 400 '!$H$7*(J130^4)+'CAFCO 400 '!$H$8*(J130^3)+'CAFCO 400 '!$H$9*(J130^2)+'CAFCO 400 '!$H$10*J130+'CAFCO 400 '!$H$11)*I130^2)+(('CAFCO 400 '!$H$12*(J130^3)+'CAFCO 400 '!$H$13*(J130^2)+'CAFCO 400 '!$H$14*J130+'CAFCO 400 '!$H$15)*I130)+('CAFCO 400 '!$H$16*(J130^2)+'CAFCO 400 '!$H$17*J130+'CAFCO 400 '!$H$18)),0),0),0))+(IF(L130="Cafco 400",IF(M130="Idiem software",IF(C130="Cj",(((('CAFCO 400 '!$D$7*LN(J130)+'CAFCO 400 '!$D$8)*I130^2)+(('CAFCO 400 '!$D$9*LN(J130)+'CAFCO 400 '!$D$10)*I130)+('CAFCO 400 '!$D$11*LN(J130)+'CAFCO 400 '!$D$12))),0),0),0))+(IF(L130="Cafco 400",IF(M130="Idiem software",IF(C130="C",((('CAFCO 400 '!$L$7*(J130^3)+'CAFCO 400 '!$L$8*(J130^2)+'CAFCO 400 '!$L$9*J130+'CAFCO 400 '!$L$10)*I130^2)+(('CAFCO 400 '!$L$11*(J130^3)+'CAFCO 400 '!$L$12*(J130^2)+'CAFCO 400 '!$L$13*J130+'CAFCO 400 '!$L$14)*I130)+('CAFCO 400 '!$L$15*LN(J130)+'CAFCO 400 '!$L$16)),0),0),0))+(IF(L130="Cafco 400",IF(M130="Idiem software",IF(AND(C130="IN",G130=3),((('CAFCO 400 '!$D$23*(J130^2)+'CAFCO 400 '!$D$24*(J130)+'CAFCO 400 '!$D$25)*I130^2)+(('CAFCO 400 '!$D$26*(J130^2)+'CAFCO 400 '!$D$27*J130+'CAFCO 400 '!$D$28)*I130)+('CAFCO 400 '!$D$29*(J130^2)+'CAFCO 400 '!$D$30*J130+'CAFCO 400 '!$D$31)),0),0),0)),0)</f>
        <v>0</v>
      </c>
      <c r="R130" s="47">
        <f t="shared" si="12"/>
        <v>0</v>
      </c>
      <c r="S130" s="82">
        <f t="shared" si="9"/>
        <v>0</v>
      </c>
      <c r="T130" s="81">
        <f>+IF(AND(J130&gt;=95,J130&lt;=240),IF(AND(C130="Cj",I130=90),VLOOKUP(W130,'CAFCO 300 IDIEM TABLAS'!$B$4:$D$23,2,FALSE),0)+IF(AND(J130&gt;=95,J130&lt;=240),IF(AND(C130="Cj",I130=120),VLOOKUP(W130,'CAFCO 300 IDIEM TABLAS'!$B$4:$D$23,3,FALSE),0))+IF(AND(J130&gt;=95,J130&lt;=400,G130=3),IF(AND(C130="IN",I130=90),VLOOKUP(W130,'CAFCO 300 IDIEM TABLAS'!$F$4:$H$35,2,FALSE),0),0)+IF(AND(J130&gt;=95,J130&lt;=400,G130=3),IF(AND(C130="IN",I130=120),VLOOKUP(W130,'CAFCO 300 IDIEM TABLAS'!$F$4:$H$35,3,FALSE),0),0)+IF(AND(J130&gt;=95,J130&lt;=450,G130=4),IF(AND(C130="IN",I130=90),VLOOKUP(W130,'CAFCO 300 IDIEM TABLAS'!$J$4:$L$40,2,FALSE),0),0)+IF(AND(J130&gt;=95,J130&lt;=450,G130=4),IF(AND(C130="IN",I130=120),VLOOKUP(W130,'CAFCO 300 IDIEM TABLAS'!$J$4:$L$40,3,FALSE),0),0))</f>
        <v>17</v>
      </c>
      <c r="U130" s="48">
        <f t="shared" si="13"/>
        <v>34.464838921694479</v>
      </c>
      <c r="V130" s="82">
        <f t="shared" si="10"/>
        <v>517455.09157032089</v>
      </c>
      <c r="W130" s="64">
        <f>+IF(J130=LOOKUP(J130,'CAFCO 300 IDIEM TABLAS'!$J$4:$J$40),'HOJA DE CÁLCULO RESPALDO'!J130,MROUND('HOJA DE CÁLCULO RESPALDO'!J130,10))</f>
        <v>95</v>
      </c>
      <c r="X130" s="36"/>
      <c r="Y130" s="4"/>
    </row>
    <row r="131" spans="1:25" x14ac:dyDescent="0.25">
      <c r="A131" s="2" t="s">
        <v>42</v>
      </c>
      <c r="B131" s="3" t="s">
        <v>17</v>
      </c>
      <c r="C131" s="3" t="s">
        <v>19</v>
      </c>
      <c r="D131" s="3">
        <v>1</v>
      </c>
      <c r="E131" s="2">
        <v>1</v>
      </c>
      <c r="F131" s="8">
        <v>91778</v>
      </c>
      <c r="G131" s="1">
        <v>4</v>
      </c>
      <c r="H131" s="2">
        <v>1781</v>
      </c>
      <c r="I131" s="34">
        <v>90</v>
      </c>
      <c r="J131" s="11">
        <v>95</v>
      </c>
      <c r="K131" s="44">
        <f t="shared" si="7"/>
        <v>163.45661799999999</v>
      </c>
      <c r="L131" s="3" t="s">
        <v>61</v>
      </c>
      <c r="M131" s="3" t="s">
        <v>70</v>
      </c>
      <c r="N131" s="15">
        <f>ROUND((IF(L131="Blaze Shield II",IF(M131="Idiem software",IF(AND(C131="IN",G131=4),((('BLAZE SHIELD II'!$D$4*('HOJA DE CÁLCULO RESPALDO'!I131^2)+'BLAZE SHIELD II'!$D$5*'HOJA DE CÁLCULO RESPALDO'!I131+'BLAZE SHIELD II'!$D$6)*LN(J131))+('BLAZE SHIELD II'!$D$7*('HOJA DE CÁLCULO RESPALDO'!I131^2)+'BLAZE SHIELD II'!$D$8*'HOJA DE CÁLCULO RESPALDO'!I131+'BLAZE SHIELD II'!$D$9)),0),0),0))+(IF(L131="Blaze Shield II",IF(M131="Idiem software",IF(C131="Cj",((('BLAZE SHIELD II'!$H$4*('HOJA DE CÁLCULO RESPALDO'!I131^2)+'BLAZE SHIELD II'!$H$5*'HOJA DE CÁLCULO RESPALDO'!I131+'BLAZE SHIELD II'!$H$6)*LN(J131))+('BLAZE SHIELD II'!$H$7*('HOJA DE CÁLCULO RESPALDO'!I131^2)+'BLAZE SHIELD II'!$H$8*'HOJA DE CÁLCULO RESPALDO'!I131+'BLAZE SHIELD II'!$H$9)),0),0),0))+(IF(L131="Blaze Shield II",IF(M131="Idiem software",IF(C131="C",((('BLAZE SHIELD II'!$L$4*('HOJA DE CÁLCULO RESPALDO'!I131^2)+'BLAZE SHIELD II'!$L$5*'HOJA DE CÁLCULO RESPALDO'!I131+'BLAZE SHIELD II'!$L$6)*LN(J131))+('BLAZE SHIELD II'!$L$7*('HOJA DE CÁLCULO RESPALDO'!I131^2)+'BLAZE SHIELD II'!$L$8*'HOJA DE CÁLCULO RESPALDO'!I131+'BLAZE SHIELD II'!$L$9)),0),0),0))+(IF(L131="Blaze Shield II",IF(M131="Idiem software",IF(AND(C131="IN",G131=3),((('BLAZE SHIELD II'!$H$14*('HOJA DE CÁLCULO RESPALDO'!I131^2)+'BLAZE SHIELD II'!$H$15*'HOJA DE CÁLCULO RESPALDO'!I131+'BLAZE SHIELD II'!$H$16)*LN(J131))+('BLAZE SHIELD II'!$H$17*('HOJA DE CÁLCULO RESPALDO'!I131^2)+'BLAZE SHIELD II'!$H$18*'HOJA DE CÁLCULO RESPALDO'!I131+'BLAZE SHIELD II'!$H$19)),0),0),0)),0)</f>
        <v>0</v>
      </c>
      <c r="O131" s="46">
        <f t="shared" si="11"/>
        <v>0</v>
      </c>
      <c r="P131" s="80">
        <f t="shared" si="8"/>
        <v>0</v>
      </c>
      <c r="Q131" s="85">
        <f>ROUND((IF(L131="Cafco 400",IF(M131="Idiem software",IF(AND(C131="IN",G131=4),((('CAFCO 400 '!$H$7*(J131^4)+'CAFCO 400 '!$H$8*(J131^3)+'CAFCO 400 '!$H$9*(J131^2)+'CAFCO 400 '!$H$10*J131+'CAFCO 400 '!$H$11)*I131^2)+(('CAFCO 400 '!$H$12*(J131^3)+'CAFCO 400 '!$H$13*(J131^2)+'CAFCO 400 '!$H$14*J131+'CAFCO 400 '!$H$15)*I131)+('CAFCO 400 '!$H$16*(J131^2)+'CAFCO 400 '!$H$17*J131+'CAFCO 400 '!$H$18)),0),0),0))+(IF(L131="Cafco 400",IF(M131="Idiem software",IF(C131="Cj",(((('CAFCO 400 '!$D$7*LN(J131)+'CAFCO 400 '!$D$8)*I131^2)+(('CAFCO 400 '!$D$9*LN(J131)+'CAFCO 400 '!$D$10)*I131)+('CAFCO 400 '!$D$11*LN(J131)+'CAFCO 400 '!$D$12))),0),0),0))+(IF(L131="Cafco 400",IF(M131="Idiem software",IF(C131="C",((('CAFCO 400 '!$L$7*(J131^3)+'CAFCO 400 '!$L$8*(J131^2)+'CAFCO 400 '!$L$9*J131+'CAFCO 400 '!$L$10)*I131^2)+(('CAFCO 400 '!$L$11*(J131^3)+'CAFCO 400 '!$L$12*(J131^2)+'CAFCO 400 '!$L$13*J131+'CAFCO 400 '!$L$14)*I131)+('CAFCO 400 '!$L$15*LN(J131)+'CAFCO 400 '!$L$16)),0),0),0))+(IF(L131="Cafco 400",IF(M131="Idiem software",IF(AND(C131="IN",G131=3),((('CAFCO 400 '!$D$23*(J131^2)+'CAFCO 400 '!$D$24*(J131)+'CAFCO 400 '!$D$25)*I131^2)+(('CAFCO 400 '!$D$26*(J131^2)+'CAFCO 400 '!$D$27*J131+'CAFCO 400 '!$D$28)*I131)+('CAFCO 400 '!$D$29*(J131^2)+'CAFCO 400 '!$D$30*J131+'CAFCO 400 '!$D$31)),0),0),0)),0)</f>
        <v>0</v>
      </c>
      <c r="R131" s="47">
        <f t="shared" si="12"/>
        <v>0</v>
      </c>
      <c r="S131" s="82">
        <f t="shared" si="9"/>
        <v>0</v>
      </c>
      <c r="T131" s="81">
        <f>+IF(AND(J131&gt;=95,J131&lt;=240),IF(AND(C131="Cj",I131=90),VLOOKUP(W131,'CAFCO 300 IDIEM TABLAS'!$B$4:$D$23,2,FALSE),0)+IF(AND(J131&gt;=95,J131&lt;=240),IF(AND(C131="Cj",I131=120),VLOOKUP(W131,'CAFCO 300 IDIEM TABLAS'!$B$4:$D$23,3,FALSE),0))+IF(AND(J131&gt;=95,J131&lt;=400,G131=3),IF(AND(C131="IN",I131=90),VLOOKUP(W131,'CAFCO 300 IDIEM TABLAS'!$F$4:$H$35,2,FALSE),0),0)+IF(AND(J131&gt;=95,J131&lt;=400,G131=3),IF(AND(C131="IN",I131=120),VLOOKUP(W131,'CAFCO 300 IDIEM TABLAS'!$F$4:$H$35,3,FALSE),0),0)+IF(AND(J131&gt;=95,J131&lt;=450,G131=4),IF(AND(C131="IN",I131=90),VLOOKUP(W131,'CAFCO 300 IDIEM TABLAS'!$J$4:$L$40,2,FALSE),0),0)+IF(AND(J131&gt;=95,J131&lt;=450,G131=4),IF(AND(C131="IN",I131=120),VLOOKUP(W131,'CAFCO 300 IDIEM TABLAS'!$J$4:$L$40,3,FALSE),0),0))</f>
        <v>17</v>
      </c>
      <c r="U131" s="48">
        <f t="shared" si="13"/>
        <v>38.34620916495507</v>
      </c>
      <c r="V131" s="82">
        <f t="shared" si="10"/>
        <v>575729.98440263537</v>
      </c>
      <c r="W131" s="64">
        <f>+IF(J131=LOOKUP(J131,'CAFCO 300 IDIEM TABLAS'!$J$4:$J$40),'HOJA DE CÁLCULO RESPALDO'!J131,MROUND('HOJA DE CÁLCULO RESPALDO'!J131,10))</f>
        <v>95</v>
      </c>
      <c r="X131" s="36"/>
      <c r="Y131" s="4"/>
    </row>
    <row r="132" spans="1:25" ht="15.6" customHeight="1" x14ac:dyDescent="0.25">
      <c r="A132" s="2" t="s">
        <v>43</v>
      </c>
      <c r="B132" s="3" t="s">
        <v>17</v>
      </c>
      <c r="C132" s="3" t="s">
        <v>19</v>
      </c>
      <c r="D132" s="3">
        <v>1</v>
      </c>
      <c r="E132" s="2">
        <v>2</v>
      </c>
      <c r="F132" s="8">
        <v>12900</v>
      </c>
      <c r="G132" s="1">
        <v>4</v>
      </c>
      <c r="H132" s="2">
        <v>968</v>
      </c>
      <c r="I132" s="34">
        <v>90</v>
      </c>
      <c r="J132" s="11">
        <v>95</v>
      </c>
      <c r="K132" s="44">
        <f t="shared" si="7"/>
        <v>24.974399999999999</v>
      </c>
      <c r="L132" s="3" t="s">
        <v>61</v>
      </c>
      <c r="M132" s="3" t="s">
        <v>70</v>
      </c>
      <c r="N132" s="15">
        <f>ROUND((IF(L132="Blaze Shield II",IF(M132="Idiem software",IF(AND(C132="IN",G132=4),((('BLAZE SHIELD II'!$D$4*('HOJA DE CÁLCULO RESPALDO'!I132^2)+'BLAZE SHIELD II'!$D$5*'HOJA DE CÁLCULO RESPALDO'!I132+'BLAZE SHIELD II'!$D$6)*LN(J132))+('BLAZE SHIELD II'!$D$7*('HOJA DE CÁLCULO RESPALDO'!I132^2)+'BLAZE SHIELD II'!$D$8*'HOJA DE CÁLCULO RESPALDO'!I132+'BLAZE SHIELD II'!$D$9)),0),0),0))+(IF(L132="Blaze Shield II",IF(M132="Idiem software",IF(C132="Cj",((('BLAZE SHIELD II'!$H$4*('HOJA DE CÁLCULO RESPALDO'!I132^2)+'BLAZE SHIELD II'!$H$5*'HOJA DE CÁLCULO RESPALDO'!I132+'BLAZE SHIELD II'!$H$6)*LN(J132))+('BLAZE SHIELD II'!$H$7*('HOJA DE CÁLCULO RESPALDO'!I132^2)+'BLAZE SHIELD II'!$H$8*'HOJA DE CÁLCULO RESPALDO'!I132+'BLAZE SHIELD II'!$H$9)),0),0),0))+(IF(L132="Blaze Shield II",IF(M132="Idiem software",IF(C132="C",((('BLAZE SHIELD II'!$L$4*('HOJA DE CÁLCULO RESPALDO'!I132^2)+'BLAZE SHIELD II'!$L$5*'HOJA DE CÁLCULO RESPALDO'!I132+'BLAZE SHIELD II'!$L$6)*LN(J132))+('BLAZE SHIELD II'!$L$7*('HOJA DE CÁLCULO RESPALDO'!I132^2)+'BLAZE SHIELD II'!$L$8*'HOJA DE CÁLCULO RESPALDO'!I132+'BLAZE SHIELD II'!$L$9)),0),0),0))+(IF(L132="Blaze Shield II",IF(M132="Idiem software",IF(AND(C132="IN",G132=3),((('BLAZE SHIELD II'!$H$14*('HOJA DE CÁLCULO RESPALDO'!I132^2)+'BLAZE SHIELD II'!$H$15*'HOJA DE CÁLCULO RESPALDO'!I132+'BLAZE SHIELD II'!$H$16)*LN(J132))+('BLAZE SHIELD II'!$H$17*('HOJA DE CÁLCULO RESPALDO'!I132^2)+'BLAZE SHIELD II'!$H$18*'HOJA DE CÁLCULO RESPALDO'!I132+'BLAZE SHIELD II'!$H$19)),0),0),0)),0)</f>
        <v>0</v>
      </c>
      <c r="O132" s="46">
        <f t="shared" si="11"/>
        <v>0</v>
      </c>
      <c r="P132" s="80">
        <f t="shared" si="8"/>
        <v>0</v>
      </c>
      <c r="Q132" s="85">
        <f>ROUND((IF(L132="Cafco 400",IF(M132="Idiem software",IF(AND(C132="IN",G132=4),((('CAFCO 400 '!$H$7*(J132^4)+'CAFCO 400 '!$H$8*(J132^3)+'CAFCO 400 '!$H$9*(J132^2)+'CAFCO 400 '!$H$10*J132+'CAFCO 400 '!$H$11)*I132^2)+(('CAFCO 400 '!$H$12*(J132^3)+'CAFCO 400 '!$H$13*(J132^2)+'CAFCO 400 '!$H$14*J132+'CAFCO 400 '!$H$15)*I132)+('CAFCO 400 '!$H$16*(J132^2)+'CAFCO 400 '!$H$17*J132+'CAFCO 400 '!$H$18)),0),0),0))+(IF(L132="Cafco 400",IF(M132="Idiem software",IF(C132="Cj",(((('CAFCO 400 '!$D$7*LN(J132)+'CAFCO 400 '!$D$8)*I132^2)+(('CAFCO 400 '!$D$9*LN(J132)+'CAFCO 400 '!$D$10)*I132)+('CAFCO 400 '!$D$11*LN(J132)+'CAFCO 400 '!$D$12))),0),0),0))+(IF(L132="Cafco 400",IF(M132="Idiem software",IF(C132="C",((('CAFCO 400 '!$L$7*(J132^3)+'CAFCO 400 '!$L$8*(J132^2)+'CAFCO 400 '!$L$9*J132+'CAFCO 400 '!$L$10)*I132^2)+(('CAFCO 400 '!$L$11*(J132^3)+'CAFCO 400 '!$L$12*(J132^2)+'CAFCO 400 '!$L$13*J132+'CAFCO 400 '!$L$14)*I132)+('CAFCO 400 '!$L$15*LN(J132)+'CAFCO 400 '!$L$16)),0),0),0))+(IF(L132="Cafco 400",IF(M132="Idiem software",IF(AND(C132="IN",G132=3),((('CAFCO 400 '!$D$23*(J132^2)+'CAFCO 400 '!$D$24*(J132)+'CAFCO 400 '!$D$25)*I132^2)+(('CAFCO 400 '!$D$26*(J132^2)+'CAFCO 400 '!$D$27*J132+'CAFCO 400 '!$D$28)*I132)+('CAFCO 400 '!$D$29*(J132^2)+'CAFCO 400 '!$D$30*J132+'CAFCO 400 '!$D$31)),0),0),0)),0)</f>
        <v>0</v>
      </c>
      <c r="R132" s="47">
        <f t="shared" si="12"/>
        <v>0</v>
      </c>
      <c r="S132" s="82">
        <f t="shared" si="9"/>
        <v>0</v>
      </c>
      <c r="T132" s="81">
        <f>+IF(AND(J132&gt;=95,J132&lt;=240),IF(AND(C132="Cj",I132=90),VLOOKUP(W132,'CAFCO 300 IDIEM TABLAS'!$B$4:$D$23,2,FALSE),0)+IF(AND(J132&gt;=95,J132&lt;=240),IF(AND(C132="Cj",I132=120),VLOOKUP(W132,'CAFCO 300 IDIEM TABLAS'!$B$4:$D$23,3,FALSE),0))+IF(AND(J132&gt;=95,J132&lt;=400,G132=3),IF(AND(C132="IN",I132=90),VLOOKUP(W132,'CAFCO 300 IDIEM TABLAS'!$F$4:$H$35,2,FALSE),0),0)+IF(AND(J132&gt;=95,J132&lt;=400,G132=3),IF(AND(C132="IN",I132=120),VLOOKUP(W132,'CAFCO 300 IDIEM TABLAS'!$F$4:$H$35,3,FALSE),0),0)+IF(AND(J132&gt;=95,J132&lt;=450,G132=4),IF(AND(C132="IN",I132=90),VLOOKUP(W132,'CAFCO 300 IDIEM TABLAS'!$J$4:$L$40,2,FALSE),0),0)+IF(AND(J132&gt;=95,J132&lt;=450,G132=4),IF(AND(C132="IN",I132=120),VLOOKUP(W132,'CAFCO 300 IDIEM TABLAS'!$J$4:$L$40,3,FALSE),0),0))</f>
        <v>17</v>
      </c>
      <c r="U132" s="48">
        <f t="shared" si="13"/>
        <v>5.8588852374839533</v>
      </c>
      <c r="V132" s="82">
        <f t="shared" si="10"/>
        <v>87965.302955584077</v>
      </c>
      <c r="W132" s="64">
        <f>+IF(J132=LOOKUP(J132,'CAFCO 300 IDIEM TABLAS'!$J$4:$J$40),'HOJA DE CÁLCULO RESPALDO'!J132,MROUND('HOJA DE CÁLCULO RESPALDO'!J132,10))</f>
        <v>95</v>
      </c>
      <c r="X132" s="36"/>
      <c r="Y132" s="4"/>
    </row>
    <row r="133" spans="1:25" x14ac:dyDescent="0.25">
      <c r="A133" s="2" t="s">
        <v>44</v>
      </c>
      <c r="B133" s="3" t="s">
        <v>17</v>
      </c>
      <c r="C133" s="3" t="s">
        <v>19</v>
      </c>
      <c r="D133" s="3">
        <v>1</v>
      </c>
      <c r="E133" s="2">
        <v>1</v>
      </c>
      <c r="F133" s="8">
        <v>17971</v>
      </c>
      <c r="G133" s="1">
        <v>4</v>
      </c>
      <c r="H133" s="2">
        <v>2184</v>
      </c>
      <c r="I133" s="34">
        <v>90</v>
      </c>
      <c r="J133" s="11">
        <v>95</v>
      </c>
      <c r="K133" s="44">
        <f t="shared" si="7"/>
        <v>39.248663999999998</v>
      </c>
      <c r="L133" s="3" t="s">
        <v>61</v>
      </c>
      <c r="M133" s="3" t="s">
        <v>70</v>
      </c>
      <c r="N133" s="15">
        <f>ROUND((IF(L133="Blaze Shield II",IF(M133="Idiem software",IF(AND(C133="IN",G133=4),((('BLAZE SHIELD II'!$D$4*('HOJA DE CÁLCULO RESPALDO'!I133^2)+'BLAZE SHIELD II'!$D$5*'HOJA DE CÁLCULO RESPALDO'!I133+'BLAZE SHIELD II'!$D$6)*LN(J133))+('BLAZE SHIELD II'!$D$7*('HOJA DE CÁLCULO RESPALDO'!I133^2)+'BLAZE SHIELD II'!$D$8*'HOJA DE CÁLCULO RESPALDO'!I133+'BLAZE SHIELD II'!$D$9)),0),0),0))+(IF(L133="Blaze Shield II",IF(M133="Idiem software",IF(C133="Cj",((('BLAZE SHIELD II'!$H$4*('HOJA DE CÁLCULO RESPALDO'!I133^2)+'BLAZE SHIELD II'!$H$5*'HOJA DE CÁLCULO RESPALDO'!I133+'BLAZE SHIELD II'!$H$6)*LN(J133))+('BLAZE SHIELD II'!$H$7*('HOJA DE CÁLCULO RESPALDO'!I133^2)+'BLAZE SHIELD II'!$H$8*'HOJA DE CÁLCULO RESPALDO'!I133+'BLAZE SHIELD II'!$H$9)),0),0),0))+(IF(L133="Blaze Shield II",IF(M133="Idiem software",IF(C133="C",((('BLAZE SHIELD II'!$L$4*('HOJA DE CÁLCULO RESPALDO'!I133^2)+'BLAZE SHIELD II'!$L$5*'HOJA DE CÁLCULO RESPALDO'!I133+'BLAZE SHIELD II'!$L$6)*LN(J133))+('BLAZE SHIELD II'!$L$7*('HOJA DE CÁLCULO RESPALDO'!I133^2)+'BLAZE SHIELD II'!$L$8*'HOJA DE CÁLCULO RESPALDO'!I133+'BLAZE SHIELD II'!$L$9)),0),0),0))+(IF(L133="Blaze Shield II",IF(M133="Idiem software",IF(AND(C133="IN",G133=3),((('BLAZE SHIELD II'!$H$14*('HOJA DE CÁLCULO RESPALDO'!I133^2)+'BLAZE SHIELD II'!$H$15*'HOJA DE CÁLCULO RESPALDO'!I133+'BLAZE SHIELD II'!$H$16)*LN(J133))+('BLAZE SHIELD II'!$H$17*('HOJA DE CÁLCULO RESPALDO'!I133^2)+'BLAZE SHIELD II'!$H$18*'HOJA DE CÁLCULO RESPALDO'!I133+'BLAZE SHIELD II'!$H$19)),0),0),0)),0)</f>
        <v>0</v>
      </c>
      <c r="O133" s="46">
        <f t="shared" si="11"/>
        <v>0</v>
      </c>
      <c r="P133" s="80">
        <f t="shared" si="8"/>
        <v>0</v>
      </c>
      <c r="Q133" s="85">
        <f>ROUND((IF(L133="Cafco 400",IF(M133="Idiem software",IF(AND(C133="IN",G133=4),((('CAFCO 400 '!$H$7*(J133^4)+'CAFCO 400 '!$H$8*(J133^3)+'CAFCO 400 '!$H$9*(J133^2)+'CAFCO 400 '!$H$10*J133+'CAFCO 400 '!$H$11)*I133^2)+(('CAFCO 400 '!$H$12*(J133^3)+'CAFCO 400 '!$H$13*(J133^2)+'CAFCO 400 '!$H$14*J133+'CAFCO 400 '!$H$15)*I133)+('CAFCO 400 '!$H$16*(J133^2)+'CAFCO 400 '!$H$17*J133+'CAFCO 400 '!$H$18)),0),0),0))+(IF(L133="Cafco 400",IF(M133="Idiem software",IF(C133="Cj",(((('CAFCO 400 '!$D$7*LN(J133)+'CAFCO 400 '!$D$8)*I133^2)+(('CAFCO 400 '!$D$9*LN(J133)+'CAFCO 400 '!$D$10)*I133)+('CAFCO 400 '!$D$11*LN(J133)+'CAFCO 400 '!$D$12))),0),0),0))+(IF(L133="Cafco 400",IF(M133="Idiem software",IF(C133="C",((('CAFCO 400 '!$L$7*(J133^3)+'CAFCO 400 '!$L$8*(J133^2)+'CAFCO 400 '!$L$9*J133+'CAFCO 400 '!$L$10)*I133^2)+(('CAFCO 400 '!$L$11*(J133^3)+'CAFCO 400 '!$L$12*(J133^2)+'CAFCO 400 '!$L$13*J133+'CAFCO 400 '!$L$14)*I133)+('CAFCO 400 '!$L$15*LN(J133)+'CAFCO 400 '!$L$16)),0),0),0))+(IF(L133="Cafco 400",IF(M133="Idiem software",IF(AND(C133="IN",G133=3),((('CAFCO 400 '!$D$23*(J133^2)+'CAFCO 400 '!$D$24*(J133)+'CAFCO 400 '!$D$25)*I133^2)+(('CAFCO 400 '!$D$26*(J133^2)+'CAFCO 400 '!$D$27*J133+'CAFCO 400 '!$D$28)*I133)+('CAFCO 400 '!$D$29*(J133^2)+'CAFCO 400 '!$D$30*J133+'CAFCO 400 '!$D$31)),0),0),0)),0)</f>
        <v>0</v>
      </c>
      <c r="R133" s="47">
        <f t="shared" si="12"/>
        <v>0</v>
      </c>
      <c r="S133" s="82">
        <f t="shared" si="9"/>
        <v>0</v>
      </c>
      <c r="T133" s="81">
        <f>+IF(AND(J133&gt;=95,J133&lt;=240),IF(AND(C133="Cj",I133=90),VLOOKUP(W133,'CAFCO 300 IDIEM TABLAS'!$B$4:$D$23,2,FALSE),0)+IF(AND(J133&gt;=95,J133&lt;=240),IF(AND(C133="Cj",I133=120),VLOOKUP(W133,'CAFCO 300 IDIEM TABLAS'!$B$4:$D$23,3,FALSE),0))+IF(AND(J133&gt;=95,J133&lt;=400,G133=3),IF(AND(C133="IN",I133=90),VLOOKUP(W133,'CAFCO 300 IDIEM TABLAS'!$F$4:$H$35,2,FALSE),0),0)+IF(AND(J133&gt;=95,J133&lt;=400,G133=3),IF(AND(C133="IN",I133=120),VLOOKUP(W133,'CAFCO 300 IDIEM TABLAS'!$F$4:$H$35,3,FALSE),0),0)+IF(AND(J133&gt;=95,J133&lt;=450,G133=4),IF(AND(C133="IN",I133=90),VLOOKUP(W133,'CAFCO 300 IDIEM TABLAS'!$J$4:$L$40,2,FALSE),0),0)+IF(AND(J133&gt;=95,J133&lt;=450,G133=4),IF(AND(C133="IN",I133=120),VLOOKUP(W133,'CAFCO 300 IDIEM TABLAS'!$J$4:$L$40,3,FALSE),0),0))</f>
        <v>17</v>
      </c>
      <c r="U133" s="48">
        <f t="shared" si="13"/>
        <v>9.2075652708600764</v>
      </c>
      <c r="V133" s="82">
        <f t="shared" si="10"/>
        <v>138242.3849766932</v>
      </c>
      <c r="W133" s="64">
        <f>+IF(J133=LOOKUP(J133,'CAFCO 300 IDIEM TABLAS'!$J$4:$J$40),'HOJA DE CÁLCULO RESPALDO'!J133,MROUND('HOJA DE CÁLCULO RESPALDO'!J133,10))</f>
        <v>95</v>
      </c>
      <c r="X133" s="36"/>
      <c r="Y133" s="4"/>
    </row>
    <row r="134" spans="1:25" ht="15.6" customHeight="1" x14ac:dyDescent="0.25">
      <c r="A134" s="2" t="s">
        <v>44</v>
      </c>
      <c r="B134" s="3" t="s">
        <v>17</v>
      </c>
      <c r="C134" s="3" t="s">
        <v>19</v>
      </c>
      <c r="D134" s="3">
        <v>1</v>
      </c>
      <c r="E134" s="2">
        <v>1</v>
      </c>
      <c r="F134" s="8">
        <v>7759</v>
      </c>
      <c r="G134" s="1">
        <v>4</v>
      </c>
      <c r="H134" s="2">
        <v>785</v>
      </c>
      <c r="I134" s="34">
        <v>90</v>
      </c>
      <c r="J134" s="11">
        <v>95</v>
      </c>
      <c r="K134" s="44">
        <f t="shared" si="7"/>
        <v>6.0908150000000001</v>
      </c>
      <c r="L134" s="3" t="s">
        <v>61</v>
      </c>
      <c r="M134" s="3" t="s">
        <v>70</v>
      </c>
      <c r="N134" s="15">
        <f>ROUND((IF(L134="Blaze Shield II",IF(M134="Idiem software",IF(AND(C134="IN",G134=4),((('BLAZE SHIELD II'!$D$4*('HOJA DE CÁLCULO RESPALDO'!I134^2)+'BLAZE SHIELD II'!$D$5*'HOJA DE CÁLCULO RESPALDO'!I134+'BLAZE SHIELD II'!$D$6)*LN(J134))+('BLAZE SHIELD II'!$D$7*('HOJA DE CÁLCULO RESPALDO'!I134^2)+'BLAZE SHIELD II'!$D$8*'HOJA DE CÁLCULO RESPALDO'!I134+'BLAZE SHIELD II'!$D$9)),0),0),0))+(IF(L134="Blaze Shield II",IF(M134="Idiem software",IF(C134="Cj",((('BLAZE SHIELD II'!$H$4*('HOJA DE CÁLCULO RESPALDO'!I134^2)+'BLAZE SHIELD II'!$H$5*'HOJA DE CÁLCULO RESPALDO'!I134+'BLAZE SHIELD II'!$H$6)*LN(J134))+('BLAZE SHIELD II'!$H$7*('HOJA DE CÁLCULO RESPALDO'!I134^2)+'BLAZE SHIELD II'!$H$8*'HOJA DE CÁLCULO RESPALDO'!I134+'BLAZE SHIELD II'!$H$9)),0),0),0))+(IF(L134="Blaze Shield II",IF(M134="Idiem software",IF(C134="C",((('BLAZE SHIELD II'!$L$4*('HOJA DE CÁLCULO RESPALDO'!I134^2)+'BLAZE SHIELD II'!$L$5*'HOJA DE CÁLCULO RESPALDO'!I134+'BLAZE SHIELD II'!$L$6)*LN(J134))+('BLAZE SHIELD II'!$L$7*('HOJA DE CÁLCULO RESPALDO'!I134^2)+'BLAZE SHIELD II'!$L$8*'HOJA DE CÁLCULO RESPALDO'!I134+'BLAZE SHIELD II'!$L$9)),0),0),0))+(IF(L134="Blaze Shield II",IF(M134="Idiem software",IF(AND(C134="IN",G134=3),((('BLAZE SHIELD II'!$H$14*('HOJA DE CÁLCULO RESPALDO'!I134^2)+'BLAZE SHIELD II'!$H$15*'HOJA DE CÁLCULO RESPALDO'!I134+'BLAZE SHIELD II'!$H$16)*LN(J134))+('BLAZE SHIELD II'!$H$17*('HOJA DE CÁLCULO RESPALDO'!I134^2)+'BLAZE SHIELD II'!$H$18*'HOJA DE CÁLCULO RESPALDO'!I134+'BLAZE SHIELD II'!$H$19)),0),0),0)),0)</f>
        <v>0</v>
      </c>
      <c r="O134" s="46">
        <f t="shared" si="11"/>
        <v>0</v>
      </c>
      <c r="P134" s="80">
        <f t="shared" si="8"/>
        <v>0</v>
      </c>
      <c r="Q134" s="85">
        <f>ROUND((IF(L134="Cafco 400",IF(M134="Idiem software",IF(AND(C134="IN",G134=4),((('CAFCO 400 '!$H$7*(J134^4)+'CAFCO 400 '!$H$8*(J134^3)+'CAFCO 400 '!$H$9*(J134^2)+'CAFCO 400 '!$H$10*J134+'CAFCO 400 '!$H$11)*I134^2)+(('CAFCO 400 '!$H$12*(J134^3)+'CAFCO 400 '!$H$13*(J134^2)+'CAFCO 400 '!$H$14*J134+'CAFCO 400 '!$H$15)*I134)+('CAFCO 400 '!$H$16*(J134^2)+'CAFCO 400 '!$H$17*J134+'CAFCO 400 '!$H$18)),0),0),0))+(IF(L134="Cafco 400",IF(M134="Idiem software",IF(C134="Cj",(((('CAFCO 400 '!$D$7*LN(J134)+'CAFCO 400 '!$D$8)*I134^2)+(('CAFCO 400 '!$D$9*LN(J134)+'CAFCO 400 '!$D$10)*I134)+('CAFCO 400 '!$D$11*LN(J134)+'CAFCO 400 '!$D$12))),0),0),0))+(IF(L134="Cafco 400",IF(M134="Idiem software",IF(C134="C",((('CAFCO 400 '!$L$7*(J134^3)+'CAFCO 400 '!$L$8*(J134^2)+'CAFCO 400 '!$L$9*J134+'CAFCO 400 '!$L$10)*I134^2)+(('CAFCO 400 '!$L$11*(J134^3)+'CAFCO 400 '!$L$12*(J134^2)+'CAFCO 400 '!$L$13*J134+'CAFCO 400 '!$L$14)*I134)+('CAFCO 400 '!$L$15*LN(J134)+'CAFCO 400 '!$L$16)),0),0),0))+(IF(L134="Cafco 400",IF(M134="Idiem software",IF(AND(C134="IN",G134=3),((('CAFCO 400 '!$D$23*(J134^2)+'CAFCO 400 '!$D$24*(J134)+'CAFCO 400 '!$D$25)*I134^2)+(('CAFCO 400 '!$D$26*(J134^2)+'CAFCO 400 '!$D$27*J134+'CAFCO 400 '!$D$28)*I134)+('CAFCO 400 '!$D$29*(J134^2)+'CAFCO 400 '!$D$30*J134+'CAFCO 400 '!$D$31)),0),0),0)),0)</f>
        <v>0</v>
      </c>
      <c r="R134" s="47">
        <f t="shared" si="12"/>
        <v>0</v>
      </c>
      <c r="S134" s="82">
        <f t="shared" si="9"/>
        <v>0</v>
      </c>
      <c r="T134" s="81">
        <f>+IF(AND(J134&gt;=95,J134&lt;=240),IF(AND(C134="Cj",I134=90),VLOOKUP(W134,'CAFCO 300 IDIEM TABLAS'!$B$4:$D$23,2,FALSE),0)+IF(AND(J134&gt;=95,J134&lt;=240),IF(AND(C134="Cj",I134=120),VLOOKUP(W134,'CAFCO 300 IDIEM TABLAS'!$B$4:$D$23,3,FALSE),0))+IF(AND(J134&gt;=95,J134&lt;=400,G134=3),IF(AND(C134="IN",I134=90),VLOOKUP(W134,'CAFCO 300 IDIEM TABLAS'!$F$4:$H$35,2,FALSE),0),0)+IF(AND(J134&gt;=95,J134&lt;=400,G134=3),IF(AND(C134="IN",I134=120),VLOOKUP(W134,'CAFCO 300 IDIEM TABLAS'!$F$4:$H$35,3,FALSE),0),0)+IF(AND(J134&gt;=95,J134&lt;=450,G134=4),IF(AND(C134="IN",I134=90),VLOOKUP(W134,'CAFCO 300 IDIEM TABLAS'!$J$4:$L$40,2,FALSE),0),0)+IF(AND(J134&gt;=95,J134&lt;=450,G134=4),IF(AND(C134="IN",I134=120),VLOOKUP(W134,'CAFCO 300 IDIEM TABLAS'!$J$4:$L$40,3,FALSE),0),0))</f>
        <v>17</v>
      </c>
      <c r="U134" s="48">
        <f t="shared" si="13"/>
        <v>1.42887861521181</v>
      </c>
      <c r="V134" s="82">
        <f t="shared" si="10"/>
        <v>21453.183528790116</v>
      </c>
      <c r="W134" s="64">
        <f>+IF(J134=LOOKUP(J134,'CAFCO 300 IDIEM TABLAS'!$J$4:$J$40),'HOJA DE CÁLCULO RESPALDO'!J134,MROUND('HOJA DE CÁLCULO RESPALDO'!J134,10))</f>
        <v>95</v>
      </c>
      <c r="X134" s="36"/>
      <c r="Y134" s="4"/>
    </row>
    <row r="135" spans="1:25" x14ac:dyDescent="0.25">
      <c r="A135" s="2" t="s">
        <v>41</v>
      </c>
      <c r="B135" s="3" t="s">
        <v>17</v>
      </c>
      <c r="C135" s="3" t="s">
        <v>19</v>
      </c>
      <c r="D135" s="3">
        <v>1</v>
      </c>
      <c r="E135" s="2">
        <v>1</v>
      </c>
      <c r="F135" s="8">
        <v>7100</v>
      </c>
      <c r="G135" s="1">
        <v>4</v>
      </c>
      <c r="H135" s="2">
        <v>785</v>
      </c>
      <c r="I135" s="34">
        <v>90</v>
      </c>
      <c r="J135" s="11">
        <v>95</v>
      </c>
      <c r="K135" s="44">
        <f t="shared" si="7"/>
        <v>5.5735000000000001</v>
      </c>
      <c r="L135" s="3" t="s">
        <v>61</v>
      </c>
      <c r="M135" s="3" t="s">
        <v>70</v>
      </c>
      <c r="N135" s="15">
        <f>ROUND((IF(L135="Blaze Shield II",IF(M135="Idiem software",IF(AND(C135="IN",G135=4),((('BLAZE SHIELD II'!$D$4*('HOJA DE CÁLCULO RESPALDO'!I135^2)+'BLAZE SHIELD II'!$D$5*'HOJA DE CÁLCULO RESPALDO'!I135+'BLAZE SHIELD II'!$D$6)*LN(J135))+('BLAZE SHIELD II'!$D$7*('HOJA DE CÁLCULO RESPALDO'!I135^2)+'BLAZE SHIELD II'!$D$8*'HOJA DE CÁLCULO RESPALDO'!I135+'BLAZE SHIELD II'!$D$9)),0),0),0))+(IF(L135="Blaze Shield II",IF(M135="Idiem software",IF(C135="Cj",((('BLAZE SHIELD II'!$H$4*('HOJA DE CÁLCULO RESPALDO'!I135^2)+'BLAZE SHIELD II'!$H$5*'HOJA DE CÁLCULO RESPALDO'!I135+'BLAZE SHIELD II'!$H$6)*LN(J135))+('BLAZE SHIELD II'!$H$7*('HOJA DE CÁLCULO RESPALDO'!I135^2)+'BLAZE SHIELD II'!$H$8*'HOJA DE CÁLCULO RESPALDO'!I135+'BLAZE SHIELD II'!$H$9)),0),0),0))+(IF(L135="Blaze Shield II",IF(M135="Idiem software",IF(C135="C",((('BLAZE SHIELD II'!$L$4*('HOJA DE CÁLCULO RESPALDO'!I135^2)+'BLAZE SHIELD II'!$L$5*'HOJA DE CÁLCULO RESPALDO'!I135+'BLAZE SHIELD II'!$L$6)*LN(J135))+('BLAZE SHIELD II'!$L$7*('HOJA DE CÁLCULO RESPALDO'!I135^2)+'BLAZE SHIELD II'!$L$8*'HOJA DE CÁLCULO RESPALDO'!I135+'BLAZE SHIELD II'!$L$9)),0),0),0))+(IF(L135="Blaze Shield II",IF(M135="Idiem software",IF(AND(C135="IN",G135=3),((('BLAZE SHIELD II'!$H$14*('HOJA DE CÁLCULO RESPALDO'!I135^2)+'BLAZE SHIELD II'!$H$15*'HOJA DE CÁLCULO RESPALDO'!I135+'BLAZE SHIELD II'!$H$16)*LN(J135))+('BLAZE SHIELD II'!$H$17*('HOJA DE CÁLCULO RESPALDO'!I135^2)+'BLAZE SHIELD II'!$H$18*'HOJA DE CÁLCULO RESPALDO'!I135+'BLAZE SHIELD II'!$H$19)),0),0),0)),0)</f>
        <v>0</v>
      </c>
      <c r="O135" s="46">
        <f t="shared" si="11"/>
        <v>0</v>
      </c>
      <c r="P135" s="80">
        <f t="shared" si="8"/>
        <v>0</v>
      </c>
      <c r="Q135" s="85">
        <f>ROUND((IF(L135="Cafco 400",IF(M135="Idiem software",IF(AND(C135="IN",G135=4),((('CAFCO 400 '!$H$7*(J135^4)+'CAFCO 400 '!$H$8*(J135^3)+'CAFCO 400 '!$H$9*(J135^2)+'CAFCO 400 '!$H$10*J135+'CAFCO 400 '!$H$11)*I135^2)+(('CAFCO 400 '!$H$12*(J135^3)+'CAFCO 400 '!$H$13*(J135^2)+'CAFCO 400 '!$H$14*J135+'CAFCO 400 '!$H$15)*I135)+('CAFCO 400 '!$H$16*(J135^2)+'CAFCO 400 '!$H$17*J135+'CAFCO 400 '!$H$18)),0),0),0))+(IF(L135="Cafco 400",IF(M135="Idiem software",IF(C135="Cj",(((('CAFCO 400 '!$D$7*LN(J135)+'CAFCO 400 '!$D$8)*I135^2)+(('CAFCO 400 '!$D$9*LN(J135)+'CAFCO 400 '!$D$10)*I135)+('CAFCO 400 '!$D$11*LN(J135)+'CAFCO 400 '!$D$12))),0),0),0))+(IF(L135="Cafco 400",IF(M135="Idiem software",IF(C135="C",((('CAFCO 400 '!$L$7*(J135^3)+'CAFCO 400 '!$L$8*(J135^2)+'CAFCO 400 '!$L$9*J135+'CAFCO 400 '!$L$10)*I135^2)+(('CAFCO 400 '!$L$11*(J135^3)+'CAFCO 400 '!$L$12*(J135^2)+'CAFCO 400 '!$L$13*J135+'CAFCO 400 '!$L$14)*I135)+('CAFCO 400 '!$L$15*LN(J135)+'CAFCO 400 '!$L$16)),0),0),0))+(IF(L135="Cafco 400",IF(M135="Idiem software",IF(AND(C135="IN",G135=3),((('CAFCO 400 '!$D$23*(J135^2)+'CAFCO 400 '!$D$24*(J135)+'CAFCO 400 '!$D$25)*I135^2)+(('CAFCO 400 '!$D$26*(J135^2)+'CAFCO 400 '!$D$27*J135+'CAFCO 400 '!$D$28)*I135)+('CAFCO 400 '!$D$29*(J135^2)+'CAFCO 400 '!$D$30*J135+'CAFCO 400 '!$D$31)),0),0),0)),0)</f>
        <v>0</v>
      </c>
      <c r="R135" s="47">
        <f t="shared" si="12"/>
        <v>0</v>
      </c>
      <c r="S135" s="82">
        <f t="shared" si="9"/>
        <v>0</v>
      </c>
      <c r="T135" s="81">
        <f>+IF(AND(J135&gt;=95,J135&lt;=240),IF(AND(C135="Cj",I135=90),VLOOKUP(W135,'CAFCO 300 IDIEM TABLAS'!$B$4:$D$23,2,FALSE),0)+IF(AND(J135&gt;=95,J135&lt;=240),IF(AND(C135="Cj",I135=120),VLOOKUP(W135,'CAFCO 300 IDIEM TABLAS'!$B$4:$D$23,3,FALSE),0))+IF(AND(J135&gt;=95,J135&lt;=400,G135=3),IF(AND(C135="IN",I135=90),VLOOKUP(W135,'CAFCO 300 IDIEM TABLAS'!$F$4:$H$35,2,FALSE),0),0)+IF(AND(J135&gt;=95,J135&lt;=400,G135=3),IF(AND(C135="IN",I135=120),VLOOKUP(W135,'CAFCO 300 IDIEM TABLAS'!$F$4:$H$35,3,FALSE),0),0)+IF(AND(J135&gt;=95,J135&lt;=450,G135=4),IF(AND(C135="IN",I135=90),VLOOKUP(W135,'CAFCO 300 IDIEM TABLAS'!$J$4:$L$40,2,FALSE),0),0)+IF(AND(J135&gt;=95,J135&lt;=450,G135=4),IF(AND(C135="IN",I135=120),VLOOKUP(W135,'CAFCO 300 IDIEM TABLAS'!$J$4:$L$40,3,FALSE),0),0))</f>
        <v>17</v>
      </c>
      <c r="U135" s="48">
        <f t="shared" si="13"/>
        <v>1.3075187740693195</v>
      </c>
      <c r="V135" s="82">
        <f t="shared" si="10"/>
        <v>19631.086873876764</v>
      </c>
      <c r="W135" s="64">
        <f>+IF(J135=LOOKUP(J135,'CAFCO 300 IDIEM TABLAS'!$J$4:$J$40),'HOJA DE CÁLCULO RESPALDO'!J135,MROUND('HOJA DE CÁLCULO RESPALDO'!J135,10))</f>
        <v>95</v>
      </c>
      <c r="X135" s="36"/>
      <c r="Y135" s="4"/>
    </row>
    <row r="136" spans="1:25" ht="15.6" customHeight="1" x14ac:dyDescent="0.25">
      <c r="A136" s="2" t="s">
        <v>44</v>
      </c>
      <c r="B136" s="3" t="s">
        <v>17</v>
      </c>
      <c r="C136" s="3" t="s">
        <v>19</v>
      </c>
      <c r="D136" s="3">
        <v>1</v>
      </c>
      <c r="E136" s="2">
        <v>1</v>
      </c>
      <c r="F136" s="8">
        <v>19050</v>
      </c>
      <c r="G136" s="1">
        <v>4</v>
      </c>
      <c r="H136" s="2">
        <v>1185</v>
      </c>
      <c r="I136" s="34">
        <v>90</v>
      </c>
      <c r="J136" s="11">
        <v>95</v>
      </c>
      <c r="K136" s="44">
        <f t="shared" si="7"/>
        <v>22.574249999999999</v>
      </c>
      <c r="L136" s="3" t="s">
        <v>61</v>
      </c>
      <c r="M136" s="3" t="s">
        <v>70</v>
      </c>
      <c r="N136" s="15">
        <f>ROUND((IF(L136="Blaze Shield II",IF(M136="Idiem software",IF(AND(C136="IN",G136=4),((('BLAZE SHIELD II'!$D$4*('HOJA DE CÁLCULO RESPALDO'!I136^2)+'BLAZE SHIELD II'!$D$5*'HOJA DE CÁLCULO RESPALDO'!I136+'BLAZE SHIELD II'!$D$6)*LN(J136))+('BLAZE SHIELD II'!$D$7*('HOJA DE CÁLCULO RESPALDO'!I136^2)+'BLAZE SHIELD II'!$D$8*'HOJA DE CÁLCULO RESPALDO'!I136+'BLAZE SHIELD II'!$D$9)),0),0),0))+(IF(L136="Blaze Shield II",IF(M136="Idiem software",IF(C136="Cj",((('BLAZE SHIELD II'!$H$4*('HOJA DE CÁLCULO RESPALDO'!I136^2)+'BLAZE SHIELD II'!$H$5*'HOJA DE CÁLCULO RESPALDO'!I136+'BLAZE SHIELD II'!$H$6)*LN(J136))+('BLAZE SHIELD II'!$H$7*('HOJA DE CÁLCULO RESPALDO'!I136^2)+'BLAZE SHIELD II'!$H$8*'HOJA DE CÁLCULO RESPALDO'!I136+'BLAZE SHIELD II'!$H$9)),0),0),0))+(IF(L136="Blaze Shield II",IF(M136="Idiem software",IF(C136="C",((('BLAZE SHIELD II'!$L$4*('HOJA DE CÁLCULO RESPALDO'!I136^2)+'BLAZE SHIELD II'!$L$5*'HOJA DE CÁLCULO RESPALDO'!I136+'BLAZE SHIELD II'!$L$6)*LN(J136))+('BLAZE SHIELD II'!$L$7*('HOJA DE CÁLCULO RESPALDO'!I136^2)+'BLAZE SHIELD II'!$L$8*'HOJA DE CÁLCULO RESPALDO'!I136+'BLAZE SHIELD II'!$L$9)),0),0),0))+(IF(L136="Blaze Shield II",IF(M136="Idiem software",IF(AND(C136="IN",G136=3),((('BLAZE SHIELD II'!$H$14*('HOJA DE CÁLCULO RESPALDO'!I136^2)+'BLAZE SHIELD II'!$H$15*'HOJA DE CÁLCULO RESPALDO'!I136+'BLAZE SHIELD II'!$H$16)*LN(J136))+('BLAZE SHIELD II'!$H$17*('HOJA DE CÁLCULO RESPALDO'!I136^2)+'BLAZE SHIELD II'!$H$18*'HOJA DE CÁLCULO RESPALDO'!I136+'BLAZE SHIELD II'!$H$19)),0),0),0)),0)</f>
        <v>0</v>
      </c>
      <c r="O136" s="46">
        <f t="shared" si="11"/>
        <v>0</v>
      </c>
      <c r="P136" s="80">
        <f t="shared" si="8"/>
        <v>0</v>
      </c>
      <c r="Q136" s="85">
        <f>ROUND((IF(L136="Cafco 400",IF(M136="Idiem software",IF(AND(C136="IN",G136=4),((('CAFCO 400 '!$H$7*(J136^4)+'CAFCO 400 '!$H$8*(J136^3)+'CAFCO 400 '!$H$9*(J136^2)+'CAFCO 400 '!$H$10*J136+'CAFCO 400 '!$H$11)*I136^2)+(('CAFCO 400 '!$H$12*(J136^3)+'CAFCO 400 '!$H$13*(J136^2)+'CAFCO 400 '!$H$14*J136+'CAFCO 400 '!$H$15)*I136)+('CAFCO 400 '!$H$16*(J136^2)+'CAFCO 400 '!$H$17*J136+'CAFCO 400 '!$H$18)),0),0),0))+(IF(L136="Cafco 400",IF(M136="Idiem software",IF(C136="Cj",(((('CAFCO 400 '!$D$7*LN(J136)+'CAFCO 400 '!$D$8)*I136^2)+(('CAFCO 400 '!$D$9*LN(J136)+'CAFCO 400 '!$D$10)*I136)+('CAFCO 400 '!$D$11*LN(J136)+'CAFCO 400 '!$D$12))),0),0),0))+(IF(L136="Cafco 400",IF(M136="Idiem software",IF(C136="C",((('CAFCO 400 '!$L$7*(J136^3)+'CAFCO 400 '!$L$8*(J136^2)+'CAFCO 400 '!$L$9*J136+'CAFCO 400 '!$L$10)*I136^2)+(('CAFCO 400 '!$L$11*(J136^3)+'CAFCO 400 '!$L$12*(J136^2)+'CAFCO 400 '!$L$13*J136+'CAFCO 400 '!$L$14)*I136)+('CAFCO 400 '!$L$15*LN(J136)+'CAFCO 400 '!$L$16)),0),0),0))+(IF(L136="Cafco 400",IF(M136="Idiem software",IF(AND(C136="IN",G136=3),((('CAFCO 400 '!$D$23*(J136^2)+'CAFCO 400 '!$D$24*(J136)+'CAFCO 400 '!$D$25)*I136^2)+(('CAFCO 400 '!$D$26*(J136^2)+'CAFCO 400 '!$D$27*J136+'CAFCO 400 '!$D$28)*I136)+('CAFCO 400 '!$D$29*(J136^2)+'CAFCO 400 '!$D$30*J136+'CAFCO 400 '!$D$31)),0),0),0)),0)</f>
        <v>0</v>
      </c>
      <c r="R136" s="47">
        <f t="shared" si="12"/>
        <v>0</v>
      </c>
      <c r="S136" s="82">
        <f t="shared" si="9"/>
        <v>0</v>
      </c>
      <c r="T136" s="81">
        <f>+IF(AND(J136&gt;=95,J136&lt;=240),IF(AND(C136="Cj",I136=90),VLOOKUP(W136,'CAFCO 300 IDIEM TABLAS'!$B$4:$D$23,2,FALSE),0)+IF(AND(J136&gt;=95,J136&lt;=240),IF(AND(C136="Cj",I136=120),VLOOKUP(W136,'CAFCO 300 IDIEM TABLAS'!$B$4:$D$23,3,FALSE),0))+IF(AND(J136&gt;=95,J136&lt;=400,G136=3),IF(AND(C136="IN",I136=90),VLOOKUP(W136,'CAFCO 300 IDIEM TABLAS'!$F$4:$H$35,2,FALSE),0),0)+IF(AND(J136&gt;=95,J136&lt;=400,G136=3),IF(AND(C136="IN",I136=120),VLOOKUP(W136,'CAFCO 300 IDIEM TABLAS'!$F$4:$H$35,3,FALSE),0),0)+IF(AND(J136&gt;=95,J136&lt;=450,G136=4),IF(AND(C136="IN",I136=90),VLOOKUP(W136,'CAFCO 300 IDIEM TABLAS'!$J$4:$L$40,2,FALSE),0),0)+IF(AND(J136&gt;=95,J136&lt;=450,G136=4),IF(AND(C136="IN",I136=120),VLOOKUP(W136,'CAFCO 300 IDIEM TABLAS'!$J$4:$L$40,3,FALSE),0),0))</f>
        <v>17</v>
      </c>
      <c r="U136" s="48">
        <f t="shared" si="13"/>
        <v>5.2958205231065465</v>
      </c>
      <c r="V136" s="82">
        <f t="shared" si="10"/>
        <v>79511.449333921686</v>
      </c>
      <c r="W136" s="64">
        <f>+IF(J136=LOOKUP(J136,'CAFCO 300 IDIEM TABLAS'!$J$4:$J$40),'HOJA DE CÁLCULO RESPALDO'!J136,MROUND('HOJA DE CÁLCULO RESPALDO'!J136,10))</f>
        <v>95</v>
      </c>
      <c r="X136" s="36"/>
      <c r="Y136" s="4"/>
    </row>
    <row r="137" spans="1:25" x14ac:dyDescent="0.25">
      <c r="A137" s="2" t="s">
        <v>41</v>
      </c>
      <c r="B137" s="3" t="s">
        <v>17</v>
      </c>
      <c r="C137" s="3" t="s">
        <v>19</v>
      </c>
      <c r="D137" s="3">
        <v>1</v>
      </c>
      <c r="E137" s="2">
        <v>1</v>
      </c>
      <c r="F137" s="8">
        <v>4255</v>
      </c>
      <c r="G137" s="1">
        <v>4</v>
      </c>
      <c r="H137" s="2">
        <v>1185</v>
      </c>
      <c r="I137" s="34">
        <v>90</v>
      </c>
      <c r="J137" s="11">
        <v>95</v>
      </c>
      <c r="K137" s="44">
        <f t="shared" si="7"/>
        <v>5.0421750000000003</v>
      </c>
      <c r="L137" s="3" t="s">
        <v>61</v>
      </c>
      <c r="M137" s="3" t="s">
        <v>70</v>
      </c>
      <c r="N137" s="15">
        <f>ROUND((IF(L137="Blaze Shield II",IF(M137="Idiem software",IF(AND(C137="IN",G137=4),((('BLAZE SHIELD II'!$D$4*('HOJA DE CÁLCULO RESPALDO'!I137^2)+'BLAZE SHIELD II'!$D$5*'HOJA DE CÁLCULO RESPALDO'!I137+'BLAZE SHIELD II'!$D$6)*LN(J137))+('BLAZE SHIELD II'!$D$7*('HOJA DE CÁLCULO RESPALDO'!I137^2)+'BLAZE SHIELD II'!$D$8*'HOJA DE CÁLCULO RESPALDO'!I137+'BLAZE SHIELD II'!$D$9)),0),0),0))+(IF(L137="Blaze Shield II",IF(M137="Idiem software",IF(C137="Cj",((('BLAZE SHIELD II'!$H$4*('HOJA DE CÁLCULO RESPALDO'!I137^2)+'BLAZE SHIELD II'!$H$5*'HOJA DE CÁLCULO RESPALDO'!I137+'BLAZE SHIELD II'!$H$6)*LN(J137))+('BLAZE SHIELD II'!$H$7*('HOJA DE CÁLCULO RESPALDO'!I137^2)+'BLAZE SHIELD II'!$H$8*'HOJA DE CÁLCULO RESPALDO'!I137+'BLAZE SHIELD II'!$H$9)),0),0),0))+(IF(L137="Blaze Shield II",IF(M137="Idiem software",IF(C137="C",((('BLAZE SHIELD II'!$L$4*('HOJA DE CÁLCULO RESPALDO'!I137^2)+'BLAZE SHIELD II'!$L$5*'HOJA DE CÁLCULO RESPALDO'!I137+'BLAZE SHIELD II'!$L$6)*LN(J137))+('BLAZE SHIELD II'!$L$7*('HOJA DE CÁLCULO RESPALDO'!I137^2)+'BLAZE SHIELD II'!$L$8*'HOJA DE CÁLCULO RESPALDO'!I137+'BLAZE SHIELD II'!$L$9)),0),0),0))+(IF(L137="Blaze Shield II",IF(M137="Idiem software",IF(AND(C137="IN",G137=3),((('BLAZE SHIELD II'!$H$14*('HOJA DE CÁLCULO RESPALDO'!I137^2)+'BLAZE SHIELD II'!$H$15*'HOJA DE CÁLCULO RESPALDO'!I137+'BLAZE SHIELD II'!$H$16)*LN(J137))+('BLAZE SHIELD II'!$H$17*('HOJA DE CÁLCULO RESPALDO'!I137^2)+'BLAZE SHIELD II'!$H$18*'HOJA DE CÁLCULO RESPALDO'!I137+'BLAZE SHIELD II'!$H$19)),0),0),0)),0)</f>
        <v>0</v>
      </c>
      <c r="O137" s="46">
        <f t="shared" si="11"/>
        <v>0</v>
      </c>
      <c r="P137" s="80">
        <f t="shared" si="8"/>
        <v>0</v>
      </c>
      <c r="Q137" s="85">
        <f>ROUND((IF(L137="Cafco 400",IF(M137="Idiem software",IF(AND(C137="IN",G137=4),((('CAFCO 400 '!$H$7*(J137^4)+'CAFCO 400 '!$H$8*(J137^3)+'CAFCO 400 '!$H$9*(J137^2)+'CAFCO 400 '!$H$10*J137+'CAFCO 400 '!$H$11)*I137^2)+(('CAFCO 400 '!$H$12*(J137^3)+'CAFCO 400 '!$H$13*(J137^2)+'CAFCO 400 '!$H$14*J137+'CAFCO 400 '!$H$15)*I137)+('CAFCO 400 '!$H$16*(J137^2)+'CAFCO 400 '!$H$17*J137+'CAFCO 400 '!$H$18)),0),0),0))+(IF(L137="Cafco 400",IF(M137="Idiem software",IF(C137="Cj",(((('CAFCO 400 '!$D$7*LN(J137)+'CAFCO 400 '!$D$8)*I137^2)+(('CAFCO 400 '!$D$9*LN(J137)+'CAFCO 400 '!$D$10)*I137)+('CAFCO 400 '!$D$11*LN(J137)+'CAFCO 400 '!$D$12))),0),0),0))+(IF(L137="Cafco 400",IF(M137="Idiem software",IF(C137="C",((('CAFCO 400 '!$L$7*(J137^3)+'CAFCO 400 '!$L$8*(J137^2)+'CAFCO 400 '!$L$9*J137+'CAFCO 400 '!$L$10)*I137^2)+(('CAFCO 400 '!$L$11*(J137^3)+'CAFCO 400 '!$L$12*(J137^2)+'CAFCO 400 '!$L$13*J137+'CAFCO 400 '!$L$14)*I137)+('CAFCO 400 '!$L$15*LN(J137)+'CAFCO 400 '!$L$16)),0),0),0))+(IF(L137="Cafco 400",IF(M137="Idiem software",IF(AND(C137="IN",G137=3),((('CAFCO 400 '!$D$23*(J137^2)+'CAFCO 400 '!$D$24*(J137)+'CAFCO 400 '!$D$25)*I137^2)+(('CAFCO 400 '!$D$26*(J137^2)+'CAFCO 400 '!$D$27*J137+'CAFCO 400 '!$D$28)*I137)+('CAFCO 400 '!$D$29*(J137^2)+'CAFCO 400 '!$D$30*J137+'CAFCO 400 '!$D$31)),0),0),0)),0)</f>
        <v>0</v>
      </c>
      <c r="R137" s="47">
        <f t="shared" si="12"/>
        <v>0</v>
      </c>
      <c r="S137" s="82">
        <f t="shared" si="9"/>
        <v>0</v>
      </c>
      <c r="T137" s="81">
        <f>+IF(AND(J137&gt;=95,J137&lt;=240),IF(AND(C137="Cj",I137=90),VLOOKUP(W137,'CAFCO 300 IDIEM TABLAS'!$B$4:$D$23,2,FALSE),0)+IF(AND(J137&gt;=95,J137&lt;=240),IF(AND(C137="Cj",I137=120),VLOOKUP(W137,'CAFCO 300 IDIEM TABLAS'!$B$4:$D$23,3,FALSE),0))+IF(AND(J137&gt;=95,J137&lt;=400,G137=3),IF(AND(C137="IN",I137=90),VLOOKUP(W137,'CAFCO 300 IDIEM TABLAS'!$F$4:$H$35,2,FALSE),0),0)+IF(AND(J137&gt;=95,J137&lt;=400,G137=3),IF(AND(C137="IN",I137=120),VLOOKUP(W137,'CAFCO 300 IDIEM TABLAS'!$F$4:$H$35,3,FALSE),0),0)+IF(AND(J137&gt;=95,J137&lt;=450,G137=4),IF(AND(C137="IN",I137=90),VLOOKUP(W137,'CAFCO 300 IDIEM TABLAS'!$J$4:$L$40,2,FALSE),0),0)+IF(AND(J137&gt;=95,J137&lt;=450,G137=4),IF(AND(C137="IN",I137=120),VLOOKUP(W137,'CAFCO 300 IDIEM TABLAS'!$J$4:$L$40,3,FALSE),0),0))</f>
        <v>17</v>
      </c>
      <c r="U137" s="48">
        <f t="shared" si="13"/>
        <v>1.1828722480744545</v>
      </c>
      <c r="V137" s="82">
        <f t="shared" si="10"/>
        <v>17759.643932589861</v>
      </c>
      <c r="W137" s="64">
        <f>+IF(J137=LOOKUP(J137,'CAFCO 300 IDIEM TABLAS'!$J$4:$J$40),'HOJA DE CÁLCULO RESPALDO'!J137,MROUND('HOJA DE CÁLCULO RESPALDO'!J137,10))</f>
        <v>95</v>
      </c>
      <c r="X137" s="36"/>
      <c r="Y137" s="4"/>
    </row>
    <row r="138" spans="1:25" ht="15.6" customHeight="1" x14ac:dyDescent="0.25">
      <c r="A138" s="2" t="s">
        <v>44</v>
      </c>
      <c r="B138" s="3" t="s">
        <v>17</v>
      </c>
      <c r="C138" s="3" t="s">
        <v>19</v>
      </c>
      <c r="D138" s="3">
        <v>1</v>
      </c>
      <c r="E138" s="2">
        <v>1</v>
      </c>
      <c r="F138" s="8">
        <v>89250</v>
      </c>
      <c r="G138" s="1">
        <v>4</v>
      </c>
      <c r="H138" s="2">
        <v>1190</v>
      </c>
      <c r="I138" s="34">
        <v>90</v>
      </c>
      <c r="J138" s="11">
        <v>95</v>
      </c>
      <c r="K138" s="44">
        <f t="shared" ref="K138:K201" si="14">+IF(C138="","",(H138*F138*E138*D138)/1000000)</f>
        <v>106.2075</v>
      </c>
      <c r="L138" s="3" t="s">
        <v>61</v>
      </c>
      <c r="M138" s="3" t="s">
        <v>70</v>
      </c>
      <c r="N138" s="15">
        <f>ROUND((IF(L138="Blaze Shield II",IF(M138="Idiem software",IF(AND(C138="IN",G138=4),((('BLAZE SHIELD II'!$D$4*('HOJA DE CÁLCULO RESPALDO'!I138^2)+'BLAZE SHIELD II'!$D$5*'HOJA DE CÁLCULO RESPALDO'!I138+'BLAZE SHIELD II'!$D$6)*LN(J138))+('BLAZE SHIELD II'!$D$7*('HOJA DE CÁLCULO RESPALDO'!I138^2)+'BLAZE SHIELD II'!$D$8*'HOJA DE CÁLCULO RESPALDO'!I138+'BLAZE SHIELD II'!$D$9)),0),0),0))+(IF(L138="Blaze Shield II",IF(M138="Idiem software",IF(C138="Cj",((('BLAZE SHIELD II'!$H$4*('HOJA DE CÁLCULO RESPALDO'!I138^2)+'BLAZE SHIELD II'!$H$5*'HOJA DE CÁLCULO RESPALDO'!I138+'BLAZE SHIELD II'!$H$6)*LN(J138))+('BLAZE SHIELD II'!$H$7*('HOJA DE CÁLCULO RESPALDO'!I138^2)+'BLAZE SHIELD II'!$H$8*'HOJA DE CÁLCULO RESPALDO'!I138+'BLAZE SHIELD II'!$H$9)),0),0),0))+(IF(L138="Blaze Shield II",IF(M138="Idiem software",IF(C138="C",((('BLAZE SHIELD II'!$L$4*('HOJA DE CÁLCULO RESPALDO'!I138^2)+'BLAZE SHIELD II'!$L$5*'HOJA DE CÁLCULO RESPALDO'!I138+'BLAZE SHIELD II'!$L$6)*LN(J138))+('BLAZE SHIELD II'!$L$7*('HOJA DE CÁLCULO RESPALDO'!I138^2)+'BLAZE SHIELD II'!$L$8*'HOJA DE CÁLCULO RESPALDO'!I138+'BLAZE SHIELD II'!$L$9)),0),0),0))+(IF(L138="Blaze Shield II",IF(M138="Idiem software",IF(AND(C138="IN",G138=3),((('BLAZE SHIELD II'!$H$14*('HOJA DE CÁLCULO RESPALDO'!I138^2)+'BLAZE SHIELD II'!$H$15*'HOJA DE CÁLCULO RESPALDO'!I138+'BLAZE SHIELD II'!$H$16)*LN(J138))+('BLAZE SHIELD II'!$H$17*('HOJA DE CÁLCULO RESPALDO'!I138^2)+'BLAZE SHIELD II'!$H$18*'HOJA DE CÁLCULO RESPALDO'!I138+'BLAZE SHIELD II'!$H$19)),0),0),0)),0)</f>
        <v>0</v>
      </c>
      <c r="O138" s="46">
        <f t="shared" si="11"/>
        <v>0</v>
      </c>
      <c r="P138" s="80">
        <f t="shared" ref="P138:P201" si="15">+O138*$Q$2</f>
        <v>0</v>
      </c>
      <c r="Q138" s="85">
        <f>ROUND((IF(L138="Cafco 400",IF(M138="Idiem software",IF(AND(C138="IN",G138=4),((('CAFCO 400 '!$H$7*(J138^4)+'CAFCO 400 '!$H$8*(J138^3)+'CAFCO 400 '!$H$9*(J138^2)+'CAFCO 400 '!$H$10*J138+'CAFCO 400 '!$H$11)*I138^2)+(('CAFCO 400 '!$H$12*(J138^3)+'CAFCO 400 '!$H$13*(J138^2)+'CAFCO 400 '!$H$14*J138+'CAFCO 400 '!$H$15)*I138)+('CAFCO 400 '!$H$16*(J138^2)+'CAFCO 400 '!$H$17*J138+'CAFCO 400 '!$H$18)),0),0),0))+(IF(L138="Cafco 400",IF(M138="Idiem software",IF(C138="Cj",(((('CAFCO 400 '!$D$7*LN(J138)+'CAFCO 400 '!$D$8)*I138^2)+(('CAFCO 400 '!$D$9*LN(J138)+'CAFCO 400 '!$D$10)*I138)+('CAFCO 400 '!$D$11*LN(J138)+'CAFCO 400 '!$D$12))),0),0),0))+(IF(L138="Cafco 400",IF(M138="Idiem software",IF(C138="C",((('CAFCO 400 '!$L$7*(J138^3)+'CAFCO 400 '!$L$8*(J138^2)+'CAFCO 400 '!$L$9*J138+'CAFCO 400 '!$L$10)*I138^2)+(('CAFCO 400 '!$L$11*(J138^3)+'CAFCO 400 '!$L$12*(J138^2)+'CAFCO 400 '!$L$13*J138+'CAFCO 400 '!$L$14)*I138)+('CAFCO 400 '!$L$15*LN(J138)+'CAFCO 400 '!$L$16)),0),0),0))+(IF(L138="Cafco 400",IF(M138="Idiem software",IF(AND(C138="IN",G138=3),((('CAFCO 400 '!$D$23*(J138^2)+'CAFCO 400 '!$D$24*(J138)+'CAFCO 400 '!$D$25)*I138^2)+(('CAFCO 400 '!$D$26*(J138^2)+'CAFCO 400 '!$D$27*J138+'CAFCO 400 '!$D$28)*I138)+('CAFCO 400 '!$D$29*(J138^2)+'CAFCO 400 '!$D$30*J138+'CAFCO 400 '!$D$31)),0),0),0)),0)</f>
        <v>0</v>
      </c>
      <c r="R138" s="47">
        <f t="shared" si="12"/>
        <v>0</v>
      </c>
      <c r="S138" s="82">
        <f t="shared" ref="S138:S201" si="16">+R138*$Q$3</f>
        <v>0</v>
      </c>
      <c r="T138" s="81">
        <f>+IF(AND(J138&gt;=95,J138&lt;=240),IF(AND(C138="Cj",I138=90),VLOOKUP(W138,'CAFCO 300 IDIEM TABLAS'!$B$4:$D$23,2,FALSE),0)+IF(AND(J138&gt;=95,J138&lt;=240),IF(AND(C138="Cj",I138=120),VLOOKUP(W138,'CAFCO 300 IDIEM TABLAS'!$B$4:$D$23,3,FALSE),0))+IF(AND(J138&gt;=95,J138&lt;=400,G138=3),IF(AND(C138="IN",I138=90),VLOOKUP(W138,'CAFCO 300 IDIEM TABLAS'!$F$4:$H$35,2,FALSE),0),0)+IF(AND(J138&gt;=95,J138&lt;=400,G138=3),IF(AND(C138="IN",I138=120),VLOOKUP(W138,'CAFCO 300 IDIEM TABLAS'!$F$4:$H$35,3,FALSE),0),0)+IF(AND(J138&gt;=95,J138&lt;=450,G138=4),IF(AND(C138="IN",I138=90),VLOOKUP(W138,'CAFCO 300 IDIEM TABLAS'!$J$4:$L$40,2,FALSE),0),0)+IF(AND(J138&gt;=95,J138&lt;=450,G138=4),IF(AND(C138="IN",I138=120),VLOOKUP(W138,'CAFCO 300 IDIEM TABLAS'!$J$4:$L$40,3,FALSE),0),0))</f>
        <v>17</v>
      </c>
      <c r="U138" s="48">
        <f t="shared" si="13"/>
        <v>24.915815949935812</v>
      </c>
      <c r="V138" s="82">
        <f t="shared" ref="V138:V201" si="17">+U138*$Q$4</f>
        <v>374086.06067233626</v>
      </c>
      <c r="W138" s="64">
        <f>+IF(J138=LOOKUP(J138,'CAFCO 300 IDIEM TABLAS'!$J$4:$J$40),'HOJA DE CÁLCULO RESPALDO'!J138,MROUND('HOJA DE CÁLCULO RESPALDO'!J138,10))</f>
        <v>95</v>
      </c>
      <c r="X138" s="36"/>
      <c r="Y138" s="4"/>
    </row>
    <row r="139" spans="1:25" x14ac:dyDescent="0.25">
      <c r="A139" s="2" t="s">
        <v>44</v>
      </c>
      <c r="B139" s="3" t="s">
        <v>17</v>
      </c>
      <c r="C139" s="3" t="s">
        <v>19</v>
      </c>
      <c r="D139" s="3">
        <v>1</v>
      </c>
      <c r="E139" s="2">
        <v>1</v>
      </c>
      <c r="F139" s="8">
        <v>13000</v>
      </c>
      <c r="G139" s="1">
        <v>4</v>
      </c>
      <c r="H139" s="2">
        <v>1181</v>
      </c>
      <c r="I139" s="34">
        <v>90</v>
      </c>
      <c r="J139" s="11">
        <v>95</v>
      </c>
      <c r="K139" s="44">
        <f t="shared" si="14"/>
        <v>15.353</v>
      </c>
      <c r="L139" s="3" t="s">
        <v>61</v>
      </c>
      <c r="M139" s="3" t="s">
        <v>70</v>
      </c>
      <c r="N139" s="15">
        <f>ROUND((IF(L139="Blaze Shield II",IF(M139="Idiem software",IF(AND(C139="IN",G139=4),((('BLAZE SHIELD II'!$D$4*('HOJA DE CÁLCULO RESPALDO'!I139^2)+'BLAZE SHIELD II'!$D$5*'HOJA DE CÁLCULO RESPALDO'!I139+'BLAZE SHIELD II'!$D$6)*LN(J139))+('BLAZE SHIELD II'!$D$7*('HOJA DE CÁLCULO RESPALDO'!I139^2)+'BLAZE SHIELD II'!$D$8*'HOJA DE CÁLCULO RESPALDO'!I139+'BLAZE SHIELD II'!$D$9)),0),0),0))+(IF(L139="Blaze Shield II",IF(M139="Idiem software",IF(C139="Cj",((('BLAZE SHIELD II'!$H$4*('HOJA DE CÁLCULO RESPALDO'!I139^2)+'BLAZE SHIELD II'!$H$5*'HOJA DE CÁLCULO RESPALDO'!I139+'BLAZE SHIELD II'!$H$6)*LN(J139))+('BLAZE SHIELD II'!$H$7*('HOJA DE CÁLCULO RESPALDO'!I139^2)+'BLAZE SHIELD II'!$H$8*'HOJA DE CÁLCULO RESPALDO'!I139+'BLAZE SHIELD II'!$H$9)),0),0),0))+(IF(L139="Blaze Shield II",IF(M139="Idiem software",IF(C139="C",((('BLAZE SHIELD II'!$L$4*('HOJA DE CÁLCULO RESPALDO'!I139^2)+'BLAZE SHIELD II'!$L$5*'HOJA DE CÁLCULO RESPALDO'!I139+'BLAZE SHIELD II'!$L$6)*LN(J139))+('BLAZE SHIELD II'!$L$7*('HOJA DE CÁLCULO RESPALDO'!I139^2)+'BLAZE SHIELD II'!$L$8*'HOJA DE CÁLCULO RESPALDO'!I139+'BLAZE SHIELD II'!$L$9)),0),0),0))+(IF(L139="Blaze Shield II",IF(M139="Idiem software",IF(AND(C139="IN",G139=3),((('BLAZE SHIELD II'!$H$14*('HOJA DE CÁLCULO RESPALDO'!I139^2)+'BLAZE SHIELD II'!$H$15*'HOJA DE CÁLCULO RESPALDO'!I139+'BLAZE SHIELD II'!$H$16)*LN(J139))+('BLAZE SHIELD II'!$H$17*('HOJA DE CÁLCULO RESPALDO'!I139^2)+'BLAZE SHIELD II'!$H$18*'HOJA DE CÁLCULO RESPALDO'!I139+'BLAZE SHIELD II'!$H$19)),0),0),0)),0)</f>
        <v>0</v>
      </c>
      <c r="O139" s="46">
        <f t="shared" ref="O139:O202" si="18">((IF(L139="Blaze Shield II",((K139*N139*0.43)/38),0)))</f>
        <v>0</v>
      </c>
      <c r="P139" s="80">
        <f t="shared" si="15"/>
        <v>0</v>
      </c>
      <c r="Q139" s="85">
        <f>ROUND((IF(L139="Cafco 400",IF(M139="Idiem software",IF(AND(C139="IN",G139=4),((('CAFCO 400 '!$H$7*(J139^4)+'CAFCO 400 '!$H$8*(J139^3)+'CAFCO 400 '!$H$9*(J139^2)+'CAFCO 400 '!$H$10*J139+'CAFCO 400 '!$H$11)*I139^2)+(('CAFCO 400 '!$H$12*(J139^3)+'CAFCO 400 '!$H$13*(J139^2)+'CAFCO 400 '!$H$14*J139+'CAFCO 400 '!$H$15)*I139)+('CAFCO 400 '!$H$16*(J139^2)+'CAFCO 400 '!$H$17*J139+'CAFCO 400 '!$H$18)),0),0),0))+(IF(L139="Cafco 400",IF(M139="Idiem software",IF(C139="Cj",(((('CAFCO 400 '!$D$7*LN(J139)+'CAFCO 400 '!$D$8)*I139^2)+(('CAFCO 400 '!$D$9*LN(J139)+'CAFCO 400 '!$D$10)*I139)+('CAFCO 400 '!$D$11*LN(J139)+'CAFCO 400 '!$D$12))),0),0),0))+(IF(L139="Cafco 400",IF(M139="Idiem software",IF(C139="C",((('CAFCO 400 '!$L$7*(J139^3)+'CAFCO 400 '!$L$8*(J139^2)+'CAFCO 400 '!$L$9*J139+'CAFCO 400 '!$L$10)*I139^2)+(('CAFCO 400 '!$L$11*(J139^3)+'CAFCO 400 '!$L$12*(J139^2)+'CAFCO 400 '!$L$13*J139+'CAFCO 400 '!$L$14)*I139)+('CAFCO 400 '!$L$15*LN(J139)+'CAFCO 400 '!$L$16)),0),0),0))+(IF(L139="Cafco 400",IF(M139="Idiem software",IF(AND(C139="IN",G139=3),((('CAFCO 400 '!$D$23*(J139^2)+'CAFCO 400 '!$D$24*(J139)+'CAFCO 400 '!$D$25)*I139^2)+(('CAFCO 400 '!$D$26*(J139^2)+'CAFCO 400 '!$D$27*J139+'CAFCO 400 '!$D$28)*I139)+('CAFCO 400 '!$D$29*(J139^2)+'CAFCO 400 '!$D$30*J139+'CAFCO 400 '!$D$31)),0),0),0)),0)</f>
        <v>0</v>
      </c>
      <c r="R139" s="47">
        <f t="shared" ref="R139:R202" si="19">+((IF(L139="Cafco 400",((K139*Q139*0.43)/23),0)))</f>
        <v>0</v>
      </c>
      <c r="S139" s="82">
        <f t="shared" si="16"/>
        <v>0</v>
      </c>
      <c r="T139" s="81">
        <f>+IF(AND(J139&gt;=95,J139&lt;=240),IF(AND(C139="Cj",I139=90),VLOOKUP(W139,'CAFCO 300 IDIEM TABLAS'!$B$4:$D$23,2,FALSE),0)+IF(AND(J139&gt;=95,J139&lt;=240),IF(AND(C139="Cj",I139=120),VLOOKUP(W139,'CAFCO 300 IDIEM TABLAS'!$B$4:$D$23,3,FALSE),0))+IF(AND(J139&gt;=95,J139&lt;=400,G139=3),IF(AND(C139="IN",I139=90),VLOOKUP(W139,'CAFCO 300 IDIEM TABLAS'!$F$4:$H$35,2,FALSE),0),0)+IF(AND(J139&gt;=95,J139&lt;=400,G139=3),IF(AND(C139="IN",I139=120),VLOOKUP(W139,'CAFCO 300 IDIEM TABLAS'!$F$4:$H$35,3,FALSE),0),0)+IF(AND(J139&gt;=95,J139&lt;=450,G139=4),IF(AND(C139="IN",I139=90),VLOOKUP(W139,'CAFCO 300 IDIEM TABLAS'!$J$4:$L$40,2,FALSE),0),0)+IF(AND(J139&gt;=95,J139&lt;=450,G139=4),IF(AND(C139="IN",I139=120),VLOOKUP(W139,'CAFCO 300 IDIEM TABLAS'!$J$4:$L$40,3,FALSE),0),0))</f>
        <v>17</v>
      </c>
      <c r="U139" s="48">
        <f t="shared" ref="U139:U202" si="20">+((IF(L139="Cafco 300",((K139*T139*0.43)/31.16),0)))</f>
        <v>3.6017467907573808</v>
      </c>
      <c r="V139" s="82">
        <f t="shared" si="17"/>
        <v>54076.626316431313</v>
      </c>
      <c r="W139" s="64">
        <f>+IF(J139=LOOKUP(J139,'CAFCO 300 IDIEM TABLAS'!$J$4:$J$40),'HOJA DE CÁLCULO RESPALDO'!J139,MROUND('HOJA DE CÁLCULO RESPALDO'!J139,10))</f>
        <v>95</v>
      </c>
      <c r="X139" s="36"/>
      <c r="Y139" s="4"/>
    </row>
    <row r="140" spans="1:25" ht="15.6" customHeight="1" x14ac:dyDescent="0.25">
      <c r="A140" s="2" t="s">
        <v>44</v>
      </c>
      <c r="B140" s="3" t="s">
        <v>17</v>
      </c>
      <c r="C140" s="3" t="s">
        <v>19</v>
      </c>
      <c r="D140" s="3">
        <v>1</v>
      </c>
      <c r="E140" s="2">
        <v>1</v>
      </c>
      <c r="F140" s="8">
        <v>4250</v>
      </c>
      <c r="G140" s="1">
        <v>4</v>
      </c>
      <c r="H140" s="2">
        <v>1181</v>
      </c>
      <c r="I140" s="34">
        <v>90</v>
      </c>
      <c r="J140" s="11">
        <v>95</v>
      </c>
      <c r="K140" s="44">
        <f t="shared" si="14"/>
        <v>5.0192500000000004</v>
      </c>
      <c r="L140" s="3" t="s">
        <v>61</v>
      </c>
      <c r="M140" s="3" t="s">
        <v>70</v>
      </c>
      <c r="N140" s="15">
        <f>ROUND((IF(L140="Blaze Shield II",IF(M140="Idiem software",IF(AND(C140="IN",G140=4),((('BLAZE SHIELD II'!$D$4*('HOJA DE CÁLCULO RESPALDO'!I140^2)+'BLAZE SHIELD II'!$D$5*'HOJA DE CÁLCULO RESPALDO'!I140+'BLAZE SHIELD II'!$D$6)*LN(J140))+('BLAZE SHIELD II'!$D$7*('HOJA DE CÁLCULO RESPALDO'!I140^2)+'BLAZE SHIELD II'!$D$8*'HOJA DE CÁLCULO RESPALDO'!I140+'BLAZE SHIELD II'!$D$9)),0),0),0))+(IF(L140="Blaze Shield II",IF(M140="Idiem software",IF(C140="Cj",((('BLAZE SHIELD II'!$H$4*('HOJA DE CÁLCULO RESPALDO'!I140^2)+'BLAZE SHIELD II'!$H$5*'HOJA DE CÁLCULO RESPALDO'!I140+'BLAZE SHIELD II'!$H$6)*LN(J140))+('BLAZE SHIELD II'!$H$7*('HOJA DE CÁLCULO RESPALDO'!I140^2)+'BLAZE SHIELD II'!$H$8*'HOJA DE CÁLCULO RESPALDO'!I140+'BLAZE SHIELD II'!$H$9)),0),0),0))+(IF(L140="Blaze Shield II",IF(M140="Idiem software",IF(C140="C",((('BLAZE SHIELD II'!$L$4*('HOJA DE CÁLCULO RESPALDO'!I140^2)+'BLAZE SHIELD II'!$L$5*'HOJA DE CÁLCULO RESPALDO'!I140+'BLAZE SHIELD II'!$L$6)*LN(J140))+('BLAZE SHIELD II'!$L$7*('HOJA DE CÁLCULO RESPALDO'!I140^2)+'BLAZE SHIELD II'!$L$8*'HOJA DE CÁLCULO RESPALDO'!I140+'BLAZE SHIELD II'!$L$9)),0),0),0))+(IF(L140="Blaze Shield II",IF(M140="Idiem software",IF(AND(C140="IN",G140=3),((('BLAZE SHIELD II'!$H$14*('HOJA DE CÁLCULO RESPALDO'!I140^2)+'BLAZE SHIELD II'!$H$15*'HOJA DE CÁLCULO RESPALDO'!I140+'BLAZE SHIELD II'!$H$16)*LN(J140))+('BLAZE SHIELD II'!$H$17*('HOJA DE CÁLCULO RESPALDO'!I140^2)+'BLAZE SHIELD II'!$H$18*'HOJA DE CÁLCULO RESPALDO'!I140+'BLAZE SHIELD II'!$H$19)),0),0),0)),0)</f>
        <v>0</v>
      </c>
      <c r="O140" s="46">
        <f t="shared" si="18"/>
        <v>0</v>
      </c>
      <c r="P140" s="80">
        <f t="shared" si="15"/>
        <v>0</v>
      </c>
      <c r="Q140" s="85">
        <f>ROUND((IF(L140="Cafco 400",IF(M140="Idiem software",IF(AND(C140="IN",G140=4),((('CAFCO 400 '!$H$7*(J140^4)+'CAFCO 400 '!$H$8*(J140^3)+'CAFCO 400 '!$H$9*(J140^2)+'CAFCO 400 '!$H$10*J140+'CAFCO 400 '!$H$11)*I140^2)+(('CAFCO 400 '!$H$12*(J140^3)+'CAFCO 400 '!$H$13*(J140^2)+'CAFCO 400 '!$H$14*J140+'CAFCO 400 '!$H$15)*I140)+('CAFCO 400 '!$H$16*(J140^2)+'CAFCO 400 '!$H$17*J140+'CAFCO 400 '!$H$18)),0),0),0))+(IF(L140="Cafco 400",IF(M140="Idiem software",IF(C140="Cj",(((('CAFCO 400 '!$D$7*LN(J140)+'CAFCO 400 '!$D$8)*I140^2)+(('CAFCO 400 '!$D$9*LN(J140)+'CAFCO 400 '!$D$10)*I140)+('CAFCO 400 '!$D$11*LN(J140)+'CAFCO 400 '!$D$12))),0),0),0))+(IF(L140="Cafco 400",IF(M140="Idiem software",IF(C140="C",((('CAFCO 400 '!$L$7*(J140^3)+'CAFCO 400 '!$L$8*(J140^2)+'CAFCO 400 '!$L$9*J140+'CAFCO 400 '!$L$10)*I140^2)+(('CAFCO 400 '!$L$11*(J140^3)+'CAFCO 400 '!$L$12*(J140^2)+'CAFCO 400 '!$L$13*J140+'CAFCO 400 '!$L$14)*I140)+('CAFCO 400 '!$L$15*LN(J140)+'CAFCO 400 '!$L$16)),0),0),0))+(IF(L140="Cafco 400",IF(M140="Idiem software",IF(AND(C140="IN",G140=3),((('CAFCO 400 '!$D$23*(J140^2)+'CAFCO 400 '!$D$24*(J140)+'CAFCO 400 '!$D$25)*I140^2)+(('CAFCO 400 '!$D$26*(J140^2)+'CAFCO 400 '!$D$27*J140+'CAFCO 400 '!$D$28)*I140)+('CAFCO 400 '!$D$29*(J140^2)+'CAFCO 400 '!$D$30*J140+'CAFCO 400 '!$D$31)),0),0),0)),0)</f>
        <v>0</v>
      </c>
      <c r="R140" s="47">
        <f t="shared" si="19"/>
        <v>0</v>
      </c>
      <c r="S140" s="82">
        <f t="shared" si="16"/>
        <v>0</v>
      </c>
      <c r="T140" s="81">
        <f>+IF(AND(J140&gt;=95,J140&lt;=240),IF(AND(C140="Cj",I140=90),VLOOKUP(W140,'CAFCO 300 IDIEM TABLAS'!$B$4:$D$23,2,FALSE),0)+IF(AND(J140&gt;=95,J140&lt;=240),IF(AND(C140="Cj",I140=120),VLOOKUP(W140,'CAFCO 300 IDIEM TABLAS'!$B$4:$D$23,3,FALSE),0))+IF(AND(J140&gt;=95,J140&lt;=400,G140=3),IF(AND(C140="IN",I140=90),VLOOKUP(W140,'CAFCO 300 IDIEM TABLAS'!$F$4:$H$35,2,FALSE),0),0)+IF(AND(J140&gt;=95,J140&lt;=400,G140=3),IF(AND(C140="IN",I140=120),VLOOKUP(W140,'CAFCO 300 IDIEM TABLAS'!$F$4:$H$35,3,FALSE),0),0)+IF(AND(J140&gt;=95,J140&lt;=450,G140=4),IF(AND(C140="IN",I140=90),VLOOKUP(W140,'CAFCO 300 IDIEM TABLAS'!$J$4:$L$40,2,FALSE),0),0)+IF(AND(J140&gt;=95,J140&lt;=450,G140=4),IF(AND(C140="IN",I140=120),VLOOKUP(W140,'CAFCO 300 IDIEM TABLAS'!$J$4:$L$40,3,FALSE),0),0))</f>
        <v>17</v>
      </c>
      <c r="U140" s="48">
        <f t="shared" si="20"/>
        <v>1.177494143132221</v>
      </c>
      <c r="V140" s="82">
        <f t="shared" si="17"/>
        <v>17678.897064987166</v>
      </c>
      <c r="W140" s="64">
        <f>+IF(J140=LOOKUP(J140,'CAFCO 300 IDIEM TABLAS'!$J$4:$J$40),'HOJA DE CÁLCULO RESPALDO'!J140,MROUND('HOJA DE CÁLCULO RESPALDO'!J140,10))</f>
        <v>95</v>
      </c>
      <c r="X140" s="36"/>
      <c r="Y140" s="4"/>
    </row>
    <row r="141" spans="1:25" x14ac:dyDescent="0.25">
      <c r="A141" s="2" t="s">
        <v>41</v>
      </c>
      <c r="B141" s="3" t="s">
        <v>17</v>
      </c>
      <c r="C141" s="3" t="s">
        <v>19</v>
      </c>
      <c r="D141" s="3">
        <v>1</v>
      </c>
      <c r="E141" s="2">
        <v>1</v>
      </c>
      <c r="F141" s="8">
        <v>8500</v>
      </c>
      <c r="G141" s="1">
        <v>4</v>
      </c>
      <c r="H141" s="2">
        <v>1181</v>
      </c>
      <c r="I141" s="34">
        <v>90</v>
      </c>
      <c r="J141" s="11">
        <v>95</v>
      </c>
      <c r="K141" s="44">
        <f t="shared" si="14"/>
        <v>10.038500000000001</v>
      </c>
      <c r="L141" s="3" t="s">
        <v>61</v>
      </c>
      <c r="M141" s="3" t="s">
        <v>70</v>
      </c>
      <c r="N141" s="15">
        <f>ROUND((IF(L141="Blaze Shield II",IF(M141="Idiem software",IF(AND(C141="IN",G141=4),((('BLAZE SHIELD II'!$D$4*('HOJA DE CÁLCULO RESPALDO'!I141^2)+'BLAZE SHIELD II'!$D$5*'HOJA DE CÁLCULO RESPALDO'!I141+'BLAZE SHIELD II'!$D$6)*LN(J141))+('BLAZE SHIELD II'!$D$7*('HOJA DE CÁLCULO RESPALDO'!I141^2)+'BLAZE SHIELD II'!$D$8*'HOJA DE CÁLCULO RESPALDO'!I141+'BLAZE SHIELD II'!$D$9)),0),0),0))+(IF(L141="Blaze Shield II",IF(M141="Idiem software",IF(C141="Cj",((('BLAZE SHIELD II'!$H$4*('HOJA DE CÁLCULO RESPALDO'!I141^2)+'BLAZE SHIELD II'!$H$5*'HOJA DE CÁLCULO RESPALDO'!I141+'BLAZE SHIELD II'!$H$6)*LN(J141))+('BLAZE SHIELD II'!$H$7*('HOJA DE CÁLCULO RESPALDO'!I141^2)+'BLAZE SHIELD II'!$H$8*'HOJA DE CÁLCULO RESPALDO'!I141+'BLAZE SHIELD II'!$H$9)),0),0),0))+(IF(L141="Blaze Shield II",IF(M141="Idiem software",IF(C141="C",((('BLAZE SHIELD II'!$L$4*('HOJA DE CÁLCULO RESPALDO'!I141^2)+'BLAZE SHIELD II'!$L$5*'HOJA DE CÁLCULO RESPALDO'!I141+'BLAZE SHIELD II'!$L$6)*LN(J141))+('BLAZE SHIELD II'!$L$7*('HOJA DE CÁLCULO RESPALDO'!I141^2)+'BLAZE SHIELD II'!$L$8*'HOJA DE CÁLCULO RESPALDO'!I141+'BLAZE SHIELD II'!$L$9)),0),0),0))+(IF(L141="Blaze Shield II",IF(M141="Idiem software",IF(AND(C141="IN",G141=3),((('BLAZE SHIELD II'!$H$14*('HOJA DE CÁLCULO RESPALDO'!I141^2)+'BLAZE SHIELD II'!$H$15*'HOJA DE CÁLCULO RESPALDO'!I141+'BLAZE SHIELD II'!$H$16)*LN(J141))+('BLAZE SHIELD II'!$H$17*('HOJA DE CÁLCULO RESPALDO'!I141^2)+'BLAZE SHIELD II'!$H$18*'HOJA DE CÁLCULO RESPALDO'!I141+'BLAZE SHIELD II'!$H$19)),0),0),0)),0)</f>
        <v>0</v>
      </c>
      <c r="O141" s="46">
        <f t="shared" si="18"/>
        <v>0</v>
      </c>
      <c r="P141" s="80">
        <f t="shared" si="15"/>
        <v>0</v>
      </c>
      <c r="Q141" s="85">
        <f>ROUND((IF(L141="Cafco 400",IF(M141="Idiem software",IF(AND(C141="IN",G141=4),((('CAFCO 400 '!$H$7*(J141^4)+'CAFCO 400 '!$H$8*(J141^3)+'CAFCO 400 '!$H$9*(J141^2)+'CAFCO 400 '!$H$10*J141+'CAFCO 400 '!$H$11)*I141^2)+(('CAFCO 400 '!$H$12*(J141^3)+'CAFCO 400 '!$H$13*(J141^2)+'CAFCO 400 '!$H$14*J141+'CAFCO 400 '!$H$15)*I141)+('CAFCO 400 '!$H$16*(J141^2)+'CAFCO 400 '!$H$17*J141+'CAFCO 400 '!$H$18)),0),0),0))+(IF(L141="Cafco 400",IF(M141="Idiem software",IF(C141="Cj",(((('CAFCO 400 '!$D$7*LN(J141)+'CAFCO 400 '!$D$8)*I141^2)+(('CAFCO 400 '!$D$9*LN(J141)+'CAFCO 400 '!$D$10)*I141)+('CAFCO 400 '!$D$11*LN(J141)+'CAFCO 400 '!$D$12))),0),0),0))+(IF(L141="Cafco 400",IF(M141="Idiem software",IF(C141="C",((('CAFCO 400 '!$L$7*(J141^3)+'CAFCO 400 '!$L$8*(J141^2)+'CAFCO 400 '!$L$9*J141+'CAFCO 400 '!$L$10)*I141^2)+(('CAFCO 400 '!$L$11*(J141^3)+'CAFCO 400 '!$L$12*(J141^2)+'CAFCO 400 '!$L$13*J141+'CAFCO 400 '!$L$14)*I141)+('CAFCO 400 '!$L$15*LN(J141)+'CAFCO 400 '!$L$16)),0),0),0))+(IF(L141="Cafco 400",IF(M141="Idiem software",IF(AND(C141="IN",G141=3),((('CAFCO 400 '!$D$23*(J141^2)+'CAFCO 400 '!$D$24*(J141)+'CAFCO 400 '!$D$25)*I141^2)+(('CAFCO 400 '!$D$26*(J141^2)+'CAFCO 400 '!$D$27*J141+'CAFCO 400 '!$D$28)*I141)+('CAFCO 400 '!$D$29*(J141^2)+'CAFCO 400 '!$D$30*J141+'CAFCO 400 '!$D$31)),0),0),0)),0)</f>
        <v>0</v>
      </c>
      <c r="R141" s="47">
        <f t="shared" si="19"/>
        <v>0</v>
      </c>
      <c r="S141" s="82">
        <f t="shared" si="16"/>
        <v>0</v>
      </c>
      <c r="T141" s="81">
        <f>+IF(AND(J141&gt;=95,J141&lt;=240),IF(AND(C141="Cj",I141=90),VLOOKUP(W141,'CAFCO 300 IDIEM TABLAS'!$B$4:$D$23,2,FALSE),0)+IF(AND(J141&gt;=95,J141&lt;=240),IF(AND(C141="Cj",I141=120),VLOOKUP(W141,'CAFCO 300 IDIEM TABLAS'!$B$4:$D$23,3,FALSE),0))+IF(AND(J141&gt;=95,J141&lt;=400,G141=3),IF(AND(C141="IN",I141=90),VLOOKUP(W141,'CAFCO 300 IDIEM TABLAS'!$F$4:$H$35,2,FALSE),0),0)+IF(AND(J141&gt;=95,J141&lt;=400,G141=3),IF(AND(C141="IN",I141=120),VLOOKUP(W141,'CAFCO 300 IDIEM TABLAS'!$F$4:$H$35,3,FALSE),0),0)+IF(AND(J141&gt;=95,J141&lt;=450,G141=4),IF(AND(C141="IN",I141=90),VLOOKUP(W141,'CAFCO 300 IDIEM TABLAS'!$J$4:$L$40,2,FALSE),0),0)+IF(AND(J141&gt;=95,J141&lt;=450,G141=4),IF(AND(C141="IN",I141=120),VLOOKUP(W141,'CAFCO 300 IDIEM TABLAS'!$J$4:$L$40,3,FALSE),0),0))</f>
        <v>17</v>
      </c>
      <c r="U141" s="48">
        <f t="shared" si="20"/>
        <v>2.354988286264442</v>
      </c>
      <c r="V141" s="82">
        <f t="shared" si="17"/>
        <v>35357.794129974332</v>
      </c>
      <c r="W141" s="64">
        <f>+IF(J141=LOOKUP(J141,'CAFCO 300 IDIEM TABLAS'!$J$4:$J$40),'HOJA DE CÁLCULO RESPALDO'!J141,MROUND('HOJA DE CÁLCULO RESPALDO'!J141,10))</f>
        <v>95</v>
      </c>
      <c r="X141" s="36"/>
      <c r="Y141" s="4"/>
    </row>
    <row r="142" spans="1:25" ht="15.6" customHeight="1" x14ac:dyDescent="0.25">
      <c r="A142" s="2" t="s">
        <v>41</v>
      </c>
      <c r="B142" s="3" t="s">
        <v>17</v>
      </c>
      <c r="C142" s="3" t="s">
        <v>19</v>
      </c>
      <c r="D142" s="3">
        <v>1</v>
      </c>
      <c r="E142" s="2">
        <v>1</v>
      </c>
      <c r="F142" s="8">
        <v>103000</v>
      </c>
      <c r="G142" s="1">
        <v>4</v>
      </c>
      <c r="H142" s="2">
        <v>1190</v>
      </c>
      <c r="I142" s="34">
        <v>90</v>
      </c>
      <c r="J142" s="11">
        <v>95</v>
      </c>
      <c r="K142" s="44">
        <f t="shared" si="14"/>
        <v>122.57</v>
      </c>
      <c r="L142" s="3" t="s">
        <v>61</v>
      </c>
      <c r="M142" s="3" t="s">
        <v>70</v>
      </c>
      <c r="N142" s="15">
        <f>ROUND((IF(L142="Blaze Shield II",IF(M142="Idiem software",IF(AND(C142="IN",G142=4),((('BLAZE SHIELD II'!$D$4*('HOJA DE CÁLCULO RESPALDO'!I142^2)+'BLAZE SHIELD II'!$D$5*'HOJA DE CÁLCULO RESPALDO'!I142+'BLAZE SHIELD II'!$D$6)*LN(J142))+('BLAZE SHIELD II'!$D$7*('HOJA DE CÁLCULO RESPALDO'!I142^2)+'BLAZE SHIELD II'!$D$8*'HOJA DE CÁLCULO RESPALDO'!I142+'BLAZE SHIELD II'!$D$9)),0),0),0))+(IF(L142="Blaze Shield II",IF(M142="Idiem software",IF(C142="Cj",((('BLAZE SHIELD II'!$H$4*('HOJA DE CÁLCULO RESPALDO'!I142^2)+'BLAZE SHIELD II'!$H$5*'HOJA DE CÁLCULO RESPALDO'!I142+'BLAZE SHIELD II'!$H$6)*LN(J142))+('BLAZE SHIELD II'!$H$7*('HOJA DE CÁLCULO RESPALDO'!I142^2)+'BLAZE SHIELD II'!$H$8*'HOJA DE CÁLCULO RESPALDO'!I142+'BLAZE SHIELD II'!$H$9)),0),0),0))+(IF(L142="Blaze Shield II",IF(M142="Idiem software",IF(C142="C",((('BLAZE SHIELD II'!$L$4*('HOJA DE CÁLCULO RESPALDO'!I142^2)+'BLAZE SHIELD II'!$L$5*'HOJA DE CÁLCULO RESPALDO'!I142+'BLAZE SHIELD II'!$L$6)*LN(J142))+('BLAZE SHIELD II'!$L$7*('HOJA DE CÁLCULO RESPALDO'!I142^2)+'BLAZE SHIELD II'!$L$8*'HOJA DE CÁLCULO RESPALDO'!I142+'BLAZE SHIELD II'!$L$9)),0),0),0))+(IF(L142="Blaze Shield II",IF(M142="Idiem software",IF(AND(C142="IN",G142=3),((('BLAZE SHIELD II'!$H$14*('HOJA DE CÁLCULO RESPALDO'!I142^2)+'BLAZE SHIELD II'!$H$15*'HOJA DE CÁLCULO RESPALDO'!I142+'BLAZE SHIELD II'!$H$16)*LN(J142))+('BLAZE SHIELD II'!$H$17*('HOJA DE CÁLCULO RESPALDO'!I142^2)+'BLAZE SHIELD II'!$H$18*'HOJA DE CÁLCULO RESPALDO'!I142+'BLAZE SHIELD II'!$H$19)),0),0),0)),0)</f>
        <v>0</v>
      </c>
      <c r="O142" s="46">
        <f t="shared" si="18"/>
        <v>0</v>
      </c>
      <c r="P142" s="80">
        <f t="shared" si="15"/>
        <v>0</v>
      </c>
      <c r="Q142" s="85">
        <f>ROUND((IF(L142="Cafco 400",IF(M142="Idiem software",IF(AND(C142="IN",G142=4),((('CAFCO 400 '!$H$7*(J142^4)+'CAFCO 400 '!$H$8*(J142^3)+'CAFCO 400 '!$H$9*(J142^2)+'CAFCO 400 '!$H$10*J142+'CAFCO 400 '!$H$11)*I142^2)+(('CAFCO 400 '!$H$12*(J142^3)+'CAFCO 400 '!$H$13*(J142^2)+'CAFCO 400 '!$H$14*J142+'CAFCO 400 '!$H$15)*I142)+('CAFCO 400 '!$H$16*(J142^2)+'CAFCO 400 '!$H$17*J142+'CAFCO 400 '!$H$18)),0),0),0))+(IF(L142="Cafco 400",IF(M142="Idiem software",IF(C142="Cj",(((('CAFCO 400 '!$D$7*LN(J142)+'CAFCO 400 '!$D$8)*I142^2)+(('CAFCO 400 '!$D$9*LN(J142)+'CAFCO 400 '!$D$10)*I142)+('CAFCO 400 '!$D$11*LN(J142)+'CAFCO 400 '!$D$12))),0),0),0))+(IF(L142="Cafco 400",IF(M142="Idiem software",IF(C142="C",((('CAFCO 400 '!$L$7*(J142^3)+'CAFCO 400 '!$L$8*(J142^2)+'CAFCO 400 '!$L$9*J142+'CAFCO 400 '!$L$10)*I142^2)+(('CAFCO 400 '!$L$11*(J142^3)+'CAFCO 400 '!$L$12*(J142^2)+'CAFCO 400 '!$L$13*J142+'CAFCO 400 '!$L$14)*I142)+('CAFCO 400 '!$L$15*LN(J142)+'CAFCO 400 '!$L$16)),0),0),0))+(IF(L142="Cafco 400",IF(M142="Idiem software",IF(AND(C142="IN",G142=3),((('CAFCO 400 '!$D$23*(J142^2)+'CAFCO 400 '!$D$24*(J142)+'CAFCO 400 '!$D$25)*I142^2)+(('CAFCO 400 '!$D$26*(J142^2)+'CAFCO 400 '!$D$27*J142+'CAFCO 400 '!$D$28)*I142)+('CAFCO 400 '!$D$29*(J142^2)+'CAFCO 400 '!$D$30*J142+'CAFCO 400 '!$D$31)),0),0),0)),0)</f>
        <v>0</v>
      </c>
      <c r="R142" s="47">
        <f t="shared" si="19"/>
        <v>0</v>
      </c>
      <c r="S142" s="82">
        <f t="shared" si="16"/>
        <v>0</v>
      </c>
      <c r="T142" s="81">
        <f>+IF(AND(J142&gt;=95,J142&lt;=240),IF(AND(C142="Cj",I142=90),VLOOKUP(W142,'CAFCO 300 IDIEM TABLAS'!$B$4:$D$23,2,FALSE),0)+IF(AND(J142&gt;=95,J142&lt;=240),IF(AND(C142="Cj",I142=120),VLOOKUP(W142,'CAFCO 300 IDIEM TABLAS'!$B$4:$D$23,3,FALSE),0))+IF(AND(J142&gt;=95,J142&lt;=400,G142=3),IF(AND(C142="IN",I142=90),VLOOKUP(W142,'CAFCO 300 IDIEM TABLAS'!$F$4:$H$35,2,FALSE),0),0)+IF(AND(J142&gt;=95,J142&lt;=400,G142=3),IF(AND(C142="IN",I142=120),VLOOKUP(W142,'CAFCO 300 IDIEM TABLAS'!$F$4:$H$35,3,FALSE),0),0)+IF(AND(J142&gt;=95,J142&lt;=450,G142=4),IF(AND(C142="IN",I142=90),VLOOKUP(W142,'CAFCO 300 IDIEM TABLAS'!$J$4:$L$40,2,FALSE),0),0)+IF(AND(J142&gt;=95,J142&lt;=450,G142=4),IF(AND(C142="IN",I142=120),VLOOKUP(W142,'CAFCO 300 IDIEM TABLAS'!$J$4:$L$40,3,FALSE),0),0))</f>
        <v>17</v>
      </c>
      <c r="U142" s="48">
        <f t="shared" si="20"/>
        <v>28.754387034659821</v>
      </c>
      <c r="V142" s="82">
        <f t="shared" si="17"/>
        <v>431718.36693838256</v>
      </c>
      <c r="W142" s="64">
        <f>+IF(J142=LOOKUP(J142,'CAFCO 300 IDIEM TABLAS'!$J$4:$J$40),'HOJA DE CÁLCULO RESPALDO'!J142,MROUND('HOJA DE CÁLCULO RESPALDO'!J142,10))</f>
        <v>95</v>
      </c>
      <c r="X142" s="36"/>
      <c r="Y142" s="4"/>
    </row>
    <row r="143" spans="1:25" x14ac:dyDescent="0.25">
      <c r="A143" s="2" t="s">
        <v>41</v>
      </c>
      <c r="B143" s="3" t="s">
        <v>17</v>
      </c>
      <c r="C143" s="3" t="s">
        <v>19</v>
      </c>
      <c r="D143" s="3">
        <v>1</v>
      </c>
      <c r="E143" s="2">
        <v>1</v>
      </c>
      <c r="F143" s="8">
        <v>12750</v>
      </c>
      <c r="G143" s="1">
        <v>4</v>
      </c>
      <c r="H143" s="2">
        <v>1181</v>
      </c>
      <c r="I143" s="34">
        <v>90</v>
      </c>
      <c r="J143" s="11">
        <v>95</v>
      </c>
      <c r="K143" s="44">
        <f t="shared" si="14"/>
        <v>15.05775</v>
      </c>
      <c r="L143" s="3" t="s">
        <v>61</v>
      </c>
      <c r="M143" s="3" t="s">
        <v>70</v>
      </c>
      <c r="N143" s="15">
        <f>ROUND((IF(L143="Blaze Shield II",IF(M143="Idiem software",IF(AND(C143="IN",G143=4),((('BLAZE SHIELD II'!$D$4*('HOJA DE CÁLCULO RESPALDO'!I143^2)+'BLAZE SHIELD II'!$D$5*'HOJA DE CÁLCULO RESPALDO'!I143+'BLAZE SHIELD II'!$D$6)*LN(J143))+('BLAZE SHIELD II'!$D$7*('HOJA DE CÁLCULO RESPALDO'!I143^2)+'BLAZE SHIELD II'!$D$8*'HOJA DE CÁLCULO RESPALDO'!I143+'BLAZE SHIELD II'!$D$9)),0),0),0))+(IF(L143="Blaze Shield II",IF(M143="Idiem software",IF(C143="Cj",((('BLAZE SHIELD II'!$H$4*('HOJA DE CÁLCULO RESPALDO'!I143^2)+'BLAZE SHIELD II'!$H$5*'HOJA DE CÁLCULO RESPALDO'!I143+'BLAZE SHIELD II'!$H$6)*LN(J143))+('BLAZE SHIELD II'!$H$7*('HOJA DE CÁLCULO RESPALDO'!I143^2)+'BLAZE SHIELD II'!$H$8*'HOJA DE CÁLCULO RESPALDO'!I143+'BLAZE SHIELD II'!$H$9)),0),0),0))+(IF(L143="Blaze Shield II",IF(M143="Idiem software",IF(C143="C",((('BLAZE SHIELD II'!$L$4*('HOJA DE CÁLCULO RESPALDO'!I143^2)+'BLAZE SHIELD II'!$L$5*'HOJA DE CÁLCULO RESPALDO'!I143+'BLAZE SHIELD II'!$L$6)*LN(J143))+('BLAZE SHIELD II'!$L$7*('HOJA DE CÁLCULO RESPALDO'!I143^2)+'BLAZE SHIELD II'!$L$8*'HOJA DE CÁLCULO RESPALDO'!I143+'BLAZE SHIELD II'!$L$9)),0),0),0))+(IF(L143="Blaze Shield II",IF(M143="Idiem software",IF(AND(C143="IN",G143=3),((('BLAZE SHIELD II'!$H$14*('HOJA DE CÁLCULO RESPALDO'!I143^2)+'BLAZE SHIELD II'!$H$15*'HOJA DE CÁLCULO RESPALDO'!I143+'BLAZE SHIELD II'!$H$16)*LN(J143))+('BLAZE SHIELD II'!$H$17*('HOJA DE CÁLCULO RESPALDO'!I143^2)+'BLAZE SHIELD II'!$H$18*'HOJA DE CÁLCULO RESPALDO'!I143+'BLAZE SHIELD II'!$H$19)),0),0),0)),0)</f>
        <v>0</v>
      </c>
      <c r="O143" s="46">
        <f t="shared" si="18"/>
        <v>0</v>
      </c>
      <c r="P143" s="80">
        <f t="shared" si="15"/>
        <v>0</v>
      </c>
      <c r="Q143" s="85">
        <f>ROUND((IF(L143="Cafco 400",IF(M143="Idiem software",IF(AND(C143="IN",G143=4),((('CAFCO 400 '!$H$7*(J143^4)+'CAFCO 400 '!$H$8*(J143^3)+'CAFCO 400 '!$H$9*(J143^2)+'CAFCO 400 '!$H$10*J143+'CAFCO 400 '!$H$11)*I143^2)+(('CAFCO 400 '!$H$12*(J143^3)+'CAFCO 400 '!$H$13*(J143^2)+'CAFCO 400 '!$H$14*J143+'CAFCO 400 '!$H$15)*I143)+('CAFCO 400 '!$H$16*(J143^2)+'CAFCO 400 '!$H$17*J143+'CAFCO 400 '!$H$18)),0),0),0))+(IF(L143="Cafco 400",IF(M143="Idiem software",IF(C143="Cj",(((('CAFCO 400 '!$D$7*LN(J143)+'CAFCO 400 '!$D$8)*I143^2)+(('CAFCO 400 '!$D$9*LN(J143)+'CAFCO 400 '!$D$10)*I143)+('CAFCO 400 '!$D$11*LN(J143)+'CAFCO 400 '!$D$12))),0),0),0))+(IF(L143="Cafco 400",IF(M143="Idiem software",IF(C143="C",((('CAFCO 400 '!$L$7*(J143^3)+'CAFCO 400 '!$L$8*(J143^2)+'CAFCO 400 '!$L$9*J143+'CAFCO 400 '!$L$10)*I143^2)+(('CAFCO 400 '!$L$11*(J143^3)+'CAFCO 400 '!$L$12*(J143^2)+'CAFCO 400 '!$L$13*J143+'CAFCO 400 '!$L$14)*I143)+('CAFCO 400 '!$L$15*LN(J143)+'CAFCO 400 '!$L$16)),0),0),0))+(IF(L143="Cafco 400",IF(M143="Idiem software",IF(AND(C143="IN",G143=3),((('CAFCO 400 '!$D$23*(J143^2)+'CAFCO 400 '!$D$24*(J143)+'CAFCO 400 '!$D$25)*I143^2)+(('CAFCO 400 '!$D$26*(J143^2)+'CAFCO 400 '!$D$27*J143+'CAFCO 400 '!$D$28)*I143)+('CAFCO 400 '!$D$29*(J143^2)+'CAFCO 400 '!$D$30*J143+'CAFCO 400 '!$D$31)),0),0),0)),0)</f>
        <v>0</v>
      </c>
      <c r="R143" s="47">
        <f t="shared" si="19"/>
        <v>0</v>
      </c>
      <c r="S143" s="82">
        <f t="shared" si="16"/>
        <v>0</v>
      </c>
      <c r="T143" s="81">
        <f>+IF(AND(J143&gt;=95,J143&lt;=240),IF(AND(C143="Cj",I143=90),VLOOKUP(W143,'CAFCO 300 IDIEM TABLAS'!$B$4:$D$23,2,FALSE),0)+IF(AND(J143&gt;=95,J143&lt;=240),IF(AND(C143="Cj",I143=120),VLOOKUP(W143,'CAFCO 300 IDIEM TABLAS'!$B$4:$D$23,3,FALSE),0))+IF(AND(J143&gt;=95,J143&lt;=400,G143=3),IF(AND(C143="IN",I143=90),VLOOKUP(W143,'CAFCO 300 IDIEM TABLAS'!$F$4:$H$35,2,FALSE),0),0)+IF(AND(J143&gt;=95,J143&lt;=400,G143=3),IF(AND(C143="IN",I143=120),VLOOKUP(W143,'CAFCO 300 IDIEM TABLAS'!$F$4:$H$35,3,FALSE),0),0)+IF(AND(J143&gt;=95,J143&lt;=450,G143=4),IF(AND(C143="IN",I143=90),VLOOKUP(W143,'CAFCO 300 IDIEM TABLAS'!$J$4:$L$40,2,FALSE),0),0)+IF(AND(J143&gt;=95,J143&lt;=450,G143=4),IF(AND(C143="IN",I143=120),VLOOKUP(W143,'CAFCO 300 IDIEM TABLAS'!$J$4:$L$40,3,FALSE),0),0))</f>
        <v>17</v>
      </c>
      <c r="U143" s="48">
        <f t="shared" si="20"/>
        <v>3.5324824293966626</v>
      </c>
      <c r="V143" s="82">
        <f t="shared" si="17"/>
        <v>53036.691194961495</v>
      </c>
      <c r="W143" s="64">
        <f>+IF(J143=LOOKUP(J143,'CAFCO 300 IDIEM TABLAS'!$J$4:$J$40),'HOJA DE CÁLCULO RESPALDO'!J143,MROUND('HOJA DE CÁLCULO RESPALDO'!J143,10))</f>
        <v>95</v>
      </c>
      <c r="X143" s="36"/>
      <c r="Y143" s="4"/>
    </row>
    <row r="144" spans="1:25" ht="15.6" customHeight="1" x14ac:dyDescent="0.25">
      <c r="A144" s="2" t="s">
        <v>44</v>
      </c>
      <c r="B144" s="3" t="s">
        <v>17</v>
      </c>
      <c r="C144" s="3" t="s">
        <v>19</v>
      </c>
      <c r="D144" s="3">
        <v>1</v>
      </c>
      <c r="E144" s="2">
        <v>1</v>
      </c>
      <c r="F144" s="8">
        <v>17500</v>
      </c>
      <c r="G144" s="1">
        <v>4</v>
      </c>
      <c r="H144" s="2">
        <v>1692</v>
      </c>
      <c r="I144" s="34">
        <v>90</v>
      </c>
      <c r="J144" s="11">
        <v>95</v>
      </c>
      <c r="K144" s="44">
        <f t="shared" si="14"/>
        <v>29.61</v>
      </c>
      <c r="L144" s="3" t="s">
        <v>61</v>
      </c>
      <c r="M144" s="3" t="s">
        <v>70</v>
      </c>
      <c r="N144" s="15">
        <f>ROUND((IF(L144="Blaze Shield II",IF(M144="Idiem software",IF(AND(C144="IN",G144=4),((('BLAZE SHIELD II'!$D$4*('HOJA DE CÁLCULO RESPALDO'!I144^2)+'BLAZE SHIELD II'!$D$5*'HOJA DE CÁLCULO RESPALDO'!I144+'BLAZE SHIELD II'!$D$6)*LN(J144))+('BLAZE SHIELD II'!$D$7*('HOJA DE CÁLCULO RESPALDO'!I144^2)+'BLAZE SHIELD II'!$D$8*'HOJA DE CÁLCULO RESPALDO'!I144+'BLAZE SHIELD II'!$D$9)),0),0),0))+(IF(L144="Blaze Shield II",IF(M144="Idiem software",IF(C144="Cj",((('BLAZE SHIELD II'!$H$4*('HOJA DE CÁLCULO RESPALDO'!I144^2)+'BLAZE SHIELD II'!$H$5*'HOJA DE CÁLCULO RESPALDO'!I144+'BLAZE SHIELD II'!$H$6)*LN(J144))+('BLAZE SHIELD II'!$H$7*('HOJA DE CÁLCULO RESPALDO'!I144^2)+'BLAZE SHIELD II'!$H$8*'HOJA DE CÁLCULO RESPALDO'!I144+'BLAZE SHIELD II'!$H$9)),0),0),0))+(IF(L144="Blaze Shield II",IF(M144="Idiem software",IF(C144="C",((('BLAZE SHIELD II'!$L$4*('HOJA DE CÁLCULO RESPALDO'!I144^2)+'BLAZE SHIELD II'!$L$5*'HOJA DE CÁLCULO RESPALDO'!I144+'BLAZE SHIELD II'!$L$6)*LN(J144))+('BLAZE SHIELD II'!$L$7*('HOJA DE CÁLCULO RESPALDO'!I144^2)+'BLAZE SHIELD II'!$L$8*'HOJA DE CÁLCULO RESPALDO'!I144+'BLAZE SHIELD II'!$L$9)),0),0),0))+(IF(L144="Blaze Shield II",IF(M144="Idiem software",IF(AND(C144="IN",G144=3),((('BLAZE SHIELD II'!$H$14*('HOJA DE CÁLCULO RESPALDO'!I144^2)+'BLAZE SHIELD II'!$H$15*'HOJA DE CÁLCULO RESPALDO'!I144+'BLAZE SHIELD II'!$H$16)*LN(J144))+('BLAZE SHIELD II'!$H$17*('HOJA DE CÁLCULO RESPALDO'!I144^2)+'BLAZE SHIELD II'!$H$18*'HOJA DE CÁLCULO RESPALDO'!I144+'BLAZE SHIELD II'!$H$19)),0),0),0)),0)</f>
        <v>0</v>
      </c>
      <c r="O144" s="46">
        <f t="shared" si="18"/>
        <v>0</v>
      </c>
      <c r="P144" s="80">
        <f t="shared" si="15"/>
        <v>0</v>
      </c>
      <c r="Q144" s="85">
        <f>ROUND((IF(L144="Cafco 400",IF(M144="Idiem software",IF(AND(C144="IN",G144=4),((('CAFCO 400 '!$H$7*(J144^4)+'CAFCO 400 '!$H$8*(J144^3)+'CAFCO 400 '!$H$9*(J144^2)+'CAFCO 400 '!$H$10*J144+'CAFCO 400 '!$H$11)*I144^2)+(('CAFCO 400 '!$H$12*(J144^3)+'CAFCO 400 '!$H$13*(J144^2)+'CAFCO 400 '!$H$14*J144+'CAFCO 400 '!$H$15)*I144)+('CAFCO 400 '!$H$16*(J144^2)+'CAFCO 400 '!$H$17*J144+'CAFCO 400 '!$H$18)),0),0),0))+(IF(L144="Cafco 400",IF(M144="Idiem software",IF(C144="Cj",(((('CAFCO 400 '!$D$7*LN(J144)+'CAFCO 400 '!$D$8)*I144^2)+(('CAFCO 400 '!$D$9*LN(J144)+'CAFCO 400 '!$D$10)*I144)+('CAFCO 400 '!$D$11*LN(J144)+'CAFCO 400 '!$D$12))),0),0),0))+(IF(L144="Cafco 400",IF(M144="Idiem software",IF(C144="C",((('CAFCO 400 '!$L$7*(J144^3)+'CAFCO 400 '!$L$8*(J144^2)+'CAFCO 400 '!$L$9*J144+'CAFCO 400 '!$L$10)*I144^2)+(('CAFCO 400 '!$L$11*(J144^3)+'CAFCO 400 '!$L$12*(J144^2)+'CAFCO 400 '!$L$13*J144+'CAFCO 400 '!$L$14)*I144)+('CAFCO 400 '!$L$15*LN(J144)+'CAFCO 400 '!$L$16)),0),0),0))+(IF(L144="Cafco 400",IF(M144="Idiem software",IF(AND(C144="IN",G144=3),((('CAFCO 400 '!$D$23*(J144^2)+'CAFCO 400 '!$D$24*(J144)+'CAFCO 400 '!$D$25)*I144^2)+(('CAFCO 400 '!$D$26*(J144^2)+'CAFCO 400 '!$D$27*J144+'CAFCO 400 '!$D$28)*I144)+('CAFCO 400 '!$D$29*(J144^2)+'CAFCO 400 '!$D$30*J144+'CAFCO 400 '!$D$31)),0),0),0)),0)</f>
        <v>0</v>
      </c>
      <c r="R144" s="47">
        <f t="shared" si="19"/>
        <v>0</v>
      </c>
      <c r="S144" s="82">
        <f t="shared" si="16"/>
        <v>0</v>
      </c>
      <c r="T144" s="81">
        <f>+IF(AND(J144&gt;=95,J144&lt;=240),IF(AND(C144="Cj",I144=90),VLOOKUP(W144,'CAFCO 300 IDIEM TABLAS'!$B$4:$D$23,2,FALSE),0)+IF(AND(J144&gt;=95,J144&lt;=240),IF(AND(C144="Cj",I144=120),VLOOKUP(W144,'CAFCO 300 IDIEM TABLAS'!$B$4:$D$23,3,FALSE),0))+IF(AND(J144&gt;=95,J144&lt;=400,G144=3),IF(AND(C144="IN",I144=90),VLOOKUP(W144,'CAFCO 300 IDIEM TABLAS'!$F$4:$H$35,2,FALSE),0),0)+IF(AND(J144&gt;=95,J144&lt;=400,G144=3),IF(AND(C144="IN",I144=120),VLOOKUP(W144,'CAFCO 300 IDIEM TABLAS'!$F$4:$H$35,3,FALSE),0),0)+IF(AND(J144&gt;=95,J144&lt;=450,G144=4),IF(AND(C144="IN",I144=90),VLOOKUP(W144,'CAFCO 300 IDIEM TABLAS'!$J$4:$L$40,2,FALSE),0),0)+IF(AND(J144&gt;=95,J144&lt;=450,G144=4),IF(AND(C144="IN",I144=120),VLOOKUP(W144,'CAFCO 300 IDIEM TABLAS'!$J$4:$L$40,3,FALSE),0),0))</f>
        <v>17</v>
      </c>
      <c r="U144" s="48">
        <f t="shared" si="20"/>
        <v>6.94637676508344</v>
      </c>
      <c r="V144" s="82">
        <f t="shared" si="17"/>
        <v>104292.90075096277</v>
      </c>
      <c r="W144" s="64">
        <f>+IF(J144=LOOKUP(J144,'CAFCO 300 IDIEM TABLAS'!$J$4:$J$40),'HOJA DE CÁLCULO RESPALDO'!J144,MROUND('HOJA DE CÁLCULO RESPALDO'!J144,10))</f>
        <v>95</v>
      </c>
      <c r="X144" s="36"/>
      <c r="Y144" s="4"/>
    </row>
    <row r="145" spans="1:25" x14ac:dyDescent="0.25">
      <c r="A145" s="2" t="s">
        <v>42</v>
      </c>
      <c r="B145" s="3" t="s">
        <v>17</v>
      </c>
      <c r="C145" s="3" t="s">
        <v>19</v>
      </c>
      <c r="D145" s="3">
        <v>1</v>
      </c>
      <c r="E145" s="2">
        <v>1</v>
      </c>
      <c r="F145" s="8">
        <v>8500</v>
      </c>
      <c r="G145" s="1">
        <v>4</v>
      </c>
      <c r="H145" s="2">
        <v>1502</v>
      </c>
      <c r="I145" s="34">
        <v>90</v>
      </c>
      <c r="J145" s="11">
        <v>95</v>
      </c>
      <c r="K145" s="44">
        <f t="shared" si="14"/>
        <v>12.766999999999999</v>
      </c>
      <c r="L145" s="3" t="s">
        <v>61</v>
      </c>
      <c r="M145" s="3" t="s">
        <v>70</v>
      </c>
      <c r="N145" s="15">
        <f>ROUND((IF(L145="Blaze Shield II",IF(M145="Idiem software",IF(AND(C145="IN",G145=4),((('BLAZE SHIELD II'!$D$4*('HOJA DE CÁLCULO RESPALDO'!I145^2)+'BLAZE SHIELD II'!$D$5*'HOJA DE CÁLCULO RESPALDO'!I145+'BLAZE SHIELD II'!$D$6)*LN(J145))+('BLAZE SHIELD II'!$D$7*('HOJA DE CÁLCULO RESPALDO'!I145^2)+'BLAZE SHIELD II'!$D$8*'HOJA DE CÁLCULO RESPALDO'!I145+'BLAZE SHIELD II'!$D$9)),0),0),0))+(IF(L145="Blaze Shield II",IF(M145="Idiem software",IF(C145="Cj",((('BLAZE SHIELD II'!$H$4*('HOJA DE CÁLCULO RESPALDO'!I145^2)+'BLAZE SHIELD II'!$H$5*'HOJA DE CÁLCULO RESPALDO'!I145+'BLAZE SHIELD II'!$H$6)*LN(J145))+('BLAZE SHIELD II'!$H$7*('HOJA DE CÁLCULO RESPALDO'!I145^2)+'BLAZE SHIELD II'!$H$8*'HOJA DE CÁLCULO RESPALDO'!I145+'BLAZE SHIELD II'!$H$9)),0),0),0))+(IF(L145="Blaze Shield II",IF(M145="Idiem software",IF(C145="C",((('BLAZE SHIELD II'!$L$4*('HOJA DE CÁLCULO RESPALDO'!I145^2)+'BLAZE SHIELD II'!$L$5*'HOJA DE CÁLCULO RESPALDO'!I145+'BLAZE SHIELD II'!$L$6)*LN(J145))+('BLAZE SHIELD II'!$L$7*('HOJA DE CÁLCULO RESPALDO'!I145^2)+'BLAZE SHIELD II'!$L$8*'HOJA DE CÁLCULO RESPALDO'!I145+'BLAZE SHIELD II'!$L$9)),0),0),0))+(IF(L145="Blaze Shield II",IF(M145="Idiem software",IF(AND(C145="IN",G145=3),((('BLAZE SHIELD II'!$H$14*('HOJA DE CÁLCULO RESPALDO'!I145^2)+'BLAZE SHIELD II'!$H$15*'HOJA DE CÁLCULO RESPALDO'!I145+'BLAZE SHIELD II'!$H$16)*LN(J145))+('BLAZE SHIELD II'!$H$17*('HOJA DE CÁLCULO RESPALDO'!I145^2)+'BLAZE SHIELD II'!$H$18*'HOJA DE CÁLCULO RESPALDO'!I145+'BLAZE SHIELD II'!$H$19)),0),0),0)),0)</f>
        <v>0</v>
      </c>
      <c r="O145" s="46">
        <f t="shared" si="18"/>
        <v>0</v>
      </c>
      <c r="P145" s="80">
        <f t="shared" si="15"/>
        <v>0</v>
      </c>
      <c r="Q145" s="85">
        <f>ROUND((IF(L145="Cafco 400",IF(M145="Idiem software",IF(AND(C145="IN",G145=4),((('CAFCO 400 '!$H$7*(J145^4)+'CAFCO 400 '!$H$8*(J145^3)+'CAFCO 400 '!$H$9*(J145^2)+'CAFCO 400 '!$H$10*J145+'CAFCO 400 '!$H$11)*I145^2)+(('CAFCO 400 '!$H$12*(J145^3)+'CAFCO 400 '!$H$13*(J145^2)+'CAFCO 400 '!$H$14*J145+'CAFCO 400 '!$H$15)*I145)+('CAFCO 400 '!$H$16*(J145^2)+'CAFCO 400 '!$H$17*J145+'CAFCO 400 '!$H$18)),0),0),0))+(IF(L145="Cafco 400",IF(M145="Idiem software",IF(C145="Cj",(((('CAFCO 400 '!$D$7*LN(J145)+'CAFCO 400 '!$D$8)*I145^2)+(('CAFCO 400 '!$D$9*LN(J145)+'CAFCO 400 '!$D$10)*I145)+('CAFCO 400 '!$D$11*LN(J145)+'CAFCO 400 '!$D$12))),0),0),0))+(IF(L145="Cafco 400",IF(M145="Idiem software",IF(C145="C",((('CAFCO 400 '!$L$7*(J145^3)+'CAFCO 400 '!$L$8*(J145^2)+'CAFCO 400 '!$L$9*J145+'CAFCO 400 '!$L$10)*I145^2)+(('CAFCO 400 '!$L$11*(J145^3)+'CAFCO 400 '!$L$12*(J145^2)+'CAFCO 400 '!$L$13*J145+'CAFCO 400 '!$L$14)*I145)+('CAFCO 400 '!$L$15*LN(J145)+'CAFCO 400 '!$L$16)),0),0),0))+(IF(L145="Cafco 400",IF(M145="Idiem software",IF(AND(C145="IN",G145=3),((('CAFCO 400 '!$D$23*(J145^2)+'CAFCO 400 '!$D$24*(J145)+'CAFCO 400 '!$D$25)*I145^2)+(('CAFCO 400 '!$D$26*(J145^2)+'CAFCO 400 '!$D$27*J145+'CAFCO 400 '!$D$28)*I145)+('CAFCO 400 '!$D$29*(J145^2)+'CAFCO 400 '!$D$30*J145+'CAFCO 400 '!$D$31)),0),0),0)),0)</f>
        <v>0</v>
      </c>
      <c r="R145" s="47">
        <f t="shared" si="19"/>
        <v>0</v>
      </c>
      <c r="S145" s="82">
        <f t="shared" si="16"/>
        <v>0</v>
      </c>
      <c r="T145" s="81">
        <f>+IF(AND(J145&gt;=95,J145&lt;=240),IF(AND(C145="Cj",I145=90),VLOOKUP(W145,'CAFCO 300 IDIEM TABLAS'!$B$4:$D$23,2,FALSE),0)+IF(AND(J145&gt;=95,J145&lt;=240),IF(AND(C145="Cj",I145=120),VLOOKUP(W145,'CAFCO 300 IDIEM TABLAS'!$B$4:$D$23,3,FALSE),0))+IF(AND(J145&gt;=95,J145&lt;=400,G145=3),IF(AND(C145="IN",I145=90),VLOOKUP(W145,'CAFCO 300 IDIEM TABLAS'!$F$4:$H$35,2,FALSE),0),0)+IF(AND(J145&gt;=95,J145&lt;=400,G145=3),IF(AND(C145="IN",I145=120),VLOOKUP(W145,'CAFCO 300 IDIEM TABLAS'!$F$4:$H$35,3,FALSE),0),0)+IF(AND(J145&gt;=95,J145&lt;=450,G145=4),IF(AND(C145="IN",I145=90),VLOOKUP(W145,'CAFCO 300 IDIEM TABLAS'!$J$4:$L$40,2,FALSE),0),0)+IF(AND(J145&gt;=95,J145&lt;=450,G145=4),IF(AND(C145="IN",I145=120),VLOOKUP(W145,'CAFCO 300 IDIEM TABLAS'!$J$4:$L$40,3,FALSE),0),0))</f>
        <v>17</v>
      </c>
      <c r="U145" s="48">
        <f t="shared" si="20"/>
        <v>2.9950824775353015</v>
      </c>
      <c r="V145" s="82">
        <f t="shared" si="17"/>
        <v>44968.168317715019</v>
      </c>
      <c r="W145" s="64">
        <f>+IF(J145=LOOKUP(J145,'CAFCO 300 IDIEM TABLAS'!$J$4:$J$40),'HOJA DE CÁLCULO RESPALDO'!J145,MROUND('HOJA DE CÁLCULO RESPALDO'!J145,10))</f>
        <v>95</v>
      </c>
      <c r="X145" s="36"/>
      <c r="Y145" s="4"/>
    </row>
    <row r="146" spans="1:25" ht="15.6" customHeight="1" x14ac:dyDescent="0.25">
      <c r="A146" s="2" t="s">
        <v>41</v>
      </c>
      <c r="B146" s="3" t="s">
        <v>17</v>
      </c>
      <c r="C146" s="3" t="s">
        <v>19</v>
      </c>
      <c r="D146" s="3">
        <v>1</v>
      </c>
      <c r="E146" s="2">
        <v>1</v>
      </c>
      <c r="F146" s="8">
        <v>17500</v>
      </c>
      <c r="G146" s="1">
        <v>4</v>
      </c>
      <c r="H146" s="2">
        <v>1692</v>
      </c>
      <c r="I146" s="34">
        <v>90</v>
      </c>
      <c r="J146" s="11">
        <v>95</v>
      </c>
      <c r="K146" s="44">
        <f t="shared" si="14"/>
        <v>29.61</v>
      </c>
      <c r="L146" s="3" t="s">
        <v>61</v>
      </c>
      <c r="M146" s="3" t="s">
        <v>70</v>
      </c>
      <c r="N146" s="15">
        <f>ROUND((IF(L146="Blaze Shield II",IF(M146="Idiem software",IF(AND(C146="IN",G146=4),((('BLAZE SHIELD II'!$D$4*('HOJA DE CÁLCULO RESPALDO'!I146^2)+'BLAZE SHIELD II'!$D$5*'HOJA DE CÁLCULO RESPALDO'!I146+'BLAZE SHIELD II'!$D$6)*LN(J146))+('BLAZE SHIELD II'!$D$7*('HOJA DE CÁLCULO RESPALDO'!I146^2)+'BLAZE SHIELD II'!$D$8*'HOJA DE CÁLCULO RESPALDO'!I146+'BLAZE SHIELD II'!$D$9)),0),0),0))+(IF(L146="Blaze Shield II",IF(M146="Idiem software",IF(C146="Cj",((('BLAZE SHIELD II'!$H$4*('HOJA DE CÁLCULO RESPALDO'!I146^2)+'BLAZE SHIELD II'!$H$5*'HOJA DE CÁLCULO RESPALDO'!I146+'BLAZE SHIELD II'!$H$6)*LN(J146))+('BLAZE SHIELD II'!$H$7*('HOJA DE CÁLCULO RESPALDO'!I146^2)+'BLAZE SHIELD II'!$H$8*'HOJA DE CÁLCULO RESPALDO'!I146+'BLAZE SHIELD II'!$H$9)),0),0),0))+(IF(L146="Blaze Shield II",IF(M146="Idiem software",IF(C146="C",((('BLAZE SHIELD II'!$L$4*('HOJA DE CÁLCULO RESPALDO'!I146^2)+'BLAZE SHIELD II'!$L$5*'HOJA DE CÁLCULO RESPALDO'!I146+'BLAZE SHIELD II'!$L$6)*LN(J146))+('BLAZE SHIELD II'!$L$7*('HOJA DE CÁLCULO RESPALDO'!I146^2)+'BLAZE SHIELD II'!$L$8*'HOJA DE CÁLCULO RESPALDO'!I146+'BLAZE SHIELD II'!$L$9)),0),0),0))+(IF(L146="Blaze Shield II",IF(M146="Idiem software",IF(AND(C146="IN",G146=3),((('BLAZE SHIELD II'!$H$14*('HOJA DE CÁLCULO RESPALDO'!I146^2)+'BLAZE SHIELD II'!$H$15*'HOJA DE CÁLCULO RESPALDO'!I146+'BLAZE SHIELD II'!$H$16)*LN(J146))+('BLAZE SHIELD II'!$H$17*('HOJA DE CÁLCULO RESPALDO'!I146^2)+'BLAZE SHIELD II'!$H$18*'HOJA DE CÁLCULO RESPALDO'!I146+'BLAZE SHIELD II'!$H$19)),0),0),0)),0)</f>
        <v>0</v>
      </c>
      <c r="O146" s="46">
        <f t="shared" si="18"/>
        <v>0</v>
      </c>
      <c r="P146" s="80">
        <f t="shared" si="15"/>
        <v>0</v>
      </c>
      <c r="Q146" s="85">
        <f>ROUND((IF(L146="Cafco 400",IF(M146="Idiem software",IF(AND(C146="IN",G146=4),((('CAFCO 400 '!$H$7*(J146^4)+'CAFCO 400 '!$H$8*(J146^3)+'CAFCO 400 '!$H$9*(J146^2)+'CAFCO 400 '!$H$10*J146+'CAFCO 400 '!$H$11)*I146^2)+(('CAFCO 400 '!$H$12*(J146^3)+'CAFCO 400 '!$H$13*(J146^2)+'CAFCO 400 '!$H$14*J146+'CAFCO 400 '!$H$15)*I146)+('CAFCO 400 '!$H$16*(J146^2)+'CAFCO 400 '!$H$17*J146+'CAFCO 400 '!$H$18)),0),0),0))+(IF(L146="Cafco 400",IF(M146="Idiem software",IF(C146="Cj",(((('CAFCO 400 '!$D$7*LN(J146)+'CAFCO 400 '!$D$8)*I146^2)+(('CAFCO 400 '!$D$9*LN(J146)+'CAFCO 400 '!$D$10)*I146)+('CAFCO 400 '!$D$11*LN(J146)+'CAFCO 400 '!$D$12))),0),0),0))+(IF(L146="Cafco 400",IF(M146="Idiem software",IF(C146="C",((('CAFCO 400 '!$L$7*(J146^3)+'CAFCO 400 '!$L$8*(J146^2)+'CAFCO 400 '!$L$9*J146+'CAFCO 400 '!$L$10)*I146^2)+(('CAFCO 400 '!$L$11*(J146^3)+'CAFCO 400 '!$L$12*(J146^2)+'CAFCO 400 '!$L$13*J146+'CAFCO 400 '!$L$14)*I146)+('CAFCO 400 '!$L$15*LN(J146)+'CAFCO 400 '!$L$16)),0),0),0))+(IF(L146="Cafco 400",IF(M146="Idiem software",IF(AND(C146="IN",G146=3),((('CAFCO 400 '!$D$23*(J146^2)+'CAFCO 400 '!$D$24*(J146)+'CAFCO 400 '!$D$25)*I146^2)+(('CAFCO 400 '!$D$26*(J146^2)+'CAFCO 400 '!$D$27*J146+'CAFCO 400 '!$D$28)*I146)+('CAFCO 400 '!$D$29*(J146^2)+'CAFCO 400 '!$D$30*J146+'CAFCO 400 '!$D$31)),0),0),0)),0)</f>
        <v>0</v>
      </c>
      <c r="R146" s="47">
        <f t="shared" si="19"/>
        <v>0</v>
      </c>
      <c r="S146" s="82">
        <f t="shared" si="16"/>
        <v>0</v>
      </c>
      <c r="T146" s="81">
        <f>+IF(AND(J146&gt;=95,J146&lt;=240),IF(AND(C146="Cj",I146=90),VLOOKUP(W146,'CAFCO 300 IDIEM TABLAS'!$B$4:$D$23,2,FALSE),0)+IF(AND(J146&gt;=95,J146&lt;=240),IF(AND(C146="Cj",I146=120),VLOOKUP(W146,'CAFCO 300 IDIEM TABLAS'!$B$4:$D$23,3,FALSE),0))+IF(AND(J146&gt;=95,J146&lt;=400,G146=3),IF(AND(C146="IN",I146=90),VLOOKUP(W146,'CAFCO 300 IDIEM TABLAS'!$F$4:$H$35,2,FALSE),0),0)+IF(AND(J146&gt;=95,J146&lt;=400,G146=3),IF(AND(C146="IN",I146=120),VLOOKUP(W146,'CAFCO 300 IDIEM TABLAS'!$F$4:$H$35,3,FALSE),0),0)+IF(AND(J146&gt;=95,J146&lt;=450,G146=4),IF(AND(C146="IN",I146=90),VLOOKUP(W146,'CAFCO 300 IDIEM TABLAS'!$J$4:$L$40,2,FALSE),0),0)+IF(AND(J146&gt;=95,J146&lt;=450,G146=4),IF(AND(C146="IN",I146=120),VLOOKUP(W146,'CAFCO 300 IDIEM TABLAS'!$J$4:$L$40,3,FALSE),0),0))</f>
        <v>17</v>
      </c>
      <c r="U146" s="48">
        <f t="shared" si="20"/>
        <v>6.94637676508344</v>
      </c>
      <c r="V146" s="82">
        <f t="shared" si="17"/>
        <v>104292.90075096277</v>
      </c>
      <c r="W146" s="64">
        <f>+IF(J146=LOOKUP(J146,'CAFCO 300 IDIEM TABLAS'!$J$4:$J$40),'HOJA DE CÁLCULO RESPALDO'!J146,MROUND('HOJA DE CÁLCULO RESPALDO'!J146,10))</f>
        <v>95</v>
      </c>
      <c r="X146" s="36"/>
      <c r="Y146" s="4"/>
    </row>
    <row r="147" spans="1:25" x14ac:dyDescent="0.25">
      <c r="A147" s="2" t="s">
        <v>41</v>
      </c>
      <c r="B147" s="3" t="s">
        <v>17</v>
      </c>
      <c r="C147" s="3" t="s">
        <v>19</v>
      </c>
      <c r="D147" s="3">
        <v>1</v>
      </c>
      <c r="E147" s="2">
        <v>1</v>
      </c>
      <c r="F147" s="8">
        <v>8500</v>
      </c>
      <c r="G147" s="1">
        <v>4</v>
      </c>
      <c r="H147" s="2">
        <v>1692</v>
      </c>
      <c r="I147" s="34">
        <v>90</v>
      </c>
      <c r="J147" s="11">
        <v>95</v>
      </c>
      <c r="K147" s="44">
        <f t="shared" si="14"/>
        <v>14.382</v>
      </c>
      <c r="L147" s="3" t="s">
        <v>61</v>
      </c>
      <c r="M147" s="3" t="s">
        <v>70</v>
      </c>
      <c r="N147" s="15">
        <f>ROUND((IF(L147="Blaze Shield II",IF(M147="Idiem software",IF(AND(C147="IN",G147=4),((('BLAZE SHIELD II'!$D$4*('HOJA DE CÁLCULO RESPALDO'!I147^2)+'BLAZE SHIELD II'!$D$5*'HOJA DE CÁLCULO RESPALDO'!I147+'BLAZE SHIELD II'!$D$6)*LN(J147))+('BLAZE SHIELD II'!$D$7*('HOJA DE CÁLCULO RESPALDO'!I147^2)+'BLAZE SHIELD II'!$D$8*'HOJA DE CÁLCULO RESPALDO'!I147+'BLAZE SHIELD II'!$D$9)),0),0),0))+(IF(L147="Blaze Shield II",IF(M147="Idiem software",IF(C147="Cj",((('BLAZE SHIELD II'!$H$4*('HOJA DE CÁLCULO RESPALDO'!I147^2)+'BLAZE SHIELD II'!$H$5*'HOJA DE CÁLCULO RESPALDO'!I147+'BLAZE SHIELD II'!$H$6)*LN(J147))+('BLAZE SHIELD II'!$H$7*('HOJA DE CÁLCULO RESPALDO'!I147^2)+'BLAZE SHIELD II'!$H$8*'HOJA DE CÁLCULO RESPALDO'!I147+'BLAZE SHIELD II'!$H$9)),0),0),0))+(IF(L147="Blaze Shield II",IF(M147="Idiem software",IF(C147="C",((('BLAZE SHIELD II'!$L$4*('HOJA DE CÁLCULO RESPALDO'!I147^2)+'BLAZE SHIELD II'!$L$5*'HOJA DE CÁLCULO RESPALDO'!I147+'BLAZE SHIELD II'!$L$6)*LN(J147))+('BLAZE SHIELD II'!$L$7*('HOJA DE CÁLCULO RESPALDO'!I147^2)+'BLAZE SHIELD II'!$L$8*'HOJA DE CÁLCULO RESPALDO'!I147+'BLAZE SHIELD II'!$L$9)),0),0),0))+(IF(L147="Blaze Shield II",IF(M147="Idiem software",IF(AND(C147="IN",G147=3),((('BLAZE SHIELD II'!$H$14*('HOJA DE CÁLCULO RESPALDO'!I147^2)+'BLAZE SHIELD II'!$H$15*'HOJA DE CÁLCULO RESPALDO'!I147+'BLAZE SHIELD II'!$H$16)*LN(J147))+('BLAZE SHIELD II'!$H$17*('HOJA DE CÁLCULO RESPALDO'!I147^2)+'BLAZE SHIELD II'!$H$18*'HOJA DE CÁLCULO RESPALDO'!I147+'BLAZE SHIELD II'!$H$19)),0),0),0)),0)</f>
        <v>0</v>
      </c>
      <c r="O147" s="46">
        <f t="shared" si="18"/>
        <v>0</v>
      </c>
      <c r="P147" s="80">
        <f t="shared" si="15"/>
        <v>0</v>
      </c>
      <c r="Q147" s="85">
        <f>ROUND((IF(L147="Cafco 400",IF(M147="Idiem software",IF(AND(C147="IN",G147=4),((('CAFCO 400 '!$H$7*(J147^4)+'CAFCO 400 '!$H$8*(J147^3)+'CAFCO 400 '!$H$9*(J147^2)+'CAFCO 400 '!$H$10*J147+'CAFCO 400 '!$H$11)*I147^2)+(('CAFCO 400 '!$H$12*(J147^3)+'CAFCO 400 '!$H$13*(J147^2)+'CAFCO 400 '!$H$14*J147+'CAFCO 400 '!$H$15)*I147)+('CAFCO 400 '!$H$16*(J147^2)+'CAFCO 400 '!$H$17*J147+'CAFCO 400 '!$H$18)),0),0),0))+(IF(L147="Cafco 400",IF(M147="Idiem software",IF(C147="Cj",(((('CAFCO 400 '!$D$7*LN(J147)+'CAFCO 400 '!$D$8)*I147^2)+(('CAFCO 400 '!$D$9*LN(J147)+'CAFCO 400 '!$D$10)*I147)+('CAFCO 400 '!$D$11*LN(J147)+'CAFCO 400 '!$D$12))),0),0),0))+(IF(L147="Cafco 400",IF(M147="Idiem software",IF(C147="C",((('CAFCO 400 '!$L$7*(J147^3)+'CAFCO 400 '!$L$8*(J147^2)+'CAFCO 400 '!$L$9*J147+'CAFCO 400 '!$L$10)*I147^2)+(('CAFCO 400 '!$L$11*(J147^3)+'CAFCO 400 '!$L$12*(J147^2)+'CAFCO 400 '!$L$13*J147+'CAFCO 400 '!$L$14)*I147)+('CAFCO 400 '!$L$15*LN(J147)+'CAFCO 400 '!$L$16)),0),0),0))+(IF(L147="Cafco 400",IF(M147="Idiem software",IF(AND(C147="IN",G147=3),((('CAFCO 400 '!$D$23*(J147^2)+'CAFCO 400 '!$D$24*(J147)+'CAFCO 400 '!$D$25)*I147^2)+(('CAFCO 400 '!$D$26*(J147^2)+'CAFCO 400 '!$D$27*J147+'CAFCO 400 '!$D$28)*I147)+('CAFCO 400 '!$D$29*(J147^2)+'CAFCO 400 '!$D$30*J147+'CAFCO 400 '!$D$31)),0),0),0)),0)</f>
        <v>0</v>
      </c>
      <c r="R147" s="47">
        <f t="shared" si="19"/>
        <v>0</v>
      </c>
      <c r="S147" s="82">
        <f t="shared" si="16"/>
        <v>0</v>
      </c>
      <c r="T147" s="81">
        <f>+IF(AND(J147&gt;=95,J147&lt;=240),IF(AND(C147="Cj",I147=90),VLOOKUP(W147,'CAFCO 300 IDIEM TABLAS'!$B$4:$D$23,2,FALSE),0)+IF(AND(J147&gt;=95,J147&lt;=240),IF(AND(C147="Cj",I147=120),VLOOKUP(W147,'CAFCO 300 IDIEM TABLAS'!$B$4:$D$23,3,FALSE),0))+IF(AND(J147&gt;=95,J147&lt;=400,G147=3),IF(AND(C147="IN",I147=90),VLOOKUP(W147,'CAFCO 300 IDIEM TABLAS'!$F$4:$H$35,2,FALSE),0),0)+IF(AND(J147&gt;=95,J147&lt;=400,G147=3),IF(AND(C147="IN",I147=120),VLOOKUP(W147,'CAFCO 300 IDIEM TABLAS'!$F$4:$H$35,3,FALSE),0),0)+IF(AND(J147&gt;=95,J147&lt;=450,G147=4),IF(AND(C147="IN",I147=90),VLOOKUP(W147,'CAFCO 300 IDIEM TABLAS'!$J$4:$L$40,2,FALSE),0),0)+IF(AND(J147&gt;=95,J147&lt;=450,G147=4),IF(AND(C147="IN",I147=120),VLOOKUP(W147,'CAFCO 300 IDIEM TABLAS'!$J$4:$L$40,3,FALSE),0),0))</f>
        <v>17</v>
      </c>
      <c r="U147" s="48">
        <f t="shared" si="20"/>
        <v>3.3739544287548138</v>
      </c>
      <c r="V147" s="82">
        <f t="shared" si="17"/>
        <v>50656.551793324776</v>
      </c>
      <c r="W147" s="64">
        <f>+IF(J147=LOOKUP(J147,'CAFCO 300 IDIEM TABLAS'!$J$4:$J$40),'HOJA DE CÁLCULO RESPALDO'!J147,MROUND('HOJA DE CÁLCULO RESPALDO'!J147,10))</f>
        <v>95</v>
      </c>
      <c r="X147" s="36"/>
      <c r="Y147" s="4"/>
    </row>
    <row r="148" spans="1:25" ht="15.6" customHeight="1" x14ac:dyDescent="0.25">
      <c r="A148" s="2" t="s">
        <v>43</v>
      </c>
      <c r="B148" s="3" t="s">
        <v>17</v>
      </c>
      <c r="C148" s="3" t="s">
        <v>19</v>
      </c>
      <c r="D148" s="3">
        <v>1</v>
      </c>
      <c r="E148" s="2">
        <v>1</v>
      </c>
      <c r="F148" s="8">
        <v>8500</v>
      </c>
      <c r="G148" s="1">
        <v>4</v>
      </c>
      <c r="H148" s="2">
        <v>1502</v>
      </c>
      <c r="I148" s="34">
        <v>90</v>
      </c>
      <c r="J148" s="11">
        <v>95</v>
      </c>
      <c r="K148" s="44">
        <f t="shared" si="14"/>
        <v>12.766999999999999</v>
      </c>
      <c r="L148" s="3" t="s">
        <v>61</v>
      </c>
      <c r="M148" s="3" t="s">
        <v>70</v>
      </c>
      <c r="N148" s="15">
        <f>ROUND((IF(L148="Blaze Shield II",IF(M148="Idiem software",IF(AND(C148="IN",G148=4),((('BLAZE SHIELD II'!$D$4*('HOJA DE CÁLCULO RESPALDO'!I148^2)+'BLAZE SHIELD II'!$D$5*'HOJA DE CÁLCULO RESPALDO'!I148+'BLAZE SHIELD II'!$D$6)*LN(J148))+('BLAZE SHIELD II'!$D$7*('HOJA DE CÁLCULO RESPALDO'!I148^2)+'BLAZE SHIELD II'!$D$8*'HOJA DE CÁLCULO RESPALDO'!I148+'BLAZE SHIELD II'!$D$9)),0),0),0))+(IF(L148="Blaze Shield II",IF(M148="Idiem software",IF(C148="Cj",((('BLAZE SHIELD II'!$H$4*('HOJA DE CÁLCULO RESPALDO'!I148^2)+'BLAZE SHIELD II'!$H$5*'HOJA DE CÁLCULO RESPALDO'!I148+'BLAZE SHIELD II'!$H$6)*LN(J148))+('BLAZE SHIELD II'!$H$7*('HOJA DE CÁLCULO RESPALDO'!I148^2)+'BLAZE SHIELD II'!$H$8*'HOJA DE CÁLCULO RESPALDO'!I148+'BLAZE SHIELD II'!$H$9)),0),0),0))+(IF(L148="Blaze Shield II",IF(M148="Idiem software",IF(C148="C",((('BLAZE SHIELD II'!$L$4*('HOJA DE CÁLCULO RESPALDO'!I148^2)+'BLAZE SHIELD II'!$L$5*'HOJA DE CÁLCULO RESPALDO'!I148+'BLAZE SHIELD II'!$L$6)*LN(J148))+('BLAZE SHIELD II'!$L$7*('HOJA DE CÁLCULO RESPALDO'!I148^2)+'BLAZE SHIELD II'!$L$8*'HOJA DE CÁLCULO RESPALDO'!I148+'BLAZE SHIELD II'!$L$9)),0),0),0))+(IF(L148="Blaze Shield II",IF(M148="Idiem software",IF(AND(C148="IN",G148=3),((('BLAZE SHIELD II'!$H$14*('HOJA DE CÁLCULO RESPALDO'!I148^2)+'BLAZE SHIELD II'!$H$15*'HOJA DE CÁLCULO RESPALDO'!I148+'BLAZE SHIELD II'!$H$16)*LN(J148))+('BLAZE SHIELD II'!$H$17*('HOJA DE CÁLCULO RESPALDO'!I148^2)+'BLAZE SHIELD II'!$H$18*'HOJA DE CÁLCULO RESPALDO'!I148+'BLAZE SHIELD II'!$H$19)),0),0),0)),0)</f>
        <v>0</v>
      </c>
      <c r="O148" s="46">
        <f t="shared" si="18"/>
        <v>0</v>
      </c>
      <c r="P148" s="80">
        <f t="shared" si="15"/>
        <v>0</v>
      </c>
      <c r="Q148" s="85">
        <f>ROUND((IF(L148="Cafco 400",IF(M148="Idiem software",IF(AND(C148="IN",G148=4),((('CAFCO 400 '!$H$7*(J148^4)+'CAFCO 400 '!$H$8*(J148^3)+'CAFCO 400 '!$H$9*(J148^2)+'CAFCO 400 '!$H$10*J148+'CAFCO 400 '!$H$11)*I148^2)+(('CAFCO 400 '!$H$12*(J148^3)+'CAFCO 400 '!$H$13*(J148^2)+'CAFCO 400 '!$H$14*J148+'CAFCO 400 '!$H$15)*I148)+('CAFCO 400 '!$H$16*(J148^2)+'CAFCO 400 '!$H$17*J148+'CAFCO 400 '!$H$18)),0),0),0))+(IF(L148="Cafco 400",IF(M148="Idiem software",IF(C148="Cj",(((('CAFCO 400 '!$D$7*LN(J148)+'CAFCO 400 '!$D$8)*I148^2)+(('CAFCO 400 '!$D$9*LN(J148)+'CAFCO 400 '!$D$10)*I148)+('CAFCO 400 '!$D$11*LN(J148)+'CAFCO 400 '!$D$12))),0),0),0))+(IF(L148="Cafco 400",IF(M148="Idiem software",IF(C148="C",((('CAFCO 400 '!$L$7*(J148^3)+'CAFCO 400 '!$L$8*(J148^2)+'CAFCO 400 '!$L$9*J148+'CAFCO 400 '!$L$10)*I148^2)+(('CAFCO 400 '!$L$11*(J148^3)+'CAFCO 400 '!$L$12*(J148^2)+'CAFCO 400 '!$L$13*J148+'CAFCO 400 '!$L$14)*I148)+('CAFCO 400 '!$L$15*LN(J148)+'CAFCO 400 '!$L$16)),0),0),0))+(IF(L148="Cafco 400",IF(M148="Idiem software",IF(AND(C148="IN",G148=3),((('CAFCO 400 '!$D$23*(J148^2)+'CAFCO 400 '!$D$24*(J148)+'CAFCO 400 '!$D$25)*I148^2)+(('CAFCO 400 '!$D$26*(J148^2)+'CAFCO 400 '!$D$27*J148+'CAFCO 400 '!$D$28)*I148)+('CAFCO 400 '!$D$29*(J148^2)+'CAFCO 400 '!$D$30*J148+'CAFCO 400 '!$D$31)),0),0),0)),0)</f>
        <v>0</v>
      </c>
      <c r="R148" s="47">
        <f t="shared" si="19"/>
        <v>0</v>
      </c>
      <c r="S148" s="82">
        <f t="shared" si="16"/>
        <v>0</v>
      </c>
      <c r="T148" s="81">
        <f>+IF(AND(J148&gt;=95,J148&lt;=240),IF(AND(C148="Cj",I148=90),VLOOKUP(W148,'CAFCO 300 IDIEM TABLAS'!$B$4:$D$23,2,FALSE),0)+IF(AND(J148&gt;=95,J148&lt;=240),IF(AND(C148="Cj",I148=120),VLOOKUP(W148,'CAFCO 300 IDIEM TABLAS'!$B$4:$D$23,3,FALSE),0))+IF(AND(J148&gt;=95,J148&lt;=400,G148=3),IF(AND(C148="IN",I148=90),VLOOKUP(W148,'CAFCO 300 IDIEM TABLAS'!$F$4:$H$35,2,FALSE),0),0)+IF(AND(J148&gt;=95,J148&lt;=400,G148=3),IF(AND(C148="IN",I148=120),VLOOKUP(W148,'CAFCO 300 IDIEM TABLAS'!$F$4:$H$35,3,FALSE),0),0)+IF(AND(J148&gt;=95,J148&lt;=450,G148=4),IF(AND(C148="IN",I148=90),VLOOKUP(W148,'CAFCO 300 IDIEM TABLAS'!$J$4:$L$40,2,FALSE),0),0)+IF(AND(J148&gt;=95,J148&lt;=450,G148=4),IF(AND(C148="IN",I148=120),VLOOKUP(W148,'CAFCO 300 IDIEM TABLAS'!$J$4:$L$40,3,FALSE),0),0))</f>
        <v>17</v>
      </c>
      <c r="U148" s="48">
        <f t="shared" si="20"/>
        <v>2.9950824775353015</v>
      </c>
      <c r="V148" s="82">
        <f t="shared" si="17"/>
        <v>44968.168317715019</v>
      </c>
      <c r="W148" s="64">
        <f>+IF(J148=LOOKUP(J148,'CAFCO 300 IDIEM TABLAS'!$J$4:$J$40),'HOJA DE CÁLCULO RESPALDO'!J148,MROUND('HOJA DE CÁLCULO RESPALDO'!J148,10))</f>
        <v>95</v>
      </c>
      <c r="X148" s="36"/>
      <c r="Y148" s="4"/>
    </row>
    <row r="149" spans="1:25" x14ac:dyDescent="0.25">
      <c r="A149" s="2" t="s">
        <v>44</v>
      </c>
      <c r="B149" s="3" t="s">
        <v>17</v>
      </c>
      <c r="C149" s="3" t="s">
        <v>19</v>
      </c>
      <c r="D149" s="3">
        <v>1</v>
      </c>
      <c r="E149" s="2">
        <v>1</v>
      </c>
      <c r="F149" s="8">
        <v>11097</v>
      </c>
      <c r="G149" s="1">
        <v>4</v>
      </c>
      <c r="H149" s="2">
        <v>585</v>
      </c>
      <c r="I149" s="34">
        <v>90</v>
      </c>
      <c r="J149" s="11">
        <v>95</v>
      </c>
      <c r="K149" s="44">
        <f t="shared" si="14"/>
        <v>6.4917449999999999</v>
      </c>
      <c r="L149" s="3" t="s">
        <v>61</v>
      </c>
      <c r="M149" s="3" t="s">
        <v>70</v>
      </c>
      <c r="N149" s="15">
        <f>ROUND((IF(L149="Blaze Shield II",IF(M149="Idiem software",IF(AND(C149="IN",G149=4),((('BLAZE SHIELD II'!$D$4*('HOJA DE CÁLCULO RESPALDO'!I149^2)+'BLAZE SHIELD II'!$D$5*'HOJA DE CÁLCULO RESPALDO'!I149+'BLAZE SHIELD II'!$D$6)*LN(J149))+('BLAZE SHIELD II'!$D$7*('HOJA DE CÁLCULO RESPALDO'!I149^2)+'BLAZE SHIELD II'!$D$8*'HOJA DE CÁLCULO RESPALDO'!I149+'BLAZE SHIELD II'!$D$9)),0),0),0))+(IF(L149="Blaze Shield II",IF(M149="Idiem software",IF(C149="Cj",((('BLAZE SHIELD II'!$H$4*('HOJA DE CÁLCULO RESPALDO'!I149^2)+'BLAZE SHIELD II'!$H$5*'HOJA DE CÁLCULO RESPALDO'!I149+'BLAZE SHIELD II'!$H$6)*LN(J149))+('BLAZE SHIELD II'!$H$7*('HOJA DE CÁLCULO RESPALDO'!I149^2)+'BLAZE SHIELD II'!$H$8*'HOJA DE CÁLCULO RESPALDO'!I149+'BLAZE SHIELD II'!$H$9)),0),0),0))+(IF(L149="Blaze Shield II",IF(M149="Idiem software",IF(C149="C",((('BLAZE SHIELD II'!$L$4*('HOJA DE CÁLCULO RESPALDO'!I149^2)+'BLAZE SHIELD II'!$L$5*'HOJA DE CÁLCULO RESPALDO'!I149+'BLAZE SHIELD II'!$L$6)*LN(J149))+('BLAZE SHIELD II'!$L$7*('HOJA DE CÁLCULO RESPALDO'!I149^2)+'BLAZE SHIELD II'!$L$8*'HOJA DE CÁLCULO RESPALDO'!I149+'BLAZE SHIELD II'!$L$9)),0),0),0))+(IF(L149="Blaze Shield II",IF(M149="Idiem software",IF(AND(C149="IN",G149=3),((('BLAZE SHIELD II'!$H$14*('HOJA DE CÁLCULO RESPALDO'!I149^2)+'BLAZE SHIELD II'!$H$15*'HOJA DE CÁLCULO RESPALDO'!I149+'BLAZE SHIELD II'!$H$16)*LN(J149))+('BLAZE SHIELD II'!$H$17*('HOJA DE CÁLCULO RESPALDO'!I149^2)+'BLAZE SHIELD II'!$H$18*'HOJA DE CÁLCULO RESPALDO'!I149+'BLAZE SHIELD II'!$H$19)),0),0),0)),0)</f>
        <v>0</v>
      </c>
      <c r="O149" s="46">
        <f t="shared" si="18"/>
        <v>0</v>
      </c>
      <c r="P149" s="80">
        <f t="shared" si="15"/>
        <v>0</v>
      </c>
      <c r="Q149" s="85">
        <f>ROUND((IF(L149="Cafco 400",IF(M149="Idiem software",IF(AND(C149="IN",G149=4),((('CAFCO 400 '!$H$7*(J149^4)+'CAFCO 400 '!$H$8*(J149^3)+'CAFCO 400 '!$H$9*(J149^2)+'CAFCO 400 '!$H$10*J149+'CAFCO 400 '!$H$11)*I149^2)+(('CAFCO 400 '!$H$12*(J149^3)+'CAFCO 400 '!$H$13*(J149^2)+'CAFCO 400 '!$H$14*J149+'CAFCO 400 '!$H$15)*I149)+('CAFCO 400 '!$H$16*(J149^2)+'CAFCO 400 '!$H$17*J149+'CAFCO 400 '!$H$18)),0),0),0))+(IF(L149="Cafco 400",IF(M149="Idiem software",IF(C149="Cj",(((('CAFCO 400 '!$D$7*LN(J149)+'CAFCO 400 '!$D$8)*I149^2)+(('CAFCO 400 '!$D$9*LN(J149)+'CAFCO 400 '!$D$10)*I149)+('CAFCO 400 '!$D$11*LN(J149)+'CAFCO 400 '!$D$12))),0),0),0))+(IF(L149="Cafco 400",IF(M149="Idiem software",IF(C149="C",((('CAFCO 400 '!$L$7*(J149^3)+'CAFCO 400 '!$L$8*(J149^2)+'CAFCO 400 '!$L$9*J149+'CAFCO 400 '!$L$10)*I149^2)+(('CAFCO 400 '!$L$11*(J149^3)+'CAFCO 400 '!$L$12*(J149^2)+'CAFCO 400 '!$L$13*J149+'CAFCO 400 '!$L$14)*I149)+('CAFCO 400 '!$L$15*LN(J149)+'CAFCO 400 '!$L$16)),0),0),0))+(IF(L149="Cafco 400",IF(M149="Idiem software",IF(AND(C149="IN",G149=3),((('CAFCO 400 '!$D$23*(J149^2)+'CAFCO 400 '!$D$24*(J149)+'CAFCO 400 '!$D$25)*I149^2)+(('CAFCO 400 '!$D$26*(J149^2)+'CAFCO 400 '!$D$27*J149+'CAFCO 400 '!$D$28)*I149)+('CAFCO 400 '!$D$29*(J149^2)+'CAFCO 400 '!$D$30*J149+'CAFCO 400 '!$D$31)),0),0),0)),0)</f>
        <v>0</v>
      </c>
      <c r="R149" s="47">
        <f t="shared" si="19"/>
        <v>0</v>
      </c>
      <c r="S149" s="82">
        <f t="shared" si="16"/>
        <v>0</v>
      </c>
      <c r="T149" s="81">
        <f>+IF(AND(J149&gt;=95,J149&lt;=240),IF(AND(C149="Cj",I149=90),VLOOKUP(W149,'CAFCO 300 IDIEM TABLAS'!$B$4:$D$23,2,FALSE),0)+IF(AND(J149&gt;=95,J149&lt;=240),IF(AND(C149="Cj",I149=120),VLOOKUP(W149,'CAFCO 300 IDIEM TABLAS'!$B$4:$D$23,3,FALSE),0))+IF(AND(J149&gt;=95,J149&lt;=400,G149=3),IF(AND(C149="IN",I149=90),VLOOKUP(W149,'CAFCO 300 IDIEM TABLAS'!$F$4:$H$35,2,FALSE),0),0)+IF(AND(J149&gt;=95,J149&lt;=400,G149=3),IF(AND(C149="IN",I149=120),VLOOKUP(W149,'CAFCO 300 IDIEM TABLAS'!$F$4:$H$35,3,FALSE),0),0)+IF(AND(J149&gt;=95,J149&lt;=450,G149=4),IF(AND(C149="IN",I149=90),VLOOKUP(W149,'CAFCO 300 IDIEM TABLAS'!$J$4:$L$40,2,FALSE),0),0)+IF(AND(J149&gt;=95,J149&lt;=450,G149=4),IF(AND(C149="IN",I149=120),VLOOKUP(W149,'CAFCO 300 IDIEM TABLAS'!$J$4:$L$40,3,FALSE),0),0))</f>
        <v>17</v>
      </c>
      <c r="U149" s="48">
        <f t="shared" si="20"/>
        <v>1.5229350433247753</v>
      </c>
      <c r="V149" s="82">
        <f t="shared" si="17"/>
        <v>22865.346740478177</v>
      </c>
      <c r="W149" s="64">
        <f>+IF(J149=LOOKUP(J149,'CAFCO 300 IDIEM TABLAS'!$J$4:$J$40),'HOJA DE CÁLCULO RESPALDO'!J149,MROUND('HOJA DE CÁLCULO RESPALDO'!J149,10))</f>
        <v>95</v>
      </c>
      <c r="X149" s="36"/>
      <c r="Y149" s="4"/>
    </row>
    <row r="150" spans="1:25" ht="15.6" customHeight="1" x14ac:dyDescent="0.25">
      <c r="A150" s="2" t="s">
        <v>44</v>
      </c>
      <c r="B150" s="3" t="s">
        <v>17</v>
      </c>
      <c r="C150" s="3" t="s">
        <v>19</v>
      </c>
      <c r="D150" s="3">
        <v>1</v>
      </c>
      <c r="E150" s="2">
        <v>1</v>
      </c>
      <c r="F150" s="8">
        <v>1500</v>
      </c>
      <c r="G150" s="1">
        <v>4</v>
      </c>
      <c r="H150" s="2">
        <v>776</v>
      </c>
      <c r="I150" s="34">
        <v>90</v>
      </c>
      <c r="J150" s="11">
        <v>95</v>
      </c>
      <c r="K150" s="44">
        <f t="shared" si="14"/>
        <v>1.1639999999999999</v>
      </c>
      <c r="L150" s="3" t="s">
        <v>61</v>
      </c>
      <c r="M150" s="3" t="s">
        <v>70</v>
      </c>
      <c r="N150" s="15">
        <f>ROUND((IF(L150="Blaze Shield II",IF(M150="Idiem software",IF(AND(C150="IN",G150=4),((('BLAZE SHIELD II'!$D$4*('HOJA DE CÁLCULO RESPALDO'!I150^2)+'BLAZE SHIELD II'!$D$5*'HOJA DE CÁLCULO RESPALDO'!I150+'BLAZE SHIELD II'!$D$6)*LN(J150))+('BLAZE SHIELD II'!$D$7*('HOJA DE CÁLCULO RESPALDO'!I150^2)+'BLAZE SHIELD II'!$D$8*'HOJA DE CÁLCULO RESPALDO'!I150+'BLAZE SHIELD II'!$D$9)),0),0),0))+(IF(L150="Blaze Shield II",IF(M150="Idiem software",IF(C150="Cj",((('BLAZE SHIELD II'!$H$4*('HOJA DE CÁLCULO RESPALDO'!I150^2)+'BLAZE SHIELD II'!$H$5*'HOJA DE CÁLCULO RESPALDO'!I150+'BLAZE SHIELD II'!$H$6)*LN(J150))+('BLAZE SHIELD II'!$H$7*('HOJA DE CÁLCULO RESPALDO'!I150^2)+'BLAZE SHIELD II'!$H$8*'HOJA DE CÁLCULO RESPALDO'!I150+'BLAZE SHIELD II'!$H$9)),0),0),0))+(IF(L150="Blaze Shield II",IF(M150="Idiem software",IF(C150="C",((('BLAZE SHIELD II'!$L$4*('HOJA DE CÁLCULO RESPALDO'!I150^2)+'BLAZE SHIELD II'!$L$5*'HOJA DE CÁLCULO RESPALDO'!I150+'BLAZE SHIELD II'!$L$6)*LN(J150))+('BLAZE SHIELD II'!$L$7*('HOJA DE CÁLCULO RESPALDO'!I150^2)+'BLAZE SHIELD II'!$L$8*'HOJA DE CÁLCULO RESPALDO'!I150+'BLAZE SHIELD II'!$L$9)),0),0),0))+(IF(L150="Blaze Shield II",IF(M150="Idiem software",IF(AND(C150="IN",G150=3),((('BLAZE SHIELD II'!$H$14*('HOJA DE CÁLCULO RESPALDO'!I150^2)+'BLAZE SHIELD II'!$H$15*'HOJA DE CÁLCULO RESPALDO'!I150+'BLAZE SHIELD II'!$H$16)*LN(J150))+('BLAZE SHIELD II'!$H$17*('HOJA DE CÁLCULO RESPALDO'!I150^2)+'BLAZE SHIELD II'!$H$18*'HOJA DE CÁLCULO RESPALDO'!I150+'BLAZE SHIELD II'!$H$19)),0),0),0)),0)</f>
        <v>0</v>
      </c>
      <c r="O150" s="46">
        <f t="shared" si="18"/>
        <v>0</v>
      </c>
      <c r="P150" s="80">
        <f t="shared" si="15"/>
        <v>0</v>
      </c>
      <c r="Q150" s="85">
        <f>ROUND((IF(L150="Cafco 400",IF(M150="Idiem software",IF(AND(C150="IN",G150=4),((('CAFCO 400 '!$H$7*(J150^4)+'CAFCO 400 '!$H$8*(J150^3)+'CAFCO 400 '!$H$9*(J150^2)+'CAFCO 400 '!$H$10*J150+'CAFCO 400 '!$H$11)*I150^2)+(('CAFCO 400 '!$H$12*(J150^3)+'CAFCO 400 '!$H$13*(J150^2)+'CAFCO 400 '!$H$14*J150+'CAFCO 400 '!$H$15)*I150)+('CAFCO 400 '!$H$16*(J150^2)+'CAFCO 400 '!$H$17*J150+'CAFCO 400 '!$H$18)),0),0),0))+(IF(L150="Cafco 400",IF(M150="Idiem software",IF(C150="Cj",(((('CAFCO 400 '!$D$7*LN(J150)+'CAFCO 400 '!$D$8)*I150^2)+(('CAFCO 400 '!$D$9*LN(J150)+'CAFCO 400 '!$D$10)*I150)+('CAFCO 400 '!$D$11*LN(J150)+'CAFCO 400 '!$D$12))),0),0),0))+(IF(L150="Cafco 400",IF(M150="Idiem software",IF(C150="C",((('CAFCO 400 '!$L$7*(J150^3)+'CAFCO 400 '!$L$8*(J150^2)+'CAFCO 400 '!$L$9*J150+'CAFCO 400 '!$L$10)*I150^2)+(('CAFCO 400 '!$L$11*(J150^3)+'CAFCO 400 '!$L$12*(J150^2)+'CAFCO 400 '!$L$13*J150+'CAFCO 400 '!$L$14)*I150)+('CAFCO 400 '!$L$15*LN(J150)+'CAFCO 400 '!$L$16)),0),0),0))+(IF(L150="Cafco 400",IF(M150="Idiem software",IF(AND(C150="IN",G150=3),((('CAFCO 400 '!$D$23*(J150^2)+'CAFCO 400 '!$D$24*(J150)+'CAFCO 400 '!$D$25)*I150^2)+(('CAFCO 400 '!$D$26*(J150^2)+'CAFCO 400 '!$D$27*J150+'CAFCO 400 '!$D$28)*I150)+('CAFCO 400 '!$D$29*(J150^2)+'CAFCO 400 '!$D$30*J150+'CAFCO 400 '!$D$31)),0),0),0)),0)</f>
        <v>0</v>
      </c>
      <c r="R150" s="47">
        <f t="shared" si="19"/>
        <v>0</v>
      </c>
      <c r="S150" s="82">
        <f t="shared" si="16"/>
        <v>0</v>
      </c>
      <c r="T150" s="81">
        <f>+IF(AND(J150&gt;=95,J150&lt;=240),IF(AND(C150="Cj",I150=90),VLOOKUP(W150,'CAFCO 300 IDIEM TABLAS'!$B$4:$D$23,2,FALSE),0)+IF(AND(J150&gt;=95,J150&lt;=240),IF(AND(C150="Cj",I150=120),VLOOKUP(W150,'CAFCO 300 IDIEM TABLAS'!$B$4:$D$23,3,FALSE),0))+IF(AND(J150&gt;=95,J150&lt;=400,G150=3),IF(AND(C150="IN",I150=90),VLOOKUP(W150,'CAFCO 300 IDIEM TABLAS'!$F$4:$H$35,2,FALSE),0),0)+IF(AND(J150&gt;=95,J150&lt;=400,G150=3),IF(AND(C150="IN",I150=120),VLOOKUP(W150,'CAFCO 300 IDIEM TABLAS'!$F$4:$H$35,3,FALSE),0),0)+IF(AND(J150&gt;=95,J150&lt;=450,G150=4),IF(AND(C150="IN",I150=90),VLOOKUP(W150,'CAFCO 300 IDIEM TABLAS'!$J$4:$L$40,2,FALSE),0),0)+IF(AND(J150&gt;=95,J150&lt;=450,G150=4),IF(AND(C150="IN",I150=120),VLOOKUP(W150,'CAFCO 300 IDIEM TABLAS'!$J$4:$L$40,3,FALSE),0),0))</f>
        <v>17</v>
      </c>
      <c r="U150" s="48">
        <f t="shared" si="20"/>
        <v>0.2730693196405648</v>
      </c>
      <c r="V150" s="82">
        <f t="shared" si="17"/>
        <v>4099.8627650834396</v>
      </c>
      <c r="W150" s="64">
        <f>+IF(J150=LOOKUP(J150,'CAFCO 300 IDIEM TABLAS'!$J$4:$J$40),'HOJA DE CÁLCULO RESPALDO'!J150,MROUND('HOJA DE CÁLCULO RESPALDO'!J150,10))</f>
        <v>95</v>
      </c>
      <c r="X150" s="36"/>
      <c r="Y150" s="4"/>
    </row>
    <row r="151" spans="1:25" x14ac:dyDescent="0.25">
      <c r="A151" s="2" t="s">
        <v>42</v>
      </c>
      <c r="B151" s="3" t="s">
        <v>17</v>
      </c>
      <c r="C151" s="3" t="s">
        <v>19</v>
      </c>
      <c r="D151" s="3">
        <v>1</v>
      </c>
      <c r="E151" s="2">
        <v>1</v>
      </c>
      <c r="F151" s="8">
        <v>1500</v>
      </c>
      <c r="G151" s="1">
        <v>4</v>
      </c>
      <c r="H151" s="2">
        <v>3879</v>
      </c>
      <c r="I151" s="34">
        <v>90</v>
      </c>
      <c r="J151" s="11">
        <v>95</v>
      </c>
      <c r="K151" s="44">
        <f t="shared" si="14"/>
        <v>5.8185000000000002</v>
      </c>
      <c r="L151" s="3" t="s">
        <v>61</v>
      </c>
      <c r="M151" s="3" t="s">
        <v>70</v>
      </c>
      <c r="N151" s="15">
        <f>ROUND((IF(L151="Blaze Shield II",IF(M151="Idiem software",IF(AND(C151="IN",G151=4),((('BLAZE SHIELD II'!$D$4*('HOJA DE CÁLCULO RESPALDO'!I151^2)+'BLAZE SHIELD II'!$D$5*'HOJA DE CÁLCULO RESPALDO'!I151+'BLAZE SHIELD II'!$D$6)*LN(J151))+('BLAZE SHIELD II'!$D$7*('HOJA DE CÁLCULO RESPALDO'!I151^2)+'BLAZE SHIELD II'!$D$8*'HOJA DE CÁLCULO RESPALDO'!I151+'BLAZE SHIELD II'!$D$9)),0),0),0))+(IF(L151="Blaze Shield II",IF(M151="Idiem software",IF(C151="Cj",((('BLAZE SHIELD II'!$H$4*('HOJA DE CÁLCULO RESPALDO'!I151^2)+'BLAZE SHIELD II'!$H$5*'HOJA DE CÁLCULO RESPALDO'!I151+'BLAZE SHIELD II'!$H$6)*LN(J151))+('BLAZE SHIELD II'!$H$7*('HOJA DE CÁLCULO RESPALDO'!I151^2)+'BLAZE SHIELD II'!$H$8*'HOJA DE CÁLCULO RESPALDO'!I151+'BLAZE SHIELD II'!$H$9)),0),0),0))+(IF(L151="Blaze Shield II",IF(M151="Idiem software",IF(C151="C",((('BLAZE SHIELD II'!$L$4*('HOJA DE CÁLCULO RESPALDO'!I151^2)+'BLAZE SHIELD II'!$L$5*'HOJA DE CÁLCULO RESPALDO'!I151+'BLAZE SHIELD II'!$L$6)*LN(J151))+('BLAZE SHIELD II'!$L$7*('HOJA DE CÁLCULO RESPALDO'!I151^2)+'BLAZE SHIELD II'!$L$8*'HOJA DE CÁLCULO RESPALDO'!I151+'BLAZE SHIELD II'!$L$9)),0),0),0))+(IF(L151="Blaze Shield II",IF(M151="Idiem software",IF(AND(C151="IN",G151=3),((('BLAZE SHIELD II'!$H$14*('HOJA DE CÁLCULO RESPALDO'!I151^2)+'BLAZE SHIELD II'!$H$15*'HOJA DE CÁLCULO RESPALDO'!I151+'BLAZE SHIELD II'!$H$16)*LN(J151))+('BLAZE SHIELD II'!$H$17*('HOJA DE CÁLCULO RESPALDO'!I151^2)+'BLAZE SHIELD II'!$H$18*'HOJA DE CÁLCULO RESPALDO'!I151+'BLAZE SHIELD II'!$H$19)),0),0),0)),0)</f>
        <v>0</v>
      </c>
      <c r="O151" s="46">
        <f t="shared" si="18"/>
        <v>0</v>
      </c>
      <c r="P151" s="80">
        <f t="shared" si="15"/>
        <v>0</v>
      </c>
      <c r="Q151" s="85">
        <f>ROUND((IF(L151="Cafco 400",IF(M151="Idiem software",IF(AND(C151="IN",G151=4),((('CAFCO 400 '!$H$7*(J151^4)+'CAFCO 400 '!$H$8*(J151^3)+'CAFCO 400 '!$H$9*(J151^2)+'CAFCO 400 '!$H$10*J151+'CAFCO 400 '!$H$11)*I151^2)+(('CAFCO 400 '!$H$12*(J151^3)+'CAFCO 400 '!$H$13*(J151^2)+'CAFCO 400 '!$H$14*J151+'CAFCO 400 '!$H$15)*I151)+('CAFCO 400 '!$H$16*(J151^2)+'CAFCO 400 '!$H$17*J151+'CAFCO 400 '!$H$18)),0),0),0))+(IF(L151="Cafco 400",IF(M151="Idiem software",IF(C151="Cj",(((('CAFCO 400 '!$D$7*LN(J151)+'CAFCO 400 '!$D$8)*I151^2)+(('CAFCO 400 '!$D$9*LN(J151)+'CAFCO 400 '!$D$10)*I151)+('CAFCO 400 '!$D$11*LN(J151)+'CAFCO 400 '!$D$12))),0),0),0))+(IF(L151="Cafco 400",IF(M151="Idiem software",IF(C151="C",((('CAFCO 400 '!$L$7*(J151^3)+'CAFCO 400 '!$L$8*(J151^2)+'CAFCO 400 '!$L$9*J151+'CAFCO 400 '!$L$10)*I151^2)+(('CAFCO 400 '!$L$11*(J151^3)+'CAFCO 400 '!$L$12*(J151^2)+'CAFCO 400 '!$L$13*J151+'CAFCO 400 '!$L$14)*I151)+('CAFCO 400 '!$L$15*LN(J151)+'CAFCO 400 '!$L$16)),0),0),0))+(IF(L151="Cafco 400",IF(M151="Idiem software",IF(AND(C151="IN",G151=3),((('CAFCO 400 '!$D$23*(J151^2)+'CAFCO 400 '!$D$24*(J151)+'CAFCO 400 '!$D$25)*I151^2)+(('CAFCO 400 '!$D$26*(J151^2)+'CAFCO 400 '!$D$27*J151+'CAFCO 400 '!$D$28)*I151)+('CAFCO 400 '!$D$29*(J151^2)+'CAFCO 400 '!$D$30*J151+'CAFCO 400 '!$D$31)),0),0),0)),0)</f>
        <v>0</v>
      </c>
      <c r="R151" s="47">
        <f t="shared" si="19"/>
        <v>0</v>
      </c>
      <c r="S151" s="82">
        <f t="shared" si="16"/>
        <v>0</v>
      </c>
      <c r="T151" s="81">
        <f>+IF(AND(J151&gt;=95,J151&lt;=240),IF(AND(C151="Cj",I151=90),VLOOKUP(W151,'CAFCO 300 IDIEM TABLAS'!$B$4:$D$23,2,FALSE),0)+IF(AND(J151&gt;=95,J151&lt;=240),IF(AND(C151="Cj",I151=120),VLOOKUP(W151,'CAFCO 300 IDIEM TABLAS'!$B$4:$D$23,3,FALSE),0))+IF(AND(J151&gt;=95,J151&lt;=400,G151=3),IF(AND(C151="IN",I151=90),VLOOKUP(W151,'CAFCO 300 IDIEM TABLAS'!$F$4:$H$35,2,FALSE),0),0)+IF(AND(J151&gt;=95,J151&lt;=400,G151=3),IF(AND(C151="IN",I151=120),VLOOKUP(W151,'CAFCO 300 IDIEM TABLAS'!$F$4:$H$35,3,FALSE),0),0)+IF(AND(J151&gt;=95,J151&lt;=450,G151=4),IF(AND(C151="IN",I151=90),VLOOKUP(W151,'CAFCO 300 IDIEM TABLAS'!$J$4:$L$40,2,FALSE),0),0)+IF(AND(J151&gt;=95,J151&lt;=450,G151=4),IF(AND(C151="IN",I151=120),VLOOKUP(W151,'CAFCO 300 IDIEM TABLAS'!$J$4:$L$40,3,FALSE),0),0))</f>
        <v>17</v>
      </c>
      <c r="U151" s="48">
        <f t="shared" si="20"/>
        <v>1.3649947047496791</v>
      </c>
      <c r="V151" s="82">
        <f t="shared" si="17"/>
        <v>20494.030497111682</v>
      </c>
      <c r="W151" s="64">
        <f>+IF(J151=LOOKUP(J151,'CAFCO 300 IDIEM TABLAS'!$J$4:$J$40),'HOJA DE CÁLCULO RESPALDO'!J151,MROUND('HOJA DE CÁLCULO RESPALDO'!J151,10))</f>
        <v>95</v>
      </c>
      <c r="X151" s="36"/>
      <c r="Y151" s="4"/>
    </row>
    <row r="152" spans="1:25" ht="15.6" customHeight="1" x14ac:dyDescent="0.25">
      <c r="A152" s="2" t="s">
        <v>41</v>
      </c>
      <c r="B152" s="3" t="s">
        <v>17</v>
      </c>
      <c r="C152" s="3" t="s">
        <v>19</v>
      </c>
      <c r="D152" s="3">
        <v>1</v>
      </c>
      <c r="E152" s="2">
        <v>1</v>
      </c>
      <c r="F152" s="8">
        <v>11081</v>
      </c>
      <c r="G152" s="1">
        <v>4</v>
      </c>
      <c r="H152" s="2">
        <v>585</v>
      </c>
      <c r="I152" s="34">
        <v>90</v>
      </c>
      <c r="J152" s="11">
        <v>95</v>
      </c>
      <c r="K152" s="44">
        <f t="shared" si="14"/>
        <v>6.4823849999999998</v>
      </c>
      <c r="L152" s="3" t="s">
        <v>61</v>
      </c>
      <c r="M152" s="3" t="s">
        <v>70</v>
      </c>
      <c r="N152" s="15">
        <f>ROUND((IF(L152="Blaze Shield II",IF(M152="Idiem software",IF(AND(C152="IN",G152=4),((('BLAZE SHIELD II'!$D$4*('HOJA DE CÁLCULO RESPALDO'!I152^2)+'BLAZE SHIELD II'!$D$5*'HOJA DE CÁLCULO RESPALDO'!I152+'BLAZE SHIELD II'!$D$6)*LN(J152))+('BLAZE SHIELD II'!$D$7*('HOJA DE CÁLCULO RESPALDO'!I152^2)+'BLAZE SHIELD II'!$D$8*'HOJA DE CÁLCULO RESPALDO'!I152+'BLAZE SHIELD II'!$D$9)),0),0),0))+(IF(L152="Blaze Shield II",IF(M152="Idiem software",IF(C152="Cj",((('BLAZE SHIELD II'!$H$4*('HOJA DE CÁLCULO RESPALDO'!I152^2)+'BLAZE SHIELD II'!$H$5*'HOJA DE CÁLCULO RESPALDO'!I152+'BLAZE SHIELD II'!$H$6)*LN(J152))+('BLAZE SHIELD II'!$H$7*('HOJA DE CÁLCULO RESPALDO'!I152^2)+'BLAZE SHIELD II'!$H$8*'HOJA DE CÁLCULO RESPALDO'!I152+'BLAZE SHIELD II'!$H$9)),0),0),0))+(IF(L152="Blaze Shield II",IF(M152="Idiem software",IF(C152="C",((('BLAZE SHIELD II'!$L$4*('HOJA DE CÁLCULO RESPALDO'!I152^2)+'BLAZE SHIELD II'!$L$5*'HOJA DE CÁLCULO RESPALDO'!I152+'BLAZE SHIELD II'!$L$6)*LN(J152))+('BLAZE SHIELD II'!$L$7*('HOJA DE CÁLCULO RESPALDO'!I152^2)+'BLAZE SHIELD II'!$L$8*'HOJA DE CÁLCULO RESPALDO'!I152+'BLAZE SHIELD II'!$L$9)),0),0),0))+(IF(L152="Blaze Shield II",IF(M152="Idiem software",IF(AND(C152="IN",G152=3),((('BLAZE SHIELD II'!$H$14*('HOJA DE CÁLCULO RESPALDO'!I152^2)+'BLAZE SHIELD II'!$H$15*'HOJA DE CÁLCULO RESPALDO'!I152+'BLAZE SHIELD II'!$H$16)*LN(J152))+('BLAZE SHIELD II'!$H$17*('HOJA DE CÁLCULO RESPALDO'!I152^2)+'BLAZE SHIELD II'!$H$18*'HOJA DE CÁLCULO RESPALDO'!I152+'BLAZE SHIELD II'!$H$19)),0),0),0)),0)</f>
        <v>0</v>
      </c>
      <c r="O152" s="46">
        <f t="shared" si="18"/>
        <v>0</v>
      </c>
      <c r="P152" s="80">
        <f t="shared" si="15"/>
        <v>0</v>
      </c>
      <c r="Q152" s="85">
        <f>ROUND((IF(L152="Cafco 400",IF(M152="Idiem software",IF(AND(C152="IN",G152=4),((('CAFCO 400 '!$H$7*(J152^4)+'CAFCO 400 '!$H$8*(J152^3)+'CAFCO 400 '!$H$9*(J152^2)+'CAFCO 400 '!$H$10*J152+'CAFCO 400 '!$H$11)*I152^2)+(('CAFCO 400 '!$H$12*(J152^3)+'CAFCO 400 '!$H$13*(J152^2)+'CAFCO 400 '!$H$14*J152+'CAFCO 400 '!$H$15)*I152)+('CAFCO 400 '!$H$16*(J152^2)+'CAFCO 400 '!$H$17*J152+'CAFCO 400 '!$H$18)),0),0),0))+(IF(L152="Cafco 400",IF(M152="Idiem software",IF(C152="Cj",(((('CAFCO 400 '!$D$7*LN(J152)+'CAFCO 400 '!$D$8)*I152^2)+(('CAFCO 400 '!$D$9*LN(J152)+'CAFCO 400 '!$D$10)*I152)+('CAFCO 400 '!$D$11*LN(J152)+'CAFCO 400 '!$D$12))),0),0),0))+(IF(L152="Cafco 400",IF(M152="Idiem software",IF(C152="C",((('CAFCO 400 '!$L$7*(J152^3)+'CAFCO 400 '!$L$8*(J152^2)+'CAFCO 400 '!$L$9*J152+'CAFCO 400 '!$L$10)*I152^2)+(('CAFCO 400 '!$L$11*(J152^3)+'CAFCO 400 '!$L$12*(J152^2)+'CAFCO 400 '!$L$13*J152+'CAFCO 400 '!$L$14)*I152)+('CAFCO 400 '!$L$15*LN(J152)+'CAFCO 400 '!$L$16)),0),0),0))+(IF(L152="Cafco 400",IF(M152="Idiem software",IF(AND(C152="IN",G152=3),((('CAFCO 400 '!$D$23*(J152^2)+'CAFCO 400 '!$D$24*(J152)+'CAFCO 400 '!$D$25)*I152^2)+(('CAFCO 400 '!$D$26*(J152^2)+'CAFCO 400 '!$D$27*J152+'CAFCO 400 '!$D$28)*I152)+('CAFCO 400 '!$D$29*(J152^2)+'CAFCO 400 '!$D$30*J152+'CAFCO 400 '!$D$31)),0),0),0)),0)</f>
        <v>0</v>
      </c>
      <c r="R152" s="47">
        <f t="shared" si="19"/>
        <v>0</v>
      </c>
      <c r="S152" s="82">
        <f t="shared" si="16"/>
        <v>0</v>
      </c>
      <c r="T152" s="81">
        <f>+IF(AND(J152&gt;=95,J152&lt;=240),IF(AND(C152="Cj",I152=90),VLOOKUP(W152,'CAFCO 300 IDIEM TABLAS'!$B$4:$D$23,2,FALSE),0)+IF(AND(J152&gt;=95,J152&lt;=240),IF(AND(C152="Cj",I152=120),VLOOKUP(W152,'CAFCO 300 IDIEM TABLAS'!$B$4:$D$23,3,FALSE),0))+IF(AND(J152&gt;=95,J152&lt;=400,G152=3),IF(AND(C152="IN",I152=90),VLOOKUP(W152,'CAFCO 300 IDIEM TABLAS'!$F$4:$H$35,2,FALSE),0),0)+IF(AND(J152&gt;=95,J152&lt;=400,G152=3),IF(AND(C152="IN",I152=120),VLOOKUP(W152,'CAFCO 300 IDIEM TABLAS'!$F$4:$H$35,3,FALSE),0),0)+IF(AND(J152&gt;=95,J152&lt;=450,G152=4),IF(AND(C152="IN",I152=90),VLOOKUP(W152,'CAFCO 300 IDIEM TABLAS'!$J$4:$L$40,2,FALSE),0),0)+IF(AND(J152&gt;=95,J152&lt;=450,G152=4),IF(AND(C152="IN",I152=120),VLOOKUP(W152,'CAFCO 300 IDIEM TABLAS'!$J$4:$L$40,3,FALSE),0),0))</f>
        <v>17</v>
      </c>
      <c r="U152" s="48">
        <f t="shared" si="20"/>
        <v>1.5207392281771501</v>
      </c>
      <c r="V152" s="82">
        <f t="shared" si="17"/>
        <v>22832.378771851731</v>
      </c>
      <c r="W152" s="64">
        <f>+IF(J152=LOOKUP(J152,'CAFCO 300 IDIEM TABLAS'!$J$4:$J$40),'HOJA DE CÁLCULO RESPALDO'!J152,MROUND('HOJA DE CÁLCULO RESPALDO'!J152,10))</f>
        <v>95</v>
      </c>
      <c r="X152" s="36"/>
      <c r="Y152" s="4"/>
    </row>
    <row r="153" spans="1:25" x14ac:dyDescent="0.25">
      <c r="A153" s="2" t="s">
        <v>41</v>
      </c>
      <c r="B153" s="3" t="s">
        <v>17</v>
      </c>
      <c r="C153" s="3" t="s">
        <v>19</v>
      </c>
      <c r="D153" s="3">
        <v>1</v>
      </c>
      <c r="E153" s="2">
        <v>1</v>
      </c>
      <c r="F153" s="8">
        <v>1500</v>
      </c>
      <c r="G153" s="1">
        <v>4</v>
      </c>
      <c r="H153" s="2">
        <v>776</v>
      </c>
      <c r="I153" s="34">
        <v>90</v>
      </c>
      <c r="J153" s="11">
        <v>95</v>
      </c>
      <c r="K153" s="44">
        <f t="shared" si="14"/>
        <v>1.1639999999999999</v>
      </c>
      <c r="L153" s="3" t="s">
        <v>61</v>
      </c>
      <c r="M153" s="3" t="s">
        <v>70</v>
      </c>
      <c r="N153" s="15">
        <f>ROUND((IF(L153="Blaze Shield II",IF(M153="Idiem software",IF(AND(C153="IN",G153=4),((('BLAZE SHIELD II'!$D$4*('HOJA DE CÁLCULO RESPALDO'!I153^2)+'BLAZE SHIELD II'!$D$5*'HOJA DE CÁLCULO RESPALDO'!I153+'BLAZE SHIELD II'!$D$6)*LN(J153))+('BLAZE SHIELD II'!$D$7*('HOJA DE CÁLCULO RESPALDO'!I153^2)+'BLAZE SHIELD II'!$D$8*'HOJA DE CÁLCULO RESPALDO'!I153+'BLAZE SHIELD II'!$D$9)),0),0),0))+(IF(L153="Blaze Shield II",IF(M153="Idiem software",IF(C153="Cj",((('BLAZE SHIELD II'!$H$4*('HOJA DE CÁLCULO RESPALDO'!I153^2)+'BLAZE SHIELD II'!$H$5*'HOJA DE CÁLCULO RESPALDO'!I153+'BLAZE SHIELD II'!$H$6)*LN(J153))+('BLAZE SHIELD II'!$H$7*('HOJA DE CÁLCULO RESPALDO'!I153^2)+'BLAZE SHIELD II'!$H$8*'HOJA DE CÁLCULO RESPALDO'!I153+'BLAZE SHIELD II'!$H$9)),0),0),0))+(IF(L153="Blaze Shield II",IF(M153="Idiem software",IF(C153="C",((('BLAZE SHIELD II'!$L$4*('HOJA DE CÁLCULO RESPALDO'!I153^2)+'BLAZE SHIELD II'!$L$5*'HOJA DE CÁLCULO RESPALDO'!I153+'BLAZE SHIELD II'!$L$6)*LN(J153))+('BLAZE SHIELD II'!$L$7*('HOJA DE CÁLCULO RESPALDO'!I153^2)+'BLAZE SHIELD II'!$L$8*'HOJA DE CÁLCULO RESPALDO'!I153+'BLAZE SHIELD II'!$L$9)),0),0),0))+(IF(L153="Blaze Shield II",IF(M153="Idiem software",IF(AND(C153="IN",G153=3),((('BLAZE SHIELD II'!$H$14*('HOJA DE CÁLCULO RESPALDO'!I153^2)+'BLAZE SHIELD II'!$H$15*'HOJA DE CÁLCULO RESPALDO'!I153+'BLAZE SHIELD II'!$H$16)*LN(J153))+('BLAZE SHIELD II'!$H$17*('HOJA DE CÁLCULO RESPALDO'!I153^2)+'BLAZE SHIELD II'!$H$18*'HOJA DE CÁLCULO RESPALDO'!I153+'BLAZE SHIELD II'!$H$19)),0),0),0)),0)</f>
        <v>0</v>
      </c>
      <c r="O153" s="46">
        <f t="shared" si="18"/>
        <v>0</v>
      </c>
      <c r="P153" s="80">
        <f t="shared" si="15"/>
        <v>0</v>
      </c>
      <c r="Q153" s="85">
        <f>ROUND((IF(L153="Cafco 400",IF(M153="Idiem software",IF(AND(C153="IN",G153=4),((('CAFCO 400 '!$H$7*(J153^4)+'CAFCO 400 '!$H$8*(J153^3)+'CAFCO 400 '!$H$9*(J153^2)+'CAFCO 400 '!$H$10*J153+'CAFCO 400 '!$H$11)*I153^2)+(('CAFCO 400 '!$H$12*(J153^3)+'CAFCO 400 '!$H$13*(J153^2)+'CAFCO 400 '!$H$14*J153+'CAFCO 400 '!$H$15)*I153)+('CAFCO 400 '!$H$16*(J153^2)+'CAFCO 400 '!$H$17*J153+'CAFCO 400 '!$H$18)),0),0),0))+(IF(L153="Cafco 400",IF(M153="Idiem software",IF(C153="Cj",(((('CAFCO 400 '!$D$7*LN(J153)+'CAFCO 400 '!$D$8)*I153^2)+(('CAFCO 400 '!$D$9*LN(J153)+'CAFCO 400 '!$D$10)*I153)+('CAFCO 400 '!$D$11*LN(J153)+'CAFCO 400 '!$D$12))),0),0),0))+(IF(L153="Cafco 400",IF(M153="Idiem software",IF(C153="C",((('CAFCO 400 '!$L$7*(J153^3)+'CAFCO 400 '!$L$8*(J153^2)+'CAFCO 400 '!$L$9*J153+'CAFCO 400 '!$L$10)*I153^2)+(('CAFCO 400 '!$L$11*(J153^3)+'CAFCO 400 '!$L$12*(J153^2)+'CAFCO 400 '!$L$13*J153+'CAFCO 400 '!$L$14)*I153)+('CAFCO 400 '!$L$15*LN(J153)+'CAFCO 400 '!$L$16)),0),0),0))+(IF(L153="Cafco 400",IF(M153="Idiem software",IF(AND(C153="IN",G153=3),((('CAFCO 400 '!$D$23*(J153^2)+'CAFCO 400 '!$D$24*(J153)+'CAFCO 400 '!$D$25)*I153^2)+(('CAFCO 400 '!$D$26*(J153^2)+'CAFCO 400 '!$D$27*J153+'CAFCO 400 '!$D$28)*I153)+('CAFCO 400 '!$D$29*(J153^2)+'CAFCO 400 '!$D$30*J153+'CAFCO 400 '!$D$31)),0),0),0)),0)</f>
        <v>0</v>
      </c>
      <c r="R153" s="47">
        <f t="shared" si="19"/>
        <v>0</v>
      </c>
      <c r="S153" s="82">
        <f t="shared" si="16"/>
        <v>0</v>
      </c>
      <c r="T153" s="81">
        <f>+IF(AND(J153&gt;=95,J153&lt;=240),IF(AND(C153="Cj",I153=90),VLOOKUP(W153,'CAFCO 300 IDIEM TABLAS'!$B$4:$D$23,2,FALSE),0)+IF(AND(J153&gt;=95,J153&lt;=240),IF(AND(C153="Cj",I153=120),VLOOKUP(W153,'CAFCO 300 IDIEM TABLAS'!$B$4:$D$23,3,FALSE),0))+IF(AND(J153&gt;=95,J153&lt;=400,G153=3),IF(AND(C153="IN",I153=90),VLOOKUP(W153,'CAFCO 300 IDIEM TABLAS'!$F$4:$H$35,2,FALSE),0),0)+IF(AND(J153&gt;=95,J153&lt;=400,G153=3),IF(AND(C153="IN",I153=120),VLOOKUP(W153,'CAFCO 300 IDIEM TABLAS'!$F$4:$H$35,3,FALSE),0),0)+IF(AND(J153&gt;=95,J153&lt;=450,G153=4),IF(AND(C153="IN",I153=90),VLOOKUP(W153,'CAFCO 300 IDIEM TABLAS'!$J$4:$L$40,2,FALSE),0),0)+IF(AND(J153&gt;=95,J153&lt;=450,G153=4),IF(AND(C153="IN",I153=120),VLOOKUP(W153,'CAFCO 300 IDIEM TABLAS'!$J$4:$L$40,3,FALSE),0),0))</f>
        <v>17</v>
      </c>
      <c r="U153" s="48">
        <f t="shared" si="20"/>
        <v>0.2730693196405648</v>
      </c>
      <c r="V153" s="82">
        <f t="shared" si="17"/>
        <v>4099.8627650834396</v>
      </c>
      <c r="W153" s="64">
        <f>+IF(J153=LOOKUP(J153,'CAFCO 300 IDIEM TABLAS'!$J$4:$J$40),'HOJA DE CÁLCULO RESPALDO'!J153,MROUND('HOJA DE CÁLCULO RESPALDO'!J153,10))</f>
        <v>95</v>
      </c>
      <c r="X153" s="36"/>
      <c r="Y153" s="4"/>
    </row>
    <row r="154" spans="1:25" ht="15.6" customHeight="1" x14ac:dyDescent="0.25">
      <c r="A154" s="2" t="s">
        <v>43</v>
      </c>
      <c r="B154" s="3" t="s">
        <v>17</v>
      </c>
      <c r="C154" s="3" t="s">
        <v>19</v>
      </c>
      <c r="D154" s="3">
        <v>1</v>
      </c>
      <c r="E154" s="2">
        <v>1</v>
      </c>
      <c r="F154" s="8">
        <v>1500</v>
      </c>
      <c r="G154" s="1">
        <v>4</v>
      </c>
      <c r="H154" s="2">
        <v>3879</v>
      </c>
      <c r="I154" s="34">
        <v>90</v>
      </c>
      <c r="J154" s="11">
        <v>95</v>
      </c>
      <c r="K154" s="44">
        <f t="shared" si="14"/>
        <v>5.8185000000000002</v>
      </c>
      <c r="L154" s="3" t="s">
        <v>61</v>
      </c>
      <c r="M154" s="3" t="s">
        <v>70</v>
      </c>
      <c r="N154" s="15">
        <f>ROUND((IF(L154="Blaze Shield II",IF(M154="Idiem software",IF(AND(C154="IN",G154=4),((('BLAZE SHIELD II'!$D$4*('HOJA DE CÁLCULO RESPALDO'!I154^2)+'BLAZE SHIELD II'!$D$5*'HOJA DE CÁLCULO RESPALDO'!I154+'BLAZE SHIELD II'!$D$6)*LN(J154))+('BLAZE SHIELD II'!$D$7*('HOJA DE CÁLCULO RESPALDO'!I154^2)+'BLAZE SHIELD II'!$D$8*'HOJA DE CÁLCULO RESPALDO'!I154+'BLAZE SHIELD II'!$D$9)),0),0),0))+(IF(L154="Blaze Shield II",IF(M154="Idiem software",IF(C154="Cj",((('BLAZE SHIELD II'!$H$4*('HOJA DE CÁLCULO RESPALDO'!I154^2)+'BLAZE SHIELD II'!$H$5*'HOJA DE CÁLCULO RESPALDO'!I154+'BLAZE SHIELD II'!$H$6)*LN(J154))+('BLAZE SHIELD II'!$H$7*('HOJA DE CÁLCULO RESPALDO'!I154^2)+'BLAZE SHIELD II'!$H$8*'HOJA DE CÁLCULO RESPALDO'!I154+'BLAZE SHIELD II'!$H$9)),0),0),0))+(IF(L154="Blaze Shield II",IF(M154="Idiem software",IF(C154="C",((('BLAZE SHIELD II'!$L$4*('HOJA DE CÁLCULO RESPALDO'!I154^2)+'BLAZE SHIELD II'!$L$5*'HOJA DE CÁLCULO RESPALDO'!I154+'BLAZE SHIELD II'!$L$6)*LN(J154))+('BLAZE SHIELD II'!$L$7*('HOJA DE CÁLCULO RESPALDO'!I154^2)+'BLAZE SHIELD II'!$L$8*'HOJA DE CÁLCULO RESPALDO'!I154+'BLAZE SHIELD II'!$L$9)),0),0),0))+(IF(L154="Blaze Shield II",IF(M154="Idiem software",IF(AND(C154="IN",G154=3),((('BLAZE SHIELD II'!$H$14*('HOJA DE CÁLCULO RESPALDO'!I154^2)+'BLAZE SHIELD II'!$H$15*'HOJA DE CÁLCULO RESPALDO'!I154+'BLAZE SHIELD II'!$H$16)*LN(J154))+('BLAZE SHIELD II'!$H$17*('HOJA DE CÁLCULO RESPALDO'!I154^2)+'BLAZE SHIELD II'!$H$18*'HOJA DE CÁLCULO RESPALDO'!I154+'BLAZE SHIELD II'!$H$19)),0),0),0)),0)</f>
        <v>0</v>
      </c>
      <c r="O154" s="46">
        <f t="shared" si="18"/>
        <v>0</v>
      </c>
      <c r="P154" s="80">
        <f t="shared" si="15"/>
        <v>0</v>
      </c>
      <c r="Q154" s="85">
        <f>ROUND((IF(L154="Cafco 400",IF(M154="Idiem software",IF(AND(C154="IN",G154=4),((('CAFCO 400 '!$H$7*(J154^4)+'CAFCO 400 '!$H$8*(J154^3)+'CAFCO 400 '!$H$9*(J154^2)+'CAFCO 400 '!$H$10*J154+'CAFCO 400 '!$H$11)*I154^2)+(('CAFCO 400 '!$H$12*(J154^3)+'CAFCO 400 '!$H$13*(J154^2)+'CAFCO 400 '!$H$14*J154+'CAFCO 400 '!$H$15)*I154)+('CAFCO 400 '!$H$16*(J154^2)+'CAFCO 400 '!$H$17*J154+'CAFCO 400 '!$H$18)),0),0),0))+(IF(L154="Cafco 400",IF(M154="Idiem software",IF(C154="Cj",(((('CAFCO 400 '!$D$7*LN(J154)+'CAFCO 400 '!$D$8)*I154^2)+(('CAFCO 400 '!$D$9*LN(J154)+'CAFCO 400 '!$D$10)*I154)+('CAFCO 400 '!$D$11*LN(J154)+'CAFCO 400 '!$D$12))),0),0),0))+(IF(L154="Cafco 400",IF(M154="Idiem software",IF(C154="C",((('CAFCO 400 '!$L$7*(J154^3)+'CAFCO 400 '!$L$8*(J154^2)+'CAFCO 400 '!$L$9*J154+'CAFCO 400 '!$L$10)*I154^2)+(('CAFCO 400 '!$L$11*(J154^3)+'CAFCO 400 '!$L$12*(J154^2)+'CAFCO 400 '!$L$13*J154+'CAFCO 400 '!$L$14)*I154)+('CAFCO 400 '!$L$15*LN(J154)+'CAFCO 400 '!$L$16)),0),0),0))+(IF(L154="Cafco 400",IF(M154="Idiem software",IF(AND(C154="IN",G154=3),((('CAFCO 400 '!$D$23*(J154^2)+'CAFCO 400 '!$D$24*(J154)+'CAFCO 400 '!$D$25)*I154^2)+(('CAFCO 400 '!$D$26*(J154^2)+'CAFCO 400 '!$D$27*J154+'CAFCO 400 '!$D$28)*I154)+('CAFCO 400 '!$D$29*(J154^2)+'CAFCO 400 '!$D$30*J154+'CAFCO 400 '!$D$31)),0),0),0)),0)</f>
        <v>0</v>
      </c>
      <c r="R154" s="47">
        <f t="shared" si="19"/>
        <v>0</v>
      </c>
      <c r="S154" s="82">
        <f t="shared" si="16"/>
        <v>0</v>
      </c>
      <c r="T154" s="81">
        <f>+IF(AND(J154&gt;=95,J154&lt;=240),IF(AND(C154="Cj",I154=90),VLOOKUP(W154,'CAFCO 300 IDIEM TABLAS'!$B$4:$D$23,2,FALSE),0)+IF(AND(J154&gt;=95,J154&lt;=240),IF(AND(C154="Cj",I154=120),VLOOKUP(W154,'CAFCO 300 IDIEM TABLAS'!$B$4:$D$23,3,FALSE),0))+IF(AND(J154&gt;=95,J154&lt;=400,G154=3),IF(AND(C154="IN",I154=90),VLOOKUP(W154,'CAFCO 300 IDIEM TABLAS'!$F$4:$H$35,2,FALSE),0),0)+IF(AND(J154&gt;=95,J154&lt;=400,G154=3),IF(AND(C154="IN",I154=120),VLOOKUP(W154,'CAFCO 300 IDIEM TABLAS'!$F$4:$H$35,3,FALSE),0),0)+IF(AND(J154&gt;=95,J154&lt;=450,G154=4),IF(AND(C154="IN",I154=90),VLOOKUP(W154,'CAFCO 300 IDIEM TABLAS'!$J$4:$L$40,2,FALSE),0),0)+IF(AND(J154&gt;=95,J154&lt;=450,G154=4),IF(AND(C154="IN",I154=120),VLOOKUP(W154,'CAFCO 300 IDIEM TABLAS'!$J$4:$L$40,3,FALSE),0),0))</f>
        <v>17</v>
      </c>
      <c r="U154" s="48">
        <f t="shared" si="20"/>
        <v>1.3649947047496791</v>
      </c>
      <c r="V154" s="82">
        <f t="shared" si="17"/>
        <v>20494.030497111682</v>
      </c>
      <c r="W154" s="64">
        <f>+IF(J154=LOOKUP(J154,'CAFCO 300 IDIEM TABLAS'!$J$4:$J$40),'HOJA DE CÁLCULO RESPALDO'!J154,MROUND('HOJA DE CÁLCULO RESPALDO'!J154,10))</f>
        <v>95</v>
      </c>
      <c r="X154" s="36"/>
      <c r="Y154" s="4"/>
    </row>
    <row r="155" spans="1:25" x14ac:dyDescent="0.25">
      <c r="A155" s="2" t="s">
        <v>44</v>
      </c>
      <c r="B155" s="3" t="s">
        <v>17</v>
      </c>
      <c r="C155" s="3" t="s">
        <v>19</v>
      </c>
      <c r="D155" s="3">
        <v>1</v>
      </c>
      <c r="E155" s="2">
        <v>1</v>
      </c>
      <c r="F155" s="8">
        <v>12634</v>
      </c>
      <c r="G155" s="1">
        <v>4</v>
      </c>
      <c r="H155" s="2">
        <v>585</v>
      </c>
      <c r="I155" s="34">
        <v>90</v>
      </c>
      <c r="J155" s="11">
        <v>95</v>
      </c>
      <c r="K155" s="44">
        <f t="shared" si="14"/>
        <v>7.3908899999999997</v>
      </c>
      <c r="L155" s="3" t="s">
        <v>61</v>
      </c>
      <c r="M155" s="3" t="s">
        <v>70</v>
      </c>
      <c r="N155" s="15">
        <f>ROUND((IF(L155="Blaze Shield II",IF(M155="Idiem software",IF(AND(C155="IN",G155=4),((('BLAZE SHIELD II'!$D$4*('HOJA DE CÁLCULO RESPALDO'!I155^2)+'BLAZE SHIELD II'!$D$5*'HOJA DE CÁLCULO RESPALDO'!I155+'BLAZE SHIELD II'!$D$6)*LN(J155))+('BLAZE SHIELD II'!$D$7*('HOJA DE CÁLCULO RESPALDO'!I155^2)+'BLAZE SHIELD II'!$D$8*'HOJA DE CÁLCULO RESPALDO'!I155+'BLAZE SHIELD II'!$D$9)),0),0),0))+(IF(L155="Blaze Shield II",IF(M155="Idiem software",IF(C155="Cj",((('BLAZE SHIELD II'!$H$4*('HOJA DE CÁLCULO RESPALDO'!I155^2)+'BLAZE SHIELD II'!$H$5*'HOJA DE CÁLCULO RESPALDO'!I155+'BLAZE SHIELD II'!$H$6)*LN(J155))+('BLAZE SHIELD II'!$H$7*('HOJA DE CÁLCULO RESPALDO'!I155^2)+'BLAZE SHIELD II'!$H$8*'HOJA DE CÁLCULO RESPALDO'!I155+'BLAZE SHIELD II'!$H$9)),0),0),0))+(IF(L155="Blaze Shield II",IF(M155="Idiem software",IF(C155="C",((('BLAZE SHIELD II'!$L$4*('HOJA DE CÁLCULO RESPALDO'!I155^2)+'BLAZE SHIELD II'!$L$5*'HOJA DE CÁLCULO RESPALDO'!I155+'BLAZE SHIELD II'!$L$6)*LN(J155))+('BLAZE SHIELD II'!$L$7*('HOJA DE CÁLCULO RESPALDO'!I155^2)+'BLAZE SHIELD II'!$L$8*'HOJA DE CÁLCULO RESPALDO'!I155+'BLAZE SHIELD II'!$L$9)),0),0),0))+(IF(L155="Blaze Shield II",IF(M155="Idiem software",IF(AND(C155="IN",G155=3),((('BLAZE SHIELD II'!$H$14*('HOJA DE CÁLCULO RESPALDO'!I155^2)+'BLAZE SHIELD II'!$H$15*'HOJA DE CÁLCULO RESPALDO'!I155+'BLAZE SHIELD II'!$H$16)*LN(J155))+('BLAZE SHIELD II'!$H$17*('HOJA DE CÁLCULO RESPALDO'!I155^2)+'BLAZE SHIELD II'!$H$18*'HOJA DE CÁLCULO RESPALDO'!I155+'BLAZE SHIELD II'!$H$19)),0),0),0)),0)</f>
        <v>0</v>
      </c>
      <c r="O155" s="46">
        <f t="shared" si="18"/>
        <v>0</v>
      </c>
      <c r="P155" s="80">
        <f t="shared" si="15"/>
        <v>0</v>
      </c>
      <c r="Q155" s="85">
        <f>ROUND((IF(L155="Cafco 400",IF(M155="Idiem software",IF(AND(C155="IN",G155=4),((('CAFCO 400 '!$H$7*(J155^4)+'CAFCO 400 '!$H$8*(J155^3)+'CAFCO 400 '!$H$9*(J155^2)+'CAFCO 400 '!$H$10*J155+'CAFCO 400 '!$H$11)*I155^2)+(('CAFCO 400 '!$H$12*(J155^3)+'CAFCO 400 '!$H$13*(J155^2)+'CAFCO 400 '!$H$14*J155+'CAFCO 400 '!$H$15)*I155)+('CAFCO 400 '!$H$16*(J155^2)+'CAFCO 400 '!$H$17*J155+'CAFCO 400 '!$H$18)),0),0),0))+(IF(L155="Cafco 400",IF(M155="Idiem software",IF(C155="Cj",(((('CAFCO 400 '!$D$7*LN(J155)+'CAFCO 400 '!$D$8)*I155^2)+(('CAFCO 400 '!$D$9*LN(J155)+'CAFCO 400 '!$D$10)*I155)+('CAFCO 400 '!$D$11*LN(J155)+'CAFCO 400 '!$D$12))),0),0),0))+(IF(L155="Cafco 400",IF(M155="Idiem software",IF(C155="C",((('CAFCO 400 '!$L$7*(J155^3)+'CAFCO 400 '!$L$8*(J155^2)+'CAFCO 400 '!$L$9*J155+'CAFCO 400 '!$L$10)*I155^2)+(('CAFCO 400 '!$L$11*(J155^3)+'CAFCO 400 '!$L$12*(J155^2)+'CAFCO 400 '!$L$13*J155+'CAFCO 400 '!$L$14)*I155)+('CAFCO 400 '!$L$15*LN(J155)+'CAFCO 400 '!$L$16)),0),0),0))+(IF(L155="Cafco 400",IF(M155="Idiem software",IF(AND(C155="IN",G155=3),((('CAFCO 400 '!$D$23*(J155^2)+'CAFCO 400 '!$D$24*(J155)+'CAFCO 400 '!$D$25)*I155^2)+(('CAFCO 400 '!$D$26*(J155^2)+'CAFCO 400 '!$D$27*J155+'CAFCO 400 '!$D$28)*I155)+('CAFCO 400 '!$D$29*(J155^2)+'CAFCO 400 '!$D$30*J155+'CAFCO 400 '!$D$31)),0),0),0)),0)</f>
        <v>0</v>
      </c>
      <c r="R155" s="47">
        <f t="shared" si="19"/>
        <v>0</v>
      </c>
      <c r="S155" s="82">
        <f t="shared" si="16"/>
        <v>0</v>
      </c>
      <c r="T155" s="81">
        <f>+IF(AND(J155&gt;=95,J155&lt;=240),IF(AND(C155="Cj",I155=90),VLOOKUP(W155,'CAFCO 300 IDIEM TABLAS'!$B$4:$D$23,2,FALSE),0)+IF(AND(J155&gt;=95,J155&lt;=240),IF(AND(C155="Cj",I155=120),VLOOKUP(W155,'CAFCO 300 IDIEM TABLAS'!$B$4:$D$23,3,FALSE),0))+IF(AND(J155&gt;=95,J155&lt;=400,G155=3),IF(AND(C155="IN",I155=90),VLOOKUP(W155,'CAFCO 300 IDIEM TABLAS'!$F$4:$H$35,2,FALSE),0),0)+IF(AND(J155&gt;=95,J155&lt;=400,G155=3),IF(AND(C155="IN",I155=120),VLOOKUP(W155,'CAFCO 300 IDIEM TABLAS'!$F$4:$H$35,3,FALSE),0),0)+IF(AND(J155&gt;=95,J155&lt;=450,G155=4),IF(AND(C155="IN",I155=90),VLOOKUP(W155,'CAFCO 300 IDIEM TABLAS'!$J$4:$L$40,2,FALSE),0),0)+IF(AND(J155&gt;=95,J155&lt;=450,G155=4),IF(AND(C155="IN",I155=120),VLOOKUP(W155,'CAFCO 300 IDIEM TABLAS'!$J$4:$L$40,3,FALSE),0),0))</f>
        <v>17</v>
      </c>
      <c r="U155" s="48">
        <f t="shared" si="20"/>
        <v>1.7338705359435174</v>
      </c>
      <c r="V155" s="82">
        <f t="shared" si="17"/>
        <v>26032.33222665597</v>
      </c>
      <c r="W155" s="64">
        <f>+IF(J155=LOOKUP(J155,'CAFCO 300 IDIEM TABLAS'!$J$4:$J$40),'HOJA DE CÁLCULO RESPALDO'!J155,MROUND('HOJA DE CÁLCULO RESPALDO'!J155,10))</f>
        <v>95</v>
      </c>
      <c r="X155" s="36"/>
      <c r="Y155" s="4"/>
    </row>
    <row r="156" spans="1:25" ht="15.6" customHeight="1" x14ac:dyDescent="0.25">
      <c r="A156" s="2" t="s">
        <v>44</v>
      </c>
      <c r="B156" s="3" t="s">
        <v>17</v>
      </c>
      <c r="C156" s="3" t="s">
        <v>19</v>
      </c>
      <c r="D156" s="3">
        <v>1</v>
      </c>
      <c r="E156" s="2">
        <v>1</v>
      </c>
      <c r="F156" s="8">
        <v>1500</v>
      </c>
      <c r="G156" s="1">
        <v>4</v>
      </c>
      <c r="H156" s="2">
        <v>776</v>
      </c>
      <c r="I156" s="34">
        <v>90</v>
      </c>
      <c r="J156" s="11">
        <v>95</v>
      </c>
      <c r="K156" s="44">
        <f t="shared" si="14"/>
        <v>1.1639999999999999</v>
      </c>
      <c r="L156" s="3" t="s">
        <v>61</v>
      </c>
      <c r="M156" s="3" t="s">
        <v>70</v>
      </c>
      <c r="N156" s="15">
        <f>ROUND((IF(L156="Blaze Shield II",IF(M156="Idiem software",IF(AND(C156="IN",G156=4),((('BLAZE SHIELD II'!$D$4*('HOJA DE CÁLCULO RESPALDO'!I156^2)+'BLAZE SHIELD II'!$D$5*'HOJA DE CÁLCULO RESPALDO'!I156+'BLAZE SHIELD II'!$D$6)*LN(J156))+('BLAZE SHIELD II'!$D$7*('HOJA DE CÁLCULO RESPALDO'!I156^2)+'BLAZE SHIELD II'!$D$8*'HOJA DE CÁLCULO RESPALDO'!I156+'BLAZE SHIELD II'!$D$9)),0),0),0))+(IF(L156="Blaze Shield II",IF(M156="Idiem software",IF(C156="Cj",((('BLAZE SHIELD II'!$H$4*('HOJA DE CÁLCULO RESPALDO'!I156^2)+'BLAZE SHIELD II'!$H$5*'HOJA DE CÁLCULO RESPALDO'!I156+'BLAZE SHIELD II'!$H$6)*LN(J156))+('BLAZE SHIELD II'!$H$7*('HOJA DE CÁLCULO RESPALDO'!I156^2)+'BLAZE SHIELD II'!$H$8*'HOJA DE CÁLCULO RESPALDO'!I156+'BLAZE SHIELD II'!$H$9)),0),0),0))+(IF(L156="Blaze Shield II",IF(M156="Idiem software",IF(C156="C",((('BLAZE SHIELD II'!$L$4*('HOJA DE CÁLCULO RESPALDO'!I156^2)+'BLAZE SHIELD II'!$L$5*'HOJA DE CÁLCULO RESPALDO'!I156+'BLAZE SHIELD II'!$L$6)*LN(J156))+('BLAZE SHIELD II'!$L$7*('HOJA DE CÁLCULO RESPALDO'!I156^2)+'BLAZE SHIELD II'!$L$8*'HOJA DE CÁLCULO RESPALDO'!I156+'BLAZE SHIELD II'!$L$9)),0),0),0))+(IF(L156="Blaze Shield II",IF(M156="Idiem software",IF(AND(C156="IN",G156=3),((('BLAZE SHIELD II'!$H$14*('HOJA DE CÁLCULO RESPALDO'!I156^2)+'BLAZE SHIELD II'!$H$15*'HOJA DE CÁLCULO RESPALDO'!I156+'BLAZE SHIELD II'!$H$16)*LN(J156))+('BLAZE SHIELD II'!$H$17*('HOJA DE CÁLCULO RESPALDO'!I156^2)+'BLAZE SHIELD II'!$H$18*'HOJA DE CÁLCULO RESPALDO'!I156+'BLAZE SHIELD II'!$H$19)),0),0),0)),0)</f>
        <v>0</v>
      </c>
      <c r="O156" s="46">
        <f t="shared" si="18"/>
        <v>0</v>
      </c>
      <c r="P156" s="80">
        <f t="shared" si="15"/>
        <v>0</v>
      </c>
      <c r="Q156" s="85">
        <f>ROUND((IF(L156="Cafco 400",IF(M156="Idiem software",IF(AND(C156="IN",G156=4),((('CAFCO 400 '!$H$7*(J156^4)+'CAFCO 400 '!$H$8*(J156^3)+'CAFCO 400 '!$H$9*(J156^2)+'CAFCO 400 '!$H$10*J156+'CAFCO 400 '!$H$11)*I156^2)+(('CAFCO 400 '!$H$12*(J156^3)+'CAFCO 400 '!$H$13*(J156^2)+'CAFCO 400 '!$H$14*J156+'CAFCO 400 '!$H$15)*I156)+('CAFCO 400 '!$H$16*(J156^2)+'CAFCO 400 '!$H$17*J156+'CAFCO 400 '!$H$18)),0),0),0))+(IF(L156="Cafco 400",IF(M156="Idiem software",IF(C156="Cj",(((('CAFCO 400 '!$D$7*LN(J156)+'CAFCO 400 '!$D$8)*I156^2)+(('CAFCO 400 '!$D$9*LN(J156)+'CAFCO 400 '!$D$10)*I156)+('CAFCO 400 '!$D$11*LN(J156)+'CAFCO 400 '!$D$12))),0),0),0))+(IF(L156="Cafco 400",IF(M156="Idiem software",IF(C156="C",((('CAFCO 400 '!$L$7*(J156^3)+'CAFCO 400 '!$L$8*(J156^2)+'CAFCO 400 '!$L$9*J156+'CAFCO 400 '!$L$10)*I156^2)+(('CAFCO 400 '!$L$11*(J156^3)+'CAFCO 400 '!$L$12*(J156^2)+'CAFCO 400 '!$L$13*J156+'CAFCO 400 '!$L$14)*I156)+('CAFCO 400 '!$L$15*LN(J156)+'CAFCO 400 '!$L$16)),0),0),0))+(IF(L156="Cafco 400",IF(M156="Idiem software",IF(AND(C156="IN",G156=3),((('CAFCO 400 '!$D$23*(J156^2)+'CAFCO 400 '!$D$24*(J156)+'CAFCO 400 '!$D$25)*I156^2)+(('CAFCO 400 '!$D$26*(J156^2)+'CAFCO 400 '!$D$27*J156+'CAFCO 400 '!$D$28)*I156)+('CAFCO 400 '!$D$29*(J156^2)+'CAFCO 400 '!$D$30*J156+'CAFCO 400 '!$D$31)),0),0),0)),0)</f>
        <v>0</v>
      </c>
      <c r="R156" s="47">
        <f t="shared" si="19"/>
        <v>0</v>
      </c>
      <c r="S156" s="82">
        <f t="shared" si="16"/>
        <v>0</v>
      </c>
      <c r="T156" s="81">
        <f>+IF(AND(J156&gt;=95,J156&lt;=240),IF(AND(C156="Cj",I156=90),VLOOKUP(W156,'CAFCO 300 IDIEM TABLAS'!$B$4:$D$23,2,FALSE),0)+IF(AND(J156&gt;=95,J156&lt;=240),IF(AND(C156="Cj",I156=120),VLOOKUP(W156,'CAFCO 300 IDIEM TABLAS'!$B$4:$D$23,3,FALSE),0))+IF(AND(J156&gt;=95,J156&lt;=400,G156=3),IF(AND(C156="IN",I156=90),VLOOKUP(W156,'CAFCO 300 IDIEM TABLAS'!$F$4:$H$35,2,FALSE),0),0)+IF(AND(J156&gt;=95,J156&lt;=400,G156=3),IF(AND(C156="IN",I156=120),VLOOKUP(W156,'CAFCO 300 IDIEM TABLAS'!$F$4:$H$35,3,FALSE),0),0)+IF(AND(J156&gt;=95,J156&lt;=450,G156=4),IF(AND(C156="IN",I156=90),VLOOKUP(W156,'CAFCO 300 IDIEM TABLAS'!$J$4:$L$40,2,FALSE),0),0)+IF(AND(J156&gt;=95,J156&lt;=450,G156=4),IF(AND(C156="IN",I156=120),VLOOKUP(W156,'CAFCO 300 IDIEM TABLAS'!$J$4:$L$40,3,FALSE),0),0))</f>
        <v>17</v>
      </c>
      <c r="U156" s="48">
        <f t="shared" si="20"/>
        <v>0.2730693196405648</v>
      </c>
      <c r="V156" s="82">
        <f t="shared" si="17"/>
        <v>4099.8627650834396</v>
      </c>
      <c r="W156" s="64">
        <f>+IF(J156=LOOKUP(J156,'CAFCO 300 IDIEM TABLAS'!$J$4:$J$40),'HOJA DE CÁLCULO RESPALDO'!J156,MROUND('HOJA DE CÁLCULO RESPALDO'!J156,10))</f>
        <v>95</v>
      </c>
      <c r="X156" s="36"/>
      <c r="Y156" s="4"/>
    </row>
    <row r="157" spans="1:25" x14ac:dyDescent="0.25">
      <c r="A157" s="2" t="s">
        <v>42</v>
      </c>
      <c r="B157" s="3" t="s">
        <v>17</v>
      </c>
      <c r="C157" s="3" t="s">
        <v>19</v>
      </c>
      <c r="D157" s="3">
        <v>1</v>
      </c>
      <c r="E157" s="2">
        <v>1</v>
      </c>
      <c r="F157" s="8">
        <v>11097</v>
      </c>
      <c r="G157" s="1">
        <v>4</v>
      </c>
      <c r="H157" s="2">
        <v>585</v>
      </c>
      <c r="I157" s="34">
        <v>90</v>
      </c>
      <c r="J157" s="11">
        <v>95</v>
      </c>
      <c r="K157" s="44">
        <f t="shared" si="14"/>
        <v>6.4917449999999999</v>
      </c>
      <c r="L157" s="3" t="s">
        <v>61</v>
      </c>
      <c r="M157" s="3" t="s">
        <v>70</v>
      </c>
      <c r="N157" s="15">
        <f>ROUND((IF(L157="Blaze Shield II",IF(M157="Idiem software",IF(AND(C157="IN",G157=4),((('BLAZE SHIELD II'!$D$4*('HOJA DE CÁLCULO RESPALDO'!I157^2)+'BLAZE SHIELD II'!$D$5*'HOJA DE CÁLCULO RESPALDO'!I157+'BLAZE SHIELD II'!$D$6)*LN(J157))+('BLAZE SHIELD II'!$D$7*('HOJA DE CÁLCULO RESPALDO'!I157^2)+'BLAZE SHIELD II'!$D$8*'HOJA DE CÁLCULO RESPALDO'!I157+'BLAZE SHIELD II'!$D$9)),0),0),0))+(IF(L157="Blaze Shield II",IF(M157="Idiem software",IF(C157="Cj",((('BLAZE SHIELD II'!$H$4*('HOJA DE CÁLCULO RESPALDO'!I157^2)+'BLAZE SHIELD II'!$H$5*'HOJA DE CÁLCULO RESPALDO'!I157+'BLAZE SHIELD II'!$H$6)*LN(J157))+('BLAZE SHIELD II'!$H$7*('HOJA DE CÁLCULO RESPALDO'!I157^2)+'BLAZE SHIELD II'!$H$8*'HOJA DE CÁLCULO RESPALDO'!I157+'BLAZE SHIELD II'!$H$9)),0),0),0))+(IF(L157="Blaze Shield II",IF(M157="Idiem software",IF(C157="C",((('BLAZE SHIELD II'!$L$4*('HOJA DE CÁLCULO RESPALDO'!I157^2)+'BLAZE SHIELD II'!$L$5*'HOJA DE CÁLCULO RESPALDO'!I157+'BLAZE SHIELD II'!$L$6)*LN(J157))+('BLAZE SHIELD II'!$L$7*('HOJA DE CÁLCULO RESPALDO'!I157^2)+'BLAZE SHIELD II'!$L$8*'HOJA DE CÁLCULO RESPALDO'!I157+'BLAZE SHIELD II'!$L$9)),0),0),0))+(IF(L157="Blaze Shield II",IF(M157="Idiem software",IF(AND(C157="IN",G157=3),((('BLAZE SHIELD II'!$H$14*('HOJA DE CÁLCULO RESPALDO'!I157^2)+'BLAZE SHIELD II'!$H$15*'HOJA DE CÁLCULO RESPALDO'!I157+'BLAZE SHIELD II'!$H$16)*LN(J157))+('BLAZE SHIELD II'!$H$17*('HOJA DE CÁLCULO RESPALDO'!I157^2)+'BLAZE SHIELD II'!$H$18*'HOJA DE CÁLCULO RESPALDO'!I157+'BLAZE SHIELD II'!$H$19)),0),0),0)),0)</f>
        <v>0</v>
      </c>
      <c r="O157" s="46">
        <f t="shared" si="18"/>
        <v>0</v>
      </c>
      <c r="P157" s="80">
        <f t="shared" si="15"/>
        <v>0</v>
      </c>
      <c r="Q157" s="85">
        <f>ROUND((IF(L157="Cafco 400",IF(M157="Idiem software",IF(AND(C157="IN",G157=4),((('CAFCO 400 '!$H$7*(J157^4)+'CAFCO 400 '!$H$8*(J157^3)+'CAFCO 400 '!$H$9*(J157^2)+'CAFCO 400 '!$H$10*J157+'CAFCO 400 '!$H$11)*I157^2)+(('CAFCO 400 '!$H$12*(J157^3)+'CAFCO 400 '!$H$13*(J157^2)+'CAFCO 400 '!$H$14*J157+'CAFCO 400 '!$H$15)*I157)+('CAFCO 400 '!$H$16*(J157^2)+'CAFCO 400 '!$H$17*J157+'CAFCO 400 '!$H$18)),0),0),0))+(IF(L157="Cafco 400",IF(M157="Idiem software",IF(C157="Cj",(((('CAFCO 400 '!$D$7*LN(J157)+'CAFCO 400 '!$D$8)*I157^2)+(('CAFCO 400 '!$D$9*LN(J157)+'CAFCO 400 '!$D$10)*I157)+('CAFCO 400 '!$D$11*LN(J157)+'CAFCO 400 '!$D$12))),0),0),0))+(IF(L157="Cafco 400",IF(M157="Idiem software",IF(C157="C",((('CAFCO 400 '!$L$7*(J157^3)+'CAFCO 400 '!$L$8*(J157^2)+'CAFCO 400 '!$L$9*J157+'CAFCO 400 '!$L$10)*I157^2)+(('CAFCO 400 '!$L$11*(J157^3)+'CAFCO 400 '!$L$12*(J157^2)+'CAFCO 400 '!$L$13*J157+'CAFCO 400 '!$L$14)*I157)+('CAFCO 400 '!$L$15*LN(J157)+'CAFCO 400 '!$L$16)),0),0),0))+(IF(L157="Cafco 400",IF(M157="Idiem software",IF(AND(C157="IN",G157=3),((('CAFCO 400 '!$D$23*(J157^2)+'CAFCO 400 '!$D$24*(J157)+'CAFCO 400 '!$D$25)*I157^2)+(('CAFCO 400 '!$D$26*(J157^2)+'CAFCO 400 '!$D$27*J157+'CAFCO 400 '!$D$28)*I157)+('CAFCO 400 '!$D$29*(J157^2)+'CAFCO 400 '!$D$30*J157+'CAFCO 400 '!$D$31)),0),0),0)),0)</f>
        <v>0</v>
      </c>
      <c r="R157" s="47">
        <f t="shared" si="19"/>
        <v>0</v>
      </c>
      <c r="S157" s="82">
        <f t="shared" si="16"/>
        <v>0</v>
      </c>
      <c r="T157" s="81">
        <f>+IF(AND(J157&gt;=95,J157&lt;=240),IF(AND(C157="Cj",I157=90),VLOOKUP(W157,'CAFCO 300 IDIEM TABLAS'!$B$4:$D$23,2,FALSE),0)+IF(AND(J157&gt;=95,J157&lt;=240),IF(AND(C157="Cj",I157=120),VLOOKUP(W157,'CAFCO 300 IDIEM TABLAS'!$B$4:$D$23,3,FALSE),0))+IF(AND(J157&gt;=95,J157&lt;=400,G157=3),IF(AND(C157="IN",I157=90),VLOOKUP(W157,'CAFCO 300 IDIEM TABLAS'!$F$4:$H$35,2,FALSE),0),0)+IF(AND(J157&gt;=95,J157&lt;=400,G157=3),IF(AND(C157="IN",I157=120),VLOOKUP(W157,'CAFCO 300 IDIEM TABLAS'!$F$4:$H$35,3,FALSE),0),0)+IF(AND(J157&gt;=95,J157&lt;=450,G157=4),IF(AND(C157="IN",I157=90),VLOOKUP(W157,'CAFCO 300 IDIEM TABLAS'!$J$4:$L$40,2,FALSE),0),0)+IF(AND(J157&gt;=95,J157&lt;=450,G157=4),IF(AND(C157="IN",I157=120),VLOOKUP(W157,'CAFCO 300 IDIEM TABLAS'!$J$4:$L$40,3,FALSE),0),0))</f>
        <v>17</v>
      </c>
      <c r="U157" s="48">
        <f t="shared" si="20"/>
        <v>1.5229350433247753</v>
      </c>
      <c r="V157" s="82">
        <f t="shared" si="17"/>
        <v>22865.346740478177</v>
      </c>
      <c r="W157" s="64">
        <f>+IF(J157=LOOKUP(J157,'CAFCO 300 IDIEM TABLAS'!$J$4:$J$40),'HOJA DE CÁLCULO RESPALDO'!J157,MROUND('HOJA DE CÁLCULO RESPALDO'!J157,10))</f>
        <v>95</v>
      </c>
      <c r="X157" s="36"/>
      <c r="Y157" s="4"/>
    </row>
    <row r="158" spans="1:25" ht="15.6" customHeight="1" x14ac:dyDescent="0.25">
      <c r="A158" s="2" t="s">
        <v>41</v>
      </c>
      <c r="B158" s="3" t="s">
        <v>17</v>
      </c>
      <c r="C158" s="3" t="s">
        <v>19</v>
      </c>
      <c r="D158" s="3">
        <v>1</v>
      </c>
      <c r="E158" s="2">
        <v>1</v>
      </c>
      <c r="F158" s="8">
        <v>1500</v>
      </c>
      <c r="G158" s="1">
        <v>4</v>
      </c>
      <c r="H158" s="2">
        <v>776</v>
      </c>
      <c r="I158" s="34">
        <v>90</v>
      </c>
      <c r="J158" s="11">
        <v>95</v>
      </c>
      <c r="K158" s="44">
        <f t="shared" si="14"/>
        <v>1.1639999999999999</v>
      </c>
      <c r="L158" s="3" t="s">
        <v>61</v>
      </c>
      <c r="M158" s="3" t="s">
        <v>70</v>
      </c>
      <c r="N158" s="15">
        <f>ROUND((IF(L158="Blaze Shield II",IF(M158="Idiem software",IF(AND(C158="IN",G158=4),((('BLAZE SHIELD II'!$D$4*('HOJA DE CÁLCULO RESPALDO'!I158^2)+'BLAZE SHIELD II'!$D$5*'HOJA DE CÁLCULO RESPALDO'!I158+'BLAZE SHIELD II'!$D$6)*LN(J158))+('BLAZE SHIELD II'!$D$7*('HOJA DE CÁLCULO RESPALDO'!I158^2)+'BLAZE SHIELD II'!$D$8*'HOJA DE CÁLCULO RESPALDO'!I158+'BLAZE SHIELD II'!$D$9)),0),0),0))+(IF(L158="Blaze Shield II",IF(M158="Idiem software",IF(C158="Cj",((('BLAZE SHIELD II'!$H$4*('HOJA DE CÁLCULO RESPALDO'!I158^2)+'BLAZE SHIELD II'!$H$5*'HOJA DE CÁLCULO RESPALDO'!I158+'BLAZE SHIELD II'!$H$6)*LN(J158))+('BLAZE SHIELD II'!$H$7*('HOJA DE CÁLCULO RESPALDO'!I158^2)+'BLAZE SHIELD II'!$H$8*'HOJA DE CÁLCULO RESPALDO'!I158+'BLAZE SHIELD II'!$H$9)),0),0),0))+(IF(L158="Blaze Shield II",IF(M158="Idiem software",IF(C158="C",((('BLAZE SHIELD II'!$L$4*('HOJA DE CÁLCULO RESPALDO'!I158^2)+'BLAZE SHIELD II'!$L$5*'HOJA DE CÁLCULO RESPALDO'!I158+'BLAZE SHIELD II'!$L$6)*LN(J158))+('BLAZE SHIELD II'!$L$7*('HOJA DE CÁLCULO RESPALDO'!I158^2)+'BLAZE SHIELD II'!$L$8*'HOJA DE CÁLCULO RESPALDO'!I158+'BLAZE SHIELD II'!$L$9)),0),0),0))+(IF(L158="Blaze Shield II",IF(M158="Idiem software",IF(AND(C158="IN",G158=3),((('BLAZE SHIELD II'!$H$14*('HOJA DE CÁLCULO RESPALDO'!I158^2)+'BLAZE SHIELD II'!$H$15*'HOJA DE CÁLCULO RESPALDO'!I158+'BLAZE SHIELD II'!$H$16)*LN(J158))+('BLAZE SHIELD II'!$H$17*('HOJA DE CÁLCULO RESPALDO'!I158^2)+'BLAZE SHIELD II'!$H$18*'HOJA DE CÁLCULO RESPALDO'!I158+'BLAZE SHIELD II'!$H$19)),0),0),0)),0)</f>
        <v>0</v>
      </c>
      <c r="O158" s="46">
        <f t="shared" si="18"/>
        <v>0</v>
      </c>
      <c r="P158" s="80">
        <f t="shared" si="15"/>
        <v>0</v>
      </c>
      <c r="Q158" s="85">
        <f>ROUND((IF(L158="Cafco 400",IF(M158="Idiem software",IF(AND(C158="IN",G158=4),((('CAFCO 400 '!$H$7*(J158^4)+'CAFCO 400 '!$H$8*(J158^3)+'CAFCO 400 '!$H$9*(J158^2)+'CAFCO 400 '!$H$10*J158+'CAFCO 400 '!$H$11)*I158^2)+(('CAFCO 400 '!$H$12*(J158^3)+'CAFCO 400 '!$H$13*(J158^2)+'CAFCO 400 '!$H$14*J158+'CAFCO 400 '!$H$15)*I158)+('CAFCO 400 '!$H$16*(J158^2)+'CAFCO 400 '!$H$17*J158+'CAFCO 400 '!$H$18)),0),0),0))+(IF(L158="Cafco 400",IF(M158="Idiem software",IF(C158="Cj",(((('CAFCO 400 '!$D$7*LN(J158)+'CAFCO 400 '!$D$8)*I158^2)+(('CAFCO 400 '!$D$9*LN(J158)+'CAFCO 400 '!$D$10)*I158)+('CAFCO 400 '!$D$11*LN(J158)+'CAFCO 400 '!$D$12))),0),0),0))+(IF(L158="Cafco 400",IF(M158="Idiem software",IF(C158="C",((('CAFCO 400 '!$L$7*(J158^3)+'CAFCO 400 '!$L$8*(J158^2)+'CAFCO 400 '!$L$9*J158+'CAFCO 400 '!$L$10)*I158^2)+(('CAFCO 400 '!$L$11*(J158^3)+'CAFCO 400 '!$L$12*(J158^2)+'CAFCO 400 '!$L$13*J158+'CAFCO 400 '!$L$14)*I158)+('CAFCO 400 '!$L$15*LN(J158)+'CAFCO 400 '!$L$16)),0),0),0))+(IF(L158="Cafco 400",IF(M158="Idiem software",IF(AND(C158="IN",G158=3),((('CAFCO 400 '!$D$23*(J158^2)+'CAFCO 400 '!$D$24*(J158)+'CAFCO 400 '!$D$25)*I158^2)+(('CAFCO 400 '!$D$26*(J158^2)+'CAFCO 400 '!$D$27*J158+'CAFCO 400 '!$D$28)*I158)+('CAFCO 400 '!$D$29*(J158^2)+'CAFCO 400 '!$D$30*J158+'CAFCO 400 '!$D$31)),0),0),0)),0)</f>
        <v>0</v>
      </c>
      <c r="R158" s="47">
        <f t="shared" si="19"/>
        <v>0</v>
      </c>
      <c r="S158" s="82">
        <f t="shared" si="16"/>
        <v>0</v>
      </c>
      <c r="T158" s="81">
        <f>+IF(AND(J158&gt;=95,J158&lt;=240),IF(AND(C158="Cj",I158=90),VLOOKUP(W158,'CAFCO 300 IDIEM TABLAS'!$B$4:$D$23,2,FALSE),0)+IF(AND(J158&gt;=95,J158&lt;=240),IF(AND(C158="Cj",I158=120),VLOOKUP(W158,'CAFCO 300 IDIEM TABLAS'!$B$4:$D$23,3,FALSE),0))+IF(AND(J158&gt;=95,J158&lt;=400,G158=3),IF(AND(C158="IN",I158=90),VLOOKUP(W158,'CAFCO 300 IDIEM TABLAS'!$F$4:$H$35,2,FALSE),0),0)+IF(AND(J158&gt;=95,J158&lt;=400,G158=3),IF(AND(C158="IN",I158=120),VLOOKUP(W158,'CAFCO 300 IDIEM TABLAS'!$F$4:$H$35,3,FALSE),0),0)+IF(AND(J158&gt;=95,J158&lt;=450,G158=4),IF(AND(C158="IN",I158=90),VLOOKUP(W158,'CAFCO 300 IDIEM TABLAS'!$J$4:$L$40,2,FALSE),0),0)+IF(AND(J158&gt;=95,J158&lt;=450,G158=4),IF(AND(C158="IN",I158=120),VLOOKUP(W158,'CAFCO 300 IDIEM TABLAS'!$J$4:$L$40,3,FALSE),0),0))</f>
        <v>17</v>
      </c>
      <c r="U158" s="48">
        <f t="shared" si="20"/>
        <v>0.2730693196405648</v>
      </c>
      <c r="V158" s="82">
        <f t="shared" si="17"/>
        <v>4099.8627650834396</v>
      </c>
      <c r="W158" s="64">
        <f>+IF(J158=LOOKUP(J158,'CAFCO 300 IDIEM TABLAS'!$J$4:$J$40),'HOJA DE CÁLCULO RESPALDO'!J158,MROUND('HOJA DE CÁLCULO RESPALDO'!J158,10))</f>
        <v>95</v>
      </c>
      <c r="X158" s="36"/>
      <c r="Y158" s="4"/>
    </row>
    <row r="159" spans="1:25" x14ac:dyDescent="0.25">
      <c r="A159" s="2" t="s">
        <v>41</v>
      </c>
      <c r="B159" s="3" t="s">
        <v>17</v>
      </c>
      <c r="C159" s="3" t="s">
        <v>19</v>
      </c>
      <c r="D159" s="3">
        <v>1</v>
      </c>
      <c r="E159" s="2">
        <v>1</v>
      </c>
      <c r="F159" s="8">
        <v>1500</v>
      </c>
      <c r="G159" s="1">
        <v>4</v>
      </c>
      <c r="H159" s="2">
        <v>3879</v>
      </c>
      <c r="I159" s="34">
        <v>90</v>
      </c>
      <c r="J159" s="11">
        <v>95</v>
      </c>
      <c r="K159" s="44">
        <f t="shared" si="14"/>
        <v>5.8185000000000002</v>
      </c>
      <c r="L159" s="3" t="s">
        <v>61</v>
      </c>
      <c r="M159" s="3" t="s">
        <v>70</v>
      </c>
      <c r="N159" s="15">
        <f>ROUND((IF(L159="Blaze Shield II",IF(M159="Idiem software",IF(AND(C159="IN",G159=4),((('BLAZE SHIELD II'!$D$4*('HOJA DE CÁLCULO RESPALDO'!I159^2)+'BLAZE SHIELD II'!$D$5*'HOJA DE CÁLCULO RESPALDO'!I159+'BLAZE SHIELD II'!$D$6)*LN(J159))+('BLAZE SHIELD II'!$D$7*('HOJA DE CÁLCULO RESPALDO'!I159^2)+'BLAZE SHIELD II'!$D$8*'HOJA DE CÁLCULO RESPALDO'!I159+'BLAZE SHIELD II'!$D$9)),0),0),0))+(IF(L159="Blaze Shield II",IF(M159="Idiem software",IF(C159="Cj",((('BLAZE SHIELD II'!$H$4*('HOJA DE CÁLCULO RESPALDO'!I159^2)+'BLAZE SHIELD II'!$H$5*'HOJA DE CÁLCULO RESPALDO'!I159+'BLAZE SHIELD II'!$H$6)*LN(J159))+('BLAZE SHIELD II'!$H$7*('HOJA DE CÁLCULO RESPALDO'!I159^2)+'BLAZE SHIELD II'!$H$8*'HOJA DE CÁLCULO RESPALDO'!I159+'BLAZE SHIELD II'!$H$9)),0),0),0))+(IF(L159="Blaze Shield II",IF(M159="Idiem software",IF(C159="C",((('BLAZE SHIELD II'!$L$4*('HOJA DE CÁLCULO RESPALDO'!I159^2)+'BLAZE SHIELD II'!$L$5*'HOJA DE CÁLCULO RESPALDO'!I159+'BLAZE SHIELD II'!$L$6)*LN(J159))+('BLAZE SHIELD II'!$L$7*('HOJA DE CÁLCULO RESPALDO'!I159^2)+'BLAZE SHIELD II'!$L$8*'HOJA DE CÁLCULO RESPALDO'!I159+'BLAZE SHIELD II'!$L$9)),0),0),0))+(IF(L159="Blaze Shield II",IF(M159="Idiem software",IF(AND(C159="IN",G159=3),((('BLAZE SHIELD II'!$H$14*('HOJA DE CÁLCULO RESPALDO'!I159^2)+'BLAZE SHIELD II'!$H$15*'HOJA DE CÁLCULO RESPALDO'!I159+'BLAZE SHIELD II'!$H$16)*LN(J159))+('BLAZE SHIELD II'!$H$17*('HOJA DE CÁLCULO RESPALDO'!I159^2)+'BLAZE SHIELD II'!$H$18*'HOJA DE CÁLCULO RESPALDO'!I159+'BLAZE SHIELD II'!$H$19)),0),0),0)),0)</f>
        <v>0</v>
      </c>
      <c r="O159" s="46">
        <f t="shared" si="18"/>
        <v>0</v>
      </c>
      <c r="P159" s="80">
        <f t="shared" si="15"/>
        <v>0</v>
      </c>
      <c r="Q159" s="85">
        <f>ROUND((IF(L159="Cafco 400",IF(M159="Idiem software",IF(AND(C159="IN",G159=4),((('CAFCO 400 '!$H$7*(J159^4)+'CAFCO 400 '!$H$8*(J159^3)+'CAFCO 400 '!$H$9*(J159^2)+'CAFCO 400 '!$H$10*J159+'CAFCO 400 '!$H$11)*I159^2)+(('CAFCO 400 '!$H$12*(J159^3)+'CAFCO 400 '!$H$13*(J159^2)+'CAFCO 400 '!$H$14*J159+'CAFCO 400 '!$H$15)*I159)+('CAFCO 400 '!$H$16*(J159^2)+'CAFCO 400 '!$H$17*J159+'CAFCO 400 '!$H$18)),0),0),0))+(IF(L159="Cafco 400",IF(M159="Idiem software",IF(C159="Cj",(((('CAFCO 400 '!$D$7*LN(J159)+'CAFCO 400 '!$D$8)*I159^2)+(('CAFCO 400 '!$D$9*LN(J159)+'CAFCO 400 '!$D$10)*I159)+('CAFCO 400 '!$D$11*LN(J159)+'CAFCO 400 '!$D$12))),0),0),0))+(IF(L159="Cafco 400",IF(M159="Idiem software",IF(C159="C",((('CAFCO 400 '!$L$7*(J159^3)+'CAFCO 400 '!$L$8*(J159^2)+'CAFCO 400 '!$L$9*J159+'CAFCO 400 '!$L$10)*I159^2)+(('CAFCO 400 '!$L$11*(J159^3)+'CAFCO 400 '!$L$12*(J159^2)+'CAFCO 400 '!$L$13*J159+'CAFCO 400 '!$L$14)*I159)+('CAFCO 400 '!$L$15*LN(J159)+'CAFCO 400 '!$L$16)),0),0),0))+(IF(L159="Cafco 400",IF(M159="Idiem software",IF(AND(C159="IN",G159=3),((('CAFCO 400 '!$D$23*(J159^2)+'CAFCO 400 '!$D$24*(J159)+'CAFCO 400 '!$D$25)*I159^2)+(('CAFCO 400 '!$D$26*(J159^2)+'CAFCO 400 '!$D$27*J159+'CAFCO 400 '!$D$28)*I159)+('CAFCO 400 '!$D$29*(J159^2)+'CAFCO 400 '!$D$30*J159+'CAFCO 400 '!$D$31)),0),0),0)),0)</f>
        <v>0</v>
      </c>
      <c r="R159" s="47">
        <f t="shared" si="19"/>
        <v>0</v>
      </c>
      <c r="S159" s="82">
        <f t="shared" si="16"/>
        <v>0</v>
      </c>
      <c r="T159" s="81">
        <f>+IF(AND(J159&gt;=95,J159&lt;=240),IF(AND(C159="Cj",I159=90),VLOOKUP(W159,'CAFCO 300 IDIEM TABLAS'!$B$4:$D$23,2,FALSE),0)+IF(AND(J159&gt;=95,J159&lt;=240),IF(AND(C159="Cj",I159=120),VLOOKUP(W159,'CAFCO 300 IDIEM TABLAS'!$B$4:$D$23,3,FALSE),0))+IF(AND(J159&gt;=95,J159&lt;=400,G159=3),IF(AND(C159="IN",I159=90),VLOOKUP(W159,'CAFCO 300 IDIEM TABLAS'!$F$4:$H$35,2,FALSE),0),0)+IF(AND(J159&gt;=95,J159&lt;=400,G159=3),IF(AND(C159="IN",I159=120),VLOOKUP(W159,'CAFCO 300 IDIEM TABLAS'!$F$4:$H$35,3,FALSE),0),0)+IF(AND(J159&gt;=95,J159&lt;=450,G159=4),IF(AND(C159="IN",I159=90),VLOOKUP(W159,'CAFCO 300 IDIEM TABLAS'!$J$4:$L$40,2,FALSE),0),0)+IF(AND(J159&gt;=95,J159&lt;=450,G159=4),IF(AND(C159="IN",I159=120),VLOOKUP(W159,'CAFCO 300 IDIEM TABLAS'!$J$4:$L$40,3,FALSE),0),0))</f>
        <v>17</v>
      </c>
      <c r="U159" s="48">
        <f t="shared" si="20"/>
        <v>1.3649947047496791</v>
      </c>
      <c r="V159" s="82">
        <f t="shared" si="17"/>
        <v>20494.030497111682</v>
      </c>
      <c r="W159" s="64">
        <f>+IF(J159=LOOKUP(J159,'CAFCO 300 IDIEM TABLAS'!$J$4:$J$40),'HOJA DE CÁLCULO RESPALDO'!J159,MROUND('HOJA DE CÁLCULO RESPALDO'!J159,10))</f>
        <v>95</v>
      </c>
      <c r="X159" s="36"/>
      <c r="Y159" s="4"/>
    </row>
    <row r="160" spans="1:25" ht="15.6" customHeight="1" x14ac:dyDescent="0.25">
      <c r="A160" s="2" t="s">
        <v>43</v>
      </c>
      <c r="B160" s="3" t="s">
        <v>17</v>
      </c>
      <c r="C160" s="3" t="s">
        <v>19</v>
      </c>
      <c r="D160" s="3">
        <v>1</v>
      </c>
      <c r="E160" s="2">
        <v>2</v>
      </c>
      <c r="F160" s="8">
        <v>26385</v>
      </c>
      <c r="G160" s="1">
        <v>4</v>
      </c>
      <c r="H160" s="2">
        <v>2784</v>
      </c>
      <c r="I160" s="34">
        <v>90</v>
      </c>
      <c r="J160" s="11">
        <v>95</v>
      </c>
      <c r="K160" s="44">
        <f t="shared" si="14"/>
        <v>146.91167999999999</v>
      </c>
      <c r="L160" s="3" t="s">
        <v>61</v>
      </c>
      <c r="M160" s="3" t="s">
        <v>70</v>
      </c>
      <c r="N160" s="15">
        <f>ROUND((IF(L160="Blaze Shield II",IF(M160="Idiem software",IF(AND(C160="IN",G160=4),((('BLAZE SHIELD II'!$D$4*('HOJA DE CÁLCULO RESPALDO'!I160^2)+'BLAZE SHIELD II'!$D$5*'HOJA DE CÁLCULO RESPALDO'!I160+'BLAZE SHIELD II'!$D$6)*LN(J160))+('BLAZE SHIELD II'!$D$7*('HOJA DE CÁLCULO RESPALDO'!I160^2)+'BLAZE SHIELD II'!$D$8*'HOJA DE CÁLCULO RESPALDO'!I160+'BLAZE SHIELD II'!$D$9)),0),0),0))+(IF(L160="Blaze Shield II",IF(M160="Idiem software",IF(C160="Cj",((('BLAZE SHIELD II'!$H$4*('HOJA DE CÁLCULO RESPALDO'!I160^2)+'BLAZE SHIELD II'!$H$5*'HOJA DE CÁLCULO RESPALDO'!I160+'BLAZE SHIELD II'!$H$6)*LN(J160))+('BLAZE SHIELD II'!$H$7*('HOJA DE CÁLCULO RESPALDO'!I160^2)+'BLAZE SHIELD II'!$H$8*'HOJA DE CÁLCULO RESPALDO'!I160+'BLAZE SHIELD II'!$H$9)),0),0),0))+(IF(L160="Blaze Shield II",IF(M160="Idiem software",IF(C160="C",((('BLAZE SHIELD II'!$L$4*('HOJA DE CÁLCULO RESPALDO'!I160^2)+'BLAZE SHIELD II'!$L$5*'HOJA DE CÁLCULO RESPALDO'!I160+'BLAZE SHIELD II'!$L$6)*LN(J160))+('BLAZE SHIELD II'!$L$7*('HOJA DE CÁLCULO RESPALDO'!I160^2)+'BLAZE SHIELD II'!$L$8*'HOJA DE CÁLCULO RESPALDO'!I160+'BLAZE SHIELD II'!$L$9)),0),0),0))+(IF(L160="Blaze Shield II",IF(M160="Idiem software",IF(AND(C160="IN",G160=3),((('BLAZE SHIELD II'!$H$14*('HOJA DE CÁLCULO RESPALDO'!I160^2)+'BLAZE SHIELD II'!$H$15*'HOJA DE CÁLCULO RESPALDO'!I160+'BLAZE SHIELD II'!$H$16)*LN(J160))+('BLAZE SHIELD II'!$H$17*('HOJA DE CÁLCULO RESPALDO'!I160^2)+'BLAZE SHIELD II'!$H$18*'HOJA DE CÁLCULO RESPALDO'!I160+'BLAZE SHIELD II'!$H$19)),0),0),0)),0)</f>
        <v>0</v>
      </c>
      <c r="O160" s="46">
        <f t="shared" si="18"/>
        <v>0</v>
      </c>
      <c r="P160" s="80">
        <f t="shared" si="15"/>
        <v>0</v>
      </c>
      <c r="Q160" s="85">
        <f>ROUND((IF(L160="Cafco 400",IF(M160="Idiem software",IF(AND(C160="IN",G160=4),((('CAFCO 400 '!$H$7*(J160^4)+'CAFCO 400 '!$H$8*(J160^3)+'CAFCO 400 '!$H$9*(J160^2)+'CAFCO 400 '!$H$10*J160+'CAFCO 400 '!$H$11)*I160^2)+(('CAFCO 400 '!$H$12*(J160^3)+'CAFCO 400 '!$H$13*(J160^2)+'CAFCO 400 '!$H$14*J160+'CAFCO 400 '!$H$15)*I160)+('CAFCO 400 '!$H$16*(J160^2)+'CAFCO 400 '!$H$17*J160+'CAFCO 400 '!$H$18)),0),0),0))+(IF(L160="Cafco 400",IF(M160="Idiem software",IF(C160="Cj",(((('CAFCO 400 '!$D$7*LN(J160)+'CAFCO 400 '!$D$8)*I160^2)+(('CAFCO 400 '!$D$9*LN(J160)+'CAFCO 400 '!$D$10)*I160)+('CAFCO 400 '!$D$11*LN(J160)+'CAFCO 400 '!$D$12))),0),0),0))+(IF(L160="Cafco 400",IF(M160="Idiem software",IF(C160="C",((('CAFCO 400 '!$L$7*(J160^3)+'CAFCO 400 '!$L$8*(J160^2)+'CAFCO 400 '!$L$9*J160+'CAFCO 400 '!$L$10)*I160^2)+(('CAFCO 400 '!$L$11*(J160^3)+'CAFCO 400 '!$L$12*(J160^2)+'CAFCO 400 '!$L$13*J160+'CAFCO 400 '!$L$14)*I160)+('CAFCO 400 '!$L$15*LN(J160)+'CAFCO 400 '!$L$16)),0),0),0))+(IF(L160="Cafco 400",IF(M160="Idiem software",IF(AND(C160="IN",G160=3),((('CAFCO 400 '!$D$23*(J160^2)+'CAFCO 400 '!$D$24*(J160)+'CAFCO 400 '!$D$25)*I160^2)+(('CAFCO 400 '!$D$26*(J160^2)+'CAFCO 400 '!$D$27*J160+'CAFCO 400 '!$D$28)*I160)+('CAFCO 400 '!$D$29*(J160^2)+'CAFCO 400 '!$D$30*J160+'CAFCO 400 '!$D$31)),0),0),0)),0)</f>
        <v>0</v>
      </c>
      <c r="R160" s="47">
        <f t="shared" si="19"/>
        <v>0</v>
      </c>
      <c r="S160" s="82">
        <f t="shared" si="16"/>
        <v>0</v>
      </c>
      <c r="T160" s="81">
        <f>+IF(AND(J160&gt;=95,J160&lt;=240),IF(AND(C160="Cj",I160=90),VLOOKUP(W160,'CAFCO 300 IDIEM TABLAS'!$B$4:$D$23,2,FALSE),0)+IF(AND(J160&gt;=95,J160&lt;=240),IF(AND(C160="Cj",I160=120),VLOOKUP(W160,'CAFCO 300 IDIEM TABLAS'!$B$4:$D$23,3,FALSE),0))+IF(AND(J160&gt;=95,J160&lt;=400,G160=3),IF(AND(C160="IN",I160=90),VLOOKUP(W160,'CAFCO 300 IDIEM TABLAS'!$F$4:$H$35,2,FALSE),0),0)+IF(AND(J160&gt;=95,J160&lt;=400,G160=3),IF(AND(C160="IN",I160=120),VLOOKUP(W160,'CAFCO 300 IDIEM TABLAS'!$F$4:$H$35,3,FALSE),0),0)+IF(AND(J160&gt;=95,J160&lt;=450,G160=4),IF(AND(C160="IN",I160=90),VLOOKUP(W160,'CAFCO 300 IDIEM TABLAS'!$J$4:$L$40,2,FALSE),0),0)+IF(AND(J160&gt;=95,J160&lt;=450,G160=4),IF(AND(C160="IN",I160=120),VLOOKUP(W160,'CAFCO 300 IDIEM TABLAS'!$J$4:$L$40,3,FALSE),0),0))</f>
        <v>17</v>
      </c>
      <c r="U160" s="48">
        <f t="shared" si="20"/>
        <v>34.464838921694479</v>
      </c>
      <c r="V160" s="82">
        <f t="shared" si="17"/>
        <v>517455.09157032089</v>
      </c>
      <c r="W160" s="64">
        <f>+IF(J160=LOOKUP(J160,'CAFCO 300 IDIEM TABLAS'!$J$4:$J$40),'HOJA DE CÁLCULO RESPALDO'!J160,MROUND('HOJA DE CÁLCULO RESPALDO'!J160,10))</f>
        <v>95</v>
      </c>
      <c r="X160" s="36"/>
      <c r="Y160" s="4"/>
    </row>
    <row r="161" spans="1:25" x14ac:dyDescent="0.25">
      <c r="A161" s="2" t="s">
        <v>44</v>
      </c>
      <c r="B161" s="3" t="s">
        <v>17</v>
      </c>
      <c r="C161" s="3" t="s">
        <v>19</v>
      </c>
      <c r="D161" s="3">
        <v>1</v>
      </c>
      <c r="E161" s="2">
        <v>1</v>
      </c>
      <c r="F161" s="8">
        <v>91778</v>
      </c>
      <c r="G161" s="1">
        <v>4</v>
      </c>
      <c r="H161" s="2">
        <v>1781</v>
      </c>
      <c r="I161" s="34">
        <v>90</v>
      </c>
      <c r="J161" s="11">
        <v>95</v>
      </c>
      <c r="K161" s="44">
        <f t="shared" si="14"/>
        <v>163.45661799999999</v>
      </c>
      <c r="L161" s="3" t="s">
        <v>61</v>
      </c>
      <c r="M161" s="3" t="s">
        <v>70</v>
      </c>
      <c r="N161" s="15">
        <f>ROUND((IF(L161="Blaze Shield II",IF(M161="Idiem software",IF(AND(C161="IN",G161=4),((('BLAZE SHIELD II'!$D$4*('HOJA DE CÁLCULO RESPALDO'!I161^2)+'BLAZE SHIELD II'!$D$5*'HOJA DE CÁLCULO RESPALDO'!I161+'BLAZE SHIELD II'!$D$6)*LN(J161))+('BLAZE SHIELD II'!$D$7*('HOJA DE CÁLCULO RESPALDO'!I161^2)+'BLAZE SHIELD II'!$D$8*'HOJA DE CÁLCULO RESPALDO'!I161+'BLAZE SHIELD II'!$D$9)),0),0),0))+(IF(L161="Blaze Shield II",IF(M161="Idiem software",IF(C161="Cj",((('BLAZE SHIELD II'!$H$4*('HOJA DE CÁLCULO RESPALDO'!I161^2)+'BLAZE SHIELD II'!$H$5*'HOJA DE CÁLCULO RESPALDO'!I161+'BLAZE SHIELD II'!$H$6)*LN(J161))+('BLAZE SHIELD II'!$H$7*('HOJA DE CÁLCULO RESPALDO'!I161^2)+'BLAZE SHIELD II'!$H$8*'HOJA DE CÁLCULO RESPALDO'!I161+'BLAZE SHIELD II'!$H$9)),0),0),0))+(IF(L161="Blaze Shield II",IF(M161="Idiem software",IF(C161="C",((('BLAZE SHIELD II'!$L$4*('HOJA DE CÁLCULO RESPALDO'!I161^2)+'BLAZE SHIELD II'!$L$5*'HOJA DE CÁLCULO RESPALDO'!I161+'BLAZE SHIELD II'!$L$6)*LN(J161))+('BLAZE SHIELD II'!$L$7*('HOJA DE CÁLCULO RESPALDO'!I161^2)+'BLAZE SHIELD II'!$L$8*'HOJA DE CÁLCULO RESPALDO'!I161+'BLAZE SHIELD II'!$L$9)),0),0),0))+(IF(L161="Blaze Shield II",IF(M161="Idiem software",IF(AND(C161="IN",G161=3),((('BLAZE SHIELD II'!$H$14*('HOJA DE CÁLCULO RESPALDO'!I161^2)+'BLAZE SHIELD II'!$H$15*'HOJA DE CÁLCULO RESPALDO'!I161+'BLAZE SHIELD II'!$H$16)*LN(J161))+('BLAZE SHIELD II'!$H$17*('HOJA DE CÁLCULO RESPALDO'!I161^2)+'BLAZE SHIELD II'!$H$18*'HOJA DE CÁLCULO RESPALDO'!I161+'BLAZE SHIELD II'!$H$19)),0),0),0)),0)</f>
        <v>0</v>
      </c>
      <c r="O161" s="46">
        <f t="shared" si="18"/>
        <v>0</v>
      </c>
      <c r="P161" s="80">
        <f t="shared" si="15"/>
        <v>0</v>
      </c>
      <c r="Q161" s="85">
        <f>ROUND((IF(L161="Cafco 400",IF(M161="Idiem software",IF(AND(C161="IN",G161=4),((('CAFCO 400 '!$H$7*(J161^4)+'CAFCO 400 '!$H$8*(J161^3)+'CAFCO 400 '!$H$9*(J161^2)+'CAFCO 400 '!$H$10*J161+'CAFCO 400 '!$H$11)*I161^2)+(('CAFCO 400 '!$H$12*(J161^3)+'CAFCO 400 '!$H$13*(J161^2)+'CAFCO 400 '!$H$14*J161+'CAFCO 400 '!$H$15)*I161)+('CAFCO 400 '!$H$16*(J161^2)+'CAFCO 400 '!$H$17*J161+'CAFCO 400 '!$H$18)),0),0),0))+(IF(L161="Cafco 400",IF(M161="Idiem software",IF(C161="Cj",(((('CAFCO 400 '!$D$7*LN(J161)+'CAFCO 400 '!$D$8)*I161^2)+(('CAFCO 400 '!$D$9*LN(J161)+'CAFCO 400 '!$D$10)*I161)+('CAFCO 400 '!$D$11*LN(J161)+'CAFCO 400 '!$D$12))),0),0),0))+(IF(L161="Cafco 400",IF(M161="Idiem software",IF(C161="C",((('CAFCO 400 '!$L$7*(J161^3)+'CAFCO 400 '!$L$8*(J161^2)+'CAFCO 400 '!$L$9*J161+'CAFCO 400 '!$L$10)*I161^2)+(('CAFCO 400 '!$L$11*(J161^3)+'CAFCO 400 '!$L$12*(J161^2)+'CAFCO 400 '!$L$13*J161+'CAFCO 400 '!$L$14)*I161)+('CAFCO 400 '!$L$15*LN(J161)+'CAFCO 400 '!$L$16)),0),0),0))+(IF(L161="Cafco 400",IF(M161="Idiem software",IF(AND(C161="IN",G161=3),((('CAFCO 400 '!$D$23*(J161^2)+'CAFCO 400 '!$D$24*(J161)+'CAFCO 400 '!$D$25)*I161^2)+(('CAFCO 400 '!$D$26*(J161^2)+'CAFCO 400 '!$D$27*J161+'CAFCO 400 '!$D$28)*I161)+('CAFCO 400 '!$D$29*(J161^2)+'CAFCO 400 '!$D$30*J161+'CAFCO 400 '!$D$31)),0),0),0)),0)</f>
        <v>0</v>
      </c>
      <c r="R161" s="47">
        <f t="shared" si="19"/>
        <v>0</v>
      </c>
      <c r="S161" s="82">
        <f t="shared" si="16"/>
        <v>0</v>
      </c>
      <c r="T161" s="81">
        <f>+IF(AND(J161&gt;=95,J161&lt;=240),IF(AND(C161="Cj",I161=90),VLOOKUP(W161,'CAFCO 300 IDIEM TABLAS'!$B$4:$D$23,2,FALSE),0)+IF(AND(J161&gt;=95,J161&lt;=240),IF(AND(C161="Cj",I161=120),VLOOKUP(W161,'CAFCO 300 IDIEM TABLAS'!$B$4:$D$23,3,FALSE),0))+IF(AND(J161&gt;=95,J161&lt;=400,G161=3),IF(AND(C161="IN",I161=90),VLOOKUP(W161,'CAFCO 300 IDIEM TABLAS'!$F$4:$H$35,2,FALSE),0),0)+IF(AND(J161&gt;=95,J161&lt;=400,G161=3),IF(AND(C161="IN",I161=120),VLOOKUP(W161,'CAFCO 300 IDIEM TABLAS'!$F$4:$H$35,3,FALSE),0),0)+IF(AND(J161&gt;=95,J161&lt;=450,G161=4),IF(AND(C161="IN",I161=90),VLOOKUP(W161,'CAFCO 300 IDIEM TABLAS'!$J$4:$L$40,2,FALSE),0),0)+IF(AND(J161&gt;=95,J161&lt;=450,G161=4),IF(AND(C161="IN",I161=120),VLOOKUP(W161,'CAFCO 300 IDIEM TABLAS'!$J$4:$L$40,3,FALSE),0),0))</f>
        <v>17</v>
      </c>
      <c r="U161" s="48">
        <f t="shared" si="20"/>
        <v>38.34620916495507</v>
      </c>
      <c r="V161" s="82">
        <f t="shared" si="17"/>
        <v>575729.98440263537</v>
      </c>
      <c r="W161" s="64">
        <f>+IF(J161=LOOKUP(J161,'CAFCO 300 IDIEM TABLAS'!$J$4:$J$40),'HOJA DE CÁLCULO RESPALDO'!J161,MROUND('HOJA DE CÁLCULO RESPALDO'!J161,10))</f>
        <v>95</v>
      </c>
      <c r="X161" s="36"/>
      <c r="Y161" s="4"/>
    </row>
    <row r="162" spans="1:25" ht="15.6" customHeight="1" x14ac:dyDescent="0.25">
      <c r="A162" s="2" t="s">
        <v>44</v>
      </c>
      <c r="B162" s="3" t="s">
        <v>17</v>
      </c>
      <c r="C162" s="3" t="s">
        <v>19</v>
      </c>
      <c r="D162" s="3">
        <v>1</v>
      </c>
      <c r="E162" s="2">
        <v>2</v>
      </c>
      <c r="F162" s="8">
        <v>12900</v>
      </c>
      <c r="G162" s="1">
        <v>4</v>
      </c>
      <c r="H162" s="2">
        <v>968</v>
      </c>
      <c r="I162" s="34">
        <v>90</v>
      </c>
      <c r="J162" s="11">
        <v>95</v>
      </c>
      <c r="K162" s="44">
        <f t="shared" si="14"/>
        <v>24.974399999999999</v>
      </c>
      <c r="L162" s="3" t="s">
        <v>61</v>
      </c>
      <c r="M162" s="3" t="s">
        <v>70</v>
      </c>
      <c r="N162" s="15">
        <f>ROUND((IF(L162="Blaze Shield II",IF(M162="Idiem software",IF(AND(C162="IN",G162=4),((('BLAZE SHIELD II'!$D$4*('HOJA DE CÁLCULO RESPALDO'!I162^2)+'BLAZE SHIELD II'!$D$5*'HOJA DE CÁLCULO RESPALDO'!I162+'BLAZE SHIELD II'!$D$6)*LN(J162))+('BLAZE SHIELD II'!$D$7*('HOJA DE CÁLCULO RESPALDO'!I162^2)+'BLAZE SHIELD II'!$D$8*'HOJA DE CÁLCULO RESPALDO'!I162+'BLAZE SHIELD II'!$D$9)),0),0),0))+(IF(L162="Blaze Shield II",IF(M162="Idiem software",IF(C162="Cj",((('BLAZE SHIELD II'!$H$4*('HOJA DE CÁLCULO RESPALDO'!I162^2)+'BLAZE SHIELD II'!$H$5*'HOJA DE CÁLCULO RESPALDO'!I162+'BLAZE SHIELD II'!$H$6)*LN(J162))+('BLAZE SHIELD II'!$H$7*('HOJA DE CÁLCULO RESPALDO'!I162^2)+'BLAZE SHIELD II'!$H$8*'HOJA DE CÁLCULO RESPALDO'!I162+'BLAZE SHIELD II'!$H$9)),0),0),0))+(IF(L162="Blaze Shield II",IF(M162="Idiem software",IF(C162="C",((('BLAZE SHIELD II'!$L$4*('HOJA DE CÁLCULO RESPALDO'!I162^2)+'BLAZE SHIELD II'!$L$5*'HOJA DE CÁLCULO RESPALDO'!I162+'BLAZE SHIELD II'!$L$6)*LN(J162))+('BLAZE SHIELD II'!$L$7*('HOJA DE CÁLCULO RESPALDO'!I162^2)+'BLAZE SHIELD II'!$L$8*'HOJA DE CÁLCULO RESPALDO'!I162+'BLAZE SHIELD II'!$L$9)),0),0),0))+(IF(L162="Blaze Shield II",IF(M162="Idiem software",IF(AND(C162="IN",G162=3),((('BLAZE SHIELD II'!$H$14*('HOJA DE CÁLCULO RESPALDO'!I162^2)+'BLAZE SHIELD II'!$H$15*'HOJA DE CÁLCULO RESPALDO'!I162+'BLAZE SHIELD II'!$H$16)*LN(J162))+('BLAZE SHIELD II'!$H$17*('HOJA DE CÁLCULO RESPALDO'!I162^2)+'BLAZE SHIELD II'!$H$18*'HOJA DE CÁLCULO RESPALDO'!I162+'BLAZE SHIELD II'!$H$19)),0),0),0)),0)</f>
        <v>0</v>
      </c>
      <c r="O162" s="46">
        <f t="shared" si="18"/>
        <v>0</v>
      </c>
      <c r="P162" s="80">
        <f t="shared" si="15"/>
        <v>0</v>
      </c>
      <c r="Q162" s="85">
        <f>ROUND((IF(L162="Cafco 400",IF(M162="Idiem software",IF(AND(C162="IN",G162=4),((('CAFCO 400 '!$H$7*(J162^4)+'CAFCO 400 '!$H$8*(J162^3)+'CAFCO 400 '!$H$9*(J162^2)+'CAFCO 400 '!$H$10*J162+'CAFCO 400 '!$H$11)*I162^2)+(('CAFCO 400 '!$H$12*(J162^3)+'CAFCO 400 '!$H$13*(J162^2)+'CAFCO 400 '!$H$14*J162+'CAFCO 400 '!$H$15)*I162)+('CAFCO 400 '!$H$16*(J162^2)+'CAFCO 400 '!$H$17*J162+'CAFCO 400 '!$H$18)),0),0),0))+(IF(L162="Cafco 400",IF(M162="Idiem software",IF(C162="Cj",(((('CAFCO 400 '!$D$7*LN(J162)+'CAFCO 400 '!$D$8)*I162^2)+(('CAFCO 400 '!$D$9*LN(J162)+'CAFCO 400 '!$D$10)*I162)+('CAFCO 400 '!$D$11*LN(J162)+'CAFCO 400 '!$D$12))),0),0),0))+(IF(L162="Cafco 400",IF(M162="Idiem software",IF(C162="C",((('CAFCO 400 '!$L$7*(J162^3)+'CAFCO 400 '!$L$8*(J162^2)+'CAFCO 400 '!$L$9*J162+'CAFCO 400 '!$L$10)*I162^2)+(('CAFCO 400 '!$L$11*(J162^3)+'CAFCO 400 '!$L$12*(J162^2)+'CAFCO 400 '!$L$13*J162+'CAFCO 400 '!$L$14)*I162)+('CAFCO 400 '!$L$15*LN(J162)+'CAFCO 400 '!$L$16)),0),0),0))+(IF(L162="Cafco 400",IF(M162="Idiem software",IF(AND(C162="IN",G162=3),((('CAFCO 400 '!$D$23*(J162^2)+'CAFCO 400 '!$D$24*(J162)+'CAFCO 400 '!$D$25)*I162^2)+(('CAFCO 400 '!$D$26*(J162^2)+'CAFCO 400 '!$D$27*J162+'CAFCO 400 '!$D$28)*I162)+('CAFCO 400 '!$D$29*(J162^2)+'CAFCO 400 '!$D$30*J162+'CAFCO 400 '!$D$31)),0),0),0)),0)</f>
        <v>0</v>
      </c>
      <c r="R162" s="47">
        <f t="shared" si="19"/>
        <v>0</v>
      </c>
      <c r="S162" s="82">
        <f t="shared" si="16"/>
        <v>0</v>
      </c>
      <c r="T162" s="81">
        <f>+IF(AND(J162&gt;=95,J162&lt;=240),IF(AND(C162="Cj",I162=90),VLOOKUP(W162,'CAFCO 300 IDIEM TABLAS'!$B$4:$D$23,2,FALSE),0)+IF(AND(J162&gt;=95,J162&lt;=240),IF(AND(C162="Cj",I162=120),VLOOKUP(W162,'CAFCO 300 IDIEM TABLAS'!$B$4:$D$23,3,FALSE),0))+IF(AND(J162&gt;=95,J162&lt;=400,G162=3),IF(AND(C162="IN",I162=90),VLOOKUP(W162,'CAFCO 300 IDIEM TABLAS'!$F$4:$H$35,2,FALSE),0),0)+IF(AND(J162&gt;=95,J162&lt;=400,G162=3),IF(AND(C162="IN",I162=120),VLOOKUP(W162,'CAFCO 300 IDIEM TABLAS'!$F$4:$H$35,3,FALSE),0),0)+IF(AND(J162&gt;=95,J162&lt;=450,G162=4),IF(AND(C162="IN",I162=90),VLOOKUP(W162,'CAFCO 300 IDIEM TABLAS'!$J$4:$L$40,2,FALSE),0),0)+IF(AND(J162&gt;=95,J162&lt;=450,G162=4),IF(AND(C162="IN",I162=120),VLOOKUP(W162,'CAFCO 300 IDIEM TABLAS'!$J$4:$L$40,3,FALSE),0),0))</f>
        <v>17</v>
      </c>
      <c r="U162" s="48">
        <f t="shared" si="20"/>
        <v>5.8588852374839533</v>
      </c>
      <c r="V162" s="82">
        <f t="shared" si="17"/>
        <v>87965.302955584077</v>
      </c>
      <c r="W162" s="64">
        <f>+IF(J162=LOOKUP(J162,'CAFCO 300 IDIEM TABLAS'!$J$4:$J$40),'HOJA DE CÁLCULO RESPALDO'!J162,MROUND('HOJA DE CÁLCULO RESPALDO'!J162,10))</f>
        <v>95</v>
      </c>
      <c r="X162" s="36"/>
      <c r="Y162" s="4"/>
    </row>
    <row r="163" spans="1:25" x14ac:dyDescent="0.25">
      <c r="A163" s="2" t="s">
        <v>42</v>
      </c>
      <c r="B163" s="3" t="s">
        <v>17</v>
      </c>
      <c r="C163" s="3" t="s">
        <v>19</v>
      </c>
      <c r="D163" s="3">
        <v>1</v>
      </c>
      <c r="E163" s="2">
        <v>1</v>
      </c>
      <c r="F163" s="8">
        <v>17971</v>
      </c>
      <c r="G163" s="1">
        <v>4</v>
      </c>
      <c r="H163" s="2">
        <v>2184</v>
      </c>
      <c r="I163" s="34">
        <v>90</v>
      </c>
      <c r="J163" s="11">
        <v>95</v>
      </c>
      <c r="K163" s="44">
        <f t="shared" si="14"/>
        <v>39.248663999999998</v>
      </c>
      <c r="L163" s="3" t="s">
        <v>61</v>
      </c>
      <c r="M163" s="3" t="s">
        <v>70</v>
      </c>
      <c r="N163" s="15">
        <f>ROUND((IF(L163="Blaze Shield II",IF(M163="Idiem software",IF(AND(C163="IN",G163=4),((('BLAZE SHIELD II'!$D$4*('HOJA DE CÁLCULO RESPALDO'!I163^2)+'BLAZE SHIELD II'!$D$5*'HOJA DE CÁLCULO RESPALDO'!I163+'BLAZE SHIELD II'!$D$6)*LN(J163))+('BLAZE SHIELD II'!$D$7*('HOJA DE CÁLCULO RESPALDO'!I163^2)+'BLAZE SHIELD II'!$D$8*'HOJA DE CÁLCULO RESPALDO'!I163+'BLAZE SHIELD II'!$D$9)),0),0),0))+(IF(L163="Blaze Shield II",IF(M163="Idiem software",IF(C163="Cj",((('BLAZE SHIELD II'!$H$4*('HOJA DE CÁLCULO RESPALDO'!I163^2)+'BLAZE SHIELD II'!$H$5*'HOJA DE CÁLCULO RESPALDO'!I163+'BLAZE SHIELD II'!$H$6)*LN(J163))+('BLAZE SHIELD II'!$H$7*('HOJA DE CÁLCULO RESPALDO'!I163^2)+'BLAZE SHIELD II'!$H$8*'HOJA DE CÁLCULO RESPALDO'!I163+'BLAZE SHIELD II'!$H$9)),0),0),0))+(IF(L163="Blaze Shield II",IF(M163="Idiem software",IF(C163="C",((('BLAZE SHIELD II'!$L$4*('HOJA DE CÁLCULO RESPALDO'!I163^2)+'BLAZE SHIELD II'!$L$5*'HOJA DE CÁLCULO RESPALDO'!I163+'BLAZE SHIELD II'!$L$6)*LN(J163))+('BLAZE SHIELD II'!$L$7*('HOJA DE CÁLCULO RESPALDO'!I163^2)+'BLAZE SHIELD II'!$L$8*'HOJA DE CÁLCULO RESPALDO'!I163+'BLAZE SHIELD II'!$L$9)),0),0),0))+(IF(L163="Blaze Shield II",IF(M163="Idiem software",IF(AND(C163="IN",G163=3),((('BLAZE SHIELD II'!$H$14*('HOJA DE CÁLCULO RESPALDO'!I163^2)+'BLAZE SHIELD II'!$H$15*'HOJA DE CÁLCULO RESPALDO'!I163+'BLAZE SHIELD II'!$H$16)*LN(J163))+('BLAZE SHIELD II'!$H$17*('HOJA DE CÁLCULO RESPALDO'!I163^2)+'BLAZE SHIELD II'!$H$18*'HOJA DE CÁLCULO RESPALDO'!I163+'BLAZE SHIELD II'!$H$19)),0),0),0)),0)</f>
        <v>0</v>
      </c>
      <c r="O163" s="46">
        <f t="shared" si="18"/>
        <v>0</v>
      </c>
      <c r="P163" s="80">
        <f t="shared" si="15"/>
        <v>0</v>
      </c>
      <c r="Q163" s="85">
        <f>ROUND((IF(L163="Cafco 400",IF(M163="Idiem software",IF(AND(C163="IN",G163=4),((('CAFCO 400 '!$H$7*(J163^4)+'CAFCO 400 '!$H$8*(J163^3)+'CAFCO 400 '!$H$9*(J163^2)+'CAFCO 400 '!$H$10*J163+'CAFCO 400 '!$H$11)*I163^2)+(('CAFCO 400 '!$H$12*(J163^3)+'CAFCO 400 '!$H$13*(J163^2)+'CAFCO 400 '!$H$14*J163+'CAFCO 400 '!$H$15)*I163)+('CAFCO 400 '!$H$16*(J163^2)+'CAFCO 400 '!$H$17*J163+'CAFCO 400 '!$H$18)),0),0),0))+(IF(L163="Cafco 400",IF(M163="Idiem software",IF(C163="Cj",(((('CAFCO 400 '!$D$7*LN(J163)+'CAFCO 400 '!$D$8)*I163^2)+(('CAFCO 400 '!$D$9*LN(J163)+'CAFCO 400 '!$D$10)*I163)+('CAFCO 400 '!$D$11*LN(J163)+'CAFCO 400 '!$D$12))),0),0),0))+(IF(L163="Cafco 400",IF(M163="Idiem software",IF(C163="C",((('CAFCO 400 '!$L$7*(J163^3)+'CAFCO 400 '!$L$8*(J163^2)+'CAFCO 400 '!$L$9*J163+'CAFCO 400 '!$L$10)*I163^2)+(('CAFCO 400 '!$L$11*(J163^3)+'CAFCO 400 '!$L$12*(J163^2)+'CAFCO 400 '!$L$13*J163+'CAFCO 400 '!$L$14)*I163)+('CAFCO 400 '!$L$15*LN(J163)+'CAFCO 400 '!$L$16)),0),0),0))+(IF(L163="Cafco 400",IF(M163="Idiem software",IF(AND(C163="IN",G163=3),((('CAFCO 400 '!$D$23*(J163^2)+'CAFCO 400 '!$D$24*(J163)+'CAFCO 400 '!$D$25)*I163^2)+(('CAFCO 400 '!$D$26*(J163^2)+'CAFCO 400 '!$D$27*J163+'CAFCO 400 '!$D$28)*I163)+('CAFCO 400 '!$D$29*(J163^2)+'CAFCO 400 '!$D$30*J163+'CAFCO 400 '!$D$31)),0),0),0)),0)</f>
        <v>0</v>
      </c>
      <c r="R163" s="47">
        <f t="shared" si="19"/>
        <v>0</v>
      </c>
      <c r="S163" s="82">
        <f t="shared" si="16"/>
        <v>0</v>
      </c>
      <c r="T163" s="81">
        <f>+IF(AND(J163&gt;=95,J163&lt;=240),IF(AND(C163="Cj",I163=90),VLOOKUP(W163,'CAFCO 300 IDIEM TABLAS'!$B$4:$D$23,2,FALSE),0)+IF(AND(J163&gt;=95,J163&lt;=240),IF(AND(C163="Cj",I163=120),VLOOKUP(W163,'CAFCO 300 IDIEM TABLAS'!$B$4:$D$23,3,FALSE),0))+IF(AND(J163&gt;=95,J163&lt;=400,G163=3),IF(AND(C163="IN",I163=90),VLOOKUP(W163,'CAFCO 300 IDIEM TABLAS'!$F$4:$H$35,2,FALSE),0),0)+IF(AND(J163&gt;=95,J163&lt;=400,G163=3),IF(AND(C163="IN",I163=120),VLOOKUP(W163,'CAFCO 300 IDIEM TABLAS'!$F$4:$H$35,3,FALSE),0),0)+IF(AND(J163&gt;=95,J163&lt;=450,G163=4),IF(AND(C163="IN",I163=90),VLOOKUP(W163,'CAFCO 300 IDIEM TABLAS'!$J$4:$L$40,2,FALSE),0),0)+IF(AND(J163&gt;=95,J163&lt;=450,G163=4),IF(AND(C163="IN",I163=120),VLOOKUP(W163,'CAFCO 300 IDIEM TABLAS'!$J$4:$L$40,3,FALSE),0),0))</f>
        <v>17</v>
      </c>
      <c r="U163" s="48">
        <f t="shared" si="20"/>
        <v>9.2075652708600764</v>
      </c>
      <c r="V163" s="82">
        <f t="shared" si="17"/>
        <v>138242.3849766932</v>
      </c>
      <c r="W163" s="64">
        <f>+IF(J163=LOOKUP(J163,'CAFCO 300 IDIEM TABLAS'!$J$4:$J$40),'HOJA DE CÁLCULO RESPALDO'!J163,MROUND('HOJA DE CÁLCULO RESPALDO'!J163,10))</f>
        <v>95</v>
      </c>
      <c r="X163" s="36"/>
      <c r="Y163" s="4"/>
    </row>
    <row r="164" spans="1:25" ht="15.6" customHeight="1" x14ac:dyDescent="0.25">
      <c r="A164" s="2" t="s">
        <v>43</v>
      </c>
      <c r="B164" s="3" t="s">
        <v>17</v>
      </c>
      <c r="C164" s="3" t="s">
        <v>19</v>
      </c>
      <c r="D164" s="3">
        <v>1</v>
      </c>
      <c r="E164" s="2">
        <v>1</v>
      </c>
      <c r="F164" s="8">
        <v>7759</v>
      </c>
      <c r="G164" s="1">
        <v>4</v>
      </c>
      <c r="H164" s="2">
        <v>785</v>
      </c>
      <c r="I164" s="34">
        <v>90</v>
      </c>
      <c r="J164" s="11">
        <v>95</v>
      </c>
      <c r="K164" s="44">
        <f t="shared" si="14"/>
        <v>6.0908150000000001</v>
      </c>
      <c r="L164" s="3" t="s">
        <v>61</v>
      </c>
      <c r="M164" s="3" t="s">
        <v>70</v>
      </c>
      <c r="N164" s="15">
        <f>ROUND((IF(L164="Blaze Shield II",IF(M164="Idiem software",IF(AND(C164="IN",G164=4),((('BLAZE SHIELD II'!$D$4*('HOJA DE CÁLCULO RESPALDO'!I164^2)+'BLAZE SHIELD II'!$D$5*'HOJA DE CÁLCULO RESPALDO'!I164+'BLAZE SHIELD II'!$D$6)*LN(J164))+('BLAZE SHIELD II'!$D$7*('HOJA DE CÁLCULO RESPALDO'!I164^2)+'BLAZE SHIELD II'!$D$8*'HOJA DE CÁLCULO RESPALDO'!I164+'BLAZE SHIELD II'!$D$9)),0),0),0))+(IF(L164="Blaze Shield II",IF(M164="Idiem software",IF(C164="Cj",((('BLAZE SHIELD II'!$H$4*('HOJA DE CÁLCULO RESPALDO'!I164^2)+'BLAZE SHIELD II'!$H$5*'HOJA DE CÁLCULO RESPALDO'!I164+'BLAZE SHIELD II'!$H$6)*LN(J164))+('BLAZE SHIELD II'!$H$7*('HOJA DE CÁLCULO RESPALDO'!I164^2)+'BLAZE SHIELD II'!$H$8*'HOJA DE CÁLCULO RESPALDO'!I164+'BLAZE SHIELD II'!$H$9)),0),0),0))+(IF(L164="Blaze Shield II",IF(M164="Idiem software",IF(C164="C",((('BLAZE SHIELD II'!$L$4*('HOJA DE CÁLCULO RESPALDO'!I164^2)+'BLAZE SHIELD II'!$L$5*'HOJA DE CÁLCULO RESPALDO'!I164+'BLAZE SHIELD II'!$L$6)*LN(J164))+('BLAZE SHIELD II'!$L$7*('HOJA DE CÁLCULO RESPALDO'!I164^2)+'BLAZE SHIELD II'!$L$8*'HOJA DE CÁLCULO RESPALDO'!I164+'BLAZE SHIELD II'!$L$9)),0),0),0))+(IF(L164="Blaze Shield II",IF(M164="Idiem software",IF(AND(C164="IN",G164=3),((('BLAZE SHIELD II'!$H$14*('HOJA DE CÁLCULO RESPALDO'!I164^2)+'BLAZE SHIELD II'!$H$15*'HOJA DE CÁLCULO RESPALDO'!I164+'BLAZE SHIELD II'!$H$16)*LN(J164))+('BLAZE SHIELD II'!$H$17*('HOJA DE CÁLCULO RESPALDO'!I164^2)+'BLAZE SHIELD II'!$H$18*'HOJA DE CÁLCULO RESPALDO'!I164+'BLAZE SHIELD II'!$H$19)),0),0),0)),0)</f>
        <v>0</v>
      </c>
      <c r="O164" s="46">
        <f t="shared" si="18"/>
        <v>0</v>
      </c>
      <c r="P164" s="80">
        <f t="shared" si="15"/>
        <v>0</v>
      </c>
      <c r="Q164" s="85">
        <f>ROUND((IF(L164="Cafco 400",IF(M164="Idiem software",IF(AND(C164="IN",G164=4),((('CAFCO 400 '!$H$7*(J164^4)+'CAFCO 400 '!$H$8*(J164^3)+'CAFCO 400 '!$H$9*(J164^2)+'CAFCO 400 '!$H$10*J164+'CAFCO 400 '!$H$11)*I164^2)+(('CAFCO 400 '!$H$12*(J164^3)+'CAFCO 400 '!$H$13*(J164^2)+'CAFCO 400 '!$H$14*J164+'CAFCO 400 '!$H$15)*I164)+('CAFCO 400 '!$H$16*(J164^2)+'CAFCO 400 '!$H$17*J164+'CAFCO 400 '!$H$18)),0),0),0))+(IF(L164="Cafco 400",IF(M164="Idiem software",IF(C164="Cj",(((('CAFCO 400 '!$D$7*LN(J164)+'CAFCO 400 '!$D$8)*I164^2)+(('CAFCO 400 '!$D$9*LN(J164)+'CAFCO 400 '!$D$10)*I164)+('CAFCO 400 '!$D$11*LN(J164)+'CAFCO 400 '!$D$12))),0),0),0))+(IF(L164="Cafco 400",IF(M164="Idiem software",IF(C164="C",((('CAFCO 400 '!$L$7*(J164^3)+'CAFCO 400 '!$L$8*(J164^2)+'CAFCO 400 '!$L$9*J164+'CAFCO 400 '!$L$10)*I164^2)+(('CAFCO 400 '!$L$11*(J164^3)+'CAFCO 400 '!$L$12*(J164^2)+'CAFCO 400 '!$L$13*J164+'CAFCO 400 '!$L$14)*I164)+('CAFCO 400 '!$L$15*LN(J164)+'CAFCO 400 '!$L$16)),0),0),0))+(IF(L164="Cafco 400",IF(M164="Idiem software",IF(AND(C164="IN",G164=3),((('CAFCO 400 '!$D$23*(J164^2)+'CAFCO 400 '!$D$24*(J164)+'CAFCO 400 '!$D$25)*I164^2)+(('CAFCO 400 '!$D$26*(J164^2)+'CAFCO 400 '!$D$27*J164+'CAFCO 400 '!$D$28)*I164)+('CAFCO 400 '!$D$29*(J164^2)+'CAFCO 400 '!$D$30*J164+'CAFCO 400 '!$D$31)),0),0),0)),0)</f>
        <v>0</v>
      </c>
      <c r="R164" s="47">
        <f t="shared" si="19"/>
        <v>0</v>
      </c>
      <c r="S164" s="82">
        <f t="shared" si="16"/>
        <v>0</v>
      </c>
      <c r="T164" s="81">
        <f>+IF(AND(J164&gt;=95,J164&lt;=240),IF(AND(C164="Cj",I164=90),VLOOKUP(W164,'CAFCO 300 IDIEM TABLAS'!$B$4:$D$23,2,FALSE),0)+IF(AND(J164&gt;=95,J164&lt;=240),IF(AND(C164="Cj",I164=120),VLOOKUP(W164,'CAFCO 300 IDIEM TABLAS'!$B$4:$D$23,3,FALSE),0))+IF(AND(J164&gt;=95,J164&lt;=400,G164=3),IF(AND(C164="IN",I164=90),VLOOKUP(W164,'CAFCO 300 IDIEM TABLAS'!$F$4:$H$35,2,FALSE),0),0)+IF(AND(J164&gt;=95,J164&lt;=400,G164=3),IF(AND(C164="IN",I164=120),VLOOKUP(W164,'CAFCO 300 IDIEM TABLAS'!$F$4:$H$35,3,FALSE),0),0)+IF(AND(J164&gt;=95,J164&lt;=450,G164=4),IF(AND(C164="IN",I164=90),VLOOKUP(W164,'CAFCO 300 IDIEM TABLAS'!$J$4:$L$40,2,FALSE),0),0)+IF(AND(J164&gt;=95,J164&lt;=450,G164=4),IF(AND(C164="IN",I164=120),VLOOKUP(W164,'CAFCO 300 IDIEM TABLAS'!$J$4:$L$40,3,FALSE),0),0))</f>
        <v>17</v>
      </c>
      <c r="U164" s="48">
        <f t="shared" si="20"/>
        <v>1.42887861521181</v>
      </c>
      <c r="V164" s="82">
        <f t="shared" si="17"/>
        <v>21453.183528790116</v>
      </c>
      <c r="W164" s="64">
        <f>+IF(J164=LOOKUP(J164,'CAFCO 300 IDIEM TABLAS'!$J$4:$J$40),'HOJA DE CÁLCULO RESPALDO'!J164,MROUND('HOJA DE CÁLCULO RESPALDO'!J164,10))</f>
        <v>95</v>
      </c>
      <c r="X164" s="36"/>
      <c r="Y164" s="4"/>
    </row>
    <row r="165" spans="1:25" x14ac:dyDescent="0.25">
      <c r="A165" s="2" t="s">
        <v>41</v>
      </c>
      <c r="B165" s="3" t="s">
        <v>17</v>
      </c>
      <c r="C165" s="3" t="s">
        <v>19</v>
      </c>
      <c r="D165" s="3">
        <v>1</v>
      </c>
      <c r="E165" s="2">
        <v>1</v>
      </c>
      <c r="F165" s="8">
        <v>7100</v>
      </c>
      <c r="G165" s="1">
        <v>4</v>
      </c>
      <c r="H165" s="2">
        <v>785</v>
      </c>
      <c r="I165" s="34">
        <v>90</v>
      </c>
      <c r="J165" s="11">
        <v>95</v>
      </c>
      <c r="K165" s="44">
        <f t="shared" si="14"/>
        <v>5.5735000000000001</v>
      </c>
      <c r="L165" s="3" t="s">
        <v>61</v>
      </c>
      <c r="M165" s="3" t="s">
        <v>70</v>
      </c>
      <c r="N165" s="15">
        <f>ROUND((IF(L165="Blaze Shield II",IF(M165="Idiem software",IF(AND(C165="IN",G165=4),((('BLAZE SHIELD II'!$D$4*('HOJA DE CÁLCULO RESPALDO'!I165^2)+'BLAZE SHIELD II'!$D$5*'HOJA DE CÁLCULO RESPALDO'!I165+'BLAZE SHIELD II'!$D$6)*LN(J165))+('BLAZE SHIELD II'!$D$7*('HOJA DE CÁLCULO RESPALDO'!I165^2)+'BLAZE SHIELD II'!$D$8*'HOJA DE CÁLCULO RESPALDO'!I165+'BLAZE SHIELD II'!$D$9)),0),0),0))+(IF(L165="Blaze Shield II",IF(M165="Idiem software",IF(C165="Cj",((('BLAZE SHIELD II'!$H$4*('HOJA DE CÁLCULO RESPALDO'!I165^2)+'BLAZE SHIELD II'!$H$5*'HOJA DE CÁLCULO RESPALDO'!I165+'BLAZE SHIELD II'!$H$6)*LN(J165))+('BLAZE SHIELD II'!$H$7*('HOJA DE CÁLCULO RESPALDO'!I165^2)+'BLAZE SHIELD II'!$H$8*'HOJA DE CÁLCULO RESPALDO'!I165+'BLAZE SHIELD II'!$H$9)),0),0),0))+(IF(L165="Blaze Shield II",IF(M165="Idiem software",IF(C165="C",((('BLAZE SHIELD II'!$L$4*('HOJA DE CÁLCULO RESPALDO'!I165^2)+'BLAZE SHIELD II'!$L$5*'HOJA DE CÁLCULO RESPALDO'!I165+'BLAZE SHIELD II'!$L$6)*LN(J165))+('BLAZE SHIELD II'!$L$7*('HOJA DE CÁLCULO RESPALDO'!I165^2)+'BLAZE SHIELD II'!$L$8*'HOJA DE CÁLCULO RESPALDO'!I165+'BLAZE SHIELD II'!$L$9)),0),0),0))+(IF(L165="Blaze Shield II",IF(M165="Idiem software",IF(AND(C165="IN",G165=3),((('BLAZE SHIELD II'!$H$14*('HOJA DE CÁLCULO RESPALDO'!I165^2)+'BLAZE SHIELD II'!$H$15*'HOJA DE CÁLCULO RESPALDO'!I165+'BLAZE SHIELD II'!$H$16)*LN(J165))+('BLAZE SHIELD II'!$H$17*('HOJA DE CÁLCULO RESPALDO'!I165^2)+'BLAZE SHIELD II'!$H$18*'HOJA DE CÁLCULO RESPALDO'!I165+'BLAZE SHIELD II'!$H$19)),0),0),0)),0)</f>
        <v>0</v>
      </c>
      <c r="O165" s="46">
        <f t="shared" si="18"/>
        <v>0</v>
      </c>
      <c r="P165" s="80">
        <f t="shared" si="15"/>
        <v>0</v>
      </c>
      <c r="Q165" s="85">
        <f>ROUND((IF(L165="Cafco 400",IF(M165="Idiem software",IF(AND(C165="IN",G165=4),((('CAFCO 400 '!$H$7*(J165^4)+'CAFCO 400 '!$H$8*(J165^3)+'CAFCO 400 '!$H$9*(J165^2)+'CAFCO 400 '!$H$10*J165+'CAFCO 400 '!$H$11)*I165^2)+(('CAFCO 400 '!$H$12*(J165^3)+'CAFCO 400 '!$H$13*(J165^2)+'CAFCO 400 '!$H$14*J165+'CAFCO 400 '!$H$15)*I165)+('CAFCO 400 '!$H$16*(J165^2)+'CAFCO 400 '!$H$17*J165+'CAFCO 400 '!$H$18)),0),0),0))+(IF(L165="Cafco 400",IF(M165="Idiem software",IF(C165="Cj",(((('CAFCO 400 '!$D$7*LN(J165)+'CAFCO 400 '!$D$8)*I165^2)+(('CAFCO 400 '!$D$9*LN(J165)+'CAFCO 400 '!$D$10)*I165)+('CAFCO 400 '!$D$11*LN(J165)+'CAFCO 400 '!$D$12))),0),0),0))+(IF(L165="Cafco 400",IF(M165="Idiem software",IF(C165="C",((('CAFCO 400 '!$L$7*(J165^3)+'CAFCO 400 '!$L$8*(J165^2)+'CAFCO 400 '!$L$9*J165+'CAFCO 400 '!$L$10)*I165^2)+(('CAFCO 400 '!$L$11*(J165^3)+'CAFCO 400 '!$L$12*(J165^2)+'CAFCO 400 '!$L$13*J165+'CAFCO 400 '!$L$14)*I165)+('CAFCO 400 '!$L$15*LN(J165)+'CAFCO 400 '!$L$16)),0),0),0))+(IF(L165="Cafco 400",IF(M165="Idiem software",IF(AND(C165="IN",G165=3),((('CAFCO 400 '!$D$23*(J165^2)+'CAFCO 400 '!$D$24*(J165)+'CAFCO 400 '!$D$25)*I165^2)+(('CAFCO 400 '!$D$26*(J165^2)+'CAFCO 400 '!$D$27*J165+'CAFCO 400 '!$D$28)*I165)+('CAFCO 400 '!$D$29*(J165^2)+'CAFCO 400 '!$D$30*J165+'CAFCO 400 '!$D$31)),0),0),0)),0)</f>
        <v>0</v>
      </c>
      <c r="R165" s="47">
        <f t="shared" si="19"/>
        <v>0</v>
      </c>
      <c r="S165" s="82">
        <f t="shared" si="16"/>
        <v>0</v>
      </c>
      <c r="T165" s="81">
        <f>+IF(AND(J165&gt;=95,J165&lt;=240),IF(AND(C165="Cj",I165=90),VLOOKUP(W165,'CAFCO 300 IDIEM TABLAS'!$B$4:$D$23,2,FALSE),0)+IF(AND(J165&gt;=95,J165&lt;=240),IF(AND(C165="Cj",I165=120),VLOOKUP(W165,'CAFCO 300 IDIEM TABLAS'!$B$4:$D$23,3,FALSE),0))+IF(AND(J165&gt;=95,J165&lt;=400,G165=3),IF(AND(C165="IN",I165=90),VLOOKUP(W165,'CAFCO 300 IDIEM TABLAS'!$F$4:$H$35,2,FALSE),0),0)+IF(AND(J165&gt;=95,J165&lt;=400,G165=3),IF(AND(C165="IN",I165=120),VLOOKUP(W165,'CAFCO 300 IDIEM TABLAS'!$F$4:$H$35,3,FALSE),0),0)+IF(AND(J165&gt;=95,J165&lt;=450,G165=4),IF(AND(C165="IN",I165=90),VLOOKUP(W165,'CAFCO 300 IDIEM TABLAS'!$J$4:$L$40,2,FALSE),0),0)+IF(AND(J165&gt;=95,J165&lt;=450,G165=4),IF(AND(C165="IN",I165=120),VLOOKUP(W165,'CAFCO 300 IDIEM TABLAS'!$J$4:$L$40,3,FALSE),0),0))</f>
        <v>17</v>
      </c>
      <c r="U165" s="48">
        <f t="shared" si="20"/>
        <v>1.3075187740693195</v>
      </c>
      <c r="V165" s="82">
        <f t="shared" si="17"/>
        <v>19631.086873876764</v>
      </c>
      <c r="W165" s="64">
        <f>+IF(J165=LOOKUP(J165,'CAFCO 300 IDIEM TABLAS'!$J$4:$J$40),'HOJA DE CÁLCULO RESPALDO'!J165,MROUND('HOJA DE CÁLCULO RESPALDO'!J165,10))</f>
        <v>95</v>
      </c>
      <c r="X165" s="36"/>
      <c r="Y165" s="4"/>
    </row>
    <row r="166" spans="1:25" ht="15.6" customHeight="1" x14ac:dyDescent="0.25">
      <c r="A166" s="2" t="s">
        <v>44</v>
      </c>
      <c r="B166" s="3" t="s">
        <v>17</v>
      </c>
      <c r="C166" s="3" t="s">
        <v>19</v>
      </c>
      <c r="D166" s="3">
        <v>1</v>
      </c>
      <c r="E166" s="2">
        <v>1</v>
      </c>
      <c r="F166" s="8">
        <v>19050</v>
      </c>
      <c r="G166" s="1">
        <v>4</v>
      </c>
      <c r="H166" s="2">
        <v>1185</v>
      </c>
      <c r="I166" s="34">
        <v>90</v>
      </c>
      <c r="J166" s="11">
        <v>95</v>
      </c>
      <c r="K166" s="44">
        <f t="shared" si="14"/>
        <v>22.574249999999999</v>
      </c>
      <c r="L166" s="3" t="s">
        <v>61</v>
      </c>
      <c r="M166" s="3" t="s">
        <v>70</v>
      </c>
      <c r="N166" s="15">
        <f>ROUND((IF(L166="Blaze Shield II",IF(M166="Idiem software",IF(AND(C166="IN",G166=4),((('BLAZE SHIELD II'!$D$4*('HOJA DE CÁLCULO RESPALDO'!I166^2)+'BLAZE SHIELD II'!$D$5*'HOJA DE CÁLCULO RESPALDO'!I166+'BLAZE SHIELD II'!$D$6)*LN(J166))+('BLAZE SHIELD II'!$D$7*('HOJA DE CÁLCULO RESPALDO'!I166^2)+'BLAZE SHIELD II'!$D$8*'HOJA DE CÁLCULO RESPALDO'!I166+'BLAZE SHIELD II'!$D$9)),0),0),0))+(IF(L166="Blaze Shield II",IF(M166="Idiem software",IF(C166="Cj",((('BLAZE SHIELD II'!$H$4*('HOJA DE CÁLCULO RESPALDO'!I166^2)+'BLAZE SHIELD II'!$H$5*'HOJA DE CÁLCULO RESPALDO'!I166+'BLAZE SHIELD II'!$H$6)*LN(J166))+('BLAZE SHIELD II'!$H$7*('HOJA DE CÁLCULO RESPALDO'!I166^2)+'BLAZE SHIELD II'!$H$8*'HOJA DE CÁLCULO RESPALDO'!I166+'BLAZE SHIELD II'!$H$9)),0),0),0))+(IF(L166="Blaze Shield II",IF(M166="Idiem software",IF(C166="C",((('BLAZE SHIELD II'!$L$4*('HOJA DE CÁLCULO RESPALDO'!I166^2)+'BLAZE SHIELD II'!$L$5*'HOJA DE CÁLCULO RESPALDO'!I166+'BLAZE SHIELD II'!$L$6)*LN(J166))+('BLAZE SHIELD II'!$L$7*('HOJA DE CÁLCULO RESPALDO'!I166^2)+'BLAZE SHIELD II'!$L$8*'HOJA DE CÁLCULO RESPALDO'!I166+'BLAZE SHIELD II'!$L$9)),0),0),0))+(IF(L166="Blaze Shield II",IF(M166="Idiem software",IF(AND(C166="IN",G166=3),((('BLAZE SHIELD II'!$H$14*('HOJA DE CÁLCULO RESPALDO'!I166^2)+'BLAZE SHIELD II'!$H$15*'HOJA DE CÁLCULO RESPALDO'!I166+'BLAZE SHIELD II'!$H$16)*LN(J166))+('BLAZE SHIELD II'!$H$17*('HOJA DE CÁLCULO RESPALDO'!I166^2)+'BLAZE SHIELD II'!$H$18*'HOJA DE CÁLCULO RESPALDO'!I166+'BLAZE SHIELD II'!$H$19)),0),0),0)),0)</f>
        <v>0</v>
      </c>
      <c r="O166" s="46">
        <f t="shared" si="18"/>
        <v>0</v>
      </c>
      <c r="P166" s="80">
        <f t="shared" si="15"/>
        <v>0</v>
      </c>
      <c r="Q166" s="85">
        <f>ROUND((IF(L166="Cafco 400",IF(M166="Idiem software",IF(AND(C166="IN",G166=4),((('CAFCO 400 '!$H$7*(J166^4)+'CAFCO 400 '!$H$8*(J166^3)+'CAFCO 400 '!$H$9*(J166^2)+'CAFCO 400 '!$H$10*J166+'CAFCO 400 '!$H$11)*I166^2)+(('CAFCO 400 '!$H$12*(J166^3)+'CAFCO 400 '!$H$13*(J166^2)+'CAFCO 400 '!$H$14*J166+'CAFCO 400 '!$H$15)*I166)+('CAFCO 400 '!$H$16*(J166^2)+'CAFCO 400 '!$H$17*J166+'CAFCO 400 '!$H$18)),0),0),0))+(IF(L166="Cafco 400",IF(M166="Idiem software",IF(C166="Cj",(((('CAFCO 400 '!$D$7*LN(J166)+'CAFCO 400 '!$D$8)*I166^2)+(('CAFCO 400 '!$D$9*LN(J166)+'CAFCO 400 '!$D$10)*I166)+('CAFCO 400 '!$D$11*LN(J166)+'CAFCO 400 '!$D$12))),0),0),0))+(IF(L166="Cafco 400",IF(M166="Idiem software",IF(C166="C",((('CAFCO 400 '!$L$7*(J166^3)+'CAFCO 400 '!$L$8*(J166^2)+'CAFCO 400 '!$L$9*J166+'CAFCO 400 '!$L$10)*I166^2)+(('CAFCO 400 '!$L$11*(J166^3)+'CAFCO 400 '!$L$12*(J166^2)+'CAFCO 400 '!$L$13*J166+'CAFCO 400 '!$L$14)*I166)+('CAFCO 400 '!$L$15*LN(J166)+'CAFCO 400 '!$L$16)),0),0),0))+(IF(L166="Cafco 400",IF(M166="Idiem software",IF(AND(C166="IN",G166=3),((('CAFCO 400 '!$D$23*(J166^2)+'CAFCO 400 '!$D$24*(J166)+'CAFCO 400 '!$D$25)*I166^2)+(('CAFCO 400 '!$D$26*(J166^2)+'CAFCO 400 '!$D$27*J166+'CAFCO 400 '!$D$28)*I166)+('CAFCO 400 '!$D$29*(J166^2)+'CAFCO 400 '!$D$30*J166+'CAFCO 400 '!$D$31)),0),0),0)),0)</f>
        <v>0</v>
      </c>
      <c r="R166" s="47">
        <f t="shared" si="19"/>
        <v>0</v>
      </c>
      <c r="S166" s="82">
        <f t="shared" si="16"/>
        <v>0</v>
      </c>
      <c r="T166" s="81">
        <f>+IF(AND(J166&gt;=95,J166&lt;=240),IF(AND(C166="Cj",I166=90),VLOOKUP(W166,'CAFCO 300 IDIEM TABLAS'!$B$4:$D$23,2,FALSE),0)+IF(AND(J166&gt;=95,J166&lt;=240),IF(AND(C166="Cj",I166=120),VLOOKUP(W166,'CAFCO 300 IDIEM TABLAS'!$B$4:$D$23,3,FALSE),0))+IF(AND(J166&gt;=95,J166&lt;=400,G166=3),IF(AND(C166="IN",I166=90),VLOOKUP(W166,'CAFCO 300 IDIEM TABLAS'!$F$4:$H$35,2,FALSE),0),0)+IF(AND(J166&gt;=95,J166&lt;=400,G166=3),IF(AND(C166="IN",I166=120),VLOOKUP(W166,'CAFCO 300 IDIEM TABLAS'!$F$4:$H$35,3,FALSE),0),0)+IF(AND(J166&gt;=95,J166&lt;=450,G166=4),IF(AND(C166="IN",I166=90),VLOOKUP(W166,'CAFCO 300 IDIEM TABLAS'!$J$4:$L$40,2,FALSE),0),0)+IF(AND(J166&gt;=95,J166&lt;=450,G166=4),IF(AND(C166="IN",I166=120),VLOOKUP(W166,'CAFCO 300 IDIEM TABLAS'!$J$4:$L$40,3,FALSE),0),0))</f>
        <v>17</v>
      </c>
      <c r="U166" s="48">
        <f t="shared" si="20"/>
        <v>5.2958205231065465</v>
      </c>
      <c r="V166" s="82">
        <f t="shared" si="17"/>
        <v>79511.449333921686</v>
      </c>
      <c r="W166" s="64">
        <f>+IF(J166=LOOKUP(J166,'CAFCO 300 IDIEM TABLAS'!$J$4:$J$40),'HOJA DE CÁLCULO RESPALDO'!J166,MROUND('HOJA DE CÁLCULO RESPALDO'!J166,10))</f>
        <v>95</v>
      </c>
      <c r="X166" s="36"/>
      <c r="Y166" s="4"/>
    </row>
    <row r="167" spans="1:25" x14ac:dyDescent="0.25">
      <c r="A167" s="2" t="s">
        <v>41</v>
      </c>
      <c r="B167" s="3" t="s">
        <v>17</v>
      </c>
      <c r="C167" s="3" t="s">
        <v>19</v>
      </c>
      <c r="D167" s="3">
        <v>1</v>
      </c>
      <c r="E167" s="2">
        <v>1</v>
      </c>
      <c r="F167" s="8">
        <v>4255</v>
      </c>
      <c r="G167" s="1">
        <v>4</v>
      </c>
      <c r="H167" s="2">
        <v>1185</v>
      </c>
      <c r="I167" s="34">
        <v>90</v>
      </c>
      <c r="J167" s="11">
        <v>95</v>
      </c>
      <c r="K167" s="44">
        <f t="shared" si="14"/>
        <v>5.0421750000000003</v>
      </c>
      <c r="L167" s="3" t="s">
        <v>61</v>
      </c>
      <c r="M167" s="3" t="s">
        <v>70</v>
      </c>
      <c r="N167" s="15">
        <f>ROUND((IF(L167="Blaze Shield II",IF(M167="Idiem software",IF(AND(C167="IN",G167=4),((('BLAZE SHIELD II'!$D$4*('HOJA DE CÁLCULO RESPALDO'!I167^2)+'BLAZE SHIELD II'!$D$5*'HOJA DE CÁLCULO RESPALDO'!I167+'BLAZE SHIELD II'!$D$6)*LN(J167))+('BLAZE SHIELD II'!$D$7*('HOJA DE CÁLCULO RESPALDO'!I167^2)+'BLAZE SHIELD II'!$D$8*'HOJA DE CÁLCULO RESPALDO'!I167+'BLAZE SHIELD II'!$D$9)),0),0),0))+(IF(L167="Blaze Shield II",IF(M167="Idiem software",IF(C167="Cj",((('BLAZE SHIELD II'!$H$4*('HOJA DE CÁLCULO RESPALDO'!I167^2)+'BLAZE SHIELD II'!$H$5*'HOJA DE CÁLCULO RESPALDO'!I167+'BLAZE SHIELD II'!$H$6)*LN(J167))+('BLAZE SHIELD II'!$H$7*('HOJA DE CÁLCULO RESPALDO'!I167^2)+'BLAZE SHIELD II'!$H$8*'HOJA DE CÁLCULO RESPALDO'!I167+'BLAZE SHIELD II'!$H$9)),0),0),0))+(IF(L167="Blaze Shield II",IF(M167="Idiem software",IF(C167="C",((('BLAZE SHIELD II'!$L$4*('HOJA DE CÁLCULO RESPALDO'!I167^2)+'BLAZE SHIELD II'!$L$5*'HOJA DE CÁLCULO RESPALDO'!I167+'BLAZE SHIELD II'!$L$6)*LN(J167))+('BLAZE SHIELD II'!$L$7*('HOJA DE CÁLCULO RESPALDO'!I167^2)+'BLAZE SHIELD II'!$L$8*'HOJA DE CÁLCULO RESPALDO'!I167+'BLAZE SHIELD II'!$L$9)),0),0),0))+(IF(L167="Blaze Shield II",IF(M167="Idiem software",IF(AND(C167="IN",G167=3),((('BLAZE SHIELD II'!$H$14*('HOJA DE CÁLCULO RESPALDO'!I167^2)+'BLAZE SHIELD II'!$H$15*'HOJA DE CÁLCULO RESPALDO'!I167+'BLAZE SHIELD II'!$H$16)*LN(J167))+('BLAZE SHIELD II'!$H$17*('HOJA DE CÁLCULO RESPALDO'!I167^2)+'BLAZE SHIELD II'!$H$18*'HOJA DE CÁLCULO RESPALDO'!I167+'BLAZE SHIELD II'!$H$19)),0),0),0)),0)</f>
        <v>0</v>
      </c>
      <c r="O167" s="46">
        <f t="shared" si="18"/>
        <v>0</v>
      </c>
      <c r="P167" s="80">
        <f t="shared" si="15"/>
        <v>0</v>
      </c>
      <c r="Q167" s="85">
        <f>ROUND((IF(L167="Cafco 400",IF(M167="Idiem software",IF(AND(C167="IN",G167=4),((('CAFCO 400 '!$H$7*(J167^4)+'CAFCO 400 '!$H$8*(J167^3)+'CAFCO 400 '!$H$9*(J167^2)+'CAFCO 400 '!$H$10*J167+'CAFCO 400 '!$H$11)*I167^2)+(('CAFCO 400 '!$H$12*(J167^3)+'CAFCO 400 '!$H$13*(J167^2)+'CAFCO 400 '!$H$14*J167+'CAFCO 400 '!$H$15)*I167)+('CAFCO 400 '!$H$16*(J167^2)+'CAFCO 400 '!$H$17*J167+'CAFCO 400 '!$H$18)),0),0),0))+(IF(L167="Cafco 400",IF(M167="Idiem software",IF(C167="Cj",(((('CAFCO 400 '!$D$7*LN(J167)+'CAFCO 400 '!$D$8)*I167^2)+(('CAFCO 400 '!$D$9*LN(J167)+'CAFCO 400 '!$D$10)*I167)+('CAFCO 400 '!$D$11*LN(J167)+'CAFCO 400 '!$D$12))),0),0),0))+(IF(L167="Cafco 400",IF(M167="Idiem software",IF(C167="C",((('CAFCO 400 '!$L$7*(J167^3)+'CAFCO 400 '!$L$8*(J167^2)+'CAFCO 400 '!$L$9*J167+'CAFCO 400 '!$L$10)*I167^2)+(('CAFCO 400 '!$L$11*(J167^3)+'CAFCO 400 '!$L$12*(J167^2)+'CAFCO 400 '!$L$13*J167+'CAFCO 400 '!$L$14)*I167)+('CAFCO 400 '!$L$15*LN(J167)+'CAFCO 400 '!$L$16)),0),0),0))+(IF(L167="Cafco 400",IF(M167="Idiem software",IF(AND(C167="IN",G167=3),((('CAFCO 400 '!$D$23*(J167^2)+'CAFCO 400 '!$D$24*(J167)+'CAFCO 400 '!$D$25)*I167^2)+(('CAFCO 400 '!$D$26*(J167^2)+'CAFCO 400 '!$D$27*J167+'CAFCO 400 '!$D$28)*I167)+('CAFCO 400 '!$D$29*(J167^2)+'CAFCO 400 '!$D$30*J167+'CAFCO 400 '!$D$31)),0),0),0)),0)</f>
        <v>0</v>
      </c>
      <c r="R167" s="47">
        <f t="shared" si="19"/>
        <v>0</v>
      </c>
      <c r="S167" s="82">
        <f t="shared" si="16"/>
        <v>0</v>
      </c>
      <c r="T167" s="81">
        <f>+IF(AND(J167&gt;=95,J167&lt;=240),IF(AND(C167="Cj",I167=90),VLOOKUP(W167,'CAFCO 300 IDIEM TABLAS'!$B$4:$D$23,2,FALSE),0)+IF(AND(J167&gt;=95,J167&lt;=240),IF(AND(C167="Cj",I167=120),VLOOKUP(W167,'CAFCO 300 IDIEM TABLAS'!$B$4:$D$23,3,FALSE),0))+IF(AND(J167&gt;=95,J167&lt;=400,G167=3),IF(AND(C167="IN",I167=90),VLOOKUP(W167,'CAFCO 300 IDIEM TABLAS'!$F$4:$H$35,2,FALSE),0),0)+IF(AND(J167&gt;=95,J167&lt;=400,G167=3),IF(AND(C167="IN",I167=120),VLOOKUP(W167,'CAFCO 300 IDIEM TABLAS'!$F$4:$H$35,3,FALSE),0),0)+IF(AND(J167&gt;=95,J167&lt;=450,G167=4),IF(AND(C167="IN",I167=90),VLOOKUP(W167,'CAFCO 300 IDIEM TABLAS'!$J$4:$L$40,2,FALSE),0),0)+IF(AND(J167&gt;=95,J167&lt;=450,G167=4),IF(AND(C167="IN",I167=120),VLOOKUP(W167,'CAFCO 300 IDIEM TABLAS'!$J$4:$L$40,3,FALSE),0),0))</f>
        <v>17</v>
      </c>
      <c r="U167" s="48">
        <f t="shared" si="20"/>
        <v>1.1828722480744545</v>
      </c>
      <c r="V167" s="82">
        <f t="shared" si="17"/>
        <v>17759.643932589861</v>
      </c>
      <c r="W167" s="64">
        <f>+IF(J167=LOOKUP(J167,'CAFCO 300 IDIEM TABLAS'!$J$4:$J$40),'HOJA DE CÁLCULO RESPALDO'!J167,MROUND('HOJA DE CÁLCULO RESPALDO'!J167,10))</f>
        <v>95</v>
      </c>
      <c r="X167" s="36"/>
      <c r="Y167" s="4"/>
    </row>
    <row r="168" spans="1:25" ht="15.6" customHeight="1" x14ac:dyDescent="0.25">
      <c r="A168" s="2" t="s">
        <v>44</v>
      </c>
      <c r="B168" s="3" t="s">
        <v>17</v>
      </c>
      <c r="C168" s="3" t="s">
        <v>19</v>
      </c>
      <c r="D168" s="3">
        <v>1</v>
      </c>
      <c r="E168" s="2">
        <v>1</v>
      </c>
      <c r="F168" s="8">
        <v>89250</v>
      </c>
      <c r="G168" s="1">
        <v>4</v>
      </c>
      <c r="H168" s="2">
        <v>1190</v>
      </c>
      <c r="I168" s="34">
        <v>90</v>
      </c>
      <c r="J168" s="11">
        <v>95</v>
      </c>
      <c r="K168" s="44">
        <f t="shared" si="14"/>
        <v>106.2075</v>
      </c>
      <c r="L168" s="3" t="s">
        <v>61</v>
      </c>
      <c r="M168" s="3" t="s">
        <v>70</v>
      </c>
      <c r="N168" s="15">
        <f>ROUND((IF(L168="Blaze Shield II",IF(M168="Idiem software",IF(AND(C168="IN",G168=4),((('BLAZE SHIELD II'!$D$4*('HOJA DE CÁLCULO RESPALDO'!I168^2)+'BLAZE SHIELD II'!$D$5*'HOJA DE CÁLCULO RESPALDO'!I168+'BLAZE SHIELD II'!$D$6)*LN(J168))+('BLAZE SHIELD II'!$D$7*('HOJA DE CÁLCULO RESPALDO'!I168^2)+'BLAZE SHIELD II'!$D$8*'HOJA DE CÁLCULO RESPALDO'!I168+'BLAZE SHIELD II'!$D$9)),0),0),0))+(IF(L168="Blaze Shield II",IF(M168="Idiem software",IF(C168="Cj",((('BLAZE SHIELD II'!$H$4*('HOJA DE CÁLCULO RESPALDO'!I168^2)+'BLAZE SHIELD II'!$H$5*'HOJA DE CÁLCULO RESPALDO'!I168+'BLAZE SHIELD II'!$H$6)*LN(J168))+('BLAZE SHIELD II'!$H$7*('HOJA DE CÁLCULO RESPALDO'!I168^2)+'BLAZE SHIELD II'!$H$8*'HOJA DE CÁLCULO RESPALDO'!I168+'BLAZE SHIELD II'!$H$9)),0),0),0))+(IF(L168="Blaze Shield II",IF(M168="Idiem software",IF(C168="C",((('BLAZE SHIELD II'!$L$4*('HOJA DE CÁLCULO RESPALDO'!I168^2)+'BLAZE SHIELD II'!$L$5*'HOJA DE CÁLCULO RESPALDO'!I168+'BLAZE SHIELD II'!$L$6)*LN(J168))+('BLAZE SHIELD II'!$L$7*('HOJA DE CÁLCULO RESPALDO'!I168^2)+'BLAZE SHIELD II'!$L$8*'HOJA DE CÁLCULO RESPALDO'!I168+'BLAZE SHIELD II'!$L$9)),0),0),0))+(IF(L168="Blaze Shield II",IF(M168="Idiem software",IF(AND(C168="IN",G168=3),((('BLAZE SHIELD II'!$H$14*('HOJA DE CÁLCULO RESPALDO'!I168^2)+'BLAZE SHIELD II'!$H$15*'HOJA DE CÁLCULO RESPALDO'!I168+'BLAZE SHIELD II'!$H$16)*LN(J168))+('BLAZE SHIELD II'!$H$17*('HOJA DE CÁLCULO RESPALDO'!I168^2)+'BLAZE SHIELD II'!$H$18*'HOJA DE CÁLCULO RESPALDO'!I168+'BLAZE SHIELD II'!$H$19)),0),0),0)),0)</f>
        <v>0</v>
      </c>
      <c r="O168" s="46">
        <f t="shared" si="18"/>
        <v>0</v>
      </c>
      <c r="P168" s="80">
        <f t="shared" si="15"/>
        <v>0</v>
      </c>
      <c r="Q168" s="85">
        <f>ROUND((IF(L168="Cafco 400",IF(M168="Idiem software",IF(AND(C168="IN",G168=4),((('CAFCO 400 '!$H$7*(J168^4)+'CAFCO 400 '!$H$8*(J168^3)+'CAFCO 400 '!$H$9*(J168^2)+'CAFCO 400 '!$H$10*J168+'CAFCO 400 '!$H$11)*I168^2)+(('CAFCO 400 '!$H$12*(J168^3)+'CAFCO 400 '!$H$13*(J168^2)+'CAFCO 400 '!$H$14*J168+'CAFCO 400 '!$H$15)*I168)+('CAFCO 400 '!$H$16*(J168^2)+'CAFCO 400 '!$H$17*J168+'CAFCO 400 '!$H$18)),0),0),0))+(IF(L168="Cafco 400",IF(M168="Idiem software",IF(C168="Cj",(((('CAFCO 400 '!$D$7*LN(J168)+'CAFCO 400 '!$D$8)*I168^2)+(('CAFCO 400 '!$D$9*LN(J168)+'CAFCO 400 '!$D$10)*I168)+('CAFCO 400 '!$D$11*LN(J168)+'CAFCO 400 '!$D$12))),0),0),0))+(IF(L168="Cafco 400",IF(M168="Idiem software",IF(C168="C",((('CAFCO 400 '!$L$7*(J168^3)+'CAFCO 400 '!$L$8*(J168^2)+'CAFCO 400 '!$L$9*J168+'CAFCO 400 '!$L$10)*I168^2)+(('CAFCO 400 '!$L$11*(J168^3)+'CAFCO 400 '!$L$12*(J168^2)+'CAFCO 400 '!$L$13*J168+'CAFCO 400 '!$L$14)*I168)+('CAFCO 400 '!$L$15*LN(J168)+'CAFCO 400 '!$L$16)),0),0),0))+(IF(L168="Cafco 400",IF(M168="Idiem software",IF(AND(C168="IN",G168=3),((('CAFCO 400 '!$D$23*(J168^2)+'CAFCO 400 '!$D$24*(J168)+'CAFCO 400 '!$D$25)*I168^2)+(('CAFCO 400 '!$D$26*(J168^2)+'CAFCO 400 '!$D$27*J168+'CAFCO 400 '!$D$28)*I168)+('CAFCO 400 '!$D$29*(J168^2)+'CAFCO 400 '!$D$30*J168+'CAFCO 400 '!$D$31)),0),0),0)),0)</f>
        <v>0</v>
      </c>
      <c r="R168" s="47">
        <f t="shared" si="19"/>
        <v>0</v>
      </c>
      <c r="S168" s="82">
        <f t="shared" si="16"/>
        <v>0</v>
      </c>
      <c r="T168" s="81">
        <f>+IF(AND(J168&gt;=95,J168&lt;=240),IF(AND(C168="Cj",I168=90),VLOOKUP(W168,'CAFCO 300 IDIEM TABLAS'!$B$4:$D$23,2,FALSE),0)+IF(AND(J168&gt;=95,J168&lt;=240),IF(AND(C168="Cj",I168=120),VLOOKUP(W168,'CAFCO 300 IDIEM TABLAS'!$B$4:$D$23,3,FALSE),0))+IF(AND(J168&gt;=95,J168&lt;=400,G168=3),IF(AND(C168="IN",I168=90),VLOOKUP(W168,'CAFCO 300 IDIEM TABLAS'!$F$4:$H$35,2,FALSE),0),0)+IF(AND(J168&gt;=95,J168&lt;=400,G168=3),IF(AND(C168="IN",I168=120),VLOOKUP(W168,'CAFCO 300 IDIEM TABLAS'!$F$4:$H$35,3,FALSE),0),0)+IF(AND(J168&gt;=95,J168&lt;=450,G168=4),IF(AND(C168="IN",I168=90),VLOOKUP(W168,'CAFCO 300 IDIEM TABLAS'!$J$4:$L$40,2,FALSE),0),0)+IF(AND(J168&gt;=95,J168&lt;=450,G168=4),IF(AND(C168="IN",I168=120),VLOOKUP(W168,'CAFCO 300 IDIEM TABLAS'!$J$4:$L$40,3,FALSE),0),0))</f>
        <v>17</v>
      </c>
      <c r="U168" s="48">
        <f t="shared" si="20"/>
        <v>24.915815949935812</v>
      </c>
      <c r="V168" s="82">
        <f t="shared" si="17"/>
        <v>374086.06067233626</v>
      </c>
      <c r="W168" s="64">
        <f>+IF(J168=LOOKUP(J168,'CAFCO 300 IDIEM TABLAS'!$J$4:$J$40),'HOJA DE CÁLCULO RESPALDO'!J168,MROUND('HOJA DE CÁLCULO RESPALDO'!J168,10))</f>
        <v>95</v>
      </c>
      <c r="X168" s="36"/>
      <c r="Y168" s="4"/>
    </row>
    <row r="169" spans="1:25" x14ac:dyDescent="0.25">
      <c r="A169" s="2" t="s">
        <v>41</v>
      </c>
      <c r="B169" s="3" t="s">
        <v>17</v>
      </c>
      <c r="C169" s="3" t="s">
        <v>19</v>
      </c>
      <c r="D169" s="3">
        <v>1</v>
      </c>
      <c r="E169" s="2">
        <v>1</v>
      </c>
      <c r="F169" s="8">
        <v>13000</v>
      </c>
      <c r="G169" s="1">
        <v>4</v>
      </c>
      <c r="H169" s="2">
        <v>1181</v>
      </c>
      <c r="I169" s="34">
        <v>90</v>
      </c>
      <c r="J169" s="11">
        <v>95</v>
      </c>
      <c r="K169" s="44">
        <f t="shared" si="14"/>
        <v>15.353</v>
      </c>
      <c r="L169" s="3" t="s">
        <v>61</v>
      </c>
      <c r="M169" s="3" t="s">
        <v>70</v>
      </c>
      <c r="N169" s="15">
        <f>ROUND((IF(L169="Blaze Shield II",IF(M169="Idiem software",IF(AND(C169="IN",G169=4),((('BLAZE SHIELD II'!$D$4*('HOJA DE CÁLCULO RESPALDO'!I169^2)+'BLAZE SHIELD II'!$D$5*'HOJA DE CÁLCULO RESPALDO'!I169+'BLAZE SHIELD II'!$D$6)*LN(J169))+('BLAZE SHIELD II'!$D$7*('HOJA DE CÁLCULO RESPALDO'!I169^2)+'BLAZE SHIELD II'!$D$8*'HOJA DE CÁLCULO RESPALDO'!I169+'BLAZE SHIELD II'!$D$9)),0),0),0))+(IF(L169="Blaze Shield II",IF(M169="Idiem software",IF(C169="Cj",((('BLAZE SHIELD II'!$H$4*('HOJA DE CÁLCULO RESPALDO'!I169^2)+'BLAZE SHIELD II'!$H$5*'HOJA DE CÁLCULO RESPALDO'!I169+'BLAZE SHIELD II'!$H$6)*LN(J169))+('BLAZE SHIELD II'!$H$7*('HOJA DE CÁLCULO RESPALDO'!I169^2)+'BLAZE SHIELD II'!$H$8*'HOJA DE CÁLCULO RESPALDO'!I169+'BLAZE SHIELD II'!$H$9)),0),0),0))+(IF(L169="Blaze Shield II",IF(M169="Idiem software",IF(C169="C",((('BLAZE SHIELD II'!$L$4*('HOJA DE CÁLCULO RESPALDO'!I169^2)+'BLAZE SHIELD II'!$L$5*'HOJA DE CÁLCULO RESPALDO'!I169+'BLAZE SHIELD II'!$L$6)*LN(J169))+('BLAZE SHIELD II'!$L$7*('HOJA DE CÁLCULO RESPALDO'!I169^2)+'BLAZE SHIELD II'!$L$8*'HOJA DE CÁLCULO RESPALDO'!I169+'BLAZE SHIELD II'!$L$9)),0),0),0))+(IF(L169="Blaze Shield II",IF(M169="Idiem software",IF(AND(C169="IN",G169=3),((('BLAZE SHIELD II'!$H$14*('HOJA DE CÁLCULO RESPALDO'!I169^2)+'BLAZE SHIELD II'!$H$15*'HOJA DE CÁLCULO RESPALDO'!I169+'BLAZE SHIELD II'!$H$16)*LN(J169))+('BLAZE SHIELD II'!$H$17*('HOJA DE CÁLCULO RESPALDO'!I169^2)+'BLAZE SHIELD II'!$H$18*'HOJA DE CÁLCULO RESPALDO'!I169+'BLAZE SHIELD II'!$H$19)),0),0),0)),0)</f>
        <v>0</v>
      </c>
      <c r="O169" s="46">
        <f t="shared" si="18"/>
        <v>0</v>
      </c>
      <c r="P169" s="80">
        <f t="shared" si="15"/>
        <v>0</v>
      </c>
      <c r="Q169" s="85">
        <f>ROUND((IF(L169="Cafco 400",IF(M169="Idiem software",IF(AND(C169="IN",G169=4),((('CAFCO 400 '!$H$7*(J169^4)+'CAFCO 400 '!$H$8*(J169^3)+'CAFCO 400 '!$H$9*(J169^2)+'CAFCO 400 '!$H$10*J169+'CAFCO 400 '!$H$11)*I169^2)+(('CAFCO 400 '!$H$12*(J169^3)+'CAFCO 400 '!$H$13*(J169^2)+'CAFCO 400 '!$H$14*J169+'CAFCO 400 '!$H$15)*I169)+('CAFCO 400 '!$H$16*(J169^2)+'CAFCO 400 '!$H$17*J169+'CAFCO 400 '!$H$18)),0),0),0))+(IF(L169="Cafco 400",IF(M169="Idiem software",IF(C169="Cj",(((('CAFCO 400 '!$D$7*LN(J169)+'CAFCO 400 '!$D$8)*I169^2)+(('CAFCO 400 '!$D$9*LN(J169)+'CAFCO 400 '!$D$10)*I169)+('CAFCO 400 '!$D$11*LN(J169)+'CAFCO 400 '!$D$12))),0),0),0))+(IF(L169="Cafco 400",IF(M169="Idiem software",IF(C169="C",((('CAFCO 400 '!$L$7*(J169^3)+'CAFCO 400 '!$L$8*(J169^2)+'CAFCO 400 '!$L$9*J169+'CAFCO 400 '!$L$10)*I169^2)+(('CAFCO 400 '!$L$11*(J169^3)+'CAFCO 400 '!$L$12*(J169^2)+'CAFCO 400 '!$L$13*J169+'CAFCO 400 '!$L$14)*I169)+('CAFCO 400 '!$L$15*LN(J169)+'CAFCO 400 '!$L$16)),0),0),0))+(IF(L169="Cafco 400",IF(M169="Idiem software",IF(AND(C169="IN",G169=3),((('CAFCO 400 '!$D$23*(J169^2)+'CAFCO 400 '!$D$24*(J169)+'CAFCO 400 '!$D$25)*I169^2)+(('CAFCO 400 '!$D$26*(J169^2)+'CAFCO 400 '!$D$27*J169+'CAFCO 400 '!$D$28)*I169)+('CAFCO 400 '!$D$29*(J169^2)+'CAFCO 400 '!$D$30*J169+'CAFCO 400 '!$D$31)),0),0),0)),0)</f>
        <v>0</v>
      </c>
      <c r="R169" s="47">
        <f t="shared" si="19"/>
        <v>0</v>
      </c>
      <c r="S169" s="82">
        <f t="shared" si="16"/>
        <v>0</v>
      </c>
      <c r="T169" s="81">
        <f>+IF(AND(J169&gt;=95,J169&lt;=240),IF(AND(C169="Cj",I169=90),VLOOKUP(W169,'CAFCO 300 IDIEM TABLAS'!$B$4:$D$23,2,FALSE),0)+IF(AND(J169&gt;=95,J169&lt;=240),IF(AND(C169="Cj",I169=120),VLOOKUP(W169,'CAFCO 300 IDIEM TABLAS'!$B$4:$D$23,3,FALSE),0))+IF(AND(J169&gt;=95,J169&lt;=400,G169=3),IF(AND(C169="IN",I169=90),VLOOKUP(W169,'CAFCO 300 IDIEM TABLAS'!$F$4:$H$35,2,FALSE),0),0)+IF(AND(J169&gt;=95,J169&lt;=400,G169=3),IF(AND(C169="IN",I169=120),VLOOKUP(W169,'CAFCO 300 IDIEM TABLAS'!$F$4:$H$35,3,FALSE),0),0)+IF(AND(J169&gt;=95,J169&lt;=450,G169=4),IF(AND(C169="IN",I169=90),VLOOKUP(W169,'CAFCO 300 IDIEM TABLAS'!$J$4:$L$40,2,FALSE),0),0)+IF(AND(J169&gt;=95,J169&lt;=450,G169=4),IF(AND(C169="IN",I169=120),VLOOKUP(W169,'CAFCO 300 IDIEM TABLAS'!$J$4:$L$40,3,FALSE),0),0))</f>
        <v>17</v>
      </c>
      <c r="U169" s="48">
        <f t="shared" si="20"/>
        <v>3.6017467907573808</v>
      </c>
      <c r="V169" s="82">
        <f t="shared" si="17"/>
        <v>54076.626316431313</v>
      </c>
      <c r="W169" s="64">
        <f>+IF(J169=LOOKUP(J169,'CAFCO 300 IDIEM TABLAS'!$J$4:$J$40),'HOJA DE CÁLCULO RESPALDO'!J169,MROUND('HOJA DE CÁLCULO RESPALDO'!J169,10))</f>
        <v>95</v>
      </c>
      <c r="X169" s="36"/>
      <c r="Y169" s="4"/>
    </row>
    <row r="170" spans="1:25" ht="15.6" customHeight="1" x14ac:dyDescent="0.25">
      <c r="A170" s="2" t="s">
        <v>44</v>
      </c>
      <c r="B170" s="3" t="s">
        <v>17</v>
      </c>
      <c r="C170" s="3" t="s">
        <v>19</v>
      </c>
      <c r="D170" s="3">
        <v>1</v>
      </c>
      <c r="E170" s="2">
        <v>1</v>
      </c>
      <c r="F170" s="8">
        <v>4250</v>
      </c>
      <c r="G170" s="1">
        <v>4</v>
      </c>
      <c r="H170" s="2">
        <v>1181</v>
      </c>
      <c r="I170" s="34">
        <v>90</v>
      </c>
      <c r="J170" s="11">
        <v>95</v>
      </c>
      <c r="K170" s="44">
        <f t="shared" si="14"/>
        <v>5.0192500000000004</v>
      </c>
      <c r="L170" s="3" t="s">
        <v>61</v>
      </c>
      <c r="M170" s="3" t="s">
        <v>70</v>
      </c>
      <c r="N170" s="15">
        <f>ROUND((IF(L170="Blaze Shield II",IF(M170="Idiem software",IF(AND(C170="IN",G170=4),((('BLAZE SHIELD II'!$D$4*('HOJA DE CÁLCULO RESPALDO'!I170^2)+'BLAZE SHIELD II'!$D$5*'HOJA DE CÁLCULO RESPALDO'!I170+'BLAZE SHIELD II'!$D$6)*LN(J170))+('BLAZE SHIELD II'!$D$7*('HOJA DE CÁLCULO RESPALDO'!I170^2)+'BLAZE SHIELD II'!$D$8*'HOJA DE CÁLCULO RESPALDO'!I170+'BLAZE SHIELD II'!$D$9)),0),0),0))+(IF(L170="Blaze Shield II",IF(M170="Idiem software",IF(C170="Cj",((('BLAZE SHIELD II'!$H$4*('HOJA DE CÁLCULO RESPALDO'!I170^2)+'BLAZE SHIELD II'!$H$5*'HOJA DE CÁLCULO RESPALDO'!I170+'BLAZE SHIELD II'!$H$6)*LN(J170))+('BLAZE SHIELD II'!$H$7*('HOJA DE CÁLCULO RESPALDO'!I170^2)+'BLAZE SHIELD II'!$H$8*'HOJA DE CÁLCULO RESPALDO'!I170+'BLAZE SHIELD II'!$H$9)),0),0),0))+(IF(L170="Blaze Shield II",IF(M170="Idiem software",IF(C170="C",((('BLAZE SHIELD II'!$L$4*('HOJA DE CÁLCULO RESPALDO'!I170^2)+'BLAZE SHIELD II'!$L$5*'HOJA DE CÁLCULO RESPALDO'!I170+'BLAZE SHIELD II'!$L$6)*LN(J170))+('BLAZE SHIELD II'!$L$7*('HOJA DE CÁLCULO RESPALDO'!I170^2)+'BLAZE SHIELD II'!$L$8*'HOJA DE CÁLCULO RESPALDO'!I170+'BLAZE SHIELD II'!$L$9)),0),0),0))+(IF(L170="Blaze Shield II",IF(M170="Idiem software",IF(AND(C170="IN",G170=3),((('BLAZE SHIELD II'!$H$14*('HOJA DE CÁLCULO RESPALDO'!I170^2)+'BLAZE SHIELD II'!$H$15*'HOJA DE CÁLCULO RESPALDO'!I170+'BLAZE SHIELD II'!$H$16)*LN(J170))+('BLAZE SHIELD II'!$H$17*('HOJA DE CÁLCULO RESPALDO'!I170^2)+'BLAZE SHIELD II'!$H$18*'HOJA DE CÁLCULO RESPALDO'!I170+'BLAZE SHIELD II'!$H$19)),0),0),0)),0)</f>
        <v>0</v>
      </c>
      <c r="O170" s="46">
        <f t="shared" si="18"/>
        <v>0</v>
      </c>
      <c r="P170" s="80">
        <f t="shared" si="15"/>
        <v>0</v>
      </c>
      <c r="Q170" s="85">
        <f>ROUND((IF(L170="Cafco 400",IF(M170="Idiem software",IF(AND(C170="IN",G170=4),((('CAFCO 400 '!$H$7*(J170^4)+'CAFCO 400 '!$H$8*(J170^3)+'CAFCO 400 '!$H$9*(J170^2)+'CAFCO 400 '!$H$10*J170+'CAFCO 400 '!$H$11)*I170^2)+(('CAFCO 400 '!$H$12*(J170^3)+'CAFCO 400 '!$H$13*(J170^2)+'CAFCO 400 '!$H$14*J170+'CAFCO 400 '!$H$15)*I170)+('CAFCO 400 '!$H$16*(J170^2)+'CAFCO 400 '!$H$17*J170+'CAFCO 400 '!$H$18)),0),0),0))+(IF(L170="Cafco 400",IF(M170="Idiem software",IF(C170="Cj",(((('CAFCO 400 '!$D$7*LN(J170)+'CAFCO 400 '!$D$8)*I170^2)+(('CAFCO 400 '!$D$9*LN(J170)+'CAFCO 400 '!$D$10)*I170)+('CAFCO 400 '!$D$11*LN(J170)+'CAFCO 400 '!$D$12))),0),0),0))+(IF(L170="Cafco 400",IF(M170="Idiem software",IF(C170="C",((('CAFCO 400 '!$L$7*(J170^3)+'CAFCO 400 '!$L$8*(J170^2)+'CAFCO 400 '!$L$9*J170+'CAFCO 400 '!$L$10)*I170^2)+(('CAFCO 400 '!$L$11*(J170^3)+'CAFCO 400 '!$L$12*(J170^2)+'CAFCO 400 '!$L$13*J170+'CAFCO 400 '!$L$14)*I170)+('CAFCO 400 '!$L$15*LN(J170)+'CAFCO 400 '!$L$16)),0),0),0))+(IF(L170="Cafco 400",IF(M170="Idiem software",IF(AND(C170="IN",G170=3),((('CAFCO 400 '!$D$23*(J170^2)+'CAFCO 400 '!$D$24*(J170)+'CAFCO 400 '!$D$25)*I170^2)+(('CAFCO 400 '!$D$26*(J170^2)+'CAFCO 400 '!$D$27*J170+'CAFCO 400 '!$D$28)*I170)+('CAFCO 400 '!$D$29*(J170^2)+'CAFCO 400 '!$D$30*J170+'CAFCO 400 '!$D$31)),0),0),0)),0)</f>
        <v>0</v>
      </c>
      <c r="R170" s="47">
        <f t="shared" si="19"/>
        <v>0</v>
      </c>
      <c r="S170" s="82">
        <f t="shared" si="16"/>
        <v>0</v>
      </c>
      <c r="T170" s="81">
        <f>+IF(AND(J170&gt;=95,J170&lt;=240),IF(AND(C170="Cj",I170=90),VLOOKUP(W170,'CAFCO 300 IDIEM TABLAS'!$B$4:$D$23,2,FALSE),0)+IF(AND(J170&gt;=95,J170&lt;=240),IF(AND(C170="Cj",I170=120),VLOOKUP(W170,'CAFCO 300 IDIEM TABLAS'!$B$4:$D$23,3,FALSE),0))+IF(AND(J170&gt;=95,J170&lt;=400,G170=3),IF(AND(C170="IN",I170=90),VLOOKUP(W170,'CAFCO 300 IDIEM TABLAS'!$F$4:$H$35,2,FALSE),0),0)+IF(AND(J170&gt;=95,J170&lt;=400,G170=3),IF(AND(C170="IN",I170=120),VLOOKUP(W170,'CAFCO 300 IDIEM TABLAS'!$F$4:$H$35,3,FALSE),0),0)+IF(AND(J170&gt;=95,J170&lt;=450,G170=4),IF(AND(C170="IN",I170=90),VLOOKUP(W170,'CAFCO 300 IDIEM TABLAS'!$J$4:$L$40,2,FALSE),0),0)+IF(AND(J170&gt;=95,J170&lt;=450,G170=4),IF(AND(C170="IN",I170=120),VLOOKUP(W170,'CAFCO 300 IDIEM TABLAS'!$J$4:$L$40,3,FALSE),0),0))</f>
        <v>17</v>
      </c>
      <c r="U170" s="48">
        <f t="shared" si="20"/>
        <v>1.177494143132221</v>
      </c>
      <c r="V170" s="82">
        <f t="shared" si="17"/>
        <v>17678.897064987166</v>
      </c>
      <c r="W170" s="64">
        <f>+IF(J170=LOOKUP(J170,'CAFCO 300 IDIEM TABLAS'!$J$4:$J$40),'HOJA DE CÁLCULO RESPALDO'!J170,MROUND('HOJA DE CÁLCULO RESPALDO'!J170,10))</f>
        <v>95</v>
      </c>
      <c r="X170" s="36"/>
      <c r="Y170" s="4"/>
    </row>
    <row r="171" spans="1:25" x14ac:dyDescent="0.25">
      <c r="A171" s="2" t="s">
        <v>41</v>
      </c>
      <c r="B171" s="3" t="s">
        <v>17</v>
      </c>
      <c r="C171" s="3" t="s">
        <v>19</v>
      </c>
      <c r="D171" s="3">
        <v>1</v>
      </c>
      <c r="E171" s="2">
        <v>1</v>
      </c>
      <c r="F171" s="8">
        <v>8500</v>
      </c>
      <c r="G171" s="1">
        <v>4</v>
      </c>
      <c r="H171" s="2">
        <v>1181</v>
      </c>
      <c r="I171" s="34">
        <v>90</v>
      </c>
      <c r="J171" s="11">
        <v>95</v>
      </c>
      <c r="K171" s="44">
        <f t="shared" si="14"/>
        <v>10.038500000000001</v>
      </c>
      <c r="L171" s="3" t="s">
        <v>61</v>
      </c>
      <c r="M171" s="3" t="s">
        <v>70</v>
      </c>
      <c r="N171" s="15">
        <f>ROUND((IF(L171="Blaze Shield II",IF(M171="Idiem software",IF(AND(C171="IN",G171=4),((('BLAZE SHIELD II'!$D$4*('HOJA DE CÁLCULO RESPALDO'!I171^2)+'BLAZE SHIELD II'!$D$5*'HOJA DE CÁLCULO RESPALDO'!I171+'BLAZE SHIELD II'!$D$6)*LN(J171))+('BLAZE SHIELD II'!$D$7*('HOJA DE CÁLCULO RESPALDO'!I171^2)+'BLAZE SHIELD II'!$D$8*'HOJA DE CÁLCULO RESPALDO'!I171+'BLAZE SHIELD II'!$D$9)),0),0),0))+(IF(L171="Blaze Shield II",IF(M171="Idiem software",IF(C171="Cj",((('BLAZE SHIELD II'!$H$4*('HOJA DE CÁLCULO RESPALDO'!I171^2)+'BLAZE SHIELD II'!$H$5*'HOJA DE CÁLCULO RESPALDO'!I171+'BLAZE SHIELD II'!$H$6)*LN(J171))+('BLAZE SHIELD II'!$H$7*('HOJA DE CÁLCULO RESPALDO'!I171^2)+'BLAZE SHIELD II'!$H$8*'HOJA DE CÁLCULO RESPALDO'!I171+'BLAZE SHIELD II'!$H$9)),0),0),0))+(IF(L171="Blaze Shield II",IF(M171="Idiem software",IF(C171="C",((('BLAZE SHIELD II'!$L$4*('HOJA DE CÁLCULO RESPALDO'!I171^2)+'BLAZE SHIELD II'!$L$5*'HOJA DE CÁLCULO RESPALDO'!I171+'BLAZE SHIELD II'!$L$6)*LN(J171))+('BLAZE SHIELD II'!$L$7*('HOJA DE CÁLCULO RESPALDO'!I171^2)+'BLAZE SHIELD II'!$L$8*'HOJA DE CÁLCULO RESPALDO'!I171+'BLAZE SHIELD II'!$L$9)),0),0),0))+(IF(L171="Blaze Shield II",IF(M171="Idiem software",IF(AND(C171="IN",G171=3),((('BLAZE SHIELD II'!$H$14*('HOJA DE CÁLCULO RESPALDO'!I171^2)+'BLAZE SHIELD II'!$H$15*'HOJA DE CÁLCULO RESPALDO'!I171+'BLAZE SHIELD II'!$H$16)*LN(J171))+('BLAZE SHIELD II'!$H$17*('HOJA DE CÁLCULO RESPALDO'!I171^2)+'BLAZE SHIELD II'!$H$18*'HOJA DE CÁLCULO RESPALDO'!I171+'BLAZE SHIELD II'!$H$19)),0),0),0)),0)</f>
        <v>0</v>
      </c>
      <c r="O171" s="46">
        <f t="shared" si="18"/>
        <v>0</v>
      </c>
      <c r="P171" s="80">
        <f t="shared" si="15"/>
        <v>0</v>
      </c>
      <c r="Q171" s="85">
        <f>ROUND((IF(L171="Cafco 400",IF(M171="Idiem software",IF(AND(C171="IN",G171=4),((('CAFCO 400 '!$H$7*(J171^4)+'CAFCO 400 '!$H$8*(J171^3)+'CAFCO 400 '!$H$9*(J171^2)+'CAFCO 400 '!$H$10*J171+'CAFCO 400 '!$H$11)*I171^2)+(('CAFCO 400 '!$H$12*(J171^3)+'CAFCO 400 '!$H$13*(J171^2)+'CAFCO 400 '!$H$14*J171+'CAFCO 400 '!$H$15)*I171)+('CAFCO 400 '!$H$16*(J171^2)+'CAFCO 400 '!$H$17*J171+'CAFCO 400 '!$H$18)),0),0),0))+(IF(L171="Cafco 400",IF(M171="Idiem software",IF(C171="Cj",(((('CAFCO 400 '!$D$7*LN(J171)+'CAFCO 400 '!$D$8)*I171^2)+(('CAFCO 400 '!$D$9*LN(J171)+'CAFCO 400 '!$D$10)*I171)+('CAFCO 400 '!$D$11*LN(J171)+'CAFCO 400 '!$D$12))),0),0),0))+(IF(L171="Cafco 400",IF(M171="Idiem software",IF(C171="C",((('CAFCO 400 '!$L$7*(J171^3)+'CAFCO 400 '!$L$8*(J171^2)+'CAFCO 400 '!$L$9*J171+'CAFCO 400 '!$L$10)*I171^2)+(('CAFCO 400 '!$L$11*(J171^3)+'CAFCO 400 '!$L$12*(J171^2)+'CAFCO 400 '!$L$13*J171+'CAFCO 400 '!$L$14)*I171)+('CAFCO 400 '!$L$15*LN(J171)+'CAFCO 400 '!$L$16)),0),0),0))+(IF(L171="Cafco 400",IF(M171="Idiem software",IF(AND(C171="IN",G171=3),((('CAFCO 400 '!$D$23*(J171^2)+'CAFCO 400 '!$D$24*(J171)+'CAFCO 400 '!$D$25)*I171^2)+(('CAFCO 400 '!$D$26*(J171^2)+'CAFCO 400 '!$D$27*J171+'CAFCO 400 '!$D$28)*I171)+('CAFCO 400 '!$D$29*(J171^2)+'CAFCO 400 '!$D$30*J171+'CAFCO 400 '!$D$31)),0),0),0)),0)</f>
        <v>0</v>
      </c>
      <c r="R171" s="47">
        <f t="shared" si="19"/>
        <v>0</v>
      </c>
      <c r="S171" s="82">
        <f t="shared" si="16"/>
        <v>0</v>
      </c>
      <c r="T171" s="81">
        <f>+IF(AND(J171&gt;=95,J171&lt;=240),IF(AND(C171="Cj",I171=90),VLOOKUP(W171,'CAFCO 300 IDIEM TABLAS'!$B$4:$D$23,2,FALSE),0)+IF(AND(J171&gt;=95,J171&lt;=240),IF(AND(C171="Cj",I171=120),VLOOKUP(W171,'CAFCO 300 IDIEM TABLAS'!$B$4:$D$23,3,FALSE),0))+IF(AND(J171&gt;=95,J171&lt;=400,G171=3),IF(AND(C171="IN",I171=90),VLOOKUP(W171,'CAFCO 300 IDIEM TABLAS'!$F$4:$H$35,2,FALSE),0),0)+IF(AND(J171&gt;=95,J171&lt;=400,G171=3),IF(AND(C171="IN",I171=120),VLOOKUP(W171,'CAFCO 300 IDIEM TABLAS'!$F$4:$H$35,3,FALSE),0),0)+IF(AND(J171&gt;=95,J171&lt;=450,G171=4),IF(AND(C171="IN",I171=90),VLOOKUP(W171,'CAFCO 300 IDIEM TABLAS'!$J$4:$L$40,2,FALSE),0),0)+IF(AND(J171&gt;=95,J171&lt;=450,G171=4),IF(AND(C171="IN",I171=120),VLOOKUP(W171,'CAFCO 300 IDIEM TABLAS'!$J$4:$L$40,3,FALSE),0),0))</f>
        <v>17</v>
      </c>
      <c r="U171" s="48">
        <f t="shared" si="20"/>
        <v>2.354988286264442</v>
      </c>
      <c r="V171" s="82">
        <f t="shared" si="17"/>
        <v>35357.794129974332</v>
      </c>
      <c r="W171" s="64">
        <f>+IF(J171=LOOKUP(J171,'CAFCO 300 IDIEM TABLAS'!$J$4:$J$40),'HOJA DE CÁLCULO RESPALDO'!J171,MROUND('HOJA DE CÁLCULO RESPALDO'!J171,10))</f>
        <v>95</v>
      </c>
      <c r="X171" s="36"/>
      <c r="Y171" s="4"/>
    </row>
    <row r="172" spans="1:25" ht="15.6" customHeight="1" x14ac:dyDescent="0.25">
      <c r="A172" s="2" t="s">
        <v>44</v>
      </c>
      <c r="B172" s="3" t="s">
        <v>17</v>
      </c>
      <c r="C172" s="3" t="s">
        <v>19</v>
      </c>
      <c r="D172" s="3">
        <v>1</v>
      </c>
      <c r="E172" s="2">
        <v>1</v>
      </c>
      <c r="F172" s="8">
        <v>103000</v>
      </c>
      <c r="G172" s="1">
        <v>4</v>
      </c>
      <c r="H172" s="2">
        <v>1190</v>
      </c>
      <c r="I172" s="34">
        <v>90</v>
      </c>
      <c r="J172" s="11">
        <v>95</v>
      </c>
      <c r="K172" s="44">
        <f t="shared" si="14"/>
        <v>122.57</v>
      </c>
      <c r="L172" s="3" t="s">
        <v>61</v>
      </c>
      <c r="M172" s="3" t="s">
        <v>70</v>
      </c>
      <c r="N172" s="15">
        <f>ROUND((IF(L172="Blaze Shield II",IF(M172="Idiem software",IF(AND(C172="IN",G172=4),((('BLAZE SHIELD II'!$D$4*('HOJA DE CÁLCULO RESPALDO'!I172^2)+'BLAZE SHIELD II'!$D$5*'HOJA DE CÁLCULO RESPALDO'!I172+'BLAZE SHIELD II'!$D$6)*LN(J172))+('BLAZE SHIELD II'!$D$7*('HOJA DE CÁLCULO RESPALDO'!I172^2)+'BLAZE SHIELD II'!$D$8*'HOJA DE CÁLCULO RESPALDO'!I172+'BLAZE SHIELD II'!$D$9)),0),0),0))+(IF(L172="Blaze Shield II",IF(M172="Idiem software",IF(C172="Cj",((('BLAZE SHIELD II'!$H$4*('HOJA DE CÁLCULO RESPALDO'!I172^2)+'BLAZE SHIELD II'!$H$5*'HOJA DE CÁLCULO RESPALDO'!I172+'BLAZE SHIELD II'!$H$6)*LN(J172))+('BLAZE SHIELD II'!$H$7*('HOJA DE CÁLCULO RESPALDO'!I172^2)+'BLAZE SHIELD II'!$H$8*'HOJA DE CÁLCULO RESPALDO'!I172+'BLAZE SHIELD II'!$H$9)),0),0),0))+(IF(L172="Blaze Shield II",IF(M172="Idiem software",IF(C172="C",((('BLAZE SHIELD II'!$L$4*('HOJA DE CÁLCULO RESPALDO'!I172^2)+'BLAZE SHIELD II'!$L$5*'HOJA DE CÁLCULO RESPALDO'!I172+'BLAZE SHIELD II'!$L$6)*LN(J172))+('BLAZE SHIELD II'!$L$7*('HOJA DE CÁLCULO RESPALDO'!I172^2)+'BLAZE SHIELD II'!$L$8*'HOJA DE CÁLCULO RESPALDO'!I172+'BLAZE SHIELD II'!$L$9)),0),0),0))+(IF(L172="Blaze Shield II",IF(M172="Idiem software",IF(AND(C172="IN",G172=3),((('BLAZE SHIELD II'!$H$14*('HOJA DE CÁLCULO RESPALDO'!I172^2)+'BLAZE SHIELD II'!$H$15*'HOJA DE CÁLCULO RESPALDO'!I172+'BLAZE SHIELD II'!$H$16)*LN(J172))+('BLAZE SHIELD II'!$H$17*('HOJA DE CÁLCULO RESPALDO'!I172^2)+'BLAZE SHIELD II'!$H$18*'HOJA DE CÁLCULO RESPALDO'!I172+'BLAZE SHIELD II'!$H$19)),0),0),0)),0)</f>
        <v>0</v>
      </c>
      <c r="O172" s="46">
        <f t="shared" si="18"/>
        <v>0</v>
      </c>
      <c r="P172" s="80">
        <f t="shared" si="15"/>
        <v>0</v>
      </c>
      <c r="Q172" s="85">
        <f>ROUND((IF(L172="Cafco 400",IF(M172="Idiem software",IF(AND(C172="IN",G172=4),((('CAFCO 400 '!$H$7*(J172^4)+'CAFCO 400 '!$H$8*(J172^3)+'CAFCO 400 '!$H$9*(J172^2)+'CAFCO 400 '!$H$10*J172+'CAFCO 400 '!$H$11)*I172^2)+(('CAFCO 400 '!$H$12*(J172^3)+'CAFCO 400 '!$H$13*(J172^2)+'CAFCO 400 '!$H$14*J172+'CAFCO 400 '!$H$15)*I172)+('CAFCO 400 '!$H$16*(J172^2)+'CAFCO 400 '!$H$17*J172+'CAFCO 400 '!$H$18)),0),0),0))+(IF(L172="Cafco 400",IF(M172="Idiem software",IF(C172="Cj",(((('CAFCO 400 '!$D$7*LN(J172)+'CAFCO 400 '!$D$8)*I172^2)+(('CAFCO 400 '!$D$9*LN(J172)+'CAFCO 400 '!$D$10)*I172)+('CAFCO 400 '!$D$11*LN(J172)+'CAFCO 400 '!$D$12))),0),0),0))+(IF(L172="Cafco 400",IF(M172="Idiem software",IF(C172="C",((('CAFCO 400 '!$L$7*(J172^3)+'CAFCO 400 '!$L$8*(J172^2)+'CAFCO 400 '!$L$9*J172+'CAFCO 400 '!$L$10)*I172^2)+(('CAFCO 400 '!$L$11*(J172^3)+'CAFCO 400 '!$L$12*(J172^2)+'CAFCO 400 '!$L$13*J172+'CAFCO 400 '!$L$14)*I172)+('CAFCO 400 '!$L$15*LN(J172)+'CAFCO 400 '!$L$16)),0),0),0))+(IF(L172="Cafco 400",IF(M172="Idiem software",IF(AND(C172="IN",G172=3),((('CAFCO 400 '!$D$23*(J172^2)+'CAFCO 400 '!$D$24*(J172)+'CAFCO 400 '!$D$25)*I172^2)+(('CAFCO 400 '!$D$26*(J172^2)+'CAFCO 400 '!$D$27*J172+'CAFCO 400 '!$D$28)*I172)+('CAFCO 400 '!$D$29*(J172^2)+'CAFCO 400 '!$D$30*J172+'CAFCO 400 '!$D$31)),0),0),0)),0)</f>
        <v>0</v>
      </c>
      <c r="R172" s="47">
        <f t="shared" si="19"/>
        <v>0</v>
      </c>
      <c r="S172" s="82">
        <f t="shared" si="16"/>
        <v>0</v>
      </c>
      <c r="T172" s="81">
        <f>+IF(AND(J172&gt;=95,J172&lt;=240),IF(AND(C172="Cj",I172=90),VLOOKUP(W172,'CAFCO 300 IDIEM TABLAS'!$B$4:$D$23,2,FALSE),0)+IF(AND(J172&gt;=95,J172&lt;=240),IF(AND(C172="Cj",I172=120),VLOOKUP(W172,'CAFCO 300 IDIEM TABLAS'!$B$4:$D$23,3,FALSE),0))+IF(AND(J172&gt;=95,J172&lt;=400,G172=3),IF(AND(C172="IN",I172=90),VLOOKUP(W172,'CAFCO 300 IDIEM TABLAS'!$F$4:$H$35,2,FALSE),0),0)+IF(AND(J172&gt;=95,J172&lt;=400,G172=3),IF(AND(C172="IN",I172=120),VLOOKUP(W172,'CAFCO 300 IDIEM TABLAS'!$F$4:$H$35,3,FALSE),0),0)+IF(AND(J172&gt;=95,J172&lt;=450,G172=4),IF(AND(C172="IN",I172=90),VLOOKUP(W172,'CAFCO 300 IDIEM TABLAS'!$J$4:$L$40,2,FALSE),0),0)+IF(AND(J172&gt;=95,J172&lt;=450,G172=4),IF(AND(C172="IN",I172=120),VLOOKUP(W172,'CAFCO 300 IDIEM TABLAS'!$J$4:$L$40,3,FALSE),0),0))</f>
        <v>17</v>
      </c>
      <c r="U172" s="48">
        <f t="shared" si="20"/>
        <v>28.754387034659821</v>
      </c>
      <c r="V172" s="82">
        <f t="shared" si="17"/>
        <v>431718.36693838256</v>
      </c>
      <c r="W172" s="64">
        <f>+IF(J172=LOOKUP(J172,'CAFCO 300 IDIEM TABLAS'!$J$4:$J$40),'HOJA DE CÁLCULO RESPALDO'!J172,MROUND('HOJA DE CÁLCULO RESPALDO'!J172,10))</f>
        <v>95</v>
      </c>
      <c r="X172" s="36"/>
      <c r="Y172" s="4"/>
    </row>
    <row r="173" spans="1:25" x14ac:dyDescent="0.25">
      <c r="A173" s="2" t="s">
        <v>41</v>
      </c>
      <c r="B173" s="3" t="s">
        <v>17</v>
      </c>
      <c r="C173" s="3" t="s">
        <v>19</v>
      </c>
      <c r="D173" s="3">
        <v>1</v>
      </c>
      <c r="E173" s="2">
        <v>1</v>
      </c>
      <c r="F173" s="8">
        <v>12750</v>
      </c>
      <c r="G173" s="1">
        <v>4</v>
      </c>
      <c r="H173" s="2">
        <v>1181</v>
      </c>
      <c r="I173" s="34">
        <v>90</v>
      </c>
      <c r="J173" s="11">
        <v>95</v>
      </c>
      <c r="K173" s="44">
        <f t="shared" si="14"/>
        <v>15.05775</v>
      </c>
      <c r="L173" s="3" t="s">
        <v>61</v>
      </c>
      <c r="M173" s="3" t="s">
        <v>70</v>
      </c>
      <c r="N173" s="15">
        <f>ROUND((IF(L173="Blaze Shield II",IF(M173="Idiem software",IF(AND(C173="IN",G173=4),((('BLAZE SHIELD II'!$D$4*('HOJA DE CÁLCULO RESPALDO'!I173^2)+'BLAZE SHIELD II'!$D$5*'HOJA DE CÁLCULO RESPALDO'!I173+'BLAZE SHIELD II'!$D$6)*LN(J173))+('BLAZE SHIELD II'!$D$7*('HOJA DE CÁLCULO RESPALDO'!I173^2)+'BLAZE SHIELD II'!$D$8*'HOJA DE CÁLCULO RESPALDO'!I173+'BLAZE SHIELD II'!$D$9)),0),0),0))+(IF(L173="Blaze Shield II",IF(M173="Idiem software",IF(C173="Cj",((('BLAZE SHIELD II'!$H$4*('HOJA DE CÁLCULO RESPALDO'!I173^2)+'BLAZE SHIELD II'!$H$5*'HOJA DE CÁLCULO RESPALDO'!I173+'BLAZE SHIELD II'!$H$6)*LN(J173))+('BLAZE SHIELD II'!$H$7*('HOJA DE CÁLCULO RESPALDO'!I173^2)+'BLAZE SHIELD II'!$H$8*'HOJA DE CÁLCULO RESPALDO'!I173+'BLAZE SHIELD II'!$H$9)),0),0),0))+(IF(L173="Blaze Shield II",IF(M173="Idiem software",IF(C173="C",((('BLAZE SHIELD II'!$L$4*('HOJA DE CÁLCULO RESPALDO'!I173^2)+'BLAZE SHIELD II'!$L$5*'HOJA DE CÁLCULO RESPALDO'!I173+'BLAZE SHIELD II'!$L$6)*LN(J173))+('BLAZE SHIELD II'!$L$7*('HOJA DE CÁLCULO RESPALDO'!I173^2)+'BLAZE SHIELD II'!$L$8*'HOJA DE CÁLCULO RESPALDO'!I173+'BLAZE SHIELD II'!$L$9)),0),0),0))+(IF(L173="Blaze Shield II",IF(M173="Idiem software",IF(AND(C173="IN",G173=3),((('BLAZE SHIELD II'!$H$14*('HOJA DE CÁLCULO RESPALDO'!I173^2)+'BLAZE SHIELD II'!$H$15*'HOJA DE CÁLCULO RESPALDO'!I173+'BLAZE SHIELD II'!$H$16)*LN(J173))+('BLAZE SHIELD II'!$H$17*('HOJA DE CÁLCULO RESPALDO'!I173^2)+'BLAZE SHIELD II'!$H$18*'HOJA DE CÁLCULO RESPALDO'!I173+'BLAZE SHIELD II'!$H$19)),0),0),0)),0)</f>
        <v>0</v>
      </c>
      <c r="O173" s="46">
        <f t="shared" si="18"/>
        <v>0</v>
      </c>
      <c r="P173" s="80">
        <f t="shared" si="15"/>
        <v>0</v>
      </c>
      <c r="Q173" s="85">
        <f>ROUND((IF(L173="Cafco 400",IF(M173="Idiem software",IF(AND(C173="IN",G173=4),((('CAFCO 400 '!$H$7*(J173^4)+'CAFCO 400 '!$H$8*(J173^3)+'CAFCO 400 '!$H$9*(J173^2)+'CAFCO 400 '!$H$10*J173+'CAFCO 400 '!$H$11)*I173^2)+(('CAFCO 400 '!$H$12*(J173^3)+'CAFCO 400 '!$H$13*(J173^2)+'CAFCO 400 '!$H$14*J173+'CAFCO 400 '!$H$15)*I173)+('CAFCO 400 '!$H$16*(J173^2)+'CAFCO 400 '!$H$17*J173+'CAFCO 400 '!$H$18)),0),0),0))+(IF(L173="Cafco 400",IF(M173="Idiem software",IF(C173="Cj",(((('CAFCO 400 '!$D$7*LN(J173)+'CAFCO 400 '!$D$8)*I173^2)+(('CAFCO 400 '!$D$9*LN(J173)+'CAFCO 400 '!$D$10)*I173)+('CAFCO 400 '!$D$11*LN(J173)+'CAFCO 400 '!$D$12))),0),0),0))+(IF(L173="Cafco 400",IF(M173="Idiem software",IF(C173="C",((('CAFCO 400 '!$L$7*(J173^3)+'CAFCO 400 '!$L$8*(J173^2)+'CAFCO 400 '!$L$9*J173+'CAFCO 400 '!$L$10)*I173^2)+(('CAFCO 400 '!$L$11*(J173^3)+'CAFCO 400 '!$L$12*(J173^2)+'CAFCO 400 '!$L$13*J173+'CAFCO 400 '!$L$14)*I173)+('CAFCO 400 '!$L$15*LN(J173)+'CAFCO 400 '!$L$16)),0),0),0))+(IF(L173="Cafco 400",IF(M173="Idiem software",IF(AND(C173="IN",G173=3),((('CAFCO 400 '!$D$23*(J173^2)+'CAFCO 400 '!$D$24*(J173)+'CAFCO 400 '!$D$25)*I173^2)+(('CAFCO 400 '!$D$26*(J173^2)+'CAFCO 400 '!$D$27*J173+'CAFCO 400 '!$D$28)*I173)+('CAFCO 400 '!$D$29*(J173^2)+'CAFCO 400 '!$D$30*J173+'CAFCO 400 '!$D$31)),0),0),0)),0)</f>
        <v>0</v>
      </c>
      <c r="R173" s="47">
        <f t="shared" si="19"/>
        <v>0</v>
      </c>
      <c r="S173" s="82">
        <f t="shared" si="16"/>
        <v>0</v>
      </c>
      <c r="T173" s="81">
        <f>+IF(AND(J173&gt;=95,J173&lt;=240),IF(AND(C173="Cj",I173=90),VLOOKUP(W173,'CAFCO 300 IDIEM TABLAS'!$B$4:$D$23,2,FALSE),0)+IF(AND(J173&gt;=95,J173&lt;=240),IF(AND(C173="Cj",I173=120),VLOOKUP(W173,'CAFCO 300 IDIEM TABLAS'!$B$4:$D$23,3,FALSE),0))+IF(AND(J173&gt;=95,J173&lt;=400,G173=3),IF(AND(C173="IN",I173=90),VLOOKUP(W173,'CAFCO 300 IDIEM TABLAS'!$F$4:$H$35,2,FALSE),0),0)+IF(AND(J173&gt;=95,J173&lt;=400,G173=3),IF(AND(C173="IN",I173=120),VLOOKUP(W173,'CAFCO 300 IDIEM TABLAS'!$F$4:$H$35,3,FALSE),0),0)+IF(AND(J173&gt;=95,J173&lt;=450,G173=4),IF(AND(C173="IN",I173=90),VLOOKUP(W173,'CAFCO 300 IDIEM TABLAS'!$J$4:$L$40,2,FALSE),0),0)+IF(AND(J173&gt;=95,J173&lt;=450,G173=4),IF(AND(C173="IN",I173=120),VLOOKUP(W173,'CAFCO 300 IDIEM TABLAS'!$J$4:$L$40,3,FALSE),0),0))</f>
        <v>17</v>
      </c>
      <c r="U173" s="48">
        <f t="shared" si="20"/>
        <v>3.5324824293966626</v>
      </c>
      <c r="V173" s="82">
        <f t="shared" si="17"/>
        <v>53036.691194961495</v>
      </c>
      <c r="W173" s="64">
        <f>+IF(J173=LOOKUP(J173,'CAFCO 300 IDIEM TABLAS'!$J$4:$J$40),'HOJA DE CÁLCULO RESPALDO'!J173,MROUND('HOJA DE CÁLCULO RESPALDO'!J173,10))</f>
        <v>95</v>
      </c>
      <c r="X173" s="36"/>
      <c r="Y173" s="4"/>
    </row>
    <row r="174" spans="1:25" ht="15.6" customHeight="1" x14ac:dyDescent="0.25">
      <c r="A174" s="2" t="s">
        <v>44</v>
      </c>
      <c r="B174" s="3" t="s">
        <v>17</v>
      </c>
      <c r="C174" s="3" t="s">
        <v>19</v>
      </c>
      <c r="D174" s="3">
        <v>1</v>
      </c>
      <c r="E174" s="2">
        <v>1</v>
      </c>
      <c r="F174" s="8">
        <v>17500</v>
      </c>
      <c r="G174" s="1">
        <v>4</v>
      </c>
      <c r="H174" s="2">
        <v>1692</v>
      </c>
      <c r="I174" s="34">
        <v>90</v>
      </c>
      <c r="J174" s="11">
        <v>95</v>
      </c>
      <c r="K174" s="44">
        <f t="shared" si="14"/>
        <v>29.61</v>
      </c>
      <c r="L174" s="3" t="s">
        <v>61</v>
      </c>
      <c r="M174" s="3" t="s">
        <v>70</v>
      </c>
      <c r="N174" s="15">
        <f>ROUND((IF(L174="Blaze Shield II",IF(M174="Idiem software",IF(AND(C174="IN",G174=4),((('BLAZE SHIELD II'!$D$4*('HOJA DE CÁLCULO RESPALDO'!I174^2)+'BLAZE SHIELD II'!$D$5*'HOJA DE CÁLCULO RESPALDO'!I174+'BLAZE SHIELD II'!$D$6)*LN(J174))+('BLAZE SHIELD II'!$D$7*('HOJA DE CÁLCULO RESPALDO'!I174^2)+'BLAZE SHIELD II'!$D$8*'HOJA DE CÁLCULO RESPALDO'!I174+'BLAZE SHIELD II'!$D$9)),0),0),0))+(IF(L174="Blaze Shield II",IF(M174="Idiem software",IF(C174="Cj",((('BLAZE SHIELD II'!$H$4*('HOJA DE CÁLCULO RESPALDO'!I174^2)+'BLAZE SHIELD II'!$H$5*'HOJA DE CÁLCULO RESPALDO'!I174+'BLAZE SHIELD II'!$H$6)*LN(J174))+('BLAZE SHIELD II'!$H$7*('HOJA DE CÁLCULO RESPALDO'!I174^2)+'BLAZE SHIELD II'!$H$8*'HOJA DE CÁLCULO RESPALDO'!I174+'BLAZE SHIELD II'!$H$9)),0),0),0))+(IF(L174="Blaze Shield II",IF(M174="Idiem software",IF(C174="C",((('BLAZE SHIELD II'!$L$4*('HOJA DE CÁLCULO RESPALDO'!I174^2)+'BLAZE SHIELD II'!$L$5*'HOJA DE CÁLCULO RESPALDO'!I174+'BLAZE SHIELD II'!$L$6)*LN(J174))+('BLAZE SHIELD II'!$L$7*('HOJA DE CÁLCULO RESPALDO'!I174^2)+'BLAZE SHIELD II'!$L$8*'HOJA DE CÁLCULO RESPALDO'!I174+'BLAZE SHIELD II'!$L$9)),0),0),0))+(IF(L174="Blaze Shield II",IF(M174="Idiem software",IF(AND(C174="IN",G174=3),((('BLAZE SHIELD II'!$H$14*('HOJA DE CÁLCULO RESPALDO'!I174^2)+'BLAZE SHIELD II'!$H$15*'HOJA DE CÁLCULO RESPALDO'!I174+'BLAZE SHIELD II'!$H$16)*LN(J174))+('BLAZE SHIELD II'!$H$17*('HOJA DE CÁLCULO RESPALDO'!I174^2)+'BLAZE SHIELD II'!$H$18*'HOJA DE CÁLCULO RESPALDO'!I174+'BLAZE SHIELD II'!$H$19)),0),0),0)),0)</f>
        <v>0</v>
      </c>
      <c r="O174" s="46">
        <f t="shared" si="18"/>
        <v>0</v>
      </c>
      <c r="P174" s="80">
        <f t="shared" si="15"/>
        <v>0</v>
      </c>
      <c r="Q174" s="85">
        <f>ROUND((IF(L174="Cafco 400",IF(M174="Idiem software",IF(AND(C174="IN",G174=4),((('CAFCO 400 '!$H$7*(J174^4)+'CAFCO 400 '!$H$8*(J174^3)+'CAFCO 400 '!$H$9*(J174^2)+'CAFCO 400 '!$H$10*J174+'CAFCO 400 '!$H$11)*I174^2)+(('CAFCO 400 '!$H$12*(J174^3)+'CAFCO 400 '!$H$13*(J174^2)+'CAFCO 400 '!$H$14*J174+'CAFCO 400 '!$H$15)*I174)+('CAFCO 400 '!$H$16*(J174^2)+'CAFCO 400 '!$H$17*J174+'CAFCO 400 '!$H$18)),0),0),0))+(IF(L174="Cafco 400",IF(M174="Idiem software",IF(C174="Cj",(((('CAFCO 400 '!$D$7*LN(J174)+'CAFCO 400 '!$D$8)*I174^2)+(('CAFCO 400 '!$D$9*LN(J174)+'CAFCO 400 '!$D$10)*I174)+('CAFCO 400 '!$D$11*LN(J174)+'CAFCO 400 '!$D$12))),0),0),0))+(IF(L174="Cafco 400",IF(M174="Idiem software",IF(C174="C",((('CAFCO 400 '!$L$7*(J174^3)+'CAFCO 400 '!$L$8*(J174^2)+'CAFCO 400 '!$L$9*J174+'CAFCO 400 '!$L$10)*I174^2)+(('CAFCO 400 '!$L$11*(J174^3)+'CAFCO 400 '!$L$12*(J174^2)+'CAFCO 400 '!$L$13*J174+'CAFCO 400 '!$L$14)*I174)+('CAFCO 400 '!$L$15*LN(J174)+'CAFCO 400 '!$L$16)),0),0),0))+(IF(L174="Cafco 400",IF(M174="Idiem software",IF(AND(C174="IN",G174=3),((('CAFCO 400 '!$D$23*(J174^2)+'CAFCO 400 '!$D$24*(J174)+'CAFCO 400 '!$D$25)*I174^2)+(('CAFCO 400 '!$D$26*(J174^2)+'CAFCO 400 '!$D$27*J174+'CAFCO 400 '!$D$28)*I174)+('CAFCO 400 '!$D$29*(J174^2)+'CAFCO 400 '!$D$30*J174+'CAFCO 400 '!$D$31)),0),0),0)),0)</f>
        <v>0</v>
      </c>
      <c r="R174" s="47">
        <f t="shared" si="19"/>
        <v>0</v>
      </c>
      <c r="S174" s="82">
        <f t="shared" si="16"/>
        <v>0</v>
      </c>
      <c r="T174" s="81">
        <f>+IF(AND(J174&gt;=95,J174&lt;=240),IF(AND(C174="Cj",I174=90),VLOOKUP(W174,'CAFCO 300 IDIEM TABLAS'!$B$4:$D$23,2,FALSE),0)+IF(AND(J174&gt;=95,J174&lt;=240),IF(AND(C174="Cj",I174=120),VLOOKUP(W174,'CAFCO 300 IDIEM TABLAS'!$B$4:$D$23,3,FALSE),0))+IF(AND(J174&gt;=95,J174&lt;=400,G174=3),IF(AND(C174="IN",I174=90),VLOOKUP(W174,'CAFCO 300 IDIEM TABLAS'!$F$4:$H$35,2,FALSE),0),0)+IF(AND(J174&gt;=95,J174&lt;=400,G174=3),IF(AND(C174="IN",I174=120),VLOOKUP(W174,'CAFCO 300 IDIEM TABLAS'!$F$4:$H$35,3,FALSE),0),0)+IF(AND(J174&gt;=95,J174&lt;=450,G174=4),IF(AND(C174="IN",I174=90),VLOOKUP(W174,'CAFCO 300 IDIEM TABLAS'!$J$4:$L$40,2,FALSE),0),0)+IF(AND(J174&gt;=95,J174&lt;=450,G174=4),IF(AND(C174="IN",I174=120),VLOOKUP(W174,'CAFCO 300 IDIEM TABLAS'!$J$4:$L$40,3,FALSE),0),0))</f>
        <v>17</v>
      </c>
      <c r="U174" s="48">
        <f t="shared" si="20"/>
        <v>6.94637676508344</v>
      </c>
      <c r="V174" s="82">
        <f t="shared" si="17"/>
        <v>104292.90075096277</v>
      </c>
      <c r="W174" s="64">
        <f>+IF(J174=LOOKUP(J174,'CAFCO 300 IDIEM TABLAS'!$J$4:$J$40),'HOJA DE CÁLCULO RESPALDO'!J174,MROUND('HOJA DE CÁLCULO RESPALDO'!J174,10))</f>
        <v>95</v>
      </c>
      <c r="X174" s="36"/>
      <c r="Y174" s="4"/>
    </row>
    <row r="175" spans="1:25" x14ac:dyDescent="0.25">
      <c r="A175" s="2" t="s">
        <v>41</v>
      </c>
      <c r="B175" s="3" t="s">
        <v>17</v>
      </c>
      <c r="C175" s="3" t="s">
        <v>19</v>
      </c>
      <c r="D175" s="3">
        <v>1</v>
      </c>
      <c r="E175" s="2">
        <v>1</v>
      </c>
      <c r="F175" s="8">
        <v>8500</v>
      </c>
      <c r="G175" s="1">
        <v>4</v>
      </c>
      <c r="H175" s="2">
        <v>1502</v>
      </c>
      <c r="I175" s="34">
        <v>90</v>
      </c>
      <c r="J175" s="11">
        <v>95</v>
      </c>
      <c r="K175" s="44">
        <f t="shared" si="14"/>
        <v>12.766999999999999</v>
      </c>
      <c r="L175" s="3" t="s">
        <v>61</v>
      </c>
      <c r="M175" s="3" t="s">
        <v>70</v>
      </c>
      <c r="N175" s="15">
        <f>ROUND((IF(L175="Blaze Shield II",IF(M175="Idiem software",IF(AND(C175="IN",G175=4),((('BLAZE SHIELD II'!$D$4*('HOJA DE CÁLCULO RESPALDO'!I175^2)+'BLAZE SHIELD II'!$D$5*'HOJA DE CÁLCULO RESPALDO'!I175+'BLAZE SHIELD II'!$D$6)*LN(J175))+('BLAZE SHIELD II'!$D$7*('HOJA DE CÁLCULO RESPALDO'!I175^2)+'BLAZE SHIELD II'!$D$8*'HOJA DE CÁLCULO RESPALDO'!I175+'BLAZE SHIELD II'!$D$9)),0),0),0))+(IF(L175="Blaze Shield II",IF(M175="Idiem software",IF(C175="Cj",((('BLAZE SHIELD II'!$H$4*('HOJA DE CÁLCULO RESPALDO'!I175^2)+'BLAZE SHIELD II'!$H$5*'HOJA DE CÁLCULO RESPALDO'!I175+'BLAZE SHIELD II'!$H$6)*LN(J175))+('BLAZE SHIELD II'!$H$7*('HOJA DE CÁLCULO RESPALDO'!I175^2)+'BLAZE SHIELD II'!$H$8*'HOJA DE CÁLCULO RESPALDO'!I175+'BLAZE SHIELD II'!$H$9)),0),0),0))+(IF(L175="Blaze Shield II",IF(M175="Idiem software",IF(C175="C",((('BLAZE SHIELD II'!$L$4*('HOJA DE CÁLCULO RESPALDO'!I175^2)+'BLAZE SHIELD II'!$L$5*'HOJA DE CÁLCULO RESPALDO'!I175+'BLAZE SHIELD II'!$L$6)*LN(J175))+('BLAZE SHIELD II'!$L$7*('HOJA DE CÁLCULO RESPALDO'!I175^2)+'BLAZE SHIELD II'!$L$8*'HOJA DE CÁLCULO RESPALDO'!I175+'BLAZE SHIELD II'!$L$9)),0),0),0))+(IF(L175="Blaze Shield II",IF(M175="Idiem software",IF(AND(C175="IN",G175=3),((('BLAZE SHIELD II'!$H$14*('HOJA DE CÁLCULO RESPALDO'!I175^2)+'BLAZE SHIELD II'!$H$15*'HOJA DE CÁLCULO RESPALDO'!I175+'BLAZE SHIELD II'!$H$16)*LN(J175))+('BLAZE SHIELD II'!$H$17*('HOJA DE CÁLCULO RESPALDO'!I175^2)+'BLAZE SHIELD II'!$H$18*'HOJA DE CÁLCULO RESPALDO'!I175+'BLAZE SHIELD II'!$H$19)),0),0),0)),0)</f>
        <v>0</v>
      </c>
      <c r="O175" s="46">
        <f t="shared" si="18"/>
        <v>0</v>
      </c>
      <c r="P175" s="80">
        <f t="shared" si="15"/>
        <v>0</v>
      </c>
      <c r="Q175" s="85">
        <f>ROUND((IF(L175="Cafco 400",IF(M175="Idiem software",IF(AND(C175="IN",G175=4),((('CAFCO 400 '!$H$7*(J175^4)+'CAFCO 400 '!$H$8*(J175^3)+'CAFCO 400 '!$H$9*(J175^2)+'CAFCO 400 '!$H$10*J175+'CAFCO 400 '!$H$11)*I175^2)+(('CAFCO 400 '!$H$12*(J175^3)+'CAFCO 400 '!$H$13*(J175^2)+'CAFCO 400 '!$H$14*J175+'CAFCO 400 '!$H$15)*I175)+('CAFCO 400 '!$H$16*(J175^2)+'CAFCO 400 '!$H$17*J175+'CAFCO 400 '!$H$18)),0),0),0))+(IF(L175="Cafco 400",IF(M175="Idiem software",IF(C175="Cj",(((('CAFCO 400 '!$D$7*LN(J175)+'CAFCO 400 '!$D$8)*I175^2)+(('CAFCO 400 '!$D$9*LN(J175)+'CAFCO 400 '!$D$10)*I175)+('CAFCO 400 '!$D$11*LN(J175)+'CAFCO 400 '!$D$12))),0),0),0))+(IF(L175="Cafco 400",IF(M175="Idiem software",IF(C175="C",((('CAFCO 400 '!$L$7*(J175^3)+'CAFCO 400 '!$L$8*(J175^2)+'CAFCO 400 '!$L$9*J175+'CAFCO 400 '!$L$10)*I175^2)+(('CAFCO 400 '!$L$11*(J175^3)+'CAFCO 400 '!$L$12*(J175^2)+'CAFCO 400 '!$L$13*J175+'CAFCO 400 '!$L$14)*I175)+('CAFCO 400 '!$L$15*LN(J175)+'CAFCO 400 '!$L$16)),0),0),0))+(IF(L175="Cafco 400",IF(M175="Idiem software",IF(AND(C175="IN",G175=3),((('CAFCO 400 '!$D$23*(J175^2)+'CAFCO 400 '!$D$24*(J175)+'CAFCO 400 '!$D$25)*I175^2)+(('CAFCO 400 '!$D$26*(J175^2)+'CAFCO 400 '!$D$27*J175+'CAFCO 400 '!$D$28)*I175)+('CAFCO 400 '!$D$29*(J175^2)+'CAFCO 400 '!$D$30*J175+'CAFCO 400 '!$D$31)),0),0),0)),0)</f>
        <v>0</v>
      </c>
      <c r="R175" s="47">
        <f t="shared" si="19"/>
        <v>0</v>
      </c>
      <c r="S175" s="82">
        <f t="shared" si="16"/>
        <v>0</v>
      </c>
      <c r="T175" s="81">
        <f>+IF(AND(J175&gt;=95,J175&lt;=240),IF(AND(C175="Cj",I175=90),VLOOKUP(W175,'CAFCO 300 IDIEM TABLAS'!$B$4:$D$23,2,FALSE),0)+IF(AND(J175&gt;=95,J175&lt;=240),IF(AND(C175="Cj",I175=120),VLOOKUP(W175,'CAFCO 300 IDIEM TABLAS'!$B$4:$D$23,3,FALSE),0))+IF(AND(J175&gt;=95,J175&lt;=400,G175=3),IF(AND(C175="IN",I175=90),VLOOKUP(W175,'CAFCO 300 IDIEM TABLAS'!$F$4:$H$35,2,FALSE),0),0)+IF(AND(J175&gt;=95,J175&lt;=400,G175=3),IF(AND(C175="IN",I175=120),VLOOKUP(W175,'CAFCO 300 IDIEM TABLAS'!$F$4:$H$35,3,FALSE),0),0)+IF(AND(J175&gt;=95,J175&lt;=450,G175=4),IF(AND(C175="IN",I175=90),VLOOKUP(W175,'CAFCO 300 IDIEM TABLAS'!$J$4:$L$40,2,FALSE),0),0)+IF(AND(J175&gt;=95,J175&lt;=450,G175=4),IF(AND(C175="IN",I175=120),VLOOKUP(W175,'CAFCO 300 IDIEM TABLAS'!$J$4:$L$40,3,FALSE),0),0))</f>
        <v>17</v>
      </c>
      <c r="U175" s="48">
        <f t="shared" si="20"/>
        <v>2.9950824775353015</v>
      </c>
      <c r="V175" s="82">
        <f t="shared" si="17"/>
        <v>44968.168317715019</v>
      </c>
      <c r="W175" s="64">
        <f>+IF(J175=LOOKUP(J175,'CAFCO 300 IDIEM TABLAS'!$J$4:$J$40),'HOJA DE CÁLCULO RESPALDO'!J175,MROUND('HOJA DE CÁLCULO RESPALDO'!J175,10))</f>
        <v>95</v>
      </c>
      <c r="X175" s="36"/>
      <c r="Y175" s="4"/>
    </row>
    <row r="176" spans="1:25" ht="15.6" customHeight="1" x14ac:dyDescent="0.25">
      <c r="A176" s="2" t="s">
        <v>44</v>
      </c>
      <c r="B176" s="3" t="s">
        <v>17</v>
      </c>
      <c r="C176" s="3" t="s">
        <v>19</v>
      </c>
      <c r="D176" s="3">
        <v>1</v>
      </c>
      <c r="E176" s="2">
        <v>1</v>
      </c>
      <c r="F176" s="8">
        <v>17500</v>
      </c>
      <c r="G176" s="1">
        <v>4</v>
      </c>
      <c r="H176" s="2">
        <v>1692</v>
      </c>
      <c r="I176" s="34">
        <v>90</v>
      </c>
      <c r="J176" s="11">
        <v>95</v>
      </c>
      <c r="K176" s="44">
        <f t="shared" si="14"/>
        <v>29.61</v>
      </c>
      <c r="L176" s="3" t="s">
        <v>61</v>
      </c>
      <c r="M176" s="3" t="s">
        <v>70</v>
      </c>
      <c r="N176" s="15">
        <f>ROUND((IF(L176="Blaze Shield II",IF(M176="Idiem software",IF(AND(C176="IN",G176=4),((('BLAZE SHIELD II'!$D$4*('HOJA DE CÁLCULO RESPALDO'!I176^2)+'BLAZE SHIELD II'!$D$5*'HOJA DE CÁLCULO RESPALDO'!I176+'BLAZE SHIELD II'!$D$6)*LN(J176))+('BLAZE SHIELD II'!$D$7*('HOJA DE CÁLCULO RESPALDO'!I176^2)+'BLAZE SHIELD II'!$D$8*'HOJA DE CÁLCULO RESPALDO'!I176+'BLAZE SHIELD II'!$D$9)),0),0),0))+(IF(L176="Blaze Shield II",IF(M176="Idiem software",IF(C176="Cj",((('BLAZE SHIELD II'!$H$4*('HOJA DE CÁLCULO RESPALDO'!I176^2)+'BLAZE SHIELD II'!$H$5*'HOJA DE CÁLCULO RESPALDO'!I176+'BLAZE SHIELD II'!$H$6)*LN(J176))+('BLAZE SHIELD II'!$H$7*('HOJA DE CÁLCULO RESPALDO'!I176^2)+'BLAZE SHIELD II'!$H$8*'HOJA DE CÁLCULO RESPALDO'!I176+'BLAZE SHIELD II'!$H$9)),0),0),0))+(IF(L176="Blaze Shield II",IF(M176="Idiem software",IF(C176="C",((('BLAZE SHIELD II'!$L$4*('HOJA DE CÁLCULO RESPALDO'!I176^2)+'BLAZE SHIELD II'!$L$5*'HOJA DE CÁLCULO RESPALDO'!I176+'BLAZE SHIELD II'!$L$6)*LN(J176))+('BLAZE SHIELD II'!$L$7*('HOJA DE CÁLCULO RESPALDO'!I176^2)+'BLAZE SHIELD II'!$L$8*'HOJA DE CÁLCULO RESPALDO'!I176+'BLAZE SHIELD II'!$L$9)),0),0),0))+(IF(L176="Blaze Shield II",IF(M176="Idiem software",IF(AND(C176="IN",G176=3),((('BLAZE SHIELD II'!$H$14*('HOJA DE CÁLCULO RESPALDO'!I176^2)+'BLAZE SHIELD II'!$H$15*'HOJA DE CÁLCULO RESPALDO'!I176+'BLAZE SHIELD II'!$H$16)*LN(J176))+('BLAZE SHIELD II'!$H$17*('HOJA DE CÁLCULO RESPALDO'!I176^2)+'BLAZE SHIELD II'!$H$18*'HOJA DE CÁLCULO RESPALDO'!I176+'BLAZE SHIELD II'!$H$19)),0),0),0)),0)</f>
        <v>0</v>
      </c>
      <c r="O176" s="46">
        <f t="shared" si="18"/>
        <v>0</v>
      </c>
      <c r="P176" s="80">
        <f t="shared" si="15"/>
        <v>0</v>
      </c>
      <c r="Q176" s="85">
        <f>ROUND((IF(L176="Cafco 400",IF(M176="Idiem software",IF(AND(C176="IN",G176=4),((('CAFCO 400 '!$H$7*(J176^4)+'CAFCO 400 '!$H$8*(J176^3)+'CAFCO 400 '!$H$9*(J176^2)+'CAFCO 400 '!$H$10*J176+'CAFCO 400 '!$H$11)*I176^2)+(('CAFCO 400 '!$H$12*(J176^3)+'CAFCO 400 '!$H$13*(J176^2)+'CAFCO 400 '!$H$14*J176+'CAFCO 400 '!$H$15)*I176)+('CAFCO 400 '!$H$16*(J176^2)+'CAFCO 400 '!$H$17*J176+'CAFCO 400 '!$H$18)),0),0),0))+(IF(L176="Cafco 400",IF(M176="Idiem software",IF(C176="Cj",(((('CAFCO 400 '!$D$7*LN(J176)+'CAFCO 400 '!$D$8)*I176^2)+(('CAFCO 400 '!$D$9*LN(J176)+'CAFCO 400 '!$D$10)*I176)+('CAFCO 400 '!$D$11*LN(J176)+'CAFCO 400 '!$D$12))),0),0),0))+(IF(L176="Cafco 400",IF(M176="Idiem software",IF(C176="C",((('CAFCO 400 '!$L$7*(J176^3)+'CAFCO 400 '!$L$8*(J176^2)+'CAFCO 400 '!$L$9*J176+'CAFCO 400 '!$L$10)*I176^2)+(('CAFCO 400 '!$L$11*(J176^3)+'CAFCO 400 '!$L$12*(J176^2)+'CAFCO 400 '!$L$13*J176+'CAFCO 400 '!$L$14)*I176)+('CAFCO 400 '!$L$15*LN(J176)+'CAFCO 400 '!$L$16)),0),0),0))+(IF(L176="Cafco 400",IF(M176="Idiem software",IF(AND(C176="IN",G176=3),((('CAFCO 400 '!$D$23*(J176^2)+'CAFCO 400 '!$D$24*(J176)+'CAFCO 400 '!$D$25)*I176^2)+(('CAFCO 400 '!$D$26*(J176^2)+'CAFCO 400 '!$D$27*J176+'CAFCO 400 '!$D$28)*I176)+('CAFCO 400 '!$D$29*(J176^2)+'CAFCO 400 '!$D$30*J176+'CAFCO 400 '!$D$31)),0),0),0)),0)</f>
        <v>0</v>
      </c>
      <c r="R176" s="47">
        <f t="shared" si="19"/>
        <v>0</v>
      </c>
      <c r="S176" s="82">
        <f t="shared" si="16"/>
        <v>0</v>
      </c>
      <c r="T176" s="81">
        <f>+IF(AND(J176&gt;=95,J176&lt;=240),IF(AND(C176="Cj",I176=90),VLOOKUP(W176,'CAFCO 300 IDIEM TABLAS'!$B$4:$D$23,2,FALSE),0)+IF(AND(J176&gt;=95,J176&lt;=240),IF(AND(C176="Cj",I176=120),VLOOKUP(W176,'CAFCO 300 IDIEM TABLAS'!$B$4:$D$23,3,FALSE),0))+IF(AND(J176&gt;=95,J176&lt;=400,G176=3),IF(AND(C176="IN",I176=90),VLOOKUP(W176,'CAFCO 300 IDIEM TABLAS'!$F$4:$H$35,2,FALSE),0),0)+IF(AND(J176&gt;=95,J176&lt;=400,G176=3),IF(AND(C176="IN",I176=120),VLOOKUP(W176,'CAFCO 300 IDIEM TABLAS'!$F$4:$H$35,3,FALSE),0),0)+IF(AND(J176&gt;=95,J176&lt;=450,G176=4),IF(AND(C176="IN",I176=90),VLOOKUP(W176,'CAFCO 300 IDIEM TABLAS'!$J$4:$L$40,2,FALSE),0),0)+IF(AND(J176&gt;=95,J176&lt;=450,G176=4),IF(AND(C176="IN",I176=120),VLOOKUP(W176,'CAFCO 300 IDIEM TABLAS'!$J$4:$L$40,3,FALSE),0),0))</f>
        <v>17</v>
      </c>
      <c r="U176" s="48">
        <f t="shared" si="20"/>
        <v>6.94637676508344</v>
      </c>
      <c r="V176" s="82">
        <f t="shared" si="17"/>
        <v>104292.90075096277</v>
      </c>
      <c r="W176" s="64">
        <f>+IF(J176=LOOKUP(J176,'CAFCO 300 IDIEM TABLAS'!$J$4:$J$40),'HOJA DE CÁLCULO RESPALDO'!J176,MROUND('HOJA DE CÁLCULO RESPALDO'!J176,10))</f>
        <v>95</v>
      </c>
      <c r="X176" s="36"/>
      <c r="Y176" s="4"/>
    </row>
    <row r="177" spans="1:25" x14ac:dyDescent="0.25">
      <c r="A177" s="2" t="s">
        <v>41</v>
      </c>
      <c r="B177" s="3" t="s">
        <v>17</v>
      </c>
      <c r="C177" s="3" t="s">
        <v>19</v>
      </c>
      <c r="D177" s="3">
        <v>1</v>
      </c>
      <c r="E177" s="2">
        <v>1</v>
      </c>
      <c r="F177" s="8">
        <v>8500</v>
      </c>
      <c r="G177" s="1">
        <v>4</v>
      </c>
      <c r="H177" s="2">
        <v>1692</v>
      </c>
      <c r="I177" s="34">
        <v>90</v>
      </c>
      <c r="J177" s="11">
        <v>95</v>
      </c>
      <c r="K177" s="44">
        <f t="shared" si="14"/>
        <v>14.382</v>
      </c>
      <c r="L177" s="3" t="s">
        <v>61</v>
      </c>
      <c r="M177" s="3" t="s">
        <v>70</v>
      </c>
      <c r="N177" s="15">
        <f>ROUND((IF(L177="Blaze Shield II",IF(M177="Idiem software",IF(AND(C177="IN",G177=4),((('BLAZE SHIELD II'!$D$4*('HOJA DE CÁLCULO RESPALDO'!I177^2)+'BLAZE SHIELD II'!$D$5*'HOJA DE CÁLCULO RESPALDO'!I177+'BLAZE SHIELD II'!$D$6)*LN(J177))+('BLAZE SHIELD II'!$D$7*('HOJA DE CÁLCULO RESPALDO'!I177^2)+'BLAZE SHIELD II'!$D$8*'HOJA DE CÁLCULO RESPALDO'!I177+'BLAZE SHIELD II'!$D$9)),0),0),0))+(IF(L177="Blaze Shield II",IF(M177="Idiem software",IF(C177="Cj",((('BLAZE SHIELD II'!$H$4*('HOJA DE CÁLCULO RESPALDO'!I177^2)+'BLAZE SHIELD II'!$H$5*'HOJA DE CÁLCULO RESPALDO'!I177+'BLAZE SHIELD II'!$H$6)*LN(J177))+('BLAZE SHIELD II'!$H$7*('HOJA DE CÁLCULO RESPALDO'!I177^2)+'BLAZE SHIELD II'!$H$8*'HOJA DE CÁLCULO RESPALDO'!I177+'BLAZE SHIELD II'!$H$9)),0),0),0))+(IF(L177="Blaze Shield II",IF(M177="Idiem software",IF(C177="C",((('BLAZE SHIELD II'!$L$4*('HOJA DE CÁLCULO RESPALDO'!I177^2)+'BLAZE SHIELD II'!$L$5*'HOJA DE CÁLCULO RESPALDO'!I177+'BLAZE SHIELD II'!$L$6)*LN(J177))+('BLAZE SHIELD II'!$L$7*('HOJA DE CÁLCULO RESPALDO'!I177^2)+'BLAZE SHIELD II'!$L$8*'HOJA DE CÁLCULO RESPALDO'!I177+'BLAZE SHIELD II'!$L$9)),0),0),0))+(IF(L177="Blaze Shield II",IF(M177="Idiem software",IF(AND(C177="IN",G177=3),((('BLAZE SHIELD II'!$H$14*('HOJA DE CÁLCULO RESPALDO'!I177^2)+'BLAZE SHIELD II'!$H$15*'HOJA DE CÁLCULO RESPALDO'!I177+'BLAZE SHIELD II'!$H$16)*LN(J177))+('BLAZE SHIELD II'!$H$17*('HOJA DE CÁLCULO RESPALDO'!I177^2)+'BLAZE SHIELD II'!$H$18*'HOJA DE CÁLCULO RESPALDO'!I177+'BLAZE SHIELD II'!$H$19)),0),0),0)),0)</f>
        <v>0</v>
      </c>
      <c r="O177" s="46">
        <f t="shared" si="18"/>
        <v>0</v>
      </c>
      <c r="P177" s="80">
        <f t="shared" si="15"/>
        <v>0</v>
      </c>
      <c r="Q177" s="85">
        <f>ROUND((IF(L177="Cafco 400",IF(M177="Idiem software",IF(AND(C177="IN",G177=4),((('CAFCO 400 '!$H$7*(J177^4)+'CAFCO 400 '!$H$8*(J177^3)+'CAFCO 400 '!$H$9*(J177^2)+'CAFCO 400 '!$H$10*J177+'CAFCO 400 '!$H$11)*I177^2)+(('CAFCO 400 '!$H$12*(J177^3)+'CAFCO 400 '!$H$13*(J177^2)+'CAFCO 400 '!$H$14*J177+'CAFCO 400 '!$H$15)*I177)+('CAFCO 400 '!$H$16*(J177^2)+'CAFCO 400 '!$H$17*J177+'CAFCO 400 '!$H$18)),0),0),0))+(IF(L177="Cafco 400",IF(M177="Idiem software",IF(C177="Cj",(((('CAFCO 400 '!$D$7*LN(J177)+'CAFCO 400 '!$D$8)*I177^2)+(('CAFCO 400 '!$D$9*LN(J177)+'CAFCO 400 '!$D$10)*I177)+('CAFCO 400 '!$D$11*LN(J177)+'CAFCO 400 '!$D$12))),0),0),0))+(IF(L177="Cafco 400",IF(M177="Idiem software",IF(C177="C",((('CAFCO 400 '!$L$7*(J177^3)+'CAFCO 400 '!$L$8*(J177^2)+'CAFCO 400 '!$L$9*J177+'CAFCO 400 '!$L$10)*I177^2)+(('CAFCO 400 '!$L$11*(J177^3)+'CAFCO 400 '!$L$12*(J177^2)+'CAFCO 400 '!$L$13*J177+'CAFCO 400 '!$L$14)*I177)+('CAFCO 400 '!$L$15*LN(J177)+'CAFCO 400 '!$L$16)),0),0),0))+(IF(L177="Cafco 400",IF(M177="Idiem software",IF(AND(C177="IN",G177=3),((('CAFCO 400 '!$D$23*(J177^2)+'CAFCO 400 '!$D$24*(J177)+'CAFCO 400 '!$D$25)*I177^2)+(('CAFCO 400 '!$D$26*(J177^2)+'CAFCO 400 '!$D$27*J177+'CAFCO 400 '!$D$28)*I177)+('CAFCO 400 '!$D$29*(J177^2)+'CAFCO 400 '!$D$30*J177+'CAFCO 400 '!$D$31)),0),0),0)),0)</f>
        <v>0</v>
      </c>
      <c r="R177" s="47">
        <f t="shared" si="19"/>
        <v>0</v>
      </c>
      <c r="S177" s="82">
        <f t="shared" si="16"/>
        <v>0</v>
      </c>
      <c r="T177" s="81">
        <f>+IF(AND(J177&gt;=95,J177&lt;=240),IF(AND(C177="Cj",I177=90),VLOOKUP(W177,'CAFCO 300 IDIEM TABLAS'!$B$4:$D$23,2,FALSE),0)+IF(AND(J177&gt;=95,J177&lt;=240),IF(AND(C177="Cj",I177=120),VLOOKUP(W177,'CAFCO 300 IDIEM TABLAS'!$B$4:$D$23,3,FALSE),0))+IF(AND(J177&gt;=95,J177&lt;=400,G177=3),IF(AND(C177="IN",I177=90),VLOOKUP(W177,'CAFCO 300 IDIEM TABLAS'!$F$4:$H$35,2,FALSE),0),0)+IF(AND(J177&gt;=95,J177&lt;=400,G177=3),IF(AND(C177="IN",I177=120),VLOOKUP(W177,'CAFCO 300 IDIEM TABLAS'!$F$4:$H$35,3,FALSE),0),0)+IF(AND(J177&gt;=95,J177&lt;=450,G177=4),IF(AND(C177="IN",I177=90),VLOOKUP(W177,'CAFCO 300 IDIEM TABLAS'!$J$4:$L$40,2,FALSE),0),0)+IF(AND(J177&gt;=95,J177&lt;=450,G177=4),IF(AND(C177="IN",I177=120),VLOOKUP(W177,'CAFCO 300 IDIEM TABLAS'!$J$4:$L$40,3,FALSE),0),0))</f>
        <v>17</v>
      </c>
      <c r="U177" s="48">
        <f t="shared" si="20"/>
        <v>3.3739544287548138</v>
      </c>
      <c r="V177" s="82">
        <f t="shared" si="17"/>
        <v>50656.551793324776</v>
      </c>
      <c r="W177" s="64">
        <f>+IF(J177=LOOKUP(J177,'CAFCO 300 IDIEM TABLAS'!$J$4:$J$40),'HOJA DE CÁLCULO RESPALDO'!J177,MROUND('HOJA DE CÁLCULO RESPALDO'!J177,10))</f>
        <v>95</v>
      </c>
      <c r="X177" s="36"/>
      <c r="Y177" s="4"/>
    </row>
    <row r="178" spans="1:25" ht="15.6" customHeight="1" x14ac:dyDescent="0.25">
      <c r="A178" s="2" t="s">
        <v>44</v>
      </c>
      <c r="B178" s="3" t="s">
        <v>17</v>
      </c>
      <c r="C178" s="3" t="s">
        <v>19</v>
      </c>
      <c r="D178" s="3">
        <v>1</v>
      </c>
      <c r="E178" s="2">
        <v>1</v>
      </c>
      <c r="F178" s="8">
        <v>8500</v>
      </c>
      <c r="G178" s="1">
        <v>4</v>
      </c>
      <c r="H178" s="2">
        <v>1502</v>
      </c>
      <c r="I178" s="34">
        <v>90</v>
      </c>
      <c r="J178" s="11">
        <v>95</v>
      </c>
      <c r="K178" s="44">
        <f t="shared" si="14"/>
        <v>12.766999999999999</v>
      </c>
      <c r="L178" s="3" t="s">
        <v>61</v>
      </c>
      <c r="M178" s="3" t="s">
        <v>70</v>
      </c>
      <c r="N178" s="15">
        <f>ROUND((IF(L178="Blaze Shield II",IF(M178="Idiem software",IF(AND(C178="IN",G178=4),((('BLAZE SHIELD II'!$D$4*('HOJA DE CÁLCULO RESPALDO'!I178^2)+'BLAZE SHIELD II'!$D$5*'HOJA DE CÁLCULO RESPALDO'!I178+'BLAZE SHIELD II'!$D$6)*LN(J178))+('BLAZE SHIELD II'!$D$7*('HOJA DE CÁLCULO RESPALDO'!I178^2)+'BLAZE SHIELD II'!$D$8*'HOJA DE CÁLCULO RESPALDO'!I178+'BLAZE SHIELD II'!$D$9)),0),0),0))+(IF(L178="Blaze Shield II",IF(M178="Idiem software",IF(C178="Cj",((('BLAZE SHIELD II'!$H$4*('HOJA DE CÁLCULO RESPALDO'!I178^2)+'BLAZE SHIELD II'!$H$5*'HOJA DE CÁLCULO RESPALDO'!I178+'BLAZE SHIELD II'!$H$6)*LN(J178))+('BLAZE SHIELD II'!$H$7*('HOJA DE CÁLCULO RESPALDO'!I178^2)+'BLAZE SHIELD II'!$H$8*'HOJA DE CÁLCULO RESPALDO'!I178+'BLAZE SHIELD II'!$H$9)),0),0),0))+(IF(L178="Blaze Shield II",IF(M178="Idiem software",IF(C178="C",((('BLAZE SHIELD II'!$L$4*('HOJA DE CÁLCULO RESPALDO'!I178^2)+'BLAZE SHIELD II'!$L$5*'HOJA DE CÁLCULO RESPALDO'!I178+'BLAZE SHIELD II'!$L$6)*LN(J178))+('BLAZE SHIELD II'!$L$7*('HOJA DE CÁLCULO RESPALDO'!I178^2)+'BLAZE SHIELD II'!$L$8*'HOJA DE CÁLCULO RESPALDO'!I178+'BLAZE SHIELD II'!$L$9)),0),0),0))+(IF(L178="Blaze Shield II",IF(M178="Idiem software",IF(AND(C178="IN",G178=3),((('BLAZE SHIELD II'!$H$14*('HOJA DE CÁLCULO RESPALDO'!I178^2)+'BLAZE SHIELD II'!$H$15*'HOJA DE CÁLCULO RESPALDO'!I178+'BLAZE SHIELD II'!$H$16)*LN(J178))+('BLAZE SHIELD II'!$H$17*('HOJA DE CÁLCULO RESPALDO'!I178^2)+'BLAZE SHIELD II'!$H$18*'HOJA DE CÁLCULO RESPALDO'!I178+'BLAZE SHIELD II'!$H$19)),0),0),0)),0)</f>
        <v>0</v>
      </c>
      <c r="O178" s="46">
        <f t="shared" si="18"/>
        <v>0</v>
      </c>
      <c r="P178" s="80">
        <f t="shared" si="15"/>
        <v>0</v>
      </c>
      <c r="Q178" s="85">
        <f>ROUND((IF(L178="Cafco 400",IF(M178="Idiem software",IF(AND(C178="IN",G178=4),((('CAFCO 400 '!$H$7*(J178^4)+'CAFCO 400 '!$H$8*(J178^3)+'CAFCO 400 '!$H$9*(J178^2)+'CAFCO 400 '!$H$10*J178+'CAFCO 400 '!$H$11)*I178^2)+(('CAFCO 400 '!$H$12*(J178^3)+'CAFCO 400 '!$H$13*(J178^2)+'CAFCO 400 '!$H$14*J178+'CAFCO 400 '!$H$15)*I178)+('CAFCO 400 '!$H$16*(J178^2)+'CAFCO 400 '!$H$17*J178+'CAFCO 400 '!$H$18)),0),0),0))+(IF(L178="Cafco 400",IF(M178="Idiem software",IF(C178="Cj",(((('CAFCO 400 '!$D$7*LN(J178)+'CAFCO 400 '!$D$8)*I178^2)+(('CAFCO 400 '!$D$9*LN(J178)+'CAFCO 400 '!$D$10)*I178)+('CAFCO 400 '!$D$11*LN(J178)+'CAFCO 400 '!$D$12))),0),0),0))+(IF(L178="Cafco 400",IF(M178="Idiem software",IF(C178="C",((('CAFCO 400 '!$L$7*(J178^3)+'CAFCO 400 '!$L$8*(J178^2)+'CAFCO 400 '!$L$9*J178+'CAFCO 400 '!$L$10)*I178^2)+(('CAFCO 400 '!$L$11*(J178^3)+'CAFCO 400 '!$L$12*(J178^2)+'CAFCO 400 '!$L$13*J178+'CAFCO 400 '!$L$14)*I178)+('CAFCO 400 '!$L$15*LN(J178)+'CAFCO 400 '!$L$16)),0),0),0))+(IF(L178="Cafco 400",IF(M178="Idiem software",IF(AND(C178="IN",G178=3),((('CAFCO 400 '!$D$23*(J178^2)+'CAFCO 400 '!$D$24*(J178)+'CAFCO 400 '!$D$25)*I178^2)+(('CAFCO 400 '!$D$26*(J178^2)+'CAFCO 400 '!$D$27*J178+'CAFCO 400 '!$D$28)*I178)+('CAFCO 400 '!$D$29*(J178^2)+'CAFCO 400 '!$D$30*J178+'CAFCO 400 '!$D$31)),0),0),0)),0)</f>
        <v>0</v>
      </c>
      <c r="R178" s="47">
        <f t="shared" si="19"/>
        <v>0</v>
      </c>
      <c r="S178" s="82">
        <f t="shared" si="16"/>
        <v>0</v>
      </c>
      <c r="T178" s="81">
        <f>+IF(AND(J178&gt;=95,J178&lt;=240),IF(AND(C178="Cj",I178=90),VLOOKUP(W178,'CAFCO 300 IDIEM TABLAS'!$B$4:$D$23,2,FALSE),0)+IF(AND(J178&gt;=95,J178&lt;=240),IF(AND(C178="Cj",I178=120),VLOOKUP(W178,'CAFCO 300 IDIEM TABLAS'!$B$4:$D$23,3,FALSE),0))+IF(AND(J178&gt;=95,J178&lt;=400,G178=3),IF(AND(C178="IN",I178=90),VLOOKUP(W178,'CAFCO 300 IDIEM TABLAS'!$F$4:$H$35,2,FALSE),0),0)+IF(AND(J178&gt;=95,J178&lt;=400,G178=3),IF(AND(C178="IN",I178=120),VLOOKUP(W178,'CAFCO 300 IDIEM TABLAS'!$F$4:$H$35,3,FALSE),0),0)+IF(AND(J178&gt;=95,J178&lt;=450,G178=4),IF(AND(C178="IN",I178=90),VLOOKUP(W178,'CAFCO 300 IDIEM TABLAS'!$J$4:$L$40,2,FALSE),0),0)+IF(AND(J178&gt;=95,J178&lt;=450,G178=4),IF(AND(C178="IN",I178=120),VLOOKUP(W178,'CAFCO 300 IDIEM TABLAS'!$J$4:$L$40,3,FALSE),0),0))</f>
        <v>17</v>
      </c>
      <c r="U178" s="48">
        <f t="shared" si="20"/>
        <v>2.9950824775353015</v>
      </c>
      <c r="V178" s="82">
        <f t="shared" si="17"/>
        <v>44968.168317715019</v>
      </c>
      <c r="W178" s="64">
        <f>+IF(J178=LOOKUP(J178,'CAFCO 300 IDIEM TABLAS'!$J$4:$J$40),'HOJA DE CÁLCULO RESPALDO'!J178,MROUND('HOJA DE CÁLCULO RESPALDO'!J178,10))</f>
        <v>95</v>
      </c>
      <c r="X178" s="36"/>
      <c r="Y178" s="4"/>
    </row>
    <row r="179" spans="1:25" x14ac:dyDescent="0.25">
      <c r="A179" s="2" t="s">
        <v>41</v>
      </c>
      <c r="B179" s="3" t="s">
        <v>17</v>
      </c>
      <c r="C179" s="3" t="s">
        <v>19</v>
      </c>
      <c r="D179" s="3">
        <v>1</v>
      </c>
      <c r="E179" s="2">
        <v>1</v>
      </c>
      <c r="F179" s="8">
        <v>11097</v>
      </c>
      <c r="G179" s="1">
        <v>4</v>
      </c>
      <c r="H179" s="2">
        <v>585</v>
      </c>
      <c r="I179" s="34">
        <v>90</v>
      </c>
      <c r="J179" s="11">
        <v>95</v>
      </c>
      <c r="K179" s="44">
        <f t="shared" si="14"/>
        <v>6.4917449999999999</v>
      </c>
      <c r="L179" s="3" t="s">
        <v>61</v>
      </c>
      <c r="M179" s="3" t="s">
        <v>70</v>
      </c>
      <c r="N179" s="15">
        <f>ROUND((IF(L179="Blaze Shield II",IF(M179="Idiem software",IF(AND(C179="IN",G179=4),((('BLAZE SHIELD II'!$D$4*('HOJA DE CÁLCULO RESPALDO'!I179^2)+'BLAZE SHIELD II'!$D$5*'HOJA DE CÁLCULO RESPALDO'!I179+'BLAZE SHIELD II'!$D$6)*LN(J179))+('BLAZE SHIELD II'!$D$7*('HOJA DE CÁLCULO RESPALDO'!I179^2)+'BLAZE SHIELD II'!$D$8*'HOJA DE CÁLCULO RESPALDO'!I179+'BLAZE SHIELD II'!$D$9)),0),0),0))+(IF(L179="Blaze Shield II",IF(M179="Idiem software",IF(C179="Cj",((('BLAZE SHIELD II'!$H$4*('HOJA DE CÁLCULO RESPALDO'!I179^2)+'BLAZE SHIELD II'!$H$5*'HOJA DE CÁLCULO RESPALDO'!I179+'BLAZE SHIELD II'!$H$6)*LN(J179))+('BLAZE SHIELD II'!$H$7*('HOJA DE CÁLCULO RESPALDO'!I179^2)+'BLAZE SHIELD II'!$H$8*'HOJA DE CÁLCULO RESPALDO'!I179+'BLAZE SHIELD II'!$H$9)),0),0),0))+(IF(L179="Blaze Shield II",IF(M179="Idiem software",IF(C179="C",((('BLAZE SHIELD II'!$L$4*('HOJA DE CÁLCULO RESPALDO'!I179^2)+'BLAZE SHIELD II'!$L$5*'HOJA DE CÁLCULO RESPALDO'!I179+'BLAZE SHIELD II'!$L$6)*LN(J179))+('BLAZE SHIELD II'!$L$7*('HOJA DE CÁLCULO RESPALDO'!I179^2)+'BLAZE SHIELD II'!$L$8*'HOJA DE CÁLCULO RESPALDO'!I179+'BLAZE SHIELD II'!$L$9)),0),0),0))+(IF(L179="Blaze Shield II",IF(M179="Idiem software",IF(AND(C179="IN",G179=3),((('BLAZE SHIELD II'!$H$14*('HOJA DE CÁLCULO RESPALDO'!I179^2)+'BLAZE SHIELD II'!$H$15*'HOJA DE CÁLCULO RESPALDO'!I179+'BLAZE SHIELD II'!$H$16)*LN(J179))+('BLAZE SHIELD II'!$H$17*('HOJA DE CÁLCULO RESPALDO'!I179^2)+'BLAZE SHIELD II'!$H$18*'HOJA DE CÁLCULO RESPALDO'!I179+'BLAZE SHIELD II'!$H$19)),0),0),0)),0)</f>
        <v>0</v>
      </c>
      <c r="O179" s="46">
        <f t="shared" si="18"/>
        <v>0</v>
      </c>
      <c r="P179" s="80">
        <f t="shared" si="15"/>
        <v>0</v>
      </c>
      <c r="Q179" s="85">
        <f>ROUND((IF(L179="Cafco 400",IF(M179="Idiem software",IF(AND(C179="IN",G179=4),((('CAFCO 400 '!$H$7*(J179^4)+'CAFCO 400 '!$H$8*(J179^3)+'CAFCO 400 '!$H$9*(J179^2)+'CAFCO 400 '!$H$10*J179+'CAFCO 400 '!$H$11)*I179^2)+(('CAFCO 400 '!$H$12*(J179^3)+'CAFCO 400 '!$H$13*(J179^2)+'CAFCO 400 '!$H$14*J179+'CAFCO 400 '!$H$15)*I179)+('CAFCO 400 '!$H$16*(J179^2)+'CAFCO 400 '!$H$17*J179+'CAFCO 400 '!$H$18)),0),0),0))+(IF(L179="Cafco 400",IF(M179="Idiem software",IF(C179="Cj",(((('CAFCO 400 '!$D$7*LN(J179)+'CAFCO 400 '!$D$8)*I179^2)+(('CAFCO 400 '!$D$9*LN(J179)+'CAFCO 400 '!$D$10)*I179)+('CAFCO 400 '!$D$11*LN(J179)+'CAFCO 400 '!$D$12))),0),0),0))+(IF(L179="Cafco 400",IF(M179="Idiem software",IF(C179="C",((('CAFCO 400 '!$L$7*(J179^3)+'CAFCO 400 '!$L$8*(J179^2)+'CAFCO 400 '!$L$9*J179+'CAFCO 400 '!$L$10)*I179^2)+(('CAFCO 400 '!$L$11*(J179^3)+'CAFCO 400 '!$L$12*(J179^2)+'CAFCO 400 '!$L$13*J179+'CAFCO 400 '!$L$14)*I179)+('CAFCO 400 '!$L$15*LN(J179)+'CAFCO 400 '!$L$16)),0),0),0))+(IF(L179="Cafco 400",IF(M179="Idiem software",IF(AND(C179="IN",G179=3),((('CAFCO 400 '!$D$23*(J179^2)+'CAFCO 400 '!$D$24*(J179)+'CAFCO 400 '!$D$25)*I179^2)+(('CAFCO 400 '!$D$26*(J179^2)+'CAFCO 400 '!$D$27*J179+'CAFCO 400 '!$D$28)*I179)+('CAFCO 400 '!$D$29*(J179^2)+'CAFCO 400 '!$D$30*J179+'CAFCO 400 '!$D$31)),0),0),0)),0)</f>
        <v>0</v>
      </c>
      <c r="R179" s="47">
        <f t="shared" si="19"/>
        <v>0</v>
      </c>
      <c r="S179" s="82">
        <f t="shared" si="16"/>
        <v>0</v>
      </c>
      <c r="T179" s="81">
        <f>+IF(AND(J179&gt;=95,J179&lt;=240),IF(AND(C179="Cj",I179=90),VLOOKUP(W179,'CAFCO 300 IDIEM TABLAS'!$B$4:$D$23,2,FALSE),0)+IF(AND(J179&gt;=95,J179&lt;=240),IF(AND(C179="Cj",I179=120),VLOOKUP(W179,'CAFCO 300 IDIEM TABLAS'!$B$4:$D$23,3,FALSE),0))+IF(AND(J179&gt;=95,J179&lt;=400,G179=3),IF(AND(C179="IN",I179=90),VLOOKUP(W179,'CAFCO 300 IDIEM TABLAS'!$F$4:$H$35,2,FALSE),0),0)+IF(AND(J179&gt;=95,J179&lt;=400,G179=3),IF(AND(C179="IN",I179=120),VLOOKUP(W179,'CAFCO 300 IDIEM TABLAS'!$F$4:$H$35,3,FALSE),0),0)+IF(AND(J179&gt;=95,J179&lt;=450,G179=4),IF(AND(C179="IN",I179=90),VLOOKUP(W179,'CAFCO 300 IDIEM TABLAS'!$J$4:$L$40,2,FALSE),0),0)+IF(AND(J179&gt;=95,J179&lt;=450,G179=4),IF(AND(C179="IN",I179=120),VLOOKUP(W179,'CAFCO 300 IDIEM TABLAS'!$J$4:$L$40,3,FALSE),0),0))</f>
        <v>17</v>
      </c>
      <c r="U179" s="48">
        <f t="shared" si="20"/>
        <v>1.5229350433247753</v>
      </c>
      <c r="V179" s="82">
        <f t="shared" si="17"/>
        <v>22865.346740478177</v>
      </c>
      <c r="W179" s="64">
        <f>+IF(J179=LOOKUP(J179,'CAFCO 300 IDIEM TABLAS'!$J$4:$J$40),'HOJA DE CÁLCULO RESPALDO'!J179,MROUND('HOJA DE CÁLCULO RESPALDO'!J179,10))</f>
        <v>95</v>
      </c>
      <c r="X179" s="36"/>
      <c r="Y179" s="4"/>
    </row>
    <row r="180" spans="1:25" ht="15.6" customHeight="1" x14ac:dyDescent="0.25">
      <c r="A180" s="2" t="s">
        <v>44</v>
      </c>
      <c r="B180" s="3" t="s">
        <v>17</v>
      </c>
      <c r="C180" s="3" t="s">
        <v>19</v>
      </c>
      <c r="D180" s="3">
        <v>1</v>
      </c>
      <c r="E180" s="2">
        <v>1</v>
      </c>
      <c r="F180" s="8">
        <v>1500</v>
      </c>
      <c r="G180" s="1">
        <v>4</v>
      </c>
      <c r="H180" s="2">
        <v>776</v>
      </c>
      <c r="I180" s="34">
        <v>90</v>
      </c>
      <c r="J180" s="11">
        <v>95</v>
      </c>
      <c r="K180" s="44">
        <f t="shared" si="14"/>
        <v>1.1639999999999999</v>
      </c>
      <c r="L180" s="3" t="s">
        <v>61</v>
      </c>
      <c r="M180" s="3" t="s">
        <v>70</v>
      </c>
      <c r="N180" s="15">
        <f>ROUND((IF(L180="Blaze Shield II",IF(M180="Idiem software",IF(AND(C180="IN",G180=4),((('BLAZE SHIELD II'!$D$4*('HOJA DE CÁLCULO RESPALDO'!I180^2)+'BLAZE SHIELD II'!$D$5*'HOJA DE CÁLCULO RESPALDO'!I180+'BLAZE SHIELD II'!$D$6)*LN(J180))+('BLAZE SHIELD II'!$D$7*('HOJA DE CÁLCULO RESPALDO'!I180^2)+'BLAZE SHIELD II'!$D$8*'HOJA DE CÁLCULO RESPALDO'!I180+'BLAZE SHIELD II'!$D$9)),0),0),0))+(IF(L180="Blaze Shield II",IF(M180="Idiem software",IF(C180="Cj",((('BLAZE SHIELD II'!$H$4*('HOJA DE CÁLCULO RESPALDO'!I180^2)+'BLAZE SHIELD II'!$H$5*'HOJA DE CÁLCULO RESPALDO'!I180+'BLAZE SHIELD II'!$H$6)*LN(J180))+('BLAZE SHIELD II'!$H$7*('HOJA DE CÁLCULO RESPALDO'!I180^2)+'BLAZE SHIELD II'!$H$8*'HOJA DE CÁLCULO RESPALDO'!I180+'BLAZE SHIELD II'!$H$9)),0),0),0))+(IF(L180="Blaze Shield II",IF(M180="Idiem software",IF(C180="C",((('BLAZE SHIELD II'!$L$4*('HOJA DE CÁLCULO RESPALDO'!I180^2)+'BLAZE SHIELD II'!$L$5*'HOJA DE CÁLCULO RESPALDO'!I180+'BLAZE SHIELD II'!$L$6)*LN(J180))+('BLAZE SHIELD II'!$L$7*('HOJA DE CÁLCULO RESPALDO'!I180^2)+'BLAZE SHIELD II'!$L$8*'HOJA DE CÁLCULO RESPALDO'!I180+'BLAZE SHIELD II'!$L$9)),0),0),0))+(IF(L180="Blaze Shield II",IF(M180="Idiem software",IF(AND(C180="IN",G180=3),((('BLAZE SHIELD II'!$H$14*('HOJA DE CÁLCULO RESPALDO'!I180^2)+'BLAZE SHIELD II'!$H$15*'HOJA DE CÁLCULO RESPALDO'!I180+'BLAZE SHIELD II'!$H$16)*LN(J180))+('BLAZE SHIELD II'!$H$17*('HOJA DE CÁLCULO RESPALDO'!I180^2)+'BLAZE SHIELD II'!$H$18*'HOJA DE CÁLCULO RESPALDO'!I180+'BLAZE SHIELD II'!$H$19)),0),0),0)),0)</f>
        <v>0</v>
      </c>
      <c r="O180" s="46">
        <f t="shared" si="18"/>
        <v>0</v>
      </c>
      <c r="P180" s="80">
        <f t="shared" si="15"/>
        <v>0</v>
      </c>
      <c r="Q180" s="85">
        <f>ROUND((IF(L180="Cafco 400",IF(M180="Idiem software",IF(AND(C180="IN",G180=4),((('CAFCO 400 '!$H$7*(J180^4)+'CAFCO 400 '!$H$8*(J180^3)+'CAFCO 400 '!$H$9*(J180^2)+'CAFCO 400 '!$H$10*J180+'CAFCO 400 '!$H$11)*I180^2)+(('CAFCO 400 '!$H$12*(J180^3)+'CAFCO 400 '!$H$13*(J180^2)+'CAFCO 400 '!$H$14*J180+'CAFCO 400 '!$H$15)*I180)+('CAFCO 400 '!$H$16*(J180^2)+'CAFCO 400 '!$H$17*J180+'CAFCO 400 '!$H$18)),0),0),0))+(IF(L180="Cafco 400",IF(M180="Idiem software",IF(C180="Cj",(((('CAFCO 400 '!$D$7*LN(J180)+'CAFCO 400 '!$D$8)*I180^2)+(('CAFCO 400 '!$D$9*LN(J180)+'CAFCO 400 '!$D$10)*I180)+('CAFCO 400 '!$D$11*LN(J180)+'CAFCO 400 '!$D$12))),0),0),0))+(IF(L180="Cafco 400",IF(M180="Idiem software",IF(C180="C",((('CAFCO 400 '!$L$7*(J180^3)+'CAFCO 400 '!$L$8*(J180^2)+'CAFCO 400 '!$L$9*J180+'CAFCO 400 '!$L$10)*I180^2)+(('CAFCO 400 '!$L$11*(J180^3)+'CAFCO 400 '!$L$12*(J180^2)+'CAFCO 400 '!$L$13*J180+'CAFCO 400 '!$L$14)*I180)+('CAFCO 400 '!$L$15*LN(J180)+'CAFCO 400 '!$L$16)),0),0),0))+(IF(L180="Cafco 400",IF(M180="Idiem software",IF(AND(C180="IN",G180=3),((('CAFCO 400 '!$D$23*(J180^2)+'CAFCO 400 '!$D$24*(J180)+'CAFCO 400 '!$D$25)*I180^2)+(('CAFCO 400 '!$D$26*(J180^2)+'CAFCO 400 '!$D$27*J180+'CAFCO 400 '!$D$28)*I180)+('CAFCO 400 '!$D$29*(J180^2)+'CAFCO 400 '!$D$30*J180+'CAFCO 400 '!$D$31)),0),0),0)),0)</f>
        <v>0</v>
      </c>
      <c r="R180" s="47">
        <f t="shared" si="19"/>
        <v>0</v>
      </c>
      <c r="S180" s="82">
        <f t="shared" si="16"/>
        <v>0</v>
      </c>
      <c r="T180" s="81">
        <f>+IF(AND(J180&gt;=95,J180&lt;=240),IF(AND(C180="Cj",I180=90),VLOOKUP(W180,'CAFCO 300 IDIEM TABLAS'!$B$4:$D$23,2,FALSE),0)+IF(AND(J180&gt;=95,J180&lt;=240),IF(AND(C180="Cj",I180=120),VLOOKUP(W180,'CAFCO 300 IDIEM TABLAS'!$B$4:$D$23,3,FALSE),0))+IF(AND(J180&gt;=95,J180&lt;=400,G180=3),IF(AND(C180="IN",I180=90),VLOOKUP(W180,'CAFCO 300 IDIEM TABLAS'!$F$4:$H$35,2,FALSE),0),0)+IF(AND(J180&gt;=95,J180&lt;=400,G180=3),IF(AND(C180="IN",I180=120),VLOOKUP(W180,'CAFCO 300 IDIEM TABLAS'!$F$4:$H$35,3,FALSE),0),0)+IF(AND(J180&gt;=95,J180&lt;=450,G180=4),IF(AND(C180="IN",I180=90),VLOOKUP(W180,'CAFCO 300 IDIEM TABLAS'!$J$4:$L$40,2,FALSE),0),0)+IF(AND(J180&gt;=95,J180&lt;=450,G180=4),IF(AND(C180="IN",I180=120),VLOOKUP(W180,'CAFCO 300 IDIEM TABLAS'!$J$4:$L$40,3,FALSE),0),0))</f>
        <v>17</v>
      </c>
      <c r="U180" s="48">
        <f t="shared" si="20"/>
        <v>0.2730693196405648</v>
      </c>
      <c r="V180" s="82">
        <f t="shared" si="17"/>
        <v>4099.8627650834396</v>
      </c>
      <c r="W180" s="64">
        <f>+IF(J180=LOOKUP(J180,'CAFCO 300 IDIEM TABLAS'!$J$4:$J$40),'HOJA DE CÁLCULO RESPALDO'!J180,MROUND('HOJA DE CÁLCULO RESPALDO'!J180,10))</f>
        <v>95</v>
      </c>
      <c r="X180" s="36"/>
      <c r="Y180" s="4"/>
    </row>
    <row r="181" spans="1:25" x14ac:dyDescent="0.25">
      <c r="A181" s="2" t="s">
        <v>41</v>
      </c>
      <c r="B181" s="3" t="s">
        <v>17</v>
      </c>
      <c r="C181" s="3" t="s">
        <v>19</v>
      </c>
      <c r="D181" s="3">
        <v>1</v>
      </c>
      <c r="E181" s="2">
        <v>1</v>
      </c>
      <c r="F181" s="8">
        <v>1500</v>
      </c>
      <c r="G181" s="1">
        <v>4</v>
      </c>
      <c r="H181" s="2">
        <v>3879</v>
      </c>
      <c r="I181" s="34">
        <v>90</v>
      </c>
      <c r="J181" s="11">
        <v>95</v>
      </c>
      <c r="K181" s="44">
        <f t="shared" si="14"/>
        <v>5.8185000000000002</v>
      </c>
      <c r="L181" s="3" t="s">
        <v>61</v>
      </c>
      <c r="M181" s="3" t="s">
        <v>70</v>
      </c>
      <c r="N181" s="15">
        <f>ROUND((IF(L181="Blaze Shield II",IF(M181="Idiem software",IF(AND(C181="IN",G181=4),((('BLAZE SHIELD II'!$D$4*('HOJA DE CÁLCULO RESPALDO'!I181^2)+'BLAZE SHIELD II'!$D$5*'HOJA DE CÁLCULO RESPALDO'!I181+'BLAZE SHIELD II'!$D$6)*LN(J181))+('BLAZE SHIELD II'!$D$7*('HOJA DE CÁLCULO RESPALDO'!I181^2)+'BLAZE SHIELD II'!$D$8*'HOJA DE CÁLCULO RESPALDO'!I181+'BLAZE SHIELD II'!$D$9)),0),0),0))+(IF(L181="Blaze Shield II",IF(M181="Idiem software",IF(C181="Cj",((('BLAZE SHIELD II'!$H$4*('HOJA DE CÁLCULO RESPALDO'!I181^2)+'BLAZE SHIELD II'!$H$5*'HOJA DE CÁLCULO RESPALDO'!I181+'BLAZE SHIELD II'!$H$6)*LN(J181))+('BLAZE SHIELD II'!$H$7*('HOJA DE CÁLCULO RESPALDO'!I181^2)+'BLAZE SHIELD II'!$H$8*'HOJA DE CÁLCULO RESPALDO'!I181+'BLAZE SHIELD II'!$H$9)),0),0),0))+(IF(L181="Blaze Shield II",IF(M181="Idiem software",IF(C181="C",((('BLAZE SHIELD II'!$L$4*('HOJA DE CÁLCULO RESPALDO'!I181^2)+'BLAZE SHIELD II'!$L$5*'HOJA DE CÁLCULO RESPALDO'!I181+'BLAZE SHIELD II'!$L$6)*LN(J181))+('BLAZE SHIELD II'!$L$7*('HOJA DE CÁLCULO RESPALDO'!I181^2)+'BLAZE SHIELD II'!$L$8*'HOJA DE CÁLCULO RESPALDO'!I181+'BLAZE SHIELD II'!$L$9)),0),0),0))+(IF(L181="Blaze Shield II",IF(M181="Idiem software",IF(AND(C181="IN",G181=3),((('BLAZE SHIELD II'!$H$14*('HOJA DE CÁLCULO RESPALDO'!I181^2)+'BLAZE SHIELD II'!$H$15*'HOJA DE CÁLCULO RESPALDO'!I181+'BLAZE SHIELD II'!$H$16)*LN(J181))+('BLAZE SHIELD II'!$H$17*('HOJA DE CÁLCULO RESPALDO'!I181^2)+'BLAZE SHIELD II'!$H$18*'HOJA DE CÁLCULO RESPALDO'!I181+'BLAZE SHIELD II'!$H$19)),0),0),0)),0)</f>
        <v>0</v>
      </c>
      <c r="O181" s="46">
        <f t="shared" si="18"/>
        <v>0</v>
      </c>
      <c r="P181" s="80">
        <f t="shared" si="15"/>
        <v>0</v>
      </c>
      <c r="Q181" s="85">
        <f>ROUND((IF(L181="Cafco 400",IF(M181="Idiem software",IF(AND(C181="IN",G181=4),((('CAFCO 400 '!$H$7*(J181^4)+'CAFCO 400 '!$H$8*(J181^3)+'CAFCO 400 '!$H$9*(J181^2)+'CAFCO 400 '!$H$10*J181+'CAFCO 400 '!$H$11)*I181^2)+(('CAFCO 400 '!$H$12*(J181^3)+'CAFCO 400 '!$H$13*(J181^2)+'CAFCO 400 '!$H$14*J181+'CAFCO 400 '!$H$15)*I181)+('CAFCO 400 '!$H$16*(J181^2)+'CAFCO 400 '!$H$17*J181+'CAFCO 400 '!$H$18)),0),0),0))+(IF(L181="Cafco 400",IF(M181="Idiem software",IF(C181="Cj",(((('CAFCO 400 '!$D$7*LN(J181)+'CAFCO 400 '!$D$8)*I181^2)+(('CAFCO 400 '!$D$9*LN(J181)+'CAFCO 400 '!$D$10)*I181)+('CAFCO 400 '!$D$11*LN(J181)+'CAFCO 400 '!$D$12))),0),0),0))+(IF(L181="Cafco 400",IF(M181="Idiem software",IF(C181="C",((('CAFCO 400 '!$L$7*(J181^3)+'CAFCO 400 '!$L$8*(J181^2)+'CAFCO 400 '!$L$9*J181+'CAFCO 400 '!$L$10)*I181^2)+(('CAFCO 400 '!$L$11*(J181^3)+'CAFCO 400 '!$L$12*(J181^2)+'CAFCO 400 '!$L$13*J181+'CAFCO 400 '!$L$14)*I181)+('CAFCO 400 '!$L$15*LN(J181)+'CAFCO 400 '!$L$16)),0),0),0))+(IF(L181="Cafco 400",IF(M181="Idiem software",IF(AND(C181="IN",G181=3),((('CAFCO 400 '!$D$23*(J181^2)+'CAFCO 400 '!$D$24*(J181)+'CAFCO 400 '!$D$25)*I181^2)+(('CAFCO 400 '!$D$26*(J181^2)+'CAFCO 400 '!$D$27*J181+'CAFCO 400 '!$D$28)*I181)+('CAFCO 400 '!$D$29*(J181^2)+'CAFCO 400 '!$D$30*J181+'CAFCO 400 '!$D$31)),0),0),0)),0)</f>
        <v>0</v>
      </c>
      <c r="R181" s="47">
        <f t="shared" si="19"/>
        <v>0</v>
      </c>
      <c r="S181" s="82">
        <f t="shared" si="16"/>
        <v>0</v>
      </c>
      <c r="T181" s="81">
        <f>+IF(AND(J181&gt;=95,J181&lt;=240),IF(AND(C181="Cj",I181=90),VLOOKUP(W181,'CAFCO 300 IDIEM TABLAS'!$B$4:$D$23,2,FALSE),0)+IF(AND(J181&gt;=95,J181&lt;=240),IF(AND(C181="Cj",I181=120),VLOOKUP(W181,'CAFCO 300 IDIEM TABLAS'!$B$4:$D$23,3,FALSE),0))+IF(AND(J181&gt;=95,J181&lt;=400,G181=3),IF(AND(C181="IN",I181=90),VLOOKUP(W181,'CAFCO 300 IDIEM TABLAS'!$F$4:$H$35,2,FALSE),0),0)+IF(AND(J181&gt;=95,J181&lt;=400,G181=3),IF(AND(C181="IN",I181=120),VLOOKUP(W181,'CAFCO 300 IDIEM TABLAS'!$F$4:$H$35,3,FALSE),0),0)+IF(AND(J181&gt;=95,J181&lt;=450,G181=4),IF(AND(C181="IN",I181=90),VLOOKUP(W181,'CAFCO 300 IDIEM TABLAS'!$J$4:$L$40,2,FALSE),0),0)+IF(AND(J181&gt;=95,J181&lt;=450,G181=4),IF(AND(C181="IN",I181=120),VLOOKUP(W181,'CAFCO 300 IDIEM TABLAS'!$J$4:$L$40,3,FALSE),0),0))</f>
        <v>17</v>
      </c>
      <c r="U181" s="48">
        <f t="shared" si="20"/>
        <v>1.3649947047496791</v>
      </c>
      <c r="V181" s="82">
        <f t="shared" si="17"/>
        <v>20494.030497111682</v>
      </c>
      <c r="W181" s="64">
        <f>+IF(J181=LOOKUP(J181,'CAFCO 300 IDIEM TABLAS'!$J$4:$J$40),'HOJA DE CÁLCULO RESPALDO'!J181,MROUND('HOJA DE CÁLCULO RESPALDO'!J181,10))</f>
        <v>95</v>
      </c>
      <c r="X181" s="36"/>
      <c r="Y181" s="4"/>
    </row>
    <row r="182" spans="1:25" ht="15.6" customHeight="1" x14ac:dyDescent="0.25">
      <c r="A182" s="2" t="s">
        <v>44</v>
      </c>
      <c r="B182" s="3" t="s">
        <v>17</v>
      </c>
      <c r="C182" s="3" t="s">
        <v>19</v>
      </c>
      <c r="D182" s="3">
        <v>1</v>
      </c>
      <c r="E182" s="2">
        <v>1</v>
      </c>
      <c r="F182" s="8">
        <v>11081</v>
      </c>
      <c r="G182" s="1">
        <v>4</v>
      </c>
      <c r="H182" s="2">
        <v>585</v>
      </c>
      <c r="I182" s="34">
        <v>90</v>
      </c>
      <c r="J182" s="11">
        <v>95</v>
      </c>
      <c r="K182" s="44">
        <f t="shared" si="14"/>
        <v>6.4823849999999998</v>
      </c>
      <c r="L182" s="3" t="s">
        <v>61</v>
      </c>
      <c r="M182" s="3" t="s">
        <v>70</v>
      </c>
      <c r="N182" s="15">
        <f>ROUND((IF(L182="Blaze Shield II",IF(M182="Idiem software",IF(AND(C182="IN",G182=4),((('BLAZE SHIELD II'!$D$4*('HOJA DE CÁLCULO RESPALDO'!I182^2)+'BLAZE SHIELD II'!$D$5*'HOJA DE CÁLCULO RESPALDO'!I182+'BLAZE SHIELD II'!$D$6)*LN(J182))+('BLAZE SHIELD II'!$D$7*('HOJA DE CÁLCULO RESPALDO'!I182^2)+'BLAZE SHIELD II'!$D$8*'HOJA DE CÁLCULO RESPALDO'!I182+'BLAZE SHIELD II'!$D$9)),0),0),0))+(IF(L182="Blaze Shield II",IF(M182="Idiem software",IF(C182="Cj",((('BLAZE SHIELD II'!$H$4*('HOJA DE CÁLCULO RESPALDO'!I182^2)+'BLAZE SHIELD II'!$H$5*'HOJA DE CÁLCULO RESPALDO'!I182+'BLAZE SHIELD II'!$H$6)*LN(J182))+('BLAZE SHIELD II'!$H$7*('HOJA DE CÁLCULO RESPALDO'!I182^2)+'BLAZE SHIELD II'!$H$8*'HOJA DE CÁLCULO RESPALDO'!I182+'BLAZE SHIELD II'!$H$9)),0),0),0))+(IF(L182="Blaze Shield II",IF(M182="Idiem software",IF(C182="C",((('BLAZE SHIELD II'!$L$4*('HOJA DE CÁLCULO RESPALDO'!I182^2)+'BLAZE SHIELD II'!$L$5*'HOJA DE CÁLCULO RESPALDO'!I182+'BLAZE SHIELD II'!$L$6)*LN(J182))+('BLAZE SHIELD II'!$L$7*('HOJA DE CÁLCULO RESPALDO'!I182^2)+'BLAZE SHIELD II'!$L$8*'HOJA DE CÁLCULO RESPALDO'!I182+'BLAZE SHIELD II'!$L$9)),0),0),0))+(IF(L182="Blaze Shield II",IF(M182="Idiem software",IF(AND(C182="IN",G182=3),((('BLAZE SHIELD II'!$H$14*('HOJA DE CÁLCULO RESPALDO'!I182^2)+'BLAZE SHIELD II'!$H$15*'HOJA DE CÁLCULO RESPALDO'!I182+'BLAZE SHIELD II'!$H$16)*LN(J182))+('BLAZE SHIELD II'!$H$17*('HOJA DE CÁLCULO RESPALDO'!I182^2)+'BLAZE SHIELD II'!$H$18*'HOJA DE CÁLCULO RESPALDO'!I182+'BLAZE SHIELD II'!$H$19)),0),0),0)),0)</f>
        <v>0</v>
      </c>
      <c r="O182" s="46">
        <f t="shared" si="18"/>
        <v>0</v>
      </c>
      <c r="P182" s="80">
        <f t="shared" si="15"/>
        <v>0</v>
      </c>
      <c r="Q182" s="85">
        <f>ROUND((IF(L182="Cafco 400",IF(M182="Idiem software",IF(AND(C182="IN",G182=4),((('CAFCO 400 '!$H$7*(J182^4)+'CAFCO 400 '!$H$8*(J182^3)+'CAFCO 400 '!$H$9*(J182^2)+'CAFCO 400 '!$H$10*J182+'CAFCO 400 '!$H$11)*I182^2)+(('CAFCO 400 '!$H$12*(J182^3)+'CAFCO 400 '!$H$13*(J182^2)+'CAFCO 400 '!$H$14*J182+'CAFCO 400 '!$H$15)*I182)+('CAFCO 400 '!$H$16*(J182^2)+'CAFCO 400 '!$H$17*J182+'CAFCO 400 '!$H$18)),0),0),0))+(IF(L182="Cafco 400",IF(M182="Idiem software",IF(C182="Cj",(((('CAFCO 400 '!$D$7*LN(J182)+'CAFCO 400 '!$D$8)*I182^2)+(('CAFCO 400 '!$D$9*LN(J182)+'CAFCO 400 '!$D$10)*I182)+('CAFCO 400 '!$D$11*LN(J182)+'CAFCO 400 '!$D$12))),0),0),0))+(IF(L182="Cafco 400",IF(M182="Idiem software",IF(C182="C",((('CAFCO 400 '!$L$7*(J182^3)+'CAFCO 400 '!$L$8*(J182^2)+'CAFCO 400 '!$L$9*J182+'CAFCO 400 '!$L$10)*I182^2)+(('CAFCO 400 '!$L$11*(J182^3)+'CAFCO 400 '!$L$12*(J182^2)+'CAFCO 400 '!$L$13*J182+'CAFCO 400 '!$L$14)*I182)+('CAFCO 400 '!$L$15*LN(J182)+'CAFCO 400 '!$L$16)),0),0),0))+(IF(L182="Cafco 400",IF(M182="Idiem software",IF(AND(C182="IN",G182=3),((('CAFCO 400 '!$D$23*(J182^2)+'CAFCO 400 '!$D$24*(J182)+'CAFCO 400 '!$D$25)*I182^2)+(('CAFCO 400 '!$D$26*(J182^2)+'CAFCO 400 '!$D$27*J182+'CAFCO 400 '!$D$28)*I182)+('CAFCO 400 '!$D$29*(J182^2)+'CAFCO 400 '!$D$30*J182+'CAFCO 400 '!$D$31)),0),0),0)),0)</f>
        <v>0</v>
      </c>
      <c r="R182" s="47">
        <f t="shared" si="19"/>
        <v>0</v>
      </c>
      <c r="S182" s="82">
        <f t="shared" si="16"/>
        <v>0</v>
      </c>
      <c r="T182" s="81">
        <f>+IF(AND(J182&gt;=95,J182&lt;=240),IF(AND(C182="Cj",I182=90),VLOOKUP(W182,'CAFCO 300 IDIEM TABLAS'!$B$4:$D$23,2,FALSE),0)+IF(AND(J182&gt;=95,J182&lt;=240),IF(AND(C182="Cj",I182=120),VLOOKUP(W182,'CAFCO 300 IDIEM TABLAS'!$B$4:$D$23,3,FALSE),0))+IF(AND(J182&gt;=95,J182&lt;=400,G182=3),IF(AND(C182="IN",I182=90),VLOOKUP(W182,'CAFCO 300 IDIEM TABLAS'!$F$4:$H$35,2,FALSE),0),0)+IF(AND(J182&gt;=95,J182&lt;=400,G182=3),IF(AND(C182="IN",I182=120),VLOOKUP(W182,'CAFCO 300 IDIEM TABLAS'!$F$4:$H$35,3,FALSE),0),0)+IF(AND(J182&gt;=95,J182&lt;=450,G182=4),IF(AND(C182="IN",I182=90),VLOOKUP(W182,'CAFCO 300 IDIEM TABLAS'!$J$4:$L$40,2,FALSE),0),0)+IF(AND(J182&gt;=95,J182&lt;=450,G182=4),IF(AND(C182="IN",I182=120),VLOOKUP(W182,'CAFCO 300 IDIEM TABLAS'!$J$4:$L$40,3,FALSE),0),0))</f>
        <v>17</v>
      </c>
      <c r="U182" s="48">
        <f t="shared" si="20"/>
        <v>1.5207392281771501</v>
      </c>
      <c r="V182" s="82">
        <f t="shared" si="17"/>
        <v>22832.378771851731</v>
      </c>
      <c r="W182" s="64">
        <f>+IF(J182=LOOKUP(J182,'CAFCO 300 IDIEM TABLAS'!$J$4:$J$40),'HOJA DE CÁLCULO RESPALDO'!J182,MROUND('HOJA DE CÁLCULO RESPALDO'!J182,10))</f>
        <v>95</v>
      </c>
      <c r="X182" s="36"/>
      <c r="Y182" s="4"/>
    </row>
    <row r="183" spans="1:25" x14ac:dyDescent="0.25">
      <c r="A183" s="2" t="s">
        <v>41</v>
      </c>
      <c r="B183" s="3" t="s">
        <v>17</v>
      </c>
      <c r="C183" s="3" t="s">
        <v>19</v>
      </c>
      <c r="D183" s="3">
        <v>1</v>
      </c>
      <c r="E183" s="2">
        <v>1</v>
      </c>
      <c r="F183" s="8">
        <v>1500</v>
      </c>
      <c r="G183" s="1">
        <v>4</v>
      </c>
      <c r="H183" s="2">
        <v>776</v>
      </c>
      <c r="I183" s="34">
        <v>90</v>
      </c>
      <c r="J183" s="11">
        <v>95</v>
      </c>
      <c r="K183" s="44">
        <f t="shared" si="14"/>
        <v>1.1639999999999999</v>
      </c>
      <c r="L183" s="3" t="s">
        <v>61</v>
      </c>
      <c r="M183" s="3" t="s">
        <v>70</v>
      </c>
      <c r="N183" s="15">
        <f>ROUND((IF(L183="Blaze Shield II",IF(M183="Idiem software",IF(AND(C183="IN",G183=4),((('BLAZE SHIELD II'!$D$4*('HOJA DE CÁLCULO RESPALDO'!I183^2)+'BLAZE SHIELD II'!$D$5*'HOJA DE CÁLCULO RESPALDO'!I183+'BLAZE SHIELD II'!$D$6)*LN(J183))+('BLAZE SHIELD II'!$D$7*('HOJA DE CÁLCULO RESPALDO'!I183^2)+'BLAZE SHIELD II'!$D$8*'HOJA DE CÁLCULO RESPALDO'!I183+'BLAZE SHIELD II'!$D$9)),0),0),0))+(IF(L183="Blaze Shield II",IF(M183="Idiem software",IF(C183="Cj",((('BLAZE SHIELD II'!$H$4*('HOJA DE CÁLCULO RESPALDO'!I183^2)+'BLAZE SHIELD II'!$H$5*'HOJA DE CÁLCULO RESPALDO'!I183+'BLAZE SHIELD II'!$H$6)*LN(J183))+('BLAZE SHIELD II'!$H$7*('HOJA DE CÁLCULO RESPALDO'!I183^2)+'BLAZE SHIELD II'!$H$8*'HOJA DE CÁLCULO RESPALDO'!I183+'BLAZE SHIELD II'!$H$9)),0),0),0))+(IF(L183="Blaze Shield II",IF(M183="Idiem software",IF(C183="C",((('BLAZE SHIELD II'!$L$4*('HOJA DE CÁLCULO RESPALDO'!I183^2)+'BLAZE SHIELD II'!$L$5*'HOJA DE CÁLCULO RESPALDO'!I183+'BLAZE SHIELD II'!$L$6)*LN(J183))+('BLAZE SHIELD II'!$L$7*('HOJA DE CÁLCULO RESPALDO'!I183^2)+'BLAZE SHIELD II'!$L$8*'HOJA DE CÁLCULO RESPALDO'!I183+'BLAZE SHIELD II'!$L$9)),0),0),0))+(IF(L183="Blaze Shield II",IF(M183="Idiem software",IF(AND(C183="IN",G183=3),((('BLAZE SHIELD II'!$H$14*('HOJA DE CÁLCULO RESPALDO'!I183^2)+'BLAZE SHIELD II'!$H$15*'HOJA DE CÁLCULO RESPALDO'!I183+'BLAZE SHIELD II'!$H$16)*LN(J183))+('BLAZE SHIELD II'!$H$17*('HOJA DE CÁLCULO RESPALDO'!I183^2)+'BLAZE SHIELD II'!$H$18*'HOJA DE CÁLCULO RESPALDO'!I183+'BLAZE SHIELD II'!$H$19)),0),0),0)),0)</f>
        <v>0</v>
      </c>
      <c r="O183" s="46">
        <f t="shared" si="18"/>
        <v>0</v>
      </c>
      <c r="P183" s="80">
        <f t="shared" si="15"/>
        <v>0</v>
      </c>
      <c r="Q183" s="85">
        <f>ROUND((IF(L183="Cafco 400",IF(M183="Idiem software",IF(AND(C183="IN",G183=4),((('CAFCO 400 '!$H$7*(J183^4)+'CAFCO 400 '!$H$8*(J183^3)+'CAFCO 400 '!$H$9*(J183^2)+'CAFCO 400 '!$H$10*J183+'CAFCO 400 '!$H$11)*I183^2)+(('CAFCO 400 '!$H$12*(J183^3)+'CAFCO 400 '!$H$13*(J183^2)+'CAFCO 400 '!$H$14*J183+'CAFCO 400 '!$H$15)*I183)+('CAFCO 400 '!$H$16*(J183^2)+'CAFCO 400 '!$H$17*J183+'CAFCO 400 '!$H$18)),0),0),0))+(IF(L183="Cafco 400",IF(M183="Idiem software",IF(C183="Cj",(((('CAFCO 400 '!$D$7*LN(J183)+'CAFCO 400 '!$D$8)*I183^2)+(('CAFCO 400 '!$D$9*LN(J183)+'CAFCO 400 '!$D$10)*I183)+('CAFCO 400 '!$D$11*LN(J183)+'CAFCO 400 '!$D$12))),0),0),0))+(IF(L183="Cafco 400",IF(M183="Idiem software",IF(C183="C",((('CAFCO 400 '!$L$7*(J183^3)+'CAFCO 400 '!$L$8*(J183^2)+'CAFCO 400 '!$L$9*J183+'CAFCO 400 '!$L$10)*I183^2)+(('CAFCO 400 '!$L$11*(J183^3)+'CAFCO 400 '!$L$12*(J183^2)+'CAFCO 400 '!$L$13*J183+'CAFCO 400 '!$L$14)*I183)+('CAFCO 400 '!$L$15*LN(J183)+'CAFCO 400 '!$L$16)),0),0),0))+(IF(L183="Cafco 400",IF(M183="Idiem software",IF(AND(C183="IN",G183=3),((('CAFCO 400 '!$D$23*(J183^2)+'CAFCO 400 '!$D$24*(J183)+'CAFCO 400 '!$D$25)*I183^2)+(('CAFCO 400 '!$D$26*(J183^2)+'CAFCO 400 '!$D$27*J183+'CAFCO 400 '!$D$28)*I183)+('CAFCO 400 '!$D$29*(J183^2)+'CAFCO 400 '!$D$30*J183+'CAFCO 400 '!$D$31)),0),0),0)),0)</f>
        <v>0</v>
      </c>
      <c r="R183" s="47">
        <f t="shared" si="19"/>
        <v>0</v>
      </c>
      <c r="S183" s="82">
        <f t="shared" si="16"/>
        <v>0</v>
      </c>
      <c r="T183" s="81">
        <f>+IF(AND(J183&gt;=95,J183&lt;=240),IF(AND(C183="Cj",I183=90),VLOOKUP(W183,'CAFCO 300 IDIEM TABLAS'!$B$4:$D$23,2,FALSE),0)+IF(AND(J183&gt;=95,J183&lt;=240),IF(AND(C183="Cj",I183=120),VLOOKUP(W183,'CAFCO 300 IDIEM TABLAS'!$B$4:$D$23,3,FALSE),0))+IF(AND(J183&gt;=95,J183&lt;=400,G183=3),IF(AND(C183="IN",I183=90),VLOOKUP(W183,'CAFCO 300 IDIEM TABLAS'!$F$4:$H$35,2,FALSE),0),0)+IF(AND(J183&gt;=95,J183&lt;=400,G183=3),IF(AND(C183="IN",I183=120),VLOOKUP(W183,'CAFCO 300 IDIEM TABLAS'!$F$4:$H$35,3,FALSE),0),0)+IF(AND(J183&gt;=95,J183&lt;=450,G183=4),IF(AND(C183="IN",I183=90),VLOOKUP(W183,'CAFCO 300 IDIEM TABLAS'!$J$4:$L$40,2,FALSE),0),0)+IF(AND(J183&gt;=95,J183&lt;=450,G183=4),IF(AND(C183="IN",I183=120),VLOOKUP(W183,'CAFCO 300 IDIEM TABLAS'!$J$4:$L$40,3,FALSE),0),0))</f>
        <v>17</v>
      </c>
      <c r="U183" s="48">
        <f t="shared" si="20"/>
        <v>0.2730693196405648</v>
      </c>
      <c r="V183" s="82">
        <f t="shared" si="17"/>
        <v>4099.8627650834396</v>
      </c>
      <c r="W183" s="64">
        <f>+IF(J183=LOOKUP(J183,'CAFCO 300 IDIEM TABLAS'!$J$4:$J$40),'HOJA DE CÁLCULO RESPALDO'!J183,MROUND('HOJA DE CÁLCULO RESPALDO'!J183,10))</f>
        <v>95</v>
      </c>
      <c r="X183" s="36"/>
      <c r="Y183" s="4"/>
    </row>
    <row r="184" spans="1:25" ht="15.6" customHeight="1" x14ac:dyDescent="0.25">
      <c r="A184" s="2" t="s">
        <v>44</v>
      </c>
      <c r="B184" s="3" t="s">
        <v>17</v>
      </c>
      <c r="C184" s="3" t="s">
        <v>19</v>
      </c>
      <c r="D184" s="3">
        <v>1</v>
      </c>
      <c r="E184" s="2">
        <v>1</v>
      </c>
      <c r="F184" s="8">
        <v>1500</v>
      </c>
      <c r="G184" s="1">
        <v>4</v>
      </c>
      <c r="H184" s="2">
        <v>3879</v>
      </c>
      <c r="I184" s="34">
        <v>90</v>
      </c>
      <c r="J184" s="11">
        <v>95</v>
      </c>
      <c r="K184" s="44">
        <f t="shared" si="14"/>
        <v>5.8185000000000002</v>
      </c>
      <c r="L184" s="3" t="s">
        <v>61</v>
      </c>
      <c r="M184" s="3" t="s">
        <v>70</v>
      </c>
      <c r="N184" s="15">
        <f>ROUND((IF(L184="Blaze Shield II",IF(M184="Idiem software",IF(AND(C184="IN",G184=4),((('BLAZE SHIELD II'!$D$4*('HOJA DE CÁLCULO RESPALDO'!I184^2)+'BLAZE SHIELD II'!$D$5*'HOJA DE CÁLCULO RESPALDO'!I184+'BLAZE SHIELD II'!$D$6)*LN(J184))+('BLAZE SHIELD II'!$D$7*('HOJA DE CÁLCULO RESPALDO'!I184^2)+'BLAZE SHIELD II'!$D$8*'HOJA DE CÁLCULO RESPALDO'!I184+'BLAZE SHIELD II'!$D$9)),0),0),0))+(IF(L184="Blaze Shield II",IF(M184="Idiem software",IF(C184="Cj",((('BLAZE SHIELD II'!$H$4*('HOJA DE CÁLCULO RESPALDO'!I184^2)+'BLAZE SHIELD II'!$H$5*'HOJA DE CÁLCULO RESPALDO'!I184+'BLAZE SHIELD II'!$H$6)*LN(J184))+('BLAZE SHIELD II'!$H$7*('HOJA DE CÁLCULO RESPALDO'!I184^2)+'BLAZE SHIELD II'!$H$8*'HOJA DE CÁLCULO RESPALDO'!I184+'BLAZE SHIELD II'!$H$9)),0),0),0))+(IF(L184="Blaze Shield II",IF(M184="Idiem software",IF(C184="C",((('BLAZE SHIELD II'!$L$4*('HOJA DE CÁLCULO RESPALDO'!I184^2)+'BLAZE SHIELD II'!$L$5*'HOJA DE CÁLCULO RESPALDO'!I184+'BLAZE SHIELD II'!$L$6)*LN(J184))+('BLAZE SHIELD II'!$L$7*('HOJA DE CÁLCULO RESPALDO'!I184^2)+'BLAZE SHIELD II'!$L$8*'HOJA DE CÁLCULO RESPALDO'!I184+'BLAZE SHIELD II'!$L$9)),0),0),0))+(IF(L184="Blaze Shield II",IF(M184="Idiem software",IF(AND(C184="IN",G184=3),((('BLAZE SHIELD II'!$H$14*('HOJA DE CÁLCULO RESPALDO'!I184^2)+'BLAZE SHIELD II'!$H$15*'HOJA DE CÁLCULO RESPALDO'!I184+'BLAZE SHIELD II'!$H$16)*LN(J184))+('BLAZE SHIELD II'!$H$17*('HOJA DE CÁLCULO RESPALDO'!I184^2)+'BLAZE SHIELD II'!$H$18*'HOJA DE CÁLCULO RESPALDO'!I184+'BLAZE SHIELD II'!$H$19)),0),0),0)),0)</f>
        <v>0</v>
      </c>
      <c r="O184" s="46">
        <f t="shared" si="18"/>
        <v>0</v>
      </c>
      <c r="P184" s="80">
        <f t="shared" si="15"/>
        <v>0</v>
      </c>
      <c r="Q184" s="85">
        <f>ROUND((IF(L184="Cafco 400",IF(M184="Idiem software",IF(AND(C184="IN",G184=4),((('CAFCO 400 '!$H$7*(J184^4)+'CAFCO 400 '!$H$8*(J184^3)+'CAFCO 400 '!$H$9*(J184^2)+'CAFCO 400 '!$H$10*J184+'CAFCO 400 '!$H$11)*I184^2)+(('CAFCO 400 '!$H$12*(J184^3)+'CAFCO 400 '!$H$13*(J184^2)+'CAFCO 400 '!$H$14*J184+'CAFCO 400 '!$H$15)*I184)+('CAFCO 400 '!$H$16*(J184^2)+'CAFCO 400 '!$H$17*J184+'CAFCO 400 '!$H$18)),0),0),0))+(IF(L184="Cafco 400",IF(M184="Idiem software",IF(C184="Cj",(((('CAFCO 400 '!$D$7*LN(J184)+'CAFCO 400 '!$D$8)*I184^2)+(('CAFCO 400 '!$D$9*LN(J184)+'CAFCO 400 '!$D$10)*I184)+('CAFCO 400 '!$D$11*LN(J184)+'CAFCO 400 '!$D$12))),0),0),0))+(IF(L184="Cafco 400",IF(M184="Idiem software",IF(C184="C",((('CAFCO 400 '!$L$7*(J184^3)+'CAFCO 400 '!$L$8*(J184^2)+'CAFCO 400 '!$L$9*J184+'CAFCO 400 '!$L$10)*I184^2)+(('CAFCO 400 '!$L$11*(J184^3)+'CAFCO 400 '!$L$12*(J184^2)+'CAFCO 400 '!$L$13*J184+'CAFCO 400 '!$L$14)*I184)+('CAFCO 400 '!$L$15*LN(J184)+'CAFCO 400 '!$L$16)),0),0),0))+(IF(L184="Cafco 400",IF(M184="Idiem software",IF(AND(C184="IN",G184=3),((('CAFCO 400 '!$D$23*(J184^2)+'CAFCO 400 '!$D$24*(J184)+'CAFCO 400 '!$D$25)*I184^2)+(('CAFCO 400 '!$D$26*(J184^2)+'CAFCO 400 '!$D$27*J184+'CAFCO 400 '!$D$28)*I184)+('CAFCO 400 '!$D$29*(J184^2)+'CAFCO 400 '!$D$30*J184+'CAFCO 400 '!$D$31)),0),0),0)),0)</f>
        <v>0</v>
      </c>
      <c r="R184" s="47">
        <f t="shared" si="19"/>
        <v>0</v>
      </c>
      <c r="S184" s="82">
        <f t="shared" si="16"/>
        <v>0</v>
      </c>
      <c r="T184" s="81">
        <f>+IF(AND(J184&gt;=95,J184&lt;=240),IF(AND(C184="Cj",I184=90),VLOOKUP(W184,'CAFCO 300 IDIEM TABLAS'!$B$4:$D$23,2,FALSE),0)+IF(AND(J184&gt;=95,J184&lt;=240),IF(AND(C184="Cj",I184=120),VLOOKUP(W184,'CAFCO 300 IDIEM TABLAS'!$B$4:$D$23,3,FALSE),0))+IF(AND(J184&gt;=95,J184&lt;=400,G184=3),IF(AND(C184="IN",I184=90),VLOOKUP(W184,'CAFCO 300 IDIEM TABLAS'!$F$4:$H$35,2,FALSE),0),0)+IF(AND(J184&gt;=95,J184&lt;=400,G184=3),IF(AND(C184="IN",I184=120),VLOOKUP(W184,'CAFCO 300 IDIEM TABLAS'!$F$4:$H$35,3,FALSE),0),0)+IF(AND(J184&gt;=95,J184&lt;=450,G184=4),IF(AND(C184="IN",I184=90),VLOOKUP(W184,'CAFCO 300 IDIEM TABLAS'!$J$4:$L$40,2,FALSE),0),0)+IF(AND(J184&gt;=95,J184&lt;=450,G184=4),IF(AND(C184="IN",I184=120),VLOOKUP(W184,'CAFCO 300 IDIEM TABLAS'!$J$4:$L$40,3,FALSE),0),0))</f>
        <v>17</v>
      </c>
      <c r="U184" s="48">
        <f t="shared" si="20"/>
        <v>1.3649947047496791</v>
      </c>
      <c r="V184" s="82">
        <f t="shared" si="17"/>
        <v>20494.030497111682</v>
      </c>
      <c r="W184" s="64">
        <f>+IF(J184=LOOKUP(J184,'CAFCO 300 IDIEM TABLAS'!$J$4:$J$40),'HOJA DE CÁLCULO RESPALDO'!J184,MROUND('HOJA DE CÁLCULO RESPALDO'!J184,10))</f>
        <v>95</v>
      </c>
      <c r="X184" s="36"/>
      <c r="Y184" s="4"/>
    </row>
    <row r="185" spans="1:25" x14ac:dyDescent="0.25">
      <c r="A185" s="2" t="s">
        <v>41</v>
      </c>
      <c r="B185" s="3" t="s">
        <v>17</v>
      </c>
      <c r="C185" s="3" t="s">
        <v>19</v>
      </c>
      <c r="D185" s="3">
        <v>1</v>
      </c>
      <c r="E185" s="2">
        <v>1</v>
      </c>
      <c r="F185" s="8">
        <v>12634</v>
      </c>
      <c r="G185" s="1">
        <v>4</v>
      </c>
      <c r="H185" s="2">
        <v>585</v>
      </c>
      <c r="I185" s="34">
        <v>90</v>
      </c>
      <c r="J185" s="11">
        <v>95</v>
      </c>
      <c r="K185" s="44">
        <f t="shared" si="14"/>
        <v>7.3908899999999997</v>
      </c>
      <c r="L185" s="3" t="s">
        <v>61</v>
      </c>
      <c r="M185" s="3" t="s">
        <v>70</v>
      </c>
      <c r="N185" s="15">
        <f>ROUND((IF(L185="Blaze Shield II",IF(M185="Idiem software",IF(AND(C185="IN",G185=4),((('BLAZE SHIELD II'!$D$4*('HOJA DE CÁLCULO RESPALDO'!I185^2)+'BLAZE SHIELD II'!$D$5*'HOJA DE CÁLCULO RESPALDO'!I185+'BLAZE SHIELD II'!$D$6)*LN(J185))+('BLAZE SHIELD II'!$D$7*('HOJA DE CÁLCULO RESPALDO'!I185^2)+'BLAZE SHIELD II'!$D$8*'HOJA DE CÁLCULO RESPALDO'!I185+'BLAZE SHIELD II'!$D$9)),0),0),0))+(IF(L185="Blaze Shield II",IF(M185="Idiem software",IF(C185="Cj",((('BLAZE SHIELD II'!$H$4*('HOJA DE CÁLCULO RESPALDO'!I185^2)+'BLAZE SHIELD II'!$H$5*'HOJA DE CÁLCULO RESPALDO'!I185+'BLAZE SHIELD II'!$H$6)*LN(J185))+('BLAZE SHIELD II'!$H$7*('HOJA DE CÁLCULO RESPALDO'!I185^2)+'BLAZE SHIELD II'!$H$8*'HOJA DE CÁLCULO RESPALDO'!I185+'BLAZE SHIELD II'!$H$9)),0),0),0))+(IF(L185="Blaze Shield II",IF(M185="Idiem software",IF(C185="C",((('BLAZE SHIELD II'!$L$4*('HOJA DE CÁLCULO RESPALDO'!I185^2)+'BLAZE SHIELD II'!$L$5*'HOJA DE CÁLCULO RESPALDO'!I185+'BLAZE SHIELD II'!$L$6)*LN(J185))+('BLAZE SHIELD II'!$L$7*('HOJA DE CÁLCULO RESPALDO'!I185^2)+'BLAZE SHIELD II'!$L$8*'HOJA DE CÁLCULO RESPALDO'!I185+'BLAZE SHIELD II'!$L$9)),0),0),0))+(IF(L185="Blaze Shield II",IF(M185="Idiem software",IF(AND(C185="IN",G185=3),((('BLAZE SHIELD II'!$H$14*('HOJA DE CÁLCULO RESPALDO'!I185^2)+'BLAZE SHIELD II'!$H$15*'HOJA DE CÁLCULO RESPALDO'!I185+'BLAZE SHIELD II'!$H$16)*LN(J185))+('BLAZE SHIELD II'!$H$17*('HOJA DE CÁLCULO RESPALDO'!I185^2)+'BLAZE SHIELD II'!$H$18*'HOJA DE CÁLCULO RESPALDO'!I185+'BLAZE SHIELD II'!$H$19)),0),0),0)),0)</f>
        <v>0</v>
      </c>
      <c r="O185" s="46">
        <f t="shared" si="18"/>
        <v>0</v>
      </c>
      <c r="P185" s="80">
        <f t="shared" si="15"/>
        <v>0</v>
      </c>
      <c r="Q185" s="85">
        <f>ROUND((IF(L185="Cafco 400",IF(M185="Idiem software",IF(AND(C185="IN",G185=4),((('CAFCO 400 '!$H$7*(J185^4)+'CAFCO 400 '!$H$8*(J185^3)+'CAFCO 400 '!$H$9*(J185^2)+'CAFCO 400 '!$H$10*J185+'CAFCO 400 '!$H$11)*I185^2)+(('CAFCO 400 '!$H$12*(J185^3)+'CAFCO 400 '!$H$13*(J185^2)+'CAFCO 400 '!$H$14*J185+'CAFCO 400 '!$H$15)*I185)+('CAFCO 400 '!$H$16*(J185^2)+'CAFCO 400 '!$H$17*J185+'CAFCO 400 '!$H$18)),0),0),0))+(IF(L185="Cafco 400",IF(M185="Idiem software",IF(C185="Cj",(((('CAFCO 400 '!$D$7*LN(J185)+'CAFCO 400 '!$D$8)*I185^2)+(('CAFCO 400 '!$D$9*LN(J185)+'CAFCO 400 '!$D$10)*I185)+('CAFCO 400 '!$D$11*LN(J185)+'CAFCO 400 '!$D$12))),0),0),0))+(IF(L185="Cafco 400",IF(M185="Idiem software",IF(C185="C",((('CAFCO 400 '!$L$7*(J185^3)+'CAFCO 400 '!$L$8*(J185^2)+'CAFCO 400 '!$L$9*J185+'CAFCO 400 '!$L$10)*I185^2)+(('CAFCO 400 '!$L$11*(J185^3)+'CAFCO 400 '!$L$12*(J185^2)+'CAFCO 400 '!$L$13*J185+'CAFCO 400 '!$L$14)*I185)+('CAFCO 400 '!$L$15*LN(J185)+'CAFCO 400 '!$L$16)),0),0),0))+(IF(L185="Cafco 400",IF(M185="Idiem software",IF(AND(C185="IN",G185=3),((('CAFCO 400 '!$D$23*(J185^2)+'CAFCO 400 '!$D$24*(J185)+'CAFCO 400 '!$D$25)*I185^2)+(('CAFCO 400 '!$D$26*(J185^2)+'CAFCO 400 '!$D$27*J185+'CAFCO 400 '!$D$28)*I185)+('CAFCO 400 '!$D$29*(J185^2)+'CAFCO 400 '!$D$30*J185+'CAFCO 400 '!$D$31)),0),0),0)),0)</f>
        <v>0</v>
      </c>
      <c r="R185" s="47">
        <f t="shared" si="19"/>
        <v>0</v>
      </c>
      <c r="S185" s="82">
        <f t="shared" si="16"/>
        <v>0</v>
      </c>
      <c r="T185" s="81">
        <f>+IF(AND(J185&gt;=95,J185&lt;=240),IF(AND(C185="Cj",I185=90),VLOOKUP(W185,'CAFCO 300 IDIEM TABLAS'!$B$4:$D$23,2,FALSE),0)+IF(AND(J185&gt;=95,J185&lt;=240),IF(AND(C185="Cj",I185=120),VLOOKUP(W185,'CAFCO 300 IDIEM TABLAS'!$B$4:$D$23,3,FALSE),0))+IF(AND(J185&gt;=95,J185&lt;=400,G185=3),IF(AND(C185="IN",I185=90),VLOOKUP(W185,'CAFCO 300 IDIEM TABLAS'!$F$4:$H$35,2,FALSE),0),0)+IF(AND(J185&gt;=95,J185&lt;=400,G185=3),IF(AND(C185="IN",I185=120),VLOOKUP(W185,'CAFCO 300 IDIEM TABLAS'!$F$4:$H$35,3,FALSE),0),0)+IF(AND(J185&gt;=95,J185&lt;=450,G185=4),IF(AND(C185="IN",I185=90),VLOOKUP(W185,'CAFCO 300 IDIEM TABLAS'!$J$4:$L$40,2,FALSE),0),0)+IF(AND(J185&gt;=95,J185&lt;=450,G185=4),IF(AND(C185="IN",I185=120),VLOOKUP(W185,'CAFCO 300 IDIEM TABLAS'!$J$4:$L$40,3,FALSE),0),0))</f>
        <v>17</v>
      </c>
      <c r="U185" s="48">
        <f t="shared" si="20"/>
        <v>1.7338705359435174</v>
      </c>
      <c r="V185" s="82">
        <f t="shared" si="17"/>
        <v>26032.33222665597</v>
      </c>
      <c r="W185" s="64">
        <f>+IF(J185=LOOKUP(J185,'CAFCO 300 IDIEM TABLAS'!$J$4:$J$40),'HOJA DE CÁLCULO RESPALDO'!J185,MROUND('HOJA DE CÁLCULO RESPALDO'!J185,10))</f>
        <v>95</v>
      </c>
      <c r="X185" s="36"/>
      <c r="Y185" s="4"/>
    </row>
    <row r="186" spans="1:25" ht="15.6" customHeight="1" x14ac:dyDescent="0.25">
      <c r="A186" s="2" t="s">
        <v>42</v>
      </c>
      <c r="B186" s="3" t="s">
        <v>17</v>
      </c>
      <c r="C186" s="3" t="s">
        <v>19</v>
      </c>
      <c r="D186" s="3">
        <v>1</v>
      </c>
      <c r="E186" s="2">
        <v>1</v>
      </c>
      <c r="F186" s="8">
        <v>1500</v>
      </c>
      <c r="G186" s="1">
        <v>4</v>
      </c>
      <c r="H186" s="2">
        <v>776</v>
      </c>
      <c r="I186" s="34">
        <v>90</v>
      </c>
      <c r="J186" s="11">
        <v>95</v>
      </c>
      <c r="K186" s="44">
        <f t="shared" si="14"/>
        <v>1.1639999999999999</v>
      </c>
      <c r="L186" s="3" t="s">
        <v>61</v>
      </c>
      <c r="M186" s="3" t="s">
        <v>70</v>
      </c>
      <c r="N186" s="15">
        <f>ROUND((IF(L186="Blaze Shield II",IF(M186="Idiem software",IF(AND(C186="IN",G186=4),((('BLAZE SHIELD II'!$D$4*('HOJA DE CÁLCULO RESPALDO'!I186^2)+'BLAZE SHIELD II'!$D$5*'HOJA DE CÁLCULO RESPALDO'!I186+'BLAZE SHIELD II'!$D$6)*LN(J186))+('BLAZE SHIELD II'!$D$7*('HOJA DE CÁLCULO RESPALDO'!I186^2)+'BLAZE SHIELD II'!$D$8*'HOJA DE CÁLCULO RESPALDO'!I186+'BLAZE SHIELD II'!$D$9)),0),0),0))+(IF(L186="Blaze Shield II",IF(M186="Idiem software",IF(C186="Cj",((('BLAZE SHIELD II'!$H$4*('HOJA DE CÁLCULO RESPALDO'!I186^2)+'BLAZE SHIELD II'!$H$5*'HOJA DE CÁLCULO RESPALDO'!I186+'BLAZE SHIELD II'!$H$6)*LN(J186))+('BLAZE SHIELD II'!$H$7*('HOJA DE CÁLCULO RESPALDO'!I186^2)+'BLAZE SHIELD II'!$H$8*'HOJA DE CÁLCULO RESPALDO'!I186+'BLAZE SHIELD II'!$H$9)),0),0),0))+(IF(L186="Blaze Shield II",IF(M186="Idiem software",IF(C186="C",((('BLAZE SHIELD II'!$L$4*('HOJA DE CÁLCULO RESPALDO'!I186^2)+'BLAZE SHIELD II'!$L$5*'HOJA DE CÁLCULO RESPALDO'!I186+'BLAZE SHIELD II'!$L$6)*LN(J186))+('BLAZE SHIELD II'!$L$7*('HOJA DE CÁLCULO RESPALDO'!I186^2)+'BLAZE SHIELD II'!$L$8*'HOJA DE CÁLCULO RESPALDO'!I186+'BLAZE SHIELD II'!$L$9)),0),0),0))+(IF(L186="Blaze Shield II",IF(M186="Idiem software",IF(AND(C186="IN",G186=3),((('BLAZE SHIELD II'!$H$14*('HOJA DE CÁLCULO RESPALDO'!I186^2)+'BLAZE SHIELD II'!$H$15*'HOJA DE CÁLCULO RESPALDO'!I186+'BLAZE SHIELD II'!$H$16)*LN(J186))+('BLAZE SHIELD II'!$H$17*('HOJA DE CÁLCULO RESPALDO'!I186^2)+'BLAZE SHIELD II'!$H$18*'HOJA DE CÁLCULO RESPALDO'!I186+'BLAZE SHIELD II'!$H$19)),0),0),0)),0)</f>
        <v>0</v>
      </c>
      <c r="O186" s="46">
        <f t="shared" si="18"/>
        <v>0</v>
      </c>
      <c r="P186" s="80">
        <f t="shared" si="15"/>
        <v>0</v>
      </c>
      <c r="Q186" s="85">
        <f>ROUND((IF(L186="Cafco 400",IF(M186="Idiem software",IF(AND(C186="IN",G186=4),((('CAFCO 400 '!$H$7*(J186^4)+'CAFCO 400 '!$H$8*(J186^3)+'CAFCO 400 '!$H$9*(J186^2)+'CAFCO 400 '!$H$10*J186+'CAFCO 400 '!$H$11)*I186^2)+(('CAFCO 400 '!$H$12*(J186^3)+'CAFCO 400 '!$H$13*(J186^2)+'CAFCO 400 '!$H$14*J186+'CAFCO 400 '!$H$15)*I186)+('CAFCO 400 '!$H$16*(J186^2)+'CAFCO 400 '!$H$17*J186+'CAFCO 400 '!$H$18)),0),0),0))+(IF(L186="Cafco 400",IF(M186="Idiem software",IF(C186="Cj",(((('CAFCO 400 '!$D$7*LN(J186)+'CAFCO 400 '!$D$8)*I186^2)+(('CAFCO 400 '!$D$9*LN(J186)+'CAFCO 400 '!$D$10)*I186)+('CAFCO 400 '!$D$11*LN(J186)+'CAFCO 400 '!$D$12))),0),0),0))+(IF(L186="Cafco 400",IF(M186="Idiem software",IF(C186="C",((('CAFCO 400 '!$L$7*(J186^3)+'CAFCO 400 '!$L$8*(J186^2)+'CAFCO 400 '!$L$9*J186+'CAFCO 400 '!$L$10)*I186^2)+(('CAFCO 400 '!$L$11*(J186^3)+'CAFCO 400 '!$L$12*(J186^2)+'CAFCO 400 '!$L$13*J186+'CAFCO 400 '!$L$14)*I186)+('CAFCO 400 '!$L$15*LN(J186)+'CAFCO 400 '!$L$16)),0),0),0))+(IF(L186="Cafco 400",IF(M186="Idiem software",IF(AND(C186="IN",G186=3),((('CAFCO 400 '!$D$23*(J186^2)+'CAFCO 400 '!$D$24*(J186)+'CAFCO 400 '!$D$25)*I186^2)+(('CAFCO 400 '!$D$26*(J186^2)+'CAFCO 400 '!$D$27*J186+'CAFCO 400 '!$D$28)*I186)+('CAFCO 400 '!$D$29*(J186^2)+'CAFCO 400 '!$D$30*J186+'CAFCO 400 '!$D$31)),0),0),0)),0)</f>
        <v>0</v>
      </c>
      <c r="R186" s="47">
        <f t="shared" si="19"/>
        <v>0</v>
      </c>
      <c r="S186" s="82">
        <f t="shared" si="16"/>
        <v>0</v>
      </c>
      <c r="T186" s="81">
        <f>+IF(AND(J186&gt;=95,J186&lt;=240),IF(AND(C186="Cj",I186=90),VLOOKUP(W186,'CAFCO 300 IDIEM TABLAS'!$B$4:$D$23,2,FALSE),0)+IF(AND(J186&gt;=95,J186&lt;=240),IF(AND(C186="Cj",I186=120),VLOOKUP(W186,'CAFCO 300 IDIEM TABLAS'!$B$4:$D$23,3,FALSE),0))+IF(AND(J186&gt;=95,J186&lt;=400,G186=3),IF(AND(C186="IN",I186=90),VLOOKUP(W186,'CAFCO 300 IDIEM TABLAS'!$F$4:$H$35,2,FALSE),0),0)+IF(AND(J186&gt;=95,J186&lt;=400,G186=3),IF(AND(C186="IN",I186=120),VLOOKUP(W186,'CAFCO 300 IDIEM TABLAS'!$F$4:$H$35,3,FALSE),0),0)+IF(AND(J186&gt;=95,J186&lt;=450,G186=4),IF(AND(C186="IN",I186=90),VLOOKUP(W186,'CAFCO 300 IDIEM TABLAS'!$J$4:$L$40,2,FALSE),0),0)+IF(AND(J186&gt;=95,J186&lt;=450,G186=4),IF(AND(C186="IN",I186=120),VLOOKUP(W186,'CAFCO 300 IDIEM TABLAS'!$J$4:$L$40,3,FALSE),0),0))</f>
        <v>17</v>
      </c>
      <c r="U186" s="48">
        <f t="shared" si="20"/>
        <v>0.2730693196405648</v>
      </c>
      <c r="V186" s="82">
        <f t="shared" si="17"/>
        <v>4099.8627650834396</v>
      </c>
      <c r="W186" s="64">
        <f>+IF(J186=LOOKUP(J186,'CAFCO 300 IDIEM TABLAS'!$J$4:$J$40),'HOJA DE CÁLCULO RESPALDO'!J186,MROUND('HOJA DE CÁLCULO RESPALDO'!J186,10))</f>
        <v>95</v>
      </c>
      <c r="X186" s="36"/>
      <c r="Y186" s="4"/>
    </row>
    <row r="187" spans="1:25" x14ac:dyDescent="0.25">
      <c r="A187" s="2" t="s">
        <v>43</v>
      </c>
      <c r="B187" s="3" t="s">
        <v>17</v>
      </c>
      <c r="C187" s="3" t="s">
        <v>19</v>
      </c>
      <c r="D187" s="3">
        <v>1</v>
      </c>
      <c r="E187" s="2">
        <v>1</v>
      </c>
      <c r="F187" s="8">
        <v>11097</v>
      </c>
      <c r="G187" s="1">
        <v>4</v>
      </c>
      <c r="H187" s="2">
        <v>585</v>
      </c>
      <c r="I187" s="34">
        <v>90</v>
      </c>
      <c r="J187" s="11">
        <v>95</v>
      </c>
      <c r="K187" s="44">
        <f t="shared" si="14"/>
        <v>6.4917449999999999</v>
      </c>
      <c r="L187" s="3" t="s">
        <v>61</v>
      </c>
      <c r="M187" s="3" t="s">
        <v>70</v>
      </c>
      <c r="N187" s="15">
        <f>ROUND((IF(L187="Blaze Shield II",IF(M187="Idiem software",IF(AND(C187="IN",G187=4),((('BLAZE SHIELD II'!$D$4*('HOJA DE CÁLCULO RESPALDO'!I187^2)+'BLAZE SHIELD II'!$D$5*'HOJA DE CÁLCULO RESPALDO'!I187+'BLAZE SHIELD II'!$D$6)*LN(J187))+('BLAZE SHIELD II'!$D$7*('HOJA DE CÁLCULO RESPALDO'!I187^2)+'BLAZE SHIELD II'!$D$8*'HOJA DE CÁLCULO RESPALDO'!I187+'BLAZE SHIELD II'!$D$9)),0),0),0))+(IF(L187="Blaze Shield II",IF(M187="Idiem software",IF(C187="Cj",((('BLAZE SHIELD II'!$H$4*('HOJA DE CÁLCULO RESPALDO'!I187^2)+'BLAZE SHIELD II'!$H$5*'HOJA DE CÁLCULO RESPALDO'!I187+'BLAZE SHIELD II'!$H$6)*LN(J187))+('BLAZE SHIELD II'!$H$7*('HOJA DE CÁLCULO RESPALDO'!I187^2)+'BLAZE SHIELD II'!$H$8*'HOJA DE CÁLCULO RESPALDO'!I187+'BLAZE SHIELD II'!$H$9)),0),0),0))+(IF(L187="Blaze Shield II",IF(M187="Idiem software",IF(C187="C",((('BLAZE SHIELD II'!$L$4*('HOJA DE CÁLCULO RESPALDO'!I187^2)+'BLAZE SHIELD II'!$L$5*'HOJA DE CÁLCULO RESPALDO'!I187+'BLAZE SHIELD II'!$L$6)*LN(J187))+('BLAZE SHIELD II'!$L$7*('HOJA DE CÁLCULO RESPALDO'!I187^2)+'BLAZE SHIELD II'!$L$8*'HOJA DE CÁLCULO RESPALDO'!I187+'BLAZE SHIELD II'!$L$9)),0),0),0))+(IF(L187="Blaze Shield II",IF(M187="Idiem software",IF(AND(C187="IN",G187=3),((('BLAZE SHIELD II'!$H$14*('HOJA DE CÁLCULO RESPALDO'!I187^2)+'BLAZE SHIELD II'!$H$15*'HOJA DE CÁLCULO RESPALDO'!I187+'BLAZE SHIELD II'!$H$16)*LN(J187))+('BLAZE SHIELD II'!$H$17*('HOJA DE CÁLCULO RESPALDO'!I187^2)+'BLAZE SHIELD II'!$H$18*'HOJA DE CÁLCULO RESPALDO'!I187+'BLAZE SHIELD II'!$H$19)),0),0),0)),0)</f>
        <v>0</v>
      </c>
      <c r="O187" s="46">
        <f t="shared" si="18"/>
        <v>0</v>
      </c>
      <c r="P187" s="80">
        <f t="shared" si="15"/>
        <v>0</v>
      </c>
      <c r="Q187" s="85">
        <f>ROUND((IF(L187="Cafco 400",IF(M187="Idiem software",IF(AND(C187="IN",G187=4),((('CAFCO 400 '!$H$7*(J187^4)+'CAFCO 400 '!$H$8*(J187^3)+'CAFCO 400 '!$H$9*(J187^2)+'CAFCO 400 '!$H$10*J187+'CAFCO 400 '!$H$11)*I187^2)+(('CAFCO 400 '!$H$12*(J187^3)+'CAFCO 400 '!$H$13*(J187^2)+'CAFCO 400 '!$H$14*J187+'CAFCO 400 '!$H$15)*I187)+('CAFCO 400 '!$H$16*(J187^2)+'CAFCO 400 '!$H$17*J187+'CAFCO 400 '!$H$18)),0),0),0))+(IF(L187="Cafco 400",IF(M187="Idiem software",IF(C187="Cj",(((('CAFCO 400 '!$D$7*LN(J187)+'CAFCO 400 '!$D$8)*I187^2)+(('CAFCO 400 '!$D$9*LN(J187)+'CAFCO 400 '!$D$10)*I187)+('CAFCO 400 '!$D$11*LN(J187)+'CAFCO 400 '!$D$12))),0),0),0))+(IF(L187="Cafco 400",IF(M187="Idiem software",IF(C187="C",((('CAFCO 400 '!$L$7*(J187^3)+'CAFCO 400 '!$L$8*(J187^2)+'CAFCO 400 '!$L$9*J187+'CAFCO 400 '!$L$10)*I187^2)+(('CAFCO 400 '!$L$11*(J187^3)+'CAFCO 400 '!$L$12*(J187^2)+'CAFCO 400 '!$L$13*J187+'CAFCO 400 '!$L$14)*I187)+('CAFCO 400 '!$L$15*LN(J187)+'CAFCO 400 '!$L$16)),0),0),0))+(IF(L187="Cafco 400",IF(M187="Idiem software",IF(AND(C187="IN",G187=3),((('CAFCO 400 '!$D$23*(J187^2)+'CAFCO 400 '!$D$24*(J187)+'CAFCO 400 '!$D$25)*I187^2)+(('CAFCO 400 '!$D$26*(J187^2)+'CAFCO 400 '!$D$27*J187+'CAFCO 400 '!$D$28)*I187)+('CAFCO 400 '!$D$29*(J187^2)+'CAFCO 400 '!$D$30*J187+'CAFCO 400 '!$D$31)),0),0),0)),0)</f>
        <v>0</v>
      </c>
      <c r="R187" s="47">
        <f t="shared" si="19"/>
        <v>0</v>
      </c>
      <c r="S187" s="82">
        <f t="shared" si="16"/>
        <v>0</v>
      </c>
      <c r="T187" s="81">
        <f>+IF(AND(J187&gt;=95,J187&lt;=240),IF(AND(C187="Cj",I187=90),VLOOKUP(W187,'CAFCO 300 IDIEM TABLAS'!$B$4:$D$23,2,FALSE),0)+IF(AND(J187&gt;=95,J187&lt;=240),IF(AND(C187="Cj",I187=120),VLOOKUP(W187,'CAFCO 300 IDIEM TABLAS'!$B$4:$D$23,3,FALSE),0))+IF(AND(J187&gt;=95,J187&lt;=400,G187=3),IF(AND(C187="IN",I187=90),VLOOKUP(W187,'CAFCO 300 IDIEM TABLAS'!$F$4:$H$35,2,FALSE),0),0)+IF(AND(J187&gt;=95,J187&lt;=400,G187=3),IF(AND(C187="IN",I187=120),VLOOKUP(W187,'CAFCO 300 IDIEM TABLAS'!$F$4:$H$35,3,FALSE),0),0)+IF(AND(J187&gt;=95,J187&lt;=450,G187=4),IF(AND(C187="IN",I187=90),VLOOKUP(W187,'CAFCO 300 IDIEM TABLAS'!$J$4:$L$40,2,FALSE),0),0)+IF(AND(J187&gt;=95,J187&lt;=450,G187=4),IF(AND(C187="IN",I187=120),VLOOKUP(W187,'CAFCO 300 IDIEM TABLAS'!$J$4:$L$40,3,FALSE),0),0))</f>
        <v>17</v>
      </c>
      <c r="U187" s="48">
        <f t="shared" si="20"/>
        <v>1.5229350433247753</v>
      </c>
      <c r="V187" s="82">
        <f t="shared" si="17"/>
        <v>22865.346740478177</v>
      </c>
      <c r="W187" s="64">
        <f>+IF(J187=LOOKUP(J187,'CAFCO 300 IDIEM TABLAS'!$J$4:$J$40),'HOJA DE CÁLCULO RESPALDO'!J187,MROUND('HOJA DE CÁLCULO RESPALDO'!J187,10))</f>
        <v>95</v>
      </c>
      <c r="X187" s="36"/>
      <c r="Y187" s="4"/>
    </row>
    <row r="188" spans="1:25" ht="15.6" customHeight="1" x14ac:dyDescent="0.25">
      <c r="A188" s="2" t="s">
        <v>44</v>
      </c>
      <c r="B188" s="3" t="s">
        <v>17</v>
      </c>
      <c r="C188" s="3" t="s">
        <v>19</v>
      </c>
      <c r="D188" s="3">
        <v>1</v>
      </c>
      <c r="E188" s="2">
        <v>1</v>
      </c>
      <c r="F188" s="8">
        <v>1500</v>
      </c>
      <c r="G188" s="1">
        <v>4</v>
      </c>
      <c r="H188" s="2">
        <v>776</v>
      </c>
      <c r="I188" s="34">
        <v>90</v>
      </c>
      <c r="J188" s="11">
        <v>95</v>
      </c>
      <c r="K188" s="44">
        <f t="shared" si="14"/>
        <v>1.1639999999999999</v>
      </c>
      <c r="L188" s="3" t="s">
        <v>61</v>
      </c>
      <c r="M188" s="3" t="s">
        <v>70</v>
      </c>
      <c r="N188" s="15">
        <f>ROUND((IF(L188="Blaze Shield II",IF(M188="Idiem software",IF(AND(C188="IN",G188=4),((('BLAZE SHIELD II'!$D$4*('HOJA DE CÁLCULO RESPALDO'!I188^2)+'BLAZE SHIELD II'!$D$5*'HOJA DE CÁLCULO RESPALDO'!I188+'BLAZE SHIELD II'!$D$6)*LN(J188))+('BLAZE SHIELD II'!$D$7*('HOJA DE CÁLCULO RESPALDO'!I188^2)+'BLAZE SHIELD II'!$D$8*'HOJA DE CÁLCULO RESPALDO'!I188+'BLAZE SHIELD II'!$D$9)),0),0),0))+(IF(L188="Blaze Shield II",IF(M188="Idiem software",IF(C188="Cj",((('BLAZE SHIELD II'!$H$4*('HOJA DE CÁLCULO RESPALDO'!I188^2)+'BLAZE SHIELD II'!$H$5*'HOJA DE CÁLCULO RESPALDO'!I188+'BLAZE SHIELD II'!$H$6)*LN(J188))+('BLAZE SHIELD II'!$H$7*('HOJA DE CÁLCULO RESPALDO'!I188^2)+'BLAZE SHIELD II'!$H$8*'HOJA DE CÁLCULO RESPALDO'!I188+'BLAZE SHIELD II'!$H$9)),0),0),0))+(IF(L188="Blaze Shield II",IF(M188="Idiem software",IF(C188="C",((('BLAZE SHIELD II'!$L$4*('HOJA DE CÁLCULO RESPALDO'!I188^2)+'BLAZE SHIELD II'!$L$5*'HOJA DE CÁLCULO RESPALDO'!I188+'BLAZE SHIELD II'!$L$6)*LN(J188))+('BLAZE SHIELD II'!$L$7*('HOJA DE CÁLCULO RESPALDO'!I188^2)+'BLAZE SHIELD II'!$L$8*'HOJA DE CÁLCULO RESPALDO'!I188+'BLAZE SHIELD II'!$L$9)),0),0),0))+(IF(L188="Blaze Shield II",IF(M188="Idiem software",IF(AND(C188="IN",G188=3),((('BLAZE SHIELD II'!$H$14*('HOJA DE CÁLCULO RESPALDO'!I188^2)+'BLAZE SHIELD II'!$H$15*'HOJA DE CÁLCULO RESPALDO'!I188+'BLAZE SHIELD II'!$H$16)*LN(J188))+('BLAZE SHIELD II'!$H$17*('HOJA DE CÁLCULO RESPALDO'!I188^2)+'BLAZE SHIELD II'!$H$18*'HOJA DE CÁLCULO RESPALDO'!I188+'BLAZE SHIELD II'!$H$19)),0),0),0)),0)</f>
        <v>0</v>
      </c>
      <c r="O188" s="46">
        <f t="shared" si="18"/>
        <v>0</v>
      </c>
      <c r="P188" s="80">
        <f t="shared" si="15"/>
        <v>0</v>
      </c>
      <c r="Q188" s="85">
        <f>ROUND((IF(L188="Cafco 400",IF(M188="Idiem software",IF(AND(C188="IN",G188=4),((('CAFCO 400 '!$H$7*(J188^4)+'CAFCO 400 '!$H$8*(J188^3)+'CAFCO 400 '!$H$9*(J188^2)+'CAFCO 400 '!$H$10*J188+'CAFCO 400 '!$H$11)*I188^2)+(('CAFCO 400 '!$H$12*(J188^3)+'CAFCO 400 '!$H$13*(J188^2)+'CAFCO 400 '!$H$14*J188+'CAFCO 400 '!$H$15)*I188)+('CAFCO 400 '!$H$16*(J188^2)+'CAFCO 400 '!$H$17*J188+'CAFCO 400 '!$H$18)),0),0),0))+(IF(L188="Cafco 400",IF(M188="Idiem software",IF(C188="Cj",(((('CAFCO 400 '!$D$7*LN(J188)+'CAFCO 400 '!$D$8)*I188^2)+(('CAFCO 400 '!$D$9*LN(J188)+'CAFCO 400 '!$D$10)*I188)+('CAFCO 400 '!$D$11*LN(J188)+'CAFCO 400 '!$D$12))),0),0),0))+(IF(L188="Cafco 400",IF(M188="Idiem software",IF(C188="C",((('CAFCO 400 '!$L$7*(J188^3)+'CAFCO 400 '!$L$8*(J188^2)+'CAFCO 400 '!$L$9*J188+'CAFCO 400 '!$L$10)*I188^2)+(('CAFCO 400 '!$L$11*(J188^3)+'CAFCO 400 '!$L$12*(J188^2)+'CAFCO 400 '!$L$13*J188+'CAFCO 400 '!$L$14)*I188)+('CAFCO 400 '!$L$15*LN(J188)+'CAFCO 400 '!$L$16)),0),0),0))+(IF(L188="Cafco 400",IF(M188="Idiem software",IF(AND(C188="IN",G188=3),((('CAFCO 400 '!$D$23*(J188^2)+'CAFCO 400 '!$D$24*(J188)+'CAFCO 400 '!$D$25)*I188^2)+(('CAFCO 400 '!$D$26*(J188^2)+'CAFCO 400 '!$D$27*J188+'CAFCO 400 '!$D$28)*I188)+('CAFCO 400 '!$D$29*(J188^2)+'CAFCO 400 '!$D$30*J188+'CAFCO 400 '!$D$31)),0),0),0)),0)</f>
        <v>0</v>
      </c>
      <c r="R188" s="47">
        <f t="shared" si="19"/>
        <v>0</v>
      </c>
      <c r="S188" s="82">
        <f t="shared" si="16"/>
        <v>0</v>
      </c>
      <c r="T188" s="81">
        <f>+IF(AND(J188&gt;=95,J188&lt;=240),IF(AND(C188="Cj",I188=90),VLOOKUP(W188,'CAFCO 300 IDIEM TABLAS'!$B$4:$D$23,2,FALSE),0)+IF(AND(J188&gt;=95,J188&lt;=240),IF(AND(C188="Cj",I188=120),VLOOKUP(W188,'CAFCO 300 IDIEM TABLAS'!$B$4:$D$23,3,FALSE),0))+IF(AND(J188&gt;=95,J188&lt;=400,G188=3),IF(AND(C188="IN",I188=90),VLOOKUP(W188,'CAFCO 300 IDIEM TABLAS'!$F$4:$H$35,2,FALSE),0),0)+IF(AND(J188&gt;=95,J188&lt;=400,G188=3),IF(AND(C188="IN",I188=120),VLOOKUP(W188,'CAFCO 300 IDIEM TABLAS'!$F$4:$H$35,3,FALSE),0),0)+IF(AND(J188&gt;=95,J188&lt;=450,G188=4),IF(AND(C188="IN",I188=90),VLOOKUP(W188,'CAFCO 300 IDIEM TABLAS'!$J$4:$L$40,2,FALSE),0),0)+IF(AND(J188&gt;=95,J188&lt;=450,G188=4),IF(AND(C188="IN",I188=120),VLOOKUP(W188,'CAFCO 300 IDIEM TABLAS'!$J$4:$L$40,3,FALSE),0),0))</f>
        <v>17</v>
      </c>
      <c r="U188" s="48">
        <f t="shared" si="20"/>
        <v>0.2730693196405648</v>
      </c>
      <c r="V188" s="82">
        <f t="shared" si="17"/>
        <v>4099.8627650834396</v>
      </c>
      <c r="W188" s="64">
        <f>+IF(J188=LOOKUP(J188,'CAFCO 300 IDIEM TABLAS'!$J$4:$J$40),'HOJA DE CÁLCULO RESPALDO'!J188,MROUND('HOJA DE CÁLCULO RESPALDO'!J188,10))</f>
        <v>95</v>
      </c>
      <c r="X188" s="36"/>
      <c r="Y188" s="4"/>
    </row>
    <row r="189" spans="1:25" x14ac:dyDescent="0.25">
      <c r="A189" s="2" t="s">
        <v>44</v>
      </c>
      <c r="B189" s="3" t="s">
        <v>17</v>
      </c>
      <c r="C189" s="3" t="s">
        <v>19</v>
      </c>
      <c r="D189" s="3">
        <v>1</v>
      </c>
      <c r="E189" s="2">
        <v>1</v>
      </c>
      <c r="F189" s="8">
        <v>1500</v>
      </c>
      <c r="G189" s="1">
        <v>4</v>
      </c>
      <c r="H189" s="2">
        <v>3879</v>
      </c>
      <c r="I189" s="34">
        <v>90</v>
      </c>
      <c r="J189" s="11">
        <v>95</v>
      </c>
      <c r="K189" s="44">
        <f t="shared" si="14"/>
        <v>5.8185000000000002</v>
      </c>
      <c r="L189" s="3" t="s">
        <v>61</v>
      </c>
      <c r="M189" s="3" t="s">
        <v>70</v>
      </c>
      <c r="N189" s="15">
        <f>ROUND((IF(L189="Blaze Shield II",IF(M189="Idiem software",IF(AND(C189="IN",G189=4),((('BLAZE SHIELD II'!$D$4*('HOJA DE CÁLCULO RESPALDO'!I189^2)+'BLAZE SHIELD II'!$D$5*'HOJA DE CÁLCULO RESPALDO'!I189+'BLAZE SHIELD II'!$D$6)*LN(J189))+('BLAZE SHIELD II'!$D$7*('HOJA DE CÁLCULO RESPALDO'!I189^2)+'BLAZE SHIELD II'!$D$8*'HOJA DE CÁLCULO RESPALDO'!I189+'BLAZE SHIELD II'!$D$9)),0),0),0))+(IF(L189="Blaze Shield II",IF(M189="Idiem software",IF(C189="Cj",((('BLAZE SHIELD II'!$H$4*('HOJA DE CÁLCULO RESPALDO'!I189^2)+'BLAZE SHIELD II'!$H$5*'HOJA DE CÁLCULO RESPALDO'!I189+'BLAZE SHIELD II'!$H$6)*LN(J189))+('BLAZE SHIELD II'!$H$7*('HOJA DE CÁLCULO RESPALDO'!I189^2)+'BLAZE SHIELD II'!$H$8*'HOJA DE CÁLCULO RESPALDO'!I189+'BLAZE SHIELD II'!$H$9)),0),0),0))+(IF(L189="Blaze Shield II",IF(M189="Idiem software",IF(C189="C",((('BLAZE SHIELD II'!$L$4*('HOJA DE CÁLCULO RESPALDO'!I189^2)+'BLAZE SHIELD II'!$L$5*'HOJA DE CÁLCULO RESPALDO'!I189+'BLAZE SHIELD II'!$L$6)*LN(J189))+('BLAZE SHIELD II'!$L$7*('HOJA DE CÁLCULO RESPALDO'!I189^2)+'BLAZE SHIELD II'!$L$8*'HOJA DE CÁLCULO RESPALDO'!I189+'BLAZE SHIELD II'!$L$9)),0),0),0))+(IF(L189="Blaze Shield II",IF(M189="Idiem software",IF(AND(C189="IN",G189=3),((('BLAZE SHIELD II'!$H$14*('HOJA DE CÁLCULO RESPALDO'!I189^2)+'BLAZE SHIELD II'!$H$15*'HOJA DE CÁLCULO RESPALDO'!I189+'BLAZE SHIELD II'!$H$16)*LN(J189))+('BLAZE SHIELD II'!$H$17*('HOJA DE CÁLCULO RESPALDO'!I189^2)+'BLAZE SHIELD II'!$H$18*'HOJA DE CÁLCULO RESPALDO'!I189+'BLAZE SHIELD II'!$H$19)),0),0),0)),0)</f>
        <v>0</v>
      </c>
      <c r="O189" s="46">
        <f t="shared" si="18"/>
        <v>0</v>
      </c>
      <c r="P189" s="80">
        <f t="shared" si="15"/>
        <v>0</v>
      </c>
      <c r="Q189" s="85">
        <f>ROUND((IF(L189="Cafco 400",IF(M189="Idiem software",IF(AND(C189="IN",G189=4),((('CAFCO 400 '!$H$7*(J189^4)+'CAFCO 400 '!$H$8*(J189^3)+'CAFCO 400 '!$H$9*(J189^2)+'CAFCO 400 '!$H$10*J189+'CAFCO 400 '!$H$11)*I189^2)+(('CAFCO 400 '!$H$12*(J189^3)+'CAFCO 400 '!$H$13*(J189^2)+'CAFCO 400 '!$H$14*J189+'CAFCO 400 '!$H$15)*I189)+('CAFCO 400 '!$H$16*(J189^2)+'CAFCO 400 '!$H$17*J189+'CAFCO 400 '!$H$18)),0),0),0))+(IF(L189="Cafco 400",IF(M189="Idiem software",IF(C189="Cj",(((('CAFCO 400 '!$D$7*LN(J189)+'CAFCO 400 '!$D$8)*I189^2)+(('CAFCO 400 '!$D$9*LN(J189)+'CAFCO 400 '!$D$10)*I189)+('CAFCO 400 '!$D$11*LN(J189)+'CAFCO 400 '!$D$12))),0),0),0))+(IF(L189="Cafco 400",IF(M189="Idiem software",IF(C189="C",((('CAFCO 400 '!$L$7*(J189^3)+'CAFCO 400 '!$L$8*(J189^2)+'CAFCO 400 '!$L$9*J189+'CAFCO 400 '!$L$10)*I189^2)+(('CAFCO 400 '!$L$11*(J189^3)+'CAFCO 400 '!$L$12*(J189^2)+'CAFCO 400 '!$L$13*J189+'CAFCO 400 '!$L$14)*I189)+('CAFCO 400 '!$L$15*LN(J189)+'CAFCO 400 '!$L$16)),0),0),0))+(IF(L189="Cafco 400",IF(M189="Idiem software",IF(AND(C189="IN",G189=3),((('CAFCO 400 '!$D$23*(J189^2)+'CAFCO 400 '!$D$24*(J189)+'CAFCO 400 '!$D$25)*I189^2)+(('CAFCO 400 '!$D$26*(J189^2)+'CAFCO 400 '!$D$27*J189+'CAFCO 400 '!$D$28)*I189)+('CAFCO 400 '!$D$29*(J189^2)+'CAFCO 400 '!$D$30*J189+'CAFCO 400 '!$D$31)),0),0),0)),0)</f>
        <v>0</v>
      </c>
      <c r="R189" s="47">
        <f t="shared" si="19"/>
        <v>0</v>
      </c>
      <c r="S189" s="82">
        <f t="shared" si="16"/>
        <v>0</v>
      </c>
      <c r="T189" s="81">
        <f>+IF(AND(J189&gt;=95,J189&lt;=240),IF(AND(C189="Cj",I189=90),VLOOKUP(W189,'CAFCO 300 IDIEM TABLAS'!$B$4:$D$23,2,FALSE),0)+IF(AND(J189&gt;=95,J189&lt;=240),IF(AND(C189="Cj",I189=120),VLOOKUP(W189,'CAFCO 300 IDIEM TABLAS'!$B$4:$D$23,3,FALSE),0))+IF(AND(J189&gt;=95,J189&lt;=400,G189=3),IF(AND(C189="IN",I189=90),VLOOKUP(W189,'CAFCO 300 IDIEM TABLAS'!$F$4:$H$35,2,FALSE),0),0)+IF(AND(J189&gt;=95,J189&lt;=400,G189=3),IF(AND(C189="IN",I189=120),VLOOKUP(W189,'CAFCO 300 IDIEM TABLAS'!$F$4:$H$35,3,FALSE),0),0)+IF(AND(J189&gt;=95,J189&lt;=450,G189=4),IF(AND(C189="IN",I189=90),VLOOKUP(W189,'CAFCO 300 IDIEM TABLAS'!$J$4:$L$40,2,FALSE),0),0)+IF(AND(J189&gt;=95,J189&lt;=450,G189=4),IF(AND(C189="IN",I189=120),VLOOKUP(W189,'CAFCO 300 IDIEM TABLAS'!$J$4:$L$40,3,FALSE),0),0))</f>
        <v>17</v>
      </c>
      <c r="U189" s="48">
        <f t="shared" si="20"/>
        <v>1.3649947047496791</v>
      </c>
      <c r="V189" s="82">
        <f t="shared" si="17"/>
        <v>20494.030497111682</v>
      </c>
      <c r="W189" s="64">
        <f>+IF(J189=LOOKUP(J189,'CAFCO 300 IDIEM TABLAS'!$J$4:$J$40),'HOJA DE CÁLCULO RESPALDO'!J189,MROUND('HOJA DE CÁLCULO RESPALDO'!J189,10))</f>
        <v>95</v>
      </c>
      <c r="X189" s="36"/>
      <c r="Y189" s="4"/>
    </row>
    <row r="190" spans="1:25" ht="15.6" customHeight="1" x14ac:dyDescent="0.25">
      <c r="A190" s="2" t="s">
        <v>41</v>
      </c>
      <c r="B190" s="3" t="s">
        <v>17</v>
      </c>
      <c r="C190" s="3" t="s">
        <v>19</v>
      </c>
      <c r="D190" s="3">
        <v>1</v>
      </c>
      <c r="E190" s="2">
        <v>2</v>
      </c>
      <c r="F190" s="8">
        <v>26385</v>
      </c>
      <c r="G190" s="1">
        <v>4</v>
      </c>
      <c r="H190" s="2">
        <v>2784</v>
      </c>
      <c r="I190" s="34">
        <v>90</v>
      </c>
      <c r="J190" s="11">
        <v>95</v>
      </c>
      <c r="K190" s="44">
        <f t="shared" si="14"/>
        <v>146.91167999999999</v>
      </c>
      <c r="L190" s="3" t="s">
        <v>61</v>
      </c>
      <c r="M190" s="3" t="s">
        <v>70</v>
      </c>
      <c r="N190" s="15">
        <f>ROUND((IF(L190="Blaze Shield II",IF(M190="Idiem software",IF(AND(C190="IN",G190=4),((('BLAZE SHIELD II'!$D$4*('HOJA DE CÁLCULO RESPALDO'!I190^2)+'BLAZE SHIELD II'!$D$5*'HOJA DE CÁLCULO RESPALDO'!I190+'BLAZE SHIELD II'!$D$6)*LN(J190))+('BLAZE SHIELD II'!$D$7*('HOJA DE CÁLCULO RESPALDO'!I190^2)+'BLAZE SHIELD II'!$D$8*'HOJA DE CÁLCULO RESPALDO'!I190+'BLAZE SHIELD II'!$D$9)),0),0),0))+(IF(L190="Blaze Shield II",IF(M190="Idiem software",IF(C190="Cj",((('BLAZE SHIELD II'!$H$4*('HOJA DE CÁLCULO RESPALDO'!I190^2)+'BLAZE SHIELD II'!$H$5*'HOJA DE CÁLCULO RESPALDO'!I190+'BLAZE SHIELD II'!$H$6)*LN(J190))+('BLAZE SHIELD II'!$H$7*('HOJA DE CÁLCULO RESPALDO'!I190^2)+'BLAZE SHIELD II'!$H$8*'HOJA DE CÁLCULO RESPALDO'!I190+'BLAZE SHIELD II'!$H$9)),0),0),0))+(IF(L190="Blaze Shield II",IF(M190="Idiem software",IF(C190="C",((('BLAZE SHIELD II'!$L$4*('HOJA DE CÁLCULO RESPALDO'!I190^2)+'BLAZE SHIELD II'!$L$5*'HOJA DE CÁLCULO RESPALDO'!I190+'BLAZE SHIELD II'!$L$6)*LN(J190))+('BLAZE SHIELD II'!$L$7*('HOJA DE CÁLCULO RESPALDO'!I190^2)+'BLAZE SHIELD II'!$L$8*'HOJA DE CÁLCULO RESPALDO'!I190+'BLAZE SHIELD II'!$L$9)),0),0),0))+(IF(L190="Blaze Shield II",IF(M190="Idiem software",IF(AND(C190="IN",G190=3),((('BLAZE SHIELD II'!$H$14*('HOJA DE CÁLCULO RESPALDO'!I190^2)+'BLAZE SHIELD II'!$H$15*'HOJA DE CÁLCULO RESPALDO'!I190+'BLAZE SHIELD II'!$H$16)*LN(J190))+('BLAZE SHIELD II'!$H$17*('HOJA DE CÁLCULO RESPALDO'!I190^2)+'BLAZE SHIELD II'!$H$18*'HOJA DE CÁLCULO RESPALDO'!I190+'BLAZE SHIELD II'!$H$19)),0),0),0)),0)</f>
        <v>0</v>
      </c>
      <c r="O190" s="46">
        <f t="shared" si="18"/>
        <v>0</v>
      </c>
      <c r="P190" s="80">
        <f t="shared" si="15"/>
        <v>0</v>
      </c>
      <c r="Q190" s="85">
        <f>ROUND((IF(L190="Cafco 400",IF(M190="Idiem software",IF(AND(C190="IN",G190=4),((('CAFCO 400 '!$H$7*(J190^4)+'CAFCO 400 '!$H$8*(J190^3)+'CAFCO 400 '!$H$9*(J190^2)+'CAFCO 400 '!$H$10*J190+'CAFCO 400 '!$H$11)*I190^2)+(('CAFCO 400 '!$H$12*(J190^3)+'CAFCO 400 '!$H$13*(J190^2)+'CAFCO 400 '!$H$14*J190+'CAFCO 400 '!$H$15)*I190)+('CAFCO 400 '!$H$16*(J190^2)+'CAFCO 400 '!$H$17*J190+'CAFCO 400 '!$H$18)),0),0),0))+(IF(L190="Cafco 400",IF(M190="Idiem software",IF(C190="Cj",(((('CAFCO 400 '!$D$7*LN(J190)+'CAFCO 400 '!$D$8)*I190^2)+(('CAFCO 400 '!$D$9*LN(J190)+'CAFCO 400 '!$D$10)*I190)+('CAFCO 400 '!$D$11*LN(J190)+'CAFCO 400 '!$D$12))),0),0),0))+(IF(L190="Cafco 400",IF(M190="Idiem software",IF(C190="C",((('CAFCO 400 '!$L$7*(J190^3)+'CAFCO 400 '!$L$8*(J190^2)+'CAFCO 400 '!$L$9*J190+'CAFCO 400 '!$L$10)*I190^2)+(('CAFCO 400 '!$L$11*(J190^3)+'CAFCO 400 '!$L$12*(J190^2)+'CAFCO 400 '!$L$13*J190+'CAFCO 400 '!$L$14)*I190)+('CAFCO 400 '!$L$15*LN(J190)+'CAFCO 400 '!$L$16)),0),0),0))+(IF(L190="Cafco 400",IF(M190="Idiem software",IF(AND(C190="IN",G190=3),((('CAFCO 400 '!$D$23*(J190^2)+'CAFCO 400 '!$D$24*(J190)+'CAFCO 400 '!$D$25)*I190^2)+(('CAFCO 400 '!$D$26*(J190^2)+'CAFCO 400 '!$D$27*J190+'CAFCO 400 '!$D$28)*I190)+('CAFCO 400 '!$D$29*(J190^2)+'CAFCO 400 '!$D$30*J190+'CAFCO 400 '!$D$31)),0),0),0)),0)</f>
        <v>0</v>
      </c>
      <c r="R190" s="47">
        <f t="shared" si="19"/>
        <v>0</v>
      </c>
      <c r="S190" s="82">
        <f t="shared" si="16"/>
        <v>0</v>
      </c>
      <c r="T190" s="81">
        <f>+IF(AND(J190&gt;=95,J190&lt;=240),IF(AND(C190="Cj",I190=90),VLOOKUP(W190,'CAFCO 300 IDIEM TABLAS'!$B$4:$D$23,2,FALSE),0)+IF(AND(J190&gt;=95,J190&lt;=240),IF(AND(C190="Cj",I190=120),VLOOKUP(W190,'CAFCO 300 IDIEM TABLAS'!$B$4:$D$23,3,FALSE),0))+IF(AND(J190&gt;=95,J190&lt;=400,G190=3),IF(AND(C190="IN",I190=90),VLOOKUP(W190,'CAFCO 300 IDIEM TABLAS'!$F$4:$H$35,2,FALSE),0),0)+IF(AND(J190&gt;=95,J190&lt;=400,G190=3),IF(AND(C190="IN",I190=120),VLOOKUP(W190,'CAFCO 300 IDIEM TABLAS'!$F$4:$H$35,3,FALSE),0),0)+IF(AND(J190&gt;=95,J190&lt;=450,G190=4),IF(AND(C190="IN",I190=90),VLOOKUP(W190,'CAFCO 300 IDIEM TABLAS'!$J$4:$L$40,2,FALSE),0),0)+IF(AND(J190&gt;=95,J190&lt;=450,G190=4),IF(AND(C190="IN",I190=120),VLOOKUP(W190,'CAFCO 300 IDIEM TABLAS'!$J$4:$L$40,3,FALSE),0),0))</f>
        <v>17</v>
      </c>
      <c r="U190" s="48">
        <f t="shared" si="20"/>
        <v>34.464838921694479</v>
      </c>
      <c r="V190" s="82">
        <f t="shared" si="17"/>
        <v>517455.09157032089</v>
      </c>
      <c r="W190" s="64">
        <f>+IF(J190=LOOKUP(J190,'CAFCO 300 IDIEM TABLAS'!$J$4:$J$40),'HOJA DE CÁLCULO RESPALDO'!J190,MROUND('HOJA DE CÁLCULO RESPALDO'!J190,10))</f>
        <v>95</v>
      </c>
      <c r="X190" s="36"/>
      <c r="Y190" s="4"/>
    </row>
    <row r="191" spans="1:25" x14ac:dyDescent="0.25">
      <c r="A191" s="2" t="s">
        <v>42</v>
      </c>
      <c r="B191" s="3" t="s">
        <v>17</v>
      </c>
      <c r="C191" s="3" t="s">
        <v>19</v>
      </c>
      <c r="D191" s="3">
        <v>1</v>
      </c>
      <c r="E191" s="2">
        <v>1</v>
      </c>
      <c r="F191" s="8">
        <v>91778</v>
      </c>
      <c r="G191" s="1">
        <v>4</v>
      </c>
      <c r="H191" s="2">
        <v>1781</v>
      </c>
      <c r="I191" s="34">
        <v>90</v>
      </c>
      <c r="J191" s="11">
        <v>95</v>
      </c>
      <c r="K191" s="44">
        <f t="shared" si="14"/>
        <v>163.45661799999999</v>
      </c>
      <c r="L191" s="3" t="s">
        <v>61</v>
      </c>
      <c r="M191" s="3" t="s">
        <v>70</v>
      </c>
      <c r="N191" s="15">
        <f>ROUND((IF(L191="Blaze Shield II",IF(M191="Idiem software",IF(AND(C191="IN",G191=4),((('BLAZE SHIELD II'!$D$4*('HOJA DE CÁLCULO RESPALDO'!I191^2)+'BLAZE SHIELD II'!$D$5*'HOJA DE CÁLCULO RESPALDO'!I191+'BLAZE SHIELD II'!$D$6)*LN(J191))+('BLAZE SHIELD II'!$D$7*('HOJA DE CÁLCULO RESPALDO'!I191^2)+'BLAZE SHIELD II'!$D$8*'HOJA DE CÁLCULO RESPALDO'!I191+'BLAZE SHIELD II'!$D$9)),0),0),0))+(IF(L191="Blaze Shield II",IF(M191="Idiem software",IF(C191="Cj",((('BLAZE SHIELD II'!$H$4*('HOJA DE CÁLCULO RESPALDO'!I191^2)+'BLAZE SHIELD II'!$H$5*'HOJA DE CÁLCULO RESPALDO'!I191+'BLAZE SHIELD II'!$H$6)*LN(J191))+('BLAZE SHIELD II'!$H$7*('HOJA DE CÁLCULO RESPALDO'!I191^2)+'BLAZE SHIELD II'!$H$8*'HOJA DE CÁLCULO RESPALDO'!I191+'BLAZE SHIELD II'!$H$9)),0),0),0))+(IF(L191="Blaze Shield II",IF(M191="Idiem software",IF(C191="C",((('BLAZE SHIELD II'!$L$4*('HOJA DE CÁLCULO RESPALDO'!I191^2)+'BLAZE SHIELD II'!$L$5*'HOJA DE CÁLCULO RESPALDO'!I191+'BLAZE SHIELD II'!$L$6)*LN(J191))+('BLAZE SHIELD II'!$L$7*('HOJA DE CÁLCULO RESPALDO'!I191^2)+'BLAZE SHIELD II'!$L$8*'HOJA DE CÁLCULO RESPALDO'!I191+'BLAZE SHIELD II'!$L$9)),0),0),0))+(IF(L191="Blaze Shield II",IF(M191="Idiem software",IF(AND(C191="IN",G191=3),((('BLAZE SHIELD II'!$H$14*('HOJA DE CÁLCULO RESPALDO'!I191^2)+'BLAZE SHIELD II'!$H$15*'HOJA DE CÁLCULO RESPALDO'!I191+'BLAZE SHIELD II'!$H$16)*LN(J191))+('BLAZE SHIELD II'!$H$17*('HOJA DE CÁLCULO RESPALDO'!I191^2)+'BLAZE SHIELD II'!$H$18*'HOJA DE CÁLCULO RESPALDO'!I191+'BLAZE SHIELD II'!$H$19)),0),0),0)),0)</f>
        <v>0</v>
      </c>
      <c r="O191" s="46">
        <f t="shared" si="18"/>
        <v>0</v>
      </c>
      <c r="P191" s="80">
        <f t="shared" si="15"/>
        <v>0</v>
      </c>
      <c r="Q191" s="85">
        <f>ROUND((IF(L191="Cafco 400",IF(M191="Idiem software",IF(AND(C191="IN",G191=4),((('CAFCO 400 '!$H$7*(J191^4)+'CAFCO 400 '!$H$8*(J191^3)+'CAFCO 400 '!$H$9*(J191^2)+'CAFCO 400 '!$H$10*J191+'CAFCO 400 '!$H$11)*I191^2)+(('CAFCO 400 '!$H$12*(J191^3)+'CAFCO 400 '!$H$13*(J191^2)+'CAFCO 400 '!$H$14*J191+'CAFCO 400 '!$H$15)*I191)+('CAFCO 400 '!$H$16*(J191^2)+'CAFCO 400 '!$H$17*J191+'CAFCO 400 '!$H$18)),0),0),0))+(IF(L191="Cafco 400",IF(M191="Idiem software",IF(C191="Cj",(((('CAFCO 400 '!$D$7*LN(J191)+'CAFCO 400 '!$D$8)*I191^2)+(('CAFCO 400 '!$D$9*LN(J191)+'CAFCO 400 '!$D$10)*I191)+('CAFCO 400 '!$D$11*LN(J191)+'CAFCO 400 '!$D$12))),0),0),0))+(IF(L191="Cafco 400",IF(M191="Idiem software",IF(C191="C",((('CAFCO 400 '!$L$7*(J191^3)+'CAFCO 400 '!$L$8*(J191^2)+'CAFCO 400 '!$L$9*J191+'CAFCO 400 '!$L$10)*I191^2)+(('CAFCO 400 '!$L$11*(J191^3)+'CAFCO 400 '!$L$12*(J191^2)+'CAFCO 400 '!$L$13*J191+'CAFCO 400 '!$L$14)*I191)+('CAFCO 400 '!$L$15*LN(J191)+'CAFCO 400 '!$L$16)),0),0),0))+(IF(L191="Cafco 400",IF(M191="Idiem software",IF(AND(C191="IN",G191=3),((('CAFCO 400 '!$D$23*(J191^2)+'CAFCO 400 '!$D$24*(J191)+'CAFCO 400 '!$D$25)*I191^2)+(('CAFCO 400 '!$D$26*(J191^2)+'CAFCO 400 '!$D$27*J191+'CAFCO 400 '!$D$28)*I191)+('CAFCO 400 '!$D$29*(J191^2)+'CAFCO 400 '!$D$30*J191+'CAFCO 400 '!$D$31)),0),0),0)),0)</f>
        <v>0</v>
      </c>
      <c r="R191" s="47">
        <f t="shared" si="19"/>
        <v>0</v>
      </c>
      <c r="S191" s="82">
        <f t="shared" si="16"/>
        <v>0</v>
      </c>
      <c r="T191" s="81">
        <f>+IF(AND(J191&gt;=95,J191&lt;=240),IF(AND(C191="Cj",I191=90),VLOOKUP(W191,'CAFCO 300 IDIEM TABLAS'!$B$4:$D$23,2,FALSE),0)+IF(AND(J191&gt;=95,J191&lt;=240),IF(AND(C191="Cj",I191=120),VLOOKUP(W191,'CAFCO 300 IDIEM TABLAS'!$B$4:$D$23,3,FALSE),0))+IF(AND(J191&gt;=95,J191&lt;=400,G191=3),IF(AND(C191="IN",I191=90),VLOOKUP(W191,'CAFCO 300 IDIEM TABLAS'!$F$4:$H$35,2,FALSE),0),0)+IF(AND(J191&gt;=95,J191&lt;=400,G191=3),IF(AND(C191="IN",I191=120),VLOOKUP(W191,'CAFCO 300 IDIEM TABLAS'!$F$4:$H$35,3,FALSE),0),0)+IF(AND(J191&gt;=95,J191&lt;=450,G191=4),IF(AND(C191="IN",I191=90),VLOOKUP(W191,'CAFCO 300 IDIEM TABLAS'!$J$4:$L$40,2,FALSE),0),0)+IF(AND(J191&gt;=95,J191&lt;=450,G191=4),IF(AND(C191="IN",I191=120),VLOOKUP(W191,'CAFCO 300 IDIEM TABLAS'!$J$4:$L$40,3,FALSE),0),0))</f>
        <v>17</v>
      </c>
      <c r="U191" s="48">
        <f t="shared" si="20"/>
        <v>38.34620916495507</v>
      </c>
      <c r="V191" s="82">
        <f t="shared" si="17"/>
        <v>575729.98440263537</v>
      </c>
      <c r="W191" s="64">
        <f>+IF(J191=LOOKUP(J191,'CAFCO 300 IDIEM TABLAS'!$J$4:$J$40),'HOJA DE CÁLCULO RESPALDO'!J191,MROUND('HOJA DE CÁLCULO RESPALDO'!J191,10))</f>
        <v>95</v>
      </c>
      <c r="X191" s="36"/>
      <c r="Y191" s="4"/>
    </row>
    <row r="192" spans="1:25" ht="15.6" customHeight="1" x14ac:dyDescent="0.25">
      <c r="A192" s="2" t="s">
        <v>43</v>
      </c>
      <c r="B192" s="3" t="s">
        <v>17</v>
      </c>
      <c r="C192" s="3" t="s">
        <v>19</v>
      </c>
      <c r="D192" s="3">
        <v>1</v>
      </c>
      <c r="E192" s="2">
        <v>2</v>
      </c>
      <c r="F192" s="8">
        <v>12900</v>
      </c>
      <c r="G192" s="1">
        <v>4</v>
      </c>
      <c r="H192" s="2">
        <v>968</v>
      </c>
      <c r="I192" s="34">
        <v>90</v>
      </c>
      <c r="J192" s="11">
        <v>95</v>
      </c>
      <c r="K192" s="44">
        <f t="shared" si="14"/>
        <v>24.974399999999999</v>
      </c>
      <c r="L192" s="3" t="s">
        <v>61</v>
      </c>
      <c r="M192" s="3" t="s">
        <v>70</v>
      </c>
      <c r="N192" s="15">
        <f>ROUND((IF(L192="Blaze Shield II",IF(M192="Idiem software",IF(AND(C192="IN",G192=4),((('BLAZE SHIELD II'!$D$4*('HOJA DE CÁLCULO RESPALDO'!I192^2)+'BLAZE SHIELD II'!$D$5*'HOJA DE CÁLCULO RESPALDO'!I192+'BLAZE SHIELD II'!$D$6)*LN(J192))+('BLAZE SHIELD II'!$D$7*('HOJA DE CÁLCULO RESPALDO'!I192^2)+'BLAZE SHIELD II'!$D$8*'HOJA DE CÁLCULO RESPALDO'!I192+'BLAZE SHIELD II'!$D$9)),0),0),0))+(IF(L192="Blaze Shield II",IF(M192="Idiem software",IF(C192="Cj",((('BLAZE SHIELD II'!$H$4*('HOJA DE CÁLCULO RESPALDO'!I192^2)+'BLAZE SHIELD II'!$H$5*'HOJA DE CÁLCULO RESPALDO'!I192+'BLAZE SHIELD II'!$H$6)*LN(J192))+('BLAZE SHIELD II'!$H$7*('HOJA DE CÁLCULO RESPALDO'!I192^2)+'BLAZE SHIELD II'!$H$8*'HOJA DE CÁLCULO RESPALDO'!I192+'BLAZE SHIELD II'!$H$9)),0),0),0))+(IF(L192="Blaze Shield II",IF(M192="Idiem software",IF(C192="C",((('BLAZE SHIELD II'!$L$4*('HOJA DE CÁLCULO RESPALDO'!I192^2)+'BLAZE SHIELD II'!$L$5*'HOJA DE CÁLCULO RESPALDO'!I192+'BLAZE SHIELD II'!$L$6)*LN(J192))+('BLAZE SHIELD II'!$L$7*('HOJA DE CÁLCULO RESPALDO'!I192^2)+'BLAZE SHIELD II'!$L$8*'HOJA DE CÁLCULO RESPALDO'!I192+'BLAZE SHIELD II'!$L$9)),0),0),0))+(IF(L192="Blaze Shield II",IF(M192="Idiem software",IF(AND(C192="IN",G192=3),((('BLAZE SHIELD II'!$H$14*('HOJA DE CÁLCULO RESPALDO'!I192^2)+'BLAZE SHIELD II'!$H$15*'HOJA DE CÁLCULO RESPALDO'!I192+'BLAZE SHIELD II'!$H$16)*LN(J192))+('BLAZE SHIELD II'!$H$17*('HOJA DE CÁLCULO RESPALDO'!I192^2)+'BLAZE SHIELD II'!$H$18*'HOJA DE CÁLCULO RESPALDO'!I192+'BLAZE SHIELD II'!$H$19)),0),0),0)),0)</f>
        <v>0</v>
      </c>
      <c r="O192" s="46">
        <f t="shared" si="18"/>
        <v>0</v>
      </c>
      <c r="P192" s="80">
        <f t="shared" si="15"/>
        <v>0</v>
      </c>
      <c r="Q192" s="85">
        <f>ROUND((IF(L192="Cafco 400",IF(M192="Idiem software",IF(AND(C192="IN",G192=4),((('CAFCO 400 '!$H$7*(J192^4)+'CAFCO 400 '!$H$8*(J192^3)+'CAFCO 400 '!$H$9*(J192^2)+'CAFCO 400 '!$H$10*J192+'CAFCO 400 '!$H$11)*I192^2)+(('CAFCO 400 '!$H$12*(J192^3)+'CAFCO 400 '!$H$13*(J192^2)+'CAFCO 400 '!$H$14*J192+'CAFCO 400 '!$H$15)*I192)+('CAFCO 400 '!$H$16*(J192^2)+'CAFCO 400 '!$H$17*J192+'CAFCO 400 '!$H$18)),0),0),0))+(IF(L192="Cafco 400",IF(M192="Idiem software",IF(C192="Cj",(((('CAFCO 400 '!$D$7*LN(J192)+'CAFCO 400 '!$D$8)*I192^2)+(('CAFCO 400 '!$D$9*LN(J192)+'CAFCO 400 '!$D$10)*I192)+('CAFCO 400 '!$D$11*LN(J192)+'CAFCO 400 '!$D$12))),0),0),0))+(IF(L192="Cafco 400",IF(M192="Idiem software",IF(C192="C",((('CAFCO 400 '!$L$7*(J192^3)+'CAFCO 400 '!$L$8*(J192^2)+'CAFCO 400 '!$L$9*J192+'CAFCO 400 '!$L$10)*I192^2)+(('CAFCO 400 '!$L$11*(J192^3)+'CAFCO 400 '!$L$12*(J192^2)+'CAFCO 400 '!$L$13*J192+'CAFCO 400 '!$L$14)*I192)+('CAFCO 400 '!$L$15*LN(J192)+'CAFCO 400 '!$L$16)),0),0),0))+(IF(L192="Cafco 400",IF(M192="Idiem software",IF(AND(C192="IN",G192=3),((('CAFCO 400 '!$D$23*(J192^2)+'CAFCO 400 '!$D$24*(J192)+'CAFCO 400 '!$D$25)*I192^2)+(('CAFCO 400 '!$D$26*(J192^2)+'CAFCO 400 '!$D$27*J192+'CAFCO 400 '!$D$28)*I192)+('CAFCO 400 '!$D$29*(J192^2)+'CAFCO 400 '!$D$30*J192+'CAFCO 400 '!$D$31)),0),0),0)),0)</f>
        <v>0</v>
      </c>
      <c r="R192" s="47">
        <f t="shared" si="19"/>
        <v>0</v>
      </c>
      <c r="S192" s="82">
        <f t="shared" si="16"/>
        <v>0</v>
      </c>
      <c r="T192" s="81">
        <f>+IF(AND(J192&gt;=95,J192&lt;=240),IF(AND(C192="Cj",I192=90),VLOOKUP(W192,'CAFCO 300 IDIEM TABLAS'!$B$4:$D$23,2,FALSE),0)+IF(AND(J192&gt;=95,J192&lt;=240),IF(AND(C192="Cj",I192=120),VLOOKUP(W192,'CAFCO 300 IDIEM TABLAS'!$B$4:$D$23,3,FALSE),0))+IF(AND(J192&gt;=95,J192&lt;=400,G192=3),IF(AND(C192="IN",I192=90),VLOOKUP(W192,'CAFCO 300 IDIEM TABLAS'!$F$4:$H$35,2,FALSE),0),0)+IF(AND(J192&gt;=95,J192&lt;=400,G192=3),IF(AND(C192="IN",I192=120),VLOOKUP(W192,'CAFCO 300 IDIEM TABLAS'!$F$4:$H$35,3,FALSE),0),0)+IF(AND(J192&gt;=95,J192&lt;=450,G192=4),IF(AND(C192="IN",I192=90),VLOOKUP(W192,'CAFCO 300 IDIEM TABLAS'!$J$4:$L$40,2,FALSE),0),0)+IF(AND(J192&gt;=95,J192&lt;=450,G192=4),IF(AND(C192="IN",I192=120),VLOOKUP(W192,'CAFCO 300 IDIEM TABLAS'!$J$4:$L$40,3,FALSE),0),0))</f>
        <v>17</v>
      </c>
      <c r="U192" s="48">
        <f t="shared" si="20"/>
        <v>5.8588852374839533</v>
      </c>
      <c r="V192" s="82">
        <f t="shared" si="17"/>
        <v>87965.302955584077</v>
      </c>
      <c r="W192" s="64">
        <f>+IF(J192=LOOKUP(J192,'CAFCO 300 IDIEM TABLAS'!$J$4:$J$40),'HOJA DE CÁLCULO RESPALDO'!J192,MROUND('HOJA DE CÁLCULO RESPALDO'!J192,10))</f>
        <v>95</v>
      </c>
      <c r="X192" s="36"/>
      <c r="Y192" s="4"/>
    </row>
    <row r="193" spans="1:25" x14ac:dyDescent="0.25">
      <c r="A193" s="2" t="s">
        <v>44</v>
      </c>
      <c r="B193" s="3" t="s">
        <v>17</v>
      </c>
      <c r="C193" s="3" t="s">
        <v>19</v>
      </c>
      <c r="D193" s="3">
        <v>1</v>
      </c>
      <c r="E193" s="2">
        <v>1</v>
      </c>
      <c r="F193" s="8">
        <v>17971</v>
      </c>
      <c r="G193" s="1">
        <v>4</v>
      </c>
      <c r="H193" s="2">
        <v>2184</v>
      </c>
      <c r="I193" s="34">
        <v>90</v>
      </c>
      <c r="J193" s="11">
        <v>95</v>
      </c>
      <c r="K193" s="44">
        <f t="shared" si="14"/>
        <v>39.248663999999998</v>
      </c>
      <c r="L193" s="3" t="s">
        <v>61</v>
      </c>
      <c r="M193" s="3" t="s">
        <v>70</v>
      </c>
      <c r="N193" s="15">
        <f>ROUND((IF(L193="Blaze Shield II",IF(M193="Idiem software",IF(AND(C193="IN",G193=4),((('BLAZE SHIELD II'!$D$4*('HOJA DE CÁLCULO RESPALDO'!I193^2)+'BLAZE SHIELD II'!$D$5*'HOJA DE CÁLCULO RESPALDO'!I193+'BLAZE SHIELD II'!$D$6)*LN(J193))+('BLAZE SHIELD II'!$D$7*('HOJA DE CÁLCULO RESPALDO'!I193^2)+'BLAZE SHIELD II'!$D$8*'HOJA DE CÁLCULO RESPALDO'!I193+'BLAZE SHIELD II'!$D$9)),0),0),0))+(IF(L193="Blaze Shield II",IF(M193="Idiem software",IF(C193="Cj",((('BLAZE SHIELD II'!$H$4*('HOJA DE CÁLCULO RESPALDO'!I193^2)+'BLAZE SHIELD II'!$H$5*'HOJA DE CÁLCULO RESPALDO'!I193+'BLAZE SHIELD II'!$H$6)*LN(J193))+('BLAZE SHIELD II'!$H$7*('HOJA DE CÁLCULO RESPALDO'!I193^2)+'BLAZE SHIELD II'!$H$8*'HOJA DE CÁLCULO RESPALDO'!I193+'BLAZE SHIELD II'!$H$9)),0),0),0))+(IF(L193="Blaze Shield II",IF(M193="Idiem software",IF(C193="C",((('BLAZE SHIELD II'!$L$4*('HOJA DE CÁLCULO RESPALDO'!I193^2)+'BLAZE SHIELD II'!$L$5*'HOJA DE CÁLCULO RESPALDO'!I193+'BLAZE SHIELD II'!$L$6)*LN(J193))+('BLAZE SHIELD II'!$L$7*('HOJA DE CÁLCULO RESPALDO'!I193^2)+'BLAZE SHIELD II'!$L$8*'HOJA DE CÁLCULO RESPALDO'!I193+'BLAZE SHIELD II'!$L$9)),0),0),0))+(IF(L193="Blaze Shield II",IF(M193="Idiem software",IF(AND(C193="IN",G193=3),((('BLAZE SHIELD II'!$H$14*('HOJA DE CÁLCULO RESPALDO'!I193^2)+'BLAZE SHIELD II'!$H$15*'HOJA DE CÁLCULO RESPALDO'!I193+'BLAZE SHIELD II'!$H$16)*LN(J193))+('BLAZE SHIELD II'!$H$17*('HOJA DE CÁLCULO RESPALDO'!I193^2)+'BLAZE SHIELD II'!$H$18*'HOJA DE CÁLCULO RESPALDO'!I193+'BLAZE SHIELD II'!$H$19)),0),0),0)),0)</f>
        <v>0</v>
      </c>
      <c r="O193" s="46">
        <f t="shared" si="18"/>
        <v>0</v>
      </c>
      <c r="P193" s="80">
        <f t="shared" si="15"/>
        <v>0</v>
      </c>
      <c r="Q193" s="85">
        <f>ROUND((IF(L193="Cafco 400",IF(M193="Idiem software",IF(AND(C193="IN",G193=4),((('CAFCO 400 '!$H$7*(J193^4)+'CAFCO 400 '!$H$8*(J193^3)+'CAFCO 400 '!$H$9*(J193^2)+'CAFCO 400 '!$H$10*J193+'CAFCO 400 '!$H$11)*I193^2)+(('CAFCO 400 '!$H$12*(J193^3)+'CAFCO 400 '!$H$13*(J193^2)+'CAFCO 400 '!$H$14*J193+'CAFCO 400 '!$H$15)*I193)+('CAFCO 400 '!$H$16*(J193^2)+'CAFCO 400 '!$H$17*J193+'CAFCO 400 '!$H$18)),0),0),0))+(IF(L193="Cafco 400",IF(M193="Idiem software",IF(C193="Cj",(((('CAFCO 400 '!$D$7*LN(J193)+'CAFCO 400 '!$D$8)*I193^2)+(('CAFCO 400 '!$D$9*LN(J193)+'CAFCO 400 '!$D$10)*I193)+('CAFCO 400 '!$D$11*LN(J193)+'CAFCO 400 '!$D$12))),0),0),0))+(IF(L193="Cafco 400",IF(M193="Idiem software",IF(C193="C",((('CAFCO 400 '!$L$7*(J193^3)+'CAFCO 400 '!$L$8*(J193^2)+'CAFCO 400 '!$L$9*J193+'CAFCO 400 '!$L$10)*I193^2)+(('CAFCO 400 '!$L$11*(J193^3)+'CAFCO 400 '!$L$12*(J193^2)+'CAFCO 400 '!$L$13*J193+'CAFCO 400 '!$L$14)*I193)+('CAFCO 400 '!$L$15*LN(J193)+'CAFCO 400 '!$L$16)),0),0),0))+(IF(L193="Cafco 400",IF(M193="Idiem software",IF(AND(C193="IN",G193=3),((('CAFCO 400 '!$D$23*(J193^2)+'CAFCO 400 '!$D$24*(J193)+'CAFCO 400 '!$D$25)*I193^2)+(('CAFCO 400 '!$D$26*(J193^2)+'CAFCO 400 '!$D$27*J193+'CAFCO 400 '!$D$28)*I193)+('CAFCO 400 '!$D$29*(J193^2)+'CAFCO 400 '!$D$30*J193+'CAFCO 400 '!$D$31)),0),0),0)),0)</f>
        <v>0</v>
      </c>
      <c r="R193" s="47">
        <f t="shared" si="19"/>
        <v>0</v>
      </c>
      <c r="S193" s="82">
        <f t="shared" si="16"/>
        <v>0</v>
      </c>
      <c r="T193" s="81">
        <f>+IF(AND(J193&gt;=95,J193&lt;=240),IF(AND(C193="Cj",I193=90),VLOOKUP(W193,'CAFCO 300 IDIEM TABLAS'!$B$4:$D$23,2,FALSE),0)+IF(AND(J193&gt;=95,J193&lt;=240),IF(AND(C193="Cj",I193=120),VLOOKUP(W193,'CAFCO 300 IDIEM TABLAS'!$B$4:$D$23,3,FALSE),0))+IF(AND(J193&gt;=95,J193&lt;=400,G193=3),IF(AND(C193="IN",I193=90),VLOOKUP(W193,'CAFCO 300 IDIEM TABLAS'!$F$4:$H$35,2,FALSE),0),0)+IF(AND(J193&gt;=95,J193&lt;=400,G193=3),IF(AND(C193="IN",I193=120),VLOOKUP(W193,'CAFCO 300 IDIEM TABLAS'!$F$4:$H$35,3,FALSE),0),0)+IF(AND(J193&gt;=95,J193&lt;=450,G193=4),IF(AND(C193="IN",I193=90),VLOOKUP(W193,'CAFCO 300 IDIEM TABLAS'!$J$4:$L$40,2,FALSE),0),0)+IF(AND(J193&gt;=95,J193&lt;=450,G193=4),IF(AND(C193="IN",I193=120),VLOOKUP(W193,'CAFCO 300 IDIEM TABLAS'!$J$4:$L$40,3,FALSE),0),0))</f>
        <v>17</v>
      </c>
      <c r="U193" s="48">
        <f t="shared" si="20"/>
        <v>9.2075652708600764</v>
      </c>
      <c r="V193" s="82">
        <f t="shared" si="17"/>
        <v>138242.3849766932</v>
      </c>
      <c r="W193" s="64">
        <f>+IF(J193=LOOKUP(J193,'CAFCO 300 IDIEM TABLAS'!$J$4:$J$40),'HOJA DE CÁLCULO RESPALDO'!J193,MROUND('HOJA DE CÁLCULO RESPALDO'!J193,10))</f>
        <v>95</v>
      </c>
      <c r="X193" s="36"/>
      <c r="Y193" s="4"/>
    </row>
    <row r="194" spans="1:25" ht="15.6" customHeight="1" x14ac:dyDescent="0.25">
      <c r="A194" s="2" t="s">
        <v>44</v>
      </c>
      <c r="B194" s="3" t="s">
        <v>17</v>
      </c>
      <c r="C194" s="3" t="s">
        <v>19</v>
      </c>
      <c r="D194" s="3">
        <v>1</v>
      </c>
      <c r="E194" s="2">
        <v>1</v>
      </c>
      <c r="F194" s="8">
        <v>7759</v>
      </c>
      <c r="G194" s="1">
        <v>4</v>
      </c>
      <c r="H194" s="2">
        <v>785</v>
      </c>
      <c r="I194" s="34">
        <v>90</v>
      </c>
      <c r="J194" s="11">
        <v>95</v>
      </c>
      <c r="K194" s="44">
        <f t="shared" si="14"/>
        <v>6.0908150000000001</v>
      </c>
      <c r="L194" s="3" t="s">
        <v>61</v>
      </c>
      <c r="M194" s="3" t="s">
        <v>70</v>
      </c>
      <c r="N194" s="15">
        <f>ROUND((IF(L194="Blaze Shield II",IF(M194="Idiem software",IF(AND(C194="IN",G194=4),((('BLAZE SHIELD II'!$D$4*('HOJA DE CÁLCULO RESPALDO'!I194^2)+'BLAZE SHIELD II'!$D$5*'HOJA DE CÁLCULO RESPALDO'!I194+'BLAZE SHIELD II'!$D$6)*LN(J194))+('BLAZE SHIELD II'!$D$7*('HOJA DE CÁLCULO RESPALDO'!I194^2)+'BLAZE SHIELD II'!$D$8*'HOJA DE CÁLCULO RESPALDO'!I194+'BLAZE SHIELD II'!$D$9)),0),0),0))+(IF(L194="Blaze Shield II",IF(M194="Idiem software",IF(C194="Cj",((('BLAZE SHIELD II'!$H$4*('HOJA DE CÁLCULO RESPALDO'!I194^2)+'BLAZE SHIELD II'!$H$5*'HOJA DE CÁLCULO RESPALDO'!I194+'BLAZE SHIELD II'!$H$6)*LN(J194))+('BLAZE SHIELD II'!$H$7*('HOJA DE CÁLCULO RESPALDO'!I194^2)+'BLAZE SHIELD II'!$H$8*'HOJA DE CÁLCULO RESPALDO'!I194+'BLAZE SHIELD II'!$H$9)),0),0),0))+(IF(L194="Blaze Shield II",IF(M194="Idiem software",IF(C194="C",((('BLAZE SHIELD II'!$L$4*('HOJA DE CÁLCULO RESPALDO'!I194^2)+'BLAZE SHIELD II'!$L$5*'HOJA DE CÁLCULO RESPALDO'!I194+'BLAZE SHIELD II'!$L$6)*LN(J194))+('BLAZE SHIELD II'!$L$7*('HOJA DE CÁLCULO RESPALDO'!I194^2)+'BLAZE SHIELD II'!$L$8*'HOJA DE CÁLCULO RESPALDO'!I194+'BLAZE SHIELD II'!$L$9)),0),0),0))+(IF(L194="Blaze Shield II",IF(M194="Idiem software",IF(AND(C194="IN",G194=3),((('BLAZE SHIELD II'!$H$14*('HOJA DE CÁLCULO RESPALDO'!I194^2)+'BLAZE SHIELD II'!$H$15*'HOJA DE CÁLCULO RESPALDO'!I194+'BLAZE SHIELD II'!$H$16)*LN(J194))+('BLAZE SHIELD II'!$H$17*('HOJA DE CÁLCULO RESPALDO'!I194^2)+'BLAZE SHIELD II'!$H$18*'HOJA DE CÁLCULO RESPALDO'!I194+'BLAZE SHIELD II'!$H$19)),0),0),0)),0)</f>
        <v>0</v>
      </c>
      <c r="O194" s="46">
        <f t="shared" si="18"/>
        <v>0</v>
      </c>
      <c r="P194" s="80">
        <f t="shared" si="15"/>
        <v>0</v>
      </c>
      <c r="Q194" s="85">
        <f>ROUND((IF(L194="Cafco 400",IF(M194="Idiem software",IF(AND(C194="IN",G194=4),((('CAFCO 400 '!$H$7*(J194^4)+'CAFCO 400 '!$H$8*(J194^3)+'CAFCO 400 '!$H$9*(J194^2)+'CAFCO 400 '!$H$10*J194+'CAFCO 400 '!$H$11)*I194^2)+(('CAFCO 400 '!$H$12*(J194^3)+'CAFCO 400 '!$H$13*(J194^2)+'CAFCO 400 '!$H$14*J194+'CAFCO 400 '!$H$15)*I194)+('CAFCO 400 '!$H$16*(J194^2)+'CAFCO 400 '!$H$17*J194+'CAFCO 400 '!$H$18)),0),0),0))+(IF(L194="Cafco 400",IF(M194="Idiem software",IF(C194="Cj",(((('CAFCO 400 '!$D$7*LN(J194)+'CAFCO 400 '!$D$8)*I194^2)+(('CAFCO 400 '!$D$9*LN(J194)+'CAFCO 400 '!$D$10)*I194)+('CAFCO 400 '!$D$11*LN(J194)+'CAFCO 400 '!$D$12))),0),0),0))+(IF(L194="Cafco 400",IF(M194="Idiem software",IF(C194="C",((('CAFCO 400 '!$L$7*(J194^3)+'CAFCO 400 '!$L$8*(J194^2)+'CAFCO 400 '!$L$9*J194+'CAFCO 400 '!$L$10)*I194^2)+(('CAFCO 400 '!$L$11*(J194^3)+'CAFCO 400 '!$L$12*(J194^2)+'CAFCO 400 '!$L$13*J194+'CAFCO 400 '!$L$14)*I194)+('CAFCO 400 '!$L$15*LN(J194)+'CAFCO 400 '!$L$16)),0),0),0))+(IF(L194="Cafco 400",IF(M194="Idiem software",IF(AND(C194="IN",G194=3),((('CAFCO 400 '!$D$23*(J194^2)+'CAFCO 400 '!$D$24*(J194)+'CAFCO 400 '!$D$25)*I194^2)+(('CAFCO 400 '!$D$26*(J194^2)+'CAFCO 400 '!$D$27*J194+'CAFCO 400 '!$D$28)*I194)+('CAFCO 400 '!$D$29*(J194^2)+'CAFCO 400 '!$D$30*J194+'CAFCO 400 '!$D$31)),0),0),0)),0)</f>
        <v>0</v>
      </c>
      <c r="R194" s="47">
        <f t="shared" si="19"/>
        <v>0</v>
      </c>
      <c r="S194" s="82">
        <f t="shared" si="16"/>
        <v>0</v>
      </c>
      <c r="T194" s="81">
        <f>+IF(AND(J194&gt;=95,J194&lt;=240),IF(AND(C194="Cj",I194=90),VLOOKUP(W194,'CAFCO 300 IDIEM TABLAS'!$B$4:$D$23,2,FALSE),0)+IF(AND(J194&gt;=95,J194&lt;=240),IF(AND(C194="Cj",I194=120),VLOOKUP(W194,'CAFCO 300 IDIEM TABLAS'!$B$4:$D$23,3,FALSE),0))+IF(AND(J194&gt;=95,J194&lt;=400,G194=3),IF(AND(C194="IN",I194=90),VLOOKUP(W194,'CAFCO 300 IDIEM TABLAS'!$F$4:$H$35,2,FALSE),0),0)+IF(AND(J194&gt;=95,J194&lt;=400,G194=3),IF(AND(C194="IN",I194=120),VLOOKUP(W194,'CAFCO 300 IDIEM TABLAS'!$F$4:$H$35,3,FALSE),0),0)+IF(AND(J194&gt;=95,J194&lt;=450,G194=4),IF(AND(C194="IN",I194=90),VLOOKUP(W194,'CAFCO 300 IDIEM TABLAS'!$J$4:$L$40,2,FALSE),0),0)+IF(AND(J194&gt;=95,J194&lt;=450,G194=4),IF(AND(C194="IN",I194=120),VLOOKUP(W194,'CAFCO 300 IDIEM TABLAS'!$J$4:$L$40,3,FALSE),0),0))</f>
        <v>17</v>
      </c>
      <c r="U194" s="48">
        <f t="shared" si="20"/>
        <v>1.42887861521181</v>
      </c>
      <c r="V194" s="82">
        <f t="shared" si="17"/>
        <v>21453.183528790116</v>
      </c>
      <c r="W194" s="64">
        <f>+IF(J194=LOOKUP(J194,'CAFCO 300 IDIEM TABLAS'!$J$4:$J$40),'HOJA DE CÁLCULO RESPALDO'!J194,MROUND('HOJA DE CÁLCULO RESPALDO'!J194,10))</f>
        <v>95</v>
      </c>
      <c r="X194" s="36"/>
      <c r="Y194" s="4"/>
    </row>
    <row r="195" spans="1:25" x14ac:dyDescent="0.25">
      <c r="A195" s="2" t="s">
        <v>42</v>
      </c>
      <c r="B195" s="3" t="s">
        <v>17</v>
      </c>
      <c r="C195" s="3" t="s">
        <v>19</v>
      </c>
      <c r="D195" s="3">
        <v>1</v>
      </c>
      <c r="E195" s="2">
        <v>1</v>
      </c>
      <c r="F195" s="8">
        <v>7100</v>
      </c>
      <c r="G195" s="1">
        <v>4</v>
      </c>
      <c r="H195" s="2">
        <v>785</v>
      </c>
      <c r="I195" s="34">
        <v>90</v>
      </c>
      <c r="J195" s="11">
        <v>95</v>
      </c>
      <c r="K195" s="44">
        <f t="shared" si="14"/>
        <v>5.5735000000000001</v>
      </c>
      <c r="L195" s="3" t="s">
        <v>61</v>
      </c>
      <c r="M195" s="3" t="s">
        <v>70</v>
      </c>
      <c r="N195" s="15">
        <f>ROUND((IF(L195="Blaze Shield II",IF(M195="Idiem software",IF(AND(C195="IN",G195=4),((('BLAZE SHIELD II'!$D$4*('HOJA DE CÁLCULO RESPALDO'!I195^2)+'BLAZE SHIELD II'!$D$5*'HOJA DE CÁLCULO RESPALDO'!I195+'BLAZE SHIELD II'!$D$6)*LN(J195))+('BLAZE SHIELD II'!$D$7*('HOJA DE CÁLCULO RESPALDO'!I195^2)+'BLAZE SHIELD II'!$D$8*'HOJA DE CÁLCULO RESPALDO'!I195+'BLAZE SHIELD II'!$D$9)),0),0),0))+(IF(L195="Blaze Shield II",IF(M195="Idiem software",IF(C195="Cj",((('BLAZE SHIELD II'!$H$4*('HOJA DE CÁLCULO RESPALDO'!I195^2)+'BLAZE SHIELD II'!$H$5*'HOJA DE CÁLCULO RESPALDO'!I195+'BLAZE SHIELD II'!$H$6)*LN(J195))+('BLAZE SHIELD II'!$H$7*('HOJA DE CÁLCULO RESPALDO'!I195^2)+'BLAZE SHIELD II'!$H$8*'HOJA DE CÁLCULO RESPALDO'!I195+'BLAZE SHIELD II'!$H$9)),0),0),0))+(IF(L195="Blaze Shield II",IF(M195="Idiem software",IF(C195="C",((('BLAZE SHIELD II'!$L$4*('HOJA DE CÁLCULO RESPALDO'!I195^2)+'BLAZE SHIELD II'!$L$5*'HOJA DE CÁLCULO RESPALDO'!I195+'BLAZE SHIELD II'!$L$6)*LN(J195))+('BLAZE SHIELD II'!$L$7*('HOJA DE CÁLCULO RESPALDO'!I195^2)+'BLAZE SHIELD II'!$L$8*'HOJA DE CÁLCULO RESPALDO'!I195+'BLAZE SHIELD II'!$L$9)),0),0),0))+(IF(L195="Blaze Shield II",IF(M195="Idiem software",IF(AND(C195="IN",G195=3),((('BLAZE SHIELD II'!$H$14*('HOJA DE CÁLCULO RESPALDO'!I195^2)+'BLAZE SHIELD II'!$H$15*'HOJA DE CÁLCULO RESPALDO'!I195+'BLAZE SHIELD II'!$H$16)*LN(J195))+('BLAZE SHIELD II'!$H$17*('HOJA DE CÁLCULO RESPALDO'!I195^2)+'BLAZE SHIELD II'!$H$18*'HOJA DE CÁLCULO RESPALDO'!I195+'BLAZE SHIELD II'!$H$19)),0),0),0)),0)</f>
        <v>0</v>
      </c>
      <c r="O195" s="46">
        <f t="shared" si="18"/>
        <v>0</v>
      </c>
      <c r="P195" s="80">
        <f t="shared" si="15"/>
        <v>0</v>
      </c>
      <c r="Q195" s="85">
        <f>ROUND((IF(L195="Cafco 400",IF(M195="Idiem software",IF(AND(C195="IN",G195=4),((('CAFCO 400 '!$H$7*(J195^4)+'CAFCO 400 '!$H$8*(J195^3)+'CAFCO 400 '!$H$9*(J195^2)+'CAFCO 400 '!$H$10*J195+'CAFCO 400 '!$H$11)*I195^2)+(('CAFCO 400 '!$H$12*(J195^3)+'CAFCO 400 '!$H$13*(J195^2)+'CAFCO 400 '!$H$14*J195+'CAFCO 400 '!$H$15)*I195)+('CAFCO 400 '!$H$16*(J195^2)+'CAFCO 400 '!$H$17*J195+'CAFCO 400 '!$H$18)),0),0),0))+(IF(L195="Cafco 400",IF(M195="Idiem software",IF(C195="Cj",(((('CAFCO 400 '!$D$7*LN(J195)+'CAFCO 400 '!$D$8)*I195^2)+(('CAFCO 400 '!$D$9*LN(J195)+'CAFCO 400 '!$D$10)*I195)+('CAFCO 400 '!$D$11*LN(J195)+'CAFCO 400 '!$D$12))),0),0),0))+(IF(L195="Cafco 400",IF(M195="Idiem software",IF(C195="C",((('CAFCO 400 '!$L$7*(J195^3)+'CAFCO 400 '!$L$8*(J195^2)+'CAFCO 400 '!$L$9*J195+'CAFCO 400 '!$L$10)*I195^2)+(('CAFCO 400 '!$L$11*(J195^3)+'CAFCO 400 '!$L$12*(J195^2)+'CAFCO 400 '!$L$13*J195+'CAFCO 400 '!$L$14)*I195)+('CAFCO 400 '!$L$15*LN(J195)+'CAFCO 400 '!$L$16)),0),0),0))+(IF(L195="Cafco 400",IF(M195="Idiem software",IF(AND(C195="IN",G195=3),((('CAFCO 400 '!$D$23*(J195^2)+'CAFCO 400 '!$D$24*(J195)+'CAFCO 400 '!$D$25)*I195^2)+(('CAFCO 400 '!$D$26*(J195^2)+'CAFCO 400 '!$D$27*J195+'CAFCO 400 '!$D$28)*I195)+('CAFCO 400 '!$D$29*(J195^2)+'CAFCO 400 '!$D$30*J195+'CAFCO 400 '!$D$31)),0),0),0)),0)</f>
        <v>0</v>
      </c>
      <c r="R195" s="47">
        <f t="shared" si="19"/>
        <v>0</v>
      </c>
      <c r="S195" s="82">
        <f t="shared" si="16"/>
        <v>0</v>
      </c>
      <c r="T195" s="81">
        <f>+IF(AND(J195&gt;=95,J195&lt;=240),IF(AND(C195="Cj",I195=90),VLOOKUP(W195,'CAFCO 300 IDIEM TABLAS'!$B$4:$D$23,2,FALSE),0)+IF(AND(J195&gt;=95,J195&lt;=240),IF(AND(C195="Cj",I195=120),VLOOKUP(W195,'CAFCO 300 IDIEM TABLAS'!$B$4:$D$23,3,FALSE),0))+IF(AND(J195&gt;=95,J195&lt;=400,G195=3),IF(AND(C195="IN",I195=90),VLOOKUP(W195,'CAFCO 300 IDIEM TABLAS'!$F$4:$H$35,2,FALSE),0),0)+IF(AND(J195&gt;=95,J195&lt;=400,G195=3),IF(AND(C195="IN",I195=120),VLOOKUP(W195,'CAFCO 300 IDIEM TABLAS'!$F$4:$H$35,3,FALSE),0),0)+IF(AND(J195&gt;=95,J195&lt;=450,G195=4),IF(AND(C195="IN",I195=90),VLOOKUP(W195,'CAFCO 300 IDIEM TABLAS'!$J$4:$L$40,2,FALSE),0),0)+IF(AND(J195&gt;=95,J195&lt;=450,G195=4),IF(AND(C195="IN",I195=120),VLOOKUP(W195,'CAFCO 300 IDIEM TABLAS'!$J$4:$L$40,3,FALSE),0),0))</f>
        <v>17</v>
      </c>
      <c r="U195" s="48">
        <f t="shared" si="20"/>
        <v>1.3075187740693195</v>
      </c>
      <c r="V195" s="82">
        <f t="shared" si="17"/>
        <v>19631.086873876764</v>
      </c>
      <c r="W195" s="64">
        <f>+IF(J195=LOOKUP(J195,'CAFCO 300 IDIEM TABLAS'!$J$4:$J$40),'HOJA DE CÁLCULO RESPALDO'!J195,MROUND('HOJA DE CÁLCULO RESPALDO'!J195,10))</f>
        <v>95</v>
      </c>
      <c r="X195" s="36"/>
      <c r="Y195" s="4"/>
    </row>
    <row r="196" spans="1:25" ht="15.6" customHeight="1" x14ac:dyDescent="0.25">
      <c r="A196" s="2" t="s">
        <v>43</v>
      </c>
      <c r="B196" s="3" t="s">
        <v>17</v>
      </c>
      <c r="C196" s="3" t="s">
        <v>19</v>
      </c>
      <c r="D196" s="3">
        <v>1</v>
      </c>
      <c r="E196" s="2">
        <v>1</v>
      </c>
      <c r="F196" s="8">
        <v>19050</v>
      </c>
      <c r="G196" s="1">
        <v>4</v>
      </c>
      <c r="H196" s="2">
        <v>1185</v>
      </c>
      <c r="I196" s="34">
        <v>90</v>
      </c>
      <c r="J196" s="11">
        <v>95</v>
      </c>
      <c r="K196" s="44">
        <f t="shared" si="14"/>
        <v>22.574249999999999</v>
      </c>
      <c r="L196" s="3" t="s">
        <v>61</v>
      </c>
      <c r="M196" s="3" t="s">
        <v>70</v>
      </c>
      <c r="N196" s="15">
        <f>ROUND((IF(L196="Blaze Shield II",IF(M196="Idiem software",IF(AND(C196="IN",G196=4),((('BLAZE SHIELD II'!$D$4*('HOJA DE CÁLCULO RESPALDO'!I196^2)+'BLAZE SHIELD II'!$D$5*'HOJA DE CÁLCULO RESPALDO'!I196+'BLAZE SHIELD II'!$D$6)*LN(J196))+('BLAZE SHIELD II'!$D$7*('HOJA DE CÁLCULO RESPALDO'!I196^2)+'BLAZE SHIELD II'!$D$8*'HOJA DE CÁLCULO RESPALDO'!I196+'BLAZE SHIELD II'!$D$9)),0),0),0))+(IF(L196="Blaze Shield II",IF(M196="Idiem software",IF(C196="Cj",((('BLAZE SHIELD II'!$H$4*('HOJA DE CÁLCULO RESPALDO'!I196^2)+'BLAZE SHIELD II'!$H$5*'HOJA DE CÁLCULO RESPALDO'!I196+'BLAZE SHIELD II'!$H$6)*LN(J196))+('BLAZE SHIELD II'!$H$7*('HOJA DE CÁLCULO RESPALDO'!I196^2)+'BLAZE SHIELD II'!$H$8*'HOJA DE CÁLCULO RESPALDO'!I196+'BLAZE SHIELD II'!$H$9)),0),0),0))+(IF(L196="Blaze Shield II",IF(M196="Idiem software",IF(C196="C",((('BLAZE SHIELD II'!$L$4*('HOJA DE CÁLCULO RESPALDO'!I196^2)+'BLAZE SHIELD II'!$L$5*'HOJA DE CÁLCULO RESPALDO'!I196+'BLAZE SHIELD II'!$L$6)*LN(J196))+('BLAZE SHIELD II'!$L$7*('HOJA DE CÁLCULO RESPALDO'!I196^2)+'BLAZE SHIELD II'!$L$8*'HOJA DE CÁLCULO RESPALDO'!I196+'BLAZE SHIELD II'!$L$9)),0),0),0))+(IF(L196="Blaze Shield II",IF(M196="Idiem software",IF(AND(C196="IN",G196=3),((('BLAZE SHIELD II'!$H$14*('HOJA DE CÁLCULO RESPALDO'!I196^2)+'BLAZE SHIELD II'!$H$15*'HOJA DE CÁLCULO RESPALDO'!I196+'BLAZE SHIELD II'!$H$16)*LN(J196))+('BLAZE SHIELD II'!$H$17*('HOJA DE CÁLCULO RESPALDO'!I196^2)+'BLAZE SHIELD II'!$H$18*'HOJA DE CÁLCULO RESPALDO'!I196+'BLAZE SHIELD II'!$H$19)),0),0),0)),0)</f>
        <v>0</v>
      </c>
      <c r="O196" s="46">
        <f t="shared" si="18"/>
        <v>0</v>
      </c>
      <c r="P196" s="80">
        <f t="shared" si="15"/>
        <v>0</v>
      </c>
      <c r="Q196" s="85">
        <f>ROUND((IF(L196="Cafco 400",IF(M196="Idiem software",IF(AND(C196="IN",G196=4),((('CAFCO 400 '!$H$7*(J196^4)+'CAFCO 400 '!$H$8*(J196^3)+'CAFCO 400 '!$H$9*(J196^2)+'CAFCO 400 '!$H$10*J196+'CAFCO 400 '!$H$11)*I196^2)+(('CAFCO 400 '!$H$12*(J196^3)+'CAFCO 400 '!$H$13*(J196^2)+'CAFCO 400 '!$H$14*J196+'CAFCO 400 '!$H$15)*I196)+('CAFCO 400 '!$H$16*(J196^2)+'CAFCO 400 '!$H$17*J196+'CAFCO 400 '!$H$18)),0),0),0))+(IF(L196="Cafco 400",IF(M196="Idiem software",IF(C196="Cj",(((('CAFCO 400 '!$D$7*LN(J196)+'CAFCO 400 '!$D$8)*I196^2)+(('CAFCO 400 '!$D$9*LN(J196)+'CAFCO 400 '!$D$10)*I196)+('CAFCO 400 '!$D$11*LN(J196)+'CAFCO 400 '!$D$12))),0),0),0))+(IF(L196="Cafco 400",IF(M196="Idiem software",IF(C196="C",((('CAFCO 400 '!$L$7*(J196^3)+'CAFCO 400 '!$L$8*(J196^2)+'CAFCO 400 '!$L$9*J196+'CAFCO 400 '!$L$10)*I196^2)+(('CAFCO 400 '!$L$11*(J196^3)+'CAFCO 400 '!$L$12*(J196^2)+'CAFCO 400 '!$L$13*J196+'CAFCO 400 '!$L$14)*I196)+('CAFCO 400 '!$L$15*LN(J196)+'CAFCO 400 '!$L$16)),0),0),0))+(IF(L196="Cafco 400",IF(M196="Idiem software",IF(AND(C196="IN",G196=3),((('CAFCO 400 '!$D$23*(J196^2)+'CAFCO 400 '!$D$24*(J196)+'CAFCO 400 '!$D$25)*I196^2)+(('CAFCO 400 '!$D$26*(J196^2)+'CAFCO 400 '!$D$27*J196+'CAFCO 400 '!$D$28)*I196)+('CAFCO 400 '!$D$29*(J196^2)+'CAFCO 400 '!$D$30*J196+'CAFCO 400 '!$D$31)),0),0),0)),0)</f>
        <v>0</v>
      </c>
      <c r="R196" s="47">
        <f t="shared" si="19"/>
        <v>0</v>
      </c>
      <c r="S196" s="82">
        <f t="shared" si="16"/>
        <v>0</v>
      </c>
      <c r="T196" s="81">
        <f>+IF(AND(J196&gt;=95,J196&lt;=240),IF(AND(C196="Cj",I196=90),VLOOKUP(W196,'CAFCO 300 IDIEM TABLAS'!$B$4:$D$23,2,FALSE),0)+IF(AND(J196&gt;=95,J196&lt;=240),IF(AND(C196="Cj",I196=120),VLOOKUP(W196,'CAFCO 300 IDIEM TABLAS'!$B$4:$D$23,3,FALSE),0))+IF(AND(J196&gt;=95,J196&lt;=400,G196=3),IF(AND(C196="IN",I196=90),VLOOKUP(W196,'CAFCO 300 IDIEM TABLAS'!$F$4:$H$35,2,FALSE),0),0)+IF(AND(J196&gt;=95,J196&lt;=400,G196=3),IF(AND(C196="IN",I196=120),VLOOKUP(W196,'CAFCO 300 IDIEM TABLAS'!$F$4:$H$35,3,FALSE),0),0)+IF(AND(J196&gt;=95,J196&lt;=450,G196=4),IF(AND(C196="IN",I196=90),VLOOKUP(W196,'CAFCO 300 IDIEM TABLAS'!$J$4:$L$40,2,FALSE),0),0)+IF(AND(J196&gt;=95,J196&lt;=450,G196=4),IF(AND(C196="IN",I196=120),VLOOKUP(W196,'CAFCO 300 IDIEM TABLAS'!$J$4:$L$40,3,FALSE),0),0))</f>
        <v>17</v>
      </c>
      <c r="U196" s="48">
        <f t="shared" si="20"/>
        <v>5.2958205231065465</v>
      </c>
      <c r="V196" s="82">
        <f t="shared" si="17"/>
        <v>79511.449333921686</v>
      </c>
      <c r="W196" s="64">
        <f>+IF(J196=LOOKUP(J196,'CAFCO 300 IDIEM TABLAS'!$J$4:$J$40),'HOJA DE CÁLCULO RESPALDO'!J196,MROUND('HOJA DE CÁLCULO RESPALDO'!J196,10))</f>
        <v>95</v>
      </c>
      <c r="X196" s="36"/>
      <c r="Y196" s="4"/>
    </row>
    <row r="197" spans="1:25" x14ac:dyDescent="0.25">
      <c r="A197" s="2" t="s">
        <v>45</v>
      </c>
      <c r="B197" s="3" t="s">
        <v>17</v>
      </c>
      <c r="C197" s="3" t="s">
        <v>19</v>
      </c>
      <c r="D197" s="3">
        <v>1</v>
      </c>
      <c r="E197" s="2">
        <v>1</v>
      </c>
      <c r="F197" s="8">
        <v>4255</v>
      </c>
      <c r="G197" s="1">
        <v>4</v>
      </c>
      <c r="H197" s="2">
        <v>1185</v>
      </c>
      <c r="I197" s="34">
        <v>90</v>
      </c>
      <c r="J197" s="11">
        <v>95</v>
      </c>
      <c r="K197" s="44">
        <f t="shared" si="14"/>
        <v>5.0421750000000003</v>
      </c>
      <c r="L197" s="3" t="s">
        <v>61</v>
      </c>
      <c r="M197" s="3" t="s">
        <v>70</v>
      </c>
      <c r="N197" s="15">
        <f>ROUND((IF(L197="Blaze Shield II",IF(M197="Idiem software",IF(AND(C197="IN",G197=4),((('BLAZE SHIELD II'!$D$4*('HOJA DE CÁLCULO RESPALDO'!I197^2)+'BLAZE SHIELD II'!$D$5*'HOJA DE CÁLCULO RESPALDO'!I197+'BLAZE SHIELD II'!$D$6)*LN(J197))+('BLAZE SHIELD II'!$D$7*('HOJA DE CÁLCULO RESPALDO'!I197^2)+'BLAZE SHIELD II'!$D$8*'HOJA DE CÁLCULO RESPALDO'!I197+'BLAZE SHIELD II'!$D$9)),0),0),0))+(IF(L197="Blaze Shield II",IF(M197="Idiem software",IF(C197="Cj",((('BLAZE SHIELD II'!$H$4*('HOJA DE CÁLCULO RESPALDO'!I197^2)+'BLAZE SHIELD II'!$H$5*'HOJA DE CÁLCULO RESPALDO'!I197+'BLAZE SHIELD II'!$H$6)*LN(J197))+('BLAZE SHIELD II'!$H$7*('HOJA DE CÁLCULO RESPALDO'!I197^2)+'BLAZE SHIELD II'!$H$8*'HOJA DE CÁLCULO RESPALDO'!I197+'BLAZE SHIELD II'!$H$9)),0),0),0))+(IF(L197="Blaze Shield II",IF(M197="Idiem software",IF(C197="C",((('BLAZE SHIELD II'!$L$4*('HOJA DE CÁLCULO RESPALDO'!I197^2)+'BLAZE SHIELD II'!$L$5*'HOJA DE CÁLCULO RESPALDO'!I197+'BLAZE SHIELD II'!$L$6)*LN(J197))+('BLAZE SHIELD II'!$L$7*('HOJA DE CÁLCULO RESPALDO'!I197^2)+'BLAZE SHIELD II'!$L$8*'HOJA DE CÁLCULO RESPALDO'!I197+'BLAZE SHIELD II'!$L$9)),0),0),0))+(IF(L197="Blaze Shield II",IF(M197="Idiem software",IF(AND(C197="IN",G197=3),((('BLAZE SHIELD II'!$H$14*('HOJA DE CÁLCULO RESPALDO'!I197^2)+'BLAZE SHIELD II'!$H$15*'HOJA DE CÁLCULO RESPALDO'!I197+'BLAZE SHIELD II'!$H$16)*LN(J197))+('BLAZE SHIELD II'!$H$17*('HOJA DE CÁLCULO RESPALDO'!I197^2)+'BLAZE SHIELD II'!$H$18*'HOJA DE CÁLCULO RESPALDO'!I197+'BLAZE SHIELD II'!$H$19)),0),0),0)),0)</f>
        <v>0</v>
      </c>
      <c r="O197" s="46">
        <f t="shared" si="18"/>
        <v>0</v>
      </c>
      <c r="P197" s="80">
        <f t="shared" si="15"/>
        <v>0</v>
      </c>
      <c r="Q197" s="85">
        <f>ROUND((IF(L197="Cafco 400",IF(M197="Idiem software",IF(AND(C197="IN",G197=4),((('CAFCO 400 '!$H$7*(J197^4)+'CAFCO 400 '!$H$8*(J197^3)+'CAFCO 400 '!$H$9*(J197^2)+'CAFCO 400 '!$H$10*J197+'CAFCO 400 '!$H$11)*I197^2)+(('CAFCO 400 '!$H$12*(J197^3)+'CAFCO 400 '!$H$13*(J197^2)+'CAFCO 400 '!$H$14*J197+'CAFCO 400 '!$H$15)*I197)+('CAFCO 400 '!$H$16*(J197^2)+'CAFCO 400 '!$H$17*J197+'CAFCO 400 '!$H$18)),0),0),0))+(IF(L197="Cafco 400",IF(M197="Idiem software",IF(C197="Cj",(((('CAFCO 400 '!$D$7*LN(J197)+'CAFCO 400 '!$D$8)*I197^2)+(('CAFCO 400 '!$D$9*LN(J197)+'CAFCO 400 '!$D$10)*I197)+('CAFCO 400 '!$D$11*LN(J197)+'CAFCO 400 '!$D$12))),0),0),0))+(IF(L197="Cafco 400",IF(M197="Idiem software",IF(C197="C",((('CAFCO 400 '!$L$7*(J197^3)+'CAFCO 400 '!$L$8*(J197^2)+'CAFCO 400 '!$L$9*J197+'CAFCO 400 '!$L$10)*I197^2)+(('CAFCO 400 '!$L$11*(J197^3)+'CAFCO 400 '!$L$12*(J197^2)+'CAFCO 400 '!$L$13*J197+'CAFCO 400 '!$L$14)*I197)+('CAFCO 400 '!$L$15*LN(J197)+'CAFCO 400 '!$L$16)),0),0),0))+(IF(L197="Cafco 400",IF(M197="Idiem software",IF(AND(C197="IN",G197=3),((('CAFCO 400 '!$D$23*(J197^2)+'CAFCO 400 '!$D$24*(J197)+'CAFCO 400 '!$D$25)*I197^2)+(('CAFCO 400 '!$D$26*(J197^2)+'CAFCO 400 '!$D$27*J197+'CAFCO 400 '!$D$28)*I197)+('CAFCO 400 '!$D$29*(J197^2)+'CAFCO 400 '!$D$30*J197+'CAFCO 400 '!$D$31)),0),0),0)),0)</f>
        <v>0</v>
      </c>
      <c r="R197" s="47">
        <f t="shared" si="19"/>
        <v>0</v>
      </c>
      <c r="S197" s="82">
        <f t="shared" si="16"/>
        <v>0</v>
      </c>
      <c r="T197" s="81">
        <f>+IF(AND(J197&gt;=95,J197&lt;=240),IF(AND(C197="Cj",I197=90),VLOOKUP(W197,'CAFCO 300 IDIEM TABLAS'!$B$4:$D$23,2,FALSE),0)+IF(AND(J197&gt;=95,J197&lt;=240),IF(AND(C197="Cj",I197=120),VLOOKUP(W197,'CAFCO 300 IDIEM TABLAS'!$B$4:$D$23,3,FALSE),0))+IF(AND(J197&gt;=95,J197&lt;=400,G197=3),IF(AND(C197="IN",I197=90),VLOOKUP(W197,'CAFCO 300 IDIEM TABLAS'!$F$4:$H$35,2,FALSE),0),0)+IF(AND(J197&gt;=95,J197&lt;=400,G197=3),IF(AND(C197="IN",I197=120),VLOOKUP(W197,'CAFCO 300 IDIEM TABLAS'!$F$4:$H$35,3,FALSE),0),0)+IF(AND(J197&gt;=95,J197&lt;=450,G197=4),IF(AND(C197="IN",I197=90),VLOOKUP(W197,'CAFCO 300 IDIEM TABLAS'!$J$4:$L$40,2,FALSE),0),0)+IF(AND(J197&gt;=95,J197&lt;=450,G197=4),IF(AND(C197="IN",I197=120),VLOOKUP(W197,'CAFCO 300 IDIEM TABLAS'!$J$4:$L$40,3,FALSE),0),0))</f>
        <v>17</v>
      </c>
      <c r="U197" s="48">
        <f t="shared" si="20"/>
        <v>1.1828722480744545</v>
      </c>
      <c r="V197" s="82">
        <f t="shared" si="17"/>
        <v>17759.643932589861</v>
      </c>
      <c r="W197" s="64">
        <f>+IF(J197=LOOKUP(J197,'CAFCO 300 IDIEM TABLAS'!$J$4:$J$40),'HOJA DE CÁLCULO RESPALDO'!J197,MROUND('HOJA DE CÁLCULO RESPALDO'!J197,10))</f>
        <v>95</v>
      </c>
      <c r="X197" s="36"/>
      <c r="Y197" s="4"/>
    </row>
    <row r="198" spans="1:25" ht="15.6" customHeight="1" x14ac:dyDescent="0.25">
      <c r="A198" s="2" t="s">
        <v>45</v>
      </c>
      <c r="B198" s="3" t="s">
        <v>17</v>
      </c>
      <c r="C198" s="3" t="s">
        <v>19</v>
      </c>
      <c r="D198" s="3">
        <v>1</v>
      </c>
      <c r="E198" s="2">
        <v>1</v>
      </c>
      <c r="F198" s="8">
        <v>89250</v>
      </c>
      <c r="G198" s="1">
        <v>4</v>
      </c>
      <c r="H198" s="2">
        <v>1190</v>
      </c>
      <c r="I198" s="34">
        <v>90</v>
      </c>
      <c r="J198" s="11">
        <v>95</v>
      </c>
      <c r="K198" s="44">
        <f t="shared" si="14"/>
        <v>106.2075</v>
      </c>
      <c r="L198" s="3" t="s">
        <v>61</v>
      </c>
      <c r="M198" s="3" t="s">
        <v>70</v>
      </c>
      <c r="N198" s="15">
        <f>ROUND((IF(L198="Blaze Shield II",IF(M198="Idiem software",IF(AND(C198="IN",G198=4),((('BLAZE SHIELD II'!$D$4*('HOJA DE CÁLCULO RESPALDO'!I198^2)+'BLAZE SHIELD II'!$D$5*'HOJA DE CÁLCULO RESPALDO'!I198+'BLAZE SHIELD II'!$D$6)*LN(J198))+('BLAZE SHIELD II'!$D$7*('HOJA DE CÁLCULO RESPALDO'!I198^2)+'BLAZE SHIELD II'!$D$8*'HOJA DE CÁLCULO RESPALDO'!I198+'BLAZE SHIELD II'!$D$9)),0),0),0))+(IF(L198="Blaze Shield II",IF(M198="Idiem software",IF(C198="Cj",((('BLAZE SHIELD II'!$H$4*('HOJA DE CÁLCULO RESPALDO'!I198^2)+'BLAZE SHIELD II'!$H$5*'HOJA DE CÁLCULO RESPALDO'!I198+'BLAZE SHIELD II'!$H$6)*LN(J198))+('BLAZE SHIELD II'!$H$7*('HOJA DE CÁLCULO RESPALDO'!I198^2)+'BLAZE SHIELD II'!$H$8*'HOJA DE CÁLCULO RESPALDO'!I198+'BLAZE SHIELD II'!$H$9)),0),0),0))+(IF(L198="Blaze Shield II",IF(M198="Idiem software",IF(C198="C",((('BLAZE SHIELD II'!$L$4*('HOJA DE CÁLCULO RESPALDO'!I198^2)+'BLAZE SHIELD II'!$L$5*'HOJA DE CÁLCULO RESPALDO'!I198+'BLAZE SHIELD II'!$L$6)*LN(J198))+('BLAZE SHIELD II'!$L$7*('HOJA DE CÁLCULO RESPALDO'!I198^2)+'BLAZE SHIELD II'!$L$8*'HOJA DE CÁLCULO RESPALDO'!I198+'BLAZE SHIELD II'!$L$9)),0),0),0))+(IF(L198="Blaze Shield II",IF(M198="Idiem software",IF(AND(C198="IN",G198=3),((('BLAZE SHIELD II'!$H$14*('HOJA DE CÁLCULO RESPALDO'!I198^2)+'BLAZE SHIELD II'!$H$15*'HOJA DE CÁLCULO RESPALDO'!I198+'BLAZE SHIELD II'!$H$16)*LN(J198))+('BLAZE SHIELD II'!$H$17*('HOJA DE CÁLCULO RESPALDO'!I198^2)+'BLAZE SHIELD II'!$H$18*'HOJA DE CÁLCULO RESPALDO'!I198+'BLAZE SHIELD II'!$H$19)),0),0),0)),0)</f>
        <v>0</v>
      </c>
      <c r="O198" s="46">
        <f t="shared" si="18"/>
        <v>0</v>
      </c>
      <c r="P198" s="80">
        <f t="shared" si="15"/>
        <v>0</v>
      </c>
      <c r="Q198" s="85">
        <f>ROUND((IF(L198="Cafco 400",IF(M198="Idiem software",IF(AND(C198="IN",G198=4),((('CAFCO 400 '!$H$7*(J198^4)+'CAFCO 400 '!$H$8*(J198^3)+'CAFCO 400 '!$H$9*(J198^2)+'CAFCO 400 '!$H$10*J198+'CAFCO 400 '!$H$11)*I198^2)+(('CAFCO 400 '!$H$12*(J198^3)+'CAFCO 400 '!$H$13*(J198^2)+'CAFCO 400 '!$H$14*J198+'CAFCO 400 '!$H$15)*I198)+('CAFCO 400 '!$H$16*(J198^2)+'CAFCO 400 '!$H$17*J198+'CAFCO 400 '!$H$18)),0),0),0))+(IF(L198="Cafco 400",IF(M198="Idiem software",IF(C198="Cj",(((('CAFCO 400 '!$D$7*LN(J198)+'CAFCO 400 '!$D$8)*I198^2)+(('CAFCO 400 '!$D$9*LN(J198)+'CAFCO 400 '!$D$10)*I198)+('CAFCO 400 '!$D$11*LN(J198)+'CAFCO 400 '!$D$12))),0),0),0))+(IF(L198="Cafco 400",IF(M198="Idiem software",IF(C198="C",((('CAFCO 400 '!$L$7*(J198^3)+'CAFCO 400 '!$L$8*(J198^2)+'CAFCO 400 '!$L$9*J198+'CAFCO 400 '!$L$10)*I198^2)+(('CAFCO 400 '!$L$11*(J198^3)+'CAFCO 400 '!$L$12*(J198^2)+'CAFCO 400 '!$L$13*J198+'CAFCO 400 '!$L$14)*I198)+('CAFCO 400 '!$L$15*LN(J198)+'CAFCO 400 '!$L$16)),0),0),0))+(IF(L198="Cafco 400",IF(M198="Idiem software",IF(AND(C198="IN",G198=3),((('CAFCO 400 '!$D$23*(J198^2)+'CAFCO 400 '!$D$24*(J198)+'CAFCO 400 '!$D$25)*I198^2)+(('CAFCO 400 '!$D$26*(J198^2)+'CAFCO 400 '!$D$27*J198+'CAFCO 400 '!$D$28)*I198)+('CAFCO 400 '!$D$29*(J198^2)+'CAFCO 400 '!$D$30*J198+'CAFCO 400 '!$D$31)),0),0),0)),0)</f>
        <v>0</v>
      </c>
      <c r="R198" s="47">
        <f t="shared" si="19"/>
        <v>0</v>
      </c>
      <c r="S198" s="82">
        <f t="shared" si="16"/>
        <v>0</v>
      </c>
      <c r="T198" s="81">
        <f>+IF(AND(J198&gt;=95,J198&lt;=240),IF(AND(C198="Cj",I198=90),VLOOKUP(W198,'CAFCO 300 IDIEM TABLAS'!$B$4:$D$23,2,FALSE),0)+IF(AND(J198&gt;=95,J198&lt;=240),IF(AND(C198="Cj",I198=120),VLOOKUP(W198,'CAFCO 300 IDIEM TABLAS'!$B$4:$D$23,3,FALSE),0))+IF(AND(J198&gt;=95,J198&lt;=400,G198=3),IF(AND(C198="IN",I198=90),VLOOKUP(W198,'CAFCO 300 IDIEM TABLAS'!$F$4:$H$35,2,FALSE),0),0)+IF(AND(J198&gt;=95,J198&lt;=400,G198=3),IF(AND(C198="IN",I198=120),VLOOKUP(W198,'CAFCO 300 IDIEM TABLAS'!$F$4:$H$35,3,FALSE),0),0)+IF(AND(J198&gt;=95,J198&lt;=450,G198=4),IF(AND(C198="IN",I198=90),VLOOKUP(W198,'CAFCO 300 IDIEM TABLAS'!$J$4:$L$40,2,FALSE),0),0)+IF(AND(J198&gt;=95,J198&lt;=450,G198=4),IF(AND(C198="IN",I198=120),VLOOKUP(W198,'CAFCO 300 IDIEM TABLAS'!$J$4:$L$40,3,FALSE),0),0))</f>
        <v>17</v>
      </c>
      <c r="U198" s="48">
        <f t="shared" si="20"/>
        <v>24.915815949935812</v>
      </c>
      <c r="V198" s="82">
        <f t="shared" si="17"/>
        <v>374086.06067233626</v>
      </c>
      <c r="W198" s="64">
        <f>+IF(J198=LOOKUP(J198,'CAFCO 300 IDIEM TABLAS'!$J$4:$J$40),'HOJA DE CÁLCULO RESPALDO'!J198,MROUND('HOJA DE CÁLCULO RESPALDO'!J198,10))</f>
        <v>95</v>
      </c>
      <c r="X198" s="36"/>
      <c r="Y198" s="4"/>
    </row>
    <row r="199" spans="1:25" x14ac:dyDescent="0.25">
      <c r="A199" s="2" t="s">
        <v>45</v>
      </c>
      <c r="B199" s="3" t="s">
        <v>17</v>
      </c>
      <c r="C199" s="3" t="s">
        <v>19</v>
      </c>
      <c r="D199" s="3">
        <v>1</v>
      </c>
      <c r="E199" s="2">
        <v>1</v>
      </c>
      <c r="F199" s="8">
        <v>13000</v>
      </c>
      <c r="G199" s="1">
        <v>4</v>
      </c>
      <c r="H199" s="2">
        <v>1181</v>
      </c>
      <c r="I199" s="34">
        <v>90</v>
      </c>
      <c r="J199" s="11">
        <v>95</v>
      </c>
      <c r="K199" s="44">
        <f t="shared" si="14"/>
        <v>15.353</v>
      </c>
      <c r="L199" s="3" t="s">
        <v>61</v>
      </c>
      <c r="M199" s="3" t="s">
        <v>70</v>
      </c>
      <c r="N199" s="15">
        <f>ROUND((IF(L199="Blaze Shield II",IF(M199="Idiem software",IF(AND(C199="IN",G199=4),((('BLAZE SHIELD II'!$D$4*('HOJA DE CÁLCULO RESPALDO'!I199^2)+'BLAZE SHIELD II'!$D$5*'HOJA DE CÁLCULO RESPALDO'!I199+'BLAZE SHIELD II'!$D$6)*LN(J199))+('BLAZE SHIELD II'!$D$7*('HOJA DE CÁLCULO RESPALDO'!I199^2)+'BLAZE SHIELD II'!$D$8*'HOJA DE CÁLCULO RESPALDO'!I199+'BLAZE SHIELD II'!$D$9)),0),0),0))+(IF(L199="Blaze Shield II",IF(M199="Idiem software",IF(C199="Cj",((('BLAZE SHIELD II'!$H$4*('HOJA DE CÁLCULO RESPALDO'!I199^2)+'BLAZE SHIELD II'!$H$5*'HOJA DE CÁLCULO RESPALDO'!I199+'BLAZE SHIELD II'!$H$6)*LN(J199))+('BLAZE SHIELD II'!$H$7*('HOJA DE CÁLCULO RESPALDO'!I199^2)+'BLAZE SHIELD II'!$H$8*'HOJA DE CÁLCULO RESPALDO'!I199+'BLAZE SHIELD II'!$H$9)),0),0),0))+(IF(L199="Blaze Shield II",IF(M199="Idiem software",IF(C199="C",((('BLAZE SHIELD II'!$L$4*('HOJA DE CÁLCULO RESPALDO'!I199^2)+'BLAZE SHIELD II'!$L$5*'HOJA DE CÁLCULO RESPALDO'!I199+'BLAZE SHIELD II'!$L$6)*LN(J199))+('BLAZE SHIELD II'!$L$7*('HOJA DE CÁLCULO RESPALDO'!I199^2)+'BLAZE SHIELD II'!$L$8*'HOJA DE CÁLCULO RESPALDO'!I199+'BLAZE SHIELD II'!$L$9)),0),0),0))+(IF(L199="Blaze Shield II",IF(M199="Idiem software",IF(AND(C199="IN",G199=3),((('BLAZE SHIELD II'!$H$14*('HOJA DE CÁLCULO RESPALDO'!I199^2)+'BLAZE SHIELD II'!$H$15*'HOJA DE CÁLCULO RESPALDO'!I199+'BLAZE SHIELD II'!$H$16)*LN(J199))+('BLAZE SHIELD II'!$H$17*('HOJA DE CÁLCULO RESPALDO'!I199^2)+'BLAZE SHIELD II'!$H$18*'HOJA DE CÁLCULO RESPALDO'!I199+'BLAZE SHIELD II'!$H$19)),0),0),0)),0)</f>
        <v>0</v>
      </c>
      <c r="O199" s="46">
        <f t="shared" si="18"/>
        <v>0</v>
      </c>
      <c r="P199" s="80">
        <f t="shared" si="15"/>
        <v>0</v>
      </c>
      <c r="Q199" s="85">
        <f>ROUND((IF(L199="Cafco 400",IF(M199="Idiem software",IF(AND(C199="IN",G199=4),((('CAFCO 400 '!$H$7*(J199^4)+'CAFCO 400 '!$H$8*(J199^3)+'CAFCO 400 '!$H$9*(J199^2)+'CAFCO 400 '!$H$10*J199+'CAFCO 400 '!$H$11)*I199^2)+(('CAFCO 400 '!$H$12*(J199^3)+'CAFCO 400 '!$H$13*(J199^2)+'CAFCO 400 '!$H$14*J199+'CAFCO 400 '!$H$15)*I199)+('CAFCO 400 '!$H$16*(J199^2)+'CAFCO 400 '!$H$17*J199+'CAFCO 400 '!$H$18)),0),0),0))+(IF(L199="Cafco 400",IF(M199="Idiem software",IF(C199="Cj",(((('CAFCO 400 '!$D$7*LN(J199)+'CAFCO 400 '!$D$8)*I199^2)+(('CAFCO 400 '!$D$9*LN(J199)+'CAFCO 400 '!$D$10)*I199)+('CAFCO 400 '!$D$11*LN(J199)+'CAFCO 400 '!$D$12))),0),0),0))+(IF(L199="Cafco 400",IF(M199="Idiem software",IF(C199="C",((('CAFCO 400 '!$L$7*(J199^3)+'CAFCO 400 '!$L$8*(J199^2)+'CAFCO 400 '!$L$9*J199+'CAFCO 400 '!$L$10)*I199^2)+(('CAFCO 400 '!$L$11*(J199^3)+'CAFCO 400 '!$L$12*(J199^2)+'CAFCO 400 '!$L$13*J199+'CAFCO 400 '!$L$14)*I199)+('CAFCO 400 '!$L$15*LN(J199)+'CAFCO 400 '!$L$16)),0),0),0))+(IF(L199="Cafco 400",IF(M199="Idiem software",IF(AND(C199="IN",G199=3),((('CAFCO 400 '!$D$23*(J199^2)+'CAFCO 400 '!$D$24*(J199)+'CAFCO 400 '!$D$25)*I199^2)+(('CAFCO 400 '!$D$26*(J199^2)+'CAFCO 400 '!$D$27*J199+'CAFCO 400 '!$D$28)*I199)+('CAFCO 400 '!$D$29*(J199^2)+'CAFCO 400 '!$D$30*J199+'CAFCO 400 '!$D$31)),0),0),0)),0)</f>
        <v>0</v>
      </c>
      <c r="R199" s="47">
        <f t="shared" si="19"/>
        <v>0</v>
      </c>
      <c r="S199" s="82">
        <f t="shared" si="16"/>
        <v>0</v>
      </c>
      <c r="T199" s="81">
        <f>+IF(AND(J199&gt;=95,J199&lt;=240),IF(AND(C199="Cj",I199=90),VLOOKUP(W199,'CAFCO 300 IDIEM TABLAS'!$B$4:$D$23,2,FALSE),0)+IF(AND(J199&gt;=95,J199&lt;=240),IF(AND(C199="Cj",I199=120),VLOOKUP(W199,'CAFCO 300 IDIEM TABLAS'!$B$4:$D$23,3,FALSE),0))+IF(AND(J199&gt;=95,J199&lt;=400,G199=3),IF(AND(C199="IN",I199=90),VLOOKUP(W199,'CAFCO 300 IDIEM TABLAS'!$F$4:$H$35,2,FALSE),0),0)+IF(AND(J199&gt;=95,J199&lt;=400,G199=3),IF(AND(C199="IN",I199=120),VLOOKUP(W199,'CAFCO 300 IDIEM TABLAS'!$F$4:$H$35,3,FALSE),0),0)+IF(AND(J199&gt;=95,J199&lt;=450,G199=4),IF(AND(C199="IN",I199=90),VLOOKUP(W199,'CAFCO 300 IDIEM TABLAS'!$J$4:$L$40,2,FALSE),0),0)+IF(AND(J199&gt;=95,J199&lt;=450,G199=4),IF(AND(C199="IN",I199=120),VLOOKUP(W199,'CAFCO 300 IDIEM TABLAS'!$J$4:$L$40,3,FALSE),0),0))</f>
        <v>17</v>
      </c>
      <c r="U199" s="48">
        <f t="shared" si="20"/>
        <v>3.6017467907573808</v>
      </c>
      <c r="V199" s="82">
        <f t="shared" si="17"/>
        <v>54076.626316431313</v>
      </c>
      <c r="W199" s="64">
        <f>+IF(J199=LOOKUP(J199,'CAFCO 300 IDIEM TABLAS'!$J$4:$J$40),'HOJA DE CÁLCULO RESPALDO'!J199,MROUND('HOJA DE CÁLCULO RESPALDO'!J199,10))</f>
        <v>95</v>
      </c>
      <c r="X199" s="36"/>
      <c r="Y199" s="4"/>
    </row>
    <row r="200" spans="1:25" ht="15.6" customHeight="1" x14ac:dyDescent="0.25">
      <c r="A200" s="2" t="s">
        <v>45</v>
      </c>
      <c r="B200" s="3" t="s">
        <v>17</v>
      </c>
      <c r="C200" s="3" t="s">
        <v>19</v>
      </c>
      <c r="D200" s="3">
        <v>1</v>
      </c>
      <c r="E200" s="2">
        <v>1</v>
      </c>
      <c r="F200" s="8">
        <v>4250</v>
      </c>
      <c r="G200" s="1">
        <v>4</v>
      </c>
      <c r="H200" s="2">
        <v>1181</v>
      </c>
      <c r="I200" s="34">
        <v>90</v>
      </c>
      <c r="J200" s="11">
        <v>95</v>
      </c>
      <c r="K200" s="44">
        <f t="shared" si="14"/>
        <v>5.0192500000000004</v>
      </c>
      <c r="L200" s="3" t="s">
        <v>61</v>
      </c>
      <c r="M200" s="3" t="s">
        <v>70</v>
      </c>
      <c r="N200" s="15">
        <f>ROUND((IF(L200="Blaze Shield II",IF(M200="Idiem software",IF(AND(C200="IN",G200=4),((('BLAZE SHIELD II'!$D$4*('HOJA DE CÁLCULO RESPALDO'!I200^2)+'BLAZE SHIELD II'!$D$5*'HOJA DE CÁLCULO RESPALDO'!I200+'BLAZE SHIELD II'!$D$6)*LN(J200))+('BLAZE SHIELD II'!$D$7*('HOJA DE CÁLCULO RESPALDO'!I200^2)+'BLAZE SHIELD II'!$D$8*'HOJA DE CÁLCULO RESPALDO'!I200+'BLAZE SHIELD II'!$D$9)),0),0),0))+(IF(L200="Blaze Shield II",IF(M200="Idiem software",IF(C200="Cj",((('BLAZE SHIELD II'!$H$4*('HOJA DE CÁLCULO RESPALDO'!I200^2)+'BLAZE SHIELD II'!$H$5*'HOJA DE CÁLCULO RESPALDO'!I200+'BLAZE SHIELD II'!$H$6)*LN(J200))+('BLAZE SHIELD II'!$H$7*('HOJA DE CÁLCULO RESPALDO'!I200^2)+'BLAZE SHIELD II'!$H$8*'HOJA DE CÁLCULO RESPALDO'!I200+'BLAZE SHIELD II'!$H$9)),0),0),0))+(IF(L200="Blaze Shield II",IF(M200="Idiem software",IF(C200="C",((('BLAZE SHIELD II'!$L$4*('HOJA DE CÁLCULO RESPALDO'!I200^2)+'BLAZE SHIELD II'!$L$5*'HOJA DE CÁLCULO RESPALDO'!I200+'BLAZE SHIELD II'!$L$6)*LN(J200))+('BLAZE SHIELD II'!$L$7*('HOJA DE CÁLCULO RESPALDO'!I200^2)+'BLAZE SHIELD II'!$L$8*'HOJA DE CÁLCULO RESPALDO'!I200+'BLAZE SHIELD II'!$L$9)),0),0),0))+(IF(L200="Blaze Shield II",IF(M200="Idiem software",IF(AND(C200="IN",G200=3),((('BLAZE SHIELD II'!$H$14*('HOJA DE CÁLCULO RESPALDO'!I200^2)+'BLAZE SHIELD II'!$H$15*'HOJA DE CÁLCULO RESPALDO'!I200+'BLAZE SHIELD II'!$H$16)*LN(J200))+('BLAZE SHIELD II'!$H$17*('HOJA DE CÁLCULO RESPALDO'!I200^2)+'BLAZE SHIELD II'!$H$18*'HOJA DE CÁLCULO RESPALDO'!I200+'BLAZE SHIELD II'!$H$19)),0),0),0)),0)</f>
        <v>0</v>
      </c>
      <c r="O200" s="46">
        <f t="shared" si="18"/>
        <v>0</v>
      </c>
      <c r="P200" s="80">
        <f t="shared" si="15"/>
        <v>0</v>
      </c>
      <c r="Q200" s="85">
        <f>ROUND((IF(L200="Cafco 400",IF(M200="Idiem software",IF(AND(C200="IN",G200=4),((('CAFCO 400 '!$H$7*(J200^4)+'CAFCO 400 '!$H$8*(J200^3)+'CAFCO 400 '!$H$9*(J200^2)+'CAFCO 400 '!$H$10*J200+'CAFCO 400 '!$H$11)*I200^2)+(('CAFCO 400 '!$H$12*(J200^3)+'CAFCO 400 '!$H$13*(J200^2)+'CAFCO 400 '!$H$14*J200+'CAFCO 400 '!$H$15)*I200)+('CAFCO 400 '!$H$16*(J200^2)+'CAFCO 400 '!$H$17*J200+'CAFCO 400 '!$H$18)),0),0),0))+(IF(L200="Cafco 400",IF(M200="Idiem software",IF(C200="Cj",(((('CAFCO 400 '!$D$7*LN(J200)+'CAFCO 400 '!$D$8)*I200^2)+(('CAFCO 400 '!$D$9*LN(J200)+'CAFCO 400 '!$D$10)*I200)+('CAFCO 400 '!$D$11*LN(J200)+'CAFCO 400 '!$D$12))),0),0),0))+(IF(L200="Cafco 400",IF(M200="Idiem software",IF(C200="C",((('CAFCO 400 '!$L$7*(J200^3)+'CAFCO 400 '!$L$8*(J200^2)+'CAFCO 400 '!$L$9*J200+'CAFCO 400 '!$L$10)*I200^2)+(('CAFCO 400 '!$L$11*(J200^3)+'CAFCO 400 '!$L$12*(J200^2)+'CAFCO 400 '!$L$13*J200+'CAFCO 400 '!$L$14)*I200)+('CAFCO 400 '!$L$15*LN(J200)+'CAFCO 400 '!$L$16)),0),0),0))+(IF(L200="Cafco 400",IF(M200="Idiem software",IF(AND(C200="IN",G200=3),((('CAFCO 400 '!$D$23*(J200^2)+'CAFCO 400 '!$D$24*(J200)+'CAFCO 400 '!$D$25)*I200^2)+(('CAFCO 400 '!$D$26*(J200^2)+'CAFCO 400 '!$D$27*J200+'CAFCO 400 '!$D$28)*I200)+('CAFCO 400 '!$D$29*(J200^2)+'CAFCO 400 '!$D$30*J200+'CAFCO 400 '!$D$31)),0),0),0)),0)</f>
        <v>0</v>
      </c>
      <c r="R200" s="47">
        <f t="shared" si="19"/>
        <v>0</v>
      </c>
      <c r="S200" s="82">
        <f t="shared" si="16"/>
        <v>0</v>
      </c>
      <c r="T200" s="81">
        <f>+IF(AND(J200&gt;=95,J200&lt;=240),IF(AND(C200="Cj",I200=90),VLOOKUP(W200,'CAFCO 300 IDIEM TABLAS'!$B$4:$D$23,2,FALSE),0)+IF(AND(J200&gt;=95,J200&lt;=240),IF(AND(C200="Cj",I200=120),VLOOKUP(W200,'CAFCO 300 IDIEM TABLAS'!$B$4:$D$23,3,FALSE),0))+IF(AND(J200&gt;=95,J200&lt;=400,G200=3),IF(AND(C200="IN",I200=90),VLOOKUP(W200,'CAFCO 300 IDIEM TABLAS'!$F$4:$H$35,2,FALSE),0),0)+IF(AND(J200&gt;=95,J200&lt;=400,G200=3),IF(AND(C200="IN",I200=120),VLOOKUP(W200,'CAFCO 300 IDIEM TABLAS'!$F$4:$H$35,3,FALSE),0),0)+IF(AND(J200&gt;=95,J200&lt;=450,G200=4),IF(AND(C200="IN",I200=90),VLOOKUP(W200,'CAFCO 300 IDIEM TABLAS'!$J$4:$L$40,2,FALSE),0),0)+IF(AND(J200&gt;=95,J200&lt;=450,G200=4),IF(AND(C200="IN",I200=120),VLOOKUP(W200,'CAFCO 300 IDIEM TABLAS'!$J$4:$L$40,3,FALSE),0),0))</f>
        <v>17</v>
      </c>
      <c r="U200" s="48">
        <f t="shared" si="20"/>
        <v>1.177494143132221</v>
      </c>
      <c r="V200" s="82">
        <f t="shared" si="17"/>
        <v>17678.897064987166</v>
      </c>
      <c r="W200" s="64">
        <f>+IF(J200=LOOKUP(J200,'CAFCO 300 IDIEM TABLAS'!$J$4:$J$40),'HOJA DE CÁLCULO RESPALDO'!J200,MROUND('HOJA DE CÁLCULO RESPALDO'!J200,10))</f>
        <v>95</v>
      </c>
      <c r="X200" s="36"/>
      <c r="Y200" s="4"/>
    </row>
    <row r="201" spans="1:25" x14ac:dyDescent="0.25">
      <c r="A201" s="2" t="s">
        <v>46</v>
      </c>
      <c r="B201" s="3" t="s">
        <v>17</v>
      </c>
      <c r="C201" s="3" t="s">
        <v>19</v>
      </c>
      <c r="D201" s="3">
        <v>1</v>
      </c>
      <c r="E201" s="2">
        <v>1</v>
      </c>
      <c r="F201" s="8">
        <v>8500</v>
      </c>
      <c r="G201" s="1">
        <v>4</v>
      </c>
      <c r="H201" s="2">
        <v>1181</v>
      </c>
      <c r="I201" s="34">
        <v>90</v>
      </c>
      <c r="J201" s="11">
        <v>95</v>
      </c>
      <c r="K201" s="44">
        <f t="shared" si="14"/>
        <v>10.038500000000001</v>
      </c>
      <c r="L201" s="3" t="s">
        <v>61</v>
      </c>
      <c r="M201" s="3" t="s">
        <v>70</v>
      </c>
      <c r="N201" s="15">
        <f>ROUND((IF(L201="Blaze Shield II",IF(M201="Idiem software",IF(AND(C201="IN",G201=4),((('BLAZE SHIELD II'!$D$4*('HOJA DE CÁLCULO RESPALDO'!I201^2)+'BLAZE SHIELD II'!$D$5*'HOJA DE CÁLCULO RESPALDO'!I201+'BLAZE SHIELD II'!$D$6)*LN(J201))+('BLAZE SHIELD II'!$D$7*('HOJA DE CÁLCULO RESPALDO'!I201^2)+'BLAZE SHIELD II'!$D$8*'HOJA DE CÁLCULO RESPALDO'!I201+'BLAZE SHIELD II'!$D$9)),0),0),0))+(IF(L201="Blaze Shield II",IF(M201="Idiem software",IF(C201="Cj",((('BLAZE SHIELD II'!$H$4*('HOJA DE CÁLCULO RESPALDO'!I201^2)+'BLAZE SHIELD II'!$H$5*'HOJA DE CÁLCULO RESPALDO'!I201+'BLAZE SHIELD II'!$H$6)*LN(J201))+('BLAZE SHIELD II'!$H$7*('HOJA DE CÁLCULO RESPALDO'!I201^2)+'BLAZE SHIELD II'!$H$8*'HOJA DE CÁLCULO RESPALDO'!I201+'BLAZE SHIELD II'!$H$9)),0),0),0))+(IF(L201="Blaze Shield II",IF(M201="Idiem software",IF(C201="C",((('BLAZE SHIELD II'!$L$4*('HOJA DE CÁLCULO RESPALDO'!I201^2)+'BLAZE SHIELD II'!$L$5*'HOJA DE CÁLCULO RESPALDO'!I201+'BLAZE SHIELD II'!$L$6)*LN(J201))+('BLAZE SHIELD II'!$L$7*('HOJA DE CÁLCULO RESPALDO'!I201^2)+'BLAZE SHIELD II'!$L$8*'HOJA DE CÁLCULO RESPALDO'!I201+'BLAZE SHIELD II'!$L$9)),0),0),0))+(IF(L201="Blaze Shield II",IF(M201="Idiem software",IF(AND(C201="IN",G201=3),((('BLAZE SHIELD II'!$H$14*('HOJA DE CÁLCULO RESPALDO'!I201^2)+'BLAZE SHIELD II'!$H$15*'HOJA DE CÁLCULO RESPALDO'!I201+'BLAZE SHIELD II'!$H$16)*LN(J201))+('BLAZE SHIELD II'!$H$17*('HOJA DE CÁLCULO RESPALDO'!I201^2)+'BLAZE SHIELD II'!$H$18*'HOJA DE CÁLCULO RESPALDO'!I201+'BLAZE SHIELD II'!$H$19)),0),0),0)),0)</f>
        <v>0</v>
      </c>
      <c r="O201" s="46">
        <f t="shared" si="18"/>
        <v>0</v>
      </c>
      <c r="P201" s="80">
        <f t="shared" si="15"/>
        <v>0</v>
      </c>
      <c r="Q201" s="85">
        <f>ROUND((IF(L201="Cafco 400",IF(M201="Idiem software",IF(AND(C201="IN",G201=4),((('CAFCO 400 '!$H$7*(J201^4)+'CAFCO 400 '!$H$8*(J201^3)+'CAFCO 400 '!$H$9*(J201^2)+'CAFCO 400 '!$H$10*J201+'CAFCO 400 '!$H$11)*I201^2)+(('CAFCO 400 '!$H$12*(J201^3)+'CAFCO 400 '!$H$13*(J201^2)+'CAFCO 400 '!$H$14*J201+'CAFCO 400 '!$H$15)*I201)+('CAFCO 400 '!$H$16*(J201^2)+'CAFCO 400 '!$H$17*J201+'CAFCO 400 '!$H$18)),0),0),0))+(IF(L201="Cafco 400",IF(M201="Idiem software",IF(C201="Cj",(((('CAFCO 400 '!$D$7*LN(J201)+'CAFCO 400 '!$D$8)*I201^2)+(('CAFCO 400 '!$D$9*LN(J201)+'CAFCO 400 '!$D$10)*I201)+('CAFCO 400 '!$D$11*LN(J201)+'CAFCO 400 '!$D$12))),0),0),0))+(IF(L201="Cafco 400",IF(M201="Idiem software",IF(C201="C",((('CAFCO 400 '!$L$7*(J201^3)+'CAFCO 400 '!$L$8*(J201^2)+'CAFCO 400 '!$L$9*J201+'CAFCO 400 '!$L$10)*I201^2)+(('CAFCO 400 '!$L$11*(J201^3)+'CAFCO 400 '!$L$12*(J201^2)+'CAFCO 400 '!$L$13*J201+'CAFCO 400 '!$L$14)*I201)+('CAFCO 400 '!$L$15*LN(J201)+'CAFCO 400 '!$L$16)),0),0),0))+(IF(L201="Cafco 400",IF(M201="Idiem software",IF(AND(C201="IN",G201=3),((('CAFCO 400 '!$D$23*(J201^2)+'CAFCO 400 '!$D$24*(J201)+'CAFCO 400 '!$D$25)*I201^2)+(('CAFCO 400 '!$D$26*(J201^2)+'CAFCO 400 '!$D$27*J201+'CAFCO 400 '!$D$28)*I201)+('CAFCO 400 '!$D$29*(J201^2)+'CAFCO 400 '!$D$30*J201+'CAFCO 400 '!$D$31)),0),0),0)),0)</f>
        <v>0</v>
      </c>
      <c r="R201" s="47">
        <f t="shared" si="19"/>
        <v>0</v>
      </c>
      <c r="S201" s="82">
        <f t="shared" si="16"/>
        <v>0</v>
      </c>
      <c r="T201" s="81">
        <f>+IF(AND(J201&gt;=95,J201&lt;=240),IF(AND(C201="Cj",I201=90),VLOOKUP(W201,'CAFCO 300 IDIEM TABLAS'!$B$4:$D$23,2,FALSE),0)+IF(AND(J201&gt;=95,J201&lt;=240),IF(AND(C201="Cj",I201=120),VLOOKUP(W201,'CAFCO 300 IDIEM TABLAS'!$B$4:$D$23,3,FALSE),0))+IF(AND(J201&gt;=95,J201&lt;=400,G201=3),IF(AND(C201="IN",I201=90),VLOOKUP(W201,'CAFCO 300 IDIEM TABLAS'!$F$4:$H$35,2,FALSE),0),0)+IF(AND(J201&gt;=95,J201&lt;=400,G201=3),IF(AND(C201="IN",I201=120),VLOOKUP(W201,'CAFCO 300 IDIEM TABLAS'!$F$4:$H$35,3,FALSE),0),0)+IF(AND(J201&gt;=95,J201&lt;=450,G201=4),IF(AND(C201="IN",I201=90),VLOOKUP(W201,'CAFCO 300 IDIEM TABLAS'!$J$4:$L$40,2,FALSE),0),0)+IF(AND(J201&gt;=95,J201&lt;=450,G201=4),IF(AND(C201="IN",I201=120),VLOOKUP(W201,'CAFCO 300 IDIEM TABLAS'!$J$4:$L$40,3,FALSE),0),0))</f>
        <v>17</v>
      </c>
      <c r="U201" s="48">
        <f t="shared" si="20"/>
        <v>2.354988286264442</v>
      </c>
      <c r="V201" s="82">
        <f t="shared" si="17"/>
        <v>35357.794129974332</v>
      </c>
      <c r="W201" s="64">
        <f>+IF(J201=LOOKUP(J201,'CAFCO 300 IDIEM TABLAS'!$J$4:$J$40),'HOJA DE CÁLCULO RESPALDO'!J201,MROUND('HOJA DE CÁLCULO RESPALDO'!J201,10))</f>
        <v>95</v>
      </c>
      <c r="X201" s="36"/>
      <c r="Y201" s="4"/>
    </row>
    <row r="202" spans="1:25" ht="15.6" customHeight="1" x14ac:dyDescent="0.25">
      <c r="A202" s="2" t="s">
        <v>44</v>
      </c>
      <c r="B202" s="3" t="s">
        <v>17</v>
      </c>
      <c r="C202" s="3" t="s">
        <v>19</v>
      </c>
      <c r="D202" s="3">
        <v>1</v>
      </c>
      <c r="E202" s="2">
        <v>1</v>
      </c>
      <c r="F202" s="8">
        <v>103000</v>
      </c>
      <c r="G202" s="1">
        <v>4</v>
      </c>
      <c r="H202" s="2">
        <v>1190</v>
      </c>
      <c r="I202" s="34">
        <v>90</v>
      </c>
      <c r="J202" s="11">
        <v>95</v>
      </c>
      <c r="K202" s="44">
        <f t="shared" ref="K202:K265" si="21">+IF(C202="","",(H202*F202*E202*D202)/1000000)</f>
        <v>122.57</v>
      </c>
      <c r="L202" s="3" t="s">
        <v>61</v>
      </c>
      <c r="M202" s="3" t="s">
        <v>70</v>
      </c>
      <c r="N202" s="15">
        <f>ROUND((IF(L202="Blaze Shield II",IF(M202="Idiem software",IF(AND(C202="IN",G202=4),((('BLAZE SHIELD II'!$D$4*('HOJA DE CÁLCULO RESPALDO'!I202^2)+'BLAZE SHIELD II'!$D$5*'HOJA DE CÁLCULO RESPALDO'!I202+'BLAZE SHIELD II'!$D$6)*LN(J202))+('BLAZE SHIELD II'!$D$7*('HOJA DE CÁLCULO RESPALDO'!I202^2)+'BLAZE SHIELD II'!$D$8*'HOJA DE CÁLCULO RESPALDO'!I202+'BLAZE SHIELD II'!$D$9)),0),0),0))+(IF(L202="Blaze Shield II",IF(M202="Idiem software",IF(C202="Cj",((('BLAZE SHIELD II'!$H$4*('HOJA DE CÁLCULO RESPALDO'!I202^2)+'BLAZE SHIELD II'!$H$5*'HOJA DE CÁLCULO RESPALDO'!I202+'BLAZE SHIELD II'!$H$6)*LN(J202))+('BLAZE SHIELD II'!$H$7*('HOJA DE CÁLCULO RESPALDO'!I202^2)+'BLAZE SHIELD II'!$H$8*'HOJA DE CÁLCULO RESPALDO'!I202+'BLAZE SHIELD II'!$H$9)),0),0),0))+(IF(L202="Blaze Shield II",IF(M202="Idiem software",IF(C202="C",((('BLAZE SHIELD II'!$L$4*('HOJA DE CÁLCULO RESPALDO'!I202^2)+'BLAZE SHIELD II'!$L$5*'HOJA DE CÁLCULO RESPALDO'!I202+'BLAZE SHIELD II'!$L$6)*LN(J202))+('BLAZE SHIELD II'!$L$7*('HOJA DE CÁLCULO RESPALDO'!I202^2)+'BLAZE SHIELD II'!$L$8*'HOJA DE CÁLCULO RESPALDO'!I202+'BLAZE SHIELD II'!$L$9)),0),0),0))+(IF(L202="Blaze Shield II",IF(M202="Idiem software",IF(AND(C202="IN",G202=3),((('BLAZE SHIELD II'!$H$14*('HOJA DE CÁLCULO RESPALDO'!I202^2)+'BLAZE SHIELD II'!$H$15*'HOJA DE CÁLCULO RESPALDO'!I202+'BLAZE SHIELD II'!$H$16)*LN(J202))+('BLAZE SHIELD II'!$H$17*('HOJA DE CÁLCULO RESPALDO'!I202^2)+'BLAZE SHIELD II'!$H$18*'HOJA DE CÁLCULO RESPALDO'!I202+'BLAZE SHIELD II'!$H$19)),0),0),0)),0)</f>
        <v>0</v>
      </c>
      <c r="O202" s="46">
        <f t="shared" si="18"/>
        <v>0</v>
      </c>
      <c r="P202" s="80">
        <f t="shared" ref="P202:P265" si="22">+O202*$Q$2</f>
        <v>0</v>
      </c>
      <c r="Q202" s="85">
        <f>ROUND((IF(L202="Cafco 400",IF(M202="Idiem software",IF(AND(C202="IN",G202=4),((('CAFCO 400 '!$H$7*(J202^4)+'CAFCO 400 '!$H$8*(J202^3)+'CAFCO 400 '!$H$9*(J202^2)+'CAFCO 400 '!$H$10*J202+'CAFCO 400 '!$H$11)*I202^2)+(('CAFCO 400 '!$H$12*(J202^3)+'CAFCO 400 '!$H$13*(J202^2)+'CAFCO 400 '!$H$14*J202+'CAFCO 400 '!$H$15)*I202)+('CAFCO 400 '!$H$16*(J202^2)+'CAFCO 400 '!$H$17*J202+'CAFCO 400 '!$H$18)),0),0),0))+(IF(L202="Cafco 400",IF(M202="Idiem software",IF(C202="Cj",(((('CAFCO 400 '!$D$7*LN(J202)+'CAFCO 400 '!$D$8)*I202^2)+(('CAFCO 400 '!$D$9*LN(J202)+'CAFCO 400 '!$D$10)*I202)+('CAFCO 400 '!$D$11*LN(J202)+'CAFCO 400 '!$D$12))),0),0),0))+(IF(L202="Cafco 400",IF(M202="Idiem software",IF(C202="C",((('CAFCO 400 '!$L$7*(J202^3)+'CAFCO 400 '!$L$8*(J202^2)+'CAFCO 400 '!$L$9*J202+'CAFCO 400 '!$L$10)*I202^2)+(('CAFCO 400 '!$L$11*(J202^3)+'CAFCO 400 '!$L$12*(J202^2)+'CAFCO 400 '!$L$13*J202+'CAFCO 400 '!$L$14)*I202)+('CAFCO 400 '!$L$15*LN(J202)+'CAFCO 400 '!$L$16)),0),0),0))+(IF(L202="Cafco 400",IF(M202="Idiem software",IF(AND(C202="IN",G202=3),((('CAFCO 400 '!$D$23*(J202^2)+'CAFCO 400 '!$D$24*(J202)+'CAFCO 400 '!$D$25)*I202^2)+(('CAFCO 400 '!$D$26*(J202^2)+'CAFCO 400 '!$D$27*J202+'CAFCO 400 '!$D$28)*I202)+('CAFCO 400 '!$D$29*(J202^2)+'CAFCO 400 '!$D$30*J202+'CAFCO 400 '!$D$31)),0),0),0)),0)</f>
        <v>0</v>
      </c>
      <c r="R202" s="47">
        <f t="shared" si="19"/>
        <v>0</v>
      </c>
      <c r="S202" s="82">
        <f t="shared" ref="S202:S265" si="23">+R202*$Q$3</f>
        <v>0</v>
      </c>
      <c r="T202" s="81">
        <f>+IF(AND(J202&gt;=95,J202&lt;=240),IF(AND(C202="Cj",I202=90),VLOOKUP(W202,'CAFCO 300 IDIEM TABLAS'!$B$4:$D$23,2,FALSE),0)+IF(AND(J202&gt;=95,J202&lt;=240),IF(AND(C202="Cj",I202=120),VLOOKUP(W202,'CAFCO 300 IDIEM TABLAS'!$B$4:$D$23,3,FALSE),0))+IF(AND(J202&gt;=95,J202&lt;=400,G202=3),IF(AND(C202="IN",I202=90),VLOOKUP(W202,'CAFCO 300 IDIEM TABLAS'!$F$4:$H$35,2,FALSE),0),0)+IF(AND(J202&gt;=95,J202&lt;=400,G202=3),IF(AND(C202="IN",I202=120),VLOOKUP(W202,'CAFCO 300 IDIEM TABLAS'!$F$4:$H$35,3,FALSE),0),0)+IF(AND(J202&gt;=95,J202&lt;=450,G202=4),IF(AND(C202="IN",I202=90),VLOOKUP(W202,'CAFCO 300 IDIEM TABLAS'!$J$4:$L$40,2,FALSE),0),0)+IF(AND(J202&gt;=95,J202&lt;=450,G202=4),IF(AND(C202="IN",I202=120),VLOOKUP(W202,'CAFCO 300 IDIEM TABLAS'!$J$4:$L$40,3,FALSE),0),0))</f>
        <v>17</v>
      </c>
      <c r="U202" s="48">
        <f t="shared" si="20"/>
        <v>28.754387034659821</v>
      </c>
      <c r="V202" s="82">
        <f t="shared" ref="V202:V265" si="24">+U202*$Q$4</f>
        <v>431718.36693838256</v>
      </c>
      <c r="W202" s="64">
        <f>+IF(J202=LOOKUP(J202,'CAFCO 300 IDIEM TABLAS'!$J$4:$J$40),'HOJA DE CÁLCULO RESPALDO'!J202,MROUND('HOJA DE CÁLCULO RESPALDO'!J202,10))</f>
        <v>95</v>
      </c>
      <c r="X202" s="36"/>
      <c r="Y202" s="4"/>
    </row>
    <row r="203" spans="1:25" x14ac:dyDescent="0.25">
      <c r="A203" s="2" t="s">
        <v>44</v>
      </c>
      <c r="B203" s="3" t="s">
        <v>17</v>
      </c>
      <c r="C203" s="3" t="s">
        <v>19</v>
      </c>
      <c r="D203" s="3">
        <v>1</v>
      </c>
      <c r="E203" s="2">
        <v>1</v>
      </c>
      <c r="F203" s="8">
        <v>12750</v>
      </c>
      <c r="G203" s="1">
        <v>4</v>
      </c>
      <c r="H203" s="2">
        <v>1181</v>
      </c>
      <c r="I203" s="34">
        <v>90</v>
      </c>
      <c r="J203" s="11">
        <v>95</v>
      </c>
      <c r="K203" s="44">
        <f t="shared" si="21"/>
        <v>15.05775</v>
      </c>
      <c r="L203" s="3" t="s">
        <v>61</v>
      </c>
      <c r="M203" s="3" t="s">
        <v>70</v>
      </c>
      <c r="N203" s="15">
        <f>ROUND((IF(L203="Blaze Shield II",IF(M203="Idiem software",IF(AND(C203="IN",G203=4),((('BLAZE SHIELD II'!$D$4*('HOJA DE CÁLCULO RESPALDO'!I203^2)+'BLAZE SHIELD II'!$D$5*'HOJA DE CÁLCULO RESPALDO'!I203+'BLAZE SHIELD II'!$D$6)*LN(J203))+('BLAZE SHIELD II'!$D$7*('HOJA DE CÁLCULO RESPALDO'!I203^2)+'BLAZE SHIELD II'!$D$8*'HOJA DE CÁLCULO RESPALDO'!I203+'BLAZE SHIELD II'!$D$9)),0),0),0))+(IF(L203="Blaze Shield II",IF(M203="Idiem software",IF(C203="Cj",((('BLAZE SHIELD II'!$H$4*('HOJA DE CÁLCULO RESPALDO'!I203^2)+'BLAZE SHIELD II'!$H$5*'HOJA DE CÁLCULO RESPALDO'!I203+'BLAZE SHIELD II'!$H$6)*LN(J203))+('BLAZE SHIELD II'!$H$7*('HOJA DE CÁLCULO RESPALDO'!I203^2)+'BLAZE SHIELD II'!$H$8*'HOJA DE CÁLCULO RESPALDO'!I203+'BLAZE SHIELD II'!$H$9)),0),0),0))+(IF(L203="Blaze Shield II",IF(M203="Idiem software",IF(C203="C",((('BLAZE SHIELD II'!$L$4*('HOJA DE CÁLCULO RESPALDO'!I203^2)+'BLAZE SHIELD II'!$L$5*'HOJA DE CÁLCULO RESPALDO'!I203+'BLAZE SHIELD II'!$L$6)*LN(J203))+('BLAZE SHIELD II'!$L$7*('HOJA DE CÁLCULO RESPALDO'!I203^2)+'BLAZE SHIELD II'!$L$8*'HOJA DE CÁLCULO RESPALDO'!I203+'BLAZE SHIELD II'!$L$9)),0),0),0))+(IF(L203="Blaze Shield II",IF(M203="Idiem software",IF(AND(C203="IN",G203=3),((('BLAZE SHIELD II'!$H$14*('HOJA DE CÁLCULO RESPALDO'!I203^2)+'BLAZE SHIELD II'!$H$15*'HOJA DE CÁLCULO RESPALDO'!I203+'BLAZE SHIELD II'!$H$16)*LN(J203))+('BLAZE SHIELD II'!$H$17*('HOJA DE CÁLCULO RESPALDO'!I203^2)+'BLAZE SHIELD II'!$H$18*'HOJA DE CÁLCULO RESPALDO'!I203+'BLAZE SHIELD II'!$H$19)),0),0),0)),0)</f>
        <v>0</v>
      </c>
      <c r="O203" s="46">
        <f t="shared" ref="O203:O266" si="25">((IF(L203="Blaze Shield II",((K203*N203*0.43)/38),0)))</f>
        <v>0</v>
      </c>
      <c r="P203" s="80">
        <f t="shared" si="22"/>
        <v>0</v>
      </c>
      <c r="Q203" s="85">
        <f>ROUND((IF(L203="Cafco 400",IF(M203="Idiem software",IF(AND(C203="IN",G203=4),((('CAFCO 400 '!$H$7*(J203^4)+'CAFCO 400 '!$H$8*(J203^3)+'CAFCO 400 '!$H$9*(J203^2)+'CAFCO 400 '!$H$10*J203+'CAFCO 400 '!$H$11)*I203^2)+(('CAFCO 400 '!$H$12*(J203^3)+'CAFCO 400 '!$H$13*(J203^2)+'CAFCO 400 '!$H$14*J203+'CAFCO 400 '!$H$15)*I203)+('CAFCO 400 '!$H$16*(J203^2)+'CAFCO 400 '!$H$17*J203+'CAFCO 400 '!$H$18)),0),0),0))+(IF(L203="Cafco 400",IF(M203="Idiem software",IF(C203="Cj",(((('CAFCO 400 '!$D$7*LN(J203)+'CAFCO 400 '!$D$8)*I203^2)+(('CAFCO 400 '!$D$9*LN(J203)+'CAFCO 400 '!$D$10)*I203)+('CAFCO 400 '!$D$11*LN(J203)+'CAFCO 400 '!$D$12))),0),0),0))+(IF(L203="Cafco 400",IF(M203="Idiem software",IF(C203="C",((('CAFCO 400 '!$L$7*(J203^3)+'CAFCO 400 '!$L$8*(J203^2)+'CAFCO 400 '!$L$9*J203+'CAFCO 400 '!$L$10)*I203^2)+(('CAFCO 400 '!$L$11*(J203^3)+'CAFCO 400 '!$L$12*(J203^2)+'CAFCO 400 '!$L$13*J203+'CAFCO 400 '!$L$14)*I203)+('CAFCO 400 '!$L$15*LN(J203)+'CAFCO 400 '!$L$16)),0),0),0))+(IF(L203="Cafco 400",IF(M203="Idiem software",IF(AND(C203="IN",G203=3),((('CAFCO 400 '!$D$23*(J203^2)+'CAFCO 400 '!$D$24*(J203)+'CAFCO 400 '!$D$25)*I203^2)+(('CAFCO 400 '!$D$26*(J203^2)+'CAFCO 400 '!$D$27*J203+'CAFCO 400 '!$D$28)*I203)+('CAFCO 400 '!$D$29*(J203^2)+'CAFCO 400 '!$D$30*J203+'CAFCO 400 '!$D$31)),0),0),0)),0)</f>
        <v>0</v>
      </c>
      <c r="R203" s="47">
        <f t="shared" ref="R203:R266" si="26">+((IF(L203="Cafco 400",((K203*Q203*0.43)/23),0)))</f>
        <v>0</v>
      </c>
      <c r="S203" s="82">
        <f t="shared" si="23"/>
        <v>0</v>
      </c>
      <c r="T203" s="81">
        <f>+IF(AND(J203&gt;=95,J203&lt;=240),IF(AND(C203="Cj",I203=90),VLOOKUP(W203,'CAFCO 300 IDIEM TABLAS'!$B$4:$D$23,2,FALSE),0)+IF(AND(J203&gt;=95,J203&lt;=240),IF(AND(C203="Cj",I203=120),VLOOKUP(W203,'CAFCO 300 IDIEM TABLAS'!$B$4:$D$23,3,FALSE),0))+IF(AND(J203&gt;=95,J203&lt;=400,G203=3),IF(AND(C203="IN",I203=90),VLOOKUP(W203,'CAFCO 300 IDIEM TABLAS'!$F$4:$H$35,2,FALSE),0),0)+IF(AND(J203&gt;=95,J203&lt;=400,G203=3),IF(AND(C203="IN",I203=120),VLOOKUP(W203,'CAFCO 300 IDIEM TABLAS'!$F$4:$H$35,3,FALSE),0),0)+IF(AND(J203&gt;=95,J203&lt;=450,G203=4),IF(AND(C203="IN",I203=90),VLOOKUP(W203,'CAFCO 300 IDIEM TABLAS'!$J$4:$L$40,2,FALSE),0),0)+IF(AND(J203&gt;=95,J203&lt;=450,G203=4),IF(AND(C203="IN",I203=120),VLOOKUP(W203,'CAFCO 300 IDIEM TABLAS'!$J$4:$L$40,3,FALSE),0),0))</f>
        <v>17</v>
      </c>
      <c r="U203" s="48">
        <f t="shared" ref="U203:U266" si="27">+((IF(L203="Cafco 300",((K203*T203*0.43)/31.16),0)))</f>
        <v>3.5324824293966626</v>
      </c>
      <c r="V203" s="82">
        <f t="shared" si="24"/>
        <v>53036.691194961495</v>
      </c>
      <c r="W203" s="64">
        <f>+IF(J203=LOOKUP(J203,'CAFCO 300 IDIEM TABLAS'!$J$4:$J$40),'HOJA DE CÁLCULO RESPALDO'!J203,MROUND('HOJA DE CÁLCULO RESPALDO'!J203,10))</f>
        <v>95</v>
      </c>
      <c r="X203" s="36"/>
      <c r="Y203" s="4"/>
    </row>
    <row r="204" spans="1:25" ht="15.6" customHeight="1" x14ac:dyDescent="0.25">
      <c r="A204" s="2" t="s">
        <v>44</v>
      </c>
      <c r="B204" s="3" t="s">
        <v>17</v>
      </c>
      <c r="C204" s="3" t="s">
        <v>19</v>
      </c>
      <c r="D204" s="3">
        <v>1</v>
      </c>
      <c r="E204" s="2">
        <v>1</v>
      </c>
      <c r="F204" s="8">
        <v>17500</v>
      </c>
      <c r="G204" s="1">
        <v>4</v>
      </c>
      <c r="H204" s="2">
        <v>1692</v>
      </c>
      <c r="I204" s="34">
        <v>90</v>
      </c>
      <c r="J204" s="11">
        <v>95</v>
      </c>
      <c r="K204" s="44">
        <f t="shared" si="21"/>
        <v>29.61</v>
      </c>
      <c r="L204" s="3" t="s">
        <v>61</v>
      </c>
      <c r="M204" s="3" t="s">
        <v>70</v>
      </c>
      <c r="N204" s="15">
        <f>ROUND((IF(L204="Blaze Shield II",IF(M204="Idiem software",IF(AND(C204="IN",G204=4),((('BLAZE SHIELD II'!$D$4*('HOJA DE CÁLCULO RESPALDO'!I204^2)+'BLAZE SHIELD II'!$D$5*'HOJA DE CÁLCULO RESPALDO'!I204+'BLAZE SHIELD II'!$D$6)*LN(J204))+('BLAZE SHIELD II'!$D$7*('HOJA DE CÁLCULO RESPALDO'!I204^2)+'BLAZE SHIELD II'!$D$8*'HOJA DE CÁLCULO RESPALDO'!I204+'BLAZE SHIELD II'!$D$9)),0),0),0))+(IF(L204="Blaze Shield II",IF(M204="Idiem software",IF(C204="Cj",((('BLAZE SHIELD II'!$H$4*('HOJA DE CÁLCULO RESPALDO'!I204^2)+'BLAZE SHIELD II'!$H$5*'HOJA DE CÁLCULO RESPALDO'!I204+'BLAZE SHIELD II'!$H$6)*LN(J204))+('BLAZE SHIELD II'!$H$7*('HOJA DE CÁLCULO RESPALDO'!I204^2)+'BLAZE SHIELD II'!$H$8*'HOJA DE CÁLCULO RESPALDO'!I204+'BLAZE SHIELD II'!$H$9)),0),0),0))+(IF(L204="Blaze Shield II",IF(M204="Idiem software",IF(C204="C",((('BLAZE SHIELD II'!$L$4*('HOJA DE CÁLCULO RESPALDO'!I204^2)+'BLAZE SHIELD II'!$L$5*'HOJA DE CÁLCULO RESPALDO'!I204+'BLAZE SHIELD II'!$L$6)*LN(J204))+('BLAZE SHIELD II'!$L$7*('HOJA DE CÁLCULO RESPALDO'!I204^2)+'BLAZE SHIELD II'!$L$8*'HOJA DE CÁLCULO RESPALDO'!I204+'BLAZE SHIELD II'!$L$9)),0),0),0))+(IF(L204="Blaze Shield II",IF(M204="Idiem software",IF(AND(C204="IN",G204=3),((('BLAZE SHIELD II'!$H$14*('HOJA DE CÁLCULO RESPALDO'!I204^2)+'BLAZE SHIELD II'!$H$15*'HOJA DE CÁLCULO RESPALDO'!I204+'BLAZE SHIELD II'!$H$16)*LN(J204))+('BLAZE SHIELD II'!$H$17*('HOJA DE CÁLCULO RESPALDO'!I204^2)+'BLAZE SHIELD II'!$H$18*'HOJA DE CÁLCULO RESPALDO'!I204+'BLAZE SHIELD II'!$H$19)),0),0),0)),0)</f>
        <v>0</v>
      </c>
      <c r="O204" s="46">
        <f t="shared" si="25"/>
        <v>0</v>
      </c>
      <c r="P204" s="80">
        <f t="shared" si="22"/>
        <v>0</v>
      </c>
      <c r="Q204" s="85">
        <f>ROUND((IF(L204="Cafco 400",IF(M204="Idiem software",IF(AND(C204="IN",G204=4),((('CAFCO 400 '!$H$7*(J204^4)+'CAFCO 400 '!$H$8*(J204^3)+'CAFCO 400 '!$H$9*(J204^2)+'CAFCO 400 '!$H$10*J204+'CAFCO 400 '!$H$11)*I204^2)+(('CAFCO 400 '!$H$12*(J204^3)+'CAFCO 400 '!$H$13*(J204^2)+'CAFCO 400 '!$H$14*J204+'CAFCO 400 '!$H$15)*I204)+('CAFCO 400 '!$H$16*(J204^2)+'CAFCO 400 '!$H$17*J204+'CAFCO 400 '!$H$18)),0),0),0))+(IF(L204="Cafco 400",IF(M204="Idiem software",IF(C204="Cj",(((('CAFCO 400 '!$D$7*LN(J204)+'CAFCO 400 '!$D$8)*I204^2)+(('CAFCO 400 '!$D$9*LN(J204)+'CAFCO 400 '!$D$10)*I204)+('CAFCO 400 '!$D$11*LN(J204)+'CAFCO 400 '!$D$12))),0),0),0))+(IF(L204="Cafco 400",IF(M204="Idiem software",IF(C204="C",((('CAFCO 400 '!$L$7*(J204^3)+'CAFCO 400 '!$L$8*(J204^2)+'CAFCO 400 '!$L$9*J204+'CAFCO 400 '!$L$10)*I204^2)+(('CAFCO 400 '!$L$11*(J204^3)+'CAFCO 400 '!$L$12*(J204^2)+'CAFCO 400 '!$L$13*J204+'CAFCO 400 '!$L$14)*I204)+('CAFCO 400 '!$L$15*LN(J204)+'CAFCO 400 '!$L$16)),0),0),0))+(IF(L204="Cafco 400",IF(M204="Idiem software",IF(AND(C204="IN",G204=3),((('CAFCO 400 '!$D$23*(J204^2)+'CAFCO 400 '!$D$24*(J204)+'CAFCO 400 '!$D$25)*I204^2)+(('CAFCO 400 '!$D$26*(J204^2)+'CAFCO 400 '!$D$27*J204+'CAFCO 400 '!$D$28)*I204)+('CAFCO 400 '!$D$29*(J204^2)+'CAFCO 400 '!$D$30*J204+'CAFCO 400 '!$D$31)),0),0),0)),0)</f>
        <v>0</v>
      </c>
      <c r="R204" s="47">
        <f t="shared" si="26"/>
        <v>0</v>
      </c>
      <c r="S204" s="82">
        <f t="shared" si="23"/>
        <v>0</v>
      </c>
      <c r="T204" s="81">
        <f>+IF(AND(J204&gt;=95,J204&lt;=240),IF(AND(C204="Cj",I204=90),VLOOKUP(W204,'CAFCO 300 IDIEM TABLAS'!$B$4:$D$23,2,FALSE),0)+IF(AND(J204&gt;=95,J204&lt;=240),IF(AND(C204="Cj",I204=120),VLOOKUP(W204,'CAFCO 300 IDIEM TABLAS'!$B$4:$D$23,3,FALSE),0))+IF(AND(J204&gt;=95,J204&lt;=400,G204=3),IF(AND(C204="IN",I204=90),VLOOKUP(W204,'CAFCO 300 IDIEM TABLAS'!$F$4:$H$35,2,FALSE),0),0)+IF(AND(J204&gt;=95,J204&lt;=400,G204=3),IF(AND(C204="IN",I204=120),VLOOKUP(W204,'CAFCO 300 IDIEM TABLAS'!$F$4:$H$35,3,FALSE),0),0)+IF(AND(J204&gt;=95,J204&lt;=450,G204=4),IF(AND(C204="IN",I204=90),VLOOKUP(W204,'CAFCO 300 IDIEM TABLAS'!$J$4:$L$40,2,FALSE),0),0)+IF(AND(J204&gt;=95,J204&lt;=450,G204=4),IF(AND(C204="IN",I204=120),VLOOKUP(W204,'CAFCO 300 IDIEM TABLAS'!$J$4:$L$40,3,FALSE),0),0))</f>
        <v>17</v>
      </c>
      <c r="U204" s="48">
        <f t="shared" si="27"/>
        <v>6.94637676508344</v>
      </c>
      <c r="V204" s="82">
        <f t="shared" si="24"/>
        <v>104292.90075096277</v>
      </c>
      <c r="W204" s="64">
        <f>+IF(J204=LOOKUP(J204,'CAFCO 300 IDIEM TABLAS'!$J$4:$J$40),'HOJA DE CÁLCULO RESPALDO'!J204,MROUND('HOJA DE CÁLCULO RESPALDO'!J204,10))</f>
        <v>95</v>
      </c>
      <c r="X204" s="36"/>
      <c r="Y204" s="4"/>
    </row>
    <row r="205" spans="1:25" x14ac:dyDescent="0.25">
      <c r="A205" s="2" t="s">
        <v>44</v>
      </c>
      <c r="B205" s="3" t="s">
        <v>17</v>
      </c>
      <c r="C205" s="3" t="s">
        <v>19</v>
      </c>
      <c r="D205" s="3">
        <v>1</v>
      </c>
      <c r="E205" s="2">
        <v>1</v>
      </c>
      <c r="F205" s="8">
        <v>8500</v>
      </c>
      <c r="G205" s="1">
        <v>4</v>
      </c>
      <c r="H205" s="2">
        <v>1502</v>
      </c>
      <c r="I205" s="34">
        <v>90</v>
      </c>
      <c r="J205" s="11">
        <v>95</v>
      </c>
      <c r="K205" s="44">
        <f t="shared" si="21"/>
        <v>12.766999999999999</v>
      </c>
      <c r="L205" s="3" t="s">
        <v>61</v>
      </c>
      <c r="M205" s="3" t="s">
        <v>70</v>
      </c>
      <c r="N205" s="15">
        <f>ROUND((IF(L205="Blaze Shield II",IF(M205="Idiem software",IF(AND(C205="IN",G205=4),((('BLAZE SHIELD II'!$D$4*('HOJA DE CÁLCULO RESPALDO'!I205^2)+'BLAZE SHIELD II'!$D$5*'HOJA DE CÁLCULO RESPALDO'!I205+'BLAZE SHIELD II'!$D$6)*LN(J205))+('BLAZE SHIELD II'!$D$7*('HOJA DE CÁLCULO RESPALDO'!I205^2)+'BLAZE SHIELD II'!$D$8*'HOJA DE CÁLCULO RESPALDO'!I205+'BLAZE SHIELD II'!$D$9)),0),0),0))+(IF(L205="Blaze Shield II",IF(M205="Idiem software",IF(C205="Cj",((('BLAZE SHIELD II'!$H$4*('HOJA DE CÁLCULO RESPALDO'!I205^2)+'BLAZE SHIELD II'!$H$5*'HOJA DE CÁLCULO RESPALDO'!I205+'BLAZE SHIELD II'!$H$6)*LN(J205))+('BLAZE SHIELD II'!$H$7*('HOJA DE CÁLCULO RESPALDO'!I205^2)+'BLAZE SHIELD II'!$H$8*'HOJA DE CÁLCULO RESPALDO'!I205+'BLAZE SHIELD II'!$H$9)),0),0),0))+(IF(L205="Blaze Shield II",IF(M205="Idiem software",IF(C205="C",((('BLAZE SHIELD II'!$L$4*('HOJA DE CÁLCULO RESPALDO'!I205^2)+'BLAZE SHIELD II'!$L$5*'HOJA DE CÁLCULO RESPALDO'!I205+'BLAZE SHIELD II'!$L$6)*LN(J205))+('BLAZE SHIELD II'!$L$7*('HOJA DE CÁLCULO RESPALDO'!I205^2)+'BLAZE SHIELD II'!$L$8*'HOJA DE CÁLCULO RESPALDO'!I205+'BLAZE SHIELD II'!$L$9)),0),0),0))+(IF(L205="Blaze Shield II",IF(M205="Idiem software",IF(AND(C205="IN",G205=3),((('BLAZE SHIELD II'!$H$14*('HOJA DE CÁLCULO RESPALDO'!I205^2)+'BLAZE SHIELD II'!$H$15*'HOJA DE CÁLCULO RESPALDO'!I205+'BLAZE SHIELD II'!$H$16)*LN(J205))+('BLAZE SHIELD II'!$H$17*('HOJA DE CÁLCULO RESPALDO'!I205^2)+'BLAZE SHIELD II'!$H$18*'HOJA DE CÁLCULO RESPALDO'!I205+'BLAZE SHIELD II'!$H$19)),0),0),0)),0)</f>
        <v>0</v>
      </c>
      <c r="O205" s="46">
        <f t="shared" si="25"/>
        <v>0</v>
      </c>
      <c r="P205" s="80">
        <f t="shared" si="22"/>
        <v>0</v>
      </c>
      <c r="Q205" s="85">
        <f>ROUND((IF(L205="Cafco 400",IF(M205="Idiem software",IF(AND(C205="IN",G205=4),((('CAFCO 400 '!$H$7*(J205^4)+'CAFCO 400 '!$H$8*(J205^3)+'CAFCO 400 '!$H$9*(J205^2)+'CAFCO 400 '!$H$10*J205+'CAFCO 400 '!$H$11)*I205^2)+(('CAFCO 400 '!$H$12*(J205^3)+'CAFCO 400 '!$H$13*(J205^2)+'CAFCO 400 '!$H$14*J205+'CAFCO 400 '!$H$15)*I205)+('CAFCO 400 '!$H$16*(J205^2)+'CAFCO 400 '!$H$17*J205+'CAFCO 400 '!$H$18)),0),0),0))+(IF(L205="Cafco 400",IF(M205="Idiem software",IF(C205="Cj",(((('CAFCO 400 '!$D$7*LN(J205)+'CAFCO 400 '!$D$8)*I205^2)+(('CAFCO 400 '!$D$9*LN(J205)+'CAFCO 400 '!$D$10)*I205)+('CAFCO 400 '!$D$11*LN(J205)+'CAFCO 400 '!$D$12))),0),0),0))+(IF(L205="Cafco 400",IF(M205="Idiem software",IF(C205="C",((('CAFCO 400 '!$L$7*(J205^3)+'CAFCO 400 '!$L$8*(J205^2)+'CAFCO 400 '!$L$9*J205+'CAFCO 400 '!$L$10)*I205^2)+(('CAFCO 400 '!$L$11*(J205^3)+'CAFCO 400 '!$L$12*(J205^2)+'CAFCO 400 '!$L$13*J205+'CAFCO 400 '!$L$14)*I205)+('CAFCO 400 '!$L$15*LN(J205)+'CAFCO 400 '!$L$16)),0),0),0))+(IF(L205="Cafco 400",IF(M205="Idiem software",IF(AND(C205="IN",G205=3),((('CAFCO 400 '!$D$23*(J205^2)+'CAFCO 400 '!$D$24*(J205)+'CAFCO 400 '!$D$25)*I205^2)+(('CAFCO 400 '!$D$26*(J205^2)+'CAFCO 400 '!$D$27*J205+'CAFCO 400 '!$D$28)*I205)+('CAFCO 400 '!$D$29*(J205^2)+'CAFCO 400 '!$D$30*J205+'CAFCO 400 '!$D$31)),0),0),0)),0)</f>
        <v>0</v>
      </c>
      <c r="R205" s="47">
        <f t="shared" si="26"/>
        <v>0</v>
      </c>
      <c r="S205" s="82">
        <f t="shared" si="23"/>
        <v>0</v>
      </c>
      <c r="T205" s="81">
        <f>+IF(AND(J205&gt;=95,J205&lt;=240),IF(AND(C205="Cj",I205=90),VLOOKUP(W205,'CAFCO 300 IDIEM TABLAS'!$B$4:$D$23,2,FALSE),0)+IF(AND(J205&gt;=95,J205&lt;=240),IF(AND(C205="Cj",I205=120),VLOOKUP(W205,'CAFCO 300 IDIEM TABLAS'!$B$4:$D$23,3,FALSE),0))+IF(AND(J205&gt;=95,J205&lt;=400,G205=3),IF(AND(C205="IN",I205=90),VLOOKUP(W205,'CAFCO 300 IDIEM TABLAS'!$F$4:$H$35,2,FALSE),0),0)+IF(AND(J205&gt;=95,J205&lt;=400,G205=3),IF(AND(C205="IN",I205=120),VLOOKUP(W205,'CAFCO 300 IDIEM TABLAS'!$F$4:$H$35,3,FALSE),0),0)+IF(AND(J205&gt;=95,J205&lt;=450,G205=4),IF(AND(C205="IN",I205=90),VLOOKUP(W205,'CAFCO 300 IDIEM TABLAS'!$J$4:$L$40,2,FALSE),0),0)+IF(AND(J205&gt;=95,J205&lt;=450,G205=4),IF(AND(C205="IN",I205=120),VLOOKUP(W205,'CAFCO 300 IDIEM TABLAS'!$J$4:$L$40,3,FALSE),0),0))</f>
        <v>17</v>
      </c>
      <c r="U205" s="48">
        <f t="shared" si="27"/>
        <v>2.9950824775353015</v>
      </c>
      <c r="V205" s="82">
        <f t="shared" si="24"/>
        <v>44968.168317715019</v>
      </c>
      <c r="W205" s="64">
        <f>+IF(J205=LOOKUP(J205,'CAFCO 300 IDIEM TABLAS'!$J$4:$J$40),'HOJA DE CÁLCULO RESPALDO'!J205,MROUND('HOJA DE CÁLCULO RESPALDO'!J205,10))</f>
        <v>95</v>
      </c>
      <c r="X205" s="36"/>
      <c r="Y205" s="4"/>
    </row>
    <row r="206" spans="1:25" ht="15.6" customHeight="1" x14ac:dyDescent="0.25">
      <c r="A206" s="2" t="s">
        <v>41</v>
      </c>
      <c r="B206" s="3" t="s">
        <v>17</v>
      </c>
      <c r="C206" s="3" t="s">
        <v>19</v>
      </c>
      <c r="D206" s="3">
        <v>1</v>
      </c>
      <c r="E206" s="2">
        <v>1</v>
      </c>
      <c r="F206" s="8">
        <v>17500</v>
      </c>
      <c r="G206" s="1">
        <v>4</v>
      </c>
      <c r="H206" s="2">
        <v>1692</v>
      </c>
      <c r="I206" s="34">
        <v>90</v>
      </c>
      <c r="J206" s="11">
        <v>95</v>
      </c>
      <c r="K206" s="44">
        <f t="shared" si="21"/>
        <v>29.61</v>
      </c>
      <c r="L206" s="3" t="s">
        <v>61</v>
      </c>
      <c r="M206" s="3" t="s">
        <v>70</v>
      </c>
      <c r="N206" s="15">
        <f>ROUND((IF(L206="Blaze Shield II",IF(M206="Idiem software",IF(AND(C206="IN",G206=4),((('BLAZE SHIELD II'!$D$4*('HOJA DE CÁLCULO RESPALDO'!I206^2)+'BLAZE SHIELD II'!$D$5*'HOJA DE CÁLCULO RESPALDO'!I206+'BLAZE SHIELD II'!$D$6)*LN(J206))+('BLAZE SHIELD II'!$D$7*('HOJA DE CÁLCULO RESPALDO'!I206^2)+'BLAZE SHIELD II'!$D$8*'HOJA DE CÁLCULO RESPALDO'!I206+'BLAZE SHIELD II'!$D$9)),0),0),0))+(IF(L206="Blaze Shield II",IF(M206="Idiem software",IF(C206="Cj",((('BLAZE SHIELD II'!$H$4*('HOJA DE CÁLCULO RESPALDO'!I206^2)+'BLAZE SHIELD II'!$H$5*'HOJA DE CÁLCULO RESPALDO'!I206+'BLAZE SHIELD II'!$H$6)*LN(J206))+('BLAZE SHIELD II'!$H$7*('HOJA DE CÁLCULO RESPALDO'!I206^2)+'BLAZE SHIELD II'!$H$8*'HOJA DE CÁLCULO RESPALDO'!I206+'BLAZE SHIELD II'!$H$9)),0),0),0))+(IF(L206="Blaze Shield II",IF(M206="Idiem software",IF(C206="C",((('BLAZE SHIELD II'!$L$4*('HOJA DE CÁLCULO RESPALDO'!I206^2)+'BLAZE SHIELD II'!$L$5*'HOJA DE CÁLCULO RESPALDO'!I206+'BLAZE SHIELD II'!$L$6)*LN(J206))+('BLAZE SHIELD II'!$L$7*('HOJA DE CÁLCULO RESPALDO'!I206^2)+'BLAZE SHIELD II'!$L$8*'HOJA DE CÁLCULO RESPALDO'!I206+'BLAZE SHIELD II'!$L$9)),0),0),0))+(IF(L206="Blaze Shield II",IF(M206="Idiem software",IF(AND(C206="IN",G206=3),((('BLAZE SHIELD II'!$H$14*('HOJA DE CÁLCULO RESPALDO'!I206^2)+'BLAZE SHIELD II'!$H$15*'HOJA DE CÁLCULO RESPALDO'!I206+'BLAZE SHIELD II'!$H$16)*LN(J206))+('BLAZE SHIELD II'!$H$17*('HOJA DE CÁLCULO RESPALDO'!I206^2)+'BLAZE SHIELD II'!$H$18*'HOJA DE CÁLCULO RESPALDO'!I206+'BLAZE SHIELD II'!$H$19)),0),0),0)),0)</f>
        <v>0</v>
      </c>
      <c r="O206" s="46">
        <f t="shared" si="25"/>
        <v>0</v>
      </c>
      <c r="P206" s="80">
        <f t="shared" si="22"/>
        <v>0</v>
      </c>
      <c r="Q206" s="85">
        <f>ROUND((IF(L206="Cafco 400",IF(M206="Idiem software",IF(AND(C206="IN",G206=4),((('CAFCO 400 '!$H$7*(J206^4)+'CAFCO 400 '!$H$8*(J206^3)+'CAFCO 400 '!$H$9*(J206^2)+'CAFCO 400 '!$H$10*J206+'CAFCO 400 '!$H$11)*I206^2)+(('CAFCO 400 '!$H$12*(J206^3)+'CAFCO 400 '!$H$13*(J206^2)+'CAFCO 400 '!$H$14*J206+'CAFCO 400 '!$H$15)*I206)+('CAFCO 400 '!$H$16*(J206^2)+'CAFCO 400 '!$H$17*J206+'CAFCO 400 '!$H$18)),0),0),0))+(IF(L206="Cafco 400",IF(M206="Idiem software",IF(C206="Cj",(((('CAFCO 400 '!$D$7*LN(J206)+'CAFCO 400 '!$D$8)*I206^2)+(('CAFCO 400 '!$D$9*LN(J206)+'CAFCO 400 '!$D$10)*I206)+('CAFCO 400 '!$D$11*LN(J206)+'CAFCO 400 '!$D$12))),0),0),0))+(IF(L206="Cafco 400",IF(M206="Idiem software",IF(C206="C",((('CAFCO 400 '!$L$7*(J206^3)+'CAFCO 400 '!$L$8*(J206^2)+'CAFCO 400 '!$L$9*J206+'CAFCO 400 '!$L$10)*I206^2)+(('CAFCO 400 '!$L$11*(J206^3)+'CAFCO 400 '!$L$12*(J206^2)+'CAFCO 400 '!$L$13*J206+'CAFCO 400 '!$L$14)*I206)+('CAFCO 400 '!$L$15*LN(J206)+'CAFCO 400 '!$L$16)),0),0),0))+(IF(L206="Cafco 400",IF(M206="Idiem software",IF(AND(C206="IN",G206=3),((('CAFCO 400 '!$D$23*(J206^2)+'CAFCO 400 '!$D$24*(J206)+'CAFCO 400 '!$D$25)*I206^2)+(('CAFCO 400 '!$D$26*(J206^2)+'CAFCO 400 '!$D$27*J206+'CAFCO 400 '!$D$28)*I206)+('CAFCO 400 '!$D$29*(J206^2)+'CAFCO 400 '!$D$30*J206+'CAFCO 400 '!$D$31)),0),0),0)),0)</f>
        <v>0</v>
      </c>
      <c r="R206" s="47">
        <f t="shared" si="26"/>
        <v>0</v>
      </c>
      <c r="S206" s="82">
        <f t="shared" si="23"/>
        <v>0</v>
      </c>
      <c r="T206" s="81">
        <f>+IF(AND(J206&gt;=95,J206&lt;=240),IF(AND(C206="Cj",I206=90),VLOOKUP(W206,'CAFCO 300 IDIEM TABLAS'!$B$4:$D$23,2,FALSE),0)+IF(AND(J206&gt;=95,J206&lt;=240),IF(AND(C206="Cj",I206=120),VLOOKUP(W206,'CAFCO 300 IDIEM TABLAS'!$B$4:$D$23,3,FALSE),0))+IF(AND(J206&gt;=95,J206&lt;=400,G206=3),IF(AND(C206="IN",I206=90),VLOOKUP(W206,'CAFCO 300 IDIEM TABLAS'!$F$4:$H$35,2,FALSE),0),0)+IF(AND(J206&gt;=95,J206&lt;=400,G206=3),IF(AND(C206="IN",I206=120),VLOOKUP(W206,'CAFCO 300 IDIEM TABLAS'!$F$4:$H$35,3,FALSE),0),0)+IF(AND(J206&gt;=95,J206&lt;=450,G206=4),IF(AND(C206="IN",I206=90),VLOOKUP(W206,'CAFCO 300 IDIEM TABLAS'!$J$4:$L$40,2,FALSE),0),0)+IF(AND(J206&gt;=95,J206&lt;=450,G206=4),IF(AND(C206="IN",I206=120),VLOOKUP(W206,'CAFCO 300 IDIEM TABLAS'!$J$4:$L$40,3,FALSE),0),0))</f>
        <v>17</v>
      </c>
      <c r="U206" s="48">
        <f t="shared" si="27"/>
        <v>6.94637676508344</v>
      </c>
      <c r="V206" s="82">
        <f t="shared" si="24"/>
        <v>104292.90075096277</v>
      </c>
      <c r="W206" s="64">
        <f>+IF(J206=LOOKUP(J206,'CAFCO 300 IDIEM TABLAS'!$J$4:$J$40),'HOJA DE CÁLCULO RESPALDO'!J206,MROUND('HOJA DE CÁLCULO RESPALDO'!J206,10))</f>
        <v>95</v>
      </c>
      <c r="X206" s="36"/>
      <c r="Y206" s="4"/>
    </row>
    <row r="207" spans="1:25" x14ac:dyDescent="0.25">
      <c r="A207" s="2" t="s">
        <v>44</v>
      </c>
      <c r="B207" s="3" t="s">
        <v>17</v>
      </c>
      <c r="C207" s="3" t="s">
        <v>19</v>
      </c>
      <c r="D207" s="3">
        <v>1</v>
      </c>
      <c r="E207" s="2">
        <v>1</v>
      </c>
      <c r="F207" s="8">
        <v>8500</v>
      </c>
      <c r="G207" s="1">
        <v>4</v>
      </c>
      <c r="H207" s="2">
        <v>1692</v>
      </c>
      <c r="I207" s="34">
        <v>90</v>
      </c>
      <c r="J207" s="11">
        <v>95</v>
      </c>
      <c r="K207" s="44">
        <f t="shared" si="21"/>
        <v>14.382</v>
      </c>
      <c r="L207" s="3" t="s">
        <v>61</v>
      </c>
      <c r="M207" s="3" t="s">
        <v>70</v>
      </c>
      <c r="N207" s="15">
        <f>ROUND((IF(L207="Blaze Shield II",IF(M207="Idiem software",IF(AND(C207="IN",G207=4),((('BLAZE SHIELD II'!$D$4*('HOJA DE CÁLCULO RESPALDO'!I207^2)+'BLAZE SHIELD II'!$D$5*'HOJA DE CÁLCULO RESPALDO'!I207+'BLAZE SHIELD II'!$D$6)*LN(J207))+('BLAZE SHIELD II'!$D$7*('HOJA DE CÁLCULO RESPALDO'!I207^2)+'BLAZE SHIELD II'!$D$8*'HOJA DE CÁLCULO RESPALDO'!I207+'BLAZE SHIELD II'!$D$9)),0),0),0))+(IF(L207="Blaze Shield II",IF(M207="Idiem software",IF(C207="Cj",((('BLAZE SHIELD II'!$H$4*('HOJA DE CÁLCULO RESPALDO'!I207^2)+'BLAZE SHIELD II'!$H$5*'HOJA DE CÁLCULO RESPALDO'!I207+'BLAZE SHIELD II'!$H$6)*LN(J207))+('BLAZE SHIELD II'!$H$7*('HOJA DE CÁLCULO RESPALDO'!I207^2)+'BLAZE SHIELD II'!$H$8*'HOJA DE CÁLCULO RESPALDO'!I207+'BLAZE SHIELD II'!$H$9)),0),0),0))+(IF(L207="Blaze Shield II",IF(M207="Idiem software",IF(C207="C",((('BLAZE SHIELD II'!$L$4*('HOJA DE CÁLCULO RESPALDO'!I207^2)+'BLAZE SHIELD II'!$L$5*'HOJA DE CÁLCULO RESPALDO'!I207+'BLAZE SHIELD II'!$L$6)*LN(J207))+('BLAZE SHIELD II'!$L$7*('HOJA DE CÁLCULO RESPALDO'!I207^2)+'BLAZE SHIELD II'!$L$8*'HOJA DE CÁLCULO RESPALDO'!I207+'BLAZE SHIELD II'!$L$9)),0),0),0))+(IF(L207="Blaze Shield II",IF(M207="Idiem software",IF(AND(C207="IN",G207=3),((('BLAZE SHIELD II'!$H$14*('HOJA DE CÁLCULO RESPALDO'!I207^2)+'BLAZE SHIELD II'!$H$15*'HOJA DE CÁLCULO RESPALDO'!I207+'BLAZE SHIELD II'!$H$16)*LN(J207))+('BLAZE SHIELD II'!$H$17*('HOJA DE CÁLCULO RESPALDO'!I207^2)+'BLAZE SHIELD II'!$H$18*'HOJA DE CÁLCULO RESPALDO'!I207+'BLAZE SHIELD II'!$H$19)),0),0),0)),0)</f>
        <v>0</v>
      </c>
      <c r="O207" s="46">
        <f t="shared" si="25"/>
        <v>0</v>
      </c>
      <c r="P207" s="80">
        <f t="shared" si="22"/>
        <v>0</v>
      </c>
      <c r="Q207" s="85">
        <f>ROUND((IF(L207="Cafco 400",IF(M207="Idiem software",IF(AND(C207="IN",G207=4),((('CAFCO 400 '!$H$7*(J207^4)+'CAFCO 400 '!$H$8*(J207^3)+'CAFCO 400 '!$H$9*(J207^2)+'CAFCO 400 '!$H$10*J207+'CAFCO 400 '!$H$11)*I207^2)+(('CAFCO 400 '!$H$12*(J207^3)+'CAFCO 400 '!$H$13*(J207^2)+'CAFCO 400 '!$H$14*J207+'CAFCO 400 '!$H$15)*I207)+('CAFCO 400 '!$H$16*(J207^2)+'CAFCO 400 '!$H$17*J207+'CAFCO 400 '!$H$18)),0),0),0))+(IF(L207="Cafco 400",IF(M207="Idiem software",IF(C207="Cj",(((('CAFCO 400 '!$D$7*LN(J207)+'CAFCO 400 '!$D$8)*I207^2)+(('CAFCO 400 '!$D$9*LN(J207)+'CAFCO 400 '!$D$10)*I207)+('CAFCO 400 '!$D$11*LN(J207)+'CAFCO 400 '!$D$12))),0),0),0))+(IF(L207="Cafco 400",IF(M207="Idiem software",IF(C207="C",((('CAFCO 400 '!$L$7*(J207^3)+'CAFCO 400 '!$L$8*(J207^2)+'CAFCO 400 '!$L$9*J207+'CAFCO 400 '!$L$10)*I207^2)+(('CAFCO 400 '!$L$11*(J207^3)+'CAFCO 400 '!$L$12*(J207^2)+'CAFCO 400 '!$L$13*J207+'CAFCO 400 '!$L$14)*I207)+('CAFCO 400 '!$L$15*LN(J207)+'CAFCO 400 '!$L$16)),0),0),0))+(IF(L207="Cafco 400",IF(M207="Idiem software",IF(AND(C207="IN",G207=3),((('CAFCO 400 '!$D$23*(J207^2)+'CAFCO 400 '!$D$24*(J207)+'CAFCO 400 '!$D$25)*I207^2)+(('CAFCO 400 '!$D$26*(J207^2)+'CAFCO 400 '!$D$27*J207+'CAFCO 400 '!$D$28)*I207)+('CAFCO 400 '!$D$29*(J207^2)+'CAFCO 400 '!$D$30*J207+'CAFCO 400 '!$D$31)),0),0),0)),0)</f>
        <v>0</v>
      </c>
      <c r="R207" s="47">
        <f t="shared" si="26"/>
        <v>0</v>
      </c>
      <c r="S207" s="82">
        <f t="shared" si="23"/>
        <v>0</v>
      </c>
      <c r="T207" s="81">
        <f>+IF(AND(J207&gt;=95,J207&lt;=240),IF(AND(C207="Cj",I207=90),VLOOKUP(W207,'CAFCO 300 IDIEM TABLAS'!$B$4:$D$23,2,FALSE),0)+IF(AND(J207&gt;=95,J207&lt;=240),IF(AND(C207="Cj",I207=120),VLOOKUP(W207,'CAFCO 300 IDIEM TABLAS'!$B$4:$D$23,3,FALSE),0))+IF(AND(J207&gt;=95,J207&lt;=400,G207=3),IF(AND(C207="IN",I207=90),VLOOKUP(W207,'CAFCO 300 IDIEM TABLAS'!$F$4:$H$35,2,FALSE),0),0)+IF(AND(J207&gt;=95,J207&lt;=400,G207=3),IF(AND(C207="IN",I207=120),VLOOKUP(W207,'CAFCO 300 IDIEM TABLAS'!$F$4:$H$35,3,FALSE),0),0)+IF(AND(J207&gt;=95,J207&lt;=450,G207=4),IF(AND(C207="IN",I207=90),VLOOKUP(W207,'CAFCO 300 IDIEM TABLAS'!$J$4:$L$40,2,FALSE),0),0)+IF(AND(J207&gt;=95,J207&lt;=450,G207=4),IF(AND(C207="IN",I207=120),VLOOKUP(W207,'CAFCO 300 IDIEM TABLAS'!$J$4:$L$40,3,FALSE),0),0))</f>
        <v>17</v>
      </c>
      <c r="U207" s="48">
        <f t="shared" si="27"/>
        <v>3.3739544287548138</v>
      </c>
      <c r="V207" s="82">
        <f t="shared" si="24"/>
        <v>50656.551793324776</v>
      </c>
      <c r="W207" s="64">
        <f>+IF(J207=LOOKUP(J207,'CAFCO 300 IDIEM TABLAS'!$J$4:$J$40),'HOJA DE CÁLCULO RESPALDO'!J207,MROUND('HOJA DE CÁLCULO RESPALDO'!J207,10))</f>
        <v>95</v>
      </c>
      <c r="X207" s="36"/>
      <c r="Y207" s="4"/>
    </row>
    <row r="208" spans="1:25" ht="15.6" customHeight="1" x14ac:dyDescent="0.25">
      <c r="A208" s="2" t="s">
        <v>44</v>
      </c>
      <c r="B208" s="3" t="s">
        <v>17</v>
      </c>
      <c r="C208" s="3" t="s">
        <v>19</v>
      </c>
      <c r="D208" s="3">
        <v>1</v>
      </c>
      <c r="E208" s="2">
        <v>1</v>
      </c>
      <c r="F208" s="8">
        <v>8500</v>
      </c>
      <c r="G208" s="1">
        <v>4</v>
      </c>
      <c r="H208" s="2">
        <v>1502</v>
      </c>
      <c r="I208" s="34">
        <v>90</v>
      </c>
      <c r="J208" s="11">
        <v>95</v>
      </c>
      <c r="K208" s="44">
        <f t="shared" si="21"/>
        <v>12.766999999999999</v>
      </c>
      <c r="L208" s="3" t="s">
        <v>61</v>
      </c>
      <c r="M208" s="3" t="s">
        <v>70</v>
      </c>
      <c r="N208" s="15">
        <f>ROUND((IF(L208="Blaze Shield II",IF(M208="Idiem software",IF(AND(C208="IN",G208=4),((('BLAZE SHIELD II'!$D$4*('HOJA DE CÁLCULO RESPALDO'!I208^2)+'BLAZE SHIELD II'!$D$5*'HOJA DE CÁLCULO RESPALDO'!I208+'BLAZE SHIELD II'!$D$6)*LN(J208))+('BLAZE SHIELD II'!$D$7*('HOJA DE CÁLCULO RESPALDO'!I208^2)+'BLAZE SHIELD II'!$D$8*'HOJA DE CÁLCULO RESPALDO'!I208+'BLAZE SHIELD II'!$D$9)),0),0),0))+(IF(L208="Blaze Shield II",IF(M208="Idiem software",IF(C208="Cj",((('BLAZE SHIELD II'!$H$4*('HOJA DE CÁLCULO RESPALDO'!I208^2)+'BLAZE SHIELD II'!$H$5*'HOJA DE CÁLCULO RESPALDO'!I208+'BLAZE SHIELD II'!$H$6)*LN(J208))+('BLAZE SHIELD II'!$H$7*('HOJA DE CÁLCULO RESPALDO'!I208^2)+'BLAZE SHIELD II'!$H$8*'HOJA DE CÁLCULO RESPALDO'!I208+'BLAZE SHIELD II'!$H$9)),0),0),0))+(IF(L208="Blaze Shield II",IF(M208="Idiem software",IF(C208="C",((('BLAZE SHIELD II'!$L$4*('HOJA DE CÁLCULO RESPALDO'!I208^2)+'BLAZE SHIELD II'!$L$5*'HOJA DE CÁLCULO RESPALDO'!I208+'BLAZE SHIELD II'!$L$6)*LN(J208))+('BLAZE SHIELD II'!$L$7*('HOJA DE CÁLCULO RESPALDO'!I208^2)+'BLAZE SHIELD II'!$L$8*'HOJA DE CÁLCULO RESPALDO'!I208+'BLAZE SHIELD II'!$L$9)),0),0),0))+(IF(L208="Blaze Shield II",IF(M208="Idiem software",IF(AND(C208="IN",G208=3),((('BLAZE SHIELD II'!$H$14*('HOJA DE CÁLCULO RESPALDO'!I208^2)+'BLAZE SHIELD II'!$H$15*'HOJA DE CÁLCULO RESPALDO'!I208+'BLAZE SHIELD II'!$H$16)*LN(J208))+('BLAZE SHIELD II'!$H$17*('HOJA DE CÁLCULO RESPALDO'!I208^2)+'BLAZE SHIELD II'!$H$18*'HOJA DE CÁLCULO RESPALDO'!I208+'BLAZE SHIELD II'!$H$19)),0),0),0)),0)</f>
        <v>0</v>
      </c>
      <c r="O208" s="46">
        <f t="shared" si="25"/>
        <v>0</v>
      </c>
      <c r="P208" s="80">
        <f t="shared" si="22"/>
        <v>0</v>
      </c>
      <c r="Q208" s="85">
        <f>ROUND((IF(L208="Cafco 400",IF(M208="Idiem software",IF(AND(C208="IN",G208=4),((('CAFCO 400 '!$H$7*(J208^4)+'CAFCO 400 '!$H$8*(J208^3)+'CAFCO 400 '!$H$9*(J208^2)+'CAFCO 400 '!$H$10*J208+'CAFCO 400 '!$H$11)*I208^2)+(('CAFCO 400 '!$H$12*(J208^3)+'CAFCO 400 '!$H$13*(J208^2)+'CAFCO 400 '!$H$14*J208+'CAFCO 400 '!$H$15)*I208)+('CAFCO 400 '!$H$16*(J208^2)+'CAFCO 400 '!$H$17*J208+'CAFCO 400 '!$H$18)),0),0),0))+(IF(L208="Cafco 400",IF(M208="Idiem software",IF(C208="Cj",(((('CAFCO 400 '!$D$7*LN(J208)+'CAFCO 400 '!$D$8)*I208^2)+(('CAFCO 400 '!$D$9*LN(J208)+'CAFCO 400 '!$D$10)*I208)+('CAFCO 400 '!$D$11*LN(J208)+'CAFCO 400 '!$D$12))),0),0),0))+(IF(L208="Cafco 400",IF(M208="Idiem software",IF(C208="C",((('CAFCO 400 '!$L$7*(J208^3)+'CAFCO 400 '!$L$8*(J208^2)+'CAFCO 400 '!$L$9*J208+'CAFCO 400 '!$L$10)*I208^2)+(('CAFCO 400 '!$L$11*(J208^3)+'CAFCO 400 '!$L$12*(J208^2)+'CAFCO 400 '!$L$13*J208+'CAFCO 400 '!$L$14)*I208)+('CAFCO 400 '!$L$15*LN(J208)+'CAFCO 400 '!$L$16)),0),0),0))+(IF(L208="Cafco 400",IF(M208="Idiem software",IF(AND(C208="IN",G208=3),((('CAFCO 400 '!$D$23*(J208^2)+'CAFCO 400 '!$D$24*(J208)+'CAFCO 400 '!$D$25)*I208^2)+(('CAFCO 400 '!$D$26*(J208^2)+'CAFCO 400 '!$D$27*J208+'CAFCO 400 '!$D$28)*I208)+('CAFCO 400 '!$D$29*(J208^2)+'CAFCO 400 '!$D$30*J208+'CAFCO 400 '!$D$31)),0),0),0)),0)</f>
        <v>0</v>
      </c>
      <c r="R208" s="47">
        <f t="shared" si="26"/>
        <v>0</v>
      </c>
      <c r="S208" s="82">
        <f t="shared" si="23"/>
        <v>0</v>
      </c>
      <c r="T208" s="81">
        <f>+IF(AND(J208&gt;=95,J208&lt;=240),IF(AND(C208="Cj",I208=90),VLOOKUP(W208,'CAFCO 300 IDIEM TABLAS'!$B$4:$D$23,2,FALSE),0)+IF(AND(J208&gt;=95,J208&lt;=240),IF(AND(C208="Cj",I208=120),VLOOKUP(W208,'CAFCO 300 IDIEM TABLAS'!$B$4:$D$23,3,FALSE),0))+IF(AND(J208&gt;=95,J208&lt;=400,G208=3),IF(AND(C208="IN",I208=90),VLOOKUP(W208,'CAFCO 300 IDIEM TABLAS'!$F$4:$H$35,2,FALSE),0),0)+IF(AND(J208&gt;=95,J208&lt;=400,G208=3),IF(AND(C208="IN",I208=120),VLOOKUP(W208,'CAFCO 300 IDIEM TABLAS'!$F$4:$H$35,3,FALSE),0),0)+IF(AND(J208&gt;=95,J208&lt;=450,G208=4),IF(AND(C208="IN",I208=90),VLOOKUP(W208,'CAFCO 300 IDIEM TABLAS'!$J$4:$L$40,2,FALSE),0),0)+IF(AND(J208&gt;=95,J208&lt;=450,G208=4),IF(AND(C208="IN",I208=120),VLOOKUP(W208,'CAFCO 300 IDIEM TABLAS'!$J$4:$L$40,3,FALSE),0),0))</f>
        <v>17</v>
      </c>
      <c r="U208" s="48">
        <f t="shared" si="27"/>
        <v>2.9950824775353015</v>
      </c>
      <c r="V208" s="82">
        <f t="shared" si="24"/>
        <v>44968.168317715019</v>
      </c>
      <c r="W208" s="64">
        <f>+IF(J208=LOOKUP(J208,'CAFCO 300 IDIEM TABLAS'!$J$4:$J$40),'HOJA DE CÁLCULO RESPALDO'!J208,MROUND('HOJA DE CÁLCULO RESPALDO'!J208,10))</f>
        <v>95</v>
      </c>
      <c r="X208" s="36"/>
      <c r="Y208" s="4"/>
    </row>
    <row r="209" spans="1:25" x14ac:dyDescent="0.25">
      <c r="A209" s="2" t="s">
        <v>44</v>
      </c>
      <c r="B209" s="3" t="s">
        <v>17</v>
      </c>
      <c r="C209" s="3" t="s">
        <v>19</v>
      </c>
      <c r="D209" s="3">
        <v>1</v>
      </c>
      <c r="E209" s="2">
        <v>1</v>
      </c>
      <c r="F209" s="8">
        <v>11097</v>
      </c>
      <c r="G209" s="1">
        <v>4</v>
      </c>
      <c r="H209" s="2">
        <v>585</v>
      </c>
      <c r="I209" s="34">
        <v>90</v>
      </c>
      <c r="J209" s="11">
        <v>95</v>
      </c>
      <c r="K209" s="44">
        <f t="shared" si="21"/>
        <v>6.4917449999999999</v>
      </c>
      <c r="L209" s="3" t="s">
        <v>61</v>
      </c>
      <c r="M209" s="3" t="s">
        <v>70</v>
      </c>
      <c r="N209" s="15">
        <f>ROUND((IF(L209="Blaze Shield II",IF(M209="Idiem software",IF(AND(C209="IN",G209=4),((('BLAZE SHIELD II'!$D$4*('HOJA DE CÁLCULO RESPALDO'!I209^2)+'BLAZE SHIELD II'!$D$5*'HOJA DE CÁLCULO RESPALDO'!I209+'BLAZE SHIELD II'!$D$6)*LN(J209))+('BLAZE SHIELD II'!$D$7*('HOJA DE CÁLCULO RESPALDO'!I209^2)+'BLAZE SHIELD II'!$D$8*'HOJA DE CÁLCULO RESPALDO'!I209+'BLAZE SHIELD II'!$D$9)),0),0),0))+(IF(L209="Blaze Shield II",IF(M209="Idiem software",IF(C209="Cj",((('BLAZE SHIELD II'!$H$4*('HOJA DE CÁLCULO RESPALDO'!I209^2)+'BLAZE SHIELD II'!$H$5*'HOJA DE CÁLCULO RESPALDO'!I209+'BLAZE SHIELD II'!$H$6)*LN(J209))+('BLAZE SHIELD II'!$H$7*('HOJA DE CÁLCULO RESPALDO'!I209^2)+'BLAZE SHIELD II'!$H$8*'HOJA DE CÁLCULO RESPALDO'!I209+'BLAZE SHIELD II'!$H$9)),0),0),0))+(IF(L209="Blaze Shield II",IF(M209="Idiem software",IF(C209="C",((('BLAZE SHIELD II'!$L$4*('HOJA DE CÁLCULO RESPALDO'!I209^2)+'BLAZE SHIELD II'!$L$5*'HOJA DE CÁLCULO RESPALDO'!I209+'BLAZE SHIELD II'!$L$6)*LN(J209))+('BLAZE SHIELD II'!$L$7*('HOJA DE CÁLCULO RESPALDO'!I209^2)+'BLAZE SHIELD II'!$L$8*'HOJA DE CÁLCULO RESPALDO'!I209+'BLAZE SHIELD II'!$L$9)),0),0),0))+(IF(L209="Blaze Shield II",IF(M209="Idiem software",IF(AND(C209="IN",G209=3),((('BLAZE SHIELD II'!$H$14*('HOJA DE CÁLCULO RESPALDO'!I209^2)+'BLAZE SHIELD II'!$H$15*'HOJA DE CÁLCULO RESPALDO'!I209+'BLAZE SHIELD II'!$H$16)*LN(J209))+('BLAZE SHIELD II'!$H$17*('HOJA DE CÁLCULO RESPALDO'!I209^2)+'BLAZE SHIELD II'!$H$18*'HOJA DE CÁLCULO RESPALDO'!I209+'BLAZE SHIELD II'!$H$19)),0),0),0)),0)</f>
        <v>0</v>
      </c>
      <c r="O209" s="46">
        <f t="shared" si="25"/>
        <v>0</v>
      </c>
      <c r="P209" s="80">
        <f t="shared" si="22"/>
        <v>0</v>
      </c>
      <c r="Q209" s="85">
        <f>ROUND((IF(L209="Cafco 400",IF(M209="Idiem software",IF(AND(C209="IN",G209=4),((('CAFCO 400 '!$H$7*(J209^4)+'CAFCO 400 '!$H$8*(J209^3)+'CAFCO 400 '!$H$9*(J209^2)+'CAFCO 400 '!$H$10*J209+'CAFCO 400 '!$H$11)*I209^2)+(('CAFCO 400 '!$H$12*(J209^3)+'CAFCO 400 '!$H$13*(J209^2)+'CAFCO 400 '!$H$14*J209+'CAFCO 400 '!$H$15)*I209)+('CAFCO 400 '!$H$16*(J209^2)+'CAFCO 400 '!$H$17*J209+'CAFCO 400 '!$H$18)),0),0),0))+(IF(L209="Cafco 400",IF(M209="Idiem software",IF(C209="Cj",(((('CAFCO 400 '!$D$7*LN(J209)+'CAFCO 400 '!$D$8)*I209^2)+(('CAFCO 400 '!$D$9*LN(J209)+'CAFCO 400 '!$D$10)*I209)+('CAFCO 400 '!$D$11*LN(J209)+'CAFCO 400 '!$D$12))),0),0),0))+(IF(L209="Cafco 400",IF(M209="Idiem software",IF(C209="C",((('CAFCO 400 '!$L$7*(J209^3)+'CAFCO 400 '!$L$8*(J209^2)+'CAFCO 400 '!$L$9*J209+'CAFCO 400 '!$L$10)*I209^2)+(('CAFCO 400 '!$L$11*(J209^3)+'CAFCO 400 '!$L$12*(J209^2)+'CAFCO 400 '!$L$13*J209+'CAFCO 400 '!$L$14)*I209)+('CAFCO 400 '!$L$15*LN(J209)+'CAFCO 400 '!$L$16)),0),0),0))+(IF(L209="Cafco 400",IF(M209="Idiem software",IF(AND(C209="IN",G209=3),((('CAFCO 400 '!$D$23*(J209^2)+'CAFCO 400 '!$D$24*(J209)+'CAFCO 400 '!$D$25)*I209^2)+(('CAFCO 400 '!$D$26*(J209^2)+'CAFCO 400 '!$D$27*J209+'CAFCO 400 '!$D$28)*I209)+('CAFCO 400 '!$D$29*(J209^2)+'CAFCO 400 '!$D$30*J209+'CAFCO 400 '!$D$31)),0),0),0)),0)</f>
        <v>0</v>
      </c>
      <c r="R209" s="47">
        <f t="shared" si="26"/>
        <v>0</v>
      </c>
      <c r="S209" s="82">
        <f t="shared" si="23"/>
        <v>0</v>
      </c>
      <c r="T209" s="81">
        <f>+IF(AND(J209&gt;=95,J209&lt;=240),IF(AND(C209="Cj",I209=90),VLOOKUP(W209,'CAFCO 300 IDIEM TABLAS'!$B$4:$D$23,2,FALSE),0)+IF(AND(J209&gt;=95,J209&lt;=240),IF(AND(C209="Cj",I209=120),VLOOKUP(W209,'CAFCO 300 IDIEM TABLAS'!$B$4:$D$23,3,FALSE),0))+IF(AND(J209&gt;=95,J209&lt;=400,G209=3),IF(AND(C209="IN",I209=90),VLOOKUP(W209,'CAFCO 300 IDIEM TABLAS'!$F$4:$H$35,2,FALSE),0),0)+IF(AND(J209&gt;=95,J209&lt;=400,G209=3),IF(AND(C209="IN",I209=120),VLOOKUP(W209,'CAFCO 300 IDIEM TABLAS'!$F$4:$H$35,3,FALSE),0),0)+IF(AND(J209&gt;=95,J209&lt;=450,G209=4),IF(AND(C209="IN",I209=90),VLOOKUP(W209,'CAFCO 300 IDIEM TABLAS'!$J$4:$L$40,2,FALSE),0),0)+IF(AND(J209&gt;=95,J209&lt;=450,G209=4),IF(AND(C209="IN",I209=120),VLOOKUP(W209,'CAFCO 300 IDIEM TABLAS'!$J$4:$L$40,3,FALSE),0),0))</f>
        <v>17</v>
      </c>
      <c r="U209" s="48">
        <f t="shared" si="27"/>
        <v>1.5229350433247753</v>
      </c>
      <c r="V209" s="82">
        <f t="shared" si="24"/>
        <v>22865.346740478177</v>
      </c>
      <c r="W209" s="64">
        <f>+IF(J209=LOOKUP(J209,'CAFCO 300 IDIEM TABLAS'!$J$4:$J$40),'HOJA DE CÁLCULO RESPALDO'!J209,MROUND('HOJA DE CÁLCULO RESPALDO'!J209,10))</f>
        <v>95</v>
      </c>
      <c r="X209" s="36"/>
      <c r="Y209" s="4"/>
    </row>
    <row r="210" spans="1:25" ht="15.6" customHeight="1" x14ac:dyDescent="0.25">
      <c r="A210" s="2" t="s">
        <v>44</v>
      </c>
      <c r="B210" s="3" t="s">
        <v>17</v>
      </c>
      <c r="C210" s="3" t="s">
        <v>19</v>
      </c>
      <c r="D210" s="3">
        <v>1</v>
      </c>
      <c r="E210" s="2">
        <v>1</v>
      </c>
      <c r="F210" s="8">
        <v>1500</v>
      </c>
      <c r="G210" s="1">
        <v>4</v>
      </c>
      <c r="H210" s="2">
        <v>776</v>
      </c>
      <c r="I210" s="34">
        <v>90</v>
      </c>
      <c r="J210" s="11">
        <v>95</v>
      </c>
      <c r="K210" s="44">
        <f t="shared" si="21"/>
        <v>1.1639999999999999</v>
      </c>
      <c r="L210" s="3" t="s">
        <v>61</v>
      </c>
      <c r="M210" s="3" t="s">
        <v>70</v>
      </c>
      <c r="N210" s="15">
        <f>ROUND((IF(L210="Blaze Shield II",IF(M210="Idiem software",IF(AND(C210="IN",G210=4),((('BLAZE SHIELD II'!$D$4*('HOJA DE CÁLCULO RESPALDO'!I210^2)+'BLAZE SHIELD II'!$D$5*'HOJA DE CÁLCULO RESPALDO'!I210+'BLAZE SHIELD II'!$D$6)*LN(J210))+('BLAZE SHIELD II'!$D$7*('HOJA DE CÁLCULO RESPALDO'!I210^2)+'BLAZE SHIELD II'!$D$8*'HOJA DE CÁLCULO RESPALDO'!I210+'BLAZE SHIELD II'!$D$9)),0),0),0))+(IF(L210="Blaze Shield II",IF(M210="Idiem software",IF(C210="Cj",((('BLAZE SHIELD II'!$H$4*('HOJA DE CÁLCULO RESPALDO'!I210^2)+'BLAZE SHIELD II'!$H$5*'HOJA DE CÁLCULO RESPALDO'!I210+'BLAZE SHIELD II'!$H$6)*LN(J210))+('BLAZE SHIELD II'!$H$7*('HOJA DE CÁLCULO RESPALDO'!I210^2)+'BLAZE SHIELD II'!$H$8*'HOJA DE CÁLCULO RESPALDO'!I210+'BLAZE SHIELD II'!$H$9)),0),0),0))+(IF(L210="Blaze Shield II",IF(M210="Idiem software",IF(C210="C",((('BLAZE SHIELD II'!$L$4*('HOJA DE CÁLCULO RESPALDO'!I210^2)+'BLAZE SHIELD II'!$L$5*'HOJA DE CÁLCULO RESPALDO'!I210+'BLAZE SHIELD II'!$L$6)*LN(J210))+('BLAZE SHIELD II'!$L$7*('HOJA DE CÁLCULO RESPALDO'!I210^2)+'BLAZE SHIELD II'!$L$8*'HOJA DE CÁLCULO RESPALDO'!I210+'BLAZE SHIELD II'!$L$9)),0),0),0))+(IF(L210="Blaze Shield II",IF(M210="Idiem software",IF(AND(C210="IN",G210=3),((('BLAZE SHIELD II'!$H$14*('HOJA DE CÁLCULO RESPALDO'!I210^2)+'BLAZE SHIELD II'!$H$15*'HOJA DE CÁLCULO RESPALDO'!I210+'BLAZE SHIELD II'!$H$16)*LN(J210))+('BLAZE SHIELD II'!$H$17*('HOJA DE CÁLCULO RESPALDO'!I210^2)+'BLAZE SHIELD II'!$H$18*'HOJA DE CÁLCULO RESPALDO'!I210+'BLAZE SHIELD II'!$H$19)),0),0),0)),0)</f>
        <v>0</v>
      </c>
      <c r="O210" s="46">
        <f t="shared" si="25"/>
        <v>0</v>
      </c>
      <c r="P210" s="80">
        <f t="shared" si="22"/>
        <v>0</v>
      </c>
      <c r="Q210" s="85">
        <f>ROUND((IF(L210="Cafco 400",IF(M210="Idiem software",IF(AND(C210="IN",G210=4),((('CAFCO 400 '!$H$7*(J210^4)+'CAFCO 400 '!$H$8*(J210^3)+'CAFCO 400 '!$H$9*(J210^2)+'CAFCO 400 '!$H$10*J210+'CAFCO 400 '!$H$11)*I210^2)+(('CAFCO 400 '!$H$12*(J210^3)+'CAFCO 400 '!$H$13*(J210^2)+'CAFCO 400 '!$H$14*J210+'CAFCO 400 '!$H$15)*I210)+('CAFCO 400 '!$H$16*(J210^2)+'CAFCO 400 '!$H$17*J210+'CAFCO 400 '!$H$18)),0),0),0))+(IF(L210="Cafco 400",IF(M210="Idiem software",IF(C210="Cj",(((('CAFCO 400 '!$D$7*LN(J210)+'CAFCO 400 '!$D$8)*I210^2)+(('CAFCO 400 '!$D$9*LN(J210)+'CAFCO 400 '!$D$10)*I210)+('CAFCO 400 '!$D$11*LN(J210)+'CAFCO 400 '!$D$12))),0),0),0))+(IF(L210="Cafco 400",IF(M210="Idiem software",IF(C210="C",((('CAFCO 400 '!$L$7*(J210^3)+'CAFCO 400 '!$L$8*(J210^2)+'CAFCO 400 '!$L$9*J210+'CAFCO 400 '!$L$10)*I210^2)+(('CAFCO 400 '!$L$11*(J210^3)+'CAFCO 400 '!$L$12*(J210^2)+'CAFCO 400 '!$L$13*J210+'CAFCO 400 '!$L$14)*I210)+('CAFCO 400 '!$L$15*LN(J210)+'CAFCO 400 '!$L$16)),0),0),0))+(IF(L210="Cafco 400",IF(M210="Idiem software",IF(AND(C210="IN",G210=3),((('CAFCO 400 '!$D$23*(J210^2)+'CAFCO 400 '!$D$24*(J210)+'CAFCO 400 '!$D$25)*I210^2)+(('CAFCO 400 '!$D$26*(J210^2)+'CAFCO 400 '!$D$27*J210+'CAFCO 400 '!$D$28)*I210)+('CAFCO 400 '!$D$29*(J210^2)+'CAFCO 400 '!$D$30*J210+'CAFCO 400 '!$D$31)),0),0),0)),0)</f>
        <v>0</v>
      </c>
      <c r="R210" s="47">
        <f t="shared" si="26"/>
        <v>0</v>
      </c>
      <c r="S210" s="82">
        <f t="shared" si="23"/>
        <v>0</v>
      </c>
      <c r="T210" s="81">
        <f>+IF(AND(J210&gt;=95,J210&lt;=240),IF(AND(C210="Cj",I210=90),VLOOKUP(W210,'CAFCO 300 IDIEM TABLAS'!$B$4:$D$23,2,FALSE),0)+IF(AND(J210&gt;=95,J210&lt;=240),IF(AND(C210="Cj",I210=120),VLOOKUP(W210,'CAFCO 300 IDIEM TABLAS'!$B$4:$D$23,3,FALSE),0))+IF(AND(J210&gt;=95,J210&lt;=400,G210=3),IF(AND(C210="IN",I210=90),VLOOKUP(W210,'CAFCO 300 IDIEM TABLAS'!$F$4:$H$35,2,FALSE),0),0)+IF(AND(J210&gt;=95,J210&lt;=400,G210=3),IF(AND(C210="IN",I210=120),VLOOKUP(W210,'CAFCO 300 IDIEM TABLAS'!$F$4:$H$35,3,FALSE),0),0)+IF(AND(J210&gt;=95,J210&lt;=450,G210=4),IF(AND(C210="IN",I210=90),VLOOKUP(W210,'CAFCO 300 IDIEM TABLAS'!$J$4:$L$40,2,FALSE),0),0)+IF(AND(J210&gt;=95,J210&lt;=450,G210=4),IF(AND(C210="IN",I210=120),VLOOKUP(W210,'CAFCO 300 IDIEM TABLAS'!$J$4:$L$40,3,FALSE),0),0))</f>
        <v>17</v>
      </c>
      <c r="U210" s="48">
        <f t="shared" si="27"/>
        <v>0.2730693196405648</v>
      </c>
      <c r="V210" s="82">
        <f t="shared" si="24"/>
        <v>4099.8627650834396</v>
      </c>
      <c r="W210" s="64">
        <f>+IF(J210=LOOKUP(J210,'CAFCO 300 IDIEM TABLAS'!$J$4:$J$40),'HOJA DE CÁLCULO RESPALDO'!J210,MROUND('HOJA DE CÁLCULO RESPALDO'!J210,10))</f>
        <v>95</v>
      </c>
      <c r="X210" s="36"/>
      <c r="Y210" s="4"/>
    </row>
    <row r="211" spans="1:25" x14ac:dyDescent="0.25">
      <c r="A211" s="2" t="s">
        <v>41</v>
      </c>
      <c r="B211" s="3" t="s">
        <v>17</v>
      </c>
      <c r="C211" s="3" t="s">
        <v>19</v>
      </c>
      <c r="D211" s="3">
        <v>1</v>
      </c>
      <c r="E211" s="2">
        <v>1</v>
      </c>
      <c r="F211" s="8">
        <v>1500</v>
      </c>
      <c r="G211" s="1">
        <v>4</v>
      </c>
      <c r="H211" s="2">
        <v>3879</v>
      </c>
      <c r="I211" s="34">
        <v>90</v>
      </c>
      <c r="J211" s="11">
        <v>95</v>
      </c>
      <c r="K211" s="44">
        <f t="shared" si="21"/>
        <v>5.8185000000000002</v>
      </c>
      <c r="L211" s="3" t="s">
        <v>61</v>
      </c>
      <c r="M211" s="3" t="s">
        <v>70</v>
      </c>
      <c r="N211" s="15">
        <f>ROUND((IF(L211="Blaze Shield II",IF(M211="Idiem software",IF(AND(C211="IN",G211=4),((('BLAZE SHIELD II'!$D$4*('HOJA DE CÁLCULO RESPALDO'!I211^2)+'BLAZE SHIELD II'!$D$5*'HOJA DE CÁLCULO RESPALDO'!I211+'BLAZE SHIELD II'!$D$6)*LN(J211))+('BLAZE SHIELD II'!$D$7*('HOJA DE CÁLCULO RESPALDO'!I211^2)+'BLAZE SHIELD II'!$D$8*'HOJA DE CÁLCULO RESPALDO'!I211+'BLAZE SHIELD II'!$D$9)),0),0),0))+(IF(L211="Blaze Shield II",IF(M211="Idiem software",IF(C211="Cj",((('BLAZE SHIELD II'!$H$4*('HOJA DE CÁLCULO RESPALDO'!I211^2)+'BLAZE SHIELD II'!$H$5*'HOJA DE CÁLCULO RESPALDO'!I211+'BLAZE SHIELD II'!$H$6)*LN(J211))+('BLAZE SHIELD II'!$H$7*('HOJA DE CÁLCULO RESPALDO'!I211^2)+'BLAZE SHIELD II'!$H$8*'HOJA DE CÁLCULO RESPALDO'!I211+'BLAZE SHIELD II'!$H$9)),0),0),0))+(IF(L211="Blaze Shield II",IF(M211="Idiem software",IF(C211="C",((('BLAZE SHIELD II'!$L$4*('HOJA DE CÁLCULO RESPALDO'!I211^2)+'BLAZE SHIELD II'!$L$5*'HOJA DE CÁLCULO RESPALDO'!I211+'BLAZE SHIELD II'!$L$6)*LN(J211))+('BLAZE SHIELD II'!$L$7*('HOJA DE CÁLCULO RESPALDO'!I211^2)+'BLAZE SHIELD II'!$L$8*'HOJA DE CÁLCULO RESPALDO'!I211+'BLAZE SHIELD II'!$L$9)),0),0),0))+(IF(L211="Blaze Shield II",IF(M211="Idiem software",IF(AND(C211="IN",G211=3),((('BLAZE SHIELD II'!$H$14*('HOJA DE CÁLCULO RESPALDO'!I211^2)+'BLAZE SHIELD II'!$H$15*'HOJA DE CÁLCULO RESPALDO'!I211+'BLAZE SHIELD II'!$H$16)*LN(J211))+('BLAZE SHIELD II'!$H$17*('HOJA DE CÁLCULO RESPALDO'!I211^2)+'BLAZE SHIELD II'!$H$18*'HOJA DE CÁLCULO RESPALDO'!I211+'BLAZE SHIELD II'!$H$19)),0),0),0)),0)</f>
        <v>0</v>
      </c>
      <c r="O211" s="46">
        <f t="shared" si="25"/>
        <v>0</v>
      </c>
      <c r="P211" s="80">
        <f t="shared" si="22"/>
        <v>0</v>
      </c>
      <c r="Q211" s="85">
        <f>ROUND((IF(L211="Cafco 400",IF(M211="Idiem software",IF(AND(C211="IN",G211=4),((('CAFCO 400 '!$H$7*(J211^4)+'CAFCO 400 '!$H$8*(J211^3)+'CAFCO 400 '!$H$9*(J211^2)+'CAFCO 400 '!$H$10*J211+'CAFCO 400 '!$H$11)*I211^2)+(('CAFCO 400 '!$H$12*(J211^3)+'CAFCO 400 '!$H$13*(J211^2)+'CAFCO 400 '!$H$14*J211+'CAFCO 400 '!$H$15)*I211)+('CAFCO 400 '!$H$16*(J211^2)+'CAFCO 400 '!$H$17*J211+'CAFCO 400 '!$H$18)),0),0),0))+(IF(L211="Cafco 400",IF(M211="Idiem software",IF(C211="Cj",(((('CAFCO 400 '!$D$7*LN(J211)+'CAFCO 400 '!$D$8)*I211^2)+(('CAFCO 400 '!$D$9*LN(J211)+'CAFCO 400 '!$D$10)*I211)+('CAFCO 400 '!$D$11*LN(J211)+'CAFCO 400 '!$D$12))),0),0),0))+(IF(L211="Cafco 400",IF(M211="Idiem software",IF(C211="C",((('CAFCO 400 '!$L$7*(J211^3)+'CAFCO 400 '!$L$8*(J211^2)+'CAFCO 400 '!$L$9*J211+'CAFCO 400 '!$L$10)*I211^2)+(('CAFCO 400 '!$L$11*(J211^3)+'CAFCO 400 '!$L$12*(J211^2)+'CAFCO 400 '!$L$13*J211+'CAFCO 400 '!$L$14)*I211)+('CAFCO 400 '!$L$15*LN(J211)+'CAFCO 400 '!$L$16)),0),0),0))+(IF(L211="Cafco 400",IF(M211="Idiem software",IF(AND(C211="IN",G211=3),((('CAFCO 400 '!$D$23*(J211^2)+'CAFCO 400 '!$D$24*(J211)+'CAFCO 400 '!$D$25)*I211^2)+(('CAFCO 400 '!$D$26*(J211^2)+'CAFCO 400 '!$D$27*J211+'CAFCO 400 '!$D$28)*I211)+('CAFCO 400 '!$D$29*(J211^2)+'CAFCO 400 '!$D$30*J211+'CAFCO 400 '!$D$31)),0),0),0)),0)</f>
        <v>0</v>
      </c>
      <c r="R211" s="47">
        <f t="shared" si="26"/>
        <v>0</v>
      </c>
      <c r="S211" s="82">
        <f t="shared" si="23"/>
        <v>0</v>
      </c>
      <c r="T211" s="81">
        <f>+IF(AND(J211&gt;=95,J211&lt;=240),IF(AND(C211="Cj",I211=90),VLOOKUP(W211,'CAFCO 300 IDIEM TABLAS'!$B$4:$D$23,2,FALSE),0)+IF(AND(J211&gt;=95,J211&lt;=240),IF(AND(C211="Cj",I211=120),VLOOKUP(W211,'CAFCO 300 IDIEM TABLAS'!$B$4:$D$23,3,FALSE),0))+IF(AND(J211&gt;=95,J211&lt;=400,G211=3),IF(AND(C211="IN",I211=90),VLOOKUP(W211,'CAFCO 300 IDIEM TABLAS'!$F$4:$H$35,2,FALSE),0),0)+IF(AND(J211&gt;=95,J211&lt;=400,G211=3),IF(AND(C211="IN",I211=120),VLOOKUP(W211,'CAFCO 300 IDIEM TABLAS'!$F$4:$H$35,3,FALSE),0),0)+IF(AND(J211&gt;=95,J211&lt;=450,G211=4),IF(AND(C211="IN",I211=90),VLOOKUP(W211,'CAFCO 300 IDIEM TABLAS'!$J$4:$L$40,2,FALSE),0),0)+IF(AND(J211&gt;=95,J211&lt;=450,G211=4),IF(AND(C211="IN",I211=120),VLOOKUP(W211,'CAFCO 300 IDIEM TABLAS'!$J$4:$L$40,3,FALSE),0),0))</f>
        <v>17</v>
      </c>
      <c r="U211" s="48">
        <f t="shared" si="27"/>
        <v>1.3649947047496791</v>
      </c>
      <c r="V211" s="82">
        <f t="shared" si="24"/>
        <v>20494.030497111682</v>
      </c>
      <c r="W211" s="64">
        <f>+IF(J211=LOOKUP(J211,'CAFCO 300 IDIEM TABLAS'!$J$4:$J$40),'HOJA DE CÁLCULO RESPALDO'!J211,MROUND('HOJA DE CÁLCULO RESPALDO'!J211,10))</f>
        <v>95</v>
      </c>
      <c r="X211" s="36"/>
      <c r="Y211" s="4"/>
    </row>
    <row r="212" spans="1:25" ht="15.6" customHeight="1" x14ac:dyDescent="0.25">
      <c r="A212" s="2" t="s">
        <v>42</v>
      </c>
      <c r="B212" s="3" t="s">
        <v>17</v>
      </c>
      <c r="C212" s="3" t="s">
        <v>19</v>
      </c>
      <c r="D212" s="3">
        <v>1</v>
      </c>
      <c r="E212" s="2">
        <v>1</v>
      </c>
      <c r="F212" s="8">
        <v>11081</v>
      </c>
      <c r="G212" s="1">
        <v>4</v>
      </c>
      <c r="H212" s="2">
        <v>585</v>
      </c>
      <c r="I212" s="34">
        <v>90</v>
      </c>
      <c r="J212" s="11">
        <v>95</v>
      </c>
      <c r="K212" s="44">
        <f t="shared" si="21"/>
        <v>6.4823849999999998</v>
      </c>
      <c r="L212" s="3" t="s">
        <v>61</v>
      </c>
      <c r="M212" s="3" t="s">
        <v>70</v>
      </c>
      <c r="N212" s="15">
        <f>ROUND((IF(L212="Blaze Shield II",IF(M212="Idiem software",IF(AND(C212="IN",G212=4),((('BLAZE SHIELD II'!$D$4*('HOJA DE CÁLCULO RESPALDO'!I212^2)+'BLAZE SHIELD II'!$D$5*'HOJA DE CÁLCULO RESPALDO'!I212+'BLAZE SHIELD II'!$D$6)*LN(J212))+('BLAZE SHIELD II'!$D$7*('HOJA DE CÁLCULO RESPALDO'!I212^2)+'BLAZE SHIELD II'!$D$8*'HOJA DE CÁLCULO RESPALDO'!I212+'BLAZE SHIELD II'!$D$9)),0),0),0))+(IF(L212="Blaze Shield II",IF(M212="Idiem software",IF(C212="Cj",((('BLAZE SHIELD II'!$H$4*('HOJA DE CÁLCULO RESPALDO'!I212^2)+'BLAZE SHIELD II'!$H$5*'HOJA DE CÁLCULO RESPALDO'!I212+'BLAZE SHIELD II'!$H$6)*LN(J212))+('BLAZE SHIELD II'!$H$7*('HOJA DE CÁLCULO RESPALDO'!I212^2)+'BLAZE SHIELD II'!$H$8*'HOJA DE CÁLCULO RESPALDO'!I212+'BLAZE SHIELD II'!$H$9)),0),0),0))+(IF(L212="Blaze Shield II",IF(M212="Idiem software",IF(C212="C",((('BLAZE SHIELD II'!$L$4*('HOJA DE CÁLCULO RESPALDO'!I212^2)+'BLAZE SHIELD II'!$L$5*'HOJA DE CÁLCULO RESPALDO'!I212+'BLAZE SHIELD II'!$L$6)*LN(J212))+('BLAZE SHIELD II'!$L$7*('HOJA DE CÁLCULO RESPALDO'!I212^2)+'BLAZE SHIELD II'!$L$8*'HOJA DE CÁLCULO RESPALDO'!I212+'BLAZE SHIELD II'!$L$9)),0),0),0))+(IF(L212="Blaze Shield II",IF(M212="Idiem software",IF(AND(C212="IN",G212=3),((('BLAZE SHIELD II'!$H$14*('HOJA DE CÁLCULO RESPALDO'!I212^2)+'BLAZE SHIELD II'!$H$15*'HOJA DE CÁLCULO RESPALDO'!I212+'BLAZE SHIELD II'!$H$16)*LN(J212))+('BLAZE SHIELD II'!$H$17*('HOJA DE CÁLCULO RESPALDO'!I212^2)+'BLAZE SHIELD II'!$H$18*'HOJA DE CÁLCULO RESPALDO'!I212+'BLAZE SHIELD II'!$H$19)),0),0),0)),0)</f>
        <v>0</v>
      </c>
      <c r="O212" s="46">
        <f t="shared" si="25"/>
        <v>0</v>
      </c>
      <c r="P212" s="80">
        <f t="shared" si="22"/>
        <v>0</v>
      </c>
      <c r="Q212" s="85">
        <f>ROUND((IF(L212="Cafco 400",IF(M212="Idiem software",IF(AND(C212="IN",G212=4),((('CAFCO 400 '!$H$7*(J212^4)+'CAFCO 400 '!$H$8*(J212^3)+'CAFCO 400 '!$H$9*(J212^2)+'CAFCO 400 '!$H$10*J212+'CAFCO 400 '!$H$11)*I212^2)+(('CAFCO 400 '!$H$12*(J212^3)+'CAFCO 400 '!$H$13*(J212^2)+'CAFCO 400 '!$H$14*J212+'CAFCO 400 '!$H$15)*I212)+('CAFCO 400 '!$H$16*(J212^2)+'CAFCO 400 '!$H$17*J212+'CAFCO 400 '!$H$18)),0),0),0))+(IF(L212="Cafco 400",IF(M212="Idiem software",IF(C212="Cj",(((('CAFCO 400 '!$D$7*LN(J212)+'CAFCO 400 '!$D$8)*I212^2)+(('CAFCO 400 '!$D$9*LN(J212)+'CAFCO 400 '!$D$10)*I212)+('CAFCO 400 '!$D$11*LN(J212)+'CAFCO 400 '!$D$12))),0),0),0))+(IF(L212="Cafco 400",IF(M212="Idiem software",IF(C212="C",((('CAFCO 400 '!$L$7*(J212^3)+'CAFCO 400 '!$L$8*(J212^2)+'CAFCO 400 '!$L$9*J212+'CAFCO 400 '!$L$10)*I212^2)+(('CAFCO 400 '!$L$11*(J212^3)+'CAFCO 400 '!$L$12*(J212^2)+'CAFCO 400 '!$L$13*J212+'CAFCO 400 '!$L$14)*I212)+('CAFCO 400 '!$L$15*LN(J212)+'CAFCO 400 '!$L$16)),0),0),0))+(IF(L212="Cafco 400",IF(M212="Idiem software",IF(AND(C212="IN",G212=3),((('CAFCO 400 '!$D$23*(J212^2)+'CAFCO 400 '!$D$24*(J212)+'CAFCO 400 '!$D$25)*I212^2)+(('CAFCO 400 '!$D$26*(J212^2)+'CAFCO 400 '!$D$27*J212+'CAFCO 400 '!$D$28)*I212)+('CAFCO 400 '!$D$29*(J212^2)+'CAFCO 400 '!$D$30*J212+'CAFCO 400 '!$D$31)),0),0),0)),0)</f>
        <v>0</v>
      </c>
      <c r="R212" s="47">
        <f t="shared" si="26"/>
        <v>0</v>
      </c>
      <c r="S212" s="82">
        <f t="shared" si="23"/>
        <v>0</v>
      </c>
      <c r="T212" s="81">
        <f>+IF(AND(J212&gt;=95,J212&lt;=240),IF(AND(C212="Cj",I212=90),VLOOKUP(W212,'CAFCO 300 IDIEM TABLAS'!$B$4:$D$23,2,FALSE),0)+IF(AND(J212&gt;=95,J212&lt;=240),IF(AND(C212="Cj",I212=120),VLOOKUP(W212,'CAFCO 300 IDIEM TABLAS'!$B$4:$D$23,3,FALSE),0))+IF(AND(J212&gt;=95,J212&lt;=400,G212=3),IF(AND(C212="IN",I212=90),VLOOKUP(W212,'CAFCO 300 IDIEM TABLAS'!$F$4:$H$35,2,FALSE),0),0)+IF(AND(J212&gt;=95,J212&lt;=400,G212=3),IF(AND(C212="IN",I212=120),VLOOKUP(W212,'CAFCO 300 IDIEM TABLAS'!$F$4:$H$35,3,FALSE),0),0)+IF(AND(J212&gt;=95,J212&lt;=450,G212=4),IF(AND(C212="IN",I212=90),VLOOKUP(W212,'CAFCO 300 IDIEM TABLAS'!$J$4:$L$40,2,FALSE),0),0)+IF(AND(J212&gt;=95,J212&lt;=450,G212=4),IF(AND(C212="IN",I212=120),VLOOKUP(W212,'CAFCO 300 IDIEM TABLAS'!$J$4:$L$40,3,FALSE),0),0))</f>
        <v>17</v>
      </c>
      <c r="U212" s="48">
        <f t="shared" si="27"/>
        <v>1.5207392281771501</v>
      </c>
      <c r="V212" s="82">
        <f t="shared" si="24"/>
        <v>22832.378771851731</v>
      </c>
      <c r="W212" s="64">
        <f>+IF(J212=LOOKUP(J212,'CAFCO 300 IDIEM TABLAS'!$J$4:$J$40),'HOJA DE CÁLCULO RESPALDO'!J212,MROUND('HOJA DE CÁLCULO RESPALDO'!J212,10))</f>
        <v>95</v>
      </c>
      <c r="X212" s="36"/>
      <c r="Y212" s="4"/>
    </row>
    <row r="213" spans="1:25" x14ac:dyDescent="0.25">
      <c r="A213" s="2" t="s">
        <v>44</v>
      </c>
      <c r="B213" s="3" t="s">
        <v>17</v>
      </c>
      <c r="C213" s="3" t="s">
        <v>19</v>
      </c>
      <c r="D213" s="3">
        <v>1</v>
      </c>
      <c r="E213" s="2">
        <v>1</v>
      </c>
      <c r="F213" s="8">
        <v>1500</v>
      </c>
      <c r="G213" s="1">
        <v>4</v>
      </c>
      <c r="H213" s="2">
        <v>776</v>
      </c>
      <c r="I213" s="34">
        <v>90</v>
      </c>
      <c r="J213" s="11">
        <v>95</v>
      </c>
      <c r="K213" s="44">
        <f t="shared" si="21"/>
        <v>1.1639999999999999</v>
      </c>
      <c r="L213" s="3" t="s">
        <v>61</v>
      </c>
      <c r="M213" s="3" t="s">
        <v>70</v>
      </c>
      <c r="N213" s="15">
        <f>ROUND((IF(L213="Blaze Shield II",IF(M213="Idiem software",IF(AND(C213="IN",G213=4),((('BLAZE SHIELD II'!$D$4*('HOJA DE CÁLCULO RESPALDO'!I213^2)+'BLAZE SHIELD II'!$D$5*'HOJA DE CÁLCULO RESPALDO'!I213+'BLAZE SHIELD II'!$D$6)*LN(J213))+('BLAZE SHIELD II'!$D$7*('HOJA DE CÁLCULO RESPALDO'!I213^2)+'BLAZE SHIELD II'!$D$8*'HOJA DE CÁLCULO RESPALDO'!I213+'BLAZE SHIELD II'!$D$9)),0),0),0))+(IF(L213="Blaze Shield II",IF(M213="Idiem software",IF(C213="Cj",((('BLAZE SHIELD II'!$H$4*('HOJA DE CÁLCULO RESPALDO'!I213^2)+'BLAZE SHIELD II'!$H$5*'HOJA DE CÁLCULO RESPALDO'!I213+'BLAZE SHIELD II'!$H$6)*LN(J213))+('BLAZE SHIELD II'!$H$7*('HOJA DE CÁLCULO RESPALDO'!I213^2)+'BLAZE SHIELD II'!$H$8*'HOJA DE CÁLCULO RESPALDO'!I213+'BLAZE SHIELD II'!$H$9)),0),0),0))+(IF(L213="Blaze Shield II",IF(M213="Idiem software",IF(C213="C",((('BLAZE SHIELD II'!$L$4*('HOJA DE CÁLCULO RESPALDO'!I213^2)+'BLAZE SHIELD II'!$L$5*'HOJA DE CÁLCULO RESPALDO'!I213+'BLAZE SHIELD II'!$L$6)*LN(J213))+('BLAZE SHIELD II'!$L$7*('HOJA DE CÁLCULO RESPALDO'!I213^2)+'BLAZE SHIELD II'!$L$8*'HOJA DE CÁLCULO RESPALDO'!I213+'BLAZE SHIELD II'!$L$9)),0),0),0))+(IF(L213="Blaze Shield II",IF(M213="Idiem software",IF(AND(C213="IN",G213=3),((('BLAZE SHIELD II'!$H$14*('HOJA DE CÁLCULO RESPALDO'!I213^2)+'BLAZE SHIELD II'!$H$15*'HOJA DE CÁLCULO RESPALDO'!I213+'BLAZE SHIELD II'!$H$16)*LN(J213))+('BLAZE SHIELD II'!$H$17*('HOJA DE CÁLCULO RESPALDO'!I213^2)+'BLAZE SHIELD II'!$H$18*'HOJA DE CÁLCULO RESPALDO'!I213+'BLAZE SHIELD II'!$H$19)),0),0),0)),0)</f>
        <v>0</v>
      </c>
      <c r="O213" s="46">
        <f t="shared" si="25"/>
        <v>0</v>
      </c>
      <c r="P213" s="80">
        <f t="shared" si="22"/>
        <v>0</v>
      </c>
      <c r="Q213" s="85">
        <f>ROUND((IF(L213="Cafco 400",IF(M213="Idiem software",IF(AND(C213="IN",G213=4),((('CAFCO 400 '!$H$7*(J213^4)+'CAFCO 400 '!$H$8*(J213^3)+'CAFCO 400 '!$H$9*(J213^2)+'CAFCO 400 '!$H$10*J213+'CAFCO 400 '!$H$11)*I213^2)+(('CAFCO 400 '!$H$12*(J213^3)+'CAFCO 400 '!$H$13*(J213^2)+'CAFCO 400 '!$H$14*J213+'CAFCO 400 '!$H$15)*I213)+('CAFCO 400 '!$H$16*(J213^2)+'CAFCO 400 '!$H$17*J213+'CAFCO 400 '!$H$18)),0),0),0))+(IF(L213="Cafco 400",IF(M213="Idiem software",IF(C213="Cj",(((('CAFCO 400 '!$D$7*LN(J213)+'CAFCO 400 '!$D$8)*I213^2)+(('CAFCO 400 '!$D$9*LN(J213)+'CAFCO 400 '!$D$10)*I213)+('CAFCO 400 '!$D$11*LN(J213)+'CAFCO 400 '!$D$12))),0),0),0))+(IF(L213="Cafco 400",IF(M213="Idiem software",IF(C213="C",((('CAFCO 400 '!$L$7*(J213^3)+'CAFCO 400 '!$L$8*(J213^2)+'CAFCO 400 '!$L$9*J213+'CAFCO 400 '!$L$10)*I213^2)+(('CAFCO 400 '!$L$11*(J213^3)+'CAFCO 400 '!$L$12*(J213^2)+'CAFCO 400 '!$L$13*J213+'CAFCO 400 '!$L$14)*I213)+('CAFCO 400 '!$L$15*LN(J213)+'CAFCO 400 '!$L$16)),0),0),0))+(IF(L213="Cafco 400",IF(M213="Idiem software",IF(AND(C213="IN",G213=3),((('CAFCO 400 '!$D$23*(J213^2)+'CAFCO 400 '!$D$24*(J213)+'CAFCO 400 '!$D$25)*I213^2)+(('CAFCO 400 '!$D$26*(J213^2)+'CAFCO 400 '!$D$27*J213+'CAFCO 400 '!$D$28)*I213)+('CAFCO 400 '!$D$29*(J213^2)+'CAFCO 400 '!$D$30*J213+'CAFCO 400 '!$D$31)),0),0),0)),0)</f>
        <v>0</v>
      </c>
      <c r="R213" s="47">
        <f t="shared" si="26"/>
        <v>0</v>
      </c>
      <c r="S213" s="82">
        <f t="shared" si="23"/>
        <v>0</v>
      </c>
      <c r="T213" s="81">
        <f>+IF(AND(J213&gt;=95,J213&lt;=240),IF(AND(C213="Cj",I213=90),VLOOKUP(W213,'CAFCO 300 IDIEM TABLAS'!$B$4:$D$23,2,FALSE),0)+IF(AND(J213&gt;=95,J213&lt;=240),IF(AND(C213="Cj",I213=120),VLOOKUP(W213,'CAFCO 300 IDIEM TABLAS'!$B$4:$D$23,3,FALSE),0))+IF(AND(J213&gt;=95,J213&lt;=400,G213=3),IF(AND(C213="IN",I213=90),VLOOKUP(W213,'CAFCO 300 IDIEM TABLAS'!$F$4:$H$35,2,FALSE),0),0)+IF(AND(J213&gt;=95,J213&lt;=400,G213=3),IF(AND(C213="IN",I213=120),VLOOKUP(W213,'CAFCO 300 IDIEM TABLAS'!$F$4:$H$35,3,FALSE),0),0)+IF(AND(J213&gt;=95,J213&lt;=450,G213=4),IF(AND(C213="IN",I213=90),VLOOKUP(W213,'CAFCO 300 IDIEM TABLAS'!$J$4:$L$40,2,FALSE),0),0)+IF(AND(J213&gt;=95,J213&lt;=450,G213=4),IF(AND(C213="IN",I213=120),VLOOKUP(W213,'CAFCO 300 IDIEM TABLAS'!$J$4:$L$40,3,FALSE),0),0))</f>
        <v>17</v>
      </c>
      <c r="U213" s="48">
        <f t="shared" si="27"/>
        <v>0.2730693196405648</v>
      </c>
      <c r="V213" s="82">
        <f t="shared" si="24"/>
        <v>4099.8627650834396</v>
      </c>
      <c r="W213" s="64">
        <f>+IF(J213=LOOKUP(J213,'CAFCO 300 IDIEM TABLAS'!$J$4:$J$40),'HOJA DE CÁLCULO RESPALDO'!J213,MROUND('HOJA DE CÁLCULO RESPALDO'!J213,10))</f>
        <v>95</v>
      </c>
      <c r="X213" s="36"/>
      <c r="Y213" s="4"/>
    </row>
    <row r="214" spans="1:25" ht="15.6" customHeight="1" x14ac:dyDescent="0.25">
      <c r="A214" s="2" t="s">
        <v>41</v>
      </c>
      <c r="B214" s="3" t="s">
        <v>17</v>
      </c>
      <c r="C214" s="3" t="s">
        <v>19</v>
      </c>
      <c r="D214" s="3">
        <v>1</v>
      </c>
      <c r="E214" s="2">
        <v>1</v>
      </c>
      <c r="F214" s="8">
        <v>1500</v>
      </c>
      <c r="G214" s="1">
        <v>4</v>
      </c>
      <c r="H214" s="2">
        <v>3879</v>
      </c>
      <c r="I214" s="34">
        <v>90</v>
      </c>
      <c r="J214" s="11">
        <v>95</v>
      </c>
      <c r="K214" s="44">
        <f t="shared" si="21"/>
        <v>5.8185000000000002</v>
      </c>
      <c r="L214" s="3" t="s">
        <v>61</v>
      </c>
      <c r="M214" s="3" t="s">
        <v>70</v>
      </c>
      <c r="N214" s="15">
        <f>ROUND((IF(L214="Blaze Shield II",IF(M214="Idiem software",IF(AND(C214="IN",G214=4),((('BLAZE SHIELD II'!$D$4*('HOJA DE CÁLCULO RESPALDO'!I214^2)+'BLAZE SHIELD II'!$D$5*'HOJA DE CÁLCULO RESPALDO'!I214+'BLAZE SHIELD II'!$D$6)*LN(J214))+('BLAZE SHIELD II'!$D$7*('HOJA DE CÁLCULO RESPALDO'!I214^2)+'BLAZE SHIELD II'!$D$8*'HOJA DE CÁLCULO RESPALDO'!I214+'BLAZE SHIELD II'!$D$9)),0),0),0))+(IF(L214="Blaze Shield II",IF(M214="Idiem software",IF(C214="Cj",((('BLAZE SHIELD II'!$H$4*('HOJA DE CÁLCULO RESPALDO'!I214^2)+'BLAZE SHIELD II'!$H$5*'HOJA DE CÁLCULO RESPALDO'!I214+'BLAZE SHIELD II'!$H$6)*LN(J214))+('BLAZE SHIELD II'!$H$7*('HOJA DE CÁLCULO RESPALDO'!I214^2)+'BLAZE SHIELD II'!$H$8*'HOJA DE CÁLCULO RESPALDO'!I214+'BLAZE SHIELD II'!$H$9)),0),0),0))+(IF(L214="Blaze Shield II",IF(M214="Idiem software",IF(C214="C",((('BLAZE SHIELD II'!$L$4*('HOJA DE CÁLCULO RESPALDO'!I214^2)+'BLAZE SHIELD II'!$L$5*'HOJA DE CÁLCULO RESPALDO'!I214+'BLAZE SHIELD II'!$L$6)*LN(J214))+('BLAZE SHIELD II'!$L$7*('HOJA DE CÁLCULO RESPALDO'!I214^2)+'BLAZE SHIELD II'!$L$8*'HOJA DE CÁLCULO RESPALDO'!I214+'BLAZE SHIELD II'!$L$9)),0),0),0))+(IF(L214="Blaze Shield II",IF(M214="Idiem software",IF(AND(C214="IN",G214=3),((('BLAZE SHIELD II'!$H$14*('HOJA DE CÁLCULO RESPALDO'!I214^2)+'BLAZE SHIELD II'!$H$15*'HOJA DE CÁLCULO RESPALDO'!I214+'BLAZE SHIELD II'!$H$16)*LN(J214))+('BLAZE SHIELD II'!$H$17*('HOJA DE CÁLCULO RESPALDO'!I214^2)+'BLAZE SHIELD II'!$H$18*'HOJA DE CÁLCULO RESPALDO'!I214+'BLAZE SHIELD II'!$H$19)),0),0),0)),0)</f>
        <v>0</v>
      </c>
      <c r="O214" s="46">
        <f t="shared" si="25"/>
        <v>0</v>
      </c>
      <c r="P214" s="80">
        <f t="shared" si="22"/>
        <v>0</v>
      </c>
      <c r="Q214" s="85">
        <f>ROUND((IF(L214="Cafco 400",IF(M214="Idiem software",IF(AND(C214="IN",G214=4),((('CAFCO 400 '!$H$7*(J214^4)+'CAFCO 400 '!$H$8*(J214^3)+'CAFCO 400 '!$H$9*(J214^2)+'CAFCO 400 '!$H$10*J214+'CAFCO 400 '!$H$11)*I214^2)+(('CAFCO 400 '!$H$12*(J214^3)+'CAFCO 400 '!$H$13*(J214^2)+'CAFCO 400 '!$H$14*J214+'CAFCO 400 '!$H$15)*I214)+('CAFCO 400 '!$H$16*(J214^2)+'CAFCO 400 '!$H$17*J214+'CAFCO 400 '!$H$18)),0),0),0))+(IF(L214="Cafco 400",IF(M214="Idiem software",IF(C214="Cj",(((('CAFCO 400 '!$D$7*LN(J214)+'CAFCO 400 '!$D$8)*I214^2)+(('CAFCO 400 '!$D$9*LN(J214)+'CAFCO 400 '!$D$10)*I214)+('CAFCO 400 '!$D$11*LN(J214)+'CAFCO 400 '!$D$12))),0),0),0))+(IF(L214="Cafco 400",IF(M214="Idiem software",IF(C214="C",((('CAFCO 400 '!$L$7*(J214^3)+'CAFCO 400 '!$L$8*(J214^2)+'CAFCO 400 '!$L$9*J214+'CAFCO 400 '!$L$10)*I214^2)+(('CAFCO 400 '!$L$11*(J214^3)+'CAFCO 400 '!$L$12*(J214^2)+'CAFCO 400 '!$L$13*J214+'CAFCO 400 '!$L$14)*I214)+('CAFCO 400 '!$L$15*LN(J214)+'CAFCO 400 '!$L$16)),0),0),0))+(IF(L214="Cafco 400",IF(M214="Idiem software",IF(AND(C214="IN",G214=3),((('CAFCO 400 '!$D$23*(J214^2)+'CAFCO 400 '!$D$24*(J214)+'CAFCO 400 '!$D$25)*I214^2)+(('CAFCO 400 '!$D$26*(J214^2)+'CAFCO 400 '!$D$27*J214+'CAFCO 400 '!$D$28)*I214)+('CAFCO 400 '!$D$29*(J214^2)+'CAFCO 400 '!$D$30*J214+'CAFCO 400 '!$D$31)),0),0),0)),0)</f>
        <v>0</v>
      </c>
      <c r="R214" s="47">
        <f t="shared" si="26"/>
        <v>0</v>
      </c>
      <c r="S214" s="82">
        <f t="shared" si="23"/>
        <v>0</v>
      </c>
      <c r="T214" s="81">
        <f>+IF(AND(J214&gt;=95,J214&lt;=240),IF(AND(C214="Cj",I214=90),VLOOKUP(W214,'CAFCO 300 IDIEM TABLAS'!$B$4:$D$23,2,FALSE),0)+IF(AND(J214&gt;=95,J214&lt;=240),IF(AND(C214="Cj",I214=120),VLOOKUP(W214,'CAFCO 300 IDIEM TABLAS'!$B$4:$D$23,3,FALSE),0))+IF(AND(J214&gt;=95,J214&lt;=400,G214=3),IF(AND(C214="IN",I214=90),VLOOKUP(W214,'CAFCO 300 IDIEM TABLAS'!$F$4:$H$35,2,FALSE),0),0)+IF(AND(J214&gt;=95,J214&lt;=400,G214=3),IF(AND(C214="IN",I214=120),VLOOKUP(W214,'CAFCO 300 IDIEM TABLAS'!$F$4:$H$35,3,FALSE),0),0)+IF(AND(J214&gt;=95,J214&lt;=450,G214=4),IF(AND(C214="IN",I214=90),VLOOKUP(W214,'CAFCO 300 IDIEM TABLAS'!$J$4:$L$40,2,FALSE),0),0)+IF(AND(J214&gt;=95,J214&lt;=450,G214=4),IF(AND(C214="IN",I214=120),VLOOKUP(W214,'CAFCO 300 IDIEM TABLAS'!$J$4:$L$40,3,FALSE),0),0))</f>
        <v>17</v>
      </c>
      <c r="U214" s="48">
        <f t="shared" si="27"/>
        <v>1.3649947047496791</v>
      </c>
      <c r="V214" s="82">
        <f t="shared" si="24"/>
        <v>20494.030497111682</v>
      </c>
      <c r="W214" s="64">
        <f>+IF(J214=LOOKUP(J214,'CAFCO 300 IDIEM TABLAS'!$J$4:$J$40),'HOJA DE CÁLCULO RESPALDO'!J214,MROUND('HOJA DE CÁLCULO RESPALDO'!J214,10))</f>
        <v>95</v>
      </c>
      <c r="X214" s="36"/>
      <c r="Y214" s="4"/>
    </row>
    <row r="215" spans="1:25" x14ac:dyDescent="0.25">
      <c r="A215" s="2" t="s">
        <v>42</v>
      </c>
      <c r="B215" s="3" t="s">
        <v>17</v>
      </c>
      <c r="C215" s="3" t="s">
        <v>19</v>
      </c>
      <c r="D215" s="3">
        <v>1</v>
      </c>
      <c r="E215" s="2">
        <v>1</v>
      </c>
      <c r="F215" s="8">
        <v>12634</v>
      </c>
      <c r="G215" s="1">
        <v>4</v>
      </c>
      <c r="H215" s="2">
        <v>585</v>
      </c>
      <c r="I215" s="34">
        <v>90</v>
      </c>
      <c r="J215" s="11">
        <v>95</v>
      </c>
      <c r="K215" s="44">
        <f t="shared" si="21"/>
        <v>7.3908899999999997</v>
      </c>
      <c r="L215" s="3" t="s">
        <v>61</v>
      </c>
      <c r="M215" s="3" t="s">
        <v>70</v>
      </c>
      <c r="N215" s="15">
        <f>ROUND((IF(L215="Blaze Shield II",IF(M215="Idiem software",IF(AND(C215="IN",G215=4),((('BLAZE SHIELD II'!$D$4*('HOJA DE CÁLCULO RESPALDO'!I215^2)+'BLAZE SHIELD II'!$D$5*'HOJA DE CÁLCULO RESPALDO'!I215+'BLAZE SHIELD II'!$D$6)*LN(J215))+('BLAZE SHIELD II'!$D$7*('HOJA DE CÁLCULO RESPALDO'!I215^2)+'BLAZE SHIELD II'!$D$8*'HOJA DE CÁLCULO RESPALDO'!I215+'BLAZE SHIELD II'!$D$9)),0),0),0))+(IF(L215="Blaze Shield II",IF(M215="Idiem software",IF(C215="Cj",((('BLAZE SHIELD II'!$H$4*('HOJA DE CÁLCULO RESPALDO'!I215^2)+'BLAZE SHIELD II'!$H$5*'HOJA DE CÁLCULO RESPALDO'!I215+'BLAZE SHIELD II'!$H$6)*LN(J215))+('BLAZE SHIELD II'!$H$7*('HOJA DE CÁLCULO RESPALDO'!I215^2)+'BLAZE SHIELD II'!$H$8*'HOJA DE CÁLCULO RESPALDO'!I215+'BLAZE SHIELD II'!$H$9)),0),0),0))+(IF(L215="Blaze Shield II",IF(M215="Idiem software",IF(C215="C",((('BLAZE SHIELD II'!$L$4*('HOJA DE CÁLCULO RESPALDO'!I215^2)+'BLAZE SHIELD II'!$L$5*'HOJA DE CÁLCULO RESPALDO'!I215+'BLAZE SHIELD II'!$L$6)*LN(J215))+('BLAZE SHIELD II'!$L$7*('HOJA DE CÁLCULO RESPALDO'!I215^2)+'BLAZE SHIELD II'!$L$8*'HOJA DE CÁLCULO RESPALDO'!I215+'BLAZE SHIELD II'!$L$9)),0),0),0))+(IF(L215="Blaze Shield II",IF(M215="Idiem software",IF(AND(C215="IN",G215=3),((('BLAZE SHIELD II'!$H$14*('HOJA DE CÁLCULO RESPALDO'!I215^2)+'BLAZE SHIELD II'!$H$15*'HOJA DE CÁLCULO RESPALDO'!I215+'BLAZE SHIELD II'!$H$16)*LN(J215))+('BLAZE SHIELD II'!$H$17*('HOJA DE CÁLCULO RESPALDO'!I215^2)+'BLAZE SHIELD II'!$H$18*'HOJA DE CÁLCULO RESPALDO'!I215+'BLAZE SHIELD II'!$H$19)),0),0),0)),0)</f>
        <v>0</v>
      </c>
      <c r="O215" s="46">
        <f t="shared" si="25"/>
        <v>0</v>
      </c>
      <c r="P215" s="80">
        <f t="shared" si="22"/>
        <v>0</v>
      </c>
      <c r="Q215" s="85">
        <f>ROUND((IF(L215="Cafco 400",IF(M215="Idiem software",IF(AND(C215="IN",G215=4),((('CAFCO 400 '!$H$7*(J215^4)+'CAFCO 400 '!$H$8*(J215^3)+'CAFCO 400 '!$H$9*(J215^2)+'CAFCO 400 '!$H$10*J215+'CAFCO 400 '!$H$11)*I215^2)+(('CAFCO 400 '!$H$12*(J215^3)+'CAFCO 400 '!$H$13*(J215^2)+'CAFCO 400 '!$H$14*J215+'CAFCO 400 '!$H$15)*I215)+('CAFCO 400 '!$H$16*(J215^2)+'CAFCO 400 '!$H$17*J215+'CAFCO 400 '!$H$18)),0),0),0))+(IF(L215="Cafco 400",IF(M215="Idiem software",IF(C215="Cj",(((('CAFCO 400 '!$D$7*LN(J215)+'CAFCO 400 '!$D$8)*I215^2)+(('CAFCO 400 '!$D$9*LN(J215)+'CAFCO 400 '!$D$10)*I215)+('CAFCO 400 '!$D$11*LN(J215)+'CAFCO 400 '!$D$12))),0),0),0))+(IF(L215="Cafco 400",IF(M215="Idiem software",IF(C215="C",((('CAFCO 400 '!$L$7*(J215^3)+'CAFCO 400 '!$L$8*(J215^2)+'CAFCO 400 '!$L$9*J215+'CAFCO 400 '!$L$10)*I215^2)+(('CAFCO 400 '!$L$11*(J215^3)+'CAFCO 400 '!$L$12*(J215^2)+'CAFCO 400 '!$L$13*J215+'CAFCO 400 '!$L$14)*I215)+('CAFCO 400 '!$L$15*LN(J215)+'CAFCO 400 '!$L$16)),0),0),0))+(IF(L215="Cafco 400",IF(M215="Idiem software",IF(AND(C215="IN",G215=3),((('CAFCO 400 '!$D$23*(J215^2)+'CAFCO 400 '!$D$24*(J215)+'CAFCO 400 '!$D$25)*I215^2)+(('CAFCO 400 '!$D$26*(J215^2)+'CAFCO 400 '!$D$27*J215+'CAFCO 400 '!$D$28)*I215)+('CAFCO 400 '!$D$29*(J215^2)+'CAFCO 400 '!$D$30*J215+'CAFCO 400 '!$D$31)),0),0),0)),0)</f>
        <v>0</v>
      </c>
      <c r="R215" s="47">
        <f t="shared" si="26"/>
        <v>0</v>
      </c>
      <c r="S215" s="82">
        <f t="shared" si="23"/>
        <v>0</v>
      </c>
      <c r="T215" s="81">
        <f>+IF(AND(J215&gt;=95,J215&lt;=240),IF(AND(C215="Cj",I215=90),VLOOKUP(W215,'CAFCO 300 IDIEM TABLAS'!$B$4:$D$23,2,FALSE),0)+IF(AND(J215&gt;=95,J215&lt;=240),IF(AND(C215="Cj",I215=120),VLOOKUP(W215,'CAFCO 300 IDIEM TABLAS'!$B$4:$D$23,3,FALSE),0))+IF(AND(J215&gt;=95,J215&lt;=400,G215=3),IF(AND(C215="IN",I215=90),VLOOKUP(W215,'CAFCO 300 IDIEM TABLAS'!$F$4:$H$35,2,FALSE),0),0)+IF(AND(J215&gt;=95,J215&lt;=400,G215=3),IF(AND(C215="IN",I215=120),VLOOKUP(W215,'CAFCO 300 IDIEM TABLAS'!$F$4:$H$35,3,FALSE),0),0)+IF(AND(J215&gt;=95,J215&lt;=450,G215=4),IF(AND(C215="IN",I215=90),VLOOKUP(W215,'CAFCO 300 IDIEM TABLAS'!$J$4:$L$40,2,FALSE),0),0)+IF(AND(J215&gt;=95,J215&lt;=450,G215=4),IF(AND(C215="IN",I215=120),VLOOKUP(W215,'CAFCO 300 IDIEM TABLAS'!$J$4:$L$40,3,FALSE),0),0))</f>
        <v>17</v>
      </c>
      <c r="U215" s="48">
        <f t="shared" si="27"/>
        <v>1.7338705359435174</v>
      </c>
      <c r="V215" s="82">
        <f t="shared" si="24"/>
        <v>26032.33222665597</v>
      </c>
      <c r="W215" s="64">
        <f>+IF(J215=LOOKUP(J215,'CAFCO 300 IDIEM TABLAS'!$J$4:$J$40),'HOJA DE CÁLCULO RESPALDO'!J215,MROUND('HOJA DE CÁLCULO RESPALDO'!J215,10))</f>
        <v>95</v>
      </c>
      <c r="X215" s="36"/>
      <c r="Y215" s="4"/>
    </row>
    <row r="216" spans="1:25" ht="15.6" customHeight="1" x14ac:dyDescent="0.25">
      <c r="A216" s="2" t="s">
        <v>44</v>
      </c>
      <c r="B216" s="3" t="s">
        <v>17</v>
      </c>
      <c r="C216" s="3" t="s">
        <v>19</v>
      </c>
      <c r="D216" s="3">
        <v>1</v>
      </c>
      <c r="E216" s="2">
        <v>1</v>
      </c>
      <c r="F216" s="8">
        <v>1500</v>
      </c>
      <c r="G216" s="1">
        <v>4</v>
      </c>
      <c r="H216" s="2">
        <v>776</v>
      </c>
      <c r="I216" s="34">
        <v>90</v>
      </c>
      <c r="J216" s="11">
        <v>95</v>
      </c>
      <c r="K216" s="44">
        <f t="shared" si="21"/>
        <v>1.1639999999999999</v>
      </c>
      <c r="L216" s="3" t="s">
        <v>61</v>
      </c>
      <c r="M216" s="3" t="s">
        <v>70</v>
      </c>
      <c r="N216" s="15">
        <f>ROUND((IF(L216="Blaze Shield II",IF(M216="Idiem software",IF(AND(C216="IN",G216=4),((('BLAZE SHIELD II'!$D$4*('HOJA DE CÁLCULO RESPALDO'!I216^2)+'BLAZE SHIELD II'!$D$5*'HOJA DE CÁLCULO RESPALDO'!I216+'BLAZE SHIELD II'!$D$6)*LN(J216))+('BLAZE SHIELD II'!$D$7*('HOJA DE CÁLCULO RESPALDO'!I216^2)+'BLAZE SHIELD II'!$D$8*'HOJA DE CÁLCULO RESPALDO'!I216+'BLAZE SHIELD II'!$D$9)),0),0),0))+(IF(L216="Blaze Shield II",IF(M216="Idiem software",IF(C216="Cj",((('BLAZE SHIELD II'!$H$4*('HOJA DE CÁLCULO RESPALDO'!I216^2)+'BLAZE SHIELD II'!$H$5*'HOJA DE CÁLCULO RESPALDO'!I216+'BLAZE SHIELD II'!$H$6)*LN(J216))+('BLAZE SHIELD II'!$H$7*('HOJA DE CÁLCULO RESPALDO'!I216^2)+'BLAZE SHIELD II'!$H$8*'HOJA DE CÁLCULO RESPALDO'!I216+'BLAZE SHIELD II'!$H$9)),0),0),0))+(IF(L216="Blaze Shield II",IF(M216="Idiem software",IF(C216="C",((('BLAZE SHIELD II'!$L$4*('HOJA DE CÁLCULO RESPALDO'!I216^2)+'BLAZE SHIELD II'!$L$5*'HOJA DE CÁLCULO RESPALDO'!I216+'BLAZE SHIELD II'!$L$6)*LN(J216))+('BLAZE SHIELD II'!$L$7*('HOJA DE CÁLCULO RESPALDO'!I216^2)+'BLAZE SHIELD II'!$L$8*'HOJA DE CÁLCULO RESPALDO'!I216+'BLAZE SHIELD II'!$L$9)),0),0),0))+(IF(L216="Blaze Shield II",IF(M216="Idiem software",IF(AND(C216="IN",G216=3),((('BLAZE SHIELD II'!$H$14*('HOJA DE CÁLCULO RESPALDO'!I216^2)+'BLAZE SHIELD II'!$H$15*'HOJA DE CÁLCULO RESPALDO'!I216+'BLAZE SHIELD II'!$H$16)*LN(J216))+('BLAZE SHIELD II'!$H$17*('HOJA DE CÁLCULO RESPALDO'!I216^2)+'BLAZE SHIELD II'!$H$18*'HOJA DE CÁLCULO RESPALDO'!I216+'BLAZE SHIELD II'!$H$19)),0),0),0)),0)</f>
        <v>0</v>
      </c>
      <c r="O216" s="46">
        <f t="shared" si="25"/>
        <v>0</v>
      </c>
      <c r="P216" s="80">
        <f t="shared" si="22"/>
        <v>0</v>
      </c>
      <c r="Q216" s="85">
        <f>ROUND((IF(L216="Cafco 400",IF(M216="Idiem software",IF(AND(C216="IN",G216=4),((('CAFCO 400 '!$H$7*(J216^4)+'CAFCO 400 '!$H$8*(J216^3)+'CAFCO 400 '!$H$9*(J216^2)+'CAFCO 400 '!$H$10*J216+'CAFCO 400 '!$H$11)*I216^2)+(('CAFCO 400 '!$H$12*(J216^3)+'CAFCO 400 '!$H$13*(J216^2)+'CAFCO 400 '!$H$14*J216+'CAFCO 400 '!$H$15)*I216)+('CAFCO 400 '!$H$16*(J216^2)+'CAFCO 400 '!$H$17*J216+'CAFCO 400 '!$H$18)),0),0),0))+(IF(L216="Cafco 400",IF(M216="Idiem software",IF(C216="Cj",(((('CAFCO 400 '!$D$7*LN(J216)+'CAFCO 400 '!$D$8)*I216^2)+(('CAFCO 400 '!$D$9*LN(J216)+'CAFCO 400 '!$D$10)*I216)+('CAFCO 400 '!$D$11*LN(J216)+'CAFCO 400 '!$D$12))),0),0),0))+(IF(L216="Cafco 400",IF(M216="Idiem software",IF(C216="C",((('CAFCO 400 '!$L$7*(J216^3)+'CAFCO 400 '!$L$8*(J216^2)+'CAFCO 400 '!$L$9*J216+'CAFCO 400 '!$L$10)*I216^2)+(('CAFCO 400 '!$L$11*(J216^3)+'CAFCO 400 '!$L$12*(J216^2)+'CAFCO 400 '!$L$13*J216+'CAFCO 400 '!$L$14)*I216)+('CAFCO 400 '!$L$15*LN(J216)+'CAFCO 400 '!$L$16)),0),0),0))+(IF(L216="Cafco 400",IF(M216="Idiem software",IF(AND(C216="IN",G216=3),((('CAFCO 400 '!$D$23*(J216^2)+'CAFCO 400 '!$D$24*(J216)+'CAFCO 400 '!$D$25)*I216^2)+(('CAFCO 400 '!$D$26*(J216^2)+'CAFCO 400 '!$D$27*J216+'CAFCO 400 '!$D$28)*I216)+('CAFCO 400 '!$D$29*(J216^2)+'CAFCO 400 '!$D$30*J216+'CAFCO 400 '!$D$31)),0),0),0)),0)</f>
        <v>0</v>
      </c>
      <c r="R216" s="47">
        <f t="shared" si="26"/>
        <v>0</v>
      </c>
      <c r="S216" s="82">
        <f t="shared" si="23"/>
        <v>0</v>
      </c>
      <c r="T216" s="81">
        <f>+IF(AND(J216&gt;=95,J216&lt;=240),IF(AND(C216="Cj",I216=90),VLOOKUP(W216,'CAFCO 300 IDIEM TABLAS'!$B$4:$D$23,2,FALSE),0)+IF(AND(J216&gt;=95,J216&lt;=240),IF(AND(C216="Cj",I216=120),VLOOKUP(W216,'CAFCO 300 IDIEM TABLAS'!$B$4:$D$23,3,FALSE),0))+IF(AND(J216&gt;=95,J216&lt;=400,G216=3),IF(AND(C216="IN",I216=90),VLOOKUP(W216,'CAFCO 300 IDIEM TABLAS'!$F$4:$H$35,2,FALSE),0),0)+IF(AND(J216&gt;=95,J216&lt;=400,G216=3),IF(AND(C216="IN",I216=120),VLOOKUP(W216,'CAFCO 300 IDIEM TABLAS'!$F$4:$H$35,3,FALSE),0),0)+IF(AND(J216&gt;=95,J216&lt;=450,G216=4),IF(AND(C216="IN",I216=90),VLOOKUP(W216,'CAFCO 300 IDIEM TABLAS'!$J$4:$L$40,2,FALSE),0),0)+IF(AND(J216&gt;=95,J216&lt;=450,G216=4),IF(AND(C216="IN",I216=120),VLOOKUP(W216,'CAFCO 300 IDIEM TABLAS'!$J$4:$L$40,3,FALSE),0),0))</f>
        <v>17</v>
      </c>
      <c r="U216" s="48">
        <f t="shared" si="27"/>
        <v>0.2730693196405648</v>
      </c>
      <c r="V216" s="82">
        <f t="shared" si="24"/>
        <v>4099.8627650834396</v>
      </c>
      <c r="W216" s="64">
        <f>+IF(J216=LOOKUP(J216,'CAFCO 300 IDIEM TABLAS'!$J$4:$J$40),'HOJA DE CÁLCULO RESPALDO'!J216,MROUND('HOJA DE CÁLCULO RESPALDO'!J216,10))</f>
        <v>95</v>
      </c>
      <c r="X216" s="36"/>
      <c r="Y216" s="4"/>
    </row>
    <row r="217" spans="1:25" x14ac:dyDescent="0.25">
      <c r="A217" s="2" t="s">
        <v>41</v>
      </c>
      <c r="B217" s="3" t="s">
        <v>17</v>
      </c>
      <c r="C217" s="3" t="s">
        <v>19</v>
      </c>
      <c r="D217" s="3">
        <v>1</v>
      </c>
      <c r="E217" s="2">
        <v>1</v>
      </c>
      <c r="F217" s="8">
        <v>11097</v>
      </c>
      <c r="G217" s="1">
        <v>4</v>
      </c>
      <c r="H217" s="2">
        <v>585</v>
      </c>
      <c r="I217" s="34">
        <v>90</v>
      </c>
      <c r="J217" s="11">
        <v>95</v>
      </c>
      <c r="K217" s="44">
        <f t="shared" si="21"/>
        <v>6.4917449999999999</v>
      </c>
      <c r="L217" s="3" t="s">
        <v>61</v>
      </c>
      <c r="M217" s="3" t="s">
        <v>70</v>
      </c>
      <c r="N217" s="15">
        <f>ROUND((IF(L217="Blaze Shield II",IF(M217="Idiem software",IF(AND(C217="IN",G217=4),((('BLAZE SHIELD II'!$D$4*('HOJA DE CÁLCULO RESPALDO'!I217^2)+'BLAZE SHIELD II'!$D$5*'HOJA DE CÁLCULO RESPALDO'!I217+'BLAZE SHIELD II'!$D$6)*LN(J217))+('BLAZE SHIELD II'!$D$7*('HOJA DE CÁLCULO RESPALDO'!I217^2)+'BLAZE SHIELD II'!$D$8*'HOJA DE CÁLCULO RESPALDO'!I217+'BLAZE SHIELD II'!$D$9)),0),0),0))+(IF(L217="Blaze Shield II",IF(M217="Idiem software",IF(C217="Cj",((('BLAZE SHIELD II'!$H$4*('HOJA DE CÁLCULO RESPALDO'!I217^2)+'BLAZE SHIELD II'!$H$5*'HOJA DE CÁLCULO RESPALDO'!I217+'BLAZE SHIELD II'!$H$6)*LN(J217))+('BLAZE SHIELD II'!$H$7*('HOJA DE CÁLCULO RESPALDO'!I217^2)+'BLAZE SHIELD II'!$H$8*'HOJA DE CÁLCULO RESPALDO'!I217+'BLAZE SHIELD II'!$H$9)),0),0),0))+(IF(L217="Blaze Shield II",IF(M217="Idiem software",IF(C217="C",((('BLAZE SHIELD II'!$L$4*('HOJA DE CÁLCULO RESPALDO'!I217^2)+'BLAZE SHIELD II'!$L$5*'HOJA DE CÁLCULO RESPALDO'!I217+'BLAZE SHIELD II'!$L$6)*LN(J217))+('BLAZE SHIELD II'!$L$7*('HOJA DE CÁLCULO RESPALDO'!I217^2)+'BLAZE SHIELD II'!$L$8*'HOJA DE CÁLCULO RESPALDO'!I217+'BLAZE SHIELD II'!$L$9)),0),0),0))+(IF(L217="Blaze Shield II",IF(M217="Idiem software",IF(AND(C217="IN",G217=3),((('BLAZE SHIELD II'!$H$14*('HOJA DE CÁLCULO RESPALDO'!I217^2)+'BLAZE SHIELD II'!$H$15*'HOJA DE CÁLCULO RESPALDO'!I217+'BLAZE SHIELD II'!$H$16)*LN(J217))+('BLAZE SHIELD II'!$H$17*('HOJA DE CÁLCULO RESPALDO'!I217^2)+'BLAZE SHIELD II'!$H$18*'HOJA DE CÁLCULO RESPALDO'!I217+'BLAZE SHIELD II'!$H$19)),0),0),0)),0)</f>
        <v>0</v>
      </c>
      <c r="O217" s="46">
        <f t="shared" si="25"/>
        <v>0</v>
      </c>
      <c r="P217" s="80">
        <f t="shared" si="22"/>
        <v>0</v>
      </c>
      <c r="Q217" s="85">
        <f>ROUND((IF(L217="Cafco 400",IF(M217="Idiem software",IF(AND(C217="IN",G217=4),((('CAFCO 400 '!$H$7*(J217^4)+'CAFCO 400 '!$H$8*(J217^3)+'CAFCO 400 '!$H$9*(J217^2)+'CAFCO 400 '!$H$10*J217+'CAFCO 400 '!$H$11)*I217^2)+(('CAFCO 400 '!$H$12*(J217^3)+'CAFCO 400 '!$H$13*(J217^2)+'CAFCO 400 '!$H$14*J217+'CAFCO 400 '!$H$15)*I217)+('CAFCO 400 '!$H$16*(J217^2)+'CAFCO 400 '!$H$17*J217+'CAFCO 400 '!$H$18)),0),0),0))+(IF(L217="Cafco 400",IF(M217="Idiem software",IF(C217="Cj",(((('CAFCO 400 '!$D$7*LN(J217)+'CAFCO 400 '!$D$8)*I217^2)+(('CAFCO 400 '!$D$9*LN(J217)+'CAFCO 400 '!$D$10)*I217)+('CAFCO 400 '!$D$11*LN(J217)+'CAFCO 400 '!$D$12))),0),0),0))+(IF(L217="Cafco 400",IF(M217="Idiem software",IF(C217="C",((('CAFCO 400 '!$L$7*(J217^3)+'CAFCO 400 '!$L$8*(J217^2)+'CAFCO 400 '!$L$9*J217+'CAFCO 400 '!$L$10)*I217^2)+(('CAFCO 400 '!$L$11*(J217^3)+'CAFCO 400 '!$L$12*(J217^2)+'CAFCO 400 '!$L$13*J217+'CAFCO 400 '!$L$14)*I217)+('CAFCO 400 '!$L$15*LN(J217)+'CAFCO 400 '!$L$16)),0),0),0))+(IF(L217="Cafco 400",IF(M217="Idiem software",IF(AND(C217="IN",G217=3),((('CAFCO 400 '!$D$23*(J217^2)+'CAFCO 400 '!$D$24*(J217)+'CAFCO 400 '!$D$25)*I217^2)+(('CAFCO 400 '!$D$26*(J217^2)+'CAFCO 400 '!$D$27*J217+'CAFCO 400 '!$D$28)*I217)+('CAFCO 400 '!$D$29*(J217^2)+'CAFCO 400 '!$D$30*J217+'CAFCO 400 '!$D$31)),0),0),0)),0)</f>
        <v>0</v>
      </c>
      <c r="R217" s="47">
        <f t="shared" si="26"/>
        <v>0</v>
      </c>
      <c r="S217" s="82">
        <f t="shared" si="23"/>
        <v>0</v>
      </c>
      <c r="T217" s="81">
        <f>+IF(AND(J217&gt;=95,J217&lt;=240),IF(AND(C217="Cj",I217=90),VLOOKUP(W217,'CAFCO 300 IDIEM TABLAS'!$B$4:$D$23,2,FALSE),0)+IF(AND(J217&gt;=95,J217&lt;=240),IF(AND(C217="Cj",I217=120),VLOOKUP(W217,'CAFCO 300 IDIEM TABLAS'!$B$4:$D$23,3,FALSE),0))+IF(AND(J217&gt;=95,J217&lt;=400,G217=3),IF(AND(C217="IN",I217=90),VLOOKUP(W217,'CAFCO 300 IDIEM TABLAS'!$F$4:$H$35,2,FALSE),0),0)+IF(AND(J217&gt;=95,J217&lt;=400,G217=3),IF(AND(C217="IN",I217=120),VLOOKUP(W217,'CAFCO 300 IDIEM TABLAS'!$F$4:$H$35,3,FALSE),0),0)+IF(AND(J217&gt;=95,J217&lt;=450,G217=4),IF(AND(C217="IN",I217=90),VLOOKUP(W217,'CAFCO 300 IDIEM TABLAS'!$J$4:$L$40,2,FALSE),0),0)+IF(AND(J217&gt;=95,J217&lt;=450,G217=4),IF(AND(C217="IN",I217=120),VLOOKUP(W217,'CAFCO 300 IDIEM TABLAS'!$J$4:$L$40,3,FALSE),0),0))</f>
        <v>17</v>
      </c>
      <c r="U217" s="48">
        <f t="shared" si="27"/>
        <v>1.5229350433247753</v>
      </c>
      <c r="V217" s="82">
        <f t="shared" si="24"/>
        <v>22865.346740478177</v>
      </c>
      <c r="W217" s="64">
        <f>+IF(J217=LOOKUP(J217,'CAFCO 300 IDIEM TABLAS'!$J$4:$J$40),'HOJA DE CÁLCULO RESPALDO'!J217,MROUND('HOJA DE CÁLCULO RESPALDO'!J217,10))</f>
        <v>95</v>
      </c>
      <c r="X217" s="36"/>
      <c r="Y217" s="4"/>
    </row>
    <row r="218" spans="1:25" ht="15.6" customHeight="1" x14ac:dyDescent="0.25">
      <c r="A218" s="2" t="s">
        <v>42</v>
      </c>
      <c r="B218" s="3" t="s">
        <v>17</v>
      </c>
      <c r="C218" s="3" t="s">
        <v>19</v>
      </c>
      <c r="D218" s="3">
        <v>1</v>
      </c>
      <c r="E218" s="2">
        <v>1</v>
      </c>
      <c r="F218" s="8">
        <v>1500</v>
      </c>
      <c r="G218" s="1">
        <v>4</v>
      </c>
      <c r="H218" s="2">
        <v>776</v>
      </c>
      <c r="I218" s="34">
        <v>90</v>
      </c>
      <c r="J218" s="11">
        <v>95</v>
      </c>
      <c r="K218" s="44">
        <f t="shared" si="21"/>
        <v>1.1639999999999999</v>
      </c>
      <c r="L218" s="3" t="s">
        <v>61</v>
      </c>
      <c r="M218" s="3" t="s">
        <v>70</v>
      </c>
      <c r="N218" s="15">
        <f>ROUND((IF(L218="Blaze Shield II",IF(M218="Idiem software",IF(AND(C218="IN",G218=4),((('BLAZE SHIELD II'!$D$4*('HOJA DE CÁLCULO RESPALDO'!I218^2)+'BLAZE SHIELD II'!$D$5*'HOJA DE CÁLCULO RESPALDO'!I218+'BLAZE SHIELD II'!$D$6)*LN(J218))+('BLAZE SHIELD II'!$D$7*('HOJA DE CÁLCULO RESPALDO'!I218^2)+'BLAZE SHIELD II'!$D$8*'HOJA DE CÁLCULO RESPALDO'!I218+'BLAZE SHIELD II'!$D$9)),0),0),0))+(IF(L218="Blaze Shield II",IF(M218="Idiem software",IF(C218="Cj",((('BLAZE SHIELD II'!$H$4*('HOJA DE CÁLCULO RESPALDO'!I218^2)+'BLAZE SHIELD II'!$H$5*'HOJA DE CÁLCULO RESPALDO'!I218+'BLAZE SHIELD II'!$H$6)*LN(J218))+('BLAZE SHIELD II'!$H$7*('HOJA DE CÁLCULO RESPALDO'!I218^2)+'BLAZE SHIELD II'!$H$8*'HOJA DE CÁLCULO RESPALDO'!I218+'BLAZE SHIELD II'!$H$9)),0),0),0))+(IF(L218="Blaze Shield II",IF(M218="Idiem software",IF(C218="C",((('BLAZE SHIELD II'!$L$4*('HOJA DE CÁLCULO RESPALDO'!I218^2)+'BLAZE SHIELD II'!$L$5*'HOJA DE CÁLCULO RESPALDO'!I218+'BLAZE SHIELD II'!$L$6)*LN(J218))+('BLAZE SHIELD II'!$L$7*('HOJA DE CÁLCULO RESPALDO'!I218^2)+'BLAZE SHIELD II'!$L$8*'HOJA DE CÁLCULO RESPALDO'!I218+'BLAZE SHIELD II'!$L$9)),0),0),0))+(IF(L218="Blaze Shield II",IF(M218="Idiem software",IF(AND(C218="IN",G218=3),((('BLAZE SHIELD II'!$H$14*('HOJA DE CÁLCULO RESPALDO'!I218^2)+'BLAZE SHIELD II'!$H$15*'HOJA DE CÁLCULO RESPALDO'!I218+'BLAZE SHIELD II'!$H$16)*LN(J218))+('BLAZE SHIELD II'!$H$17*('HOJA DE CÁLCULO RESPALDO'!I218^2)+'BLAZE SHIELD II'!$H$18*'HOJA DE CÁLCULO RESPALDO'!I218+'BLAZE SHIELD II'!$H$19)),0),0),0)),0)</f>
        <v>0</v>
      </c>
      <c r="O218" s="46">
        <f t="shared" si="25"/>
        <v>0</v>
      </c>
      <c r="P218" s="80">
        <f t="shared" si="22"/>
        <v>0</v>
      </c>
      <c r="Q218" s="85">
        <f>ROUND((IF(L218="Cafco 400",IF(M218="Idiem software",IF(AND(C218="IN",G218=4),((('CAFCO 400 '!$H$7*(J218^4)+'CAFCO 400 '!$H$8*(J218^3)+'CAFCO 400 '!$H$9*(J218^2)+'CAFCO 400 '!$H$10*J218+'CAFCO 400 '!$H$11)*I218^2)+(('CAFCO 400 '!$H$12*(J218^3)+'CAFCO 400 '!$H$13*(J218^2)+'CAFCO 400 '!$H$14*J218+'CAFCO 400 '!$H$15)*I218)+('CAFCO 400 '!$H$16*(J218^2)+'CAFCO 400 '!$H$17*J218+'CAFCO 400 '!$H$18)),0),0),0))+(IF(L218="Cafco 400",IF(M218="Idiem software",IF(C218="Cj",(((('CAFCO 400 '!$D$7*LN(J218)+'CAFCO 400 '!$D$8)*I218^2)+(('CAFCO 400 '!$D$9*LN(J218)+'CAFCO 400 '!$D$10)*I218)+('CAFCO 400 '!$D$11*LN(J218)+'CAFCO 400 '!$D$12))),0),0),0))+(IF(L218="Cafco 400",IF(M218="Idiem software",IF(C218="C",((('CAFCO 400 '!$L$7*(J218^3)+'CAFCO 400 '!$L$8*(J218^2)+'CAFCO 400 '!$L$9*J218+'CAFCO 400 '!$L$10)*I218^2)+(('CAFCO 400 '!$L$11*(J218^3)+'CAFCO 400 '!$L$12*(J218^2)+'CAFCO 400 '!$L$13*J218+'CAFCO 400 '!$L$14)*I218)+('CAFCO 400 '!$L$15*LN(J218)+'CAFCO 400 '!$L$16)),0),0),0))+(IF(L218="Cafco 400",IF(M218="Idiem software",IF(AND(C218="IN",G218=3),((('CAFCO 400 '!$D$23*(J218^2)+'CAFCO 400 '!$D$24*(J218)+'CAFCO 400 '!$D$25)*I218^2)+(('CAFCO 400 '!$D$26*(J218^2)+'CAFCO 400 '!$D$27*J218+'CAFCO 400 '!$D$28)*I218)+('CAFCO 400 '!$D$29*(J218^2)+'CAFCO 400 '!$D$30*J218+'CAFCO 400 '!$D$31)),0),0),0)),0)</f>
        <v>0</v>
      </c>
      <c r="R218" s="47">
        <f t="shared" si="26"/>
        <v>0</v>
      </c>
      <c r="S218" s="82">
        <f t="shared" si="23"/>
        <v>0</v>
      </c>
      <c r="T218" s="81">
        <f>+IF(AND(J218&gt;=95,J218&lt;=240),IF(AND(C218="Cj",I218=90),VLOOKUP(W218,'CAFCO 300 IDIEM TABLAS'!$B$4:$D$23,2,FALSE),0)+IF(AND(J218&gt;=95,J218&lt;=240),IF(AND(C218="Cj",I218=120),VLOOKUP(W218,'CAFCO 300 IDIEM TABLAS'!$B$4:$D$23,3,FALSE),0))+IF(AND(J218&gt;=95,J218&lt;=400,G218=3),IF(AND(C218="IN",I218=90),VLOOKUP(W218,'CAFCO 300 IDIEM TABLAS'!$F$4:$H$35,2,FALSE),0),0)+IF(AND(J218&gt;=95,J218&lt;=400,G218=3),IF(AND(C218="IN",I218=120),VLOOKUP(W218,'CAFCO 300 IDIEM TABLAS'!$F$4:$H$35,3,FALSE),0),0)+IF(AND(J218&gt;=95,J218&lt;=450,G218=4),IF(AND(C218="IN",I218=90),VLOOKUP(W218,'CAFCO 300 IDIEM TABLAS'!$J$4:$L$40,2,FALSE),0),0)+IF(AND(J218&gt;=95,J218&lt;=450,G218=4),IF(AND(C218="IN",I218=120),VLOOKUP(W218,'CAFCO 300 IDIEM TABLAS'!$J$4:$L$40,3,FALSE),0),0))</f>
        <v>17</v>
      </c>
      <c r="U218" s="48">
        <f t="shared" si="27"/>
        <v>0.2730693196405648</v>
      </c>
      <c r="V218" s="82">
        <f t="shared" si="24"/>
        <v>4099.8627650834396</v>
      </c>
      <c r="W218" s="64">
        <f>+IF(J218=LOOKUP(J218,'CAFCO 300 IDIEM TABLAS'!$J$4:$J$40),'HOJA DE CÁLCULO RESPALDO'!J218,MROUND('HOJA DE CÁLCULO RESPALDO'!J218,10))</f>
        <v>95</v>
      </c>
      <c r="X218" s="36"/>
      <c r="Y218" s="4"/>
    </row>
    <row r="219" spans="1:25" x14ac:dyDescent="0.25">
      <c r="A219" s="2" t="s">
        <v>44</v>
      </c>
      <c r="B219" s="3" t="s">
        <v>17</v>
      </c>
      <c r="C219" s="3" t="s">
        <v>19</v>
      </c>
      <c r="D219" s="3">
        <v>1</v>
      </c>
      <c r="E219" s="2">
        <v>1</v>
      </c>
      <c r="F219" s="8">
        <v>1500</v>
      </c>
      <c r="G219" s="1">
        <v>4</v>
      </c>
      <c r="H219" s="2">
        <v>3879</v>
      </c>
      <c r="I219" s="34">
        <v>90</v>
      </c>
      <c r="J219" s="11">
        <v>95</v>
      </c>
      <c r="K219" s="44">
        <f t="shared" si="21"/>
        <v>5.8185000000000002</v>
      </c>
      <c r="L219" s="3" t="s">
        <v>61</v>
      </c>
      <c r="M219" s="3" t="s">
        <v>70</v>
      </c>
      <c r="N219" s="15">
        <f>ROUND((IF(L219="Blaze Shield II",IF(M219="Idiem software",IF(AND(C219="IN",G219=4),((('BLAZE SHIELD II'!$D$4*('HOJA DE CÁLCULO RESPALDO'!I219^2)+'BLAZE SHIELD II'!$D$5*'HOJA DE CÁLCULO RESPALDO'!I219+'BLAZE SHIELD II'!$D$6)*LN(J219))+('BLAZE SHIELD II'!$D$7*('HOJA DE CÁLCULO RESPALDO'!I219^2)+'BLAZE SHIELD II'!$D$8*'HOJA DE CÁLCULO RESPALDO'!I219+'BLAZE SHIELD II'!$D$9)),0),0),0))+(IF(L219="Blaze Shield II",IF(M219="Idiem software",IF(C219="Cj",((('BLAZE SHIELD II'!$H$4*('HOJA DE CÁLCULO RESPALDO'!I219^2)+'BLAZE SHIELD II'!$H$5*'HOJA DE CÁLCULO RESPALDO'!I219+'BLAZE SHIELD II'!$H$6)*LN(J219))+('BLAZE SHIELD II'!$H$7*('HOJA DE CÁLCULO RESPALDO'!I219^2)+'BLAZE SHIELD II'!$H$8*'HOJA DE CÁLCULO RESPALDO'!I219+'BLAZE SHIELD II'!$H$9)),0),0),0))+(IF(L219="Blaze Shield II",IF(M219="Idiem software",IF(C219="C",((('BLAZE SHIELD II'!$L$4*('HOJA DE CÁLCULO RESPALDO'!I219^2)+'BLAZE SHIELD II'!$L$5*'HOJA DE CÁLCULO RESPALDO'!I219+'BLAZE SHIELD II'!$L$6)*LN(J219))+('BLAZE SHIELD II'!$L$7*('HOJA DE CÁLCULO RESPALDO'!I219^2)+'BLAZE SHIELD II'!$L$8*'HOJA DE CÁLCULO RESPALDO'!I219+'BLAZE SHIELD II'!$L$9)),0),0),0))+(IF(L219="Blaze Shield II",IF(M219="Idiem software",IF(AND(C219="IN",G219=3),((('BLAZE SHIELD II'!$H$14*('HOJA DE CÁLCULO RESPALDO'!I219^2)+'BLAZE SHIELD II'!$H$15*'HOJA DE CÁLCULO RESPALDO'!I219+'BLAZE SHIELD II'!$H$16)*LN(J219))+('BLAZE SHIELD II'!$H$17*('HOJA DE CÁLCULO RESPALDO'!I219^2)+'BLAZE SHIELD II'!$H$18*'HOJA DE CÁLCULO RESPALDO'!I219+'BLAZE SHIELD II'!$H$19)),0),0),0)),0)</f>
        <v>0</v>
      </c>
      <c r="O219" s="46">
        <f t="shared" si="25"/>
        <v>0</v>
      </c>
      <c r="P219" s="80">
        <f t="shared" si="22"/>
        <v>0</v>
      </c>
      <c r="Q219" s="85">
        <f>ROUND((IF(L219="Cafco 400",IF(M219="Idiem software",IF(AND(C219="IN",G219=4),((('CAFCO 400 '!$H$7*(J219^4)+'CAFCO 400 '!$H$8*(J219^3)+'CAFCO 400 '!$H$9*(J219^2)+'CAFCO 400 '!$H$10*J219+'CAFCO 400 '!$H$11)*I219^2)+(('CAFCO 400 '!$H$12*(J219^3)+'CAFCO 400 '!$H$13*(J219^2)+'CAFCO 400 '!$H$14*J219+'CAFCO 400 '!$H$15)*I219)+('CAFCO 400 '!$H$16*(J219^2)+'CAFCO 400 '!$H$17*J219+'CAFCO 400 '!$H$18)),0),0),0))+(IF(L219="Cafco 400",IF(M219="Idiem software",IF(C219="Cj",(((('CAFCO 400 '!$D$7*LN(J219)+'CAFCO 400 '!$D$8)*I219^2)+(('CAFCO 400 '!$D$9*LN(J219)+'CAFCO 400 '!$D$10)*I219)+('CAFCO 400 '!$D$11*LN(J219)+'CAFCO 400 '!$D$12))),0),0),0))+(IF(L219="Cafco 400",IF(M219="Idiem software",IF(C219="C",((('CAFCO 400 '!$L$7*(J219^3)+'CAFCO 400 '!$L$8*(J219^2)+'CAFCO 400 '!$L$9*J219+'CAFCO 400 '!$L$10)*I219^2)+(('CAFCO 400 '!$L$11*(J219^3)+'CAFCO 400 '!$L$12*(J219^2)+'CAFCO 400 '!$L$13*J219+'CAFCO 400 '!$L$14)*I219)+('CAFCO 400 '!$L$15*LN(J219)+'CAFCO 400 '!$L$16)),0),0),0))+(IF(L219="Cafco 400",IF(M219="Idiem software",IF(AND(C219="IN",G219=3),((('CAFCO 400 '!$D$23*(J219^2)+'CAFCO 400 '!$D$24*(J219)+'CAFCO 400 '!$D$25)*I219^2)+(('CAFCO 400 '!$D$26*(J219^2)+'CAFCO 400 '!$D$27*J219+'CAFCO 400 '!$D$28)*I219)+('CAFCO 400 '!$D$29*(J219^2)+'CAFCO 400 '!$D$30*J219+'CAFCO 400 '!$D$31)),0),0),0)),0)</f>
        <v>0</v>
      </c>
      <c r="R219" s="47">
        <f t="shared" si="26"/>
        <v>0</v>
      </c>
      <c r="S219" s="82">
        <f t="shared" si="23"/>
        <v>0</v>
      </c>
      <c r="T219" s="81">
        <f>+IF(AND(J219&gt;=95,J219&lt;=240),IF(AND(C219="Cj",I219=90),VLOOKUP(W219,'CAFCO 300 IDIEM TABLAS'!$B$4:$D$23,2,FALSE),0)+IF(AND(J219&gt;=95,J219&lt;=240),IF(AND(C219="Cj",I219=120),VLOOKUP(W219,'CAFCO 300 IDIEM TABLAS'!$B$4:$D$23,3,FALSE),0))+IF(AND(J219&gt;=95,J219&lt;=400,G219=3),IF(AND(C219="IN",I219=90),VLOOKUP(W219,'CAFCO 300 IDIEM TABLAS'!$F$4:$H$35,2,FALSE),0),0)+IF(AND(J219&gt;=95,J219&lt;=400,G219=3),IF(AND(C219="IN",I219=120),VLOOKUP(W219,'CAFCO 300 IDIEM TABLAS'!$F$4:$H$35,3,FALSE),0),0)+IF(AND(J219&gt;=95,J219&lt;=450,G219=4),IF(AND(C219="IN",I219=90),VLOOKUP(W219,'CAFCO 300 IDIEM TABLAS'!$J$4:$L$40,2,FALSE),0),0)+IF(AND(J219&gt;=95,J219&lt;=450,G219=4),IF(AND(C219="IN",I219=120),VLOOKUP(W219,'CAFCO 300 IDIEM TABLAS'!$J$4:$L$40,3,FALSE),0),0))</f>
        <v>17</v>
      </c>
      <c r="U219" s="48">
        <f t="shared" si="27"/>
        <v>1.3649947047496791</v>
      </c>
      <c r="V219" s="82">
        <f t="shared" si="24"/>
        <v>20494.030497111682</v>
      </c>
      <c r="W219" s="64">
        <f>+IF(J219=LOOKUP(J219,'CAFCO 300 IDIEM TABLAS'!$J$4:$J$40),'HOJA DE CÁLCULO RESPALDO'!J219,MROUND('HOJA DE CÁLCULO RESPALDO'!J219,10))</f>
        <v>95</v>
      </c>
      <c r="X219" s="36"/>
      <c r="Y219" s="4"/>
    </row>
    <row r="220" spans="1:25" ht="15.6" customHeight="1" x14ac:dyDescent="0.25">
      <c r="A220" s="2" t="s">
        <v>41</v>
      </c>
      <c r="B220" s="3" t="s">
        <v>17</v>
      </c>
      <c r="C220" s="3" t="s">
        <v>19</v>
      </c>
      <c r="D220" s="3">
        <v>1</v>
      </c>
      <c r="E220" s="2">
        <v>2</v>
      </c>
      <c r="F220" s="8">
        <v>26385</v>
      </c>
      <c r="G220" s="1">
        <v>4</v>
      </c>
      <c r="H220" s="2">
        <v>2784</v>
      </c>
      <c r="I220" s="34">
        <v>90</v>
      </c>
      <c r="J220" s="11">
        <v>95</v>
      </c>
      <c r="K220" s="44">
        <f t="shared" si="21"/>
        <v>146.91167999999999</v>
      </c>
      <c r="L220" s="3" t="s">
        <v>61</v>
      </c>
      <c r="M220" s="3" t="s">
        <v>70</v>
      </c>
      <c r="N220" s="15">
        <f>ROUND((IF(L220="Blaze Shield II",IF(M220="Idiem software",IF(AND(C220="IN",G220=4),((('BLAZE SHIELD II'!$D$4*('HOJA DE CÁLCULO RESPALDO'!I220^2)+'BLAZE SHIELD II'!$D$5*'HOJA DE CÁLCULO RESPALDO'!I220+'BLAZE SHIELD II'!$D$6)*LN(J220))+('BLAZE SHIELD II'!$D$7*('HOJA DE CÁLCULO RESPALDO'!I220^2)+'BLAZE SHIELD II'!$D$8*'HOJA DE CÁLCULO RESPALDO'!I220+'BLAZE SHIELD II'!$D$9)),0),0),0))+(IF(L220="Blaze Shield II",IF(M220="Idiem software",IF(C220="Cj",((('BLAZE SHIELD II'!$H$4*('HOJA DE CÁLCULO RESPALDO'!I220^2)+'BLAZE SHIELD II'!$H$5*'HOJA DE CÁLCULO RESPALDO'!I220+'BLAZE SHIELD II'!$H$6)*LN(J220))+('BLAZE SHIELD II'!$H$7*('HOJA DE CÁLCULO RESPALDO'!I220^2)+'BLAZE SHIELD II'!$H$8*'HOJA DE CÁLCULO RESPALDO'!I220+'BLAZE SHIELD II'!$H$9)),0),0),0))+(IF(L220="Blaze Shield II",IF(M220="Idiem software",IF(C220="C",((('BLAZE SHIELD II'!$L$4*('HOJA DE CÁLCULO RESPALDO'!I220^2)+'BLAZE SHIELD II'!$L$5*'HOJA DE CÁLCULO RESPALDO'!I220+'BLAZE SHIELD II'!$L$6)*LN(J220))+('BLAZE SHIELD II'!$L$7*('HOJA DE CÁLCULO RESPALDO'!I220^2)+'BLAZE SHIELD II'!$L$8*'HOJA DE CÁLCULO RESPALDO'!I220+'BLAZE SHIELD II'!$L$9)),0),0),0))+(IF(L220="Blaze Shield II",IF(M220="Idiem software",IF(AND(C220="IN",G220=3),((('BLAZE SHIELD II'!$H$14*('HOJA DE CÁLCULO RESPALDO'!I220^2)+'BLAZE SHIELD II'!$H$15*'HOJA DE CÁLCULO RESPALDO'!I220+'BLAZE SHIELD II'!$H$16)*LN(J220))+('BLAZE SHIELD II'!$H$17*('HOJA DE CÁLCULO RESPALDO'!I220^2)+'BLAZE SHIELD II'!$H$18*'HOJA DE CÁLCULO RESPALDO'!I220+'BLAZE SHIELD II'!$H$19)),0),0),0)),0)</f>
        <v>0</v>
      </c>
      <c r="O220" s="46">
        <f t="shared" si="25"/>
        <v>0</v>
      </c>
      <c r="P220" s="80">
        <f t="shared" si="22"/>
        <v>0</v>
      </c>
      <c r="Q220" s="85">
        <f>ROUND((IF(L220="Cafco 400",IF(M220="Idiem software",IF(AND(C220="IN",G220=4),((('CAFCO 400 '!$H$7*(J220^4)+'CAFCO 400 '!$H$8*(J220^3)+'CAFCO 400 '!$H$9*(J220^2)+'CAFCO 400 '!$H$10*J220+'CAFCO 400 '!$H$11)*I220^2)+(('CAFCO 400 '!$H$12*(J220^3)+'CAFCO 400 '!$H$13*(J220^2)+'CAFCO 400 '!$H$14*J220+'CAFCO 400 '!$H$15)*I220)+('CAFCO 400 '!$H$16*(J220^2)+'CAFCO 400 '!$H$17*J220+'CAFCO 400 '!$H$18)),0),0),0))+(IF(L220="Cafco 400",IF(M220="Idiem software",IF(C220="Cj",(((('CAFCO 400 '!$D$7*LN(J220)+'CAFCO 400 '!$D$8)*I220^2)+(('CAFCO 400 '!$D$9*LN(J220)+'CAFCO 400 '!$D$10)*I220)+('CAFCO 400 '!$D$11*LN(J220)+'CAFCO 400 '!$D$12))),0),0),0))+(IF(L220="Cafco 400",IF(M220="Idiem software",IF(C220="C",((('CAFCO 400 '!$L$7*(J220^3)+'CAFCO 400 '!$L$8*(J220^2)+'CAFCO 400 '!$L$9*J220+'CAFCO 400 '!$L$10)*I220^2)+(('CAFCO 400 '!$L$11*(J220^3)+'CAFCO 400 '!$L$12*(J220^2)+'CAFCO 400 '!$L$13*J220+'CAFCO 400 '!$L$14)*I220)+('CAFCO 400 '!$L$15*LN(J220)+'CAFCO 400 '!$L$16)),0),0),0))+(IF(L220="Cafco 400",IF(M220="Idiem software",IF(AND(C220="IN",G220=3),((('CAFCO 400 '!$D$23*(J220^2)+'CAFCO 400 '!$D$24*(J220)+'CAFCO 400 '!$D$25)*I220^2)+(('CAFCO 400 '!$D$26*(J220^2)+'CAFCO 400 '!$D$27*J220+'CAFCO 400 '!$D$28)*I220)+('CAFCO 400 '!$D$29*(J220^2)+'CAFCO 400 '!$D$30*J220+'CAFCO 400 '!$D$31)),0),0),0)),0)</f>
        <v>0</v>
      </c>
      <c r="R220" s="47">
        <f t="shared" si="26"/>
        <v>0</v>
      </c>
      <c r="S220" s="82">
        <f t="shared" si="23"/>
        <v>0</v>
      </c>
      <c r="T220" s="81">
        <f>+IF(AND(J220&gt;=95,J220&lt;=240),IF(AND(C220="Cj",I220=90),VLOOKUP(W220,'CAFCO 300 IDIEM TABLAS'!$B$4:$D$23,2,FALSE),0)+IF(AND(J220&gt;=95,J220&lt;=240),IF(AND(C220="Cj",I220=120),VLOOKUP(W220,'CAFCO 300 IDIEM TABLAS'!$B$4:$D$23,3,FALSE),0))+IF(AND(J220&gt;=95,J220&lt;=400,G220=3),IF(AND(C220="IN",I220=90),VLOOKUP(W220,'CAFCO 300 IDIEM TABLAS'!$F$4:$H$35,2,FALSE),0),0)+IF(AND(J220&gt;=95,J220&lt;=400,G220=3),IF(AND(C220="IN",I220=120),VLOOKUP(W220,'CAFCO 300 IDIEM TABLAS'!$F$4:$H$35,3,FALSE),0),0)+IF(AND(J220&gt;=95,J220&lt;=450,G220=4),IF(AND(C220="IN",I220=90),VLOOKUP(W220,'CAFCO 300 IDIEM TABLAS'!$J$4:$L$40,2,FALSE),0),0)+IF(AND(J220&gt;=95,J220&lt;=450,G220=4),IF(AND(C220="IN",I220=120),VLOOKUP(W220,'CAFCO 300 IDIEM TABLAS'!$J$4:$L$40,3,FALSE),0),0))</f>
        <v>17</v>
      </c>
      <c r="U220" s="48">
        <f t="shared" si="27"/>
        <v>34.464838921694479</v>
      </c>
      <c r="V220" s="82">
        <f t="shared" si="24"/>
        <v>517455.09157032089</v>
      </c>
      <c r="W220" s="64">
        <f>+IF(J220=LOOKUP(J220,'CAFCO 300 IDIEM TABLAS'!$J$4:$J$40),'HOJA DE CÁLCULO RESPALDO'!J220,MROUND('HOJA DE CÁLCULO RESPALDO'!J220,10))</f>
        <v>95</v>
      </c>
      <c r="X220" s="36"/>
      <c r="Y220" s="4"/>
    </row>
    <row r="221" spans="1:25" x14ac:dyDescent="0.25">
      <c r="A221" s="2" t="s">
        <v>42</v>
      </c>
      <c r="B221" s="3" t="s">
        <v>17</v>
      </c>
      <c r="C221" s="3" t="s">
        <v>19</v>
      </c>
      <c r="D221" s="3">
        <v>1</v>
      </c>
      <c r="E221" s="2">
        <v>1</v>
      </c>
      <c r="F221" s="8">
        <v>91778</v>
      </c>
      <c r="G221" s="1">
        <v>4</v>
      </c>
      <c r="H221" s="2">
        <v>1781</v>
      </c>
      <c r="I221" s="34">
        <v>90</v>
      </c>
      <c r="J221" s="11">
        <v>95</v>
      </c>
      <c r="K221" s="44">
        <f t="shared" si="21"/>
        <v>163.45661799999999</v>
      </c>
      <c r="L221" s="3" t="s">
        <v>61</v>
      </c>
      <c r="M221" s="3" t="s">
        <v>70</v>
      </c>
      <c r="N221" s="15">
        <f>ROUND((IF(L221="Blaze Shield II",IF(M221="Idiem software",IF(AND(C221="IN",G221=4),((('BLAZE SHIELD II'!$D$4*('HOJA DE CÁLCULO RESPALDO'!I221^2)+'BLAZE SHIELD II'!$D$5*'HOJA DE CÁLCULO RESPALDO'!I221+'BLAZE SHIELD II'!$D$6)*LN(J221))+('BLAZE SHIELD II'!$D$7*('HOJA DE CÁLCULO RESPALDO'!I221^2)+'BLAZE SHIELD II'!$D$8*'HOJA DE CÁLCULO RESPALDO'!I221+'BLAZE SHIELD II'!$D$9)),0),0),0))+(IF(L221="Blaze Shield II",IF(M221="Idiem software",IF(C221="Cj",((('BLAZE SHIELD II'!$H$4*('HOJA DE CÁLCULO RESPALDO'!I221^2)+'BLAZE SHIELD II'!$H$5*'HOJA DE CÁLCULO RESPALDO'!I221+'BLAZE SHIELD II'!$H$6)*LN(J221))+('BLAZE SHIELD II'!$H$7*('HOJA DE CÁLCULO RESPALDO'!I221^2)+'BLAZE SHIELD II'!$H$8*'HOJA DE CÁLCULO RESPALDO'!I221+'BLAZE SHIELD II'!$H$9)),0),0),0))+(IF(L221="Blaze Shield II",IF(M221="Idiem software",IF(C221="C",((('BLAZE SHIELD II'!$L$4*('HOJA DE CÁLCULO RESPALDO'!I221^2)+'BLAZE SHIELD II'!$L$5*'HOJA DE CÁLCULO RESPALDO'!I221+'BLAZE SHIELD II'!$L$6)*LN(J221))+('BLAZE SHIELD II'!$L$7*('HOJA DE CÁLCULO RESPALDO'!I221^2)+'BLAZE SHIELD II'!$L$8*'HOJA DE CÁLCULO RESPALDO'!I221+'BLAZE SHIELD II'!$L$9)),0),0),0))+(IF(L221="Blaze Shield II",IF(M221="Idiem software",IF(AND(C221="IN",G221=3),((('BLAZE SHIELD II'!$H$14*('HOJA DE CÁLCULO RESPALDO'!I221^2)+'BLAZE SHIELD II'!$H$15*'HOJA DE CÁLCULO RESPALDO'!I221+'BLAZE SHIELD II'!$H$16)*LN(J221))+('BLAZE SHIELD II'!$H$17*('HOJA DE CÁLCULO RESPALDO'!I221^2)+'BLAZE SHIELD II'!$H$18*'HOJA DE CÁLCULO RESPALDO'!I221+'BLAZE SHIELD II'!$H$19)),0),0),0)),0)</f>
        <v>0</v>
      </c>
      <c r="O221" s="46">
        <f t="shared" si="25"/>
        <v>0</v>
      </c>
      <c r="P221" s="80">
        <f t="shared" si="22"/>
        <v>0</v>
      </c>
      <c r="Q221" s="85">
        <f>ROUND((IF(L221="Cafco 400",IF(M221="Idiem software",IF(AND(C221="IN",G221=4),((('CAFCO 400 '!$H$7*(J221^4)+'CAFCO 400 '!$H$8*(J221^3)+'CAFCO 400 '!$H$9*(J221^2)+'CAFCO 400 '!$H$10*J221+'CAFCO 400 '!$H$11)*I221^2)+(('CAFCO 400 '!$H$12*(J221^3)+'CAFCO 400 '!$H$13*(J221^2)+'CAFCO 400 '!$H$14*J221+'CAFCO 400 '!$H$15)*I221)+('CAFCO 400 '!$H$16*(J221^2)+'CAFCO 400 '!$H$17*J221+'CAFCO 400 '!$H$18)),0),0),0))+(IF(L221="Cafco 400",IF(M221="Idiem software",IF(C221="Cj",(((('CAFCO 400 '!$D$7*LN(J221)+'CAFCO 400 '!$D$8)*I221^2)+(('CAFCO 400 '!$D$9*LN(J221)+'CAFCO 400 '!$D$10)*I221)+('CAFCO 400 '!$D$11*LN(J221)+'CAFCO 400 '!$D$12))),0),0),0))+(IF(L221="Cafco 400",IF(M221="Idiem software",IF(C221="C",((('CAFCO 400 '!$L$7*(J221^3)+'CAFCO 400 '!$L$8*(J221^2)+'CAFCO 400 '!$L$9*J221+'CAFCO 400 '!$L$10)*I221^2)+(('CAFCO 400 '!$L$11*(J221^3)+'CAFCO 400 '!$L$12*(J221^2)+'CAFCO 400 '!$L$13*J221+'CAFCO 400 '!$L$14)*I221)+('CAFCO 400 '!$L$15*LN(J221)+'CAFCO 400 '!$L$16)),0),0),0))+(IF(L221="Cafco 400",IF(M221="Idiem software",IF(AND(C221="IN",G221=3),((('CAFCO 400 '!$D$23*(J221^2)+'CAFCO 400 '!$D$24*(J221)+'CAFCO 400 '!$D$25)*I221^2)+(('CAFCO 400 '!$D$26*(J221^2)+'CAFCO 400 '!$D$27*J221+'CAFCO 400 '!$D$28)*I221)+('CAFCO 400 '!$D$29*(J221^2)+'CAFCO 400 '!$D$30*J221+'CAFCO 400 '!$D$31)),0),0),0)),0)</f>
        <v>0</v>
      </c>
      <c r="R221" s="47">
        <f t="shared" si="26"/>
        <v>0</v>
      </c>
      <c r="S221" s="82">
        <f t="shared" si="23"/>
        <v>0</v>
      </c>
      <c r="T221" s="81">
        <f>+IF(AND(J221&gt;=95,J221&lt;=240),IF(AND(C221="Cj",I221=90),VLOOKUP(W221,'CAFCO 300 IDIEM TABLAS'!$B$4:$D$23,2,FALSE),0)+IF(AND(J221&gt;=95,J221&lt;=240),IF(AND(C221="Cj",I221=120),VLOOKUP(W221,'CAFCO 300 IDIEM TABLAS'!$B$4:$D$23,3,FALSE),0))+IF(AND(J221&gt;=95,J221&lt;=400,G221=3),IF(AND(C221="IN",I221=90),VLOOKUP(W221,'CAFCO 300 IDIEM TABLAS'!$F$4:$H$35,2,FALSE),0),0)+IF(AND(J221&gt;=95,J221&lt;=400,G221=3),IF(AND(C221="IN",I221=120),VLOOKUP(W221,'CAFCO 300 IDIEM TABLAS'!$F$4:$H$35,3,FALSE),0),0)+IF(AND(J221&gt;=95,J221&lt;=450,G221=4),IF(AND(C221="IN",I221=90),VLOOKUP(W221,'CAFCO 300 IDIEM TABLAS'!$J$4:$L$40,2,FALSE),0),0)+IF(AND(J221&gt;=95,J221&lt;=450,G221=4),IF(AND(C221="IN",I221=120),VLOOKUP(W221,'CAFCO 300 IDIEM TABLAS'!$J$4:$L$40,3,FALSE),0),0))</f>
        <v>17</v>
      </c>
      <c r="U221" s="48">
        <f t="shared" si="27"/>
        <v>38.34620916495507</v>
      </c>
      <c r="V221" s="82">
        <f t="shared" si="24"/>
        <v>575729.98440263537</v>
      </c>
      <c r="W221" s="64">
        <f>+IF(J221=LOOKUP(J221,'CAFCO 300 IDIEM TABLAS'!$J$4:$J$40),'HOJA DE CÁLCULO RESPALDO'!J221,MROUND('HOJA DE CÁLCULO RESPALDO'!J221,10))</f>
        <v>95</v>
      </c>
      <c r="X221" s="36"/>
      <c r="Y221" s="4"/>
    </row>
    <row r="222" spans="1:25" ht="15.6" customHeight="1" x14ac:dyDescent="0.25">
      <c r="A222" s="2" t="s">
        <v>44</v>
      </c>
      <c r="B222" s="3" t="s">
        <v>17</v>
      </c>
      <c r="C222" s="3" t="s">
        <v>19</v>
      </c>
      <c r="D222" s="3">
        <v>1</v>
      </c>
      <c r="E222" s="2">
        <v>2</v>
      </c>
      <c r="F222" s="8">
        <v>12900</v>
      </c>
      <c r="G222" s="1">
        <v>4</v>
      </c>
      <c r="H222" s="2">
        <v>968</v>
      </c>
      <c r="I222" s="34">
        <v>90</v>
      </c>
      <c r="J222" s="11">
        <v>95</v>
      </c>
      <c r="K222" s="44">
        <f t="shared" si="21"/>
        <v>24.974399999999999</v>
      </c>
      <c r="L222" s="3" t="s">
        <v>61</v>
      </c>
      <c r="M222" s="3" t="s">
        <v>70</v>
      </c>
      <c r="N222" s="15">
        <f>ROUND((IF(L222="Blaze Shield II",IF(M222="Idiem software",IF(AND(C222="IN",G222=4),((('BLAZE SHIELD II'!$D$4*('HOJA DE CÁLCULO RESPALDO'!I222^2)+'BLAZE SHIELD II'!$D$5*'HOJA DE CÁLCULO RESPALDO'!I222+'BLAZE SHIELD II'!$D$6)*LN(J222))+('BLAZE SHIELD II'!$D$7*('HOJA DE CÁLCULO RESPALDO'!I222^2)+'BLAZE SHIELD II'!$D$8*'HOJA DE CÁLCULO RESPALDO'!I222+'BLAZE SHIELD II'!$D$9)),0),0),0))+(IF(L222="Blaze Shield II",IF(M222="Idiem software",IF(C222="Cj",((('BLAZE SHIELD II'!$H$4*('HOJA DE CÁLCULO RESPALDO'!I222^2)+'BLAZE SHIELD II'!$H$5*'HOJA DE CÁLCULO RESPALDO'!I222+'BLAZE SHIELD II'!$H$6)*LN(J222))+('BLAZE SHIELD II'!$H$7*('HOJA DE CÁLCULO RESPALDO'!I222^2)+'BLAZE SHIELD II'!$H$8*'HOJA DE CÁLCULO RESPALDO'!I222+'BLAZE SHIELD II'!$H$9)),0),0),0))+(IF(L222="Blaze Shield II",IF(M222="Idiem software",IF(C222="C",((('BLAZE SHIELD II'!$L$4*('HOJA DE CÁLCULO RESPALDO'!I222^2)+'BLAZE SHIELD II'!$L$5*'HOJA DE CÁLCULO RESPALDO'!I222+'BLAZE SHIELD II'!$L$6)*LN(J222))+('BLAZE SHIELD II'!$L$7*('HOJA DE CÁLCULO RESPALDO'!I222^2)+'BLAZE SHIELD II'!$L$8*'HOJA DE CÁLCULO RESPALDO'!I222+'BLAZE SHIELD II'!$L$9)),0),0),0))+(IF(L222="Blaze Shield II",IF(M222="Idiem software",IF(AND(C222="IN",G222=3),((('BLAZE SHIELD II'!$H$14*('HOJA DE CÁLCULO RESPALDO'!I222^2)+'BLAZE SHIELD II'!$H$15*'HOJA DE CÁLCULO RESPALDO'!I222+'BLAZE SHIELD II'!$H$16)*LN(J222))+('BLAZE SHIELD II'!$H$17*('HOJA DE CÁLCULO RESPALDO'!I222^2)+'BLAZE SHIELD II'!$H$18*'HOJA DE CÁLCULO RESPALDO'!I222+'BLAZE SHIELD II'!$H$19)),0),0),0)),0)</f>
        <v>0</v>
      </c>
      <c r="O222" s="46">
        <f t="shared" si="25"/>
        <v>0</v>
      </c>
      <c r="P222" s="80">
        <f t="shared" si="22"/>
        <v>0</v>
      </c>
      <c r="Q222" s="85">
        <f>ROUND((IF(L222="Cafco 400",IF(M222="Idiem software",IF(AND(C222="IN",G222=4),((('CAFCO 400 '!$H$7*(J222^4)+'CAFCO 400 '!$H$8*(J222^3)+'CAFCO 400 '!$H$9*(J222^2)+'CAFCO 400 '!$H$10*J222+'CAFCO 400 '!$H$11)*I222^2)+(('CAFCO 400 '!$H$12*(J222^3)+'CAFCO 400 '!$H$13*(J222^2)+'CAFCO 400 '!$H$14*J222+'CAFCO 400 '!$H$15)*I222)+('CAFCO 400 '!$H$16*(J222^2)+'CAFCO 400 '!$H$17*J222+'CAFCO 400 '!$H$18)),0),0),0))+(IF(L222="Cafco 400",IF(M222="Idiem software",IF(C222="Cj",(((('CAFCO 400 '!$D$7*LN(J222)+'CAFCO 400 '!$D$8)*I222^2)+(('CAFCO 400 '!$D$9*LN(J222)+'CAFCO 400 '!$D$10)*I222)+('CAFCO 400 '!$D$11*LN(J222)+'CAFCO 400 '!$D$12))),0),0),0))+(IF(L222="Cafco 400",IF(M222="Idiem software",IF(C222="C",((('CAFCO 400 '!$L$7*(J222^3)+'CAFCO 400 '!$L$8*(J222^2)+'CAFCO 400 '!$L$9*J222+'CAFCO 400 '!$L$10)*I222^2)+(('CAFCO 400 '!$L$11*(J222^3)+'CAFCO 400 '!$L$12*(J222^2)+'CAFCO 400 '!$L$13*J222+'CAFCO 400 '!$L$14)*I222)+('CAFCO 400 '!$L$15*LN(J222)+'CAFCO 400 '!$L$16)),0),0),0))+(IF(L222="Cafco 400",IF(M222="Idiem software",IF(AND(C222="IN",G222=3),((('CAFCO 400 '!$D$23*(J222^2)+'CAFCO 400 '!$D$24*(J222)+'CAFCO 400 '!$D$25)*I222^2)+(('CAFCO 400 '!$D$26*(J222^2)+'CAFCO 400 '!$D$27*J222+'CAFCO 400 '!$D$28)*I222)+('CAFCO 400 '!$D$29*(J222^2)+'CAFCO 400 '!$D$30*J222+'CAFCO 400 '!$D$31)),0),0),0)),0)</f>
        <v>0</v>
      </c>
      <c r="R222" s="47">
        <f t="shared" si="26"/>
        <v>0</v>
      </c>
      <c r="S222" s="82">
        <f t="shared" si="23"/>
        <v>0</v>
      </c>
      <c r="T222" s="81">
        <f>+IF(AND(J222&gt;=95,J222&lt;=240),IF(AND(C222="Cj",I222=90),VLOOKUP(W222,'CAFCO 300 IDIEM TABLAS'!$B$4:$D$23,2,FALSE),0)+IF(AND(J222&gt;=95,J222&lt;=240),IF(AND(C222="Cj",I222=120),VLOOKUP(W222,'CAFCO 300 IDIEM TABLAS'!$B$4:$D$23,3,FALSE),0))+IF(AND(J222&gt;=95,J222&lt;=400,G222=3),IF(AND(C222="IN",I222=90),VLOOKUP(W222,'CAFCO 300 IDIEM TABLAS'!$F$4:$H$35,2,FALSE),0),0)+IF(AND(J222&gt;=95,J222&lt;=400,G222=3),IF(AND(C222="IN",I222=120),VLOOKUP(W222,'CAFCO 300 IDIEM TABLAS'!$F$4:$H$35,3,FALSE),0),0)+IF(AND(J222&gt;=95,J222&lt;=450,G222=4),IF(AND(C222="IN",I222=90),VLOOKUP(W222,'CAFCO 300 IDIEM TABLAS'!$J$4:$L$40,2,FALSE),0),0)+IF(AND(J222&gt;=95,J222&lt;=450,G222=4),IF(AND(C222="IN",I222=120),VLOOKUP(W222,'CAFCO 300 IDIEM TABLAS'!$J$4:$L$40,3,FALSE),0),0))</f>
        <v>17</v>
      </c>
      <c r="U222" s="48">
        <f t="shared" si="27"/>
        <v>5.8588852374839533</v>
      </c>
      <c r="V222" s="82">
        <f t="shared" si="24"/>
        <v>87965.302955584077</v>
      </c>
      <c r="W222" s="64">
        <f>+IF(J222=LOOKUP(J222,'CAFCO 300 IDIEM TABLAS'!$J$4:$J$40),'HOJA DE CÁLCULO RESPALDO'!J222,MROUND('HOJA DE CÁLCULO RESPALDO'!J222,10))</f>
        <v>95</v>
      </c>
      <c r="X222" s="36"/>
      <c r="Y222" s="4"/>
    </row>
    <row r="223" spans="1:25" x14ac:dyDescent="0.25">
      <c r="A223" s="2" t="s">
        <v>41</v>
      </c>
      <c r="B223" s="3" t="s">
        <v>17</v>
      </c>
      <c r="C223" s="3" t="s">
        <v>19</v>
      </c>
      <c r="D223" s="3">
        <v>1</v>
      </c>
      <c r="E223" s="2">
        <v>1</v>
      </c>
      <c r="F223" s="8">
        <v>17971</v>
      </c>
      <c r="G223" s="1">
        <v>4</v>
      </c>
      <c r="H223" s="2">
        <v>2184</v>
      </c>
      <c r="I223" s="34">
        <v>90</v>
      </c>
      <c r="J223" s="11">
        <v>95</v>
      </c>
      <c r="K223" s="44">
        <f t="shared" si="21"/>
        <v>39.248663999999998</v>
      </c>
      <c r="L223" s="3" t="s">
        <v>61</v>
      </c>
      <c r="M223" s="3" t="s">
        <v>70</v>
      </c>
      <c r="N223" s="15">
        <f>ROUND((IF(L223="Blaze Shield II",IF(M223="Idiem software",IF(AND(C223="IN",G223=4),((('BLAZE SHIELD II'!$D$4*('HOJA DE CÁLCULO RESPALDO'!I223^2)+'BLAZE SHIELD II'!$D$5*'HOJA DE CÁLCULO RESPALDO'!I223+'BLAZE SHIELD II'!$D$6)*LN(J223))+('BLAZE SHIELD II'!$D$7*('HOJA DE CÁLCULO RESPALDO'!I223^2)+'BLAZE SHIELD II'!$D$8*'HOJA DE CÁLCULO RESPALDO'!I223+'BLAZE SHIELD II'!$D$9)),0),0),0))+(IF(L223="Blaze Shield II",IF(M223="Idiem software",IF(C223="Cj",((('BLAZE SHIELD II'!$H$4*('HOJA DE CÁLCULO RESPALDO'!I223^2)+'BLAZE SHIELD II'!$H$5*'HOJA DE CÁLCULO RESPALDO'!I223+'BLAZE SHIELD II'!$H$6)*LN(J223))+('BLAZE SHIELD II'!$H$7*('HOJA DE CÁLCULO RESPALDO'!I223^2)+'BLAZE SHIELD II'!$H$8*'HOJA DE CÁLCULO RESPALDO'!I223+'BLAZE SHIELD II'!$H$9)),0),0),0))+(IF(L223="Blaze Shield II",IF(M223="Idiem software",IF(C223="C",((('BLAZE SHIELD II'!$L$4*('HOJA DE CÁLCULO RESPALDO'!I223^2)+'BLAZE SHIELD II'!$L$5*'HOJA DE CÁLCULO RESPALDO'!I223+'BLAZE SHIELD II'!$L$6)*LN(J223))+('BLAZE SHIELD II'!$L$7*('HOJA DE CÁLCULO RESPALDO'!I223^2)+'BLAZE SHIELD II'!$L$8*'HOJA DE CÁLCULO RESPALDO'!I223+'BLAZE SHIELD II'!$L$9)),0),0),0))+(IF(L223="Blaze Shield II",IF(M223="Idiem software",IF(AND(C223="IN",G223=3),((('BLAZE SHIELD II'!$H$14*('HOJA DE CÁLCULO RESPALDO'!I223^2)+'BLAZE SHIELD II'!$H$15*'HOJA DE CÁLCULO RESPALDO'!I223+'BLAZE SHIELD II'!$H$16)*LN(J223))+('BLAZE SHIELD II'!$H$17*('HOJA DE CÁLCULO RESPALDO'!I223^2)+'BLAZE SHIELD II'!$H$18*'HOJA DE CÁLCULO RESPALDO'!I223+'BLAZE SHIELD II'!$H$19)),0),0),0)),0)</f>
        <v>0</v>
      </c>
      <c r="O223" s="46">
        <f t="shared" si="25"/>
        <v>0</v>
      </c>
      <c r="P223" s="80">
        <f t="shared" si="22"/>
        <v>0</v>
      </c>
      <c r="Q223" s="85">
        <f>ROUND((IF(L223="Cafco 400",IF(M223="Idiem software",IF(AND(C223="IN",G223=4),((('CAFCO 400 '!$H$7*(J223^4)+'CAFCO 400 '!$H$8*(J223^3)+'CAFCO 400 '!$H$9*(J223^2)+'CAFCO 400 '!$H$10*J223+'CAFCO 400 '!$H$11)*I223^2)+(('CAFCO 400 '!$H$12*(J223^3)+'CAFCO 400 '!$H$13*(J223^2)+'CAFCO 400 '!$H$14*J223+'CAFCO 400 '!$H$15)*I223)+('CAFCO 400 '!$H$16*(J223^2)+'CAFCO 400 '!$H$17*J223+'CAFCO 400 '!$H$18)),0),0),0))+(IF(L223="Cafco 400",IF(M223="Idiem software",IF(C223="Cj",(((('CAFCO 400 '!$D$7*LN(J223)+'CAFCO 400 '!$D$8)*I223^2)+(('CAFCO 400 '!$D$9*LN(J223)+'CAFCO 400 '!$D$10)*I223)+('CAFCO 400 '!$D$11*LN(J223)+'CAFCO 400 '!$D$12))),0),0),0))+(IF(L223="Cafco 400",IF(M223="Idiem software",IF(C223="C",((('CAFCO 400 '!$L$7*(J223^3)+'CAFCO 400 '!$L$8*(J223^2)+'CAFCO 400 '!$L$9*J223+'CAFCO 400 '!$L$10)*I223^2)+(('CAFCO 400 '!$L$11*(J223^3)+'CAFCO 400 '!$L$12*(J223^2)+'CAFCO 400 '!$L$13*J223+'CAFCO 400 '!$L$14)*I223)+('CAFCO 400 '!$L$15*LN(J223)+'CAFCO 400 '!$L$16)),0),0),0))+(IF(L223="Cafco 400",IF(M223="Idiem software",IF(AND(C223="IN",G223=3),((('CAFCO 400 '!$D$23*(J223^2)+'CAFCO 400 '!$D$24*(J223)+'CAFCO 400 '!$D$25)*I223^2)+(('CAFCO 400 '!$D$26*(J223^2)+'CAFCO 400 '!$D$27*J223+'CAFCO 400 '!$D$28)*I223)+('CAFCO 400 '!$D$29*(J223^2)+'CAFCO 400 '!$D$30*J223+'CAFCO 400 '!$D$31)),0),0),0)),0)</f>
        <v>0</v>
      </c>
      <c r="R223" s="47">
        <f t="shared" si="26"/>
        <v>0</v>
      </c>
      <c r="S223" s="82">
        <f t="shared" si="23"/>
        <v>0</v>
      </c>
      <c r="T223" s="81">
        <f>+IF(AND(J223&gt;=95,J223&lt;=240),IF(AND(C223="Cj",I223=90),VLOOKUP(W223,'CAFCO 300 IDIEM TABLAS'!$B$4:$D$23,2,FALSE),0)+IF(AND(J223&gt;=95,J223&lt;=240),IF(AND(C223="Cj",I223=120),VLOOKUP(W223,'CAFCO 300 IDIEM TABLAS'!$B$4:$D$23,3,FALSE),0))+IF(AND(J223&gt;=95,J223&lt;=400,G223=3),IF(AND(C223="IN",I223=90),VLOOKUP(W223,'CAFCO 300 IDIEM TABLAS'!$F$4:$H$35,2,FALSE),0),0)+IF(AND(J223&gt;=95,J223&lt;=400,G223=3),IF(AND(C223="IN",I223=120),VLOOKUP(W223,'CAFCO 300 IDIEM TABLAS'!$F$4:$H$35,3,FALSE),0),0)+IF(AND(J223&gt;=95,J223&lt;=450,G223=4),IF(AND(C223="IN",I223=90),VLOOKUP(W223,'CAFCO 300 IDIEM TABLAS'!$J$4:$L$40,2,FALSE),0),0)+IF(AND(J223&gt;=95,J223&lt;=450,G223=4),IF(AND(C223="IN",I223=120),VLOOKUP(W223,'CAFCO 300 IDIEM TABLAS'!$J$4:$L$40,3,FALSE),0),0))</f>
        <v>17</v>
      </c>
      <c r="U223" s="48">
        <f t="shared" si="27"/>
        <v>9.2075652708600764</v>
      </c>
      <c r="V223" s="82">
        <f t="shared" si="24"/>
        <v>138242.3849766932</v>
      </c>
      <c r="W223" s="64">
        <f>+IF(J223=LOOKUP(J223,'CAFCO 300 IDIEM TABLAS'!$J$4:$J$40),'HOJA DE CÁLCULO RESPALDO'!J223,MROUND('HOJA DE CÁLCULO RESPALDO'!J223,10))</f>
        <v>95</v>
      </c>
      <c r="X223" s="36"/>
      <c r="Y223" s="4"/>
    </row>
    <row r="224" spans="1:25" ht="15.6" customHeight="1" x14ac:dyDescent="0.25">
      <c r="A224" s="2" t="s">
        <v>42</v>
      </c>
      <c r="B224" s="3" t="s">
        <v>17</v>
      </c>
      <c r="C224" s="3" t="s">
        <v>19</v>
      </c>
      <c r="D224" s="3">
        <v>1</v>
      </c>
      <c r="E224" s="2">
        <v>1</v>
      </c>
      <c r="F224" s="8">
        <v>7759</v>
      </c>
      <c r="G224" s="1">
        <v>4</v>
      </c>
      <c r="H224" s="2">
        <v>785</v>
      </c>
      <c r="I224" s="34">
        <v>90</v>
      </c>
      <c r="J224" s="11">
        <v>95</v>
      </c>
      <c r="K224" s="44">
        <f t="shared" si="21"/>
        <v>6.0908150000000001</v>
      </c>
      <c r="L224" s="3" t="s">
        <v>61</v>
      </c>
      <c r="M224" s="3" t="s">
        <v>70</v>
      </c>
      <c r="N224" s="15">
        <f>ROUND((IF(L224="Blaze Shield II",IF(M224="Idiem software",IF(AND(C224="IN",G224=4),((('BLAZE SHIELD II'!$D$4*('HOJA DE CÁLCULO RESPALDO'!I224^2)+'BLAZE SHIELD II'!$D$5*'HOJA DE CÁLCULO RESPALDO'!I224+'BLAZE SHIELD II'!$D$6)*LN(J224))+('BLAZE SHIELD II'!$D$7*('HOJA DE CÁLCULO RESPALDO'!I224^2)+'BLAZE SHIELD II'!$D$8*'HOJA DE CÁLCULO RESPALDO'!I224+'BLAZE SHIELD II'!$D$9)),0),0),0))+(IF(L224="Blaze Shield II",IF(M224="Idiem software",IF(C224="Cj",((('BLAZE SHIELD II'!$H$4*('HOJA DE CÁLCULO RESPALDO'!I224^2)+'BLAZE SHIELD II'!$H$5*'HOJA DE CÁLCULO RESPALDO'!I224+'BLAZE SHIELD II'!$H$6)*LN(J224))+('BLAZE SHIELD II'!$H$7*('HOJA DE CÁLCULO RESPALDO'!I224^2)+'BLAZE SHIELD II'!$H$8*'HOJA DE CÁLCULO RESPALDO'!I224+'BLAZE SHIELD II'!$H$9)),0),0),0))+(IF(L224="Blaze Shield II",IF(M224="Idiem software",IF(C224="C",((('BLAZE SHIELD II'!$L$4*('HOJA DE CÁLCULO RESPALDO'!I224^2)+'BLAZE SHIELD II'!$L$5*'HOJA DE CÁLCULO RESPALDO'!I224+'BLAZE SHIELD II'!$L$6)*LN(J224))+('BLAZE SHIELD II'!$L$7*('HOJA DE CÁLCULO RESPALDO'!I224^2)+'BLAZE SHIELD II'!$L$8*'HOJA DE CÁLCULO RESPALDO'!I224+'BLAZE SHIELD II'!$L$9)),0),0),0))+(IF(L224="Blaze Shield II",IF(M224="Idiem software",IF(AND(C224="IN",G224=3),((('BLAZE SHIELD II'!$H$14*('HOJA DE CÁLCULO RESPALDO'!I224^2)+'BLAZE SHIELD II'!$H$15*'HOJA DE CÁLCULO RESPALDO'!I224+'BLAZE SHIELD II'!$H$16)*LN(J224))+('BLAZE SHIELD II'!$H$17*('HOJA DE CÁLCULO RESPALDO'!I224^2)+'BLAZE SHIELD II'!$H$18*'HOJA DE CÁLCULO RESPALDO'!I224+'BLAZE SHIELD II'!$H$19)),0),0),0)),0)</f>
        <v>0</v>
      </c>
      <c r="O224" s="46">
        <f t="shared" si="25"/>
        <v>0</v>
      </c>
      <c r="P224" s="80">
        <f t="shared" si="22"/>
        <v>0</v>
      </c>
      <c r="Q224" s="85">
        <f>ROUND((IF(L224="Cafco 400",IF(M224="Idiem software",IF(AND(C224="IN",G224=4),((('CAFCO 400 '!$H$7*(J224^4)+'CAFCO 400 '!$H$8*(J224^3)+'CAFCO 400 '!$H$9*(J224^2)+'CAFCO 400 '!$H$10*J224+'CAFCO 400 '!$H$11)*I224^2)+(('CAFCO 400 '!$H$12*(J224^3)+'CAFCO 400 '!$H$13*(J224^2)+'CAFCO 400 '!$H$14*J224+'CAFCO 400 '!$H$15)*I224)+('CAFCO 400 '!$H$16*(J224^2)+'CAFCO 400 '!$H$17*J224+'CAFCO 400 '!$H$18)),0),0),0))+(IF(L224="Cafco 400",IF(M224="Idiem software",IF(C224="Cj",(((('CAFCO 400 '!$D$7*LN(J224)+'CAFCO 400 '!$D$8)*I224^2)+(('CAFCO 400 '!$D$9*LN(J224)+'CAFCO 400 '!$D$10)*I224)+('CAFCO 400 '!$D$11*LN(J224)+'CAFCO 400 '!$D$12))),0),0),0))+(IF(L224="Cafco 400",IF(M224="Idiem software",IF(C224="C",((('CAFCO 400 '!$L$7*(J224^3)+'CAFCO 400 '!$L$8*(J224^2)+'CAFCO 400 '!$L$9*J224+'CAFCO 400 '!$L$10)*I224^2)+(('CAFCO 400 '!$L$11*(J224^3)+'CAFCO 400 '!$L$12*(J224^2)+'CAFCO 400 '!$L$13*J224+'CAFCO 400 '!$L$14)*I224)+('CAFCO 400 '!$L$15*LN(J224)+'CAFCO 400 '!$L$16)),0),0),0))+(IF(L224="Cafco 400",IF(M224="Idiem software",IF(AND(C224="IN",G224=3),((('CAFCO 400 '!$D$23*(J224^2)+'CAFCO 400 '!$D$24*(J224)+'CAFCO 400 '!$D$25)*I224^2)+(('CAFCO 400 '!$D$26*(J224^2)+'CAFCO 400 '!$D$27*J224+'CAFCO 400 '!$D$28)*I224)+('CAFCO 400 '!$D$29*(J224^2)+'CAFCO 400 '!$D$30*J224+'CAFCO 400 '!$D$31)),0),0),0)),0)</f>
        <v>0</v>
      </c>
      <c r="R224" s="47">
        <f t="shared" si="26"/>
        <v>0</v>
      </c>
      <c r="S224" s="82">
        <f t="shared" si="23"/>
        <v>0</v>
      </c>
      <c r="T224" s="81">
        <f>+IF(AND(J224&gt;=95,J224&lt;=240),IF(AND(C224="Cj",I224=90),VLOOKUP(W224,'CAFCO 300 IDIEM TABLAS'!$B$4:$D$23,2,FALSE),0)+IF(AND(J224&gt;=95,J224&lt;=240),IF(AND(C224="Cj",I224=120),VLOOKUP(W224,'CAFCO 300 IDIEM TABLAS'!$B$4:$D$23,3,FALSE),0))+IF(AND(J224&gt;=95,J224&lt;=400,G224=3),IF(AND(C224="IN",I224=90),VLOOKUP(W224,'CAFCO 300 IDIEM TABLAS'!$F$4:$H$35,2,FALSE),0),0)+IF(AND(J224&gt;=95,J224&lt;=400,G224=3),IF(AND(C224="IN",I224=120),VLOOKUP(W224,'CAFCO 300 IDIEM TABLAS'!$F$4:$H$35,3,FALSE),0),0)+IF(AND(J224&gt;=95,J224&lt;=450,G224=4),IF(AND(C224="IN",I224=90),VLOOKUP(W224,'CAFCO 300 IDIEM TABLAS'!$J$4:$L$40,2,FALSE),0),0)+IF(AND(J224&gt;=95,J224&lt;=450,G224=4),IF(AND(C224="IN",I224=120),VLOOKUP(W224,'CAFCO 300 IDIEM TABLAS'!$J$4:$L$40,3,FALSE),0),0))</f>
        <v>17</v>
      </c>
      <c r="U224" s="48">
        <f t="shared" si="27"/>
        <v>1.42887861521181</v>
      </c>
      <c r="V224" s="82">
        <f t="shared" si="24"/>
        <v>21453.183528790116</v>
      </c>
      <c r="W224" s="64">
        <f>+IF(J224=LOOKUP(J224,'CAFCO 300 IDIEM TABLAS'!$J$4:$J$40),'HOJA DE CÁLCULO RESPALDO'!J224,MROUND('HOJA DE CÁLCULO RESPALDO'!J224,10))</f>
        <v>95</v>
      </c>
      <c r="X224" s="36"/>
      <c r="Y224" s="4"/>
    </row>
    <row r="225" spans="1:25" x14ac:dyDescent="0.25">
      <c r="A225" s="2" t="s">
        <v>42</v>
      </c>
      <c r="B225" s="3" t="s">
        <v>17</v>
      </c>
      <c r="C225" s="3" t="s">
        <v>19</v>
      </c>
      <c r="D225" s="3">
        <v>1</v>
      </c>
      <c r="E225" s="2">
        <v>1</v>
      </c>
      <c r="F225" s="8">
        <v>7100</v>
      </c>
      <c r="G225" s="1">
        <v>4</v>
      </c>
      <c r="H225" s="2">
        <v>785</v>
      </c>
      <c r="I225" s="34">
        <v>90</v>
      </c>
      <c r="J225" s="11">
        <v>95</v>
      </c>
      <c r="K225" s="44">
        <f t="shared" si="21"/>
        <v>5.5735000000000001</v>
      </c>
      <c r="L225" s="3" t="s">
        <v>61</v>
      </c>
      <c r="M225" s="3" t="s">
        <v>70</v>
      </c>
      <c r="N225" s="15">
        <f>ROUND((IF(L225="Blaze Shield II",IF(M225="Idiem software",IF(AND(C225="IN",G225=4),((('BLAZE SHIELD II'!$D$4*('HOJA DE CÁLCULO RESPALDO'!I225^2)+'BLAZE SHIELD II'!$D$5*'HOJA DE CÁLCULO RESPALDO'!I225+'BLAZE SHIELD II'!$D$6)*LN(J225))+('BLAZE SHIELD II'!$D$7*('HOJA DE CÁLCULO RESPALDO'!I225^2)+'BLAZE SHIELD II'!$D$8*'HOJA DE CÁLCULO RESPALDO'!I225+'BLAZE SHIELD II'!$D$9)),0),0),0))+(IF(L225="Blaze Shield II",IF(M225="Idiem software",IF(C225="Cj",((('BLAZE SHIELD II'!$H$4*('HOJA DE CÁLCULO RESPALDO'!I225^2)+'BLAZE SHIELD II'!$H$5*'HOJA DE CÁLCULO RESPALDO'!I225+'BLAZE SHIELD II'!$H$6)*LN(J225))+('BLAZE SHIELD II'!$H$7*('HOJA DE CÁLCULO RESPALDO'!I225^2)+'BLAZE SHIELD II'!$H$8*'HOJA DE CÁLCULO RESPALDO'!I225+'BLAZE SHIELD II'!$H$9)),0),0),0))+(IF(L225="Blaze Shield II",IF(M225="Idiem software",IF(C225="C",((('BLAZE SHIELD II'!$L$4*('HOJA DE CÁLCULO RESPALDO'!I225^2)+'BLAZE SHIELD II'!$L$5*'HOJA DE CÁLCULO RESPALDO'!I225+'BLAZE SHIELD II'!$L$6)*LN(J225))+('BLAZE SHIELD II'!$L$7*('HOJA DE CÁLCULO RESPALDO'!I225^2)+'BLAZE SHIELD II'!$L$8*'HOJA DE CÁLCULO RESPALDO'!I225+'BLAZE SHIELD II'!$L$9)),0),0),0))+(IF(L225="Blaze Shield II",IF(M225="Idiem software",IF(AND(C225="IN",G225=3),((('BLAZE SHIELD II'!$H$14*('HOJA DE CÁLCULO RESPALDO'!I225^2)+'BLAZE SHIELD II'!$H$15*'HOJA DE CÁLCULO RESPALDO'!I225+'BLAZE SHIELD II'!$H$16)*LN(J225))+('BLAZE SHIELD II'!$H$17*('HOJA DE CÁLCULO RESPALDO'!I225^2)+'BLAZE SHIELD II'!$H$18*'HOJA DE CÁLCULO RESPALDO'!I225+'BLAZE SHIELD II'!$H$19)),0),0),0)),0)</f>
        <v>0</v>
      </c>
      <c r="O225" s="46">
        <f t="shared" si="25"/>
        <v>0</v>
      </c>
      <c r="P225" s="80">
        <f t="shared" si="22"/>
        <v>0</v>
      </c>
      <c r="Q225" s="85">
        <f>ROUND((IF(L225="Cafco 400",IF(M225="Idiem software",IF(AND(C225="IN",G225=4),((('CAFCO 400 '!$H$7*(J225^4)+'CAFCO 400 '!$H$8*(J225^3)+'CAFCO 400 '!$H$9*(J225^2)+'CAFCO 400 '!$H$10*J225+'CAFCO 400 '!$H$11)*I225^2)+(('CAFCO 400 '!$H$12*(J225^3)+'CAFCO 400 '!$H$13*(J225^2)+'CAFCO 400 '!$H$14*J225+'CAFCO 400 '!$H$15)*I225)+('CAFCO 400 '!$H$16*(J225^2)+'CAFCO 400 '!$H$17*J225+'CAFCO 400 '!$H$18)),0),0),0))+(IF(L225="Cafco 400",IF(M225="Idiem software",IF(C225="Cj",(((('CAFCO 400 '!$D$7*LN(J225)+'CAFCO 400 '!$D$8)*I225^2)+(('CAFCO 400 '!$D$9*LN(J225)+'CAFCO 400 '!$D$10)*I225)+('CAFCO 400 '!$D$11*LN(J225)+'CAFCO 400 '!$D$12))),0),0),0))+(IF(L225="Cafco 400",IF(M225="Idiem software",IF(C225="C",((('CAFCO 400 '!$L$7*(J225^3)+'CAFCO 400 '!$L$8*(J225^2)+'CAFCO 400 '!$L$9*J225+'CAFCO 400 '!$L$10)*I225^2)+(('CAFCO 400 '!$L$11*(J225^3)+'CAFCO 400 '!$L$12*(J225^2)+'CAFCO 400 '!$L$13*J225+'CAFCO 400 '!$L$14)*I225)+('CAFCO 400 '!$L$15*LN(J225)+'CAFCO 400 '!$L$16)),0),0),0))+(IF(L225="Cafco 400",IF(M225="Idiem software",IF(AND(C225="IN",G225=3),((('CAFCO 400 '!$D$23*(J225^2)+'CAFCO 400 '!$D$24*(J225)+'CAFCO 400 '!$D$25)*I225^2)+(('CAFCO 400 '!$D$26*(J225^2)+'CAFCO 400 '!$D$27*J225+'CAFCO 400 '!$D$28)*I225)+('CAFCO 400 '!$D$29*(J225^2)+'CAFCO 400 '!$D$30*J225+'CAFCO 400 '!$D$31)),0),0),0)),0)</f>
        <v>0</v>
      </c>
      <c r="R225" s="47">
        <f t="shared" si="26"/>
        <v>0</v>
      </c>
      <c r="S225" s="82">
        <f t="shared" si="23"/>
        <v>0</v>
      </c>
      <c r="T225" s="81">
        <f>+IF(AND(J225&gt;=95,J225&lt;=240),IF(AND(C225="Cj",I225=90),VLOOKUP(W225,'CAFCO 300 IDIEM TABLAS'!$B$4:$D$23,2,FALSE),0)+IF(AND(J225&gt;=95,J225&lt;=240),IF(AND(C225="Cj",I225=120),VLOOKUP(W225,'CAFCO 300 IDIEM TABLAS'!$B$4:$D$23,3,FALSE),0))+IF(AND(J225&gt;=95,J225&lt;=400,G225=3),IF(AND(C225="IN",I225=90),VLOOKUP(W225,'CAFCO 300 IDIEM TABLAS'!$F$4:$H$35,2,FALSE),0),0)+IF(AND(J225&gt;=95,J225&lt;=400,G225=3),IF(AND(C225="IN",I225=120),VLOOKUP(W225,'CAFCO 300 IDIEM TABLAS'!$F$4:$H$35,3,FALSE),0),0)+IF(AND(J225&gt;=95,J225&lt;=450,G225=4),IF(AND(C225="IN",I225=90),VLOOKUP(W225,'CAFCO 300 IDIEM TABLAS'!$J$4:$L$40,2,FALSE),0),0)+IF(AND(J225&gt;=95,J225&lt;=450,G225=4),IF(AND(C225="IN",I225=120),VLOOKUP(W225,'CAFCO 300 IDIEM TABLAS'!$J$4:$L$40,3,FALSE),0),0))</f>
        <v>17</v>
      </c>
      <c r="U225" s="48">
        <f t="shared" si="27"/>
        <v>1.3075187740693195</v>
      </c>
      <c r="V225" s="82">
        <f t="shared" si="24"/>
        <v>19631.086873876764</v>
      </c>
      <c r="W225" s="64">
        <f>+IF(J225=LOOKUP(J225,'CAFCO 300 IDIEM TABLAS'!$J$4:$J$40),'HOJA DE CÁLCULO RESPALDO'!J225,MROUND('HOJA DE CÁLCULO RESPALDO'!J225,10))</f>
        <v>95</v>
      </c>
      <c r="X225" s="36"/>
      <c r="Y225" s="4"/>
    </row>
    <row r="226" spans="1:25" ht="15.6" customHeight="1" x14ac:dyDescent="0.25">
      <c r="A226" s="2" t="s">
        <v>47</v>
      </c>
      <c r="B226" s="3" t="s">
        <v>17</v>
      </c>
      <c r="C226" s="3" t="s">
        <v>19</v>
      </c>
      <c r="D226" s="3">
        <v>1</v>
      </c>
      <c r="E226" s="2">
        <v>1</v>
      </c>
      <c r="F226" s="8">
        <v>19050</v>
      </c>
      <c r="G226" s="1">
        <v>4</v>
      </c>
      <c r="H226" s="2">
        <v>1185</v>
      </c>
      <c r="I226" s="34">
        <v>90</v>
      </c>
      <c r="J226" s="11">
        <v>95</v>
      </c>
      <c r="K226" s="44">
        <f t="shared" si="21"/>
        <v>22.574249999999999</v>
      </c>
      <c r="L226" s="3" t="s">
        <v>61</v>
      </c>
      <c r="M226" s="3" t="s">
        <v>70</v>
      </c>
      <c r="N226" s="15">
        <f>ROUND((IF(L226="Blaze Shield II",IF(M226="Idiem software",IF(AND(C226="IN",G226=4),((('BLAZE SHIELD II'!$D$4*('HOJA DE CÁLCULO RESPALDO'!I226^2)+'BLAZE SHIELD II'!$D$5*'HOJA DE CÁLCULO RESPALDO'!I226+'BLAZE SHIELD II'!$D$6)*LN(J226))+('BLAZE SHIELD II'!$D$7*('HOJA DE CÁLCULO RESPALDO'!I226^2)+'BLAZE SHIELD II'!$D$8*'HOJA DE CÁLCULO RESPALDO'!I226+'BLAZE SHIELD II'!$D$9)),0),0),0))+(IF(L226="Blaze Shield II",IF(M226="Idiem software",IF(C226="Cj",((('BLAZE SHIELD II'!$H$4*('HOJA DE CÁLCULO RESPALDO'!I226^2)+'BLAZE SHIELD II'!$H$5*'HOJA DE CÁLCULO RESPALDO'!I226+'BLAZE SHIELD II'!$H$6)*LN(J226))+('BLAZE SHIELD II'!$H$7*('HOJA DE CÁLCULO RESPALDO'!I226^2)+'BLAZE SHIELD II'!$H$8*'HOJA DE CÁLCULO RESPALDO'!I226+'BLAZE SHIELD II'!$H$9)),0),0),0))+(IF(L226="Blaze Shield II",IF(M226="Idiem software",IF(C226="C",((('BLAZE SHIELD II'!$L$4*('HOJA DE CÁLCULO RESPALDO'!I226^2)+'BLAZE SHIELD II'!$L$5*'HOJA DE CÁLCULO RESPALDO'!I226+'BLAZE SHIELD II'!$L$6)*LN(J226))+('BLAZE SHIELD II'!$L$7*('HOJA DE CÁLCULO RESPALDO'!I226^2)+'BLAZE SHIELD II'!$L$8*'HOJA DE CÁLCULO RESPALDO'!I226+'BLAZE SHIELD II'!$L$9)),0),0),0))+(IF(L226="Blaze Shield II",IF(M226="Idiem software",IF(AND(C226="IN",G226=3),((('BLAZE SHIELD II'!$H$14*('HOJA DE CÁLCULO RESPALDO'!I226^2)+'BLAZE SHIELD II'!$H$15*'HOJA DE CÁLCULO RESPALDO'!I226+'BLAZE SHIELD II'!$H$16)*LN(J226))+('BLAZE SHIELD II'!$H$17*('HOJA DE CÁLCULO RESPALDO'!I226^2)+'BLAZE SHIELD II'!$H$18*'HOJA DE CÁLCULO RESPALDO'!I226+'BLAZE SHIELD II'!$H$19)),0),0),0)),0)</f>
        <v>0</v>
      </c>
      <c r="O226" s="46">
        <f t="shared" si="25"/>
        <v>0</v>
      </c>
      <c r="P226" s="80">
        <f t="shared" si="22"/>
        <v>0</v>
      </c>
      <c r="Q226" s="85">
        <f>ROUND((IF(L226="Cafco 400",IF(M226="Idiem software",IF(AND(C226="IN",G226=4),((('CAFCO 400 '!$H$7*(J226^4)+'CAFCO 400 '!$H$8*(J226^3)+'CAFCO 400 '!$H$9*(J226^2)+'CAFCO 400 '!$H$10*J226+'CAFCO 400 '!$H$11)*I226^2)+(('CAFCO 400 '!$H$12*(J226^3)+'CAFCO 400 '!$H$13*(J226^2)+'CAFCO 400 '!$H$14*J226+'CAFCO 400 '!$H$15)*I226)+('CAFCO 400 '!$H$16*(J226^2)+'CAFCO 400 '!$H$17*J226+'CAFCO 400 '!$H$18)),0),0),0))+(IF(L226="Cafco 400",IF(M226="Idiem software",IF(C226="Cj",(((('CAFCO 400 '!$D$7*LN(J226)+'CAFCO 400 '!$D$8)*I226^2)+(('CAFCO 400 '!$D$9*LN(J226)+'CAFCO 400 '!$D$10)*I226)+('CAFCO 400 '!$D$11*LN(J226)+'CAFCO 400 '!$D$12))),0),0),0))+(IF(L226="Cafco 400",IF(M226="Idiem software",IF(C226="C",((('CAFCO 400 '!$L$7*(J226^3)+'CAFCO 400 '!$L$8*(J226^2)+'CAFCO 400 '!$L$9*J226+'CAFCO 400 '!$L$10)*I226^2)+(('CAFCO 400 '!$L$11*(J226^3)+'CAFCO 400 '!$L$12*(J226^2)+'CAFCO 400 '!$L$13*J226+'CAFCO 400 '!$L$14)*I226)+('CAFCO 400 '!$L$15*LN(J226)+'CAFCO 400 '!$L$16)),0),0),0))+(IF(L226="Cafco 400",IF(M226="Idiem software",IF(AND(C226="IN",G226=3),((('CAFCO 400 '!$D$23*(J226^2)+'CAFCO 400 '!$D$24*(J226)+'CAFCO 400 '!$D$25)*I226^2)+(('CAFCO 400 '!$D$26*(J226^2)+'CAFCO 400 '!$D$27*J226+'CAFCO 400 '!$D$28)*I226)+('CAFCO 400 '!$D$29*(J226^2)+'CAFCO 400 '!$D$30*J226+'CAFCO 400 '!$D$31)),0),0),0)),0)</f>
        <v>0</v>
      </c>
      <c r="R226" s="47">
        <f t="shared" si="26"/>
        <v>0</v>
      </c>
      <c r="S226" s="82">
        <f t="shared" si="23"/>
        <v>0</v>
      </c>
      <c r="T226" s="81">
        <f>+IF(AND(J226&gt;=95,J226&lt;=240),IF(AND(C226="Cj",I226=90),VLOOKUP(W226,'CAFCO 300 IDIEM TABLAS'!$B$4:$D$23,2,FALSE),0)+IF(AND(J226&gt;=95,J226&lt;=240),IF(AND(C226="Cj",I226=120),VLOOKUP(W226,'CAFCO 300 IDIEM TABLAS'!$B$4:$D$23,3,FALSE),0))+IF(AND(J226&gt;=95,J226&lt;=400,G226=3),IF(AND(C226="IN",I226=90),VLOOKUP(W226,'CAFCO 300 IDIEM TABLAS'!$F$4:$H$35,2,FALSE),0),0)+IF(AND(J226&gt;=95,J226&lt;=400,G226=3),IF(AND(C226="IN",I226=120),VLOOKUP(W226,'CAFCO 300 IDIEM TABLAS'!$F$4:$H$35,3,FALSE),0),0)+IF(AND(J226&gt;=95,J226&lt;=450,G226=4),IF(AND(C226="IN",I226=90),VLOOKUP(W226,'CAFCO 300 IDIEM TABLAS'!$J$4:$L$40,2,FALSE),0),0)+IF(AND(J226&gt;=95,J226&lt;=450,G226=4),IF(AND(C226="IN",I226=120),VLOOKUP(W226,'CAFCO 300 IDIEM TABLAS'!$J$4:$L$40,3,FALSE),0),0))</f>
        <v>17</v>
      </c>
      <c r="U226" s="48">
        <f t="shared" si="27"/>
        <v>5.2958205231065465</v>
      </c>
      <c r="V226" s="82">
        <f t="shared" si="24"/>
        <v>79511.449333921686</v>
      </c>
      <c r="W226" s="64">
        <f>+IF(J226=LOOKUP(J226,'CAFCO 300 IDIEM TABLAS'!$J$4:$J$40),'HOJA DE CÁLCULO RESPALDO'!J226,MROUND('HOJA DE CÁLCULO RESPALDO'!J226,10))</f>
        <v>95</v>
      </c>
      <c r="X226" s="36"/>
      <c r="Y226" s="4"/>
    </row>
    <row r="227" spans="1:25" x14ac:dyDescent="0.25">
      <c r="A227" s="2" t="s">
        <v>47</v>
      </c>
      <c r="B227" s="3" t="s">
        <v>17</v>
      </c>
      <c r="C227" s="3" t="s">
        <v>19</v>
      </c>
      <c r="D227" s="3">
        <v>1</v>
      </c>
      <c r="E227" s="2">
        <v>1</v>
      </c>
      <c r="F227" s="8">
        <v>4255</v>
      </c>
      <c r="G227" s="1">
        <v>4</v>
      </c>
      <c r="H227" s="2">
        <v>1185</v>
      </c>
      <c r="I227" s="34">
        <v>90</v>
      </c>
      <c r="J227" s="11">
        <v>95</v>
      </c>
      <c r="K227" s="44">
        <f t="shared" si="21"/>
        <v>5.0421750000000003</v>
      </c>
      <c r="L227" s="3" t="s">
        <v>61</v>
      </c>
      <c r="M227" s="3" t="s">
        <v>70</v>
      </c>
      <c r="N227" s="15">
        <f>ROUND((IF(L227="Blaze Shield II",IF(M227="Idiem software",IF(AND(C227="IN",G227=4),((('BLAZE SHIELD II'!$D$4*('HOJA DE CÁLCULO RESPALDO'!I227^2)+'BLAZE SHIELD II'!$D$5*'HOJA DE CÁLCULO RESPALDO'!I227+'BLAZE SHIELD II'!$D$6)*LN(J227))+('BLAZE SHIELD II'!$D$7*('HOJA DE CÁLCULO RESPALDO'!I227^2)+'BLAZE SHIELD II'!$D$8*'HOJA DE CÁLCULO RESPALDO'!I227+'BLAZE SHIELD II'!$D$9)),0),0),0))+(IF(L227="Blaze Shield II",IF(M227="Idiem software",IF(C227="Cj",((('BLAZE SHIELD II'!$H$4*('HOJA DE CÁLCULO RESPALDO'!I227^2)+'BLAZE SHIELD II'!$H$5*'HOJA DE CÁLCULO RESPALDO'!I227+'BLAZE SHIELD II'!$H$6)*LN(J227))+('BLAZE SHIELD II'!$H$7*('HOJA DE CÁLCULO RESPALDO'!I227^2)+'BLAZE SHIELD II'!$H$8*'HOJA DE CÁLCULO RESPALDO'!I227+'BLAZE SHIELD II'!$H$9)),0),0),0))+(IF(L227="Blaze Shield II",IF(M227="Idiem software",IF(C227="C",((('BLAZE SHIELD II'!$L$4*('HOJA DE CÁLCULO RESPALDO'!I227^2)+'BLAZE SHIELD II'!$L$5*'HOJA DE CÁLCULO RESPALDO'!I227+'BLAZE SHIELD II'!$L$6)*LN(J227))+('BLAZE SHIELD II'!$L$7*('HOJA DE CÁLCULO RESPALDO'!I227^2)+'BLAZE SHIELD II'!$L$8*'HOJA DE CÁLCULO RESPALDO'!I227+'BLAZE SHIELD II'!$L$9)),0),0),0))+(IF(L227="Blaze Shield II",IF(M227="Idiem software",IF(AND(C227="IN",G227=3),((('BLAZE SHIELD II'!$H$14*('HOJA DE CÁLCULO RESPALDO'!I227^2)+'BLAZE SHIELD II'!$H$15*'HOJA DE CÁLCULO RESPALDO'!I227+'BLAZE SHIELD II'!$H$16)*LN(J227))+('BLAZE SHIELD II'!$H$17*('HOJA DE CÁLCULO RESPALDO'!I227^2)+'BLAZE SHIELD II'!$H$18*'HOJA DE CÁLCULO RESPALDO'!I227+'BLAZE SHIELD II'!$H$19)),0),0),0)),0)</f>
        <v>0</v>
      </c>
      <c r="O227" s="46">
        <f t="shared" si="25"/>
        <v>0</v>
      </c>
      <c r="P227" s="80">
        <f t="shared" si="22"/>
        <v>0</v>
      </c>
      <c r="Q227" s="85">
        <f>ROUND((IF(L227="Cafco 400",IF(M227="Idiem software",IF(AND(C227="IN",G227=4),((('CAFCO 400 '!$H$7*(J227^4)+'CAFCO 400 '!$H$8*(J227^3)+'CAFCO 400 '!$H$9*(J227^2)+'CAFCO 400 '!$H$10*J227+'CAFCO 400 '!$H$11)*I227^2)+(('CAFCO 400 '!$H$12*(J227^3)+'CAFCO 400 '!$H$13*(J227^2)+'CAFCO 400 '!$H$14*J227+'CAFCO 400 '!$H$15)*I227)+('CAFCO 400 '!$H$16*(J227^2)+'CAFCO 400 '!$H$17*J227+'CAFCO 400 '!$H$18)),0),0),0))+(IF(L227="Cafco 400",IF(M227="Idiem software",IF(C227="Cj",(((('CAFCO 400 '!$D$7*LN(J227)+'CAFCO 400 '!$D$8)*I227^2)+(('CAFCO 400 '!$D$9*LN(J227)+'CAFCO 400 '!$D$10)*I227)+('CAFCO 400 '!$D$11*LN(J227)+'CAFCO 400 '!$D$12))),0),0),0))+(IF(L227="Cafco 400",IF(M227="Idiem software",IF(C227="C",((('CAFCO 400 '!$L$7*(J227^3)+'CAFCO 400 '!$L$8*(J227^2)+'CAFCO 400 '!$L$9*J227+'CAFCO 400 '!$L$10)*I227^2)+(('CAFCO 400 '!$L$11*(J227^3)+'CAFCO 400 '!$L$12*(J227^2)+'CAFCO 400 '!$L$13*J227+'CAFCO 400 '!$L$14)*I227)+('CAFCO 400 '!$L$15*LN(J227)+'CAFCO 400 '!$L$16)),0),0),0))+(IF(L227="Cafco 400",IF(M227="Idiem software",IF(AND(C227="IN",G227=3),((('CAFCO 400 '!$D$23*(J227^2)+'CAFCO 400 '!$D$24*(J227)+'CAFCO 400 '!$D$25)*I227^2)+(('CAFCO 400 '!$D$26*(J227^2)+'CAFCO 400 '!$D$27*J227+'CAFCO 400 '!$D$28)*I227)+('CAFCO 400 '!$D$29*(J227^2)+'CAFCO 400 '!$D$30*J227+'CAFCO 400 '!$D$31)),0),0),0)),0)</f>
        <v>0</v>
      </c>
      <c r="R227" s="47">
        <f t="shared" si="26"/>
        <v>0</v>
      </c>
      <c r="S227" s="82">
        <f t="shared" si="23"/>
        <v>0</v>
      </c>
      <c r="T227" s="81">
        <f>+IF(AND(J227&gt;=95,J227&lt;=240),IF(AND(C227="Cj",I227=90),VLOOKUP(W227,'CAFCO 300 IDIEM TABLAS'!$B$4:$D$23,2,FALSE),0)+IF(AND(J227&gt;=95,J227&lt;=240),IF(AND(C227="Cj",I227=120),VLOOKUP(W227,'CAFCO 300 IDIEM TABLAS'!$B$4:$D$23,3,FALSE),0))+IF(AND(J227&gt;=95,J227&lt;=400,G227=3),IF(AND(C227="IN",I227=90),VLOOKUP(W227,'CAFCO 300 IDIEM TABLAS'!$F$4:$H$35,2,FALSE),0),0)+IF(AND(J227&gt;=95,J227&lt;=400,G227=3),IF(AND(C227="IN",I227=120),VLOOKUP(W227,'CAFCO 300 IDIEM TABLAS'!$F$4:$H$35,3,FALSE),0),0)+IF(AND(J227&gt;=95,J227&lt;=450,G227=4),IF(AND(C227="IN",I227=90),VLOOKUP(W227,'CAFCO 300 IDIEM TABLAS'!$J$4:$L$40,2,FALSE),0),0)+IF(AND(J227&gt;=95,J227&lt;=450,G227=4),IF(AND(C227="IN",I227=120),VLOOKUP(W227,'CAFCO 300 IDIEM TABLAS'!$J$4:$L$40,3,FALSE),0),0))</f>
        <v>17</v>
      </c>
      <c r="U227" s="48">
        <f t="shared" si="27"/>
        <v>1.1828722480744545</v>
      </c>
      <c r="V227" s="82">
        <f t="shared" si="24"/>
        <v>17759.643932589861</v>
      </c>
      <c r="W227" s="64">
        <f>+IF(J227=LOOKUP(J227,'CAFCO 300 IDIEM TABLAS'!$J$4:$J$40),'HOJA DE CÁLCULO RESPALDO'!J227,MROUND('HOJA DE CÁLCULO RESPALDO'!J227,10))</f>
        <v>95</v>
      </c>
      <c r="X227" s="36"/>
      <c r="Y227" s="4"/>
    </row>
    <row r="228" spans="1:25" ht="15.6" customHeight="1" x14ac:dyDescent="0.25">
      <c r="A228" s="2" t="s">
        <v>48</v>
      </c>
      <c r="B228" s="3" t="s">
        <v>17</v>
      </c>
      <c r="C228" s="3" t="s">
        <v>19</v>
      </c>
      <c r="D228" s="3">
        <v>1</v>
      </c>
      <c r="E228" s="2">
        <v>1</v>
      </c>
      <c r="F228" s="8">
        <v>89250</v>
      </c>
      <c r="G228" s="1">
        <v>4</v>
      </c>
      <c r="H228" s="2">
        <v>1190</v>
      </c>
      <c r="I228" s="34">
        <v>90</v>
      </c>
      <c r="J228" s="11">
        <v>95</v>
      </c>
      <c r="K228" s="44">
        <f t="shared" si="21"/>
        <v>106.2075</v>
      </c>
      <c r="L228" s="3" t="s">
        <v>61</v>
      </c>
      <c r="M228" s="3" t="s">
        <v>70</v>
      </c>
      <c r="N228" s="15">
        <f>ROUND((IF(L228="Blaze Shield II",IF(M228="Idiem software",IF(AND(C228="IN",G228=4),((('BLAZE SHIELD II'!$D$4*('HOJA DE CÁLCULO RESPALDO'!I228^2)+'BLAZE SHIELD II'!$D$5*'HOJA DE CÁLCULO RESPALDO'!I228+'BLAZE SHIELD II'!$D$6)*LN(J228))+('BLAZE SHIELD II'!$D$7*('HOJA DE CÁLCULO RESPALDO'!I228^2)+'BLAZE SHIELD II'!$D$8*'HOJA DE CÁLCULO RESPALDO'!I228+'BLAZE SHIELD II'!$D$9)),0),0),0))+(IF(L228="Blaze Shield II",IF(M228="Idiem software",IF(C228="Cj",((('BLAZE SHIELD II'!$H$4*('HOJA DE CÁLCULO RESPALDO'!I228^2)+'BLAZE SHIELD II'!$H$5*'HOJA DE CÁLCULO RESPALDO'!I228+'BLAZE SHIELD II'!$H$6)*LN(J228))+('BLAZE SHIELD II'!$H$7*('HOJA DE CÁLCULO RESPALDO'!I228^2)+'BLAZE SHIELD II'!$H$8*'HOJA DE CÁLCULO RESPALDO'!I228+'BLAZE SHIELD II'!$H$9)),0),0),0))+(IF(L228="Blaze Shield II",IF(M228="Idiem software",IF(C228="C",((('BLAZE SHIELD II'!$L$4*('HOJA DE CÁLCULO RESPALDO'!I228^2)+'BLAZE SHIELD II'!$L$5*'HOJA DE CÁLCULO RESPALDO'!I228+'BLAZE SHIELD II'!$L$6)*LN(J228))+('BLAZE SHIELD II'!$L$7*('HOJA DE CÁLCULO RESPALDO'!I228^2)+'BLAZE SHIELD II'!$L$8*'HOJA DE CÁLCULO RESPALDO'!I228+'BLAZE SHIELD II'!$L$9)),0),0),0))+(IF(L228="Blaze Shield II",IF(M228="Idiem software",IF(AND(C228="IN",G228=3),((('BLAZE SHIELD II'!$H$14*('HOJA DE CÁLCULO RESPALDO'!I228^2)+'BLAZE SHIELD II'!$H$15*'HOJA DE CÁLCULO RESPALDO'!I228+'BLAZE SHIELD II'!$H$16)*LN(J228))+('BLAZE SHIELD II'!$H$17*('HOJA DE CÁLCULO RESPALDO'!I228^2)+'BLAZE SHIELD II'!$H$18*'HOJA DE CÁLCULO RESPALDO'!I228+'BLAZE SHIELD II'!$H$19)),0),0),0)),0)</f>
        <v>0</v>
      </c>
      <c r="O228" s="46">
        <f t="shared" si="25"/>
        <v>0</v>
      </c>
      <c r="P228" s="80">
        <f t="shared" si="22"/>
        <v>0</v>
      </c>
      <c r="Q228" s="85">
        <f>ROUND((IF(L228="Cafco 400",IF(M228="Idiem software",IF(AND(C228="IN",G228=4),((('CAFCO 400 '!$H$7*(J228^4)+'CAFCO 400 '!$H$8*(J228^3)+'CAFCO 400 '!$H$9*(J228^2)+'CAFCO 400 '!$H$10*J228+'CAFCO 400 '!$H$11)*I228^2)+(('CAFCO 400 '!$H$12*(J228^3)+'CAFCO 400 '!$H$13*(J228^2)+'CAFCO 400 '!$H$14*J228+'CAFCO 400 '!$H$15)*I228)+('CAFCO 400 '!$H$16*(J228^2)+'CAFCO 400 '!$H$17*J228+'CAFCO 400 '!$H$18)),0),0),0))+(IF(L228="Cafco 400",IF(M228="Idiem software",IF(C228="Cj",(((('CAFCO 400 '!$D$7*LN(J228)+'CAFCO 400 '!$D$8)*I228^2)+(('CAFCO 400 '!$D$9*LN(J228)+'CAFCO 400 '!$D$10)*I228)+('CAFCO 400 '!$D$11*LN(J228)+'CAFCO 400 '!$D$12))),0),0),0))+(IF(L228="Cafco 400",IF(M228="Idiem software",IF(C228="C",((('CAFCO 400 '!$L$7*(J228^3)+'CAFCO 400 '!$L$8*(J228^2)+'CAFCO 400 '!$L$9*J228+'CAFCO 400 '!$L$10)*I228^2)+(('CAFCO 400 '!$L$11*(J228^3)+'CAFCO 400 '!$L$12*(J228^2)+'CAFCO 400 '!$L$13*J228+'CAFCO 400 '!$L$14)*I228)+('CAFCO 400 '!$L$15*LN(J228)+'CAFCO 400 '!$L$16)),0),0),0))+(IF(L228="Cafco 400",IF(M228="Idiem software",IF(AND(C228="IN",G228=3),((('CAFCO 400 '!$D$23*(J228^2)+'CAFCO 400 '!$D$24*(J228)+'CAFCO 400 '!$D$25)*I228^2)+(('CAFCO 400 '!$D$26*(J228^2)+'CAFCO 400 '!$D$27*J228+'CAFCO 400 '!$D$28)*I228)+('CAFCO 400 '!$D$29*(J228^2)+'CAFCO 400 '!$D$30*J228+'CAFCO 400 '!$D$31)),0),0),0)),0)</f>
        <v>0</v>
      </c>
      <c r="R228" s="47">
        <f t="shared" si="26"/>
        <v>0</v>
      </c>
      <c r="S228" s="82">
        <f t="shared" si="23"/>
        <v>0</v>
      </c>
      <c r="T228" s="81">
        <f>+IF(AND(J228&gt;=95,J228&lt;=240),IF(AND(C228="Cj",I228=90),VLOOKUP(W228,'CAFCO 300 IDIEM TABLAS'!$B$4:$D$23,2,FALSE),0)+IF(AND(J228&gt;=95,J228&lt;=240),IF(AND(C228="Cj",I228=120),VLOOKUP(W228,'CAFCO 300 IDIEM TABLAS'!$B$4:$D$23,3,FALSE),0))+IF(AND(J228&gt;=95,J228&lt;=400,G228=3),IF(AND(C228="IN",I228=90),VLOOKUP(W228,'CAFCO 300 IDIEM TABLAS'!$F$4:$H$35,2,FALSE),0),0)+IF(AND(J228&gt;=95,J228&lt;=400,G228=3),IF(AND(C228="IN",I228=120),VLOOKUP(W228,'CAFCO 300 IDIEM TABLAS'!$F$4:$H$35,3,FALSE),0),0)+IF(AND(J228&gt;=95,J228&lt;=450,G228=4),IF(AND(C228="IN",I228=90),VLOOKUP(W228,'CAFCO 300 IDIEM TABLAS'!$J$4:$L$40,2,FALSE),0),0)+IF(AND(J228&gt;=95,J228&lt;=450,G228=4),IF(AND(C228="IN",I228=120),VLOOKUP(W228,'CAFCO 300 IDIEM TABLAS'!$J$4:$L$40,3,FALSE),0),0))</f>
        <v>17</v>
      </c>
      <c r="U228" s="48">
        <f t="shared" si="27"/>
        <v>24.915815949935812</v>
      </c>
      <c r="V228" s="82">
        <f t="shared" si="24"/>
        <v>374086.06067233626</v>
      </c>
      <c r="W228" s="64">
        <f>+IF(J228=LOOKUP(J228,'CAFCO 300 IDIEM TABLAS'!$J$4:$J$40),'HOJA DE CÁLCULO RESPALDO'!J228,MROUND('HOJA DE CÁLCULO RESPALDO'!J228,10))</f>
        <v>95</v>
      </c>
      <c r="X228" s="36"/>
      <c r="Y228" s="4"/>
    </row>
    <row r="229" spans="1:25" x14ac:dyDescent="0.25">
      <c r="A229" s="2" t="s">
        <v>44</v>
      </c>
      <c r="B229" s="3" t="s">
        <v>17</v>
      </c>
      <c r="C229" s="3" t="s">
        <v>19</v>
      </c>
      <c r="D229" s="3">
        <v>1</v>
      </c>
      <c r="E229" s="2">
        <v>1</v>
      </c>
      <c r="F229" s="8">
        <v>13000</v>
      </c>
      <c r="G229" s="1">
        <v>4</v>
      </c>
      <c r="H229" s="2">
        <v>1181</v>
      </c>
      <c r="I229" s="34">
        <v>90</v>
      </c>
      <c r="J229" s="11">
        <v>95</v>
      </c>
      <c r="K229" s="44">
        <f t="shared" si="21"/>
        <v>15.353</v>
      </c>
      <c r="L229" s="3" t="s">
        <v>61</v>
      </c>
      <c r="M229" s="3" t="s">
        <v>70</v>
      </c>
      <c r="N229" s="15">
        <f>ROUND((IF(L229="Blaze Shield II",IF(M229="Idiem software",IF(AND(C229="IN",G229=4),((('BLAZE SHIELD II'!$D$4*('HOJA DE CÁLCULO RESPALDO'!I229^2)+'BLAZE SHIELD II'!$D$5*'HOJA DE CÁLCULO RESPALDO'!I229+'BLAZE SHIELD II'!$D$6)*LN(J229))+('BLAZE SHIELD II'!$D$7*('HOJA DE CÁLCULO RESPALDO'!I229^2)+'BLAZE SHIELD II'!$D$8*'HOJA DE CÁLCULO RESPALDO'!I229+'BLAZE SHIELD II'!$D$9)),0),0),0))+(IF(L229="Blaze Shield II",IF(M229="Idiem software",IF(C229="Cj",((('BLAZE SHIELD II'!$H$4*('HOJA DE CÁLCULO RESPALDO'!I229^2)+'BLAZE SHIELD II'!$H$5*'HOJA DE CÁLCULO RESPALDO'!I229+'BLAZE SHIELD II'!$H$6)*LN(J229))+('BLAZE SHIELD II'!$H$7*('HOJA DE CÁLCULO RESPALDO'!I229^2)+'BLAZE SHIELD II'!$H$8*'HOJA DE CÁLCULO RESPALDO'!I229+'BLAZE SHIELD II'!$H$9)),0),0),0))+(IF(L229="Blaze Shield II",IF(M229="Idiem software",IF(C229="C",((('BLAZE SHIELD II'!$L$4*('HOJA DE CÁLCULO RESPALDO'!I229^2)+'BLAZE SHIELD II'!$L$5*'HOJA DE CÁLCULO RESPALDO'!I229+'BLAZE SHIELD II'!$L$6)*LN(J229))+('BLAZE SHIELD II'!$L$7*('HOJA DE CÁLCULO RESPALDO'!I229^2)+'BLAZE SHIELD II'!$L$8*'HOJA DE CÁLCULO RESPALDO'!I229+'BLAZE SHIELD II'!$L$9)),0),0),0))+(IF(L229="Blaze Shield II",IF(M229="Idiem software",IF(AND(C229="IN",G229=3),((('BLAZE SHIELD II'!$H$14*('HOJA DE CÁLCULO RESPALDO'!I229^2)+'BLAZE SHIELD II'!$H$15*'HOJA DE CÁLCULO RESPALDO'!I229+'BLAZE SHIELD II'!$H$16)*LN(J229))+('BLAZE SHIELD II'!$H$17*('HOJA DE CÁLCULO RESPALDO'!I229^2)+'BLAZE SHIELD II'!$H$18*'HOJA DE CÁLCULO RESPALDO'!I229+'BLAZE SHIELD II'!$H$19)),0),0),0)),0)</f>
        <v>0</v>
      </c>
      <c r="O229" s="46">
        <f t="shared" si="25"/>
        <v>0</v>
      </c>
      <c r="P229" s="80">
        <f t="shared" si="22"/>
        <v>0</v>
      </c>
      <c r="Q229" s="85">
        <f>ROUND((IF(L229="Cafco 400",IF(M229="Idiem software",IF(AND(C229="IN",G229=4),((('CAFCO 400 '!$H$7*(J229^4)+'CAFCO 400 '!$H$8*(J229^3)+'CAFCO 400 '!$H$9*(J229^2)+'CAFCO 400 '!$H$10*J229+'CAFCO 400 '!$H$11)*I229^2)+(('CAFCO 400 '!$H$12*(J229^3)+'CAFCO 400 '!$H$13*(J229^2)+'CAFCO 400 '!$H$14*J229+'CAFCO 400 '!$H$15)*I229)+('CAFCO 400 '!$H$16*(J229^2)+'CAFCO 400 '!$H$17*J229+'CAFCO 400 '!$H$18)),0),0),0))+(IF(L229="Cafco 400",IF(M229="Idiem software",IF(C229="Cj",(((('CAFCO 400 '!$D$7*LN(J229)+'CAFCO 400 '!$D$8)*I229^2)+(('CAFCO 400 '!$D$9*LN(J229)+'CAFCO 400 '!$D$10)*I229)+('CAFCO 400 '!$D$11*LN(J229)+'CAFCO 400 '!$D$12))),0),0),0))+(IF(L229="Cafco 400",IF(M229="Idiem software",IF(C229="C",((('CAFCO 400 '!$L$7*(J229^3)+'CAFCO 400 '!$L$8*(J229^2)+'CAFCO 400 '!$L$9*J229+'CAFCO 400 '!$L$10)*I229^2)+(('CAFCO 400 '!$L$11*(J229^3)+'CAFCO 400 '!$L$12*(J229^2)+'CAFCO 400 '!$L$13*J229+'CAFCO 400 '!$L$14)*I229)+('CAFCO 400 '!$L$15*LN(J229)+'CAFCO 400 '!$L$16)),0),0),0))+(IF(L229="Cafco 400",IF(M229="Idiem software",IF(AND(C229="IN",G229=3),((('CAFCO 400 '!$D$23*(J229^2)+'CAFCO 400 '!$D$24*(J229)+'CAFCO 400 '!$D$25)*I229^2)+(('CAFCO 400 '!$D$26*(J229^2)+'CAFCO 400 '!$D$27*J229+'CAFCO 400 '!$D$28)*I229)+('CAFCO 400 '!$D$29*(J229^2)+'CAFCO 400 '!$D$30*J229+'CAFCO 400 '!$D$31)),0),0),0)),0)</f>
        <v>0</v>
      </c>
      <c r="R229" s="47">
        <f t="shared" si="26"/>
        <v>0</v>
      </c>
      <c r="S229" s="82">
        <f t="shared" si="23"/>
        <v>0</v>
      </c>
      <c r="T229" s="81">
        <f>+IF(AND(J229&gt;=95,J229&lt;=240),IF(AND(C229="Cj",I229=90),VLOOKUP(W229,'CAFCO 300 IDIEM TABLAS'!$B$4:$D$23,2,FALSE),0)+IF(AND(J229&gt;=95,J229&lt;=240),IF(AND(C229="Cj",I229=120),VLOOKUP(W229,'CAFCO 300 IDIEM TABLAS'!$B$4:$D$23,3,FALSE),0))+IF(AND(J229&gt;=95,J229&lt;=400,G229=3),IF(AND(C229="IN",I229=90),VLOOKUP(W229,'CAFCO 300 IDIEM TABLAS'!$F$4:$H$35,2,FALSE),0),0)+IF(AND(J229&gt;=95,J229&lt;=400,G229=3),IF(AND(C229="IN",I229=120),VLOOKUP(W229,'CAFCO 300 IDIEM TABLAS'!$F$4:$H$35,3,FALSE),0),0)+IF(AND(J229&gt;=95,J229&lt;=450,G229=4),IF(AND(C229="IN",I229=90),VLOOKUP(W229,'CAFCO 300 IDIEM TABLAS'!$J$4:$L$40,2,FALSE),0),0)+IF(AND(J229&gt;=95,J229&lt;=450,G229=4),IF(AND(C229="IN",I229=120),VLOOKUP(W229,'CAFCO 300 IDIEM TABLAS'!$J$4:$L$40,3,FALSE),0),0))</f>
        <v>17</v>
      </c>
      <c r="U229" s="48">
        <f t="shared" si="27"/>
        <v>3.6017467907573808</v>
      </c>
      <c r="V229" s="82">
        <f t="shared" si="24"/>
        <v>54076.626316431313</v>
      </c>
      <c r="W229" s="64">
        <f>+IF(J229=LOOKUP(J229,'CAFCO 300 IDIEM TABLAS'!$J$4:$J$40),'HOJA DE CÁLCULO RESPALDO'!J229,MROUND('HOJA DE CÁLCULO RESPALDO'!J229,10))</f>
        <v>95</v>
      </c>
      <c r="X229" s="36"/>
      <c r="Y229" s="4"/>
    </row>
    <row r="230" spans="1:25" ht="15.6" customHeight="1" x14ac:dyDescent="0.25">
      <c r="A230" s="2" t="s">
        <v>44</v>
      </c>
      <c r="B230" s="3" t="s">
        <v>17</v>
      </c>
      <c r="C230" s="3" t="s">
        <v>19</v>
      </c>
      <c r="D230" s="3">
        <v>1</v>
      </c>
      <c r="E230" s="2">
        <v>1</v>
      </c>
      <c r="F230" s="8">
        <v>4250</v>
      </c>
      <c r="G230" s="1">
        <v>4</v>
      </c>
      <c r="H230" s="2">
        <v>1181</v>
      </c>
      <c r="I230" s="34">
        <v>90</v>
      </c>
      <c r="J230" s="11">
        <v>95</v>
      </c>
      <c r="K230" s="44">
        <f t="shared" si="21"/>
        <v>5.0192500000000004</v>
      </c>
      <c r="L230" s="3" t="s">
        <v>61</v>
      </c>
      <c r="M230" s="3" t="s">
        <v>70</v>
      </c>
      <c r="N230" s="15">
        <f>ROUND((IF(L230="Blaze Shield II",IF(M230="Idiem software",IF(AND(C230="IN",G230=4),((('BLAZE SHIELD II'!$D$4*('HOJA DE CÁLCULO RESPALDO'!I230^2)+'BLAZE SHIELD II'!$D$5*'HOJA DE CÁLCULO RESPALDO'!I230+'BLAZE SHIELD II'!$D$6)*LN(J230))+('BLAZE SHIELD II'!$D$7*('HOJA DE CÁLCULO RESPALDO'!I230^2)+'BLAZE SHIELD II'!$D$8*'HOJA DE CÁLCULO RESPALDO'!I230+'BLAZE SHIELD II'!$D$9)),0),0),0))+(IF(L230="Blaze Shield II",IF(M230="Idiem software",IF(C230="Cj",((('BLAZE SHIELD II'!$H$4*('HOJA DE CÁLCULO RESPALDO'!I230^2)+'BLAZE SHIELD II'!$H$5*'HOJA DE CÁLCULO RESPALDO'!I230+'BLAZE SHIELD II'!$H$6)*LN(J230))+('BLAZE SHIELD II'!$H$7*('HOJA DE CÁLCULO RESPALDO'!I230^2)+'BLAZE SHIELD II'!$H$8*'HOJA DE CÁLCULO RESPALDO'!I230+'BLAZE SHIELD II'!$H$9)),0),0),0))+(IF(L230="Blaze Shield II",IF(M230="Idiem software",IF(C230="C",((('BLAZE SHIELD II'!$L$4*('HOJA DE CÁLCULO RESPALDO'!I230^2)+'BLAZE SHIELD II'!$L$5*'HOJA DE CÁLCULO RESPALDO'!I230+'BLAZE SHIELD II'!$L$6)*LN(J230))+('BLAZE SHIELD II'!$L$7*('HOJA DE CÁLCULO RESPALDO'!I230^2)+'BLAZE SHIELD II'!$L$8*'HOJA DE CÁLCULO RESPALDO'!I230+'BLAZE SHIELD II'!$L$9)),0),0),0))+(IF(L230="Blaze Shield II",IF(M230="Idiem software",IF(AND(C230="IN",G230=3),((('BLAZE SHIELD II'!$H$14*('HOJA DE CÁLCULO RESPALDO'!I230^2)+'BLAZE SHIELD II'!$H$15*'HOJA DE CÁLCULO RESPALDO'!I230+'BLAZE SHIELD II'!$H$16)*LN(J230))+('BLAZE SHIELD II'!$H$17*('HOJA DE CÁLCULO RESPALDO'!I230^2)+'BLAZE SHIELD II'!$H$18*'HOJA DE CÁLCULO RESPALDO'!I230+'BLAZE SHIELD II'!$H$19)),0),0),0)),0)</f>
        <v>0</v>
      </c>
      <c r="O230" s="46">
        <f t="shared" si="25"/>
        <v>0</v>
      </c>
      <c r="P230" s="80">
        <f t="shared" si="22"/>
        <v>0</v>
      </c>
      <c r="Q230" s="85">
        <f>ROUND((IF(L230="Cafco 400",IF(M230="Idiem software",IF(AND(C230="IN",G230=4),((('CAFCO 400 '!$H$7*(J230^4)+'CAFCO 400 '!$H$8*(J230^3)+'CAFCO 400 '!$H$9*(J230^2)+'CAFCO 400 '!$H$10*J230+'CAFCO 400 '!$H$11)*I230^2)+(('CAFCO 400 '!$H$12*(J230^3)+'CAFCO 400 '!$H$13*(J230^2)+'CAFCO 400 '!$H$14*J230+'CAFCO 400 '!$H$15)*I230)+('CAFCO 400 '!$H$16*(J230^2)+'CAFCO 400 '!$H$17*J230+'CAFCO 400 '!$H$18)),0),0),0))+(IF(L230="Cafco 400",IF(M230="Idiem software",IF(C230="Cj",(((('CAFCO 400 '!$D$7*LN(J230)+'CAFCO 400 '!$D$8)*I230^2)+(('CAFCO 400 '!$D$9*LN(J230)+'CAFCO 400 '!$D$10)*I230)+('CAFCO 400 '!$D$11*LN(J230)+'CAFCO 400 '!$D$12))),0),0),0))+(IF(L230="Cafco 400",IF(M230="Idiem software",IF(C230="C",((('CAFCO 400 '!$L$7*(J230^3)+'CAFCO 400 '!$L$8*(J230^2)+'CAFCO 400 '!$L$9*J230+'CAFCO 400 '!$L$10)*I230^2)+(('CAFCO 400 '!$L$11*(J230^3)+'CAFCO 400 '!$L$12*(J230^2)+'CAFCO 400 '!$L$13*J230+'CAFCO 400 '!$L$14)*I230)+('CAFCO 400 '!$L$15*LN(J230)+'CAFCO 400 '!$L$16)),0),0),0))+(IF(L230="Cafco 400",IF(M230="Idiem software",IF(AND(C230="IN",G230=3),((('CAFCO 400 '!$D$23*(J230^2)+'CAFCO 400 '!$D$24*(J230)+'CAFCO 400 '!$D$25)*I230^2)+(('CAFCO 400 '!$D$26*(J230^2)+'CAFCO 400 '!$D$27*J230+'CAFCO 400 '!$D$28)*I230)+('CAFCO 400 '!$D$29*(J230^2)+'CAFCO 400 '!$D$30*J230+'CAFCO 400 '!$D$31)),0),0),0)),0)</f>
        <v>0</v>
      </c>
      <c r="R230" s="47">
        <f t="shared" si="26"/>
        <v>0</v>
      </c>
      <c r="S230" s="82">
        <f t="shared" si="23"/>
        <v>0</v>
      </c>
      <c r="T230" s="81">
        <f>+IF(AND(J230&gt;=95,J230&lt;=240),IF(AND(C230="Cj",I230=90),VLOOKUP(W230,'CAFCO 300 IDIEM TABLAS'!$B$4:$D$23,2,FALSE),0)+IF(AND(J230&gt;=95,J230&lt;=240),IF(AND(C230="Cj",I230=120),VLOOKUP(W230,'CAFCO 300 IDIEM TABLAS'!$B$4:$D$23,3,FALSE),0))+IF(AND(J230&gt;=95,J230&lt;=400,G230=3),IF(AND(C230="IN",I230=90),VLOOKUP(W230,'CAFCO 300 IDIEM TABLAS'!$F$4:$H$35,2,FALSE),0),0)+IF(AND(J230&gt;=95,J230&lt;=400,G230=3),IF(AND(C230="IN",I230=120),VLOOKUP(W230,'CAFCO 300 IDIEM TABLAS'!$F$4:$H$35,3,FALSE),0),0)+IF(AND(J230&gt;=95,J230&lt;=450,G230=4),IF(AND(C230="IN",I230=90),VLOOKUP(W230,'CAFCO 300 IDIEM TABLAS'!$J$4:$L$40,2,FALSE),0),0)+IF(AND(J230&gt;=95,J230&lt;=450,G230=4),IF(AND(C230="IN",I230=120),VLOOKUP(W230,'CAFCO 300 IDIEM TABLAS'!$J$4:$L$40,3,FALSE),0),0))</f>
        <v>17</v>
      </c>
      <c r="U230" s="48">
        <f t="shared" si="27"/>
        <v>1.177494143132221</v>
      </c>
      <c r="V230" s="82">
        <f t="shared" si="24"/>
        <v>17678.897064987166</v>
      </c>
      <c r="W230" s="64">
        <f>+IF(J230=LOOKUP(J230,'CAFCO 300 IDIEM TABLAS'!$J$4:$J$40),'HOJA DE CÁLCULO RESPALDO'!J230,MROUND('HOJA DE CÁLCULO RESPALDO'!J230,10))</f>
        <v>95</v>
      </c>
      <c r="X230" s="36"/>
      <c r="Y230" s="4"/>
    </row>
    <row r="231" spans="1:25" x14ac:dyDescent="0.25">
      <c r="A231" s="2" t="s">
        <v>43</v>
      </c>
      <c r="B231" s="3" t="s">
        <v>17</v>
      </c>
      <c r="C231" s="3" t="s">
        <v>19</v>
      </c>
      <c r="D231" s="3">
        <v>1</v>
      </c>
      <c r="E231" s="2">
        <v>1</v>
      </c>
      <c r="F231" s="8">
        <v>8500</v>
      </c>
      <c r="G231" s="1">
        <v>4</v>
      </c>
      <c r="H231" s="2">
        <v>1181</v>
      </c>
      <c r="I231" s="34">
        <v>90</v>
      </c>
      <c r="J231" s="11">
        <v>95</v>
      </c>
      <c r="K231" s="44">
        <f t="shared" si="21"/>
        <v>10.038500000000001</v>
      </c>
      <c r="L231" s="3" t="s">
        <v>61</v>
      </c>
      <c r="M231" s="3" t="s">
        <v>70</v>
      </c>
      <c r="N231" s="15">
        <f>ROUND((IF(L231="Blaze Shield II",IF(M231="Idiem software",IF(AND(C231="IN",G231=4),((('BLAZE SHIELD II'!$D$4*('HOJA DE CÁLCULO RESPALDO'!I231^2)+'BLAZE SHIELD II'!$D$5*'HOJA DE CÁLCULO RESPALDO'!I231+'BLAZE SHIELD II'!$D$6)*LN(J231))+('BLAZE SHIELD II'!$D$7*('HOJA DE CÁLCULO RESPALDO'!I231^2)+'BLAZE SHIELD II'!$D$8*'HOJA DE CÁLCULO RESPALDO'!I231+'BLAZE SHIELD II'!$D$9)),0),0),0))+(IF(L231="Blaze Shield II",IF(M231="Idiem software",IF(C231="Cj",((('BLAZE SHIELD II'!$H$4*('HOJA DE CÁLCULO RESPALDO'!I231^2)+'BLAZE SHIELD II'!$H$5*'HOJA DE CÁLCULO RESPALDO'!I231+'BLAZE SHIELD II'!$H$6)*LN(J231))+('BLAZE SHIELD II'!$H$7*('HOJA DE CÁLCULO RESPALDO'!I231^2)+'BLAZE SHIELD II'!$H$8*'HOJA DE CÁLCULO RESPALDO'!I231+'BLAZE SHIELD II'!$H$9)),0),0),0))+(IF(L231="Blaze Shield II",IF(M231="Idiem software",IF(C231="C",((('BLAZE SHIELD II'!$L$4*('HOJA DE CÁLCULO RESPALDO'!I231^2)+'BLAZE SHIELD II'!$L$5*'HOJA DE CÁLCULO RESPALDO'!I231+'BLAZE SHIELD II'!$L$6)*LN(J231))+('BLAZE SHIELD II'!$L$7*('HOJA DE CÁLCULO RESPALDO'!I231^2)+'BLAZE SHIELD II'!$L$8*'HOJA DE CÁLCULO RESPALDO'!I231+'BLAZE SHIELD II'!$L$9)),0),0),0))+(IF(L231="Blaze Shield II",IF(M231="Idiem software",IF(AND(C231="IN",G231=3),((('BLAZE SHIELD II'!$H$14*('HOJA DE CÁLCULO RESPALDO'!I231^2)+'BLAZE SHIELD II'!$H$15*'HOJA DE CÁLCULO RESPALDO'!I231+'BLAZE SHIELD II'!$H$16)*LN(J231))+('BLAZE SHIELD II'!$H$17*('HOJA DE CÁLCULO RESPALDO'!I231^2)+'BLAZE SHIELD II'!$H$18*'HOJA DE CÁLCULO RESPALDO'!I231+'BLAZE SHIELD II'!$H$19)),0),0),0)),0)</f>
        <v>0</v>
      </c>
      <c r="O231" s="46">
        <f t="shared" si="25"/>
        <v>0</v>
      </c>
      <c r="P231" s="80">
        <f t="shared" si="22"/>
        <v>0</v>
      </c>
      <c r="Q231" s="85">
        <f>ROUND((IF(L231="Cafco 400",IF(M231="Idiem software",IF(AND(C231="IN",G231=4),((('CAFCO 400 '!$H$7*(J231^4)+'CAFCO 400 '!$H$8*(J231^3)+'CAFCO 400 '!$H$9*(J231^2)+'CAFCO 400 '!$H$10*J231+'CAFCO 400 '!$H$11)*I231^2)+(('CAFCO 400 '!$H$12*(J231^3)+'CAFCO 400 '!$H$13*(J231^2)+'CAFCO 400 '!$H$14*J231+'CAFCO 400 '!$H$15)*I231)+('CAFCO 400 '!$H$16*(J231^2)+'CAFCO 400 '!$H$17*J231+'CAFCO 400 '!$H$18)),0),0),0))+(IF(L231="Cafco 400",IF(M231="Idiem software",IF(C231="Cj",(((('CAFCO 400 '!$D$7*LN(J231)+'CAFCO 400 '!$D$8)*I231^2)+(('CAFCO 400 '!$D$9*LN(J231)+'CAFCO 400 '!$D$10)*I231)+('CAFCO 400 '!$D$11*LN(J231)+'CAFCO 400 '!$D$12))),0),0),0))+(IF(L231="Cafco 400",IF(M231="Idiem software",IF(C231="C",((('CAFCO 400 '!$L$7*(J231^3)+'CAFCO 400 '!$L$8*(J231^2)+'CAFCO 400 '!$L$9*J231+'CAFCO 400 '!$L$10)*I231^2)+(('CAFCO 400 '!$L$11*(J231^3)+'CAFCO 400 '!$L$12*(J231^2)+'CAFCO 400 '!$L$13*J231+'CAFCO 400 '!$L$14)*I231)+('CAFCO 400 '!$L$15*LN(J231)+'CAFCO 400 '!$L$16)),0),0),0))+(IF(L231="Cafco 400",IF(M231="Idiem software",IF(AND(C231="IN",G231=3),((('CAFCO 400 '!$D$23*(J231^2)+'CAFCO 400 '!$D$24*(J231)+'CAFCO 400 '!$D$25)*I231^2)+(('CAFCO 400 '!$D$26*(J231^2)+'CAFCO 400 '!$D$27*J231+'CAFCO 400 '!$D$28)*I231)+('CAFCO 400 '!$D$29*(J231^2)+'CAFCO 400 '!$D$30*J231+'CAFCO 400 '!$D$31)),0),0),0)),0)</f>
        <v>0</v>
      </c>
      <c r="R231" s="47">
        <f t="shared" si="26"/>
        <v>0</v>
      </c>
      <c r="S231" s="82">
        <f t="shared" si="23"/>
        <v>0</v>
      </c>
      <c r="T231" s="81">
        <f>+IF(AND(J231&gt;=95,J231&lt;=240),IF(AND(C231="Cj",I231=90),VLOOKUP(W231,'CAFCO 300 IDIEM TABLAS'!$B$4:$D$23,2,FALSE),0)+IF(AND(J231&gt;=95,J231&lt;=240),IF(AND(C231="Cj",I231=120),VLOOKUP(W231,'CAFCO 300 IDIEM TABLAS'!$B$4:$D$23,3,FALSE),0))+IF(AND(J231&gt;=95,J231&lt;=400,G231=3),IF(AND(C231="IN",I231=90),VLOOKUP(W231,'CAFCO 300 IDIEM TABLAS'!$F$4:$H$35,2,FALSE),0),0)+IF(AND(J231&gt;=95,J231&lt;=400,G231=3),IF(AND(C231="IN",I231=120),VLOOKUP(W231,'CAFCO 300 IDIEM TABLAS'!$F$4:$H$35,3,FALSE),0),0)+IF(AND(J231&gt;=95,J231&lt;=450,G231=4),IF(AND(C231="IN",I231=90),VLOOKUP(W231,'CAFCO 300 IDIEM TABLAS'!$J$4:$L$40,2,FALSE),0),0)+IF(AND(J231&gt;=95,J231&lt;=450,G231=4),IF(AND(C231="IN",I231=120),VLOOKUP(W231,'CAFCO 300 IDIEM TABLAS'!$J$4:$L$40,3,FALSE),0),0))</f>
        <v>17</v>
      </c>
      <c r="U231" s="48">
        <f t="shared" si="27"/>
        <v>2.354988286264442</v>
      </c>
      <c r="V231" s="82">
        <f t="shared" si="24"/>
        <v>35357.794129974332</v>
      </c>
      <c r="W231" s="64">
        <f>+IF(J231=LOOKUP(J231,'CAFCO 300 IDIEM TABLAS'!$J$4:$J$40),'HOJA DE CÁLCULO RESPALDO'!J231,MROUND('HOJA DE CÁLCULO RESPALDO'!J231,10))</f>
        <v>95</v>
      </c>
      <c r="X231" s="36"/>
      <c r="Y231" s="4"/>
    </row>
    <row r="232" spans="1:25" ht="15.6" customHeight="1" x14ac:dyDescent="0.25">
      <c r="A232" s="2" t="s">
        <v>42</v>
      </c>
      <c r="B232" s="3" t="s">
        <v>17</v>
      </c>
      <c r="C232" s="3" t="s">
        <v>19</v>
      </c>
      <c r="D232" s="3">
        <v>1</v>
      </c>
      <c r="E232" s="2">
        <v>1</v>
      </c>
      <c r="F232" s="8">
        <v>103000</v>
      </c>
      <c r="G232" s="1">
        <v>4</v>
      </c>
      <c r="H232" s="2">
        <v>1190</v>
      </c>
      <c r="I232" s="34">
        <v>90</v>
      </c>
      <c r="J232" s="11">
        <v>95</v>
      </c>
      <c r="K232" s="44">
        <f t="shared" si="21"/>
        <v>122.57</v>
      </c>
      <c r="L232" s="3" t="s">
        <v>61</v>
      </c>
      <c r="M232" s="3" t="s">
        <v>70</v>
      </c>
      <c r="N232" s="15">
        <f>ROUND((IF(L232="Blaze Shield II",IF(M232="Idiem software",IF(AND(C232="IN",G232=4),((('BLAZE SHIELD II'!$D$4*('HOJA DE CÁLCULO RESPALDO'!I232^2)+'BLAZE SHIELD II'!$D$5*'HOJA DE CÁLCULO RESPALDO'!I232+'BLAZE SHIELD II'!$D$6)*LN(J232))+('BLAZE SHIELD II'!$D$7*('HOJA DE CÁLCULO RESPALDO'!I232^2)+'BLAZE SHIELD II'!$D$8*'HOJA DE CÁLCULO RESPALDO'!I232+'BLAZE SHIELD II'!$D$9)),0),0),0))+(IF(L232="Blaze Shield II",IF(M232="Idiem software",IF(C232="Cj",((('BLAZE SHIELD II'!$H$4*('HOJA DE CÁLCULO RESPALDO'!I232^2)+'BLAZE SHIELD II'!$H$5*'HOJA DE CÁLCULO RESPALDO'!I232+'BLAZE SHIELD II'!$H$6)*LN(J232))+('BLAZE SHIELD II'!$H$7*('HOJA DE CÁLCULO RESPALDO'!I232^2)+'BLAZE SHIELD II'!$H$8*'HOJA DE CÁLCULO RESPALDO'!I232+'BLAZE SHIELD II'!$H$9)),0),0),0))+(IF(L232="Blaze Shield II",IF(M232="Idiem software",IF(C232="C",((('BLAZE SHIELD II'!$L$4*('HOJA DE CÁLCULO RESPALDO'!I232^2)+'BLAZE SHIELD II'!$L$5*'HOJA DE CÁLCULO RESPALDO'!I232+'BLAZE SHIELD II'!$L$6)*LN(J232))+('BLAZE SHIELD II'!$L$7*('HOJA DE CÁLCULO RESPALDO'!I232^2)+'BLAZE SHIELD II'!$L$8*'HOJA DE CÁLCULO RESPALDO'!I232+'BLAZE SHIELD II'!$L$9)),0),0),0))+(IF(L232="Blaze Shield II",IF(M232="Idiem software",IF(AND(C232="IN",G232=3),((('BLAZE SHIELD II'!$H$14*('HOJA DE CÁLCULO RESPALDO'!I232^2)+'BLAZE SHIELD II'!$H$15*'HOJA DE CÁLCULO RESPALDO'!I232+'BLAZE SHIELD II'!$H$16)*LN(J232))+('BLAZE SHIELD II'!$H$17*('HOJA DE CÁLCULO RESPALDO'!I232^2)+'BLAZE SHIELD II'!$H$18*'HOJA DE CÁLCULO RESPALDO'!I232+'BLAZE SHIELD II'!$H$19)),0),0),0)),0)</f>
        <v>0</v>
      </c>
      <c r="O232" s="46">
        <f t="shared" si="25"/>
        <v>0</v>
      </c>
      <c r="P232" s="80">
        <f t="shared" si="22"/>
        <v>0</v>
      </c>
      <c r="Q232" s="85">
        <f>ROUND((IF(L232="Cafco 400",IF(M232="Idiem software",IF(AND(C232="IN",G232=4),((('CAFCO 400 '!$H$7*(J232^4)+'CAFCO 400 '!$H$8*(J232^3)+'CAFCO 400 '!$H$9*(J232^2)+'CAFCO 400 '!$H$10*J232+'CAFCO 400 '!$H$11)*I232^2)+(('CAFCO 400 '!$H$12*(J232^3)+'CAFCO 400 '!$H$13*(J232^2)+'CAFCO 400 '!$H$14*J232+'CAFCO 400 '!$H$15)*I232)+('CAFCO 400 '!$H$16*(J232^2)+'CAFCO 400 '!$H$17*J232+'CAFCO 400 '!$H$18)),0),0),0))+(IF(L232="Cafco 400",IF(M232="Idiem software",IF(C232="Cj",(((('CAFCO 400 '!$D$7*LN(J232)+'CAFCO 400 '!$D$8)*I232^2)+(('CAFCO 400 '!$D$9*LN(J232)+'CAFCO 400 '!$D$10)*I232)+('CAFCO 400 '!$D$11*LN(J232)+'CAFCO 400 '!$D$12))),0),0),0))+(IF(L232="Cafco 400",IF(M232="Idiem software",IF(C232="C",((('CAFCO 400 '!$L$7*(J232^3)+'CAFCO 400 '!$L$8*(J232^2)+'CAFCO 400 '!$L$9*J232+'CAFCO 400 '!$L$10)*I232^2)+(('CAFCO 400 '!$L$11*(J232^3)+'CAFCO 400 '!$L$12*(J232^2)+'CAFCO 400 '!$L$13*J232+'CAFCO 400 '!$L$14)*I232)+('CAFCO 400 '!$L$15*LN(J232)+'CAFCO 400 '!$L$16)),0),0),0))+(IF(L232="Cafco 400",IF(M232="Idiem software",IF(AND(C232="IN",G232=3),((('CAFCO 400 '!$D$23*(J232^2)+'CAFCO 400 '!$D$24*(J232)+'CAFCO 400 '!$D$25)*I232^2)+(('CAFCO 400 '!$D$26*(J232^2)+'CAFCO 400 '!$D$27*J232+'CAFCO 400 '!$D$28)*I232)+('CAFCO 400 '!$D$29*(J232^2)+'CAFCO 400 '!$D$30*J232+'CAFCO 400 '!$D$31)),0),0),0)),0)</f>
        <v>0</v>
      </c>
      <c r="R232" s="47">
        <f t="shared" si="26"/>
        <v>0</v>
      </c>
      <c r="S232" s="82">
        <f t="shared" si="23"/>
        <v>0</v>
      </c>
      <c r="T232" s="81">
        <f>+IF(AND(J232&gt;=95,J232&lt;=240),IF(AND(C232="Cj",I232=90),VLOOKUP(W232,'CAFCO 300 IDIEM TABLAS'!$B$4:$D$23,2,FALSE),0)+IF(AND(J232&gt;=95,J232&lt;=240),IF(AND(C232="Cj",I232=120),VLOOKUP(W232,'CAFCO 300 IDIEM TABLAS'!$B$4:$D$23,3,FALSE),0))+IF(AND(J232&gt;=95,J232&lt;=400,G232=3),IF(AND(C232="IN",I232=90),VLOOKUP(W232,'CAFCO 300 IDIEM TABLAS'!$F$4:$H$35,2,FALSE),0),0)+IF(AND(J232&gt;=95,J232&lt;=400,G232=3),IF(AND(C232="IN",I232=120),VLOOKUP(W232,'CAFCO 300 IDIEM TABLAS'!$F$4:$H$35,3,FALSE),0),0)+IF(AND(J232&gt;=95,J232&lt;=450,G232=4),IF(AND(C232="IN",I232=90),VLOOKUP(W232,'CAFCO 300 IDIEM TABLAS'!$J$4:$L$40,2,FALSE),0),0)+IF(AND(J232&gt;=95,J232&lt;=450,G232=4),IF(AND(C232="IN",I232=120),VLOOKUP(W232,'CAFCO 300 IDIEM TABLAS'!$J$4:$L$40,3,FALSE),0),0))</f>
        <v>17</v>
      </c>
      <c r="U232" s="48">
        <f t="shared" si="27"/>
        <v>28.754387034659821</v>
      </c>
      <c r="V232" s="82">
        <f t="shared" si="24"/>
        <v>431718.36693838256</v>
      </c>
      <c r="W232" s="64">
        <f>+IF(J232=LOOKUP(J232,'CAFCO 300 IDIEM TABLAS'!$J$4:$J$40),'HOJA DE CÁLCULO RESPALDO'!J232,MROUND('HOJA DE CÁLCULO RESPALDO'!J232,10))</f>
        <v>95</v>
      </c>
      <c r="X232" s="36"/>
      <c r="Y232" s="4"/>
    </row>
    <row r="233" spans="1:25" x14ac:dyDescent="0.25">
      <c r="A233" s="2" t="s">
        <v>43</v>
      </c>
      <c r="B233" s="3" t="s">
        <v>17</v>
      </c>
      <c r="C233" s="3" t="s">
        <v>19</v>
      </c>
      <c r="D233" s="3">
        <v>1</v>
      </c>
      <c r="E233" s="2">
        <v>1</v>
      </c>
      <c r="F233" s="8">
        <v>12750</v>
      </c>
      <c r="G233" s="1">
        <v>4</v>
      </c>
      <c r="H233" s="2">
        <v>1181</v>
      </c>
      <c r="I233" s="34">
        <v>90</v>
      </c>
      <c r="J233" s="11">
        <v>95</v>
      </c>
      <c r="K233" s="44">
        <f t="shared" si="21"/>
        <v>15.05775</v>
      </c>
      <c r="L233" s="3" t="s">
        <v>61</v>
      </c>
      <c r="M233" s="3" t="s">
        <v>70</v>
      </c>
      <c r="N233" s="15">
        <f>ROUND((IF(L233="Blaze Shield II",IF(M233="Idiem software",IF(AND(C233="IN",G233=4),((('BLAZE SHIELD II'!$D$4*('HOJA DE CÁLCULO RESPALDO'!I233^2)+'BLAZE SHIELD II'!$D$5*'HOJA DE CÁLCULO RESPALDO'!I233+'BLAZE SHIELD II'!$D$6)*LN(J233))+('BLAZE SHIELD II'!$D$7*('HOJA DE CÁLCULO RESPALDO'!I233^2)+'BLAZE SHIELD II'!$D$8*'HOJA DE CÁLCULO RESPALDO'!I233+'BLAZE SHIELD II'!$D$9)),0),0),0))+(IF(L233="Blaze Shield II",IF(M233="Idiem software",IF(C233="Cj",((('BLAZE SHIELD II'!$H$4*('HOJA DE CÁLCULO RESPALDO'!I233^2)+'BLAZE SHIELD II'!$H$5*'HOJA DE CÁLCULO RESPALDO'!I233+'BLAZE SHIELD II'!$H$6)*LN(J233))+('BLAZE SHIELD II'!$H$7*('HOJA DE CÁLCULO RESPALDO'!I233^2)+'BLAZE SHIELD II'!$H$8*'HOJA DE CÁLCULO RESPALDO'!I233+'BLAZE SHIELD II'!$H$9)),0),0),0))+(IF(L233="Blaze Shield II",IF(M233="Idiem software",IF(C233="C",((('BLAZE SHIELD II'!$L$4*('HOJA DE CÁLCULO RESPALDO'!I233^2)+'BLAZE SHIELD II'!$L$5*'HOJA DE CÁLCULO RESPALDO'!I233+'BLAZE SHIELD II'!$L$6)*LN(J233))+('BLAZE SHIELD II'!$L$7*('HOJA DE CÁLCULO RESPALDO'!I233^2)+'BLAZE SHIELD II'!$L$8*'HOJA DE CÁLCULO RESPALDO'!I233+'BLAZE SHIELD II'!$L$9)),0),0),0))+(IF(L233="Blaze Shield II",IF(M233="Idiem software",IF(AND(C233="IN",G233=3),((('BLAZE SHIELD II'!$H$14*('HOJA DE CÁLCULO RESPALDO'!I233^2)+'BLAZE SHIELD II'!$H$15*'HOJA DE CÁLCULO RESPALDO'!I233+'BLAZE SHIELD II'!$H$16)*LN(J233))+('BLAZE SHIELD II'!$H$17*('HOJA DE CÁLCULO RESPALDO'!I233^2)+'BLAZE SHIELD II'!$H$18*'HOJA DE CÁLCULO RESPALDO'!I233+'BLAZE SHIELD II'!$H$19)),0),0),0)),0)</f>
        <v>0</v>
      </c>
      <c r="O233" s="46">
        <f t="shared" si="25"/>
        <v>0</v>
      </c>
      <c r="P233" s="80">
        <f t="shared" si="22"/>
        <v>0</v>
      </c>
      <c r="Q233" s="85">
        <f>ROUND((IF(L233="Cafco 400",IF(M233="Idiem software",IF(AND(C233="IN",G233=4),((('CAFCO 400 '!$H$7*(J233^4)+'CAFCO 400 '!$H$8*(J233^3)+'CAFCO 400 '!$H$9*(J233^2)+'CAFCO 400 '!$H$10*J233+'CAFCO 400 '!$H$11)*I233^2)+(('CAFCO 400 '!$H$12*(J233^3)+'CAFCO 400 '!$H$13*(J233^2)+'CAFCO 400 '!$H$14*J233+'CAFCO 400 '!$H$15)*I233)+('CAFCO 400 '!$H$16*(J233^2)+'CAFCO 400 '!$H$17*J233+'CAFCO 400 '!$H$18)),0),0),0))+(IF(L233="Cafco 400",IF(M233="Idiem software",IF(C233="Cj",(((('CAFCO 400 '!$D$7*LN(J233)+'CAFCO 400 '!$D$8)*I233^2)+(('CAFCO 400 '!$D$9*LN(J233)+'CAFCO 400 '!$D$10)*I233)+('CAFCO 400 '!$D$11*LN(J233)+'CAFCO 400 '!$D$12))),0),0),0))+(IF(L233="Cafco 400",IF(M233="Idiem software",IF(C233="C",((('CAFCO 400 '!$L$7*(J233^3)+'CAFCO 400 '!$L$8*(J233^2)+'CAFCO 400 '!$L$9*J233+'CAFCO 400 '!$L$10)*I233^2)+(('CAFCO 400 '!$L$11*(J233^3)+'CAFCO 400 '!$L$12*(J233^2)+'CAFCO 400 '!$L$13*J233+'CAFCO 400 '!$L$14)*I233)+('CAFCO 400 '!$L$15*LN(J233)+'CAFCO 400 '!$L$16)),0),0),0))+(IF(L233="Cafco 400",IF(M233="Idiem software",IF(AND(C233="IN",G233=3),((('CAFCO 400 '!$D$23*(J233^2)+'CAFCO 400 '!$D$24*(J233)+'CAFCO 400 '!$D$25)*I233^2)+(('CAFCO 400 '!$D$26*(J233^2)+'CAFCO 400 '!$D$27*J233+'CAFCO 400 '!$D$28)*I233)+('CAFCO 400 '!$D$29*(J233^2)+'CAFCO 400 '!$D$30*J233+'CAFCO 400 '!$D$31)),0),0),0)),0)</f>
        <v>0</v>
      </c>
      <c r="R233" s="47">
        <f t="shared" si="26"/>
        <v>0</v>
      </c>
      <c r="S233" s="82">
        <f t="shared" si="23"/>
        <v>0</v>
      </c>
      <c r="T233" s="81">
        <f>+IF(AND(J233&gt;=95,J233&lt;=240),IF(AND(C233="Cj",I233=90),VLOOKUP(W233,'CAFCO 300 IDIEM TABLAS'!$B$4:$D$23,2,FALSE),0)+IF(AND(J233&gt;=95,J233&lt;=240),IF(AND(C233="Cj",I233=120),VLOOKUP(W233,'CAFCO 300 IDIEM TABLAS'!$B$4:$D$23,3,FALSE),0))+IF(AND(J233&gt;=95,J233&lt;=400,G233=3),IF(AND(C233="IN",I233=90),VLOOKUP(W233,'CAFCO 300 IDIEM TABLAS'!$F$4:$H$35,2,FALSE),0),0)+IF(AND(J233&gt;=95,J233&lt;=400,G233=3),IF(AND(C233="IN",I233=120),VLOOKUP(W233,'CAFCO 300 IDIEM TABLAS'!$F$4:$H$35,3,FALSE),0),0)+IF(AND(J233&gt;=95,J233&lt;=450,G233=4),IF(AND(C233="IN",I233=90),VLOOKUP(W233,'CAFCO 300 IDIEM TABLAS'!$J$4:$L$40,2,FALSE),0),0)+IF(AND(J233&gt;=95,J233&lt;=450,G233=4),IF(AND(C233="IN",I233=120),VLOOKUP(W233,'CAFCO 300 IDIEM TABLAS'!$J$4:$L$40,3,FALSE),0),0))</f>
        <v>17</v>
      </c>
      <c r="U233" s="48">
        <f t="shared" si="27"/>
        <v>3.5324824293966626</v>
      </c>
      <c r="V233" s="82">
        <f t="shared" si="24"/>
        <v>53036.691194961495</v>
      </c>
      <c r="W233" s="64">
        <f>+IF(J233=LOOKUP(J233,'CAFCO 300 IDIEM TABLAS'!$J$4:$J$40),'HOJA DE CÁLCULO RESPALDO'!J233,MROUND('HOJA DE CÁLCULO RESPALDO'!J233,10))</f>
        <v>95</v>
      </c>
      <c r="X233" s="36"/>
      <c r="Y233" s="4"/>
    </row>
    <row r="234" spans="1:25" ht="15.6" customHeight="1" x14ac:dyDescent="0.25">
      <c r="A234" s="2" t="s">
        <v>45</v>
      </c>
      <c r="B234" s="3" t="s">
        <v>17</v>
      </c>
      <c r="C234" s="3" t="s">
        <v>19</v>
      </c>
      <c r="D234" s="3">
        <v>1</v>
      </c>
      <c r="E234" s="2">
        <v>1</v>
      </c>
      <c r="F234" s="8">
        <v>17500</v>
      </c>
      <c r="G234" s="1">
        <v>4</v>
      </c>
      <c r="H234" s="2">
        <v>1692</v>
      </c>
      <c r="I234" s="34">
        <v>90</v>
      </c>
      <c r="J234" s="11">
        <v>95</v>
      </c>
      <c r="K234" s="44">
        <f t="shared" si="21"/>
        <v>29.61</v>
      </c>
      <c r="L234" s="3" t="s">
        <v>61</v>
      </c>
      <c r="M234" s="3" t="s">
        <v>70</v>
      </c>
      <c r="N234" s="15">
        <f>ROUND((IF(L234="Blaze Shield II",IF(M234="Idiem software",IF(AND(C234="IN",G234=4),((('BLAZE SHIELD II'!$D$4*('HOJA DE CÁLCULO RESPALDO'!I234^2)+'BLAZE SHIELD II'!$D$5*'HOJA DE CÁLCULO RESPALDO'!I234+'BLAZE SHIELD II'!$D$6)*LN(J234))+('BLAZE SHIELD II'!$D$7*('HOJA DE CÁLCULO RESPALDO'!I234^2)+'BLAZE SHIELD II'!$D$8*'HOJA DE CÁLCULO RESPALDO'!I234+'BLAZE SHIELD II'!$D$9)),0),0),0))+(IF(L234="Blaze Shield II",IF(M234="Idiem software",IF(C234="Cj",((('BLAZE SHIELD II'!$H$4*('HOJA DE CÁLCULO RESPALDO'!I234^2)+'BLAZE SHIELD II'!$H$5*'HOJA DE CÁLCULO RESPALDO'!I234+'BLAZE SHIELD II'!$H$6)*LN(J234))+('BLAZE SHIELD II'!$H$7*('HOJA DE CÁLCULO RESPALDO'!I234^2)+'BLAZE SHIELD II'!$H$8*'HOJA DE CÁLCULO RESPALDO'!I234+'BLAZE SHIELD II'!$H$9)),0),0),0))+(IF(L234="Blaze Shield II",IF(M234="Idiem software",IF(C234="C",((('BLAZE SHIELD II'!$L$4*('HOJA DE CÁLCULO RESPALDO'!I234^2)+'BLAZE SHIELD II'!$L$5*'HOJA DE CÁLCULO RESPALDO'!I234+'BLAZE SHIELD II'!$L$6)*LN(J234))+('BLAZE SHIELD II'!$L$7*('HOJA DE CÁLCULO RESPALDO'!I234^2)+'BLAZE SHIELD II'!$L$8*'HOJA DE CÁLCULO RESPALDO'!I234+'BLAZE SHIELD II'!$L$9)),0),0),0))+(IF(L234="Blaze Shield II",IF(M234="Idiem software",IF(AND(C234="IN",G234=3),((('BLAZE SHIELD II'!$H$14*('HOJA DE CÁLCULO RESPALDO'!I234^2)+'BLAZE SHIELD II'!$H$15*'HOJA DE CÁLCULO RESPALDO'!I234+'BLAZE SHIELD II'!$H$16)*LN(J234))+('BLAZE SHIELD II'!$H$17*('HOJA DE CÁLCULO RESPALDO'!I234^2)+'BLAZE SHIELD II'!$H$18*'HOJA DE CÁLCULO RESPALDO'!I234+'BLAZE SHIELD II'!$H$19)),0),0),0)),0)</f>
        <v>0</v>
      </c>
      <c r="O234" s="46">
        <f t="shared" si="25"/>
        <v>0</v>
      </c>
      <c r="P234" s="80">
        <f t="shared" si="22"/>
        <v>0</v>
      </c>
      <c r="Q234" s="85">
        <f>ROUND((IF(L234="Cafco 400",IF(M234="Idiem software",IF(AND(C234="IN",G234=4),((('CAFCO 400 '!$H$7*(J234^4)+'CAFCO 400 '!$H$8*(J234^3)+'CAFCO 400 '!$H$9*(J234^2)+'CAFCO 400 '!$H$10*J234+'CAFCO 400 '!$H$11)*I234^2)+(('CAFCO 400 '!$H$12*(J234^3)+'CAFCO 400 '!$H$13*(J234^2)+'CAFCO 400 '!$H$14*J234+'CAFCO 400 '!$H$15)*I234)+('CAFCO 400 '!$H$16*(J234^2)+'CAFCO 400 '!$H$17*J234+'CAFCO 400 '!$H$18)),0),0),0))+(IF(L234="Cafco 400",IF(M234="Idiem software",IF(C234="Cj",(((('CAFCO 400 '!$D$7*LN(J234)+'CAFCO 400 '!$D$8)*I234^2)+(('CAFCO 400 '!$D$9*LN(J234)+'CAFCO 400 '!$D$10)*I234)+('CAFCO 400 '!$D$11*LN(J234)+'CAFCO 400 '!$D$12))),0),0),0))+(IF(L234="Cafco 400",IF(M234="Idiem software",IF(C234="C",((('CAFCO 400 '!$L$7*(J234^3)+'CAFCO 400 '!$L$8*(J234^2)+'CAFCO 400 '!$L$9*J234+'CAFCO 400 '!$L$10)*I234^2)+(('CAFCO 400 '!$L$11*(J234^3)+'CAFCO 400 '!$L$12*(J234^2)+'CAFCO 400 '!$L$13*J234+'CAFCO 400 '!$L$14)*I234)+('CAFCO 400 '!$L$15*LN(J234)+'CAFCO 400 '!$L$16)),0),0),0))+(IF(L234="Cafco 400",IF(M234="Idiem software",IF(AND(C234="IN",G234=3),((('CAFCO 400 '!$D$23*(J234^2)+'CAFCO 400 '!$D$24*(J234)+'CAFCO 400 '!$D$25)*I234^2)+(('CAFCO 400 '!$D$26*(J234^2)+'CAFCO 400 '!$D$27*J234+'CAFCO 400 '!$D$28)*I234)+('CAFCO 400 '!$D$29*(J234^2)+'CAFCO 400 '!$D$30*J234+'CAFCO 400 '!$D$31)),0),0),0)),0)</f>
        <v>0</v>
      </c>
      <c r="R234" s="47">
        <f t="shared" si="26"/>
        <v>0</v>
      </c>
      <c r="S234" s="82">
        <f t="shared" si="23"/>
        <v>0</v>
      </c>
      <c r="T234" s="81">
        <f>+IF(AND(J234&gt;=95,J234&lt;=240),IF(AND(C234="Cj",I234=90),VLOOKUP(W234,'CAFCO 300 IDIEM TABLAS'!$B$4:$D$23,2,FALSE),0)+IF(AND(J234&gt;=95,J234&lt;=240),IF(AND(C234="Cj",I234=120),VLOOKUP(W234,'CAFCO 300 IDIEM TABLAS'!$B$4:$D$23,3,FALSE),0))+IF(AND(J234&gt;=95,J234&lt;=400,G234=3),IF(AND(C234="IN",I234=90),VLOOKUP(W234,'CAFCO 300 IDIEM TABLAS'!$F$4:$H$35,2,FALSE),0),0)+IF(AND(J234&gt;=95,J234&lt;=400,G234=3),IF(AND(C234="IN",I234=120),VLOOKUP(W234,'CAFCO 300 IDIEM TABLAS'!$F$4:$H$35,3,FALSE),0),0)+IF(AND(J234&gt;=95,J234&lt;=450,G234=4),IF(AND(C234="IN",I234=90),VLOOKUP(W234,'CAFCO 300 IDIEM TABLAS'!$J$4:$L$40,2,FALSE),0),0)+IF(AND(J234&gt;=95,J234&lt;=450,G234=4),IF(AND(C234="IN",I234=120),VLOOKUP(W234,'CAFCO 300 IDIEM TABLAS'!$J$4:$L$40,3,FALSE),0),0))</f>
        <v>17</v>
      </c>
      <c r="U234" s="48">
        <f t="shared" si="27"/>
        <v>6.94637676508344</v>
      </c>
      <c r="V234" s="82">
        <f t="shared" si="24"/>
        <v>104292.90075096277</v>
      </c>
      <c r="W234" s="64">
        <f>+IF(J234=LOOKUP(J234,'CAFCO 300 IDIEM TABLAS'!$J$4:$J$40),'HOJA DE CÁLCULO RESPALDO'!J234,MROUND('HOJA DE CÁLCULO RESPALDO'!J234,10))</f>
        <v>95</v>
      </c>
      <c r="X234" s="36"/>
      <c r="Y234" s="4"/>
    </row>
    <row r="235" spans="1:25" x14ac:dyDescent="0.25">
      <c r="A235" s="2" t="s">
        <v>45</v>
      </c>
      <c r="B235" s="3" t="s">
        <v>17</v>
      </c>
      <c r="C235" s="3" t="s">
        <v>19</v>
      </c>
      <c r="D235" s="3">
        <v>1</v>
      </c>
      <c r="E235" s="2">
        <v>1</v>
      </c>
      <c r="F235" s="8">
        <v>8500</v>
      </c>
      <c r="G235" s="1">
        <v>4</v>
      </c>
      <c r="H235" s="2">
        <v>1502</v>
      </c>
      <c r="I235" s="34">
        <v>90</v>
      </c>
      <c r="J235" s="11">
        <v>95</v>
      </c>
      <c r="K235" s="44">
        <f t="shared" si="21"/>
        <v>12.766999999999999</v>
      </c>
      <c r="L235" s="3" t="s">
        <v>61</v>
      </c>
      <c r="M235" s="3" t="s">
        <v>70</v>
      </c>
      <c r="N235" s="15">
        <f>ROUND((IF(L235="Blaze Shield II",IF(M235="Idiem software",IF(AND(C235="IN",G235=4),((('BLAZE SHIELD II'!$D$4*('HOJA DE CÁLCULO RESPALDO'!I235^2)+'BLAZE SHIELD II'!$D$5*'HOJA DE CÁLCULO RESPALDO'!I235+'BLAZE SHIELD II'!$D$6)*LN(J235))+('BLAZE SHIELD II'!$D$7*('HOJA DE CÁLCULO RESPALDO'!I235^2)+'BLAZE SHIELD II'!$D$8*'HOJA DE CÁLCULO RESPALDO'!I235+'BLAZE SHIELD II'!$D$9)),0),0),0))+(IF(L235="Blaze Shield II",IF(M235="Idiem software",IF(C235="Cj",((('BLAZE SHIELD II'!$H$4*('HOJA DE CÁLCULO RESPALDO'!I235^2)+'BLAZE SHIELD II'!$H$5*'HOJA DE CÁLCULO RESPALDO'!I235+'BLAZE SHIELD II'!$H$6)*LN(J235))+('BLAZE SHIELD II'!$H$7*('HOJA DE CÁLCULO RESPALDO'!I235^2)+'BLAZE SHIELD II'!$H$8*'HOJA DE CÁLCULO RESPALDO'!I235+'BLAZE SHIELD II'!$H$9)),0),0),0))+(IF(L235="Blaze Shield II",IF(M235="Idiem software",IF(C235="C",((('BLAZE SHIELD II'!$L$4*('HOJA DE CÁLCULO RESPALDO'!I235^2)+'BLAZE SHIELD II'!$L$5*'HOJA DE CÁLCULO RESPALDO'!I235+'BLAZE SHIELD II'!$L$6)*LN(J235))+('BLAZE SHIELD II'!$L$7*('HOJA DE CÁLCULO RESPALDO'!I235^2)+'BLAZE SHIELD II'!$L$8*'HOJA DE CÁLCULO RESPALDO'!I235+'BLAZE SHIELD II'!$L$9)),0),0),0))+(IF(L235="Blaze Shield II",IF(M235="Idiem software",IF(AND(C235="IN",G235=3),((('BLAZE SHIELD II'!$H$14*('HOJA DE CÁLCULO RESPALDO'!I235^2)+'BLAZE SHIELD II'!$H$15*'HOJA DE CÁLCULO RESPALDO'!I235+'BLAZE SHIELD II'!$H$16)*LN(J235))+('BLAZE SHIELD II'!$H$17*('HOJA DE CÁLCULO RESPALDO'!I235^2)+'BLAZE SHIELD II'!$H$18*'HOJA DE CÁLCULO RESPALDO'!I235+'BLAZE SHIELD II'!$H$19)),0),0),0)),0)</f>
        <v>0</v>
      </c>
      <c r="O235" s="46">
        <f t="shared" si="25"/>
        <v>0</v>
      </c>
      <c r="P235" s="80">
        <f t="shared" si="22"/>
        <v>0</v>
      </c>
      <c r="Q235" s="85">
        <f>ROUND((IF(L235="Cafco 400",IF(M235="Idiem software",IF(AND(C235="IN",G235=4),((('CAFCO 400 '!$H$7*(J235^4)+'CAFCO 400 '!$H$8*(J235^3)+'CAFCO 400 '!$H$9*(J235^2)+'CAFCO 400 '!$H$10*J235+'CAFCO 400 '!$H$11)*I235^2)+(('CAFCO 400 '!$H$12*(J235^3)+'CAFCO 400 '!$H$13*(J235^2)+'CAFCO 400 '!$H$14*J235+'CAFCO 400 '!$H$15)*I235)+('CAFCO 400 '!$H$16*(J235^2)+'CAFCO 400 '!$H$17*J235+'CAFCO 400 '!$H$18)),0),0),0))+(IF(L235="Cafco 400",IF(M235="Idiem software",IF(C235="Cj",(((('CAFCO 400 '!$D$7*LN(J235)+'CAFCO 400 '!$D$8)*I235^2)+(('CAFCO 400 '!$D$9*LN(J235)+'CAFCO 400 '!$D$10)*I235)+('CAFCO 400 '!$D$11*LN(J235)+'CAFCO 400 '!$D$12))),0),0),0))+(IF(L235="Cafco 400",IF(M235="Idiem software",IF(C235="C",((('CAFCO 400 '!$L$7*(J235^3)+'CAFCO 400 '!$L$8*(J235^2)+'CAFCO 400 '!$L$9*J235+'CAFCO 400 '!$L$10)*I235^2)+(('CAFCO 400 '!$L$11*(J235^3)+'CAFCO 400 '!$L$12*(J235^2)+'CAFCO 400 '!$L$13*J235+'CAFCO 400 '!$L$14)*I235)+('CAFCO 400 '!$L$15*LN(J235)+'CAFCO 400 '!$L$16)),0),0),0))+(IF(L235="Cafco 400",IF(M235="Idiem software",IF(AND(C235="IN",G235=3),((('CAFCO 400 '!$D$23*(J235^2)+'CAFCO 400 '!$D$24*(J235)+'CAFCO 400 '!$D$25)*I235^2)+(('CAFCO 400 '!$D$26*(J235^2)+'CAFCO 400 '!$D$27*J235+'CAFCO 400 '!$D$28)*I235)+('CAFCO 400 '!$D$29*(J235^2)+'CAFCO 400 '!$D$30*J235+'CAFCO 400 '!$D$31)),0),0),0)),0)</f>
        <v>0</v>
      </c>
      <c r="R235" s="47">
        <f t="shared" si="26"/>
        <v>0</v>
      </c>
      <c r="S235" s="82">
        <f t="shared" si="23"/>
        <v>0</v>
      </c>
      <c r="T235" s="81">
        <f>+IF(AND(J235&gt;=95,J235&lt;=240),IF(AND(C235="Cj",I235=90),VLOOKUP(W235,'CAFCO 300 IDIEM TABLAS'!$B$4:$D$23,2,FALSE),0)+IF(AND(J235&gt;=95,J235&lt;=240),IF(AND(C235="Cj",I235=120),VLOOKUP(W235,'CAFCO 300 IDIEM TABLAS'!$B$4:$D$23,3,FALSE),0))+IF(AND(J235&gt;=95,J235&lt;=400,G235=3),IF(AND(C235="IN",I235=90),VLOOKUP(W235,'CAFCO 300 IDIEM TABLAS'!$F$4:$H$35,2,FALSE),0),0)+IF(AND(J235&gt;=95,J235&lt;=400,G235=3),IF(AND(C235="IN",I235=120),VLOOKUP(W235,'CAFCO 300 IDIEM TABLAS'!$F$4:$H$35,3,FALSE),0),0)+IF(AND(J235&gt;=95,J235&lt;=450,G235=4),IF(AND(C235="IN",I235=90),VLOOKUP(W235,'CAFCO 300 IDIEM TABLAS'!$J$4:$L$40,2,FALSE),0),0)+IF(AND(J235&gt;=95,J235&lt;=450,G235=4),IF(AND(C235="IN",I235=120),VLOOKUP(W235,'CAFCO 300 IDIEM TABLAS'!$J$4:$L$40,3,FALSE),0),0))</f>
        <v>17</v>
      </c>
      <c r="U235" s="48">
        <f t="shared" si="27"/>
        <v>2.9950824775353015</v>
      </c>
      <c r="V235" s="82">
        <f t="shared" si="24"/>
        <v>44968.168317715019</v>
      </c>
      <c r="W235" s="64">
        <f>+IF(J235=LOOKUP(J235,'CAFCO 300 IDIEM TABLAS'!$J$4:$J$40),'HOJA DE CÁLCULO RESPALDO'!J235,MROUND('HOJA DE CÁLCULO RESPALDO'!J235,10))</f>
        <v>95</v>
      </c>
      <c r="X235" s="36"/>
      <c r="Y235" s="4"/>
    </row>
    <row r="236" spans="1:25" ht="15.6" customHeight="1" x14ac:dyDescent="0.25">
      <c r="A236" s="2" t="s">
        <v>45</v>
      </c>
      <c r="B236" s="3" t="s">
        <v>17</v>
      </c>
      <c r="C236" s="3" t="s">
        <v>19</v>
      </c>
      <c r="D236" s="3">
        <v>1</v>
      </c>
      <c r="E236" s="2">
        <v>1</v>
      </c>
      <c r="F236" s="8">
        <v>17500</v>
      </c>
      <c r="G236" s="1">
        <v>4</v>
      </c>
      <c r="H236" s="2">
        <v>1692</v>
      </c>
      <c r="I236" s="34">
        <v>90</v>
      </c>
      <c r="J236" s="11">
        <v>95</v>
      </c>
      <c r="K236" s="44">
        <f t="shared" si="21"/>
        <v>29.61</v>
      </c>
      <c r="L236" s="3" t="s">
        <v>61</v>
      </c>
      <c r="M236" s="3" t="s">
        <v>70</v>
      </c>
      <c r="N236" s="15">
        <f>ROUND((IF(L236="Blaze Shield II",IF(M236="Idiem software",IF(AND(C236="IN",G236=4),((('BLAZE SHIELD II'!$D$4*('HOJA DE CÁLCULO RESPALDO'!I236^2)+'BLAZE SHIELD II'!$D$5*'HOJA DE CÁLCULO RESPALDO'!I236+'BLAZE SHIELD II'!$D$6)*LN(J236))+('BLAZE SHIELD II'!$D$7*('HOJA DE CÁLCULO RESPALDO'!I236^2)+'BLAZE SHIELD II'!$D$8*'HOJA DE CÁLCULO RESPALDO'!I236+'BLAZE SHIELD II'!$D$9)),0),0),0))+(IF(L236="Blaze Shield II",IF(M236="Idiem software",IF(C236="Cj",((('BLAZE SHIELD II'!$H$4*('HOJA DE CÁLCULO RESPALDO'!I236^2)+'BLAZE SHIELD II'!$H$5*'HOJA DE CÁLCULO RESPALDO'!I236+'BLAZE SHIELD II'!$H$6)*LN(J236))+('BLAZE SHIELD II'!$H$7*('HOJA DE CÁLCULO RESPALDO'!I236^2)+'BLAZE SHIELD II'!$H$8*'HOJA DE CÁLCULO RESPALDO'!I236+'BLAZE SHIELD II'!$H$9)),0),0),0))+(IF(L236="Blaze Shield II",IF(M236="Idiem software",IF(C236="C",((('BLAZE SHIELD II'!$L$4*('HOJA DE CÁLCULO RESPALDO'!I236^2)+'BLAZE SHIELD II'!$L$5*'HOJA DE CÁLCULO RESPALDO'!I236+'BLAZE SHIELD II'!$L$6)*LN(J236))+('BLAZE SHIELD II'!$L$7*('HOJA DE CÁLCULO RESPALDO'!I236^2)+'BLAZE SHIELD II'!$L$8*'HOJA DE CÁLCULO RESPALDO'!I236+'BLAZE SHIELD II'!$L$9)),0),0),0))+(IF(L236="Blaze Shield II",IF(M236="Idiem software",IF(AND(C236="IN",G236=3),((('BLAZE SHIELD II'!$H$14*('HOJA DE CÁLCULO RESPALDO'!I236^2)+'BLAZE SHIELD II'!$H$15*'HOJA DE CÁLCULO RESPALDO'!I236+'BLAZE SHIELD II'!$H$16)*LN(J236))+('BLAZE SHIELD II'!$H$17*('HOJA DE CÁLCULO RESPALDO'!I236^2)+'BLAZE SHIELD II'!$H$18*'HOJA DE CÁLCULO RESPALDO'!I236+'BLAZE SHIELD II'!$H$19)),0),0),0)),0)</f>
        <v>0</v>
      </c>
      <c r="O236" s="46">
        <f t="shared" si="25"/>
        <v>0</v>
      </c>
      <c r="P236" s="80">
        <f t="shared" si="22"/>
        <v>0</v>
      </c>
      <c r="Q236" s="85">
        <f>ROUND((IF(L236="Cafco 400",IF(M236="Idiem software",IF(AND(C236="IN",G236=4),((('CAFCO 400 '!$H$7*(J236^4)+'CAFCO 400 '!$H$8*(J236^3)+'CAFCO 400 '!$H$9*(J236^2)+'CAFCO 400 '!$H$10*J236+'CAFCO 400 '!$H$11)*I236^2)+(('CAFCO 400 '!$H$12*(J236^3)+'CAFCO 400 '!$H$13*(J236^2)+'CAFCO 400 '!$H$14*J236+'CAFCO 400 '!$H$15)*I236)+('CAFCO 400 '!$H$16*(J236^2)+'CAFCO 400 '!$H$17*J236+'CAFCO 400 '!$H$18)),0),0),0))+(IF(L236="Cafco 400",IF(M236="Idiem software",IF(C236="Cj",(((('CAFCO 400 '!$D$7*LN(J236)+'CAFCO 400 '!$D$8)*I236^2)+(('CAFCO 400 '!$D$9*LN(J236)+'CAFCO 400 '!$D$10)*I236)+('CAFCO 400 '!$D$11*LN(J236)+'CAFCO 400 '!$D$12))),0),0),0))+(IF(L236="Cafco 400",IF(M236="Idiem software",IF(C236="C",((('CAFCO 400 '!$L$7*(J236^3)+'CAFCO 400 '!$L$8*(J236^2)+'CAFCO 400 '!$L$9*J236+'CAFCO 400 '!$L$10)*I236^2)+(('CAFCO 400 '!$L$11*(J236^3)+'CAFCO 400 '!$L$12*(J236^2)+'CAFCO 400 '!$L$13*J236+'CAFCO 400 '!$L$14)*I236)+('CAFCO 400 '!$L$15*LN(J236)+'CAFCO 400 '!$L$16)),0),0),0))+(IF(L236="Cafco 400",IF(M236="Idiem software",IF(AND(C236="IN",G236=3),((('CAFCO 400 '!$D$23*(J236^2)+'CAFCO 400 '!$D$24*(J236)+'CAFCO 400 '!$D$25)*I236^2)+(('CAFCO 400 '!$D$26*(J236^2)+'CAFCO 400 '!$D$27*J236+'CAFCO 400 '!$D$28)*I236)+('CAFCO 400 '!$D$29*(J236^2)+'CAFCO 400 '!$D$30*J236+'CAFCO 400 '!$D$31)),0),0),0)),0)</f>
        <v>0</v>
      </c>
      <c r="R236" s="47">
        <f t="shared" si="26"/>
        <v>0</v>
      </c>
      <c r="S236" s="82">
        <f t="shared" si="23"/>
        <v>0</v>
      </c>
      <c r="T236" s="81">
        <f>+IF(AND(J236&gt;=95,J236&lt;=240),IF(AND(C236="Cj",I236=90),VLOOKUP(W236,'CAFCO 300 IDIEM TABLAS'!$B$4:$D$23,2,FALSE),0)+IF(AND(J236&gt;=95,J236&lt;=240),IF(AND(C236="Cj",I236=120),VLOOKUP(W236,'CAFCO 300 IDIEM TABLAS'!$B$4:$D$23,3,FALSE),0))+IF(AND(J236&gt;=95,J236&lt;=400,G236=3),IF(AND(C236="IN",I236=90),VLOOKUP(W236,'CAFCO 300 IDIEM TABLAS'!$F$4:$H$35,2,FALSE),0),0)+IF(AND(J236&gt;=95,J236&lt;=400,G236=3),IF(AND(C236="IN",I236=120),VLOOKUP(W236,'CAFCO 300 IDIEM TABLAS'!$F$4:$H$35,3,FALSE),0),0)+IF(AND(J236&gt;=95,J236&lt;=450,G236=4),IF(AND(C236="IN",I236=90),VLOOKUP(W236,'CAFCO 300 IDIEM TABLAS'!$J$4:$L$40,2,FALSE),0),0)+IF(AND(J236&gt;=95,J236&lt;=450,G236=4),IF(AND(C236="IN",I236=120),VLOOKUP(W236,'CAFCO 300 IDIEM TABLAS'!$J$4:$L$40,3,FALSE),0),0))</f>
        <v>17</v>
      </c>
      <c r="U236" s="48">
        <f t="shared" si="27"/>
        <v>6.94637676508344</v>
      </c>
      <c r="V236" s="82">
        <f t="shared" si="24"/>
        <v>104292.90075096277</v>
      </c>
      <c r="W236" s="64">
        <f>+IF(J236=LOOKUP(J236,'CAFCO 300 IDIEM TABLAS'!$J$4:$J$40),'HOJA DE CÁLCULO RESPALDO'!J236,MROUND('HOJA DE CÁLCULO RESPALDO'!J236,10))</f>
        <v>95</v>
      </c>
      <c r="X236" s="36"/>
      <c r="Y236" s="4"/>
    </row>
    <row r="237" spans="1:25" x14ac:dyDescent="0.25">
      <c r="A237" s="2" t="s">
        <v>45</v>
      </c>
      <c r="B237" s="3" t="s">
        <v>17</v>
      </c>
      <c r="C237" s="3" t="s">
        <v>19</v>
      </c>
      <c r="D237" s="3">
        <v>1</v>
      </c>
      <c r="E237" s="2">
        <v>1</v>
      </c>
      <c r="F237" s="8">
        <v>8500</v>
      </c>
      <c r="G237" s="1">
        <v>4</v>
      </c>
      <c r="H237" s="2">
        <v>1692</v>
      </c>
      <c r="I237" s="34">
        <v>90</v>
      </c>
      <c r="J237" s="11">
        <v>95</v>
      </c>
      <c r="K237" s="44">
        <f t="shared" si="21"/>
        <v>14.382</v>
      </c>
      <c r="L237" s="3" t="s">
        <v>61</v>
      </c>
      <c r="M237" s="3" t="s">
        <v>70</v>
      </c>
      <c r="N237" s="15">
        <f>ROUND((IF(L237="Blaze Shield II",IF(M237="Idiem software",IF(AND(C237="IN",G237=4),((('BLAZE SHIELD II'!$D$4*('HOJA DE CÁLCULO RESPALDO'!I237^2)+'BLAZE SHIELD II'!$D$5*'HOJA DE CÁLCULO RESPALDO'!I237+'BLAZE SHIELD II'!$D$6)*LN(J237))+('BLAZE SHIELD II'!$D$7*('HOJA DE CÁLCULO RESPALDO'!I237^2)+'BLAZE SHIELD II'!$D$8*'HOJA DE CÁLCULO RESPALDO'!I237+'BLAZE SHIELD II'!$D$9)),0),0),0))+(IF(L237="Blaze Shield II",IF(M237="Idiem software",IF(C237="Cj",((('BLAZE SHIELD II'!$H$4*('HOJA DE CÁLCULO RESPALDO'!I237^2)+'BLAZE SHIELD II'!$H$5*'HOJA DE CÁLCULO RESPALDO'!I237+'BLAZE SHIELD II'!$H$6)*LN(J237))+('BLAZE SHIELD II'!$H$7*('HOJA DE CÁLCULO RESPALDO'!I237^2)+'BLAZE SHIELD II'!$H$8*'HOJA DE CÁLCULO RESPALDO'!I237+'BLAZE SHIELD II'!$H$9)),0),0),0))+(IF(L237="Blaze Shield II",IF(M237="Idiem software",IF(C237="C",((('BLAZE SHIELD II'!$L$4*('HOJA DE CÁLCULO RESPALDO'!I237^2)+'BLAZE SHIELD II'!$L$5*'HOJA DE CÁLCULO RESPALDO'!I237+'BLAZE SHIELD II'!$L$6)*LN(J237))+('BLAZE SHIELD II'!$L$7*('HOJA DE CÁLCULO RESPALDO'!I237^2)+'BLAZE SHIELD II'!$L$8*'HOJA DE CÁLCULO RESPALDO'!I237+'BLAZE SHIELD II'!$L$9)),0),0),0))+(IF(L237="Blaze Shield II",IF(M237="Idiem software",IF(AND(C237="IN",G237=3),((('BLAZE SHIELD II'!$H$14*('HOJA DE CÁLCULO RESPALDO'!I237^2)+'BLAZE SHIELD II'!$H$15*'HOJA DE CÁLCULO RESPALDO'!I237+'BLAZE SHIELD II'!$H$16)*LN(J237))+('BLAZE SHIELD II'!$H$17*('HOJA DE CÁLCULO RESPALDO'!I237^2)+'BLAZE SHIELD II'!$H$18*'HOJA DE CÁLCULO RESPALDO'!I237+'BLAZE SHIELD II'!$H$19)),0),0),0)),0)</f>
        <v>0</v>
      </c>
      <c r="O237" s="46">
        <f t="shared" si="25"/>
        <v>0</v>
      </c>
      <c r="P237" s="80">
        <f t="shared" si="22"/>
        <v>0</v>
      </c>
      <c r="Q237" s="85">
        <f>ROUND((IF(L237="Cafco 400",IF(M237="Idiem software",IF(AND(C237="IN",G237=4),((('CAFCO 400 '!$H$7*(J237^4)+'CAFCO 400 '!$H$8*(J237^3)+'CAFCO 400 '!$H$9*(J237^2)+'CAFCO 400 '!$H$10*J237+'CAFCO 400 '!$H$11)*I237^2)+(('CAFCO 400 '!$H$12*(J237^3)+'CAFCO 400 '!$H$13*(J237^2)+'CAFCO 400 '!$H$14*J237+'CAFCO 400 '!$H$15)*I237)+('CAFCO 400 '!$H$16*(J237^2)+'CAFCO 400 '!$H$17*J237+'CAFCO 400 '!$H$18)),0),0),0))+(IF(L237="Cafco 400",IF(M237="Idiem software",IF(C237="Cj",(((('CAFCO 400 '!$D$7*LN(J237)+'CAFCO 400 '!$D$8)*I237^2)+(('CAFCO 400 '!$D$9*LN(J237)+'CAFCO 400 '!$D$10)*I237)+('CAFCO 400 '!$D$11*LN(J237)+'CAFCO 400 '!$D$12))),0),0),0))+(IF(L237="Cafco 400",IF(M237="Idiem software",IF(C237="C",((('CAFCO 400 '!$L$7*(J237^3)+'CAFCO 400 '!$L$8*(J237^2)+'CAFCO 400 '!$L$9*J237+'CAFCO 400 '!$L$10)*I237^2)+(('CAFCO 400 '!$L$11*(J237^3)+'CAFCO 400 '!$L$12*(J237^2)+'CAFCO 400 '!$L$13*J237+'CAFCO 400 '!$L$14)*I237)+('CAFCO 400 '!$L$15*LN(J237)+'CAFCO 400 '!$L$16)),0),0),0))+(IF(L237="Cafco 400",IF(M237="Idiem software",IF(AND(C237="IN",G237=3),((('CAFCO 400 '!$D$23*(J237^2)+'CAFCO 400 '!$D$24*(J237)+'CAFCO 400 '!$D$25)*I237^2)+(('CAFCO 400 '!$D$26*(J237^2)+'CAFCO 400 '!$D$27*J237+'CAFCO 400 '!$D$28)*I237)+('CAFCO 400 '!$D$29*(J237^2)+'CAFCO 400 '!$D$30*J237+'CAFCO 400 '!$D$31)),0),0),0)),0)</f>
        <v>0</v>
      </c>
      <c r="R237" s="47">
        <f t="shared" si="26"/>
        <v>0</v>
      </c>
      <c r="S237" s="82">
        <f t="shared" si="23"/>
        <v>0</v>
      </c>
      <c r="T237" s="81">
        <f>+IF(AND(J237&gt;=95,J237&lt;=240),IF(AND(C237="Cj",I237=90),VLOOKUP(W237,'CAFCO 300 IDIEM TABLAS'!$B$4:$D$23,2,FALSE),0)+IF(AND(J237&gt;=95,J237&lt;=240),IF(AND(C237="Cj",I237=120),VLOOKUP(W237,'CAFCO 300 IDIEM TABLAS'!$B$4:$D$23,3,FALSE),0))+IF(AND(J237&gt;=95,J237&lt;=400,G237=3),IF(AND(C237="IN",I237=90),VLOOKUP(W237,'CAFCO 300 IDIEM TABLAS'!$F$4:$H$35,2,FALSE),0),0)+IF(AND(J237&gt;=95,J237&lt;=400,G237=3),IF(AND(C237="IN",I237=120),VLOOKUP(W237,'CAFCO 300 IDIEM TABLAS'!$F$4:$H$35,3,FALSE),0),0)+IF(AND(J237&gt;=95,J237&lt;=450,G237=4),IF(AND(C237="IN",I237=90),VLOOKUP(W237,'CAFCO 300 IDIEM TABLAS'!$J$4:$L$40,2,FALSE),0),0)+IF(AND(J237&gt;=95,J237&lt;=450,G237=4),IF(AND(C237="IN",I237=120),VLOOKUP(W237,'CAFCO 300 IDIEM TABLAS'!$J$4:$L$40,3,FALSE),0),0))</f>
        <v>17</v>
      </c>
      <c r="U237" s="48">
        <f t="shared" si="27"/>
        <v>3.3739544287548138</v>
      </c>
      <c r="V237" s="82">
        <f t="shared" si="24"/>
        <v>50656.551793324776</v>
      </c>
      <c r="W237" s="64">
        <f>+IF(J237=LOOKUP(J237,'CAFCO 300 IDIEM TABLAS'!$J$4:$J$40),'HOJA DE CÁLCULO RESPALDO'!J237,MROUND('HOJA DE CÁLCULO RESPALDO'!J237,10))</f>
        <v>95</v>
      </c>
      <c r="X237" s="36"/>
      <c r="Y237" s="4"/>
    </row>
    <row r="238" spans="1:25" ht="15.6" customHeight="1" x14ac:dyDescent="0.25">
      <c r="A238" s="2" t="s">
        <v>46</v>
      </c>
      <c r="B238" s="3" t="s">
        <v>17</v>
      </c>
      <c r="C238" s="3" t="s">
        <v>19</v>
      </c>
      <c r="D238" s="3">
        <v>1</v>
      </c>
      <c r="E238" s="2">
        <v>1</v>
      </c>
      <c r="F238" s="8">
        <v>8500</v>
      </c>
      <c r="G238" s="1">
        <v>4</v>
      </c>
      <c r="H238" s="2">
        <v>1502</v>
      </c>
      <c r="I238" s="34">
        <v>90</v>
      </c>
      <c r="J238" s="11">
        <v>95</v>
      </c>
      <c r="K238" s="44">
        <f t="shared" si="21"/>
        <v>12.766999999999999</v>
      </c>
      <c r="L238" s="3" t="s">
        <v>61</v>
      </c>
      <c r="M238" s="3" t="s">
        <v>70</v>
      </c>
      <c r="N238" s="15">
        <f>ROUND((IF(L238="Blaze Shield II",IF(M238="Idiem software",IF(AND(C238="IN",G238=4),((('BLAZE SHIELD II'!$D$4*('HOJA DE CÁLCULO RESPALDO'!I238^2)+'BLAZE SHIELD II'!$D$5*'HOJA DE CÁLCULO RESPALDO'!I238+'BLAZE SHIELD II'!$D$6)*LN(J238))+('BLAZE SHIELD II'!$D$7*('HOJA DE CÁLCULO RESPALDO'!I238^2)+'BLAZE SHIELD II'!$D$8*'HOJA DE CÁLCULO RESPALDO'!I238+'BLAZE SHIELD II'!$D$9)),0),0),0))+(IF(L238="Blaze Shield II",IF(M238="Idiem software",IF(C238="Cj",((('BLAZE SHIELD II'!$H$4*('HOJA DE CÁLCULO RESPALDO'!I238^2)+'BLAZE SHIELD II'!$H$5*'HOJA DE CÁLCULO RESPALDO'!I238+'BLAZE SHIELD II'!$H$6)*LN(J238))+('BLAZE SHIELD II'!$H$7*('HOJA DE CÁLCULO RESPALDO'!I238^2)+'BLAZE SHIELD II'!$H$8*'HOJA DE CÁLCULO RESPALDO'!I238+'BLAZE SHIELD II'!$H$9)),0),0),0))+(IF(L238="Blaze Shield II",IF(M238="Idiem software",IF(C238="C",((('BLAZE SHIELD II'!$L$4*('HOJA DE CÁLCULO RESPALDO'!I238^2)+'BLAZE SHIELD II'!$L$5*'HOJA DE CÁLCULO RESPALDO'!I238+'BLAZE SHIELD II'!$L$6)*LN(J238))+('BLAZE SHIELD II'!$L$7*('HOJA DE CÁLCULO RESPALDO'!I238^2)+'BLAZE SHIELD II'!$L$8*'HOJA DE CÁLCULO RESPALDO'!I238+'BLAZE SHIELD II'!$L$9)),0),0),0))+(IF(L238="Blaze Shield II",IF(M238="Idiem software",IF(AND(C238="IN",G238=3),((('BLAZE SHIELD II'!$H$14*('HOJA DE CÁLCULO RESPALDO'!I238^2)+'BLAZE SHIELD II'!$H$15*'HOJA DE CÁLCULO RESPALDO'!I238+'BLAZE SHIELD II'!$H$16)*LN(J238))+('BLAZE SHIELD II'!$H$17*('HOJA DE CÁLCULO RESPALDO'!I238^2)+'BLAZE SHIELD II'!$H$18*'HOJA DE CÁLCULO RESPALDO'!I238+'BLAZE SHIELD II'!$H$19)),0),0),0)),0)</f>
        <v>0</v>
      </c>
      <c r="O238" s="46">
        <f t="shared" si="25"/>
        <v>0</v>
      </c>
      <c r="P238" s="80">
        <f t="shared" si="22"/>
        <v>0</v>
      </c>
      <c r="Q238" s="85">
        <f>ROUND((IF(L238="Cafco 400",IF(M238="Idiem software",IF(AND(C238="IN",G238=4),((('CAFCO 400 '!$H$7*(J238^4)+'CAFCO 400 '!$H$8*(J238^3)+'CAFCO 400 '!$H$9*(J238^2)+'CAFCO 400 '!$H$10*J238+'CAFCO 400 '!$H$11)*I238^2)+(('CAFCO 400 '!$H$12*(J238^3)+'CAFCO 400 '!$H$13*(J238^2)+'CAFCO 400 '!$H$14*J238+'CAFCO 400 '!$H$15)*I238)+('CAFCO 400 '!$H$16*(J238^2)+'CAFCO 400 '!$H$17*J238+'CAFCO 400 '!$H$18)),0),0),0))+(IF(L238="Cafco 400",IF(M238="Idiem software",IF(C238="Cj",(((('CAFCO 400 '!$D$7*LN(J238)+'CAFCO 400 '!$D$8)*I238^2)+(('CAFCO 400 '!$D$9*LN(J238)+'CAFCO 400 '!$D$10)*I238)+('CAFCO 400 '!$D$11*LN(J238)+'CAFCO 400 '!$D$12))),0),0),0))+(IF(L238="Cafco 400",IF(M238="Idiem software",IF(C238="C",((('CAFCO 400 '!$L$7*(J238^3)+'CAFCO 400 '!$L$8*(J238^2)+'CAFCO 400 '!$L$9*J238+'CAFCO 400 '!$L$10)*I238^2)+(('CAFCO 400 '!$L$11*(J238^3)+'CAFCO 400 '!$L$12*(J238^2)+'CAFCO 400 '!$L$13*J238+'CAFCO 400 '!$L$14)*I238)+('CAFCO 400 '!$L$15*LN(J238)+'CAFCO 400 '!$L$16)),0),0),0))+(IF(L238="Cafco 400",IF(M238="Idiem software",IF(AND(C238="IN",G238=3),((('CAFCO 400 '!$D$23*(J238^2)+'CAFCO 400 '!$D$24*(J238)+'CAFCO 400 '!$D$25)*I238^2)+(('CAFCO 400 '!$D$26*(J238^2)+'CAFCO 400 '!$D$27*J238+'CAFCO 400 '!$D$28)*I238)+('CAFCO 400 '!$D$29*(J238^2)+'CAFCO 400 '!$D$30*J238+'CAFCO 400 '!$D$31)),0),0),0)),0)</f>
        <v>0</v>
      </c>
      <c r="R238" s="47">
        <f t="shared" si="26"/>
        <v>0</v>
      </c>
      <c r="S238" s="82">
        <f t="shared" si="23"/>
        <v>0</v>
      </c>
      <c r="T238" s="81">
        <f>+IF(AND(J238&gt;=95,J238&lt;=240),IF(AND(C238="Cj",I238=90),VLOOKUP(W238,'CAFCO 300 IDIEM TABLAS'!$B$4:$D$23,2,FALSE),0)+IF(AND(J238&gt;=95,J238&lt;=240),IF(AND(C238="Cj",I238=120),VLOOKUP(W238,'CAFCO 300 IDIEM TABLAS'!$B$4:$D$23,3,FALSE),0))+IF(AND(J238&gt;=95,J238&lt;=400,G238=3),IF(AND(C238="IN",I238=90),VLOOKUP(W238,'CAFCO 300 IDIEM TABLAS'!$F$4:$H$35,2,FALSE),0),0)+IF(AND(J238&gt;=95,J238&lt;=400,G238=3),IF(AND(C238="IN",I238=120),VLOOKUP(W238,'CAFCO 300 IDIEM TABLAS'!$F$4:$H$35,3,FALSE),0),0)+IF(AND(J238&gt;=95,J238&lt;=450,G238=4),IF(AND(C238="IN",I238=90),VLOOKUP(W238,'CAFCO 300 IDIEM TABLAS'!$J$4:$L$40,2,FALSE),0),0)+IF(AND(J238&gt;=95,J238&lt;=450,G238=4),IF(AND(C238="IN",I238=120),VLOOKUP(W238,'CAFCO 300 IDIEM TABLAS'!$J$4:$L$40,3,FALSE),0),0))</f>
        <v>17</v>
      </c>
      <c r="U238" s="48">
        <f t="shared" si="27"/>
        <v>2.9950824775353015</v>
      </c>
      <c r="V238" s="82">
        <f t="shared" si="24"/>
        <v>44968.168317715019</v>
      </c>
      <c r="W238" s="64">
        <f>+IF(J238=LOOKUP(J238,'CAFCO 300 IDIEM TABLAS'!$J$4:$J$40),'HOJA DE CÁLCULO RESPALDO'!J238,MROUND('HOJA DE CÁLCULO RESPALDO'!J238,10))</f>
        <v>95</v>
      </c>
      <c r="X238" s="36"/>
      <c r="Y238" s="4"/>
    </row>
    <row r="239" spans="1:25" x14ac:dyDescent="0.25">
      <c r="A239" s="2" t="s">
        <v>44</v>
      </c>
      <c r="B239" s="3" t="s">
        <v>17</v>
      </c>
      <c r="C239" s="3" t="s">
        <v>19</v>
      </c>
      <c r="D239" s="3">
        <v>1</v>
      </c>
      <c r="E239" s="2">
        <v>1</v>
      </c>
      <c r="F239" s="8">
        <v>11097</v>
      </c>
      <c r="G239" s="1">
        <v>4</v>
      </c>
      <c r="H239" s="2">
        <v>585</v>
      </c>
      <c r="I239" s="34">
        <v>90</v>
      </c>
      <c r="J239" s="11">
        <v>95</v>
      </c>
      <c r="K239" s="44">
        <f t="shared" si="21"/>
        <v>6.4917449999999999</v>
      </c>
      <c r="L239" s="3" t="s">
        <v>61</v>
      </c>
      <c r="M239" s="3" t="s">
        <v>70</v>
      </c>
      <c r="N239" s="15">
        <f>ROUND((IF(L239="Blaze Shield II",IF(M239="Idiem software",IF(AND(C239="IN",G239=4),((('BLAZE SHIELD II'!$D$4*('HOJA DE CÁLCULO RESPALDO'!I239^2)+'BLAZE SHIELD II'!$D$5*'HOJA DE CÁLCULO RESPALDO'!I239+'BLAZE SHIELD II'!$D$6)*LN(J239))+('BLAZE SHIELD II'!$D$7*('HOJA DE CÁLCULO RESPALDO'!I239^2)+'BLAZE SHIELD II'!$D$8*'HOJA DE CÁLCULO RESPALDO'!I239+'BLAZE SHIELD II'!$D$9)),0),0),0))+(IF(L239="Blaze Shield II",IF(M239="Idiem software",IF(C239="Cj",((('BLAZE SHIELD II'!$H$4*('HOJA DE CÁLCULO RESPALDO'!I239^2)+'BLAZE SHIELD II'!$H$5*'HOJA DE CÁLCULO RESPALDO'!I239+'BLAZE SHIELD II'!$H$6)*LN(J239))+('BLAZE SHIELD II'!$H$7*('HOJA DE CÁLCULO RESPALDO'!I239^2)+'BLAZE SHIELD II'!$H$8*'HOJA DE CÁLCULO RESPALDO'!I239+'BLAZE SHIELD II'!$H$9)),0),0),0))+(IF(L239="Blaze Shield II",IF(M239="Idiem software",IF(C239="C",((('BLAZE SHIELD II'!$L$4*('HOJA DE CÁLCULO RESPALDO'!I239^2)+'BLAZE SHIELD II'!$L$5*'HOJA DE CÁLCULO RESPALDO'!I239+'BLAZE SHIELD II'!$L$6)*LN(J239))+('BLAZE SHIELD II'!$L$7*('HOJA DE CÁLCULO RESPALDO'!I239^2)+'BLAZE SHIELD II'!$L$8*'HOJA DE CÁLCULO RESPALDO'!I239+'BLAZE SHIELD II'!$L$9)),0),0),0))+(IF(L239="Blaze Shield II",IF(M239="Idiem software",IF(AND(C239="IN",G239=3),((('BLAZE SHIELD II'!$H$14*('HOJA DE CÁLCULO RESPALDO'!I239^2)+'BLAZE SHIELD II'!$H$15*'HOJA DE CÁLCULO RESPALDO'!I239+'BLAZE SHIELD II'!$H$16)*LN(J239))+('BLAZE SHIELD II'!$H$17*('HOJA DE CÁLCULO RESPALDO'!I239^2)+'BLAZE SHIELD II'!$H$18*'HOJA DE CÁLCULO RESPALDO'!I239+'BLAZE SHIELD II'!$H$19)),0),0),0)),0)</f>
        <v>0</v>
      </c>
      <c r="O239" s="46">
        <f t="shared" si="25"/>
        <v>0</v>
      </c>
      <c r="P239" s="80">
        <f t="shared" si="22"/>
        <v>0</v>
      </c>
      <c r="Q239" s="85">
        <f>ROUND((IF(L239="Cafco 400",IF(M239="Idiem software",IF(AND(C239="IN",G239=4),((('CAFCO 400 '!$H$7*(J239^4)+'CAFCO 400 '!$H$8*(J239^3)+'CAFCO 400 '!$H$9*(J239^2)+'CAFCO 400 '!$H$10*J239+'CAFCO 400 '!$H$11)*I239^2)+(('CAFCO 400 '!$H$12*(J239^3)+'CAFCO 400 '!$H$13*(J239^2)+'CAFCO 400 '!$H$14*J239+'CAFCO 400 '!$H$15)*I239)+('CAFCO 400 '!$H$16*(J239^2)+'CAFCO 400 '!$H$17*J239+'CAFCO 400 '!$H$18)),0),0),0))+(IF(L239="Cafco 400",IF(M239="Idiem software",IF(C239="Cj",(((('CAFCO 400 '!$D$7*LN(J239)+'CAFCO 400 '!$D$8)*I239^2)+(('CAFCO 400 '!$D$9*LN(J239)+'CAFCO 400 '!$D$10)*I239)+('CAFCO 400 '!$D$11*LN(J239)+'CAFCO 400 '!$D$12))),0),0),0))+(IF(L239="Cafco 400",IF(M239="Idiem software",IF(C239="C",((('CAFCO 400 '!$L$7*(J239^3)+'CAFCO 400 '!$L$8*(J239^2)+'CAFCO 400 '!$L$9*J239+'CAFCO 400 '!$L$10)*I239^2)+(('CAFCO 400 '!$L$11*(J239^3)+'CAFCO 400 '!$L$12*(J239^2)+'CAFCO 400 '!$L$13*J239+'CAFCO 400 '!$L$14)*I239)+('CAFCO 400 '!$L$15*LN(J239)+'CAFCO 400 '!$L$16)),0),0),0))+(IF(L239="Cafco 400",IF(M239="Idiem software",IF(AND(C239="IN",G239=3),((('CAFCO 400 '!$D$23*(J239^2)+'CAFCO 400 '!$D$24*(J239)+'CAFCO 400 '!$D$25)*I239^2)+(('CAFCO 400 '!$D$26*(J239^2)+'CAFCO 400 '!$D$27*J239+'CAFCO 400 '!$D$28)*I239)+('CAFCO 400 '!$D$29*(J239^2)+'CAFCO 400 '!$D$30*J239+'CAFCO 400 '!$D$31)),0),0),0)),0)</f>
        <v>0</v>
      </c>
      <c r="R239" s="47">
        <f t="shared" si="26"/>
        <v>0</v>
      </c>
      <c r="S239" s="82">
        <f t="shared" si="23"/>
        <v>0</v>
      </c>
      <c r="T239" s="81">
        <f>+IF(AND(J239&gt;=95,J239&lt;=240),IF(AND(C239="Cj",I239=90),VLOOKUP(W239,'CAFCO 300 IDIEM TABLAS'!$B$4:$D$23,2,FALSE),0)+IF(AND(J239&gt;=95,J239&lt;=240),IF(AND(C239="Cj",I239=120),VLOOKUP(W239,'CAFCO 300 IDIEM TABLAS'!$B$4:$D$23,3,FALSE),0))+IF(AND(J239&gt;=95,J239&lt;=400,G239=3),IF(AND(C239="IN",I239=90),VLOOKUP(W239,'CAFCO 300 IDIEM TABLAS'!$F$4:$H$35,2,FALSE),0),0)+IF(AND(J239&gt;=95,J239&lt;=400,G239=3),IF(AND(C239="IN",I239=120),VLOOKUP(W239,'CAFCO 300 IDIEM TABLAS'!$F$4:$H$35,3,FALSE),0),0)+IF(AND(J239&gt;=95,J239&lt;=450,G239=4),IF(AND(C239="IN",I239=90),VLOOKUP(W239,'CAFCO 300 IDIEM TABLAS'!$J$4:$L$40,2,FALSE),0),0)+IF(AND(J239&gt;=95,J239&lt;=450,G239=4),IF(AND(C239="IN",I239=120),VLOOKUP(W239,'CAFCO 300 IDIEM TABLAS'!$J$4:$L$40,3,FALSE),0),0))</f>
        <v>17</v>
      </c>
      <c r="U239" s="48">
        <f t="shared" si="27"/>
        <v>1.5229350433247753</v>
      </c>
      <c r="V239" s="82">
        <f t="shared" si="24"/>
        <v>22865.346740478177</v>
      </c>
      <c r="W239" s="64">
        <f>+IF(J239=LOOKUP(J239,'CAFCO 300 IDIEM TABLAS'!$J$4:$J$40),'HOJA DE CÁLCULO RESPALDO'!J239,MROUND('HOJA DE CÁLCULO RESPALDO'!J239,10))</f>
        <v>95</v>
      </c>
      <c r="X239" s="36"/>
      <c r="Y239" s="4"/>
    </row>
    <row r="240" spans="1:25" ht="15.6" customHeight="1" x14ac:dyDescent="0.25">
      <c r="A240" s="2" t="s">
        <v>44</v>
      </c>
      <c r="B240" s="3" t="s">
        <v>17</v>
      </c>
      <c r="C240" s="3" t="s">
        <v>19</v>
      </c>
      <c r="D240" s="3">
        <v>1</v>
      </c>
      <c r="E240" s="2">
        <v>1</v>
      </c>
      <c r="F240" s="8">
        <v>1500</v>
      </c>
      <c r="G240" s="1">
        <v>4</v>
      </c>
      <c r="H240" s="2">
        <v>776</v>
      </c>
      <c r="I240" s="34">
        <v>90</v>
      </c>
      <c r="J240" s="11">
        <v>95</v>
      </c>
      <c r="K240" s="44">
        <f t="shared" si="21"/>
        <v>1.1639999999999999</v>
      </c>
      <c r="L240" s="3" t="s">
        <v>61</v>
      </c>
      <c r="M240" s="3" t="s">
        <v>70</v>
      </c>
      <c r="N240" s="15">
        <f>ROUND((IF(L240="Blaze Shield II",IF(M240="Idiem software",IF(AND(C240="IN",G240=4),((('BLAZE SHIELD II'!$D$4*('HOJA DE CÁLCULO RESPALDO'!I240^2)+'BLAZE SHIELD II'!$D$5*'HOJA DE CÁLCULO RESPALDO'!I240+'BLAZE SHIELD II'!$D$6)*LN(J240))+('BLAZE SHIELD II'!$D$7*('HOJA DE CÁLCULO RESPALDO'!I240^2)+'BLAZE SHIELD II'!$D$8*'HOJA DE CÁLCULO RESPALDO'!I240+'BLAZE SHIELD II'!$D$9)),0),0),0))+(IF(L240="Blaze Shield II",IF(M240="Idiem software",IF(C240="Cj",((('BLAZE SHIELD II'!$H$4*('HOJA DE CÁLCULO RESPALDO'!I240^2)+'BLAZE SHIELD II'!$H$5*'HOJA DE CÁLCULO RESPALDO'!I240+'BLAZE SHIELD II'!$H$6)*LN(J240))+('BLAZE SHIELD II'!$H$7*('HOJA DE CÁLCULO RESPALDO'!I240^2)+'BLAZE SHIELD II'!$H$8*'HOJA DE CÁLCULO RESPALDO'!I240+'BLAZE SHIELD II'!$H$9)),0),0),0))+(IF(L240="Blaze Shield II",IF(M240="Idiem software",IF(C240="C",((('BLAZE SHIELD II'!$L$4*('HOJA DE CÁLCULO RESPALDO'!I240^2)+'BLAZE SHIELD II'!$L$5*'HOJA DE CÁLCULO RESPALDO'!I240+'BLAZE SHIELD II'!$L$6)*LN(J240))+('BLAZE SHIELD II'!$L$7*('HOJA DE CÁLCULO RESPALDO'!I240^2)+'BLAZE SHIELD II'!$L$8*'HOJA DE CÁLCULO RESPALDO'!I240+'BLAZE SHIELD II'!$L$9)),0),0),0))+(IF(L240="Blaze Shield II",IF(M240="Idiem software",IF(AND(C240="IN",G240=3),((('BLAZE SHIELD II'!$H$14*('HOJA DE CÁLCULO RESPALDO'!I240^2)+'BLAZE SHIELD II'!$H$15*'HOJA DE CÁLCULO RESPALDO'!I240+'BLAZE SHIELD II'!$H$16)*LN(J240))+('BLAZE SHIELD II'!$H$17*('HOJA DE CÁLCULO RESPALDO'!I240^2)+'BLAZE SHIELD II'!$H$18*'HOJA DE CÁLCULO RESPALDO'!I240+'BLAZE SHIELD II'!$H$19)),0),0),0)),0)</f>
        <v>0</v>
      </c>
      <c r="O240" s="46">
        <f t="shared" si="25"/>
        <v>0</v>
      </c>
      <c r="P240" s="80">
        <f t="shared" si="22"/>
        <v>0</v>
      </c>
      <c r="Q240" s="85">
        <f>ROUND((IF(L240="Cafco 400",IF(M240="Idiem software",IF(AND(C240="IN",G240=4),((('CAFCO 400 '!$H$7*(J240^4)+'CAFCO 400 '!$H$8*(J240^3)+'CAFCO 400 '!$H$9*(J240^2)+'CAFCO 400 '!$H$10*J240+'CAFCO 400 '!$H$11)*I240^2)+(('CAFCO 400 '!$H$12*(J240^3)+'CAFCO 400 '!$H$13*(J240^2)+'CAFCO 400 '!$H$14*J240+'CAFCO 400 '!$H$15)*I240)+('CAFCO 400 '!$H$16*(J240^2)+'CAFCO 400 '!$H$17*J240+'CAFCO 400 '!$H$18)),0),0),0))+(IF(L240="Cafco 400",IF(M240="Idiem software",IF(C240="Cj",(((('CAFCO 400 '!$D$7*LN(J240)+'CAFCO 400 '!$D$8)*I240^2)+(('CAFCO 400 '!$D$9*LN(J240)+'CAFCO 400 '!$D$10)*I240)+('CAFCO 400 '!$D$11*LN(J240)+'CAFCO 400 '!$D$12))),0),0),0))+(IF(L240="Cafco 400",IF(M240="Idiem software",IF(C240="C",((('CAFCO 400 '!$L$7*(J240^3)+'CAFCO 400 '!$L$8*(J240^2)+'CAFCO 400 '!$L$9*J240+'CAFCO 400 '!$L$10)*I240^2)+(('CAFCO 400 '!$L$11*(J240^3)+'CAFCO 400 '!$L$12*(J240^2)+'CAFCO 400 '!$L$13*J240+'CAFCO 400 '!$L$14)*I240)+('CAFCO 400 '!$L$15*LN(J240)+'CAFCO 400 '!$L$16)),0),0),0))+(IF(L240="Cafco 400",IF(M240="Idiem software",IF(AND(C240="IN",G240=3),((('CAFCO 400 '!$D$23*(J240^2)+'CAFCO 400 '!$D$24*(J240)+'CAFCO 400 '!$D$25)*I240^2)+(('CAFCO 400 '!$D$26*(J240^2)+'CAFCO 400 '!$D$27*J240+'CAFCO 400 '!$D$28)*I240)+('CAFCO 400 '!$D$29*(J240^2)+'CAFCO 400 '!$D$30*J240+'CAFCO 400 '!$D$31)),0),0),0)),0)</f>
        <v>0</v>
      </c>
      <c r="R240" s="47">
        <f t="shared" si="26"/>
        <v>0</v>
      </c>
      <c r="S240" s="82">
        <f t="shared" si="23"/>
        <v>0</v>
      </c>
      <c r="T240" s="81">
        <f>+IF(AND(J240&gt;=95,J240&lt;=240),IF(AND(C240="Cj",I240=90),VLOOKUP(W240,'CAFCO 300 IDIEM TABLAS'!$B$4:$D$23,2,FALSE),0)+IF(AND(J240&gt;=95,J240&lt;=240),IF(AND(C240="Cj",I240=120),VLOOKUP(W240,'CAFCO 300 IDIEM TABLAS'!$B$4:$D$23,3,FALSE),0))+IF(AND(J240&gt;=95,J240&lt;=400,G240=3),IF(AND(C240="IN",I240=90),VLOOKUP(W240,'CAFCO 300 IDIEM TABLAS'!$F$4:$H$35,2,FALSE),0),0)+IF(AND(J240&gt;=95,J240&lt;=400,G240=3),IF(AND(C240="IN",I240=120),VLOOKUP(W240,'CAFCO 300 IDIEM TABLAS'!$F$4:$H$35,3,FALSE),0),0)+IF(AND(J240&gt;=95,J240&lt;=450,G240=4),IF(AND(C240="IN",I240=90),VLOOKUP(W240,'CAFCO 300 IDIEM TABLAS'!$J$4:$L$40,2,FALSE),0),0)+IF(AND(J240&gt;=95,J240&lt;=450,G240=4),IF(AND(C240="IN",I240=120),VLOOKUP(W240,'CAFCO 300 IDIEM TABLAS'!$J$4:$L$40,3,FALSE),0),0))</f>
        <v>17</v>
      </c>
      <c r="U240" s="48">
        <f t="shared" si="27"/>
        <v>0.2730693196405648</v>
      </c>
      <c r="V240" s="82">
        <f t="shared" si="24"/>
        <v>4099.8627650834396</v>
      </c>
      <c r="W240" s="64">
        <f>+IF(J240=LOOKUP(J240,'CAFCO 300 IDIEM TABLAS'!$J$4:$J$40),'HOJA DE CÁLCULO RESPALDO'!J240,MROUND('HOJA DE CÁLCULO RESPALDO'!J240,10))</f>
        <v>95</v>
      </c>
      <c r="X240" s="36"/>
      <c r="Y240" s="4"/>
    </row>
    <row r="241" spans="1:25" x14ac:dyDescent="0.25">
      <c r="A241" s="2" t="s">
        <v>44</v>
      </c>
      <c r="B241" s="3" t="s">
        <v>17</v>
      </c>
      <c r="C241" s="3" t="s">
        <v>19</v>
      </c>
      <c r="D241" s="3">
        <v>1</v>
      </c>
      <c r="E241" s="2">
        <v>1</v>
      </c>
      <c r="F241" s="8">
        <v>1500</v>
      </c>
      <c r="G241" s="1">
        <v>4</v>
      </c>
      <c r="H241" s="2">
        <v>3879</v>
      </c>
      <c r="I241" s="34">
        <v>90</v>
      </c>
      <c r="J241" s="11">
        <v>95</v>
      </c>
      <c r="K241" s="44">
        <f t="shared" si="21"/>
        <v>5.8185000000000002</v>
      </c>
      <c r="L241" s="3" t="s">
        <v>61</v>
      </c>
      <c r="M241" s="3" t="s">
        <v>70</v>
      </c>
      <c r="N241" s="15">
        <f>ROUND((IF(L241="Blaze Shield II",IF(M241="Idiem software",IF(AND(C241="IN",G241=4),((('BLAZE SHIELD II'!$D$4*('HOJA DE CÁLCULO RESPALDO'!I241^2)+'BLAZE SHIELD II'!$D$5*'HOJA DE CÁLCULO RESPALDO'!I241+'BLAZE SHIELD II'!$D$6)*LN(J241))+('BLAZE SHIELD II'!$D$7*('HOJA DE CÁLCULO RESPALDO'!I241^2)+'BLAZE SHIELD II'!$D$8*'HOJA DE CÁLCULO RESPALDO'!I241+'BLAZE SHIELD II'!$D$9)),0),0),0))+(IF(L241="Blaze Shield II",IF(M241="Idiem software",IF(C241="Cj",((('BLAZE SHIELD II'!$H$4*('HOJA DE CÁLCULO RESPALDO'!I241^2)+'BLAZE SHIELD II'!$H$5*'HOJA DE CÁLCULO RESPALDO'!I241+'BLAZE SHIELD II'!$H$6)*LN(J241))+('BLAZE SHIELD II'!$H$7*('HOJA DE CÁLCULO RESPALDO'!I241^2)+'BLAZE SHIELD II'!$H$8*'HOJA DE CÁLCULO RESPALDO'!I241+'BLAZE SHIELD II'!$H$9)),0),0),0))+(IF(L241="Blaze Shield II",IF(M241="Idiem software",IF(C241="C",((('BLAZE SHIELD II'!$L$4*('HOJA DE CÁLCULO RESPALDO'!I241^2)+'BLAZE SHIELD II'!$L$5*'HOJA DE CÁLCULO RESPALDO'!I241+'BLAZE SHIELD II'!$L$6)*LN(J241))+('BLAZE SHIELD II'!$L$7*('HOJA DE CÁLCULO RESPALDO'!I241^2)+'BLAZE SHIELD II'!$L$8*'HOJA DE CÁLCULO RESPALDO'!I241+'BLAZE SHIELD II'!$L$9)),0),0),0))+(IF(L241="Blaze Shield II",IF(M241="Idiem software",IF(AND(C241="IN",G241=3),((('BLAZE SHIELD II'!$H$14*('HOJA DE CÁLCULO RESPALDO'!I241^2)+'BLAZE SHIELD II'!$H$15*'HOJA DE CÁLCULO RESPALDO'!I241+'BLAZE SHIELD II'!$H$16)*LN(J241))+('BLAZE SHIELD II'!$H$17*('HOJA DE CÁLCULO RESPALDO'!I241^2)+'BLAZE SHIELD II'!$H$18*'HOJA DE CÁLCULO RESPALDO'!I241+'BLAZE SHIELD II'!$H$19)),0),0),0)),0)</f>
        <v>0</v>
      </c>
      <c r="O241" s="46">
        <f t="shared" si="25"/>
        <v>0</v>
      </c>
      <c r="P241" s="80">
        <f t="shared" si="22"/>
        <v>0</v>
      </c>
      <c r="Q241" s="85">
        <f>ROUND((IF(L241="Cafco 400",IF(M241="Idiem software",IF(AND(C241="IN",G241=4),((('CAFCO 400 '!$H$7*(J241^4)+'CAFCO 400 '!$H$8*(J241^3)+'CAFCO 400 '!$H$9*(J241^2)+'CAFCO 400 '!$H$10*J241+'CAFCO 400 '!$H$11)*I241^2)+(('CAFCO 400 '!$H$12*(J241^3)+'CAFCO 400 '!$H$13*(J241^2)+'CAFCO 400 '!$H$14*J241+'CAFCO 400 '!$H$15)*I241)+('CAFCO 400 '!$H$16*(J241^2)+'CAFCO 400 '!$H$17*J241+'CAFCO 400 '!$H$18)),0),0),0))+(IF(L241="Cafco 400",IF(M241="Idiem software",IF(C241="Cj",(((('CAFCO 400 '!$D$7*LN(J241)+'CAFCO 400 '!$D$8)*I241^2)+(('CAFCO 400 '!$D$9*LN(J241)+'CAFCO 400 '!$D$10)*I241)+('CAFCO 400 '!$D$11*LN(J241)+'CAFCO 400 '!$D$12))),0),0),0))+(IF(L241="Cafco 400",IF(M241="Idiem software",IF(C241="C",((('CAFCO 400 '!$L$7*(J241^3)+'CAFCO 400 '!$L$8*(J241^2)+'CAFCO 400 '!$L$9*J241+'CAFCO 400 '!$L$10)*I241^2)+(('CAFCO 400 '!$L$11*(J241^3)+'CAFCO 400 '!$L$12*(J241^2)+'CAFCO 400 '!$L$13*J241+'CAFCO 400 '!$L$14)*I241)+('CAFCO 400 '!$L$15*LN(J241)+'CAFCO 400 '!$L$16)),0),0),0))+(IF(L241="Cafco 400",IF(M241="Idiem software",IF(AND(C241="IN",G241=3),((('CAFCO 400 '!$D$23*(J241^2)+'CAFCO 400 '!$D$24*(J241)+'CAFCO 400 '!$D$25)*I241^2)+(('CAFCO 400 '!$D$26*(J241^2)+'CAFCO 400 '!$D$27*J241+'CAFCO 400 '!$D$28)*I241)+('CAFCO 400 '!$D$29*(J241^2)+'CAFCO 400 '!$D$30*J241+'CAFCO 400 '!$D$31)),0),0),0)),0)</f>
        <v>0</v>
      </c>
      <c r="R241" s="47">
        <f t="shared" si="26"/>
        <v>0</v>
      </c>
      <c r="S241" s="82">
        <f t="shared" si="23"/>
        <v>0</v>
      </c>
      <c r="T241" s="81">
        <f>+IF(AND(J241&gt;=95,J241&lt;=240),IF(AND(C241="Cj",I241=90),VLOOKUP(W241,'CAFCO 300 IDIEM TABLAS'!$B$4:$D$23,2,FALSE),0)+IF(AND(J241&gt;=95,J241&lt;=240),IF(AND(C241="Cj",I241=120),VLOOKUP(W241,'CAFCO 300 IDIEM TABLAS'!$B$4:$D$23,3,FALSE),0))+IF(AND(J241&gt;=95,J241&lt;=400,G241=3),IF(AND(C241="IN",I241=90),VLOOKUP(W241,'CAFCO 300 IDIEM TABLAS'!$F$4:$H$35,2,FALSE),0),0)+IF(AND(J241&gt;=95,J241&lt;=400,G241=3),IF(AND(C241="IN",I241=120),VLOOKUP(W241,'CAFCO 300 IDIEM TABLAS'!$F$4:$H$35,3,FALSE),0),0)+IF(AND(J241&gt;=95,J241&lt;=450,G241=4),IF(AND(C241="IN",I241=90),VLOOKUP(W241,'CAFCO 300 IDIEM TABLAS'!$J$4:$L$40,2,FALSE),0),0)+IF(AND(J241&gt;=95,J241&lt;=450,G241=4),IF(AND(C241="IN",I241=120),VLOOKUP(W241,'CAFCO 300 IDIEM TABLAS'!$J$4:$L$40,3,FALSE),0),0))</f>
        <v>17</v>
      </c>
      <c r="U241" s="48">
        <f t="shared" si="27"/>
        <v>1.3649947047496791</v>
      </c>
      <c r="V241" s="82">
        <f t="shared" si="24"/>
        <v>20494.030497111682</v>
      </c>
      <c r="W241" s="64">
        <f>+IF(J241=LOOKUP(J241,'CAFCO 300 IDIEM TABLAS'!$J$4:$J$40),'HOJA DE CÁLCULO RESPALDO'!J241,MROUND('HOJA DE CÁLCULO RESPALDO'!J241,10))</f>
        <v>95</v>
      </c>
      <c r="X241" s="36"/>
      <c r="Y241" s="4"/>
    </row>
    <row r="242" spans="1:25" ht="15.6" customHeight="1" x14ac:dyDescent="0.25">
      <c r="A242" s="2" t="s">
        <v>44</v>
      </c>
      <c r="B242" s="3" t="s">
        <v>17</v>
      </c>
      <c r="C242" s="3" t="s">
        <v>19</v>
      </c>
      <c r="D242" s="3">
        <v>1</v>
      </c>
      <c r="E242" s="2">
        <v>1</v>
      </c>
      <c r="F242" s="8">
        <v>11081</v>
      </c>
      <c r="G242" s="1">
        <v>4</v>
      </c>
      <c r="H242" s="2">
        <v>585</v>
      </c>
      <c r="I242" s="34">
        <v>90</v>
      </c>
      <c r="J242" s="11">
        <v>95</v>
      </c>
      <c r="K242" s="44">
        <f t="shared" si="21"/>
        <v>6.4823849999999998</v>
      </c>
      <c r="L242" s="3" t="s">
        <v>61</v>
      </c>
      <c r="M242" s="3" t="s">
        <v>70</v>
      </c>
      <c r="N242" s="15">
        <f>ROUND((IF(L242="Blaze Shield II",IF(M242="Idiem software",IF(AND(C242="IN",G242=4),((('BLAZE SHIELD II'!$D$4*('HOJA DE CÁLCULO RESPALDO'!I242^2)+'BLAZE SHIELD II'!$D$5*'HOJA DE CÁLCULO RESPALDO'!I242+'BLAZE SHIELD II'!$D$6)*LN(J242))+('BLAZE SHIELD II'!$D$7*('HOJA DE CÁLCULO RESPALDO'!I242^2)+'BLAZE SHIELD II'!$D$8*'HOJA DE CÁLCULO RESPALDO'!I242+'BLAZE SHIELD II'!$D$9)),0),0),0))+(IF(L242="Blaze Shield II",IF(M242="Idiem software",IF(C242="Cj",((('BLAZE SHIELD II'!$H$4*('HOJA DE CÁLCULO RESPALDO'!I242^2)+'BLAZE SHIELD II'!$H$5*'HOJA DE CÁLCULO RESPALDO'!I242+'BLAZE SHIELD II'!$H$6)*LN(J242))+('BLAZE SHIELD II'!$H$7*('HOJA DE CÁLCULO RESPALDO'!I242^2)+'BLAZE SHIELD II'!$H$8*'HOJA DE CÁLCULO RESPALDO'!I242+'BLAZE SHIELD II'!$H$9)),0),0),0))+(IF(L242="Blaze Shield II",IF(M242="Idiem software",IF(C242="C",((('BLAZE SHIELD II'!$L$4*('HOJA DE CÁLCULO RESPALDO'!I242^2)+'BLAZE SHIELD II'!$L$5*'HOJA DE CÁLCULO RESPALDO'!I242+'BLAZE SHIELD II'!$L$6)*LN(J242))+('BLAZE SHIELD II'!$L$7*('HOJA DE CÁLCULO RESPALDO'!I242^2)+'BLAZE SHIELD II'!$L$8*'HOJA DE CÁLCULO RESPALDO'!I242+'BLAZE SHIELD II'!$L$9)),0),0),0))+(IF(L242="Blaze Shield II",IF(M242="Idiem software",IF(AND(C242="IN",G242=3),((('BLAZE SHIELD II'!$H$14*('HOJA DE CÁLCULO RESPALDO'!I242^2)+'BLAZE SHIELD II'!$H$15*'HOJA DE CÁLCULO RESPALDO'!I242+'BLAZE SHIELD II'!$H$16)*LN(J242))+('BLAZE SHIELD II'!$H$17*('HOJA DE CÁLCULO RESPALDO'!I242^2)+'BLAZE SHIELD II'!$H$18*'HOJA DE CÁLCULO RESPALDO'!I242+'BLAZE SHIELD II'!$H$19)),0),0),0)),0)</f>
        <v>0</v>
      </c>
      <c r="O242" s="46">
        <f t="shared" si="25"/>
        <v>0</v>
      </c>
      <c r="P242" s="80">
        <f t="shared" si="22"/>
        <v>0</v>
      </c>
      <c r="Q242" s="85">
        <f>ROUND((IF(L242="Cafco 400",IF(M242="Idiem software",IF(AND(C242="IN",G242=4),((('CAFCO 400 '!$H$7*(J242^4)+'CAFCO 400 '!$H$8*(J242^3)+'CAFCO 400 '!$H$9*(J242^2)+'CAFCO 400 '!$H$10*J242+'CAFCO 400 '!$H$11)*I242^2)+(('CAFCO 400 '!$H$12*(J242^3)+'CAFCO 400 '!$H$13*(J242^2)+'CAFCO 400 '!$H$14*J242+'CAFCO 400 '!$H$15)*I242)+('CAFCO 400 '!$H$16*(J242^2)+'CAFCO 400 '!$H$17*J242+'CAFCO 400 '!$H$18)),0),0),0))+(IF(L242="Cafco 400",IF(M242="Idiem software",IF(C242="Cj",(((('CAFCO 400 '!$D$7*LN(J242)+'CAFCO 400 '!$D$8)*I242^2)+(('CAFCO 400 '!$D$9*LN(J242)+'CAFCO 400 '!$D$10)*I242)+('CAFCO 400 '!$D$11*LN(J242)+'CAFCO 400 '!$D$12))),0),0),0))+(IF(L242="Cafco 400",IF(M242="Idiem software",IF(C242="C",((('CAFCO 400 '!$L$7*(J242^3)+'CAFCO 400 '!$L$8*(J242^2)+'CAFCO 400 '!$L$9*J242+'CAFCO 400 '!$L$10)*I242^2)+(('CAFCO 400 '!$L$11*(J242^3)+'CAFCO 400 '!$L$12*(J242^2)+'CAFCO 400 '!$L$13*J242+'CAFCO 400 '!$L$14)*I242)+('CAFCO 400 '!$L$15*LN(J242)+'CAFCO 400 '!$L$16)),0),0),0))+(IF(L242="Cafco 400",IF(M242="Idiem software",IF(AND(C242="IN",G242=3),((('CAFCO 400 '!$D$23*(J242^2)+'CAFCO 400 '!$D$24*(J242)+'CAFCO 400 '!$D$25)*I242^2)+(('CAFCO 400 '!$D$26*(J242^2)+'CAFCO 400 '!$D$27*J242+'CAFCO 400 '!$D$28)*I242)+('CAFCO 400 '!$D$29*(J242^2)+'CAFCO 400 '!$D$30*J242+'CAFCO 400 '!$D$31)),0),0),0)),0)</f>
        <v>0</v>
      </c>
      <c r="R242" s="47">
        <f t="shared" si="26"/>
        <v>0</v>
      </c>
      <c r="S242" s="82">
        <f t="shared" si="23"/>
        <v>0</v>
      </c>
      <c r="T242" s="81">
        <f>+IF(AND(J242&gt;=95,J242&lt;=240),IF(AND(C242="Cj",I242=90),VLOOKUP(W242,'CAFCO 300 IDIEM TABLAS'!$B$4:$D$23,2,FALSE),0)+IF(AND(J242&gt;=95,J242&lt;=240),IF(AND(C242="Cj",I242=120),VLOOKUP(W242,'CAFCO 300 IDIEM TABLAS'!$B$4:$D$23,3,FALSE),0))+IF(AND(J242&gt;=95,J242&lt;=400,G242=3),IF(AND(C242="IN",I242=90),VLOOKUP(W242,'CAFCO 300 IDIEM TABLAS'!$F$4:$H$35,2,FALSE),0),0)+IF(AND(J242&gt;=95,J242&lt;=400,G242=3),IF(AND(C242="IN",I242=120),VLOOKUP(W242,'CAFCO 300 IDIEM TABLAS'!$F$4:$H$35,3,FALSE),0),0)+IF(AND(J242&gt;=95,J242&lt;=450,G242=4),IF(AND(C242="IN",I242=90),VLOOKUP(W242,'CAFCO 300 IDIEM TABLAS'!$J$4:$L$40,2,FALSE),0),0)+IF(AND(J242&gt;=95,J242&lt;=450,G242=4),IF(AND(C242="IN",I242=120),VLOOKUP(W242,'CAFCO 300 IDIEM TABLAS'!$J$4:$L$40,3,FALSE),0),0))</f>
        <v>17</v>
      </c>
      <c r="U242" s="48">
        <f t="shared" si="27"/>
        <v>1.5207392281771501</v>
      </c>
      <c r="V242" s="82">
        <f t="shared" si="24"/>
        <v>22832.378771851731</v>
      </c>
      <c r="W242" s="64">
        <f>+IF(J242=LOOKUP(J242,'CAFCO 300 IDIEM TABLAS'!$J$4:$J$40),'HOJA DE CÁLCULO RESPALDO'!J242,MROUND('HOJA DE CÁLCULO RESPALDO'!J242,10))</f>
        <v>95</v>
      </c>
      <c r="X242" s="36"/>
      <c r="Y242" s="4"/>
    </row>
    <row r="243" spans="1:25" x14ac:dyDescent="0.25">
      <c r="A243" s="2" t="s">
        <v>41</v>
      </c>
      <c r="B243" s="3" t="s">
        <v>17</v>
      </c>
      <c r="C243" s="3" t="s">
        <v>19</v>
      </c>
      <c r="D243" s="3">
        <v>1</v>
      </c>
      <c r="E243" s="2">
        <v>1</v>
      </c>
      <c r="F243" s="8">
        <v>1500</v>
      </c>
      <c r="G243" s="1">
        <v>4</v>
      </c>
      <c r="H243" s="2">
        <v>776</v>
      </c>
      <c r="I243" s="34">
        <v>90</v>
      </c>
      <c r="J243" s="11">
        <v>95</v>
      </c>
      <c r="K243" s="44">
        <f t="shared" si="21"/>
        <v>1.1639999999999999</v>
      </c>
      <c r="L243" s="3" t="s">
        <v>61</v>
      </c>
      <c r="M243" s="3" t="s">
        <v>70</v>
      </c>
      <c r="N243" s="15">
        <f>ROUND((IF(L243="Blaze Shield II",IF(M243="Idiem software",IF(AND(C243="IN",G243=4),((('BLAZE SHIELD II'!$D$4*('HOJA DE CÁLCULO RESPALDO'!I243^2)+'BLAZE SHIELD II'!$D$5*'HOJA DE CÁLCULO RESPALDO'!I243+'BLAZE SHIELD II'!$D$6)*LN(J243))+('BLAZE SHIELD II'!$D$7*('HOJA DE CÁLCULO RESPALDO'!I243^2)+'BLAZE SHIELD II'!$D$8*'HOJA DE CÁLCULO RESPALDO'!I243+'BLAZE SHIELD II'!$D$9)),0),0),0))+(IF(L243="Blaze Shield II",IF(M243="Idiem software",IF(C243="Cj",((('BLAZE SHIELD II'!$H$4*('HOJA DE CÁLCULO RESPALDO'!I243^2)+'BLAZE SHIELD II'!$H$5*'HOJA DE CÁLCULO RESPALDO'!I243+'BLAZE SHIELD II'!$H$6)*LN(J243))+('BLAZE SHIELD II'!$H$7*('HOJA DE CÁLCULO RESPALDO'!I243^2)+'BLAZE SHIELD II'!$H$8*'HOJA DE CÁLCULO RESPALDO'!I243+'BLAZE SHIELD II'!$H$9)),0),0),0))+(IF(L243="Blaze Shield II",IF(M243="Idiem software",IF(C243="C",((('BLAZE SHIELD II'!$L$4*('HOJA DE CÁLCULO RESPALDO'!I243^2)+'BLAZE SHIELD II'!$L$5*'HOJA DE CÁLCULO RESPALDO'!I243+'BLAZE SHIELD II'!$L$6)*LN(J243))+('BLAZE SHIELD II'!$L$7*('HOJA DE CÁLCULO RESPALDO'!I243^2)+'BLAZE SHIELD II'!$L$8*'HOJA DE CÁLCULO RESPALDO'!I243+'BLAZE SHIELD II'!$L$9)),0),0),0))+(IF(L243="Blaze Shield II",IF(M243="Idiem software",IF(AND(C243="IN",G243=3),((('BLAZE SHIELD II'!$H$14*('HOJA DE CÁLCULO RESPALDO'!I243^2)+'BLAZE SHIELD II'!$H$15*'HOJA DE CÁLCULO RESPALDO'!I243+'BLAZE SHIELD II'!$H$16)*LN(J243))+('BLAZE SHIELD II'!$H$17*('HOJA DE CÁLCULO RESPALDO'!I243^2)+'BLAZE SHIELD II'!$H$18*'HOJA DE CÁLCULO RESPALDO'!I243+'BLAZE SHIELD II'!$H$19)),0),0),0)),0)</f>
        <v>0</v>
      </c>
      <c r="O243" s="46">
        <f t="shared" si="25"/>
        <v>0</v>
      </c>
      <c r="P243" s="80">
        <f t="shared" si="22"/>
        <v>0</v>
      </c>
      <c r="Q243" s="85">
        <f>ROUND((IF(L243="Cafco 400",IF(M243="Idiem software",IF(AND(C243="IN",G243=4),((('CAFCO 400 '!$H$7*(J243^4)+'CAFCO 400 '!$H$8*(J243^3)+'CAFCO 400 '!$H$9*(J243^2)+'CAFCO 400 '!$H$10*J243+'CAFCO 400 '!$H$11)*I243^2)+(('CAFCO 400 '!$H$12*(J243^3)+'CAFCO 400 '!$H$13*(J243^2)+'CAFCO 400 '!$H$14*J243+'CAFCO 400 '!$H$15)*I243)+('CAFCO 400 '!$H$16*(J243^2)+'CAFCO 400 '!$H$17*J243+'CAFCO 400 '!$H$18)),0),0),0))+(IF(L243="Cafco 400",IF(M243="Idiem software",IF(C243="Cj",(((('CAFCO 400 '!$D$7*LN(J243)+'CAFCO 400 '!$D$8)*I243^2)+(('CAFCO 400 '!$D$9*LN(J243)+'CAFCO 400 '!$D$10)*I243)+('CAFCO 400 '!$D$11*LN(J243)+'CAFCO 400 '!$D$12))),0),0),0))+(IF(L243="Cafco 400",IF(M243="Idiem software",IF(C243="C",((('CAFCO 400 '!$L$7*(J243^3)+'CAFCO 400 '!$L$8*(J243^2)+'CAFCO 400 '!$L$9*J243+'CAFCO 400 '!$L$10)*I243^2)+(('CAFCO 400 '!$L$11*(J243^3)+'CAFCO 400 '!$L$12*(J243^2)+'CAFCO 400 '!$L$13*J243+'CAFCO 400 '!$L$14)*I243)+('CAFCO 400 '!$L$15*LN(J243)+'CAFCO 400 '!$L$16)),0),0),0))+(IF(L243="Cafco 400",IF(M243="Idiem software",IF(AND(C243="IN",G243=3),((('CAFCO 400 '!$D$23*(J243^2)+'CAFCO 400 '!$D$24*(J243)+'CAFCO 400 '!$D$25)*I243^2)+(('CAFCO 400 '!$D$26*(J243^2)+'CAFCO 400 '!$D$27*J243+'CAFCO 400 '!$D$28)*I243)+('CAFCO 400 '!$D$29*(J243^2)+'CAFCO 400 '!$D$30*J243+'CAFCO 400 '!$D$31)),0),0),0)),0)</f>
        <v>0</v>
      </c>
      <c r="R243" s="47">
        <f t="shared" si="26"/>
        <v>0</v>
      </c>
      <c r="S243" s="82">
        <f t="shared" si="23"/>
        <v>0</v>
      </c>
      <c r="T243" s="81">
        <f>+IF(AND(J243&gt;=95,J243&lt;=240),IF(AND(C243="Cj",I243=90),VLOOKUP(W243,'CAFCO 300 IDIEM TABLAS'!$B$4:$D$23,2,FALSE),0)+IF(AND(J243&gt;=95,J243&lt;=240),IF(AND(C243="Cj",I243=120),VLOOKUP(W243,'CAFCO 300 IDIEM TABLAS'!$B$4:$D$23,3,FALSE),0))+IF(AND(J243&gt;=95,J243&lt;=400,G243=3),IF(AND(C243="IN",I243=90),VLOOKUP(W243,'CAFCO 300 IDIEM TABLAS'!$F$4:$H$35,2,FALSE),0),0)+IF(AND(J243&gt;=95,J243&lt;=400,G243=3),IF(AND(C243="IN",I243=120),VLOOKUP(W243,'CAFCO 300 IDIEM TABLAS'!$F$4:$H$35,3,FALSE),0),0)+IF(AND(J243&gt;=95,J243&lt;=450,G243=4),IF(AND(C243="IN",I243=90),VLOOKUP(W243,'CAFCO 300 IDIEM TABLAS'!$J$4:$L$40,2,FALSE),0),0)+IF(AND(J243&gt;=95,J243&lt;=450,G243=4),IF(AND(C243="IN",I243=120),VLOOKUP(W243,'CAFCO 300 IDIEM TABLAS'!$J$4:$L$40,3,FALSE),0),0))</f>
        <v>17</v>
      </c>
      <c r="U243" s="48">
        <f t="shared" si="27"/>
        <v>0.2730693196405648</v>
      </c>
      <c r="V243" s="82">
        <f t="shared" si="24"/>
        <v>4099.8627650834396</v>
      </c>
      <c r="W243" s="64">
        <f>+IF(J243=LOOKUP(J243,'CAFCO 300 IDIEM TABLAS'!$J$4:$J$40),'HOJA DE CÁLCULO RESPALDO'!J243,MROUND('HOJA DE CÁLCULO RESPALDO'!J243,10))</f>
        <v>95</v>
      </c>
      <c r="X243" s="36"/>
      <c r="Y243" s="4"/>
    </row>
    <row r="244" spans="1:25" ht="15.6" customHeight="1" x14ac:dyDescent="0.25">
      <c r="A244" s="2" t="s">
        <v>44</v>
      </c>
      <c r="B244" s="3" t="s">
        <v>17</v>
      </c>
      <c r="C244" s="3" t="s">
        <v>19</v>
      </c>
      <c r="D244" s="3">
        <v>1</v>
      </c>
      <c r="E244" s="2">
        <v>1</v>
      </c>
      <c r="F244" s="8">
        <v>1500</v>
      </c>
      <c r="G244" s="1">
        <v>4</v>
      </c>
      <c r="H244" s="2">
        <v>3879</v>
      </c>
      <c r="I244" s="34">
        <v>90</v>
      </c>
      <c r="J244" s="11">
        <v>95</v>
      </c>
      <c r="K244" s="44">
        <f t="shared" si="21"/>
        <v>5.8185000000000002</v>
      </c>
      <c r="L244" s="3" t="s">
        <v>61</v>
      </c>
      <c r="M244" s="3" t="s">
        <v>70</v>
      </c>
      <c r="N244" s="15">
        <f>ROUND((IF(L244="Blaze Shield II",IF(M244="Idiem software",IF(AND(C244="IN",G244=4),((('BLAZE SHIELD II'!$D$4*('HOJA DE CÁLCULO RESPALDO'!I244^2)+'BLAZE SHIELD II'!$D$5*'HOJA DE CÁLCULO RESPALDO'!I244+'BLAZE SHIELD II'!$D$6)*LN(J244))+('BLAZE SHIELD II'!$D$7*('HOJA DE CÁLCULO RESPALDO'!I244^2)+'BLAZE SHIELD II'!$D$8*'HOJA DE CÁLCULO RESPALDO'!I244+'BLAZE SHIELD II'!$D$9)),0),0),0))+(IF(L244="Blaze Shield II",IF(M244="Idiem software",IF(C244="Cj",((('BLAZE SHIELD II'!$H$4*('HOJA DE CÁLCULO RESPALDO'!I244^2)+'BLAZE SHIELD II'!$H$5*'HOJA DE CÁLCULO RESPALDO'!I244+'BLAZE SHIELD II'!$H$6)*LN(J244))+('BLAZE SHIELD II'!$H$7*('HOJA DE CÁLCULO RESPALDO'!I244^2)+'BLAZE SHIELD II'!$H$8*'HOJA DE CÁLCULO RESPALDO'!I244+'BLAZE SHIELD II'!$H$9)),0),0),0))+(IF(L244="Blaze Shield II",IF(M244="Idiem software",IF(C244="C",((('BLAZE SHIELD II'!$L$4*('HOJA DE CÁLCULO RESPALDO'!I244^2)+'BLAZE SHIELD II'!$L$5*'HOJA DE CÁLCULO RESPALDO'!I244+'BLAZE SHIELD II'!$L$6)*LN(J244))+('BLAZE SHIELD II'!$L$7*('HOJA DE CÁLCULO RESPALDO'!I244^2)+'BLAZE SHIELD II'!$L$8*'HOJA DE CÁLCULO RESPALDO'!I244+'BLAZE SHIELD II'!$L$9)),0),0),0))+(IF(L244="Blaze Shield II",IF(M244="Idiem software",IF(AND(C244="IN",G244=3),((('BLAZE SHIELD II'!$H$14*('HOJA DE CÁLCULO RESPALDO'!I244^2)+'BLAZE SHIELD II'!$H$15*'HOJA DE CÁLCULO RESPALDO'!I244+'BLAZE SHIELD II'!$H$16)*LN(J244))+('BLAZE SHIELD II'!$H$17*('HOJA DE CÁLCULO RESPALDO'!I244^2)+'BLAZE SHIELD II'!$H$18*'HOJA DE CÁLCULO RESPALDO'!I244+'BLAZE SHIELD II'!$H$19)),0),0),0)),0)</f>
        <v>0</v>
      </c>
      <c r="O244" s="46">
        <f t="shared" si="25"/>
        <v>0</v>
      </c>
      <c r="P244" s="80">
        <f t="shared" si="22"/>
        <v>0</v>
      </c>
      <c r="Q244" s="85">
        <f>ROUND((IF(L244="Cafco 400",IF(M244="Idiem software",IF(AND(C244="IN",G244=4),((('CAFCO 400 '!$H$7*(J244^4)+'CAFCO 400 '!$H$8*(J244^3)+'CAFCO 400 '!$H$9*(J244^2)+'CAFCO 400 '!$H$10*J244+'CAFCO 400 '!$H$11)*I244^2)+(('CAFCO 400 '!$H$12*(J244^3)+'CAFCO 400 '!$H$13*(J244^2)+'CAFCO 400 '!$H$14*J244+'CAFCO 400 '!$H$15)*I244)+('CAFCO 400 '!$H$16*(J244^2)+'CAFCO 400 '!$H$17*J244+'CAFCO 400 '!$H$18)),0),0),0))+(IF(L244="Cafco 400",IF(M244="Idiem software",IF(C244="Cj",(((('CAFCO 400 '!$D$7*LN(J244)+'CAFCO 400 '!$D$8)*I244^2)+(('CAFCO 400 '!$D$9*LN(J244)+'CAFCO 400 '!$D$10)*I244)+('CAFCO 400 '!$D$11*LN(J244)+'CAFCO 400 '!$D$12))),0),0),0))+(IF(L244="Cafco 400",IF(M244="Idiem software",IF(C244="C",((('CAFCO 400 '!$L$7*(J244^3)+'CAFCO 400 '!$L$8*(J244^2)+'CAFCO 400 '!$L$9*J244+'CAFCO 400 '!$L$10)*I244^2)+(('CAFCO 400 '!$L$11*(J244^3)+'CAFCO 400 '!$L$12*(J244^2)+'CAFCO 400 '!$L$13*J244+'CAFCO 400 '!$L$14)*I244)+('CAFCO 400 '!$L$15*LN(J244)+'CAFCO 400 '!$L$16)),0),0),0))+(IF(L244="Cafco 400",IF(M244="Idiem software",IF(AND(C244="IN",G244=3),((('CAFCO 400 '!$D$23*(J244^2)+'CAFCO 400 '!$D$24*(J244)+'CAFCO 400 '!$D$25)*I244^2)+(('CAFCO 400 '!$D$26*(J244^2)+'CAFCO 400 '!$D$27*J244+'CAFCO 400 '!$D$28)*I244)+('CAFCO 400 '!$D$29*(J244^2)+'CAFCO 400 '!$D$30*J244+'CAFCO 400 '!$D$31)),0),0),0)),0)</f>
        <v>0</v>
      </c>
      <c r="R244" s="47">
        <f t="shared" si="26"/>
        <v>0</v>
      </c>
      <c r="S244" s="82">
        <f t="shared" si="23"/>
        <v>0</v>
      </c>
      <c r="T244" s="81">
        <f>+IF(AND(J244&gt;=95,J244&lt;=240),IF(AND(C244="Cj",I244=90),VLOOKUP(W244,'CAFCO 300 IDIEM TABLAS'!$B$4:$D$23,2,FALSE),0)+IF(AND(J244&gt;=95,J244&lt;=240),IF(AND(C244="Cj",I244=120),VLOOKUP(W244,'CAFCO 300 IDIEM TABLAS'!$B$4:$D$23,3,FALSE),0))+IF(AND(J244&gt;=95,J244&lt;=400,G244=3),IF(AND(C244="IN",I244=90),VLOOKUP(W244,'CAFCO 300 IDIEM TABLAS'!$F$4:$H$35,2,FALSE),0),0)+IF(AND(J244&gt;=95,J244&lt;=400,G244=3),IF(AND(C244="IN",I244=120),VLOOKUP(W244,'CAFCO 300 IDIEM TABLAS'!$F$4:$H$35,3,FALSE),0),0)+IF(AND(J244&gt;=95,J244&lt;=450,G244=4),IF(AND(C244="IN",I244=90),VLOOKUP(W244,'CAFCO 300 IDIEM TABLAS'!$J$4:$L$40,2,FALSE),0),0)+IF(AND(J244&gt;=95,J244&lt;=450,G244=4),IF(AND(C244="IN",I244=120),VLOOKUP(W244,'CAFCO 300 IDIEM TABLAS'!$J$4:$L$40,3,FALSE),0),0))</f>
        <v>17</v>
      </c>
      <c r="U244" s="48">
        <f t="shared" si="27"/>
        <v>1.3649947047496791</v>
      </c>
      <c r="V244" s="82">
        <f t="shared" si="24"/>
        <v>20494.030497111682</v>
      </c>
      <c r="W244" s="64">
        <f>+IF(J244=LOOKUP(J244,'CAFCO 300 IDIEM TABLAS'!$J$4:$J$40),'HOJA DE CÁLCULO RESPALDO'!J244,MROUND('HOJA DE CÁLCULO RESPALDO'!J244,10))</f>
        <v>95</v>
      </c>
      <c r="X244" s="36"/>
      <c r="Y244" s="4"/>
    </row>
    <row r="245" spans="1:25" x14ac:dyDescent="0.25">
      <c r="A245" s="2" t="s">
        <v>44</v>
      </c>
      <c r="B245" s="3" t="s">
        <v>17</v>
      </c>
      <c r="C245" s="3" t="s">
        <v>19</v>
      </c>
      <c r="D245" s="3">
        <v>1</v>
      </c>
      <c r="E245" s="2">
        <v>1</v>
      </c>
      <c r="F245" s="8">
        <v>12634</v>
      </c>
      <c r="G245" s="1">
        <v>4</v>
      </c>
      <c r="H245" s="2">
        <v>585</v>
      </c>
      <c r="I245" s="34">
        <v>90</v>
      </c>
      <c r="J245" s="11">
        <v>95</v>
      </c>
      <c r="K245" s="44">
        <f t="shared" si="21"/>
        <v>7.3908899999999997</v>
      </c>
      <c r="L245" s="3" t="s">
        <v>61</v>
      </c>
      <c r="M245" s="3" t="s">
        <v>70</v>
      </c>
      <c r="N245" s="15">
        <f>ROUND((IF(L245="Blaze Shield II",IF(M245="Idiem software",IF(AND(C245="IN",G245=4),((('BLAZE SHIELD II'!$D$4*('HOJA DE CÁLCULO RESPALDO'!I245^2)+'BLAZE SHIELD II'!$D$5*'HOJA DE CÁLCULO RESPALDO'!I245+'BLAZE SHIELD II'!$D$6)*LN(J245))+('BLAZE SHIELD II'!$D$7*('HOJA DE CÁLCULO RESPALDO'!I245^2)+'BLAZE SHIELD II'!$D$8*'HOJA DE CÁLCULO RESPALDO'!I245+'BLAZE SHIELD II'!$D$9)),0),0),0))+(IF(L245="Blaze Shield II",IF(M245="Idiem software",IF(C245="Cj",((('BLAZE SHIELD II'!$H$4*('HOJA DE CÁLCULO RESPALDO'!I245^2)+'BLAZE SHIELD II'!$H$5*'HOJA DE CÁLCULO RESPALDO'!I245+'BLAZE SHIELD II'!$H$6)*LN(J245))+('BLAZE SHIELD II'!$H$7*('HOJA DE CÁLCULO RESPALDO'!I245^2)+'BLAZE SHIELD II'!$H$8*'HOJA DE CÁLCULO RESPALDO'!I245+'BLAZE SHIELD II'!$H$9)),0),0),0))+(IF(L245="Blaze Shield II",IF(M245="Idiem software",IF(C245="C",((('BLAZE SHIELD II'!$L$4*('HOJA DE CÁLCULO RESPALDO'!I245^2)+'BLAZE SHIELD II'!$L$5*'HOJA DE CÁLCULO RESPALDO'!I245+'BLAZE SHIELD II'!$L$6)*LN(J245))+('BLAZE SHIELD II'!$L$7*('HOJA DE CÁLCULO RESPALDO'!I245^2)+'BLAZE SHIELD II'!$L$8*'HOJA DE CÁLCULO RESPALDO'!I245+'BLAZE SHIELD II'!$L$9)),0),0),0))+(IF(L245="Blaze Shield II",IF(M245="Idiem software",IF(AND(C245="IN",G245=3),((('BLAZE SHIELD II'!$H$14*('HOJA DE CÁLCULO RESPALDO'!I245^2)+'BLAZE SHIELD II'!$H$15*'HOJA DE CÁLCULO RESPALDO'!I245+'BLAZE SHIELD II'!$H$16)*LN(J245))+('BLAZE SHIELD II'!$H$17*('HOJA DE CÁLCULO RESPALDO'!I245^2)+'BLAZE SHIELD II'!$H$18*'HOJA DE CÁLCULO RESPALDO'!I245+'BLAZE SHIELD II'!$H$19)),0),0),0)),0)</f>
        <v>0</v>
      </c>
      <c r="O245" s="46">
        <f t="shared" si="25"/>
        <v>0</v>
      </c>
      <c r="P245" s="80">
        <f t="shared" si="22"/>
        <v>0</v>
      </c>
      <c r="Q245" s="85">
        <f>ROUND((IF(L245="Cafco 400",IF(M245="Idiem software",IF(AND(C245="IN",G245=4),((('CAFCO 400 '!$H$7*(J245^4)+'CAFCO 400 '!$H$8*(J245^3)+'CAFCO 400 '!$H$9*(J245^2)+'CAFCO 400 '!$H$10*J245+'CAFCO 400 '!$H$11)*I245^2)+(('CAFCO 400 '!$H$12*(J245^3)+'CAFCO 400 '!$H$13*(J245^2)+'CAFCO 400 '!$H$14*J245+'CAFCO 400 '!$H$15)*I245)+('CAFCO 400 '!$H$16*(J245^2)+'CAFCO 400 '!$H$17*J245+'CAFCO 400 '!$H$18)),0),0),0))+(IF(L245="Cafco 400",IF(M245="Idiem software",IF(C245="Cj",(((('CAFCO 400 '!$D$7*LN(J245)+'CAFCO 400 '!$D$8)*I245^2)+(('CAFCO 400 '!$D$9*LN(J245)+'CAFCO 400 '!$D$10)*I245)+('CAFCO 400 '!$D$11*LN(J245)+'CAFCO 400 '!$D$12))),0),0),0))+(IF(L245="Cafco 400",IF(M245="Idiem software",IF(C245="C",((('CAFCO 400 '!$L$7*(J245^3)+'CAFCO 400 '!$L$8*(J245^2)+'CAFCO 400 '!$L$9*J245+'CAFCO 400 '!$L$10)*I245^2)+(('CAFCO 400 '!$L$11*(J245^3)+'CAFCO 400 '!$L$12*(J245^2)+'CAFCO 400 '!$L$13*J245+'CAFCO 400 '!$L$14)*I245)+('CAFCO 400 '!$L$15*LN(J245)+'CAFCO 400 '!$L$16)),0),0),0))+(IF(L245="Cafco 400",IF(M245="Idiem software",IF(AND(C245="IN",G245=3),((('CAFCO 400 '!$D$23*(J245^2)+'CAFCO 400 '!$D$24*(J245)+'CAFCO 400 '!$D$25)*I245^2)+(('CAFCO 400 '!$D$26*(J245^2)+'CAFCO 400 '!$D$27*J245+'CAFCO 400 '!$D$28)*I245)+('CAFCO 400 '!$D$29*(J245^2)+'CAFCO 400 '!$D$30*J245+'CAFCO 400 '!$D$31)),0),0),0)),0)</f>
        <v>0</v>
      </c>
      <c r="R245" s="47">
        <f t="shared" si="26"/>
        <v>0</v>
      </c>
      <c r="S245" s="82">
        <f t="shared" si="23"/>
        <v>0</v>
      </c>
      <c r="T245" s="81">
        <f>+IF(AND(J245&gt;=95,J245&lt;=240),IF(AND(C245="Cj",I245=90),VLOOKUP(W245,'CAFCO 300 IDIEM TABLAS'!$B$4:$D$23,2,FALSE),0)+IF(AND(J245&gt;=95,J245&lt;=240),IF(AND(C245="Cj",I245=120),VLOOKUP(W245,'CAFCO 300 IDIEM TABLAS'!$B$4:$D$23,3,FALSE),0))+IF(AND(J245&gt;=95,J245&lt;=400,G245=3),IF(AND(C245="IN",I245=90),VLOOKUP(W245,'CAFCO 300 IDIEM TABLAS'!$F$4:$H$35,2,FALSE),0),0)+IF(AND(J245&gt;=95,J245&lt;=400,G245=3),IF(AND(C245="IN",I245=120),VLOOKUP(W245,'CAFCO 300 IDIEM TABLAS'!$F$4:$H$35,3,FALSE),0),0)+IF(AND(J245&gt;=95,J245&lt;=450,G245=4),IF(AND(C245="IN",I245=90),VLOOKUP(W245,'CAFCO 300 IDIEM TABLAS'!$J$4:$L$40,2,FALSE),0),0)+IF(AND(J245&gt;=95,J245&lt;=450,G245=4),IF(AND(C245="IN",I245=120),VLOOKUP(W245,'CAFCO 300 IDIEM TABLAS'!$J$4:$L$40,3,FALSE),0),0))</f>
        <v>17</v>
      </c>
      <c r="U245" s="48">
        <f t="shared" si="27"/>
        <v>1.7338705359435174</v>
      </c>
      <c r="V245" s="82">
        <f t="shared" si="24"/>
        <v>26032.33222665597</v>
      </c>
      <c r="W245" s="64">
        <f>+IF(J245=LOOKUP(J245,'CAFCO 300 IDIEM TABLAS'!$J$4:$J$40),'HOJA DE CÁLCULO RESPALDO'!J245,MROUND('HOJA DE CÁLCULO RESPALDO'!J245,10))</f>
        <v>95</v>
      </c>
      <c r="X245" s="36"/>
      <c r="Y245" s="4"/>
    </row>
    <row r="246" spans="1:25" ht="15.6" customHeight="1" x14ac:dyDescent="0.25">
      <c r="A246" s="2" t="s">
        <v>44</v>
      </c>
      <c r="B246" s="3" t="s">
        <v>17</v>
      </c>
      <c r="C246" s="3" t="s">
        <v>19</v>
      </c>
      <c r="D246" s="3">
        <v>1</v>
      </c>
      <c r="E246" s="2">
        <v>1</v>
      </c>
      <c r="F246" s="8">
        <v>1500</v>
      </c>
      <c r="G246" s="1">
        <v>4</v>
      </c>
      <c r="H246" s="2">
        <v>776</v>
      </c>
      <c r="I246" s="34">
        <v>90</v>
      </c>
      <c r="J246" s="11">
        <v>95</v>
      </c>
      <c r="K246" s="44">
        <f t="shared" si="21"/>
        <v>1.1639999999999999</v>
      </c>
      <c r="L246" s="3" t="s">
        <v>61</v>
      </c>
      <c r="M246" s="3" t="s">
        <v>70</v>
      </c>
      <c r="N246" s="15">
        <f>ROUND((IF(L246="Blaze Shield II",IF(M246="Idiem software",IF(AND(C246="IN",G246=4),((('BLAZE SHIELD II'!$D$4*('HOJA DE CÁLCULO RESPALDO'!I246^2)+'BLAZE SHIELD II'!$D$5*'HOJA DE CÁLCULO RESPALDO'!I246+'BLAZE SHIELD II'!$D$6)*LN(J246))+('BLAZE SHIELD II'!$D$7*('HOJA DE CÁLCULO RESPALDO'!I246^2)+'BLAZE SHIELD II'!$D$8*'HOJA DE CÁLCULO RESPALDO'!I246+'BLAZE SHIELD II'!$D$9)),0),0),0))+(IF(L246="Blaze Shield II",IF(M246="Idiem software",IF(C246="Cj",((('BLAZE SHIELD II'!$H$4*('HOJA DE CÁLCULO RESPALDO'!I246^2)+'BLAZE SHIELD II'!$H$5*'HOJA DE CÁLCULO RESPALDO'!I246+'BLAZE SHIELD II'!$H$6)*LN(J246))+('BLAZE SHIELD II'!$H$7*('HOJA DE CÁLCULO RESPALDO'!I246^2)+'BLAZE SHIELD II'!$H$8*'HOJA DE CÁLCULO RESPALDO'!I246+'BLAZE SHIELD II'!$H$9)),0),0),0))+(IF(L246="Blaze Shield II",IF(M246="Idiem software",IF(C246="C",((('BLAZE SHIELD II'!$L$4*('HOJA DE CÁLCULO RESPALDO'!I246^2)+'BLAZE SHIELD II'!$L$5*'HOJA DE CÁLCULO RESPALDO'!I246+'BLAZE SHIELD II'!$L$6)*LN(J246))+('BLAZE SHIELD II'!$L$7*('HOJA DE CÁLCULO RESPALDO'!I246^2)+'BLAZE SHIELD II'!$L$8*'HOJA DE CÁLCULO RESPALDO'!I246+'BLAZE SHIELD II'!$L$9)),0),0),0))+(IF(L246="Blaze Shield II",IF(M246="Idiem software",IF(AND(C246="IN",G246=3),((('BLAZE SHIELD II'!$H$14*('HOJA DE CÁLCULO RESPALDO'!I246^2)+'BLAZE SHIELD II'!$H$15*'HOJA DE CÁLCULO RESPALDO'!I246+'BLAZE SHIELD II'!$H$16)*LN(J246))+('BLAZE SHIELD II'!$H$17*('HOJA DE CÁLCULO RESPALDO'!I246^2)+'BLAZE SHIELD II'!$H$18*'HOJA DE CÁLCULO RESPALDO'!I246+'BLAZE SHIELD II'!$H$19)),0),0),0)),0)</f>
        <v>0</v>
      </c>
      <c r="O246" s="46">
        <f t="shared" si="25"/>
        <v>0</v>
      </c>
      <c r="P246" s="80">
        <f t="shared" si="22"/>
        <v>0</v>
      </c>
      <c r="Q246" s="85">
        <f>ROUND((IF(L246="Cafco 400",IF(M246="Idiem software",IF(AND(C246="IN",G246=4),((('CAFCO 400 '!$H$7*(J246^4)+'CAFCO 400 '!$H$8*(J246^3)+'CAFCO 400 '!$H$9*(J246^2)+'CAFCO 400 '!$H$10*J246+'CAFCO 400 '!$H$11)*I246^2)+(('CAFCO 400 '!$H$12*(J246^3)+'CAFCO 400 '!$H$13*(J246^2)+'CAFCO 400 '!$H$14*J246+'CAFCO 400 '!$H$15)*I246)+('CAFCO 400 '!$H$16*(J246^2)+'CAFCO 400 '!$H$17*J246+'CAFCO 400 '!$H$18)),0),0),0))+(IF(L246="Cafco 400",IF(M246="Idiem software",IF(C246="Cj",(((('CAFCO 400 '!$D$7*LN(J246)+'CAFCO 400 '!$D$8)*I246^2)+(('CAFCO 400 '!$D$9*LN(J246)+'CAFCO 400 '!$D$10)*I246)+('CAFCO 400 '!$D$11*LN(J246)+'CAFCO 400 '!$D$12))),0),0),0))+(IF(L246="Cafco 400",IF(M246="Idiem software",IF(C246="C",((('CAFCO 400 '!$L$7*(J246^3)+'CAFCO 400 '!$L$8*(J246^2)+'CAFCO 400 '!$L$9*J246+'CAFCO 400 '!$L$10)*I246^2)+(('CAFCO 400 '!$L$11*(J246^3)+'CAFCO 400 '!$L$12*(J246^2)+'CAFCO 400 '!$L$13*J246+'CAFCO 400 '!$L$14)*I246)+('CAFCO 400 '!$L$15*LN(J246)+'CAFCO 400 '!$L$16)),0),0),0))+(IF(L246="Cafco 400",IF(M246="Idiem software",IF(AND(C246="IN",G246=3),((('CAFCO 400 '!$D$23*(J246^2)+'CAFCO 400 '!$D$24*(J246)+'CAFCO 400 '!$D$25)*I246^2)+(('CAFCO 400 '!$D$26*(J246^2)+'CAFCO 400 '!$D$27*J246+'CAFCO 400 '!$D$28)*I246)+('CAFCO 400 '!$D$29*(J246^2)+'CAFCO 400 '!$D$30*J246+'CAFCO 400 '!$D$31)),0),0),0)),0)</f>
        <v>0</v>
      </c>
      <c r="R246" s="47">
        <f t="shared" si="26"/>
        <v>0</v>
      </c>
      <c r="S246" s="82">
        <f t="shared" si="23"/>
        <v>0</v>
      </c>
      <c r="T246" s="81">
        <f>+IF(AND(J246&gt;=95,J246&lt;=240),IF(AND(C246="Cj",I246=90),VLOOKUP(W246,'CAFCO 300 IDIEM TABLAS'!$B$4:$D$23,2,FALSE),0)+IF(AND(J246&gt;=95,J246&lt;=240),IF(AND(C246="Cj",I246=120),VLOOKUP(W246,'CAFCO 300 IDIEM TABLAS'!$B$4:$D$23,3,FALSE),0))+IF(AND(J246&gt;=95,J246&lt;=400,G246=3),IF(AND(C246="IN",I246=90),VLOOKUP(W246,'CAFCO 300 IDIEM TABLAS'!$F$4:$H$35,2,FALSE),0),0)+IF(AND(J246&gt;=95,J246&lt;=400,G246=3),IF(AND(C246="IN",I246=120),VLOOKUP(W246,'CAFCO 300 IDIEM TABLAS'!$F$4:$H$35,3,FALSE),0),0)+IF(AND(J246&gt;=95,J246&lt;=450,G246=4),IF(AND(C246="IN",I246=90),VLOOKUP(W246,'CAFCO 300 IDIEM TABLAS'!$J$4:$L$40,2,FALSE),0),0)+IF(AND(J246&gt;=95,J246&lt;=450,G246=4),IF(AND(C246="IN",I246=120),VLOOKUP(W246,'CAFCO 300 IDIEM TABLAS'!$J$4:$L$40,3,FALSE),0),0))</f>
        <v>17</v>
      </c>
      <c r="U246" s="48">
        <f t="shared" si="27"/>
        <v>0.2730693196405648</v>
      </c>
      <c r="V246" s="82">
        <f t="shared" si="24"/>
        <v>4099.8627650834396</v>
      </c>
      <c r="W246" s="64">
        <f>+IF(J246=LOOKUP(J246,'CAFCO 300 IDIEM TABLAS'!$J$4:$J$40),'HOJA DE CÁLCULO RESPALDO'!J246,MROUND('HOJA DE CÁLCULO RESPALDO'!J246,10))</f>
        <v>95</v>
      </c>
      <c r="X246" s="36"/>
      <c r="Y246" s="4"/>
    </row>
    <row r="247" spans="1:25" x14ac:dyDescent="0.25">
      <c r="A247" s="2" t="s">
        <v>44</v>
      </c>
      <c r="B247" s="3" t="s">
        <v>17</v>
      </c>
      <c r="C247" s="3" t="s">
        <v>19</v>
      </c>
      <c r="D247" s="3">
        <v>1</v>
      </c>
      <c r="E247" s="2">
        <v>1</v>
      </c>
      <c r="F247" s="8">
        <v>11097</v>
      </c>
      <c r="G247" s="1">
        <v>4</v>
      </c>
      <c r="H247" s="2">
        <v>585</v>
      </c>
      <c r="I247" s="34">
        <v>90</v>
      </c>
      <c r="J247" s="11">
        <v>95</v>
      </c>
      <c r="K247" s="44">
        <f t="shared" si="21"/>
        <v>6.4917449999999999</v>
      </c>
      <c r="L247" s="3" t="s">
        <v>61</v>
      </c>
      <c r="M247" s="3" t="s">
        <v>70</v>
      </c>
      <c r="N247" s="15">
        <f>ROUND((IF(L247="Blaze Shield II",IF(M247="Idiem software",IF(AND(C247="IN",G247=4),((('BLAZE SHIELD II'!$D$4*('HOJA DE CÁLCULO RESPALDO'!I247^2)+'BLAZE SHIELD II'!$D$5*'HOJA DE CÁLCULO RESPALDO'!I247+'BLAZE SHIELD II'!$D$6)*LN(J247))+('BLAZE SHIELD II'!$D$7*('HOJA DE CÁLCULO RESPALDO'!I247^2)+'BLAZE SHIELD II'!$D$8*'HOJA DE CÁLCULO RESPALDO'!I247+'BLAZE SHIELD II'!$D$9)),0),0),0))+(IF(L247="Blaze Shield II",IF(M247="Idiem software",IF(C247="Cj",((('BLAZE SHIELD II'!$H$4*('HOJA DE CÁLCULO RESPALDO'!I247^2)+'BLAZE SHIELD II'!$H$5*'HOJA DE CÁLCULO RESPALDO'!I247+'BLAZE SHIELD II'!$H$6)*LN(J247))+('BLAZE SHIELD II'!$H$7*('HOJA DE CÁLCULO RESPALDO'!I247^2)+'BLAZE SHIELD II'!$H$8*'HOJA DE CÁLCULO RESPALDO'!I247+'BLAZE SHIELD II'!$H$9)),0),0),0))+(IF(L247="Blaze Shield II",IF(M247="Idiem software",IF(C247="C",((('BLAZE SHIELD II'!$L$4*('HOJA DE CÁLCULO RESPALDO'!I247^2)+'BLAZE SHIELD II'!$L$5*'HOJA DE CÁLCULO RESPALDO'!I247+'BLAZE SHIELD II'!$L$6)*LN(J247))+('BLAZE SHIELD II'!$L$7*('HOJA DE CÁLCULO RESPALDO'!I247^2)+'BLAZE SHIELD II'!$L$8*'HOJA DE CÁLCULO RESPALDO'!I247+'BLAZE SHIELD II'!$L$9)),0),0),0))+(IF(L247="Blaze Shield II",IF(M247="Idiem software",IF(AND(C247="IN",G247=3),((('BLAZE SHIELD II'!$H$14*('HOJA DE CÁLCULO RESPALDO'!I247^2)+'BLAZE SHIELD II'!$H$15*'HOJA DE CÁLCULO RESPALDO'!I247+'BLAZE SHIELD II'!$H$16)*LN(J247))+('BLAZE SHIELD II'!$H$17*('HOJA DE CÁLCULO RESPALDO'!I247^2)+'BLAZE SHIELD II'!$H$18*'HOJA DE CÁLCULO RESPALDO'!I247+'BLAZE SHIELD II'!$H$19)),0),0),0)),0)</f>
        <v>0</v>
      </c>
      <c r="O247" s="46">
        <f t="shared" si="25"/>
        <v>0</v>
      </c>
      <c r="P247" s="80">
        <f t="shared" si="22"/>
        <v>0</v>
      </c>
      <c r="Q247" s="85">
        <f>ROUND((IF(L247="Cafco 400",IF(M247="Idiem software",IF(AND(C247="IN",G247=4),((('CAFCO 400 '!$H$7*(J247^4)+'CAFCO 400 '!$H$8*(J247^3)+'CAFCO 400 '!$H$9*(J247^2)+'CAFCO 400 '!$H$10*J247+'CAFCO 400 '!$H$11)*I247^2)+(('CAFCO 400 '!$H$12*(J247^3)+'CAFCO 400 '!$H$13*(J247^2)+'CAFCO 400 '!$H$14*J247+'CAFCO 400 '!$H$15)*I247)+('CAFCO 400 '!$H$16*(J247^2)+'CAFCO 400 '!$H$17*J247+'CAFCO 400 '!$H$18)),0),0),0))+(IF(L247="Cafco 400",IF(M247="Idiem software",IF(C247="Cj",(((('CAFCO 400 '!$D$7*LN(J247)+'CAFCO 400 '!$D$8)*I247^2)+(('CAFCO 400 '!$D$9*LN(J247)+'CAFCO 400 '!$D$10)*I247)+('CAFCO 400 '!$D$11*LN(J247)+'CAFCO 400 '!$D$12))),0),0),0))+(IF(L247="Cafco 400",IF(M247="Idiem software",IF(C247="C",((('CAFCO 400 '!$L$7*(J247^3)+'CAFCO 400 '!$L$8*(J247^2)+'CAFCO 400 '!$L$9*J247+'CAFCO 400 '!$L$10)*I247^2)+(('CAFCO 400 '!$L$11*(J247^3)+'CAFCO 400 '!$L$12*(J247^2)+'CAFCO 400 '!$L$13*J247+'CAFCO 400 '!$L$14)*I247)+('CAFCO 400 '!$L$15*LN(J247)+'CAFCO 400 '!$L$16)),0),0),0))+(IF(L247="Cafco 400",IF(M247="Idiem software",IF(AND(C247="IN",G247=3),((('CAFCO 400 '!$D$23*(J247^2)+'CAFCO 400 '!$D$24*(J247)+'CAFCO 400 '!$D$25)*I247^2)+(('CAFCO 400 '!$D$26*(J247^2)+'CAFCO 400 '!$D$27*J247+'CAFCO 400 '!$D$28)*I247)+('CAFCO 400 '!$D$29*(J247^2)+'CAFCO 400 '!$D$30*J247+'CAFCO 400 '!$D$31)),0),0),0)),0)</f>
        <v>0</v>
      </c>
      <c r="R247" s="47">
        <f t="shared" si="26"/>
        <v>0</v>
      </c>
      <c r="S247" s="82">
        <f t="shared" si="23"/>
        <v>0</v>
      </c>
      <c r="T247" s="81">
        <f>+IF(AND(J247&gt;=95,J247&lt;=240),IF(AND(C247="Cj",I247=90),VLOOKUP(W247,'CAFCO 300 IDIEM TABLAS'!$B$4:$D$23,2,FALSE),0)+IF(AND(J247&gt;=95,J247&lt;=240),IF(AND(C247="Cj",I247=120),VLOOKUP(W247,'CAFCO 300 IDIEM TABLAS'!$B$4:$D$23,3,FALSE),0))+IF(AND(J247&gt;=95,J247&lt;=400,G247=3),IF(AND(C247="IN",I247=90),VLOOKUP(W247,'CAFCO 300 IDIEM TABLAS'!$F$4:$H$35,2,FALSE),0),0)+IF(AND(J247&gt;=95,J247&lt;=400,G247=3),IF(AND(C247="IN",I247=120),VLOOKUP(W247,'CAFCO 300 IDIEM TABLAS'!$F$4:$H$35,3,FALSE),0),0)+IF(AND(J247&gt;=95,J247&lt;=450,G247=4),IF(AND(C247="IN",I247=90),VLOOKUP(W247,'CAFCO 300 IDIEM TABLAS'!$J$4:$L$40,2,FALSE),0),0)+IF(AND(J247&gt;=95,J247&lt;=450,G247=4),IF(AND(C247="IN",I247=120),VLOOKUP(W247,'CAFCO 300 IDIEM TABLAS'!$J$4:$L$40,3,FALSE),0),0))</f>
        <v>17</v>
      </c>
      <c r="U247" s="48">
        <f t="shared" si="27"/>
        <v>1.5229350433247753</v>
      </c>
      <c r="V247" s="82">
        <f t="shared" si="24"/>
        <v>22865.346740478177</v>
      </c>
      <c r="W247" s="64">
        <f>+IF(J247=LOOKUP(J247,'CAFCO 300 IDIEM TABLAS'!$J$4:$J$40),'HOJA DE CÁLCULO RESPALDO'!J247,MROUND('HOJA DE CÁLCULO RESPALDO'!J247,10))</f>
        <v>95</v>
      </c>
      <c r="X247" s="36"/>
      <c r="Y247" s="4"/>
    </row>
    <row r="248" spans="1:25" ht="15.6" customHeight="1" x14ac:dyDescent="0.25">
      <c r="A248" s="2" t="s">
        <v>41</v>
      </c>
      <c r="B248" s="3" t="s">
        <v>17</v>
      </c>
      <c r="C248" s="3" t="s">
        <v>19</v>
      </c>
      <c r="D248" s="3">
        <v>1</v>
      </c>
      <c r="E248" s="2">
        <v>1</v>
      </c>
      <c r="F248" s="8">
        <v>1500</v>
      </c>
      <c r="G248" s="1">
        <v>4</v>
      </c>
      <c r="H248" s="2">
        <v>776</v>
      </c>
      <c r="I248" s="34">
        <v>90</v>
      </c>
      <c r="J248" s="11">
        <v>95</v>
      </c>
      <c r="K248" s="44">
        <f t="shared" si="21"/>
        <v>1.1639999999999999</v>
      </c>
      <c r="L248" s="3" t="s">
        <v>61</v>
      </c>
      <c r="M248" s="3" t="s">
        <v>70</v>
      </c>
      <c r="N248" s="15">
        <f>ROUND((IF(L248="Blaze Shield II",IF(M248="Idiem software",IF(AND(C248="IN",G248=4),((('BLAZE SHIELD II'!$D$4*('HOJA DE CÁLCULO RESPALDO'!I248^2)+'BLAZE SHIELD II'!$D$5*'HOJA DE CÁLCULO RESPALDO'!I248+'BLAZE SHIELD II'!$D$6)*LN(J248))+('BLAZE SHIELD II'!$D$7*('HOJA DE CÁLCULO RESPALDO'!I248^2)+'BLAZE SHIELD II'!$D$8*'HOJA DE CÁLCULO RESPALDO'!I248+'BLAZE SHIELD II'!$D$9)),0),0),0))+(IF(L248="Blaze Shield II",IF(M248="Idiem software",IF(C248="Cj",((('BLAZE SHIELD II'!$H$4*('HOJA DE CÁLCULO RESPALDO'!I248^2)+'BLAZE SHIELD II'!$H$5*'HOJA DE CÁLCULO RESPALDO'!I248+'BLAZE SHIELD II'!$H$6)*LN(J248))+('BLAZE SHIELD II'!$H$7*('HOJA DE CÁLCULO RESPALDO'!I248^2)+'BLAZE SHIELD II'!$H$8*'HOJA DE CÁLCULO RESPALDO'!I248+'BLAZE SHIELD II'!$H$9)),0),0),0))+(IF(L248="Blaze Shield II",IF(M248="Idiem software",IF(C248="C",((('BLAZE SHIELD II'!$L$4*('HOJA DE CÁLCULO RESPALDO'!I248^2)+'BLAZE SHIELD II'!$L$5*'HOJA DE CÁLCULO RESPALDO'!I248+'BLAZE SHIELD II'!$L$6)*LN(J248))+('BLAZE SHIELD II'!$L$7*('HOJA DE CÁLCULO RESPALDO'!I248^2)+'BLAZE SHIELD II'!$L$8*'HOJA DE CÁLCULO RESPALDO'!I248+'BLAZE SHIELD II'!$L$9)),0),0),0))+(IF(L248="Blaze Shield II",IF(M248="Idiem software",IF(AND(C248="IN",G248=3),((('BLAZE SHIELD II'!$H$14*('HOJA DE CÁLCULO RESPALDO'!I248^2)+'BLAZE SHIELD II'!$H$15*'HOJA DE CÁLCULO RESPALDO'!I248+'BLAZE SHIELD II'!$H$16)*LN(J248))+('BLAZE SHIELD II'!$H$17*('HOJA DE CÁLCULO RESPALDO'!I248^2)+'BLAZE SHIELD II'!$H$18*'HOJA DE CÁLCULO RESPALDO'!I248+'BLAZE SHIELD II'!$H$19)),0),0),0)),0)</f>
        <v>0</v>
      </c>
      <c r="O248" s="46">
        <f t="shared" si="25"/>
        <v>0</v>
      </c>
      <c r="P248" s="80">
        <f t="shared" si="22"/>
        <v>0</v>
      </c>
      <c r="Q248" s="85">
        <f>ROUND((IF(L248="Cafco 400",IF(M248="Idiem software",IF(AND(C248="IN",G248=4),((('CAFCO 400 '!$H$7*(J248^4)+'CAFCO 400 '!$H$8*(J248^3)+'CAFCO 400 '!$H$9*(J248^2)+'CAFCO 400 '!$H$10*J248+'CAFCO 400 '!$H$11)*I248^2)+(('CAFCO 400 '!$H$12*(J248^3)+'CAFCO 400 '!$H$13*(J248^2)+'CAFCO 400 '!$H$14*J248+'CAFCO 400 '!$H$15)*I248)+('CAFCO 400 '!$H$16*(J248^2)+'CAFCO 400 '!$H$17*J248+'CAFCO 400 '!$H$18)),0),0),0))+(IF(L248="Cafco 400",IF(M248="Idiem software",IF(C248="Cj",(((('CAFCO 400 '!$D$7*LN(J248)+'CAFCO 400 '!$D$8)*I248^2)+(('CAFCO 400 '!$D$9*LN(J248)+'CAFCO 400 '!$D$10)*I248)+('CAFCO 400 '!$D$11*LN(J248)+'CAFCO 400 '!$D$12))),0),0),0))+(IF(L248="Cafco 400",IF(M248="Idiem software",IF(C248="C",((('CAFCO 400 '!$L$7*(J248^3)+'CAFCO 400 '!$L$8*(J248^2)+'CAFCO 400 '!$L$9*J248+'CAFCO 400 '!$L$10)*I248^2)+(('CAFCO 400 '!$L$11*(J248^3)+'CAFCO 400 '!$L$12*(J248^2)+'CAFCO 400 '!$L$13*J248+'CAFCO 400 '!$L$14)*I248)+('CAFCO 400 '!$L$15*LN(J248)+'CAFCO 400 '!$L$16)),0),0),0))+(IF(L248="Cafco 400",IF(M248="Idiem software",IF(AND(C248="IN",G248=3),((('CAFCO 400 '!$D$23*(J248^2)+'CAFCO 400 '!$D$24*(J248)+'CAFCO 400 '!$D$25)*I248^2)+(('CAFCO 400 '!$D$26*(J248^2)+'CAFCO 400 '!$D$27*J248+'CAFCO 400 '!$D$28)*I248)+('CAFCO 400 '!$D$29*(J248^2)+'CAFCO 400 '!$D$30*J248+'CAFCO 400 '!$D$31)),0),0),0)),0)</f>
        <v>0</v>
      </c>
      <c r="R248" s="47">
        <f t="shared" si="26"/>
        <v>0</v>
      </c>
      <c r="S248" s="82">
        <f t="shared" si="23"/>
        <v>0</v>
      </c>
      <c r="T248" s="81">
        <f>+IF(AND(J248&gt;=95,J248&lt;=240),IF(AND(C248="Cj",I248=90),VLOOKUP(W248,'CAFCO 300 IDIEM TABLAS'!$B$4:$D$23,2,FALSE),0)+IF(AND(J248&gt;=95,J248&lt;=240),IF(AND(C248="Cj",I248=120),VLOOKUP(W248,'CAFCO 300 IDIEM TABLAS'!$B$4:$D$23,3,FALSE),0))+IF(AND(J248&gt;=95,J248&lt;=400,G248=3),IF(AND(C248="IN",I248=90),VLOOKUP(W248,'CAFCO 300 IDIEM TABLAS'!$F$4:$H$35,2,FALSE),0),0)+IF(AND(J248&gt;=95,J248&lt;=400,G248=3),IF(AND(C248="IN",I248=120),VLOOKUP(W248,'CAFCO 300 IDIEM TABLAS'!$F$4:$H$35,3,FALSE),0),0)+IF(AND(J248&gt;=95,J248&lt;=450,G248=4),IF(AND(C248="IN",I248=90),VLOOKUP(W248,'CAFCO 300 IDIEM TABLAS'!$J$4:$L$40,2,FALSE),0),0)+IF(AND(J248&gt;=95,J248&lt;=450,G248=4),IF(AND(C248="IN",I248=120),VLOOKUP(W248,'CAFCO 300 IDIEM TABLAS'!$J$4:$L$40,3,FALSE),0),0))</f>
        <v>17</v>
      </c>
      <c r="U248" s="48">
        <f t="shared" si="27"/>
        <v>0.2730693196405648</v>
      </c>
      <c r="V248" s="82">
        <f t="shared" si="24"/>
        <v>4099.8627650834396</v>
      </c>
      <c r="W248" s="64">
        <f>+IF(J248=LOOKUP(J248,'CAFCO 300 IDIEM TABLAS'!$J$4:$J$40),'HOJA DE CÁLCULO RESPALDO'!J248,MROUND('HOJA DE CÁLCULO RESPALDO'!J248,10))</f>
        <v>95</v>
      </c>
      <c r="X248" s="36"/>
      <c r="Y248" s="4"/>
    </row>
    <row r="249" spans="1:25" x14ac:dyDescent="0.25">
      <c r="A249" s="2" t="s">
        <v>47</v>
      </c>
      <c r="B249" s="3" t="s">
        <v>17</v>
      </c>
      <c r="C249" s="3" t="s">
        <v>19</v>
      </c>
      <c r="D249" s="3">
        <v>1</v>
      </c>
      <c r="E249" s="2">
        <v>1</v>
      </c>
      <c r="F249" s="8">
        <v>1500</v>
      </c>
      <c r="G249" s="1">
        <v>4</v>
      </c>
      <c r="H249" s="2">
        <v>3879</v>
      </c>
      <c r="I249" s="34">
        <v>90</v>
      </c>
      <c r="J249" s="11">
        <v>95</v>
      </c>
      <c r="K249" s="44">
        <f t="shared" si="21"/>
        <v>5.8185000000000002</v>
      </c>
      <c r="L249" s="3" t="s">
        <v>61</v>
      </c>
      <c r="M249" s="3" t="s">
        <v>70</v>
      </c>
      <c r="N249" s="15">
        <f>ROUND((IF(L249="Blaze Shield II",IF(M249="Idiem software",IF(AND(C249="IN",G249=4),((('BLAZE SHIELD II'!$D$4*('HOJA DE CÁLCULO RESPALDO'!I249^2)+'BLAZE SHIELD II'!$D$5*'HOJA DE CÁLCULO RESPALDO'!I249+'BLAZE SHIELD II'!$D$6)*LN(J249))+('BLAZE SHIELD II'!$D$7*('HOJA DE CÁLCULO RESPALDO'!I249^2)+'BLAZE SHIELD II'!$D$8*'HOJA DE CÁLCULO RESPALDO'!I249+'BLAZE SHIELD II'!$D$9)),0),0),0))+(IF(L249="Blaze Shield II",IF(M249="Idiem software",IF(C249="Cj",((('BLAZE SHIELD II'!$H$4*('HOJA DE CÁLCULO RESPALDO'!I249^2)+'BLAZE SHIELD II'!$H$5*'HOJA DE CÁLCULO RESPALDO'!I249+'BLAZE SHIELD II'!$H$6)*LN(J249))+('BLAZE SHIELD II'!$H$7*('HOJA DE CÁLCULO RESPALDO'!I249^2)+'BLAZE SHIELD II'!$H$8*'HOJA DE CÁLCULO RESPALDO'!I249+'BLAZE SHIELD II'!$H$9)),0),0),0))+(IF(L249="Blaze Shield II",IF(M249="Idiem software",IF(C249="C",((('BLAZE SHIELD II'!$L$4*('HOJA DE CÁLCULO RESPALDO'!I249^2)+'BLAZE SHIELD II'!$L$5*'HOJA DE CÁLCULO RESPALDO'!I249+'BLAZE SHIELD II'!$L$6)*LN(J249))+('BLAZE SHIELD II'!$L$7*('HOJA DE CÁLCULO RESPALDO'!I249^2)+'BLAZE SHIELD II'!$L$8*'HOJA DE CÁLCULO RESPALDO'!I249+'BLAZE SHIELD II'!$L$9)),0),0),0))+(IF(L249="Blaze Shield II",IF(M249="Idiem software",IF(AND(C249="IN",G249=3),((('BLAZE SHIELD II'!$H$14*('HOJA DE CÁLCULO RESPALDO'!I249^2)+'BLAZE SHIELD II'!$H$15*'HOJA DE CÁLCULO RESPALDO'!I249+'BLAZE SHIELD II'!$H$16)*LN(J249))+('BLAZE SHIELD II'!$H$17*('HOJA DE CÁLCULO RESPALDO'!I249^2)+'BLAZE SHIELD II'!$H$18*'HOJA DE CÁLCULO RESPALDO'!I249+'BLAZE SHIELD II'!$H$19)),0),0),0)),0)</f>
        <v>0</v>
      </c>
      <c r="O249" s="46">
        <f t="shared" si="25"/>
        <v>0</v>
      </c>
      <c r="P249" s="80">
        <f t="shared" si="22"/>
        <v>0</v>
      </c>
      <c r="Q249" s="85">
        <f>ROUND((IF(L249="Cafco 400",IF(M249="Idiem software",IF(AND(C249="IN",G249=4),((('CAFCO 400 '!$H$7*(J249^4)+'CAFCO 400 '!$H$8*(J249^3)+'CAFCO 400 '!$H$9*(J249^2)+'CAFCO 400 '!$H$10*J249+'CAFCO 400 '!$H$11)*I249^2)+(('CAFCO 400 '!$H$12*(J249^3)+'CAFCO 400 '!$H$13*(J249^2)+'CAFCO 400 '!$H$14*J249+'CAFCO 400 '!$H$15)*I249)+('CAFCO 400 '!$H$16*(J249^2)+'CAFCO 400 '!$H$17*J249+'CAFCO 400 '!$H$18)),0),0),0))+(IF(L249="Cafco 400",IF(M249="Idiem software",IF(C249="Cj",(((('CAFCO 400 '!$D$7*LN(J249)+'CAFCO 400 '!$D$8)*I249^2)+(('CAFCO 400 '!$D$9*LN(J249)+'CAFCO 400 '!$D$10)*I249)+('CAFCO 400 '!$D$11*LN(J249)+'CAFCO 400 '!$D$12))),0),0),0))+(IF(L249="Cafco 400",IF(M249="Idiem software",IF(C249="C",((('CAFCO 400 '!$L$7*(J249^3)+'CAFCO 400 '!$L$8*(J249^2)+'CAFCO 400 '!$L$9*J249+'CAFCO 400 '!$L$10)*I249^2)+(('CAFCO 400 '!$L$11*(J249^3)+'CAFCO 400 '!$L$12*(J249^2)+'CAFCO 400 '!$L$13*J249+'CAFCO 400 '!$L$14)*I249)+('CAFCO 400 '!$L$15*LN(J249)+'CAFCO 400 '!$L$16)),0),0),0))+(IF(L249="Cafco 400",IF(M249="Idiem software",IF(AND(C249="IN",G249=3),((('CAFCO 400 '!$D$23*(J249^2)+'CAFCO 400 '!$D$24*(J249)+'CAFCO 400 '!$D$25)*I249^2)+(('CAFCO 400 '!$D$26*(J249^2)+'CAFCO 400 '!$D$27*J249+'CAFCO 400 '!$D$28)*I249)+('CAFCO 400 '!$D$29*(J249^2)+'CAFCO 400 '!$D$30*J249+'CAFCO 400 '!$D$31)),0),0),0)),0)</f>
        <v>0</v>
      </c>
      <c r="R249" s="47">
        <f t="shared" si="26"/>
        <v>0</v>
      </c>
      <c r="S249" s="82">
        <f t="shared" si="23"/>
        <v>0</v>
      </c>
      <c r="T249" s="81">
        <f>+IF(AND(J249&gt;=95,J249&lt;=240),IF(AND(C249="Cj",I249=90),VLOOKUP(W249,'CAFCO 300 IDIEM TABLAS'!$B$4:$D$23,2,FALSE),0)+IF(AND(J249&gt;=95,J249&lt;=240),IF(AND(C249="Cj",I249=120),VLOOKUP(W249,'CAFCO 300 IDIEM TABLAS'!$B$4:$D$23,3,FALSE),0))+IF(AND(J249&gt;=95,J249&lt;=400,G249=3),IF(AND(C249="IN",I249=90),VLOOKUP(W249,'CAFCO 300 IDIEM TABLAS'!$F$4:$H$35,2,FALSE),0),0)+IF(AND(J249&gt;=95,J249&lt;=400,G249=3),IF(AND(C249="IN",I249=120),VLOOKUP(W249,'CAFCO 300 IDIEM TABLAS'!$F$4:$H$35,3,FALSE),0),0)+IF(AND(J249&gt;=95,J249&lt;=450,G249=4),IF(AND(C249="IN",I249=90),VLOOKUP(W249,'CAFCO 300 IDIEM TABLAS'!$J$4:$L$40,2,FALSE),0),0)+IF(AND(J249&gt;=95,J249&lt;=450,G249=4),IF(AND(C249="IN",I249=120),VLOOKUP(W249,'CAFCO 300 IDIEM TABLAS'!$J$4:$L$40,3,FALSE),0),0))</f>
        <v>17</v>
      </c>
      <c r="U249" s="48">
        <f t="shared" si="27"/>
        <v>1.3649947047496791</v>
      </c>
      <c r="V249" s="82">
        <f t="shared" si="24"/>
        <v>20494.030497111682</v>
      </c>
      <c r="W249" s="64">
        <f>+IF(J249=LOOKUP(J249,'CAFCO 300 IDIEM TABLAS'!$J$4:$J$40),'HOJA DE CÁLCULO RESPALDO'!J249,MROUND('HOJA DE CÁLCULO RESPALDO'!J249,10))</f>
        <v>95</v>
      </c>
      <c r="X249" s="36"/>
      <c r="Y249" s="4"/>
    </row>
    <row r="250" spans="1:25" ht="15.6" customHeight="1" x14ac:dyDescent="0.25">
      <c r="A250" s="2" t="s">
        <v>48</v>
      </c>
      <c r="B250" s="3" t="s">
        <v>17</v>
      </c>
      <c r="C250" s="3" t="s">
        <v>19</v>
      </c>
      <c r="D250" s="3">
        <v>1</v>
      </c>
      <c r="E250" s="2">
        <v>2</v>
      </c>
      <c r="F250" s="8">
        <v>26385</v>
      </c>
      <c r="G250" s="1">
        <v>4</v>
      </c>
      <c r="H250" s="2">
        <v>2784</v>
      </c>
      <c r="I250" s="34">
        <v>90</v>
      </c>
      <c r="J250" s="11">
        <v>95</v>
      </c>
      <c r="K250" s="44">
        <f t="shared" si="21"/>
        <v>146.91167999999999</v>
      </c>
      <c r="L250" s="3" t="s">
        <v>61</v>
      </c>
      <c r="M250" s="3" t="s">
        <v>70</v>
      </c>
      <c r="N250" s="15">
        <f>ROUND((IF(L250="Blaze Shield II",IF(M250="Idiem software",IF(AND(C250="IN",G250=4),((('BLAZE SHIELD II'!$D$4*('HOJA DE CÁLCULO RESPALDO'!I250^2)+'BLAZE SHIELD II'!$D$5*'HOJA DE CÁLCULO RESPALDO'!I250+'BLAZE SHIELD II'!$D$6)*LN(J250))+('BLAZE SHIELD II'!$D$7*('HOJA DE CÁLCULO RESPALDO'!I250^2)+'BLAZE SHIELD II'!$D$8*'HOJA DE CÁLCULO RESPALDO'!I250+'BLAZE SHIELD II'!$D$9)),0),0),0))+(IF(L250="Blaze Shield II",IF(M250="Idiem software",IF(C250="Cj",((('BLAZE SHIELD II'!$H$4*('HOJA DE CÁLCULO RESPALDO'!I250^2)+'BLAZE SHIELD II'!$H$5*'HOJA DE CÁLCULO RESPALDO'!I250+'BLAZE SHIELD II'!$H$6)*LN(J250))+('BLAZE SHIELD II'!$H$7*('HOJA DE CÁLCULO RESPALDO'!I250^2)+'BLAZE SHIELD II'!$H$8*'HOJA DE CÁLCULO RESPALDO'!I250+'BLAZE SHIELD II'!$H$9)),0),0),0))+(IF(L250="Blaze Shield II",IF(M250="Idiem software",IF(C250="C",((('BLAZE SHIELD II'!$L$4*('HOJA DE CÁLCULO RESPALDO'!I250^2)+'BLAZE SHIELD II'!$L$5*'HOJA DE CÁLCULO RESPALDO'!I250+'BLAZE SHIELD II'!$L$6)*LN(J250))+('BLAZE SHIELD II'!$L$7*('HOJA DE CÁLCULO RESPALDO'!I250^2)+'BLAZE SHIELD II'!$L$8*'HOJA DE CÁLCULO RESPALDO'!I250+'BLAZE SHIELD II'!$L$9)),0),0),0))+(IF(L250="Blaze Shield II",IF(M250="Idiem software",IF(AND(C250="IN",G250=3),((('BLAZE SHIELD II'!$H$14*('HOJA DE CÁLCULO RESPALDO'!I250^2)+'BLAZE SHIELD II'!$H$15*'HOJA DE CÁLCULO RESPALDO'!I250+'BLAZE SHIELD II'!$H$16)*LN(J250))+('BLAZE SHIELD II'!$H$17*('HOJA DE CÁLCULO RESPALDO'!I250^2)+'BLAZE SHIELD II'!$H$18*'HOJA DE CÁLCULO RESPALDO'!I250+'BLAZE SHIELD II'!$H$19)),0),0),0)),0)</f>
        <v>0</v>
      </c>
      <c r="O250" s="46">
        <f t="shared" si="25"/>
        <v>0</v>
      </c>
      <c r="P250" s="80">
        <f t="shared" si="22"/>
        <v>0</v>
      </c>
      <c r="Q250" s="85">
        <f>ROUND((IF(L250="Cafco 400",IF(M250="Idiem software",IF(AND(C250="IN",G250=4),((('CAFCO 400 '!$H$7*(J250^4)+'CAFCO 400 '!$H$8*(J250^3)+'CAFCO 400 '!$H$9*(J250^2)+'CAFCO 400 '!$H$10*J250+'CAFCO 400 '!$H$11)*I250^2)+(('CAFCO 400 '!$H$12*(J250^3)+'CAFCO 400 '!$H$13*(J250^2)+'CAFCO 400 '!$H$14*J250+'CAFCO 400 '!$H$15)*I250)+('CAFCO 400 '!$H$16*(J250^2)+'CAFCO 400 '!$H$17*J250+'CAFCO 400 '!$H$18)),0),0),0))+(IF(L250="Cafco 400",IF(M250="Idiem software",IF(C250="Cj",(((('CAFCO 400 '!$D$7*LN(J250)+'CAFCO 400 '!$D$8)*I250^2)+(('CAFCO 400 '!$D$9*LN(J250)+'CAFCO 400 '!$D$10)*I250)+('CAFCO 400 '!$D$11*LN(J250)+'CAFCO 400 '!$D$12))),0),0),0))+(IF(L250="Cafco 400",IF(M250="Idiem software",IF(C250="C",((('CAFCO 400 '!$L$7*(J250^3)+'CAFCO 400 '!$L$8*(J250^2)+'CAFCO 400 '!$L$9*J250+'CAFCO 400 '!$L$10)*I250^2)+(('CAFCO 400 '!$L$11*(J250^3)+'CAFCO 400 '!$L$12*(J250^2)+'CAFCO 400 '!$L$13*J250+'CAFCO 400 '!$L$14)*I250)+('CAFCO 400 '!$L$15*LN(J250)+'CAFCO 400 '!$L$16)),0),0),0))+(IF(L250="Cafco 400",IF(M250="Idiem software",IF(AND(C250="IN",G250=3),((('CAFCO 400 '!$D$23*(J250^2)+'CAFCO 400 '!$D$24*(J250)+'CAFCO 400 '!$D$25)*I250^2)+(('CAFCO 400 '!$D$26*(J250^2)+'CAFCO 400 '!$D$27*J250+'CAFCO 400 '!$D$28)*I250)+('CAFCO 400 '!$D$29*(J250^2)+'CAFCO 400 '!$D$30*J250+'CAFCO 400 '!$D$31)),0),0),0)),0)</f>
        <v>0</v>
      </c>
      <c r="R250" s="47">
        <f t="shared" si="26"/>
        <v>0</v>
      </c>
      <c r="S250" s="82">
        <f t="shared" si="23"/>
        <v>0</v>
      </c>
      <c r="T250" s="81">
        <f>+IF(AND(J250&gt;=95,J250&lt;=240),IF(AND(C250="Cj",I250=90),VLOOKUP(W250,'CAFCO 300 IDIEM TABLAS'!$B$4:$D$23,2,FALSE),0)+IF(AND(J250&gt;=95,J250&lt;=240),IF(AND(C250="Cj",I250=120),VLOOKUP(W250,'CAFCO 300 IDIEM TABLAS'!$B$4:$D$23,3,FALSE),0))+IF(AND(J250&gt;=95,J250&lt;=400,G250=3),IF(AND(C250="IN",I250=90),VLOOKUP(W250,'CAFCO 300 IDIEM TABLAS'!$F$4:$H$35,2,FALSE),0),0)+IF(AND(J250&gt;=95,J250&lt;=400,G250=3),IF(AND(C250="IN",I250=120),VLOOKUP(W250,'CAFCO 300 IDIEM TABLAS'!$F$4:$H$35,3,FALSE),0),0)+IF(AND(J250&gt;=95,J250&lt;=450,G250=4),IF(AND(C250="IN",I250=90),VLOOKUP(W250,'CAFCO 300 IDIEM TABLAS'!$J$4:$L$40,2,FALSE),0),0)+IF(AND(J250&gt;=95,J250&lt;=450,G250=4),IF(AND(C250="IN",I250=120),VLOOKUP(W250,'CAFCO 300 IDIEM TABLAS'!$J$4:$L$40,3,FALSE),0),0))</f>
        <v>17</v>
      </c>
      <c r="U250" s="48">
        <f t="shared" si="27"/>
        <v>34.464838921694479</v>
      </c>
      <c r="V250" s="82">
        <f t="shared" si="24"/>
        <v>517455.09157032089</v>
      </c>
      <c r="W250" s="64">
        <f>+IF(J250=LOOKUP(J250,'CAFCO 300 IDIEM TABLAS'!$J$4:$J$40),'HOJA DE CÁLCULO RESPALDO'!J250,MROUND('HOJA DE CÁLCULO RESPALDO'!J250,10))</f>
        <v>95</v>
      </c>
      <c r="X250" s="36"/>
      <c r="Y250" s="4"/>
    </row>
    <row r="251" spans="1:25" x14ac:dyDescent="0.25">
      <c r="A251" s="2" t="s">
        <v>42</v>
      </c>
      <c r="B251" s="3" t="s">
        <v>17</v>
      </c>
      <c r="C251" s="3" t="s">
        <v>19</v>
      </c>
      <c r="D251" s="3">
        <v>1</v>
      </c>
      <c r="E251" s="2">
        <v>1</v>
      </c>
      <c r="F251" s="8">
        <v>91778</v>
      </c>
      <c r="G251" s="1">
        <v>4</v>
      </c>
      <c r="H251" s="2">
        <v>1781</v>
      </c>
      <c r="I251" s="34">
        <v>90</v>
      </c>
      <c r="J251" s="11">
        <v>95</v>
      </c>
      <c r="K251" s="44">
        <f t="shared" si="21"/>
        <v>163.45661799999999</v>
      </c>
      <c r="L251" s="3" t="s">
        <v>61</v>
      </c>
      <c r="M251" s="3" t="s">
        <v>70</v>
      </c>
      <c r="N251" s="15">
        <f>ROUND((IF(L251="Blaze Shield II",IF(M251="Idiem software",IF(AND(C251="IN",G251=4),((('BLAZE SHIELD II'!$D$4*('HOJA DE CÁLCULO RESPALDO'!I251^2)+'BLAZE SHIELD II'!$D$5*'HOJA DE CÁLCULO RESPALDO'!I251+'BLAZE SHIELD II'!$D$6)*LN(J251))+('BLAZE SHIELD II'!$D$7*('HOJA DE CÁLCULO RESPALDO'!I251^2)+'BLAZE SHIELD II'!$D$8*'HOJA DE CÁLCULO RESPALDO'!I251+'BLAZE SHIELD II'!$D$9)),0),0),0))+(IF(L251="Blaze Shield II",IF(M251="Idiem software",IF(C251="Cj",((('BLAZE SHIELD II'!$H$4*('HOJA DE CÁLCULO RESPALDO'!I251^2)+'BLAZE SHIELD II'!$H$5*'HOJA DE CÁLCULO RESPALDO'!I251+'BLAZE SHIELD II'!$H$6)*LN(J251))+('BLAZE SHIELD II'!$H$7*('HOJA DE CÁLCULO RESPALDO'!I251^2)+'BLAZE SHIELD II'!$H$8*'HOJA DE CÁLCULO RESPALDO'!I251+'BLAZE SHIELD II'!$H$9)),0),0),0))+(IF(L251="Blaze Shield II",IF(M251="Idiem software",IF(C251="C",((('BLAZE SHIELD II'!$L$4*('HOJA DE CÁLCULO RESPALDO'!I251^2)+'BLAZE SHIELD II'!$L$5*'HOJA DE CÁLCULO RESPALDO'!I251+'BLAZE SHIELD II'!$L$6)*LN(J251))+('BLAZE SHIELD II'!$L$7*('HOJA DE CÁLCULO RESPALDO'!I251^2)+'BLAZE SHIELD II'!$L$8*'HOJA DE CÁLCULO RESPALDO'!I251+'BLAZE SHIELD II'!$L$9)),0),0),0))+(IF(L251="Blaze Shield II",IF(M251="Idiem software",IF(AND(C251="IN",G251=3),((('BLAZE SHIELD II'!$H$14*('HOJA DE CÁLCULO RESPALDO'!I251^2)+'BLAZE SHIELD II'!$H$15*'HOJA DE CÁLCULO RESPALDO'!I251+'BLAZE SHIELD II'!$H$16)*LN(J251))+('BLAZE SHIELD II'!$H$17*('HOJA DE CÁLCULO RESPALDO'!I251^2)+'BLAZE SHIELD II'!$H$18*'HOJA DE CÁLCULO RESPALDO'!I251+'BLAZE SHIELD II'!$H$19)),0),0),0)),0)</f>
        <v>0</v>
      </c>
      <c r="O251" s="46">
        <f t="shared" si="25"/>
        <v>0</v>
      </c>
      <c r="P251" s="80">
        <f t="shared" si="22"/>
        <v>0</v>
      </c>
      <c r="Q251" s="85">
        <f>ROUND((IF(L251="Cafco 400",IF(M251="Idiem software",IF(AND(C251="IN",G251=4),((('CAFCO 400 '!$H$7*(J251^4)+'CAFCO 400 '!$H$8*(J251^3)+'CAFCO 400 '!$H$9*(J251^2)+'CAFCO 400 '!$H$10*J251+'CAFCO 400 '!$H$11)*I251^2)+(('CAFCO 400 '!$H$12*(J251^3)+'CAFCO 400 '!$H$13*(J251^2)+'CAFCO 400 '!$H$14*J251+'CAFCO 400 '!$H$15)*I251)+('CAFCO 400 '!$H$16*(J251^2)+'CAFCO 400 '!$H$17*J251+'CAFCO 400 '!$H$18)),0),0),0))+(IF(L251="Cafco 400",IF(M251="Idiem software",IF(C251="Cj",(((('CAFCO 400 '!$D$7*LN(J251)+'CAFCO 400 '!$D$8)*I251^2)+(('CAFCO 400 '!$D$9*LN(J251)+'CAFCO 400 '!$D$10)*I251)+('CAFCO 400 '!$D$11*LN(J251)+'CAFCO 400 '!$D$12))),0),0),0))+(IF(L251="Cafco 400",IF(M251="Idiem software",IF(C251="C",((('CAFCO 400 '!$L$7*(J251^3)+'CAFCO 400 '!$L$8*(J251^2)+'CAFCO 400 '!$L$9*J251+'CAFCO 400 '!$L$10)*I251^2)+(('CAFCO 400 '!$L$11*(J251^3)+'CAFCO 400 '!$L$12*(J251^2)+'CAFCO 400 '!$L$13*J251+'CAFCO 400 '!$L$14)*I251)+('CAFCO 400 '!$L$15*LN(J251)+'CAFCO 400 '!$L$16)),0),0),0))+(IF(L251="Cafco 400",IF(M251="Idiem software",IF(AND(C251="IN",G251=3),((('CAFCO 400 '!$D$23*(J251^2)+'CAFCO 400 '!$D$24*(J251)+'CAFCO 400 '!$D$25)*I251^2)+(('CAFCO 400 '!$D$26*(J251^2)+'CAFCO 400 '!$D$27*J251+'CAFCO 400 '!$D$28)*I251)+('CAFCO 400 '!$D$29*(J251^2)+'CAFCO 400 '!$D$30*J251+'CAFCO 400 '!$D$31)),0),0),0)),0)</f>
        <v>0</v>
      </c>
      <c r="R251" s="47">
        <f t="shared" si="26"/>
        <v>0</v>
      </c>
      <c r="S251" s="82">
        <f t="shared" si="23"/>
        <v>0</v>
      </c>
      <c r="T251" s="81">
        <f>+IF(AND(J251&gt;=95,J251&lt;=240),IF(AND(C251="Cj",I251=90),VLOOKUP(W251,'CAFCO 300 IDIEM TABLAS'!$B$4:$D$23,2,FALSE),0)+IF(AND(J251&gt;=95,J251&lt;=240),IF(AND(C251="Cj",I251=120),VLOOKUP(W251,'CAFCO 300 IDIEM TABLAS'!$B$4:$D$23,3,FALSE),0))+IF(AND(J251&gt;=95,J251&lt;=400,G251=3),IF(AND(C251="IN",I251=90),VLOOKUP(W251,'CAFCO 300 IDIEM TABLAS'!$F$4:$H$35,2,FALSE),0),0)+IF(AND(J251&gt;=95,J251&lt;=400,G251=3),IF(AND(C251="IN",I251=120),VLOOKUP(W251,'CAFCO 300 IDIEM TABLAS'!$F$4:$H$35,3,FALSE),0),0)+IF(AND(J251&gt;=95,J251&lt;=450,G251=4),IF(AND(C251="IN",I251=90),VLOOKUP(W251,'CAFCO 300 IDIEM TABLAS'!$J$4:$L$40,2,FALSE),0),0)+IF(AND(J251&gt;=95,J251&lt;=450,G251=4),IF(AND(C251="IN",I251=120),VLOOKUP(W251,'CAFCO 300 IDIEM TABLAS'!$J$4:$L$40,3,FALSE),0),0))</f>
        <v>17</v>
      </c>
      <c r="U251" s="48">
        <f t="shared" si="27"/>
        <v>38.34620916495507</v>
      </c>
      <c r="V251" s="82">
        <f t="shared" si="24"/>
        <v>575729.98440263537</v>
      </c>
      <c r="W251" s="64">
        <f>+IF(J251=LOOKUP(J251,'CAFCO 300 IDIEM TABLAS'!$J$4:$J$40),'HOJA DE CÁLCULO RESPALDO'!J251,MROUND('HOJA DE CÁLCULO RESPALDO'!J251,10))</f>
        <v>95</v>
      </c>
      <c r="X251" s="36"/>
      <c r="Y251" s="4"/>
    </row>
    <row r="252" spans="1:25" ht="15.6" customHeight="1" x14ac:dyDescent="0.25">
      <c r="A252" s="2" t="s">
        <v>49</v>
      </c>
      <c r="B252" s="3" t="s">
        <v>17</v>
      </c>
      <c r="C252" s="3" t="s">
        <v>19</v>
      </c>
      <c r="D252" s="3">
        <v>1</v>
      </c>
      <c r="E252" s="2">
        <v>2</v>
      </c>
      <c r="F252" s="8">
        <v>12900</v>
      </c>
      <c r="G252" s="1">
        <v>4</v>
      </c>
      <c r="H252" s="2">
        <v>968</v>
      </c>
      <c r="I252" s="34">
        <v>90</v>
      </c>
      <c r="J252" s="11">
        <v>95</v>
      </c>
      <c r="K252" s="44">
        <f t="shared" si="21"/>
        <v>24.974399999999999</v>
      </c>
      <c r="L252" s="3" t="s">
        <v>61</v>
      </c>
      <c r="M252" s="3" t="s">
        <v>70</v>
      </c>
      <c r="N252" s="15">
        <f>ROUND((IF(L252="Blaze Shield II",IF(M252="Idiem software",IF(AND(C252="IN",G252=4),((('BLAZE SHIELD II'!$D$4*('HOJA DE CÁLCULO RESPALDO'!I252^2)+'BLAZE SHIELD II'!$D$5*'HOJA DE CÁLCULO RESPALDO'!I252+'BLAZE SHIELD II'!$D$6)*LN(J252))+('BLAZE SHIELD II'!$D$7*('HOJA DE CÁLCULO RESPALDO'!I252^2)+'BLAZE SHIELD II'!$D$8*'HOJA DE CÁLCULO RESPALDO'!I252+'BLAZE SHIELD II'!$D$9)),0),0),0))+(IF(L252="Blaze Shield II",IF(M252="Idiem software",IF(C252="Cj",((('BLAZE SHIELD II'!$H$4*('HOJA DE CÁLCULO RESPALDO'!I252^2)+'BLAZE SHIELD II'!$H$5*'HOJA DE CÁLCULO RESPALDO'!I252+'BLAZE SHIELD II'!$H$6)*LN(J252))+('BLAZE SHIELD II'!$H$7*('HOJA DE CÁLCULO RESPALDO'!I252^2)+'BLAZE SHIELD II'!$H$8*'HOJA DE CÁLCULO RESPALDO'!I252+'BLAZE SHIELD II'!$H$9)),0),0),0))+(IF(L252="Blaze Shield II",IF(M252="Idiem software",IF(C252="C",((('BLAZE SHIELD II'!$L$4*('HOJA DE CÁLCULO RESPALDO'!I252^2)+'BLAZE SHIELD II'!$L$5*'HOJA DE CÁLCULO RESPALDO'!I252+'BLAZE SHIELD II'!$L$6)*LN(J252))+('BLAZE SHIELD II'!$L$7*('HOJA DE CÁLCULO RESPALDO'!I252^2)+'BLAZE SHIELD II'!$L$8*'HOJA DE CÁLCULO RESPALDO'!I252+'BLAZE SHIELD II'!$L$9)),0),0),0))+(IF(L252="Blaze Shield II",IF(M252="Idiem software",IF(AND(C252="IN",G252=3),((('BLAZE SHIELD II'!$H$14*('HOJA DE CÁLCULO RESPALDO'!I252^2)+'BLAZE SHIELD II'!$H$15*'HOJA DE CÁLCULO RESPALDO'!I252+'BLAZE SHIELD II'!$H$16)*LN(J252))+('BLAZE SHIELD II'!$H$17*('HOJA DE CÁLCULO RESPALDO'!I252^2)+'BLAZE SHIELD II'!$H$18*'HOJA DE CÁLCULO RESPALDO'!I252+'BLAZE SHIELD II'!$H$19)),0),0),0)),0)</f>
        <v>0</v>
      </c>
      <c r="O252" s="46">
        <f t="shared" si="25"/>
        <v>0</v>
      </c>
      <c r="P252" s="80">
        <f t="shared" si="22"/>
        <v>0</v>
      </c>
      <c r="Q252" s="85">
        <f>ROUND((IF(L252="Cafco 400",IF(M252="Idiem software",IF(AND(C252="IN",G252=4),((('CAFCO 400 '!$H$7*(J252^4)+'CAFCO 400 '!$H$8*(J252^3)+'CAFCO 400 '!$H$9*(J252^2)+'CAFCO 400 '!$H$10*J252+'CAFCO 400 '!$H$11)*I252^2)+(('CAFCO 400 '!$H$12*(J252^3)+'CAFCO 400 '!$H$13*(J252^2)+'CAFCO 400 '!$H$14*J252+'CAFCO 400 '!$H$15)*I252)+('CAFCO 400 '!$H$16*(J252^2)+'CAFCO 400 '!$H$17*J252+'CAFCO 400 '!$H$18)),0),0),0))+(IF(L252="Cafco 400",IF(M252="Idiem software",IF(C252="Cj",(((('CAFCO 400 '!$D$7*LN(J252)+'CAFCO 400 '!$D$8)*I252^2)+(('CAFCO 400 '!$D$9*LN(J252)+'CAFCO 400 '!$D$10)*I252)+('CAFCO 400 '!$D$11*LN(J252)+'CAFCO 400 '!$D$12))),0),0),0))+(IF(L252="Cafco 400",IF(M252="Idiem software",IF(C252="C",((('CAFCO 400 '!$L$7*(J252^3)+'CAFCO 400 '!$L$8*(J252^2)+'CAFCO 400 '!$L$9*J252+'CAFCO 400 '!$L$10)*I252^2)+(('CAFCO 400 '!$L$11*(J252^3)+'CAFCO 400 '!$L$12*(J252^2)+'CAFCO 400 '!$L$13*J252+'CAFCO 400 '!$L$14)*I252)+('CAFCO 400 '!$L$15*LN(J252)+'CAFCO 400 '!$L$16)),0),0),0))+(IF(L252="Cafco 400",IF(M252="Idiem software",IF(AND(C252="IN",G252=3),((('CAFCO 400 '!$D$23*(J252^2)+'CAFCO 400 '!$D$24*(J252)+'CAFCO 400 '!$D$25)*I252^2)+(('CAFCO 400 '!$D$26*(J252^2)+'CAFCO 400 '!$D$27*J252+'CAFCO 400 '!$D$28)*I252)+('CAFCO 400 '!$D$29*(J252^2)+'CAFCO 400 '!$D$30*J252+'CAFCO 400 '!$D$31)),0),0),0)),0)</f>
        <v>0</v>
      </c>
      <c r="R252" s="47">
        <f t="shared" si="26"/>
        <v>0</v>
      </c>
      <c r="S252" s="82">
        <f t="shared" si="23"/>
        <v>0</v>
      </c>
      <c r="T252" s="81">
        <f>+IF(AND(J252&gt;=95,J252&lt;=240),IF(AND(C252="Cj",I252=90),VLOOKUP(W252,'CAFCO 300 IDIEM TABLAS'!$B$4:$D$23,2,FALSE),0)+IF(AND(J252&gt;=95,J252&lt;=240),IF(AND(C252="Cj",I252=120),VLOOKUP(W252,'CAFCO 300 IDIEM TABLAS'!$B$4:$D$23,3,FALSE),0))+IF(AND(J252&gt;=95,J252&lt;=400,G252=3),IF(AND(C252="IN",I252=90),VLOOKUP(W252,'CAFCO 300 IDIEM TABLAS'!$F$4:$H$35,2,FALSE),0),0)+IF(AND(J252&gt;=95,J252&lt;=400,G252=3),IF(AND(C252="IN",I252=120),VLOOKUP(W252,'CAFCO 300 IDIEM TABLAS'!$F$4:$H$35,3,FALSE),0),0)+IF(AND(J252&gt;=95,J252&lt;=450,G252=4),IF(AND(C252="IN",I252=90),VLOOKUP(W252,'CAFCO 300 IDIEM TABLAS'!$J$4:$L$40,2,FALSE),0),0)+IF(AND(J252&gt;=95,J252&lt;=450,G252=4),IF(AND(C252="IN",I252=120),VLOOKUP(W252,'CAFCO 300 IDIEM TABLAS'!$J$4:$L$40,3,FALSE),0),0))</f>
        <v>17</v>
      </c>
      <c r="U252" s="48">
        <f t="shared" si="27"/>
        <v>5.8588852374839533</v>
      </c>
      <c r="V252" s="82">
        <f t="shared" si="24"/>
        <v>87965.302955584077</v>
      </c>
      <c r="W252" s="64">
        <f>+IF(J252=LOOKUP(J252,'CAFCO 300 IDIEM TABLAS'!$J$4:$J$40),'HOJA DE CÁLCULO RESPALDO'!J252,MROUND('HOJA DE CÁLCULO RESPALDO'!J252,10))</f>
        <v>95</v>
      </c>
      <c r="X252" s="36"/>
      <c r="Y252" s="4"/>
    </row>
    <row r="253" spans="1:25" x14ac:dyDescent="0.25">
      <c r="A253" s="2" t="s">
        <v>49</v>
      </c>
      <c r="B253" s="3" t="s">
        <v>17</v>
      </c>
      <c r="C253" s="3" t="s">
        <v>19</v>
      </c>
      <c r="D253" s="3">
        <v>1</v>
      </c>
      <c r="E253" s="2">
        <v>1</v>
      </c>
      <c r="F253" s="8">
        <v>17971</v>
      </c>
      <c r="G253" s="1">
        <v>4</v>
      </c>
      <c r="H253" s="2">
        <v>2184</v>
      </c>
      <c r="I253" s="34">
        <v>90</v>
      </c>
      <c r="J253" s="11">
        <v>95</v>
      </c>
      <c r="K253" s="44">
        <f t="shared" si="21"/>
        <v>39.248663999999998</v>
      </c>
      <c r="L253" s="3" t="s">
        <v>61</v>
      </c>
      <c r="M253" s="3" t="s">
        <v>70</v>
      </c>
      <c r="N253" s="15">
        <f>ROUND((IF(L253="Blaze Shield II",IF(M253="Idiem software",IF(AND(C253="IN",G253=4),((('BLAZE SHIELD II'!$D$4*('HOJA DE CÁLCULO RESPALDO'!I253^2)+'BLAZE SHIELD II'!$D$5*'HOJA DE CÁLCULO RESPALDO'!I253+'BLAZE SHIELD II'!$D$6)*LN(J253))+('BLAZE SHIELD II'!$D$7*('HOJA DE CÁLCULO RESPALDO'!I253^2)+'BLAZE SHIELD II'!$D$8*'HOJA DE CÁLCULO RESPALDO'!I253+'BLAZE SHIELD II'!$D$9)),0),0),0))+(IF(L253="Blaze Shield II",IF(M253="Idiem software",IF(C253="Cj",((('BLAZE SHIELD II'!$H$4*('HOJA DE CÁLCULO RESPALDO'!I253^2)+'BLAZE SHIELD II'!$H$5*'HOJA DE CÁLCULO RESPALDO'!I253+'BLAZE SHIELD II'!$H$6)*LN(J253))+('BLAZE SHIELD II'!$H$7*('HOJA DE CÁLCULO RESPALDO'!I253^2)+'BLAZE SHIELD II'!$H$8*'HOJA DE CÁLCULO RESPALDO'!I253+'BLAZE SHIELD II'!$H$9)),0),0),0))+(IF(L253="Blaze Shield II",IF(M253="Idiem software",IF(C253="C",((('BLAZE SHIELD II'!$L$4*('HOJA DE CÁLCULO RESPALDO'!I253^2)+'BLAZE SHIELD II'!$L$5*'HOJA DE CÁLCULO RESPALDO'!I253+'BLAZE SHIELD II'!$L$6)*LN(J253))+('BLAZE SHIELD II'!$L$7*('HOJA DE CÁLCULO RESPALDO'!I253^2)+'BLAZE SHIELD II'!$L$8*'HOJA DE CÁLCULO RESPALDO'!I253+'BLAZE SHIELD II'!$L$9)),0),0),0))+(IF(L253="Blaze Shield II",IF(M253="Idiem software",IF(AND(C253="IN",G253=3),((('BLAZE SHIELD II'!$H$14*('HOJA DE CÁLCULO RESPALDO'!I253^2)+'BLAZE SHIELD II'!$H$15*'HOJA DE CÁLCULO RESPALDO'!I253+'BLAZE SHIELD II'!$H$16)*LN(J253))+('BLAZE SHIELD II'!$H$17*('HOJA DE CÁLCULO RESPALDO'!I253^2)+'BLAZE SHIELD II'!$H$18*'HOJA DE CÁLCULO RESPALDO'!I253+'BLAZE SHIELD II'!$H$19)),0),0),0)),0)</f>
        <v>0</v>
      </c>
      <c r="O253" s="46">
        <f t="shared" si="25"/>
        <v>0</v>
      </c>
      <c r="P253" s="80">
        <f t="shared" si="22"/>
        <v>0</v>
      </c>
      <c r="Q253" s="85">
        <f>ROUND((IF(L253="Cafco 400",IF(M253="Idiem software",IF(AND(C253="IN",G253=4),((('CAFCO 400 '!$H$7*(J253^4)+'CAFCO 400 '!$H$8*(J253^3)+'CAFCO 400 '!$H$9*(J253^2)+'CAFCO 400 '!$H$10*J253+'CAFCO 400 '!$H$11)*I253^2)+(('CAFCO 400 '!$H$12*(J253^3)+'CAFCO 400 '!$H$13*(J253^2)+'CAFCO 400 '!$H$14*J253+'CAFCO 400 '!$H$15)*I253)+('CAFCO 400 '!$H$16*(J253^2)+'CAFCO 400 '!$H$17*J253+'CAFCO 400 '!$H$18)),0),0),0))+(IF(L253="Cafco 400",IF(M253="Idiem software",IF(C253="Cj",(((('CAFCO 400 '!$D$7*LN(J253)+'CAFCO 400 '!$D$8)*I253^2)+(('CAFCO 400 '!$D$9*LN(J253)+'CAFCO 400 '!$D$10)*I253)+('CAFCO 400 '!$D$11*LN(J253)+'CAFCO 400 '!$D$12))),0),0),0))+(IF(L253="Cafco 400",IF(M253="Idiem software",IF(C253="C",((('CAFCO 400 '!$L$7*(J253^3)+'CAFCO 400 '!$L$8*(J253^2)+'CAFCO 400 '!$L$9*J253+'CAFCO 400 '!$L$10)*I253^2)+(('CAFCO 400 '!$L$11*(J253^3)+'CAFCO 400 '!$L$12*(J253^2)+'CAFCO 400 '!$L$13*J253+'CAFCO 400 '!$L$14)*I253)+('CAFCO 400 '!$L$15*LN(J253)+'CAFCO 400 '!$L$16)),0),0),0))+(IF(L253="Cafco 400",IF(M253="Idiem software",IF(AND(C253="IN",G253=3),((('CAFCO 400 '!$D$23*(J253^2)+'CAFCO 400 '!$D$24*(J253)+'CAFCO 400 '!$D$25)*I253^2)+(('CAFCO 400 '!$D$26*(J253^2)+'CAFCO 400 '!$D$27*J253+'CAFCO 400 '!$D$28)*I253)+('CAFCO 400 '!$D$29*(J253^2)+'CAFCO 400 '!$D$30*J253+'CAFCO 400 '!$D$31)),0),0),0)),0)</f>
        <v>0</v>
      </c>
      <c r="R253" s="47">
        <f t="shared" si="26"/>
        <v>0</v>
      </c>
      <c r="S253" s="82">
        <f t="shared" si="23"/>
        <v>0</v>
      </c>
      <c r="T253" s="81">
        <f>+IF(AND(J253&gt;=95,J253&lt;=240),IF(AND(C253="Cj",I253=90),VLOOKUP(W253,'CAFCO 300 IDIEM TABLAS'!$B$4:$D$23,2,FALSE),0)+IF(AND(J253&gt;=95,J253&lt;=240),IF(AND(C253="Cj",I253=120),VLOOKUP(W253,'CAFCO 300 IDIEM TABLAS'!$B$4:$D$23,3,FALSE),0))+IF(AND(J253&gt;=95,J253&lt;=400,G253=3),IF(AND(C253="IN",I253=90),VLOOKUP(W253,'CAFCO 300 IDIEM TABLAS'!$F$4:$H$35,2,FALSE),0),0)+IF(AND(J253&gt;=95,J253&lt;=400,G253=3),IF(AND(C253="IN",I253=120),VLOOKUP(W253,'CAFCO 300 IDIEM TABLAS'!$F$4:$H$35,3,FALSE),0),0)+IF(AND(J253&gt;=95,J253&lt;=450,G253=4),IF(AND(C253="IN",I253=90),VLOOKUP(W253,'CAFCO 300 IDIEM TABLAS'!$J$4:$L$40,2,FALSE),0),0)+IF(AND(J253&gt;=95,J253&lt;=450,G253=4),IF(AND(C253="IN",I253=120),VLOOKUP(W253,'CAFCO 300 IDIEM TABLAS'!$J$4:$L$40,3,FALSE),0),0))</f>
        <v>17</v>
      </c>
      <c r="U253" s="48">
        <f t="shared" si="27"/>
        <v>9.2075652708600764</v>
      </c>
      <c r="V253" s="82">
        <f t="shared" si="24"/>
        <v>138242.3849766932</v>
      </c>
      <c r="W253" s="64">
        <f>+IF(J253=LOOKUP(J253,'CAFCO 300 IDIEM TABLAS'!$J$4:$J$40),'HOJA DE CÁLCULO RESPALDO'!J253,MROUND('HOJA DE CÁLCULO RESPALDO'!J253,10))</f>
        <v>95</v>
      </c>
      <c r="X253" s="36"/>
      <c r="Y253" s="4"/>
    </row>
    <row r="254" spans="1:25" ht="15.6" customHeight="1" x14ac:dyDescent="0.25">
      <c r="A254" s="2" t="s">
        <v>49</v>
      </c>
      <c r="B254" s="3" t="s">
        <v>17</v>
      </c>
      <c r="C254" s="3" t="s">
        <v>19</v>
      </c>
      <c r="D254" s="3">
        <v>1</v>
      </c>
      <c r="E254" s="2">
        <v>1</v>
      </c>
      <c r="F254" s="8">
        <v>7759</v>
      </c>
      <c r="G254" s="1">
        <v>4</v>
      </c>
      <c r="H254" s="2">
        <v>785</v>
      </c>
      <c r="I254" s="34">
        <v>90</v>
      </c>
      <c r="J254" s="11">
        <v>95</v>
      </c>
      <c r="K254" s="44">
        <f t="shared" si="21"/>
        <v>6.0908150000000001</v>
      </c>
      <c r="L254" s="3" t="s">
        <v>61</v>
      </c>
      <c r="M254" s="3" t="s">
        <v>70</v>
      </c>
      <c r="N254" s="15">
        <f>ROUND((IF(L254="Blaze Shield II",IF(M254="Idiem software",IF(AND(C254="IN",G254=4),((('BLAZE SHIELD II'!$D$4*('HOJA DE CÁLCULO RESPALDO'!I254^2)+'BLAZE SHIELD II'!$D$5*'HOJA DE CÁLCULO RESPALDO'!I254+'BLAZE SHIELD II'!$D$6)*LN(J254))+('BLAZE SHIELD II'!$D$7*('HOJA DE CÁLCULO RESPALDO'!I254^2)+'BLAZE SHIELD II'!$D$8*'HOJA DE CÁLCULO RESPALDO'!I254+'BLAZE SHIELD II'!$D$9)),0),0),0))+(IF(L254="Blaze Shield II",IF(M254="Idiem software",IF(C254="Cj",((('BLAZE SHIELD II'!$H$4*('HOJA DE CÁLCULO RESPALDO'!I254^2)+'BLAZE SHIELD II'!$H$5*'HOJA DE CÁLCULO RESPALDO'!I254+'BLAZE SHIELD II'!$H$6)*LN(J254))+('BLAZE SHIELD II'!$H$7*('HOJA DE CÁLCULO RESPALDO'!I254^2)+'BLAZE SHIELD II'!$H$8*'HOJA DE CÁLCULO RESPALDO'!I254+'BLAZE SHIELD II'!$H$9)),0),0),0))+(IF(L254="Blaze Shield II",IF(M254="Idiem software",IF(C254="C",((('BLAZE SHIELD II'!$L$4*('HOJA DE CÁLCULO RESPALDO'!I254^2)+'BLAZE SHIELD II'!$L$5*'HOJA DE CÁLCULO RESPALDO'!I254+'BLAZE SHIELD II'!$L$6)*LN(J254))+('BLAZE SHIELD II'!$L$7*('HOJA DE CÁLCULO RESPALDO'!I254^2)+'BLAZE SHIELD II'!$L$8*'HOJA DE CÁLCULO RESPALDO'!I254+'BLAZE SHIELD II'!$L$9)),0),0),0))+(IF(L254="Blaze Shield II",IF(M254="Idiem software",IF(AND(C254="IN",G254=3),((('BLAZE SHIELD II'!$H$14*('HOJA DE CÁLCULO RESPALDO'!I254^2)+'BLAZE SHIELD II'!$H$15*'HOJA DE CÁLCULO RESPALDO'!I254+'BLAZE SHIELD II'!$H$16)*LN(J254))+('BLAZE SHIELD II'!$H$17*('HOJA DE CÁLCULO RESPALDO'!I254^2)+'BLAZE SHIELD II'!$H$18*'HOJA DE CÁLCULO RESPALDO'!I254+'BLAZE SHIELD II'!$H$19)),0),0),0)),0)</f>
        <v>0</v>
      </c>
      <c r="O254" s="46">
        <f t="shared" si="25"/>
        <v>0</v>
      </c>
      <c r="P254" s="80">
        <f t="shared" si="22"/>
        <v>0</v>
      </c>
      <c r="Q254" s="85">
        <f>ROUND((IF(L254="Cafco 400",IF(M254="Idiem software",IF(AND(C254="IN",G254=4),((('CAFCO 400 '!$H$7*(J254^4)+'CAFCO 400 '!$H$8*(J254^3)+'CAFCO 400 '!$H$9*(J254^2)+'CAFCO 400 '!$H$10*J254+'CAFCO 400 '!$H$11)*I254^2)+(('CAFCO 400 '!$H$12*(J254^3)+'CAFCO 400 '!$H$13*(J254^2)+'CAFCO 400 '!$H$14*J254+'CAFCO 400 '!$H$15)*I254)+('CAFCO 400 '!$H$16*(J254^2)+'CAFCO 400 '!$H$17*J254+'CAFCO 400 '!$H$18)),0),0),0))+(IF(L254="Cafco 400",IF(M254="Idiem software",IF(C254="Cj",(((('CAFCO 400 '!$D$7*LN(J254)+'CAFCO 400 '!$D$8)*I254^2)+(('CAFCO 400 '!$D$9*LN(J254)+'CAFCO 400 '!$D$10)*I254)+('CAFCO 400 '!$D$11*LN(J254)+'CAFCO 400 '!$D$12))),0),0),0))+(IF(L254="Cafco 400",IF(M254="Idiem software",IF(C254="C",((('CAFCO 400 '!$L$7*(J254^3)+'CAFCO 400 '!$L$8*(J254^2)+'CAFCO 400 '!$L$9*J254+'CAFCO 400 '!$L$10)*I254^2)+(('CAFCO 400 '!$L$11*(J254^3)+'CAFCO 400 '!$L$12*(J254^2)+'CAFCO 400 '!$L$13*J254+'CAFCO 400 '!$L$14)*I254)+('CAFCO 400 '!$L$15*LN(J254)+'CAFCO 400 '!$L$16)),0),0),0))+(IF(L254="Cafco 400",IF(M254="Idiem software",IF(AND(C254="IN",G254=3),((('CAFCO 400 '!$D$23*(J254^2)+'CAFCO 400 '!$D$24*(J254)+'CAFCO 400 '!$D$25)*I254^2)+(('CAFCO 400 '!$D$26*(J254^2)+'CAFCO 400 '!$D$27*J254+'CAFCO 400 '!$D$28)*I254)+('CAFCO 400 '!$D$29*(J254^2)+'CAFCO 400 '!$D$30*J254+'CAFCO 400 '!$D$31)),0),0),0)),0)</f>
        <v>0</v>
      </c>
      <c r="R254" s="47">
        <f t="shared" si="26"/>
        <v>0</v>
      </c>
      <c r="S254" s="82">
        <f t="shared" si="23"/>
        <v>0</v>
      </c>
      <c r="T254" s="81">
        <f>+IF(AND(J254&gt;=95,J254&lt;=240),IF(AND(C254="Cj",I254=90),VLOOKUP(W254,'CAFCO 300 IDIEM TABLAS'!$B$4:$D$23,2,FALSE),0)+IF(AND(J254&gt;=95,J254&lt;=240),IF(AND(C254="Cj",I254=120),VLOOKUP(W254,'CAFCO 300 IDIEM TABLAS'!$B$4:$D$23,3,FALSE),0))+IF(AND(J254&gt;=95,J254&lt;=400,G254=3),IF(AND(C254="IN",I254=90),VLOOKUP(W254,'CAFCO 300 IDIEM TABLAS'!$F$4:$H$35,2,FALSE),0),0)+IF(AND(J254&gt;=95,J254&lt;=400,G254=3),IF(AND(C254="IN",I254=120),VLOOKUP(W254,'CAFCO 300 IDIEM TABLAS'!$F$4:$H$35,3,FALSE),0),0)+IF(AND(J254&gt;=95,J254&lt;=450,G254=4),IF(AND(C254="IN",I254=90),VLOOKUP(W254,'CAFCO 300 IDIEM TABLAS'!$J$4:$L$40,2,FALSE),0),0)+IF(AND(J254&gt;=95,J254&lt;=450,G254=4),IF(AND(C254="IN",I254=120),VLOOKUP(W254,'CAFCO 300 IDIEM TABLAS'!$J$4:$L$40,3,FALSE),0),0))</f>
        <v>17</v>
      </c>
      <c r="U254" s="48">
        <f t="shared" si="27"/>
        <v>1.42887861521181</v>
      </c>
      <c r="V254" s="82">
        <f t="shared" si="24"/>
        <v>21453.183528790116</v>
      </c>
      <c r="W254" s="64">
        <f>+IF(J254=LOOKUP(J254,'CAFCO 300 IDIEM TABLAS'!$J$4:$J$40),'HOJA DE CÁLCULO RESPALDO'!J254,MROUND('HOJA DE CÁLCULO RESPALDO'!J254,10))</f>
        <v>95</v>
      </c>
      <c r="X254" s="36"/>
      <c r="Y254" s="4"/>
    </row>
    <row r="255" spans="1:25" x14ac:dyDescent="0.25">
      <c r="A255" s="2" t="s">
        <v>49</v>
      </c>
      <c r="B255" s="3" t="s">
        <v>17</v>
      </c>
      <c r="C255" s="3" t="s">
        <v>19</v>
      </c>
      <c r="D255" s="3">
        <v>1</v>
      </c>
      <c r="E255" s="2">
        <v>1</v>
      </c>
      <c r="F255" s="8">
        <v>7100</v>
      </c>
      <c r="G255" s="1">
        <v>4</v>
      </c>
      <c r="H255" s="2">
        <v>785</v>
      </c>
      <c r="I255" s="34">
        <v>90</v>
      </c>
      <c r="J255" s="11">
        <v>95</v>
      </c>
      <c r="K255" s="44">
        <f t="shared" si="21"/>
        <v>5.5735000000000001</v>
      </c>
      <c r="L255" s="3" t="s">
        <v>61</v>
      </c>
      <c r="M255" s="3" t="s">
        <v>70</v>
      </c>
      <c r="N255" s="15">
        <f>ROUND((IF(L255="Blaze Shield II",IF(M255="Idiem software",IF(AND(C255="IN",G255=4),((('BLAZE SHIELD II'!$D$4*('HOJA DE CÁLCULO RESPALDO'!I255^2)+'BLAZE SHIELD II'!$D$5*'HOJA DE CÁLCULO RESPALDO'!I255+'BLAZE SHIELD II'!$D$6)*LN(J255))+('BLAZE SHIELD II'!$D$7*('HOJA DE CÁLCULO RESPALDO'!I255^2)+'BLAZE SHIELD II'!$D$8*'HOJA DE CÁLCULO RESPALDO'!I255+'BLAZE SHIELD II'!$D$9)),0),0),0))+(IF(L255="Blaze Shield II",IF(M255="Idiem software",IF(C255="Cj",((('BLAZE SHIELD II'!$H$4*('HOJA DE CÁLCULO RESPALDO'!I255^2)+'BLAZE SHIELD II'!$H$5*'HOJA DE CÁLCULO RESPALDO'!I255+'BLAZE SHIELD II'!$H$6)*LN(J255))+('BLAZE SHIELD II'!$H$7*('HOJA DE CÁLCULO RESPALDO'!I255^2)+'BLAZE SHIELD II'!$H$8*'HOJA DE CÁLCULO RESPALDO'!I255+'BLAZE SHIELD II'!$H$9)),0),0),0))+(IF(L255="Blaze Shield II",IF(M255="Idiem software",IF(C255="C",((('BLAZE SHIELD II'!$L$4*('HOJA DE CÁLCULO RESPALDO'!I255^2)+'BLAZE SHIELD II'!$L$5*'HOJA DE CÁLCULO RESPALDO'!I255+'BLAZE SHIELD II'!$L$6)*LN(J255))+('BLAZE SHIELD II'!$L$7*('HOJA DE CÁLCULO RESPALDO'!I255^2)+'BLAZE SHIELD II'!$L$8*'HOJA DE CÁLCULO RESPALDO'!I255+'BLAZE SHIELD II'!$L$9)),0),0),0))+(IF(L255="Blaze Shield II",IF(M255="Idiem software",IF(AND(C255="IN",G255=3),((('BLAZE SHIELD II'!$H$14*('HOJA DE CÁLCULO RESPALDO'!I255^2)+'BLAZE SHIELD II'!$H$15*'HOJA DE CÁLCULO RESPALDO'!I255+'BLAZE SHIELD II'!$H$16)*LN(J255))+('BLAZE SHIELD II'!$H$17*('HOJA DE CÁLCULO RESPALDO'!I255^2)+'BLAZE SHIELD II'!$H$18*'HOJA DE CÁLCULO RESPALDO'!I255+'BLAZE SHIELD II'!$H$19)),0),0),0)),0)</f>
        <v>0</v>
      </c>
      <c r="O255" s="46">
        <f t="shared" si="25"/>
        <v>0</v>
      </c>
      <c r="P255" s="80">
        <f t="shared" si="22"/>
        <v>0</v>
      </c>
      <c r="Q255" s="85">
        <f>ROUND((IF(L255="Cafco 400",IF(M255="Idiem software",IF(AND(C255="IN",G255=4),((('CAFCO 400 '!$H$7*(J255^4)+'CAFCO 400 '!$H$8*(J255^3)+'CAFCO 400 '!$H$9*(J255^2)+'CAFCO 400 '!$H$10*J255+'CAFCO 400 '!$H$11)*I255^2)+(('CAFCO 400 '!$H$12*(J255^3)+'CAFCO 400 '!$H$13*(J255^2)+'CAFCO 400 '!$H$14*J255+'CAFCO 400 '!$H$15)*I255)+('CAFCO 400 '!$H$16*(J255^2)+'CAFCO 400 '!$H$17*J255+'CAFCO 400 '!$H$18)),0),0),0))+(IF(L255="Cafco 400",IF(M255="Idiem software",IF(C255="Cj",(((('CAFCO 400 '!$D$7*LN(J255)+'CAFCO 400 '!$D$8)*I255^2)+(('CAFCO 400 '!$D$9*LN(J255)+'CAFCO 400 '!$D$10)*I255)+('CAFCO 400 '!$D$11*LN(J255)+'CAFCO 400 '!$D$12))),0),0),0))+(IF(L255="Cafco 400",IF(M255="Idiem software",IF(C255="C",((('CAFCO 400 '!$L$7*(J255^3)+'CAFCO 400 '!$L$8*(J255^2)+'CAFCO 400 '!$L$9*J255+'CAFCO 400 '!$L$10)*I255^2)+(('CAFCO 400 '!$L$11*(J255^3)+'CAFCO 400 '!$L$12*(J255^2)+'CAFCO 400 '!$L$13*J255+'CAFCO 400 '!$L$14)*I255)+('CAFCO 400 '!$L$15*LN(J255)+'CAFCO 400 '!$L$16)),0),0),0))+(IF(L255="Cafco 400",IF(M255="Idiem software",IF(AND(C255="IN",G255=3),((('CAFCO 400 '!$D$23*(J255^2)+'CAFCO 400 '!$D$24*(J255)+'CAFCO 400 '!$D$25)*I255^2)+(('CAFCO 400 '!$D$26*(J255^2)+'CAFCO 400 '!$D$27*J255+'CAFCO 400 '!$D$28)*I255)+('CAFCO 400 '!$D$29*(J255^2)+'CAFCO 400 '!$D$30*J255+'CAFCO 400 '!$D$31)),0),0),0)),0)</f>
        <v>0</v>
      </c>
      <c r="R255" s="47">
        <f t="shared" si="26"/>
        <v>0</v>
      </c>
      <c r="S255" s="82">
        <f t="shared" si="23"/>
        <v>0</v>
      </c>
      <c r="T255" s="81">
        <f>+IF(AND(J255&gt;=95,J255&lt;=240),IF(AND(C255="Cj",I255=90),VLOOKUP(W255,'CAFCO 300 IDIEM TABLAS'!$B$4:$D$23,2,FALSE),0)+IF(AND(J255&gt;=95,J255&lt;=240),IF(AND(C255="Cj",I255=120),VLOOKUP(W255,'CAFCO 300 IDIEM TABLAS'!$B$4:$D$23,3,FALSE),0))+IF(AND(J255&gt;=95,J255&lt;=400,G255=3),IF(AND(C255="IN",I255=90),VLOOKUP(W255,'CAFCO 300 IDIEM TABLAS'!$F$4:$H$35,2,FALSE),0),0)+IF(AND(J255&gt;=95,J255&lt;=400,G255=3),IF(AND(C255="IN",I255=120),VLOOKUP(W255,'CAFCO 300 IDIEM TABLAS'!$F$4:$H$35,3,FALSE),0),0)+IF(AND(J255&gt;=95,J255&lt;=450,G255=4),IF(AND(C255="IN",I255=90),VLOOKUP(W255,'CAFCO 300 IDIEM TABLAS'!$J$4:$L$40,2,FALSE),0),0)+IF(AND(J255&gt;=95,J255&lt;=450,G255=4),IF(AND(C255="IN",I255=120),VLOOKUP(W255,'CAFCO 300 IDIEM TABLAS'!$J$4:$L$40,3,FALSE),0),0))</f>
        <v>17</v>
      </c>
      <c r="U255" s="48">
        <f t="shared" si="27"/>
        <v>1.3075187740693195</v>
      </c>
      <c r="V255" s="82">
        <f t="shared" si="24"/>
        <v>19631.086873876764</v>
      </c>
      <c r="W255" s="64">
        <f>+IF(J255=LOOKUP(J255,'CAFCO 300 IDIEM TABLAS'!$J$4:$J$40),'HOJA DE CÁLCULO RESPALDO'!J255,MROUND('HOJA DE CÁLCULO RESPALDO'!J255,10))</f>
        <v>95</v>
      </c>
      <c r="X255" s="36"/>
      <c r="Y255" s="4"/>
    </row>
    <row r="256" spans="1:25" ht="15.6" customHeight="1" x14ac:dyDescent="0.25">
      <c r="A256" s="2" t="s">
        <v>49</v>
      </c>
      <c r="B256" s="3" t="s">
        <v>17</v>
      </c>
      <c r="C256" s="3" t="s">
        <v>19</v>
      </c>
      <c r="D256" s="3">
        <v>1</v>
      </c>
      <c r="E256" s="2">
        <v>1</v>
      </c>
      <c r="F256" s="8">
        <v>19050</v>
      </c>
      <c r="G256" s="1">
        <v>4</v>
      </c>
      <c r="H256" s="2">
        <v>1185</v>
      </c>
      <c r="I256" s="34">
        <v>90</v>
      </c>
      <c r="J256" s="11">
        <v>95</v>
      </c>
      <c r="K256" s="44">
        <f t="shared" si="21"/>
        <v>22.574249999999999</v>
      </c>
      <c r="L256" s="3" t="s">
        <v>61</v>
      </c>
      <c r="M256" s="3" t="s">
        <v>70</v>
      </c>
      <c r="N256" s="15">
        <f>ROUND((IF(L256="Blaze Shield II",IF(M256="Idiem software",IF(AND(C256="IN",G256=4),((('BLAZE SHIELD II'!$D$4*('HOJA DE CÁLCULO RESPALDO'!I256^2)+'BLAZE SHIELD II'!$D$5*'HOJA DE CÁLCULO RESPALDO'!I256+'BLAZE SHIELD II'!$D$6)*LN(J256))+('BLAZE SHIELD II'!$D$7*('HOJA DE CÁLCULO RESPALDO'!I256^2)+'BLAZE SHIELD II'!$D$8*'HOJA DE CÁLCULO RESPALDO'!I256+'BLAZE SHIELD II'!$D$9)),0),0),0))+(IF(L256="Blaze Shield II",IF(M256="Idiem software",IF(C256="Cj",((('BLAZE SHIELD II'!$H$4*('HOJA DE CÁLCULO RESPALDO'!I256^2)+'BLAZE SHIELD II'!$H$5*'HOJA DE CÁLCULO RESPALDO'!I256+'BLAZE SHIELD II'!$H$6)*LN(J256))+('BLAZE SHIELD II'!$H$7*('HOJA DE CÁLCULO RESPALDO'!I256^2)+'BLAZE SHIELD II'!$H$8*'HOJA DE CÁLCULO RESPALDO'!I256+'BLAZE SHIELD II'!$H$9)),0),0),0))+(IF(L256="Blaze Shield II",IF(M256="Idiem software",IF(C256="C",((('BLAZE SHIELD II'!$L$4*('HOJA DE CÁLCULO RESPALDO'!I256^2)+'BLAZE SHIELD II'!$L$5*'HOJA DE CÁLCULO RESPALDO'!I256+'BLAZE SHIELD II'!$L$6)*LN(J256))+('BLAZE SHIELD II'!$L$7*('HOJA DE CÁLCULO RESPALDO'!I256^2)+'BLAZE SHIELD II'!$L$8*'HOJA DE CÁLCULO RESPALDO'!I256+'BLAZE SHIELD II'!$L$9)),0),0),0))+(IF(L256="Blaze Shield II",IF(M256="Idiem software",IF(AND(C256="IN",G256=3),((('BLAZE SHIELD II'!$H$14*('HOJA DE CÁLCULO RESPALDO'!I256^2)+'BLAZE SHIELD II'!$H$15*'HOJA DE CÁLCULO RESPALDO'!I256+'BLAZE SHIELD II'!$H$16)*LN(J256))+('BLAZE SHIELD II'!$H$17*('HOJA DE CÁLCULO RESPALDO'!I256^2)+'BLAZE SHIELD II'!$H$18*'HOJA DE CÁLCULO RESPALDO'!I256+'BLAZE SHIELD II'!$H$19)),0),0),0)),0)</f>
        <v>0</v>
      </c>
      <c r="O256" s="46">
        <f t="shared" si="25"/>
        <v>0</v>
      </c>
      <c r="P256" s="80">
        <f t="shared" si="22"/>
        <v>0</v>
      </c>
      <c r="Q256" s="85">
        <f>ROUND((IF(L256="Cafco 400",IF(M256="Idiem software",IF(AND(C256="IN",G256=4),((('CAFCO 400 '!$H$7*(J256^4)+'CAFCO 400 '!$H$8*(J256^3)+'CAFCO 400 '!$H$9*(J256^2)+'CAFCO 400 '!$H$10*J256+'CAFCO 400 '!$H$11)*I256^2)+(('CAFCO 400 '!$H$12*(J256^3)+'CAFCO 400 '!$H$13*(J256^2)+'CAFCO 400 '!$H$14*J256+'CAFCO 400 '!$H$15)*I256)+('CAFCO 400 '!$H$16*(J256^2)+'CAFCO 400 '!$H$17*J256+'CAFCO 400 '!$H$18)),0),0),0))+(IF(L256="Cafco 400",IF(M256="Idiem software",IF(C256="Cj",(((('CAFCO 400 '!$D$7*LN(J256)+'CAFCO 400 '!$D$8)*I256^2)+(('CAFCO 400 '!$D$9*LN(J256)+'CAFCO 400 '!$D$10)*I256)+('CAFCO 400 '!$D$11*LN(J256)+'CAFCO 400 '!$D$12))),0),0),0))+(IF(L256="Cafco 400",IF(M256="Idiem software",IF(C256="C",((('CAFCO 400 '!$L$7*(J256^3)+'CAFCO 400 '!$L$8*(J256^2)+'CAFCO 400 '!$L$9*J256+'CAFCO 400 '!$L$10)*I256^2)+(('CAFCO 400 '!$L$11*(J256^3)+'CAFCO 400 '!$L$12*(J256^2)+'CAFCO 400 '!$L$13*J256+'CAFCO 400 '!$L$14)*I256)+('CAFCO 400 '!$L$15*LN(J256)+'CAFCO 400 '!$L$16)),0),0),0))+(IF(L256="Cafco 400",IF(M256="Idiem software",IF(AND(C256="IN",G256=3),((('CAFCO 400 '!$D$23*(J256^2)+'CAFCO 400 '!$D$24*(J256)+'CAFCO 400 '!$D$25)*I256^2)+(('CAFCO 400 '!$D$26*(J256^2)+'CAFCO 400 '!$D$27*J256+'CAFCO 400 '!$D$28)*I256)+('CAFCO 400 '!$D$29*(J256^2)+'CAFCO 400 '!$D$30*J256+'CAFCO 400 '!$D$31)),0),0),0)),0)</f>
        <v>0</v>
      </c>
      <c r="R256" s="47">
        <f t="shared" si="26"/>
        <v>0</v>
      </c>
      <c r="S256" s="82">
        <f t="shared" si="23"/>
        <v>0</v>
      </c>
      <c r="T256" s="81">
        <f>+IF(AND(J256&gt;=95,J256&lt;=240),IF(AND(C256="Cj",I256=90),VLOOKUP(W256,'CAFCO 300 IDIEM TABLAS'!$B$4:$D$23,2,FALSE),0)+IF(AND(J256&gt;=95,J256&lt;=240),IF(AND(C256="Cj",I256=120),VLOOKUP(W256,'CAFCO 300 IDIEM TABLAS'!$B$4:$D$23,3,FALSE),0))+IF(AND(J256&gt;=95,J256&lt;=400,G256=3),IF(AND(C256="IN",I256=90),VLOOKUP(W256,'CAFCO 300 IDIEM TABLAS'!$F$4:$H$35,2,FALSE),0),0)+IF(AND(J256&gt;=95,J256&lt;=400,G256=3),IF(AND(C256="IN",I256=120),VLOOKUP(W256,'CAFCO 300 IDIEM TABLAS'!$F$4:$H$35,3,FALSE),0),0)+IF(AND(J256&gt;=95,J256&lt;=450,G256=4),IF(AND(C256="IN",I256=90),VLOOKUP(W256,'CAFCO 300 IDIEM TABLAS'!$J$4:$L$40,2,FALSE),0),0)+IF(AND(J256&gt;=95,J256&lt;=450,G256=4),IF(AND(C256="IN",I256=120),VLOOKUP(W256,'CAFCO 300 IDIEM TABLAS'!$J$4:$L$40,3,FALSE),0),0))</f>
        <v>17</v>
      </c>
      <c r="U256" s="48">
        <f t="shared" si="27"/>
        <v>5.2958205231065465</v>
      </c>
      <c r="V256" s="82">
        <f t="shared" si="24"/>
        <v>79511.449333921686</v>
      </c>
      <c r="W256" s="64">
        <f>+IF(J256=LOOKUP(J256,'CAFCO 300 IDIEM TABLAS'!$J$4:$J$40),'HOJA DE CÁLCULO RESPALDO'!J256,MROUND('HOJA DE CÁLCULO RESPALDO'!J256,10))</f>
        <v>95</v>
      </c>
      <c r="X256" s="36"/>
      <c r="Y256" s="4"/>
    </row>
    <row r="257" spans="1:25" x14ac:dyDescent="0.25">
      <c r="A257" s="2" t="s">
        <v>49</v>
      </c>
      <c r="B257" s="3" t="s">
        <v>17</v>
      </c>
      <c r="C257" s="3" t="s">
        <v>19</v>
      </c>
      <c r="D257" s="3">
        <v>1</v>
      </c>
      <c r="E257" s="2">
        <v>1</v>
      </c>
      <c r="F257" s="8">
        <v>4255</v>
      </c>
      <c r="G257" s="1">
        <v>4</v>
      </c>
      <c r="H257" s="2">
        <v>1185</v>
      </c>
      <c r="I257" s="34">
        <v>90</v>
      </c>
      <c r="J257" s="11">
        <v>95</v>
      </c>
      <c r="K257" s="44">
        <f t="shared" si="21"/>
        <v>5.0421750000000003</v>
      </c>
      <c r="L257" s="3" t="s">
        <v>61</v>
      </c>
      <c r="M257" s="3" t="s">
        <v>70</v>
      </c>
      <c r="N257" s="15">
        <f>ROUND((IF(L257="Blaze Shield II",IF(M257="Idiem software",IF(AND(C257="IN",G257=4),((('BLAZE SHIELD II'!$D$4*('HOJA DE CÁLCULO RESPALDO'!I257^2)+'BLAZE SHIELD II'!$D$5*'HOJA DE CÁLCULO RESPALDO'!I257+'BLAZE SHIELD II'!$D$6)*LN(J257))+('BLAZE SHIELD II'!$D$7*('HOJA DE CÁLCULO RESPALDO'!I257^2)+'BLAZE SHIELD II'!$D$8*'HOJA DE CÁLCULO RESPALDO'!I257+'BLAZE SHIELD II'!$D$9)),0),0),0))+(IF(L257="Blaze Shield II",IF(M257="Idiem software",IF(C257="Cj",((('BLAZE SHIELD II'!$H$4*('HOJA DE CÁLCULO RESPALDO'!I257^2)+'BLAZE SHIELD II'!$H$5*'HOJA DE CÁLCULO RESPALDO'!I257+'BLAZE SHIELD II'!$H$6)*LN(J257))+('BLAZE SHIELD II'!$H$7*('HOJA DE CÁLCULO RESPALDO'!I257^2)+'BLAZE SHIELD II'!$H$8*'HOJA DE CÁLCULO RESPALDO'!I257+'BLAZE SHIELD II'!$H$9)),0),0),0))+(IF(L257="Blaze Shield II",IF(M257="Idiem software",IF(C257="C",((('BLAZE SHIELD II'!$L$4*('HOJA DE CÁLCULO RESPALDO'!I257^2)+'BLAZE SHIELD II'!$L$5*'HOJA DE CÁLCULO RESPALDO'!I257+'BLAZE SHIELD II'!$L$6)*LN(J257))+('BLAZE SHIELD II'!$L$7*('HOJA DE CÁLCULO RESPALDO'!I257^2)+'BLAZE SHIELD II'!$L$8*'HOJA DE CÁLCULO RESPALDO'!I257+'BLAZE SHIELD II'!$L$9)),0),0),0))+(IF(L257="Blaze Shield II",IF(M257="Idiem software",IF(AND(C257="IN",G257=3),((('BLAZE SHIELD II'!$H$14*('HOJA DE CÁLCULO RESPALDO'!I257^2)+'BLAZE SHIELD II'!$H$15*'HOJA DE CÁLCULO RESPALDO'!I257+'BLAZE SHIELD II'!$H$16)*LN(J257))+('BLAZE SHIELD II'!$H$17*('HOJA DE CÁLCULO RESPALDO'!I257^2)+'BLAZE SHIELD II'!$H$18*'HOJA DE CÁLCULO RESPALDO'!I257+'BLAZE SHIELD II'!$H$19)),0),0),0)),0)</f>
        <v>0</v>
      </c>
      <c r="O257" s="46">
        <f t="shared" si="25"/>
        <v>0</v>
      </c>
      <c r="P257" s="80">
        <f t="shared" si="22"/>
        <v>0</v>
      </c>
      <c r="Q257" s="85">
        <f>ROUND((IF(L257="Cafco 400",IF(M257="Idiem software",IF(AND(C257="IN",G257=4),((('CAFCO 400 '!$H$7*(J257^4)+'CAFCO 400 '!$H$8*(J257^3)+'CAFCO 400 '!$H$9*(J257^2)+'CAFCO 400 '!$H$10*J257+'CAFCO 400 '!$H$11)*I257^2)+(('CAFCO 400 '!$H$12*(J257^3)+'CAFCO 400 '!$H$13*(J257^2)+'CAFCO 400 '!$H$14*J257+'CAFCO 400 '!$H$15)*I257)+('CAFCO 400 '!$H$16*(J257^2)+'CAFCO 400 '!$H$17*J257+'CAFCO 400 '!$H$18)),0),0),0))+(IF(L257="Cafco 400",IF(M257="Idiem software",IF(C257="Cj",(((('CAFCO 400 '!$D$7*LN(J257)+'CAFCO 400 '!$D$8)*I257^2)+(('CAFCO 400 '!$D$9*LN(J257)+'CAFCO 400 '!$D$10)*I257)+('CAFCO 400 '!$D$11*LN(J257)+'CAFCO 400 '!$D$12))),0),0),0))+(IF(L257="Cafco 400",IF(M257="Idiem software",IF(C257="C",((('CAFCO 400 '!$L$7*(J257^3)+'CAFCO 400 '!$L$8*(J257^2)+'CAFCO 400 '!$L$9*J257+'CAFCO 400 '!$L$10)*I257^2)+(('CAFCO 400 '!$L$11*(J257^3)+'CAFCO 400 '!$L$12*(J257^2)+'CAFCO 400 '!$L$13*J257+'CAFCO 400 '!$L$14)*I257)+('CAFCO 400 '!$L$15*LN(J257)+'CAFCO 400 '!$L$16)),0),0),0))+(IF(L257="Cafco 400",IF(M257="Idiem software",IF(AND(C257="IN",G257=3),((('CAFCO 400 '!$D$23*(J257^2)+'CAFCO 400 '!$D$24*(J257)+'CAFCO 400 '!$D$25)*I257^2)+(('CAFCO 400 '!$D$26*(J257^2)+'CAFCO 400 '!$D$27*J257+'CAFCO 400 '!$D$28)*I257)+('CAFCO 400 '!$D$29*(J257^2)+'CAFCO 400 '!$D$30*J257+'CAFCO 400 '!$D$31)),0),0),0)),0)</f>
        <v>0</v>
      </c>
      <c r="R257" s="47">
        <f t="shared" si="26"/>
        <v>0</v>
      </c>
      <c r="S257" s="82">
        <f t="shared" si="23"/>
        <v>0</v>
      </c>
      <c r="T257" s="81">
        <f>+IF(AND(J257&gt;=95,J257&lt;=240),IF(AND(C257="Cj",I257=90),VLOOKUP(W257,'CAFCO 300 IDIEM TABLAS'!$B$4:$D$23,2,FALSE),0)+IF(AND(J257&gt;=95,J257&lt;=240),IF(AND(C257="Cj",I257=120),VLOOKUP(W257,'CAFCO 300 IDIEM TABLAS'!$B$4:$D$23,3,FALSE),0))+IF(AND(J257&gt;=95,J257&lt;=400,G257=3),IF(AND(C257="IN",I257=90),VLOOKUP(W257,'CAFCO 300 IDIEM TABLAS'!$F$4:$H$35,2,FALSE),0),0)+IF(AND(J257&gt;=95,J257&lt;=400,G257=3),IF(AND(C257="IN",I257=120),VLOOKUP(W257,'CAFCO 300 IDIEM TABLAS'!$F$4:$H$35,3,FALSE),0),0)+IF(AND(J257&gt;=95,J257&lt;=450,G257=4),IF(AND(C257="IN",I257=90),VLOOKUP(W257,'CAFCO 300 IDIEM TABLAS'!$J$4:$L$40,2,FALSE),0),0)+IF(AND(J257&gt;=95,J257&lt;=450,G257=4),IF(AND(C257="IN",I257=120),VLOOKUP(W257,'CAFCO 300 IDIEM TABLAS'!$J$4:$L$40,3,FALSE),0),0))</f>
        <v>17</v>
      </c>
      <c r="U257" s="48">
        <f t="shared" si="27"/>
        <v>1.1828722480744545</v>
      </c>
      <c r="V257" s="82">
        <f t="shared" si="24"/>
        <v>17759.643932589861</v>
      </c>
      <c r="W257" s="64">
        <f>+IF(J257=LOOKUP(J257,'CAFCO 300 IDIEM TABLAS'!$J$4:$J$40),'HOJA DE CÁLCULO RESPALDO'!J257,MROUND('HOJA DE CÁLCULO RESPALDO'!J257,10))</f>
        <v>95</v>
      </c>
      <c r="X257" s="36"/>
      <c r="Y257" s="4"/>
    </row>
    <row r="258" spans="1:25" ht="15.6" customHeight="1" x14ac:dyDescent="0.25">
      <c r="A258" s="2" t="s">
        <v>50</v>
      </c>
      <c r="B258" s="3" t="s">
        <v>17</v>
      </c>
      <c r="C258" s="3" t="s">
        <v>19</v>
      </c>
      <c r="D258" s="3">
        <v>1</v>
      </c>
      <c r="E258" s="2">
        <v>1</v>
      </c>
      <c r="F258" s="8">
        <v>89250</v>
      </c>
      <c r="G258" s="1">
        <v>4</v>
      </c>
      <c r="H258" s="2">
        <v>1190</v>
      </c>
      <c r="I258" s="34">
        <v>90</v>
      </c>
      <c r="J258" s="11">
        <v>95</v>
      </c>
      <c r="K258" s="44">
        <f t="shared" si="21"/>
        <v>106.2075</v>
      </c>
      <c r="L258" s="3" t="s">
        <v>61</v>
      </c>
      <c r="M258" s="3" t="s">
        <v>70</v>
      </c>
      <c r="N258" s="15">
        <f>ROUND((IF(L258="Blaze Shield II",IF(M258="Idiem software",IF(AND(C258="IN",G258=4),((('BLAZE SHIELD II'!$D$4*('HOJA DE CÁLCULO RESPALDO'!I258^2)+'BLAZE SHIELD II'!$D$5*'HOJA DE CÁLCULO RESPALDO'!I258+'BLAZE SHIELD II'!$D$6)*LN(J258))+('BLAZE SHIELD II'!$D$7*('HOJA DE CÁLCULO RESPALDO'!I258^2)+'BLAZE SHIELD II'!$D$8*'HOJA DE CÁLCULO RESPALDO'!I258+'BLAZE SHIELD II'!$D$9)),0),0),0))+(IF(L258="Blaze Shield II",IF(M258="Idiem software",IF(C258="Cj",((('BLAZE SHIELD II'!$H$4*('HOJA DE CÁLCULO RESPALDO'!I258^2)+'BLAZE SHIELD II'!$H$5*'HOJA DE CÁLCULO RESPALDO'!I258+'BLAZE SHIELD II'!$H$6)*LN(J258))+('BLAZE SHIELD II'!$H$7*('HOJA DE CÁLCULO RESPALDO'!I258^2)+'BLAZE SHIELD II'!$H$8*'HOJA DE CÁLCULO RESPALDO'!I258+'BLAZE SHIELD II'!$H$9)),0),0),0))+(IF(L258="Blaze Shield II",IF(M258="Idiem software",IF(C258="C",((('BLAZE SHIELD II'!$L$4*('HOJA DE CÁLCULO RESPALDO'!I258^2)+'BLAZE SHIELD II'!$L$5*'HOJA DE CÁLCULO RESPALDO'!I258+'BLAZE SHIELD II'!$L$6)*LN(J258))+('BLAZE SHIELD II'!$L$7*('HOJA DE CÁLCULO RESPALDO'!I258^2)+'BLAZE SHIELD II'!$L$8*'HOJA DE CÁLCULO RESPALDO'!I258+'BLAZE SHIELD II'!$L$9)),0),0),0))+(IF(L258="Blaze Shield II",IF(M258="Idiem software",IF(AND(C258="IN",G258=3),((('BLAZE SHIELD II'!$H$14*('HOJA DE CÁLCULO RESPALDO'!I258^2)+'BLAZE SHIELD II'!$H$15*'HOJA DE CÁLCULO RESPALDO'!I258+'BLAZE SHIELD II'!$H$16)*LN(J258))+('BLAZE SHIELD II'!$H$17*('HOJA DE CÁLCULO RESPALDO'!I258^2)+'BLAZE SHIELD II'!$H$18*'HOJA DE CÁLCULO RESPALDO'!I258+'BLAZE SHIELD II'!$H$19)),0),0),0)),0)</f>
        <v>0</v>
      </c>
      <c r="O258" s="46">
        <f t="shared" si="25"/>
        <v>0</v>
      </c>
      <c r="P258" s="80">
        <f t="shared" si="22"/>
        <v>0</v>
      </c>
      <c r="Q258" s="85">
        <f>ROUND((IF(L258="Cafco 400",IF(M258="Idiem software",IF(AND(C258="IN",G258=4),((('CAFCO 400 '!$H$7*(J258^4)+'CAFCO 400 '!$H$8*(J258^3)+'CAFCO 400 '!$H$9*(J258^2)+'CAFCO 400 '!$H$10*J258+'CAFCO 400 '!$H$11)*I258^2)+(('CAFCO 400 '!$H$12*(J258^3)+'CAFCO 400 '!$H$13*(J258^2)+'CAFCO 400 '!$H$14*J258+'CAFCO 400 '!$H$15)*I258)+('CAFCO 400 '!$H$16*(J258^2)+'CAFCO 400 '!$H$17*J258+'CAFCO 400 '!$H$18)),0),0),0))+(IF(L258="Cafco 400",IF(M258="Idiem software",IF(C258="Cj",(((('CAFCO 400 '!$D$7*LN(J258)+'CAFCO 400 '!$D$8)*I258^2)+(('CAFCO 400 '!$D$9*LN(J258)+'CAFCO 400 '!$D$10)*I258)+('CAFCO 400 '!$D$11*LN(J258)+'CAFCO 400 '!$D$12))),0),0),0))+(IF(L258="Cafco 400",IF(M258="Idiem software",IF(C258="C",((('CAFCO 400 '!$L$7*(J258^3)+'CAFCO 400 '!$L$8*(J258^2)+'CAFCO 400 '!$L$9*J258+'CAFCO 400 '!$L$10)*I258^2)+(('CAFCO 400 '!$L$11*(J258^3)+'CAFCO 400 '!$L$12*(J258^2)+'CAFCO 400 '!$L$13*J258+'CAFCO 400 '!$L$14)*I258)+('CAFCO 400 '!$L$15*LN(J258)+'CAFCO 400 '!$L$16)),0),0),0))+(IF(L258="Cafco 400",IF(M258="Idiem software",IF(AND(C258="IN",G258=3),((('CAFCO 400 '!$D$23*(J258^2)+'CAFCO 400 '!$D$24*(J258)+'CAFCO 400 '!$D$25)*I258^2)+(('CAFCO 400 '!$D$26*(J258^2)+'CAFCO 400 '!$D$27*J258+'CAFCO 400 '!$D$28)*I258)+('CAFCO 400 '!$D$29*(J258^2)+'CAFCO 400 '!$D$30*J258+'CAFCO 400 '!$D$31)),0),0),0)),0)</f>
        <v>0</v>
      </c>
      <c r="R258" s="47">
        <f t="shared" si="26"/>
        <v>0</v>
      </c>
      <c r="S258" s="82">
        <f t="shared" si="23"/>
        <v>0</v>
      </c>
      <c r="T258" s="81">
        <f>+IF(AND(J258&gt;=95,J258&lt;=240),IF(AND(C258="Cj",I258=90),VLOOKUP(W258,'CAFCO 300 IDIEM TABLAS'!$B$4:$D$23,2,FALSE),0)+IF(AND(J258&gt;=95,J258&lt;=240),IF(AND(C258="Cj",I258=120),VLOOKUP(W258,'CAFCO 300 IDIEM TABLAS'!$B$4:$D$23,3,FALSE),0))+IF(AND(J258&gt;=95,J258&lt;=400,G258=3),IF(AND(C258="IN",I258=90),VLOOKUP(W258,'CAFCO 300 IDIEM TABLAS'!$F$4:$H$35,2,FALSE),0),0)+IF(AND(J258&gt;=95,J258&lt;=400,G258=3),IF(AND(C258="IN",I258=120),VLOOKUP(W258,'CAFCO 300 IDIEM TABLAS'!$F$4:$H$35,3,FALSE),0),0)+IF(AND(J258&gt;=95,J258&lt;=450,G258=4),IF(AND(C258="IN",I258=90),VLOOKUP(W258,'CAFCO 300 IDIEM TABLAS'!$J$4:$L$40,2,FALSE),0),0)+IF(AND(J258&gt;=95,J258&lt;=450,G258=4),IF(AND(C258="IN",I258=120),VLOOKUP(W258,'CAFCO 300 IDIEM TABLAS'!$J$4:$L$40,3,FALSE),0),0))</f>
        <v>17</v>
      </c>
      <c r="U258" s="48">
        <f t="shared" si="27"/>
        <v>24.915815949935812</v>
      </c>
      <c r="V258" s="82">
        <f t="shared" si="24"/>
        <v>374086.06067233626</v>
      </c>
      <c r="W258" s="64">
        <f>+IF(J258=LOOKUP(J258,'CAFCO 300 IDIEM TABLAS'!$J$4:$J$40),'HOJA DE CÁLCULO RESPALDO'!J258,MROUND('HOJA DE CÁLCULO RESPALDO'!J258,10))</f>
        <v>95</v>
      </c>
      <c r="X258" s="36"/>
      <c r="Y258" s="4"/>
    </row>
    <row r="259" spans="1:25" x14ac:dyDescent="0.25">
      <c r="A259" s="2" t="s">
        <v>50</v>
      </c>
      <c r="B259" s="3" t="s">
        <v>17</v>
      </c>
      <c r="C259" s="3" t="s">
        <v>19</v>
      </c>
      <c r="D259" s="3">
        <v>1</v>
      </c>
      <c r="E259" s="2">
        <v>1</v>
      </c>
      <c r="F259" s="8">
        <v>13000</v>
      </c>
      <c r="G259" s="1">
        <v>4</v>
      </c>
      <c r="H259" s="2">
        <v>1181</v>
      </c>
      <c r="I259" s="34">
        <v>90</v>
      </c>
      <c r="J259" s="11">
        <v>95</v>
      </c>
      <c r="K259" s="44">
        <f t="shared" si="21"/>
        <v>15.353</v>
      </c>
      <c r="L259" s="3" t="s">
        <v>61</v>
      </c>
      <c r="M259" s="3" t="s">
        <v>70</v>
      </c>
      <c r="N259" s="15">
        <f>ROUND((IF(L259="Blaze Shield II",IF(M259="Idiem software",IF(AND(C259="IN",G259=4),((('BLAZE SHIELD II'!$D$4*('HOJA DE CÁLCULO RESPALDO'!I259^2)+'BLAZE SHIELD II'!$D$5*'HOJA DE CÁLCULO RESPALDO'!I259+'BLAZE SHIELD II'!$D$6)*LN(J259))+('BLAZE SHIELD II'!$D$7*('HOJA DE CÁLCULO RESPALDO'!I259^2)+'BLAZE SHIELD II'!$D$8*'HOJA DE CÁLCULO RESPALDO'!I259+'BLAZE SHIELD II'!$D$9)),0),0),0))+(IF(L259="Blaze Shield II",IF(M259="Idiem software",IF(C259="Cj",((('BLAZE SHIELD II'!$H$4*('HOJA DE CÁLCULO RESPALDO'!I259^2)+'BLAZE SHIELD II'!$H$5*'HOJA DE CÁLCULO RESPALDO'!I259+'BLAZE SHIELD II'!$H$6)*LN(J259))+('BLAZE SHIELD II'!$H$7*('HOJA DE CÁLCULO RESPALDO'!I259^2)+'BLAZE SHIELD II'!$H$8*'HOJA DE CÁLCULO RESPALDO'!I259+'BLAZE SHIELD II'!$H$9)),0),0),0))+(IF(L259="Blaze Shield II",IF(M259="Idiem software",IF(C259="C",((('BLAZE SHIELD II'!$L$4*('HOJA DE CÁLCULO RESPALDO'!I259^2)+'BLAZE SHIELD II'!$L$5*'HOJA DE CÁLCULO RESPALDO'!I259+'BLAZE SHIELD II'!$L$6)*LN(J259))+('BLAZE SHIELD II'!$L$7*('HOJA DE CÁLCULO RESPALDO'!I259^2)+'BLAZE SHIELD II'!$L$8*'HOJA DE CÁLCULO RESPALDO'!I259+'BLAZE SHIELD II'!$L$9)),0),0),0))+(IF(L259="Blaze Shield II",IF(M259="Idiem software",IF(AND(C259="IN",G259=3),((('BLAZE SHIELD II'!$H$14*('HOJA DE CÁLCULO RESPALDO'!I259^2)+'BLAZE SHIELD II'!$H$15*'HOJA DE CÁLCULO RESPALDO'!I259+'BLAZE SHIELD II'!$H$16)*LN(J259))+('BLAZE SHIELD II'!$H$17*('HOJA DE CÁLCULO RESPALDO'!I259^2)+'BLAZE SHIELD II'!$H$18*'HOJA DE CÁLCULO RESPALDO'!I259+'BLAZE SHIELD II'!$H$19)),0),0),0)),0)</f>
        <v>0</v>
      </c>
      <c r="O259" s="46">
        <f t="shared" si="25"/>
        <v>0</v>
      </c>
      <c r="P259" s="80">
        <f t="shared" si="22"/>
        <v>0</v>
      </c>
      <c r="Q259" s="85">
        <f>ROUND((IF(L259="Cafco 400",IF(M259="Idiem software",IF(AND(C259="IN",G259=4),((('CAFCO 400 '!$H$7*(J259^4)+'CAFCO 400 '!$H$8*(J259^3)+'CAFCO 400 '!$H$9*(J259^2)+'CAFCO 400 '!$H$10*J259+'CAFCO 400 '!$H$11)*I259^2)+(('CAFCO 400 '!$H$12*(J259^3)+'CAFCO 400 '!$H$13*(J259^2)+'CAFCO 400 '!$H$14*J259+'CAFCO 400 '!$H$15)*I259)+('CAFCO 400 '!$H$16*(J259^2)+'CAFCO 400 '!$H$17*J259+'CAFCO 400 '!$H$18)),0),0),0))+(IF(L259="Cafco 400",IF(M259="Idiem software",IF(C259="Cj",(((('CAFCO 400 '!$D$7*LN(J259)+'CAFCO 400 '!$D$8)*I259^2)+(('CAFCO 400 '!$D$9*LN(J259)+'CAFCO 400 '!$D$10)*I259)+('CAFCO 400 '!$D$11*LN(J259)+'CAFCO 400 '!$D$12))),0),0),0))+(IF(L259="Cafco 400",IF(M259="Idiem software",IF(C259="C",((('CAFCO 400 '!$L$7*(J259^3)+'CAFCO 400 '!$L$8*(J259^2)+'CAFCO 400 '!$L$9*J259+'CAFCO 400 '!$L$10)*I259^2)+(('CAFCO 400 '!$L$11*(J259^3)+'CAFCO 400 '!$L$12*(J259^2)+'CAFCO 400 '!$L$13*J259+'CAFCO 400 '!$L$14)*I259)+('CAFCO 400 '!$L$15*LN(J259)+'CAFCO 400 '!$L$16)),0),0),0))+(IF(L259="Cafco 400",IF(M259="Idiem software",IF(AND(C259="IN",G259=3),((('CAFCO 400 '!$D$23*(J259^2)+'CAFCO 400 '!$D$24*(J259)+'CAFCO 400 '!$D$25)*I259^2)+(('CAFCO 400 '!$D$26*(J259^2)+'CAFCO 400 '!$D$27*J259+'CAFCO 400 '!$D$28)*I259)+('CAFCO 400 '!$D$29*(J259^2)+'CAFCO 400 '!$D$30*J259+'CAFCO 400 '!$D$31)),0),0),0)),0)</f>
        <v>0</v>
      </c>
      <c r="R259" s="47">
        <f t="shared" si="26"/>
        <v>0</v>
      </c>
      <c r="S259" s="82">
        <f t="shared" si="23"/>
        <v>0</v>
      </c>
      <c r="T259" s="81">
        <f>+IF(AND(J259&gt;=95,J259&lt;=240),IF(AND(C259="Cj",I259=90),VLOOKUP(W259,'CAFCO 300 IDIEM TABLAS'!$B$4:$D$23,2,FALSE),0)+IF(AND(J259&gt;=95,J259&lt;=240),IF(AND(C259="Cj",I259=120),VLOOKUP(W259,'CAFCO 300 IDIEM TABLAS'!$B$4:$D$23,3,FALSE),0))+IF(AND(J259&gt;=95,J259&lt;=400,G259=3),IF(AND(C259="IN",I259=90),VLOOKUP(W259,'CAFCO 300 IDIEM TABLAS'!$F$4:$H$35,2,FALSE),0),0)+IF(AND(J259&gt;=95,J259&lt;=400,G259=3),IF(AND(C259="IN",I259=120),VLOOKUP(W259,'CAFCO 300 IDIEM TABLAS'!$F$4:$H$35,3,FALSE),0),0)+IF(AND(J259&gt;=95,J259&lt;=450,G259=4),IF(AND(C259="IN",I259=90),VLOOKUP(W259,'CAFCO 300 IDIEM TABLAS'!$J$4:$L$40,2,FALSE),0),0)+IF(AND(J259&gt;=95,J259&lt;=450,G259=4),IF(AND(C259="IN",I259=120),VLOOKUP(W259,'CAFCO 300 IDIEM TABLAS'!$J$4:$L$40,3,FALSE),0),0))</f>
        <v>17</v>
      </c>
      <c r="U259" s="48">
        <f t="shared" si="27"/>
        <v>3.6017467907573808</v>
      </c>
      <c r="V259" s="82">
        <f t="shared" si="24"/>
        <v>54076.626316431313</v>
      </c>
      <c r="W259" s="64">
        <f>+IF(J259=LOOKUP(J259,'CAFCO 300 IDIEM TABLAS'!$J$4:$J$40),'HOJA DE CÁLCULO RESPALDO'!J259,MROUND('HOJA DE CÁLCULO RESPALDO'!J259,10))</f>
        <v>95</v>
      </c>
      <c r="X259" s="36"/>
      <c r="Y259" s="4"/>
    </row>
    <row r="260" spans="1:25" ht="15.6" customHeight="1" x14ac:dyDescent="0.25">
      <c r="A260" s="2" t="s">
        <v>50</v>
      </c>
      <c r="B260" s="3" t="s">
        <v>17</v>
      </c>
      <c r="C260" s="3" t="s">
        <v>19</v>
      </c>
      <c r="D260" s="3">
        <v>1</v>
      </c>
      <c r="E260" s="2">
        <v>1</v>
      </c>
      <c r="F260" s="8">
        <v>4250</v>
      </c>
      <c r="G260" s="1">
        <v>4</v>
      </c>
      <c r="H260" s="2">
        <v>1181</v>
      </c>
      <c r="I260" s="34">
        <v>90</v>
      </c>
      <c r="J260" s="11">
        <v>95</v>
      </c>
      <c r="K260" s="44">
        <f t="shared" si="21"/>
        <v>5.0192500000000004</v>
      </c>
      <c r="L260" s="3" t="s">
        <v>61</v>
      </c>
      <c r="M260" s="3" t="s">
        <v>70</v>
      </c>
      <c r="N260" s="15">
        <f>ROUND((IF(L260="Blaze Shield II",IF(M260="Idiem software",IF(AND(C260="IN",G260=4),((('BLAZE SHIELD II'!$D$4*('HOJA DE CÁLCULO RESPALDO'!I260^2)+'BLAZE SHIELD II'!$D$5*'HOJA DE CÁLCULO RESPALDO'!I260+'BLAZE SHIELD II'!$D$6)*LN(J260))+('BLAZE SHIELD II'!$D$7*('HOJA DE CÁLCULO RESPALDO'!I260^2)+'BLAZE SHIELD II'!$D$8*'HOJA DE CÁLCULO RESPALDO'!I260+'BLAZE SHIELD II'!$D$9)),0),0),0))+(IF(L260="Blaze Shield II",IF(M260="Idiem software",IF(C260="Cj",((('BLAZE SHIELD II'!$H$4*('HOJA DE CÁLCULO RESPALDO'!I260^2)+'BLAZE SHIELD II'!$H$5*'HOJA DE CÁLCULO RESPALDO'!I260+'BLAZE SHIELD II'!$H$6)*LN(J260))+('BLAZE SHIELD II'!$H$7*('HOJA DE CÁLCULO RESPALDO'!I260^2)+'BLAZE SHIELD II'!$H$8*'HOJA DE CÁLCULO RESPALDO'!I260+'BLAZE SHIELD II'!$H$9)),0),0),0))+(IF(L260="Blaze Shield II",IF(M260="Idiem software",IF(C260="C",((('BLAZE SHIELD II'!$L$4*('HOJA DE CÁLCULO RESPALDO'!I260^2)+'BLAZE SHIELD II'!$L$5*'HOJA DE CÁLCULO RESPALDO'!I260+'BLAZE SHIELD II'!$L$6)*LN(J260))+('BLAZE SHIELD II'!$L$7*('HOJA DE CÁLCULO RESPALDO'!I260^2)+'BLAZE SHIELD II'!$L$8*'HOJA DE CÁLCULO RESPALDO'!I260+'BLAZE SHIELD II'!$L$9)),0),0),0))+(IF(L260="Blaze Shield II",IF(M260="Idiem software",IF(AND(C260="IN",G260=3),((('BLAZE SHIELD II'!$H$14*('HOJA DE CÁLCULO RESPALDO'!I260^2)+'BLAZE SHIELD II'!$H$15*'HOJA DE CÁLCULO RESPALDO'!I260+'BLAZE SHIELD II'!$H$16)*LN(J260))+('BLAZE SHIELD II'!$H$17*('HOJA DE CÁLCULO RESPALDO'!I260^2)+'BLAZE SHIELD II'!$H$18*'HOJA DE CÁLCULO RESPALDO'!I260+'BLAZE SHIELD II'!$H$19)),0),0),0)),0)</f>
        <v>0</v>
      </c>
      <c r="O260" s="46">
        <f t="shared" si="25"/>
        <v>0</v>
      </c>
      <c r="P260" s="80">
        <f t="shared" si="22"/>
        <v>0</v>
      </c>
      <c r="Q260" s="85">
        <f>ROUND((IF(L260="Cafco 400",IF(M260="Idiem software",IF(AND(C260="IN",G260=4),((('CAFCO 400 '!$H$7*(J260^4)+'CAFCO 400 '!$H$8*(J260^3)+'CAFCO 400 '!$H$9*(J260^2)+'CAFCO 400 '!$H$10*J260+'CAFCO 400 '!$H$11)*I260^2)+(('CAFCO 400 '!$H$12*(J260^3)+'CAFCO 400 '!$H$13*(J260^2)+'CAFCO 400 '!$H$14*J260+'CAFCO 400 '!$H$15)*I260)+('CAFCO 400 '!$H$16*(J260^2)+'CAFCO 400 '!$H$17*J260+'CAFCO 400 '!$H$18)),0),0),0))+(IF(L260="Cafco 400",IF(M260="Idiem software",IF(C260="Cj",(((('CAFCO 400 '!$D$7*LN(J260)+'CAFCO 400 '!$D$8)*I260^2)+(('CAFCO 400 '!$D$9*LN(J260)+'CAFCO 400 '!$D$10)*I260)+('CAFCO 400 '!$D$11*LN(J260)+'CAFCO 400 '!$D$12))),0),0),0))+(IF(L260="Cafco 400",IF(M260="Idiem software",IF(C260="C",((('CAFCO 400 '!$L$7*(J260^3)+'CAFCO 400 '!$L$8*(J260^2)+'CAFCO 400 '!$L$9*J260+'CAFCO 400 '!$L$10)*I260^2)+(('CAFCO 400 '!$L$11*(J260^3)+'CAFCO 400 '!$L$12*(J260^2)+'CAFCO 400 '!$L$13*J260+'CAFCO 400 '!$L$14)*I260)+('CAFCO 400 '!$L$15*LN(J260)+'CAFCO 400 '!$L$16)),0),0),0))+(IF(L260="Cafco 400",IF(M260="Idiem software",IF(AND(C260="IN",G260=3),((('CAFCO 400 '!$D$23*(J260^2)+'CAFCO 400 '!$D$24*(J260)+'CAFCO 400 '!$D$25)*I260^2)+(('CAFCO 400 '!$D$26*(J260^2)+'CAFCO 400 '!$D$27*J260+'CAFCO 400 '!$D$28)*I260)+('CAFCO 400 '!$D$29*(J260^2)+'CAFCO 400 '!$D$30*J260+'CAFCO 400 '!$D$31)),0),0),0)),0)</f>
        <v>0</v>
      </c>
      <c r="R260" s="47">
        <f t="shared" si="26"/>
        <v>0</v>
      </c>
      <c r="S260" s="82">
        <f t="shared" si="23"/>
        <v>0</v>
      </c>
      <c r="T260" s="81">
        <f>+IF(AND(J260&gt;=95,J260&lt;=240),IF(AND(C260="Cj",I260=90),VLOOKUP(W260,'CAFCO 300 IDIEM TABLAS'!$B$4:$D$23,2,FALSE),0)+IF(AND(J260&gt;=95,J260&lt;=240),IF(AND(C260="Cj",I260=120),VLOOKUP(W260,'CAFCO 300 IDIEM TABLAS'!$B$4:$D$23,3,FALSE),0))+IF(AND(J260&gt;=95,J260&lt;=400,G260=3),IF(AND(C260="IN",I260=90),VLOOKUP(W260,'CAFCO 300 IDIEM TABLAS'!$F$4:$H$35,2,FALSE),0),0)+IF(AND(J260&gt;=95,J260&lt;=400,G260=3),IF(AND(C260="IN",I260=120),VLOOKUP(W260,'CAFCO 300 IDIEM TABLAS'!$F$4:$H$35,3,FALSE),0),0)+IF(AND(J260&gt;=95,J260&lt;=450,G260=4),IF(AND(C260="IN",I260=90),VLOOKUP(W260,'CAFCO 300 IDIEM TABLAS'!$J$4:$L$40,2,FALSE),0),0)+IF(AND(J260&gt;=95,J260&lt;=450,G260=4),IF(AND(C260="IN",I260=120),VLOOKUP(W260,'CAFCO 300 IDIEM TABLAS'!$J$4:$L$40,3,FALSE),0),0))</f>
        <v>17</v>
      </c>
      <c r="U260" s="48">
        <f t="shared" si="27"/>
        <v>1.177494143132221</v>
      </c>
      <c r="V260" s="82">
        <f t="shared" si="24"/>
        <v>17678.897064987166</v>
      </c>
      <c r="W260" s="64">
        <f>+IF(J260=LOOKUP(J260,'CAFCO 300 IDIEM TABLAS'!$J$4:$J$40),'HOJA DE CÁLCULO RESPALDO'!J260,MROUND('HOJA DE CÁLCULO RESPALDO'!J260,10))</f>
        <v>95</v>
      </c>
      <c r="X260" s="36"/>
      <c r="Y260" s="4"/>
    </row>
    <row r="261" spans="1:25" x14ac:dyDescent="0.25">
      <c r="A261" s="2" t="s">
        <v>50</v>
      </c>
      <c r="B261" s="3" t="s">
        <v>17</v>
      </c>
      <c r="C261" s="3" t="s">
        <v>19</v>
      </c>
      <c r="D261" s="3">
        <v>1</v>
      </c>
      <c r="E261" s="2">
        <v>1</v>
      </c>
      <c r="F261" s="8">
        <v>8500</v>
      </c>
      <c r="G261" s="1">
        <v>4</v>
      </c>
      <c r="H261" s="2">
        <v>1181</v>
      </c>
      <c r="I261" s="34">
        <v>90</v>
      </c>
      <c r="J261" s="11">
        <v>95</v>
      </c>
      <c r="K261" s="44">
        <f t="shared" si="21"/>
        <v>10.038500000000001</v>
      </c>
      <c r="L261" s="3" t="s">
        <v>61</v>
      </c>
      <c r="M261" s="3" t="s">
        <v>70</v>
      </c>
      <c r="N261" s="15">
        <f>ROUND((IF(L261="Blaze Shield II",IF(M261="Idiem software",IF(AND(C261="IN",G261=4),((('BLAZE SHIELD II'!$D$4*('HOJA DE CÁLCULO RESPALDO'!I261^2)+'BLAZE SHIELD II'!$D$5*'HOJA DE CÁLCULO RESPALDO'!I261+'BLAZE SHIELD II'!$D$6)*LN(J261))+('BLAZE SHIELD II'!$D$7*('HOJA DE CÁLCULO RESPALDO'!I261^2)+'BLAZE SHIELD II'!$D$8*'HOJA DE CÁLCULO RESPALDO'!I261+'BLAZE SHIELD II'!$D$9)),0),0),0))+(IF(L261="Blaze Shield II",IF(M261="Idiem software",IF(C261="Cj",((('BLAZE SHIELD II'!$H$4*('HOJA DE CÁLCULO RESPALDO'!I261^2)+'BLAZE SHIELD II'!$H$5*'HOJA DE CÁLCULO RESPALDO'!I261+'BLAZE SHIELD II'!$H$6)*LN(J261))+('BLAZE SHIELD II'!$H$7*('HOJA DE CÁLCULO RESPALDO'!I261^2)+'BLAZE SHIELD II'!$H$8*'HOJA DE CÁLCULO RESPALDO'!I261+'BLAZE SHIELD II'!$H$9)),0),0),0))+(IF(L261="Blaze Shield II",IF(M261="Idiem software",IF(C261="C",((('BLAZE SHIELD II'!$L$4*('HOJA DE CÁLCULO RESPALDO'!I261^2)+'BLAZE SHIELD II'!$L$5*'HOJA DE CÁLCULO RESPALDO'!I261+'BLAZE SHIELD II'!$L$6)*LN(J261))+('BLAZE SHIELD II'!$L$7*('HOJA DE CÁLCULO RESPALDO'!I261^2)+'BLAZE SHIELD II'!$L$8*'HOJA DE CÁLCULO RESPALDO'!I261+'BLAZE SHIELD II'!$L$9)),0),0),0))+(IF(L261="Blaze Shield II",IF(M261="Idiem software",IF(AND(C261="IN",G261=3),((('BLAZE SHIELD II'!$H$14*('HOJA DE CÁLCULO RESPALDO'!I261^2)+'BLAZE SHIELD II'!$H$15*'HOJA DE CÁLCULO RESPALDO'!I261+'BLAZE SHIELD II'!$H$16)*LN(J261))+('BLAZE SHIELD II'!$H$17*('HOJA DE CÁLCULO RESPALDO'!I261^2)+'BLAZE SHIELD II'!$H$18*'HOJA DE CÁLCULO RESPALDO'!I261+'BLAZE SHIELD II'!$H$19)),0),0),0)),0)</f>
        <v>0</v>
      </c>
      <c r="O261" s="46">
        <f t="shared" si="25"/>
        <v>0</v>
      </c>
      <c r="P261" s="80">
        <f t="shared" si="22"/>
        <v>0</v>
      </c>
      <c r="Q261" s="85">
        <f>ROUND((IF(L261="Cafco 400",IF(M261="Idiem software",IF(AND(C261="IN",G261=4),((('CAFCO 400 '!$H$7*(J261^4)+'CAFCO 400 '!$H$8*(J261^3)+'CAFCO 400 '!$H$9*(J261^2)+'CAFCO 400 '!$H$10*J261+'CAFCO 400 '!$H$11)*I261^2)+(('CAFCO 400 '!$H$12*(J261^3)+'CAFCO 400 '!$H$13*(J261^2)+'CAFCO 400 '!$H$14*J261+'CAFCO 400 '!$H$15)*I261)+('CAFCO 400 '!$H$16*(J261^2)+'CAFCO 400 '!$H$17*J261+'CAFCO 400 '!$H$18)),0),0),0))+(IF(L261="Cafco 400",IF(M261="Idiem software",IF(C261="Cj",(((('CAFCO 400 '!$D$7*LN(J261)+'CAFCO 400 '!$D$8)*I261^2)+(('CAFCO 400 '!$D$9*LN(J261)+'CAFCO 400 '!$D$10)*I261)+('CAFCO 400 '!$D$11*LN(J261)+'CAFCO 400 '!$D$12))),0),0),0))+(IF(L261="Cafco 400",IF(M261="Idiem software",IF(C261="C",((('CAFCO 400 '!$L$7*(J261^3)+'CAFCO 400 '!$L$8*(J261^2)+'CAFCO 400 '!$L$9*J261+'CAFCO 400 '!$L$10)*I261^2)+(('CAFCO 400 '!$L$11*(J261^3)+'CAFCO 400 '!$L$12*(J261^2)+'CAFCO 400 '!$L$13*J261+'CAFCO 400 '!$L$14)*I261)+('CAFCO 400 '!$L$15*LN(J261)+'CAFCO 400 '!$L$16)),0),0),0))+(IF(L261="Cafco 400",IF(M261="Idiem software",IF(AND(C261="IN",G261=3),((('CAFCO 400 '!$D$23*(J261^2)+'CAFCO 400 '!$D$24*(J261)+'CAFCO 400 '!$D$25)*I261^2)+(('CAFCO 400 '!$D$26*(J261^2)+'CAFCO 400 '!$D$27*J261+'CAFCO 400 '!$D$28)*I261)+('CAFCO 400 '!$D$29*(J261^2)+'CAFCO 400 '!$D$30*J261+'CAFCO 400 '!$D$31)),0),0),0)),0)</f>
        <v>0</v>
      </c>
      <c r="R261" s="47">
        <f t="shared" si="26"/>
        <v>0</v>
      </c>
      <c r="S261" s="82">
        <f t="shared" si="23"/>
        <v>0</v>
      </c>
      <c r="T261" s="81">
        <f>+IF(AND(J261&gt;=95,J261&lt;=240),IF(AND(C261="Cj",I261=90),VLOOKUP(W261,'CAFCO 300 IDIEM TABLAS'!$B$4:$D$23,2,FALSE),0)+IF(AND(J261&gt;=95,J261&lt;=240),IF(AND(C261="Cj",I261=120),VLOOKUP(W261,'CAFCO 300 IDIEM TABLAS'!$B$4:$D$23,3,FALSE),0))+IF(AND(J261&gt;=95,J261&lt;=400,G261=3),IF(AND(C261="IN",I261=90),VLOOKUP(W261,'CAFCO 300 IDIEM TABLAS'!$F$4:$H$35,2,FALSE),0),0)+IF(AND(J261&gt;=95,J261&lt;=400,G261=3),IF(AND(C261="IN",I261=120),VLOOKUP(W261,'CAFCO 300 IDIEM TABLAS'!$F$4:$H$35,3,FALSE),0),0)+IF(AND(J261&gt;=95,J261&lt;=450,G261=4),IF(AND(C261="IN",I261=90),VLOOKUP(W261,'CAFCO 300 IDIEM TABLAS'!$J$4:$L$40,2,FALSE),0),0)+IF(AND(J261&gt;=95,J261&lt;=450,G261=4),IF(AND(C261="IN",I261=120),VLOOKUP(W261,'CAFCO 300 IDIEM TABLAS'!$J$4:$L$40,3,FALSE),0),0))</f>
        <v>17</v>
      </c>
      <c r="U261" s="48">
        <f t="shared" si="27"/>
        <v>2.354988286264442</v>
      </c>
      <c r="V261" s="82">
        <f t="shared" si="24"/>
        <v>35357.794129974332</v>
      </c>
      <c r="W261" s="64">
        <f>+IF(J261=LOOKUP(J261,'CAFCO 300 IDIEM TABLAS'!$J$4:$J$40),'HOJA DE CÁLCULO RESPALDO'!J261,MROUND('HOJA DE CÁLCULO RESPALDO'!J261,10))</f>
        <v>95</v>
      </c>
      <c r="X261" s="36"/>
      <c r="Y261" s="4"/>
    </row>
    <row r="262" spans="1:25" ht="15.6" customHeight="1" x14ac:dyDescent="0.25">
      <c r="A262" s="2" t="s">
        <v>50</v>
      </c>
      <c r="B262" s="3" t="s">
        <v>17</v>
      </c>
      <c r="C262" s="3" t="s">
        <v>19</v>
      </c>
      <c r="D262" s="3">
        <v>1</v>
      </c>
      <c r="E262" s="2">
        <v>1</v>
      </c>
      <c r="F262" s="8">
        <v>103000</v>
      </c>
      <c r="G262" s="1">
        <v>4</v>
      </c>
      <c r="H262" s="2">
        <v>1190</v>
      </c>
      <c r="I262" s="34">
        <v>90</v>
      </c>
      <c r="J262" s="11">
        <v>95</v>
      </c>
      <c r="K262" s="44">
        <f t="shared" si="21"/>
        <v>122.57</v>
      </c>
      <c r="L262" s="3" t="s">
        <v>61</v>
      </c>
      <c r="M262" s="3" t="s">
        <v>70</v>
      </c>
      <c r="N262" s="15">
        <f>ROUND((IF(L262="Blaze Shield II",IF(M262="Idiem software",IF(AND(C262="IN",G262=4),((('BLAZE SHIELD II'!$D$4*('HOJA DE CÁLCULO RESPALDO'!I262^2)+'BLAZE SHIELD II'!$D$5*'HOJA DE CÁLCULO RESPALDO'!I262+'BLAZE SHIELD II'!$D$6)*LN(J262))+('BLAZE SHIELD II'!$D$7*('HOJA DE CÁLCULO RESPALDO'!I262^2)+'BLAZE SHIELD II'!$D$8*'HOJA DE CÁLCULO RESPALDO'!I262+'BLAZE SHIELD II'!$D$9)),0),0),0))+(IF(L262="Blaze Shield II",IF(M262="Idiem software",IF(C262="Cj",((('BLAZE SHIELD II'!$H$4*('HOJA DE CÁLCULO RESPALDO'!I262^2)+'BLAZE SHIELD II'!$H$5*'HOJA DE CÁLCULO RESPALDO'!I262+'BLAZE SHIELD II'!$H$6)*LN(J262))+('BLAZE SHIELD II'!$H$7*('HOJA DE CÁLCULO RESPALDO'!I262^2)+'BLAZE SHIELD II'!$H$8*'HOJA DE CÁLCULO RESPALDO'!I262+'BLAZE SHIELD II'!$H$9)),0),0),0))+(IF(L262="Blaze Shield II",IF(M262="Idiem software",IF(C262="C",((('BLAZE SHIELD II'!$L$4*('HOJA DE CÁLCULO RESPALDO'!I262^2)+'BLAZE SHIELD II'!$L$5*'HOJA DE CÁLCULO RESPALDO'!I262+'BLAZE SHIELD II'!$L$6)*LN(J262))+('BLAZE SHIELD II'!$L$7*('HOJA DE CÁLCULO RESPALDO'!I262^2)+'BLAZE SHIELD II'!$L$8*'HOJA DE CÁLCULO RESPALDO'!I262+'BLAZE SHIELD II'!$L$9)),0),0),0))+(IF(L262="Blaze Shield II",IF(M262="Idiem software",IF(AND(C262="IN",G262=3),((('BLAZE SHIELD II'!$H$14*('HOJA DE CÁLCULO RESPALDO'!I262^2)+'BLAZE SHIELD II'!$H$15*'HOJA DE CÁLCULO RESPALDO'!I262+'BLAZE SHIELD II'!$H$16)*LN(J262))+('BLAZE SHIELD II'!$H$17*('HOJA DE CÁLCULO RESPALDO'!I262^2)+'BLAZE SHIELD II'!$H$18*'HOJA DE CÁLCULO RESPALDO'!I262+'BLAZE SHIELD II'!$H$19)),0),0),0)),0)</f>
        <v>0</v>
      </c>
      <c r="O262" s="46">
        <f t="shared" si="25"/>
        <v>0</v>
      </c>
      <c r="P262" s="80">
        <f t="shared" si="22"/>
        <v>0</v>
      </c>
      <c r="Q262" s="85">
        <f>ROUND((IF(L262="Cafco 400",IF(M262="Idiem software",IF(AND(C262="IN",G262=4),((('CAFCO 400 '!$H$7*(J262^4)+'CAFCO 400 '!$H$8*(J262^3)+'CAFCO 400 '!$H$9*(J262^2)+'CAFCO 400 '!$H$10*J262+'CAFCO 400 '!$H$11)*I262^2)+(('CAFCO 400 '!$H$12*(J262^3)+'CAFCO 400 '!$H$13*(J262^2)+'CAFCO 400 '!$H$14*J262+'CAFCO 400 '!$H$15)*I262)+('CAFCO 400 '!$H$16*(J262^2)+'CAFCO 400 '!$H$17*J262+'CAFCO 400 '!$H$18)),0),0),0))+(IF(L262="Cafco 400",IF(M262="Idiem software",IF(C262="Cj",(((('CAFCO 400 '!$D$7*LN(J262)+'CAFCO 400 '!$D$8)*I262^2)+(('CAFCO 400 '!$D$9*LN(J262)+'CAFCO 400 '!$D$10)*I262)+('CAFCO 400 '!$D$11*LN(J262)+'CAFCO 400 '!$D$12))),0),0),0))+(IF(L262="Cafco 400",IF(M262="Idiem software",IF(C262="C",((('CAFCO 400 '!$L$7*(J262^3)+'CAFCO 400 '!$L$8*(J262^2)+'CAFCO 400 '!$L$9*J262+'CAFCO 400 '!$L$10)*I262^2)+(('CAFCO 400 '!$L$11*(J262^3)+'CAFCO 400 '!$L$12*(J262^2)+'CAFCO 400 '!$L$13*J262+'CAFCO 400 '!$L$14)*I262)+('CAFCO 400 '!$L$15*LN(J262)+'CAFCO 400 '!$L$16)),0),0),0))+(IF(L262="Cafco 400",IF(M262="Idiem software",IF(AND(C262="IN",G262=3),((('CAFCO 400 '!$D$23*(J262^2)+'CAFCO 400 '!$D$24*(J262)+'CAFCO 400 '!$D$25)*I262^2)+(('CAFCO 400 '!$D$26*(J262^2)+'CAFCO 400 '!$D$27*J262+'CAFCO 400 '!$D$28)*I262)+('CAFCO 400 '!$D$29*(J262^2)+'CAFCO 400 '!$D$30*J262+'CAFCO 400 '!$D$31)),0),0),0)),0)</f>
        <v>0</v>
      </c>
      <c r="R262" s="47">
        <f t="shared" si="26"/>
        <v>0</v>
      </c>
      <c r="S262" s="82">
        <f t="shared" si="23"/>
        <v>0</v>
      </c>
      <c r="T262" s="81">
        <f>+IF(AND(J262&gt;=95,J262&lt;=240),IF(AND(C262="Cj",I262=90),VLOOKUP(W262,'CAFCO 300 IDIEM TABLAS'!$B$4:$D$23,2,FALSE),0)+IF(AND(J262&gt;=95,J262&lt;=240),IF(AND(C262="Cj",I262=120),VLOOKUP(W262,'CAFCO 300 IDIEM TABLAS'!$B$4:$D$23,3,FALSE),0))+IF(AND(J262&gt;=95,J262&lt;=400,G262=3),IF(AND(C262="IN",I262=90),VLOOKUP(W262,'CAFCO 300 IDIEM TABLAS'!$F$4:$H$35,2,FALSE),0),0)+IF(AND(J262&gt;=95,J262&lt;=400,G262=3),IF(AND(C262="IN",I262=120),VLOOKUP(W262,'CAFCO 300 IDIEM TABLAS'!$F$4:$H$35,3,FALSE),0),0)+IF(AND(J262&gt;=95,J262&lt;=450,G262=4),IF(AND(C262="IN",I262=90),VLOOKUP(W262,'CAFCO 300 IDIEM TABLAS'!$J$4:$L$40,2,FALSE),0),0)+IF(AND(J262&gt;=95,J262&lt;=450,G262=4),IF(AND(C262="IN",I262=120),VLOOKUP(W262,'CAFCO 300 IDIEM TABLAS'!$J$4:$L$40,3,FALSE),0),0))</f>
        <v>17</v>
      </c>
      <c r="U262" s="48">
        <f t="shared" si="27"/>
        <v>28.754387034659821</v>
      </c>
      <c r="V262" s="82">
        <f t="shared" si="24"/>
        <v>431718.36693838256</v>
      </c>
      <c r="W262" s="64">
        <f>+IF(J262=LOOKUP(J262,'CAFCO 300 IDIEM TABLAS'!$J$4:$J$40),'HOJA DE CÁLCULO RESPALDO'!J262,MROUND('HOJA DE CÁLCULO RESPALDO'!J262,10))</f>
        <v>95</v>
      </c>
      <c r="X262" s="36"/>
      <c r="Y262" s="4"/>
    </row>
    <row r="263" spans="1:25" x14ac:dyDescent="0.25">
      <c r="A263" s="2" t="s">
        <v>50</v>
      </c>
      <c r="B263" s="3" t="s">
        <v>17</v>
      </c>
      <c r="C263" s="3" t="s">
        <v>19</v>
      </c>
      <c r="D263" s="3">
        <v>1</v>
      </c>
      <c r="E263" s="2">
        <v>1</v>
      </c>
      <c r="F263" s="8">
        <v>12750</v>
      </c>
      <c r="G263" s="1">
        <v>4</v>
      </c>
      <c r="H263" s="2">
        <v>1181</v>
      </c>
      <c r="I263" s="34">
        <v>90</v>
      </c>
      <c r="J263" s="11">
        <v>95</v>
      </c>
      <c r="K263" s="44">
        <f t="shared" si="21"/>
        <v>15.05775</v>
      </c>
      <c r="L263" s="3" t="s">
        <v>61</v>
      </c>
      <c r="M263" s="3" t="s">
        <v>70</v>
      </c>
      <c r="N263" s="15">
        <f>ROUND((IF(L263="Blaze Shield II",IF(M263="Idiem software",IF(AND(C263="IN",G263=4),((('BLAZE SHIELD II'!$D$4*('HOJA DE CÁLCULO RESPALDO'!I263^2)+'BLAZE SHIELD II'!$D$5*'HOJA DE CÁLCULO RESPALDO'!I263+'BLAZE SHIELD II'!$D$6)*LN(J263))+('BLAZE SHIELD II'!$D$7*('HOJA DE CÁLCULO RESPALDO'!I263^2)+'BLAZE SHIELD II'!$D$8*'HOJA DE CÁLCULO RESPALDO'!I263+'BLAZE SHIELD II'!$D$9)),0),0),0))+(IF(L263="Blaze Shield II",IF(M263="Idiem software",IF(C263="Cj",((('BLAZE SHIELD II'!$H$4*('HOJA DE CÁLCULO RESPALDO'!I263^2)+'BLAZE SHIELD II'!$H$5*'HOJA DE CÁLCULO RESPALDO'!I263+'BLAZE SHIELD II'!$H$6)*LN(J263))+('BLAZE SHIELD II'!$H$7*('HOJA DE CÁLCULO RESPALDO'!I263^2)+'BLAZE SHIELD II'!$H$8*'HOJA DE CÁLCULO RESPALDO'!I263+'BLAZE SHIELD II'!$H$9)),0),0),0))+(IF(L263="Blaze Shield II",IF(M263="Idiem software",IF(C263="C",((('BLAZE SHIELD II'!$L$4*('HOJA DE CÁLCULO RESPALDO'!I263^2)+'BLAZE SHIELD II'!$L$5*'HOJA DE CÁLCULO RESPALDO'!I263+'BLAZE SHIELD II'!$L$6)*LN(J263))+('BLAZE SHIELD II'!$L$7*('HOJA DE CÁLCULO RESPALDO'!I263^2)+'BLAZE SHIELD II'!$L$8*'HOJA DE CÁLCULO RESPALDO'!I263+'BLAZE SHIELD II'!$L$9)),0),0),0))+(IF(L263="Blaze Shield II",IF(M263="Idiem software",IF(AND(C263="IN",G263=3),((('BLAZE SHIELD II'!$H$14*('HOJA DE CÁLCULO RESPALDO'!I263^2)+'BLAZE SHIELD II'!$H$15*'HOJA DE CÁLCULO RESPALDO'!I263+'BLAZE SHIELD II'!$H$16)*LN(J263))+('BLAZE SHIELD II'!$H$17*('HOJA DE CÁLCULO RESPALDO'!I263^2)+'BLAZE SHIELD II'!$H$18*'HOJA DE CÁLCULO RESPALDO'!I263+'BLAZE SHIELD II'!$H$19)),0),0),0)),0)</f>
        <v>0</v>
      </c>
      <c r="O263" s="46">
        <f t="shared" si="25"/>
        <v>0</v>
      </c>
      <c r="P263" s="80">
        <f t="shared" si="22"/>
        <v>0</v>
      </c>
      <c r="Q263" s="85">
        <f>ROUND((IF(L263="Cafco 400",IF(M263="Idiem software",IF(AND(C263="IN",G263=4),((('CAFCO 400 '!$H$7*(J263^4)+'CAFCO 400 '!$H$8*(J263^3)+'CAFCO 400 '!$H$9*(J263^2)+'CAFCO 400 '!$H$10*J263+'CAFCO 400 '!$H$11)*I263^2)+(('CAFCO 400 '!$H$12*(J263^3)+'CAFCO 400 '!$H$13*(J263^2)+'CAFCO 400 '!$H$14*J263+'CAFCO 400 '!$H$15)*I263)+('CAFCO 400 '!$H$16*(J263^2)+'CAFCO 400 '!$H$17*J263+'CAFCO 400 '!$H$18)),0),0),0))+(IF(L263="Cafco 400",IF(M263="Idiem software",IF(C263="Cj",(((('CAFCO 400 '!$D$7*LN(J263)+'CAFCO 400 '!$D$8)*I263^2)+(('CAFCO 400 '!$D$9*LN(J263)+'CAFCO 400 '!$D$10)*I263)+('CAFCO 400 '!$D$11*LN(J263)+'CAFCO 400 '!$D$12))),0),0),0))+(IF(L263="Cafco 400",IF(M263="Idiem software",IF(C263="C",((('CAFCO 400 '!$L$7*(J263^3)+'CAFCO 400 '!$L$8*(J263^2)+'CAFCO 400 '!$L$9*J263+'CAFCO 400 '!$L$10)*I263^2)+(('CAFCO 400 '!$L$11*(J263^3)+'CAFCO 400 '!$L$12*(J263^2)+'CAFCO 400 '!$L$13*J263+'CAFCO 400 '!$L$14)*I263)+('CAFCO 400 '!$L$15*LN(J263)+'CAFCO 400 '!$L$16)),0),0),0))+(IF(L263="Cafco 400",IF(M263="Idiem software",IF(AND(C263="IN",G263=3),((('CAFCO 400 '!$D$23*(J263^2)+'CAFCO 400 '!$D$24*(J263)+'CAFCO 400 '!$D$25)*I263^2)+(('CAFCO 400 '!$D$26*(J263^2)+'CAFCO 400 '!$D$27*J263+'CAFCO 400 '!$D$28)*I263)+('CAFCO 400 '!$D$29*(J263^2)+'CAFCO 400 '!$D$30*J263+'CAFCO 400 '!$D$31)),0),0),0)),0)</f>
        <v>0</v>
      </c>
      <c r="R263" s="47">
        <f t="shared" si="26"/>
        <v>0</v>
      </c>
      <c r="S263" s="82">
        <f t="shared" si="23"/>
        <v>0</v>
      </c>
      <c r="T263" s="81">
        <f>+IF(AND(J263&gt;=95,J263&lt;=240),IF(AND(C263="Cj",I263=90),VLOOKUP(W263,'CAFCO 300 IDIEM TABLAS'!$B$4:$D$23,2,FALSE),0)+IF(AND(J263&gt;=95,J263&lt;=240),IF(AND(C263="Cj",I263=120),VLOOKUP(W263,'CAFCO 300 IDIEM TABLAS'!$B$4:$D$23,3,FALSE),0))+IF(AND(J263&gt;=95,J263&lt;=400,G263=3),IF(AND(C263="IN",I263=90),VLOOKUP(W263,'CAFCO 300 IDIEM TABLAS'!$F$4:$H$35,2,FALSE),0),0)+IF(AND(J263&gt;=95,J263&lt;=400,G263=3),IF(AND(C263="IN",I263=120),VLOOKUP(W263,'CAFCO 300 IDIEM TABLAS'!$F$4:$H$35,3,FALSE),0),0)+IF(AND(J263&gt;=95,J263&lt;=450,G263=4),IF(AND(C263="IN",I263=90),VLOOKUP(W263,'CAFCO 300 IDIEM TABLAS'!$J$4:$L$40,2,FALSE),0),0)+IF(AND(J263&gt;=95,J263&lt;=450,G263=4),IF(AND(C263="IN",I263=120),VLOOKUP(W263,'CAFCO 300 IDIEM TABLAS'!$J$4:$L$40,3,FALSE),0),0))</f>
        <v>17</v>
      </c>
      <c r="U263" s="48">
        <f t="shared" si="27"/>
        <v>3.5324824293966626</v>
      </c>
      <c r="V263" s="82">
        <f t="shared" si="24"/>
        <v>53036.691194961495</v>
      </c>
      <c r="W263" s="64">
        <f>+IF(J263=LOOKUP(J263,'CAFCO 300 IDIEM TABLAS'!$J$4:$J$40),'HOJA DE CÁLCULO RESPALDO'!J263,MROUND('HOJA DE CÁLCULO RESPALDO'!J263,10))</f>
        <v>95</v>
      </c>
      <c r="X263" s="36"/>
      <c r="Y263" s="4"/>
    </row>
    <row r="264" spans="1:25" ht="15.6" customHeight="1" x14ac:dyDescent="0.25">
      <c r="A264" s="2" t="s">
        <v>50</v>
      </c>
      <c r="B264" s="3" t="s">
        <v>17</v>
      </c>
      <c r="C264" s="3" t="s">
        <v>19</v>
      </c>
      <c r="D264" s="3">
        <v>1</v>
      </c>
      <c r="E264" s="2">
        <v>1</v>
      </c>
      <c r="F264" s="8">
        <v>17500</v>
      </c>
      <c r="G264" s="1">
        <v>4</v>
      </c>
      <c r="H264" s="2">
        <v>1692</v>
      </c>
      <c r="I264" s="34">
        <v>90</v>
      </c>
      <c r="J264" s="11">
        <v>95</v>
      </c>
      <c r="K264" s="44">
        <f t="shared" si="21"/>
        <v>29.61</v>
      </c>
      <c r="L264" s="3" t="s">
        <v>61</v>
      </c>
      <c r="M264" s="3" t="s">
        <v>70</v>
      </c>
      <c r="N264" s="15">
        <f>ROUND((IF(L264="Blaze Shield II",IF(M264="Idiem software",IF(AND(C264="IN",G264=4),((('BLAZE SHIELD II'!$D$4*('HOJA DE CÁLCULO RESPALDO'!I264^2)+'BLAZE SHIELD II'!$D$5*'HOJA DE CÁLCULO RESPALDO'!I264+'BLAZE SHIELD II'!$D$6)*LN(J264))+('BLAZE SHIELD II'!$D$7*('HOJA DE CÁLCULO RESPALDO'!I264^2)+'BLAZE SHIELD II'!$D$8*'HOJA DE CÁLCULO RESPALDO'!I264+'BLAZE SHIELD II'!$D$9)),0),0),0))+(IF(L264="Blaze Shield II",IF(M264="Idiem software",IF(C264="Cj",((('BLAZE SHIELD II'!$H$4*('HOJA DE CÁLCULO RESPALDO'!I264^2)+'BLAZE SHIELD II'!$H$5*'HOJA DE CÁLCULO RESPALDO'!I264+'BLAZE SHIELD II'!$H$6)*LN(J264))+('BLAZE SHIELD II'!$H$7*('HOJA DE CÁLCULO RESPALDO'!I264^2)+'BLAZE SHIELD II'!$H$8*'HOJA DE CÁLCULO RESPALDO'!I264+'BLAZE SHIELD II'!$H$9)),0),0),0))+(IF(L264="Blaze Shield II",IF(M264="Idiem software",IF(C264="C",((('BLAZE SHIELD II'!$L$4*('HOJA DE CÁLCULO RESPALDO'!I264^2)+'BLAZE SHIELD II'!$L$5*'HOJA DE CÁLCULO RESPALDO'!I264+'BLAZE SHIELD II'!$L$6)*LN(J264))+('BLAZE SHIELD II'!$L$7*('HOJA DE CÁLCULO RESPALDO'!I264^2)+'BLAZE SHIELD II'!$L$8*'HOJA DE CÁLCULO RESPALDO'!I264+'BLAZE SHIELD II'!$L$9)),0),0),0))+(IF(L264="Blaze Shield II",IF(M264="Idiem software",IF(AND(C264="IN",G264=3),((('BLAZE SHIELD II'!$H$14*('HOJA DE CÁLCULO RESPALDO'!I264^2)+'BLAZE SHIELD II'!$H$15*'HOJA DE CÁLCULO RESPALDO'!I264+'BLAZE SHIELD II'!$H$16)*LN(J264))+('BLAZE SHIELD II'!$H$17*('HOJA DE CÁLCULO RESPALDO'!I264^2)+'BLAZE SHIELD II'!$H$18*'HOJA DE CÁLCULO RESPALDO'!I264+'BLAZE SHIELD II'!$H$19)),0),0),0)),0)</f>
        <v>0</v>
      </c>
      <c r="O264" s="46">
        <f t="shared" si="25"/>
        <v>0</v>
      </c>
      <c r="P264" s="80">
        <f t="shared" si="22"/>
        <v>0</v>
      </c>
      <c r="Q264" s="85">
        <f>ROUND((IF(L264="Cafco 400",IF(M264="Idiem software",IF(AND(C264="IN",G264=4),((('CAFCO 400 '!$H$7*(J264^4)+'CAFCO 400 '!$H$8*(J264^3)+'CAFCO 400 '!$H$9*(J264^2)+'CAFCO 400 '!$H$10*J264+'CAFCO 400 '!$H$11)*I264^2)+(('CAFCO 400 '!$H$12*(J264^3)+'CAFCO 400 '!$H$13*(J264^2)+'CAFCO 400 '!$H$14*J264+'CAFCO 400 '!$H$15)*I264)+('CAFCO 400 '!$H$16*(J264^2)+'CAFCO 400 '!$H$17*J264+'CAFCO 400 '!$H$18)),0),0),0))+(IF(L264="Cafco 400",IF(M264="Idiem software",IF(C264="Cj",(((('CAFCO 400 '!$D$7*LN(J264)+'CAFCO 400 '!$D$8)*I264^2)+(('CAFCO 400 '!$D$9*LN(J264)+'CAFCO 400 '!$D$10)*I264)+('CAFCO 400 '!$D$11*LN(J264)+'CAFCO 400 '!$D$12))),0),0),0))+(IF(L264="Cafco 400",IF(M264="Idiem software",IF(C264="C",((('CAFCO 400 '!$L$7*(J264^3)+'CAFCO 400 '!$L$8*(J264^2)+'CAFCO 400 '!$L$9*J264+'CAFCO 400 '!$L$10)*I264^2)+(('CAFCO 400 '!$L$11*(J264^3)+'CAFCO 400 '!$L$12*(J264^2)+'CAFCO 400 '!$L$13*J264+'CAFCO 400 '!$L$14)*I264)+('CAFCO 400 '!$L$15*LN(J264)+'CAFCO 400 '!$L$16)),0),0),0))+(IF(L264="Cafco 400",IF(M264="Idiem software",IF(AND(C264="IN",G264=3),((('CAFCO 400 '!$D$23*(J264^2)+'CAFCO 400 '!$D$24*(J264)+'CAFCO 400 '!$D$25)*I264^2)+(('CAFCO 400 '!$D$26*(J264^2)+'CAFCO 400 '!$D$27*J264+'CAFCO 400 '!$D$28)*I264)+('CAFCO 400 '!$D$29*(J264^2)+'CAFCO 400 '!$D$30*J264+'CAFCO 400 '!$D$31)),0),0),0)),0)</f>
        <v>0</v>
      </c>
      <c r="R264" s="47">
        <f t="shared" si="26"/>
        <v>0</v>
      </c>
      <c r="S264" s="82">
        <f t="shared" si="23"/>
        <v>0</v>
      </c>
      <c r="T264" s="81">
        <f>+IF(AND(J264&gt;=95,J264&lt;=240),IF(AND(C264="Cj",I264=90),VLOOKUP(W264,'CAFCO 300 IDIEM TABLAS'!$B$4:$D$23,2,FALSE),0)+IF(AND(J264&gt;=95,J264&lt;=240),IF(AND(C264="Cj",I264=120),VLOOKUP(W264,'CAFCO 300 IDIEM TABLAS'!$B$4:$D$23,3,FALSE),0))+IF(AND(J264&gt;=95,J264&lt;=400,G264=3),IF(AND(C264="IN",I264=90),VLOOKUP(W264,'CAFCO 300 IDIEM TABLAS'!$F$4:$H$35,2,FALSE),0),0)+IF(AND(J264&gt;=95,J264&lt;=400,G264=3),IF(AND(C264="IN",I264=120),VLOOKUP(W264,'CAFCO 300 IDIEM TABLAS'!$F$4:$H$35,3,FALSE),0),0)+IF(AND(J264&gt;=95,J264&lt;=450,G264=4),IF(AND(C264="IN",I264=90),VLOOKUP(W264,'CAFCO 300 IDIEM TABLAS'!$J$4:$L$40,2,FALSE),0),0)+IF(AND(J264&gt;=95,J264&lt;=450,G264=4),IF(AND(C264="IN",I264=120),VLOOKUP(W264,'CAFCO 300 IDIEM TABLAS'!$J$4:$L$40,3,FALSE),0),0))</f>
        <v>17</v>
      </c>
      <c r="U264" s="48">
        <f t="shared" si="27"/>
        <v>6.94637676508344</v>
      </c>
      <c r="V264" s="82">
        <f t="shared" si="24"/>
        <v>104292.90075096277</v>
      </c>
      <c r="W264" s="64">
        <f>+IF(J264=LOOKUP(J264,'CAFCO 300 IDIEM TABLAS'!$J$4:$J$40),'HOJA DE CÁLCULO RESPALDO'!J264,MROUND('HOJA DE CÁLCULO RESPALDO'!J264,10))</f>
        <v>95</v>
      </c>
      <c r="X264" s="36"/>
      <c r="Y264" s="4"/>
    </row>
    <row r="265" spans="1:25" x14ac:dyDescent="0.25">
      <c r="A265" s="2" t="s">
        <v>50</v>
      </c>
      <c r="B265" s="3" t="s">
        <v>17</v>
      </c>
      <c r="C265" s="3" t="s">
        <v>19</v>
      </c>
      <c r="D265" s="3">
        <v>1</v>
      </c>
      <c r="E265" s="2">
        <v>1</v>
      </c>
      <c r="F265" s="8">
        <v>8500</v>
      </c>
      <c r="G265" s="1">
        <v>4</v>
      </c>
      <c r="H265" s="2">
        <v>1502</v>
      </c>
      <c r="I265" s="34">
        <v>90</v>
      </c>
      <c r="J265" s="11">
        <v>95</v>
      </c>
      <c r="K265" s="44">
        <f t="shared" si="21"/>
        <v>12.766999999999999</v>
      </c>
      <c r="L265" s="3" t="s">
        <v>61</v>
      </c>
      <c r="M265" s="3" t="s">
        <v>70</v>
      </c>
      <c r="N265" s="15">
        <f>ROUND((IF(L265="Blaze Shield II",IF(M265="Idiem software",IF(AND(C265="IN",G265=4),((('BLAZE SHIELD II'!$D$4*('HOJA DE CÁLCULO RESPALDO'!I265^2)+'BLAZE SHIELD II'!$D$5*'HOJA DE CÁLCULO RESPALDO'!I265+'BLAZE SHIELD II'!$D$6)*LN(J265))+('BLAZE SHIELD II'!$D$7*('HOJA DE CÁLCULO RESPALDO'!I265^2)+'BLAZE SHIELD II'!$D$8*'HOJA DE CÁLCULO RESPALDO'!I265+'BLAZE SHIELD II'!$D$9)),0),0),0))+(IF(L265="Blaze Shield II",IF(M265="Idiem software",IF(C265="Cj",((('BLAZE SHIELD II'!$H$4*('HOJA DE CÁLCULO RESPALDO'!I265^2)+'BLAZE SHIELD II'!$H$5*'HOJA DE CÁLCULO RESPALDO'!I265+'BLAZE SHIELD II'!$H$6)*LN(J265))+('BLAZE SHIELD II'!$H$7*('HOJA DE CÁLCULO RESPALDO'!I265^2)+'BLAZE SHIELD II'!$H$8*'HOJA DE CÁLCULO RESPALDO'!I265+'BLAZE SHIELD II'!$H$9)),0),0),0))+(IF(L265="Blaze Shield II",IF(M265="Idiem software",IF(C265="C",((('BLAZE SHIELD II'!$L$4*('HOJA DE CÁLCULO RESPALDO'!I265^2)+'BLAZE SHIELD II'!$L$5*'HOJA DE CÁLCULO RESPALDO'!I265+'BLAZE SHIELD II'!$L$6)*LN(J265))+('BLAZE SHIELD II'!$L$7*('HOJA DE CÁLCULO RESPALDO'!I265^2)+'BLAZE SHIELD II'!$L$8*'HOJA DE CÁLCULO RESPALDO'!I265+'BLAZE SHIELD II'!$L$9)),0),0),0))+(IF(L265="Blaze Shield II",IF(M265="Idiem software",IF(AND(C265="IN",G265=3),((('BLAZE SHIELD II'!$H$14*('HOJA DE CÁLCULO RESPALDO'!I265^2)+'BLAZE SHIELD II'!$H$15*'HOJA DE CÁLCULO RESPALDO'!I265+'BLAZE SHIELD II'!$H$16)*LN(J265))+('BLAZE SHIELD II'!$H$17*('HOJA DE CÁLCULO RESPALDO'!I265^2)+'BLAZE SHIELD II'!$H$18*'HOJA DE CÁLCULO RESPALDO'!I265+'BLAZE SHIELD II'!$H$19)),0),0),0)),0)</f>
        <v>0</v>
      </c>
      <c r="O265" s="46">
        <f t="shared" si="25"/>
        <v>0</v>
      </c>
      <c r="P265" s="80">
        <f t="shared" si="22"/>
        <v>0</v>
      </c>
      <c r="Q265" s="85">
        <f>ROUND((IF(L265="Cafco 400",IF(M265="Idiem software",IF(AND(C265="IN",G265=4),((('CAFCO 400 '!$H$7*(J265^4)+'CAFCO 400 '!$H$8*(J265^3)+'CAFCO 400 '!$H$9*(J265^2)+'CAFCO 400 '!$H$10*J265+'CAFCO 400 '!$H$11)*I265^2)+(('CAFCO 400 '!$H$12*(J265^3)+'CAFCO 400 '!$H$13*(J265^2)+'CAFCO 400 '!$H$14*J265+'CAFCO 400 '!$H$15)*I265)+('CAFCO 400 '!$H$16*(J265^2)+'CAFCO 400 '!$H$17*J265+'CAFCO 400 '!$H$18)),0),0),0))+(IF(L265="Cafco 400",IF(M265="Idiem software",IF(C265="Cj",(((('CAFCO 400 '!$D$7*LN(J265)+'CAFCO 400 '!$D$8)*I265^2)+(('CAFCO 400 '!$D$9*LN(J265)+'CAFCO 400 '!$D$10)*I265)+('CAFCO 400 '!$D$11*LN(J265)+'CAFCO 400 '!$D$12))),0),0),0))+(IF(L265="Cafco 400",IF(M265="Idiem software",IF(C265="C",((('CAFCO 400 '!$L$7*(J265^3)+'CAFCO 400 '!$L$8*(J265^2)+'CAFCO 400 '!$L$9*J265+'CAFCO 400 '!$L$10)*I265^2)+(('CAFCO 400 '!$L$11*(J265^3)+'CAFCO 400 '!$L$12*(J265^2)+'CAFCO 400 '!$L$13*J265+'CAFCO 400 '!$L$14)*I265)+('CAFCO 400 '!$L$15*LN(J265)+'CAFCO 400 '!$L$16)),0),0),0))+(IF(L265="Cafco 400",IF(M265="Idiem software",IF(AND(C265="IN",G265=3),((('CAFCO 400 '!$D$23*(J265^2)+'CAFCO 400 '!$D$24*(J265)+'CAFCO 400 '!$D$25)*I265^2)+(('CAFCO 400 '!$D$26*(J265^2)+'CAFCO 400 '!$D$27*J265+'CAFCO 400 '!$D$28)*I265)+('CAFCO 400 '!$D$29*(J265^2)+'CAFCO 400 '!$D$30*J265+'CAFCO 400 '!$D$31)),0),0),0)),0)</f>
        <v>0</v>
      </c>
      <c r="R265" s="47">
        <f t="shared" si="26"/>
        <v>0</v>
      </c>
      <c r="S265" s="82">
        <f t="shared" si="23"/>
        <v>0</v>
      </c>
      <c r="T265" s="81">
        <f>+IF(AND(J265&gt;=95,J265&lt;=240),IF(AND(C265="Cj",I265=90),VLOOKUP(W265,'CAFCO 300 IDIEM TABLAS'!$B$4:$D$23,2,FALSE),0)+IF(AND(J265&gt;=95,J265&lt;=240),IF(AND(C265="Cj",I265=120),VLOOKUP(W265,'CAFCO 300 IDIEM TABLAS'!$B$4:$D$23,3,FALSE),0))+IF(AND(J265&gt;=95,J265&lt;=400,G265=3),IF(AND(C265="IN",I265=90),VLOOKUP(W265,'CAFCO 300 IDIEM TABLAS'!$F$4:$H$35,2,FALSE),0),0)+IF(AND(J265&gt;=95,J265&lt;=400,G265=3),IF(AND(C265="IN",I265=120),VLOOKUP(W265,'CAFCO 300 IDIEM TABLAS'!$F$4:$H$35,3,FALSE),0),0)+IF(AND(J265&gt;=95,J265&lt;=450,G265=4),IF(AND(C265="IN",I265=90),VLOOKUP(W265,'CAFCO 300 IDIEM TABLAS'!$J$4:$L$40,2,FALSE),0),0)+IF(AND(J265&gt;=95,J265&lt;=450,G265=4),IF(AND(C265="IN",I265=120),VLOOKUP(W265,'CAFCO 300 IDIEM TABLAS'!$J$4:$L$40,3,FALSE),0),0))</f>
        <v>17</v>
      </c>
      <c r="U265" s="48">
        <f t="shared" si="27"/>
        <v>2.9950824775353015</v>
      </c>
      <c r="V265" s="82">
        <f t="shared" si="24"/>
        <v>44968.168317715019</v>
      </c>
      <c r="W265" s="64">
        <f>+IF(J265=LOOKUP(J265,'CAFCO 300 IDIEM TABLAS'!$J$4:$J$40),'HOJA DE CÁLCULO RESPALDO'!J265,MROUND('HOJA DE CÁLCULO RESPALDO'!J265,10))</f>
        <v>95</v>
      </c>
      <c r="X265" s="36"/>
      <c r="Y265" s="4"/>
    </row>
    <row r="266" spans="1:25" ht="15.6" customHeight="1" x14ac:dyDescent="0.25">
      <c r="A266" s="2" t="s">
        <v>50</v>
      </c>
      <c r="B266" s="3" t="s">
        <v>17</v>
      </c>
      <c r="C266" s="3" t="s">
        <v>19</v>
      </c>
      <c r="D266" s="3">
        <v>1</v>
      </c>
      <c r="E266" s="2">
        <v>1</v>
      </c>
      <c r="F266" s="8">
        <v>17500</v>
      </c>
      <c r="G266" s="1">
        <v>4</v>
      </c>
      <c r="H266" s="2">
        <v>1692</v>
      </c>
      <c r="I266" s="34">
        <v>90</v>
      </c>
      <c r="J266" s="11">
        <v>95</v>
      </c>
      <c r="K266" s="44">
        <f t="shared" ref="K266:K329" si="28">+IF(C266="","",(H266*F266*E266*D266)/1000000)</f>
        <v>29.61</v>
      </c>
      <c r="L266" s="3" t="s">
        <v>61</v>
      </c>
      <c r="M266" s="3" t="s">
        <v>70</v>
      </c>
      <c r="N266" s="15">
        <f>ROUND((IF(L266="Blaze Shield II",IF(M266="Idiem software",IF(AND(C266="IN",G266=4),((('BLAZE SHIELD II'!$D$4*('HOJA DE CÁLCULO RESPALDO'!I266^2)+'BLAZE SHIELD II'!$D$5*'HOJA DE CÁLCULO RESPALDO'!I266+'BLAZE SHIELD II'!$D$6)*LN(J266))+('BLAZE SHIELD II'!$D$7*('HOJA DE CÁLCULO RESPALDO'!I266^2)+'BLAZE SHIELD II'!$D$8*'HOJA DE CÁLCULO RESPALDO'!I266+'BLAZE SHIELD II'!$D$9)),0),0),0))+(IF(L266="Blaze Shield II",IF(M266="Idiem software",IF(C266="Cj",((('BLAZE SHIELD II'!$H$4*('HOJA DE CÁLCULO RESPALDO'!I266^2)+'BLAZE SHIELD II'!$H$5*'HOJA DE CÁLCULO RESPALDO'!I266+'BLAZE SHIELD II'!$H$6)*LN(J266))+('BLAZE SHIELD II'!$H$7*('HOJA DE CÁLCULO RESPALDO'!I266^2)+'BLAZE SHIELD II'!$H$8*'HOJA DE CÁLCULO RESPALDO'!I266+'BLAZE SHIELD II'!$H$9)),0),0),0))+(IF(L266="Blaze Shield II",IF(M266="Idiem software",IF(C266="C",((('BLAZE SHIELD II'!$L$4*('HOJA DE CÁLCULO RESPALDO'!I266^2)+'BLAZE SHIELD II'!$L$5*'HOJA DE CÁLCULO RESPALDO'!I266+'BLAZE SHIELD II'!$L$6)*LN(J266))+('BLAZE SHIELD II'!$L$7*('HOJA DE CÁLCULO RESPALDO'!I266^2)+'BLAZE SHIELD II'!$L$8*'HOJA DE CÁLCULO RESPALDO'!I266+'BLAZE SHIELD II'!$L$9)),0),0),0))+(IF(L266="Blaze Shield II",IF(M266="Idiem software",IF(AND(C266="IN",G266=3),((('BLAZE SHIELD II'!$H$14*('HOJA DE CÁLCULO RESPALDO'!I266^2)+'BLAZE SHIELD II'!$H$15*'HOJA DE CÁLCULO RESPALDO'!I266+'BLAZE SHIELD II'!$H$16)*LN(J266))+('BLAZE SHIELD II'!$H$17*('HOJA DE CÁLCULO RESPALDO'!I266^2)+'BLAZE SHIELD II'!$H$18*'HOJA DE CÁLCULO RESPALDO'!I266+'BLAZE SHIELD II'!$H$19)),0),0),0)),0)</f>
        <v>0</v>
      </c>
      <c r="O266" s="46">
        <f t="shared" si="25"/>
        <v>0</v>
      </c>
      <c r="P266" s="80">
        <f t="shared" ref="P266:P329" si="29">+O266*$Q$2</f>
        <v>0</v>
      </c>
      <c r="Q266" s="85">
        <f>ROUND((IF(L266="Cafco 400",IF(M266="Idiem software",IF(AND(C266="IN",G266=4),((('CAFCO 400 '!$H$7*(J266^4)+'CAFCO 400 '!$H$8*(J266^3)+'CAFCO 400 '!$H$9*(J266^2)+'CAFCO 400 '!$H$10*J266+'CAFCO 400 '!$H$11)*I266^2)+(('CAFCO 400 '!$H$12*(J266^3)+'CAFCO 400 '!$H$13*(J266^2)+'CAFCO 400 '!$H$14*J266+'CAFCO 400 '!$H$15)*I266)+('CAFCO 400 '!$H$16*(J266^2)+'CAFCO 400 '!$H$17*J266+'CAFCO 400 '!$H$18)),0),0),0))+(IF(L266="Cafco 400",IF(M266="Idiem software",IF(C266="Cj",(((('CAFCO 400 '!$D$7*LN(J266)+'CAFCO 400 '!$D$8)*I266^2)+(('CAFCO 400 '!$D$9*LN(J266)+'CAFCO 400 '!$D$10)*I266)+('CAFCO 400 '!$D$11*LN(J266)+'CAFCO 400 '!$D$12))),0),0),0))+(IF(L266="Cafco 400",IF(M266="Idiem software",IF(C266="C",((('CAFCO 400 '!$L$7*(J266^3)+'CAFCO 400 '!$L$8*(J266^2)+'CAFCO 400 '!$L$9*J266+'CAFCO 400 '!$L$10)*I266^2)+(('CAFCO 400 '!$L$11*(J266^3)+'CAFCO 400 '!$L$12*(J266^2)+'CAFCO 400 '!$L$13*J266+'CAFCO 400 '!$L$14)*I266)+('CAFCO 400 '!$L$15*LN(J266)+'CAFCO 400 '!$L$16)),0),0),0))+(IF(L266="Cafco 400",IF(M266="Idiem software",IF(AND(C266="IN",G266=3),((('CAFCO 400 '!$D$23*(J266^2)+'CAFCO 400 '!$D$24*(J266)+'CAFCO 400 '!$D$25)*I266^2)+(('CAFCO 400 '!$D$26*(J266^2)+'CAFCO 400 '!$D$27*J266+'CAFCO 400 '!$D$28)*I266)+('CAFCO 400 '!$D$29*(J266^2)+'CAFCO 400 '!$D$30*J266+'CAFCO 400 '!$D$31)),0),0),0)),0)</f>
        <v>0</v>
      </c>
      <c r="R266" s="47">
        <f t="shared" si="26"/>
        <v>0</v>
      </c>
      <c r="S266" s="82">
        <f t="shared" ref="S266:S329" si="30">+R266*$Q$3</f>
        <v>0</v>
      </c>
      <c r="T266" s="81">
        <f>+IF(AND(J266&gt;=95,J266&lt;=240),IF(AND(C266="Cj",I266=90),VLOOKUP(W266,'CAFCO 300 IDIEM TABLAS'!$B$4:$D$23,2,FALSE),0)+IF(AND(J266&gt;=95,J266&lt;=240),IF(AND(C266="Cj",I266=120),VLOOKUP(W266,'CAFCO 300 IDIEM TABLAS'!$B$4:$D$23,3,FALSE),0))+IF(AND(J266&gt;=95,J266&lt;=400,G266=3),IF(AND(C266="IN",I266=90),VLOOKUP(W266,'CAFCO 300 IDIEM TABLAS'!$F$4:$H$35,2,FALSE),0),0)+IF(AND(J266&gt;=95,J266&lt;=400,G266=3),IF(AND(C266="IN",I266=120),VLOOKUP(W266,'CAFCO 300 IDIEM TABLAS'!$F$4:$H$35,3,FALSE),0),0)+IF(AND(J266&gt;=95,J266&lt;=450,G266=4),IF(AND(C266="IN",I266=90),VLOOKUP(W266,'CAFCO 300 IDIEM TABLAS'!$J$4:$L$40,2,FALSE),0),0)+IF(AND(J266&gt;=95,J266&lt;=450,G266=4),IF(AND(C266="IN",I266=120),VLOOKUP(W266,'CAFCO 300 IDIEM TABLAS'!$J$4:$L$40,3,FALSE),0),0))</f>
        <v>17</v>
      </c>
      <c r="U266" s="48">
        <f t="shared" si="27"/>
        <v>6.94637676508344</v>
      </c>
      <c r="V266" s="82">
        <f t="shared" ref="V266:V329" si="31">+U266*$Q$4</f>
        <v>104292.90075096277</v>
      </c>
      <c r="W266" s="64">
        <f>+IF(J266=LOOKUP(J266,'CAFCO 300 IDIEM TABLAS'!$J$4:$J$40),'HOJA DE CÁLCULO RESPALDO'!J266,MROUND('HOJA DE CÁLCULO RESPALDO'!J266,10))</f>
        <v>95</v>
      </c>
      <c r="X266" s="36"/>
      <c r="Y266" s="4"/>
    </row>
    <row r="267" spans="1:25" x14ac:dyDescent="0.25">
      <c r="A267" s="2" t="s">
        <v>50</v>
      </c>
      <c r="B267" s="3" t="s">
        <v>17</v>
      </c>
      <c r="C267" s="3" t="s">
        <v>19</v>
      </c>
      <c r="D267" s="3">
        <v>1</v>
      </c>
      <c r="E267" s="2">
        <v>1</v>
      </c>
      <c r="F267" s="8">
        <v>8500</v>
      </c>
      <c r="G267" s="1">
        <v>4</v>
      </c>
      <c r="H267" s="2">
        <v>1692</v>
      </c>
      <c r="I267" s="34">
        <v>90</v>
      </c>
      <c r="J267" s="11">
        <v>95</v>
      </c>
      <c r="K267" s="44">
        <f t="shared" si="28"/>
        <v>14.382</v>
      </c>
      <c r="L267" s="3" t="s">
        <v>61</v>
      </c>
      <c r="M267" s="3" t="s">
        <v>70</v>
      </c>
      <c r="N267" s="15">
        <f>ROUND((IF(L267="Blaze Shield II",IF(M267="Idiem software",IF(AND(C267="IN",G267=4),((('BLAZE SHIELD II'!$D$4*('HOJA DE CÁLCULO RESPALDO'!I267^2)+'BLAZE SHIELD II'!$D$5*'HOJA DE CÁLCULO RESPALDO'!I267+'BLAZE SHIELD II'!$D$6)*LN(J267))+('BLAZE SHIELD II'!$D$7*('HOJA DE CÁLCULO RESPALDO'!I267^2)+'BLAZE SHIELD II'!$D$8*'HOJA DE CÁLCULO RESPALDO'!I267+'BLAZE SHIELD II'!$D$9)),0),0),0))+(IF(L267="Blaze Shield II",IF(M267="Idiem software",IF(C267="Cj",((('BLAZE SHIELD II'!$H$4*('HOJA DE CÁLCULO RESPALDO'!I267^2)+'BLAZE SHIELD II'!$H$5*'HOJA DE CÁLCULO RESPALDO'!I267+'BLAZE SHIELD II'!$H$6)*LN(J267))+('BLAZE SHIELD II'!$H$7*('HOJA DE CÁLCULO RESPALDO'!I267^2)+'BLAZE SHIELD II'!$H$8*'HOJA DE CÁLCULO RESPALDO'!I267+'BLAZE SHIELD II'!$H$9)),0),0),0))+(IF(L267="Blaze Shield II",IF(M267="Idiem software",IF(C267="C",((('BLAZE SHIELD II'!$L$4*('HOJA DE CÁLCULO RESPALDO'!I267^2)+'BLAZE SHIELD II'!$L$5*'HOJA DE CÁLCULO RESPALDO'!I267+'BLAZE SHIELD II'!$L$6)*LN(J267))+('BLAZE SHIELD II'!$L$7*('HOJA DE CÁLCULO RESPALDO'!I267^2)+'BLAZE SHIELD II'!$L$8*'HOJA DE CÁLCULO RESPALDO'!I267+'BLAZE SHIELD II'!$L$9)),0),0),0))+(IF(L267="Blaze Shield II",IF(M267="Idiem software",IF(AND(C267="IN",G267=3),((('BLAZE SHIELD II'!$H$14*('HOJA DE CÁLCULO RESPALDO'!I267^2)+'BLAZE SHIELD II'!$H$15*'HOJA DE CÁLCULO RESPALDO'!I267+'BLAZE SHIELD II'!$H$16)*LN(J267))+('BLAZE SHIELD II'!$H$17*('HOJA DE CÁLCULO RESPALDO'!I267^2)+'BLAZE SHIELD II'!$H$18*'HOJA DE CÁLCULO RESPALDO'!I267+'BLAZE SHIELD II'!$H$19)),0),0),0)),0)</f>
        <v>0</v>
      </c>
      <c r="O267" s="46">
        <f t="shared" ref="O267:O330" si="32">((IF(L267="Blaze Shield II",((K267*N267*0.43)/38),0)))</f>
        <v>0</v>
      </c>
      <c r="P267" s="80">
        <f t="shared" si="29"/>
        <v>0</v>
      </c>
      <c r="Q267" s="85">
        <f>ROUND((IF(L267="Cafco 400",IF(M267="Idiem software",IF(AND(C267="IN",G267=4),((('CAFCO 400 '!$H$7*(J267^4)+'CAFCO 400 '!$H$8*(J267^3)+'CAFCO 400 '!$H$9*(J267^2)+'CAFCO 400 '!$H$10*J267+'CAFCO 400 '!$H$11)*I267^2)+(('CAFCO 400 '!$H$12*(J267^3)+'CAFCO 400 '!$H$13*(J267^2)+'CAFCO 400 '!$H$14*J267+'CAFCO 400 '!$H$15)*I267)+('CAFCO 400 '!$H$16*(J267^2)+'CAFCO 400 '!$H$17*J267+'CAFCO 400 '!$H$18)),0),0),0))+(IF(L267="Cafco 400",IF(M267="Idiem software",IF(C267="Cj",(((('CAFCO 400 '!$D$7*LN(J267)+'CAFCO 400 '!$D$8)*I267^2)+(('CAFCO 400 '!$D$9*LN(J267)+'CAFCO 400 '!$D$10)*I267)+('CAFCO 400 '!$D$11*LN(J267)+'CAFCO 400 '!$D$12))),0),0),0))+(IF(L267="Cafco 400",IF(M267="Idiem software",IF(C267="C",((('CAFCO 400 '!$L$7*(J267^3)+'CAFCO 400 '!$L$8*(J267^2)+'CAFCO 400 '!$L$9*J267+'CAFCO 400 '!$L$10)*I267^2)+(('CAFCO 400 '!$L$11*(J267^3)+'CAFCO 400 '!$L$12*(J267^2)+'CAFCO 400 '!$L$13*J267+'CAFCO 400 '!$L$14)*I267)+('CAFCO 400 '!$L$15*LN(J267)+'CAFCO 400 '!$L$16)),0),0),0))+(IF(L267="Cafco 400",IF(M267="Idiem software",IF(AND(C267="IN",G267=3),((('CAFCO 400 '!$D$23*(J267^2)+'CAFCO 400 '!$D$24*(J267)+'CAFCO 400 '!$D$25)*I267^2)+(('CAFCO 400 '!$D$26*(J267^2)+'CAFCO 400 '!$D$27*J267+'CAFCO 400 '!$D$28)*I267)+('CAFCO 400 '!$D$29*(J267^2)+'CAFCO 400 '!$D$30*J267+'CAFCO 400 '!$D$31)),0),0),0)),0)</f>
        <v>0</v>
      </c>
      <c r="R267" s="47">
        <f t="shared" ref="R267:R330" si="33">+((IF(L267="Cafco 400",((K267*Q267*0.43)/23),0)))</f>
        <v>0</v>
      </c>
      <c r="S267" s="82">
        <f t="shared" si="30"/>
        <v>0</v>
      </c>
      <c r="T267" s="81">
        <f>+IF(AND(J267&gt;=95,J267&lt;=240),IF(AND(C267="Cj",I267=90),VLOOKUP(W267,'CAFCO 300 IDIEM TABLAS'!$B$4:$D$23,2,FALSE),0)+IF(AND(J267&gt;=95,J267&lt;=240),IF(AND(C267="Cj",I267=120),VLOOKUP(W267,'CAFCO 300 IDIEM TABLAS'!$B$4:$D$23,3,FALSE),0))+IF(AND(J267&gt;=95,J267&lt;=400,G267=3),IF(AND(C267="IN",I267=90),VLOOKUP(W267,'CAFCO 300 IDIEM TABLAS'!$F$4:$H$35,2,FALSE),0),0)+IF(AND(J267&gt;=95,J267&lt;=400,G267=3),IF(AND(C267="IN",I267=120),VLOOKUP(W267,'CAFCO 300 IDIEM TABLAS'!$F$4:$H$35,3,FALSE),0),0)+IF(AND(J267&gt;=95,J267&lt;=450,G267=4),IF(AND(C267="IN",I267=90),VLOOKUP(W267,'CAFCO 300 IDIEM TABLAS'!$J$4:$L$40,2,FALSE),0),0)+IF(AND(J267&gt;=95,J267&lt;=450,G267=4),IF(AND(C267="IN",I267=120),VLOOKUP(W267,'CAFCO 300 IDIEM TABLAS'!$J$4:$L$40,3,FALSE),0),0))</f>
        <v>17</v>
      </c>
      <c r="U267" s="48">
        <f t="shared" ref="U267:U330" si="34">+((IF(L267="Cafco 300",((K267*T267*0.43)/31.16),0)))</f>
        <v>3.3739544287548138</v>
      </c>
      <c r="V267" s="82">
        <f t="shared" si="31"/>
        <v>50656.551793324776</v>
      </c>
      <c r="W267" s="64">
        <f>+IF(J267=LOOKUP(J267,'CAFCO 300 IDIEM TABLAS'!$J$4:$J$40),'HOJA DE CÁLCULO RESPALDO'!J267,MROUND('HOJA DE CÁLCULO RESPALDO'!J267,10))</f>
        <v>95</v>
      </c>
      <c r="X267" s="36"/>
      <c r="Y267" s="4"/>
    </row>
    <row r="268" spans="1:25" ht="15.6" customHeight="1" x14ac:dyDescent="0.25">
      <c r="A268" s="2" t="s">
        <v>50</v>
      </c>
      <c r="B268" s="3" t="s">
        <v>17</v>
      </c>
      <c r="C268" s="3" t="s">
        <v>19</v>
      </c>
      <c r="D268" s="3">
        <v>1</v>
      </c>
      <c r="E268" s="2">
        <v>1</v>
      </c>
      <c r="F268" s="8">
        <v>8500</v>
      </c>
      <c r="G268" s="1">
        <v>4</v>
      </c>
      <c r="H268" s="2">
        <v>1502</v>
      </c>
      <c r="I268" s="34">
        <v>90</v>
      </c>
      <c r="J268" s="11">
        <v>95</v>
      </c>
      <c r="K268" s="44">
        <f t="shared" si="28"/>
        <v>12.766999999999999</v>
      </c>
      <c r="L268" s="3" t="s">
        <v>61</v>
      </c>
      <c r="M268" s="3" t="s">
        <v>70</v>
      </c>
      <c r="N268" s="15">
        <f>ROUND((IF(L268="Blaze Shield II",IF(M268="Idiem software",IF(AND(C268="IN",G268=4),((('BLAZE SHIELD II'!$D$4*('HOJA DE CÁLCULO RESPALDO'!I268^2)+'BLAZE SHIELD II'!$D$5*'HOJA DE CÁLCULO RESPALDO'!I268+'BLAZE SHIELD II'!$D$6)*LN(J268))+('BLAZE SHIELD II'!$D$7*('HOJA DE CÁLCULO RESPALDO'!I268^2)+'BLAZE SHIELD II'!$D$8*'HOJA DE CÁLCULO RESPALDO'!I268+'BLAZE SHIELD II'!$D$9)),0),0),0))+(IF(L268="Blaze Shield II",IF(M268="Idiem software",IF(C268="Cj",((('BLAZE SHIELD II'!$H$4*('HOJA DE CÁLCULO RESPALDO'!I268^2)+'BLAZE SHIELD II'!$H$5*'HOJA DE CÁLCULO RESPALDO'!I268+'BLAZE SHIELD II'!$H$6)*LN(J268))+('BLAZE SHIELD II'!$H$7*('HOJA DE CÁLCULO RESPALDO'!I268^2)+'BLAZE SHIELD II'!$H$8*'HOJA DE CÁLCULO RESPALDO'!I268+'BLAZE SHIELD II'!$H$9)),0),0),0))+(IF(L268="Blaze Shield II",IF(M268="Idiem software",IF(C268="C",((('BLAZE SHIELD II'!$L$4*('HOJA DE CÁLCULO RESPALDO'!I268^2)+'BLAZE SHIELD II'!$L$5*'HOJA DE CÁLCULO RESPALDO'!I268+'BLAZE SHIELD II'!$L$6)*LN(J268))+('BLAZE SHIELD II'!$L$7*('HOJA DE CÁLCULO RESPALDO'!I268^2)+'BLAZE SHIELD II'!$L$8*'HOJA DE CÁLCULO RESPALDO'!I268+'BLAZE SHIELD II'!$L$9)),0),0),0))+(IF(L268="Blaze Shield II",IF(M268="Idiem software",IF(AND(C268="IN",G268=3),((('BLAZE SHIELD II'!$H$14*('HOJA DE CÁLCULO RESPALDO'!I268^2)+'BLAZE SHIELD II'!$H$15*'HOJA DE CÁLCULO RESPALDO'!I268+'BLAZE SHIELD II'!$H$16)*LN(J268))+('BLAZE SHIELD II'!$H$17*('HOJA DE CÁLCULO RESPALDO'!I268^2)+'BLAZE SHIELD II'!$H$18*'HOJA DE CÁLCULO RESPALDO'!I268+'BLAZE SHIELD II'!$H$19)),0),0),0)),0)</f>
        <v>0</v>
      </c>
      <c r="O268" s="46">
        <f t="shared" si="32"/>
        <v>0</v>
      </c>
      <c r="P268" s="80">
        <f t="shared" si="29"/>
        <v>0</v>
      </c>
      <c r="Q268" s="85">
        <f>ROUND((IF(L268="Cafco 400",IF(M268="Idiem software",IF(AND(C268="IN",G268=4),((('CAFCO 400 '!$H$7*(J268^4)+'CAFCO 400 '!$H$8*(J268^3)+'CAFCO 400 '!$H$9*(J268^2)+'CAFCO 400 '!$H$10*J268+'CAFCO 400 '!$H$11)*I268^2)+(('CAFCO 400 '!$H$12*(J268^3)+'CAFCO 400 '!$H$13*(J268^2)+'CAFCO 400 '!$H$14*J268+'CAFCO 400 '!$H$15)*I268)+('CAFCO 400 '!$H$16*(J268^2)+'CAFCO 400 '!$H$17*J268+'CAFCO 400 '!$H$18)),0),0),0))+(IF(L268="Cafco 400",IF(M268="Idiem software",IF(C268="Cj",(((('CAFCO 400 '!$D$7*LN(J268)+'CAFCO 400 '!$D$8)*I268^2)+(('CAFCO 400 '!$D$9*LN(J268)+'CAFCO 400 '!$D$10)*I268)+('CAFCO 400 '!$D$11*LN(J268)+'CAFCO 400 '!$D$12))),0),0),0))+(IF(L268="Cafco 400",IF(M268="Idiem software",IF(C268="C",((('CAFCO 400 '!$L$7*(J268^3)+'CAFCO 400 '!$L$8*(J268^2)+'CAFCO 400 '!$L$9*J268+'CAFCO 400 '!$L$10)*I268^2)+(('CAFCO 400 '!$L$11*(J268^3)+'CAFCO 400 '!$L$12*(J268^2)+'CAFCO 400 '!$L$13*J268+'CAFCO 400 '!$L$14)*I268)+('CAFCO 400 '!$L$15*LN(J268)+'CAFCO 400 '!$L$16)),0),0),0))+(IF(L268="Cafco 400",IF(M268="Idiem software",IF(AND(C268="IN",G268=3),((('CAFCO 400 '!$D$23*(J268^2)+'CAFCO 400 '!$D$24*(J268)+'CAFCO 400 '!$D$25)*I268^2)+(('CAFCO 400 '!$D$26*(J268^2)+'CAFCO 400 '!$D$27*J268+'CAFCO 400 '!$D$28)*I268)+('CAFCO 400 '!$D$29*(J268^2)+'CAFCO 400 '!$D$30*J268+'CAFCO 400 '!$D$31)),0),0),0)),0)</f>
        <v>0</v>
      </c>
      <c r="R268" s="47">
        <f t="shared" si="33"/>
        <v>0</v>
      </c>
      <c r="S268" s="82">
        <f t="shared" si="30"/>
        <v>0</v>
      </c>
      <c r="T268" s="81">
        <f>+IF(AND(J268&gt;=95,J268&lt;=240),IF(AND(C268="Cj",I268=90),VLOOKUP(W268,'CAFCO 300 IDIEM TABLAS'!$B$4:$D$23,2,FALSE),0)+IF(AND(J268&gt;=95,J268&lt;=240),IF(AND(C268="Cj",I268=120),VLOOKUP(W268,'CAFCO 300 IDIEM TABLAS'!$B$4:$D$23,3,FALSE),0))+IF(AND(J268&gt;=95,J268&lt;=400,G268=3),IF(AND(C268="IN",I268=90),VLOOKUP(W268,'CAFCO 300 IDIEM TABLAS'!$F$4:$H$35,2,FALSE),0),0)+IF(AND(J268&gt;=95,J268&lt;=400,G268=3),IF(AND(C268="IN",I268=120),VLOOKUP(W268,'CAFCO 300 IDIEM TABLAS'!$F$4:$H$35,3,FALSE),0),0)+IF(AND(J268&gt;=95,J268&lt;=450,G268=4),IF(AND(C268="IN",I268=90),VLOOKUP(W268,'CAFCO 300 IDIEM TABLAS'!$J$4:$L$40,2,FALSE),0),0)+IF(AND(J268&gt;=95,J268&lt;=450,G268=4),IF(AND(C268="IN",I268=120),VLOOKUP(W268,'CAFCO 300 IDIEM TABLAS'!$J$4:$L$40,3,FALSE),0),0))</f>
        <v>17</v>
      </c>
      <c r="U268" s="48">
        <f t="shared" si="34"/>
        <v>2.9950824775353015</v>
      </c>
      <c r="V268" s="82">
        <f t="shared" si="31"/>
        <v>44968.168317715019</v>
      </c>
      <c r="W268" s="64">
        <f>+IF(J268=LOOKUP(J268,'CAFCO 300 IDIEM TABLAS'!$J$4:$J$40),'HOJA DE CÁLCULO RESPALDO'!J268,MROUND('HOJA DE CÁLCULO RESPALDO'!J268,10))</f>
        <v>95</v>
      </c>
      <c r="X268" s="36"/>
      <c r="Y268" s="4"/>
    </row>
    <row r="269" spans="1:25" x14ac:dyDescent="0.25">
      <c r="A269" s="2" t="s">
        <v>50</v>
      </c>
      <c r="B269" s="3" t="s">
        <v>17</v>
      </c>
      <c r="C269" s="3" t="s">
        <v>19</v>
      </c>
      <c r="D269" s="3">
        <v>1</v>
      </c>
      <c r="E269" s="2">
        <v>1</v>
      </c>
      <c r="F269" s="8">
        <v>11097</v>
      </c>
      <c r="G269" s="1">
        <v>4</v>
      </c>
      <c r="H269" s="2">
        <v>585</v>
      </c>
      <c r="I269" s="34">
        <v>90</v>
      </c>
      <c r="J269" s="11">
        <v>95</v>
      </c>
      <c r="K269" s="44">
        <f t="shared" si="28"/>
        <v>6.4917449999999999</v>
      </c>
      <c r="L269" s="3" t="s">
        <v>61</v>
      </c>
      <c r="M269" s="3" t="s">
        <v>70</v>
      </c>
      <c r="N269" s="15">
        <f>ROUND((IF(L269="Blaze Shield II",IF(M269="Idiem software",IF(AND(C269="IN",G269=4),((('BLAZE SHIELD II'!$D$4*('HOJA DE CÁLCULO RESPALDO'!I269^2)+'BLAZE SHIELD II'!$D$5*'HOJA DE CÁLCULO RESPALDO'!I269+'BLAZE SHIELD II'!$D$6)*LN(J269))+('BLAZE SHIELD II'!$D$7*('HOJA DE CÁLCULO RESPALDO'!I269^2)+'BLAZE SHIELD II'!$D$8*'HOJA DE CÁLCULO RESPALDO'!I269+'BLAZE SHIELD II'!$D$9)),0),0),0))+(IF(L269="Blaze Shield II",IF(M269="Idiem software",IF(C269="Cj",((('BLAZE SHIELD II'!$H$4*('HOJA DE CÁLCULO RESPALDO'!I269^2)+'BLAZE SHIELD II'!$H$5*'HOJA DE CÁLCULO RESPALDO'!I269+'BLAZE SHIELD II'!$H$6)*LN(J269))+('BLAZE SHIELD II'!$H$7*('HOJA DE CÁLCULO RESPALDO'!I269^2)+'BLAZE SHIELD II'!$H$8*'HOJA DE CÁLCULO RESPALDO'!I269+'BLAZE SHIELD II'!$H$9)),0),0),0))+(IF(L269="Blaze Shield II",IF(M269="Idiem software",IF(C269="C",((('BLAZE SHIELD II'!$L$4*('HOJA DE CÁLCULO RESPALDO'!I269^2)+'BLAZE SHIELD II'!$L$5*'HOJA DE CÁLCULO RESPALDO'!I269+'BLAZE SHIELD II'!$L$6)*LN(J269))+('BLAZE SHIELD II'!$L$7*('HOJA DE CÁLCULO RESPALDO'!I269^2)+'BLAZE SHIELD II'!$L$8*'HOJA DE CÁLCULO RESPALDO'!I269+'BLAZE SHIELD II'!$L$9)),0),0),0))+(IF(L269="Blaze Shield II",IF(M269="Idiem software",IF(AND(C269="IN",G269=3),((('BLAZE SHIELD II'!$H$14*('HOJA DE CÁLCULO RESPALDO'!I269^2)+'BLAZE SHIELD II'!$H$15*'HOJA DE CÁLCULO RESPALDO'!I269+'BLAZE SHIELD II'!$H$16)*LN(J269))+('BLAZE SHIELD II'!$H$17*('HOJA DE CÁLCULO RESPALDO'!I269^2)+'BLAZE SHIELD II'!$H$18*'HOJA DE CÁLCULO RESPALDO'!I269+'BLAZE SHIELD II'!$H$19)),0),0),0)),0)</f>
        <v>0</v>
      </c>
      <c r="O269" s="46">
        <f t="shared" si="32"/>
        <v>0</v>
      </c>
      <c r="P269" s="80">
        <f t="shared" si="29"/>
        <v>0</v>
      </c>
      <c r="Q269" s="85">
        <f>ROUND((IF(L269="Cafco 400",IF(M269="Idiem software",IF(AND(C269="IN",G269=4),((('CAFCO 400 '!$H$7*(J269^4)+'CAFCO 400 '!$H$8*(J269^3)+'CAFCO 400 '!$H$9*(J269^2)+'CAFCO 400 '!$H$10*J269+'CAFCO 400 '!$H$11)*I269^2)+(('CAFCO 400 '!$H$12*(J269^3)+'CAFCO 400 '!$H$13*(J269^2)+'CAFCO 400 '!$H$14*J269+'CAFCO 400 '!$H$15)*I269)+('CAFCO 400 '!$H$16*(J269^2)+'CAFCO 400 '!$H$17*J269+'CAFCO 400 '!$H$18)),0),0),0))+(IF(L269="Cafco 400",IF(M269="Idiem software",IF(C269="Cj",(((('CAFCO 400 '!$D$7*LN(J269)+'CAFCO 400 '!$D$8)*I269^2)+(('CAFCO 400 '!$D$9*LN(J269)+'CAFCO 400 '!$D$10)*I269)+('CAFCO 400 '!$D$11*LN(J269)+'CAFCO 400 '!$D$12))),0),0),0))+(IF(L269="Cafco 400",IF(M269="Idiem software",IF(C269="C",((('CAFCO 400 '!$L$7*(J269^3)+'CAFCO 400 '!$L$8*(J269^2)+'CAFCO 400 '!$L$9*J269+'CAFCO 400 '!$L$10)*I269^2)+(('CAFCO 400 '!$L$11*(J269^3)+'CAFCO 400 '!$L$12*(J269^2)+'CAFCO 400 '!$L$13*J269+'CAFCO 400 '!$L$14)*I269)+('CAFCO 400 '!$L$15*LN(J269)+'CAFCO 400 '!$L$16)),0),0),0))+(IF(L269="Cafco 400",IF(M269="Idiem software",IF(AND(C269="IN",G269=3),((('CAFCO 400 '!$D$23*(J269^2)+'CAFCO 400 '!$D$24*(J269)+'CAFCO 400 '!$D$25)*I269^2)+(('CAFCO 400 '!$D$26*(J269^2)+'CAFCO 400 '!$D$27*J269+'CAFCO 400 '!$D$28)*I269)+('CAFCO 400 '!$D$29*(J269^2)+'CAFCO 400 '!$D$30*J269+'CAFCO 400 '!$D$31)),0),0),0)),0)</f>
        <v>0</v>
      </c>
      <c r="R269" s="47">
        <f t="shared" si="33"/>
        <v>0</v>
      </c>
      <c r="S269" s="82">
        <f t="shared" si="30"/>
        <v>0</v>
      </c>
      <c r="T269" s="81">
        <f>+IF(AND(J269&gt;=95,J269&lt;=240),IF(AND(C269="Cj",I269=90),VLOOKUP(W269,'CAFCO 300 IDIEM TABLAS'!$B$4:$D$23,2,FALSE),0)+IF(AND(J269&gt;=95,J269&lt;=240),IF(AND(C269="Cj",I269=120),VLOOKUP(W269,'CAFCO 300 IDIEM TABLAS'!$B$4:$D$23,3,FALSE),0))+IF(AND(J269&gt;=95,J269&lt;=400,G269=3),IF(AND(C269="IN",I269=90),VLOOKUP(W269,'CAFCO 300 IDIEM TABLAS'!$F$4:$H$35,2,FALSE),0),0)+IF(AND(J269&gt;=95,J269&lt;=400,G269=3),IF(AND(C269="IN",I269=120),VLOOKUP(W269,'CAFCO 300 IDIEM TABLAS'!$F$4:$H$35,3,FALSE),0),0)+IF(AND(J269&gt;=95,J269&lt;=450,G269=4),IF(AND(C269="IN",I269=90),VLOOKUP(W269,'CAFCO 300 IDIEM TABLAS'!$J$4:$L$40,2,FALSE),0),0)+IF(AND(J269&gt;=95,J269&lt;=450,G269=4),IF(AND(C269="IN",I269=120),VLOOKUP(W269,'CAFCO 300 IDIEM TABLAS'!$J$4:$L$40,3,FALSE),0),0))</f>
        <v>17</v>
      </c>
      <c r="U269" s="48">
        <f t="shared" si="34"/>
        <v>1.5229350433247753</v>
      </c>
      <c r="V269" s="82">
        <f t="shared" si="31"/>
        <v>22865.346740478177</v>
      </c>
      <c r="W269" s="64">
        <f>+IF(J269=LOOKUP(J269,'CAFCO 300 IDIEM TABLAS'!$J$4:$J$40),'HOJA DE CÁLCULO RESPALDO'!J269,MROUND('HOJA DE CÁLCULO RESPALDO'!J269,10))</f>
        <v>95</v>
      </c>
      <c r="X269" s="36"/>
      <c r="Y269" s="4"/>
    </row>
    <row r="270" spans="1:25" ht="15.6" customHeight="1" x14ac:dyDescent="0.25">
      <c r="A270" s="2" t="s">
        <v>51</v>
      </c>
      <c r="B270" s="3" t="s">
        <v>17</v>
      </c>
      <c r="C270" s="3" t="s">
        <v>19</v>
      </c>
      <c r="D270" s="3">
        <v>1</v>
      </c>
      <c r="E270" s="2">
        <v>1</v>
      </c>
      <c r="F270" s="8">
        <v>1500</v>
      </c>
      <c r="G270" s="1">
        <v>4</v>
      </c>
      <c r="H270" s="2">
        <v>776</v>
      </c>
      <c r="I270" s="34">
        <v>90</v>
      </c>
      <c r="J270" s="11">
        <v>95</v>
      </c>
      <c r="K270" s="44">
        <f t="shared" si="28"/>
        <v>1.1639999999999999</v>
      </c>
      <c r="L270" s="3" t="s">
        <v>61</v>
      </c>
      <c r="M270" s="3" t="s">
        <v>70</v>
      </c>
      <c r="N270" s="15">
        <f>ROUND((IF(L270="Blaze Shield II",IF(M270="Idiem software",IF(AND(C270="IN",G270=4),((('BLAZE SHIELD II'!$D$4*('HOJA DE CÁLCULO RESPALDO'!I270^2)+'BLAZE SHIELD II'!$D$5*'HOJA DE CÁLCULO RESPALDO'!I270+'BLAZE SHIELD II'!$D$6)*LN(J270))+('BLAZE SHIELD II'!$D$7*('HOJA DE CÁLCULO RESPALDO'!I270^2)+'BLAZE SHIELD II'!$D$8*'HOJA DE CÁLCULO RESPALDO'!I270+'BLAZE SHIELD II'!$D$9)),0),0),0))+(IF(L270="Blaze Shield II",IF(M270="Idiem software",IF(C270="Cj",((('BLAZE SHIELD II'!$H$4*('HOJA DE CÁLCULO RESPALDO'!I270^2)+'BLAZE SHIELD II'!$H$5*'HOJA DE CÁLCULO RESPALDO'!I270+'BLAZE SHIELD II'!$H$6)*LN(J270))+('BLAZE SHIELD II'!$H$7*('HOJA DE CÁLCULO RESPALDO'!I270^2)+'BLAZE SHIELD II'!$H$8*'HOJA DE CÁLCULO RESPALDO'!I270+'BLAZE SHIELD II'!$H$9)),0),0),0))+(IF(L270="Blaze Shield II",IF(M270="Idiem software",IF(C270="C",((('BLAZE SHIELD II'!$L$4*('HOJA DE CÁLCULO RESPALDO'!I270^2)+'BLAZE SHIELD II'!$L$5*'HOJA DE CÁLCULO RESPALDO'!I270+'BLAZE SHIELD II'!$L$6)*LN(J270))+('BLAZE SHIELD II'!$L$7*('HOJA DE CÁLCULO RESPALDO'!I270^2)+'BLAZE SHIELD II'!$L$8*'HOJA DE CÁLCULO RESPALDO'!I270+'BLAZE SHIELD II'!$L$9)),0),0),0))+(IF(L270="Blaze Shield II",IF(M270="Idiem software",IF(AND(C270="IN",G270=3),((('BLAZE SHIELD II'!$H$14*('HOJA DE CÁLCULO RESPALDO'!I270^2)+'BLAZE SHIELD II'!$H$15*'HOJA DE CÁLCULO RESPALDO'!I270+'BLAZE SHIELD II'!$H$16)*LN(J270))+('BLAZE SHIELD II'!$H$17*('HOJA DE CÁLCULO RESPALDO'!I270^2)+'BLAZE SHIELD II'!$H$18*'HOJA DE CÁLCULO RESPALDO'!I270+'BLAZE SHIELD II'!$H$19)),0),0),0)),0)</f>
        <v>0</v>
      </c>
      <c r="O270" s="46">
        <f t="shared" si="32"/>
        <v>0</v>
      </c>
      <c r="P270" s="80">
        <f t="shared" si="29"/>
        <v>0</v>
      </c>
      <c r="Q270" s="85">
        <f>ROUND((IF(L270="Cafco 400",IF(M270="Idiem software",IF(AND(C270="IN",G270=4),((('CAFCO 400 '!$H$7*(J270^4)+'CAFCO 400 '!$H$8*(J270^3)+'CAFCO 400 '!$H$9*(J270^2)+'CAFCO 400 '!$H$10*J270+'CAFCO 400 '!$H$11)*I270^2)+(('CAFCO 400 '!$H$12*(J270^3)+'CAFCO 400 '!$H$13*(J270^2)+'CAFCO 400 '!$H$14*J270+'CAFCO 400 '!$H$15)*I270)+('CAFCO 400 '!$H$16*(J270^2)+'CAFCO 400 '!$H$17*J270+'CAFCO 400 '!$H$18)),0),0),0))+(IF(L270="Cafco 400",IF(M270="Idiem software",IF(C270="Cj",(((('CAFCO 400 '!$D$7*LN(J270)+'CAFCO 400 '!$D$8)*I270^2)+(('CAFCO 400 '!$D$9*LN(J270)+'CAFCO 400 '!$D$10)*I270)+('CAFCO 400 '!$D$11*LN(J270)+'CAFCO 400 '!$D$12))),0),0),0))+(IF(L270="Cafco 400",IF(M270="Idiem software",IF(C270="C",((('CAFCO 400 '!$L$7*(J270^3)+'CAFCO 400 '!$L$8*(J270^2)+'CAFCO 400 '!$L$9*J270+'CAFCO 400 '!$L$10)*I270^2)+(('CAFCO 400 '!$L$11*(J270^3)+'CAFCO 400 '!$L$12*(J270^2)+'CAFCO 400 '!$L$13*J270+'CAFCO 400 '!$L$14)*I270)+('CAFCO 400 '!$L$15*LN(J270)+'CAFCO 400 '!$L$16)),0),0),0))+(IF(L270="Cafco 400",IF(M270="Idiem software",IF(AND(C270="IN",G270=3),((('CAFCO 400 '!$D$23*(J270^2)+'CAFCO 400 '!$D$24*(J270)+'CAFCO 400 '!$D$25)*I270^2)+(('CAFCO 400 '!$D$26*(J270^2)+'CAFCO 400 '!$D$27*J270+'CAFCO 400 '!$D$28)*I270)+('CAFCO 400 '!$D$29*(J270^2)+'CAFCO 400 '!$D$30*J270+'CAFCO 400 '!$D$31)),0),0),0)),0)</f>
        <v>0</v>
      </c>
      <c r="R270" s="47">
        <f t="shared" si="33"/>
        <v>0</v>
      </c>
      <c r="S270" s="82">
        <f t="shared" si="30"/>
        <v>0</v>
      </c>
      <c r="T270" s="81">
        <f>+IF(AND(J270&gt;=95,J270&lt;=240),IF(AND(C270="Cj",I270=90),VLOOKUP(W270,'CAFCO 300 IDIEM TABLAS'!$B$4:$D$23,2,FALSE),0)+IF(AND(J270&gt;=95,J270&lt;=240),IF(AND(C270="Cj",I270=120),VLOOKUP(W270,'CAFCO 300 IDIEM TABLAS'!$B$4:$D$23,3,FALSE),0))+IF(AND(J270&gt;=95,J270&lt;=400,G270=3),IF(AND(C270="IN",I270=90),VLOOKUP(W270,'CAFCO 300 IDIEM TABLAS'!$F$4:$H$35,2,FALSE),0),0)+IF(AND(J270&gt;=95,J270&lt;=400,G270=3),IF(AND(C270="IN",I270=120),VLOOKUP(W270,'CAFCO 300 IDIEM TABLAS'!$F$4:$H$35,3,FALSE),0),0)+IF(AND(J270&gt;=95,J270&lt;=450,G270=4),IF(AND(C270="IN",I270=90),VLOOKUP(W270,'CAFCO 300 IDIEM TABLAS'!$J$4:$L$40,2,FALSE),0),0)+IF(AND(J270&gt;=95,J270&lt;=450,G270=4),IF(AND(C270="IN",I270=120),VLOOKUP(W270,'CAFCO 300 IDIEM TABLAS'!$J$4:$L$40,3,FALSE),0),0))</f>
        <v>17</v>
      </c>
      <c r="U270" s="48">
        <f t="shared" si="34"/>
        <v>0.2730693196405648</v>
      </c>
      <c r="V270" s="82">
        <f t="shared" si="31"/>
        <v>4099.8627650834396</v>
      </c>
      <c r="W270" s="64">
        <f>+IF(J270=LOOKUP(J270,'CAFCO 300 IDIEM TABLAS'!$J$4:$J$40),'HOJA DE CÁLCULO RESPALDO'!J270,MROUND('HOJA DE CÁLCULO RESPALDO'!J270,10))</f>
        <v>95</v>
      </c>
      <c r="X270" s="36"/>
      <c r="Y270" s="4"/>
    </row>
    <row r="271" spans="1:25" x14ac:dyDescent="0.25">
      <c r="A271" s="2" t="s">
        <v>51</v>
      </c>
      <c r="B271" s="3" t="s">
        <v>17</v>
      </c>
      <c r="C271" s="3" t="s">
        <v>19</v>
      </c>
      <c r="D271" s="3">
        <v>1</v>
      </c>
      <c r="E271" s="2">
        <v>1</v>
      </c>
      <c r="F271" s="8">
        <v>1500</v>
      </c>
      <c r="G271" s="1">
        <v>4</v>
      </c>
      <c r="H271" s="2">
        <v>3879</v>
      </c>
      <c r="I271" s="34">
        <v>90</v>
      </c>
      <c r="J271" s="11">
        <v>95</v>
      </c>
      <c r="K271" s="44">
        <f t="shared" si="28"/>
        <v>5.8185000000000002</v>
      </c>
      <c r="L271" s="3" t="s">
        <v>61</v>
      </c>
      <c r="M271" s="3" t="s">
        <v>70</v>
      </c>
      <c r="N271" s="15">
        <f>ROUND((IF(L271="Blaze Shield II",IF(M271="Idiem software",IF(AND(C271="IN",G271=4),((('BLAZE SHIELD II'!$D$4*('HOJA DE CÁLCULO RESPALDO'!I271^2)+'BLAZE SHIELD II'!$D$5*'HOJA DE CÁLCULO RESPALDO'!I271+'BLAZE SHIELD II'!$D$6)*LN(J271))+('BLAZE SHIELD II'!$D$7*('HOJA DE CÁLCULO RESPALDO'!I271^2)+'BLAZE SHIELD II'!$D$8*'HOJA DE CÁLCULO RESPALDO'!I271+'BLAZE SHIELD II'!$D$9)),0),0),0))+(IF(L271="Blaze Shield II",IF(M271="Idiem software",IF(C271="Cj",((('BLAZE SHIELD II'!$H$4*('HOJA DE CÁLCULO RESPALDO'!I271^2)+'BLAZE SHIELD II'!$H$5*'HOJA DE CÁLCULO RESPALDO'!I271+'BLAZE SHIELD II'!$H$6)*LN(J271))+('BLAZE SHIELD II'!$H$7*('HOJA DE CÁLCULO RESPALDO'!I271^2)+'BLAZE SHIELD II'!$H$8*'HOJA DE CÁLCULO RESPALDO'!I271+'BLAZE SHIELD II'!$H$9)),0),0),0))+(IF(L271="Blaze Shield II",IF(M271="Idiem software",IF(C271="C",((('BLAZE SHIELD II'!$L$4*('HOJA DE CÁLCULO RESPALDO'!I271^2)+'BLAZE SHIELD II'!$L$5*'HOJA DE CÁLCULO RESPALDO'!I271+'BLAZE SHIELD II'!$L$6)*LN(J271))+('BLAZE SHIELD II'!$L$7*('HOJA DE CÁLCULO RESPALDO'!I271^2)+'BLAZE SHIELD II'!$L$8*'HOJA DE CÁLCULO RESPALDO'!I271+'BLAZE SHIELD II'!$L$9)),0),0),0))+(IF(L271="Blaze Shield II",IF(M271="Idiem software",IF(AND(C271="IN",G271=3),((('BLAZE SHIELD II'!$H$14*('HOJA DE CÁLCULO RESPALDO'!I271^2)+'BLAZE SHIELD II'!$H$15*'HOJA DE CÁLCULO RESPALDO'!I271+'BLAZE SHIELD II'!$H$16)*LN(J271))+('BLAZE SHIELD II'!$H$17*('HOJA DE CÁLCULO RESPALDO'!I271^2)+'BLAZE SHIELD II'!$H$18*'HOJA DE CÁLCULO RESPALDO'!I271+'BLAZE SHIELD II'!$H$19)),0),0),0)),0)</f>
        <v>0</v>
      </c>
      <c r="O271" s="46">
        <f t="shared" si="32"/>
        <v>0</v>
      </c>
      <c r="P271" s="80">
        <f t="shared" si="29"/>
        <v>0</v>
      </c>
      <c r="Q271" s="85">
        <f>ROUND((IF(L271="Cafco 400",IF(M271="Idiem software",IF(AND(C271="IN",G271=4),((('CAFCO 400 '!$H$7*(J271^4)+'CAFCO 400 '!$H$8*(J271^3)+'CAFCO 400 '!$H$9*(J271^2)+'CAFCO 400 '!$H$10*J271+'CAFCO 400 '!$H$11)*I271^2)+(('CAFCO 400 '!$H$12*(J271^3)+'CAFCO 400 '!$H$13*(J271^2)+'CAFCO 400 '!$H$14*J271+'CAFCO 400 '!$H$15)*I271)+('CAFCO 400 '!$H$16*(J271^2)+'CAFCO 400 '!$H$17*J271+'CAFCO 400 '!$H$18)),0),0),0))+(IF(L271="Cafco 400",IF(M271="Idiem software",IF(C271="Cj",(((('CAFCO 400 '!$D$7*LN(J271)+'CAFCO 400 '!$D$8)*I271^2)+(('CAFCO 400 '!$D$9*LN(J271)+'CAFCO 400 '!$D$10)*I271)+('CAFCO 400 '!$D$11*LN(J271)+'CAFCO 400 '!$D$12))),0),0),0))+(IF(L271="Cafco 400",IF(M271="Idiem software",IF(C271="C",((('CAFCO 400 '!$L$7*(J271^3)+'CAFCO 400 '!$L$8*(J271^2)+'CAFCO 400 '!$L$9*J271+'CAFCO 400 '!$L$10)*I271^2)+(('CAFCO 400 '!$L$11*(J271^3)+'CAFCO 400 '!$L$12*(J271^2)+'CAFCO 400 '!$L$13*J271+'CAFCO 400 '!$L$14)*I271)+('CAFCO 400 '!$L$15*LN(J271)+'CAFCO 400 '!$L$16)),0),0),0))+(IF(L271="Cafco 400",IF(M271="Idiem software",IF(AND(C271="IN",G271=3),((('CAFCO 400 '!$D$23*(J271^2)+'CAFCO 400 '!$D$24*(J271)+'CAFCO 400 '!$D$25)*I271^2)+(('CAFCO 400 '!$D$26*(J271^2)+'CAFCO 400 '!$D$27*J271+'CAFCO 400 '!$D$28)*I271)+('CAFCO 400 '!$D$29*(J271^2)+'CAFCO 400 '!$D$30*J271+'CAFCO 400 '!$D$31)),0),0),0)),0)</f>
        <v>0</v>
      </c>
      <c r="R271" s="47">
        <f t="shared" si="33"/>
        <v>0</v>
      </c>
      <c r="S271" s="82">
        <f t="shared" si="30"/>
        <v>0</v>
      </c>
      <c r="T271" s="81">
        <f>+IF(AND(J271&gt;=95,J271&lt;=240),IF(AND(C271="Cj",I271=90),VLOOKUP(W271,'CAFCO 300 IDIEM TABLAS'!$B$4:$D$23,2,FALSE),0)+IF(AND(J271&gt;=95,J271&lt;=240),IF(AND(C271="Cj",I271=120),VLOOKUP(W271,'CAFCO 300 IDIEM TABLAS'!$B$4:$D$23,3,FALSE),0))+IF(AND(J271&gt;=95,J271&lt;=400,G271=3),IF(AND(C271="IN",I271=90),VLOOKUP(W271,'CAFCO 300 IDIEM TABLAS'!$F$4:$H$35,2,FALSE),0),0)+IF(AND(J271&gt;=95,J271&lt;=400,G271=3),IF(AND(C271="IN",I271=120),VLOOKUP(W271,'CAFCO 300 IDIEM TABLAS'!$F$4:$H$35,3,FALSE),0),0)+IF(AND(J271&gt;=95,J271&lt;=450,G271=4),IF(AND(C271="IN",I271=90),VLOOKUP(W271,'CAFCO 300 IDIEM TABLAS'!$J$4:$L$40,2,FALSE),0),0)+IF(AND(J271&gt;=95,J271&lt;=450,G271=4),IF(AND(C271="IN",I271=120),VLOOKUP(W271,'CAFCO 300 IDIEM TABLAS'!$J$4:$L$40,3,FALSE),0),0))</f>
        <v>17</v>
      </c>
      <c r="U271" s="48">
        <f t="shared" si="34"/>
        <v>1.3649947047496791</v>
      </c>
      <c r="V271" s="82">
        <f t="shared" si="31"/>
        <v>20494.030497111682</v>
      </c>
      <c r="W271" s="64">
        <f>+IF(J271=LOOKUP(J271,'CAFCO 300 IDIEM TABLAS'!$J$4:$J$40),'HOJA DE CÁLCULO RESPALDO'!J271,MROUND('HOJA DE CÁLCULO RESPALDO'!J271,10))</f>
        <v>95</v>
      </c>
      <c r="X271" s="36"/>
      <c r="Y271" s="4"/>
    </row>
    <row r="272" spans="1:25" ht="15.6" customHeight="1" x14ac:dyDescent="0.25">
      <c r="A272" s="2" t="s">
        <v>51</v>
      </c>
      <c r="B272" s="3" t="s">
        <v>17</v>
      </c>
      <c r="C272" s="3" t="s">
        <v>19</v>
      </c>
      <c r="D272" s="3">
        <v>1</v>
      </c>
      <c r="E272" s="2">
        <v>1</v>
      </c>
      <c r="F272" s="8">
        <v>11081</v>
      </c>
      <c r="G272" s="1">
        <v>4</v>
      </c>
      <c r="H272" s="2">
        <v>585</v>
      </c>
      <c r="I272" s="34">
        <v>90</v>
      </c>
      <c r="J272" s="11">
        <v>95</v>
      </c>
      <c r="K272" s="44">
        <f t="shared" si="28"/>
        <v>6.4823849999999998</v>
      </c>
      <c r="L272" s="3" t="s">
        <v>61</v>
      </c>
      <c r="M272" s="3" t="s">
        <v>70</v>
      </c>
      <c r="N272" s="15">
        <f>ROUND((IF(L272="Blaze Shield II",IF(M272="Idiem software",IF(AND(C272="IN",G272=4),((('BLAZE SHIELD II'!$D$4*('HOJA DE CÁLCULO RESPALDO'!I272^2)+'BLAZE SHIELD II'!$D$5*'HOJA DE CÁLCULO RESPALDO'!I272+'BLAZE SHIELD II'!$D$6)*LN(J272))+('BLAZE SHIELD II'!$D$7*('HOJA DE CÁLCULO RESPALDO'!I272^2)+'BLAZE SHIELD II'!$D$8*'HOJA DE CÁLCULO RESPALDO'!I272+'BLAZE SHIELD II'!$D$9)),0),0),0))+(IF(L272="Blaze Shield II",IF(M272="Idiem software",IF(C272="Cj",((('BLAZE SHIELD II'!$H$4*('HOJA DE CÁLCULO RESPALDO'!I272^2)+'BLAZE SHIELD II'!$H$5*'HOJA DE CÁLCULO RESPALDO'!I272+'BLAZE SHIELD II'!$H$6)*LN(J272))+('BLAZE SHIELD II'!$H$7*('HOJA DE CÁLCULO RESPALDO'!I272^2)+'BLAZE SHIELD II'!$H$8*'HOJA DE CÁLCULO RESPALDO'!I272+'BLAZE SHIELD II'!$H$9)),0),0),0))+(IF(L272="Blaze Shield II",IF(M272="Idiem software",IF(C272="C",((('BLAZE SHIELD II'!$L$4*('HOJA DE CÁLCULO RESPALDO'!I272^2)+'BLAZE SHIELD II'!$L$5*'HOJA DE CÁLCULO RESPALDO'!I272+'BLAZE SHIELD II'!$L$6)*LN(J272))+('BLAZE SHIELD II'!$L$7*('HOJA DE CÁLCULO RESPALDO'!I272^2)+'BLAZE SHIELD II'!$L$8*'HOJA DE CÁLCULO RESPALDO'!I272+'BLAZE SHIELD II'!$L$9)),0),0),0))+(IF(L272="Blaze Shield II",IF(M272="Idiem software",IF(AND(C272="IN",G272=3),((('BLAZE SHIELD II'!$H$14*('HOJA DE CÁLCULO RESPALDO'!I272^2)+'BLAZE SHIELD II'!$H$15*'HOJA DE CÁLCULO RESPALDO'!I272+'BLAZE SHIELD II'!$H$16)*LN(J272))+('BLAZE SHIELD II'!$H$17*('HOJA DE CÁLCULO RESPALDO'!I272^2)+'BLAZE SHIELD II'!$H$18*'HOJA DE CÁLCULO RESPALDO'!I272+'BLAZE SHIELD II'!$H$19)),0),0),0)),0)</f>
        <v>0</v>
      </c>
      <c r="O272" s="46">
        <f t="shared" si="32"/>
        <v>0</v>
      </c>
      <c r="P272" s="80">
        <f t="shared" si="29"/>
        <v>0</v>
      </c>
      <c r="Q272" s="85">
        <f>ROUND((IF(L272="Cafco 400",IF(M272="Idiem software",IF(AND(C272="IN",G272=4),((('CAFCO 400 '!$H$7*(J272^4)+'CAFCO 400 '!$H$8*(J272^3)+'CAFCO 400 '!$H$9*(J272^2)+'CAFCO 400 '!$H$10*J272+'CAFCO 400 '!$H$11)*I272^2)+(('CAFCO 400 '!$H$12*(J272^3)+'CAFCO 400 '!$H$13*(J272^2)+'CAFCO 400 '!$H$14*J272+'CAFCO 400 '!$H$15)*I272)+('CAFCO 400 '!$H$16*(J272^2)+'CAFCO 400 '!$H$17*J272+'CAFCO 400 '!$H$18)),0),0),0))+(IF(L272="Cafco 400",IF(M272="Idiem software",IF(C272="Cj",(((('CAFCO 400 '!$D$7*LN(J272)+'CAFCO 400 '!$D$8)*I272^2)+(('CAFCO 400 '!$D$9*LN(J272)+'CAFCO 400 '!$D$10)*I272)+('CAFCO 400 '!$D$11*LN(J272)+'CAFCO 400 '!$D$12))),0),0),0))+(IF(L272="Cafco 400",IF(M272="Idiem software",IF(C272="C",((('CAFCO 400 '!$L$7*(J272^3)+'CAFCO 400 '!$L$8*(J272^2)+'CAFCO 400 '!$L$9*J272+'CAFCO 400 '!$L$10)*I272^2)+(('CAFCO 400 '!$L$11*(J272^3)+'CAFCO 400 '!$L$12*(J272^2)+'CAFCO 400 '!$L$13*J272+'CAFCO 400 '!$L$14)*I272)+('CAFCO 400 '!$L$15*LN(J272)+'CAFCO 400 '!$L$16)),0),0),0))+(IF(L272="Cafco 400",IF(M272="Idiem software",IF(AND(C272="IN",G272=3),((('CAFCO 400 '!$D$23*(J272^2)+'CAFCO 400 '!$D$24*(J272)+'CAFCO 400 '!$D$25)*I272^2)+(('CAFCO 400 '!$D$26*(J272^2)+'CAFCO 400 '!$D$27*J272+'CAFCO 400 '!$D$28)*I272)+('CAFCO 400 '!$D$29*(J272^2)+'CAFCO 400 '!$D$30*J272+'CAFCO 400 '!$D$31)),0),0),0)),0)</f>
        <v>0</v>
      </c>
      <c r="R272" s="47">
        <f t="shared" si="33"/>
        <v>0</v>
      </c>
      <c r="S272" s="82">
        <f t="shared" si="30"/>
        <v>0</v>
      </c>
      <c r="T272" s="81">
        <f>+IF(AND(J272&gt;=95,J272&lt;=240),IF(AND(C272="Cj",I272=90),VLOOKUP(W272,'CAFCO 300 IDIEM TABLAS'!$B$4:$D$23,2,FALSE),0)+IF(AND(J272&gt;=95,J272&lt;=240),IF(AND(C272="Cj",I272=120),VLOOKUP(W272,'CAFCO 300 IDIEM TABLAS'!$B$4:$D$23,3,FALSE),0))+IF(AND(J272&gt;=95,J272&lt;=400,G272=3),IF(AND(C272="IN",I272=90),VLOOKUP(W272,'CAFCO 300 IDIEM TABLAS'!$F$4:$H$35,2,FALSE),0),0)+IF(AND(J272&gt;=95,J272&lt;=400,G272=3),IF(AND(C272="IN",I272=120),VLOOKUP(W272,'CAFCO 300 IDIEM TABLAS'!$F$4:$H$35,3,FALSE),0),0)+IF(AND(J272&gt;=95,J272&lt;=450,G272=4),IF(AND(C272="IN",I272=90),VLOOKUP(W272,'CAFCO 300 IDIEM TABLAS'!$J$4:$L$40,2,FALSE),0),0)+IF(AND(J272&gt;=95,J272&lt;=450,G272=4),IF(AND(C272="IN",I272=120),VLOOKUP(W272,'CAFCO 300 IDIEM TABLAS'!$J$4:$L$40,3,FALSE),0),0))</f>
        <v>17</v>
      </c>
      <c r="U272" s="48">
        <f t="shared" si="34"/>
        <v>1.5207392281771501</v>
      </c>
      <c r="V272" s="82">
        <f t="shared" si="31"/>
        <v>22832.378771851731</v>
      </c>
      <c r="W272" s="64">
        <f>+IF(J272=LOOKUP(J272,'CAFCO 300 IDIEM TABLAS'!$J$4:$J$40),'HOJA DE CÁLCULO RESPALDO'!J272,MROUND('HOJA DE CÁLCULO RESPALDO'!J272,10))</f>
        <v>95</v>
      </c>
      <c r="X272" s="36"/>
      <c r="Y272" s="4"/>
    </row>
    <row r="273" spans="1:25" x14ac:dyDescent="0.25">
      <c r="A273" s="2" t="s">
        <v>51</v>
      </c>
      <c r="B273" s="3" t="s">
        <v>17</v>
      </c>
      <c r="C273" s="3" t="s">
        <v>19</v>
      </c>
      <c r="D273" s="3">
        <v>1</v>
      </c>
      <c r="E273" s="2">
        <v>1</v>
      </c>
      <c r="F273" s="8">
        <v>1500</v>
      </c>
      <c r="G273" s="1">
        <v>4</v>
      </c>
      <c r="H273" s="2">
        <v>776</v>
      </c>
      <c r="I273" s="34">
        <v>90</v>
      </c>
      <c r="J273" s="11">
        <v>95</v>
      </c>
      <c r="K273" s="44">
        <f t="shared" si="28"/>
        <v>1.1639999999999999</v>
      </c>
      <c r="L273" s="3" t="s">
        <v>61</v>
      </c>
      <c r="M273" s="3" t="s">
        <v>70</v>
      </c>
      <c r="N273" s="15">
        <f>ROUND((IF(L273="Blaze Shield II",IF(M273="Idiem software",IF(AND(C273="IN",G273=4),((('BLAZE SHIELD II'!$D$4*('HOJA DE CÁLCULO RESPALDO'!I273^2)+'BLAZE SHIELD II'!$D$5*'HOJA DE CÁLCULO RESPALDO'!I273+'BLAZE SHIELD II'!$D$6)*LN(J273))+('BLAZE SHIELD II'!$D$7*('HOJA DE CÁLCULO RESPALDO'!I273^2)+'BLAZE SHIELD II'!$D$8*'HOJA DE CÁLCULO RESPALDO'!I273+'BLAZE SHIELD II'!$D$9)),0),0),0))+(IF(L273="Blaze Shield II",IF(M273="Idiem software",IF(C273="Cj",((('BLAZE SHIELD II'!$H$4*('HOJA DE CÁLCULO RESPALDO'!I273^2)+'BLAZE SHIELD II'!$H$5*'HOJA DE CÁLCULO RESPALDO'!I273+'BLAZE SHIELD II'!$H$6)*LN(J273))+('BLAZE SHIELD II'!$H$7*('HOJA DE CÁLCULO RESPALDO'!I273^2)+'BLAZE SHIELD II'!$H$8*'HOJA DE CÁLCULO RESPALDO'!I273+'BLAZE SHIELD II'!$H$9)),0),0),0))+(IF(L273="Blaze Shield II",IF(M273="Idiem software",IF(C273="C",((('BLAZE SHIELD II'!$L$4*('HOJA DE CÁLCULO RESPALDO'!I273^2)+'BLAZE SHIELD II'!$L$5*'HOJA DE CÁLCULO RESPALDO'!I273+'BLAZE SHIELD II'!$L$6)*LN(J273))+('BLAZE SHIELD II'!$L$7*('HOJA DE CÁLCULO RESPALDO'!I273^2)+'BLAZE SHIELD II'!$L$8*'HOJA DE CÁLCULO RESPALDO'!I273+'BLAZE SHIELD II'!$L$9)),0),0),0))+(IF(L273="Blaze Shield II",IF(M273="Idiem software",IF(AND(C273="IN",G273=3),((('BLAZE SHIELD II'!$H$14*('HOJA DE CÁLCULO RESPALDO'!I273^2)+'BLAZE SHIELD II'!$H$15*'HOJA DE CÁLCULO RESPALDO'!I273+'BLAZE SHIELD II'!$H$16)*LN(J273))+('BLAZE SHIELD II'!$H$17*('HOJA DE CÁLCULO RESPALDO'!I273^2)+'BLAZE SHIELD II'!$H$18*'HOJA DE CÁLCULO RESPALDO'!I273+'BLAZE SHIELD II'!$H$19)),0),0),0)),0)</f>
        <v>0</v>
      </c>
      <c r="O273" s="46">
        <f t="shared" si="32"/>
        <v>0</v>
      </c>
      <c r="P273" s="80">
        <f t="shared" si="29"/>
        <v>0</v>
      </c>
      <c r="Q273" s="85">
        <f>ROUND((IF(L273="Cafco 400",IF(M273="Idiem software",IF(AND(C273="IN",G273=4),((('CAFCO 400 '!$H$7*(J273^4)+'CAFCO 400 '!$H$8*(J273^3)+'CAFCO 400 '!$H$9*(J273^2)+'CAFCO 400 '!$H$10*J273+'CAFCO 400 '!$H$11)*I273^2)+(('CAFCO 400 '!$H$12*(J273^3)+'CAFCO 400 '!$H$13*(J273^2)+'CAFCO 400 '!$H$14*J273+'CAFCO 400 '!$H$15)*I273)+('CAFCO 400 '!$H$16*(J273^2)+'CAFCO 400 '!$H$17*J273+'CAFCO 400 '!$H$18)),0),0),0))+(IF(L273="Cafco 400",IF(M273="Idiem software",IF(C273="Cj",(((('CAFCO 400 '!$D$7*LN(J273)+'CAFCO 400 '!$D$8)*I273^2)+(('CAFCO 400 '!$D$9*LN(J273)+'CAFCO 400 '!$D$10)*I273)+('CAFCO 400 '!$D$11*LN(J273)+'CAFCO 400 '!$D$12))),0),0),0))+(IF(L273="Cafco 400",IF(M273="Idiem software",IF(C273="C",((('CAFCO 400 '!$L$7*(J273^3)+'CAFCO 400 '!$L$8*(J273^2)+'CAFCO 400 '!$L$9*J273+'CAFCO 400 '!$L$10)*I273^2)+(('CAFCO 400 '!$L$11*(J273^3)+'CAFCO 400 '!$L$12*(J273^2)+'CAFCO 400 '!$L$13*J273+'CAFCO 400 '!$L$14)*I273)+('CAFCO 400 '!$L$15*LN(J273)+'CAFCO 400 '!$L$16)),0),0),0))+(IF(L273="Cafco 400",IF(M273="Idiem software",IF(AND(C273="IN",G273=3),((('CAFCO 400 '!$D$23*(J273^2)+'CAFCO 400 '!$D$24*(J273)+'CAFCO 400 '!$D$25)*I273^2)+(('CAFCO 400 '!$D$26*(J273^2)+'CAFCO 400 '!$D$27*J273+'CAFCO 400 '!$D$28)*I273)+('CAFCO 400 '!$D$29*(J273^2)+'CAFCO 400 '!$D$30*J273+'CAFCO 400 '!$D$31)),0),0),0)),0)</f>
        <v>0</v>
      </c>
      <c r="R273" s="47">
        <f t="shared" si="33"/>
        <v>0</v>
      </c>
      <c r="S273" s="82">
        <f t="shared" si="30"/>
        <v>0</v>
      </c>
      <c r="T273" s="81">
        <f>+IF(AND(J273&gt;=95,J273&lt;=240),IF(AND(C273="Cj",I273=90),VLOOKUP(W273,'CAFCO 300 IDIEM TABLAS'!$B$4:$D$23,2,FALSE),0)+IF(AND(J273&gt;=95,J273&lt;=240),IF(AND(C273="Cj",I273=120),VLOOKUP(W273,'CAFCO 300 IDIEM TABLAS'!$B$4:$D$23,3,FALSE),0))+IF(AND(J273&gt;=95,J273&lt;=400,G273=3),IF(AND(C273="IN",I273=90),VLOOKUP(W273,'CAFCO 300 IDIEM TABLAS'!$F$4:$H$35,2,FALSE),0),0)+IF(AND(J273&gt;=95,J273&lt;=400,G273=3),IF(AND(C273="IN",I273=120),VLOOKUP(W273,'CAFCO 300 IDIEM TABLAS'!$F$4:$H$35,3,FALSE),0),0)+IF(AND(J273&gt;=95,J273&lt;=450,G273=4),IF(AND(C273="IN",I273=90),VLOOKUP(W273,'CAFCO 300 IDIEM TABLAS'!$J$4:$L$40,2,FALSE),0),0)+IF(AND(J273&gt;=95,J273&lt;=450,G273=4),IF(AND(C273="IN",I273=120),VLOOKUP(W273,'CAFCO 300 IDIEM TABLAS'!$J$4:$L$40,3,FALSE),0),0))</f>
        <v>17</v>
      </c>
      <c r="U273" s="48">
        <f t="shared" si="34"/>
        <v>0.2730693196405648</v>
      </c>
      <c r="V273" s="82">
        <f t="shared" si="31"/>
        <v>4099.8627650834396</v>
      </c>
      <c r="W273" s="64">
        <f>+IF(J273=LOOKUP(J273,'CAFCO 300 IDIEM TABLAS'!$J$4:$J$40),'HOJA DE CÁLCULO RESPALDO'!J273,MROUND('HOJA DE CÁLCULO RESPALDO'!J273,10))</f>
        <v>95</v>
      </c>
      <c r="X273" s="36"/>
      <c r="Y273" s="4"/>
    </row>
    <row r="274" spans="1:25" ht="15.6" customHeight="1" x14ac:dyDescent="0.25">
      <c r="A274" s="2" t="s">
        <v>51</v>
      </c>
      <c r="B274" s="3" t="s">
        <v>17</v>
      </c>
      <c r="C274" s="3" t="s">
        <v>19</v>
      </c>
      <c r="D274" s="3">
        <v>1</v>
      </c>
      <c r="E274" s="2">
        <v>1</v>
      </c>
      <c r="F274" s="8">
        <v>1500</v>
      </c>
      <c r="G274" s="1">
        <v>4</v>
      </c>
      <c r="H274" s="2">
        <v>3879</v>
      </c>
      <c r="I274" s="34">
        <v>90</v>
      </c>
      <c r="J274" s="11">
        <v>95</v>
      </c>
      <c r="K274" s="44">
        <f t="shared" si="28"/>
        <v>5.8185000000000002</v>
      </c>
      <c r="L274" s="3" t="s">
        <v>61</v>
      </c>
      <c r="M274" s="3" t="s">
        <v>70</v>
      </c>
      <c r="N274" s="15">
        <f>ROUND((IF(L274="Blaze Shield II",IF(M274="Idiem software",IF(AND(C274="IN",G274=4),((('BLAZE SHIELD II'!$D$4*('HOJA DE CÁLCULO RESPALDO'!I274^2)+'BLAZE SHIELD II'!$D$5*'HOJA DE CÁLCULO RESPALDO'!I274+'BLAZE SHIELD II'!$D$6)*LN(J274))+('BLAZE SHIELD II'!$D$7*('HOJA DE CÁLCULO RESPALDO'!I274^2)+'BLAZE SHIELD II'!$D$8*'HOJA DE CÁLCULO RESPALDO'!I274+'BLAZE SHIELD II'!$D$9)),0),0),0))+(IF(L274="Blaze Shield II",IF(M274="Idiem software",IF(C274="Cj",((('BLAZE SHIELD II'!$H$4*('HOJA DE CÁLCULO RESPALDO'!I274^2)+'BLAZE SHIELD II'!$H$5*'HOJA DE CÁLCULO RESPALDO'!I274+'BLAZE SHIELD II'!$H$6)*LN(J274))+('BLAZE SHIELD II'!$H$7*('HOJA DE CÁLCULO RESPALDO'!I274^2)+'BLAZE SHIELD II'!$H$8*'HOJA DE CÁLCULO RESPALDO'!I274+'BLAZE SHIELD II'!$H$9)),0),0),0))+(IF(L274="Blaze Shield II",IF(M274="Idiem software",IF(C274="C",((('BLAZE SHIELD II'!$L$4*('HOJA DE CÁLCULO RESPALDO'!I274^2)+'BLAZE SHIELD II'!$L$5*'HOJA DE CÁLCULO RESPALDO'!I274+'BLAZE SHIELD II'!$L$6)*LN(J274))+('BLAZE SHIELD II'!$L$7*('HOJA DE CÁLCULO RESPALDO'!I274^2)+'BLAZE SHIELD II'!$L$8*'HOJA DE CÁLCULO RESPALDO'!I274+'BLAZE SHIELD II'!$L$9)),0),0),0))+(IF(L274="Blaze Shield II",IF(M274="Idiem software",IF(AND(C274="IN",G274=3),((('BLAZE SHIELD II'!$H$14*('HOJA DE CÁLCULO RESPALDO'!I274^2)+'BLAZE SHIELD II'!$H$15*'HOJA DE CÁLCULO RESPALDO'!I274+'BLAZE SHIELD II'!$H$16)*LN(J274))+('BLAZE SHIELD II'!$H$17*('HOJA DE CÁLCULO RESPALDO'!I274^2)+'BLAZE SHIELD II'!$H$18*'HOJA DE CÁLCULO RESPALDO'!I274+'BLAZE SHIELD II'!$H$19)),0),0),0)),0)</f>
        <v>0</v>
      </c>
      <c r="O274" s="46">
        <f t="shared" si="32"/>
        <v>0</v>
      </c>
      <c r="P274" s="80">
        <f t="shared" si="29"/>
        <v>0</v>
      </c>
      <c r="Q274" s="85">
        <f>ROUND((IF(L274="Cafco 400",IF(M274="Idiem software",IF(AND(C274="IN",G274=4),((('CAFCO 400 '!$H$7*(J274^4)+'CAFCO 400 '!$H$8*(J274^3)+'CAFCO 400 '!$H$9*(J274^2)+'CAFCO 400 '!$H$10*J274+'CAFCO 400 '!$H$11)*I274^2)+(('CAFCO 400 '!$H$12*(J274^3)+'CAFCO 400 '!$H$13*(J274^2)+'CAFCO 400 '!$H$14*J274+'CAFCO 400 '!$H$15)*I274)+('CAFCO 400 '!$H$16*(J274^2)+'CAFCO 400 '!$H$17*J274+'CAFCO 400 '!$H$18)),0),0),0))+(IF(L274="Cafco 400",IF(M274="Idiem software",IF(C274="Cj",(((('CAFCO 400 '!$D$7*LN(J274)+'CAFCO 400 '!$D$8)*I274^2)+(('CAFCO 400 '!$D$9*LN(J274)+'CAFCO 400 '!$D$10)*I274)+('CAFCO 400 '!$D$11*LN(J274)+'CAFCO 400 '!$D$12))),0),0),0))+(IF(L274="Cafco 400",IF(M274="Idiem software",IF(C274="C",((('CAFCO 400 '!$L$7*(J274^3)+'CAFCO 400 '!$L$8*(J274^2)+'CAFCO 400 '!$L$9*J274+'CAFCO 400 '!$L$10)*I274^2)+(('CAFCO 400 '!$L$11*(J274^3)+'CAFCO 400 '!$L$12*(J274^2)+'CAFCO 400 '!$L$13*J274+'CAFCO 400 '!$L$14)*I274)+('CAFCO 400 '!$L$15*LN(J274)+'CAFCO 400 '!$L$16)),0),0),0))+(IF(L274="Cafco 400",IF(M274="Idiem software",IF(AND(C274="IN",G274=3),((('CAFCO 400 '!$D$23*(J274^2)+'CAFCO 400 '!$D$24*(J274)+'CAFCO 400 '!$D$25)*I274^2)+(('CAFCO 400 '!$D$26*(J274^2)+'CAFCO 400 '!$D$27*J274+'CAFCO 400 '!$D$28)*I274)+('CAFCO 400 '!$D$29*(J274^2)+'CAFCO 400 '!$D$30*J274+'CAFCO 400 '!$D$31)),0),0),0)),0)</f>
        <v>0</v>
      </c>
      <c r="R274" s="47">
        <f t="shared" si="33"/>
        <v>0</v>
      </c>
      <c r="S274" s="82">
        <f t="shared" si="30"/>
        <v>0</v>
      </c>
      <c r="T274" s="81">
        <f>+IF(AND(J274&gt;=95,J274&lt;=240),IF(AND(C274="Cj",I274=90),VLOOKUP(W274,'CAFCO 300 IDIEM TABLAS'!$B$4:$D$23,2,FALSE),0)+IF(AND(J274&gt;=95,J274&lt;=240),IF(AND(C274="Cj",I274=120),VLOOKUP(W274,'CAFCO 300 IDIEM TABLAS'!$B$4:$D$23,3,FALSE),0))+IF(AND(J274&gt;=95,J274&lt;=400,G274=3),IF(AND(C274="IN",I274=90),VLOOKUP(W274,'CAFCO 300 IDIEM TABLAS'!$F$4:$H$35,2,FALSE),0),0)+IF(AND(J274&gt;=95,J274&lt;=400,G274=3),IF(AND(C274="IN",I274=120),VLOOKUP(W274,'CAFCO 300 IDIEM TABLAS'!$F$4:$H$35,3,FALSE),0),0)+IF(AND(J274&gt;=95,J274&lt;=450,G274=4),IF(AND(C274="IN",I274=90),VLOOKUP(W274,'CAFCO 300 IDIEM TABLAS'!$J$4:$L$40,2,FALSE),0),0)+IF(AND(J274&gt;=95,J274&lt;=450,G274=4),IF(AND(C274="IN",I274=120),VLOOKUP(W274,'CAFCO 300 IDIEM TABLAS'!$J$4:$L$40,3,FALSE),0),0))</f>
        <v>17</v>
      </c>
      <c r="U274" s="48">
        <f t="shared" si="34"/>
        <v>1.3649947047496791</v>
      </c>
      <c r="V274" s="82">
        <f t="shared" si="31"/>
        <v>20494.030497111682</v>
      </c>
      <c r="W274" s="64">
        <f>+IF(J274=LOOKUP(J274,'CAFCO 300 IDIEM TABLAS'!$J$4:$J$40),'HOJA DE CÁLCULO RESPALDO'!J274,MROUND('HOJA DE CÁLCULO RESPALDO'!J274,10))</f>
        <v>95</v>
      </c>
      <c r="X274" s="36"/>
      <c r="Y274" s="4"/>
    </row>
    <row r="275" spans="1:25" x14ac:dyDescent="0.25">
      <c r="A275" s="2" t="s">
        <v>51</v>
      </c>
      <c r="B275" s="3" t="s">
        <v>17</v>
      </c>
      <c r="C275" s="3" t="s">
        <v>19</v>
      </c>
      <c r="D275" s="3">
        <v>1</v>
      </c>
      <c r="E275" s="2">
        <v>1</v>
      </c>
      <c r="F275" s="8">
        <v>12634</v>
      </c>
      <c r="G275" s="1">
        <v>4</v>
      </c>
      <c r="H275" s="2">
        <v>585</v>
      </c>
      <c r="I275" s="34">
        <v>90</v>
      </c>
      <c r="J275" s="11">
        <v>95</v>
      </c>
      <c r="K275" s="44">
        <f t="shared" si="28"/>
        <v>7.3908899999999997</v>
      </c>
      <c r="L275" s="3" t="s">
        <v>61</v>
      </c>
      <c r="M275" s="3" t="s">
        <v>70</v>
      </c>
      <c r="N275" s="15">
        <f>ROUND((IF(L275="Blaze Shield II",IF(M275="Idiem software",IF(AND(C275="IN",G275=4),((('BLAZE SHIELD II'!$D$4*('HOJA DE CÁLCULO RESPALDO'!I275^2)+'BLAZE SHIELD II'!$D$5*'HOJA DE CÁLCULO RESPALDO'!I275+'BLAZE SHIELD II'!$D$6)*LN(J275))+('BLAZE SHIELD II'!$D$7*('HOJA DE CÁLCULO RESPALDO'!I275^2)+'BLAZE SHIELD II'!$D$8*'HOJA DE CÁLCULO RESPALDO'!I275+'BLAZE SHIELD II'!$D$9)),0),0),0))+(IF(L275="Blaze Shield II",IF(M275="Idiem software",IF(C275="Cj",((('BLAZE SHIELD II'!$H$4*('HOJA DE CÁLCULO RESPALDO'!I275^2)+'BLAZE SHIELD II'!$H$5*'HOJA DE CÁLCULO RESPALDO'!I275+'BLAZE SHIELD II'!$H$6)*LN(J275))+('BLAZE SHIELD II'!$H$7*('HOJA DE CÁLCULO RESPALDO'!I275^2)+'BLAZE SHIELD II'!$H$8*'HOJA DE CÁLCULO RESPALDO'!I275+'BLAZE SHIELD II'!$H$9)),0),0),0))+(IF(L275="Blaze Shield II",IF(M275="Idiem software",IF(C275="C",((('BLAZE SHIELD II'!$L$4*('HOJA DE CÁLCULO RESPALDO'!I275^2)+'BLAZE SHIELD II'!$L$5*'HOJA DE CÁLCULO RESPALDO'!I275+'BLAZE SHIELD II'!$L$6)*LN(J275))+('BLAZE SHIELD II'!$L$7*('HOJA DE CÁLCULO RESPALDO'!I275^2)+'BLAZE SHIELD II'!$L$8*'HOJA DE CÁLCULO RESPALDO'!I275+'BLAZE SHIELD II'!$L$9)),0),0),0))+(IF(L275="Blaze Shield II",IF(M275="Idiem software",IF(AND(C275="IN",G275=3),((('BLAZE SHIELD II'!$H$14*('HOJA DE CÁLCULO RESPALDO'!I275^2)+'BLAZE SHIELD II'!$H$15*'HOJA DE CÁLCULO RESPALDO'!I275+'BLAZE SHIELD II'!$H$16)*LN(J275))+('BLAZE SHIELD II'!$H$17*('HOJA DE CÁLCULO RESPALDO'!I275^2)+'BLAZE SHIELD II'!$H$18*'HOJA DE CÁLCULO RESPALDO'!I275+'BLAZE SHIELD II'!$H$19)),0),0),0)),0)</f>
        <v>0</v>
      </c>
      <c r="O275" s="46">
        <f t="shared" si="32"/>
        <v>0</v>
      </c>
      <c r="P275" s="80">
        <f t="shared" si="29"/>
        <v>0</v>
      </c>
      <c r="Q275" s="85">
        <f>ROUND((IF(L275="Cafco 400",IF(M275="Idiem software",IF(AND(C275="IN",G275=4),((('CAFCO 400 '!$H$7*(J275^4)+'CAFCO 400 '!$H$8*(J275^3)+'CAFCO 400 '!$H$9*(J275^2)+'CAFCO 400 '!$H$10*J275+'CAFCO 400 '!$H$11)*I275^2)+(('CAFCO 400 '!$H$12*(J275^3)+'CAFCO 400 '!$H$13*(J275^2)+'CAFCO 400 '!$H$14*J275+'CAFCO 400 '!$H$15)*I275)+('CAFCO 400 '!$H$16*(J275^2)+'CAFCO 400 '!$H$17*J275+'CAFCO 400 '!$H$18)),0),0),0))+(IF(L275="Cafco 400",IF(M275="Idiem software",IF(C275="Cj",(((('CAFCO 400 '!$D$7*LN(J275)+'CAFCO 400 '!$D$8)*I275^2)+(('CAFCO 400 '!$D$9*LN(J275)+'CAFCO 400 '!$D$10)*I275)+('CAFCO 400 '!$D$11*LN(J275)+'CAFCO 400 '!$D$12))),0),0),0))+(IF(L275="Cafco 400",IF(M275="Idiem software",IF(C275="C",((('CAFCO 400 '!$L$7*(J275^3)+'CAFCO 400 '!$L$8*(J275^2)+'CAFCO 400 '!$L$9*J275+'CAFCO 400 '!$L$10)*I275^2)+(('CAFCO 400 '!$L$11*(J275^3)+'CAFCO 400 '!$L$12*(J275^2)+'CAFCO 400 '!$L$13*J275+'CAFCO 400 '!$L$14)*I275)+('CAFCO 400 '!$L$15*LN(J275)+'CAFCO 400 '!$L$16)),0),0),0))+(IF(L275="Cafco 400",IF(M275="Idiem software",IF(AND(C275="IN",G275=3),((('CAFCO 400 '!$D$23*(J275^2)+'CAFCO 400 '!$D$24*(J275)+'CAFCO 400 '!$D$25)*I275^2)+(('CAFCO 400 '!$D$26*(J275^2)+'CAFCO 400 '!$D$27*J275+'CAFCO 400 '!$D$28)*I275)+('CAFCO 400 '!$D$29*(J275^2)+'CAFCO 400 '!$D$30*J275+'CAFCO 400 '!$D$31)),0),0),0)),0)</f>
        <v>0</v>
      </c>
      <c r="R275" s="47">
        <f t="shared" si="33"/>
        <v>0</v>
      </c>
      <c r="S275" s="82">
        <f t="shared" si="30"/>
        <v>0</v>
      </c>
      <c r="T275" s="81">
        <f>+IF(AND(J275&gt;=95,J275&lt;=240),IF(AND(C275="Cj",I275=90),VLOOKUP(W275,'CAFCO 300 IDIEM TABLAS'!$B$4:$D$23,2,FALSE),0)+IF(AND(J275&gt;=95,J275&lt;=240),IF(AND(C275="Cj",I275=120),VLOOKUP(W275,'CAFCO 300 IDIEM TABLAS'!$B$4:$D$23,3,FALSE),0))+IF(AND(J275&gt;=95,J275&lt;=400,G275=3),IF(AND(C275="IN",I275=90),VLOOKUP(W275,'CAFCO 300 IDIEM TABLAS'!$F$4:$H$35,2,FALSE),0),0)+IF(AND(J275&gt;=95,J275&lt;=400,G275=3),IF(AND(C275="IN",I275=120),VLOOKUP(W275,'CAFCO 300 IDIEM TABLAS'!$F$4:$H$35,3,FALSE),0),0)+IF(AND(J275&gt;=95,J275&lt;=450,G275=4),IF(AND(C275="IN",I275=90),VLOOKUP(W275,'CAFCO 300 IDIEM TABLAS'!$J$4:$L$40,2,FALSE),0),0)+IF(AND(J275&gt;=95,J275&lt;=450,G275=4),IF(AND(C275="IN",I275=120),VLOOKUP(W275,'CAFCO 300 IDIEM TABLAS'!$J$4:$L$40,3,FALSE),0),0))</f>
        <v>17</v>
      </c>
      <c r="U275" s="48">
        <f t="shared" si="34"/>
        <v>1.7338705359435174</v>
      </c>
      <c r="V275" s="82">
        <f t="shared" si="31"/>
        <v>26032.33222665597</v>
      </c>
      <c r="W275" s="64">
        <f>+IF(J275=LOOKUP(J275,'CAFCO 300 IDIEM TABLAS'!$J$4:$J$40),'HOJA DE CÁLCULO RESPALDO'!J275,MROUND('HOJA DE CÁLCULO RESPALDO'!J275,10))</f>
        <v>95</v>
      </c>
      <c r="X275" s="36"/>
      <c r="Y275" s="4"/>
    </row>
    <row r="276" spans="1:25" ht="15.6" customHeight="1" x14ac:dyDescent="0.25">
      <c r="A276" s="2" t="s">
        <v>45</v>
      </c>
      <c r="B276" s="3" t="s">
        <v>17</v>
      </c>
      <c r="C276" s="3" t="s">
        <v>19</v>
      </c>
      <c r="D276" s="3">
        <v>1</v>
      </c>
      <c r="E276" s="2">
        <v>1</v>
      </c>
      <c r="F276" s="8">
        <v>1500</v>
      </c>
      <c r="G276" s="1">
        <v>4</v>
      </c>
      <c r="H276" s="2">
        <v>776</v>
      </c>
      <c r="I276" s="34">
        <v>90</v>
      </c>
      <c r="J276" s="11">
        <v>95</v>
      </c>
      <c r="K276" s="44">
        <f t="shared" si="28"/>
        <v>1.1639999999999999</v>
      </c>
      <c r="L276" s="3" t="s">
        <v>61</v>
      </c>
      <c r="M276" s="3" t="s">
        <v>70</v>
      </c>
      <c r="N276" s="15">
        <f>ROUND((IF(L276="Blaze Shield II",IF(M276="Idiem software",IF(AND(C276="IN",G276=4),((('BLAZE SHIELD II'!$D$4*('HOJA DE CÁLCULO RESPALDO'!I276^2)+'BLAZE SHIELD II'!$D$5*'HOJA DE CÁLCULO RESPALDO'!I276+'BLAZE SHIELD II'!$D$6)*LN(J276))+('BLAZE SHIELD II'!$D$7*('HOJA DE CÁLCULO RESPALDO'!I276^2)+'BLAZE SHIELD II'!$D$8*'HOJA DE CÁLCULO RESPALDO'!I276+'BLAZE SHIELD II'!$D$9)),0),0),0))+(IF(L276="Blaze Shield II",IF(M276="Idiem software",IF(C276="Cj",((('BLAZE SHIELD II'!$H$4*('HOJA DE CÁLCULO RESPALDO'!I276^2)+'BLAZE SHIELD II'!$H$5*'HOJA DE CÁLCULO RESPALDO'!I276+'BLAZE SHIELD II'!$H$6)*LN(J276))+('BLAZE SHIELD II'!$H$7*('HOJA DE CÁLCULO RESPALDO'!I276^2)+'BLAZE SHIELD II'!$H$8*'HOJA DE CÁLCULO RESPALDO'!I276+'BLAZE SHIELD II'!$H$9)),0),0),0))+(IF(L276="Blaze Shield II",IF(M276="Idiem software",IF(C276="C",((('BLAZE SHIELD II'!$L$4*('HOJA DE CÁLCULO RESPALDO'!I276^2)+'BLAZE SHIELD II'!$L$5*'HOJA DE CÁLCULO RESPALDO'!I276+'BLAZE SHIELD II'!$L$6)*LN(J276))+('BLAZE SHIELD II'!$L$7*('HOJA DE CÁLCULO RESPALDO'!I276^2)+'BLAZE SHIELD II'!$L$8*'HOJA DE CÁLCULO RESPALDO'!I276+'BLAZE SHIELD II'!$L$9)),0),0),0))+(IF(L276="Blaze Shield II",IF(M276="Idiem software",IF(AND(C276="IN",G276=3),((('BLAZE SHIELD II'!$H$14*('HOJA DE CÁLCULO RESPALDO'!I276^2)+'BLAZE SHIELD II'!$H$15*'HOJA DE CÁLCULO RESPALDO'!I276+'BLAZE SHIELD II'!$H$16)*LN(J276))+('BLAZE SHIELD II'!$H$17*('HOJA DE CÁLCULO RESPALDO'!I276^2)+'BLAZE SHIELD II'!$H$18*'HOJA DE CÁLCULO RESPALDO'!I276+'BLAZE SHIELD II'!$H$19)),0),0),0)),0)</f>
        <v>0</v>
      </c>
      <c r="O276" s="46">
        <f t="shared" si="32"/>
        <v>0</v>
      </c>
      <c r="P276" s="80">
        <f t="shared" si="29"/>
        <v>0</v>
      </c>
      <c r="Q276" s="85">
        <f>ROUND((IF(L276="Cafco 400",IF(M276="Idiem software",IF(AND(C276="IN",G276=4),((('CAFCO 400 '!$H$7*(J276^4)+'CAFCO 400 '!$H$8*(J276^3)+'CAFCO 400 '!$H$9*(J276^2)+'CAFCO 400 '!$H$10*J276+'CAFCO 400 '!$H$11)*I276^2)+(('CAFCO 400 '!$H$12*(J276^3)+'CAFCO 400 '!$H$13*(J276^2)+'CAFCO 400 '!$H$14*J276+'CAFCO 400 '!$H$15)*I276)+('CAFCO 400 '!$H$16*(J276^2)+'CAFCO 400 '!$H$17*J276+'CAFCO 400 '!$H$18)),0),0),0))+(IF(L276="Cafco 400",IF(M276="Idiem software",IF(C276="Cj",(((('CAFCO 400 '!$D$7*LN(J276)+'CAFCO 400 '!$D$8)*I276^2)+(('CAFCO 400 '!$D$9*LN(J276)+'CAFCO 400 '!$D$10)*I276)+('CAFCO 400 '!$D$11*LN(J276)+'CAFCO 400 '!$D$12))),0),0),0))+(IF(L276="Cafco 400",IF(M276="Idiem software",IF(C276="C",((('CAFCO 400 '!$L$7*(J276^3)+'CAFCO 400 '!$L$8*(J276^2)+'CAFCO 400 '!$L$9*J276+'CAFCO 400 '!$L$10)*I276^2)+(('CAFCO 400 '!$L$11*(J276^3)+'CAFCO 400 '!$L$12*(J276^2)+'CAFCO 400 '!$L$13*J276+'CAFCO 400 '!$L$14)*I276)+('CAFCO 400 '!$L$15*LN(J276)+'CAFCO 400 '!$L$16)),0),0),0))+(IF(L276="Cafco 400",IF(M276="Idiem software",IF(AND(C276="IN",G276=3),((('CAFCO 400 '!$D$23*(J276^2)+'CAFCO 400 '!$D$24*(J276)+'CAFCO 400 '!$D$25)*I276^2)+(('CAFCO 400 '!$D$26*(J276^2)+'CAFCO 400 '!$D$27*J276+'CAFCO 400 '!$D$28)*I276)+('CAFCO 400 '!$D$29*(J276^2)+'CAFCO 400 '!$D$30*J276+'CAFCO 400 '!$D$31)),0),0),0)),0)</f>
        <v>0</v>
      </c>
      <c r="R276" s="47">
        <f t="shared" si="33"/>
        <v>0</v>
      </c>
      <c r="S276" s="82">
        <f t="shared" si="30"/>
        <v>0</v>
      </c>
      <c r="T276" s="81">
        <f>+IF(AND(J276&gt;=95,J276&lt;=240),IF(AND(C276="Cj",I276=90),VLOOKUP(W276,'CAFCO 300 IDIEM TABLAS'!$B$4:$D$23,2,FALSE),0)+IF(AND(J276&gt;=95,J276&lt;=240),IF(AND(C276="Cj",I276=120),VLOOKUP(W276,'CAFCO 300 IDIEM TABLAS'!$B$4:$D$23,3,FALSE),0))+IF(AND(J276&gt;=95,J276&lt;=400,G276=3),IF(AND(C276="IN",I276=90),VLOOKUP(W276,'CAFCO 300 IDIEM TABLAS'!$F$4:$H$35,2,FALSE),0),0)+IF(AND(J276&gt;=95,J276&lt;=400,G276=3),IF(AND(C276="IN",I276=120),VLOOKUP(W276,'CAFCO 300 IDIEM TABLAS'!$F$4:$H$35,3,FALSE),0),0)+IF(AND(J276&gt;=95,J276&lt;=450,G276=4),IF(AND(C276="IN",I276=90),VLOOKUP(W276,'CAFCO 300 IDIEM TABLAS'!$J$4:$L$40,2,FALSE),0),0)+IF(AND(J276&gt;=95,J276&lt;=450,G276=4),IF(AND(C276="IN",I276=120),VLOOKUP(W276,'CAFCO 300 IDIEM TABLAS'!$J$4:$L$40,3,FALSE),0),0))</f>
        <v>17</v>
      </c>
      <c r="U276" s="48">
        <f t="shared" si="34"/>
        <v>0.2730693196405648</v>
      </c>
      <c r="V276" s="82">
        <f t="shared" si="31"/>
        <v>4099.8627650834396</v>
      </c>
      <c r="W276" s="64">
        <f>+IF(J276=LOOKUP(J276,'CAFCO 300 IDIEM TABLAS'!$J$4:$J$40),'HOJA DE CÁLCULO RESPALDO'!J276,MROUND('HOJA DE CÁLCULO RESPALDO'!J276,10))</f>
        <v>95</v>
      </c>
      <c r="X276" s="36"/>
      <c r="Y276" s="4"/>
    </row>
    <row r="277" spans="1:25" x14ac:dyDescent="0.25">
      <c r="A277" s="2" t="s">
        <v>45</v>
      </c>
      <c r="B277" s="3" t="s">
        <v>17</v>
      </c>
      <c r="C277" s="3" t="s">
        <v>19</v>
      </c>
      <c r="D277" s="3">
        <v>1</v>
      </c>
      <c r="E277" s="2">
        <v>1</v>
      </c>
      <c r="F277" s="8">
        <v>11097</v>
      </c>
      <c r="G277" s="1">
        <v>4</v>
      </c>
      <c r="H277" s="2">
        <v>585</v>
      </c>
      <c r="I277" s="34">
        <v>90</v>
      </c>
      <c r="J277" s="11">
        <v>95</v>
      </c>
      <c r="K277" s="44">
        <f t="shared" si="28"/>
        <v>6.4917449999999999</v>
      </c>
      <c r="L277" s="3" t="s">
        <v>61</v>
      </c>
      <c r="M277" s="3" t="s">
        <v>70</v>
      </c>
      <c r="N277" s="15">
        <f>ROUND((IF(L277="Blaze Shield II",IF(M277="Idiem software",IF(AND(C277="IN",G277=4),((('BLAZE SHIELD II'!$D$4*('HOJA DE CÁLCULO RESPALDO'!I277^2)+'BLAZE SHIELD II'!$D$5*'HOJA DE CÁLCULO RESPALDO'!I277+'BLAZE SHIELD II'!$D$6)*LN(J277))+('BLAZE SHIELD II'!$D$7*('HOJA DE CÁLCULO RESPALDO'!I277^2)+'BLAZE SHIELD II'!$D$8*'HOJA DE CÁLCULO RESPALDO'!I277+'BLAZE SHIELD II'!$D$9)),0),0),0))+(IF(L277="Blaze Shield II",IF(M277="Idiem software",IF(C277="Cj",((('BLAZE SHIELD II'!$H$4*('HOJA DE CÁLCULO RESPALDO'!I277^2)+'BLAZE SHIELD II'!$H$5*'HOJA DE CÁLCULO RESPALDO'!I277+'BLAZE SHIELD II'!$H$6)*LN(J277))+('BLAZE SHIELD II'!$H$7*('HOJA DE CÁLCULO RESPALDO'!I277^2)+'BLAZE SHIELD II'!$H$8*'HOJA DE CÁLCULO RESPALDO'!I277+'BLAZE SHIELD II'!$H$9)),0),0),0))+(IF(L277="Blaze Shield II",IF(M277="Idiem software",IF(C277="C",((('BLAZE SHIELD II'!$L$4*('HOJA DE CÁLCULO RESPALDO'!I277^2)+'BLAZE SHIELD II'!$L$5*'HOJA DE CÁLCULO RESPALDO'!I277+'BLAZE SHIELD II'!$L$6)*LN(J277))+('BLAZE SHIELD II'!$L$7*('HOJA DE CÁLCULO RESPALDO'!I277^2)+'BLAZE SHIELD II'!$L$8*'HOJA DE CÁLCULO RESPALDO'!I277+'BLAZE SHIELD II'!$L$9)),0),0),0))+(IF(L277="Blaze Shield II",IF(M277="Idiem software",IF(AND(C277="IN",G277=3),((('BLAZE SHIELD II'!$H$14*('HOJA DE CÁLCULO RESPALDO'!I277^2)+'BLAZE SHIELD II'!$H$15*'HOJA DE CÁLCULO RESPALDO'!I277+'BLAZE SHIELD II'!$H$16)*LN(J277))+('BLAZE SHIELD II'!$H$17*('HOJA DE CÁLCULO RESPALDO'!I277^2)+'BLAZE SHIELD II'!$H$18*'HOJA DE CÁLCULO RESPALDO'!I277+'BLAZE SHIELD II'!$H$19)),0),0),0)),0)</f>
        <v>0</v>
      </c>
      <c r="O277" s="46">
        <f t="shared" si="32"/>
        <v>0</v>
      </c>
      <c r="P277" s="80">
        <f t="shared" si="29"/>
        <v>0</v>
      </c>
      <c r="Q277" s="85">
        <f>ROUND((IF(L277="Cafco 400",IF(M277="Idiem software",IF(AND(C277="IN",G277=4),((('CAFCO 400 '!$H$7*(J277^4)+'CAFCO 400 '!$H$8*(J277^3)+'CAFCO 400 '!$H$9*(J277^2)+'CAFCO 400 '!$H$10*J277+'CAFCO 400 '!$H$11)*I277^2)+(('CAFCO 400 '!$H$12*(J277^3)+'CAFCO 400 '!$H$13*(J277^2)+'CAFCO 400 '!$H$14*J277+'CAFCO 400 '!$H$15)*I277)+('CAFCO 400 '!$H$16*(J277^2)+'CAFCO 400 '!$H$17*J277+'CAFCO 400 '!$H$18)),0),0),0))+(IF(L277="Cafco 400",IF(M277="Idiem software",IF(C277="Cj",(((('CAFCO 400 '!$D$7*LN(J277)+'CAFCO 400 '!$D$8)*I277^2)+(('CAFCO 400 '!$D$9*LN(J277)+'CAFCO 400 '!$D$10)*I277)+('CAFCO 400 '!$D$11*LN(J277)+'CAFCO 400 '!$D$12))),0),0),0))+(IF(L277="Cafco 400",IF(M277="Idiem software",IF(C277="C",((('CAFCO 400 '!$L$7*(J277^3)+'CAFCO 400 '!$L$8*(J277^2)+'CAFCO 400 '!$L$9*J277+'CAFCO 400 '!$L$10)*I277^2)+(('CAFCO 400 '!$L$11*(J277^3)+'CAFCO 400 '!$L$12*(J277^2)+'CAFCO 400 '!$L$13*J277+'CAFCO 400 '!$L$14)*I277)+('CAFCO 400 '!$L$15*LN(J277)+'CAFCO 400 '!$L$16)),0),0),0))+(IF(L277="Cafco 400",IF(M277="Idiem software",IF(AND(C277="IN",G277=3),((('CAFCO 400 '!$D$23*(J277^2)+'CAFCO 400 '!$D$24*(J277)+'CAFCO 400 '!$D$25)*I277^2)+(('CAFCO 400 '!$D$26*(J277^2)+'CAFCO 400 '!$D$27*J277+'CAFCO 400 '!$D$28)*I277)+('CAFCO 400 '!$D$29*(J277^2)+'CAFCO 400 '!$D$30*J277+'CAFCO 400 '!$D$31)),0),0),0)),0)</f>
        <v>0</v>
      </c>
      <c r="R277" s="47">
        <f t="shared" si="33"/>
        <v>0</v>
      </c>
      <c r="S277" s="82">
        <f t="shared" si="30"/>
        <v>0</v>
      </c>
      <c r="T277" s="81">
        <f>+IF(AND(J277&gt;=95,J277&lt;=240),IF(AND(C277="Cj",I277=90),VLOOKUP(W277,'CAFCO 300 IDIEM TABLAS'!$B$4:$D$23,2,FALSE),0)+IF(AND(J277&gt;=95,J277&lt;=240),IF(AND(C277="Cj",I277=120),VLOOKUP(W277,'CAFCO 300 IDIEM TABLAS'!$B$4:$D$23,3,FALSE),0))+IF(AND(J277&gt;=95,J277&lt;=400,G277=3),IF(AND(C277="IN",I277=90),VLOOKUP(W277,'CAFCO 300 IDIEM TABLAS'!$F$4:$H$35,2,FALSE),0),0)+IF(AND(J277&gt;=95,J277&lt;=400,G277=3),IF(AND(C277="IN",I277=120),VLOOKUP(W277,'CAFCO 300 IDIEM TABLAS'!$F$4:$H$35,3,FALSE),0),0)+IF(AND(J277&gt;=95,J277&lt;=450,G277=4),IF(AND(C277="IN",I277=90),VLOOKUP(W277,'CAFCO 300 IDIEM TABLAS'!$J$4:$L$40,2,FALSE),0),0)+IF(AND(J277&gt;=95,J277&lt;=450,G277=4),IF(AND(C277="IN",I277=120),VLOOKUP(W277,'CAFCO 300 IDIEM TABLAS'!$J$4:$L$40,3,FALSE),0),0))</f>
        <v>17</v>
      </c>
      <c r="U277" s="48">
        <f t="shared" si="34"/>
        <v>1.5229350433247753</v>
      </c>
      <c r="V277" s="82">
        <f t="shared" si="31"/>
        <v>22865.346740478177</v>
      </c>
      <c r="W277" s="64">
        <f>+IF(J277=LOOKUP(J277,'CAFCO 300 IDIEM TABLAS'!$J$4:$J$40),'HOJA DE CÁLCULO RESPALDO'!J277,MROUND('HOJA DE CÁLCULO RESPALDO'!J277,10))</f>
        <v>95</v>
      </c>
      <c r="X277" s="36"/>
      <c r="Y277" s="4"/>
    </row>
    <row r="278" spans="1:25" ht="15.6" customHeight="1" x14ac:dyDescent="0.25">
      <c r="A278" s="2" t="s">
        <v>45</v>
      </c>
      <c r="B278" s="3" t="s">
        <v>17</v>
      </c>
      <c r="C278" s="3" t="s">
        <v>19</v>
      </c>
      <c r="D278" s="3">
        <v>1</v>
      </c>
      <c r="E278" s="2">
        <v>1</v>
      </c>
      <c r="F278" s="8">
        <v>1500</v>
      </c>
      <c r="G278" s="1">
        <v>4</v>
      </c>
      <c r="H278" s="2">
        <v>776</v>
      </c>
      <c r="I278" s="34">
        <v>90</v>
      </c>
      <c r="J278" s="11">
        <v>95</v>
      </c>
      <c r="K278" s="44">
        <f t="shared" si="28"/>
        <v>1.1639999999999999</v>
      </c>
      <c r="L278" s="3" t="s">
        <v>61</v>
      </c>
      <c r="M278" s="3" t="s">
        <v>70</v>
      </c>
      <c r="N278" s="15">
        <f>ROUND((IF(L278="Blaze Shield II",IF(M278="Idiem software",IF(AND(C278="IN",G278=4),((('BLAZE SHIELD II'!$D$4*('HOJA DE CÁLCULO RESPALDO'!I278^2)+'BLAZE SHIELD II'!$D$5*'HOJA DE CÁLCULO RESPALDO'!I278+'BLAZE SHIELD II'!$D$6)*LN(J278))+('BLAZE SHIELD II'!$D$7*('HOJA DE CÁLCULO RESPALDO'!I278^2)+'BLAZE SHIELD II'!$D$8*'HOJA DE CÁLCULO RESPALDO'!I278+'BLAZE SHIELD II'!$D$9)),0),0),0))+(IF(L278="Blaze Shield II",IF(M278="Idiem software",IF(C278="Cj",((('BLAZE SHIELD II'!$H$4*('HOJA DE CÁLCULO RESPALDO'!I278^2)+'BLAZE SHIELD II'!$H$5*'HOJA DE CÁLCULO RESPALDO'!I278+'BLAZE SHIELD II'!$H$6)*LN(J278))+('BLAZE SHIELD II'!$H$7*('HOJA DE CÁLCULO RESPALDO'!I278^2)+'BLAZE SHIELD II'!$H$8*'HOJA DE CÁLCULO RESPALDO'!I278+'BLAZE SHIELD II'!$H$9)),0),0),0))+(IF(L278="Blaze Shield II",IF(M278="Idiem software",IF(C278="C",((('BLAZE SHIELD II'!$L$4*('HOJA DE CÁLCULO RESPALDO'!I278^2)+'BLAZE SHIELD II'!$L$5*'HOJA DE CÁLCULO RESPALDO'!I278+'BLAZE SHIELD II'!$L$6)*LN(J278))+('BLAZE SHIELD II'!$L$7*('HOJA DE CÁLCULO RESPALDO'!I278^2)+'BLAZE SHIELD II'!$L$8*'HOJA DE CÁLCULO RESPALDO'!I278+'BLAZE SHIELD II'!$L$9)),0),0),0))+(IF(L278="Blaze Shield II",IF(M278="Idiem software",IF(AND(C278="IN",G278=3),((('BLAZE SHIELD II'!$H$14*('HOJA DE CÁLCULO RESPALDO'!I278^2)+'BLAZE SHIELD II'!$H$15*'HOJA DE CÁLCULO RESPALDO'!I278+'BLAZE SHIELD II'!$H$16)*LN(J278))+('BLAZE SHIELD II'!$H$17*('HOJA DE CÁLCULO RESPALDO'!I278^2)+'BLAZE SHIELD II'!$H$18*'HOJA DE CÁLCULO RESPALDO'!I278+'BLAZE SHIELD II'!$H$19)),0),0),0)),0)</f>
        <v>0</v>
      </c>
      <c r="O278" s="46">
        <f t="shared" si="32"/>
        <v>0</v>
      </c>
      <c r="P278" s="80">
        <f t="shared" si="29"/>
        <v>0</v>
      </c>
      <c r="Q278" s="85">
        <f>ROUND((IF(L278="Cafco 400",IF(M278="Idiem software",IF(AND(C278="IN",G278=4),((('CAFCO 400 '!$H$7*(J278^4)+'CAFCO 400 '!$H$8*(J278^3)+'CAFCO 400 '!$H$9*(J278^2)+'CAFCO 400 '!$H$10*J278+'CAFCO 400 '!$H$11)*I278^2)+(('CAFCO 400 '!$H$12*(J278^3)+'CAFCO 400 '!$H$13*(J278^2)+'CAFCO 400 '!$H$14*J278+'CAFCO 400 '!$H$15)*I278)+('CAFCO 400 '!$H$16*(J278^2)+'CAFCO 400 '!$H$17*J278+'CAFCO 400 '!$H$18)),0),0),0))+(IF(L278="Cafco 400",IF(M278="Idiem software",IF(C278="Cj",(((('CAFCO 400 '!$D$7*LN(J278)+'CAFCO 400 '!$D$8)*I278^2)+(('CAFCO 400 '!$D$9*LN(J278)+'CAFCO 400 '!$D$10)*I278)+('CAFCO 400 '!$D$11*LN(J278)+'CAFCO 400 '!$D$12))),0),0),0))+(IF(L278="Cafco 400",IF(M278="Idiem software",IF(C278="C",((('CAFCO 400 '!$L$7*(J278^3)+'CAFCO 400 '!$L$8*(J278^2)+'CAFCO 400 '!$L$9*J278+'CAFCO 400 '!$L$10)*I278^2)+(('CAFCO 400 '!$L$11*(J278^3)+'CAFCO 400 '!$L$12*(J278^2)+'CAFCO 400 '!$L$13*J278+'CAFCO 400 '!$L$14)*I278)+('CAFCO 400 '!$L$15*LN(J278)+'CAFCO 400 '!$L$16)),0),0),0))+(IF(L278="Cafco 400",IF(M278="Idiem software",IF(AND(C278="IN",G278=3),((('CAFCO 400 '!$D$23*(J278^2)+'CAFCO 400 '!$D$24*(J278)+'CAFCO 400 '!$D$25)*I278^2)+(('CAFCO 400 '!$D$26*(J278^2)+'CAFCO 400 '!$D$27*J278+'CAFCO 400 '!$D$28)*I278)+('CAFCO 400 '!$D$29*(J278^2)+'CAFCO 400 '!$D$30*J278+'CAFCO 400 '!$D$31)),0),0),0)),0)</f>
        <v>0</v>
      </c>
      <c r="R278" s="47">
        <f t="shared" si="33"/>
        <v>0</v>
      </c>
      <c r="S278" s="82">
        <f t="shared" si="30"/>
        <v>0</v>
      </c>
      <c r="T278" s="81">
        <f>+IF(AND(J278&gt;=95,J278&lt;=240),IF(AND(C278="Cj",I278=90),VLOOKUP(W278,'CAFCO 300 IDIEM TABLAS'!$B$4:$D$23,2,FALSE),0)+IF(AND(J278&gt;=95,J278&lt;=240),IF(AND(C278="Cj",I278=120),VLOOKUP(W278,'CAFCO 300 IDIEM TABLAS'!$B$4:$D$23,3,FALSE),0))+IF(AND(J278&gt;=95,J278&lt;=400,G278=3),IF(AND(C278="IN",I278=90),VLOOKUP(W278,'CAFCO 300 IDIEM TABLAS'!$F$4:$H$35,2,FALSE),0),0)+IF(AND(J278&gt;=95,J278&lt;=400,G278=3),IF(AND(C278="IN",I278=120),VLOOKUP(W278,'CAFCO 300 IDIEM TABLAS'!$F$4:$H$35,3,FALSE),0),0)+IF(AND(J278&gt;=95,J278&lt;=450,G278=4),IF(AND(C278="IN",I278=90),VLOOKUP(W278,'CAFCO 300 IDIEM TABLAS'!$J$4:$L$40,2,FALSE),0),0)+IF(AND(J278&gt;=95,J278&lt;=450,G278=4),IF(AND(C278="IN",I278=120),VLOOKUP(W278,'CAFCO 300 IDIEM TABLAS'!$J$4:$L$40,3,FALSE),0),0))</f>
        <v>17</v>
      </c>
      <c r="U278" s="48">
        <f t="shared" si="34"/>
        <v>0.2730693196405648</v>
      </c>
      <c r="V278" s="82">
        <f t="shared" si="31"/>
        <v>4099.8627650834396</v>
      </c>
      <c r="W278" s="64">
        <f>+IF(J278=LOOKUP(J278,'CAFCO 300 IDIEM TABLAS'!$J$4:$J$40),'HOJA DE CÁLCULO RESPALDO'!J278,MROUND('HOJA DE CÁLCULO RESPALDO'!J278,10))</f>
        <v>95</v>
      </c>
      <c r="X278" s="36"/>
      <c r="Y278" s="4"/>
    </row>
    <row r="279" spans="1:25" x14ac:dyDescent="0.25">
      <c r="A279" s="2" t="s">
        <v>45</v>
      </c>
      <c r="B279" s="3" t="s">
        <v>17</v>
      </c>
      <c r="C279" s="3" t="s">
        <v>19</v>
      </c>
      <c r="D279" s="3">
        <v>1</v>
      </c>
      <c r="E279" s="2">
        <v>1</v>
      </c>
      <c r="F279" s="8">
        <v>1500</v>
      </c>
      <c r="G279" s="1">
        <v>4</v>
      </c>
      <c r="H279" s="2">
        <v>3879</v>
      </c>
      <c r="I279" s="34">
        <v>90</v>
      </c>
      <c r="J279" s="11">
        <v>95</v>
      </c>
      <c r="K279" s="44">
        <f t="shared" si="28"/>
        <v>5.8185000000000002</v>
      </c>
      <c r="L279" s="3" t="s">
        <v>61</v>
      </c>
      <c r="M279" s="3" t="s">
        <v>70</v>
      </c>
      <c r="N279" s="15">
        <f>ROUND((IF(L279="Blaze Shield II",IF(M279="Idiem software",IF(AND(C279="IN",G279=4),((('BLAZE SHIELD II'!$D$4*('HOJA DE CÁLCULO RESPALDO'!I279^2)+'BLAZE SHIELD II'!$D$5*'HOJA DE CÁLCULO RESPALDO'!I279+'BLAZE SHIELD II'!$D$6)*LN(J279))+('BLAZE SHIELD II'!$D$7*('HOJA DE CÁLCULO RESPALDO'!I279^2)+'BLAZE SHIELD II'!$D$8*'HOJA DE CÁLCULO RESPALDO'!I279+'BLAZE SHIELD II'!$D$9)),0),0),0))+(IF(L279="Blaze Shield II",IF(M279="Idiem software",IF(C279="Cj",((('BLAZE SHIELD II'!$H$4*('HOJA DE CÁLCULO RESPALDO'!I279^2)+'BLAZE SHIELD II'!$H$5*'HOJA DE CÁLCULO RESPALDO'!I279+'BLAZE SHIELD II'!$H$6)*LN(J279))+('BLAZE SHIELD II'!$H$7*('HOJA DE CÁLCULO RESPALDO'!I279^2)+'BLAZE SHIELD II'!$H$8*'HOJA DE CÁLCULO RESPALDO'!I279+'BLAZE SHIELD II'!$H$9)),0),0),0))+(IF(L279="Blaze Shield II",IF(M279="Idiem software",IF(C279="C",((('BLAZE SHIELD II'!$L$4*('HOJA DE CÁLCULO RESPALDO'!I279^2)+'BLAZE SHIELD II'!$L$5*'HOJA DE CÁLCULO RESPALDO'!I279+'BLAZE SHIELD II'!$L$6)*LN(J279))+('BLAZE SHIELD II'!$L$7*('HOJA DE CÁLCULO RESPALDO'!I279^2)+'BLAZE SHIELD II'!$L$8*'HOJA DE CÁLCULO RESPALDO'!I279+'BLAZE SHIELD II'!$L$9)),0),0),0))+(IF(L279="Blaze Shield II",IF(M279="Idiem software",IF(AND(C279="IN",G279=3),((('BLAZE SHIELD II'!$H$14*('HOJA DE CÁLCULO RESPALDO'!I279^2)+'BLAZE SHIELD II'!$H$15*'HOJA DE CÁLCULO RESPALDO'!I279+'BLAZE SHIELD II'!$H$16)*LN(J279))+('BLAZE SHIELD II'!$H$17*('HOJA DE CÁLCULO RESPALDO'!I279^2)+'BLAZE SHIELD II'!$H$18*'HOJA DE CÁLCULO RESPALDO'!I279+'BLAZE SHIELD II'!$H$19)),0),0),0)),0)</f>
        <v>0</v>
      </c>
      <c r="O279" s="46">
        <f t="shared" si="32"/>
        <v>0</v>
      </c>
      <c r="P279" s="80">
        <f t="shared" si="29"/>
        <v>0</v>
      </c>
      <c r="Q279" s="85">
        <f>ROUND((IF(L279="Cafco 400",IF(M279="Idiem software",IF(AND(C279="IN",G279=4),((('CAFCO 400 '!$H$7*(J279^4)+'CAFCO 400 '!$H$8*(J279^3)+'CAFCO 400 '!$H$9*(J279^2)+'CAFCO 400 '!$H$10*J279+'CAFCO 400 '!$H$11)*I279^2)+(('CAFCO 400 '!$H$12*(J279^3)+'CAFCO 400 '!$H$13*(J279^2)+'CAFCO 400 '!$H$14*J279+'CAFCO 400 '!$H$15)*I279)+('CAFCO 400 '!$H$16*(J279^2)+'CAFCO 400 '!$H$17*J279+'CAFCO 400 '!$H$18)),0),0),0))+(IF(L279="Cafco 400",IF(M279="Idiem software",IF(C279="Cj",(((('CAFCO 400 '!$D$7*LN(J279)+'CAFCO 400 '!$D$8)*I279^2)+(('CAFCO 400 '!$D$9*LN(J279)+'CAFCO 400 '!$D$10)*I279)+('CAFCO 400 '!$D$11*LN(J279)+'CAFCO 400 '!$D$12))),0),0),0))+(IF(L279="Cafco 400",IF(M279="Idiem software",IF(C279="C",((('CAFCO 400 '!$L$7*(J279^3)+'CAFCO 400 '!$L$8*(J279^2)+'CAFCO 400 '!$L$9*J279+'CAFCO 400 '!$L$10)*I279^2)+(('CAFCO 400 '!$L$11*(J279^3)+'CAFCO 400 '!$L$12*(J279^2)+'CAFCO 400 '!$L$13*J279+'CAFCO 400 '!$L$14)*I279)+('CAFCO 400 '!$L$15*LN(J279)+'CAFCO 400 '!$L$16)),0),0),0))+(IF(L279="Cafco 400",IF(M279="Idiem software",IF(AND(C279="IN",G279=3),((('CAFCO 400 '!$D$23*(J279^2)+'CAFCO 400 '!$D$24*(J279)+'CAFCO 400 '!$D$25)*I279^2)+(('CAFCO 400 '!$D$26*(J279^2)+'CAFCO 400 '!$D$27*J279+'CAFCO 400 '!$D$28)*I279)+('CAFCO 400 '!$D$29*(J279^2)+'CAFCO 400 '!$D$30*J279+'CAFCO 400 '!$D$31)),0),0),0)),0)</f>
        <v>0</v>
      </c>
      <c r="R279" s="47">
        <f t="shared" si="33"/>
        <v>0</v>
      </c>
      <c r="S279" s="82">
        <f t="shared" si="30"/>
        <v>0</v>
      </c>
      <c r="T279" s="81">
        <f>+IF(AND(J279&gt;=95,J279&lt;=240),IF(AND(C279="Cj",I279=90),VLOOKUP(W279,'CAFCO 300 IDIEM TABLAS'!$B$4:$D$23,2,FALSE),0)+IF(AND(J279&gt;=95,J279&lt;=240),IF(AND(C279="Cj",I279=120),VLOOKUP(W279,'CAFCO 300 IDIEM TABLAS'!$B$4:$D$23,3,FALSE),0))+IF(AND(J279&gt;=95,J279&lt;=400,G279=3),IF(AND(C279="IN",I279=90),VLOOKUP(W279,'CAFCO 300 IDIEM TABLAS'!$F$4:$H$35,2,FALSE),0),0)+IF(AND(J279&gt;=95,J279&lt;=400,G279=3),IF(AND(C279="IN",I279=120),VLOOKUP(W279,'CAFCO 300 IDIEM TABLAS'!$F$4:$H$35,3,FALSE),0),0)+IF(AND(J279&gt;=95,J279&lt;=450,G279=4),IF(AND(C279="IN",I279=90),VLOOKUP(W279,'CAFCO 300 IDIEM TABLAS'!$J$4:$L$40,2,FALSE),0),0)+IF(AND(J279&gt;=95,J279&lt;=450,G279=4),IF(AND(C279="IN",I279=120),VLOOKUP(W279,'CAFCO 300 IDIEM TABLAS'!$J$4:$L$40,3,FALSE),0),0))</f>
        <v>17</v>
      </c>
      <c r="U279" s="48">
        <f t="shared" si="34"/>
        <v>1.3649947047496791</v>
      </c>
      <c r="V279" s="82">
        <f t="shared" si="31"/>
        <v>20494.030497111682</v>
      </c>
      <c r="W279" s="64">
        <f>+IF(J279=LOOKUP(J279,'CAFCO 300 IDIEM TABLAS'!$J$4:$J$40),'HOJA DE CÁLCULO RESPALDO'!J279,MROUND('HOJA DE CÁLCULO RESPALDO'!J279,10))</f>
        <v>95</v>
      </c>
      <c r="X279" s="36"/>
      <c r="Y279" s="4"/>
    </row>
    <row r="280" spans="1:25" ht="15.6" customHeight="1" x14ac:dyDescent="0.25">
      <c r="A280" s="2" t="s">
        <v>45</v>
      </c>
      <c r="B280" s="3" t="s">
        <v>17</v>
      </c>
      <c r="C280" s="3" t="s">
        <v>19</v>
      </c>
      <c r="D280" s="3">
        <v>1</v>
      </c>
      <c r="E280" s="2">
        <v>2</v>
      </c>
      <c r="F280" s="8">
        <v>26385</v>
      </c>
      <c r="G280" s="1">
        <v>4</v>
      </c>
      <c r="H280" s="2">
        <v>2784</v>
      </c>
      <c r="I280" s="34">
        <v>90</v>
      </c>
      <c r="J280" s="11">
        <v>95</v>
      </c>
      <c r="K280" s="44">
        <f t="shared" si="28"/>
        <v>146.91167999999999</v>
      </c>
      <c r="L280" s="3" t="s">
        <v>61</v>
      </c>
      <c r="M280" s="3" t="s">
        <v>70</v>
      </c>
      <c r="N280" s="15">
        <f>ROUND((IF(L280="Blaze Shield II",IF(M280="Idiem software",IF(AND(C280="IN",G280=4),((('BLAZE SHIELD II'!$D$4*('HOJA DE CÁLCULO RESPALDO'!I280^2)+'BLAZE SHIELD II'!$D$5*'HOJA DE CÁLCULO RESPALDO'!I280+'BLAZE SHIELD II'!$D$6)*LN(J280))+('BLAZE SHIELD II'!$D$7*('HOJA DE CÁLCULO RESPALDO'!I280^2)+'BLAZE SHIELD II'!$D$8*'HOJA DE CÁLCULO RESPALDO'!I280+'BLAZE SHIELD II'!$D$9)),0),0),0))+(IF(L280="Blaze Shield II",IF(M280="Idiem software",IF(C280="Cj",((('BLAZE SHIELD II'!$H$4*('HOJA DE CÁLCULO RESPALDO'!I280^2)+'BLAZE SHIELD II'!$H$5*'HOJA DE CÁLCULO RESPALDO'!I280+'BLAZE SHIELD II'!$H$6)*LN(J280))+('BLAZE SHIELD II'!$H$7*('HOJA DE CÁLCULO RESPALDO'!I280^2)+'BLAZE SHIELD II'!$H$8*'HOJA DE CÁLCULO RESPALDO'!I280+'BLAZE SHIELD II'!$H$9)),0),0),0))+(IF(L280="Blaze Shield II",IF(M280="Idiem software",IF(C280="C",((('BLAZE SHIELD II'!$L$4*('HOJA DE CÁLCULO RESPALDO'!I280^2)+'BLAZE SHIELD II'!$L$5*'HOJA DE CÁLCULO RESPALDO'!I280+'BLAZE SHIELD II'!$L$6)*LN(J280))+('BLAZE SHIELD II'!$L$7*('HOJA DE CÁLCULO RESPALDO'!I280^2)+'BLAZE SHIELD II'!$L$8*'HOJA DE CÁLCULO RESPALDO'!I280+'BLAZE SHIELD II'!$L$9)),0),0),0))+(IF(L280="Blaze Shield II",IF(M280="Idiem software",IF(AND(C280="IN",G280=3),((('BLAZE SHIELD II'!$H$14*('HOJA DE CÁLCULO RESPALDO'!I280^2)+'BLAZE SHIELD II'!$H$15*'HOJA DE CÁLCULO RESPALDO'!I280+'BLAZE SHIELD II'!$H$16)*LN(J280))+('BLAZE SHIELD II'!$H$17*('HOJA DE CÁLCULO RESPALDO'!I280^2)+'BLAZE SHIELD II'!$H$18*'HOJA DE CÁLCULO RESPALDO'!I280+'BLAZE SHIELD II'!$H$19)),0),0),0)),0)</f>
        <v>0</v>
      </c>
      <c r="O280" s="46">
        <f t="shared" si="32"/>
        <v>0</v>
      </c>
      <c r="P280" s="80">
        <f t="shared" si="29"/>
        <v>0</v>
      </c>
      <c r="Q280" s="85">
        <f>ROUND((IF(L280="Cafco 400",IF(M280="Idiem software",IF(AND(C280="IN",G280=4),((('CAFCO 400 '!$H$7*(J280^4)+'CAFCO 400 '!$H$8*(J280^3)+'CAFCO 400 '!$H$9*(J280^2)+'CAFCO 400 '!$H$10*J280+'CAFCO 400 '!$H$11)*I280^2)+(('CAFCO 400 '!$H$12*(J280^3)+'CAFCO 400 '!$H$13*(J280^2)+'CAFCO 400 '!$H$14*J280+'CAFCO 400 '!$H$15)*I280)+('CAFCO 400 '!$H$16*(J280^2)+'CAFCO 400 '!$H$17*J280+'CAFCO 400 '!$H$18)),0),0),0))+(IF(L280="Cafco 400",IF(M280="Idiem software",IF(C280="Cj",(((('CAFCO 400 '!$D$7*LN(J280)+'CAFCO 400 '!$D$8)*I280^2)+(('CAFCO 400 '!$D$9*LN(J280)+'CAFCO 400 '!$D$10)*I280)+('CAFCO 400 '!$D$11*LN(J280)+'CAFCO 400 '!$D$12))),0),0),0))+(IF(L280="Cafco 400",IF(M280="Idiem software",IF(C280="C",((('CAFCO 400 '!$L$7*(J280^3)+'CAFCO 400 '!$L$8*(J280^2)+'CAFCO 400 '!$L$9*J280+'CAFCO 400 '!$L$10)*I280^2)+(('CAFCO 400 '!$L$11*(J280^3)+'CAFCO 400 '!$L$12*(J280^2)+'CAFCO 400 '!$L$13*J280+'CAFCO 400 '!$L$14)*I280)+('CAFCO 400 '!$L$15*LN(J280)+'CAFCO 400 '!$L$16)),0),0),0))+(IF(L280="Cafco 400",IF(M280="Idiem software",IF(AND(C280="IN",G280=3),((('CAFCO 400 '!$D$23*(J280^2)+'CAFCO 400 '!$D$24*(J280)+'CAFCO 400 '!$D$25)*I280^2)+(('CAFCO 400 '!$D$26*(J280^2)+'CAFCO 400 '!$D$27*J280+'CAFCO 400 '!$D$28)*I280)+('CAFCO 400 '!$D$29*(J280^2)+'CAFCO 400 '!$D$30*J280+'CAFCO 400 '!$D$31)),0),0),0)),0)</f>
        <v>0</v>
      </c>
      <c r="R280" s="47">
        <f t="shared" si="33"/>
        <v>0</v>
      </c>
      <c r="S280" s="82">
        <f t="shared" si="30"/>
        <v>0</v>
      </c>
      <c r="T280" s="81">
        <f>+IF(AND(J280&gt;=95,J280&lt;=240),IF(AND(C280="Cj",I280=90),VLOOKUP(W280,'CAFCO 300 IDIEM TABLAS'!$B$4:$D$23,2,FALSE),0)+IF(AND(J280&gt;=95,J280&lt;=240),IF(AND(C280="Cj",I280=120),VLOOKUP(W280,'CAFCO 300 IDIEM TABLAS'!$B$4:$D$23,3,FALSE),0))+IF(AND(J280&gt;=95,J280&lt;=400,G280=3),IF(AND(C280="IN",I280=90),VLOOKUP(W280,'CAFCO 300 IDIEM TABLAS'!$F$4:$H$35,2,FALSE),0),0)+IF(AND(J280&gt;=95,J280&lt;=400,G280=3),IF(AND(C280="IN",I280=120),VLOOKUP(W280,'CAFCO 300 IDIEM TABLAS'!$F$4:$H$35,3,FALSE),0),0)+IF(AND(J280&gt;=95,J280&lt;=450,G280=4),IF(AND(C280="IN",I280=90),VLOOKUP(W280,'CAFCO 300 IDIEM TABLAS'!$J$4:$L$40,2,FALSE),0),0)+IF(AND(J280&gt;=95,J280&lt;=450,G280=4),IF(AND(C280="IN",I280=120),VLOOKUP(W280,'CAFCO 300 IDIEM TABLAS'!$J$4:$L$40,3,FALSE),0),0))</f>
        <v>17</v>
      </c>
      <c r="U280" s="48">
        <f t="shared" si="34"/>
        <v>34.464838921694479</v>
      </c>
      <c r="V280" s="82">
        <f t="shared" si="31"/>
        <v>517455.09157032089</v>
      </c>
      <c r="W280" s="64">
        <f>+IF(J280=LOOKUP(J280,'CAFCO 300 IDIEM TABLAS'!$J$4:$J$40),'HOJA DE CÁLCULO RESPALDO'!J280,MROUND('HOJA DE CÁLCULO RESPALDO'!J280,10))</f>
        <v>95</v>
      </c>
      <c r="X280" s="36"/>
      <c r="Y280" s="4"/>
    </row>
    <row r="281" spans="1:25" x14ac:dyDescent="0.25">
      <c r="A281" s="2" t="s">
        <v>10</v>
      </c>
      <c r="B281" s="3" t="s">
        <v>17</v>
      </c>
      <c r="C281" s="3" t="s">
        <v>19</v>
      </c>
      <c r="D281" s="3">
        <v>1</v>
      </c>
      <c r="E281" s="2">
        <v>1</v>
      </c>
      <c r="F281" s="8">
        <v>91778</v>
      </c>
      <c r="G281" s="1">
        <v>4</v>
      </c>
      <c r="H281" s="2">
        <v>1781</v>
      </c>
      <c r="I281" s="34">
        <v>90</v>
      </c>
      <c r="J281" s="11">
        <v>95</v>
      </c>
      <c r="K281" s="44">
        <f t="shared" si="28"/>
        <v>163.45661799999999</v>
      </c>
      <c r="L281" s="3" t="s">
        <v>61</v>
      </c>
      <c r="M281" s="3" t="s">
        <v>70</v>
      </c>
      <c r="N281" s="15">
        <f>ROUND((IF(L281="Blaze Shield II",IF(M281="Idiem software",IF(AND(C281="IN",G281=4),((('BLAZE SHIELD II'!$D$4*('HOJA DE CÁLCULO RESPALDO'!I281^2)+'BLAZE SHIELD II'!$D$5*'HOJA DE CÁLCULO RESPALDO'!I281+'BLAZE SHIELD II'!$D$6)*LN(J281))+('BLAZE SHIELD II'!$D$7*('HOJA DE CÁLCULO RESPALDO'!I281^2)+'BLAZE SHIELD II'!$D$8*'HOJA DE CÁLCULO RESPALDO'!I281+'BLAZE SHIELD II'!$D$9)),0),0),0))+(IF(L281="Blaze Shield II",IF(M281="Idiem software",IF(C281="Cj",((('BLAZE SHIELD II'!$H$4*('HOJA DE CÁLCULO RESPALDO'!I281^2)+'BLAZE SHIELD II'!$H$5*'HOJA DE CÁLCULO RESPALDO'!I281+'BLAZE SHIELD II'!$H$6)*LN(J281))+('BLAZE SHIELD II'!$H$7*('HOJA DE CÁLCULO RESPALDO'!I281^2)+'BLAZE SHIELD II'!$H$8*'HOJA DE CÁLCULO RESPALDO'!I281+'BLAZE SHIELD II'!$H$9)),0),0),0))+(IF(L281="Blaze Shield II",IF(M281="Idiem software",IF(C281="C",((('BLAZE SHIELD II'!$L$4*('HOJA DE CÁLCULO RESPALDO'!I281^2)+'BLAZE SHIELD II'!$L$5*'HOJA DE CÁLCULO RESPALDO'!I281+'BLAZE SHIELD II'!$L$6)*LN(J281))+('BLAZE SHIELD II'!$L$7*('HOJA DE CÁLCULO RESPALDO'!I281^2)+'BLAZE SHIELD II'!$L$8*'HOJA DE CÁLCULO RESPALDO'!I281+'BLAZE SHIELD II'!$L$9)),0),0),0))+(IF(L281="Blaze Shield II",IF(M281="Idiem software",IF(AND(C281="IN",G281=3),((('BLAZE SHIELD II'!$H$14*('HOJA DE CÁLCULO RESPALDO'!I281^2)+'BLAZE SHIELD II'!$H$15*'HOJA DE CÁLCULO RESPALDO'!I281+'BLAZE SHIELD II'!$H$16)*LN(J281))+('BLAZE SHIELD II'!$H$17*('HOJA DE CÁLCULO RESPALDO'!I281^2)+'BLAZE SHIELD II'!$H$18*'HOJA DE CÁLCULO RESPALDO'!I281+'BLAZE SHIELD II'!$H$19)),0),0),0)),0)</f>
        <v>0</v>
      </c>
      <c r="O281" s="46">
        <f t="shared" si="32"/>
        <v>0</v>
      </c>
      <c r="P281" s="80">
        <f t="shared" si="29"/>
        <v>0</v>
      </c>
      <c r="Q281" s="85">
        <f>ROUND((IF(L281="Cafco 400",IF(M281="Idiem software",IF(AND(C281="IN",G281=4),((('CAFCO 400 '!$H$7*(J281^4)+'CAFCO 400 '!$H$8*(J281^3)+'CAFCO 400 '!$H$9*(J281^2)+'CAFCO 400 '!$H$10*J281+'CAFCO 400 '!$H$11)*I281^2)+(('CAFCO 400 '!$H$12*(J281^3)+'CAFCO 400 '!$H$13*(J281^2)+'CAFCO 400 '!$H$14*J281+'CAFCO 400 '!$H$15)*I281)+('CAFCO 400 '!$H$16*(J281^2)+'CAFCO 400 '!$H$17*J281+'CAFCO 400 '!$H$18)),0),0),0))+(IF(L281="Cafco 400",IF(M281="Idiem software",IF(C281="Cj",(((('CAFCO 400 '!$D$7*LN(J281)+'CAFCO 400 '!$D$8)*I281^2)+(('CAFCO 400 '!$D$9*LN(J281)+'CAFCO 400 '!$D$10)*I281)+('CAFCO 400 '!$D$11*LN(J281)+'CAFCO 400 '!$D$12))),0),0),0))+(IF(L281="Cafco 400",IF(M281="Idiem software",IF(C281="C",((('CAFCO 400 '!$L$7*(J281^3)+'CAFCO 400 '!$L$8*(J281^2)+'CAFCO 400 '!$L$9*J281+'CAFCO 400 '!$L$10)*I281^2)+(('CAFCO 400 '!$L$11*(J281^3)+'CAFCO 400 '!$L$12*(J281^2)+'CAFCO 400 '!$L$13*J281+'CAFCO 400 '!$L$14)*I281)+('CAFCO 400 '!$L$15*LN(J281)+'CAFCO 400 '!$L$16)),0),0),0))+(IF(L281="Cafco 400",IF(M281="Idiem software",IF(AND(C281="IN",G281=3),((('CAFCO 400 '!$D$23*(J281^2)+'CAFCO 400 '!$D$24*(J281)+'CAFCO 400 '!$D$25)*I281^2)+(('CAFCO 400 '!$D$26*(J281^2)+'CAFCO 400 '!$D$27*J281+'CAFCO 400 '!$D$28)*I281)+('CAFCO 400 '!$D$29*(J281^2)+'CAFCO 400 '!$D$30*J281+'CAFCO 400 '!$D$31)),0),0),0)),0)</f>
        <v>0</v>
      </c>
      <c r="R281" s="47">
        <f t="shared" si="33"/>
        <v>0</v>
      </c>
      <c r="S281" s="82">
        <f t="shared" si="30"/>
        <v>0</v>
      </c>
      <c r="T281" s="81">
        <f>+IF(AND(J281&gt;=95,J281&lt;=240),IF(AND(C281="Cj",I281=90),VLOOKUP(W281,'CAFCO 300 IDIEM TABLAS'!$B$4:$D$23,2,FALSE),0)+IF(AND(J281&gt;=95,J281&lt;=240),IF(AND(C281="Cj",I281=120),VLOOKUP(W281,'CAFCO 300 IDIEM TABLAS'!$B$4:$D$23,3,FALSE),0))+IF(AND(J281&gt;=95,J281&lt;=400,G281=3),IF(AND(C281="IN",I281=90),VLOOKUP(W281,'CAFCO 300 IDIEM TABLAS'!$F$4:$H$35,2,FALSE),0),0)+IF(AND(J281&gt;=95,J281&lt;=400,G281=3),IF(AND(C281="IN",I281=120),VLOOKUP(W281,'CAFCO 300 IDIEM TABLAS'!$F$4:$H$35,3,FALSE),0),0)+IF(AND(J281&gt;=95,J281&lt;=450,G281=4),IF(AND(C281="IN",I281=90),VLOOKUP(W281,'CAFCO 300 IDIEM TABLAS'!$J$4:$L$40,2,FALSE),0),0)+IF(AND(J281&gt;=95,J281&lt;=450,G281=4),IF(AND(C281="IN",I281=120),VLOOKUP(W281,'CAFCO 300 IDIEM TABLAS'!$J$4:$L$40,3,FALSE),0),0))</f>
        <v>17</v>
      </c>
      <c r="U281" s="48">
        <f t="shared" si="34"/>
        <v>38.34620916495507</v>
      </c>
      <c r="V281" s="82">
        <f t="shared" si="31"/>
        <v>575729.98440263537</v>
      </c>
      <c r="W281" s="64">
        <f>+IF(J281=LOOKUP(J281,'CAFCO 300 IDIEM TABLAS'!$J$4:$J$40),'HOJA DE CÁLCULO RESPALDO'!J281,MROUND('HOJA DE CÁLCULO RESPALDO'!J281,10))</f>
        <v>95</v>
      </c>
      <c r="X281" s="36"/>
      <c r="Y281" s="4"/>
    </row>
    <row r="282" spans="1:25" ht="15.6" customHeight="1" x14ac:dyDescent="0.25">
      <c r="A282" s="2" t="s">
        <v>47</v>
      </c>
      <c r="B282" s="3" t="s">
        <v>17</v>
      </c>
      <c r="C282" s="3" t="s">
        <v>19</v>
      </c>
      <c r="D282" s="3">
        <v>1</v>
      </c>
      <c r="E282" s="2">
        <v>2</v>
      </c>
      <c r="F282" s="8">
        <v>12900</v>
      </c>
      <c r="G282" s="1">
        <v>4</v>
      </c>
      <c r="H282" s="2">
        <v>968</v>
      </c>
      <c r="I282" s="34">
        <v>90</v>
      </c>
      <c r="J282" s="11">
        <v>95</v>
      </c>
      <c r="K282" s="44">
        <f t="shared" si="28"/>
        <v>24.974399999999999</v>
      </c>
      <c r="L282" s="3" t="s">
        <v>61</v>
      </c>
      <c r="M282" s="3" t="s">
        <v>70</v>
      </c>
      <c r="N282" s="15">
        <f>ROUND((IF(L282="Blaze Shield II",IF(M282="Idiem software",IF(AND(C282="IN",G282=4),((('BLAZE SHIELD II'!$D$4*('HOJA DE CÁLCULO RESPALDO'!I282^2)+'BLAZE SHIELD II'!$D$5*'HOJA DE CÁLCULO RESPALDO'!I282+'BLAZE SHIELD II'!$D$6)*LN(J282))+('BLAZE SHIELD II'!$D$7*('HOJA DE CÁLCULO RESPALDO'!I282^2)+'BLAZE SHIELD II'!$D$8*'HOJA DE CÁLCULO RESPALDO'!I282+'BLAZE SHIELD II'!$D$9)),0),0),0))+(IF(L282="Blaze Shield II",IF(M282="Idiem software",IF(C282="Cj",((('BLAZE SHIELD II'!$H$4*('HOJA DE CÁLCULO RESPALDO'!I282^2)+'BLAZE SHIELD II'!$H$5*'HOJA DE CÁLCULO RESPALDO'!I282+'BLAZE SHIELD II'!$H$6)*LN(J282))+('BLAZE SHIELD II'!$H$7*('HOJA DE CÁLCULO RESPALDO'!I282^2)+'BLAZE SHIELD II'!$H$8*'HOJA DE CÁLCULO RESPALDO'!I282+'BLAZE SHIELD II'!$H$9)),0),0),0))+(IF(L282="Blaze Shield II",IF(M282="Idiem software",IF(C282="C",((('BLAZE SHIELD II'!$L$4*('HOJA DE CÁLCULO RESPALDO'!I282^2)+'BLAZE SHIELD II'!$L$5*'HOJA DE CÁLCULO RESPALDO'!I282+'BLAZE SHIELD II'!$L$6)*LN(J282))+('BLAZE SHIELD II'!$L$7*('HOJA DE CÁLCULO RESPALDO'!I282^2)+'BLAZE SHIELD II'!$L$8*'HOJA DE CÁLCULO RESPALDO'!I282+'BLAZE SHIELD II'!$L$9)),0),0),0))+(IF(L282="Blaze Shield II",IF(M282="Idiem software",IF(AND(C282="IN",G282=3),((('BLAZE SHIELD II'!$H$14*('HOJA DE CÁLCULO RESPALDO'!I282^2)+'BLAZE SHIELD II'!$H$15*'HOJA DE CÁLCULO RESPALDO'!I282+'BLAZE SHIELD II'!$H$16)*LN(J282))+('BLAZE SHIELD II'!$H$17*('HOJA DE CÁLCULO RESPALDO'!I282^2)+'BLAZE SHIELD II'!$H$18*'HOJA DE CÁLCULO RESPALDO'!I282+'BLAZE SHIELD II'!$H$19)),0),0),0)),0)</f>
        <v>0</v>
      </c>
      <c r="O282" s="46">
        <f t="shared" si="32"/>
        <v>0</v>
      </c>
      <c r="P282" s="80">
        <f t="shared" si="29"/>
        <v>0</v>
      </c>
      <c r="Q282" s="85">
        <f>ROUND((IF(L282="Cafco 400",IF(M282="Idiem software",IF(AND(C282="IN",G282=4),((('CAFCO 400 '!$H$7*(J282^4)+'CAFCO 400 '!$H$8*(J282^3)+'CAFCO 400 '!$H$9*(J282^2)+'CAFCO 400 '!$H$10*J282+'CAFCO 400 '!$H$11)*I282^2)+(('CAFCO 400 '!$H$12*(J282^3)+'CAFCO 400 '!$H$13*(J282^2)+'CAFCO 400 '!$H$14*J282+'CAFCO 400 '!$H$15)*I282)+('CAFCO 400 '!$H$16*(J282^2)+'CAFCO 400 '!$H$17*J282+'CAFCO 400 '!$H$18)),0),0),0))+(IF(L282="Cafco 400",IF(M282="Idiem software",IF(C282="Cj",(((('CAFCO 400 '!$D$7*LN(J282)+'CAFCO 400 '!$D$8)*I282^2)+(('CAFCO 400 '!$D$9*LN(J282)+'CAFCO 400 '!$D$10)*I282)+('CAFCO 400 '!$D$11*LN(J282)+'CAFCO 400 '!$D$12))),0),0),0))+(IF(L282="Cafco 400",IF(M282="Idiem software",IF(C282="C",((('CAFCO 400 '!$L$7*(J282^3)+'CAFCO 400 '!$L$8*(J282^2)+'CAFCO 400 '!$L$9*J282+'CAFCO 400 '!$L$10)*I282^2)+(('CAFCO 400 '!$L$11*(J282^3)+'CAFCO 400 '!$L$12*(J282^2)+'CAFCO 400 '!$L$13*J282+'CAFCO 400 '!$L$14)*I282)+('CAFCO 400 '!$L$15*LN(J282)+'CAFCO 400 '!$L$16)),0),0),0))+(IF(L282="Cafco 400",IF(M282="Idiem software",IF(AND(C282="IN",G282=3),((('CAFCO 400 '!$D$23*(J282^2)+'CAFCO 400 '!$D$24*(J282)+'CAFCO 400 '!$D$25)*I282^2)+(('CAFCO 400 '!$D$26*(J282^2)+'CAFCO 400 '!$D$27*J282+'CAFCO 400 '!$D$28)*I282)+('CAFCO 400 '!$D$29*(J282^2)+'CAFCO 400 '!$D$30*J282+'CAFCO 400 '!$D$31)),0),0),0)),0)</f>
        <v>0</v>
      </c>
      <c r="R282" s="47">
        <f t="shared" si="33"/>
        <v>0</v>
      </c>
      <c r="S282" s="82">
        <f t="shared" si="30"/>
        <v>0</v>
      </c>
      <c r="T282" s="81">
        <f>+IF(AND(J282&gt;=95,J282&lt;=240),IF(AND(C282="Cj",I282=90),VLOOKUP(W282,'CAFCO 300 IDIEM TABLAS'!$B$4:$D$23,2,FALSE),0)+IF(AND(J282&gt;=95,J282&lt;=240),IF(AND(C282="Cj",I282=120),VLOOKUP(W282,'CAFCO 300 IDIEM TABLAS'!$B$4:$D$23,3,FALSE),0))+IF(AND(J282&gt;=95,J282&lt;=400,G282=3),IF(AND(C282="IN",I282=90),VLOOKUP(W282,'CAFCO 300 IDIEM TABLAS'!$F$4:$H$35,2,FALSE),0),0)+IF(AND(J282&gt;=95,J282&lt;=400,G282=3),IF(AND(C282="IN",I282=120),VLOOKUP(W282,'CAFCO 300 IDIEM TABLAS'!$F$4:$H$35,3,FALSE),0),0)+IF(AND(J282&gt;=95,J282&lt;=450,G282=4),IF(AND(C282="IN",I282=90),VLOOKUP(W282,'CAFCO 300 IDIEM TABLAS'!$J$4:$L$40,2,FALSE),0),0)+IF(AND(J282&gt;=95,J282&lt;=450,G282=4),IF(AND(C282="IN",I282=120),VLOOKUP(W282,'CAFCO 300 IDIEM TABLAS'!$J$4:$L$40,3,FALSE),0),0))</f>
        <v>17</v>
      </c>
      <c r="U282" s="48">
        <f t="shared" si="34"/>
        <v>5.8588852374839533</v>
      </c>
      <c r="V282" s="82">
        <f t="shared" si="31"/>
        <v>87965.302955584077</v>
      </c>
      <c r="W282" s="64">
        <f>+IF(J282=LOOKUP(J282,'CAFCO 300 IDIEM TABLAS'!$J$4:$J$40),'HOJA DE CÁLCULO RESPALDO'!J282,MROUND('HOJA DE CÁLCULO RESPALDO'!J282,10))</f>
        <v>95</v>
      </c>
      <c r="X282" s="36"/>
      <c r="Y282" s="4"/>
    </row>
    <row r="283" spans="1:25" x14ac:dyDescent="0.25">
      <c r="A283" s="2" t="s">
        <v>47</v>
      </c>
      <c r="B283" s="3" t="s">
        <v>17</v>
      </c>
      <c r="C283" s="3" t="s">
        <v>19</v>
      </c>
      <c r="D283" s="3">
        <v>1</v>
      </c>
      <c r="E283" s="2">
        <v>1</v>
      </c>
      <c r="F283" s="8">
        <v>17971</v>
      </c>
      <c r="G283" s="1">
        <v>4</v>
      </c>
      <c r="H283" s="2">
        <v>2184</v>
      </c>
      <c r="I283" s="34">
        <v>90</v>
      </c>
      <c r="J283" s="11">
        <v>95</v>
      </c>
      <c r="K283" s="44">
        <f t="shared" si="28"/>
        <v>39.248663999999998</v>
      </c>
      <c r="L283" s="3" t="s">
        <v>61</v>
      </c>
      <c r="M283" s="3" t="s">
        <v>70</v>
      </c>
      <c r="N283" s="15">
        <f>ROUND((IF(L283="Blaze Shield II",IF(M283="Idiem software",IF(AND(C283="IN",G283=4),((('BLAZE SHIELD II'!$D$4*('HOJA DE CÁLCULO RESPALDO'!I283^2)+'BLAZE SHIELD II'!$D$5*'HOJA DE CÁLCULO RESPALDO'!I283+'BLAZE SHIELD II'!$D$6)*LN(J283))+('BLAZE SHIELD II'!$D$7*('HOJA DE CÁLCULO RESPALDO'!I283^2)+'BLAZE SHIELD II'!$D$8*'HOJA DE CÁLCULO RESPALDO'!I283+'BLAZE SHIELD II'!$D$9)),0),0),0))+(IF(L283="Blaze Shield II",IF(M283="Idiem software",IF(C283="Cj",((('BLAZE SHIELD II'!$H$4*('HOJA DE CÁLCULO RESPALDO'!I283^2)+'BLAZE SHIELD II'!$H$5*'HOJA DE CÁLCULO RESPALDO'!I283+'BLAZE SHIELD II'!$H$6)*LN(J283))+('BLAZE SHIELD II'!$H$7*('HOJA DE CÁLCULO RESPALDO'!I283^2)+'BLAZE SHIELD II'!$H$8*'HOJA DE CÁLCULO RESPALDO'!I283+'BLAZE SHIELD II'!$H$9)),0),0),0))+(IF(L283="Blaze Shield II",IF(M283="Idiem software",IF(C283="C",((('BLAZE SHIELD II'!$L$4*('HOJA DE CÁLCULO RESPALDO'!I283^2)+'BLAZE SHIELD II'!$L$5*'HOJA DE CÁLCULO RESPALDO'!I283+'BLAZE SHIELD II'!$L$6)*LN(J283))+('BLAZE SHIELD II'!$L$7*('HOJA DE CÁLCULO RESPALDO'!I283^2)+'BLAZE SHIELD II'!$L$8*'HOJA DE CÁLCULO RESPALDO'!I283+'BLAZE SHIELD II'!$L$9)),0),0),0))+(IF(L283="Blaze Shield II",IF(M283="Idiem software",IF(AND(C283="IN",G283=3),((('BLAZE SHIELD II'!$H$14*('HOJA DE CÁLCULO RESPALDO'!I283^2)+'BLAZE SHIELD II'!$H$15*'HOJA DE CÁLCULO RESPALDO'!I283+'BLAZE SHIELD II'!$H$16)*LN(J283))+('BLAZE SHIELD II'!$H$17*('HOJA DE CÁLCULO RESPALDO'!I283^2)+'BLAZE SHIELD II'!$H$18*'HOJA DE CÁLCULO RESPALDO'!I283+'BLAZE SHIELD II'!$H$19)),0),0),0)),0)</f>
        <v>0</v>
      </c>
      <c r="O283" s="46">
        <f t="shared" si="32"/>
        <v>0</v>
      </c>
      <c r="P283" s="80">
        <f t="shared" si="29"/>
        <v>0</v>
      </c>
      <c r="Q283" s="85">
        <f>ROUND((IF(L283="Cafco 400",IF(M283="Idiem software",IF(AND(C283="IN",G283=4),((('CAFCO 400 '!$H$7*(J283^4)+'CAFCO 400 '!$H$8*(J283^3)+'CAFCO 400 '!$H$9*(J283^2)+'CAFCO 400 '!$H$10*J283+'CAFCO 400 '!$H$11)*I283^2)+(('CAFCO 400 '!$H$12*(J283^3)+'CAFCO 400 '!$H$13*(J283^2)+'CAFCO 400 '!$H$14*J283+'CAFCO 400 '!$H$15)*I283)+('CAFCO 400 '!$H$16*(J283^2)+'CAFCO 400 '!$H$17*J283+'CAFCO 400 '!$H$18)),0),0),0))+(IF(L283="Cafco 400",IF(M283="Idiem software",IF(C283="Cj",(((('CAFCO 400 '!$D$7*LN(J283)+'CAFCO 400 '!$D$8)*I283^2)+(('CAFCO 400 '!$D$9*LN(J283)+'CAFCO 400 '!$D$10)*I283)+('CAFCO 400 '!$D$11*LN(J283)+'CAFCO 400 '!$D$12))),0),0),0))+(IF(L283="Cafco 400",IF(M283="Idiem software",IF(C283="C",((('CAFCO 400 '!$L$7*(J283^3)+'CAFCO 400 '!$L$8*(J283^2)+'CAFCO 400 '!$L$9*J283+'CAFCO 400 '!$L$10)*I283^2)+(('CAFCO 400 '!$L$11*(J283^3)+'CAFCO 400 '!$L$12*(J283^2)+'CAFCO 400 '!$L$13*J283+'CAFCO 400 '!$L$14)*I283)+('CAFCO 400 '!$L$15*LN(J283)+'CAFCO 400 '!$L$16)),0),0),0))+(IF(L283="Cafco 400",IF(M283="Idiem software",IF(AND(C283="IN",G283=3),((('CAFCO 400 '!$D$23*(J283^2)+'CAFCO 400 '!$D$24*(J283)+'CAFCO 400 '!$D$25)*I283^2)+(('CAFCO 400 '!$D$26*(J283^2)+'CAFCO 400 '!$D$27*J283+'CAFCO 400 '!$D$28)*I283)+('CAFCO 400 '!$D$29*(J283^2)+'CAFCO 400 '!$D$30*J283+'CAFCO 400 '!$D$31)),0),0),0)),0)</f>
        <v>0</v>
      </c>
      <c r="R283" s="47">
        <f t="shared" si="33"/>
        <v>0</v>
      </c>
      <c r="S283" s="82">
        <f t="shared" si="30"/>
        <v>0</v>
      </c>
      <c r="T283" s="81">
        <f>+IF(AND(J283&gt;=95,J283&lt;=240),IF(AND(C283="Cj",I283=90),VLOOKUP(W283,'CAFCO 300 IDIEM TABLAS'!$B$4:$D$23,2,FALSE),0)+IF(AND(J283&gt;=95,J283&lt;=240),IF(AND(C283="Cj",I283=120),VLOOKUP(W283,'CAFCO 300 IDIEM TABLAS'!$B$4:$D$23,3,FALSE),0))+IF(AND(J283&gt;=95,J283&lt;=400,G283=3),IF(AND(C283="IN",I283=90),VLOOKUP(W283,'CAFCO 300 IDIEM TABLAS'!$F$4:$H$35,2,FALSE),0),0)+IF(AND(J283&gt;=95,J283&lt;=400,G283=3),IF(AND(C283="IN",I283=120),VLOOKUP(W283,'CAFCO 300 IDIEM TABLAS'!$F$4:$H$35,3,FALSE),0),0)+IF(AND(J283&gt;=95,J283&lt;=450,G283=4),IF(AND(C283="IN",I283=90),VLOOKUP(W283,'CAFCO 300 IDIEM TABLAS'!$J$4:$L$40,2,FALSE),0),0)+IF(AND(J283&gt;=95,J283&lt;=450,G283=4),IF(AND(C283="IN",I283=120),VLOOKUP(W283,'CAFCO 300 IDIEM TABLAS'!$J$4:$L$40,3,FALSE),0),0))</f>
        <v>17</v>
      </c>
      <c r="U283" s="48">
        <f t="shared" si="34"/>
        <v>9.2075652708600764</v>
      </c>
      <c r="V283" s="82">
        <f t="shared" si="31"/>
        <v>138242.3849766932</v>
      </c>
      <c r="W283" s="64">
        <f>+IF(J283=LOOKUP(J283,'CAFCO 300 IDIEM TABLAS'!$J$4:$J$40),'HOJA DE CÁLCULO RESPALDO'!J283,MROUND('HOJA DE CÁLCULO RESPALDO'!J283,10))</f>
        <v>95</v>
      </c>
      <c r="X283" s="36"/>
      <c r="Y283" s="4"/>
    </row>
    <row r="284" spans="1:25" ht="15.6" customHeight="1" x14ac:dyDescent="0.25">
      <c r="A284" s="2" t="s">
        <v>48</v>
      </c>
      <c r="B284" s="3" t="s">
        <v>17</v>
      </c>
      <c r="C284" s="3" t="s">
        <v>19</v>
      </c>
      <c r="D284" s="3">
        <v>1</v>
      </c>
      <c r="E284" s="2">
        <v>1</v>
      </c>
      <c r="F284" s="8">
        <v>7759</v>
      </c>
      <c r="G284" s="1">
        <v>4</v>
      </c>
      <c r="H284" s="2">
        <v>785</v>
      </c>
      <c r="I284" s="34">
        <v>90</v>
      </c>
      <c r="J284" s="11">
        <v>95</v>
      </c>
      <c r="K284" s="44">
        <f t="shared" si="28"/>
        <v>6.0908150000000001</v>
      </c>
      <c r="L284" s="3" t="s">
        <v>61</v>
      </c>
      <c r="M284" s="3" t="s">
        <v>70</v>
      </c>
      <c r="N284" s="15">
        <f>ROUND((IF(L284="Blaze Shield II",IF(M284="Idiem software",IF(AND(C284="IN",G284=4),((('BLAZE SHIELD II'!$D$4*('HOJA DE CÁLCULO RESPALDO'!I284^2)+'BLAZE SHIELD II'!$D$5*'HOJA DE CÁLCULO RESPALDO'!I284+'BLAZE SHIELD II'!$D$6)*LN(J284))+('BLAZE SHIELD II'!$D$7*('HOJA DE CÁLCULO RESPALDO'!I284^2)+'BLAZE SHIELD II'!$D$8*'HOJA DE CÁLCULO RESPALDO'!I284+'BLAZE SHIELD II'!$D$9)),0),0),0))+(IF(L284="Blaze Shield II",IF(M284="Idiem software",IF(C284="Cj",((('BLAZE SHIELD II'!$H$4*('HOJA DE CÁLCULO RESPALDO'!I284^2)+'BLAZE SHIELD II'!$H$5*'HOJA DE CÁLCULO RESPALDO'!I284+'BLAZE SHIELD II'!$H$6)*LN(J284))+('BLAZE SHIELD II'!$H$7*('HOJA DE CÁLCULO RESPALDO'!I284^2)+'BLAZE SHIELD II'!$H$8*'HOJA DE CÁLCULO RESPALDO'!I284+'BLAZE SHIELD II'!$H$9)),0),0),0))+(IF(L284="Blaze Shield II",IF(M284="Idiem software",IF(C284="C",((('BLAZE SHIELD II'!$L$4*('HOJA DE CÁLCULO RESPALDO'!I284^2)+'BLAZE SHIELD II'!$L$5*'HOJA DE CÁLCULO RESPALDO'!I284+'BLAZE SHIELD II'!$L$6)*LN(J284))+('BLAZE SHIELD II'!$L$7*('HOJA DE CÁLCULO RESPALDO'!I284^2)+'BLAZE SHIELD II'!$L$8*'HOJA DE CÁLCULO RESPALDO'!I284+'BLAZE SHIELD II'!$L$9)),0),0),0))+(IF(L284="Blaze Shield II",IF(M284="Idiem software",IF(AND(C284="IN",G284=3),((('BLAZE SHIELD II'!$H$14*('HOJA DE CÁLCULO RESPALDO'!I284^2)+'BLAZE SHIELD II'!$H$15*'HOJA DE CÁLCULO RESPALDO'!I284+'BLAZE SHIELD II'!$H$16)*LN(J284))+('BLAZE SHIELD II'!$H$17*('HOJA DE CÁLCULO RESPALDO'!I284^2)+'BLAZE SHIELD II'!$H$18*'HOJA DE CÁLCULO RESPALDO'!I284+'BLAZE SHIELD II'!$H$19)),0),0),0)),0)</f>
        <v>0</v>
      </c>
      <c r="O284" s="46">
        <f t="shared" si="32"/>
        <v>0</v>
      </c>
      <c r="P284" s="80">
        <f t="shared" si="29"/>
        <v>0</v>
      </c>
      <c r="Q284" s="85">
        <f>ROUND((IF(L284="Cafco 400",IF(M284="Idiem software",IF(AND(C284="IN",G284=4),((('CAFCO 400 '!$H$7*(J284^4)+'CAFCO 400 '!$H$8*(J284^3)+'CAFCO 400 '!$H$9*(J284^2)+'CAFCO 400 '!$H$10*J284+'CAFCO 400 '!$H$11)*I284^2)+(('CAFCO 400 '!$H$12*(J284^3)+'CAFCO 400 '!$H$13*(J284^2)+'CAFCO 400 '!$H$14*J284+'CAFCO 400 '!$H$15)*I284)+('CAFCO 400 '!$H$16*(J284^2)+'CAFCO 400 '!$H$17*J284+'CAFCO 400 '!$H$18)),0),0),0))+(IF(L284="Cafco 400",IF(M284="Idiem software",IF(C284="Cj",(((('CAFCO 400 '!$D$7*LN(J284)+'CAFCO 400 '!$D$8)*I284^2)+(('CAFCO 400 '!$D$9*LN(J284)+'CAFCO 400 '!$D$10)*I284)+('CAFCO 400 '!$D$11*LN(J284)+'CAFCO 400 '!$D$12))),0),0),0))+(IF(L284="Cafco 400",IF(M284="Idiem software",IF(C284="C",((('CAFCO 400 '!$L$7*(J284^3)+'CAFCO 400 '!$L$8*(J284^2)+'CAFCO 400 '!$L$9*J284+'CAFCO 400 '!$L$10)*I284^2)+(('CAFCO 400 '!$L$11*(J284^3)+'CAFCO 400 '!$L$12*(J284^2)+'CAFCO 400 '!$L$13*J284+'CAFCO 400 '!$L$14)*I284)+('CAFCO 400 '!$L$15*LN(J284)+'CAFCO 400 '!$L$16)),0),0),0))+(IF(L284="Cafco 400",IF(M284="Idiem software",IF(AND(C284="IN",G284=3),((('CAFCO 400 '!$D$23*(J284^2)+'CAFCO 400 '!$D$24*(J284)+'CAFCO 400 '!$D$25)*I284^2)+(('CAFCO 400 '!$D$26*(J284^2)+'CAFCO 400 '!$D$27*J284+'CAFCO 400 '!$D$28)*I284)+('CAFCO 400 '!$D$29*(J284^2)+'CAFCO 400 '!$D$30*J284+'CAFCO 400 '!$D$31)),0),0),0)),0)</f>
        <v>0</v>
      </c>
      <c r="R284" s="47">
        <f t="shared" si="33"/>
        <v>0</v>
      </c>
      <c r="S284" s="82">
        <f t="shared" si="30"/>
        <v>0</v>
      </c>
      <c r="T284" s="81">
        <f>+IF(AND(J284&gt;=95,J284&lt;=240),IF(AND(C284="Cj",I284=90),VLOOKUP(W284,'CAFCO 300 IDIEM TABLAS'!$B$4:$D$23,2,FALSE),0)+IF(AND(J284&gt;=95,J284&lt;=240),IF(AND(C284="Cj",I284=120),VLOOKUP(W284,'CAFCO 300 IDIEM TABLAS'!$B$4:$D$23,3,FALSE),0))+IF(AND(J284&gt;=95,J284&lt;=400,G284=3),IF(AND(C284="IN",I284=90),VLOOKUP(W284,'CAFCO 300 IDIEM TABLAS'!$F$4:$H$35,2,FALSE),0),0)+IF(AND(J284&gt;=95,J284&lt;=400,G284=3),IF(AND(C284="IN",I284=120),VLOOKUP(W284,'CAFCO 300 IDIEM TABLAS'!$F$4:$H$35,3,FALSE),0),0)+IF(AND(J284&gt;=95,J284&lt;=450,G284=4),IF(AND(C284="IN",I284=90),VLOOKUP(W284,'CAFCO 300 IDIEM TABLAS'!$J$4:$L$40,2,FALSE),0),0)+IF(AND(J284&gt;=95,J284&lt;=450,G284=4),IF(AND(C284="IN",I284=120),VLOOKUP(W284,'CAFCO 300 IDIEM TABLAS'!$J$4:$L$40,3,FALSE),0),0))</f>
        <v>17</v>
      </c>
      <c r="U284" s="48">
        <f t="shared" si="34"/>
        <v>1.42887861521181</v>
      </c>
      <c r="V284" s="82">
        <f t="shared" si="31"/>
        <v>21453.183528790116</v>
      </c>
      <c r="W284" s="64">
        <f>+IF(J284=LOOKUP(J284,'CAFCO 300 IDIEM TABLAS'!$J$4:$J$40),'HOJA DE CÁLCULO RESPALDO'!J284,MROUND('HOJA DE CÁLCULO RESPALDO'!J284,10))</f>
        <v>95</v>
      </c>
      <c r="X284" s="36"/>
      <c r="Y284" s="4"/>
    </row>
    <row r="285" spans="1:25" x14ac:dyDescent="0.25">
      <c r="A285" s="2" t="s">
        <v>42</v>
      </c>
      <c r="B285" s="3" t="s">
        <v>17</v>
      </c>
      <c r="C285" s="3" t="s">
        <v>19</v>
      </c>
      <c r="D285" s="3">
        <v>1</v>
      </c>
      <c r="E285" s="2">
        <v>1</v>
      </c>
      <c r="F285" s="8">
        <v>7100</v>
      </c>
      <c r="G285" s="1">
        <v>4</v>
      </c>
      <c r="H285" s="2">
        <v>785</v>
      </c>
      <c r="I285" s="34">
        <v>90</v>
      </c>
      <c r="J285" s="11">
        <v>95</v>
      </c>
      <c r="K285" s="44">
        <f t="shared" si="28"/>
        <v>5.5735000000000001</v>
      </c>
      <c r="L285" s="3" t="s">
        <v>61</v>
      </c>
      <c r="M285" s="3" t="s">
        <v>70</v>
      </c>
      <c r="N285" s="15">
        <f>ROUND((IF(L285="Blaze Shield II",IF(M285="Idiem software",IF(AND(C285="IN",G285=4),((('BLAZE SHIELD II'!$D$4*('HOJA DE CÁLCULO RESPALDO'!I285^2)+'BLAZE SHIELD II'!$D$5*'HOJA DE CÁLCULO RESPALDO'!I285+'BLAZE SHIELD II'!$D$6)*LN(J285))+('BLAZE SHIELD II'!$D$7*('HOJA DE CÁLCULO RESPALDO'!I285^2)+'BLAZE SHIELD II'!$D$8*'HOJA DE CÁLCULO RESPALDO'!I285+'BLAZE SHIELD II'!$D$9)),0),0),0))+(IF(L285="Blaze Shield II",IF(M285="Idiem software",IF(C285="Cj",((('BLAZE SHIELD II'!$H$4*('HOJA DE CÁLCULO RESPALDO'!I285^2)+'BLAZE SHIELD II'!$H$5*'HOJA DE CÁLCULO RESPALDO'!I285+'BLAZE SHIELD II'!$H$6)*LN(J285))+('BLAZE SHIELD II'!$H$7*('HOJA DE CÁLCULO RESPALDO'!I285^2)+'BLAZE SHIELD II'!$H$8*'HOJA DE CÁLCULO RESPALDO'!I285+'BLAZE SHIELD II'!$H$9)),0),0),0))+(IF(L285="Blaze Shield II",IF(M285="Idiem software",IF(C285="C",((('BLAZE SHIELD II'!$L$4*('HOJA DE CÁLCULO RESPALDO'!I285^2)+'BLAZE SHIELD II'!$L$5*'HOJA DE CÁLCULO RESPALDO'!I285+'BLAZE SHIELD II'!$L$6)*LN(J285))+('BLAZE SHIELD II'!$L$7*('HOJA DE CÁLCULO RESPALDO'!I285^2)+'BLAZE SHIELD II'!$L$8*'HOJA DE CÁLCULO RESPALDO'!I285+'BLAZE SHIELD II'!$L$9)),0),0),0))+(IF(L285="Blaze Shield II",IF(M285="Idiem software",IF(AND(C285="IN",G285=3),((('BLAZE SHIELD II'!$H$14*('HOJA DE CÁLCULO RESPALDO'!I285^2)+'BLAZE SHIELD II'!$H$15*'HOJA DE CÁLCULO RESPALDO'!I285+'BLAZE SHIELD II'!$H$16)*LN(J285))+('BLAZE SHIELD II'!$H$17*('HOJA DE CÁLCULO RESPALDO'!I285^2)+'BLAZE SHIELD II'!$H$18*'HOJA DE CÁLCULO RESPALDO'!I285+'BLAZE SHIELD II'!$H$19)),0),0),0)),0)</f>
        <v>0</v>
      </c>
      <c r="O285" s="46">
        <f t="shared" si="32"/>
        <v>0</v>
      </c>
      <c r="P285" s="80">
        <f t="shared" si="29"/>
        <v>0</v>
      </c>
      <c r="Q285" s="85">
        <f>ROUND((IF(L285="Cafco 400",IF(M285="Idiem software",IF(AND(C285="IN",G285=4),((('CAFCO 400 '!$H$7*(J285^4)+'CAFCO 400 '!$H$8*(J285^3)+'CAFCO 400 '!$H$9*(J285^2)+'CAFCO 400 '!$H$10*J285+'CAFCO 400 '!$H$11)*I285^2)+(('CAFCO 400 '!$H$12*(J285^3)+'CAFCO 400 '!$H$13*(J285^2)+'CAFCO 400 '!$H$14*J285+'CAFCO 400 '!$H$15)*I285)+('CAFCO 400 '!$H$16*(J285^2)+'CAFCO 400 '!$H$17*J285+'CAFCO 400 '!$H$18)),0),0),0))+(IF(L285="Cafco 400",IF(M285="Idiem software",IF(C285="Cj",(((('CAFCO 400 '!$D$7*LN(J285)+'CAFCO 400 '!$D$8)*I285^2)+(('CAFCO 400 '!$D$9*LN(J285)+'CAFCO 400 '!$D$10)*I285)+('CAFCO 400 '!$D$11*LN(J285)+'CAFCO 400 '!$D$12))),0),0),0))+(IF(L285="Cafco 400",IF(M285="Idiem software",IF(C285="C",((('CAFCO 400 '!$L$7*(J285^3)+'CAFCO 400 '!$L$8*(J285^2)+'CAFCO 400 '!$L$9*J285+'CAFCO 400 '!$L$10)*I285^2)+(('CAFCO 400 '!$L$11*(J285^3)+'CAFCO 400 '!$L$12*(J285^2)+'CAFCO 400 '!$L$13*J285+'CAFCO 400 '!$L$14)*I285)+('CAFCO 400 '!$L$15*LN(J285)+'CAFCO 400 '!$L$16)),0),0),0))+(IF(L285="Cafco 400",IF(M285="Idiem software",IF(AND(C285="IN",G285=3),((('CAFCO 400 '!$D$23*(J285^2)+'CAFCO 400 '!$D$24*(J285)+'CAFCO 400 '!$D$25)*I285^2)+(('CAFCO 400 '!$D$26*(J285^2)+'CAFCO 400 '!$D$27*J285+'CAFCO 400 '!$D$28)*I285)+('CAFCO 400 '!$D$29*(J285^2)+'CAFCO 400 '!$D$30*J285+'CAFCO 400 '!$D$31)),0),0),0)),0)</f>
        <v>0</v>
      </c>
      <c r="R285" s="47">
        <f t="shared" si="33"/>
        <v>0</v>
      </c>
      <c r="S285" s="82">
        <f t="shared" si="30"/>
        <v>0</v>
      </c>
      <c r="T285" s="81">
        <f>+IF(AND(J285&gt;=95,J285&lt;=240),IF(AND(C285="Cj",I285=90),VLOOKUP(W285,'CAFCO 300 IDIEM TABLAS'!$B$4:$D$23,2,FALSE),0)+IF(AND(J285&gt;=95,J285&lt;=240),IF(AND(C285="Cj",I285=120),VLOOKUP(W285,'CAFCO 300 IDIEM TABLAS'!$B$4:$D$23,3,FALSE),0))+IF(AND(J285&gt;=95,J285&lt;=400,G285=3),IF(AND(C285="IN",I285=90),VLOOKUP(W285,'CAFCO 300 IDIEM TABLAS'!$F$4:$H$35,2,FALSE),0),0)+IF(AND(J285&gt;=95,J285&lt;=400,G285=3),IF(AND(C285="IN",I285=120),VLOOKUP(W285,'CAFCO 300 IDIEM TABLAS'!$F$4:$H$35,3,FALSE),0),0)+IF(AND(J285&gt;=95,J285&lt;=450,G285=4),IF(AND(C285="IN",I285=90),VLOOKUP(W285,'CAFCO 300 IDIEM TABLAS'!$J$4:$L$40,2,FALSE),0),0)+IF(AND(J285&gt;=95,J285&lt;=450,G285=4),IF(AND(C285="IN",I285=120),VLOOKUP(W285,'CAFCO 300 IDIEM TABLAS'!$J$4:$L$40,3,FALSE),0),0))</f>
        <v>17</v>
      </c>
      <c r="U285" s="48">
        <f t="shared" si="34"/>
        <v>1.3075187740693195</v>
      </c>
      <c r="V285" s="82">
        <f t="shared" si="31"/>
        <v>19631.086873876764</v>
      </c>
      <c r="W285" s="64">
        <f>+IF(J285=LOOKUP(J285,'CAFCO 300 IDIEM TABLAS'!$J$4:$J$40),'HOJA DE CÁLCULO RESPALDO'!J285,MROUND('HOJA DE CÁLCULO RESPALDO'!J285,10))</f>
        <v>95</v>
      </c>
      <c r="X285" s="36"/>
      <c r="Y285" s="4"/>
    </row>
    <row r="286" spans="1:25" ht="15.6" customHeight="1" x14ac:dyDescent="0.25">
      <c r="A286" s="2" t="s">
        <v>42</v>
      </c>
      <c r="B286" s="3" t="s">
        <v>17</v>
      </c>
      <c r="C286" s="3" t="s">
        <v>19</v>
      </c>
      <c r="D286" s="3">
        <v>1</v>
      </c>
      <c r="E286" s="2">
        <v>1</v>
      </c>
      <c r="F286" s="8">
        <v>19050</v>
      </c>
      <c r="G286" s="1">
        <v>4</v>
      </c>
      <c r="H286" s="2">
        <v>1185</v>
      </c>
      <c r="I286" s="34">
        <v>90</v>
      </c>
      <c r="J286" s="11">
        <v>95</v>
      </c>
      <c r="K286" s="44">
        <f t="shared" si="28"/>
        <v>22.574249999999999</v>
      </c>
      <c r="L286" s="3" t="s">
        <v>61</v>
      </c>
      <c r="M286" s="3" t="s">
        <v>70</v>
      </c>
      <c r="N286" s="15">
        <f>ROUND((IF(L286="Blaze Shield II",IF(M286="Idiem software",IF(AND(C286="IN",G286=4),((('BLAZE SHIELD II'!$D$4*('HOJA DE CÁLCULO RESPALDO'!I286^2)+'BLAZE SHIELD II'!$D$5*'HOJA DE CÁLCULO RESPALDO'!I286+'BLAZE SHIELD II'!$D$6)*LN(J286))+('BLAZE SHIELD II'!$D$7*('HOJA DE CÁLCULO RESPALDO'!I286^2)+'BLAZE SHIELD II'!$D$8*'HOJA DE CÁLCULO RESPALDO'!I286+'BLAZE SHIELD II'!$D$9)),0),0),0))+(IF(L286="Blaze Shield II",IF(M286="Idiem software",IF(C286="Cj",((('BLAZE SHIELD II'!$H$4*('HOJA DE CÁLCULO RESPALDO'!I286^2)+'BLAZE SHIELD II'!$H$5*'HOJA DE CÁLCULO RESPALDO'!I286+'BLAZE SHIELD II'!$H$6)*LN(J286))+('BLAZE SHIELD II'!$H$7*('HOJA DE CÁLCULO RESPALDO'!I286^2)+'BLAZE SHIELD II'!$H$8*'HOJA DE CÁLCULO RESPALDO'!I286+'BLAZE SHIELD II'!$H$9)),0),0),0))+(IF(L286="Blaze Shield II",IF(M286="Idiem software",IF(C286="C",((('BLAZE SHIELD II'!$L$4*('HOJA DE CÁLCULO RESPALDO'!I286^2)+'BLAZE SHIELD II'!$L$5*'HOJA DE CÁLCULO RESPALDO'!I286+'BLAZE SHIELD II'!$L$6)*LN(J286))+('BLAZE SHIELD II'!$L$7*('HOJA DE CÁLCULO RESPALDO'!I286^2)+'BLAZE SHIELD II'!$L$8*'HOJA DE CÁLCULO RESPALDO'!I286+'BLAZE SHIELD II'!$L$9)),0),0),0))+(IF(L286="Blaze Shield II",IF(M286="Idiem software",IF(AND(C286="IN",G286=3),((('BLAZE SHIELD II'!$H$14*('HOJA DE CÁLCULO RESPALDO'!I286^2)+'BLAZE SHIELD II'!$H$15*'HOJA DE CÁLCULO RESPALDO'!I286+'BLAZE SHIELD II'!$H$16)*LN(J286))+('BLAZE SHIELD II'!$H$17*('HOJA DE CÁLCULO RESPALDO'!I286^2)+'BLAZE SHIELD II'!$H$18*'HOJA DE CÁLCULO RESPALDO'!I286+'BLAZE SHIELD II'!$H$19)),0),0),0)),0)</f>
        <v>0</v>
      </c>
      <c r="O286" s="46">
        <f t="shared" si="32"/>
        <v>0</v>
      </c>
      <c r="P286" s="80">
        <f t="shared" si="29"/>
        <v>0</v>
      </c>
      <c r="Q286" s="85">
        <f>ROUND((IF(L286="Cafco 400",IF(M286="Idiem software",IF(AND(C286="IN",G286=4),((('CAFCO 400 '!$H$7*(J286^4)+'CAFCO 400 '!$H$8*(J286^3)+'CAFCO 400 '!$H$9*(J286^2)+'CAFCO 400 '!$H$10*J286+'CAFCO 400 '!$H$11)*I286^2)+(('CAFCO 400 '!$H$12*(J286^3)+'CAFCO 400 '!$H$13*(J286^2)+'CAFCO 400 '!$H$14*J286+'CAFCO 400 '!$H$15)*I286)+('CAFCO 400 '!$H$16*(J286^2)+'CAFCO 400 '!$H$17*J286+'CAFCO 400 '!$H$18)),0),0),0))+(IF(L286="Cafco 400",IF(M286="Idiem software",IF(C286="Cj",(((('CAFCO 400 '!$D$7*LN(J286)+'CAFCO 400 '!$D$8)*I286^2)+(('CAFCO 400 '!$D$9*LN(J286)+'CAFCO 400 '!$D$10)*I286)+('CAFCO 400 '!$D$11*LN(J286)+'CAFCO 400 '!$D$12))),0),0),0))+(IF(L286="Cafco 400",IF(M286="Idiem software",IF(C286="C",((('CAFCO 400 '!$L$7*(J286^3)+'CAFCO 400 '!$L$8*(J286^2)+'CAFCO 400 '!$L$9*J286+'CAFCO 400 '!$L$10)*I286^2)+(('CAFCO 400 '!$L$11*(J286^3)+'CAFCO 400 '!$L$12*(J286^2)+'CAFCO 400 '!$L$13*J286+'CAFCO 400 '!$L$14)*I286)+('CAFCO 400 '!$L$15*LN(J286)+'CAFCO 400 '!$L$16)),0),0),0))+(IF(L286="Cafco 400",IF(M286="Idiem software",IF(AND(C286="IN",G286=3),((('CAFCO 400 '!$D$23*(J286^2)+'CAFCO 400 '!$D$24*(J286)+'CAFCO 400 '!$D$25)*I286^2)+(('CAFCO 400 '!$D$26*(J286^2)+'CAFCO 400 '!$D$27*J286+'CAFCO 400 '!$D$28)*I286)+('CAFCO 400 '!$D$29*(J286^2)+'CAFCO 400 '!$D$30*J286+'CAFCO 400 '!$D$31)),0),0),0)),0)</f>
        <v>0</v>
      </c>
      <c r="R286" s="47">
        <f t="shared" si="33"/>
        <v>0</v>
      </c>
      <c r="S286" s="82">
        <f t="shared" si="30"/>
        <v>0</v>
      </c>
      <c r="T286" s="81">
        <f>+IF(AND(J286&gt;=95,J286&lt;=240),IF(AND(C286="Cj",I286=90),VLOOKUP(W286,'CAFCO 300 IDIEM TABLAS'!$B$4:$D$23,2,FALSE),0)+IF(AND(J286&gt;=95,J286&lt;=240),IF(AND(C286="Cj",I286=120),VLOOKUP(W286,'CAFCO 300 IDIEM TABLAS'!$B$4:$D$23,3,FALSE),0))+IF(AND(J286&gt;=95,J286&lt;=400,G286=3),IF(AND(C286="IN",I286=90),VLOOKUP(W286,'CAFCO 300 IDIEM TABLAS'!$F$4:$H$35,2,FALSE),0),0)+IF(AND(J286&gt;=95,J286&lt;=400,G286=3),IF(AND(C286="IN",I286=120),VLOOKUP(W286,'CAFCO 300 IDIEM TABLAS'!$F$4:$H$35,3,FALSE),0),0)+IF(AND(J286&gt;=95,J286&lt;=450,G286=4),IF(AND(C286="IN",I286=90),VLOOKUP(W286,'CAFCO 300 IDIEM TABLAS'!$J$4:$L$40,2,FALSE),0),0)+IF(AND(J286&gt;=95,J286&lt;=450,G286=4),IF(AND(C286="IN",I286=120),VLOOKUP(W286,'CAFCO 300 IDIEM TABLAS'!$J$4:$L$40,3,FALSE),0),0))</f>
        <v>17</v>
      </c>
      <c r="U286" s="48">
        <f t="shared" si="34"/>
        <v>5.2958205231065465</v>
      </c>
      <c r="V286" s="82">
        <f t="shared" si="31"/>
        <v>79511.449333921686</v>
      </c>
      <c r="W286" s="64">
        <f>+IF(J286=LOOKUP(J286,'CAFCO 300 IDIEM TABLAS'!$J$4:$J$40),'HOJA DE CÁLCULO RESPALDO'!J286,MROUND('HOJA DE CÁLCULO RESPALDO'!J286,10))</f>
        <v>95</v>
      </c>
      <c r="X286" s="36"/>
      <c r="Y286" s="4"/>
    </row>
    <row r="287" spans="1:25" x14ac:dyDescent="0.25">
      <c r="A287" s="2" t="s">
        <v>49</v>
      </c>
      <c r="B287" s="3" t="s">
        <v>17</v>
      </c>
      <c r="C287" s="3" t="s">
        <v>19</v>
      </c>
      <c r="D287" s="3">
        <v>1</v>
      </c>
      <c r="E287" s="2">
        <v>1</v>
      </c>
      <c r="F287" s="8">
        <v>4255</v>
      </c>
      <c r="G287" s="1">
        <v>4</v>
      </c>
      <c r="H287" s="2">
        <v>1185</v>
      </c>
      <c r="I287" s="34">
        <v>90</v>
      </c>
      <c r="J287" s="11">
        <v>95</v>
      </c>
      <c r="K287" s="44">
        <f t="shared" si="28"/>
        <v>5.0421750000000003</v>
      </c>
      <c r="L287" s="3" t="s">
        <v>61</v>
      </c>
      <c r="M287" s="3" t="s">
        <v>70</v>
      </c>
      <c r="N287" s="15">
        <f>ROUND((IF(L287="Blaze Shield II",IF(M287="Idiem software",IF(AND(C287="IN",G287=4),((('BLAZE SHIELD II'!$D$4*('HOJA DE CÁLCULO RESPALDO'!I287^2)+'BLAZE SHIELD II'!$D$5*'HOJA DE CÁLCULO RESPALDO'!I287+'BLAZE SHIELD II'!$D$6)*LN(J287))+('BLAZE SHIELD II'!$D$7*('HOJA DE CÁLCULO RESPALDO'!I287^2)+'BLAZE SHIELD II'!$D$8*'HOJA DE CÁLCULO RESPALDO'!I287+'BLAZE SHIELD II'!$D$9)),0),0),0))+(IF(L287="Blaze Shield II",IF(M287="Idiem software",IF(C287="Cj",((('BLAZE SHIELD II'!$H$4*('HOJA DE CÁLCULO RESPALDO'!I287^2)+'BLAZE SHIELD II'!$H$5*'HOJA DE CÁLCULO RESPALDO'!I287+'BLAZE SHIELD II'!$H$6)*LN(J287))+('BLAZE SHIELD II'!$H$7*('HOJA DE CÁLCULO RESPALDO'!I287^2)+'BLAZE SHIELD II'!$H$8*'HOJA DE CÁLCULO RESPALDO'!I287+'BLAZE SHIELD II'!$H$9)),0),0),0))+(IF(L287="Blaze Shield II",IF(M287="Idiem software",IF(C287="C",((('BLAZE SHIELD II'!$L$4*('HOJA DE CÁLCULO RESPALDO'!I287^2)+'BLAZE SHIELD II'!$L$5*'HOJA DE CÁLCULO RESPALDO'!I287+'BLAZE SHIELD II'!$L$6)*LN(J287))+('BLAZE SHIELD II'!$L$7*('HOJA DE CÁLCULO RESPALDO'!I287^2)+'BLAZE SHIELD II'!$L$8*'HOJA DE CÁLCULO RESPALDO'!I287+'BLAZE SHIELD II'!$L$9)),0),0),0))+(IF(L287="Blaze Shield II",IF(M287="Idiem software",IF(AND(C287="IN",G287=3),((('BLAZE SHIELD II'!$H$14*('HOJA DE CÁLCULO RESPALDO'!I287^2)+'BLAZE SHIELD II'!$H$15*'HOJA DE CÁLCULO RESPALDO'!I287+'BLAZE SHIELD II'!$H$16)*LN(J287))+('BLAZE SHIELD II'!$H$17*('HOJA DE CÁLCULO RESPALDO'!I287^2)+'BLAZE SHIELD II'!$H$18*'HOJA DE CÁLCULO RESPALDO'!I287+'BLAZE SHIELD II'!$H$19)),0),0),0)),0)</f>
        <v>0</v>
      </c>
      <c r="O287" s="46">
        <f t="shared" si="32"/>
        <v>0</v>
      </c>
      <c r="P287" s="80">
        <f t="shared" si="29"/>
        <v>0</v>
      </c>
      <c r="Q287" s="85">
        <f>ROUND((IF(L287="Cafco 400",IF(M287="Idiem software",IF(AND(C287="IN",G287=4),((('CAFCO 400 '!$H$7*(J287^4)+'CAFCO 400 '!$H$8*(J287^3)+'CAFCO 400 '!$H$9*(J287^2)+'CAFCO 400 '!$H$10*J287+'CAFCO 400 '!$H$11)*I287^2)+(('CAFCO 400 '!$H$12*(J287^3)+'CAFCO 400 '!$H$13*(J287^2)+'CAFCO 400 '!$H$14*J287+'CAFCO 400 '!$H$15)*I287)+('CAFCO 400 '!$H$16*(J287^2)+'CAFCO 400 '!$H$17*J287+'CAFCO 400 '!$H$18)),0),0),0))+(IF(L287="Cafco 400",IF(M287="Idiem software",IF(C287="Cj",(((('CAFCO 400 '!$D$7*LN(J287)+'CAFCO 400 '!$D$8)*I287^2)+(('CAFCO 400 '!$D$9*LN(J287)+'CAFCO 400 '!$D$10)*I287)+('CAFCO 400 '!$D$11*LN(J287)+'CAFCO 400 '!$D$12))),0),0),0))+(IF(L287="Cafco 400",IF(M287="Idiem software",IF(C287="C",((('CAFCO 400 '!$L$7*(J287^3)+'CAFCO 400 '!$L$8*(J287^2)+'CAFCO 400 '!$L$9*J287+'CAFCO 400 '!$L$10)*I287^2)+(('CAFCO 400 '!$L$11*(J287^3)+'CAFCO 400 '!$L$12*(J287^2)+'CAFCO 400 '!$L$13*J287+'CAFCO 400 '!$L$14)*I287)+('CAFCO 400 '!$L$15*LN(J287)+'CAFCO 400 '!$L$16)),0),0),0))+(IF(L287="Cafco 400",IF(M287="Idiem software",IF(AND(C287="IN",G287=3),((('CAFCO 400 '!$D$23*(J287^2)+'CAFCO 400 '!$D$24*(J287)+'CAFCO 400 '!$D$25)*I287^2)+(('CAFCO 400 '!$D$26*(J287^2)+'CAFCO 400 '!$D$27*J287+'CAFCO 400 '!$D$28)*I287)+('CAFCO 400 '!$D$29*(J287^2)+'CAFCO 400 '!$D$30*J287+'CAFCO 400 '!$D$31)),0),0),0)),0)</f>
        <v>0</v>
      </c>
      <c r="R287" s="47">
        <f t="shared" si="33"/>
        <v>0</v>
      </c>
      <c r="S287" s="82">
        <f t="shared" si="30"/>
        <v>0</v>
      </c>
      <c r="T287" s="81">
        <f>+IF(AND(J287&gt;=95,J287&lt;=240),IF(AND(C287="Cj",I287=90),VLOOKUP(W287,'CAFCO 300 IDIEM TABLAS'!$B$4:$D$23,2,FALSE),0)+IF(AND(J287&gt;=95,J287&lt;=240),IF(AND(C287="Cj",I287=120),VLOOKUP(W287,'CAFCO 300 IDIEM TABLAS'!$B$4:$D$23,3,FALSE),0))+IF(AND(J287&gt;=95,J287&lt;=400,G287=3),IF(AND(C287="IN",I287=90),VLOOKUP(W287,'CAFCO 300 IDIEM TABLAS'!$F$4:$H$35,2,FALSE),0),0)+IF(AND(J287&gt;=95,J287&lt;=400,G287=3),IF(AND(C287="IN",I287=120),VLOOKUP(W287,'CAFCO 300 IDIEM TABLAS'!$F$4:$H$35,3,FALSE),0),0)+IF(AND(J287&gt;=95,J287&lt;=450,G287=4),IF(AND(C287="IN",I287=90),VLOOKUP(W287,'CAFCO 300 IDIEM TABLAS'!$J$4:$L$40,2,FALSE),0),0)+IF(AND(J287&gt;=95,J287&lt;=450,G287=4),IF(AND(C287="IN",I287=120),VLOOKUP(W287,'CAFCO 300 IDIEM TABLAS'!$J$4:$L$40,3,FALSE),0),0))</f>
        <v>17</v>
      </c>
      <c r="U287" s="48">
        <f t="shared" si="34"/>
        <v>1.1828722480744545</v>
      </c>
      <c r="V287" s="82">
        <f t="shared" si="31"/>
        <v>17759.643932589861</v>
      </c>
      <c r="W287" s="64">
        <f>+IF(J287=LOOKUP(J287,'CAFCO 300 IDIEM TABLAS'!$J$4:$J$40),'HOJA DE CÁLCULO RESPALDO'!J287,MROUND('HOJA DE CÁLCULO RESPALDO'!J287,10))</f>
        <v>95</v>
      </c>
      <c r="X287" s="36"/>
      <c r="Y287" s="4"/>
    </row>
    <row r="288" spans="1:25" ht="15.6" customHeight="1" x14ac:dyDescent="0.25">
      <c r="A288" s="2" t="s">
        <v>49</v>
      </c>
      <c r="B288" s="3" t="s">
        <v>17</v>
      </c>
      <c r="C288" s="3" t="s">
        <v>19</v>
      </c>
      <c r="D288" s="3">
        <v>1</v>
      </c>
      <c r="E288" s="2">
        <v>1</v>
      </c>
      <c r="F288" s="8">
        <v>89250</v>
      </c>
      <c r="G288" s="1">
        <v>4</v>
      </c>
      <c r="H288" s="2">
        <v>1190</v>
      </c>
      <c r="I288" s="34">
        <v>90</v>
      </c>
      <c r="J288" s="11">
        <v>95</v>
      </c>
      <c r="K288" s="44">
        <f t="shared" si="28"/>
        <v>106.2075</v>
      </c>
      <c r="L288" s="3" t="s">
        <v>61</v>
      </c>
      <c r="M288" s="3" t="s">
        <v>70</v>
      </c>
      <c r="N288" s="15">
        <f>ROUND((IF(L288="Blaze Shield II",IF(M288="Idiem software",IF(AND(C288="IN",G288=4),((('BLAZE SHIELD II'!$D$4*('HOJA DE CÁLCULO RESPALDO'!I288^2)+'BLAZE SHIELD II'!$D$5*'HOJA DE CÁLCULO RESPALDO'!I288+'BLAZE SHIELD II'!$D$6)*LN(J288))+('BLAZE SHIELD II'!$D$7*('HOJA DE CÁLCULO RESPALDO'!I288^2)+'BLAZE SHIELD II'!$D$8*'HOJA DE CÁLCULO RESPALDO'!I288+'BLAZE SHIELD II'!$D$9)),0),0),0))+(IF(L288="Blaze Shield II",IF(M288="Idiem software",IF(C288="Cj",((('BLAZE SHIELD II'!$H$4*('HOJA DE CÁLCULO RESPALDO'!I288^2)+'BLAZE SHIELD II'!$H$5*'HOJA DE CÁLCULO RESPALDO'!I288+'BLAZE SHIELD II'!$H$6)*LN(J288))+('BLAZE SHIELD II'!$H$7*('HOJA DE CÁLCULO RESPALDO'!I288^2)+'BLAZE SHIELD II'!$H$8*'HOJA DE CÁLCULO RESPALDO'!I288+'BLAZE SHIELD II'!$H$9)),0),0),0))+(IF(L288="Blaze Shield II",IF(M288="Idiem software",IF(C288="C",((('BLAZE SHIELD II'!$L$4*('HOJA DE CÁLCULO RESPALDO'!I288^2)+'BLAZE SHIELD II'!$L$5*'HOJA DE CÁLCULO RESPALDO'!I288+'BLAZE SHIELD II'!$L$6)*LN(J288))+('BLAZE SHIELD II'!$L$7*('HOJA DE CÁLCULO RESPALDO'!I288^2)+'BLAZE SHIELD II'!$L$8*'HOJA DE CÁLCULO RESPALDO'!I288+'BLAZE SHIELD II'!$L$9)),0),0),0))+(IF(L288="Blaze Shield II",IF(M288="Idiem software",IF(AND(C288="IN",G288=3),((('BLAZE SHIELD II'!$H$14*('HOJA DE CÁLCULO RESPALDO'!I288^2)+'BLAZE SHIELD II'!$H$15*'HOJA DE CÁLCULO RESPALDO'!I288+'BLAZE SHIELD II'!$H$16)*LN(J288))+('BLAZE SHIELD II'!$H$17*('HOJA DE CÁLCULO RESPALDO'!I288^2)+'BLAZE SHIELD II'!$H$18*'HOJA DE CÁLCULO RESPALDO'!I288+'BLAZE SHIELD II'!$H$19)),0),0),0)),0)</f>
        <v>0</v>
      </c>
      <c r="O288" s="46">
        <f t="shared" si="32"/>
        <v>0</v>
      </c>
      <c r="P288" s="80">
        <f t="shared" si="29"/>
        <v>0</v>
      </c>
      <c r="Q288" s="85">
        <f>ROUND((IF(L288="Cafco 400",IF(M288="Idiem software",IF(AND(C288="IN",G288=4),((('CAFCO 400 '!$H$7*(J288^4)+'CAFCO 400 '!$H$8*(J288^3)+'CAFCO 400 '!$H$9*(J288^2)+'CAFCO 400 '!$H$10*J288+'CAFCO 400 '!$H$11)*I288^2)+(('CAFCO 400 '!$H$12*(J288^3)+'CAFCO 400 '!$H$13*(J288^2)+'CAFCO 400 '!$H$14*J288+'CAFCO 400 '!$H$15)*I288)+('CAFCO 400 '!$H$16*(J288^2)+'CAFCO 400 '!$H$17*J288+'CAFCO 400 '!$H$18)),0),0),0))+(IF(L288="Cafco 400",IF(M288="Idiem software",IF(C288="Cj",(((('CAFCO 400 '!$D$7*LN(J288)+'CAFCO 400 '!$D$8)*I288^2)+(('CAFCO 400 '!$D$9*LN(J288)+'CAFCO 400 '!$D$10)*I288)+('CAFCO 400 '!$D$11*LN(J288)+'CAFCO 400 '!$D$12))),0),0),0))+(IF(L288="Cafco 400",IF(M288="Idiem software",IF(C288="C",((('CAFCO 400 '!$L$7*(J288^3)+'CAFCO 400 '!$L$8*(J288^2)+'CAFCO 400 '!$L$9*J288+'CAFCO 400 '!$L$10)*I288^2)+(('CAFCO 400 '!$L$11*(J288^3)+'CAFCO 400 '!$L$12*(J288^2)+'CAFCO 400 '!$L$13*J288+'CAFCO 400 '!$L$14)*I288)+('CAFCO 400 '!$L$15*LN(J288)+'CAFCO 400 '!$L$16)),0),0),0))+(IF(L288="Cafco 400",IF(M288="Idiem software",IF(AND(C288="IN",G288=3),((('CAFCO 400 '!$D$23*(J288^2)+'CAFCO 400 '!$D$24*(J288)+'CAFCO 400 '!$D$25)*I288^2)+(('CAFCO 400 '!$D$26*(J288^2)+'CAFCO 400 '!$D$27*J288+'CAFCO 400 '!$D$28)*I288)+('CAFCO 400 '!$D$29*(J288^2)+'CAFCO 400 '!$D$30*J288+'CAFCO 400 '!$D$31)),0),0),0)),0)</f>
        <v>0</v>
      </c>
      <c r="R288" s="47">
        <f t="shared" si="33"/>
        <v>0</v>
      </c>
      <c r="S288" s="82">
        <f t="shared" si="30"/>
        <v>0</v>
      </c>
      <c r="T288" s="81">
        <f>+IF(AND(J288&gt;=95,J288&lt;=240),IF(AND(C288="Cj",I288=90),VLOOKUP(W288,'CAFCO 300 IDIEM TABLAS'!$B$4:$D$23,2,FALSE),0)+IF(AND(J288&gt;=95,J288&lt;=240),IF(AND(C288="Cj",I288=120),VLOOKUP(W288,'CAFCO 300 IDIEM TABLAS'!$B$4:$D$23,3,FALSE),0))+IF(AND(J288&gt;=95,J288&lt;=400,G288=3),IF(AND(C288="IN",I288=90),VLOOKUP(W288,'CAFCO 300 IDIEM TABLAS'!$F$4:$H$35,2,FALSE),0),0)+IF(AND(J288&gt;=95,J288&lt;=400,G288=3),IF(AND(C288="IN",I288=120),VLOOKUP(W288,'CAFCO 300 IDIEM TABLAS'!$F$4:$H$35,3,FALSE),0),0)+IF(AND(J288&gt;=95,J288&lt;=450,G288=4),IF(AND(C288="IN",I288=90),VLOOKUP(W288,'CAFCO 300 IDIEM TABLAS'!$J$4:$L$40,2,FALSE),0),0)+IF(AND(J288&gt;=95,J288&lt;=450,G288=4),IF(AND(C288="IN",I288=120),VLOOKUP(W288,'CAFCO 300 IDIEM TABLAS'!$J$4:$L$40,3,FALSE),0),0))</f>
        <v>17</v>
      </c>
      <c r="U288" s="48">
        <f t="shared" si="34"/>
        <v>24.915815949935812</v>
      </c>
      <c r="V288" s="82">
        <f t="shared" si="31"/>
        <v>374086.06067233626</v>
      </c>
      <c r="W288" s="64">
        <f>+IF(J288=LOOKUP(J288,'CAFCO 300 IDIEM TABLAS'!$J$4:$J$40),'HOJA DE CÁLCULO RESPALDO'!J288,MROUND('HOJA DE CÁLCULO RESPALDO'!J288,10))</f>
        <v>95</v>
      </c>
      <c r="X288" s="36"/>
      <c r="Y288" s="4"/>
    </row>
    <row r="289" spans="1:25" x14ac:dyDescent="0.25">
      <c r="A289" s="2" t="s">
        <v>49</v>
      </c>
      <c r="B289" s="3" t="s">
        <v>17</v>
      </c>
      <c r="C289" s="3" t="s">
        <v>19</v>
      </c>
      <c r="D289" s="3">
        <v>1</v>
      </c>
      <c r="E289" s="2">
        <v>1</v>
      </c>
      <c r="F289" s="8">
        <v>13000</v>
      </c>
      <c r="G289" s="1">
        <v>4</v>
      </c>
      <c r="H289" s="2">
        <v>1181</v>
      </c>
      <c r="I289" s="34">
        <v>90</v>
      </c>
      <c r="J289" s="11">
        <v>95</v>
      </c>
      <c r="K289" s="44">
        <f t="shared" si="28"/>
        <v>15.353</v>
      </c>
      <c r="L289" s="3" t="s">
        <v>61</v>
      </c>
      <c r="M289" s="3" t="s">
        <v>70</v>
      </c>
      <c r="N289" s="15">
        <f>ROUND((IF(L289="Blaze Shield II",IF(M289="Idiem software",IF(AND(C289="IN",G289=4),((('BLAZE SHIELD II'!$D$4*('HOJA DE CÁLCULO RESPALDO'!I289^2)+'BLAZE SHIELD II'!$D$5*'HOJA DE CÁLCULO RESPALDO'!I289+'BLAZE SHIELD II'!$D$6)*LN(J289))+('BLAZE SHIELD II'!$D$7*('HOJA DE CÁLCULO RESPALDO'!I289^2)+'BLAZE SHIELD II'!$D$8*'HOJA DE CÁLCULO RESPALDO'!I289+'BLAZE SHIELD II'!$D$9)),0),0),0))+(IF(L289="Blaze Shield II",IF(M289="Idiem software",IF(C289="Cj",((('BLAZE SHIELD II'!$H$4*('HOJA DE CÁLCULO RESPALDO'!I289^2)+'BLAZE SHIELD II'!$H$5*'HOJA DE CÁLCULO RESPALDO'!I289+'BLAZE SHIELD II'!$H$6)*LN(J289))+('BLAZE SHIELD II'!$H$7*('HOJA DE CÁLCULO RESPALDO'!I289^2)+'BLAZE SHIELD II'!$H$8*'HOJA DE CÁLCULO RESPALDO'!I289+'BLAZE SHIELD II'!$H$9)),0),0),0))+(IF(L289="Blaze Shield II",IF(M289="Idiem software",IF(C289="C",((('BLAZE SHIELD II'!$L$4*('HOJA DE CÁLCULO RESPALDO'!I289^2)+'BLAZE SHIELD II'!$L$5*'HOJA DE CÁLCULO RESPALDO'!I289+'BLAZE SHIELD II'!$L$6)*LN(J289))+('BLAZE SHIELD II'!$L$7*('HOJA DE CÁLCULO RESPALDO'!I289^2)+'BLAZE SHIELD II'!$L$8*'HOJA DE CÁLCULO RESPALDO'!I289+'BLAZE SHIELD II'!$L$9)),0),0),0))+(IF(L289="Blaze Shield II",IF(M289="Idiem software",IF(AND(C289="IN",G289=3),((('BLAZE SHIELD II'!$H$14*('HOJA DE CÁLCULO RESPALDO'!I289^2)+'BLAZE SHIELD II'!$H$15*'HOJA DE CÁLCULO RESPALDO'!I289+'BLAZE SHIELD II'!$H$16)*LN(J289))+('BLAZE SHIELD II'!$H$17*('HOJA DE CÁLCULO RESPALDO'!I289^2)+'BLAZE SHIELD II'!$H$18*'HOJA DE CÁLCULO RESPALDO'!I289+'BLAZE SHIELD II'!$H$19)),0),0),0)),0)</f>
        <v>0</v>
      </c>
      <c r="O289" s="46">
        <f t="shared" si="32"/>
        <v>0</v>
      </c>
      <c r="P289" s="80">
        <f t="shared" si="29"/>
        <v>0</v>
      </c>
      <c r="Q289" s="85">
        <f>ROUND((IF(L289="Cafco 400",IF(M289="Idiem software",IF(AND(C289="IN",G289=4),((('CAFCO 400 '!$H$7*(J289^4)+'CAFCO 400 '!$H$8*(J289^3)+'CAFCO 400 '!$H$9*(J289^2)+'CAFCO 400 '!$H$10*J289+'CAFCO 400 '!$H$11)*I289^2)+(('CAFCO 400 '!$H$12*(J289^3)+'CAFCO 400 '!$H$13*(J289^2)+'CAFCO 400 '!$H$14*J289+'CAFCO 400 '!$H$15)*I289)+('CAFCO 400 '!$H$16*(J289^2)+'CAFCO 400 '!$H$17*J289+'CAFCO 400 '!$H$18)),0),0),0))+(IF(L289="Cafco 400",IF(M289="Idiem software",IF(C289="Cj",(((('CAFCO 400 '!$D$7*LN(J289)+'CAFCO 400 '!$D$8)*I289^2)+(('CAFCO 400 '!$D$9*LN(J289)+'CAFCO 400 '!$D$10)*I289)+('CAFCO 400 '!$D$11*LN(J289)+'CAFCO 400 '!$D$12))),0),0),0))+(IF(L289="Cafco 400",IF(M289="Idiem software",IF(C289="C",((('CAFCO 400 '!$L$7*(J289^3)+'CAFCO 400 '!$L$8*(J289^2)+'CAFCO 400 '!$L$9*J289+'CAFCO 400 '!$L$10)*I289^2)+(('CAFCO 400 '!$L$11*(J289^3)+'CAFCO 400 '!$L$12*(J289^2)+'CAFCO 400 '!$L$13*J289+'CAFCO 400 '!$L$14)*I289)+('CAFCO 400 '!$L$15*LN(J289)+'CAFCO 400 '!$L$16)),0),0),0))+(IF(L289="Cafco 400",IF(M289="Idiem software",IF(AND(C289="IN",G289=3),((('CAFCO 400 '!$D$23*(J289^2)+'CAFCO 400 '!$D$24*(J289)+'CAFCO 400 '!$D$25)*I289^2)+(('CAFCO 400 '!$D$26*(J289^2)+'CAFCO 400 '!$D$27*J289+'CAFCO 400 '!$D$28)*I289)+('CAFCO 400 '!$D$29*(J289^2)+'CAFCO 400 '!$D$30*J289+'CAFCO 400 '!$D$31)),0),0),0)),0)</f>
        <v>0</v>
      </c>
      <c r="R289" s="47">
        <f t="shared" si="33"/>
        <v>0</v>
      </c>
      <c r="S289" s="82">
        <f t="shared" si="30"/>
        <v>0</v>
      </c>
      <c r="T289" s="81">
        <f>+IF(AND(J289&gt;=95,J289&lt;=240),IF(AND(C289="Cj",I289=90),VLOOKUP(W289,'CAFCO 300 IDIEM TABLAS'!$B$4:$D$23,2,FALSE),0)+IF(AND(J289&gt;=95,J289&lt;=240),IF(AND(C289="Cj",I289=120),VLOOKUP(W289,'CAFCO 300 IDIEM TABLAS'!$B$4:$D$23,3,FALSE),0))+IF(AND(J289&gt;=95,J289&lt;=400,G289=3),IF(AND(C289="IN",I289=90),VLOOKUP(W289,'CAFCO 300 IDIEM TABLAS'!$F$4:$H$35,2,FALSE),0),0)+IF(AND(J289&gt;=95,J289&lt;=400,G289=3),IF(AND(C289="IN",I289=120),VLOOKUP(W289,'CAFCO 300 IDIEM TABLAS'!$F$4:$H$35,3,FALSE),0),0)+IF(AND(J289&gt;=95,J289&lt;=450,G289=4),IF(AND(C289="IN",I289=90),VLOOKUP(W289,'CAFCO 300 IDIEM TABLAS'!$J$4:$L$40,2,FALSE),0),0)+IF(AND(J289&gt;=95,J289&lt;=450,G289=4),IF(AND(C289="IN",I289=120),VLOOKUP(W289,'CAFCO 300 IDIEM TABLAS'!$J$4:$L$40,3,FALSE),0),0))</f>
        <v>17</v>
      </c>
      <c r="U289" s="48">
        <f t="shared" si="34"/>
        <v>3.6017467907573808</v>
      </c>
      <c r="V289" s="82">
        <f t="shared" si="31"/>
        <v>54076.626316431313</v>
      </c>
      <c r="W289" s="64">
        <f>+IF(J289=LOOKUP(J289,'CAFCO 300 IDIEM TABLAS'!$J$4:$J$40),'HOJA DE CÁLCULO RESPALDO'!J289,MROUND('HOJA DE CÁLCULO RESPALDO'!J289,10))</f>
        <v>95</v>
      </c>
      <c r="X289" s="36"/>
      <c r="Y289" s="4"/>
    </row>
    <row r="290" spans="1:25" ht="15.6" customHeight="1" x14ac:dyDescent="0.25">
      <c r="A290" s="2" t="s">
        <v>49</v>
      </c>
      <c r="B290" s="3" t="s">
        <v>17</v>
      </c>
      <c r="C290" s="3" t="s">
        <v>19</v>
      </c>
      <c r="D290" s="3">
        <v>1</v>
      </c>
      <c r="E290" s="2">
        <v>1</v>
      </c>
      <c r="F290" s="8">
        <v>4250</v>
      </c>
      <c r="G290" s="1">
        <v>4</v>
      </c>
      <c r="H290" s="2">
        <v>1181</v>
      </c>
      <c r="I290" s="34">
        <v>90</v>
      </c>
      <c r="J290" s="11">
        <v>95</v>
      </c>
      <c r="K290" s="44">
        <f t="shared" si="28"/>
        <v>5.0192500000000004</v>
      </c>
      <c r="L290" s="3" t="s">
        <v>61</v>
      </c>
      <c r="M290" s="3" t="s">
        <v>70</v>
      </c>
      <c r="N290" s="15">
        <f>ROUND((IF(L290="Blaze Shield II",IF(M290="Idiem software",IF(AND(C290="IN",G290=4),((('BLAZE SHIELD II'!$D$4*('HOJA DE CÁLCULO RESPALDO'!I290^2)+'BLAZE SHIELD II'!$D$5*'HOJA DE CÁLCULO RESPALDO'!I290+'BLAZE SHIELD II'!$D$6)*LN(J290))+('BLAZE SHIELD II'!$D$7*('HOJA DE CÁLCULO RESPALDO'!I290^2)+'BLAZE SHIELD II'!$D$8*'HOJA DE CÁLCULO RESPALDO'!I290+'BLAZE SHIELD II'!$D$9)),0),0),0))+(IF(L290="Blaze Shield II",IF(M290="Idiem software",IF(C290="Cj",((('BLAZE SHIELD II'!$H$4*('HOJA DE CÁLCULO RESPALDO'!I290^2)+'BLAZE SHIELD II'!$H$5*'HOJA DE CÁLCULO RESPALDO'!I290+'BLAZE SHIELD II'!$H$6)*LN(J290))+('BLAZE SHIELD II'!$H$7*('HOJA DE CÁLCULO RESPALDO'!I290^2)+'BLAZE SHIELD II'!$H$8*'HOJA DE CÁLCULO RESPALDO'!I290+'BLAZE SHIELD II'!$H$9)),0),0),0))+(IF(L290="Blaze Shield II",IF(M290="Idiem software",IF(C290="C",((('BLAZE SHIELD II'!$L$4*('HOJA DE CÁLCULO RESPALDO'!I290^2)+'BLAZE SHIELD II'!$L$5*'HOJA DE CÁLCULO RESPALDO'!I290+'BLAZE SHIELD II'!$L$6)*LN(J290))+('BLAZE SHIELD II'!$L$7*('HOJA DE CÁLCULO RESPALDO'!I290^2)+'BLAZE SHIELD II'!$L$8*'HOJA DE CÁLCULO RESPALDO'!I290+'BLAZE SHIELD II'!$L$9)),0),0),0))+(IF(L290="Blaze Shield II",IF(M290="Idiem software",IF(AND(C290="IN",G290=3),((('BLAZE SHIELD II'!$H$14*('HOJA DE CÁLCULO RESPALDO'!I290^2)+'BLAZE SHIELD II'!$H$15*'HOJA DE CÁLCULO RESPALDO'!I290+'BLAZE SHIELD II'!$H$16)*LN(J290))+('BLAZE SHIELD II'!$H$17*('HOJA DE CÁLCULO RESPALDO'!I290^2)+'BLAZE SHIELD II'!$H$18*'HOJA DE CÁLCULO RESPALDO'!I290+'BLAZE SHIELD II'!$H$19)),0),0),0)),0)</f>
        <v>0</v>
      </c>
      <c r="O290" s="46">
        <f t="shared" si="32"/>
        <v>0</v>
      </c>
      <c r="P290" s="80">
        <f t="shared" si="29"/>
        <v>0</v>
      </c>
      <c r="Q290" s="85">
        <f>ROUND((IF(L290="Cafco 400",IF(M290="Idiem software",IF(AND(C290="IN",G290=4),((('CAFCO 400 '!$H$7*(J290^4)+'CAFCO 400 '!$H$8*(J290^3)+'CAFCO 400 '!$H$9*(J290^2)+'CAFCO 400 '!$H$10*J290+'CAFCO 400 '!$H$11)*I290^2)+(('CAFCO 400 '!$H$12*(J290^3)+'CAFCO 400 '!$H$13*(J290^2)+'CAFCO 400 '!$H$14*J290+'CAFCO 400 '!$H$15)*I290)+('CAFCO 400 '!$H$16*(J290^2)+'CAFCO 400 '!$H$17*J290+'CAFCO 400 '!$H$18)),0),0),0))+(IF(L290="Cafco 400",IF(M290="Idiem software",IF(C290="Cj",(((('CAFCO 400 '!$D$7*LN(J290)+'CAFCO 400 '!$D$8)*I290^2)+(('CAFCO 400 '!$D$9*LN(J290)+'CAFCO 400 '!$D$10)*I290)+('CAFCO 400 '!$D$11*LN(J290)+'CAFCO 400 '!$D$12))),0),0),0))+(IF(L290="Cafco 400",IF(M290="Idiem software",IF(C290="C",((('CAFCO 400 '!$L$7*(J290^3)+'CAFCO 400 '!$L$8*(J290^2)+'CAFCO 400 '!$L$9*J290+'CAFCO 400 '!$L$10)*I290^2)+(('CAFCO 400 '!$L$11*(J290^3)+'CAFCO 400 '!$L$12*(J290^2)+'CAFCO 400 '!$L$13*J290+'CAFCO 400 '!$L$14)*I290)+('CAFCO 400 '!$L$15*LN(J290)+'CAFCO 400 '!$L$16)),0),0),0))+(IF(L290="Cafco 400",IF(M290="Idiem software",IF(AND(C290="IN",G290=3),((('CAFCO 400 '!$D$23*(J290^2)+'CAFCO 400 '!$D$24*(J290)+'CAFCO 400 '!$D$25)*I290^2)+(('CAFCO 400 '!$D$26*(J290^2)+'CAFCO 400 '!$D$27*J290+'CAFCO 400 '!$D$28)*I290)+('CAFCO 400 '!$D$29*(J290^2)+'CAFCO 400 '!$D$30*J290+'CAFCO 400 '!$D$31)),0),0),0)),0)</f>
        <v>0</v>
      </c>
      <c r="R290" s="47">
        <f t="shared" si="33"/>
        <v>0</v>
      </c>
      <c r="S290" s="82">
        <f t="shared" si="30"/>
        <v>0</v>
      </c>
      <c r="T290" s="81">
        <f>+IF(AND(J290&gt;=95,J290&lt;=240),IF(AND(C290="Cj",I290=90),VLOOKUP(W290,'CAFCO 300 IDIEM TABLAS'!$B$4:$D$23,2,FALSE),0)+IF(AND(J290&gt;=95,J290&lt;=240),IF(AND(C290="Cj",I290=120),VLOOKUP(W290,'CAFCO 300 IDIEM TABLAS'!$B$4:$D$23,3,FALSE),0))+IF(AND(J290&gt;=95,J290&lt;=400,G290=3),IF(AND(C290="IN",I290=90),VLOOKUP(W290,'CAFCO 300 IDIEM TABLAS'!$F$4:$H$35,2,FALSE),0),0)+IF(AND(J290&gt;=95,J290&lt;=400,G290=3),IF(AND(C290="IN",I290=120),VLOOKUP(W290,'CAFCO 300 IDIEM TABLAS'!$F$4:$H$35,3,FALSE),0),0)+IF(AND(J290&gt;=95,J290&lt;=450,G290=4),IF(AND(C290="IN",I290=90),VLOOKUP(W290,'CAFCO 300 IDIEM TABLAS'!$J$4:$L$40,2,FALSE),0),0)+IF(AND(J290&gt;=95,J290&lt;=450,G290=4),IF(AND(C290="IN",I290=120),VLOOKUP(W290,'CAFCO 300 IDIEM TABLAS'!$J$4:$L$40,3,FALSE),0),0))</f>
        <v>17</v>
      </c>
      <c r="U290" s="48">
        <f t="shared" si="34"/>
        <v>1.177494143132221</v>
      </c>
      <c r="V290" s="82">
        <f t="shared" si="31"/>
        <v>17678.897064987166</v>
      </c>
      <c r="W290" s="64">
        <f>+IF(J290=LOOKUP(J290,'CAFCO 300 IDIEM TABLAS'!$J$4:$J$40),'HOJA DE CÁLCULO RESPALDO'!J290,MROUND('HOJA DE CÁLCULO RESPALDO'!J290,10))</f>
        <v>95</v>
      </c>
      <c r="X290" s="36"/>
      <c r="Y290" s="4"/>
    </row>
    <row r="291" spans="1:25" x14ac:dyDescent="0.25">
      <c r="A291" s="2" t="s">
        <v>49</v>
      </c>
      <c r="B291" s="3" t="s">
        <v>17</v>
      </c>
      <c r="C291" s="3" t="s">
        <v>19</v>
      </c>
      <c r="D291" s="3">
        <v>1</v>
      </c>
      <c r="E291" s="2">
        <v>1</v>
      </c>
      <c r="F291" s="8">
        <v>8500</v>
      </c>
      <c r="G291" s="1">
        <v>4</v>
      </c>
      <c r="H291" s="2">
        <v>1181</v>
      </c>
      <c r="I291" s="34">
        <v>90</v>
      </c>
      <c r="J291" s="11">
        <v>95</v>
      </c>
      <c r="K291" s="44">
        <f t="shared" si="28"/>
        <v>10.038500000000001</v>
      </c>
      <c r="L291" s="3" t="s">
        <v>61</v>
      </c>
      <c r="M291" s="3" t="s">
        <v>70</v>
      </c>
      <c r="N291" s="15">
        <f>ROUND((IF(L291="Blaze Shield II",IF(M291="Idiem software",IF(AND(C291="IN",G291=4),((('BLAZE SHIELD II'!$D$4*('HOJA DE CÁLCULO RESPALDO'!I291^2)+'BLAZE SHIELD II'!$D$5*'HOJA DE CÁLCULO RESPALDO'!I291+'BLAZE SHIELD II'!$D$6)*LN(J291))+('BLAZE SHIELD II'!$D$7*('HOJA DE CÁLCULO RESPALDO'!I291^2)+'BLAZE SHIELD II'!$D$8*'HOJA DE CÁLCULO RESPALDO'!I291+'BLAZE SHIELD II'!$D$9)),0),0),0))+(IF(L291="Blaze Shield II",IF(M291="Idiem software",IF(C291="Cj",((('BLAZE SHIELD II'!$H$4*('HOJA DE CÁLCULO RESPALDO'!I291^2)+'BLAZE SHIELD II'!$H$5*'HOJA DE CÁLCULO RESPALDO'!I291+'BLAZE SHIELD II'!$H$6)*LN(J291))+('BLAZE SHIELD II'!$H$7*('HOJA DE CÁLCULO RESPALDO'!I291^2)+'BLAZE SHIELD II'!$H$8*'HOJA DE CÁLCULO RESPALDO'!I291+'BLAZE SHIELD II'!$H$9)),0),0),0))+(IF(L291="Blaze Shield II",IF(M291="Idiem software",IF(C291="C",((('BLAZE SHIELD II'!$L$4*('HOJA DE CÁLCULO RESPALDO'!I291^2)+'BLAZE SHIELD II'!$L$5*'HOJA DE CÁLCULO RESPALDO'!I291+'BLAZE SHIELD II'!$L$6)*LN(J291))+('BLAZE SHIELD II'!$L$7*('HOJA DE CÁLCULO RESPALDO'!I291^2)+'BLAZE SHIELD II'!$L$8*'HOJA DE CÁLCULO RESPALDO'!I291+'BLAZE SHIELD II'!$L$9)),0),0),0))+(IF(L291="Blaze Shield II",IF(M291="Idiem software",IF(AND(C291="IN",G291=3),((('BLAZE SHIELD II'!$H$14*('HOJA DE CÁLCULO RESPALDO'!I291^2)+'BLAZE SHIELD II'!$H$15*'HOJA DE CÁLCULO RESPALDO'!I291+'BLAZE SHIELD II'!$H$16)*LN(J291))+('BLAZE SHIELD II'!$H$17*('HOJA DE CÁLCULO RESPALDO'!I291^2)+'BLAZE SHIELD II'!$H$18*'HOJA DE CÁLCULO RESPALDO'!I291+'BLAZE SHIELD II'!$H$19)),0),0),0)),0)</f>
        <v>0</v>
      </c>
      <c r="O291" s="46">
        <f t="shared" si="32"/>
        <v>0</v>
      </c>
      <c r="P291" s="80">
        <f t="shared" si="29"/>
        <v>0</v>
      </c>
      <c r="Q291" s="85">
        <f>ROUND((IF(L291="Cafco 400",IF(M291="Idiem software",IF(AND(C291="IN",G291=4),((('CAFCO 400 '!$H$7*(J291^4)+'CAFCO 400 '!$H$8*(J291^3)+'CAFCO 400 '!$H$9*(J291^2)+'CAFCO 400 '!$H$10*J291+'CAFCO 400 '!$H$11)*I291^2)+(('CAFCO 400 '!$H$12*(J291^3)+'CAFCO 400 '!$H$13*(J291^2)+'CAFCO 400 '!$H$14*J291+'CAFCO 400 '!$H$15)*I291)+('CAFCO 400 '!$H$16*(J291^2)+'CAFCO 400 '!$H$17*J291+'CAFCO 400 '!$H$18)),0),0),0))+(IF(L291="Cafco 400",IF(M291="Idiem software",IF(C291="Cj",(((('CAFCO 400 '!$D$7*LN(J291)+'CAFCO 400 '!$D$8)*I291^2)+(('CAFCO 400 '!$D$9*LN(J291)+'CAFCO 400 '!$D$10)*I291)+('CAFCO 400 '!$D$11*LN(J291)+'CAFCO 400 '!$D$12))),0),0),0))+(IF(L291="Cafco 400",IF(M291="Idiem software",IF(C291="C",((('CAFCO 400 '!$L$7*(J291^3)+'CAFCO 400 '!$L$8*(J291^2)+'CAFCO 400 '!$L$9*J291+'CAFCO 400 '!$L$10)*I291^2)+(('CAFCO 400 '!$L$11*(J291^3)+'CAFCO 400 '!$L$12*(J291^2)+'CAFCO 400 '!$L$13*J291+'CAFCO 400 '!$L$14)*I291)+('CAFCO 400 '!$L$15*LN(J291)+'CAFCO 400 '!$L$16)),0),0),0))+(IF(L291="Cafco 400",IF(M291="Idiem software",IF(AND(C291="IN",G291=3),((('CAFCO 400 '!$D$23*(J291^2)+'CAFCO 400 '!$D$24*(J291)+'CAFCO 400 '!$D$25)*I291^2)+(('CAFCO 400 '!$D$26*(J291^2)+'CAFCO 400 '!$D$27*J291+'CAFCO 400 '!$D$28)*I291)+('CAFCO 400 '!$D$29*(J291^2)+'CAFCO 400 '!$D$30*J291+'CAFCO 400 '!$D$31)),0),0),0)),0)</f>
        <v>0</v>
      </c>
      <c r="R291" s="47">
        <f t="shared" si="33"/>
        <v>0</v>
      </c>
      <c r="S291" s="82">
        <f t="shared" si="30"/>
        <v>0</v>
      </c>
      <c r="T291" s="81">
        <f>+IF(AND(J291&gt;=95,J291&lt;=240),IF(AND(C291="Cj",I291=90),VLOOKUP(W291,'CAFCO 300 IDIEM TABLAS'!$B$4:$D$23,2,FALSE),0)+IF(AND(J291&gt;=95,J291&lt;=240),IF(AND(C291="Cj",I291=120),VLOOKUP(W291,'CAFCO 300 IDIEM TABLAS'!$B$4:$D$23,3,FALSE),0))+IF(AND(J291&gt;=95,J291&lt;=400,G291=3),IF(AND(C291="IN",I291=90),VLOOKUP(W291,'CAFCO 300 IDIEM TABLAS'!$F$4:$H$35,2,FALSE),0),0)+IF(AND(J291&gt;=95,J291&lt;=400,G291=3),IF(AND(C291="IN",I291=120),VLOOKUP(W291,'CAFCO 300 IDIEM TABLAS'!$F$4:$H$35,3,FALSE),0),0)+IF(AND(J291&gt;=95,J291&lt;=450,G291=4),IF(AND(C291="IN",I291=90),VLOOKUP(W291,'CAFCO 300 IDIEM TABLAS'!$J$4:$L$40,2,FALSE),0),0)+IF(AND(J291&gt;=95,J291&lt;=450,G291=4),IF(AND(C291="IN",I291=120),VLOOKUP(W291,'CAFCO 300 IDIEM TABLAS'!$J$4:$L$40,3,FALSE),0),0))</f>
        <v>17</v>
      </c>
      <c r="U291" s="48">
        <f t="shared" si="34"/>
        <v>2.354988286264442</v>
      </c>
      <c r="V291" s="82">
        <f t="shared" si="31"/>
        <v>35357.794129974332</v>
      </c>
      <c r="W291" s="64">
        <f>+IF(J291=LOOKUP(J291,'CAFCO 300 IDIEM TABLAS'!$J$4:$J$40),'HOJA DE CÁLCULO RESPALDO'!J291,MROUND('HOJA DE CÁLCULO RESPALDO'!J291,10))</f>
        <v>95</v>
      </c>
      <c r="X291" s="36"/>
      <c r="Y291" s="4"/>
    </row>
    <row r="292" spans="1:25" ht="15.6" customHeight="1" x14ac:dyDescent="0.25">
      <c r="A292" s="2" t="s">
        <v>52</v>
      </c>
      <c r="B292" s="3" t="s">
        <v>17</v>
      </c>
      <c r="C292" s="3" t="s">
        <v>19</v>
      </c>
      <c r="D292" s="3">
        <v>1</v>
      </c>
      <c r="E292" s="2">
        <v>1</v>
      </c>
      <c r="F292" s="8">
        <v>103000</v>
      </c>
      <c r="G292" s="1">
        <v>4</v>
      </c>
      <c r="H292" s="2">
        <v>1190</v>
      </c>
      <c r="I292" s="34">
        <v>90</v>
      </c>
      <c r="J292" s="11">
        <v>95</v>
      </c>
      <c r="K292" s="44">
        <f t="shared" si="28"/>
        <v>122.57</v>
      </c>
      <c r="L292" s="3" t="s">
        <v>61</v>
      </c>
      <c r="M292" s="3" t="s">
        <v>70</v>
      </c>
      <c r="N292" s="15">
        <f>ROUND((IF(L292="Blaze Shield II",IF(M292="Idiem software",IF(AND(C292="IN",G292=4),((('BLAZE SHIELD II'!$D$4*('HOJA DE CÁLCULO RESPALDO'!I292^2)+'BLAZE SHIELD II'!$D$5*'HOJA DE CÁLCULO RESPALDO'!I292+'BLAZE SHIELD II'!$D$6)*LN(J292))+('BLAZE SHIELD II'!$D$7*('HOJA DE CÁLCULO RESPALDO'!I292^2)+'BLAZE SHIELD II'!$D$8*'HOJA DE CÁLCULO RESPALDO'!I292+'BLAZE SHIELD II'!$D$9)),0),0),0))+(IF(L292="Blaze Shield II",IF(M292="Idiem software",IF(C292="Cj",((('BLAZE SHIELD II'!$H$4*('HOJA DE CÁLCULO RESPALDO'!I292^2)+'BLAZE SHIELD II'!$H$5*'HOJA DE CÁLCULO RESPALDO'!I292+'BLAZE SHIELD II'!$H$6)*LN(J292))+('BLAZE SHIELD II'!$H$7*('HOJA DE CÁLCULO RESPALDO'!I292^2)+'BLAZE SHIELD II'!$H$8*'HOJA DE CÁLCULO RESPALDO'!I292+'BLAZE SHIELD II'!$H$9)),0),0),0))+(IF(L292="Blaze Shield II",IF(M292="Idiem software",IF(C292="C",((('BLAZE SHIELD II'!$L$4*('HOJA DE CÁLCULO RESPALDO'!I292^2)+'BLAZE SHIELD II'!$L$5*'HOJA DE CÁLCULO RESPALDO'!I292+'BLAZE SHIELD II'!$L$6)*LN(J292))+('BLAZE SHIELD II'!$L$7*('HOJA DE CÁLCULO RESPALDO'!I292^2)+'BLAZE SHIELD II'!$L$8*'HOJA DE CÁLCULO RESPALDO'!I292+'BLAZE SHIELD II'!$L$9)),0),0),0))+(IF(L292="Blaze Shield II",IF(M292="Idiem software",IF(AND(C292="IN",G292=3),((('BLAZE SHIELD II'!$H$14*('HOJA DE CÁLCULO RESPALDO'!I292^2)+'BLAZE SHIELD II'!$H$15*'HOJA DE CÁLCULO RESPALDO'!I292+'BLAZE SHIELD II'!$H$16)*LN(J292))+('BLAZE SHIELD II'!$H$17*('HOJA DE CÁLCULO RESPALDO'!I292^2)+'BLAZE SHIELD II'!$H$18*'HOJA DE CÁLCULO RESPALDO'!I292+'BLAZE SHIELD II'!$H$19)),0),0),0)),0)</f>
        <v>0</v>
      </c>
      <c r="O292" s="46">
        <f t="shared" si="32"/>
        <v>0</v>
      </c>
      <c r="P292" s="80">
        <f t="shared" si="29"/>
        <v>0</v>
      </c>
      <c r="Q292" s="85">
        <f>ROUND((IF(L292="Cafco 400",IF(M292="Idiem software",IF(AND(C292="IN",G292=4),((('CAFCO 400 '!$H$7*(J292^4)+'CAFCO 400 '!$H$8*(J292^3)+'CAFCO 400 '!$H$9*(J292^2)+'CAFCO 400 '!$H$10*J292+'CAFCO 400 '!$H$11)*I292^2)+(('CAFCO 400 '!$H$12*(J292^3)+'CAFCO 400 '!$H$13*(J292^2)+'CAFCO 400 '!$H$14*J292+'CAFCO 400 '!$H$15)*I292)+('CAFCO 400 '!$H$16*(J292^2)+'CAFCO 400 '!$H$17*J292+'CAFCO 400 '!$H$18)),0),0),0))+(IF(L292="Cafco 400",IF(M292="Idiem software",IF(C292="Cj",(((('CAFCO 400 '!$D$7*LN(J292)+'CAFCO 400 '!$D$8)*I292^2)+(('CAFCO 400 '!$D$9*LN(J292)+'CAFCO 400 '!$D$10)*I292)+('CAFCO 400 '!$D$11*LN(J292)+'CAFCO 400 '!$D$12))),0),0),0))+(IF(L292="Cafco 400",IF(M292="Idiem software",IF(C292="C",((('CAFCO 400 '!$L$7*(J292^3)+'CAFCO 400 '!$L$8*(J292^2)+'CAFCO 400 '!$L$9*J292+'CAFCO 400 '!$L$10)*I292^2)+(('CAFCO 400 '!$L$11*(J292^3)+'CAFCO 400 '!$L$12*(J292^2)+'CAFCO 400 '!$L$13*J292+'CAFCO 400 '!$L$14)*I292)+('CAFCO 400 '!$L$15*LN(J292)+'CAFCO 400 '!$L$16)),0),0),0))+(IF(L292="Cafco 400",IF(M292="Idiem software",IF(AND(C292="IN",G292=3),((('CAFCO 400 '!$D$23*(J292^2)+'CAFCO 400 '!$D$24*(J292)+'CAFCO 400 '!$D$25)*I292^2)+(('CAFCO 400 '!$D$26*(J292^2)+'CAFCO 400 '!$D$27*J292+'CAFCO 400 '!$D$28)*I292)+('CAFCO 400 '!$D$29*(J292^2)+'CAFCO 400 '!$D$30*J292+'CAFCO 400 '!$D$31)),0),0),0)),0)</f>
        <v>0</v>
      </c>
      <c r="R292" s="47">
        <f t="shared" si="33"/>
        <v>0</v>
      </c>
      <c r="S292" s="82">
        <f t="shared" si="30"/>
        <v>0</v>
      </c>
      <c r="T292" s="81">
        <f>+IF(AND(J292&gt;=95,J292&lt;=240),IF(AND(C292="Cj",I292=90),VLOOKUP(W292,'CAFCO 300 IDIEM TABLAS'!$B$4:$D$23,2,FALSE),0)+IF(AND(J292&gt;=95,J292&lt;=240),IF(AND(C292="Cj",I292=120),VLOOKUP(W292,'CAFCO 300 IDIEM TABLAS'!$B$4:$D$23,3,FALSE),0))+IF(AND(J292&gt;=95,J292&lt;=400,G292=3),IF(AND(C292="IN",I292=90),VLOOKUP(W292,'CAFCO 300 IDIEM TABLAS'!$F$4:$H$35,2,FALSE),0),0)+IF(AND(J292&gt;=95,J292&lt;=400,G292=3),IF(AND(C292="IN",I292=120),VLOOKUP(W292,'CAFCO 300 IDIEM TABLAS'!$F$4:$H$35,3,FALSE),0),0)+IF(AND(J292&gt;=95,J292&lt;=450,G292=4),IF(AND(C292="IN",I292=90),VLOOKUP(W292,'CAFCO 300 IDIEM TABLAS'!$J$4:$L$40,2,FALSE),0),0)+IF(AND(J292&gt;=95,J292&lt;=450,G292=4),IF(AND(C292="IN",I292=120),VLOOKUP(W292,'CAFCO 300 IDIEM TABLAS'!$J$4:$L$40,3,FALSE),0),0))</f>
        <v>17</v>
      </c>
      <c r="U292" s="48">
        <f t="shared" si="34"/>
        <v>28.754387034659821</v>
      </c>
      <c r="V292" s="82">
        <f t="shared" si="31"/>
        <v>431718.36693838256</v>
      </c>
      <c r="W292" s="64">
        <f>+IF(J292=LOOKUP(J292,'CAFCO 300 IDIEM TABLAS'!$J$4:$J$40),'HOJA DE CÁLCULO RESPALDO'!J292,MROUND('HOJA DE CÁLCULO RESPALDO'!J292,10))</f>
        <v>95</v>
      </c>
      <c r="X292" s="36"/>
      <c r="Y292" s="4"/>
    </row>
    <row r="293" spans="1:25" x14ac:dyDescent="0.25">
      <c r="A293" s="2" t="s">
        <v>52</v>
      </c>
      <c r="B293" s="3" t="s">
        <v>17</v>
      </c>
      <c r="C293" s="3" t="s">
        <v>19</v>
      </c>
      <c r="D293" s="3">
        <v>1</v>
      </c>
      <c r="E293" s="2">
        <v>1</v>
      </c>
      <c r="F293" s="8">
        <v>12750</v>
      </c>
      <c r="G293" s="1">
        <v>4</v>
      </c>
      <c r="H293" s="2">
        <v>1181</v>
      </c>
      <c r="I293" s="34">
        <v>90</v>
      </c>
      <c r="J293" s="11">
        <v>95</v>
      </c>
      <c r="K293" s="44">
        <f t="shared" si="28"/>
        <v>15.05775</v>
      </c>
      <c r="L293" s="3" t="s">
        <v>61</v>
      </c>
      <c r="M293" s="3" t="s">
        <v>70</v>
      </c>
      <c r="N293" s="15">
        <f>ROUND((IF(L293="Blaze Shield II",IF(M293="Idiem software",IF(AND(C293="IN",G293=4),((('BLAZE SHIELD II'!$D$4*('HOJA DE CÁLCULO RESPALDO'!I293^2)+'BLAZE SHIELD II'!$D$5*'HOJA DE CÁLCULO RESPALDO'!I293+'BLAZE SHIELD II'!$D$6)*LN(J293))+('BLAZE SHIELD II'!$D$7*('HOJA DE CÁLCULO RESPALDO'!I293^2)+'BLAZE SHIELD II'!$D$8*'HOJA DE CÁLCULO RESPALDO'!I293+'BLAZE SHIELD II'!$D$9)),0),0),0))+(IF(L293="Blaze Shield II",IF(M293="Idiem software",IF(C293="Cj",((('BLAZE SHIELD II'!$H$4*('HOJA DE CÁLCULO RESPALDO'!I293^2)+'BLAZE SHIELD II'!$H$5*'HOJA DE CÁLCULO RESPALDO'!I293+'BLAZE SHIELD II'!$H$6)*LN(J293))+('BLAZE SHIELD II'!$H$7*('HOJA DE CÁLCULO RESPALDO'!I293^2)+'BLAZE SHIELD II'!$H$8*'HOJA DE CÁLCULO RESPALDO'!I293+'BLAZE SHIELD II'!$H$9)),0),0),0))+(IF(L293="Blaze Shield II",IF(M293="Idiem software",IF(C293="C",((('BLAZE SHIELD II'!$L$4*('HOJA DE CÁLCULO RESPALDO'!I293^2)+'BLAZE SHIELD II'!$L$5*'HOJA DE CÁLCULO RESPALDO'!I293+'BLAZE SHIELD II'!$L$6)*LN(J293))+('BLAZE SHIELD II'!$L$7*('HOJA DE CÁLCULO RESPALDO'!I293^2)+'BLAZE SHIELD II'!$L$8*'HOJA DE CÁLCULO RESPALDO'!I293+'BLAZE SHIELD II'!$L$9)),0),0),0))+(IF(L293="Blaze Shield II",IF(M293="Idiem software",IF(AND(C293="IN",G293=3),((('BLAZE SHIELD II'!$H$14*('HOJA DE CÁLCULO RESPALDO'!I293^2)+'BLAZE SHIELD II'!$H$15*'HOJA DE CÁLCULO RESPALDO'!I293+'BLAZE SHIELD II'!$H$16)*LN(J293))+('BLAZE SHIELD II'!$H$17*('HOJA DE CÁLCULO RESPALDO'!I293^2)+'BLAZE SHIELD II'!$H$18*'HOJA DE CÁLCULO RESPALDO'!I293+'BLAZE SHIELD II'!$H$19)),0),0),0)),0)</f>
        <v>0</v>
      </c>
      <c r="O293" s="46">
        <f t="shared" si="32"/>
        <v>0</v>
      </c>
      <c r="P293" s="80">
        <f t="shared" si="29"/>
        <v>0</v>
      </c>
      <c r="Q293" s="85">
        <f>ROUND((IF(L293="Cafco 400",IF(M293="Idiem software",IF(AND(C293="IN",G293=4),((('CAFCO 400 '!$H$7*(J293^4)+'CAFCO 400 '!$H$8*(J293^3)+'CAFCO 400 '!$H$9*(J293^2)+'CAFCO 400 '!$H$10*J293+'CAFCO 400 '!$H$11)*I293^2)+(('CAFCO 400 '!$H$12*(J293^3)+'CAFCO 400 '!$H$13*(J293^2)+'CAFCO 400 '!$H$14*J293+'CAFCO 400 '!$H$15)*I293)+('CAFCO 400 '!$H$16*(J293^2)+'CAFCO 400 '!$H$17*J293+'CAFCO 400 '!$H$18)),0),0),0))+(IF(L293="Cafco 400",IF(M293="Idiem software",IF(C293="Cj",(((('CAFCO 400 '!$D$7*LN(J293)+'CAFCO 400 '!$D$8)*I293^2)+(('CAFCO 400 '!$D$9*LN(J293)+'CAFCO 400 '!$D$10)*I293)+('CAFCO 400 '!$D$11*LN(J293)+'CAFCO 400 '!$D$12))),0),0),0))+(IF(L293="Cafco 400",IF(M293="Idiem software",IF(C293="C",((('CAFCO 400 '!$L$7*(J293^3)+'CAFCO 400 '!$L$8*(J293^2)+'CAFCO 400 '!$L$9*J293+'CAFCO 400 '!$L$10)*I293^2)+(('CAFCO 400 '!$L$11*(J293^3)+'CAFCO 400 '!$L$12*(J293^2)+'CAFCO 400 '!$L$13*J293+'CAFCO 400 '!$L$14)*I293)+('CAFCO 400 '!$L$15*LN(J293)+'CAFCO 400 '!$L$16)),0),0),0))+(IF(L293="Cafco 400",IF(M293="Idiem software",IF(AND(C293="IN",G293=3),((('CAFCO 400 '!$D$23*(J293^2)+'CAFCO 400 '!$D$24*(J293)+'CAFCO 400 '!$D$25)*I293^2)+(('CAFCO 400 '!$D$26*(J293^2)+'CAFCO 400 '!$D$27*J293+'CAFCO 400 '!$D$28)*I293)+('CAFCO 400 '!$D$29*(J293^2)+'CAFCO 400 '!$D$30*J293+'CAFCO 400 '!$D$31)),0),0),0)),0)</f>
        <v>0</v>
      </c>
      <c r="R293" s="47">
        <f t="shared" si="33"/>
        <v>0</v>
      </c>
      <c r="S293" s="82">
        <f t="shared" si="30"/>
        <v>0</v>
      </c>
      <c r="T293" s="81">
        <f>+IF(AND(J293&gt;=95,J293&lt;=240),IF(AND(C293="Cj",I293=90),VLOOKUP(W293,'CAFCO 300 IDIEM TABLAS'!$B$4:$D$23,2,FALSE),0)+IF(AND(J293&gt;=95,J293&lt;=240),IF(AND(C293="Cj",I293=120),VLOOKUP(W293,'CAFCO 300 IDIEM TABLAS'!$B$4:$D$23,3,FALSE),0))+IF(AND(J293&gt;=95,J293&lt;=400,G293=3),IF(AND(C293="IN",I293=90),VLOOKUP(W293,'CAFCO 300 IDIEM TABLAS'!$F$4:$H$35,2,FALSE),0),0)+IF(AND(J293&gt;=95,J293&lt;=400,G293=3),IF(AND(C293="IN",I293=120),VLOOKUP(W293,'CAFCO 300 IDIEM TABLAS'!$F$4:$H$35,3,FALSE),0),0)+IF(AND(J293&gt;=95,J293&lt;=450,G293=4),IF(AND(C293="IN",I293=90),VLOOKUP(W293,'CAFCO 300 IDIEM TABLAS'!$J$4:$L$40,2,FALSE),0),0)+IF(AND(J293&gt;=95,J293&lt;=450,G293=4),IF(AND(C293="IN",I293=120),VLOOKUP(W293,'CAFCO 300 IDIEM TABLAS'!$J$4:$L$40,3,FALSE),0),0))</f>
        <v>17</v>
      </c>
      <c r="U293" s="48">
        <f t="shared" si="34"/>
        <v>3.5324824293966626</v>
      </c>
      <c r="V293" s="82">
        <f t="shared" si="31"/>
        <v>53036.691194961495</v>
      </c>
      <c r="W293" s="64">
        <f>+IF(J293=LOOKUP(J293,'CAFCO 300 IDIEM TABLAS'!$J$4:$J$40),'HOJA DE CÁLCULO RESPALDO'!J293,MROUND('HOJA DE CÁLCULO RESPALDO'!J293,10))</f>
        <v>95</v>
      </c>
      <c r="X293" s="36"/>
      <c r="Y293" s="4"/>
    </row>
    <row r="294" spans="1:25" ht="15.6" customHeight="1" x14ac:dyDescent="0.25">
      <c r="A294" s="2" t="s">
        <v>52</v>
      </c>
      <c r="B294" s="3" t="s">
        <v>17</v>
      </c>
      <c r="C294" s="3" t="s">
        <v>19</v>
      </c>
      <c r="D294" s="3">
        <v>1</v>
      </c>
      <c r="E294" s="2">
        <v>1</v>
      </c>
      <c r="F294" s="8">
        <v>17500</v>
      </c>
      <c r="G294" s="1">
        <v>4</v>
      </c>
      <c r="H294" s="2">
        <v>1692</v>
      </c>
      <c r="I294" s="34">
        <v>90</v>
      </c>
      <c r="J294" s="11">
        <v>95</v>
      </c>
      <c r="K294" s="44">
        <f t="shared" si="28"/>
        <v>29.61</v>
      </c>
      <c r="L294" s="3" t="s">
        <v>61</v>
      </c>
      <c r="M294" s="3" t="s">
        <v>70</v>
      </c>
      <c r="N294" s="15">
        <f>ROUND((IF(L294="Blaze Shield II",IF(M294="Idiem software",IF(AND(C294="IN",G294=4),((('BLAZE SHIELD II'!$D$4*('HOJA DE CÁLCULO RESPALDO'!I294^2)+'BLAZE SHIELD II'!$D$5*'HOJA DE CÁLCULO RESPALDO'!I294+'BLAZE SHIELD II'!$D$6)*LN(J294))+('BLAZE SHIELD II'!$D$7*('HOJA DE CÁLCULO RESPALDO'!I294^2)+'BLAZE SHIELD II'!$D$8*'HOJA DE CÁLCULO RESPALDO'!I294+'BLAZE SHIELD II'!$D$9)),0),0),0))+(IF(L294="Blaze Shield II",IF(M294="Idiem software",IF(C294="Cj",((('BLAZE SHIELD II'!$H$4*('HOJA DE CÁLCULO RESPALDO'!I294^2)+'BLAZE SHIELD II'!$H$5*'HOJA DE CÁLCULO RESPALDO'!I294+'BLAZE SHIELD II'!$H$6)*LN(J294))+('BLAZE SHIELD II'!$H$7*('HOJA DE CÁLCULO RESPALDO'!I294^2)+'BLAZE SHIELD II'!$H$8*'HOJA DE CÁLCULO RESPALDO'!I294+'BLAZE SHIELD II'!$H$9)),0),0),0))+(IF(L294="Blaze Shield II",IF(M294="Idiem software",IF(C294="C",((('BLAZE SHIELD II'!$L$4*('HOJA DE CÁLCULO RESPALDO'!I294^2)+'BLAZE SHIELD II'!$L$5*'HOJA DE CÁLCULO RESPALDO'!I294+'BLAZE SHIELD II'!$L$6)*LN(J294))+('BLAZE SHIELD II'!$L$7*('HOJA DE CÁLCULO RESPALDO'!I294^2)+'BLAZE SHIELD II'!$L$8*'HOJA DE CÁLCULO RESPALDO'!I294+'BLAZE SHIELD II'!$L$9)),0),0),0))+(IF(L294="Blaze Shield II",IF(M294="Idiem software",IF(AND(C294="IN",G294=3),((('BLAZE SHIELD II'!$H$14*('HOJA DE CÁLCULO RESPALDO'!I294^2)+'BLAZE SHIELD II'!$H$15*'HOJA DE CÁLCULO RESPALDO'!I294+'BLAZE SHIELD II'!$H$16)*LN(J294))+('BLAZE SHIELD II'!$H$17*('HOJA DE CÁLCULO RESPALDO'!I294^2)+'BLAZE SHIELD II'!$H$18*'HOJA DE CÁLCULO RESPALDO'!I294+'BLAZE SHIELD II'!$H$19)),0),0),0)),0)</f>
        <v>0</v>
      </c>
      <c r="O294" s="46">
        <f t="shared" si="32"/>
        <v>0</v>
      </c>
      <c r="P294" s="80">
        <f t="shared" si="29"/>
        <v>0</v>
      </c>
      <c r="Q294" s="85">
        <f>ROUND((IF(L294="Cafco 400",IF(M294="Idiem software",IF(AND(C294="IN",G294=4),((('CAFCO 400 '!$H$7*(J294^4)+'CAFCO 400 '!$H$8*(J294^3)+'CAFCO 400 '!$H$9*(J294^2)+'CAFCO 400 '!$H$10*J294+'CAFCO 400 '!$H$11)*I294^2)+(('CAFCO 400 '!$H$12*(J294^3)+'CAFCO 400 '!$H$13*(J294^2)+'CAFCO 400 '!$H$14*J294+'CAFCO 400 '!$H$15)*I294)+('CAFCO 400 '!$H$16*(J294^2)+'CAFCO 400 '!$H$17*J294+'CAFCO 400 '!$H$18)),0),0),0))+(IF(L294="Cafco 400",IF(M294="Idiem software",IF(C294="Cj",(((('CAFCO 400 '!$D$7*LN(J294)+'CAFCO 400 '!$D$8)*I294^2)+(('CAFCO 400 '!$D$9*LN(J294)+'CAFCO 400 '!$D$10)*I294)+('CAFCO 400 '!$D$11*LN(J294)+'CAFCO 400 '!$D$12))),0),0),0))+(IF(L294="Cafco 400",IF(M294="Idiem software",IF(C294="C",((('CAFCO 400 '!$L$7*(J294^3)+'CAFCO 400 '!$L$8*(J294^2)+'CAFCO 400 '!$L$9*J294+'CAFCO 400 '!$L$10)*I294^2)+(('CAFCO 400 '!$L$11*(J294^3)+'CAFCO 400 '!$L$12*(J294^2)+'CAFCO 400 '!$L$13*J294+'CAFCO 400 '!$L$14)*I294)+('CAFCO 400 '!$L$15*LN(J294)+'CAFCO 400 '!$L$16)),0),0),0))+(IF(L294="Cafco 400",IF(M294="Idiem software",IF(AND(C294="IN",G294=3),((('CAFCO 400 '!$D$23*(J294^2)+'CAFCO 400 '!$D$24*(J294)+'CAFCO 400 '!$D$25)*I294^2)+(('CAFCO 400 '!$D$26*(J294^2)+'CAFCO 400 '!$D$27*J294+'CAFCO 400 '!$D$28)*I294)+('CAFCO 400 '!$D$29*(J294^2)+'CAFCO 400 '!$D$30*J294+'CAFCO 400 '!$D$31)),0),0),0)),0)</f>
        <v>0</v>
      </c>
      <c r="R294" s="47">
        <f t="shared" si="33"/>
        <v>0</v>
      </c>
      <c r="S294" s="82">
        <f t="shared" si="30"/>
        <v>0</v>
      </c>
      <c r="T294" s="81">
        <f>+IF(AND(J294&gt;=95,J294&lt;=240),IF(AND(C294="Cj",I294=90),VLOOKUP(W294,'CAFCO 300 IDIEM TABLAS'!$B$4:$D$23,2,FALSE),0)+IF(AND(J294&gt;=95,J294&lt;=240),IF(AND(C294="Cj",I294=120),VLOOKUP(W294,'CAFCO 300 IDIEM TABLAS'!$B$4:$D$23,3,FALSE),0))+IF(AND(J294&gt;=95,J294&lt;=400,G294=3),IF(AND(C294="IN",I294=90),VLOOKUP(W294,'CAFCO 300 IDIEM TABLAS'!$F$4:$H$35,2,FALSE),0),0)+IF(AND(J294&gt;=95,J294&lt;=400,G294=3),IF(AND(C294="IN",I294=120),VLOOKUP(W294,'CAFCO 300 IDIEM TABLAS'!$F$4:$H$35,3,FALSE),0),0)+IF(AND(J294&gt;=95,J294&lt;=450,G294=4),IF(AND(C294="IN",I294=90),VLOOKUP(W294,'CAFCO 300 IDIEM TABLAS'!$J$4:$L$40,2,FALSE),0),0)+IF(AND(J294&gt;=95,J294&lt;=450,G294=4),IF(AND(C294="IN",I294=120),VLOOKUP(W294,'CAFCO 300 IDIEM TABLAS'!$J$4:$L$40,3,FALSE),0),0))</f>
        <v>17</v>
      </c>
      <c r="U294" s="48">
        <f t="shared" si="34"/>
        <v>6.94637676508344</v>
      </c>
      <c r="V294" s="82">
        <f t="shared" si="31"/>
        <v>104292.90075096277</v>
      </c>
      <c r="W294" s="64">
        <f>+IF(J294=LOOKUP(J294,'CAFCO 300 IDIEM TABLAS'!$J$4:$J$40),'HOJA DE CÁLCULO RESPALDO'!J294,MROUND('HOJA DE CÁLCULO RESPALDO'!J294,10))</f>
        <v>95</v>
      </c>
      <c r="X294" s="36"/>
      <c r="Y294" s="4"/>
    </row>
    <row r="295" spans="1:25" x14ac:dyDescent="0.25">
      <c r="A295" s="2" t="s">
        <v>52</v>
      </c>
      <c r="B295" s="3" t="s">
        <v>17</v>
      </c>
      <c r="C295" s="3" t="s">
        <v>19</v>
      </c>
      <c r="D295" s="3">
        <v>1</v>
      </c>
      <c r="E295" s="2">
        <v>1</v>
      </c>
      <c r="F295" s="8">
        <v>8500</v>
      </c>
      <c r="G295" s="1">
        <v>4</v>
      </c>
      <c r="H295" s="2">
        <v>1502</v>
      </c>
      <c r="I295" s="34">
        <v>90</v>
      </c>
      <c r="J295" s="11">
        <v>95</v>
      </c>
      <c r="K295" s="44">
        <f t="shared" si="28"/>
        <v>12.766999999999999</v>
      </c>
      <c r="L295" s="3" t="s">
        <v>61</v>
      </c>
      <c r="M295" s="3" t="s">
        <v>70</v>
      </c>
      <c r="N295" s="15">
        <f>ROUND((IF(L295="Blaze Shield II",IF(M295="Idiem software",IF(AND(C295="IN",G295=4),((('BLAZE SHIELD II'!$D$4*('HOJA DE CÁLCULO RESPALDO'!I295^2)+'BLAZE SHIELD II'!$D$5*'HOJA DE CÁLCULO RESPALDO'!I295+'BLAZE SHIELD II'!$D$6)*LN(J295))+('BLAZE SHIELD II'!$D$7*('HOJA DE CÁLCULO RESPALDO'!I295^2)+'BLAZE SHIELD II'!$D$8*'HOJA DE CÁLCULO RESPALDO'!I295+'BLAZE SHIELD II'!$D$9)),0),0),0))+(IF(L295="Blaze Shield II",IF(M295="Idiem software",IF(C295="Cj",((('BLAZE SHIELD II'!$H$4*('HOJA DE CÁLCULO RESPALDO'!I295^2)+'BLAZE SHIELD II'!$H$5*'HOJA DE CÁLCULO RESPALDO'!I295+'BLAZE SHIELD II'!$H$6)*LN(J295))+('BLAZE SHIELD II'!$H$7*('HOJA DE CÁLCULO RESPALDO'!I295^2)+'BLAZE SHIELD II'!$H$8*'HOJA DE CÁLCULO RESPALDO'!I295+'BLAZE SHIELD II'!$H$9)),0),0),0))+(IF(L295="Blaze Shield II",IF(M295="Idiem software",IF(C295="C",((('BLAZE SHIELD II'!$L$4*('HOJA DE CÁLCULO RESPALDO'!I295^2)+'BLAZE SHIELD II'!$L$5*'HOJA DE CÁLCULO RESPALDO'!I295+'BLAZE SHIELD II'!$L$6)*LN(J295))+('BLAZE SHIELD II'!$L$7*('HOJA DE CÁLCULO RESPALDO'!I295^2)+'BLAZE SHIELD II'!$L$8*'HOJA DE CÁLCULO RESPALDO'!I295+'BLAZE SHIELD II'!$L$9)),0),0),0))+(IF(L295="Blaze Shield II",IF(M295="Idiem software",IF(AND(C295="IN",G295=3),((('BLAZE SHIELD II'!$H$14*('HOJA DE CÁLCULO RESPALDO'!I295^2)+'BLAZE SHIELD II'!$H$15*'HOJA DE CÁLCULO RESPALDO'!I295+'BLAZE SHIELD II'!$H$16)*LN(J295))+('BLAZE SHIELD II'!$H$17*('HOJA DE CÁLCULO RESPALDO'!I295^2)+'BLAZE SHIELD II'!$H$18*'HOJA DE CÁLCULO RESPALDO'!I295+'BLAZE SHIELD II'!$H$19)),0),0),0)),0)</f>
        <v>0</v>
      </c>
      <c r="O295" s="46">
        <f t="shared" si="32"/>
        <v>0</v>
      </c>
      <c r="P295" s="80">
        <f t="shared" si="29"/>
        <v>0</v>
      </c>
      <c r="Q295" s="85">
        <f>ROUND((IF(L295="Cafco 400",IF(M295="Idiem software",IF(AND(C295="IN",G295=4),((('CAFCO 400 '!$H$7*(J295^4)+'CAFCO 400 '!$H$8*(J295^3)+'CAFCO 400 '!$H$9*(J295^2)+'CAFCO 400 '!$H$10*J295+'CAFCO 400 '!$H$11)*I295^2)+(('CAFCO 400 '!$H$12*(J295^3)+'CAFCO 400 '!$H$13*(J295^2)+'CAFCO 400 '!$H$14*J295+'CAFCO 400 '!$H$15)*I295)+('CAFCO 400 '!$H$16*(J295^2)+'CAFCO 400 '!$H$17*J295+'CAFCO 400 '!$H$18)),0),0),0))+(IF(L295="Cafco 400",IF(M295="Idiem software",IF(C295="Cj",(((('CAFCO 400 '!$D$7*LN(J295)+'CAFCO 400 '!$D$8)*I295^2)+(('CAFCO 400 '!$D$9*LN(J295)+'CAFCO 400 '!$D$10)*I295)+('CAFCO 400 '!$D$11*LN(J295)+'CAFCO 400 '!$D$12))),0),0),0))+(IF(L295="Cafco 400",IF(M295="Idiem software",IF(C295="C",((('CAFCO 400 '!$L$7*(J295^3)+'CAFCO 400 '!$L$8*(J295^2)+'CAFCO 400 '!$L$9*J295+'CAFCO 400 '!$L$10)*I295^2)+(('CAFCO 400 '!$L$11*(J295^3)+'CAFCO 400 '!$L$12*(J295^2)+'CAFCO 400 '!$L$13*J295+'CAFCO 400 '!$L$14)*I295)+('CAFCO 400 '!$L$15*LN(J295)+'CAFCO 400 '!$L$16)),0),0),0))+(IF(L295="Cafco 400",IF(M295="Idiem software",IF(AND(C295="IN",G295=3),((('CAFCO 400 '!$D$23*(J295^2)+'CAFCO 400 '!$D$24*(J295)+'CAFCO 400 '!$D$25)*I295^2)+(('CAFCO 400 '!$D$26*(J295^2)+'CAFCO 400 '!$D$27*J295+'CAFCO 400 '!$D$28)*I295)+('CAFCO 400 '!$D$29*(J295^2)+'CAFCO 400 '!$D$30*J295+'CAFCO 400 '!$D$31)),0),0),0)),0)</f>
        <v>0</v>
      </c>
      <c r="R295" s="47">
        <f t="shared" si="33"/>
        <v>0</v>
      </c>
      <c r="S295" s="82">
        <f t="shared" si="30"/>
        <v>0</v>
      </c>
      <c r="T295" s="81">
        <f>+IF(AND(J295&gt;=95,J295&lt;=240),IF(AND(C295="Cj",I295=90),VLOOKUP(W295,'CAFCO 300 IDIEM TABLAS'!$B$4:$D$23,2,FALSE),0)+IF(AND(J295&gt;=95,J295&lt;=240),IF(AND(C295="Cj",I295=120),VLOOKUP(W295,'CAFCO 300 IDIEM TABLAS'!$B$4:$D$23,3,FALSE),0))+IF(AND(J295&gt;=95,J295&lt;=400,G295=3),IF(AND(C295="IN",I295=90),VLOOKUP(W295,'CAFCO 300 IDIEM TABLAS'!$F$4:$H$35,2,FALSE),0),0)+IF(AND(J295&gt;=95,J295&lt;=400,G295=3),IF(AND(C295="IN",I295=120),VLOOKUP(W295,'CAFCO 300 IDIEM TABLAS'!$F$4:$H$35,3,FALSE),0),0)+IF(AND(J295&gt;=95,J295&lt;=450,G295=4),IF(AND(C295="IN",I295=90),VLOOKUP(W295,'CAFCO 300 IDIEM TABLAS'!$J$4:$L$40,2,FALSE),0),0)+IF(AND(J295&gt;=95,J295&lt;=450,G295=4),IF(AND(C295="IN",I295=120),VLOOKUP(W295,'CAFCO 300 IDIEM TABLAS'!$J$4:$L$40,3,FALSE),0),0))</f>
        <v>17</v>
      </c>
      <c r="U295" s="48">
        <f t="shared" si="34"/>
        <v>2.9950824775353015</v>
      </c>
      <c r="V295" s="82">
        <f t="shared" si="31"/>
        <v>44968.168317715019</v>
      </c>
      <c r="W295" s="64">
        <f>+IF(J295=LOOKUP(J295,'CAFCO 300 IDIEM TABLAS'!$J$4:$J$40),'HOJA DE CÁLCULO RESPALDO'!J295,MROUND('HOJA DE CÁLCULO RESPALDO'!J295,10))</f>
        <v>95</v>
      </c>
      <c r="X295" s="36"/>
      <c r="Y295" s="4"/>
    </row>
    <row r="296" spans="1:25" ht="15.6" customHeight="1" x14ac:dyDescent="0.25">
      <c r="A296" s="2" t="s">
        <v>52</v>
      </c>
      <c r="B296" s="3" t="s">
        <v>17</v>
      </c>
      <c r="C296" s="3" t="s">
        <v>19</v>
      </c>
      <c r="D296" s="3">
        <v>1</v>
      </c>
      <c r="E296" s="2">
        <v>1</v>
      </c>
      <c r="F296" s="8">
        <v>17500</v>
      </c>
      <c r="G296" s="1">
        <v>4</v>
      </c>
      <c r="H296" s="2">
        <v>1692</v>
      </c>
      <c r="I296" s="34">
        <v>90</v>
      </c>
      <c r="J296" s="11">
        <v>95</v>
      </c>
      <c r="K296" s="44">
        <f t="shared" si="28"/>
        <v>29.61</v>
      </c>
      <c r="L296" s="3" t="s">
        <v>61</v>
      </c>
      <c r="M296" s="3" t="s">
        <v>70</v>
      </c>
      <c r="N296" s="15">
        <f>ROUND((IF(L296="Blaze Shield II",IF(M296="Idiem software",IF(AND(C296="IN",G296=4),((('BLAZE SHIELD II'!$D$4*('HOJA DE CÁLCULO RESPALDO'!I296^2)+'BLAZE SHIELD II'!$D$5*'HOJA DE CÁLCULO RESPALDO'!I296+'BLAZE SHIELD II'!$D$6)*LN(J296))+('BLAZE SHIELD II'!$D$7*('HOJA DE CÁLCULO RESPALDO'!I296^2)+'BLAZE SHIELD II'!$D$8*'HOJA DE CÁLCULO RESPALDO'!I296+'BLAZE SHIELD II'!$D$9)),0),0),0))+(IF(L296="Blaze Shield II",IF(M296="Idiem software",IF(C296="Cj",((('BLAZE SHIELD II'!$H$4*('HOJA DE CÁLCULO RESPALDO'!I296^2)+'BLAZE SHIELD II'!$H$5*'HOJA DE CÁLCULO RESPALDO'!I296+'BLAZE SHIELD II'!$H$6)*LN(J296))+('BLAZE SHIELD II'!$H$7*('HOJA DE CÁLCULO RESPALDO'!I296^2)+'BLAZE SHIELD II'!$H$8*'HOJA DE CÁLCULO RESPALDO'!I296+'BLAZE SHIELD II'!$H$9)),0),0),0))+(IF(L296="Blaze Shield II",IF(M296="Idiem software",IF(C296="C",((('BLAZE SHIELD II'!$L$4*('HOJA DE CÁLCULO RESPALDO'!I296^2)+'BLAZE SHIELD II'!$L$5*'HOJA DE CÁLCULO RESPALDO'!I296+'BLAZE SHIELD II'!$L$6)*LN(J296))+('BLAZE SHIELD II'!$L$7*('HOJA DE CÁLCULO RESPALDO'!I296^2)+'BLAZE SHIELD II'!$L$8*'HOJA DE CÁLCULO RESPALDO'!I296+'BLAZE SHIELD II'!$L$9)),0),0),0))+(IF(L296="Blaze Shield II",IF(M296="Idiem software",IF(AND(C296="IN",G296=3),((('BLAZE SHIELD II'!$H$14*('HOJA DE CÁLCULO RESPALDO'!I296^2)+'BLAZE SHIELD II'!$H$15*'HOJA DE CÁLCULO RESPALDO'!I296+'BLAZE SHIELD II'!$H$16)*LN(J296))+('BLAZE SHIELD II'!$H$17*('HOJA DE CÁLCULO RESPALDO'!I296^2)+'BLAZE SHIELD II'!$H$18*'HOJA DE CÁLCULO RESPALDO'!I296+'BLAZE SHIELD II'!$H$19)),0),0),0)),0)</f>
        <v>0</v>
      </c>
      <c r="O296" s="46">
        <f t="shared" si="32"/>
        <v>0</v>
      </c>
      <c r="P296" s="80">
        <f t="shared" si="29"/>
        <v>0</v>
      </c>
      <c r="Q296" s="85">
        <f>ROUND((IF(L296="Cafco 400",IF(M296="Idiem software",IF(AND(C296="IN",G296=4),((('CAFCO 400 '!$H$7*(J296^4)+'CAFCO 400 '!$H$8*(J296^3)+'CAFCO 400 '!$H$9*(J296^2)+'CAFCO 400 '!$H$10*J296+'CAFCO 400 '!$H$11)*I296^2)+(('CAFCO 400 '!$H$12*(J296^3)+'CAFCO 400 '!$H$13*(J296^2)+'CAFCO 400 '!$H$14*J296+'CAFCO 400 '!$H$15)*I296)+('CAFCO 400 '!$H$16*(J296^2)+'CAFCO 400 '!$H$17*J296+'CAFCO 400 '!$H$18)),0),0),0))+(IF(L296="Cafco 400",IF(M296="Idiem software",IF(C296="Cj",(((('CAFCO 400 '!$D$7*LN(J296)+'CAFCO 400 '!$D$8)*I296^2)+(('CAFCO 400 '!$D$9*LN(J296)+'CAFCO 400 '!$D$10)*I296)+('CAFCO 400 '!$D$11*LN(J296)+'CAFCO 400 '!$D$12))),0),0),0))+(IF(L296="Cafco 400",IF(M296="Idiem software",IF(C296="C",((('CAFCO 400 '!$L$7*(J296^3)+'CAFCO 400 '!$L$8*(J296^2)+'CAFCO 400 '!$L$9*J296+'CAFCO 400 '!$L$10)*I296^2)+(('CAFCO 400 '!$L$11*(J296^3)+'CAFCO 400 '!$L$12*(J296^2)+'CAFCO 400 '!$L$13*J296+'CAFCO 400 '!$L$14)*I296)+('CAFCO 400 '!$L$15*LN(J296)+'CAFCO 400 '!$L$16)),0),0),0))+(IF(L296="Cafco 400",IF(M296="Idiem software",IF(AND(C296="IN",G296=3),((('CAFCO 400 '!$D$23*(J296^2)+'CAFCO 400 '!$D$24*(J296)+'CAFCO 400 '!$D$25)*I296^2)+(('CAFCO 400 '!$D$26*(J296^2)+'CAFCO 400 '!$D$27*J296+'CAFCO 400 '!$D$28)*I296)+('CAFCO 400 '!$D$29*(J296^2)+'CAFCO 400 '!$D$30*J296+'CAFCO 400 '!$D$31)),0),0),0)),0)</f>
        <v>0</v>
      </c>
      <c r="R296" s="47">
        <f t="shared" si="33"/>
        <v>0</v>
      </c>
      <c r="S296" s="82">
        <f t="shared" si="30"/>
        <v>0</v>
      </c>
      <c r="T296" s="81">
        <f>+IF(AND(J296&gt;=95,J296&lt;=240),IF(AND(C296="Cj",I296=90),VLOOKUP(W296,'CAFCO 300 IDIEM TABLAS'!$B$4:$D$23,2,FALSE),0)+IF(AND(J296&gt;=95,J296&lt;=240),IF(AND(C296="Cj",I296=120),VLOOKUP(W296,'CAFCO 300 IDIEM TABLAS'!$B$4:$D$23,3,FALSE),0))+IF(AND(J296&gt;=95,J296&lt;=400,G296=3),IF(AND(C296="IN",I296=90),VLOOKUP(W296,'CAFCO 300 IDIEM TABLAS'!$F$4:$H$35,2,FALSE),0),0)+IF(AND(J296&gt;=95,J296&lt;=400,G296=3),IF(AND(C296="IN",I296=120),VLOOKUP(W296,'CAFCO 300 IDIEM TABLAS'!$F$4:$H$35,3,FALSE),0),0)+IF(AND(J296&gt;=95,J296&lt;=450,G296=4),IF(AND(C296="IN",I296=90),VLOOKUP(W296,'CAFCO 300 IDIEM TABLAS'!$J$4:$L$40,2,FALSE),0),0)+IF(AND(J296&gt;=95,J296&lt;=450,G296=4),IF(AND(C296="IN",I296=120),VLOOKUP(W296,'CAFCO 300 IDIEM TABLAS'!$J$4:$L$40,3,FALSE),0),0))</f>
        <v>17</v>
      </c>
      <c r="U296" s="48">
        <f t="shared" si="34"/>
        <v>6.94637676508344</v>
      </c>
      <c r="V296" s="82">
        <f t="shared" si="31"/>
        <v>104292.90075096277</v>
      </c>
      <c r="W296" s="64">
        <f>+IF(J296=LOOKUP(J296,'CAFCO 300 IDIEM TABLAS'!$J$4:$J$40),'HOJA DE CÁLCULO RESPALDO'!J296,MROUND('HOJA DE CÁLCULO RESPALDO'!J296,10))</f>
        <v>95</v>
      </c>
      <c r="X296" s="36"/>
      <c r="Y296" s="4"/>
    </row>
    <row r="297" spans="1:25" x14ac:dyDescent="0.25">
      <c r="A297" s="2" t="s">
        <v>52</v>
      </c>
      <c r="B297" s="3" t="s">
        <v>17</v>
      </c>
      <c r="C297" s="3" t="s">
        <v>19</v>
      </c>
      <c r="D297" s="3">
        <v>1</v>
      </c>
      <c r="E297" s="2">
        <v>1</v>
      </c>
      <c r="F297" s="8">
        <v>8500</v>
      </c>
      <c r="G297" s="1">
        <v>4</v>
      </c>
      <c r="H297" s="2">
        <v>1692</v>
      </c>
      <c r="I297" s="34">
        <v>90</v>
      </c>
      <c r="J297" s="11">
        <v>95</v>
      </c>
      <c r="K297" s="44">
        <f t="shared" si="28"/>
        <v>14.382</v>
      </c>
      <c r="L297" s="3" t="s">
        <v>61</v>
      </c>
      <c r="M297" s="3" t="s">
        <v>70</v>
      </c>
      <c r="N297" s="15">
        <f>ROUND((IF(L297="Blaze Shield II",IF(M297="Idiem software",IF(AND(C297="IN",G297=4),((('BLAZE SHIELD II'!$D$4*('HOJA DE CÁLCULO RESPALDO'!I297^2)+'BLAZE SHIELD II'!$D$5*'HOJA DE CÁLCULO RESPALDO'!I297+'BLAZE SHIELD II'!$D$6)*LN(J297))+('BLAZE SHIELD II'!$D$7*('HOJA DE CÁLCULO RESPALDO'!I297^2)+'BLAZE SHIELD II'!$D$8*'HOJA DE CÁLCULO RESPALDO'!I297+'BLAZE SHIELD II'!$D$9)),0),0),0))+(IF(L297="Blaze Shield II",IF(M297="Idiem software",IF(C297="Cj",((('BLAZE SHIELD II'!$H$4*('HOJA DE CÁLCULO RESPALDO'!I297^2)+'BLAZE SHIELD II'!$H$5*'HOJA DE CÁLCULO RESPALDO'!I297+'BLAZE SHIELD II'!$H$6)*LN(J297))+('BLAZE SHIELD II'!$H$7*('HOJA DE CÁLCULO RESPALDO'!I297^2)+'BLAZE SHIELD II'!$H$8*'HOJA DE CÁLCULO RESPALDO'!I297+'BLAZE SHIELD II'!$H$9)),0),0),0))+(IF(L297="Blaze Shield II",IF(M297="Idiem software",IF(C297="C",((('BLAZE SHIELD II'!$L$4*('HOJA DE CÁLCULO RESPALDO'!I297^2)+'BLAZE SHIELD II'!$L$5*'HOJA DE CÁLCULO RESPALDO'!I297+'BLAZE SHIELD II'!$L$6)*LN(J297))+('BLAZE SHIELD II'!$L$7*('HOJA DE CÁLCULO RESPALDO'!I297^2)+'BLAZE SHIELD II'!$L$8*'HOJA DE CÁLCULO RESPALDO'!I297+'BLAZE SHIELD II'!$L$9)),0),0),0))+(IF(L297="Blaze Shield II",IF(M297="Idiem software",IF(AND(C297="IN",G297=3),((('BLAZE SHIELD II'!$H$14*('HOJA DE CÁLCULO RESPALDO'!I297^2)+'BLAZE SHIELD II'!$H$15*'HOJA DE CÁLCULO RESPALDO'!I297+'BLAZE SHIELD II'!$H$16)*LN(J297))+('BLAZE SHIELD II'!$H$17*('HOJA DE CÁLCULO RESPALDO'!I297^2)+'BLAZE SHIELD II'!$H$18*'HOJA DE CÁLCULO RESPALDO'!I297+'BLAZE SHIELD II'!$H$19)),0),0),0)),0)</f>
        <v>0</v>
      </c>
      <c r="O297" s="46">
        <f t="shared" si="32"/>
        <v>0</v>
      </c>
      <c r="P297" s="80">
        <f t="shared" si="29"/>
        <v>0</v>
      </c>
      <c r="Q297" s="85">
        <f>ROUND((IF(L297="Cafco 400",IF(M297="Idiem software",IF(AND(C297="IN",G297=4),((('CAFCO 400 '!$H$7*(J297^4)+'CAFCO 400 '!$H$8*(J297^3)+'CAFCO 400 '!$H$9*(J297^2)+'CAFCO 400 '!$H$10*J297+'CAFCO 400 '!$H$11)*I297^2)+(('CAFCO 400 '!$H$12*(J297^3)+'CAFCO 400 '!$H$13*(J297^2)+'CAFCO 400 '!$H$14*J297+'CAFCO 400 '!$H$15)*I297)+('CAFCO 400 '!$H$16*(J297^2)+'CAFCO 400 '!$H$17*J297+'CAFCO 400 '!$H$18)),0),0),0))+(IF(L297="Cafco 400",IF(M297="Idiem software",IF(C297="Cj",(((('CAFCO 400 '!$D$7*LN(J297)+'CAFCO 400 '!$D$8)*I297^2)+(('CAFCO 400 '!$D$9*LN(J297)+'CAFCO 400 '!$D$10)*I297)+('CAFCO 400 '!$D$11*LN(J297)+'CAFCO 400 '!$D$12))),0),0),0))+(IF(L297="Cafco 400",IF(M297="Idiem software",IF(C297="C",((('CAFCO 400 '!$L$7*(J297^3)+'CAFCO 400 '!$L$8*(J297^2)+'CAFCO 400 '!$L$9*J297+'CAFCO 400 '!$L$10)*I297^2)+(('CAFCO 400 '!$L$11*(J297^3)+'CAFCO 400 '!$L$12*(J297^2)+'CAFCO 400 '!$L$13*J297+'CAFCO 400 '!$L$14)*I297)+('CAFCO 400 '!$L$15*LN(J297)+'CAFCO 400 '!$L$16)),0),0),0))+(IF(L297="Cafco 400",IF(M297="Idiem software",IF(AND(C297="IN",G297=3),((('CAFCO 400 '!$D$23*(J297^2)+'CAFCO 400 '!$D$24*(J297)+'CAFCO 400 '!$D$25)*I297^2)+(('CAFCO 400 '!$D$26*(J297^2)+'CAFCO 400 '!$D$27*J297+'CAFCO 400 '!$D$28)*I297)+('CAFCO 400 '!$D$29*(J297^2)+'CAFCO 400 '!$D$30*J297+'CAFCO 400 '!$D$31)),0),0),0)),0)</f>
        <v>0</v>
      </c>
      <c r="R297" s="47">
        <f t="shared" si="33"/>
        <v>0</v>
      </c>
      <c r="S297" s="82">
        <f t="shared" si="30"/>
        <v>0</v>
      </c>
      <c r="T297" s="81">
        <f>+IF(AND(J297&gt;=95,J297&lt;=240),IF(AND(C297="Cj",I297=90),VLOOKUP(W297,'CAFCO 300 IDIEM TABLAS'!$B$4:$D$23,2,FALSE),0)+IF(AND(J297&gt;=95,J297&lt;=240),IF(AND(C297="Cj",I297=120),VLOOKUP(W297,'CAFCO 300 IDIEM TABLAS'!$B$4:$D$23,3,FALSE),0))+IF(AND(J297&gt;=95,J297&lt;=400,G297=3),IF(AND(C297="IN",I297=90),VLOOKUP(W297,'CAFCO 300 IDIEM TABLAS'!$F$4:$H$35,2,FALSE),0),0)+IF(AND(J297&gt;=95,J297&lt;=400,G297=3),IF(AND(C297="IN",I297=120),VLOOKUP(W297,'CAFCO 300 IDIEM TABLAS'!$F$4:$H$35,3,FALSE),0),0)+IF(AND(J297&gt;=95,J297&lt;=450,G297=4),IF(AND(C297="IN",I297=90),VLOOKUP(W297,'CAFCO 300 IDIEM TABLAS'!$J$4:$L$40,2,FALSE),0),0)+IF(AND(J297&gt;=95,J297&lt;=450,G297=4),IF(AND(C297="IN",I297=120),VLOOKUP(W297,'CAFCO 300 IDIEM TABLAS'!$J$4:$L$40,3,FALSE),0),0))</f>
        <v>17</v>
      </c>
      <c r="U297" s="48">
        <f t="shared" si="34"/>
        <v>3.3739544287548138</v>
      </c>
      <c r="V297" s="82">
        <f t="shared" si="31"/>
        <v>50656.551793324776</v>
      </c>
      <c r="W297" s="64">
        <f>+IF(J297=LOOKUP(J297,'CAFCO 300 IDIEM TABLAS'!$J$4:$J$40),'HOJA DE CÁLCULO RESPALDO'!J297,MROUND('HOJA DE CÁLCULO RESPALDO'!J297,10))</f>
        <v>95</v>
      </c>
      <c r="X297" s="36"/>
      <c r="Y297" s="4"/>
    </row>
    <row r="298" spans="1:25" ht="15.6" customHeight="1" x14ac:dyDescent="0.25">
      <c r="A298" s="2" t="s">
        <v>52</v>
      </c>
      <c r="B298" s="3" t="s">
        <v>17</v>
      </c>
      <c r="C298" s="3" t="s">
        <v>19</v>
      </c>
      <c r="D298" s="3">
        <v>1</v>
      </c>
      <c r="E298" s="2">
        <v>1</v>
      </c>
      <c r="F298" s="8">
        <v>8500</v>
      </c>
      <c r="G298" s="1">
        <v>4</v>
      </c>
      <c r="H298" s="2">
        <v>1502</v>
      </c>
      <c r="I298" s="34">
        <v>90</v>
      </c>
      <c r="J298" s="11">
        <v>95</v>
      </c>
      <c r="K298" s="44">
        <f t="shared" si="28"/>
        <v>12.766999999999999</v>
      </c>
      <c r="L298" s="3" t="s">
        <v>61</v>
      </c>
      <c r="M298" s="3" t="s">
        <v>70</v>
      </c>
      <c r="N298" s="15">
        <f>ROUND((IF(L298="Blaze Shield II",IF(M298="Idiem software",IF(AND(C298="IN",G298=4),((('BLAZE SHIELD II'!$D$4*('HOJA DE CÁLCULO RESPALDO'!I298^2)+'BLAZE SHIELD II'!$D$5*'HOJA DE CÁLCULO RESPALDO'!I298+'BLAZE SHIELD II'!$D$6)*LN(J298))+('BLAZE SHIELD II'!$D$7*('HOJA DE CÁLCULO RESPALDO'!I298^2)+'BLAZE SHIELD II'!$D$8*'HOJA DE CÁLCULO RESPALDO'!I298+'BLAZE SHIELD II'!$D$9)),0),0),0))+(IF(L298="Blaze Shield II",IF(M298="Idiem software",IF(C298="Cj",((('BLAZE SHIELD II'!$H$4*('HOJA DE CÁLCULO RESPALDO'!I298^2)+'BLAZE SHIELD II'!$H$5*'HOJA DE CÁLCULO RESPALDO'!I298+'BLAZE SHIELD II'!$H$6)*LN(J298))+('BLAZE SHIELD II'!$H$7*('HOJA DE CÁLCULO RESPALDO'!I298^2)+'BLAZE SHIELD II'!$H$8*'HOJA DE CÁLCULO RESPALDO'!I298+'BLAZE SHIELD II'!$H$9)),0),0),0))+(IF(L298="Blaze Shield II",IF(M298="Idiem software",IF(C298="C",((('BLAZE SHIELD II'!$L$4*('HOJA DE CÁLCULO RESPALDO'!I298^2)+'BLAZE SHIELD II'!$L$5*'HOJA DE CÁLCULO RESPALDO'!I298+'BLAZE SHIELD II'!$L$6)*LN(J298))+('BLAZE SHIELD II'!$L$7*('HOJA DE CÁLCULO RESPALDO'!I298^2)+'BLAZE SHIELD II'!$L$8*'HOJA DE CÁLCULO RESPALDO'!I298+'BLAZE SHIELD II'!$L$9)),0),0),0))+(IF(L298="Blaze Shield II",IF(M298="Idiem software",IF(AND(C298="IN",G298=3),((('BLAZE SHIELD II'!$H$14*('HOJA DE CÁLCULO RESPALDO'!I298^2)+'BLAZE SHIELD II'!$H$15*'HOJA DE CÁLCULO RESPALDO'!I298+'BLAZE SHIELD II'!$H$16)*LN(J298))+('BLAZE SHIELD II'!$H$17*('HOJA DE CÁLCULO RESPALDO'!I298^2)+'BLAZE SHIELD II'!$H$18*'HOJA DE CÁLCULO RESPALDO'!I298+'BLAZE SHIELD II'!$H$19)),0),0),0)),0)</f>
        <v>0</v>
      </c>
      <c r="O298" s="46">
        <f t="shared" si="32"/>
        <v>0</v>
      </c>
      <c r="P298" s="80">
        <f t="shared" si="29"/>
        <v>0</v>
      </c>
      <c r="Q298" s="85">
        <f>ROUND((IF(L298="Cafco 400",IF(M298="Idiem software",IF(AND(C298="IN",G298=4),((('CAFCO 400 '!$H$7*(J298^4)+'CAFCO 400 '!$H$8*(J298^3)+'CAFCO 400 '!$H$9*(J298^2)+'CAFCO 400 '!$H$10*J298+'CAFCO 400 '!$H$11)*I298^2)+(('CAFCO 400 '!$H$12*(J298^3)+'CAFCO 400 '!$H$13*(J298^2)+'CAFCO 400 '!$H$14*J298+'CAFCO 400 '!$H$15)*I298)+('CAFCO 400 '!$H$16*(J298^2)+'CAFCO 400 '!$H$17*J298+'CAFCO 400 '!$H$18)),0),0),0))+(IF(L298="Cafco 400",IF(M298="Idiem software",IF(C298="Cj",(((('CAFCO 400 '!$D$7*LN(J298)+'CAFCO 400 '!$D$8)*I298^2)+(('CAFCO 400 '!$D$9*LN(J298)+'CAFCO 400 '!$D$10)*I298)+('CAFCO 400 '!$D$11*LN(J298)+'CAFCO 400 '!$D$12))),0),0),0))+(IF(L298="Cafco 400",IF(M298="Idiem software",IF(C298="C",((('CAFCO 400 '!$L$7*(J298^3)+'CAFCO 400 '!$L$8*(J298^2)+'CAFCO 400 '!$L$9*J298+'CAFCO 400 '!$L$10)*I298^2)+(('CAFCO 400 '!$L$11*(J298^3)+'CAFCO 400 '!$L$12*(J298^2)+'CAFCO 400 '!$L$13*J298+'CAFCO 400 '!$L$14)*I298)+('CAFCO 400 '!$L$15*LN(J298)+'CAFCO 400 '!$L$16)),0),0),0))+(IF(L298="Cafco 400",IF(M298="Idiem software",IF(AND(C298="IN",G298=3),((('CAFCO 400 '!$D$23*(J298^2)+'CAFCO 400 '!$D$24*(J298)+'CAFCO 400 '!$D$25)*I298^2)+(('CAFCO 400 '!$D$26*(J298^2)+'CAFCO 400 '!$D$27*J298+'CAFCO 400 '!$D$28)*I298)+('CAFCO 400 '!$D$29*(J298^2)+'CAFCO 400 '!$D$30*J298+'CAFCO 400 '!$D$31)),0),0),0)),0)</f>
        <v>0</v>
      </c>
      <c r="R298" s="47">
        <f t="shared" si="33"/>
        <v>0</v>
      </c>
      <c r="S298" s="82">
        <f t="shared" si="30"/>
        <v>0</v>
      </c>
      <c r="T298" s="81">
        <f>+IF(AND(J298&gt;=95,J298&lt;=240),IF(AND(C298="Cj",I298=90),VLOOKUP(W298,'CAFCO 300 IDIEM TABLAS'!$B$4:$D$23,2,FALSE),0)+IF(AND(J298&gt;=95,J298&lt;=240),IF(AND(C298="Cj",I298=120),VLOOKUP(W298,'CAFCO 300 IDIEM TABLAS'!$B$4:$D$23,3,FALSE),0))+IF(AND(J298&gt;=95,J298&lt;=400,G298=3),IF(AND(C298="IN",I298=90),VLOOKUP(W298,'CAFCO 300 IDIEM TABLAS'!$F$4:$H$35,2,FALSE),0),0)+IF(AND(J298&gt;=95,J298&lt;=400,G298=3),IF(AND(C298="IN",I298=120),VLOOKUP(W298,'CAFCO 300 IDIEM TABLAS'!$F$4:$H$35,3,FALSE),0),0)+IF(AND(J298&gt;=95,J298&lt;=450,G298=4),IF(AND(C298="IN",I298=90),VLOOKUP(W298,'CAFCO 300 IDIEM TABLAS'!$J$4:$L$40,2,FALSE),0),0)+IF(AND(J298&gt;=95,J298&lt;=450,G298=4),IF(AND(C298="IN",I298=120),VLOOKUP(W298,'CAFCO 300 IDIEM TABLAS'!$J$4:$L$40,3,FALSE),0),0))</f>
        <v>17</v>
      </c>
      <c r="U298" s="48">
        <f t="shared" si="34"/>
        <v>2.9950824775353015</v>
      </c>
      <c r="V298" s="82">
        <f t="shared" si="31"/>
        <v>44968.168317715019</v>
      </c>
      <c r="W298" s="64">
        <f>+IF(J298=LOOKUP(J298,'CAFCO 300 IDIEM TABLAS'!$J$4:$J$40),'HOJA DE CÁLCULO RESPALDO'!J298,MROUND('HOJA DE CÁLCULO RESPALDO'!J298,10))</f>
        <v>95</v>
      </c>
      <c r="X298" s="36"/>
      <c r="Y298" s="4"/>
    </row>
    <row r="299" spans="1:25" x14ac:dyDescent="0.25">
      <c r="A299" s="2" t="s">
        <v>52</v>
      </c>
      <c r="B299" s="3" t="s">
        <v>17</v>
      </c>
      <c r="C299" s="3" t="s">
        <v>19</v>
      </c>
      <c r="D299" s="3">
        <v>1</v>
      </c>
      <c r="E299" s="2">
        <v>1</v>
      </c>
      <c r="F299" s="8">
        <v>11097</v>
      </c>
      <c r="G299" s="1">
        <v>4</v>
      </c>
      <c r="H299" s="2">
        <v>585</v>
      </c>
      <c r="I299" s="34">
        <v>90</v>
      </c>
      <c r="J299" s="11">
        <v>95</v>
      </c>
      <c r="K299" s="44">
        <f t="shared" si="28"/>
        <v>6.4917449999999999</v>
      </c>
      <c r="L299" s="3" t="s">
        <v>61</v>
      </c>
      <c r="M299" s="3" t="s">
        <v>70</v>
      </c>
      <c r="N299" s="15">
        <f>ROUND((IF(L299="Blaze Shield II",IF(M299="Idiem software",IF(AND(C299="IN",G299=4),((('BLAZE SHIELD II'!$D$4*('HOJA DE CÁLCULO RESPALDO'!I299^2)+'BLAZE SHIELD II'!$D$5*'HOJA DE CÁLCULO RESPALDO'!I299+'BLAZE SHIELD II'!$D$6)*LN(J299))+('BLAZE SHIELD II'!$D$7*('HOJA DE CÁLCULO RESPALDO'!I299^2)+'BLAZE SHIELD II'!$D$8*'HOJA DE CÁLCULO RESPALDO'!I299+'BLAZE SHIELD II'!$D$9)),0),0),0))+(IF(L299="Blaze Shield II",IF(M299="Idiem software",IF(C299="Cj",((('BLAZE SHIELD II'!$H$4*('HOJA DE CÁLCULO RESPALDO'!I299^2)+'BLAZE SHIELD II'!$H$5*'HOJA DE CÁLCULO RESPALDO'!I299+'BLAZE SHIELD II'!$H$6)*LN(J299))+('BLAZE SHIELD II'!$H$7*('HOJA DE CÁLCULO RESPALDO'!I299^2)+'BLAZE SHIELD II'!$H$8*'HOJA DE CÁLCULO RESPALDO'!I299+'BLAZE SHIELD II'!$H$9)),0),0),0))+(IF(L299="Blaze Shield II",IF(M299="Idiem software",IF(C299="C",((('BLAZE SHIELD II'!$L$4*('HOJA DE CÁLCULO RESPALDO'!I299^2)+'BLAZE SHIELD II'!$L$5*'HOJA DE CÁLCULO RESPALDO'!I299+'BLAZE SHIELD II'!$L$6)*LN(J299))+('BLAZE SHIELD II'!$L$7*('HOJA DE CÁLCULO RESPALDO'!I299^2)+'BLAZE SHIELD II'!$L$8*'HOJA DE CÁLCULO RESPALDO'!I299+'BLAZE SHIELD II'!$L$9)),0),0),0))+(IF(L299="Blaze Shield II",IF(M299="Idiem software",IF(AND(C299="IN",G299=3),((('BLAZE SHIELD II'!$H$14*('HOJA DE CÁLCULO RESPALDO'!I299^2)+'BLAZE SHIELD II'!$H$15*'HOJA DE CÁLCULO RESPALDO'!I299+'BLAZE SHIELD II'!$H$16)*LN(J299))+('BLAZE SHIELD II'!$H$17*('HOJA DE CÁLCULO RESPALDO'!I299^2)+'BLAZE SHIELD II'!$H$18*'HOJA DE CÁLCULO RESPALDO'!I299+'BLAZE SHIELD II'!$H$19)),0),0),0)),0)</f>
        <v>0</v>
      </c>
      <c r="O299" s="46">
        <f t="shared" si="32"/>
        <v>0</v>
      </c>
      <c r="P299" s="80">
        <f t="shared" si="29"/>
        <v>0</v>
      </c>
      <c r="Q299" s="85">
        <f>ROUND((IF(L299="Cafco 400",IF(M299="Idiem software",IF(AND(C299="IN",G299=4),((('CAFCO 400 '!$H$7*(J299^4)+'CAFCO 400 '!$H$8*(J299^3)+'CAFCO 400 '!$H$9*(J299^2)+'CAFCO 400 '!$H$10*J299+'CAFCO 400 '!$H$11)*I299^2)+(('CAFCO 400 '!$H$12*(J299^3)+'CAFCO 400 '!$H$13*(J299^2)+'CAFCO 400 '!$H$14*J299+'CAFCO 400 '!$H$15)*I299)+('CAFCO 400 '!$H$16*(J299^2)+'CAFCO 400 '!$H$17*J299+'CAFCO 400 '!$H$18)),0),0),0))+(IF(L299="Cafco 400",IF(M299="Idiem software",IF(C299="Cj",(((('CAFCO 400 '!$D$7*LN(J299)+'CAFCO 400 '!$D$8)*I299^2)+(('CAFCO 400 '!$D$9*LN(J299)+'CAFCO 400 '!$D$10)*I299)+('CAFCO 400 '!$D$11*LN(J299)+'CAFCO 400 '!$D$12))),0),0),0))+(IF(L299="Cafco 400",IF(M299="Idiem software",IF(C299="C",((('CAFCO 400 '!$L$7*(J299^3)+'CAFCO 400 '!$L$8*(J299^2)+'CAFCO 400 '!$L$9*J299+'CAFCO 400 '!$L$10)*I299^2)+(('CAFCO 400 '!$L$11*(J299^3)+'CAFCO 400 '!$L$12*(J299^2)+'CAFCO 400 '!$L$13*J299+'CAFCO 400 '!$L$14)*I299)+('CAFCO 400 '!$L$15*LN(J299)+'CAFCO 400 '!$L$16)),0),0),0))+(IF(L299="Cafco 400",IF(M299="Idiem software",IF(AND(C299="IN",G299=3),((('CAFCO 400 '!$D$23*(J299^2)+'CAFCO 400 '!$D$24*(J299)+'CAFCO 400 '!$D$25)*I299^2)+(('CAFCO 400 '!$D$26*(J299^2)+'CAFCO 400 '!$D$27*J299+'CAFCO 400 '!$D$28)*I299)+('CAFCO 400 '!$D$29*(J299^2)+'CAFCO 400 '!$D$30*J299+'CAFCO 400 '!$D$31)),0),0),0)),0)</f>
        <v>0</v>
      </c>
      <c r="R299" s="47">
        <f t="shared" si="33"/>
        <v>0</v>
      </c>
      <c r="S299" s="82">
        <f t="shared" si="30"/>
        <v>0</v>
      </c>
      <c r="T299" s="81">
        <f>+IF(AND(J299&gt;=95,J299&lt;=240),IF(AND(C299="Cj",I299=90),VLOOKUP(W299,'CAFCO 300 IDIEM TABLAS'!$B$4:$D$23,2,FALSE),0)+IF(AND(J299&gt;=95,J299&lt;=240),IF(AND(C299="Cj",I299=120),VLOOKUP(W299,'CAFCO 300 IDIEM TABLAS'!$B$4:$D$23,3,FALSE),0))+IF(AND(J299&gt;=95,J299&lt;=400,G299=3),IF(AND(C299="IN",I299=90),VLOOKUP(W299,'CAFCO 300 IDIEM TABLAS'!$F$4:$H$35,2,FALSE),0),0)+IF(AND(J299&gt;=95,J299&lt;=400,G299=3),IF(AND(C299="IN",I299=120),VLOOKUP(W299,'CAFCO 300 IDIEM TABLAS'!$F$4:$H$35,3,FALSE),0),0)+IF(AND(J299&gt;=95,J299&lt;=450,G299=4),IF(AND(C299="IN",I299=90),VLOOKUP(W299,'CAFCO 300 IDIEM TABLAS'!$J$4:$L$40,2,FALSE),0),0)+IF(AND(J299&gt;=95,J299&lt;=450,G299=4),IF(AND(C299="IN",I299=120),VLOOKUP(W299,'CAFCO 300 IDIEM TABLAS'!$J$4:$L$40,3,FALSE),0),0))</f>
        <v>17</v>
      </c>
      <c r="U299" s="48">
        <f t="shared" si="34"/>
        <v>1.5229350433247753</v>
      </c>
      <c r="V299" s="82">
        <f t="shared" si="31"/>
        <v>22865.346740478177</v>
      </c>
      <c r="W299" s="64">
        <f>+IF(J299=LOOKUP(J299,'CAFCO 300 IDIEM TABLAS'!$J$4:$J$40),'HOJA DE CÁLCULO RESPALDO'!J299,MROUND('HOJA DE CÁLCULO RESPALDO'!J299,10))</f>
        <v>95</v>
      </c>
      <c r="X299" s="36"/>
      <c r="Y299" s="4"/>
    </row>
    <row r="300" spans="1:25" ht="15.6" customHeight="1" x14ac:dyDescent="0.25">
      <c r="A300" s="2" t="s">
        <v>52</v>
      </c>
      <c r="B300" s="3" t="s">
        <v>17</v>
      </c>
      <c r="C300" s="3" t="s">
        <v>19</v>
      </c>
      <c r="D300" s="3">
        <v>1</v>
      </c>
      <c r="E300" s="2">
        <v>1</v>
      </c>
      <c r="F300" s="8">
        <v>1500</v>
      </c>
      <c r="G300" s="1">
        <v>4</v>
      </c>
      <c r="H300" s="2">
        <v>776</v>
      </c>
      <c r="I300" s="34">
        <v>90</v>
      </c>
      <c r="J300" s="11">
        <v>95</v>
      </c>
      <c r="K300" s="44">
        <f t="shared" si="28"/>
        <v>1.1639999999999999</v>
      </c>
      <c r="L300" s="3" t="s">
        <v>61</v>
      </c>
      <c r="M300" s="3" t="s">
        <v>70</v>
      </c>
      <c r="N300" s="15">
        <f>ROUND((IF(L300="Blaze Shield II",IF(M300="Idiem software",IF(AND(C300="IN",G300=4),((('BLAZE SHIELD II'!$D$4*('HOJA DE CÁLCULO RESPALDO'!I300^2)+'BLAZE SHIELD II'!$D$5*'HOJA DE CÁLCULO RESPALDO'!I300+'BLAZE SHIELD II'!$D$6)*LN(J300))+('BLAZE SHIELD II'!$D$7*('HOJA DE CÁLCULO RESPALDO'!I300^2)+'BLAZE SHIELD II'!$D$8*'HOJA DE CÁLCULO RESPALDO'!I300+'BLAZE SHIELD II'!$D$9)),0),0),0))+(IF(L300="Blaze Shield II",IF(M300="Idiem software",IF(C300="Cj",((('BLAZE SHIELD II'!$H$4*('HOJA DE CÁLCULO RESPALDO'!I300^2)+'BLAZE SHIELD II'!$H$5*'HOJA DE CÁLCULO RESPALDO'!I300+'BLAZE SHIELD II'!$H$6)*LN(J300))+('BLAZE SHIELD II'!$H$7*('HOJA DE CÁLCULO RESPALDO'!I300^2)+'BLAZE SHIELD II'!$H$8*'HOJA DE CÁLCULO RESPALDO'!I300+'BLAZE SHIELD II'!$H$9)),0),0),0))+(IF(L300="Blaze Shield II",IF(M300="Idiem software",IF(C300="C",((('BLAZE SHIELD II'!$L$4*('HOJA DE CÁLCULO RESPALDO'!I300^2)+'BLAZE SHIELD II'!$L$5*'HOJA DE CÁLCULO RESPALDO'!I300+'BLAZE SHIELD II'!$L$6)*LN(J300))+('BLAZE SHIELD II'!$L$7*('HOJA DE CÁLCULO RESPALDO'!I300^2)+'BLAZE SHIELD II'!$L$8*'HOJA DE CÁLCULO RESPALDO'!I300+'BLAZE SHIELD II'!$L$9)),0),0),0))+(IF(L300="Blaze Shield II",IF(M300="Idiem software",IF(AND(C300="IN",G300=3),((('BLAZE SHIELD II'!$H$14*('HOJA DE CÁLCULO RESPALDO'!I300^2)+'BLAZE SHIELD II'!$H$15*'HOJA DE CÁLCULO RESPALDO'!I300+'BLAZE SHIELD II'!$H$16)*LN(J300))+('BLAZE SHIELD II'!$H$17*('HOJA DE CÁLCULO RESPALDO'!I300^2)+'BLAZE SHIELD II'!$H$18*'HOJA DE CÁLCULO RESPALDO'!I300+'BLAZE SHIELD II'!$H$19)),0),0),0)),0)</f>
        <v>0</v>
      </c>
      <c r="O300" s="46">
        <f t="shared" si="32"/>
        <v>0</v>
      </c>
      <c r="P300" s="80">
        <f t="shared" si="29"/>
        <v>0</v>
      </c>
      <c r="Q300" s="85">
        <f>ROUND((IF(L300="Cafco 400",IF(M300="Idiem software",IF(AND(C300="IN",G300=4),((('CAFCO 400 '!$H$7*(J300^4)+'CAFCO 400 '!$H$8*(J300^3)+'CAFCO 400 '!$H$9*(J300^2)+'CAFCO 400 '!$H$10*J300+'CAFCO 400 '!$H$11)*I300^2)+(('CAFCO 400 '!$H$12*(J300^3)+'CAFCO 400 '!$H$13*(J300^2)+'CAFCO 400 '!$H$14*J300+'CAFCO 400 '!$H$15)*I300)+('CAFCO 400 '!$H$16*(J300^2)+'CAFCO 400 '!$H$17*J300+'CAFCO 400 '!$H$18)),0),0),0))+(IF(L300="Cafco 400",IF(M300="Idiem software",IF(C300="Cj",(((('CAFCO 400 '!$D$7*LN(J300)+'CAFCO 400 '!$D$8)*I300^2)+(('CAFCO 400 '!$D$9*LN(J300)+'CAFCO 400 '!$D$10)*I300)+('CAFCO 400 '!$D$11*LN(J300)+'CAFCO 400 '!$D$12))),0),0),0))+(IF(L300="Cafco 400",IF(M300="Idiem software",IF(C300="C",((('CAFCO 400 '!$L$7*(J300^3)+'CAFCO 400 '!$L$8*(J300^2)+'CAFCO 400 '!$L$9*J300+'CAFCO 400 '!$L$10)*I300^2)+(('CAFCO 400 '!$L$11*(J300^3)+'CAFCO 400 '!$L$12*(J300^2)+'CAFCO 400 '!$L$13*J300+'CAFCO 400 '!$L$14)*I300)+('CAFCO 400 '!$L$15*LN(J300)+'CAFCO 400 '!$L$16)),0),0),0))+(IF(L300="Cafco 400",IF(M300="Idiem software",IF(AND(C300="IN",G300=3),((('CAFCO 400 '!$D$23*(J300^2)+'CAFCO 400 '!$D$24*(J300)+'CAFCO 400 '!$D$25)*I300^2)+(('CAFCO 400 '!$D$26*(J300^2)+'CAFCO 400 '!$D$27*J300+'CAFCO 400 '!$D$28)*I300)+('CAFCO 400 '!$D$29*(J300^2)+'CAFCO 400 '!$D$30*J300+'CAFCO 400 '!$D$31)),0),0),0)),0)</f>
        <v>0</v>
      </c>
      <c r="R300" s="47">
        <f t="shared" si="33"/>
        <v>0</v>
      </c>
      <c r="S300" s="82">
        <f t="shared" si="30"/>
        <v>0</v>
      </c>
      <c r="T300" s="81">
        <f>+IF(AND(J300&gt;=95,J300&lt;=240),IF(AND(C300="Cj",I300=90),VLOOKUP(W300,'CAFCO 300 IDIEM TABLAS'!$B$4:$D$23,2,FALSE),0)+IF(AND(J300&gt;=95,J300&lt;=240),IF(AND(C300="Cj",I300=120),VLOOKUP(W300,'CAFCO 300 IDIEM TABLAS'!$B$4:$D$23,3,FALSE),0))+IF(AND(J300&gt;=95,J300&lt;=400,G300=3),IF(AND(C300="IN",I300=90),VLOOKUP(W300,'CAFCO 300 IDIEM TABLAS'!$F$4:$H$35,2,FALSE),0),0)+IF(AND(J300&gt;=95,J300&lt;=400,G300=3),IF(AND(C300="IN",I300=120),VLOOKUP(W300,'CAFCO 300 IDIEM TABLAS'!$F$4:$H$35,3,FALSE),0),0)+IF(AND(J300&gt;=95,J300&lt;=450,G300=4),IF(AND(C300="IN",I300=90),VLOOKUP(W300,'CAFCO 300 IDIEM TABLAS'!$J$4:$L$40,2,FALSE),0),0)+IF(AND(J300&gt;=95,J300&lt;=450,G300=4),IF(AND(C300="IN",I300=120),VLOOKUP(W300,'CAFCO 300 IDIEM TABLAS'!$J$4:$L$40,3,FALSE),0),0))</f>
        <v>17</v>
      </c>
      <c r="U300" s="48">
        <f t="shared" si="34"/>
        <v>0.2730693196405648</v>
      </c>
      <c r="V300" s="82">
        <f t="shared" si="31"/>
        <v>4099.8627650834396</v>
      </c>
      <c r="W300" s="64">
        <f>+IF(J300=LOOKUP(J300,'CAFCO 300 IDIEM TABLAS'!$J$4:$J$40),'HOJA DE CÁLCULO RESPALDO'!J300,MROUND('HOJA DE CÁLCULO RESPALDO'!J300,10))</f>
        <v>95</v>
      </c>
      <c r="X300" s="36"/>
      <c r="Y300" s="4"/>
    </row>
    <row r="301" spans="1:25" x14ac:dyDescent="0.25">
      <c r="A301" s="2" t="s">
        <v>52</v>
      </c>
      <c r="B301" s="3" t="s">
        <v>17</v>
      </c>
      <c r="C301" s="3" t="s">
        <v>19</v>
      </c>
      <c r="D301" s="3">
        <v>1</v>
      </c>
      <c r="E301" s="2">
        <v>1</v>
      </c>
      <c r="F301" s="8">
        <v>1500</v>
      </c>
      <c r="G301" s="1">
        <v>4</v>
      </c>
      <c r="H301" s="2">
        <v>3879</v>
      </c>
      <c r="I301" s="34">
        <v>90</v>
      </c>
      <c r="J301" s="11">
        <v>95</v>
      </c>
      <c r="K301" s="44">
        <f t="shared" si="28"/>
        <v>5.8185000000000002</v>
      </c>
      <c r="L301" s="3" t="s">
        <v>61</v>
      </c>
      <c r="M301" s="3" t="s">
        <v>70</v>
      </c>
      <c r="N301" s="15">
        <f>ROUND((IF(L301="Blaze Shield II",IF(M301="Idiem software",IF(AND(C301="IN",G301=4),((('BLAZE SHIELD II'!$D$4*('HOJA DE CÁLCULO RESPALDO'!I301^2)+'BLAZE SHIELD II'!$D$5*'HOJA DE CÁLCULO RESPALDO'!I301+'BLAZE SHIELD II'!$D$6)*LN(J301))+('BLAZE SHIELD II'!$D$7*('HOJA DE CÁLCULO RESPALDO'!I301^2)+'BLAZE SHIELD II'!$D$8*'HOJA DE CÁLCULO RESPALDO'!I301+'BLAZE SHIELD II'!$D$9)),0),0),0))+(IF(L301="Blaze Shield II",IF(M301="Idiem software",IF(C301="Cj",((('BLAZE SHIELD II'!$H$4*('HOJA DE CÁLCULO RESPALDO'!I301^2)+'BLAZE SHIELD II'!$H$5*'HOJA DE CÁLCULO RESPALDO'!I301+'BLAZE SHIELD II'!$H$6)*LN(J301))+('BLAZE SHIELD II'!$H$7*('HOJA DE CÁLCULO RESPALDO'!I301^2)+'BLAZE SHIELD II'!$H$8*'HOJA DE CÁLCULO RESPALDO'!I301+'BLAZE SHIELD II'!$H$9)),0),0),0))+(IF(L301="Blaze Shield II",IF(M301="Idiem software",IF(C301="C",((('BLAZE SHIELD II'!$L$4*('HOJA DE CÁLCULO RESPALDO'!I301^2)+'BLAZE SHIELD II'!$L$5*'HOJA DE CÁLCULO RESPALDO'!I301+'BLAZE SHIELD II'!$L$6)*LN(J301))+('BLAZE SHIELD II'!$L$7*('HOJA DE CÁLCULO RESPALDO'!I301^2)+'BLAZE SHIELD II'!$L$8*'HOJA DE CÁLCULO RESPALDO'!I301+'BLAZE SHIELD II'!$L$9)),0),0),0))+(IF(L301="Blaze Shield II",IF(M301="Idiem software",IF(AND(C301="IN",G301=3),((('BLAZE SHIELD II'!$H$14*('HOJA DE CÁLCULO RESPALDO'!I301^2)+'BLAZE SHIELD II'!$H$15*'HOJA DE CÁLCULO RESPALDO'!I301+'BLAZE SHIELD II'!$H$16)*LN(J301))+('BLAZE SHIELD II'!$H$17*('HOJA DE CÁLCULO RESPALDO'!I301^2)+'BLAZE SHIELD II'!$H$18*'HOJA DE CÁLCULO RESPALDO'!I301+'BLAZE SHIELD II'!$H$19)),0),0),0)),0)</f>
        <v>0</v>
      </c>
      <c r="O301" s="46">
        <f t="shared" si="32"/>
        <v>0</v>
      </c>
      <c r="P301" s="80">
        <f t="shared" si="29"/>
        <v>0</v>
      </c>
      <c r="Q301" s="85">
        <f>ROUND((IF(L301="Cafco 400",IF(M301="Idiem software",IF(AND(C301="IN",G301=4),((('CAFCO 400 '!$H$7*(J301^4)+'CAFCO 400 '!$H$8*(J301^3)+'CAFCO 400 '!$H$9*(J301^2)+'CAFCO 400 '!$H$10*J301+'CAFCO 400 '!$H$11)*I301^2)+(('CAFCO 400 '!$H$12*(J301^3)+'CAFCO 400 '!$H$13*(J301^2)+'CAFCO 400 '!$H$14*J301+'CAFCO 400 '!$H$15)*I301)+('CAFCO 400 '!$H$16*(J301^2)+'CAFCO 400 '!$H$17*J301+'CAFCO 400 '!$H$18)),0),0),0))+(IF(L301="Cafco 400",IF(M301="Idiem software",IF(C301="Cj",(((('CAFCO 400 '!$D$7*LN(J301)+'CAFCO 400 '!$D$8)*I301^2)+(('CAFCO 400 '!$D$9*LN(J301)+'CAFCO 400 '!$D$10)*I301)+('CAFCO 400 '!$D$11*LN(J301)+'CAFCO 400 '!$D$12))),0),0),0))+(IF(L301="Cafco 400",IF(M301="Idiem software",IF(C301="C",((('CAFCO 400 '!$L$7*(J301^3)+'CAFCO 400 '!$L$8*(J301^2)+'CAFCO 400 '!$L$9*J301+'CAFCO 400 '!$L$10)*I301^2)+(('CAFCO 400 '!$L$11*(J301^3)+'CAFCO 400 '!$L$12*(J301^2)+'CAFCO 400 '!$L$13*J301+'CAFCO 400 '!$L$14)*I301)+('CAFCO 400 '!$L$15*LN(J301)+'CAFCO 400 '!$L$16)),0),0),0))+(IF(L301="Cafco 400",IF(M301="Idiem software",IF(AND(C301="IN",G301=3),((('CAFCO 400 '!$D$23*(J301^2)+'CAFCO 400 '!$D$24*(J301)+'CAFCO 400 '!$D$25)*I301^2)+(('CAFCO 400 '!$D$26*(J301^2)+'CAFCO 400 '!$D$27*J301+'CAFCO 400 '!$D$28)*I301)+('CAFCO 400 '!$D$29*(J301^2)+'CAFCO 400 '!$D$30*J301+'CAFCO 400 '!$D$31)),0),0),0)),0)</f>
        <v>0</v>
      </c>
      <c r="R301" s="47">
        <f t="shared" si="33"/>
        <v>0</v>
      </c>
      <c r="S301" s="82">
        <f t="shared" si="30"/>
        <v>0</v>
      </c>
      <c r="T301" s="81">
        <f>+IF(AND(J301&gt;=95,J301&lt;=240),IF(AND(C301="Cj",I301=90),VLOOKUP(W301,'CAFCO 300 IDIEM TABLAS'!$B$4:$D$23,2,FALSE),0)+IF(AND(J301&gt;=95,J301&lt;=240),IF(AND(C301="Cj",I301=120),VLOOKUP(W301,'CAFCO 300 IDIEM TABLAS'!$B$4:$D$23,3,FALSE),0))+IF(AND(J301&gt;=95,J301&lt;=400,G301=3),IF(AND(C301="IN",I301=90),VLOOKUP(W301,'CAFCO 300 IDIEM TABLAS'!$F$4:$H$35,2,FALSE),0),0)+IF(AND(J301&gt;=95,J301&lt;=400,G301=3),IF(AND(C301="IN",I301=120),VLOOKUP(W301,'CAFCO 300 IDIEM TABLAS'!$F$4:$H$35,3,FALSE),0),0)+IF(AND(J301&gt;=95,J301&lt;=450,G301=4),IF(AND(C301="IN",I301=90),VLOOKUP(W301,'CAFCO 300 IDIEM TABLAS'!$J$4:$L$40,2,FALSE),0),0)+IF(AND(J301&gt;=95,J301&lt;=450,G301=4),IF(AND(C301="IN",I301=120),VLOOKUP(W301,'CAFCO 300 IDIEM TABLAS'!$J$4:$L$40,3,FALSE),0),0))</f>
        <v>17</v>
      </c>
      <c r="U301" s="48">
        <f t="shared" si="34"/>
        <v>1.3649947047496791</v>
      </c>
      <c r="V301" s="82">
        <f t="shared" si="31"/>
        <v>20494.030497111682</v>
      </c>
      <c r="W301" s="64">
        <f>+IF(J301=LOOKUP(J301,'CAFCO 300 IDIEM TABLAS'!$J$4:$J$40),'HOJA DE CÁLCULO RESPALDO'!J301,MROUND('HOJA DE CÁLCULO RESPALDO'!J301,10))</f>
        <v>95</v>
      </c>
      <c r="X301" s="36"/>
      <c r="Y301" s="4"/>
    </row>
    <row r="302" spans="1:25" ht="15.6" customHeight="1" x14ac:dyDescent="0.25">
      <c r="A302" s="2" t="s">
        <v>52</v>
      </c>
      <c r="B302" s="3" t="s">
        <v>17</v>
      </c>
      <c r="C302" s="3" t="s">
        <v>19</v>
      </c>
      <c r="D302" s="3">
        <v>1</v>
      </c>
      <c r="E302" s="2">
        <v>1</v>
      </c>
      <c r="F302" s="8">
        <v>11081</v>
      </c>
      <c r="G302" s="1">
        <v>4</v>
      </c>
      <c r="H302" s="2">
        <v>585</v>
      </c>
      <c r="I302" s="34">
        <v>90</v>
      </c>
      <c r="J302" s="11">
        <v>95</v>
      </c>
      <c r="K302" s="44">
        <f t="shared" si="28"/>
        <v>6.4823849999999998</v>
      </c>
      <c r="L302" s="3" t="s">
        <v>61</v>
      </c>
      <c r="M302" s="3" t="s">
        <v>70</v>
      </c>
      <c r="N302" s="15">
        <f>ROUND((IF(L302="Blaze Shield II",IF(M302="Idiem software",IF(AND(C302="IN",G302=4),((('BLAZE SHIELD II'!$D$4*('HOJA DE CÁLCULO RESPALDO'!I302^2)+'BLAZE SHIELD II'!$D$5*'HOJA DE CÁLCULO RESPALDO'!I302+'BLAZE SHIELD II'!$D$6)*LN(J302))+('BLAZE SHIELD II'!$D$7*('HOJA DE CÁLCULO RESPALDO'!I302^2)+'BLAZE SHIELD II'!$D$8*'HOJA DE CÁLCULO RESPALDO'!I302+'BLAZE SHIELD II'!$D$9)),0),0),0))+(IF(L302="Blaze Shield II",IF(M302="Idiem software",IF(C302="Cj",((('BLAZE SHIELD II'!$H$4*('HOJA DE CÁLCULO RESPALDO'!I302^2)+'BLAZE SHIELD II'!$H$5*'HOJA DE CÁLCULO RESPALDO'!I302+'BLAZE SHIELD II'!$H$6)*LN(J302))+('BLAZE SHIELD II'!$H$7*('HOJA DE CÁLCULO RESPALDO'!I302^2)+'BLAZE SHIELD II'!$H$8*'HOJA DE CÁLCULO RESPALDO'!I302+'BLAZE SHIELD II'!$H$9)),0),0),0))+(IF(L302="Blaze Shield II",IF(M302="Idiem software",IF(C302="C",((('BLAZE SHIELD II'!$L$4*('HOJA DE CÁLCULO RESPALDO'!I302^2)+'BLAZE SHIELD II'!$L$5*'HOJA DE CÁLCULO RESPALDO'!I302+'BLAZE SHIELD II'!$L$6)*LN(J302))+('BLAZE SHIELD II'!$L$7*('HOJA DE CÁLCULO RESPALDO'!I302^2)+'BLAZE SHIELD II'!$L$8*'HOJA DE CÁLCULO RESPALDO'!I302+'BLAZE SHIELD II'!$L$9)),0),0),0))+(IF(L302="Blaze Shield II",IF(M302="Idiem software",IF(AND(C302="IN",G302=3),((('BLAZE SHIELD II'!$H$14*('HOJA DE CÁLCULO RESPALDO'!I302^2)+'BLAZE SHIELD II'!$H$15*'HOJA DE CÁLCULO RESPALDO'!I302+'BLAZE SHIELD II'!$H$16)*LN(J302))+('BLAZE SHIELD II'!$H$17*('HOJA DE CÁLCULO RESPALDO'!I302^2)+'BLAZE SHIELD II'!$H$18*'HOJA DE CÁLCULO RESPALDO'!I302+'BLAZE SHIELD II'!$H$19)),0),0),0)),0)</f>
        <v>0</v>
      </c>
      <c r="O302" s="46">
        <f t="shared" si="32"/>
        <v>0</v>
      </c>
      <c r="P302" s="80">
        <f t="shared" si="29"/>
        <v>0</v>
      </c>
      <c r="Q302" s="85">
        <f>ROUND((IF(L302="Cafco 400",IF(M302="Idiem software",IF(AND(C302="IN",G302=4),((('CAFCO 400 '!$H$7*(J302^4)+'CAFCO 400 '!$H$8*(J302^3)+'CAFCO 400 '!$H$9*(J302^2)+'CAFCO 400 '!$H$10*J302+'CAFCO 400 '!$H$11)*I302^2)+(('CAFCO 400 '!$H$12*(J302^3)+'CAFCO 400 '!$H$13*(J302^2)+'CAFCO 400 '!$H$14*J302+'CAFCO 400 '!$H$15)*I302)+('CAFCO 400 '!$H$16*(J302^2)+'CAFCO 400 '!$H$17*J302+'CAFCO 400 '!$H$18)),0),0),0))+(IF(L302="Cafco 400",IF(M302="Idiem software",IF(C302="Cj",(((('CAFCO 400 '!$D$7*LN(J302)+'CAFCO 400 '!$D$8)*I302^2)+(('CAFCO 400 '!$D$9*LN(J302)+'CAFCO 400 '!$D$10)*I302)+('CAFCO 400 '!$D$11*LN(J302)+'CAFCO 400 '!$D$12))),0),0),0))+(IF(L302="Cafco 400",IF(M302="Idiem software",IF(C302="C",((('CAFCO 400 '!$L$7*(J302^3)+'CAFCO 400 '!$L$8*(J302^2)+'CAFCO 400 '!$L$9*J302+'CAFCO 400 '!$L$10)*I302^2)+(('CAFCO 400 '!$L$11*(J302^3)+'CAFCO 400 '!$L$12*(J302^2)+'CAFCO 400 '!$L$13*J302+'CAFCO 400 '!$L$14)*I302)+('CAFCO 400 '!$L$15*LN(J302)+'CAFCO 400 '!$L$16)),0),0),0))+(IF(L302="Cafco 400",IF(M302="Idiem software",IF(AND(C302="IN",G302=3),((('CAFCO 400 '!$D$23*(J302^2)+'CAFCO 400 '!$D$24*(J302)+'CAFCO 400 '!$D$25)*I302^2)+(('CAFCO 400 '!$D$26*(J302^2)+'CAFCO 400 '!$D$27*J302+'CAFCO 400 '!$D$28)*I302)+('CAFCO 400 '!$D$29*(J302^2)+'CAFCO 400 '!$D$30*J302+'CAFCO 400 '!$D$31)),0),0),0)),0)</f>
        <v>0</v>
      </c>
      <c r="R302" s="47">
        <f t="shared" si="33"/>
        <v>0</v>
      </c>
      <c r="S302" s="82">
        <f t="shared" si="30"/>
        <v>0</v>
      </c>
      <c r="T302" s="81">
        <f>+IF(AND(J302&gt;=95,J302&lt;=240),IF(AND(C302="Cj",I302=90),VLOOKUP(W302,'CAFCO 300 IDIEM TABLAS'!$B$4:$D$23,2,FALSE),0)+IF(AND(J302&gt;=95,J302&lt;=240),IF(AND(C302="Cj",I302=120),VLOOKUP(W302,'CAFCO 300 IDIEM TABLAS'!$B$4:$D$23,3,FALSE),0))+IF(AND(J302&gt;=95,J302&lt;=400,G302=3),IF(AND(C302="IN",I302=90),VLOOKUP(W302,'CAFCO 300 IDIEM TABLAS'!$F$4:$H$35,2,FALSE),0),0)+IF(AND(J302&gt;=95,J302&lt;=400,G302=3),IF(AND(C302="IN",I302=120),VLOOKUP(W302,'CAFCO 300 IDIEM TABLAS'!$F$4:$H$35,3,FALSE),0),0)+IF(AND(J302&gt;=95,J302&lt;=450,G302=4),IF(AND(C302="IN",I302=90),VLOOKUP(W302,'CAFCO 300 IDIEM TABLAS'!$J$4:$L$40,2,FALSE),0),0)+IF(AND(J302&gt;=95,J302&lt;=450,G302=4),IF(AND(C302="IN",I302=120),VLOOKUP(W302,'CAFCO 300 IDIEM TABLAS'!$J$4:$L$40,3,FALSE),0),0))</f>
        <v>17</v>
      </c>
      <c r="U302" s="48">
        <f t="shared" si="34"/>
        <v>1.5207392281771501</v>
      </c>
      <c r="V302" s="82">
        <f t="shared" si="31"/>
        <v>22832.378771851731</v>
      </c>
      <c r="W302" s="64">
        <f>+IF(J302=LOOKUP(J302,'CAFCO 300 IDIEM TABLAS'!$J$4:$J$40),'HOJA DE CÁLCULO RESPALDO'!J302,MROUND('HOJA DE CÁLCULO RESPALDO'!J302,10))</f>
        <v>95</v>
      </c>
      <c r="X302" s="36"/>
      <c r="Y302" s="4"/>
    </row>
    <row r="303" spans="1:25" x14ac:dyDescent="0.25">
      <c r="A303" s="2" t="s">
        <v>43</v>
      </c>
      <c r="B303" s="3" t="s">
        <v>17</v>
      </c>
      <c r="C303" s="3" t="s">
        <v>19</v>
      </c>
      <c r="D303" s="3">
        <v>1</v>
      </c>
      <c r="E303" s="2">
        <v>1</v>
      </c>
      <c r="F303" s="8">
        <v>1500</v>
      </c>
      <c r="G303" s="1">
        <v>4</v>
      </c>
      <c r="H303" s="2">
        <v>776</v>
      </c>
      <c r="I303" s="34">
        <v>90</v>
      </c>
      <c r="J303" s="11">
        <v>95</v>
      </c>
      <c r="K303" s="44">
        <f t="shared" si="28"/>
        <v>1.1639999999999999</v>
      </c>
      <c r="L303" s="3" t="s">
        <v>61</v>
      </c>
      <c r="M303" s="3" t="s">
        <v>70</v>
      </c>
      <c r="N303" s="15">
        <f>ROUND((IF(L303="Blaze Shield II",IF(M303="Idiem software",IF(AND(C303="IN",G303=4),((('BLAZE SHIELD II'!$D$4*('HOJA DE CÁLCULO RESPALDO'!I303^2)+'BLAZE SHIELD II'!$D$5*'HOJA DE CÁLCULO RESPALDO'!I303+'BLAZE SHIELD II'!$D$6)*LN(J303))+('BLAZE SHIELD II'!$D$7*('HOJA DE CÁLCULO RESPALDO'!I303^2)+'BLAZE SHIELD II'!$D$8*'HOJA DE CÁLCULO RESPALDO'!I303+'BLAZE SHIELD II'!$D$9)),0),0),0))+(IF(L303="Blaze Shield II",IF(M303="Idiem software",IF(C303="Cj",((('BLAZE SHIELD II'!$H$4*('HOJA DE CÁLCULO RESPALDO'!I303^2)+'BLAZE SHIELD II'!$H$5*'HOJA DE CÁLCULO RESPALDO'!I303+'BLAZE SHIELD II'!$H$6)*LN(J303))+('BLAZE SHIELD II'!$H$7*('HOJA DE CÁLCULO RESPALDO'!I303^2)+'BLAZE SHIELD II'!$H$8*'HOJA DE CÁLCULO RESPALDO'!I303+'BLAZE SHIELD II'!$H$9)),0),0),0))+(IF(L303="Blaze Shield II",IF(M303="Idiem software",IF(C303="C",((('BLAZE SHIELD II'!$L$4*('HOJA DE CÁLCULO RESPALDO'!I303^2)+'BLAZE SHIELD II'!$L$5*'HOJA DE CÁLCULO RESPALDO'!I303+'BLAZE SHIELD II'!$L$6)*LN(J303))+('BLAZE SHIELD II'!$L$7*('HOJA DE CÁLCULO RESPALDO'!I303^2)+'BLAZE SHIELD II'!$L$8*'HOJA DE CÁLCULO RESPALDO'!I303+'BLAZE SHIELD II'!$L$9)),0),0),0))+(IF(L303="Blaze Shield II",IF(M303="Idiem software",IF(AND(C303="IN",G303=3),((('BLAZE SHIELD II'!$H$14*('HOJA DE CÁLCULO RESPALDO'!I303^2)+'BLAZE SHIELD II'!$H$15*'HOJA DE CÁLCULO RESPALDO'!I303+'BLAZE SHIELD II'!$H$16)*LN(J303))+('BLAZE SHIELD II'!$H$17*('HOJA DE CÁLCULO RESPALDO'!I303^2)+'BLAZE SHIELD II'!$H$18*'HOJA DE CÁLCULO RESPALDO'!I303+'BLAZE SHIELD II'!$H$19)),0),0),0)),0)</f>
        <v>0</v>
      </c>
      <c r="O303" s="46">
        <f t="shared" si="32"/>
        <v>0</v>
      </c>
      <c r="P303" s="80">
        <f t="shared" si="29"/>
        <v>0</v>
      </c>
      <c r="Q303" s="85">
        <f>ROUND((IF(L303="Cafco 400",IF(M303="Idiem software",IF(AND(C303="IN",G303=4),((('CAFCO 400 '!$H$7*(J303^4)+'CAFCO 400 '!$H$8*(J303^3)+'CAFCO 400 '!$H$9*(J303^2)+'CAFCO 400 '!$H$10*J303+'CAFCO 400 '!$H$11)*I303^2)+(('CAFCO 400 '!$H$12*(J303^3)+'CAFCO 400 '!$H$13*(J303^2)+'CAFCO 400 '!$H$14*J303+'CAFCO 400 '!$H$15)*I303)+('CAFCO 400 '!$H$16*(J303^2)+'CAFCO 400 '!$H$17*J303+'CAFCO 400 '!$H$18)),0),0),0))+(IF(L303="Cafco 400",IF(M303="Idiem software",IF(C303="Cj",(((('CAFCO 400 '!$D$7*LN(J303)+'CAFCO 400 '!$D$8)*I303^2)+(('CAFCO 400 '!$D$9*LN(J303)+'CAFCO 400 '!$D$10)*I303)+('CAFCO 400 '!$D$11*LN(J303)+'CAFCO 400 '!$D$12))),0),0),0))+(IF(L303="Cafco 400",IF(M303="Idiem software",IF(C303="C",((('CAFCO 400 '!$L$7*(J303^3)+'CAFCO 400 '!$L$8*(J303^2)+'CAFCO 400 '!$L$9*J303+'CAFCO 400 '!$L$10)*I303^2)+(('CAFCO 400 '!$L$11*(J303^3)+'CAFCO 400 '!$L$12*(J303^2)+'CAFCO 400 '!$L$13*J303+'CAFCO 400 '!$L$14)*I303)+('CAFCO 400 '!$L$15*LN(J303)+'CAFCO 400 '!$L$16)),0),0),0))+(IF(L303="Cafco 400",IF(M303="Idiem software",IF(AND(C303="IN",G303=3),((('CAFCO 400 '!$D$23*(J303^2)+'CAFCO 400 '!$D$24*(J303)+'CAFCO 400 '!$D$25)*I303^2)+(('CAFCO 400 '!$D$26*(J303^2)+'CAFCO 400 '!$D$27*J303+'CAFCO 400 '!$D$28)*I303)+('CAFCO 400 '!$D$29*(J303^2)+'CAFCO 400 '!$D$30*J303+'CAFCO 400 '!$D$31)),0),0),0)),0)</f>
        <v>0</v>
      </c>
      <c r="R303" s="47">
        <f t="shared" si="33"/>
        <v>0</v>
      </c>
      <c r="S303" s="82">
        <f t="shared" si="30"/>
        <v>0</v>
      </c>
      <c r="T303" s="81">
        <f>+IF(AND(J303&gt;=95,J303&lt;=240),IF(AND(C303="Cj",I303=90),VLOOKUP(W303,'CAFCO 300 IDIEM TABLAS'!$B$4:$D$23,2,FALSE),0)+IF(AND(J303&gt;=95,J303&lt;=240),IF(AND(C303="Cj",I303=120),VLOOKUP(W303,'CAFCO 300 IDIEM TABLAS'!$B$4:$D$23,3,FALSE),0))+IF(AND(J303&gt;=95,J303&lt;=400,G303=3),IF(AND(C303="IN",I303=90),VLOOKUP(W303,'CAFCO 300 IDIEM TABLAS'!$F$4:$H$35,2,FALSE),0),0)+IF(AND(J303&gt;=95,J303&lt;=400,G303=3),IF(AND(C303="IN",I303=120),VLOOKUP(W303,'CAFCO 300 IDIEM TABLAS'!$F$4:$H$35,3,FALSE),0),0)+IF(AND(J303&gt;=95,J303&lt;=450,G303=4),IF(AND(C303="IN",I303=90),VLOOKUP(W303,'CAFCO 300 IDIEM TABLAS'!$J$4:$L$40,2,FALSE),0),0)+IF(AND(J303&gt;=95,J303&lt;=450,G303=4),IF(AND(C303="IN",I303=120),VLOOKUP(W303,'CAFCO 300 IDIEM TABLAS'!$J$4:$L$40,3,FALSE),0),0))</f>
        <v>17</v>
      </c>
      <c r="U303" s="48">
        <f t="shared" si="34"/>
        <v>0.2730693196405648</v>
      </c>
      <c r="V303" s="82">
        <f t="shared" si="31"/>
        <v>4099.8627650834396</v>
      </c>
      <c r="W303" s="64">
        <f>+IF(J303=LOOKUP(J303,'CAFCO 300 IDIEM TABLAS'!$J$4:$J$40),'HOJA DE CÁLCULO RESPALDO'!J303,MROUND('HOJA DE CÁLCULO RESPALDO'!J303,10))</f>
        <v>95</v>
      </c>
      <c r="X303" s="36"/>
      <c r="Y303" s="4"/>
    </row>
    <row r="304" spans="1:25" ht="15.6" customHeight="1" x14ac:dyDescent="0.25">
      <c r="A304" s="2" t="s">
        <v>43</v>
      </c>
      <c r="B304" s="3" t="s">
        <v>17</v>
      </c>
      <c r="C304" s="3" t="s">
        <v>19</v>
      </c>
      <c r="D304" s="3">
        <v>1</v>
      </c>
      <c r="E304" s="2">
        <v>1</v>
      </c>
      <c r="F304" s="8">
        <v>1500</v>
      </c>
      <c r="G304" s="1">
        <v>4</v>
      </c>
      <c r="H304" s="2">
        <v>3879</v>
      </c>
      <c r="I304" s="34">
        <v>90</v>
      </c>
      <c r="J304" s="11">
        <v>95</v>
      </c>
      <c r="K304" s="44">
        <f t="shared" si="28"/>
        <v>5.8185000000000002</v>
      </c>
      <c r="L304" s="3" t="s">
        <v>61</v>
      </c>
      <c r="M304" s="3" t="s">
        <v>70</v>
      </c>
      <c r="N304" s="15">
        <f>ROUND((IF(L304="Blaze Shield II",IF(M304="Idiem software",IF(AND(C304="IN",G304=4),((('BLAZE SHIELD II'!$D$4*('HOJA DE CÁLCULO RESPALDO'!I304^2)+'BLAZE SHIELD II'!$D$5*'HOJA DE CÁLCULO RESPALDO'!I304+'BLAZE SHIELD II'!$D$6)*LN(J304))+('BLAZE SHIELD II'!$D$7*('HOJA DE CÁLCULO RESPALDO'!I304^2)+'BLAZE SHIELD II'!$D$8*'HOJA DE CÁLCULO RESPALDO'!I304+'BLAZE SHIELD II'!$D$9)),0),0),0))+(IF(L304="Blaze Shield II",IF(M304="Idiem software",IF(C304="Cj",((('BLAZE SHIELD II'!$H$4*('HOJA DE CÁLCULO RESPALDO'!I304^2)+'BLAZE SHIELD II'!$H$5*'HOJA DE CÁLCULO RESPALDO'!I304+'BLAZE SHIELD II'!$H$6)*LN(J304))+('BLAZE SHIELD II'!$H$7*('HOJA DE CÁLCULO RESPALDO'!I304^2)+'BLAZE SHIELD II'!$H$8*'HOJA DE CÁLCULO RESPALDO'!I304+'BLAZE SHIELD II'!$H$9)),0),0),0))+(IF(L304="Blaze Shield II",IF(M304="Idiem software",IF(C304="C",((('BLAZE SHIELD II'!$L$4*('HOJA DE CÁLCULO RESPALDO'!I304^2)+'BLAZE SHIELD II'!$L$5*'HOJA DE CÁLCULO RESPALDO'!I304+'BLAZE SHIELD II'!$L$6)*LN(J304))+('BLAZE SHIELD II'!$L$7*('HOJA DE CÁLCULO RESPALDO'!I304^2)+'BLAZE SHIELD II'!$L$8*'HOJA DE CÁLCULO RESPALDO'!I304+'BLAZE SHIELD II'!$L$9)),0),0),0))+(IF(L304="Blaze Shield II",IF(M304="Idiem software",IF(AND(C304="IN",G304=3),((('BLAZE SHIELD II'!$H$14*('HOJA DE CÁLCULO RESPALDO'!I304^2)+'BLAZE SHIELD II'!$H$15*'HOJA DE CÁLCULO RESPALDO'!I304+'BLAZE SHIELD II'!$H$16)*LN(J304))+('BLAZE SHIELD II'!$H$17*('HOJA DE CÁLCULO RESPALDO'!I304^2)+'BLAZE SHIELD II'!$H$18*'HOJA DE CÁLCULO RESPALDO'!I304+'BLAZE SHIELD II'!$H$19)),0),0),0)),0)</f>
        <v>0</v>
      </c>
      <c r="O304" s="46">
        <f t="shared" si="32"/>
        <v>0</v>
      </c>
      <c r="P304" s="80">
        <f t="shared" si="29"/>
        <v>0</v>
      </c>
      <c r="Q304" s="85">
        <f>ROUND((IF(L304="Cafco 400",IF(M304="Idiem software",IF(AND(C304="IN",G304=4),((('CAFCO 400 '!$H$7*(J304^4)+'CAFCO 400 '!$H$8*(J304^3)+'CAFCO 400 '!$H$9*(J304^2)+'CAFCO 400 '!$H$10*J304+'CAFCO 400 '!$H$11)*I304^2)+(('CAFCO 400 '!$H$12*(J304^3)+'CAFCO 400 '!$H$13*(J304^2)+'CAFCO 400 '!$H$14*J304+'CAFCO 400 '!$H$15)*I304)+('CAFCO 400 '!$H$16*(J304^2)+'CAFCO 400 '!$H$17*J304+'CAFCO 400 '!$H$18)),0),0),0))+(IF(L304="Cafco 400",IF(M304="Idiem software",IF(C304="Cj",(((('CAFCO 400 '!$D$7*LN(J304)+'CAFCO 400 '!$D$8)*I304^2)+(('CAFCO 400 '!$D$9*LN(J304)+'CAFCO 400 '!$D$10)*I304)+('CAFCO 400 '!$D$11*LN(J304)+'CAFCO 400 '!$D$12))),0),0),0))+(IF(L304="Cafco 400",IF(M304="Idiem software",IF(C304="C",((('CAFCO 400 '!$L$7*(J304^3)+'CAFCO 400 '!$L$8*(J304^2)+'CAFCO 400 '!$L$9*J304+'CAFCO 400 '!$L$10)*I304^2)+(('CAFCO 400 '!$L$11*(J304^3)+'CAFCO 400 '!$L$12*(J304^2)+'CAFCO 400 '!$L$13*J304+'CAFCO 400 '!$L$14)*I304)+('CAFCO 400 '!$L$15*LN(J304)+'CAFCO 400 '!$L$16)),0),0),0))+(IF(L304="Cafco 400",IF(M304="Idiem software",IF(AND(C304="IN",G304=3),((('CAFCO 400 '!$D$23*(J304^2)+'CAFCO 400 '!$D$24*(J304)+'CAFCO 400 '!$D$25)*I304^2)+(('CAFCO 400 '!$D$26*(J304^2)+'CAFCO 400 '!$D$27*J304+'CAFCO 400 '!$D$28)*I304)+('CAFCO 400 '!$D$29*(J304^2)+'CAFCO 400 '!$D$30*J304+'CAFCO 400 '!$D$31)),0),0),0)),0)</f>
        <v>0</v>
      </c>
      <c r="R304" s="47">
        <f t="shared" si="33"/>
        <v>0</v>
      </c>
      <c r="S304" s="82">
        <f t="shared" si="30"/>
        <v>0</v>
      </c>
      <c r="T304" s="81">
        <f>+IF(AND(J304&gt;=95,J304&lt;=240),IF(AND(C304="Cj",I304=90),VLOOKUP(W304,'CAFCO 300 IDIEM TABLAS'!$B$4:$D$23,2,FALSE),0)+IF(AND(J304&gt;=95,J304&lt;=240),IF(AND(C304="Cj",I304=120),VLOOKUP(W304,'CAFCO 300 IDIEM TABLAS'!$B$4:$D$23,3,FALSE),0))+IF(AND(J304&gt;=95,J304&lt;=400,G304=3),IF(AND(C304="IN",I304=90),VLOOKUP(W304,'CAFCO 300 IDIEM TABLAS'!$F$4:$H$35,2,FALSE),0),0)+IF(AND(J304&gt;=95,J304&lt;=400,G304=3),IF(AND(C304="IN",I304=120),VLOOKUP(W304,'CAFCO 300 IDIEM TABLAS'!$F$4:$H$35,3,FALSE),0),0)+IF(AND(J304&gt;=95,J304&lt;=450,G304=4),IF(AND(C304="IN",I304=90),VLOOKUP(W304,'CAFCO 300 IDIEM TABLAS'!$J$4:$L$40,2,FALSE),0),0)+IF(AND(J304&gt;=95,J304&lt;=450,G304=4),IF(AND(C304="IN",I304=120),VLOOKUP(W304,'CAFCO 300 IDIEM TABLAS'!$J$4:$L$40,3,FALSE),0),0))</f>
        <v>17</v>
      </c>
      <c r="U304" s="48">
        <f t="shared" si="34"/>
        <v>1.3649947047496791</v>
      </c>
      <c r="V304" s="82">
        <f t="shared" si="31"/>
        <v>20494.030497111682</v>
      </c>
      <c r="W304" s="64">
        <f>+IF(J304=LOOKUP(J304,'CAFCO 300 IDIEM TABLAS'!$J$4:$J$40),'HOJA DE CÁLCULO RESPALDO'!J304,MROUND('HOJA DE CÁLCULO RESPALDO'!J304,10))</f>
        <v>95</v>
      </c>
      <c r="X304" s="36"/>
      <c r="Y304" s="4"/>
    </row>
    <row r="305" spans="1:25" x14ac:dyDescent="0.25">
      <c r="A305" s="2" t="s">
        <v>43</v>
      </c>
      <c r="B305" s="3" t="s">
        <v>17</v>
      </c>
      <c r="C305" s="3" t="s">
        <v>19</v>
      </c>
      <c r="D305" s="3">
        <v>1</v>
      </c>
      <c r="E305" s="2">
        <v>1</v>
      </c>
      <c r="F305" s="8">
        <v>12634</v>
      </c>
      <c r="G305" s="1">
        <v>4</v>
      </c>
      <c r="H305" s="2">
        <v>585</v>
      </c>
      <c r="I305" s="34">
        <v>90</v>
      </c>
      <c r="J305" s="11">
        <v>95</v>
      </c>
      <c r="K305" s="44">
        <f t="shared" si="28"/>
        <v>7.3908899999999997</v>
      </c>
      <c r="L305" s="3" t="s">
        <v>61</v>
      </c>
      <c r="M305" s="3" t="s">
        <v>70</v>
      </c>
      <c r="N305" s="15">
        <f>ROUND((IF(L305="Blaze Shield II",IF(M305="Idiem software",IF(AND(C305="IN",G305=4),((('BLAZE SHIELD II'!$D$4*('HOJA DE CÁLCULO RESPALDO'!I305^2)+'BLAZE SHIELD II'!$D$5*'HOJA DE CÁLCULO RESPALDO'!I305+'BLAZE SHIELD II'!$D$6)*LN(J305))+('BLAZE SHIELD II'!$D$7*('HOJA DE CÁLCULO RESPALDO'!I305^2)+'BLAZE SHIELD II'!$D$8*'HOJA DE CÁLCULO RESPALDO'!I305+'BLAZE SHIELD II'!$D$9)),0),0),0))+(IF(L305="Blaze Shield II",IF(M305="Idiem software",IF(C305="Cj",((('BLAZE SHIELD II'!$H$4*('HOJA DE CÁLCULO RESPALDO'!I305^2)+'BLAZE SHIELD II'!$H$5*'HOJA DE CÁLCULO RESPALDO'!I305+'BLAZE SHIELD II'!$H$6)*LN(J305))+('BLAZE SHIELD II'!$H$7*('HOJA DE CÁLCULO RESPALDO'!I305^2)+'BLAZE SHIELD II'!$H$8*'HOJA DE CÁLCULO RESPALDO'!I305+'BLAZE SHIELD II'!$H$9)),0),0),0))+(IF(L305="Blaze Shield II",IF(M305="Idiem software",IF(C305="C",((('BLAZE SHIELD II'!$L$4*('HOJA DE CÁLCULO RESPALDO'!I305^2)+'BLAZE SHIELD II'!$L$5*'HOJA DE CÁLCULO RESPALDO'!I305+'BLAZE SHIELD II'!$L$6)*LN(J305))+('BLAZE SHIELD II'!$L$7*('HOJA DE CÁLCULO RESPALDO'!I305^2)+'BLAZE SHIELD II'!$L$8*'HOJA DE CÁLCULO RESPALDO'!I305+'BLAZE SHIELD II'!$L$9)),0),0),0))+(IF(L305="Blaze Shield II",IF(M305="Idiem software",IF(AND(C305="IN",G305=3),((('BLAZE SHIELD II'!$H$14*('HOJA DE CÁLCULO RESPALDO'!I305^2)+'BLAZE SHIELD II'!$H$15*'HOJA DE CÁLCULO RESPALDO'!I305+'BLAZE SHIELD II'!$H$16)*LN(J305))+('BLAZE SHIELD II'!$H$17*('HOJA DE CÁLCULO RESPALDO'!I305^2)+'BLAZE SHIELD II'!$H$18*'HOJA DE CÁLCULO RESPALDO'!I305+'BLAZE SHIELD II'!$H$19)),0),0),0)),0)</f>
        <v>0</v>
      </c>
      <c r="O305" s="46">
        <f t="shared" si="32"/>
        <v>0</v>
      </c>
      <c r="P305" s="80">
        <f t="shared" si="29"/>
        <v>0</v>
      </c>
      <c r="Q305" s="85">
        <f>ROUND((IF(L305="Cafco 400",IF(M305="Idiem software",IF(AND(C305="IN",G305=4),((('CAFCO 400 '!$H$7*(J305^4)+'CAFCO 400 '!$H$8*(J305^3)+'CAFCO 400 '!$H$9*(J305^2)+'CAFCO 400 '!$H$10*J305+'CAFCO 400 '!$H$11)*I305^2)+(('CAFCO 400 '!$H$12*(J305^3)+'CAFCO 400 '!$H$13*(J305^2)+'CAFCO 400 '!$H$14*J305+'CAFCO 400 '!$H$15)*I305)+('CAFCO 400 '!$H$16*(J305^2)+'CAFCO 400 '!$H$17*J305+'CAFCO 400 '!$H$18)),0),0),0))+(IF(L305="Cafco 400",IF(M305="Idiem software",IF(C305="Cj",(((('CAFCO 400 '!$D$7*LN(J305)+'CAFCO 400 '!$D$8)*I305^2)+(('CAFCO 400 '!$D$9*LN(J305)+'CAFCO 400 '!$D$10)*I305)+('CAFCO 400 '!$D$11*LN(J305)+'CAFCO 400 '!$D$12))),0),0),0))+(IF(L305="Cafco 400",IF(M305="Idiem software",IF(C305="C",((('CAFCO 400 '!$L$7*(J305^3)+'CAFCO 400 '!$L$8*(J305^2)+'CAFCO 400 '!$L$9*J305+'CAFCO 400 '!$L$10)*I305^2)+(('CAFCO 400 '!$L$11*(J305^3)+'CAFCO 400 '!$L$12*(J305^2)+'CAFCO 400 '!$L$13*J305+'CAFCO 400 '!$L$14)*I305)+('CAFCO 400 '!$L$15*LN(J305)+'CAFCO 400 '!$L$16)),0),0),0))+(IF(L305="Cafco 400",IF(M305="Idiem software",IF(AND(C305="IN",G305=3),((('CAFCO 400 '!$D$23*(J305^2)+'CAFCO 400 '!$D$24*(J305)+'CAFCO 400 '!$D$25)*I305^2)+(('CAFCO 400 '!$D$26*(J305^2)+'CAFCO 400 '!$D$27*J305+'CAFCO 400 '!$D$28)*I305)+('CAFCO 400 '!$D$29*(J305^2)+'CAFCO 400 '!$D$30*J305+'CAFCO 400 '!$D$31)),0),0),0)),0)</f>
        <v>0</v>
      </c>
      <c r="R305" s="47">
        <f t="shared" si="33"/>
        <v>0</v>
      </c>
      <c r="S305" s="82">
        <f t="shared" si="30"/>
        <v>0</v>
      </c>
      <c r="T305" s="81">
        <f>+IF(AND(J305&gt;=95,J305&lt;=240),IF(AND(C305="Cj",I305=90),VLOOKUP(W305,'CAFCO 300 IDIEM TABLAS'!$B$4:$D$23,2,FALSE),0)+IF(AND(J305&gt;=95,J305&lt;=240),IF(AND(C305="Cj",I305=120),VLOOKUP(W305,'CAFCO 300 IDIEM TABLAS'!$B$4:$D$23,3,FALSE),0))+IF(AND(J305&gt;=95,J305&lt;=400,G305=3),IF(AND(C305="IN",I305=90),VLOOKUP(W305,'CAFCO 300 IDIEM TABLAS'!$F$4:$H$35,2,FALSE),0),0)+IF(AND(J305&gt;=95,J305&lt;=400,G305=3),IF(AND(C305="IN",I305=120),VLOOKUP(W305,'CAFCO 300 IDIEM TABLAS'!$F$4:$H$35,3,FALSE),0),0)+IF(AND(J305&gt;=95,J305&lt;=450,G305=4),IF(AND(C305="IN",I305=90),VLOOKUP(W305,'CAFCO 300 IDIEM TABLAS'!$J$4:$L$40,2,FALSE),0),0)+IF(AND(J305&gt;=95,J305&lt;=450,G305=4),IF(AND(C305="IN",I305=120),VLOOKUP(W305,'CAFCO 300 IDIEM TABLAS'!$J$4:$L$40,3,FALSE),0),0))</f>
        <v>17</v>
      </c>
      <c r="U305" s="48">
        <f t="shared" si="34"/>
        <v>1.7338705359435174</v>
      </c>
      <c r="V305" s="82">
        <f t="shared" si="31"/>
        <v>26032.33222665597</v>
      </c>
      <c r="W305" s="64">
        <f>+IF(J305=LOOKUP(J305,'CAFCO 300 IDIEM TABLAS'!$J$4:$J$40),'HOJA DE CÁLCULO RESPALDO'!J305,MROUND('HOJA DE CÁLCULO RESPALDO'!J305,10))</f>
        <v>95</v>
      </c>
      <c r="X305" s="36"/>
      <c r="Y305" s="4"/>
    </row>
    <row r="306" spans="1:25" ht="15.6" customHeight="1" x14ac:dyDescent="0.25">
      <c r="A306" s="2" t="s">
        <v>43</v>
      </c>
      <c r="B306" s="3" t="s">
        <v>17</v>
      </c>
      <c r="C306" s="3" t="s">
        <v>19</v>
      </c>
      <c r="D306" s="3">
        <v>1</v>
      </c>
      <c r="E306" s="2">
        <v>1</v>
      </c>
      <c r="F306" s="8">
        <v>1500</v>
      </c>
      <c r="G306" s="1">
        <v>4</v>
      </c>
      <c r="H306" s="2">
        <v>776</v>
      </c>
      <c r="I306" s="34">
        <v>90</v>
      </c>
      <c r="J306" s="11">
        <v>95</v>
      </c>
      <c r="K306" s="44">
        <f t="shared" si="28"/>
        <v>1.1639999999999999</v>
      </c>
      <c r="L306" s="3" t="s">
        <v>61</v>
      </c>
      <c r="M306" s="3" t="s">
        <v>70</v>
      </c>
      <c r="N306" s="15">
        <f>ROUND((IF(L306="Blaze Shield II",IF(M306="Idiem software",IF(AND(C306="IN",G306=4),((('BLAZE SHIELD II'!$D$4*('HOJA DE CÁLCULO RESPALDO'!I306^2)+'BLAZE SHIELD II'!$D$5*'HOJA DE CÁLCULO RESPALDO'!I306+'BLAZE SHIELD II'!$D$6)*LN(J306))+('BLAZE SHIELD II'!$D$7*('HOJA DE CÁLCULO RESPALDO'!I306^2)+'BLAZE SHIELD II'!$D$8*'HOJA DE CÁLCULO RESPALDO'!I306+'BLAZE SHIELD II'!$D$9)),0),0),0))+(IF(L306="Blaze Shield II",IF(M306="Idiem software",IF(C306="Cj",((('BLAZE SHIELD II'!$H$4*('HOJA DE CÁLCULO RESPALDO'!I306^2)+'BLAZE SHIELD II'!$H$5*'HOJA DE CÁLCULO RESPALDO'!I306+'BLAZE SHIELD II'!$H$6)*LN(J306))+('BLAZE SHIELD II'!$H$7*('HOJA DE CÁLCULO RESPALDO'!I306^2)+'BLAZE SHIELD II'!$H$8*'HOJA DE CÁLCULO RESPALDO'!I306+'BLAZE SHIELD II'!$H$9)),0),0),0))+(IF(L306="Blaze Shield II",IF(M306="Idiem software",IF(C306="C",((('BLAZE SHIELD II'!$L$4*('HOJA DE CÁLCULO RESPALDO'!I306^2)+'BLAZE SHIELD II'!$L$5*'HOJA DE CÁLCULO RESPALDO'!I306+'BLAZE SHIELD II'!$L$6)*LN(J306))+('BLAZE SHIELD II'!$L$7*('HOJA DE CÁLCULO RESPALDO'!I306^2)+'BLAZE SHIELD II'!$L$8*'HOJA DE CÁLCULO RESPALDO'!I306+'BLAZE SHIELD II'!$L$9)),0),0),0))+(IF(L306="Blaze Shield II",IF(M306="Idiem software",IF(AND(C306="IN",G306=3),((('BLAZE SHIELD II'!$H$14*('HOJA DE CÁLCULO RESPALDO'!I306^2)+'BLAZE SHIELD II'!$H$15*'HOJA DE CÁLCULO RESPALDO'!I306+'BLAZE SHIELD II'!$H$16)*LN(J306))+('BLAZE SHIELD II'!$H$17*('HOJA DE CÁLCULO RESPALDO'!I306^2)+'BLAZE SHIELD II'!$H$18*'HOJA DE CÁLCULO RESPALDO'!I306+'BLAZE SHIELD II'!$H$19)),0),0),0)),0)</f>
        <v>0</v>
      </c>
      <c r="O306" s="46">
        <f t="shared" si="32"/>
        <v>0</v>
      </c>
      <c r="P306" s="80">
        <f t="shared" si="29"/>
        <v>0</v>
      </c>
      <c r="Q306" s="85">
        <f>ROUND((IF(L306="Cafco 400",IF(M306="Idiem software",IF(AND(C306="IN",G306=4),((('CAFCO 400 '!$H$7*(J306^4)+'CAFCO 400 '!$H$8*(J306^3)+'CAFCO 400 '!$H$9*(J306^2)+'CAFCO 400 '!$H$10*J306+'CAFCO 400 '!$H$11)*I306^2)+(('CAFCO 400 '!$H$12*(J306^3)+'CAFCO 400 '!$H$13*(J306^2)+'CAFCO 400 '!$H$14*J306+'CAFCO 400 '!$H$15)*I306)+('CAFCO 400 '!$H$16*(J306^2)+'CAFCO 400 '!$H$17*J306+'CAFCO 400 '!$H$18)),0),0),0))+(IF(L306="Cafco 400",IF(M306="Idiem software",IF(C306="Cj",(((('CAFCO 400 '!$D$7*LN(J306)+'CAFCO 400 '!$D$8)*I306^2)+(('CAFCO 400 '!$D$9*LN(J306)+'CAFCO 400 '!$D$10)*I306)+('CAFCO 400 '!$D$11*LN(J306)+'CAFCO 400 '!$D$12))),0),0),0))+(IF(L306="Cafco 400",IF(M306="Idiem software",IF(C306="C",((('CAFCO 400 '!$L$7*(J306^3)+'CAFCO 400 '!$L$8*(J306^2)+'CAFCO 400 '!$L$9*J306+'CAFCO 400 '!$L$10)*I306^2)+(('CAFCO 400 '!$L$11*(J306^3)+'CAFCO 400 '!$L$12*(J306^2)+'CAFCO 400 '!$L$13*J306+'CAFCO 400 '!$L$14)*I306)+('CAFCO 400 '!$L$15*LN(J306)+'CAFCO 400 '!$L$16)),0),0),0))+(IF(L306="Cafco 400",IF(M306="Idiem software",IF(AND(C306="IN",G306=3),((('CAFCO 400 '!$D$23*(J306^2)+'CAFCO 400 '!$D$24*(J306)+'CAFCO 400 '!$D$25)*I306^2)+(('CAFCO 400 '!$D$26*(J306^2)+'CAFCO 400 '!$D$27*J306+'CAFCO 400 '!$D$28)*I306)+('CAFCO 400 '!$D$29*(J306^2)+'CAFCO 400 '!$D$30*J306+'CAFCO 400 '!$D$31)),0),0),0)),0)</f>
        <v>0</v>
      </c>
      <c r="R306" s="47">
        <f t="shared" si="33"/>
        <v>0</v>
      </c>
      <c r="S306" s="82">
        <f t="shared" si="30"/>
        <v>0</v>
      </c>
      <c r="T306" s="81">
        <f>+IF(AND(J306&gt;=95,J306&lt;=240),IF(AND(C306="Cj",I306=90),VLOOKUP(W306,'CAFCO 300 IDIEM TABLAS'!$B$4:$D$23,2,FALSE),0)+IF(AND(J306&gt;=95,J306&lt;=240),IF(AND(C306="Cj",I306=120),VLOOKUP(W306,'CAFCO 300 IDIEM TABLAS'!$B$4:$D$23,3,FALSE),0))+IF(AND(J306&gt;=95,J306&lt;=400,G306=3),IF(AND(C306="IN",I306=90),VLOOKUP(W306,'CAFCO 300 IDIEM TABLAS'!$F$4:$H$35,2,FALSE),0),0)+IF(AND(J306&gt;=95,J306&lt;=400,G306=3),IF(AND(C306="IN",I306=120),VLOOKUP(W306,'CAFCO 300 IDIEM TABLAS'!$F$4:$H$35,3,FALSE),0),0)+IF(AND(J306&gt;=95,J306&lt;=450,G306=4),IF(AND(C306="IN",I306=90),VLOOKUP(W306,'CAFCO 300 IDIEM TABLAS'!$J$4:$L$40,2,FALSE),0),0)+IF(AND(J306&gt;=95,J306&lt;=450,G306=4),IF(AND(C306="IN",I306=120),VLOOKUP(W306,'CAFCO 300 IDIEM TABLAS'!$J$4:$L$40,3,FALSE),0),0))</f>
        <v>17</v>
      </c>
      <c r="U306" s="48">
        <f t="shared" si="34"/>
        <v>0.2730693196405648</v>
      </c>
      <c r="V306" s="82">
        <f t="shared" si="31"/>
        <v>4099.8627650834396</v>
      </c>
      <c r="W306" s="64">
        <f>+IF(J306=LOOKUP(J306,'CAFCO 300 IDIEM TABLAS'!$J$4:$J$40),'HOJA DE CÁLCULO RESPALDO'!J306,MROUND('HOJA DE CÁLCULO RESPALDO'!J306,10))</f>
        <v>95</v>
      </c>
      <c r="X306" s="36"/>
      <c r="Y306" s="4"/>
    </row>
    <row r="307" spans="1:25" x14ac:dyDescent="0.25">
      <c r="A307" s="2" t="s">
        <v>43</v>
      </c>
      <c r="B307" s="3" t="s">
        <v>17</v>
      </c>
      <c r="C307" s="3" t="s">
        <v>19</v>
      </c>
      <c r="D307" s="3">
        <v>1</v>
      </c>
      <c r="E307" s="2">
        <v>1</v>
      </c>
      <c r="F307" s="8">
        <v>11097</v>
      </c>
      <c r="G307" s="1">
        <v>4</v>
      </c>
      <c r="H307" s="2">
        <v>585</v>
      </c>
      <c r="I307" s="34">
        <v>90</v>
      </c>
      <c r="J307" s="11">
        <v>95</v>
      </c>
      <c r="K307" s="44">
        <f t="shared" si="28"/>
        <v>6.4917449999999999</v>
      </c>
      <c r="L307" s="3" t="s">
        <v>61</v>
      </c>
      <c r="M307" s="3" t="s">
        <v>70</v>
      </c>
      <c r="N307" s="15">
        <f>ROUND((IF(L307="Blaze Shield II",IF(M307="Idiem software",IF(AND(C307="IN",G307=4),((('BLAZE SHIELD II'!$D$4*('HOJA DE CÁLCULO RESPALDO'!I307^2)+'BLAZE SHIELD II'!$D$5*'HOJA DE CÁLCULO RESPALDO'!I307+'BLAZE SHIELD II'!$D$6)*LN(J307))+('BLAZE SHIELD II'!$D$7*('HOJA DE CÁLCULO RESPALDO'!I307^2)+'BLAZE SHIELD II'!$D$8*'HOJA DE CÁLCULO RESPALDO'!I307+'BLAZE SHIELD II'!$D$9)),0),0),0))+(IF(L307="Blaze Shield II",IF(M307="Idiem software",IF(C307="Cj",((('BLAZE SHIELD II'!$H$4*('HOJA DE CÁLCULO RESPALDO'!I307^2)+'BLAZE SHIELD II'!$H$5*'HOJA DE CÁLCULO RESPALDO'!I307+'BLAZE SHIELD II'!$H$6)*LN(J307))+('BLAZE SHIELD II'!$H$7*('HOJA DE CÁLCULO RESPALDO'!I307^2)+'BLAZE SHIELD II'!$H$8*'HOJA DE CÁLCULO RESPALDO'!I307+'BLAZE SHIELD II'!$H$9)),0),0),0))+(IF(L307="Blaze Shield II",IF(M307="Idiem software",IF(C307="C",((('BLAZE SHIELD II'!$L$4*('HOJA DE CÁLCULO RESPALDO'!I307^2)+'BLAZE SHIELD II'!$L$5*'HOJA DE CÁLCULO RESPALDO'!I307+'BLAZE SHIELD II'!$L$6)*LN(J307))+('BLAZE SHIELD II'!$L$7*('HOJA DE CÁLCULO RESPALDO'!I307^2)+'BLAZE SHIELD II'!$L$8*'HOJA DE CÁLCULO RESPALDO'!I307+'BLAZE SHIELD II'!$L$9)),0),0),0))+(IF(L307="Blaze Shield II",IF(M307="Idiem software",IF(AND(C307="IN",G307=3),((('BLAZE SHIELD II'!$H$14*('HOJA DE CÁLCULO RESPALDO'!I307^2)+'BLAZE SHIELD II'!$H$15*'HOJA DE CÁLCULO RESPALDO'!I307+'BLAZE SHIELD II'!$H$16)*LN(J307))+('BLAZE SHIELD II'!$H$17*('HOJA DE CÁLCULO RESPALDO'!I307^2)+'BLAZE SHIELD II'!$H$18*'HOJA DE CÁLCULO RESPALDO'!I307+'BLAZE SHIELD II'!$H$19)),0),0),0)),0)</f>
        <v>0</v>
      </c>
      <c r="O307" s="46">
        <f t="shared" si="32"/>
        <v>0</v>
      </c>
      <c r="P307" s="80">
        <f t="shared" si="29"/>
        <v>0</v>
      </c>
      <c r="Q307" s="85">
        <f>ROUND((IF(L307="Cafco 400",IF(M307="Idiem software",IF(AND(C307="IN",G307=4),((('CAFCO 400 '!$H$7*(J307^4)+'CAFCO 400 '!$H$8*(J307^3)+'CAFCO 400 '!$H$9*(J307^2)+'CAFCO 400 '!$H$10*J307+'CAFCO 400 '!$H$11)*I307^2)+(('CAFCO 400 '!$H$12*(J307^3)+'CAFCO 400 '!$H$13*(J307^2)+'CAFCO 400 '!$H$14*J307+'CAFCO 400 '!$H$15)*I307)+('CAFCO 400 '!$H$16*(J307^2)+'CAFCO 400 '!$H$17*J307+'CAFCO 400 '!$H$18)),0),0),0))+(IF(L307="Cafco 400",IF(M307="Idiem software",IF(C307="Cj",(((('CAFCO 400 '!$D$7*LN(J307)+'CAFCO 400 '!$D$8)*I307^2)+(('CAFCO 400 '!$D$9*LN(J307)+'CAFCO 400 '!$D$10)*I307)+('CAFCO 400 '!$D$11*LN(J307)+'CAFCO 400 '!$D$12))),0),0),0))+(IF(L307="Cafco 400",IF(M307="Idiem software",IF(C307="C",((('CAFCO 400 '!$L$7*(J307^3)+'CAFCO 400 '!$L$8*(J307^2)+'CAFCO 400 '!$L$9*J307+'CAFCO 400 '!$L$10)*I307^2)+(('CAFCO 400 '!$L$11*(J307^3)+'CAFCO 400 '!$L$12*(J307^2)+'CAFCO 400 '!$L$13*J307+'CAFCO 400 '!$L$14)*I307)+('CAFCO 400 '!$L$15*LN(J307)+'CAFCO 400 '!$L$16)),0),0),0))+(IF(L307="Cafco 400",IF(M307="Idiem software",IF(AND(C307="IN",G307=3),((('CAFCO 400 '!$D$23*(J307^2)+'CAFCO 400 '!$D$24*(J307)+'CAFCO 400 '!$D$25)*I307^2)+(('CAFCO 400 '!$D$26*(J307^2)+'CAFCO 400 '!$D$27*J307+'CAFCO 400 '!$D$28)*I307)+('CAFCO 400 '!$D$29*(J307^2)+'CAFCO 400 '!$D$30*J307+'CAFCO 400 '!$D$31)),0),0),0)),0)</f>
        <v>0</v>
      </c>
      <c r="R307" s="47">
        <f t="shared" si="33"/>
        <v>0</v>
      </c>
      <c r="S307" s="82">
        <f t="shared" si="30"/>
        <v>0</v>
      </c>
      <c r="T307" s="81">
        <f>+IF(AND(J307&gt;=95,J307&lt;=240),IF(AND(C307="Cj",I307=90),VLOOKUP(W307,'CAFCO 300 IDIEM TABLAS'!$B$4:$D$23,2,FALSE),0)+IF(AND(J307&gt;=95,J307&lt;=240),IF(AND(C307="Cj",I307=120),VLOOKUP(W307,'CAFCO 300 IDIEM TABLAS'!$B$4:$D$23,3,FALSE),0))+IF(AND(J307&gt;=95,J307&lt;=400,G307=3),IF(AND(C307="IN",I307=90),VLOOKUP(W307,'CAFCO 300 IDIEM TABLAS'!$F$4:$H$35,2,FALSE),0),0)+IF(AND(J307&gt;=95,J307&lt;=400,G307=3),IF(AND(C307="IN",I307=120),VLOOKUP(W307,'CAFCO 300 IDIEM TABLAS'!$F$4:$H$35,3,FALSE),0),0)+IF(AND(J307&gt;=95,J307&lt;=450,G307=4),IF(AND(C307="IN",I307=90),VLOOKUP(W307,'CAFCO 300 IDIEM TABLAS'!$J$4:$L$40,2,FALSE),0),0)+IF(AND(J307&gt;=95,J307&lt;=450,G307=4),IF(AND(C307="IN",I307=120),VLOOKUP(W307,'CAFCO 300 IDIEM TABLAS'!$J$4:$L$40,3,FALSE),0),0))</f>
        <v>17</v>
      </c>
      <c r="U307" s="48">
        <f t="shared" si="34"/>
        <v>1.5229350433247753</v>
      </c>
      <c r="V307" s="82">
        <f t="shared" si="31"/>
        <v>22865.346740478177</v>
      </c>
      <c r="W307" s="64">
        <f>+IF(J307=LOOKUP(J307,'CAFCO 300 IDIEM TABLAS'!$J$4:$J$40),'HOJA DE CÁLCULO RESPALDO'!J307,MROUND('HOJA DE CÁLCULO RESPALDO'!J307,10))</f>
        <v>95</v>
      </c>
      <c r="X307" s="36"/>
      <c r="Y307" s="4"/>
    </row>
    <row r="308" spans="1:25" ht="15.6" customHeight="1" x14ac:dyDescent="0.25">
      <c r="A308" s="2" t="s">
        <v>45</v>
      </c>
      <c r="B308" s="3" t="s">
        <v>17</v>
      </c>
      <c r="C308" s="3" t="s">
        <v>19</v>
      </c>
      <c r="D308" s="3">
        <v>1</v>
      </c>
      <c r="E308" s="2">
        <v>1</v>
      </c>
      <c r="F308" s="8">
        <v>1500</v>
      </c>
      <c r="G308" s="1">
        <v>4</v>
      </c>
      <c r="H308" s="2">
        <v>776</v>
      </c>
      <c r="I308" s="34">
        <v>90</v>
      </c>
      <c r="J308" s="11">
        <v>95</v>
      </c>
      <c r="K308" s="44">
        <f t="shared" si="28"/>
        <v>1.1639999999999999</v>
      </c>
      <c r="L308" s="3" t="s">
        <v>61</v>
      </c>
      <c r="M308" s="3" t="s">
        <v>70</v>
      </c>
      <c r="N308" s="15">
        <f>ROUND((IF(L308="Blaze Shield II",IF(M308="Idiem software",IF(AND(C308="IN",G308=4),((('BLAZE SHIELD II'!$D$4*('HOJA DE CÁLCULO RESPALDO'!I308^2)+'BLAZE SHIELD II'!$D$5*'HOJA DE CÁLCULO RESPALDO'!I308+'BLAZE SHIELD II'!$D$6)*LN(J308))+('BLAZE SHIELD II'!$D$7*('HOJA DE CÁLCULO RESPALDO'!I308^2)+'BLAZE SHIELD II'!$D$8*'HOJA DE CÁLCULO RESPALDO'!I308+'BLAZE SHIELD II'!$D$9)),0),0),0))+(IF(L308="Blaze Shield II",IF(M308="Idiem software",IF(C308="Cj",((('BLAZE SHIELD II'!$H$4*('HOJA DE CÁLCULO RESPALDO'!I308^2)+'BLAZE SHIELD II'!$H$5*'HOJA DE CÁLCULO RESPALDO'!I308+'BLAZE SHIELD II'!$H$6)*LN(J308))+('BLAZE SHIELD II'!$H$7*('HOJA DE CÁLCULO RESPALDO'!I308^2)+'BLAZE SHIELD II'!$H$8*'HOJA DE CÁLCULO RESPALDO'!I308+'BLAZE SHIELD II'!$H$9)),0),0),0))+(IF(L308="Blaze Shield II",IF(M308="Idiem software",IF(C308="C",((('BLAZE SHIELD II'!$L$4*('HOJA DE CÁLCULO RESPALDO'!I308^2)+'BLAZE SHIELD II'!$L$5*'HOJA DE CÁLCULO RESPALDO'!I308+'BLAZE SHIELD II'!$L$6)*LN(J308))+('BLAZE SHIELD II'!$L$7*('HOJA DE CÁLCULO RESPALDO'!I308^2)+'BLAZE SHIELD II'!$L$8*'HOJA DE CÁLCULO RESPALDO'!I308+'BLAZE SHIELD II'!$L$9)),0),0),0))+(IF(L308="Blaze Shield II",IF(M308="Idiem software",IF(AND(C308="IN",G308=3),((('BLAZE SHIELD II'!$H$14*('HOJA DE CÁLCULO RESPALDO'!I308^2)+'BLAZE SHIELD II'!$H$15*'HOJA DE CÁLCULO RESPALDO'!I308+'BLAZE SHIELD II'!$H$16)*LN(J308))+('BLAZE SHIELD II'!$H$17*('HOJA DE CÁLCULO RESPALDO'!I308^2)+'BLAZE SHIELD II'!$H$18*'HOJA DE CÁLCULO RESPALDO'!I308+'BLAZE SHIELD II'!$H$19)),0),0),0)),0)</f>
        <v>0</v>
      </c>
      <c r="O308" s="46">
        <f t="shared" si="32"/>
        <v>0</v>
      </c>
      <c r="P308" s="80">
        <f t="shared" si="29"/>
        <v>0</v>
      </c>
      <c r="Q308" s="85">
        <f>ROUND((IF(L308="Cafco 400",IF(M308="Idiem software",IF(AND(C308="IN",G308=4),((('CAFCO 400 '!$H$7*(J308^4)+'CAFCO 400 '!$H$8*(J308^3)+'CAFCO 400 '!$H$9*(J308^2)+'CAFCO 400 '!$H$10*J308+'CAFCO 400 '!$H$11)*I308^2)+(('CAFCO 400 '!$H$12*(J308^3)+'CAFCO 400 '!$H$13*(J308^2)+'CAFCO 400 '!$H$14*J308+'CAFCO 400 '!$H$15)*I308)+('CAFCO 400 '!$H$16*(J308^2)+'CAFCO 400 '!$H$17*J308+'CAFCO 400 '!$H$18)),0),0),0))+(IF(L308="Cafco 400",IF(M308="Idiem software",IF(C308="Cj",(((('CAFCO 400 '!$D$7*LN(J308)+'CAFCO 400 '!$D$8)*I308^2)+(('CAFCO 400 '!$D$9*LN(J308)+'CAFCO 400 '!$D$10)*I308)+('CAFCO 400 '!$D$11*LN(J308)+'CAFCO 400 '!$D$12))),0),0),0))+(IF(L308="Cafco 400",IF(M308="Idiem software",IF(C308="C",((('CAFCO 400 '!$L$7*(J308^3)+'CAFCO 400 '!$L$8*(J308^2)+'CAFCO 400 '!$L$9*J308+'CAFCO 400 '!$L$10)*I308^2)+(('CAFCO 400 '!$L$11*(J308^3)+'CAFCO 400 '!$L$12*(J308^2)+'CAFCO 400 '!$L$13*J308+'CAFCO 400 '!$L$14)*I308)+('CAFCO 400 '!$L$15*LN(J308)+'CAFCO 400 '!$L$16)),0),0),0))+(IF(L308="Cafco 400",IF(M308="Idiem software",IF(AND(C308="IN",G308=3),((('CAFCO 400 '!$D$23*(J308^2)+'CAFCO 400 '!$D$24*(J308)+'CAFCO 400 '!$D$25)*I308^2)+(('CAFCO 400 '!$D$26*(J308^2)+'CAFCO 400 '!$D$27*J308+'CAFCO 400 '!$D$28)*I308)+('CAFCO 400 '!$D$29*(J308^2)+'CAFCO 400 '!$D$30*J308+'CAFCO 400 '!$D$31)),0),0),0)),0)</f>
        <v>0</v>
      </c>
      <c r="R308" s="47">
        <f t="shared" si="33"/>
        <v>0</v>
      </c>
      <c r="S308" s="82">
        <f t="shared" si="30"/>
        <v>0</v>
      </c>
      <c r="T308" s="81">
        <f>+IF(AND(J308&gt;=95,J308&lt;=240),IF(AND(C308="Cj",I308=90),VLOOKUP(W308,'CAFCO 300 IDIEM TABLAS'!$B$4:$D$23,2,FALSE),0)+IF(AND(J308&gt;=95,J308&lt;=240),IF(AND(C308="Cj",I308=120),VLOOKUP(W308,'CAFCO 300 IDIEM TABLAS'!$B$4:$D$23,3,FALSE),0))+IF(AND(J308&gt;=95,J308&lt;=400,G308=3),IF(AND(C308="IN",I308=90),VLOOKUP(W308,'CAFCO 300 IDIEM TABLAS'!$F$4:$H$35,2,FALSE),0),0)+IF(AND(J308&gt;=95,J308&lt;=400,G308=3),IF(AND(C308="IN",I308=120),VLOOKUP(W308,'CAFCO 300 IDIEM TABLAS'!$F$4:$H$35,3,FALSE),0),0)+IF(AND(J308&gt;=95,J308&lt;=450,G308=4),IF(AND(C308="IN",I308=90),VLOOKUP(W308,'CAFCO 300 IDIEM TABLAS'!$J$4:$L$40,2,FALSE),0),0)+IF(AND(J308&gt;=95,J308&lt;=450,G308=4),IF(AND(C308="IN",I308=120),VLOOKUP(W308,'CAFCO 300 IDIEM TABLAS'!$J$4:$L$40,3,FALSE),0),0))</f>
        <v>17</v>
      </c>
      <c r="U308" s="48">
        <f t="shared" si="34"/>
        <v>0.2730693196405648</v>
      </c>
      <c r="V308" s="82">
        <f t="shared" si="31"/>
        <v>4099.8627650834396</v>
      </c>
      <c r="W308" s="64">
        <f>+IF(J308=LOOKUP(J308,'CAFCO 300 IDIEM TABLAS'!$J$4:$J$40),'HOJA DE CÁLCULO RESPALDO'!J308,MROUND('HOJA DE CÁLCULO RESPALDO'!J308,10))</f>
        <v>95</v>
      </c>
      <c r="X308" s="36"/>
      <c r="Y308" s="4"/>
    </row>
    <row r="309" spans="1:25" x14ac:dyDescent="0.25">
      <c r="A309" s="2" t="s">
        <v>45</v>
      </c>
      <c r="B309" s="3" t="s">
        <v>17</v>
      </c>
      <c r="C309" s="3" t="s">
        <v>19</v>
      </c>
      <c r="D309" s="3">
        <v>1</v>
      </c>
      <c r="E309" s="2">
        <v>1</v>
      </c>
      <c r="F309" s="8">
        <v>1500</v>
      </c>
      <c r="G309" s="1">
        <v>4</v>
      </c>
      <c r="H309" s="2">
        <v>3879</v>
      </c>
      <c r="I309" s="34">
        <v>90</v>
      </c>
      <c r="J309" s="11">
        <v>95</v>
      </c>
      <c r="K309" s="44">
        <f t="shared" si="28"/>
        <v>5.8185000000000002</v>
      </c>
      <c r="L309" s="3" t="s">
        <v>61</v>
      </c>
      <c r="M309" s="3" t="s">
        <v>70</v>
      </c>
      <c r="N309" s="15">
        <f>ROUND((IF(L309="Blaze Shield II",IF(M309="Idiem software",IF(AND(C309="IN",G309=4),((('BLAZE SHIELD II'!$D$4*('HOJA DE CÁLCULO RESPALDO'!I309^2)+'BLAZE SHIELD II'!$D$5*'HOJA DE CÁLCULO RESPALDO'!I309+'BLAZE SHIELD II'!$D$6)*LN(J309))+('BLAZE SHIELD II'!$D$7*('HOJA DE CÁLCULO RESPALDO'!I309^2)+'BLAZE SHIELD II'!$D$8*'HOJA DE CÁLCULO RESPALDO'!I309+'BLAZE SHIELD II'!$D$9)),0),0),0))+(IF(L309="Blaze Shield II",IF(M309="Idiem software",IF(C309="Cj",((('BLAZE SHIELD II'!$H$4*('HOJA DE CÁLCULO RESPALDO'!I309^2)+'BLAZE SHIELD II'!$H$5*'HOJA DE CÁLCULO RESPALDO'!I309+'BLAZE SHIELD II'!$H$6)*LN(J309))+('BLAZE SHIELD II'!$H$7*('HOJA DE CÁLCULO RESPALDO'!I309^2)+'BLAZE SHIELD II'!$H$8*'HOJA DE CÁLCULO RESPALDO'!I309+'BLAZE SHIELD II'!$H$9)),0),0),0))+(IF(L309="Blaze Shield II",IF(M309="Idiem software",IF(C309="C",((('BLAZE SHIELD II'!$L$4*('HOJA DE CÁLCULO RESPALDO'!I309^2)+'BLAZE SHIELD II'!$L$5*'HOJA DE CÁLCULO RESPALDO'!I309+'BLAZE SHIELD II'!$L$6)*LN(J309))+('BLAZE SHIELD II'!$L$7*('HOJA DE CÁLCULO RESPALDO'!I309^2)+'BLAZE SHIELD II'!$L$8*'HOJA DE CÁLCULO RESPALDO'!I309+'BLAZE SHIELD II'!$L$9)),0),0),0))+(IF(L309="Blaze Shield II",IF(M309="Idiem software",IF(AND(C309="IN",G309=3),((('BLAZE SHIELD II'!$H$14*('HOJA DE CÁLCULO RESPALDO'!I309^2)+'BLAZE SHIELD II'!$H$15*'HOJA DE CÁLCULO RESPALDO'!I309+'BLAZE SHIELD II'!$H$16)*LN(J309))+('BLAZE SHIELD II'!$H$17*('HOJA DE CÁLCULO RESPALDO'!I309^2)+'BLAZE SHIELD II'!$H$18*'HOJA DE CÁLCULO RESPALDO'!I309+'BLAZE SHIELD II'!$H$19)),0),0),0)),0)</f>
        <v>0</v>
      </c>
      <c r="O309" s="46">
        <f t="shared" si="32"/>
        <v>0</v>
      </c>
      <c r="P309" s="80">
        <f t="shared" si="29"/>
        <v>0</v>
      </c>
      <c r="Q309" s="85">
        <f>ROUND((IF(L309="Cafco 400",IF(M309="Idiem software",IF(AND(C309="IN",G309=4),((('CAFCO 400 '!$H$7*(J309^4)+'CAFCO 400 '!$H$8*(J309^3)+'CAFCO 400 '!$H$9*(J309^2)+'CAFCO 400 '!$H$10*J309+'CAFCO 400 '!$H$11)*I309^2)+(('CAFCO 400 '!$H$12*(J309^3)+'CAFCO 400 '!$H$13*(J309^2)+'CAFCO 400 '!$H$14*J309+'CAFCO 400 '!$H$15)*I309)+('CAFCO 400 '!$H$16*(J309^2)+'CAFCO 400 '!$H$17*J309+'CAFCO 400 '!$H$18)),0),0),0))+(IF(L309="Cafco 400",IF(M309="Idiem software",IF(C309="Cj",(((('CAFCO 400 '!$D$7*LN(J309)+'CAFCO 400 '!$D$8)*I309^2)+(('CAFCO 400 '!$D$9*LN(J309)+'CAFCO 400 '!$D$10)*I309)+('CAFCO 400 '!$D$11*LN(J309)+'CAFCO 400 '!$D$12))),0),0),0))+(IF(L309="Cafco 400",IF(M309="Idiem software",IF(C309="C",((('CAFCO 400 '!$L$7*(J309^3)+'CAFCO 400 '!$L$8*(J309^2)+'CAFCO 400 '!$L$9*J309+'CAFCO 400 '!$L$10)*I309^2)+(('CAFCO 400 '!$L$11*(J309^3)+'CAFCO 400 '!$L$12*(J309^2)+'CAFCO 400 '!$L$13*J309+'CAFCO 400 '!$L$14)*I309)+('CAFCO 400 '!$L$15*LN(J309)+'CAFCO 400 '!$L$16)),0),0),0))+(IF(L309="Cafco 400",IF(M309="Idiem software",IF(AND(C309="IN",G309=3),((('CAFCO 400 '!$D$23*(J309^2)+'CAFCO 400 '!$D$24*(J309)+'CAFCO 400 '!$D$25)*I309^2)+(('CAFCO 400 '!$D$26*(J309^2)+'CAFCO 400 '!$D$27*J309+'CAFCO 400 '!$D$28)*I309)+('CAFCO 400 '!$D$29*(J309^2)+'CAFCO 400 '!$D$30*J309+'CAFCO 400 '!$D$31)),0),0),0)),0)</f>
        <v>0</v>
      </c>
      <c r="R309" s="47">
        <f t="shared" si="33"/>
        <v>0</v>
      </c>
      <c r="S309" s="82">
        <f t="shared" si="30"/>
        <v>0</v>
      </c>
      <c r="T309" s="81">
        <f>+IF(AND(J309&gt;=95,J309&lt;=240),IF(AND(C309="Cj",I309=90),VLOOKUP(W309,'CAFCO 300 IDIEM TABLAS'!$B$4:$D$23,2,FALSE),0)+IF(AND(J309&gt;=95,J309&lt;=240),IF(AND(C309="Cj",I309=120),VLOOKUP(W309,'CAFCO 300 IDIEM TABLAS'!$B$4:$D$23,3,FALSE),0))+IF(AND(J309&gt;=95,J309&lt;=400,G309=3),IF(AND(C309="IN",I309=90),VLOOKUP(W309,'CAFCO 300 IDIEM TABLAS'!$F$4:$H$35,2,FALSE),0),0)+IF(AND(J309&gt;=95,J309&lt;=400,G309=3),IF(AND(C309="IN",I309=120),VLOOKUP(W309,'CAFCO 300 IDIEM TABLAS'!$F$4:$H$35,3,FALSE),0),0)+IF(AND(J309&gt;=95,J309&lt;=450,G309=4),IF(AND(C309="IN",I309=90),VLOOKUP(W309,'CAFCO 300 IDIEM TABLAS'!$J$4:$L$40,2,FALSE),0),0)+IF(AND(J309&gt;=95,J309&lt;=450,G309=4),IF(AND(C309="IN",I309=120),VLOOKUP(W309,'CAFCO 300 IDIEM TABLAS'!$J$4:$L$40,3,FALSE),0),0))</f>
        <v>17</v>
      </c>
      <c r="U309" s="48">
        <f t="shared" si="34"/>
        <v>1.3649947047496791</v>
      </c>
      <c r="V309" s="82">
        <f t="shared" si="31"/>
        <v>20494.030497111682</v>
      </c>
      <c r="W309" s="64">
        <f>+IF(J309=LOOKUP(J309,'CAFCO 300 IDIEM TABLAS'!$J$4:$J$40),'HOJA DE CÁLCULO RESPALDO'!J309,MROUND('HOJA DE CÁLCULO RESPALDO'!J309,10))</f>
        <v>95</v>
      </c>
      <c r="X309" s="36"/>
      <c r="Y309" s="4"/>
    </row>
    <row r="310" spans="1:25" ht="15.6" customHeight="1" x14ac:dyDescent="0.25">
      <c r="A310" s="2" t="s">
        <v>45</v>
      </c>
      <c r="B310" s="3" t="s">
        <v>17</v>
      </c>
      <c r="C310" s="3" t="s">
        <v>19</v>
      </c>
      <c r="D310" s="3">
        <v>1</v>
      </c>
      <c r="E310" s="2">
        <v>2</v>
      </c>
      <c r="F310" s="8">
        <v>26385</v>
      </c>
      <c r="G310" s="1">
        <v>4</v>
      </c>
      <c r="H310" s="2">
        <v>2784</v>
      </c>
      <c r="I310" s="34">
        <v>90</v>
      </c>
      <c r="J310" s="11">
        <v>95</v>
      </c>
      <c r="K310" s="44">
        <f t="shared" si="28"/>
        <v>146.91167999999999</v>
      </c>
      <c r="L310" s="3" t="s">
        <v>61</v>
      </c>
      <c r="M310" s="3" t="s">
        <v>70</v>
      </c>
      <c r="N310" s="15">
        <f>ROUND((IF(L310="Blaze Shield II",IF(M310="Idiem software",IF(AND(C310="IN",G310=4),((('BLAZE SHIELD II'!$D$4*('HOJA DE CÁLCULO RESPALDO'!I310^2)+'BLAZE SHIELD II'!$D$5*'HOJA DE CÁLCULO RESPALDO'!I310+'BLAZE SHIELD II'!$D$6)*LN(J310))+('BLAZE SHIELD II'!$D$7*('HOJA DE CÁLCULO RESPALDO'!I310^2)+'BLAZE SHIELD II'!$D$8*'HOJA DE CÁLCULO RESPALDO'!I310+'BLAZE SHIELD II'!$D$9)),0),0),0))+(IF(L310="Blaze Shield II",IF(M310="Idiem software",IF(C310="Cj",((('BLAZE SHIELD II'!$H$4*('HOJA DE CÁLCULO RESPALDO'!I310^2)+'BLAZE SHIELD II'!$H$5*'HOJA DE CÁLCULO RESPALDO'!I310+'BLAZE SHIELD II'!$H$6)*LN(J310))+('BLAZE SHIELD II'!$H$7*('HOJA DE CÁLCULO RESPALDO'!I310^2)+'BLAZE SHIELD II'!$H$8*'HOJA DE CÁLCULO RESPALDO'!I310+'BLAZE SHIELD II'!$H$9)),0),0),0))+(IF(L310="Blaze Shield II",IF(M310="Idiem software",IF(C310="C",((('BLAZE SHIELD II'!$L$4*('HOJA DE CÁLCULO RESPALDO'!I310^2)+'BLAZE SHIELD II'!$L$5*'HOJA DE CÁLCULO RESPALDO'!I310+'BLAZE SHIELD II'!$L$6)*LN(J310))+('BLAZE SHIELD II'!$L$7*('HOJA DE CÁLCULO RESPALDO'!I310^2)+'BLAZE SHIELD II'!$L$8*'HOJA DE CÁLCULO RESPALDO'!I310+'BLAZE SHIELD II'!$L$9)),0),0),0))+(IF(L310="Blaze Shield II",IF(M310="Idiem software",IF(AND(C310="IN",G310=3),((('BLAZE SHIELD II'!$H$14*('HOJA DE CÁLCULO RESPALDO'!I310^2)+'BLAZE SHIELD II'!$H$15*'HOJA DE CÁLCULO RESPALDO'!I310+'BLAZE SHIELD II'!$H$16)*LN(J310))+('BLAZE SHIELD II'!$H$17*('HOJA DE CÁLCULO RESPALDO'!I310^2)+'BLAZE SHIELD II'!$H$18*'HOJA DE CÁLCULO RESPALDO'!I310+'BLAZE SHIELD II'!$H$19)),0),0),0)),0)</f>
        <v>0</v>
      </c>
      <c r="O310" s="46">
        <f t="shared" si="32"/>
        <v>0</v>
      </c>
      <c r="P310" s="80">
        <f t="shared" si="29"/>
        <v>0</v>
      </c>
      <c r="Q310" s="85">
        <f>ROUND((IF(L310="Cafco 400",IF(M310="Idiem software",IF(AND(C310="IN",G310=4),((('CAFCO 400 '!$H$7*(J310^4)+'CAFCO 400 '!$H$8*(J310^3)+'CAFCO 400 '!$H$9*(J310^2)+'CAFCO 400 '!$H$10*J310+'CAFCO 400 '!$H$11)*I310^2)+(('CAFCO 400 '!$H$12*(J310^3)+'CAFCO 400 '!$H$13*(J310^2)+'CAFCO 400 '!$H$14*J310+'CAFCO 400 '!$H$15)*I310)+('CAFCO 400 '!$H$16*(J310^2)+'CAFCO 400 '!$H$17*J310+'CAFCO 400 '!$H$18)),0),0),0))+(IF(L310="Cafco 400",IF(M310="Idiem software",IF(C310="Cj",(((('CAFCO 400 '!$D$7*LN(J310)+'CAFCO 400 '!$D$8)*I310^2)+(('CAFCO 400 '!$D$9*LN(J310)+'CAFCO 400 '!$D$10)*I310)+('CAFCO 400 '!$D$11*LN(J310)+'CAFCO 400 '!$D$12))),0),0),0))+(IF(L310="Cafco 400",IF(M310="Idiem software",IF(C310="C",((('CAFCO 400 '!$L$7*(J310^3)+'CAFCO 400 '!$L$8*(J310^2)+'CAFCO 400 '!$L$9*J310+'CAFCO 400 '!$L$10)*I310^2)+(('CAFCO 400 '!$L$11*(J310^3)+'CAFCO 400 '!$L$12*(J310^2)+'CAFCO 400 '!$L$13*J310+'CAFCO 400 '!$L$14)*I310)+('CAFCO 400 '!$L$15*LN(J310)+'CAFCO 400 '!$L$16)),0),0),0))+(IF(L310="Cafco 400",IF(M310="Idiem software",IF(AND(C310="IN",G310=3),((('CAFCO 400 '!$D$23*(J310^2)+'CAFCO 400 '!$D$24*(J310)+'CAFCO 400 '!$D$25)*I310^2)+(('CAFCO 400 '!$D$26*(J310^2)+'CAFCO 400 '!$D$27*J310+'CAFCO 400 '!$D$28)*I310)+('CAFCO 400 '!$D$29*(J310^2)+'CAFCO 400 '!$D$30*J310+'CAFCO 400 '!$D$31)),0),0),0)),0)</f>
        <v>0</v>
      </c>
      <c r="R310" s="47">
        <f t="shared" si="33"/>
        <v>0</v>
      </c>
      <c r="S310" s="82">
        <f t="shared" si="30"/>
        <v>0</v>
      </c>
      <c r="T310" s="81">
        <f>+IF(AND(J310&gt;=95,J310&lt;=240),IF(AND(C310="Cj",I310=90),VLOOKUP(W310,'CAFCO 300 IDIEM TABLAS'!$B$4:$D$23,2,FALSE),0)+IF(AND(J310&gt;=95,J310&lt;=240),IF(AND(C310="Cj",I310=120),VLOOKUP(W310,'CAFCO 300 IDIEM TABLAS'!$B$4:$D$23,3,FALSE),0))+IF(AND(J310&gt;=95,J310&lt;=400,G310=3),IF(AND(C310="IN",I310=90),VLOOKUP(W310,'CAFCO 300 IDIEM TABLAS'!$F$4:$H$35,2,FALSE),0),0)+IF(AND(J310&gt;=95,J310&lt;=400,G310=3),IF(AND(C310="IN",I310=120),VLOOKUP(W310,'CAFCO 300 IDIEM TABLAS'!$F$4:$H$35,3,FALSE),0),0)+IF(AND(J310&gt;=95,J310&lt;=450,G310=4),IF(AND(C310="IN",I310=90),VLOOKUP(W310,'CAFCO 300 IDIEM TABLAS'!$J$4:$L$40,2,FALSE),0),0)+IF(AND(J310&gt;=95,J310&lt;=450,G310=4),IF(AND(C310="IN",I310=120),VLOOKUP(W310,'CAFCO 300 IDIEM TABLAS'!$J$4:$L$40,3,FALSE),0),0))</f>
        <v>17</v>
      </c>
      <c r="U310" s="48">
        <f t="shared" si="34"/>
        <v>34.464838921694479</v>
      </c>
      <c r="V310" s="82">
        <f t="shared" si="31"/>
        <v>517455.09157032089</v>
      </c>
      <c r="W310" s="64">
        <f>+IF(J310=LOOKUP(J310,'CAFCO 300 IDIEM TABLAS'!$J$4:$J$40),'HOJA DE CÁLCULO RESPALDO'!J310,MROUND('HOJA DE CÁLCULO RESPALDO'!J310,10))</f>
        <v>95</v>
      </c>
      <c r="X310" s="36"/>
      <c r="Y310" s="4"/>
    </row>
    <row r="311" spans="1:25" x14ac:dyDescent="0.25">
      <c r="A311" s="2" t="s">
        <v>45</v>
      </c>
      <c r="B311" s="3" t="s">
        <v>17</v>
      </c>
      <c r="C311" s="3" t="s">
        <v>19</v>
      </c>
      <c r="D311" s="3">
        <v>1</v>
      </c>
      <c r="E311" s="2">
        <v>1</v>
      </c>
      <c r="F311" s="8">
        <v>91778</v>
      </c>
      <c r="G311" s="1">
        <v>4</v>
      </c>
      <c r="H311" s="2">
        <v>1781</v>
      </c>
      <c r="I311" s="34">
        <v>90</v>
      </c>
      <c r="J311" s="11">
        <v>95</v>
      </c>
      <c r="K311" s="44">
        <f t="shared" si="28"/>
        <v>163.45661799999999</v>
      </c>
      <c r="L311" s="3" t="s">
        <v>61</v>
      </c>
      <c r="M311" s="3" t="s">
        <v>70</v>
      </c>
      <c r="N311" s="15">
        <f>ROUND((IF(L311="Blaze Shield II",IF(M311="Idiem software",IF(AND(C311="IN",G311=4),((('BLAZE SHIELD II'!$D$4*('HOJA DE CÁLCULO RESPALDO'!I311^2)+'BLAZE SHIELD II'!$D$5*'HOJA DE CÁLCULO RESPALDO'!I311+'BLAZE SHIELD II'!$D$6)*LN(J311))+('BLAZE SHIELD II'!$D$7*('HOJA DE CÁLCULO RESPALDO'!I311^2)+'BLAZE SHIELD II'!$D$8*'HOJA DE CÁLCULO RESPALDO'!I311+'BLAZE SHIELD II'!$D$9)),0),0),0))+(IF(L311="Blaze Shield II",IF(M311="Idiem software",IF(C311="Cj",((('BLAZE SHIELD II'!$H$4*('HOJA DE CÁLCULO RESPALDO'!I311^2)+'BLAZE SHIELD II'!$H$5*'HOJA DE CÁLCULO RESPALDO'!I311+'BLAZE SHIELD II'!$H$6)*LN(J311))+('BLAZE SHIELD II'!$H$7*('HOJA DE CÁLCULO RESPALDO'!I311^2)+'BLAZE SHIELD II'!$H$8*'HOJA DE CÁLCULO RESPALDO'!I311+'BLAZE SHIELD II'!$H$9)),0),0),0))+(IF(L311="Blaze Shield II",IF(M311="Idiem software",IF(C311="C",((('BLAZE SHIELD II'!$L$4*('HOJA DE CÁLCULO RESPALDO'!I311^2)+'BLAZE SHIELD II'!$L$5*'HOJA DE CÁLCULO RESPALDO'!I311+'BLAZE SHIELD II'!$L$6)*LN(J311))+('BLAZE SHIELD II'!$L$7*('HOJA DE CÁLCULO RESPALDO'!I311^2)+'BLAZE SHIELD II'!$L$8*'HOJA DE CÁLCULO RESPALDO'!I311+'BLAZE SHIELD II'!$L$9)),0),0),0))+(IF(L311="Blaze Shield II",IF(M311="Idiem software",IF(AND(C311="IN",G311=3),((('BLAZE SHIELD II'!$H$14*('HOJA DE CÁLCULO RESPALDO'!I311^2)+'BLAZE SHIELD II'!$H$15*'HOJA DE CÁLCULO RESPALDO'!I311+'BLAZE SHIELD II'!$H$16)*LN(J311))+('BLAZE SHIELD II'!$H$17*('HOJA DE CÁLCULO RESPALDO'!I311^2)+'BLAZE SHIELD II'!$H$18*'HOJA DE CÁLCULO RESPALDO'!I311+'BLAZE SHIELD II'!$H$19)),0),0),0)),0)</f>
        <v>0</v>
      </c>
      <c r="O311" s="46">
        <f t="shared" si="32"/>
        <v>0</v>
      </c>
      <c r="P311" s="80">
        <f t="shared" si="29"/>
        <v>0</v>
      </c>
      <c r="Q311" s="85">
        <f>ROUND((IF(L311="Cafco 400",IF(M311="Idiem software",IF(AND(C311="IN",G311=4),((('CAFCO 400 '!$H$7*(J311^4)+'CAFCO 400 '!$H$8*(J311^3)+'CAFCO 400 '!$H$9*(J311^2)+'CAFCO 400 '!$H$10*J311+'CAFCO 400 '!$H$11)*I311^2)+(('CAFCO 400 '!$H$12*(J311^3)+'CAFCO 400 '!$H$13*(J311^2)+'CAFCO 400 '!$H$14*J311+'CAFCO 400 '!$H$15)*I311)+('CAFCO 400 '!$H$16*(J311^2)+'CAFCO 400 '!$H$17*J311+'CAFCO 400 '!$H$18)),0),0),0))+(IF(L311="Cafco 400",IF(M311="Idiem software",IF(C311="Cj",(((('CAFCO 400 '!$D$7*LN(J311)+'CAFCO 400 '!$D$8)*I311^2)+(('CAFCO 400 '!$D$9*LN(J311)+'CAFCO 400 '!$D$10)*I311)+('CAFCO 400 '!$D$11*LN(J311)+'CAFCO 400 '!$D$12))),0),0),0))+(IF(L311="Cafco 400",IF(M311="Idiem software",IF(C311="C",((('CAFCO 400 '!$L$7*(J311^3)+'CAFCO 400 '!$L$8*(J311^2)+'CAFCO 400 '!$L$9*J311+'CAFCO 400 '!$L$10)*I311^2)+(('CAFCO 400 '!$L$11*(J311^3)+'CAFCO 400 '!$L$12*(J311^2)+'CAFCO 400 '!$L$13*J311+'CAFCO 400 '!$L$14)*I311)+('CAFCO 400 '!$L$15*LN(J311)+'CAFCO 400 '!$L$16)),0),0),0))+(IF(L311="Cafco 400",IF(M311="Idiem software",IF(AND(C311="IN",G311=3),((('CAFCO 400 '!$D$23*(J311^2)+'CAFCO 400 '!$D$24*(J311)+'CAFCO 400 '!$D$25)*I311^2)+(('CAFCO 400 '!$D$26*(J311^2)+'CAFCO 400 '!$D$27*J311+'CAFCO 400 '!$D$28)*I311)+('CAFCO 400 '!$D$29*(J311^2)+'CAFCO 400 '!$D$30*J311+'CAFCO 400 '!$D$31)),0),0),0)),0)</f>
        <v>0</v>
      </c>
      <c r="R311" s="47">
        <f t="shared" si="33"/>
        <v>0</v>
      </c>
      <c r="S311" s="82">
        <f t="shared" si="30"/>
        <v>0</v>
      </c>
      <c r="T311" s="81">
        <f>+IF(AND(J311&gt;=95,J311&lt;=240),IF(AND(C311="Cj",I311=90),VLOOKUP(W311,'CAFCO 300 IDIEM TABLAS'!$B$4:$D$23,2,FALSE),0)+IF(AND(J311&gt;=95,J311&lt;=240),IF(AND(C311="Cj",I311=120),VLOOKUP(W311,'CAFCO 300 IDIEM TABLAS'!$B$4:$D$23,3,FALSE),0))+IF(AND(J311&gt;=95,J311&lt;=400,G311=3),IF(AND(C311="IN",I311=90),VLOOKUP(W311,'CAFCO 300 IDIEM TABLAS'!$F$4:$H$35,2,FALSE),0),0)+IF(AND(J311&gt;=95,J311&lt;=400,G311=3),IF(AND(C311="IN",I311=120),VLOOKUP(W311,'CAFCO 300 IDIEM TABLAS'!$F$4:$H$35,3,FALSE),0),0)+IF(AND(J311&gt;=95,J311&lt;=450,G311=4),IF(AND(C311="IN",I311=90),VLOOKUP(W311,'CAFCO 300 IDIEM TABLAS'!$J$4:$L$40,2,FALSE),0),0)+IF(AND(J311&gt;=95,J311&lt;=450,G311=4),IF(AND(C311="IN",I311=120),VLOOKUP(W311,'CAFCO 300 IDIEM TABLAS'!$J$4:$L$40,3,FALSE),0),0))</f>
        <v>17</v>
      </c>
      <c r="U311" s="48">
        <f t="shared" si="34"/>
        <v>38.34620916495507</v>
      </c>
      <c r="V311" s="82">
        <f t="shared" si="31"/>
        <v>575729.98440263537</v>
      </c>
      <c r="W311" s="64">
        <f>+IF(J311=LOOKUP(J311,'CAFCO 300 IDIEM TABLAS'!$J$4:$J$40),'HOJA DE CÁLCULO RESPALDO'!J311,MROUND('HOJA DE CÁLCULO RESPALDO'!J311,10))</f>
        <v>95</v>
      </c>
      <c r="X311" s="36"/>
      <c r="Y311" s="4"/>
    </row>
    <row r="312" spans="1:25" ht="15.6" customHeight="1" x14ac:dyDescent="0.25">
      <c r="A312" s="2" t="s">
        <v>45</v>
      </c>
      <c r="B312" s="3" t="s">
        <v>17</v>
      </c>
      <c r="C312" s="3" t="s">
        <v>19</v>
      </c>
      <c r="D312" s="3">
        <v>1</v>
      </c>
      <c r="E312" s="2">
        <v>2</v>
      </c>
      <c r="F312" s="8">
        <v>12900</v>
      </c>
      <c r="G312" s="1">
        <v>4</v>
      </c>
      <c r="H312" s="2">
        <v>968</v>
      </c>
      <c r="I312" s="34">
        <v>90</v>
      </c>
      <c r="J312" s="11">
        <v>95</v>
      </c>
      <c r="K312" s="44">
        <f t="shared" si="28"/>
        <v>24.974399999999999</v>
      </c>
      <c r="L312" s="3" t="s">
        <v>61</v>
      </c>
      <c r="M312" s="3" t="s">
        <v>70</v>
      </c>
      <c r="N312" s="15">
        <f>ROUND((IF(L312="Blaze Shield II",IF(M312="Idiem software",IF(AND(C312="IN",G312=4),((('BLAZE SHIELD II'!$D$4*('HOJA DE CÁLCULO RESPALDO'!I312^2)+'BLAZE SHIELD II'!$D$5*'HOJA DE CÁLCULO RESPALDO'!I312+'BLAZE SHIELD II'!$D$6)*LN(J312))+('BLAZE SHIELD II'!$D$7*('HOJA DE CÁLCULO RESPALDO'!I312^2)+'BLAZE SHIELD II'!$D$8*'HOJA DE CÁLCULO RESPALDO'!I312+'BLAZE SHIELD II'!$D$9)),0),0),0))+(IF(L312="Blaze Shield II",IF(M312="Idiem software",IF(C312="Cj",((('BLAZE SHIELD II'!$H$4*('HOJA DE CÁLCULO RESPALDO'!I312^2)+'BLAZE SHIELD II'!$H$5*'HOJA DE CÁLCULO RESPALDO'!I312+'BLAZE SHIELD II'!$H$6)*LN(J312))+('BLAZE SHIELD II'!$H$7*('HOJA DE CÁLCULO RESPALDO'!I312^2)+'BLAZE SHIELD II'!$H$8*'HOJA DE CÁLCULO RESPALDO'!I312+'BLAZE SHIELD II'!$H$9)),0),0),0))+(IF(L312="Blaze Shield II",IF(M312="Idiem software",IF(C312="C",((('BLAZE SHIELD II'!$L$4*('HOJA DE CÁLCULO RESPALDO'!I312^2)+'BLAZE SHIELD II'!$L$5*'HOJA DE CÁLCULO RESPALDO'!I312+'BLAZE SHIELD II'!$L$6)*LN(J312))+('BLAZE SHIELD II'!$L$7*('HOJA DE CÁLCULO RESPALDO'!I312^2)+'BLAZE SHIELD II'!$L$8*'HOJA DE CÁLCULO RESPALDO'!I312+'BLAZE SHIELD II'!$L$9)),0),0),0))+(IF(L312="Blaze Shield II",IF(M312="Idiem software",IF(AND(C312="IN",G312=3),((('BLAZE SHIELD II'!$H$14*('HOJA DE CÁLCULO RESPALDO'!I312^2)+'BLAZE SHIELD II'!$H$15*'HOJA DE CÁLCULO RESPALDO'!I312+'BLAZE SHIELD II'!$H$16)*LN(J312))+('BLAZE SHIELD II'!$H$17*('HOJA DE CÁLCULO RESPALDO'!I312^2)+'BLAZE SHIELD II'!$H$18*'HOJA DE CÁLCULO RESPALDO'!I312+'BLAZE SHIELD II'!$H$19)),0),0),0)),0)</f>
        <v>0</v>
      </c>
      <c r="O312" s="46">
        <f t="shared" si="32"/>
        <v>0</v>
      </c>
      <c r="P312" s="80">
        <f t="shared" si="29"/>
        <v>0</v>
      </c>
      <c r="Q312" s="85">
        <f>ROUND((IF(L312="Cafco 400",IF(M312="Idiem software",IF(AND(C312="IN",G312=4),((('CAFCO 400 '!$H$7*(J312^4)+'CAFCO 400 '!$H$8*(J312^3)+'CAFCO 400 '!$H$9*(J312^2)+'CAFCO 400 '!$H$10*J312+'CAFCO 400 '!$H$11)*I312^2)+(('CAFCO 400 '!$H$12*(J312^3)+'CAFCO 400 '!$H$13*(J312^2)+'CAFCO 400 '!$H$14*J312+'CAFCO 400 '!$H$15)*I312)+('CAFCO 400 '!$H$16*(J312^2)+'CAFCO 400 '!$H$17*J312+'CAFCO 400 '!$H$18)),0),0),0))+(IF(L312="Cafco 400",IF(M312="Idiem software",IF(C312="Cj",(((('CAFCO 400 '!$D$7*LN(J312)+'CAFCO 400 '!$D$8)*I312^2)+(('CAFCO 400 '!$D$9*LN(J312)+'CAFCO 400 '!$D$10)*I312)+('CAFCO 400 '!$D$11*LN(J312)+'CAFCO 400 '!$D$12))),0),0),0))+(IF(L312="Cafco 400",IF(M312="Idiem software",IF(C312="C",((('CAFCO 400 '!$L$7*(J312^3)+'CAFCO 400 '!$L$8*(J312^2)+'CAFCO 400 '!$L$9*J312+'CAFCO 400 '!$L$10)*I312^2)+(('CAFCO 400 '!$L$11*(J312^3)+'CAFCO 400 '!$L$12*(J312^2)+'CAFCO 400 '!$L$13*J312+'CAFCO 400 '!$L$14)*I312)+('CAFCO 400 '!$L$15*LN(J312)+'CAFCO 400 '!$L$16)),0),0),0))+(IF(L312="Cafco 400",IF(M312="Idiem software",IF(AND(C312="IN",G312=3),((('CAFCO 400 '!$D$23*(J312^2)+'CAFCO 400 '!$D$24*(J312)+'CAFCO 400 '!$D$25)*I312^2)+(('CAFCO 400 '!$D$26*(J312^2)+'CAFCO 400 '!$D$27*J312+'CAFCO 400 '!$D$28)*I312)+('CAFCO 400 '!$D$29*(J312^2)+'CAFCO 400 '!$D$30*J312+'CAFCO 400 '!$D$31)),0),0),0)),0)</f>
        <v>0</v>
      </c>
      <c r="R312" s="47">
        <f t="shared" si="33"/>
        <v>0</v>
      </c>
      <c r="S312" s="82">
        <f t="shared" si="30"/>
        <v>0</v>
      </c>
      <c r="T312" s="81">
        <f>+IF(AND(J312&gt;=95,J312&lt;=240),IF(AND(C312="Cj",I312=90),VLOOKUP(W312,'CAFCO 300 IDIEM TABLAS'!$B$4:$D$23,2,FALSE),0)+IF(AND(J312&gt;=95,J312&lt;=240),IF(AND(C312="Cj",I312=120),VLOOKUP(W312,'CAFCO 300 IDIEM TABLAS'!$B$4:$D$23,3,FALSE),0))+IF(AND(J312&gt;=95,J312&lt;=400,G312=3),IF(AND(C312="IN",I312=90),VLOOKUP(W312,'CAFCO 300 IDIEM TABLAS'!$F$4:$H$35,2,FALSE),0),0)+IF(AND(J312&gt;=95,J312&lt;=400,G312=3),IF(AND(C312="IN",I312=120),VLOOKUP(W312,'CAFCO 300 IDIEM TABLAS'!$F$4:$H$35,3,FALSE),0),0)+IF(AND(J312&gt;=95,J312&lt;=450,G312=4),IF(AND(C312="IN",I312=90),VLOOKUP(W312,'CAFCO 300 IDIEM TABLAS'!$J$4:$L$40,2,FALSE),0),0)+IF(AND(J312&gt;=95,J312&lt;=450,G312=4),IF(AND(C312="IN",I312=120),VLOOKUP(W312,'CAFCO 300 IDIEM TABLAS'!$J$4:$L$40,3,FALSE),0),0))</f>
        <v>17</v>
      </c>
      <c r="U312" s="48">
        <f t="shared" si="34"/>
        <v>5.8588852374839533</v>
      </c>
      <c r="V312" s="82">
        <f t="shared" si="31"/>
        <v>87965.302955584077</v>
      </c>
      <c r="W312" s="64">
        <f>+IF(J312=LOOKUP(J312,'CAFCO 300 IDIEM TABLAS'!$J$4:$J$40),'HOJA DE CÁLCULO RESPALDO'!J312,MROUND('HOJA DE CÁLCULO RESPALDO'!J312,10))</f>
        <v>95</v>
      </c>
      <c r="X312" s="36"/>
      <c r="Y312" s="4"/>
    </row>
    <row r="313" spans="1:25" x14ac:dyDescent="0.25">
      <c r="A313" s="2" t="s">
        <v>10</v>
      </c>
      <c r="B313" s="3" t="s">
        <v>17</v>
      </c>
      <c r="C313" s="3" t="s">
        <v>19</v>
      </c>
      <c r="D313" s="3">
        <v>1</v>
      </c>
      <c r="E313" s="2">
        <v>1</v>
      </c>
      <c r="F313" s="8">
        <v>17971</v>
      </c>
      <c r="G313" s="1">
        <v>4</v>
      </c>
      <c r="H313" s="2">
        <v>2184</v>
      </c>
      <c r="I313" s="34">
        <v>90</v>
      </c>
      <c r="J313" s="11">
        <v>95</v>
      </c>
      <c r="K313" s="44">
        <f t="shared" si="28"/>
        <v>39.248663999999998</v>
      </c>
      <c r="L313" s="3" t="s">
        <v>61</v>
      </c>
      <c r="M313" s="3" t="s">
        <v>70</v>
      </c>
      <c r="N313" s="15">
        <f>ROUND((IF(L313="Blaze Shield II",IF(M313="Idiem software",IF(AND(C313="IN",G313=4),((('BLAZE SHIELD II'!$D$4*('HOJA DE CÁLCULO RESPALDO'!I313^2)+'BLAZE SHIELD II'!$D$5*'HOJA DE CÁLCULO RESPALDO'!I313+'BLAZE SHIELD II'!$D$6)*LN(J313))+('BLAZE SHIELD II'!$D$7*('HOJA DE CÁLCULO RESPALDO'!I313^2)+'BLAZE SHIELD II'!$D$8*'HOJA DE CÁLCULO RESPALDO'!I313+'BLAZE SHIELD II'!$D$9)),0),0),0))+(IF(L313="Blaze Shield II",IF(M313="Idiem software",IF(C313="Cj",((('BLAZE SHIELD II'!$H$4*('HOJA DE CÁLCULO RESPALDO'!I313^2)+'BLAZE SHIELD II'!$H$5*'HOJA DE CÁLCULO RESPALDO'!I313+'BLAZE SHIELD II'!$H$6)*LN(J313))+('BLAZE SHIELD II'!$H$7*('HOJA DE CÁLCULO RESPALDO'!I313^2)+'BLAZE SHIELD II'!$H$8*'HOJA DE CÁLCULO RESPALDO'!I313+'BLAZE SHIELD II'!$H$9)),0),0),0))+(IF(L313="Blaze Shield II",IF(M313="Idiem software",IF(C313="C",((('BLAZE SHIELD II'!$L$4*('HOJA DE CÁLCULO RESPALDO'!I313^2)+'BLAZE SHIELD II'!$L$5*'HOJA DE CÁLCULO RESPALDO'!I313+'BLAZE SHIELD II'!$L$6)*LN(J313))+('BLAZE SHIELD II'!$L$7*('HOJA DE CÁLCULO RESPALDO'!I313^2)+'BLAZE SHIELD II'!$L$8*'HOJA DE CÁLCULO RESPALDO'!I313+'BLAZE SHIELD II'!$L$9)),0),0),0))+(IF(L313="Blaze Shield II",IF(M313="Idiem software",IF(AND(C313="IN",G313=3),((('BLAZE SHIELD II'!$H$14*('HOJA DE CÁLCULO RESPALDO'!I313^2)+'BLAZE SHIELD II'!$H$15*'HOJA DE CÁLCULO RESPALDO'!I313+'BLAZE SHIELD II'!$H$16)*LN(J313))+('BLAZE SHIELD II'!$H$17*('HOJA DE CÁLCULO RESPALDO'!I313^2)+'BLAZE SHIELD II'!$H$18*'HOJA DE CÁLCULO RESPALDO'!I313+'BLAZE SHIELD II'!$H$19)),0),0),0)),0)</f>
        <v>0</v>
      </c>
      <c r="O313" s="46">
        <f t="shared" si="32"/>
        <v>0</v>
      </c>
      <c r="P313" s="80">
        <f t="shared" si="29"/>
        <v>0</v>
      </c>
      <c r="Q313" s="85">
        <f>ROUND((IF(L313="Cafco 400",IF(M313="Idiem software",IF(AND(C313="IN",G313=4),((('CAFCO 400 '!$H$7*(J313^4)+'CAFCO 400 '!$H$8*(J313^3)+'CAFCO 400 '!$H$9*(J313^2)+'CAFCO 400 '!$H$10*J313+'CAFCO 400 '!$H$11)*I313^2)+(('CAFCO 400 '!$H$12*(J313^3)+'CAFCO 400 '!$H$13*(J313^2)+'CAFCO 400 '!$H$14*J313+'CAFCO 400 '!$H$15)*I313)+('CAFCO 400 '!$H$16*(J313^2)+'CAFCO 400 '!$H$17*J313+'CAFCO 400 '!$H$18)),0),0),0))+(IF(L313="Cafco 400",IF(M313="Idiem software",IF(C313="Cj",(((('CAFCO 400 '!$D$7*LN(J313)+'CAFCO 400 '!$D$8)*I313^2)+(('CAFCO 400 '!$D$9*LN(J313)+'CAFCO 400 '!$D$10)*I313)+('CAFCO 400 '!$D$11*LN(J313)+'CAFCO 400 '!$D$12))),0),0),0))+(IF(L313="Cafco 400",IF(M313="Idiem software",IF(C313="C",((('CAFCO 400 '!$L$7*(J313^3)+'CAFCO 400 '!$L$8*(J313^2)+'CAFCO 400 '!$L$9*J313+'CAFCO 400 '!$L$10)*I313^2)+(('CAFCO 400 '!$L$11*(J313^3)+'CAFCO 400 '!$L$12*(J313^2)+'CAFCO 400 '!$L$13*J313+'CAFCO 400 '!$L$14)*I313)+('CAFCO 400 '!$L$15*LN(J313)+'CAFCO 400 '!$L$16)),0),0),0))+(IF(L313="Cafco 400",IF(M313="Idiem software",IF(AND(C313="IN",G313=3),((('CAFCO 400 '!$D$23*(J313^2)+'CAFCO 400 '!$D$24*(J313)+'CAFCO 400 '!$D$25)*I313^2)+(('CAFCO 400 '!$D$26*(J313^2)+'CAFCO 400 '!$D$27*J313+'CAFCO 400 '!$D$28)*I313)+('CAFCO 400 '!$D$29*(J313^2)+'CAFCO 400 '!$D$30*J313+'CAFCO 400 '!$D$31)),0),0),0)),0)</f>
        <v>0</v>
      </c>
      <c r="R313" s="47">
        <f t="shared" si="33"/>
        <v>0</v>
      </c>
      <c r="S313" s="82">
        <f t="shared" si="30"/>
        <v>0</v>
      </c>
      <c r="T313" s="81">
        <f>+IF(AND(J313&gt;=95,J313&lt;=240),IF(AND(C313="Cj",I313=90),VLOOKUP(W313,'CAFCO 300 IDIEM TABLAS'!$B$4:$D$23,2,FALSE),0)+IF(AND(J313&gt;=95,J313&lt;=240),IF(AND(C313="Cj",I313=120),VLOOKUP(W313,'CAFCO 300 IDIEM TABLAS'!$B$4:$D$23,3,FALSE),0))+IF(AND(J313&gt;=95,J313&lt;=400,G313=3),IF(AND(C313="IN",I313=90),VLOOKUP(W313,'CAFCO 300 IDIEM TABLAS'!$F$4:$H$35,2,FALSE),0),0)+IF(AND(J313&gt;=95,J313&lt;=400,G313=3),IF(AND(C313="IN",I313=120),VLOOKUP(W313,'CAFCO 300 IDIEM TABLAS'!$F$4:$H$35,3,FALSE),0),0)+IF(AND(J313&gt;=95,J313&lt;=450,G313=4),IF(AND(C313="IN",I313=90),VLOOKUP(W313,'CAFCO 300 IDIEM TABLAS'!$J$4:$L$40,2,FALSE),0),0)+IF(AND(J313&gt;=95,J313&lt;=450,G313=4),IF(AND(C313="IN",I313=120),VLOOKUP(W313,'CAFCO 300 IDIEM TABLAS'!$J$4:$L$40,3,FALSE),0),0))</f>
        <v>17</v>
      </c>
      <c r="U313" s="48">
        <f t="shared" si="34"/>
        <v>9.2075652708600764</v>
      </c>
      <c r="V313" s="82">
        <f t="shared" si="31"/>
        <v>138242.3849766932</v>
      </c>
      <c r="W313" s="64">
        <f>+IF(J313=LOOKUP(J313,'CAFCO 300 IDIEM TABLAS'!$J$4:$J$40),'HOJA DE CÁLCULO RESPALDO'!J313,MROUND('HOJA DE CÁLCULO RESPALDO'!J313,10))</f>
        <v>95</v>
      </c>
      <c r="X313" s="36"/>
      <c r="Y313" s="4"/>
    </row>
    <row r="314" spans="1:25" ht="15.6" customHeight="1" x14ac:dyDescent="0.25">
      <c r="A314" s="2" t="s">
        <v>47</v>
      </c>
      <c r="B314" s="3" t="s">
        <v>17</v>
      </c>
      <c r="C314" s="3" t="s">
        <v>19</v>
      </c>
      <c r="D314" s="3">
        <v>1</v>
      </c>
      <c r="E314" s="2">
        <v>1</v>
      </c>
      <c r="F314" s="8">
        <v>7759</v>
      </c>
      <c r="G314" s="1">
        <v>4</v>
      </c>
      <c r="H314" s="2">
        <v>785</v>
      </c>
      <c r="I314" s="34">
        <v>90</v>
      </c>
      <c r="J314" s="11">
        <v>95</v>
      </c>
      <c r="K314" s="44">
        <f t="shared" si="28"/>
        <v>6.0908150000000001</v>
      </c>
      <c r="L314" s="3" t="s">
        <v>61</v>
      </c>
      <c r="M314" s="3" t="s">
        <v>70</v>
      </c>
      <c r="N314" s="15">
        <f>ROUND((IF(L314="Blaze Shield II",IF(M314="Idiem software",IF(AND(C314="IN",G314=4),((('BLAZE SHIELD II'!$D$4*('HOJA DE CÁLCULO RESPALDO'!I314^2)+'BLAZE SHIELD II'!$D$5*'HOJA DE CÁLCULO RESPALDO'!I314+'BLAZE SHIELD II'!$D$6)*LN(J314))+('BLAZE SHIELD II'!$D$7*('HOJA DE CÁLCULO RESPALDO'!I314^2)+'BLAZE SHIELD II'!$D$8*'HOJA DE CÁLCULO RESPALDO'!I314+'BLAZE SHIELD II'!$D$9)),0),0),0))+(IF(L314="Blaze Shield II",IF(M314="Idiem software",IF(C314="Cj",((('BLAZE SHIELD II'!$H$4*('HOJA DE CÁLCULO RESPALDO'!I314^2)+'BLAZE SHIELD II'!$H$5*'HOJA DE CÁLCULO RESPALDO'!I314+'BLAZE SHIELD II'!$H$6)*LN(J314))+('BLAZE SHIELD II'!$H$7*('HOJA DE CÁLCULO RESPALDO'!I314^2)+'BLAZE SHIELD II'!$H$8*'HOJA DE CÁLCULO RESPALDO'!I314+'BLAZE SHIELD II'!$H$9)),0),0),0))+(IF(L314="Blaze Shield II",IF(M314="Idiem software",IF(C314="C",((('BLAZE SHIELD II'!$L$4*('HOJA DE CÁLCULO RESPALDO'!I314^2)+'BLAZE SHIELD II'!$L$5*'HOJA DE CÁLCULO RESPALDO'!I314+'BLAZE SHIELD II'!$L$6)*LN(J314))+('BLAZE SHIELD II'!$L$7*('HOJA DE CÁLCULO RESPALDO'!I314^2)+'BLAZE SHIELD II'!$L$8*'HOJA DE CÁLCULO RESPALDO'!I314+'BLAZE SHIELD II'!$L$9)),0),0),0))+(IF(L314="Blaze Shield II",IF(M314="Idiem software",IF(AND(C314="IN",G314=3),((('BLAZE SHIELD II'!$H$14*('HOJA DE CÁLCULO RESPALDO'!I314^2)+'BLAZE SHIELD II'!$H$15*'HOJA DE CÁLCULO RESPALDO'!I314+'BLAZE SHIELD II'!$H$16)*LN(J314))+('BLAZE SHIELD II'!$H$17*('HOJA DE CÁLCULO RESPALDO'!I314^2)+'BLAZE SHIELD II'!$H$18*'HOJA DE CÁLCULO RESPALDO'!I314+'BLAZE SHIELD II'!$H$19)),0),0),0)),0)</f>
        <v>0</v>
      </c>
      <c r="O314" s="46">
        <f t="shared" si="32"/>
        <v>0</v>
      </c>
      <c r="P314" s="80">
        <f t="shared" si="29"/>
        <v>0</v>
      </c>
      <c r="Q314" s="85">
        <f>ROUND((IF(L314="Cafco 400",IF(M314="Idiem software",IF(AND(C314="IN",G314=4),((('CAFCO 400 '!$H$7*(J314^4)+'CAFCO 400 '!$H$8*(J314^3)+'CAFCO 400 '!$H$9*(J314^2)+'CAFCO 400 '!$H$10*J314+'CAFCO 400 '!$H$11)*I314^2)+(('CAFCO 400 '!$H$12*(J314^3)+'CAFCO 400 '!$H$13*(J314^2)+'CAFCO 400 '!$H$14*J314+'CAFCO 400 '!$H$15)*I314)+('CAFCO 400 '!$H$16*(J314^2)+'CAFCO 400 '!$H$17*J314+'CAFCO 400 '!$H$18)),0),0),0))+(IF(L314="Cafco 400",IF(M314="Idiem software",IF(C314="Cj",(((('CAFCO 400 '!$D$7*LN(J314)+'CAFCO 400 '!$D$8)*I314^2)+(('CAFCO 400 '!$D$9*LN(J314)+'CAFCO 400 '!$D$10)*I314)+('CAFCO 400 '!$D$11*LN(J314)+'CAFCO 400 '!$D$12))),0),0),0))+(IF(L314="Cafco 400",IF(M314="Idiem software",IF(C314="C",((('CAFCO 400 '!$L$7*(J314^3)+'CAFCO 400 '!$L$8*(J314^2)+'CAFCO 400 '!$L$9*J314+'CAFCO 400 '!$L$10)*I314^2)+(('CAFCO 400 '!$L$11*(J314^3)+'CAFCO 400 '!$L$12*(J314^2)+'CAFCO 400 '!$L$13*J314+'CAFCO 400 '!$L$14)*I314)+('CAFCO 400 '!$L$15*LN(J314)+'CAFCO 400 '!$L$16)),0),0),0))+(IF(L314="Cafco 400",IF(M314="Idiem software",IF(AND(C314="IN",G314=3),((('CAFCO 400 '!$D$23*(J314^2)+'CAFCO 400 '!$D$24*(J314)+'CAFCO 400 '!$D$25)*I314^2)+(('CAFCO 400 '!$D$26*(J314^2)+'CAFCO 400 '!$D$27*J314+'CAFCO 400 '!$D$28)*I314)+('CAFCO 400 '!$D$29*(J314^2)+'CAFCO 400 '!$D$30*J314+'CAFCO 400 '!$D$31)),0),0),0)),0)</f>
        <v>0</v>
      </c>
      <c r="R314" s="47">
        <f t="shared" si="33"/>
        <v>0</v>
      </c>
      <c r="S314" s="82">
        <f t="shared" si="30"/>
        <v>0</v>
      </c>
      <c r="T314" s="81">
        <f>+IF(AND(J314&gt;=95,J314&lt;=240),IF(AND(C314="Cj",I314=90),VLOOKUP(W314,'CAFCO 300 IDIEM TABLAS'!$B$4:$D$23,2,FALSE),0)+IF(AND(J314&gt;=95,J314&lt;=240),IF(AND(C314="Cj",I314=120),VLOOKUP(W314,'CAFCO 300 IDIEM TABLAS'!$B$4:$D$23,3,FALSE),0))+IF(AND(J314&gt;=95,J314&lt;=400,G314=3),IF(AND(C314="IN",I314=90),VLOOKUP(W314,'CAFCO 300 IDIEM TABLAS'!$F$4:$H$35,2,FALSE),0),0)+IF(AND(J314&gt;=95,J314&lt;=400,G314=3),IF(AND(C314="IN",I314=120),VLOOKUP(W314,'CAFCO 300 IDIEM TABLAS'!$F$4:$H$35,3,FALSE),0),0)+IF(AND(J314&gt;=95,J314&lt;=450,G314=4),IF(AND(C314="IN",I314=90),VLOOKUP(W314,'CAFCO 300 IDIEM TABLAS'!$J$4:$L$40,2,FALSE),0),0)+IF(AND(J314&gt;=95,J314&lt;=450,G314=4),IF(AND(C314="IN",I314=120),VLOOKUP(W314,'CAFCO 300 IDIEM TABLAS'!$J$4:$L$40,3,FALSE),0),0))</f>
        <v>17</v>
      </c>
      <c r="U314" s="48">
        <f t="shared" si="34"/>
        <v>1.42887861521181</v>
      </c>
      <c r="V314" s="82">
        <f t="shared" si="31"/>
        <v>21453.183528790116</v>
      </c>
      <c r="W314" s="64">
        <f>+IF(J314=LOOKUP(J314,'CAFCO 300 IDIEM TABLAS'!$J$4:$J$40),'HOJA DE CÁLCULO RESPALDO'!J314,MROUND('HOJA DE CÁLCULO RESPALDO'!J314,10))</f>
        <v>95</v>
      </c>
      <c r="X314" s="36"/>
      <c r="Y314" s="4"/>
    </row>
    <row r="315" spans="1:25" x14ac:dyDescent="0.25">
      <c r="A315" s="2" t="s">
        <v>47</v>
      </c>
      <c r="B315" s="3" t="s">
        <v>17</v>
      </c>
      <c r="C315" s="3" t="s">
        <v>19</v>
      </c>
      <c r="D315" s="3">
        <v>1</v>
      </c>
      <c r="E315" s="2">
        <v>1</v>
      </c>
      <c r="F315" s="8">
        <v>7100</v>
      </c>
      <c r="G315" s="1">
        <v>4</v>
      </c>
      <c r="H315" s="2">
        <v>785</v>
      </c>
      <c r="I315" s="34">
        <v>90</v>
      </c>
      <c r="J315" s="11">
        <v>95</v>
      </c>
      <c r="K315" s="44">
        <f t="shared" si="28"/>
        <v>5.5735000000000001</v>
      </c>
      <c r="L315" s="3" t="s">
        <v>61</v>
      </c>
      <c r="M315" s="3" t="s">
        <v>70</v>
      </c>
      <c r="N315" s="15">
        <f>ROUND((IF(L315="Blaze Shield II",IF(M315="Idiem software",IF(AND(C315="IN",G315=4),((('BLAZE SHIELD II'!$D$4*('HOJA DE CÁLCULO RESPALDO'!I315^2)+'BLAZE SHIELD II'!$D$5*'HOJA DE CÁLCULO RESPALDO'!I315+'BLAZE SHIELD II'!$D$6)*LN(J315))+('BLAZE SHIELD II'!$D$7*('HOJA DE CÁLCULO RESPALDO'!I315^2)+'BLAZE SHIELD II'!$D$8*'HOJA DE CÁLCULO RESPALDO'!I315+'BLAZE SHIELD II'!$D$9)),0),0),0))+(IF(L315="Blaze Shield II",IF(M315="Idiem software",IF(C315="Cj",((('BLAZE SHIELD II'!$H$4*('HOJA DE CÁLCULO RESPALDO'!I315^2)+'BLAZE SHIELD II'!$H$5*'HOJA DE CÁLCULO RESPALDO'!I315+'BLAZE SHIELD II'!$H$6)*LN(J315))+('BLAZE SHIELD II'!$H$7*('HOJA DE CÁLCULO RESPALDO'!I315^2)+'BLAZE SHIELD II'!$H$8*'HOJA DE CÁLCULO RESPALDO'!I315+'BLAZE SHIELD II'!$H$9)),0),0),0))+(IF(L315="Blaze Shield II",IF(M315="Idiem software",IF(C315="C",((('BLAZE SHIELD II'!$L$4*('HOJA DE CÁLCULO RESPALDO'!I315^2)+'BLAZE SHIELD II'!$L$5*'HOJA DE CÁLCULO RESPALDO'!I315+'BLAZE SHIELD II'!$L$6)*LN(J315))+('BLAZE SHIELD II'!$L$7*('HOJA DE CÁLCULO RESPALDO'!I315^2)+'BLAZE SHIELD II'!$L$8*'HOJA DE CÁLCULO RESPALDO'!I315+'BLAZE SHIELD II'!$L$9)),0),0),0))+(IF(L315="Blaze Shield II",IF(M315="Idiem software",IF(AND(C315="IN",G315=3),((('BLAZE SHIELD II'!$H$14*('HOJA DE CÁLCULO RESPALDO'!I315^2)+'BLAZE SHIELD II'!$H$15*'HOJA DE CÁLCULO RESPALDO'!I315+'BLAZE SHIELD II'!$H$16)*LN(J315))+('BLAZE SHIELD II'!$H$17*('HOJA DE CÁLCULO RESPALDO'!I315^2)+'BLAZE SHIELD II'!$H$18*'HOJA DE CÁLCULO RESPALDO'!I315+'BLAZE SHIELD II'!$H$19)),0),0),0)),0)</f>
        <v>0</v>
      </c>
      <c r="O315" s="46">
        <f t="shared" si="32"/>
        <v>0</v>
      </c>
      <c r="P315" s="80">
        <f t="shared" si="29"/>
        <v>0</v>
      </c>
      <c r="Q315" s="85">
        <f>ROUND((IF(L315="Cafco 400",IF(M315="Idiem software",IF(AND(C315="IN",G315=4),((('CAFCO 400 '!$H$7*(J315^4)+'CAFCO 400 '!$H$8*(J315^3)+'CAFCO 400 '!$H$9*(J315^2)+'CAFCO 400 '!$H$10*J315+'CAFCO 400 '!$H$11)*I315^2)+(('CAFCO 400 '!$H$12*(J315^3)+'CAFCO 400 '!$H$13*(J315^2)+'CAFCO 400 '!$H$14*J315+'CAFCO 400 '!$H$15)*I315)+('CAFCO 400 '!$H$16*(J315^2)+'CAFCO 400 '!$H$17*J315+'CAFCO 400 '!$H$18)),0),0),0))+(IF(L315="Cafco 400",IF(M315="Idiem software",IF(C315="Cj",(((('CAFCO 400 '!$D$7*LN(J315)+'CAFCO 400 '!$D$8)*I315^2)+(('CAFCO 400 '!$D$9*LN(J315)+'CAFCO 400 '!$D$10)*I315)+('CAFCO 400 '!$D$11*LN(J315)+'CAFCO 400 '!$D$12))),0),0),0))+(IF(L315="Cafco 400",IF(M315="Idiem software",IF(C315="C",((('CAFCO 400 '!$L$7*(J315^3)+'CAFCO 400 '!$L$8*(J315^2)+'CAFCO 400 '!$L$9*J315+'CAFCO 400 '!$L$10)*I315^2)+(('CAFCO 400 '!$L$11*(J315^3)+'CAFCO 400 '!$L$12*(J315^2)+'CAFCO 400 '!$L$13*J315+'CAFCO 400 '!$L$14)*I315)+('CAFCO 400 '!$L$15*LN(J315)+'CAFCO 400 '!$L$16)),0),0),0))+(IF(L315="Cafco 400",IF(M315="Idiem software",IF(AND(C315="IN",G315=3),((('CAFCO 400 '!$D$23*(J315^2)+'CAFCO 400 '!$D$24*(J315)+'CAFCO 400 '!$D$25)*I315^2)+(('CAFCO 400 '!$D$26*(J315^2)+'CAFCO 400 '!$D$27*J315+'CAFCO 400 '!$D$28)*I315)+('CAFCO 400 '!$D$29*(J315^2)+'CAFCO 400 '!$D$30*J315+'CAFCO 400 '!$D$31)),0),0),0)),0)</f>
        <v>0</v>
      </c>
      <c r="R315" s="47">
        <f t="shared" si="33"/>
        <v>0</v>
      </c>
      <c r="S315" s="82">
        <f t="shared" si="30"/>
        <v>0</v>
      </c>
      <c r="T315" s="81">
        <f>+IF(AND(J315&gt;=95,J315&lt;=240),IF(AND(C315="Cj",I315=90),VLOOKUP(W315,'CAFCO 300 IDIEM TABLAS'!$B$4:$D$23,2,FALSE),0)+IF(AND(J315&gt;=95,J315&lt;=240),IF(AND(C315="Cj",I315=120),VLOOKUP(W315,'CAFCO 300 IDIEM TABLAS'!$B$4:$D$23,3,FALSE),0))+IF(AND(J315&gt;=95,J315&lt;=400,G315=3),IF(AND(C315="IN",I315=90),VLOOKUP(W315,'CAFCO 300 IDIEM TABLAS'!$F$4:$H$35,2,FALSE),0),0)+IF(AND(J315&gt;=95,J315&lt;=400,G315=3),IF(AND(C315="IN",I315=120),VLOOKUP(W315,'CAFCO 300 IDIEM TABLAS'!$F$4:$H$35,3,FALSE),0),0)+IF(AND(J315&gt;=95,J315&lt;=450,G315=4),IF(AND(C315="IN",I315=90),VLOOKUP(W315,'CAFCO 300 IDIEM TABLAS'!$J$4:$L$40,2,FALSE),0),0)+IF(AND(J315&gt;=95,J315&lt;=450,G315=4),IF(AND(C315="IN",I315=120),VLOOKUP(W315,'CAFCO 300 IDIEM TABLAS'!$J$4:$L$40,3,FALSE),0),0))</f>
        <v>17</v>
      </c>
      <c r="U315" s="48">
        <f t="shared" si="34"/>
        <v>1.3075187740693195</v>
      </c>
      <c r="V315" s="82">
        <f t="shared" si="31"/>
        <v>19631.086873876764</v>
      </c>
      <c r="W315" s="64">
        <f>+IF(J315=LOOKUP(J315,'CAFCO 300 IDIEM TABLAS'!$J$4:$J$40),'HOJA DE CÁLCULO RESPALDO'!J315,MROUND('HOJA DE CÁLCULO RESPALDO'!J315,10))</f>
        <v>95</v>
      </c>
      <c r="X315" s="36"/>
      <c r="Y315" s="4"/>
    </row>
    <row r="316" spans="1:25" ht="15.6" customHeight="1" x14ac:dyDescent="0.25">
      <c r="A316" s="2" t="s">
        <v>48</v>
      </c>
      <c r="B316" s="3" t="s">
        <v>17</v>
      </c>
      <c r="C316" s="3" t="s">
        <v>19</v>
      </c>
      <c r="D316" s="3">
        <v>1</v>
      </c>
      <c r="E316" s="2">
        <v>1</v>
      </c>
      <c r="F316" s="8">
        <v>19050</v>
      </c>
      <c r="G316" s="1">
        <v>4</v>
      </c>
      <c r="H316" s="2">
        <v>1185</v>
      </c>
      <c r="I316" s="34">
        <v>90</v>
      </c>
      <c r="J316" s="11">
        <v>95</v>
      </c>
      <c r="K316" s="44">
        <f t="shared" si="28"/>
        <v>22.574249999999999</v>
      </c>
      <c r="L316" s="3" t="s">
        <v>61</v>
      </c>
      <c r="M316" s="3" t="s">
        <v>70</v>
      </c>
      <c r="N316" s="15">
        <f>ROUND((IF(L316="Blaze Shield II",IF(M316="Idiem software",IF(AND(C316="IN",G316=4),((('BLAZE SHIELD II'!$D$4*('HOJA DE CÁLCULO RESPALDO'!I316^2)+'BLAZE SHIELD II'!$D$5*'HOJA DE CÁLCULO RESPALDO'!I316+'BLAZE SHIELD II'!$D$6)*LN(J316))+('BLAZE SHIELD II'!$D$7*('HOJA DE CÁLCULO RESPALDO'!I316^2)+'BLAZE SHIELD II'!$D$8*'HOJA DE CÁLCULO RESPALDO'!I316+'BLAZE SHIELD II'!$D$9)),0),0),0))+(IF(L316="Blaze Shield II",IF(M316="Idiem software",IF(C316="Cj",((('BLAZE SHIELD II'!$H$4*('HOJA DE CÁLCULO RESPALDO'!I316^2)+'BLAZE SHIELD II'!$H$5*'HOJA DE CÁLCULO RESPALDO'!I316+'BLAZE SHIELD II'!$H$6)*LN(J316))+('BLAZE SHIELD II'!$H$7*('HOJA DE CÁLCULO RESPALDO'!I316^2)+'BLAZE SHIELD II'!$H$8*'HOJA DE CÁLCULO RESPALDO'!I316+'BLAZE SHIELD II'!$H$9)),0),0),0))+(IF(L316="Blaze Shield II",IF(M316="Idiem software",IF(C316="C",((('BLAZE SHIELD II'!$L$4*('HOJA DE CÁLCULO RESPALDO'!I316^2)+'BLAZE SHIELD II'!$L$5*'HOJA DE CÁLCULO RESPALDO'!I316+'BLAZE SHIELD II'!$L$6)*LN(J316))+('BLAZE SHIELD II'!$L$7*('HOJA DE CÁLCULO RESPALDO'!I316^2)+'BLAZE SHIELD II'!$L$8*'HOJA DE CÁLCULO RESPALDO'!I316+'BLAZE SHIELD II'!$L$9)),0),0),0))+(IF(L316="Blaze Shield II",IF(M316="Idiem software",IF(AND(C316="IN",G316=3),((('BLAZE SHIELD II'!$H$14*('HOJA DE CÁLCULO RESPALDO'!I316^2)+'BLAZE SHIELD II'!$H$15*'HOJA DE CÁLCULO RESPALDO'!I316+'BLAZE SHIELD II'!$H$16)*LN(J316))+('BLAZE SHIELD II'!$H$17*('HOJA DE CÁLCULO RESPALDO'!I316^2)+'BLAZE SHIELD II'!$H$18*'HOJA DE CÁLCULO RESPALDO'!I316+'BLAZE SHIELD II'!$H$19)),0),0),0)),0)</f>
        <v>0</v>
      </c>
      <c r="O316" s="46">
        <f t="shared" si="32"/>
        <v>0</v>
      </c>
      <c r="P316" s="80">
        <f t="shared" si="29"/>
        <v>0</v>
      </c>
      <c r="Q316" s="85">
        <f>ROUND((IF(L316="Cafco 400",IF(M316="Idiem software",IF(AND(C316="IN",G316=4),((('CAFCO 400 '!$H$7*(J316^4)+'CAFCO 400 '!$H$8*(J316^3)+'CAFCO 400 '!$H$9*(J316^2)+'CAFCO 400 '!$H$10*J316+'CAFCO 400 '!$H$11)*I316^2)+(('CAFCO 400 '!$H$12*(J316^3)+'CAFCO 400 '!$H$13*(J316^2)+'CAFCO 400 '!$H$14*J316+'CAFCO 400 '!$H$15)*I316)+('CAFCO 400 '!$H$16*(J316^2)+'CAFCO 400 '!$H$17*J316+'CAFCO 400 '!$H$18)),0),0),0))+(IF(L316="Cafco 400",IF(M316="Idiem software",IF(C316="Cj",(((('CAFCO 400 '!$D$7*LN(J316)+'CAFCO 400 '!$D$8)*I316^2)+(('CAFCO 400 '!$D$9*LN(J316)+'CAFCO 400 '!$D$10)*I316)+('CAFCO 400 '!$D$11*LN(J316)+'CAFCO 400 '!$D$12))),0),0),0))+(IF(L316="Cafco 400",IF(M316="Idiem software",IF(C316="C",((('CAFCO 400 '!$L$7*(J316^3)+'CAFCO 400 '!$L$8*(J316^2)+'CAFCO 400 '!$L$9*J316+'CAFCO 400 '!$L$10)*I316^2)+(('CAFCO 400 '!$L$11*(J316^3)+'CAFCO 400 '!$L$12*(J316^2)+'CAFCO 400 '!$L$13*J316+'CAFCO 400 '!$L$14)*I316)+('CAFCO 400 '!$L$15*LN(J316)+'CAFCO 400 '!$L$16)),0),0),0))+(IF(L316="Cafco 400",IF(M316="Idiem software",IF(AND(C316="IN",G316=3),((('CAFCO 400 '!$D$23*(J316^2)+'CAFCO 400 '!$D$24*(J316)+'CAFCO 400 '!$D$25)*I316^2)+(('CAFCO 400 '!$D$26*(J316^2)+'CAFCO 400 '!$D$27*J316+'CAFCO 400 '!$D$28)*I316)+('CAFCO 400 '!$D$29*(J316^2)+'CAFCO 400 '!$D$30*J316+'CAFCO 400 '!$D$31)),0),0),0)),0)</f>
        <v>0</v>
      </c>
      <c r="R316" s="47">
        <f t="shared" si="33"/>
        <v>0</v>
      </c>
      <c r="S316" s="82">
        <f t="shared" si="30"/>
        <v>0</v>
      </c>
      <c r="T316" s="81">
        <f>+IF(AND(J316&gt;=95,J316&lt;=240),IF(AND(C316="Cj",I316=90),VLOOKUP(W316,'CAFCO 300 IDIEM TABLAS'!$B$4:$D$23,2,FALSE),0)+IF(AND(J316&gt;=95,J316&lt;=240),IF(AND(C316="Cj",I316=120),VLOOKUP(W316,'CAFCO 300 IDIEM TABLAS'!$B$4:$D$23,3,FALSE),0))+IF(AND(J316&gt;=95,J316&lt;=400,G316=3),IF(AND(C316="IN",I316=90),VLOOKUP(W316,'CAFCO 300 IDIEM TABLAS'!$F$4:$H$35,2,FALSE),0),0)+IF(AND(J316&gt;=95,J316&lt;=400,G316=3),IF(AND(C316="IN",I316=120),VLOOKUP(W316,'CAFCO 300 IDIEM TABLAS'!$F$4:$H$35,3,FALSE),0),0)+IF(AND(J316&gt;=95,J316&lt;=450,G316=4),IF(AND(C316="IN",I316=90),VLOOKUP(W316,'CAFCO 300 IDIEM TABLAS'!$J$4:$L$40,2,FALSE),0),0)+IF(AND(J316&gt;=95,J316&lt;=450,G316=4),IF(AND(C316="IN",I316=120),VLOOKUP(W316,'CAFCO 300 IDIEM TABLAS'!$J$4:$L$40,3,FALSE),0),0))</f>
        <v>17</v>
      </c>
      <c r="U316" s="48">
        <f t="shared" si="34"/>
        <v>5.2958205231065465</v>
      </c>
      <c r="V316" s="82">
        <f t="shared" si="31"/>
        <v>79511.449333921686</v>
      </c>
      <c r="W316" s="64">
        <f>+IF(J316=LOOKUP(J316,'CAFCO 300 IDIEM TABLAS'!$J$4:$J$40),'HOJA DE CÁLCULO RESPALDO'!J316,MROUND('HOJA DE CÁLCULO RESPALDO'!J316,10))</f>
        <v>95</v>
      </c>
      <c r="X316" s="36"/>
      <c r="Y316" s="4"/>
    </row>
    <row r="317" spans="1:25" x14ac:dyDescent="0.25">
      <c r="A317" s="2" t="s">
        <v>42</v>
      </c>
      <c r="B317" s="3" t="s">
        <v>17</v>
      </c>
      <c r="C317" s="3" t="s">
        <v>19</v>
      </c>
      <c r="D317" s="3">
        <v>1</v>
      </c>
      <c r="E317" s="2">
        <v>1</v>
      </c>
      <c r="F317" s="8">
        <v>4255</v>
      </c>
      <c r="G317" s="1">
        <v>4</v>
      </c>
      <c r="H317" s="2">
        <v>1185</v>
      </c>
      <c r="I317" s="34">
        <v>90</v>
      </c>
      <c r="J317" s="11">
        <v>95</v>
      </c>
      <c r="K317" s="44">
        <f t="shared" si="28"/>
        <v>5.0421750000000003</v>
      </c>
      <c r="L317" s="3" t="s">
        <v>61</v>
      </c>
      <c r="M317" s="3" t="s">
        <v>70</v>
      </c>
      <c r="N317" s="15">
        <f>ROUND((IF(L317="Blaze Shield II",IF(M317="Idiem software",IF(AND(C317="IN",G317=4),((('BLAZE SHIELD II'!$D$4*('HOJA DE CÁLCULO RESPALDO'!I317^2)+'BLAZE SHIELD II'!$D$5*'HOJA DE CÁLCULO RESPALDO'!I317+'BLAZE SHIELD II'!$D$6)*LN(J317))+('BLAZE SHIELD II'!$D$7*('HOJA DE CÁLCULO RESPALDO'!I317^2)+'BLAZE SHIELD II'!$D$8*'HOJA DE CÁLCULO RESPALDO'!I317+'BLAZE SHIELD II'!$D$9)),0),0),0))+(IF(L317="Blaze Shield II",IF(M317="Idiem software",IF(C317="Cj",((('BLAZE SHIELD II'!$H$4*('HOJA DE CÁLCULO RESPALDO'!I317^2)+'BLAZE SHIELD II'!$H$5*'HOJA DE CÁLCULO RESPALDO'!I317+'BLAZE SHIELD II'!$H$6)*LN(J317))+('BLAZE SHIELD II'!$H$7*('HOJA DE CÁLCULO RESPALDO'!I317^2)+'BLAZE SHIELD II'!$H$8*'HOJA DE CÁLCULO RESPALDO'!I317+'BLAZE SHIELD II'!$H$9)),0),0),0))+(IF(L317="Blaze Shield II",IF(M317="Idiem software",IF(C317="C",((('BLAZE SHIELD II'!$L$4*('HOJA DE CÁLCULO RESPALDO'!I317^2)+'BLAZE SHIELD II'!$L$5*'HOJA DE CÁLCULO RESPALDO'!I317+'BLAZE SHIELD II'!$L$6)*LN(J317))+('BLAZE SHIELD II'!$L$7*('HOJA DE CÁLCULO RESPALDO'!I317^2)+'BLAZE SHIELD II'!$L$8*'HOJA DE CÁLCULO RESPALDO'!I317+'BLAZE SHIELD II'!$L$9)),0),0),0))+(IF(L317="Blaze Shield II",IF(M317="Idiem software",IF(AND(C317="IN",G317=3),((('BLAZE SHIELD II'!$H$14*('HOJA DE CÁLCULO RESPALDO'!I317^2)+'BLAZE SHIELD II'!$H$15*'HOJA DE CÁLCULO RESPALDO'!I317+'BLAZE SHIELD II'!$H$16)*LN(J317))+('BLAZE SHIELD II'!$H$17*('HOJA DE CÁLCULO RESPALDO'!I317^2)+'BLAZE SHIELD II'!$H$18*'HOJA DE CÁLCULO RESPALDO'!I317+'BLAZE SHIELD II'!$H$19)),0),0),0)),0)</f>
        <v>0</v>
      </c>
      <c r="O317" s="46">
        <f t="shared" si="32"/>
        <v>0</v>
      </c>
      <c r="P317" s="80">
        <f t="shared" si="29"/>
        <v>0</v>
      </c>
      <c r="Q317" s="85">
        <f>ROUND((IF(L317="Cafco 400",IF(M317="Idiem software",IF(AND(C317="IN",G317=4),((('CAFCO 400 '!$H$7*(J317^4)+'CAFCO 400 '!$H$8*(J317^3)+'CAFCO 400 '!$H$9*(J317^2)+'CAFCO 400 '!$H$10*J317+'CAFCO 400 '!$H$11)*I317^2)+(('CAFCO 400 '!$H$12*(J317^3)+'CAFCO 400 '!$H$13*(J317^2)+'CAFCO 400 '!$H$14*J317+'CAFCO 400 '!$H$15)*I317)+('CAFCO 400 '!$H$16*(J317^2)+'CAFCO 400 '!$H$17*J317+'CAFCO 400 '!$H$18)),0),0),0))+(IF(L317="Cafco 400",IF(M317="Idiem software",IF(C317="Cj",(((('CAFCO 400 '!$D$7*LN(J317)+'CAFCO 400 '!$D$8)*I317^2)+(('CAFCO 400 '!$D$9*LN(J317)+'CAFCO 400 '!$D$10)*I317)+('CAFCO 400 '!$D$11*LN(J317)+'CAFCO 400 '!$D$12))),0),0),0))+(IF(L317="Cafco 400",IF(M317="Idiem software",IF(C317="C",((('CAFCO 400 '!$L$7*(J317^3)+'CAFCO 400 '!$L$8*(J317^2)+'CAFCO 400 '!$L$9*J317+'CAFCO 400 '!$L$10)*I317^2)+(('CAFCO 400 '!$L$11*(J317^3)+'CAFCO 400 '!$L$12*(J317^2)+'CAFCO 400 '!$L$13*J317+'CAFCO 400 '!$L$14)*I317)+('CAFCO 400 '!$L$15*LN(J317)+'CAFCO 400 '!$L$16)),0),0),0))+(IF(L317="Cafco 400",IF(M317="Idiem software",IF(AND(C317="IN",G317=3),((('CAFCO 400 '!$D$23*(J317^2)+'CAFCO 400 '!$D$24*(J317)+'CAFCO 400 '!$D$25)*I317^2)+(('CAFCO 400 '!$D$26*(J317^2)+'CAFCO 400 '!$D$27*J317+'CAFCO 400 '!$D$28)*I317)+('CAFCO 400 '!$D$29*(J317^2)+'CAFCO 400 '!$D$30*J317+'CAFCO 400 '!$D$31)),0),0),0)),0)</f>
        <v>0</v>
      </c>
      <c r="R317" s="47">
        <f t="shared" si="33"/>
        <v>0</v>
      </c>
      <c r="S317" s="82">
        <f t="shared" si="30"/>
        <v>0</v>
      </c>
      <c r="T317" s="81">
        <f>+IF(AND(J317&gt;=95,J317&lt;=240),IF(AND(C317="Cj",I317=90),VLOOKUP(W317,'CAFCO 300 IDIEM TABLAS'!$B$4:$D$23,2,FALSE),0)+IF(AND(J317&gt;=95,J317&lt;=240),IF(AND(C317="Cj",I317=120),VLOOKUP(W317,'CAFCO 300 IDIEM TABLAS'!$B$4:$D$23,3,FALSE),0))+IF(AND(J317&gt;=95,J317&lt;=400,G317=3),IF(AND(C317="IN",I317=90),VLOOKUP(W317,'CAFCO 300 IDIEM TABLAS'!$F$4:$H$35,2,FALSE),0),0)+IF(AND(J317&gt;=95,J317&lt;=400,G317=3),IF(AND(C317="IN",I317=120),VLOOKUP(W317,'CAFCO 300 IDIEM TABLAS'!$F$4:$H$35,3,FALSE),0),0)+IF(AND(J317&gt;=95,J317&lt;=450,G317=4),IF(AND(C317="IN",I317=90),VLOOKUP(W317,'CAFCO 300 IDIEM TABLAS'!$J$4:$L$40,2,FALSE),0),0)+IF(AND(J317&gt;=95,J317&lt;=450,G317=4),IF(AND(C317="IN",I317=120),VLOOKUP(W317,'CAFCO 300 IDIEM TABLAS'!$J$4:$L$40,3,FALSE),0),0))</f>
        <v>17</v>
      </c>
      <c r="U317" s="48">
        <f t="shared" si="34"/>
        <v>1.1828722480744545</v>
      </c>
      <c r="V317" s="82">
        <f t="shared" si="31"/>
        <v>17759.643932589861</v>
      </c>
      <c r="W317" s="64">
        <f>+IF(J317=LOOKUP(J317,'CAFCO 300 IDIEM TABLAS'!$J$4:$J$40),'HOJA DE CÁLCULO RESPALDO'!J317,MROUND('HOJA DE CÁLCULO RESPALDO'!J317,10))</f>
        <v>95</v>
      </c>
      <c r="X317" s="36"/>
      <c r="Y317" s="4"/>
    </row>
    <row r="318" spans="1:25" ht="15.6" customHeight="1" x14ac:dyDescent="0.25">
      <c r="A318" s="2" t="s">
        <v>42</v>
      </c>
      <c r="B318" s="3" t="s">
        <v>17</v>
      </c>
      <c r="C318" s="3" t="s">
        <v>19</v>
      </c>
      <c r="D318" s="3">
        <v>1</v>
      </c>
      <c r="E318" s="2">
        <v>1</v>
      </c>
      <c r="F318" s="8">
        <v>89250</v>
      </c>
      <c r="G318" s="1">
        <v>4</v>
      </c>
      <c r="H318" s="2">
        <v>1190</v>
      </c>
      <c r="I318" s="34">
        <v>90</v>
      </c>
      <c r="J318" s="11">
        <v>95</v>
      </c>
      <c r="K318" s="44">
        <f t="shared" si="28"/>
        <v>106.2075</v>
      </c>
      <c r="L318" s="3" t="s">
        <v>61</v>
      </c>
      <c r="M318" s="3" t="s">
        <v>70</v>
      </c>
      <c r="N318" s="15">
        <f>ROUND((IF(L318="Blaze Shield II",IF(M318="Idiem software",IF(AND(C318="IN",G318=4),((('BLAZE SHIELD II'!$D$4*('HOJA DE CÁLCULO RESPALDO'!I318^2)+'BLAZE SHIELD II'!$D$5*'HOJA DE CÁLCULO RESPALDO'!I318+'BLAZE SHIELD II'!$D$6)*LN(J318))+('BLAZE SHIELD II'!$D$7*('HOJA DE CÁLCULO RESPALDO'!I318^2)+'BLAZE SHIELD II'!$D$8*'HOJA DE CÁLCULO RESPALDO'!I318+'BLAZE SHIELD II'!$D$9)),0),0),0))+(IF(L318="Blaze Shield II",IF(M318="Idiem software",IF(C318="Cj",((('BLAZE SHIELD II'!$H$4*('HOJA DE CÁLCULO RESPALDO'!I318^2)+'BLAZE SHIELD II'!$H$5*'HOJA DE CÁLCULO RESPALDO'!I318+'BLAZE SHIELD II'!$H$6)*LN(J318))+('BLAZE SHIELD II'!$H$7*('HOJA DE CÁLCULO RESPALDO'!I318^2)+'BLAZE SHIELD II'!$H$8*'HOJA DE CÁLCULO RESPALDO'!I318+'BLAZE SHIELD II'!$H$9)),0),0),0))+(IF(L318="Blaze Shield II",IF(M318="Idiem software",IF(C318="C",((('BLAZE SHIELD II'!$L$4*('HOJA DE CÁLCULO RESPALDO'!I318^2)+'BLAZE SHIELD II'!$L$5*'HOJA DE CÁLCULO RESPALDO'!I318+'BLAZE SHIELD II'!$L$6)*LN(J318))+('BLAZE SHIELD II'!$L$7*('HOJA DE CÁLCULO RESPALDO'!I318^2)+'BLAZE SHIELD II'!$L$8*'HOJA DE CÁLCULO RESPALDO'!I318+'BLAZE SHIELD II'!$L$9)),0),0),0))+(IF(L318="Blaze Shield II",IF(M318="Idiem software",IF(AND(C318="IN",G318=3),((('BLAZE SHIELD II'!$H$14*('HOJA DE CÁLCULO RESPALDO'!I318^2)+'BLAZE SHIELD II'!$H$15*'HOJA DE CÁLCULO RESPALDO'!I318+'BLAZE SHIELD II'!$H$16)*LN(J318))+('BLAZE SHIELD II'!$H$17*('HOJA DE CÁLCULO RESPALDO'!I318^2)+'BLAZE SHIELD II'!$H$18*'HOJA DE CÁLCULO RESPALDO'!I318+'BLAZE SHIELD II'!$H$19)),0),0),0)),0)</f>
        <v>0</v>
      </c>
      <c r="O318" s="46">
        <f t="shared" si="32"/>
        <v>0</v>
      </c>
      <c r="P318" s="80">
        <f t="shared" si="29"/>
        <v>0</v>
      </c>
      <c r="Q318" s="85">
        <f>ROUND((IF(L318="Cafco 400",IF(M318="Idiem software",IF(AND(C318="IN",G318=4),((('CAFCO 400 '!$H$7*(J318^4)+'CAFCO 400 '!$H$8*(J318^3)+'CAFCO 400 '!$H$9*(J318^2)+'CAFCO 400 '!$H$10*J318+'CAFCO 400 '!$H$11)*I318^2)+(('CAFCO 400 '!$H$12*(J318^3)+'CAFCO 400 '!$H$13*(J318^2)+'CAFCO 400 '!$H$14*J318+'CAFCO 400 '!$H$15)*I318)+('CAFCO 400 '!$H$16*(J318^2)+'CAFCO 400 '!$H$17*J318+'CAFCO 400 '!$H$18)),0),0),0))+(IF(L318="Cafco 400",IF(M318="Idiem software",IF(C318="Cj",(((('CAFCO 400 '!$D$7*LN(J318)+'CAFCO 400 '!$D$8)*I318^2)+(('CAFCO 400 '!$D$9*LN(J318)+'CAFCO 400 '!$D$10)*I318)+('CAFCO 400 '!$D$11*LN(J318)+'CAFCO 400 '!$D$12))),0),0),0))+(IF(L318="Cafco 400",IF(M318="Idiem software",IF(C318="C",((('CAFCO 400 '!$L$7*(J318^3)+'CAFCO 400 '!$L$8*(J318^2)+'CAFCO 400 '!$L$9*J318+'CAFCO 400 '!$L$10)*I318^2)+(('CAFCO 400 '!$L$11*(J318^3)+'CAFCO 400 '!$L$12*(J318^2)+'CAFCO 400 '!$L$13*J318+'CAFCO 400 '!$L$14)*I318)+('CAFCO 400 '!$L$15*LN(J318)+'CAFCO 400 '!$L$16)),0),0),0))+(IF(L318="Cafco 400",IF(M318="Idiem software",IF(AND(C318="IN",G318=3),((('CAFCO 400 '!$D$23*(J318^2)+'CAFCO 400 '!$D$24*(J318)+'CAFCO 400 '!$D$25)*I318^2)+(('CAFCO 400 '!$D$26*(J318^2)+'CAFCO 400 '!$D$27*J318+'CAFCO 400 '!$D$28)*I318)+('CAFCO 400 '!$D$29*(J318^2)+'CAFCO 400 '!$D$30*J318+'CAFCO 400 '!$D$31)),0),0),0)),0)</f>
        <v>0</v>
      </c>
      <c r="R318" s="47">
        <f t="shared" si="33"/>
        <v>0</v>
      </c>
      <c r="S318" s="82">
        <f t="shared" si="30"/>
        <v>0</v>
      </c>
      <c r="T318" s="81">
        <f>+IF(AND(J318&gt;=95,J318&lt;=240),IF(AND(C318="Cj",I318=90),VLOOKUP(W318,'CAFCO 300 IDIEM TABLAS'!$B$4:$D$23,2,FALSE),0)+IF(AND(J318&gt;=95,J318&lt;=240),IF(AND(C318="Cj",I318=120),VLOOKUP(W318,'CAFCO 300 IDIEM TABLAS'!$B$4:$D$23,3,FALSE),0))+IF(AND(J318&gt;=95,J318&lt;=400,G318=3),IF(AND(C318="IN",I318=90),VLOOKUP(W318,'CAFCO 300 IDIEM TABLAS'!$F$4:$H$35,2,FALSE),0),0)+IF(AND(J318&gt;=95,J318&lt;=400,G318=3),IF(AND(C318="IN",I318=120),VLOOKUP(W318,'CAFCO 300 IDIEM TABLAS'!$F$4:$H$35,3,FALSE),0),0)+IF(AND(J318&gt;=95,J318&lt;=450,G318=4),IF(AND(C318="IN",I318=90),VLOOKUP(W318,'CAFCO 300 IDIEM TABLAS'!$J$4:$L$40,2,FALSE),0),0)+IF(AND(J318&gt;=95,J318&lt;=450,G318=4),IF(AND(C318="IN",I318=120),VLOOKUP(W318,'CAFCO 300 IDIEM TABLAS'!$J$4:$L$40,3,FALSE),0),0))</f>
        <v>17</v>
      </c>
      <c r="U318" s="48">
        <f t="shared" si="34"/>
        <v>24.915815949935812</v>
      </c>
      <c r="V318" s="82">
        <f t="shared" si="31"/>
        <v>374086.06067233626</v>
      </c>
      <c r="W318" s="64">
        <f>+IF(J318=LOOKUP(J318,'CAFCO 300 IDIEM TABLAS'!$J$4:$J$40),'HOJA DE CÁLCULO RESPALDO'!J318,MROUND('HOJA DE CÁLCULO RESPALDO'!J318,10))</f>
        <v>95</v>
      </c>
      <c r="X318" s="36"/>
      <c r="Y318" s="4"/>
    </row>
    <row r="319" spans="1:25" x14ac:dyDescent="0.25">
      <c r="A319" s="2" t="s">
        <v>49</v>
      </c>
      <c r="B319" s="3" t="s">
        <v>17</v>
      </c>
      <c r="C319" s="3" t="s">
        <v>19</v>
      </c>
      <c r="D319" s="3">
        <v>1</v>
      </c>
      <c r="E319" s="2">
        <v>1</v>
      </c>
      <c r="F319" s="8">
        <v>13000</v>
      </c>
      <c r="G319" s="1">
        <v>4</v>
      </c>
      <c r="H319" s="2">
        <v>1181</v>
      </c>
      <c r="I319" s="34">
        <v>90</v>
      </c>
      <c r="J319" s="11">
        <v>95</v>
      </c>
      <c r="K319" s="44">
        <f t="shared" si="28"/>
        <v>15.353</v>
      </c>
      <c r="L319" s="3" t="s">
        <v>61</v>
      </c>
      <c r="M319" s="3" t="s">
        <v>70</v>
      </c>
      <c r="N319" s="15">
        <f>ROUND((IF(L319="Blaze Shield II",IF(M319="Idiem software",IF(AND(C319="IN",G319=4),((('BLAZE SHIELD II'!$D$4*('HOJA DE CÁLCULO RESPALDO'!I319^2)+'BLAZE SHIELD II'!$D$5*'HOJA DE CÁLCULO RESPALDO'!I319+'BLAZE SHIELD II'!$D$6)*LN(J319))+('BLAZE SHIELD II'!$D$7*('HOJA DE CÁLCULO RESPALDO'!I319^2)+'BLAZE SHIELD II'!$D$8*'HOJA DE CÁLCULO RESPALDO'!I319+'BLAZE SHIELD II'!$D$9)),0),0),0))+(IF(L319="Blaze Shield II",IF(M319="Idiem software",IF(C319="Cj",((('BLAZE SHIELD II'!$H$4*('HOJA DE CÁLCULO RESPALDO'!I319^2)+'BLAZE SHIELD II'!$H$5*'HOJA DE CÁLCULO RESPALDO'!I319+'BLAZE SHIELD II'!$H$6)*LN(J319))+('BLAZE SHIELD II'!$H$7*('HOJA DE CÁLCULO RESPALDO'!I319^2)+'BLAZE SHIELD II'!$H$8*'HOJA DE CÁLCULO RESPALDO'!I319+'BLAZE SHIELD II'!$H$9)),0),0),0))+(IF(L319="Blaze Shield II",IF(M319="Idiem software",IF(C319="C",((('BLAZE SHIELD II'!$L$4*('HOJA DE CÁLCULO RESPALDO'!I319^2)+'BLAZE SHIELD II'!$L$5*'HOJA DE CÁLCULO RESPALDO'!I319+'BLAZE SHIELD II'!$L$6)*LN(J319))+('BLAZE SHIELD II'!$L$7*('HOJA DE CÁLCULO RESPALDO'!I319^2)+'BLAZE SHIELD II'!$L$8*'HOJA DE CÁLCULO RESPALDO'!I319+'BLAZE SHIELD II'!$L$9)),0),0),0))+(IF(L319="Blaze Shield II",IF(M319="Idiem software",IF(AND(C319="IN",G319=3),((('BLAZE SHIELD II'!$H$14*('HOJA DE CÁLCULO RESPALDO'!I319^2)+'BLAZE SHIELD II'!$H$15*'HOJA DE CÁLCULO RESPALDO'!I319+'BLAZE SHIELD II'!$H$16)*LN(J319))+('BLAZE SHIELD II'!$H$17*('HOJA DE CÁLCULO RESPALDO'!I319^2)+'BLAZE SHIELD II'!$H$18*'HOJA DE CÁLCULO RESPALDO'!I319+'BLAZE SHIELD II'!$H$19)),0),0),0)),0)</f>
        <v>0</v>
      </c>
      <c r="O319" s="46">
        <f t="shared" si="32"/>
        <v>0</v>
      </c>
      <c r="P319" s="80">
        <f t="shared" si="29"/>
        <v>0</v>
      </c>
      <c r="Q319" s="85">
        <f>ROUND((IF(L319="Cafco 400",IF(M319="Idiem software",IF(AND(C319="IN",G319=4),((('CAFCO 400 '!$H$7*(J319^4)+'CAFCO 400 '!$H$8*(J319^3)+'CAFCO 400 '!$H$9*(J319^2)+'CAFCO 400 '!$H$10*J319+'CAFCO 400 '!$H$11)*I319^2)+(('CAFCO 400 '!$H$12*(J319^3)+'CAFCO 400 '!$H$13*(J319^2)+'CAFCO 400 '!$H$14*J319+'CAFCO 400 '!$H$15)*I319)+('CAFCO 400 '!$H$16*(J319^2)+'CAFCO 400 '!$H$17*J319+'CAFCO 400 '!$H$18)),0),0),0))+(IF(L319="Cafco 400",IF(M319="Idiem software",IF(C319="Cj",(((('CAFCO 400 '!$D$7*LN(J319)+'CAFCO 400 '!$D$8)*I319^2)+(('CAFCO 400 '!$D$9*LN(J319)+'CAFCO 400 '!$D$10)*I319)+('CAFCO 400 '!$D$11*LN(J319)+'CAFCO 400 '!$D$12))),0),0),0))+(IF(L319="Cafco 400",IF(M319="Idiem software",IF(C319="C",((('CAFCO 400 '!$L$7*(J319^3)+'CAFCO 400 '!$L$8*(J319^2)+'CAFCO 400 '!$L$9*J319+'CAFCO 400 '!$L$10)*I319^2)+(('CAFCO 400 '!$L$11*(J319^3)+'CAFCO 400 '!$L$12*(J319^2)+'CAFCO 400 '!$L$13*J319+'CAFCO 400 '!$L$14)*I319)+('CAFCO 400 '!$L$15*LN(J319)+'CAFCO 400 '!$L$16)),0),0),0))+(IF(L319="Cafco 400",IF(M319="Idiem software",IF(AND(C319="IN",G319=3),((('CAFCO 400 '!$D$23*(J319^2)+'CAFCO 400 '!$D$24*(J319)+'CAFCO 400 '!$D$25)*I319^2)+(('CAFCO 400 '!$D$26*(J319^2)+'CAFCO 400 '!$D$27*J319+'CAFCO 400 '!$D$28)*I319)+('CAFCO 400 '!$D$29*(J319^2)+'CAFCO 400 '!$D$30*J319+'CAFCO 400 '!$D$31)),0),0),0)),0)</f>
        <v>0</v>
      </c>
      <c r="R319" s="47">
        <f t="shared" si="33"/>
        <v>0</v>
      </c>
      <c r="S319" s="82">
        <f t="shared" si="30"/>
        <v>0</v>
      </c>
      <c r="T319" s="81">
        <f>+IF(AND(J319&gt;=95,J319&lt;=240),IF(AND(C319="Cj",I319=90),VLOOKUP(W319,'CAFCO 300 IDIEM TABLAS'!$B$4:$D$23,2,FALSE),0)+IF(AND(J319&gt;=95,J319&lt;=240),IF(AND(C319="Cj",I319=120),VLOOKUP(W319,'CAFCO 300 IDIEM TABLAS'!$B$4:$D$23,3,FALSE),0))+IF(AND(J319&gt;=95,J319&lt;=400,G319=3),IF(AND(C319="IN",I319=90),VLOOKUP(W319,'CAFCO 300 IDIEM TABLAS'!$F$4:$H$35,2,FALSE),0),0)+IF(AND(J319&gt;=95,J319&lt;=400,G319=3),IF(AND(C319="IN",I319=120),VLOOKUP(W319,'CAFCO 300 IDIEM TABLAS'!$F$4:$H$35,3,FALSE),0),0)+IF(AND(J319&gt;=95,J319&lt;=450,G319=4),IF(AND(C319="IN",I319=90),VLOOKUP(W319,'CAFCO 300 IDIEM TABLAS'!$J$4:$L$40,2,FALSE),0),0)+IF(AND(J319&gt;=95,J319&lt;=450,G319=4),IF(AND(C319="IN",I319=120),VLOOKUP(W319,'CAFCO 300 IDIEM TABLAS'!$J$4:$L$40,3,FALSE),0),0))</f>
        <v>17</v>
      </c>
      <c r="U319" s="48">
        <f t="shared" si="34"/>
        <v>3.6017467907573808</v>
      </c>
      <c r="V319" s="82">
        <f t="shared" si="31"/>
        <v>54076.626316431313</v>
      </c>
      <c r="W319" s="64">
        <f>+IF(J319=LOOKUP(J319,'CAFCO 300 IDIEM TABLAS'!$J$4:$J$40),'HOJA DE CÁLCULO RESPALDO'!J319,MROUND('HOJA DE CÁLCULO RESPALDO'!J319,10))</f>
        <v>95</v>
      </c>
      <c r="X319" s="36"/>
      <c r="Y319" s="4"/>
    </row>
    <row r="320" spans="1:25" ht="15.6" customHeight="1" x14ac:dyDescent="0.25">
      <c r="A320" s="2" t="s">
        <v>49</v>
      </c>
      <c r="B320" s="3" t="s">
        <v>17</v>
      </c>
      <c r="C320" s="3" t="s">
        <v>19</v>
      </c>
      <c r="D320" s="3">
        <v>1</v>
      </c>
      <c r="E320" s="2">
        <v>1</v>
      </c>
      <c r="F320" s="8">
        <v>4250</v>
      </c>
      <c r="G320" s="1">
        <v>4</v>
      </c>
      <c r="H320" s="2">
        <v>1181</v>
      </c>
      <c r="I320" s="34">
        <v>90</v>
      </c>
      <c r="J320" s="11">
        <v>95</v>
      </c>
      <c r="K320" s="44">
        <f t="shared" si="28"/>
        <v>5.0192500000000004</v>
      </c>
      <c r="L320" s="3" t="s">
        <v>61</v>
      </c>
      <c r="M320" s="3" t="s">
        <v>70</v>
      </c>
      <c r="N320" s="15">
        <f>ROUND((IF(L320="Blaze Shield II",IF(M320="Idiem software",IF(AND(C320="IN",G320=4),((('BLAZE SHIELD II'!$D$4*('HOJA DE CÁLCULO RESPALDO'!I320^2)+'BLAZE SHIELD II'!$D$5*'HOJA DE CÁLCULO RESPALDO'!I320+'BLAZE SHIELD II'!$D$6)*LN(J320))+('BLAZE SHIELD II'!$D$7*('HOJA DE CÁLCULO RESPALDO'!I320^2)+'BLAZE SHIELD II'!$D$8*'HOJA DE CÁLCULO RESPALDO'!I320+'BLAZE SHIELD II'!$D$9)),0),0),0))+(IF(L320="Blaze Shield II",IF(M320="Idiem software",IF(C320="Cj",((('BLAZE SHIELD II'!$H$4*('HOJA DE CÁLCULO RESPALDO'!I320^2)+'BLAZE SHIELD II'!$H$5*'HOJA DE CÁLCULO RESPALDO'!I320+'BLAZE SHIELD II'!$H$6)*LN(J320))+('BLAZE SHIELD II'!$H$7*('HOJA DE CÁLCULO RESPALDO'!I320^2)+'BLAZE SHIELD II'!$H$8*'HOJA DE CÁLCULO RESPALDO'!I320+'BLAZE SHIELD II'!$H$9)),0),0),0))+(IF(L320="Blaze Shield II",IF(M320="Idiem software",IF(C320="C",((('BLAZE SHIELD II'!$L$4*('HOJA DE CÁLCULO RESPALDO'!I320^2)+'BLAZE SHIELD II'!$L$5*'HOJA DE CÁLCULO RESPALDO'!I320+'BLAZE SHIELD II'!$L$6)*LN(J320))+('BLAZE SHIELD II'!$L$7*('HOJA DE CÁLCULO RESPALDO'!I320^2)+'BLAZE SHIELD II'!$L$8*'HOJA DE CÁLCULO RESPALDO'!I320+'BLAZE SHIELD II'!$L$9)),0),0),0))+(IF(L320="Blaze Shield II",IF(M320="Idiem software",IF(AND(C320="IN",G320=3),((('BLAZE SHIELD II'!$H$14*('HOJA DE CÁLCULO RESPALDO'!I320^2)+'BLAZE SHIELD II'!$H$15*'HOJA DE CÁLCULO RESPALDO'!I320+'BLAZE SHIELD II'!$H$16)*LN(J320))+('BLAZE SHIELD II'!$H$17*('HOJA DE CÁLCULO RESPALDO'!I320^2)+'BLAZE SHIELD II'!$H$18*'HOJA DE CÁLCULO RESPALDO'!I320+'BLAZE SHIELD II'!$H$19)),0),0),0)),0)</f>
        <v>0</v>
      </c>
      <c r="O320" s="46">
        <f t="shared" si="32"/>
        <v>0</v>
      </c>
      <c r="P320" s="80">
        <f t="shared" si="29"/>
        <v>0</v>
      </c>
      <c r="Q320" s="85">
        <f>ROUND((IF(L320="Cafco 400",IF(M320="Idiem software",IF(AND(C320="IN",G320=4),((('CAFCO 400 '!$H$7*(J320^4)+'CAFCO 400 '!$H$8*(J320^3)+'CAFCO 400 '!$H$9*(J320^2)+'CAFCO 400 '!$H$10*J320+'CAFCO 400 '!$H$11)*I320^2)+(('CAFCO 400 '!$H$12*(J320^3)+'CAFCO 400 '!$H$13*(J320^2)+'CAFCO 400 '!$H$14*J320+'CAFCO 400 '!$H$15)*I320)+('CAFCO 400 '!$H$16*(J320^2)+'CAFCO 400 '!$H$17*J320+'CAFCO 400 '!$H$18)),0),0),0))+(IF(L320="Cafco 400",IF(M320="Idiem software",IF(C320="Cj",(((('CAFCO 400 '!$D$7*LN(J320)+'CAFCO 400 '!$D$8)*I320^2)+(('CAFCO 400 '!$D$9*LN(J320)+'CAFCO 400 '!$D$10)*I320)+('CAFCO 400 '!$D$11*LN(J320)+'CAFCO 400 '!$D$12))),0),0),0))+(IF(L320="Cafco 400",IF(M320="Idiem software",IF(C320="C",((('CAFCO 400 '!$L$7*(J320^3)+'CAFCO 400 '!$L$8*(J320^2)+'CAFCO 400 '!$L$9*J320+'CAFCO 400 '!$L$10)*I320^2)+(('CAFCO 400 '!$L$11*(J320^3)+'CAFCO 400 '!$L$12*(J320^2)+'CAFCO 400 '!$L$13*J320+'CAFCO 400 '!$L$14)*I320)+('CAFCO 400 '!$L$15*LN(J320)+'CAFCO 400 '!$L$16)),0),0),0))+(IF(L320="Cafco 400",IF(M320="Idiem software",IF(AND(C320="IN",G320=3),((('CAFCO 400 '!$D$23*(J320^2)+'CAFCO 400 '!$D$24*(J320)+'CAFCO 400 '!$D$25)*I320^2)+(('CAFCO 400 '!$D$26*(J320^2)+'CAFCO 400 '!$D$27*J320+'CAFCO 400 '!$D$28)*I320)+('CAFCO 400 '!$D$29*(J320^2)+'CAFCO 400 '!$D$30*J320+'CAFCO 400 '!$D$31)),0),0),0)),0)</f>
        <v>0</v>
      </c>
      <c r="R320" s="47">
        <f t="shared" si="33"/>
        <v>0</v>
      </c>
      <c r="S320" s="82">
        <f t="shared" si="30"/>
        <v>0</v>
      </c>
      <c r="T320" s="81">
        <f>+IF(AND(J320&gt;=95,J320&lt;=240),IF(AND(C320="Cj",I320=90),VLOOKUP(W320,'CAFCO 300 IDIEM TABLAS'!$B$4:$D$23,2,FALSE),0)+IF(AND(J320&gt;=95,J320&lt;=240),IF(AND(C320="Cj",I320=120),VLOOKUP(W320,'CAFCO 300 IDIEM TABLAS'!$B$4:$D$23,3,FALSE),0))+IF(AND(J320&gt;=95,J320&lt;=400,G320=3),IF(AND(C320="IN",I320=90),VLOOKUP(W320,'CAFCO 300 IDIEM TABLAS'!$F$4:$H$35,2,FALSE),0),0)+IF(AND(J320&gt;=95,J320&lt;=400,G320=3),IF(AND(C320="IN",I320=120),VLOOKUP(W320,'CAFCO 300 IDIEM TABLAS'!$F$4:$H$35,3,FALSE),0),0)+IF(AND(J320&gt;=95,J320&lt;=450,G320=4),IF(AND(C320="IN",I320=90),VLOOKUP(W320,'CAFCO 300 IDIEM TABLAS'!$J$4:$L$40,2,FALSE),0),0)+IF(AND(J320&gt;=95,J320&lt;=450,G320=4),IF(AND(C320="IN",I320=120),VLOOKUP(W320,'CAFCO 300 IDIEM TABLAS'!$J$4:$L$40,3,FALSE),0),0))</f>
        <v>17</v>
      </c>
      <c r="U320" s="48">
        <f t="shared" si="34"/>
        <v>1.177494143132221</v>
      </c>
      <c r="V320" s="82">
        <f t="shared" si="31"/>
        <v>17678.897064987166</v>
      </c>
      <c r="W320" s="64">
        <f>+IF(J320=LOOKUP(J320,'CAFCO 300 IDIEM TABLAS'!$J$4:$J$40),'HOJA DE CÁLCULO RESPALDO'!J320,MROUND('HOJA DE CÁLCULO RESPALDO'!J320,10))</f>
        <v>95</v>
      </c>
      <c r="X320" s="36"/>
      <c r="Y320" s="4"/>
    </row>
    <row r="321" spans="1:25" x14ac:dyDescent="0.25">
      <c r="A321" s="2" t="s">
        <v>49</v>
      </c>
      <c r="B321" s="3" t="s">
        <v>17</v>
      </c>
      <c r="C321" s="3" t="s">
        <v>19</v>
      </c>
      <c r="D321" s="3">
        <v>1</v>
      </c>
      <c r="E321" s="2">
        <v>1</v>
      </c>
      <c r="F321" s="8">
        <v>8500</v>
      </c>
      <c r="G321" s="1">
        <v>4</v>
      </c>
      <c r="H321" s="2">
        <v>1181</v>
      </c>
      <c r="I321" s="34">
        <v>90</v>
      </c>
      <c r="J321" s="11">
        <v>95</v>
      </c>
      <c r="K321" s="44">
        <f t="shared" si="28"/>
        <v>10.038500000000001</v>
      </c>
      <c r="L321" s="3" t="s">
        <v>61</v>
      </c>
      <c r="M321" s="3" t="s">
        <v>70</v>
      </c>
      <c r="N321" s="15">
        <f>ROUND((IF(L321="Blaze Shield II",IF(M321="Idiem software",IF(AND(C321="IN",G321=4),((('BLAZE SHIELD II'!$D$4*('HOJA DE CÁLCULO RESPALDO'!I321^2)+'BLAZE SHIELD II'!$D$5*'HOJA DE CÁLCULO RESPALDO'!I321+'BLAZE SHIELD II'!$D$6)*LN(J321))+('BLAZE SHIELD II'!$D$7*('HOJA DE CÁLCULO RESPALDO'!I321^2)+'BLAZE SHIELD II'!$D$8*'HOJA DE CÁLCULO RESPALDO'!I321+'BLAZE SHIELD II'!$D$9)),0),0),0))+(IF(L321="Blaze Shield II",IF(M321="Idiem software",IF(C321="Cj",((('BLAZE SHIELD II'!$H$4*('HOJA DE CÁLCULO RESPALDO'!I321^2)+'BLAZE SHIELD II'!$H$5*'HOJA DE CÁLCULO RESPALDO'!I321+'BLAZE SHIELD II'!$H$6)*LN(J321))+('BLAZE SHIELD II'!$H$7*('HOJA DE CÁLCULO RESPALDO'!I321^2)+'BLAZE SHIELD II'!$H$8*'HOJA DE CÁLCULO RESPALDO'!I321+'BLAZE SHIELD II'!$H$9)),0),0),0))+(IF(L321="Blaze Shield II",IF(M321="Idiem software",IF(C321="C",((('BLAZE SHIELD II'!$L$4*('HOJA DE CÁLCULO RESPALDO'!I321^2)+'BLAZE SHIELD II'!$L$5*'HOJA DE CÁLCULO RESPALDO'!I321+'BLAZE SHIELD II'!$L$6)*LN(J321))+('BLAZE SHIELD II'!$L$7*('HOJA DE CÁLCULO RESPALDO'!I321^2)+'BLAZE SHIELD II'!$L$8*'HOJA DE CÁLCULO RESPALDO'!I321+'BLAZE SHIELD II'!$L$9)),0),0),0))+(IF(L321="Blaze Shield II",IF(M321="Idiem software",IF(AND(C321="IN",G321=3),((('BLAZE SHIELD II'!$H$14*('HOJA DE CÁLCULO RESPALDO'!I321^2)+'BLAZE SHIELD II'!$H$15*'HOJA DE CÁLCULO RESPALDO'!I321+'BLAZE SHIELD II'!$H$16)*LN(J321))+('BLAZE SHIELD II'!$H$17*('HOJA DE CÁLCULO RESPALDO'!I321^2)+'BLAZE SHIELD II'!$H$18*'HOJA DE CÁLCULO RESPALDO'!I321+'BLAZE SHIELD II'!$H$19)),0),0),0)),0)</f>
        <v>0</v>
      </c>
      <c r="O321" s="46">
        <f t="shared" si="32"/>
        <v>0</v>
      </c>
      <c r="P321" s="80">
        <f t="shared" si="29"/>
        <v>0</v>
      </c>
      <c r="Q321" s="85">
        <f>ROUND((IF(L321="Cafco 400",IF(M321="Idiem software",IF(AND(C321="IN",G321=4),((('CAFCO 400 '!$H$7*(J321^4)+'CAFCO 400 '!$H$8*(J321^3)+'CAFCO 400 '!$H$9*(J321^2)+'CAFCO 400 '!$H$10*J321+'CAFCO 400 '!$H$11)*I321^2)+(('CAFCO 400 '!$H$12*(J321^3)+'CAFCO 400 '!$H$13*(J321^2)+'CAFCO 400 '!$H$14*J321+'CAFCO 400 '!$H$15)*I321)+('CAFCO 400 '!$H$16*(J321^2)+'CAFCO 400 '!$H$17*J321+'CAFCO 400 '!$H$18)),0),0),0))+(IF(L321="Cafco 400",IF(M321="Idiem software",IF(C321="Cj",(((('CAFCO 400 '!$D$7*LN(J321)+'CAFCO 400 '!$D$8)*I321^2)+(('CAFCO 400 '!$D$9*LN(J321)+'CAFCO 400 '!$D$10)*I321)+('CAFCO 400 '!$D$11*LN(J321)+'CAFCO 400 '!$D$12))),0),0),0))+(IF(L321="Cafco 400",IF(M321="Idiem software",IF(C321="C",((('CAFCO 400 '!$L$7*(J321^3)+'CAFCO 400 '!$L$8*(J321^2)+'CAFCO 400 '!$L$9*J321+'CAFCO 400 '!$L$10)*I321^2)+(('CAFCO 400 '!$L$11*(J321^3)+'CAFCO 400 '!$L$12*(J321^2)+'CAFCO 400 '!$L$13*J321+'CAFCO 400 '!$L$14)*I321)+('CAFCO 400 '!$L$15*LN(J321)+'CAFCO 400 '!$L$16)),0),0),0))+(IF(L321="Cafco 400",IF(M321="Idiem software",IF(AND(C321="IN",G321=3),((('CAFCO 400 '!$D$23*(J321^2)+'CAFCO 400 '!$D$24*(J321)+'CAFCO 400 '!$D$25)*I321^2)+(('CAFCO 400 '!$D$26*(J321^2)+'CAFCO 400 '!$D$27*J321+'CAFCO 400 '!$D$28)*I321)+('CAFCO 400 '!$D$29*(J321^2)+'CAFCO 400 '!$D$30*J321+'CAFCO 400 '!$D$31)),0),0),0)),0)</f>
        <v>0</v>
      </c>
      <c r="R321" s="47">
        <f t="shared" si="33"/>
        <v>0</v>
      </c>
      <c r="S321" s="82">
        <f t="shared" si="30"/>
        <v>0</v>
      </c>
      <c r="T321" s="81">
        <f>+IF(AND(J321&gt;=95,J321&lt;=240),IF(AND(C321="Cj",I321=90),VLOOKUP(W321,'CAFCO 300 IDIEM TABLAS'!$B$4:$D$23,2,FALSE),0)+IF(AND(J321&gt;=95,J321&lt;=240),IF(AND(C321="Cj",I321=120),VLOOKUP(W321,'CAFCO 300 IDIEM TABLAS'!$B$4:$D$23,3,FALSE),0))+IF(AND(J321&gt;=95,J321&lt;=400,G321=3),IF(AND(C321="IN",I321=90),VLOOKUP(W321,'CAFCO 300 IDIEM TABLAS'!$F$4:$H$35,2,FALSE),0),0)+IF(AND(J321&gt;=95,J321&lt;=400,G321=3),IF(AND(C321="IN",I321=120),VLOOKUP(W321,'CAFCO 300 IDIEM TABLAS'!$F$4:$H$35,3,FALSE),0),0)+IF(AND(J321&gt;=95,J321&lt;=450,G321=4),IF(AND(C321="IN",I321=90),VLOOKUP(W321,'CAFCO 300 IDIEM TABLAS'!$J$4:$L$40,2,FALSE),0),0)+IF(AND(J321&gt;=95,J321&lt;=450,G321=4),IF(AND(C321="IN",I321=120),VLOOKUP(W321,'CAFCO 300 IDIEM TABLAS'!$J$4:$L$40,3,FALSE),0),0))</f>
        <v>17</v>
      </c>
      <c r="U321" s="48">
        <f t="shared" si="34"/>
        <v>2.354988286264442</v>
      </c>
      <c r="V321" s="82">
        <f t="shared" si="31"/>
        <v>35357.794129974332</v>
      </c>
      <c r="W321" s="64">
        <f>+IF(J321=LOOKUP(J321,'CAFCO 300 IDIEM TABLAS'!$J$4:$J$40),'HOJA DE CÁLCULO RESPALDO'!J321,MROUND('HOJA DE CÁLCULO RESPALDO'!J321,10))</f>
        <v>95</v>
      </c>
      <c r="X321" s="36"/>
      <c r="Y321" s="4"/>
    </row>
    <row r="322" spans="1:25" ht="15.6" customHeight="1" x14ac:dyDescent="0.25">
      <c r="A322" s="2" t="s">
        <v>49</v>
      </c>
      <c r="B322" s="3" t="s">
        <v>17</v>
      </c>
      <c r="C322" s="3" t="s">
        <v>19</v>
      </c>
      <c r="D322" s="3">
        <v>1</v>
      </c>
      <c r="E322" s="2">
        <v>1</v>
      </c>
      <c r="F322" s="8">
        <v>103000</v>
      </c>
      <c r="G322" s="1">
        <v>4</v>
      </c>
      <c r="H322" s="2">
        <v>1190</v>
      </c>
      <c r="I322" s="34">
        <v>90</v>
      </c>
      <c r="J322" s="11">
        <v>95</v>
      </c>
      <c r="K322" s="44">
        <f t="shared" si="28"/>
        <v>122.57</v>
      </c>
      <c r="L322" s="3" t="s">
        <v>61</v>
      </c>
      <c r="M322" s="3" t="s">
        <v>70</v>
      </c>
      <c r="N322" s="15">
        <f>ROUND((IF(L322="Blaze Shield II",IF(M322="Idiem software",IF(AND(C322="IN",G322=4),((('BLAZE SHIELD II'!$D$4*('HOJA DE CÁLCULO RESPALDO'!I322^2)+'BLAZE SHIELD II'!$D$5*'HOJA DE CÁLCULO RESPALDO'!I322+'BLAZE SHIELD II'!$D$6)*LN(J322))+('BLAZE SHIELD II'!$D$7*('HOJA DE CÁLCULO RESPALDO'!I322^2)+'BLAZE SHIELD II'!$D$8*'HOJA DE CÁLCULO RESPALDO'!I322+'BLAZE SHIELD II'!$D$9)),0),0),0))+(IF(L322="Blaze Shield II",IF(M322="Idiem software",IF(C322="Cj",((('BLAZE SHIELD II'!$H$4*('HOJA DE CÁLCULO RESPALDO'!I322^2)+'BLAZE SHIELD II'!$H$5*'HOJA DE CÁLCULO RESPALDO'!I322+'BLAZE SHIELD II'!$H$6)*LN(J322))+('BLAZE SHIELD II'!$H$7*('HOJA DE CÁLCULO RESPALDO'!I322^2)+'BLAZE SHIELD II'!$H$8*'HOJA DE CÁLCULO RESPALDO'!I322+'BLAZE SHIELD II'!$H$9)),0),0),0))+(IF(L322="Blaze Shield II",IF(M322="Idiem software",IF(C322="C",((('BLAZE SHIELD II'!$L$4*('HOJA DE CÁLCULO RESPALDO'!I322^2)+'BLAZE SHIELD II'!$L$5*'HOJA DE CÁLCULO RESPALDO'!I322+'BLAZE SHIELD II'!$L$6)*LN(J322))+('BLAZE SHIELD II'!$L$7*('HOJA DE CÁLCULO RESPALDO'!I322^2)+'BLAZE SHIELD II'!$L$8*'HOJA DE CÁLCULO RESPALDO'!I322+'BLAZE SHIELD II'!$L$9)),0),0),0))+(IF(L322="Blaze Shield II",IF(M322="Idiem software",IF(AND(C322="IN",G322=3),((('BLAZE SHIELD II'!$H$14*('HOJA DE CÁLCULO RESPALDO'!I322^2)+'BLAZE SHIELD II'!$H$15*'HOJA DE CÁLCULO RESPALDO'!I322+'BLAZE SHIELD II'!$H$16)*LN(J322))+('BLAZE SHIELD II'!$H$17*('HOJA DE CÁLCULO RESPALDO'!I322^2)+'BLAZE SHIELD II'!$H$18*'HOJA DE CÁLCULO RESPALDO'!I322+'BLAZE SHIELD II'!$H$19)),0),0),0)),0)</f>
        <v>0</v>
      </c>
      <c r="O322" s="46">
        <f t="shared" si="32"/>
        <v>0</v>
      </c>
      <c r="P322" s="80">
        <f t="shared" si="29"/>
        <v>0</v>
      </c>
      <c r="Q322" s="85">
        <f>ROUND((IF(L322="Cafco 400",IF(M322="Idiem software",IF(AND(C322="IN",G322=4),((('CAFCO 400 '!$H$7*(J322^4)+'CAFCO 400 '!$H$8*(J322^3)+'CAFCO 400 '!$H$9*(J322^2)+'CAFCO 400 '!$H$10*J322+'CAFCO 400 '!$H$11)*I322^2)+(('CAFCO 400 '!$H$12*(J322^3)+'CAFCO 400 '!$H$13*(J322^2)+'CAFCO 400 '!$H$14*J322+'CAFCO 400 '!$H$15)*I322)+('CAFCO 400 '!$H$16*(J322^2)+'CAFCO 400 '!$H$17*J322+'CAFCO 400 '!$H$18)),0),0),0))+(IF(L322="Cafco 400",IF(M322="Idiem software",IF(C322="Cj",(((('CAFCO 400 '!$D$7*LN(J322)+'CAFCO 400 '!$D$8)*I322^2)+(('CAFCO 400 '!$D$9*LN(J322)+'CAFCO 400 '!$D$10)*I322)+('CAFCO 400 '!$D$11*LN(J322)+'CAFCO 400 '!$D$12))),0),0),0))+(IF(L322="Cafco 400",IF(M322="Idiem software",IF(C322="C",((('CAFCO 400 '!$L$7*(J322^3)+'CAFCO 400 '!$L$8*(J322^2)+'CAFCO 400 '!$L$9*J322+'CAFCO 400 '!$L$10)*I322^2)+(('CAFCO 400 '!$L$11*(J322^3)+'CAFCO 400 '!$L$12*(J322^2)+'CAFCO 400 '!$L$13*J322+'CAFCO 400 '!$L$14)*I322)+('CAFCO 400 '!$L$15*LN(J322)+'CAFCO 400 '!$L$16)),0),0),0))+(IF(L322="Cafco 400",IF(M322="Idiem software",IF(AND(C322="IN",G322=3),((('CAFCO 400 '!$D$23*(J322^2)+'CAFCO 400 '!$D$24*(J322)+'CAFCO 400 '!$D$25)*I322^2)+(('CAFCO 400 '!$D$26*(J322^2)+'CAFCO 400 '!$D$27*J322+'CAFCO 400 '!$D$28)*I322)+('CAFCO 400 '!$D$29*(J322^2)+'CAFCO 400 '!$D$30*J322+'CAFCO 400 '!$D$31)),0),0),0)),0)</f>
        <v>0</v>
      </c>
      <c r="R322" s="47">
        <f t="shared" si="33"/>
        <v>0</v>
      </c>
      <c r="S322" s="82">
        <f t="shared" si="30"/>
        <v>0</v>
      </c>
      <c r="T322" s="81">
        <f>+IF(AND(J322&gt;=95,J322&lt;=240),IF(AND(C322="Cj",I322=90),VLOOKUP(W322,'CAFCO 300 IDIEM TABLAS'!$B$4:$D$23,2,FALSE),0)+IF(AND(J322&gt;=95,J322&lt;=240),IF(AND(C322="Cj",I322=120),VLOOKUP(W322,'CAFCO 300 IDIEM TABLAS'!$B$4:$D$23,3,FALSE),0))+IF(AND(J322&gt;=95,J322&lt;=400,G322=3),IF(AND(C322="IN",I322=90),VLOOKUP(W322,'CAFCO 300 IDIEM TABLAS'!$F$4:$H$35,2,FALSE),0),0)+IF(AND(J322&gt;=95,J322&lt;=400,G322=3),IF(AND(C322="IN",I322=120),VLOOKUP(W322,'CAFCO 300 IDIEM TABLAS'!$F$4:$H$35,3,FALSE),0),0)+IF(AND(J322&gt;=95,J322&lt;=450,G322=4),IF(AND(C322="IN",I322=90),VLOOKUP(W322,'CAFCO 300 IDIEM TABLAS'!$J$4:$L$40,2,FALSE),0),0)+IF(AND(J322&gt;=95,J322&lt;=450,G322=4),IF(AND(C322="IN",I322=120),VLOOKUP(W322,'CAFCO 300 IDIEM TABLAS'!$J$4:$L$40,3,FALSE),0),0))</f>
        <v>17</v>
      </c>
      <c r="U322" s="48">
        <f t="shared" si="34"/>
        <v>28.754387034659821</v>
      </c>
      <c r="V322" s="82">
        <f t="shared" si="31"/>
        <v>431718.36693838256</v>
      </c>
      <c r="W322" s="64">
        <f>+IF(J322=LOOKUP(J322,'CAFCO 300 IDIEM TABLAS'!$J$4:$J$40),'HOJA DE CÁLCULO RESPALDO'!J322,MROUND('HOJA DE CÁLCULO RESPALDO'!J322,10))</f>
        <v>95</v>
      </c>
      <c r="X322" s="36"/>
      <c r="Y322" s="4"/>
    </row>
    <row r="323" spans="1:25" x14ac:dyDescent="0.25">
      <c r="A323" s="2" t="s">
        <v>50</v>
      </c>
      <c r="B323" s="3" t="s">
        <v>17</v>
      </c>
      <c r="C323" s="3" t="s">
        <v>19</v>
      </c>
      <c r="D323" s="3">
        <v>1</v>
      </c>
      <c r="E323" s="2">
        <v>1</v>
      </c>
      <c r="F323" s="8">
        <v>12750</v>
      </c>
      <c r="G323" s="1">
        <v>4</v>
      </c>
      <c r="H323" s="2">
        <v>1181</v>
      </c>
      <c r="I323" s="34">
        <v>90</v>
      </c>
      <c r="J323" s="11">
        <v>95</v>
      </c>
      <c r="K323" s="44">
        <f t="shared" si="28"/>
        <v>15.05775</v>
      </c>
      <c r="L323" s="3" t="s">
        <v>61</v>
      </c>
      <c r="M323" s="3" t="s">
        <v>70</v>
      </c>
      <c r="N323" s="15">
        <f>ROUND((IF(L323="Blaze Shield II",IF(M323="Idiem software",IF(AND(C323="IN",G323=4),((('BLAZE SHIELD II'!$D$4*('HOJA DE CÁLCULO RESPALDO'!I323^2)+'BLAZE SHIELD II'!$D$5*'HOJA DE CÁLCULO RESPALDO'!I323+'BLAZE SHIELD II'!$D$6)*LN(J323))+('BLAZE SHIELD II'!$D$7*('HOJA DE CÁLCULO RESPALDO'!I323^2)+'BLAZE SHIELD II'!$D$8*'HOJA DE CÁLCULO RESPALDO'!I323+'BLAZE SHIELD II'!$D$9)),0),0),0))+(IF(L323="Blaze Shield II",IF(M323="Idiem software",IF(C323="Cj",((('BLAZE SHIELD II'!$H$4*('HOJA DE CÁLCULO RESPALDO'!I323^2)+'BLAZE SHIELD II'!$H$5*'HOJA DE CÁLCULO RESPALDO'!I323+'BLAZE SHIELD II'!$H$6)*LN(J323))+('BLAZE SHIELD II'!$H$7*('HOJA DE CÁLCULO RESPALDO'!I323^2)+'BLAZE SHIELD II'!$H$8*'HOJA DE CÁLCULO RESPALDO'!I323+'BLAZE SHIELD II'!$H$9)),0),0),0))+(IF(L323="Blaze Shield II",IF(M323="Idiem software",IF(C323="C",((('BLAZE SHIELD II'!$L$4*('HOJA DE CÁLCULO RESPALDO'!I323^2)+'BLAZE SHIELD II'!$L$5*'HOJA DE CÁLCULO RESPALDO'!I323+'BLAZE SHIELD II'!$L$6)*LN(J323))+('BLAZE SHIELD II'!$L$7*('HOJA DE CÁLCULO RESPALDO'!I323^2)+'BLAZE SHIELD II'!$L$8*'HOJA DE CÁLCULO RESPALDO'!I323+'BLAZE SHIELD II'!$L$9)),0),0),0))+(IF(L323="Blaze Shield II",IF(M323="Idiem software",IF(AND(C323="IN",G323=3),((('BLAZE SHIELD II'!$H$14*('HOJA DE CÁLCULO RESPALDO'!I323^2)+'BLAZE SHIELD II'!$H$15*'HOJA DE CÁLCULO RESPALDO'!I323+'BLAZE SHIELD II'!$H$16)*LN(J323))+('BLAZE SHIELD II'!$H$17*('HOJA DE CÁLCULO RESPALDO'!I323^2)+'BLAZE SHIELD II'!$H$18*'HOJA DE CÁLCULO RESPALDO'!I323+'BLAZE SHIELD II'!$H$19)),0),0),0)),0)</f>
        <v>0</v>
      </c>
      <c r="O323" s="46">
        <f t="shared" si="32"/>
        <v>0</v>
      </c>
      <c r="P323" s="80">
        <f t="shared" si="29"/>
        <v>0</v>
      </c>
      <c r="Q323" s="85">
        <f>ROUND((IF(L323="Cafco 400",IF(M323="Idiem software",IF(AND(C323="IN",G323=4),((('CAFCO 400 '!$H$7*(J323^4)+'CAFCO 400 '!$H$8*(J323^3)+'CAFCO 400 '!$H$9*(J323^2)+'CAFCO 400 '!$H$10*J323+'CAFCO 400 '!$H$11)*I323^2)+(('CAFCO 400 '!$H$12*(J323^3)+'CAFCO 400 '!$H$13*(J323^2)+'CAFCO 400 '!$H$14*J323+'CAFCO 400 '!$H$15)*I323)+('CAFCO 400 '!$H$16*(J323^2)+'CAFCO 400 '!$H$17*J323+'CAFCO 400 '!$H$18)),0),0),0))+(IF(L323="Cafco 400",IF(M323="Idiem software",IF(C323="Cj",(((('CAFCO 400 '!$D$7*LN(J323)+'CAFCO 400 '!$D$8)*I323^2)+(('CAFCO 400 '!$D$9*LN(J323)+'CAFCO 400 '!$D$10)*I323)+('CAFCO 400 '!$D$11*LN(J323)+'CAFCO 400 '!$D$12))),0),0),0))+(IF(L323="Cafco 400",IF(M323="Idiem software",IF(C323="C",((('CAFCO 400 '!$L$7*(J323^3)+'CAFCO 400 '!$L$8*(J323^2)+'CAFCO 400 '!$L$9*J323+'CAFCO 400 '!$L$10)*I323^2)+(('CAFCO 400 '!$L$11*(J323^3)+'CAFCO 400 '!$L$12*(J323^2)+'CAFCO 400 '!$L$13*J323+'CAFCO 400 '!$L$14)*I323)+('CAFCO 400 '!$L$15*LN(J323)+'CAFCO 400 '!$L$16)),0),0),0))+(IF(L323="Cafco 400",IF(M323="Idiem software",IF(AND(C323="IN",G323=3),((('CAFCO 400 '!$D$23*(J323^2)+'CAFCO 400 '!$D$24*(J323)+'CAFCO 400 '!$D$25)*I323^2)+(('CAFCO 400 '!$D$26*(J323^2)+'CAFCO 400 '!$D$27*J323+'CAFCO 400 '!$D$28)*I323)+('CAFCO 400 '!$D$29*(J323^2)+'CAFCO 400 '!$D$30*J323+'CAFCO 400 '!$D$31)),0),0),0)),0)</f>
        <v>0</v>
      </c>
      <c r="R323" s="47">
        <f t="shared" si="33"/>
        <v>0</v>
      </c>
      <c r="S323" s="82">
        <f t="shared" si="30"/>
        <v>0</v>
      </c>
      <c r="T323" s="81">
        <f>+IF(AND(J323&gt;=95,J323&lt;=240),IF(AND(C323="Cj",I323=90),VLOOKUP(W323,'CAFCO 300 IDIEM TABLAS'!$B$4:$D$23,2,FALSE),0)+IF(AND(J323&gt;=95,J323&lt;=240),IF(AND(C323="Cj",I323=120),VLOOKUP(W323,'CAFCO 300 IDIEM TABLAS'!$B$4:$D$23,3,FALSE),0))+IF(AND(J323&gt;=95,J323&lt;=400,G323=3),IF(AND(C323="IN",I323=90),VLOOKUP(W323,'CAFCO 300 IDIEM TABLAS'!$F$4:$H$35,2,FALSE),0),0)+IF(AND(J323&gt;=95,J323&lt;=400,G323=3),IF(AND(C323="IN",I323=120),VLOOKUP(W323,'CAFCO 300 IDIEM TABLAS'!$F$4:$H$35,3,FALSE),0),0)+IF(AND(J323&gt;=95,J323&lt;=450,G323=4),IF(AND(C323="IN",I323=90),VLOOKUP(W323,'CAFCO 300 IDIEM TABLAS'!$J$4:$L$40,2,FALSE),0),0)+IF(AND(J323&gt;=95,J323&lt;=450,G323=4),IF(AND(C323="IN",I323=120),VLOOKUP(W323,'CAFCO 300 IDIEM TABLAS'!$J$4:$L$40,3,FALSE),0),0))</f>
        <v>17</v>
      </c>
      <c r="U323" s="48">
        <f t="shared" si="34"/>
        <v>3.5324824293966626</v>
      </c>
      <c r="V323" s="82">
        <f t="shared" si="31"/>
        <v>53036.691194961495</v>
      </c>
      <c r="W323" s="64">
        <f>+IF(J323=LOOKUP(J323,'CAFCO 300 IDIEM TABLAS'!$J$4:$J$40),'HOJA DE CÁLCULO RESPALDO'!J323,MROUND('HOJA DE CÁLCULO RESPALDO'!J323,10))</f>
        <v>95</v>
      </c>
      <c r="X323" s="36"/>
      <c r="Y323" s="4"/>
    </row>
    <row r="324" spans="1:25" ht="15.6" customHeight="1" x14ac:dyDescent="0.25">
      <c r="A324" s="2" t="s">
        <v>50</v>
      </c>
      <c r="B324" s="3" t="s">
        <v>17</v>
      </c>
      <c r="C324" s="3" t="s">
        <v>19</v>
      </c>
      <c r="D324" s="3">
        <v>1</v>
      </c>
      <c r="E324" s="2">
        <v>1</v>
      </c>
      <c r="F324" s="8">
        <v>17500</v>
      </c>
      <c r="G324" s="1">
        <v>4</v>
      </c>
      <c r="H324" s="2">
        <v>1692</v>
      </c>
      <c r="I324" s="34">
        <v>90</v>
      </c>
      <c r="J324" s="11">
        <v>95</v>
      </c>
      <c r="K324" s="44">
        <f t="shared" si="28"/>
        <v>29.61</v>
      </c>
      <c r="L324" s="3" t="s">
        <v>61</v>
      </c>
      <c r="M324" s="3" t="s">
        <v>70</v>
      </c>
      <c r="N324" s="15">
        <f>ROUND((IF(L324="Blaze Shield II",IF(M324="Idiem software",IF(AND(C324="IN",G324=4),((('BLAZE SHIELD II'!$D$4*('HOJA DE CÁLCULO RESPALDO'!I324^2)+'BLAZE SHIELD II'!$D$5*'HOJA DE CÁLCULO RESPALDO'!I324+'BLAZE SHIELD II'!$D$6)*LN(J324))+('BLAZE SHIELD II'!$D$7*('HOJA DE CÁLCULO RESPALDO'!I324^2)+'BLAZE SHIELD II'!$D$8*'HOJA DE CÁLCULO RESPALDO'!I324+'BLAZE SHIELD II'!$D$9)),0),0),0))+(IF(L324="Blaze Shield II",IF(M324="Idiem software",IF(C324="Cj",((('BLAZE SHIELD II'!$H$4*('HOJA DE CÁLCULO RESPALDO'!I324^2)+'BLAZE SHIELD II'!$H$5*'HOJA DE CÁLCULO RESPALDO'!I324+'BLAZE SHIELD II'!$H$6)*LN(J324))+('BLAZE SHIELD II'!$H$7*('HOJA DE CÁLCULO RESPALDO'!I324^2)+'BLAZE SHIELD II'!$H$8*'HOJA DE CÁLCULO RESPALDO'!I324+'BLAZE SHIELD II'!$H$9)),0),0),0))+(IF(L324="Blaze Shield II",IF(M324="Idiem software",IF(C324="C",((('BLAZE SHIELD II'!$L$4*('HOJA DE CÁLCULO RESPALDO'!I324^2)+'BLAZE SHIELD II'!$L$5*'HOJA DE CÁLCULO RESPALDO'!I324+'BLAZE SHIELD II'!$L$6)*LN(J324))+('BLAZE SHIELD II'!$L$7*('HOJA DE CÁLCULO RESPALDO'!I324^2)+'BLAZE SHIELD II'!$L$8*'HOJA DE CÁLCULO RESPALDO'!I324+'BLAZE SHIELD II'!$L$9)),0),0),0))+(IF(L324="Blaze Shield II",IF(M324="Idiem software",IF(AND(C324="IN",G324=3),((('BLAZE SHIELD II'!$H$14*('HOJA DE CÁLCULO RESPALDO'!I324^2)+'BLAZE SHIELD II'!$H$15*'HOJA DE CÁLCULO RESPALDO'!I324+'BLAZE SHIELD II'!$H$16)*LN(J324))+('BLAZE SHIELD II'!$H$17*('HOJA DE CÁLCULO RESPALDO'!I324^2)+'BLAZE SHIELD II'!$H$18*'HOJA DE CÁLCULO RESPALDO'!I324+'BLAZE SHIELD II'!$H$19)),0),0),0)),0)</f>
        <v>0</v>
      </c>
      <c r="O324" s="46">
        <f t="shared" si="32"/>
        <v>0</v>
      </c>
      <c r="P324" s="80">
        <f t="shared" si="29"/>
        <v>0</v>
      </c>
      <c r="Q324" s="85">
        <f>ROUND((IF(L324="Cafco 400",IF(M324="Idiem software",IF(AND(C324="IN",G324=4),((('CAFCO 400 '!$H$7*(J324^4)+'CAFCO 400 '!$H$8*(J324^3)+'CAFCO 400 '!$H$9*(J324^2)+'CAFCO 400 '!$H$10*J324+'CAFCO 400 '!$H$11)*I324^2)+(('CAFCO 400 '!$H$12*(J324^3)+'CAFCO 400 '!$H$13*(J324^2)+'CAFCO 400 '!$H$14*J324+'CAFCO 400 '!$H$15)*I324)+('CAFCO 400 '!$H$16*(J324^2)+'CAFCO 400 '!$H$17*J324+'CAFCO 400 '!$H$18)),0),0),0))+(IF(L324="Cafco 400",IF(M324="Idiem software",IF(C324="Cj",(((('CAFCO 400 '!$D$7*LN(J324)+'CAFCO 400 '!$D$8)*I324^2)+(('CAFCO 400 '!$D$9*LN(J324)+'CAFCO 400 '!$D$10)*I324)+('CAFCO 400 '!$D$11*LN(J324)+'CAFCO 400 '!$D$12))),0),0),0))+(IF(L324="Cafco 400",IF(M324="Idiem software",IF(C324="C",((('CAFCO 400 '!$L$7*(J324^3)+'CAFCO 400 '!$L$8*(J324^2)+'CAFCO 400 '!$L$9*J324+'CAFCO 400 '!$L$10)*I324^2)+(('CAFCO 400 '!$L$11*(J324^3)+'CAFCO 400 '!$L$12*(J324^2)+'CAFCO 400 '!$L$13*J324+'CAFCO 400 '!$L$14)*I324)+('CAFCO 400 '!$L$15*LN(J324)+'CAFCO 400 '!$L$16)),0),0),0))+(IF(L324="Cafco 400",IF(M324="Idiem software",IF(AND(C324="IN",G324=3),((('CAFCO 400 '!$D$23*(J324^2)+'CAFCO 400 '!$D$24*(J324)+'CAFCO 400 '!$D$25)*I324^2)+(('CAFCO 400 '!$D$26*(J324^2)+'CAFCO 400 '!$D$27*J324+'CAFCO 400 '!$D$28)*I324)+('CAFCO 400 '!$D$29*(J324^2)+'CAFCO 400 '!$D$30*J324+'CAFCO 400 '!$D$31)),0),0),0)),0)</f>
        <v>0</v>
      </c>
      <c r="R324" s="47">
        <f t="shared" si="33"/>
        <v>0</v>
      </c>
      <c r="S324" s="82">
        <f t="shared" si="30"/>
        <v>0</v>
      </c>
      <c r="T324" s="81">
        <f>+IF(AND(J324&gt;=95,J324&lt;=240),IF(AND(C324="Cj",I324=90),VLOOKUP(W324,'CAFCO 300 IDIEM TABLAS'!$B$4:$D$23,2,FALSE),0)+IF(AND(J324&gt;=95,J324&lt;=240),IF(AND(C324="Cj",I324=120),VLOOKUP(W324,'CAFCO 300 IDIEM TABLAS'!$B$4:$D$23,3,FALSE),0))+IF(AND(J324&gt;=95,J324&lt;=400,G324=3),IF(AND(C324="IN",I324=90),VLOOKUP(W324,'CAFCO 300 IDIEM TABLAS'!$F$4:$H$35,2,FALSE),0),0)+IF(AND(J324&gt;=95,J324&lt;=400,G324=3),IF(AND(C324="IN",I324=120),VLOOKUP(W324,'CAFCO 300 IDIEM TABLAS'!$F$4:$H$35,3,FALSE),0),0)+IF(AND(J324&gt;=95,J324&lt;=450,G324=4),IF(AND(C324="IN",I324=90),VLOOKUP(W324,'CAFCO 300 IDIEM TABLAS'!$J$4:$L$40,2,FALSE),0),0)+IF(AND(J324&gt;=95,J324&lt;=450,G324=4),IF(AND(C324="IN",I324=120),VLOOKUP(W324,'CAFCO 300 IDIEM TABLAS'!$J$4:$L$40,3,FALSE),0),0))</f>
        <v>17</v>
      </c>
      <c r="U324" s="48">
        <f t="shared" si="34"/>
        <v>6.94637676508344</v>
      </c>
      <c r="V324" s="82">
        <f t="shared" si="31"/>
        <v>104292.90075096277</v>
      </c>
      <c r="W324" s="64">
        <f>+IF(J324=LOOKUP(J324,'CAFCO 300 IDIEM TABLAS'!$J$4:$J$40),'HOJA DE CÁLCULO RESPALDO'!J324,MROUND('HOJA DE CÁLCULO RESPALDO'!J324,10))</f>
        <v>95</v>
      </c>
      <c r="X324" s="36"/>
      <c r="Y324" s="4"/>
    </row>
    <row r="325" spans="1:25" x14ac:dyDescent="0.25">
      <c r="A325" s="2" t="s">
        <v>50</v>
      </c>
      <c r="B325" s="3" t="s">
        <v>17</v>
      </c>
      <c r="C325" s="3" t="s">
        <v>19</v>
      </c>
      <c r="D325" s="3">
        <v>1</v>
      </c>
      <c r="E325" s="2">
        <v>1</v>
      </c>
      <c r="F325" s="8">
        <v>8500</v>
      </c>
      <c r="G325" s="1">
        <v>4</v>
      </c>
      <c r="H325" s="2">
        <v>1502</v>
      </c>
      <c r="I325" s="34">
        <v>90</v>
      </c>
      <c r="J325" s="11">
        <v>95</v>
      </c>
      <c r="K325" s="44">
        <f t="shared" si="28"/>
        <v>12.766999999999999</v>
      </c>
      <c r="L325" s="3" t="s">
        <v>61</v>
      </c>
      <c r="M325" s="3" t="s">
        <v>70</v>
      </c>
      <c r="N325" s="15">
        <f>ROUND((IF(L325="Blaze Shield II",IF(M325="Idiem software",IF(AND(C325="IN",G325=4),((('BLAZE SHIELD II'!$D$4*('HOJA DE CÁLCULO RESPALDO'!I325^2)+'BLAZE SHIELD II'!$D$5*'HOJA DE CÁLCULO RESPALDO'!I325+'BLAZE SHIELD II'!$D$6)*LN(J325))+('BLAZE SHIELD II'!$D$7*('HOJA DE CÁLCULO RESPALDO'!I325^2)+'BLAZE SHIELD II'!$D$8*'HOJA DE CÁLCULO RESPALDO'!I325+'BLAZE SHIELD II'!$D$9)),0),0),0))+(IF(L325="Blaze Shield II",IF(M325="Idiem software",IF(C325="Cj",((('BLAZE SHIELD II'!$H$4*('HOJA DE CÁLCULO RESPALDO'!I325^2)+'BLAZE SHIELD II'!$H$5*'HOJA DE CÁLCULO RESPALDO'!I325+'BLAZE SHIELD II'!$H$6)*LN(J325))+('BLAZE SHIELD II'!$H$7*('HOJA DE CÁLCULO RESPALDO'!I325^2)+'BLAZE SHIELD II'!$H$8*'HOJA DE CÁLCULO RESPALDO'!I325+'BLAZE SHIELD II'!$H$9)),0),0),0))+(IF(L325="Blaze Shield II",IF(M325="Idiem software",IF(C325="C",((('BLAZE SHIELD II'!$L$4*('HOJA DE CÁLCULO RESPALDO'!I325^2)+'BLAZE SHIELD II'!$L$5*'HOJA DE CÁLCULO RESPALDO'!I325+'BLAZE SHIELD II'!$L$6)*LN(J325))+('BLAZE SHIELD II'!$L$7*('HOJA DE CÁLCULO RESPALDO'!I325^2)+'BLAZE SHIELD II'!$L$8*'HOJA DE CÁLCULO RESPALDO'!I325+'BLAZE SHIELD II'!$L$9)),0),0),0))+(IF(L325="Blaze Shield II",IF(M325="Idiem software",IF(AND(C325="IN",G325=3),((('BLAZE SHIELD II'!$H$14*('HOJA DE CÁLCULO RESPALDO'!I325^2)+'BLAZE SHIELD II'!$H$15*'HOJA DE CÁLCULO RESPALDO'!I325+'BLAZE SHIELD II'!$H$16)*LN(J325))+('BLAZE SHIELD II'!$H$17*('HOJA DE CÁLCULO RESPALDO'!I325^2)+'BLAZE SHIELD II'!$H$18*'HOJA DE CÁLCULO RESPALDO'!I325+'BLAZE SHIELD II'!$H$19)),0),0),0)),0)</f>
        <v>0</v>
      </c>
      <c r="O325" s="46">
        <f t="shared" si="32"/>
        <v>0</v>
      </c>
      <c r="P325" s="80">
        <f t="shared" si="29"/>
        <v>0</v>
      </c>
      <c r="Q325" s="85">
        <f>ROUND((IF(L325="Cafco 400",IF(M325="Idiem software",IF(AND(C325="IN",G325=4),((('CAFCO 400 '!$H$7*(J325^4)+'CAFCO 400 '!$H$8*(J325^3)+'CAFCO 400 '!$H$9*(J325^2)+'CAFCO 400 '!$H$10*J325+'CAFCO 400 '!$H$11)*I325^2)+(('CAFCO 400 '!$H$12*(J325^3)+'CAFCO 400 '!$H$13*(J325^2)+'CAFCO 400 '!$H$14*J325+'CAFCO 400 '!$H$15)*I325)+('CAFCO 400 '!$H$16*(J325^2)+'CAFCO 400 '!$H$17*J325+'CAFCO 400 '!$H$18)),0),0),0))+(IF(L325="Cafco 400",IF(M325="Idiem software",IF(C325="Cj",(((('CAFCO 400 '!$D$7*LN(J325)+'CAFCO 400 '!$D$8)*I325^2)+(('CAFCO 400 '!$D$9*LN(J325)+'CAFCO 400 '!$D$10)*I325)+('CAFCO 400 '!$D$11*LN(J325)+'CAFCO 400 '!$D$12))),0),0),0))+(IF(L325="Cafco 400",IF(M325="Idiem software",IF(C325="C",((('CAFCO 400 '!$L$7*(J325^3)+'CAFCO 400 '!$L$8*(J325^2)+'CAFCO 400 '!$L$9*J325+'CAFCO 400 '!$L$10)*I325^2)+(('CAFCO 400 '!$L$11*(J325^3)+'CAFCO 400 '!$L$12*(J325^2)+'CAFCO 400 '!$L$13*J325+'CAFCO 400 '!$L$14)*I325)+('CAFCO 400 '!$L$15*LN(J325)+'CAFCO 400 '!$L$16)),0),0),0))+(IF(L325="Cafco 400",IF(M325="Idiem software",IF(AND(C325="IN",G325=3),((('CAFCO 400 '!$D$23*(J325^2)+'CAFCO 400 '!$D$24*(J325)+'CAFCO 400 '!$D$25)*I325^2)+(('CAFCO 400 '!$D$26*(J325^2)+'CAFCO 400 '!$D$27*J325+'CAFCO 400 '!$D$28)*I325)+('CAFCO 400 '!$D$29*(J325^2)+'CAFCO 400 '!$D$30*J325+'CAFCO 400 '!$D$31)),0),0),0)),0)</f>
        <v>0</v>
      </c>
      <c r="R325" s="47">
        <f t="shared" si="33"/>
        <v>0</v>
      </c>
      <c r="S325" s="82">
        <f t="shared" si="30"/>
        <v>0</v>
      </c>
      <c r="T325" s="81">
        <f>+IF(AND(J325&gt;=95,J325&lt;=240),IF(AND(C325="Cj",I325=90),VLOOKUP(W325,'CAFCO 300 IDIEM TABLAS'!$B$4:$D$23,2,FALSE),0)+IF(AND(J325&gt;=95,J325&lt;=240),IF(AND(C325="Cj",I325=120),VLOOKUP(W325,'CAFCO 300 IDIEM TABLAS'!$B$4:$D$23,3,FALSE),0))+IF(AND(J325&gt;=95,J325&lt;=400,G325=3),IF(AND(C325="IN",I325=90),VLOOKUP(W325,'CAFCO 300 IDIEM TABLAS'!$F$4:$H$35,2,FALSE),0),0)+IF(AND(J325&gt;=95,J325&lt;=400,G325=3),IF(AND(C325="IN",I325=120),VLOOKUP(W325,'CAFCO 300 IDIEM TABLAS'!$F$4:$H$35,3,FALSE),0),0)+IF(AND(J325&gt;=95,J325&lt;=450,G325=4),IF(AND(C325="IN",I325=90),VLOOKUP(W325,'CAFCO 300 IDIEM TABLAS'!$J$4:$L$40,2,FALSE),0),0)+IF(AND(J325&gt;=95,J325&lt;=450,G325=4),IF(AND(C325="IN",I325=120),VLOOKUP(W325,'CAFCO 300 IDIEM TABLAS'!$J$4:$L$40,3,FALSE),0),0))</f>
        <v>17</v>
      </c>
      <c r="U325" s="48">
        <f t="shared" si="34"/>
        <v>2.9950824775353015</v>
      </c>
      <c r="V325" s="82">
        <f t="shared" si="31"/>
        <v>44968.168317715019</v>
      </c>
      <c r="W325" s="64">
        <f>+IF(J325=LOOKUP(J325,'CAFCO 300 IDIEM TABLAS'!$J$4:$J$40),'HOJA DE CÁLCULO RESPALDO'!J325,MROUND('HOJA DE CÁLCULO RESPALDO'!J325,10))</f>
        <v>95</v>
      </c>
      <c r="X325" s="36"/>
      <c r="Y325" s="4"/>
    </row>
    <row r="326" spans="1:25" ht="15.6" customHeight="1" x14ac:dyDescent="0.25">
      <c r="A326" s="2" t="s">
        <v>50</v>
      </c>
      <c r="B326" s="3" t="s">
        <v>17</v>
      </c>
      <c r="C326" s="3" t="s">
        <v>19</v>
      </c>
      <c r="D326" s="3">
        <v>1</v>
      </c>
      <c r="E326" s="2">
        <v>1</v>
      </c>
      <c r="F326" s="8">
        <v>17500</v>
      </c>
      <c r="G326" s="1">
        <v>4</v>
      </c>
      <c r="H326" s="2">
        <v>1692</v>
      </c>
      <c r="I326" s="34">
        <v>90</v>
      </c>
      <c r="J326" s="11">
        <v>95</v>
      </c>
      <c r="K326" s="44">
        <f t="shared" si="28"/>
        <v>29.61</v>
      </c>
      <c r="L326" s="3" t="s">
        <v>61</v>
      </c>
      <c r="M326" s="3" t="s">
        <v>70</v>
      </c>
      <c r="N326" s="15">
        <f>ROUND((IF(L326="Blaze Shield II",IF(M326="Idiem software",IF(AND(C326="IN",G326=4),((('BLAZE SHIELD II'!$D$4*('HOJA DE CÁLCULO RESPALDO'!I326^2)+'BLAZE SHIELD II'!$D$5*'HOJA DE CÁLCULO RESPALDO'!I326+'BLAZE SHIELD II'!$D$6)*LN(J326))+('BLAZE SHIELD II'!$D$7*('HOJA DE CÁLCULO RESPALDO'!I326^2)+'BLAZE SHIELD II'!$D$8*'HOJA DE CÁLCULO RESPALDO'!I326+'BLAZE SHIELD II'!$D$9)),0),0),0))+(IF(L326="Blaze Shield II",IF(M326="Idiem software",IF(C326="Cj",((('BLAZE SHIELD II'!$H$4*('HOJA DE CÁLCULO RESPALDO'!I326^2)+'BLAZE SHIELD II'!$H$5*'HOJA DE CÁLCULO RESPALDO'!I326+'BLAZE SHIELD II'!$H$6)*LN(J326))+('BLAZE SHIELD II'!$H$7*('HOJA DE CÁLCULO RESPALDO'!I326^2)+'BLAZE SHIELD II'!$H$8*'HOJA DE CÁLCULO RESPALDO'!I326+'BLAZE SHIELD II'!$H$9)),0),0),0))+(IF(L326="Blaze Shield II",IF(M326="Idiem software",IF(C326="C",((('BLAZE SHIELD II'!$L$4*('HOJA DE CÁLCULO RESPALDO'!I326^2)+'BLAZE SHIELD II'!$L$5*'HOJA DE CÁLCULO RESPALDO'!I326+'BLAZE SHIELD II'!$L$6)*LN(J326))+('BLAZE SHIELD II'!$L$7*('HOJA DE CÁLCULO RESPALDO'!I326^2)+'BLAZE SHIELD II'!$L$8*'HOJA DE CÁLCULO RESPALDO'!I326+'BLAZE SHIELD II'!$L$9)),0),0),0))+(IF(L326="Blaze Shield II",IF(M326="Idiem software",IF(AND(C326="IN",G326=3),((('BLAZE SHIELD II'!$H$14*('HOJA DE CÁLCULO RESPALDO'!I326^2)+'BLAZE SHIELD II'!$H$15*'HOJA DE CÁLCULO RESPALDO'!I326+'BLAZE SHIELD II'!$H$16)*LN(J326))+('BLAZE SHIELD II'!$H$17*('HOJA DE CÁLCULO RESPALDO'!I326^2)+'BLAZE SHIELD II'!$H$18*'HOJA DE CÁLCULO RESPALDO'!I326+'BLAZE SHIELD II'!$H$19)),0),0),0)),0)</f>
        <v>0</v>
      </c>
      <c r="O326" s="46">
        <f t="shared" si="32"/>
        <v>0</v>
      </c>
      <c r="P326" s="80">
        <f t="shared" si="29"/>
        <v>0</v>
      </c>
      <c r="Q326" s="85">
        <f>ROUND((IF(L326="Cafco 400",IF(M326="Idiem software",IF(AND(C326="IN",G326=4),((('CAFCO 400 '!$H$7*(J326^4)+'CAFCO 400 '!$H$8*(J326^3)+'CAFCO 400 '!$H$9*(J326^2)+'CAFCO 400 '!$H$10*J326+'CAFCO 400 '!$H$11)*I326^2)+(('CAFCO 400 '!$H$12*(J326^3)+'CAFCO 400 '!$H$13*(J326^2)+'CAFCO 400 '!$H$14*J326+'CAFCO 400 '!$H$15)*I326)+('CAFCO 400 '!$H$16*(J326^2)+'CAFCO 400 '!$H$17*J326+'CAFCO 400 '!$H$18)),0),0),0))+(IF(L326="Cafco 400",IF(M326="Idiem software",IF(C326="Cj",(((('CAFCO 400 '!$D$7*LN(J326)+'CAFCO 400 '!$D$8)*I326^2)+(('CAFCO 400 '!$D$9*LN(J326)+'CAFCO 400 '!$D$10)*I326)+('CAFCO 400 '!$D$11*LN(J326)+'CAFCO 400 '!$D$12))),0),0),0))+(IF(L326="Cafco 400",IF(M326="Idiem software",IF(C326="C",((('CAFCO 400 '!$L$7*(J326^3)+'CAFCO 400 '!$L$8*(J326^2)+'CAFCO 400 '!$L$9*J326+'CAFCO 400 '!$L$10)*I326^2)+(('CAFCO 400 '!$L$11*(J326^3)+'CAFCO 400 '!$L$12*(J326^2)+'CAFCO 400 '!$L$13*J326+'CAFCO 400 '!$L$14)*I326)+('CAFCO 400 '!$L$15*LN(J326)+'CAFCO 400 '!$L$16)),0),0),0))+(IF(L326="Cafco 400",IF(M326="Idiem software",IF(AND(C326="IN",G326=3),((('CAFCO 400 '!$D$23*(J326^2)+'CAFCO 400 '!$D$24*(J326)+'CAFCO 400 '!$D$25)*I326^2)+(('CAFCO 400 '!$D$26*(J326^2)+'CAFCO 400 '!$D$27*J326+'CAFCO 400 '!$D$28)*I326)+('CAFCO 400 '!$D$29*(J326^2)+'CAFCO 400 '!$D$30*J326+'CAFCO 400 '!$D$31)),0),0),0)),0)</f>
        <v>0</v>
      </c>
      <c r="R326" s="47">
        <f t="shared" si="33"/>
        <v>0</v>
      </c>
      <c r="S326" s="82">
        <f t="shared" si="30"/>
        <v>0</v>
      </c>
      <c r="T326" s="81">
        <f>+IF(AND(J326&gt;=95,J326&lt;=240),IF(AND(C326="Cj",I326=90),VLOOKUP(W326,'CAFCO 300 IDIEM TABLAS'!$B$4:$D$23,2,FALSE),0)+IF(AND(J326&gt;=95,J326&lt;=240),IF(AND(C326="Cj",I326=120),VLOOKUP(W326,'CAFCO 300 IDIEM TABLAS'!$B$4:$D$23,3,FALSE),0))+IF(AND(J326&gt;=95,J326&lt;=400,G326=3),IF(AND(C326="IN",I326=90),VLOOKUP(W326,'CAFCO 300 IDIEM TABLAS'!$F$4:$H$35,2,FALSE),0),0)+IF(AND(J326&gt;=95,J326&lt;=400,G326=3),IF(AND(C326="IN",I326=120),VLOOKUP(W326,'CAFCO 300 IDIEM TABLAS'!$F$4:$H$35,3,FALSE),0),0)+IF(AND(J326&gt;=95,J326&lt;=450,G326=4),IF(AND(C326="IN",I326=90),VLOOKUP(W326,'CAFCO 300 IDIEM TABLAS'!$J$4:$L$40,2,FALSE),0),0)+IF(AND(J326&gt;=95,J326&lt;=450,G326=4),IF(AND(C326="IN",I326=120),VLOOKUP(W326,'CAFCO 300 IDIEM TABLAS'!$J$4:$L$40,3,FALSE),0),0))</f>
        <v>17</v>
      </c>
      <c r="U326" s="48">
        <f t="shared" si="34"/>
        <v>6.94637676508344</v>
      </c>
      <c r="V326" s="82">
        <f t="shared" si="31"/>
        <v>104292.90075096277</v>
      </c>
      <c r="W326" s="64">
        <f>+IF(J326=LOOKUP(J326,'CAFCO 300 IDIEM TABLAS'!$J$4:$J$40),'HOJA DE CÁLCULO RESPALDO'!J326,MROUND('HOJA DE CÁLCULO RESPALDO'!J326,10))</f>
        <v>95</v>
      </c>
      <c r="X326" s="36"/>
      <c r="Y326" s="4"/>
    </row>
    <row r="327" spans="1:25" x14ac:dyDescent="0.25">
      <c r="A327" s="2" t="s">
        <v>50</v>
      </c>
      <c r="B327" s="3" t="s">
        <v>17</v>
      </c>
      <c r="C327" s="3" t="s">
        <v>19</v>
      </c>
      <c r="D327" s="3">
        <v>1</v>
      </c>
      <c r="E327" s="2">
        <v>1</v>
      </c>
      <c r="F327" s="8">
        <v>8500</v>
      </c>
      <c r="G327" s="1">
        <v>4</v>
      </c>
      <c r="H327" s="2">
        <v>1692</v>
      </c>
      <c r="I327" s="34">
        <v>90</v>
      </c>
      <c r="J327" s="11">
        <v>95</v>
      </c>
      <c r="K327" s="44">
        <f t="shared" si="28"/>
        <v>14.382</v>
      </c>
      <c r="L327" s="3" t="s">
        <v>61</v>
      </c>
      <c r="M327" s="3" t="s">
        <v>70</v>
      </c>
      <c r="N327" s="15">
        <f>ROUND((IF(L327="Blaze Shield II",IF(M327="Idiem software",IF(AND(C327="IN",G327=4),((('BLAZE SHIELD II'!$D$4*('HOJA DE CÁLCULO RESPALDO'!I327^2)+'BLAZE SHIELD II'!$D$5*'HOJA DE CÁLCULO RESPALDO'!I327+'BLAZE SHIELD II'!$D$6)*LN(J327))+('BLAZE SHIELD II'!$D$7*('HOJA DE CÁLCULO RESPALDO'!I327^2)+'BLAZE SHIELD II'!$D$8*'HOJA DE CÁLCULO RESPALDO'!I327+'BLAZE SHIELD II'!$D$9)),0),0),0))+(IF(L327="Blaze Shield II",IF(M327="Idiem software",IF(C327="Cj",((('BLAZE SHIELD II'!$H$4*('HOJA DE CÁLCULO RESPALDO'!I327^2)+'BLAZE SHIELD II'!$H$5*'HOJA DE CÁLCULO RESPALDO'!I327+'BLAZE SHIELD II'!$H$6)*LN(J327))+('BLAZE SHIELD II'!$H$7*('HOJA DE CÁLCULO RESPALDO'!I327^2)+'BLAZE SHIELD II'!$H$8*'HOJA DE CÁLCULO RESPALDO'!I327+'BLAZE SHIELD II'!$H$9)),0),0),0))+(IF(L327="Blaze Shield II",IF(M327="Idiem software",IF(C327="C",((('BLAZE SHIELD II'!$L$4*('HOJA DE CÁLCULO RESPALDO'!I327^2)+'BLAZE SHIELD II'!$L$5*'HOJA DE CÁLCULO RESPALDO'!I327+'BLAZE SHIELD II'!$L$6)*LN(J327))+('BLAZE SHIELD II'!$L$7*('HOJA DE CÁLCULO RESPALDO'!I327^2)+'BLAZE SHIELD II'!$L$8*'HOJA DE CÁLCULO RESPALDO'!I327+'BLAZE SHIELD II'!$L$9)),0),0),0))+(IF(L327="Blaze Shield II",IF(M327="Idiem software",IF(AND(C327="IN",G327=3),((('BLAZE SHIELD II'!$H$14*('HOJA DE CÁLCULO RESPALDO'!I327^2)+'BLAZE SHIELD II'!$H$15*'HOJA DE CÁLCULO RESPALDO'!I327+'BLAZE SHIELD II'!$H$16)*LN(J327))+('BLAZE SHIELD II'!$H$17*('HOJA DE CÁLCULO RESPALDO'!I327^2)+'BLAZE SHIELD II'!$H$18*'HOJA DE CÁLCULO RESPALDO'!I327+'BLAZE SHIELD II'!$H$19)),0),0),0)),0)</f>
        <v>0</v>
      </c>
      <c r="O327" s="46">
        <f t="shared" si="32"/>
        <v>0</v>
      </c>
      <c r="P327" s="80">
        <f t="shared" si="29"/>
        <v>0</v>
      </c>
      <c r="Q327" s="85">
        <f>ROUND((IF(L327="Cafco 400",IF(M327="Idiem software",IF(AND(C327="IN",G327=4),((('CAFCO 400 '!$H$7*(J327^4)+'CAFCO 400 '!$H$8*(J327^3)+'CAFCO 400 '!$H$9*(J327^2)+'CAFCO 400 '!$H$10*J327+'CAFCO 400 '!$H$11)*I327^2)+(('CAFCO 400 '!$H$12*(J327^3)+'CAFCO 400 '!$H$13*(J327^2)+'CAFCO 400 '!$H$14*J327+'CAFCO 400 '!$H$15)*I327)+('CAFCO 400 '!$H$16*(J327^2)+'CAFCO 400 '!$H$17*J327+'CAFCO 400 '!$H$18)),0),0),0))+(IF(L327="Cafco 400",IF(M327="Idiem software",IF(C327="Cj",(((('CAFCO 400 '!$D$7*LN(J327)+'CAFCO 400 '!$D$8)*I327^2)+(('CAFCO 400 '!$D$9*LN(J327)+'CAFCO 400 '!$D$10)*I327)+('CAFCO 400 '!$D$11*LN(J327)+'CAFCO 400 '!$D$12))),0),0),0))+(IF(L327="Cafco 400",IF(M327="Idiem software",IF(C327="C",((('CAFCO 400 '!$L$7*(J327^3)+'CAFCO 400 '!$L$8*(J327^2)+'CAFCO 400 '!$L$9*J327+'CAFCO 400 '!$L$10)*I327^2)+(('CAFCO 400 '!$L$11*(J327^3)+'CAFCO 400 '!$L$12*(J327^2)+'CAFCO 400 '!$L$13*J327+'CAFCO 400 '!$L$14)*I327)+('CAFCO 400 '!$L$15*LN(J327)+'CAFCO 400 '!$L$16)),0),0),0))+(IF(L327="Cafco 400",IF(M327="Idiem software",IF(AND(C327="IN",G327=3),((('CAFCO 400 '!$D$23*(J327^2)+'CAFCO 400 '!$D$24*(J327)+'CAFCO 400 '!$D$25)*I327^2)+(('CAFCO 400 '!$D$26*(J327^2)+'CAFCO 400 '!$D$27*J327+'CAFCO 400 '!$D$28)*I327)+('CAFCO 400 '!$D$29*(J327^2)+'CAFCO 400 '!$D$30*J327+'CAFCO 400 '!$D$31)),0),0),0)),0)</f>
        <v>0</v>
      </c>
      <c r="R327" s="47">
        <f t="shared" si="33"/>
        <v>0</v>
      </c>
      <c r="S327" s="82">
        <f t="shared" si="30"/>
        <v>0</v>
      </c>
      <c r="T327" s="81">
        <f>+IF(AND(J327&gt;=95,J327&lt;=240),IF(AND(C327="Cj",I327=90),VLOOKUP(W327,'CAFCO 300 IDIEM TABLAS'!$B$4:$D$23,2,FALSE),0)+IF(AND(J327&gt;=95,J327&lt;=240),IF(AND(C327="Cj",I327=120),VLOOKUP(W327,'CAFCO 300 IDIEM TABLAS'!$B$4:$D$23,3,FALSE),0))+IF(AND(J327&gt;=95,J327&lt;=400,G327=3),IF(AND(C327="IN",I327=90),VLOOKUP(W327,'CAFCO 300 IDIEM TABLAS'!$F$4:$H$35,2,FALSE),0),0)+IF(AND(J327&gt;=95,J327&lt;=400,G327=3),IF(AND(C327="IN",I327=120),VLOOKUP(W327,'CAFCO 300 IDIEM TABLAS'!$F$4:$H$35,3,FALSE),0),0)+IF(AND(J327&gt;=95,J327&lt;=450,G327=4),IF(AND(C327="IN",I327=90),VLOOKUP(W327,'CAFCO 300 IDIEM TABLAS'!$J$4:$L$40,2,FALSE),0),0)+IF(AND(J327&gt;=95,J327&lt;=450,G327=4),IF(AND(C327="IN",I327=120),VLOOKUP(W327,'CAFCO 300 IDIEM TABLAS'!$J$4:$L$40,3,FALSE),0),0))</f>
        <v>17</v>
      </c>
      <c r="U327" s="48">
        <f t="shared" si="34"/>
        <v>3.3739544287548138</v>
      </c>
      <c r="V327" s="82">
        <f t="shared" si="31"/>
        <v>50656.551793324776</v>
      </c>
      <c r="W327" s="64">
        <f>+IF(J327=LOOKUP(J327,'CAFCO 300 IDIEM TABLAS'!$J$4:$J$40),'HOJA DE CÁLCULO RESPALDO'!J327,MROUND('HOJA DE CÁLCULO RESPALDO'!J327,10))</f>
        <v>95</v>
      </c>
      <c r="X327" s="36"/>
      <c r="Y327" s="4"/>
    </row>
    <row r="328" spans="1:25" ht="15.6" customHeight="1" x14ac:dyDescent="0.25">
      <c r="A328" s="2" t="s">
        <v>50</v>
      </c>
      <c r="B328" s="3" t="s">
        <v>17</v>
      </c>
      <c r="C328" s="3" t="s">
        <v>19</v>
      </c>
      <c r="D328" s="3">
        <v>1</v>
      </c>
      <c r="E328" s="2">
        <v>1</v>
      </c>
      <c r="F328" s="8">
        <v>8500</v>
      </c>
      <c r="G328" s="1">
        <v>4</v>
      </c>
      <c r="H328" s="2">
        <v>1502</v>
      </c>
      <c r="I328" s="34">
        <v>90</v>
      </c>
      <c r="J328" s="11">
        <v>95</v>
      </c>
      <c r="K328" s="44">
        <f t="shared" si="28"/>
        <v>12.766999999999999</v>
      </c>
      <c r="L328" s="3" t="s">
        <v>61</v>
      </c>
      <c r="M328" s="3" t="s">
        <v>70</v>
      </c>
      <c r="N328" s="15">
        <f>ROUND((IF(L328="Blaze Shield II",IF(M328="Idiem software",IF(AND(C328="IN",G328=4),((('BLAZE SHIELD II'!$D$4*('HOJA DE CÁLCULO RESPALDO'!I328^2)+'BLAZE SHIELD II'!$D$5*'HOJA DE CÁLCULO RESPALDO'!I328+'BLAZE SHIELD II'!$D$6)*LN(J328))+('BLAZE SHIELD II'!$D$7*('HOJA DE CÁLCULO RESPALDO'!I328^2)+'BLAZE SHIELD II'!$D$8*'HOJA DE CÁLCULO RESPALDO'!I328+'BLAZE SHIELD II'!$D$9)),0),0),0))+(IF(L328="Blaze Shield II",IF(M328="Idiem software",IF(C328="Cj",((('BLAZE SHIELD II'!$H$4*('HOJA DE CÁLCULO RESPALDO'!I328^2)+'BLAZE SHIELD II'!$H$5*'HOJA DE CÁLCULO RESPALDO'!I328+'BLAZE SHIELD II'!$H$6)*LN(J328))+('BLAZE SHIELD II'!$H$7*('HOJA DE CÁLCULO RESPALDO'!I328^2)+'BLAZE SHIELD II'!$H$8*'HOJA DE CÁLCULO RESPALDO'!I328+'BLAZE SHIELD II'!$H$9)),0),0),0))+(IF(L328="Blaze Shield II",IF(M328="Idiem software",IF(C328="C",((('BLAZE SHIELD II'!$L$4*('HOJA DE CÁLCULO RESPALDO'!I328^2)+'BLAZE SHIELD II'!$L$5*'HOJA DE CÁLCULO RESPALDO'!I328+'BLAZE SHIELD II'!$L$6)*LN(J328))+('BLAZE SHIELD II'!$L$7*('HOJA DE CÁLCULO RESPALDO'!I328^2)+'BLAZE SHIELD II'!$L$8*'HOJA DE CÁLCULO RESPALDO'!I328+'BLAZE SHIELD II'!$L$9)),0),0),0))+(IF(L328="Blaze Shield II",IF(M328="Idiem software",IF(AND(C328="IN",G328=3),((('BLAZE SHIELD II'!$H$14*('HOJA DE CÁLCULO RESPALDO'!I328^2)+'BLAZE SHIELD II'!$H$15*'HOJA DE CÁLCULO RESPALDO'!I328+'BLAZE SHIELD II'!$H$16)*LN(J328))+('BLAZE SHIELD II'!$H$17*('HOJA DE CÁLCULO RESPALDO'!I328^2)+'BLAZE SHIELD II'!$H$18*'HOJA DE CÁLCULO RESPALDO'!I328+'BLAZE SHIELD II'!$H$19)),0),0),0)),0)</f>
        <v>0</v>
      </c>
      <c r="O328" s="46">
        <f t="shared" si="32"/>
        <v>0</v>
      </c>
      <c r="P328" s="80">
        <f t="shared" si="29"/>
        <v>0</v>
      </c>
      <c r="Q328" s="85">
        <f>ROUND((IF(L328="Cafco 400",IF(M328="Idiem software",IF(AND(C328="IN",G328=4),((('CAFCO 400 '!$H$7*(J328^4)+'CAFCO 400 '!$H$8*(J328^3)+'CAFCO 400 '!$H$9*(J328^2)+'CAFCO 400 '!$H$10*J328+'CAFCO 400 '!$H$11)*I328^2)+(('CAFCO 400 '!$H$12*(J328^3)+'CAFCO 400 '!$H$13*(J328^2)+'CAFCO 400 '!$H$14*J328+'CAFCO 400 '!$H$15)*I328)+('CAFCO 400 '!$H$16*(J328^2)+'CAFCO 400 '!$H$17*J328+'CAFCO 400 '!$H$18)),0),0),0))+(IF(L328="Cafco 400",IF(M328="Idiem software",IF(C328="Cj",(((('CAFCO 400 '!$D$7*LN(J328)+'CAFCO 400 '!$D$8)*I328^2)+(('CAFCO 400 '!$D$9*LN(J328)+'CAFCO 400 '!$D$10)*I328)+('CAFCO 400 '!$D$11*LN(J328)+'CAFCO 400 '!$D$12))),0),0),0))+(IF(L328="Cafco 400",IF(M328="Idiem software",IF(C328="C",((('CAFCO 400 '!$L$7*(J328^3)+'CAFCO 400 '!$L$8*(J328^2)+'CAFCO 400 '!$L$9*J328+'CAFCO 400 '!$L$10)*I328^2)+(('CAFCO 400 '!$L$11*(J328^3)+'CAFCO 400 '!$L$12*(J328^2)+'CAFCO 400 '!$L$13*J328+'CAFCO 400 '!$L$14)*I328)+('CAFCO 400 '!$L$15*LN(J328)+'CAFCO 400 '!$L$16)),0),0),0))+(IF(L328="Cafco 400",IF(M328="Idiem software",IF(AND(C328="IN",G328=3),((('CAFCO 400 '!$D$23*(J328^2)+'CAFCO 400 '!$D$24*(J328)+'CAFCO 400 '!$D$25)*I328^2)+(('CAFCO 400 '!$D$26*(J328^2)+'CAFCO 400 '!$D$27*J328+'CAFCO 400 '!$D$28)*I328)+('CAFCO 400 '!$D$29*(J328^2)+'CAFCO 400 '!$D$30*J328+'CAFCO 400 '!$D$31)),0),0),0)),0)</f>
        <v>0</v>
      </c>
      <c r="R328" s="47">
        <f t="shared" si="33"/>
        <v>0</v>
      </c>
      <c r="S328" s="82">
        <f t="shared" si="30"/>
        <v>0</v>
      </c>
      <c r="T328" s="81">
        <f>+IF(AND(J328&gt;=95,J328&lt;=240),IF(AND(C328="Cj",I328=90),VLOOKUP(W328,'CAFCO 300 IDIEM TABLAS'!$B$4:$D$23,2,FALSE),0)+IF(AND(J328&gt;=95,J328&lt;=240),IF(AND(C328="Cj",I328=120),VLOOKUP(W328,'CAFCO 300 IDIEM TABLAS'!$B$4:$D$23,3,FALSE),0))+IF(AND(J328&gt;=95,J328&lt;=400,G328=3),IF(AND(C328="IN",I328=90),VLOOKUP(W328,'CAFCO 300 IDIEM TABLAS'!$F$4:$H$35,2,FALSE),0),0)+IF(AND(J328&gt;=95,J328&lt;=400,G328=3),IF(AND(C328="IN",I328=120),VLOOKUP(W328,'CAFCO 300 IDIEM TABLAS'!$F$4:$H$35,3,FALSE),0),0)+IF(AND(J328&gt;=95,J328&lt;=450,G328=4),IF(AND(C328="IN",I328=90),VLOOKUP(W328,'CAFCO 300 IDIEM TABLAS'!$J$4:$L$40,2,FALSE),0),0)+IF(AND(J328&gt;=95,J328&lt;=450,G328=4),IF(AND(C328="IN",I328=120),VLOOKUP(W328,'CAFCO 300 IDIEM TABLAS'!$J$4:$L$40,3,FALSE),0),0))</f>
        <v>17</v>
      </c>
      <c r="U328" s="48">
        <f t="shared" si="34"/>
        <v>2.9950824775353015</v>
      </c>
      <c r="V328" s="82">
        <f t="shared" si="31"/>
        <v>44968.168317715019</v>
      </c>
      <c r="W328" s="64">
        <f>+IF(J328=LOOKUP(J328,'CAFCO 300 IDIEM TABLAS'!$J$4:$J$40),'HOJA DE CÁLCULO RESPALDO'!J328,MROUND('HOJA DE CÁLCULO RESPALDO'!J328,10))</f>
        <v>95</v>
      </c>
      <c r="X328" s="36"/>
      <c r="Y328" s="4"/>
    </row>
    <row r="329" spans="1:25" x14ac:dyDescent="0.25">
      <c r="A329" s="2" t="s">
        <v>50</v>
      </c>
      <c r="B329" s="3" t="s">
        <v>17</v>
      </c>
      <c r="C329" s="3" t="s">
        <v>19</v>
      </c>
      <c r="D329" s="3">
        <v>1</v>
      </c>
      <c r="E329" s="2">
        <v>1</v>
      </c>
      <c r="F329" s="8">
        <v>11097</v>
      </c>
      <c r="G329" s="1">
        <v>4</v>
      </c>
      <c r="H329" s="2">
        <v>585</v>
      </c>
      <c r="I329" s="34">
        <v>90</v>
      </c>
      <c r="J329" s="11">
        <v>95</v>
      </c>
      <c r="K329" s="44">
        <f t="shared" si="28"/>
        <v>6.4917449999999999</v>
      </c>
      <c r="L329" s="3" t="s">
        <v>61</v>
      </c>
      <c r="M329" s="3" t="s">
        <v>70</v>
      </c>
      <c r="N329" s="15">
        <f>ROUND((IF(L329="Blaze Shield II",IF(M329="Idiem software",IF(AND(C329="IN",G329=4),((('BLAZE SHIELD II'!$D$4*('HOJA DE CÁLCULO RESPALDO'!I329^2)+'BLAZE SHIELD II'!$D$5*'HOJA DE CÁLCULO RESPALDO'!I329+'BLAZE SHIELD II'!$D$6)*LN(J329))+('BLAZE SHIELD II'!$D$7*('HOJA DE CÁLCULO RESPALDO'!I329^2)+'BLAZE SHIELD II'!$D$8*'HOJA DE CÁLCULO RESPALDO'!I329+'BLAZE SHIELD II'!$D$9)),0),0),0))+(IF(L329="Blaze Shield II",IF(M329="Idiem software",IF(C329="Cj",((('BLAZE SHIELD II'!$H$4*('HOJA DE CÁLCULO RESPALDO'!I329^2)+'BLAZE SHIELD II'!$H$5*'HOJA DE CÁLCULO RESPALDO'!I329+'BLAZE SHIELD II'!$H$6)*LN(J329))+('BLAZE SHIELD II'!$H$7*('HOJA DE CÁLCULO RESPALDO'!I329^2)+'BLAZE SHIELD II'!$H$8*'HOJA DE CÁLCULO RESPALDO'!I329+'BLAZE SHIELD II'!$H$9)),0),0),0))+(IF(L329="Blaze Shield II",IF(M329="Idiem software",IF(C329="C",((('BLAZE SHIELD II'!$L$4*('HOJA DE CÁLCULO RESPALDO'!I329^2)+'BLAZE SHIELD II'!$L$5*'HOJA DE CÁLCULO RESPALDO'!I329+'BLAZE SHIELD II'!$L$6)*LN(J329))+('BLAZE SHIELD II'!$L$7*('HOJA DE CÁLCULO RESPALDO'!I329^2)+'BLAZE SHIELD II'!$L$8*'HOJA DE CÁLCULO RESPALDO'!I329+'BLAZE SHIELD II'!$L$9)),0),0),0))+(IF(L329="Blaze Shield II",IF(M329="Idiem software",IF(AND(C329="IN",G329=3),((('BLAZE SHIELD II'!$H$14*('HOJA DE CÁLCULO RESPALDO'!I329^2)+'BLAZE SHIELD II'!$H$15*'HOJA DE CÁLCULO RESPALDO'!I329+'BLAZE SHIELD II'!$H$16)*LN(J329))+('BLAZE SHIELD II'!$H$17*('HOJA DE CÁLCULO RESPALDO'!I329^2)+'BLAZE SHIELD II'!$H$18*'HOJA DE CÁLCULO RESPALDO'!I329+'BLAZE SHIELD II'!$H$19)),0),0),0)),0)</f>
        <v>0</v>
      </c>
      <c r="O329" s="46">
        <f t="shared" si="32"/>
        <v>0</v>
      </c>
      <c r="P329" s="80">
        <f t="shared" si="29"/>
        <v>0</v>
      </c>
      <c r="Q329" s="85">
        <f>ROUND((IF(L329="Cafco 400",IF(M329="Idiem software",IF(AND(C329="IN",G329=4),((('CAFCO 400 '!$H$7*(J329^4)+'CAFCO 400 '!$H$8*(J329^3)+'CAFCO 400 '!$H$9*(J329^2)+'CAFCO 400 '!$H$10*J329+'CAFCO 400 '!$H$11)*I329^2)+(('CAFCO 400 '!$H$12*(J329^3)+'CAFCO 400 '!$H$13*(J329^2)+'CAFCO 400 '!$H$14*J329+'CAFCO 400 '!$H$15)*I329)+('CAFCO 400 '!$H$16*(J329^2)+'CAFCO 400 '!$H$17*J329+'CAFCO 400 '!$H$18)),0),0),0))+(IF(L329="Cafco 400",IF(M329="Idiem software",IF(C329="Cj",(((('CAFCO 400 '!$D$7*LN(J329)+'CAFCO 400 '!$D$8)*I329^2)+(('CAFCO 400 '!$D$9*LN(J329)+'CAFCO 400 '!$D$10)*I329)+('CAFCO 400 '!$D$11*LN(J329)+'CAFCO 400 '!$D$12))),0),0),0))+(IF(L329="Cafco 400",IF(M329="Idiem software",IF(C329="C",((('CAFCO 400 '!$L$7*(J329^3)+'CAFCO 400 '!$L$8*(J329^2)+'CAFCO 400 '!$L$9*J329+'CAFCO 400 '!$L$10)*I329^2)+(('CAFCO 400 '!$L$11*(J329^3)+'CAFCO 400 '!$L$12*(J329^2)+'CAFCO 400 '!$L$13*J329+'CAFCO 400 '!$L$14)*I329)+('CAFCO 400 '!$L$15*LN(J329)+'CAFCO 400 '!$L$16)),0),0),0))+(IF(L329="Cafco 400",IF(M329="Idiem software",IF(AND(C329="IN",G329=3),((('CAFCO 400 '!$D$23*(J329^2)+'CAFCO 400 '!$D$24*(J329)+'CAFCO 400 '!$D$25)*I329^2)+(('CAFCO 400 '!$D$26*(J329^2)+'CAFCO 400 '!$D$27*J329+'CAFCO 400 '!$D$28)*I329)+('CAFCO 400 '!$D$29*(J329^2)+'CAFCO 400 '!$D$30*J329+'CAFCO 400 '!$D$31)),0),0),0)),0)</f>
        <v>0</v>
      </c>
      <c r="R329" s="47">
        <f t="shared" si="33"/>
        <v>0</v>
      </c>
      <c r="S329" s="82">
        <f t="shared" si="30"/>
        <v>0</v>
      </c>
      <c r="T329" s="81">
        <f>+IF(AND(J329&gt;=95,J329&lt;=240),IF(AND(C329="Cj",I329=90),VLOOKUP(W329,'CAFCO 300 IDIEM TABLAS'!$B$4:$D$23,2,FALSE),0)+IF(AND(J329&gt;=95,J329&lt;=240),IF(AND(C329="Cj",I329=120),VLOOKUP(W329,'CAFCO 300 IDIEM TABLAS'!$B$4:$D$23,3,FALSE),0))+IF(AND(J329&gt;=95,J329&lt;=400,G329=3),IF(AND(C329="IN",I329=90),VLOOKUP(W329,'CAFCO 300 IDIEM TABLAS'!$F$4:$H$35,2,FALSE),0),0)+IF(AND(J329&gt;=95,J329&lt;=400,G329=3),IF(AND(C329="IN",I329=120),VLOOKUP(W329,'CAFCO 300 IDIEM TABLAS'!$F$4:$H$35,3,FALSE),0),0)+IF(AND(J329&gt;=95,J329&lt;=450,G329=4),IF(AND(C329="IN",I329=90),VLOOKUP(W329,'CAFCO 300 IDIEM TABLAS'!$J$4:$L$40,2,FALSE),0),0)+IF(AND(J329&gt;=95,J329&lt;=450,G329=4),IF(AND(C329="IN",I329=120),VLOOKUP(W329,'CAFCO 300 IDIEM TABLAS'!$J$4:$L$40,3,FALSE),0),0))</f>
        <v>17</v>
      </c>
      <c r="U329" s="48">
        <f t="shared" si="34"/>
        <v>1.5229350433247753</v>
      </c>
      <c r="V329" s="82">
        <f t="shared" si="31"/>
        <v>22865.346740478177</v>
      </c>
      <c r="W329" s="64">
        <f>+IF(J329=LOOKUP(J329,'CAFCO 300 IDIEM TABLAS'!$J$4:$J$40),'HOJA DE CÁLCULO RESPALDO'!J329,MROUND('HOJA DE CÁLCULO RESPALDO'!J329,10))</f>
        <v>95</v>
      </c>
      <c r="X329" s="36"/>
      <c r="Y329" s="4"/>
    </row>
    <row r="330" spans="1:25" ht="15.6" customHeight="1" x14ac:dyDescent="0.25">
      <c r="A330" s="2" t="s">
        <v>50</v>
      </c>
      <c r="B330" s="3" t="s">
        <v>17</v>
      </c>
      <c r="C330" s="3" t="s">
        <v>19</v>
      </c>
      <c r="D330" s="3">
        <v>1</v>
      </c>
      <c r="E330" s="2">
        <v>1</v>
      </c>
      <c r="F330" s="8">
        <v>1500</v>
      </c>
      <c r="G330" s="1">
        <v>4</v>
      </c>
      <c r="H330" s="2">
        <v>776</v>
      </c>
      <c r="I330" s="34">
        <v>90</v>
      </c>
      <c r="J330" s="11">
        <v>95</v>
      </c>
      <c r="K330" s="44">
        <f t="shared" ref="K330:K369" si="35">+IF(C330="","",(H330*F330*E330*D330)/1000000)</f>
        <v>1.1639999999999999</v>
      </c>
      <c r="L330" s="3" t="s">
        <v>61</v>
      </c>
      <c r="M330" s="3" t="s">
        <v>70</v>
      </c>
      <c r="N330" s="15">
        <f>ROUND((IF(L330="Blaze Shield II",IF(M330="Idiem software",IF(AND(C330="IN",G330=4),((('BLAZE SHIELD II'!$D$4*('HOJA DE CÁLCULO RESPALDO'!I330^2)+'BLAZE SHIELD II'!$D$5*'HOJA DE CÁLCULO RESPALDO'!I330+'BLAZE SHIELD II'!$D$6)*LN(J330))+('BLAZE SHIELD II'!$D$7*('HOJA DE CÁLCULO RESPALDO'!I330^2)+'BLAZE SHIELD II'!$D$8*'HOJA DE CÁLCULO RESPALDO'!I330+'BLAZE SHIELD II'!$D$9)),0),0),0))+(IF(L330="Blaze Shield II",IF(M330="Idiem software",IF(C330="Cj",((('BLAZE SHIELD II'!$H$4*('HOJA DE CÁLCULO RESPALDO'!I330^2)+'BLAZE SHIELD II'!$H$5*'HOJA DE CÁLCULO RESPALDO'!I330+'BLAZE SHIELD II'!$H$6)*LN(J330))+('BLAZE SHIELD II'!$H$7*('HOJA DE CÁLCULO RESPALDO'!I330^2)+'BLAZE SHIELD II'!$H$8*'HOJA DE CÁLCULO RESPALDO'!I330+'BLAZE SHIELD II'!$H$9)),0),0),0))+(IF(L330="Blaze Shield II",IF(M330="Idiem software",IF(C330="C",((('BLAZE SHIELD II'!$L$4*('HOJA DE CÁLCULO RESPALDO'!I330^2)+'BLAZE SHIELD II'!$L$5*'HOJA DE CÁLCULO RESPALDO'!I330+'BLAZE SHIELD II'!$L$6)*LN(J330))+('BLAZE SHIELD II'!$L$7*('HOJA DE CÁLCULO RESPALDO'!I330^2)+'BLAZE SHIELD II'!$L$8*'HOJA DE CÁLCULO RESPALDO'!I330+'BLAZE SHIELD II'!$L$9)),0),0),0))+(IF(L330="Blaze Shield II",IF(M330="Idiem software",IF(AND(C330="IN",G330=3),((('BLAZE SHIELD II'!$H$14*('HOJA DE CÁLCULO RESPALDO'!I330^2)+'BLAZE SHIELD II'!$H$15*'HOJA DE CÁLCULO RESPALDO'!I330+'BLAZE SHIELD II'!$H$16)*LN(J330))+('BLAZE SHIELD II'!$H$17*('HOJA DE CÁLCULO RESPALDO'!I330^2)+'BLAZE SHIELD II'!$H$18*'HOJA DE CÁLCULO RESPALDO'!I330+'BLAZE SHIELD II'!$H$19)),0),0),0)),0)</f>
        <v>0</v>
      </c>
      <c r="O330" s="46">
        <f t="shared" si="32"/>
        <v>0</v>
      </c>
      <c r="P330" s="80">
        <f t="shared" ref="P330:P369" si="36">+O330*$Q$2</f>
        <v>0</v>
      </c>
      <c r="Q330" s="85">
        <f>ROUND((IF(L330="Cafco 400",IF(M330="Idiem software",IF(AND(C330="IN",G330=4),((('CAFCO 400 '!$H$7*(J330^4)+'CAFCO 400 '!$H$8*(J330^3)+'CAFCO 400 '!$H$9*(J330^2)+'CAFCO 400 '!$H$10*J330+'CAFCO 400 '!$H$11)*I330^2)+(('CAFCO 400 '!$H$12*(J330^3)+'CAFCO 400 '!$H$13*(J330^2)+'CAFCO 400 '!$H$14*J330+'CAFCO 400 '!$H$15)*I330)+('CAFCO 400 '!$H$16*(J330^2)+'CAFCO 400 '!$H$17*J330+'CAFCO 400 '!$H$18)),0),0),0))+(IF(L330="Cafco 400",IF(M330="Idiem software",IF(C330="Cj",(((('CAFCO 400 '!$D$7*LN(J330)+'CAFCO 400 '!$D$8)*I330^2)+(('CAFCO 400 '!$D$9*LN(J330)+'CAFCO 400 '!$D$10)*I330)+('CAFCO 400 '!$D$11*LN(J330)+'CAFCO 400 '!$D$12))),0),0),0))+(IF(L330="Cafco 400",IF(M330="Idiem software",IF(C330="C",((('CAFCO 400 '!$L$7*(J330^3)+'CAFCO 400 '!$L$8*(J330^2)+'CAFCO 400 '!$L$9*J330+'CAFCO 400 '!$L$10)*I330^2)+(('CAFCO 400 '!$L$11*(J330^3)+'CAFCO 400 '!$L$12*(J330^2)+'CAFCO 400 '!$L$13*J330+'CAFCO 400 '!$L$14)*I330)+('CAFCO 400 '!$L$15*LN(J330)+'CAFCO 400 '!$L$16)),0),0),0))+(IF(L330="Cafco 400",IF(M330="Idiem software",IF(AND(C330="IN",G330=3),((('CAFCO 400 '!$D$23*(J330^2)+'CAFCO 400 '!$D$24*(J330)+'CAFCO 400 '!$D$25)*I330^2)+(('CAFCO 400 '!$D$26*(J330^2)+'CAFCO 400 '!$D$27*J330+'CAFCO 400 '!$D$28)*I330)+('CAFCO 400 '!$D$29*(J330^2)+'CAFCO 400 '!$D$30*J330+'CAFCO 400 '!$D$31)),0),0),0)),0)</f>
        <v>0</v>
      </c>
      <c r="R330" s="47">
        <f t="shared" si="33"/>
        <v>0</v>
      </c>
      <c r="S330" s="82">
        <f t="shared" ref="S330:S369" si="37">+R330*$Q$3</f>
        <v>0</v>
      </c>
      <c r="T330" s="81">
        <f>+IF(AND(J330&gt;=95,J330&lt;=240),IF(AND(C330="Cj",I330=90),VLOOKUP(W330,'CAFCO 300 IDIEM TABLAS'!$B$4:$D$23,2,FALSE),0)+IF(AND(J330&gt;=95,J330&lt;=240),IF(AND(C330="Cj",I330=120),VLOOKUP(W330,'CAFCO 300 IDIEM TABLAS'!$B$4:$D$23,3,FALSE),0))+IF(AND(J330&gt;=95,J330&lt;=400,G330=3),IF(AND(C330="IN",I330=90),VLOOKUP(W330,'CAFCO 300 IDIEM TABLAS'!$F$4:$H$35,2,FALSE),0),0)+IF(AND(J330&gt;=95,J330&lt;=400,G330=3),IF(AND(C330="IN",I330=120),VLOOKUP(W330,'CAFCO 300 IDIEM TABLAS'!$F$4:$H$35,3,FALSE),0),0)+IF(AND(J330&gt;=95,J330&lt;=450,G330=4),IF(AND(C330="IN",I330=90),VLOOKUP(W330,'CAFCO 300 IDIEM TABLAS'!$J$4:$L$40,2,FALSE),0),0)+IF(AND(J330&gt;=95,J330&lt;=450,G330=4),IF(AND(C330="IN",I330=120),VLOOKUP(W330,'CAFCO 300 IDIEM TABLAS'!$J$4:$L$40,3,FALSE),0),0))</f>
        <v>17</v>
      </c>
      <c r="U330" s="48">
        <f t="shared" si="34"/>
        <v>0.2730693196405648</v>
      </c>
      <c r="V330" s="82">
        <f t="shared" ref="V330:V369" si="38">+U330*$Q$4</f>
        <v>4099.8627650834396</v>
      </c>
      <c r="W330" s="64">
        <f>+IF(J330=LOOKUP(J330,'CAFCO 300 IDIEM TABLAS'!$J$4:$J$40),'HOJA DE CÁLCULO RESPALDO'!J330,MROUND('HOJA DE CÁLCULO RESPALDO'!J330,10))</f>
        <v>95</v>
      </c>
      <c r="X330" s="36"/>
      <c r="Y330" s="4"/>
    </row>
    <row r="331" spans="1:25" x14ac:dyDescent="0.25">
      <c r="A331" s="2" t="s">
        <v>50</v>
      </c>
      <c r="B331" s="3" t="s">
        <v>17</v>
      </c>
      <c r="C331" s="3" t="s">
        <v>19</v>
      </c>
      <c r="D331" s="3">
        <v>1</v>
      </c>
      <c r="E331" s="2">
        <v>1</v>
      </c>
      <c r="F331" s="8">
        <v>1500</v>
      </c>
      <c r="G331" s="1">
        <v>4</v>
      </c>
      <c r="H331" s="2">
        <v>3879</v>
      </c>
      <c r="I331" s="34">
        <v>90</v>
      </c>
      <c r="J331" s="11">
        <v>95</v>
      </c>
      <c r="K331" s="44">
        <f t="shared" si="35"/>
        <v>5.8185000000000002</v>
      </c>
      <c r="L331" s="3" t="s">
        <v>61</v>
      </c>
      <c r="M331" s="3" t="s">
        <v>70</v>
      </c>
      <c r="N331" s="15">
        <f>ROUND((IF(L331="Blaze Shield II",IF(M331="Idiem software",IF(AND(C331="IN",G331=4),((('BLAZE SHIELD II'!$D$4*('HOJA DE CÁLCULO RESPALDO'!I331^2)+'BLAZE SHIELD II'!$D$5*'HOJA DE CÁLCULO RESPALDO'!I331+'BLAZE SHIELD II'!$D$6)*LN(J331))+('BLAZE SHIELD II'!$D$7*('HOJA DE CÁLCULO RESPALDO'!I331^2)+'BLAZE SHIELD II'!$D$8*'HOJA DE CÁLCULO RESPALDO'!I331+'BLAZE SHIELD II'!$D$9)),0),0),0))+(IF(L331="Blaze Shield II",IF(M331="Idiem software",IF(C331="Cj",((('BLAZE SHIELD II'!$H$4*('HOJA DE CÁLCULO RESPALDO'!I331^2)+'BLAZE SHIELD II'!$H$5*'HOJA DE CÁLCULO RESPALDO'!I331+'BLAZE SHIELD II'!$H$6)*LN(J331))+('BLAZE SHIELD II'!$H$7*('HOJA DE CÁLCULO RESPALDO'!I331^2)+'BLAZE SHIELD II'!$H$8*'HOJA DE CÁLCULO RESPALDO'!I331+'BLAZE SHIELD II'!$H$9)),0),0),0))+(IF(L331="Blaze Shield II",IF(M331="Idiem software",IF(C331="C",((('BLAZE SHIELD II'!$L$4*('HOJA DE CÁLCULO RESPALDO'!I331^2)+'BLAZE SHIELD II'!$L$5*'HOJA DE CÁLCULO RESPALDO'!I331+'BLAZE SHIELD II'!$L$6)*LN(J331))+('BLAZE SHIELD II'!$L$7*('HOJA DE CÁLCULO RESPALDO'!I331^2)+'BLAZE SHIELD II'!$L$8*'HOJA DE CÁLCULO RESPALDO'!I331+'BLAZE SHIELD II'!$L$9)),0),0),0))+(IF(L331="Blaze Shield II",IF(M331="Idiem software",IF(AND(C331="IN",G331=3),((('BLAZE SHIELD II'!$H$14*('HOJA DE CÁLCULO RESPALDO'!I331^2)+'BLAZE SHIELD II'!$H$15*'HOJA DE CÁLCULO RESPALDO'!I331+'BLAZE SHIELD II'!$H$16)*LN(J331))+('BLAZE SHIELD II'!$H$17*('HOJA DE CÁLCULO RESPALDO'!I331^2)+'BLAZE SHIELD II'!$H$18*'HOJA DE CÁLCULO RESPALDO'!I331+'BLAZE SHIELD II'!$H$19)),0),0),0)),0)</f>
        <v>0</v>
      </c>
      <c r="O331" s="46">
        <f t="shared" ref="O331:O369" si="39">((IF(L331="Blaze Shield II",((K331*N331*0.43)/38),0)))</f>
        <v>0</v>
      </c>
      <c r="P331" s="80">
        <f t="shared" si="36"/>
        <v>0</v>
      </c>
      <c r="Q331" s="85">
        <f>ROUND((IF(L331="Cafco 400",IF(M331="Idiem software",IF(AND(C331="IN",G331=4),((('CAFCO 400 '!$H$7*(J331^4)+'CAFCO 400 '!$H$8*(J331^3)+'CAFCO 400 '!$H$9*(J331^2)+'CAFCO 400 '!$H$10*J331+'CAFCO 400 '!$H$11)*I331^2)+(('CAFCO 400 '!$H$12*(J331^3)+'CAFCO 400 '!$H$13*(J331^2)+'CAFCO 400 '!$H$14*J331+'CAFCO 400 '!$H$15)*I331)+('CAFCO 400 '!$H$16*(J331^2)+'CAFCO 400 '!$H$17*J331+'CAFCO 400 '!$H$18)),0),0),0))+(IF(L331="Cafco 400",IF(M331="Idiem software",IF(C331="Cj",(((('CAFCO 400 '!$D$7*LN(J331)+'CAFCO 400 '!$D$8)*I331^2)+(('CAFCO 400 '!$D$9*LN(J331)+'CAFCO 400 '!$D$10)*I331)+('CAFCO 400 '!$D$11*LN(J331)+'CAFCO 400 '!$D$12))),0),0),0))+(IF(L331="Cafco 400",IF(M331="Idiem software",IF(C331="C",((('CAFCO 400 '!$L$7*(J331^3)+'CAFCO 400 '!$L$8*(J331^2)+'CAFCO 400 '!$L$9*J331+'CAFCO 400 '!$L$10)*I331^2)+(('CAFCO 400 '!$L$11*(J331^3)+'CAFCO 400 '!$L$12*(J331^2)+'CAFCO 400 '!$L$13*J331+'CAFCO 400 '!$L$14)*I331)+('CAFCO 400 '!$L$15*LN(J331)+'CAFCO 400 '!$L$16)),0),0),0))+(IF(L331="Cafco 400",IF(M331="Idiem software",IF(AND(C331="IN",G331=3),((('CAFCO 400 '!$D$23*(J331^2)+'CAFCO 400 '!$D$24*(J331)+'CAFCO 400 '!$D$25)*I331^2)+(('CAFCO 400 '!$D$26*(J331^2)+'CAFCO 400 '!$D$27*J331+'CAFCO 400 '!$D$28)*I331)+('CAFCO 400 '!$D$29*(J331^2)+'CAFCO 400 '!$D$30*J331+'CAFCO 400 '!$D$31)),0),0),0)),0)</f>
        <v>0</v>
      </c>
      <c r="R331" s="47">
        <f t="shared" ref="R331:R369" si="40">+((IF(L331="Cafco 400",((K331*Q331*0.43)/23),0)))</f>
        <v>0</v>
      </c>
      <c r="S331" s="82">
        <f t="shared" si="37"/>
        <v>0</v>
      </c>
      <c r="T331" s="81">
        <f>+IF(AND(J331&gt;=95,J331&lt;=240),IF(AND(C331="Cj",I331=90),VLOOKUP(W331,'CAFCO 300 IDIEM TABLAS'!$B$4:$D$23,2,FALSE),0)+IF(AND(J331&gt;=95,J331&lt;=240),IF(AND(C331="Cj",I331=120),VLOOKUP(W331,'CAFCO 300 IDIEM TABLAS'!$B$4:$D$23,3,FALSE),0))+IF(AND(J331&gt;=95,J331&lt;=400,G331=3),IF(AND(C331="IN",I331=90),VLOOKUP(W331,'CAFCO 300 IDIEM TABLAS'!$F$4:$H$35,2,FALSE),0),0)+IF(AND(J331&gt;=95,J331&lt;=400,G331=3),IF(AND(C331="IN",I331=120),VLOOKUP(W331,'CAFCO 300 IDIEM TABLAS'!$F$4:$H$35,3,FALSE),0),0)+IF(AND(J331&gt;=95,J331&lt;=450,G331=4),IF(AND(C331="IN",I331=90),VLOOKUP(W331,'CAFCO 300 IDIEM TABLAS'!$J$4:$L$40,2,FALSE),0),0)+IF(AND(J331&gt;=95,J331&lt;=450,G331=4),IF(AND(C331="IN",I331=120),VLOOKUP(W331,'CAFCO 300 IDIEM TABLAS'!$J$4:$L$40,3,FALSE),0),0))</f>
        <v>17</v>
      </c>
      <c r="U331" s="48">
        <f t="shared" ref="U331:U369" si="41">+((IF(L331="Cafco 300",((K331*T331*0.43)/31.16),0)))</f>
        <v>1.3649947047496791</v>
      </c>
      <c r="V331" s="82">
        <f t="shared" si="38"/>
        <v>20494.030497111682</v>
      </c>
      <c r="W331" s="64">
        <f>+IF(J331=LOOKUP(J331,'CAFCO 300 IDIEM TABLAS'!$J$4:$J$40),'HOJA DE CÁLCULO RESPALDO'!J331,MROUND('HOJA DE CÁLCULO RESPALDO'!J331,10))</f>
        <v>95</v>
      </c>
      <c r="X331" s="36"/>
      <c r="Y331" s="4"/>
    </row>
    <row r="332" spans="1:25" ht="15.6" customHeight="1" x14ac:dyDescent="0.25">
      <c r="A332" s="2" t="s">
        <v>51</v>
      </c>
      <c r="B332" s="3" t="s">
        <v>17</v>
      </c>
      <c r="C332" s="3" t="s">
        <v>19</v>
      </c>
      <c r="D332" s="3">
        <v>1</v>
      </c>
      <c r="E332" s="2">
        <v>1</v>
      </c>
      <c r="F332" s="8">
        <v>11081</v>
      </c>
      <c r="G332" s="1">
        <v>4</v>
      </c>
      <c r="H332" s="2">
        <v>585</v>
      </c>
      <c r="I332" s="34">
        <v>90</v>
      </c>
      <c r="J332" s="11">
        <v>95</v>
      </c>
      <c r="K332" s="44">
        <f t="shared" si="35"/>
        <v>6.4823849999999998</v>
      </c>
      <c r="L332" s="3" t="s">
        <v>61</v>
      </c>
      <c r="M332" s="3" t="s">
        <v>70</v>
      </c>
      <c r="N332" s="15">
        <f>ROUND((IF(L332="Blaze Shield II",IF(M332="Idiem software",IF(AND(C332="IN",G332=4),((('BLAZE SHIELD II'!$D$4*('HOJA DE CÁLCULO RESPALDO'!I332^2)+'BLAZE SHIELD II'!$D$5*'HOJA DE CÁLCULO RESPALDO'!I332+'BLAZE SHIELD II'!$D$6)*LN(J332))+('BLAZE SHIELD II'!$D$7*('HOJA DE CÁLCULO RESPALDO'!I332^2)+'BLAZE SHIELD II'!$D$8*'HOJA DE CÁLCULO RESPALDO'!I332+'BLAZE SHIELD II'!$D$9)),0),0),0))+(IF(L332="Blaze Shield II",IF(M332="Idiem software",IF(C332="Cj",((('BLAZE SHIELD II'!$H$4*('HOJA DE CÁLCULO RESPALDO'!I332^2)+'BLAZE SHIELD II'!$H$5*'HOJA DE CÁLCULO RESPALDO'!I332+'BLAZE SHIELD II'!$H$6)*LN(J332))+('BLAZE SHIELD II'!$H$7*('HOJA DE CÁLCULO RESPALDO'!I332^2)+'BLAZE SHIELD II'!$H$8*'HOJA DE CÁLCULO RESPALDO'!I332+'BLAZE SHIELD II'!$H$9)),0),0),0))+(IF(L332="Blaze Shield II",IF(M332="Idiem software",IF(C332="C",((('BLAZE SHIELD II'!$L$4*('HOJA DE CÁLCULO RESPALDO'!I332^2)+'BLAZE SHIELD II'!$L$5*'HOJA DE CÁLCULO RESPALDO'!I332+'BLAZE SHIELD II'!$L$6)*LN(J332))+('BLAZE SHIELD II'!$L$7*('HOJA DE CÁLCULO RESPALDO'!I332^2)+'BLAZE SHIELD II'!$L$8*'HOJA DE CÁLCULO RESPALDO'!I332+'BLAZE SHIELD II'!$L$9)),0),0),0))+(IF(L332="Blaze Shield II",IF(M332="Idiem software",IF(AND(C332="IN",G332=3),((('BLAZE SHIELD II'!$H$14*('HOJA DE CÁLCULO RESPALDO'!I332^2)+'BLAZE SHIELD II'!$H$15*'HOJA DE CÁLCULO RESPALDO'!I332+'BLAZE SHIELD II'!$H$16)*LN(J332))+('BLAZE SHIELD II'!$H$17*('HOJA DE CÁLCULO RESPALDO'!I332^2)+'BLAZE SHIELD II'!$H$18*'HOJA DE CÁLCULO RESPALDO'!I332+'BLAZE SHIELD II'!$H$19)),0),0),0)),0)</f>
        <v>0</v>
      </c>
      <c r="O332" s="46">
        <f t="shared" si="39"/>
        <v>0</v>
      </c>
      <c r="P332" s="80">
        <f t="shared" si="36"/>
        <v>0</v>
      </c>
      <c r="Q332" s="85">
        <f>ROUND((IF(L332="Cafco 400",IF(M332="Idiem software",IF(AND(C332="IN",G332=4),((('CAFCO 400 '!$H$7*(J332^4)+'CAFCO 400 '!$H$8*(J332^3)+'CAFCO 400 '!$H$9*(J332^2)+'CAFCO 400 '!$H$10*J332+'CAFCO 400 '!$H$11)*I332^2)+(('CAFCO 400 '!$H$12*(J332^3)+'CAFCO 400 '!$H$13*(J332^2)+'CAFCO 400 '!$H$14*J332+'CAFCO 400 '!$H$15)*I332)+('CAFCO 400 '!$H$16*(J332^2)+'CAFCO 400 '!$H$17*J332+'CAFCO 400 '!$H$18)),0),0),0))+(IF(L332="Cafco 400",IF(M332="Idiem software",IF(C332="Cj",(((('CAFCO 400 '!$D$7*LN(J332)+'CAFCO 400 '!$D$8)*I332^2)+(('CAFCO 400 '!$D$9*LN(J332)+'CAFCO 400 '!$D$10)*I332)+('CAFCO 400 '!$D$11*LN(J332)+'CAFCO 400 '!$D$12))),0),0),0))+(IF(L332="Cafco 400",IF(M332="Idiem software",IF(C332="C",((('CAFCO 400 '!$L$7*(J332^3)+'CAFCO 400 '!$L$8*(J332^2)+'CAFCO 400 '!$L$9*J332+'CAFCO 400 '!$L$10)*I332^2)+(('CAFCO 400 '!$L$11*(J332^3)+'CAFCO 400 '!$L$12*(J332^2)+'CAFCO 400 '!$L$13*J332+'CAFCO 400 '!$L$14)*I332)+('CAFCO 400 '!$L$15*LN(J332)+'CAFCO 400 '!$L$16)),0),0),0))+(IF(L332="Cafco 400",IF(M332="Idiem software",IF(AND(C332="IN",G332=3),((('CAFCO 400 '!$D$23*(J332^2)+'CAFCO 400 '!$D$24*(J332)+'CAFCO 400 '!$D$25)*I332^2)+(('CAFCO 400 '!$D$26*(J332^2)+'CAFCO 400 '!$D$27*J332+'CAFCO 400 '!$D$28)*I332)+('CAFCO 400 '!$D$29*(J332^2)+'CAFCO 400 '!$D$30*J332+'CAFCO 400 '!$D$31)),0),0),0)),0)</f>
        <v>0</v>
      </c>
      <c r="R332" s="47">
        <f t="shared" si="40"/>
        <v>0</v>
      </c>
      <c r="S332" s="82">
        <f t="shared" si="37"/>
        <v>0</v>
      </c>
      <c r="T332" s="81">
        <f>+IF(AND(J332&gt;=95,J332&lt;=240),IF(AND(C332="Cj",I332=90),VLOOKUP(W332,'CAFCO 300 IDIEM TABLAS'!$B$4:$D$23,2,FALSE),0)+IF(AND(J332&gt;=95,J332&lt;=240),IF(AND(C332="Cj",I332=120),VLOOKUP(W332,'CAFCO 300 IDIEM TABLAS'!$B$4:$D$23,3,FALSE),0))+IF(AND(J332&gt;=95,J332&lt;=400,G332=3),IF(AND(C332="IN",I332=90),VLOOKUP(W332,'CAFCO 300 IDIEM TABLAS'!$F$4:$H$35,2,FALSE),0),0)+IF(AND(J332&gt;=95,J332&lt;=400,G332=3),IF(AND(C332="IN",I332=120),VLOOKUP(W332,'CAFCO 300 IDIEM TABLAS'!$F$4:$H$35,3,FALSE),0),0)+IF(AND(J332&gt;=95,J332&lt;=450,G332=4),IF(AND(C332="IN",I332=90),VLOOKUP(W332,'CAFCO 300 IDIEM TABLAS'!$J$4:$L$40,2,FALSE),0),0)+IF(AND(J332&gt;=95,J332&lt;=450,G332=4),IF(AND(C332="IN",I332=120),VLOOKUP(W332,'CAFCO 300 IDIEM TABLAS'!$J$4:$L$40,3,FALSE),0),0))</f>
        <v>17</v>
      </c>
      <c r="U332" s="48">
        <f t="shared" si="41"/>
        <v>1.5207392281771501</v>
      </c>
      <c r="V332" s="82">
        <f t="shared" si="38"/>
        <v>22832.378771851731</v>
      </c>
      <c r="W332" s="64">
        <f>+IF(J332=LOOKUP(J332,'CAFCO 300 IDIEM TABLAS'!$J$4:$J$40),'HOJA DE CÁLCULO RESPALDO'!J332,MROUND('HOJA DE CÁLCULO RESPALDO'!J332,10))</f>
        <v>95</v>
      </c>
      <c r="X332" s="36"/>
      <c r="Y332" s="4"/>
    </row>
    <row r="333" spans="1:25" x14ac:dyDescent="0.25">
      <c r="A333" s="2" t="s">
        <v>51</v>
      </c>
      <c r="B333" s="3" t="s">
        <v>17</v>
      </c>
      <c r="C333" s="3" t="s">
        <v>19</v>
      </c>
      <c r="D333" s="3">
        <v>1</v>
      </c>
      <c r="E333" s="2">
        <v>1</v>
      </c>
      <c r="F333" s="8">
        <v>1500</v>
      </c>
      <c r="G333" s="1">
        <v>4</v>
      </c>
      <c r="H333" s="2">
        <v>776</v>
      </c>
      <c r="I333" s="34">
        <v>90</v>
      </c>
      <c r="J333" s="11">
        <v>95</v>
      </c>
      <c r="K333" s="44">
        <f t="shared" si="35"/>
        <v>1.1639999999999999</v>
      </c>
      <c r="L333" s="3" t="s">
        <v>61</v>
      </c>
      <c r="M333" s="3" t="s">
        <v>70</v>
      </c>
      <c r="N333" s="15">
        <f>ROUND((IF(L333="Blaze Shield II",IF(M333="Idiem software",IF(AND(C333="IN",G333=4),((('BLAZE SHIELD II'!$D$4*('HOJA DE CÁLCULO RESPALDO'!I333^2)+'BLAZE SHIELD II'!$D$5*'HOJA DE CÁLCULO RESPALDO'!I333+'BLAZE SHIELD II'!$D$6)*LN(J333))+('BLAZE SHIELD II'!$D$7*('HOJA DE CÁLCULO RESPALDO'!I333^2)+'BLAZE SHIELD II'!$D$8*'HOJA DE CÁLCULO RESPALDO'!I333+'BLAZE SHIELD II'!$D$9)),0),0),0))+(IF(L333="Blaze Shield II",IF(M333="Idiem software",IF(C333="Cj",((('BLAZE SHIELD II'!$H$4*('HOJA DE CÁLCULO RESPALDO'!I333^2)+'BLAZE SHIELD II'!$H$5*'HOJA DE CÁLCULO RESPALDO'!I333+'BLAZE SHIELD II'!$H$6)*LN(J333))+('BLAZE SHIELD II'!$H$7*('HOJA DE CÁLCULO RESPALDO'!I333^2)+'BLAZE SHIELD II'!$H$8*'HOJA DE CÁLCULO RESPALDO'!I333+'BLAZE SHIELD II'!$H$9)),0),0),0))+(IF(L333="Blaze Shield II",IF(M333="Idiem software",IF(C333="C",((('BLAZE SHIELD II'!$L$4*('HOJA DE CÁLCULO RESPALDO'!I333^2)+'BLAZE SHIELD II'!$L$5*'HOJA DE CÁLCULO RESPALDO'!I333+'BLAZE SHIELD II'!$L$6)*LN(J333))+('BLAZE SHIELD II'!$L$7*('HOJA DE CÁLCULO RESPALDO'!I333^2)+'BLAZE SHIELD II'!$L$8*'HOJA DE CÁLCULO RESPALDO'!I333+'BLAZE SHIELD II'!$L$9)),0),0),0))+(IF(L333="Blaze Shield II",IF(M333="Idiem software",IF(AND(C333="IN",G333=3),((('BLAZE SHIELD II'!$H$14*('HOJA DE CÁLCULO RESPALDO'!I333^2)+'BLAZE SHIELD II'!$H$15*'HOJA DE CÁLCULO RESPALDO'!I333+'BLAZE SHIELD II'!$H$16)*LN(J333))+('BLAZE SHIELD II'!$H$17*('HOJA DE CÁLCULO RESPALDO'!I333^2)+'BLAZE SHIELD II'!$H$18*'HOJA DE CÁLCULO RESPALDO'!I333+'BLAZE SHIELD II'!$H$19)),0),0),0)),0)</f>
        <v>0</v>
      </c>
      <c r="O333" s="46">
        <f t="shared" si="39"/>
        <v>0</v>
      </c>
      <c r="P333" s="80">
        <f t="shared" si="36"/>
        <v>0</v>
      </c>
      <c r="Q333" s="85">
        <f>ROUND((IF(L333="Cafco 400",IF(M333="Idiem software",IF(AND(C333="IN",G333=4),((('CAFCO 400 '!$H$7*(J333^4)+'CAFCO 400 '!$H$8*(J333^3)+'CAFCO 400 '!$H$9*(J333^2)+'CAFCO 400 '!$H$10*J333+'CAFCO 400 '!$H$11)*I333^2)+(('CAFCO 400 '!$H$12*(J333^3)+'CAFCO 400 '!$H$13*(J333^2)+'CAFCO 400 '!$H$14*J333+'CAFCO 400 '!$H$15)*I333)+('CAFCO 400 '!$H$16*(J333^2)+'CAFCO 400 '!$H$17*J333+'CAFCO 400 '!$H$18)),0),0),0))+(IF(L333="Cafco 400",IF(M333="Idiem software",IF(C333="Cj",(((('CAFCO 400 '!$D$7*LN(J333)+'CAFCO 400 '!$D$8)*I333^2)+(('CAFCO 400 '!$D$9*LN(J333)+'CAFCO 400 '!$D$10)*I333)+('CAFCO 400 '!$D$11*LN(J333)+'CAFCO 400 '!$D$12))),0),0),0))+(IF(L333="Cafco 400",IF(M333="Idiem software",IF(C333="C",((('CAFCO 400 '!$L$7*(J333^3)+'CAFCO 400 '!$L$8*(J333^2)+'CAFCO 400 '!$L$9*J333+'CAFCO 400 '!$L$10)*I333^2)+(('CAFCO 400 '!$L$11*(J333^3)+'CAFCO 400 '!$L$12*(J333^2)+'CAFCO 400 '!$L$13*J333+'CAFCO 400 '!$L$14)*I333)+('CAFCO 400 '!$L$15*LN(J333)+'CAFCO 400 '!$L$16)),0),0),0))+(IF(L333="Cafco 400",IF(M333="Idiem software",IF(AND(C333="IN",G333=3),((('CAFCO 400 '!$D$23*(J333^2)+'CAFCO 400 '!$D$24*(J333)+'CAFCO 400 '!$D$25)*I333^2)+(('CAFCO 400 '!$D$26*(J333^2)+'CAFCO 400 '!$D$27*J333+'CAFCO 400 '!$D$28)*I333)+('CAFCO 400 '!$D$29*(J333^2)+'CAFCO 400 '!$D$30*J333+'CAFCO 400 '!$D$31)),0),0),0)),0)</f>
        <v>0</v>
      </c>
      <c r="R333" s="47">
        <f t="shared" si="40"/>
        <v>0</v>
      </c>
      <c r="S333" s="82">
        <f t="shared" si="37"/>
        <v>0</v>
      </c>
      <c r="T333" s="81">
        <f>+IF(AND(J333&gt;=95,J333&lt;=240),IF(AND(C333="Cj",I333=90),VLOOKUP(W333,'CAFCO 300 IDIEM TABLAS'!$B$4:$D$23,2,FALSE),0)+IF(AND(J333&gt;=95,J333&lt;=240),IF(AND(C333="Cj",I333=120),VLOOKUP(W333,'CAFCO 300 IDIEM TABLAS'!$B$4:$D$23,3,FALSE),0))+IF(AND(J333&gt;=95,J333&lt;=400,G333=3),IF(AND(C333="IN",I333=90),VLOOKUP(W333,'CAFCO 300 IDIEM TABLAS'!$F$4:$H$35,2,FALSE),0),0)+IF(AND(J333&gt;=95,J333&lt;=400,G333=3),IF(AND(C333="IN",I333=120),VLOOKUP(W333,'CAFCO 300 IDIEM TABLAS'!$F$4:$H$35,3,FALSE),0),0)+IF(AND(J333&gt;=95,J333&lt;=450,G333=4),IF(AND(C333="IN",I333=90),VLOOKUP(W333,'CAFCO 300 IDIEM TABLAS'!$J$4:$L$40,2,FALSE),0),0)+IF(AND(J333&gt;=95,J333&lt;=450,G333=4),IF(AND(C333="IN",I333=120),VLOOKUP(W333,'CAFCO 300 IDIEM TABLAS'!$J$4:$L$40,3,FALSE),0),0))</f>
        <v>17</v>
      </c>
      <c r="U333" s="48">
        <f t="shared" si="41"/>
        <v>0.2730693196405648</v>
      </c>
      <c r="V333" s="82">
        <f t="shared" si="38"/>
        <v>4099.8627650834396</v>
      </c>
      <c r="W333" s="64">
        <f>+IF(J333=LOOKUP(J333,'CAFCO 300 IDIEM TABLAS'!$J$4:$J$40),'HOJA DE CÁLCULO RESPALDO'!J333,MROUND('HOJA DE CÁLCULO RESPALDO'!J333,10))</f>
        <v>95</v>
      </c>
      <c r="X333" s="36"/>
      <c r="Y333" s="4"/>
    </row>
    <row r="334" spans="1:25" ht="15.6" customHeight="1" x14ac:dyDescent="0.25">
      <c r="A334" s="2" t="s">
        <v>51</v>
      </c>
      <c r="B334" s="3" t="s">
        <v>17</v>
      </c>
      <c r="C334" s="3" t="s">
        <v>19</v>
      </c>
      <c r="D334" s="3">
        <v>1</v>
      </c>
      <c r="E334" s="2">
        <v>1</v>
      </c>
      <c r="F334" s="8">
        <v>1500</v>
      </c>
      <c r="G334" s="1">
        <v>4</v>
      </c>
      <c r="H334" s="2">
        <v>3879</v>
      </c>
      <c r="I334" s="34">
        <v>90</v>
      </c>
      <c r="J334" s="11">
        <v>95</v>
      </c>
      <c r="K334" s="44">
        <f t="shared" si="35"/>
        <v>5.8185000000000002</v>
      </c>
      <c r="L334" s="3" t="s">
        <v>61</v>
      </c>
      <c r="M334" s="3" t="s">
        <v>70</v>
      </c>
      <c r="N334" s="15">
        <f>ROUND((IF(L334="Blaze Shield II",IF(M334="Idiem software",IF(AND(C334="IN",G334=4),((('BLAZE SHIELD II'!$D$4*('HOJA DE CÁLCULO RESPALDO'!I334^2)+'BLAZE SHIELD II'!$D$5*'HOJA DE CÁLCULO RESPALDO'!I334+'BLAZE SHIELD II'!$D$6)*LN(J334))+('BLAZE SHIELD II'!$D$7*('HOJA DE CÁLCULO RESPALDO'!I334^2)+'BLAZE SHIELD II'!$D$8*'HOJA DE CÁLCULO RESPALDO'!I334+'BLAZE SHIELD II'!$D$9)),0),0),0))+(IF(L334="Blaze Shield II",IF(M334="Idiem software",IF(C334="Cj",((('BLAZE SHIELD II'!$H$4*('HOJA DE CÁLCULO RESPALDO'!I334^2)+'BLAZE SHIELD II'!$H$5*'HOJA DE CÁLCULO RESPALDO'!I334+'BLAZE SHIELD II'!$H$6)*LN(J334))+('BLAZE SHIELD II'!$H$7*('HOJA DE CÁLCULO RESPALDO'!I334^2)+'BLAZE SHIELD II'!$H$8*'HOJA DE CÁLCULO RESPALDO'!I334+'BLAZE SHIELD II'!$H$9)),0),0),0))+(IF(L334="Blaze Shield II",IF(M334="Idiem software",IF(C334="C",((('BLAZE SHIELD II'!$L$4*('HOJA DE CÁLCULO RESPALDO'!I334^2)+'BLAZE SHIELD II'!$L$5*'HOJA DE CÁLCULO RESPALDO'!I334+'BLAZE SHIELD II'!$L$6)*LN(J334))+('BLAZE SHIELD II'!$L$7*('HOJA DE CÁLCULO RESPALDO'!I334^2)+'BLAZE SHIELD II'!$L$8*'HOJA DE CÁLCULO RESPALDO'!I334+'BLAZE SHIELD II'!$L$9)),0),0),0))+(IF(L334="Blaze Shield II",IF(M334="Idiem software",IF(AND(C334="IN",G334=3),((('BLAZE SHIELD II'!$H$14*('HOJA DE CÁLCULO RESPALDO'!I334^2)+'BLAZE SHIELD II'!$H$15*'HOJA DE CÁLCULO RESPALDO'!I334+'BLAZE SHIELD II'!$H$16)*LN(J334))+('BLAZE SHIELD II'!$H$17*('HOJA DE CÁLCULO RESPALDO'!I334^2)+'BLAZE SHIELD II'!$H$18*'HOJA DE CÁLCULO RESPALDO'!I334+'BLAZE SHIELD II'!$H$19)),0),0),0)),0)</f>
        <v>0</v>
      </c>
      <c r="O334" s="46">
        <f t="shared" si="39"/>
        <v>0</v>
      </c>
      <c r="P334" s="80">
        <f t="shared" si="36"/>
        <v>0</v>
      </c>
      <c r="Q334" s="85">
        <f>ROUND((IF(L334="Cafco 400",IF(M334="Idiem software",IF(AND(C334="IN",G334=4),((('CAFCO 400 '!$H$7*(J334^4)+'CAFCO 400 '!$H$8*(J334^3)+'CAFCO 400 '!$H$9*(J334^2)+'CAFCO 400 '!$H$10*J334+'CAFCO 400 '!$H$11)*I334^2)+(('CAFCO 400 '!$H$12*(J334^3)+'CAFCO 400 '!$H$13*(J334^2)+'CAFCO 400 '!$H$14*J334+'CAFCO 400 '!$H$15)*I334)+('CAFCO 400 '!$H$16*(J334^2)+'CAFCO 400 '!$H$17*J334+'CAFCO 400 '!$H$18)),0),0),0))+(IF(L334="Cafco 400",IF(M334="Idiem software",IF(C334="Cj",(((('CAFCO 400 '!$D$7*LN(J334)+'CAFCO 400 '!$D$8)*I334^2)+(('CAFCO 400 '!$D$9*LN(J334)+'CAFCO 400 '!$D$10)*I334)+('CAFCO 400 '!$D$11*LN(J334)+'CAFCO 400 '!$D$12))),0),0),0))+(IF(L334="Cafco 400",IF(M334="Idiem software",IF(C334="C",((('CAFCO 400 '!$L$7*(J334^3)+'CAFCO 400 '!$L$8*(J334^2)+'CAFCO 400 '!$L$9*J334+'CAFCO 400 '!$L$10)*I334^2)+(('CAFCO 400 '!$L$11*(J334^3)+'CAFCO 400 '!$L$12*(J334^2)+'CAFCO 400 '!$L$13*J334+'CAFCO 400 '!$L$14)*I334)+('CAFCO 400 '!$L$15*LN(J334)+'CAFCO 400 '!$L$16)),0),0),0))+(IF(L334="Cafco 400",IF(M334="Idiem software",IF(AND(C334="IN",G334=3),((('CAFCO 400 '!$D$23*(J334^2)+'CAFCO 400 '!$D$24*(J334)+'CAFCO 400 '!$D$25)*I334^2)+(('CAFCO 400 '!$D$26*(J334^2)+'CAFCO 400 '!$D$27*J334+'CAFCO 400 '!$D$28)*I334)+('CAFCO 400 '!$D$29*(J334^2)+'CAFCO 400 '!$D$30*J334+'CAFCO 400 '!$D$31)),0),0),0)),0)</f>
        <v>0</v>
      </c>
      <c r="R334" s="47">
        <f t="shared" si="40"/>
        <v>0</v>
      </c>
      <c r="S334" s="82">
        <f t="shared" si="37"/>
        <v>0</v>
      </c>
      <c r="T334" s="81">
        <f>+IF(AND(J334&gt;=95,J334&lt;=240),IF(AND(C334="Cj",I334=90),VLOOKUP(W334,'CAFCO 300 IDIEM TABLAS'!$B$4:$D$23,2,FALSE),0)+IF(AND(J334&gt;=95,J334&lt;=240),IF(AND(C334="Cj",I334=120),VLOOKUP(W334,'CAFCO 300 IDIEM TABLAS'!$B$4:$D$23,3,FALSE),0))+IF(AND(J334&gt;=95,J334&lt;=400,G334=3),IF(AND(C334="IN",I334=90),VLOOKUP(W334,'CAFCO 300 IDIEM TABLAS'!$F$4:$H$35,2,FALSE),0),0)+IF(AND(J334&gt;=95,J334&lt;=400,G334=3),IF(AND(C334="IN",I334=120),VLOOKUP(W334,'CAFCO 300 IDIEM TABLAS'!$F$4:$H$35,3,FALSE),0),0)+IF(AND(J334&gt;=95,J334&lt;=450,G334=4),IF(AND(C334="IN",I334=90),VLOOKUP(W334,'CAFCO 300 IDIEM TABLAS'!$J$4:$L$40,2,FALSE),0),0)+IF(AND(J334&gt;=95,J334&lt;=450,G334=4),IF(AND(C334="IN",I334=120),VLOOKUP(W334,'CAFCO 300 IDIEM TABLAS'!$J$4:$L$40,3,FALSE),0),0))</f>
        <v>17</v>
      </c>
      <c r="U334" s="48">
        <f t="shared" si="41"/>
        <v>1.3649947047496791</v>
      </c>
      <c r="V334" s="82">
        <f t="shared" si="38"/>
        <v>20494.030497111682</v>
      </c>
      <c r="W334" s="64">
        <f>+IF(J334=LOOKUP(J334,'CAFCO 300 IDIEM TABLAS'!$J$4:$J$40),'HOJA DE CÁLCULO RESPALDO'!J334,MROUND('HOJA DE CÁLCULO RESPALDO'!J334,10))</f>
        <v>95</v>
      </c>
      <c r="X334" s="36"/>
      <c r="Y334" s="4"/>
    </row>
    <row r="335" spans="1:25" x14ac:dyDescent="0.25">
      <c r="A335" s="2" t="s">
        <v>51</v>
      </c>
      <c r="B335" s="3" t="s">
        <v>17</v>
      </c>
      <c r="C335" s="3" t="s">
        <v>19</v>
      </c>
      <c r="D335" s="3">
        <v>1</v>
      </c>
      <c r="E335" s="2">
        <v>1</v>
      </c>
      <c r="F335" s="8">
        <v>12634</v>
      </c>
      <c r="G335" s="1">
        <v>4</v>
      </c>
      <c r="H335" s="2">
        <v>585</v>
      </c>
      <c r="I335" s="34">
        <v>90</v>
      </c>
      <c r="J335" s="11">
        <v>95</v>
      </c>
      <c r="K335" s="44">
        <f t="shared" si="35"/>
        <v>7.3908899999999997</v>
      </c>
      <c r="L335" s="3" t="s">
        <v>61</v>
      </c>
      <c r="M335" s="3" t="s">
        <v>70</v>
      </c>
      <c r="N335" s="15">
        <f>ROUND((IF(L335="Blaze Shield II",IF(M335="Idiem software",IF(AND(C335="IN",G335=4),((('BLAZE SHIELD II'!$D$4*('HOJA DE CÁLCULO RESPALDO'!I335^2)+'BLAZE SHIELD II'!$D$5*'HOJA DE CÁLCULO RESPALDO'!I335+'BLAZE SHIELD II'!$D$6)*LN(J335))+('BLAZE SHIELD II'!$D$7*('HOJA DE CÁLCULO RESPALDO'!I335^2)+'BLAZE SHIELD II'!$D$8*'HOJA DE CÁLCULO RESPALDO'!I335+'BLAZE SHIELD II'!$D$9)),0),0),0))+(IF(L335="Blaze Shield II",IF(M335="Idiem software",IF(C335="Cj",((('BLAZE SHIELD II'!$H$4*('HOJA DE CÁLCULO RESPALDO'!I335^2)+'BLAZE SHIELD II'!$H$5*'HOJA DE CÁLCULO RESPALDO'!I335+'BLAZE SHIELD II'!$H$6)*LN(J335))+('BLAZE SHIELD II'!$H$7*('HOJA DE CÁLCULO RESPALDO'!I335^2)+'BLAZE SHIELD II'!$H$8*'HOJA DE CÁLCULO RESPALDO'!I335+'BLAZE SHIELD II'!$H$9)),0),0),0))+(IF(L335="Blaze Shield II",IF(M335="Idiem software",IF(C335="C",((('BLAZE SHIELD II'!$L$4*('HOJA DE CÁLCULO RESPALDO'!I335^2)+'BLAZE SHIELD II'!$L$5*'HOJA DE CÁLCULO RESPALDO'!I335+'BLAZE SHIELD II'!$L$6)*LN(J335))+('BLAZE SHIELD II'!$L$7*('HOJA DE CÁLCULO RESPALDO'!I335^2)+'BLAZE SHIELD II'!$L$8*'HOJA DE CÁLCULO RESPALDO'!I335+'BLAZE SHIELD II'!$L$9)),0),0),0))+(IF(L335="Blaze Shield II",IF(M335="Idiem software",IF(AND(C335="IN",G335=3),((('BLAZE SHIELD II'!$H$14*('HOJA DE CÁLCULO RESPALDO'!I335^2)+'BLAZE SHIELD II'!$H$15*'HOJA DE CÁLCULO RESPALDO'!I335+'BLAZE SHIELD II'!$H$16)*LN(J335))+('BLAZE SHIELD II'!$H$17*('HOJA DE CÁLCULO RESPALDO'!I335^2)+'BLAZE SHIELD II'!$H$18*'HOJA DE CÁLCULO RESPALDO'!I335+'BLAZE SHIELD II'!$H$19)),0),0),0)),0)</f>
        <v>0</v>
      </c>
      <c r="O335" s="46">
        <f t="shared" si="39"/>
        <v>0</v>
      </c>
      <c r="P335" s="80">
        <f t="shared" si="36"/>
        <v>0</v>
      </c>
      <c r="Q335" s="85">
        <f>ROUND((IF(L335="Cafco 400",IF(M335="Idiem software",IF(AND(C335="IN",G335=4),((('CAFCO 400 '!$H$7*(J335^4)+'CAFCO 400 '!$H$8*(J335^3)+'CAFCO 400 '!$H$9*(J335^2)+'CAFCO 400 '!$H$10*J335+'CAFCO 400 '!$H$11)*I335^2)+(('CAFCO 400 '!$H$12*(J335^3)+'CAFCO 400 '!$H$13*(J335^2)+'CAFCO 400 '!$H$14*J335+'CAFCO 400 '!$H$15)*I335)+('CAFCO 400 '!$H$16*(J335^2)+'CAFCO 400 '!$H$17*J335+'CAFCO 400 '!$H$18)),0),0),0))+(IF(L335="Cafco 400",IF(M335="Idiem software",IF(C335="Cj",(((('CAFCO 400 '!$D$7*LN(J335)+'CAFCO 400 '!$D$8)*I335^2)+(('CAFCO 400 '!$D$9*LN(J335)+'CAFCO 400 '!$D$10)*I335)+('CAFCO 400 '!$D$11*LN(J335)+'CAFCO 400 '!$D$12))),0),0),0))+(IF(L335="Cafco 400",IF(M335="Idiem software",IF(C335="C",((('CAFCO 400 '!$L$7*(J335^3)+'CAFCO 400 '!$L$8*(J335^2)+'CAFCO 400 '!$L$9*J335+'CAFCO 400 '!$L$10)*I335^2)+(('CAFCO 400 '!$L$11*(J335^3)+'CAFCO 400 '!$L$12*(J335^2)+'CAFCO 400 '!$L$13*J335+'CAFCO 400 '!$L$14)*I335)+('CAFCO 400 '!$L$15*LN(J335)+'CAFCO 400 '!$L$16)),0),0),0))+(IF(L335="Cafco 400",IF(M335="Idiem software",IF(AND(C335="IN",G335=3),((('CAFCO 400 '!$D$23*(J335^2)+'CAFCO 400 '!$D$24*(J335)+'CAFCO 400 '!$D$25)*I335^2)+(('CAFCO 400 '!$D$26*(J335^2)+'CAFCO 400 '!$D$27*J335+'CAFCO 400 '!$D$28)*I335)+('CAFCO 400 '!$D$29*(J335^2)+'CAFCO 400 '!$D$30*J335+'CAFCO 400 '!$D$31)),0),0),0)),0)</f>
        <v>0</v>
      </c>
      <c r="R335" s="47">
        <f t="shared" si="40"/>
        <v>0</v>
      </c>
      <c r="S335" s="82">
        <f t="shared" si="37"/>
        <v>0</v>
      </c>
      <c r="T335" s="81">
        <f>+IF(AND(J335&gt;=95,J335&lt;=240),IF(AND(C335="Cj",I335=90),VLOOKUP(W335,'CAFCO 300 IDIEM TABLAS'!$B$4:$D$23,2,FALSE),0)+IF(AND(J335&gt;=95,J335&lt;=240),IF(AND(C335="Cj",I335=120),VLOOKUP(W335,'CAFCO 300 IDIEM TABLAS'!$B$4:$D$23,3,FALSE),0))+IF(AND(J335&gt;=95,J335&lt;=400,G335=3),IF(AND(C335="IN",I335=90),VLOOKUP(W335,'CAFCO 300 IDIEM TABLAS'!$F$4:$H$35,2,FALSE),0),0)+IF(AND(J335&gt;=95,J335&lt;=400,G335=3),IF(AND(C335="IN",I335=120),VLOOKUP(W335,'CAFCO 300 IDIEM TABLAS'!$F$4:$H$35,3,FALSE),0),0)+IF(AND(J335&gt;=95,J335&lt;=450,G335=4),IF(AND(C335="IN",I335=90),VLOOKUP(W335,'CAFCO 300 IDIEM TABLAS'!$J$4:$L$40,2,FALSE),0),0)+IF(AND(J335&gt;=95,J335&lt;=450,G335=4),IF(AND(C335="IN",I335=120),VLOOKUP(W335,'CAFCO 300 IDIEM TABLAS'!$J$4:$L$40,3,FALSE),0),0))</f>
        <v>17</v>
      </c>
      <c r="U335" s="48">
        <f t="shared" si="41"/>
        <v>1.7338705359435174</v>
      </c>
      <c r="V335" s="82">
        <f t="shared" si="38"/>
        <v>26032.33222665597</v>
      </c>
      <c r="W335" s="64">
        <f>+IF(J335=LOOKUP(J335,'CAFCO 300 IDIEM TABLAS'!$J$4:$J$40),'HOJA DE CÁLCULO RESPALDO'!J335,MROUND('HOJA DE CÁLCULO RESPALDO'!J335,10))</f>
        <v>95</v>
      </c>
      <c r="X335" s="36"/>
      <c r="Y335" s="4"/>
    </row>
    <row r="336" spans="1:25" ht="15.6" customHeight="1" x14ac:dyDescent="0.25">
      <c r="A336" s="2" t="s">
        <v>45</v>
      </c>
      <c r="B336" s="3" t="s">
        <v>17</v>
      </c>
      <c r="C336" s="3" t="s">
        <v>19</v>
      </c>
      <c r="D336" s="3">
        <v>1</v>
      </c>
      <c r="E336" s="2">
        <v>1</v>
      </c>
      <c r="F336" s="8">
        <v>1500</v>
      </c>
      <c r="G336" s="1">
        <v>4</v>
      </c>
      <c r="H336" s="2">
        <v>776</v>
      </c>
      <c r="I336" s="34">
        <v>90</v>
      </c>
      <c r="J336" s="11">
        <v>95</v>
      </c>
      <c r="K336" s="44">
        <f t="shared" si="35"/>
        <v>1.1639999999999999</v>
      </c>
      <c r="L336" s="3" t="s">
        <v>61</v>
      </c>
      <c r="M336" s="3" t="s">
        <v>70</v>
      </c>
      <c r="N336" s="15">
        <f>ROUND((IF(L336="Blaze Shield II",IF(M336="Idiem software",IF(AND(C336="IN",G336=4),((('BLAZE SHIELD II'!$D$4*('HOJA DE CÁLCULO RESPALDO'!I336^2)+'BLAZE SHIELD II'!$D$5*'HOJA DE CÁLCULO RESPALDO'!I336+'BLAZE SHIELD II'!$D$6)*LN(J336))+('BLAZE SHIELD II'!$D$7*('HOJA DE CÁLCULO RESPALDO'!I336^2)+'BLAZE SHIELD II'!$D$8*'HOJA DE CÁLCULO RESPALDO'!I336+'BLAZE SHIELD II'!$D$9)),0),0),0))+(IF(L336="Blaze Shield II",IF(M336="Idiem software",IF(C336="Cj",((('BLAZE SHIELD II'!$H$4*('HOJA DE CÁLCULO RESPALDO'!I336^2)+'BLAZE SHIELD II'!$H$5*'HOJA DE CÁLCULO RESPALDO'!I336+'BLAZE SHIELD II'!$H$6)*LN(J336))+('BLAZE SHIELD II'!$H$7*('HOJA DE CÁLCULO RESPALDO'!I336^2)+'BLAZE SHIELD II'!$H$8*'HOJA DE CÁLCULO RESPALDO'!I336+'BLAZE SHIELD II'!$H$9)),0),0),0))+(IF(L336="Blaze Shield II",IF(M336="Idiem software",IF(C336="C",((('BLAZE SHIELD II'!$L$4*('HOJA DE CÁLCULO RESPALDO'!I336^2)+'BLAZE SHIELD II'!$L$5*'HOJA DE CÁLCULO RESPALDO'!I336+'BLAZE SHIELD II'!$L$6)*LN(J336))+('BLAZE SHIELD II'!$L$7*('HOJA DE CÁLCULO RESPALDO'!I336^2)+'BLAZE SHIELD II'!$L$8*'HOJA DE CÁLCULO RESPALDO'!I336+'BLAZE SHIELD II'!$L$9)),0),0),0))+(IF(L336="Blaze Shield II",IF(M336="Idiem software",IF(AND(C336="IN",G336=3),((('BLAZE SHIELD II'!$H$14*('HOJA DE CÁLCULO RESPALDO'!I336^2)+'BLAZE SHIELD II'!$H$15*'HOJA DE CÁLCULO RESPALDO'!I336+'BLAZE SHIELD II'!$H$16)*LN(J336))+('BLAZE SHIELD II'!$H$17*('HOJA DE CÁLCULO RESPALDO'!I336^2)+'BLAZE SHIELD II'!$H$18*'HOJA DE CÁLCULO RESPALDO'!I336+'BLAZE SHIELD II'!$H$19)),0),0),0)),0)</f>
        <v>0</v>
      </c>
      <c r="O336" s="46">
        <f t="shared" si="39"/>
        <v>0</v>
      </c>
      <c r="P336" s="80">
        <f t="shared" si="36"/>
        <v>0</v>
      </c>
      <c r="Q336" s="85">
        <f>ROUND((IF(L336="Cafco 400",IF(M336="Idiem software",IF(AND(C336="IN",G336=4),((('CAFCO 400 '!$H$7*(J336^4)+'CAFCO 400 '!$H$8*(J336^3)+'CAFCO 400 '!$H$9*(J336^2)+'CAFCO 400 '!$H$10*J336+'CAFCO 400 '!$H$11)*I336^2)+(('CAFCO 400 '!$H$12*(J336^3)+'CAFCO 400 '!$H$13*(J336^2)+'CAFCO 400 '!$H$14*J336+'CAFCO 400 '!$H$15)*I336)+('CAFCO 400 '!$H$16*(J336^2)+'CAFCO 400 '!$H$17*J336+'CAFCO 400 '!$H$18)),0),0),0))+(IF(L336="Cafco 400",IF(M336="Idiem software",IF(C336="Cj",(((('CAFCO 400 '!$D$7*LN(J336)+'CAFCO 400 '!$D$8)*I336^2)+(('CAFCO 400 '!$D$9*LN(J336)+'CAFCO 400 '!$D$10)*I336)+('CAFCO 400 '!$D$11*LN(J336)+'CAFCO 400 '!$D$12))),0),0),0))+(IF(L336="Cafco 400",IF(M336="Idiem software",IF(C336="C",((('CAFCO 400 '!$L$7*(J336^3)+'CAFCO 400 '!$L$8*(J336^2)+'CAFCO 400 '!$L$9*J336+'CAFCO 400 '!$L$10)*I336^2)+(('CAFCO 400 '!$L$11*(J336^3)+'CAFCO 400 '!$L$12*(J336^2)+'CAFCO 400 '!$L$13*J336+'CAFCO 400 '!$L$14)*I336)+('CAFCO 400 '!$L$15*LN(J336)+'CAFCO 400 '!$L$16)),0),0),0))+(IF(L336="Cafco 400",IF(M336="Idiem software",IF(AND(C336="IN",G336=3),((('CAFCO 400 '!$D$23*(J336^2)+'CAFCO 400 '!$D$24*(J336)+'CAFCO 400 '!$D$25)*I336^2)+(('CAFCO 400 '!$D$26*(J336^2)+'CAFCO 400 '!$D$27*J336+'CAFCO 400 '!$D$28)*I336)+('CAFCO 400 '!$D$29*(J336^2)+'CAFCO 400 '!$D$30*J336+'CAFCO 400 '!$D$31)),0),0),0)),0)</f>
        <v>0</v>
      </c>
      <c r="R336" s="47">
        <f t="shared" si="40"/>
        <v>0</v>
      </c>
      <c r="S336" s="82">
        <f t="shared" si="37"/>
        <v>0</v>
      </c>
      <c r="T336" s="81">
        <f>+IF(AND(J336&gt;=95,J336&lt;=240),IF(AND(C336="Cj",I336=90),VLOOKUP(W336,'CAFCO 300 IDIEM TABLAS'!$B$4:$D$23,2,FALSE),0)+IF(AND(J336&gt;=95,J336&lt;=240),IF(AND(C336="Cj",I336=120),VLOOKUP(W336,'CAFCO 300 IDIEM TABLAS'!$B$4:$D$23,3,FALSE),0))+IF(AND(J336&gt;=95,J336&lt;=400,G336=3),IF(AND(C336="IN",I336=90),VLOOKUP(W336,'CAFCO 300 IDIEM TABLAS'!$F$4:$H$35,2,FALSE),0),0)+IF(AND(J336&gt;=95,J336&lt;=400,G336=3),IF(AND(C336="IN",I336=120),VLOOKUP(W336,'CAFCO 300 IDIEM TABLAS'!$F$4:$H$35,3,FALSE),0),0)+IF(AND(J336&gt;=95,J336&lt;=450,G336=4),IF(AND(C336="IN",I336=90),VLOOKUP(W336,'CAFCO 300 IDIEM TABLAS'!$J$4:$L$40,2,FALSE),0),0)+IF(AND(J336&gt;=95,J336&lt;=450,G336=4),IF(AND(C336="IN",I336=120),VLOOKUP(W336,'CAFCO 300 IDIEM TABLAS'!$J$4:$L$40,3,FALSE),0),0))</f>
        <v>17</v>
      </c>
      <c r="U336" s="48">
        <f t="shared" si="41"/>
        <v>0.2730693196405648</v>
      </c>
      <c r="V336" s="82">
        <f t="shared" si="38"/>
        <v>4099.8627650834396</v>
      </c>
      <c r="W336" s="64">
        <f>+IF(J336=LOOKUP(J336,'CAFCO 300 IDIEM TABLAS'!$J$4:$J$40),'HOJA DE CÁLCULO RESPALDO'!J336,MROUND('HOJA DE CÁLCULO RESPALDO'!J336,10))</f>
        <v>95</v>
      </c>
      <c r="X336" s="36"/>
      <c r="Y336" s="4"/>
    </row>
    <row r="337" spans="1:25" x14ac:dyDescent="0.25">
      <c r="A337" s="2" t="s">
        <v>45</v>
      </c>
      <c r="B337" s="3" t="s">
        <v>17</v>
      </c>
      <c r="C337" s="3" t="s">
        <v>19</v>
      </c>
      <c r="D337" s="3">
        <v>1</v>
      </c>
      <c r="E337" s="2">
        <v>1</v>
      </c>
      <c r="F337" s="8">
        <v>11097</v>
      </c>
      <c r="G337" s="1">
        <v>4</v>
      </c>
      <c r="H337" s="2">
        <v>585</v>
      </c>
      <c r="I337" s="34">
        <v>90</v>
      </c>
      <c r="J337" s="11">
        <v>95</v>
      </c>
      <c r="K337" s="44">
        <f t="shared" si="35"/>
        <v>6.4917449999999999</v>
      </c>
      <c r="L337" s="3" t="s">
        <v>61</v>
      </c>
      <c r="M337" s="3" t="s">
        <v>70</v>
      </c>
      <c r="N337" s="15">
        <f>ROUND((IF(L337="Blaze Shield II",IF(M337="Idiem software",IF(AND(C337="IN",G337=4),((('BLAZE SHIELD II'!$D$4*('HOJA DE CÁLCULO RESPALDO'!I337^2)+'BLAZE SHIELD II'!$D$5*'HOJA DE CÁLCULO RESPALDO'!I337+'BLAZE SHIELD II'!$D$6)*LN(J337))+('BLAZE SHIELD II'!$D$7*('HOJA DE CÁLCULO RESPALDO'!I337^2)+'BLAZE SHIELD II'!$D$8*'HOJA DE CÁLCULO RESPALDO'!I337+'BLAZE SHIELD II'!$D$9)),0),0),0))+(IF(L337="Blaze Shield II",IF(M337="Idiem software",IF(C337="Cj",((('BLAZE SHIELD II'!$H$4*('HOJA DE CÁLCULO RESPALDO'!I337^2)+'BLAZE SHIELD II'!$H$5*'HOJA DE CÁLCULO RESPALDO'!I337+'BLAZE SHIELD II'!$H$6)*LN(J337))+('BLAZE SHIELD II'!$H$7*('HOJA DE CÁLCULO RESPALDO'!I337^2)+'BLAZE SHIELD II'!$H$8*'HOJA DE CÁLCULO RESPALDO'!I337+'BLAZE SHIELD II'!$H$9)),0),0),0))+(IF(L337="Blaze Shield II",IF(M337="Idiem software",IF(C337="C",((('BLAZE SHIELD II'!$L$4*('HOJA DE CÁLCULO RESPALDO'!I337^2)+'BLAZE SHIELD II'!$L$5*'HOJA DE CÁLCULO RESPALDO'!I337+'BLAZE SHIELD II'!$L$6)*LN(J337))+('BLAZE SHIELD II'!$L$7*('HOJA DE CÁLCULO RESPALDO'!I337^2)+'BLAZE SHIELD II'!$L$8*'HOJA DE CÁLCULO RESPALDO'!I337+'BLAZE SHIELD II'!$L$9)),0),0),0))+(IF(L337="Blaze Shield II",IF(M337="Idiem software",IF(AND(C337="IN",G337=3),((('BLAZE SHIELD II'!$H$14*('HOJA DE CÁLCULO RESPALDO'!I337^2)+'BLAZE SHIELD II'!$H$15*'HOJA DE CÁLCULO RESPALDO'!I337+'BLAZE SHIELD II'!$H$16)*LN(J337))+('BLAZE SHIELD II'!$H$17*('HOJA DE CÁLCULO RESPALDO'!I337^2)+'BLAZE SHIELD II'!$H$18*'HOJA DE CÁLCULO RESPALDO'!I337+'BLAZE SHIELD II'!$H$19)),0),0),0)),0)</f>
        <v>0</v>
      </c>
      <c r="O337" s="46">
        <f t="shared" si="39"/>
        <v>0</v>
      </c>
      <c r="P337" s="80">
        <f t="shared" si="36"/>
        <v>0</v>
      </c>
      <c r="Q337" s="85">
        <f>ROUND((IF(L337="Cafco 400",IF(M337="Idiem software",IF(AND(C337="IN",G337=4),((('CAFCO 400 '!$H$7*(J337^4)+'CAFCO 400 '!$H$8*(J337^3)+'CAFCO 400 '!$H$9*(J337^2)+'CAFCO 400 '!$H$10*J337+'CAFCO 400 '!$H$11)*I337^2)+(('CAFCO 400 '!$H$12*(J337^3)+'CAFCO 400 '!$H$13*(J337^2)+'CAFCO 400 '!$H$14*J337+'CAFCO 400 '!$H$15)*I337)+('CAFCO 400 '!$H$16*(J337^2)+'CAFCO 400 '!$H$17*J337+'CAFCO 400 '!$H$18)),0),0),0))+(IF(L337="Cafco 400",IF(M337="Idiem software",IF(C337="Cj",(((('CAFCO 400 '!$D$7*LN(J337)+'CAFCO 400 '!$D$8)*I337^2)+(('CAFCO 400 '!$D$9*LN(J337)+'CAFCO 400 '!$D$10)*I337)+('CAFCO 400 '!$D$11*LN(J337)+'CAFCO 400 '!$D$12))),0),0),0))+(IF(L337="Cafco 400",IF(M337="Idiem software",IF(C337="C",((('CAFCO 400 '!$L$7*(J337^3)+'CAFCO 400 '!$L$8*(J337^2)+'CAFCO 400 '!$L$9*J337+'CAFCO 400 '!$L$10)*I337^2)+(('CAFCO 400 '!$L$11*(J337^3)+'CAFCO 400 '!$L$12*(J337^2)+'CAFCO 400 '!$L$13*J337+'CAFCO 400 '!$L$14)*I337)+('CAFCO 400 '!$L$15*LN(J337)+'CAFCO 400 '!$L$16)),0),0),0))+(IF(L337="Cafco 400",IF(M337="Idiem software",IF(AND(C337="IN",G337=3),((('CAFCO 400 '!$D$23*(J337^2)+'CAFCO 400 '!$D$24*(J337)+'CAFCO 400 '!$D$25)*I337^2)+(('CAFCO 400 '!$D$26*(J337^2)+'CAFCO 400 '!$D$27*J337+'CAFCO 400 '!$D$28)*I337)+('CAFCO 400 '!$D$29*(J337^2)+'CAFCO 400 '!$D$30*J337+'CAFCO 400 '!$D$31)),0),0),0)),0)</f>
        <v>0</v>
      </c>
      <c r="R337" s="47">
        <f t="shared" si="40"/>
        <v>0</v>
      </c>
      <c r="S337" s="82">
        <f t="shared" si="37"/>
        <v>0</v>
      </c>
      <c r="T337" s="81">
        <f>+IF(AND(J337&gt;=95,J337&lt;=240),IF(AND(C337="Cj",I337=90),VLOOKUP(W337,'CAFCO 300 IDIEM TABLAS'!$B$4:$D$23,2,FALSE),0)+IF(AND(J337&gt;=95,J337&lt;=240),IF(AND(C337="Cj",I337=120),VLOOKUP(W337,'CAFCO 300 IDIEM TABLAS'!$B$4:$D$23,3,FALSE),0))+IF(AND(J337&gt;=95,J337&lt;=400,G337=3),IF(AND(C337="IN",I337=90),VLOOKUP(W337,'CAFCO 300 IDIEM TABLAS'!$F$4:$H$35,2,FALSE),0),0)+IF(AND(J337&gt;=95,J337&lt;=400,G337=3),IF(AND(C337="IN",I337=120),VLOOKUP(W337,'CAFCO 300 IDIEM TABLAS'!$F$4:$H$35,3,FALSE),0),0)+IF(AND(J337&gt;=95,J337&lt;=450,G337=4),IF(AND(C337="IN",I337=90),VLOOKUP(W337,'CAFCO 300 IDIEM TABLAS'!$J$4:$L$40,2,FALSE),0),0)+IF(AND(J337&gt;=95,J337&lt;=450,G337=4),IF(AND(C337="IN",I337=120),VLOOKUP(W337,'CAFCO 300 IDIEM TABLAS'!$J$4:$L$40,3,FALSE),0),0))</f>
        <v>17</v>
      </c>
      <c r="U337" s="48">
        <f t="shared" si="41"/>
        <v>1.5229350433247753</v>
      </c>
      <c r="V337" s="82">
        <f t="shared" si="38"/>
        <v>22865.346740478177</v>
      </c>
      <c r="W337" s="64">
        <f>+IF(J337=LOOKUP(J337,'CAFCO 300 IDIEM TABLAS'!$J$4:$J$40),'HOJA DE CÁLCULO RESPALDO'!J337,MROUND('HOJA DE CÁLCULO RESPALDO'!J337,10))</f>
        <v>95</v>
      </c>
      <c r="X337" s="36"/>
      <c r="Y337" s="4"/>
    </row>
    <row r="338" spans="1:25" ht="15.6" customHeight="1" x14ac:dyDescent="0.25">
      <c r="A338" s="2" t="s">
        <v>45</v>
      </c>
      <c r="B338" s="3" t="s">
        <v>17</v>
      </c>
      <c r="C338" s="3" t="s">
        <v>19</v>
      </c>
      <c r="D338" s="3">
        <v>1</v>
      </c>
      <c r="E338" s="2">
        <v>1</v>
      </c>
      <c r="F338" s="8">
        <v>1500</v>
      </c>
      <c r="G338" s="1">
        <v>4</v>
      </c>
      <c r="H338" s="2">
        <v>776</v>
      </c>
      <c r="I338" s="34">
        <v>90</v>
      </c>
      <c r="J338" s="11">
        <v>95</v>
      </c>
      <c r="K338" s="44">
        <f t="shared" si="35"/>
        <v>1.1639999999999999</v>
      </c>
      <c r="L338" s="3" t="s">
        <v>61</v>
      </c>
      <c r="M338" s="3" t="s">
        <v>70</v>
      </c>
      <c r="N338" s="15">
        <f>ROUND((IF(L338="Blaze Shield II",IF(M338="Idiem software",IF(AND(C338="IN",G338=4),((('BLAZE SHIELD II'!$D$4*('HOJA DE CÁLCULO RESPALDO'!I338^2)+'BLAZE SHIELD II'!$D$5*'HOJA DE CÁLCULO RESPALDO'!I338+'BLAZE SHIELD II'!$D$6)*LN(J338))+('BLAZE SHIELD II'!$D$7*('HOJA DE CÁLCULO RESPALDO'!I338^2)+'BLAZE SHIELD II'!$D$8*'HOJA DE CÁLCULO RESPALDO'!I338+'BLAZE SHIELD II'!$D$9)),0),0),0))+(IF(L338="Blaze Shield II",IF(M338="Idiem software",IF(C338="Cj",((('BLAZE SHIELD II'!$H$4*('HOJA DE CÁLCULO RESPALDO'!I338^2)+'BLAZE SHIELD II'!$H$5*'HOJA DE CÁLCULO RESPALDO'!I338+'BLAZE SHIELD II'!$H$6)*LN(J338))+('BLAZE SHIELD II'!$H$7*('HOJA DE CÁLCULO RESPALDO'!I338^2)+'BLAZE SHIELD II'!$H$8*'HOJA DE CÁLCULO RESPALDO'!I338+'BLAZE SHIELD II'!$H$9)),0),0),0))+(IF(L338="Blaze Shield II",IF(M338="Idiem software",IF(C338="C",((('BLAZE SHIELD II'!$L$4*('HOJA DE CÁLCULO RESPALDO'!I338^2)+'BLAZE SHIELD II'!$L$5*'HOJA DE CÁLCULO RESPALDO'!I338+'BLAZE SHIELD II'!$L$6)*LN(J338))+('BLAZE SHIELD II'!$L$7*('HOJA DE CÁLCULO RESPALDO'!I338^2)+'BLAZE SHIELD II'!$L$8*'HOJA DE CÁLCULO RESPALDO'!I338+'BLAZE SHIELD II'!$L$9)),0),0),0))+(IF(L338="Blaze Shield II",IF(M338="Idiem software",IF(AND(C338="IN",G338=3),((('BLAZE SHIELD II'!$H$14*('HOJA DE CÁLCULO RESPALDO'!I338^2)+'BLAZE SHIELD II'!$H$15*'HOJA DE CÁLCULO RESPALDO'!I338+'BLAZE SHIELD II'!$H$16)*LN(J338))+('BLAZE SHIELD II'!$H$17*('HOJA DE CÁLCULO RESPALDO'!I338^2)+'BLAZE SHIELD II'!$H$18*'HOJA DE CÁLCULO RESPALDO'!I338+'BLAZE SHIELD II'!$H$19)),0),0),0)),0)</f>
        <v>0</v>
      </c>
      <c r="O338" s="46">
        <f t="shared" si="39"/>
        <v>0</v>
      </c>
      <c r="P338" s="80">
        <f t="shared" si="36"/>
        <v>0</v>
      </c>
      <c r="Q338" s="85">
        <f>ROUND((IF(L338="Cafco 400",IF(M338="Idiem software",IF(AND(C338="IN",G338=4),((('CAFCO 400 '!$H$7*(J338^4)+'CAFCO 400 '!$H$8*(J338^3)+'CAFCO 400 '!$H$9*(J338^2)+'CAFCO 400 '!$H$10*J338+'CAFCO 400 '!$H$11)*I338^2)+(('CAFCO 400 '!$H$12*(J338^3)+'CAFCO 400 '!$H$13*(J338^2)+'CAFCO 400 '!$H$14*J338+'CAFCO 400 '!$H$15)*I338)+('CAFCO 400 '!$H$16*(J338^2)+'CAFCO 400 '!$H$17*J338+'CAFCO 400 '!$H$18)),0),0),0))+(IF(L338="Cafco 400",IF(M338="Idiem software",IF(C338="Cj",(((('CAFCO 400 '!$D$7*LN(J338)+'CAFCO 400 '!$D$8)*I338^2)+(('CAFCO 400 '!$D$9*LN(J338)+'CAFCO 400 '!$D$10)*I338)+('CAFCO 400 '!$D$11*LN(J338)+'CAFCO 400 '!$D$12))),0),0),0))+(IF(L338="Cafco 400",IF(M338="Idiem software",IF(C338="C",((('CAFCO 400 '!$L$7*(J338^3)+'CAFCO 400 '!$L$8*(J338^2)+'CAFCO 400 '!$L$9*J338+'CAFCO 400 '!$L$10)*I338^2)+(('CAFCO 400 '!$L$11*(J338^3)+'CAFCO 400 '!$L$12*(J338^2)+'CAFCO 400 '!$L$13*J338+'CAFCO 400 '!$L$14)*I338)+('CAFCO 400 '!$L$15*LN(J338)+'CAFCO 400 '!$L$16)),0),0),0))+(IF(L338="Cafco 400",IF(M338="Idiem software",IF(AND(C338="IN",G338=3),((('CAFCO 400 '!$D$23*(J338^2)+'CAFCO 400 '!$D$24*(J338)+'CAFCO 400 '!$D$25)*I338^2)+(('CAFCO 400 '!$D$26*(J338^2)+'CAFCO 400 '!$D$27*J338+'CAFCO 400 '!$D$28)*I338)+('CAFCO 400 '!$D$29*(J338^2)+'CAFCO 400 '!$D$30*J338+'CAFCO 400 '!$D$31)),0),0),0)),0)</f>
        <v>0</v>
      </c>
      <c r="R338" s="47">
        <f t="shared" si="40"/>
        <v>0</v>
      </c>
      <c r="S338" s="82">
        <f t="shared" si="37"/>
        <v>0</v>
      </c>
      <c r="T338" s="81">
        <f>+IF(AND(J338&gt;=95,J338&lt;=240),IF(AND(C338="Cj",I338=90),VLOOKUP(W338,'CAFCO 300 IDIEM TABLAS'!$B$4:$D$23,2,FALSE),0)+IF(AND(J338&gt;=95,J338&lt;=240),IF(AND(C338="Cj",I338=120),VLOOKUP(W338,'CAFCO 300 IDIEM TABLAS'!$B$4:$D$23,3,FALSE),0))+IF(AND(J338&gt;=95,J338&lt;=400,G338=3),IF(AND(C338="IN",I338=90),VLOOKUP(W338,'CAFCO 300 IDIEM TABLAS'!$F$4:$H$35,2,FALSE),0),0)+IF(AND(J338&gt;=95,J338&lt;=400,G338=3),IF(AND(C338="IN",I338=120),VLOOKUP(W338,'CAFCO 300 IDIEM TABLAS'!$F$4:$H$35,3,FALSE),0),0)+IF(AND(J338&gt;=95,J338&lt;=450,G338=4),IF(AND(C338="IN",I338=90),VLOOKUP(W338,'CAFCO 300 IDIEM TABLAS'!$J$4:$L$40,2,FALSE),0),0)+IF(AND(J338&gt;=95,J338&lt;=450,G338=4),IF(AND(C338="IN",I338=120),VLOOKUP(W338,'CAFCO 300 IDIEM TABLAS'!$J$4:$L$40,3,FALSE),0),0))</f>
        <v>17</v>
      </c>
      <c r="U338" s="48">
        <f t="shared" si="41"/>
        <v>0.2730693196405648</v>
      </c>
      <c r="V338" s="82">
        <f t="shared" si="38"/>
        <v>4099.8627650834396</v>
      </c>
      <c r="W338" s="64">
        <f>+IF(J338=LOOKUP(J338,'CAFCO 300 IDIEM TABLAS'!$J$4:$J$40),'HOJA DE CÁLCULO RESPALDO'!J338,MROUND('HOJA DE CÁLCULO RESPALDO'!J338,10))</f>
        <v>95</v>
      </c>
      <c r="X338" s="36"/>
      <c r="Y338" s="4"/>
    </row>
    <row r="339" spans="1:25" x14ac:dyDescent="0.25">
      <c r="A339" s="2" t="s">
        <v>45</v>
      </c>
      <c r="B339" s="3" t="s">
        <v>17</v>
      </c>
      <c r="C339" s="3" t="s">
        <v>19</v>
      </c>
      <c r="D339" s="3">
        <v>1</v>
      </c>
      <c r="E339" s="2">
        <v>1</v>
      </c>
      <c r="F339" s="8">
        <v>1500</v>
      </c>
      <c r="G339" s="1">
        <v>4</v>
      </c>
      <c r="H339" s="2">
        <v>3879</v>
      </c>
      <c r="I339" s="34">
        <v>90</v>
      </c>
      <c r="J339" s="11">
        <v>95</v>
      </c>
      <c r="K339" s="44">
        <f t="shared" si="35"/>
        <v>5.8185000000000002</v>
      </c>
      <c r="L339" s="3" t="s">
        <v>61</v>
      </c>
      <c r="M339" s="3" t="s">
        <v>70</v>
      </c>
      <c r="N339" s="15">
        <f>ROUND((IF(L339="Blaze Shield II",IF(M339="Idiem software",IF(AND(C339="IN",G339=4),((('BLAZE SHIELD II'!$D$4*('HOJA DE CÁLCULO RESPALDO'!I339^2)+'BLAZE SHIELD II'!$D$5*'HOJA DE CÁLCULO RESPALDO'!I339+'BLAZE SHIELD II'!$D$6)*LN(J339))+('BLAZE SHIELD II'!$D$7*('HOJA DE CÁLCULO RESPALDO'!I339^2)+'BLAZE SHIELD II'!$D$8*'HOJA DE CÁLCULO RESPALDO'!I339+'BLAZE SHIELD II'!$D$9)),0),0),0))+(IF(L339="Blaze Shield II",IF(M339="Idiem software",IF(C339="Cj",((('BLAZE SHIELD II'!$H$4*('HOJA DE CÁLCULO RESPALDO'!I339^2)+'BLAZE SHIELD II'!$H$5*'HOJA DE CÁLCULO RESPALDO'!I339+'BLAZE SHIELD II'!$H$6)*LN(J339))+('BLAZE SHIELD II'!$H$7*('HOJA DE CÁLCULO RESPALDO'!I339^2)+'BLAZE SHIELD II'!$H$8*'HOJA DE CÁLCULO RESPALDO'!I339+'BLAZE SHIELD II'!$H$9)),0),0),0))+(IF(L339="Blaze Shield II",IF(M339="Idiem software",IF(C339="C",((('BLAZE SHIELD II'!$L$4*('HOJA DE CÁLCULO RESPALDO'!I339^2)+'BLAZE SHIELD II'!$L$5*'HOJA DE CÁLCULO RESPALDO'!I339+'BLAZE SHIELD II'!$L$6)*LN(J339))+('BLAZE SHIELD II'!$L$7*('HOJA DE CÁLCULO RESPALDO'!I339^2)+'BLAZE SHIELD II'!$L$8*'HOJA DE CÁLCULO RESPALDO'!I339+'BLAZE SHIELD II'!$L$9)),0),0),0))+(IF(L339="Blaze Shield II",IF(M339="Idiem software",IF(AND(C339="IN",G339=3),((('BLAZE SHIELD II'!$H$14*('HOJA DE CÁLCULO RESPALDO'!I339^2)+'BLAZE SHIELD II'!$H$15*'HOJA DE CÁLCULO RESPALDO'!I339+'BLAZE SHIELD II'!$H$16)*LN(J339))+('BLAZE SHIELD II'!$H$17*('HOJA DE CÁLCULO RESPALDO'!I339^2)+'BLAZE SHIELD II'!$H$18*'HOJA DE CÁLCULO RESPALDO'!I339+'BLAZE SHIELD II'!$H$19)),0),0),0)),0)</f>
        <v>0</v>
      </c>
      <c r="O339" s="46">
        <f t="shared" si="39"/>
        <v>0</v>
      </c>
      <c r="P339" s="80">
        <f t="shared" si="36"/>
        <v>0</v>
      </c>
      <c r="Q339" s="85">
        <f>ROUND((IF(L339="Cafco 400",IF(M339="Idiem software",IF(AND(C339="IN",G339=4),((('CAFCO 400 '!$H$7*(J339^4)+'CAFCO 400 '!$H$8*(J339^3)+'CAFCO 400 '!$H$9*(J339^2)+'CAFCO 400 '!$H$10*J339+'CAFCO 400 '!$H$11)*I339^2)+(('CAFCO 400 '!$H$12*(J339^3)+'CAFCO 400 '!$H$13*(J339^2)+'CAFCO 400 '!$H$14*J339+'CAFCO 400 '!$H$15)*I339)+('CAFCO 400 '!$H$16*(J339^2)+'CAFCO 400 '!$H$17*J339+'CAFCO 400 '!$H$18)),0),0),0))+(IF(L339="Cafco 400",IF(M339="Idiem software",IF(C339="Cj",(((('CAFCO 400 '!$D$7*LN(J339)+'CAFCO 400 '!$D$8)*I339^2)+(('CAFCO 400 '!$D$9*LN(J339)+'CAFCO 400 '!$D$10)*I339)+('CAFCO 400 '!$D$11*LN(J339)+'CAFCO 400 '!$D$12))),0),0),0))+(IF(L339="Cafco 400",IF(M339="Idiem software",IF(C339="C",((('CAFCO 400 '!$L$7*(J339^3)+'CAFCO 400 '!$L$8*(J339^2)+'CAFCO 400 '!$L$9*J339+'CAFCO 400 '!$L$10)*I339^2)+(('CAFCO 400 '!$L$11*(J339^3)+'CAFCO 400 '!$L$12*(J339^2)+'CAFCO 400 '!$L$13*J339+'CAFCO 400 '!$L$14)*I339)+('CAFCO 400 '!$L$15*LN(J339)+'CAFCO 400 '!$L$16)),0),0),0))+(IF(L339="Cafco 400",IF(M339="Idiem software",IF(AND(C339="IN",G339=3),((('CAFCO 400 '!$D$23*(J339^2)+'CAFCO 400 '!$D$24*(J339)+'CAFCO 400 '!$D$25)*I339^2)+(('CAFCO 400 '!$D$26*(J339^2)+'CAFCO 400 '!$D$27*J339+'CAFCO 400 '!$D$28)*I339)+('CAFCO 400 '!$D$29*(J339^2)+'CAFCO 400 '!$D$30*J339+'CAFCO 400 '!$D$31)),0),0),0)),0)</f>
        <v>0</v>
      </c>
      <c r="R339" s="47">
        <f t="shared" si="40"/>
        <v>0</v>
      </c>
      <c r="S339" s="82">
        <f t="shared" si="37"/>
        <v>0</v>
      </c>
      <c r="T339" s="81">
        <f>+IF(AND(J339&gt;=95,J339&lt;=240),IF(AND(C339="Cj",I339=90),VLOOKUP(W339,'CAFCO 300 IDIEM TABLAS'!$B$4:$D$23,2,FALSE),0)+IF(AND(J339&gt;=95,J339&lt;=240),IF(AND(C339="Cj",I339=120),VLOOKUP(W339,'CAFCO 300 IDIEM TABLAS'!$B$4:$D$23,3,FALSE),0))+IF(AND(J339&gt;=95,J339&lt;=400,G339=3),IF(AND(C339="IN",I339=90),VLOOKUP(W339,'CAFCO 300 IDIEM TABLAS'!$F$4:$H$35,2,FALSE),0),0)+IF(AND(J339&gt;=95,J339&lt;=400,G339=3),IF(AND(C339="IN",I339=120),VLOOKUP(W339,'CAFCO 300 IDIEM TABLAS'!$F$4:$H$35,3,FALSE),0),0)+IF(AND(J339&gt;=95,J339&lt;=450,G339=4),IF(AND(C339="IN",I339=90),VLOOKUP(W339,'CAFCO 300 IDIEM TABLAS'!$J$4:$L$40,2,FALSE),0),0)+IF(AND(J339&gt;=95,J339&lt;=450,G339=4),IF(AND(C339="IN",I339=120),VLOOKUP(W339,'CAFCO 300 IDIEM TABLAS'!$J$4:$L$40,3,FALSE),0),0))</f>
        <v>17</v>
      </c>
      <c r="U339" s="48">
        <f t="shared" si="41"/>
        <v>1.3649947047496791</v>
      </c>
      <c r="V339" s="82">
        <f t="shared" si="38"/>
        <v>20494.030497111682</v>
      </c>
      <c r="W339" s="64">
        <f>+IF(J339=LOOKUP(J339,'CAFCO 300 IDIEM TABLAS'!$J$4:$J$40),'HOJA DE CÁLCULO RESPALDO'!J339,MROUND('HOJA DE CÁLCULO RESPALDO'!J339,10))</f>
        <v>95</v>
      </c>
      <c r="X339" s="36"/>
      <c r="Y339" s="4"/>
    </row>
    <row r="340" spans="1:25" ht="15.6" customHeight="1" x14ac:dyDescent="0.25">
      <c r="A340" s="2" t="s">
        <v>10</v>
      </c>
      <c r="B340" s="3" t="s">
        <v>17</v>
      </c>
      <c r="C340" s="3" t="s">
        <v>19</v>
      </c>
      <c r="D340" s="3">
        <v>1</v>
      </c>
      <c r="E340" s="2">
        <v>2</v>
      </c>
      <c r="F340" s="8">
        <v>26385</v>
      </c>
      <c r="G340" s="1">
        <v>4</v>
      </c>
      <c r="H340" s="2">
        <v>2784</v>
      </c>
      <c r="I340" s="34">
        <v>90</v>
      </c>
      <c r="J340" s="11">
        <v>95</v>
      </c>
      <c r="K340" s="44">
        <f t="shared" si="35"/>
        <v>146.91167999999999</v>
      </c>
      <c r="L340" s="3" t="s">
        <v>61</v>
      </c>
      <c r="M340" s="3" t="s">
        <v>70</v>
      </c>
      <c r="N340" s="15">
        <f>ROUND((IF(L340="Blaze Shield II",IF(M340="Idiem software",IF(AND(C340="IN",G340=4),((('BLAZE SHIELD II'!$D$4*('HOJA DE CÁLCULO RESPALDO'!I340^2)+'BLAZE SHIELD II'!$D$5*'HOJA DE CÁLCULO RESPALDO'!I340+'BLAZE SHIELD II'!$D$6)*LN(J340))+('BLAZE SHIELD II'!$D$7*('HOJA DE CÁLCULO RESPALDO'!I340^2)+'BLAZE SHIELD II'!$D$8*'HOJA DE CÁLCULO RESPALDO'!I340+'BLAZE SHIELD II'!$D$9)),0),0),0))+(IF(L340="Blaze Shield II",IF(M340="Idiem software",IF(C340="Cj",((('BLAZE SHIELD II'!$H$4*('HOJA DE CÁLCULO RESPALDO'!I340^2)+'BLAZE SHIELD II'!$H$5*'HOJA DE CÁLCULO RESPALDO'!I340+'BLAZE SHIELD II'!$H$6)*LN(J340))+('BLAZE SHIELD II'!$H$7*('HOJA DE CÁLCULO RESPALDO'!I340^2)+'BLAZE SHIELD II'!$H$8*'HOJA DE CÁLCULO RESPALDO'!I340+'BLAZE SHIELD II'!$H$9)),0),0),0))+(IF(L340="Blaze Shield II",IF(M340="Idiem software",IF(C340="C",((('BLAZE SHIELD II'!$L$4*('HOJA DE CÁLCULO RESPALDO'!I340^2)+'BLAZE SHIELD II'!$L$5*'HOJA DE CÁLCULO RESPALDO'!I340+'BLAZE SHIELD II'!$L$6)*LN(J340))+('BLAZE SHIELD II'!$L$7*('HOJA DE CÁLCULO RESPALDO'!I340^2)+'BLAZE SHIELD II'!$L$8*'HOJA DE CÁLCULO RESPALDO'!I340+'BLAZE SHIELD II'!$L$9)),0),0),0))+(IF(L340="Blaze Shield II",IF(M340="Idiem software",IF(AND(C340="IN",G340=3),((('BLAZE SHIELD II'!$H$14*('HOJA DE CÁLCULO RESPALDO'!I340^2)+'BLAZE SHIELD II'!$H$15*'HOJA DE CÁLCULO RESPALDO'!I340+'BLAZE SHIELD II'!$H$16)*LN(J340))+('BLAZE SHIELD II'!$H$17*('HOJA DE CÁLCULO RESPALDO'!I340^2)+'BLAZE SHIELD II'!$H$18*'HOJA DE CÁLCULO RESPALDO'!I340+'BLAZE SHIELD II'!$H$19)),0),0),0)),0)</f>
        <v>0</v>
      </c>
      <c r="O340" s="46">
        <f t="shared" si="39"/>
        <v>0</v>
      </c>
      <c r="P340" s="80">
        <f t="shared" si="36"/>
        <v>0</v>
      </c>
      <c r="Q340" s="85">
        <f>ROUND((IF(L340="Cafco 400",IF(M340="Idiem software",IF(AND(C340="IN",G340=4),((('CAFCO 400 '!$H$7*(J340^4)+'CAFCO 400 '!$H$8*(J340^3)+'CAFCO 400 '!$H$9*(J340^2)+'CAFCO 400 '!$H$10*J340+'CAFCO 400 '!$H$11)*I340^2)+(('CAFCO 400 '!$H$12*(J340^3)+'CAFCO 400 '!$H$13*(J340^2)+'CAFCO 400 '!$H$14*J340+'CAFCO 400 '!$H$15)*I340)+('CAFCO 400 '!$H$16*(J340^2)+'CAFCO 400 '!$H$17*J340+'CAFCO 400 '!$H$18)),0),0),0))+(IF(L340="Cafco 400",IF(M340="Idiem software",IF(C340="Cj",(((('CAFCO 400 '!$D$7*LN(J340)+'CAFCO 400 '!$D$8)*I340^2)+(('CAFCO 400 '!$D$9*LN(J340)+'CAFCO 400 '!$D$10)*I340)+('CAFCO 400 '!$D$11*LN(J340)+'CAFCO 400 '!$D$12))),0),0),0))+(IF(L340="Cafco 400",IF(M340="Idiem software",IF(C340="C",((('CAFCO 400 '!$L$7*(J340^3)+'CAFCO 400 '!$L$8*(J340^2)+'CAFCO 400 '!$L$9*J340+'CAFCO 400 '!$L$10)*I340^2)+(('CAFCO 400 '!$L$11*(J340^3)+'CAFCO 400 '!$L$12*(J340^2)+'CAFCO 400 '!$L$13*J340+'CAFCO 400 '!$L$14)*I340)+('CAFCO 400 '!$L$15*LN(J340)+'CAFCO 400 '!$L$16)),0),0),0))+(IF(L340="Cafco 400",IF(M340="Idiem software",IF(AND(C340="IN",G340=3),((('CAFCO 400 '!$D$23*(J340^2)+'CAFCO 400 '!$D$24*(J340)+'CAFCO 400 '!$D$25)*I340^2)+(('CAFCO 400 '!$D$26*(J340^2)+'CAFCO 400 '!$D$27*J340+'CAFCO 400 '!$D$28)*I340)+('CAFCO 400 '!$D$29*(J340^2)+'CAFCO 400 '!$D$30*J340+'CAFCO 400 '!$D$31)),0),0),0)),0)</f>
        <v>0</v>
      </c>
      <c r="R340" s="47">
        <f t="shared" si="40"/>
        <v>0</v>
      </c>
      <c r="S340" s="82">
        <f t="shared" si="37"/>
        <v>0</v>
      </c>
      <c r="T340" s="81">
        <f>+IF(AND(J340&gt;=95,J340&lt;=240),IF(AND(C340="Cj",I340=90),VLOOKUP(W340,'CAFCO 300 IDIEM TABLAS'!$B$4:$D$23,2,FALSE),0)+IF(AND(J340&gt;=95,J340&lt;=240),IF(AND(C340="Cj",I340=120),VLOOKUP(W340,'CAFCO 300 IDIEM TABLAS'!$B$4:$D$23,3,FALSE),0))+IF(AND(J340&gt;=95,J340&lt;=400,G340=3),IF(AND(C340="IN",I340=90),VLOOKUP(W340,'CAFCO 300 IDIEM TABLAS'!$F$4:$H$35,2,FALSE),0),0)+IF(AND(J340&gt;=95,J340&lt;=400,G340=3),IF(AND(C340="IN",I340=120),VLOOKUP(W340,'CAFCO 300 IDIEM TABLAS'!$F$4:$H$35,3,FALSE),0),0)+IF(AND(J340&gt;=95,J340&lt;=450,G340=4),IF(AND(C340="IN",I340=90),VLOOKUP(W340,'CAFCO 300 IDIEM TABLAS'!$J$4:$L$40,2,FALSE),0),0)+IF(AND(J340&gt;=95,J340&lt;=450,G340=4),IF(AND(C340="IN",I340=120),VLOOKUP(W340,'CAFCO 300 IDIEM TABLAS'!$J$4:$L$40,3,FALSE),0),0))</f>
        <v>17</v>
      </c>
      <c r="U340" s="48">
        <f t="shared" si="41"/>
        <v>34.464838921694479</v>
      </c>
      <c r="V340" s="82">
        <f t="shared" si="38"/>
        <v>517455.09157032089</v>
      </c>
      <c r="W340" s="64">
        <f>+IF(J340=LOOKUP(J340,'CAFCO 300 IDIEM TABLAS'!$J$4:$J$40),'HOJA DE CÁLCULO RESPALDO'!J340,MROUND('HOJA DE CÁLCULO RESPALDO'!J340,10))</f>
        <v>95</v>
      </c>
      <c r="X340" s="36"/>
      <c r="Y340" s="4"/>
    </row>
    <row r="341" spans="1:25" x14ac:dyDescent="0.25">
      <c r="A341" s="2" t="s">
        <v>53</v>
      </c>
      <c r="B341" s="3" t="s">
        <v>17</v>
      </c>
      <c r="C341" s="3" t="s">
        <v>19</v>
      </c>
      <c r="D341" s="3">
        <v>1</v>
      </c>
      <c r="E341" s="2">
        <v>1</v>
      </c>
      <c r="F341" s="8">
        <v>91778</v>
      </c>
      <c r="G341" s="1">
        <v>4</v>
      </c>
      <c r="H341" s="2">
        <v>1781</v>
      </c>
      <c r="I341" s="34">
        <v>90</v>
      </c>
      <c r="J341" s="11">
        <v>95</v>
      </c>
      <c r="K341" s="44">
        <f t="shared" si="35"/>
        <v>163.45661799999999</v>
      </c>
      <c r="L341" s="3" t="s">
        <v>61</v>
      </c>
      <c r="M341" s="3" t="s">
        <v>70</v>
      </c>
      <c r="N341" s="15">
        <f>ROUND((IF(L341="Blaze Shield II",IF(M341="Idiem software",IF(AND(C341="IN",G341=4),((('BLAZE SHIELD II'!$D$4*('HOJA DE CÁLCULO RESPALDO'!I341^2)+'BLAZE SHIELD II'!$D$5*'HOJA DE CÁLCULO RESPALDO'!I341+'BLAZE SHIELD II'!$D$6)*LN(J341))+('BLAZE SHIELD II'!$D$7*('HOJA DE CÁLCULO RESPALDO'!I341^2)+'BLAZE SHIELD II'!$D$8*'HOJA DE CÁLCULO RESPALDO'!I341+'BLAZE SHIELD II'!$D$9)),0),0),0))+(IF(L341="Blaze Shield II",IF(M341="Idiem software",IF(C341="Cj",((('BLAZE SHIELD II'!$H$4*('HOJA DE CÁLCULO RESPALDO'!I341^2)+'BLAZE SHIELD II'!$H$5*'HOJA DE CÁLCULO RESPALDO'!I341+'BLAZE SHIELD II'!$H$6)*LN(J341))+('BLAZE SHIELD II'!$H$7*('HOJA DE CÁLCULO RESPALDO'!I341^2)+'BLAZE SHIELD II'!$H$8*'HOJA DE CÁLCULO RESPALDO'!I341+'BLAZE SHIELD II'!$H$9)),0),0),0))+(IF(L341="Blaze Shield II",IF(M341="Idiem software",IF(C341="C",((('BLAZE SHIELD II'!$L$4*('HOJA DE CÁLCULO RESPALDO'!I341^2)+'BLAZE SHIELD II'!$L$5*'HOJA DE CÁLCULO RESPALDO'!I341+'BLAZE SHIELD II'!$L$6)*LN(J341))+('BLAZE SHIELD II'!$L$7*('HOJA DE CÁLCULO RESPALDO'!I341^2)+'BLAZE SHIELD II'!$L$8*'HOJA DE CÁLCULO RESPALDO'!I341+'BLAZE SHIELD II'!$L$9)),0),0),0))+(IF(L341="Blaze Shield II",IF(M341="Idiem software",IF(AND(C341="IN",G341=3),((('BLAZE SHIELD II'!$H$14*('HOJA DE CÁLCULO RESPALDO'!I341^2)+'BLAZE SHIELD II'!$H$15*'HOJA DE CÁLCULO RESPALDO'!I341+'BLAZE SHIELD II'!$H$16)*LN(J341))+('BLAZE SHIELD II'!$H$17*('HOJA DE CÁLCULO RESPALDO'!I341^2)+'BLAZE SHIELD II'!$H$18*'HOJA DE CÁLCULO RESPALDO'!I341+'BLAZE SHIELD II'!$H$19)),0),0),0)),0)</f>
        <v>0</v>
      </c>
      <c r="O341" s="46">
        <f t="shared" si="39"/>
        <v>0</v>
      </c>
      <c r="P341" s="80">
        <f t="shared" si="36"/>
        <v>0</v>
      </c>
      <c r="Q341" s="85">
        <f>ROUND((IF(L341="Cafco 400",IF(M341="Idiem software",IF(AND(C341="IN",G341=4),((('CAFCO 400 '!$H$7*(J341^4)+'CAFCO 400 '!$H$8*(J341^3)+'CAFCO 400 '!$H$9*(J341^2)+'CAFCO 400 '!$H$10*J341+'CAFCO 400 '!$H$11)*I341^2)+(('CAFCO 400 '!$H$12*(J341^3)+'CAFCO 400 '!$H$13*(J341^2)+'CAFCO 400 '!$H$14*J341+'CAFCO 400 '!$H$15)*I341)+('CAFCO 400 '!$H$16*(J341^2)+'CAFCO 400 '!$H$17*J341+'CAFCO 400 '!$H$18)),0),0),0))+(IF(L341="Cafco 400",IF(M341="Idiem software",IF(C341="Cj",(((('CAFCO 400 '!$D$7*LN(J341)+'CAFCO 400 '!$D$8)*I341^2)+(('CAFCO 400 '!$D$9*LN(J341)+'CAFCO 400 '!$D$10)*I341)+('CAFCO 400 '!$D$11*LN(J341)+'CAFCO 400 '!$D$12))),0),0),0))+(IF(L341="Cafco 400",IF(M341="Idiem software",IF(C341="C",((('CAFCO 400 '!$L$7*(J341^3)+'CAFCO 400 '!$L$8*(J341^2)+'CAFCO 400 '!$L$9*J341+'CAFCO 400 '!$L$10)*I341^2)+(('CAFCO 400 '!$L$11*(J341^3)+'CAFCO 400 '!$L$12*(J341^2)+'CAFCO 400 '!$L$13*J341+'CAFCO 400 '!$L$14)*I341)+('CAFCO 400 '!$L$15*LN(J341)+'CAFCO 400 '!$L$16)),0),0),0))+(IF(L341="Cafco 400",IF(M341="Idiem software",IF(AND(C341="IN",G341=3),((('CAFCO 400 '!$D$23*(J341^2)+'CAFCO 400 '!$D$24*(J341)+'CAFCO 400 '!$D$25)*I341^2)+(('CAFCO 400 '!$D$26*(J341^2)+'CAFCO 400 '!$D$27*J341+'CAFCO 400 '!$D$28)*I341)+('CAFCO 400 '!$D$29*(J341^2)+'CAFCO 400 '!$D$30*J341+'CAFCO 400 '!$D$31)),0),0),0)),0)</f>
        <v>0</v>
      </c>
      <c r="R341" s="47">
        <f t="shared" si="40"/>
        <v>0</v>
      </c>
      <c r="S341" s="82">
        <f t="shared" si="37"/>
        <v>0</v>
      </c>
      <c r="T341" s="81">
        <f>+IF(AND(J341&gt;=95,J341&lt;=240),IF(AND(C341="Cj",I341=90),VLOOKUP(W341,'CAFCO 300 IDIEM TABLAS'!$B$4:$D$23,2,FALSE),0)+IF(AND(J341&gt;=95,J341&lt;=240),IF(AND(C341="Cj",I341=120),VLOOKUP(W341,'CAFCO 300 IDIEM TABLAS'!$B$4:$D$23,3,FALSE),0))+IF(AND(J341&gt;=95,J341&lt;=400,G341=3),IF(AND(C341="IN",I341=90),VLOOKUP(W341,'CAFCO 300 IDIEM TABLAS'!$F$4:$H$35,2,FALSE),0),0)+IF(AND(J341&gt;=95,J341&lt;=400,G341=3),IF(AND(C341="IN",I341=120),VLOOKUP(W341,'CAFCO 300 IDIEM TABLAS'!$F$4:$H$35,3,FALSE),0),0)+IF(AND(J341&gt;=95,J341&lt;=450,G341=4),IF(AND(C341="IN",I341=90),VLOOKUP(W341,'CAFCO 300 IDIEM TABLAS'!$J$4:$L$40,2,FALSE),0),0)+IF(AND(J341&gt;=95,J341&lt;=450,G341=4),IF(AND(C341="IN",I341=120),VLOOKUP(W341,'CAFCO 300 IDIEM TABLAS'!$J$4:$L$40,3,FALSE),0),0))</f>
        <v>17</v>
      </c>
      <c r="U341" s="48">
        <f t="shared" si="41"/>
        <v>38.34620916495507</v>
      </c>
      <c r="V341" s="82">
        <f t="shared" si="38"/>
        <v>575729.98440263537</v>
      </c>
      <c r="W341" s="64">
        <f>+IF(J341=LOOKUP(J341,'CAFCO 300 IDIEM TABLAS'!$J$4:$J$40),'HOJA DE CÁLCULO RESPALDO'!J341,MROUND('HOJA DE CÁLCULO RESPALDO'!J341,10))</f>
        <v>95</v>
      </c>
      <c r="X341" s="36"/>
      <c r="Y341" s="4"/>
    </row>
    <row r="342" spans="1:25" ht="15.6" customHeight="1" x14ac:dyDescent="0.25">
      <c r="A342" s="2" t="s">
        <v>54</v>
      </c>
      <c r="B342" s="3" t="s">
        <v>17</v>
      </c>
      <c r="C342" s="3" t="s">
        <v>19</v>
      </c>
      <c r="D342" s="3">
        <v>1</v>
      </c>
      <c r="E342" s="2">
        <v>2</v>
      </c>
      <c r="F342" s="8">
        <v>12900</v>
      </c>
      <c r="G342" s="1">
        <v>4</v>
      </c>
      <c r="H342" s="2">
        <v>968</v>
      </c>
      <c r="I342" s="34">
        <v>90</v>
      </c>
      <c r="J342" s="11">
        <v>95</v>
      </c>
      <c r="K342" s="44">
        <f t="shared" si="35"/>
        <v>24.974399999999999</v>
      </c>
      <c r="L342" s="3" t="s">
        <v>61</v>
      </c>
      <c r="M342" s="3" t="s">
        <v>70</v>
      </c>
      <c r="N342" s="15">
        <f>ROUND((IF(L342="Blaze Shield II",IF(M342="Idiem software",IF(AND(C342="IN",G342=4),((('BLAZE SHIELD II'!$D$4*('HOJA DE CÁLCULO RESPALDO'!I342^2)+'BLAZE SHIELD II'!$D$5*'HOJA DE CÁLCULO RESPALDO'!I342+'BLAZE SHIELD II'!$D$6)*LN(J342))+('BLAZE SHIELD II'!$D$7*('HOJA DE CÁLCULO RESPALDO'!I342^2)+'BLAZE SHIELD II'!$D$8*'HOJA DE CÁLCULO RESPALDO'!I342+'BLAZE SHIELD II'!$D$9)),0),0),0))+(IF(L342="Blaze Shield II",IF(M342="Idiem software",IF(C342="Cj",((('BLAZE SHIELD II'!$H$4*('HOJA DE CÁLCULO RESPALDO'!I342^2)+'BLAZE SHIELD II'!$H$5*'HOJA DE CÁLCULO RESPALDO'!I342+'BLAZE SHIELD II'!$H$6)*LN(J342))+('BLAZE SHIELD II'!$H$7*('HOJA DE CÁLCULO RESPALDO'!I342^2)+'BLAZE SHIELD II'!$H$8*'HOJA DE CÁLCULO RESPALDO'!I342+'BLAZE SHIELD II'!$H$9)),0),0),0))+(IF(L342="Blaze Shield II",IF(M342="Idiem software",IF(C342="C",((('BLAZE SHIELD II'!$L$4*('HOJA DE CÁLCULO RESPALDO'!I342^2)+'BLAZE SHIELD II'!$L$5*'HOJA DE CÁLCULO RESPALDO'!I342+'BLAZE SHIELD II'!$L$6)*LN(J342))+('BLAZE SHIELD II'!$L$7*('HOJA DE CÁLCULO RESPALDO'!I342^2)+'BLAZE SHIELD II'!$L$8*'HOJA DE CÁLCULO RESPALDO'!I342+'BLAZE SHIELD II'!$L$9)),0),0),0))+(IF(L342="Blaze Shield II",IF(M342="Idiem software",IF(AND(C342="IN",G342=3),((('BLAZE SHIELD II'!$H$14*('HOJA DE CÁLCULO RESPALDO'!I342^2)+'BLAZE SHIELD II'!$H$15*'HOJA DE CÁLCULO RESPALDO'!I342+'BLAZE SHIELD II'!$H$16)*LN(J342))+('BLAZE SHIELD II'!$H$17*('HOJA DE CÁLCULO RESPALDO'!I342^2)+'BLAZE SHIELD II'!$H$18*'HOJA DE CÁLCULO RESPALDO'!I342+'BLAZE SHIELD II'!$H$19)),0),0),0)),0)</f>
        <v>0</v>
      </c>
      <c r="O342" s="46">
        <f t="shared" si="39"/>
        <v>0</v>
      </c>
      <c r="P342" s="80">
        <f t="shared" si="36"/>
        <v>0</v>
      </c>
      <c r="Q342" s="85">
        <f>ROUND((IF(L342="Cafco 400",IF(M342="Idiem software",IF(AND(C342="IN",G342=4),((('CAFCO 400 '!$H$7*(J342^4)+'CAFCO 400 '!$H$8*(J342^3)+'CAFCO 400 '!$H$9*(J342^2)+'CAFCO 400 '!$H$10*J342+'CAFCO 400 '!$H$11)*I342^2)+(('CAFCO 400 '!$H$12*(J342^3)+'CAFCO 400 '!$H$13*(J342^2)+'CAFCO 400 '!$H$14*J342+'CAFCO 400 '!$H$15)*I342)+('CAFCO 400 '!$H$16*(J342^2)+'CAFCO 400 '!$H$17*J342+'CAFCO 400 '!$H$18)),0),0),0))+(IF(L342="Cafco 400",IF(M342="Idiem software",IF(C342="Cj",(((('CAFCO 400 '!$D$7*LN(J342)+'CAFCO 400 '!$D$8)*I342^2)+(('CAFCO 400 '!$D$9*LN(J342)+'CAFCO 400 '!$D$10)*I342)+('CAFCO 400 '!$D$11*LN(J342)+'CAFCO 400 '!$D$12))),0),0),0))+(IF(L342="Cafco 400",IF(M342="Idiem software",IF(C342="C",((('CAFCO 400 '!$L$7*(J342^3)+'CAFCO 400 '!$L$8*(J342^2)+'CAFCO 400 '!$L$9*J342+'CAFCO 400 '!$L$10)*I342^2)+(('CAFCO 400 '!$L$11*(J342^3)+'CAFCO 400 '!$L$12*(J342^2)+'CAFCO 400 '!$L$13*J342+'CAFCO 400 '!$L$14)*I342)+('CAFCO 400 '!$L$15*LN(J342)+'CAFCO 400 '!$L$16)),0),0),0))+(IF(L342="Cafco 400",IF(M342="Idiem software",IF(AND(C342="IN",G342=3),((('CAFCO 400 '!$D$23*(J342^2)+'CAFCO 400 '!$D$24*(J342)+'CAFCO 400 '!$D$25)*I342^2)+(('CAFCO 400 '!$D$26*(J342^2)+'CAFCO 400 '!$D$27*J342+'CAFCO 400 '!$D$28)*I342)+('CAFCO 400 '!$D$29*(J342^2)+'CAFCO 400 '!$D$30*J342+'CAFCO 400 '!$D$31)),0),0),0)),0)</f>
        <v>0</v>
      </c>
      <c r="R342" s="47">
        <f t="shared" si="40"/>
        <v>0</v>
      </c>
      <c r="S342" s="82">
        <f t="shared" si="37"/>
        <v>0</v>
      </c>
      <c r="T342" s="81">
        <f>+IF(AND(J342&gt;=95,J342&lt;=240),IF(AND(C342="Cj",I342=90),VLOOKUP(W342,'CAFCO 300 IDIEM TABLAS'!$B$4:$D$23,2,FALSE),0)+IF(AND(J342&gt;=95,J342&lt;=240),IF(AND(C342="Cj",I342=120),VLOOKUP(W342,'CAFCO 300 IDIEM TABLAS'!$B$4:$D$23,3,FALSE),0))+IF(AND(J342&gt;=95,J342&lt;=400,G342=3),IF(AND(C342="IN",I342=90),VLOOKUP(W342,'CAFCO 300 IDIEM TABLAS'!$F$4:$H$35,2,FALSE),0),0)+IF(AND(J342&gt;=95,J342&lt;=400,G342=3),IF(AND(C342="IN",I342=120),VLOOKUP(W342,'CAFCO 300 IDIEM TABLAS'!$F$4:$H$35,3,FALSE),0),0)+IF(AND(J342&gt;=95,J342&lt;=450,G342=4),IF(AND(C342="IN",I342=90),VLOOKUP(W342,'CAFCO 300 IDIEM TABLAS'!$J$4:$L$40,2,FALSE),0),0)+IF(AND(J342&gt;=95,J342&lt;=450,G342=4),IF(AND(C342="IN",I342=120),VLOOKUP(W342,'CAFCO 300 IDIEM TABLAS'!$J$4:$L$40,3,FALSE),0),0))</f>
        <v>17</v>
      </c>
      <c r="U342" s="48">
        <f t="shared" si="41"/>
        <v>5.8588852374839533</v>
      </c>
      <c r="V342" s="82">
        <f t="shared" si="38"/>
        <v>87965.302955584077</v>
      </c>
      <c r="W342" s="64">
        <f>+IF(J342=LOOKUP(J342,'CAFCO 300 IDIEM TABLAS'!$J$4:$J$40),'HOJA DE CÁLCULO RESPALDO'!J342,MROUND('HOJA DE CÁLCULO RESPALDO'!J342,10))</f>
        <v>95</v>
      </c>
      <c r="X342" s="36"/>
      <c r="Y342" s="4"/>
    </row>
    <row r="343" spans="1:25" x14ac:dyDescent="0.25">
      <c r="A343" s="2" t="s">
        <v>54</v>
      </c>
      <c r="B343" s="3" t="s">
        <v>17</v>
      </c>
      <c r="C343" s="3" t="s">
        <v>19</v>
      </c>
      <c r="D343" s="3">
        <v>1</v>
      </c>
      <c r="E343" s="2">
        <v>1</v>
      </c>
      <c r="F343" s="8">
        <v>17971</v>
      </c>
      <c r="G343" s="1">
        <v>4</v>
      </c>
      <c r="H343" s="2">
        <v>2184</v>
      </c>
      <c r="I343" s="34">
        <v>90</v>
      </c>
      <c r="J343" s="11">
        <v>95</v>
      </c>
      <c r="K343" s="44">
        <f t="shared" si="35"/>
        <v>39.248663999999998</v>
      </c>
      <c r="L343" s="3" t="s">
        <v>61</v>
      </c>
      <c r="M343" s="3" t="s">
        <v>70</v>
      </c>
      <c r="N343" s="15">
        <f>ROUND((IF(L343="Blaze Shield II",IF(M343="Idiem software",IF(AND(C343="IN",G343=4),((('BLAZE SHIELD II'!$D$4*('HOJA DE CÁLCULO RESPALDO'!I343^2)+'BLAZE SHIELD II'!$D$5*'HOJA DE CÁLCULO RESPALDO'!I343+'BLAZE SHIELD II'!$D$6)*LN(J343))+('BLAZE SHIELD II'!$D$7*('HOJA DE CÁLCULO RESPALDO'!I343^2)+'BLAZE SHIELD II'!$D$8*'HOJA DE CÁLCULO RESPALDO'!I343+'BLAZE SHIELD II'!$D$9)),0),0),0))+(IF(L343="Blaze Shield II",IF(M343="Idiem software",IF(C343="Cj",((('BLAZE SHIELD II'!$H$4*('HOJA DE CÁLCULO RESPALDO'!I343^2)+'BLAZE SHIELD II'!$H$5*'HOJA DE CÁLCULO RESPALDO'!I343+'BLAZE SHIELD II'!$H$6)*LN(J343))+('BLAZE SHIELD II'!$H$7*('HOJA DE CÁLCULO RESPALDO'!I343^2)+'BLAZE SHIELD II'!$H$8*'HOJA DE CÁLCULO RESPALDO'!I343+'BLAZE SHIELD II'!$H$9)),0),0),0))+(IF(L343="Blaze Shield II",IF(M343="Idiem software",IF(C343="C",((('BLAZE SHIELD II'!$L$4*('HOJA DE CÁLCULO RESPALDO'!I343^2)+'BLAZE SHIELD II'!$L$5*'HOJA DE CÁLCULO RESPALDO'!I343+'BLAZE SHIELD II'!$L$6)*LN(J343))+('BLAZE SHIELD II'!$L$7*('HOJA DE CÁLCULO RESPALDO'!I343^2)+'BLAZE SHIELD II'!$L$8*'HOJA DE CÁLCULO RESPALDO'!I343+'BLAZE SHIELD II'!$L$9)),0),0),0))+(IF(L343="Blaze Shield II",IF(M343="Idiem software",IF(AND(C343="IN",G343=3),((('BLAZE SHIELD II'!$H$14*('HOJA DE CÁLCULO RESPALDO'!I343^2)+'BLAZE SHIELD II'!$H$15*'HOJA DE CÁLCULO RESPALDO'!I343+'BLAZE SHIELD II'!$H$16)*LN(J343))+('BLAZE SHIELD II'!$H$17*('HOJA DE CÁLCULO RESPALDO'!I343^2)+'BLAZE SHIELD II'!$H$18*'HOJA DE CÁLCULO RESPALDO'!I343+'BLAZE SHIELD II'!$H$19)),0),0),0)),0)</f>
        <v>0</v>
      </c>
      <c r="O343" s="46">
        <f t="shared" si="39"/>
        <v>0</v>
      </c>
      <c r="P343" s="80">
        <f t="shared" si="36"/>
        <v>0</v>
      </c>
      <c r="Q343" s="85">
        <f>ROUND((IF(L343="Cafco 400",IF(M343="Idiem software",IF(AND(C343="IN",G343=4),((('CAFCO 400 '!$H$7*(J343^4)+'CAFCO 400 '!$H$8*(J343^3)+'CAFCO 400 '!$H$9*(J343^2)+'CAFCO 400 '!$H$10*J343+'CAFCO 400 '!$H$11)*I343^2)+(('CAFCO 400 '!$H$12*(J343^3)+'CAFCO 400 '!$H$13*(J343^2)+'CAFCO 400 '!$H$14*J343+'CAFCO 400 '!$H$15)*I343)+('CAFCO 400 '!$H$16*(J343^2)+'CAFCO 400 '!$H$17*J343+'CAFCO 400 '!$H$18)),0),0),0))+(IF(L343="Cafco 400",IF(M343="Idiem software",IF(C343="Cj",(((('CAFCO 400 '!$D$7*LN(J343)+'CAFCO 400 '!$D$8)*I343^2)+(('CAFCO 400 '!$D$9*LN(J343)+'CAFCO 400 '!$D$10)*I343)+('CAFCO 400 '!$D$11*LN(J343)+'CAFCO 400 '!$D$12))),0),0),0))+(IF(L343="Cafco 400",IF(M343="Idiem software",IF(C343="C",((('CAFCO 400 '!$L$7*(J343^3)+'CAFCO 400 '!$L$8*(J343^2)+'CAFCO 400 '!$L$9*J343+'CAFCO 400 '!$L$10)*I343^2)+(('CAFCO 400 '!$L$11*(J343^3)+'CAFCO 400 '!$L$12*(J343^2)+'CAFCO 400 '!$L$13*J343+'CAFCO 400 '!$L$14)*I343)+('CAFCO 400 '!$L$15*LN(J343)+'CAFCO 400 '!$L$16)),0),0),0))+(IF(L343="Cafco 400",IF(M343="Idiem software",IF(AND(C343="IN",G343=3),((('CAFCO 400 '!$D$23*(J343^2)+'CAFCO 400 '!$D$24*(J343)+'CAFCO 400 '!$D$25)*I343^2)+(('CAFCO 400 '!$D$26*(J343^2)+'CAFCO 400 '!$D$27*J343+'CAFCO 400 '!$D$28)*I343)+('CAFCO 400 '!$D$29*(J343^2)+'CAFCO 400 '!$D$30*J343+'CAFCO 400 '!$D$31)),0),0),0)),0)</f>
        <v>0</v>
      </c>
      <c r="R343" s="47">
        <f t="shared" si="40"/>
        <v>0</v>
      </c>
      <c r="S343" s="82">
        <f t="shared" si="37"/>
        <v>0</v>
      </c>
      <c r="T343" s="81">
        <f>+IF(AND(J343&gt;=95,J343&lt;=240),IF(AND(C343="Cj",I343=90),VLOOKUP(W343,'CAFCO 300 IDIEM TABLAS'!$B$4:$D$23,2,FALSE),0)+IF(AND(J343&gt;=95,J343&lt;=240),IF(AND(C343="Cj",I343=120),VLOOKUP(W343,'CAFCO 300 IDIEM TABLAS'!$B$4:$D$23,3,FALSE),0))+IF(AND(J343&gt;=95,J343&lt;=400,G343=3),IF(AND(C343="IN",I343=90),VLOOKUP(W343,'CAFCO 300 IDIEM TABLAS'!$F$4:$H$35,2,FALSE),0),0)+IF(AND(J343&gt;=95,J343&lt;=400,G343=3),IF(AND(C343="IN",I343=120),VLOOKUP(W343,'CAFCO 300 IDIEM TABLAS'!$F$4:$H$35,3,FALSE),0),0)+IF(AND(J343&gt;=95,J343&lt;=450,G343=4),IF(AND(C343="IN",I343=90),VLOOKUP(W343,'CAFCO 300 IDIEM TABLAS'!$J$4:$L$40,2,FALSE),0),0)+IF(AND(J343&gt;=95,J343&lt;=450,G343=4),IF(AND(C343="IN",I343=120),VLOOKUP(W343,'CAFCO 300 IDIEM TABLAS'!$J$4:$L$40,3,FALSE),0),0))</f>
        <v>17</v>
      </c>
      <c r="U343" s="48">
        <f t="shared" si="41"/>
        <v>9.2075652708600764</v>
      </c>
      <c r="V343" s="82">
        <f t="shared" si="38"/>
        <v>138242.3849766932</v>
      </c>
      <c r="W343" s="64">
        <f>+IF(J343=LOOKUP(J343,'CAFCO 300 IDIEM TABLAS'!$J$4:$J$40),'HOJA DE CÁLCULO RESPALDO'!J343,MROUND('HOJA DE CÁLCULO RESPALDO'!J343,10))</f>
        <v>95</v>
      </c>
      <c r="X343" s="36"/>
      <c r="Y343" s="4"/>
    </row>
    <row r="344" spans="1:25" ht="15.6" customHeight="1" x14ac:dyDescent="0.25">
      <c r="A344" s="2" t="s">
        <v>55</v>
      </c>
      <c r="B344" s="3" t="s">
        <v>17</v>
      </c>
      <c r="C344" s="3" t="s">
        <v>19</v>
      </c>
      <c r="D344" s="3">
        <v>1</v>
      </c>
      <c r="E344" s="2">
        <v>1</v>
      </c>
      <c r="F344" s="8">
        <v>7759</v>
      </c>
      <c r="G344" s="1">
        <v>4</v>
      </c>
      <c r="H344" s="2">
        <v>785</v>
      </c>
      <c r="I344" s="34">
        <v>90</v>
      </c>
      <c r="J344" s="11">
        <v>95</v>
      </c>
      <c r="K344" s="44">
        <f t="shared" si="35"/>
        <v>6.0908150000000001</v>
      </c>
      <c r="L344" s="3" t="s">
        <v>61</v>
      </c>
      <c r="M344" s="3" t="s">
        <v>70</v>
      </c>
      <c r="N344" s="15">
        <f>ROUND((IF(L344="Blaze Shield II",IF(M344="Idiem software",IF(AND(C344="IN",G344=4),((('BLAZE SHIELD II'!$D$4*('HOJA DE CÁLCULO RESPALDO'!I344^2)+'BLAZE SHIELD II'!$D$5*'HOJA DE CÁLCULO RESPALDO'!I344+'BLAZE SHIELD II'!$D$6)*LN(J344))+('BLAZE SHIELD II'!$D$7*('HOJA DE CÁLCULO RESPALDO'!I344^2)+'BLAZE SHIELD II'!$D$8*'HOJA DE CÁLCULO RESPALDO'!I344+'BLAZE SHIELD II'!$D$9)),0),0),0))+(IF(L344="Blaze Shield II",IF(M344="Idiem software",IF(C344="Cj",((('BLAZE SHIELD II'!$H$4*('HOJA DE CÁLCULO RESPALDO'!I344^2)+'BLAZE SHIELD II'!$H$5*'HOJA DE CÁLCULO RESPALDO'!I344+'BLAZE SHIELD II'!$H$6)*LN(J344))+('BLAZE SHIELD II'!$H$7*('HOJA DE CÁLCULO RESPALDO'!I344^2)+'BLAZE SHIELD II'!$H$8*'HOJA DE CÁLCULO RESPALDO'!I344+'BLAZE SHIELD II'!$H$9)),0),0),0))+(IF(L344="Blaze Shield II",IF(M344="Idiem software",IF(C344="C",((('BLAZE SHIELD II'!$L$4*('HOJA DE CÁLCULO RESPALDO'!I344^2)+'BLAZE SHIELD II'!$L$5*'HOJA DE CÁLCULO RESPALDO'!I344+'BLAZE SHIELD II'!$L$6)*LN(J344))+('BLAZE SHIELD II'!$L$7*('HOJA DE CÁLCULO RESPALDO'!I344^2)+'BLAZE SHIELD II'!$L$8*'HOJA DE CÁLCULO RESPALDO'!I344+'BLAZE SHIELD II'!$L$9)),0),0),0))+(IF(L344="Blaze Shield II",IF(M344="Idiem software",IF(AND(C344="IN",G344=3),((('BLAZE SHIELD II'!$H$14*('HOJA DE CÁLCULO RESPALDO'!I344^2)+'BLAZE SHIELD II'!$H$15*'HOJA DE CÁLCULO RESPALDO'!I344+'BLAZE SHIELD II'!$H$16)*LN(J344))+('BLAZE SHIELD II'!$H$17*('HOJA DE CÁLCULO RESPALDO'!I344^2)+'BLAZE SHIELD II'!$H$18*'HOJA DE CÁLCULO RESPALDO'!I344+'BLAZE SHIELD II'!$H$19)),0),0),0)),0)</f>
        <v>0</v>
      </c>
      <c r="O344" s="46">
        <f t="shared" si="39"/>
        <v>0</v>
      </c>
      <c r="P344" s="80">
        <f t="shared" si="36"/>
        <v>0</v>
      </c>
      <c r="Q344" s="85">
        <f>ROUND((IF(L344="Cafco 400",IF(M344="Idiem software",IF(AND(C344="IN",G344=4),((('CAFCO 400 '!$H$7*(J344^4)+'CAFCO 400 '!$H$8*(J344^3)+'CAFCO 400 '!$H$9*(J344^2)+'CAFCO 400 '!$H$10*J344+'CAFCO 400 '!$H$11)*I344^2)+(('CAFCO 400 '!$H$12*(J344^3)+'CAFCO 400 '!$H$13*(J344^2)+'CAFCO 400 '!$H$14*J344+'CAFCO 400 '!$H$15)*I344)+('CAFCO 400 '!$H$16*(J344^2)+'CAFCO 400 '!$H$17*J344+'CAFCO 400 '!$H$18)),0),0),0))+(IF(L344="Cafco 400",IF(M344="Idiem software",IF(C344="Cj",(((('CAFCO 400 '!$D$7*LN(J344)+'CAFCO 400 '!$D$8)*I344^2)+(('CAFCO 400 '!$D$9*LN(J344)+'CAFCO 400 '!$D$10)*I344)+('CAFCO 400 '!$D$11*LN(J344)+'CAFCO 400 '!$D$12))),0),0),0))+(IF(L344="Cafco 400",IF(M344="Idiem software",IF(C344="C",((('CAFCO 400 '!$L$7*(J344^3)+'CAFCO 400 '!$L$8*(J344^2)+'CAFCO 400 '!$L$9*J344+'CAFCO 400 '!$L$10)*I344^2)+(('CAFCO 400 '!$L$11*(J344^3)+'CAFCO 400 '!$L$12*(J344^2)+'CAFCO 400 '!$L$13*J344+'CAFCO 400 '!$L$14)*I344)+('CAFCO 400 '!$L$15*LN(J344)+'CAFCO 400 '!$L$16)),0),0),0))+(IF(L344="Cafco 400",IF(M344="Idiem software",IF(AND(C344="IN",G344=3),((('CAFCO 400 '!$D$23*(J344^2)+'CAFCO 400 '!$D$24*(J344)+'CAFCO 400 '!$D$25)*I344^2)+(('CAFCO 400 '!$D$26*(J344^2)+'CAFCO 400 '!$D$27*J344+'CAFCO 400 '!$D$28)*I344)+('CAFCO 400 '!$D$29*(J344^2)+'CAFCO 400 '!$D$30*J344+'CAFCO 400 '!$D$31)),0),0),0)),0)</f>
        <v>0</v>
      </c>
      <c r="R344" s="47">
        <f t="shared" si="40"/>
        <v>0</v>
      </c>
      <c r="S344" s="82">
        <f t="shared" si="37"/>
        <v>0</v>
      </c>
      <c r="T344" s="81">
        <f>+IF(AND(J344&gt;=95,J344&lt;=240),IF(AND(C344="Cj",I344=90),VLOOKUP(W344,'CAFCO 300 IDIEM TABLAS'!$B$4:$D$23,2,FALSE),0)+IF(AND(J344&gt;=95,J344&lt;=240),IF(AND(C344="Cj",I344=120),VLOOKUP(W344,'CAFCO 300 IDIEM TABLAS'!$B$4:$D$23,3,FALSE),0))+IF(AND(J344&gt;=95,J344&lt;=400,G344=3),IF(AND(C344="IN",I344=90),VLOOKUP(W344,'CAFCO 300 IDIEM TABLAS'!$F$4:$H$35,2,FALSE),0),0)+IF(AND(J344&gt;=95,J344&lt;=400,G344=3),IF(AND(C344="IN",I344=120),VLOOKUP(W344,'CAFCO 300 IDIEM TABLAS'!$F$4:$H$35,3,FALSE),0),0)+IF(AND(J344&gt;=95,J344&lt;=450,G344=4),IF(AND(C344="IN",I344=90),VLOOKUP(W344,'CAFCO 300 IDIEM TABLAS'!$J$4:$L$40,2,FALSE),0),0)+IF(AND(J344&gt;=95,J344&lt;=450,G344=4),IF(AND(C344="IN",I344=120),VLOOKUP(W344,'CAFCO 300 IDIEM TABLAS'!$J$4:$L$40,3,FALSE),0),0))</f>
        <v>17</v>
      </c>
      <c r="U344" s="48">
        <f t="shared" si="41"/>
        <v>1.42887861521181</v>
      </c>
      <c r="V344" s="82">
        <f t="shared" si="38"/>
        <v>21453.183528790116</v>
      </c>
      <c r="W344" s="64">
        <f>+IF(J344=LOOKUP(J344,'CAFCO 300 IDIEM TABLAS'!$J$4:$J$40),'HOJA DE CÁLCULO RESPALDO'!J344,MROUND('HOJA DE CÁLCULO RESPALDO'!J344,10))</f>
        <v>95</v>
      </c>
      <c r="X344" s="36"/>
      <c r="Y344" s="4"/>
    </row>
    <row r="345" spans="1:25" x14ac:dyDescent="0.25">
      <c r="A345" s="2" t="s">
        <v>53</v>
      </c>
      <c r="B345" s="3" t="s">
        <v>17</v>
      </c>
      <c r="C345" s="3" t="s">
        <v>19</v>
      </c>
      <c r="D345" s="3">
        <v>1</v>
      </c>
      <c r="E345" s="2">
        <v>1</v>
      </c>
      <c r="F345" s="8">
        <v>7100</v>
      </c>
      <c r="G345" s="1">
        <v>4</v>
      </c>
      <c r="H345" s="2">
        <v>785</v>
      </c>
      <c r="I345" s="34">
        <v>90</v>
      </c>
      <c r="J345" s="11">
        <v>95</v>
      </c>
      <c r="K345" s="44">
        <f t="shared" si="35"/>
        <v>5.5735000000000001</v>
      </c>
      <c r="L345" s="3" t="s">
        <v>61</v>
      </c>
      <c r="M345" s="3" t="s">
        <v>70</v>
      </c>
      <c r="N345" s="15">
        <f>ROUND((IF(L345="Blaze Shield II",IF(M345="Idiem software",IF(AND(C345="IN",G345=4),((('BLAZE SHIELD II'!$D$4*('HOJA DE CÁLCULO RESPALDO'!I345^2)+'BLAZE SHIELD II'!$D$5*'HOJA DE CÁLCULO RESPALDO'!I345+'BLAZE SHIELD II'!$D$6)*LN(J345))+('BLAZE SHIELD II'!$D$7*('HOJA DE CÁLCULO RESPALDO'!I345^2)+'BLAZE SHIELD II'!$D$8*'HOJA DE CÁLCULO RESPALDO'!I345+'BLAZE SHIELD II'!$D$9)),0),0),0))+(IF(L345="Blaze Shield II",IF(M345="Idiem software",IF(C345="Cj",((('BLAZE SHIELD II'!$H$4*('HOJA DE CÁLCULO RESPALDO'!I345^2)+'BLAZE SHIELD II'!$H$5*'HOJA DE CÁLCULO RESPALDO'!I345+'BLAZE SHIELD II'!$H$6)*LN(J345))+('BLAZE SHIELD II'!$H$7*('HOJA DE CÁLCULO RESPALDO'!I345^2)+'BLAZE SHIELD II'!$H$8*'HOJA DE CÁLCULO RESPALDO'!I345+'BLAZE SHIELD II'!$H$9)),0),0),0))+(IF(L345="Blaze Shield II",IF(M345="Idiem software",IF(C345="C",((('BLAZE SHIELD II'!$L$4*('HOJA DE CÁLCULO RESPALDO'!I345^2)+'BLAZE SHIELD II'!$L$5*'HOJA DE CÁLCULO RESPALDO'!I345+'BLAZE SHIELD II'!$L$6)*LN(J345))+('BLAZE SHIELD II'!$L$7*('HOJA DE CÁLCULO RESPALDO'!I345^2)+'BLAZE SHIELD II'!$L$8*'HOJA DE CÁLCULO RESPALDO'!I345+'BLAZE SHIELD II'!$L$9)),0),0),0))+(IF(L345="Blaze Shield II",IF(M345="Idiem software",IF(AND(C345="IN",G345=3),((('BLAZE SHIELD II'!$H$14*('HOJA DE CÁLCULO RESPALDO'!I345^2)+'BLAZE SHIELD II'!$H$15*'HOJA DE CÁLCULO RESPALDO'!I345+'BLAZE SHIELD II'!$H$16)*LN(J345))+('BLAZE SHIELD II'!$H$17*('HOJA DE CÁLCULO RESPALDO'!I345^2)+'BLAZE SHIELD II'!$H$18*'HOJA DE CÁLCULO RESPALDO'!I345+'BLAZE SHIELD II'!$H$19)),0),0),0)),0)</f>
        <v>0</v>
      </c>
      <c r="O345" s="46">
        <f t="shared" si="39"/>
        <v>0</v>
      </c>
      <c r="P345" s="80">
        <f t="shared" si="36"/>
        <v>0</v>
      </c>
      <c r="Q345" s="85">
        <f>ROUND((IF(L345="Cafco 400",IF(M345="Idiem software",IF(AND(C345="IN",G345=4),((('CAFCO 400 '!$H$7*(J345^4)+'CAFCO 400 '!$H$8*(J345^3)+'CAFCO 400 '!$H$9*(J345^2)+'CAFCO 400 '!$H$10*J345+'CAFCO 400 '!$H$11)*I345^2)+(('CAFCO 400 '!$H$12*(J345^3)+'CAFCO 400 '!$H$13*(J345^2)+'CAFCO 400 '!$H$14*J345+'CAFCO 400 '!$H$15)*I345)+('CAFCO 400 '!$H$16*(J345^2)+'CAFCO 400 '!$H$17*J345+'CAFCO 400 '!$H$18)),0),0),0))+(IF(L345="Cafco 400",IF(M345="Idiem software",IF(C345="Cj",(((('CAFCO 400 '!$D$7*LN(J345)+'CAFCO 400 '!$D$8)*I345^2)+(('CAFCO 400 '!$D$9*LN(J345)+'CAFCO 400 '!$D$10)*I345)+('CAFCO 400 '!$D$11*LN(J345)+'CAFCO 400 '!$D$12))),0),0),0))+(IF(L345="Cafco 400",IF(M345="Idiem software",IF(C345="C",((('CAFCO 400 '!$L$7*(J345^3)+'CAFCO 400 '!$L$8*(J345^2)+'CAFCO 400 '!$L$9*J345+'CAFCO 400 '!$L$10)*I345^2)+(('CAFCO 400 '!$L$11*(J345^3)+'CAFCO 400 '!$L$12*(J345^2)+'CAFCO 400 '!$L$13*J345+'CAFCO 400 '!$L$14)*I345)+('CAFCO 400 '!$L$15*LN(J345)+'CAFCO 400 '!$L$16)),0),0),0))+(IF(L345="Cafco 400",IF(M345="Idiem software",IF(AND(C345="IN",G345=3),((('CAFCO 400 '!$D$23*(J345^2)+'CAFCO 400 '!$D$24*(J345)+'CAFCO 400 '!$D$25)*I345^2)+(('CAFCO 400 '!$D$26*(J345^2)+'CAFCO 400 '!$D$27*J345+'CAFCO 400 '!$D$28)*I345)+('CAFCO 400 '!$D$29*(J345^2)+'CAFCO 400 '!$D$30*J345+'CAFCO 400 '!$D$31)),0),0),0)),0)</f>
        <v>0</v>
      </c>
      <c r="R345" s="47">
        <f t="shared" si="40"/>
        <v>0</v>
      </c>
      <c r="S345" s="82">
        <f t="shared" si="37"/>
        <v>0</v>
      </c>
      <c r="T345" s="81">
        <f>+IF(AND(J345&gt;=95,J345&lt;=240),IF(AND(C345="Cj",I345=90),VLOOKUP(W345,'CAFCO 300 IDIEM TABLAS'!$B$4:$D$23,2,FALSE),0)+IF(AND(J345&gt;=95,J345&lt;=240),IF(AND(C345="Cj",I345=120),VLOOKUP(W345,'CAFCO 300 IDIEM TABLAS'!$B$4:$D$23,3,FALSE),0))+IF(AND(J345&gt;=95,J345&lt;=400,G345=3),IF(AND(C345="IN",I345=90),VLOOKUP(W345,'CAFCO 300 IDIEM TABLAS'!$F$4:$H$35,2,FALSE),0),0)+IF(AND(J345&gt;=95,J345&lt;=400,G345=3),IF(AND(C345="IN",I345=120),VLOOKUP(W345,'CAFCO 300 IDIEM TABLAS'!$F$4:$H$35,3,FALSE),0),0)+IF(AND(J345&gt;=95,J345&lt;=450,G345=4),IF(AND(C345="IN",I345=90),VLOOKUP(W345,'CAFCO 300 IDIEM TABLAS'!$J$4:$L$40,2,FALSE),0),0)+IF(AND(J345&gt;=95,J345&lt;=450,G345=4),IF(AND(C345="IN",I345=120),VLOOKUP(W345,'CAFCO 300 IDIEM TABLAS'!$J$4:$L$40,3,FALSE),0),0))</f>
        <v>17</v>
      </c>
      <c r="U345" s="48">
        <f t="shared" si="41"/>
        <v>1.3075187740693195</v>
      </c>
      <c r="V345" s="82">
        <f t="shared" si="38"/>
        <v>19631.086873876764</v>
      </c>
      <c r="W345" s="64">
        <f>+IF(J345=LOOKUP(J345,'CAFCO 300 IDIEM TABLAS'!$J$4:$J$40),'HOJA DE CÁLCULO RESPALDO'!J345,MROUND('HOJA DE CÁLCULO RESPALDO'!J345,10))</f>
        <v>95</v>
      </c>
      <c r="X345" s="36"/>
      <c r="Y345" s="4"/>
    </row>
    <row r="346" spans="1:25" ht="15.6" customHeight="1" x14ac:dyDescent="0.25">
      <c r="A346" s="2" t="s">
        <v>54</v>
      </c>
      <c r="B346" s="3" t="s">
        <v>17</v>
      </c>
      <c r="C346" s="3" t="s">
        <v>19</v>
      </c>
      <c r="D346" s="3">
        <v>1</v>
      </c>
      <c r="E346" s="2">
        <v>1</v>
      </c>
      <c r="F346" s="8">
        <v>19050</v>
      </c>
      <c r="G346" s="1">
        <v>4</v>
      </c>
      <c r="H346" s="2">
        <v>1185</v>
      </c>
      <c r="I346" s="34">
        <v>90</v>
      </c>
      <c r="J346" s="11">
        <v>95</v>
      </c>
      <c r="K346" s="44">
        <f t="shared" si="35"/>
        <v>22.574249999999999</v>
      </c>
      <c r="L346" s="3" t="s">
        <v>61</v>
      </c>
      <c r="M346" s="3" t="s">
        <v>70</v>
      </c>
      <c r="N346" s="15">
        <f>ROUND((IF(L346="Blaze Shield II",IF(M346="Idiem software",IF(AND(C346="IN",G346=4),((('BLAZE SHIELD II'!$D$4*('HOJA DE CÁLCULO RESPALDO'!I346^2)+'BLAZE SHIELD II'!$D$5*'HOJA DE CÁLCULO RESPALDO'!I346+'BLAZE SHIELD II'!$D$6)*LN(J346))+('BLAZE SHIELD II'!$D$7*('HOJA DE CÁLCULO RESPALDO'!I346^2)+'BLAZE SHIELD II'!$D$8*'HOJA DE CÁLCULO RESPALDO'!I346+'BLAZE SHIELD II'!$D$9)),0),0),0))+(IF(L346="Blaze Shield II",IF(M346="Idiem software",IF(C346="Cj",((('BLAZE SHIELD II'!$H$4*('HOJA DE CÁLCULO RESPALDO'!I346^2)+'BLAZE SHIELD II'!$H$5*'HOJA DE CÁLCULO RESPALDO'!I346+'BLAZE SHIELD II'!$H$6)*LN(J346))+('BLAZE SHIELD II'!$H$7*('HOJA DE CÁLCULO RESPALDO'!I346^2)+'BLAZE SHIELD II'!$H$8*'HOJA DE CÁLCULO RESPALDO'!I346+'BLAZE SHIELD II'!$H$9)),0),0),0))+(IF(L346="Blaze Shield II",IF(M346="Idiem software",IF(C346="C",((('BLAZE SHIELD II'!$L$4*('HOJA DE CÁLCULO RESPALDO'!I346^2)+'BLAZE SHIELD II'!$L$5*'HOJA DE CÁLCULO RESPALDO'!I346+'BLAZE SHIELD II'!$L$6)*LN(J346))+('BLAZE SHIELD II'!$L$7*('HOJA DE CÁLCULO RESPALDO'!I346^2)+'BLAZE SHIELD II'!$L$8*'HOJA DE CÁLCULO RESPALDO'!I346+'BLAZE SHIELD II'!$L$9)),0),0),0))+(IF(L346="Blaze Shield II",IF(M346="Idiem software",IF(AND(C346="IN",G346=3),((('BLAZE SHIELD II'!$H$14*('HOJA DE CÁLCULO RESPALDO'!I346^2)+'BLAZE SHIELD II'!$H$15*'HOJA DE CÁLCULO RESPALDO'!I346+'BLAZE SHIELD II'!$H$16)*LN(J346))+('BLAZE SHIELD II'!$H$17*('HOJA DE CÁLCULO RESPALDO'!I346^2)+'BLAZE SHIELD II'!$H$18*'HOJA DE CÁLCULO RESPALDO'!I346+'BLAZE SHIELD II'!$H$19)),0),0),0)),0)</f>
        <v>0</v>
      </c>
      <c r="O346" s="46">
        <f t="shared" si="39"/>
        <v>0</v>
      </c>
      <c r="P346" s="80">
        <f t="shared" si="36"/>
        <v>0</v>
      </c>
      <c r="Q346" s="85">
        <f>ROUND((IF(L346="Cafco 400",IF(M346="Idiem software",IF(AND(C346="IN",G346=4),((('CAFCO 400 '!$H$7*(J346^4)+'CAFCO 400 '!$H$8*(J346^3)+'CAFCO 400 '!$H$9*(J346^2)+'CAFCO 400 '!$H$10*J346+'CAFCO 400 '!$H$11)*I346^2)+(('CAFCO 400 '!$H$12*(J346^3)+'CAFCO 400 '!$H$13*(J346^2)+'CAFCO 400 '!$H$14*J346+'CAFCO 400 '!$H$15)*I346)+('CAFCO 400 '!$H$16*(J346^2)+'CAFCO 400 '!$H$17*J346+'CAFCO 400 '!$H$18)),0),0),0))+(IF(L346="Cafco 400",IF(M346="Idiem software",IF(C346="Cj",(((('CAFCO 400 '!$D$7*LN(J346)+'CAFCO 400 '!$D$8)*I346^2)+(('CAFCO 400 '!$D$9*LN(J346)+'CAFCO 400 '!$D$10)*I346)+('CAFCO 400 '!$D$11*LN(J346)+'CAFCO 400 '!$D$12))),0),0),0))+(IF(L346="Cafco 400",IF(M346="Idiem software",IF(C346="C",((('CAFCO 400 '!$L$7*(J346^3)+'CAFCO 400 '!$L$8*(J346^2)+'CAFCO 400 '!$L$9*J346+'CAFCO 400 '!$L$10)*I346^2)+(('CAFCO 400 '!$L$11*(J346^3)+'CAFCO 400 '!$L$12*(J346^2)+'CAFCO 400 '!$L$13*J346+'CAFCO 400 '!$L$14)*I346)+('CAFCO 400 '!$L$15*LN(J346)+'CAFCO 400 '!$L$16)),0),0),0))+(IF(L346="Cafco 400",IF(M346="Idiem software",IF(AND(C346="IN",G346=3),((('CAFCO 400 '!$D$23*(J346^2)+'CAFCO 400 '!$D$24*(J346)+'CAFCO 400 '!$D$25)*I346^2)+(('CAFCO 400 '!$D$26*(J346^2)+'CAFCO 400 '!$D$27*J346+'CAFCO 400 '!$D$28)*I346)+('CAFCO 400 '!$D$29*(J346^2)+'CAFCO 400 '!$D$30*J346+'CAFCO 400 '!$D$31)),0),0),0)),0)</f>
        <v>0</v>
      </c>
      <c r="R346" s="47">
        <f t="shared" si="40"/>
        <v>0</v>
      </c>
      <c r="S346" s="82">
        <f t="shared" si="37"/>
        <v>0</v>
      </c>
      <c r="T346" s="81">
        <f>+IF(AND(J346&gt;=95,J346&lt;=240),IF(AND(C346="Cj",I346=90),VLOOKUP(W346,'CAFCO 300 IDIEM TABLAS'!$B$4:$D$23,2,FALSE),0)+IF(AND(J346&gt;=95,J346&lt;=240),IF(AND(C346="Cj",I346=120),VLOOKUP(W346,'CAFCO 300 IDIEM TABLAS'!$B$4:$D$23,3,FALSE),0))+IF(AND(J346&gt;=95,J346&lt;=400,G346=3),IF(AND(C346="IN",I346=90),VLOOKUP(W346,'CAFCO 300 IDIEM TABLAS'!$F$4:$H$35,2,FALSE),0),0)+IF(AND(J346&gt;=95,J346&lt;=400,G346=3),IF(AND(C346="IN",I346=120),VLOOKUP(W346,'CAFCO 300 IDIEM TABLAS'!$F$4:$H$35,3,FALSE),0),0)+IF(AND(J346&gt;=95,J346&lt;=450,G346=4),IF(AND(C346="IN",I346=90),VLOOKUP(W346,'CAFCO 300 IDIEM TABLAS'!$J$4:$L$40,2,FALSE),0),0)+IF(AND(J346&gt;=95,J346&lt;=450,G346=4),IF(AND(C346="IN",I346=120),VLOOKUP(W346,'CAFCO 300 IDIEM TABLAS'!$J$4:$L$40,3,FALSE),0),0))</f>
        <v>17</v>
      </c>
      <c r="U346" s="48">
        <f t="shared" si="41"/>
        <v>5.2958205231065465</v>
      </c>
      <c r="V346" s="82">
        <f t="shared" si="38"/>
        <v>79511.449333921686</v>
      </c>
      <c r="W346" s="64">
        <f>+IF(J346=LOOKUP(J346,'CAFCO 300 IDIEM TABLAS'!$J$4:$J$40),'HOJA DE CÁLCULO RESPALDO'!J346,MROUND('HOJA DE CÁLCULO RESPALDO'!J346,10))</f>
        <v>95</v>
      </c>
      <c r="X346" s="36"/>
      <c r="Y346" s="4"/>
    </row>
    <row r="347" spans="1:25" x14ac:dyDescent="0.25">
      <c r="A347" s="2" t="s">
        <v>56</v>
      </c>
      <c r="B347" s="3" t="s">
        <v>17</v>
      </c>
      <c r="C347" s="3" t="s">
        <v>19</v>
      </c>
      <c r="D347" s="3">
        <v>1</v>
      </c>
      <c r="E347" s="2">
        <v>1</v>
      </c>
      <c r="F347" s="8">
        <v>4255</v>
      </c>
      <c r="G347" s="1">
        <v>4</v>
      </c>
      <c r="H347" s="2">
        <v>1185</v>
      </c>
      <c r="I347" s="34">
        <v>90</v>
      </c>
      <c r="J347" s="11">
        <v>95</v>
      </c>
      <c r="K347" s="44">
        <f t="shared" si="35"/>
        <v>5.0421750000000003</v>
      </c>
      <c r="L347" s="3" t="s">
        <v>61</v>
      </c>
      <c r="M347" s="3" t="s">
        <v>70</v>
      </c>
      <c r="N347" s="15">
        <f>ROUND((IF(L347="Blaze Shield II",IF(M347="Idiem software",IF(AND(C347="IN",G347=4),((('BLAZE SHIELD II'!$D$4*('HOJA DE CÁLCULO RESPALDO'!I347^2)+'BLAZE SHIELD II'!$D$5*'HOJA DE CÁLCULO RESPALDO'!I347+'BLAZE SHIELD II'!$D$6)*LN(J347))+('BLAZE SHIELD II'!$D$7*('HOJA DE CÁLCULO RESPALDO'!I347^2)+'BLAZE SHIELD II'!$D$8*'HOJA DE CÁLCULO RESPALDO'!I347+'BLAZE SHIELD II'!$D$9)),0),0),0))+(IF(L347="Blaze Shield II",IF(M347="Idiem software",IF(C347="Cj",((('BLAZE SHIELD II'!$H$4*('HOJA DE CÁLCULO RESPALDO'!I347^2)+'BLAZE SHIELD II'!$H$5*'HOJA DE CÁLCULO RESPALDO'!I347+'BLAZE SHIELD II'!$H$6)*LN(J347))+('BLAZE SHIELD II'!$H$7*('HOJA DE CÁLCULO RESPALDO'!I347^2)+'BLAZE SHIELD II'!$H$8*'HOJA DE CÁLCULO RESPALDO'!I347+'BLAZE SHIELD II'!$H$9)),0),0),0))+(IF(L347="Blaze Shield II",IF(M347="Idiem software",IF(C347="C",((('BLAZE SHIELD II'!$L$4*('HOJA DE CÁLCULO RESPALDO'!I347^2)+'BLAZE SHIELD II'!$L$5*'HOJA DE CÁLCULO RESPALDO'!I347+'BLAZE SHIELD II'!$L$6)*LN(J347))+('BLAZE SHIELD II'!$L$7*('HOJA DE CÁLCULO RESPALDO'!I347^2)+'BLAZE SHIELD II'!$L$8*'HOJA DE CÁLCULO RESPALDO'!I347+'BLAZE SHIELD II'!$L$9)),0),0),0))+(IF(L347="Blaze Shield II",IF(M347="Idiem software",IF(AND(C347="IN",G347=3),((('BLAZE SHIELD II'!$H$14*('HOJA DE CÁLCULO RESPALDO'!I347^2)+'BLAZE SHIELD II'!$H$15*'HOJA DE CÁLCULO RESPALDO'!I347+'BLAZE SHIELD II'!$H$16)*LN(J347))+('BLAZE SHIELD II'!$H$17*('HOJA DE CÁLCULO RESPALDO'!I347^2)+'BLAZE SHIELD II'!$H$18*'HOJA DE CÁLCULO RESPALDO'!I347+'BLAZE SHIELD II'!$H$19)),0),0),0)),0)</f>
        <v>0</v>
      </c>
      <c r="O347" s="46">
        <f t="shared" si="39"/>
        <v>0</v>
      </c>
      <c r="P347" s="80">
        <f t="shared" si="36"/>
        <v>0</v>
      </c>
      <c r="Q347" s="85">
        <f>ROUND((IF(L347="Cafco 400",IF(M347="Idiem software",IF(AND(C347="IN",G347=4),((('CAFCO 400 '!$H$7*(J347^4)+'CAFCO 400 '!$H$8*(J347^3)+'CAFCO 400 '!$H$9*(J347^2)+'CAFCO 400 '!$H$10*J347+'CAFCO 400 '!$H$11)*I347^2)+(('CAFCO 400 '!$H$12*(J347^3)+'CAFCO 400 '!$H$13*(J347^2)+'CAFCO 400 '!$H$14*J347+'CAFCO 400 '!$H$15)*I347)+('CAFCO 400 '!$H$16*(J347^2)+'CAFCO 400 '!$H$17*J347+'CAFCO 400 '!$H$18)),0),0),0))+(IF(L347="Cafco 400",IF(M347="Idiem software",IF(C347="Cj",(((('CAFCO 400 '!$D$7*LN(J347)+'CAFCO 400 '!$D$8)*I347^2)+(('CAFCO 400 '!$D$9*LN(J347)+'CAFCO 400 '!$D$10)*I347)+('CAFCO 400 '!$D$11*LN(J347)+'CAFCO 400 '!$D$12))),0),0),0))+(IF(L347="Cafco 400",IF(M347="Idiem software",IF(C347="C",((('CAFCO 400 '!$L$7*(J347^3)+'CAFCO 400 '!$L$8*(J347^2)+'CAFCO 400 '!$L$9*J347+'CAFCO 400 '!$L$10)*I347^2)+(('CAFCO 400 '!$L$11*(J347^3)+'CAFCO 400 '!$L$12*(J347^2)+'CAFCO 400 '!$L$13*J347+'CAFCO 400 '!$L$14)*I347)+('CAFCO 400 '!$L$15*LN(J347)+'CAFCO 400 '!$L$16)),0),0),0))+(IF(L347="Cafco 400",IF(M347="Idiem software",IF(AND(C347="IN",G347=3),((('CAFCO 400 '!$D$23*(J347^2)+'CAFCO 400 '!$D$24*(J347)+'CAFCO 400 '!$D$25)*I347^2)+(('CAFCO 400 '!$D$26*(J347^2)+'CAFCO 400 '!$D$27*J347+'CAFCO 400 '!$D$28)*I347)+('CAFCO 400 '!$D$29*(J347^2)+'CAFCO 400 '!$D$30*J347+'CAFCO 400 '!$D$31)),0),0),0)),0)</f>
        <v>0</v>
      </c>
      <c r="R347" s="47">
        <f t="shared" si="40"/>
        <v>0</v>
      </c>
      <c r="S347" s="82">
        <f t="shared" si="37"/>
        <v>0</v>
      </c>
      <c r="T347" s="81">
        <f>+IF(AND(J347&gt;=95,J347&lt;=240),IF(AND(C347="Cj",I347=90),VLOOKUP(W347,'CAFCO 300 IDIEM TABLAS'!$B$4:$D$23,2,FALSE),0)+IF(AND(J347&gt;=95,J347&lt;=240),IF(AND(C347="Cj",I347=120),VLOOKUP(W347,'CAFCO 300 IDIEM TABLAS'!$B$4:$D$23,3,FALSE),0))+IF(AND(J347&gt;=95,J347&lt;=400,G347=3),IF(AND(C347="IN",I347=90),VLOOKUP(W347,'CAFCO 300 IDIEM TABLAS'!$F$4:$H$35,2,FALSE),0),0)+IF(AND(J347&gt;=95,J347&lt;=400,G347=3),IF(AND(C347="IN",I347=120),VLOOKUP(W347,'CAFCO 300 IDIEM TABLAS'!$F$4:$H$35,3,FALSE),0),0)+IF(AND(J347&gt;=95,J347&lt;=450,G347=4),IF(AND(C347="IN",I347=90),VLOOKUP(W347,'CAFCO 300 IDIEM TABLAS'!$J$4:$L$40,2,FALSE),0),0)+IF(AND(J347&gt;=95,J347&lt;=450,G347=4),IF(AND(C347="IN",I347=120),VLOOKUP(W347,'CAFCO 300 IDIEM TABLAS'!$J$4:$L$40,3,FALSE),0),0))</f>
        <v>17</v>
      </c>
      <c r="U347" s="48">
        <f t="shared" si="41"/>
        <v>1.1828722480744545</v>
      </c>
      <c r="V347" s="82">
        <f t="shared" si="38"/>
        <v>17759.643932589861</v>
      </c>
      <c r="W347" s="64">
        <f>+IF(J347=LOOKUP(J347,'CAFCO 300 IDIEM TABLAS'!$J$4:$J$40),'HOJA DE CÁLCULO RESPALDO'!J347,MROUND('HOJA DE CÁLCULO RESPALDO'!J347,10))</f>
        <v>95</v>
      </c>
      <c r="X347" s="36"/>
      <c r="Y347" s="4"/>
    </row>
    <row r="348" spans="1:25" ht="15.6" customHeight="1" x14ac:dyDescent="0.25">
      <c r="A348" s="2" t="s">
        <v>12</v>
      </c>
      <c r="B348" s="2"/>
      <c r="C348" s="3" t="s">
        <v>19</v>
      </c>
      <c r="D348" s="3">
        <v>1</v>
      </c>
      <c r="E348" s="2">
        <v>1</v>
      </c>
      <c r="F348" s="8">
        <v>89250</v>
      </c>
      <c r="G348" s="1">
        <v>4</v>
      </c>
      <c r="H348" s="2">
        <v>1190</v>
      </c>
      <c r="I348" s="34">
        <v>90</v>
      </c>
      <c r="J348" s="11">
        <v>95</v>
      </c>
      <c r="K348" s="44">
        <f t="shared" si="35"/>
        <v>106.2075</v>
      </c>
      <c r="L348" s="3" t="s">
        <v>61</v>
      </c>
      <c r="M348" s="3" t="s">
        <v>70</v>
      </c>
      <c r="N348" s="15">
        <f>ROUND((IF(L348="Blaze Shield II",IF(M348="Idiem software",IF(AND(C348="IN",G348=4),((('BLAZE SHIELD II'!$D$4*('HOJA DE CÁLCULO RESPALDO'!I348^2)+'BLAZE SHIELD II'!$D$5*'HOJA DE CÁLCULO RESPALDO'!I348+'BLAZE SHIELD II'!$D$6)*LN(J348))+('BLAZE SHIELD II'!$D$7*('HOJA DE CÁLCULO RESPALDO'!I348^2)+'BLAZE SHIELD II'!$D$8*'HOJA DE CÁLCULO RESPALDO'!I348+'BLAZE SHIELD II'!$D$9)),0),0),0))+(IF(L348="Blaze Shield II",IF(M348="Idiem software",IF(C348="Cj",((('BLAZE SHIELD II'!$H$4*('HOJA DE CÁLCULO RESPALDO'!I348^2)+'BLAZE SHIELD II'!$H$5*'HOJA DE CÁLCULO RESPALDO'!I348+'BLAZE SHIELD II'!$H$6)*LN(J348))+('BLAZE SHIELD II'!$H$7*('HOJA DE CÁLCULO RESPALDO'!I348^2)+'BLAZE SHIELD II'!$H$8*'HOJA DE CÁLCULO RESPALDO'!I348+'BLAZE SHIELD II'!$H$9)),0),0),0))+(IF(L348="Blaze Shield II",IF(M348="Idiem software",IF(C348="C",((('BLAZE SHIELD II'!$L$4*('HOJA DE CÁLCULO RESPALDO'!I348^2)+'BLAZE SHIELD II'!$L$5*'HOJA DE CÁLCULO RESPALDO'!I348+'BLAZE SHIELD II'!$L$6)*LN(J348))+('BLAZE SHIELD II'!$L$7*('HOJA DE CÁLCULO RESPALDO'!I348^2)+'BLAZE SHIELD II'!$L$8*'HOJA DE CÁLCULO RESPALDO'!I348+'BLAZE SHIELD II'!$L$9)),0),0),0))+(IF(L348="Blaze Shield II",IF(M348="Idiem software",IF(AND(C348="IN",G348=3),((('BLAZE SHIELD II'!$H$14*('HOJA DE CÁLCULO RESPALDO'!I348^2)+'BLAZE SHIELD II'!$H$15*'HOJA DE CÁLCULO RESPALDO'!I348+'BLAZE SHIELD II'!$H$16)*LN(J348))+('BLAZE SHIELD II'!$H$17*('HOJA DE CÁLCULO RESPALDO'!I348^2)+'BLAZE SHIELD II'!$H$18*'HOJA DE CÁLCULO RESPALDO'!I348+'BLAZE SHIELD II'!$H$19)),0),0),0)),0)</f>
        <v>0</v>
      </c>
      <c r="O348" s="46">
        <f t="shared" si="39"/>
        <v>0</v>
      </c>
      <c r="P348" s="80">
        <f t="shared" si="36"/>
        <v>0</v>
      </c>
      <c r="Q348" s="85">
        <f>ROUND((IF(L348="Cafco 400",IF(M348="Idiem software",IF(AND(C348="IN",G348=4),((('CAFCO 400 '!$H$7*(J348^4)+'CAFCO 400 '!$H$8*(J348^3)+'CAFCO 400 '!$H$9*(J348^2)+'CAFCO 400 '!$H$10*J348+'CAFCO 400 '!$H$11)*I348^2)+(('CAFCO 400 '!$H$12*(J348^3)+'CAFCO 400 '!$H$13*(J348^2)+'CAFCO 400 '!$H$14*J348+'CAFCO 400 '!$H$15)*I348)+('CAFCO 400 '!$H$16*(J348^2)+'CAFCO 400 '!$H$17*J348+'CAFCO 400 '!$H$18)),0),0),0))+(IF(L348="Cafco 400",IF(M348="Idiem software",IF(C348="Cj",(((('CAFCO 400 '!$D$7*LN(J348)+'CAFCO 400 '!$D$8)*I348^2)+(('CAFCO 400 '!$D$9*LN(J348)+'CAFCO 400 '!$D$10)*I348)+('CAFCO 400 '!$D$11*LN(J348)+'CAFCO 400 '!$D$12))),0),0),0))+(IF(L348="Cafco 400",IF(M348="Idiem software",IF(C348="C",((('CAFCO 400 '!$L$7*(J348^3)+'CAFCO 400 '!$L$8*(J348^2)+'CAFCO 400 '!$L$9*J348+'CAFCO 400 '!$L$10)*I348^2)+(('CAFCO 400 '!$L$11*(J348^3)+'CAFCO 400 '!$L$12*(J348^2)+'CAFCO 400 '!$L$13*J348+'CAFCO 400 '!$L$14)*I348)+('CAFCO 400 '!$L$15*LN(J348)+'CAFCO 400 '!$L$16)),0),0),0))+(IF(L348="Cafco 400",IF(M348="Idiem software",IF(AND(C348="IN",G348=3),((('CAFCO 400 '!$D$23*(J348^2)+'CAFCO 400 '!$D$24*(J348)+'CAFCO 400 '!$D$25)*I348^2)+(('CAFCO 400 '!$D$26*(J348^2)+'CAFCO 400 '!$D$27*J348+'CAFCO 400 '!$D$28)*I348)+('CAFCO 400 '!$D$29*(J348^2)+'CAFCO 400 '!$D$30*J348+'CAFCO 400 '!$D$31)),0),0),0)),0)</f>
        <v>0</v>
      </c>
      <c r="R348" s="47">
        <f t="shared" si="40"/>
        <v>0</v>
      </c>
      <c r="S348" s="82">
        <f t="shared" si="37"/>
        <v>0</v>
      </c>
      <c r="T348" s="81">
        <f>+IF(AND(J348&gt;=95,J348&lt;=240),IF(AND(C348="Cj",I348=90),VLOOKUP(W348,'CAFCO 300 IDIEM TABLAS'!$B$4:$D$23,2,FALSE),0)+IF(AND(J348&gt;=95,J348&lt;=240),IF(AND(C348="Cj",I348=120),VLOOKUP(W348,'CAFCO 300 IDIEM TABLAS'!$B$4:$D$23,3,FALSE),0))+IF(AND(J348&gt;=95,J348&lt;=400,G348=3),IF(AND(C348="IN",I348=90),VLOOKUP(W348,'CAFCO 300 IDIEM TABLAS'!$F$4:$H$35,2,FALSE),0),0)+IF(AND(J348&gt;=95,J348&lt;=400,G348=3),IF(AND(C348="IN",I348=120),VLOOKUP(W348,'CAFCO 300 IDIEM TABLAS'!$F$4:$H$35,3,FALSE),0),0)+IF(AND(J348&gt;=95,J348&lt;=450,G348=4),IF(AND(C348="IN",I348=90),VLOOKUP(W348,'CAFCO 300 IDIEM TABLAS'!$J$4:$L$40,2,FALSE),0),0)+IF(AND(J348&gt;=95,J348&lt;=450,G348=4),IF(AND(C348="IN",I348=120),VLOOKUP(W348,'CAFCO 300 IDIEM TABLAS'!$J$4:$L$40,3,FALSE),0),0))</f>
        <v>17</v>
      </c>
      <c r="U348" s="48">
        <f t="shared" si="41"/>
        <v>24.915815949935812</v>
      </c>
      <c r="V348" s="82">
        <f t="shared" si="38"/>
        <v>374086.06067233626</v>
      </c>
      <c r="W348" s="64">
        <f>+IF(J348=LOOKUP(J348,'CAFCO 300 IDIEM TABLAS'!$J$4:$J$40),'HOJA DE CÁLCULO RESPALDO'!J348,MROUND('HOJA DE CÁLCULO RESPALDO'!J348,10))</f>
        <v>95</v>
      </c>
      <c r="X348" s="36"/>
      <c r="Y348" s="4"/>
    </row>
    <row r="349" spans="1:25" x14ac:dyDescent="0.25">
      <c r="A349" s="2" t="s">
        <v>12</v>
      </c>
      <c r="B349" s="2"/>
      <c r="C349" s="3" t="s">
        <v>19</v>
      </c>
      <c r="D349" s="3">
        <v>1</v>
      </c>
      <c r="E349" s="2">
        <v>1</v>
      </c>
      <c r="F349" s="8">
        <v>13000</v>
      </c>
      <c r="G349" s="1">
        <v>4</v>
      </c>
      <c r="H349" s="2">
        <v>1181</v>
      </c>
      <c r="I349" s="34">
        <v>90</v>
      </c>
      <c r="J349" s="11">
        <v>95</v>
      </c>
      <c r="K349" s="44">
        <f t="shared" si="35"/>
        <v>15.353</v>
      </c>
      <c r="L349" s="3" t="s">
        <v>61</v>
      </c>
      <c r="M349" s="3" t="s">
        <v>70</v>
      </c>
      <c r="N349" s="15">
        <f>ROUND((IF(L349="Blaze Shield II",IF(M349="Idiem software",IF(AND(C349="IN",G349=4),((('BLAZE SHIELD II'!$D$4*('HOJA DE CÁLCULO RESPALDO'!I349^2)+'BLAZE SHIELD II'!$D$5*'HOJA DE CÁLCULO RESPALDO'!I349+'BLAZE SHIELD II'!$D$6)*LN(J349))+('BLAZE SHIELD II'!$D$7*('HOJA DE CÁLCULO RESPALDO'!I349^2)+'BLAZE SHIELD II'!$D$8*'HOJA DE CÁLCULO RESPALDO'!I349+'BLAZE SHIELD II'!$D$9)),0),0),0))+(IF(L349="Blaze Shield II",IF(M349="Idiem software",IF(C349="Cj",((('BLAZE SHIELD II'!$H$4*('HOJA DE CÁLCULO RESPALDO'!I349^2)+'BLAZE SHIELD II'!$H$5*'HOJA DE CÁLCULO RESPALDO'!I349+'BLAZE SHIELD II'!$H$6)*LN(J349))+('BLAZE SHIELD II'!$H$7*('HOJA DE CÁLCULO RESPALDO'!I349^2)+'BLAZE SHIELD II'!$H$8*'HOJA DE CÁLCULO RESPALDO'!I349+'BLAZE SHIELD II'!$H$9)),0),0),0))+(IF(L349="Blaze Shield II",IF(M349="Idiem software",IF(C349="C",((('BLAZE SHIELD II'!$L$4*('HOJA DE CÁLCULO RESPALDO'!I349^2)+'BLAZE SHIELD II'!$L$5*'HOJA DE CÁLCULO RESPALDO'!I349+'BLAZE SHIELD II'!$L$6)*LN(J349))+('BLAZE SHIELD II'!$L$7*('HOJA DE CÁLCULO RESPALDO'!I349^2)+'BLAZE SHIELD II'!$L$8*'HOJA DE CÁLCULO RESPALDO'!I349+'BLAZE SHIELD II'!$L$9)),0),0),0))+(IF(L349="Blaze Shield II",IF(M349="Idiem software",IF(AND(C349="IN",G349=3),((('BLAZE SHIELD II'!$H$14*('HOJA DE CÁLCULO RESPALDO'!I349^2)+'BLAZE SHIELD II'!$H$15*'HOJA DE CÁLCULO RESPALDO'!I349+'BLAZE SHIELD II'!$H$16)*LN(J349))+('BLAZE SHIELD II'!$H$17*('HOJA DE CÁLCULO RESPALDO'!I349^2)+'BLAZE SHIELD II'!$H$18*'HOJA DE CÁLCULO RESPALDO'!I349+'BLAZE SHIELD II'!$H$19)),0),0),0)),0)</f>
        <v>0</v>
      </c>
      <c r="O349" s="46">
        <f t="shared" si="39"/>
        <v>0</v>
      </c>
      <c r="P349" s="80">
        <f t="shared" si="36"/>
        <v>0</v>
      </c>
      <c r="Q349" s="85">
        <f>ROUND((IF(L349="Cafco 400",IF(M349="Idiem software",IF(AND(C349="IN",G349=4),((('CAFCO 400 '!$H$7*(J349^4)+'CAFCO 400 '!$H$8*(J349^3)+'CAFCO 400 '!$H$9*(J349^2)+'CAFCO 400 '!$H$10*J349+'CAFCO 400 '!$H$11)*I349^2)+(('CAFCO 400 '!$H$12*(J349^3)+'CAFCO 400 '!$H$13*(J349^2)+'CAFCO 400 '!$H$14*J349+'CAFCO 400 '!$H$15)*I349)+('CAFCO 400 '!$H$16*(J349^2)+'CAFCO 400 '!$H$17*J349+'CAFCO 400 '!$H$18)),0),0),0))+(IF(L349="Cafco 400",IF(M349="Idiem software",IF(C349="Cj",(((('CAFCO 400 '!$D$7*LN(J349)+'CAFCO 400 '!$D$8)*I349^2)+(('CAFCO 400 '!$D$9*LN(J349)+'CAFCO 400 '!$D$10)*I349)+('CAFCO 400 '!$D$11*LN(J349)+'CAFCO 400 '!$D$12))),0),0),0))+(IF(L349="Cafco 400",IF(M349="Idiem software",IF(C349="C",((('CAFCO 400 '!$L$7*(J349^3)+'CAFCO 400 '!$L$8*(J349^2)+'CAFCO 400 '!$L$9*J349+'CAFCO 400 '!$L$10)*I349^2)+(('CAFCO 400 '!$L$11*(J349^3)+'CAFCO 400 '!$L$12*(J349^2)+'CAFCO 400 '!$L$13*J349+'CAFCO 400 '!$L$14)*I349)+('CAFCO 400 '!$L$15*LN(J349)+'CAFCO 400 '!$L$16)),0),0),0))+(IF(L349="Cafco 400",IF(M349="Idiem software",IF(AND(C349="IN",G349=3),((('CAFCO 400 '!$D$23*(J349^2)+'CAFCO 400 '!$D$24*(J349)+'CAFCO 400 '!$D$25)*I349^2)+(('CAFCO 400 '!$D$26*(J349^2)+'CAFCO 400 '!$D$27*J349+'CAFCO 400 '!$D$28)*I349)+('CAFCO 400 '!$D$29*(J349^2)+'CAFCO 400 '!$D$30*J349+'CAFCO 400 '!$D$31)),0),0),0)),0)</f>
        <v>0</v>
      </c>
      <c r="R349" s="47">
        <f t="shared" si="40"/>
        <v>0</v>
      </c>
      <c r="S349" s="82">
        <f t="shared" si="37"/>
        <v>0</v>
      </c>
      <c r="T349" s="81">
        <f>+IF(AND(J349&gt;=95,J349&lt;=240),IF(AND(C349="Cj",I349=90),VLOOKUP(W349,'CAFCO 300 IDIEM TABLAS'!$B$4:$D$23,2,FALSE),0)+IF(AND(J349&gt;=95,J349&lt;=240),IF(AND(C349="Cj",I349=120),VLOOKUP(W349,'CAFCO 300 IDIEM TABLAS'!$B$4:$D$23,3,FALSE),0))+IF(AND(J349&gt;=95,J349&lt;=400,G349=3),IF(AND(C349="IN",I349=90),VLOOKUP(W349,'CAFCO 300 IDIEM TABLAS'!$F$4:$H$35,2,FALSE),0),0)+IF(AND(J349&gt;=95,J349&lt;=400,G349=3),IF(AND(C349="IN",I349=120),VLOOKUP(W349,'CAFCO 300 IDIEM TABLAS'!$F$4:$H$35,3,FALSE),0),0)+IF(AND(J349&gt;=95,J349&lt;=450,G349=4),IF(AND(C349="IN",I349=90),VLOOKUP(W349,'CAFCO 300 IDIEM TABLAS'!$J$4:$L$40,2,FALSE),0),0)+IF(AND(J349&gt;=95,J349&lt;=450,G349=4),IF(AND(C349="IN",I349=120),VLOOKUP(W349,'CAFCO 300 IDIEM TABLAS'!$J$4:$L$40,3,FALSE),0),0))</f>
        <v>17</v>
      </c>
      <c r="U349" s="48">
        <f t="shared" si="41"/>
        <v>3.6017467907573808</v>
      </c>
      <c r="V349" s="82">
        <f t="shared" si="38"/>
        <v>54076.626316431313</v>
      </c>
      <c r="W349" s="64">
        <f>+IF(J349=LOOKUP(J349,'CAFCO 300 IDIEM TABLAS'!$J$4:$J$40),'HOJA DE CÁLCULO RESPALDO'!J349,MROUND('HOJA DE CÁLCULO RESPALDO'!J349,10))</f>
        <v>95</v>
      </c>
      <c r="X349" s="36"/>
      <c r="Y349" s="4"/>
    </row>
    <row r="350" spans="1:25" ht="15.6" customHeight="1" x14ac:dyDescent="0.25">
      <c r="A350" s="2" t="s">
        <v>12</v>
      </c>
      <c r="B350" s="2"/>
      <c r="C350" s="3" t="s">
        <v>19</v>
      </c>
      <c r="D350" s="3">
        <v>1</v>
      </c>
      <c r="E350" s="2">
        <v>1</v>
      </c>
      <c r="F350" s="8">
        <v>4250</v>
      </c>
      <c r="G350" s="1">
        <v>4</v>
      </c>
      <c r="H350" s="2">
        <v>1181</v>
      </c>
      <c r="I350" s="34">
        <v>90</v>
      </c>
      <c r="J350" s="11">
        <v>95</v>
      </c>
      <c r="K350" s="44">
        <f t="shared" si="35"/>
        <v>5.0192500000000004</v>
      </c>
      <c r="L350" s="3" t="s">
        <v>61</v>
      </c>
      <c r="M350" s="3" t="s">
        <v>70</v>
      </c>
      <c r="N350" s="15">
        <f>ROUND((IF(L350="Blaze Shield II",IF(M350="Idiem software",IF(AND(C350="IN",G350=4),((('BLAZE SHIELD II'!$D$4*('HOJA DE CÁLCULO RESPALDO'!I350^2)+'BLAZE SHIELD II'!$D$5*'HOJA DE CÁLCULO RESPALDO'!I350+'BLAZE SHIELD II'!$D$6)*LN(J350))+('BLAZE SHIELD II'!$D$7*('HOJA DE CÁLCULO RESPALDO'!I350^2)+'BLAZE SHIELD II'!$D$8*'HOJA DE CÁLCULO RESPALDO'!I350+'BLAZE SHIELD II'!$D$9)),0),0),0))+(IF(L350="Blaze Shield II",IF(M350="Idiem software",IF(C350="Cj",((('BLAZE SHIELD II'!$H$4*('HOJA DE CÁLCULO RESPALDO'!I350^2)+'BLAZE SHIELD II'!$H$5*'HOJA DE CÁLCULO RESPALDO'!I350+'BLAZE SHIELD II'!$H$6)*LN(J350))+('BLAZE SHIELD II'!$H$7*('HOJA DE CÁLCULO RESPALDO'!I350^2)+'BLAZE SHIELD II'!$H$8*'HOJA DE CÁLCULO RESPALDO'!I350+'BLAZE SHIELD II'!$H$9)),0),0),0))+(IF(L350="Blaze Shield II",IF(M350="Idiem software",IF(C350="C",((('BLAZE SHIELD II'!$L$4*('HOJA DE CÁLCULO RESPALDO'!I350^2)+'BLAZE SHIELD II'!$L$5*'HOJA DE CÁLCULO RESPALDO'!I350+'BLAZE SHIELD II'!$L$6)*LN(J350))+('BLAZE SHIELD II'!$L$7*('HOJA DE CÁLCULO RESPALDO'!I350^2)+'BLAZE SHIELD II'!$L$8*'HOJA DE CÁLCULO RESPALDO'!I350+'BLAZE SHIELD II'!$L$9)),0),0),0))+(IF(L350="Blaze Shield II",IF(M350="Idiem software",IF(AND(C350="IN",G350=3),((('BLAZE SHIELD II'!$H$14*('HOJA DE CÁLCULO RESPALDO'!I350^2)+'BLAZE SHIELD II'!$H$15*'HOJA DE CÁLCULO RESPALDO'!I350+'BLAZE SHIELD II'!$H$16)*LN(J350))+('BLAZE SHIELD II'!$H$17*('HOJA DE CÁLCULO RESPALDO'!I350^2)+'BLAZE SHIELD II'!$H$18*'HOJA DE CÁLCULO RESPALDO'!I350+'BLAZE SHIELD II'!$H$19)),0),0),0)),0)</f>
        <v>0</v>
      </c>
      <c r="O350" s="46">
        <f t="shared" si="39"/>
        <v>0</v>
      </c>
      <c r="P350" s="80">
        <f t="shared" si="36"/>
        <v>0</v>
      </c>
      <c r="Q350" s="85">
        <f>ROUND((IF(L350="Cafco 400",IF(M350="Idiem software",IF(AND(C350="IN",G350=4),((('CAFCO 400 '!$H$7*(J350^4)+'CAFCO 400 '!$H$8*(J350^3)+'CAFCO 400 '!$H$9*(J350^2)+'CAFCO 400 '!$H$10*J350+'CAFCO 400 '!$H$11)*I350^2)+(('CAFCO 400 '!$H$12*(J350^3)+'CAFCO 400 '!$H$13*(J350^2)+'CAFCO 400 '!$H$14*J350+'CAFCO 400 '!$H$15)*I350)+('CAFCO 400 '!$H$16*(J350^2)+'CAFCO 400 '!$H$17*J350+'CAFCO 400 '!$H$18)),0),0),0))+(IF(L350="Cafco 400",IF(M350="Idiem software",IF(C350="Cj",(((('CAFCO 400 '!$D$7*LN(J350)+'CAFCO 400 '!$D$8)*I350^2)+(('CAFCO 400 '!$D$9*LN(J350)+'CAFCO 400 '!$D$10)*I350)+('CAFCO 400 '!$D$11*LN(J350)+'CAFCO 400 '!$D$12))),0),0),0))+(IF(L350="Cafco 400",IF(M350="Idiem software",IF(C350="C",((('CAFCO 400 '!$L$7*(J350^3)+'CAFCO 400 '!$L$8*(J350^2)+'CAFCO 400 '!$L$9*J350+'CAFCO 400 '!$L$10)*I350^2)+(('CAFCO 400 '!$L$11*(J350^3)+'CAFCO 400 '!$L$12*(J350^2)+'CAFCO 400 '!$L$13*J350+'CAFCO 400 '!$L$14)*I350)+('CAFCO 400 '!$L$15*LN(J350)+'CAFCO 400 '!$L$16)),0),0),0))+(IF(L350="Cafco 400",IF(M350="Idiem software",IF(AND(C350="IN",G350=3),((('CAFCO 400 '!$D$23*(J350^2)+'CAFCO 400 '!$D$24*(J350)+'CAFCO 400 '!$D$25)*I350^2)+(('CAFCO 400 '!$D$26*(J350^2)+'CAFCO 400 '!$D$27*J350+'CAFCO 400 '!$D$28)*I350)+('CAFCO 400 '!$D$29*(J350^2)+'CAFCO 400 '!$D$30*J350+'CAFCO 400 '!$D$31)),0),0),0)),0)</f>
        <v>0</v>
      </c>
      <c r="R350" s="47">
        <f t="shared" si="40"/>
        <v>0</v>
      </c>
      <c r="S350" s="82">
        <f t="shared" si="37"/>
        <v>0</v>
      </c>
      <c r="T350" s="81">
        <f>+IF(AND(J350&gt;=95,J350&lt;=240),IF(AND(C350="Cj",I350=90),VLOOKUP(W350,'CAFCO 300 IDIEM TABLAS'!$B$4:$D$23,2,FALSE),0)+IF(AND(J350&gt;=95,J350&lt;=240),IF(AND(C350="Cj",I350=120),VLOOKUP(W350,'CAFCO 300 IDIEM TABLAS'!$B$4:$D$23,3,FALSE),0))+IF(AND(J350&gt;=95,J350&lt;=400,G350=3),IF(AND(C350="IN",I350=90),VLOOKUP(W350,'CAFCO 300 IDIEM TABLAS'!$F$4:$H$35,2,FALSE),0),0)+IF(AND(J350&gt;=95,J350&lt;=400,G350=3),IF(AND(C350="IN",I350=120),VLOOKUP(W350,'CAFCO 300 IDIEM TABLAS'!$F$4:$H$35,3,FALSE),0),0)+IF(AND(J350&gt;=95,J350&lt;=450,G350=4),IF(AND(C350="IN",I350=90),VLOOKUP(W350,'CAFCO 300 IDIEM TABLAS'!$J$4:$L$40,2,FALSE),0),0)+IF(AND(J350&gt;=95,J350&lt;=450,G350=4),IF(AND(C350="IN",I350=120),VLOOKUP(W350,'CAFCO 300 IDIEM TABLAS'!$J$4:$L$40,3,FALSE),0),0))</f>
        <v>17</v>
      </c>
      <c r="U350" s="48">
        <f t="shared" si="41"/>
        <v>1.177494143132221</v>
      </c>
      <c r="V350" s="82">
        <f t="shared" si="38"/>
        <v>17678.897064987166</v>
      </c>
      <c r="W350" s="64">
        <f>+IF(J350=LOOKUP(J350,'CAFCO 300 IDIEM TABLAS'!$J$4:$J$40),'HOJA DE CÁLCULO RESPALDO'!J350,MROUND('HOJA DE CÁLCULO RESPALDO'!J350,10))</f>
        <v>95</v>
      </c>
      <c r="X350" s="36"/>
      <c r="Y350" s="4"/>
    </row>
    <row r="351" spans="1:25" x14ac:dyDescent="0.25">
      <c r="A351" s="2" t="s">
        <v>12</v>
      </c>
      <c r="B351" s="2"/>
      <c r="C351" s="3" t="s">
        <v>19</v>
      </c>
      <c r="D351" s="3">
        <v>1</v>
      </c>
      <c r="E351" s="2">
        <v>1</v>
      </c>
      <c r="F351" s="8">
        <v>8500</v>
      </c>
      <c r="G351" s="1">
        <v>4</v>
      </c>
      <c r="H351" s="2">
        <v>1181</v>
      </c>
      <c r="I351" s="34">
        <v>90</v>
      </c>
      <c r="J351" s="11">
        <v>95</v>
      </c>
      <c r="K351" s="44">
        <f t="shared" si="35"/>
        <v>10.038500000000001</v>
      </c>
      <c r="L351" s="3" t="s">
        <v>61</v>
      </c>
      <c r="M351" s="3" t="s">
        <v>70</v>
      </c>
      <c r="N351" s="15">
        <f>ROUND((IF(L351="Blaze Shield II",IF(M351="Idiem software",IF(AND(C351="IN",G351=4),((('BLAZE SHIELD II'!$D$4*('HOJA DE CÁLCULO RESPALDO'!I351^2)+'BLAZE SHIELD II'!$D$5*'HOJA DE CÁLCULO RESPALDO'!I351+'BLAZE SHIELD II'!$D$6)*LN(J351))+('BLAZE SHIELD II'!$D$7*('HOJA DE CÁLCULO RESPALDO'!I351^2)+'BLAZE SHIELD II'!$D$8*'HOJA DE CÁLCULO RESPALDO'!I351+'BLAZE SHIELD II'!$D$9)),0),0),0))+(IF(L351="Blaze Shield II",IF(M351="Idiem software",IF(C351="Cj",((('BLAZE SHIELD II'!$H$4*('HOJA DE CÁLCULO RESPALDO'!I351^2)+'BLAZE SHIELD II'!$H$5*'HOJA DE CÁLCULO RESPALDO'!I351+'BLAZE SHIELD II'!$H$6)*LN(J351))+('BLAZE SHIELD II'!$H$7*('HOJA DE CÁLCULO RESPALDO'!I351^2)+'BLAZE SHIELD II'!$H$8*'HOJA DE CÁLCULO RESPALDO'!I351+'BLAZE SHIELD II'!$H$9)),0),0),0))+(IF(L351="Blaze Shield II",IF(M351="Idiem software",IF(C351="C",((('BLAZE SHIELD II'!$L$4*('HOJA DE CÁLCULO RESPALDO'!I351^2)+'BLAZE SHIELD II'!$L$5*'HOJA DE CÁLCULO RESPALDO'!I351+'BLAZE SHIELD II'!$L$6)*LN(J351))+('BLAZE SHIELD II'!$L$7*('HOJA DE CÁLCULO RESPALDO'!I351^2)+'BLAZE SHIELD II'!$L$8*'HOJA DE CÁLCULO RESPALDO'!I351+'BLAZE SHIELD II'!$L$9)),0),0),0))+(IF(L351="Blaze Shield II",IF(M351="Idiem software",IF(AND(C351="IN",G351=3),((('BLAZE SHIELD II'!$H$14*('HOJA DE CÁLCULO RESPALDO'!I351^2)+'BLAZE SHIELD II'!$H$15*'HOJA DE CÁLCULO RESPALDO'!I351+'BLAZE SHIELD II'!$H$16)*LN(J351))+('BLAZE SHIELD II'!$H$17*('HOJA DE CÁLCULO RESPALDO'!I351^2)+'BLAZE SHIELD II'!$H$18*'HOJA DE CÁLCULO RESPALDO'!I351+'BLAZE SHIELD II'!$H$19)),0),0),0)),0)</f>
        <v>0</v>
      </c>
      <c r="O351" s="46">
        <f t="shared" si="39"/>
        <v>0</v>
      </c>
      <c r="P351" s="80">
        <f t="shared" si="36"/>
        <v>0</v>
      </c>
      <c r="Q351" s="85">
        <f>ROUND((IF(L351="Cafco 400",IF(M351="Idiem software",IF(AND(C351="IN",G351=4),((('CAFCO 400 '!$H$7*(J351^4)+'CAFCO 400 '!$H$8*(J351^3)+'CAFCO 400 '!$H$9*(J351^2)+'CAFCO 400 '!$H$10*J351+'CAFCO 400 '!$H$11)*I351^2)+(('CAFCO 400 '!$H$12*(J351^3)+'CAFCO 400 '!$H$13*(J351^2)+'CAFCO 400 '!$H$14*J351+'CAFCO 400 '!$H$15)*I351)+('CAFCO 400 '!$H$16*(J351^2)+'CAFCO 400 '!$H$17*J351+'CAFCO 400 '!$H$18)),0),0),0))+(IF(L351="Cafco 400",IF(M351="Idiem software",IF(C351="Cj",(((('CAFCO 400 '!$D$7*LN(J351)+'CAFCO 400 '!$D$8)*I351^2)+(('CAFCO 400 '!$D$9*LN(J351)+'CAFCO 400 '!$D$10)*I351)+('CAFCO 400 '!$D$11*LN(J351)+'CAFCO 400 '!$D$12))),0),0),0))+(IF(L351="Cafco 400",IF(M351="Idiem software",IF(C351="C",((('CAFCO 400 '!$L$7*(J351^3)+'CAFCO 400 '!$L$8*(J351^2)+'CAFCO 400 '!$L$9*J351+'CAFCO 400 '!$L$10)*I351^2)+(('CAFCO 400 '!$L$11*(J351^3)+'CAFCO 400 '!$L$12*(J351^2)+'CAFCO 400 '!$L$13*J351+'CAFCO 400 '!$L$14)*I351)+('CAFCO 400 '!$L$15*LN(J351)+'CAFCO 400 '!$L$16)),0),0),0))+(IF(L351="Cafco 400",IF(M351="Idiem software",IF(AND(C351="IN",G351=3),((('CAFCO 400 '!$D$23*(J351^2)+'CAFCO 400 '!$D$24*(J351)+'CAFCO 400 '!$D$25)*I351^2)+(('CAFCO 400 '!$D$26*(J351^2)+'CAFCO 400 '!$D$27*J351+'CAFCO 400 '!$D$28)*I351)+('CAFCO 400 '!$D$29*(J351^2)+'CAFCO 400 '!$D$30*J351+'CAFCO 400 '!$D$31)),0),0),0)),0)</f>
        <v>0</v>
      </c>
      <c r="R351" s="47">
        <f t="shared" si="40"/>
        <v>0</v>
      </c>
      <c r="S351" s="82">
        <f t="shared" si="37"/>
        <v>0</v>
      </c>
      <c r="T351" s="81">
        <f>+IF(AND(J351&gt;=95,J351&lt;=240),IF(AND(C351="Cj",I351=90),VLOOKUP(W351,'CAFCO 300 IDIEM TABLAS'!$B$4:$D$23,2,FALSE),0)+IF(AND(J351&gt;=95,J351&lt;=240),IF(AND(C351="Cj",I351=120),VLOOKUP(W351,'CAFCO 300 IDIEM TABLAS'!$B$4:$D$23,3,FALSE),0))+IF(AND(J351&gt;=95,J351&lt;=400,G351=3),IF(AND(C351="IN",I351=90),VLOOKUP(W351,'CAFCO 300 IDIEM TABLAS'!$F$4:$H$35,2,FALSE),0),0)+IF(AND(J351&gt;=95,J351&lt;=400,G351=3),IF(AND(C351="IN",I351=120),VLOOKUP(W351,'CAFCO 300 IDIEM TABLAS'!$F$4:$H$35,3,FALSE),0),0)+IF(AND(J351&gt;=95,J351&lt;=450,G351=4),IF(AND(C351="IN",I351=90),VLOOKUP(W351,'CAFCO 300 IDIEM TABLAS'!$J$4:$L$40,2,FALSE),0),0)+IF(AND(J351&gt;=95,J351&lt;=450,G351=4),IF(AND(C351="IN",I351=120),VLOOKUP(W351,'CAFCO 300 IDIEM TABLAS'!$J$4:$L$40,3,FALSE),0),0))</f>
        <v>17</v>
      </c>
      <c r="U351" s="48">
        <f t="shared" si="41"/>
        <v>2.354988286264442</v>
      </c>
      <c r="V351" s="82">
        <f t="shared" si="38"/>
        <v>35357.794129974332</v>
      </c>
      <c r="W351" s="64">
        <f>+IF(J351=LOOKUP(J351,'CAFCO 300 IDIEM TABLAS'!$J$4:$J$40),'HOJA DE CÁLCULO RESPALDO'!J351,MROUND('HOJA DE CÁLCULO RESPALDO'!J351,10))</f>
        <v>95</v>
      </c>
      <c r="X351" s="36"/>
      <c r="Y351" s="4"/>
    </row>
    <row r="352" spans="1:25" ht="15.6" customHeight="1" x14ac:dyDescent="0.25">
      <c r="A352" s="2" t="s">
        <v>12</v>
      </c>
      <c r="B352" s="2" t="s">
        <v>19</v>
      </c>
      <c r="C352" s="3" t="s">
        <v>19</v>
      </c>
      <c r="D352" s="3">
        <v>1</v>
      </c>
      <c r="E352" s="2">
        <v>1</v>
      </c>
      <c r="F352" s="8">
        <v>103000</v>
      </c>
      <c r="G352" s="1">
        <v>4</v>
      </c>
      <c r="H352" s="2">
        <v>1190</v>
      </c>
      <c r="I352" s="34">
        <v>90</v>
      </c>
      <c r="J352" s="11">
        <v>95</v>
      </c>
      <c r="K352" s="44">
        <f t="shared" si="35"/>
        <v>122.57</v>
      </c>
      <c r="L352" s="3" t="s">
        <v>61</v>
      </c>
      <c r="M352" s="3" t="s">
        <v>70</v>
      </c>
      <c r="N352" s="15">
        <f>ROUND((IF(L352="Blaze Shield II",IF(M352="Idiem software",IF(AND(C352="IN",G352=4),((('BLAZE SHIELD II'!$D$4*('HOJA DE CÁLCULO RESPALDO'!I352^2)+'BLAZE SHIELD II'!$D$5*'HOJA DE CÁLCULO RESPALDO'!I352+'BLAZE SHIELD II'!$D$6)*LN(J352))+('BLAZE SHIELD II'!$D$7*('HOJA DE CÁLCULO RESPALDO'!I352^2)+'BLAZE SHIELD II'!$D$8*'HOJA DE CÁLCULO RESPALDO'!I352+'BLAZE SHIELD II'!$D$9)),0),0),0))+(IF(L352="Blaze Shield II",IF(M352="Idiem software",IF(C352="Cj",((('BLAZE SHIELD II'!$H$4*('HOJA DE CÁLCULO RESPALDO'!I352^2)+'BLAZE SHIELD II'!$H$5*'HOJA DE CÁLCULO RESPALDO'!I352+'BLAZE SHIELD II'!$H$6)*LN(J352))+('BLAZE SHIELD II'!$H$7*('HOJA DE CÁLCULO RESPALDO'!I352^2)+'BLAZE SHIELD II'!$H$8*'HOJA DE CÁLCULO RESPALDO'!I352+'BLAZE SHIELD II'!$H$9)),0),0),0))+(IF(L352="Blaze Shield II",IF(M352="Idiem software",IF(C352="C",((('BLAZE SHIELD II'!$L$4*('HOJA DE CÁLCULO RESPALDO'!I352^2)+'BLAZE SHIELD II'!$L$5*'HOJA DE CÁLCULO RESPALDO'!I352+'BLAZE SHIELD II'!$L$6)*LN(J352))+('BLAZE SHIELD II'!$L$7*('HOJA DE CÁLCULO RESPALDO'!I352^2)+'BLAZE SHIELD II'!$L$8*'HOJA DE CÁLCULO RESPALDO'!I352+'BLAZE SHIELD II'!$L$9)),0),0),0))+(IF(L352="Blaze Shield II",IF(M352="Idiem software",IF(AND(C352="IN",G352=3),((('BLAZE SHIELD II'!$H$14*('HOJA DE CÁLCULO RESPALDO'!I352^2)+'BLAZE SHIELD II'!$H$15*'HOJA DE CÁLCULO RESPALDO'!I352+'BLAZE SHIELD II'!$H$16)*LN(J352))+('BLAZE SHIELD II'!$H$17*('HOJA DE CÁLCULO RESPALDO'!I352^2)+'BLAZE SHIELD II'!$H$18*'HOJA DE CÁLCULO RESPALDO'!I352+'BLAZE SHIELD II'!$H$19)),0),0),0)),0)</f>
        <v>0</v>
      </c>
      <c r="O352" s="46">
        <f t="shared" si="39"/>
        <v>0</v>
      </c>
      <c r="P352" s="80">
        <f t="shared" si="36"/>
        <v>0</v>
      </c>
      <c r="Q352" s="85">
        <f>ROUND((IF(L352="Cafco 400",IF(M352="Idiem software",IF(AND(C352="IN",G352=4),((('CAFCO 400 '!$H$7*(J352^4)+'CAFCO 400 '!$H$8*(J352^3)+'CAFCO 400 '!$H$9*(J352^2)+'CAFCO 400 '!$H$10*J352+'CAFCO 400 '!$H$11)*I352^2)+(('CAFCO 400 '!$H$12*(J352^3)+'CAFCO 400 '!$H$13*(J352^2)+'CAFCO 400 '!$H$14*J352+'CAFCO 400 '!$H$15)*I352)+('CAFCO 400 '!$H$16*(J352^2)+'CAFCO 400 '!$H$17*J352+'CAFCO 400 '!$H$18)),0),0),0))+(IF(L352="Cafco 400",IF(M352="Idiem software",IF(C352="Cj",(((('CAFCO 400 '!$D$7*LN(J352)+'CAFCO 400 '!$D$8)*I352^2)+(('CAFCO 400 '!$D$9*LN(J352)+'CAFCO 400 '!$D$10)*I352)+('CAFCO 400 '!$D$11*LN(J352)+'CAFCO 400 '!$D$12))),0),0),0))+(IF(L352="Cafco 400",IF(M352="Idiem software",IF(C352="C",((('CAFCO 400 '!$L$7*(J352^3)+'CAFCO 400 '!$L$8*(J352^2)+'CAFCO 400 '!$L$9*J352+'CAFCO 400 '!$L$10)*I352^2)+(('CAFCO 400 '!$L$11*(J352^3)+'CAFCO 400 '!$L$12*(J352^2)+'CAFCO 400 '!$L$13*J352+'CAFCO 400 '!$L$14)*I352)+('CAFCO 400 '!$L$15*LN(J352)+'CAFCO 400 '!$L$16)),0),0),0))+(IF(L352="Cafco 400",IF(M352="Idiem software",IF(AND(C352="IN",G352=3),((('CAFCO 400 '!$D$23*(J352^2)+'CAFCO 400 '!$D$24*(J352)+'CAFCO 400 '!$D$25)*I352^2)+(('CAFCO 400 '!$D$26*(J352^2)+'CAFCO 400 '!$D$27*J352+'CAFCO 400 '!$D$28)*I352)+('CAFCO 400 '!$D$29*(J352^2)+'CAFCO 400 '!$D$30*J352+'CAFCO 400 '!$D$31)),0),0),0)),0)</f>
        <v>0</v>
      </c>
      <c r="R352" s="47">
        <f t="shared" si="40"/>
        <v>0</v>
      </c>
      <c r="S352" s="82">
        <f t="shared" si="37"/>
        <v>0</v>
      </c>
      <c r="T352" s="81">
        <f>+IF(AND(J352&gt;=95,J352&lt;=240),IF(AND(C352="Cj",I352=90),VLOOKUP(W352,'CAFCO 300 IDIEM TABLAS'!$B$4:$D$23,2,FALSE),0)+IF(AND(J352&gt;=95,J352&lt;=240),IF(AND(C352="Cj",I352=120),VLOOKUP(W352,'CAFCO 300 IDIEM TABLAS'!$B$4:$D$23,3,FALSE),0))+IF(AND(J352&gt;=95,J352&lt;=400,G352=3),IF(AND(C352="IN",I352=90),VLOOKUP(W352,'CAFCO 300 IDIEM TABLAS'!$F$4:$H$35,2,FALSE),0),0)+IF(AND(J352&gt;=95,J352&lt;=400,G352=3),IF(AND(C352="IN",I352=120),VLOOKUP(W352,'CAFCO 300 IDIEM TABLAS'!$F$4:$H$35,3,FALSE),0),0)+IF(AND(J352&gt;=95,J352&lt;=450,G352=4),IF(AND(C352="IN",I352=90),VLOOKUP(W352,'CAFCO 300 IDIEM TABLAS'!$J$4:$L$40,2,FALSE),0),0)+IF(AND(J352&gt;=95,J352&lt;=450,G352=4),IF(AND(C352="IN",I352=120),VLOOKUP(W352,'CAFCO 300 IDIEM TABLAS'!$J$4:$L$40,3,FALSE),0),0))</f>
        <v>17</v>
      </c>
      <c r="U352" s="48">
        <f t="shared" si="41"/>
        <v>28.754387034659821</v>
      </c>
      <c r="V352" s="82">
        <f t="shared" si="38"/>
        <v>431718.36693838256</v>
      </c>
      <c r="W352" s="64">
        <f>+IF(J352=LOOKUP(J352,'CAFCO 300 IDIEM TABLAS'!$J$4:$J$40),'HOJA DE CÁLCULO RESPALDO'!J352,MROUND('HOJA DE CÁLCULO RESPALDO'!J352,10))</f>
        <v>95</v>
      </c>
      <c r="X352" s="36"/>
      <c r="Y352" s="4"/>
    </row>
    <row r="353" spans="1:25" x14ac:dyDescent="0.25">
      <c r="A353" s="2" t="s">
        <v>12</v>
      </c>
      <c r="B353" s="2"/>
      <c r="C353" s="3" t="s">
        <v>19</v>
      </c>
      <c r="D353" s="3">
        <v>1</v>
      </c>
      <c r="E353" s="2">
        <v>1</v>
      </c>
      <c r="F353" s="8">
        <v>12750</v>
      </c>
      <c r="G353" s="1">
        <v>4</v>
      </c>
      <c r="H353" s="2">
        <v>1181</v>
      </c>
      <c r="I353" s="34">
        <v>90</v>
      </c>
      <c r="J353" s="11">
        <v>95</v>
      </c>
      <c r="K353" s="44">
        <f t="shared" si="35"/>
        <v>15.05775</v>
      </c>
      <c r="L353" s="3" t="s">
        <v>61</v>
      </c>
      <c r="M353" s="3" t="s">
        <v>70</v>
      </c>
      <c r="N353" s="15">
        <f>ROUND((IF(L353="Blaze Shield II",IF(M353="Idiem software",IF(AND(C353="IN",G353=4),((('BLAZE SHIELD II'!$D$4*('HOJA DE CÁLCULO RESPALDO'!I353^2)+'BLAZE SHIELD II'!$D$5*'HOJA DE CÁLCULO RESPALDO'!I353+'BLAZE SHIELD II'!$D$6)*LN(J353))+('BLAZE SHIELD II'!$D$7*('HOJA DE CÁLCULO RESPALDO'!I353^2)+'BLAZE SHIELD II'!$D$8*'HOJA DE CÁLCULO RESPALDO'!I353+'BLAZE SHIELD II'!$D$9)),0),0),0))+(IF(L353="Blaze Shield II",IF(M353="Idiem software",IF(C353="Cj",((('BLAZE SHIELD II'!$H$4*('HOJA DE CÁLCULO RESPALDO'!I353^2)+'BLAZE SHIELD II'!$H$5*'HOJA DE CÁLCULO RESPALDO'!I353+'BLAZE SHIELD II'!$H$6)*LN(J353))+('BLAZE SHIELD II'!$H$7*('HOJA DE CÁLCULO RESPALDO'!I353^2)+'BLAZE SHIELD II'!$H$8*'HOJA DE CÁLCULO RESPALDO'!I353+'BLAZE SHIELD II'!$H$9)),0),0),0))+(IF(L353="Blaze Shield II",IF(M353="Idiem software",IF(C353="C",((('BLAZE SHIELD II'!$L$4*('HOJA DE CÁLCULO RESPALDO'!I353^2)+'BLAZE SHIELD II'!$L$5*'HOJA DE CÁLCULO RESPALDO'!I353+'BLAZE SHIELD II'!$L$6)*LN(J353))+('BLAZE SHIELD II'!$L$7*('HOJA DE CÁLCULO RESPALDO'!I353^2)+'BLAZE SHIELD II'!$L$8*'HOJA DE CÁLCULO RESPALDO'!I353+'BLAZE SHIELD II'!$L$9)),0),0),0))+(IF(L353="Blaze Shield II",IF(M353="Idiem software",IF(AND(C353="IN",G353=3),((('BLAZE SHIELD II'!$H$14*('HOJA DE CÁLCULO RESPALDO'!I353^2)+'BLAZE SHIELD II'!$H$15*'HOJA DE CÁLCULO RESPALDO'!I353+'BLAZE SHIELD II'!$H$16)*LN(J353))+('BLAZE SHIELD II'!$H$17*('HOJA DE CÁLCULO RESPALDO'!I353^2)+'BLAZE SHIELD II'!$H$18*'HOJA DE CÁLCULO RESPALDO'!I353+'BLAZE SHIELD II'!$H$19)),0),0),0)),0)</f>
        <v>0</v>
      </c>
      <c r="O353" s="46">
        <f t="shared" si="39"/>
        <v>0</v>
      </c>
      <c r="P353" s="80">
        <f t="shared" si="36"/>
        <v>0</v>
      </c>
      <c r="Q353" s="85">
        <f>ROUND((IF(L353="Cafco 400",IF(M353="Idiem software",IF(AND(C353="IN",G353=4),((('CAFCO 400 '!$H$7*(J353^4)+'CAFCO 400 '!$H$8*(J353^3)+'CAFCO 400 '!$H$9*(J353^2)+'CAFCO 400 '!$H$10*J353+'CAFCO 400 '!$H$11)*I353^2)+(('CAFCO 400 '!$H$12*(J353^3)+'CAFCO 400 '!$H$13*(J353^2)+'CAFCO 400 '!$H$14*J353+'CAFCO 400 '!$H$15)*I353)+('CAFCO 400 '!$H$16*(J353^2)+'CAFCO 400 '!$H$17*J353+'CAFCO 400 '!$H$18)),0),0),0))+(IF(L353="Cafco 400",IF(M353="Idiem software",IF(C353="Cj",(((('CAFCO 400 '!$D$7*LN(J353)+'CAFCO 400 '!$D$8)*I353^2)+(('CAFCO 400 '!$D$9*LN(J353)+'CAFCO 400 '!$D$10)*I353)+('CAFCO 400 '!$D$11*LN(J353)+'CAFCO 400 '!$D$12))),0),0),0))+(IF(L353="Cafco 400",IF(M353="Idiem software",IF(C353="C",((('CAFCO 400 '!$L$7*(J353^3)+'CAFCO 400 '!$L$8*(J353^2)+'CAFCO 400 '!$L$9*J353+'CAFCO 400 '!$L$10)*I353^2)+(('CAFCO 400 '!$L$11*(J353^3)+'CAFCO 400 '!$L$12*(J353^2)+'CAFCO 400 '!$L$13*J353+'CAFCO 400 '!$L$14)*I353)+('CAFCO 400 '!$L$15*LN(J353)+'CAFCO 400 '!$L$16)),0),0),0))+(IF(L353="Cafco 400",IF(M353="Idiem software",IF(AND(C353="IN",G353=3),((('CAFCO 400 '!$D$23*(J353^2)+'CAFCO 400 '!$D$24*(J353)+'CAFCO 400 '!$D$25)*I353^2)+(('CAFCO 400 '!$D$26*(J353^2)+'CAFCO 400 '!$D$27*J353+'CAFCO 400 '!$D$28)*I353)+('CAFCO 400 '!$D$29*(J353^2)+'CAFCO 400 '!$D$30*J353+'CAFCO 400 '!$D$31)),0),0),0)),0)</f>
        <v>0</v>
      </c>
      <c r="R353" s="47">
        <f t="shared" si="40"/>
        <v>0</v>
      </c>
      <c r="S353" s="82">
        <f t="shared" si="37"/>
        <v>0</v>
      </c>
      <c r="T353" s="81">
        <f>+IF(AND(J353&gt;=95,J353&lt;=240),IF(AND(C353="Cj",I353=90),VLOOKUP(W353,'CAFCO 300 IDIEM TABLAS'!$B$4:$D$23,2,FALSE),0)+IF(AND(J353&gt;=95,J353&lt;=240),IF(AND(C353="Cj",I353=120),VLOOKUP(W353,'CAFCO 300 IDIEM TABLAS'!$B$4:$D$23,3,FALSE),0))+IF(AND(J353&gt;=95,J353&lt;=400,G353=3),IF(AND(C353="IN",I353=90),VLOOKUP(W353,'CAFCO 300 IDIEM TABLAS'!$F$4:$H$35,2,FALSE),0),0)+IF(AND(J353&gt;=95,J353&lt;=400,G353=3),IF(AND(C353="IN",I353=120),VLOOKUP(W353,'CAFCO 300 IDIEM TABLAS'!$F$4:$H$35,3,FALSE),0),0)+IF(AND(J353&gt;=95,J353&lt;=450,G353=4),IF(AND(C353="IN",I353=90),VLOOKUP(W353,'CAFCO 300 IDIEM TABLAS'!$J$4:$L$40,2,FALSE),0),0)+IF(AND(J353&gt;=95,J353&lt;=450,G353=4),IF(AND(C353="IN",I353=120),VLOOKUP(W353,'CAFCO 300 IDIEM TABLAS'!$J$4:$L$40,3,FALSE),0),0))</f>
        <v>17</v>
      </c>
      <c r="U353" s="48">
        <f t="shared" si="41"/>
        <v>3.5324824293966626</v>
      </c>
      <c r="V353" s="82">
        <f t="shared" si="38"/>
        <v>53036.691194961495</v>
      </c>
      <c r="W353" s="64">
        <f>+IF(J353=LOOKUP(J353,'CAFCO 300 IDIEM TABLAS'!$J$4:$J$40),'HOJA DE CÁLCULO RESPALDO'!J353,MROUND('HOJA DE CÁLCULO RESPALDO'!J353,10))</f>
        <v>95</v>
      </c>
      <c r="X353" s="36"/>
      <c r="Y353" s="4"/>
    </row>
    <row r="354" spans="1:25" ht="15.6" customHeight="1" x14ac:dyDescent="0.25">
      <c r="A354" s="2" t="s">
        <v>12</v>
      </c>
      <c r="B354" s="2" t="s">
        <v>19</v>
      </c>
      <c r="C354" s="3" t="s">
        <v>19</v>
      </c>
      <c r="D354" s="3">
        <v>1</v>
      </c>
      <c r="E354" s="2">
        <v>1</v>
      </c>
      <c r="F354" s="8">
        <v>17500</v>
      </c>
      <c r="G354" s="1">
        <v>4</v>
      </c>
      <c r="H354" s="2">
        <v>1692</v>
      </c>
      <c r="I354" s="34">
        <v>90</v>
      </c>
      <c r="J354" s="11">
        <v>95</v>
      </c>
      <c r="K354" s="44">
        <f t="shared" si="35"/>
        <v>29.61</v>
      </c>
      <c r="L354" s="3" t="s">
        <v>61</v>
      </c>
      <c r="M354" s="3" t="s">
        <v>70</v>
      </c>
      <c r="N354" s="15">
        <f>ROUND((IF(L354="Blaze Shield II",IF(M354="Idiem software",IF(AND(C354="IN",G354=4),((('BLAZE SHIELD II'!$D$4*('HOJA DE CÁLCULO RESPALDO'!I354^2)+'BLAZE SHIELD II'!$D$5*'HOJA DE CÁLCULO RESPALDO'!I354+'BLAZE SHIELD II'!$D$6)*LN(J354))+('BLAZE SHIELD II'!$D$7*('HOJA DE CÁLCULO RESPALDO'!I354^2)+'BLAZE SHIELD II'!$D$8*'HOJA DE CÁLCULO RESPALDO'!I354+'BLAZE SHIELD II'!$D$9)),0),0),0))+(IF(L354="Blaze Shield II",IF(M354="Idiem software",IF(C354="Cj",((('BLAZE SHIELD II'!$H$4*('HOJA DE CÁLCULO RESPALDO'!I354^2)+'BLAZE SHIELD II'!$H$5*'HOJA DE CÁLCULO RESPALDO'!I354+'BLAZE SHIELD II'!$H$6)*LN(J354))+('BLAZE SHIELD II'!$H$7*('HOJA DE CÁLCULO RESPALDO'!I354^2)+'BLAZE SHIELD II'!$H$8*'HOJA DE CÁLCULO RESPALDO'!I354+'BLAZE SHIELD II'!$H$9)),0),0),0))+(IF(L354="Blaze Shield II",IF(M354="Idiem software",IF(C354="C",((('BLAZE SHIELD II'!$L$4*('HOJA DE CÁLCULO RESPALDO'!I354^2)+'BLAZE SHIELD II'!$L$5*'HOJA DE CÁLCULO RESPALDO'!I354+'BLAZE SHIELD II'!$L$6)*LN(J354))+('BLAZE SHIELD II'!$L$7*('HOJA DE CÁLCULO RESPALDO'!I354^2)+'BLAZE SHIELD II'!$L$8*'HOJA DE CÁLCULO RESPALDO'!I354+'BLAZE SHIELD II'!$L$9)),0),0),0))+(IF(L354="Blaze Shield II",IF(M354="Idiem software",IF(AND(C354="IN",G354=3),((('BLAZE SHIELD II'!$H$14*('HOJA DE CÁLCULO RESPALDO'!I354^2)+'BLAZE SHIELD II'!$H$15*'HOJA DE CÁLCULO RESPALDO'!I354+'BLAZE SHIELD II'!$H$16)*LN(J354))+('BLAZE SHIELD II'!$H$17*('HOJA DE CÁLCULO RESPALDO'!I354^2)+'BLAZE SHIELD II'!$H$18*'HOJA DE CÁLCULO RESPALDO'!I354+'BLAZE SHIELD II'!$H$19)),0),0),0)),0)</f>
        <v>0</v>
      </c>
      <c r="O354" s="46">
        <f t="shared" si="39"/>
        <v>0</v>
      </c>
      <c r="P354" s="80">
        <f t="shared" si="36"/>
        <v>0</v>
      </c>
      <c r="Q354" s="85">
        <f>ROUND((IF(L354="Cafco 400",IF(M354="Idiem software",IF(AND(C354="IN",G354=4),((('CAFCO 400 '!$H$7*(J354^4)+'CAFCO 400 '!$H$8*(J354^3)+'CAFCO 400 '!$H$9*(J354^2)+'CAFCO 400 '!$H$10*J354+'CAFCO 400 '!$H$11)*I354^2)+(('CAFCO 400 '!$H$12*(J354^3)+'CAFCO 400 '!$H$13*(J354^2)+'CAFCO 400 '!$H$14*J354+'CAFCO 400 '!$H$15)*I354)+('CAFCO 400 '!$H$16*(J354^2)+'CAFCO 400 '!$H$17*J354+'CAFCO 400 '!$H$18)),0),0),0))+(IF(L354="Cafco 400",IF(M354="Idiem software",IF(C354="Cj",(((('CAFCO 400 '!$D$7*LN(J354)+'CAFCO 400 '!$D$8)*I354^2)+(('CAFCO 400 '!$D$9*LN(J354)+'CAFCO 400 '!$D$10)*I354)+('CAFCO 400 '!$D$11*LN(J354)+'CAFCO 400 '!$D$12))),0),0),0))+(IF(L354="Cafco 400",IF(M354="Idiem software",IF(C354="C",((('CAFCO 400 '!$L$7*(J354^3)+'CAFCO 400 '!$L$8*(J354^2)+'CAFCO 400 '!$L$9*J354+'CAFCO 400 '!$L$10)*I354^2)+(('CAFCO 400 '!$L$11*(J354^3)+'CAFCO 400 '!$L$12*(J354^2)+'CAFCO 400 '!$L$13*J354+'CAFCO 400 '!$L$14)*I354)+('CAFCO 400 '!$L$15*LN(J354)+'CAFCO 400 '!$L$16)),0),0),0))+(IF(L354="Cafco 400",IF(M354="Idiem software",IF(AND(C354="IN",G354=3),((('CAFCO 400 '!$D$23*(J354^2)+'CAFCO 400 '!$D$24*(J354)+'CAFCO 400 '!$D$25)*I354^2)+(('CAFCO 400 '!$D$26*(J354^2)+'CAFCO 400 '!$D$27*J354+'CAFCO 400 '!$D$28)*I354)+('CAFCO 400 '!$D$29*(J354^2)+'CAFCO 400 '!$D$30*J354+'CAFCO 400 '!$D$31)),0),0),0)),0)</f>
        <v>0</v>
      </c>
      <c r="R354" s="47">
        <f t="shared" si="40"/>
        <v>0</v>
      </c>
      <c r="S354" s="82">
        <f t="shared" si="37"/>
        <v>0</v>
      </c>
      <c r="T354" s="81">
        <f>+IF(AND(J354&gt;=95,J354&lt;=240),IF(AND(C354="Cj",I354=90),VLOOKUP(W354,'CAFCO 300 IDIEM TABLAS'!$B$4:$D$23,2,FALSE),0)+IF(AND(J354&gt;=95,J354&lt;=240),IF(AND(C354="Cj",I354=120),VLOOKUP(W354,'CAFCO 300 IDIEM TABLAS'!$B$4:$D$23,3,FALSE),0))+IF(AND(J354&gt;=95,J354&lt;=400,G354=3),IF(AND(C354="IN",I354=90),VLOOKUP(W354,'CAFCO 300 IDIEM TABLAS'!$F$4:$H$35,2,FALSE),0),0)+IF(AND(J354&gt;=95,J354&lt;=400,G354=3),IF(AND(C354="IN",I354=120),VLOOKUP(W354,'CAFCO 300 IDIEM TABLAS'!$F$4:$H$35,3,FALSE),0),0)+IF(AND(J354&gt;=95,J354&lt;=450,G354=4),IF(AND(C354="IN",I354=90),VLOOKUP(W354,'CAFCO 300 IDIEM TABLAS'!$J$4:$L$40,2,FALSE),0),0)+IF(AND(J354&gt;=95,J354&lt;=450,G354=4),IF(AND(C354="IN",I354=120),VLOOKUP(W354,'CAFCO 300 IDIEM TABLAS'!$J$4:$L$40,3,FALSE),0),0))</f>
        <v>17</v>
      </c>
      <c r="U354" s="48">
        <f t="shared" si="41"/>
        <v>6.94637676508344</v>
      </c>
      <c r="V354" s="82">
        <f t="shared" si="38"/>
        <v>104292.90075096277</v>
      </c>
      <c r="W354" s="64">
        <f>+IF(J354=LOOKUP(J354,'CAFCO 300 IDIEM TABLAS'!$J$4:$J$40),'HOJA DE CÁLCULO RESPALDO'!J354,MROUND('HOJA DE CÁLCULO RESPALDO'!J354,10))</f>
        <v>95</v>
      </c>
      <c r="X354" s="36"/>
      <c r="Y354" s="4"/>
    </row>
    <row r="355" spans="1:25" x14ac:dyDescent="0.25">
      <c r="A355" s="2" t="s">
        <v>13</v>
      </c>
      <c r="B355" s="2" t="s">
        <v>19</v>
      </c>
      <c r="C355" s="3" t="s">
        <v>19</v>
      </c>
      <c r="D355" s="3">
        <v>1</v>
      </c>
      <c r="E355" s="2">
        <v>1</v>
      </c>
      <c r="F355" s="8">
        <v>8500</v>
      </c>
      <c r="G355" s="1">
        <v>4</v>
      </c>
      <c r="H355" s="2">
        <v>1502</v>
      </c>
      <c r="I355" s="34">
        <v>90</v>
      </c>
      <c r="J355" s="11">
        <v>95</v>
      </c>
      <c r="K355" s="44">
        <f t="shared" si="35"/>
        <v>12.766999999999999</v>
      </c>
      <c r="L355" s="3" t="s">
        <v>61</v>
      </c>
      <c r="M355" s="3" t="s">
        <v>70</v>
      </c>
      <c r="N355" s="15">
        <f>ROUND((IF(L355="Blaze Shield II",IF(M355="Idiem software",IF(AND(C355="IN",G355=4),((('BLAZE SHIELD II'!$D$4*('HOJA DE CÁLCULO RESPALDO'!I355^2)+'BLAZE SHIELD II'!$D$5*'HOJA DE CÁLCULO RESPALDO'!I355+'BLAZE SHIELD II'!$D$6)*LN(J355))+('BLAZE SHIELD II'!$D$7*('HOJA DE CÁLCULO RESPALDO'!I355^2)+'BLAZE SHIELD II'!$D$8*'HOJA DE CÁLCULO RESPALDO'!I355+'BLAZE SHIELD II'!$D$9)),0),0),0))+(IF(L355="Blaze Shield II",IF(M355="Idiem software",IF(C355="Cj",((('BLAZE SHIELD II'!$H$4*('HOJA DE CÁLCULO RESPALDO'!I355^2)+'BLAZE SHIELD II'!$H$5*'HOJA DE CÁLCULO RESPALDO'!I355+'BLAZE SHIELD II'!$H$6)*LN(J355))+('BLAZE SHIELD II'!$H$7*('HOJA DE CÁLCULO RESPALDO'!I355^2)+'BLAZE SHIELD II'!$H$8*'HOJA DE CÁLCULO RESPALDO'!I355+'BLAZE SHIELD II'!$H$9)),0),0),0))+(IF(L355="Blaze Shield II",IF(M355="Idiem software",IF(C355="C",((('BLAZE SHIELD II'!$L$4*('HOJA DE CÁLCULO RESPALDO'!I355^2)+'BLAZE SHIELD II'!$L$5*'HOJA DE CÁLCULO RESPALDO'!I355+'BLAZE SHIELD II'!$L$6)*LN(J355))+('BLAZE SHIELD II'!$L$7*('HOJA DE CÁLCULO RESPALDO'!I355^2)+'BLAZE SHIELD II'!$L$8*'HOJA DE CÁLCULO RESPALDO'!I355+'BLAZE SHIELD II'!$L$9)),0),0),0))+(IF(L355="Blaze Shield II",IF(M355="Idiem software",IF(AND(C355="IN",G355=3),((('BLAZE SHIELD II'!$H$14*('HOJA DE CÁLCULO RESPALDO'!I355^2)+'BLAZE SHIELD II'!$H$15*'HOJA DE CÁLCULO RESPALDO'!I355+'BLAZE SHIELD II'!$H$16)*LN(J355))+('BLAZE SHIELD II'!$H$17*('HOJA DE CÁLCULO RESPALDO'!I355^2)+'BLAZE SHIELD II'!$H$18*'HOJA DE CÁLCULO RESPALDO'!I355+'BLAZE SHIELD II'!$H$19)),0),0),0)),0)</f>
        <v>0</v>
      </c>
      <c r="O355" s="46">
        <f t="shared" si="39"/>
        <v>0</v>
      </c>
      <c r="P355" s="80">
        <f t="shared" si="36"/>
        <v>0</v>
      </c>
      <c r="Q355" s="85">
        <f>ROUND((IF(L355="Cafco 400",IF(M355="Idiem software",IF(AND(C355="IN",G355=4),((('CAFCO 400 '!$H$7*(J355^4)+'CAFCO 400 '!$H$8*(J355^3)+'CAFCO 400 '!$H$9*(J355^2)+'CAFCO 400 '!$H$10*J355+'CAFCO 400 '!$H$11)*I355^2)+(('CAFCO 400 '!$H$12*(J355^3)+'CAFCO 400 '!$H$13*(J355^2)+'CAFCO 400 '!$H$14*J355+'CAFCO 400 '!$H$15)*I355)+('CAFCO 400 '!$H$16*(J355^2)+'CAFCO 400 '!$H$17*J355+'CAFCO 400 '!$H$18)),0),0),0))+(IF(L355="Cafco 400",IF(M355="Idiem software",IF(C355="Cj",(((('CAFCO 400 '!$D$7*LN(J355)+'CAFCO 400 '!$D$8)*I355^2)+(('CAFCO 400 '!$D$9*LN(J355)+'CAFCO 400 '!$D$10)*I355)+('CAFCO 400 '!$D$11*LN(J355)+'CAFCO 400 '!$D$12))),0),0),0))+(IF(L355="Cafco 400",IF(M355="Idiem software",IF(C355="C",((('CAFCO 400 '!$L$7*(J355^3)+'CAFCO 400 '!$L$8*(J355^2)+'CAFCO 400 '!$L$9*J355+'CAFCO 400 '!$L$10)*I355^2)+(('CAFCO 400 '!$L$11*(J355^3)+'CAFCO 400 '!$L$12*(J355^2)+'CAFCO 400 '!$L$13*J355+'CAFCO 400 '!$L$14)*I355)+('CAFCO 400 '!$L$15*LN(J355)+'CAFCO 400 '!$L$16)),0),0),0))+(IF(L355="Cafco 400",IF(M355="Idiem software",IF(AND(C355="IN",G355=3),((('CAFCO 400 '!$D$23*(J355^2)+'CAFCO 400 '!$D$24*(J355)+'CAFCO 400 '!$D$25)*I355^2)+(('CAFCO 400 '!$D$26*(J355^2)+'CAFCO 400 '!$D$27*J355+'CAFCO 400 '!$D$28)*I355)+('CAFCO 400 '!$D$29*(J355^2)+'CAFCO 400 '!$D$30*J355+'CAFCO 400 '!$D$31)),0),0),0)),0)</f>
        <v>0</v>
      </c>
      <c r="R355" s="47">
        <f t="shared" si="40"/>
        <v>0</v>
      </c>
      <c r="S355" s="82">
        <f t="shared" si="37"/>
        <v>0</v>
      </c>
      <c r="T355" s="81">
        <f>+IF(AND(J355&gt;=95,J355&lt;=240),IF(AND(C355="Cj",I355=90),VLOOKUP(W355,'CAFCO 300 IDIEM TABLAS'!$B$4:$D$23,2,FALSE),0)+IF(AND(J355&gt;=95,J355&lt;=240),IF(AND(C355="Cj",I355=120),VLOOKUP(W355,'CAFCO 300 IDIEM TABLAS'!$B$4:$D$23,3,FALSE),0))+IF(AND(J355&gt;=95,J355&lt;=400,G355=3),IF(AND(C355="IN",I355=90),VLOOKUP(W355,'CAFCO 300 IDIEM TABLAS'!$F$4:$H$35,2,FALSE),0),0)+IF(AND(J355&gt;=95,J355&lt;=400,G355=3),IF(AND(C355="IN",I355=120),VLOOKUP(W355,'CAFCO 300 IDIEM TABLAS'!$F$4:$H$35,3,FALSE),0),0)+IF(AND(J355&gt;=95,J355&lt;=450,G355=4),IF(AND(C355="IN",I355=90),VLOOKUP(W355,'CAFCO 300 IDIEM TABLAS'!$J$4:$L$40,2,FALSE),0),0)+IF(AND(J355&gt;=95,J355&lt;=450,G355=4),IF(AND(C355="IN",I355=120),VLOOKUP(W355,'CAFCO 300 IDIEM TABLAS'!$J$4:$L$40,3,FALSE),0),0))</f>
        <v>17</v>
      </c>
      <c r="U355" s="48">
        <f t="shared" si="41"/>
        <v>2.9950824775353015</v>
      </c>
      <c r="V355" s="82">
        <f t="shared" si="38"/>
        <v>44968.168317715019</v>
      </c>
      <c r="W355" s="64">
        <f>+IF(J355=LOOKUP(J355,'CAFCO 300 IDIEM TABLAS'!$J$4:$J$40),'HOJA DE CÁLCULO RESPALDO'!J355,MROUND('HOJA DE CÁLCULO RESPALDO'!J355,10))</f>
        <v>95</v>
      </c>
      <c r="X355" s="36"/>
      <c r="Y355" s="4"/>
    </row>
    <row r="356" spans="1:25" ht="15.6" customHeight="1" x14ac:dyDescent="0.25">
      <c r="A356" s="2" t="s">
        <v>12</v>
      </c>
      <c r="B356" s="2" t="s">
        <v>19</v>
      </c>
      <c r="C356" s="3" t="s">
        <v>19</v>
      </c>
      <c r="D356" s="3">
        <v>1</v>
      </c>
      <c r="E356" s="2">
        <v>1</v>
      </c>
      <c r="F356" s="8">
        <v>17500</v>
      </c>
      <c r="G356" s="1">
        <v>4</v>
      </c>
      <c r="H356" s="2">
        <v>1692</v>
      </c>
      <c r="I356" s="34">
        <v>90</v>
      </c>
      <c r="J356" s="11">
        <v>95</v>
      </c>
      <c r="K356" s="44">
        <f t="shared" si="35"/>
        <v>29.61</v>
      </c>
      <c r="L356" s="3" t="s">
        <v>61</v>
      </c>
      <c r="M356" s="3" t="s">
        <v>70</v>
      </c>
      <c r="N356" s="15">
        <f>ROUND((IF(L356="Blaze Shield II",IF(M356="Idiem software",IF(AND(C356="IN",G356=4),((('BLAZE SHIELD II'!$D$4*('HOJA DE CÁLCULO RESPALDO'!I356^2)+'BLAZE SHIELD II'!$D$5*'HOJA DE CÁLCULO RESPALDO'!I356+'BLAZE SHIELD II'!$D$6)*LN(J356))+('BLAZE SHIELD II'!$D$7*('HOJA DE CÁLCULO RESPALDO'!I356^2)+'BLAZE SHIELD II'!$D$8*'HOJA DE CÁLCULO RESPALDO'!I356+'BLAZE SHIELD II'!$D$9)),0),0),0))+(IF(L356="Blaze Shield II",IF(M356="Idiem software",IF(C356="Cj",((('BLAZE SHIELD II'!$H$4*('HOJA DE CÁLCULO RESPALDO'!I356^2)+'BLAZE SHIELD II'!$H$5*'HOJA DE CÁLCULO RESPALDO'!I356+'BLAZE SHIELD II'!$H$6)*LN(J356))+('BLAZE SHIELD II'!$H$7*('HOJA DE CÁLCULO RESPALDO'!I356^2)+'BLAZE SHIELD II'!$H$8*'HOJA DE CÁLCULO RESPALDO'!I356+'BLAZE SHIELD II'!$H$9)),0),0),0))+(IF(L356="Blaze Shield II",IF(M356="Idiem software",IF(C356="C",((('BLAZE SHIELD II'!$L$4*('HOJA DE CÁLCULO RESPALDO'!I356^2)+'BLAZE SHIELD II'!$L$5*'HOJA DE CÁLCULO RESPALDO'!I356+'BLAZE SHIELD II'!$L$6)*LN(J356))+('BLAZE SHIELD II'!$L$7*('HOJA DE CÁLCULO RESPALDO'!I356^2)+'BLAZE SHIELD II'!$L$8*'HOJA DE CÁLCULO RESPALDO'!I356+'BLAZE SHIELD II'!$L$9)),0),0),0))+(IF(L356="Blaze Shield II",IF(M356="Idiem software",IF(AND(C356="IN",G356=3),((('BLAZE SHIELD II'!$H$14*('HOJA DE CÁLCULO RESPALDO'!I356^2)+'BLAZE SHIELD II'!$H$15*'HOJA DE CÁLCULO RESPALDO'!I356+'BLAZE SHIELD II'!$H$16)*LN(J356))+('BLAZE SHIELD II'!$H$17*('HOJA DE CÁLCULO RESPALDO'!I356^2)+'BLAZE SHIELD II'!$H$18*'HOJA DE CÁLCULO RESPALDO'!I356+'BLAZE SHIELD II'!$H$19)),0),0),0)),0)</f>
        <v>0</v>
      </c>
      <c r="O356" s="46">
        <f t="shared" si="39"/>
        <v>0</v>
      </c>
      <c r="P356" s="80">
        <f t="shared" si="36"/>
        <v>0</v>
      </c>
      <c r="Q356" s="85">
        <f>ROUND((IF(L356="Cafco 400",IF(M356="Idiem software",IF(AND(C356="IN",G356=4),((('CAFCO 400 '!$H$7*(J356^4)+'CAFCO 400 '!$H$8*(J356^3)+'CAFCO 400 '!$H$9*(J356^2)+'CAFCO 400 '!$H$10*J356+'CAFCO 400 '!$H$11)*I356^2)+(('CAFCO 400 '!$H$12*(J356^3)+'CAFCO 400 '!$H$13*(J356^2)+'CAFCO 400 '!$H$14*J356+'CAFCO 400 '!$H$15)*I356)+('CAFCO 400 '!$H$16*(J356^2)+'CAFCO 400 '!$H$17*J356+'CAFCO 400 '!$H$18)),0),0),0))+(IF(L356="Cafco 400",IF(M356="Idiem software",IF(C356="Cj",(((('CAFCO 400 '!$D$7*LN(J356)+'CAFCO 400 '!$D$8)*I356^2)+(('CAFCO 400 '!$D$9*LN(J356)+'CAFCO 400 '!$D$10)*I356)+('CAFCO 400 '!$D$11*LN(J356)+'CAFCO 400 '!$D$12))),0),0),0))+(IF(L356="Cafco 400",IF(M356="Idiem software",IF(C356="C",((('CAFCO 400 '!$L$7*(J356^3)+'CAFCO 400 '!$L$8*(J356^2)+'CAFCO 400 '!$L$9*J356+'CAFCO 400 '!$L$10)*I356^2)+(('CAFCO 400 '!$L$11*(J356^3)+'CAFCO 400 '!$L$12*(J356^2)+'CAFCO 400 '!$L$13*J356+'CAFCO 400 '!$L$14)*I356)+('CAFCO 400 '!$L$15*LN(J356)+'CAFCO 400 '!$L$16)),0),0),0))+(IF(L356="Cafco 400",IF(M356="Idiem software",IF(AND(C356="IN",G356=3),((('CAFCO 400 '!$D$23*(J356^2)+'CAFCO 400 '!$D$24*(J356)+'CAFCO 400 '!$D$25)*I356^2)+(('CAFCO 400 '!$D$26*(J356^2)+'CAFCO 400 '!$D$27*J356+'CAFCO 400 '!$D$28)*I356)+('CAFCO 400 '!$D$29*(J356^2)+'CAFCO 400 '!$D$30*J356+'CAFCO 400 '!$D$31)),0),0),0)),0)</f>
        <v>0</v>
      </c>
      <c r="R356" s="47">
        <f t="shared" si="40"/>
        <v>0</v>
      </c>
      <c r="S356" s="82">
        <f t="shared" si="37"/>
        <v>0</v>
      </c>
      <c r="T356" s="81">
        <f>+IF(AND(J356&gt;=95,J356&lt;=240),IF(AND(C356="Cj",I356=90),VLOOKUP(W356,'CAFCO 300 IDIEM TABLAS'!$B$4:$D$23,2,FALSE),0)+IF(AND(J356&gt;=95,J356&lt;=240),IF(AND(C356="Cj",I356=120),VLOOKUP(W356,'CAFCO 300 IDIEM TABLAS'!$B$4:$D$23,3,FALSE),0))+IF(AND(J356&gt;=95,J356&lt;=400,G356=3),IF(AND(C356="IN",I356=90),VLOOKUP(W356,'CAFCO 300 IDIEM TABLAS'!$F$4:$H$35,2,FALSE),0),0)+IF(AND(J356&gt;=95,J356&lt;=400,G356=3),IF(AND(C356="IN",I356=120),VLOOKUP(W356,'CAFCO 300 IDIEM TABLAS'!$F$4:$H$35,3,FALSE),0),0)+IF(AND(J356&gt;=95,J356&lt;=450,G356=4),IF(AND(C356="IN",I356=90),VLOOKUP(W356,'CAFCO 300 IDIEM TABLAS'!$J$4:$L$40,2,FALSE),0),0)+IF(AND(J356&gt;=95,J356&lt;=450,G356=4),IF(AND(C356="IN",I356=120),VLOOKUP(W356,'CAFCO 300 IDIEM TABLAS'!$J$4:$L$40,3,FALSE),0),0))</f>
        <v>17</v>
      </c>
      <c r="U356" s="48">
        <f t="shared" si="41"/>
        <v>6.94637676508344</v>
      </c>
      <c r="V356" s="82">
        <f t="shared" si="38"/>
        <v>104292.90075096277</v>
      </c>
      <c r="W356" s="64">
        <f>+IF(J356=LOOKUP(J356,'CAFCO 300 IDIEM TABLAS'!$J$4:$J$40),'HOJA DE CÁLCULO RESPALDO'!J356,MROUND('HOJA DE CÁLCULO RESPALDO'!J356,10))</f>
        <v>95</v>
      </c>
      <c r="X356" s="36"/>
      <c r="Y356" s="4"/>
    </row>
    <row r="357" spans="1:25" x14ac:dyDescent="0.25">
      <c r="A357" s="2" t="s">
        <v>12</v>
      </c>
      <c r="B357" s="2" t="s">
        <v>19</v>
      </c>
      <c r="C357" s="3" t="s">
        <v>19</v>
      </c>
      <c r="D357" s="3">
        <v>1</v>
      </c>
      <c r="E357" s="2">
        <v>1</v>
      </c>
      <c r="F357" s="8">
        <v>8500</v>
      </c>
      <c r="G357" s="1">
        <v>4</v>
      </c>
      <c r="H357" s="2">
        <v>1692</v>
      </c>
      <c r="I357" s="34">
        <v>90</v>
      </c>
      <c r="J357" s="11">
        <v>95</v>
      </c>
      <c r="K357" s="44">
        <f t="shared" si="35"/>
        <v>14.382</v>
      </c>
      <c r="L357" s="3" t="s">
        <v>61</v>
      </c>
      <c r="M357" s="3" t="s">
        <v>70</v>
      </c>
      <c r="N357" s="15">
        <f>ROUND((IF(L357="Blaze Shield II",IF(M357="Idiem software",IF(AND(C357="IN",G357=4),((('BLAZE SHIELD II'!$D$4*('HOJA DE CÁLCULO RESPALDO'!I357^2)+'BLAZE SHIELD II'!$D$5*'HOJA DE CÁLCULO RESPALDO'!I357+'BLAZE SHIELD II'!$D$6)*LN(J357))+('BLAZE SHIELD II'!$D$7*('HOJA DE CÁLCULO RESPALDO'!I357^2)+'BLAZE SHIELD II'!$D$8*'HOJA DE CÁLCULO RESPALDO'!I357+'BLAZE SHIELD II'!$D$9)),0),0),0))+(IF(L357="Blaze Shield II",IF(M357="Idiem software",IF(C357="Cj",((('BLAZE SHIELD II'!$H$4*('HOJA DE CÁLCULO RESPALDO'!I357^2)+'BLAZE SHIELD II'!$H$5*'HOJA DE CÁLCULO RESPALDO'!I357+'BLAZE SHIELD II'!$H$6)*LN(J357))+('BLAZE SHIELD II'!$H$7*('HOJA DE CÁLCULO RESPALDO'!I357^2)+'BLAZE SHIELD II'!$H$8*'HOJA DE CÁLCULO RESPALDO'!I357+'BLAZE SHIELD II'!$H$9)),0),0),0))+(IF(L357="Blaze Shield II",IF(M357="Idiem software",IF(C357="C",((('BLAZE SHIELD II'!$L$4*('HOJA DE CÁLCULO RESPALDO'!I357^2)+'BLAZE SHIELD II'!$L$5*'HOJA DE CÁLCULO RESPALDO'!I357+'BLAZE SHIELD II'!$L$6)*LN(J357))+('BLAZE SHIELD II'!$L$7*('HOJA DE CÁLCULO RESPALDO'!I357^2)+'BLAZE SHIELD II'!$L$8*'HOJA DE CÁLCULO RESPALDO'!I357+'BLAZE SHIELD II'!$L$9)),0),0),0))+(IF(L357="Blaze Shield II",IF(M357="Idiem software",IF(AND(C357="IN",G357=3),((('BLAZE SHIELD II'!$H$14*('HOJA DE CÁLCULO RESPALDO'!I357^2)+'BLAZE SHIELD II'!$H$15*'HOJA DE CÁLCULO RESPALDO'!I357+'BLAZE SHIELD II'!$H$16)*LN(J357))+('BLAZE SHIELD II'!$H$17*('HOJA DE CÁLCULO RESPALDO'!I357^2)+'BLAZE SHIELD II'!$H$18*'HOJA DE CÁLCULO RESPALDO'!I357+'BLAZE SHIELD II'!$H$19)),0),0),0)),0)</f>
        <v>0</v>
      </c>
      <c r="O357" s="46">
        <f t="shared" si="39"/>
        <v>0</v>
      </c>
      <c r="P357" s="80">
        <f t="shared" si="36"/>
        <v>0</v>
      </c>
      <c r="Q357" s="85">
        <f>ROUND((IF(L357="Cafco 400",IF(M357="Idiem software",IF(AND(C357="IN",G357=4),((('CAFCO 400 '!$H$7*(J357^4)+'CAFCO 400 '!$H$8*(J357^3)+'CAFCO 400 '!$H$9*(J357^2)+'CAFCO 400 '!$H$10*J357+'CAFCO 400 '!$H$11)*I357^2)+(('CAFCO 400 '!$H$12*(J357^3)+'CAFCO 400 '!$H$13*(J357^2)+'CAFCO 400 '!$H$14*J357+'CAFCO 400 '!$H$15)*I357)+('CAFCO 400 '!$H$16*(J357^2)+'CAFCO 400 '!$H$17*J357+'CAFCO 400 '!$H$18)),0),0),0))+(IF(L357="Cafco 400",IF(M357="Idiem software",IF(C357="Cj",(((('CAFCO 400 '!$D$7*LN(J357)+'CAFCO 400 '!$D$8)*I357^2)+(('CAFCO 400 '!$D$9*LN(J357)+'CAFCO 400 '!$D$10)*I357)+('CAFCO 400 '!$D$11*LN(J357)+'CAFCO 400 '!$D$12))),0),0),0))+(IF(L357="Cafco 400",IF(M357="Idiem software",IF(C357="C",((('CAFCO 400 '!$L$7*(J357^3)+'CAFCO 400 '!$L$8*(J357^2)+'CAFCO 400 '!$L$9*J357+'CAFCO 400 '!$L$10)*I357^2)+(('CAFCO 400 '!$L$11*(J357^3)+'CAFCO 400 '!$L$12*(J357^2)+'CAFCO 400 '!$L$13*J357+'CAFCO 400 '!$L$14)*I357)+('CAFCO 400 '!$L$15*LN(J357)+'CAFCO 400 '!$L$16)),0),0),0))+(IF(L357="Cafco 400",IF(M357="Idiem software",IF(AND(C357="IN",G357=3),((('CAFCO 400 '!$D$23*(J357^2)+'CAFCO 400 '!$D$24*(J357)+'CAFCO 400 '!$D$25)*I357^2)+(('CAFCO 400 '!$D$26*(J357^2)+'CAFCO 400 '!$D$27*J357+'CAFCO 400 '!$D$28)*I357)+('CAFCO 400 '!$D$29*(J357^2)+'CAFCO 400 '!$D$30*J357+'CAFCO 400 '!$D$31)),0),0),0)),0)</f>
        <v>0</v>
      </c>
      <c r="R357" s="47">
        <f t="shared" si="40"/>
        <v>0</v>
      </c>
      <c r="S357" s="82">
        <f t="shared" si="37"/>
        <v>0</v>
      </c>
      <c r="T357" s="81">
        <f>+IF(AND(J357&gt;=95,J357&lt;=240),IF(AND(C357="Cj",I357=90),VLOOKUP(W357,'CAFCO 300 IDIEM TABLAS'!$B$4:$D$23,2,FALSE),0)+IF(AND(J357&gt;=95,J357&lt;=240),IF(AND(C357="Cj",I357=120),VLOOKUP(W357,'CAFCO 300 IDIEM TABLAS'!$B$4:$D$23,3,FALSE),0))+IF(AND(J357&gt;=95,J357&lt;=400,G357=3),IF(AND(C357="IN",I357=90),VLOOKUP(W357,'CAFCO 300 IDIEM TABLAS'!$F$4:$H$35,2,FALSE),0),0)+IF(AND(J357&gt;=95,J357&lt;=400,G357=3),IF(AND(C357="IN",I357=120),VLOOKUP(W357,'CAFCO 300 IDIEM TABLAS'!$F$4:$H$35,3,FALSE),0),0)+IF(AND(J357&gt;=95,J357&lt;=450,G357=4),IF(AND(C357="IN",I357=90),VLOOKUP(W357,'CAFCO 300 IDIEM TABLAS'!$J$4:$L$40,2,FALSE),0),0)+IF(AND(J357&gt;=95,J357&lt;=450,G357=4),IF(AND(C357="IN",I357=120),VLOOKUP(W357,'CAFCO 300 IDIEM TABLAS'!$J$4:$L$40,3,FALSE),0),0))</f>
        <v>17</v>
      </c>
      <c r="U357" s="48">
        <f t="shared" si="41"/>
        <v>3.3739544287548138</v>
      </c>
      <c r="V357" s="82">
        <f t="shared" si="38"/>
        <v>50656.551793324776</v>
      </c>
      <c r="W357" s="64">
        <f>+IF(J357=LOOKUP(J357,'CAFCO 300 IDIEM TABLAS'!$J$4:$J$40),'HOJA DE CÁLCULO RESPALDO'!J357,MROUND('HOJA DE CÁLCULO RESPALDO'!J357,10))</f>
        <v>95</v>
      </c>
      <c r="X357" s="36"/>
      <c r="Y357" s="4"/>
    </row>
    <row r="358" spans="1:25" ht="15.6" customHeight="1" x14ac:dyDescent="0.25">
      <c r="A358" s="2" t="s">
        <v>13</v>
      </c>
      <c r="B358" s="2" t="s">
        <v>19</v>
      </c>
      <c r="C358" s="3" t="s">
        <v>19</v>
      </c>
      <c r="D358" s="3">
        <v>1</v>
      </c>
      <c r="E358" s="2">
        <v>1</v>
      </c>
      <c r="F358" s="8">
        <v>8500</v>
      </c>
      <c r="G358" s="1">
        <v>4</v>
      </c>
      <c r="H358" s="2">
        <v>1502</v>
      </c>
      <c r="I358" s="34">
        <v>90</v>
      </c>
      <c r="J358" s="11">
        <v>95</v>
      </c>
      <c r="K358" s="44">
        <f t="shared" si="35"/>
        <v>12.766999999999999</v>
      </c>
      <c r="L358" s="3" t="s">
        <v>61</v>
      </c>
      <c r="M358" s="3" t="s">
        <v>70</v>
      </c>
      <c r="N358" s="15">
        <f>ROUND((IF(L358="Blaze Shield II",IF(M358="Idiem software",IF(AND(C358="IN",G358=4),((('BLAZE SHIELD II'!$D$4*('HOJA DE CÁLCULO RESPALDO'!I358^2)+'BLAZE SHIELD II'!$D$5*'HOJA DE CÁLCULO RESPALDO'!I358+'BLAZE SHIELD II'!$D$6)*LN(J358))+('BLAZE SHIELD II'!$D$7*('HOJA DE CÁLCULO RESPALDO'!I358^2)+'BLAZE SHIELD II'!$D$8*'HOJA DE CÁLCULO RESPALDO'!I358+'BLAZE SHIELD II'!$D$9)),0),0),0))+(IF(L358="Blaze Shield II",IF(M358="Idiem software",IF(C358="Cj",((('BLAZE SHIELD II'!$H$4*('HOJA DE CÁLCULO RESPALDO'!I358^2)+'BLAZE SHIELD II'!$H$5*'HOJA DE CÁLCULO RESPALDO'!I358+'BLAZE SHIELD II'!$H$6)*LN(J358))+('BLAZE SHIELD II'!$H$7*('HOJA DE CÁLCULO RESPALDO'!I358^2)+'BLAZE SHIELD II'!$H$8*'HOJA DE CÁLCULO RESPALDO'!I358+'BLAZE SHIELD II'!$H$9)),0),0),0))+(IF(L358="Blaze Shield II",IF(M358="Idiem software",IF(C358="C",((('BLAZE SHIELD II'!$L$4*('HOJA DE CÁLCULO RESPALDO'!I358^2)+'BLAZE SHIELD II'!$L$5*'HOJA DE CÁLCULO RESPALDO'!I358+'BLAZE SHIELD II'!$L$6)*LN(J358))+('BLAZE SHIELD II'!$L$7*('HOJA DE CÁLCULO RESPALDO'!I358^2)+'BLAZE SHIELD II'!$L$8*'HOJA DE CÁLCULO RESPALDO'!I358+'BLAZE SHIELD II'!$L$9)),0),0),0))+(IF(L358="Blaze Shield II",IF(M358="Idiem software",IF(AND(C358="IN",G358=3),((('BLAZE SHIELD II'!$H$14*('HOJA DE CÁLCULO RESPALDO'!I358^2)+'BLAZE SHIELD II'!$H$15*'HOJA DE CÁLCULO RESPALDO'!I358+'BLAZE SHIELD II'!$H$16)*LN(J358))+('BLAZE SHIELD II'!$H$17*('HOJA DE CÁLCULO RESPALDO'!I358^2)+'BLAZE SHIELD II'!$H$18*'HOJA DE CÁLCULO RESPALDO'!I358+'BLAZE SHIELD II'!$H$19)),0),0),0)),0)</f>
        <v>0</v>
      </c>
      <c r="O358" s="46">
        <f t="shared" si="39"/>
        <v>0</v>
      </c>
      <c r="P358" s="80">
        <f t="shared" si="36"/>
        <v>0</v>
      </c>
      <c r="Q358" s="85">
        <f>ROUND((IF(L358="Cafco 400",IF(M358="Idiem software",IF(AND(C358="IN",G358=4),((('CAFCO 400 '!$H$7*(J358^4)+'CAFCO 400 '!$H$8*(J358^3)+'CAFCO 400 '!$H$9*(J358^2)+'CAFCO 400 '!$H$10*J358+'CAFCO 400 '!$H$11)*I358^2)+(('CAFCO 400 '!$H$12*(J358^3)+'CAFCO 400 '!$H$13*(J358^2)+'CAFCO 400 '!$H$14*J358+'CAFCO 400 '!$H$15)*I358)+('CAFCO 400 '!$H$16*(J358^2)+'CAFCO 400 '!$H$17*J358+'CAFCO 400 '!$H$18)),0),0),0))+(IF(L358="Cafco 400",IF(M358="Idiem software",IF(C358="Cj",(((('CAFCO 400 '!$D$7*LN(J358)+'CAFCO 400 '!$D$8)*I358^2)+(('CAFCO 400 '!$D$9*LN(J358)+'CAFCO 400 '!$D$10)*I358)+('CAFCO 400 '!$D$11*LN(J358)+'CAFCO 400 '!$D$12))),0),0),0))+(IF(L358="Cafco 400",IF(M358="Idiem software",IF(C358="C",((('CAFCO 400 '!$L$7*(J358^3)+'CAFCO 400 '!$L$8*(J358^2)+'CAFCO 400 '!$L$9*J358+'CAFCO 400 '!$L$10)*I358^2)+(('CAFCO 400 '!$L$11*(J358^3)+'CAFCO 400 '!$L$12*(J358^2)+'CAFCO 400 '!$L$13*J358+'CAFCO 400 '!$L$14)*I358)+('CAFCO 400 '!$L$15*LN(J358)+'CAFCO 400 '!$L$16)),0),0),0))+(IF(L358="Cafco 400",IF(M358="Idiem software",IF(AND(C358="IN",G358=3),((('CAFCO 400 '!$D$23*(J358^2)+'CAFCO 400 '!$D$24*(J358)+'CAFCO 400 '!$D$25)*I358^2)+(('CAFCO 400 '!$D$26*(J358^2)+'CAFCO 400 '!$D$27*J358+'CAFCO 400 '!$D$28)*I358)+('CAFCO 400 '!$D$29*(J358^2)+'CAFCO 400 '!$D$30*J358+'CAFCO 400 '!$D$31)),0),0),0)),0)</f>
        <v>0</v>
      </c>
      <c r="R358" s="47">
        <f t="shared" si="40"/>
        <v>0</v>
      </c>
      <c r="S358" s="82">
        <f t="shared" si="37"/>
        <v>0</v>
      </c>
      <c r="T358" s="81">
        <f>+IF(AND(J358&gt;=95,J358&lt;=240),IF(AND(C358="Cj",I358=90),VLOOKUP(W358,'CAFCO 300 IDIEM TABLAS'!$B$4:$D$23,2,FALSE),0)+IF(AND(J358&gt;=95,J358&lt;=240),IF(AND(C358="Cj",I358=120),VLOOKUP(W358,'CAFCO 300 IDIEM TABLAS'!$B$4:$D$23,3,FALSE),0))+IF(AND(J358&gt;=95,J358&lt;=400,G358=3),IF(AND(C358="IN",I358=90),VLOOKUP(W358,'CAFCO 300 IDIEM TABLAS'!$F$4:$H$35,2,FALSE),0),0)+IF(AND(J358&gt;=95,J358&lt;=400,G358=3),IF(AND(C358="IN",I358=120),VLOOKUP(W358,'CAFCO 300 IDIEM TABLAS'!$F$4:$H$35,3,FALSE),0),0)+IF(AND(J358&gt;=95,J358&lt;=450,G358=4),IF(AND(C358="IN",I358=90),VLOOKUP(W358,'CAFCO 300 IDIEM TABLAS'!$J$4:$L$40,2,FALSE),0),0)+IF(AND(J358&gt;=95,J358&lt;=450,G358=4),IF(AND(C358="IN",I358=120),VLOOKUP(W358,'CAFCO 300 IDIEM TABLAS'!$J$4:$L$40,3,FALSE),0),0))</f>
        <v>17</v>
      </c>
      <c r="U358" s="48">
        <f t="shared" si="41"/>
        <v>2.9950824775353015</v>
      </c>
      <c r="V358" s="82">
        <f t="shared" si="38"/>
        <v>44968.168317715019</v>
      </c>
      <c r="W358" s="64">
        <f>+IF(J358=LOOKUP(J358,'CAFCO 300 IDIEM TABLAS'!$J$4:$J$40),'HOJA DE CÁLCULO RESPALDO'!J358,MROUND('HOJA DE CÁLCULO RESPALDO'!J358,10))</f>
        <v>95</v>
      </c>
      <c r="X358" s="36"/>
      <c r="Y358" s="4"/>
    </row>
    <row r="359" spans="1:25" x14ac:dyDescent="0.25">
      <c r="A359" s="2" t="s">
        <v>14</v>
      </c>
      <c r="B359" s="2"/>
      <c r="C359" s="3" t="s">
        <v>19</v>
      </c>
      <c r="D359" s="3">
        <v>1</v>
      </c>
      <c r="E359" s="2">
        <v>1</v>
      </c>
      <c r="F359" s="8">
        <v>11097</v>
      </c>
      <c r="G359" s="1">
        <v>4</v>
      </c>
      <c r="H359" s="2">
        <v>585</v>
      </c>
      <c r="I359" s="34">
        <v>90</v>
      </c>
      <c r="J359" s="11">
        <v>95</v>
      </c>
      <c r="K359" s="44">
        <f t="shared" si="35"/>
        <v>6.4917449999999999</v>
      </c>
      <c r="L359" s="3" t="s">
        <v>61</v>
      </c>
      <c r="M359" s="3" t="s">
        <v>70</v>
      </c>
      <c r="N359" s="15">
        <f>ROUND((IF(L359="Blaze Shield II",IF(M359="Idiem software",IF(AND(C359="IN",G359=4),((('BLAZE SHIELD II'!$D$4*('HOJA DE CÁLCULO RESPALDO'!I359^2)+'BLAZE SHIELD II'!$D$5*'HOJA DE CÁLCULO RESPALDO'!I359+'BLAZE SHIELD II'!$D$6)*LN(J359))+('BLAZE SHIELD II'!$D$7*('HOJA DE CÁLCULO RESPALDO'!I359^2)+'BLAZE SHIELD II'!$D$8*'HOJA DE CÁLCULO RESPALDO'!I359+'BLAZE SHIELD II'!$D$9)),0),0),0))+(IF(L359="Blaze Shield II",IF(M359="Idiem software",IF(C359="Cj",((('BLAZE SHIELD II'!$H$4*('HOJA DE CÁLCULO RESPALDO'!I359^2)+'BLAZE SHIELD II'!$H$5*'HOJA DE CÁLCULO RESPALDO'!I359+'BLAZE SHIELD II'!$H$6)*LN(J359))+('BLAZE SHIELD II'!$H$7*('HOJA DE CÁLCULO RESPALDO'!I359^2)+'BLAZE SHIELD II'!$H$8*'HOJA DE CÁLCULO RESPALDO'!I359+'BLAZE SHIELD II'!$H$9)),0),0),0))+(IF(L359="Blaze Shield II",IF(M359="Idiem software",IF(C359="C",((('BLAZE SHIELD II'!$L$4*('HOJA DE CÁLCULO RESPALDO'!I359^2)+'BLAZE SHIELD II'!$L$5*'HOJA DE CÁLCULO RESPALDO'!I359+'BLAZE SHIELD II'!$L$6)*LN(J359))+('BLAZE SHIELD II'!$L$7*('HOJA DE CÁLCULO RESPALDO'!I359^2)+'BLAZE SHIELD II'!$L$8*'HOJA DE CÁLCULO RESPALDO'!I359+'BLAZE SHIELD II'!$L$9)),0),0),0))+(IF(L359="Blaze Shield II",IF(M359="Idiem software",IF(AND(C359="IN",G359=3),((('BLAZE SHIELD II'!$H$14*('HOJA DE CÁLCULO RESPALDO'!I359^2)+'BLAZE SHIELD II'!$H$15*'HOJA DE CÁLCULO RESPALDO'!I359+'BLAZE SHIELD II'!$H$16)*LN(J359))+('BLAZE SHIELD II'!$H$17*('HOJA DE CÁLCULO RESPALDO'!I359^2)+'BLAZE SHIELD II'!$H$18*'HOJA DE CÁLCULO RESPALDO'!I359+'BLAZE SHIELD II'!$H$19)),0),0),0)),0)</f>
        <v>0</v>
      </c>
      <c r="O359" s="46">
        <f t="shared" si="39"/>
        <v>0</v>
      </c>
      <c r="P359" s="80">
        <f t="shared" si="36"/>
        <v>0</v>
      </c>
      <c r="Q359" s="85">
        <f>ROUND((IF(L359="Cafco 400",IF(M359="Idiem software",IF(AND(C359="IN",G359=4),((('CAFCO 400 '!$H$7*(J359^4)+'CAFCO 400 '!$H$8*(J359^3)+'CAFCO 400 '!$H$9*(J359^2)+'CAFCO 400 '!$H$10*J359+'CAFCO 400 '!$H$11)*I359^2)+(('CAFCO 400 '!$H$12*(J359^3)+'CAFCO 400 '!$H$13*(J359^2)+'CAFCO 400 '!$H$14*J359+'CAFCO 400 '!$H$15)*I359)+('CAFCO 400 '!$H$16*(J359^2)+'CAFCO 400 '!$H$17*J359+'CAFCO 400 '!$H$18)),0),0),0))+(IF(L359="Cafco 400",IF(M359="Idiem software",IF(C359="Cj",(((('CAFCO 400 '!$D$7*LN(J359)+'CAFCO 400 '!$D$8)*I359^2)+(('CAFCO 400 '!$D$9*LN(J359)+'CAFCO 400 '!$D$10)*I359)+('CAFCO 400 '!$D$11*LN(J359)+'CAFCO 400 '!$D$12))),0),0),0))+(IF(L359="Cafco 400",IF(M359="Idiem software",IF(C359="C",((('CAFCO 400 '!$L$7*(J359^3)+'CAFCO 400 '!$L$8*(J359^2)+'CAFCO 400 '!$L$9*J359+'CAFCO 400 '!$L$10)*I359^2)+(('CAFCO 400 '!$L$11*(J359^3)+'CAFCO 400 '!$L$12*(J359^2)+'CAFCO 400 '!$L$13*J359+'CAFCO 400 '!$L$14)*I359)+('CAFCO 400 '!$L$15*LN(J359)+'CAFCO 400 '!$L$16)),0),0),0))+(IF(L359="Cafco 400",IF(M359="Idiem software",IF(AND(C359="IN",G359=3),((('CAFCO 400 '!$D$23*(J359^2)+'CAFCO 400 '!$D$24*(J359)+'CAFCO 400 '!$D$25)*I359^2)+(('CAFCO 400 '!$D$26*(J359^2)+'CAFCO 400 '!$D$27*J359+'CAFCO 400 '!$D$28)*I359)+('CAFCO 400 '!$D$29*(J359^2)+'CAFCO 400 '!$D$30*J359+'CAFCO 400 '!$D$31)),0),0),0)),0)</f>
        <v>0</v>
      </c>
      <c r="R359" s="47">
        <f t="shared" si="40"/>
        <v>0</v>
      </c>
      <c r="S359" s="82">
        <f t="shared" si="37"/>
        <v>0</v>
      </c>
      <c r="T359" s="81">
        <f>+IF(AND(J359&gt;=95,J359&lt;=240),IF(AND(C359="Cj",I359=90),VLOOKUP(W359,'CAFCO 300 IDIEM TABLAS'!$B$4:$D$23,2,FALSE),0)+IF(AND(J359&gt;=95,J359&lt;=240),IF(AND(C359="Cj",I359=120),VLOOKUP(W359,'CAFCO 300 IDIEM TABLAS'!$B$4:$D$23,3,FALSE),0))+IF(AND(J359&gt;=95,J359&lt;=400,G359=3),IF(AND(C359="IN",I359=90),VLOOKUP(W359,'CAFCO 300 IDIEM TABLAS'!$F$4:$H$35,2,FALSE),0),0)+IF(AND(J359&gt;=95,J359&lt;=400,G359=3),IF(AND(C359="IN",I359=120),VLOOKUP(W359,'CAFCO 300 IDIEM TABLAS'!$F$4:$H$35,3,FALSE),0),0)+IF(AND(J359&gt;=95,J359&lt;=450,G359=4),IF(AND(C359="IN",I359=90),VLOOKUP(W359,'CAFCO 300 IDIEM TABLAS'!$J$4:$L$40,2,FALSE),0),0)+IF(AND(J359&gt;=95,J359&lt;=450,G359=4),IF(AND(C359="IN",I359=120),VLOOKUP(W359,'CAFCO 300 IDIEM TABLAS'!$J$4:$L$40,3,FALSE),0),0))</f>
        <v>17</v>
      </c>
      <c r="U359" s="48">
        <f t="shared" si="41"/>
        <v>1.5229350433247753</v>
      </c>
      <c r="V359" s="82">
        <f t="shared" si="38"/>
        <v>22865.346740478177</v>
      </c>
      <c r="W359" s="64">
        <f>+IF(J359=LOOKUP(J359,'CAFCO 300 IDIEM TABLAS'!$J$4:$J$40),'HOJA DE CÁLCULO RESPALDO'!J359,MROUND('HOJA DE CÁLCULO RESPALDO'!J359,10))</f>
        <v>95</v>
      </c>
      <c r="X359" s="36"/>
      <c r="Y359" s="4"/>
    </row>
    <row r="360" spans="1:25" ht="15.6" customHeight="1" x14ac:dyDescent="0.25">
      <c r="A360" s="2" t="s">
        <v>15</v>
      </c>
      <c r="B360" s="2"/>
      <c r="C360" s="3" t="s">
        <v>19</v>
      </c>
      <c r="D360" s="3">
        <v>1</v>
      </c>
      <c r="E360" s="2">
        <v>1</v>
      </c>
      <c r="F360" s="8">
        <v>1500</v>
      </c>
      <c r="G360" s="1">
        <v>4</v>
      </c>
      <c r="H360" s="2">
        <v>776</v>
      </c>
      <c r="I360" s="34">
        <v>90</v>
      </c>
      <c r="J360" s="11">
        <v>95</v>
      </c>
      <c r="K360" s="44">
        <f t="shared" si="35"/>
        <v>1.1639999999999999</v>
      </c>
      <c r="L360" s="3" t="s">
        <v>61</v>
      </c>
      <c r="M360" s="3" t="s">
        <v>70</v>
      </c>
      <c r="N360" s="15">
        <f>ROUND((IF(L360="Blaze Shield II",IF(M360="Idiem software",IF(AND(C360="IN",G360=4),((('BLAZE SHIELD II'!$D$4*('HOJA DE CÁLCULO RESPALDO'!I360^2)+'BLAZE SHIELD II'!$D$5*'HOJA DE CÁLCULO RESPALDO'!I360+'BLAZE SHIELD II'!$D$6)*LN(J360))+('BLAZE SHIELD II'!$D$7*('HOJA DE CÁLCULO RESPALDO'!I360^2)+'BLAZE SHIELD II'!$D$8*'HOJA DE CÁLCULO RESPALDO'!I360+'BLAZE SHIELD II'!$D$9)),0),0),0))+(IF(L360="Blaze Shield II",IF(M360="Idiem software",IF(C360="Cj",((('BLAZE SHIELD II'!$H$4*('HOJA DE CÁLCULO RESPALDO'!I360^2)+'BLAZE SHIELD II'!$H$5*'HOJA DE CÁLCULO RESPALDO'!I360+'BLAZE SHIELD II'!$H$6)*LN(J360))+('BLAZE SHIELD II'!$H$7*('HOJA DE CÁLCULO RESPALDO'!I360^2)+'BLAZE SHIELD II'!$H$8*'HOJA DE CÁLCULO RESPALDO'!I360+'BLAZE SHIELD II'!$H$9)),0),0),0))+(IF(L360="Blaze Shield II",IF(M360="Idiem software",IF(C360="C",((('BLAZE SHIELD II'!$L$4*('HOJA DE CÁLCULO RESPALDO'!I360^2)+'BLAZE SHIELD II'!$L$5*'HOJA DE CÁLCULO RESPALDO'!I360+'BLAZE SHIELD II'!$L$6)*LN(J360))+('BLAZE SHIELD II'!$L$7*('HOJA DE CÁLCULO RESPALDO'!I360^2)+'BLAZE SHIELD II'!$L$8*'HOJA DE CÁLCULO RESPALDO'!I360+'BLAZE SHIELD II'!$L$9)),0),0),0))+(IF(L360="Blaze Shield II",IF(M360="Idiem software",IF(AND(C360="IN",G360=3),((('BLAZE SHIELD II'!$H$14*('HOJA DE CÁLCULO RESPALDO'!I360^2)+'BLAZE SHIELD II'!$H$15*'HOJA DE CÁLCULO RESPALDO'!I360+'BLAZE SHIELD II'!$H$16)*LN(J360))+('BLAZE SHIELD II'!$H$17*('HOJA DE CÁLCULO RESPALDO'!I360^2)+'BLAZE SHIELD II'!$H$18*'HOJA DE CÁLCULO RESPALDO'!I360+'BLAZE SHIELD II'!$H$19)),0),0),0)),0)</f>
        <v>0</v>
      </c>
      <c r="O360" s="46">
        <f t="shared" si="39"/>
        <v>0</v>
      </c>
      <c r="P360" s="80">
        <f t="shared" si="36"/>
        <v>0</v>
      </c>
      <c r="Q360" s="85">
        <f>ROUND((IF(L360="Cafco 400",IF(M360="Idiem software",IF(AND(C360="IN",G360=4),((('CAFCO 400 '!$H$7*(J360^4)+'CAFCO 400 '!$H$8*(J360^3)+'CAFCO 400 '!$H$9*(J360^2)+'CAFCO 400 '!$H$10*J360+'CAFCO 400 '!$H$11)*I360^2)+(('CAFCO 400 '!$H$12*(J360^3)+'CAFCO 400 '!$H$13*(J360^2)+'CAFCO 400 '!$H$14*J360+'CAFCO 400 '!$H$15)*I360)+('CAFCO 400 '!$H$16*(J360^2)+'CAFCO 400 '!$H$17*J360+'CAFCO 400 '!$H$18)),0),0),0))+(IF(L360="Cafco 400",IF(M360="Idiem software",IF(C360="Cj",(((('CAFCO 400 '!$D$7*LN(J360)+'CAFCO 400 '!$D$8)*I360^2)+(('CAFCO 400 '!$D$9*LN(J360)+'CAFCO 400 '!$D$10)*I360)+('CAFCO 400 '!$D$11*LN(J360)+'CAFCO 400 '!$D$12))),0),0),0))+(IF(L360="Cafco 400",IF(M360="Idiem software",IF(C360="C",((('CAFCO 400 '!$L$7*(J360^3)+'CAFCO 400 '!$L$8*(J360^2)+'CAFCO 400 '!$L$9*J360+'CAFCO 400 '!$L$10)*I360^2)+(('CAFCO 400 '!$L$11*(J360^3)+'CAFCO 400 '!$L$12*(J360^2)+'CAFCO 400 '!$L$13*J360+'CAFCO 400 '!$L$14)*I360)+('CAFCO 400 '!$L$15*LN(J360)+'CAFCO 400 '!$L$16)),0),0),0))+(IF(L360="Cafco 400",IF(M360="Idiem software",IF(AND(C360="IN",G360=3),((('CAFCO 400 '!$D$23*(J360^2)+'CAFCO 400 '!$D$24*(J360)+'CAFCO 400 '!$D$25)*I360^2)+(('CAFCO 400 '!$D$26*(J360^2)+'CAFCO 400 '!$D$27*J360+'CAFCO 400 '!$D$28)*I360)+('CAFCO 400 '!$D$29*(J360^2)+'CAFCO 400 '!$D$30*J360+'CAFCO 400 '!$D$31)),0),0),0)),0)</f>
        <v>0</v>
      </c>
      <c r="R360" s="47">
        <f t="shared" si="40"/>
        <v>0</v>
      </c>
      <c r="S360" s="82">
        <f t="shared" si="37"/>
        <v>0</v>
      </c>
      <c r="T360" s="81">
        <f>+IF(AND(J360&gt;=95,J360&lt;=240),IF(AND(C360="Cj",I360=90),VLOOKUP(W360,'CAFCO 300 IDIEM TABLAS'!$B$4:$D$23,2,FALSE),0)+IF(AND(J360&gt;=95,J360&lt;=240),IF(AND(C360="Cj",I360=120),VLOOKUP(W360,'CAFCO 300 IDIEM TABLAS'!$B$4:$D$23,3,FALSE),0))+IF(AND(J360&gt;=95,J360&lt;=400,G360=3),IF(AND(C360="IN",I360=90),VLOOKUP(W360,'CAFCO 300 IDIEM TABLAS'!$F$4:$H$35,2,FALSE),0),0)+IF(AND(J360&gt;=95,J360&lt;=400,G360=3),IF(AND(C360="IN",I360=120),VLOOKUP(W360,'CAFCO 300 IDIEM TABLAS'!$F$4:$H$35,3,FALSE),0),0)+IF(AND(J360&gt;=95,J360&lt;=450,G360=4),IF(AND(C360="IN",I360=90),VLOOKUP(W360,'CAFCO 300 IDIEM TABLAS'!$J$4:$L$40,2,FALSE),0),0)+IF(AND(J360&gt;=95,J360&lt;=450,G360=4),IF(AND(C360="IN",I360=120),VLOOKUP(W360,'CAFCO 300 IDIEM TABLAS'!$J$4:$L$40,3,FALSE),0),0))</f>
        <v>17</v>
      </c>
      <c r="U360" s="48">
        <f t="shared" si="41"/>
        <v>0.2730693196405648</v>
      </c>
      <c r="V360" s="82">
        <f t="shared" si="38"/>
        <v>4099.8627650834396</v>
      </c>
      <c r="W360" s="64">
        <f>+IF(J360=LOOKUP(J360,'CAFCO 300 IDIEM TABLAS'!$J$4:$J$40),'HOJA DE CÁLCULO RESPALDO'!J360,MROUND('HOJA DE CÁLCULO RESPALDO'!J360,10))</f>
        <v>95</v>
      </c>
      <c r="X360" s="36"/>
      <c r="Y360" s="4"/>
    </row>
    <row r="361" spans="1:25" x14ac:dyDescent="0.25">
      <c r="A361" s="2" t="s">
        <v>16</v>
      </c>
      <c r="B361" s="2"/>
      <c r="C361" s="3" t="s">
        <v>19</v>
      </c>
      <c r="D361" s="3">
        <v>1</v>
      </c>
      <c r="E361" s="2">
        <v>1</v>
      </c>
      <c r="F361" s="8">
        <v>1500</v>
      </c>
      <c r="G361" s="1">
        <v>4</v>
      </c>
      <c r="H361" s="2">
        <v>3879</v>
      </c>
      <c r="I361" s="34">
        <v>90</v>
      </c>
      <c r="J361" s="11">
        <v>95</v>
      </c>
      <c r="K361" s="44">
        <f t="shared" si="35"/>
        <v>5.8185000000000002</v>
      </c>
      <c r="L361" s="3" t="s">
        <v>61</v>
      </c>
      <c r="M361" s="3" t="s">
        <v>70</v>
      </c>
      <c r="N361" s="15">
        <f>ROUND((IF(L361="Blaze Shield II",IF(M361="Idiem software",IF(AND(C361="IN",G361=4),((('BLAZE SHIELD II'!$D$4*('HOJA DE CÁLCULO RESPALDO'!I361^2)+'BLAZE SHIELD II'!$D$5*'HOJA DE CÁLCULO RESPALDO'!I361+'BLAZE SHIELD II'!$D$6)*LN(J361))+('BLAZE SHIELD II'!$D$7*('HOJA DE CÁLCULO RESPALDO'!I361^2)+'BLAZE SHIELD II'!$D$8*'HOJA DE CÁLCULO RESPALDO'!I361+'BLAZE SHIELD II'!$D$9)),0),0),0))+(IF(L361="Blaze Shield II",IF(M361="Idiem software",IF(C361="Cj",((('BLAZE SHIELD II'!$H$4*('HOJA DE CÁLCULO RESPALDO'!I361^2)+'BLAZE SHIELD II'!$H$5*'HOJA DE CÁLCULO RESPALDO'!I361+'BLAZE SHIELD II'!$H$6)*LN(J361))+('BLAZE SHIELD II'!$H$7*('HOJA DE CÁLCULO RESPALDO'!I361^2)+'BLAZE SHIELD II'!$H$8*'HOJA DE CÁLCULO RESPALDO'!I361+'BLAZE SHIELD II'!$H$9)),0),0),0))+(IF(L361="Blaze Shield II",IF(M361="Idiem software",IF(C361="C",((('BLAZE SHIELD II'!$L$4*('HOJA DE CÁLCULO RESPALDO'!I361^2)+'BLAZE SHIELD II'!$L$5*'HOJA DE CÁLCULO RESPALDO'!I361+'BLAZE SHIELD II'!$L$6)*LN(J361))+('BLAZE SHIELD II'!$L$7*('HOJA DE CÁLCULO RESPALDO'!I361^2)+'BLAZE SHIELD II'!$L$8*'HOJA DE CÁLCULO RESPALDO'!I361+'BLAZE SHIELD II'!$L$9)),0),0),0))+(IF(L361="Blaze Shield II",IF(M361="Idiem software",IF(AND(C361="IN",G361=3),((('BLAZE SHIELD II'!$H$14*('HOJA DE CÁLCULO RESPALDO'!I361^2)+'BLAZE SHIELD II'!$H$15*'HOJA DE CÁLCULO RESPALDO'!I361+'BLAZE SHIELD II'!$H$16)*LN(J361))+('BLAZE SHIELD II'!$H$17*('HOJA DE CÁLCULO RESPALDO'!I361^2)+'BLAZE SHIELD II'!$H$18*'HOJA DE CÁLCULO RESPALDO'!I361+'BLAZE SHIELD II'!$H$19)),0),0),0)),0)</f>
        <v>0</v>
      </c>
      <c r="O361" s="46">
        <f t="shared" si="39"/>
        <v>0</v>
      </c>
      <c r="P361" s="80">
        <f t="shared" si="36"/>
        <v>0</v>
      </c>
      <c r="Q361" s="85">
        <f>ROUND((IF(L361="Cafco 400",IF(M361="Idiem software",IF(AND(C361="IN",G361=4),((('CAFCO 400 '!$H$7*(J361^4)+'CAFCO 400 '!$H$8*(J361^3)+'CAFCO 400 '!$H$9*(J361^2)+'CAFCO 400 '!$H$10*J361+'CAFCO 400 '!$H$11)*I361^2)+(('CAFCO 400 '!$H$12*(J361^3)+'CAFCO 400 '!$H$13*(J361^2)+'CAFCO 400 '!$H$14*J361+'CAFCO 400 '!$H$15)*I361)+('CAFCO 400 '!$H$16*(J361^2)+'CAFCO 400 '!$H$17*J361+'CAFCO 400 '!$H$18)),0),0),0))+(IF(L361="Cafco 400",IF(M361="Idiem software",IF(C361="Cj",(((('CAFCO 400 '!$D$7*LN(J361)+'CAFCO 400 '!$D$8)*I361^2)+(('CAFCO 400 '!$D$9*LN(J361)+'CAFCO 400 '!$D$10)*I361)+('CAFCO 400 '!$D$11*LN(J361)+'CAFCO 400 '!$D$12))),0),0),0))+(IF(L361="Cafco 400",IF(M361="Idiem software",IF(C361="C",((('CAFCO 400 '!$L$7*(J361^3)+'CAFCO 400 '!$L$8*(J361^2)+'CAFCO 400 '!$L$9*J361+'CAFCO 400 '!$L$10)*I361^2)+(('CAFCO 400 '!$L$11*(J361^3)+'CAFCO 400 '!$L$12*(J361^2)+'CAFCO 400 '!$L$13*J361+'CAFCO 400 '!$L$14)*I361)+('CAFCO 400 '!$L$15*LN(J361)+'CAFCO 400 '!$L$16)),0),0),0))+(IF(L361="Cafco 400",IF(M361="Idiem software",IF(AND(C361="IN",G361=3),((('CAFCO 400 '!$D$23*(J361^2)+'CAFCO 400 '!$D$24*(J361)+'CAFCO 400 '!$D$25)*I361^2)+(('CAFCO 400 '!$D$26*(J361^2)+'CAFCO 400 '!$D$27*J361+'CAFCO 400 '!$D$28)*I361)+('CAFCO 400 '!$D$29*(J361^2)+'CAFCO 400 '!$D$30*J361+'CAFCO 400 '!$D$31)),0),0),0)),0)</f>
        <v>0</v>
      </c>
      <c r="R361" s="47">
        <f t="shared" si="40"/>
        <v>0</v>
      </c>
      <c r="S361" s="82">
        <f t="shared" si="37"/>
        <v>0</v>
      </c>
      <c r="T361" s="81">
        <f>+IF(AND(J361&gt;=95,J361&lt;=240),IF(AND(C361="Cj",I361=90),VLOOKUP(W361,'CAFCO 300 IDIEM TABLAS'!$B$4:$D$23,2,FALSE),0)+IF(AND(J361&gt;=95,J361&lt;=240),IF(AND(C361="Cj",I361=120),VLOOKUP(W361,'CAFCO 300 IDIEM TABLAS'!$B$4:$D$23,3,FALSE),0))+IF(AND(J361&gt;=95,J361&lt;=400,G361=3),IF(AND(C361="IN",I361=90),VLOOKUP(W361,'CAFCO 300 IDIEM TABLAS'!$F$4:$H$35,2,FALSE),0),0)+IF(AND(J361&gt;=95,J361&lt;=400,G361=3),IF(AND(C361="IN",I361=120),VLOOKUP(W361,'CAFCO 300 IDIEM TABLAS'!$F$4:$H$35,3,FALSE),0),0)+IF(AND(J361&gt;=95,J361&lt;=450,G361=4),IF(AND(C361="IN",I361=90),VLOOKUP(W361,'CAFCO 300 IDIEM TABLAS'!$J$4:$L$40,2,FALSE),0),0)+IF(AND(J361&gt;=95,J361&lt;=450,G361=4),IF(AND(C361="IN",I361=120),VLOOKUP(W361,'CAFCO 300 IDIEM TABLAS'!$J$4:$L$40,3,FALSE),0),0))</f>
        <v>17</v>
      </c>
      <c r="U361" s="48">
        <f t="shared" si="41"/>
        <v>1.3649947047496791</v>
      </c>
      <c r="V361" s="82">
        <f t="shared" si="38"/>
        <v>20494.030497111682</v>
      </c>
      <c r="W361" s="64">
        <f>+IF(J361=LOOKUP(J361,'CAFCO 300 IDIEM TABLAS'!$J$4:$J$40),'HOJA DE CÁLCULO RESPALDO'!J361,MROUND('HOJA DE CÁLCULO RESPALDO'!J361,10))</f>
        <v>95</v>
      </c>
      <c r="X361" s="36"/>
      <c r="Y361" s="4"/>
    </row>
    <row r="362" spans="1:25" ht="15.6" customHeight="1" x14ac:dyDescent="0.25">
      <c r="A362" s="2" t="s">
        <v>14</v>
      </c>
      <c r="B362" s="2"/>
      <c r="C362" s="3" t="s">
        <v>19</v>
      </c>
      <c r="D362" s="3">
        <v>1</v>
      </c>
      <c r="E362" s="2">
        <v>1</v>
      </c>
      <c r="F362" s="8">
        <v>11081</v>
      </c>
      <c r="G362" s="1">
        <v>4</v>
      </c>
      <c r="H362" s="2">
        <v>585</v>
      </c>
      <c r="I362" s="34">
        <v>90</v>
      </c>
      <c r="J362" s="11">
        <v>95</v>
      </c>
      <c r="K362" s="44">
        <f t="shared" si="35"/>
        <v>6.4823849999999998</v>
      </c>
      <c r="L362" s="3" t="s">
        <v>61</v>
      </c>
      <c r="M362" s="3" t="s">
        <v>70</v>
      </c>
      <c r="N362" s="15">
        <f>ROUND((IF(L362="Blaze Shield II",IF(M362="Idiem software",IF(AND(C362="IN",G362=4),((('BLAZE SHIELD II'!$D$4*('HOJA DE CÁLCULO RESPALDO'!I362^2)+'BLAZE SHIELD II'!$D$5*'HOJA DE CÁLCULO RESPALDO'!I362+'BLAZE SHIELD II'!$D$6)*LN(J362))+('BLAZE SHIELD II'!$D$7*('HOJA DE CÁLCULO RESPALDO'!I362^2)+'BLAZE SHIELD II'!$D$8*'HOJA DE CÁLCULO RESPALDO'!I362+'BLAZE SHIELD II'!$D$9)),0),0),0))+(IF(L362="Blaze Shield II",IF(M362="Idiem software",IF(C362="Cj",((('BLAZE SHIELD II'!$H$4*('HOJA DE CÁLCULO RESPALDO'!I362^2)+'BLAZE SHIELD II'!$H$5*'HOJA DE CÁLCULO RESPALDO'!I362+'BLAZE SHIELD II'!$H$6)*LN(J362))+('BLAZE SHIELD II'!$H$7*('HOJA DE CÁLCULO RESPALDO'!I362^2)+'BLAZE SHIELD II'!$H$8*'HOJA DE CÁLCULO RESPALDO'!I362+'BLAZE SHIELD II'!$H$9)),0),0),0))+(IF(L362="Blaze Shield II",IF(M362="Idiem software",IF(C362="C",((('BLAZE SHIELD II'!$L$4*('HOJA DE CÁLCULO RESPALDO'!I362^2)+'BLAZE SHIELD II'!$L$5*'HOJA DE CÁLCULO RESPALDO'!I362+'BLAZE SHIELD II'!$L$6)*LN(J362))+('BLAZE SHIELD II'!$L$7*('HOJA DE CÁLCULO RESPALDO'!I362^2)+'BLAZE SHIELD II'!$L$8*'HOJA DE CÁLCULO RESPALDO'!I362+'BLAZE SHIELD II'!$L$9)),0),0),0))+(IF(L362="Blaze Shield II",IF(M362="Idiem software",IF(AND(C362="IN",G362=3),((('BLAZE SHIELD II'!$H$14*('HOJA DE CÁLCULO RESPALDO'!I362^2)+'BLAZE SHIELD II'!$H$15*'HOJA DE CÁLCULO RESPALDO'!I362+'BLAZE SHIELD II'!$H$16)*LN(J362))+('BLAZE SHIELD II'!$H$17*('HOJA DE CÁLCULO RESPALDO'!I362^2)+'BLAZE SHIELD II'!$H$18*'HOJA DE CÁLCULO RESPALDO'!I362+'BLAZE SHIELD II'!$H$19)),0),0),0)),0)</f>
        <v>0</v>
      </c>
      <c r="O362" s="46">
        <f t="shared" si="39"/>
        <v>0</v>
      </c>
      <c r="P362" s="80">
        <f t="shared" si="36"/>
        <v>0</v>
      </c>
      <c r="Q362" s="85">
        <f>ROUND((IF(L362="Cafco 400",IF(M362="Idiem software",IF(AND(C362="IN",G362=4),((('CAFCO 400 '!$H$7*(J362^4)+'CAFCO 400 '!$H$8*(J362^3)+'CAFCO 400 '!$H$9*(J362^2)+'CAFCO 400 '!$H$10*J362+'CAFCO 400 '!$H$11)*I362^2)+(('CAFCO 400 '!$H$12*(J362^3)+'CAFCO 400 '!$H$13*(J362^2)+'CAFCO 400 '!$H$14*J362+'CAFCO 400 '!$H$15)*I362)+('CAFCO 400 '!$H$16*(J362^2)+'CAFCO 400 '!$H$17*J362+'CAFCO 400 '!$H$18)),0),0),0))+(IF(L362="Cafco 400",IF(M362="Idiem software",IF(C362="Cj",(((('CAFCO 400 '!$D$7*LN(J362)+'CAFCO 400 '!$D$8)*I362^2)+(('CAFCO 400 '!$D$9*LN(J362)+'CAFCO 400 '!$D$10)*I362)+('CAFCO 400 '!$D$11*LN(J362)+'CAFCO 400 '!$D$12))),0),0),0))+(IF(L362="Cafco 400",IF(M362="Idiem software",IF(C362="C",((('CAFCO 400 '!$L$7*(J362^3)+'CAFCO 400 '!$L$8*(J362^2)+'CAFCO 400 '!$L$9*J362+'CAFCO 400 '!$L$10)*I362^2)+(('CAFCO 400 '!$L$11*(J362^3)+'CAFCO 400 '!$L$12*(J362^2)+'CAFCO 400 '!$L$13*J362+'CAFCO 400 '!$L$14)*I362)+('CAFCO 400 '!$L$15*LN(J362)+'CAFCO 400 '!$L$16)),0),0),0))+(IF(L362="Cafco 400",IF(M362="Idiem software",IF(AND(C362="IN",G362=3),((('CAFCO 400 '!$D$23*(J362^2)+'CAFCO 400 '!$D$24*(J362)+'CAFCO 400 '!$D$25)*I362^2)+(('CAFCO 400 '!$D$26*(J362^2)+'CAFCO 400 '!$D$27*J362+'CAFCO 400 '!$D$28)*I362)+('CAFCO 400 '!$D$29*(J362^2)+'CAFCO 400 '!$D$30*J362+'CAFCO 400 '!$D$31)),0),0),0)),0)</f>
        <v>0</v>
      </c>
      <c r="R362" s="47">
        <f t="shared" si="40"/>
        <v>0</v>
      </c>
      <c r="S362" s="82">
        <f t="shared" si="37"/>
        <v>0</v>
      </c>
      <c r="T362" s="81">
        <f>+IF(AND(J362&gt;=95,J362&lt;=240),IF(AND(C362="Cj",I362=90),VLOOKUP(W362,'CAFCO 300 IDIEM TABLAS'!$B$4:$D$23,2,FALSE),0)+IF(AND(J362&gt;=95,J362&lt;=240),IF(AND(C362="Cj",I362=120),VLOOKUP(W362,'CAFCO 300 IDIEM TABLAS'!$B$4:$D$23,3,FALSE),0))+IF(AND(J362&gt;=95,J362&lt;=400,G362=3),IF(AND(C362="IN",I362=90),VLOOKUP(W362,'CAFCO 300 IDIEM TABLAS'!$F$4:$H$35,2,FALSE),0),0)+IF(AND(J362&gt;=95,J362&lt;=400,G362=3),IF(AND(C362="IN",I362=120),VLOOKUP(W362,'CAFCO 300 IDIEM TABLAS'!$F$4:$H$35,3,FALSE),0),0)+IF(AND(J362&gt;=95,J362&lt;=450,G362=4),IF(AND(C362="IN",I362=90),VLOOKUP(W362,'CAFCO 300 IDIEM TABLAS'!$J$4:$L$40,2,FALSE),0),0)+IF(AND(J362&gt;=95,J362&lt;=450,G362=4),IF(AND(C362="IN",I362=120),VLOOKUP(W362,'CAFCO 300 IDIEM TABLAS'!$J$4:$L$40,3,FALSE),0),0))</f>
        <v>17</v>
      </c>
      <c r="U362" s="48">
        <f t="shared" si="41"/>
        <v>1.5207392281771501</v>
      </c>
      <c r="V362" s="82">
        <f t="shared" si="38"/>
        <v>22832.378771851731</v>
      </c>
      <c r="W362" s="64">
        <f>+IF(J362=LOOKUP(J362,'CAFCO 300 IDIEM TABLAS'!$J$4:$J$40),'HOJA DE CÁLCULO RESPALDO'!J362,MROUND('HOJA DE CÁLCULO RESPALDO'!J362,10))</f>
        <v>95</v>
      </c>
      <c r="X362" s="36"/>
      <c r="Y362" s="4"/>
    </row>
    <row r="363" spans="1:25" x14ac:dyDescent="0.25">
      <c r="A363" s="2" t="s">
        <v>15</v>
      </c>
      <c r="B363" s="2"/>
      <c r="C363" s="3" t="s">
        <v>19</v>
      </c>
      <c r="D363" s="3">
        <v>1</v>
      </c>
      <c r="E363" s="2">
        <v>1</v>
      </c>
      <c r="F363" s="8">
        <v>1500</v>
      </c>
      <c r="G363" s="1">
        <v>4</v>
      </c>
      <c r="H363" s="2">
        <v>776</v>
      </c>
      <c r="I363" s="34">
        <v>90</v>
      </c>
      <c r="J363" s="11">
        <v>95</v>
      </c>
      <c r="K363" s="44">
        <f t="shared" si="35"/>
        <v>1.1639999999999999</v>
      </c>
      <c r="L363" s="3" t="s">
        <v>61</v>
      </c>
      <c r="M363" s="3" t="s">
        <v>70</v>
      </c>
      <c r="N363" s="15">
        <f>ROUND((IF(L363="Blaze Shield II",IF(M363="Idiem software",IF(AND(C363="IN",G363=4),((('BLAZE SHIELD II'!$D$4*('HOJA DE CÁLCULO RESPALDO'!I363^2)+'BLAZE SHIELD II'!$D$5*'HOJA DE CÁLCULO RESPALDO'!I363+'BLAZE SHIELD II'!$D$6)*LN(J363))+('BLAZE SHIELD II'!$D$7*('HOJA DE CÁLCULO RESPALDO'!I363^2)+'BLAZE SHIELD II'!$D$8*'HOJA DE CÁLCULO RESPALDO'!I363+'BLAZE SHIELD II'!$D$9)),0),0),0))+(IF(L363="Blaze Shield II",IF(M363="Idiem software",IF(C363="Cj",((('BLAZE SHIELD II'!$H$4*('HOJA DE CÁLCULO RESPALDO'!I363^2)+'BLAZE SHIELD II'!$H$5*'HOJA DE CÁLCULO RESPALDO'!I363+'BLAZE SHIELD II'!$H$6)*LN(J363))+('BLAZE SHIELD II'!$H$7*('HOJA DE CÁLCULO RESPALDO'!I363^2)+'BLAZE SHIELD II'!$H$8*'HOJA DE CÁLCULO RESPALDO'!I363+'BLAZE SHIELD II'!$H$9)),0),0),0))+(IF(L363="Blaze Shield II",IF(M363="Idiem software",IF(C363="C",((('BLAZE SHIELD II'!$L$4*('HOJA DE CÁLCULO RESPALDO'!I363^2)+'BLAZE SHIELD II'!$L$5*'HOJA DE CÁLCULO RESPALDO'!I363+'BLAZE SHIELD II'!$L$6)*LN(J363))+('BLAZE SHIELD II'!$L$7*('HOJA DE CÁLCULO RESPALDO'!I363^2)+'BLAZE SHIELD II'!$L$8*'HOJA DE CÁLCULO RESPALDO'!I363+'BLAZE SHIELD II'!$L$9)),0),0),0))+(IF(L363="Blaze Shield II",IF(M363="Idiem software",IF(AND(C363="IN",G363=3),((('BLAZE SHIELD II'!$H$14*('HOJA DE CÁLCULO RESPALDO'!I363^2)+'BLAZE SHIELD II'!$H$15*'HOJA DE CÁLCULO RESPALDO'!I363+'BLAZE SHIELD II'!$H$16)*LN(J363))+('BLAZE SHIELD II'!$H$17*('HOJA DE CÁLCULO RESPALDO'!I363^2)+'BLAZE SHIELD II'!$H$18*'HOJA DE CÁLCULO RESPALDO'!I363+'BLAZE SHIELD II'!$H$19)),0),0),0)),0)</f>
        <v>0</v>
      </c>
      <c r="O363" s="46">
        <f t="shared" si="39"/>
        <v>0</v>
      </c>
      <c r="P363" s="80">
        <f t="shared" si="36"/>
        <v>0</v>
      </c>
      <c r="Q363" s="85">
        <f>ROUND((IF(L363="Cafco 400",IF(M363="Idiem software",IF(AND(C363="IN",G363=4),((('CAFCO 400 '!$H$7*(J363^4)+'CAFCO 400 '!$H$8*(J363^3)+'CAFCO 400 '!$H$9*(J363^2)+'CAFCO 400 '!$H$10*J363+'CAFCO 400 '!$H$11)*I363^2)+(('CAFCO 400 '!$H$12*(J363^3)+'CAFCO 400 '!$H$13*(J363^2)+'CAFCO 400 '!$H$14*J363+'CAFCO 400 '!$H$15)*I363)+('CAFCO 400 '!$H$16*(J363^2)+'CAFCO 400 '!$H$17*J363+'CAFCO 400 '!$H$18)),0),0),0))+(IF(L363="Cafco 400",IF(M363="Idiem software",IF(C363="Cj",(((('CAFCO 400 '!$D$7*LN(J363)+'CAFCO 400 '!$D$8)*I363^2)+(('CAFCO 400 '!$D$9*LN(J363)+'CAFCO 400 '!$D$10)*I363)+('CAFCO 400 '!$D$11*LN(J363)+'CAFCO 400 '!$D$12))),0),0),0))+(IF(L363="Cafco 400",IF(M363="Idiem software",IF(C363="C",((('CAFCO 400 '!$L$7*(J363^3)+'CAFCO 400 '!$L$8*(J363^2)+'CAFCO 400 '!$L$9*J363+'CAFCO 400 '!$L$10)*I363^2)+(('CAFCO 400 '!$L$11*(J363^3)+'CAFCO 400 '!$L$12*(J363^2)+'CAFCO 400 '!$L$13*J363+'CAFCO 400 '!$L$14)*I363)+('CAFCO 400 '!$L$15*LN(J363)+'CAFCO 400 '!$L$16)),0),0),0))+(IF(L363="Cafco 400",IF(M363="Idiem software",IF(AND(C363="IN",G363=3),((('CAFCO 400 '!$D$23*(J363^2)+'CAFCO 400 '!$D$24*(J363)+'CAFCO 400 '!$D$25)*I363^2)+(('CAFCO 400 '!$D$26*(J363^2)+'CAFCO 400 '!$D$27*J363+'CAFCO 400 '!$D$28)*I363)+('CAFCO 400 '!$D$29*(J363^2)+'CAFCO 400 '!$D$30*J363+'CAFCO 400 '!$D$31)),0),0),0)),0)</f>
        <v>0</v>
      </c>
      <c r="R363" s="47">
        <f t="shared" si="40"/>
        <v>0</v>
      </c>
      <c r="S363" s="82">
        <f t="shared" si="37"/>
        <v>0</v>
      </c>
      <c r="T363" s="81">
        <f>+IF(AND(J363&gt;=95,J363&lt;=240),IF(AND(C363="Cj",I363=90),VLOOKUP(W363,'CAFCO 300 IDIEM TABLAS'!$B$4:$D$23,2,FALSE),0)+IF(AND(J363&gt;=95,J363&lt;=240),IF(AND(C363="Cj",I363=120),VLOOKUP(W363,'CAFCO 300 IDIEM TABLAS'!$B$4:$D$23,3,FALSE),0))+IF(AND(J363&gt;=95,J363&lt;=400,G363=3),IF(AND(C363="IN",I363=90),VLOOKUP(W363,'CAFCO 300 IDIEM TABLAS'!$F$4:$H$35,2,FALSE),0),0)+IF(AND(J363&gt;=95,J363&lt;=400,G363=3),IF(AND(C363="IN",I363=120),VLOOKUP(W363,'CAFCO 300 IDIEM TABLAS'!$F$4:$H$35,3,FALSE),0),0)+IF(AND(J363&gt;=95,J363&lt;=450,G363=4),IF(AND(C363="IN",I363=90),VLOOKUP(W363,'CAFCO 300 IDIEM TABLAS'!$J$4:$L$40,2,FALSE),0),0)+IF(AND(J363&gt;=95,J363&lt;=450,G363=4),IF(AND(C363="IN",I363=120),VLOOKUP(W363,'CAFCO 300 IDIEM TABLAS'!$J$4:$L$40,3,FALSE),0),0))</f>
        <v>17</v>
      </c>
      <c r="U363" s="48">
        <f t="shared" si="41"/>
        <v>0.2730693196405648</v>
      </c>
      <c r="V363" s="82">
        <f t="shared" si="38"/>
        <v>4099.8627650834396</v>
      </c>
      <c r="W363" s="64">
        <f>+IF(J363=LOOKUP(J363,'CAFCO 300 IDIEM TABLAS'!$J$4:$J$40),'HOJA DE CÁLCULO RESPALDO'!J363,MROUND('HOJA DE CÁLCULO RESPALDO'!J363,10))</f>
        <v>95</v>
      </c>
      <c r="X363" s="36"/>
      <c r="Y363" s="4"/>
    </row>
    <row r="364" spans="1:25" ht="15.6" customHeight="1" x14ac:dyDescent="0.25">
      <c r="A364" s="2" t="s">
        <v>16</v>
      </c>
      <c r="B364" s="2"/>
      <c r="C364" s="3" t="s">
        <v>19</v>
      </c>
      <c r="D364" s="3">
        <v>1</v>
      </c>
      <c r="E364" s="2">
        <v>1</v>
      </c>
      <c r="F364" s="8">
        <v>1500</v>
      </c>
      <c r="G364" s="1">
        <v>4</v>
      </c>
      <c r="H364" s="2">
        <v>3879</v>
      </c>
      <c r="I364" s="34">
        <v>90</v>
      </c>
      <c r="J364" s="11">
        <v>95</v>
      </c>
      <c r="K364" s="44">
        <f t="shared" si="35"/>
        <v>5.8185000000000002</v>
      </c>
      <c r="L364" s="3" t="s">
        <v>61</v>
      </c>
      <c r="M364" s="3" t="s">
        <v>70</v>
      </c>
      <c r="N364" s="15">
        <f>ROUND((IF(L364="Blaze Shield II",IF(M364="Idiem software",IF(AND(C364="IN",G364=4),((('BLAZE SHIELD II'!$D$4*('HOJA DE CÁLCULO RESPALDO'!I364^2)+'BLAZE SHIELD II'!$D$5*'HOJA DE CÁLCULO RESPALDO'!I364+'BLAZE SHIELD II'!$D$6)*LN(J364))+('BLAZE SHIELD II'!$D$7*('HOJA DE CÁLCULO RESPALDO'!I364^2)+'BLAZE SHIELD II'!$D$8*'HOJA DE CÁLCULO RESPALDO'!I364+'BLAZE SHIELD II'!$D$9)),0),0),0))+(IF(L364="Blaze Shield II",IF(M364="Idiem software",IF(C364="Cj",((('BLAZE SHIELD II'!$H$4*('HOJA DE CÁLCULO RESPALDO'!I364^2)+'BLAZE SHIELD II'!$H$5*'HOJA DE CÁLCULO RESPALDO'!I364+'BLAZE SHIELD II'!$H$6)*LN(J364))+('BLAZE SHIELD II'!$H$7*('HOJA DE CÁLCULO RESPALDO'!I364^2)+'BLAZE SHIELD II'!$H$8*'HOJA DE CÁLCULO RESPALDO'!I364+'BLAZE SHIELD II'!$H$9)),0),0),0))+(IF(L364="Blaze Shield II",IF(M364="Idiem software",IF(C364="C",((('BLAZE SHIELD II'!$L$4*('HOJA DE CÁLCULO RESPALDO'!I364^2)+'BLAZE SHIELD II'!$L$5*'HOJA DE CÁLCULO RESPALDO'!I364+'BLAZE SHIELD II'!$L$6)*LN(J364))+('BLAZE SHIELD II'!$L$7*('HOJA DE CÁLCULO RESPALDO'!I364^2)+'BLAZE SHIELD II'!$L$8*'HOJA DE CÁLCULO RESPALDO'!I364+'BLAZE SHIELD II'!$L$9)),0),0),0))+(IF(L364="Blaze Shield II",IF(M364="Idiem software",IF(AND(C364="IN",G364=3),((('BLAZE SHIELD II'!$H$14*('HOJA DE CÁLCULO RESPALDO'!I364^2)+'BLAZE SHIELD II'!$H$15*'HOJA DE CÁLCULO RESPALDO'!I364+'BLAZE SHIELD II'!$H$16)*LN(J364))+('BLAZE SHIELD II'!$H$17*('HOJA DE CÁLCULO RESPALDO'!I364^2)+'BLAZE SHIELD II'!$H$18*'HOJA DE CÁLCULO RESPALDO'!I364+'BLAZE SHIELD II'!$H$19)),0),0),0)),0)</f>
        <v>0</v>
      </c>
      <c r="O364" s="46">
        <f t="shared" si="39"/>
        <v>0</v>
      </c>
      <c r="P364" s="80">
        <f t="shared" si="36"/>
        <v>0</v>
      </c>
      <c r="Q364" s="85">
        <f>ROUND((IF(L364="Cafco 400",IF(M364="Idiem software",IF(AND(C364="IN",G364=4),((('CAFCO 400 '!$H$7*(J364^4)+'CAFCO 400 '!$H$8*(J364^3)+'CAFCO 400 '!$H$9*(J364^2)+'CAFCO 400 '!$H$10*J364+'CAFCO 400 '!$H$11)*I364^2)+(('CAFCO 400 '!$H$12*(J364^3)+'CAFCO 400 '!$H$13*(J364^2)+'CAFCO 400 '!$H$14*J364+'CAFCO 400 '!$H$15)*I364)+('CAFCO 400 '!$H$16*(J364^2)+'CAFCO 400 '!$H$17*J364+'CAFCO 400 '!$H$18)),0),0),0))+(IF(L364="Cafco 400",IF(M364="Idiem software",IF(C364="Cj",(((('CAFCO 400 '!$D$7*LN(J364)+'CAFCO 400 '!$D$8)*I364^2)+(('CAFCO 400 '!$D$9*LN(J364)+'CAFCO 400 '!$D$10)*I364)+('CAFCO 400 '!$D$11*LN(J364)+'CAFCO 400 '!$D$12))),0),0),0))+(IF(L364="Cafco 400",IF(M364="Idiem software",IF(C364="C",((('CAFCO 400 '!$L$7*(J364^3)+'CAFCO 400 '!$L$8*(J364^2)+'CAFCO 400 '!$L$9*J364+'CAFCO 400 '!$L$10)*I364^2)+(('CAFCO 400 '!$L$11*(J364^3)+'CAFCO 400 '!$L$12*(J364^2)+'CAFCO 400 '!$L$13*J364+'CAFCO 400 '!$L$14)*I364)+('CAFCO 400 '!$L$15*LN(J364)+'CAFCO 400 '!$L$16)),0),0),0))+(IF(L364="Cafco 400",IF(M364="Idiem software",IF(AND(C364="IN",G364=3),((('CAFCO 400 '!$D$23*(J364^2)+'CAFCO 400 '!$D$24*(J364)+'CAFCO 400 '!$D$25)*I364^2)+(('CAFCO 400 '!$D$26*(J364^2)+'CAFCO 400 '!$D$27*J364+'CAFCO 400 '!$D$28)*I364)+('CAFCO 400 '!$D$29*(J364^2)+'CAFCO 400 '!$D$30*J364+'CAFCO 400 '!$D$31)),0),0),0)),0)</f>
        <v>0</v>
      </c>
      <c r="R364" s="47">
        <f t="shared" si="40"/>
        <v>0</v>
      </c>
      <c r="S364" s="82">
        <f t="shared" si="37"/>
        <v>0</v>
      </c>
      <c r="T364" s="81">
        <f>+IF(AND(J364&gt;=95,J364&lt;=240),IF(AND(C364="Cj",I364=90),VLOOKUP(W364,'CAFCO 300 IDIEM TABLAS'!$B$4:$D$23,2,FALSE),0)+IF(AND(J364&gt;=95,J364&lt;=240),IF(AND(C364="Cj",I364=120),VLOOKUP(W364,'CAFCO 300 IDIEM TABLAS'!$B$4:$D$23,3,FALSE),0))+IF(AND(J364&gt;=95,J364&lt;=400,G364=3),IF(AND(C364="IN",I364=90),VLOOKUP(W364,'CAFCO 300 IDIEM TABLAS'!$F$4:$H$35,2,FALSE),0),0)+IF(AND(J364&gt;=95,J364&lt;=400,G364=3),IF(AND(C364="IN",I364=120),VLOOKUP(W364,'CAFCO 300 IDIEM TABLAS'!$F$4:$H$35,3,FALSE),0),0)+IF(AND(J364&gt;=95,J364&lt;=450,G364=4),IF(AND(C364="IN",I364=90),VLOOKUP(W364,'CAFCO 300 IDIEM TABLAS'!$J$4:$L$40,2,FALSE),0),0)+IF(AND(J364&gt;=95,J364&lt;=450,G364=4),IF(AND(C364="IN",I364=120),VLOOKUP(W364,'CAFCO 300 IDIEM TABLAS'!$J$4:$L$40,3,FALSE),0),0))</f>
        <v>17</v>
      </c>
      <c r="U364" s="48">
        <f t="shared" si="41"/>
        <v>1.3649947047496791</v>
      </c>
      <c r="V364" s="82">
        <f t="shared" si="38"/>
        <v>20494.030497111682</v>
      </c>
      <c r="W364" s="64">
        <f>+IF(J364=LOOKUP(J364,'CAFCO 300 IDIEM TABLAS'!$J$4:$J$40),'HOJA DE CÁLCULO RESPALDO'!J364,MROUND('HOJA DE CÁLCULO RESPALDO'!J364,10))</f>
        <v>95</v>
      </c>
      <c r="X364" s="36"/>
      <c r="Y364" s="4"/>
    </row>
    <row r="365" spans="1:25" x14ac:dyDescent="0.25">
      <c r="A365" s="2" t="s">
        <v>14</v>
      </c>
      <c r="B365" s="2"/>
      <c r="C365" s="3" t="s">
        <v>19</v>
      </c>
      <c r="D365" s="3">
        <v>1</v>
      </c>
      <c r="E365" s="2">
        <v>1</v>
      </c>
      <c r="F365" s="8">
        <v>12634</v>
      </c>
      <c r="G365" s="1">
        <v>4</v>
      </c>
      <c r="H365" s="2">
        <v>585</v>
      </c>
      <c r="I365" s="34">
        <v>90</v>
      </c>
      <c r="J365" s="11">
        <v>95</v>
      </c>
      <c r="K365" s="44">
        <f t="shared" si="35"/>
        <v>7.3908899999999997</v>
      </c>
      <c r="L365" s="3" t="s">
        <v>61</v>
      </c>
      <c r="M365" s="3" t="s">
        <v>70</v>
      </c>
      <c r="N365" s="15">
        <f>ROUND((IF(L365="Blaze Shield II",IF(M365="Idiem software",IF(AND(C365="IN",G365=4),((('BLAZE SHIELD II'!$D$4*('HOJA DE CÁLCULO RESPALDO'!I365^2)+'BLAZE SHIELD II'!$D$5*'HOJA DE CÁLCULO RESPALDO'!I365+'BLAZE SHIELD II'!$D$6)*LN(J365))+('BLAZE SHIELD II'!$D$7*('HOJA DE CÁLCULO RESPALDO'!I365^2)+'BLAZE SHIELD II'!$D$8*'HOJA DE CÁLCULO RESPALDO'!I365+'BLAZE SHIELD II'!$D$9)),0),0),0))+(IF(L365="Blaze Shield II",IF(M365="Idiem software",IF(C365="Cj",((('BLAZE SHIELD II'!$H$4*('HOJA DE CÁLCULO RESPALDO'!I365^2)+'BLAZE SHIELD II'!$H$5*'HOJA DE CÁLCULO RESPALDO'!I365+'BLAZE SHIELD II'!$H$6)*LN(J365))+('BLAZE SHIELD II'!$H$7*('HOJA DE CÁLCULO RESPALDO'!I365^2)+'BLAZE SHIELD II'!$H$8*'HOJA DE CÁLCULO RESPALDO'!I365+'BLAZE SHIELD II'!$H$9)),0),0),0))+(IF(L365="Blaze Shield II",IF(M365="Idiem software",IF(C365="C",((('BLAZE SHIELD II'!$L$4*('HOJA DE CÁLCULO RESPALDO'!I365^2)+'BLAZE SHIELD II'!$L$5*'HOJA DE CÁLCULO RESPALDO'!I365+'BLAZE SHIELD II'!$L$6)*LN(J365))+('BLAZE SHIELD II'!$L$7*('HOJA DE CÁLCULO RESPALDO'!I365^2)+'BLAZE SHIELD II'!$L$8*'HOJA DE CÁLCULO RESPALDO'!I365+'BLAZE SHIELD II'!$L$9)),0),0),0))+(IF(L365="Blaze Shield II",IF(M365="Idiem software",IF(AND(C365="IN",G365=3),((('BLAZE SHIELD II'!$H$14*('HOJA DE CÁLCULO RESPALDO'!I365^2)+'BLAZE SHIELD II'!$H$15*'HOJA DE CÁLCULO RESPALDO'!I365+'BLAZE SHIELD II'!$H$16)*LN(J365))+('BLAZE SHIELD II'!$H$17*('HOJA DE CÁLCULO RESPALDO'!I365^2)+'BLAZE SHIELD II'!$H$18*'HOJA DE CÁLCULO RESPALDO'!I365+'BLAZE SHIELD II'!$H$19)),0),0),0)),0)</f>
        <v>0</v>
      </c>
      <c r="O365" s="46">
        <f t="shared" si="39"/>
        <v>0</v>
      </c>
      <c r="P365" s="80">
        <f t="shared" si="36"/>
        <v>0</v>
      </c>
      <c r="Q365" s="85">
        <f>ROUND((IF(L365="Cafco 400",IF(M365="Idiem software",IF(AND(C365="IN",G365=4),((('CAFCO 400 '!$H$7*(J365^4)+'CAFCO 400 '!$H$8*(J365^3)+'CAFCO 400 '!$H$9*(J365^2)+'CAFCO 400 '!$H$10*J365+'CAFCO 400 '!$H$11)*I365^2)+(('CAFCO 400 '!$H$12*(J365^3)+'CAFCO 400 '!$H$13*(J365^2)+'CAFCO 400 '!$H$14*J365+'CAFCO 400 '!$H$15)*I365)+('CAFCO 400 '!$H$16*(J365^2)+'CAFCO 400 '!$H$17*J365+'CAFCO 400 '!$H$18)),0),0),0))+(IF(L365="Cafco 400",IF(M365="Idiem software",IF(C365="Cj",(((('CAFCO 400 '!$D$7*LN(J365)+'CAFCO 400 '!$D$8)*I365^2)+(('CAFCO 400 '!$D$9*LN(J365)+'CAFCO 400 '!$D$10)*I365)+('CAFCO 400 '!$D$11*LN(J365)+'CAFCO 400 '!$D$12))),0),0),0))+(IF(L365="Cafco 400",IF(M365="Idiem software",IF(C365="C",((('CAFCO 400 '!$L$7*(J365^3)+'CAFCO 400 '!$L$8*(J365^2)+'CAFCO 400 '!$L$9*J365+'CAFCO 400 '!$L$10)*I365^2)+(('CAFCO 400 '!$L$11*(J365^3)+'CAFCO 400 '!$L$12*(J365^2)+'CAFCO 400 '!$L$13*J365+'CAFCO 400 '!$L$14)*I365)+('CAFCO 400 '!$L$15*LN(J365)+'CAFCO 400 '!$L$16)),0),0),0))+(IF(L365="Cafco 400",IF(M365="Idiem software",IF(AND(C365="IN",G365=3),((('CAFCO 400 '!$D$23*(J365^2)+'CAFCO 400 '!$D$24*(J365)+'CAFCO 400 '!$D$25)*I365^2)+(('CAFCO 400 '!$D$26*(J365^2)+'CAFCO 400 '!$D$27*J365+'CAFCO 400 '!$D$28)*I365)+('CAFCO 400 '!$D$29*(J365^2)+'CAFCO 400 '!$D$30*J365+'CAFCO 400 '!$D$31)),0),0),0)),0)</f>
        <v>0</v>
      </c>
      <c r="R365" s="47">
        <f t="shared" si="40"/>
        <v>0</v>
      </c>
      <c r="S365" s="82">
        <f t="shared" si="37"/>
        <v>0</v>
      </c>
      <c r="T365" s="81">
        <f>+IF(AND(J365&gt;=95,J365&lt;=240),IF(AND(C365="Cj",I365=90),VLOOKUP(W365,'CAFCO 300 IDIEM TABLAS'!$B$4:$D$23,2,FALSE),0)+IF(AND(J365&gt;=95,J365&lt;=240),IF(AND(C365="Cj",I365=120),VLOOKUP(W365,'CAFCO 300 IDIEM TABLAS'!$B$4:$D$23,3,FALSE),0))+IF(AND(J365&gt;=95,J365&lt;=400,G365=3),IF(AND(C365="IN",I365=90),VLOOKUP(W365,'CAFCO 300 IDIEM TABLAS'!$F$4:$H$35,2,FALSE),0),0)+IF(AND(J365&gt;=95,J365&lt;=400,G365=3),IF(AND(C365="IN",I365=120),VLOOKUP(W365,'CAFCO 300 IDIEM TABLAS'!$F$4:$H$35,3,FALSE),0),0)+IF(AND(J365&gt;=95,J365&lt;=450,G365=4),IF(AND(C365="IN",I365=90),VLOOKUP(W365,'CAFCO 300 IDIEM TABLAS'!$J$4:$L$40,2,FALSE),0),0)+IF(AND(J365&gt;=95,J365&lt;=450,G365=4),IF(AND(C365="IN",I365=120),VLOOKUP(W365,'CAFCO 300 IDIEM TABLAS'!$J$4:$L$40,3,FALSE),0),0))</f>
        <v>17</v>
      </c>
      <c r="U365" s="48">
        <f t="shared" si="41"/>
        <v>1.7338705359435174</v>
      </c>
      <c r="V365" s="82">
        <f t="shared" si="38"/>
        <v>26032.33222665597</v>
      </c>
      <c r="W365" s="64">
        <f>+IF(J365=LOOKUP(J365,'CAFCO 300 IDIEM TABLAS'!$J$4:$J$40),'HOJA DE CÁLCULO RESPALDO'!J365,MROUND('HOJA DE CÁLCULO RESPALDO'!J365,10))</f>
        <v>95</v>
      </c>
      <c r="X365" s="36"/>
      <c r="Y365" s="4"/>
    </row>
    <row r="366" spans="1:25" ht="15.6" customHeight="1" x14ac:dyDescent="0.25">
      <c r="A366" s="2" t="s">
        <v>15</v>
      </c>
      <c r="B366" s="2"/>
      <c r="C366" s="3" t="s">
        <v>19</v>
      </c>
      <c r="D366" s="3">
        <v>1</v>
      </c>
      <c r="E366" s="2">
        <v>1</v>
      </c>
      <c r="F366" s="8">
        <v>1500</v>
      </c>
      <c r="G366" s="1">
        <v>4</v>
      </c>
      <c r="H366" s="2">
        <v>776</v>
      </c>
      <c r="I366" s="34">
        <v>90</v>
      </c>
      <c r="J366" s="11">
        <v>95</v>
      </c>
      <c r="K366" s="44">
        <f t="shared" si="35"/>
        <v>1.1639999999999999</v>
      </c>
      <c r="L366" s="3" t="s">
        <v>61</v>
      </c>
      <c r="M366" s="3" t="s">
        <v>70</v>
      </c>
      <c r="N366" s="15">
        <f>ROUND((IF(L366="Blaze Shield II",IF(M366="Idiem software",IF(AND(C366="IN",G366=4),((('BLAZE SHIELD II'!$D$4*('HOJA DE CÁLCULO RESPALDO'!I366^2)+'BLAZE SHIELD II'!$D$5*'HOJA DE CÁLCULO RESPALDO'!I366+'BLAZE SHIELD II'!$D$6)*LN(J366))+('BLAZE SHIELD II'!$D$7*('HOJA DE CÁLCULO RESPALDO'!I366^2)+'BLAZE SHIELD II'!$D$8*'HOJA DE CÁLCULO RESPALDO'!I366+'BLAZE SHIELD II'!$D$9)),0),0),0))+(IF(L366="Blaze Shield II",IF(M366="Idiem software",IF(C366="Cj",((('BLAZE SHIELD II'!$H$4*('HOJA DE CÁLCULO RESPALDO'!I366^2)+'BLAZE SHIELD II'!$H$5*'HOJA DE CÁLCULO RESPALDO'!I366+'BLAZE SHIELD II'!$H$6)*LN(J366))+('BLAZE SHIELD II'!$H$7*('HOJA DE CÁLCULO RESPALDO'!I366^2)+'BLAZE SHIELD II'!$H$8*'HOJA DE CÁLCULO RESPALDO'!I366+'BLAZE SHIELD II'!$H$9)),0),0),0))+(IF(L366="Blaze Shield II",IF(M366="Idiem software",IF(C366="C",((('BLAZE SHIELD II'!$L$4*('HOJA DE CÁLCULO RESPALDO'!I366^2)+'BLAZE SHIELD II'!$L$5*'HOJA DE CÁLCULO RESPALDO'!I366+'BLAZE SHIELD II'!$L$6)*LN(J366))+('BLAZE SHIELD II'!$L$7*('HOJA DE CÁLCULO RESPALDO'!I366^2)+'BLAZE SHIELD II'!$L$8*'HOJA DE CÁLCULO RESPALDO'!I366+'BLAZE SHIELD II'!$L$9)),0),0),0))+(IF(L366="Blaze Shield II",IF(M366="Idiem software",IF(AND(C366="IN",G366=3),((('BLAZE SHIELD II'!$H$14*('HOJA DE CÁLCULO RESPALDO'!I366^2)+'BLAZE SHIELD II'!$H$15*'HOJA DE CÁLCULO RESPALDO'!I366+'BLAZE SHIELD II'!$H$16)*LN(J366))+('BLAZE SHIELD II'!$H$17*('HOJA DE CÁLCULO RESPALDO'!I366^2)+'BLAZE SHIELD II'!$H$18*'HOJA DE CÁLCULO RESPALDO'!I366+'BLAZE SHIELD II'!$H$19)),0),0),0)),0)</f>
        <v>0</v>
      </c>
      <c r="O366" s="46">
        <f t="shared" si="39"/>
        <v>0</v>
      </c>
      <c r="P366" s="80">
        <f t="shared" si="36"/>
        <v>0</v>
      </c>
      <c r="Q366" s="85">
        <f>ROUND((IF(L366="Cafco 400",IF(M366="Idiem software",IF(AND(C366="IN",G366=4),((('CAFCO 400 '!$H$7*(J366^4)+'CAFCO 400 '!$H$8*(J366^3)+'CAFCO 400 '!$H$9*(J366^2)+'CAFCO 400 '!$H$10*J366+'CAFCO 400 '!$H$11)*I366^2)+(('CAFCO 400 '!$H$12*(J366^3)+'CAFCO 400 '!$H$13*(J366^2)+'CAFCO 400 '!$H$14*J366+'CAFCO 400 '!$H$15)*I366)+('CAFCO 400 '!$H$16*(J366^2)+'CAFCO 400 '!$H$17*J366+'CAFCO 400 '!$H$18)),0),0),0))+(IF(L366="Cafco 400",IF(M366="Idiem software",IF(C366="Cj",(((('CAFCO 400 '!$D$7*LN(J366)+'CAFCO 400 '!$D$8)*I366^2)+(('CAFCO 400 '!$D$9*LN(J366)+'CAFCO 400 '!$D$10)*I366)+('CAFCO 400 '!$D$11*LN(J366)+'CAFCO 400 '!$D$12))),0),0),0))+(IF(L366="Cafco 400",IF(M366="Idiem software",IF(C366="C",((('CAFCO 400 '!$L$7*(J366^3)+'CAFCO 400 '!$L$8*(J366^2)+'CAFCO 400 '!$L$9*J366+'CAFCO 400 '!$L$10)*I366^2)+(('CAFCO 400 '!$L$11*(J366^3)+'CAFCO 400 '!$L$12*(J366^2)+'CAFCO 400 '!$L$13*J366+'CAFCO 400 '!$L$14)*I366)+('CAFCO 400 '!$L$15*LN(J366)+'CAFCO 400 '!$L$16)),0),0),0))+(IF(L366="Cafco 400",IF(M366="Idiem software",IF(AND(C366="IN",G366=3),((('CAFCO 400 '!$D$23*(J366^2)+'CAFCO 400 '!$D$24*(J366)+'CAFCO 400 '!$D$25)*I366^2)+(('CAFCO 400 '!$D$26*(J366^2)+'CAFCO 400 '!$D$27*J366+'CAFCO 400 '!$D$28)*I366)+('CAFCO 400 '!$D$29*(J366^2)+'CAFCO 400 '!$D$30*J366+'CAFCO 400 '!$D$31)),0),0),0)),0)</f>
        <v>0</v>
      </c>
      <c r="R366" s="47">
        <f t="shared" si="40"/>
        <v>0</v>
      </c>
      <c r="S366" s="82">
        <f t="shared" si="37"/>
        <v>0</v>
      </c>
      <c r="T366" s="81">
        <f>+IF(AND(J366&gt;=95,J366&lt;=240),IF(AND(C366="Cj",I366=90),VLOOKUP(W366,'CAFCO 300 IDIEM TABLAS'!$B$4:$D$23,2,FALSE),0)+IF(AND(J366&gt;=95,J366&lt;=240),IF(AND(C366="Cj",I366=120),VLOOKUP(W366,'CAFCO 300 IDIEM TABLAS'!$B$4:$D$23,3,FALSE),0))+IF(AND(J366&gt;=95,J366&lt;=400,G366=3),IF(AND(C366="IN",I366=90),VLOOKUP(W366,'CAFCO 300 IDIEM TABLAS'!$F$4:$H$35,2,FALSE),0),0)+IF(AND(J366&gt;=95,J366&lt;=400,G366=3),IF(AND(C366="IN",I366=120),VLOOKUP(W366,'CAFCO 300 IDIEM TABLAS'!$F$4:$H$35,3,FALSE),0),0)+IF(AND(J366&gt;=95,J366&lt;=450,G366=4),IF(AND(C366="IN",I366=90),VLOOKUP(W366,'CAFCO 300 IDIEM TABLAS'!$J$4:$L$40,2,FALSE),0),0)+IF(AND(J366&gt;=95,J366&lt;=450,G366=4),IF(AND(C366="IN",I366=120),VLOOKUP(W366,'CAFCO 300 IDIEM TABLAS'!$J$4:$L$40,3,FALSE),0),0))</f>
        <v>17</v>
      </c>
      <c r="U366" s="48">
        <f t="shared" si="41"/>
        <v>0.2730693196405648</v>
      </c>
      <c r="V366" s="82">
        <f t="shared" si="38"/>
        <v>4099.8627650834396</v>
      </c>
      <c r="W366" s="64">
        <f>+IF(J366=LOOKUP(J366,'CAFCO 300 IDIEM TABLAS'!$J$4:$J$40),'HOJA DE CÁLCULO RESPALDO'!J366,MROUND('HOJA DE CÁLCULO RESPALDO'!J366,10))</f>
        <v>95</v>
      </c>
      <c r="X366" s="36"/>
      <c r="Y366" s="4"/>
    </row>
    <row r="367" spans="1:25" x14ac:dyDescent="0.25">
      <c r="A367" s="2" t="s">
        <v>14</v>
      </c>
      <c r="B367" s="2"/>
      <c r="C367" s="3" t="s">
        <v>19</v>
      </c>
      <c r="D367" s="3">
        <v>1</v>
      </c>
      <c r="E367" s="2">
        <v>1</v>
      </c>
      <c r="F367" s="8">
        <v>11097</v>
      </c>
      <c r="G367" s="1">
        <v>4</v>
      </c>
      <c r="H367" s="2">
        <v>585</v>
      </c>
      <c r="I367" s="34">
        <v>90</v>
      </c>
      <c r="J367" s="11">
        <v>95</v>
      </c>
      <c r="K367" s="44">
        <f t="shared" si="35"/>
        <v>6.4917449999999999</v>
      </c>
      <c r="L367" s="3" t="s">
        <v>61</v>
      </c>
      <c r="M367" s="3" t="s">
        <v>70</v>
      </c>
      <c r="N367" s="15">
        <f>ROUND((IF(L367="Blaze Shield II",IF(M367="Idiem software",IF(AND(C367="IN",G367=4),((('BLAZE SHIELD II'!$D$4*('HOJA DE CÁLCULO RESPALDO'!I367^2)+'BLAZE SHIELD II'!$D$5*'HOJA DE CÁLCULO RESPALDO'!I367+'BLAZE SHIELD II'!$D$6)*LN(J367))+('BLAZE SHIELD II'!$D$7*('HOJA DE CÁLCULO RESPALDO'!I367^2)+'BLAZE SHIELD II'!$D$8*'HOJA DE CÁLCULO RESPALDO'!I367+'BLAZE SHIELD II'!$D$9)),0),0),0))+(IF(L367="Blaze Shield II",IF(M367="Idiem software",IF(C367="Cj",((('BLAZE SHIELD II'!$H$4*('HOJA DE CÁLCULO RESPALDO'!I367^2)+'BLAZE SHIELD II'!$H$5*'HOJA DE CÁLCULO RESPALDO'!I367+'BLAZE SHIELD II'!$H$6)*LN(J367))+('BLAZE SHIELD II'!$H$7*('HOJA DE CÁLCULO RESPALDO'!I367^2)+'BLAZE SHIELD II'!$H$8*'HOJA DE CÁLCULO RESPALDO'!I367+'BLAZE SHIELD II'!$H$9)),0),0),0))+(IF(L367="Blaze Shield II",IF(M367="Idiem software",IF(C367="C",((('BLAZE SHIELD II'!$L$4*('HOJA DE CÁLCULO RESPALDO'!I367^2)+'BLAZE SHIELD II'!$L$5*'HOJA DE CÁLCULO RESPALDO'!I367+'BLAZE SHIELD II'!$L$6)*LN(J367))+('BLAZE SHIELD II'!$L$7*('HOJA DE CÁLCULO RESPALDO'!I367^2)+'BLAZE SHIELD II'!$L$8*'HOJA DE CÁLCULO RESPALDO'!I367+'BLAZE SHIELD II'!$L$9)),0),0),0))+(IF(L367="Blaze Shield II",IF(M367="Idiem software",IF(AND(C367="IN",G367=3),((('BLAZE SHIELD II'!$H$14*('HOJA DE CÁLCULO RESPALDO'!I367^2)+'BLAZE SHIELD II'!$H$15*'HOJA DE CÁLCULO RESPALDO'!I367+'BLAZE SHIELD II'!$H$16)*LN(J367))+('BLAZE SHIELD II'!$H$17*('HOJA DE CÁLCULO RESPALDO'!I367^2)+'BLAZE SHIELD II'!$H$18*'HOJA DE CÁLCULO RESPALDO'!I367+'BLAZE SHIELD II'!$H$19)),0),0),0)),0)</f>
        <v>0</v>
      </c>
      <c r="O367" s="46">
        <f t="shared" si="39"/>
        <v>0</v>
      </c>
      <c r="P367" s="80">
        <f t="shared" si="36"/>
        <v>0</v>
      </c>
      <c r="Q367" s="85">
        <f>ROUND((IF(L367="Cafco 400",IF(M367="Idiem software",IF(AND(C367="IN",G367=4),((('CAFCO 400 '!$H$7*(J367^4)+'CAFCO 400 '!$H$8*(J367^3)+'CAFCO 400 '!$H$9*(J367^2)+'CAFCO 400 '!$H$10*J367+'CAFCO 400 '!$H$11)*I367^2)+(('CAFCO 400 '!$H$12*(J367^3)+'CAFCO 400 '!$H$13*(J367^2)+'CAFCO 400 '!$H$14*J367+'CAFCO 400 '!$H$15)*I367)+('CAFCO 400 '!$H$16*(J367^2)+'CAFCO 400 '!$H$17*J367+'CAFCO 400 '!$H$18)),0),0),0))+(IF(L367="Cafco 400",IF(M367="Idiem software",IF(C367="Cj",(((('CAFCO 400 '!$D$7*LN(J367)+'CAFCO 400 '!$D$8)*I367^2)+(('CAFCO 400 '!$D$9*LN(J367)+'CAFCO 400 '!$D$10)*I367)+('CAFCO 400 '!$D$11*LN(J367)+'CAFCO 400 '!$D$12))),0),0),0))+(IF(L367="Cafco 400",IF(M367="Idiem software",IF(C367="C",((('CAFCO 400 '!$L$7*(J367^3)+'CAFCO 400 '!$L$8*(J367^2)+'CAFCO 400 '!$L$9*J367+'CAFCO 400 '!$L$10)*I367^2)+(('CAFCO 400 '!$L$11*(J367^3)+'CAFCO 400 '!$L$12*(J367^2)+'CAFCO 400 '!$L$13*J367+'CAFCO 400 '!$L$14)*I367)+('CAFCO 400 '!$L$15*LN(J367)+'CAFCO 400 '!$L$16)),0),0),0))+(IF(L367="Cafco 400",IF(M367="Idiem software",IF(AND(C367="IN",G367=3),((('CAFCO 400 '!$D$23*(J367^2)+'CAFCO 400 '!$D$24*(J367)+'CAFCO 400 '!$D$25)*I367^2)+(('CAFCO 400 '!$D$26*(J367^2)+'CAFCO 400 '!$D$27*J367+'CAFCO 400 '!$D$28)*I367)+('CAFCO 400 '!$D$29*(J367^2)+'CAFCO 400 '!$D$30*J367+'CAFCO 400 '!$D$31)),0),0),0)),0)</f>
        <v>0</v>
      </c>
      <c r="R367" s="47">
        <f t="shared" si="40"/>
        <v>0</v>
      </c>
      <c r="S367" s="82">
        <f t="shared" si="37"/>
        <v>0</v>
      </c>
      <c r="T367" s="81">
        <f>+IF(AND(J367&gt;=95,J367&lt;=240),IF(AND(C367="Cj",I367=90),VLOOKUP(W367,'CAFCO 300 IDIEM TABLAS'!$B$4:$D$23,2,FALSE),0)+IF(AND(J367&gt;=95,J367&lt;=240),IF(AND(C367="Cj",I367=120),VLOOKUP(W367,'CAFCO 300 IDIEM TABLAS'!$B$4:$D$23,3,FALSE),0))+IF(AND(J367&gt;=95,J367&lt;=400,G367=3),IF(AND(C367="IN",I367=90),VLOOKUP(W367,'CAFCO 300 IDIEM TABLAS'!$F$4:$H$35,2,FALSE),0),0)+IF(AND(J367&gt;=95,J367&lt;=400,G367=3),IF(AND(C367="IN",I367=120),VLOOKUP(W367,'CAFCO 300 IDIEM TABLAS'!$F$4:$H$35,3,FALSE),0),0)+IF(AND(J367&gt;=95,J367&lt;=450,G367=4),IF(AND(C367="IN",I367=90),VLOOKUP(W367,'CAFCO 300 IDIEM TABLAS'!$J$4:$L$40,2,FALSE),0),0)+IF(AND(J367&gt;=95,J367&lt;=450,G367=4),IF(AND(C367="IN",I367=120),VLOOKUP(W367,'CAFCO 300 IDIEM TABLAS'!$J$4:$L$40,3,FALSE),0),0))</f>
        <v>17</v>
      </c>
      <c r="U367" s="48">
        <f t="shared" si="41"/>
        <v>1.5229350433247753</v>
      </c>
      <c r="V367" s="82">
        <f t="shared" si="38"/>
        <v>22865.346740478177</v>
      </c>
      <c r="W367" s="64">
        <f>+IF(J367=LOOKUP(J367,'CAFCO 300 IDIEM TABLAS'!$J$4:$J$40),'HOJA DE CÁLCULO RESPALDO'!J367,MROUND('HOJA DE CÁLCULO RESPALDO'!J367,10))</f>
        <v>95</v>
      </c>
      <c r="X367" s="36"/>
      <c r="Y367" s="4"/>
    </row>
    <row r="368" spans="1:25" ht="15.6" customHeight="1" x14ac:dyDescent="0.25">
      <c r="A368" s="2" t="s">
        <v>15</v>
      </c>
      <c r="B368" s="2"/>
      <c r="C368" s="3" t="s">
        <v>19</v>
      </c>
      <c r="D368" s="3">
        <v>1</v>
      </c>
      <c r="E368" s="2">
        <v>1</v>
      </c>
      <c r="F368" s="8">
        <v>1500</v>
      </c>
      <c r="G368" s="1">
        <v>4</v>
      </c>
      <c r="H368" s="2">
        <v>776</v>
      </c>
      <c r="I368" s="34">
        <v>90</v>
      </c>
      <c r="J368" s="11">
        <v>95</v>
      </c>
      <c r="K368" s="44">
        <f t="shared" si="35"/>
        <v>1.1639999999999999</v>
      </c>
      <c r="L368" s="3" t="s">
        <v>61</v>
      </c>
      <c r="M368" s="3" t="s">
        <v>70</v>
      </c>
      <c r="N368" s="15">
        <f>ROUND((IF(L368="Blaze Shield II",IF(M368="Idiem software",IF(AND(C368="IN",G368=4),((('BLAZE SHIELD II'!$D$4*('HOJA DE CÁLCULO RESPALDO'!I368^2)+'BLAZE SHIELD II'!$D$5*'HOJA DE CÁLCULO RESPALDO'!I368+'BLAZE SHIELD II'!$D$6)*LN(J368))+('BLAZE SHIELD II'!$D$7*('HOJA DE CÁLCULO RESPALDO'!I368^2)+'BLAZE SHIELD II'!$D$8*'HOJA DE CÁLCULO RESPALDO'!I368+'BLAZE SHIELD II'!$D$9)),0),0),0))+(IF(L368="Blaze Shield II",IF(M368="Idiem software",IF(C368="Cj",((('BLAZE SHIELD II'!$H$4*('HOJA DE CÁLCULO RESPALDO'!I368^2)+'BLAZE SHIELD II'!$H$5*'HOJA DE CÁLCULO RESPALDO'!I368+'BLAZE SHIELD II'!$H$6)*LN(J368))+('BLAZE SHIELD II'!$H$7*('HOJA DE CÁLCULO RESPALDO'!I368^2)+'BLAZE SHIELD II'!$H$8*'HOJA DE CÁLCULO RESPALDO'!I368+'BLAZE SHIELD II'!$H$9)),0),0),0))+(IF(L368="Blaze Shield II",IF(M368="Idiem software",IF(C368="C",((('BLAZE SHIELD II'!$L$4*('HOJA DE CÁLCULO RESPALDO'!I368^2)+'BLAZE SHIELD II'!$L$5*'HOJA DE CÁLCULO RESPALDO'!I368+'BLAZE SHIELD II'!$L$6)*LN(J368))+('BLAZE SHIELD II'!$L$7*('HOJA DE CÁLCULO RESPALDO'!I368^2)+'BLAZE SHIELD II'!$L$8*'HOJA DE CÁLCULO RESPALDO'!I368+'BLAZE SHIELD II'!$L$9)),0),0),0))+(IF(L368="Blaze Shield II",IF(M368="Idiem software",IF(AND(C368="IN",G368=3),((('BLAZE SHIELD II'!$H$14*('HOJA DE CÁLCULO RESPALDO'!I368^2)+'BLAZE SHIELD II'!$H$15*'HOJA DE CÁLCULO RESPALDO'!I368+'BLAZE SHIELD II'!$H$16)*LN(J368))+('BLAZE SHIELD II'!$H$17*('HOJA DE CÁLCULO RESPALDO'!I368^2)+'BLAZE SHIELD II'!$H$18*'HOJA DE CÁLCULO RESPALDO'!I368+'BLAZE SHIELD II'!$H$19)),0),0),0)),0)</f>
        <v>0</v>
      </c>
      <c r="O368" s="46">
        <f t="shared" si="39"/>
        <v>0</v>
      </c>
      <c r="P368" s="80">
        <f t="shared" si="36"/>
        <v>0</v>
      </c>
      <c r="Q368" s="85">
        <f>ROUND((IF(L368="Cafco 400",IF(M368="Idiem software",IF(AND(C368="IN",G368=4),((('CAFCO 400 '!$H$7*(J368^4)+'CAFCO 400 '!$H$8*(J368^3)+'CAFCO 400 '!$H$9*(J368^2)+'CAFCO 400 '!$H$10*J368+'CAFCO 400 '!$H$11)*I368^2)+(('CAFCO 400 '!$H$12*(J368^3)+'CAFCO 400 '!$H$13*(J368^2)+'CAFCO 400 '!$H$14*J368+'CAFCO 400 '!$H$15)*I368)+('CAFCO 400 '!$H$16*(J368^2)+'CAFCO 400 '!$H$17*J368+'CAFCO 400 '!$H$18)),0),0),0))+(IF(L368="Cafco 400",IF(M368="Idiem software",IF(C368="Cj",(((('CAFCO 400 '!$D$7*LN(J368)+'CAFCO 400 '!$D$8)*I368^2)+(('CAFCO 400 '!$D$9*LN(J368)+'CAFCO 400 '!$D$10)*I368)+('CAFCO 400 '!$D$11*LN(J368)+'CAFCO 400 '!$D$12))),0),0),0))+(IF(L368="Cafco 400",IF(M368="Idiem software",IF(C368="C",((('CAFCO 400 '!$L$7*(J368^3)+'CAFCO 400 '!$L$8*(J368^2)+'CAFCO 400 '!$L$9*J368+'CAFCO 400 '!$L$10)*I368^2)+(('CAFCO 400 '!$L$11*(J368^3)+'CAFCO 400 '!$L$12*(J368^2)+'CAFCO 400 '!$L$13*J368+'CAFCO 400 '!$L$14)*I368)+('CAFCO 400 '!$L$15*LN(J368)+'CAFCO 400 '!$L$16)),0),0),0))+(IF(L368="Cafco 400",IF(M368="Idiem software",IF(AND(C368="IN",G368=3),((('CAFCO 400 '!$D$23*(J368^2)+'CAFCO 400 '!$D$24*(J368)+'CAFCO 400 '!$D$25)*I368^2)+(('CAFCO 400 '!$D$26*(J368^2)+'CAFCO 400 '!$D$27*J368+'CAFCO 400 '!$D$28)*I368)+('CAFCO 400 '!$D$29*(J368^2)+'CAFCO 400 '!$D$30*J368+'CAFCO 400 '!$D$31)),0),0),0)),0)</f>
        <v>0</v>
      </c>
      <c r="R368" s="47">
        <f t="shared" si="40"/>
        <v>0</v>
      </c>
      <c r="S368" s="82">
        <f t="shared" si="37"/>
        <v>0</v>
      </c>
      <c r="T368" s="81">
        <f>+IF(AND(J368&gt;=95,J368&lt;=240),IF(AND(C368="Cj",I368=90),VLOOKUP(W368,'CAFCO 300 IDIEM TABLAS'!$B$4:$D$23,2,FALSE),0)+IF(AND(J368&gt;=95,J368&lt;=240),IF(AND(C368="Cj",I368=120),VLOOKUP(W368,'CAFCO 300 IDIEM TABLAS'!$B$4:$D$23,3,FALSE),0))+IF(AND(J368&gt;=95,J368&lt;=400,G368=3),IF(AND(C368="IN",I368=90),VLOOKUP(W368,'CAFCO 300 IDIEM TABLAS'!$F$4:$H$35,2,FALSE),0),0)+IF(AND(J368&gt;=95,J368&lt;=400,G368=3),IF(AND(C368="IN",I368=120),VLOOKUP(W368,'CAFCO 300 IDIEM TABLAS'!$F$4:$H$35,3,FALSE),0),0)+IF(AND(J368&gt;=95,J368&lt;=450,G368=4),IF(AND(C368="IN",I368=90),VLOOKUP(W368,'CAFCO 300 IDIEM TABLAS'!$J$4:$L$40,2,FALSE),0),0)+IF(AND(J368&gt;=95,J368&lt;=450,G368=4),IF(AND(C368="IN",I368=120),VLOOKUP(W368,'CAFCO 300 IDIEM TABLAS'!$J$4:$L$40,3,FALSE),0),0))</f>
        <v>17</v>
      </c>
      <c r="U368" s="48">
        <f t="shared" si="41"/>
        <v>0.2730693196405648</v>
      </c>
      <c r="V368" s="82">
        <f t="shared" si="38"/>
        <v>4099.8627650834396</v>
      </c>
      <c r="W368" s="64">
        <f>+IF(J368=LOOKUP(J368,'CAFCO 300 IDIEM TABLAS'!$J$4:$J$40),'HOJA DE CÁLCULO RESPALDO'!J368,MROUND('HOJA DE CÁLCULO RESPALDO'!J368,10))</f>
        <v>95</v>
      </c>
      <c r="X368" s="36"/>
      <c r="Y368" s="4"/>
    </row>
    <row r="369" spans="1:25" ht="16.5" thickBot="1" x14ac:dyDescent="0.3">
      <c r="A369" s="2" t="s">
        <v>16</v>
      </c>
      <c r="B369" s="2"/>
      <c r="C369" s="3" t="s">
        <v>19</v>
      </c>
      <c r="D369" s="3">
        <v>1</v>
      </c>
      <c r="E369" s="2">
        <v>1</v>
      </c>
      <c r="F369" s="8">
        <v>1500</v>
      </c>
      <c r="G369" s="1">
        <v>4</v>
      </c>
      <c r="H369" s="2">
        <v>3879</v>
      </c>
      <c r="I369" s="34">
        <v>90</v>
      </c>
      <c r="J369" s="11">
        <v>95</v>
      </c>
      <c r="K369" s="44">
        <f t="shared" si="35"/>
        <v>5.8185000000000002</v>
      </c>
      <c r="L369" s="3" t="s">
        <v>61</v>
      </c>
      <c r="M369" s="3" t="s">
        <v>70</v>
      </c>
      <c r="N369" s="15">
        <f>ROUND((IF(L369="Blaze Shield II",IF(M369="Idiem software",IF(AND(C369="IN",G369=4),((('BLAZE SHIELD II'!$D$4*('HOJA DE CÁLCULO RESPALDO'!I369^2)+'BLAZE SHIELD II'!$D$5*'HOJA DE CÁLCULO RESPALDO'!I369+'BLAZE SHIELD II'!$D$6)*LN(J369))+('BLAZE SHIELD II'!$D$7*('HOJA DE CÁLCULO RESPALDO'!I369^2)+'BLAZE SHIELD II'!$D$8*'HOJA DE CÁLCULO RESPALDO'!I369+'BLAZE SHIELD II'!$D$9)),0),0),0))+(IF(L369="Blaze Shield II",IF(M369="Idiem software",IF(C369="Cj",((('BLAZE SHIELD II'!$H$4*('HOJA DE CÁLCULO RESPALDO'!I369^2)+'BLAZE SHIELD II'!$H$5*'HOJA DE CÁLCULO RESPALDO'!I369+'BLAZE SHIELD II'!$H$6)*LN(J369))+('BLAZE SHIELD II'!$H$7*('HOJA DE CÁLCULO RESPALDO'!I369^2)+'BLAZE SHIELD II'!$H$8*'HOJA DE CÁLCULO RESPALDO'!I369+'BLAZE SHIELD II'!$H$9)),0),0),0))+(IF(L369="Blaze Shield II",IF(M369="Idiem software",IF(C369="C",((('BLAZE SHIELD II'!$L$4*('HOJA DE CÁLCULO RESPALDO'!I369^2)+'BLAZE SHIELD II'!$L$5*'HOJA DE CÁLCULO RESPALDO'!I369+'BLAZE SHIELD II'!$L$6)*LN(J369))+('BLAZE SHIELD II'!$L$7*('HOJA DE CÁLCULO RESPALDO'!I369^2)+'BLAZE SHIELD II'!$L$8*'HOJA DE CÁLCULO RESPALDO'!I369+'BLAZE SHIELD II'!$L$9)),0),0),0))+(IF(L369="Blaze Shield II",IF(M369="Idiem software",IF(AND(C369="IN",G369=3),((('BLAZE SHIELD II'!$H$14*('HOJA DE CÁLCULO RESPALDO'!I369^2)+'BLAZE SHIELD II'!$H$15*'HOJA DE CÁLCULO RESPALDO'!I369+'BLAZE SHIELD II'!$H$16)*LN(J369))+('BLAZE SHIELD II'!$H$17*('HOJA DE CÁLCULO RESPALDO'!I369^2)+'BLAZE SHIELD II'!$H$18*'HOJA DE CÁLCULO RESPALDO'!I369+'BLAZE SHIELD II'!$H$19)),0),0),0)),0)</f>
        <v>0</v>
      </c>
      <c r="O369" s="46">
        <f t="shared" si="39"/>
        <v>0</v>
      </c>
      <c r="P369" s="80">
        <f t="shared" si="36"/>
        <v>0</v>
      </c>
      <c r="Q369" s="85">
        <f>ROUND((IF(L369="Cafco 400",IF(M369="Idiem software",IF(AND(C369="IN",G369=4),((('CAFCO 400 '!$H$7*(J369^4)+'CAFCO 400 '!$H$8*(J369^3)+'CAFCO 400 '!$H$9*(J369^2)+'CAFCO 400 '!$H$10*J369+'CAFCO 400 '!$H$11)*I369^2)+(('CAFCO 400 '!$H$12*(J369^3)+'CAFCO 400 '!$H$13*(J369^2)+'CAFCO 400 '!$H$14*J369+'CAFCO 400 '!$H$15)*I369)+('CAFCO 400 '!$H$16*(J369^2)+'CAFCO 400 '!$H$17*J369+'CAFCO 400 '!$H$18)),0),0),0))+(IF(L369="Cafco 400",IF(M369="Idiem software",IF(C369="Cj",(((('CAFCO 400 '!$D$7*LN(J369)+'CAFCO 400 '!$D$8)*I369^2)+(('CAFCO 400 '!$D$9*LN(J369)+'CAFCO 400 '!$D$10)*I369)+('CAFCO 400 '!$D$11*LN(J369)+'CAFCO 400 '!$D$12))),0),0),0))+(IF(L369="Cafco 400",IF(M369="Idiem software",IF(C369="C",((('CAFCO 400 '!$L$7*(J369^3)+'CAFCO 400 '!$L$8*(J369^2)+'CAFCO 400 '!$L$9*J369+'CAFCO 400 '!$L$10)*I369^2)+(('CAFCO 400 '!$L$11*(J369^3)+'CAFCO 400 '!$L$12*(J369^2)+'CAFCO 400 '!$L$13*J369+'CAFCO 400 '!$L$14)*I369)+('CAFCO 400 '!$L$15*LN(J369)+'CAFCO 400 '!$L$16)),0),0),0))+(IF(L369="Cafco 400",IF(M369="Idiem software",IF(AND(C369="IN",G369=3),((('CAFCO 400 '!$D$23*(J369^2)+'CAFCO 400 '!$D$24*(J369)+'CAFCO 400 '!$D$25)*I369^2)+(('CAFCO 400 '!$D$26*(J369^2)+'CAFCO 400 '!$D$27*J369+'CAFCO 400 '!$D$28)*I369)+('CAFCO 400 '!$D$29*(J369^2)+'CAFCO 400 '!$D$30*J369+'CAFCO 400 '!$D$31)),0),0),0)),0)</f>
        <v>0</v>
      </c>
      <c r="R369" s="47">
        <f t="shared" si="40"/>
        <v>0</v>
      </c>
      <c r="S369" s="84">
        <f t="shared" si="37"/>
        <v>0</v>
      </c>
      <c r="T369" s="83">
        <f>+IF(AND(J369&gt;=95,J369&lt;=240),IF(AND(C369="Cj",I369=90),VLOOKUP(W369,'CAFCO 300 IDIEM TABLAS'!$B$4:$D$23,2,FALSE),0)+IF(AND(J369&gt;=95,J369&lt;=240),IF(AND(C369="Cj",I369=120),VLOOKUP(W369,'CAFCO 300 IDIEM TABLAS'!$B$4:$D$23,3,FALSE),0))+IF(AND(J369&gt;=95,J369&lt;=400,G369=3),IF(AND(C369="IN",I369=90),VLOOKUP(W369,'CAFCO 300 IDIEM TABLAS'!$F$4:$H$35,2,FALSE),0),0)+IF(AND(J369&gt;=95,J369&lt;=400,G369=3),IF(AND(C369="IN",I369=120),VLOOKUP(W369,'CAFCO 300 IDIEM TABLAS'!$F$4:$H$35,3,FALSE),0),0)+IF(AND(J369&gt;=95,J369&lt;=450,G369=4),IF(AND(C369="IN",I369=90),VLOOKUP(W369,'CAFCO 300 IDIEM TABLAS'!$J$4:$L$40,2,FALSE),0),0)+IF(AND(J369&gt;=95,J369&lt;=450,G369=4),IF(AND(C369="IN",I369=120),VLOOKUP(W369,'CAFCO 300 IDIEM TABLAS'!$J$4:$L$40,3,FALSE),0),0))</f>
        <v>17</v>
      </c>
      <c r="U369" s="48">
        <f t="shared" si="41"/>
        <v>1.3649947047496791</v>
      </c>
      <c r="V369" s="84">
        <f t="shared" si="38"/>
        <v>20494.030497111682</v>
      </c>
      <c r="W369" s="64">
        <f>+IF(J369=LOOKUP(J369,'CAFCO 300 IDIEM TABLAS'!$J$4:$J$40),'HOJA DE CÁLCULO RESPALDO'!J369,MROUND('HOJA DE CÁLCULO RESPALDO'!J369,10))</f>
        <v>95</v>
      </c>
      <c r="X369" s="36"/>
      <c r="Y369" s="4"/>
    </row>
    <row r="370" spans="1:25" x14ac:dyDescent="0.25">
      <c r="W370" s="4"/>
      <c r="X370" s="4"/>
      <c r="Y370" s="4"/>
    </row>
    <row r="371" spans="1:25" x14ac:dyDescent="0.25">
      <c r="W371" s="4"/>
      <c r="X371" s="4"/>
      <c r="Y371" s="4"/>
    </row>
    <row r="372" spans="1:25" x14ac:dyDescent="0.25">
      <c r="W372" s="4"/>
      <c r="X372" s="4"/>
      <c r="Y372" s="4"/>
    </row>
    <row r="373" spans="1:25" x14ac:dyDescent="0.25">
      <c r="W373" s="4"/>
      <c r="X373" s="4"/>
      <c r="Y373" s="4"/>
    </row>
    <row r="374" spans="1:25" x14ac:dyDescent="0.25">
      <c r="W374" s="4"/>
      <c r="X374" s="4"/>
      <c r="Y374" s="4"/>
    </row>
    <row r="375" spans="1:25" x14ac:dyDescent="0.25">
      <c r="W375" s="4"/>
      <c r="X375" s="4"/>
      <c r="Y375" s="4"/>
    </row>
    <row r="376" spans="1:25" x14ac:dyDescent="0.25">
      <c r="W376" s="4"/>
      <c r="X376" s="4"/>
      <c r="Y376" s="4"/>
    </row>
    <row r="377" spans="1:25" x14ac:dyDescent="0.25">
      <c r="W377" s="4"/>
      <c r="X377" s="4"/>
      <c r="Y377" s="4"/>
    </row>
    <row r="378" spans="1:25" x14ac:dyDescent="0.25">
      <c r="W378" s="4"/>
      <c r="X378" s="4"/>
      <c r="Y378" s="4"/>
    </row>
    <row r="379" spans="1:25" x14ac:dyDescent="0.25">
      <c r="W379" s="4"/>
      <c r="X379" s="4"/>
      <c r="Y379" s="4"/>
    </row>
    <row r="380" spans="1:25" x14ac:dyDescent="0.25">
      <c r="W380" s="4"/>
      <c r="X380" s="4"/>
      <c r="Y380" s="4"/>
    </row>
    <row r="381" spans="1:25" x14ac:dyDescent="0.25">
      <c r="W381" s="4"/>
      <c r="X381" s="4"/>
      <c r="Y381" s="4"/>
    </row>
    <row r="382" spans="1:25" x14ac:dyDescent="0.25">
      <c r="W382" s="4"/>
      <c r="X382" s="4"/>
      <c r="Y382" s="4"/>
    </row>
    <row r="383" spans="1:25" x14ac:dyDescent="0.25">
      <c r="W383" s="4"/>
      <c r="X383" s="4"/>
      <c r="Y383" s="4"/>
    </row>
    <row r="384" spans="1:25" x14ac:dyDescent="0.25">
      <c r="W384" s="4"/>
      <c r="X384" s="4"/>
      <c r="Y384" s="4"/>
    </row>
    <row r="385" spans="23:25" x14ac:dyDescent="0.25">
      <c r="W385" s="4"/>
      <c r="X385" s="4"/>
      <c r="Y385" s="4"/>
    </row>
    <row r="386" spans="23:25" x14ac:dyDescent="0.25">
      <c r="W386" s="4"/>
      <c r="X386" s="4"/>
      <c r="Y386" s="4"/>
    </row>
    <row r="387" spans="23:25" x14ac:dyDescent="0.25">
      <c r="W387" s="4"/>
      <c r="X387" s="4"/>
      <c r="Y387" s="4"/>
    </row>
    <row r="388" spans="23:25" x14ac:dyDescent="0.25">
      <c r="W388" s="4"/>
      <c r="X388" s="4"/>
      <c r="Y388" s="4"/>
    </row>
    <row r="389" spans="23:25" x14ac:dyDescent="0.25">
      <c r="W389" s="4"/>
      <c r="X389" s="4"/>
      <c r="Y389" s="4"/>
    </row>
    <row r="390" spans="23:25" x14ac:dyDescent="0.25">
      <c r="W390" s="4"/>
      <c r="X390" s="4"/>
      <c r="Y390" s="4"/>
    </row>
    <row r="391" spans="23:25" x14ac:dyDescent="0.25">
      <c r="W391" s="4"/>
      <c r="X391" s="4"/>
      <c r="Y391" s="4"/>
    </row>
    <row r="392" spans="23:25" x14ac:dyDescent="0.25">
      <c r="W392" s="4"/>
      <c r="X392" s="4"/>
      <c r="Y392" s="4"/>
    </row>
    <row r="393" spans="23:25" x14ac:dyDescent="0.25">
      <c r="W393" s="4"/>
      <c r="X393" s="4"/>
      <c r="Y393" s="4"/>
    </row>
    <row r="394" spans="23:25" x14ac:dyDescent="0.25">
      <c r="W394" s="4"/>
      <c r="X394" s="4"/>
      <c r="Y394" s="4"/>
    </row>
    <row r="395" spans="23:25" x14ac:dyDescent="0.25">
      <c r="W395" s="4"/>
      <c r="X395" s="4"/>
      <c r="Y395" s="4"/>
    </row>
    <row r="396" spans="23:25" x14ac:dyDescent="0.25">
      <c r="W396" s="4"/>
      <c r="X396" s="4"/>
      <c r="Y396" s="4"/>
    </row>
    <row r="397" spans="23:25" x14ac:dyDescent="0.25">
      <c r="W397" s="4"/>
      <c r="X397" s="4"/>
      <c r="Y397" s="4"/>
    </row>
    <row r="398" spans="23:25" x14ac:dyDescent="0.25">
      <c r="W398" s="4"/>
      <c r="X398" s="4"/>
      <c r="Y398" s="4"/>
    </row>
    <row r="399" spans="23:25" x14ac:dyDescent="0.25">
      <c r="W399" s="4"/>
      <c r="X399" s="4"/>
      <c r="Y399" s="4"/>
    </row>
    <row r="400" spans="23:25" x14ac:dyDescent="0.25">
      <c r="W400" s="4"/>
      <c r="X400" s="4"/>
      <c r="Y400" s="4"/>
    </row>
    <row r="401" spans="23:25" x14ac:dyDescent="0.25">
      <c r="W401" s="4"/>
      <c r="X401" s="4"/>
      <c r="Y401" s="4"/>
    </row>
    <row r="402" spans="23:25" x14ac:dyDescent="0.25">
      <c r="W402" s="4"/>
      <c r="X402" s="4"/>
      <c r="Y402" s="4"/>
    </row>
    <row r="403" spans="23:25" x14ac:dyDescent="0.25">
      <c r="W403" s="4"/>
      <c r="X403" s="4"/>
      <c r="Y403" s="4"/>
    </row>
    <row r="404" spans="23:25" x14ac:dyDescent="0.25">
      <c r="W404" s="4"/>
      <c r="X404" s="4"/>
      <c r="Y404" s="4"/>
    </row>
    <row r="405" spans="23:25" x14ac:dyDescent="0.25">
      <c r="W405" s="4"/>
      <c r="X405" s="4"/>
      <c r="Y405" s="4"/>
    </row>
    <row r="406" spans="23:25" x14ac:dyDescent="0.25">
      <c r="W406" s="4"/>
      <c r="X406" s="4"/>
      <c r="Y406" s="4"/>
    </row>
    <row r="407" spans="23:25" x14ac:dyDescent="0.25">
      <c r="W407" s="4"/>
      <c r="X407" s="4"/>
      <c r="Y407" s="4"/>
    </row>
    <row r="408" spans="23:25" x14ac:dyDescent="0.25">
      <c r="W408" s="4"/>
      <c r="X408" s="4"/>
      <c r="Y408" s="4"/>
    </row>
    <row r="409" spans="23:25" x14ac:dyDescent="0.25">
      <c r="W409" s="4"/>
      <c r="X409" s="4"/>
      <c r="Y409" s="4"/>
    </row>
    <row r="410" spans="23:25" x14ac:dyDescent="0.25">
      <c r="W410" s="4"/>
      <c r="X410" s="4"/>
      <c r="Y410" s="4"/>
    </row>
    <row r="411" spans="23:25" x14ac:dyDescent="0.25">
      <c r="W411" s="4"/>
      <c r="X411" s="4"/>
      <c r="Y411" s="4"/>
    </row>
    <row r="412" spans="23:25" x14ac:dyDescent="0.25">
      <c r="W412" s="4"/>
      <c r="X412" s="4"/>
      <c r="Y412" s="4"/>
    </row>
    <row r="413" spans="23:25" x14ac:dyDescent="0.25">
      <c r="W413" s="4"/>
      <c r="X413" s="4"/>
      <c r="Y413" s="4"/>
    </row>
    <row r="414" spans="23:25" x14ac:dyDescent="0.25">
      <c r="W414" s="4"/>
      <c r="X414" s="4"/>
      <c r="Y414" s="4"/>
    </row>
    <row r="415" spans="23:25" x14ac:dyDescent="0.25">
      <c r="W415" s="4"/>
      <c r="X415" s="4"/>
      <c r="Y415" s="4"/>
    </row>
    <row r="416" spans="23:25" x14ac:dyDescent="0.25">
      <c r="W416" s="4"/>
      <c r="X416" s="4"/>
      <c r="Y416" s="4"/>
    </row>
    <row r="417" spans="23:25" x14ac:dyDescent="0.25">
      <c r="W417" s="4"/>
      <c r="X417" s="4"/>
      <c r="Y417" s="4"/>
    </row>
    <row r="418" spans="23:25" x14ac:dyDescent="0.25">
      <c r="W418" s="4"/>
      <c r="X418" s="4"/>
      <c r="Y418" s="4"/>
    </row>
    <row r="419" spans="23:25" x14ac:dyDescent="0.25">
      <c r="W419" s="4"/>
      <c r="X419" s="4"/>
      <c r="Y419" s="4"/>
    </row>
    <row r="420" spans="23:25" x14ac:dyDescent="0.25">
      <c r="W420" s="4"/>
      <c r="X420" s="4"/>
      <c r="Y420" s="4"/>
    </row>
    <row r="421" spans="23:25" x14ac:dyDescent="0.25">
      <c r="W421" s="4"/>
      <c r="X421" s="4"/>
      <c r="Y421" s="4"/>
    </row>
    <row r="422" spans="23:25" x14ac:dyDescent="0.25">
      <c r="W422" s="4"/>
      <c r="X422" s="4"/>
      <c r="Y422" s="4"/>
    </row>
    <row r="423" spans="23:25" x14ac:dyDescent="0.25">
      <c r="W423" s="4"/>
      <c r="X423" s="4"/>
      <c r="Y423" s="4"/>
    </row>
    <row r="424" spans="23:25" x14ac:dyDescent="0.25">
      <c r="W424" s="4"/>
      <c r="X424" s="4"/>
      <c r="Y424" s="4"/>
    </row>
    <row r="425" spans="23:25" x14ac:dyDescent="0.25">
      <c r="W425" s="4"/>
      <c r="X425" s="4"/>
      <c r="Y425" s="4"/>
    </row>
    <row r="426" spans="23:25" x14ac:dyDescent="0.25">
      <c r="W426" s="4"/>
      <c r="X426" s="4"/>
      <c r="Y426" s="4"/>
    </row>
    <row r="427" spans="23:25" x14ac:dyDescent="0.25">
      <c r="W427" s="4"/>
      <c r="X427" s="4"/>
      <c r="Y427" s="4"/>
    </row>
    <row r="428" spans="23:25" x14ac:dyDescent="0.25">
      <c r="W428" s="4"/>
      <c r="X428" s="4"/>
      <c r="Y428" s="4"/>
    </row>
    <row r="429" spans="23:25" x14ac:dyDescent="0.25">
      <c r="W429" s="4"/>
      <c r="X429" s="4"/>
      <c r="Y429" s="4"/>
    </row>
    <row r="430" spans="23:25" x14ac:dyDescent="0.25">
      <c r="W430" s="4"/>
      <c r="X430" s="4"/>
      <c r="Y430" s="4"/>
    </row>
    <row r="431" spans="23:25" x14ac:dyDescent="0.25">
      <c r="W431" s="4"/>
      <c r="X431" s="4"/>
      <c r="Y431" s="4"/>
    </row>
    <row r="432" spans="23:25" x14ac:dyDescent="0.25">
      <c r="W432" s="4"/>
      <c r="X432" s="4"/>
      <c r="Y432" s="4"/>
    </row>
    <row r="433" spans="23:25" x14ac:dyDescent="0.25">
      <c r="W433" s="4"/>
      <c r="X433" s="4"/>
      <c r="Y433" s="4"/>
    </row>
    <row r="434" spans="23:25" x14ac:dyDescent="0.25">
      <c r="W434" s="4"/>
      <c r="X434" s="4"/>
      <c r="Y434" s="4"/>
    </row>
    <row r="435" spans="23:25" x14ac:dyDescent="0.25">
      <c r="W435" s="4"/>
      <c r="X435" s="4"/>
      <c r="Y435" s="4"/>
    </row>
    <row r="436" spans="23:25" x14ac:dyDescent="0.25">
      <c r="W436" s="4"/>
      <c r="X436" s="4"/>
      <c r="Y436" s="4"/>
    </row>
    <row r="437" spans="23:25" x14ac:dyDescent="0.25">
      <c r="W437" s="4"/>
      <c r="X437" s="4"/>
      <c r="Y437" s="4"/>
    </row>
    <row r="438" spans="23:25" x14ac:dyDescent="0.25">
      <c r="W438" s="4"/>
      <c r="X438" s="4"/>
      <c r="Y438" s="4"/>
    </row>
    <row r="439" spans="23:25" x14ac:dyDescent="0.25">
      <c r="W439" s="4"/>
      <c r="X439" s="4"/>
      <c r="Y439" s="4"/>
    </row>
    <row r="440" spans="23:25" x14ac:dyDescent="0.25">
      <c r="W440" s="4"/>
      <c r="X440" s="4"/>
      <c r="Y440" s="4"/>
    </row>
    <row r="441" spans="23:25" x14ac:dyDescent="0.25">
      <c r="W441" s="4"/>
      <c r="X441" s="4"/>
      <c r="Y441" s="4"/>
    </row>
    <row r="442" spans="23:25" x14ac:dyDescent="0.25">
      <c r="W442" s="4"/>
      <c r="X442" s="4"/>
      <c r="Y442" s="4"/>
    </row>
    <row r="443" spans="23:25" x14ac:dyDescent="0.25">
      <c r="W443" s="4"/>
      <c r="X443" s="4"/>
      <c r="Y443" s="4"/>
    </row>
    <row r="444" spans="23:25" x14ac:dyDescent="0.25">
      <c r="W444" s="4"/>
      <c r="X444" s="4"/>
      <c r="Y444" s="4"/>
    </row>
    <row r="445" spans="23:25" x14ac:dyDescent="0.25">
      <c r="W445" s="4"/>
      <c r="X445" s="4"/>
      <c r="Y445" s="4"/>
    </row>
    <row r="446" spans="23:25" x14ac:dyDescent="0.25">
      <c r="W446" s="4"/>
      <c r="X446" s="4"/>
      <c r="Y446" s="4"/>
    </row>
    <row r="447" spans="23:25" x14ac:dyDescent="0.25">
      <c r="W447" s="4"/>
      <c r="X447" s="4"/>
      <c r="Y447" s="4"/>
    </row>
    <row r="448" spans="23:25" x14ac:dyDescent="0.25">
      <c r="W448" s="4"/>
      <c r="X448" s="4"/>
      <c r="Y448" s="4"/>
    </row>
    <row r="449" spans="23:25" x14ac:dyDescent="0.25">
      <c r="W449" s="4"/>
      <c r="X449" s="4"/>
      <c r="Y449" s="4"/>
    </row>
    <row r="450" spans="23:25" x14ac:dyDescent="0.25">
      <c r="W450" s="4"/>
      <c r="X450" s="4"/>
      <c r="Y450" s="4"/>
    </row>
    <row r="451" spans="23:25" x14ac:dyDescent="0.25">
      <c r="W451" s="4"/>
      <c r="X451" s="4"/>
      <c r="Y451" s="4"/>
    </row>
    <row r="452" spans="23:25" x14ac:dyDescent="0.25">
      <c r="W452" s="4"/>
      <c r="X452" s="4"/>
      <c r="Y452" s="4"/>
    </row>
    <row r="453" spans="23:25" x14ac:dyDescent="0.25">
      <c r="W453" s="4"/>
      <c r="X453" s="4"/>
      <c r="Y453" s="4"/>
    </row>
    <row r="454" spans="23:25" x14ac:dyDescent="0.25">
      <c r="W454" s="4"/>
      <c r="X454" s="4"/>
      <c r="Y454" s="4"/>
    </row>
    <row r="455" spans="23:25" x14ac:dyDescent="0.25">
      <c r="W455" s="4"/>
      <c r="X455" s="4"/>
      <c r="Y455" s="4"/>
    </row>
    <row r="456" spans="23:25" x14ac:dyDescent="0.25">
      <c r="W456" s="4"/>
      <c r="X456" s="4"/>
      <c r="Y456" s="4"/>
    </row>
    <row r="457" spans="23:25" x14ac:dyDescent="0.25">
      <c r="W457" s="4"/>
      <c r="X457" s="4"/>
      <c r="Y457" s="4"/>
    </row>
    <row r="458" spans="23:25" x14ac:dyDescent="0.25">
      <c r="W458" s="4"/>
      <c r="X458" s="4"/>
      <c r="Y458" s="4"/>
    </row>
    <row r="459" spans="23:25" x14ac:dyDescent="0.25">
      <c r="W459" s="4"/>
      <c r="X459" s="4"/>
      <c r="Y459" s="4"/>
    </row>
    <row r="460" spans="23:25" x14ac:dyDescent="0.25">
      <c r="W460" s="4"/>
      <c r="X460" s="4"/>
      <c r="Y460" s="4"/>
    </row>
    <row r="461" spans="23:25" x14ac:dyDescent="0.25">
      <c r="W461" s="4"/>
      <c r="X461" s="4"/>
      <c r="Y461" s="4"/>
    </row>
    <row r="462" spans="23:25" x14ac:dyDescent="0.25">
      <c r="W462" s="4"/>
      <c r="X462" s="4"/>
      <c r="Y462" s="4"/>
    </row>
    <row r="463" spans="23:25" x14ac:dyDescent="0.25">
      <c r="W463" s="4"/>
      <c r="X463" s="4"/>
      <c r="Y463" s="4"/>
    </row>
    <row r="464" spans="23:25" x14ac:dyDescent="0.25">
      <c r="W464" s="4"/>
      <c r="X464" s="4"/>
      <c r="Y464" s="4"/>
    </row>
    <row r="465" spans="23:25" x14ac:dyDescent="0.25">
      <c r="W465" s="4"/>
      <c r="X465" s="4"/>
      <c r="Y465" s="4"/>
    </row>
    <row r="466" spans="23:25" x14ac:dyDescent="0.25">
      <c r="W466" s="4"/>
      <c r="X466" s="4"/>
      <c r="Y466" s="4"/>
    </row>
    <row r="467" spans="23:25" x14ac:dyDescent="0.25">
      <c r="W467" s="4"/>
      <c r="X467" s="4"/>
      <c r="Y467" s="4"/>
    </row>
    <row r="468" spans="23:25" x14ac:dyDescent="0.25">
      <c r="W468" s="4"/>
      <c r="X468" s="4"/>
      <c r="Y468" s="4"/>
    </row>
    <row r="469" spans="23:25" x14ac:dyDescent="0.25">
      <c r="W469" s="4"/>
      <c r="X469" s="4"/>
      <c r="Y469" s="4"/>
    </row>
    <row r="470" spans="23:25" x14ac:dyDescent="0.25">
      <c r="W470" s="4"/>
      <c r="X470" s="4"/>
      <c r="Y470" s="4"/>
    </row>
    <row r="471" spans="23:25" x14ac:dyDescent="0.25">
      <c r="W471" s="4"/>
      <c r="X471" s="4"/>
      <c r="Y471" s="4"/>
    </row>
    <row r="472" spans="23:25" x14ac:dyDescent="0.25">
      <c r="W472" s="4"/>
      <c r="X472" s="4"/>
      <c r="Y472" s="4"/>
    </row>
    <row r="473" spans="23:25" x14ac:dyDescent="0.25">
      <c r="W473" s="4"/>
      <c r="X473" s="4"/>
      <c r="Y473" s="4"/>
    </row>
    <row r="474" spans="23:25" x14ac:dyDescent="0.25">
      <c r="W474" s="4"/>
      <c r="X474" s="4"/>
      <c r="Y474" s="4"/>
    </row>
    <row r="475" spans="23:25" x14ac:dyDescent="0.25">
      <c r="W475" s="4"/>
      <c r="X475" s="4"/>
      <c r="Y475" s="4"/>
    </row>
    <row r="476" spans="23:25" x14ac:dyDescent="0.25">
      <c r="W476" s="4"/>
      <c r="X476" s="4"/>
      <c r="Y476" s="4"/>
    </row>
    <row r="477" spans="23:25" x14ac:dyDescent="0.25">
      <c r="W477" s="4"/>
      <c r="X477" s="4"/>
      <c r="Y477" s="4"/>
    </row>
    <row r="478" spans="23:25" x14ac:dyDescent="0.25">
      <c r="W478" s="4"/>
      <c r="X478" s="4"/>
      <c r="Y478" s="4"/>
    </row>
    <row r="479" spans="23:25" x14ac:dyDescent="0.25">
      <c r="W479" s="4"/>
      <c r="X479" s="4"/>
      <c r="Y479" s="4"/>
    </row>
    <row r="480" spans="23:25" x14ac:dyDescent="0.25">
      <c r="W480" s="4"/>
      <c r="X480" s="4"/>
      <c r="Y480" s="4"/>
    </row>
    <row r="481" spans="23:25" x14ac:dyDescent="0.25">
      <c r="W481" s="4"/>
      <c r="X481" s="4"/>
      <c r="Y481" s="4"/>
    </row>
    <row r="482" spans="23:25" x14ac:dyDescent="0.25">
      <c r="W482" s="4"/>
      <c r="X482" s="4"/>
      <c r="Y482" s="4"/>
    </row>
    <row r="483" spans="23:25" x14ac:dyDescent="0.25">
      <c r="W483" s="4"/>
      <c r="X483" s="4"/>
      <c r="Y483" s="4"/>
    </row>
    <row r="484" spans="23:25" x14ac:dyDescent="0.25">
      <c r="W484" s="4"/>
      <c r="X484" s="4"/>
      <c r="Y484" s="4"/>
    </row>
    <row r="485" spans="23:25" x14ac:dyDescent="0.25">
      <c r="W485" s="4"/>
      <c r="X485" s="4"/>
      <c r="Y485" s="4"/>
    </row>
    <row r="486" spans="23:25" x14ac:dyDescent="0.25">
      <c r="W486" s="4"/>
      <c r="X486" s="4"/>
      <c r="Y486" s="4"/>
    </row>
    <row r="487" spans="23:25" x14ac:dyDescent="0.25">
      <c r="W487" s="4"/>
      <c r="X487" s="4"/>
      <c r="Y487" s="4"/>
    </row>
    <row r="488" spans="23:25" x14ac:dyDescent="0.25">
      <c r="W488" s="4"/>
      <c r="X488" s="4"/>
      <c r="Y488" s="4"/>
    </row>
    <row r="489" spans="23:25" x14ac:dyDescent="0.25">
      <c r="W489" s="4"/>
      <c r="X489" s="4"/>
      <c r="Y489" s="4"/>
    </row>
    <row r="490" spans="23:25" x14ac:dyDescent="0.25">
      <c r="W490" s="4"/>
      <c r="X490" s="4"/>
      <c r="Y490" s="4"/>
    </row>
    <row r="491" spans="23:25" x14ac:dyDescent="0.25">
      <c r="W491" s="4"/>
      <c r="X491" s="4"/>
      <c r="Y491" s="4"/>
    </row>
    <row r="492" spans="23:25" x14ac:dyDescent="0.25">
      <c r="W492" s="4"/>
      <c r="X492" s="4"/>
      <c r="Y492" s="4"/>
    </row>
    <row r="493" spans="23:25" x14ac:dyDescent="0.25">
      <c r="W493" s="4"/>
      <c r="X493" s="4"/>
      <c r="Y493" s="4"/>
    </row>
    <row r="494" spans="23:25" x14ac:dyDescent="0.25">
      <c r="W494" s="4"/>
      <c r="X494" s="4"/>
      <c r="Y494" s="4"/>
    </row>
    <row r="495" spans="23:25" x14ac:dyDescent="0.25">
      <c r="W495" s="4"/>
      <c r="X495" s="4"/>
      <c r="Y495" s="4"/>
    </row>
    <row r="496" spans="23:25" x14ac:dyDescent="0.25">
      <c r="W496" s="4"/>
      <c r="X496" s="4"/>
      <c r="Y496" s="4"/>
    </row>
    <row r="497" spans="23:25" x14ac:dyDescent="0.25">
      <c r="W497" s="4"/>
      <c r="X497" s="4"/>
      <c r="Y497" s="4"/>
    </row>
    <row r="498" spans="23:25" x14ac:dyDescent="0.25">
      <c r="W498" s="4"/>
      <c r="X498" s="4"/>
      <c r="Y498" s="4"/>
    </row>
    <row r="499" spans="23:25" x14ac:dyDescent="0.25">
      <c r="W499" s="4"/>
      <c r="X499" s="4"/>
      <c r="Y499" s="4"/>
    </row>
    <row r="500" spans="23:25" x14ac:dyDescent="0.25">
      <c r="W500" s="4"/>
      <c r="X500" s="4"/>
      <c r="Y500" s="4"/>
    </row>
    <row r="501" spans="23:25" x14ac:dyDescent="0.25">
      <c r="W501" s="4"/>
      <c r="X501" s="4"/>
      <c r="Y501" s="4"/>
    </row>
    <row r="502" spans="23:25" x14ac:dyDescent="0.25">
      <c r="W502" s="4"/>
      <c r="X502" s="4"/>
      <c r="Y502" s="4"/>
    </row>
    <row r="503" spans="23:25" x14ac:dyDescent="0.25">
      <c r="W503" s="4"/>
      <c r="X503" s="4"/>
      <c r="Y503" s="4"/>
    </row>
    <row r="504" spans="23:25" x14ac:dyDescent="0.25">
      <c r="W504" s="4"/>
      <c r="X504" s="4"/>
      <c r="Y504" s="4"/>
    </row>
    <row r="505" spans="23:25" x14ac:dyDescent="0.25">
      <c r="W505" s="4"/>
      <c r="X505" s="4"/>
      <c r="Y505" s="4"/>
    </row>
    <row r="506" spans="23:25" x14ac:dyDescent="0.25">
      <c r="W506" s="4"/>
      <c r="X506" s="4"/>
      <c r="Y506" s="4"/>
    </row>
    <row r="507" spans="23:25" x14ac:dyDescent="0.25">
      <c r="W507" s="4"/>
      <c r="X507" s="4"/>
      <c r="Y507" s="4"/>
    </row>
    <row r="508" spans="23:25" x14ac:dyDescent="0.25">
      <c r="W508" s="4"/>
      <c r="X508" s="4"/>
      <c r="Y508" s="4"/>
    </row>
    <row r="509" spans="23:25" x14ac:dyDescent="0.25">
      <c r="W509" s="4"/>
      <c r="X509" s="4"/>
      <c r="Y509" s="4"/>
    </row>
    <row r="510" spans="23:25" x14ac:dyDescent="0.25">
      <c r="W510" s="4"/>
      <c r="X510" s="4"/>
      <c r="Y510" s="4"/>
    </row>
    <row r="511" spans="23:25" x14ac:dyDescent="0.25">
      <c r="W511" s="4"/>
      <c r="X511" s="4"/>
      <c r="Y511" s="4"/>
    </row>
    <row r="512" spans="23:25" x14ac:dyDescent="0.25">
      <c r="W512" s="4"/>
      <c r="X512" s="4"/>
      <c r="Y512" s="4"/>
    </row>
    <row r="513" spans="23:25" x14ac:dyDescent="0.25">
      <c r="W513" s="4"/>
      <c r="X513" s="4"/>
      <c r="Y513" s="4"/>
    </row>
    <row r="514" spans="23:25" x14ac:dyDescent="0.25">
      <c r="W514" s="4"/>
      <c r="X514" s="4"/>
      <c r="Y514" s="4"/>
    </row>
    <row r="515" spans="23:25" x14ac:dyDescent="0.25">
      <c r="W515" s="4"/>
      <c r="X515" s="4"/>
      <c r="Y515" s="4"/>
    </row>
    <row r="516" spans="23:25" x14ac:dyDescent="0.25">
      <c r="W516" s="4"/>
      <c r="X516" s="4"/>
      <c r="Y516" s="4"/>
    </row>
    <row r="517" spans="23:25" x14ac:dyDescent="0.25">
      <c r="W517" s="4"/>
      <c r="X517" s="4"/>
      <c r="Y517" s="4"/>
    </row>
    <row r="518" spans="23:25" x14ac:dyDescent="0.25">
      <c r="W518" s="4"/>
      <c r="X518" s="4"/>
      <c r="Y518" s="4"/>
    </row>
    <row r="519" spans="23:25" x14ac:dyDescent="0.25">
      <c r="W519" s="4"/>
      <c r="X519" s="4"/>
      <c r="Y519" s="4"/>
    </row>
    <row r="520" spans="23:25" x14ac:dyDescent="0.25">
      <c r="W520" s="4"/>
      <c r="X520" s="4"/>
      <c r="Y520" s="4"/>
    </row>
    <row r="521" spans="23:25" x14ac:dyDescent="0.25">
      <c r="W521" s="4"/>
      <c r="X521" s="4"/>
      <c r="Y521" s="4"/>
    </row>
    <row r="522" spans="23:25" x14ac:dyDescent="0.25">
      <c r="W522" s="4"/>
      <c r="X522" s="4"/>
      <c r="Y522" s="4"/>
    </row>
    <row r="523" spans="23:25" x14ac:dyDescent="0.25">
      <c r="W523" s="4"/>
      <c r="X523" s="4"/>
      <c r="Y523" s="4"/>
    </row>
    <row r="524" spans="23:25" x14ac:dyDescent="0.25">
      <c r="W524" s="4"/>
      <c r="X524" s="4"/>
      <c r="Y524" s="4"/>
    </row>
    <row r="525" spans="23:25" x14ac:dyDescent="0.25">
      <c r="W525" s="4"/>
      <c r="X525" s="4"/>
      <c r="Y525" s="4"/>
    </row>
    <row r="526" spans="23:25" x14ac:dyDescent="0.25">
      <c r="W526" s="4"/>
      <c r="X526" s="4"/>
      <c r="Y526" s="4"/>
    </row>
    <row r="527" spans="23:25" x14ac:dyDescent="0.25">
      <c r="W527" s="4"/>
      <c r="X527" s="4"/>
      <c r="Y527" s="4"/>
    </row>
    <row r="528" spans="23:25" x14ac:dyDescent="0.25">
      <c r="W528" s="4"/>
      <c r="X528" s="4"/>
      <c r="Y528" s="4"/>
    </row>
    <row r="529" spans="23:25" x14ac:dyDescent="0.25">
      <c r="W529" s="4"/>
      <c r="X529" s="4"/>
      <c r="Y529" s="4"/>
    </row>
    <row r="530" spans="23:25" x14ac:dyDescent="0.25">
      <c r="W530" s="4"/>
      <c r="X530" s="4"/>
      <c r="Y530" s="4"/>
    </row>
    <row r="531" spans="23:25" x14ac:dyDescent="0.25">
      <c r="W531" s="4"/>
      <c r="X531" s="4"/>
      <c r="Y531" s="4"/>
    </row>
    <row r="532" spans="23:25" x14ac:dyDescent="0.25">
      <c r="W532" s="4"/>
      <c r="X532" s="4"/>
      <c r="Y532" s="4"/>
    </row>
    <row r="533" spans="23:25" x14ac:dyDescent="0.25">
      <c r="W533" s="4"/>
      <c r="X533" s="4"/>
      <c r="Y533" s="4"/>
    </row>
    <row r="534" spans="23:25" x14ac:dyDescent="0.25">
      <c r="W534" s="4"/>
      <c r="X534" s="4"/>
      <c r="Y534" s="4"/>
    </row>
    <row r="535" spans="23:25" x14ac:dyDescent="0.25">
      <c r="W535" s="4"/>
      <c r="X535" s="4"/>
      <c r="Y535" s="4"/>
    </row>
    <row r="536" spans="23:25" x14ac:dyDescent="0.25">
      <c r="W536" s="4"/>
      <c r="X536" s="4"/>
      <c r="Y536" s="4"/>
    </row>
    <row r="537" spans="23:25" x14ac:dyDescent="0.25">
      <c r="W537" s="4"/>
      <c r="X537" s="4"/>
      <c r="Y537" s="4"/>
    </row>
    <row r="538" spans="23:25" x14ac:dyDescent="0.25">
      <c r="W538" s="4"/>
      <c r="X538" s="4"/>
      <c r="Y538" s="4"/>
    </row>
    <row r="539" spans="23:25" x14ac:dyDescent="0.25">
      <c r="W539" s="4"/>
      <c r="X539" s="4"/>
      <c r="Y539" s="4"/>
    </row>
    <row r="540" spans="23:25" x14ac:dyDescent="0.25">
      <c r="W540" s="4"/>
      <c r="X540" s="4"/>
      <c r="Y540" s="4"/>
    </row>
    <row r="541" spans="23:25" x14ac:dyDescent="0.25">
      <c r="W541" s="4"/>
      <c r="X541" s="4"/>
      <c r="Y541" s="4"/>
    </row>
    <row r="542" spans="23:25" x14ac:dyDescent="0.25">
      <c r="W542" s="4"/>
      <c r="X542" s="4"/>
      <c r="Y542" s="4"/>
    </row>
    <row r="543" spans="23:25" x14ac:dyDescent="0.25">
      <c r="W543" s="4"/>
      <c r="X543" s="4"/>
      <c r="Y543" s="4"/>
    </row>
    <row r="544" spans="23:25" x14ac:dyDescent="0.25">
      <c r="W544" s="4"/>
      <c r="X544" s="4"/>
      <c r="Y544" s="4"/>
    </row>
    <row r="545" spans="23:25" x14ac:dyDescent="0.25">
      <c r="W545" s="4"/>
      <c r="X545" s="4"/>
      <c r="Y545" s="4"/>
    </row>
    <row r="546" spans="23:25" x14ac:dyDescent="0.25">
      <c r="W546" s="4"/>
      <c r="X546" s="4"/>
      <c r="Y546" s="4"/>
    </row>
    <row r="547" spans="23:25" x14ac:dyDescent="0.25">
      <c r="W547" s="4"/>
      <c r="X547" s="4"/>
      <c r="Y547" s="4"/>
    </row>
    <row r="548" spans="23:25" x14ac:dyDescent="0.25">
      <c r="W548" s="4"/>
      <c r="X548" s="4"/>
      <c r="Y548" s="4"/>
    </row>
    <row r="549" spans="23:25" x14ac:dyDescent="0.25">
      <c r="W549" s="4"/>
      <c r="X549" s="4"/>
      <c r="Y549" s="4"/>
    </row>
    <row r="550" spans="23:25" x14ac:dyDescent="0.25">
      <c r="W550" s="4"/>
      <c r="X550" s="4"/>
      <c r="Y550" s="4"/>
    </row>
    <row r="551" spans="23:25" x14ac:dyDescent="0.25">
      <c r="W551" s="4"/>
      <c r="X551" s="4"/>
      <c r="Y551" s="4"/>
    </row>
    <row r="552" spans="23:25" x14ac:dyDescent="0.25">
      <c r="W552" s="4"/>
      <c r="X552" s="4"/>
      <c r="Y552" s="4"/>
    </row>
    <row r="553" spans="23:25" x14ac:dyDescent="0.25">
      <c r="W553" s="4"/>
      <c r="X553" s="4"/>
      <c r="Y553" s="4"/>
    </row>
    <row r="554" spans="23:25" x14ac:dyDescent="0.25">
      <c r="W554" s="4"/>
      <c r="X554" s="4"/>
      <c r="Y554" s="4"/>
    </row>
    <row r="555" spans="23:25" x14ac:dyDescent="0.25">
      <c r="W555" s="4"/>
      <c r="X555" s="4"/>
      <c r="Y555" s="4"/>
    </row>
    <row r="556" spans="23:25" x14ac:dyDescent="0.25">
      <c r="W556" s="4"/>
      <c r="X556" s="4"/>
      <c r="Y556" s="4"/>
    </row>
    <row r="557" spans="23:25" x14ac:dyDescent="0.25">
      <c r="W557" s="4"/>
      <c r="X557" s="4"/>
      <c r="Y557" s="4"/>
    </row>
    <row r="558" spans="23:25" x14ac:dyDescent="0.25">
      <c r="W558" s="4"/>
      <c r="X558" s="4"/>
      <c r="Y558" s="4"/>
    </row>
    <row r="559" spans="23:25" x14ac:dyDescent="0.25">
      <c r="W559" s="4"/>
      <c r="X559" s="4"/>
      <c r="Y559" s="4"/>
    </row>
    <row r="560" spans="23:25" x14ac:dyDescent="0.25">
      <c r="W560" s="4"/>
      <c r="X560" s="4"/>
      <c r="Y560" s="4"/>
    </row>
    <row r="561" spans="23:25" x14ac:dyDescent="0.25">
      <c r="W561" s="4"/>
      <c r="X561" s="4"/>
      <c r="Y561" s="4"/>
    </row>
    <row r="562" spans="23:25" x14ac:dyDescent="0.25">
      <c r="W562" s="4"/>
      <c r="X562" s="4"/>
      <c r="Y562" s="4"/>
    </row>
    <row r="563" spans="23:25" x14ac:dyDescent="0.25">
      <c r="W563" s="4"/>
      <c r="X563" s="4"/>
      <c r="Y563" s="4"/>
    </row>
    <row r="564" spans="23:25" x14ac:dyDescent="0.25">
      <c r="W564" s="4"/>
      <c r="X564" s="4"/>
      <c r="Y564" s="4"/>
    </row>
    <row r="565" spans="23:25" x14ac:dyDescent="0.25">
      <c r="W565" s="4"/>
      <c r="X565" s="4"/>
      <c r="Y565" s="4"/>
    </row>
    <row r="566" spans="23:25" x14ac:dyDescent="0.25">
      <c r="W566" s="4"/>
      <c r="X566" s="4"/>
      <c r="Y566" s="4"/>
    </row>
    <row r="567" spans="23:25" x14ac:dyDescent="0.25">
      <c r="W567" s="4"/>
      <c r="X567" s="4"/>
      <c r="Y567" s="4"/>
    </row>
    <row r="568" spans="23:25" x14ac:dyDescent="0.25">
      <c r="W568" s="4"/>
      <c r="X568" s="4"/>
      <c r="Y568" s="4"/>
    </row>
    <row r="569" spans="23:25" x14ac:dyDescent="0.25">
      <c r="W569" s="4"/>
      <c r="X569" s="4"/>
      <c r="Y569" s="4"/>
    </row>
    <row r="570" spans="23:25" x14ac:dyDescent="0.25">
      <c r="W570" s="4"/>
      <c r="X570" s="4"/>
      <c r="Y570" s="4"/>
    </row>
    <row r="571" spans="23:25" x14ac:dyDescent="0.25">
      <c r="W571" s="4"/>
      <c r="X571" s="4"/>
      <c r="Y571" s="4"/>
    </row>
    <row r="572" spans="23:25" x14ac:dyDescent="0.25">
      <c r="W572" s="4"/>
      <c r="X572" s="4"/>
      <c r="Y572" s="4"/>
    </row>
    <row r="573" spans="23:25" x14ac:dyDescent="0.25">
      <c r="W573" s="4"/>
      <c r="X573" s="4"/>
      <c r="Y573" s="4"/>
    </row>
    <row r="574" spans="23:25" x14ac:dyDescent="0.25">
      <c r="W574" s="4"/>
      <c r="X574" s="4"/>
      <c r="Y574" s="4"/>
    </row>
    <row r="575" spans="23:25" x14ac:dyDescent="0.25">
      <c r="W575" s="4"/>
      <c r="X575" s="4"/>
      <c r="Y575" s="4"/>
    </row>
    <row r="576" spans="23:25" x14ac:dyDescent="0.25">
      <c r="W576" s="4"/>
      <c r="X576" s="4"/>
      <c r="Y576" s="4"/>
    </row>
    <row r="577" spans="23:25" x14ac:dyDescent="0.25">
      <c r="W577" s="4"/>
      <c r="X577" s="4"/>
      <c r="Y577" s="4"/>
    </row>
    <row r="578" spans="23:25" x14ac:dyDescent="0.25">
      <c r="W578" s="4"/>
      <c r="X578" s="4"/>
      <c r="Y578" s="4"/>
    </row>
    <row r="579" spans="23:25" x14ac:dyDescent="0.25">
      <c r="W579" s="4"/>
      <c r="X579" s="4"/>
      <c r="Y579" s="4"/>
    </row>
    <row r="580" spans="23:25" x14ac:dyDescent="0.25">
      <c r="W580" s="4"/>
      <c r="X580" s="4"/>
      <c r="Y580" s="4"/>
    </row>
    <row r="581" spans="23:25" x14ac:dyDescent="0.25">
      <c r="W581" s="4"/>
      <c r="X581" s="4"/>
      <c r="Y581" s="4"/>
    </row>
    <row r="582" spans="23:25" x14ac:dyDescent="0.25">
      <c r="W582" s="4"/>
      <c r="X582" s="4"/>
      <c r="Y582" s="4"/>
    </row>
    <row r="583" spans="23:25" x14ac:dyDescent="0.25">
      <c r="W583" s="4"/>
      <c r="X583" s="4"/>
      <c r="Y583" s="4"/>
    </row>
    <row r="584" spans="23:25" x14ac:dyDescent="0.25">
      <c r="W584" s="4"/>
      <c r="X584" s="4"/>
      <c r="Y584" s="4"/>
    </row>
    <row r="585" spans="23:25" x14ac:dyDescent="0.25">
      <c r="W585" s="4"/>
      <c r="X585" s="4"/>
      <c r="Y585" s="4"/>
    </row>
    <row r="586" spans="23:25" x14ac:dyDescent="0.25">
      <c r="W586" s="4"/>
      <c r="X586" s="4"/>
      <c r="Y586" s="4"/>
    </row>
    <row r="587" spans="23:25" x14ac:dyDescent="0.25">
      <c r="W587" s="4"/>
      <c r="X587" s="4"/>
      <c r="Y587" s="4"/>
    </row>
    <row r="588" spans="23:25" x14ac:dyDescent="0.25">
      <c r="W588" s="4"/>
      <c r="X588" s="4"/>
      <c r="Y588" s="4"/>
    </row>
    <row r="589" spans="23:25" x14ac:dyDescent="0.25">
      <c r="W589" s="4"/>
      <c r="X589" s="4"/>
      <c r="Y589" s="4"/>
    </row>
    <row r="590" spans="23:25" x14ac:dyDescent="0.25">
      <c r="W590" s="4"/>
      <c r="X590" s="4"/>
      <c r="Y590" s="4"/>
    </row>
    <row r="591" spans="23:25" x14ac:dyDescent="0.25">
      <c r="W591" s="4"/>
      <c r="X591" s="4"/>
      <c r="Y591" s="4"/>
    </row>
    <row r="592" spans="23:25" x14ac:dyDescent="0.25">
      <c r="W592" s="4"/>
      <c r="X592" s="4"/>
      <c r="Y592" s="4"/>
    </row>
    <row r="593" spans="23:25" x14ac:dyDescent="0.25">
      <c r="W593" s="4"/>
      <c r="X593" s="4"/>
      <c r="Y593" s="4"/>
    </row>
    <row r="594" spans="23:25" x14ac:dyDescent="0.25">
      <c r="W594" s="4"/>
      <c r="X594" s="4"/>
      <c r="Y594" s="4"/>
    </row>
    <row r="595" spans="23:25" x14ac:dyDescent="0.25">
      <c r="W595" s="4"/>
      <c r="X595" s="4"/>
      <c r="Y595" s="4"/>
    </row>
    <row r="596" spans="23:25" x14ac:dyDescent="0.25">
      <c r="W596" s="4"/>
      <c r="X596" s="4"/>
      <c r="Y596" s="4"/>
    </row>
    <row r="597" spans="23:25" x14ac:dyDescent="0.25">
      <c r="W597" s="4"/>
      <c r="X597" s="4"/>
      <c r="Y597" s="4"/>
    </row>
    <row r="598" spans="23:25" x14ac:dyDescent="0.25">
      <c r="W598" s="4"/>
      <c r="X598" s="4"/>
      <c r="Y598" s="4"/>
    </row>
    <row r="599" spans="23:25" x14ac:dyDescent="0.25">
      <c r="W599" s="4"/>
      <c r="X599" s="4"/>
      <c r="Y599" s="4"/>
    </row>
    <row r="600" spans="23:25" x14ac:dyDescent="0.25">
      <c r="W600" s="4"/>
      <c r="X600" s="4"/>
      <c r="Y600" s="4"/>
    </row>
    <row r="601" spans="23:25" x14ac:dyDescent="0.25">
      <c r="W601" s="4"/>
      <c r="X601" s="4"/>
      <c r="Y601" s="4"/>
    </row>
    <row r="602" spans="23:25" x14ac:dyDescent="0.25">
      <c r="W602" s="4"/>
      <c r="X602" s="4"/>
      <c r="Y602" s="4"/>
    </row>
    <row r="603" spans="23:25" x14ac:dyDescent="0.25">
      <c r="W603" s="4"/>
      <c r="X603" s="4"/>
      <c r="Y603" s="4"/>
    </row>
    <row r="604" spans="23:25" x14ac:dyDescent="0.25">
      <c r="W604" s="4"/>
      <c r="X604" s="4"/>
      <c r="Y604" s="4"/>
    </row>
    <row r="605" spans="23:25" x14ac:dyDescent="0.25">
      <c r="W605" s="4"/>
      <c r="X605" s="4"/>
      <c r="Y605" s="4"/>
    </row>
    <row r="606" spans="23:25" x14ac:dyDescent="0.25">
      <c r="W606" s="4"/>
      <c r="X606" s="4"/>
      <c r="Y606" s="4"/>
    </row>
    <row r="607" spans="23:25" x14ac:dyDescent="0.25">
      <c r="W607" s="4"/>
      <c r="X607" s="4"/>
      <c r="Y607" s="4"/>
    </row>
    <row r="608" spans="23:25" x14ac:dyDescent="0.25">
      <c r="W608" s="4"/>
      <c r="X608" s="4"/>
      <c r="Y608" s="4"/>
    </row>
    <row r="609" spans="23:25" x14ac:dyDescent="0.25">
      <c r="W609" s="4"/>
      <c r="X609" s="4"/>
      <c r="Y609" s="4"/>
    </row>
    <row r="610" spans="23:25" x14ac:dyDescent="0.25">
      <c r="W610" s="4"/>
      <c r="X610" s="4"/>
      <c r="Y610" s="4"/>
    </row>
    <row r="611" spans="23:25" x14ac:dyDescent="0.25">
      <c r="W611" s="4"/>
      <c r="X611" s="4"/>
      <c r="Y611" s="4"/>
    </row>
    <row r="612" spans="23:25" x14ac:dyDescent="0.25">
      <c r="W612" s="4"/>
      <c r="X612" s="4"/>
      <c r="Y612" s="4"/>
    </row>
    <row r="613" spans="23:25" x14ac:dyDescent="0.25">
      <c r="W613" s="4"/>
      <c r="X613" s="4"/>
      <c r="Y613" s="4"/>
    </row>
    <row r="614" spans="23:25" x14ac:dyDescent="0.25">
      <c r="W614" s="4"/>
      <c r="X614" s="4"/>
      <c r="Y614" s="4"/>
    </row>
    <row r="615" spans="23:25" x14ac:dyDescent="0.25">
      <c r="W615" s="4"/>
      <c r="X615" s="4"/>
      <c r="Y615" s="4"/>
    </row>
    <row r="616" spans="23:25" x14ac:dyDescent="0.25">
      <c r="W616" s="4"/>
      <c r="X616" s="4"/>
      <c r="Y616" s="4"/>
    </row>
    <row r="617" spans="23:25" x14ac:dyDescent="0.25">
      <c r="W617" s="4"/>
      <c r="X617" s="4"/>
      <c r="Y617" s="4"/>
    </row>
    <row r="618" spans="23:25" x14ac:dyDescent="0.25">
      <c r="W618" s="4"/>
      <c r="X618" s="4"/>
      <c r="Y618" s="4"/>
    </row>
    <row r="619" spans="23:25" x14ac:dyDescent="0.25">
      <c r="W619" s="4"/>
      <c r="X619" s="4"/>
      <c r="Y619" s="4"/>
    </row>
    <row r="620" spans="23:25" x14ac:dyDescent="0.25">
      <c r="W620" s="4"/>
      <c r="X620" s="4"/>
      <c r="Y620" s="4"/>
    </row>
    <row r="621" spans="23:25" x14ac:dyDescent="0.25">
      <c r="W621" s="4"/>
      <c r="X621" s="4"/>
      <c r="Y621" s="4"/>
    </row>
    <row r="622" spans="23:25" x14ac:dyDescent="0.25">
      <c r="W622" s="4"/>
      <c r="X622" s="4"/>
      <c r="Y622" s="4"/>
    </row>
    <row r="623" spans="23:25" x14ac:dyDescent="0.25">
      <c r="W623" s="4"/>
      <c r="X623" s="4"/>
      <c r="Y623" s="4"/>
    </row>
    <row r="624" spans="23:25" x14ac:dyDescent="0.25">
      <c r="W624" s="4"/>
      <c r="X624" s="4"/>
      <c r="Y624" s="4"/>
    </row>
    <row r="625" spans="23:25" x14ac:dyDescent="0.25">
      <c r="W625" s="4"/>
      <c r="X625" s="4"/>
      <c r="Y625" s="4"/>
    </row>
    <row r="626" spans="23:25" x14ac:dyDescent="0.25">
      <c r="W626" s="4"/>
      <c r="X626" s="4"/>
      <c r="Y626" s="4"/>
    </row>
    <row r="627" spans="23:25" x14ac:dyDescent="0.25">
      <c r="W627" s="4"/>
      <c r="X627" s="4"/>
      <c r="Y627" s="4"/>
    </row>
    <row r="628" spans="23:25" x14ac:dyDescent="0.25">
      <c r="W628" s="4"/>
      <c r="X628" s="4"/>
      <c r="Y628" s="4"/>
    </row>
    <row r="629" spans="23:25" x14ac:dyDescent="0.25">
      <c r="W629" s="4"/>
      <c r="X629" s="4"/>
      <c r="Y629" s="4"/>
    </row>
    <row r="630" spans="23:25" x14ac:dyDescent="0.25">
      <c r="W630" s="4"/>
      <c r="X630" s="4"/>
      <c r="Y630" s="4"/>
    </row>
    <row r="631" spans="23:25" x14ac:dyDescent="0.25">
      <c r="W631" s="4"/>
      <c r="X631" s="4"/>
      <c r="Y631" s="4"/>
    </row>
    <row r="632" spans="23:25" x14ac:dyDescent="0.25">
      <c r="W632" s="4"/>
      <c r="X632" s="4"/>
      <c r="Y632" s="4"/>
    </row>
    <row r="633" spans="23:25" x14ac:dyDescent="0.25">
      <c r="W633" s="4"/>
      <c r="X633" s="4"/>
      <c r="Y633" s="4"/>
    </row>
    <row r="634" spans="23:25" x14ac:dyDescent="0.25">
      <c r="W634" s="4"/>
      <c r="X634" s="4"/>
      <c r="Y634" s="4"/>
    </row>
    <row r="635" spans="23:25" x14ac:dyDescent="0.25">
      <c r="W635" s="4"/>
      <c r="X635" s="4"/>
      <c r="Y635" s="4"/>
    </row>
    <row r="636" spans="23:25" x14ac:dyDescent="0.25">
      <c r="W636" s="4"/>
      <c r="X636" s="4"/>
      <c r="Y636" s="4"/>
    </row>
  </sheetData>
  <autoFilter ref="A8:M9" xr:uid="{00000000-0009-0000-0000-000011000000}"/>
  <mergeCells count="33">
    <mergeCell ref="W8:W9"/>
    <mergeCell ref="Q8:Q9"/>
    <mergeCell ref="S8:S9"/>
    <mergeCell ref="T8:T9"/>
    <mergeCell ref="U8:U9"/>
    <mergeCell ref="V8:V9"/>
    <mergeCell ref="L8:L9"/>
    <mergeCell ref="M8:M9"/>
    <mergeCell ref="N8:N9"/>
    <mergeCell ref="O8:O9"/>
    <mergeCell ref="P8:P9"/>
    <mergeCell ref="K7:L7"/>
    <mergeCell ref="N7:P7"/>
    <mergeCell ref="Q7:S7"/>
    <mergeCell ref="T7:V7"/>
    <mergeCell ref="A8:A9"/>
    <mergeCell ref="B8:B9"/>
    <mergeCell ref="C8:C9"/>
    <mergeCell ref="D8:D9"/>
    <mergeCell ref="E8:E9"/>
    <mergeCell ref="F8:F9"/>
    <mergeCell ref="R8:R9"/>
    <mergeCell ref="G8:G9"/>
    <mergeCell ref="H8:H9"/>
    <mergeCell ref="I8:I9"/>
    <mergeCell ref="J8:J9"/>
    <mergeCell ref="K8:K9"/>
    <mergeCell ref="H6:I6"/>
    <mergeCell ref="A2:B2"/>
    <mergeCell ref="G2:I2"/>
    <mergeCell ref="H3:I3"/>
    <mergeCell ref="H4:I4"/>
    <mergeCell ref="H5:I5"/>
  </mergeCells>
  <conditionalFormatting sqref="A10:A369">
    <cfRule type="cellIs" dxfId="21" priority="1" operator="equal">
      <formula>"Viga bajo losa"</formula>
    </cfRule>
  </conditionalFormatting>
  <conditionalFormatting sqref="G10:G369">
    <cfRule type="cellIs" dxfId="20" priority="115" operator="equal">
      <formula>4</formula>
    </cfRule>
    <cfRule type="cellIs" dxfId="19" priority="116" operator="equal">
      <formula>3</formula>
    </cfRule>
  </conditionalFormatting>
  <conditionalFormatting sqref="H12:H15">
    <cfRule type="cellIs" dxfId="18" priority="239" operator="equal">
      <formula>"Viga bajo losa"</formula>
    </cfRule>
  </conditionalFormatting>
  <conditionalFormatting sqref="H42:H45">
    <cfRule type="cellIs" dxfId="17" priority="233" operator="equal">
      <formula>"Viga bajo losa"</formula>
    </cfRule>
  </conditionalFormatting>
  <conditionalFormatting sqref="H72:H75">
    <cfRule type="cellIs" dxfId="16" priority="231" operator="equal">
      <formula>"Viga bajo losa"</formula>
    </cfRule>
  </conditionalFormatting>
  <conditionalFormatting sqref="H102:H105">
    <cfRule type="cellIs" dxfId="15" priority="229" operator="equal">
      <formula>"Viga bajo losa"</formula>
    </cfRule>
  </conditionalFormatting>
  <conditionalFormatting sqref="H132:H135">
    <cfRule type="cellIs" dxfId="14" priority="227" operator="equal">
      <formula>"Viga bajo losa"</formula>
    </cfRule>
  </conditionalFormatting>
  <conditionalFormatting sqref="H162:H165">
    <cfRule type="cellIs" dxfId="13" priority="225" operator="equal">
      <formula>"Viga bajo losa"</formula>
    </cfRule>
  </conditionalFormatting>
  <conditionalFormatting sqref="H192:H195">
    <cfRule type="cellIs" dxfId="12" priority="223" operator="equal">
      <formula>"Viga bajo losa"</formula>
    </cfRule>
  </conditionalFormatting>
  <conditionalFormatting sqref="H222:H225">
    <cfRule type="cellIs" dxfId="11" priority="221" operator="equal">
      <formula>"Viga bajo losa"</formula>
    </cfRule>
  </conditionalFormatting>
  <conditionalFormatting sqref="H252:H255">
    <cfRule type="cellIs" dxfId="10" priority="219" operator="equal">
      <formula>"Viga bajo losa"</formula>
    </cfRule>
  </conditionalFormatting>
  <conditionalFormatting sqref="H282:H285">
    <cfRule type="cellIs" dxfId="9" priority="217" operator="equal">
      <formula>"Viga bajo losa"</formula>
    </cfRule>
  </conditionalFormatting>
  <conditionalFormatting sqref="H312:H315">
    <cfRule type="cellIs" dxfId="8" priority="215" operator="equal">
      <formula>"Viga bajo losa"</formula>
    </cfRule>
  </conditionalFormatting>
  <conditionalFormatting sqref="H342:H345">
    <cfRule type="cellIs" dxfId="7" priority="205" operator="equal">
      <formula>"Viga bajo losa"</formula>
    </cfRule>
  </conditionalFormatting>
  <conditionalFormatting sqref="Q1:S1 U1:W1 N1:P4 X1:X5 Q5:S5 U5 W5">
    <cfRule type="cellIs" dxfId="6" priority="235" operator="equal">
      <formula>"CERT."</formula>
    </cfRule>
    <cfRule type="cellIs" dxfId="5" priority="236" operator="equal">
      <formula>"NO CERT."</formula>
    </cfRule>
  </conditionalFormatting>
  <conditionalFormatting sqref="Q1:S1 U1:W1 P1:P4">
    <cfRule type="cellIs" dxfId="4" priority="238" operator="equal">
      <formula>"No cert."</formula>
    </cfRule>
  </conditionalFormatting>
  <conditionalFormatting sqref="W7:X7">
    <cfRule type="cellIs" dxfId="3" priority="241" operator="equal">
      <formula>"No es certificable por WB7"</formula>
    </cfRule>
    <cfRule type="cellIs" dxfId="2" priority="242" operator="equal">
      <formula>"No es certificable por Fire Tex"</formula>
    </cfRule>
    <cfRule type="cellIs" dxfId="1" priority="243" operator="equal">
      <formula>"No es certificable por Fire Control"</formula>
    </cfRule>
    <cfRule type="cellIs" dxfId="0" priority="244" operator="equal">
      <formula>"Certificable"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C51304-C328-41EE-A1E7-9458676ADB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23</vt:i4>
      </vt:variant>
    </vt:vector>
  </HeadingPairs>
  <TitlesOfParts>
    <vt:vector size="23" baseType="lpstr">
      <vt:lpstr>COT. BSII, CF. 300, CF. 400</vt:lpstr>
      <vt:lpstr>COT. F.CONTROL</vt:lpstr>
      <vt:lpstr>resumen</vt:lpstr>
      <vt:lpstr>CUBICACION</vt:lpstr>
      <vt:lpstr>FIRE CONTROL</vt:lpstr>
      <vt:lpstr>FIRE TEX 5062</vt:lpstr>
      <vt:lpstr>FIRE TEX 5090</vt:lpstr>
      <vt:lpstr>FIRE TEX 5120</vt:lpstr>
      <vt:lpstr>AUTO CALCULO</vt:lpstr>
      <vt:lpstr>CALCULO MORTERO</vt:lpstr>
      <vt:lpstr>CALCULO PINTURA</vt:lpstr>
      <vt:lpstr>FX 2003</vt:lpstr>
      <vt:lpstr>STOFIRE</vt:lpstr>
      <vt:lpstr>FIRE TEX OBSOLETA</vt:lpstr>
      <vt:lpstr>WB7</vt:lpstr>
      <vt:lpstr>FIRE TEX FX 2003</vt:lpstr>
      <vt:lpstr>RESTRICCIÓN MASIVIDAD</vt:lpstr>
      <vt:lpstr>BLAZE SHIELD ENSAYO</vt:lpstr>
      <vt:lpstr>BLAZE SHIELD II</vt:lpstr>
      <vt:lpstr>CAFCO 400 </vt:lpstr>
      <vt:lpstr>CAFCO 400 ENSAYO</vt:lpstr>
      <vt:lpstr>CAFCO 300 IDIEM TABLAS</vt:lpstr>
      <vt:lpstr>HOJA DE CÁLCULO RESPALDO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FRANCISCO JOSE LAVIN FERRADA</cp:lastModifiedBy>
  <dcterms:created xsi:type="dcterms:W3CDTF">2020-09-24T21:04:54Z</dcterms:created>
  <dcterms:modified xsi:type="dcterms:W3CDTF">2026-07-09T14:58:51Z</dcterms:modified>
</cp:coreProperties>
</file>